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tables/table6.xml" ContentType="application/vnd.openxmlformats-officedocument.spreadsheetml.table+xml"/>
  <Override PartName="/xl/tables/table8.xml" ContentType="application/vnd.openxmlformats-officedocument.spreadsheetml.table+xml"/>
  <Override PartName="/xl/tables/table7.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mc:AlternateContent xmlns:mc="http://schemas.openxmlformats.org/markup-compatibility/2006">
    <mc:Choice Requires="x15">
      <x15ac:absPath xmlns:x15ac="http://schemas.microsoft.com/office/spreadsheetml/2010/11/ac" url="P:\02_SIGOGNE\EXPORTS-DEMANDES\DREAL_BFC\tableau_especes_statuts\2023\result\"/>
    </mc:Choice>
  </mc:AlternateContent>
  <xr:revisionPtr revIDLastSave="0" documentId="13_ncr:1_{3D933CA9-7903-4BB2-8462-1C8DD5836EF8}" xr6:coauthVersionLast="47" xr6:coauthVersionMax="47" xr10:uidLastSave="{00000000-0000-0000-0000-000000000000}"/>
  <bookViews>
    <workbookView xWindow="38280" yWindow="-120" windowWidth="38640" windowHeight="21120" xr2:uid="{00000000-000D-0000-FFFF-FFFF00000000}"/>
  </bookViews>
  <sheets>
    <sheet name="Liste_espèces" sheetId="14" r:id="rId1"/>
    <sheet name="Dictionnaire_données" sheetId="8" r:id="rId2"/>
    <sheet name="Informations_générales" sheetId="9" r:id="rId3"/>
    <sheet name="Réglementation" sheetId="10" r:id="rId4"/>
    <sheet name="Réglementation_groupes_espèce" sheetId="1" r:id="rId5"/>
    <sheet name="SCAP" sheetId="11" r:id="rId6"/>
    <sheet name="Statut_biogéographique" sheetId="12" r:id="rId7"/>
    <sheet name="Liste_rouge" sheetId="2" r:id="rId8"/>
    <sheet name="Critères_liste_rouge" sheetId="15"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4732" i="14" l="1"/>
  <c r="T24728" i="14"/>
  <c r="T24727" i="14"/>
  <c r="T24680" i="14"/>
  <c r="T24666" i="14"/>
  <c r="T24647" i="14"/>
  <c r="T24627" i="14"/>
  <c r="T24579" i="14"/>
  <c r="T24578" i="14"/>
  <c r="T24553" i="14"/>
  <c r="T24368" i="14"/>
  <c r="T24314" i="14"/>
  <c r="T24299" i="14"/>
  <c r="T24298" i="14"/>
  <c r="T24297" i="14"/>
  <c r="T24295" i="14"/>
  <c r="T24265" i="14"/>
  <c r="T24258" i="14"/>
  <c r="T24210" i="14"/>
  <c r="T24147" i="14"/>
  <c r="T24108" i="14"/>
  <c r="T24065" i="14"/>
  <c r="T24044" i="14"/>
  <c r="T24035" i="14"/>
  <c r="T23991" i="14"/>
  <c r="T23977" i="14"/>
  <c r="T23967" i="14"/>
  <c r="T23965" i="14"/>
  <c r="T23946" i="14"/>
  <c r="T23924" i="14"/>
  <c r="T23897" i="14"/>
  <c r="T23878" i="14"/>
  <c r="T23870" i="14"/>
  <c r="T23836" i="14"/>
  <c r="T23824" i="14"/>
  <c r="T23767" i="14"/>
  <c r="T23741" i="14"/>
  <c r="T23684" i="14"/>
  <c r="T23665" i="14"/>
  <c r="T23654" i="14"/>
  <c r="T23614" i="14"/>
  <c r="T23585" i="14"/>
  <c r="T23558" i="14"/>
  <c r="T23497" i="14"/>
  <c r="T23452" i="14"/>
  <c r="T23451" i="14"/>
  <c r="T23438" i="14"/>
  <c r="T23431" i="14"/>
  <c r="T23426" i="14"/>
  <c r="T23312" i="14"/>
  <c r="T23267" i="14"/>
  <c r="T22954" i="14"/>
  <c r="T22353" i="14"/>
  <c r="T22351" i="14"/>
  <c r="T22333" i="14"/>
  <c r="T22180" i="14"/>
  <c r="T21974" i="14"/>
  <c r="T21944" i="14"/>
  <c r="T21912" i="14"/>
  <c r="T21796" i="14"/>
  <c r="T21756" i="14"/>
  <c r="T21719" i="14"/>
  <c r="T21689" i="14"/>
  <c r="T21674" i="14"/>
  <c r="T21661" i="14"/>
  <c r="T21635" i="14"/>
  <c r="T21633" i="14"/>
  <c r="T21625" i="14"/>
  <c r="T21622" i="14"/>
  <c r="T21593" i="14"/>
  <c r="T21543" i="14"/>
  <c r="T21439" i="14"/>
  <c r="T21420" i="14"/>
  <c r="T21398" i="14"/>
  <c r="T21395" i="14"/>
  <c r="T21361" i="14"/>
  <c r="T21289" i="14"/>
  <c r="T21252" i="14"/>
  <c r="T21221" i="14"/>
  <c r="T21200" i="14"/>
  <c r="T21189" i="14"/>
  <c r="T21146" i="14"/>
  <c r="T21123" i="14"/>
  <c r="T21103" i="14"/>
  <c r="T21082" i="14"/>
  <c r="T21079" i="14"/>
  <c r="T21078" i="14"/>
  <c r="T21034" i="14"/>
  <c r="T20842" i="14"/>
  <c r="T20829" i="14"/>
  <c r="T20826" i="14"/>
  <c r="T20802" i="14"/>
  <c r="T20770" i="14"/>
  <c r="T20756" i="14"/>
  <c r="T20685" i="14"/>
  <c r="T20565" i="14"/>
  <c r="T20561" i="14"/>
  <c r="T20546" i="14"/>
  <c r="T20536" i="14"/>
  <c r="T20493" i="14"/>
  <c r="T20473" i="14"/>
  <c r="T20448" i="14"/>
  <c r="T20398" i="14"/>
  <c r="T20389" i="14"/>
  <c r="T20338" i="14"/>
  <c r="T20332" i="14"/>
  <c r="T20309" i="14"/>
  <c r="T20304" i="14"/>
  <c r="T20296" i="14"/>
  <c r="T20287" i="14"/>
  <c r="T20264" i="14"/>
  <c r="T20247" i="14"/>
  <c r="T20242" i="14"/>
  <c r="T20241" i="14"/>
  <c r="T20232" i="14"/>
  <c r="T20220" i="14"/>
  <c r="T20177" i="14"/>
  <c r="T20118" i="14"/>
  <c r="T20115" i="14"/>
  <c r="T20103" i="14"/>
  <c r="T20076" i="14"/>
  <c r="T20071" i="14"/>
  <c r="T20064" i="14"/>
  <c r="T20043" i="14"/>
  <c r="T20016" i="14"/>
  <c r="T19997" i="14"/>
  <c r="T19982" i="14"/>
  <c r="T19942" i="14"/>
  <c r="T19799" i="14"/>
  <c r="T19792" i="14"/>
  <c r="T19784" i="14"/>
  <c r="T19781" i="14"/>
  <c r="T19780" i="14"/>
  <c r="T19241" i="14"/>
  <c r="D7" i="1"/>
  <c r="D6" i="1"/>
  <c r="D5" i="1"/>
  <c r="D4" i="1"/>
  <c r="D3" i="1"/>
  <c r="D2" i="1"/>
  <c r="D79" i="10"/>
  <c r="D78" i="10"/>
  <c r="D77" i="10"/>
  <c r="D76" i="10"/>
  <c r="D75" i="10"/>
  <c r="D74" i="10"/>
  <c r="D73" i="10"/>
  <c r="D72" i="10"/>
  <c r="D71" i="10"/>
  <c r="D70" i="10"/>
  <c r="D69" i="10"/>
  <c r="D68" i="10"/>
  <c r="D67" i="10"/>
  <c r="D66" i="10"/>
  <c r="D65" i="10"/>
  <c r="D64" i="10"/>
  <c r="D63" i="10"/>
  <c r="D62" i="10"/>
  <c r="D61" i="10"/>
  <c r="D60" i="10"/>
  <c r="D59" i="10"/>
  <c r="D58" i="10"/>
  <c r="D57" i="10"/>
  <c r="D56" i="10"/>
  <c r="D55" i="10"/>
  <c r="D54" i="10"/>
  <c r="D53" i="10"/>
  <c r="D52" i="10"/>
  <c r="D51" i="10"/>
  <c r="D50" i="10"/>
  <c r="D49" i="10"/>
  <c r="D48" i="10"/>
  <c r="D47" i="10"/>
  <c r="D46" i="10"/>
  <c r="D45" i="10"/>
  <c r="D44" i="10"/>
  <c r="D43" i="10"/>
  <c r="D42" i="10"/>
  <c r="D41" i="10"/>
  <c r="D40" i="10"/>
  <c r="D39" i="10"/>
  <c r="D38" i="10"/>
  <c r="D37" i="10"/>
  <c r="D36" i="10"/>
  <c r="D35" i="10"/>
  <c r="D34" i="10"/>
  <c r="D33" i="10"/>
  <c r="D32" i="10"/>
  <c r="D31" i="10"/>
  <c r="D30" i="10"/>
  <c r="D29" i="10"/>
  <c r="D28" i="10"/>
  <c r="D27" i="10"/>
  <c r="D26" i="10"/>
  <c r="D25" i="10"/>
  <c r="D24" i="10"/>
  <c r="D23" i="10"/>
  <c r="D22" i="10"/>
  <c r="D21" i="10"/>
  <c r="D20" i="10"/>
  <c r="D19" i="10"/>
  <c r="D18" i="10"/>
  <c r="D17" i="10"/>
  <c r="D16" i="10"/>
  <c r="D15" i="10"/>
  <c r="D14" i="10"/>
  <c r="D13" i="10"/>
  <c r="D12" i="10"/>
  <c r="D11" i="10"/>
  <c r="D10" i="10"/>
  <c r="D9" i="10"/>
  <c r="D8" i="10"/>
  <c r="D7" i="10"/>
  <c r="D6" i="10"/>
  <c r="D5" i="10"/>
  <c r="D4" i="10"/>
  <c r="D3" i="10"/>
  <c r="D2" i="10"/>
  <c r="C105" i="9"/>
  <c r="C104" i="9"/>
  <c r="C102" i="9"/>
  <c r="C101" i="9"/>
  <c r="C100" i="9"/>
  <c r="C99" i="9"/>
  <c r="C98" i="9"/>
  <c r="C97" i="9"/>
  <c r="C96" i="9"/>
  <c r="C95" i="9"/>
  <c r="C94" i="9"/>
  <c r="C93" i="9"/>
  <c r="C92" i="9"/>
  <c r="C91" i="9"/>
  <c r="C90" i="9"/>
  <c r="C89" i="9"/>
  <c r="C88" i="9"/>
  <c r="C87" i="9"/>
  <c r="C86" i="9"/>
  <c r="C85" i="9"/>
  <c r="C84" i="9"/>
  <c r="C83" i="9"/>
  <c r="C82" i="9"/>
  <c r="C81" i="9"/>
  <c r="C80" i="9"/>
  <c r="C79" i="9"/>
  <c r="C78" i="9"/>
  <c r="C77" i="9"/>
  <c r="C76" i="9"/>
  <c r="C75" i="9"/>
  <c r="C74" i="9"/>
  <c r="C73" i="9"/>
  <c r="C72" i="9"/>
  <c r="C71" i="9"/>
  <c r="C70" i="9"/>
  <c r="C69" i="9"/>
  <c r="C68"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10" i="9"/>
  <c r="C9" i="9"/>
  <c r="C8" i="9"/>
  <c r="C7" i="9"/>
  <c r="C6" i="9"/>
  <c r="C5" i="9"/>
  <c r="C4" i="9"/>
  <c r="C3" i="9"/>
  <c r="C2" i="9"/>
  <c r="AH24864" i="14"/>
  <c r="O24864" i="14"/>
  <c r="E24864" i="14"/>
  <c r="AL24863" i="14"/>
  <c r="AH24863" i="14"/>
  <c r="I24863" i="14"/>
  <c r="E24863" i="14"/>
  <c r="AH24862" i="14"/>
  <c r="W24862" i="14"/>
  <c r="V24862" i="14"/>
  <c r="T24862" i="14"/>
  <c r="Q24862" i="14"/>
  <c r="L24862" i="14"/>
  <c r="I24862" i="14"/>
  <c r="E24862" i="14"/>
  <c r="AH24861" i="14"/>
  <c r="V24861" i="14"/>
  <c r="U24861" i="14"/>
  <c r="T24861" i="14"/>
  <c r="Q24861" i="14"/>
  <c r="P24861" i="14"/>
  <c r="O24861" i="14"/>
  <c r="L24861" i="14"/>
  <c r="I24861" i="14"/>
  <c r="E24861" i="14"/>
  <c r="AH24860" i="14"/>
  <c r="W24860" i="14"/>
  <c r="V24860" i="14"/>
  <c r="T24860" i="14"/>
  <c r="Q24860" i="14"/>
  <c r="O24860" i="14"/>
  <c r="L24860" i="14"/>
  <c r="I24860" i="14"/>
  <c r="E24860" i="14"/>
  <c r="AH24859" i="14"/>
  <c r="Q24859" i="14"/>
  <c r="L24859" i="14"/>
  <c r="I24859" i="14"/>
  <c r="E24859" i="14"/>
  <c r="AH24858" i="14"/>
  <c r="W24858" i="14"/>
  <c r="V24858" i="14"/>
  <c r="U24858" i="14"/>
  <c r="T24858" i="14"/>
  <c r="Q24858" i="14"/>
  <c r="P24858" i="14"/>
  <c r="O24858" i="14"/>
  <c r="L24858" i="14"/>
  <c r="I24858" i="14"/>
  <c r="E24858" i="14"/>
  <c r="AH24857" i="14"/>
  <c r="W24857" i="14"/>
  <c r="V24857" i="14"/>
  <c r="U24857" i="14"/>
  <c r="T24857" i="14"/>
  <c r="Q24857" i="14"/>
  <c r="P24857" i="14"/>
  <c r="O24857" i="14"/>
  <c r="L24857" i="14"/>
  <c r="I24857" i="14"/>
  <c r="E24857" i="14"/>
  <c r="AH24856" i="14"/>
  <c r="W24856" i="14"/>
  <c r="V24856" i="14"/>
  <c r="T24856" i="14"/>
  <c r="Q24856" i="14"/>
  <c r="P24856" i="14"/>
  <c r="O24856" i="14"/>
  <c r="L24856" i="14"/>
  <c r="K24856" i="14"/>
  <c r="I24856" i="14"/>
  <c r="E24856" i="14"/>
  <c r="AH24855" i="14"/>
  <c r="W24855" i="14"/>
  <c r="V24855" i="14"/>
  <c r="T24855" i="14"/>
  <c r="Q24855" i="14"/>
  <c r="P24855" i="14"/>
  <c r="O24855" i="14"/>
  <c r="L24855" i="14"/>
  <c r="K24855" i="14"/>
  <c r="I24855" i="14"/>
  <c r="E24855" i="14"/>
  <c r="AH24854" i="14"/>
  <c r="V24854" i="14"/>
  <c r="T24854" i="14"/>
  <c r="Q24854" i="14"/>
  <c r="P24854" i="14"/>
  <c r="O24854" i="14"/>
  <c r="L24854" i="14"/>
  <c r="K24854" i="14"/>
  <c r="I24854" i="14"/>
  <c r="E24854" i="14"/>
  <c r="AH24853" i="14"/>
  <c r="W24853" i="14"/>
  <c r="V24853" i="14"/>
  <c r="T24853" i="14"/>
  <c r="Q24853" i="14"/>
  <c r="P24853" i="14"/>
  <c r="O24853" i="14"/>
  <c r="L24853" i="14"/>
  <c r="K24853" i="14"/>
  <c r="I24853" i="14"/>
  <c r="E24853" i="14"/>
  <c r="AH24852" i="14"/>
  <c r="AG24852" i="14"/>
  <c r="AF24852" i="14"/>
  <c r="AE24852" i="14"/>
  <c r="W24852" i="14"/>
  <c r="V24852" i="14"/>
  <c r="T24852" i="14"/>
  <c r="Q24852" i="14"/>
  <c r="P24852" i="14"/>
  <c r="O24852" i="14"/>
  <c r="L24852" i="14"/>
  <c r="K24852" i="14"/>
  <c r="I24852" i="14"/>
  <c r="E24852" i="14"/>
  <c r="AH24851" i="14"/>
  <c r="Q24851" i="14"/>
  <c r="P24851" i="14"/>
  <c r="O24851" i="14"/>
  <c r="L24851" i="14"/>
  <c r="I24851" i="14"/>
  <c r="E24851" i="14"/>
  <c r="AH24850" i="14"/>
  <c r="W24850" i="14"/>
  <c r="V24850" i="14"/>
  <c r="T24850" i="14"/>
  <c r="Q24850" i="14"/>
  <c r="P24850" i="14"/>
  <c r="O24850" i="14"/>
  <c r="L24850" i="14"/>
  <c r="I24850" i="14"/>
  <c r="E24850" i="14"/>
  <c r="AH24849" i="14"/>
  <c r="AE24849" i="14"/>
  <c r="Q24849" i="14"/>
  <c r="P24849" i="14"/>
  <c r="O24849" i="14"/>
  <c r="L24849" i="14"/>
  <c r="K24849" i="14"/>
  <c r="I24849" i="14"/>
  <c r="G24849" i="14"/>
  <c r="E24849" i="14"/>
  <c r="AH24848" i="14"/>
  <c r="P24848" i="14"/>
  <c r="O24848" i="14"/>
  <c r="K24848" i="14"/>
  <c r="I24848" i="14"/>
  <c r="G24848" i="14"/>
  <c r="E24848" i="14"/>
  <c r="AL24847" i="14"/>
  <c r="AH24847" i="14"/>
  <c r="I24847" i="14"/>
  <c r="G24847" i="14"/>
  <c r="E24847" i="14"/>
  <c r="AL24846" i="14"/>
  <c r="AH24846" i="14"/>
  <c r="V24846" i="14"/>
  <c r="T24846" i="14"/>
  <c r="Q24846" i="14"/>
  <c r="O24846" i="14"/>
  <c r="I24846" i="14"/>
  <c r="E24846" i="14"/>
  <c r="AH24845" i="14"/>
  <c r="AE24845" i="14"/>
  <c r="Q24845" i="14"/>
  <c r="P24845" i="14"/>
  <c r="L24845" i="14"/>
  <c r="K24845" i="14"/>
  <c r="I24845" i="14"/>
  <c r="E24845" i="14"/>
  <c r="AH24844" i="14"/>
  <c r="AF24844" i="14"/>
  <c r="AE24844" i="14"/>
  <c r="V24844" i="14"/>
  <c r="U24844" i="14"/>
  <c r="T24844" i="14"/>
  <c r="Q24844" i="14"/>
  <c r="P24844" i="14"/>
  <c r="L24844" i="14"/>
  <c r="K24844" i="14"/>
  <c r="I24844" i="14"/>
  <c r="E24844" i="14"/>
  <c r="AH24843" i="14"/>
  <c r="L24843" i="14"/>
  <c r="K24843" i="14"/>
  <c r="I24843" i="14"/>
  <c r="E24843" i="14"/>
  <c r="AH24842" i="14"/>
  <c r="O24842" i="14"/>
  <c r="E24842" i="14"/>
  <c r="AL24841" i="14"/>
  <c r="AH24841" i="14"/>
  <c r="O24841" i="14"/>
  <c r="E24841" i="14"/>
  <c r="AH24840" i="14"/>
  <c r="W24840" i="14"/>
  <c r="V24840" i="14"/>
  <c r="T24840" i="14"/>
  <c r="Q24840" i="14"/>
  <c r="P24840" i="14"/>
  <c r="O24840" i="14"/>
  <c r="L24840" i="14"/>
  <c r="K24840" i="14"/>
  <c r="I24840" i="14"/>
  <c r="E24840" i="14"/>
  <c r="AH24839" i="14"/>
  <c r="E24839" i="14"/>
  <c r="AH24838" i="14"/>
  <c r="Q24838" i="14"/>
  <c r="P24838" i="14"/>
  <c r="O24838" i="14"/>
  <c r="E24838" i="14"/>
  <c r="AH24837" i="14"/>
  <c r="Q24837" i="14"/>
  <c r="P24837" i="14"/>
  <c r="O24837" i="14"/>
  <c r="I24837" i="14"/>
  <c r="E24837" i="14"/>
  <c r="AH24836" i="14"/>
  <c r="Q24836" i="14"/>
  <c r="P24836" i="14"/>
  <c r="O24836" i="14"/>
  <c r="E24836" i="14"/>
  <c r="AH24835" i="14"/>
  <c r="AG24835" i="14"/>
  <c r="AF24835" i="14"/>
  <c r="AE24835" i="14"/>
  <c r="W24835" i="14"/>
  <c r="V24835" i="14"/>
  <c r="Q24835" i="14"/>
  <c r="P24835" i="14"/>
  <c r="O24835" i="14"/>
  <c r="L24835" i="14"/>
  <c r="K24835" i="14"/>
  <c r="I24835" i="14"/>
  <c r="E24835" i="14"/>
  <c r="AH24834" i="14"/>
  <c r="V24834" i="14"/>
  <c r="Q24834" i="14"/>
  <c r="P24834" i="14"/>
  <c r="O24834" i="14"/>
  <c r="E24834" i="14"/>
  <c r="AH24833" i="14"/>
  <c r="V24833" i="14"/>
  <c r="Q24833" i="14"/>
  <c r="P24833" i="14"/>
  <c r="O24833" i="14"/>
  <c r="E24833" i="14"/>
  <c r="AH24832" i="14"/>
  <c r="V24832" i="14"/>
  <c r="Q24832" i="14"/>
  <c r="O24832" i="14"/>
  <c r="E24832" i="14"/>
  <c r="AH24831" i="14"/>
  <c r="O24831" i="14"/>
  <c r="E24831" i="14"/>
  <c r="AL24830" i="14"/>
  <c r="AH24830" i="14"/>
  <c r="V24830" i="14"/>
  <c r="Q24830" i="14"/>
  <c r="O24830" i="14"/>
  <c r="E24830" i="14"/>
  <c r="AH24829" i="14"/>
  <c r="Q24829" i="14"/>
  <c r="O24829" i="14"/>
  <c r="E24829" i="14"/>
  <c r="AH24828" i="14"/>
  <c r="AG24828" i="14"/>
  <c r="AF24828" i="14"/>
  <c r="AE24828" i="14"/>
  <c r="W24828" i="14"/>
  <c r="V24828" i="14"/>
  <c r="Q24828" i="14"/>
  <c r="P24828" i="14"/>
  <c r="O24828" i="14"/>
  <c r="K24828" i="14"/>
  <c r="E24828" i="14"/>
  <c r="AH24827" i="14"/>
  <c r="Q24827" i="14"/>
  <c r="P24827" i="14"/>
  <c r="O24827" i="14"/>
  <c r="E24827" i="14"/>
  <c r="AH24826" i="14"/>
  <c r="AE24826" i="14"/>
  <c r="V24826" i="14"/>
  <c r="Q24826" i="14"/>
  <c r="P24826" i="14"/>
  <c r="O24826" i="14"/>
  <c r="E24826" i="14"/>
  <c r="AL24825" i="14"/>
  <c r="AH24825" i="14"/>
  <c r="O24825" i="14"/>
  <c r="E24825" i="14"/>
  <c r="AH24824" i="14"/>
  <c r="AG24824" i="14"/>
  <c r="AF24824" i="14"/>
  <c r="AE24824" i="14"/>
  <c r="W24824" i="14"/>
  <c r="V24824" i="14"/>
  <c r="Q24824" i="14"/>
  <c r="P24824" i="14"/>
  <c r="O24824" i="14"/>
  <c r="E24824" i="14"/>
  <c r="AH24823" i="14"/>
  <c r="Q24823" i="14"/>
  <c r="P24823" i="14"/>
  <c r="O24823" i="14"/>
  <c r="L24823" i="14"/>
  <c r="K24823" i="14"/>
  <c r="I24823" i="14"/>
  <c r="E24823" i="14"/>
  <c r="AH24822" i="14"/>
  <c r="V24822" i="14"/>
  <c r="Q24822" i="14"/>
  <c r="E24822" i="14"/>
  <c r="AH24821" i="14"/>
  <c r="V24821" i="14"/>
  <c r="Q24821" i="14"/>
  <c r="E24821" i="14"/>
  <c r="AH24820" i="14"/>
  <c r="V24820" i="14"/>
  <c r="Q24820" i="14"/>
  <c r="E24820" i="14"/>
  <c r="AH24819" i="14"/>
  <c r="AE24819" i="14"/>
  <c r="W24819" i="14"/>
  <c r="V24819" i="14"/>
  <c r="Q24819" i="14"/>
  <c r="P24819" i="14"/>
  <c r="O24819" i="14"/>
  <c r="L24819" i="14"/>
  <c r="K24819" i="14"/>
  <c r="E24819" i="14"/>
  <c r="AH24818" i="14"/>
  <c r="AF24818" i="14"/>
  <c r="AE24818" i="14"/>
  <c r="Q24818" i="14"/>
  <c r="P24818" i="14"/>
  <c r="L24818" i="14"/>
  <c r="K24818" i="14"/>
  <c r="I24818" i="14"/>
  <c r="E24818" i="14"/>
  <c r="AH24817" i="14"/>
  <c r="AG24817" i="14"/>
  <c r="AF24817" i="14"/>
  <c r="AE24817" i="14"/>
  <c r="W24817" i="14"/>
  <c r="V24817" i="14"/>
  <c r="Q24817" i="14"/>
  <c r="P24817" i="14"/>
  <c r="O24817" i="14"/>
  <c r="L24817" i="14"/>
  <c r="K24817" i="14"/>
  <c r="I24817" i="14"/>
  <c r="E24817" i="14"/>
  <c r="AH24816" i="14"/>
  <c r="AG24816" i="14"/>
  <c r="AF24816" i="14"/>
  <c r="AE24816" i="14"/>
  <c r="W24816" i="14"/>
  <c r="V24816" i="14"/>
  <c r="Q24816" i="14"/>
  <c r="P24816" i="14"/>
  <c r="O24816" i="14"/>
  <c r="L24816" i="14"/>
  <c r="E24816" i="14"/>
  <c r="AH24815" i="14"/>
  <c r="V24815" i="14"/>
  <c r="Q24815" i="14"/>
  <c r="P24815" i="14"/>
  <c r="O24815" i="14"/>
  <c r="I24815" i="14"/>
  <c r="E24815" i="14"/>
  <c r="AL24814" i="14"/>
  <c r="AH24814" i="14"/>
  <c r="V24814" i="14"/>
  <c r="Q24814" i="14"/>
  <c r="O24814" i="14"/>
  <c r="E24814" i="14"/>
  <c r="AH24813" i="14"/>
  <c r="W24813" i="14"/>
  <c r="V24813" i="14"/>
  <c r="Q24813" i="14"/>
  <c r="P24813" i="14"/>
  <c r="O24813" i="14"/>
  <c r="E24813" i="14"/>
  <c r="AH24812" i="14"/>
  <c r="AG24812" i="14"/>
  <c r="AE24812" i="14"/>
  <c r="W24812" i="14"/>
  <c r="V24812" i="14"/>
  <c r="Q24812" i="14"/>
  <c r="P24812" i="14"/>
  <c r="O24812" i="14"/>
  <c r="L24812" i="14"/>
  <c r="K24812" i="14"/>
  <c r="I24812" i="14"/>
  <c r="E24812" i="14"/>
  <c r="AH24811" i="14"/>
  <c r="AF24811" i="14"/>
  <c r="AE24811" i="14"/>
  <c r="Q24811" i="14"/>
  <c r="P24811" i="14"/>
  <c r="O24811" i="14"/>
  <c r="L24811" i="14"/>
  <c r="K24811" i="14"/>
  <c r="I24811" i="14"/>
  <c r="E24811" i="14"/>
  <c r="AH24810" i="14"/>
  <c r="V24810" i="14"/>
  <c r="Q24810" i="14"/>
  <c r="P24810" i="14"/>
  <c r="O24810" i="14"/>
  <c r="E24810" i="14"/>
  <c r="AH24809" i="14"/>
  <c r="V24809" i="14"/>
  <c r="Q24809" i="14"/>
  <c r="P24809" i="14"/>
  <c r="O24809" i="14"/>
  <c r="E24809" i="14"/>
  <c r="AH24808" i="14"/>
  <c r="V24808" i="14"/>
  <c r="Q24808" i="14"/>
  <c r="P24808" i="14"/>
  <c r="O24808" i="14"/>
  <c r="E24808" i="14"/>
  <c r="AH24807" i="14"/>
  <c r="AG24807" i="14"/>
  <c r="AF24807" i="14"/>
  <c r="AE24807" i="14"/>
  <c r="V24807" i="14"/>
  <c r="Q24807" i="14"/>
  <c r="P24807" i="14"/>
  <c r="O24807" i="14"/>
  <c r="L24807" i="14"/>
  <c r="K24807" i="14"/>
  <c r="I24807" i="14"/>
  <c r="E24807" i="14"/>
  <c r="AL24806" i="14"/>
  <c r="AH24806" i="14"/>
  <c r="V24806" i="14"/>
  <c r="Q24806" i="14"/>
  <c r="O24806" i="14"/>
  <c r="E24806" i="14"/>
  <c r="AH24805" i="14"/>
  <c r="V24805" i="14"/>
  <c r="Q24805" i="14"/>
  <c r="P24805" i="14"/>
  <c r="O24805" i="14"/>
  <c r="E24805" i="14"/>
  <c r="AH24804" i="14"/>
  <c r="AG24804" i="14"/>
  <c r="AF24804" i="14"/>
  <c r="AE24804" i="14"/>
  <c r="W24804" i="14"/>
  <c r="V24804" i="14"/>
  <c r="Q24804" i="14"/>
  <c r="P24804" i="14"/>
  <c r="O24804" i="14"/>
  <c r="K24804" i="14"/>
  <c r="I24804" i="14"/>
  <c r="E24804" i="14"/>
  <c r="AH24803" i="14"/>
  <c r="V24803" i="14"/>
  <c r="Q24803" i="14"/>
  <c r="P24803" i="14"/>
  <c r="O24803" i="14"/>
  <c r="E24803" i="14"/>
  <c r="AH24802" i="14"/>
  <c r="V24802" i="14"/>
  <c r="Q24802" i="14"/>
  <c r="P24802" i="14"/>
  <c r="O24802" i="14"/>
  <c r="L24802" i="14"/>
  <c r="E24802" i="14"/>
  <c r="AH24801" i="14"/>
  <c r="AE24801" i="14"/>
  <c r="W24801" i="14"/>
  <c r="V24801" i="14"/>
  <c r="Q24801" i="14"/>
  <c r="P24801" i="14"/>
  <c r="O24801" i="14"/>
  <c r="L24801" i="14"/>
  <c r="E24801" i="14"/>
  <c r="AH24800" i="14"/>
  <c r="Q24800" i="14"/>
  <c r="P24800" i="14"/>
  <c r="O24800" i="14"/>
  <c r="L24800" i="14"/>
  <c r="E24800" i="14"/>
  <c r="AH24799" i="14"/>
  <c r="V24799" i="14"/>
  <c r="Q24799" i="14"/>
  <c r="P24799" i="14"/>
  <c r="O24799" i="14"/>
  <c r="I24799" i="14"/>
  <c r="E24799" i="14"/>
  <c r="AH24798" i="14"/>
  <c r="V24798" i="14"/>
  <c r="O24798" i="14"/>
  <c r="E24798" i="14"/>
  <c r="AH24797" i="14"/>
  <c r="V24797" i="14"/>
  <c r="Q24797" i="14"/>
  <c r="P24797" i="14"/>
  <c r="O24797" i="14"/>
  <c r="E24797" i="14"/>
  <c r="AH24796" i="14"/>
  <c r="V24796" i="14"/>
  <c r="O24796" i="14"/>
  <c r="E24796" i="14"/>
  <c r="AH24795" i="14"/>
  <c r="V24795" i="14"/>
  <c r="Q24795" i="14"/>
  <c r="P24795" i="14"/>
  <c r="O24795" i="14"/>
  <c r="I24795" i="14"/>
  <c r="E24795" i="14"/>
  <c r="AH24794" i="14"/>
  <c r="Q24794" i="14"/>
  <c r="E24794" i="14"/>
  <c r="AH24793" i="14"/>
  <c r="Q24793" i="14"/>
  <c r="O24793" i="14"/>
  <c r="E24793" i="14"/>
  <c r="AH24792" i="14"/>
  <c r="V24792" i="14"/>
  <c r="Q24792" i="14"/>
  <c r="P24792" i="14"/>
  <c r="O24792" i="14"/>
  <c r="E24792" i="14"/>
  <c r="AH24791" i="14"/>
  <c r="V24791" i="14"/>
  <c r="Q24791" i="14"/>
  <c r="P24791" i="14"/>
  <c r="O24791" i="14"/>
  <c r="E24791" i="14"/>
  <c r="AH24790" i="14"/>
  <c r="AE24790" i="14"/>
  <c r="Q24790" i="14"/>
  <c r="P24790" i="14"/>
  <c r="O24790" i="14"/>
  <c r="L24790" i="14"/>
  <c r="K24790" i="14"/>
  <c r="I24790" i="14"/>
  <c r="E24790" i="14"/>
  <c r="AH24789" i="14"/>
  <c r="V24789" i="14"/>
  <c r="Q24789" i="14"/>
  <c r="P24789" i="14"/>
  <c r="O24789" i="14"/>
  <c r="K24789" i="14"/>
  <c r="E24789" i="14"/>
  <c r="AH24788" i="14"/>
  <c r="V24788" i="14"/>
  <c r="Q24788" i="14"/>
  <c r="P24788" i="14"/>
  <c r="O24788" i="14"/>
  <c r="E24788" i="14"/>
  <c r="AH24787" i="14"/>
  <c r="V24787" i="14"/>
  <c r="Q24787" i="14"/>
  <c r="P24787" i="14"/>
  <c r="I24787" i="14"/>
  <c r="E24787" i="14"/>
  <c r="AH24786" i="14"/>
  <c r="V24786" i="14"/>
  <c r="Q24786" i="14"/>
  <c r="P24786" i="14"/>
  <c r="O24786" i="14"/>
  <c r="E24786" i="14"/>
  <c r="AH24785" i="14"/>
  <c r="V24785" i="14"/>
  <c r="Q24785" i="14"/>
  <c r="P24785" i="14"/>
  <c r="O24785" i="14"/>
  <c r="E24785" i="14"/>
  <c r="AH24784" i="14"/>
  <c r="AF24784" i="14"/>
  <c r="AE24784" i="14"/>
  <c r="V24784" i="14"/>
  <c r="Q24784" i="14"/>
  <c r="P24784" i="14"/>
  <c r="O24784" i="14"/>
  <c r="L24784" i="14"/>
  <c r="K24784" i="14"/>
  <c r="I24784" i="14"/>
  <c r="E24784" i="14"/>
  <c r="AH24783" i="14"/>
  <c r="AF24783" i="14"/>
  <c r="AE24783" i="14"/>
  <c r="Q24783" i="14"/>
  <c r="P24783" i="14"/>
  <c r="O24783" i="14"/>
  <c r="L24783" i="14"/>
  <c r="K24783" i="14"/>
  <c r="I24783" i="14"/>
  <c r="E24783" i="14"/>
  <c r="AH24782" i="14"/>
  <c r="AG24782" i="14"/>
  <c r="AF24782" i="14"/>
  <c r="AE24782" i="14"/>
  <c r="W24782" i="14"/>
  <c r="V24782" i="14"/>
  <c r="Q24782" i="14"/>
  <c r="P24782" i="14"/>
  <c r="O24782" i="14"/>
  <c r="H24782" i="14"/>
  <c r="E24782" i="14"/>
  <c r="AH24781" i="14"/>
  <c r="AG24781" i="14"/>
  <c r="AE24781" i="14"/>
  <c r="W24781" i="14"/>
  <c r="V24781" i="14"/>
  <c r="Q24781" i="14"/>
  <c r="P24781" i="14"/>
  <c r="O24781" i="14"/>
  <c r="L24781" i="14"/>
  <c r="K24781" i="14"/>
  <c r="I24781" i="14"/>
  <c r="E24781" i="14"/>
  <c r="AH24780" i="14"/>
  <c r="AE24780" i="14"/>
  <c r="V24780" i="14"/>
  <c r="Q24780" i="14"/>
  <c r="P24780" i="14"/>
  <c r="O24780" i="14"/>
  <c r="L24780" i="14"/>
  <c r="K24780" i="14"/>
  <c r="I24780" i="14"/>
  <c r="E24780" i="14"/>
  <c r="AH24779" i="14"/>
  <c r="AF24779" i="14"/>
  <c r="AE24779" i="14"/>
  <c r="Q24779" i="14"/>
  <c r="P24779" i="14"/>
  <c r="O24779" i="14"/>
  <c r="L24779" i="14"/>
  <c r="K24779" i="14"/>
  <c r="I24779" i="14"/>
  <c r="E24779" i="14"/>
  <c r="AH24778" i="14"/>
  <c r="Q24778" i="14"/>
  <c r="P24778" i="14"/>
  <c r="O24778" i="14"/>
  <c r="I24778" i="14"/>
  <c r="E24778" i="14"/>
  <c r="AH24777" i="14"/>
  <c r="V24777" i="14"/>
  <c r="Q24777" i="14"/>
  <c r="P24777" i="14"/>
  <c r="O24777" i="14"/>
  <c r="E24777" i="14"/>
  <c r="AH24776" i="14"/>
  <c r="AG24776" i="14"/>
  <c r="AF24776" i="14"/>
  <c r="AE24776" i="14"/>
  <c r="W24776" i="14"/>
  <c r="V24776" i="14"/>
  <c r="Q24776" i="14"/>
  <c r="P24776" i="14"/>
  <c r="O24776" i="14"/>
  <c r="K24776" i="14"/>
  <c r="I24776" i="14"/>
  <c r="E24776" i="14"/>
  <c r="AH24775" i="14"/>
  <c r="AE24775" i="14"/>
  <c r="Q24775" i="14"/>
  <c r="P24775" i="14"/>
  <c r="O24775" i="14"/>
  <c r="E24775" i="14"/>
  <c r="AH24774" i="14"/>
  <c r="Q24774" i="14"/>
  <c r="P24774" i="14"/>
  <c r="O24774" i="14"/>
  <c r="K24774" i="14"/>
  <c r="E24774" i="14"/>
  <c r="AH24773" i="14"/>
  <c r="AE24773" i="14"/>
  <c r="Q24773" i="14"/>
  <c r="P24773" i="14"/>
  <c r="O24773" i="14"/>
  <c r="E24773" i="14"/>
  <c r="AH24772" i="14"/>
  <c r="Q24772" i="14"/>
  <c r="P24772" i="14"/>
  <c r="O24772" i="14"/>
  <c r="E24772" i="14"/>
  <c r="AH24771" i="14"/>
  <c r="V24771" i="14"/>
  <c r="Q24771" i="14"/>
  <c r="P24771" i="14"/>
  <c r="O24771" i="14"/>
  <c r="E24771" i="14"/>
  <c r="AH24770" i="14"/>
  <c r="V24770" i="14"/>
  <c r="Q24770" i="14"/>
  <c r="P24770" i="14"/>
  <c r="O24770" i="14"/>
  <c r="K24770" i="14"/>
  <c r="I24770" i="14"/>
  <c r="E24770" i="14"/>
  <c r="AH24769" i="14"/>
  <c r="AG24769" i="14"/>
  <c r="AE24769" i="14"/>
  <c r="Q24769" i="14"/>
  <c r="P24769" i="14"/>
  <c r="O24769" i="14"/>
  <c r="L24769" i="14"/>
  <c r="I24769" i="14"/>
  <c r="E24769" i="14"/>
  <c r="AH24768" i="14"/>
  <c r="V24768" i="14"/>
  <c r="U24768" i="14"/>
  <c r="T24768" i="14"/>
  <c r="Q24768" i="14"/>
  <c r="M24768" i="14"/>
  <c r="E24768" i="14"/>
  <c r="AH24767" i="14"/>
  <c r="V24767" i="14"/>
  <c r="T24767" i="14"/>
  <c r="Q24767" i="14"/>
  <c r="E24767" i="14"/>
  <c r="AH24766" i="14"/>
  <c r="V24766" i="14"/>
  <c r="T24766" i="14"/>
  <c r="Q24766" i="14"/>
  <c r="E24766" i="14"/>
  <c r="AH24765" i="14"/>
  <c r="V24765" i="14"/>
  <c r="Q24765" i="14"/>
  <c r="E24765" i="14"/>
  <c r="AH24764" i="14"/>
  <c r="V24764" i="14"/>
  <c r="Q24764" i="14"/>
  <c r="E24764" i="14"/>
  <c r="AH24763" i="14"/>
  <c r="W24763" i="14"/>
  <c r="V24763" i="14"/>
  <c r="T24763" i="14"/>
  <c r="Q24763" i="14"/>
  <c r="P24763" i="14"/>
  <c r="M24763" i="14"/>
  <c r="E24763" i="14"/>
  <c r="AK24762" i="14"/>
  <c r="AH24762" i="14"/>
  <c r="V24762" i="14"/>
  <c r="T24762" i="14"/>
  <c r="Q24762" i="14"/>
  <c r="P24762" i="14"/>
  <c r="N24762" i="14"/>
  <c r="K24762" i="14"/>
  <c r="E24762" i="14"/>
  <c r="AH24761" i="14"/>
  <c r="T24761" i="14"/>
  <c r="Q24761" i="14"/>
  <c r="E24761" i="14"/>
  <c r="AK24760" i="14"/>
  <c r="AH24760" i="14"/>
  <c r="T24760" i="14"/>
  <c r="Q24760" i="14"/>
  <c r="N24760" i="14"/>
  <c r="E24760" i="14"/>
  <c r="AH24759" i="14"/>
  <c r="W24759" i="14"/>
  <c r="V24759" i="14"/>
  <c r="U24759" i="14"/>
  <c r="T24759" i="14"/>
  <c r="Q24759" i="14"/>
  <c r="P24759" i="14"/>
  <c r="M24759" i="14"/>
  <c r="E24759" i="14"/>
  <c r="AH24758" i="14"/>
  <c r="W24758" i="14"/>
  <c r="V24758" i="14"/>
  <c r="Q24758" i="14"/>
  <c r="M24758" i="14"/>
  <c r="E24758" i="14"/>
  <c r="AH24757" i="14"/>
  <c r="V24757" i="14"/>
  <c r="Q24757" i="14"/>
  <c r="P24757" i="14"/>
  <c r="M24757" i="14"/>
  <c r="E24757" i="14"/>
  <c r="AH24756" i="14"/>
  <c r="W24756" i="14"/>
  <c r="V24756" i="14"/>
  <c r="T24756" i="14"/>
  <c r="Q24756" i="14"/>
  <c r="P24756" i="14"/>
  <c r="O24756" i="14"/>
  <c r="M24756" i="14"/>
  <c r="E24756" i="14"/>
  <c r="AH24755" i="14"/>
  <c r="U24755" i="14"/>
  <c r="T24755" i="14"/>
  <c r="Q24755" i="14"/>
  <c r="E24755" i="14"/>
  <c r="AH24754" i="14"/>
  <c r="E24754" i="14"/>
  <c r="AH24753" i="14"/>
  <c r="T24753" i="14"/>
  <c r="Q24753" i="14"/>
  <c r="E24753" i="14"/>
  <c r="AH24752" i="14"/>
  <c r="AE24752" i="14"/>
  <c r="V24752" i="14"/>
  <c r="T24752" i="14"/>
  <c r="Q24752" i="14"/>
  <c r="E24752" i="14"/>
  <c r="AH24751" i="14"/>
  <c r="Q24751" i="14"/>
  <c r="E24751" i="14"/>
  <c r="AH24750" i="14"/>
  <c r="E24750" i="14"/>
  <c r="AH24749" i="14"/>
  <c r="V24749" i="14"/>
  <c r="T24749" i="14"/>
  <c r="Q24749" i="14"/>
  <c r="P24749" i="14"/>
  <c r="O24749" i="14"/>
  <c r="E24749" i="14"/>
  <c r="AH24748" i="14"/>
  <c r="E24748" i="14"/>
  <c r="AH24747" i="14"/>
  <c r="V24747" i="14"/>
  <c r="T24747" i="14"/>
  <c r="Q24747" i="14"/>
  <c r="E24747" i="14"/>
  <c r="AH24746" i="14"/>
  <c r="T24746" i="14"/>
  <c r="Q24746" i="14"/>
  <c r="P24746" i="14"/>
  <c r="O24746" i="14"/>
  <c r="E24746" i="14"/>
  <c r="AH24745" i="14"/>
  <c r="V24745" i="14"/>
  <c r="U24745" i="14"/>
  <c r="T24745" i="14"/>
  <c r="Q24745" i="14"/>
  <c r="P24745" i="14"/>
  <c r="O24745" i="14"/>
  <c r="E24745" i="14"/>
  <c r="AH24744" i="14"/>
  <c r="U24744" i="14"/>
  <c r="T24744" i="14"/>
  <c r="Q24744" i="14"/>
  <c r="E24744" i="14"/>
  <c r="AH24743" i="14"/>
  <c r="W24743" i="14"/>
  <c r="V24743" i="14"/>
  <c r="T24743" i="14"/>
  <c r="Q24743" i="14"/>
  <c r="M24743" i="14"/>
  <c r="E24743" i="14"/>
  <c r="AH24742" i="14"/>
  <c r="W24742" i="14"/>
  <c r="V24742" i="14"/>
  <c r="T24742" i="14"/>
  <c r="Q24742" i="14"/>
  <c r="E24742" i="14"/>
  <c r="AH24741" i="14"/>
  <c r="U24741" i="14"/>
  <c r="T24741" i="14"/>
  <c r="Q24741" i="14"/>
  <c r="E24741" i="14"/>
  <c r="AH24740" i="14"/>
  <c r="V24740" i="14"/>
  <c r="E24740" i="14"/>
  <c r="AH24739" i="14"/>
  <c r="T24739" i="14"/>
  <c r="E24739" i="14"/>
  <c r="AH24738" i="14"/>
  <c r="V24738" i="14"/>
  <c r="T24738" i="14"/>
  <c r="Q24738" i="14"/>
  <c r="P24738" i="14"/>
  <c r="E24738" i="14"/>
  <c r="AH24737" i="14"/>
  <c r="T24737" i="14"/>
  <c r="Q24737" i="14"/>
  <c r="E24737" i="14"/>
  <c r="AH24736" i="14"/>
  <c r="V24736" i="14"/>
  <c r="T24736" i="14"/>
  <c r="Q24736" i="14"/>
  <c r="O24736" i="14"/>
  <c r="E24736" i="14"/>
  <c r="AH24735" i="14"/>
  <c r="W24735" i="14"/>
  <c r="V24735" i="14"/>
  <c r="U24735" i="14"/>
  <c r="T24735" i="14"/>
  <c r="Q24735" i="14"/>
  <c r="E24735" i="14"/>
  <c r="AH24734" i="14"/>
  <c r="Q24734" i="14"/>
  <c r="E24734" i="14"/>
  <c r="AH24733" i="14"/>
  <c r="V24733" i="14"/>
  <c r="U24733" i="14"/>
  <c r="T24733" i="14"/>
  <c r="Q24733" i="14"/>
  <c r="E24733" i="14"/>
  <c r="AH24732" i="14"/>
  <c r="V24732" i="14"/>
  <c r="U24732" i="14"/>
  <c r="Q24732" i="14"/>
  <c r="E24732" i="14"/>
  <c r="AH24731" i="14"/>
  <c r="V24731" i="14"/>
  <c r="T24731" i="14"/>
  <c r="Q24731" i="14"/>
  <c r="E24731" i="14"/>
  <c r="AH24730" i="14"/>
  <c r="V24730" i="14"/>
  <c r="Q24730" i="14"/>
  <c r="E24730" i="14"/>
  <c r="AH24729" i="14"/>
  <c r="Q24729" i="14"/>
  <c r="E24729" i="14"/>
  <c r="AH24728" i="14"/>
  <c r="V24728" i="14"/>
  <c r="Q24728" i="14"/>
  <c r="E24728" i="14"/>
  <c r="AH24727" i="14"/>
  <c r="W24727" i="14"/>
  <c r="V24727" i="14"/>
  <c r="Q24727" i="14"/>
  <c r="E24727" i="14"/>
  <c r="AH24726" i="14"/>
  <c r="V24726" i="14"/>
  <c r="T24726" i="14"/>
  <c r="Q24726" i="14"/>
  <c r="O24726" i="14"/>
  <c r="E24726" i="14"/>
  <c r="AH24725" i="14"/>
  <c r="V24725" i="14"/>
  <c r="T24725" i="14"/>
  <c r="Q24725" i="14"/>
  <c r="P24725" i="14"/>
  <c r="E24725" i="14"/>
  <c r="AH24724" i="14"/>
  <c r="V24724" i="14"/>
  <c r="T24724" i="14"/>
  <c r="Q24724" i="14"/>
  <c r="E24724" i="14"/>
  <c r="AH24723" i="14"/>
  <c r="V24723" i="14"/>
  <c r="T24723" i="14"/>
  <c r="Q24723" i="14"/>
  <c r="E24723" i="14"/>
  <c r="AH24722" i="14"/>
  <c r="T24722" i="14"/>
  <c r="Q24722" i="14"/>
  <c r="E24722" i="14"/>
  <c r="AH24721" i="14"/>
  <c r="U24721" i="14"/>
  <c r="T24721" i="14"/>
  <c r="Q24721" i="14"/>
  <c r="E24721" i="14"/>
  <c r="AH24720" i="14"/>
  <c r="U24720" i="14"/>
  <c r="T24720" i="14"/>
  <c r="Q24720" i="14"/>
  <c r="E24720" i="14"/>
  <c r="AH24719" i="14"/>
  <c r="V24719" i="14"/>
  <c r="T24719" i="14"/>
  <c r="Q24719" i="14"/>
  <c r="E24719" i="14"/>
  <c r="AH24718" i="14"/>
  <c r="U24718" i="14"/>
  <c r="T24718" i="14"/>
  <c r="Q24718" i="14"/>
  <c r="E24718" i="14"/>
  <c r="AH24717" i="14"/>
  <c r="T24717" i="14"/>
  <c r="Q24717" i="14"/>
  <c r="O24717" i="14"/>
  <c r="E24717" i="14"/>
  <c r="AH24716" i="14"/>
  <c r="V24716" i="14"/>
  <c r="U24716" i="14"/>
  <c r="T24716" i="14"/>
  <c r="Q24716" i="14"/>
  <c r="E24716" i="14"/>
  <c r="AH24715" i="14"/>
  <c r="V24715" i="14"/>
  <c r="T24715" i="14"/>
  <c r="Q24715" i="14"/>
  <c r="P24715" i="14"/>
  <c r="E24715" i="14"/>
  <c r="AH24714" i="14"/>
  <c r="V24714" i="14"/>
  <c r="Q24714" i="14"/>
  <c r="E24714" i="14"/>
  <c r="AH24713" i="14"/>
  <c r="V24713" i="14"/>
  <c r="T24713" i="14"/>
  <c r="Q24713" i="14"/>
  <c r="E24713" i="14"/>
  <c r="AH24712" i="14"/>
  <c r="T24712" i="14"/>
  <c r="Q24712" i="14"/>
  <c r="E24712" i="14"/>
  <c r="AH24711" i="14"/>
  <c r="T24711" i="14"/>
  <c r="Q24711" i="14"/>
  <c r="E24711" i="14"/>
  <c r="AH24710" i="14"/>
  <c r="T24710" i="14"/>
  <c r="E24710" i="14"/>
  <c r="AH24709" i="14"/>
  <c r="T24709" i="14"/>
  <c r="E24709" i="14"/>
  <c r="AH24708" i="14"/>
  <c r="V24708" i="14"/>
  <c r="T24708" i="14"/>
  <c r="Q24708" i="14"/>
  <c r="E24708" i="14"/>
  <c r="AH24707" i="14"/>
  <c r="T24707" i="14"/>
  <c r="Q24707" i="14"/>
  <c r="E24707" i="14"/>
  <c r="AH24706" i="14"/>
  <c r="V24706" i="14"/>
  <c r="T24706" i="14"/>
  <c r="Q24706" i="14"/>
  <c r="P24706" i="14"/>
  <c r="O24706" i="14"/>
  <c r="E24706" i="14"/>
  <c r="AH24705" i="14"/>
  <c r="T24705" i="14"/>
  <c r="Q24705" i="14"/>
  <c r="E24705" i="14"/>
  <c r="AH24704" i="14"/>
  <c r="V24704" i="14"/>
  <c r="T24704" i="14"/>
  <c r="Q24704" i="14"/>
  <c r="E24704" i="14"/>
  <c r="AH24703" i="14"/>
  <c r="U24703" i="14"/>
  <c r="T24703" i="14"/>
  <c r="Q24703" i="14"/>
  <c r="E24703" i="14"/>
  <c r="AH24702" i="14"/>
  <c r="V24702" i="14"/>
  <c r="T24702" i="14"/>
  <c r="Q24702" i="14"/>
  <c r="E24702" i="14"/>
  <c r="AH24701" i="14"/>
  <c r="T24701" i="14"/>
  <c r="Q24701" i="14"/>
  <c r="E24701" i="14"/>
  <c r="AH24700" i="14"/>
  <c r="T24700" i="14"/>
  <c r="Q24700" i="14"/>
  <c r="P24700" i="14"/>
  <c r="E24700" i="14"/>
  <c r="AH24699" i="14"/>
  <c r="U24699" i="14"/>
  <c r="T24699" i="14"/>
  <c r="Q24699" i="14"/>
  <c r="M24699" i="14"/>
  <c r="E24699" i="14"/>
  <c r="AL24698" i="14"/>
  <c r="AH24698" i="14"/>
  <c r="T24698" i="14"/>
  <c r="Q24698" i="14"/>
  <c r="P24698" i="14"/>
  <c r="O24698" i="14"/>
  <c r="K24698" i="14"/>
  <c r="E24698" i="14"/>
  <c r="AH24697" i="14"/>
  <c r="W24697" i="14"/>
  <c r="V24697" i="14"/>
  <c r="U24697" i="14"/>
  <c r="T24697" i="14"/>
  <c r="Q24697" i="14"/>
  <c r="L24697" i="14"/>
  <c r="E24697" i="14"/>
  <c r="AH24696" i="14"/>
  <c r="W24696" i="14"/>
  <c r="V24696" i="14"/>
  <c r="U24696" i="14"/>
  <c r="T24696" i="14"/>
  <c r="Q24696" i="14"/>
  <c r="L24696" i="14"/>
  <c r="E24696" i="14"/>
  <c r="AH24695" i="14"/>
  <c r="W24695" i="14"/>
  <c r="V24695" i="14"/>
  <c r="U24695" i="14"/>
  <c r="T24695" i="14"/>
  <c r="Q24695" i="14"/>
  <c r="L24695" i="14"/>
  <c r="E24695" i="14"/>
  <c r="AH24694" i="14"/>
  <c r="T24694" i="14"/>
  <c r="E24694" i="14"/>
  <c r="AH24693" i="14"/>
  <c r="V24693" i="14"/>
  <c r="T24693" i="14"/>
  <c r="Q24693" i="14"/>
  <c r="E24693" i="14"/>
  <c r="AH24692" i="14"/>
  <c r="U24692" i="14"/>
  <c r="T24692" i="14"/>
  <c r="Q24692" i="14"/>
  <c r="E24692" i="14"/>
  <c r="AH24691" i="14"/>
  <c r="V24691" i="14"/>
  <c r="T24691" i="14"/>
  <c r="Q24691" i="14"/>
  <c r="P24691" i="14"/>
  <c r="E24691" i="14"/>
  <c r="AH24690" i="14"/>
  <c r="U24690" i="14"/>
  <c r="T24690" i="14"/>
  <c r="Q24690" i="14"/>
  <c r="E24690" i="14"/>
  <c r="AH24689" i="14"/>
  <c r="U24689" i="14"/>
  <c r="T24689" i="14"/>
  <c r="Q24689" i="14"/>
  <c r="E24689" i="14"/>
  <c r="AH24688" i="14"/>
  <c r="U24688" i="14"/>
  <c r="T24688" i="14"/>
  <c r="Q24688" i="14"/>
  <c r="E24688" i="14"/>
  <c r="AH24687" i="14"/>
  <c r="U24687" i="14"/>
  <c r="T24687" i="14"/>
  <c r="Q24687" i="14"/>
  <c r="E24687" i="14"/>
  <c r="AH24686" i="14"/>
  <c r="V24686" i="14"/>
  <c r="T24686" i="14"/>
  <c r="Q24686" i="14"/>
  <c r="E24686" i="14"/>
  <c r="AH24685" i="14"/>
  <c r="E24685" i="14"/>
  <c r="AH24684" i="14"/>
  <c r="W24684" i="14"/>
  <c r="V24684" i="14"/>
  <c r="U24684" i="14"/>
  <c r="T24684" i="14"/>
  <c r="Q24684" i="14"/>
  <c r="M24684" i="14"/>
  <c r="E24684" i="14"/>
  <c r="AH24683" i="14"/>
  <c r="T24683" i="14"/>
  <c r="Q24683" i="14"/>
  <c r="E24683" i="14"/>
  <c r="AH24682" i="14"/>
  <c r="T24682" i="14"/>
  <c r="Q24682" i="14"/>
  <c r="E24682" i="14"/>
  <c r="AH24681" i="14"/>
  <c r="T24681" i="14"/>
  <c r="Q24681" i="14"/>
  <c r="P24681" i="14"/>
  <c r="E24681" i="14"/>
  <c r="AH24680" i="14"/>
  <c r="V24680" i="14"/>
  <c r="Q24680" i="14"/>
  <c r="P24680" i="14"/>
  <c r="O24680" i="14"/>
  <c r="E24680" i="14"/>
  <c r="AH24679" i="14"/>
  <c r="V24679" i="14"/>
  <c r="T24679" i="14"/>
  <c r="Q24679" i="14"/>
  <c r="O24679" i="14"/>
  <c r="E24679" i="14"/>
  <c r="AH24678" i="14"/>
  <c r="T24678" i="14"/>
  <c r="E24678" i="14"/>
  <c r="AH24677" i="14"/>
  <c r="V24677" i="14"/>
  <c r="T24677" i="14"/>
  <c r="Q24677" i="14"/>
  <c r="P24677" i="14"/>
  <c r="O24677" i="14"/>
  <c r="E24677" i="14"/>
  <c r="AH24676" i="14"/>
  <c r="T24676" i="14"/>
  <c r="E24676" i="14"/>
  <c r="AH24675" i="14"/>
  <c r="T24675" i="14"/>
  <c r="E24675" i="14"/>
  <c r="AH24674" i="14"/>
  <c r="T24674" i="14"/>
  <c r="E24674" i="14"/>
  <c r="AH24673" i="14"/>
  <c r="V24673" i="14"/>
  <c r="T24673" i="14"/>
  <c r="Q24673" i="14"/>
  <c r="P24673" i="14"/>
  <c r="E24673" i="14"/>
  <c r="AH24672" i="14"/>
  <c r="V24672" i="14"/>
  <c r="T24672" i="14"/>
  <c r="Q24672" i="14"/>
  <c r="P24672" i="14"/>
  <c r="E24672" i="14"/>
  <c r="AH24671" i="14"/>
  <c r="W24671" i="14"/>
  <c r="V24671" i="14"/>
  <c r="U24671" i="14"/>
  <c r="T24671" i="14"/>
  <c r="Q24671" i="14"/>
  <c r="P24671" i="14"/>
  <c r="E24671" i="14"/>
  <c r="AH24670" i="14"/>
  <c r="T24670" i="14"/>
  <c r="Q24670" i="14"/>
  <c r="E24670" i="14"/>
  <c r="AH24669" i="14"/>
  <c r="E24669" i="14"/>
  <c r="AH24668" i="14"/>
  <c r="T24668" i="14"/>
  <c r="Q24668" i="14"/>
  <c r="P24668" i="14"/>
  <c r="E24668" i="14"/>
  <c r="AH24667" i="14"/>
  <c r="V24667" i="14"/>
  <c r="U24667" i="14"/>
  <c r="T24667" i="14"/>
  <c r="Q24667" i="14"/>
  <c r="P24667" i="14"/>
  <c r="E24667" i="14"/>
  <c r="AH24666" i="14"/>
  <c r="V24666" i="14"/>
  <c r="Q24666" i="14"/>
  <c r="P24666" i="14"/>
  <c r="O24666" i="14"/>
  <c r="E24666" i="14"/>
  <c r="AH24665" i="14"/>
  <c r="W24665" i="14"/>
  <c r="V24665" i="14"/>
  <c r="U24665" i="14"/>
  <c r="T24665" i="14"/>
  <c r="Q24665" i="14"/>
  <c r="E24665" i="14"/>
  <c r="AH24664" i="14"/>
  <c r="V24664" i="14"/>
  <c r="T24664" i="14"/>
  <c r="Q24664" i="14"/>
  <c r="E24664" i="14"/>
  <c r="AH24663" i="14"/>
  <c r="W24663" i="14"/>
  <c r="V24663" i="14"/>
  <c r="U24663" i="14"/>
  <c r="T24663" i="14"/>
  <c r="Q24663" i="14"/>
  <c r="E24663" i="14"/>
  <c r="AH24662" i="14"/>
  <c r="W24662" i="14"/>
  <c r="V24662" i="14"/>
  <c r="T24662" i="14"/>
  <c r="Q24662" i="14"/>
  <c r="E24662" i="14"/>
  <c r="AH24661" i="14"/>
  <c r="W24661" i="14"/>
  <c r="V24661" i="14"/>
  <c r="U24661" i="14"/>
  <c r="T24661" i="14"/>
  <c r="Q24661" i="14"/>
  <c r="E24661" i="14"/>
  <c r="AH24660" i="14"/>
  <c r="T24660" i="14"/>
  <c r="Q24660" i="14"/>
  <c r="P24660" i="14"/>
  <c r="O24660" i="14"/>
  <c r="E24660" i="14"/>
  <c r="AH24659" i="14"/>
  <c r="V24659" i="14"/>
  <c r="T24659" i="14"/>
  <c r="Q24659" i="14"/>
  <c r="P24659" i="14"/>
  <c r="E24659" i="14"/>
  <c r="AH24658" i="14"/>
  <c r="T24658" i="14"/>
  <c r="G24658" i="14"/>
  <c r="E24658" i="14"/>
  <c r="AH24657" i="14"/>
  <c r="T24657" i="14"/>
  <c r="Q24657" i="14"/>
  <c r="E24657" i="14"/>
  <c r="AH24656" i="14"/>
  <c r="Q24656" i="14"/>
  <c r="E24656" i="14"/>
  <c r="AH24655" i="14"/>
  <c r="V24655" i="14"/>
  <c r="U24655" i="14"/>
  <c r="T24655" i="14"/>
  <c r="Q24655" i="14"/>
  <c r="E24655" i="14"/>
  <c r="AH24654" i="14"/>
  <c r="E24654" i="14"/>
  <c r="AH24653" i="14"/>
  <c r="V24653" i="14"/>
  <c r="T24653" i="14"/>
  <c r="Q24653" i="14"/>
  <c r="P24653" i="14"/>
  <c r="E24653" i="14"/>
  <c r="AH24652" i="14"/>
  <c r="T24652" i="14"/>
  <c r="Q24652" i="14"/>
  <c r="E24652" i="14"/>
  <c r="AH24651" i="14"/>
  <c r="W24651" i="14"/>
  <c r="V24651" i="14"/>
  <c r="T24651" i="14"/>
  <c r="Q24651" i="14"/>
  <c r="E24651" i="14"/>
  <c r="AH24650" i="14"/>
  <c r="V24650" i="14"/>
  <c r="U24650" i="14"/>
  <c r="T24650" i="14"/>
  <c r="Q24650" i="14"/>
  <c r="E24650" i="14"/>
  <c r="AH24649" i="14"/>
  <c r="Q24649" i="14"/>
  <c r="E24649" i="14"/>
  <c r="AH24648" i="14"/>
  <c r="V24648" i="14"/>
  <c r="T24648" i="14"/>
  <c r="Q24648" i="14"/>
  <c r="P24648" i="14"/>
  <c r="E24648" i="14"/>
  <c r="AH24647" i="14"/>
  <c r="V24647" i="14"/>
  <c r="Q24647" i="14"/>
  <c r="E24647" i="14"/>
  <c r="AH24646" i="14"/>
  <c r="T24646" i="14"/>
  <c r="Q24646" i="14"/>
  <c r="E24646" i="14"/>
  <c r="AH24645" i="14"/>
  <c r="U24645" i="14"/>
  <c r="T24645" i="14"/>
  <c r="Q24645" i="14"/>
  <c r="E24645" i="14"/>
  <c r="AH24644" i="14"/>
  <c r="V24644" i="14"/>
  <c r="T24644" i="14"/>
  <c r="Q24644" i="14"/>
  <c r="E24644" i="14"/>
  <c r="AH24643" i="14"/>
  <c r="T24643" i="14"/>
  <c r="Q24643" i="14"/>
  <c r="E24643" i="14"/>
  <c r="AH24642" i="14"/>
  <c r="V24642" i="14"/>
  <c r="T24642" i="14"/>
  <c r="Q24642" i="14"/>
  <c r="E24642" i="14"/>
  <c r="AH24641" i="14"/>
  <c r="V24641" i="14"/>
  <c r="Q24641" i="14"/>
  <c r="E24641" i="14"/>
  <c r="AH24640" i="14"/>
  <c r="V24640" i="14"/>
  <c r="T24640" i="14"/>
  <c r="Q24640" i="14"/>
  <c r="P24640" i="14"/>
  <c r="E24640" i="14"/>
  <c r="AH24639" i="14"/>
  <c r="V24639" i="14"/>
  <c r="U24639" i="14"/>
  <c r="T24639" i="14"/>
  <c r="Q24639" i="14"/>
  <c r="E24639" i="14"/>
  <c r="AH24638" i="14"/>
  <c r="T24638" i="14"/>
  <c r="Q24638" i="14"/>
  <c r="E24638" i="14"/>
  <c r="AH24637" i="14"/>
  <c r="T24637" i="14"/>
  <c r="Q24637" i="14"/>
  <c r="E24637" i="14"/>
  <c r="AH24636" i="14"/>
  <c r="V24636" i="14"/>
  <c r="T24636" i="14"/>
  <c r="Q24636" i="14"/>
  <c r="E24636" i="14"/>
  <c r="AH24635" i="14"/>
  <c r="V24635" i="14"/>
  <c r="T24635" i="14"/>
  <c r="Q24635" i="14"/>
  <c r="E24635" i="14"/>
  <c r="AH24634" i="14"/>
  <c r="Q24634" i="14"/>
  <c r="E24634" i="14"/>
  <c r="AH24633" i="14"/>
  <c r="V24633" i="14"/>
  <c r="T24633" i="14"/>
  <c r="Q24633" i="14"/>
  <c r="E24633" i="14"/>
  <c r="AH24632" i="14"/>
  <c r="V24632" i="14"/>
  <c r="T24632" i="14"/>
  <c r="Q24632" i="14"/>
  <c r="E24632" i="14"/>
  <c r="AH24631" i="14"/>
  <c r="U24631" i="14"/>
  <c r="T24631" i="14"/>
  <c r="Q24631" i="14"/>
  <c r="E24631" i="14"/>
  <c r="AH24630" i="14"/>
  <c r="Q24630" i="14"/>
  <c r="E24630" i="14"/>
  <c r="AH24629" i="14"/>
  <c r="W24629" i="14"/>
  <c r="V24629" i="14"/>
  <c r="U24629" i="14"/>
  <c r="T24629" i="14"/>
  <c r="Q24629" i="14"/>
  <c r="M24629" i="14"/>
  <c r="E24629" i="14"/>
  <c r="AH24628" i="14"/>
  <c r="V24628" i="14"/>
  <c r="T24628" i="14"/>
  <c r="Q24628" i="14"/>
  <c r="E24628" i="14"/>
  <c r="AH24627" i="14"/>
  <c r="V24627" i="14"/>
  <c r="Q24627" i="14"/>
  <c r="E24627" i="14"/>
  <c r="AH24626" i="14"/>
  <c r="T24626" i="14"/>
  <c r="Q24626" i="14"/>
  <c r="E24626" i="14"/>
  <c r="AH24625" i="14"/>
  <c r="U24625" i="14"/>
  <c r="T24625" i="14"/>
  <c r="Q24625" i="14"/>
  <c r="E24625" i="14"/>
  <c r="AH24624" i="14"/>
  <c r="V24624" i="14"/>
  <c r="T24624" i="14"/>
  <c r="Q24624" i="14"/>
  <c r="P24624" i="14"/>
  <c r="E24624" i="14"/>
  <c r="AH24623" i="14"/>
  <c r="T24623" i="14"/>
  <c r="Q24623" i="14"/>
  <c r="E24623" i="14"/>
  <c r="AH24622" i="14"/>
  <c r="T24622" i="14"/>
  <c r="Q24622" i="14"/>
  <c r="E24622" i="14"/>
  <c r="AH24621" i="14"/>
  <c r="V24621" i="14"/>
  <c r="U24621" i="14"/>
  <c r="T24621" i="14"/>
  <c r="Q24621" i="14"/>
  <c r="O24621" i="14"/>
  <c r="E24621" i="14"/>
  <c r="AH24620" i="14"/>
  <c r="E24620" i="14"/>
  <c r="AH24619" i="14"/>
  <c r="V24619" i="14"/>
  <c r="T24619" i="14"/>
  <c r="Q24619" i="14"/>
  <c r="E24619" i="14"/>
  <c r="AH24618" i="14"/>
  <c r="V24618" i="14"/>
  <c r="U24618" i="14"/>
  <c r="T24618" i="14"/>
  <c r="Q24618" i="14"/>
  <c r="E24618" i="14"/>
  <c r="AH24617" i="14"/>
  <c r="T24617" i="14"/>
  <c r="Q24617" i="14"/>
  <c r="E24617" i="14"/>
  <c r="AH24616" i="14"/>
  <c r="V24616" i="14"/>
  <c r="U24616" i="14"/>
  <c r="T24616" i="14"/>
  <c r="Q24616" i="14"/>
  <c r="E24616" i="14"/>
  <c r="AH24615" i="14"/>
  <c r="V24615" i="14"/>
  <c r="T24615" i="14"/>
  <c r="Q24615" i="14"/>
  <c r="E24615" i="14"/>
  <c r="AH24614" i="14"/>
  <c r="V24614" i="14"/>
  <c r="Q24614" i="14"/>
  <c r="E24614" i="14"/>
  <c r="AH24613" i="14"/>
  <c r="T24613" i="14"/>
  <c r="Q24613" i="14"/>
  <c r="E24613" i="14"/>
  <c r="AH24612" i="14"/>
  <c r="T24612" i="14"/>
  <c r="E24612" i="14"/>
  <c r="AH24611" i="14"/>
  <c r="E24611" i="14"/>
  <c r="AH24610" i="14"/>
  <c r="AE24610" i="14"/>
  <c r="T24610" i="14"/>
  <c r="Q24610" i="14"/>
  <c r="E24610" i="14"/>
  <c r="AH24609" i="14"/>
  <c r="V24609" i="14"/>
  <c r="T24609" i="14"/>
  <c r="Q24609" i="14"/>
  <c r="E24609" i="14"/>
  <c r="AH24608" i="14"/>
  <c r="T24608" i="14"/>
  <c r="Q24608" i="14"/>
  <c r="E24608" i="14"/>
  <c r="AH24607" i="14"/>
  <c r="W24607" i="14"/>
  <c r="V24607" i="14"/>
  <c r="U24607" i="14"/>
  <c r="T24607" i="14"/>
  <c r="Q24607" i="14"/>
  <c r="M24607" i="14"/>
  <c r="E24607" i="14"/>
  <c r="AH24606" i="14"/>
  <c r="T24606" i="14"/>
  <c r="Q24606" i="14"/>
  <c r="E24606" i="14"/>
  <c r="AH24605" i="14"/>
  <c r="Q24605" i="14"/>
  <c r="E24605" i="14"/>
  <c r="AH24604" i="14"/>
  <c r="T24604" i="14"/>
  <c r="Q24604" i="14"/>
  <c r="E24604" i="14"/>
  <c r="AH24603" i="14"/>
  <c r="W24603" i="14"/>
  <c r="V24603" i="14"/>
  <c r="T24603" i="14"/>
  <c r="Q24603" i="14"/>
  <c r="P24603" i="14"/>
  <c r="O24603" i="14"/>
  <c r="M24603" i="14"/>
  <c r="E24603" i="14"/>
  <c r="AH24602" i="14"/>
  <c r="V24602" i="14"/>
  <c r="T24602" i="14"/>
  <c r="Q24602" i="14"/>
  <c r="E24602" i="14"/>
  <c r="AH24601" i="14"/>
  <c r="V24601" i="14"/>
  <c r="U24601" i="14"/>
  <c r="T24601" i="14"/>
  <c r="Q24601" i="14"/>
  <c r="P24601" i="14"/>
  <c r="O24601" i="14"/>
  <c r="E24601" i="14"/>
  <c r="AH24600" i="14"/>
  <c r="V24600" i="14"/>
  <c r="T24600" i="14"/>
  <c r="Q24600" i="14"/>
  <c r="E24600" i="14"/>
  <c r="AH24599" i="14"/>
  <c r="W24599" i="14"/>
  <c r="V24599" i="14"/>
  <c r="U24599" i="14"/>
  <c r="T24599" i="14"/>
  <c r="Q24599" i="14"/>
  <c r="O24599" i="14"/>
  <c r="M24599" i="14"/>
  <c r="E24599" i="14"/>
  <c r="AH24598" i="14"/>
  <c r="Q24598" i="14"/>
  <c r="O24598" i="14"/>
  <c r="E24598" i="14"/>
  <c r="AH24597" i="14"/>
  <c r="T24597" i="14"/>
  <c r="Q24597" i="14"/>
  <c r="E24597" i="14"/>
  <c r="AH24596" i="14"/>
  <c r="Q24596" i="14"/>
  <c r="E24596" i="14"/>
  <c r="AH24595" i="14"/>
  <c r="T24595" i="14"/>
  <c r="Q24595" i="14"/>
  <c r="E24595" i="14"/>
  <c r="AH24594" i="14"/>
  <c r="U24594" i="14"/>
  <c r="T24594" i="14"/>
  <c r="Q24594" i="14"/>
  <c r="E24594" i="14"/>
  <c r="AH24593" i="14"/>
  <c r="U24593" i="14"/>
  <c r="T24593" i="14"/>
  <c r="Q24593" i="14"/>
  <c r="P24593" i="14"/>
  <c r="L24593" i="14"/>
  <c r="E24593" i="14"/>
  <c r="AH24592" i="14"/>
  <c r="T24592" i="14"/>
  <c r="E24592" i="14"/>
  <c r="AH24591" i="14"/>
  <c r="Q24591" i="14"/>
  <c r="P24591" i="14"/>
  <c r="E24591" i="14"/>
  <c r="AH24590" i="14"/>
  <c r="V24590" i="14"/>
  <c r="Q24590" i="14"/>
  <c r="P24590" i="14"/>
  <c r="E24590" i="14"/>
  <c r="AH24589" i="14"/>
  <c r="T24589" i="14"/>
  <c r="Q24589" i="14"/>
  <c r="E24589" i="14"/>
  <c r="AH24588" i="14"/>
  <c r="T24588" i="14"/>
  <c r="E24588" i="14"/>
  <c r="AH24587" i="14"/>
  <c r="V24587" i="14"/>
  <c r="T24587" i="14"/>
  <c r="Q24587" i="14"/>
  <c r="P24587" i="14"/>
  <c r="E24587" i="14"/>
  <c r="AH24586" i="14"/>
  <c r="V24586" i="14"/>
  <c r="Q24586" i="14"/>
  <c r="P24586" i="14"/>
  <c r="O24586" i="14"/>
  <c r="E24586" i="14"/>
  <c r="AH24585" i="14"/>
  <c r="U24585" i="14"/>
  <c r="T24585" i="14"/>
  <c r="Q24585" i="14"/>
  <c r="E24585" i="14"/>
  <c r="AH24584" i="14"/>
  <c r="T24584" i="14"/>
  <c r="Q24584" i="14"/>
  <c r="E24584" i="14"/>
  <c r="AH24583" i="14"/>
  <c r="V24583" i="14"/>
  <c r="T24583" i="14"/>
  <c r="Q24583" i="14"/>
  <c r="E24583" i="14"/>
  <c r="AH24582" i="14"/>
  <c r="T24582" i="14"/>
  <c r="Q24582" i="14"/>
  <c r="L24582" i="14"/>
  <c r="E24582" i="14"/>
  <c r="AH24581" i="14"/>
  <c r="V24581" i="14"/>
  <c r="T24581" i="14"/>
  <c r="Q24581" i="14"/>
  <c r="E24581" i="14"/>
  <c r="AH24580" i="14"/>
  <c r="U24580" i="14"/>
  <c r="T24580" i="14"/>
  <c r="Q24580" i="14"/>
  <c r="E24580" i="14"/>
  <c r="AH24579" i="14"/>
  <c r="V24579" i="14"/>
  <c r="Q24579" i="14"/>
  <c r="E24579" i="14"/>
  <c r="AH24578" i="14"/>
  <c r="V24578" i="14"/>
  <c r="Q24578" i="14"/>
  <c r="E24578" i="14"/>
  <c r="AH24577" i="14"/>
  <c r="V24577" i="14"/>
  <c r="T24577" i="14"/>
  <c r="Q24577" i="14"/>
  <c r="E24577" i="14"/>
  <c r="AH24576" i="14"/>
  <c r="T24576" i="14"/>
  <c r="E24576" i="14"/>
  <c r="AH24575" i="14"/>
  <c r="V24575" i="14"/>
  <c r="T24575" i="14"/>
  <c r="Q24575" i="14"/>
  <c r="E24575" i="14"/>
  <c r="AH24574" i="14"/>
  <c r="T24574" i="14"/>
  <c r="Q24574" i="14"/>
  <c r="E24574" i="14"/>
  <c r="AH24573" i="14"/>
  <c r="T24573" i="14"/>
  <c r="Q24573" i="14"/>
  <c r="E24573" i="14"/>
  <c r="AH24572" i="14"/>
  <c r="V24572" i="14"/>
  <c r="T24572" i="14"/>
  <c r="Q24572" i="14"/>
  <c r="E24572" i="14"/>
  <c r="AH24571" i="14"/>
  <c r="V24571" i="14"/>
  <c r="T24571" i="14"/>
  <c r="Q24571" i="14"/>
  <c r="E24571" i="14"/>
  <c r="AH24570" i="14"/>
  <c r="T24570" i="14"/>
  <c r="Q24570" i="14"/>
  <c r="L24570" i="14"/>
  <c r="E24570" i="14"/>
  <c r="AH24569" i="14"/>
  <c r="E24569" i="14"/>
  <c r="AH24568" i="14"/>
  <c r="T24568" i="14"/>
  <c r="Q24568" i="14"/>
  <c r="E24568" i="14"/>
  <c r="AH24567" i="14"/>
  <c r="V24567" i="14"/>
  <c r="U24567" i="14"/>
  <c r="T24567" i="14"/>
  <c r="Q24567" i="14"/>
  <c r="E24567" i="14"/>
  <c r="AH24566" i="14"/>
  <c r="W24566" i="14"/>
  <c r="V24566" i="14"/>
  <c r="Q24566" i="14"/>
  <c r="M24566" i="14"/>
  <c r="E24566" i="14"/>
  <c r="AH24565" i="14"/>
  <c r="Q24565" i="14"/>
  <c r="E24565" i="14"/>
  <c r="AH24564" i="14"/>
  <c r="T24564" i="14"/>
  <c r="Q24564" i="14"/>
  <c r="E24564" i="14"/>
  <c r="AH24563" i="14"/>
  <c r="U24563" i="14"/>
  <c r="T24563" i="14"/>
  <c r="Q24563" i="14"/>
  <c r="E24563" i="14"/>
  <c r="AH24562" i="14"/>
  <c r="V24562" i="14"/>
  <c r="Q24562" i="14"/>
  <c r="E24562" i="14"/>
  <c r="AH24561" i="14"/>
  <c r="T24561" i="14"/>
  <c r="Q24561" i="14"/>
  <c r="E24561" i="14"/>
  <c r="AH24560" i="14"/>
  <c r="V24560" i="14"/>
  <c r="T24560" i="14"/>
  <c r="Q24560" i="14"/>
  <c r="E24560" i="14"/>
  <c r="AH24559" i="14"/>
  <c r="V24559" i="14"/>
  <c r="T24559" i="14"/>
  <c r="Q24559" i="14"/>
  <c r="E24559" i="14"/>
  <c r="AH24558" i="14"/>
  <c r="AE24558" i="14"/>
  <c r="Q24558" i="14"/>
  <c r="P24558" i="14"/>
  <c r="O24558" i="14"/>
  <c r="L24558" i="14"/>
  <c r="K24558" i="14"/>
  <c r="I24558" i="14"/>
  <c r="E24558" i="14"/>
  <c r="AH24557" i="14"/>
  <c r="V24557" i="14"/>
  <c r="T24557" i="14"/>
  <c r="Q24557" i="14"/>
  <c r="E24557" i="14"/>
  <c r="AH24556" i="14"/>
  <c r="T24556" i="14"/>
  <c r="Q24556" i="14"/>
  <c r="E24556" i="14"/>
  <c r="AH24555" i="14"/>
  <c r="V24555" i="14"/>
  <c r="Q24555" i="14"/>
  <c r="P24555" i="14"/>
  <c r="E24555" i="14"/>
  <c r="AH24554" i="14"/>
  <c r="E24554" i="14"/>
  <c r="AH24553" i="14"/>
  <c r="V24553" i="14"/>
  <c r="Q24553" i="14"/>
  <c r="E24553" i="14"/>
  <c r="AH24552" i="14"/>
  <c r="U24552" i="14"/>
  <c r="T24552" i="14"/>
  <c r="Q24552" i="14"/>
  <c r="P24552" i="14"/>
  <c r="O24552" i="14"/>
  <c r="E24552" i="14"/>
  <c r="AH24551" i="14"/>
  <c r="T24551" i="14"/>
  <c r="Q24551" i="14"/>
  <c r="P24551" i="14"/>
  <c r="O24551" i="14"/>
  <c r="E24551" i="14"/>
  <c r="AH24550" i="14"/>
  <c r="V24550" i="14"/>
  <c r="T24550" i="14"/>
  <c r="Q24550" i="14"/>
  <c r="E24550" i="14"/>
  <c r="AH24549" i="14"/>
  <c r="T24549" i="14"/>
  <c r="E24549" i="14"/>
  <c r="AH24548" i="14"/>
  <c r="V24548" i="14"/>
  <c r="T24548" i="14"/>
  <c r="Q24548" i="14"/>
  <c r="E24548" i="14"/>
  <c r="AH24547" i="14"/>
  <c r="V24547" i="14"/>
  <c r="T24547" i="14"/>
  <c r="P24547" i="14"/>
  <c r="E24547" i="14"/>
  <c r="AH24546" i="14"/>
  <c r="V24546" i="14"/>
  <c r="U24546" i="14"/>
  <c r="T24546" i="14"/>
  <c r="Q24546" i="14"/>
  <c r="E24546" i="14"/>
  <c r="AH24545" i="14"/>
  <c r="T24545" i="14"/>
  <c r="Q24545" i="14"/>
  <c r="P24545" i="14"/>
  <c r="E24545" i="14"/>
  <c r="AH24544" i="14"/>
  <c r="T24544" i="14"/>
  <c r="Q24544" i="14"/>
  <c r="E24544" i="14"/>
  <c r="AH24543" i="14"/>
  <c r="E24543" i="14"/>
  <c r="AH24542" i="14"/>
  <c r="E24542" i="14"/>
  <c r="AH24541" i="14"/>
  <c r="E24541" i="14"/>
  <c r="AH24540" i="14"/>
  <c r="Q24540" i="14"/>
  <c r="E24540" i="14"/>
  <c r="AH24539" i="14"/>
  <c r="T24539" i="14"/>
  <c r="Q24539" i="14"/>
  <c r="E24539" i="14"/>
  <c r="AH24538" i="14"/>
  <c r="V24538" i="14"/>
  <c r="T24538" i="14"/>
  <c r="Q24538" i="14"/>
  <c r="E24538" i="14"/>
  <c r="AH24537" i="14"/>
  <c r="T24537" i="14"/>
  <c r="Q24537" i="14"/>
  <c r="E24537" i="14"/>
  <c r="AH24536" i="14"/>
  <c r="Q24536" i="14"/>
  <c r="E24536" i="14"/>
  <c r="AH24535" i="14"/>
  <c r="V24535" i="14"/>
  <c r="U24535" i="14"/>
  <c r="T24535" i="14"/>
  <c r="Q24535" i="14"/>
  <c r="O24535" i="14"/>
  <c r="M24535" i="14"/>
  <c r="E24535" i="14"/>
  <c r="AH24534" i="14"/>
  <c r="V24534" i="14"/>
  <c r="U24534" i="14"/>
  <c r="T24534" i="14"/>
  <c r="Q24534" i="14"/>
  <c r="O24534" i="14"/>
  <c r="E24534" i="14"/>
  <c r="AH24533" i="14"/>
  <c r="AE24533" i="14"/>
  <c r="W24533" i="14"/>
  <c r="V24533" i="14"/>
  <c r="T24533" i="14"/>
  <c r="Q24533" i="14"/>
  <c r="P24533" i="14"/>
  <c r="L24533" i="14"/>
  <c r="E24533" i="14"/>
  <c r="AH24532" i="14"/>
  <c r="V24532" i="14"/>
  <c r="T24532" i="14"/>
  <c r="Q24532" i="14"/>
  <c r="P24532" i="14"/>
  <c r="O24532" i="14"/>
  <c r="E24532" i="14"/>
  <c r="AH24531" i="14"/>
  <c r="E24531" i="14"/>
  <c r="AH24530" i="14"/>
  <c r="V24530" i="14"/>
  <c r="T24530" i="14"/>
  <c r="Q24530" i="14"/>
  <c r="E24530" i="14"/>
  <c r="AH24529" i="14"/>
  <c r="T24529" i="14"/>
  <c r="Q24529" i="14"/>
  <c r="E24529" i="14"/>
  <c r="AH24528" i="14"/>
  <c r="E24528" i="14"/>
  <c r="AH24527" i="14"/>
  <c r="Q24527" i="14"/>
  <c r="E24527" i="14"/>
  <c r="AH24526" i="14"/>
  <c r="E24526" i="14"/>
  <c r="AH24525" i="14"/>
  <c r="T24525" i="14"/>
  <c r="Q24525" i="14"/>
  <c r="E24525" i="14"/>
  <c r="AH24524" i="14"/>
  <c r="T24524" i="14"/>
  <c r="Q24524" i="14"/>
  <c r="E24524" i="14"/>
  <c r="AH24523" i="14"/>
  <c r="V24523" i="14"/>
  <c r="P24523" i="14"/>
  <c r="E24523" i="14"/>
  <c r="AH24522" i="14"/>
  <c r="T24522" i="14"/>
  <c r="Q24522" i="14"/>
  <c r="E24522" i="14"/>
  <c r="AH24521" i="14"/>
  <c r="W24521" i="14"/>
  <c r="V24521" i="14"/>
  <c r="Q24521" i="14"/>
  <c r="E24521" i="14"/>
  <c r="AH24520" i="14"/>
  <c r="T24520" i="14"/>
  <c r="Q24520" i="14"/>
  <c r="E24520" i="14"/>
  <c r="AH24519" i="14"/>
  <c r="Q24519" i="14"/>
  <c r="E24519" i="14"/>
  <c r="AH24518" i="14"/>
  <c r="W24518" i="14"/>
  <c r="V24518" i="14"/>
  <c r="U24518" i="14"/>
  <c r="T24518" i="14"/>
  <c r="Q24518" i="14"/>
  <c r="M24518" i="14"/>
  <c r="E24518" i="14"/>
  <c r="AH24517" i="14"/>
  <c r="E24517" i="14"/>
  <c r="AH24516" i="14"/>
  <c r="T24516" i="14"/>
  <c r="Q24516" i="14"/>
  <c r="E24516" i="14"/>
  <c r="AH24515" i="14"/>
  <c r="V24515" i="14"/>
  <c r="T24515" i="14"/>
  <c r="P24515" i="14"/>
  <c r="E24515" i="14"/>
  <c r="AH24514" i="14"/>
  <c r="U24514" i="14"/>
  <c r="T24514" i="14"/>
  <c r="Q24514" i="14"/>
  <c r="P24514" i="14"/>
  <c r="O24514" i="14"/>
  <c r="M24514" i="14"/>
  <c r="E24514" i="14"/>
  <c r="AH24513" i="14"/>
  <c r="Q24513" i="14"/>
  <c r="E24513" i="14"/>
  <c r="AH24512" i="14"/>
  <c r="W24512" i="14"/>
  <c r="V24512" i="14"/>
  <c r="Q24512" i="14"/>
  <c r="E24512" i="14"/>
  <c r="AH24511" i="14"/>
  <c r="V24511" i="14"/>
  <c r="E24511" i="14"/>
  <c r="AH24510" i="14"/>
  <c r="E24510" i="14"/>
  <c r="AH24509" i="14"/>
  <c r="E24509" i="14"/>
  <c r="AH24508" i="14"/>
  <c r="E24508" i="14"/>
  <c r="AH24507" i="14"/>
  <c r="E24507" i="14"/>
  <c r="AH24506" i="14"/>
  <c r="E24506" i="14"/>
  <c r="AH24505" i="14"/>
  <c r="E24505" i="14"/>
  <c r="AH24504" i="14"/>
  <c r="T24504" i="14"/>
  <c r="Q24504" i="14"/>
  <c r="E24504" i="14"/>
  <c r="AH24503" i="14"/>
  <c r="T24503" i="14"/>
  <c r="Q24503" i="14"/>
  <c r="E24503" i="14"/>
  <c r="AH24502" i="14"/>
  <c r="T24502" i="14"/>
  <c r="Q24502" i="14"/>
  <c r="E24502" i="14"/>
  <c r="AH24501" i="14"/>
  <c r="T24501" i="14"/>
  <c r="Q24501" i="14"/>
  <c r="E24501" i="14"/>
  <c r="AH24500" i="14"/>
  <c r="Q24500" i="14"/>
  <c r="E24500" i="14"/>
  <c r="AH24499" i="14"/>
  <c r="T24499" i="14"/>
  <c r="Q24499" i="14"/>
  <c r="E24499" i="14"/>
  <c r="AH24498" i="14"/>
  <c r="T24498" i="14"/>
  <c r="Q24498" i="14"/>
  <c r="E24498" i="14"/>
  <c r="AH24497" i="14"/>
  <c r="T24497" i="14"/>
  <c r="Q24497" i="14"/>
  <c r="E24497" i="14"/>
  <c r="AH24496" i="14"/>
  <c r="T24496" i="14"/>
  <c r="E24496" i="14"/>
  <c r="AH24495" i="14"/>
  <c r="T24495" i="14"/>
  <c r="E24495" i="14"/>
  <c r="AH24494" i="14"/>
  <c r="T24494" i="14"/>
  <c r="E24494" i="14"/>
  <c r="AH24493" i="14"/>
  <c r="V24493" i="14"/>
  <c r="T24493" i="14"/>
  <c r="Q24493" i="14"/>
  <c r="P24493" i="14"/>
  <c r="O24493" i="14"/>
  <c r="E24493" i="14"/>
  <c r="AH24492" i="14"/>
  <c r="M24492" i="14"/>
  <c r="E24492" i="14"/>
  <c r="AH24491" i="14"/>
  <c r="V24491" i="14"/>
  <c r="U24491" i="14"/>
  <c r="T24491" i="14"/>
  <c r="Q24491" i="14"/>
  <c r="P24491" i="14"/>
  <c r="M24491" i="14"/>
  <c r="E24491" i="14"/>
  <c r="AH24490" i="14"/>
  <c r="W24490" i="14"/>
  <c r="V24490" i="14"/>
  <c r="U24490" i="14"/>
  <c r="T24490" i="14"/>
  <c r="Q24490" i="14"/>
  <c r="P24490" i="14"/>
  <c r="O24490" i="14"/>
  <c r="M24490" i="14"/>
  <c r="E24490" i="14"/>
  <c r="AH24489" i="14"/>
  <c r="P24489" i="14"/>
  <c r="E24489" i="14"/>
  <c r="AH24488" i="14"/>
  <c r="V24488" i="14"/>
  <c r="T24488" i="14"/>
  <c r="Q24488" i="14"/>
  <c r="P24488" i="14"/>
  <c r="O24488" i="14"/>
  <c r="E24488" i="14"/>
  <c r="AH24487" i="14"/>
  <c r="V24487" i="14"/>
  <c r="U24487" i="14"/>
  <c r="T24487" i="14"/>
  <c r="Q24487" i="14"/>
  <c r="P24487" i="14"/>
  <c r="O24487" i="14"/>
  <c r="M24487" i="14"/>
  <c r="E24487" i="14"/>
  <c r="AH24486" i="14"/>
  <c r="V24486" i="14"/>
  <c r="T24486" i="14"/>
  <c r="Q24486" i="14"/>
  <c r="P24486" i="14"/>
  <c r="O24486" i="14"/>
  <c r="E24486" i="14"/>
  <c r="AH24485" i="14"/>
  <c r="T24485" i="14"/>
  <c r="E24485" i="14"/>
  <c r="AH24484" i="14"/>
  <c r="T24484" i="14"/>
  <c r="O24484" i="14"/>
  <c r="E24484" i="14"/>
  <c r="AH24483" i="14"/>
  <c r="V24483" i="14"/>
  <c r="T24483" i="14"/>
  <c r="Q24483" i="14"/>
  <c r="P24483" i="14"/>
  <c r="O24483" i="14"/>
  <c r="E24483" i="14"/>
  <c r="AH24482" i="14"/>
  <c r="W24482" i="14"/>
  <c r="V24482" i="14"/>
  <c r="Q24482" i="14"/>
  <c r="P24482" i="14"/>
  <c r="L24482" i="14"/>
  <c r="G24482" i="14"/>
  <c r="E24482" i="14"/>
  <c r="AH24481" i="14"/>
  <c r="G24481" i="14"/>
  <c r="E24481" i="14"/>
  <c r="AH24480" i="14"/>
  <c r="G24480" i="14"/>
  <c r="E24480" i="14"/>
  <c r="AH24479" i="14"/>
  <c r="G24479" i="14"/>
  <c r="E24479" i="14"/>
  <c r="AH24478" i="14"/>
  <c r="T24478" i="14"/>
  <c r="G24478" i="14"/>
  <c r="E24478" i="14"/>
  <c r="AH24477" i="14"/>
  <c r="W24477" i="14"/>
  <c r="V24477" i="14"/>
  <c r="Q24477" i="14"/>
  <c r="G24477" i="14"/>
  <c r="E24477" i="14"/>
  <c r="AH24476" i="14"/>
  <c r="V24476" i="14"/>
  <c r="U24476" i="14"/>
  <c r="T24476" i="14"/>
  <c r="Q24476" i="14"/>
  <c r="P24476" i="14"/>
  <c r="O24476" i="14"/>
  <c r="G24476" i="14"/>
  <c r="E24476" i="14"/>
  <c r="AH24475" i="14"/>
  <c r="T24475" i="14"/>
  <c r="E24475" i="14"/>
  <c r="AH24474" i="14"/>
  <c r="W24474" i="14"/>
  <c r="V24474" i="14"/>
  <c r="U24474" i="14"/>
  <c r="T24474" i="14"/>
  <c r="Q24474" i="14"/>
  <c r="P24474" i="14"/>
  <c r="O24474" i="14"/>
  <c r="M24474" i="14"/>
  <c r="G24474" i="14"/>
  <c r="E24474" i="14"/>
  <c r="AH24473" i="14"/>
  <c r="V24473" i="14"/>
  <c r="U24473" i="14"/>
  <c r="T24473" i="14"/>
  <c r="Q24473" i="14"/>
  <c r="P24473" i="14"/>
  <c r="O24473" i="14"/>
  <c r="G24473" i="14"/>
  <c r="E24473" i="14"/>
  <c r="AH24472" i="14"/>
  <c r="W24472" i="14"/>
  <c r="V24472" i="14"/>
  <c r="U24472" i="14"/>
  <c r="T24472" i="14"/>
  <c r="Q24472" i="14"/>
  <c r="P24472" i="14"/>
  <c r="M24472" i="14"/>
  <c r="G24472" i="14"/>
  <c r="E24472" i="14"/>
  <c r="AH24471" i="14"/>
  <c r="V24471" i="14"/>
  <c r="U24471" i="14"/>
  <c r="T24471" i="14"/>
  <c r="Q24471" i="14"/>
  <c r="P24471" i="14"/>
  <c r="O24471" i="14"/>
  <c r="G24471" i="14"/>
  <c r="E24471" i="14"/>
  <c r="AH24470" i="14"/>
  <c r="V24470" i="14"/>
  <c r="T24470" i="14"/>
  <c r="Q24470" i="14"/>
  <c r="P24470" i="14"/>
  <c r="G24470" i="14"/>
  <c r="E24470" i="14"/>
  <c r="AH24469" i="14"/>
  <c r="W24469" i="14"/>
  <c r="V24469" i="14"/>
  <c r="Q24469" i="14"/>
  <c r="G24469" i="14"/>
  <c r="E24469" i="14"/>
  <c r="AH24468" i="14"/>
  <c r="V24468" i="14"/>
  <c r="T24468" i="14"/>
  <c r="Q24468" i="14"/>
  <c r="P24468" i="14"/>
  <c r="G24468" i="14"/>
  <c r="E24468" i="14"/>
  <c r="AH24467" i="14"/>
  <c r="T24467" i="14"/>
  <c r="Q24467" i="14"/>
  <c r="E24467" i="14"/>
  <c r="AH24466" i="14"/>
  <c r="V24466" i="14"/>
  <c r="E24466" i="14"/>
  <c r="AH24465" i="14"/>
  <c r="T24465" i="14"/>
  <c r="E24465" i="14"/>
  <c r="AH24464" i="14"/>
  <c r="T24464" i="14"/>
  <c r="E24464" i="14"/>
  <c r="AH24463" i="14"/>
  <c r="T24463" i="14"/>
  <c r="E24463" i="14"/>
  <c r="AH24462" i="14"/>
  <c r="T24462" i="14"/>
  <c r="E24462" i="14"/>
  <c r="AH24461" i="14"/>
  <c r="T24461" i="14"/>
  <c r="E24461" i="14"/>
  <c r="AH24460" i="14"/>
  <c r="V24460" i="14"/>
  <c r="P24460" i="14"/>
  <c r="E24460" i="14"/>
  <c r="AH24459" i="14"/>
  <c r="V24459" i="14"/>
  <c r="T24459" i="14"/>
  <c r="P24459" i="14"/>
  <c r="E24459" i="14"/>
  <c r="AH24458" i="14"/>
  <c r="V24458" i="14"/>
  <c r="P24458" i="14"/>
  <c r="E24458" i="14"/>
  <c r="AH24457" i="14"/>
  <c r="V24457" i="14"/>
  <c r="T24457" i="14"/>
  <c r="P24457" i="14"/>
  <c r="E24457" i="14"/>
  <c r="AH24456" i="14"/>
  <c r="V24456" i="14"/>
  <c r="P24456" i="14"/>
  <c r="E24456" i="14"/>
  <c r="AH24455" i="14"/>
  <c r="V24455" i="14"/>
  <c r="P24455" i="14"/>
  <c r="O24455" i="14"/>
  <c r="E24455" i="14"/>
  <c r="AH24454" i="14"/>
  <c r="V24454" i="14"/>
  <c r="P24454" i="14"/>
  <c r="O24454" i="14"/>
  <c r="E24454" i="14"/>
  <c r="AH24453" i="14"/>
  <c r="T24453" i="14"/>
  <c r="E24453" i="14"/>
  <c r="AH24452" i="14"/>
  <c r="T24452" i="14"/>
  <c r="E24452" i="14"/>
  <c r="AH24451" i="14"/>
  <c r="V24451" i="14"/>
  <c r="P24451" i="14"/>
  <c r="E24451" i="14"/>
  <c r="AH24450" i="14"/>
  <c r="V24450" i="14"/>
  <c r="T24450" i="14"/>
  <c r="P24450" i="14"/>
  <c r="E24450" i="14"/>
  <c r="AH24449" i="14"/>
  <c r="V24449" i="14"/>
  <c r="T24449" i="14"/>
  <c r="P24449" i="14"/>
  <c r="E24449" i="14"/>
  <c r="AH24448" i="14"/>
  <c r="V24448" i="14"/>
  <c r="P24448" i="14"/>
  <c r="E24448" i="14"/>
  <c r="AH24447" i="14"/>
  <c r="V24447" i="14"/>
  <c r="T24447" i="14"/>
  <c r="P24447" i="14"/>
  <c r="E24447" i="14"/>
  <c r="AH24446" i="14"/>
  <c r="T24446" i="14"/>
  <c r="E24446" i="14"/>
  <c r="AH24445" i="14"/>
  <c r="E24445" i="14"/>
  <c r="AH24444" i="14"/>
  <c r="T24444" i="14"/>
  <c r="E24444" i="14"/>
  <c r="AH24443" i="14"/>
  <c r="V24443" i="14"/>
  <c r="T24443" i="14"/>
  <c r="Q24443" i="14"/>
  <c r="E24443" i="14"/>
  <c r="AH24442" i="14"/>
  <c r="V24442" i="14"/>
  <c r="T24442" i="14"/>
  <c r="Q24442" i="14"/>
  <c r="E24442" i="14"/>
  <c r="AH24441" i="14"/>
  <c r="V24441" i="14"/>
  <c r="T24441" i="14"/>
  <c r="Q24441" i="14"/>
  <c r="O24441" i="14"/>
  <c r="E24441" i="14"/>
  <c r="AH24440" i="14"/>
  <c r="V24440" i="14"/>
  <c r="T24440" i="14"/>
  <c r="Q24440" i="14"/>
  <c r="O24440" i="14"/>
  <c r="E24440" i="14"/>
  <c r="AH24439" i="14"/>
  <c r="E24439" i="14"/>
  <c r="AH24438" i="14"/>
  <c r="V24438" i="14"/>
  <c r="T24438" i="14"/>
  <c r="Q24438" i="14"/>
  <c r="E24438" i="14"/>
  <c r="AH24437" i="14"/>
  <c r="V24437" i="14"/>
  <c r="T24437" i="14"/>
  <c r="P24437" i="14"/>
  <c r="E24437" i="14"/>
  <c r="AH24436" i="14"/>
  <c r="V24436" i="14"/>
  <c r="T24436" i="14"/>
  <c r="Q24436" i="14"/>
  <c r="E24436" i="14"/>
  <c r="AH24435" i="14"/>
  <c r="E24435" i="14"/>
  <c r="AH24434" i="14"/>
  <c r="W24434" i="14"/>
  <c r="V24434" i="14"/>
  <c r="T24434" i="14"/>
  <c r="Q24434" i="14"/>
  <c r="E24434" i="14"/>
  <c r="AH24433" i="14"/>
  <c r="V24433" i="14"/>
  <c r="T24433" i="14"/>
  <c r="Q24433" i="14"/>
  <c r="O24433" i="14"/>
  <c r="E24433" i="14"/>
  <c r="AH24432" i="14"/>
  <c r="V24432" i="14"/>
  <c r="Q24432" i="14"/>
  <c r="M24432" i="14"/>
  <c r="E24432" i="14"/>
  <c r="AH24431" i="14"/>
  <c r="V24431" i="14"/>
  <c r="T24431" i="14"/>
  <c r="Q24431" i="14"/>
  <c r="E24431" i="14"/>
  <c r="AH24430" i="14"/>
  <c r="T24430" i="14"/>
  <c r="Q24430" i="14"/>
  <c r="E24430" i="14"/>
  <c r="AH24429" i="14"/>
  <c r="W24429" i="14"/>
  <c r="V24429" i="14"/>
  <c r="T24429" i="14"/>
  <c r="Q24429" i="14"/>
  <c r="E24429" i="14"/>
  <c r="AH24428" i="14"/>
  <c r="T24428" i="14"/>
  <c r="Q24428" i="14"/>
  <c r="E24428" i="14"/>
  <c r="AH24427" i="14"/>
  <c r="T24427" i="14"/>
  <c r="Q24427" i="14"/>
  <c r="E24427" i="14"/>
  <c r="AH24426" i="14"/>
  <c r="V24426" i="14"/>
  <c r="T24426" i="14"/>
  <c r="Q24426" i="14"/>
  <c r="O24426" i="14"/>
  <c r="E24426" i="14"/>
  <c r="AH24425" i="14"/>
  <c r="V24425" i="14"/>
  <c r="Q24425" i="14"/>
  <c r="M24425" i="14"/>
  <c r="E24425" i="14"/>
  <c r="AH24424" i="14"/>
  <c r="W24424" i="14"/>
  <c r="V24424" i="14"/>
  <c r="Q24424" i="14"/>
  <c r="M24424" i="14"/>
  <c r="E24424" i="14"/>
  <c r="AH24423" i="14"/>
  <c r="V24423" i="14"/>
  <c r="Q24423" i="14"/>
  <c r="E24423" i="14"/>
  <c r="AH24422" i="14"/>
  <c r="W24422" i="14"/>
  <c r="V24422" i="14"/>
  <c r="Q24422" i="14"/>
  <c r="E24422" i="14"/>
  <c r="AH24421" i="14"/>
  <c r="Q24421" i="14"/>
  <c r="O24421" i="14"/>
  <c r="E24421" i="14"/>
  <c r="AH24420" i="14"/>
  <c r="E24420" i="14"/>
  <c r="AH24419" i="14"/>
  <c r="W24419" i="14"/>
  <c r="V24419" i="14"/>
  <c r="Q24419" i="14"/>
  <c r="M24419" i="14"/>
  <c r="E24419" i="14"/>
  <c r="AH24418" i="14"/>
  <c r="T24418" i="14"/>
  <c r="E24418" i="14"/>
  <c r="AH24417" i="14"/>
  <c r="T24417" i="14"/>
  <c r="E24417" i="14"/>
  <c r="AH24416" i="14"/>
  <c r="V24416" i="14"/>
  <c r="T24416" i="14"/>
  <c r="Q24416" i="14"/>
  <c r="E24416" i="14"/>
  <c r="AH24415" i="14"/>
  <c r="U24415" i="14"/>
  <c r="T24415" i="14"/>
  <c r="Q24415" i="14"/>
  <c r="O24415" i="14"/>
  <c r="E24415" i="14"/>
  <c r="AH24414" i="14"/>
  <c r="T24414" i="14"/>
  <c r="Q24414" i="14"/>
  <c r="E24414" i="14"/>
  <c r="AH24413" i="14"/>
  <c r="V24413" i="14"/>
  <c r="T24413" i="14"/>
  <c r="P24413" i="14"/>
  <c r="E24413" i="14"/>
  <c r="AH24412" i="14"/>
  <c r="V24412" i="14"/>
  <c r="T24412" i="14"/>
  <c r="Q24412" i="14"/>
  <c r="P24412" i="14"/>
  <c r="E24412" i="14"/>
  <c r="AL24411" i="14"/>
  <c r="AH24411" i="14"/>
  <c r="T24411" i="14"/>
  <c r="Q24411" i="14"/>
  <c r="E24411" i="14"/>
  <c r="AH24410" i="14"/>
  <c r="T24410" i="14"/>
  <c r="Q24410" i="14"/>
  <c r="O24410" i="14"/>
  <c r="E24410" i="14"/>
  <c r="AH24409" i="14"/>
  <c r="T24409" i="14"/>
  <c r="Q24409" i="14"/>
  <c r="O24409" i="14"/>
  <c r="E24409" i="14"/>
  <c r="AH24408" i="14"/>
  <c r="V24408" i="14"/>
  <c r="U24408" i="14"/>
  <c r="T24408" i="14"/>
  <c r="Q24408" i="14"/>
  <c r="P24408" i="14"/>
  <c r="O24408" i="14"/>
  <c r="E24408" i="14"/>
  <c r="AH24407" i="14"/>
  <c r="W24407" i="14"/>
  <c r="V24407" i="14"/>
  <c r="U24407" i="14"/>
  <c r="T24407" i="14"/>
  <c r="Q24407" i="14"/>
  <c r="P24407" i="14"/>
  <c r="O24407" i="14"/>
  <c r="E24407" i="14"/>
  <c r="AH24406" i="14"/>
  <c r="V24406" i="14"/>
  <c r="T24406" i="14"/>
  <c r="Q24406" i="14"/>
  <c r="P24406" i="14"/>
  <c r="O24406" i="14"/>
  <c r="E24406" i="14"/>
  <c r="AH24405" i="14"/>
  <c r="V24405" i="14"/>
  <c r="U24405" i="14"/>
  <c r="T24405" i="14"/>
  <c r="Q24405" i="14"/>
  <c r="P24405" i="14"/>
  <c r="E24405" i="14"/>
  <c r="AH24404" i="14"/>
  <c r="U24404" i="14"/>
  <c r="T24404" i="14"/>
  <c r="Q24404" i="14"/>
  <c r="P24404" i="14"/>
  <c r="E24404" i="14"/>
  <c r="AH24403" i="14"/>
  <c r="V24403" i="14"/>
  <c r="Q24403" i="14"/>
  <c r="P24403" i="14"/>
  <c r="E24403" i="14"/>
  <c r="AH24402" i="14"/>
  <c r="Q24402" i="14"/>
  <c r="E24402" i="14"/>
  <c r="AH24401" i="14"/>
  <c r="V24401" i="14"/>
  <c r="T24401" i="14"/>
  <c r="Q24401" i="14"/>
  <c r="P24401" i="14"/>
  <c r="O24401" i="14"/>
  <c r="E24401" i="14"/>
  <c r="AH24400" i="14"/>
  <c r="AE24400" i="14"/>
  <c r="W24400" i="14"/>
  <c r="V24400" i="14"/>
  <c r="U24400" i="14"/>
  <c r="T24400" i="14"/>
  <c r="Q24400" i="14"/>
  <c r="P24400" i="14"/>
  <c r="O24400" i="14"/>
  <c r="M24400" i="14"/>
  <c r="E24400" i="14"/>
  <c r="AH24399" i="14"/>
  <c r="P24399" i="14"/>
  <c r="E24399" i="14"/>
  <c r="AH24398" i="14"/>
  <c r="W24398" i="14"/>
  <c r="V24398" i="14"/>
  <c r="U24398" i="14"/>
  <c r="T24398" i="14"/>
  <c r="Q24398" i="14"/>
  <c r="P24398" i="14"/>
  <c r="M24398" i="14"/>
  <c r="E24398" i="14"/>
  <c r="AH24397" i="14"/>
  <c r="AE24397" i="14"/>
  <c r="V24397" i="14"/>
  <c r="U24397" i="14"/>
  <c r="T24397" i="14"/>
  <c r="Q24397" i="14"/>
  <c r="P24397" i="14"/>
  <c r="O24397" i="14"/>
  <c r="E24397" i="14"/>
  <c r="AH24396" i="14"/>
  <c r="T24396" i="14"/>
  <c r="Q24396" i="14"/>
  <c r="E24396" i="14"/>
  <c r="AH24395" i="14"/>
  <c r="T24395" i="14"/>
  <c r="Q24395" i="14"/>
  <c r="E24395" i="14"/>
  <c r="AH24394" i="14"/>
  <c r="V24394" i="14"/>
  <c r="T24394" i="14"/>
  <c r="Q24394" i="14"/>
  <c r="E24394" i="14"/>
  <c r="AH24393" i="14"/>
  <c r="T24393" i="14"/>
  <c r="Q24393" i="14"/>
  <c r="E24393" i="14"/>
  <c r="AH24392" i="14"/>
  <c r="T24392" i="14"/>
  <c r="Q24392" i="14"/>
  <c r="E24392" i="14"/>
  <c r="AH24391" i="14"/>
  <c r="V24391" i="14"/>
  <c r="T24391" i="14"/>
  <c r="E24391" i="14"/>
  <c r="AH24390" i="14"/>
  <c r="V24390" i="14"/>
  <c r="T24390" i="14"/>
  <c r="P24390" i="14"/>
  <c r="E24390" i="14"/>
  <c r="AH24389" i="14"/>
  <c r="T24389" i="14"/>
  <c r="Q24389" i="14"/>
  <c r="O24389" i="14"/>
  <c r="E24389" i="14"/>
  <c r="AH24388" i="14"/>
  <c r="V24388" i="14"/>
  <c r="T24388" i="14"/>
  <c r="P24388" i="14"/>
  <c r="E24388" i="14"/>
  <c r="AH24387" i="14"/>
  <c r="V24387" i="14"/>
  <c r="T24387" i="14"/>
  <c r="P24387" i="14"/>
  <c r="E24387" i="14"/>
  <c r="AH24386" i="14"/>
  <c r="T24386" i="14"/>
  <c r="Q24386" i="14"/>
  <c r="E24386" i="14"/>
  <c r="AH24385" i="14"/>
  <c r="E24385" i="14"/>
  <c r="AH24384" i="14"/>
  <c r="T24384" i="14"/>
  <c r="E24384" i="14"/>
  <c r="AH24383" i="14"/>
  <c r="T24383" i="14"/>
  <c r="E24383" i="14"/>
  <c r="AH24382" i="14"/>
  <c r="E24382" i="14"/>
  <c r="AH24381" i="14"/>
  <c r="V24381" i="14"/>
  <c r="T24381" i="14"/>
  <c r="Q24381" i="14"/>
  <c r="P24381" i="14"/>
  <c r="M24381" i="14"/>
  <c r="E24381" i="14"/>
  <c r="AH24380" i="14"/>
  <c r="V24380" i="14"/>
  <c r="T24380" i="14"/>
  <c r="Q24380" i="14"/>
  <c r="P24380" i="14"/>
  <c r="E24380" i="14"/>
  <c r="AH24379" i="14"/>
  <c r="V24379" i="14"/>
  <c r="Q24379" i="14"/>
  <c r="P24379" i="14"/>
  <c r="E24379" i="14"/>
  <c r="AH24378" i="14"/>
  <c r="V24378" i="14"/>
  <c r="T24378" i="14"/>
  <c r="Q24378" i="14"/>
  <c r="P24378" i="14"/>
  <c r="E24378" i="14"/>
  <c r="AH24377" i="14"/>
  <c r="AG24377" i="14"/>
  <c r="AE24377" i="14"/>
  <c r="W24377" i="14"/>
  <c r="V24377" i="14"/>
  <c r="T24377" i="14"/>
  <c r="Q24377" i="14"/>
  <c r="P24377" i="14"/>
  <c r="L24377" i="14"/>
  <c r="E24377" i="14"/>
  <c r="AH24376" i="14"/>
  <c r="V24376" i="14"/>
  <c r="T24376" i="14"/>
  <c r="Q24376" i="14"/>
  <c r="P24376" i="14"/>
  <c r="E24376" i="14"/>
  <c r="AH24375" i="14"/>
  <c r="V24375" i="14"/>
  <c r="T24375" i="14"/>
  <c r="Q24375" i="14"/>
  <c r="P24375" i="14"/>
  <c r="E24375" i="14"/>
  <c r="AH24374" i="14"/>
  <c r="V24374" i="14"/>
  <c r="U24374" i="14"/>
  <c r="T24374" i="14"/>
  <c r="Q24374" i="14"/>
  <c r="E24374" i="14"/>
  <c r="AH24373" i="14"/>
  <c r="W24373" i="14"/>
  <c r="V24373" i="14"/>
  <c r="Q24373" i="14"/>
  <c r="M24373" i="14"/>
  <c r="E24373" i="14"/>
  <c r="AH24372" i="14"/>
  <c r="E24372" i="14"/>
  <c r="AH24371" i="14"/>
  <c r="V24371" i="14"/>
  <c r="U24371" i="14"/>
  <c r="T24371" i="14"/>
  <c r="Q24371" i="14"/>
  <c r="P24371" i="14"/>
  <c r="O24371" i="14"/>
  <c r="L24371" i="14"/>
  <c r="E24371" i="14"/>
  <c r="AH24370" i="14"/>
  <c r="W24370" i="14"/>
  <c r="V24370" i="14"/>
  <c r="U24370" i="14"/>
  <c r="T24370" i="14"/>
  <c r="Q24370" i="14"/>
  <c r="P24370" i="14"/>
  <c r="L24370" i="14"/>
  <c r="E24370" i="14"/>
  <c r="AH24369" i="14"/>
  <c r="W24369" i="14"/>
  <c r="V24369" i="14"/>
  <c r="Q24369" i="14"/>
  <c r="P24369" i="14"/>
  <c r="L24369" i="14"/>
  <c r="E24369" i="14"/>
  <c r="AH24368" i="14"/>
  <c r="V24368" i="14"/>
  <c r="Q24368" i="14"/>
  <c r="E24368" i="14"/>
  <c r="AH24367" i="14"/>
  <c r="V24367" i="14"/>
  <c r="T24367" i="14"/>
  <c r="Q24367" i="14"/>
  <c r="E24367" i="14"/>
  <c r="AH24366" i="14"/>
  <c r="V24366" i="14"/>
  <c r="U24366" i="14"/>
  <c r="T24366" i="14"/>
  <c r="Q24366" i="14"/>
  <c r="E24366" i="14"/>
  <c r="AH24365" i="14"/>
  <c r="E24365" i="14"/>
  <c r="AH24364" i="14"/>
  <c r="T24364" i="14"/>
  <c r="Q24364" i="14"/>
  <c r="E24364" i="14"/>
  <c r="AH24363" i="14"/>
  <c r="V24363" i="14"/>
  <c r="U24363" i="14"/>
  <c r="T24363" i="14"/>
  <c r="Q24363" i="14"/>
  <c r="E24363" i="14"/>
  <c r="AH24362" i="14"/>
  <c r="T24362" i="14"/>
  <c r="E24362" i="14"/>
  <c r="AH24361" i="14"/>
  <c r="E24361" i="14"/>
  <c r="AH24360" i="14"/>
  <c r="U24360" i="14"/>
  <c r="T24360" i="14"/>
  <c r="Q24360" i="14"/>
  <c r="E24360" i="14"/>
  <c r="AH24359" i="14"/>
  <c r="Q24359" i="14"/>
  <c r="E24359" i="14"/>
  <c r="AH24358" i="14"/>
  <c r="U24358" i="14"/>
  <c r="T24358" i="14"/>
  <c r="Q24358" i="14"/>
  <c r="E24358" i="14"/>
  <c r="AH24357" i="14"/>
  <c r="Q24357" i="14"/>
  <c r="E24357" i="14"/>
  <c r="AH24356" i="14"/>
  <c r="V24356" i="14"/>
  <c r="T24356" i="14"/>
  <c r="Q24356" i="14"/>
  <c r="E24356" i="14"/>
  <c r="AH24355" i="14"/>
  <c r="V24355" i="14"/>
  <c r="T24355" i="14"/>
  <c r="Q24355" i="14"/>
  <c r="M24355" i="14"/>
  <c r="E24355" i="14"/>
  <c r="AH24354" i="14"/>
  <c r="V24354" i="14"/>
  <c r="T24354" i="14"/>
  <c r="Q24354" i="14"/>
  <c r="E24354" i="14"/>
  <c r="AH24353" i="14"/>
  <c r="T24353" i="14"/>
  <c r="Q24353" i="14"/>
  <c r="E24353" i="14"/>
  <c r="AH24352" i="14"/>
  <c r="T24352" i="14"/>
  <c r="Q24352" i="14"/>
  <c r="P24352" i="14"/>
  <c r="E24352" i="14"/>
  <c r="AH24351" i="14"/>
  <c r="U24351" i="14"/>
  <c r="T24351" i="14"/>
  <c r="Q24351" i="14"/>
  <c r="P24351" i="14"/>
  <c r="E24351" i="14"/>
  <c r="AH24350" i="14"/>
  <c r="V24350" i="14"/>
  <c r="U24350" i="14"/>
  <c r="T24350" i="14"/>
  <c r="Q24350" i="14"/>
  <c r="P24350" i="14"/>
  <c r="E24350" i="14"/>
  <c r="AH24349" i="14"/>
  <c r="T24349" i="14"/>
  <c r="Q24349" i="14"/>
  <c r="P24349" i="14"/>
  <c r="E24349" i="14"/>
  <c r="AH24348" i="14"/>
  <c r="V24348" i="14"/>
  <c r="Q24348" i="14"/>
  <c r="P24348" i="14"/>
  <c r="K24348" i="14"/>
  <c r="E24348" i="14"/>
  <c r="AH24347" i="14"/>
  <c r="V24347" i="14"/>
  <c r="Q24347" i="14"/>
  <c r="P24347" i="14"/>
  <c r="L24347" i="14"/>
  <c r="K24347" i="14"/>
  <c r="E24347" i="14"/>
  <c r="E24346" i="14"/>
  <c r="AH24345" i="14"/>
  <c r="V24345" i="14"/>
  <c r="Q24345" i="14"/>
  <c r="P24345" i="14"/>
  <c r="K24345" i="14"/>
  <c r="E24345" i="14"/>
  <c r="AH24344" i="14"/>
  <c r="W24344" i="14"/>
  <c r="V24344" i="14"/>
  <c r="Q24344" i="14"/>
  <c r="P24344" i="14"/>
  <c r="L24344" i="14"/>
  <c r="K24344" i="14"/>
  <c r="E24344" i="14"/>
  <c r="AH24343" i="14"/>
  <c r="V24343" i="14"/>
  <c r="T24343" i="14"/>
  <c r="Q24343" i="14"/>
  <c r="E24343" i="14"/>
  <c r="AH24342" i="14"/>
  <c r="V24342" i="14"/>
  <c r="U24342" i="14"/>
  <c r="T24342" i="14"/>
  <c r="Q24342" i="14"/>
  <c r="E24342" i="14"/>
  <c r="AH24341" i="14"/>
  <c r="Q24341" i="14"/>
  <c r="E24341" i="14"/>
  <c r="AH24340" i="14"/>
  <c r="T24340" i="14"/>
  <c r="E24340" i="14"/>
  <c r="AH24339" i="14"/>
  <c r="T24339" i="14"/>
  <c r="E24339" i="14"/>
  <c r="AH24338" i="14"/>
  <c r="V24338" i="14"/>
  <c r="T24338" i="14"/>
  <c r="Q24338" i="14"/>
  <c r="P24338" i="14"/>
  <c r="E24338" i="14"/>
  <c r="AH24337" i="14"/>
  <c r="T24337" i="14"/>
  <c r="E24337" i="14"/>
  <c r="AH24336" i="14"/>
  <c r="V24336" i="14"/>
  <c r="T24336" i="14"/>
  <c r="Q24336" i="14"/>
  <c r="E24336" i="14"/>
  <c r="AH24335" i="14"/>
  <c r="V24335" i="14"/>
  <c r="T24335" i="14"/>
  <c r="Q24335" i="14"/>
  <c r="P24335" i="14"/>
  <c r="M24335" i="14"/>
  <c r="E24335" i="14"/>
  <c r="AH24334" i="14"/>
  <c r="U24334" i="14"/>
  <c r="T24334" i="14"/>
  <c r="Q24334" i="14"/>
  <c r="P24334" i="14"/>
  <c r="M24334" i="14"/>
  <c r="E24334" i="14"/>
  <c r="AK24333" i="14"/>
  <c r="AH24333" i="14"/>
  <c r="T24333" i="14"/>
  <c r="N24333" i="14"/>
  <c r="E24333" i="14"/>
  <c r="AK24332" i="14"/>
  <c r="AH24332" i="14"/>
  <c r="T24332" i="14"/>
  <c r="N24332" i="14"/>
  <c r="E24332" i="14"/>
  <c r="AK24331" i="14"/>
  <c r="AH24331" i="14"/>
  <c r="W24331" i="14"/>
  <c r="V24331" i="14"/>
  <c r="T24331" i="14"/>
  <c r="Q24331" i="14"/>
  <c r="P24331" i="14"/>
  <c r="N24331" i="14"/>
  <c r="L24331" i="14"/>
  <c r="E24331" i="14"/>
  <c r="AK24330" i="14"/>
  <c r="AH24330" i="14"/>
  <c r="Q24330" i="14"/>
  <c r="N24330" i="14"/>
  <c r="E24330" i="14"/>
  <c r="AK24329" i="14"/>
  <c r="AH24329" i="14"/>
  <c r="V24329" i="14"/>
  <c r="T24329" i="14"/>
  <c r="Q24329" i="14"/>
  <c r="N24329" i="14"/>
  <c r="E24329" i="14"/>
  <c r="AK24328" i="14"/>
  <c r="AH24328" i="14"/>
  <c r="V24328" i="14"/>
  <c r="Q24328" i="14"/>
  <c r="N24328" i="14"/>
  <c r="M24328" i="14"/>
  <c r="E24328" i="14"/>
  <c r="AK24327" i="14"/>
  <c r="AH24327" i="14"/>
  <c r="W24327" i="14"/>
  <c r="V24327" i="14"/>
  <c r="U24327" i="14"/>
  <c r="T24327" i="14"/>
  <c r="Q24327" i="14"/>
  <c r="N24327" i="14"/>
  <c r="E24327" i="14"/>
  <c r="AK24326" i="14"/>
  <c r="AH24326" i="14"/>
  <c r="T24326" i="14"/>
  <c r="Q24326" i="14"/>
  <c r="N24326" i="14"/>
  <c r="E24326" i="14"/>
  <c r="AK24325" i="14"/>
  <c r="AH24325" i="14"/>
  <c r="V24325" i="14"/>
  <c r="T24325" i="14"/>
  <c r="Q24325" i="14"/>
  <c r="N24325" i="14"/>
  <c r="E24325" i="14"/>
  <c r="AK24324" i="14"/>
  <c r="AH24324" i="14"/>
  <c r="Q24324" i="14"/>
  <c r="N24324" i="14"/>
  <c r="E24324" i="14"/>
  <c r="AK24323" i="14"/>
  <c r="AH24323" i="14"/>
  <c r="V24323" i="14"/>
  <c r="T24323" i="14"/>
  <c r="Q24323" i="14"/>
  <c r="N24323" i="14"/>
  <c r="E24323" i="14"/>
  <c r="AH24322" i="14"/>
  <c r="W24322" i="14"/>
  <c r="V24322" i="14"/>
  <c r="U24322" i="14"/>
  <c r="T24322" i="14"/>
  <c r="Q24322" i="14"/>
  <c r="M24322" i="14"/>
  <c r="E24322" i="14"/>
  <c r="AH24321" i="14"/>
  <c r="U24321" i="14"/>
  <c r="T24321" i="14"/>
  <c r="Q24321" i="14"/>
  <c r="E24321" i="14"/>
  <c r="AH24320" i="14"/>
  <c r="V24320" i="14"/>
  <c r="T24320" i="14"/>
  <c r="Q24320" i="14"/>
  <c r="E24320" i="14"/>
  <c r="AH24319" i="14"/>
  <c r="V24319" i="14"/>
  <c r="T24319" i="14"/>
  <c r="Q24319" i="14"/>
  <c r="E24319" i="14"/>
  <c r="AH24318" i="14"/>
  <c r="W24318" i="14"/>
  <c r="V24318" i="14"/>
  <c r="U24318" i="14"/>
  <c r="T24318" i="14"/>
  <c r="Q24318" i="14"/>
  <c r="E24318" i="14"/>
  <c r="AH24317" i="14"/>
  <c r="T24317" i="14"/>
  <c r="Q24317" i="14"/>
  <c r="E24317" i="14"/>
  <c r="AH24316" i="14"/>
  <c r="E24316" i="14"/>
  <c r="AH24315" i="14"/>
  <c r="V24315" i="14"/>
  <c r="T24315" i="14"/>
  <c r="Q24315" i="14"/>
  <c r="P24315" i="14"/>
  <c r="O24315" i="14"/>
  <c r="E24315" i="14"/>
  <c r="AH24314" i="14"/>
  <c r="Q24314" i="14"/>
  <c r="E24314" i="14"/>
  <c r="AH24313" i="14"/>
  <c r="Q24313" i="14"/>
  <c r="L24313" i="14"/>
  <c r="E24313" i="14"/>
  <c r="AK24312" i="14"/>
  <c r="AH24312" i="14"/>
  <c r="V24312" i="14"/>
  <c r="T24312" i="14"/>
  <c r="Q24312" i="14"/>
  <c r="P24312" i="14"/>
  <c r="N24312" i="14"/>
  <c r="E24312" i="14"/>
  <c r="AH24311" i="14"/>
  <c r="V24311" i="14"/>
  <c r="T24311" i="14"/>
  <c r="Q24311" i="14"/>
  <c r="P24311" i="14"/>
  <c r="E24311" i="14"/>
  <c r="AH24310" i="14"/>
  <c r="W24310" i="14"/>
  <c r="V24310" i="14"/>
  <c r="U24310" i="14"/>
  <c r="T24310" i="14"/>
  <c r="Q24310" i="14"/>
  <c r="M24310" i="14"/>
  <c r="E24310" i="14"/>
  <c r="AH24309" i="14"/>
  <c r="V24309" i="14"/>
  <c r="U24309" i="14"/>
  <c r="T24309" i="14"/>
  <c r="Q24309" i="14"/>
  <c r="M24309" i="14"/>
  <c r="E24309" i="14"/>
  <c r="AH24308" i="14"/>
  <c r="V24308" i="14"/>
  <c r="T24308" i="14"/>
  <c r="Q24308" i="14"/>
  <c r="E24308" i="14"/>
  <c r="AH24307" i="14"/>
  <c r="U24307" i="14"/>
  <c r="T24307" i="14"/>
  <c r="Q24307" i="14"/>
  <c r="P24307" i="14"/>
  <c r="O24307" i="14"/>
  <c r="L24307" i="14"/>
  <c r="E24307" i="14"/>
  <c r="AH24306" i="14"/>
  <c r="G24306" i="14"/>
  <c r="E24306" i="14"/>
  <c r="AH24305" i="14"/>
  <c r="G24305" i="14"/>
  <c r="E24305" i="14"/>
  <c r="AH24304" i="14"/>
  <c r="G24304" i="14"/>
  <c r="E24304" i="14"/>
  <c r="AH24303" i="14"/>
  <c r="G24303" i="14"/>
  <c r="E24303" i="14"/>
  <c r="AH24302" i="14"/>
  <c r="G24302" i="14"/>
  <c r="E24302" i="14"/>
  <c r="AH24301" i="14"/>
  <c r="T24301" i="14"/>
  <c r="G24301" i="14"/>
  <c r="E24301" i="14"/>
  <c r="AH24300" i="14"/>
  <c r="G24300" i="14"/>
  <c r="E24300" i="14"/>
  <c r="AL24299" i="14"/>
  <c r="AH24299" i="14"/>
  <c r="V24299" i="14"/>
  <c r="Q24299" i="14"/>
  <c r="P24299" i="14"/>
  <c r="O24299" i="14"/>
  <c r="M24299" i="14"/>
  <c r="G24299" i="14"/>
  <c r="E24299" i="14"/>
  <c r="AL24298" i="14"/>
  <c r="AH24298" i="14"/>
  <c r="W24298" i="14"/>
  <c r="V24298" i="14"/>
  <c r="Q24298" i="14"/>
  <c r="P24298" i="14"/>
  <c r="O24298" i="14"/>
  <c r="M24298" i="14"/>
  <c r="G24298" i="14"/>
  <c r="E24298" i="14"/>
  <c r="AH24297" i="14"/>
  <c r="Q24297" i="14"/>
  <c r="G24297" i="14"/>
  <c r="E24297" i="14"/>
  <c r="AH24296" i="14"/>
  <c r="V24296" i="14"/>
  <c r="T24296" i="14"/>
  <c r="Q24296" i="14"/>
  <c r="P24296" i="14"/>
  <c r="G24296" i="14"/>
  <c r="E24296" i="14"/>
  <c r="AH24295" i="14"/>
  <c r="V24295" i="14"/>
  <c r="Q24295" i="14"/>
  <c r="P24295" i="14"/>
  <c r="G24295" i="14"/>
  <c r="E24295" i="14"/>
  <c r="AH24294" i="14"/>
  <c r="W24294" i="14"/>
  <c r="V24294" i="14"/>
  <c r="U24294" i="14"/>
  <c r="T24294" i="14"/>
  <c r="Q24294" i="14"/>
  <c r="P24294" i="14"/>
  <c r="M24294" i="14"/>
  <c r="G24294" i="14"/>
  <c r="E24294" i="14"/>
  <c r="AH24293" i="14"/>
  <c r="V24293" i="14"/>
  <c r="U24293" i="14"/>
  <c r="T24293" i="14"/>
  <c r="Q24293" i="14"/>
  <c r="P24293" i="14"/>
  <c r="G24293" i="14"/>
  <c r="E24293" i="14"/>
  <c r="AH24292" i="14"/>
  <c r="V24292" i="14"/>
  <c r="T24292" i="14"/>
  <c r="Q24292" i="14"/>
  <c r="E24292" i="14"/>
  <c r="AH24291" i="14"/>
  <c r="V24291" i="14"/>
  <c r="T24291" i="14"/>
  <c r="Q24291" i="14"/>
  <c r="E24291" i="14"/>
  <c r="AH24290" i="14"/>
  <c r="U24290" i="14"/>
  <c r="T24290" i="14"/>
  <c r="Q24290" i="14"/>
  <c r="P24290" i="14"/>
  <c r="O24290" i="14"/>
  <c r="E24290" i="14"/>
  <c r="AH24289" i="14"/>
  <c r="T24289" i="14"/>
  <c r="Q24289" i="14"/>
  <c r="P24289" i="14"/>
  <c r="O24289" i="14"/>
  <c r="E24289" i="14"/>
  <c r="AH24288" i="14"/>
  <c r="U24288" i="14"/>
  <c r="T24288" i="14"/>
  <c r="Q24288" i="14"/>
  <c r="E24288" i="14"/>
  <c r="AH24287" i="14"/>
  <c r="V24287" i="14"/>
  <c r="U24287" i="14"/>
  <c r="T24287" i="14"/>
  <c r="Q24287" i="14"/>
  <c r="M24287" i="14"/>
  <c r="E24287" i="14"/>
  <c r="AH24286" i="14"/>
  <c r="W24286" i="14"/>
  <c r="V24286" i="14"/>
  <c r="T24286" i="14"/>
  <c r="Q24286" i="14"/>
  <c r="E24286" i="14"/>
  <c r="AH24285" i="14"/>
  <c r="T24285" i="14"/>
  <c r="P24285" i="14"/>
  <c r="O24285" i="14"/>
  <c r="E24285" i="14"/>
  <c r="AH24284" i="14"/>
  <c r="T24284" i="14"/>
  <c r="Q24284" i="14"/>
  <c r="P24284" i="14"/>
  <c r="O24284" i="14"/>
  <c r="E24284" i="14"/>
  <c r="AH24283" i="14"/>
  <c r="T24283" i="14"/>
  <c r="Q24283" i="14"/>
  <c r="P24283" i="14"/>
  <c r="O24283" i="14"/>
  <c r="E24283" i="14"/>
  <c r="AH24282" i="14"/>
  <c r="W24282" i="14"/>
  <c r="V24282" i="14"/>
  <c r="Q24282" i="14"/>
  <c r="P24282" i="14"/>
  <c r="L24282" i="14"/>
  <c r="E24282" i="14"/>
  <c r="AH24281" i="14"/>
  <c r="V24281" i="14"/>
  <c r="T24281" i="14"/>
  <c r="Q24281" i="14"/>
  <c r="P24281" i="14"/>
  <c r="E24281" i="14"/>
  <c r="AH24280" i="14"/>
  <c r="AG24280" i="14"/>
  <c r="AF24280" i="14"/>
  <c r="AE24280" i="14"/>
  <c r="W24280" i="14"/>
  <c r="V24280" i="14"/>
  <c r="U24280" i="14"/>
  <c r="T24280" i="14"/>
  <c r="Q24280" i="14"/>
  <c r="P24280" i="14"/>
  <c r="O24280" i="14"/>
  <c r="L24280" i="14"/>
  <c r="K24280" i="14"/>
  <c r="I24280" i="14"/>
  <c r="G24280" i="14"/>
  <c r="E24280" i="14"/>
  <c r="AK24279" i="14"/>
  <c r="AH24279" i="14"/>
  <c r="N24279" i="14"/>
  <c r="M24279" i="14"/>
  <c r="E24279" i="14"/>
  <c r="AH24278" i="14"/>
  <c r="U24278" i="14"/>
  <c r="T24278" i="14"/>
  <c r="Q24278" i="14"/>
  <c r="P24278" i="14"/>
  <c r="O24278" i="14"/>
  <c r="E24278" i="14"/>
  <c r="AH24277" i="14"/>
  <c r="V24277" i="14"/>
  <c r="T24277" i="14"/>
  <c r="Q24277" i="14"/>
  <c r="P24277" i="14"/>
  <c r="O24277" i="14"/>
  <c r="E24277" i="14"/>
  <c r="AH24276" i="14"/>
  <c r="W24276" i="14"/>
  <c r="V24276" i="14"/>
  <c r="U24276" i="14"/>
  <c r="T24276" i="14"/>
  <c r="Q24276" i="14"/>
  <c r="P24276" i="14"/>
  <c r="O24276" i="14"/>
  <c r="E24276" i="14"/>
  <c r="AH24275" i="14"/>
  <c r="T24275" i="14"/>
  <c r="Q24275" i="14"/>
  <c r="O24275" i="14"/>
  <c r="E24275" i="14"/>
  <c r="AH24274" i="14"/>
  <c r="T24274" i="14"/>
  <c r="Q24274" i="14"/>
  <c r="E24274" i="14"/>
  <c r="AH24273" i="14"/>
  <c r="T24273" i="14"/>
  <c r="Q24273" i="14"/>
  <c r="E24273" i="14"/>
  <c r="AH24272" i="14"/>
  <c r="T24272" i="14"/>
  <c r="Q24272" i="14"/>
  <c r="E24272" i="14"/>
  <c r="AH24271" i="14"/>
  <c r="V24271" i="14"/>
  <c r="T24271" i="14"/>
  <c r="Q24271" i="14"/>
  <c r="E24271" i="14"/>
  <c r="AH24270" i="14"/>
  <c r="V24270" i="14"/>
  <c r="T24270" i="14"/>
  <c r="Q24270" i="14"/>
  <c r="E24270" i="14"/>
  <c r="AH24269" i="14"/>
  <c r="V24269" i="14"/>
  <c r="T24269" i="14"/>
  <c r="Q24269" i="14"/>
  <c r="E24269" i="14"/>
  <c r="AH24268" i="14"/>
  <c r="U24268" i="14"/>
  <c r="T24268" i="14"/>
  <c r="Q24268" i="14"/>
  <c r="M24268" i="14"/>
  <c r="E24268" i="14"/>
  <c r="AH24267" i="14"/>
  <c r="T24267" i="14"/>
  <c r="Q24267" i="14"/>
  <c r="E24267" i="14"/>
  <c r="AH24266" i="14"/>
  <c r="V24266" i="14"/>
  <c r="T24266" i="14"/>
  <c r="Q24266" i="14"/>
  <c r="E24266" i="14"/>
  <c r="AH24265" i="14"/>
  <c r="V24265" i="14"/>
  <c r="Q24265" i="14"/>
  <c r="E24265" i="14"/>
  <c r="AH24264" i="14"/>
  <c r="T24264" i="14"/>
  <c r="Q24264" i="14"/>
  <c r="E24264" i="14"/>
  <c r="AK24263" i="14"/>
  <c r="AH24263" i="14"/>
  <c r="V24263" i="14"/>
  <c r="T24263" i="14"/>
  <c r="Q24263" i="14"/>
  <c r="P24263" i="14"/>
  <c r="O24263" i="14"/>
  <c r="E24263" i="14"/>
  <c r="AH24262" i="14"/>
  <c r="T24262" i="14"/>
  <c r="Q24262" i="14"/>
  <c r="P24262" i="14"/>
  <c r="E24262" i="14"/>
  <c r="AH24261" i="14"/>
  <c r="W24261" i="14"/>
  <c r="V24261" i="14"/>
  <c r="T24261" i="14"/>
  <c r="Q24261" i="14"/>
  <c r="P24261" i="14"/>
  <c r="E24261" i="14"/>
  <c r="AH24260" i="14"/>
  <c r="V24260" i="14"/>
  <c r="T24260" i="14"/>
  <c r="Q24260" i="14"/>
  <c r="E24260" i="14"/>
  <c r="AH24259" i="14"/>
  <c r="V24259" i="14"/>
  <c r="T24259" i="14"/>
  <c r="Q24259" i="14"/>
  <c r="E24259" i="14"/>
  <c r="AH24258" i="14"/>
  <c r="Q24258" i="14"/>
  <c r="E24258" i="14"/>
  <c r="AH24257" i="14"/>
  <c r="T24257" i="14"/>
  <c r="Q24257" i="14"/>
  <c r="E24257" i="14"/>
  <c r="AH24256" i="14"/>
  <c r="V24256" i="14"/>
  <c r="U24256" i="14"/>
  <c r="T24256" i="14"/>
  <c r="Q24256" i="14"/>
  <c r="E24256" i="14"/>
  <c r="AH24255" i="14"/>
  <c r="V24255" i="14"/>
  <c r="T24255" i="14"/>
  <c r="Q24255" i="14"/>
  <c r="E24255" i="14"/>
  <c r="AH24254" i="14"/>
  <c r="T24254" i="14"/>
  <c r="Q24254" i="14"/>
  <c r="E24254" i="14"/>
  <c r="AH24253" i="14"/>
  <c r="T24253" i="14"/>
  <c r="Q24253" i="14"/>
  <c r="E24253" i="14"/>
  <c r="AH24252" i="14"/>
  <c r="T24252" i="14"/>
  <c r="Q24252" i="14"/>
  <c r="P24252" i="14"/>
  <c r="O24252" i="14"/>
  <c r="E24252" i="14"/>
  <c r="AH24251" i="14"/>
  <c r="E24251" i="14"/>
  <c r="AH24250" i="14"/>
  <c r="T24250" i="14"/>
  <c r="Q24250" i="14"/>
  <c r="O24250" i="14"/>
  <c r="E24250" i="14"/>
  <c r="AH24249" i="14"/>
  <c r="T24249" i="14"/>
  <c r="E24249" i="14"/>
  <c r="AH24248" i="14"/>
  <c r="T24248" i="14"/>
  <c r="E24248" i="14"/>
  <c r="AH24247" i="14"/>
  <c r="T24247" i="14"/>
  <c r="O24247" i="14"/>
  <c r="E24247" i="14"/>
  <c r="AH24246" i="14"/>
  <c r="V24246" i="14"/>
  <c r="T24246" i="14"/>
  <c r="Q24246" i="14"/>
  <c r="P24246" i="14"/>
  <c r="E24246" i="14"/>
  <c r="AH24245" i="14"/>
  <c r="T24245" i="14"/>
  <c r="Q24245" i="14"/>
  <c r="E24245" i="14"/>
  <c r="AH24244" i="14"/>
  <c r="V24244" i="14"/>
  <c r="T24244" i="14"/>
  <c r="Q24244" i="14"/>
  <c r="E24244" i="14"/>
  <c r="AH24243" i="14"/>
  <c r="U24243" i="14"/>
  <c r="T24243" i="14"/>
  <c r="Q24243" i="14"/>
  <c r="E24243" i="14"/>
  <c r="AH24242" i="14"/>
  <c r="W24242" i="14"/>
  <c r="V24242" i="14"/>
  <c r="Q24242" i="14"/>
  <c r="E24242" i="14"/>
  <c r="AH24241" i="14"/>
  <c r="E24241" i="14"/>
  <c r="AH24240" i="14"/>
  <c r="E24240" i="14"/>
  <c r="AH24239" i="14"/>
  <c r="E24239" i="14"/>
  <c r="AH24238" i="14"/>
  <c r="E24238" i="14"/>
  <c r="AH24237" i="14"/>
  <c r="V24237" i="14"/>
  <c r="T24237" i="14"/>
  <c r="Q24237" i="14"/>
  <c r="E24237" i="14"/>
  <c r="AH24236" i="14"/>
  <c r="U24236" i="14"/>
  <c r="T24236" i="14"/>
  <c r="Q24236" i="14"/>
  <c r="E24236" i="14"/>
  <c r="AH24235" i="14"/>
  <c r="T24235" i="14"/>
  <c r="Q24235" i="14"/>
  <c r="E24235" i="14"/>
  <c r="AH24234" i="14"/>
  <c r="V24234" i="14"/>
  <c r="T24234" i="14"/>
  <c r="P24234" i="14"/>
  <c r="E24234" i="14"/>
  <c r="AH24233" i="14"/>
  <c r="T24233" i="14"/>
  <c r="Q24233" i="14"/>
  <c r="E24233" i="14"/>
  <c r="AH24232" i="14"/>
  <c r="P24232" i="14"/>
  <c r="E24232" i="14"/>
  <c r="AH24231" i="14"/>
  <c r="V24231" i="14"/>
  <c r="P24231" i="14"/>
  <c r="E24231" i="14"/>
  <c r="AH24230" i="14"/>
  <c r="V24230" i="14"/>
  <c r="Q24230" i="14"/>
  <c r="E24230" i="14"/>
  <c r="AH24229" i="14"/>
  <c r="V24229" i="14"/>
  <c r="T24229" i="14"/>
  <c r="Q24229" i="14"/>
  <c r="E24229" i="14"/>
  <c r="AH24228" i="14"/>
  <c r="AE24228" i="14"/>
  <c r="W24228" i="14"/>
  <c r="V24228" i="14"/>
  <c r="U24228" i="14"/>
  <c r="T24228" i="14"/>
  <c r="Q24228" i="14"/>
  <c r="M24228" i="14"/>
  <c r="E24228" i="14"/>
  <c r="AH24227" i="14"/>
  <c r="V24227" i="14"/>
  <c r="T24227" i="14"/>
  <c r="P24227" i="14"/>
  <c r="E24227" i="14"/>
  <c r="AH24226" i="14"/>
  <c r="E24226" i="14"/>
  <c r="AH24225" i="14"/>
  <c r="V24225" i="14"/>
  <c r="U24225" i="14"/>
  <c r="T24225" i="14"/>
  <c r="Q24225" i="14"/>
  <c r="M24225" i="14"/>
  <c r="E24225" i="14"/>
  <c r="AH24224" i="14"/>
  <c r="T24224" i="14"/>
  <c r="Q24224" i="14"/>
  <c r="E24224" i="14"/>
  <c r="AH24223" i="14"/>
  <c r="E24223" i="14"/>
  <c r="AH24222" i="14"/>
  <c r="V24222" i="14"/>
  <c r="Q24222" i="14"/>
  <c r="E24222" i="14"/>
  <c r="AH24221" i="14"/>
  <c r="V24221" i="14"/>
  <c r="T24221" i="14"/>
  <c r="P24221" i="14"/>
  <c r="E24221" i="14"/>
  <c r="AH24220" i="14"/>
  <c r="V24220" i="14"/>
  <c r="T24220" i="14"/>
  <c r="Q24220" i="14"/>
  <c r="E24220" i="14"/>
  <c r="AH24219" i="14"/>
  <c r="V24219" i="14"/>
  <c r="T24219" i="14"/>
  <c r="Q24219" i="14"/>
  <c r="E24219" i="14"/>
  <c r="AH24218" i="14"/>
  <c r="Q24218" i="14"/>
  <c r="E24218" i="14"/>
  <c r="AH24217" i="14"/>
  <c r="V24217" i="14"/>
  <c r="T24217" i="14"/>
  <c r="Q24217" i="14"/>
  <c r="E24217" i="14"/>
  <c r="AH24216" i="14"/>
  <c r="W24216" i="14"/>
  <c r="V24216" i="14"/>
  <c r="Q24216" i="14"/>
  <c r="M24216" i="14"/>
  <c r="E24216" i="14"/>
  <c r="AH24215" i="14"/>
  <c r="P24215" i="14"/>
  <c r="O24215" i="14"/>
  <c r="E24215" i="14"/>
  <c r="AH24214" i="14"/>
  <c r="T24214" i="14"/>
  <c r="E24214" i="14"/>
  <c r="AH24213" i="14"/>
  <c r="E24213" i="14"/>
  <c r="AH24212" i="14"/>
  <c r="T24212" i="14"/>
  <c r="E24212" i="14"/>
  <c r="AH24211" i="14"/>
  <c r="V24211" i="14"/>
  <c r="T24211" i="14"/>
  <c r="Q24211" i="14"/>
  <c r="E24211" i="14"/>
  <c r="AH24210" i="14"/>
  <c r="V24210" i="14"/>
  <c r="Q24210" i="14"/>
  <c r="P24210" i="14"/>
  <c r="O24210" i="14"/>
  <c r="E24210" i="14"/>
  <c r="AH24209" i="14"/>
  <c r="V24209" i="14"/>
  <c r="T24209" i="14"/>
  <c r="Q24209" i="14"/>
  <c r="P24209" i="14"/>
  <c r="O24209" i="14"/>
  <c r="E24209" i="14"/>
  <c r="AH24208" i="14"/>
  <c r="V24208" i="14"/>
  <c r="T24208" i="14"/>
  <c r="Q24208" i="14"/>
  <c r="P24208" i="14"/>
  <c r="E24208" i="14"/>
  <c r="AH24207" i="14"/>
  <c r="T24207" i="14"/>
  <c r="Q24207" i="14"/>
  <c r="O24207" i="14"/>
  <c r="E24207" i="14"/>
  <c r="AH24206" i="14"/>
  <c r="T24206" i="14"/>
  <c r="Q24206" i="14"/>
  <c r="E24206" i="14"/>
  <c r="AH24205" i="14"/>
  <c r="U24205" i="14"/>
  <c r="T24205" i="14"/>
  <c r="Q24205" i="14"/>
  <c r="O24205" i="14"/>
  <c r="E24205" i="14"/>
  <c r="AH24204" i="14"/>
  <c r="E24204" i="14"/>
  <c r="AH24203" i="14"/>
  <c r="V24203" i="14"/>
  <c r="Q24203" i="14"/>
  <c r="E24203" i="14"/>
  <c r="AH24202" i="14"/>
  <c r="Q24202" i="14"/>
  <c r="E24202" i="14"/>
  <c r="AH24201" i="14"/>
  <c r="V24201" i="14"/>
  <c r="Q24201" i="14"/>
  <c r="E24201" i="14"/>
  <c r="AH24200" i="14"/>
  <c r="E24200" i="14"/>
  <c r="AH24199" i="14"/>
  <c r="T24199" i="14"/>
  <c r="E24199" i="14"/>
  <c r="AH24198" i="14"/>
  <c r="W24198" i="14"/>
  <c r="V24198" i="14"/>
  <c r="U24198" i="14"/>
  <c r="T24198" i="14"/>
  <c r="Q24198" i="14"/>
  <c r="P24198" i="14"/>
  <c r="O24198" i="14"/>
  <c r="E24198" i="14"/>
  <c r="AH24197" i="14"/>
  <c r="T24197" i="14"/>
  <c r="Q24197" i="14"/>
  <c r="E24197" i="14"/>
  <c r="AH24196" i="14"/>
  <c r="T24196" i="14"/>
  <c r="Q24196" i="14"/>
  <c r="E24196" i="14"/>
  <c r="AH24195" i="14"/>
  <c r="Q24195" i="14"/>
  <c r="E24195" i="14"/>
  <c r="AH24194" i="14"/>
  <c r="Q24194" i="14"/>
  <c r="E24194" i="14"/>
  <c r="AH24193" i="14"/>
  <c r="Q24193" i="14"/>
  <c r="E24193" i="14"/>
  <c r="AH24192" i="14"/>
  <c r="T24192" i="14"/>
  <c r="Q24192" i="14"/>
  <c r="P24192" i="14"/>
  <c r="O24192" i="14"/>
  <c r="E24192" i="14"/>
  <c r="AH24191" i="14"/>
  <c r="Q24191" i="14"/>
  <c r="E24191" i="14"/>
  <c r="AH24190" i="14"/>
  <c r="V24190" i="14"/>
  <c r="T24190" i="14"/>
  <c r="Q24190" i="14"/>
  <c r="E24190" i="14"/>
  <c r="AH24189" i="14"/>
  <c r="Q24189" i="14"/>
  <c r="E24189" i="14"/>
  <c r="AH24188" i="14"/>
  <c r="Q24188" i="14"/>
  <c r="E24188" i="14"/>
  <c r="AH24187" i="14"/>
  <c r="U24187" i="14"/>
  <c r="T24187" i="14"/>
  <c r="Q24187" i="14"/>
  <c r="M24187" i="14"/>
  <c r="E24187" i="14"/>
  <c r="AH24186" i="14"/>
  <c r="P24186" i="14"/>
  <c r="O24186" i="14"/>
  <c r="E24186" i="14"/>
  <c r="AH24185" i="14"/>
  <c r="V24185" i="14"/>
  <c r="T24185" i="14"/>
  <c r="Q24185" i="14"/>
  <c r="P24185" i="14"/>
  <c r="O24185" i="14"/>
  <c r="E24185" i="14"/>
  <c r="AH24184" i="14"/>
  <c r="E24184" i="14"/>
  <c r="AH24183" i="14"/>
  <c r="V24183" i="14"/>
  <c r="T24183" i="14"/>
  <c r="Q24183" i="14"/>
  <c r="E24183" i="14"/>
  <c r="AH24182" i="14"/>
  <c r="V24182" i="14"/>
  <c r="Q24182" i="14"/>
  <c r="E24182" i="14"/>
  <c r="AH24181" i="14"/>
  <c r="T24181" i="14"/>
  <c r="Q24181" i="14"/>
  <c r="E24181" i="14"/>
  <c r="AH24180" i="14"/>
  <c r="V24180" i="14"/>
  <c r="T24180" i="14"/>
  <c r="Q24180" i="14"/>
  <c r="O24180" i="14"/>
  <c r="E24180" i="14"/>
  <c r="AH24179" i="14"/>
  <c r="V24179" i="14"/>
  <c r="T24179" i="14"/>
  <c r="Q24179" i="14"/>
  <c r="P24179" i="14"/>
  <c r="E24179" i="14"/>
  <c r="AH24178" i="14"/>
  <c r="V24178" i="14"/>
  <c r="Q24178" i="14"/>
  <c r="E24178" i="14"/>
  <c r="AH24177" i="14"/>
  <c r="T24177" i="14"/>
  <c r="Q24177" i="14"/>
  <c r="E24177" i="14"/>
  <c r="AH24176" i="14"/>
  <c r="W24176" i="14"/>
  <c r="V24176" i="14"/>
  <c r="T24176" i="14"/>
  <c r="Q24176" i="14"/>
  <c r="E24176" i="14"/>
  <c r="AH24175" i="14"/>
  <c r="W24175" i="14"/>
  <c r="V24175" i="14"/>
  <c r="U24175" i="14"/>
  <c r="T24175" i="14"/>
  <c r="Q24175" i="14"/>
  <c r="O24175" i="14"/>
  <c r="M24175" i="14"/>
  <c r="E24175" i="14"/>
  <c r="AH24174" i="14"/>
  <c r="V24174" i="14"/>
  <c r="T24174" i="14"/>
  <c r="Q24174" i="14"/>
  <c r="E24174" i="14"/>
  <c r="AH24173" i="14"/>
  <c r="V24173" i="14"/>
  <c r="T24173" i="14"/>
  <c r="Q24173" i="14"/>
  <c r="P24173" i="14"/>
  <c r="E24173" i="14"/>
  <c r="AH24172" i="14"/>
  <c r="V24172" i="14"/>
  <c r="T24172" i="14"/>
  <c r="Q24172" i="14"/>
  <c r="P24172" i="14"/>
  <c r="E24172" i="14"/>
  <c r="AH24171" i="14"/>
  <c r="T24171" i="14"/>
  <c r="Q24171" i="14"/>
  <c r="E24171" i="14"/>
  <c r="AH24170" i="14"/>
  <c r="T24170" i="14"/>
  <c r="Q24170" i="14"/>
  <c r="E24170" i="14"/>
  <c r="AH24169" i="14"/>
  <c r="W24169" i="14"/>
  <c r="V24169" i="14"/>
  <c r="Q24169" i="14"/>
  <c r="P24169" i="14"/>
  <c r="M24169" i="14"/>
  <c r="G24169" i="14"/>
  <c r="E24169" i="14"/>
  <c r="AH24168" i="14"/>
  <c r="E24168" i="14"/>
  <c r="AH24167" i="14"/>
  <c r="T24167" i="14"/>
  <c r="Q24167" i="14"/>
  <c r="P24167" i="14"/>
  <c r="O24167" i="14"/>
  <c r="E24167" i="14"/>
  <c r="AH24166" i="14"/>
  <c r="T24166" i="14"/>
  <c r="Q24166" i="14"/>
  <c r="E24166" i="14"/>
  <c r="AH24165" i="14"/>
  <c r="Q24165" i="14"/>
  <c r="E24165" i="14"/>
  <c r="AH24164" i="14"/>
  <c r="Q24164" i="14"/>
  <c r="E24164" i="14"/>
  <c r="AH24163" i="14"/>
  <c r="V24163" i="14"/>
  <c r="T24163" i="14"/>
  <c r="Q24163" i="14"/>
  <c r="O24163" i="14"/>
  <c r="E24163" i="14"/>
  <c r="AH24162" i="14"/>
  <c r="T24162" i="14"/>
  <c r="Q24162" i="14"/>
  <c r="E24162" i="14"/>
  <c r="AH24161" i="14"/>
  <c r="U24161" i="14"/>
  <c r="T24161" i="14"/>
  <c r="Q24161" i="14"/>
  <c r="M24161" i="14"/>
  <c r="E24161" i="14"/>
  <c r="AH24160" i="14"/>
  <c r="V24160" i="14"/>
  <c r="T24160" i="14"/>
  <c r="Q24160" i="14"/>
  <c r="E24160" i="14"/>
  <c r="AK24159" i="14"/>
  <c r="AH24159" i="14"/>
  <c r="V24159" i="14"/>
  <c r="T24159" i="14"/>
  <c r="Q24159" i="14"/>
  <c r="P24159" i="14"/>
  <c r="N24159" i="14"/>
  <c r="E24159" i="14"/>
  <c r="AH24158" i="14"/>
  <c r="V24158" i="14"/>
  <c r="T24158" i="14"/>
  <c r="Q24158" i="14"/>
  <c r="E24158" i="14"/>
  <c r="AH24157" i="14"/>
  <c r="W24157" i="14"/>
  <c r="V24157" i="14"/>
  <c r="U24157" i="14"/>
  <c r="T24157" i="14"/>
  <c r="Q24157" i="14"/>
  <c r="E24157" i="14"/>
  <c r="AH24156" i="14"/>
  <c r="V24156" i="14"/>
  <c r="T24156" i="14"/>
  <c r="Q24156" i="14"/>
  <c r="E24156" i="14"/>
  <c r="AH24155" i="14"/>
  <c r="V24155" i="14"/>
  <c r="U24155" i="14"/>
  <c r="T24155" i="14"/>
  <c r="Q24155" i="14"/>
  <c r="O24155" i="14"/>
  <c r="E24155" i="14"/>
  <c r="AH24154" i="14"/>
  <c r="W24154" i="14"/>
  <c r="V24154" i="14"/>
  <c r="U24154" i="14"/>
  <c r="T24154" i="14"/>
  <c r="Q24154" i="14"/>
  <c r="E24154" i="14"/>
  <c r="AH24153" i="14"/>
  <c r="T24153" i="14"/>
  <c r="Q24153" i="14"/>
  <c r="E24153" i="14"/>
  <c r="AH24152" i="14"/>
  <c r="T24152" i="14"/>
  <c r="Q24152" i="14"/>
  <c r="E24152" i="14"/>
  <c r="AH24151" i="14"/>
  <c r="E24151" i="14"/>
  <c r="AH24150" i="14"/>
  <c r="V24150" i="14"/>
  <c r="T24150" i="14"/>
  <c r="Q24150" i="14"/>
  <c r="P24150" i="14"/>
  <c r="O24150" i="14"/>
  <c r="E24150" i="14"/>
  <c r="AH24149" i="14"/>
  <c r="V24149" i="14"/>
  <c r="T24149" i="14"/>
  <c r="Q24149" i="14"/>
  <c r="E24149" i="14"/>
  <c r="AH24148" i="14"/>
  <c r="W24148" i="14"/>
  <c r="V24148" i="14"/>
  <c r="U24148" i="14"/>
  <c r="T24148" i="14"/>
  <c r="Q24148" i="14"/>
  <c r="P24148" i="14"/>
  <c r="M24148" i="14"/>
  <c r="G24148" i="14"/>
  <c r="E24148" i="14"/>
  <c r="AH24147" i="14"/>
  <c r="V24147" i="14"/>
  <c r="Q24147" i="14"/>
  <c r="E24147" i="14"/>
  <c r="AH24146" i="14"/>
  <c r="V24146" i="14"/>
  <c r="T24146" i="14"/>
  <c r="Q24146" i="14"/>
  <c r="E24146" i="14"/>
  <c r="AH24145" i="14"/>
  <c r="T24145" i="14"/>
  <c r="Q24145" i="14"/>
  <c r="E24145" i="14"/>
  <c r="AH24144" i="14"/>
  <c r="V24144" i="14"/>
  <c r="T24144" i="14"/>
  <c r="Q24144" i="14"/>
  <c r="E24144" i="14"/>
  <c r="AH24143" i="14"/>
  <c r="T24143" i="14"/>
  <c r="Q24143" i="14"/>
  <c r="E24143" i="14"/>
  <c r="AH24142" i="14"/>
  <c r="T24142" i="14"/>
  <c r="Q24142" i="14"/>
  <c r="E24142" i="14"/>
  <c r="AH24141" i="14"/>
  <c r="T24141" i="14"/>
  <c r="Q24141" i="14"/>
  <c r="E24141" i="14"/>
  <c r="AH24140" i="14"/>
  <c r="T24140" i="14"/>
  <c r="Q24140" i="14"/>
  <c r="E24140" i="14"/>
  <c r="AH24139" i="14"/>
  <c r="V24139" i="14"/>
  <c r="U24139" i="14"/>
  <c r="T24139" i="14"/>
  <c r="Q24139" i="14"/>
  <c r="P24139" i="14"/>
  <c r="O24139" i="14"/>
  <c r="E24139" i="14"/>
  <c r="AH24138" i="14"/>
  <c r="U24138" i="14"/>
  <c r="T24138" i="14"/>
  <c r="Q24138" i="14"/>
  <c r="E24138" i="14"/>
  <c r="AH24137" i="14"/>
  <c r="T24137" i="14"/>
  <c r="Q24137" i="14"/>
  <c r="E24137" i="14"/>
  <c r="AH24136" i="14"/>
  <c r="T24136" i="14"/>
  <c r="Q24136" i="14"/>
  <c r="E24136" i="14"/>
  <c r="AH24135" i="14"/>
  <c r="T24135" i="14"/>
  <c r="E24135" i="14"/>
  <c r="AH24134" i="14"/>
  <c r="E24134" i="14"/>
  <c r="AH24133" i="14"/>
  <c r="E24133" i="14"/>
  <c r="AH24132" i="14"/>
  <c r="T24132" i="14"/>
  <c r="E24132" i="14"/>
  <c r="AH24131" i="14"/>
  <c r="T24131" i="14"/>
  <c r="E24131" i="14"/>
  <c r="AH24130" i="14"/>
  <c r="T24130" i="14"/>
  <c r="E24130" i="14"/>
  <c r="AH24129" i="14"/>
  <c r="T24129" i="14"/>
  <c r="E24129" i="14"/>
  <c r="AH24128" i="14"/>
  <c r="E24128" i="14"/>
  <c r="AH24127" i="14"/>
  <c r="T24127" i="14"/>
  <c r="E24127" i="14"/>
  <c r="AH24126" i="14"/>
  <c r="T24126" i="14"/>
  <c r="E24126" i="14"/>
  <c r="AH24125" i="14"/>
  <c r="E24125" i="14"/>
  <c r="AH24124" i="14"/>
  <c r="T24124" i="14"/>
  <c r="E24124" i="14"/>
  <c r="AH24123" i="14"/>
  <c r="T24123" i="14"/>
  <c r="E24123" i="14"/>
  <c r="AH24122" i="14"/>
  <c r="T24122" i="14"/>
  <c r="E24122" i="14"/>
  <c r="AH24121" i="14"/>
  <c r="E24121" i="14"/>
  <c r="AH24120" i="14"/>
  <c r="T24120" i="14"/>
  <c r="E24120" i="14"/>
  <c r="AH24119" i="14"/>
  <c r="E24119" i="14"/>
  <c r="AH24118" i="14"/>
  <c r="V24118" i="14"/>
  <c r="T24118" i="14"/>
  <c r="Q24118" i="14"/>
  <c r="E24118" i="14"/>
  <c r="AH24117" i="14"/>
  <c r="V24117" i="14"/>
  <c r="U24117" i="14"/>
  <c r="T24117" i="14"/>
  <c r="Q24117" i="14"/>
  <c r="E24117" i="14"/>
  <c r="AH24116" i="14"/>
  <c r="E24116" i="14"/>
  <c r="AH24115" i="14"/>
  <c r="V24115" i="14"/>
  <c r="Q24115" i="14"/>
  <c r="E24115" i="14"/>
  <c r="AH24114" i="14"/>
  <c r="V24114" i="14"/>
  <c r="T24114" i="14"/>
  <c r="Q24114" i="14"/>
  <c r="E24114" i="14"/>
  <c r="AH24113" i="14"/>
  <c r="V24113" i="14"/>
  <c r="T24113" i="14"/>
  <c r="Q24113" i="14"/>
  <c r="E24113" i="14"/>
  <c r="AH24112" i="14"/>
  <c r="V24112" i="14"/>
  <c r="T24112" i="14"/>
  <c r="Q24112" i="14"/>
  <c r="E24112" i="14"/>
  <c r="AH24111" i="14"/>
  <c r="V24111" i="14"/>
  <c r="T24111" i="14"/>
  <c r="Q24111" i="14"/>
  <c r="E24111" i="14"/>
  <c r="AH24110" i="14"/>
  <c r="W24110" i="14"/>
  <c r="V24110" i="14"/>
  <c r="T24110" i="14"/>
  <c r="Q24110" i="14"/>
  <c r="E24110" i="14"/>
  <c r="AK24109" i="14"/>
  <c r="AH24109" i="14"/>
  <c r="V24109" i="14"/>
  <c r="T24109" i="14"/>
  <c r="P24109" i="14"/>
  <c r="N24109" i="14"/>
  <c r="K24109" i="14"/>
  <c r="E24109" i="14"/>
  <c r="AH24108" i="14"/>
  <c r="V24108" i="14"/>
  <c r="Q24108" i="14"/>
  <c r="E24108" i="14"/>
  <c r="AH24107" i="14"/>
  <c r="T24107" i="14"/>
  <c r="M24107" i="14"/>
  <c r="E24107" i="14"/>
  <c r="AH24106" i="14"/>
  <c r="V24106" i="14"/>
  <c r="T24106" i="14"/>
  <c r="Q24106" i="14"/>
  <c r="E24106" i="14"/>
  <c r="AH24105" i="14"/>
  <c r="V24105" i="14"/>
  <c r="Q24105" i="14"/>
  <c r="M24105" i="14"/>
  <c r="E24105" i="14"/>
  <c r="AH24104" i="14"/>
  <c r="W24104" i="14"/>
  <c r="V24104" i="14"/>
  <c r="U24104" i="14"/>
  <c r="T24104" i="14"/>
  <c r="Q24104" i="14"/>
  <c r="P24104" i="14"/>
  <c r="O24104" i="14"/>
  <c r="M24104" i="14"/>
  <c r="E24104" i="14"/>
  <c r="AH24103" i="14"/>
  <c r="V24103" i="14"/>
  <c r="T24103" i="14"/>
  <c r="Q24103" i="14"/>
  <c r="P24103" i="14"/>
  <c r="E24103" i="14"/>
  <c r="AH24102" i="14"/>
  <c r="T24102" i="14"/>
  <c r="Q24102" i="14"/>
  <c r="E24102" i="14"/>
  <c r="AH24101" i="14"/>
  <c r="W24101" i="14"/>
  <c r="V24101" i="14"/>
  <c r="U24101" i="14"/>
  <c r="T24101" i="14"/>
  <c r="Q24101" i="14"/>
  <c r="E24101" i="14"/>
  <c r="AH24100" i="14"/>
  <c r="V24100" i="14"/>
  <c r="T24100" i="14"/>
  <c r="Q24100" i="14"/>
  <c r="E24100" i="14"/>
  <c r="AH24099" i="14"/>
  <c r="V24099" i="14"/>
  <c r="U24099" i="14"/>
  <c r="T24099" i="14"/>
  <c r="Q24099" i="14"/>
  <c r="P24099" i="14"/>
  <c r="E24099" i="14"/>
  <c r="AH24098" i="14"/>
  <c r="V24098" i="14"/>
  <c r="T24098" i="14"/>
  <c r="Q24098" i="14"/>
  <c r="E24098" i="14"/>
  <c r="AH24097" i="14"/>
  <c r="Q24097" i="14"/>
  <c r="E24097" i="14"/>
  <c r="AH24096" i="14"/>
  <c r="W24096" i="14"/>
  <c r="V24096" i="14"/>
  <c r="U24096" i="14"/>
  <c r="T24096" i="14"/>
  <c r="Q24096" i="14"/>
  <c r="E24096" i="14"/>
  <c r="AH24095" i="14"/>
  <c r="T24095" i="14"/>
  <c r="Q24095" i="14"/>
  <c r="E24095" i="14"/>
  <c r="AH24094" i="14"/>
  <c r="V24094" i="14"/>
  <c r="U24094" i="14"/>
  <c r="T24094" i="14"/>
  <c r="Q24094" i="14"/>
  <c r="E24094" i="14"/>
  <c r="AH24093" i="14"/>
  <c r="V24093" i="14"/>
  <c r="T24093" i="14"/>
  <c r="Q24093" i="14"/>
  <c r="E24093" i="14"/>
  <c r="AH24092" i="14"/>
  <c r="V24092" i="14"/>
  <c r="T24092" i="14"/>
  <c r="Q24092" i="14"/>
  <c r="P24092" i="14"/>
  <c r="E24092" i="14"/>
  <c r="AH24091" i="14"/>
  <c r="U24091" i="14"/>
  <c r="T24091" i="14"/>
  <c r="Q24091" i="14"/>
  <c r="P24091" i="14"/>
  <c r="O24091" i="14"/>
  <c r="E24091" i="14"/>
  <c r="AH24090" i="14"/>
  <c r="V24090" i="14"/>
  <c r="P24090" i="14"/>
  <c r="E24090" i="14"/>
  <c r="AH24089" i="14"/>
  <c r="V24089" i="14"/>
  <c r="T24089" i="14"/>
  <c r="P24089" i="14"/>
  <c r="E24089" i="14"/>
  <c r="AH24088" i="14"/>
  <c r="V24088" i="14"/>
  <c r="T24088" i="14"/>
  <c r="P24088" i="14"/>
  <c r="E24088" i="14"/>
  <c r="AH24087" i="14"/>
  <c r="T24087" i="14"/>
  <c r="O24087" i="14"/>
  <c r="E24087" i="14"/>
  <c r="AH24086" i="14"/>
  <c r="U24086" i="14"/>
  <c r="T24086" i="14"/>
  <c r="Q24086" i="14"/>
  <c r="E24086" i="14"/>
  <c r="AH24085" i="14"/>
  <c r="W24085" i="14"/>
  <c r="V24085" i="14"/>
  <c r="Q24085" i="14"/>
  <c r="E24085" i="14"/>
  <c r="AH24084" i="14"/>
  <c r="V24084" i="14"/>
  <c r="T24084" i="14"/>
  <c r="Q24084" i="14"/>
  <c r="E24084" i="14"/>
  <c r="AH24083" i="14"/>
  <c r="V24083" i="14"/>
  <c r="Q24083" i="14"/>
  <c r="E24083" i="14"/>
  <c r="AH24082" i="14"/>
  <c r="T24082" i="14"/>
  <c r="Q24082" i="14"/>
  <c r="E24082" i="14"/>
  <c r="AH24081" i="14"/>
  <c r="V24081" i="14"/>
  <c r="T24081" i="14"/>
  <c r="Q24081" i="14"/>
  <c r="E24081" i="14"/>
  <c r="AH24080" i="14"/>
  <c r="V24080" i="14"/>
  <c r="T24080" i="14"/>
  <c r="Q24080" i="14"/>
  <c r="E24080" i="14"/>
  <c r="AH24079" i="14"/>
  <c r="O24079" i="14"/>
  <c r="E24079" i="14"/>
  <c r="AH24078" i="14"/>
  <c r="V24078" i="14"/>
  <c r="T24078" i="14"/>
  <c r="Q24078" i="14"/>
  <c r="E24078" i="14"/>
  <c r="AH24077" i="14"/>
  <c r="T24077" i="14"/>
  <c r="Q24077" i="14"/>
  <c r="E24077" i="14"/>
  <c r="AH24076" i="14"/>
  <c r="Q24076" i="14"/>
  <c r="E24076" i="14"/>
  <c r="AH24075" i="14"/>
  <c r="T24075" i="14"/>
  <c r="Q24075" i="14"/>
  <c r="P24075" i="14"/>
  <c r="O24075" i="14"/>
  <c r="E24075" i="14"/>
  <c r="AH24074" i="14"/>
  <c r="E24074" i="14"/>
  <c r="AH24073" i="14"/>
  <c r="V24073" i="14"/>
  <c r="U24073" i="14"/>
  <c r="T24073" i="14"/>
  <c r="Q24073" i="14"/>
  <c r="P24073" i="14"/>
  <c r="O24073" i="14"/>
  <c r="E24073" i="14"/>
  <c r="AH24072" i="14"/>
  <c r="T24072" i="14"/>
  <c r="Q24072" i="14"/>
  <c r="P24072" i="14"/>
  <c r="E24072" i="14"/>
  <c r="AH24071" i="14"/>
  <c r="V24071" i="14"/>
  <c r="T24071" i="14"/>
  <c r="Q24071" i="14"/>
  <c r="P24071" i="14"/>
  <c r="O24071" i="14"/>
  <c r="E24071" i="14"/>
  <c r="AH24070" i="14"/>
  <c r="T24070" i="14"/>
  <c r="E24070" i="14"/>
  <c r="AH24069" i="14"/>
  <c r="T24069" i="14"/>
  <c r="Q24069" i="14"/>
  <c r="E24069" i="14"/>
  <c r="AH24068" i="14"/>
  <c r="U24068" i="14"/>
  <c r="T24068" i="14"/>
  <c r="Q24068" i="14"/>
  <c r="M24068" i="14"/>
  <c r="E24068" i="14"/>
  <c r="AH24067" i="14"/>
  <c r="T24067" i="14"/>
  <c r="Q24067" i="14"/>
  <c r="O24067" i="14"/>
  <c r="E24067" i="14"/>
  <c r="AH24066" i="14"/>
  <c r="V24066" i="14"/>
  <c r="T24066" i="14"/>
  <c r="Q24066" i="14"/>
  <c r="E24066" i="14"/>
  <c r="AH24065" i="14"/>
  <c r="V24065" i="14"/>
  <c r="Q24065" i="14"/>
  <c r="E24065" i="14"/>
  <c r="AH24064" i="14"/>
  <c r="T24064" i="14"/>
  <c r="Q24064" i="14"/>
  <c r="E24064" i="14"/>
  <c r="AH24063" i="14"/>
  <c r="V24063" i="14"/>
  <c r="U24063" i="14"/>
  <c r="T24063" i="14"/>
  <c r="Q24063" i="14"/>
  <c r="E24063" i="14"/>
  <c r="AH24062" i="14"/>
  <c r="V24062" i="14"/>
  <c r="T24062" i="14"/>
  <c r="Q24062" i="14"/>
  <c r="E24062" i="14"/>
  <c r="AH24061" i="14"/>
  <c r="V24061" i="14"/>
  <c r="T24061" i="14"/>
  <c r="Q24061" i="14"/>
  <c r="E24061" i="14"/>
  <c r="AH24060" i="14"/>
  <c r="Q24060" i="14"/>
  <c r="E24060" i="14"/>
  <c r="AH24059" i="14"/>
  <c r="V24059" i="14"/>
  <c r="T24059" i="14"/>
  <c r="Q24059" i="14"/>
  <c r="E24059" i="14"/>
  <c r="AH24058" i="14"/>
  <c r="V24058" i="14"/>
  <c r="T24058" i="14"/>
  <c r="Q24058" i="14"/>
  <c r="E24058" i="14"/>
  <c r="AH24057" i="14"/>
  <c r="T24057" i="14"/>
  <c r="Q24057" i="14"/>
  <c r="E24057" i="14"/>
  <c r="AH24056" i="14"/>
  <c r="T24056" i="14"/>
  <c r="Q24056" i="14"/>
  <c r="L24056" i="14"/>
  <c r="E24056" i="14"/>
  <c r="AH24055" i="14"/>
  <c r="T24055" i="14"/>
  <c r="G24055" i="14"/>
  <c r="E24055" i="14"/>
  <c r="AL24054" i="14"/>
  <c r="AH24054" i="14"/>
  <c r="V24054" i="14"/>
  <c r="T24054" i="14"/>
  <c r="Q24054" i="14"/>
  <c r="P24054" i="14"/>
  <c r="G24054" i="14"/>
  <c r="E24054" i="14"/>
  <c r="AH24053" i="14"/>
  <c r="V24053" i="14"/>
  <c r="U24053" i="14"/>
  <c r="T24053" i="14"/>
  <c r="Q24053" i="14"/>
  <c r="P24053" i="14"/>
  <c r="G24053" i="14"/>
  <c r="E24053" i="14"/>
  <c r="AH24052" i="14"/>
  <c r="V24052" i="14"/>
  <c r="T24052" i="14"/>
  <c r="Q24052" i="14"/>
  <c r="P24052" i="14"/>
  <c r="G24052" i="14"/>
  <c r="E24052" i="14"/>
  <c r="AH24051" i="14"/>
  <c r="AE24051" i="14"/>
  <c r="T24051" i="14"/>
  <c r="Q24051" i="14"/>
  <c r="P24051" i="14"/>
  <c r="O24051" i="14"/>
  <c r="L24051" i="14"/>
  <c r="K24051" i="14"/>
  <c r="I24051" i="14"/>
  <c r="E24051" i="14"/>
  <c r="AH24050" i="14"/>
  <c r="T24050" i="14"/>
  <c r="Q24050" i="14"/>
  <c r="E24050" i="14"/>
  <c r="AH24049" i="14"/>
  <c r="T24049" i="14"/>
  <c r="Q24049" i="14"/>
  <c r="E24049" i="14"/>
  <c r="AH24048" i="14"/>
  <c r="Q24048" i="14"/>
  <c r="E24048" i="14"/>
  <c r="AH24047" i="14"/>
  <c r="V24047" i="14"/>
  <c r="T24047" i="14"/>
  <c r="Q24047" i="14"/>
  <c r="E24047" i="14"/>
  <c r="AH24046" i="14"/>
  <c r="V24046" i="14"/>
  <c r="T24046" i="14"/>
  <c r="Q24046" i="14"/>
  <c r="P24046" i="14"/>
  <c r="O24046" i="14"/>
  <c r="E24046" i="14"/>
  <c r="AH24045" i="14"/>
  <c r="T24045" i="14"/>
  <c r="E24045" i="14"/>
  <c r="AH24044" i="14"/>
  <c r="AE24044" i="14"/>
  <c r="Q24044" i="14"/>
  <c r="E24044" i="14"/>
  <c r="AH24043" i="14"/>
  <c r="V24043" i="14"/>
  <c r="T24043" i="14"/>
  <c r="Q24043" i="14"/>
  <c r="E24043" i="14"/>
  <c r="AH24042" i="14"/>
  <c r="V24042" i="14"/>
  <c r="T24042" i="14"/>
  <c r="Q24042" i="14"/>
  <c r="E24042" i="14"/>
  <c r="AH24041" i="14"/>
  <c r="T24041" i="14"/>
  <c r="Q24041" i="14"/>
  <c r="E24041" i="14"/>
  <c r="AH24040" i="14"/>
  <c r="T24040" i="14"/>
  <c r="Q24040" i="14"/>
  <c r="E24040" i="14"/>
  <c r="AH24039" i="14"/>
  <c r="V24039" i="14"/>
  <c r="T24039" i="14"/>
  <c r="Q24039" i="14"/>
  <c r="E24039" i="14"/>
  <c r="AH24038" i="14"/>
  <c r="T24038" i="14"/>
  <c r="Q24038" i="14"/>
  <c r="E24038" i="14"/>
  <c r="AH24037" i="14"/>
  <c r="T24037" i="14"/>
  <c r="Q24037" i="14"/>
  <c r="E24037" i="14"/>
  <c r="AH24036" i="14"/>
  <c r="V24036" i="14"/>
  <c r="T24036" i="14"/>
  <c r="Q24036" i="14"/>
  <c r="E24036" i="14"/>
  <c r="AH24035" i="14"/>
  <c r="V24035" i="14"/>
  <c r="Q24035" i="14"/>
  <c r="E24035" i="14"/>
  <c r="AH24034" i="14"/>
  <c r="Q24034" i="14"/>
  <c r="E24034" i="14"/>
  <c r="AH24033" i="14"/>
  <c r="W24033" i="14"/>
  <c r="V24033" i="14"/>
  <c r="U24033" i="14"/>
  <c r="T24033" i="14"/>
  <c r="Q24033" i="14"/>
  <c r="O24033" i="14"/>
  <c r="E24033" i="14"/>
  <c r="AH24032" i="14"/>
  <c r="T24032" i="14"/>
  <c r="Q24032" i="14"/>
  <c r="P24032" i="14"/>
  <c r="E24032" i="14"/>
  <c r="AH24031" i="14"/>
  <c r="Q24031" i="14"/>
  <c r="E24031" i="14"/>
  <c r="AH24030" i="14"/>
  <c r="T24030" i="14"/>
  <c r="Q24030" i="14"/>
  <c r="P24030" i="14"/>
  <c r="O24030" i="14"/>
  <c r="E24030" i="14"/>
  <c r="AH24029" i="14"/>
  <c r="T24029" i="14"/>
  <c r="Q24029" i="14"/>
  <c r="P24029" i="14"/>
  <c r="O24029" i="14"/>
  <c r="E24029" i="14"/>
  <c r="AH24028" i="14"/>
  <c r="T24028" i="14"/>
  <c r="Q24028" i="14"/>
  <c r="O24028" i="14"/>
  <c r="E24028" i="14"/>
  <c r="AH24027" i="14"/>
  <c r="T24027" i="14"/>
  <c r="Q24027" i="14"/>
  <c r="O24027" i="14"/>
  <c r="E24027" i="14"/>
  <c r="AH24026" i="14"/>
  <c r="W24026" i="14"/>
  <c r="V24026" i="14"/>
  <c r="U24026" i="14"/>
  <c r="T24026" i="14"/>
  <c r="Q24026" i="14"/>
  <c r="E24026" i="14"/>
  <c r="AH24025" i="14"/>
  <c r="V24025" i="14"/>
  <c r="T24025" i="14"/>
  <c r="Q24025" i="14"/>
  <c r="E24025" i="14"/>
  <c r="AH24024" i="14"/>
  <c r="T24024" i="14"/>
  <c r="Q24024" i="14"/>
  <c r="E24024" i="14"/>
  <c r="AH24023" i="14"/>
  <c r="T24023" i="14"/>
  <c r="Q24023" i="14"/>
  <c r="E24023" i="14"/>
  <c r="AH24022" i="14"/>
  <c r="W24022" i="14"/>
  <c r="V24022" i="14"/>
  <c r="U24022" i="14"/>
  <c r="T24022" i="14"/>
  <c r="Q24022" i="14"/>
  <c r="P24022" i="14"/>
  <c r="O24022" i="14"/>
  <c r="E24022" i="14"/>
  <c r="AH24021" i="14"/>
  <c r="V24021" i="14"/>
  <c r="T24021" i="14"/>
  <c r="Q24021" i="14"/>
  <c r="P24021" i="14"/>
  <c r="O24021" i="14"/>
  <c r="E24021" i="14"/>
  <c r="AH24020" i="14"/>
  <c r="V24020" i="14"/>
  <c r="U24020" i="14"/>
  <c r="T24020" i="14"/>
  <c r="Q24020" i="14"/>
  <c r="P24020" i="14"/>
  <c r="E24020" i="14"/>
  <c r="AH24019" i="14"/>
  <c r="E24019" i="14"/>
  <c r="AH24018" i="14"/>
  <c r="U24018" i="14"/>
  <c r="T24018" i="14"/>
  <c r="Q24018" i="14"/>
  <c r="M24018" i="14"/>
  <c r="E24018" i="14"/>
  <c r="AH24017" i="14"/>
  <c r="Q24017" i="14"/>
  <c r="E24017" i="14"/>
  <c r="AH24016" i="14"/>
  <c r="U24016" i="14"/>
  <c r="T24016" i="14"/>
  <c r="Q24016" i="14"/>
  <c r="E24016" i="14"/>
  <c r="AH24015" i="14"/>
  <c r="Q24015" i="14"/>
  <c r="P24015" i="14"/>
  <c r="O24015" i="14"/>
  <c r="E24015" i="14"/>
  <c r="AH24014" i="14"/>
  <c r="V24014" i="14"/>
  <c r="T24014" i="14"/>
  <c r="Q24014" i="14"/>
  <c r="P24014" i="14"/>
  <c r="O24014" i="14"/>
  <c r="E24014" i="14"/>
  <c r="AH24013" i="14"/>
  <c r="V24013" i="14"/>
  <c r="T24013" i="14"/>
  <c r="Q24013" i="14"/>
  <c r="E24013" i="14"/>
  <c r="AH24012" i="14"/>
  <c r="V24012" i="14"/>
  <c r="U24012" i="14"/>
  <c r="T24012" i="14"/>
  <c r="Q24012" i="14"/>
  <c r="M24012" i="14"/>
  <c r="E24012" i="14"/>
  <c r="AH24011" i="14"/>
  <c r="T24011" i="14"/>
  <c r="E24011" i="14"/>
  <c r="AH24010" i="14"/>
  <c r="E24010" i="14"/>
  <c r="AH24009" i="14"/>
  <c r="T24009" i="14"/>
  <c r="E24009" i="14"/>
  <c r="AH24008" i="14"/>
  <c r="E24008" i="14"/>
  <c r="AH24007" i="14"/>
  <c r="T24007" i="14"/>
  <c r="E24007" i="14"/>
  <c r="AH24006" i="14"/>
  <c r="T24006" i="14"/>
  <c r="E24006" i="14"/>
  <c r="AH24005" i="14"/>
  <c r="T24005" i="14"/>
  <c r="E24005" i="14"/>
  <c r="AH24004" i="14"/>
  <c r="T24004" i="14"/>
  <c r="E24004" i="14"/>
  <c r="AH24003" i="14"/>
  <c r="E24003" i="14"/>
  <c r="AH24002" i="14"/>
  <c r="T24002" i="14"/>
  <c r="E24002" i="14"/>
  <c r="AH24001" i="14"/>
  <c r="T24001" i="14"/>
  <c r="E24001" i="14"/>
  <c r="AH24000" i="14"/>
  <c r="T24000" i="14"/>
  <c r="E24000" i="14"/>
  <c r="AH23999" i="14"/>
  <c r="T23999" i="14"/>
  <c r="E23999" i="14"/>
  <c r="AH23998" i="14"/>
  <c r="T23998" i="14"/>
  <c r="E23998" i="14"/>
  <c r="AH23997" i="14"/>
  <c r="E23997" i="14"/>
  <c r="AH23996" i="14"/>
  <c r="T23996" i="14"/>
  <c r="E23996" i="14"/>
  <c r="AH23995" i="14"/>
  <c r="T23995" i="14"/>
  <c r="E23995" i="14"/>
  <c r="AH23994" i="14"/>
  <c r="T23994" i="14"/>
  <c r="E23994" i="14"/>
  <c r="AH23993" i="14"/>
  <c r="T23993" i="14"/>
  <c r="Q23993" i="14"/>
  <c r="O23993" i="14"/>
  <c r="E23993" i="14"/>
  <c r="AH23992" i="14"/>
  <c r="V23992" i="14"/>
  <c r="T23992" i="14"/>
  <c r="Q23992" i="14"/>
  <c r="O23992" i="14"/>
  <c r="E23992" i="14"/>
  <c r="AH23991" i="14"/>
  <c r="V23991" i="14"/>
  <c r="U23991" i="14"/>
  <c r="Q23991" i="14"/>
  <c r="E23991" i="14"/>
  <c r="AH23990" i="14"/>
  <c r="V23990" i="14"/>
  <c r="T23990" i="14"/>
  <c r="Q23990" i="14"/>
  <c r="P23990" i="14"/>
  <c r="O23990" i="14"/>
  <c r="E23990" i="14"/>
  <c r="AH23989" i="14"/>
  <c r="V23989" i="14"/>
  <c r="T23989" i="14"/>
  <c r="Q23989" i="14"/>
  <c r="O23989" i="14"/>
  <c r="E23989" i="14"/>
  <c r="AH23988" i="14"/>
  <c r="V23988" i="14"/>
  <c r="T23988" i="14"/>
  <c r="Q23988" i="14"/>
  <c r="E23988" i="14"/>
  <c r="AH23987" i="14"/>
  <c r="V23987" i="14"/>
  <c r="T23987" i="14"/>
  <c r="Q23987" i="14"/>
  <c r="E23987" i="14"/>
  <c r="AH23986" i="14"/>
  <c r="V23986" i="14"/>
  <c r="T23986" i="14"/>
  <c r="Q23986" i="14"/>
  <c r="E23986" i="14"/>
  <c r="AH23985" i="14"/>
  <c r="V23985" i="14"/>
  <c r="T23985" i="14"/>
  <c r="Q23985" i="14"/>
  <c r="E23985" i="14"/>
  <c r="AH23984" i="14"/>
  <c r="V23984" i="14"/>
  <c r="Q23984" i="14"/>
  <c r="E23984" i="14"/>
  <c r="AH23983" i="14"/>
  <c r="V23983" i="14"/>
  <c r="T23983" i="14"/>
  <c r="Q23983" i="14"/>
  <c r="E23983" i="14"/>
  <c r="AH23982" i="14"/>
  <c r="V23982" i="14"/>
  <c r="T23982" i="14"/>
  <c r="Q23982" i="14"/>
  <c r="P23982" i="14"/>
  <c r="O23982" i="14"/>
  <c r="E23982" i="14"/>
  <c r="AH23981" i="14"/>
  <c r="V23981" i="14"/>
  <c r="T23981" i="14"/>
  <c r="Q23981" i="14"/>
  <c r="O23981" i="14"/>
  <c r="E23981" i="14"/>
  <c r="AH23980" i="14"/>
  <c r="W23980" i="14"/>
  <c r="V23980" i="14"/>
  <c r="U23980" i="14"/>
  <c r="T23980" i="14"/>
  <c r="Q23980" i="14"/>
  <c r="P23980" i="14"/>
  <c r="O23980" i="14"/>
  <c r="M23980" i="14"/>
  <c r="E23980" i="14"/>
  <c r="AH23979" i="14"/>
  <c r="V23979" i="14"/>
  <c r="U23979" i="14"/>
  <c r="T23979" i="14"/>
  <c r="Q23979" i="14"/>
  <c r="E23979" i="14"/>
  <c r="AH23978" i="14"/>
  <c r="W23978" i="14"/>
  <c r="V23978" i="14"/>
  <c r="T23978" i="14"/>
  <c r="Q23978" i="14"/>
  <c r="P23978" i="14"/>
  <c r="O23978" i="14"/>
  <c r="M23978" i="14"/>
  <c r="E23978" i="14"/>
  <c r="AH23977" i="14"/>
  <c r="Q23977" i="14"/>
  <c r="E23977" i="14"/>
  <c r="AH23976" i="14"/>
  <c r="V23976" i="14"/>
  <c r="T23976" i="14"/>
  <c r="Q23976" i="14"/>
  <c r="E23976" i="14"/>
  <c r="AH23975" i="14"/>
  <c r="V23975" i="14"/>
  <c r="U23975" i="14"/>
  <c r="T23975" i="14"/>
  <c r="Q23975" i="14"/>
  <c r="E23975" i="14"/>
  <c r="AH23974" i="14"/>
  <c r="V23974" i="14"/>
  <c r="T23974" i="14"/>
  <c r="Q23974" i="14"/>
  <c r="E23974" i="14"/>
  <c r="AH23973" i="14"/>
  <c r="V23973" i="14"/>
  <c r="Q23973" i="14"/>
  <c r="O23973" i="14"/>
  <c r="E23973" i="14"/>
  <c r="AH23972" i="14"/>
  <c r="Q23972" i="14"/>
  <c r="E23972" i="14"/>
  <c r="AH23971" i="14"/>
  <c r="V23971" i="14"/>
  <c r="T23971" i="14"/>
  <c r="Q23971" i="14"/>
  <c r="P23971" i="14"/>
  <c r="O23971" i="14"/>
  <c r="E23971" i="14"/>
  <c r="AH23970" i="14"/>
  <c r="T23970" i="14"/>
  <c r="Q23970" i="14"/>
  <c r="E23970" i="14"/>
  <c r="AH23969" i="14"/>
  <c r="V23969" i="14"/>
  <c r="T23969" i="14"/>
  <c r="Q23969" i="14"/>
  <c r="E23969" i="14"/>
  <c r="AH23968" i="14"/>
  <c r="V23968" i="14"/>
  <c r="T23968" i="14"/>
  <c r="Q23968" i="14"/>
  <c r="E23968" i="14"/>
  <c r="AH23967" i="14"/>
  <c r="V23967" i="14"/>
  <c r="Q23967" i="14"/>
  <c r="O23967" i="14"/>
  <c r="E23967" i="14"/>
  <c r="AH23966" i="14"/>
  <c r="V23966" i="14"/>
  <c r="U23966" i="14"/>
  <c r="T23966" i="14"/>
  <c r="Q23966" i="14"/>
  <c r="E23966" i="14"/>
  <c r="AH23965" i="14"/>
  <c r="V23965" i="14"/>
  <c r="Q23965" i="14"/>
  <c r="O23965" i="14"/>
  <c r="E23965" i="14"/>
  <c r="AH23964" i="14"/>
  <c r="V23964" i="14"/>
  <c r="Q23964" i="14"/>
  <c r="E23964" i="14"/>
  <c r="AH23963" i="14"/>
  <c r="V23963" i="14"/>
  <c r="T23963" i="14"/>
  <c r="Q23963" i="14"/>
  <c r="E23963" i="14"/>
  <c r="AH23962" i="14"/>
  <c r="U23962" i="14"/>
  <c r="T23962" i="14"/>
  <c r="Q23962" i="14"/>
  <c r="E23962" i="14"/>
  <c r="AH23961" i="14"/>
  <c r="V23961" i="14"/>
  <c r="T23961" i="14"/>
  <c r="Q23961" i="14"/>
  <c r="P23961" i="14"/>
  <c r="O23961" i="14"/>
  <c r="L23961" i="14"/>
  <c r="E23961" i="14"/>
  <c r="AH23960" i="14"/>
  <c r="E23960" i="14"/>
  <c r="AH23959" i="14"/>
  <c r="V23959" i="14"/>
  <c r="T23959" i="14"/>
  <c r="Q23959" i="14"/>
  <c r="E23959" i="14"/>
  <c r="AH23958" i="14"/>
  <c r="V23958" i="14"/>
  <c r="T23958" i="14"/>
  <c r="Q23958" i="14"/>
  <c r="E23958" i="14"/>
  <c r="AH23957" i="14"/>
  <c r="V23957" i="14"/>
  <c r="T23957" i="14"/>
  <c r="Q23957" i="14"/>
  <c r="E23957" i="14"/>
  <c r="AH23956" i="14"/>
  <c r="P23956" i="14"/>
  <c r="O23956" i="14"/>
  <c r="E23956" i="14"/>
  <c r="AH23955" i="14"/>
  <c r="V23955" i="14"/>
  <c r="T23955" i="14"/>
  <c r="P23955" i="14"/>
  <c r="E23955" i="14"/>
  <c r="AH23954" i="14"/>
  <c r="V23954" i="14"/>
  <c r="U23954" i="14"/>
  <c r="T23954" i="14"/>
  <c r="Q23954" i="14"/>
  <c r="P23954" i="14"/>
  <c r="O23954" i="14"/>
  <c r="E23954" i="14"/>
  <c r="AH23953" i="14"/>
  <c r="V23953" i="14"/>
  <c r="T23953" i="14"/>
  <c r="P23953" i="14"/>
  <c r="E23953" i="14"/>
  <c r="AH23952" i="14"/>
  <c r="W23952" i="14"/>
  <c r="V23952" i="14"/>
  <c r="T23952" i="14"/>
  <c r="Q23952" i="14"/>
  <c r="E23952" i="14"/>
  <c r="AH23951" i="14"/>
  <c r="Q23951" i="14"/>
  <c r="O23951" i="14"/>
  <c r="E23951" i="14"/>
  <c r="AH23950" i="14"/>
  <c r="V23950" i="14"/>
  <c r="T23950" i="14"/>
  <c r="Q23950" i="14"/>
  <c r="E23950" i="14"/>
  <c r="AH23949" i="14"/>
  <c r="V23949" i="14"/>
  <c r="U23949" i="14"/>
  <c r="T23949" i="14"/>
  <c r="Q23949" i="14"/>
  <c r="E23949" i="14"/>
  <c r="AH23948" i="14"/>
  <c r="T23948" i="14"/>
  <c r="Q23948" i="14"/>
  <c r="L23948" i="14"/>
  <c r="E23948" i="14"/>
  <c r="AH23947" i="14"/>
  <c r="Q23947" i="14"/>
  <c r="O23947" i="14"/>
  <c r="E23947" i="14"/>
  <c r="AH23946" i="14"/>
  <c r="V23946" i="14"/>
  <c r="Q23946" i="14"/>
  <c r="E23946" i="14"/>
  <c r="AH23945" i="14"/>
  <c r="AE23945" i="14"/>
  <c r="W23945" i="14"/>
  <c r="V23945" i="14"/>
  <c r="Q23945" i="14"/>
  <c r="L23945" i="14"/>
  <c r="E23945" i="14"/>
  <c r="AH23944" i="14"/>
  <c r="V23944" i="14"/>
  <c r="T23944" i="14"/>
  <c r="Q23944" i="14"/>
  <c r="E23944" i="14"/>
  <c r="AH23943" i="14"/>
  <c r="V23943" i="14"/>
  <c r="U23943" i="14"/>
  <c r="T23943" i="14"/>
  <c r="Q23943" i="14"/>
  <c r="O23943" i="14"/>
  <c r="E23943" i="14"/>
  <c r="AH23942" i="14"/>
  <c r="V23942" i="14"/>
  <c r="T23942" i="14"/>
  <c r="Q23942" i="14"/>
  <c r="E23942" i="14"/>
  <c r="AH23941" i="14"/>
  <c r="U23941" i="14"/>
  <c r="T23941" i="14"/>
  <c r="Q23941" i="14"/>
  <c r="E23941" i="14"/>
  <c r="AH23940" i="14"/>
  <c r="V23940" i="14"/>
  <c r="T23940" i="14"/>
  <c r="Q23940" i="14"/>
  <c r="E23940" i="14"/>
  <c r="AH23939" i="14"/>
  <c r="V23939" i="14"/>
  <c r="T23939" i="14"/>
  <c r="Q23939" i="14"/>
  <c r="P23939" i="14"/>
  <c r="O23939" i="14"/>
  <c r="E23939" i="14"/>
  <c r="AH23938" i="14"/>
  <c r="V23938" i="14"/>
  <c r="T23938" i="14"/>
  <c r="Q23938" i="14"/>
  <c r="O23938" i="14"/>
  <c r="E23938" i="14"/>
  <c r="AH23937" i="14"/>
  <c r="V23937" i="14"/>
  <c r="T23937" i="14"/>
  <c r="Q23937" i="14"/>
  <c r="E23937" i="14"/>
  <c r="AH23936" i="14"/>
  <c r="V23936" i="14"/>
  <c r="T23936" i="14"/>
  <c r="Q23936" i="14"/>
  <c r="P23936" i="14"/>
  <c r="E23936" i="14"/>
  <c r="AH23935" i="14"/>
  <c r="V23935" i="14"/>
  <c r="U23935" i="14"/>
  <c r="T23935" i="14"/>
  <c r="Q23935" i="14"/>
  <c r="O23935" i="14"/>
  <c r="E23935" i="14"/>
  <c r="AH23934" i="14"/>
  <c r="Q23934" i="14"/>
  <c r="O23934" i="14"/>
  <c r="E23934" i="14"/>
  <c r="AH23933" i="14"/>
  <c r="W23933" i="14"/>
  <c r="V23933" i="14"/>
  <c r="T23933" i="14"/>
  <c r="Q23933" i="14"/>
  <c r="E23933" i="14"/>
  <c r="AH23932" i="14"/>
  <c r="V23932" i="14"/>
  <c r="T23932" i="14"/>
  <c r="Q23932" i="14"/>
  <c r="E23932" i="14"/>
  <c r="AH23931" i="14"/>
  <c r="V23931" i="14"/>
  <c r="U23931" i="14"/>
  <c r="T23931" i="14"/>
  <c r="Q23931" i="14"/>
  <c r="O23931" i="14"/>
  <c r="M23931" i="14"/>
  <c r="E23931" i="14"/>
  <c r="AH23930" i="14"/>
  <c r="W23930" i="14"/>
  <c r="V23930" i="14"/>
  <c r="U23930" i="14"/>
  <c r="T23930" i="14"/>
  <c r="Q23930" i="14"/>
  <c r="M23930" i="14"/>
  <c r="E23930" i="14"/>
  <c r="AH23929" i="14"/>
  <c r="V23929" i="14"/>
  <c r="T23929" i="14"/>
  <c r="Q23929" i="14"/>
  <c r="O23929" i="14"/>
  <c r="E23929" i="14"/>
  <c r="AH23928" i="14"/>
  <c r="E23928" i="14"/>
  <c r="AH23927" i="14"/>
  <c r="U23927" i="14"/>
  <c r="T23927" i="14"/>
  <c r="Q23927" i="14"/>
  <c r="M23927" i="14"/>
  <c r="E23927" i="14"/>
  <c r="AH23926" i="14"/>
  <c r="AE23926" i="14"/>
  <c r="W23926" i="14"/>
  <c r="V23926" i="14"/>
  <c r="Q23926" i="14"/>
  <c r="P23926" i="14"/>
  <c r="O23926" i="14"/>
  <c r="L23926" i="14"/>
  <c r="E23926" i="14"/>
  <c r="AH23925" i="14"/>
  <c r="W23925" i="14"/>
  <c r="V23925" i="14"/>
  <c r="Q23925" i="14"/>
  <c r="M23925" i="14"/>
  <c r="E23925" i="14"/>
  <c r="AH23924" i="14"/>
  <c r="V23924" i="14"/>
  <c r="Q23924" i="14"/>
  <c r="E23924" i="14"/>
  <c r="AH23923" i="14"/>
  <c r="V23923" i="14"/>
  <c r="U23923" i="14"/>
  <c r="T23923" i="14"/>
  <c r="Q23923" i="14"/>
  <c r="P23923" i="14"/>
  <c r="O23923" i="14"/>
  <c r="E23923" i="14"/>
  <c r="AH23922" i="14"/>
  <c r="AE23922" i="14"/>
  <c r="W23922" i="14"/>
  <c r="V23922" i="14"/>
  <c r="Q23922" i="14"/>
  <c r="L23922" i="14"/>
  <c r="E23922" i="14"/>
  <c r="AH23921" i="14"/>
  <c r="V23921" i="14"/>
  <c r="T23921" i="14"/>
  <c r="Q23921" i="14"/>
  <c r="E23921" i="14"/>
  <c r="AL23920" i="14"/>
  <c r="AH23920" i="14"/>
  <c r="Q23920" i="14"/>
  <c r="E23920" i="14"/>
  <c r="AH23919" i="14"/>
  <c r="V23919" i="14"/>
  <c r="Q23919" i="14"/>
  <c r="E23919" i="14"/>
  <c r="AH23918" i="14"/>
  <c r="V23918" i="14"/>
  <c r="U23918" i="14"/>
  <c r="T23918" i="14"/>
  <c r="Q23918" i="14"/>
  <c r="E23918" i="14"/>
  <c r="AH23917" i="14"/>
  <c r="Q23917" i="14"/>
  <c r="E23917" i="14"/>
  <c r="AH23916" i="14"/>
  <c r="V23916" i="14"/>
  <c r="U23916" i="14"/>
  <c r="T23916" i="14"/>
  <c r="Q23916" i="14"/>
  <c r="P23916" i="14"/>
  <c r="O23916" i="14"/>
  <c r="E23916" i="14"/>
  <c r="AH23915" i="14"/>
  <c r="V23915" i="14"/>
  <c r="T23915" i="14"/>
  <c r="Q23915" i="14"/>
  <c r="E23915" i="14"/>
  <c r="AH23914" i="14"/>
  <c r="E23914" i="14"/>
  <c r="AH23913" i="14"/>
  <c r="V23913" i="14"/>
  <c r="T23913" i="14"/>
  <c r="Q23913" i="14"/>
  <c r="P23913" i="14"/>
  <c r="O23913" i="14"/>
  <c r="E23913" i="14"/>
  <c r="AH23912" i="14"/>
  <c r="V23912" i="14"/>
  <c r="T23912" i="14"/>
  <c r="Q23912" i="14"/>
  <c r="P23912" i="14"/>
  <c r="O23912" i="14"/>
  <c r="E23912" i="14"/>
  <c r="AH23911" i="14"/>
  <c r="T23911" i="14"/>
  <c r="E23911" i="14"/>
  <c r="AH23910" i="14"/>
  <c r="E23910" i="14"/>
  <c r="AH23909" i="14"/>
  <c r="E23909" i="14"/>
  <c r="AH23908" i="14"/>
  <c r="T23908" i="14"/>
  <c r="E23908" i="14"/>
  <c r="AH23907" i="14"/>
  <c r="T23907" i="14"/>
  <c r="Q23907" i="14"/>
  <c r="E23907" i="14"/>
  <c r="AH23906" i="14"/>
  <c r="T23906" i="14"/>
  <c r="Q23906" i="14"/>
  <c r="E23906" i="14"/>
  <c r="AH23905" i="14"/>
  <c r="V23905" i="14"/>
  <c r="Q23905" i="14"/>
  <c r="E23905" i="14"/>
  <c r="AH23904" i="14"/>
  <c r="V23904" i="14"/>
  <c r="T23904" i="14"/>
  <c r="Q23904" i="14"/>
  <c r="E23904" i="14"/>
  <c r="AH23903" i="14"/>
  <c r="Q23903" i="14"/>
  <c r="E23903" i="14"/>
  <c r="AH23902" i="14"/>
  <c r="V23902" i="14"/>
  <c r="U23902" i="14"/>
  <c r="T23902" i="14"/>
  <c r="Q23902" i="14"/>
  <c r="M23902" i="14"/>
  <c r="E23902" i="14"/>
  <c r="AH23901" i="14"/>
  <c r="V23901" i="14"/>
  <c r="T23901" i="14"/>
  <c r="Q23901" i="14"/>
  <c r="E23901" i="14"/>
  <c r="AH23900" i="14"/>
  <c r="U23900" i="14"/>
  <c r="T23900" i="14"/>
  <c r="Q23900" i="14"/>
  <c r="E23900" i="14"/>
  <c r="AH23899" i="14"/>
  <c r="E23899" i="14"/>
  <c r="AH23898" i="14"/>
  <c r="T23898" i="14"/>
  <c r="Q23898" i="14"/>
  <c r="E23898" i="14"/>
  <c r="AH23897" i="14"/>
  <c r="V23897" i="14"/>
  <c r="Q23897" i="14"/>
  <c r="E23897" i="14"/>
  <c r="AH23896" i="14"/>
  <c r="V23896" i="14"/>
  <c r="Q23896" i="14"/>
  <c r="E23896" i="14"/>
  <c r="AH23895" i="14"/>
  <c r="Q23895" i="14"/>
  <c r="E23895" i="14"/>
  <c r="AH23894" i="14"/>
  <c r="V23894" i="14"/>
  <c r="T23894" i="14"/>
  <c r="Q23894" i="14"/>
  <c r="E23894" i="14"/>
  <c r="AH23893" i="14"/>
  <c r="V23893" i="14"/>
  <c r="T23893" i="14"/>
  <c r="Q23893" i="14"/>
  <c r="E23893" i="14"/>
  <c r="AH23892" i="14"/>
  <c r="V23892" i="14"/>
  <c r="T23892" i="14"/>
  <c r="Q23892" i="14"/>
  <c r="E23892" i="14"/>
  <c r="AH23891" i="14"/>
  <c r="V23891" i="14"/>
  <c r="T23891" i="14"/>
  <c r="Q23891" i="14"/>
  <c r="E23891" i="14"/>
  <c r="AH23890" i="14"/>
  <c r="W23890" i="14"/>
  <c r="V23890" i="14"/>
  <c r="T23890" i="14"/>
  <c r="Q23890" i="14"/>
  <c r="E23890" i="14"/>
  <c r="AH23889" i="14"/>
  <c r="V23889" i="14"/>
  <c r="U23889" i="14"/>
  <c r="T23889" i="14"/>
  <c r="Q23889" i="14"/>
  <c r="P23889" i="14"/>
  <c r="E23889" i="14"/>
  <c r="AH23888" i="14"/>
  <c r="T23888" i="14"/>
  <c r="E23888" i="14"/>
  <c r="AH23887" i="14"/>
  <c r="V23887" i="14"/>
  <c r="T23887" i="14"/>
  <c r="Q23887" i="14"/>
  <c r="E23887" i="14"/>
  <c r="AH23886" i="14"/>
  <c r="V23886" i="14"/>
  <c r="T23886" i="14"/>
  <c r="Q23886" i="14"/>
  <c r="P23886" i="14"/>
  <c r="E23886" i="14"/>
  <c r="AH23885" i="14"/>
  <c r="T23885" i="14"/>
  <c r="Q23885" i="14"/>
  <c r="E23885" i="14"/>
  <c r="AH23884" i="14"/>
  <c r="V23884" i="14"/>
  <c r="T23884" i="14"/>
  <c r="Q23884" i="14"/>
  <c r="E23884" i="14"/>
  <c r="AH23883" i="14"/>
  <c r="W23883" i="14"/>
  <c r="V23883" i="14"/>
  <c r="Q23883" i="14"/>
  <c r="M23883" i="14"/>
  <c r="E23883" i="14"/>
  <c r="AH23882" i="14"/>
  <c r="V23882" i="14"/>
  <c r="T23882" i="14"/>
  <c r="Q23882" i="14"/>
  <c r="E23882" i="14"/>
  <c r="AH23881" i="14"/>
  <c r="W23881" i="14"/>
  <c r="V23881" i="14"/>
  <c r="Q23881" i="14"/>
  <c r="E23881" i="14"/>
  <c r="AH23880" i="14"/>
  <c r="V23880" i="14"/>
  <c r="T23880" i="14"/>
  <c r="Q23880" i="14"/>
  <c r="E23880" i="14"/>
  <c r="AH23879" i="14"/>
  <c r="V23879" i="14"/>
  <c r="T23879" i="14"/>
  <c r="Q23879" i="14"/>
  <c r="E23879" i="14"/>
  <c r="AH23878" i="14"/>
  <c r="V23878" i="14"/>
  <c r="Q23878" i="14"/>
  <c r="E23878" i="14"/>
  <c r="AH23877" i="14"/>
  <c r="V23877" i="14"/>
  <c r="T23877" i="14"/>
  <c r="Q23877" i="14"/>
  <c r="E23877" i="14"/>
  <c r="AH23876" i="14"/>
  <c r="T23876" i="14"/>
  <c r="Q23876" i="14"/>
  <c r="E23876" i="14"/>
  <c r="AH23875" i="14"/>
  <c r="V23875" i="14"/>
  <c r="Q23875" i="14"/>
  <c r="M23875" i="14"/>
  <c r="E23875" i="14"/>
  <c r="AH23874" i="14"/>
  <c r="V23874" i="14"/>
  <c r="T23874" i="14"/>
  <c r="Q23874" i="14"/>
  <c r="E23874" i="14"/>
  <c r="AH23873" i="14"/>
  <c r="V23873" i="14"/>
  <c r="Q23873" i="14"/>
  <c r="E23873" i="14"/>
  <c r="AH23872" i="14"/>
  <c r="AF23872" i="14"/>
  <c r="AE23872" i="14"/>
  <c r="W23872" i="14"/>
  <c r="V23872" i="14"/>
  <c r="U23872" i="14"/>
  <c r="T23872" i="14"/>
  <c r="Q23872" i="14"/>
  <c r="L23872" i="14"/>
  <c r="E23872" i="14"/>
  <c r="AH23871" i="14"/>
  <c r="V23871" i="14"/>
  <c r="T23871" i="14"/>
  <c r="Q23871" i="14"/>
  <c r="P23871" i="14"/>
  <c r="E23871" i="14"/>
  <c r="AH23870" i="14"/>
  <c r="U23870" i="14"/>
  <c r="Q23870" i="14"/>
  <c r="P23870" i="14"/>
  <c r="E23870" i="14"/>
  <c r="AH23869" i="14"/>
  <c r="V23869" i="14"/>
  <c r="T23869" i="14"/>
  <c r="Q23869" i="14"/>
  <c r="P23869" i="14"/>
  <c r="E23869" i="14"/>
  <c r="AH23868" i="14"/>
  <c r="V23868" i="14"/>
  <c r="T23868" i="14"/>
  <c r="Q23868" i="14"/>
  <c r="P23868" i="14"/>
  <c r="O23868" i="14"/>
  <c r="E23868" i="14"/>
  <c r="AH23867" i="14"/>
  <c r="V23867" i="14"/>
  <c r="T23867" i="14"/>
  <c r="Q23867" i="14"/>
  <c r="P23867" i="14"/>
  <c r="E23867" i="14"/>
  <c r="AH23866" i="14"/>
  <c r="T23866" i="14"/>
  <c r="Q23866" i="14"/>
  <c r="P23866" i="14"/>
  <c r="O23866" i="14"/>
  <c r="E23866" i="14"/>
  <c r="AH23865" i="14"/>
  <c r="V23865" i="14"/>
  <c r="T23865" i="14"/>
  <c r="Q23865" i="14"/>
  <c r="P23865" i="14"/>
  <c r="O23865" i="14"/>
  <c r="E23865" i="14"/>
  <c r="AH23864" i="14"/>
  <c r="V23864" i="14"/>
  <c r="T23864" i="14"/>
  <c r="Q23864" i="14"/>
  <c r="P23864" i="14"/>
  <c r="O23864" i="14"/>
  <c r="E23864" i="14"/>
  <c r="AH23863" i="14"/>
  <c r="W23863" i="14"/>
  <c r="V23863" i="14"/>
  <c r="U23863" i="14"/>
  <c r="T23863" i="14"/>
  <c r="Q23863" i="14"/>
  <c r="P23863" i="14"/>
  <c r="O23863" i="14"/>
  <c r="E23863" i="14"/>
  <c r="AH23862" i="14"/>
  <c r="V23862" i="14"/>
  <c r="T23862" i="14"/>
  <c r="Q23862" i="14"/>
  <c r="P23862" i="14"/>
  <c r="E23862" i="14"/>
  <c r="AH23861" i="14"/>
  <c r="V23861" i="14"/>
  <c r="T23861" i="14"/>
  <c r="Q23861" i="14"/>
  <c r="E23861" i="14"/>
  <c r="AH23860" i="14"/>
  <c r="W23860" i="14"/>
  <c r="V23860" i="14"/>
  <c r="Q23860" i="14"/>
  <c r="P23860" i="14"/>
  <c r="O23860" i="14"/>
  <c r="E23860" i="14"/>
  <c r="AH23859" i="14"/>
  <c r="T23859" i="14"/>
  <c r="Q23859" i="14"/>
  <c r="P23859" i="14"/>
  <c r="O23859" i="14"/>
  <c r="E23859" i="14"/>
  <c r="AH23858" i="14"/>
  <c r="Q23858" i="14"/>
  <c r="P23858" i="14"/>
  <c r="O23858" i="14"/>
  <c r="L23858" i="14"/>
  <c r="E23858" i="14"/>
  <c r="AH23857" i="14"/>
  <c r="U23857" i="14"/>
  <c r="T23857" i="14"/>
  <c r="Q23857" i="14"/>
  <c r="E23857" i="14"/>
  <c r="AH23856" i="14"/>
  <c r="T23856" i="14"/>
  <c r="E23856" i="14"/>
  <c r="AH23855" i="14"/>
  <c r="T23855" i="14"/>
  <c r="Q23855" i="14"/>
  <c r="E23855" i="14"/>
  <c r="AH23854" i="14"/>
  <c r="T23854" i="14"/>
  <c r="Q23854" i="14"/>
  <c r="E23854" i="14"/>
  <c r="AH23853" i="14"/>
  <c r="AG23853" i="14"/>
  <c r="AE23853" i="14"/>
  <c r="W23853" i="14"/>
  <c r="V23853" i="14"/>
  <c r="Q23853" i="14"/>
  <c r="P23853" i="14"/>
  <c r="O23853" i="14"/>
  <c r="L23853" i="14"/>
  <c r="K23853" i="14"/>
  <c r="I23853" i="14"/>
  <c r="E23853" i="14"/>
  <c r="AH23852" i="14"/>
  <c r="V23852" i="14"/>
  <c r="Q23852" i="14"/>
  <c r="O23852" i="14"/>
  <c r="E23852" i="14"/>
  <c r="AH23851" i="14"/>
  <c r="V23851" i="14"/>
  <c r="T23851" i="14"/>
  <c r="Q23851" i="14"/>
  <c r="E23851" i="14"/>
  <c r="AH23850" i="14"/>
  <c r="V23850" i="14"/>
  <c r="U23850" i="14"/>
  <c r="T23850" i="14"/>
  <c r="Q23850" i="14"/>
  <c r="E23850" i="14"/>
  <c r="AH23849" i="14"/>
  <c r="W23849" i="14"/>
  <c r="V23849" i="14"/>
  <c r="U23849" i="14"/>
  <c r="T23849" i="14"/>
  <c r="Q23849" i="14"/>
  <c r="M23849" i="14"/>
  <c r="E23849" i="14"/>
  <c r="AH23848" i="14"/>
  <c r="V23848" i="14"/>
  <c r="T23848" i="14"/>
  <c r="Q23848" i="14"/>
  <c r="P23848" i="14"/>
  <c r="O23848" i="14"/>
  <c r="E23848" i="14"/>
  <c r="AH23847" i="14"/>
  <c r="E23847" i="14"/>
  <c r="AH23846" i="14"/>
  <c r="V23846" i="14"/>
  <c r="T23846" i="14"/>
  <c r="Q23846" i="14"/>
  <c r="P23846" i="14"/>
  <c r="O23846" i="14"/>
  <c r="M23846" i="14"/>
  <c r="E23846" i="14"/>
  <c r="AH23845" i="14"/>
  <c r="U23845" i="14"/>
  <c r="T23845" i="14"/>
  <c r="Q23845" i="14"/>
  <c r="E23845" i="14"/>
  <c r="AH23844" i="14"/>
  <c r="AE23844" i="14"/>
  <c r="U23844" i="14"/>
  <c r="T23844" i="14"/>
  <c r="Q23844" i="14"/>
  <c r="E23844" i="14"/>
  <c r="AH23843" i="14"/>
  <c r="V23843" i="14"/>
  <c r="U23843" i="14"/>
  <c r="T23843" i="14"/>
  <c r="Q23843" i="14"/>
  <c r="E23843" i="14"/>
  <c r="AH23842" i="14"/>
  <c r="W23842" i="14"/>
  <c r="V23842" i="14"/>
  <c r="Q23842" i="14"/>
  <c r="M23842" i="14"/>
  <c r="E23842" i="14"/>
  <c r="AH23841" i="14"/>
  <c r="Q23841" i="14"/>
  <c r="E23841" i="14"/>
  <c r="AH23840" i="14"/>
  <c r="W23840" i="14"/>
  <c r="V23840" i="14"/>
  <c r="Q23840" i="14"/>
  <c r="E23840" i="14"/>
  <c r="AH23839" i="14"/>
  <c r="U23839" i="14"/>
  <c r="T23839" i="14"/>
  <c r="Q23839" i="14"/>
  <c r="E23839" i="14"/>
  <c r="AH23838" i="14"/>
  <c r="T23838" i="14"/>
  <c r="Q23838" i="14"/>
  <c r="E23838" i="14"/>
  <c r="AH23837" i="14"/>
  <c r="V23837" i="14"/>
  <c r="T23837" i="14"/>
  <c r="Q23837" i="14"/>
  <c r="P23837" i="14"/>
  <c r="E23837" i="14"/>
  <c r="AH23836" i="14"/>
  <c r="W23836" i="14"/>
  <c r="V23836" i="14"/>
  <c r="Q23836" i="14"/>
  <c r="E23836" i="14"/>
  <c r="AH23835" i="14"/>
  <c r="V23835" i="14"/>
  <c r="U23835" i="14"/>
  <c r="T23835" i="14"/>
  <c r="Q23835" i="14"/>
  <c r="E23835" i="14"/>
  <c r="AH23834" i="14"/>
  <c r="W23834" i="14"/>
  <c r="V23834" i="14"/>
  <c r="T23834" i="14"/>
  <c r="Q23834" i="14"/>
  <c r="E23834" i="14"/>
  <c r="AH23833" i="14"/>
  <c r="T23833" i="14"/>
  <c r="Q23833" i="14"/>
  <c r="E23833" i="14"/>
  <c r="AH23832" i="14"/>
  <c r="T23832" i="14"/>
  <c r="Q23832" i="14"/>
  <c r="E23832" i="14"/>
  <c r="AH23831" i="14"/>
  <c r="W23831" i="14"/>
  <c r="V23831" i="14"/>
  <c r="T23831" i="14"/>
  <c r="Q23831" i="14"/>
  <c r="E23831" i="14"/>
  <c r="AH23830" i="14"/>
  <c r="T23830" i="14"/>
  <c r="Q23830" i="14"/>
  <c r="E23830" i="14"/>
  <c r="AH23829" i="14"/>
  <c r="T23829" i="14"/>
  <c r="E23829" i="14"/>
  <c r="AH23828" i="14"/>
  <c r="T23828" i="14"/>
  <c r="E23828" i="14"/>
  <c r="AH23827" i="14"/>
  <c r="T23827" i="14"/>
  <c r="Q23827" i="14"/>
  <c r="E23827" i="14"/>
  <c r="AH23826" i="14"/>
  <c r="V23826" i="14"/>
  <c r="T23826" i="14"/>
  <c r="Q23826" i="14"/>
  <c r="E23826" i="14"/>
  <c r="AH23825" i="14"/>
  <c r="T23825" i="14"/>
  <c r="Q23825" i="14"/>
  <c r="O23825" i="14"/>
  <c r="E23825" i="14"/>
  <c r="AH23824" i="14"/>
  <c r="V23824" i="14"/>
  <c r="U23824" i="14"/>
  <c r="Q23824" i="14"/>
  <c r="E23824" i="14"/>
  <c r="AH23823" i="14"/>
  <c r="V23823" i="14"/>
  <c r="T23823" i="14"/>
  <c r="Q23823" i="14"/>
  <c r="E23823" i="14"/>
  <c r="AH23822" i="14"/>
  <c r="V23822" i="14"/>
  <c r="T23822" i="14"/>
  <c r="Q23822" i="14"/>
  <c r="E23822" i="14"/>
  <c r="AH23821" i="14"/>
  <c r="T23821" i="14"/>
  <c r="Q23821" i="14"/>
  <c r="E23821" i="14"/>
  <c r="AH23820" i="14"/>
  <c r="T23820" i="14"/>
  <c r="Q23820" i="14"/>
  <c r="E23820" i="14"/>
  <c r="AH23819" i="14"/>
  <c r="Q23819" i="14"/>
  <c r="E23819" i="14"/>
  <c r="AH23818" i="14"/>
  <c r="V23818" i="14"/>
  <c r="T23818" i="14"/>
  <c r="Q23818" i="14"/>
  <c r="E23818" i="14"/>
  <c r="AH23817" i="14"/>
  <c r="T23817" i="14"/>
  <c r="Q23817" i="14"/>
  <c r="P23817" i="14"/>
  <c r="O23817" i="14"/>
  <c r="L23817" i="14"/>
  <c r="K23817" i="14"/>
  <c r="I23817" i="14"/>
  <c r="E23817" i="14"/>
  <c r="AH23816" i="14"/>
  <c r="V23816" i="14"/>
  <c r="T23816" i="14"/>
  <c r="Q23816" i="14"/>
  <c r="E23816" i="14"/>
  <c r="AH23815" i="14"/>
  <c r="V23815" i="14"/>
  <c r="T23815" i="14"/>
  <c r="Q23815" i="14"/>
  <c r="E23815" i="14"/>
  <c r="AH23814" i="14"/>
  <c r="V23814" i="14"/>
  <c r="T23814" i="14"/>
  <c r="Q23814" i="14"/>
  <c r="E23814" i="14"/>
  <c r="AH23813" i="14"/>
  <c r="T23813" i="14"/>
  <c r="Q23813" i="14"/>
  <c r="E23813" i="14"/>
  <c r="AH23812" i="14"/>
  <c r="V23812" i="14"/>
  <c r="T23812" i="14"/>
  <c r="Q23812" i="14"/>
  <c r="O23812" i="14"/>
  <c r="E23812" i="14"/>
  <c r="AH23811" i="14"/>
  <c r="V23811" i="14"/>
  <c r="T23811" i="14"/>
  <c r="Q23811" i="14"/>
  <c r="E23811" i="14"/>
  <c r="AH23810" i="14"/>
  <c r="T23810" i="14"/>
  <c r="Q23810" i="14"/>
  <c r="E23810" i="14"/>
  <c r="AH23809" i="14"/>
  <c r="V23809" i="14"/>
  <c r="T23809" i="14"/>
  <c r="Q23809" i="14"/>
  <c r="E23809" i="14"/>
  <c r="AH23808" i="14"/>
  <c r="T23808" i="14"/>
  <c r="Q23808" i="14"/>
  <c r="E23808" i="14"/>
  <c r="AH23807" i="14"/>
  <c r="T23807" i="14"/>
  <c r="Q23807" i="14"/>
  <c r="P23807" i="14"/>
  <c r="E23807" i="14"/>
  <c r="AH23806" i="14"/>
  <c r="AE23806" i="14"/>
  <c r="T23806" i="14"/>
  <c r="Q23806" i="14"/>
  <c r="P23806" i="14"/>
  <c r="O23806" i="14"/>
  <c r="E23806" i="14"/>
  <c r="AH23805" i="14"/>
  <c r="V23805" i="14"/>
  <c r="T23805" i="14"/>
  <c r="Q23805" i="14"/>
  <c r="P23805" i="14"/>
  <c r="O23805" i="14"/>
  <c r="E23805" i="14"/>
  <c r="AH23804" i="14"/>
  <c r="T23804" i="14"/>
  <c r="Q23804" i="14"/>
  <c r="E23804" i="14"/>
  <c r="AH23803" i="14"/>
  <c r="T23803" i="14"/>
  <c r="E23803" i="14"/>
  <c r="AH23802" i="14"/>
  <c r="T23802" i="14"/>
  <c r="Q23802" i="14"/>
  <c r="P23802" i="14"/>
  <c r="O23802" i="14"/>
  <c r="E23802" i="14"/>
  <c r="AH23801" i="14"/>
  <c r="V23801" i="14"/>
  <c r="T23801" i="14"/>
  <c r="Q23801" i="14"/>
  <c r="E23801" i="14"/>
  <c r="AH23800" i="14"/>
  <c r="V23800" i="14"/>
  <c r="T23800" i="14"/>
  <c r="Q23800" i="14"/>
  <c r="E23800" i="14"/>
  <c r="AH23799" i="14"/>
  <c r="Q23799" i="14"/>
  <c r="O23799" i="14"/>
  <c r="E23799" i="14"/>
  <c r="AH23798" i="14"/>
  <c r="V23798" i="14"/>
  <c r="T23798" i="14"/>
  <c r="Q23798" i="14"/>
  <c r="E23798" i="14"/>
  <c r="AH23797" i="14"/>
  <c r="T23797" i="14"/>
  <c r="Q23797" i="14"/>
  <c r="E23797" i="14"/>
  <c r="AH23796" i="14"/>
  <c r="V23796" i="14"/>
  <c r="T23796" i="14"/>
  <c r="Q23796" i="14"/>
  <c r="P23796" i="14"/>
  <c r="M23796" i="14"/>
  <c r="E23796" i="14"/>
  <c r="AH23795" i="14"/>
  <c r="V23795" i="14"/>
  <c r="T23795" i="14"/>
  <c r="Q23795" i="14"/>
  <c r="E23795" i="14"/>
  <c r="AH23794" i="14"/>
  <c r="T23794" i="14"/>
  <c r="Q23794" i="14"/>
  <c r="E23794" i="14"/>
  <c r="AH23793" i="14"/>
  <c r="T23793" i="14"/>
  <c r="Q23793" i="14"/>
  <c r="P23793" i="14"/>
  <c r="E23793" i="14"/>
  <c r="AH23792" i="14"/>
  <c r="W23792" i="14"/>
  <c r="V23792" i="14"/>
  <c r="T23792" i="14"/>
  <c r="Q23792" i="14"/>
  <c r="M23792" i="14"/>
  <c r="E23792" i="14"/>
  <c r="AH23791" i="14"/>
  <c r="V23791" i="14"/>
  <c r="Q23791" i="14"/>
  <c r="P23791" i="14"/>
  <c r="E23791" i="14"/>
  <c r="AH23790" i="14"/>
  <c r="T23790" i="14"/>
  <c r="Q23790" i="14"/>
  <c r="P23790" i="14"/>
  <c r="O23790" i="14"/>
  <c r="E23790" i="14"/>
  <c r="AH23789" i="14"/>
  <c r="V23789" i="14"/>
  <c r="U23789" i="14"/>
  <c r="T23789" i="14"/>
  <c r="Q23789" i="14"/>
  <c r="O23789" i="14"/>
  <c r="E23789" i="14"/>
  <c r="AH23788" i="14"/>
  <c r="T23788" i="14"/>
  <c r="Q23788" i="14"/>
  <c r="E23788" i="14"/>
  <c r="AH23787" i="14"/>
  <c r="T23787" i="14"/>
  <c r="Q23787" i="14"/>
  <c r="E23787" i="14"/>
  <c r="AH23786" i="14"/>
  <c r="W23786" i="14"/>
  <c r="V23786" i="14"/>
  <c r="T23786" i="14"/>
  <c r="Q23786" i="14"/>
  <c r="E23786" i="14"/>
  <c r="AH23785" i="14"/>
  <c r="T23785" i="14"/>
  <c r="Q23785" i="14"/>
  <c r="E23785" i="14"/>
  <c r="AH23784" i="14"/>
  <c r="W23784" i="14"/>
  <c r="V23784" i="14"/>
  <c r="Q23784" i="14"/>
  <c r="E23784" i="14"/>
  <c r="AH23783" i="14"/>
  <c r="V23783" i="14"/>
  <c r="T23783" i="14"/>
  <c r="Q23783" i="14"/>
  <c r="P23783" i="14"/>
  <c r="E23783" i="14"/>
  <c r="AH23782" i="14"/>
  <c r="U23782" i="14"/>
  <c r="T23782" i="14"/>
  <c r="Q23782" i="14"/>
  <c r="M23782" i="14"/>
  <c r="E23782" i="14"/>
  <c r="AH23781" i="14"/>
  <c r="AF23781" i="14"/>
  <c r="AE23781" i="14"/>
  <c r="U23781" i="14"/>
  <c r="T23781" i="14"/>
  <c r="Q23781" i="14"/>
  <c r="E23781" i="14"/>
  <c r="AH23780" i="14"/>
  <c r="T23780" i="14"/>
  <c r="Q23780" i="14"/>
  <c r="E23780" i="14"/>
  <c r="AH23779" i="14"/>
  <c r="U23779" i="14"/>
  <c r="T23779" i="14"/>
  <c r="Q23779" i="14"/>
  <c r="E23779" i="14"/>
  <c r="AH23778" i="14"/>
  <c r="E23778" i="14"/>
  <c r="AH23777" i="14"/>
  <c r="E23777" i="14"/>
  <c r="AH23776" i="14"/>
  <c r="Q23776" i="14"/>
  <c r="E23776" i="14"/>
  <c r="AH23775" i="14"/>
  <c r="V23775" i="14"/>
  <c r="T23775" i="14"/>
  <c r="Q23775" i="14"/>
  <c r="P23775" i="14"/>
  <c r="O23775" i="14"/>
  <c r="E23775" i="14"/>
  <c r="AH23774" i="14"/>
  <c r="V23774" i="14"/>
  <c r="T23774" i="14"/>
  <c r="Q23774" i="14"/>
  <c r="P23774" i="14"/>
  <c r="E23774" i="14"/>
  <c r="AH23773" i="14"/>
  <c r="T23773" i="14"/>
  <c r="Q23773" i="14"/>
  <c r="E23773" i="14"/>
  <c r="AH23772" i="14"/>
  <c r="T23772" i="14"/>
  <c r="Q23772" i="14"/>
  <c r="E23772" i="14"/>
  <c r="AH23771" i="14"/>
  <c r="V23771" i="14"/>
  <c r="T23771" i="14"/>
  <c r="Q23771" i="14"/>
  <c r="P23771" i="14"/>
  <c r="O23771" i="14"/>
  <c r="E23771" i="14"/>
  <c r="AH23770" i="14"/>
  <c r="Q23770" i="14"/>
  <c r="E23770" i="14"/>
  <c r="AH23769" i="14"/>
  <c r="E23769" i="14"/>
  <c r="AH23768" i="14"/>
  <c r="T23768" i="14"/>
  <c r="E23768" i="14"/>
  <c r="AH23767" i="14"/>
  <c r="V23767" i="14"/>
  <c r="Q23767" i="14"/>
  <c r="P23767" i="14"/>
  <c r="O23767" i="14"/>
  <c r="E23767" i="14"/>
  <c r="AH23766" i="14"/>
  <c r="V23766" i="14"/>
  <c r="T23766" i="14"/>
  <c r="Q23766" i="14"/>
  <c r="P23766" i="14"/>
  <c r="O23766" i="14"/>
  <c r="E23766" i="14"/>
  <c r="AH23765" i="14"/>
  <c r="AE23765" i="14"/>
  <c r="W23765" i="14"/>
  <c r="V23765" i="14"/>
  <c r="Q23765" i="14"/>
  <c r="O23765" i="14"/>
  <c r="L23765" i="14"/>
  <c r="E23765" i="14"/>
  <c r="AH23764" i="14"/>
  <c r="V23764" i="14"/>
  <c r="T23764" i="14"/>
  <c r="Q23764" i="14"/>
  <c r="P23764" i="14"/>
  <c r="E23764" i="14"/>
  <c r="AH23763" i="14"/>
  <c r="T23763" i="14"/>
  <c r="Q23763" i="14"/>
  <c r="P23763" i="14"/>
  <c r="E23763" i="14"/>
  <c r="AH23762" i="14"/>
  <c r="T23762" i="14"/>
  <c r="Q23762" i="14"/>
  <c r="P23762" i="14"/>
  <c r="E23762" i="14"/>
  <c r="AH23761" i="14"/>
  <c r="V23761" i="14"/>
  <c r="T23761" i="14"/>
  <c r="Q23761" i="14"/>
  <c r="P23761" i="14"/>
  <c r="O23761" i="14"/>
  <c r="E23761" i="14"/>
  <c r="AH23760" i="14"/>
  <c r="T23760" i="14"/>
  <c r="Q23760" i="14"/>
  <c r="E23760" i="14"/>
  <c r="AH23759" i="14"/>
  <c r="V23759" i="14"/>
  <c r="T23759" i="14"/>
  <c r="Q23759" i="14"/>
  <c r="P23759" i="14"/>
  <c r="E23759" i="14"/>
  <c r="AH23758" i="14"/>
  <c r="T23758" i="14"/>
  <c r="Q23758" i="14"/>
  <c r="E23758" i="14"/>
  <c r="AH23757" i="14"/>
  <c r="T23757" i="14"/>
  <c r="Q23757" i="14"/>
  <c r="E23757" i="14"/>
  <c r="AH23756" i="14"/>
  <c r="V23756" i="14"/>
  <c r="T23756" i="14"/>
  <c r="Q23756" i="14"/>
  <c r="E23756" i="14"/>
  <c r="AH23755" i="14"/>
  <c r="V23755" i="14"/>
  <c r="Q23755" i="14"/>
  <c r="E23755" i="14"/>
  <c r="AH23754" i="14"/>
  <c r="T23754" i="14"/>
  <c r="Q23754" i="14"/>
  <c r="E23754" i="14"/>
  <c r="AH23753" i="14"/>
  <c r="W23753" i="14"/>
  <c r="V23753" i="14"/>
  <c r="Q23753" i="14"/>
  <c r="E23753" i="14"/>
  <c r="AH23752" i="14"/>
  <c r="W23752" i="14"/>
  <c r="V23752" i="14"/>
  <c r="T23752" i="14"/>
  <c r="Q23752" i="14"/>
  <c r="P23752" i="14"/>
  <c r="O23752" i="14"/>
  <c r="E23752" i="14"/>
  <c r="AH23751" i="14"/>
  <c r="W23751" i="14"/>
  <c r="V23751" i="14"/>
  <c r="T23751" i="14"/>
  <c r="Q23751" i="14"/>
  <c r="P23751" i="14"/>
  <c r="E23751" i="14"/>
  <c r="AH23750" i="14"/>
  <c r="V23750" i="14"/>
  <c r="T23750" i="14"/>
  <c r="Q23750" i="14"/>
  <c r="P23750" i="14"/>
  <c r="E23750" i="14"/>
  <c r="AH23749" i="14"/>
  <c r="V23749" i="14"/>
  <c r="T23749" i="14"/>
  <c r="Q23749" i="14"/>
  <c r="P23749" i="14"/>
  <c r="E23749" i="14"/>
  <c r="AH23748" i="14"/>
  <c r="Q23748" i="14"/>
  <c r="P23748" i="14"/>
  <c r="O23748" i="14"/>
  <c r="M23748" i="14"/>
  <c r="E23748" i="14"/>
  <c r="AL23747" i="14"/>
  <c r="AH23747" i="14"/>
  <c r="T23747" i="14"/>
  <c r="Q23747" i="14"/>
  <c r="O23747" i="14"/>
  <c r="E23747" i="14"/>
  <c r="AH23746" i="14"/>
  <c r="T23746" i="14"/>
  <c r="Q23746" i="14"/>
  <c r="O23746" i="14"/>
  <c r="E23746" i="14"/>
  <c r="AH23745" i="14"/>
  <c r="V23745" i="14"/>
  <c r="T23745" i="14"/>
  <c r="Q23745" i="14"/>
  <c r="E23745" i="14"/>
  <c r="AH23744" i="14"/>
  <c r="V23744" i="14"/>
  <c r="T23744" i="14"/>
  <c r="Q23744" i="14"/>
  <c r="E23744" i="14"/>
  <c r="AH23743" i="14"/>
  <c r="T23743" i="14"/>
  <c r="Q23743" i="14"/>
  <c r="O23743" i="14"/>
  <c r="E23743" i="14"/>
  <c r="AH23742" i="14"/>
  <c r="T23742" i="14"/>
  <c r="Q23742" i="14"/>
  <c r="E23742" i="14"/>
  <c r="AH23741" i="14"/>
  <c r="Q23741" i="14"/>
  <c r="E23741" i="14"/>
  <c r="AH23740" i="14"/>
  <c r="E23740" i="14"/>
  <c r="AH23739" i="14"/>
  <c r="T23739" i="14"/>
  <c r="Q23739" i="14"/>
  <c r="P23739" i="14"/>
  <c r="O23739" i="14"/>
  <c r="E23739" i="14"/>
  <c r="AH23738" i="14"/>
  <c r="T23738" i="14"/>
  <c r="Q23738" i="14"/>
  <c r="P23738" i="14"/>
  <c r="E23738" i="14"/>
  <c r="AH23737" i="14"/>
  <c r="T23737" i="14"/>
  <c r="Q23737" i="14"/>
  <c r="P23737" i="14"/>
  <c r="E23737" i="14"/>
  <c r="AH23736" i="14"/>
  <c r="T23736" i="14"/>
  <c r="Q23736" i="14"/>
  <c r="E23736" i="14"/>
  <c r="AH23735" i="14"/>
  <c r="T23735" i="14"/>
  <c r="Q23735" i="14"/>
  <c r="E23735" i="14"/>
  <c r="AH23734" i="14"/>
  <c r="T23734" i="14"/>
  <c r="Q23734" i="14"/>
  <c r="E23734" i="14"/>
  <c r="AH23733" i="14"/>
  <c r="T23733" i="14"/>
  <c r="Q23733" i="14"/>
  <c r="E23733" i="14"/>
  <c r="AH23732" i="14"/>
  <c r="V23732" i="14"/>
  <c r="U23732" i="14"/>
  <c r="T23732" i="14"/>
  <c r="Q23732" i="14"/>
  <c r="O23732" i="14"/>
  <c r="E23732" i="14"/>
  <c r="AH23731" i="14"/>
  <c r="T23731" i="14"/>
  <c r="Q23731" i="14"/>
  <c r="E23731" i="14"/>
  <c r="AH23730" i="14"/>
  <c r="V23730" i="14"/>
  <c r="T23730" i="14"/>
  <c r="Q23730" i="14"/>
  <c r="E23730" i="14"/>
  <c r="AH23729" i="14"/>
  <c r="V23729" i="14"/>
  <c r="T23729" i="14"/>
  <c r="Q23729" i="14"/>
  <c r="E23729" i="14"/>
  <c r="AH23728" i="14"/>
  <c r="Q23728" i="14"/>
  <c r="E23728" i="14"/>
  <c r="AH23727" i="14"/>
  <c r="Q23727" i="14"/>
  <c r="E23727" i="14"/>
  <c r="AH23726" i="14"/>
  <c r="T23726" i="14"/>
  <c r="Q23726" i="14"/>
  <c r="E23726" i="14"/>
  <c r="AH23725" i="14"/>
  <c r="T23725" i="14"/>
  <c r="Q23725" i="14"/>
  <c r="E23725" i="14"/>
  <c r="AH23724" i="14"/>
  <c r="T23724" i="14"/>
  <c r="Q23724" i="14"/>
  <c r="P23724" i="14"/>
  <c r="E23724" i="14"/>
  <c r="AH23723" i="14"/>
  <c r="T23723" i="14"/>
  <c r="Q23723" i="14"/>
  <c r="E23723" i="14"/>
  <c r="AH23722" i="14"/>
  <c r="U23722" i="14"/>
  <c r="T23722" i="14"/>
  <c r="Q23722" i="14"/>
  <c r="M23722" i="14"/>
  <c r="E23722" i="14"/>
  <c r="AH23721" i="14"/>
  <c r="V23721" i="14"/>
  <c r="T23721" i="14"/>
  <c r="Q23721" i="14"/>
  <c r="P23721" i="14"/>
  <c r="E23721" i="14"/>
  <c r="AH23720" i="14"/>
  <c r="W23720" i="14"/>
  <c r="V23720" i="14"/>
  <c r="Q23720" i="14"/>
  <c r="E23720" i="14"/>
  <c r="AH23719" i="14"/>
  <c r="V23719" i="14"/>
  <c r="U23719" i="14"/>
  <c r="T23719" i="14"/>
  <c r="Q23719" i="14"/>
  <c r="E23719" i="14"/>
  <c r="AH23718" i="14"/>
  <c r="T23718" i="14"/>
  <c r="Q23718" i="14"/>
  <c r="E23718" i="14"/>
  <c r="AH23717" i="14"/>
  <c r="V23717" i="14"/>
  <c r="T23717" i="14"/>
  <c r="Q23717" i="14"/>
  <c r="E23717" i="14"/>
  <c r="AH23716" i="14"/>
  <c r="V23716" i="14"/>
  <c r="T23716" i="14"/>
  <c r="Q23716" i="14"/>
  <c r="P23716" i="14"/>
  <c r="E23716" i="14"/>
  <c r="AH23715" i="14"/>
  <c r="U23715" i="14"/>
  <c r="T23715" i="14"/>
  <c r="Q23715" i="14"/>
  <c r="P23715" i="14"/>
  <c r="E23715" i="14"/>
  <c r="AH23714" i="14"/>
  <c r="V23714" i="14"/>
  <c r="T23714" i="14"/>
  <c r="P23714" i="14"/>
  <c r="O23714" i="14"/>
  <c r="E23714" i="14"/>
  <c r="AH23713" i="14"/>
  <c r="V23713" i="14"/>
  <c r="P23713" i="14"/>
  <c r="O23713" i="14"/>
  <c r="E23713" i="14"/>
  <c r="AH23712" i="14"/>
  <c r="W23712" i="14"/>
  <c r="V23712" i="14"/>
  <c r="U23712" i="14"/>
  <c r="T23712" i="14"/>
  <c r="Q23712" i="14"/>
  <c r="P23712" i="14"/>
  <c r="L23712" i="14"/>
  <c r="E23712" i="14"/>
  <c r="AH23711" i="14"/>
  <c r="W23711" i="14"/>
  <c r="V23711" i="14"/>
  <c r="Q23711" i="14"/>
  <c r="M23711" i="14"/>
  <c r="E23711" i="14"/>
  <c r="AH23710" i="14"/>
  <c r="E23710" i="14"/>
  <c r="AH23709" i="14"/>
  <c r="T23709" i="14"/>
  <c r="E23709" i="14"/>
  <c r="AH23708" i="14"/>
  <c r="V23708" i="14"/>
  <c r="T23708" i="14"/>
  <c r="Q23708" i="14"/>
  <c r="P23708" i="14"/>
  <c r="E23708" i="14"/>
  <c r="AH23707" i="14"/>
  <c r="V23707" i="14"/>
  <c r="T23707" i="14"/>
  <c r="Q23707" i="14"/>
  <c r="P23707" i="14"/>
  <c r="E23707" i="14"/>
  <c r="AH23706" i="14"/>
  <c r="V23706" i="14"/>
  <c r="T23706" i="14"/>
  <c r="Q23706" i="14"/>
  <c r="P23706" i="14"/>
  <c r="E23706" i="14"/>
  <c r="AH23705" i="14"/>
  <c r="V23705" i="14"/>
  <c r="T23705" i="14"/>
  <c r="Q23705" i="14"/>
  <c r="P23705" i="14"/>
  <c r="E23705" i="14"/>
  <c r="AH23704" i="14"/>
  <c r="V23704" i="14"/>
  <c r="T23704" i="14"/>
  <c r="Q23704" i="14"/>
  <c r="P23704" i="14"/>
  <c r="E23704" i="14"/>
  <c r="AH23703" i="14"/>
  <c r="U23703" i="14"/>
  <c r="T23703" i="14"/>
  <c r="Q23703" i="14"/>
  <c r="P23703" i="14"/>
  <c r="E23703" i="14"/>
  <c r="AH23702" i="14"/>
  <c r="V23702" i="14"/>
  <c r="U23702" i="14"/>
  <c r="T23702" i="14"/>
  <c r="Q23702" i="14"/>
  <c r="P23702" i="14"/>
  <c r="O23702" i="14"/>
  <c r="E23702" i="14"/>
  <c r="AH23701" i="14"/>
  <c r="V23701" i="14"/>
  <c r="T23701" i="14"/>
  <c r="Q23701" i="14"/>
  <c r="P23701" i="14"/>
  <c r="E23701" i="14"/>
  <c r="AH23700" i="14"/>
  <c r="V23700" i="14"/>
  <c r="T23700" i="14"/>
  <c r="Q23700" i="14"/>
  <c r="P23700" i="14"/>
  <c r="E23700" i="14"/>
  <c r="AH23699" i="14"/>
  <c r="V23699" i="14"/>
  <c r="T23699" i="14"/>
  <c r="P23699" i="14"/>
  <c r="E23699" i="14"/>
  <c r="AH23698" i="14"/>
  <c r="Q23698" i="14"/>
  <c r="E23698" i="14"/>
  <c r="AH23697" i="14"/>
  <c r="T23697" i="14"/>
  <c r="Q23697" i="14"/>
  <c r="E23697" i="14"/>
  <c r="AH23696" i="14"/>
  <c r="W23696" i="14"/>
  <c r="V23696" i="14"/>
  <c r="U23696" i="14"/>
  <c r="T23696" i="14"/>
  <c r="Q23696" i="14"/>
  <c r="M23696" i="14"/>
  <c r="E23696" i="14"/>
  <c r="AH23695" i="14"/>
  <c r="V23695" i="14"/>
  <c r="T23695" i="14"/>
  <c r="Q23695" i="14"/>
  <c r="E23695" i="14"/>
  <c r="AH23694" i="14"/>
  <c r="V23694" i="14"/>
  <c r="T23694" i="14"/>
  <c r="Q23694" i="14"/>
  <c r="E23694" i="14"/>
  <c r="AH23693" i="14"/>
  <c r="T23693" i="14"/>
  <c r="Q23693" i="14"/>
  <c r="E23693" i="14"/>
  <c r="AH23692" i="14"/>
  <c r="U23692" i="14"/>
  <c r="T23692" i="14"/>
  <c r="Q23692" i="14"/>
  <c r="P23692" i="14"/>
  <c r="O23692" i="14"/>
  <c r="E23692" i="14"/>
  <c r="AH23691" i="14"/>
  <c r="T23691" i="14"/>
  <c r="Q23691" i="14"/>
  <c r="P23691" i="14"/>
  <c r="O23691" i="14"/>
  <c r="E23691" i="14"/>
  <c r="AH23690" i="14"/>
  <c r="T23690" i="14"/>
  <c r="Q23690" i="14"/>
  <c r="P23690" i="14"/>
  <c r="O23690" i="14"/>
  <c r="E23690" i="14"/>
  <c r="AL23689" i="14"/>
  <c r="AH23689" i="14"/>
  <c r="T23689" i="14"/>
  <c r="Q23689" i="14"/>
  <c r="E23689" i="14"/>
  <c r="AH23688" i="14"/>
  <c r="V23688" i="14"/>
  <c r="T23688" i="14"/>
  <c r="Q23688" i="14"/>
  <c r="E23688" i="14"/>
  <c r="AH23687" i="14"/>
  <c r="T23687" i="14"/>
  <c r="Q23687" i="14"/>
  <c r="P23687" i="14"/>
  <c r="O23687" i="14"/>
  <c r="E23687" i="14"/>
  <c r="AH23686" i="14"/>
  <c r="V23686" i="14"/>
  <c r="T23686" i="14"/>
  <c r="Q23686" i="14"/>
  <c r="E23686" i="14"/>
  <c r="AH23685" i="14"/>
  <c r="V23685" i="14"/>
  <c r="T23685" i="14"/>
  <c r="Q23685" i="14"/>
  <c r="E23685" i="14"/>
  <c r="AH23684" i="14"/>
  <c r="Q23684" i="14"/>
  <c r="E23684" i="14"/>
  <c r="AH23683" i="14"/>
  <c r="V23683" i="14"/>
  <c r="T23683" i="14"/>
  <c r="Q23683" i="14"/>
  <c r="P23683" i="14"/>
  <c r="E23683" i="14"/>
  <c r="AH23682" i="14"/>
  <c r="T23682" i="14"/>
  <c r="Q23682" i="14"/>
  <c r="E23682" i="14"/>
  <c r="AH23681" i="14"/>
  <c r="T23681" i="14"/>
  <c r="Q23681" i="14"/>
  <c r="E23681" i="14"/>
  <c r="AH23680" i="14"/>
  <c r="T23680" i="14"/>
  <c r="E23680" i="14"/>
  <c r="AH23679" i="14"/>
  <c r="U23679" i="14"/>
  <c r="T23679" i="14"/>
  <c r="Q23679" i="14"/>
  <c r="P23679" i="14"/>
  <c r="M23679" i="14"/>
  <c r="E23679" i="14"/>
  <c r="AH23678" i="14"/>
  <c r="T23678" i="14"/>
  <c r="Q23678" i="14"/>
  <c r="E23678" i="14"/>
  <c r="AH23677" i="14"/>
  <c r="E23677" i="14"/>
  <c r="AH23676" i="14"/>
  <c r="T23676" i="14"/>
  <c r="Q23676" i="14"/>
  <c r="E23676" i="14"/>
  <c r="AH23675" i="14"/>
  <c r="U23675" i="14"/>
  <c r="T23675" i="14"/>
  <c r="Q23675" i="14"/>
  <c r="P23675" i="14"/>
  <c r="M23675" i="14"/>
  <c r="E23675" i="14"/>
  <c r="AH23674" i="14"/>
  <c r="V23674" i="14"/>
  <c r="T23674" i="14"/>
  <c r="Q23674" i="14"/>
  <c r="P23674" i="14"/>
  <c r="E23674" i="14"/>
  <c r="AH23673" i="14"/>
  <c r="V23673" i="14"/>
  <c r="T23673" i="14"/>
  <c r="Q23673" i="14"/>
  <c r="P23673" i="14"/>
  <c r="E23673" i="14"/>
  <c r="AH23672" i="14"/>
  <c r="V23672" i="14"/>
  <c r="T23672" i="14"/>
  <c r="P23672" i="14"/>
  <c r="E23672" i="14"/>
  <c r="AH23671" i="14"/>
  <c r="V23671" i="14"/>
  <c r="T23671" i="14"/>
  <c r="P23671" i="14"/>
  <c r="E23671" i="14"/>
  <c r="AH23670" i="14"/>
  <c r="P23670" i="14"/>
  <c r="E23670" i="14"/>
  <c r="AH23669" i="14"/>
  <c r="V23669" i="14"/>
  <c r="T23669" i="14"/>
  <c r="P23669" i="14"/>
  <c r="E23669" i="14"/>
  <c r="AH23668" i="14"/>
  <c r="V23668" i="14"/>
  <c r="T23668" i="14"/>
  <c r="P23668" i="14"/>
  <c r="E23668" i="14"/>
  <c r="AH23667" i="14"/>
  <c r="V23667" i="14"/>
  <c r="T23667" i="14"/>
  <c r="P23667" i="14"/>
  <c r="E23667" i="14"/>
  <c r="AH23666" i="14"/>
  <c r="W23666" i="14"/>
  <c r="V23666" i="14"/>
  <c r="U23666" i="14"/>
  <c r="T23666" i="14"/>
  <c r="Q23666" i="14"/>
  <c r="E23666" i="14"/>
  <c r="AK23665" i="14"/>
  <c r="AH23665" i="14"/>
  <c r="W23665" i="14"/>
  <c r="V23665" i="14"/>
  <c r="U23665" i="14"/>
  <c r="Q23665" i="14"/>
  <c r="P23665" i="14"/>
  <c r="O23665" i="14"/>
  <c r="N23665" i="14"/>
  <c r="M23665" i="14"/>
  <c r="K23665" i="14"/>
  <c r="E23665" i="14"/>
  <c r="AH23664" i="14"/>
  <c r="T23664" i="14"/>
  <c r="Q23664" i="14"/>
  <c r="P23664" i="14"/>
  <c r="O23664" i="14"/>
  <c r="E23664" i="14"/>
  <c r="AH23663" i="14"/>
  <c r="U23663" i="14"/>
  <c r="T23663" i="14"/>
  <c r="Q23663" i="14"/>
  <c r="E23663" i="14"/>
  <c r="AH23662" i="14"/>
  <c r="V23662" i="14"/>
  <c r="T23662" i="14"/>
  <c r="Q23662" i="14"/>
  <c r="E23662" i="14"/>
  <c r="AH23661" i="14"/>
  <c r="T23661" i="14"/>
  <c r="Q23661" i="14"/>
  <c r="E23661" i="14"/>
  <c r="AH23660" i="14"/>
  <c r="V23660" i="14"/>
  <c r="T23660" i="14"/>
  <c r="Q23660" i="14"/>
  <c r="P23660" i="14"/>
  <c r="O23660" i="14"/>
  <c r="E23660" i="14"/>
  <c r="AH23659" i="14"/>
  <c r="V23659" i="14"/>
  <c r="T23659" i="14"/>
  <c r="Q23659" i="14"/>
  <c r="E23659" i="14"/>
  <c r="AH23658" i="14"/>
  <c r="V23658" i="14"/>
  <c r="T23658" i="14"/>
  <c r="Q23658" i="14"/>
  <c r="E23658" i="14"/>
  <c r="AH23657" i="14"/>
  <c r="T23657" i="14"/>
  <c r="Q23657" i="14"/>
  <c r="E23657" i="14"/>
  <c r="AH23656" i="14"/>
  <c r="V23656" i="14"/>
  <c r="T23656" i="14"/>
  <c r="Q23656" i="14"/>
  <c r="E23656" i="14"/>
  <c r="AH23655" i="14"/>
  <c r="AE23655" i="14"/>
  <c r="T23655" i="14"/>
  <c r="Q23655" i="14"/>
  <c r="L23655" i="14"/>
  <c r="E23655" i="14"/>
  <c r="AH23654" i="14"/>
  <c r="W23654" i="14"/>
  <c r="V23654" i="14"/>
  <c r="Q23654" i="14"/>
  <c r="P23654" i="14"/>
  <c r="E23654" i="14"/>
  <c r="AH23653" i="14"/>
  <c r="E23653" i="14"/>
  <c r="AH23652" i="14"/>
  <c r="T23652" i="14"/>
  <c r="E23652" i="14"/>
  <c r="AH23651" i="14"/>
  <c r="T23651" i="14"/>
  <c r="E23651" i="14"/>
  <c r="AH23650" i="14"/>
  <c r="T23650" i="14"/>
  <c r="E23650" i="14"/>
  <c r="AH23649" i="14"/>
  <c r="V23649" i="14"/>
  <c r="U23649" i="14"/>
  <c r="T23649" i="14"/>
  <c r="Q23649" i="14"/>
  <c r="E23649" i="14"/>
  <c r="AH23648" i="14"/>
  <c r="V23648" i="14"/>
  <c r="U23648" i="14"/>
  <c r="T23648" i="14"/>
  <c r="Q23648" i="14"/>
  <c r="M23648" i="14"/>
  <c r="E23648" i="14"/>
  <c r="AH23647" i="14"/>
  <c r="V23647" i="14"/>
  <c r="T23647" i="14"/>
  <c r="Q23647" i="14"/>
  <c r="E23647" i="14"/>
  <c r="AH23646" i="14"/>
  <c r="V23646" i="14"/>
  <c r="T23646" i="14"/>
  <c r="Q23646" i="14"/>
  <c r="P23646" i="14"/>
  <c r="E23646" i="14"/>
  <c r="AH23645" i="14"/>
  <c r="T23645" i="14"/>
  <c r="Q23645" i="14"/>
  <c r="O23645" i="14"/>
  <c r="E23645" i="14"/>
  <c r="AH23644" i="14"/>
  <c r="W23644" i="14"/>
  <c r="V23644" i="14"/>
  <c r="Q23644" i="14"/>
  <c r="M23644" i="14"/>
  <c r="E23644" i="14"/>
  <c r="AH23643" i="14"/>
  <c r="V23643" i="14"/>
  <c r="T23643" i="14"/>
  <c r="Q23643" i="14"/>
  <c r="E23643" i="14"/>
  <c r="AH23642" i="14"/>
  <c r="Q23642" i="14"/>
  <c r="E23642" i="14"/>
  <c r="AH23641" i="14"/>
  <c r="V23641" i="14"/>
  <c r="T23641" i="14"/>
  <c r="Q23641" i="14"/>
  <c r="E23641" i="14"/>
  <c r="AH23640" i="14"/>
  <c r="V23640" i="14"/>
  <c r="Q23640" i="14"/>
  <c r="E23640" i="14"/>
  <c r="AH23639" i="14"/>
  <c r="V23639" i="14"/>
  <c r="T23639" i="14"/>
  <c r="Q23639" i="14"/>
  <c r="E23639" i="14"/>
  <c r="AH23638" i="14"/>
  <c r="T23638" i="14"/>
  <c r="Q23638" i="14"/>
  <c r="E23638" i="14"/>
  <c r="AH23637" i="14"/>
  <c r="W23637" i="14"/>
  <c r="V23637" i="14"/>
  <c r="Q23637" i="14"/>
  <c r="E23637" i="14"/>
  <c r="AH23636" i="14"/>
  <c r="V23636" i="14"/>
  <c r="U23636" i="14"/>
  <c r="T23636" i="14"/>
  <c r="Q23636" i="14"/>
  <c r="M23636" i="14"/>
  <c r="E23636" i="14"/>
  <c r="AH23635" i="14"/>
  <c r="V23635" i="14"/>
  <c r="T23635" i="14"/>
  <c r="Q23635" i="14"/>
  <c r="E23635" i="14"/>
  <c r="AH23634" i="14"/>
  <c r="V23634" i="14"/>
  <c r="T23634" i="14"/>
  <c r="Q23634" i="14"/>
  <c r="E23634" i="14"/>
  <c r="AH23633" i="14"/>
  <c r="V23633" i="14"/>
  <c r="Q23633" i="14"/>
  <c r="E23633" i="14"/>
  <c r="AH23632" i="14"/>
  <c r="V23632" i="14"/>
  <c r="T23632" i="14"/>
  <c r="Q23632" i="14"/>
  <c r="P23632" i="14"/>
  <c r="O23632" i="14"/>
  <c r="E23632" i="14"/>
  <c r="AH23631" i="14"/>
  <c r="Q23631" i="14"/>
  <c r="E23631" i="14"/>
  <c r="AH23630" i="14"/>
  <c r="W23630" i="14"/>
  <c r="V23630" i="14"/>
  <c r="T23630" i="14"/>
  <c r="Q23630" i="14"/>
  <c r="E23630" i="14"/>
  <c r="AH23629" i="14"/>
  <c r="V23629" i="14"/>
  <c r="T23629" i="14"/>
  <c r="Q23629" i="14"/>
  <c r="P23629" i="14"/>
  <c r="E23629" i="14"/>
  <c r="AH23628" i="14"/>
  <c r="V23628" i="14"/>
  <c r="T23628" i="14"/>
  <c r="Q23628" i="14"/>
  <c r="E23628" i="14"/>
  <c r="AH23627" i="14"/>
  <c r="U23627" i="14"/>
  <c r="T23627" i="14"/>
  <c r="Q23627" i="14"/>
  <c r="E23627" i="14"/>
  <c r="AH23626" i="14"/>
  <c r="T23626" i="14"/>
  <c r="Q23626" i="14"/>
  <c r="E23626" i="14"/>
  <c r="AH23625" i="14"/>
  <c r="AE23625" i="14"/>
  <c r="T23625" i="14"/>
  <c r="Q23625" i="14"/>
  <c r="O23625" i="14"/>
  <c r="E23625" i="14"/>
  <c r="AH23624" i="14"/>
  <c r="V23624" i="14"/>
  <c r="T23624" i="14"/>
  <c r="Q23624" i="14"/>
  <c r="E23624" i="14"/>
  <c r="AH23623" i="14"/>
  <c r="V23623" i="14"/>
  <c r="U23623" i="14"/>
  <c r="T23623" i="14"/>
  <c r="Q23623" i="14"/>
  <c r="M23623" i="14"/>
  <c r="E23623" i="14"/>
  <c r="AH23622" i="14"/>
  <c r="V23622" i="14"/>
  <c r="T23622" i="14"/>
  <c r="Q23622" i="14"/>
  <c r="E23622" i="14"/>
  <c r="AH23621" i="14"/>
  <c r="V23621" i="14"/>
  <c r="Q23621" i="14"/>
  <c r="E23621" i="14"/>
  <c r="AH23620" i="14"/>
  <c r="T23620" i="14"/>
  <c r="Q23620" i="14"/>
  <c r="E23620" i="14"/>
  <c r="AH23619" i="14"/>
  <c r="W23619" i="14"/>
  <c r="V23619" i="14"/>
  <c r="T23619" i="14"/>
  <c r="Q23619" i="14"/>
  <c r="E23619" i="14"/>
  <c r="AH23618" i="14"/>
  <c r="V23618" i="14"/>
  <c r="T23618" i="14"/>
  <c r="Q23618" i="14"/>
  <c r="E23618" i="14"/>
  <c r="AH23617" i="14"/>
  <c r="U23617" i="14"/>
  <c r="T23617" i="14"/>
  <c r="Q23617" i="14"/>
  <c r="E23617" i="14"/>
  <c r="AH23616" i="14"/>
  <c r="V23616" i="14"/>
  <c r="Q23616" i="14"/>
  <c r="E23616" i="14"/>
  <c r="AH23615" i="14"/>
  <c r="V23615" i="14"/>
  <c r="T23615" i="14"/>
  <c r="Q23615" i="14"/>
  <c r="E23615" i="14"/>
  <c r="AH23614" i="14"/>
  <c r="V23614" i="14"/>
  <c r="Q23614" i="14"/>
  <c r="E23614" i="14"/>
  <c r="AH23613" i="14"/>
  <c r="U23613" i="14"/>
  <c r="T23613" i="14"/>
  <c r="Q23613" i="14"/>
  <c r="E23613" i="14"/>
  <c r="AH23612" i="14"/>
  <c r="W23612" i="14"/>
  <c r="V23612" i="14"/>
  <c r="T23612" i="14"/>
  <c r="Q23612" i="14"/>
  <c r="E23612" i="14"/>
  <c r="AH23611" i="14"/>
  <c r="W23611" i="14"/>
  <c r="V23611" i="14"/>
  <c r="T23611" i="14"/>
  <c r="Q23611" i="14"/>
  <c r="E23611" i="14"/>
  <c r="AK23610" i="14"/>
  <c r="AH23610" i="14"/>
  <c r="W23610" i="14"/>
  <c r="V23610" i="14"/>
  <c r="T23610" i="14"/>
  <c r="Q23610" i="14"/>
  <c r="P23610" i="14"/>
  <c r="N23610" i="14"/>
  <c r="M23610" i="14"/>
  <c r="E23610" i="14"/>
  <c r="AH23609" i="14"/>
  <c r="V23609" i="14"/>
  <c r="U23609" i="14"/>
  <c r="T23609" i="14"/>
  <c r="Q23609" i="14"/>
  <c r="E23609" i="14"/>
  <c r="AH23608" i="14"/>
  <c r="V23608" i="14"/>
  <c r="T23608" i="14"/>
  <c r="Q23608" i="14"/>
  <c r="P23608" i="14"/>
  <c r="O23608" i="14"/>
  <c r="E23608" i="14"/>
  <c r="AH23607" i="14"/>
  <c r="T23607" i="14"/>
  <c r="Q23607" i="14"/>
  <c r="E23607" i="14"/>
  <c r="AH23606" i="14"/>
  <c r="T23606" i="14"/>
  <c r="Q23606" i="14"/>
  <c r="E23606" i="14"/>
  <c r="AH23605" i="14"/>
  <c r="T23605" i="14"/>
  <c r="Q23605" i="14"/>
  <c r="E23605" i="14"/>
  <c r="AH23604" i="14"/>
  <c r="U23604" i="14"/>
  <c r="T23604" i="14"/>
  <c r="Q23604" i="14"/>
  <c r="E23604" i="14"/>
  <c r="AH23603" i="14"/>
  <c r="V23603" i="14"/>
  <c r="T23603" i="14"/>
  <c r="Q23603" i="14"/>
  <c r="O23603" i="14"/>
  <c r="E23603" i="14"/>
  <c r="AH23602" i="14"/>
  <c r="T23602" i="14"/>
  <c r="Q23602" i="14"/>
  <c r="P23602" i="14"/>
  <c r="E23602" i="14"/>
  <c r="AH23601" i="14"/>
  <c r="T23601" i="14"/>
  <c r="Q23601" i="14"/>
  <c r="E23601" i="14"/>
  <c r="AH23600" i="14"/>
  <c r="U23600" i="14"/>
  <c r="T23600" i="14"/>
  <c r="Q23600" i="14"/>
  <c r="L23600" i="14"/>
  <c r="E23600" i="14"/>
  <c r="AH23599" i="14"/>
  <c r="V23599" i="14"/>
  <c r="U23599" i="14"/>
  <c r="T23599" i="14"/>
  <c r="Q23599" i="14"/>
  <c r="E23599" i="14"/>
  <c r="AH23598" i="14"/>
  <c r="V23598" i="14"/>
  <c r="T23598" i="14"/>
  <c r="Q23598" i="14"/>
  <c r="E23598" i="14"/>
  <c r="AH23597" i="14"/>
  <c r="W23597" i="14"/>
  <c r="V23597" i="14"/>
  <c r="Q23597" i="14"/>
  <c r="M23597" i="14"/>
  <c r="E23597" i="14"/>
  <c r="AH23596" i="14"/>
  <c r="T23596" i="14"/>
  <c r="Q23596" i="14"/>
  <c r="E23596" i="14"/>
  <c r="AH23595" i="14"/>
  <c r="T23595" i="14"/>
  <c r="Q23595" i="14"/>
  <c r="E23595" i="14"/>
  <c r="AH23594" i="14"/>
  <c r="AE23594" i="14"/>
  <c r="W23594" i="14"/>
  <c r="V23594" i="14"/>
  <c r="Q23594" i="14"/>
  <c r="M23594" i="14"/>
  <c r="E23594" i="14"/>
  <c r="AH23593" i="14"/>
  <c r="V23593" i="14"/>
  <c r="T23593" i="14"/>
  <c r="Q23593" i="14"/>
  <c r="L23593" i="14"/>
  <c r="E23593" i="14"/>
  <c r="AH23592" i="14"/>
  <c r="Q23592" i="14"/>
  <c r="E23592" i="14"/>
  <c r="AH23591" i="14"/>
  <c r="Q23591" i="14"/>
  <c r="E23591" i="14"/>
  <c r="AH23590" i="14"/>
  <c r="T23590" i="14"/>
  <c r="Q23590" i="14"/>
  <c r="M23590" i="14"/>
  <c r="E23590" i="14"/>
  <c r="AH23589" i="14"/>
  <c r="T23589" i="14"/>
  <c r="E23589" i="14"/>
  <c r="AH23588" i="14"/>
  <c r="T23588" i="14"/>
  <c r="Q23588" i="14"/>
  <c r="E23588" i="14"/>
  <c r="AH23587" i="14"/>
  <c r="T23587" i="14"/>
  <c r="Q23587" i="14"/>
  <c r="E23587" i="14"/>
  <c r="AL23586" i="14"/>
  <c r="AH23586" i="14"/>
  <c r="V23586" i="14"/>
  <c r="T23586" i="14"/>
  <c r="Q23586" i="14"/>
  <c r="P23586" i="14"/>
  <c r="G23586" i="14"/>
  <c r="E23586" i="14"/>
  <c r="AH23585" i="14"/>
  <c r="AE23585" i="14"/>
  <c r="V23585" i="14"/>
  <c r="Q23585" i="14"/>
  <c r="O23585" i="14"/>
  <c r="M23585" i="14"/>
  <c r="G23585" i="14"/>
  <c r="E23585" i="14"/>
  <c r="AL23584" i="14"/>
  <c r="AH23584" i="14"/>
  <c r="W23584" i="14"/>
  <c r="V23584" i="14"/>
  <c r="T23584" i="14"/>
  <c r="Q23584" i="14"/>
  <c r="P23584" i="14"/>
  <c r="G23584" i="14"/>
  <c r="E23584" i="14"/>
  <c r="AL23583" i="14"/>
  <c r="AH23583" i="14"/>
  <c r="W23583" i="14"/>
  <c r="V23583" i="14"/>
  <c r="U23583" i="14"/>
  <c r="T23583" i="14"/>
  <c r="Q23583" i="14"/>
  <c r="P23583" i="14"/>
  <c r="M23583" i="14"/>
  <c r="G23583" i="14"/>
  <c r="E23583" i="14"/>
  <c r="AL23582" i="14"/>
  <c r="AH23582" i="14"/>
  <c r="AE23582" i="14"/>
  <c r="W23582" i="14"/>
  <c r="V23582" i="14"/>
  <c r="T23582" i="14"/>
  <c r="Q23582" i="14"/>
  <c r="P23582" i="14"/>
  <c r="L23582" i="14"/>
  <c r="G23582" i="14"/>
  <c r="E23582" i="14"/>
  <c r="AH23581" i="14"/>
  <c r="Q23581" i="14"/>
  <c r="E23581" i="14"/>
  <c r="AH23580" i="14"/>
  <c r="U23580" i="14"/>
  <c r="T23580" i="14"/>
  <c r="Q23580" i="14"/>
  <c r="P23580" i="14"/>
  <c r="E23580" i="14"/>
  <c r="AH23579" i="14"/>
  <c r="V23579" i="14"/>
  <c r="T23579" i="14"/>
  <c r="Q23579" i="14"/>
  <c r="E23579" i="14"/>
  <c r="AH23578" i="14"/>
  <c r="Q23578" i="14"/>
  <c r="E23578" i="14"/>
  <c r="AL23577" i="14"/>
  <c r="AH23577" i="14"/>
  <c r="T23577" i="14"/>
  <c r="Q23577" i="14"/>
  <c r="E23577" i="14"/>
  <c r="AH23576" i="14"/>
  <c r="T23576" i="14"/>
  <c r="Q23576" i="14"/>
  <c r="E23576" i="14"/>
  <c r="AL23575" i="14"/>
  <c r="AH23575" i="14"/>
  <c r="T23575" i="14"/>
  <c r="Q23575" i="14"/>
  <c r="E23575" i="14"/>
  <c r="AH23574" i="14"/>
  <c r="T23574" i="14"/>
  <c r="E23574" i="14"/>
  <c r="AH23573" i="14"/>
  <c r="T23573" i="14"/>
  <c r="Q23573" i="14"/>
  <c r="E23573" i="14"/>
  <c r="AH23572" i="14"/>
  <c r="T23572" i="14"/>
  <c r="Q23572" i="14"/>
  <c r="E23572" i="14"/>
  <c r="AH23571" i="14"/>
  <c r="T23571" i="14"/>
  <c r="E23571" i="14"/>
  <c r="AH23570" i="14"/>
  <c r="T23570" i="14"/>
  <c r="Q23570" i="14"/>
  <c r="E23570" i="14"/>
  <c r="AH23569" i="14"/>
  <c r="T23569" i="14"/>
  <c r="Q23569" i="14"/>
  <c r="E23569" i="14"/>
  <c r="AH23568" i="14"/>
  <c r="T23568" i="14"/>
  <c r="Q23568" i="14"/>
  <c r="E23568" i="14"/>
  <c r="AH23567" i="14"/>
  <c r="T23567" i="14"/>
  <c r="Q23567" i="14"/>
  <c r="E23567" i="14"/>
  <c r="AH23566" i="14"/>
  <c r="T23566" i="14"/>
  <c r="Q23566" i="14"/>
  <c r="E23566" i="14"/>
  <c r="AH23565" i="14"/>
  <c r="T23565" i="14"/>
  <c r="Q23565" i="14"/>
  <c r="E23565" i="14"/>
  <c r="AH23564" i="14"/>
  <c r="T23564" i="14"/>
  <c r="Q23564" i="14"/>
  <c r="E23564" i="14"/>
  <c r="AH23563" i="14"/>
  <c r="T23563" i="14"/>
  <c r="Q23563" i="14"/>
  <c r="E23563" i="14"/>
  <c r="AH23562" i="14"/>
  <c r="T23562" i="14"/>
  <c r="Q23562" i="14"/>
  <c r="E23562" i="14"/>
  <c r="AH23561" i="14"/>
  <c r="V23561" i="14"/>
  <c r="T23561" i="14"/>
  <c r="P23561" i="14"/>
  <c r="E23561" i="14"/>
  <c r="AH23560" i="14"/>
  <c r="T23560" i="14"/>
  <c r="Q23560" i="14"/>
  <c r="E23560" i="14"/>
  <c r="AH23559" i="14"/>
  <c r="Q23559" i="14"/>
  <c r="E23559" i="14"/>
  <c r="AH23558" i="14"/>
  <c r="W23558" i="14"/>
  <c r="V23558" i="14"/>
  <c r="Q23558" i="14"/>
  <c r="M23558" i="14"/>
  <c r="E23558" i="14"/>
  <c r="AH23557" i="14"/>
  <c r="W23557" i="14"/>
  <c r="V23557" i="14"/>
  <c r="T23557" i="14"/>
  <c r="Q23557" i="14"/>
  <c r="E23557" i="14"/>
  <c r="AH23556" i="14"/>
  <c r="T23556" i="14"/>
  <c r="Q23556" i="14"/>
  <c r="E23556" i="14"/>
  <c r="AH23555" i="14"/>
  <c r="V23555" i="14"/>
  <c r="T23555" i="14"/>
  <c r="Q23555" i="14"/>
  <c r="P23555" i="14"/>
  <c r="E23555" i="14"/>
  <c r="AH23554" i="14"/>
  <c r="T23554" i="14"/>
  <c r="Q23554" i="14"/>
  <c r="E23554" i="14"/>
  <c r="AH23553" i="14"/>
  <c r="T23553" i="14"/>
  <c r="E23553" i="14"/>
  <c r="AH23552" i="14"/>
  <c r="W23552" i="14"/>
  <c r="V23552" i="14"/>
  <c r="T23552" i="14"/>
  <c r="Q23552" i="14"/>
  <c r="E23552" i="14"/>
  <c r="AH23551" i="14"/>
  <c r="V23551" i="14"/>
  <c r="T23551" i="14"/>
  <c r="Q23551" i="14"/>
  <c r="P23551" i="14"/>
  <c r="E23551" i="14"/>
  <c r="AH23550" i="14"/>
  <c r="V23550" i="14"/>
  <c r="T23550" i="14"/>
  <c r="Q23550" i="14"/>
  <c r="O23550" i="14"/>
  <c r="E23550" i="14"/>
  <c r="AH23549" i="14"/>
  <c r="V23549" i="14"/>
  <c r="T23549" i="14"/>
  <c r="Q23549" i="14"/>
  <c r="P23549" i="14"/>
  <c r="E23549" i="14"/>
  <c r="AH23548" i="14"/>
  <c r="V23548" i="14"/>
  <c r="T23548" i="14"/>
  <c r="Q23548" i="14"/>
  <c r="P23548" i="14"/>
  <c r="O23548" i="14"/>
  <c r="E23548" i="14"/>
  <c r="AH23547" i="14"/>
  <c r="E23547" i="14"/>
  <c r="AH23546" i="14"/>
  <c r="V23546" i="14"/>
  <c r="U23546" i="14"/>
  <c r="T23546" i="14"/>
  <c r="Q23546" i="14"/>
  <c r="P23546" i="14"/>
  <c r="O23546" i="14"/>
  <c r="E23546" i="14"/>
  <c r="AH23545" i="14"/>
  <c r="V23545" i="14"/>
  <c r="T23545" i="14"/>
  <c r="Q23545" i="14"/>
  <c r="P23545" i="14"/>
  <c r="O23545" i="14"/>
  <c r="E23545" i="14"/>
  <c r="AH23544" i="14"/>
  <c r="T23544" i="14"/>
  <c r="Q23544" i="14"/>
  <c r="P23544" i="14"/>
  <c r="O23544" i="14"/>
  <c r="E23544" i="14"/>
  <c r="AH23543" i="14"/>
  <c r="V23543" i="14"/>
  <c r="T23543" i="14"/>
  <c r="Q23543" i="14"/>
  <c r="P23543" i="14"/>
  <c r="M23543" i="14"/>
  <c r="E23543" i="14"/>
  <c r="AH23542" i="14"/>
  <c r="V23542" i="14"/>
  <c r="T23542" i="14"/>
  <c r="Q23542" i="14"/>
  <c r="P23542" i="14"/>
  <c r="E23542" i="14"/>
  <c r="AH23541" i="14"/>
  <c r="W23541" i="14"/>
  <c r="V23541" i="14"/>
  <c r="T23541" i="14"/>
  <c r="Q23541" i="14"/>
  <c r="P23541" i="14"/>
  <c r="E23541" i="14"/>
  <c r="AH23540" i="14"/>
  <c r="V23540" i="14"/>
  <c r="T23540" i="14"/>
  <c r="Q23540" i="14"/>
  <c r="P23540" i="14"/>
  <c r="E23540" i="14"/>
  <c r="AH23539" i="14"/>
  <c r="V23539" i="14"/>
  <c r="T23539" i="14"/>
  <c r="Q23539" i="14"/>
  <c r="P23539" i="14"/>
  <c r="E23539" i="14"/>
  <c r="AH23538" i="14"/>
  <c r="W23538" i="14"/>
  <c r="V23538" i="14"/>
  <c r="T23538" i="14"/>
  <c r="Q23538" i="14"/>
  <c r="P23538" i="14"/>
  <c r="E23538" i="14"/>
  <c r="AH23537" i="14"/>
  <c r="V23537" i="14"/>
  <c r="U23537" i="14"/>
  <c r="T23537" i="14"/>
  <c r="Q23537" i="14"/>
  <c r="P23537" i="14"/>
  <c r="O23537" i="14"/>
  <c r="E23537" i="14"/>
  <c r="AH23536" i="14"/>
  <c r="T23536" i="14"/>
  <c r="Q23536" i="14"/>
  <c r="E23536" i="14"/>
  <c r="AH23535" i="14"/>
  <c r="V23535" i="14"/>
  <c r="U23535" i="14"/>
  <c r="T23535" i="14"/>
  <c r="Q23535" i="14"/>
  <c r="E23535" i="14"/>
  <c r="AH23534" i="14"/>
  <c r="U23534" i="14"/>
  <c r="T23534" i="14"/>
  <c r="P23534" i="14"/>
  <c r="E23534" i="14"/>
  <c r="AH23533" i="14"/>
  <c r="V23533" i="14"/>
  <c r="T23533" i="14"/>
  <c r="Q23533" i="14"/>
  <c r="P23533" i="14"/>
  <c r="E23533" i="14"/>
  <c r="AH23532" i="14"/>
  <c r="V23532" i="14"/>
  <c r="Q23532" i="14"/>
  <c r="E23532" i="14"/>
  <c r="AH23531" i="14"/>
  <c r="V23531" i="14"/>
  <c r="Q23531" i="14"/>
  <c r="E23531" i="14"/>
  <c r="AH23530" i="14"/>
  <c r="T23530" i="14"/>
  <c r="Q23530" i="14"/>
  <c r="O23530" i="14"/>
  <c r="E23530" i="14"/>
  <c r="AH23529" i="14"/>
  <c r="W23529" i="14"/>
  <c r="V23529" i="14"/>
  <c r="Q23529" i="14"/>
  <c r="E23529" i="14"/>
  <c r="AH23528" i="14"/>
  <c r="T23528" i="14"/>
  <c r="Q23528" i="14"/>
  <c r="E23528" i="14"/>
  <c r="AH23527" i="14"/>
  <c r="W23527" i="14"/>
  <c r="V23527" i="14"/>
  <c r="T23527" i="14"/>
  <c r="Q23527" i="14"/>
  <c r="P23527" i="14"/>
  <c r="E23527" i="14"/>
  <c r="AH23526" i="14"/>
  <c r="W23526" i="14"/>
  <c r="V23526" i="14"/>
  <c r="U23526" i="14"/>
  <c r="T23526" i="14"/>
  <c r="Q23526" i="14"/>
  <c r="P23526" i="14"/>
  <c r="E23526" i="14"/>
  <c r="AH23525" i="14"/>
  <c r="T23525" i="14"/>
  <c r="Q23525" i="14"/>
  <c r="P23525" i="14"/>
  <c r="O23525" i="14"/>
  <c r="E23525" i="14"/>
  <c r="AH23524" i="14"/>
  <c r="V23524" i="14"/>
  <c r="T23524" i="14"/>
  <c r="Q23524" i="14"/>
  <c r="E23524" i="14"/>
  <c r="AH23523" i="14"/>
  <c r="T23523" i="14"/>
  <c r="Q23523" i="14"/>
  <c r="E23523" i="14"/>
  <c r="AH23522" i="14"/>
  <c r="V23522" i="14"/>
  <c r="T23522" i="14"/>
  <c r="Q23522" i="14"/>
  <c r="P23522" i="14"/>
  <c r="O23522" i="14"/>
  <c r="E23522" i="14"/>
  <c r="AH23521" i="14"/>
  <c r="V23521" i="14"/>
  <c r="T23521" i="14"/>
  <c r="Q23521" i="14"/>
  <c r="P23521" i="14"/>
  <c r="O23521" i="14"/>
  <c r="E23521" i="14"/>
  <c r="AH23520" i="14"/>
  <c r="AE23520" i="14"/>
  <c r="U23520" i="14"/>
  <c r="T23520" i="14"/>
  <c r="Q23520" i="14"/>
  <c r="P23520" i="14"/>
  <c r="O23520" i="14"/>
  <c r="L23520" i="14"/>
  <c r="E23520" i="14"/>
  <c r="AH23519" i="14"/>
  <c r="V23519" i="14"/>
  <c r="U23519" i="14"/>
  <c r="T23519" i="14"/>
  <c r="Q23519" i="14"/>
  <c r="P23519" i="14"/>
  <c r="O23519" i="14"/>
  <c r="E23519" i="14"/>
  <c r="AH23518" i="14"/>
  <c r="V23518" i="14"/>
  <c r="Q23518" i="14"/>
  <c r="E23518" i="14"/>
  <c r="E23517" i="14"/>
  <c r="AH23516" i="14"/>
  <c r="V23516" i="14"/>
  <c r="Q23516" i="14"/>
  <c r="E23516" i="14"/>
  <c r="AH23515" i="14"/>
  <c r="V23515" i="14"/>
  <c r="Q23515" i="14"/>
  <c r="E23515" i="14"/>
  <c r="AH23514" i="14"/>
  <c r="T23514" i="14"/>
  <c r="Q23514" i="14"/>
  <c r="E23514" i="14"/>
  <c r="AH23513" i="14"/>
  <c r="V23513" i="14"/>
  <c r="Q23513" i="14"/>
  <c r="E23513" i="14"/>
  <c r="AH23512" i="14"/>
  <c r="Q23512" i="14"/>
  <c r="E23512" i="14"/>
  <c r="AH23511" i="14"/>
  <c r="W23511" i="14"/>
  <c r="V23511" i="14"/>
  <c r="Q23511" i="14"/>
  <c r="E23511" i="14"/>
  <c r="AH23510" i="14"/>
  <c r="V23510" i="14"/>
  <c r="Q23510" i="14"/>
  <c r="E23510" i="14"/>
  <c r="AH23509" i="14"/>
  <c r="T23509" i="14"/>
  <c r="M23509" i="14"/>
  <c r="E23509" i="14"/>
  <c r="AH23508" i="14"/>
  <c r="Q23508" i="14"/>
  <c r="E23508" i="14"/>
  <c r="AH23507" i="14"/>
  <c r="T23507" i="14"/>
  <c r="Q23507" i="14"/>
  <c r="E23507" i="14"/>
  <c r="AH23506" i="14"/>
  <c r="W23506" i="14"/>
  <c r="V23506" i="14"/>
  <c r="Q23506" i="14"/>
  <c r="E23506" i="14"/>
  <c r="AH23505" i="14"/>
  <c r="V23505" i="14"/>
  <c r="Q23505" i="14"/>
  <c r="E23505" i="14"/>
  <c r="AH23504" i="14"/>
  <c r="U23504" i="14"/>
  <c r="T23504" i="14"/>
  <c r="Q23504" i="14"/>
  <c r="E23504" i="14"/>
  <c r="AH23503" i="14"/>
  <c r="E23503" i="14"/>
  <c r="AH23502" i="14"/>
  <c r="E23502" i="14"/>
  <c r="AH23501" i="14"/>
  <c r="V23501" i="14"/>
  <c r="Q23501" i="14"/>
  <c r="E23501" i="14"/>
  <c r="AH23500" i="14"/>
  <c r="E23500" i="14"/>
  <c r="AH23499" i="14"/>
  <c r="V23499" i="14"/>
  <c r="T23499" i="14"/>
  <c r="Q23499" i="14"/>
  <c r="E23499" i="14"/>
  <c r="AH23498" i="14"/>
  <c r="V23498" i="14"/>
  <c r="Q23498" i="14"/>
  <c r="E23498" i="14"/>
  <c r="AH23497" i="14"/>
  <c r="V23497" i="14"/>
  <c r="U23497" i="14"/>
  <c r="Q23497" i="14"/>
  <c r="E23497" i="14"/>
  <c r="AH23496" i="14"/>
  <c r="E23496" i="14"/>
  <c r="AH23495" i="14"/>
  <c r="V23495" i="14"/>
  <c r="T23495" i="14"/>
  <c r="Q23495" i="14"/>
  <c r="P23495" i="14"/>
  <c r="E23495" i="14"/>
  <c r="AH23494" i="14"/>
  <c r="V23494" i="14"/>
  <c r="Q23494" i="14"/>
  <c r="E23494" i="14"/>
  <c r="AH23493" i="14"/>
  <c r="V23493" i="14"/>
  <c r="Q23493" i="14"/>
  <c r="E23493" i="14"/>
  <c r="AH23492" i="14"/>
  <c r="Q23492" i="14"/>
  <c r="E23492" i="14"/>
  <c r="AH23491" i="14"/>
  <c r="W23491" i="14"/>
  <c r="V23491" i="14"/>
  <c r="Q23491" i="14"/>
  <c r="E23491" i="14"/>
  <c r="AH23490" i="14"/>
  <c r="T23490" i="14"/>
  <c r="Q23490" i="14"/>
  <c r="E23490" i="14"/>
  <c r="AH23489" i="14"/>
  <c r="V23489" i="14"/>
  <c r="Q23489" i="14"/>
  <c r="E23489" i="14"/>
  <c r="AH23488" i="14"/>
  <c r="V23488" i="14"/>
  <c r="Q23488" i="14"/>
  <c r="P23488" i="14"/>
  <c r="E23488" i="14"/>
  <c r="AH23487" i="14"/>
  <c r="T23487" i="14"/>
  <c r="Q23487" i="14"/>
  <c r="E23487" i="14"/>
  <c r="AH23486" i="14"/>
  <c r="T23486" i="14"/>
  <c r="E23486" i="14"/>
  <c r="AH23485" i="14"/>
  <c r="V23485" i="14"/>
  <c r="E23485" i="14"/>
  <c r="AH23484" i="14"/>
  <c r="V23484" i="14"/>
  <c r="T23484" i="14"/>
  <c r="Q23484" i="14"/>
  <c r="E23484" i="14"/>
  <c r="AH23483" i="14"/>
  <c r="V23483" i="14"/>
  <c r="T23483" i="14"/>
  <c r="Q23483" i="14"/>
  <c r="E23483" i="14"/>
  <c r="AH23482" i="14"/>
  <c r="W23482" i="14"/>
  <c r="V23482" i="14"/>
  <c r="T23482" i="14"/>
  <c r="Q23482" i="14"/>
  <c r="E23482" i="14"/>
  <c r="AH23481" i="14"/>
  <c r="V23481" i="14"/>
  <c r="T23481" i="14"/>
  <c r="Q23481" i="14"/>
  <c r="E23481" i="14"/>
  <c r="AH23480" i="14"/>
  <c r="V23480" i="14"/>
  <c r="U23480" i="14"/>
  <c r="T23480" i="14"/>
  <c r="Q23480" i="14"/>
  <c r="E23480" i="14"/>
  <c r="AH23479" i="14"/>
  <c r="T23479" i="14"/>
  <c r="Q23479" i="14"/>
  <c r="E23479" i="14"/>
  <c r="AH23478" i="14"/>
  <c r="V23478" i="14"/>
  <c r="T23478" i="14"/>
  <c r="Q23478" i="14"/>
  <c r="E23478" i="14"/>
  <c r="AL23477" i="14"/>
  <c r="AH23477" i="14"/>
  <c r="T23477" i="14"/>
  <c r="Q23477" i="14"/>
  <c r="E23477" i="14"/>
  <c r="AH23476" i="14"/>
  <c r="E23476" i="14"/>
  <c r="AH23475" i="14"/>
  <c r="U23475" i="14"/>
  <c r="T23475" i="14"/>
  <c r="Q23475" i="14"/>
  <c r="E23475" i="14"/>
  <c r="AH23474" i="14"/>
  <c r="V23474" i="14"/>
  <c r="T23474" i="14"/>
  <c r="Q23474" i="14"/>
  <c r="P23474" i="14"/>
  <c r="O23474" i="14"/>
  <c r="E23474" i="14"/>
  <c r="AH23473" i="14"/>
  <c r="Q23473" i="14"/>
  <c r="E23473" i="14"/>
  <c r="AH23472" i="14"/>
  <c r="V23472" i="14"/>
  <c r="T23472" i="14"/>
  <c r="Q23472" i="14"/>
  <c r="E23472" i="14"/>
  <c r="AH23471" i="14"/>
  <c r="T23471" i="14"/>
  <c r="Q23471" i="14"/>
  <c r="E23471" i="14"/>
  <c r="AH23470" i="14"/>
  <c r="V23470" i="14"/>
  <c r="T23470" i="14"/>
  <c r="Q23470" i="14"/>
  <c r="E23470" i="14"/>
  <c r="AH23469" i="14"/>
  <c r="V23469" i="14"/>
  <c r="T23469" i="14"/>
  <c r="Q23469" i="14"/>
  <c r="E23469" i="14"/>
  <c r="AH23468" i="14"/>
  <c r="V23468" i="14"/>
  <c r="U23468" i="14"/>
  <c r="T23468" i="14"/>
  <c r="Q23468" i="14"/>
  <c r="E23468" i="14"/>
  <c r="AH23467" i="14"/>
  <c r="V23467" i="14"/>
  <c r="T23467" i="14"/>
  <c r="Q23467" i="14"/>
  <c r="E23467" i="14"/>
  <c r="AH23466" i="14"/>
  <c r="V23466" i="14"/>
  <c r="T23466" i="14"/>
  <c r="Q23466" i="14"/>
  <c r="P23466" i="14"/>
  <c r="E23466" i="14"/>
  <c r="AH23465" i="14"/>
  <c r="V23465" i="14"/>
  <c r="T23465" i="14"/>
  <c r="Q23465" i="14"/>
  <c r="E23465" i="14"/>
  <c r="AH23464" i="14"/>
  <c r="T23464" i="14"/>
  <c r="Q23464" i="14"/>
  <c r="E23464" i="14"/>
  <c r="AH23463" i="14"/>
  <c r="T23463" i="14"/>
  <c r="O23463" i="14"/>
  <c r="E23463" i="14"/>
  <c r="AH23462" i="14"/>
  <c r="T23462" i="14"/>
  <c r="Q23462" i="14"/>
  <c r="P23462" i="14"/>
  <c r="O23462" i="14"/>
  <c r="E23462" i="14"/>
  <c r="AH23461" i="14"/>
  <c r="V23461" i="14"/>
  <c r="T23461" i="14"/>
  <c r="Q23461" i="14"/>
  <c r="E23461" i="14"/>
  <c r="AH23460" i="14"/>
  <c r="V23460" i="14"/>
  <c r="T23460" i="14"/>
  <c r="Q23460" i="14"/>
  <c r="E23460" i="14"/>
  <c r="AH23459" i="14"/>
  <c r="T23459" i="14"/>
  <c r="Q23459" i="14"/>
  <c r="P23459" i="14"/>
  <c r="O23459" i="14"/>
  <c r="E23459" i="14"/>
  <c r="AH23458" i="14"/>
  <c r="T23458" i="14"/>
  <c r="Q23458" i="14"/>
  <c r="P23458" i="14"/>
  <c r="O23458" i="14"/>
  <c r="E23458" i="14"/>
  <c r="AH23457" i="14"/>
  <c r="T23457" i="14"/>
  <c r="Q23457" i="14"/>
  <c r="P23457" i="14"/>
  <c r="O23457" i="14"/>
  <c r="E23457" i="14"/>
  <c r="AH23456" i="14"/>
  <c r="T23456" i="14"/>
  <c r="Q23456" i="14"/>
  <c r="P23456" i="14"/>
  <c r="O23456" i="14"/>
  <c r="E23456" i="14"/>
  <c r="AH23455" i="14"/>
  <c r="T23455" i="14"/>
  <c r="Q23455" i="14"/>
  <c r="P23455" i="14"/>
  <c r="O23455" i="14"/>
  <c r="E23455" i="14"/>
  <c r="AH23454" i="14"/>
  <c r="V23454" i="14"/>
  <c r="T23454" i="14"/>
  <c r="Q23454" i="14"/>
  <c r="E23454" i="14"/>
  <c r="AH23453" i="14"/>
  <c r="W23453" i="14"/>
  <c r="V23453" i="14"/>
  <c r="U23453" i="14"/>
  <c r="T23453" i="14"/>
  <c r="Q23453" i="14"/>
  <c r="E23453" i="14"/>
  <c r="AH23452" i="14"/>
  <c r="W23452" i="14"/>
  <c r="V23452" i="14"/>
  <c r="U23452" i="14"/>
  <c r="Q23452" i="14"/>
  <c r="E23452" i="14"/>
  <c r="AH23451" i="14"/>
  <c r="V23451" i="14"/>
  <c r="U23451" i="14"/>
  <c r="Q23451" i="14"/>
  <c r="E23451" i="14"/>
  <c r="AH23450" i="14"/>
  <c r="V23450" i="14"/>
  <c r="Q23450" i="14"/>
  <c r="E23450" i="14"/>
  <c r="AH23449" i="14"/>
  <c r="V23449" i="14"/>
  <c r="T23449" i="14"/>
  <c r="Q23449" i="14"/>
  <c r="E23449" i="14"/>
  <c r="AH23448" i="14"/>
  <c r="W23448" i="14"/>
  <c r="V23448" i="14"/>
  <c r="U23448" i="14"/>
  <c r="T23448" i="14"/>
  <c r="Q23448" i="14"/>
  <c r="M23448" i="14"/>
  <c r="E23448" i="14"/>
  <c r="AH23447" i="14"/>
  <c r="V23447" i="14"/>
  <c r="U23447" i="14"/>
  <c r="T23447" i="14"/>
  <c r="Q23447" i="14"/>
  <c r="P23447" i="14"/>
  <c r="E23447" i="14"/>
  <c r="AH23446" i="14"/>
  <c r="T23446" i="14"/>
  <c r="Q23446" i="14"/>
  <c r="O23446" i="14"/>
  <c r="E23446" i="14"/>
  <c r="AK23445" i="14"/>
  <c r="AH23445" i="14"/>
  <c r="V23445" i="14"/>
  <c r="U23445" i="14"/>
  <c r="T23445" i="14"/>
  <c r="Q23445" i="14"/>
  <c r="O23445" i="14"/>
  <c r="N23445" i="14"/>
  <c r="E23445" i="14"/>
  <c r="AK23444" i="14"/>
  <c r="AH23444" i="14"/>
  <c r="V23444" i="14"/>
  <c r="U23444" i="14"/>
  <c r="T23444" i="14"/>
  <c r="Q23444" i="14"/>
  <c r="P23444" i="14"/>
  <c r="N23444" i="14"/>
  <c r="E23444" i="14"/>
  <c r="AK23443" i="14"/>
  <c r="AH23443" i="14"/>
  <c r="V23443" i="14"/>
  <c r="Q23443" i="14"/>
  <c r="N23443" i="14"/>
  <c r="M23443" i="14"/>
  <c r="E23443" i="14"/>
  <c r="AH23442" i="14"/>
  <c r="V23442" i="14"/>
  <c r="T23442" i="14"/>
  <c r="Q23442" i="14"/>
  <c r="E23442" i="14"/>
  <c r="AH23441" i="14"/>
  <c r="V23441" i="14"/>
  <c r="T23441" i="14"/>
  <c r="Q23441" i="14"/>
  <c r="P23441" i="14"/>
  <c r="O23441" i="14"/>
  <c r="E23441" i="14"/>
  <c r="AH23440" i="14"/>
  <c r="T23440" i="14"/>
  <c r="Q23440" i="14"/>
  <c r="E23440" i="14"/>
  <c r="AH23439" i="14"/>
  <c r="T23439" i="14"/>
  <c r="Q23439" i="14"/>
  <c r="E23439" i="14"/>
  <c r="AH23438" i="14"/>
  <c r="V23438" i="14"/>
  <c r="Q23438" i="14"/>
  <c r="P23438" i="14"/>
  <c r="O23438" i="14"/>
  <c r="E23438" i="14"/>
  <c r="AH23437" i="14"/>
  <c r="V23437" i="14"/>
  <c r="T23437" i="14"/>
  <c r="P23437" i="14"/>
  <c r="E23437" i="14"/>
  <c r="AH23436" i="14"/>
  <c r="Q23436" i="14"/>
  <c r="E23436" i="14"/>
  <c r="AH23435" i="14"/>
  <c r="T23435" i="14"/>
  <c r="E23435" i="14"/>
  <c r="AH23434" i="14"/>
  <c r="T23434" i="14"/>
  <c r="E23434" i="14"/>
  <c r="AH23433" i="14"/>
  <c r="T23433" i="14"/>
  <c r="Q23433" i="14"/>
  <c r="O23433" i="14"/>
  <c r="E23433" i="14"/>
  <c r="AH23432" i="14"/>
  <c r="V23432" i="14"/>
  <c r="T23432" i="14"/>
  <c r="Q23432" i="14"/>
  <c r="P23432" i="14"/>
  <c r="O23432" i="14"/>
  <c r="E23432" i="14"/>
  <c r="AH23431" i="14"/>
  <c r="V23431" i="14"/>
  <c r="Q23431" i="14"/>
  <c r="P23431" i="14"/>
  <c r="O23431" i="14"/>
  <c r="E23431" i="14"/>
  <c r="AH23430" i="14"/>
  <c r="V23430" i="14"/>
  <c r="T23430" i="14"/>
  <c r="Q23430" i="14"/>
  <c r="P23430" i="14"/>
  <c r="O23430" i="14"/>
  <c r="E23430" i="14"/>
  <c r="AH23429" i="14"/>
  <c r="T23429" i="14"/>
  <c r="Q23429" i="14"/>
  <c r="O23429" i="14"/>
  <c r="E23429" i="14"/>
  <c r="AH23428" i="14"/>
  <c r="U23428" i="14"/>
  <c r="T23428" i="14"/>
  <c r="Q23428" i="14"/>
  <c r="P23428" i="14"/>
  <c r="O23428" i="14"/>
  <c r="M23428" i="14"/>
  <c r="E23428" i="14"/>
  <c r="AH23427" i="14"/>
  <c r="Q23427" i="14"/>
  <c r="O23427" i="14"/>
  <c r="E23427" i="14"/>
  <c r="AH23426" i="14"/>
  <c r="V23426" i="14"/>
  <c r="Q23426" i="14"/>
  <c r="P23426" i="14"/>
  <c r="O23426" i="14"/>
  <c r="E23426" i="14"/>
  <c r="AH23425" i="14"/>
  <c r="T23425" i="14"/>
  <c r="Q23425" i="14"/>
  <c r="E23425" i="14"/>
  <c r="AH23424" i="14"/>
  <c r="T23424" i="14"/>
  <c r="Q23424" i="14"/>
  <c r="E23424" i="14"/>
  <c r="AH23423" i="14"/>
  <c r="O23423" i="14"/>
  <c r="E23423" i="14"/>
  <c r="AH23422" i="14"/>
  <c r="T23422" i="14"/>
  <c r="Q23422" i="14"/>
  <c r="P23422" i="14"/>
  <c r="O23422" i="14"/>
  <c r="E23422" i="14"/>
  <c r="AH23421" i="14"/>
  <c r="T23421" i="14"/>
  <c r="Q23421" i="14"/>
  <c r="O23421" i="14"/>
  <c r="E23421" i="14"/>
  <c r="AH23420" i="14"/>
  <c r="T23420" i="14"/>
  <c r="Q23420" i="14"/>
  <c r="O23420" i="14"/>
  <c r="E23420" i="14"/>
  <c r="AH23419" i="14"/>
  <c r="T23419" i="14"/>
  <c r="Q23419" i="14"/>
  <c r="P23419" i="14"/>
  <c r="O23419" i="14"/>
  <c r="E23419" i="14"/>
  <c r="AH23418" i="14"/>
  <c r="V23418" i="14"/>
  <c r="T23418" i="14"/>
  <c r="Q23418" i="14"/>
  <c r="P23418" i="14"/>
  <c r="O23418" i="14"/>
  <c r="E23418" i="14"/>
  <c r="AH23417" i="14"/>
  <c r="V23417" i="14"/>
  <c r="E23417" i="14"/>
  <c r="AH23416" i="14"/>
  <c r="E23416" i="14"/>
  <c r="AH23415" i="14"/>
  <c r="E23415" i="14"/>
  <c r="AH23414" i="14"/>
  <c r="T23414" i="14"/>
  <c r="E23414" i="14"/>
  <c r="AH23413" i="14"/>
  <c r="T23413" i="14"/>
  <c r="E23413" i="14"/>
  <c r="AH23412" i="14"/>
  <c r="M23412" i="14"/>
  <c r="E23412" i="14"/>
  <c r="AH23411" i="14"/>
  <c r="Q23411" i="14"/>
  <c r="E23411" i="14"/>
  <c r="AH23410" i="14"/>
  <c r="E23410" i="14"/>
  <c r="AH23409" i="14"/>
  <c r="T23409" i="14"/>
  <c r="Q23409" i="14"/>
  <c r="E23409" i="14"/>
  <c r="AH23408" i="14"/>
  <c r="M23408" i="14"/>
  <c r="E23408" i="14"/>
  <c r="AH23407" i="14"/>
  <c r="M23407" i="14"/>
  <c r="E23407" i="14"/>
  <c r="AH23406" i="14"/>
  <c r="E23406" i="14"/>
  <c r="AH23405" i="14"/>
  <c r="T23405" i="14"/>
  <c r="Q23405" i="14"/>
  <c r="E23405" i="14"/>
  <c r="AH23404" i="14"/>
  <c r="T23404" i="14"/>
  <c r="E23404" i="14"/>
  <c r="AH23403" i="14"/>
  <c r="E23403" i="14"/>
  <c r="AH23402" i="14"/>
  <c r="E23402" i="14"/>
  <c r="AH23401" i="14"/>
  <c r="E23401" i="14"/>
  <c r="AH23400" i="14"/>
  <c r="V23400" i="14"/>
  <c r="E23400" i="14"/>
  <c r="AH23399" i="14"/>
  <c r="T23399" i="14"/>
  <c r="E23399" i="14"/>
  <c r="AH23398" i="14"/>
  <c r="E23398" i="14"/>
  <c r="AH23397" i="14"/>
  <c r="Q23397" i="14"/>
  <c r="E23397" i="14"/>
  <c r="AH23396" i="14"/>
  <c r="T23396" i="14"/>
  <c r="Q23396" i="14"/>
  <c r="E23396" i="14"/>
  <c r="AH23395" i="14"/>
  <c r="V23395" i="14"/>
  <c r="E23395" i="14"/>
  <c r="AH23394" i="14"/>
  <c r="E23394" i="14"/>
  <c r="AH23393" i="14"/>
  <c r="E23393" i="14"/>
  <c r="AH23392" i="14"/>
  <c r="E23392" i="14"/>
  <c r="AH23391" i="14"/>
  <c r="E23391" i="14"/>
  <c r="AH23390" i="14"/>
  <c r="V23390" i="14"/>
  <c r="E23390" i="14"/>
  <c r="AH23389" i="14"/>
  <c r="E23389" i="14"/>
  <c r="AH23388" i="14"/>
  <c r="V23388" i="14"/>
  <c r="E23388" i="14"/>
  <c r="AH23387" i="14"/>
  <c r="V23387" i="14"/>
  <c r="T23387" i="14"/>
  <c r="P23387" i="14"/>
  <c r="E23387" i="14"/>
  <c r="AH23386" i="14"/>
  <c r="V23386" i="14"/>
  <c r="T23386" i="14"/>
  <c r="P23386" i="14"/>
  <c r="E23386" i="14"/>
  <c r="AH23385" i="14"/>
  <c r="V23385" i="14"/>
  <c r="P23385" i="14"/>
  <c r="E23385" i="14"/>
  <c r="AH23384" i="14"/>
  <c r="V23384" i="14"/>
  <c r="T23384" i="14"/>
  <c r="E23384" i="14"/>
  <c r="AH23383" i="14"/>
  <c r="E23383" i="14"/>
  <c r="AH23382" i="14"/>
  <c r="V23382" i="14"/>
  <c r="T23382" i="14"/>
  <c r="E23382" i="14"/>
  <c r="AH23381" i="14"/>
  <c r="E23381" i="14"/>
  <c r="AH23380" i="14"/>
  <c r="V23380" i="14"/>
  <c r="T23380" i="14"/>
  <c r="E23380" i="14"/>
  <c r="AH23379" i="14"/>
  <c r="V23379" i="14"/>
  <c r="E23379" i="14"/>
  <c r="AH23378" i="14"/>
  <c r="T23378" i="14"/>
  <c r="E23378" i="14"/>
  <c r="AH23377" i="14"/>
  <c r="V23377" i="14"/>
  <c r="T23377" i="14"/>
  <c r="E23377" i="14"/>
  <c r="AH23376" i="14"/>
  <c r="V23376" i="14"/>
  <c r="T23376" i="14"/>
  <c r="P23376" i="14"/>
  <c r="E23376" i="14"/>
  <c r="AH23375" i="14"/>
  <c r="V23375" i="14"/>
  <c r="T23375" i="14"/>
  <c r="P23375" i="14"/>
  <c r="E23375" i="14"/>
  <c r="AH23374" i="14"/>
  <c r="V23374" i="14"/>
  <c r="T23374" i="14"/>
  <c r="P23374" i="14"/>
  <c r="E23374" i="14"/>
  <c r="AH23373" i="14"/>
  <c r="V23373" i="14"/>
  <c r="T23373" i="14"/>
  <c r="P23373" i="14"/>
  <c r="E23373" i="14"/>
  <c r="AH23372" i="14"/>
  <c r="V23372" i="14"/>
  <c r="T23372" i="14"/>
  <c r="P23372" i="14"/>
  <c r="E23372" i="14"/>
  <c r="AH23371" i="14"/>
  <c r="V23371" i="14"/>
  <c r="T23371" i="14"/>
  <c r="P23371" i="14"/>
  <c r="E23371" i="14"/>
  <c r="AH23370" i="14"/>
  <c r="V23370" i="14"/>
  <c r="T23370" i="14"/>
  <c r="P23370" i="14"/>
  <c r="E23370" i="14"/>
  <c r="AH23369" i="14"/>
  <c r="V23369" i="14"/>
  <c r="T23369" i="14"/>
  <c r="P23369" i="14"/>
  <c r="O23369" i="14"/>
  <c r="E23369" i="14"/>
  <c r="AH23368" i="14"/>
  <c r="P23368" i="14"/>
  <c r="E23368" i="14"/>
  <c r="AH23367" i="14"/>
  <c r="V23367" i="14"/>
  <c r="T23367" i="14"/>
  <c r="P23367" i="14"/>
  <c r="E23367" i="14"/>
  <c r="AH23366" i="14"/>
  <c r="V23366" i="14"/>
  <c r="T23366" i="14"/>
  <c r="P23366" i="14"/>
  <c r="M23366" i="14"/>
  <c r="E23366" i="14"/>
  <c r="AH23365" i="14"/>
  <c r="T23365" i="14"/>
  <c r="P23365" i="14"/>
  <c r="E23365" i="14"/>
  <c r="AH23364" i="14"/>
  <c r="V23364" i="14"/>
  <c r="T23364" i="14"/>
  <c r="P23364" i="14"/>
  <c r="E23364" i="14"/>
  <c r="AH23363" i="14"/>
  <c r="V23363" i="14"/>
  <c r="T23363" i="14"/>
  <c r="P23363" i="14"/>
  <c r="E23363" i="14"/>
  <c r="AH23362" i="14"/>
  <c r="V23362" i="14"/>
  <c r="T23362" i="14"/>
  <c r="P23362" i="14"/>
  <c r="E23362" i="14"/>
  <c r="AH23361" i="14"/>
  <c r="V23361" i="14"/>
  <c r="T23361" i="14"/>
  <c r="P23361" i="14"/>
  <c r="E23361" i="14"/>
  <c r="AH23360" i="14"/>
  <c r="V23360" i="14"/>
  <c r="P23360" i="14"/>
  <c r="E23360" i="14"/>
  <c r="AH23359" i="14"/>
  <c r="V23359" i="14"/>
  <c r="T23359" i="14"/>
  <c r="P23359" i="14"/>
  <c r="E23359" i="14"/>
  <c r="AH23358" i="14"/>
  <c r="V23358" i="14"/>
  <c r="T23358" i="14"/>
  <c r="P23358" i="14"/>
  <c r="E23358" i="14"/>
  <c r="AH23357" i="14"/>
  <c r="V23357" i="14"/>
  <c r="T23357" i="14"/>
  <c r="P23357" i="14"/>
  <c r="E23357" i="14"/>
  <c r="AH23356" i="14"/>
  <c r="V23356" i="14"/>
  <c r="T23356" i="14"/>
  <c r="P23356" i="14"/>
  <c r="E23356" i="14"/>
  <c r="AH23355" i="14"/>
  <c r="V23355" i="14"/>
  <c r="T23355" i="14"/>
  <c r="P23355" i="14"/>
  <c r="E23355" i="14"/>
  <c r="AH23354" i="14"/>
  <c r="V23354" i="14"/>
  <c r="P23354" i="14"/>
  <c r="E23354" i="14"/>
  <c r="AH23353" i="14"/>
  <c r="V23353" i="14"/>
  <c r="T23353" i="14"/>
  <c r="P23353" i="14"/>
  <c r="E23353" i="14"/>
  <c r="AH23352" i="14"/>
  <c r="V23352" i="14"/>
  <c r="P23352" i="14"/>
  <c r="E23352" i="14"/>
  <c r="AH23351" i="14"/>
  <c r="V23351" i="14"/>
  <c r="T23351" i="14"/>
  <c r="P23351" i="14"/>
  <c r="E23351" i="14"/>
  <c r="AH23350" i="14"/>
  <c r="V23350" i="14"/>
  <c r="P23350" i="14"/>
  <c r="E23350" i="14"/>
  <c r="AH23349" i="14"/>
  <c r="V23349" i="14"/>
  <c r="T23349" i="14"/>
  <c r="P23349" i="14"/>
  <c r="E23349" i="14"/>
  <c r="AH23348" i="14"/>
  <c r="V23348" i="14"/>
  <c r="T23348" i="14"/>
  <c r="P23348" i="14"/>
  <c r="E23348" i="14"/>
  <c r="AH23347" i="14"/>
  <c r="V23347" i="14"/>
  <c r="T23347" i="14"/>
  <c r="P23347" i="14"/>
  <c r="E23347" i="14"/>
  <c r="AH23346" i="14"/>
  <c r="V23346" i="14"/>
  <c r="T23346" i="14"/>
  <c r="P23346" i="14"/>
  <c r="E23346" i="14"/>
  <c r="AH23345" i="14"/>
  <c r="V23345" i="14"/>
  <c r="T23345" i="14"/>
  <c r="P23345" i="14"/>
  <c r="E23345" i="14"/>
  <c r="AH23344" i="14"/>
  <c r="AE23344" i="14"/>
  <c r="T23344" i="14"/>
  <c r="P23344" i="14"/>
  <c r="E23344" i="14"/>
  <c r="AH23343" i="14"/>
  <c r="AG23343" i="14"/>
  <c r="AE23343" i="14"/>
  <c r="V23343" i="14"/>
  <c r="T23343" i="14"/>
  <c r="P23343" i="14"/>
  <c r="O23343" i="14"/>
  <c r="E23343" i="14"/>
  <c r="AH23342" i="14"/>
  <c r="V23342" i="14"/>
  <c r="T23342" i="14"/>
  <c r="P23342" i="14"/>
  <c r="E23342" i="14"/>
  <c r="AH23341" i="14"/>
  <c r="V23341" i="14"/>
  <c r="P23341" i="14"/>
  <c r="E23341" i="14"/>
  <c r="AH23340" i="14"/>
  <c r="V23340" i="14"/>
  <c r="P23340" i="14"/>
  <c r="E23340" i="14"/>
  <c r="AH23339" i="14"/>
  <c r="V23339" i="14"/>
  <c r="P23339" i="14"/>
  <c r="E23339" i="14"/>
  <c r="AH23338" i="14"/>
  <c r="V23338" i="14"/>
  <c r="T23338" i="14"/>
  <c r="P23338" i="14"/>
  <c r="E23338" i="14"/>
  <c r="AH23337" i="14"/>
  <c r="V23337" i="14"/>
  <c r="T23337" i="14"/>
  <c r="P23337" i="14"/>
  <c r="E23337" i="14"/>
  <c r="AH23336" i="14"/>
  <c r="V23336" i="14"/>
  <c r="P23336" i="14"/>
  <c r="E23336" i="14"/>
  <c r="AH23335" i="14"/>
  <c r="V23335" i="14"/>
  <c r="P23335" i="14"/>
  <c r="E23335" i="14"/>
  <c r="AH23334" i="14"/>
  <c r="V23334" i="14"/>
  <c r="P23334" i="14"/>
  <c r="E23334" i="14"/>
  <c r="AH23333" i="14"/>
  <c r="V23333" i="14"/>
  <c r="T23333" i="14"/>
  <c r="P23333" i="14"/>
  <c r="E23333" i="14"/>
  <c r="AH23332" i="14"/>
  <c r="E23332" i="14"/>
  <c r="AH23331" i="14"/>
  <c r="V23331" i="14"/>
  <c r="T23331" i="14"/>
  <c r="Q23331" i="14"/>
  <c r="E23331" i="14"/>
  <c r="E23330" i="14"/>
  <c r="AH23329" i="14"/>
  <c r="V23329" i="14"/>
  <c r="T23329" i="14"/>
  <c r="P23329" i="14"/>
  <c r="E23329" i="14"/>
  <c r="AH23328" i="14"/>
  <c r="V23328" i="14"/>
  <c r="T23328" i="14"/>
  <c r="P23328" i="14"/>
  <c r="E23328" i="14"/>
  <c r="AH23327" i="14"/>
  <c r="V23327" i="14"/>
  <c r="T23327" i="14"/>
  <c r="P23327" i="14"/>
  <c r="E23327" i="14"/>
  <c r="AH23326" i="14"/>
  <c r="V23326" i="14"/>
  <c r="T23326" i="14"/>
  <c r="P23326" i="14"/>
  <c r="E23326" i="14"/>
  <c r="AH23325" i="14"/>
  <c r="V23325" i="14"/>
  <c r="T23325" i="14"/>
  <c r="P23325" i="14"/>
  <c r="E23325" i="14"/>
  <c r="AH23324" i="14"/>
  <c r="V23324" i="14"/>
  <c r="T23324" i="14"/>
  <c r="E23324" i="14"/>
  <c r="AH23323" i="14"/>
  <c r="V23323" i="14"/>
  <c r="T23323" i="14"/>
  <c r="P23323" i="14"/>
  <c r="E23323" i="14"/>
  <c r="AH23322" i="14"/>
  <c r="T23322" i="14"/>
  <c r="P23322" i="14"/>
  <c r="E23322" i="14"/>
  <c r="AH23321" i="14"/>
  <c r="V23321" i="14"/>
  <c r="P23321" i="14"/>
  <c r="M23321" i="14"/>
  <c r="E23321" i="14"/>
  <c r="AH23320" i="14"/>
  <c r="V23320" i="14"/>
  <c r="P23320" i="14"/>
  <c r="E23320" i="14"/>
  <c r="AH23319" i="14"/>
  <c r="V23319" i="14"/>
  <c r="T23319" i="14"/>
  <c r="P23319" i="14"/>
  <c r="E23319" i="14"/>
  <c r="AH23318" i="14"/>
  <c r="V23318" i="14"/>
  <c r="T23318" i="14"/>
  <c r="P23318" i="14"/>
  <c r="E23318" i="14"/>
  <c r="AH23317" i="14"/>
  <c r="V23317" i="14"/>
  <c r="P23317" i="14"/>
  <c r="E23317" i="14"/>
  <c r="AH23316" i="14"/>
  <c r="AF23316" i="14"/>
  <c r="AE23316" i="14"/>
  <c r="T23316" i="14"/>
  <c r="P23316" i="14"/>
  <c r="E23316" i="14"/>
  <c r="AH23315" i="14"/>
  <c r="W23315" i="14"/>
  <c r="V23315" i="14"/>
  <c r="T23315" i="14"/>
  <c r="Q23315" i="14"/>
  <c r="P23315" i="14"/>
  <c r="M23315" i="14"/>
  <c r="E23315" i="14"/>
  <c r="AH23314" i="14"/>
  <c r="M23314" i="14"/>
  <c r="E23314" i="14"/>
  <c r="AH23313" i="14"/>
  <c r="E23313" i="14"/>
  <c r="AH23312" i="14"/>
  <c r="V23312" i="14"/>
  <c r="Q23312" i="14"/>
  <c r="E23312" i="14"/>
  <c r="E23311" i="14"/>
  <c r="AH23310" i="14"/>
  <c r="V23310" i="14"/>
  <c r="T23310" i="14"/>
  <c r="Q23310" i="14"/>
  <c r="P23310" i="14"/>
  <c r="O23310" i="14"/>
  <c r="E23310" i="14"/>
  <c r="AH23309" i="14"/>
  <c r="T23309" i="14"/>
  <c r="Q23309" i="14"/>
  <c r="E23309" i="14"/>
  <c r="AH23308" i="14"/>
  <c r="E23308" i="14"/>
  <c r="AH23307" i="14"/>
  <c r="E23307" i="14"/>
  <c r="AH23306" i="14"/>
  <c r="E23306" i="14"/>
  <c r="AH23305" i="14"/>
  <c r="E23305" i="14"/>
  <c r="AH23304" i="14"/>
  <c r="E23304" i="14"/>
  <c r="AH23303" i="14"/>
  <c r="E23303" i="14"/>
  <c r="AH23302" i="14"/>
  <c r="O23302" i="14"/>
  <c r="E23302" i="14"/>
  <c r="AH23301" i="14"/>
  <c r="E23301" i="14"/>
  <c r="AH23300" i="14"/>
  <c r="E23300" i="14"/>
  <c r="AH23299" i="14"/>
  <c r="E23299" i="14"/>
  <c r="AH23298" i="14"/>
  <c r="E23298" i="14"/>
  <c r="AH23297" i="14"/>
  <c r="E23297" i="14"/>
  <c r="AH23296" i="14"/>
  <c r="E23296" i="14"/>
  <c r="AH23295" i="14"/>
  <c r="E23295" i="14"/>
  <c r="AH23294" i="14"/>
  <c r="E23294" i="14"/>
  <c r="AH23293" i="14"/>
  <c r="O23293" i="14"/>
  <c r="E23293" i="14"/>
  <c r="AH23292" i="14"/>
  <c r="E23292" i="14"/>
  <c r="P23291" i="14"/>
  <c r="E23291" i="14"/>
  <c r="E23290" i="14"/>
  <c r="AH23289" i="14"/>
  <c r="AG23289" i="14"/>
  <c r="AF23289" i="14"/>
  <c r="AE23289" i="14"/>
  <c r="V23289" i="14"/>
  <c r="T23289" i="14"/>
  <c r="P23289" i="14"/>
  <c r="E23289" i="14"/>
  <c r="AL23288" i="14"/>
  <c r="AH23288" i="14"/>
  <c r="Q23288" i="14"/>
  <c r="G23288" i="14"/>
  <c r="E23288" i="14"/>
  <c r="AK23287" i="14"/>
  <c r="AH23287" i="14"/>
  <c r="AG23287" i="14"/>
  <c r="AF23287" i="14"/>
  <c r="AE23287" i="14"/>
  <c r="V23287" i="14"/>
  <c r="U23287" i="14"/>
  <c r="T23287" i="14"/>
  <c r="Q23287" i="14"/>
  <c r="P23287" i="14"/>
  <c r="N23287" i="14"/>
  <c r="M23287" i="14"/>
  <c r="E23287" i="14"/>
  <c r="AH23286" i="14"/>
  <c r="U23286" i="14"/>
  <c r="T23286" i="14"/>
  <c r="Q23286" i="14"/>
  <c r="P23286" i="14"/>
  <c r="E23286" i="14"/>
  <c r="AH23285" i="14"/>
  <c r="V23285" i="14"/>
  <c r="T23285" i="14"/>
  <c r="E23285" i="14"/>
  <c r="AH23284" i="14"/>
  <c r="V23284" i="14"/>
  <c r="P23284" i="14"/>
  <c r="E23284" i="14"/>
  <c r="AH23283" i="14"/>
  <c r="V23283" i="14"/>
  <c r="T23283" i="14"/>
  <c r="P23283" i="14"/>
  <c r="E23283" i="14"/>
  <c r="AH23282" i="14"/>
  <c r="V23282" i="14"/>
  <c r="T23282" i="14"/>
  <c r="P23282" i="14"/>
  <c r="E23282" i="14"/>
  <c r="AH23281" i="14"/>
  <c r="V23281" i="14"/>
  <c r="T23281" i="14"/>
  <c r="P23281" i="14"/>
  <c r="E23281" i="14"/>
  <c r="AH23280" i="14"/>
  <c r="V23280" i="14"/>
  <c r="P23280" i="14"/>
  <c r="E23280" i="14"/>
  <c r="AH23279" i="14"/>
  <c r="T23279" i="14"/>
  <c r="E23279" i="14"/>
  <c r="AH23278" i="14"/>
  <c r="E23278" i="14"/>
  <c r="AH23277" i="14"/>
  <c r="E23277" i="14"/>
  <c r="AH23276" i="14"/>
  <c r="U23276" i="14"/>
  <c r="T23276" i="14"/>
  <c r="E23276" i="14"/>
  <c r="AH23275" i="14"/>
  <c r="M23275" i="14"/>
  <c r="E23275" i="14"/>
  <c r="AH23274" i="14"/>
  <c r="T23274" i="14"/>
  <c r="E23274" i="14"/>
  <c r="AH23273" i="14"/>
  <c r="T23273" i="14"/>
  <c r="E23273" i="14"/>
  <c r="AH23272" i="14"/>
  <c r="U23272" i="14"/>
  <c r="T23272" i="14"/>
  <c r="L23272" i="14"/>
  <c r="E23272" i="14"/>
  <c r="AL23271" i="14"/>
  <c r="AH23271" i="14"/>
  <c r="T23271" i="14"/>
  <c r="G23271" i="14"/>
  <c r="E23271" i="14"/>
  <c r="AH23270" i="14"/>
  <c r="E23270" i="14"/>
  <c r="AH23269" i="14"/>
  <c r="T23269" i="14"/>
  <c r="E23269" i="14"/>
  <c r="AH23268" i="14"/>
  <c r="E23268" i="14"/>
  <c r="AH23267" i="14"/>
  <c r="E23267" i="14"/>
  <c r="AH23266" i="14"/>
  <c r="T23266" i="14"/>
  <c r="E23266" i="14"/>
  <c r="AH23265" i="14"/>
  <c r="V23265" i="14"/>
  <c r="T23265" i="14"/>
  <c r="P23265" i="14"/>
  <c r="O23265" i="14"/>
  <c r="E23265" i="14"/>
  <c r="AH23264" i="14"/>
  <c r="E23264" i="14"/>
  <c r="AH23263" i="14"/>
  <c r="Q23263" i="14"/>
  <c r="M23263" i="14"/>
  <c r="E23263" i="14"/>
  <c r="AH23262" i="14"/>
  <c r="T23262" i="14"/>
  <c r="Q23262" i="14"/>
  <c r="E23262" i="14"/>
  <c r="AH23261" i="14"/>
  <c r="Q23261" i="14"/>
  <c r="E23261" i="14"/>
  <c r="AH23260" i="14"/>
  <c r="E23260" i="14"/>
  <c r="AH23259" i="14"/>
  <c r="T23259" i="14"/>
  <c r="Q23259" i="14"/>
  <c r="E23259" i="14"/>
  <c r="AH23258" i="14"/>
  <c r="T23258" i="14"/>
  <c r="Q23258" i="14"/>
  <c r="E23258" i="14"/>
  <c r="AH23257" i="14"/>
  <c r="M23257" i="14"/>
  <c r="E23257" i="14"/>
  <c r="AH23256" i="14"/>
  <c r="U23256" i="14"/>
  <c r="T23256" i="14"/>
  <c r="Q23256" i="14"/>
  <c r="E23256" i="14"/>
  <c r="AH23255" i="14"/>
  <c r="Q23255" i="14"/>
  <c r="E23255" i="14"/>
  <c r="AH23254" i="14"/>
  <c r="E23254" i="14"/>
  <c r="AH23253" i="14"/>
  <c r="Q23253" i="14"/>
  <c r="E23253" i="14"/>
  <c r="AH23252" i="14"/>
  <c r="T23252" i="14"/>
  <c r="E23252" i="14"/>
  <c r="AH23251" i="14"/>
  <c r="E23251" i="14"/>
  <c r="AH23250" i="14"/>
  <c r="T23250" i="14"/>
  <c r="E23250" i="14"/>
  <c r="AH23249" i="14"/>
  <c r="E23249" i="14"/>
  <c r="AH23248" i="14"/>
  <c r="E23248" i="14"/>
  <c r="AH23247" i="14"/>
  <c r="E23247" i="14"/>
  <c r="AH23246" i="14"/>
  <c r="E23246" i="14"/>
  <c r="AH23245" i="14"/>
  <c r="E23245" i="14"/>
  <c r="AH23244" i="14"/>
  <c r="E23244" i="14"/>
  <c r="AH23243" i="14"/>
  <c r="T23243" i="14"/>
  <c r="Q23243" i="14"/>
  <c r="E23243" i="14"/>
  <c r="AH23242" i="14"/>
  <c r="Q23242" i="14"/>
  <c r="E23242" i="14"/>
  <c r="AH23241" i="14"/>
  <c r="T23241" i="14"/>
  <c r="Q23241" i="14"/>
  <c r="E23241" i="14"/>
  <c r="AH23240" i="14"/>
  <c r="E23240" i="14"/>
  <c r="AH23239" i="14"/>
  <c r="Q23239" i="14"/>
  <c r="E23239" i="14"/>
  <c r="AH23238" i="14"/>
  <c r="T23238" i="14"/>
  <c r="E23238" i="14"/>
  <c r="AH23237" i="14"/>
  <c r="Q23237" i="14"/>
  <c r="E23237" i="14"/>
  <c r="AH23236" i="14"/>
  <c r="E23236" i="14"/>
  <c r="AH23235" i="14"/>
  <c r="E23235" i="14"/>
  <c r="AH23234" i="14"/>
  <c r="Q23234" i="14"/>
  <c r="E23234" i="14"/>
  <c r="AH23233" i="14"/>
  <c r="E23233" i="14"/>
  <c r="AH23232" i="14"/>
  <c r="M23232" i="14"/>
  <c r="E23232" i="14"/>
  <c r="AH23231" i="14"/>
  <c r="T23231" i="14"/>
  <c r="E23231" i="14"/>
  <c r="AH23230" i="14"/>
  <c r="E23230" i="14"/>
  <c r="AH23229" i="14"/>
  <c r="E23229" i="14"/>
  <c r="AH23228" i="14"/>
  <c r="T23228" i="14"/>
  <c r="E23228" i="14"/>
  <c r="AH23227" i="14"/>
  <c r="T23227" i="14"/>
  <c r="E23227" i="14"/>
  <c r="AH23226" i="14"/>
  <c r="Q23226" i="14"/>
  <c r="E23226" i="14"/>
  <c r="AH23225" i="14"/>
  <c r="E23225" i="14"/>
  <c r="AH23224" i="14"/>
  <c r="E23224" i="14"/>
  <c r="AH23223" i="14"/>
  <c r="T23223" i="14"/>
  <c r="Q23223" i="14"/>
  <c r="E23223" i="14"/>
  <c r="AH23222" i="14"/>
  <c r="T23222" i="14"/>
  <c r="Q23222" i="14"/>
  <c r="E23222" i="14"/>
  <c r="AH23221" i="14"/>
  <c r="Q23221" i="14"/>
  <c r="E23221" i="14"/>
  <c r="AH23220" i="14"/>
  <c r="T23220" i="14"/>
  <c r="E23220" i="14"/>
  <c r="AH23219" i="14"/>
  <c r="T23219" i="14"/>
  <c r="Q23219" i="14"/>
  <c r="E23219" i="14"/>
  <c r="AH23218" i="14"/>
  <c r="U23218" i="14"/>
  <c r="T23218" i="14"/>
  <c r="Q23218" i="14"/>
  <c r="E23218" i="14"/>
  <c r="AH23217" i="14"/>
  <c r="T23217" i="14"/>
  <c r="Q23217" i="14"/>
  <c r="E23217" i="14"/>
  <c r="AH23216" i="14"/>
  <c r="U23216" i="14"/>
  <c r="T23216" i="14"/>
  <c r="Q23216" i="14"/>
  <c r="M23216" i="14"/>
  <c r="E23216" i="14"/>
  <c r="AH23215" i="14"/>
  <c r="T23215" i="14"/>
  <c r="Q23215" i="14"/>
  <c r="E23215" i="14"/>
  <c r="AH23214" i="14"/>
  <c r="Q23214" i="14"/>
  <c r="E23214" i="14"/>
  <c r="AH23213" i="14"/>
  <c r="T23213" i="14"/>
  <c r="Q23213" i="14"/>
  <c r="E23213" i="14"/>
  <c r="AH23212" i="14"/>
  <c r="T23212" i="14"/>
  <c r="E23212" i="14"/>
  <c r="AH23211" i="14"/>
  <c r="U23211" i="14"/>
  <c r="T23211" i="14"/>
  <c r="Q23211" i="14"/>
  <c r="E23211" i="14"/>
  <c r="AH23210" i="14"/>
  <c r="T23210" i="14"/>
  <c r="Q23210" i="14"/>
  <c r="E23210" i="14"/>
  <c r="AH23209" i="14"/>
  <c r="U23209" i="14"/>
  <c r="T23209" i="14"/>
  <c r="Q23209" i="14"/>
  <c r="E23209" i="14"/>
  <c r="AH23208" i="14"/>
  <c r="E23208" i="14"/>
  <c r="AH23207" i="14"/>
  <c r="E23207" i="14"/>
  <c r="AH23206" i="14"/>
  <c r="T23206" i="14"/>
  <c r="E23206" i="14"/>
  <c r="AH23205" i="14"/>
  <c r="E23205" i="14"/>
  <c r="AH23204" i="14"/>
  <c r="Q23204" i="14"/>
  <c r="E23204" i="14"/>
  <c r="AH23203" i="14"/>
  <c r="U23203" i="14"/>
  <c r="T23203" i="14"/>
  <c r="Q23203" i="14"/>
  <c r="E23203" i="14"/>
  <c r="AH23202" i="14"/>
  <c r="Q23202" i="14"/>
  <c r="E23202" i="14"/>
  <c r="AH23201" i="14"/>
  <c r="V23201" i="14"/>
  <c r="U23201" i="14"/>
  <c r="T23201" i="14"/>
  <c r="Q23201" i="14"/>
  <c r="E23201" i="14"/>
  <c r="AH23200" i="14"/>
  <c r="W23200" i="14"/>
  <c r="V23200" i="14"/>
  <c r="Q23200" i="14"/>
  <c r="E23200" i="14"/>
  <c r="AH23199" i="14"/>
  <c r="V23199" i="14"/>
  <c r="T23199" i="14"/>
  <c r="Q23199" i="14"/>
  <c r="E23199" i="14"/>
  <c r="AH23198" i="14"/>
  <c r="V23198" i="14"/>
  <c r="Q23198" i="14"/>
  <c r="E23198" i="14"/>
  <c r="AH23197" i="14"/>
  <c r="E23197" i="14"/>
  <c r="AH23196" i="14"/>
  <c r="V23196" i="14"/>
  <c r="Q23196" i="14"/>
  <c r="E23196" i="14"/>
  <c r="AH23195" i="14"/>
  <c r="V23195" i="14"/>
  <c r="Q23195" i="14"/>
  <c r="P23195" i="14"/>
  <c r="E23195" i="14"/>
  <c r="AH23194" i="14"/>
  <c r="W23194" i="14"/>
  <c r="V23194" i="14"/>
  <c r="Q23194" i="14"/>
  <c r="E23194" i="14"/>
  <c r="AH23193" i="14"/>
  <c r="Q23193" i="14"/>
  <c r="E23193" i="14"/>
  <c r="AH23192" i="14"/>
  <c r="V23192" i="14"/>
  <c r="Q23192" i="14"/>
  <c r="E23192" i="14"/>
  <c r="AH23191" i="14"/>
  <c r="W23191" i="14"/>
  <c r="V23191" i="14"/>
  <c r="Q23191" i="14"/>
  <c r="E23191" i="14"/>
  <c r="AH23190" i="14"/>
  <c r="Q23190" i="14"/>
  <c r="E23190" i="14"/>
  <c r="AH23189" i="14"/>
  <c r="E23189" i="14"/>
  <c r="AH23188" i="14"/>
  <c r="V23188" i="14"/>
  <c r="T23188" i="14"/>
  <c r="Q23188" i="14"/>
  <c r="P23188" i="14"/>
  <c r="O23188" i="14"/>
  <c r="E23188" i="14"/>
  <c r="AH23187" i="14"/>
  <c r="W23187" i="14"/>
  <c r="V23187" i="14"/>
  <c r="Q23187" i="14"/>
  <c r="P23187" i="14"/>
  <c r="O23187" i="14"/>
  <c r="M23187" i="14"/>
  <c r="E23187" i="14"/>
  <c r="AH23186" i="14"/>
  <c r="V23186" i="14"/>
  <c r="T23186" i="14"/>
  <c r="Q23186" i="14"/>
  <c r="E23186" i="14"/>
  <c r="AH23185" i="14"/>
  <c r="E23185" i="14"/>
  <c r="AH23184" i="14"/>
  <c r="E23184" i="14"/>
  <c r="AH23183" i="14"/>
  <c r="V23183" i="14"/>
  <c r="E23183" i="14"/>
  <c r="AH23182" i="14"/>
  <c r="E23182" i="14"/>
  <c r="AH23181" i="14"/>
  <c r="V23181" i="14"/>
  <c r="O23181" i="14"/>
  <c r="E23181" i="14"/>
  <c r="AH23180" i="14"/>
  <c r="E23180" i="14"/>
  <c r="AH23179" i="14"/>
  <c r="V23179" i="14"/>
  <c r="E23179" i="14"/>
  <c r="AH23178" i="14"/>
  <c r="V23178" i="14"/>
  <c r="E23178" i="14"/>
  <c r="AH23177" i="14"/>
  <c r="E23177" i="14"/>
  <c r="AH23176" i="14"/>
  <c r="E23176" i="14"/>
  <c r="AH23175" i="14"/>
  <c r="V23175" i="14"/>
  <c r="E23175" i="14"/>
  <c r="AH23174" i="14"/>
  <c r="E23174" i="14"/>
  <c r="AH23173" i="14"/>
  <c r="V23173" i="14"/>
  <c r="E23173" i="14"/>
  <c r="AH23172" i="14"/>
  <c r="V23172" i="14"/>
  <c r="E23172" i="14"/>
  <c r="AH23171" i="14"/>
  <c r="V23171" i="14"/>
  <c r="E23171" i="14"/>
  <c r="AH23170" i="14"/>
  <c r="E23170" i="14"/>
  <c r="AH23169" i="14"/>
  <c r="E23169" i="14"/>
  <c r="AH23168" i="14"/>
  <c r="V23168" i="14"/>
  <c r="E23168" i="14"/>
  <c r="AH23167" i="14"/>
  <c r="E23167" i="14"/>
  <c r="AH23166" i="14"/>
  <c r="V23166" i="14"/>
  <c r="E23166" i="14"/>
  <c r="AH23165" i="14"/>
  <c r="V23165" i="14"/>
  <c r="E23165" i="14"/>
  <c r="AH23164" i="14"/>
  <c r="V23164" i="14"/>
  <c r="E23164" i="14"/>
  <c r="AH23163" i="14"/>
  <c r="T23163" i="14"/>
  <c r="Q23163" i="14"/>
  <c r="E23163" i="14"/>
  <c r="AH23162" i="14"/>
  <c r="V23162" i="14"/>
  <c r="U23162" i="14"/>
  <c r="T23162" i="14"/>
  <c r="Q23162" i="14"/>
  <c r="E23162" i="14"/>
  <c r="AH23161" i="14"/>
  <c r="V23161" i="14"/>
  <c r="Q23161" i="14"/>
  <c r="E23161" i="14"/>
  <c r="AH23160" i="14"/>
  <c r="Q23160" i="14"/>
  <c r="E23160" i="14"/>
  <c r="AH23159" i="14"/>
  <c r="E23159" i="14"/>
  <c r="AH23158" i="14"/>
  <c r="T23158" i="14"/>
  <c r="E23158" i="14"/>
  <c r="AH23157" i="14"/>
  <c r="V23157" i="14"/>
  <c r="Q23157" i="14"/>
  <c r="E23157" i="14"/>
  <c r="AH23156" i="14"/>
  <c r="V23156" i="14"/>
  <c r="U23156" i="14"/>
  <c r="T23156" i="14"/>
  <c r="Q23156" i="14"/>
  <c r="E23156" i="14"/>
  <c r="AH23155" i="14"/>
  <c r="W23155" i="14"/>
  <c r="V23155" i="14"/>
  <c r="T23155" i="14"/>
  <c r="Q23155" i="14"/>
  <c r="E23155" i="14"/>
  <c r="AH23154" i="14"/>
  <c r="E23154" i="14"/>
  <c r="AH23153" i="14"/>
  <c r="W23153" i="14"/>
  <c r="V23153" i="14"/>
  <c r="Q23153" i="14"/>
  <c r="E23153" i="14"/>
  <c r="AH23152" i="14"/>
  <c r="T23152" i="14"/>
  <c r="Q23152" i="14"/>
  <c r="E23152" i="14"/>
  <c r="AH23151" i="14"/>
  <c r="T23151" i="14"/>
  <c r="E23151" i="14"/>
  <c r="AH23150" i="14"/>
  <c r="V23150" i="14"/>
  <c r="T23150" i="14"/>
  <c r="Q23150" i="14"/>
  <c r="E23150" i="14"/>
  <c r="AH23149" i="14"/>
  <c r="V23149" i="14"/>
  <c r="Q23149" i="14"/>
  <c r="E23149" i="14"/>
  <c r="AH23148" i="14"/>
  <c r="T23148" i="14"/>
  <c r="Q23148" i="14"/>
  <c r="E23148" i="14"/>
  <c r="AH23147" i="14"/>
  <c r="Q23147" i="14"/>
  <c r="E23147" i="14"/>
  <c r="AH23146" i="14"/>
  <c r="V23146" i="14"/>
  <c r="Q23146" i="14"/>
  <c r="E23146" i="14"/>
  <c r="AH23145" i="14"/>
  <c r="V23145" i="14"/>
  <c r="T23145" i="14"/>
  <c r="Q23145" i="14"/>
  <c r="E23145" i="14"/>
  <c r="AH23144" i="14"/>
  <c r="Q23144" i="14"/>
  <c r="E23144" i="14"/>
  <c r="AH23143" i="14"/>
  <c r="T23143" i="14"/>
  <c r="Q23143" i="14"/>
  <c r="E23143" i="14"/>
  <c r="AH23142" i="14"/>
  <c r="AE23142" i="14"/>
  <c r="V23142" i="14"/>
  <c r="T23142" i="14"/>
  <c r="Q23142" i="14"/>
  <c r="P23142" i="14"/>
  <c r="O23142" i="14"/>
  <c r="L23142" i="14"/>
  <c r="K23142" i="14"/>
  <c r="I23142" i="14"/>
  <c r="E23142" i="14"/>
  <c r="AH23141" i="14"/>
  <c r="G23141" i="14"/>
  <c r="E23141" i="14"/>
  <c r="AH23140" i="14"/>
  <c r="T23140" i="14"/>
  <c r="E23140" i="14"/>
  <c r="AH23139" i="14"/>
  <c r="W23139" i="14"/>
  <c r="V23139" i="14"/>
  <c r="Q23139" i="14"/>
  <c r="E23139" i="14"/>
  <c r="AH23138" i="14"/>
  <c r="Q23138" i="14"/>
  <c r="E23138" i="14"/>
  <c r="AH23137" i="14"/>
  <c r="W23137" i="14"/>
  <c r="V23137" i="14"/>
  <c r="U23137" i="14"/>
  <c r="T23137" i="14"/>
  <c r="Q23137" i="14"/>
  <c r="E23137" i="14"/>
  <c r="AH23136" i="14"/>
  <c r="W23136" i="14"/>
  <c r="V23136" i="14"/>
  <c r="T23136" i="14"/>
  <c r="Q23136" i="14"/>
  <c r="E23136" i="14"/>
  <c r="AH23135" i="14"/>
  <c r="Q23135" i="14"/>
  <c r="E23135" i="14"/>
  <c r="AL23134" i="14"/>
  <c r="AH23134" i="14"/>
  <c r="Q23134" i="14"/>
  <c r="O23134" i="14"/>
  <c r="E23134" i="14"/>
  <c r="AH23133" i="14"/>
  <c r="Q23133" i="14"/>
  <c r="E23133" i="14"/>
  <c r="AH23132" i="14"/>
  <c r="E23132" i="14"/>
  <c r="AH23131" i="14"/>
  <c r="Q23131" i="14"/>
  <c r="E23131" i="14"/>
  <c r="AH23130" i="14"/>
  <c r="V23130" i="14"/>
  <c r="Q23130" i="14"/>
  <c r="E23130" i="14"/>
  <c r="AH23129" i="14"/>
  <c r="E23129" i="14"/>
  <c r="AH23128" i="14"/>
  <c r="V23128" i="14"/>
  <c r="T23128" i="14"/>
  <c r="Q23128" i="14"/>
  <c r="E23128" i="14"/>
  <c r="E23127" i="14"/>
  <c r="AH23126" i="14"/>
  <c r="V23126" i="14"/>
  <c r="T23126" i="14"/>
  <c r="P23126" i="14"/>
  <c r="E23126" i="14"/>
  <c r="AH23125" i="14"/>
  <c r="V23125" i="14"/>
  <c r="T23125" i="14"/>
  <c r="P23125" i="14"/>
  <c r="E23125" i="14"/>
  <c r="AH23124" i="14"/>
  <c r="V23124" i="14"/>
  <c r="T23124" i="14"/>
  <c r="P23124" i="14"/>
  <c r="E23124" i="14"/>
  <c r="AH23123" i="14"/>
  <c r="V23123" i="14"/>
  <c r="T23123" i="14"/>
  <c r="P23123" i="14"/>
  <c r="E23123" i="14"/>
  <c r="AH23122" i="14"/>
  <c r="V23122" i="14"/>
  <c r="T23122" i="14"/>
  <c r="P23122" i="14"/>
  <c r="E23122" i="14"/>
  <c r="AK23121" i="14"/>
  <c r="AH23121" i="14"/>
  <c r="V23121" i="14"/>
  <c r="P23121" i="14"/>
  <c r="N23121" i="14"/>
  <c r="K23121" i="14"/>
  <c r="E23121" i="14"/>
  <c r="AK23120" i="14"/>
  <c r="AH23120" i="14"/>
  <c r="V23120" i="14"/>
  <c r="T23120" i="14"/>
  <c r="P23120" i="14"/>
  <c r="N23120" i="14"/>
  <c r="K23120" i="14"/>
  <c r="E23120" i="14"/>
  <c r="AK23119" i="14"/>
  <c r="AH23119" i="14"/>
  <c r="V23119" i="14"/>
  <c r="T23119" i="14"/>
  <c r="P23119" i="14"/>
  <c r="N23119" i="14"/>
  <c r="K23119" i="14"/>
  <c r="E23119" i="14"/>
  <c r="AK23118" i="14"/>
  <c r="AH23118" i="14"/>
  <c r="V23118" i="14"/>
  <c r="T23118" i="14"/>
  <c r="P23118" i="14"/>
  <c r="N23118" i="14"/>
  <c r="K23118" i="14"/>
  <c r="E23118" i="14"/>
  <c r="AK23117" i="14"/>
  <c r="AH23117" i="14"/>
  <c r="V23117" i="14"/>
  <c r="T23117" i="14"/>
  <c r="P23117" i="14"/>
  <c r="N23117" i="14"/>
  <c r="K23117" i="14"/>
  <c r="E23117" i="14"/>
  <c r="AK23116" i="14"/>
  <c r="AH23116" i="14"/>
  <c r="V23116" i="14"/>
  <c r="T23116" i="14"/>
  <c r="P23116" i="14"/>
  <c r="N23116" i="14"/>
  <c r="K23116" i="14"/>
  <c r="E23116" i="14"/>
  <c r="AK23115" i="14"/>
  <c r="AH23115" i="14"/>
  <c r="V23115" i="14"/>
  <c r="T23115" i="14"/>
  <c r="P23115" i="14"/>
  <c r="N23115" i="14"/>
  <c r="K23115" i="14"/>
  <c r="E23115" i="14"/>
  <c r="AK23114" i="14"/>
  <c r="AH23114" i="14"/>
  <c r="V23114" i="14"/>
  <c r="T23114" i="14"/>
  <c r="P23114" i="14"/>
  <c r="N23114" i="14"/>
  <c r="K23114" i="14"/>
  <c r="E23114" i="14"/>
  <c r="AK23113" i="14"/>
  <c r="AH23113" i="14"/>
  <c r="V23113" i="14"/>
  <c r="P23113" i="14"/>
  <c r="N23113" i="14"/>
  <c r="K23113" i="14"/>
  <c r="E23113" i="14"/>
  <c r="AH23112" i="14"/>
  <c r="P23112" i="14"/>
  <c r="E23112" i="14"/>
  <c r="AK23111" i="14"/>
  <c r="AH23111" i="14"/>
  <c r="V23111" i="14"/>
  <c r="T23111" i="14"/>
  <c r="P23111" i="14"/>
  <c r="N23111" i="14"/>
  <c r="K23111" i="14"/>
  <c r="E23111" i="14"/>
  <c r="AK23110" i="14"/>
  <c r="AH23110" i="14"/>
  <c r="V23110" i="14"/>
  <c r="T23110" i="14"/>
  <c r="P23110" i="14"/>
  <c r="N23110" i="14"/>
  <c r="K23110" i="14"/>
  <c r="E23110" i="14"/>
  <c r="AK23109" i="14"/>
  <c r="AH23109" i="14"/>
  <c r="V23109" i="14"/>
  <c r="T23109" i="14"/>
  <c r="P23109" i="14"/>
  <c r="N23109" i="14"/>
  <c r="K23109" i="14"/>
  <c r="E23109" i="14"/>
  <c r="AK23108" i="14"/>
  <c r="AH23108" i="14"/>
  <c r="V23108" i="14"/>
  <c r="T23108" i="14"/>
  <c r="P23108" i="14"/>
  <c r="N23108" i="14"/>
  <c r="K23108" i="14"/>
  <c r="E23108" i="14"/>
  <c r="AK23107" i="14"/>
  <c r="AH23107" i="14"/>
  <c r="V23107" i="14"/>
  <c r="P23107" i="14"/>
  <c r="N23107" i="14"/>
  <c r="K23107" i="14"/>
  <c r="E23107" i="14"/>
  <c r="AK23106" i="14"/>
  <c r="AH23106" i="14"/>
  <c r="AG23106" i="14"/>
  <c r="AE23106" i="14"/>
  <c r="V23106" i="14"/>
  <c r="P23106" i="14"/>
  <c r="N23106" i="14"/>
  <c r="K23106" i="14"/>
  <c r="E23106" i="14"/>
  <c r="AK23105" i="14"/>
  <c r="AH23105" i="14"/>
  <c r="V23105" i="14"/>
  <c r="T23105" i="14"/>
  <c r="P23105" i="14"/>
  <c r="N23105" i="14"/>
  <c r="K23105" i="14"/>
  <c r="E23105" i="14"/>
  <c r="AH23104" i="14"/>
  <c r="V23104" i="14"/>
  <c r="E23104" i="14"/>
  <c r="AK23103" i="14"/>
  <c r="AH23103" i="14"/>
  <c r="V23103" i="14"/>
  <c r="T23103" i="14"/>
  <c r="P23103" i="14"/>
  <c r="N23103" i="14"/>
  <c r="K23103" i="14"/>
  <c r="E23103" i="14"/>
  <c r="AK23102" i="14"/>
  <c r="AH23102" i="14"/>
  <c r="V23102" i="14"/>
  <c r="T23102" i="14"/>
  <c r="P23102" i="14"/>
  <c r="N23102" i="14"/>
  <c r="K23102" i="14"/>
  <c r="E23102" i="14"/>
  <c r="AK23101" i="14"/>
  <c r="AH23101" i="14"/>
  <c r="AG23101" i="14"/>
  <c r="AF23101" i="14"/>
  <c r="AE23101" i="14"/>
  <c r="V23101" i="14"/>
  <c r="T23101" i="14"/>
  <c r="P23101" i="14"/>
  <c r="N23101" i="14"/>
  <c r="K23101" i="14"/>
  <c r="E23101" i="14"/>
  <c r="AK23100" i="14"/>
  <c r="AH23100" i="14"/>
  <c r="V23100" i="14"/>
  <c r="T23100" i="14"/>
  <c r="P23100" i="14"/>
  <c r="N23100" i="14"/>
  <c r="K23100" i="14"/>
  <c r="E23100" i="14"/>
  <c r="AK23099" i="14"/>
  <c r="AH23099" i="14"/>
  <c r="V23099" i="14"/>
  <c r="T23099" i="14"/>
  <c r="P23099" i="14"/>
  <c r="N23099" i="14"/>
  <c r="K23099" i="14"/>
  <c r="E23099" i="14"/>
  <c r="AK23098" i="14"/>
  <c r="AH23098" i="14"/>
  <c r="V23098" i="14"/>
  <c r="T23098" i="14"/>
  <c r="P23098" i="14"/>
  <c r="N23098" i="14"/>
  <c r="K23098" i="14"/>
  <c r="E23098" i="14"/>
  <c r="AK23097" i="14"/>
  <c r="AH23097" i="14"/>
  <c r="V23097" i="14"/>
  <c r="T23097" i="14"/>
  <c r="P23097" i="14"/>
  <c r="N23097" i="14"/>
  <c r="K23097" i="14"/>
  <c r="E23097" i="14"/>
  <c r="AK23096" i="14"/>
  <c r="AH23096" i="14"/>
  <c r="V23096" i="14"/>
  <c r="T23096" i="14"/>
  <c r="P23096" i="14"/>
  <c r="N23096" i="14"/>
  <c r="K23096" i="14"/>
  <c r="E23096" i="14"/>
  <c r="AK23095" i="14"/>
  <c r="AH23095" i="14"/>
  <c r="V23095" i="14"/>
  <c r="T23095" i="14"/>
  <c r="P23095" i="14"/>
  <c r="N23095" i="14"/>
  <c r="K23095" i="14"/>
  <c r="E23095" i="14"/>
  <c r="AK23094" i="14"/>
  <c r="AH23094" i="14"/>
  <c r="V23094" i="14"/>
  <c r="T23094" i="14"/>
  <c r="P23094" i="14"/>
  <c r="N23094" i="14"/>
  <c r="K23094" i="14"/>
  <c r="E23094" i="14"/>
  <c r="AK23093" i="14"/>
  <c r="AH23093" i="14"/>
  <c r="V23093" i="14"/>
  <c r="T23093" i="14"/>
  <c r="P23093" i="14"/>
  <c r="N23093" i="14"/>
  <c r="K23093" i="14"/>
  <c r="E23093" i="14"/>
  <c r="AK23092" i="14"/>
  <c r="AH23092" i="14"/>
  <c r="V23092" i="14"/>
  <c r="T23092" i="14"/>
  <c r="P23092" i="14"/>
  <c r="N23092" i="14"/>
  <c r="K23092" i="14"/>
  <c r="E23092" i="14"/>
  <c r="AK23091" i="14"/>
  <c r="AH23091" i="14"/>
  <c r="V23091" i="14"/>
  <c r="P23091" i="14"/>
  <c r="N23091" i="14"/>
  <c r="K23091" i="14"/>
  <c r="E23091" i="14"/>
  <c r="AK23090" i="14"/>
  <c r="AH23090" i="14"/>
  <c r="V23090" i="14"/>
  <c r="T23090" i="14"/>
  <c r="P23090" i="14"/>
  <c r="N23090" i="14"/>
  <c r="K23090" i="14"/>
  <c r="E23090" i="14"/>
  <c r="AK23089" i="14"/>
  <c r="AH23089" i="14"/>
  <c r="V23089" i="14"/>
  <c r="P23089" i="14"/>
  <c r="N23089" i="14"/>
  <c r="K23089" i="14"/>
  <c r="E23089" i="14"/>
  <c r="AH23088" i="14"/>
  <c r="E23088" i="14"/>
  <c r="AH23087" i="14"/>
  <c r="V23087" i="14"/>
  <c r="T23087" i="14"/>
  <c r="P23087" i="14"/>
  <c r="E23087" i="14"/>
  <c r="AH23086" i="14"/>
  <c r="T23086" i="14"/>
  <c r="P23086" i="14"/>
  <c r="E23086" i="14"/>
  <c r="AH23085" i="14"/>
  <c r="V23085" i="14"/>
  <c r="T23085" i="14"/>
  <c r="P23085" i="14"/>
  <c r="E23085" i="14"/>
  <c r="AH23084" i="14"/>
  <c r="V23084" i="14"/>
  <c r="T23084" i="14"/>
  <c r="P23084" i="14"/>
  <c r="E23084" i="14"/>
  <c r="AH23083" i="14"/>
  <c r="V23083" i="14"/>
  <c r="T23083" i="14"/>
  <c r="P23083" i="14"/>
  <c r="E23083" i="14"/>
  <c r="AH23082" i="14"/>
  <c r="V23082" i="14"/>
  <c r="T23082" i="14"/>
  <c r="P23082" i="14"/>
  <c r="E23082" i="14"/>
  <c r="AH23081" i="14"/>
  <c r="V23081" i="14"/>
  <c r="T23081" i="14"/>
  <c r="P23081" i="14"/>
  <c r="E23081" i="14"/>
  <c r="AH23080" i="14"/>
  <c r="P23080" i="14"/>
  <c r="E23080" i="14"/>
  <c r="AH23079" i="14"/>
  <c r="V23079" i="14"/>
  <c r="P23079" i="14"/>
  <c r="O23079" i="14"/>
  <c r="E23079" i="14"/>
  <c r="AH23078" i="14"/>
  <c r="V23078" i="14"/>
  <c r="T23078" i="14"/>
  <c r="P23078" i="14"/>
  <c r="E23078" i="14"/>
  <c r="AH23077" i="14"/>
  <c r="V23077" i="14"/>
  <c r="T23077" i="14"/>
  <c r="P23077" i="14"/>
  <c r="E23077" i="14"/>
  <c r="AH23076" i="14"/>
  <c r="V23076" i="14"/>
  <c r="T23076" i="14"/>
  <c r="P23076" i="14"/>
  <c r="E23076" i="14"/>
  <c r="AH23075" i="14"/>
  <c r="T23075" i="14"/>
  <c r="P23075" i="14"/>
  <c r="E23075" i="14"/>
  <c r="AH23074" i="14"/>
  <c r="V23074" i="14"/>
  <c r="T23074" i="14"/>
  <c r="P23074" i="14"/>
  <c r="E23074" i="14"/>
  <c r="AH23073" i="14"/>
  <c r="V23073" i="14"/>
  <c r="T23073" i="14"/>
  <c r="P23073" i="14"/>
  <c r="E23073" i="14"/>
  <c r="AH23072" i="14"/>
  <c r="V23072" i="14"/>
  <c r="T23072" i="14"/>
  <c r="P23072" i="14"/>
  <c r="E23072" i="14"/>
  <c r="AH23071" i="14"/>
  <c r="V23071" i="14"/>
  <c r="T23071" i="14"/>
  <c r="P23071" i="14"/>
  <c r="E23071" i="14"/>
  <c r="AH23070" i="14"/>
  <c r="V23070" i="14"/>
  <c r="T23070" i="14"/>
  <c r="P23070" i="14"/>
  <c r="E23070" i="14"/>
  <c r="AH23069" i="14"/>
  <c r="V23069" i="14"/>
  <c r="T23069" i="14"/>
  <c r="P23069" i="14"/>
  <c r="E23069" i="14"/>
  <c r="AH23068" i="14"/>
  <c r="V23068" i="14"/>
  <c r="T23068" i="14"/>
  <c r="P23068" i="14"/>
  <c r="E23068" i="14"/>
  <c r="AH23067" i="14"/>
  <c r="V23067" i="14"/>
  <c r="T23067" i="14"/>
  <c r="P23067" i="14"/>
  <c r="E23067" i="14"/>
  <c r="AH23066" i="14"/>
  <c r="V23066" i="14"/>
  <c r="T23066" i="14"/>
  <c r="P23066" i="14"/>
  <c r="E23066" i="14"/>
  <c r="AH23065" i="14"/>
  <c r="V23065" i="14"/>
  <c r="T23065" i="14"/>
  <c r="P23065" i="14"/>
  <c r="E23065" i="14"/>
  <c r="AH23064" i="14"/>
  <c r="V23064" i="14"/>
  <c r="T23064" i="14"/>
  <c r="P23064" i="14"/>
  <c r="E23064" i="14"/>
  <c r="AH23063" i="14"/>
  <c r="V23063" i="14"/>
  <c r="T23063" i="14"/>
  <c r="P23063" i="14"/>
  <c r="E23063" i="14"/>
  <c r="AH23062" i="14"/>
  <c r="V23062" i="14"/>
  <c r="T23062" i="14"/>
  <c r="P23062" i="14"/>
  <c r="E23062" i="14"/>
  <c r="AH23061" i="14"/>
  <c r="V23061" i="14"/>
  <c r="P23061" i="14"/>
  <c r="E23061" i="14"/>
  <c r="AH23060" i="14"/>
  <c r="V23060" i="14"/>
  <c r="T23060" i="14"/>
  <c r="P23060" i="14"/>
  <c r="E23060" i="14"/>
  <c r="AH23059" i="14"/>
  <c r="V23059" i="14"/>
  <c r="T23059" i="14"/>
  <c r="P23059" i="14"/>
  <c r="E23059" i="14"/>
  <c r="AH23058" i="14"/>
  <c r="T23058" i="14"/>
  <c r="P23058" i="14"/>
  <c r="E23058" i="14"/>
  <c r="AH23057" i="14"/>
  <c r="AG23057" i="14"/>
  <c r="AE23057" i="14"/>
  <c r="V23057" i="14"/>
  <c r="T23057" i="14"/>
  <c r="P23057" i="14"/>
  <c r="E23057" i="14"/>
  <c r="AH23056" i="14"/>
  <c r="V23056" i="14"/>
  <c r="T23056" i="14"/>
  <c r="P23056" i="14"/>
  <c r="E23056" i="14"/>
  <c r="AH23055" i="14"/>
  <c r="V23055" i="14"/>
  <c r="T23055" i="14"/>
  <c r="P23055" i="14"/>
  <c r="E23055" i="14"/>
  <c r="AH23054" i="14"/>
  <c r="V23054" i="14"/>
  <c r="P23054" i="14"/>
  <c r="E23054" i="14"/>
  <c r="AH23053" i="14"/>
  <c r="V23053" i="14"/>
  <c r="T23053" i="14"/>
  <c r="P23053" i="14"/>
  <c r="E23053" i="14"/>
  <c r="AH23052" i="14"/>
  <c r="V23052" i="14"/>
  <c r="T23052" i="14"/>
  <c r="P23052" i="14"/>
  <c r="E23052" i="14"/>
  <c r="AH23051" i="14"/>
  <c r="V23051" i="14"/>
  <c r="T23051" i="14"/>
  <c r="P23051" i="14"/>
  <c r="E23051" i="14"/>
  <c r="AH23050" i="14"/>
  <c r="E23050" i="14"/>
  <c r="AH23049" i="14"/>
  <c r="V23049" i="14"/>
  <c r="T23049" i="14"/>
  <c r="P23049" i="14"/>
  <c r="E23049" i="14"/>
  <c r="AH23048" i="14"/>
  <c r="V23048" i="14"/>
  <c r="T23048" i="14"/>
  <c r="P23048" i="14"/>
  <c r="E23048" i="14"/>
  <c r="AH23047" i="14"/>
  <c r="V23047" i="14"/>
  <c r="T23047" i="14"/>
  <c r="P23047" i="14"/>
  <c r="E23047" i="14"/>
  <c r="AH23046" i="14"/>
  <c r="V23046" i="14"/>
  <c r="T23046" i="14"/>
  <c r="P23046" i="14"/>
  <c r="E23046" i="14"/>
  <c r="AH23045" i="14"/>
  <c r="V23045" i="14"/>
  <c r="T23045" i="14"/>
  <c r="P23045" i="14"/>
  <c r="E23045" i="14"/>
  <c r="AH23044" i="14"/>
  <c r="V23044" i="14"/>
  <c r="T23044" i="14"/>
  <c r="P23044" i="14"/>
  <c r="E23044" i="14"/>
  <c r="AH23043" i="14"/>
  <c r="T23043" i="14"/>
  <c r="P23043" i="14"/>
  <c r="E23043" i="14"/>
  <c r="AH23042" i="14"/>
  <c r="V23042" i="14"/>
  <c r="T23042" i="14"/>
  <c r="P23042" i="14"/>
  <c r="E23042" i="14"/>
  <c r="AH23041" i="14"/>
  <c r="V23041" i="14"/>
  <c r="T23041" i="14"/>
  <c r="P23041" i="14"/>
  <c r="E23041" i="14"/>
  <c r="AH23040" i="14"/>
  <c r="V23040" i="14"/>
  <c r="T23040" i="14"/>
  <c r="P23040" i="14"/>
  <c r="E23040" i="14"/>
  <c r="AH23039" i="14"/>
  <c r="P23039" i="14"/>
  <c r="E23039" i="14"/>
  <c r="AH23038" i="14"/>
  <c r="V23038" i="14"/>
  <c r="P23038" i="14"/>
  <c r="E23038" i="14"/>
  <c r="AH23037" i="14"/>
  <c r="V23037" i="14"/>
  <c r="T23037" i="14"/>
  <c r="P23037" i="14"/>
  <c r="E23037" i="14"/>
  <c r="AH23036" i="14"/>
  <c r="E23036" i="14"/>
  <c r="AH23035" i="14"/>
  <c r="V23035" i="14"/>
  <c r="P23035" i="14"/>
  <c r="E23035" i="14"/>
  <c r="AH23034" i="14"/>
  <c r="V23034" i="14"/>
  <c r="T23034" i="14"/>
  <c r="P23034" i="14"/>
  <c r="E23034" i="14"/>
  <c r="AH23033" i="14"/>
  <c r="T23033" i="14"/>
  <c r="P23033" i="14"/>
  <c r="E23033" i="14"/>
  <c r="AH23032" i="14"/>
  <c r="V23032" i="14"/>
  <c r="T23032" i="14"/>
  <c r="P23032" i="14"/>
  <c r="E23032" i="14"/>
  <c r="AH23031" i="14"/>
  <c r="V23031" i="14"/>
  <c r="T23031" i="14"/>
  <c r="P23031" i="14"/>
  <c r="E23031" i="14"/>
  <c r="AH23030" i="14"/>
  <c r="P23030" i="14"/>
  <c r="E23030" i="14"/>
  <c r="AH23029" i="14"/>
  <c r="V23029" i="14"/>
  <c r="T23029" i="14"/>
  <c r="P23029" i="14"/>
  <c r="E23029" i="14"/>
  <c r="AH23028" i="14"/>
  <c r="T23028" i="14"/>
  <c r="P23028" i="14"/>
  <c r="E23028" i="14"/>
  <c r="AH23027" i="14"/>
  <c r="V23027" i="14"/>
  <c r="P23027" i="14"/>
  <c r="E23027" i="14"/>
  <c r="AH23026" i="14"/>
  <c r="V23026" i="14"/>
  <c r="T23026" i="14"/>
  <c r="P23026" i="14"/>
  <c r="E23026" i="14"/>
  <c r="AH23025" i="14"/>
  <c r="V23025" i="14"/>
  <c r="T23025" i="14"/>
  <c r="P23025" i="14"/>
  <c r="E23025" i="14"/>
  <c r="AH23024" i="14"/>
  <c r="V23024" i="14"/>
  <c r="T23024" i="14"/>
  <c r="P23024" i="14"/>
  <c r="E23024" i="14"/>
  <c r="AH23023" i="14"/>
  <c r="V23023" i="14"/>
  <c r="T23023" i="14"/>
  <c r="P23023" i="14"/>
  <c r="E23023" i="14"/>
  <c r="AH23022" i="14"/>
  <c r="V23022" i="14"/>
  <c r="T23022" i="14"/>
  <c r="P23022" i="14"/>
  <c r="E23022" i="14"/>
  <c r="AH23021" i="14"/>
  <c r="E23021" i="14"/>
  <c r="AH23020" i="14"/>
  <c r="V23020" i="14"/>
  <c r="T23020" i="14"/>
  <c r="P23020" i="14"/>
  <c r="E23020" i="14"/>
  <c r="AH23019" i="14"/>
  <c r="V23019" i="14"/>
  <c r="T23019" i="14"/>
  <c r="P23019" i="14"/>
  <c r="E23019" i="14"/>
  <c r="AH23018" i="14"/>
  <c r="V23018" i="14"/>
  <c r="T23018" i="14"/>
  <c r="P23018" i="14"/>
  <c r="E23018" i="14"/>
  <c r="AH23017" i="14"/>
  <c r="V23017" i="14"/>
  <c r="T23017" i="14"/>
  <c r="P23017" i="14"/>
  <c r="E23017" i="14"/>
  <c r="AH23016" i="14"/>
  <c r="V23016" i="14"/>
  <c r="T23016" i="14"/>
  <c r="P23016" i="14"/>
  <c r="E23016" i="14"/>
  <c r="AH23015" i="14"/>
  <c r="T23015" i="14"/>
  <c r="P23015" i="14"/>
  <c r="E23015" i="14"/>
  <c r="AH23014" i="14"/>
  <c r="V23014" i="14"/>
  <c r="T23014" i="14"/>
  <c r="P23014" i="14"/>
  <c r="E23014" i="14"/>
  <c r="AH23013" i="14"/>
  <c r="T23013" i="14"/>
  <c r="P23013" i="14"/>
  <c r="E23013" i="14"/>
  <c r="AH23012" i="14"/>
  <c r="V23012" i="14"/>
  <c r="T23012" i="14"/>
  <c r="P23012" i="14"/>
  <c r="E23012" i="14"/>
  <c r="AH23011" i="14"/>
  <c r="P23011" i="14"/>
  <c r="E23011" i="14"/>
  <c r="AH23010" i="14"/>
  <c r="V23010" i="14"/>
  <c r="T23010" i="14"/>
  <c r="P23010" i="14"/>
  <c r="E23010" i="14"/>
  <c r="AH23009" i="14"/>
  <c r="V23009" i="14"/>
  <c r="T23009" i="14"/>
  <c r="P23009" i="14"/>
  <c r="E23009" i="14"/>
  <c r="AH23008" i="14"/>
  <c r="V23008" i="14"/>
  <c r="P23008" i="14"/>
  <c r="E23008" i="14"/>
  <c r="AH23007" i="14"/>
  <c r="V23007" i="14"/>
  <c r="T23007" i="14"/>
  <c r="P23007" i="14"/>
  <c r="E23007" i="14"/>
  <c r="AH23006" i="14"/>
  <c r="V23006" i="14"/>
  <c r="T23006" i="14"/>
  <c r="P23006" i="14"/>
  <c r="E23006" i="14"/>
  <c r="AH23005" i="14"/>
  <c r="V23005" i="14"/>
  <c r="T23005" i="14"/>
  <c r="P23005" i="14"/>
  <c r="E23005" i="14"/>
  <c r="AH23004" i="14"/>
  <c r="V23004" i="14"/>
  <c r="T23004" i="14"/>
  <c r="P23004" i="14"/>
  <c r="E23004" i="14"/>
  <c r="AH23003" i="14"/>
  <c r="E23003" i="14"/>
  <c r="AH23002" i="14"/>
  <c r="E23002" i="14"/>
  <c r="AH23001" i="14"/>
  <c r="V23001" i="14"/>
  <c r="T23001" i="14"/>
  <c r="P23001" i="14"/>
  <c r="E23001" i="14"/>
  <c r="AH23000" i="14"/>
  <c r="V23000" i="14"/>
  <c r="T23000" i="14"/>
  <c r="P23000" i="14"/>
  <c r="E23000" i="14"/>
  <c r="AH22999" i="14"/>
  <c r="V22999" i="14"/>
  <c r="T22999" i="14"/>
  <c r="P22999" i="14"/>
  <c r="E22999" i="14"/>
  <c r="AH22998" i="14"/>
  <c r="V22998" i="14"/>
  <c r="T22998" i="14"/>
  <c r="E22998" i="14"/>
  <c r="AH22997" i="14"/>
  <c r="V22997" i="14"/>
  <c r="T22997" i="14"/>
  <c r="P22997" i="14"/>
  <c r="E22997" i="14"/>
  <c r="AH22996" i="14"/>
  <c r="V22996" i="14"/>
  <c r="T22996" i="14"/>
  <c r="P22996" i="14"/>
  <c r="E22996" i="14"/>
  <c r="AH22995" i="14"/>
  <c r="V22995" i="14"/>
  <c r="P22995" i="14"/>
  <c r="E22995" i="14"/>
  <c r="AH22994" i="14"/>
  <c r="V22994" i="14"/>
  <c r="T22994" i="14"/>
  <c r="P22994" i="14"/>
  <c r="E22994" i="14"/>
  <c r="AH22993" i="14"/>
  <c r="V22993" i="14"/>
  <c r="P22993" i="14"/>
  <c r="E22993" i="14"/>
  <c r="AH22992" i="14"/>
  <c r="V22992" i="14"/>
  <c r="P22992" i="14"/>
  <c r="E22992" i="14"/>
  <c r="AH22991" i="14"/>
  <c r="V22991" i="14"/>
  <c r="T22991" i="14"/>
  <c r="P22991" i="14"/>
  <c r="E22991" i="14"/>
  <c r="AH22990" i="14"/>
  <c r="V22990" i="14"/>
  <c r="T22990" i="14"/>
  <c r="P22990" i="14"/>
  <c r="E22990" i="14"/>
  <c r="AH22989" i="14"/>
  <c r="V22989" i="14"/>
  <c r="T22989" i="14"/>
  <c r="P22989" i="14"/>
  <c r="E22989" i="14"/>
  <c r="AH22988" i="14"/>
  <c r="V22988" i="14"/>
  <c r="T22988" i="14"/>
  <c r="P22988" i="14"/>
  <c r="E22988" i="14"/>
  <c r="AH22987" i="14"/>
  <c r="V22987" i="14"/>
  <c r="T22987" i="14"/>
  <c r="P22987" i="14"/>
  <c r="E22987" i="14"/>
  <c r="AH22986" i="14"/>
  <c r="O22986" i="14"/>
  <c r="E22986" i="14"/>
  <c r="AH22985" i="14"/>
  <c r="O22985" i="14"/>
  <c r="E22985" i="14"/>
  <c r="AH22984" i="14"/>
  <c r="E22984" i="14"/>
  <c r="AH22983" i="14"/>
  <c r="E22983" i="14"/>
  <c r="AH22982" i="14"/>
  <c r="E22982" i="14"/>
  <c r="AH22981" i="14"/>
  <c r="V22981" i="14"/>
  <c r="P22981" i="14"/>
  <c r="E22981" i="14"/>
  <c r="AH22980" i="14"/>
  <c r="E22980" i="14"/>
  <c r="AH22979" i="14"/>
  <c r="E22979" i="14"/>
  <c r="AH22978" i="14"/>
  <c r="V22978" i="14"/>
  <c r="T22978" i="14"/>
  <c r="P22978" i="14"/>
  <c r="E22978" i="14"/>
  <c r="AH22977" i="14"/>
  <c r="V22977" i="14"/>
  <c r="T22977" i="14"/>
  <c r="P22977" i="14"/>
  <c r="E22977" i="14"/>
  <c r="AH22976" i="14"/>
  <c r="V22976" i="14"/>
  <c r="T22976" i="14"/>
  <c r="P22976" i="14"/>
  <c r="E22976" i="14"/>
  <c r="AH22975" i="14"/>
  <c r="V22975" i="14"/>
  <c r="T22975" i="14"/>
  <c r="P22975" i="14"/>
  <c r="E22975" i="14"/>
  <c r="AH22974" i="14"/>
  <c r="V22974" i="14"/>
  <c r="T22974" i="14"/>
  <c r="P22974" i="14"/>
  <c r="E22974" i="14"/>
  <c r="AH22973" i="14"/>
  <c r="V22973" i="14"/>
  <c r="T22973" i="14"/>
  <c r="P22973" i="14"/>
  <c r="E22973" i="14"/>
  <c r="AH22972" i="14"/>
  <c r="V22972" i="14"/>
  <c r="T22972" i="14"/>
  <c r="P22972" i="14"/>
  <c r="E22972" i="14"/>
  <c r="AH22971" i="14"/>
  <c r="V22971" i="14"/>
  <c r="T22971" i="14"/>
  <c r="E22971" i="14"/>
  <c r="AH22970" i="14"/>
  <c r="V22970" i="14"/>
  <c r="T22970" i="14"/>
  <c r="P22970" i="14"/>
  <c r="E22970" i="14"/>
  <c r="AH22969" i="14"/>
  <c r="V22969" i="14"/>
  <c r="T22969" i="14"/>
  <c r="P22969" i="14"/>
  <c r="E22969" i="14"/>
  <c r="AH22968" i="14"/>
  <c r="V22968" i="14"/>
  <c r="T22968" i="14"/>
  <c r="P22968" i="14"/>
  <c r="E22968" i="14"/>
  <c r="AH22967" i="14"/>
  <c r="V22967" i="14"/>
  <c r="T22967" i="14"/>
  <c r="P22967" i="14"/>
  <c r="E22967" i="14"/>
  <c r="AH22966" i="14"/>
  <c r="V22966" i="14"/>
  <c r="T22966" i="14"/>
  <c r="P22966" i="14"/>
  <c r="E22966" i="14"/>
  <c r="AH22965" i="14"/>
  <c r="V22965" i="14"/>
  <c r="T22965" i="14"/>
  <c r="P22965" i="14"/>
  <c r="E22965" i="14"/>
  <c r="AH22964" i="14"/>
  <c r="V22964" i="14"/>
  <c r="T22964" i="14"/>
  <c r="P22964" i="14"/>
  <c r="E22964" i="14"/>
  <c r="AH22963" i="14"/>
  <c r="V22963" i="14"/>
  <c r="Q22963" i="14"/>
  <c r="P22963" i="14"/>
  <c r="E22963" i="14"/>
  <c r="AH22962" i="14"/>
  <c r="E22962" i="14"/>
  <c r="AH22961" i="14"/>
  <c r="V22961" i="14"/>
  <c r="T22961" i="14"/>
  <c r="P22961" i="14"/>
  <c r="E22961" i="14"/>
  <c r="AH22960" i="14"/>
  <c r="E22960" i="14"/>
  <c r="AH22959" i="14"/>
  <c r="T22959" i="14"/>
  <c r="P22959" i="14"/>
  <c r="E22959" i="14"/>
  <c r="AH22958" i="14"/>
  <c r="T22958" i="14"/>
  <c r="P22958" i="14"/>
  <c r="E22958" i="14"/>
  <c r="AH22957" i="14"/>
  <c r="T22957" i="14"/>
  <c r="P22957" i="14"/>
  <c r="E22957" i="14"/>
  <c r="AH22956" i="14"/>
  <c r="T22956" i="14"/>
  <c r="E22956" i="14"/>
  <c r="AH22955" i="14"/>
  <c r="V22955" i="14"/>
  <c r="Q22955" i="14"/>
  <c r="P22955" i="14"/>
  <c r="O22955" i="14"/>
  <c r="E22955" i="14"/>
  <c r="AH22954" i="14"/>
  <c r="V22954" i="14"/>
  <c r="Q22954" i="14"/>
  <c r="E22954" i="14"/>
  <c r="AH22953" i="14"/>
  <c r="V22953" i="14"/>
  <c r="T22953" i="14"/>
  <c r="P22953" i="14"/>
  <c r="E22953" i="14"/>
  <c r="AH22952" i="14"/>
  <c r="T22952" i="14"/>
  <c r="E22952" i="14"/>
  <c r="AH22951" i="14"/>
  <c r="V22951" i="14"/>
  <c r="T22951" i="14"/>
  <c r="P22951" i="14"/>
  <c r="E22951" i="14"/>
  <c r="AH22950" i="14"/>
  <c r="V22950" i="14"/>
  <c r="T22950" i="14"/>
  <c r="P22950" i="14"/>
  <c r="E22950" i="14"/>
  <c r="AH22949" i="14"/>
  <c r="T22949" i="14"/>
  <c r="Q22949" i="14"/>
  <c r="E22949" i="14"/>
  <c r="AH22948" i="14"/>
  <c r="V22948" i="14"/>
  <c r="E22948" i="14"/>
  <c r="AH22947" i="14"/>
  <c r="E22947" i="14"/>
  <c r="AH22946" i="14"/>
  <c r="T22946" i="14"/>
  <c r="P22946" i="14"/>
  <c r="E22946" i="14"/>
  <c r="AH22945" i="14"/>
  <c r="T22945" i="14"/>
  <c r="E22945" i="14"/>
  <c r="AH22944" i="14"/>
  <c r="T22944" i="14"/>
  <c r="E22944" i="14"/>
  <c r="AH22943" i="14"/>
  <c r="T22943" i="14"/>
  <c r="E22943" i="14"/>
  <c r="AH22942" i="14"/>
  <c r="U22942" i="14"/>
  <c r="T22942" i="14"/>
  <c r="Q22942" i="14"/>
  <c r="E22942" i="14"/>
  <c r="AH22941" i="14"/>
  <c r="E22941" i="14"/>
  <c r="AH22940" i="14"/>
  <c r="T22940" i="14"/>
  <c r="E22940" i="14"/>
  <c r="AH22939" i="14"/>
  <c r="T22939" i="14"/>
  <c r="E22939" i="14"/>
  <c r="AH22938" i="14"/>
  <c r="U22938" i="14"/>
  <c r="T22938" i="14"/>
  <c r="Q22938" i="14"/>
  <c r="E22938" i="14"/>
  <c r="AH22937" i="14"/>
  <c r="V22937" i="14"/>
  <c r="T22937" i="14"/>
  <c r="P22937" i="14"/>
  <c r="E22937" i="14"/>
  <c r="AH22936" i="14"/>
  <c r="T22936" i="14"/>
  <c r="E22936" i="14"/>
  <c r="AH22935" i="14"/>
  <c r="V22935" i="14"/>
  <c r="T22935" i="14"/>
  <c r="P22935" i="14"/>
  <c r="E22935" i="14"/>
  <c r="AH22934" i="14"/>
  <c r="V22934" i="14"/>
  <c r="T22934" i="14"/>
  <c r="P22934" i="14"/>
  <c r="E22934" i="14"/>
  <c r="AH22933" i="14"/>
  <c r="AE22933" i="14"/>
  <c r="V22933" i="14"/>
  <c r="P22933" i="14"/>
  <c r="L22933" i="14"/>
  <c r="K22933" i="14"/>
  <c r="I22933" i="14"/>
  <c r="E22933" i="14"/>
  <c r="AH22932" i="14"/>
  <c r="V22932" i="14"/>
  <c r="T22932" i="14"/>
  <c r="P22932" i="14"/>
  <c r="E22932" i="14"/>
  <c r="AH22931" i="14"/>
  <c r="T22931" i="14"/>
  <c r="E22931" i="14"/>
  <c r="AH22930" i="14"/>
  <c r="T22930" i="14"/>
  <c r="P22930" i="14"/>
  <c r="E22930" i="14"/>
  <c r="AH22929" i="14"/>
  <c r="T22929" i="14"/>
  <c r="E22929" i="14"/>
  <c r="AH22928" i="14"/>
  <c r="T22928" i="14"/>
  <c r="E22928" i="14"/>
  <c r="AH22927" i="14"/>
  <c r="T22927" i="14"/>
  <c r="E22927" i="14"/>
  <c r="AH22926" i="14"/>
  <c r="T22926" i="14"/>
  <c r="E22926" i="14"/>
  <c r="AH22925" i="14"/>
  <c r="E22925" i="14"/>
  <c r="AH22924" i="14"/>
  <c r="T22924" i="14"/>
  <c r="E22924" i="14"/>
  <c r="AH22923" i="14"/>
  <c r="E22923" i="14"/>
  <c r="AH22922" i="14"/>
  <c r="E22922" i="14"/>
  <c r="AH22921" i="14"/>
  <c r="E22921" i="14"/>
  <c r="AH22920" i="14"/>
  <c r="T22920" i="14"/>
  <c r="P22920" i="14"/>
  <c r="E22920" i="14"/>
  <c r="AH22919" i="14"/>
  <c r="T22919" i="14"/>
  <c r="E22919" i="14"/>
  <c r="AH22918" i="14"/>
  <c r="L22918" i="14"/>
  <c r="K22918" i="14"/>
  <c r="I22918" i="14"/>
  <c r="G22918" i="14"/>
  <c r="E22918" i="14"/>
  <c r="AH22917" i="14"/>
  <c r="T22917" i="14"/>
  <c r="E22917" i="14"/>
  <c r="AH22916" i="14"/>
  <c r="E22916" i="14"/>
  <c r="AH22915" i="14"/>
  <c r="T22915" i="14"/>
  <c r="E22915" i="14"/>
  <c r="AH22914" i="14"/>
  <c r="T22914" i="14"/>
  <c r="E22914" i="14"/>
  <c r="AH22913" i="14"/>
  <c r="T22913" i="14"/>
  <c r="E22913" i="14"/>
  <c r="AL22912" i="14"/>
  <c r="AH22912" i="14"/>
  <c r="T22912" i="14"/>
  <c r="G22912" i="14"/>
  <c r="E22912" i="14"/>
  <c r="AH22911" i="14"/>
  <c r="T22911" i="14"/>
  <c r="E22911" i="14"/>
  <c r="AH22910" i="14"/>
  <c r="T22910" i="14"/>
  <c r="E22910" i="14"/>
  <c r="AH22909" i="14"/>
  <c r="T22909" i="14"/>
  <c r="M22909" i="14"/>
  <c r="E22909" i="14"/>
  <c r="AH22908" i="14"/>
  <c r="T22908" i="14"/>
  <c r="E22908" i="14"/>
  <c r="AH22907" i="14"/>
  <c r="T22907" i="14"/>
  <c r="Q22907" i="14"/>
  <c r="E22907" i="14"/>
  <c r="AH22906" i="14"/>
  <c r="T22906" i="14"/>
  <c r="Q22906" i="14"/>
  <c r="E22906" i="14"/>
  <c r="AH22905" i="14"/>
  <c r="T22905" i="14"/>
  <c r="E22905" i="14"/>
  <c r="AH22904" i="14"/>
  <c r="T22904" i="14"/>
  <c r="E22904" i="14"/>
  <c r="AH22903" i="14"/>
  <c r="E22903" i="14"/>
  <c r="AH22902" i="14"/>
  <c r="T22902" i="14"/>
  <c r="Q22902" i="14"/>
  <c r="E22902" i="14"/>
  <c r="AH22901" i="14"/>
  <c r="Q22901" i="14"/>
  <c r="P22901" i="14"/>
  <c r="O22901" i="14"/>
  <c r="E22901" i="14"/>
  <c r="AH22900" i="14"/>
  <c r="T22900" i="14"/>
  <c r="Q22900" i="14"/>
  <c r="E22900" i="14"/>
  <c r="AH22899" i="14"/>
  <c r="T22899" i="14"/>
  <c r="Q22899" i="14"/>
  <c r="E22899" i="14"/>
  <c r="AH22898" i="14"/>
  <c r="T22898" i="14"/>
  <c r="Q22898" i="14"/>
  <c r="E22898" i="14"/>
  <c r="AH22897" i="14"/>
  <c r="T22897" i="14"/>
  <c r="Q22897" i="14"/>
  <c r="E22897" i="14"/>
  <c r="AH22896" i="14"/>
  <c r="E22896" i="14"/>
  <c r="AH22895" i="14"/>
  <c r="Q22895" i="14"/>
  <c r="E22895" i="14"/>
  <c r="AH22894" i="14"/>
  <c r="T22894" i="14"/>
  <c r="Q22894" i="14"/>
  <c r="E22894" i="14"/>
  <c r="AH22893" i="14"/>
  <c r="Q22893" i="14"/>
  <c r="E22893" i="14"/>
  <c r="AH22892" i="14"/>
  <c r="E22892" i="14"/>
  <c r="AH22891" i="14"/>
  <c r="Q22891" i="14"/>
  <c r="E22891" i="14"/>
  <c r="AL22890" i="14"/>
  <c r="AH22890" i="14"/>
  <c r="T22890" i="14"/>
  <c r="Q22890" i="14"/>
  <c r="E22890" i="14"/>
  <c r="AK22889" i="14"/>
  <c r="AH22889" i="14"/>
  <c r="E22889" i="14"/>
  <c r="AH22888" i="14"/>
  <c r="T22888" i="14"/>
  <c r="Q22888" i="14"/>
  <c r="E22888" i="14"/>
  <c r="AH22887" i="14"/>
  <c r="T22887" i="14"/>
  <c r="Q22887" i="14"/>
  <c r="E22887" i="14"/>
  <c r="AH22886" i="14"/>
  <c r="T22886" i="14"/>
  <c r="Q22886" i="14"/>
  <c r="E22886" i="14"/>
  <c r="AL22885" i="14"/>
  <c r="AH22885" i="14"/>
  <c r="Q22885" i="14"/>
  <c r="M22885" i="14"/>
  <c r="G22885" i="14"/>
  <c r="E22885" i="14"/>
  <c r="AL22884" i="14"/>
  <c r="AH22884" i="14"/>
  <c r="Q22884" i="14"/>
  <c r="P22884" i="14"/>
  <c r="O22884" i="14"/>
  <c r="M22884" i="14"/>
  <c r="G22884" i="14"/>
  <c r="E22884" i="14"/>
  <c r="AH22883" i="14"/>
  <c r="T22883" i="14"/>
  <c r="M22883" i="14"/>
  <c r="E22883" i="14"/>
  <c r="AH22882" i="14"/>
  <c r="E22882" i="14"/>
  <c r="AH22881" i="14"/>
  <c r="Q22881" i="14"/>
  <c r="E22881" i="14"/>
  <c r="AH22880" i="14"/>
  <c r="E22880" i="14"/>
  <c r="AH22879" i="14"/>
  <c r="T22879" i="14"/>
  <c r="Q22879" i="14"/>
  <c r="E22879" i="14"/>
  <c r="AH22878" i="14"/>
  <c r="E22878" i="14"/>
  <c r="AH22877" i="14"/>
  <c r="V22877" i="14"/>
  <c r="T22877" i="14"/>
  <c r="P22877" i="14"/>
  <c r="E22877" i="14"/>
  <c r="AH22876" i="14"/>
  <c r="T22876" i="14"/>
  <c r="Q22876" i="14"/>
  <c r="E22876" i="14"/>
  <c r="AH22875" i="14"/>
  <c r="T22875" i="14"/>
  <c r="Q22875" i="14"/>
  <c r="E22875" i="14"/>
  <c r="AH22874" i="14"/>
  <c r="T22874" i="14"/>
  <c r="Q22874" i="14"/>
  <c r="E22874" i="14"/>
  <c r="AH22873" i="14"/>
  <c r="T22873" i="14"/>
  <c r="Q22873" i="14"/>
  <c r="E22873" i="14"/>
  <c r="AH22872" i="14"/>
  <c r="V22872" i="14"/>
  <c r="T22872" i="14"/>
  <c r="P22872" i="14"/>
  <c r="E22872" i="14"/>
  <c r="AH22871" i="14"/>
  <c r="T22871" i="14"/>
  <c r="E22871" i="14"/>
  <c r="AH22870" i="14"/>
  <c r="T22870" i="14"/>
  <c r="Q22870" i="14"/>
  <c r="E22870" i="14"/>
  <c r="AH22869" i="14"/>
  <c r="T22869" i="14"/>
  <c r="Q22869" i="14"/>
  <c r="E22869" i="14"/>
  <c r="AH22868" i="14"/>
  <c r="T22868" i="14"/>
  <c r="Q22868" i="14"/>
  <c r="E22868" i="14"/>
  <c r="AH22867" i="14"/>
  <c r="Q22867" i="14"/>
  <c r="E22867" i="14"/>
  <c r="AH22866" i="14"/>
  <c r="V22866" i="14"/>
  <c r="T22866" i="14"/>
  <c r="Q22866" i="14"/>
  <c r="E22866" i="14"/>
  <c r="AH22865" i="14"/>
  <c r="V22865" i="14"/>
  <c r="Q22865" i="14"/>
  <c r="E22865" i="14"/>
  <c r="AK22864" i="14"/>
  <c r="AH22864" i="14"/>
  <c r="V22864" i="14"/>
  <c r="T22864" i="14"/>
  <c r="Q22864" i="14"/>
  <c r="P22864" i="14"/>
  <c r="N22864" i="14"/>
  <c r="E22864" i="14"/>
  <c r="AH22863" i="14"/>
  <c r="E22863" i="14"/>
  <c r="AH22862" i="14"/>
  <c r="T22862" i="14"/>
  <c r="E22862" i="14"/>
  <c r="AH22861" i="14"/>
  <c r="E22861" i="14"/>
  <c r="AH22860" i="14"/>
  <c r="T22860" i="14"/>
  <c r="Q22860" i="14"/>
  <c r="E22860" i="14"/>
  <c r="AH22859" i="14"/>
  <c r="E22859" i="14"/>
  <c r="AH22858" i="14"/>
  <c r="V22858" i="14"/>
  <c r="E22858" i="14"/>
  <c r="AH22857" i="14"/>
  <c r="T22857" i="14"/>
  <c r="E22857" i="14"/>
  <c r="AH22856" i="14"/>
  <c r="V22856" i="14"/>
  <c r="T22856" i="14"/>
  <c r="P22856" i="14"/>
  <c r="E22856" i="14"/>
  <c r="AH22855" i="14"/>
  <c r="T22855" i="14"/>
  <c r="E22855" i="14"/>
  <c r="AH22854" i="14"/>
  <c r="Q22854" i="14"/>
  <c r="E22854" i="14"/>
  <c r="AH22853" i="14"/>
  <c r="W22853" i="14"/>
  <c r="V22853" i="14"/>
  <c r="Q22853" i="14"/>
  <c r="P22853" i="14"/>
  <c r="E22853" i="14"/>
  <c r="AH22852" i="14"/>
  <c r="W22852" i="14"/>
  <c r="V22852" i="14"/>
  <c r="Q22852" i="14"/>
  <c r="E22852" i="14"/>
  <c r="AH22851" i="14"/>
  <c r="T22851" i="14"/>
  <c r="E22851" i="14"/>
  <c r="AH22850" i="14"/>
  <c r="T22850" i="14"/>
  <c r="Q22850" i="14"/>
  <c r="E22850" i="14"/>
  <c r="AH22849" i="14"/>
  <c r="E22849" i="14"/>
  <c r="AH22848" i="14"/>
  <c r="T22848" i="14"/>
  <c r="E22848" i="14"/>
  <c r="AH22847" i="14"/>
  <c r="E22847" i="14"/>
  <c r="AH22846" i="14"/>
  <c r="V22846" i="14"/>
  <c r="T22846" i="14"/>
  <c r="P22846" i="14"/>
  <c r="E22846" i="14"/>
  <c r="AH22845" i="14"/>
  <c r="O22845" i="14"/>
  <c r="E22845" i="14"/>
  <c r="AH22844" i="14"/>
  <c r="Q22844" i="14"/>
  <c r="E22844" i="14"/>
  <c r="AH22843" i="14"/>
  <c r="V22843" i="14"/>
  <c r="T22843" i="14"/>
  <c r="Q22843" i="14"/>
  <c r="P22843" i="14"/>
  <c r="E22843" i="14"/>
  <c r="AH22842" i="14"/>
  <c r="W22842" i="14"/>
  <c r="V22842" i="14"/>
  <c r="U22842" i="14"/>
  <c r="T22842" i="14"/>
  <c r="Q22842" i="14"/>
  <c r="P22842" i="14"/>
  <c r="O22842" i="14"/>
  <c r="E22842" i="14"/>
  <c r="AH22841" i="14"/>
  <c r="W22841" i="14"/>
  <c r="V22841" i="14"/>
  <c r="U22841" i="14"/>
  <c r="T22841" i="14"/>
  <c r="Q22841" i="14"/>
  <c r="G22841" i="14"/>
  <c r="E22841" i="14"/>
  <c r="AH22840" i="14"/>
  <c r="Q22840" i="14"/>
  <c r="L22840" i="14"/>
  <c r="E22840" i="14"/>
  <c r="AH22839" i="14"/>
  <c r="W22839" i="14"/>
  <c r="V22839" i="14"/>
  <c r="U22839" i="14"/>
  <c r="T22839" i="14"/>
  <c r="Q22839" i="14"/>
  <c r="E22839" i="14"/>
  <c r="AH22838" i="14"/>
  <c r="V22838" i="14"/>
  <c r="T22838" i="14"/>
  <c r="Q22838" i="14"/>
  <c r="E22838" i="14"/>
  <c r="AH22837" i="14"/>
  <c r="W22837" i="14"/>
  <c r="V22837" i="14"/>
  <c r="Q22837" i="14"/>
  <c r="O22837" i="14"/>
  <c r="E22837" i="14"/>
  <c r="AH22836" i="14"/>
  <c r="V22836" i="14"/>
  <c r="T22836" i="14"/>
  <c r="P22836" i="14"/>
  <c r="E22836" i="14"/>
  <c r="AH22835" i="14"/>
  <c r="T22835" i="14"/>
  <c r="Q22835" i="14"/>
  <c r="E22835" i="14"/>
  <c r="AL22834" i="14"/>
  <c r="AH22834" i="14"/>
  <c r="T22834" i="14"/>
  <c r="Q22834" i="14"/>
  <c r="E22834" i="14"/>
  <c r="AH22833" i="14"/>
  <c r="Q22833" i="14"/>
  <c r="P22833" i="14"/>
  <c r="E22833" i="14"/>
  <c r="AH22832" i="14"/>
  <c r="E22832" i="14"/>
  <c r="AH22831" i="14"/>
  <c r="V22831" i="14"/>
  <c r="T22831" i="14"/>
  <c r="Q22831" i="14"/>
  <c r="E22831" i="14"/>
  <c r="AH22830" i="14"/>
  <c r="T22830" i="14"/>
  <c r="Q22830" i="14"/>
  <c r="E22830" i="14"/>
  <c r="AH22829" i="14"/>
  <c r="W22829" i="14"/>
  <c r="V22829" i="14"/>
  <c r="U22829" i="14"/>
  <c r="T22829" i="14"/>
  <c r="Q22829" i="14"/>
  <c r="E22829" i="14"/>
  <c r="AL22828" i="14"/>
  <c r="AH22828" i="14"/>
  <c r="T22828" i="14"/>
  <c r="Q22828" i="14"/>
  <c r="E22828" i="14"/>
  <c r="AH22827" i="14"/>
  <c r="T22827" i="14"/>
  <c r="Q22827" i="14"/>
  <c r="E22827" i="14"/>
  <c r="AH22826" i="14"/>
  <c r="V22826" i="14"/>
  <c r="T22826" i="14"/>
  <c r="Q22826" i="14"/>
  <c r="E22826" i="14"/>
  <c r="AH22825" i="14"/>
  <c r="V22825" i="14"/>
  <c r="U22825" i="14"/>
  <c r="T22825" i="14"/>
  <c r="Q22825" i="14"/>
  <c r="E22825" i="14"/>
  <c r="AH22824" i="14"/>
  <c r="T22824" i="14"/>
  <c r="Q22824" i="14"/>
  <c r="E22824" i="14"/>
  <c r="AL22823" i="14"/>
  <c r="AH22823" i="14"/>
  <c r="Q22823" i="14"/>
  <c r="E22823" i="14"/>
  <c r="AH22822" i="14"/>
  <c r="V22822" i="14"/>
  <c r="T22822" i="14"/>
  <c r="Q22822" i="14"/>
  <c r="E22822" i="14"/>
  <c r="AH22821" i="14"/>
  <c r="V22821" i="14"/>
  <c r="T22821" i="14"/>
  <c r="P22821" i="14"/>
  <c r="E22821" i="14"/>
  <c r="AH22820" i="14"/>
  <c r="V22820" i="14"/>
  <c r="T22820" i="14"/>
  <c r="P22820" i="14"/>
  <c r="E22820" i="14"/>
  <c r="AH22819" i="14"/>
  <c r="T22819" i="14"/>
  <c r="Q22819" i="14"/>
  <c r="P22819" i="14"/>
  <c r="O22819" i="14"/>
  <c r="E22819" i="14"/>
  <c r="AH22818" i="14"/>
  <c r="V22818" i="14"/>
  <c r="T22818" i="14"/>
  <c r="Q22818" i="14"/>
  <c r="P22818" i="14"/>
  <c r="E22818" i="14"/>
  <c r="AH22817" i="14"/>
  <c r="V22817" i="14"/>
  <c r="T22817" i="14"/>
  <c r="P22817" i="14"/>
  <c r="E22817" i="14"/>
  <c r="AH22816" i="14"/>
  <c r="V22816" i="14"/>
  <c r="P22816" i="14"/>
  <c r="E22816" i="14"/>
  <c r="AH22815" i="14"/>
  <c r="V22815" i="14"/>
  <c r="T22815" i="14"/>
  <c r="P22815" i="14"/>
  <c r="E22815" i="14"/>
  <c r="AH22814" i="14"/>
  <c r="V22814" i="14"/>
  <c r="T22814" i="14"/>
  <c r="P22814" i="14"/>
  <c r="E22814" i="14"/>
  <c r="AH22813" i="14"/>
  <c r="U22813" i="14"/>
  <c r="T22813" i="14"/>
  <c r="Q22813" i="14"/>
  <c r="M22813" i="14"/>
  <c r="E22813" i="14"/>
  <c r="AH22812" i="14"/>
  <c r="V22812" i="14"/>
  <c r="T22812" i="14"/>
  <c r="P22812" i="14"/>
  <c r="E22812" i="14"/>
  <c r="AH22811" i="14"/>
  <c r="W22811" i="14"/>
  <c r="V22811" i="14"/>
  <c r="Q22811" i="14"/>
  <c r="E22811" i="14"/>
  <c r="AH22810" i="14"/>
  <c r="T22810" i="14"/>
  <c r="Q22810" i="14"/>
  <c r="E22810" i="14"/>
  <c r="AH22809" i="14"/>
  <c r="O22809" i="14"/>
  <c r="E22809" i="14"/>
  <c r="AH22808" i="14"/>
  <c r="V22808" i="14"/>
  <c r="Q22808" i="14"/>
  <c r="E22808" i="14"/>
  <c r="AH22807" i="14"/>
  <c r="V22807" i="14"/>
  <c r="T22807" i="14"/>
  <c r="P22807" i="14"/>
  <c r="E22807" i="14"/>
  <c r="AH22806" i="14"/>
  <c r="V22806" i="14"/>
  <c r="T22806" i="14"/>
  <c r="E22806" i="14"/>
  <c r="AH22805" i="14"/>
  <c r="T22805" i="14"/>
  <c r="E22805" i="14"/>
  <c r="AH22804" i="14"/>
  <c r="V22804" i="14"/>
  <c r="T22804" i="14"/>
  <c r="P22804" i="14"/>
  <c r="E22804" i="14"/>
  <c r="AH22803" i="14"/>
  <c r="V22803" i="14"/>
  <c r="T22803" i="14"/>
  <c r="P22803" i="14"/>
  <c r="E22803" i="14"/>
  <c r="AH22802" i="14"/>
  <c r="V22802" i="14"/>
  <c r="T22802" i="14"/>
  <c r="P22802" i="14"/>
  <c r="M22802" i="14"/>
  <c r="E22802" i="14"/>
  <c r="AH22801" i="14"/>
  <c r="V22801" i="14"/>
  <c r="T22801" i="14"/>
  <c r="P22801" i="14"/>
  <c r="E22801" i="14"/>
  <c r="AH22800" i="14"/>
  <c r="V22800" i="14"/>
  <c r="T22800" i="14"/>
  <c r="P22800" i="14"/>
  <c r="E22800" i="14"/>
  <c r="AH22799" i="14"/>
  <c r="V22799" i="14"/>
  <c r="P22799" i="14"/>
  <c r="E22799" i="14"/>
  <c r="AH22798" i="14"/>
  <c r="V22798" i="14"/>
  <c r="T22798" i="14"/>
  <c r="P22798" i="14"/>
  <c r="E22798" i="14"/>
  <c r="AH22797" i="14"/>
  <c r="V22797" i="14"/>
  <c r="T22797" i="14"/>
  <c r="P22797" i="14"/>
  <c r="E22797" i="14"/>
  <c r="AH22796" i="14"/>
  <c r="V22796" i="14"/>
  <c r="T22796" i="14"/>
  <c r="P22796" i="14"/>
  <c r="E22796" i="14"/>
  <c r="AH22795" i="14"/>
  <c r="P22795" i="14"/>
  <c r="E22795" i="14"/>
  <c r="AH22794" i="14"/>
  <c r="AG22794" i="14"/>
  <c r="AE22794" i="14"/>
  <c r="V22794" i="14"/>
  <c r="P22794" i="14"/>
  <c r="E22794" i="14"/>
  <c r="AH22793" i="14"/>
  <c r="T22793" i="14"/>
  <c r="P22793" i="14"/>
  <c r="E22793" i="14"/>
  <c r="AH22792" i="14"/>
  <c r="V22792" i="14"/>
  <c r="T22792" i="14"/>
  <c r="P22792" i="14"/>
  <c r="E22792" i="14"/>
  <c r="AH22791" i="14"/>
  <c r="V22791" i="14"/>
  <c r="T22791" i="14"/>
  <c r="P22791" i="14"/>
  <c r="E22791" i="14"/>
  <c r="AH22790" i="14"/>
  <c r="V22790" i="14"/>
  <c r="T22790" i="14"/>
  <c r="P22790" i="14"/>
  <c r="E22790" i="14"/>
  <c r="AH22789" i="14"/>
  <c r="V22789" i="14"/>
  <c r="T22789" i="14"/>
  <c r="P22789" i="14"/>
  <c r="E22789" i="14"/>
  <c r="AH22788" i="14"/>
  <c r="P22788" i="14"/>
  <c r="E22788" i="14"/>
  <c r="AH22787" i="14"/>
  <c r="V22787" i="14"/>
  <c r="T22787" i="14"/>
  <c r="P22787" i="14"/>
  <c r="E22787" i="14"/>
  <c r="AH22786" i="14"/>
  <c r="V22786" i="14"/>
  <c r="T22786" i="14"/>
  <c r="P22786" i="14"/>
  <c r="E22786" i="14"/>
  <c r="AH22785" i="14"/>
  <c r="V22785" i="14"/>
  <c r="T22785" i="14"/>
  <c r="P22785" i="14"/>
  <c r="E22785" i="14"/>
  <c r="AH22784" i="14"/>
  <c r="V22784" i="14"/>
  <c r="T22784" i="14"/>
  <c r="P22784" i="14"/>
  <c r="E22784" i="14"/>
  <c r="AH22783" i="14"/>
  <c r="V22783" i="14"/>
  <c r="T22783" i="14"/>
  <c r="P22783" i="14"/>
  <c r="E22783" i="14"/>
  <c r="AH22782" i="14"/>
  <c r="V22782" i="14"/>
  <c r="T22782" i="14"/>
  <c r="P22782" i="14"/>
  <c r="E22782" i="14"/>
  <c r="AH22781" i="14"/>
  <c r="V22781" i="14"/>
  <c r="T22781" i="14"/>
  <c r="P22781" i="14"/>
  <c r="E22781" i="14"/>
  <c r="AH22780" i="14"/>
  <c r="V22780" i="14"/>
  <c r="T22780" i="14"/>
  <c r="P22780" i="14"/>
  <c r="E22780" i="14"/>
  <c r="AH22779" i="14"/>
  <c r="V22779" i="14"/>
  <c r="P22779" i="14"/>
  <c r="E22779" i="14"/>
  <c r="AH22778" i="14"/>
  <c r="V22778" i="14"/>
  <c r="T22778" i="14"/>
  <c r="P22778" i="14"/>
  <c r="E22778" i="14"/>
  <c r="AH22777" i="14"/>
  <c r="V22777" i="14"/>
  <c r="T22777" i="14"/>
  <c r="P22777" i="14"/>
  <c r="E22777" i="14"/>
  <c r="AH22776" i="14"/>
  <c r="V22776" i="14"/>
  <c r="T22776" i="14"/>
  <c r="P22776" i="14"/>
  <c r="E22776" i="14"/>
  <c r="AH22775" i="14"/>
  <c r="V22775" i="14"/>
  <c r="T22775" i="14"/>
  <c r="P22775" i="14"/>
  <c r="E22775" i="14"/>
  <c r="AH22774" i="14"/>
  <c r="V22774" i="14"/>
  <c r="T22774" i="14"/>
  <c r="P22774" i="14"/>
  <c r="E22774" i="14"/>
  <c r="AH22773" i="14"/>
  <c r="T22773" i="14"/>
  <c r="P22773" i="14"/>
  <c r="E22773" i="14"/>
  <c r="AH22772" i="14"/>
  <c r="V22772" i="14"/>
  <c r="T22772" i="14"/>
  <c r="P22772" i="14"/>
  <c r="E22772" i="14"/>
  <c r="AH22771" i="14"/>
  <c r="V22771" i="14"/>
  <c r="T22771" i="14"/>
  <c r="P22771" i="14"/>
  <c r="E22771" i="14"/>
  <c r="AH22770" i="14"/>
  <c r="V22770" i="14"/>
  <c r="T22770" i="14"/>
  <c r="P22770" i="14"/>
  <c r="E22770" i="14"/>
  <c r="AH22769" i="14"/>
  <c r="T22769" i="14"/>
  <c r="P22769" i="14"/>
  <c r="E22769" i="14"/>
  <c r="AH22768" i="14"/>
  <c r="V22768" i="14"/>
  <c r="T22768" i="14"/>
  <c r="P22768" i="14"/>
  <c r="E22768" i="14"/>
  <c r="AH22767" i="14"/>
  <c r="V22767" i="14"/>
  <c r="T22767" i="14"/>
  <c r="P22767" i="14"/>
  <c r="E22767" i="14"/>
  <c r="AH22766" i="14"/>
  <c r="V22766" i="14"/>
  <c r="T22766" i="14"/>
  <c r="P22766" i="14"/>
  <c r="E22766" i="14"/>
  <c r="AH22765" i="14"/>
  <c r="V22765" i="14"/>
  <c r="T22765" i="14"/>
  <c r="P22765" i="14"/>
  <c r="E22765" i="14"/>
  <c r="AH22764" i="14"/>
  <c r="V22764" i="14"/>
  <c r="P22764" i="14"/>
  <c r="E22764" i="14"/>
  <c r="AH22763" i="14"/>
  <c r="V22763" i="14"/>
  <c r="T22763" i="14"/>
  <c r="P22763" i="14"/>
  <c r="E22763" i="14"/>
  <c r="AH22762" i="14"/>
  <c r="V22762" i="14"/>
  <c r="T22762" i="14"/>
  <c r="P22762" i="14"/>
  <c r="E22762" i="14"/>
  <c r="AH22761" i="14"/>
  <c r="V22761" i="14"/>
  <c r="P22761" i="14"/>
  <c r="E22761" i="14"/>
  <c r="AH22760" i="14"/>
  <c r="V22760" i="14"/>
  <c r="T22760" i="14"/>
  <c r="P22760" i="14"/>
  <c r="E22760" i="14"/>
  <c r="AH22759" i="14"/>
  <c r="V22759" i="14"/>
  <c r="T22759" i="14"/>
  <c r="P22759" i="14"/>
  <c r="E22759" i="14"/>
  <c r="AH22758" i="14"/>
  <c r="V22758" i="14"/>
  <c r="T22758" i="14"/>
  <c r="P22758" i="14"/>
  <c r="E22758" i="14"/>
  <c r="AH22757" i="14"/>
  <c r="V22757" i="14"/>
  <c r="T22757" i="14"/>
  <c r="P22757" i="14"/>
  <c r="E22757" i="14"/>
  <c r="AH22756" i="14"/>
  <c r="V22756" i="14"/>
  <c r="T22756" i="14"/>
  <c r="P22756" i="14"/>
  <c r="E22756" i="14"/>
  <c r="AH22755" i="14"/>
  <c r="V22755" i="14"/>
  <c r="P22755" i="14"/>
  <c r="E22755" i="14"/>
  <c r="AH22754" i="14"/>
  <c r="V22754" i="14"/>
  <c r="T22754" i="14"/>
  <c r="P22754" i="14"/>
  <c r="E22754" i="14"/>
  <c r="AH22753" i="14"/>
  <c r="V22753" i="14"/>
  <c r="T22753" i="14"/>
  <c r="P22753" i="14"/>
  <c r="E22753" i="14"/>
  <c r="AH22752" i="14"/>
  <c r="V22752" i="14"/>
  <c r="T22752" i="14"/>
  <c r="P22752" i="14"/>
  <c r="E22752" i="14"/>
  <c r="AH22751" i="14"/>
  <c r="V22751" i="14"/>
  <c r="T22751" i="14"/>
  <c r="P22751" i="14"/>
  <c r="E22751" i="14"/>
  <c r="AH22750" i="14"/>
  <c r="V22750" i="14"/>
  <c r="T22750" i="14"/>
  <c r="P22750" i="14"/>
  <c r="E22750" i="14"/>
  <c r="AH22749" i="14"/>
  <c r="V22749" i="14"/>
  <c r="T22749" i="14"/>
  <c r="P22749" i="14"/>
  <c r="E22749" i="14"/>
  <c r="AH22748" i="14"/>
  <c r="P22748" i="14"/>
  <c r="E22748" i="14"/>
  <c r="AH22747" i="14"/>
  <c r="V22747" i="14"/>
  <c r="T22747" i="14"/>
  <c r="P22747" i="14"/>
  <c r="E22747" i="14"/>
  <c r="AH22746" i="14"/>
  <c r="V22746" i="14"/>
  <c r="P22746" i="14"/>
  <c r="E22746" i="14"/>
  <c r="AH22745" i="14"/>
  <c r="V22745" i="14"/>
  <c r="T22745" i="14"/>
  <c r="P22745" i="14"/>
  <c r="E22745" i="14"/>
  <c r="AH22744" i="14"/>
  <c r="V22744" i="14"/>
  <c r="T22744" i="14"/>
  <c r="P22744" i="14"/>
  <c r="E22744" i="14"/>
  <c r="AH22743" i="14"/>
  <c r="V22743" i="14"/>
  <c r="T22743" i="14"/>
  <c r="P22743" i="14"/>
  <c r="E22743" i="14"/>
  <c r="AH22742" i="14"/>
  <c r="V22742" i="14"/>
  <c r="T22742" i="14"/>
  <c r="P22742" i="14"/>
  <c r="E22742" i="14"/>
  <c r="AH22741" i="14"/>
  <c r="V22741" i="14"/>
  <c r="P22741" i="14"/>
  <c r="O22741" i="14"/>
  <c r="E22741" i="14"/>
  <c r="AH22740" i="14"/>
  <c r="V22740" i="14"/>
  <c r="P22740" i="14"/>
  <c r="E22740" i="14"/>
  <c r="AH22739" i="14"/>
  <c r="V22739" i="14"/>
  <c r="T22739" i="14"/>
  <c r="P22739" i="14"/>
  <c r="E22739" i="14"/>
  <c r="AH22738" i="14"/>
  <c r="V22738" i="14"/>
  <c r="T22738" i="14"/>
  <c r="P22738" i="14"/>
  <c r="E22738" i="14"/>
  <c r="AH22737" i="14"/>
  <c r="V22737" i="14"/>
  <c r="T22737" i="14"/>
  <c r="P22737" i="14"/>
  <c r="E22737" i="14"/>
  <c r="AH22736" i="14"/>
  <c r="V22736" i="14"/>
  <c r="T22736" i="14"/>
  <c r="P22736" i="14"/>
  <c r="E22736" i="14"/>
  <c r="AH22735" i="14"/>
  <c r="V22735" i="14"/>
  <c r="T22735" i="14"/>
  <c r="P22735" i="14"/>
  <c r="E22735" i="14"/>
  <c r="AH22734" i="14"/>
  <c r="T22734" i="14"/>
  <c r="P22734" i="14"/>
  <c r="E22734" i="14"/>
  <c r="AH22733" i="14"/>
  <c r="V22733" i="14"/>
  <c r="T22733" i="14"/>
  <c r="P22733" i="14"/>
  <c r="E22733" i="14"/>
  <c r="AH22732" i="14"/>
  <c r="V22732" i="14"/>
  <c r="P22732" i="14"/>
  <c r="E22732" i="14"/>
  <c r="AH22731" i="14"/>
  <c r="V22731" i="14"/>
  <c r="T22731" i="14"/>
  <c r="P22731" i="14"/>
  <c r="E22731" i="14"/>
  <c r="AH22730" i="14"/>
  <c r="V22730" i="14"/>
  <c r="P22730" i="14"/>
  <c r="E22730" i="14"/>
  <c r="AH22729" i="14"/>
  <c r="V22729" i="14"/>
  <c r="P22729" i="14"/>
  <c r="M22729" i="14"/>
  <c r="E22729" i="14"/>
  <c r="AH22728" i="14"/>
  <c r="V22728" i="14"/>
  <c r="P22728" i="14"/>
  <c r="E22728" i="14"/>
  <c r="AH22727" i="14"/>
  <c r="AG22727" i="14"/>
  <c r="AF22727" i="14"/>
  <c r="AE22727" i="14"/>
  <c r="V22727" i="14"/>
  <c r="T22727" i="14"/>
  <c r="P22727" i="14"/>
  <c r="M22727" i="14"/>
  <c r="E22727" i="14"/>
  <c r="AH22726" i="14"/>
  <c r="V22726" i="14"/>
  <c r="T22726" i="14"/>
  <c r="P22726" i="14"/>
  <c r="E22726" i="14"/>
  <c r="AH22725" i="14"/>
  <c r="V22725" i="14"/>
  <c r="T22725" i="14"/>
  <c r="P22725" i="14"/>
  <c r="E22725" i="14"/>
  <c r="AH22724" i="14"/>
  <c r="P22724" i="14"/>
  <c r="E22724" i="14"/>
  <c r="AH22723" i="14"/>
  <c r="T22723" i="14"/>
  <c r="P22723" i="14"/>
  <c r="E22723" i="14"/>
  <c r="AH22722" i="14"/>
  <c r="V22722" i="14"/>
  <c r="T22722" i="14"/>
  <c r="P22722" i="14"/>
  <c r="E22722" i="14"/>
  <c r="AH22721" i="14"/>
  <c r="V22721" i="14"/>
  <c r="T22721" i="14"/>
  <c r="P22721" i="14"/>
  <c r="E22721" i="14"/>
  <c r="AH22720" i="14"/>
  <c r="V22720" i="14"/>
  <c r="T22720" i="14"/>
  <c r="P22720" i="14"/>
  <c r="E22720" i="14"/>
  <c r="AH22719" i="14"/>
  <c r="V22719" i="14"/>
  <c r="T22719" i="14"/>
  <c r="P22719" i="14"/>
  <c r="E22719" i="14"/>
  <c r="AH22718" i="14"/>
  <c r="V22718" i="14"/>
  <c r="T22718" i="14"/>
  <c r="P22718" i="14"/>
  <c r="E22718" i="14"/>
  <c r="AH22717" i="14"/>
  <c r="V22717" i="14"/>
  <c r="T22717" i="14"/>
  <c r="P22717" i="14"/>
  <c r="E22717" i="14"/>
  <c r="AH22716" i="14"/>
  <c r="V22716" i="14"/>
  <c r="T22716" i="14"/>
  <c r="P22716" i="14"/>
  <c r="E22716" i="14"/>
  <c r="AH22715" i="14"/>
  <c r="V22715" i="14"/>
  <c r="T22715" i="14"/>
  <c r="P22715" i="14"/>
  <c r="E22715" i="14"/>
  <c r="AH22714" i="14"/>
  <c r="V22714" i="14"/>
  <c r="T22714" i="14"/>
  <c r="P22714" i="14"/>
  <c r="E22714" i="14"/>
  <c r="AH22713" i="14"/>
  <c r="V22713" i="14"/>
  <c r="P22713" i="14"/>
  <c r="E22713" i="14"/>
  <c r="AH22712" i="14"/>
  <c r="V22712" i="14"/>
  <c r="T22712" i="14"/>
  <c r="P22712" i="14"/>
  <c r="E22712" i="14"/>
  <c r="AH22711" i="14"/>
  <c r="V22711" i="14"/>
  <c r="T22711" i="14"/>
  <c r="P22711" i="14"/>
  <c r="E22711" i="14"/>
  <c r="AH22710" i="14"/>
  <c r="V22710" i="14"/>
  <c r="T22710" i="14"/>
  <c r="P22710" i="14"/>
  <c r="E22710" i="14"/>
  <c r="AH22709" i="14"/>
  <c r="V22709" i="14"/>
  <c r="T22709" i="14"/>
  <c r="P22709" i="14"/>
  <c r="E22709" i="14"/>
  <c r="AH22708" i="14"/>
  <c r="V22708" i="14"/>
  <c r="T22708" i="14"/>
  <c r="P22708" i="14"/>
  <c r="O22708" i="14"/>
  <c r="E22708" i="14"/>
  <c r="AH22707" i="14"/>
  <c r="V22707" i="14"/>
  <c r="P22707" i="14"/>
  <c r="M22707" i="14"/>
  <c r="E22707" i="14"/>
  <c r="AH22706" i="14"/>
  <c r="V22706" i="14"/>
  <c r="P22706" i="14"/>
  <c r="E22706" i="14"/>
  <c r="AH22705" i="14"/>
  <c r="V22705" i="14"/>
  <c r="T22705" i="14"/>
  <c r="P22705" i="14"/>
  <c r="E22705" i="14"/>
  <c r="AH22704" i="14"/>
  <c r="V22704" i="14"/>
  <c r="T22704" i="14"/>
  <c r="P22704" i="14"/>
  <c r="E22704" i="14"/>
  <c r="AH22703" i="14"/>
  <c r="V22703" i="14"/>
  <c r="T22703" i="14"/>
  <c r="P22703" i="14"/>
  <c r="E22703" i="14"/>
  <c r="AH22702" i="14"/>
  <c r="V22702" i="14"/>
  <c r="T22702" i="14"/>
  <c r="P22702" i="14"/>
  <c r="E22702" i="14"/>
  <c r="AH22701" i="14"/>
  <c r="V22701" i="14"/>
  <c r="T22701" i="14"/>
  <c r="P22701" i="14"/>
  <c r="E22701" i="14"/>
  <c r="AH22700" i="14"/>
  <c r="V22700" i="14"/>
  <c r="P22700" i="14"/>
  <c r="E22700" i="14"/>
  <c r="AH22699" i="14"/>
  <c r="V22699" i="14"/>
  <c r="T22699" i="14"/>
  <c r="P22699" i="14"/>
  <c r="E22699" i="14"/>
  <c r="AH22698" i="14"/>
  <c r="V22698" i="14"/>
  <c r="T22698" i="14"/>
  <c r="P22698" i="14"/>
  <c r="E22698" i="14"/>
  <c r="AH22697" i="14"/>
  <c r="V22697" i="14"/>
  <c r="T22697" i="14"/>
  <c r="P22697" i="14"/>
  <c r="E22697" i="14"/>
  <c r="AH22696" i="14"/>
  <c r="V22696" i="14"/>
  <c r="T22696" i="14"/>
  <c r="P22696" i="14"/>
  <c r="E22696" i="14"/>
  <c r="AH22695" i="14"/>
  <c r="V22695" i="14"/>
  <c r="P22695" i="14"/>
  <c r="E22695" i="14"/>
  <c r="AH22694" i="14"/>
  <c r="V22694" i="14"/>
  <c r="T22694" i="14"/>
  <c r="P22694" i="14"/>
  <c r="E22694" i="14"/>
  <c r="AH22693" i="14"/>
  <c r="V22693" i="14"/>
  <c r="T22693" i="14"/>
  <c r="P22693" i="14"/>
  <c r="E22693" i="14"/>
  <c r="AH22692" i="14"/>
  <c r="V22692" i="14"/>
  <c r="T22692" i="14"/>
  <c r="P22692" i="14"/>
  <c r="E22692" i="14"/>
  <c r="AH22691" i="14"/>
  <c r="V22691" i="14"/>
  <c r="T22691" i="14"/>
  <c r="P22691" i="14"/>
  <c r="E22691" i="14"/>
  <c r="AH22690" i="14"/>
  <c r="V22690" i="14"/>
  <c r="T22690" i="14"/>
  <c r="P22690" i="14"/>
  <c r="E22690" i="14"/>
  <c r="AH22689" i="14"/>
  <c r="V22689" i="14"/>
  <c r="T22689" i="14"/>
  <c r="P22689" i="14"/>
  <c r="E22689" i="14"/>
  <c r="AH22688" i="14"/>
  <c r="V22688" i="14"/>
  <c r="T22688" i="14"/>
  <c r="P22688" i="14"/>
  <c r="E22688" i="14"/>
  <c r="AH22687" i="14"/>
  <c r="V22687" i="14"/>
  <c r="T22687" i="14"/>
  <c r="P22687" i="14"/>
  <c r="E22687" i="14"/>
  <c r="AH22686" i="14"/>
  <c r="V22686" i="14"/>
  <c r="T22686" i="14"/>
  <c r="P22686" i="14"/>
  <c r="E22686" i="14"/>
  <c r="AH22685" i="14"/>
  <c r="V22685" i="14"/>
  <c r="T22685" i="14"/>
  <c r="P22685" i="14"/>
  <c r="E22685" i="14"/>
  <c r="AH22684" i="14"/>
  <c r="V22684" i="14"/>
  <c r="P22684" i="14"/>
  <c r="E22684" i="14"/>
  <c r="AH22683" i="14"/>
  <c r="V22683" i="14"/>
  <c r="P22683" i="14"/>
  <c r="E22683" i="14"/>
  <c r="AH22682" i="14"/>
  <c r="V22682" i="14"/>
  <c r="T22682" i="14"/>
  <c r="P22682" i="14"/>
  <c r="E22682" i="14"/>
  <c r="AH22681" i="14"/>
  <c r="V22681" i="14"/>
  <c r="T22681" i="14"/>
  <c r="P22681" i="14"/>
  <c r="E22681" i="14"/>
  <c r="AH22680" i="14"/>
  <c r="V22680" i="14"/>
  <c r="T22680" i="14"/>
  <c r="P22680" i="14"/>
  <c r="E22680" i="14"/>
  <c r="AH22679" i="14"/>
  <c r="V22679" i="14"/>
  <c r="T22679" i="14"/>
  <c r="P22679" i="14"/>
  <c r="E22679" i="14"/>
  <c r="AH22678" i="14"/>
  <c r="V22678" i="14"/>
  <c r="T22678" i="14"/>
  <c r="P22678" i="14"/>
  <c r="E22678" i="14"/>
  <c r="AH22677" i="14"/>
  <c r="V22677" i="14"/>
  <c r="P22677" i="14"/>
  <c r="E22677" i="14"/>
  <c r="AH22676" i="14"/>
  <c r="V22676" i="14"/>
  <c r="T22676" i="14"/>
  <c r="P22676" i="14"/>
  <c r="E22676" i="14"/>
  <c r="AH22675" i="14"/>
  <c r="V22675" i="14"/>
  <c r="T22675" i="14"/>
  <c r="P22675" i="14"/>
  <c r="E22675" i="14"/>
  <c r="AH22674" i="14"/>
  <c r="V22674" i="14"/>
  <c r="T22674" i="14"/>
  <c r="P22674" i="14"/>
  <c r="E22674" i="14"/>
  <c r="AH22673" i="14"/>
  <c r="V22673" i="14"/>
  <c r="T22673" i="14"/>
  <c r="P22673" i="14"/>
  <c r="E22673" i="14"/>
  <c r="AH22672" i="14"/>
  <c r="V22672" i="14"/>
  <c r="T22672" i="14"/>
  <c r="P22672" i="14"/>
  <c r="E22672" i="14"/>
  <c r="AH22671" i="14"/>
  <c r="V22671" i="14"/>
  <c r="T22671" i="14"/>
  <c r="P22671" i="14"/>
  <c r="E22671" i="14"/>
  <c r="AH22670" i="14"/>
  <c r="V22670" i="14"/>
  <c r="T22670" i="14"/>
  <c r="P22670" i="14"/>
  <c r="E22670" i="14"/>
  <c r="AH22669" i="14"/>
  <c r="V22669" i="14"/>
  <c r="T22669" i="14"/>
  <c r="P22669" i="14"/>
  <c r="E22669" i="14"/>
  <c r="AH22668" i="14"/>
  <c r="V22668" i="14"/>
  <c r="T22668" i="14"/>
  <c r="P22668" i="14"/>
  <c r="E22668" i="14"/>
  <c r="AH22667" i="14"/>
  <c r="V22667" i="14"/>
  <c r="T22667" i="14"/>
  <c r="P22667" i="14"/>
  <c r="E22667" i="14"/>
  <c r="AH22666" i="14"/>
  <c r="V22666" i="14"/>
  <c r="T22666" i="14"/>
  <c r="P22666" i="14"/>
  <c r="E22666" i="14"/>
  <c r="AH22665" i="14"/>
  <c r="V22665" i="14"/>
  <c r="T22665" i="14"/>
  <c r="P22665" i="14"/>
  <c r="E22665" i="14"/>
  <c r="AH22664" i="14"/>
  <c r="V22664" i="14"/>
  <c r="P22664" i="14"/>
  <c r="E22664" i="14"/>
  <c r="AH22663" i="14"/>
  <c r="V22663" i="14"/>
  <c r="T22663" i="14"/>
  <c r="P22663" i="14"/>
  <c r="E22663" i="14"/>
  <c r="AH22662" i="14"/>
  <c r="V22662" i="14"/>
  <c r="T22662" i="14"/>
  <c r="P22662" i="14"/>
  <c r="E22662" i="14"/>
  <c r="AH22661" i="14"/>
  <c r="V22661" i="14"/>
  <c r="T22661" i="14"/>
  <c r="P22661" i="14"/>
  <c r="E22661" i="14"/>
  <c r="AH22660" i="14"/>
  <c r="T22660" i="14"/>
  <c r="P22660" i="14"/>
  <c r="E22660" i="14"/>
  <c r="AH22659" i="14"/>
  <c r="V22659" i="14"/>
  <c r="T22659" i="14"/>
  <c r="P22659" i="14"/>
  <c r="E22659" i="14"/>
  <c r="AH22658" i="14"/>
  <c r="V22658" i="14"/>
  <c r="T22658" i="14"/>
  <c r="P22658" i="14"/>
  <c r="E22658" i="14"/>
  <c r="AH22657" i="14"/>
  <c r="V22657" i="14"/>
  <c r="T22657" i="14"/>
  <c r="P22657" i="14"/>
  <c r="E22657" i="14"/>
  <c r="AH22656" i="14"/>
  <c r="V22656" i="14"/>
  <c r="T22656" i="14"/>
  <c r="P22656" i="14"/>
  <c r="E22656" i="14"/>
  <c r="AH22655" i="14"/>
  <c r="V22655" i="14"/>
  <c r="T22655" i="14"/>
  <c r="P22655" i="14"/>
  <c r="E22655" i="14"/>
  <c r="AH22654" i="14"/>
  <c r="V22654" i="14"/>
  <c r="T22654" i="14"/>
  <c r="P22654" i="14"/>
  <c r="E22654" i="14"/>
  <c r="AH22653" i="14"/>
  <c r="V22653" i="14"/>
  <c r="T22653" i="14"/>
  <c r="P22653" i="14"/>
  <c r="E22653" i="14"/>
  <c r="AH22652" i="14"/>
  <c r="T22652" i="14"/>
  <c r="P22652" i="14"/>
  <c r="E22652" i="14"/>
  <c r="AH22651" i="14"/>
  <c r="V22651" i="14"/>
  <c r="T22651" i="14"/>
  <c r="P22651" i="14"/>
  <c r="E22651" i="14"/>
  <c r="AH22650" i="14"/>
  <c r="T22650" i="14"/>
  <c r="P22650" i="14"/>
  <c r="O22650" i="14"/>
  <c r="E22650" i="14"/>
  <c r="AH22649" i="14"/>
  <c r="V22649" i="14"/>
  <c r="T22649" i="14"/>
  <c r="P22649" i="14"/>
  <c r="O22649" i="14"/>
  <c r="E22649" i="14"/>
  <c r="AH22648" i="14"/>
  <c r="V22648" i="14"/>
  <c r="T22648" i="14"/>
  <c r="P22648" i="14"/>
  <c r="E22648" i="14"/>
  <c r="AH22647" i="14"/>
  <c r="V22647" i="14"/>
  <c r="T22647" i="14"/>
  <c r="P22647" i="14"/>
  <c r="E22647" i="14"/>
  <c r="AH22646" i="14"/>
  <c r="V22646" i="14"/>
  <c r="T22646" i="14"/>
  <c r="P22646" i="14"/>
  <c r="E22646" i="14"/>
  <c r="AH22645" i="14"/>
  <c r="V22645" i="14"/>
  <c r="T22645" i="14"/>
  <c r="P22645" i="14"/>
  <c r="E22645" i="14"/>
  <c r="AH22644" i="14"/>
  <c r="V22644" i="14"/>
  <c r="T22644" i="14"/>
  <c r="P22644" i="14"/>
  <c r="E22644" i="14"/>
  <c r="AH22643" i="14"/>
  <c r="V22643" i="14"/>
  <c r="T22643" i="14"/>
  <c r="P22643" i="14"/>
  <c r="E22643" i="14"/>
  <c r="AH22642" i="14"/>
  <c r="V22642" i="14"/>
  <c r="T22642" i="14"/>
  <c r="P22642" i="14"/>
  <c r="E22642" i="14"/>
  <c r="AH22641" i="14"/>
  <c r="V22641" i="14"/>
  <c r="T22641" i="14"/>
  <c r="P22641" i="14"/>
  <c r="E22641" i="14"/>
  <c r="AH22640" i="14"/>
  <c r="V22640" i="14"/>
  <c r="T22640" i="14"/>
  <c r="P22640" i="14"/>
  <c r="M22640" i="14"/>
  <c r="E22640" i="14"/>
  <c r="AH22639" i="14"/>
  <c r="P22639" i="14"/>
  <c r="E22639" i="14"/>
  <c r="AH22638" i="14"/>
  <c r="V22638" i="14"/>
  <c r="T22638" i="14"/>
  <c r="P22638" i="14"/>
  <c r="E22638" i="14"/>
  <c r="AH22637" i="14"/>
  <c r="T22637" i="14"/>
  <c r="P22637" i="14"/>
  <c r="E22637" i="14"/>
  <c r="AH22636" i="14"/>
  <c r="V22636" i="14"/>
  <c r="P22636" i="14"/>
  <c r="E22636" i="14"/>
  <c r="AH22635" i="14"/>
  <c r="V22635" i="14"/>
  <c r="P22635" i="14"/>
  <c r="E22635" i="14"/>
  <c r="AH22634" i="14"/>
  <c r="V22634" i="14"/>
  <c r="T22634" i="14"/>
  <c r="P22634" i="14"/>
  <c r="E22634" i="14"/>
  <c r="AH22633" i="14"/>
  <c r="V22633" i="14"/>
  <c r="T22633" i="14"/>
  <c r="P22633" i="14"/>
  <c r="E22633" i="14"/>
  <c r="AH22632" i="14"/>
  <c r="V22632" i="14"/>
  <c r="T22632" i="14"/>
  <c r="P22632" i="14"/>
  <c r="E22632" i="14"/>
  <c r="AH22631" i="14"/>
  <c r="V22631" i="14"/>
  <c r="T22631" i="14"/>
  <c r="P22631" i="14"/>
  <c r="E22631" i="14"/>
  <c r="AH22630" i="14"/>
  <c r="T22630" i="14"/>
  <c r="P22630" i="14"/>
  <c r="E22630" i="14"/>
  <c r="AH22629" i="14"/>
  <c r="V22629" i="14"/>
  <c r="T22629" i="14"/>
  <c r="P22629" i="14"/>
  <c r="E22629" i="14"/>
  <c r="AH22628" i="14"/>
  <c r="V22628" i="14"/>
  <c r="T22628" i="14"/>
  <c r="P22628" i="14"/>
  <c r="E22628" i="14"/>
  <c r="AH22627" i="14"/>
  <c r="V22627" i="14"/>
  <c r="T22627" i="14"/>
  <c r="P22627" i="14"/>
  <c r="E22627" i="14"/>
  <c r="AH22626" i="14"/>
  <c r="V22626" i="14"/>
  <c r="T22626" i="14"/>
  <c r="P22626" i="14"/>
  <c r="E22626" i="14"/>
  <c r="AH22625" i="14"/>
  <c r="V22625" i="14"/>
  <c r="T22625" i="14"/>
  <c r="P22625" i="14"/>
  <c r="E22625" i="14"/>
  <c r="AH22624" i="14"/>
  <c r="V22624" i="14"/>
  <c r="T22624" i="14"/>
  <c r="P22624" i="14"/>
  <c r="E22624" i="14"/>
  <c r="AH22623" i="14"/>
  <c r="V22623" i="14"/>
  <c r="T22623" i="14"/>
  <c r="P22623" i="14"/>
  <c r="E22623" i="14"/>
  <c r="AH22622" i="14"/>
  <c r="V22622" i="14"/>
  <c r="T22622" i="14"/>
  <c r="P22622" i="14"/>
  <c r="E22622" i="14"/>
  <c r="AH22621" i="14"/>
  <c r="V22621" i="14"/>
  <c r="T22621" i="14"/>
  <c r="P22621" i="14"/>
  <c r="E22621" i="14"/>
  <c r="AH22620" i="14"/>
  <c r="V22620" i="14"/>
  <c r="T22620" i="14"/>
  <c r="P22620" i="14"/>
  <c r="E22620" i="14"/>
  <c r="AH22619" i="14"/>
  <c r="V22619" i="14"/>
  <c r="T22619" i="14"/>
  <c r="P22619" i="14"/>
  <c r="E22619" i="14"/>
  <c r="AH22618" i="14"/>
  <c r="V22618" i="14"/>
  <c r="T22618" i="14"/>
  <c r="P22618" i="14"/>
  <c r="E22618" i="14"/>
  <c r="AH22617" i="14"/>
  <c r="V22617" i="14"/>
  <c r="T22617" i="14"/>
  <c r="P22617" i="14"/>
  <c r="E22617" i="14"/>
  <c r="AH22616" i="14"/>
  <c r="V22616" i="14"/>
  <c r="T22616" i="14"/>
  <c r="P22616" i="14"/>
  <c r="E22616" i="14"/>
  <c r="AH22615" i="14"/>
  <c r="V22615" i="14"/>
  <c r="T22615" i="14"/>
  <c r="P22615" i="14"/>
  <c r="E22615" i="14"/>
  <c r="AH22614" i="14"/>
  <c r="V22614" i="14"/>
  <c r="T22614" i="14"/>
  <c r="P22614" i="14"/>
  <c r="E22614" i="14"/>
  <c r="AH22613" i="14"/>
  <c r="T22613" i="14"/>
  <c r="P22613" i="14"/>
  <c r="E22613" i="14"/>
  <c r="AH22612" i="14"/>
  <c r="T22612" i="14"/>
  <c r="P22612" i="14"/>
  <c r="E22612" i="14"/>
  <c r="AH22611" i="14"/>
  <c r="V22611" i="14"/>
  <c r="T22611" i="14"/>
  <c r="P22611" i="14"/>
  <c r="E22611" i="14"/>
  <c r="AH22610" i="14"/>
  <c r="V22610" i="14"/>
  <c r="T22610" i="14"/>
  <c r="Q22610" i="14"/>
  <c r="P22610" i="14"/>
  <c r="O22610" i="14"/>
  <c r="E22610" i="14"/>
  <c r="AH22609" i="14"/>
  <c r="Q22609" i="14"/>
  <c r="E22609" i="14"/>
  <c r="AH22608" i="14"/>
  <c r="T22608" i="14"/>
  <c r="P22608" i="14"/>
  <c r="E22608" i="14"/>
  <c r="AH22607" i="14"/>
  <c r="T22607" i="14"/>
  <c r="P22607" i="14"/>
  <c r="E22607" i="14"/>
  <c r="AH22606" i="14"/>
  <c r="T22606" i="14"/>
  <c r="P22606" i="14"/>
  <c r="E22606" i="14"/>
  <c r="AH22605" i="14"/>
  <c r="V22605" i="14"/>
  <c r="T22605" i="14"/>
  <c r="P22605" i="14"/>
  <c r="E22605" i="14"/>
  <c r="AH22604" i="14"/>
  <c r="V22604" i="14"/>
  <c r="T22604" i="14"/>
  <c r="P22604" i="14"/>
  <c r="E22604" i="14"/>
  <c r="AH22603" i="14"/>
  <c r="V22603" i="14"/>
  <c r="T22603" i="14"/>
  <c r="P22603" i="14"/>
  <c r="E22603" i="14"/>
  <c r="AH22602" i="14"/>
  <c r="V22602" i="14"/>
  <c r="P22602" i="14"/>
  <c r="E22602" i="14"/>
  <c r="AH22601" i="14"/>
  <c r="V22601" i="14"/>
  <c r="T22601" i="14"/>
  <c r="P22601" i="14"/>
  <c r="E22601" i="14"/>
  <c r="AH22600" i="14"/>
  <c r="V22600" i="14"/>
  <c r="T22600" i="14"/>
  <c r="P22600" i="14"/>
  <c r="E22600" i="14"/>
  <c r="AH22599" i="14"/>
  <c r="V22599" i="14"/>
  <c r="T22599" i="14"/>
  <c r="P22599" i="14"/>
  <c r="E22599" i="14"/>
  <c r="AH22598" i="14"/>
  <c r="V22598" i="14"/>
  <c r="P22598" i="14"/>
  <c r="E22598" i="14"/>
  <c r="AH22597" i="14"/>
  <c r="V22597" i="14"/>
  <c r="P22597" i="14"/>
  <c r="E22597" i="14"/>
  <c r="AH22596" i="14"/>
  <c r="V22596" i="14"/>
  <c r="T22596" i="14"/>
  <c r="P22596" i="14"/>
  <c r="E22596" i="14"/>
  <c r="AH22595" i="14"/>
  <c r="V22595" i="14"/>
  <c r="T22595" i="14"/>
  <c r="P22595" i="14"/>
  <c r="E22595" i="14"/>
  <c r="AH22594" i="14"/>
  <c r="V22594" i="14"/>
  <c r="T22594" i="14"/>
  <c r="P22594" i="14"/>
  <c r="E22594" i="14"/>
  <c r="AH22593" i="14"/>
  <c r="V22593" i="14"/>
  <c r="T22593" i="14"/>
  <c r="P22593" i="14"/>
  <c r="E22593" i="14"/>
  <c r="AH22592" i="14"/>
  <c r="V22592" i="14"/>
  <c r="T22592" i="14"/>
  <c r="P22592" i="14"/>
  <c r="E22592" i="14"/>
  <c r="AH22591" i="14"/>
  <c r="V22591" i="14"/>
  <c r="P22591" i="14"/>
  <c r="E22591" i="14"/>
  <c r="AH22590" i="14"/>
  <c r="V22590" i="14"/>
  <c r="T22590" i="14"/>
  <c r="P22590" i="14"/>
  <c r="E22590" i="14"/>
  <c r="AH22589" i="14"/>
  <c r="V22589" i="14"/>
  <c r="T22589" i="14"/>
  <c r="P22589" i="14"/>
  <c r="E22589" i="14"/>
  <c r="AH22588" i="14"/>
  <c r="V22588" i="14"/>
  <c r="T22588" i="14"/>
  <c r="P22588" i="14"/>
  <c r="E22588" i="14"/>
  <c r="AH22587" i="14"/>
  <c r="V22587" i="14"/>
  <c r="T22587" i="14"/>
  <c r="P22587" i="14"/>
  <c r="E22587" i="14"/>
  <c r="AH22586" i="14"/>
  <c r="V22586" i="14"/>
  <c r="T22586" i="14"/>
  <c r="P22586" i="14"/>
  <c r="E22586" i="14"/>
  <c r="AH22585" i="14"/>
  <c r="V22585" i="14"/>
  <c r="T22585" i="14"/>
  <c r="P22585" i="14"/>
  <c r="E22585" i="14"/>
  <c r="AH22584" i="14"/>
  <c r="V22584" i="14"/>
  <c r="T22584" i="14"/>
  <c r="P22584" i="14"/>
  <c r="E22584" i="14"/>
  <c r="AH22583" i="14"/>
  <c r="V22583" i="14"/>
  <c r="T22583" i="14"/>
  <c r="P22583" i="14"/>
  <c r="E22583" i="14"/>
  <c r="AH22582" i="14"/>
  <c r="V22582" i="14"/>
  <c r="T22582" i="14"/>
  <c r="P22582" i="14"/>
  <c r="E22582" i="14"/>
  <c r="AH22581" i="14"/>
  <c r="V22581" i="14"/>
  <c r="T22581" i="14"/>
  <c r="P22581" i="14"/>
  <c r="E22581" i="14"/>
  <c r="AH22580" i="14"/>
  <c r="V22580" i="14"/>
  <c r="T22580" i="14"/>
  <c r="P22580" i="14"/>
  <c r="E22580" i="14"/>
  <c r="AH22579" i="14"/>
  <c r="V22579" i="14"/>
  <c r="T22579" i="14"/>
  <c r="P22579" i="14"/>
  <c r="E22579" i="14"/>
  <c r="AH22578" i="14"/>
  <c r="V22578" i="14"/>
  <c r="T22578" i="14"/>
  <c r="P22578" i="14"/>
  <c r="E22578" i="14"/>
  <c r="AH22577" i="14"/>
  <c r="V22577" i="14"/>
  <c r="T22577" i="14"/>
  <c r="P22577" i="14"/>
  <c r="E22577" i="14"/>
  <c r="AH22576" i="14"/>
  <c r="V22576" i="14"/>
  <c r="T22576" i="14"/>
  <c r="P22576" i="14"/>
  <c r="E22576" i="14"/>
  <c r="AH22575" i="14"/>
  <c r="V22575" i="14"/>
  <c r="T22575" i="14"/>
  <c r="P22575" i="14"/>
  <c r="E22575" i="14"/>
  <c r="AH22574" i="14"/>
  <c r="V22574" i="14"/>
  <c r="T22574" i="14"/>
  <c r="P22574" i="14"/>
  <c r="E22574" i="14"/>
  <c r="AH22573" i="14"/>
  <c r="V22573" i="14"/>
  <c r="T22573" i="14"/>
  <c r="P22573" i="14"/>
  <c r="E22573" i="14"/>
  <c r="AH22572" i="14"/>
  <c r="V22572" i="14"/>
  <c r="P22572" i="14"/>
  <c r="E22572" i="14"/>
  <c r="AH22571" i="14"/>
  <c r="V22571" i="14"/>
  <c r="T22571" i="14"/>
  <c r="P22571" i="14"/>
  <c r="E22571" i="14"/>
  <c r="AH22570" i="14"/>
  <c r="V22570" i="14"/>
  <c r="T22570" i="14"/>
  <c r="P22570" i="14"/>
  <c r="E22570" i="14"/>
  <c r="AH22569" i="14"/>
  <c r="V22569" i="14"/>
  <c r="T22569" i="14"/>
  <c r="P22569" i="14"/>
  <c r="O22569" i="14"/>
  <c r="E22569" i="14"/>
  <c r="AH22568" i="14"/>
  <c r="V22568" i="14"/>
  <c r="T22568" i="14"/>
  <c r="P22568" i="14"/>
  <c r="E22568" i="14"/>
  <c r="AH22567" i="14"/>
  <c r="V22567" i="14"/>
  <c r="T22567" i="14"/>
  <c r="P22567" i="14"/>
  <c r="E22567" i="14"/>
  <c r="AH22566" i="14"/>
  <c r="V22566" i="14"/>
  <c r="P22566" i="14"/>
  <c r="E22566" i="14"/>
  <c r="AH22565" i="14"/>
  <c r="T22565" i="14"/>
  <c r="P22565" i="14"/>
  <c r="E22565" i="14"/>
  <c r="AH22564" i="14"/>
  <c r="V22564" i="14"/>
  <c r="T22564" i="14"/>
  <c r="P22564" i="14"/>
  <c r="E22564" i="14"/>
  <c r="AH22563" i="14"/>
  <c r="V22563" i="14"/>
  <c r="T22563" i="14"/>
  <c r="P22563" i="14"/>
  <c r="O22563" i="14"/>
  <c r="E22563" i="14"/>
  <c r="AH22562" i="14"/>
  <c r="AE22562" i="14"/>
  <c r="V22562" i="14"/>
  <c r="P22562" i="14"/>
  <c r="L22562" i="14"/>
  <c r="K22562" i="14"/>
  <c r="I22562" i="14"/>
  <c r="E22562" i="14"/>
  <c r="AH22561" i="14"/>
  <c r="V22561" i="14"/>
  <c r="T22561" i="14"/>
  <c r="P22561" i="14"/>
  <c r="E22561" i="14"/>
  <c r="AH22560" i="14"/>
  <c r="V22560" i="14"/>
  <c r="T22560" i="14"/>
  <c r="P22560" i="14"/>
  <c r="E22560" i="14"/>
  <c r="AH22559" i="14"/>
  <c r="V22559" i="14"/>
  <c r="T22559" i="14"/>
  <c r="P22559" i="14"/>
  <c r="E22559" i="14"/>
  <c r="AH22558" i="14"/>
  <c r="T22558" i="14"/>
  <c r="P22558" i="14"/>
  <c r="E22558" i="14"/>
  <c r="AH22557" i="14"/>
  <c r="V22557" i="14"/>
  <c r="T22557" i="14"/>
  <c r="P22557" i="14"/>
  <c r="E22557" i="14"/>
  <c r="AH22556" i="14"/>
  <c r="V22556" i="14"/>
  <c r="T22556" i="14"/>
  <c r="P22556" i="14"/>
  <c r="E22556" i="14"/>
  <c r="AH22555" i="14"/>
  <c r="V22555" i="14"/>
  <c r="T22555" i="14"/>
  <c r="P22555" i="14"/>
  <c r="E22555" i="14"/>
  <c r="AH22554" i="14"/>
  <c r="V22554" i="14"/>
  <c r="T22554" i="14"/>
  <c r="P22554" i="14"/>
  <c r="E22554" i="14"/>
  <c r="AH22553" i="14"/>
  <c r="V22553" i="14"/>
  <c r="T22553" i="14"/>
  <c r="P22553" i="14"/>
  <c r="E22553" i="14"/>
  <c r="AH22552" i="14"/>
  <c r="V22552" i="14"/>
  <c r="T22552" i="14"/>
  <c r="P22552" i="14"/>
  <c r="E22552" i="14"/>
  <c r="AH22551" i="14"/>
  <c r="V22551" i="14"/>
  <c r="T22551" i="14"/>
  <c r="P22551" i="14"/>
  <c r="E22551" i="14"/>
  <c r="AH22550" i="14"/>
  <c r="V22550" i="14"/>
  <c r="P22550" i="14"/>
  <c r="E22550" i="14"/>
  <c r="AH22549" i="14"/>
  <c r="V22549" i="14"/>
  <c r="P22549" i="14"/>
  <c r="E22549" i="14"/>
  <c r="AH22548" i="14"/>
  <c r="V22548" i="14"/>
  <c r="T22548" i="14"/>
  <c r="P22548" i="14"/>
  <c r="E22548" i="14"/>
  <c r="AH22547" i="14"/>
  <c r="V22547" i="14"/>
  <c r="P22547" i="14"/>
  <c r="E22547" i="14"/>
  <c r="AH22546" i="14"/>
  <c r="V22546" i="14"/>
  <c r="T22546" i="14"/>
  <c r="P22546" i="14"/>
  <c r="E22546" i="14"/>
  <c r="AH22545" i="14"/>
  <c r="T22545" i="14"/>
  <c r="P22545" i="14"/>
  <c r="E22545" i="14"/>
  <c r="AH22544" i="14"/>
  <c r="V22544" i="14"/>
  <c r="T22544" i="14"/>
  <c r="P22544" i="14"/>
  <c r="E22544" i="14"/>
  <c r="AH22543" i="14"/>
  <c r="V22543" i="14"/>
  <c r="T22543" i="14"/>
  <c r="P22543" i="14"/>
  <c r="E22543" i="14"/>
  <c r="AH22542" i="14"/>
  <c r="V22542" i="14"/>
  <c r="T22542" i="14"/>
  <c r="P22542" i="14"/>
  <c r="E22542" i="14"/>
  <c r="AH22541" i="14"/>
  <c r="V22541" i="14"/>
  <c r="T22541" i="14"/>
  <c r="P22541" i="14"/>
  <c r="E22541" i="14"/>
  <c r="AH22540" i="14"/>
  <c r="V22540" i="14"/>
  <c r="T22540" i="14"/>
  <c r="P22540" i="14"/>
  <c r="E22540" i="14"/>
  <c r="AH22539" i="14"/>
  <c r="V22539" i="14"/>
  <c r="T22539" i="14"/>
  <c r="P22539" i="14"/>
  <c r="E22539" i="14"/>
  <c r="AH22538" i="14"/>
  <c r="V22538" i="14"/>
  <c r="P22538" i="14"/>
  <c r="E22538" i="14"/>
  <c r="AH22537" i="14"/>
  <c r="V22537" i="14"/>
  <c r="P22537" i="14"/>
  <c r="M22537" i="14"/>
  <c r="E22537" i="14"/>
  <c r="AH22536" i="14"/>
  <c r="V22536" i="14"/>
  <c r="T22536" i="14"/>
  <c r="P22536" i="14"/>
  <c r="M22536" i="14"/>
  <c r="E22536" i="14"/>
  <c r="AH22535" i="14"/>
  <c r="V22535" i="14"/>
  <c r="T22535" i="14"/>
  <c r="P22535" i="14"/>
  <c r="E22535" i="14"/>
  <c r="AH22534" i="14"/>
  <c r="V22534" i="14"/>
  <c r="T22534" i="14"/>
  <c r="P22534" i="14"/>
  <c r="L22534" i="14"/>
  <c r="K22534" i="14"/>
  <c r="I22534" i="14"/>
  <c r="E22534" i="14"/>
  <c r="AH22533" i="14"/>
  <c r="V22533" i="14"/>
  <c r="P22533" i="14"/>
  <c r="E22533" i="14"/>
  <c r="AH22532" i="14"/>
  <c r="V22532" i="14"/>
  <c r="T22532" i="14"/>
  <c r="P22532" i="14"/>
  <c r="E22532" i="14"/>
  <c r="AH22531" i="14"/>
  <c r="V22531" i="14"/>
  <c r="T22531" i="14"/>
  <c r="P22531" i="14"/>
  <c r="E22531" i="14"/>
  <c r="AH22530" i="14"/>
  <c r="V22530" i="14"/>
  <c r="T22530" i="14"/>
  <c r="P22530" i="14"/>
  <c r="E22530" i="14"/>
  <c r="AH22529" i="14"/>
  <c r="V22529" i="14"/>
  <c r="P22529" i="14"/>
  <c r="E22529" i="14"/>
  <c r="AH22528" i="14"/>
  <c r="V22528" i="14"/>
  <c r="T22528" i="14"/>
  <c r="P22528" i="14"/>
  <c r="E22528" i="14"/>
  <c r="AH22527" i="14"/>
  <c r="V22527" i="14"/>
  <c r="T22527" i="14"/>
  <c r="P22527" i="14"/>
  <c r="E22527" i="14"/>
  <c r="AH22526" i="14"/>
  <c r="V22526" i="14"/>
  <c r="P22526" i="14"/>
  <c r="E22526" i="14"/>
  <c r="AH22525" i="14"/>
  <c r="V22525" i="14"/>
  <c r="T22525" i="14"/>
  <c r="P22525" i="14"/>
  <c r="E22525" i="14"/>
  <c r="AH22524" i="14"/>
  <c r="V22524" i="14"/>
  <c r="T22524" i="14"/>
  <c r="P22524" i="14"/>
  <c r="E22524" i="14"/>
  <c r="AH22523" i="14"/>
  <c r="V22523" i="14"/>
  <c r="T22523" i="14"/>
  <c r="P22523" i="14"/>
  <c r="E22523" i="14"/>
  <c r="AH22522" i="14"/>
  <c r="V22522" i="14"/>
  <c r="T22522" i="14"/>
  <c r="P22522" i="14"/>
  <c r="E22522" i="14"/>
  <c r="AH22521" i="14"/>
  <c r="V22521" i="14"/>
  <c r="P22521" i="14"/>
  <c r="E22521" i="14"/>
  <c r="AH22520" i="14"/>
  <c r="V22520" i="14"/>
  <c r="T22520" i="14"/>
  <c r="P22520" i="14"/>
  <c r="E22520" i="14"/>
  <c r="AH22519" i="14"/>
  <c r="V22519" i="14"/>
  <c r="P22519" i="14"/>
  <c r="E22519" i="14"/>
  <c r="AH22518" i="14"/>
  <c r="V22518" i="14"/>
  <c r="P22518" i="14"/>
  <c r="E22518" i="14"/>
  <c r="AH22517" i="14"/>
  <c r="V22517" i="14"/>
  <c r="T22517" i="14"/>
  <c r="P22517" i="14"/>
  <c r="E22517" i="14"/>
  <c r="AH22516" i="14"/>
  <c r="V22516" i="14"/>
  <c r="T22516" i="14"/>
  <c r="P22516" i="14"/>
  <c r="E22516" i="14"/>
  <c r="AH22515" i="14"/>
  <c r="V22515" i="14"/>
  <c r="P22515" i="14"/>
  <c r="M22515" i="14"/>
  <c r="E22515" i="14"/>
  <c r="AH22514" i="14"/>
  <c r="AG22514" i="14"/>
  <c r="AF22514" i="14"/>
  <c r="AE22514" i="14"/>
  <c r="V22514" i="14"/>
  <c r="T22514" i="14"/>
  <c r="P22514" i="14"/>
  <c r="E22514" i="14"/>
  <c r="AH22513" i="14"/>
  <c r="V22513" i="14"/>
  <c r="T22513" i="14"/>
  <c r="P22513" i="14"/>
  <c r="E22513" i="14"/>
  <c r="AH22512" i="14"/>
  <c r="V22512" i="14"/>
  <c r="T22512" i="14"/>
  <c r="P22512" i="14"/>
  <c r="E22512" i="14"/>
  <c r="AH22511" i="14"/>
  <c r="T22511" i="14"/>
  <c r="P22511" i="14"/>
  <c r="E22511" i="14"/>
  <c r="AH22510" i="14"/>
  <c r="V22510" i="14"/>
  <c r="T22510" i="14"/>
  <c r="P22510" i="14"/>
  <c r="E22510" i="14"/>
  <c r="AH22509" i="14"/>
  <c r="V22509" i="14"/>
  <c r="T22509" i="14"/>
  <c r="P22509" i="14"/>
  <c r="E22509" i="14"/>
  <c r="AH22508" i="14"/>
  <c r="V22508" i="14"/>
  <c r="T22508" i="14"/>
  <c r="P22508" i="14"/>
  <c r="E22508" i="14"/>
  <c r="AH22507" i="14"/>
  <c r="V22507" i="14"/>
  <c r="T22507" i="14"/>
  <c r="P22507" i="14"/>
  <c r="E22507" i="14"/>
  <c r="AH22506" i="14"/>
  <c r="V22506" i="14"/>
  <c r="T22506" i="14"/>
  <c r="P22506" i="14"/>
  <c r="E22506" i="14"/>
  <c r="AH22505" i="14"/>
  <c r="V22505" i="14"/>
  <c r="T22505" i="14"/>
  <c r="P22505" i="14"/>
  <c r="E22505" i="14"/>
  <c r="AH22504" i="14"/>
  <c r="V22504" i="14"/>
  <c r="T22504" i="14"/>
  <c r="P22504" i="14"/>
  <c r="E22504" i="14"/>
  <c r="AH22503" i="14"/>
  <c r="V22503" i="14"/>
  <c r="T22503" i="14"/>
  <c r="P22503" i="14"/>
  <c r="E22503" i="14"/>
  <c r="AH22502" i="14"/>
  <c r="V22502" i="14"/>
  <c r="T22502" i="14"/>
  <c r="P22502" i="14"/>
  <c r="E22502" i="14"/>
  <c r="AH22501" i="14"/>
  <c r="V22501" i="14"/>
  <c r="P22501" i="14"/>
  <c r="E22501" i="14"/>
  <c r="AH22500" i="14"/>
  <c r="V22500" i="14"/>
  <c r="T22500" i="14"/>
  <c r="P22500" i="14"/>
  <c r="E22500" i="14"/>
  <c r="AH22499" i="14"/>
  <c r="T22499" i="14"/>
  <c r="E22499" i="14"/>
  <c r="AH22498" i="14"/>
  <c r="V22498" i="14"/>
  <c r="T22498" i="14"/>
  <c r="P22498" i="14"/>
  <c r="E22498" i="14"/>
  <c r="AH22497" i="14"/>
  <c r="V22497" i="14"/>
  <c r="T22497" i="14"/>
  <c r="P22497" i="14"/>
  <c r="E22497" i="14"/>
  <c r="AH22496" i="14"/>
  <c r="T22496" i="14"/>
  <c r="P22496" i="14"/>
  <c r="E22496" i="14"/>
  <c r="AH22495" i="14"/>
  <c r="V22495" i="14"/>
  <c r="T22495" i="14"/>
  <c r="P22495" i="14"/>
  <c r="E22495" i="14"/>
  <c r="AH22494" i="14"/>
  <c r="V22494" i="14"/>
  <c r="T22494" i="14"/>
  <c r="P22494" i="14"/>
  <c r="E22494" i="14"/>
  <c r="AH22493" i="14"/>
  <c r="V22493" i="14"/>
  <c r="T22493" i="14"/>
  <c r="P22493" i="14"/>
  <c r="E22493" i="14"/>
  <c r="AH22492" i="14"/>
  <c r="V22492" i="14"/>
  <c r="P22492" i="14"/>
  <c r="E22492" i="14"/>
  <c r="AH22491" i="14"/>
  <c r="V22491" i="14"/>
  <c r="T22491" i="14"/>
  <c r="P22491" i="14"/>
  <c r="E22491" i="14"/>
  <c r="AH22490" i="14"/>
  <c r="V22490" i="14"/>
  <c r="P22490" i="14"/>
  <c r="E22490" i="14"/>
  <c r="AH22489" i="14"/>
  <c r="V22489" i="14"/>
  <c r="T22489" i="14"/>
  <c r="P22489" i="14"/>
  <c r="E22489" i="14"/>
  <c r="AH22488" i="14"/>
  <c r="V22488" i="14"/>
  <c r="T22488" i="14"/>
  <c r="P22488" i="14"/>
  <c r="E22488" i="14"/>
  <c r="AH22487" i="14"/>
  <c r="V22487" i="14"/>
  <c r="T22487" i="14"/>
  <c r="P22487" i="14"/>
  <c r="E22487" i="14"/>
  <c r="AH22486" i="14"/>
  <c r="V22486" i="14"/>
  <c r="T22486" i="14"/>
  <c r="P22486" i="14"/>
  <c r="E22486" i="14"/>
  <c r="AH22485" i="14"/>
  <c r="V22485" i="14"/>
  <c r="T22485" i="14"/>
  <c r="P22485" i="14"/>
  <c r="E22485" i="14"/>
  <c r="AH22484" i="14"/>
  <c r="V22484" i="14"/>
  <c r="T22484" i="14"/>
  <c r="P22484" i="14"/>
  <c r="E22484" i="14"/>
  <c r="AH22483" i="14"/>
  <c r="V22483" i="14"/>
  <c r="T22483" i="14"/>
  <c r="P22483" i="14"/>
  <c r="E22483" i="14"/>
  <c r="AH22482" i="14"/>
  <c r="V22482" i="14"/>
  <c r="T22482" i="14"/>
  <c r="P22482" i="14"/>
  <c r="E22482" i="14"/>
  <c r="AH22481" i="14"/>
  <c r="V22481" i="14"/>
  <c r="T22481" i="14"/>
  <c r="P22481" i="14"/>
  <c r="E22481" i="14"/>
  <c r="AH22480" i="14"/>
  <c r="V22480" i="14"/>
  <c r="P22480" i="14"/>
  <c r="E22480" i="14"/>
  <c r="AH22479" i="14"/>
  <c r="V22479" i="14"/>
  <c r="P22479" i="14"/>
  <c r="E22479" i="14"/>
  <c r="AH22478" i="14"/>
  <c r="V22478" i="14"/>
  <c r="T22478" i="14"/>
  <c r="P22478" i="14"/>
  <c r="E22478" i="14"/>
  <c r="AH22477" i="14"/>
  <c r="AG22477" i="14"/>
  <c r="AE22477" i="14"/>
  <c r="V22477" i="14"/>
  <c r="T22477" i="14"/>
  <c r="P22477" i="14"/>
  <c r="L22477" i="14"/>
  <c r="K22477" i="14"/>
  <c r="I22477" i="14"/>
  <c r="E22477" i="14"/>
  <c r="AH22476" i="14"/>
  <c r="V22476" i="14"/>
  <c r="T22476" i="14"/>
  <c r="P22476" i="14"/>
  <c r="E22476" i="14"/>
  <c r="AH22475" i="14"/>
  <c r="V22475" i="14"/>
  <c r="P22475" i="14"/>
  <c r="E22475" i="14"/>
  <c r="AH22474" i="14"/>
  <c r="V22474" i="14"/>
  <c r="T22474" i="14"/>
  <c r="P22474" i="14"/>
  <c r="E22474" i="14"/>
  <c r="AH22473" i="14"/>
  <c r="V22473" i="14"/>
  <c r="T22473" i="14"/>
  <c r="P22473" i="14"/>
  <c r="E22473" i="14"/>
  <c r="AH22472" i="14"/>
  <c r="V22472" i="14"/>
  <c r="T22472" i="14"/>
  <c r="P22472" i="14"/>
  <c r="E22472" i="14"/>
  <c r="AH22471" i="14"/>
  <c r="V22471" i="14"/>
  <c r="T22471" i="14"/>
  <c r="P22471" i="14"/>
  <c r="E22471" i="14"/>
  <c r="AH22470" i="14"/>
  <c r="V22470" i="14"/>
  <c r="T22470" i="14"/>
  <c r="P22470" i="14"/>
  <c r="E22470" i="14"/>
  <c r="AK22469" i="14"/>
  <c r="AH22469" i="14"/>
  <c r="V22469" i="14"/>
  <c r="T22469" i="14"/>
  <c r="P22469" i="14"/>
  <c r="K22469" i="14"/>
  <c r="E22469" i="14"/>
  <c r="AH22468" i="14"/>
  <c r="AG22468" i="14"/>
  <c r="AF22468" i="14"/>
  <c r="AE22468" i="14"/>
  <c r="V22468" i="14"/>
  <c r="T22468" i="14"/>
  <c r="P22468" i="14"/>
  <c r="L22468" i="14"/>
  <c r="K22468" i="14"/>
  <c r="I22468" i="14"/>
  <c r="E22468" i="14"/>
  <c r="AH22467" i="14"/>
  <c r="AG22467" i="14"/>
  <c r="AF22467" i="14"/>
  <c r="AE22467" i="14"/>
  <c r="V22467" i="14"/>
  <c r="T22467" i="14"/>
  <c r="P22467" i="14"/>
  <c r="E22467" i="14"/>
  <c r="AH22466" i="14"/>
  <c r="P22466" i="14"/>
  <c r="O22466" i="14"/>
  <c r="E22466" i="14"/>
  <c r="AH22465" i="14"/>
  <c r="V22465" i="14"/>
  <c r="T22465" i="14"/>
  <c r="P22465" i="14"/>
  <c r="E22465" i="14"/>
  <c r="AH22464" i="14"/>
  <c r="V22464" i="14"/>
  <c r="T22464" i="14"/>
  <c r="P22464" i="14"/>
  <c r="E22464" i="14"/>
  <c r="AH22463" i="14"/>
  <c r="V22463" i="14"/>
  <c r="P22463" i="14"/>
  <c r="E22463" i="14"/>
  <c r="AH22462" i="14"/>
  <c r="V22462" i="14"/>
  <c r="E22462" i="14"/>
  <c r="AH22461" i="14"/>
  <c r="V22461" i="14"/>
  <c r="T22461" i="14"/>
  <c r="E22461" i="14"/>
  <c r="AH22460" i="14"/>
  <c r="V22460" i="14"/>
  <c r="T22460" i="14"/>
  <c r="P22460" i="14"/>
  <c r="E22460" i="14"/>
  <c r="AH22459" i="14"/>
  <c r="V22459" i="14"/>
  <c r="T22459" i="14"/>
  <c r="P22459" i="14"/>
  <c r="E22459" i="14"/>
  <c r="AH22458" i="14"/>
  <c r="V22458" i="14"/>
  <c r="T22458" i="14"/>
  <c r="P22458" i="14"/>
  <c r="E22458" i="14"/>
  <c r="AH22457" i="14"/>
  <c r="V22457" i="14"/>
  <c r="T22457" i="14"/>
  <c r="P22457" i="14"/>
  <c r="E22457" i="14"/>
  <c r="AH22456" i="14"/>
  <c r="V22456" i="14"/>
  <c r="T22456" i="14"/>
  <c r="P22456" i="14"/>
  <c r="E22456" i="14"/>
  <c r="AH22455" i="14"/>
  <c r="V22455" i="14"/>
  <c r="T22455" i="14"/>
  <c r="P22455" i="14"/>
  <c r="E22455" i="14"/>
  <c r="AH22454" i="14"/>
  <c r="V22454" i="14"/>
  <c r="T22454" i="14"/>
  <c r="P22454" i="14"/>
  <c r="E22454" i="14"/>
  <c r="AH22453" i="14"/>
  <c r="V22453" i="14"/>
  <c r="T22453" i="14"/>
  <c r="P22453" i="14"/>
  <c r="E22453" i="14"/>
  <c r="AH22452" i="14"/>
  <c r="V22452" i="14"/>
  <c r="T22452" i="14"/>
  <c r="P22452" i="14"/>
  <c r="E22452" i="14"/>
  <c r="AH22451" i="14"/>
  <c r="T22451" i="14"/>
  <c r="Q22451" i="14"/>
  <c r="E22451" i="14"/>
  <c r="AH22450" i="14"/>
  <c r="T22450" i="14"/>
  <c r="E22450" i="14"/>
  <c r="AH22449" i="14"/>
  <c r="T22449" i="14"/>
  <c r="Q22449" i="14"/>
  <c r="E22449" i="14"/>
  <c r="AH22448" i="14"/>
  <c r="W22448" i="14"/>
  <c r="V22448" i="14"/>
  <c r="T22448" i="14"/>
  <c r="Q22448" i="14"/>
  <c r="P22448" i="14"/>
  <c r="O22448" i="14"/>
  <c r="M22448" i="14"/>
  <c r="E22448" i="14"/>
  <c r="AH22447" i="14"/>
  <c r="Q22447" i="14"/>
  <c r="E22447" i="14"/>
  <c r="AH22446" i="14"/>
  <c r="T22446" i="14"/>
  <c r="Q22446" i="14"/>
  <c r="O22446" i="14"/>
  <c r="E22446" i="14"/>
  <c r="AH22445" i="14"/>
  <c r="T22445" i="14"/>
  <c r="Q22445" i="14"/>
  <c r="O22445" i="14"/>
  <c r="E22445" i="14"/>
  <c r="AH22444" i="14"/>
  <c r="T22444" i="14"/>
  <c r="P22444" i="14"/>
  <c r="E22444" i="14"/>
  <c r="AH22443" i="14"/>
  <c r="Q22443" i="14"/>
  <c r="E22443" i="14"/>
  <c r="AH22442" i="14"/>
  <c r="V22442" i="14"/>
  <c r="T22442" i="14"/>
  <c r="P22442" i="14"/>
  <c r="E22442" i="14"/>
  <c r="AH22441" i="14"/>
  <c r="V22441" i="14"/>
  <c r="P22441" i="14"/>
  <c r="E22441" i="14"/>
  <c r="AH22440" i="14"/>
  <c r="V22440" i="14"/>
  <c r="T22440" i="14"/>
  <c r="P22440" i="14"/>
  <c r="E22440" i="14"/>
  <c r="AH22439" i="14"/>
  <c r="V22439" i="14"/>
  <c r="T22439" i="14"/>
  <c r="P22439" i="14"/>
  <c r="E22439" i="14"/>
  <c r="AH22438" i="14"/>
  <c r="V22438" i="14"/>
  <c r="P22438" i="14"/>
  <c r="E22438" i="14"/>
  <c r="AH22437" i="14"/>
  <c r="V22437" i="14"/>
  <c r="T22437" i="14"/>
  <c r="P22437" i="14"/>
  <c r="E22437" i="14"/>
  <c r="AH22436" i="14"/>
  <c r="V22436" i="14"/>
  <c r="T22436" i="14"/>
  <c r="P22436" i="14"/>
  <c r="E22436" i="14"/>
  <c r="AH22435" i="14"/>
  <c r="P22435" i="14"/>
  <c r="E22435" i="14"/>
  <c r="AH22434" i="14"/>
  <c r="V22434" i="14"/>
  <c r="P22434" i="14"/>
  <c r="E22434" i="14"/>
  <c r="AH22433" i="14"/>
  <c r="V22433" i="14"/>
  <c r="T22433" i="14"/>
  <c r="P22433" i="14"/>
  <c r="E22433" i="14"/>
  <c r="AH22432" i="14"/>
  <c r="V22432" i="14"/>
  <c r="T22432" i="14"/>
  <c r="P22432" i="14"/>
  <c r="E22432" i="14"/>
  <c r="AH22431" i="14"/>
  <c r="V22431" i="14"/>
  <c r="T22431" i="14"/>
  <c r="P22431" i="14"/>
  <c r="E22431" i="14"/>
  <c r="AH22430" i="14"/>
  <c r="V22430" i="14"/>
  <c r="T22430" i="14"/>
  <c r="P22430" i="14"/>
  <c r="E22430" i="14"/>
  <c r="AH22429" i="14"/>
  <c r="T22429" i="14"/>
  <c r="P22429" i="14"/>
  <c r="E22429" i="14"/>
  <c r="AH22428" i="14"/>
  <c r="V22428" i="14"/>
  <c r="P22428" i="14"/>
  <c r="E22428" i="14"/>
  <c r="AH22427" i="14"/>
  <c r="V22427" i="14"/>
  <c r="T22427" i="14"/>
  <c r="E22427" i="14"/>
  <c r="AH22426" i="14"/>
  <c r="V22426" i="14"/>
  <c r="T22426" i="14"/>
  <c r="P22426" i="14"/>
  <c r="E22426" i="14"/>
  <c r="AH22425" i="14"/>
  <c r="V22425" i="14"/>
  <c r="T22425" i="14"/>
  <c r="P22425" i="14"/>
  <c r="E22425" i="14"/>
  <c r="AH22424" i="14"/>
  <c r="T22424" i="14"/>
  <c r="P22424" i="14"/>
  <c r="E22424" i="14"/>
  <c r="AH22423" i="14"/>
  <c r="T22423" i="14"/>
  <c r="P22423" i="14"/>
  <c r="E22423" i="14"/>
  <c r="AH22422" i="14"/>
  <c r="V22422" i="14"/>
  <c r="T22422" i="14"/>
  <c r="P22422" i="14"/>
  <c r="E22422" i="14"/>
  <c r="AH22421" i="14"/>
  <c r="V22421" i="14"/>
  <c r="T22421" i="14"/>
  <c r="P22421" i="14"/>
  <c r="E22421" i="14"/>
  <c r="AH22420" i="14"/>
  <c r="V22420" i="14"/>
  <c r="T22420" i="14"/>
  <c r="P22420" i="14"/>
  <c r="E22420" i="14"/>
  <c r="AH22419" i="14"/>
  <c r="T22419" i="14"/>
  <c r="P22419" i="14"/>
  <c r="E22419" i="14"/>
  <c r="AH22418" i="14"/>
  <c r="V22418" i="14"/>
  <c r="T22418" i="14"/>
  <c r="P22418" i="14"/>
  <c r="E22418" i="14"/>
  <c r="AH22417" i="14"/>
  <c r="V22417" i="14"/>
  <c r="T22417" i="14"/>
  <c r="P22417" i="14"/>
  <c r="E22417" i="14"/>
  <c r="AH22416" i="14"/>
  <c r="V22416" i="14"/>
  <c r="T22416" i="14"/>
  <c r="P22416" i="14"/>
  <c r="E22416" i="14"/>
  <c r="AH22415" i="14"/>
  <c r="V22415" i="14"/>
  <c r="T22415" i="14"/>
  <c r="E22415" i="14"/>
  <c r="AH22414" i="14"/>
  <c r="V22414" i="14"/>
  <c r="T22414" i="14"/>
  <c r="P22414" i="14"/>
  <c r="E22414" i="14"/>
  <c r="AH22413" i="14"/>
  <c r="V22413" i="14"/>
  <c r="T22413" i="14"/>
  <c r="P22413" i="14"/>
  <c r="E22413" i="14"/>
  <c r="AH22412" i="14"/>
  <c r="V22412" i="14"/>
  <c r="T22412" i="14"/>
  <c r="P22412" i="14"/>
  <c r="E22412" i="14"/>
  <c r="AH22411" i="14"/>
  <c r="V22411" i="14"/>
  <c r="P22411" i="14"/>
  <c r="E22411" i="14"/>
  <c r="AH22410" i="14"/>
  <c r="V22410" i="14"/>
  <c r="T22410" i="14"/>
  <c r="P22410" i="14"/>
  <c r="E22410" i="14"/>
  <c r="AH22409" i="14"/>
  <c r="V22409" i="14"/>
  <c r="P22409" i="14"/>
  <c r="E22409" i="14"/>
  <c r="AH22408" i="14"/>
  <c r="V22408" i="14"/>
  <c r="P22408" i="14"/>
  <c r="E22408" i="14"/>
  <c r="AH22407" i="14"/>
  <c r="V22407" i="14"/>
  <c r="P22407" i="14"/>
  <c r="E22407" i="14"/>
  <c r="AH22406" i="14"/>
  <c r="V22406" i="14"/>
  <c r="P22406" i="14"/>
  <c r="E22406" i="14"/>
  <c r="AH22405" i="14"/>
  <c r="V22405" i="14"/>
  <c r="T22405" i="14"/>
  <c r="P22405" i="14"/>
  <c r="E22405" i="14"/>
  <c r="AH22404" i="14"/>
  <c r="V22404" i="14"/>
  <c r="T22404" i="14"/>
  <c r="P22404" i="14"/>
  <c r="E22404" i="14"/>
  <c r="AH22403" i="14"/>
  <c r="V22403" i="14"/>
  <c r="T22403" i="14"/>
  <c r="P22403" i="14"/>
  <c r="E22403" i="14"/>
  <c r="AH22402" i="14"/>
  <c r="V22402" i="14"/>
  <c r="P22402" i="14"/>
  <c r="E22402" i="14"/>
  <c r="AH22401" i="14"/>
  <c r="V22401" i="14"/>
  <c r="T22401" i="14"/>
  <c r="P22401" i="14"/>
  <c r="E22401" i="14"/>
  <c r="AH22400" i="14"/>
  <c r="AE22400" i="14"/>
  <c r="T22400" i="14"/>
  <c r="P22400" i="14"/>
  <c r="E22400" i="14"/>
  <c r="AH22399" i="14"/>
  <c r="V22399" i="14"/>
  <c r="T22399" i="14"/>
  <c r="E22399" i="14"/>
  <c r="AH22398" i="14"/>
  <c r="V22398" i="14"/>
  <c r="T22398" i="14"/>
  <c r="P22398" i="14"/>
  <c r="E22398" i="14"/>
  <c r="AH22397" i="14"/>
  <c r="V22397" i="14"/>
  <c r="T22397" i="14"/>
  <c r="E22397" i="14"/>
  <c r="AH22396" i="14"/>
  <c r="T22396" i="14"/>
  <c r="E22396" i="14"/>
  <c r="AH22395" i="14"/>
  <c r="V22395" i="14"/>
  <c r="T22395" i="14"/>
  <c r="P22395" i="14"/>
  <c r="O22395" i="14"/>
  <c r="E22395" i="14"/>
  <c r="AH22394" i="14"/>
  <c r="V22394" i="14"/>
  <c r="T22394" i="14"/>
  <c r="P22394" i="14"/>
  <c r="E22394" i="14"/>
  <c r="AH22393" i="14"/>
  <c r="V22393" i="14"/>
  <c r="T22393" i="14"/>
  <c r="E22393" i="14"/>
  <c r="AH22392" i="14"/>
  <c r="V22392" i="14"/>
  <c r="T22392" i="14"/>
  <c r="P22392" i="14"/>
  <c r="E22392" i="14"/>
  <c r="AH22391" i="14"/>
  <c r="V22391" i="14"/>
  <c r="T22391" i="14"/>
  <c r="P22391" i="14"/>
  <c r="E22391" i="14"/>
  <c r="AH22390" i="14"/>
  <c r="V22390" i="14"/>
  <c r="T22390" i="14"/>
  <c r="P22390" i="14"/>
  <c r="E22390" i="14"/>
  <c r="AH22389" i="14"/>
  <c r="E22389" i="14"/>
  <c r="AH22388" i="14"/>
  <c r="V22388" i="14"/>
  <c r="T22388" i="14"/>
  <c r="E22388" i="14"/>
  <c r="AH22387" i="14"/>
  <c r="V22387" i="14"/>
  <c r="E22387" i="14"/>
  <c r="AH22386" i="14"/>
  <c r="V22386" i="14"/>
  <c r="T22386" i="14"/>
  <c r="E22386" i="14"/>
  <c r="AH22385" i="14"/>
  <c r="T22385" i="14"/>
  <c r="E22385" i="14"/>
  <c r="AH22384" i="14"/>
  <c r="V22384" i="14"/>
  <c r="T22384" i="14"/>
  <c r="E22384" i="14"/>
  <c r="AH22383" i="14"/>
  <c r="V22383" i="14"/>
  <c r="T22383" i="14"/>
  <c r="E22383" i="14"/>
  <c r="AH22382" i="14"/>
  <c r="T22382" i="14"/>
  <c r="E22382" i="14"/>
  <c r="AH22381" i="14"/>
  <c r="E22381" i="14"/>
  <c r="AH22380" i="14"/>
  <c r="V22380" i="14"/>
  <c r="T22380" i="14"/>
  <c r="E22380" i="14"/>
  <c r="AH22379" i="14"/>
  <c r="V22379" i="14"/>
  <c r="T22379" i="14"/>
  <c r="E22379" i="14"/>
  <c r="AH22378" i="14"/>
  <c r="T22378" i="14"/>
  <c r="E22378" i="14"/>
  <c r="AH22377" i="14"/>
  <c r="E22377" i="14"/>
  <c r="AH22376" i="14"/>
  <c r="T22376" i="14"/>
  <c r="E22376" i="14"/>
  <c r="AH22375" i="14"/>
  <c r="T22375" i="14"/>
  <c r="E22375" i="14"/>
  <c r="AH22374" i="14"/>
  <c r="E22374" i="14"/>
  <c r="AH22373" i="14"/>
  <c r="V22373" i="14"/>
  <c r="T22373" i="14"/>
  <c r="E22373" i="14"/>
  <c r="AH22372" i="14"/>
  <c r="V22372" i="14"/>
  <c r="T22372" i="14"/>
  <c r="E22372" i="14"/>
  <c r="AH22371" i="14"/>
  <c r="V22371" i="14"/>
  <c r="T22371" i="14"/>
  <c r="E22371" i="14"/>
  <c r="AH22370" i="14"/>
  <c r="V22370" i="14"/>
  <c r="T22370" i="14"/>
  <c r="E22370" i="14"/>
  <c r="AH22369" i="14"/>
  <c r="V22369" i="14"/>
  <c r="T22369" i="14"/>
  <c r="E22369" i="14"/>
  <c r="AH22368" i="14"/>
  <c r="E22368" i="14"/>
  <c r="AH22367" i="14"/>
  <c r="V22367" i="14"/>
  <c r="E22367" i="14"/>
  <c r="AH22366" i="14"/>
  <c r="V22366" i="14"/>
  <c r="T22366" i="14"/>
  <c r="E22366" i="14"/>
  <c r="AH22365" i="14"/>
  <c r="V22365" i="14"/>
  <c r="T22365" i="14"/>
  <c r="E22365" i="14"/>
  <c r="AH22364" i="14"/>
  <c r="T22364" i="14"/>
  <c r="E22364" i="14"/>
  <c r="AH22363" i="14"/>
  <c r="V22363" i="14"/>
  <c r="T22363" i="14"/>
  <c r="E22363" i="14"/>
  <c r="AH22362" i="14"/>
  <c r="V22362" i="14"/>
  <c r="E22362" i="14"/>
  <c r="AH22361" i="14"/>
  <c r="V22361" i="14"/>
  <c r="T22361" i="14"/>
  <c r="E22361" i="14"/>
  <c r="AH22360" i="14"/>
  <c r="V22360" i="14"/>
  <c r="T22360" i="14"/>
  <c r="E22360" i="14"/>
  <c r="AH22359" i="14"/>
  <c r="V22359" i="14"/>
  <c r="T22359" i="14"/>
  <c r="E22359" i="14"/>
  <c r="AH22358" i="14"/>
  <c r="V22358" i="14"/>
  <c r="T22358" i="14"/>
  <c r="E22358" i="14"/>
  <c r="AH22357" i="14"/>
  <c r="E22357" i="14"/>
  <c r="AH22356" i="14"/>
  <c r="T22356" i="14"/>
  <c r="E22356" i="14"/>
  <c r="AH22355" i="14"/>
  <c r="V22355" i="14"/>
  <c r="T22355" i="14"/>
  <c r="E22355" i="14"/>
  <c r="AH22354" i="14"/>
  <c r="V22354" i="14"/>
  <c r="T22354" i="14"/>
  <c r="P22354" i="14"/>
  <c r="E22354" i="14"/>
  <c r="AH22353" i="14"/>
  <c r="V22353" i="14"/>
  <c r="P22353" i="14"/>
  <c r="O22353" i="14"/>
  <c r="E22353" i="14"/>
  <c r="AH22352" i="14"/>
  <c r="V22352" i="14"/>
  <c r="P22352" i="14"/>
  <c r="E22352" i="14"/>
  <c r="AH22351" i="14"/>
  <c r="V22351" i="14"/>
  <c r="P22351" i="14"/>
  <c r="E22351" i="14"/>
  <c r="AH22350" i="14"/>
  <c r="V22350" i="14"/>
  <c r="T22350" i="14"/>
  <c r="P22350" i="14"/>
  <c r="E22350" i="14"/>
  <c r="AH22349" i="14"/>
  <c r="V22349" i="14"/>
  <c r="T22349" i="14"/>
  <c r="P22349" i="14"/>
  <c r="E22349" i="14"/>
  <c r="AH22348" i="14"/>
  <c r="V22348" i="14"/>
  <c r="T22348" i="14"/>
  <c r="P22348" i="14"/>
  <c r="E22348" i="14"/>
  <c r="AH22347" i="14"/>
  <c r="V22347" i="14"/>
  <c r="P22347" i="14"/>
  <c r="E22347" i="14"/>
  <c r="AH22346" i="14"/>
  <c r="V22346" i="14"/>
  <c r="T22346" i="14"/>
  <c r="P22346" i="14"/>
  <c r="E22346" i="14"/>
  <c r="AH22345" i="14"/>
  <c r="V22345" i="14"/>
  <c r="T22345" i="14"/>
  <c r="P22345" i="14"/>
  <c r="E22345" i="14"/>
  <c r="AH22344" i="14"/>
  <c r="V22344" i="14"/>
  <c r="P22344" i="14"/>
  <c r="E22344" i="14"/>
  <c r="AH22343" i="14"/>
  <c r="V22343" i="14"/>
  <c r="P22343" i="14"/>
  <c r="E22343" i="14"/>
  <c r="AH22342" i="14"/>
  <c r="V22342" i="14"/>
  <c r="T22342" i="14"/>
  <c r="P22342" i="14"/>
  <c r="E22342" i="14"/>
  <c r="AH22341" i="14"/>
  <c r="V22341" i="14"/>
  <c r="T22341" i="14"/>
  <c r="P22341" i="14"/>
  <c r="E22341" i="14"/>
  <c r="AH22340" i="14"/>
  <c r="V22340" i="14"/>
  <c r="T22340" i="14"/>
  <c r="P22340" i="14"/>
  <c r="E22340" i="14"/>
  <c r="AH22339" i="14"/>
  <c r="V22339" i="14"/>
  <c r="T22339" i="14"/>
  <c r="P22339" i="14"/>
  <c r="E22339" i="14"/>
  <c r="AH22338" i="14"/>
  <c r="V22338" i="14"/>
  <c r="T22338" i="14"/>
  <c r="P22338" i="14"/>
  <c r="E22338" i="14"/>
  <c r="AH22337" i="14"/>
  <c r="V22337" i="14"/>
  <c r="T22337" i="14"/>
  <c r="P22337" i="14"/>
  <c r="E22337" i="14"/>
  <c r="AH22336" i="14"/>
  <c r="V22336" i="14"/>
  <c r="P22336" i="14"/>
  <c r="E22336" i="14"/>
  <c r="AH22335" i="14"/>
  <c r="V22335" i="14"/>
  <c r="T22335" i="14"/>
  <c r="P22335" i="14"/>
  <c r="E22335" i="14"/>
  <c r="AH22334" i="14"/>
  <c r="V22334" i="14"/>
  <c r="T22334" i="14"/>
  <c r="P22334" i="14"/>
  <c r="E22334" i="14"/>
  <c r="AH22333" i="14"/>
  <c r="V22333" i="14"/>
  <c r="P22333" i="14"/>
  <c r="E22333" i="14"/>
  <c r="AH22332" i="14"/>
  <c r="V22332" i="14"/>
  <c r="T22332" i="14"/>
  <c r="P22332" i="14"/>
  <c r="E22332" i="14"/>
  <c r="AH22331" i="14"/>
  <c r="V22331" i="14"/>
  <c r="T22331" i="14"/>
  <c r="P22331" i="14"/>
  <c r="E22331" i="14"/>
  <c r="AH22330" i="14"/>
  <c r="AG22330" i="14"/>
  <c r="AF22330" i="14"/>
  <c r="AE22330" i="14"/>
  <c r="V22330" i="14"/>
  <c r="T22330" i="14"/>
  <c r="P22330" i="14"/>
  <c r="E22330" i="14"/>
  <c r="AH22329" i="14"/>
  <c r="V22329" i="14"/>
  <c r="T22329" i="14"/>
  <c r="P22329" i="14"/>
  <c r="E22329" i="14"/>
  <c r="AH22328" i="14"/>
  <c r="V22328" i="14"/>
  <c r="P22328" i="14"/>
  <c r="E22328" i="14"/>
  <c r="AH22327" i="14"/>
  <c r="V22327" i="14"/>
  <c r="T22327" i="14"/>
  <c r="P22327" i="14"/>
  <c r="E22327" i="14"/>
  <c r="AH22326" i="14"/>
  <c r="V22326" i="14"/>
  <c r="T22326" i="14"/>
  <c r="P22326" i="14"/>
  <c r="E22326" i="14"/>
  <c r="AH22325" i="14"/>
  <c r="T22325" i="14"/>
  <c r="P22325" i="14"/>
  <c r="O22325" i="14"/>
  <c r="E22325" i="14"/>
  <c r="AH22324" i="14"/>
  <c r="V22324" i="14"/>
  <c r="T22324" i="14"/>
  <c r="P22324" i="14"/>
  <c r="E22324" i="14"/>
  <c r="AH22323" i="14"/>
  <c r="V22323" i="14"/>
  <c r="T22323" i="14"/>
  <c r="P22323" i="14"/>
  <c r="E22323" i="14"/>
  <c r="AH22322" i="14"/>
  <c r="T22322" i="14"/>
  <c r="P22322" i="14"/>
  <c r="E22322" i="14"/>
  <c r="AH22321" i="14"/>
  <c r="V22321" i="14"/>
  <c r="T22321" i="14"/>
  <c r="P22321" i="14"/>
  <c r="E22321" i="14"/>
  <c r="AH22320" i="14"/>
  <c r="V22320" i="14"/>
  <c r="T22320" i="14"/>
  <c r="P22320" i="14"/>
  <c r="E22320" i="14"/>
  <c r="AH22319" i="14"/>
  <c r="V22319" i="14"/>
  <c r="T22319" i="14"/>
  <c r="P22319" i="14"/>
  <c r="E22319" i="14"/>
  <c r="AH22318" i="14"/>
  <c r="P22318" i="14"/>
  <c r="E22318" i="14"/>
  <c r="AH22317" i="14"/>
  <c r="V22317" i="14"/>
  <c r="T22317" i="14"/>
  <c r="P22317" i="14"/>
  <c r="E22317" i="14"/>
  <c r="AH22316" i="14"/>
  <c r="V22316" i="14"/>
  <c r="P22316" i="14"/>
  <c r="E22316" i="14"/>
  <c r="AH22315" i="14"/>
  <c r="V22315" i="14"/>
  <c r="T22315" i="14"/>
  <c r="P22315" i="14"/>
  <c r="E22315" i="14"/>
  <c r="AH22314" i="14"/>
  <c r="V22314" i="14"/>
  <c r="T22314" i="14"/>
  <c r="P22314" i="14"/>
  <c r="E22314" i="14"/>
  <c r="AH22313" i="14"/>
  <c r="V22313" i="14"/>
  <c r="T22313" i="14"/>
  <c r="P22313" i="14"/>
  <c r="E22313" i="14"/>
  <c r="AH22312" i="14"/>
  <c r="V22312" i="14"/>
  <c r="T22312" i="14"/>
  <c r="P22312" i="14"/>
  <c r="E22312" i="14"/>
  <c r="AH22311" i="14"/>
  <c r="V22311" i="14"/>
  <c r="T22311" i="14"/>
  <c r="P22311" i="14"/>
  <c r="E22311" i="14"/>
  <c r="AH22310" i="14"/>
  <c r="V22310" i="14"/>
  <c r="T22310" i="14"/>
  <c r="P22310" i="14"/>
  <c r="E22310" i="14"/>
  <c r="AH22309" i="14"/>
  <c r="V22309" i="14"/>
  <c r="T22309" i="14"/>
  <c r="P22309" i="14"/>
  <c r="E22309" i="14"/>
  <c r="AH22308" i="14"/>
  <c r="T22308" i="14"/>
  <c r="P22308" i="14"/>
  <c r="E22308" i="14"/>
  <c r="AH22307" i="14"/>
  <c r="AE22307" i="14"/>
  <c r="P22307" i="14"/>
  <c r="E22307" i="14"/>
  <c r="AH22306" i="14"/>
  <c r="T22306" i="14"/>
  <c r="P22306" i="14"/>
  <c r="E22306" i="14"/>
  <c r="AH22305" i="14"/>
  <c r="V22305" i="14"/>
  <c r="P22305" i="14"/>
  <c r="M22305" i="14"/>
  <c r="E22305" i="14"/>
  <c r="AH22304" i="14"/>
  <c r="V22304" i="14"/>
  <c r="P22304" i="14"/>
  <c r="E22304" i="14"/>
  <c r="AH22303" i="14"/>
  <c r="V22303" i="14"/>
  <c r="T22303" i="14"/>
  <c r="P22303" i="14"/>
  <c r="E22303" i="14"/>
  <c r="AH22302" i="14"/>
  <c r="V22302" i="14"/>
  <c r="P22302" i="14"/>
  <c r="E22302" i="14"/>
  <c r="AH22301" i="14"/>
  <c r="V22301" i="14"/>
  <c r="T22301" i="14"/>
  <c r="P22301" i="14"/>
  <c r="E22301" i="14"/>
  <c r="AH22300" i="14"/>
  <c r="V22300" i="14"/>
  <c r="P22300" i="14"/>
  <c r="O22300" i="14"/>
  <c r="E22300" i="14"/>
  <c r="AH22299" i="14"/>
  <c r="V22299" i="14"/>
  <c r="P22299" i="14"/>
  <c r="E22299" i="14"/>
  <c r="AH22298" i="14"/>
  <c r="V22298" i="14"/>
  <c r="P22298" i="14"/>
  <c r="E22298" i="14"/>
  <c r="AH22297" i="14"/>
  <c r="V22297" i="14"/>
  <c r="T22297" i="14"/>
  <c r="P22297" i="14"/>
  <c r="E22297" i="14"/>
  <c r="AH22296" i="14"/>
  <c r="T22296" i="14"/>
  <c r="P22296" i="14"/>
  <c r="E22296" i="14"/>
  <c r="AH22295" i="14"/>
  <c r="V22295" i="14"/>
  <c r="T22295" i="14"/>
  <c r="P22295" i="14"/>
  <c r="E22295" i="14"/>
  <c r="AH22294" i="14"/>
  <c r="V22294" i="14"/>
  <c r="T22294" i="14"/>
  <c r="P22294" i="14"/>
  <c r="E22294" i="14"/>
  <c r="AH22293" i="14"/>
  <c r="V22293" i="14"/>
  <c r="T22293" i="14"/>
  <c r="P22293" i="14"/>
  <c r="E22293" i="14"/>
  <c r="AH22292" i="14"/>
  <c r="V22292" i="14"/>
  <c r="T22292" i="14"/>
  <c r="P22292" i="14"/>
  <c r="E22292" i="14"/>
  <c r="AH22291" i="14"/>
  <c r="V22291" i="14"/>
  <c r="T22291" i="14"/>
  <c r="P22291" i="14"/>
  <c r="E22291" i="14"/>
  <c r="AH22290" i="14"/>
  <c r="T22290" i="14"/>
  <c r="P22290" i="14"/>
  <c r="E22290" i="14"/>
  <c r="AH22289" i="14"/>
  <c r="T22289" i="14"/>
  <c r="P22289" i="14"/>
  <c r="E22289" i="14"/>
  <c r="AH22288" i="14"/>
  <c r="V22288" i="14"/>
  <c r="T22288" i="14"/>
  <c r="P22288" i="14"/>
  <c r="E22288" i="14"/>
  <c r="AH22287" i="14"/>
  <c r="V22287" i="14"/>
  <c r="P22287" i="14"/>
  <c r="E22287" i="14"/>
  <c r="AH22286" i="14"/>
  <c r="V22286" i="14"/>
  <c r="T22286" i="14"/>
  <c r="P22286" i="14"/>
  <c r="E22286" i="14"/>
  <c r="AH22285" i="14"/>
  <c r="V22285" i="14"/>
  <c r="P22285" i="14"/>
  <c r="E22285" i="14"/>
  <c r="AH22284" i="14"/>
  <c r="V22284" i="14"/>
  <c r="T22284" i="14"/>
  <c r="P22284" i="14"/>
  <c r="E22284" i="14"/>
  <c r="AH22283" i="14"/>
  <c r="V22283" i="14"/>
  <c r="T22283" i="14"/>
  <c r="P22283" i="14"/>
  <c r="E22283" i="14"/>
  <c r="AH22282" i="14"/>
  <c r="V22282" i="14"/>
  <c r="T22282" i="14"/>
  <c r="P22282" i="14"/>
  <c r="E22282" i="14"/>
  <c r="AH22281" i="14"/>
  <c r="V22281" i="14"/>
  <c r="T22281" i="14"/>
  <c r="P22281" i="14"/>
  <c r="E22281" i="14"/>
  <c r="AH22280" i="14"/>
  <c r="V22280" i="14"/>
  <c r="P22280" i="14"/>
  <c r="E22280" i="14"/>
  <c r="AH22279" i="14"/>
  <c r="V22279" i="14"/>
  <c r="T22279" i="14"/>
  <c r="P22279" i="14"/>
  <c r="E22279" i="14"/>
  <c r="AH22278" i="14"/>
  <c r="V22278" i="14"/>
  <c r="P22278" i="14"/>
  <c r="O22278" i="14"/>
  <c r="E22278" i="14"/>
  <c r="AH22277" i="14"/>
  <c r="V22277" i="14"/>
  <c r="T22277" i="14"/>
  <c r="P22277" i="14"/>
  <c r="E22277" i="14"/>
  <c r="AH22276" i="14"/>
  <c r="V22276" i="14"/>
  <c r="T22276" i="14"/>
  <c r="P22276" i="14"/>
  <c r="E22276" i="14"/>
  <c r="AH22275" i="14"/>
  <c r="V22275" i="14"/>
  <c r="T22275" i="14"/>
  <c r="P22275" i="14"/>
  <c r="E22275" i="14"/>
  <c r="AH22274" i="14"/>
  <c r="V22274" i="14"/>
  <c r="T22274" i="14"/>
  <c r="P22274" i="14"/>
  <c r="O22274" i="14"/>
  <c r="E22274" i="14"/>
  <c r="AH22273" i="14"/>
  <c r="V22273" i="14"/>
  <c r="T22273" i="14"/>
  <c r="P22273" i="14"/>
  <c r="E22273" i="14"/>
  <c r="AH22272" i="14"/>
  <c r="AG22272" i="14"/>
  <c r="AF22272" i="14"/>
  <c r="AE22272" i="14"/>
  <c r="V22272" i="14"/>
  <c r="T22272" i="14"/>
  <c r="L22272" i="14"/>
  <c r="K22272" i="14"/>
  <c r="I22272" i="14"/>
  <c r="E22272" i="14"/>
  <c r="AH22271" i="14"/>
  <c r="V22271" i="14"/>
  <c r="T22271" i="14"/>
  <c r="P22271" i="14"/>
  <c r="E22271" i="14"/>
  <c r="AH22270" i="14"/>
  <c r="V22270" i="14"/>
  <c r="T22270" i="14"/>
  <c r="P22270" i="14"/>
  <c r="E22270" i="14"/>
  <c r="AH22269" i="14"/>
  <c r="V22269" i="14"/>
  <c r="T22269" i="14"/>
  <c r="P22269" i="14"/>
  <c r="E22269" i="14"/>
  <c r="AH22268" i="14"/>
  <c r="V22268" i="14"/>
  <c r="T22268" i="14"/>
  <c r="P22268" i="14"/>
  <c r="E22268" i="14"/>
  <c r="AH22267" i="14"/>
  <c r="V22267" i="14"/>
  <c r="T22267" i="14"/>
  <c r="P22267" i="14"/>
  <c r="E22267" i="14"/>
  <c r="AH22266" i="14"/>
  <c r="V22266" i="14"/>
  <c r="T22266" i="14"/>
  <c r="P22266" i="14"/>
  <c r="E22266" i="14"/>
  <c r="AH22265" i="14"/>
  <c r="V22265" i="14"/>
  <c r="T22265" i="14"/>
  <c r="P22265" i="14"/>
  <c r="E22265" i="14"/>
  <c r="AH22264" i="14"/>
  <c r="V22264" i="14"/>
  <c r="T22264" i="14"/>
  <c r="P22264" i="14"/>
  <c r="E22264" i="14"/>
  <c r="AH22263" i="14"/>
  <c r="V22263" i="14"/>
  <c r="T22263" i="14"/>
  <c r="P22263" i="14"/>
  <c r="E22263" i="14"/>
  <c r="AH22262" i="14"/>
  <c r="V22262" i="14"/>
  <c r="T22262" i="14"/>
  <c r="P22262" i="14"/>
  <c r="E22262" i="14"/>
  <c r="AH22261" i="14"/>
  <c r="V22261" i="14"/>
  <c r="T22261" i="14"/>
  <c r="P22261" i="14"/>
  <c r="E22261" i="14"/>
  <c r="AH22260" i="14"/>
  <c r="V22260" i="14"/>
  <c r="T22260" i="14"/>
  <c r="P22260" i="14"/>
  <c r="E22260" i="14"/>
  <c r="AH22259" i="14"/>
  <c r="V22259" i="14"/>
  <c r="T22259" i="14"/>
  <c r="P22259" i="14"/>
  <c r="E22259" i="14"/>
  <c r="AH22258" i="14"/>
  <c r="V22258" i="14"/>
  <c r="T22258" i="14"/>
  <c r="P22258" i="14"/>
  <c r="E22258" i="14"/>
  <c r="AH22257" i="14"/>
  <c r="V22257" i="14"/>
  <c r="T22257" i="14"/>
  <c r="P22257" i="14"/>
  <c r="E22257" i="14"/>
  <c r="AH22256" i="14"/>
  <c r="T22256" i="14"/>
  <c r="Q22256" i="14"/>
  <c r="E22256" i="14"/>
  <c r="AH22255" i="14"/>
  <c r="E22255" i="14"/>
  <c r="AH22254" i="14"/>
  <c r="E22254" i="14"/>
  <c r="AH22253" i="14"/>
  <c r="E22253" i="14"/>
  <c r="AL22252" i="14"/>
  <c r="AH22252" i="14"/>
  <c r="T22252" i="14"/>
  <c r="Q22252" i="14"/>
  <c r="M22252" i="14"/>
  <c r="G22252" i="14"/>
  <c r="E22252" i="14"/>
  <c r="AH22251" i="14"/>
  <c r="T22251" i="14"/>
  <c r="G22251" i="14"/>
  <c r="E22251" i="14"/>
  <c r="AH22250" i="14"/>
  <c r="T22250" i="14"/>
  <c r="G22250" i="14"/>
  <c r="E22250" i="14"/>
  <c r="AL22249" i="14"/>
  <c r="AH22249" i="14"/>
  <c r="T22249" i="14"/>
  <c r="Q22249" i="14"/>
  <c r="P22249" i="14"/>
  <c r="G22249" i="14"/>
  <c r="E22249" i="14"/>
  <c r="AH22248" i="14"/>
  <c r="T22248" i="14"/>
  <c r="G22248" i="14"/>
  <c r="E22248" i="14"/>
  <c r="AL22247" i="14"/>
  <c r="AH22247" i="14"/>
  <c r="T22247" i="14"/>
  <c r="G22247" i="14"/>
  <c r="E22247" i="14"/>
  <c r="AL22246" i="14"/>
  <c r="AH22246" i="14"/>
  <c r="AE22246" i="14"/>
  <c r="Q22246" i="14"/>
  <c r="L22246" i="14"/>
  <c r="G22246" i="14"/>
  <c r="E22246" i="14"/>
  <c r="AL22245" i="14"/>
  <c r="AH22245" i="14"/>
  <c r="T22245" i="14"/>
  <c r="Q22245" i="14"/>
  <c r="P22245" i="14"/>
  <c r="G22245" i="14"/>
  <c r="E22245" i="14"/>
  <c r="AH22244" i="14"/>
  <c r="Q22244" i="14"/>
  <c r="E22244" i="14"/>
  <c r="AH22243" i="14"/>
  <c r="Q22243" i="14"/>
  <c r="O22243" i="14"/>
  <c r="E22243" i="14"/>
  <c r="AH22242" i="14"/>
  <c r="Q22242" i="14"/>
  <c r="E22242" i="14"/>
  <c r="AH22241" i="14"/>
  <c r="V22241" i="14"/>
  <c r="Q22241" i="14"/>
  <c r="E22241" i="14"/>
  <c r="AH22240" i="14"/>
  <c r="V22240" i="14"/>
  <c r="Q22240" i="14"/>
  <c r="L22240" i="14"/>
  <c r="E22240" i="14"/>
  <c r="AH22239" i="14"/>
  <c r="T22239" i="14"/>
  <c r="O22239" i="14"/>
  <c r="E22239" i="14"/>
  <c r="AH22238" i="14"/>
  <c r="T22238" i="14"/>
  <c r="Q22238" i="14"/>
  <c r="E22238" i="14"/>
  <c r="AH22237" i="14"/>
  <c r="T22237" i="14"/>
  <c r="Q22237" i="14"/>
  <c r="E22237" i="14"/>
  <c r="AH22236" i="14"/>
  <c r="E22236" i="14"/>
  <c r="AH22235" i="14"/>
  <c r="T22235" i="14"/>
  <c r="E22235" i="14"/>
  <c r="AH22234" i="14"/>
  <c r="O22234" i="14"/>
  <c r="E22234" i="14"/>
  <c r="AH22233" i="14"/>
  <c r="Q22233" i="14"/>
  <c r="E22233" i="14"/>
  <c r="AH22232" i="14"/>
  <c r="P22232" i="14"/>
  <c r="O22232" i="14"/>
  <c r="E22232" i="14"/>
  <c r="AH22231" i="14"/>
  <c r="U22231" i="14"/>
  <c r="T22231" i="14"/>
  <c r="Q22231" i="14"/>
  <c r="E22231" i="14"/>
  <c r="AH22230" i="14"/>
  <c r="Q22230" i="14"/>
  <c r="E22230" i="14"/>
  <c r="AH22229" i="14"/>
  <c r="T22229" i="14"/>
  <c r="Q22229" i="14"/>
  <c r="E22229" i="14"/>
  <c r="AH22228" i="14"/>
  <c r="O22228" i="14"/>
  <c r="E22228" i="14"/>
  <c r="AH22227" i="14"/>
  <c r="Q22227" i="14"/>
  <c r="E22227" i="14"/>
  <c r="AH22226" i="14"/>
  <c r="Q22226" i="14"/>
  <c r="E22226" i="14"/>
  <c r="AH22225" i="14"/>
  <c r="T22225" i="14"/>
  <c r="Q22225" i="14"/>
  <c r="O22225" i="14"/>
  <c r="E22225" i="14"/>
  <c r="AH22224" i="14"/>
  <c r="T22224" i="14"/>
  <c r="O22224" i="14"/>
  <c r="E22224" i="14"/>
  <c r="AH22223" i="14"/>
  <c r="T22223" i="14"/>
  <c r="Q22223" i="14"/>
  <c r="E22223" i="14"/>
  <c r="AH22222" i="14"/>
  <c r="T22222" i="14"/>
  <c r="Q22222" i="14"/>
  <c r="E22222" i="14"/>
  <c r="AH22221" i="14"/>
  <c r="Q22221" i="14"/>
  <c r="E22221" i="14"/>
  <c r="AH22220" i="14"/>
  <c r="T22220" i="14"/>
  <c r="Q22220" i="14"/>
  <c r="E22220" i="14"/>
  <c r="AH22219" i="14"/>
  <c r="AE22219" i="14"/>
  <c r="W22219" i="14"/>
  <c r="V22219" i="14"/>
  <c r="Q22219" i="14"/>
  <c r="M22219" i="14"/>
  <c r="E22219" i="14"/>
  <c r="AH22218" i="14"/>
  <c r="E22218" i="14"/>
  <c r="AH22217" i="14"/>
  <c r="T22217" i="14"/>
  <c r="Q22217" i="14"/>
  <c r="E22217" i="14"/>
  <c r="AH22216" i="14"/>
  <c r="AG22216" i="14"/>
  <c r="AF22216" i="14"/>
  <c r="AE22216" i="14"/>
  <c r="V22216" i="14"/>
  <c r="T22216" i="14"/>
  <c r="P22216" i="14"/>
  <c r="L22216" i="14"/>
  <c r="K22216" i="14"/>
  <c r="I22216" i="14"/>
  <c r="E22216" i="14"/>
  <c r="AH22215" i="14"/>
  <c r="T22215" i="14"/>
  <c r="Q22215" i="14"/>
  <c r="E22215" i="14"/>
  <c r="AH22214" i="14"/>
  <c r="T22214" i="14"/>
  <c r="Q22214" i="14"/>
  <c r="E22214" i="14"/>
  <c r="AH22213" i="14"/>
  <c r="T22213" i="14"/>
  <c r="E22213" i="14"/>
  <c r="AH22212" i="14"/>
  <c r="E22212" i="14"/>
  <c r="AH22211" i="14"/>
  <c r="U22211" i="14"/>
  <c r="T22211" i="14"/>
  <c r="M22211" i="14"/>
  <c r="E22211" i="14"/>
  <c r="AH22210" i="14"/>
  <c r="E22210" i="14"/>
  <c r="AH22209" i="14"/>
  <c r="T22209" i="14"/>
  <c r="E22209" i="14"/>
  <c r="AH22208" i="14"/>
  <c r="T22208" i="14"/>
  <c r="E22208" i="14"/>
  <c r="AH22207" i="14"/>
  <c r="T22207" i="14"/>
  <c r="E22207" i="14"/>
  <c r="AH22206" i="14"/>
  <c r="U22206" i="14"/>
  <c r="T22206" i="14"/>
  <c r="E22206" i="14"/>
  <c r="AH22205" i="14"/>
  <c r="T22205" i="14"/>
  <c r="E22205" i="14"/>
  <c r="AH22204" i="14"/>
  <c r="E22204" i="14"/>
  <c r="AH22203" i="14"/>
  <c r="E22203" i="14"/>
  <c r="AH22202" i="14"/>
  <c r="T22202" i="14"/>
  <c r="M22202" i="14"/>
  <c r="E22202" i="14"/>
  <c r="AH22201" i="14"/>
  <c r="T22201" i="14"/>
  <c r="E22201" i="14"/>
  <c r="AH22200" i="14"/>
  <c r="T22200" i="14"/>
  <c r="E22200" i="14"/>
  <c r="AH22199" i="14"/>
  <c r="T22199" i="14"/>
  <c r="E22199" i="14"/>
  <c r="AH22198" i="14"/>
  <c r="T22198" i="14"/>
  <c r="E22198" i="14"/>
  <c r="AH22197" i="14"/>
  <c r="T22197" i="14"/>
  <c r="E22197" i="14"/>
  <c r="AH22196" i="14"/>
  <c r="T22196" i="14"/>
  <c r="E22196" i="14"/>
  <c r="AH22195" i="14"/>
  <c r="E22195" i="14"/>
  <c r="AH22194" i="14"/>
  <c r="T22194" i="14"/>
  <c r="E22194" i="14"/>
  <c r="AH22193" i="14"/>
  <c r="T22193" i="14"/>
  <c r="E22193" i="14"/>
  <c r="AH22192" i="14"/>
  <c r="E22192" i="14"/>
  <c r="AH22191" i="14"/>
  <c r="T22191" i="14"/>
  <c r="E22191" i="14"/>
  <c r="AH22190" i="14"/>
  <c r="T22190" i="14"/>
  <c r="E22190" i="14"/>
  <c r="AH22189" i="14"/>
  <c r="E22189" i="14"/>
  <c r="AH22188" i="14"/>
  <c r="E22188" i="14"/>
  <c r="AH22187" i="14"/>
  <c r="T22187" i="14"/>
  <c r="E22187" i="14"/>
  <c r="AH22186" i="14"/>
  <c r="T22186" i="14"/>
  <c r="E22186" i="14"/>
  <c r="AH22185" i="14"/>
  <c r="T22185" i="14"/>
  <c r="E22185" i="14"/>
  <c r="AH22184" i="14"/>
  <c r="T22184" i="14"/>
  <c r="E22184" i="14"/>
  <c r="AH22183" i="14"/>
  <c r="U22183" i="14"/>
  <c r="T22183" i="14"/>
  <c r="E22183" i="14"/>
  <c r="AH22182" i="14"/>
  <c r="U22182" i="14"/>
  <c r="T22182" i="14"/>
  <c r="E22182" i="14"/>
  <c r="AH22181" i="14"/>
  <c r="T22181" i="14"/>
  <c r="E22181" i="14"/>
  <c r="AH22180" i="14"/>
  <c r="E22180" i="14"/>
  <c r="AH22179" i="14"/>
  <c r="T22179" i="14"/>
  <c r="E22179" i="14"/>
  <c r="AH22178" i="14"/>
  <c r="E22178" i="14"/>
  <c r="AH22177" i="14"/>
  <c r="T22177" i="14"/>
  <c r="E22177" i="14"/>
  <c r="AH22176" i="14"/>
  <c r="E22176" i="14"/>
  <c r="AH22175" i="14"/>
  <c r="T22175" i="14"/>
  <c r="E22175" i="14"/>
  <c r="AH22174" i="14"/>
  <c r="E22174" i="14"/>
  <c r="AH22173" i="14"/>
  <c r="E22173" i="14"/>
  <c r="AH22172" i="14"/>
  <c r="T22172" i="14"/>
  <c r="E22172" i="14"/>
  <c r="AH22171" i="14"/>
  <c r="T22171" i="14"/>
  <c r="E22171" i="14"/>
  <c r="AH22170" i="14"/>
  <c r="T22170" i="14"/>
  <c r="E22170" i="14"/>
  <c r="AH22169" i="14"/>
  <c r="E22169" i="14"/>
  <c r="AH22168" i="14"/>
  <c r="E22168" i="14"/>
  <c r="AH22167" i="14"/>
  <c r="T22167" i="14"/>
  <c r="E22167" i="14"/>
  <c r="AH22166" i="14"/>
  <c r="T22166" i="14"/>
  <c r="E22166" i="14"/>
  <c r="AH22165" i="14"/>
  <c r="M22165" i="14"/>
  <c r="E22165" i="14"/>
  <c r="AH22164" i="14"/>
  <c r="T22164" i="14"/>
  <c r="E22164" i="14"/>
  <c r="AH22163" i="14"/>
  <c r="T22163" i="14"/>
  <c r="E22163" i="14"/>
  <c r="AH22162" i="14"/>
  <c r="E22162" i="14"/>
  <c r="AH22161" i="14"/>
  <c r="T22161" i="14"/>
  <c r="E22161" i="14"/>
  <c r="AH22160" i="14"/>
  <c r="E22160" i="14"/>
  <c r="AH22159" i="14"/>
  <c r="E22159" i="14"/>
  <c r="AH22158" i="14"/>
  <c r="E22158" i="14"/>
  <c r="AH22157" i="14"/>
  <c r="E22157" i="14"/>
  <c r="AH22156" i="14"/>
  <c r="T22156" i="14"/>
  <c r="E22156" i="14"/>
  <c r="AH22155" i="14"/>
  <c r="T22155" i="14"/>
  <c r="E22155" i="14"/>
  <c r="AH22154" i="14"/>
  <c r="E22154" i="14"/>
  <c r="AH22153" i="14"/>
  <c r="T22153" i="14"/>
  <c r="Q22153" i="14"/>
  <c r="E22153" i="14"/>
  <c r="AH22152" i="14"/>
  <c r="T22152" i="14"/>
  <c r="Q22152" i="14"/>
  <c r="E22152" i="14"/>
  <c r="AH22151" i="14"/>
  <c r="T22151" i="14"/>
  <c r="Q22151" i="14"/>
  <c r="E22151" i="14"/>
  <c r="AH22150" i="14"/>
  <c r="Q22150" i="14"/>
  <c r="L22150" i="14"/>
  <c r="E22150" i="14"/>
  <c r="AH22149" i="14"/>
  <c r="Q22149" i="14"/>
  <c r="E22149" i="14"/>
  <c r="AH22148" i="14"/>
  <c r="Q22148" i="14"/>
  <c r="E22148" i="14"/>
  <c r="AH22147" i="14"/>
  <c r="T22147" i="14"/>
  <c r="Q22147" i="14"/>
  <c r="E22147" i="14"/>
  <c r="AH22146" i="14"/>
  <c r="U22146" i="14"/>
  <c r="T22146" i="14"/>
  <c r="Q22146" i="14"/>
  <c r="E22146" i="14"/>
  <c r="AH22145" i="14"/>
  <c r="Q22145" i="14"/>
  <c r="E22145" i="14"/>
  <c r="AH22144" i="14"/>
  <c r="Q22144" i="14"/>
  <c r="E22144" i="14"/>
  <c r="AH22143" i="14"/>
  <c r="T22143" i="14"/>
  <c r="Q22143" i="14"/>
  <c r="E22143" i="14"/>
  <c r="AH22142" i="14"/>
  <c r="E22142" i="14"/>
  <c r="AH22141" i="14"/>
  <c r="U22141" i="14"/>
  <c r="T22141" i="14"/>
  <c r="E22141" i="14"/>
  <c r="AH22140" i="14"/>
  <c r="E22140" i="14"/>
  <c r="AH22139" i="14"/>
  <c r="E22139" i="14"/>
  <c r="AH22138" i="14"/>
  <c r="Q22138" i="14"/>
  <c r="E22138" i="14"/>
  <c r="AH22137" i="14"/>
  <c r="E22137" i="14"/>
  <c r="AH22136" i="14"/>
  <c r="Q22136" i="14"/>
  <c r="E22136" i="14"/>
  <c r="AH22135" i="14"/>
  <c r="Q22135" i="14"/>
  <c r="E22135" i="14"/>
  <c r="AH22134" i="14"/>
  <c r="E22134" i="14"/>
  <c r="AH22133" i="14"/>
  <c r="T22133" i="14"/>
  <c r="Q22133" i="14"/>
  <c r="E22133" i="14"/>
  <c r="AH22132" i="14"/>
  <c r="T22132" i="14"/>
  <c r="Q22132" i="14"/>
  <c r="E22132" i="14"/>
  <c r="AH22131" i="14"/>
  <c r="E22131" i="14"/>
  <c r="AH22130" i="14"/>
  <c r="E22130" i="14"/>
  <c r="AK22129" i="14"/>
  <c r="AH22129" i="14"/>
  <c r="Q22129" i="14"/>
  <c r="E22129" i="14"/>
  <c r="AK22128" i="14"/>
  <c r="AH22128" i="14"/>
  <c r="Q22128" i="14"/>
  <c r="E22128" i="14"/>
  <c r="AH22127" i="14"/>
  <c r="Q22127" i="14"/>
  <c r="E22127" i="14"/>
  <c r="AH22126" i="14"/>
  <c r="T22126" i="14"/>
  <c r="Q22126" i="14"/>
  <c r="E22126" i="14"/>
  <c r="AH22125" i="14"/>
  <c r="T22125" i="14"/>
  <c r="Q22125" i="14"/>
  <c r="L22125" i="14"/>
  <c r="E22125" i="14"/>
  <c r="AH22124" i="14"/>
  <c r="T22124" i="14"/>
  <c r="Q22124" i="14"/>
  <c r="E22124" i="14"/>
  <c r="AH22123" i="14"/>
  <c r="T22123" i="14"/>
  <c r="Q22123" i="14"/>
  <c r="E22123" i="14"/>
  <c r="AH22122" i="14"/>
  <c r="T22122" i="14"/>
  <c r="Q22122" i="14"/>
  <c r="E22122" i="14"/>
  <c r="AH22121" i="14"/>
  <c r="Q22121" i="14"/>
  <c r="E22121" i="14"/>
  <c r="AH22120" i="14"/>
  <c r="E22120" i="14"/>
  <c r="AH22119" i="14"/>
  <c r="Q22119" i="14"/>
  <c r="E22119" i="14"/>
  <c r="AH22118" i="14"/>
  <c r="E22118" i="14"/>
  <c r="AH22117" i="14"/>
  <c r="T22117" i="14"/>
  <c r="E22117" i="14"/>
  <c r="AH22116" i="14"/>
  <c r="T22116" i="14"/>
  <c r="E22116" i="14"/>
  <c r="AH22115" i="14"/>
  <c r="T22115" i="14"/>
  <c r="E22115" i="14"/>
  <c r="AH22114" i="14"/>
  <c r="Q22114" i="14"/>
  <c r="M22114" i="14"/>
  <c r="E22114" i="14"/>
  <c r="AH22113" i="14"/>
  <c r="T22113" i="14"/>
  <c r="Q22113" i="14"/>
  <c r="M22113" i="14"/>
  <c r="E22113" i="14"/>
  <c r="AH22112" i="14"/>
  <c r="T22112" i="14"/>
  <c r="Q22112" i="14"/>
  <c r="E22112" i="14"/>
  <c r="AH22111" i="14"/>
  <c r="T22111" i="14"/>
  <c r="Q22111" i="14"/>
  <c r="E22111" i="14"/>
  <c r="AH22110" i="14"/>
  <c r="T22110" i="14"/>
  <c r="Q22110" i="14"/>
  <c r="E22110" i="14"/>
  <c r="AH22109" i="14"/>
  <c r="Q22109" i="14"/>
  <c r="E22109" i="14"/>
  <c r="AH22108" i="14"/>
  <c r="T22108" i="14"/>
  <c r="Q22108" i="14"/>
  <c r="E22108" i="14"/>
  <c r="AH22107" i="14"/>
  <c r="T22107" i="14"/>
  <c r="Q22107" i="14"/>
  <c r="E22107" i="14"/>
  <c r="AH22106" i="14"/>
  <c r="T22106" i="14"/>
  <c r="Q22106" i="14"/>
  <c r="E22106" i="14"/>
  <c r="AH22105" i="14"/>
  <c r="E22105" i="14"/>
  <c r="AH22104" i="14"/>
  <c r="T22104" i="14"/>
  <c r="E22104" i="14"/>
  <c r="AH22103" i="14"/>
  <c r="Q22103" i="14"/>
  <c r="E22103" i="14"/>
  <c r="AH22102" i="14"/>
  <c r="T22102" i="14"/>
  <c r="E22102" i="14"/>
  <c r="AH22101" i="14"/>
  <c r="U22101" i="14"/>
  <c r="T22101" i="14"/>
  <c r="Q22101" i="14"/>
  <c r="M22101" i="14"/>
  <c r="E22101" i="14"/>
  <c r="AH22100" i="14"/>
  <c r="Q22100" i="14"/>
  <c r="E22100" i="14"/>
  <c r="AH22099" i="14"/>
  <c r="U22099" i="14"/>
  <c r="T22099" i="14"/>
  <c r="Q22099" i="14"/>
  <c r="E22099" i="14"/>
  <c r="AH22098" i="14"/>
  <c r="Q22098" i="14"/>
  <c r="E22098" i="14"/>
  <c r="AH22097" i="14"/>
  <c r="T22097" i="14"/>
  <c r="Q22097" i="14"/>
  <c r="M22097" i="14"/>
  <c r="E22097" i="14"/>
  <c r="AH22096" i="14"/>
  <c r="M22096" i="14"/>
  <c r="E22096" i="14"/>
  <c r="AH22095" i="14"/>
  <c r="E22095" i="14"/>
  <c r="AH22094" i="14"/>
  <c r="T22094" i="14"/>
  <c r="Q22094" i="14"/>
  <c r="E22094" i="14"/>
  <c r="AH22093" i="14"/>
  <c r="T22093" i="14"/>
  <c r="Q22093" i="14"/>
  <c r="E22093" i="14"/>
  <c r="AH22092" i="14"/>
  <c r="E22092" i="14"/>
  <c r="AH22091" i="14"/>
  <c r="T22091" i="14"/>
  <c r="Q22091" i="14"/>
  <c r="E22091" i="14"/>
  <c r="AH22090" i="14"/>
  <c r="Q22090" i="14"/>
  <c r="E22090" i="14"/>
  <c r="AH22089" i="14"/>
  <c r="T22089" i="14"/>
  <c r="Q22089" i="14"/>
  <c r="E22089" i="14"/>
  <c r="AH22088" i="14"/>
  <c r="Q22088" i="14"/>
  <c r="E22088" i="14"/>
  <c r="AH22087" i="14"/>
  <c r="T22087" i="14"/>
  <c r="Q22087" i="14"/>
  <c r="E22087" i="14"/>
  <c r="AH22086" i="14"/>
  <c r="AE22086" i="14"/>
  <c r="T22086" i="14"/>
  <c r="Q22086" i="14"/>
  <c r="E22086" i="14"/>
  <c r="AH22085" i="14"/>
  <c r="Q22085" i="14"/>
  <c r="E22085" i="14"/>
  <c r="AH22084" i="14"/>
  <c r="T22084" i="14"/>
  <c r="Q22084" i="14"/>
  <c r="E22084" i="14"/>
  <c r="AH22083" i="14"/>
  <c r="T22083" i="14"/>
  <c r="Q22083" i="14"/>
  <c r="E22083" i="14"/>
  <c r="AH22082" i="14"/>
  <c r="T22082" i="14"/>
  <c r="Q22082" i="14"/>
  <c r="E22082" i="14"/>
  <c r="AH22081" i="14"/>
  <c r="T22081" i="14"/>
  <c r="Q22081" i="14"/>
  <c r="E22081" i="14"/>
  <c r="AH22080" i="14"/>
  <c r="T22080" i="14"/>
  <c r="Q22080" i="14"/>
  <c r="E22080" i="14"/>
  <c r="AH22079" i="14"/>
  <c r="T22079" i="14"/>
  <c r="Q22079" i="14"/>
  <c r="E22079" i="14"/>
  <c r="AH22078" i="14"/>
  <c r="E22078" i="14"/>
  <c r="AH22077" i="14"/>
  <c r="T22077" i="14"/>
  <c r="Q22077" i="14"/>
  <c r="E22077" i="14"/>
  <c r="AH22076" i="14"/>
  <c r="U22076" i="14"/>
  <c r="T22076" i="14"/>
  <c r="Q22076" i="14"/>
  <c r="E22076" i="14"/>
  <c r="AH22075" i="14"/>
  <c r="Q22075" i="14"/>
  <c r="E22075" i="14"/>
  <c r="AH22074" i="14"/>
  <c r="T22074" i="14"/>
  <c r="Q22074" i="14"/>
  <c r="E22074" i="14"/>
  <c r="AH22073" i="14"/>
  <c r="Q22073" i="14"/>
  <c r="E22073" i="14"/>
  <c r="AH22072" i="14"/>
  <c r="T22072" i="14"/>
  <c r="Q22072" i="14"/>
  <c r="E22072" i="14"/>
  <c r="AH22071" i="14"/>
  <c r="T22071" i="14"/>
  <c r="E22071" i="14"/>
  <c r="AH22070" i="14"/>
  <c r="Q22070" i="14"/>
  <c r="E22070" i="14"/>
  <c r="AH22069" i="14"/>
  <c r="T22069" i="14"/>
  <c r="Q22069" i="14"/>
  <c r="E22069" i="14"/>
  <c r="AH22068" i="14"/>
  <c r="Q22068" i="14"/>
  <c r="E22068" i="14"/>
  <c r="AH22067" i="14"/>
  <c r="Q22067" i="14"/>
  <c r="E22067" i="14"/>
  <c r="AH22066" i="14"/>
  <c r="T22066" i="14"/>
  <c r="Q22066" i="14"/>
  <c r="E22066" i="14"/>
  <c r="AH22065" i="14"/>
  <c r="T22065" i="14"/>
  <c r="Q22065" i="14"/>
  <c r="O22065" i="14"/>
  <c r="E22065" i="14"/>
  <c r="AH22064" i="14"/>
  <c r="T22064" i="14"/>
  <c r="Q22064" i="14"/>
  <c r="E22064" i="14"/>
  <c r="AH22063" i="14"/>
  <c r="U22063" i="14"/>
  <c r="T22063" i="14"/>
  <c r="Q22063" i="14"/>
  <c r="E22063" i="14"/>
  <c r="AH22062" i="14"/>
  <c r="U22062" i="14"/>
  <c r="T22062" i="14"/>
  <c r="Q22062" i="14"/>
  <c r="E22062" i="14"/>
  <c r="AH22061" i="14"/>
  <c r="Q22061" i="14"/>
  <c r="M22061" i="14"/>
  <c r="E22061" i="14"/>
  <c r="AH22060" i="14"/>
  <c r="Q22060" i="14"/>
  <c r="E22060" i="14"/>
  <c r="AH22059" i="14"/>
  <c r="T22059" i="14"/>
  <c r="Q22059" i="14"/>
  <c r="E22059" i="14"/>
  <c r="AH22058" i="14"/>
  <c r="U22058" i="14"/>
  <c r="T22058" i="14"/>
  <c r="Q22058" i="14"/>
  <c r="E22058" i="14"/>
  <c r="AH22057" i="14"/>
  <c r="T22057" i="14"/>
  <c r="Q22057" i="14"/>
  <c r="E22057" i="14"/>
  <c r="AH22056" i="14"/>
  <c r="Q22056" i="14"/>
  <c r="E22056" i="14"/>
  <c r="AH22055" i="14"/>
  <c r="E22055" i="14"/>
  <c r="AH22054" i="14"/>
  <c r="Q22054" i="14"/>
  <c r="M22054" i="14"/>
  <c r="E22054" i="14"/>
  <c r="AH22053" i="14"/>
  <c r="Q22053" i="14"/>
  <c r="E22053" i="14"/>
  <c r="AH22052" i="14"/>
  <c r="Q22052" i="14"/>
  <c r="E22052" i="14"/>
  <c r="AH22051" i="14"/>
  <c r="Q22051" i="14"/>
  <c r="E22051" i="14"/>
  <c r="AH22050" i="14"/>
  <c r="E22050" i="14"/>
  <c r="AH22049" i="14"/>
  <c r="E22049" i="14"/>
  <c r="AH22048" i="14"/>
  <c r="Q22048" i="14"/>
  <c r="E22048" i="14"/>
  <c r="AH22047" i="14"/>
  <c r="E22047" i="14"/>
  <c r="AH22046" i="14"/>
  <c r="E22046" i="14"/>
  <c r="AH22045" i="14"/>
  <c r="M22045" i="14"/>
  <c r="E22045" i="14"/>
  <c r="AH22044" i="14"/>
  <c r="T22044" i="14"/>
  <c r="Q22044" i="14"/>
  <c r="E22044" i="14"/>
  <c r="AH22043" i="14"/>
  <c r="T22043" i="14"/>
  <c r="Q22043" i="14"/>
  <c r="E22043" i="14"/>
  <c r="AH22042" i="14"/>
  <c r="Q22042" i="14"/>
  <c r="E22042" i="14"/>
  <c r="AH22041" i="14"/>
  <c r="Q22041" i="14"/>
  <c r="E22041" i="14"/>
  <c r="AH22040" i="14"/>
  <c r="T22040" i="14"/>
  <c r="Q22040" i="14"/>
  <c r="E22040" i="14"/>
  <c r="AH22039" i="14"/>
  <c r="E22039" i="14"/>
  <c r="AH22038" i="14"/>
  <c r="Q22038" i="14"/>
  <c r="E22038" i="14"/>
  <c r="AH22037" i="14"/>
  <c r="Q22037" i="14"/>
  <c r="E22037" i="14"/>
  <c r="AH22036" i="14"/>
  <c r="T22036" i="14"/>
  <c r="E22036" i="14"/>
  <c r="AH22035" i="14"/>
  <c r="E22035" i="14"/>
  <c r="AH22034" i="14"/>
  <c r="E22034" i="14"/>
  <c r="AH22033" i="14"/>
  <c r="E22033" i="14"/>
  <c r="AH22032" i="14"/>
  <c r="T22032" i="14"/>
  <c r="Q22032" i="14"/>
  <c r="E22032" i="14"/>
  <c r="AH22031" i="14"/>
  <c r="T22031" i="14"/>
  <c r="Q22031" i="14"/>
  <c r="E22031" i="14"/>
  <c r="AH22030" i="14"/>
  <c r="T22030" i="14"/>
  <c r="Q22030" i="14"/>
  <c r="E22030" i="14"/>
  <c r="AH22029" i="14"/>
  <c r="E22029" i="14"/>
  <c r="AH22028" i="14"/>
  <c r="U22028" i="14"/>
  <c r="T22028" i="14"/>
  <c r="Q22028" i="14"/>
  <c r="E22028" i="14"/>
  <c r="AH22027" i="14"/>
  <c r="T22027" i="14"/>
  <c r="Q22027" i="14"/>
  <c r="E22027" i="14"/>
  <c r="AH22026" i="14"/>
  <c r="T22026" i="14"/>
  <c r="Q22026" i="14"/>
  <c r="E22026" i="14"/>
  <c r="AH22025" i="14"/>
  <c r="Q22025" i="14"/>
  <c r="P22025" i="14"/>
  <c r="O22025" i="14"/>
  <c r="E22025" i="14"/>
  <c r="AH22024" i="14"/>
  <c r="U22024" i="14"/>
  <c r="T22024" i="14"/>
  <c r="Q22024" i="14"/>
  <c r="P22024" i="14"/>
  <c r="O22024" i="14"/>
  <c r="E22024" i="14"/>
  <c r="AH22023" i="14"/>
  <c r="E22023" i="14"/>
  <c r="AH22022" i="14"/>
  <c r="T22022" i="14"/>
  <c r="Q22022" i="14"/>
  <c r="E22022" i="14"/>
  <c r="AH22021" i="14"/>
  <c r="T22021" i="14"/>
  <c r="Q22021" i="14"/>
  <c r="E22021" i="14"/>
  <c r="AH22020" i="14"/>
  <c r="T22020" i="14"/>
  <c r="E22020" i="14"/>
  <c r="AH22019" i="14"/>
  <c r="T22019" i="14"/>
  <c r="Q22019" i="14"/>
  <c r="E22019" i="14"/>
  <c r="AH22018" i="14"/>
  <c r="T22018" i="14"/>
  <c r="E22018" i="14"/>
  <c r="AH22017" i="14"/>
  <c r="Q22017" i="14"/>
  <c r="M22017" i="14"/>
  <c r="E22017" i="14"/>
  <c r="AH22016" i="14"/>
  <c r="T22016" i="14"/>
  <c r="Q22016" i="14"/>
  <c r="E22016" i="14"/>
  <c r="AH22015" i="14"/>
  <c r="Q22015" i="14"/>
  <c r="E22015" i="14"/>
  <c r="AH22014" i="14"/>
  <c r="T22014" i="14"/>
  <c r="Q22014" i="14"/>
  <c r="E22014" i="14"/>
  <c r="AH22013" i="14"/>
  <c r="Q22013" i="14"/>
  <c r="E22013" i="14"/>
  <c r="AH22012" i="14"/>
  <c r="E22012" i="14"/>
  <c r="AH22011" i="14"/>
  <c r="T22011" i="14"/>
  <c r="E22011" i="14"/>
  <c r="AH22010" i="14"/>
  <c r="T22010" i="14"/>
  <c r="M22010" i="14"/>
  <c r="E22010" i="14"/>
  <c r="AH22009" i="14"/>
  <c r="E22009" i="14"/>
  <c r="AH22008" i="14"/>
  <c r="T22008" i="14"/>
  <c r="Q22008" i="14"/>
  <c r="E22008" i="14"/>
  <c r="AH22007" i="14"/>
  <c r="T22007" i="14"/>
  <c r="Q22007" i="14"/>
  <c r="E22007" i="14"/>
  <c r="AH22006" i="14"/>
  <c r="Q22006" i="14"/>
  <c r="E22006" i="14"/>
  <c r="AH22005" i="14"/>
  <c r="Q22005" i="14"/>
  <c r="M22005" i="14"/>
  <c r="E22005" i="14"/>
  <c r="AH22004" i="14"/>
  <c r="E22004" i="14"/>
  <c r="AH22003" i="14"/>
  <c r="T22003" i="14"/>
  <c r="Q22003" i="14"/>
  <c r="E22003" i="14"/>
  <c r="AH22002" i="14"/>
  <c r="Q22002" i="14"/>
  <c r="E22002" i="14"/>
  <c r="AH22001" i="14"/>
  <c r="Q22001" i="14"/>
  <c r="E22001" i="14"/>
  <c r="AH22000" i="14"/>
  <c r="E22000" i="14"/>
  <c r="AH21999" i="14"/>
  <c r="T21999" i="14"/>
  <c r="Q21999" i="14"/>
  <c r="E21999" i="14"/>
  <c r="AH21998" i="14"/>
  <c r="T21998" i="14"/>
  <c r="Q21998" i="14"/>
  <c r="E21998" i="14"/>
  <c r="AH21997" i="14"/>
  <c r="T21997" i="14"/>
  <c r="Q21997" i="14"/>
  <c r="E21997" i="14"/>
  <c r="AH21996" i="14"/>
  <c r="T21996" i="14"/>
  <c r="E21996" i="14"/>
  <c r="AH21995" i="14"/>
  <c r="E21995" i="14"/>
  <c r="AH21994" i="14"/>
  <c r="Q21994" i="14"/>
  <c r="E21994" i="14"/>
  <c r="AH21993" i="14"/>
  <c r="T21993" i="14"/>
  <c r="Q21993" i="14"/>
  <c r="E21993" i="14"/>
  <c r="AH21992" i="14"/>
  <c r="Q21992" i="14"/>
  <c r="E21992" i="14"/>
  <c r="AH21991" i="14"/>
  <c r="T21991" i="14"/>
  <c r="Q21991" i="14"/>
  <c r="O21991" i="14"/>
  <c r="E21991" i="14"/>
  <c r="AH21990" i="14"/>
  <c r="E21990" i="14"/>
  <c r="AH21989" i="14"/>
  <c r="E21989" i="14"/>
  <c r="AH21988" i="14"/>
  <c r="E21988" i="14"/>
  <c r="AH21987" i="14"/>
  <c r="E21987" i="14"/>
  <c r="AH21986" i="14"/>
  <c r="Q21986" i="14"/>
  <c r="M21986" i="14"/>
  <c r="E21986" i="14"/>
  <c r="AH21985" i="14"/>
  <c r="T21985" i="14"/>
  <c r="Q21985" i="14"/>
  <c r="E21985" i="14"/>
  <c r="AH21984" i="14"/>
  <c r="T21984" i="14"/>
  <c r="Q21984" i="14"/>
  <c r="E21984" i="14"/>
  <c r="AH21983" i="14"/>
  <c r="T21983" i="14"/>
  <c r="Q21983" i="14"/>
  <c r="E21983" i="14"/>
  <c r="AH21982" i="14"/>
  <c r="Q21982" i="14"/>
  <c r="E21982" i="14"/>
  <c r="AH21981" i="14"/>
  <c r="T21981" i="14"/>
  <c r="Q21981" i="14"/>
  <c r="E21981" i="14"/>
  <c r="AH21980" i="14"/>
  <c r="T21980" i="14"/>
  <c r="Q21980" i="14"/>
  <c r="E21980" i="14"/>
  <c r="AH21979" i="14"/>
  <c r="Q21979" i="14"/>
  <c r="E21979" i="14"/>
  <c r="AH21978" i="14"/>
  <c r="T21978" i="14"/>
  <c r="Q21978" i="14"/>
  <c r="E21978" i="14"/>
  <c r="AH21977" i="14"/>
  <c r="T21977" i="14"/>
  <c r="Q21977" i="14"/>
  <c r="E21977" i="14"/>
  <c r="AH21976" i="14"/>
  <c r="Q21976" i="14"/>
  <c r="P21976" i="14"/>
  <c r="O21976" i="14"/>
  <c r="E21976" i="14"/>
  <c r="AH21975" i="14"/>
  <c r="T21975" i="14"/>
  <c r="Q21975" i="14"/>
  <c r="E21975" i="14"/>
  <c r="AH21974" i="14"/>
  <c r="Q21974" i="14"/>
  <c r="E21974" i="14"/>
  <c r="AH21973" i="14"/>
  <c r="U21973" i="14"/>
  <c r="T21973" i="14"/>
  <c r="Q21973" i="14"/>
  <c r="E21973" i="14"/>
  <c r="AH21972" i="14"/>
  <c r="T21972" i="14"/>
  <c r="Q21972" i="14"/>
  <c r="E21972" i="14"/>
  <c r="AH21971" i="14"/>
  <c r="T21971" i="14"/>
  <c r="Q21971" i="14"/>
  <c r="E21971" i="14"/>
  <c r="AH21970" i="14"/>
  <c r="Q21970" i="14"/>
  <c r="E21970" i="14"/>
  <c r="AH21969" i="14"/>
  <c r="M21969" i="14"/>
  <c r="E21969" i="14"/>
  <c r="AH21968" i="14"/>
  <c r="T21968" i="14"/>
  <c r="Q21968" i="14"/>
  <c r="E21968" i="14"/>
  <c r="AH21967" i="14"/>
  <c r="Q21967" i="14"/>
  <c r="E21967" i="14"/>
  <c r="AH21966" i="14"/>
  <c r="Q21966" i="14"/>
  <c r="E21966" i="14"/>
  <c r="AH21965" i="14"/>
  <c r="T21965" i="14"/>
  <c r="Q21965" i="14"/>
  <c r="E21965" i="14"/>
  <c r="AH21964" i="14"/>
  <c r="T21964" i="14"/>
  <c r="Q21964" i="14"/>
  <c r="E21964" i="14"/>
  <c r="AH21963" i="14"/>
  <c r="T21963" i="14"/>
  <c r="E21963" i="14"/>
  <c r="AH21962" i="14"/>
  <c r="Q21962" i="14"/>
  <c r="E21962" i="14"/>
  <c r="AH21961" i="14"/>
  <c r="T21961" i="14"/>
  <c r="L21961" i="14"/>
  <c r="E21961" i="14"/>
  <c r="AH21960" i="14"/>
  <c r="Q21960" i="14"/>
  <c r="E21960" i="14"/>
  <c r="AH21959" i="14"/>
  <c r="Q21959" i="14"/>
  <c r="E21959" i="14"/>
  <c r="AL21958" i="14"/>
  <c r="AH21958" i="14"/>
  <c r="T21958" i="14"/>
  <c r="G21958" i="14"/>
  <c r="E21958" i="14"/>
  <c r="AH21957" i="14"/>
  <c r="T21957" i="14"/>
  <c r="Q21957" i="14"/>
  <c r="G21957" i="14"/>
  <c r="E21957" i="14"/>
  <c r="AH21956" i="14"/>
  <c r="T21956" i="14"/>
  <c r="Q21956" i="14"/>
  <c r="E21956" i="14"/>
  <c r="AH21955" i="14"/>
  <c r="T21955" i="14"/>
  <c r="Q21955" i="14"/>
  <c r="E21955" i="14"/>
  <c r="AH21954" i="14"/>
  <c r="E21954" i="14"/>
  <c r="AH21953" i="14"/>
  <c r="U21953" i="14"/>
  <c r="T21953" i="14"/>
  <c r="Q21953" i="14"/>
  <c r="E21953" i="14"/>
  <c r="AH21952" i="14"/>
  <c r="T21952" i="14"/>
  <c r="Q21952" i="14"/>
  <c r="E21952" i="14"/>
  <c r="AH21951" i="14"/>
  <c r="T21951" i="14"/>
  <c r="Q21951" i="14"/>
  <c r="E21951" i="14"/>
  <c r="AH21950" i="14"/>
  <c r="U21950" i="14"/>
  <c r="T21950" i="14"/>
  <c r="L21950" i="14"/>
  <c r="E21950" i="14"/>
  <c r="AH21949" i="14"/>
  <c r="T21949" i="14"/>
  <c r="Q21949" i="14"/>
  <c r="E21949" i="14"/>
  <c r="AH21948" i="14"/>
  <c r="T21948" i="14"/>
  <c r="Q21948" i="14"/>
  <c r="E21948" i="14"/>
  <c r="AH21947" i="14"/>
  <c r="AE21947" i="14"/>
  <c r="T21947" i="14"/>
  <c r="Q21947" i="14"/>
  <c r="M21947" i="14"/>
  <c r="E21947" i="14"/>
  <c r="AH21946" i="14"/>
  <c r="E21946" i="14"/>
  <c r="AH21945" i="14"/>
  <c r="U21945" i="14"/>
  <c r="T21945" i="14"/>
  <c r="Q21945" i="14"/>
  <c r="E21945" i="14"/>
  <c r="AK21944" i="14"/>
  <c r="AH21944" i="14"/>
  <c r="Q21944" i="14"/>
  <c r="E21944" i="14"/>
  <c r="AH21943" i="14"/>
  <c r="T21943" i="14"/>
  <c r="Q21943" i="14"/>
  <c r="M21943" i="14"/>
  <c r="E21943" i="14"/>
  <c r="AH21942" i="14"/>
  <c r="T21942" i="14"/>
  <c r="Q21942" i="14"/>
  <c r="E21942" i="14"/>
  <c r="AH21941" i="14"/>
  <c r="T21941" i="14"/>
  <c r="Q21941" i="14"/>
  <c r="E21941" i="14"/>
  <c r="AH21940" i="14"/>
  <c r="T21940" i="14"/>
  <c r="Q21940" i="14"/>
  <c r="E21940" i="14"/>
  <c r="AH21939" i="14"/>
  <c r="W21939" i="14"/>
  <c r="V21939" i="14"/>
  <c r="T21939" i="14"/>
  <c r="Q21939" i="14"/>
  <c r="E21939" i="14"/>
  <c r="AH21938" i="14"/>
  <c r="E21938" i="14"/>
  <c r="AH21937" i="14"/>
  <c r="U21937" i="14"/>
  <c r="T21937" i="14"/>
  <c r="Q21937" i="14"/>
  <c r="E21937" i="14"/>
  <c r="AH21936" i="14"/>
  <c r="T21936" i="14"/>
  <c r="Q21936" i="14"/>
  <c r="E21936" i="14"/>
  <c r="AH21935" i="14"/>
  <c r="T21935" i="14"/>
  <c r="E21935" i="14"/>
  <c r="AH21934" i="14"/>
  <c r="T21934" i="14"/>
  <c r="E21934" i="14"/>
  <c r="AH21933" i="14"/>
  <c r="T21933" i="14"/>
  <c r="E21933" i="14"/>
  <c r="AH21932" i="14"/>
  <c r="E21932" i="14"/>
  <c r="AH21931" i="14"/>
  <c r="Q21931" i="14"/>
  <c r="E21931" i="14"/>
  <c r="AH21930" i="14"/>
  <c r="T21930" i="14"/>
  <c r="Q21930" i="14"/>
  <c r="E21930" i="14"/>
  <c r="AH21929" i="14"/>
  <c r="T21929" i="14"/>
  <c r="Q21929" i="14"/>
  <c r="O21929" i="14"/>
  <c r="E21929" i="14"/>
  <c r="AH21928" i="14"/>
  <c r="T21928" i="14"/>
  <c r="Q21928" i="14"/>
  <c r="E21928" i="14"/>
  <c r="AH21927" i="14"/>
  <c r="T21927" i="14"/>
  <c r="E21927" i="14"/>
  <c r="AH21926" i="14"/>
  <c r="T21926" i="14"/>
  <c r="Q21926" i="14"/>
  <c r="P21926" i="14"/>
  <c r="E21926" i="14"/>
  <c r="AH21925" i="14"/>
  <c r="T21925" i="14"/>
  <c r="E21925" i="14"/>
  <c r="AH21924" i="14"/>
  <c r="T21924" i="14"/>
  <c r="Q21924" i="14"/>
  <c r="E21924" i="14"/>
  <c r="AH21923" i="14"/>
  <c r="Q21923" i="14"/>
  <c r="E21923" i="14"/>
  <c r="AH21922" i="14"/>
  <c r="Q21922" i="14"/>
  <c r="E21922" i="14"/>
  <c r="AH21921" i="14"/>
  <c r="T21921" i="14"/>
  <c r="E21921" i="14"/>
  <c r="AH21920" i="14"/>
  <c r="Q21920" i="14"/>
  <c r="E21920" i="14"/>
  <c r="AH21919" i="14"/>
  <c r="T21919" i="14"/>
  <c r="Q21919" i="14"/>
  <c r="E21919" i="14"/>
  <c r="AH21918" i="14"/>
  <c r="E21918" i="14"/>
  <c r="AH21917" i="14"/>
  <c r="M21917" i="14"/>
  <c r="E21917" i="14"/>
  <c r="AH21916" i="14"/>
  <c r="E21916" i="14"/>
  <c r="AH21915" i="14"/>
  <c r="Q21915" i="14"/>
  <c r="E21915" i="14"/>
  <c r="AH21914" i="14"/>
  <c r="U21914" i="14"/>
  <c r="T21914" i="14"/>
  <c r="Q21914" i="14"/>
  <c r="E21914" i="14"/>
  <c r="AH21913" i="14"/>
  <c r="U21913" i="14"/>
  <c r="T21913" i="14"/>
  <c r="Q21913" i="14"/>
  <c r="E21913" i="14"/>
  <c r="AH21912" i="14"/>
  <c r="U21912" i="14"/>
  <c r="Q21912" i="14"/>
  <c r="E21912" i="14"/>
  <c r="AH21911" i="14"/>
  <c r="T21911" i="14"/>
  <c r="Q21911" i="14"/>
  <c r="E21911" i="14"/>
  <c r="AH21910" i="14"/>
  <c r="T21910" i="14"/>
  <c r="Q21910" i="14"/>
  <c r="E21910" i="14"/>
  <c r="AH21909" i="14"/>
  <c r="T21909" i="14"/>
  <c r="E21909" i="14"/>
  <c r="AH21908" i="14"/>
  <c r="Q21908" i="14"/>
  <c r="E21908" i="14"/>
  <c r="AH21907" i="14"/>
  <c r="T21907" i="14"/>
  <c r="E21907" i="14"/>
  <c r="AH21906" i="14"/>
  <c r="T21906" i="14"/>
  <c r="Q21906" i="14"/>
  <c r="E21906" i="14"/>
  <c r="AH21905" i="14"/>
  <c r="T21905" i="14"/>
  <c r="Q21905" i="14"/>
  <c r="E21905" i="14"/>
  <c r="AH21904" i="14"/>
  <c r="Q21904" i="14"/>
  <c r="E21904" i="14"/>
  <c r="AH21903" i="14"/>
  <c r="T21903" i="14"/>
  <c r="Q21903" i="14"/>
  <c r="E21903" i="14"/>
  <c r="AH21902" i="14"/>
  <c r="E21902" i="14"/>
  <c r="AH21901" i="14"/>
  <c r="T21901" i="14"/>
  <c r="Q21901" i="14"/>
  <c r="E21901" i="14"/>
  <c r="AH21900" i="14"/>
  <c r="T21900" i="14"/>
  <c r="Q21900" i="14"/>
  <c r="E21900" i="14"/>
  <c r="AH21899" i="14"/>
  <c r="T21899" i="14"/>
  <c r="Q21899" i="14"/>
  <c r="E21899" i="14"/>
  <c r="AH21898" i="14"/>
  <c r="T21898" i="14"/>
  <c r="Q21898" i="14"/>
  <c r="E21898" i="14"/>
  <c r="AH21897" i="14"/>
  <c r="Q21897" i="14"/>
  <c r="E21897" i="14"/>
  <c r="AH21896" i="14"/>
  <c r="T21896" i="14"/>
  <c r="Q21896" i="14"/>
  <c r="E21896" i="14"/>
  <c r="AH21895" i="14"/>
  <c r="T21895" i="14"/>
  <c r="Q21895" i="14"/>
  <c r="E21895" i="14"/>
  <c r="AH21894" i="14"/>
  <c r="T21894" i="14"/>
  <c r="Q21894" i="14"/>
  <c r="E21894" i="14"/>
  <c r="AH21893" i="14"/>
  <c r="T21893" i="14"/>
  <c r="E21893" i="14"/>
  <c r="AH21892" i="14"/>
  <c r="Q21892" i="14"/>
  <c r="E21892" i="14"/>
  <c r="AH21891" i="14"/>
  <c r="Q21891" i="14"/>
  <c r="E21891" i="14"/>
  <c r="AH21890" i="14"/>
  <c r="M21890" i="14"/>
  <c r="E21890" i="14"/>
  <c r="AH21889" i="14"/>
  <c r="AE21889" i="14"/>
  <c r="U21889" i="14"/>
  <c r="T21889" i="14"/>
  <c r="Q21889" i="14"/>
  <c r="M21889" i="14"/>
  <c r="E21889" i="14"/>
  <c r="AH21888" i="14"/>
  <c r="Q21888" i="14"/>
  <c r="M21888" i="14"/>
  <c r="E21888" i="14"/>
  <c r="AH21887" i="14"/>
  <c r="Q21887" i="14"/>
  <c r="M21887" i="14"/>
  <c r="E21887" i="14"/>
  <c r="AH21886" i="14"/>
  <c r="T21886" i="14"/>
  <c r="E21886" i="14"/>
  <c r="AH21885" i="14"/>
  <c r="T21885" i="14"/>
  <c r="E21885" i="14"/>
  <c r="AH21884" i="14"/>
  <c r="T21884" i="14"/>
  <c r="Q21884" i="14"/>
  <c r="E21884" i="14"/>
  <c r="AH21883" i="14"/>
  <c r="Q21883" i="14"/>
  <c r="E21883" i="14"/>
  <c r="AH21882" i="14"/>
  <c r="E21882" i="14"/>
  <c r="AH21881" i="14"/>
  <c r="Q21881" i="14"/>
  <c r="E21881" i="14"/>
  <c r="AH21880" i="14"/>
  <c r="Q21880" i="14"/>
  <c r="E21880" i="14"/>
  <c r="AH21879" i="14"/>
  <c r="E21879" i="14"/>
  <c r="AH21878" i="14"/>
  <c r="Q21878" i="14"/>
  <c r="E21878" i="14"/>
  <c r="AH21877" i="14"/>
  <c r="T21877" i="14"/>
  <c r="M21877" i="14"/>
  <c r="E21877" i="14"/>
  <c r="AH21876" i="14"/>
  <c r="T21876" i="14"/>
  <c r="Q21876" i="14"/>
  <c r="E21876" i="14"/>
  <c r="AH21875" i="14"/>
  <c r="Q21875" i="14"/>
  <c r="E21875" i="14"/>
  <c r="AH21874" i="14"/>
  <c r="T21874" i="14"/>
  <c r="E21874" i="14"/>
  <c r="AH21873" i="14"/>
  <c r="Q21873" i="14"/>
  <c r="E21873" i="14"/>
  <c r="AH21872" i="14"/>
  <c r="T21872" i="14"/>
  <c r="Q21872" i="14"/>
  <c r="E21872" i="14"/>
  <c r="AH21871" i="14"/>
  <c r="T21871" i="14"/>
  <c r="M21871" i="14"/>
  <c r="E21871" i="14"/>
  <c r="AH21870" i="14"/>
  <c r="T21870" i="14"/>
  <c r="E21870" i="14"/>
  <c r="AH21869" i="14"/>
  <c r="E21869" i="14"/>
  <c r="AK21868" i="14"/>
  <c r="AH21868" i="14"/>
  <c r="K21868" i="14"/>
  <c r="E21868" i="14"/>
  <c r="AH21867" i="14"/>
  <c r="T21867" i="14"/>
  <c r="Q21867" i="14"/>
  <c r="E21867" i="14"/>
  <c r="AH21866" i="14"/>
  <c r="T21866" i="14"/>
  <c r="Q21866" i="14"/>
  <c r="E21866" i="14"/>
  <c r="AH21865" i="14"/>
  <c r="T21865" i="14"/>
  <c r="Q21865" i="14"/>
  <c r="E21865" i="14"/>
  <c r="AH21864" i="14"/>
  <c r="T21864" i="14"/>
  <c r="E21864" i="14"/>
  <c r="AH21863" i="14"/>
  <c r="E21863" i="14"/>
  <c r="AH21862" i="14"/>
  <c r="T21862" i="14"/>
  <c r="E21862" i="14"/>
  <c r="AH21861" i="14"/>
  <c r="T21861" i="14"/>
  <c r="E21861" i="14"/>
  <c r="AH21860" i="14"/>
  <c r="T21860" i="14"/>
  <c r="Q21860" i="14"/>
  <c r="E21860" i="14"/>
  <c r="AH21859" i="14"/>
  <c r="T21859" i="14"/>
  <c r="E21859" i="14"/>
  <c r="AH21858" i="14"/>
  <c r="Q21858" i="14"/>
  <c r="E21858" i="14"/>
  <c r="AH21857" i="14"/>
  <c r="T21857" i="14"/>
  <c r="Q21857" i="14"/>
  <c r="E21857" i="14"/>
  <c r="AH21856" i="14"/>
  <c r="T21856" i="14"/>
  <c r="Q21856" i="14"/>
  <c r="E21856" i="14"/>
  <c r="AH21855" i="14"/>
  <c r="U21855" i="14"/>
  <c r="T21855" i="14"/>
  <c r="Q21855" i="14"/>
  <c r="E21855" i="14"/>
  <c r="AH21854" i="14"/>
  <c r="T21854" i="14"/>
  <c r="Q21854" i="14"/>
  <c r="E21854" i="14"/>
  <c r="AH21853" i="14"/>
  <c r="M21853" i="14"/>
  <c r="E21853" i="14"/>
  <c r="AH21852" i="14"/>
  <c r="T21852" i="14"/>
  <c r="Q21852" i="14"/>
  <c r="P21852" i="14"/>
  <c r="E21852" i="14"/>
  <c r="AH21851" i="14"/>
  <c r="Q21851" i="14"/>
  <c r="M21851" i="14"/>
  <c r="E21851" i="14"/>
  <c r="AH21850" i="14"/>
  <c r="T21850" i="14"/>
  <c r="Q21850" i="14"/>
  <c r="E21850" i="14"/>
  <c r="AH21849" i="14"/>
  <c r="Q21849" i="14"/>
  <c r="E21849" i="14"/>
  <c r="AH21848" i="14"/>
  <c r="E21848" i="14"/>
  <c r="AH21847" i="14"/>
  <c r="T21847" i="14"/>
  <c r="Q21847" i="14"/>
  <c r="E21847" i="14"/>
  <c r="AH21846" i="14"/>
  <c r="T21846" i="14"/>
  <c r="Q21846" i="14"/>
  <c r="E21846" i="14"/>
  <c r="AH21845" i="14"/>
  <c r="Q21845" i="14"/>
  <c r="G21845" i="14"/>
  <c r="E21845" i="14"/>
  <c r="AH21844" i="14"/>
  <c r="T21844" i="14"/>
  <c r="Q21844" i="14"/>
  <c r="G21844" i="14"/>
  <c r="E21844" i="14"/>
  <c r="AH21843" i="14"/>
  <c r="T21843" i="14"/>
  <c r="Q21843" i="14"/>
  <c r="E21843" i="14"/>
  <c r="AH21842" i="14"/>
  <c r="T21842" i="14"/>
  <c r="Q21842" i="14"/>
  <c r="E21842" i="14"/>
  <c r="AH21841" i="14"/>
  <c r="T21841" i="14"/>
  <c r="Q21841" i="14"/>
  <c r="E21841" i="14"/>
  <c r="AH21840" i="14"/>
  <c r="E21840" i="14"/>
  <c r="AH21839" i="14"/>
  <c r="Q21839" i="14"/>
  <c r="E21839" i="14"/>
  <c r="AH21838" i="14"/>
  <c r="T21838" i="14"/>
  <c r="E21838" i="14"/>
  <c r="AH21837" i="14"/>
  <c r="Q21837" i="14"/>
  <c r="M21837" i="14"/>
  <c r="E21837" i="14"/>
  <c r="AH21836" i="14"/>
  <c r="T21836" i="14"/>
  <c r="E21836" i="14"/>
  <c r="AH21835" i="14"/>
  <c r="T21835" i="14"/>
  <c r="Q21835" i="14"/>
  <c r="E21835" i="14"/>
  <c r="AH21834" i="14"/>
  <c r="T21834" i="14"/>
  <c r="Q21834" i="14"/>
  <c r="E21834" i="14"/>
  <c r="AH21833" i="14"/>
  <c r="Q21833" i="14"/>
  <c r="P21833" i="14"/>
  <c r="E21833" i="14"/>
  <c r="AH21832" i="14"/>
  <c r="T21832" i="14"/>
  <c r="E21832" i="14"/>
  <c r="AH21831" i="14"/>
  <c r="T21831" i="14"/>
  <c r="E21831" i="14"/>
  <c r="AH21830" i="14"/>
  <c r="E21830" i="14"/>
  <c r="AH21829" i="14"/>
  <c r="Q21829" i="14"/>
  <c r="P21829" i="14"/>
  <c r="E21829" i="14"/>
  <c r="AH21828" i="14"/>
  <c r="T21828" i="14"/>
  <c r="Q21828" i="14"/>
  <c r="P21828" i="14"/>
  <c r="O21828" i="14"/>
  <c r="E21828" i="14"/>
  <c r="AH21827" i="14"/>
  <c r="T21827" i="14"/>
  <c r="Q21827" i="14"/>
  <c r="E21827" i="14"/>
  <c r="AH21826" i="14"/>
  <c r="E21826" i="14"/>
  <c r="AK21825" i="14"/>
  <c r="AH21825" i="14"/>
  <c r="T21825" i="14"/>
  <c r="Q21825" i="14"/>
  <c r="N21825" i="14"/>
  <c r="E21825" i="14"/>
  <c r="AH21824" i="14"/>
  <c r="T21824" i="14"/>
  <c r="Q21824" i="14"/>
  <c r="E21824" i="14"/>
  <c r="AH21823" i="14"/>
  <c r="T21823" i="14"/>
  <c r="Q21823" i="14"/>
  <c r="E21823" i="14"/>
  <c r="AH21822" i="14"/>
  <c r="Q21822" i="14"/>
  <c r="E21822" i="14"/>
  <c r="AH21821" i="14"/>
  <c r="T21821" i="14"/>
  <c r="E21821" i="14"/>
  <c r="AH21820" i="14"/>
  <c r="T21820" i="14"/>
  <c r="Q21820" i="14"/>
  <c r="M21820" i="14"/>
  <c r="G21820" i="14"/>
  <c r="E21820" i="14"/>
  <c r="AH21819" i="14"/>
  <c r="T21819" i="14"/>
  <c r="Q21819" i="14"/>
  <c r="E21819" i="14"/>
  <c r="AH21818" i="14"/>
  <c r="T21818" i="14"/>
  <c r="Q21818" i="14"/>
  <c r="E21818" i="14"/>
  <c r="AH21817" i="14"/>
  <c r="T21817" i="14"/>
  <c r="Q21817" i="14"/>
  <c r="E21817" i="14"/>
  <c r="AH21816" i="14"/>
  <c r="T21816" i="14"/>
  <c r="Q21816" i="14"/>
  <c r="E21816" i="14"/>
  <c r="AH21815" i="14"/>
  <c r="E21815" i="14"/>
  <c r="AH21814" i="14"/>
  <c r="V21814" i="14"/>
  <c r="T21814" i="14"/>
  <c r="Q21814" i="14"/>
  <c r="E21814" i="14"/>
  <c r="AH21813" i="14"/>
  <c r="Q21813" i="14"/>
  <c r="E21813" i="14"/>
  <c r="AH21812" i="14"/>
  <c r="T21812" i="14"/>
  <c r="Q21812" i="14"/>
  <c r="E21812" i="14"/>
  <c r="AH21811" i="14"/>
  <c r="M21811" i="14"/>
  <c r="E21811" i="14"/>
  <c r="AH21810" i="14"/>
  <c r="E21810" i="14"/>
  <c r="AH21809" i="14"/>
  <c r="Q21809" i="14"/>
  <c r="E21809" i="14"/>
  <c r="AH21808" i="14"/>
  <c r="T21808" i="14"/>
  <c r="Q21808" i="14"/>
  <c r="E21808" i="14"/>
  <c r="AH21807" i="14"/>
  <c r="T21807" i="14"/>
  <c r="Q21807" i="14"/>
  <c r="E21807" i="14"/>
  <c r="AH21806" i="14"/>
  <c r="T21806" i="14"/>
  <c r="Q21806" i="14"/>
  <c r="E21806" i="14"/>
  <c r="AH21805" i="14"/>
  <c r="M21805" i="14"/>
  <c r="E21805" i="14"/>
  <c r="AH21804" i="14"/>
  <c r="U21804" i="14"/>
  <c r="T21804" i="14"/>
  <c r="Q21804" i="14"/>
  <c r="E21804" i="14"/>
  <c r="AH21803" i="14"/>
  <c r="T21803" i="14"/>
  <c r="Q21803" i="14"/>
  <c r="E21803" i="14"/>
  <c r="AH21802" i="14"/>
  <c r="T21802" i="14"/>
  <c r="Q21802" i="14"/>
  <c r="E21802" i="14"/>
  <c r="AH21801" i="14"/>
  <c r="E21801" i="14"/>
  <c r="AH21800" i="14"/>
  <c r="E21800" i="14"/>
  <c r="AH21799" i="14"/>
  <c r="T21799" i="14"/>
  <c r="Q21799" i="14"/>
  <c r="E21799" i="14"/>
  <c r="AH21798" i="14"/>
  <c r="T21798" i="14"/>
  <c r="Q21798" i="14"/>
  <c r="E21798" i="14"/>
  <c r="AH21797" i="14"/>
  <c r="Q21797" i="14"/>
  <c r="E21797" i="14"/>
  <c r="AH21796" i="14"/>
  <c r="Q21796" i="14"/>
  <c r="E21796" i="14"/>
  <c r="AH21795" i="14"/>
  <c r="Q21795" i="14"/>
  <c r="E21795" i="14"/>
  <c r="AH21794" i="14"/>
  <c r="T21794" i="14"/>
  <c r="Q21794" i="14"/>
  <c r="E21794" i="14"/>
  <c r="AH21793" i="14"/>
  <c r="T21793" i="14"/>
  <c r="E21793" i="14"/>
  <c r="AH21792" i="14"/>
  <c r="T21792" i="14"/>
  <c r="E21792" i="14"/>
  <c r="AH21791" i="14"/>
  <c r="T21791" i="14"/>
  <c r="Q21791" i="14"/>
  <c r="E21791" i="14"/>
  <c r="AH21790" i="14"/>
  <c r="T21790" i="14"/>
  <c r="Q21790" i="14"/>
  <c r="E21790" i="14"/>
  <c r="AH21789" i="14"/>
  <c r="U21789" i="14"/>
  <c r="T21789" i="14"/>
  <c r="E21789" i="14"/>
  <c r="AH21788" i="14"/>
  <c r="Q21788" i="14"/>
  <c r="E21788" i="14"/>
  <c r="AH21787" i="14"/>
  <c r="AE21787" i="14"/>
  <c r="T21787" i="14"/>
  <c r="Q21787" i="14"/>
  <c r="E21787" i="14"/>
  <c r="AH21786" i="14"/>
  <c r="T21786" i="14"/>
  <c r="Q21786" i="14"/>
  <c r="E21786" i="14"/>
  <c r="AH21785" i="14"/>
  <c r="E21785" i="14"/>
  <c r="AH21784" i="14"/>
  <c r="T21784" i="14"/>
  <c r="Q21784" i="14"/>
  <c r="M21784" i="14"/>
  <c r="E21784" i="14"/>
  <c r="AH21783" i="14"/>
  <c r="E21783" i="14"/>
  <c r="AH21782" i="14"/>
  <c r="Q21782" i="14"/>
  <c r="E21782" i="14"/>
  <c r="AH21781" i="14"/>
  <c r="E21781" i="14"/>
  <c r="AH21780" i="14"/>
  <c r="Q21780" i="14"/>
  <c r="E21780" i="14"/>
  <c r="AH21779" i="14"/>
  <c r="Q21779" i="14"/>
  <c r="E21779" i="14"/>
  <c r="AH21778" i="14"/>
  <c r="T21778" i="14"/>
  <c r="Q21778" i="14"/>
  <c r="E21778" i="14"/>
  <c r="AH21777" i="14"/>
  <c r="T21777" i="14"/>
  <c r="E21777" i="14"/>
  <c r="AH21776" i="14"/>
  <c r="T21776" i="14"/>
  <c r="E21776" i="14"/>
  <c r="AH21775" i="14"/>
  <c r="T21775" i="14"/>
  <c r="Q21775" i="14"/>
  <c r="E21775" i="14"/>
  <c r="AH21774" i="14"/>
  <c r="Q21774" i="14"/>
  <c r="M21774" i="14"/>
  <c r="E21774" i="14"/>
  <c r="AH21773" i="14"/>
  <c r="T21773" i="14"/>
  <c r="Q21773" i="14"/>
  <c r="E21773" i="14"/>
  <c r="AH21772" i="14"/>
  <c r="E21772" i="14"/>
  <c r="AH21771" i="14"/>
  <c r="Q21771" i="14"/>
  <c r="E21771" i="14"/>
  <c r="AH21770" i="14"/>
  <c r="T21770" i="14"/>
  <c r="Q21770" i="14"/>
  <c r="E21770" i="14"/>
  <c r="AH21769" i="14"/>
  <c r="Q21769" i="14"/>
  <c r="E21769" i="14"/>
  <c r="AH21768" i="14"/>
  <c r="E21768" i="14"/>
  <c r="AH21767" i="14"/>
  <c r="T21767" i="14"/>
  <c r="E21767" i="14"/>
  <c r="AH21766" i="14"/>
  <c r="E21766" i="14"/>
  <c r="AH21765" i="14"/>
  <c r="Q21765" i="14"/>
  <c r="E21765" i="14"/>
  <c r="AH21764" i="14"/>
  <c r="T21764" i="14"/>
  <c r="Q21764" i="14"/>
  <c r="E21764" i="14"/>
  <c r="AH21763" i="14"/>
  <c r="T21763" i="14"/>
  <c r="Q21763" i="14"/>
  <c r="E21763" i="14"/>
  <c r="AH21762" i="14"/>
  <c r="E21762" i="14"/>
  <c r="AH21761" i="14"/>
  <c r="T21761" i="14"/>
  <c r="E21761" i="14"/>
  <c r="AH21760" i="14"/>
  <c r="T21760" i="14"/>
  <c r="E21760" i="14"/>
  <c r="AH21759" i="14"/>
  <c r="T21759" i="14"/>
  <c r="E21759" i="14"/>
  <c r="AH21758" i="14"/>
  <c r="T21758" i="14"/>
  <c r="E21758" i="14"/>
  <c r="AH21757" i="14"/>
  <c r="T21757" i="14"/>
  <c r="Q21757" i="14"/>
  <c r="E21757" i="14"/>
  <c r="AH21756" i="14"/>
  <c r="AE21756" i="14"/>
  <c r="U21756" i="14"/>
  <c r="Q21756" i="14"/>
  <c r="P21756" i="14"/>
  <c r="O21756" i="14"/>
  <c r="M21756" i="14"/>
  <c r="L21756" i="14"/>
  <c r="K21756" i="14"/>
  <c r="I21756" i="14"/>
  <c r="E21756" i="14"/>
  <c r="AH21755" i="14"/>
  <c r="T21755" i="14"/>
  <c r="Q21755" i="14"/>
  <c r="E21755" i="14"/>
  <c r="AH21754" i="14"/>
  <c r="Q21754" i="14"/>
  <c r="E21754" i="14"/>
  <c r="AH21753" i="14"/>
  <c r="T21753" i="14"/>
  <c r="Q21753" i="14"/>
  <c r="E21753" i="14"/>
  <c r="AH21752" i="14"/>
  <c r="T21752" i="14"/>
  <c r="Q21752" i="14"/>
  <c r="E21752" i="14"/>
  <c r="AH21751" i="14"/>
  <c r="Q21751" i="14"/>
  <c r="E21751" i="14"/>
  <c r="AH21750" i="14"/>
  <c r="T21750" i="14"/>
  <c r="Q21750" i="14"/>
  <c r="E21750" i="14"/>
  <c r="AH21749" i="14"/>
  <c r="T21749" i="14"/>
  <c r="Q21749" i="14"/>
  <c r="E21749" i="14"/>
  <c r="AH21748" i="14"/>
  <c r="T21748" i="14"/>
  <c r="Q21748" i="14"/>
  <c r="E21748" i="14"/>
  <c r="AH21747" i="14"/>
  <c r="T21747" i="14"/>
  <c r="Q21747" i="14"/>
  <c r="E21747" i="14"/>
  <c r="AH21746" i="14"/>
  <c r="T21746" i="14"/>
  <c r="E21746" i="14"/>
  <c r="AH21745" i="14"/>
  <c r="Q21745" i="14"/>
  <c r="E21745" i="14"/>
  <c r="AH21744" i="14"/>
  <c r="Q21744" i="14"/>
  <c r="E21744" i="14"/>
  <c r="AH21743" i="14"/>
  <c r="E21743" i="14"/>
  <c r="AH21742" i="14"/>
  <c r="E21742" i="14"/>
  <c r="AH21741" i="14"/>
  <c r="T21741" i="14"/>
  <c r="Q21741" i="14"/>
  <c r="E21741" i="14"/>
  <c r="AH21740" i="14"/>
  <c r="T21740" i="14"/>
  <c r="E21740" i="14"/>
  <c r="AH21739" i="14"/>
  <c r="T21739" i="14"/>
  <c r="Q21739" i="14"/>
  <c r="E21739" i="14"/>
  <c r="AH21738" i="14"/>
  <c r="T21738" i="14"/>
  <c r="Q21738" i="14"/>
  <c r="E21738" i="14"/>
  <c r="AH21737" i="14"/>
  <c r="E21737" i="14"/>
  <c r="AH21736" i="14"/>
  <c r="T21736" i="14"/>
  <c r="E21736" i="14"/>
  <c r="AH21735" i="14"/>
  <c r="T21735" i="14"/>
  <c r="Q21735" i="14"/>
  <c r="E21735" i="14"/>
  <c r="AH21734" i="14"/>
  <c r="T21734" i="14"/>
  <c r="E21734" i="14"/>
  <c r="AH21733" i="14"/>
  <c r="T21733" i="14"/>
  <c r="Q21733" i="14"/>
  <c r="E21733" i="14"/>
  <c r="AH21732" i="14"/>
  <c r="T21732" i="14"/>
  <c r="Q21732" i="14"/>
  <c r="M21732" i="14"/>
  <c r="E21732" i="14"/>
  <c r="AH21731" i="14"/>
  <c r="T21731" i="14"/>
  <c r="E21731" i="14"/>
  <c r="AH21730" i="14"/>
  <c r="T21730" i="14"/>
  <c r="E21730" i="14"/>
  <c r="AH21729" i="14"/>
  <c r="T21729" i="14"/>
  <c r="Q21729" i="14"/>
  <c r="E21729" i="14"/>
  <c r="AH21728" i="14"/>
  <c r="T21728" i="14"/>
  <c r="Q21728" i="14"/>
  <c r="E21728" i="14"/>
  <c r="AH21727" i="14"/>
  <c r="T21727" i="14"/>
  <c r="Q21727" i="14"/>
  <c r="E21727" i="14"/>
  <c r="AH21726" i="14"/>
  <c r="T21726" i="14"/>
  <c r="Q21726" i="14"/>
  <c r="E21726" i="14"/>
  <c r="AH21725" i="14"/>
  <c r="T21725" i="14"/>
  <c r="Q21725" i="14"/>
  <c r="E21725" i="14"/>
  <c r="AH21724" i="14"/>
  <c r="T21724" i="14"/>
  <c r="E21724" i="14"/>
  <c r="AH21723" i="14"/>
  <c r="Q21723" i="14"/>
  <c r="E21723" i="14"/>
  <c r="AH21722" i="14"/>
  <c r="T21722" i="14"/>
  <c r="E21722" i="14"/>
  <c r="AH21721" i="14"/>
  <c r="T21721" i="14"/>
  <c r="E21721" i="14"/>
  <c r="AH21720" i="14"/>
  <c r="T21720" i="14"/>
  <c r="E21720" i="14"/>
  <c r="AH21719" i="14"/>
  <c r="Q21719" i="14"/>
  <c r="E21719" i="14"/>
  <c r="AH21718" i="14"/>
  <c r="Q21718" i="14"/>
  <c r="E21718" i="14"/>
  <c r="AH21717" i="14"/>
  <c r="M21717" i="14"/>
  <c r="E21717" i="14"/>
  <c r="AH21716" i="14"/>
  <c r="Q21716" i="14"/>
  <c r="E21716" i="14"/>
  <c r="AH21715" i="14"/>
  <c r="U21715" i="14"/>
  <c r="T21715" i="14"/>
  <c r="Q21715" i="14"/>
  <c r="E21715" i="14"/>
  <c r="AH21714" i="14"/>
  <c r="Q21714" i="14"/>
  <c r="E21714" i="14"/>
  <c r="AH21713" i="14"/>
  <c r="E21713" i="14"/>
  <c r="AH21712" i="14"/>
  <c r="T21712" i="14"/>
  <c r="Q21712" i="14"/>
  <c r="E21712" i="14"/>
  <c r="AH21711" i="14"/>
  <c r="T21711" i="14"/>
  <c r="Q21711" i="14"/>
  <c r="E21711" i="14"/>
  <c r="AH21710" i="14"/>
  <c r="Q21710" i="14"/>
  <c r="E21710" i="14"/>
  <c r="AH21709" i="14"/>
  <c r="E21709" i="14"/>
  <c r="AH21708" i="14"/>
  <c r="T21708" i="14"/>
  <c r="E21708" i="14"/>
  <c r="AH21707" i="14"/>
  <c r="E21707" i="14"/>
  <c r="AH21706" i="14"/>
  <c r="T21706" i="14"/>
  <c r="E21706" i="14"/>
  <c r="AH21705" i="14"/>
  <c r="T21705" i="14"/>
  <c r="E21705" i="14"/>
  <c r="AH21704" i="14"/>
  <c r="Q21704" i="14"/>
  <c r="E21704" i="14"/>
  <c r="AH21703" i="14"/>
  <c r="T21703" i="14"/>
  <c r="Q21703" i="14"/>
  <c r="E21703" i="14"/>
  <c r="AH21702" i="14"/>
  <c r="T21702" i="14"/>
  <c r="Q21702" i="14"/>
  <c r="E21702" i="14"/>
  <c r="AH21701" i="14"/>
  <c r="Q21701" i="14"/>
  <c r="E21701" i="14"/>
  <c r="AH21700" i="14"/>
  <c r="U21700" i="14"/>
  <c r="T21700" i="14"/>
  <c r="Q21700" i="14"/>
  <c r="M21700" i="14"/>
  <c r="E21700" i="14"/>
  <c r="AK21699" i="14"/>
  <c r="AH21699" i="14"/>
  <c r="Q21699" i="14"/>
  <c r="N21699" i="14"/>
  <c r="E21699" i="14"/>
  <c r="AK21698" i="14"/>
  <c r="AH21698" i="14"/>
  <c r="T21698" i="14"/>
  <c r="Q21698" i="14"/>
  <c r="N21698" i="14"/>
  <c r="E21698" i="14"/>
  <c r="AK21697" i="14"/>
  <c r="AH21697" i="14"/>
  <c r="Q21697" i="14"/>
  <c r="N21697" i="14"/>
  <c r="E21697" i="14"/>
  <c r="AH21696" i="14"/>
  <c r="T21696" i="14"/>
  <c r="Q21696" i="14"/>
  <c r="E21696" i="14"/>
  <c r="AH21695" i="14"/>
  <c r="T21695" i="14"/>
  <c r="E21695" i="14"/>
  <c r="AH21694" i="14"/>
  <c r="T21694" i="14"/>
  <c r="Q21694" i="14"/>
  <c r="E21694" i="14"/>
  <c r="AH21693" i="14"/>
  <c r="Q21693" i="14"/>
  <c r="E21693" i="14"/>
  <c r="AH21692" i="14"/>
  <c r="T21692" i="14"/>
  <c r="Q21692" i="14"/>
  <c r="E21692" i="14"/>
  <c r="AH21691" i="14"/>
  <c r="T21691" i="14"/>
  <c r="Q21691" i="14"/>
  <c r="O21691" i="14"/>
  <c r="E21691" i="14"/>
  <c r="AH21690" i="14"/>
  <c r="T21690" i="14"/>
  <c r="Q21690" i="14"/>
  <c r="E21690" i="14"/>
  <c r="AH21689" i="14"/>
  <c r="V21689" i="14"/>
  <c r="Q21689" i="14"/>
  <c r="P21689" i="14"/>
  <c r="O21689" i="14"/>
  <c r="E21689" i="14"/>
  <c r="AH21688" i="14"/>
  <c r="T21688" i="14"/>
  <c r="Q21688" i="14"/>
  <c r="O21688" i="14"/>
  <c r="E21688" i="14"/>
  <c r="AH21687" i="14"/>
  <c r="T21687" i="14"/>
  <c r="Q21687" i="14"/>
  <c r="O21687" i="14"/>
  <c r="E21687" i="14"/>
  <c r="AH21686" i="14"/>
  <c r="T21686" i="14"/>
  <c r="Q21686" i="14"/>
  <c r="E21686" i="14"/>
  <c r="AH21685" i="14"/>
  <c r="U21685" i="14"/>
  <c r="T21685" i="14"/>
  <c r="Q21685" i="14"/>
  <c r="E21685" i="14"/>
  <c r="AH21684" i="14"/>
  <c r="U21684" i="14"/>
  <c r="T21684" i="14"/>
  <c r="Q21684" i="14"/>
  <c r="E21684" i="14"/>
  <c r="AH21683" i="14"/>
  <c r="W21683" i="14"/>
  <c r="V21683" i="14"/>
  <c r="U21683" i="14"/>
  <c r="T21683" i="14"/>
  <c r="Q21683" i="14"/>
  <c r="E21683" i="14"/>
  <c r="AH21682" i="14"/>
  <c r="T21682" i="14"/>
  <c r="Q21682" i="14"/>
  <c r="E21682" i="14"/>
  <c r="AH21681" i="14"/>
  <c r="T21681" i="14"/>
  <c r="Q21681" i="14"/>
  <c r="E21681" i="14"/>
  <c r="AH21680" i="14"/>
  <c r="T21680" i="14"/>
  <c r="E21680" i="14"/>
  <c r="AH21679" i="14"/>
  <c r="T21679" i="14"/>
  <c r="E21679" i="14"/>
  <c r="AH21678" i="14"/>
  <c r="T21678" i="14"/>
  <c r="E21678" i="14"/>
  <c r="AH21677" i="14"/>
  <c r="U21677" i="14"/>
  <c r="T21677" i="14"/>
  <c r="Q21677" i="14"/>
  <c r="P21677" i="14"/>
  <c r="O21677" i="14"/>
  <c r="E21677" i="14"/>
  <c r="AH21676" i="14"/>
  <c r="Q21676" i="14"/>
  <c r="E21676" i="14"/>
  <c r="AH21675" i="14"/>
  <c r="T21675" i="14"/>
  <c r="Q21675" i="14"/>
  <c r="E21675" i="14"/>
  <c r="AH21674" i="14"/>
  <c r="V21674" i="14"/>
  <c r="Q21674" i="14"/>
  <c r="E21674" i="14"/>
  <c r="AH21673" i="14"/>
  <c r="U21673" i="14"/>
  <c r="T21673" i="14"/>
  <c r="Q21673" i="14"/>
  <c r="E21673" i="14"/>
  <c r="AH21672" i="14"/>
  <c r="T21672" i="14"/>
  <c r="Q21672" i="14"/>
  <c r="E21672" i="14"/>
  <c r="AH21671" i="14"/>
  <c r="T21671" i="14"/>
  <c r="Q21671" i="14"/>
  <c r="E21671" i="14"/>
  <c r="AH21670" i="14"/>
  <c r="U21670" i="14"/>
  <c r="T21670" i="14"/>
  <c r="Q21670" i="14"/>
  <c r="E21670" i="14"/>
  <c r="AH21669" i="14"/>
  <c r="V21669" i="14"/>
  <c r="T21669" i="14"/>
  <c r="Q21669" i="14"/>
  <c r="E21669" i="14"/>
  <c r="AH21668" i="14"/>
  <c r="W21668" i="14"/>
  <c r="V21668" i="14"/>
  <c r="T21668" i="14"/>
  <c r="Q21668" i="14"/>
  <c r="P21668" i="14"/>
  <c r="O21668" i="14"/>
  <c r="E21668" i="14"/>
  <c r="AH21667" i="14"/>
  <c r="Q21667" i="14"/>
  <c r="E21667" i="14"/>
  <c r="AH21666" i="14"/>
  <c r="Q21666" i="14"/>
  <c r="E21666" i="14"/>
  <c r="AH21665" i="14"/>
  <c r="T21665" i="14"/>
  <c r="Q21665" i="14"/>
  <c r="E21665" i="14"/>
  <c r="AH21664" i="14"/>
  <c r="T21664" i="14"/>
  <c r="Q21664" i="14"/>
  <c r="P21664" i="14"/>
  <c r="O21664" i="14"/>
  <c r="L21664" i="14"/>
  <c r="E21664" i="14"/>
  <c r="AH21663" i="14"/>
  <c r="T21663" i="14"/>
  <c r="Q21663" i="14"/>
  <c r="P21663" i="14"/>
  <c r="E21663" i="14"/>
  <c r="AH21662" i="14"/>
  <c r="V21662" i="14"/>
  <c r="T21662" i="14"/>
  <c r="Q21662" i="14"/>
  <c r="P21662" i="14"/>
  <c r="E21662" i="14"/>
  <c r="AH21661" i="14"/>
  <c r="W21661" i="14"/>
  <c r="V21661" i="14"/>
  <c r="Q21661" i="14"/>
  <c r="E21661" i="14"/>
  <c r="AH21660" i="14"/>
  <c r="T21660" i="14"/>
  <c r="E21660" i="14"/>
  <c r="AH21659" i="14"/>
  <c r="T21659" i="14"/>
  <c r="E21659" i="14"/>
  <c r="AH21658" i="14"/>
  <c r="T21658" i="14"/>
  <c r="E21658" i="14"/>
  <c r="AH21657" i="14"/>
  <c r="E21657" i="14"/>
  <c r="AH21656" i="14"/>
  <c r="T21656" i="14"/>
  <c r="E21656" i="14"/>
  <c r="AH21655" i="14"/>
  <c r="T21655" i="14"/>
  <c r="E21655" i="14"/>
  <c r="AH21654" i="14"/>
  <c r="W21654" i="14"/>
  <c r="V21654" i="14"/>
  <c r="T21654" i="14"/>
  <c r="Q21654" i="14"/>
  <c r="P21654" i="14"/>
  <c r="E21654" i="14"/>
  <c r="AH21653" i="14"/>
  <c r="V21653" i="14"/>
  <c r="T21653" i="14"/>
  <c r="Q21653" i="14"/>
  <c r="E21653" i="14"/>
  <c r="AH21652" i="14"/>
  <c r="U21652" i="14"/>
  <c r="T21652" i="14"/>
  <c r="Q21652" i="14"/>
  <c r="E21652" i="14"/>
  <c r="AH21651" i="14"/>
  <c r="W21651" i="14"/>
  <c r="V21651" i="14"/>
  <c r="U21651" i="14"/>
  <c r="T21651" i="14"/>
  <c r="Q21651" i="14"/>
  <c r="M21651" i="14"/>
  <c r="E21651" i="14"/>
  <c r="AH21650" i="14"/>
  <c r="V21650" i="14"/>
  <c r="T21650" i="14"/>
  <c r="Q21650" i="14"/>
  <c r="E21650" i="14"/>
  <c r="AH21649" i="14"/>
  <c r="V21649" i="14"/>
  <c r="T21649" i="14"/>
  <c r="Q21649" i="14"/>
  <c r="E21649" i="14"/>
  <c r="AH21648" i="14"/>
  <c r="V21648" i="14"/>
  <c r="T21648" i="14"/>
  <c r="Q21648" i="14"/>
  <c r="E21648" i="14"/>
  <c r="AH21647" i="14"/>
  <c r="V21647" i="14"/>
  <c r="T21647" i="14"/>
  <c r="Q21647" i="14"/>
  <c r="P21647" i="14"/>
  <c r="E21647" i="14"/>
  <c r="AH21646" i="14"/>
  <c r="V21646" i="14"/>
  <c r="U21646" i="14"/>
  <c r="T21646" i="14"/>
  <c r="Q21646" i="14"/>
  <c r="M21646" i="14"/>
  <c r="E21646" i="14"/>
  <c r="AH21645" i="14"/>
  <c r="W21645" i="14"/>
  <c r="V21645" i="14"/>
  <c r="Q21645" i="14"/>
  <c r="E21645" i="14"/>
  <c r="AH21644" i="14"/>
  <c r="T21644" i="14"/>
  <c r="Q21644" i="14"/>
  <c r="E21644" i="14"/>
  <c r="AH21643" i="14"/>
  <c r="V21643" i="14"/>
  <c r="T21643" i="14"/>
  <c r="Q21643" i="14"/>
  <c r="E21643" i="14"/>
  <c r="AH21642" i="14"/>
  <c r="AE21642" i="14"/>
  <c r="W21642" i="14"/>
  <c r="V21642" i="14"/>
  <c r="U21642" i="14"/>
  <c r="T21642" i="14"/>
  <c r="Q21642" i="14"/>
  <c r="L21642" i="14"/>
  <c r="E21642" i="14"/>
  <c r="AH21641" i="14"/>
  <c r="T21641" i="14"/>
  <c r="Q21641" i="14"/>
  <c r="P21641" i="14"/>
  <c r="O21641" i="14"/>
  <c r="L21641" i="14"/>
  <c r="I21641" i="14"/>
  <c r="E21641" i="14"/>
  <c r="AH21640" i="14"/>
  <c r="W21640" i="14"/>
  <c r="V21640" i="14"/>
  <c r="Q21640" i="14"/>
  <c r="M21640" i="14"/>
  <c r="E21640" i="14"/>
  <c r="AH21639" i="14"/>
  <c r="V21639" i="14"/>
  <c r="T21639" i="14"/>
  <c r="Q21639" i="14"/>
  <c r="P21639" i="14"/>
  <c r="E21639" i="14"/>
  <c r="AH21638" i="14"/>
  <c r="V21638" i="14"/>
  <c r="Q21638" i="14"/>
  <c r="E21638" i="14"/>
  <c r="AH21637" i="14"/>
  <c r="W21637" i="14"/>
  <c r="V21637" i="14"/>
  <c r="Q21637" i="14"/>
  <c r="E21637" i="14"/>
  <c r="AH21636" i="14"/>
  <c r="V21636" i="14"/>
  <c r="T21636" i="14"/>
  <c r="Q21636" i="14"/>
  <c r="P21636" i="14"/>
  <c r="E21636" i="14"/>
  <c r="AH21635" i="14"/>
  <c r="V21635" i="14"/>
  <c r="Q21635" i="14"/>
  <c r="E21635" i="14"/>
  <c r="AH21634" i="14"/>
  <c r="T21634" i="14"/>
  <c r="Q21634" i="14"/>
  <c r="E21634" i="14"/>
  <c r="AH21633" i="14"/>
  <c r="V21633" i="14"/>
  <c r="Q21633" i="14"/>
  <c r="E21633" i="14"/>
  <c r="AH21632" i="14"/>
  <c r="V21632" i="14"/>
  <c r="T21632" i="14"/>
  <c r="Q21632" i="14"/>
  <c r="P21632" i="14"/>
  <c r="E21632" i="14"/>
  <c r="AH21631" i="14"/>
  <c r="T21631" i="14"/>
  <c r="Q21631" i="14"/>
  <c r="E21631" i="14"/>
  <c r="AH21630" i="14"/>
  <c r="T21630" i="14"/>
  <c r="E21630" i="14"/>
  <c r="AH21629" i="14"/>
  <c r="V21629" i="14"/>
  <c r="U21629" i="14"/>
  <c r="T21629" i="14"/>
  <c r="Q21629" i="14"/>
  <c r="E21629" i="14"/>
  <c r="AH21628" i="14"/>
  <c r="V21628" i="14"/>
  <c r="T21628" i="14"/>
  <c r="Q21628" i="14"/>
  <c r="O21628" i="14"/>
  <c r="E21628" i="14"/>
  <c r="AH21627" i="14"/>
  <c r="V21627" i="14"/>
  <c r="T21627" i="14"/>
  <c r="Q21627" i="14"/>
  <c r="P21627" i="14"/>
  <c r="O21627" i="14"/>
  <c r="E21627" i="14"/>
  <c r="AH21626" i="14"/>
  <c r="V21626" i="14"/>
  <c r="T21626" i="14"/>
  <c r="Q21626" i="14"/>
  <c r="E21626" i="14"/>
  <c r="AH21625" i="14"/>
  <c r="Q21625" i="14"/>
  <c r="P21625" i="14"/>
  <c r="O21625" i="14"/>
  <c r="E21625" i="14"/>
  <c r="AH21624" i="14"/>
  <c r="V21624" i="14"/>
  <c r="U21624" i="14"/>
  <c r="T21624" i="14"/>
  <c r="Q21624" i="14"/>
  <c r="O21624" i="14"/>
  <c r="E21624" i="14"/>
  <c r="AH21623" i="14"/>
  <c r="T21623" i="14"/>
  <c r="Q21623" i="14"/>
  <c r="O21623" i="14"/>
  <c r="E21623" i="14"/>
  <c r="AH21622" i="14"/>
  <c r="Q21622" i="14"/>
  <c r="P21622" i="14"/>
  <c r="O21622" i="14"/>
  <c r="E21622" i="14"/>
  <c r="AH21621" i="14"/>
  <c r="Q21621" i="14"/>
  <c r="O21621" i="14"/>
  <c r="E21621" i="14"/>
  <c r="AH21620" i="14"/>
  <c r="T21620" i="14"/>
  <c r="Q21620" i="14"/>
  <c r="P21620" i="14"/>
  <c r="O21620" i="14"/>
  <c r="E21620" i="14"/>
  <c r="AH21619" i="14"/>
  <c r="T21619" i="14"/>
  <c r="Q21619" i="14"/>
  <c r="E21619" i="14"/>
  <c r="AH21618" i="14"/>
  <c r="T21618" i="14"/>
  <c r="Q21618" i="14"/>
  <c r="P21618" i="14"/>
  <c r="O21618" i="14"/>
  <c r="E21618" i="14"/>
  <c r="AH21617" i="14"/>
  <c r="T21617" i="14"/>
  <c r="Q21617" i="14"/>
  <c r="E21617" i="14"/>
  <c r="AH21616" i="14"/>
  <c r="W21616" i="14"/>
  <c r="V21616" i="14"/>
  <c r="U21616" i="14"/>
  <c r="T21616" i="14"/>
  <c r="Q21616" i="14"/>
  <c r="P21616" i="14"/>
  <c r="O21616" i="14"/>
  <c r="E21616" i="14"/>
  <c r="AH21615" i="14"/>
  <c r="T21615" i="14"/>
  <c r="Q21615" i="14"/>
  <c r="E21615" i="14"/>
  <c r="AH21614" i="14"/>
  <c r="T21614" i="14"/>
  <c r="Q21614" i="14"/>
  <c r="P21614" i="14"/>
  <c r="O21614" i="14"/>
  <c r="E21614" i="14"/>
  <c r="AH21613" i="14"/>
  <c r="Q21613" i="14"/>
  <c r="P21613" i="14"/>
  <c r="O21613" i="14"/>
  <c r="E21613" i="14"/>
  <c r="AH21612" i="14"/>
  <c r="T21612" i="14"/>
  <c r="Q21612" i="14"/>
  <c r="E21612" i="14"/>
  <c r="AH21611" i="14"/>
  <c r="V21611" i="14"/>
  <c r="U21611" i="14"/>
  <c r="T21611" i="14"/>
  <c r="Q21611" i="14"/>
  <c r="E21611" i="14"/>
  <c r="AH21610" i="14"/>
  <c r="T21610" i="14"/>
  <c r="Q21610" i="14"/>
  <c r="E21610" i="14"/>
  <c r="AH21609" i="14"/>
  <c r="V21609" i="14"/>
  <c r="U21609" i="14"/>
  <c r="T21609" i="14"/>
  <c r="Q21609" i="14"/>
  <c r="E21609" i="14"/>
  <c r="AH21608" i="14"/>
  <c r="V21608" i="14"/>
  <c r="T21608" i="14"/>
  <c r="Q21608" i="14"/>
  <c r="E21608" i="14"/>
  <c r="AH21607" i="14"/>
  <c r="U21607" i="14"/>
  <c r="T21607" i="14"/>
  <c r="Q21607" i="14"/>
  <c r="E21607" i="14"/>
  <c r="AH21606" i="14"/>
  <c r="T21606" i="14"/>
  <c r="Q21606" i="14"/>
  <c r="P21606" i="14"/>
  <c r="O21606" i="14"/>
  <c r="E21606" i="14"/>
  <c r="AH21605" i="14"/>
  <c r="V21605" i="14"/>
  <c r="T21605" i="14"/>
  <c r="Q21605" i="14"/>
  <c r="E21605" i="14"/>
  <c r="AH21604" i="14"/>
  <c r="Q21604" i="14"/>
  <c r="P21604" i="14"/>
  <c r="E21604" i="14"/>
  <c r="AH21603" i="14"/>
  <c r="T21603" i="14"/>
  <c r="Q21603" i="14"/>
  <c r="E21603" i="14"/>
  <c r="AH21602" i="14"/>
  <c r="V21602" i="14"/>
  <c r="T21602" i="14"/>
  <c r="Q21602" i="14"/>
  <c r="P21602" i="14"/>
  <c r="E21602" i="14"/>
  <c r="AH21601" i="14"/>
  <c r="V21601" i="14"/>
  <c r="T21601" i="14"/>
  <c r="Q21601" i="14"/>
  <c r="E21601" i="14"/>
  <c r="AH21600" i="14"/>
  <c r="V21600" i="14"/>
  <c r="U21600" i="14"/>
  <c r="T21600" i="14"/>
  <c r="Q21600" i="14"/>
  <c r="E21600" i="14"/>
  <c r="AH21599" i="14"/>
  <c r="V21599" i="14"/>
  <c r="Q21599" i="14"/>
  <c r="E21599" i="14"/>
  <c r="AH21598" i="14"/>
  <c r="W21598" i="14"/>
  <c r="V21598" i="14"/>
  <c r="U21598" i="14"/>
  <c r="T21598" i="14"/>
  <c r="Q21598" i="14"/>
  <c r="E21598" i="14"/>
  <c r="AH21597" i="14"/>
  <c r="V21597" i="14"/>
  <c r="T21597" i="14"/>
  <c r="Q21597" i="14"/>
  <c r="E21597" i="14"/>
  <c r="AH21596" i="14"/>
  <c r="V21596" i="14"/>
  <c r="T21596" i="14"/>
  <c r="Q21596" i="14"/>
  <c r="E21596" i="14"/>
  <c r="AH21595" i="14"/>
  <c r="W21595" i="14"/>
  <c r="V21595" i="14"/>
  <c r="U21595" i="14"/>
  <c r="T21595" i="14"/>
  <c r="Q21595" i="14"/>
  <c r="E21595" i="14"/>
  <c r="AH21594" i="14"/>
  <c r="V21594" i="14"/>
  <c r="T21594" i="14"/>
  <c r="Q21594" i="14"/>
  <c r="O21594" i="14"/>
  <c r="E21594" i="14"/>
  <c r="AH21593" i="14"/>
  <c r="V21593" i="14"/>
  <c r="Q21593" i="14"/>
  <c r="P21593" i="14"/>
  <c r="O21593" i="14"/>
  <c r="E21593" i="14"/>
  <c r="AH21592" i="14"/>
  <c r="V21592" i="14"/>
  <c r="T21592" i="14"/>
  <c r="Q21592" i="14"/>
  <c r="E21592" i="14"/>
  <c r="AH21591" i="14"/>
  <c r="V21591" i="14"/>
  <c r="Q21591" i="14"/>
  <c r="E21591" i="14"/>
  <c r="AH21590" i="14"/>
  <c r="V21590" i="14"/>
  <c r="U21590" i="14"/>
  <c r="T21590" i="14"/>
  <c r="Q21590" i="14"/>
  <c r="E21590" i="14"/>
  <c r="AH21589" i="14"/>
  <c r="V21589" i="14"/>
  <c r="T21589" i="14"/>
  <c r="Q21589" i="14"/>
  <c r="E21589" i="14"/>
  <c r="AH21588" i="14"/>
  <c r="T21588" i="14"/>
  <c r="Q21588" i="14"/>
  <c r="E21588" i="14"/>
  <c r="AH21587" i="14"/>
  <c r="T21587" i="14"/>
  <c r="Q21587" i="14"/>
  <c r="O21587" i="14"/>
  <c r="E21587" i="14"/>
  <c r="AH21586" i="14"/>
  <c r="T21586" i="14"/>
  <c r="Q21586" i="14"/>
  <c r="E21586" i="14"/>
  <c r="AH21585" i="14"/>
  <c r="Q21585" i="14"/>
  <c r="E21585" i="14"/>
  <c r="AH21584" i="14"/>
  <c r="V21584" i="14"/>
  <c r="T21584" i="14"/>
  <c r="Q21584" i="14"/>
  <c r="P21584" i="14"/>
  <c r="E21584" i="14"/>
  <c r="AH21583" i="14"/>
  <c r="V21583" i="14"/>
  <c r="T21583" i="14"/>
  <c r="Q21583" i="14"/>
  <c r="E21583" i="14"/>
  <c r="AH21582" i="14"/>
  <c r="T21582" i="14"/>
  <c r="Q21582" i="14"/>
  <c r="E21582" i="14"/>
  <c r="AH21581" i="14"/>
  <c r="V21581" i="14"/>
  <c r="T21581" i="14"/>
  <c r="Q21581" i="14"/>
  <c r="E21581" i="14"/>
  <c r="AH21580" i="14"/>
  <c r="W21580" i="14"/>
  <c r="V21580" i="14"/>
  <c r="Q21580" i="14"/>
  <c r="E21580" i="14"/>
  <c r="AH21579" i="14"/>
  <c r="T21579" i="14"/>
  <c r="Q21579" i="14"/>
  <c r="E21579" i="14"/>
  <c r="AH21578" i="14"/>
  <c r="U21578" i="14"/>
  <c r="T21578" i="14"/>
  <c r="Q21578" i="14"/>
  <c r="E21578" i="14"/>
  <c r="AH21577" i="14"/>
  <c r="V21577" i="14"/>
  <c r="T21577" i="14"/>
  <c r="Q21577" i="14"/>
  <c r="E21577" i="14"/>
  <c r="AH21576" i="14"/>
  <c r="V21576" i="14"/>
  <c r="T21576" i="14"/>
  <c r="Q21576" i="14"/>
  <c r="P21576" i="14"/>
  <c r="O21576" i="14"/>
  <c r="E21576" i="14"/>
  <c r="AH21575" i="14"/>
  <c r="V21575" i="14"/>
  <c r="T21575" i="14"/>
  <c r="Q21575" i="14"/>
  <c r="P21575" i="14"/>
  <c r="O21575" i="14"/>
  <c r="E21575" i="14"/>
  <c r="AH21574" i="14"/>
  <c r="T21574" i="14"/>
  <c r="E21574" i="14"/>
  <c r="AH21573" i="14"/>
  <c r="V21573" i="14"/>
  <c r="T21573" i="14"/>
  <c r="Q21573" i="14"/>
  <c r="E21573" i="14"/>
  <c r="AH21572" i="14"/>
  <c r="V21572" i="14"/>
  <c r="Q21572" i="14"/>
  <c r="E21572" i="14"/>
  <c r="AH21571" i="14"/>
  <c r="E21571" i="14"/>
  <c r="AH21570" i="14"/>
  <c r="T21570" i="14"/>
  <c r="Q21570" i="14"/>
  <c r="P21570" i="14"/>
  <c r="O21570" i="14"/>
  <c r="E21570" i="14"/>
  <c r="AH21569" i="14"/>
  <c r="V21569" i="14"/>
  <c r="T21569" i="14"/>
  <c r="Q21569" i="14"/>
  <c r="P21569" i="14"/>
  <c r="O21569" i="14"/>
  <c r="E21569" i="14"/>
  <c r="AH21568" i="14"/>
  <c r="V21568" i="14"/>
  <c r="T21568" i="14"/>
  <c r="Q21568" i="14"/>
  <c r="E21568" i="14"/>
  <c r="AH21567" i="14"/>
  <c r="W21567" i="14"/>
  <c r="V21567" i="14"/>
  <c r="U21567" i="14"/>
  <c r="T21567" i="14"/>
  <c r="Q21567" i="14"/>
  <c r="E21567" i="14"/>
  <c r="AH21566" i="14"/>
  <c r="Q21566" i="14"/>
  <c r="E21566" i="14"/>
  <c r="AH21565" i="14"/>
  <c r="V21565" i="14"/>
  <c r="T21565" i="14"/>
  <c r="Q21565" i="14"/>
  <c r="P21565" i="14"/>
  <c r="E21565" i="14"/>
  <c r="AH21564" i="14"/>
  <c r="Q21564" i="14"/>
  <c r="E21564" i="14"/>
  <c r="AH21563" i="14"/>
  <c r="T21563" i="14"/>
  <c r="E21563" i="14"/>
  <c r="AH21562" i="14"/>
  <c r="T21562" i="14"/>
  <c r="E21562" i="14"/>
  <c r="AH21561" i="14"/>
  <c r="T21561" i="14"/>
  <c r="E21561" i="14"/>
  <c r="AH21560" i="14"/>
  <c r="T21560" i="14"/>
  <c r="E21560" i="14"/>
  <c r="AH21559" i="14"/>
  <c r="T21559" i="14"/>
  <c r="E21559" i="14"/>
  <c r="AH21558" i="14"/>
  <c r="E21558" i="14"/>
  <c r="AH21557" i="14"/>
  <c r="T21557" i="14"/>
  <c r="E21557" i="14"/>
  <c r="AH21556" i="14"/>
  <c r="T21556" i="14"/>
  <c r="E21556" i="14"/>
  <c r="AH21555" i="14"/>
  <c r="T21555" i="14"/>
  <c r="E21555" i="14"/>
  <c r="AH21554" i="14"/>
  <c r="E21554" i="14"/>
  <c r="AH21553" i="14"/>
  <c r="T21553" i="14"/>
  <c r="E21553" i="14"/>
  <c r="AH21552" i="14"/>
  <c r="T21552" i="14"/>
  <c r="E21552" i="14"/>
  <c r="AH21551" i="14"/>
  <c r="T21551" i="14"/>
  <c r="E21551" i="14"/>
  <c r="AH21550" i="14"/>
  <c r="U21550" i="14"/>
  <c r="T21550" i="14"/>
  <c r="Q21550" i="14"/>
  <c r="E21550" i="14"/>
  <c r="AH21549" i="14"/>
  <c r="V21549" i="14"/>
  <c r="T21549" i="14"/>
  <c r="Q21549" i="14"/>
  <c r="P21549" i="14"/>
  <c r="E21549" i="14"/>
  <c r="AH21548" i="14"/>
  <c r="T21548" i="14"/>
  <c r="Q21548" i="14"/>
  <c r="E21548" i="14"/>
  <c r="AH21547" i="14"/>
  <c r="V21547" i="14"/>
  <c r="T21547" i="14"/>
  <c r="Q21547" i="14"/>
  <c r="E21547" i="14"/>
  <c r="AH21546" i="14"/>
  <c r="V21546" i="14"/>
  <c r="T21546" i="14"/>
  <c r="Q21546" i="14"/>
  <c r="P21546" i="14"/>
  <c r="E21546" i="14"/>
  <c r="AH21545" i="14"/>
  <c r="Q21545" i="14"/>
  <c r="E21545" i="14"/>
  <c r="AH21544" i="14"/>
  <c r="V21544" i="14"/>
  <c r="T21544" i="14"/>
  <c r="Q21544" i="14"/>
  <c r="E21544" i="14"/>
  <c r="AH21543" i="14"/>
  <c r="V21543" i="14"/>
  <c r="Q21543" i="14"/>
  <c r="E21543" i="14"/>
  <c r="AH21542" i="14"/>
  <c r="V21542" i="14"/>
  <c r="T21542" i="14"/>
  <c r="Q21542" i="14"/>
  <c r="P21542" i="14"/>
  <c r="E21542" i="14"/>
  <c r="AH21541" i="14"/>
  <c r="V21541" i="14"/>
  <c r="T21541" i="14"/>
  <c r="Q21541" i="14"/>
  <c r="E21541" i="14"/>
  <c r="AH21540" i="14"/>
  <c r="T21540" i="14"/>
  <c r="Q21540" i="14"/>
  <c r="L21540" i="14"/>
  <c r="E21540" i="14"/>
  <c r="AH21539" i="14"/>
  <c r="V21539" i="14"/>
  <c r="T21539" i="14"/>
  <c r="Q21539" i="14"/>
  <c r="P21539" i="14"/>
  <c r="E21539" i="14"/>
  <c r="AH21538" i="14"/>
  <c r="T21538" i="14"/>
  <c r="Q21538" i="14"/>
  <c r="O21538" i="14"/>
  <c r="E21538" i="14"/>
  <c r="AH21537" i="14"/>
  <c r="AE21537" i="14"/>
  <c r="W21537" i="14"/>
  <c r="V21537" i="14"/>
  <c r="Q21537" i="14"/>
  <c r="P21537" i="14"/>
  <c r="O21537" i="14"/>
  <c r="L21537" i="14"/>
  <c r="K21537" i="14"/>
  <c r="I21537" i="14"/>
  <c r="E21537" i="14"/>
  <c r="AH21536" i="14"/>
  <c r="V21536" i="14"/>
  <c r="T21536" i="14"/>
  <c r="Q21536" i="14"/>
  <c r="P21536" i="14"/>
  <c r="O21536" i="14"/>
  <c r="E21536" i="14"/>
  <c r="AH21535" i="14"/>
  <c r="V21535" i="14"/>
  <c r="T21535" i="14"/>
  <c r="Q21535" i="14"/>
  <c r="E21535" i="14"/>
  <c r="AH21534" i="14"/>
  <c r="V21534" i="14"/>
  <c r="U21534" i="14"/>
  <c r="T21534" i="14"/>
  <c r="Q21534" i="14"/>
  <c r="E21534" i="14"/>
  <c r="AH21533" i="14"/>
  <c r="V21533" i="14"/>
  <c r="T21533" i="14"/>
  <c r="Q21533" i="14"/>
  <c r="E21533" i="14"/>
  <c r="AH21532" i="14"/>
  <c r="T21532" i="14"/>
  <c r="Q21532" i="14"/>
  <c r="E21532" i="14"/>
  <c r="AH21531" i="14"/>
  <c r="U21531" i="14"/>
  <c r="T21531" i="14"/>
  <c r="Q21531" i="14"/>
  <c r="M21531" i="14"/>
  <c r="E21531" i="14"/>
  <c r="AH21530" i="14"/>
  <c r="V21530" i="14"/>
  <c r="Q21530" i="14"/>
  <c r="E21530" i="14"/>
  <c r="AH21529" i="14"/>
  <c r="T21529" i="14"/>
  <c r="Q21529" i="14"/>
  <c r="E21529" i="14"/>
  <c r="AH21528" i="14"/>
  <c r="E21528" i="14"/>
  <c r="AH21527" i="14"/>
  <c r="V21527" i="14"/>
  <c r="T21527" i="14"/>
  <c r="Q21527" i="14"/>
  <c r="P21527" i="14"/>
  <c r="E21527" i="14"/>
  <c r="AH21526" i="14"/>
  <c r="V21526" i="14"/>
  <c r="Q21526" i="14"/>
  <c r="E21526" i="14"/>
  <c r="AH21525" i="14"/>
  <c r="T21525" i="14"/>
  <c r="E21525" i="14"/>
  <c r="AH21524" i="14"/>
  <c r="V21524" i="14"/>
  <c r="T21524" i="14"/>
  <c r="Q21524" i="14"/>
  <c r="E21524" i="14"/>
  <c r="AH21523" i="14"/>
  <c r="T21523" i="14"/>
  <c r="Q21523" i="14"/>
  <c r="E21523" i="14"/>
  <c r="AK21522" i="14"/>
  <c r="AH21522" i="14"/>
  <c r="V21522" i="14"/>
  <c r="U21522" i="14"/>
  <c r="T21522" i="14"/>
  <c r="Q21522" i="14"/>
  <c r="O21522" i="14"/>
  <c r="N21522" i="14"/>
  <c r="M21522" i="14"/>
  <c r="E21522" i="14"/>
  <c r="AK21521" i="14"/>
  <c r="AH21521" i="14"/>
  <c r="V21521" i="14"/>
  <c r="Q21521" i="14"/>
  <c r="N21521" i="14"/>
  <c r="E21521" i="14"/>
  <c r="AH21520" i="14"/>
  <c r="V21520" i="14"/>
  <c r="U21520" i="14"/>
  <c r="T21520" i="14"/>
  <c r="Q21520" i="14"/>
  <c r="M21520" i="14"/>
  <c r="E21520" i="14"/>
  <c r="AK21519" i="14"/>
  <c r="AH21519" i="14"/>
  <c r="V21519" i="14"/>
  <c r="T21519" i="14"/>
  <c r="Q21519" i="14"/>
  <c r="P21519" i="14"/>
  <c r="N21519" i="14"/>
  <c r="E21519" i="14"/>
  <c r="AH21518" i="14"/>
  <c r="W21518" i="14"/>
  <c r="V21518" i="14"/>
  <c r="U21518" i="14"/>
  <c r="T21518" i="14"/>
  <c r="Q21518" i="14"/>
  <c r="E21518" i="14"/>
  <c r="AH21517" i="14"/>
  <c r="U21517" i="14"/>
  <c r="T21517" i="14"/>
  <c r="Q21517" i="14"/>
  <c r="P21517" i="14"/>
  <c r="O21517" i="14"/>
  <c r="E21517" i="14"/>
  <c r="AH21516" i="14"/>
  <c r="AE21516" i="14"/>
  <c r="W21516" i="14"/>
  <c r="V21516" i="14"/>
  <c r="Q21516" i="14"/>
  <c r="P21516" i="14"/>
  <c r="O21516" i="14"/>
  <c r="L21516" i="14"/>
  <c r="E21516" i="14"/>
  <c r="AH21515" i="14"/>
  <c r="V21515" i="14"/>
  <c r="T21515" i="14"/>
  <c r="Q21515" i="14"/>
  <c r="E21515" i="14"/>
  <c r="AH21514" i="14"/>
  <c r="W21514" i="14"/>
  <c r="V21514" i="14"/>
  <c r="U21514" i="14"/>
  <c r="T21514" i="14"/>
  <c r="Q21514" i="14"/>
  <c r="P21514" i="14"/>
  <c r="O21514" i="14"/>
  <c r="E21514" i="14"/>
  <c r="AH21513" i="14"/>
  <c r="AE21513" i="14"/>
  <c r="W21513" i="14"/>
  <c r="V21513" i="14"/>
  <c r="Q21513" i="14"/>
  <c r="P21513" i="14"/>
  <c r="O21513" i="14"/>
  <c r="M21513" i="14"/>
  <c r="E21513" i="14"/>
  <c r="AH21512" i="14"/>
  <c r="W21512" i="14"/>
  <c r="V21512" i="14"/>
  <c r="U21512" i="14"/>
  <c r="T21512" i="14"/>
  <c r="Q21512" i="14"/>
  <c r="P21512" i="14"/>
  <c r="E21512" i="14"/>
  <c r="AH21511" i="14"/>
  <c r="V21511" i="14"/>
  <c r="T21511" i="14"/>
  <c r="Q21511" i="14"/>
  <c r="P21511" i="14"/>
  <c r="O21511" i="14"/>
  <c r="E21511" i="14"/>
  <c r="AH21510" i="14"/>
  <c r="U21510" i="14"/>
  <c r="T21510" i="14"/>
  <c r="Q21510" i="14"/>
  <c r="E21510" i="14"/>
  <c r="AH21509" i="14"/>
  <c r="T21509" i="14"/>
  <c r="E21509" i="14"/>
  <c r="AH21508" i="14"/>
  <c r="V21508" i="14"/>
  <c r="T21508" i="14"/>
  <c r="Q21508" i="14"/>
  <c r="P21508" i="14"/>
  <c r="O21508" i="14"/>
  <c r="E21508" i="14"/>
  <c r="AH21507" i="14"/>
  <c r="V21507" i="14"/>
  <c r="T21507" i="14"/>
  <c r="Q21507" i="14"/>
  <c r="P21507" i="14"/>
  <c r="E21507" i="14"/>
  <c r="AH21506" i="14"/>
  <c r="V21506" i="14"/>
  <c r="T21506" i="14"/>
  <c r="Q21506" i="14"/>
  <c r="P21506" i="14"/>
  <c r="E21506" i="14"/>
  <c r="AH21505" i="14"/>
  <c r="W21505" i="14"/>
  <c r="V21505" i="14"/>
  <c r="U21505" i="14"/>
  <c r="T21505" i="14"/>
  <c r="Q21505" i="14"/>
  <c r="P21505" i="14"/>
  <c r="O21505" i="14"/>
  <c r="M21505" i="14"/>
  <c r="E21505" i="14"/>
  <c r="AH21504" i="14"/>
  <c r="Q21504" i="14"/>
  <c r="P21504" i="14"/>
  <c r="O21504" i="14"/>
  <c r="E21504" i="14"/>
  <c r="AH21503" i="14"/>
  <c r="T21503" i="14"/>
  <c r="Q21503" i="14"/>
  <c r="P21503" i="14"/>
  <c r="O21503" i="14"/>
  <c r="E21503" i="14"/>
  <c r="AH21502" i="14"/>
  <c r="T21502" i="14"/>
  <c r="E21502" i="14"/>
  <c r="AH21501" i="14"/>
  <c r="AE21501" i="14"/>
  <c r="Q21501" i="14"/>
  <c r="P21501" i="14"/>
  <c r="O21501" i="14"/>
  <c r="L21501" i="14"/>
  <c r="I21501" i="14"/>
  <c r="E21501" i="14"/>
  <c r="AH21500" i="14"/>
  <c r="V21500" i="14"/>
  <c r="T21500" i="14"/>
  <c r="Q21500" i="14"/>
  <c r="P21500" i="14"/>
  <c r="O21500" i="14"/>
  <c r="E21500" i="14"/>
  <c r="AH21499" i="14"/>
  <c r="V21499" i="14"/>
  <c r="T21499" i="14"/>
  <c r="Q21499" i="14"/>
  <c r="P21499" i="14"/>
  <c r="O21499" i="14"/>
  <c r="E21499" i="14"/>
  <c r="AH21498" i="14"/>
  <c r="V21498" i="14"/>
  <c r="T21498" i="14"/>
  <c r="Q21498" i="14"/>
  <c r="P21498" i="14"/>
  <c r="E21498" i="14"/>
  <c r="AH21497" i="14"/>
  <c r="V21497" i="14"/>
  <c r="U21497" i="14"/>
  <c r="T21497" i="14"/>
  <c r="Q21497" i="14"/>
  <c r="E21497" i="14"/>
  <c r="AH21496" i="14"/>
  <c r="V21496" i="14"/>
  <c r="T21496" i="14"/>
  <c r="Q21496" i="14"/>
  <c r="E21496" i="14"/>
  <c r="AH21495" i="14"/>
  <c r="W21495" i="14"/>
  <c r="V21495" i="14"/>
  <c r="U21495" i="14"/>
  <c r="T21495" i="14"/>
  <c r="Q21495" i="14"/>
  <c r="E21495" i="14"/>
  <c r="AH21494" i="14"/>
  <c r="U21494" i="14"/>
  <c r="T21494" i="14"/>
  <c r="Q21494" i="14"/>
  <c r="M21494" i="14"/>
  <c r="E21494" i="14"/>
  <c r="AH21493" i="14"/>
  <c r="Q21493" i="14"/>
  <c r="O21493" i="14"/>
  <c r="E21493" i="14"/>
  <c r="AH21492" i="14"/>
  <c r="Q21492" i="14"/>
  <c r="E21492" i="14"/>
  <c r="AH21491" i="14"/>
  <c r="V21491" i="14"/>
  <c r="Q21491" i="14"/>
  <c r="E21491" i="14"/>
  <c r="AH21490" i="14"/>
  <c r="T21490" i="14"/>
  <c r="Q21490" i="14"/>
  <c r="P21490" i="14"/>
  <c r="O21490" i="14"/>
  <c r="E21490" i="14"/>
  <c r="AH21489" i="14"/>
  <c r="T21489" i="14"/>
  <c r="Q21489" i="14"/>
  <c r="E21489" i="14"/>
  <c r="AH21488" i="14"/>
  <c r="T21488" i="14"/>
  <c r="Q21488" i="14"/>
  <c r="P21488" i="14"/>
  <c r="O21488" i="14"/>
  <c r="E21488" i="14"/>
  <c r="AH21487" i="14"/>
  <c r="T21487" i="14"/>
  <c r="Q21487" i="14"/>
  <c r="E21487" i="14"/>
  <c r="AH21486" i="14"/>
  <c r="V21486" i="14"/>
  <c r="T21486" i="14"/>
  <c r="Q21486" i="14"/>
  <c r="E21486" i="14"/>
  <c r="AH21485" i="14"/>
  <c r="Q21485" i="14"/>
  <c r="E21485" i="14"/>
  <c r="AH21484" i="14"/>
  <c r="Q21484" i="14"/>
  <c r="E21484" i="14"/>
  <c r="AH21483" i="14"/>
  <c r="T21483" i="14"/>
  <c r="Q21483" i="14"/>
  <c r="E21483" i="14"/>
  <c r="AH21482" i="14"/>
  <c r="V21482" i="14"/>
  <c r="T21482" i="14"/>
  <c r="Q21482" i="14"/>
  <c r="E21482" i="14"/>
  <c r="AH21481" i="14"/>
  <c r="W21481" i="14"/>
  <c r="V21481" i="14"/>
  <c r="T21481" i="14"/>
  <c r="Q21481" i="14"/>
  <c r="M21481" i="14"/>
  <c r="E21481" i="14"/>
  <c r="AH21480" i="14"/>
  <c r="T21480" i="14"/>
  <c r="Q21480" i="14"/>
  <c r="E21480" i="14"/>
  <c r="AH21479" i="14"/>
  <c r="T21479" i="14"/>
  <c r="E21479" i="14"/>
  <c r="AH21478" i="14"/>
  <c r="W21478" i="14"/>
  <c r="V21478" i="14"/>
  <c r="U21478" i="14"/>
  <c r="T21478" i="14"/>
  <c r="Q21478" i="14"/>
  <c r="O21478" i="14"/>
  <c r="M21478" i="14"/>
  <c r="E21478" i="14"/>
  <c r="AH21477" i="14"/>
  <c r="W21477" i="14"/>
  <c r="V21477" i="14"/>
  <c r="Q21477" i="14"/>
  <c r="E21477" i="14"/>
  <c r="AH21476" i="14"/>
  <c r="T21476" i="14"/>
  <c r="Q21476" i="14"/>
  <c r="E21476" i="14"/>
  <c r="AH21475" i="14"/>
  <c r="U21475" i="14"/>
  <c r="T21475" i="14"/>
  <c r="Q21475" i="14"/>
  <c r="P21475" i="14"/>
  <c r="O21475" i="14"/>
  <c r="M21475" i="14"/>
  <c r="E21475" i="14"/>
  <c r="AH21474" i="14"/>
  <c r="W21474" i="14"/>
  <c r="V21474" i="14"/>
  <c r="T21474" i="14"/>
  <c r="Q21474" i="14"/>
  <c r="M21474" i="14"/>
  <c r="E21474" i="14"/>
  <c r="AH21473" i="14"/>
  <c r="T21473" i="14"/>
  <c r="Q21473" i="14"/>
  <c r="E21473" i="14"/>
  <c r="AH21472" i="14"/>
  <c r="T21472" i="14"/>
  <c r="Q21472" i="14"/>
  <c r="E21472" i="14"/>
  <c r="AH21471" i="14"/>
  <c r="W21471" i="14"/>
  <c r="V21471" i="14"/>
  <c r="Q21471" i="14"/>
  <c r="E21471" i="14"/>
  <c r="AH21470" i="14"/>
  <c r="V21470" i="14"/>
  <c r="T21470" i="14"/>
  <c r="Q21470" i="14"/>
  <c r="O21470" i="14"/>
  <c r="E21470" i="14"/>
  <c r="AH21469" i="14"/>
  <c r="V21469" i="14"/>
  <c r="T21469" i="14"/>
  <c r="Q21469" i="14"/>
  <c r="E21469" i="14"/>
  <c r="AH21468" i="14"/>
  <c r="T21468" i="14"/>
  <c r="Q21468" i="14"/>
  <c r="P21468" i="14"/>
  <c r="E21468" i="14"/>
  <c r="AH21467" i="14"/>
  <c r="V21467" i="14"/>
  <c r="T21467" i="14"/>
  <c r="Q21467" i="14"/>
  <c r="P21467" i="14"/>
  <c r="E21467" i="14"/>
  <c r="AH21466" i="14"/>
  <c r="V21466" i="14"/>
  <c r="T21466" i="14"/>
  <c r="Q21466" i="14"/>
  <c r="P21466" i="14"/>
  <c r="O21466" i="14"/>
  <c r="E21466" i="14"/>
  <c r="AH21465" i="14"/>
  <c r="V21465" i="14"/>
  <c r="U21465" i="14"/>
  <c r="T21465" i="14"/>
  <c r="Q21465" i="14"/>
  <c r="E21465" i="14"/>
  <c r="AH21464" i="14"/>
  <c r="T21464" i="14"/>
  <c r="Q21464" i="14"/>
  <c r="E21464" i="14"/>
  <c r="AH21463" i="14"/>
  <c r="U21463" i="14"/>
  <c r="T21463" i="14"/>
  <c r="Q21463" i="14"/>
  <c r="E21463" i="14"/>
  <c r="AH21462" i="14"/>
  <c r="V21462" i="14"/>
  <c r="T21462" i="14"/>
  <c r="Q21462" i="14"/>
  <c r="E21462" i="14"/>
  <c r="AH21461" i="14"/>
  <c r="T21461" i="14"/>
  <c r="Q21461" i="14"/>
  <c r="P21461" i="14"/>
  <c r="E21461" i="14"/>
  <c r="AH21460" i="14"/>
  <c r="T21460" i="14"/>
  <c r="Q21460" i="14"/>
  <c r="E21460" i="14"/>
  <c r="AH21459" i="14"/>
  <c r="T21459" i="14"/>
  <c r="Q21459" i="14"/>
  <c r="E21459" i="14"/>
  <c r="AH21458" i="14"/>
  <c r="U21458" i="14"/>
  <c r="T21458" i="14"/>
  <c r="Q21458" i="14"/>
  <c r="E21458" i="14"/>
  <c r="AH21457" i="14"/>
  <c r="V21457" i="14"/>
  <c r="T21457" i="14"/>
  <c r="Q21457" i="14"/>
  <c r="E21457" i="14"/>
  <c r="AH21456" i="14"/>
  <c r="T21456" i="14"/>
  <c r="Q21456" i="14"/>
  <c r="P21456" i="14"/>
  <c r="O21456" i="14"/>
  <c r="E21456" i="14"/>
  <c r="AH21455" i="14"/>
  <c r="V21455" i="14"/>
  <c r="T21455" i="14"/>
  <c r="Q21455" i="14"/>
  <c r="P21455" i="14"/>
  <c r="E21455" i="14"/>
  <c r="AH21454" i="14"/>
  <c r="V21454" i="14"/>
  <c r="T21454" i="14"/>
  <c r="Q21454" i="14"/>
  <c r="E21454" i="14"/>
  <c r="AH21453" i="14"/>
  <c r="V21453" i="14"/>
  <c r="T21453" i="14"/>
  <c r="Q21453" i="14"/>
  <c r="E21453" i="14"/>
  <c r="AH21452" i="14"/>
  <c r="V21452" i="14"/>
  <c r="T21452" i="14"/>
  <c r="Q21452" i="14"/>
  <c r="E21452" i="14"/>
  <c r="AH21451" i="14"/>
  <c r="W21451" i="14"/>
  <c r="V21451" i="14"/>
  <c r="Q21451" i="14"/>
  <c r="E21451" i="14"/>
  <c r="AH21450" i="14"/>
  <c r="V21450" i="14"/>
  <c r="U21450" i="14"/>
  <c r="T21450" i="14"/>
  <c r="Q21450" i="14"/>
  <c r="E21450" i="14"/>
  <c r="AH21449" i="14"/>
  <c r="V21449" i="14"/>
  <c r="T21449" i="14"/>
  <c r="Q21449" i="14"/>
  <c r="P21449" i="14"/>
  <c r="E21449" i="14"/>
  <c r="AH21448" i="14"/>
  <c r="T21448" i="14"/>
  <c r="Q21448" i="14"/>
  <c r="P21448" i="14"/>
  <c r="O21448" i="14"/>
  <c r="E21448" i="14"/>
  <c r="AH21447" i="14"/>
  <c r="V21447" i="14"/>
  <c r="U21447" i="14"/>
  <c r="T21447" i="14"/>
  <c r="Q21447" i="14"/>
  <c r="P21447" i="14"/>
  <c r="E21447" i="14"/>
  <c r="AH21446" i="14"/>
  <c r="V21446" i="14"/>
  <c r="U21446" i="14"/>
  <c r="T21446" i="14"/>
  <c r="Q21446" i="14"/>
  <c r="M21446" i="14"/>
  <c r="E21446" i="14"/>
  <c r="AH21445" i="14"/>
  <c r="W21445" i="14"/>
  <c r="V21445" i="14"/>
  <c r="Q21445" i="14"/>
  <c r="E21445" i="14"/>
  <c r="AH21444" i="14"/>
  <c r="V21444" i="14"/>
  <c r="Q21444" i="14"/>
  <c r="P21444" i="14"/>
  <c r="G21444" i="14"/>
  <c r="E21444" i="14"/>
  <c r="AH21443" i="14"/>
  <c r="V21443" i="14"/>
  <c r="T21443" i="14"/>
  <c r="Q21443" i="14"/>
  <c r="P21443" i="14"/>
  <c r="O21443" i="14"/>
  <c r="I21443" i="14"/>
  <c r="E21443" i="14"/>
  <c r="AH21442" i="14"/>
  <c r="T21442" i="14"/>
  <c r="Q21442" i="14"/>
  <c r="E21442" i="14"/>
  <c r="AH21441" i="14"/>
  <c r="V21441" i="14"/>
  <c r="T21441" i="14"/>
  <c r="Q21441" i="14"/>
  <c r="E21441" i="14"/>
  <c r="AH21440" i="14"/>
  <c r="T21440" i="14"/>
  <c r="Q21440" i="14"/>
  <c r="E21440" i="14"/>
  <c r="AH21439" i="14"/>
  <c r="Q21439" i="14"/>
  <c r="E21439" i="14"/>
  <c r="AH21438" i="14"/>
  <c r="W21438" i="14"/>
  <c r="V21438" i="14"/>
  <c r="Q21438" i="14"/>
  <c r="E21438" i="14"/>
  <c r="AH21437" i="14"/>
  <c r="Q21437" i="14"/>
  <c r="O21437" i="14"/>
  <c r="E21437" i="14"/>
  <c r="AH21436" i="14"/>
  <c r="T21436" i="14"/>
  <c r="Q21436" i="14"/>
  <c r="E21436" i="14"/>
  <c r="AH21435" i="14"/>
  <c r="T21435" i="14"/>
  <c r="Q21435" i="14"/>
  <c r="E21435" i="14"/>
  <c r="AH21434" i="14"/>
  <c r="V21434" i="14"/>
  <c r="T21434" i="14"/>
  <c r="Q21434" i="14"/>
  <c r="E21434" i="14"/>
  <c r="AH21433" i="14"/>
  <c r="V21433" i="14"/>
  <c r="T21433" i="14"/>
  <c r="Q21433" i="14"/>
  <c r="E21433" i="14"/>
  <c r="AH21432" i="14"/>
  <c r="W21432" i="14"/>
  <c r="V21432" i="14"/>
  <c r="T21432" i="14"/>
  <c r="Q21432" i="14"/>
  <c r="E21432" i="14"/>
  <c r="AH21431" i="14"/>
  <c r="T21431" i="14"/>
  <c r="O21431" i="14"/>
  <c r="E21431" i="14"/>
  <c r="AH21430" i="14"/>
  <c r="W21430" i="14"/>
  <c r="V21430" i="14"/>
  <c r="T21430" i="14"/>
  <c r="Q21430" i="14"/>
  <c r="E21430" i="14"/>
  <c r="AH21429" i="14"/>
  <c r="V21429" i="14"/>
  <c r="Q21429" i="14"/>
  <c r="E21429" i="14"/>
  <c r="AH21428" i="14"/>
  <c r="T21428" i="14"/>
  <c r="E21428" i="14"/>
  <c r="AH21427" i="14"/>
  <c r="T21427" i="14"/>
  <c r="Q21427" i="14"/>
  <c r="P21427" i="14"/>
  <c r="O21427" i="14"/>
  <c r="E21427" i="14"/>
  <c r="AH21426" i="14"/>
  <c r="V21426" i="14"/>
  <c r="T21426" i="14"/>
  <c r="Q21426" i="14"/>
  <c r="P21426" i="14"/>
  <c r="O21426" i="14"/>
  <c r="E21426" i="14"/>
  <c r="AH21425" i="14"/>
  <c r="V21425" i="14"/>
  <c r="T21425" i="14"/>
  <c r="Q21425" i="14"/>
  <c r="P21425" i="14"/>
  <c r="O21425" i="14"/>
  <c r="E21425" i="14"/>
  <c r="AH21424" i="14"/>
  <c r="V21424" i="14"/>
  <c r="U21424" i="14"/>
  <c r="T21424" i="14"/>
  <c r="Q21424" i="14"/>
  <c r="M21424" i="14"/>
  <c r="E21424" i="14"/>
  <c r="AH21423" i="14"/>
  <c r="T21423" i="14"/>
  <c r="E21423" i="14"/>
  <c r="AH21422" i="14"/>
  <c r="T21422" i="14"/>
  <c r="Q21422" i="14"/>
  <c r="P21422" i="14"/>
  <c r="O21422" i="14"/>
  <c r="E21422" i="14"/>
  <c r="AH21421" i="14"/>
  <c r="U21421" i="14"/>
  <c r="T21421" i="14"/>
  <c r="Q21421" i="14"/>
  <c r="P21421" i="14"/>
  <c r="E21421" i="14"/>
  <c r="AH21420" i="14"/>
  <c r="V21420" i="14"/>
  <c r="Q21420" i="14"/>
  <c r="E21420" i="14"/>
  <c r="AH21419" i="14"/>
  <c r="V21419" i="14"/>
  <c r="Q21419" i="14"/>
  <c r="E21419" i="14"/>
  <c r="AH21418" i="14"/>
  <c r="V21418" i="14"/>
  <c r="T21418" i="14"/>
  <c r="E21418" i="14"/>
  <c r="AH21417" i="14"/>
  <c r="V21417" i="14"/>
  <c r="U21417" i="14"/>
  <c r="T21417" i="14"/>
  <c r="Q21417" i="14"/>
  <c r="E21417" i="14"/>
  <c r="AH21416" i="14"/>
  <c r="T21416" i="14"/>
  <c r="Q21416" i="14"/>
  <c r="E21416" i="14"/>
  <c r="AH21415" i="14"/>
  <c r="W21415" i="14"/>
  <c r="V21415" i="14"/>
  <c r="U21415" i="14"/>
  <c r="T21415" i="14"/>
  <c r="Q21415" i="14"/>
  <c r="E21415" i="14"/>
  <c r="AH21414" i="14"/>
  <c r="T21414" i="14"/>
  <c r="Q21414" i="14"/>
  <c r="O21414" i="14"/>
  <c r="E21414" i="14"/>
  <c r="AH21413" i="14"/>
  <c r="T21413" i="14"/>
  <c r="Q21413" i="14"/>
  <c r="O21413" i="14"/>
  <c r="E21413" i="14"/>
  <c r="AH21412" i="14"/>
  <c r="V21412" i="14"/>
  <c r="U21412" i="14"/>
  <c r="T21412" i="14"/>
  <c r="Q21412" i="14"/>
  <c r="E21412" i="14"/>
  <c r="AH21411" i="14"/>
  <c r="U21411" i="14"/>
  <c r="T21411" i="14"/>
  <c r="Q21411" i="14"/>
  <c r="E21411" i="14"/>
  <c r="AH21410" i="14"/>
  <c r="V21410" i="14"/>
  <c r="T21410" i="14"/>
  <c r="Q21410" i="14"/>
  <c r="E21410" i="14"/>
  <c r="AH21409" i="14"/>
  <c r="W21409" i="14"/>
  <c r="V21409" i="14"/>
  <c r="Q21409" i="14"/>
  <c r="M21409" i="14"/>
  <c r="E21409" i="14"/>
  <c r="AH21408" i="14"/>
  <c r="W21408" i="14"/>
  <c r="V21408" i="14"/>
  <c r="T21408" i="14"/>
  <c r="Q21408" i="14"/>
  <c r="E21408" i="14"/>
  <c r="AH21407" i="14"/>
  <c r="V21407" i="14"/>
  <c r="U21407" i="14"/>
  <c r="T21407" i="14"/>
  <c r="Q21407" i="14"/>
  <c r="E21407" i="14"/>
  <c r="AH21406" i="14"/>
  <c r="W21406" i="14"/>
  <c r="V21406" i="14"/>
  <c r="U21406" i="14"/>
  <c r="T21406" i="14"/>
  <c r="Q21406" i="14"/>
  <c r="P21406" i="14"/>
  <c r="O21406" i="14"/>
  <c r="M21406" i="14"/>
  <c r="E21406" i="14"/>
  <c r="AH21405" i="14"/>
  <c r="E21405" i="14"/>
  <c r="AH21404" i="14"/>
  <c r="V21404" i="14"/>
  <c r="T21404" i="14"/>
  <c r="Q21404" i="14"/>
  <c r="E21404" i="14"/>
  <c r="AH21403" i="14"/>
  <c r="V21403" i="14"/>
  <c r="T21403" i="14"/>
  <c r="Q21403" i="14"/>
  <c r="E21403" i="14"/>
  <c r="AH21402" i="14"/>
  <c r="Q21402" i="14"/>
  <c r="E21402" i="14"/>
  <c r="AH21401" i="14"/>
  <c r="V21401" i="14"/>
  <c r="T21401" i="14"/>
  <c r="Q21401" i="14"/>
  <c r="E21401" i="14"/>
  <c r="AH21400" i="14"/>
  <c r="V21400" i="14"/>
  <c r="Q21400" i="14"/>
  <c r="E21400" i="14"/>
  <c r="AH21399" i="14"/>
  <c r="V21399" i="14"/>
  <c r="T21399" i="14"/>
  <c r="Q21399" i="14"/>
  <c r="P21399" i="14"/>
  <c r="E21399" i="14"/>
  <c r="AH21398" i="14"/>
  <c r="W21398" i="14"/>
  <c r="V21398" i="14"/>
  <c r="Q21398" i="14"/>
  <c r="P21398" i="14"/>
  <c r="E21398" i="14"/>
  <c r="AH21397" i="14"/>
  <c r="V21397" i="14"/>
  <c r="T21397" i="14"/>
  <c r="Q21397" i="14"/>
  <c r="P21397" i="14"/>
  <c r="E21397" i="14"/>
  <c r="AH21396" i="14"/>
  <c r="T21396" i="14"/>
  <c r="Q21396" i="14"/>
  <c r="E21396" i="14"/>
  <c r="AH21395" i="14"/>
  <c r="V21395" i="14"/>
  <c r="Q21395" i="14"/>
  <c r="P21395" i="14"/>
  <c r="E21395" i="14"/>
  <c r="AH21394" i="14"/>
  <c r="V21394" i="14"/>
  <c r="T21394" i="14"/>
  <c r="Q21394" i="14"/>
  <c r="P21394" i="14"/>
  <c r="E21394" i="14"/>
  <c r="AH21393" i="14"/>
  <c r="W21393" i="14"/>
  <c r="V21393" i="14"/>
  <c r="Q21393" i="14"/>
  <c r="E21393" i="14"/>
  <c r="AH21392" i="14"/>
  <c r="V21392" i="14"/>
  <c r="U21392" i="14"/>
  <c r="T21392" i="14"/>
  <c r="Q21392" i="14"/>
  <c r="M21392" i="14"/>
  <c r="E21392" i="14"/>
  <c r="AH21391" i="14"/>
  <c r="W21391" i="14"/>
  <c r="V21391" i="14"/>
  <c r="Q21391" i="14"/>
  <c r="M21391" i="14"/>
  <c r="E21391" i="14"/>
  <c r="AH21390" i="14"/>
  <c r="T21390" i="14"/>
  <c r="Q21390" i="14"/>
  <c r="E21390" i="14"/>
  <c r="AH21389" i="14"/>
  <c r="V21389" i="14"/>
  <c r="T21389" i="14"/>
  <c r="Q21389" i="14"/>
  <c r="E21389" i="14"/>
  <c r="AK21388" i="14"/>
  <c r="AH21388" i="14"/>
  <c r="V21388" i="14"/>
  <c r="T21388" i="14"/>
  <c r="Q21388" i="14"/>
  <c r="P21388" i="14"/>
  <c r="O21388" i="14"/>
  <c r="N21388" i="14"/>
  <c r="E21388" i="14"/>
  <c r="AH21387" i="14"/>
  <c r="T21387" i="14"/>
  <c r="Q21387" i="14"/>
  <c r="O21387" i="14"/>
  <c r="E21387" i="14"/>
  <c r="AH21386" i="14"/>
  <c r="V21386" i="14"/>
  <c r="T21386" i="14"/>
  <c r="Q21386" i="14"/>
  <c r="E21386" i="14"/>
  <c r="AH21385" i="14"/>
  <c r="V21385" i="14"/>
  <c r="Q21385" i="14"/>
  <c r="E21385" i="14"/>
  <c r="AH21384" i="14"/>
  <c r="V21384" i="14"/>
  <c r="Q21384" i="14"/>
  <c r="E21384" i="14"/>
  <c r="AH21383" i="14"/>
  <c r="V21383" i="14"/>
  <c r="E21383" i="14"/>
  <c r="AH21382" i="14"/>
  <c r="U21382" i="14"/>
  <c r="T21382" i="14"/>
  <c r="Q21382" i="14"/>
  <c r="E21382" i="14"/>
  <c r="AH21381" i="14"/>
  <c r="Q21381" i="14"/>
  <c r="E21381" i="14"/>
  <c r="AH21380" i="14"/>
  <c r="Q21380" i="14"/>
  <c r="E21380" i="14"/>
  <c r="AH21379" i="14"/>
  <c r="V21379" i="14"/>
  <c r="Q21379" i="14"/>
  <c r="E21379" i="14"/>
  <c r="AH21378" i="14"/>
  <c r="V21378" i="14"/>
  <c r="Q21378" i="14"/>
  <c r="E21378" i="14"/>
  <c r="AH21377" i="14"/>
  <c r="Q21377" i="14"/>
  <c r="E21377" i="14"/>
  <c r="AH21376" i="14"/>
  <c r="T21376" i="14"/>
  <c r="E21376" i="14"/>
  <c r="AH21375" i="14"/>
  <c r="V21375" i="14"/>
  <c r="Q21375" i="14"/>
  <c r="E21375" i="14"/>
  <c r="AH21374" i="14"/>
  <c r="V21374" i="14"/>
  <c r="Q21374" i="14"/>
  <c r="E21374" i="14"/>
  <c r="AH21373" i="14"/>
  <c r="Q21373" i="14"/>
  <c r="E21373" i="14"/>
  <c r="AH21372" i="14"/>
  <c r="T21372" i="14"/>
  <c r="E21372" i="14"/>
  <c r="AH21371" i="14"/>
  <c r="T21371" i="14"/>
  <c r="Q21371" i="14"/>
  <c r="E21371" i="14"/>
  <c r="AH21370" i="14"/>
  <c r="Q21370" i="14"/>
  <c r="E21370" i="14"/>
  <c r="AH21369" i="14"/>
  <c r="E21369" i="14"/>
  <c r="AH21368" i="14"/>
  <c r="Q21368" i="14"/>
  <c r="E21368" i="14"/>
  <c r="AH21367" i="14"/>
  <c r="Q21367" i="14"/>
  <c r="E21367" i="14"/>
  <c r="AH21366" i="14"/>
  <c r="W21366" i="14"/>
  <c r="V21366" i="14"/>
  <c r="Q21366" i="14"/>
  <c r="E21366" i="14"/>
  <c r="AH21365" i="14"/>
  <c r="V21365" i="14"/>
  <c r="Q21365" i="14"/>
  <c r="E21365" i="14"/>
  <c r="AH21364" i="14"/>
  <c r="V21364" i="14"/>
  <c r="Q21364" i="14"/>
  <c r="E21364" i="14"/>
  <c r="AH21363" i="14"/>
  <c r="V21363" i="14"/>
  <c r="T21363" i="14"/>
  <c r="Q21363" i="14"/>
  <c r="E21363" i="14"/>
  <c r="AH21362" i="14"/>
  <c r="T21362" i="14"/>
  <c r="Q21362" i="14"/>
  <c r="P21362" i="14"/>
  <c r="E21362" i="14"/>
  <c r="AH21361" i="14"/>
  <c r="W21361" i="14"/>
  <c r="V21361" i="14"/>
  <c r="Q21361" i="14"/>
  <c r="M21361" i="14"/>
  <c r="E21361" i="14"/>
  <c r="AH21360" i="14"/>
  <c r="T21360" i="14"/>
  <c r="Q21360" i="14"/>
  <c r="E21360" i="14"/>
  <c r="AH21359" i="14"/>
  <c r="T21359" i="14"/>
  <c r="Q21359" i="14"/>
  <c r="P21359" i="14"/>
  <c r="E21359" i="14"/>
  <c r="AH21358" i="14"/>
  <c r="Q21358" i="14"/>
  <c r="E21358" i="14"/>
  <c r="AH21357" i="14"/>
  <c r="E21357" i="14"/>
  <c r="AH21356" i="14"/>
  <c r="T21356" i="14"/>
  <c r="Q21356" i="14"/>
  <c r="P21356" i="14"/>
  <c r="E21356" i="14"/>
  <c r="AH21355" i="14"/>
  <c r="T21355" i="14"/>
  <c r="E21355" i="14"/>
  <c r="AH21354" i="14"/>
  <c r="U21354" i="14"/>
  <c r="T21354" i="14"/>
  <c r="Q21354" i="14"/>
  <c r="E21354" i="14"/>
  <c r="AH21353" i="14"/>
  <c r="V21353" i="14"/>
  <c r="T21353" i="14"/>
  <c r="Q21353" i="14"/>
  <c r="P21353" i="14"/>
  <c r="E21353" i="14"/>
  <c r="AH21352" i="14"/>
  <c r="T21352" i="14"/>
  <c r="Q21352" i="14"/>
  <c r="E21352" i="14"/>
  <c r="AH21351" i="14"/>
  <c r="T21351" i="14"/>
  <c r="E21351" i="14"/>
  <c r="AH21350" i="14"/>
  <c r="T21350" i="14"/>
  <c r="Q21350" i="14"/>
  <c r="E21350" i="14"/>
  <c r="AH21349" i="14"/>
  <c r="T21349" i="14"/>
  <c r="Q21349" i="14"/>
  <c r="E21349" i="14"/>
  <c r="AH21348" i="14"/>
  <c r="T21348" i="14"/>
  <c r="Q21348" i="14"/>
  <c r="E21348" i="14"/>
  <c r="AH21347" i="14"/>
  <c r="V21347" i="14"/>
  <c r="U21347" i="14"/>
  <c r="T21347" i="14"/>
  <c r="Q21347" i="14"/>
  <c r="M21347" i="14"/>
  <c r="E21347" i="14"/>
  <c r="AH21346" i="14"/>
  <c r="V21346" i="14"/>
  <c r="T21346" i="14"/>
  <c r="Q21346" i="14"/>
  <c r="E21346" i="14"/>
  <c r="AH21345" i="14"/>
  <c r="V21345" i="14"/>
  <c r="T21345" i="14"/>
  <c r="Q21345" i="14"/>
  <c r="P21345" i="14"/>
  <c r="E21345" i="14"/>
  <c r="AH21344" i="14"/>
  <c r="W21344" i="14"/>
  <c r="V21344" i="14"/>
  <c r="Q21344" i="14"/>
  <c r="M21344" i="14"/>
  <c r="E21344" i="14"/>
  <c r="AH21343" i="14"/>
  <c r="W21343" i="14"/>
  <c r="V21343" i="14"/>
  <c r="U21343" i="14"/>
  <c r="T21343" i="14"/>
  <c r="Q21343" i="14"/>
  <c r="P21343" i="14"/>
  <c r="O21343" i="14"/>
  <c r="M21343" i="14"/>
  <c r="E21343" i="14"/>
  <c r="AH21342" i="14"/>
  <c r="Q21342" i="14"/>
  <c r="M21342" i="14"/>
  <c r="E21342" i="14"/>
  <c r="AH21341" i="14"/>
  <c r="V21341" i="14"/>
  <c r="U21341" i="14"/>
  <c r="T21341" i="14"/>
  <c r="Q21341" i="14"/>
  <c r="E21341" i="14"/>
  <c r="AH21340" i="14"/>
  <c r="W21340" i="14"/>
  <c r="V21340" i="14"/>
  <c r="U21340" i="14"/>
  <c r="T21340" i="14"/>
  <c r="Q21340" i="14"/>
  <c r="M21340" i="14"/>
  <c r="E21340" i="14"/>
  <c r="AH21339" i="14"/>
  <c r="U21339" i="14"/>
  <c r="T21339" i="14"/>
  <c r="Q21339" i="14"/>
  <c r="E21339" i="14"/>
  <c r="AH21338" i="14"/>
  <c r="V21338" i="14"/>
  <c r="T21338" i="14"/>
  <c r="Q21338" i="14"/>
  <c r="E21338" i="14"/>
  <c r="AH21337" i="14"/>
  <c r="U21337" i="14"/>
  <c r="T21337" i="14"/>
  <c r="Q21337" i="14"/>
  <c r="E21337" i="14"/>
  <c r="AH21336" i="14"/>
  <c r="V21336" i="14"/>
  <c r="T21336" i="14"/>
  <c r="Q21336" i="14"/>
  <c r="P21336" i="14"/>
  <c r="E21336" i="14"/>
  <c r="AH21335" i="14"/>
  <c r="V21335" i="14"/>
  <c r="T21335" i="14"/>
  <c r="Q21335" i="14"/>
  <c r="E21335" i="14"/>
  <c r="AH21334" i="14"/>
  <c r="V21334" i="14"/>
  <c r="T21334" i="14"/>
  <c r="Q21334" i="14"/>
  <c r="E21334" i="14"/>
  <c r="AH21333" i="14"/>
  <c r="V21333" i="14"/>
  <c r="T21333" i="14"/>
  <c r="Q21333" i="14"/>
  <c r="E21333" i="14"/>
  <c r="AH21332" i="14"/>
  <c r="T21332" i="14"/>
  <c r="Q21332" i="14"/>
  <c r="P21332" i="14"/>
  <c r="O21332" i="14"/>
  <c r="E21332" i="14"/>
  <c r="AH21331" i="14"/>
  <c r="E21331" i="14"/>
  <c r="AH21330" i="14"/>
  <c r="T21330" i="14"/>
  <c r="E21330" i="14"/>
  <c r="AH21329" i="14"/>
  <c r="T21329" i="14"/>
  <c r="E21329" i="14"/>
  <c r="AH21328" i="14"/>
  <c r="V21328" i="14"/>
  <c r="T21328" i="14"/>
  <c r="Q21328" i="14"/>
  <c r="E21328" i="14"/>
  <c r="AH21327" i="14"/>
  <c r="T21327" i="14"/>
  <c r="Q21327" i="14"/>
  <c r="E21327" i="14"/>
  <c r="AH21326" i="14"/>
  <c r="V21326" i="14"/>
  <c r="T21326" i="14"/>
  <c r="Q21326" i="14"/>
  <c r="P21326" i="14"/>
  <c r="O21326" i="14"/>
  <c r="E21326" i="14"/>
  <c r="AH21325" i="14"/>
  <c r="T21325" i="14"/>
  <c r="Q21325" i="14"/>
  <c r="L21325" i="14"/>
  <c r="E21325" i="14"/>
  <c r="AH21324" i="14"/>
  <c r="Q21324" i="14"/>
  <c r="E21324" i="14"/>
  <c r="AH21323" i="14"/>
  <c r="V21323" i="14"/>
  <c r="U21323" i="14"/>
  <c r="T21323" i="14"/>
  <c r="Q21323" i="14"/>
  <c r="E21323" i="14"/>
  <c r="AH21322" i="14"/>
  <c r="T21322" i="14"/>
  <c r="Q21322" i="14"/>
  <c r="E21322" i="14"/>
  <c r="AH21321" i="14"/>
  <c r="V21321" i="14"/>
  <c r="T21321" i="14"/>
  <c r="Q21321" i="14"/>
  <c r="E21321" i="14"/>
  <c r="AH21320" i="14"/>
  <c r="V21320" i="14"/>
  <c r="T21320" i="14"/>
  <c r="Q21320" i="14"/>
  <c r="E21320" i="14"/>
  <c r="AH21319" i="14"/>
  <c r="V21319" i="14"/>
  <c r="T21319" i="14"/>
  <c r="Q21319" i="14"/>
  <c r="E21319" i="14"/>
  <c r="AH21318" i="14"/>
  <c r="Q21318" i="14"/>
  <c r="E21318" i="14"/>
  <c r="AH21317" i="14"/>
  <c r="Q21317" i="14"/>
  <c r="E21317" i="14"/>
  <c r="AH21316" i="14"/>
  <c r="T21316" i="14"/>
  <c r="Q21316" i="14"/>
  <c r="O21316" i="14"/>
  <c r="E21316" i="14"/>
  <c r="AH21315" i="14"/>
  <c r="V21315" i="14"/>
  <c r="T21315" i="14"/>
  <c r="Q21315" i="14"/>
  <c r="P21315" i="14"/>
  <c r="O21315" i="14"/>
  <c r="E21315" i="14"/>
  <c r="AL21314" i="14"/>
  <c r="AH21314" i="14"/>
  <c r="W21314" i="14"/>
  <c r="V21314" i="14"/>
  <c r="U21314" i="14"/>
  <c r="T21314" i="14"/>
  <c r="Q21314" i="14"/>
  <c r="P21314" i="14"/>
  <c r="M21314" i="14"/>
  <c r="G21314" i="14"/>
  <c r="E21314" i="14"/>
  <c r="AH21313" i="14"/>
  <c r="AG21313" i="14"/>
  <c r="AF21313" i="14"/>
  <c r="AE21313" i="14"/>
  <c r="W21313" i="14"/>
  <c r="V21313" i="14"/>
  <c r="U21313" i="14"/>
  <c r="T21313" i="14"/>
  <c r="Q21313" i="14"/>
  <c r="P21313" i="14"/>
  <c r="L21313" i="14"/>
  <c r="K21313" i="14"/>
  <c r="I21313" i="14"/>
  <c r="G21313" i="14"/>
  <c r="E21313" i="14"/>
  <c r="AH21312" i="14"/>
  <c r="T21312" i="14"/>
  <c r="E21312" i="14"/>
  <c r="AH21311" i="14"/>
  <c r="E21311" i="14"/>
  <c r="AH21310" i="14"/>
  <c r="E21310" i="14"/>
  <c r="AH21309" i="14"/>
  <c r="E21309" i="14"/>
  <c r="AH21308" i="14"/>
  <c r="T21308" i="14"/>
  <c r="Q21308" i="14"/>
  <c r="E21308" i="14"/>
  <c r="AH21307" i="14"/>
  <c r="T21307" i="14"/>
  <c r="Q21307" i="14"/>
  <c r="E21307" i="14"/>
  <c r="AH21306" i="14"/>
  <c r="T21306" i="14"/>
  <c r="Q21306" i="14"/>
  <c r="E21306" i="14"/>
  <c r="AH21305" i="14"/>
  <c r="Q21305" i="14"/>
  <c r="E21305" i="14"/>
  <c r="AH21304" i="14"/>
  <c r="T21304" i="14"/>
  <c r="O21304" i="14"/>
  <c r="E21304" i="14"/>
  <c r="AH21303" i="14"/>
  <c r="T21303" i="14"/>
  <c r="Q21303" i="14"/>
  <c r="E21303" i="14"/>
  <c r="AH21302" i="14"/>
  <c r="T21302" i="14"/>
  <c r="Q21302" i="14"/>
  <c r="E21302" i="14"/>
  <c r="AH21301" i="14"/>
  <c r="T21301" i="14"/>
  <c r="Q21301" i="14"/>
  <c r="E21301" i="14"/>
  <c r="AH21300" i="14"/>
  <c r="V21300" i="14"/>
  <c r="T21300" i="14"/>
  <c r="Q21300" i="14"/>
  <c r="E21300" i="14"/>
  <c r="AH21299" i="14"/>
  <c r="V21299" i="14"/>
  <c r="T21299" i="14"/>
  <c r="Q21299" i="14"/>
  <c r="E21299" i="14"/>
  <c r="AH21298" i="14"/>
  <c r="Q21298" i="14"/>
  <c r="E21298" i="14"/>
  <c r="AH21297" i="14"/>
  <c r="Q21297" i="14"/>
  <c r="O21297" i="14"/>
  <c r="E21297" i="14"/>
  <c r="AH21296" i="14"/>
  <c r="T21296" i="14"/>
  <c r="Q21296" i="14"/>
  <c r="O21296" i="14"/>
  <c r="E21296" i="14"/>
  <c r="AH21295" i="14"/>
  <c r="V21295" i="14"/>
  <c r="U21295" i="14"/>
  <c r="T21295" i="14"/>
  <c r="Q21295" i="14"/>
  <c r="E21295" i="14"/>
  <c r="AH21294" i="14"/>
  <c r="T21294" i="14"/>
  <c r="Q21294" i="14"/>
  <c r="M21294" i="14"/>
  <c r="E21294" i="14"/>
  <c r="AH21293" i="14"/>
  <c r="V21293" i="14"/>
  <c r="T21293" i="14"/>
  <c r="Q21293" i="14"/>
  <c r="E21293" i="14"/>
  <c r="AH21292" i="14"/>
  <c r="T21292" i="14"/>
  <c r="Q21292" i="14"/>
  <c r="E21292" i="14"/>
  <c r="AH21291" i="14"/>
  <c r="V21291" i="14"/>
  <c r="U21291" i="14"/>
  <c r="T21291" i="14"/>
  <c r="Q21291" i="14"/>
  <c r="E21291" i="14"/>
  <c r="AH21290" i="14"/>
  <c r="W21290" i="14"/>
  <c r="V21290" i="14"/>
  <c r="U21290" i="14"/>
  <c r="T21290" i="14"/>
  <c r="Q21290" i="14"/>
  <c r="P21290" i="14"/>
  <c r="O21290" i="14"/>
  <c r="M21290" i="14"/>
  <c r="E21290" i="14"/>
  <c r="AH21289" i="14"/>
  <c r="V21289" i="14"/>
  <c r="Q21289" i="14"/>
  <c r="P21289" i="14"/>
  <c r="O21289" i="14"/>
  <c r="E21289" i="14"/>
  <c r="AH21288" i="14"/>
  <c r="V21288" i="14"/>
  <c r="T21288" i="14"/>
  <c r="Q21288" i="14"/>
  <c r="P21288" i="14"/>
  <c r="O21288" i="14"/>
  <c r="E21288" i="14"/>
  <c r="AH21287" i="14"/>
  <c r="W21287" i="14"/>
  <c r="V21287" i="14"/>
  <c r="Q21287" i="14"/>
  <c r="P21287" i="14"/>
  <c r="O21287" i="14"/>
  <c r="M21287" i="14"/>
  <c r="E21287" i="14"/>
  <c r="AH21286" i="14"/>
  <c r="T21286" i="14"/>
  <c r="Q21286" i="14"/>
  <c r="E21286" i="14"/>
  <c r="AH21285" i="14"/>
  <c r="Q21285" i="14"/>
  <c r="E21285" i="14"/>
  <c r="AH21284" i="14"/>
  <c r="V21284" i="14"/>
  <c r="T21284" i="14"/>
  <c r="Q21284" i="14"/>
  <c r="P21284" i="14"/>
  <c r="E21284" i="14"/>
  <c r="AH21283" i="14"/>
  <c r="T21283" i="14"/>
  <c r="Q21283" i="14"/>
  <c r="E21283" i="14"/>
  <c r="AH21282" i="14"/>
  <c r="T21282" i="14"/>
  <c r="Q21282" i="14"/>
  <c r="E21282" i="14"/>
  <c r="AH21281" i="14"/>
  <c r="T21281" i="14"/>
  <c r="E21281" i="14"/>
  <c r="AH21280" i="14"/>
  <c r="U21280" i="14"/>
  <c r="T21280" i="14"/>
  <c r="Q21280" i="14"/>
  <c r="O21280" i="14"/>
  <c r="E21280" i="14"/>
  <c r="AH21279" i="14"/>
  <c r="V21279" i="14"/>
  <c r="T21279" i="14"/>
  <c r="Q21279" i="14"/>
  <c r="E21279" i="14"/>
  <c r="AH21278" i="14"/>
  <c r="V21278" i="14"/>
  <c r="T21278" i="14"/>
  <c r="Q21278" i="14"/>
  <c r="E21278" i="14"/>
  <c r="AH21277" i="14"/>
  <c r="V21277" i="14"/>
  <c r="T21277" i="14"/>
  <c r="Q21277" i="14"/>
  <c r="E21277" i="14"/>
  <c r="AH21276" i="14"/>
  <c r="T21276" i="14"/>
  <c r="E21276" i="14"/>
  <c r="AH21275" i="14"/>
  <c r="V21275" i="14"/>
  <c r="T21275" i="14"/>
  <c r="Q21275" i="14"/>
  <c r="P21275" i="14"/>
  <c r="E21275" i="14"/>
  <c r="AH21274" i="14"/>
  <c r="T21274" i="14"/>
  <c r="Q21274" i="14"/>
  <c r="E21274" i="14"/>
  <c r="AH21273" i="14"/>
  <c r="T21273" i="14"/>
  <c r="Q21273" i="14"/>
  <c r="E21273" i="14"/>
  <c r="AH21272" i="14"/>
  <c r="W21272" i="14"/>
  <c r="V21272" i="14"/>
  <c r="Q21272" i="14"/>
  <c r="E21272" i="14"/>
  <c r="AH21271" i="14"/>
  <c r="T21271" i="14"/>
  <c r="Q21271" i="14"/>
  <c r="E21271" i="14"/>
  <c r="AH21270" i="14"/>
  <c r="T21270" i="14"/>
  <c r="Q21270" i="14"/>
  <c r="O21270" i="14"/>
  <c r="E21270" i="14"/>
  <c r="AH21269" i="14"/>
  <c r="T21269" i="14"/>
  <c r="Q21269" i="14"/>
  <c r="E21269" i="14"/>
  <c r="AH21268" i="14"/>
  <c r="T21268" i="14"/>
  <c r="Q21268" i="14"/>
  <c r="E21268" i="14"/>
  <c r="AH21267" i="14"/>
  <c r="V21267" i="14"/>
  <c r="T21267" i="14"/>
  <c r="Q21267" i="14"/>
  <c r="E21267" i="14"/>
  <c r="AH21266" i="14"/>
  <c r="T21266" i="14"/>
  <c r="Q21266" i="14"/>
  <c r="E21266" i="14"/>
  <c r="AH21265" i="14"/>
  <c r="V21265" i="14"/>
  <c r="T21265" i="14"/>
  <c r="Q21265" i="14"/>
  <c r="P21265" i="14"/>
  <c r="E21265" i="14"/>
  <c r="AH21264" i="14"/>
  <c r="T21264" i="14"/>
  <c r="Q21264" i="14"/>
  <c r="E21264" i="14"/>
  <c r="AH21263" i="14"/>
  <c r="W21263" i="14"/>
  <c r="V21263" i="14"/>
  <c r="U21263" i="14"/>
  <c r="T21263" i="14"/>
  <c r="Q21263" i="14"/>
  <c r="P21263" i="14"/>
  <c r="M21263" i="14"/>
  <c r="E21263" i="14"/>
  <c r="AH21262" i="14"/>
  <c r="T21262" i="14"/>
  <c r="Q21262" i="14"/>
  <c r="E21262" i="14"/>
  <c r="AH21261" i="14"/>
  <c r="T21261" i="14"/>
  <c r="Q21261" i="14"/>
  <c r="E21261" i="14"/>
  <c r="AH21260" i="14"/>
  <c r="V21260" i="14"/>
  <c r="T21260" i="14"/>
  <c r="Q21260" i="14"/>
  <c r="P21260" i="14"/>
  <c r="E21260" i="14"/>
  <c r="AH21259" i="14"/>
  <c r="T21259" i="14"/>
  <c r="Q21259" i="14"/>
  <c r="E21259" i="14"/>
  <c r="AH21258" i="14"/>
  <c r="T21258" i="14"/>
  <c r="Q21258" i="14"/>
  <c r="E21258" i="14"/>
  <c r="AH21257" i="14"/>
  <c r="W21257" i="14"/>
  <c r="V21257" i="14"/>
  <c r="T21257" i="14"/>
  <c r="Q21257" i="14"/>
  <c r="M21257" i="14"/>
  <c r="E21257" i="14"/>
  <c r="AH21256" i="14"/>
  <c r="T21256" i="14"/>
  <c r="Q21256" i="14"/>
  <c r="E21256" i="14"/>
  <c r="AH21255" i="14"/>
  <c r="U21255" i="14"/>
  <c r="T21255" i="14"/>
  <c r="Q21255" i="14"/>
  <c r="O21255" i="14"/>
  <c r="E21255" i="14"/>
  <c r="AH21254" i="14"/>
  <c r="U21254" i="14"/>
  <c r="T21254" i="14"/>
  <c r="Q21254" i="14"/>
  <c r="E21254" i="14"/>
  <c r="AH21253" i="14"/>
  <c r="W21253" i="14"/>
  <c r="V21253" i="14"/>
  <c r="U21253" i="14"/>
  <c r="T21253" i="14"/>
  <c r="Q21253" i="14"/>
  <c r="M21253" i="14"/>
  <c r="E21253" i="14"/>
  <c r="AH21252" i="14"/>
  <c r="V21252" i="14"/>
  <c r="Q21252" i="14"/>
  <c r="P21252" i="14"/>
  <c r="E21252" i="14"/>
  <c r="AH21251" i="14"/>
  <c r="T21251" i="14"/>
  <c r="Q21251" i="14"/>
  <c r="P21251" i="14"/>
  <c r="E21251" i="14"/>
  <c r="AH21250" i="14"/>
  <c r="T21250" i="14"/>
  <c r="Q21250" i="14"/>
  <c r="P21250" i="14"/>
  <c r="O21250" i="14"/>
  <c r="E21250" i="14"/>
  <c r="AH21249" i="14"/>
  <c r="E21249" i="14"/>
  <c r="AH21248" i="14"/>
  <c r="T21248" i="14"/>
  <c r="E21248" i="14"/>
  <c r="AH21247" i="14"/>
  <c r="V21247" i="14"/>
  <c r="T21247" i="14"/>
  <c r="Q21247" i="14"/>
  <c r="O21247" i="14"/>
  <c r="E21247" i="14"/>
  <c r="AH21246" i="14"/>
  <c r="T21246" i="14"/>
  <c r="Q21246" i="14"/>
  <c r="E21246" i="14"/>
  <c r="AH21245" i="14"/>
  <c r="U21245" i="14"/>
  <c r="T21245" i="14"/>
  <c r="Q21245" i="14"/>
  <c r="M21245" i="14"/>
  <c r="E21245" i="14"/>
  <c r="AH21244" i="14"/>
  <c r="V21244" i="14"/>
  <c r="T21244" i="14"/>
  <c r="Q21244" i="14"/>
  <c r="E21244" i="14"/>
  <c r="AH21243" i="14"/>
  <c r="T21243" i="14"/>
  <c r="Q21243" i="14"/>
  <c r="E21243" i="14"/>
  <c r="AH21242" i="14"/>
  <c r="W21242" i="14"/>
  <c r="V21242" i="14"/>
  <c r="U21242" i="14"/>
  <c r="T21242" i="14"/>
  <c r="Q21242" i="14"/>
  <c r="E21242" i="14"/>
  <c r="AH21241" i="14"/>
  <c r="T21241" i="14"/>
  <c r="Q21241" i="14"/>
  <c r="E21241" i="14"/>
  <c r="AH21240" i="14"/>
  <c r="V21240" i="14"/>
  <c r="T21240" i="14"/>
  <c r="Q21240" i="14"/>
  <c r="E21240" i="14"/>
  <c r="AH21239" i="14"/>
  <c r="U21239" i="14"/>
  <c r="T21239" i="14"/>
  <c r="Q21239" i="14"/>
  <c r="E21239" i="14"/>
  <c r="AH21238" i="14"/>
  <c r="U21238" i="14"/>
  <c r="T21238" i="14"/>
  <c r="Q21238" i="14"/>
  <c r="E21238" i="14"/>
  <c r="AH21237" i="14"/>
  <c r="T21237" i="14"/>
  <c r="Q21237" i="14"/>
  <c r="E21237" i="14"/>
  <c r="AH21236" i="14"/>
  <c r="V21236" i="14"/>
  <c r="T21236" i="14"/>
  <c r="Q21236" i="14"/>
  <c r="E21236" i="14"/>
  <c r="AH21235" i="14"/>
  <c r="T21235" i="14"/>
  <c r="Q21235" i="14"/>
  <c r="E21235" i="14"/>
  <c r="AH21234" i="14"/>
  <c r="T21234" i="14"/>
  <c r="Q21234" i="14"/>
  <c r="E21234" i="14"/>
  <c r="AH21233" i="14"/>
  <c r="T21233" i="14"/>
  <c r="Q21233" i="14"/>
  <c r="E21233" i="14"/>
  <c r="AH21232" i="14"/>
  <c r="V21232" i="14"/>
  <c r="T21232" i="14"/>
  <c r="Q21232" i="14"/>
  <c r="E21232" i="14"/>
  <c r="AH21231" i="14"/>
  <c r="V21231" i="14"/>
  <c r="T21231" i="14"/>
  <c r="Q21231" i="14"/>
  <c r="E21231" i="14"/>
  <c r="AH21230" i="14"/>
  <c r="Q21230" i="14"/>
  <c r="E21230" i="14"/>
  <c r="AH21229" i="14"/>
  <c r="V21229" i="14"/>
  <c r="T21229" i="14"/>
  <c r="Q21229" i="14"/>
  <c r="P21229" i="14"/>
  <c r="O21229" i="14"/>
  <c r="E21229" i="14"/>
  <c r="AH21228" i="14"/>
  <c r="V21228" i="14"/>
  <c r="T21228" i="14"/>
  <c r="Q21228" i="14"/>
  <c r="E21228" i="14"/>
  <c r="AH21227" i="14"/>
  <c r="T21227" i="14"/>
  <c r="Q21227" i="14"/>
  <c r="E21227" i="14"/>
  <c r="AH21226" i="14"/>
  <c r="T21226" i="14"/>
  <c r="Q21226" i="14"/>
  <c r="E21226" i="14"/>
  <c r="AH21225" i="14"/>
  <c r="T21225" i="14"/>
  <c r="Q21225" i="14"/>
  <c r="E21225" i="14"/>
  <c r="AH21224" i="14"/>
  <c r="V21224" i="14"/>
  <c r="T21224" i="14"/>
  <c r="Q21224" i="14"/>
  <c r="E21224" i="14"/>
  <c r="AH21223" i="14"/>
  <c r="V21223" i="14"/>
  <c r="T21223" i="14"/>
  <c r="Q21223" i="14"/>
  <c r="E21223" i="14"/>
  <c r="AH21222" i="14"/>
  <c r="W21222" i="14"/>
  <c r="V21222" i="14"/>
  <c r="T21222" i="14"/>
  <c r="Q21222" i="14"/>
  <c r="E21222" i="14"/>
  <c r="AH21221" i="14"/>
  <c r="Q21221" i="14"/>
  <c r="M21221" i="14"/>
  <c r="E21221" i="14"/>
  <c r="AH21220" i="14"/>
  <c r="W21220" i="14"/>
  <c r="V21220" i="14"/>
  <c r="T21220" i="14"/>
  <c r="Q21220" i="14"/>
  <c r="E21220" i="14"/>
  <c r="AH21219" i="14"/>
  <c r="T21219" i="14"/>
  <c r="Q21219" i="14"/>
  <c r="P21219" i="14"/>
  <c r="G21219" i="14"/>
  <c r="E21219" i="14"/>
  <c r="AH21218" i="14"/>
  <c r="T21218" i="14"/>
  <c r="Q21218" i="14"/>
  <c r="O21218" i="14"/>
  <c r="E21218" i="14"/>
  <c r="AH21217" i="14"/>
  <c r="T21217" i="14"/>
  <c r="Q21217" i="14"/>
  <c r="O21217" i="14"/>
  <c r="E21217" i="14"/>
  <c r="AH21216" i="14"/>
  <c r="V21216" i="14"/>
  <c r="T21216" i="14"/>
  <c r="Q21216" i="14"/>
  <c r="E21216" i="14"/>
  <c r="AH21215" i="14"/>
  <c r="V21215" i="14"/>
  <c r="T21215" i="14"/>
  <c r="Q21215" i="14"/>
  <c r="E21215" i="14"/>
  <c r="AH21214" i="14"/>
  <c r="T21214" i="14"/>
  <c r="Q21214" i="14"/>
  <c r="E21214" i="14"/>
  <c r="AH21213" i="14"/>
  <c r="V21213" i="14"/>
  <c r="T21213" i="14"/>
  <c r="Q21213" i="14"/>
  <c r="E21213" i="14"/>
  <c r="AH21212" i="14"/>
  <c r="V21212" i="14"/>
  <c r="T21212" i="14"/>
  <c r="Q21212" i="14"/>
  <c r="E21212" i="14"/>
  <c r="AH21211" i="14"/>
  <c r="Q21211" i="14"/>
  <c r="E21211" i="14"/>
  <c r="AH21210" i="14"/>
  <c r="T21210" i="14"/>
  <c r="Q21210" i="14"/>
  <c r="E21210" i="14"/>
  <c r="AH21209" i="14"/>
  <c r="V21209" i="14"/>
  <c r="Q21209" i="14"/>
  <c r="E21209" i="14"/>
  <c r="AH21208" i="14"/>
  <c r="W21208" i="14"/>
  <c r="V21208" i="14"/>
  <c r="Q21208" i="14"/>
  <c r="E21208" i="14"/>
  <c r="AH21207" i="14"/>
  <c r="T21207" i="14"/>
  <c r="Q21207" i="14"/>
  <c r="E21207" i="14"/>
  <c r="AH21206" i="14"/>
  <c r="Q21206" i="14"/>
  <c r="E21206" i="14"/>
  <c r="AH21205" i="14"/>
  <c r="V21205" i="14"/>
  <c r="T21205" i="14"/>
  <c r="Q21205" i="14"/>
  <c r="P21205" i="14"/>
  <c r="E21205" i="14"/>
  <c r="AH21204" i="14"/>
  <c r="T21204" i="14"/>
  <c r="Q21204" i="14"/>
  <c r="E21204" i="14"/>
  <c r="AH21203" i="14"/>
  <c r="T21203" i="14"/>
  <c r="Q21203" i="14"/>
  <c r="E21203" i="14"/>
  <c r="AH21202" i="14"/>
  <c r="W21202" i="14"/>
  <c r="V21202" i="14"/>
  <c r="U21202" i="14"/>
  <c r="T21202" i="14"/>
  <c r="Q21202" i="14"/>
  <c r="E21202" i="14"/>
  <c r="AH21201" i="14"/>
  <c r="W21201" i="14"/>
  <c r="V21201" i="14"/>
  <c r="Q21201" i="14"/>
  <c r="P21201" i="14"/>
  <c r="E21201" i="14"/>
  <c r="AH21200" i="14"/>
  <c r="V21200" i="14"/>
  <c r="U21200" i="14"/>
  <c r="Q21200" i="14"/>
  <c r="M21200" i="14"/>
  <c r="E21200" i="14"/>
  <c r="AH21199" i="14"/>
  <c r="V21199" i="14"/>
  <c r="T21199" i="14"/>
  <c r="Q21199" i="14"/>
  <c r="E21199" i="14"/>
  <c r="AH21198" i="14"/>
  <c r="W21198" i="14"/>
  <c r="V21198" i="14"/>
  <c r="T21198" i="14"/>
  <c r="Q21198" i="14"/>
  <c r="E21198" i="14"/>
  <c r="AH21197" i="14"/>
  <c r="Q21197" i="14"/>
  <c r="E21197" i="14"/>
  <c r="AH21196" i="14"/>
  <c r="E21196" i="14"/>
  <c r="AH21195" i="14"/>
  <c r="T21195" i="14"/>
  <c r="Q21195" i="14"/>
  <c r="M21195" i="14"/>
  <c r="E21195" i="14"/>
  <c r="AH21194" i="14"/>
  <c r="V21194" i="14"/>
  <c r="U21194" i="14"/>
  <c r="T21194" i="14"/>
  <c r="Q21194" i="14"/>
  <c r="E21194" i="14"/>
  <c r="AH21193" i="14"/>
  <c r="V21193" i="14"/>
  <c r="T21193" i="14"/>
  <c r="Q21193" i="14"/>
  <c r="E21193" i="14"/>
  <c r="AH21192" i="14"/>
  <c r="T21192" i="14"/>
  <c r="Q21192" i="14"/>
  <c r="E21192" i="14"/>
  <c r="AH21191" i="14"/>
  <c r="W21191" i="14"/>
  <c r="V21191" i="14"/>
  <c r="Q21191" i="14"/>
  <c r="E21191" i="14"/>
  <c r="AH21190" i="14"/>
  <c r="W21190" i="14"/>
  <c r="V21190" i="14"/>
  <c r="Q21190" i="14"/>
  <c r="E21190" i="14"/>
  <c r="AH21189" i="14"/>
  <c r="V21189" i="14"/>
  <c r="Q21189" i="14"/>
  <c r="E21189" i="14"/>
  <c r="AH21188" i="14"/>
  <c r="V21188" i="14"/>
  <c r="T21188" i="14"/>
  <c r="Q21188" i="14"/>
  <c r="P21188" i="14"/>
  <c r="E21188" i="14"/>
  <c r="AH21187" i="14"/>
  <c r="T21187" i="14"/>
  <c r="Q21187" i="14"/>
  <c r="E21187" i="14"/>
  <c r="AH21186" i="14"/>
  <c r="T21186" i="14"/>
  <c r="E21186" i="14"/>
  <c r="AH21185" i="14"/>
  <c r="V21185" i="14"/>
  <c r="T21185" i="14"/>
  <c r="Q21185" i="14"/>
  <c r="E21185" i="14"/>
  <c r="AH21184" i="14"/>
  <c r="V21184" i="14"/>
  <c r="U21184" i="14"/>
  <c r="T21184" i="14"/>
  <c r="Q21184" i="14"/>
  <c r="M21184" i="14"/>
  <c r="E21184" i="14"/>
  <c r="AH21183" i="14"/>
  <c r="V21183" i="14"/>
  <c r="T21183" i="14"/>
  <c r="Q21183" i="14"/>
  <c r="O21183" i="14"/>
  <c r="E21183" i="14"/>
  <c r="AH21182" i="14"/>
  <c r="T21182" i="14"/>
  <c r="Q21182" i="14"/>
  <c r="E21182" i="14"/>
  <c r="AH21181" i="14"/>
  <c r="U21181" i="14"/>
  <c r="T21181" i="14"/>
  <c r="Q21181" i="14"/>
  <c r="E21181" i="14"/>
  <c r="AH21180" i="14"/>
  <c r="T21180" i="14"/>
  <c r="Q21180" i="14"/>
  <c r="E21180" i="14"/>
  <c r="AH21179" i="14"/>
  <c r="T21179" i="14"/>
  <c r="Q21179" i="14"/>
  <c r="E21179" i="14"/>
  <c r="AH21178" i="14"/>
  <c r="Q21178" i="14"/>
  <c r="E21178" i="14"/>
  <c r="AH21177" i="14"/>
  <c r="V21177" i="14"/>
  <c r="U21177" i="14"/>
  <c r="T21177" i="14"/>
  <c r="Q21177" i="14"/>
  <c r="E21177" i="14"/>
  <c r="AH21176" i="14"/>
  <c r="V21176" i="14"/>
  <c r="T21176" i="14"/>
  <c r="Q21176" i="14"/>
  <c r="P21176" i="14"/>
  <c r="E21176" i="14"/>
  <c r="AH21175" i="14"/>
  <c r="V21175" i="14"/>
  <c r="U21175" i="14"/>
  <c r="T21175" i="14"/>
  <c r="Q21175" i="14"/>
  <c r="E21175" i="14"/>
  <c r="AH21174" i="14"/>
  <c r="V21174" i="14"/>
  <c r="T21174" i="14"/>
  <c r="Q21174" i="14"/>
  <c r="E21174" i="14"/>
  <c r="AH21173" i="14"/>
  <c r="V21173" i="14"/>
  <c r="T21173" i="14"/>
  <c r="Q21173" i="14"/>
  <c r="E21173" i="14"/>
  <c r="AH21172" i="14"/>
  <c r="W21172" i="14"/>
  <c r="V21172" i="14"/>
  <c r="T21172" i="14"/>
  <c r="Q21172" i="14"/>
  <c r="E21172" i="14"/>
  <c r="AH21171" i="14"/>
  <c r="W21171" i="14"/>
  <c r="V21171" i="14"/>
  <c r="T21171" i="14"/>
  <c r="Q21171" i="14"/>
  <c r="M21171" i="14"/>
  <c r="E21171" i="14"/>
  <c r="AH21170" i="14"/>
  <c r="U21170" i="14"/>
  <c r="T21170" i="14"/>
  <c r="Q21170" i="14"/>
  <c r="E21170" i="14"/>
  <c r="AH21169" i="14"/>
  <c r="T21169" i="14"/>
  <c r="Q21169" i="14"/>
  <c r="E21169" i="14"/>
  <c r="AH21168" i="14"/>
  <c r="T21168" i="14"/>
  <c r="Q21168" i="14"/>
  <c r="E21168" i="14"/>
  <c r="AH21167" i="14"/>
  <c r="T21167" i="14"/>
  <c r="Q21167" i="14"/>
  <c r="E21167" i="14"/>
  <c r="AH21166" i="14"/>
  <c r="T21166" i="14"/>
  <c r="E21166" i="14"/>
  <c r="AH21165" i="14"/>
  <c r="Q21165" i="14"/>
  <c r="E21165" i="14"/>
  <c r="AH21164" i="14"/>
  <c r="W21164" i="14"/>
  <c r="V21164" i="14"/>
  <c r="T21164" i="14"/>
  <c r="Q21164" i="14"/>
  <c r="E21164" i="14"/>
  <c r="AH21163" i="14"/>
  <c r="V21163" i="14"/>
  <c r="T21163" i="14"/>
  <c r="Q21163" i="14"/>
  <c r="E21163" i="14"/>
  <c r="AH21162" i="14"/>
  <c r="V21162" i="14"/>
  <c r="T21162" i="14"/>
  <c r="Q21162" i="14"/>
  <c r="P21162" i="14"/>
  <c r="O21162" i="14"/>
  <c r="E21162" i="14"/>
  <c r="AH21161" i="14"/>
  <c r="T21161" i="14"/>
  <c r="Q21161" i="14"/>
  <c r="E21161" i="14"/>
  <c r="AH21160" i="14"/>
  <c r="Q21160" i="14"/>
  <c r="O21160" i="14"/>
  <c r="E21160" i="14"/>
  <c r="AH21159" i="14"/>
  <c r="V21159" i="14"/>
  <c r="T21159" i="14"/>
  <c r="Q21159" i="14"/>
  <c r="P21159" i="14"/>
  <c r="E21159" i="14"/>
  <c r="AH21158" i="14"/>
  <c r="T21158" i="14"/>
  <c r="E21158" i="14"/>
  <c r="AH21157" i="14"/>
  <c r="W21157" i="14"/>
  <c r="V21157" i="14"/>
  <c r="U21157" i="14"/>
  <c r="T21157" i="14"/>
  <c r="Q21157" i="14"/>
  <c r="O21157" i="14"/>
  <c r="E21157" i="14"/>
  <c r="AH21156" i="14"/>
  <c r="W21156" i="14"/>
  <c r="V21156" i="14"/>
  <c r="U21156" i="14"/>
  <c r="T21156" i="14"/>
  <c r="Q21156" i="14"/>
  <c r="L21156" i="14"/>
  <c r="E21156" i="14"/>
  <c r="AH21155" i="14"/>
  <c r="T21155" i="14"/>
  <c r="Q21155" i="14"/>
  <c r="P21155" i="14"/>
  <c r="O21155" i="14"/>
  <c r="M21155" i="14"/>
  <c r="E21155" i="14"/>
  <c r="AH21154" i="14"/>
  <c r="W21154" i="14"/>
  <c r="V21154" i="14"/>
  <c r="U21154" i="14"/>
  <c r="T21154" i="14"/>
  <c r="Q21154" i="14"/>
  <c r="P21154" i="14"/>
  <c r="O21154" i="14"/>
  <c r="E21154" i="14"/>
  <c r="AH21153" i="14"/>
  <c r="V21153" i="14"/>
  <c r="T21153" i="14"/>
  <c r="Q21153" i="14"/>
  <c r="P21153" i="14"/>
  <c r="O21153" i="14"/>
  <c r="E21153" i="14"/>
  <c r="AH21152" i="14"/>
  <c r="W21152" i="14"/>
  <c r="V21152" i="14"/>
  <c r="T21152" i="14"/>
  <c r="Q21152" i="14"/>
  <c r="O21152" i="14"/>
  <c r="L21152" i="14"/>
  <c r="E21152" i="14"/>
  <c r="AH21151" i="14"/>
  <c r="V21151" i="14"/>
  <c r="T21151" i="14"/>
  <c r="Q21151" i="14"/>
  <c r="E21151" i="14"/>
  <c r="AH21150" i="14"/>
  <c r="V21150" i="14"/>
  <c r="T21150" i="14"/>
  <c r="Q21150" i="14"/>
  <c r="E21150" i="14"/>
  <c r="AH21149" i="14"/>
  <c r="V21149" i="14"/>
  <c r="T21149" i="14"/>
  <c r="Q21149" i="14"/>
  <c r="E21149" i="14"/>
  <c r="AH21148" i="14"/>
  <c r="T21148" i="14"/>
  <c r="Q21148" i="14"/>
  <c r="E21148" i="14"/>
  <c r="AH21147" i="14"/>
  <c r="V21147" i="14"/>
  <c r="Q21147" i="14"/>
  <c r="E21147" i="14"/>
  <c r="AH21146" i="14"/>
  <c r="V21146" i="14"/>
  <c r="Q21146" i="14"/>
  <c r="E21146" i="14"/>
  <c r="AH21145" i="14"/>
  <c r="V21145" i="14"/>
  <c r="Q21145" i="14"/>
  <c r="E21145" i="14"/>
  <c r="AH21144" i="14"/>
  <c r="V21144" i="14"/>
  <c r="T21144" i="14"/>
  <c r="Q21144" i="14"/>
  <c r="E21144" i="14"/>
  <c r="AH21143" i="14"/>
  <c r="E21143" i="14"/>
  <c r="AH21142" i="14"/>
  <c r="V21142" i="14"/>
  <c r="Q21142" i="14"/>
  <c r="E21142" i="14"/>
  <c r="AH21141" i="14"/>
  <c r="W21141" i="14"/>
  <c r="V21141" i="14"/>
  <c r="Q21141" i="14"/>
  <c r="E21141" i="14"/>
  <c r="AH21140" i="14"/>
  <c r="V21140" i="14"/>
  <c r="Q21140" i="14"/>
  <c r="E21140" i="14"/>
  <c r="AH21139" i="14"/>
  <c r="W21139" i="14"/>
  <c r="V21139" i="14"/>
  <c r="Q21139" i="14"/>
  <c r="E21139" i="14"/>
  <c r="AH21138" i="14"/>
  <c r="T21138" i="14"/>
  <c r="E21138" i="14"/>
  <c r="AH21137" i="14"/>
  <c r="AG21137" i="14"/>
  <c r="AE21137" i="14"/>
  <c r="W21137" i="14"/>
  <c r="V21137" i="14"/>
  <c r="Q21137" i="14"/>
  <c r="P21137" i="14"/>
  <c r="O21137" i="14"/>
  <c r="L21137" i="14"/>
  <c r="K21137" i="14"/>
  <c r="I21137" i="14"/>
  <c r="E21137" i="14"/>
  <c r="AH21136" i="14"/>
  <c r="W21136" i="14"/>
  <c r="V21136" i="14"/>
  <c r="T21136" i="14"/>
  <c r="Q21136" i="14"/>
  <c r="M21136" i="14"/>
  <c r="E21136" i="14"/>
  <c r="AH21135" i="14"/>
  <c r="T21135" i="14"/>
  <c r="Q21135" i="14"/>
  <c r="E21135" i="14"/>
  <c r="AH21134" i="14"/>
  <c r="Q21134" i="14"/>
  <c r="E21134" i="14"/>
  <c r="AH21133" i="14"/>
  <c r="T21133" i="14"/>
  <c r="Q21133" i="14"/>
  <c r="P21133" i="14"/>
  <c r="E21133" i="14"/>
  <c r="AH21132" i="14"/>
  <c r="T21132" i="14"/>
  <c r="Q21132" i="14"/>
  <c r="E21132" i="14"/>
  <c r="AH21131" i="14"/>
  <c r="V21131" i="14"/>
  <c r="T21131" i="14"/>
  <c r="Q21131" i="14"/>
  <c r="P21131" i="14"/>
  <c r="E21131" i="14"/>
  <c r="AH21130" i="14"/>
  <c r="V21130" i="14"/>
  <c r="U21130" i="14"/>
  <c r="T21130" i="14"/>
  <c r="Q21130" i="14"/>
  <c r="E21130" i="14"/>
  <c r="AH21129" i="14"/>
  <c r="Q21129" i="14"/>
  <c r="E21129" i="14"/>
  <c r="AH21128" i="14"/>
  <c r="T21128" i="14"/>
  <c r="E21128" i="14"/>
  <c r="AH21127" i="14"/>
  <c r="V21127" i="14"/>
  <c r="T21127" i="14"/>
  <c r="Q21127" i="14"/>
  <c r="P21127" i="14"/>
  <c r="E21127" i="14"/>
  <c r="AH21126" i="14"/>
  <c r="V21126" i="14"/>
  <c r="T21126" i="14"/>
  <c r="Q21126" i="14"/>
  <c r="P21126" i="14"/>
  <c r="O21126" i="14"/>
  <c r="E21126" i="14"/>
  <c r="AH21125" i="14"/>
  <c r="V21125" i="14"/>
  <c r="U21125" i="14"/>
  <c r="T21125" i="14"/>
  <c r="Q21125" i="14"/>
  <c r="P21125" i="14"/>
  <c r="O21125" i="14"/>
  <c r="E21125" i="14"/>
  <c r="AH21124" i="14"/>
  <c r="V21124" i="14"/>
  <c r="T21124" i="14"/>
  <c r="Q21124" i="14"/>
  <c r="O21124" i="14"/>
  <c r="E21124" i="14"/>
  <c r="AH21123" i="14"/>
  <c r="V21123" i="14"/>
  <c r="Q21123" i="14"/>
  <c r="E21123" i="14"/>
  <c r="AH21122" i="14"/>
  <c r="V21122" i="14"/>
  <c r="T21122" i="14"/>
  <c r="Q21122" i="14"/>
  <c r="P21122" i="14"/>
  <c r="E21122" i="14"/>
  <c r="AH21121" i="14"/>
  <c r="T21121" i="14"/>
  <c r="Q21121" i="14"/>
  <c r="P21121" i="14"/>
  <c r="O21121" i="14"/>
  <c r="L21121" i="14"/>
  <c r="I21121" i="14"/>
  <c r="E21121" i="14"/>
  <c r="AH21120" i="14"/>
  <c r="T21120" i="14"/>
  <c r="E21120" i="14"/>
  <c r="AH21119" i="14"/>
  <c r="T21119" i="14"/>
  <c r="Q21119" i="14"/>
  <c r="E21119" i="14"/>
  <c r="AH21118" i="14"/>
  <c r="U21118" i="14"/>
  <c r="T21118" i="14"/>
  <c r="Q21118" i="14"/>
  <c r="E21118" i="14"/>
  <c r="AH21117" i="14"/>
  <c r="T21117" i="14"/>
  <c r="Q21117" i="14"/>
  <c r="P21117" i="14"/>
  <c r="E21117" i="14"/>
  <c r="AH21116" i="14"/>
  <c r="T21116" i="14"/>
  <c r="Q21116" i="14"/>
  <c r="P21116" i="14"/>
  <c r="E21116" i="14"/>
  <c r="AH21115" i="14"/>
  <c r="V21115" i="14"/>
  <c r="T21115" i="14"/>
  <c r="Q21115" i="14"/>
  <c r="E21115" i="14"/>
  <c r="AH21114" i="14"/>
  <c r="T21114" i="14"/>
  <c r="Q21114" i="14"/>
  <c r="P21114" i="14"/>
  <c r="O21114" i="14"/>
  <c r="E21114" i="14"/>
  <c r="AH21113" i="14"/>
  <c r="V21113" i="14"/>
  <c r="Q21113" i="14"/>
  <c r="E21113" i="14"/>
  <c r="AH21112" i="14"/>
  <c r="T21112" i="14"/>
  <c r="Q21112" i="14"/>
  <c r="E21112" i="14"/>
  <c r="AH21111" i="14"/>
  <c r="T21111" i="14"/>
  <c r="Q21111" i="14"/>
  <c r="E21111" i="14"/>
  <c r="AH21110" i="14"/>
  <c r="T21110" i="14"/>
  <c r="Q21110" i="14"/>
  <c r="E21110" i="14"/>
  <c r="AH21109" i="14"/>
  <c r="T21109" i="14"/>
  <c r="E21109" i="14"/>
  <c r="AH21108" i="14"/>
  <c r="T21108" i="14"/>
  <c r="E21108" i="14"/>
  <c r="AH21107" i="14"/>
  <c r="T21107" i="14"/>
  <c r="E21107" i="14"/>
  <c r="AH21106" i="14"/>
  <c r="E21106" i="14"/>
  <c r="AH21105" i="14"/>
  <c r="T21105" i="14"/>
  <c r="E21105" i="14"/>
  <c r="AH21104" i="14"/>
  <c r="T21104" i="14"/>
  <c r="E21104" i="14"/>
  <c r="AH21103" i="14"/>
  <c r="E21103" i="14"/>
  <c r="AH21102" i="14"/>
  <c r="T21102" i="14"/>
  <c r="E21102" i="14"/>
  <c r="AH21101" i="14"/>
  <c r="T21101" i="14"/>
  <c r="E21101" i="14"/>
  <c r="AH21100" i="14"/>
  <c r="T21100" i="14"/>
  <c r="E21100" i="14"/>
  <c r="AH21099" i="14"/>
  <c r="T21099" i="14"/>
  <c r="E21099" i="14"/>
  <c r="AH21098" i="14"/>
  <c r="T21098" i="14"/>
  <c r="E21098" i="14"/>
  <c r="AH21097" i="14"/>
  <c r="T21097" i="14"/>
  <c r="E21097" i="14"/>
  <c r="AH21096" i="14"/>
  <c r="E21096" i="14"/>
  <c r="AH21095" i="14"/>
  <c r="T21095" i="14"/>
  <c r="E21095" i="14"/>
  <c r="AH21094" i="14"/>
  <c r="T21094" i="14"/>
  <c r="E21094" i="14"/>
  <c r="AH21093" i="14"/>
  <c r="E21093" i="14"/>
  <c r="AH21092" i="14"/>
  <c r="T21092" i="14"/>
  <c r="E21092" i="14"/>
  <c r="AH21091" i="14"/>
  <c r="T21091" i="14"/>
  <c r="E21091" i="14"/>
  <c r="AH21090" i="14"/>
  <c r="E21090" i="14"/>
  <c r="AH21089" i="14"/>
  <c r="T21089" i="14"/>
  <c r="E21089" i="14"/>
  <c r="AH21088" i="14"/>
  <c r="T21088" i="14"/>
  <c r="E21088" i="14"/>
  <c r="AH21087" i="14"/>
  <c r="V21087" i="14"/>
  <c r="T21087" i="14"/>
  <c r="Q21087" i="14"/>
  <c r="P21087" i="14"/>
  <c r="E21087" i="14"/>
  <c r="AH21086" i="14"/>
  <c r="V21086" i="14"/>
  <c r="T21086" i="14"/>
  <c r="Q21086" i="14"/>
  <c r="P21086" i="14"/>
  <c r="E21086" i="14"/>
  <c r="AH21085" i="14"/>
  <c r="W21085" i="14"/>
  <c r="V21085" i="14"/>
  <c r="Q21085" i="14"/>
  <c r="E21085" i="14"/>
  <c r="AH21084" i="14"/>
  <c r="V21084" i="14"/>
  <c r="Q21084" i="14"/>
  <c r="E21084" i="14"/>
  <c r="AH21083" i="14"/>
  <c r="V21083" i="14"/>
  <c r="U21083" i="14"/>
  <c r="T21083" i="14"/>
  <c r="Q21083" i="14"/>
  <c r="M21083" i="14"/>
  <c r="E21083" i="14"/>
  <c r="AH21082" i="14"/>
  <c r="V21082" i="14"/>
  <c r="Q21082" i="14"/>
  <c r="P21082" i="14"/>
  <c r="O21082" i="14"/>
  <c r="E21082" i="14"/>
  <c r="AH21081" i="14"/>
  <c r="V21081" i="14"/>
  <c r="U21081" i="14"/>
  <c r="T21081" i="14"/>
  <c r="Q21081" i="14"/>
  <c r="P21081" i="14"/>
  <c r="O21081" i="14"/>
  <c r="E21081" i="14"/>
  <c r="AH21080" i="14"/>
  <c r="V21080" i="14"/>
  <c r="Q21080" i="14"/>
  <c r="P21080" i="14"/>
  <c r="E21080" i="14"/>
  <c r="AH21079" i="14"/>
  <c r="V21079" i="14"/>
  <c r="Q21079" i="14"/>
  <c r="P21079" i="14"/>
  <c r="E21079" i="14"/>
  <c r="AH21078" i="14"/>
  <c r="V21078" i="14"/>
  <c r="Q21078" i="14"/>
  <c r="P21078" i="14"/>
  <c r="E21078" i="14"/>
  <c r="AH21077" i="14"/>
  <c r="T21077" i="14"/>
  <c r="Q21077" i="14"/>
  <c r="P21077" i="14"/>
  <c r="O21077" i="14"/>
  <c r="E21077" i="14"/>
  <c r="AH21076" i="14"/>
  <c r="V21076" i="14"/>
  <c r="T21076" i="14"/>
  <c r="Q21076" i="14"/>
  <c r="P21076" i="14"/>
  <c r="O21076" i="14"/>
  <c r="E21076" i="14"/>
  <c r="AH21075" i="14"/>
  <c r="V21075" i="14"/>
  <c r="T21075" i="14"/>
  <c r="Q21075" i="14"/>
  <c r="P21075" i="14"/>
  <c r="O21075" i="14"/>
  <c r="E21075" i="14"/>
  <c r="AH21074" i="14"/>
  <c r="T21074" i="14"/>
  <c r="Q21074" i="14"/>
  <c r="O21074" i="14"/>
  <c r="E21074" i="14"/>
  <c r="AH21073" i="14"/>
  <c r="V21073" i="14"/>
  <c r="T21073" i="14"/>
  <c r="Q21073" i="14"/>
  <c r="E21073" i="14"/>
  <c r="AH21072" i="14"/>
  <c r="T21072" i="14"/>
  <c r="Q21072" i="14"/>
  <c r="P21072" i="14"/>
  <c r="O21072" i="14"/>
  <c r="E21072" i="14"/>
  <c r="AH21071" i="14"/>
  <c r="V21071" i="14"/>
  <c r="Q21071" i="14"/>
  <c r="P21071" i="14"/>
  <c r="E21071" i="14"/>
  <c r="AH21070" i="14"/>
  <c r="V21070" i="14"/>
  <c r="T21070" i="14"/>
  <c r="Q21070" i="14"/>
  <c r="E21070" i="14"/>
  <c r="AH21069" i="14"/>
  <c r="T21069" i="14"/>
  <c r="Q21069" i="14"/>
  <c r="P21069" i="14"/>
  <c r="O21069" i="14"/>
  <c r="E21069" i="14"/>
  <c r="AH21068" i="14"/>
  <c r="T21068" i="14"/>
  <c r="Q21068" i="14"/>
  <c r="E21068" i="14"/>
  <c r="AH21067" i="14"/>
  <c r="W21067" i="14"/>
  <c r="V21067" i="14"/>
  <c r="T21067" i="14"/>
  <c r="Q21067" i="14"/>
  <c r="E21067" i="14"/>
  <c r="AH21066" i="14"/>
  <c r="T21066" i="14"/>
  <c r="Q21066" i="14"/>
  <c r="E21066" i="14"/>
  <c r="AH21065" i="14"/>
  <c r="V21065" i="14"/>
  <c r="T21065" i="14"/>
  <c r="Q21065" i="14"/>
  <c r="E21065" i="14"/>
  <c r="AH21064" i="14"/>
  <c r="V21064" i="14"/>
  <c r="T21064" i="14"/>
  <c r="Q21064" i="14"/>
  <c r="E21064" i="14"/>
  <c r="AH21063" i="14"/>
  <c r="V21063" i="14"/>
  <c r="T21063" i="14"/>
  <c r="Q21063" i="14"/>
  <c r="E21063" i="14"/>
  <c r="AH21062" i="14"/>
  <c r="AF21062" i="14"/>
  <c r="AE21062" i="14"/>
  <c r="U21062" i="14"/>
  <c r="T21062" i="14"/>
  <c r="Q21062" i="14"/>
  <c r="E21062" i="14"/>
  <c r="AH21061" i="14"/>
  <c r="V21061" i="14"/>
  <c r="T21061" i="14"/>
  <c r="Q21061" i="14"/>
  <c r="E21061" i="14"/>
  <c r="AH21060" i="14"/>
  <c r="V21060" i="14"/>
  <c r="T21060" i="14"/>
  <c r="Q21060" i="14"/>
  <c r="E21060" i="14"/>
  <c r="AH21059" i="14"/>
  <c r="T21059" i="14"/>
  <c r="Q21059" i="14"/>
  <c r="P21059" i="14"/>
  <c r="E21059" i="14"/>
  <c r="AK21058" i="14"/>
  <c r="AH21058" i="14"/>
  <c r="V21058" i="14"/>
  <c r="T21058" i="14"/>
  <c r="Q21058" i="14"/>
  <c r="P21058" i="14"/>
  <c r="N21058" i="14"/>
  <c r="K21058" i="14"/>
  <c r="E21058" i="14"/>
  <c r="AH21057" i="14"/>
  <c r="Q21057" i="14"/>
  <c r="P21057" i="14"/>
  <c r="O21057" i="14"/>
  <c r="E21057" i="14"/>
  <c r="AH21056" i="14"/>
  <c r="T21056" i="14"/>
  <c r="E21056" i="14"/>
  <c r="AH21055" i="14"/>
  <c r="T21055" i="14"/>
  <c r="E21055" i="14"/>
  <c r="AH21054" i="14"/>
  <c r="T21054" i="14"/>
  <c r="E21054" i="14"/>
  <c r="AH21053" i="14"/>
  <c r="E21053" i="14"/>
  <c r="AH21052" i="14"/>
  <c r="T21052" i="14"/>
  <c r="E21052" i="14"/>
  <c r="AH21051" i="14"/>
  <c r="T21051" i="14"/>
  <c r="E21051" i="14"/>
  <c r="AH21050" i="14"/>
  <c r="T21050" i="14"/>
  <c r="Q21050" i="14"/>
  <c r="E21050" i="14"/>
  <c r="AH21049" i="14"/>
  <c r="U21049" i="14"/>
  <c r="T21049" i="14"/>
  <c r="Q21049" i="14"/>
  <c r="E21049" i="14"/>
  <c r="AH21048" i="14"/>
  <c r="V21048" i="14"/>
  <c r="T21048" i="14"/>
  <c r="Q21048" i="14"/>
  <c r="E21048" i="14"/>
  <c r="AH21047" i="14"/>
  <c r="V21047" i="14"/>
  <c r="T21047" i="14"/>
  <c r="Q21047" i="14"/>
  <c r="E21047" i="14"/>
  <c r="AH21046" i="14"/>
  <c r="V21046" i="14"/>
  <c r="T21046" i="14"/>
  <c r="Q21046" i="14"/>
  <c r="E21046" i="14"/>
  <c r="AH21045" i="14"/>
  <c r="T21045" i="14"/>
  <c r="Q21045" i="14"/>
  <c r="E21045" i="14"/>
  <c r="AH21044" i="14"/>
  <c r="W21044" i="14"/>
  <c r="V21044" i="14"/>
  <c r="U21044" i="14"/>
  <c r="T21044" i="14"/>
  <c r="Q21044" i="14"/>
  <c r="O21044" i="14"/>
  <c r="E21044" i="14"/>
  <c r="AH21043" i="14"/>
  <c r="V21043" i="14"/>
  <c r="T21043" i="14"/>
  <c r="Q21043" i="14"/>
  <c r="E21043" i="14"/>
  <c r="AH21042" i="14"/>
  <c r="V21042" i="14"/>
  <c r="U21042" i="14"/>
  <c r="T21042" i="14"/>
  <c r="Q21042" i="14"/>
  <c r="E21042" i="14"/>
  <c r="AH21041" i="14"/>
  <c r="V21041" i="14"/>
  <c r="Q21041" i="14"/>
  <c r="E21041" i="14"/>
  <c r="AH21040" i="14"/>
  <c r="V21040" i="14"/>
  <c r="T21040" i="14"/>
  <c r="Q21040" i="14"/>
  <c r="P21040" i="14"/>
  <c r="O21040" i="14"/>
  <c r="E21040" i="14"/>
  <c r="AH21039" i="14"/>
  <c r="V21039" i="14"/>
  <c r="T21039" i="14"/>
  <c r="Q21039" i="14"/>
  <c r="P21039" i="14"/>
  <c r="E21039" i="14"/>
  <c r="AH21038" i="14"/>
  <c r="V21038" i="14"/>
  <c r="T21038" i="14"/>
  <c r="Q21038" i="14"/>
  <c r="E21038" i="14"/>
  <c r="AH21037" i="14"/>
  <c r="T21037" i="14"/>
  <c r="Q21037" i="14"/>
  <c r="E21037" i="14"/>
  <c r="AH21036" i="14"/>
  <c r="V21036" i="14"/>
  <c r="Q21036" i="14"/>
  <c r="E21036" i="14"/>
  <c r="AH21035" i="14"/>
  <c r="W21035" i="14"/>
  <c r="V21035" i="14"/>
  <c r="U21035" i="14"/>
  <c r="T21035" i="14"/>
  <c r="Q21035" i="14"/>
  <c r="E21035" i="14"/>
  <c r="AH21034" i="14"/>
  <c r="V21034" i="14"/>
  <c r="Q21034" i="14"/>
  <c r="P21034" i="14"/>
  <c r="E21034" i="14"/>
  <c r="AH21033" i="14"/>
  <c r="V21033" i="14"/>
  <c r="T21033" i="14"/>
  <c r="Q21033" i="14"/>
  <c r="E21033" i="14"/>
  <c r="AH21032" i="14"/>
  <c r="Q21032" i="14"/>
  <c r="E21032" i="14"/>
  <c r="AH21031" i="14"/>
  <c r="Q21031" i="14"/>
  <c r="E21031" i="14"/>
  <c r="AH21030" i="14"/>
  <c r="V21030" i="14"/>
  <c r="E21030" i="14"/>
  <c r="AH21029" i="14"/>
  <c r="T21029" i="14"/>
  <c r="E21029" i="14"/>
  <c r="AH21028" i="14"/>
  <c r="T21028" i="14"/>
  <c r="E21028" i="14"/>
  <c r="AH21027" i="14"/>
  <c r="V21027" i="14"/>
  <c r="T21027" i="14"/>
  <c r="E21027" i="14"/>
  <c r="AH21026" i="14"/>
  <c r="E21026" i="14"/>
  <c r="AH21025" i="14"/>
  <c r="V21025" i="14"/>
  <c r="T21025" i="14"/>
  <c r="Q21025" i="14"/>
  <c r="E21025" i="14"/>
  <c r="AH21024" i="14"/>
  <c r="E21024" i="14"/>
  <c r="AH21023" i="14"/>
  <c r="T21023" i="14"/>
  <c r="E21023" i="14"/>
  <c r="AH21022" i="14"/>
  <c r="V21022" i="14"/>
  <c r="T21022" i="14"/>
  <c r="E21022" i="14"/>
  <c r="AH21021" i="14"/>
  <c r="V21021" i="14"/>
  <c r="T21021" i="14"/>
  <c r="E21021" i="14"/>
  <c r="AH21020" i="14"/>
  <c r="V21020" i="14"/>
  <c r="T21020" i="14"/>
  <c r="E21020" i="14"/>
  <c r="AH21019" i="14"/>
  <c r="T21019" i="14"/>
  <c r="E21019" i="14"/>
  <c r="AH21018" i="14"/>
  <c r="T21018" i="14"/>
  <c r="E21018" i="14"/>
  <c r="AH21017" i="14"/>
  <c r="T21017" i="14"/>
  <c r="E21017" i="14"/>
  <c r="AH21016" i="14"/>
  <c r="E21016" i="14"/>
  <c r="AH21015" i="14"/>
  <c r="V21015" i="14"/>
  <c r="T21015" i="14"/>
  <c r="E21015" i="14"/>
  <c r="AH21014" i="14"/>
  <c r="E21014" i="14"/>
  <c r="AH21013" i="14"/>
  <c r="T21013" i="14"/>
  <c r="E21013" i="14"/>
  <c r="AH21012" i="14"/>
  <c r="V21012" i="14"/>
  <c r="U21012" i="14"/>
  <c r="T21012" i="14"/>
  <c r="Q21012" i="14"/>
  <c r="E21012" i="14"/>
  <c r="AH21011" i="14"/>
  <c r="V21011" i="14"/>
  <c r="T21011" i="14"/>
  <c r="E21011" i="14"/>
  <c r="AH21010" i="14"/>
  <c r="T21010" i="14"/>
  <c r="E21010" i="14"/>
  <c r="AH21009" i="14"/>
  <c r="T21009" i="14"/>
  <c r="E21009" i="14"/>
  <c r="AH21008" i="14"/>
  <c r="T21008" i="14"/>
  <c r="E21008" i="14"/>
  <c r="AH21007" i="14"/>
  <c r="T21007" i="14"/>
  <c r="E21007" i="14"/>
  <c r="AH21006" i="14"/>
  <c r="T21006" i="14"/>
  <c r="E21006" i="14"/>
  <c r="AH21005" i="14"/>
  <c r="T21005" i="14"/>
  <c r="E21005" i="14"/>
  <c r="AH21004" i="14"/>
  <c r="V21004" i="14"/>
  <c r="T21004" i="14"/>
  <c r="E21004" i="14"/>
  <c r="AH21003" i="14"/>
  <c r="V21003" i="14"/>
  <c r="T21003" i="14"/>
  <c r="E21003" i="14"/>
  <c r="AH21002" i="14"/>
  <c r="E21002" i="14"/>
  <c r="AH21001" i="14"/>
  <c r="V21001" i="14"/>
  <c r="E21001" i="14"/>
  <c r="AH21000" i="14"/>
  <c r="E21000" i="14"/>
  <c r="AH20999" i="14"/>
  <c r="V20999" i="14"/>
  <c r="E20999" i="14"/>
  <c r="AH20998" i="14"/>
  <c r="T20998" i="14"/>
  <c r="E20998" i="14"/>
  <c r="AH20997" i="14"/>
  <c r="V20997" i="14"/>
  <c r="E20997" i="14"/>
  <c r="AH20996" i="14"/>
  <c r="V20996" i="14"/>
  <c r="E20996" i="14"/>
  <c r="AH20995" i="14"/>
  <c r="T20995" i="14"/>
  <c r="E20995" i="14"/>
  <c r="AH20994" i="14"/>
  <c r="E20994" i="14"/>
  <c r="AH20993" i="14"/>
  <c r="E20993" i="14"/>
  <c r="AH20992" i="14"/>
  <c r="T20992" i="14"/>
  <c r="E20992" i="14"/>
  <c r="AH20991" i="14"/>
  <c r="E20991" i="14"/>
  <c r="AH20990" i="14"/>
  <c r="V20990" i="14"/>
  <c r="T20990" i="14"/>
  <c r="E20990" i="14"/>
  <c r="AH20989" i="14"/>
  <c r="V20989" i="14"/>
  <c r="E20989" i="14"/>
  <c r="AH20988" i="14"/>
  <c r="E20988" i="14"/>
  <c r="AH20987" i="14"/>
  <c r="V20987" i="14"/>
  <c r="E20987" i="14"/>
  <c r="AH20986" i="14"/>
  <c r="T20986" i="14"/>
  <c r="E20986" i="14"/>
  <c r="AH20985" i="14"/>
  <c r="E20985" i="14"/>
  <c r="AH20984" i="14"/>
  <c r="T20984" i="14"/>
  <c r="E20984" i="14"/>
  <c r="AH20983" i="14"/>
  <c r="V20983" i="14"/>
  <c r="T20983" i="14"/>
  <c r="E20983" i="14"/>
  <c r="AH20982" i="14"/>
  <c r="E20982" i="14"/>
  <c r="AH20981" i="14"/>
  <c r="V20981" i="14"/>
  <c r="T20981" i="14"/>
  <c r="E20981" i="14"/>
  <c r="AH20980" i="14"/>
  <c r="V20980" i="14"/>
  <c r="E20980" i="14"/>
  <c r="AH20979" i="14"/>
  <c r="T20979" i="14"/>
  <c r="E20979" i="14"/>
  <c r="AH20978" i="14"/>
  <c r="T20978" i="14"/>
  <c r="E20978" i="14"/>
  <c r="AH20977" i="14"/>
  <c r="E20977" i="14"/>
  <c r="AH20976" i="14"/>
  <c r="V20976" i="14"/>
  <c r="T20976" i="14"/>
  <c r="E20976" i="14"/>
  <c r="AH20975" i="14"/>
  <c r="E20975" i="14"/>
  <c r="AH20974" i="14"/>
  <c r="E20974" i="14"/>
  <c r="AH20973" i="14"/>
  <c r="E20973" i="14"/>
  <c r="AH20972" i="14"/>
  <c r="T20972" i="14"/>
  <c r="E20972" i="14"/>
  <c r="AH20971" i="14"/>
  <c r="E20971" i="14"/>
  <c r="AH20970" i="14"/>
  <c r="T20970" i="14"/>
  <c r="Q20970" i="14"/>
  <c r="E20970" i="14"/>
  <c r="AH20969" i="14"/>
  <c r="T20969" i="14"/>
  <c r="E20969" i="14"/>
  <c r="AH20968" i="14"/>
  <c r="V20968" i="14"/>
  <c r="T20968" i="14"/>
  <c r="E20968" i="14"/>
  <c r="AH20967" i="14"/>
  <c r="V20967" i="14"/>
  <c r="E20967" i="14"/>
  <c r="AH20966" i="14"/>
  <c r="E20966" i="14"/>
  <c r="AH20965" i="14"/>
  <c r="E20965" i="14"/>
  <c r="AH20964" i="14"/>
  <c r="E20964" i="14"/>
  <c r="AH20963" i="14"/>
  <c r="V20963" i="14"/>
  <c r="T20963" i="14"/>
  <c r="Q20963" i="14"/>
  <c r="P20963" i="14"/>
  <c r="E20963" i="14"/>
  <c r="AH20962" i="14"/>
  <c r="E20962" i="14"/>
  <c r="AH20961" i="14"/>
  <c r="E20961" i="14"/>
  <c r="AH20960" i="14"/>
  <c r="V20960" i="14"/>
  <c r="T20960" i="14"/>
  <c r="E20960" i="14"/>
  <c r="AH20959" i="14"/>
  <c r="E20959" i="14"/>
  <c r="AH20958" i="14"/>
  <c r="E20958" i="14"/>
  <c r="AH20957" i="14"/>
  <c r="T20957" i="14"/>
  <c r="E20957" i="14"/>
  <c r="AH20956" i="14"/>
  <c r="T20956" i="14"/>
  <c r="E20956" i="14"/>
  <c r="AH20955" i="14"/>
  <c r="E20955" i="14"/>
  <c r="AH20954" i="14"/>
  <c r="E20954" i="14"/>
  <c r="AH20953" i="14"/>
  <c r="T20953" i="14"/>
  <c r="E20953" i="14"/>
  <c r="AH20952" i="14"/>
  <c r="V20952" i="14"/>
  <c r="E20952" i="14"/>
  <c r="AH20951" i="14"/>
  <c r="E20951" i="14"/>
  <c r="AH20950" i="14"/>
  <c r="V20950" i="14"/>
  <c r="T20950" i="14"/>
  <c r="E20950" i="14"/>
  <c r="AH20949" i="14"/>
  <c r="T20949" i="14"/>
  <c r="E20949" i="14"/>
  <c r="AH20948" i="14"/>
  <c r="E20948" i="14"/>
  <c r="AH20947" i="14"/>
  <c r="T20947" i="14"/>
  <c r="E20947" i="14"/>
  <c r="AH20946" i="14"/>
  <c r="T20946" i="14"/>
  <c r="E20946" i="14"/>
  <c r="AH20945" i="14"/>
  <c r="T20945" i="14"/>
  <c r="E20945" i="14"/>
  <c r="AH20944" i="14"/>
  <c r="V20944" i="14"/>
  <c r="T20944" i="14"/>
  <c r="E20944" i="14"/>
  <c r="AH20943" i="14"/>
  <c r="V20943" i="14"/>
  <c r="E20943" i="14"/>
  <c r="AH20942" i="14"/>
  <c r="E20942" i="14"/>
  <c r="AH20941" i="14"/>
  <c r="E20941" i="14"/>
  <c r="AH20940" i="14"/>
  <c r="V20940" i="14"/>
  <c r="E20940" i="14"/>
  <c r="AH20939" i="14"/>
  <c r="T20939" i="14"/>
  <c r="E20939" i="14"/>
  <c r="AH20938" i="14"/>
  <c r="E20938" i="14"/>
  <c r="AH20937" i="14"/>
  <c r="E20937" i="14"/>
  <c r="AH20936" i="14"/>
  <c r="V20936" i="14"/>
  <c r="T20936" i="14"/>
  <c r="E20936" i="14"/>
  <c r="AH20935" i="14"/>
  <c r="E20935" i="14"/>
  <c r="AH20934" i="14"/>
  <c r="E20934" i="14"/>
  <c r="AH20933" i="14"/>
  <c r="V20933" i="14"/>
  <c r="E20933" i="14"/>
  <c r="AH20932" i="14"/>
  <c r="T20932" i="14"/>
  <c r="E20932" i="14"/>
  <c r="AH20931" i="14"/>
  <c r="E20931" i="14"/>
  <c r="AH20930" i="14"/>
  <c r="T20930" i="14"/>
  <c r="E20930" i="14"/>
  <c r="AH20929" i="14"/>
  <c r="E20929" i="14"/>
  <c r="AH20928" i="14"/>
  <c r="V20928" i="14"/>
  <c r="T20928" i="14"/>
  <c r="Q20928" i="14"/>
  <c r="E20928" i="14"/>
  <c r="AH20927" i="14"/>
  <c r="V20927" i="14"/>
  <c r="T20927" i="14"/>
  <c r="Q20927" i="14"/>
  <c r="P20927" i="14"/>
  <c r="E20927" i="14"/>
  <c r="AH20926" i="14"/>
  <c r="E20926" i="14"/>
  <c r="AH20925" i="14"/>
  <c r="T20925" i="14"/>
  <c r="E20925" i="14"/>
  <c r="AH20924" i="14"/>
  <c r="T20924" i="14"/>
  <c r="E20924" i="14"/>
  <c r="AH20923" i="14"/>
  <c r="E20923" i="14"/>
  <c r="AH20922" i="14"/>
  <c r="E20922" i="14"/>
  <c r="AH20921" i="14"/>
  <c r="V20921" i="14"/>
  <c r="T20921" i="14"/>
  <c r="E20921" i="14"/>
  <c r="AH20920" i="14"/>
  <c r="V20920" i="14"/>
  <c r="T20920" i="14"/>
  <c r="E20920" i="14"/>
  <c r="AH20919" i="14"/>
  <c r="E20919" i="14"/>
  <c r="AH20918" i="14"/>
  <c r="Q20918" i="14"/>
  <c r="E20918" i="14"/>
  <c r="AH20917" i="14"/>
  <c r="E20917" i="14"/>
  <c r="AH20916" i="14"/>
  <c r="V20916" i="14"/>
  <c r="E20916" i="14"/>
  <c r="AH20915" i="14"/>
  <c r="T20915" i="14"/>
  <c r="E20915" i="14"/>
  <c r="AH20914" i="14"/>
  <c r="E20914" i="14"/>
  <c r="AH20913" i="14"/>
  <c r="E20913" i="14"/>
  <c r="AH20912" i="14"/>
  <c r="V20912" i="14"/>
  <c r="E20912" i="14"/>
  <c r="AH20911" i="14"/>
  <c r="E20911" i="14"/>
  <c r="AH20910" i="14"/>
  <c r="E20910" i="14"/>
  <c r="AH20909" i="14"/>
  <c r="E20909" i="14"/>
  <c r="AH20908" i="14"/>
  <c r="E20908" i="14"/>
  <c r="AH20907" i="14"/>
  <c r="T20907" i="14"/>
  <c r="Q20907" i="14"/>
  <c r="E20907" i="14"/>
  <c r="AH20906" i="14"/>
  <c r="V20906" i="14"/>
  <c r="T20906" i="14"/>
  <c r="Q20906" i="14"/>
  <c r="E20906" i="14"/>
  <c r="AH20905" i="14"/>
  <c r="T20905" i="14"/>
  <c r="Q20905" i="14"/>
  <c r="E20905" i="14"/>
  <c r="AH20904" i="14"/>
  <c r="T20904" i="14"/>
  <c r="Q20904" i="14"/>
  <c r="E20904" i="14"/>
  <c r="AH20903" i="14"/>
  <c r="T20903" i="14"/>
  <c r="Q20903" i="14"/>
  <c r="P20903" i="14"/>
  <c r="E20903" i="14"/>
  <c r="AH20902" i="14"/>
  <c r="T20902" i="14"/>
  <c r="E20902" i="14"/>
  <c r="AH20901" i="14"/>
  <c r="T20901" i="14"/>
  <c r="E20901" i="14"/>
  <c r="AH20900" i="14"/>
  <c r="E20900" i="14"/>
  <c r="AH20899" i="14"/>
  <c r="T20899" i="14"/>
  <c r="E20899" i="14"/>
  <c r="AH20898" i="14"/>
  <c r="E20898" i="14"/>
  <c r="AH20897" i="14"/>
  <c r="T20897" i="14"/>
  <c r="E20897" i="14"/>
  <c r="AH20896" i="14"/>
  <c r="T20896" i="14"/>
  <c r="E20896" i="14"/>
  <c r="AH20895" i="14"/>
  <c r="T20895" i="14"/>
  <c r="E20895" i="14"/>
  <c r="AH20894" i="14"/>
  <c r="T20894" i="14"/>
  <c r="E20894" i="14"/>
  <c r="AH20893" i="14"/>
  <c r="T20893" i="14"/>
  <c r="E20893" i="14"/>
  <c r="AH20892" i="14"/>
  <c r="E20892" i="14"/>
  <c r="AH20891" i="14"/>
  <c r="T20891" i="14"/>
  <c r="E20891" i="14"/>
  <c r="AH20890" i="14"/>
  <c r="T20890" i="14"/>
  <c r="E20890" i="14"/>
  <c r="AH20889" i="14"/>
  <c r="T20889" i="14"/>
  <c r="E20889" i="14"/>
  <c r="AH20888" i="14"/>
  <c r="T20888" i="14"/>
  <c r="E20888" i="14"/>
  <c r="AH20887" i="14"/>
  <c r="T20887" i="14"/>
  <c r="E20887" i="14"/>
  <c r="AH20886" i="14"/>
  <c r="V20886" i="14"/>
  <c r="T20886" i="14"/>
  <c r="E20886" i="14"/>
  <c r="AH20885" i="14"/>
  <c r="W20885" i="14"/>
  <c r="V20885" i="14"/>
  <c r="U20885" i="14"/>
  <c r="T20885" i="14"/>
  <c r="Q20885" i="14"/>
  <c r="P20885" i="14"/>
  <c r="E20885" i="14"/>
  <c r="AH20884" i="14"/>
  <c r="V20884" i="14"/>
  <c r="U20884" i="14"/>
  <c r="T20884" i="14"/>
  <c r="E20884" i="14"/>
  <c r="AH20883" i="14"/>
  <c r="V20883" i="14"/>
  <c r="U20883" i="14"/>
  <c r="T20883" i="14"/>
  <c r="Q20883" i="14"/>
  <c r="P20883" i="14"/>
  <c r="E20883" i="14"/>
  <c r="AH20882" i="14"/>
  <c r="V20882" i="14"/>
  <c r="T20882" i="14"/>
  <c r="P20882" i="14"/>
  <c r="E20882" i="14"/>
  <c r="AH20881" i="14"/>
  <c r="V20881" i="14"/>
  <c r="T20881" i="14"/>
  <c r="E20881" i="14"/>
  <c r="AH20880" i="14"/>
  <c r="V20880" i="14"/>
  <c r="T20880" i="14"/>
  <c r="Q20880" i="14"/>
  <c r="E20880" i="14"/>
  <c r="AH20879" i="14"/>
  <c r="V20879" i="14"/>
  <c r="U20879" i="14"/>
  <c r="T20879" i="14"/>
  <c r="E20879" i="14"/>
  <c r="AH20878" i="14"/>
  <c r="Q20878" i="14"/>
  <c r="E20878" i="14"/>
  <c r="AH20877" i="14"/>
  <c r="T20877" i="14"/>
  <c r="Q20877" i="14"/>
  <c r="E20877" i="14"/>
  <c r="AH20876" i="14"/>
  <c r="V20876" i="14"/>
  <c r="U20876" i="14"/>
  <c r="T20876" i="14"/>
  <c r="Q20876" i="14"/>
  <c r="P20876" i="14"/>
  <c r="E20876" i="14"/>
  <c r="AH20875" i="14"/>
  <c r="Q20875" i="14"/>
  <c r="E20875" i="14"/>
  <c r="AH20874" i="14"/>
  <c r="V20874" i="14"/>
  <c r="T20874" i="14"/>
  <c r="Q20874" i="14"/>
  <c r="P20874" i="14"/>
  <c r="O20874" i="14"/>
  <c r="E20874" i="14"/>
  <c r="AH20873" i="14"/>
  <c r="V20873" i="14"/>
  <c r="U20873" i="14"/>
  <c r="T20873" i="14"/>
  <c r="E20873" i="14"/>
  <c r="AH20872" i="14"/>
  <c r="T20872" i="14"/>
  <c r="Q20872" i="14"/>
  <c r="E20872" i="14"/>
  <c r="AH20871" i="14"/>
  <c r="Q20871" i="14"/>
  <c r="E20871" i="14"/>
  <c r="AH20870" i="14"/>
  <c r="V20870" i="14"/>
  <c r="U20870" i="14"/>
  <c r="T20870" i="14"/>
  <c r="E20870" i="14"/>
  <c r="AH20869" i="14"/>
  <c r="V20869" i="14"/>
  <c r="T20869" i="14"/>
  <c r="E20869" i="14"/>
  <c r="AH20868" i="14"/>
  <c r="E20868" i="14"/>
  <c r="AH20867" i="14"/>
  <c r="V20867" i="14"/>
  <c r="Q20867" i="14"/>
  <c r="E20867" i="14"/>
  <c r="AH20866" i="14"/>
  <c r="V20866" i="14"/>
  <c r="U20866" i="14"/>
  <c r="T20866" i="14"/>
  <c r="Q20866" i="14"/>
  <c r="P20866" i="14"/>
  <c r="L20866" i="14"/>
  <c r="E20866" i="14"/>
  <c r="AH20865" i="14"/>
  <c r="T20865" i="14"/>
  <c r="E20865" i="14"/>
  <c r="AH20864" i="14"/>
  <c r="V20864" i="14"/>
  <c r="T20864" i="14"/>
  <c r="E20864" i="14"/>
  <c r="AH20863" i="14"/>
  <c r="V20863" i="14"/>
  <c r="T20863" i="14"/>
  <c r="E20863" i="14"/>
  <c r="AH20862" i="14"/>
  <c r="V20862" i="14"/>
  <c r="T20862" i="14"/>
  <c r="E20862" i="14"/>
  <c r="AH20861" i="14"/>
  <c r="V20861" i="14"/>
  <c r="T20861" i="14"/>
  <c r="Q20861" i="14"/>
  <c r="P20861" i="14"/>
  <c r="E20861" i="14"/>
  <c r="AH20860" i="14"/>
  <c r="E20860" i="14"/>
  <c r="AH20859" i="14"/>
  <c r="V20859" i="14"/>
  <c r="E20859" i="14"/>
  <c r="AH20858" i="14"/>
  <c r="V20858" i="14"/>
  <c r="T20858" i="14"/>
  <c r="Q20858" i="14"/>
  <c r="E20858" i="14"/>
  <c r="AH20857" i="14"/>
  <c r="V20857" i="14"/>
  <c r="T20857" i="14"/>
  <c r="Q20857" i="14"/>
  <c r="P20857" i="14"/>
  <c r="E20857" i="14"/>
  <c r="AH20856" i="14"/>
  <c r="T20856" i="14"/>
  <c r="E20856" i="14"/>
  <c r="AH20855" i="14"/>
  <c r="V20855" i="14"/>
  <c r="P20855" i="14"/>
  <c r="O20855" i="14"/>
  <c r="E20855" i="14"/>
  <c r="AH20854" i="14"/>
  <c r="E20854" i="14"/>
  <c r="AH20853" i="14"/>
  <c r="T20853" i="14"/>
  <c r="E20853" i="14"/>
  <c r="AH20852" i="14"/>
  <c r="T20852" i="14"/>
  <c r="E20852" i="14"/>
  <c r="AH20851" i="14"/>
  <c r="V20851" i="14"/>
  <c r="T20851" i="14"/>
  <c r="Q20851" i="14"/>
  <c r="P20851" i="14"/>
  <c r="O20851" i="14"/>
  <c r="E20851" i="14"/>
  <c r="AH20850" i="14"/>
  <c r="V20850" i="14"/>
  <c r="U20850" i="14"/>
  <c r="T20850" i="14"/>
  <c r="Q20850" i="14"/>
  <c r="P20850" i="14"/>
  <c r="E20850" i="14"/>
  <c r="AH20849" i="14"/>
  <c r="V20849" i="14"/>
  <c r="T20849" i="14"/>
  <c r="Q20849" i="14"/>
  <c r="P20849" i="14"/>
  <c r="E20849" i="14"/>
  <c r="AH20848" i="14"/>
  <c r="Q20848" i="14"/>
  <c r="P20848" i="14"/>
  <c r="O20848" i="14"/>
  <c r="E20848" i="14"/>
  <c r="AH20847" i="14"/>
  <c r="U20847" i="14"/>
  <c r="T20847" i="14"/>
  <c r="Q20847" i="14"/>
  <c r="P20847" i="14"/>
  <c r="O20847" i="14"/>
  <c r="E20847" i="14"/>
  <c r="AH20846" i="14"/>
  <c r="V20846" i="14"/>
  <c r="T20846" i="14"/>
  <c r="Q20846" i="14"/>
  <c r="P20846" i="14"/>
  <c r="O20846" i="14"/>
  <c r="E20846" i="14"/>
  <c r="AH20845" i="14"/>
  <c r="T20845" i="14"/>
  <c r="Q20845" i="14"/>
  <c r="E20845" i="14"/>
  <c r="AH20844" i="14"/>
  <c r="T20844" i="14"/>
  <c r="Q20844" i="14"/>
  <c r="O20844" i="14"/>
  <c r="E20844" i="14"/>
  <c r="AH20843" i="14"/>
  <c r="T20843" i="14"/>
  <c r="Q20843" i="14"/>
  <c r="E20843" i="14"/>
  <c r="AH20842" i="14"/>
  <c r="V20842" i="14"/>
  <c r="Q20842" i="14"/>
  <c r="E20842" i="14"/>
  <c r="AH20841" i="14"/>
  <c r="V20841" i="14"/>
  <c r="T20841" i="14"/>
  <c r="Q20841" i="14"/>
  <c r="E20841" i="14"/>
  <c r="AH20840" i="14"/>
  <c r="V20840" i="14"/>
  <c r="T20840" i="14"/>
  <c r="Q20840" i="14"/>
  <c r="E20840" i="14"/>
  <c r="AH20839" i="14"/>
  <c r="V20839" i="14"/>
  <c r="U20839" i="14"/>
  <c r="T20839" i="14"/>
  <c r="Q20839" i="14"/>
  <c r="P20839" i="14"/>
  <c r="E20839" i="14"/>
  <c r="AH20838" i="14"/>
  <c r="V20838" i="14"/>
  <c r="T20838" i="14"/>
  <c r="Q20838" i="14"/>
  <c r="E20838" i="14"/>
  <c r="AH20837" i="14"/>
  <c r="W20837" i="14"/>
  <c r="V20837" i="14"/>
  <c r="U20837" i="14"/>
  <c r="T20837" i="14"/>
  <c r="Q20837" i="14"/>
  <c r="M20837" i="14"/>
  <c r="E20837" i="14"/>
  <c r="AH20836" i="14"/>
  <c r="W20836" i="14"/>
  <c r="V20836" i="14"/>
  <c r="U20836" i="14"/>
  <c r="T20836" i="14"/>
  <c r="Q20836" i="14"/>
  <c r="O20836" i="14"/>
  <c r="M20836" i="14"/>
  <c r="E20836" i="14"/>
  <c r="AH20835" i="14"/>
  <c r="T20835" i="14"/>
  <c r="Q20835" i="14"/>
  <c r="E20835" i="14"/>
  <c r="AH20834" i="14"/>
  <c r="T20834" i="14"/>
  <c r="Q20834" i="14"/>
  <c r="O20834" i="14"/>
  <c r="E20834" i="14"/>
  <c r="AH20833" i="14"/>
  <c r="T20833" i="14"/>
  <c r="Q20833" i="14"/>
  <c r="P20833" i="14"/>
  <c r="O20833" i="14"/>
  <c r="E20833" i="14"/>
  <c r="AH20832" i="14"/>
  <c r="T20832" i="14"/>
  <c r="Q20832" i="14"/>
  <c r="E20832" i="14"/>
  <c r="AH20831" i="14"/>
  <c r="Q20831" i="14"/>
  <c r="P20831" i="14"/>
  <c r="O20831" i="14"/>
  <c r="L20831" i="14"/>
  <c r="E20831" i="14"/>
  <c r="AH20830" i="14"/>
  <c r="W20830" i="14"/>
  <c r="V20830" i="14"/>
  <c r="Q20830" i="14"/>
  <c r="P20830" i="14"/>
  <c r="O20830" i="14"/>
  <c r="E20830" i="14"/>
  <c r="AH20829" i="14"/>
  <c r="V20829" i="14"/>
  <c r="Q20829" i="14"/>
  <c r="E20829" i="14"/>
  <c r="AH20828" i="14"/>
  <c r="V20828" i="14"/>
  <c r="Q20828" i="14"/>
  <c r="E20828" i="14"/>
  <c r="AH20827" i="14"/>
  <c r="V20827" i="14"/>
  <c r="U20827" i="14"/>
  <c r="T20827" i="14"/>
  <c r="Q20827" i="14"/>
  <c r="E20827" i="14"/>
  <c r="AH20826" i="14"/>
  <c r="V20826" i="14"/>
  <c r="Q20826" i="14"/>
  <c r="E20826" i="14"/>
  <c r="AH20825" i="14"/>
  <c r="T20825" i="14"/>
  <c r="E20825" i="14"/>
  <c r="AH20824" i="14"/>
  <c r="V20824" i="14"/>
  <c r="Q20824" i="14"/>
  <c r="E20824" i="14"/>
  <c r="AH20823" i="14"/>
  <c r="W20823" i="14"/>
  <c r="V20823" i="14"/>
  <c r="Q20823" i="14"/>
  <c r="M20823" i="14"/>
  <c r="E20823" i="14"/>
  <c r="AH20822" i="14"/>
  <c r="V20822" i="14"/>
  <c r="T20822" i="14"/>
  <c r="Q20822" i="14"/>
  <c r="P20822" i="14"/>
  <c r="E20822" i="14"/>
  <c r="AH20821" i="14"/>
  <c r="V20821" i="14"/>
  <c r="T20821" i="14"/>
  <c r="Q20821" i="14"/>
  <c r="P20821" i="14"/>
  <c r="O20821" i="14"/>
  <c r="E20821" i="14"/>
  <c r="AH20820" i="14"/>
  <c r="T20820" i="14"/>
  <c r="Q20820" i="14"/>
  <c r="P20820" i="14"/>
  <c r="O20820" i="14"/>
  <c r="E20820" i="14"/>
  <c r="AH20819" i="14"/>
  <c r="T20819" i="14"/>
  <c r="E20819" i="14"/>
  <c r="AH20818" i="14"/>
  <c r="T20818" i="14"/>
  <c r="Q20818" i="14"/>
  <c r="E20818" i="14"/>
  <c r="AH20817" i="14"/>
  <c r="T20817" i="14"/>
  <c r="Q20817" i="14"/>
  <c r="E20817" i="14"/>
  <c r="AH20816" i="14"/>
  <c r="V20816" i="14"/>
  <c r="U20816" i="14"/>
  <c r="T20816" i="14"/>
  <c r="Q20816" i="14"/>
  <c r="E20816" i="14"/>
  <c r="AH20815" i="14"/>
  <c r="T20815" i="14"/>
  <c r="E20815" i="14"/>
  <c r="AH20814" i="14"/>
  <c r="V20814" i="14"/>
  <c r="T20814" i="14"/>
  <c r="Q20814" i="14"/>
  <c r="E20814" i="14"/>
  <c r="AH20813" i="14"/>
  <c r="V20813" i="14"/>
  <c r="T20813" i="14"/>
  <c r="Q20813" i="14"/>
  <c r="E20813" i="14"/>
  <c r="AH20812" i="14"/>
  <c r="T20812" i="14"/>
  <c r="Q20812" i="14"/>
  <c r="E20812" i="14"/>
  <c r="AH20811" i="14"/>
  <c r="T20811" i="14"/>
  <c r="Q20811" i="14"/>
  <c r="E20811" i="14"/>
  <c r="AH20810" i="14"/>
  <c r="T20810" i="14"/>
  <c r="Q20810" i="14"/>
  <c r="E20810" i="14"/>
  <c r="AH20809" i="14"/>
  <c r="T20809" i="14"/>
  <c r="Q20809" i="14"/>
  <c r="E20809" i="14"/>
  <c r="AH20808" i="14"/>
  <c r="T20808" i="14"/>
  <c r="E20808" i="14"/>
  <c r="AH20807" i="14"/>
  <c r="V20807" i="14"/>
  <c r="T20807" i="14"/>
  <c r="Q20807" i="14"/>
  <c r="P20807" i="14"/>
  <c r="E20807" i="14"/>
  <c r="AH20806" i="14"/>
  <c r="U20806" i="14"/>
  <c r="T20806" i="14"/>
  <c r="Q20806" i="14"/>
  <c r="P20806" i="14"/>
  <c r="E20806" i="14"/>
  <c r="AH20805" i="14"/>
  <c r="V20805" i="14"/>
  <c r="T20805" i="14"/>
  <c r="Q20805" i="14"/>
  <c r="P20805" i="14"/>
  <c r="O20805" i="14"/>
  <c r="E20805" i="14"/>
  <c r="AH20804" i="14"/>
  <c r="V20804" i="14"/>
  <c r="T20804" i="14"/>
  <c r="Q20804" i="14"/>
  <c r="E20804" i="14"/>
  <c r="AH20803" i="14"/>
  <c r="V20803" i="14"/>
  <c r="T20803" i="14"/>
  <c r="Q20803" i="14"/>
  <c r="P20803" i="14"/>
  <c r="O20803" i="14"/>
  <c r="E20803" i="14"/>
  <c r="AH20802" i="14"/>
  <c r="V20802" i="14"/>
  <c r="Q20802" i="14"/>
  <c r="E20802" i="14"/>
  <c r="AH20801" i="14"/>
  <c r="V20801" i="14"/>
  <c r="T20801" i="14"/>
  <c r="Q20801" i="14"/>
  <c r="P20801" i="14"/>
  <c r="E20801" i="14"/>
  <c r="AH20800" i="14"/>
  <c r="V20800" i="14"/>
  <c r="U20800" i="14"/>
  <c r="T20800" i="14"/>
  <c r="Q20800" i="14"/>
  <c r="E20800" i="14"/>
  <c r="AH20799" i="14"/>
  <c r="V20799" i="14"/>
  <c r="U20799" i="14"/>
  <c r="T20799" i="14"/>
  <c r="Q20799" i="14"/>
  <c r="E20799" i="14"/>
  <c r="AH20798" i="14"/>
  <c r="V20798" i="14"/>
  <c r="T20798" i="14"/>
  <c r="Q20798" i="14"/>
  <c r="P20798" i="14"/>
  <c r="O20798" i="14"/>
  <c r="E20798" i="14"/>
  <c r="AH20797" i="14"/>
  <c r="V20797" i="14"/>
  <c r="U20797" i="14"/>
  <c r="T20797" i="14"/>
  <c r="Q20797" i="14"/>
  <c r="P20797" i="14"/>
  <c r="O20797" i="14"/>
  <c r="E20797" i="14"/>
  <c r="AH20796" i="14"/>
  <c r="U20796" i="14"/>
  <c r="T20796" i="14"/>
  <c r="Q20796" i="14"/>
  <c r="E20796" i="14"/>
  <c r="AH20795" i="14"/>
  <c r="U20795" i="14"/>
  <c r="T20795" i="14"/>
  <c r="Q20795" i="14"/>
  <c r="E20795" i="14"/>
  <c r="AH20794" i="14"/>
  <c r="U20794" i="14"/>
  <c r="T20794" i="14"/>
  <c r="Q20794" i="14"/>
  <c r="O20794" i="14"/>
  <c r="L20794" i="14"/>
  <c r="E20794" i="14"/>
  <c r="AH20793" i="14"/>
  <c r="Q20793" i="14"/>
  <c r="P20793" i="14"/>
  <c r="E20793" i="14"/>
  <c r="AH20792" i="14"/>
  <c r="U20792" i="14"/>
  <c r="T20792" i="14"/>
  <c r="Q20792" i="14"/>
  <c r="P20792" i="14"/>
  <c r="O20792" i="14"/>
  <c r="E20792" i="14"/>
  <c r="AH20791" i="14"/>
  <c r="U20791" i="14"/>
  <c r="T20791" i="14"/>
  <c r="Q20791" i="14"/>
  <c r="E20791" i="14"/>
  <c r="AH20790" i="14"/>
  <c r="W20790" i="14"/>
  <c r="V20790" i="14"/>
  <c r="U20790" i="14"/>
  <c r="T20790" i="14"/>
  <c r="Q20790" i="14"/>
  <c r="P20790" i="14"/>
  <c r="O20790" i="14"/>
  <c r="L20790" i="14"/>
  <c r="E20790" i="14"/>
  <c r="AH20789" i="14"/>
  <c r="V20789" i="14"/>
  <c r="Q20789" i="14"/>
  <c r="E20789" i="14"/>
  <c r="AH20788" i="14"/>
  <c r="V20788" i="14"/>
  <c r="U20788" i="14"/>
  <c r="T20788" i="14"/>
  <c r="Q20788" i="14"/>
  <c r="P20788" i="14"/>
  <c r="O20788" i="14"/>
  <c r="M20788" i="14"/>
  <c r="E20788" i="14"/>
  <c r="AH20787" i="14"/>
  <c r="U20787" i="14"/>
  <c r="T20787" i="14"/>
  <c r="Q20787" i="14"/>
  <c r="E20787" i="14"/>
  <c r="AH20786" i="14"/>
  <c r="V20786" i="14"/>
  <c r="T20786" i="14"/>
  <c r="Q20786" i="14"/>
  <c r="P20786" i="14"/>
  <c r="O20786" i="14"/>
  <c r="E20786" i="14"/>
  <c r="AH20785" i="14"/>
  <c r="V20785" i="14"/>
  <c r="T20785" i="14"/>
  <c r="Q20785" i="14"/>
  <c r="P20785" i="14"/>
  <c r="O20785" i="14"/>
  <c r="E20785" i="14"/>
  <c r="AH20784" i="14"/>
  <c r="V20784" i="14"/>
  <c r="U20784" i="14"/>
  <c r="T20784" i="14"/>
  <c r="Q20784" i="14"/>
  <c r="P20784" i="14"/>
  <c r="E20784" i="14"/>
  <c r="AH20783" i="14"/>
  <c r="V20783" i="14"/>
  <c r="Q20783" i="14"/>
  <c r="E20783" i="14"/>
  <c r="AH20782" i="14"/>
  <c r="V20782" i="14"/>
  <c r="T20782" i="14"/>
  <c r="Q20782" i="14"/>
  <c r="E20782" i="14"/>
  <c r="AH20781" i="14"/>
  <c r="V20781" i="14"/>
  <c r="T20781" i="14"/>
  <c r="Q20781" i="14"/>
  <c r="E20781" i="14"/>
  <c r="AH20780" i="14"/>
  <c r="W20780" i="14"/>
  <c r="V20780" i="14"/>
  <c r="T20780" i="14"/>
  <c r="Q20780" i="14"/>
  <c r="E20780" i="14"/>
  <c r="AH20779" i="14"/>
  <c r="V20779" i="14"/>
  <c r="T20779" i="14"/>
  <c r="Q20779" i="14"/>
  <c r="P20779" i="14"/>
  <c r="O20779" i="14"/>
  <c r="E20779" i="14"/>
  <c r="AH20778" i="14"/>
  <c r="V20778" i="14"/>
  <c r="Q20778" i="14"/>
  <c r="E20778" i="14"/>
  <c r="AH20777" i="14"/>
  <c r="Q20777" i="14"/>
  <c r="E20777" i="14"/>
  <c r="AH20776" i="14"/>
  <c r="V20776" i="14"/>
  <c r="T20776" i="14"/>
  <c r="Q20776" i="14"/>
  <c r="E20776" i="14"/>
  <c r="AH20775" i="14"/>
  <c r="V20775" i="14"/>
  <c r="T20775" i="14"/>
  <c r="Q20775" i="14"/>
  <c r="E20775" i="14"/>
  <c r="AH20774" i="14"/>
  <c r="T20774" i="14"/>
  <c r="E20774" i="14"/>
  <c r="AH20773" i="14"/>
  <c r="T20773" i="14"/>
  <c r="E20773" i="14"/>
  <c r="AH20772" i="14"/>
  <c r="T20772" i="14"/>
  <c r="E20772" i="14"/>
  <c r="AH20771" i="14"/>
  <c r="T20771" i="14"/>
  <c r="Q20771" i="14"/>
  <c r="O20771" i="14"/>
  <c r="E20771" i="14"/>
  <c r="AH20770" i="14"/>
  <c r="V20770" i="14"/>
  <c r="Q20770" i="14"/>
  <c r="P20770" i="14"/>
  <c r="O20770" i="14"/>
  <c r="E20770" i="14"/>
  <c r="AH20769" i="14"/>
  <c r="Q20769" i="14"/>
  <c r="P20769" i="14"/>
  <c r="E20769" i="14"/>
  <c r="AH20768" i="14"/>
  <c r="V20768" i="14"/>
  <c r="T20768" i="14"/>
  <c r="Q20768" i="14"/>
  <c r="P20768" i="14"/>
  <c r="O20768" i="14"/>
  <c r="E20768" i="14"/>
  <c r="AH20767" i="14"/>
  <c r="T20767" i="14"/>
  <c r="Q20767" i="14"/>
  <c r="O20767" i="14"/>
  <c r="E20767" i="14"/>
  <c r="AH20766" i="14"/>
  <c r="T20766" i="14"/>
  <c r="Q20766" i="14"/>
  <c r="P20766" i="14"/>
  <c r="E20766" i="14"/>
  <c r="AH20765" i="14"/>
  <c r="W20765" i="14"/>
  <c r="V20765" i="14"/>
  <c r="T20765" i="14"/>
  <c r="Q20765" i="14"/>
  <c r="P20765" i="14"/>
  <c r="O20765" i="14"/>
  <c r="E20765" i="14"/>
  <c r="AH20764" i="14"/>
  <c r="E20764" i="14"/>
  <c r="AH20763" i="14"/>
  <c r="T20763" i="14"/>
  <c r="Q20763" i="14"/>
  <c r="P20763" i="14"/>
  <c r="O20763" i="14"/>
  <c r="E20763" i="14"/>
  <c r="AH20762" i="14"/>
  <c r="V20762" i="14"/>
  <c r="T20762" i="14"/>
  <c r="Q20762" i="14"/>
  <c r="P20762" i="14"/>
  <c r="O20762" i="14"/>
  <c r="E20762" i="14"/>
  <c r="AH20761" i="14"/>
  <c r="W20761" i="14"/>
  <c r="V20761" i="14"/>
  <c r="U20761" i="14"/>
  <c r="T20761" i="14"/>
  <c r="Q20761" i="14"/>
  <c r="E20761" i="14"/>
  <c r="AH20760" i="14"/>
  <c r="V20760" i="14"/>
  <c r="U20760" i="14"/>
  <c r="T20760" i="14"/>
  <c r="Q20760" i="14"/>
  <c r="E20760" i="14"/>
  <c r="AH20759" i="14"/>
  <c r="W20759" i="14"/>
  <c r="V20759" i="14"/>
  <c r="Q20759" i="14"/>
  <c r="M20759" i="14"/>
  <c r="E20759" i="14"/>
  <c r="AH20758" i="14"/>
  <c r="U20758" i="14"/>
  <c r="T20758" i="14"/>
  <c r="Q20758" i="14"/>
  <c r="E20758" i="14"/>
  <c r="AH20757" i="14"/>
  <c r="T20757" i="14"/>
  <c r="Q20757" i="14"/>
  <c r="E20757" i="14"/>
  <c r="AK20756" i="14"/>
  <c r="AH20756" i="14"/>
  <c r="W20756" i="14"/>
  <c r="V20756" i="14"/>
  <c r="Q20756" i="14"/>
  <c r="P20756" i="14"/>
  <c r="O20756" i="14"/>
  <c r="N20756" i="14"/>
  <c r="E20756" i="14"/>
  <c r="AH20755" i="14"/>
  <c r="T20755" i="14"/>
  <c r="Q20755" i="14"/>
  <c r="E20755" i="14"/>
  <c r="AH20754" i="14"/>
  <c r="W20754" i="14"/>
  <c r="V20754" i="14"/>
  <c r="Q20754" i="14"/>
  <c r="M20754" i="14"/>
  <c r="E20754" i="14"/>
  <c r="AH20753" i="14"/>
  <c r="T20753" i="14"/>
  <c r="E20753" i="14"/>
  <c r="AH20752" i="14"/>
  <c r="T20752" i="14"/>
  <c r="Q20752" i="14"/>
  <c r="P20752" i="14"/>
  <c r="O20752" i="14"/>
  <c r="E20752" i="14"/>
  <c r="AH20751" i="14"/>
  <c r="V20751" i="14"/>
  <c r="Q20751" i="14"/>
  <c r="E20751" i="14"/>
  <c r="AH20750" i="14"/>
  <c r="V20750" i="14"/>
  <c r="T20750" i="14"/>
  <c r="Q20750" i="14"/>
  <c r="E20750" i="14"/>
  <c r="AH20749" i="14"/>
  <c r="T20749" i="14"/>
  <c r="Q20749" i="14"/>
  <c r="E20749" i="14"/>
  <c r="AH20748" i="14"/>
  <c r="Q20748" i="14"/>
  <c r="E20748" i="14"/>
  <c r="AH20747" i="14"/>
  <c r="T20747" i="14"/>
  <c r="Q20747" i="14"/>
  <c r="E20747" i="14"/>
  <c r="AH20746" i="14"/>
  <c r="W20746" i="14"/>
  <c r="V20746" i="14"/>
  <c r="U20746" i="14"/>
  <c r="T20746" i="14"/>
  <c r="Q20746" i="14"/>
  <c r="O20746" i="14"/>
  <c r="L20746" i="14"/>
  <c r="E20746" i="14"/>
  <c r="AH20745" i="14"/>
  <c r="V20745" i="14"/>
  <c r="T20745" i="14"/>
  <c r="Q20745" i="14"/>
  <c r="E20745" i="14"/>
  <c r="AH20744" i="14"/>
  <c r="V20744" i="14"/>
  <c r="U20744" i="14"/>
  <c r="T20744" i="14"/>
  <c r="Q20744" i="14"/>
  <c r="E20744" i="14"/>
  <c r="AH20743" i="14"/>
  <c r="Q20743" i="14"/>
  <c r="E20743" i="14"/>
  <c r="AH20742" i="14"/>
  <c r="V20742" i="14"/>
  <c r="T20742" i="14"/>
  <c r="Q20742" i="14"/>
  <c r="P20742" i="14"/>
  <c r="E20742" i="14"/>
  <c r="AH20741" i="14"/>
  <c r="T20741" i="14"/>
  <c r="Q20741" i="14"/>
  <c r="O20741" i="14"/>
  <c r="E20741" i="14"/>
  <c r="AH20740" i="14"/>
  <c r="E20740" i="14"/>
  <c r="AH20739" i="14"/>
  <c r="W20739" i="14"/>
  <c r="V20739" i="14"/>
  <c r="Q20739" i="14"/>
  <c r="P20739" i="14"/>
  <c r="M20739" i="14"/>
  <c r="G20739" i="14"/>
  <c r="E20739" i="14"/>
  <c r="AH20738" i="14"/>
  <c r="T20738" i="14"/>
  <c r="Q20738" i="14"/>
  <c r="E20738" i="14"/>
  <c r="AH20737" i="14"/>
  <c r="T20737" i="14"/>
  <c r="Q20737" i="14"/>
  <c r="E20737" i="14"/>
  <c r="AH20736" i="14"/>
  <c r="V20736" i="14"/>
  <c r="T20736" i="14"/>
  <c r="Q20736" i="14"/>
  <c r="E20736" i="14"/>
  <c r="AH20735" i="14"/>
  <c r="T20735" i="14"/>
  <c r="Q20735" i="14"/>
  <c r="E20735" i="14"/>
  <c r="AH20734" i="14"/>
  <c r="V20734" i="14"/>
  <c r="T20734" i="14"/>
  <c r="Q20734" i="14"/>
  <c r="P20734" i="14"/>
  <c r="O20734" i="14"/>
  <c r="E20734" i="14"/>
  <c r="AH20733" i="14"/>
  <c r="T20733" i="14"/>
  <c r="Q20733" i="14"/>
  <c r="E20733" i="14"/>
  <c r="AH20732" i="14"/>
  <c r="T20732" i="14"/>
  <c r="Q20732" i="14"/>
  <c r="E20732" i="14"/>
  <c r="AH20731" i="14"/>
  <c r="V20731" i="14"/>
  <c r="T20731" i="14"/>
  <c r="Q20731" i="14"/>
  <c r="P20731" i="14"/>
  <c r="O20731" i="14"/>
  <c r="M20731" i="14"/>
  <c r="E20731" i="14"/>
  <c r="AH20730" i="14"/>
  <c r="V20730" i="14"/>
  <c r="T20730" i="14"/>
  <c r="Q20730" i="14"/>
  <c r="P20730" i="14"/>
  <c r="O20730" i="14"/>
  <c r="E20730" i="14"/>
  <c r="AH20729" i="14"/>
  <c r="T20729" i="14"/>
  <c r="Q20729" i="14"/>
  <c r="P20729" i="14"/>
  <c r="O20729" i="14"/>
  <c r="E20729" i="14"/>
  <c r="AH20728" i="14"/>
  <c r="T20728" i="14"/>
  <c r="Q20728" i="14"/>
  <c r="E20728" i="14"/>
  <c r="AH20727" i="14"/>
  <c r="T20727" i="14"/>
  <c r="Q20727" i="14"/>
  <c r="P20727" i="14"/>
  <c r="E20727" i="14"/>
  <c r="AH20726" i="14"/>
  <c r="T20726" i="14"/>
  <c r="Q20726" i="14"/>
  <c r="E20726" i="14"/>
  <c r="AH20725" i="14"/>
  <c r="T20725" i="14"/>
  <c r="Q20725" i="14"/>
  <c r="P20725" i="14"/>
  <c r="O20725" i="14"/>
  <c r="E20725" i="14"/>
  <c r="AH20724" i="14"/>
  <c r="V20724" i="14"/>
  <c r="T20724" i="14"/>
  <c r="Q20724" i="14"/>
  <c r="P20724" i="14"/>
  <c r="O20724" i="14"/>
  <c r="E20724" i="14"/>
  <c r="AH20723" i="14"/>
  <c r="T20723" i="14"/>
  <c r="Q20723" i="14"/>
  <c r="E20723" i="14"/>
  <c r="AH20722" i="14"/>
  <c r="E20722" i="14"/>
  <c r="AH20721" i="14"/>
  <c r="T20721" i="14"/>
  <c r="E20721" i="14"/>
  <c r="AH20720" i="14"/>
  <c r="T20720" i="14"/>
  <c r="E20720" i="14"/>
  <c r="AH20719" i="14"/>
  <c r="V20719" i="14"/>
  <c r="T20719" i="14"/>
  <c r="Q20719" i="14"/>
  <c r="P20719" i="14"/>
  <c r="O20719" i="14"/>
  <c r="E20719" i="14"/>
  <c r="AH20718" i="14"/>
  <c r="V20718" i="14"/>
  <c r="T20718" i="14"/>
  <c r="Q20718" i="14"/>
  <c r="E20718" i="14"/>
  <c r="AH20717" i="14"/>
  <c r="V20717" i="14"/>
  <c r="T20717" i="14"/>
  <c r="Q20717" i="14"/>
  <c r="E20717" i="14"/>
  <c r="AH20716" i="14"/>
  <c r="U20716" i="14"/>
  <c r="T20716" i="14"/>
  <c r="Q20716" i="14"/>
  <c r="E20716" i="14"/>
  <c r="AH20715" i="14"/>
  <c r="E20715" i="14"/>
  <c r="AH20714" i="14"/>
  <c r="T20714" i="14"/>
  <c r="E20714" i="14"/>
  <c r="AH20713" i="14"/>
  <c r="E20713" i="14"/>
  <c r="AH20712" i="14"/>
  <c r="T20712" i="14"/>
  <c r="E20712" i="14"/>
  <c r="AH20711" i="14"/>
  <c r="V20711" i="14"/>
  <c r="T20711" i="14"/>
  <c r="Q20711" i="14"/>
  <c r="E20711" i="14"/>
  <c r="AH20710" i="14"/>
  <c r="V20710" i="14"/>
  <c r="T20710" i="14"/>
  <c r="Q20710" i="14"/>
  <c r="P20710" i="14"/>
  <c r="E20710" i="14"/>
  <c r="AH20709" i="14"/>
  <c r="W20709" i="14"/>
  <c r="V20709" i="14"/>
  <c r="Q20709" i="14"/>
  <c r="L20709" i="14"/>
  <c r="E20709" i="14"/>
  <c r="AH20708" i="14"/>
  <c r="V20708" i="14"/>
  <c r="Q20708" i="14"/>
  <c r="P20708" i="14"/>
  <c r="E20708" i="14"/>
  <c r="AH20707" i="14"/>
  <c r="V20707" i="14"/>
  <c r="T20707" i="14"/>
  <c r="Q20707" i="14"/>
  <c r="P20707" i="14"/>
  <c r="E20707" i="14"/>
  <c r="AH20706" i="14"/>
  <c r="V20706" i="14"/>
  <c r="U20706" i="14"/>
  <c r="T20706" i="14"/>
  <c r="Q20706" i="14"/>
  <c r="M20706" i="14"/>
  <c r="E20706" i="14"/>
  <c r="AH20705" i="14"/>
  <c r="V20705" i="14"/>
  <c r="T20705" i="14"/>
  <c r="Q20705" i="14"/>
  <c r="E20705" i="14"/>
  <c r="AH20704" i="14"/>
  <c r="E20704" i="14"/>
  <c r="AH20703" i="14"/>
  <c r="E20703" i="14"/>
  <c r="AH20702" i="14"/>
  <c r="T20702" i="14"/>
  <c r="Q20702" i="14"/>
  <c r="E20702" i="14"/>
  <c r="AH20701" i="14"/>
  <c r="Q20701" i="14"/>
  <c r="E20701" i="14"/>
  <c r="AH20700" i="14"/>
  <c r="Q20700" i="14"/>
  <c r="E20700" i="14"/>
  <c r="AH20699" i="14"/>
  <c r="W20699" i="14"/>
  <c r="V20699" i="14"/>
  <c r="U20699" i="14"/>
  <c r="T20699" i="14"/>
  <c r="Q20699" i="14"/>
  <c r="O20699" i="14"/>
  <c r="M20699" i="14"/>
  <c r="E20699" i="14"/>
  <c r="AH20698" i="14"/>
  <c r="V20698" i="14"/>
  <c r="T20698" i="14"/>
  <c r="Q20698" i="14"/>
  <c r="E20698" i="14"/>
  <c r="AH20697" i="14"/>
  <c r="V20697" i="14"/>
  <c r="T20697" i="14"/>
  <c r="Q20697" i="14"/>
  <c r="E20697" i="14"/>
  <c r="AH20696" i="14"/>
  <c r="T20696" i="14"/>
  <c r="Q20696" i="14"/>
  <c r="E20696" i="14"/>
  <c r="AH20695" i="14"/>
  <c r="T20695" i="14"/>
  <c r="Q20695" i="14"/>
  <c r="E20695" i="14"/>
  <c r="AH20694" i="14"/>
  <c r="T20694" i="14"/>
  <c r="Q20694" i="14"/>
  <c r="E20694" i="14"/>
  <c r="AH20693" i="14"/>
  <c r="Q20693" i="14"/>
  <c r="E20693" i="14"/>
  <c r="AH20692" i="14"/>
  <c r="V20692" i="14"/>
  <c r="U20692" i="14"/>
  <c r="T20692" i="14"/>
  <c r="Q20692" i="14"/>
  <c r="E20692" i="14"/>
  <c r="AH20691" i="14"/>
  <c r="Q20691" i="14"/>
  <c r="E20691" i="14"/>
  <c r="AH20690" i="14"/>
  <c r="T20690" i="14"/>
  <c r="Q20690" i="14"/>
  <c r="E20690" i="14"/>
  <c r="AH20689" i="14"/>
  <c r="V20689" i="14"/>
  <c r="Q20689" i="14"/>
  <c r="E20689" i="14"/>
  <c r="AH20688" i="14"/>
  <c r="T20688" i="14"/>
  <c r="Q20688" i="14"/>
  <c r="E20688" i="14"/>
  <c r="AH20687" i="14"/>
  <c r="Q20687" i="14"/>
  <c r="E20687" i="14"/>
  <c r="AH20686" i="14"/>
  <c r="T20686" i="14"/>
  <c r="Q20686" i="14"/>
  <c r="E20686" i="14"/>
  <c r="AH20685" i="14"/>
  <c r="V20685" i="14"/>
  <c r="Q20685" i="14"/>
  <c r="P20685" i="14"/>
  <c r="E20685" i="14"/>
  <c r="AH20684" i="14"/>
  <c r="V20684" i="14"/>
  <c r="Q20684" i="14"/>
  <c r="E20684" i="14"/>
  <c r="AH20683" i="14"/>
  <c r="W20683" i="14"/>
  <c r="V20683" i="14"/>
  <c r="Q20683" i="14"/>
  <c r="M20683" i="14"/>
  <c r="E20683" i="14"/>
  <c r="AH20682" i="14"/>
  <c r="W20682" i="14"/>
  <c r="V20682" i="14"/>
  <c r="Q20682" i="14"/>
  <c r="E20682" i="14"/>
  <c r="AH20681" i="14"/>
  <c r="V20681" i="14"/>
  <c r="T20681" i="14"/>
  <c r="Q20681" i="14"/>
  <c r="E20681" i="14"/>
  <c r="AH20680" i="14"/>
  <c r="V20680" i="14"/>
  <c r="T20680" i="14"/>
  <c r="Q20680" i="14"/>
  <c r="E20680" i="14"/>
  <c r="AH20679" i="14"/>
  <c r="E20679" i="14"/>
  <c r="AH20678" i="14"/>
  <c r="E20678" i="14"/>
  <c r="AH20677" i="14"/>
  <c r="E20677" i="14"/>
  <c r="AH20676" i="14"/>
  <c r="T20676" i="14"/>
  <c r="E20676" i="14"/>
  <c r="AH20675" i="14"/>
  <c r="T20675" i="14"/>
  <c r="E20675" i="14"/>
  <c r="AH20674" i="14"/>
  <c r="W20674" i="14"/>
  <c r="V20674" i="14"/>
  <c r="T20674" i="14"/>
  <c r="Q20674" i="14"/>
  <c r="P20674" i="14"/>
  <c r="O20674" i="14"/>
  <c r="E20674" i="14"/>
  <c r="AH20673" i="14"/>
  <c r="E20673" i="14"/>
  <c r="AH20672" i="14"/>
  <c r="V20672" i="14"/>
  <c r="U20672" i="14"/>
  <c r="T20672" i="14"/>
  <c r="Q20672" i="14"/>
  <c r="P20672" i="14"/>
  <c r="O20672" i="14"/>
  <c r="E20672" i="14"/>
  <c r="AH20671" i="14"/>
  <c r="AE20671" i="14"/>
  <c r="V20671" i="14"/>
  <c r="Q20671" i="14"/>
  <c r="P20671" i="14"/>
  <c r="O20671" i="14"/>
  <c r="M20671" i="14"/>
  <c r="E20671" i="14"/>
  <c r="AH20670" i="14"/>
  <c r="W20670" i="14"/>
  <c r="V20670" i="14"/>
  <c r="T20670" i="14"/>
  <c r="Q20670" i="14"/>
  <c r="P20670" i="14"/>
  <c r="O20670" i="14"/>
  <c r="E20670" i="14"/>
  <c r="AH20669" i="14"/>
  <c r="W20669" i="14"/>
  <c r="V20669" i="14"/>
  <c r="T20669" i="14"/>
  <c r="Q20669" i="14"/>
  <c r="P20669" i="14"/>
  <c r="O20669" i="14"/>
  <c r="E20669" i="14"/>
  <c r="AH20668" i="14"/>
  <c r="W20668" i="14"/>
  <c r="V20668" i="14"/>
  <c r="U20668" i="14"/>
  <c r="T20668" i="14"/>
  <c r="Q20668" i="14"/>
  <c r="P20668" i="14"/>
  <c r="O20668" i="14"/>
  <c r="E20668" i="14"/>
  <c r="AH20667" i="14"/>
  <c r="V20667" i="14"/>
  <c r="T20667" i="14"/>
  <c r="Q20667" i="14"/>
  <c r="P20667" i="14"/>
  <c r="O20667" i="14"/>
  <c r="E20667" i="14"/>
  <c r="AH20666" i="14"/>
  <c r="V20666" i="14"/>
  <c r="T20666" i="14"/>
  <c r="Q20666" i="14"/>
  <c r="P20666" i="14"/>
  <c r="O20666" i="14"/>
  <c r="E20666" i="14"/>
  <c r="AH20665" i="14"/>
  <c r="W20665" i="14"/>
  <c r="V20665" i="14"/>
  <c r="U20665" i="14"/>
  <c r="T20665" i="14"/>
  <c r="Q20665" i="14"/>
  <c r="P20665" i="14"/>
  <c r="O20665" i="14"/>
  <c r="E20665" i="14"/>
  <c r="AH20664" i="14"/>
  <c r="W20664" i="14"/>
  <c r="V20664" i="14"/>
  <c r="U20664" i="14"/>
  <c r="T20664" i="14"/>
  <c r="Q20664" i="14"/>
  <c r="P20664" i="14"/>
  <c r="O20664" i="14"/>
  <c r="M20664" i="14"/>
  <c r="E20664" i="14"/>
  <c r="AH20663" i="14"/>
  <c r="W20663" i="14"/>
  <c r="V20663" i="14"/>
  <c r="U20663" i="14"/>
  <c r="T20663" i="14"/>
  <c r="Q20663" i="14"/>
  <c r="P20663" i="14"/>
  <c r="O20663" i="14"/>
  <c r="E20663" i="14"/>
  <c r="AH20662" i="14"/>
  <c r="V20662" i="14"/>
  <c r="T20662" i="14"/>
  <c r="Q20662" i="14"/>
  <c r="P20662" i="14"/>
  <c r="O20662" i="14"/>
  <c r="E20662" i="14"/>
  <c r="AH20661" i="14"/>
  <c r="W20661" i="14"/>
  <c r="V20661" i="14"/>
  <c r="U20661" i="14"/>
  <c r="T20661" i="14"/>
  <c r="Q20661" i="14"/>
  <c r="P20661" i="14"/>
  <c r="M20661" i="14"/>
  <c r="E20661" i="14"/>
  <c r="AH20660" i="14"/>
  <c r="U20660" i="14"/>
  <c r="T20660" i="14"/>
  <c r="Q20660" i="14"/>
  <c r="P20660" i="14"/>
  <c r="O20660" i="14"/>
  <c r="E20660" i="14"/>
  <c r="AH20659" i="14"/>
  <c r="V20659" i="14"/>
  <c r="T20659" i="14"/>
  <c r="Q20659" i="14"/>
  <c r="P20659" i="14"/>
  <c r="O20659" i="14"/>
  <c r="E20659" i="14"/>
  <c r="AH20658" i="14"/>
  <c r="W20658" i="14"/>
  <c r="V20658" i="14"/>
  <c r="T20658" i="14"/>
  <c r="Q20658" i="14"/>
  <c r="P20658" i="14"/>
  <c r="O20658" i="14"/>
  <c r="M20658" i="14"/>
  <c r="E20658" i="14"/>
  <c r="AH20657" i="14"/>
  <c r="W20657" i="14"/>
  <c r="V20657" i="14"/>
  <c r="U20657" i="14"/>
  <c r="T20657" i="14"/>
  <c r="Q20657" i="14"/>
  <c r="P20657" i="14"/>
  <c r="M20657" i="14"/>
  <c r="E20657" i="14"/>
  <c r="AH20656" i="14"/>
  <c r="T20656" i="14"/>
  <c r="Q20656" i="14"/>
  <c r="E20656" i="14"/>
  <c r="AH20655" i="14"/>
  <c r="T20655" i="14"/>
  <c r="Q20655" i="14"/>
  <c r="O20655" i="14"/>
  <c r="E20655" i="14"/>
  <c r="AH20654" i="14"/>
  <c r="T20654" i="14"/>
  <c r="E20654" i="14"/>
  <c r="AH20653" i="14"/>
  <c r="E20653" i="14"/>
  <c r="AH20652" i="14"/>
  <c r="T20652" i="14"/>
  <c r="E20652" i="14"/>
  <c r="AH20651" i="14"/>
  <c r="T20651" i="14"/>
  <c r="E20651" i="14"/>
  <c r="AH20650" i="14"/>
  <c r="T20650" i="14"/>
  <c r="E20650" i="14"/>
  <c r="AH20649" i="14"/>
  <c r="V20649" i="14"/>
  <c r="T20649" i="14"/>
  <c r="Q20649" i="14"/>
  <c r="P20649" i="14"/>
  <c r="E20649" i="14"/>
  <c r="AH20648" i="14"/>
  <c r="T20648" i="14"/>
  <c r="Q20648" i="14"/>
  <c r="P20648" i="14"/>
  <c r="O20648" i="14"/>
  <c r="E20648" i="14"/>
  <c r="AH20647" i="14"/>
  <c r="T20647" i="14"/>
  <c r="Q20647" i="14"/>
  <c r="E20647" i="14"/>
  <c r="AH20646" i="14"/>
  <c r="Q20646" i="14"/>
  <c r="E20646" i="14"/>
  <c r="AH20645" i="14"/>
  <c r="T20645" i="14"/>
  <c r="Q20645" i="14"/>
  <c r="P20645" i="14"/>
  <c r="O20645" i="14"/>
  <c r="E20645" i="14"/>
  <c r="AH20644" i="14"/>
  <c r="T20644" i="14"/>
  <c r="Q20644" i="14"/>
  <c r="E20644" i="14"/>
  <c r="AH20643" i="14"/>
  <c r="E20643" i="14"/>
  <c r="AH20642" i="14"/>
  <c r="E20642" i="14"/>
  <c r="AH20641" i="14"/>
  <c r="T20641" i="14"/>
  <c r="E20641" i="14"/>
  <c r="AK20640" i="14"/>
  <c r="AH20640" i="14"/>
  <c r="V20640" i="14"/>
  <c r="T20640" i="14"/>
  <c r="Q20640" i="14"/>
  <c r="P20640" i="14"/>
  <c r="N20640" i="14"/>
  <c r="M20640" i="14"/>
  <c r="E20640" i="14"/>
  <c r="AH20639" i="14"/>
  <c r="V20639" i="14"/>
  <c r="U20639" i="14"/>
  <c r="T20639" i="14"/>
  <c r="Q20639" i="14"/>
  <c r="P20639" i="14"/>
  <c r="E20639" i="14"/>
  <c r="AH20638" i="14"/>
  <c r="W20638" i="14"/>
  <c r="V20638" i="14"/>
  <c r="Q20638" i="14"/>
  <c r="P20638" i="14"/>
  <c r="L20638" i="14"/>
  <c r="E20638" i="14"/>
  <c r="AK20637" i="14"/>
  <c r="AH20637" i="14"/>
  <c r="V20637" i="14"/>
  <c r="U20637" i="14"/>
  <c r="T20637" i="14"/>
  <c r="Q20637" i="14"/>
  <c r="P20637" i="14"/>
  <c r="E20637" i="14"/>
  <c r="AH20636" i="14"/>
  <c r="Q20636" i="14"/>
  <c r="O20636" i="14"/>
  <c r="E20636" i="14"/>
  <c r="AH20635" i="14"/>
  <c r="T20635" i="14"/>
  <c r="Q20635" i="14"/>
  <c r="O20635" i="14"/>
  <c r="E20635" i="14"/>
  <c r="AH20634" i="14"/>
  <c r="T20634" i="14"/>
  <c r="Q20634" i="14"/>
  <c r="E20634" i="14"/>
  <c r="AH20633" i="14"/>
  <c r="T20633" i="14"/>
  <c r="E20633" i="14"/>
  <c r="AH20632" i="14"/>
  <c r="T20632" i="14"/>
  <c r="E20632" i="14"/>
  <c r="AH20631" i="14"/>
  <c r="V20631" i="14"/>
  <c r="T20631" i="14"/>
  <c r="Q20631" i="14"/>
  <c r="P20631" i="14"/>
  <c r="E20631" i="14"/>
  <c r="AH20630" i="14"/>
  <c r="V20630" i="14"/>
  <c r="T20630" i="14"/>
  <c r="Q20630" i="14"/>
  <c r="P20630" i="14"/>
  <c r="E20630" i="14"/>
  <c r="AH20629" i="14"/>
  <c r="W20629" i="14"/>
  <c r="V20629" i="14"/>
  <c r="T20629" i="14"/>
  <c r="Q20629" i="14"/>
  <c r="P20629" i="14"/>
  <c r="E20629" i="14"/>
  <c r="AH20628" i="14"/>
  <c r="T20628" i="14"/>
  <c r="Q20628" i="14"/>
  <c r="E20628" i="14"/>
  <c r="AH20627" i="14"/>
  <c r="T20627" i="14"/>
  <c r="Q20627" i="14"/>
  <c r="E20627" i="14"/>
  <c r="AH20626" i="14"/>
  <c r="V20626" i="14"/>
  <c r="T20626" i="14"/>
  <c r="Q20626" i="14"/>
  <c r="P20626" i="14"/>
  <c r="E20626" i="14"/>
  <c r="AH20625" i="14"/>
  <c r="T20625" i="14"/>
  <c r="E20625" i="14"/>
  <c r="AH20624" i="14"/>
  <c r="V20624" i="14"/>
  <c r="U20624" i="14"/>
  <c r="T20624" i="14"/>
  <c r="Q20624" i="14"/>
  <c r="M20624" i="14"/>
  <c r="E20624" i="14"/>
  <c r="AH20623" i="14"/>
  <c r="V20623" i="14"/>
  <c r="T20623" i="14"/>
  <c r="Q20623" i="14"/>
  <c r="P20623" i="14"/>
  <c r="E20623" i="14"/>
  <c r="AH20622" i="14"/>
  <c r="V20622" i="14"/>
  <c r="T20622" i="14"/>
  <c r="Q20622" i="14"/>
  <c r="E20622" i="14"/>
  <c r="AH20621" i="14"/>
  <c r="V20621" i="14"/>
  <c r="T20621" i="14"/>
  <c r="Q20621" i="14"/>
  <c r="E20621" i="14"/>
  <c r="AH20620" i="14"/>
  <c r="W20620" i="14"/>
  <c r="V20620" i="14"/>
  <c r="T20620" i="14"/>
  <c r="Q20620" i="14"/>
  <c r="E20620" i="14"/>
  <c r="AH20619" i="14"/>
  <c r="V20619" i="14"/>
  <c r="U20619" i="14"/>
  <c r="T20619" i="14"/>
  <c r="Q20619" i="14"/>
  <c r="E20619" i="14"/>
  <c r="AH20618" i="14"/>
  <c r="W20618" i="14"/>
  <c r="V20618" i="14"/>
  <c r="T20618" i="14"/>
  <c r="Q20618" i="14"/>
  <c r="P20618" i="14"/>
  <c r="O20618" i="14"/>
  <c r="E20618" i="14"/>
  <c r="AH20617" i="14"/>
  <c r="V20617" i="14"/>
  <c r="U20617" i="14"/>
  <c r="T20617" i="14"/>
  <c r="Q20617" i="14"/>
  <c r="E20617" i="14"/>
  <c r="AH20616" i="14"/>
  <c r="V20616" i="14"/>
  <c r="Q20616" i="14"/>
  <c r="E20616" i="14"/>
  <c r="AH20615" i="14"/>
  <c r="W20615" i="14"/>
  <c r="V20615" i="14"/>
  <c r="U20615" i="14"/>
  <c r="T20615" i="14"/>
  <c r="Q20615" i="14"/>
  <c r="E20615" i="14"/>
  <c r="AH20614" i="14"/>
  <c r="AE20614" i="14"/>
  <c r="U20614" i="14"/>
  <c r="T20614" i="14"/>
  <c r="Q20614" i="14"/>
  <c r="E20614" i="14"/>
  <c r="AH20613" i="14"/>
  <c r="T20613" i="14"/>
  <c r="Q20613" i="14"/>
  <c r="E20613" i="14"/>
  <c r="AH20612" i="14"/>
  <c r="Q20612" i="14"/>
  <c r="L20612" i="14"/>
  <c r="E20612" i="14"/>
  <c r="AH20611" i="14"/>
  <c r="T20611" i="14"/>
  <c r="Q20611" i="14"/>
  <c r="E20611" i="14"/>
  <c r="AH20610" i="14"/>
  <c r="V20610" i="14"/>
  <c r="T20610" i="14"/>
  <c r="Q20610" i="14"/>
  <c r="E20610" i="14"/>
  <c r="AH20609" i="14"/>
  <c r="V20609" i="14"/>
  <c r="Q20609" i="14"/>
  <c r="E20609" i="14"/>
  <c r="AH20608" i="14"/>
  <c r="V20608" i="14"/>
  <c r="T20608" i="14"/>
  <c r="Q20608" i="14"/>
  <c r="E20608" i="14"/>
  <c r="AH20607" i="14"/>
  <c r="V20607" i="14"/>
  <c r="U20607" i="14"/>
  <c r="T20607" i="14"/>
  <c r="Q20607" i="14"/>
  <c r="E20607" i="14"/>
  <c r="AH20606" i="14"/>
  <c r="V20606" i="14"/>
  <c r="T20606" i="14"/>
  <c r="Q20606" i="14"/>
  <c r="E20606" i="14"/>
  <c r="AH20605" i="14"/>
  <c r="V20605" i="14"/>
  <c r="Q20605" i="14"/>
  <c r="E20605" i="14"/>
  <c r="AH20604" i="14"/>
  <c r="W20604" i="14"/>
  <c r="V20604" i="14"/>
  <c r="Q20604" i="14"/>
  <c r="E20604" i="14"/>
  <c r="AH20603" i="14"/>
  <c r="V20603" i="14"/>
  <c r="T20603" i="14"/>
  <c r="Q20603" i="14"/>
  <c r="E20603" i="14"/>
  <c r="AH20602" i="14"/>
  <c r="V20602" i="14"/>
  <c r="T20602" i="14"/>
  <c r="Q20602" i="14"/>
  <c r="E20602" i="14"/>
  <c r="AH20601" i="14"/>
  <c r="V20601" i="14"/>
  <c r="T20601" i="14"/>
  <c r="Q20601" i="14"/>
  <c r="E20601" i="14"/>
  <c r="AH20600" i="14"/>
  <c r="V20600" i="14"/>
  <c r="U20600" i="14"/>
  <c r="T20600" i="14"/>
  <c r="Q20600" i="14"/>
  <c r="E20600" i="14"/>
  <c r="AH20599" i="14"/>
  <c r="V20599" i="14"/>
  <c r="T20599" i="14"/>
  <c r="Q20599" i="14"/>
  <c r="O20599" i="14"/>
  <c r="E20599" i="14"/>
  <c r="AH20598" i="14"/>
  <c r="V20598" i="14"/>
  <c r="Q20598" i="14"/>
  <c r="E20598" i="14"/>
  <c r="AH20597" i="14"/>
  <c r="V20597" i="14"/>
  <c r="Q20597" i="14"/>
  <c r="P20597" i="14"/>
  <c r="E20597" i="14"/>
  <c r="AH20596" i="14"/>
  <c r="T20596" i="14"/>
  <c r="Q20596" i="14"/>
  <c r="O20596" i="14"/>
  <c r="E20596" i="14"/>
  <c r="AH20595" i="14"/>
  <c r="T20595" i="14"/>
  <c r="Q20595" i="14"/>
  <c r="P20595" i="14"/>
  <c r="O20595" i="14"/>
  <c r="E20595" i="14"/>
  <c r="AH20594" i="14"/>
  <c r="T20594" i="14"/>
  <c r="E20594" i="14"/>
  <c r="AH20593" i="14"/>
  <c r="G20593" i="14"/>
  <c r="E20593" i="14"/>
  <c r="AH20592" i="14"/>
  <c r="W20592" i="14"/>
  <c r="V20592" i="14"/>
  <c r="U20592" i="14"/>
  <c r="T20592" i="14"/>
  <c r="Q20592" i="14"/>
  <c r="P20592" i="14"/>
  <c r="M20592" i="14"/>
  <c r="G20592" i="14"/>
  <c r="E20592" i="14"/>
  <c r="AH20591" i="14"/>
  <c r="V20591" i="14"/>
  <c r="T20591" i="14"/>
  <c r="Q20591" i="14"/>
  <c r="P20591" i="14"/>
  <c r="G20591" i="14"/>
  <c r="E20591" i="14"/>
  <c r="AH20590" i="14"/>
  <c r="W20590" i="14"/>
  <c r="V20590" i="14"/>
  <c r="U20590" i="14"/>
  <c r="T20590" i="14"/>
  <c r="Q20590" i="14"/>
  <c r="E20590" i="14"/>
  <c r="AH20589" i="14"/>
  <c r="P20589" i="14"/>
  <c r="E20589" i="14"/>
  <c r="AH20588" i="14"/>
  <c r="V20588" i="14"/>
  <c r="T20588" i="14"/>
  <c r="Q20588" i="14"/>
  <c r="E20588" i="14"/>
  <c r="AH20587" i="14"/>
  <c r="W20587" i="14"/>
  <c r="V20587" i="14"/>
  <c r="Q20587" i="14"/>
  <c r="E20587" i="14"/>
  <c r="AH20586" i="14"/>
  <c r="V20586" i="14"/>
  <c r="T20586" i="14"/>
  <c r="Q20586" i="14"/>
  <c r="P20586" i="14"/>
  <c r="O20586" i="14"/>
  <c r="E20586" i="14"/>
  <c r="AH20585" i="14"/>
  <c r="V20585" i="14"/>
  <c r="T20585" i="14"/>
  <c r="Q20585" i="14"/>
  <c r="P20585" i="14"/>
  <c r="E20585" i="14"/>
  <c r="AH20584" i="14"/>
  <c r="T20584" i="14"/>
  <c r="Q20584" i="14"/>
  <c r="E20584" i="14"/>
  <c r="AH20583" i="14"/>
  <c r="AE20583" i="14"/>
  <c r="T20583" i="14"/>
  <c r="Q20583" i="14"/>
  <c r="E20583" i="14"/>
  <c r="AH20582" i="14"/>
  <c r="T20582" i="14"/>
  <c r="Q20582" i="14"/>
  <c r="E20582" i="14"/>
  <c r="AH20581" i="14"/>
  <c r="V20581" i="14"/>
  <c r="Q20581" i="14"/>
  <c r="E20581" i="14"/>
  <c r="AH20580" i="14"/>
  <c r="T20580" i="14"/>
  <c r="Q20580" i="14"/>
  <c r="P20580" i="14"/>
  <c r="E20580" i="14"/>
  <c r="AH20579" i="14"/>
  <c r="V20579" i="14"/>
  <c r="Q20579" i="14"/>
  <c r="E20579" i="14"/>
  <c r="AH20578" i="14"/>
  <c r="T20578" i="14"/>
  <c r="Q20578" i="14"/>
  <c r="P20578" i="14"/>
  <c r="E20578" i="14"/>
  <c r="AH20577" i="14"/>
  <c r="T20577" i="14"/>
  <c r="Q20577" i="14"/>
  <c r="P20577" i="14"/>
  <c r="E20577" i="14"/>
  <c r="AH20576" i="14"/>
  <c r="T20576" i="14"/>
  <c r="O20576" i="14"/>
  <c r="E20576" i="14"/>
  <c r="AH20575" i="14"/>
  <c r="V20575" i="14"/>
  <c r="T20575" i="14"/>
  <c r="Q20575" i="14"/>
  <c r="P20575" i="14"/>
  <c r="O20575" i="14"/>
  <c r="E20575" i="14"/>
  <c r="AH20574" i="14"/>
  <c r="T20574" i="14"/>
  <c r="Q20574" i="14"/>
  <c r="O20574" i="14"/>
  <c r="E20574" i="14"/>
  <c r="AH20573" i="14"/>
  <c r="T20573" i="14"/>
  <c r="Q20573" i="14"/>
  <c r="P20573" i="14"/>
  <c r="O20573" i="14"/>
  <c r="E20573" i="14"/>
  <c r="AH20572" i="14"/>
  <c r="V20572" i="14"/>
  <c r="T20572" i="14"/>
  <c r="Q20572" i="14"/>
  <c r="P20572" i="14"/>
  <c r="O20572" i="14"/>
  <c r="E20572" i="14"/>
  <c r="AH20571" i="14"/>
  <c r="V20571" i="14"/>
  <c r="Q20571" i="14"/>
  <c r="P20571" i="14"/>
  <c r="O20571" i="14"/>
  <c r="L20571" i="14"/>
  <c r="E20571" i="14"/>
  <c r="AH20570" i="14"/>
  <c r="T20570" i="14"/>
  <c r="Q20570" i="14"/>
  <c r="P20570" i="14"/>
  <c r="O20570" i="14"/>
  <c r="E20570" i="14"/>
  <c r="AH20569" i="14"/>
  <c r="E20569" i="14"/>
  <c r="AH20568" i="14"/>
  <c r="W20568" i="14"/>
  <c r="V20568" i="14"/>
  <c r="T20568" i="14"/>
  <c r="Q20568" i="14"/>
  <c r="P20568" i="14"/>
  <c r="O20568" i="14"/>
  <c r="M20568" i="14"/>
  <c r="E20568" i="14"/>
  <c r="AH20567" i="14"/>
  <c r="W20567" i="14"/>
  <c r="V20567" i="14"/>
  <c r="Q20567" i="14"/>
  <c r="M20567" i="14"/>
  <c r="E20567" i="14"/>
  <c r="AH20566" i="14"/>
  <c r="V20566" i="14"/>
  <c r="T20566" i="14"/>
  <c r="Q20566" i="14"/>
  <c r="E20566" i="14"/>
  <c r="AH20565" i="14"/>
  <c r="V20565" i="14"/>
  <c r="Q20565" i="14"/>
  <c r="E20565" i="14"/>
  <c r="AH20564" i="14"/>
  <c r="T20564" i="14"/>
  <c r="Q20564" i="14"/>
  <c r="E20564" i="14"/>
  <c r="AH20563" i="14"/>
  <c r="W20563" i="14"/>
  <c r="V20563" i="14"/>
  <c r="U20563" i="14"/>
  <c r="T20563" i="14"/>
  <c r="Q20563" i="14"/>
  <c r="P20563" i="14"/>
  <c r="O20563" i="14"/>
  <c r="L20563" i="14"/>
  <c r="E20563" i="14"/>
  <c r="AH20562" i="14"/>
  <c r="V20562" i="14"/>
  <c r="T20562" i="14"/>
  <c r="Q20562" i="14"/>
  <c r="E20562" i="14"/>
  <c r="AH20561" i="14"/>
  <c r="V20561" i="14"/>
  <c r="Q20561" i="14"/>
  <c r="E20561" i="14"/>
  <c r="AH20560" i="14"/>
  <c r="U20560" i="14"/>
  <c r="T20560" i="14"/>
  <c r="Q20560" i="14"/>
  <c r="E20560" i="14"/>
  <c r="AH20559" i="14"/>
  <c r="V20559" i="14"/>
  <c r="T20559" i="14"/>
  <c r="Q20559" i="14"/>
  <c r="E20559" i="14"/>
  <c r="AH20558" i="14"/>
  <c r="V20558" i="14"/>
  <c r="T20558" i="14"/>
  <c r="Q20558" i="14"/>
  <c r="E20558" i="14"/>
  <c r="AH20557" i="14"/>
  <c r="Q20557" i="14"/>
  <c r="E20557" i="14"/>
  <c r="AH20556" i="14"/>
  <c r="U20556" i="14"/>
  <c r="T20556" i="14"/>
  <c r="Q20556" i="14"/>
  <c r="E20556" i="14"/>
  <c r="AH20555" i="14"/>
  <c r="T20555" i="14"/>
  <c r="Q20555" i="14"/>
  <c r="E20555" i="14"/>
  <c r="AH20554" i="14"/>
  <c r="V20554" i="14"/>
  <c r="T20554" i="14"/>
  <c r="Q20554" i="14"/>
  <c r="E20554" i="14"/>
  <c r="AH20553" i="14"/>
  <c r="V20553" i="14"/>
  <c r="T20553" i="14"/>
  <c r="Q20553" i="14"/>
  <c r="E20553" i="14"/>
  <c r="AH20552" i="14"/>
  <c r="T20552" i="14"/>
  <c r="O20552" i="14"/>
  <c r="E20552" i="14"/>
  <c r="AH20551" i="14"/>
  <c r="P20551" i="14"/>
  <c r="O20551" i="14"/>
  <c r="E20551" i="14"/>
  <c r="AH20550" i="14"/>
  <c r="T20550" i="14"/>
  <c r="O20550" i="14"/>
  <c r="E20550" i="14"/>
  <c r="AH20549" i="14"/>
  <c r="V20549" i="14"/>
  <c r="T20549" i="14"/>
  <c r="Q20549" i="14"/>
  <c r="P20549" i="14"/>
  <c r="O20549" i="14"/>
  <c r="E20549" i="14"/>
  <c r="AH20548" i="14"/>
  <c r="T20548" i="14"/>
  <c r="Q20548" i="14"/>
  <c r="E20548" i="14"/>
  <c r="AH20547" i="14"/>
  <c r="E20547" i="14"/>
  <c r="AH20546" i="14"/>
  <c r="V20546" i="14"/>
  <c r="Q20546" i="14"/>
  <c r="E20546" i="14"/>
  <c r="AH20545" i="14"/>
  <c r="V20545" i="14"/>
  <c r="U20545" i="14"/>
  <c r="T20545" i="14"/>
  <c r="Q20545" i="14"/>
  <c r="E20545" i="14"/>
  <c r="AH20544" i="14"/>
  <c r="V20544" i="14"/>
  <c r="T20544" i="14"/>
  <c r="Q20544" i="14"/>
  <c r="E20544" i="14"/>
  <c r="AH20543" i="14"/>
  <c r="T20543" i="14"/>
  <c r="Q20543" i="14"/>
  <c r="E20543" i="14"/>
  <c r="AH20542" i="14"/>
  <c r="T20542" i="14"/>
  <c r="Q20542" i="14"/>
  <c r="E20542" i="14"/>
  <c r="AH20541" i="14"/>
  <c r="T20541" i="14"/>
  <c r="Q20541" i="14"/>
  <c r="E20541" i="14"/>
  <c r="AH20540" i="14"/>
  <c r="T20540" i="14"/>
  <c r="Q20540" i="14"/>
  <c r="E20540" i="14"/>
  <c r="AH20539" i="14"/>
  <c r="V20539" i="14"/>
  <c r="U20539" i="14"/>
  <c r="T20539" i="14"/>
  <c r="Q20539" i="14"/>
  <c r="P20539" i="14"/>
  <c r="E20539" i="14"/>
  <c r="AH20538" i="14"/>
  <c r="Q20538" i="14"/>
  <c r="E20538" i="14"/>
  <c r="AH20537" i="14"/>
  <c r="Q20537" i="14"/>
  <c r="E20537" i="14"/>
  <c r="AH20536" i="14"/>
  <c r="V20536" i="14"/>
  <c r="Q20536" i="14"/>
  <c r="P20536" i="14"/>
  <c r="O20536" i="14"/>
  <c r="E20536" i="14"/>
  <c r="AH20535" i="14"/>
  <c r="T20535" i="14"/>
  <c r="Q20535" i="14"/>
  <c r="E20535" i="14"/>
  <c r="AH20534" i="14"/>
  <c r="W20534" i="14"/>
  <c r="V20534" i="14"/>
  <c r="Q20534" i="14"/>
  <c r="E20534" i="14"/>
  <c r="AH20533" i="14"/>
  <c r="T20533" i="14"/>
  <c r="Q20533" i="14"/>
  <c r="P20533" i="14"/>
  <c r="E20533" i="14"/>
  <c r="AH20532" i="14"/>
  <c r="V20532" i="14"/>
  <c r="T20532" i="14"/>
  <c r="Q20532" i="14"/>
  <c r="E20532" i="14"/>
  <c r="AH20531" i="14"/>
  <c r="T20531" i="14"/>
  <c r="Q20531" i="14"/>
  <c r="E20531" i="14"/>
  <c r="AH20530" i="14"/>
  <c r="V20530" i="14"/>
  <c r="T20530" i="14"/>
  <c r="Q20530" i="14"/>
  <c r="E20530" i="14"/>
  <c r="AH20529" i="14"/>
  <c r="Q20529" i="14"/>
  <c r="O20529" i="14"/>
  <c r="E20529" i="14"/>
  <c r="AH20528" i="14"/>
  <c r="T20528" i="14"/>
  <c r="Q20528" i="14"/>
  <c r="E20528" i="14"/>
  <c r="AH20527" i="14"/>
  <c r="T20527" i="14"/>
  <c r="Q20527" i="14"/>
  <c r="E20527" i="14"/>
  <c r="AH20526" i="14"/>
  <c r="W20526" i="14"/>
  <c r="V20526" i="14"/>
  <c r="U20526" i="14"/>
  <c r="T20526" i="14"/>
  <c r="Q20526" i="14"/>
  <c r="E20526" i="14"/>
  <c r="AH20525" i="14"/>
  <c r="T20525" i="14"/>
  <c r="E20525" i="14"/>
  <c r="AH20524" i="14"/>
  <c r="T20524" i="14"/>
  <c r="Q20524" i="14"/>
  <c r="E20524" i="14"/>
  <c r="AH20523" i="14"/>
  <c r="V20523" i="14"/>
  <c r="U20523" i="14"/>
  <c r="T20523" i="14"/>
  <c r="Q20523" i="14"/>
  <c r="P20523" i="14"/>
  <c r="E20523" i="14"/>
  <c r="AH20522" i="14"/>
  <c r="T20522" i="14"/>
  <c r="Q20522" i="14"/>
  <c r="E20522" i="14"/>
  <c r="AH20521" i="14"/>
  <c r="T20521" i="14"/>
  <c r="Q20521" i="14"/>
  <c r="E20521" i="14"/>
  <c r="AH20520" i="14"/>
  <c r="T20520" i="14"/>
  <c r="Q20520" i="14"/>
  <c r="E20520" i="14"/>
  <c r="AH20519" i="14"/>
  <c r="T20519" i="14"/>
  <c r="Q20519" i="14"/>
  <c r="E20519" i="14"/>
  <c r="AH20518" i="14"/>
  <c r="V20518" i="14"/>
  <c r="T20518" i="14"/>
  <c r="Q20518" i="14"/>
  <c r="P20518" i="14"/>
  <c r="O20518" i="14"/>
  <c r="E20518" i="14"/>
  <c r="AH20517" i="14"/>
  <c r="T20517" i="14"/>
  <c r="Q20517" i="14"/>
  <c r="P20517" i="14"/>
  <c r="E20517" i="14"/>
  <c r="AH20516" i="14"/>
  <c r="T20516" i="14"/>
  <c r="Q20516" i="14"/>
  <c r="E20516" i="14"/>
  <c r="AH20515" i="14"/>
  <c r="T20515" i="14"/>
  <c r="Q20515" i="14"/>
  <c r="E20515" i="14"/>
  <c r="AH20514" i="14"/>
  <c r="T20514" i="14"/>
  <c r="E20514" i="14"/>
  <c r="AH20513" i="14"/>
  <c r="T20513" i="14"/>
  <c r="Q20513" i="14"/>
  <c r="E20513" i="14"/>
  <c r="AH20512" i="14"/>
  <c r="T20512" i="14"/>
  <c r="Q20512" i="14"/>
  <c r="E20512" i="14"/>
  <c r="AH20511" i="14"/>
  <c r="V20511" i="14"/>
  <c r="T20511" i="14"/>
  <c r="Q20511" i="14"/>
  <c r="E20511" i="14"/>
  <c r="AH20510" i="14"/>
  <c r="V20510" i="14"/>
  <c r="Q20510" i="14"/>
  <c r="E20510" i="14"/>
  <c r="AH20509" i="14"/>
  <c r="V20509" i="14"/>
  <c r="T20509" i="14"/>
  <c r="Q20509" i="14"/>
  <c r="E20509" i="14"/>
  <c r="AH20508" i="14"/>
  <c r="Q20508" i="14"/>
  <c r="E20508" i="14"/>
  <c r="AH20507" i="14"/>
  <c r="V20507" i="14"/>
  <c r="T20507" i="14"/>
  <c r="Q20507" i="14"/>
  <c r="E20507" i="14"/>
  <c r="AH20506" i="14"/>
  <c r="T20506" i="14"/>
  <c r="Q20506" i="14"/>
  <c r="E20506" i="14"/>
  <c r="AH20505" i="14"/>
  <c r="W20505" i="14"/>
  <c r="V20505" i="14"/>
  <c r="T20505" i="14"/>
  <c r="Q20505" i="14"/>
  <c r="E20505" i="14"/>
  <c r="AH20504" i="14"/>
  <c r="V20504" i="14"/>
  <c r="U20504" i="14"/>
  <c r="T20504" i="14"/>
  <c r="Q20504" i="14"/>
  <c r="P20504" i="14"/>
  <c r="E20504" i="14"/>
  <c r="AH20503" i="14"/>
  <c r="V20503" i="14"/>
  <c r="T20503" i="14"/>
  <c r="Q20503" i="14"/>
  <c r="P20503" i="14"/>
  <c r="E20503" i="14"/>
  <c r="AH20502" i="14"/>
  <c r="T20502" i="14"/>
  <c r="E20502" i="14"/>
  <c r="AH20501" i="14"/>
  <c r="T20501" i="14"/>
  <c r="E20501" i="14"/>
  <c r="AH20500" i="14"/>
  <c r="E20500" i="14"/>
  <c r="AH20499" i="14"/>
  <c r="T20499" i="14"/>
  <c r="E20499" i="14"/>
  <c r="AH20498" i="14"/>
  <c r="T20498" i="14"/>
  <c r="E20498" i="14"/>
  <c r="AH20497" i="14"/>
  <c r="T20497" i="14"/>
  <c r="Q20497" i="14"/>
  <c r="E20497" i="14"/>
  <c r="AH20496" i="14"/>
  <c r="V20496" i="14"/>
  <c r="T20496" i="14"/>
  <c r="Q20496" i="14"/>
  <c r="E20496" i="14"/>
  <c r="AH20495" i="14"/>
  <c r="V20495" i="14"/>
  <c r="T20495" i="14"/>
  <c r="Q20495" i="14"/>
  <c r="E20495" i="14"/>
  <c r="AH20494" i="14"/>
  <c r="V20494" i="14"/>
  <c r="T20494" i="14"/>
  <c r="Q20494" i="14"/>
  <c r="P20494" i="14"/>
  <c r="O20494" i="14"/>
  <c r="E20494" i="14"/>
  <c r="AH20493" i="14"/>
  <c r="V20493" i="14"/>
  <c r="Q20493" i="14"/>
  <c r="P20493" i="14"/>
  <c r="O20493" i="14"/>
  <c r="E20493" i="14"/>
  <c r="AH20492" i="14"/>
  <c r="V20492" i="14"/>
  <c r="T20492" i="14"/>
  <c r="Q20492" i="14"/>
  <c r="P20492" i="14"/>
  <c r="O20492" i="14"/>
  <c r="E20492" i="14"/>
  <c r="AH20491" i="14"/>
  <c r="V20491" i="14"/>
  <c r="T20491" i="14"/>
  <c r="Q20491" i="14"/>
  <c r="P20491" i="14"/>
  <c r="O20491" i="14"/>
  <c r="E20491" i="14"/>
  <c r="AH20490" i="14"/>
  <c r="T20490" i="14"/>
  <c r="Q20490" i="14"/>
  <c r="E20490" i="14"/>
  <c r="AH20489" i="14"/>
  <c r="T20489" i="14"/>
  <c r="Q20489" i="14"/>
  <c r="E20489" i="14"/>
  <c r="AH20488" i="14"/>
  <c r="W20488" i="14"/>
  <c r="V20488" i="14"/>
  <c r="T20488" i="14"/>
  <c r="Q20488" i="14"/>
  <c r="M20488" i="14"/>
  <c r="E20488" i="14"/>
  <c r="AH20487" i="14"/>
  <c r="W20487" i="14"/>
  <c r="V20487" i="14"/>
  <c r="U20487" i="14"/>
  <c r="T20487" i="14"/>
  <c r="Q20487" i="14"/>
  <c r="O20487" i="14"/>
  <c r="M20487" i="14"/>
  <c r="E20487" i="14"/>
  <c r="AH20486" i="14"/>
  <c r="Q20486" i="14"/>
  <c r="E20486" i="14"/>
  <c r="AH20485" i="14"/>
  <c r="T20485" i="14"/>
  <c r="Q20485" i="14"/>
  <c r="E20485" i="14"/>
  <c r="AH20484" i="14"/>
  <c r="V20484" i="14"/>
  <c r="T20484" i="14"/>
  <c r="Q20484" i="14"/>
  <c r="E20484" i="14"/>
  <c r="AH20483" i="14"/>
  <c r="T20483" i="14"/>
  <c r="Q20483" i="14"/>
  <c r="E20483" i="14"/>
  <c r="AH20482" i="14"/>
  <c r="T20482" i="14"/>
  <c r="Q20482" i="14"/>
  <c r="O20482" i="14"/>
  <c r="E20482" i="14"/>
  <c r="AH20481" i="14"/>
  <c r="T20481" i="14"/>
  <c r="Q20481" i="14"/>
  <c r="E20481" i="14"/>
  <c r="AH20480" i="14"/>
  <c r="V20480" i="14"/>
  <c r="U20480" i="14"/>
  <c r="T20480" i="14"/>
  <c r="Q20480" i="14"/>
  <c r="P20480" i="14"/>
  <c r="O20480" i="14"/>
  <c r="E20480" i="14"/>
  <c r="AH20479" i="14"/>
  <c r="V20479" i="14"/>
  <c r="T20479" i="14"/>
  <c r="Q20479" i="14"/>
  <c r="P20479" i="14"/>
  <c r="E20479" i="14"/>
  <c r="AH20478" i="14"/>
  <c r="V20478" i="14"/>
  <c r="T20478" i="14"/>
  <c r="Q20478" i="14"/>
  <c r="E20478" i="14"/>
  <c r="AH20477" i="14"/>
  <c r="V20477" i="14"/>
  <c r="T20477" i="14"/>
  <c r="Q20477" i="14"/>
  <c r="E20477" i="14"/>
  <c r="AH20476" i="14"/>
  <c r="U20476" i="14"/>
  <c r="T20476" i="14"/>
  <c r="Q20476" i="14"/>
  <c r="E20476" i="14"/>
  <c r="AH20475" i="14"/>
  <c r="T20475" i="14"/>
  <c r="E20475" i="14"/>
  <c r="AH20474" i="14"/>
  <c r="T20474" i="14"/>
  <c r="Q20474" i="14"/>
  <c r="P20474" i="14"/>
  <c r="E20474" i="14"/>
  <c r="AH20473" i="14"/>
  <c r="V20473" i="14"/>
  <c r="Q20473" i="14"/>
  <c r="P20473" i="14"/>
  <c r="E20473" i="14"/>
  <c r="AH20472" i="14"/>
  <c r="U20472" i="14"/>
  <c r="T20472" i="14"/>
  <c r="Q20472" i="14"/>
  <c r="E20472" i="14"/>
  <c r="AH20471" i="14"/>
  <c r="V20471" i="14"/>
  <c r="T20471" i="14"/>
  <c r="Q20471" i="14"/>
  <c r="E20471" i="14"/>
  <c r="AH20470" i="14"/>
  <c r="U20470" i="14"/>
  <c r="T20470" i="14"/>
  <c r="Q20470" i="14"/>
  <c r="M20470" i="14"/>
  <c r="E20470" i="14"/>
  <c r="AH20469" i="14"/>
  <c r="V20469" i="14"/>
  <c r="T20469" i="14"/>
  <c r="Q20469" i="14"/>
  <c r="E20469" i="14"/>
  <c r="AH20468" i="14"/>
  <c r="T20468" i="14"/>
  <c r="E20468" i="14"/>
  <c r="AH20467" i="14"/>
  <c r="T20467" i="14"/>
  <c r="Q20467" i="14"/>
  <c r="E20467" i="14"/>
  <c r="AH20466" i="14"/>
  <c r="T20466" i="14"/>
  <c r="Q20466" i="14"/>
  <c r="E20466" i="14"/>
  <c r="AH20465" i="14"/>
  <c r="T20465" i="14"/>
  <c r="Q20465" i="14"/>
  <c r="E20465" i="14"/>
  <c r="AH20464" i="14"/>
  <c r="T20464" i="14"/>
  <c r="Q20464" i="14"/>
  <c r="E20464" i="14"/>
  <c r="AH20463" i="14"/>
  <c r="E20463" i="14"/>
  <c r="AH20462" i="14"/>
  <c r="T20462" i="14"/>
  <c r="Q20462" i="14"/>
  <c r="E20462" i="14"/>
  <c r="AH20461" i="14"/>
  <c r="U20461" i="14"/>
  <c r="T20461" i="14"/>
  <c r="Q20461" i="14"/>
  <c r="P20461" i="14"/>
  <c r="L20461" i="14"/>
  <c r="E20461" i="14"/>
  <c r="AH20460" i="14"/>
  <c r="V20460" i="14"/>
  <c r="Q20460" i="14"/>
  <c r="E20460" i="14"/>
  <c r="AH20459" i="14"/>
  <c r="T20459" i="14"/>
  <c r="Q20459" i="14"/>
  <c r="E20459" i="14"/>
  <c r="AH20458" i="14"/>
  <c r="T20458" i="14"/>
  <c r="Q20458" i="14"/>
  <c r="E20458" i="14"/>
  <c r="AH20457" i="14"/>
  <c r="T20457" i="14"/>
  <c r="Q20457" i="14"/>
  <c r="E20457" i="14"/>
  <c r="AH20456" i="14"/>
  <c r="V20456" i="14"/>
  <c r="T20456" i="14"/>
  <c r="Q20456" i="14"/>
  <c r="E20456" i="14"/>
  <c r="AH20455" i="14"/>
  <c r="V20455" i="14"/>
  <c r="U20455" i="14"/>
  <c r="T20455" i="14"/>
  <c r="Q20455" i="14"/>
  <c r="P20455" i="14"/>
  <c r="O20455" i="14"/>
  <c r="M20455" i="14"/>
  <c r="E20455" i="14"/>
  <c r="AH20454" i="14"/>
  <c r="V20454" i="14"/>
  <c r="T20454" i="14"/>
  <c r="Q20454" i="14"/>
  <c r="E20454" i="14"/>
  <c r="AH20453" i="14"/>
  <c r="E20453" i="14"/>
  <c r="AH20452" i="14"/>
  <c r="V20452" i="14"/>
  <c r="T20452" i="14"/>
  <c r="Q20452" i="14"/>
  <c r="E20452" i="14"/>
  <c r="AH20451" i="14"/>
  <c r="W20451" i="14"/>
  <c r="V20451" i="14"/>
  <c r="Q20451" i="14"/>
  <c r="E20451" i="14"/>
  <c r="AH20450" i="14"/>
  <c r="W20450" i="14"/>
  <c r="V20450" i="14"/>
  <c r="T20450" i="14"/>
  <c r="Q20450" i="14"/>
  <c r="E20450" i="14"/>
  <c r="AH20449" i="14"/>
  <c r="V20449" i="14"/>
  <c r="T20449" i="14"/>
  <c r="Q20449" i="14"/>
  <c r="E20449" i="14"/>
  <c r="AH20448" i="14"/>
  <c r="V20448" i="14"/>
  <c r="Q20448" i="14"/>
  <c r="E20448" i="14"/>
  <c r="AH20447" i="14"/>
  <c r="V20447" i="14"/>
  <c r="U20447" i="14"/>
  <c r="T20447" i="14"/>
  <c r="Q20447" i="14"/>
  <c r="E20447" i="14"/>
  <c r="AH20446" i="14"/>
  <c r="W20446" i="14"/>
  <c r="V20446" i="14"/>
  <c r="Q20446" i="14"/>
  <c r="E20446" i="14"/>
  <c r="AH20445" i="14"/>
  <c r="V20445" i="14"/>
  <c r="T20445" i="14"/>
  <c r="Q20445" i="14"/>
  <c r="E20445" i="14"/>
  <c r="AH20444" i="14"/>
  <c r="V20444" i="14"/>
  <c r="U20444" i="14"/>
  <c r="T20444" i="14"/>
  <c r="Q20444" i="14"/>
  <c r="E20444" i="14"/>
  <c r="AH20443" i="14"/>
  <c r="W20443" i="14"/>
  <c r="V20443" i="14"/>
  <c r="U20443" i="14"/>
  <c r="T20443" i="14"/>
  <c r="Q20443" i="14"/>
  <c r="E20443" i="14"/>
  <c r="AH20442" i="14"/>
  <c r="V20442" i="14"/>
  <c r="T20442" i="14"/>
  <c r="Q20442" i="14"/>
  <c r="E20442" i="14"/>
  <c r="AH20441" i="14"/>
  <c r="AF20441" i="14"/>
  <c r="AE20441" i="14"/>
  <c r="W20441" i="14"/>
  <c r="V20441" i="14"/>
  <c r="U20441" i="14"/>
  <c r="T20441" i="14"/>
  <c r="Q20441" i="14"/>
  <c r="E20441" i="14"/>
  <c r="AH20440" i="14"/>
  <c r="T20440" i="14"/>
  <c r="Q20440" i="14"/>
  <c r="E20440" i="14"/>
  <c r="AH20439" i="14"/>
  <c r="W20439" i="14"/>
  <c r="V20439" i="14"/>
  <c r="U20439" i="14"/>
  <c r="T20439" i="14"/>
  <c r="Q20439" i="14"/>
  <c r="M20439" i="14"/>
  <c r="E20439" i="14"/>
  <c r="AH20438" i="14"/>
  <c r="V20438" i="14"/>
  <c r="U20438" i="14"/>
  <c r="T20438" i="14"/>
  <c r="Q20438" i="14"/>
  <c r="M20438" i="14"/>
  <c r="E20438" i="14"/>
  <c r="AH20437" i="14"/>
  <c r="Q20437" i="14"/>
  <c r="E20437" i="14"/>
  <c r="AH20436" i="14"/>
  <c r="V20436" i="14"/>
  <c r="T20436" i="14"/>
  <c r="Q20436" i="14"/>
  <c r="E20436" i="14"/>
  <c r="AH20435" i="14"/>
  <c r="T20435" i="14"/>
  <c r="Q20435" i="14"/>
  <c r="E20435" i="14"/>
  <c r="AH20434" i="14"/>
  <c r="V20434" i="14"/>
  <c r="T20434" i="14"/>
  <c r="Q20434" i="14"/>
  <c r="E20434" i="14"/>
  <c r="AH20433" i="14"/>
  <c r="Q20433" i="14"/>
  <c r="E20433" i="14"/>
  <c r="AH20432" i="14"/>
  <c r="W20432" i="14"/>
  <c r="V20432" i="14"/>
  <c r="U20432" i="14"/>
  <c r="T20432" i="14"/>
  <c r="Q20432" i="14"/>
  <c r="M20432" i="14"/>
  <c r="E20432" i="14"/>
  <c r="AH20431" i="14"/>
  <c r="V20431" i="14"/>
  <c r="T20431" i="14"/>
  <c r="Q20431" i="14"/>
  <c r="P20431" i="14"/>
  <c r="E20431" i="14"/>
  <c r="AH20430" i="14"/>
  <c r="W20430" i="14"/>
  <c r="V20430" i="14"/>
  <c r="U20430" i="14"/>
  <c r="T20430" i="14"/>
  <c r="Q20430" i="14"/>
  <c r="M20430" i="14"/>
  <c r="E20430" i="14"/>
  <c r="AH20429" i="14"/>
  <c r="V20429" i="14"/>
  <c r="U20429" i="14"/>
  <c r="T20429" i="14"/>
  <c r="Q20429" i="14"/>
  <c r="P20429" i="14"/>
  <c r="E20429" i="14"/>
  <c r="AH20428" i="14"/>
  <c r="T20428" i="14"/>
  <c r="G20428" i="14"/>
  <c r="E20428" i="14"/>
  <c r="AH20427" i="14"/>
  <c r="T20427" i="14"/>
  <c r="G20427" i="14"/>
  <c r="E20427" i="14"/>
  <c r="AH20426" i="14"/>
  <c r="T20426" i="14"/>
  <c r="G20426" i="14"/>
  <c r="E20426" i="14"/>
  <c r="AH20425" i="14"/>
  <c r="T20425" i="14"/>
  <c r="G20425" i="14"/>
  <c r="E20425" i="14"/>
  <c r="AH20424" i="14"/>
  <c r="T20424" i="14"/>
  <c r="G20424" i="14"/>
  <c r="E20424" i="14"/>
  <c r="AH20423" i="14"/>
  <c r="W20423" i="14"/>
  <c r="V20423" i="14"/>
  <c r="Q20423" i="14"/>
  <c r="P20423" i="14"/>
  <c r="L20423" i="14"/>
  <c r="G20423" i="14"/>
  <c r="E20423" i="14"/>
  <c r="AL20422" i="14"/>
  <c r="AH20422" i="14"/>
  <c r="W20422" i="14"/>
  <c r="V20422" i="14"/>
  <c r="U20422" i="14"/>
  <c r="T20422" i="14"/>
  <c r="Q20422" i="14"/>
  <c r="P20422" i="14"/>
  <c r="M20422" i="14"/>
  <c r="G20422" i="14"/>
  <c r="E20422" i="14"/>
  <c r="AL20421" i="14"/>
  <c r="AH20421" i="14"/>
  <c r="V20421" i="14"/>
  <c r="T20421" i="14"/>
  <c r="Q20421" i="14"/>
  <c r="P20421" i="14"/>
  <c r="M20421" i="14"/>
  <c r="G20421" i="14"/>
  <c r="E20421" i="14"/>
  <c r="AL20420" i="14"/>
  <c r="AH20420" i="14"/>
  <c r="W20420" i="14"/>
  <c r="V20420" i="14"/>
  <c r="Q20420" i="14"/>
  <c r="P20420" i="14"/>
  <c r="O20420" i="14"/>
  <c r="L20420" i="14"/>
  <c r="I20420" i="14"/>
  <c r="G20420" i="14"/>
  <c r="E20420" i="14"/>
  <c r="AH20419" i="14"/>
  <c r="Q20419" i="14"/>
  <c r="P20419" i="14"/>
  <c r="O20419" i="14"/>
  <c r="L20419" i="14"/>
  <c r="G20419" i="14"/>
  <c r="E20419" i="14"/>
  <c r="AL20418" i="14"/>
  <c r="AH20418" i="14"/>
  <c r="V20418" i="14"/>
  <c r="T20418" i="14"/>
  <c r="Q20418" i="14"/>
  <c r="P20418" i="14"/>
  <c r="G20418" i="14"/>
  <c r="E20418" i="14"/>
  <c r="AH20417" i="14"/>
  <c r="V20417" i="14"/>
  <c r="T20417" i="14"/>
  <c r="Q20417" i="14"/>
  <c r="P20417" i="14"/>
  <c r="G20417" i="14"/>
  <c r="E20417" i="14"/>
  <c r="AL20416" i="14"/>
  <c r="AH20416" i="14"/>
  <c r="V20416" i="14"/>
  <c r="T20416" i="14"/>
  <c r="Q20416" i="14"/>
  <c r="P20416" i="14"/>
  <c r="G20416" i="14"/>
  <c r="E20416" i="14"/>
  <c r="AH20415" i="14"/>
  <c r="V20415" i="14"/>
  <c r="T20415" i="14"/>
  <c r="Q20415" i="14"/>
  <c r="P20415" i="14"/>
  <c r="G20415" i="14"/>
  <c r="E20415" i="14"/>
  <c r="AH20414" i="14"/>
  <c r="E20414" i="14"/>
  <c r="AH20413" i="14"/>
  <c r="Q20413" i="14"/>
  <c r="O20413" i="14"/>
  <c r="E20413" i="14"/>
  <c r="AH20412" i="14"/>
  <c r="T20412" i="14"/>
  <c r="Q20412" i="14"/>
  <c r="O20412" i="14"/>
  <c r="E20412" i="14"/>
  <c r="AH20411" i="14"/>
  <c r="T20411" i="14"/>
  <c r="G20411" i="14"/>
  <c r="E20411" i="14"/>
  <c r="AH20410" i="14"/>
  <c r="T20410" i="14"/>
  <c r="G20410" i="14"/>
  <c r="E20410" i="14"/>
  <c r="AH20409" i="14"/>
  <c r="G20409" i="14"/>
  <c r="E20409" i="14"/>
  <c r="AH20408" i="14"/>
  <c r="T20408" i="14"/>
  <c r="G20408" i="14"/>
  <c r="E20408" i="14"/>
  <c r="AH20407" i="14"/>
  <c r="T20407" i="14"/>
  <c r="G20407" i="14"/>
  <c r="E20407" i="14"/>
  <c r="AH20406" i="14"/>
  <c r="Q20406" i="14"/>
  <c r="L20406" i="14"/>
  <c r="G20406" i="14"/>
  <c r="E20406" i="14"/>
  <c r="AH20405" i="14"/>
  <c r="Q20405" i="14"/>
  <c r="P20405" i="14"/>
  <c r="G20405" i="14"/>
  <c r="E20405" i="14"/>
  <c r="AH20404" i="14"/>
  <c r="G20404" i="14"/>
  <c r="E20404" i="14"/>
  <c r="AL20403" i="14"/>
  <c r="AH20403" i="14"/>
  <c r="V20403" i="14"/>
  <c r="T20403" i="14"/>
  <c r="Q20403" i="14"/>
  <c r="P20403" i="14"/>
  <c r="O20403" i="14"/>
  <c r="G20403" i="14"/>
  <c r="E20403" i="14"/>
  <c r="AH20402" i="14"/>
  <c r="Q20402" i="14"/>
  <c r="P20402" i="14"/>
  <c r="G20402" i="14"/>
  <c r="E20402" i="14"/>
  <c r="AH20401" i="14"/>
  <c r="V20401" i="14"/>
  <c r="T20401" i="14"/>
  <c r="Q20401" i="14"/>
  <c r="P20401" i="14"/>
  <c r="G20401" i="14"/>
  <c r="E20401" i="14"/>
  <c r="AH20400" i="14"/>
  <c r="Q20400" i="14"/>
  <c r="G20400" i="14"/>
  <c r="E20400" i="14"/>
  <c r="AL20399" i="14"/>
  <c r="AH20399" i="14"/>
  <c r="W20399" i="14"/>
  <c r="V20399" i="14"/>
  <c r="U20399" i="14"/>
  <c r="T20399" i="14"/>
  <c r="Q20399" i="14"/>
  <c r="M20399" i="14"/>
  <c r="G20399" i="14"/>
  <c r="E20399" i="14"/>
  <c r="AH20398" i="14"/>
  <c r="V20398" i="14"/>
  <c r="Q20398" i="14"/>
  <c r="P20398" i="14"/>
  <c r="M20398" i="14"/>
  <c r="G20398" i="14"/>
  <c r="E20398" i="14"/>
  <c r="AH20397" i="14"/>
  <c r="V20397" i="14"/>
  <c r="U20397" i="14"/>
  <c r="T20397" i="14"/>
  <c r="Q20397" i="14"/>
  <c r="P20397" i="14"/>
  <c r="E20397" i="14"/>
  <c r="AH20396" i="14"/>
  <c r="T20396" i="14"/>
  <c r="Q20396" i="14"/>
  <c r="E20396" i="14"/>
  <c r="AH20395" i="14"/>
  <c r="Q20395" i="14"/>
  <c r="E20395" i="14"/>
  <c r="AH20394" i="14"/>
  <c r="V20394" i="14"/>
  <c r="T20394" i="14"/>
  <c r="Q20394" i="14"/>
  <c r="E20394" i="14"/>
  <c r="AH20393" i="14"/>
  <c r="V20393" i="14"/>
  <c r="T20393" i="14"/>
  <c r="Q20393" i="14"/>
  <c r="E20393" i="14"/>
  <c r="AH20392" i="14"/>
  <c r="V20392" i="14"/>
  <c r="T20392" i="14"/>
  <c r="Q20392" i="14"/>
  <c r="E20392" i="14"/>
  <c r="AH20391" i="14"/>
  <c r="Q20391" i="14"/>
  <c r="E20391" i="14"/>
  <c r="AH20390" i="14"/>
  <c r="V20390" i="14"/>
  <c r="T20390" i="14"/>
  <c r="Q20390" i="14"/>
  <c r="P20390" i="14"/>
  <c r="O20390" i="14"/>
  <c r="E20390" i="14"/>
  <c r="AH20389" i="14"/>
  <c r="Q20389" i="14"/>
  <c r="E20389" i="14"/>
  <c r="AH20388" i="14"/>
  <c r="T20388" i="14"/>
  <c r="Q20388" i="14"/>
  <c r="E20388" i="14"/>
  <c r="AH20387" i="14"/>
  <c r="V20387" i="14"/>
  <c r="T20387" i="14"/>
  <c r="Q20387" i="14"/>
  <c r="E20387" i="14"/>
  <c r="AH20386" i="14"/>
  <c r="T20386" i="14"/>
  <c r="E20386" i="14"/>
  <c r="AH20385" i="14"/>
  <c r="E20385" i="14"/>
  <c r="AH20384" i="14"/>
  <c r="T20384" i="14"/>
  <c r="E20384" i="14"/>
  <c r="AH20383" i="14"/>
  <c r="T20383" i="14"/>
  <c r="Q20383" i="14"/>
  <c r="E20383" i="14"/>
  <c r="AH20382" i="14"/>
  <c r="T20382" i="14"/>
  <c r="Q20382" i="14"/>
  <c r="E20382" i="14"/>
  <c r="AH20381" i="14"/>
  <c r="T20381" i="14"/>
  <c r="Q20381" i="14"/>
  <c r="E20381" i="14"/>
  <c r="AH20380" i="14"/>
  <c r="Q20380" i="14"/>
  <c r="E20380" i="14"/>
  <c r="AH20379" i="14"/>
  <c r="Q20379" i="14"/>
  <c r="E20379" i="14"/>
  <c r="AH20378" i="14"/>
  <c r="T20378" i="14"/>
  <c r="Q20378" i="14"/>
  <c r="E20378" i="14"/>
  <c r="AH20377" i="14"/>
  <c r="Q20377" i="14"/>
  <c r="E20377" i="14"/>
  <c r="AH20376" i="14"/>
  <c r="T20376" i="14"/>
  <c r="Q20376" i="14"/>
  <c r="E20376" i="14"/>
  <c r="AH20375" i="14"/>
  <c r="T20375" i="14"/>
  <c r="Q20375" i="14"/>
  <c r="E20375" i="14"/>
  <c r="AH20374" i="14"/>
  <c r="E20374" i="14"/>
  <c r="AH20373" i="14"/>
  <c r="T20373" i="14"/>
  <c r="Q20373" i="14"/>
  <c r="E20373" i="14"/>
  <c r="AH20372" i="14"/>
  <c r="T20372" i="14"/>
  <c r="Q20372" i="14"/>
  <c r="E20372" i="14"/>
  <c r="AH20371" i="14"/>
  <c r="W20371" i="14"/>
  <c r="V20371" i="14"/>
  <c r="U20371" i="14"/>
  <c r="T20371" i="14"/>
  <c r="Q20371" i="14"/>
  <c r="O20371" i="14"/>
  <c r="M20371" i="14"/>
  <c r="E20371" i="14"/>
  <c r="AH20370" i="14"/>
  <c r="T20370" i="14"/>
  <c r="Q20370" i="14"/>
  <c r="E20370" i="14"/>
  <c r="AH20369" i="14"/>
  <c r="W20369" i="14"/>
  <c r="V20369" i="14"/>
  <c r="U20369" i="14"/>
  <c r="T20369" i="14"/>
  <c r="Q20369" i="14"/>
  <c r="M20369" i="14"/>
  <c r="E20369" i="14"/>
  <c r="AH20368" i="14"/>
  <c r="U20368" i="14"/>
  <c r="T20368" i="14"/>
  <c r="Q20368" i="14"/>
  <c r="E20368" i="14"/>
  <c r="AH20367" i="14"/>
  <c r="U20367" i="14"/>
  <c r="T20367" i="14"/>
  <c r="Q20367" i="14"/>
  <c r="P20367" i="14"/>
  <c r="O20367" i="14"/>
  <c r="E20367" i="14"/>
  <c r="AH20366" i="14"/>
  <c r="W20366" i="14"/>
  <c r="V20366" i="14"/>
  <c r="T20366" i="14"/>
  <c r="Q20366" i="14"/>
  <c r="P20366" i="14"/>
  <c r="O20366" i="14"/>
  <c r="E20366" i="14"/>
  <c r="AH20365" i="14"/>
  <c r="V20365" i="14"/>
  <c r="T20365" i="14"/>
  <c r="Q20365" i="14"/>
  <c r="P20365" i="14"/>
  <c r="O20365" i="14"/>
  <c r="E20365" i="14"/>
  <c r="AH20364" i="14"/>
  <c r="V20364" i="14"/>
  <c r="T20364" i="14"/>
  <c r="Q20364" i="14"/>
  <c r="E20364" i="14"/>
  <c r="AH20363" i="14"/>
  <c r="V20363" i="14"/>
  <c r="T20363" i="14"/>
  <c r="Q20363" i="14"/>
  <c r="E20363" i="14"/>
  <c r="AH20362" i="14"/>
  <c r="AE20362" i="14"/>
  <c r="U20362" i="14"/>
  <c r="T20362" i="14"/>
  <c r="Q20362" i="14"/>
  <c r="L20362" i="14"/>
  <c r="E20362" i="14"/>
  <c r="AH20361" i="14"/>
  <c r="W20361" i="14"/>
  <c r="V20361" i="14"/>
  <c r="U20361" i="14"/>
  <c r="T20361" i="14"/>
  <c r="Q20361" i="14"/>
  <c r="P20361" i="14"/>
  <c r="O20361" i="14"/>
  <c r="M20361" i="14"/>
  <c r="E20361" i="14"/>
  <c r="AH20360" i="14"/>
  <c r="V20360" i="14"/>
  <c r="T20360" i="14"/>
  <c r="Q20360" i="14"/>
  <c r="P20360" i="14"/>
  <c r="O20360" i="14"/>
  <c r="E20360" i="14"/>
  <c r="AH20359" i="14"/>
  <c r="M20359" i="14"/>
  <c r="E20359" i="14"/>
  <c r="AH20358" i="14"/>
  <c r="W20358" i="14"/>
  <c r="V20358" i="14"/>
  <c r="Q20358" i="14"/>
  <c r="P20358" i="14"/>
  <c r="O20358" i="14"/>
  <c r="M20358" i="14"/>
  <c r="E20358" i="14"/>
  <c r="AH20357" i="14"/>
  <c r="V20357" i="14"/>
  <c r="T20357" i="14"/>
  <c r="Q20357" i="14"/>
  <c r="P20357" i="14"/>
  <c r="O20357" i="14"/>
  <c r="E20357" i="14"/>
  <c r="AH20356" i="14"/>
  <c r="Q20356" i="14"/>
  <c r="E20356" i="14"/>
  <c r="AH20355" i="14"/>
  <c r="V20355" i="14"/>
  <c r="U20355" i="14"/>
  <c r="T20355" i="14"/>
  <c r="Q20355" i="14"/>
  <c r="E20355" i="14"/>
  <c r="AH20354" i="14"/>
  <c r="V20354" i="14"/>
  <c r="U20354" i="14"/>
  <c r="T20354" i="14"/>
  <c r="Q20354" i="14"/>
  <c r="E20354" i="14"/>
  <c r="AH20353" i="14"/>
  <c r="T20353" i="14"/>
  <c r="Q20353" i="14"/>
  <c r="E20353" i="14"/>
  <c r="AH20352" i="14"/>
  <c r="Q20352" i="14"/>
  <c r="E20352" i="14"/>
  <c r="AH20351" i="14"/>
  <c r="T20351" i="14"/>
  <c r="Q20351" i="14"/>
  <c r="E20351" i="14"/>
  <c r="AH20350" i="14"/>
  <c r="W20350" i="14"/>
  <c r="V20350" i="14"/>
  <c r="U20350" i="14"/>
  <c r="T20350" i="14"/>
  <c r="Q20350" i="14"/>
  <c r="E20350" i="14"/>
  <c r="AH20349" i="14"/>
  <c r="T20349" i="14"/>
  <c r="E20349" i="14"/>
  <c r="AH20348" i="14"/>
  <c r="T20348" i="14"/>
  <c r="Q20348" i="14"/>
  <c r="E20348" i="14"/>
  <c r="AH20347" i="14"/>
  <c r="V20347" i="14"/>
  <c r="U20347" i="14"/>
  <c r="T20347" i="14"/>
  <c r="Q20347" i="14"/>
  <c r="E20347" i="14"/>
  <c r="AH20346" i="14"/>
  <c r="T20346" i="14"/>
  <c r="Q20346" i="14"/>
  <c r="P20346" i="14"/>
  <c r="O20346" i="14"/>
  <c r="L20346" i="14"/>
  <c r="E20346" i="14"/>
  <c r="AH20345" i="14"/>
  <c r="T20345" i="14"/>
  <c r="E20345" i="14"/>
  <c r="AH20344" i="14"/>
  <c r="T20344" i="14"/>
  <c r="Q20344" i="14"/>
  <c r="E20344" i="14"/>
  <c r="AH20343" i="14"/>
  <c r="W20343" i="14"/>
  <c r="V20343" i="14"/>
  <c r="T20343" i="14"/>
  <c r="Q20343" i="14"/>
  <c r="P20343" i="14"/>
  <c r="E20343" i="14"/>
  <c r="AH20342" i="14"/>
  <c r="V20342" i="14"/>
  <c r="T20342" i="14"/>
  <c r="Q20342" i="14"/>
  <c r="P20342" i="14"/>
  <c r="G20342" i="14"/>
  <c r="E20342" i="14"/>
  <c r="AH20341" i="14"/>
  <c r="V20341" i="14"/>
  <c r="T20341" i="14"/>
  <c r="Q20341" i="14"/>
  <c r="P20341" i="14"/>
  <c r="O20341" i="14"/>
  <c r="G20341" i="14"/>
  <c r="E20341" i="14"/>
  <c r="AH20340" i="14"/>
  <c r="V20340" i="14"/>
  <c r="Q20340" i="14"/>
  <c r="P20340" i="14"/>
  <c r="O20340" i="14"/>
  <c r="G20340" i="14"/>
  <c r="E20340" i="14"/>
  <c r="AL20339" i="14"/>
  <c r="AH20339" i="14"/>
  <c r="V20339" i="14"/>
  <c r="U20339" i="14"/>
  <c r="T20339" i="14"/>
  <c r="Q20339" i="14"/>
  <c r="P20339" i="14"/>
  <c r="G20339" i="14"/>
  <c r="E20339" i="14"/>
  <c r="AH20338" i="14"/>
  <c r="V20338" i="14"/>
  <c r="Q20338" i="14"/>
  <c r="P20338" i="14"/>
  <c r="O20338" i="14"/>
  <c r="E20338" i="14"/>
  <c r="AH20337" i="14"/>
  <c r="U20337" i="14"/>
  <c r="T20337" i="14"/>
  <c r="Q20337" i="14"/>
  <c r="E20337" i="14"/>
  <c r="AH20336" i="14"/>
  <c r="V20336" i="14"/>
  <c r="U20336" i="14"/>
  <c r="T20336" i="14"/>
  <c r="Q20336" i="14"/>
  <c r="E20336" i="14"/>
  <c r="AH20335" i="14"/>
  <c r="T20335" i="14"/>
  <c r="E20335" i="14"/>
  <c r="AH20334" i="14"/>
  <c r="T20334" i="14"/>
  <c r="E20334" i="14"/>
  <c r="AK20333" i="14"/>
  <c r="AH20333" i="14"/>
  <c r="V20333" i="14"/>
  <c r="U20333" i="14"/>
  <c r="T20333" i="14"/>
  <c r="Q20333" i="14"/>
  <c r="N20333" i="14"/>
  <c r="E20333" i="14"/>
  <c r="AK20332" i="14"/>
  <c r="AH20332" i="14"/>
  <c r="W20332" i="14"/>
  <c r="V20332" i="14"/>
  <c r="U20332" i="14"/>
  <c r="Q20332" i="14"/>
  <c r="P20332" i="14"/>
  <c r="O20332" i="14"/>
  <c r="N20332" i="14"/>
  <c r="M20332" i="14"/>
  <c r="E20332" i="14"/>
  <c r="AH20331" i="14"/>
  <c r="W20331" i="14"/>
  <c r="V20331" i="14"/>
  <c r="U20331" i="14"/>
  <c r="T20331" i="14"/>
  <c r="Q20331" i="14"/>
  <c r="P20331" i="14"/>
  <c r="O20331" i="14"/>
  <c r="M20331" i="14"/>
  <c r="E20331" i="14"/>
  <c r="AH20330" i="14"/>
  <c r="V20330" i="14"/>
  <c r="T20330" i="14"/>
  <c r="Q20330" i="14"/>
  <c r="P20330" i="14"/>
  <c r="O20330" i="14"/>
  <c r="M20330" i="14"/>
  <c r="E20330" i="14"/>
  <c r="AH20329" i="14"/>
  <c r="T20329" i="14"/>
  <c r="Q20329" i="14"/>
  <c r="E20329" i="14"/>
  <c r="AH20328" i="14"/>
  <c r="W20328" i="14"/>
  <c r="V20328" i="14"/>
  <c r="T20328" i="14"/>
  <c r="Q20328" i="14"/>
  <c r="P20328" i="14"/>
  <c r="O20328" i="14"/>
  <c r="E20328" i="14"/>
  <c r="AH20327" i="14"/>
  <c r="V20327" i="14"/>
  <c r="T20327" i="14"/>
  <c r="Q20327" i="14"/>
  <c r="P20327" i="14"/>
  <c r="O20327" i="14"/>
  <c r="E20327" i="14"/>
  <c r="AL20326" i="14"/>
  <c r="AH20326" i="14"/>
  <c r="Q20326" i="14"/>
  <c r="E20326" i="14"/>
  <c r="AL20325" i="14"/>
  <c r="AH20325" i="14"/>
  <c r="T20325" i="14"/>
  <c r="Q20325" i="14"/>
  <c r="E20325" i="14"/>
  <c r="AH20324" i="14"/>
  <c r="W20324" i="14"/>
  <c r="V20324" i="14"/>
  <c r="U20324" i="14"/>
  <c r="T20324" i="14"/>
  <c r="Q20324" i="14"/>
  <c r="P20324" i="14"/>
  <c r="O20324" i="14"/>
  <c r="M20324" i="14"/>
  <c r="E20324" i="14"/>
  <c r="AH20323" i="14"/>
  <c r="T20323" i="14"/>
  <c r="Q20323" i="14"/>
  <c r="M20323" i="14"/>
  <c r="E20323" i="14"/>
  <c r="AH20322" i="14"/>
  <c r="W20322" i="14"/>
  <c r="V20322" i="14"/>
  <c r="U20322" i="14"/>
  <c r="T20322" i="14"/>
  <c r="Q20322" i="14"/>
  <c r="E20322" i="14"/>
  <c r="AH20321" i="14"/>
  <c r="T20321" i="14"/>
  <c r="Q20321" i="14"/>
  <c r="E20321" i="14"/>
  <c r="AH20320" i="14"/>
  <c r="V20320" i="14"/>
  <c r="U20320" i="14"/>
  <c r="T20320" i="14"/>
  <c r="Q20320" i="14"/>
  <c r="E20320" i="14"/>
  <c r="AH20319" i="14"/>
  <c r="T20319" i="14"/>
  <c r="Q20319" i="14"/>
  <c r="P20319" i="14"/>
  <c r="O20319" i="14"/>
  <c r="E20319" i="14"/>
  <c r="AH20318" i="14"/>
  <c r="V20318" i="14"/>
  <c r="T20318" i="14"/>
  <c r="Q20318" i="14"/>
  <c r="P20318" i="14"/>
  <c r="E20318" i="14"/>
  <c r="AH20317" i="14"/>
  <c r="V20317" i="14"/>
  <c r="T20317" i="14"/>
  <c r="Q20317" i="14"/>
  <c r="E20317" i="14"/>
  <c r="AH20316" i="14"/>
  <c r="V20316" i="14"/>
  <c r="U20316" i="14"/>
  <c r="T20316" i="14"/>
  <c r="Q20316" i="14"/>
  <c r="E20316" i="14"/>
  <c r="AH20315" i="14"/>
  <c r="Q20315" i="14"/>
  <c r="E20315" i="14"/>
  <c r="AH20314" i="14"/>
  <c r="V20314" i="14"/>
  <c r="Q20314" i="14"/>
  <c r="E20314" i="14"/>
  <c r="AH20313" i="14"/>
  <c r="V20313" i="14"/>
  <c r="T20313" i="14"/>
  <c r="Q20313" i="14"/>
  <c r="P20313" i="14"/>
  <c r="O20313" i="14"/>
  <c r="E20313" i="14"/>
  <c r="AH20312" i="14"/>
  <c r="V20312" i="14"/>
  <c r="T20312" i="14"/>
  <c r="Q20312" i="14"/>
  <c r="E20312" i="14"/>
  <c r="AH20311" i="14"/>
  <c r="V20311" i="14"/>
  <c r="T20311" i="14"/>
  <c r="Q20311" i="14"/>
  <c r="E20311" i="14"/>
  <c r="AH20310" i="14"/>
  <c r="U20310" i="14"/>
  <c r="T20310" i="14"/>
  <c r="Q20310" i="14"/>
  <c r="E20310" i="14"/>
  <c r="AH20309" i="14"/>
  <c r="V20309" i="14"/>
  <c r="Q20309" i="14"/>
  <c r="E20309" i="14"/>
  <c r="AH20308" i="14"/>
  <c r="W20308" i="14"/>
  <c r="V20308" i="14"/>
  <c r="Q20308" i="14"/>
  <c r="E20308" i="14"/>
  <c r="AH20307" i="14"/>
  <c r="U20307" i="14"/>
  <c r="T20307" i="14"/>
  <c r="Q20307" i="14"/>
  <c r="E20307" i="14"/>
  <c r="AH20306" i="14"/>
  <c r="V20306" i="14"/>
  <c r="T20306" i="14"/>
  <c r="Q20306" i="14"/>
  <c r="E20306" i="14"/>
  <c r="AH20305" i="14"/>
  <c r="V20305" i="14"/>
  <c r="T20305" i="14"/>
  <c r="Q20305" i="14"/>
  <c r="E20305" i="14"/>
  <c r="AH20304" i="14"/>
  <c r="W20304" i="14"/>
  <c r="V20304" i="14"/>
  <c r="U20304" i="14"/>
  <c r="Q20304" i="14"/>
  <c r="M20304" i="14"/>
  <c r="E20304" i="14"/>
  <c r="AH20303" i="14"/>
  <c r="T20303" i="14"/>
  <c r="Q20303" i="14"/>
  <c r="E20303" i="14"/>
  <c r="AH20302" i="14"/>
  <c r="T20302" i="14"/>
  <c r="Q20302" i="14"/>
  <c r="E20302" i="14"/>
  <c r="AH20301" i="14"/>
  <c r="T20301" i="14"/>
  <c r="Q20301" i="14"/>
  <c r="E20301" i="14"/>
  <c r="AH20300" i="14"/>
  <c r="W20300" i="14"/>
  <c r="V20300" i="14"/>
  <c r="T20300" i="14"/>
  <c r="Q20300" i="14"/>
  <c r="P20300" i="14"/>
  <c r="O20300" i="14"/>
  <c r="E20300" i="14"/>
  <c r="AH20299" i="14"/>
  <c r="V20299" i="14"/>
  <c r="T20299" i="14"/>
  <c r="Q20299" i="14"/>
  <c r="E20299" i="14"/>
  <c r="AH20298" i="14"/>
  <c r="V20298" i="14"/>
  <c r="T20298" i="14"/>
  <c r="Q20298" i="14"/>
  <c r="E20298" i="14"/>
  <c r="AH20297" i="14"/>
  <c r="T20297" i="14"/>
  <c r="Q20297" i="14"/>
  <c r="E20297" i="14"/>
  <c r="AH20296" i="14"/>
  <c r="V20296" i="14"/>
  <c r="Q20296" i="14"/>
  <c r="E20296" i="14"/>
  <c r="AH20295" i="14"/>
  <c r="V20295" i="14"/>
  <c r="T20295" i="14"/>
  <c r="Q20295" i="14"/>
  <c r="E20295" i="14"/>
  <c r="AH20294" i="14"/>
  <c r="V20294" i="14"/>
  <c r="T20294" i="14"/>
  <c r="Q20294" i="14"/>
  <c r="E20294" i="14"/>
  <c r="AH20293" i="14"/>
  <c r="V20293" i="14"/>
  <c r="T20293" i="14"/>
  <c r="Q20293" i="14"/>
  <c r="E20293" i="14"/>
  <c r="AH20292" i="14"/>
  <c r="AE20292" i="14"/>
  <c r="Q20292" i="14"/>
  <c r="E20292" i="14"/>
  <c r="AH20291" i="14"/>
  <c r="W20291" i="14"/>
  <c r="V20291" i="14"/>
  <c r="U20291" i="14"/>
  <c r="T20291" i="14"/>
  <c r="Q20291" i="14"/>
  <c r="E20291" i="14"/>
  <c r="AH20290" i="14"/>
  <c r="U20290" i="14"/>
  <c r="T20290" i="14"/>
  <c r="Q20290" i="14"/>
  <c r="E20290" i="14"/>
  <c r="AH20289" i="14"/>
  <c r="V20289" i="14"/>
  <c r="T20289" i="14"/>
  <c r="Q20289" i="14"/>
  <c r="E20289" i="14"/>
  <c r="AH20288" i="14"/>
  <c r="V20288" i="14"/>
  <c r="T20288" i="14"/>
  <c r="Q20288" i="14"/>
  <c r="E20288" i="14"/>
  <c r="AH20287" i="14"/>
  <c r="Q20287" i="14"/>
  <c r="E20287" i="14"/>
  <c r="AH20286" i="14"/>
  <c r="U20286" i="14"/>
  <c r="T20286" i="14"/>
  <c r="Q20286" i="14"/>
  <c r="E20286" i="14"/>
  <c r="AH20285" i="14"/>
  <c r="W20285" i="14"/>
  <c r="V20285" i="14"/>
  <c r="Q20285" i="14"/>
  <c r="E20285" i="14"/>
  <c r="AH20284" i="14"/>
  <c r="Q20284" i="14"/>
  <c r="E20284" i="14"/>
  <c r="AH20283" i="14"/>
  <c r="V20283" i="14"/>
  <c r="T20283" i="14"/>
  <c r="Q20283" i="14"/>
  <c r="E20283" i="14"/>
  <c r="AH20282" i="14"/>
  <c r="V20282" i="14"/>
  <c r="T20282" i="14"/>
  <c r="Q20282" i="14"/>
  <c r="E20282" i="14"/>
  <c r="AH20281" i="14"/>
  <c r="T20281" i="14"/>
  <c r="Q20281" i="14"/>
  <c r="E20281" i="14"/>
  <c r="AH20280" i="14"/>
  <c r="V20280" i="14"/>
  <c r="U20280" i="14"/>
  <c r="T20280" i="14"/>
  <c r="Q20280" i="14"/>
  <c r="P20280" i="14"/>
  <c r="O20280" i="14"/>
  <c r="E20280" i="14"/>
  <c r="AH20279" i="14"/>
  <c r="T20279" i="14"/>
  <c r="E20279" i="14"/>
  <c r="AH20278" i="14"/>
  <c r="T20278" i="14"/>
  <c r="E20278" i="14"/>
  <c r="AH20277" i="14"/>
  <c r="T20277" i="14"/>
  <c r="E20277" i="14"/>
  <c r="AH20276" i="14"/>
  <c r="T20276" i="14"/>
  <c r="E20276" i="14"/>
  <c r="AH20275" i="14"/>
  <c r="T20275" i="14"/>
  <c r="E20275" i="14"/>
  <c r="AH20274" i="14"/>
  <c r="T20274" i="14"/>
  <c r="E20274" i="14"/>
  <c r="AH20273" i="14"/>
  <c r="T20273" i="14"/>
  <c r="E20273" i="14"/>
  <c r="AH20272" i="14"/>
  <c r="T20272" i="14"/>
  <c r="E20272" i="14"/>
  <c r="AH20271" i="14"/>
  <c r="T20271" i="14"/>
  <c r="E20271" i="14"/>
  <c r="AH20270" i="14"/>
  <c r="V20270" i="14"/>
  <c r="T20270" i="14"/>
  <c r="Q20270" i="14"/>
  <c r="O20270" i="14"/>
  <c r="E20270" i="14"/>
  <c r="AH20269" i="14"/>
  <c r="V20269" i="14"/>
  <c r="T20269" i="14"/>
  <c r="Q20269" i="14"/>
  <c r="P20269" i="14"/>
  <c r="O20269" i="14"/>
  <c r="E20269" i="14"/>
  <c r="AH20268" i="14"/>
  <c r="V20268" i="14"/>
  <c r="T20268" i="14"/>
  <c r="Q20268" i="14"/>
  <c r="P20268" i="14"/>
  <c r="O20268" i="14"/>
  <c r="E20268" i="14"/>
  <c r="AH20267" i="14"/>
  <c r="V20267" i="14"/>
  <c r="T20267" i="14"/>
  <c r="Q20267" i="14"/>
  <c r="O20267" i="14"/>
  <c r="E20267" i="14"/>
  <c r="AH20266" i="14"/>
  <c r="T20266" i="14"/>
  <c r="Q20266" i="14"/>
  <c r="O20266" i="14"/>
  <c r="E20266" i="14"/>
  <c r="AH20265" i="14"/>
  <c r="V20265" i="14"/>
  <c r="T20265" i="14"/>
  <c r="Q20265" i="14"/>
  <c r="E20265" i="14"/>
  <c r="AH20264" i="14"/>
  <c r="V20264" i="14"/>
  <c r="Q20264" i="14"/>
  <c r="P20264" i="14"/>
  <c r="O20264" i="14"/>
  <c r="E20264" i="14"/>
  <c r="AH20263" i="14"/>
  <c r="V20263" i="14"/>
  <c r="T20263" i="14"/>
  <c r="Q20263" i="14"/>
  <c r="E20263" i="14"/>
  <c r="AH20262" i="14"/>
  <c r="T20262" i="14"/>
  <c r="Q20262" i="14"/>
  <c r="P20262" i="14"/>
  <c r="E20262" i="14"/>
  <c r="AH20261" i="14"/>
  <c r="T20261" i="14"/>
  <c r="Q20261" i="14"/>
  <c r="E20261" i="14"/>
  <c r="AH20260" i="14"/>
  <c r="V20260" i="14"/>
  <c r="T20260" i="14"/>
  <c r="Q20260" i="14"/>
  <c r="P20260" i="14"/>
  <c r="E20260" i="14"/>
  <c r="AH20259" i="14"/>
  <c r="T20259" i="14"/>
  <c r="Q20259" i="14"/>
  <c r="E20259" i="14"/>
  <c r="AH20258" i="14"/>
  <c r="V20258" i="14"/>
  <c r="T20258" i="14"/>
  <c r="Q20258" i="14"/>
  <c r="E20258" i="14"/>
  <c r="AH20257" i="14"/>
  <c r="T20257" i="14"/>
  <c r="Q20257" i="14"/>
  <c r="P20257" i="14"/>
  <c r="E20257" i="14"/>
  <c r="AH20256" i="14"/>
  <c r="V20256" i="14"/>
  <c r="T20256" i="14"/>
  <c r="Q20256" i="14"/>
  <c r="E20256" i="14"/>
  <c r="AH20255" i="14"/>
  <c r="V20255" i="14"/>
  <c r="T20255" i="14"/>
  <c r="Q20255" i="14"/>
  <c r="E20255" i="14"/>
  <c r="AH20254" i="14"/>
  <c r="Q20254" i="14"/>
  <c r="E20254" i="14"/>
  <c r="AH20253" i="14"/>
  <c r="V20253" i="14"/>
  <c r="T20253" i="14"/>
  <c r="Q20253" i="14"/>
  <c r="E20253" i="14"/>
  <c r="AH20252" i="14"/>
  <c r="Q20252" i="14"/>
  <c r="E20252" i="14"/>
  <c r="AH20251" i="14"/>
  <c r="V20251" i="14"/>
  <c r="Q20251" i="14"/>
  <c r="E20251" i="14"/>
  <c r="AH20250" i="14"/>
  <c r="V20250" i="14"/>
  <c r="T20250" i="14"/>
  <c r="Q20250" i="14"/>
  <c r="E20250" i="14"/>
  <c r="AH20249" i="14"/>
  <c r="E20249" i="14"/>
  <c r="AH20248" i="14"/>
  <c r="V20248" i="14"/>
  <c r="T20248" i="14"/>
  <c r="Q20248" i="14"/>
  <c r="E20248" i="14"/>
  <c r="AH20247" i="14"/>
  <c r="V20247" i="14"/>
  <c r="Q20247" i="14"/>
  <c r="E20247" i="14"/>
  <c r="AH20246" i="14"/>
  <c r="T20246" i="14"/>
  <c r="Q20246" i="14"/>
  <c r="P20246" i="14"/>
  <c r="O20246" i="14"/>
  <c r="E20246" i="14"/>
  <c r="AH20245" i="14"/>
  <c r="T20245" i="14"/>
  <c r="Q20245" i="14"/>
  <c r="P20245" i="14"/>
  <c r="O20245" i="14"/>
  <c r="E20245" i="14"/>
  <c r="AH20244" i="14"/>
  <c r="V20244" i="14"/>
  <c r="T20244" i="14"/>
  <c r="Q20244" i="14"/>
  <c r="P20244" i="14"/>
  <c r="O20244" i="14"/>
  <c r="E20244" i="14"/>
  <c r="AH20243" i="14"/>
  <c r="U20243" i="14"/>
  <c r="T20243" i="14"/>
  <c r="Q20243" i="14"/>
  <c r="P20243" i="14"/>
  <c r="O20243" i="14"/>
  <c r="E20243" i="14"/>
  <c r="AH20242" i="14"/>
  <c r="Q20242" i="14"/>
  <c r="P20242" i="14"/>
  <c r="E20242" i="14"/>
  <c r="AH20241" i="14"/>
  <c r="U20241" i="14"/>
  <c r="Q20241" i="14"/>
  <c r="P20241" i="14"/>
  <c r="E20241" i="14"/>
  <c r="AH20240" i="14"/>
  <c r="T20240" i="14"/>
  <c r="Q20240" i="14"/>
  <c r="P20240" i="14"/>
  <c r="O20240" i="14"/>
  <c r="E20240" i="14"/>
  <c r="AH20239" i="14"/>
  <c r="V20239" i="14"/>
  <c r="T20239" i="14"/>
  <c r="Q20239" i="14"/>
  <c r="P20239" i="14"/>
  <c r="E20239" i="14"/>
  <c r="AH20238" i="14"/>
  <c r="V20238" i="14"/>
  <c r="T20238" i="14"/>
  <c r="Q20238" i="14"/>
  <c r="P20238" i="14"/>
  <c r="E20238" i="14"/>
  <c r="AH20237" i="14"/>
  <c r="V20237" i="14"/>
  <c r="T20237" i="14"/>
  <c r="Q20237" i="14"/>
  <c r="P20237" i="14"/>
  <c r="E20237" i="14"/>
  <c r="AH20236" i="14"/>
  <c r="AE20236" i="14"/>
  <c r="Q20236" i="14"/>
  <c r="E20236" i="14"/>
  <c r="AH20235" i="14"/>
  <c r="T20235" i="14"/>
  <c r="Q20235" i="14"/>
  <c r="E20235" i="14"/>
  <c r="AH20234" i="14"/>
  <c r="Q20234" i="14"/>
  <c r="P20234" i="14"/>
  <c r="O20234" i="14"/>
  <c r="L20234" i="14"/>
  <c r="E20234" i="14"/>
  <c r="AH20233" i="14"/>
  <c r="T20233" i="14"/>
  <c r="Q20233" i="14"/>
  <c r="E20233" i="14"/>
  <c r="AH20232" i="14"/>
  <c r="V20232" i="14"/>
  <c r="Q20232" i="14"/>
  <c r="P20232" i="14"/>
  <c r="E20232" i="14"/>
  <c r="AH20231" i="14"/>
  <c r="AG20231" i="14"/>
  <c r="AF20231" i="14"/>
  <c r="AE20231" i="14"/>
  <c r="W20231" i="14"/>
  <c r="V20231" i="14"/>
  <c r="U20231" i="14"/>
  <c r="T20231" i="14"/>
  <c r="Q20231" i="14"/>
  <c r="P20231" i="14"/>
  <c r="O20231" i="14"/>
  <c r="L20231" i="14"/>
  <c r="K20231" i="14"/>
  <c r="I20231" i="14"/>
  <c r="E20231" i="14"/>
  <c r="AH20230" i="14"/>
  <c r="W20230" i="14"/>
  <c r="V20230" i="14"/>
  <c r="U20230" i="14"/>
  <c r="T20230" i="14"/>
  <c r="Q20230" i="14"/>
  <c r="P20230" i="14"/>
  <c r="E20230" i="14"/>
  <c r="AH20229" i="14"/>
  <c r="T20229" i="14"/>
  <c r="E20229" i="14"/>
  <c r="AH20228" i="14"/>
  <c r="T20228" i="14"/>
  <c r="E20228" i="14"/>
  <c r="AH20227" i="14"/>
  <c r="V20227" i="14"/>
  <c r="T20227" i="14"/>
  <c r="Q20227" i="14"/>
  <c r="P20227" i="14"/>
  <c r="E20227" i="14"/>
  <c r="AH20226" i="14"/>
  <c r="V20226" i="14"/>
  <c r="T20226" i="14"/>
  <c r="Q20226" i="14"/>
  <c r="E20226" i="14"/>
  <c r="AH20225" i="14"/>
  <c r="T20225" i="14"/>
  <c r="E20225" i="14"/>
  <c r="AH20224" i="14"/>
  <c r="T20224" i="14"/>
  <c r="Q20224" i="14"/>
  <c r="E20224" i="14"/>
  <c r="AH20223" i="14"/>
  <c r="T20223" i="14"/>
  <c r="Q20223" i="14"/>
  <c r="E20223" i="14"/>
  <c r="AH20222" i="14"/>
  <c r="V20222" i="14"/>
  <c r="T20222" i="14"/>
  <c r="Q20222" i="14"/>
  <c r="P20222" i="14"/>
  <c r="E20222" i="14"/>
  <c r="AH20221" i="14"/>
  <c r="V20221" i="14"/>
  <c r="T20221" i="14"/>
  <c r="Q20221" i="14"/>
  <c r="E20221" i="14"/>
  <c r="AH20220" i="14"/>
  <c r="V20220" i="14"/>
  <c r="Q20220" i="14"/>
  <c r="E20220" i="14"/>
  <c r="AH20219" i="14"/>
  <c r="V20219" i="14"/>
  <c r="T20219" i="14"/>
  <c r="Q20219" i="14"/>
  <c r="P20219" i="14"/>
  <c r="O20219" i="14"/>
  <c r="E20219" i="14"/>
  <c r="AH20218" i="14"/>
  <c r="T20218" i="14"/>
  <c r="Q20218" i="14"/>
  <c r="O20218" i="14"/>
  <c r="E20218" i="14"/>
  <c r="AH20217" i="14"/>
  <c r="T20217" i="14"/>
  <c r="Q20217" i="14"/>
  <c r="E20217" i="14"/>
  <c r="AH20216" i="14"/>
  <c r="T20216" i="14"/>
  <c r="E20216" i="14"/>
  <c r="AH20215" i="14"/>
  <c r="V20215" i="14"/>
  <c r="T20215" i="14"/>
  <c r="Q20215" i="14"/>
  <c r="E20215" i="14"/>
  <c r="AH20214" i="14"/>
  <c r="T20214" i="14"/>
  <c r="Q20214" i="14"/>
  <c r="O20214" i="14"/>
  <c r="E20214" i="14"/>
  <c r="AH20213" i="14"/>
  <c r="T20213" i="14"/>
  <c r="Q20213" i="14"/>
  <c r="P20213" i="14"/>
  <c r="O20213" i="14"/>
  <c r="L20213" i="14"/>
  <c r="E20213" i="14"/>
  <c r="AH20212" i="14"/>
  <c r="V20212" i="14"/>
  <c r="T20212" i="14"/>
  <c r="Q20212" i="14"/>
  <c r="P20212" i="14"/>
  <c r="O20212" i="14"/>
  <c r="E20212" i="14"/>
  <c r="AH20211" i="14"/>
  <c r="V20211" i="14"/>
  <c r="T20211" i="14"/>
  <c r="Q20211" i="14"/>
  <c r="P20211" i="14"/>
  <c r="O20211" i="14"/>
  <c r="E20211" i="14"/>
  <c r="AH20210" i="14"/>
  <c r="V20210" i="14"/>
  <c r="U20210" i="14"/>
  <c r="T20210" i="14"/>
  <c r="Q20210" i="14"/>
  <c r="P20210" i="14"/>
  <c r="O20210" i="14"/>
  <c r="E20210" i="14"/>
  <c r="AH20209" i="14"/>
  <c r="T20209" i="14"/>
  <c r="Q20209" i="14"/>
  <c r="P20209" i="14"/>
  <c r="O20209" i="14"/>
  <c r="E20209" i="14"/>
  <c r="AH20208" i="14"/>
  <c r="V20208" i="14"/>
  <c r="T20208" i="14"/>
  <c r="Q20208" i="14"/>
  <c r="P20208" i="14"/>
  <c r="O20208" i="14"/>
  <c r="E20208" i="14"/>
  <c r="AH20207" i="14"/>
  <c r="W20207" i="14"/>
  <c r="V20207" i="14"/>
  <c r="T20207" i="14"/>
  <c r="Q20207" i="14"/>
  <c r="P20207" i="14"/>
  <c r="O20207" i="14"/>
  <c r="L20207" i="14"/>
  <c r="E20207" i="14"/>
  <c r="AH20206" i="14"/>
  <c r="V20206" i="14"/>
  <c r="U20206" i="14"/>
  <c r="T20206" i="14"/>
  <c r="Q20206" i="14"/>
  <c r="E20206" i="14"/>
  <c r="AH20205" i="14"/>
  <c r="T20205" i="14"/>
  <c r="Q20205" i="14"/>
  <c r="O20205" i="14"/>
  <c r="E20205" i="14"/>
  <c r="AH20204" i="14"/>
  <c r="V20204" i="14"/>
  <c r="T20204" i="14"/>
  <c r="Q20204" i="14"/>
  <c r="P20204" i="14"/>
  <c r="O20204" i="14"/>
  <c r="E20204" i="14"/>
  <c r="AH20203" i="14"/>
  <c r="V20203" i="14"/>
  <c r="T20203" i="14"/>
  <c r="Q20203" i="14"/>
  <c r="E20203" i="14"/>
  <c r="AH20202" i="14"/>
  <c r="V20202" i="14"/>
  <c r="T20202" i="14"/>
  <c r="Q20202" i="14"/>
  <c r="P20202" i="14"/>
  <c r="O20202" i="14"/>
  <c r="E20202" i="14"/>
  <c r="AH20201" i="14"/>
  <c r="V20201" i="14"/>
  <c r="T20201" i="14"/>
  <c r="Q20201" i="14"/>
  <c r="E20201" i="14"/>
  <c r="AH20200" i="14"/>
  <c r="AG20200" i="14"/>
  <c r="AF20200" i="14"/>
  <c r="AE20200" i="14"/>
  <c r="V20200" i="14"/>
  <c r="U20200" i="14"/>
  <c r="T20200" i="14"/>
  <c r="Q20200" i="14"/>
  <c r="P20200" i="14"/>
  <c r="M20200" i="14"/>
  <c r="K20200" i="14"/>
  <c r="E20200" i="14"/>
  <c r="AH20199" i="14"/>
  <c r="AG20199" i="14"/>
  <c r="AF20199" i="14"/>
  <c r="AE20199" i="14"/>
  <c r="V20199" i="14"/>
  <c r="U20199" i="14"/>
  <c r="T20199" i="14"/>
  <c r="Q20199" i="14"/>
  <c r="P20199" i="14"/>
  <c r="O20199" i="14"/>
  <c r="L20199" i="14"/>
  <c r="K20199" i="14"/>
  <c r="E20199" i="14"/>
  <c r="AH20198" i="14"/>
  <c r="T20198" i="14"/>
  <c r="Q20198" i="14"/>
  <c r="E20198" i="14"/>
  <c r="AH20197" i="14"/>
  <c r="T20197" i="14"/>
  <c r="Q20197" i="14"/>
  <c r="E20197" i="14"/>
  <c r="AH20196" i="14"/>
  <c r="T20196" i="14"/>
  <c r="Q20196" i="14"/>
  <c r="E20196" i="14"/>
  <c r="AH20195" i="14"/>
  <c r="T20195" i="14"/>
  <c r="Q20195" i="14"/>
  <c r="E20195" i="14"/>
  <c r="AH20194" i="14"/>
  <c r="V20194" i="14"/>
  <c r="T20194" i="14"/>
  <c r="Q20194" i="14"/>
  <c r="E20194" i="14"/>
  <c r="AH20193" i="14"/>
  <c r="T20193" i="14"/>
  <c r="Q20193" i="14"/>
  <c r="E20193" i="14"/>
  <c r="AH20192" i="14"/>
  <c r="Q20192" i="14"/>
  <c r="E20192" i="14"/>
  <c r="AH20191" i="14"/>
  <c r="V20191" i="14"/>
  <c r="T20191" i="14"/>
  <c r="Q20191" i="14"/>
  <c r="E20191" i="14"/>
  <c r="AH20190" i="14"/>
  <c r="W20190" i="14"/>
  <c r="V20190" i="14"/>
  <c r="Q20190" i="14"/>
  <c r="E20190" i="14"/>
  <c r="AH20189" i="14"/>
  <c r="V20189" i="14"/>
  <c r="T20189" i="14"/>
  <c r="Q20189" i="14"/>
  <c r="E20189" i="14"/>
  <c r="AH20188" i="14"/>
  <c r="T20188" i="14"/>
  <c r="E20188" i="14"/>
  <c r="AH20187" i="14"/>
  <c r="W20187" i="14"/>
  <c r="V20187" i="14"/>
  <c r="U20187" i="14"/>
  <c r="T20187" i="14"/>
  <c r="Q20187" i="14"/>
  <c r="E20187" i="14"/>
  <c r="AH20186" i="14"/>
  <c r="V20186" i="14"/>
  <c r="T20186" i="14"/>
  <c r="Q20186" i="14"/>
  <c r="E20186" i="14"/>
  <c r="AH20185" i="14"/>
  <c r="V20185" i="14"/>
  <c r="U20185" i="14"/>
  <c r="T20185" i="14"/>
  <c r="Q20185" i="14"/>
  <c r="E20185" i="14"/>
  <c r="AH20184" i="14"/>
  <c r="V20184" i="14"/>
  <c r="Q20184" i="14"/>
  <c r="E20184" i="14"/>
  <c r="AH20183" i="14"/>
  <c r="W20183" i="14"/>
  <c r="V20183" i="14"/>
  <c r="T20183" i="14"/>
  <c r="Q20183" i="14"/>
  <c r="E20183" i="14"/>
  <c r="AH20182" i="14"/>
  <c r="T20182" i="14"/>
  <c r="Q20182" i="14"/>
  <c r="E20182" i="14"/>
  <c r="AH20181" i="14"/>
  <c r="V20181" i="14"/>
  <c r="T20181" i="14"/>
  <c r="Q20181" i="14"/>
  <c r="O20181" i="14"/>
  <c r="E20181" i="14"/>
  <c r="AH20180" i="14"/>
  <c r="AG20180" i="14"/>
  <c r="AF20180" i="14"/>
  <c r="AE20180" i="14"/>
  <c r="W20180" i="14"/>
  <c r="V20180" i="14"/>
  <c r="U20180" i="14"/>
  <c r="T20180" i="14"/>
  <c r="Q20180" i="14"/>
  <c r="P20180" i="14"/>
  <c r="O20180" i="14"/>
  <c r="M20180" i="14"/>
  <c r="L20180" i="14"/>
  <c r="K20180" i="14"/>
  <c r="I20180" i="14"/>
  <c r="E20180" i="14"/>
  <c r="AH20179" i="14"/>
  <c r="E20179" i="14"/>
  <c r="AH20178" i="14"/>
  <c r="Q20178" i="14"/>
  <c r="O20178" i="14"/>
  <c r="E20178" i="14"/>
  <c r="AH20177" i="14"/>
  <c r="U20177" i="14"/>
  <c r="Q20177" i="14"/>
  <c r="P20177" i="14"/>
  <c r="O20177" i="14"/>
  <c r="E20177" i="14"/>
  <c r="AH20176" i="14"/>
  <c r="T20176" i="14"/>
  <c r="Q20176" i="14"/>
  <c r="P20176" i="14"/>
  <c r="O20176" i="14"/>
  <c r="E20176" i="14"/>
  <c r="AH20175" i="14"/>
  <c r="V20175" i="14"/>
  <c r="U20175" i="14"/>
  <c r="T20175" i="14"/>
  <c r="Q20175" i="14"/>
  <c r="E20175" i="14"/>
  <c r="AH20174" i="14"/>
  <c r="T20174" i="14"/>
  <c r="Q20174" i="14"/>
  <c r="E20174" i="14"/>
  <c r="AL20173" i="14"/>
  <c r="AH20173" i="14"/>
  <c r="T20173" i="14"/>
  <c r="Q20173" i="14"/>
  <c r="E20173" i="14"/>
  <c r="AH20172" i="14"/>
  <c r="W20172" i="14"/>
  <c r="V20172" i="14"/>
  <c r="U20172" i="14"/>
  <c r="T20172" i="14"/>
  <c r="Q20172" i="14"/>
  <c r="P20172" i="14"/>
  <c r="O20172" i="14"/>
  <c r="M20172" i="14"/>
  <c r="E20172" i="14"/>
  <c r="AL20171" i="14"/>
  <c r="AH20171" i="14"/>
  <c r="T20171" i="14"/>
  <c r="Q20171" i="14"/>
  <c r="E20171" i="14"/>
  <c r="AH20170" i="14"/>
  <c r="V20170" i="14"/>
  <c r="U20170" i="14"/>
  <c r="T20170" i="14"/>
  <c r="Q20170" i="14"/>
  <c r="E20170" i="14"/>
  <c r="AH20169" i="14"/>
  <c r="V20169" i="14"/>
  <c r="T20169" i="14"/>
  <c r="Q20169" i="14"/>
  <c r="P20169" i="14"/>
  <c r="E20169" i="14"/>
  <c r="AH20168" i="14"/>
  <c r="W20168" i="14"/>
  <c r="V20168" i="14"/>
  <c r="T20168" i="14"/>
  <c r="Q20168" i="14"/>
  <c r="O20168" i="14"/>
  <c r="E20168" i="14"/>
  <c r="AH20167" i="14"/>
  <c r="T20167" i="14"/>
  <c r="Q20167" i="14"/>
  <c r="E20167" i="14"/>
  <c r="AH20166" i="14"/>
  <c r="T20166" i="14"/>
  <c r="Q20166" i="14"/>
  <c r="E20166" i="14"/>
  <c r="AH20165" i="14"/>
  <c r="T20165" i="14"/>
  <c r="Q20165" i="14"/>
  <c r="O20165" i="14"/>
  <c r="E20165" i="14"/>
  <c r="AH20164" i="14"/>
  <c r="Q20164" i="14"/>
  <c r="E20164" i="14"/>
  <c r="AH20163" i="14"/>
  <c r="V20163" i="14"/>
  <c r="T20163" i="14"/>
  <c r="Q20163" i="14"/>
  <c r="P20163" i="14"/>
  <c r="E20163" i="14"/>
  <c r="AH20162" i="14"/>
  <c r="U20162" i="14"/>
  <c r="T20162" i="14"/>
  <c r="Q20162" i="14"/>
  <c r="O20162" i="14"/>
  <c r="E20162" i="14"/>
  <c r="AH20161" i="14"/>
  <c r="V20161" i="14"/>
  <c r="T20161" i="14"/>
  <c r="Q20161" i="14"/>
  <c r="E20161" i="14"/>
  <c r="AH20160" i="14"/>
  <c r="T20160" i="14"/>
  <c r="Q20160" i="14"/>
  <c r="E20160" i="14"/>
  <c r="AH20159" i="14"/>
  <c r="V20159" i="14"/>
  <c r="T20159" i="14"/>
  <c r="Q20159" i="14"/>
  <c r="E20159" i="14"/>
  <c r="AH20158" i="14"/>
  <c r="V20158" i="14"/>
  <c r="Q20158" i="14"/>
  <c r="P20158" i="14"/>
  <c r="O20158" i="14"/>
  <c r="E20158" i="14"/>
  <c r="AH20157" i="14"/>
  <c r="T20157" i="14"/>
  <c r="Q20157" i="14"/>
  <c r="E20157" i="14"/>
  <c r="AH20156" i="14"/>
  <c r="T20156" i="14"/>
  <c r="Q20156" i="14"/>
  <c r="E20156" i="14"/>
  <c r="AH20155" i="14"/>
  <c r="V20155" i="14"/>
  <c r="Q20155" i="14"/>
  <c r="O20155" i="14"/>
  <c r="M20155" i="14"/>
  <c r="E20155" i="14"/>
  <c r="AH20154" i="14"/>
  <c r="V20154" i="14"/>
  <c r="T20154" i="14"/>
  <c r="Q20154" i="14"/>
  <c r="P20154" i="14"/>
  <c r="O20154" i="14"/>
  <c r="E20154" i="14"/>
  <c r="AK20153" i="14"/>
  <c r="AH20153" i="14"/>
  <c r="V20153" i="14"/>
  <c r="T20153" i="14"/>
  <c r="Q20153" i="14"/>
  <c r="N20153" i="14"/>
  <c r="E20153" i="14"/>
  <c r="AH20152" i="14"/>
  <c r="Q20152" i="14"/>
  <c r="E20152" i="14"/>
  <c r="AH20151" i="14"/>
  <c r="Q20151" i="14"/>
  <c r="E20151" i="14"/>
  <c r="AH20150" i="14"/>
  <c r="T20150" i="14"/>
  <c r="E20150" i="14"/>
  <c r="AH20149" i="14"/>
  <c r="T20149" i="14"/>
  <c r="E20149" i="14"/>
  <c r="AH20148" i="14"/>
  <c r="AE20148" i="14"/>
  <c r="V20148" i="14"/>
  <c r="U20148" i="14"/>
  <c r="T20148" i="14"/>
  <c r="Q20148" i="14"/>
  <c r="P20148" i="14"/>
  <c r="E20148" i="14"/>
  <c r="AH20147" i="14"/>
  <c r="T20147" i="14"/>
  <c r="Q20147" i="14"/>
  <c r="P20147" i="14"/>
  <c r="E20147" i="14"/>
  <c r="AH20146" i="14"/>
  <c r="T20146" i="14"/>
  <c r="Q20146" i="14"/>
  <c r="E20146" i="14"/>
  <c r="AH20145" i="14"/>
  <c r="V20145" i="14"/>
  <c r="T20145" i="14"/>
  <c r="Q20145" i="14"/>
  <c r="P20145" i="14"/>
  <c r="E20145" i="14"/>
  <c r="AH20144" i="14"/>
  <c r="T20144" i="14"/>
  <c r="Q20144" i="14"/>
  <c r="P20144" i="14"/>
  <c r="E20144" i="14"/>
  <c r="AH20143" i="14"/>
  <c r="W20143" i="14"/>
  <c r="V20143" i="14"/>
  <c r="U20143" i="14"/>
  <c r="T20143" i="14"/>
  <c r="Q20143" i="14"/>
  <c r="E20143" i="14"/>
  <c r="AH20142" i="14"/>
  <c r="V20142" i="14"/>
  <c r="U20142" i="14"/>
  <c r="T20142" i="14"/>
  <c r="Q20142" i="14"/>
  <c r="E20142" i="14"/>
  <c r="AH20141" i="14"/>
  <c r="AE20141" i="14"/>
  <c r="T20141" i="14"/>
  <c r="Q20141" i="14"/>
  <c r="L20141" i="14"/>
  <c r="E20141" i="14"/>
  <c r="AH20140" i="14"/>
  <c r="T20140" i="14"/>
  <c r="Q20140" i="14"/>
  <c r="E20140" i="14"/>
  <c r="AH20139" i="14"/>
  <c r="U20139" i="14"/>
  <c r="T20139" i="14"/>
  <c r="Q20139" i="14"/>
  <c r="E20139" i="14"/>
  <c r="AH20138" i="14"/>
  <c r="Q20138" i="14"/>
  <c r="E20138" i="14"/>
  <c r="AH20137" i="14"/>
  <c r="W20137" i="14"/>
  <c r="V20137" i="14"/>
  <c r="U20137" i="14"/>
  <c r="T20137" i="14"/>
  <c r="Q20137" i="14"/>
  <c r="P20137" i="14"/>
  <c r="O20137" i="14"/>
  <c r="M20137" i="14"/>
  <c r="L20137" i="14"/>
  <c r="E20137" i="14"/>
  <c r="AH20136" i="14"/>
  <c r="V20136" i="14"/>
  <c r="T20136" i="14"/>
  <c r="Q20136" i="14"/>
  <c r="E20136" i="14"/>
  <c r="AH20135" i="14"/>
  <c r="T20135" i="14"/>
  <c r="Q20135" i="14"/>
  <c r="O20135" i="14"/>
  <c r="E20135" i="14"/>
  <c r="AH20134" i="14"/>
  <c r="T20134" i="14"/>
  <c r="Q20134" i="14"/>
  <c r="O20134" i="14"/>
  <c r="E20134" i="14"/>
  <c r="AH20133" i="14"/>
  <c r="AG20133" i="14"/>
  <c r="AE20133" i="14"/>
  <c r="W20133" i="14"/>
  <c r="V20133" i="14"/>
  <c r="T20133" i="14"/>
  <c r="Q20133" i="14"/>
  <c r="P20133" i="14"/>
  <c r="L20133" i="14"/>
  <c r="K20133" i="14"/>
  <c r="I20133" i="14"/>
  <c r="G20133" i="14"/>
  <c r="E20133" i="14"/>
  <c r="AH20132" i="14"/>
  <c r="W20132" i="14"/>
  <c r="V20132" i="14"/>
  <c r="T20132" i="14"/>
  <c r="Q20132" i="14"/>
  <c r="E20132" i="14"/>
  <c r="AH20131" i="14"/>
  <c r="V20131" i="14"/>
  <c r="U20131" i="14"/>
  <c r="T20131" i="14"/>
  <c r="Q20131" i="14"/>
  <c r="E20131" i="14"/>
  <c r="AH20130" i="14"/>
  <c r="V20130" i="14"/>
  <c r="T20130" i="14"/>
  <c r="Q20130" i="14"/>
  <c r="E20130" i="14"/>
  <c r="AH20129" i="14"/>
  <c r="W20129" i="14"/>
  <c r="V20129" i="14"/>
  <c r="U20129" i="14"/>
  <c r="T20129" i="14"/>
  <c r="Q20129" i="14"/>
  <c r="E20129" i="14"/>
  <c r="AH20128" i="14"/>
  <c r="W20128" i="14"/>
  <c r="V20128" i="14"/>
  <c r="U20128" i="14"/>
  <c r="T20128" i="14"/>
  <c r="Q20128" i="14"/>
  <c r="M20128" i="14"/>
  <c r="E20128" i="14"/>
  <c r="AH20127" i="14"/>
  <c r="V20127" i="14"/>
  <c r="T20127" i="14"/>
  <c r="Q20127" i="14"/>
  <c r="E20127" i="14"/>
  <c r="AH20126" i="14"/>
  <c r="Q20126" i="14"/>
  <c r="E20126" i="14"/>
  <c r="AH20125" i="14"/>
  <c r="W20125" i="14"/>
  <c r="V20125" i="14"/>
  <c r="Q20125" i="14"/>
  <c r="E20125" i="14"/>
  <c r="AH20124" i="14"/>
  <c r="AG20124" i="14"/>
  <c r="AF20124" i="14"/>
  <c r="AE20124" i="14"/>
  <c r="W20124" i="14"/>
  <c r="V20124" i="14"/>
  <c r="U20124" i="14"/>
  <c r="T20124" i="14"/>
  <c r="Q20124" i="14"/>
  <c r="P20124" i="14"/>
  <c r="O20124" i="14"/>
  <c r="L20124" i="14"/>
  <c r="K20124" i="14"/>
  <c r="I20124" i="14"/>
  <c r="E20124" i="14"/>
  <c r="AH20123" i="14"/>
  <c r="T20123" i="14"/>
  <c r="Q20123" i="14"/>
  <c r="E20123" i="14"/>
  <c r="AH20122" i="14"/>
  <c r="T20122" i="14"/>
  <c r="E20122" i="14"/>
  <c r="AH20121" i="14"/>
  <c r="V20121" i="14"/>
  <c r="T20121" i="14"/>
  <c r="Q20121" i="14"/>
  <c r="E20121" i="14"/>
  <c r="AH20120" i="14"/>
  <c r="U20120" i="14"/>
  <c r="T20120" i="14"/>
  <c r="Q20120" i="14"/>
  <c r="E20120" i="14"/>
  <c r="AH20119" i="14"/>
  <c r="U20119" i="14"/>
  <c r="T20119" i="14"/>
  <c r="Q20119" i="14"/>
  <c r="E20119" i="14"/>
  <c r="AH20118" i="14"/>
  <c r="V20118" i="14"/>
  <c r="Q20118" i="14"/>
  <c r="E20118" i="14"/>
  <c r="AH20117" i="14"/>
  <c r="U20117" i="14"/>
  <c r="T20117" i="14"/>
  <c r="Q20117" i="14"/>
  <c r="E20117" i="14"/>
  <c r="AH20116" i="14"/>
  <c r="T20116" i="14"/>
  <c r="Q20116" i="14"/>
  <c r="E20116" i="14"/>
  <c r="AH20115" i="14"/>
  <c r="W20115" i="14"/>
  <c r="V20115" i="14"/>
  <c r="Q20115" i="14"/>
  <c r="M20115" i="14"/>
  <c r="E20115" i="14"/>
  <c r="AH20114" i="14"/>
  <c r="W20114" i="14"/>
  <c r="V20114" i="14"/>
  <c r="U20114" i="14"/>
  <c r="T20114" i="14"/>
  <c r="Q20114" i="14"/>
  <c r="P20114" i="14"/>
  <c r="O20114" i="14"/>
  <c r="E20114" i="14"/>
  <c r="AH20113" i="14"/>
  <c r="V20113" i="14"/>
  <c r="T20113" i="14"/>
  <c r="Q20113" i="14"/>
  <c r="P20113" i="14"/>
  <c r="M20113" i="14"/>
  <c r="G20113" i="14"/>
  <c r="E20113" i="14"/>
  <c r="AK20112" i="14"/>
  <c r="AH20112" i="14"/>
  <c r="V20112" i="14"/>
  <c r="T20112" i="14"/>
  <c r="Q20112" i="14"/>
  <c r="P20112" i="14"/>
  <c r="N20112" i="14"/>
  <c r="E20112" i="14"/>
  <c r="AH20111" i="14"/>
  <c r="T20111" i="14"/>
  <c r="Q20111" i="14"/>
  <c r="P20111" i="14"/>
  <c r="E20111" i="14"/>
  <c r="AH20110" i="14"/>
  <c r="V20110" i="14"/>
  <c r="T20110" i="14"/>
  <c r="Q20110" i="14"/>
  <c r="E20110" i="14"/>
  <c r="AH20109" i="14"/>
  <c r="Q20109" i="14"/>
  <c r="O20109" i="14"/>
  <c r="E20109" i="14"/>
  <c r="AH20108" i="14"/>
  <c r="T20108" i="14"/>
  <c r="Q20108" i="14"/>
  <c r="O20108" i="14"/>
  <c r="E20108" i="14"/>
  <c r="AH20107" i="14"/>
  <c r="AF20107" i="14"/>
  <c r="AE20107" i="14"/>
  <c r="U20107" i="14"/>
  <c r="T20107" i="14"/>
  <c r="Q20107" i="14"/>
  <c r="P20107" i="14"/>
  <c r="L20107" i="14"/>
  <c r="K20107" i="14"/>
  <c r="I20107" i="14"/>
  <c r="E20107" i="14"/>
  <c r="AH20106" i="14"/>
  <c r="T20106" i="14"/>
  <c r="Q20106" i="14"/>
  <c r="E20106" i="14"/>
  <c r="AK20105" i="14"/>
  <c r="AH20105" i="14"/>
  <c r="V20105" i="14"/>
  <c r="T20105" i="14"/>
  <c r="Q20105" i="14"/>
  <c r="P20105" i="14"/>
  <c r="O20105" i="14"/>
  <c r="N20105" i="14"/>
  <c r="E20105" i="14"/>
  <c r="AH20104" i="14"/>
  <c r="W20104" i="14"/>
  <c r="V20104" i="14"/>
  <c r="Q20104" i="14"/>
  <c r="O20104" i="14"/>
  <c r="L20104" i="14"/>
  <c r="E20104" i="14"/>
  <c r="AH20103" i="14"/>
  <c r="V20103" i="14"/>
  <c r="Q20103" i="14"/>
  <c r="E20103" i="14"/>
  <c r="AH20102" i="14"/>
  <c r="T20102" i="14"/>
  <c r="Q20102" i="14"/>
  <c r="E20102" i="14"/>
  <c r="AH20101" i="14"/>
  <c r="V20101" i="14"/>
  <c r="Q20101" i="14"/>
  <c r="E20101" i="14"/>
  <c r="AH20100" i="14"/>
  <c r="T20100" i="14"/>
  <c r="Q20100" i="14"/>
  <c r="E20100" i="14"/>
  <c r="AH20099" i="14"/>
  <c r="T20099" i="14"/>
  <c r="Q20099" i="14"/>
  <c r="E20099" i="14"/>
  <c r="AH20098" i="14"/>
  <c r="T20098" i="14"/>
  <c r="Q20098" i="14"/>
  <c r="P20098" i="14"/>
  <c r="E20098" i="14"/>
  <c r="AH20097" i="14"/>
  <c r="T20097" i="14"/>
  <c r="Q20097" i="14"/>
  <c r="P20097" i="14"/>
  <c r="E20097" i="14"/>
  <c r="AH20096" i="14"/>
  <c r="T20096" i="14"/>
  <c r="Q20096" i="14"/>
  <c r="P20096" i="14"/>
  <c r="E20096" i="14"/>
  <c r="AH20095" i="14"/>
  <c r="T20095" i="14"/>
  <c r="Q20095" i="14"/>
  <c r="P20095" i="14"/>
  <c r="E20095" i="14"/>
  <c r="AH20094" i="14"/>
  <c r="U20094" i="14"/>
  <c r="T20094" i="14"/>
  <c r="Q20094" i="14"/>
  <c r="P20094" i="14"/>
  <c r="O20094" i="14"/>
  <c r="E20094" i="14"/>
  <c r="AH20093" i="14"/>
  <c r="T20093" i="14"/>
  <c r="Q20093" i="14"/>
  <c r="P20093" i="14"/>
  <c r="E20093" i="14"/>
  <c r="AH20092" i="14"/>
  <c r="T20092" i="14"/>
  <c r="Q20092" i="14"/>
  <c r="E20092" i="14"/>
  <c r="AH20091" i="14"/>
  <c r="T20091" i="14"/>
  <c r="Q20091" i="14"/>
  <c r="E20091" i="14"/>
  <c r="AH20090" i="14"/>
  <c r="T20090" i="14"/>
  <c r="Q20090" i="14"/>
  <c r="E20090" i="14"/>
  <c r="AH20089" i="14"/>
  <c r="V20089" i="14"/>
  <c r="T20089" i="14"/>
  <c r="Q20089" i="14"/>
  <c r="P20089" i="14"/>
  <c r="E20089" i="14"/>
  <c r="AH20088" i="14"/>
  <c r="W20088" i="14"/>
  <c r="V20088" i="14"/>
  <c r="U20088" i="14"/>
  <c r="T20088" i="14"/>
  <c r="Q20088" i="14"/>
  <c r="P20088" i="14"/>
  <c r="E20088" i="14"/>
  <c r="AH20087" i="14"/>
  <c r="V20087" i="14"/>
  <c r="T20087" i="14"/>
  <c r="Q20087" i="14"/>
  <c r="E20087" i="14"/>
  <c r="AH20086" i="14"/>
  <c r="V20086" i="14"/>
  <c r="T20086" i="14"/>
  <c r="Q20086" i="14"/>
  <c r="E20086" i="14"/>
  <c r="AH20085" i="14"/>
  <c r="W20085" i="14"/>
  <c r="V20085" i="14"/>
  <c r="T20085" i="14"/>
  <c r="Q20085" i="14"/>
  <c r="P20085" i="14"/>
  <c r="O20085" i="14"/>
  <c r="E20085" i="14"/>
  <c r="AH20084" i="14"/>
  <c r="T20084" i="14"/>
  <c r="Q20084" i="14"/>
  <c r="E20084" i="14"/>
  <c r="AH20083" i="14"/>
  <c r="V20083" i="14"/>
  <c r="T20083" i="14"/>
  <c r="Q20083" i="14"/>
  <c r="P20083" i="14"/>
  <c r="O20083" i="14"/>
  <c r="E20083" i="14"/>
  <c r="AH20082" i="14"/>
  <c r="V20082" i="14"/>
  <c r="U20082" i="14"/>
  <c r="T20082" i="14"/>
  <c r="Q20082" i="14"/>
  <c r="P20082" i="14"/>
  <c r="O20082" i="14"/>
  <c r="E20082" i="14"/>
  <c r="AH20081" i="14"/>
  <c r="V20081" i="14"/>
  <c r="T20081" i="14"/>
  <c r="Q20081" i="14"/>
  <c r="E20081" i="14"/>
  <c r="AH20080" i="14"/>
  <c r="W20080" i="14"/>
  <c r="V20080" i="14"/>
  <c r="U20080" i="14"/>
  <c r="T20080" i="14"/>
  <c r="Q20080" i="14"/>
  <c r="E20080" i="14"/>
  <c r="AH20079" i="14"/>
  <c r="V20079" i="14"/>
  <c r="T20079" i="14"/>
  <c r="Q20079" i="14"/>
  <c r="P20079" i="14"/>
  <c r="O20079" i="14"/>
  <c r="E20079" i="14"/>
  <c r="AH20078" i="14"/>
  <c r="W20078" i="14"/>
  <c r="V20078" i="14"/>
  <c r="T20078" i="14"/>
  <c r="Q20078" i="14"/>
  <c r="P20078" i="14"/>
  <c r="O20078" i="14"/>
  <c r="E20078" i="14"/>
  <c r="AH20077" i="14"/>
  <c r="T20077" i="14"/>
  <c r="Q20077" i="14"/>
  <c r="P20077" i="14"/>
  <c r="O20077" i="14"/>
  <c r="E20077" i="14"/>
  <c r="AH20076" i="14"/>
  <c r="V20076" i="14"/>
  <c r="Q20076" i="14"/>
  <c r="O20076" i="14"/>
  <c r="E20076" i="14"/>
  <c r="AH20075" i="14"/>
  <c r="V20075" i="14"/>
  <c r="T20075" i="14"/>
  <c r="Q20075" i="14"/>
  <c r="P20075" i="14"/>
  <c r="O20075" i="14"/>
  <c r="E20075" i="14"/>
  <c r="AH20074" i="14"/>
  <c r="V20074" i="14"/>
  <c r="T20074" i="14"/>
  <c r="Q20074" i="14"/>
  <c r="P20074" i="14"/>
  <c r="O20074" i="14"/>
  <c r="E20074" i="14"/>
  <c r="AH20073" i="14"/>
  <c r="W20073" i="14"/>
  <c r="V20073" i="14"/>
  <c r="U20073" i="14"/>
  <c r="T20073" i="14"/>
  <c r="Q20073" i="14"/>
  <c r="O20073" i="14"/>
  <c r="M20073" i="14"/>
  <c r="E20073" i="14"/>
  <c r="AH20072" i="14"/>
  <c r="T20072" i="14"/>
  <c r="Q20072" i="14"/>
  <c r="P20072" i="14"/>
  <c r="O20072" i="14"/>
  <c r="E20072" i="14"/>
  <c r="AH20071" i="14"/>
  <c r="V20071" i="14"/>
  <c r="Q20071" i="14"/>
  <c r="O20071" i="14"/>
  <c r="E20071" i="14"/>
  <c r="AH20070" i="14"/>
  <c r="U20070" i="14"/>
  <c r="T20070" i="14"/>
  <c r="Q20070" i="14"/>
  <c r="E20070" i="14"/>
  <c r="AH20069" i="14"/>
  <c r="T20069" i="14"/>
  <c r="Q20069" i="14"/>
  <c r="O20069" i="14"/>
  <c r="M20069" i="14"/>
  <c r="E20069" i="14"/>
  <c r="AH20068" i="14"/>
  <c r="Q20068" i="14"/>
  <c r="P20068" i="14"/>
  <c r="O20068" i="14"/>
  <c r="E20068" i="14"/>
  <c r="AH20067" i="14"/>
  <c r="T20067" i="14"/>
  <c r="Q20067" i="14"/>
  <c r="P20067" i="14"/>
  <c r="O20067" i="14"/>
  <c r="E20067" i="14"/>
  <c r="AH20066" i="14"/>
  <c r="W20066" i="14"/>
  <c r="V20066" i="14"/>
  <c r="U20066" i="14"/>
  <c r="T20066" i="14"/>
  <c r="Q20066" i="14"/>
  <c r="O20066" i="14"/>
  <c r="E20066" i="14"/>
  <c r="AH20065" i="14"/>
  <c r="V20065" i="14"/>
  <c r="T20065" i="14"/>
  <c r="Q20065" i="14"/>
  <c r="O20065" i="14"/>
  <c r="E20065" i="14"/>
  <c r="AH20064" i="14"/>
  <c r="V20064" i="14"/>
  <c r="Q20064" i="14"/>
  <c r="O20064" i="14"/>
  <c r="E20064" i="14"/>
  <c r="AH20063" i="14"/>
  <c r="T20063" i="14"/>
  <c r="Q20063" i="14"/>
  <c r="P20063" i="14"/>
  <c r="O20063" i="14"/>
  <c r="E20063" i="14"/>
  <c r="AH20062" i="14"/>
  <c r="W20062" i="14"/>
  <c r="V20062" i="14"/>
  <c r="T20062" i="14"/>
  <c r="Q20062" i="14"/>
  <c r="P20062" i="14"/>
  <c r="O20062" i="14"/>
  <c r="E20062" i="14"/>
  <c r="AH20061" i="14"/>
  <c r="W20061" i="14"/>
  <c r="V20061" i="14"/>
  <c r="T20061" i="14"/>
  <c r="Q20061" i="14"/>
  <c r="P20061" i="14"/>
  <c r="O20061" i="14"/>
  <c r="M20061" i="14"/>
  <c r="E20061" i="14"/>
  <c r="AH20060" i="14"/>
  <c r="T20060" i="14"/>
  <c r="Q20060" i="14"/>
  <c r="P20060" i="14"/>
  <c r="O20060" i="14"/>
  <c r="E20060" i="14"/>
  <c r="AH20059" i="14"/>
  <c r="W20059" i="14"/>
  <c r="V20059" i="14"/>
  <c r="Q20059" i="14"/>
  <c r="O20059" i="14"/>
  <c r="M20059" i="14"/>
  <c r="E20059" i="14"/>
  <c r="AH20058" i="14"/>
  <c r="V20058" i="14"/>
  <c r="T20058" i="14"/>
  <c r="Q20058" i="14"/>
  <c r="O20058" i="14"/>
  <c r="E20058" i="14"/>
  <c r="AH20057" i="14"/>
  <c r="U20057" i="14"/>
  <c r="T20057" i="14"/>
  <c r="Q20057" i="14"/>
  <c r="O20057" i="14"/>
  <c r="E20057" i="14"/>
  <c r="AH20056" i="14"/>
  <c r="V20056" i="14"/>
  <c r="U20056" i="14"/>
  <c r="T20056" i="14"/>
  <c r="Q20056" i="14"/>
  <c r="E20056" i="14"/>
  <c r="AH20055" i="14"/>
  <c r="U20055" i="14"/>
  <c r="T20055" i="14"/>
  <c r="Q20055" i="14"/>
  <c r="E20055" i="14"/>
  <c r="AH20054" i="14"/>
  <c r="V20054" i="14"/>
  <c r="Q20054" i="14"/>
  <c r="E20054" i="14"/>
  <c r="AH20053" i="14"/>
  <c r="W20053" i="14"/>
  <c r="V20053" i="14"/>
  <c r="T20053" i="14"/>
  <c r="Q20053" i="14"/>
  <c r="E20053" i="14"/>
  <c r="AH20052" i="14"/>
  <c r="V20052" i="14"/>
  <c r="T20052" i="14"/>
  <c r="Q20052" i="14"/>
  <c r="E20052" i="14"/>
  <c r="AH20051" i="14"/>
  <c r="U20051" i="14"/>
  <c r="T20051" i="14"/>
  <c r="Q20051" i="14"/>
  <c r="M20051" i="14"/>
  <c r="E20051" i="14"/>
  <c r="AH20050" i="14"/>
  <c r="Q20050" i="14"/>
  <c r="L20050" i="14"/>
  <c r="E20050" i="14"/>
  <c r="AH20049" i="14"/>
  <c r="T20049" i="14"/>
  <c r="E20049" i="14"/>
  <c r="AH20048" i="14"/>
  <c r="T20048" i="14"/>
  <c r="Q20048" i="14"/>
  <c r="O20048" i="14"/>
  <c r="E20048" i="14"/>
  <c r="AH20047" i="14"/>
  <c r="T20047" i="14"/>
  <c r="Q20047" i="14"/>
  <c r="P20047" i="14"/>
  <c r="O20047" i="14"/>
  <c r="E20047" i="14"/>
  <c r="AH20046" i="14"/>
  <c r="V20046" i="14"/>
  <c r="T20046" i="14"/>
  <c r="Q20046" i="14"/>
  <c r="E20046" i="14"/>
  <c r="AH20045" i="14"/>
  <c r="V20045" i="14"/>
  <c r="T20045" i="14"/>
  <c r="Q20045" i="14"/>
  <c r="E20045" i="14"/>
  <c r="AH20044" i="14"/>
  <c r="V20044" i="14"/>
  <c r="T20044" i="14"/>
  <c r="Q20044" i="14"/>
  <c r="E20044" i="14"/>
  <c r="AH20043" i="14"/>
  <c r="V20043" i="14"/>
  <c r="Q20043" i="14"/>
  <c r="E20043" i="14"/>
  <c r="AH20042" i="14"/>
  <c r="V20042" i="14"/>
  <c r="T20042" i="14"/>
  <c r="Q20042" i="14"/>
  <c r="E20042" i="14"/>
  <c r="AH20041" i="14"/>
  <c r="V20041" i="14"/>
  <c r="T20041" i="14"/>
  <c r="Q20041" i="14"/>
  <c r="E20041" i="14"/>
  <c r="AH20040" i="14"/>
  <c r="V20040" i="14"/>
  <c r="T20040" i="14"/>
  <c r="Q20040" i="14"/>
  <c r="E20040" i="14"/>
  <c r="AH20039" i="14"/>
  <c r="V20039" i="14"/>
  <c r="T20039" i="14"/>
  <c r="Q20039" i="14"/>
  <c r="P20039" i="14"/>
  <c r="E20039" i="14"/>
  <c r="AH20038" i="14"/>
  <c r="T20038" i="14"/>
  <c r="Q20038" i="14"/>
  <c r="E20038" i="14"/>
  <c r="AL20037" i="14"/>
  <c r="AH20037" i="14"/>
  <c r="T20037" i="14"/>
  <c r="Q20037" i="14"/>
  <c r="O20037" i="14"/>
  <c r="E20037" i="14"/>
  <c r="AH20036" i="14"/>
  <c r="W20036" i="14"/>
  <c r="V20036" i="14"/>
  <c r="T20036" i="14"/>
  <c r="Q20036" i="14"/>
  <c r="P20036" i="14"/>
  <c r="E20036" i="14"/>
  <c r="AH20035" i="14"/>
  <c r="U20035" i="14"/>
  <c r="T20035" i="14"/>
  <c r="Q20035" i="14"/>
  <c r="P20035" i="14"/>
  <c r="E20035" i="14"/>
  <c r="AH20034" i="14"/>
  <c r="V20034" i="14"/>
  <c r="T20034" i="14"/>
  <c r="Q20034" i="14"/>
  <c r="P20034" i="14"/>
  <c r="E20034" i="14"/>
  <c r="AH20033" i="14"/>
  <c r="T20033" i="14"/>
  <c r="E20033" i="14"/>
  <c r="AH20032" i="14"/>
  <c r="U20032" i="14"/>
  <c r="T20032" i="14"/>
  <c r="Q20032" i="14"/>
  <c r="P20032" i="14"/>
  <c r="E20032" i="14"/>
  <c r="AH20031" i="14"/>
  <c r="V20031" i="14"/>
  <c r="T20031" i="14"/>
  <c r="Q20031" i="14"/>
  <c r="P20031" i="14"/>
  <c r="O20031" i="14"/>
  <c r="E20031" i="14"/>
  <c r="AH20030" i="14"/>
  <c r="T20030" i="14"/>
  <c r="Q20030" i="14"/>
  <c r="P20030" i="14"/>
  <c r="E20030" i="14"/>
  <c r="AH20029" i="14"/>
  <c r="V20029" i="14"/>
  <c r="Q20029" i="14"/>
  <c r="E20029" i="14"/>
  <c r="AH20028" i="14"/>
  <c r="V20028" i="14"/>
  <c r="T20028" i="14"/>
  <c r="Q20028" i="14"/>
  <c r="P20028" i="14"/>
  <c r="E20028" i="14"/>
  <c r="AH20027" i="14"/>
  <c r="V20027" i="14"/>
  <c r="Q20027" i="14"/>
  <c r="P20027" i="14"/>
  <c r="E20027" i="14"/>
  <c r="AH20026" i="14"/>
  <c r="T20026" i="14"/>
  <c r="Q20026" i="14"/>
  <c r="E20026" i="14"/>
  <c r="AH20025" i="14"/>
  <c r="V20025" i="14"/>
  <c r="T20025" i="14"/>
  <c r="Q20025" i="14"/>
  <c r="E20025" i="14"/>
  <c r="AH20024" i="14"/>
  <c r="V20024" i="14"/>
  <c r="U20024" i="14"/>
  <c r="T20024" i="14"/>
  <c r="Q20024" i="14"/>
  <c r="E20024" i="14"/>
  <c r="AH20023" i="14"/>
  <c r="T20023" i="14"/>
  <c r="E20023" i="14"/>
  <c r="AH20022" i="14"/>
  <c r="E20022" i="14"/>
  <c r="AH20021" i="14"/>
  <c r="Q20021" i="14"/>
  <c r="E20021" i="14"/>
  <c r="AH20020" i="14"/>
  <c r="W20020" i="14"/>
  <c r="V20020" i="14"/>
  <c r="Q20020" i="14"/>
  <c r="E20020" i="14"/>
  <c r="AH20019" i="14"/>
  <c r="V20019" i="14"/>
  <c r="U20019" i="14"/>
  <c r="T20019" i="14"/>
  <c r="Q20019" i="14"/>
  <c r="E20019" i="14"/>
  <c r="AH20018" i="14"/>
  <c r="U20018" i="14"/>
  <c r="T20018" i="14"/>
  <c r="Q20018" i="14"/>
  <c r="E20018" i="14"/>
  <c r="AH20017" i="14"/>
  <c r="V20017" i="14"/>
  <c r="T20017" i="14"/>
  <c r="Q20017" i="14"/>
  <c r="E20017" i="14"/>
  <c r="AH20016" i="14"/>
  <c r="V20016" i="14"/>
  <c r="Q20016" i="14"/>
  <c r="E20016" i="14"/>
  <c r="AH20015" i="14"/>
  <c r="V20015" i="14"/>
  <c r="T20015" i="14"/>
  <c r="Q20015" i="14"/>
  <c r="E20015" i="14"/>
  <c r="AH20014" i="14"/>
  <c r="Q20014" i="14"/>
  <c r="L20014" i="14"/>
  <c r="E20014" i="14"/>
  <c r="AH20013" i="14"/>
  <c r="T20013" i="14"/>
  <c r="Q20013" i="14"/>
  <c r="E20013" i="14"/>
  <c r="AH20012" i="14"/>
  <c r="V20012" i="14"/>
  <c r="Q20012" i="14"/>
  <c r="E20012" i="14"/>
  <c r="AH20011" i="14"/>
  <c r="T20011" i="14"/>
  <c r="O20011" i="14"/>
  <c r="E20011" i="14"/>
  <c r="AH20010" i="14"/>
  <c r="T20010" i="14"/>
  <c r="Q20010" i="14"/>
  <c r="P20010" i="14"/>
  <c r="O20010" i="14"/>
  <c r="E20010" i="14"/>
  <c r="AH20009" i="14"/>
  <c r="V20009" i="14"/>
  <c r="T20009" i="14"/>
  <c r="Q20009" i="14"/>
  <c r="P20009" i="14"/>
  <c r="O20009" i="14"/>
  <c r="E20009" i="14"/>
  <c r="AH20008" i="14"/>
  <c r="E20008" i="14"/>
  <c r="AH20007" i="14"/>
  <c r="T20007" i="14"/>
  <c r="Q20007" i="14"/>
  <c r="E20007" i="14"/>
  <c r="AH20006" i="14"/>
  <c r="V20006" i="14"/>
  <c r="U20006" i="14"/>
  <c r="T20006" i="14"/>
  <c r="Q20006" i="14"/>
  <c r="P20006" i="14"/>
  <c r="O20006" i="14"/>
  <c r="E20006" i="14"/>
  <c r="AH20005" i="14"/>
  <c r="V20005" i="14"/>
  <c r="T20005" i="14"/>
  <c r="Q20005" i="14"/>
  <c r="P20005" i="14"/>
  <c r="O20005" i="14"/>
  <c r="E20005" i="14"/>
  <c r="AH20004" i="14"/>
  <c r="W20004" i="14"/>
  <c r="V20004" i="14"/>
  <c r="U20004" i="14"/>
  <c r="T20004" i="14"/>
  <c r="Q20004" i="14"/>
  <c r="E20004" i="14"/>
  <c r="AH20003" i="14"/>
  <c r="U20003" i="14"/>
  <c r="T20003" i="14"/>
  <c r="Q20003" i="14"/>
  <c r="E20003" i="14"/>
  <c r="AH20002" i="14"/>
  <c r="U20002" i="14"/>
  <c r="T20002" i="14"/>
  <c r="Q20002" i="14"/>
  <c r="E20002" i="14"/>
  <c r="AH20001" i="14"/>
  <c r="V20001" i="14"/>
  <c r="T20001" i="14"/>
  <c r="Q20001" i="14"/>
  <c r="O20001" i="14"/>
  <c r="E20001" i="14"/>
  <c r="AH20000" i="14"/>
  <c r="T20000" i="14"/>
  <c r="Q20000" i="14"/>
  <c r="O20000" i="14"/>
  <c r="E20000" i="14"/>
  <c r="AH19999" i="14"/>
  <c r="T19999" i="14"/>
  <c r="Q19999" i="14"/>
  <c r="E19999" i="14"/>
  <c r="AH19998" i="14"/>
  <c r="W19998" i="14"/>
  <c r="V19998" i="14"/>
  <c r="Q19998" i="14"/>
  <c r="O19998" i="14"/>
  <c r="E19998" i="14"/>
  <c r="AH19997" i="14"/>
  <c r="V19997" i="14"/>
  <c r="Q19997" i="14"/>
  <c r="P19997" i="14"/>
  <c r="O19997" i="14"/>
  <c r="E19997" i="14"/>
  <c r="AH19996" i="14"/>
  <c r="V19996" i="14"/>
  <c r="T19996" i="14"/>
  <c r="Q19996" i="14"/>
  <c r="O19996" i="14"/>
  <c r="E19996" i="14"/>
  <c r="AH19995" i="14"/>
  <c r="V19995" i="14"/>
  <c r="T19995" i="14"/>
  <c r="Q19995" i="14"/>
  <c r="O19995" i="14"/>
  <c r="E19995" i="14"/>
  <c r="AH19994" i="14"/>
  <c r="W19994" i="14"/>
  <c r="V19994" i="14"/>
  <c r="U19994" i="14"/>
  <c r="T19994" i="14"/>
  <c r="Q19994" i="14"/>
  <c r="E19994" i="14"/>
  <c r="AH19993" i="14"/>
  <c r="V19993" i="14"/>
  <c r="T19993" i="14"/>
  <c r="Q19993" i="14"/>
  <c r="P19993" i="14"/>
  <c r="O19993" i="14"/>
  <c r="E19993" i="14"/>
  <c r="AH19992" i="14"/>
  <c r="V19992" i="14"/>
  <c r="T19992" i="14"/>
  <c r="Q19992" i="14"/>
  <c r="P19992" i="14"/>
  <c r="O19992" i="14"/>
  <c r="E19992" i="14"/>
  <c r="AH19991" i="14"/>
  <c r="V19991" i="14"/>
  <c r="T19991" i="14"/>
  <c r="Q19991" i="14"/>
  <c r="P19991" i="14"/>
  <c r="O19991" i="14"/>
  <c r="E19991" i="14"/>
  <c r="AH19990" i="14"/>
  <c r="T19990" i="14"/>
  <c r="Q19990" i="14"/>
  <c r="E19990" i="14"/>
  <c r="AH19989" i="14"/>
  <c r="V19989" i="14"/>
  <c r="Q19989" i="14"/>
  <c r="O19989" i="14"/>
  <c r="E19989" i="14"/>
  <c r="AH19988" i="14"/>
  <c r="V19988" i="14"/>
  <c r="T19988" i="14"/>
  <c r="Q19988" i="14"/>
  <c r="P19988" i="14"/>
  <c r="E19988" i="14"/>
  <c r="AH19987" i="14"/>
  <c r="T19987" i="14"/>
  <c r="Q19987" i="14"/>
  <c r="P19987" i="14"/>
  <c r="O19987" i="14"/>
  <c r="E19987" i="14"/>
  <c r="AH19986" i="14"/>
  <c r="T19986" i="14"/>
  <c r="Q19986" i="14"/>
  <c r="E19986" i="14"/>
  <c r="AH19985" i="14"/>
  <c r="T19985" i="14"/>
  <c r="Q19985" i="14"/>
  <c r="E19985" i="14"/>
  <c r="AH19984" i="14"/>
  <c r="T19984" i="14"/>
  <c r="Q19984" i="14"/>
  <c r="E19984" i="14"/>
  <c r="AH19983" i="14"/>
  <c r="V19983" i="14"/>
  <c r="T19983" i="14"/>
  <c r="Q19983" i="14"/>
  <c r="E19983" i="14"/>
  <c r="AH19982" i="14"/>
  <c r="U19982" i="14"/>
  <c r="Q19982" i="14"/>
  <c r="M19982" i="14"/>
  <c r="E19982" i="14"/>
  <c r="AH19981" i="14"/>
  <c r="V19981" i="14"/>
  <c r="T19981" i="14"/>
  <c r="Q19981" i="14"/>
  <c r="E19981" i="14"/>
  <c r="AH19980" i="14"/>
  <c r="V19980" i="14"/>
  <c r="T19980" i="14"/>
  <c r="Q19980" i="14"/>
  <c r="E19980" i="14"/>
  <c r="AH19979" i="14"/>
  <c r="V19979" i="14"/>
  <c r="T19979" i="14"/>
  <c r="Q19979" i="14"/>
  <c r="O19979" i="14"/>
  <c r="E19979" i="14"/>
  <c r="AH19978" i="14"/>
  <c r="V19978" i="14"/>
  <c r="T19978" i="14"/>
  <c r="Q19978" i="14"/>
  <c r="E19978" i="14"/>
  <c r="AH19977" i="14"/>
  <c r="T19977" i="14"/>
  <c r="Q19977" i="14"/>
  <c r="E19977" i="14"/>
  <c r="AH19976" i="14"/>
  <c r="V19976" i="14"/>
  <c r="U19976" i="14"/>
  <c r="T19976" i="14"/>
  <c r="Q19976" i="14"/>
  <c r="E19976" i="14"/>
  <c r="AH19975" i="14"/>
  <c r="V19975" i="14"/>
  <c r="T19975" i="14"/>
  <c r="Q19975" i="14"/>
  <c r="O19975" i="14"/>
  <c r="E19975" i="14"/>
  <c r="AH19974" i="14"/>
  <c r="W19974" i="14"/>
  <c r="V19974" i="14"/>
  <c r="U19974" i="14"/>
  <c r="T19974" i="14"/>
  <c r="Q19974" i="14"/>
  <c r="P19974" i="14"/>
  <c r="O19974" i="14"/>
  <c r="M19974" i="14"/>
  <c r="E19974" i="14"/>
  <c r="AH19973" i="14"/>
  <c r="U19973" i="14"/>
  <c r="T19973" i="14"/>
  <c r="Q19973" i="14"/>
  <c r="P19973" i="14"/>
  <c r="O19973" i="14"/>
  <c r="L19973" i="14"/>
  <c r="E19973" i="14"/>
  <c r="AH19972" i="14"/>
  <c r="T19972" i="14"/>
  <c r="Q19972" i="14"/>
  <c r="P19972" i="14"/>
  <c r="E19972" i="14"/>
  <c r="AH19971" i="14"/>
  <c r="AE19971" i="14"/>
  <c r="W19971" i="14"/>
  <c r="V19971" i="14"/>
  <c r="Q19971" i="14"/>
  <c r="P19971" i="14"/>
  <c r="L19971" i="14"/>
  <c r="E19971" i="14"/>
  <c r="AH19970" i="14"/>
  <c r="V19970" i="14"/>
  <c r="T19970" i="14"/>
  <c r="Q19970" i="14"/>
  <c r="P19970" i="14"/>
  <c r="O19970" i="14"/>
  <c r="E19970" i="14"/>
  <c r="AH19969" i="14"/>
  <c r="Q19969" i="14"/>
  <c r="P19969" i="14"/>
  <c r="E19969" i="14"/>
  <c r="AH19968" i="14"/>
  <c r="T19968" i="14"/>
  <c r="Q19968" i="14"/>
  <c r="O19968" i="14"/>
  <c r="E19968" i="14"/>
  <c r="AH19967" i="14"/>
  <c r="V19967" i="14"/>
  <c r="T19967" i="14"/>
  <c r="Q19967" i="14"/>
  <c r="E19967" i="14"/>
  <c r="AH19966" i="14"/>
  <c r="U19966" i="14"/>
  <c r="T19966" i="14"/>
  <c r="Q19966" i="14"/>
  <c r="E19966" i="14"/>
  <c r="AH19965" i="14"/>
  <c r="V19965" i="14"/>
  <c r="T19965" i="14"/>
  <c r="Q19965" i="14"/>
  <c r="E19965" i="14"/>
  <c r="AH19964" i="14"/>
  <c r="W19964" i="14"/>
  <c r="V19964" i="14"/>
  <c r="T19964" i="14"/>
  <c r="Q19964" i="14"/>
  <c r="M19964" i="14"/>
  <c r="E19964" i="14"/>
  <c r="AH19963" i="14"/>
  <c r="T19963" i="14"/>
  <c r="Q19963" i="14"/>
  <c r="E19963" i="14"/>
  <c r="AH19962" i="14"/>
  <c r="W19962" i="14"/>
  <c r="V19962" i="14"/>
  <c r="T19962" i="14"/>
  <c r="Q19962" i="14"/>
  <c r="M19962" i="14"/>
  <c r="E19962" i="14"/>
  <c r="AH19961" i="14"/>
  <c r="T19961" i="14"/>
  <c r="Q19961" i="14"/>
  <c r="P19961" i="14"/>
  <c r="E19961" i="14"/>
  <c r="AH19960" i="14"/>
  <c r="W19960" i="14"/>
  <c r="V19960" i="14"/>
  <c r="U19960" i="14"/>
  <c r="T19960" i="14"/>
  <c r="Q19960" i="14"/>
  <c r="E19960" i="14"/>
  <c r="AH19959" i="14"/>
  <c r="T19959" i="14"/>
  <c r="Q19959" i="14"/>
  <c r="E19959" i="14"/>
  <c r="AH19958" i="14"/>
  <c r="T19958" i="14"/>
  <c r="Q19958" i="14"/>
  <c r="E19958" i="14"/>
  <c r="AH19957" i="14"/>
  <c r="V19957" i="14"/>
  <c r="U19957" i="14"/>
  <c r="T19957" i="14"/>
  <c r="Q19957" i="14"/>
  <c r="M19957" i="14"/>
  <c r="E19957" i="14"/>
  <c r="AL19956" i="14"/>
  <c r="AH19956" i="14"/>
  <c r="T19956" i="14"/>
  <c r="Q19956" i="14"/>
  <c r="E19956" i="14"/>
  <c r="AH19955" i="14"/>
  <c r="T19955" i="14"/>
  <c r="Q19955" i="14"/>
  <c r="E19955" i="14"/>
  <c r="AH19954" i="14"/>
  <c r="T19954" i="14"/>
  <c r="Q19954" i="14"/>
  <c r="E19954" i="14"/>
  <c r="AH19953" i="14"/>
  <c r="W19953" i="14"/>
  <c r="V19953" i="14"/>
  <c r="U19953" i="14"/>
  <c r="T19953" i="14"/>
  <c r="Q19953" i="14"/>
  <c r="M19953" i="14"/>
  <c r="E19953" i="14"/>
  <c r="AK19952" i="14"/>
  <c r="AH19952" i="14"/>
  <c r="V19952" i="14"/>
  <c r="T19952" i="14"/>
  <c r="Q19952" i="14"/>
  <c r="P19952" i="14"/>
  <c r="O19952" i="14"/>
  <c r="N19952" i="14"/>
  <c r="E19952" i="14"/>
  <c r="AH19951" i="14"/>
  <c r="T19951" i="14"/>
  <c r="Q19951" i="14"/>
  <c r="E19951" i="14"/>
  <c r="AH19950" i="14"/>
  <c r="T19950" i="14"/>
  <c r="Q19950" i="14"/>
  <c r="E19950" i="14"/>
  <c r="AH19949" i="14"/>
  <c r="T19949" i="14"/>
  <c r="Q19949" i="14"/>
  <c r="E19949" i="14"/>
  <c r="AH19948" i="14"/>
  <c r="W19948" i="14"/>
  <c r="V19948" i="14"/>
  <c r="Q19948" i="14"/>
  <c r="M19948" i="14"/>
  <c r="E19948" i="14"/>
  <c r="AH19947" i="14"/>
  <c r="U19947" i="14"/>
  <c r="T19947" i="14"/>
  <c r="Q19947" i="14"/>
  <c r="E19947" i="14"/>
  <c r="AH19946" i="14"/>
  <c r="Q19946" i="14"/>
  <c r="E19946" i="14"/>
  <c r="AH19945" i="14"/>
  <c r="W19945" i="14"/>
  <c r="V19945" i="14"/>
  <c r="U19945" i="14"/>
  <c r="T19945" i="14"/>
  <c r="Q19945" i="14"/>
  <c r="M19945" i="14"/>
  <c r="E19945" i="14"/>
  <c r="AH19944" i="14"/>
  <c r="W19944" i="14"/>
  <c r="V19944" i="14"/>
  <c r="U19944" i="14"/>
  <c r="T19944" i="14"/>
  <c r="Q19944" i="14"/>
  <c r="E19944" i="14"/>
  <c r="AH19943" i="14"/>
  <c r="AE19943" i="14"/>
  <c r="T19943" i="14"/>
  <c r="Q19943" i="14"/>
  <c r="P19943" i="14"/>
  <c r="E19943" i="14"/>
  <c r="AH19942" i="14"/>
  <c r="V19942" i="14"/>
  <c r="Q19942" i="14"/>
  <c r="E19942" i="14"/>
  <c r="AH19941" i="14"/>
  <c r="W19941" i="14"/>
  <c r="V19941" i="14"/>
  <c r="U19941" i="14"/>
  <c r="T19941" i="14"/>
  <c r="Q19941" i="14"/>
  <c r="E19941" i="14"/>
  <c r="AH19940" i="14"/>
  <c r="V19940" i="14"/>
  <c r="T19940" i="14"/>
  <c r="Q19940" i="14"/>
  <c r="E19940" i="14"/>
  <c r="AH19939" i="14"/>
  <c r="V19939" i="14"/>
  <c r="T19939" i="14"/>
  <c r="Q19939" i="14"/>
  <c r="E19939" i="14"/>
  <c r="AH19938" i="14"/>
  <c r="W19938" i="14"/>
  <c r="V19938" i="14"/>
  <c r="Q19938" i="14"/>
  <c r="M19938" i="14"/>
  <c r="E19938" i="14"/>
  <c r="AH19937" i="14"/>
  <c r="V19937" i="14"/>
  <c r="T19937" i="14"/>
  <c r="Q19937" i="14"/>
  <c r="E19937" i="14"/>
  <c r="AH19936" i="14"/>
  <c r="V19936" i="14"/>
  <c r="T19936" i="14"/>
  <c r="Q19936" i="14"/>
  <c r="P19936" i="14"/>
  <c r="E19936" i="14"/>
  <c r="AH19935" i="14"/>
  <c r="Q19935" i="14"/>
  <c r="E19935" i="14"/>
  <c r="AH19934" i="14"/>
  <c r="V19934" i="14"/>
  <c r="T19934" i="14"/>
  <c r="Q19934" i="14"/>
  <c r="E19934" i="14"/>
  <c r="AH19933" i="14"/>
  <c r="Q19933" i="14"/>
  <c r="E19933" i="14"/>
  <c r="AH19932" i="14"/>
  <c r="V19932" i="14"/>
  <c r="U19932" i="14"/>
  <c r="T19932" i="14"/>
  <c r="Q19932" i="14"/>
  <c r="E19932" i="14"/>
  <c r="AH19931" i="14"/>
  <c r="U19931" i="14"/>
  <c r="T19931" i="14"/>
  <c r="Q19931" i="14"/>
  <c r="E19931" i="14"/>
  <c r="AH19930" i="14"/>
  <c r="V19930" i="14"/>
  <c r="T19930" i="14"/>
  <c r="Q19930" i="14"/>
  <c r="E19930" i="14"/>
  <c r="AH19929" i="14"/>
  <c r="V19929" i="14"/>
  <c r="T19929" i="14"/>
  <c r="Q19929" i="14"/>
  <c r="E19929" i="14"/>
  <c r="AH19928" i="14"/>
  <c r="T19928" i="14"/>
  <c r="Q19928" i="14"/>
  <c r="E19928" i="14"/>
  <c r="AH19927" i="14"/>
  <c r="W19927" i="14"/>
  <c r="V19927" i="14"/>
  <c r="U19927" i="14"/>
  <c r="T19927" i="14"/>
  <c r="Q19927" i="14"/>
  <c r="P19927" i="14"/>
  <c r="O19927" i="14"/>
  <c r="M19927" i="14"/>
  <c r="E19927" i="14"/>
  <c r="AH19926" i="14"/>
  <c r="U19926" i="14"/>
  <c r="T19926" i="14"/>
  <c r="E19926" i="14"/>
  <c r="AH19925" i="14"/>
  <c r="T19925" i="14"/>
  <c r="Q19925" i="14"/>
  <c r="E19925" i="14"/>
  <c r="AH19924" i="14"/>
  <c r="W19924" i="14"/>
  <c r="V19924" i="14"/>
  <c r="T19924" i="14"/>
  <c r="Q19924" i="14"/>
  <c r="E19924" i="14"/>
  <c r="AH19923" i="14"/>
  <c r="V19923" i="14"/>
  <c r="U19923" i="14"/>
  <c r="T19923" i="14"/>
  <c r="Q19923" i="14"/>
  <c r="E19923" i="14"/>
  <c r="AH19922" i="14"/>
  <c r="T19922" i="14"/>
  <c r="Q19922" i="14"/>
  <c r="E19922" i="14"/>
  <c r="AH19921" i="14"/>
  <c r="V19921" i="14"/>
  <c r="T19921" i="14"/>
  <c r="Q19921" i="14"/>
  <c r="E19921" i="14"/>
  <c r="AH19920" i="14"/>
  <c r="V19920" i="14"/>
  <c r="U19920" i="14"/>
  <c r="T19920" i="14"/>
  <c r="Q19920" i="14"/>
  <c r="E19920" i="14"/>
  <c r="AH19919" i="14"/>
  <c r="E19919" i="14"/>
  <c r="AH19918" i="14"/>
  <c r="V19918" i="14"/>
  <c r="T19918" i="14"/>
  <c r="Q19918" i="14"/>
  <c r="P19918" i="14"/>
  <c r="O19918" i="14"/>
  <c r="M19918" i="14"/>
  <c r="E19918" i="14"/>
  <c r="AL19917" i="14"/>
  <c r="AH19917" i="14"/>
  <c r="Q19917" i="14"/>
  <c r="O19917" i="14"/>
  <c r="E19917" i="14"/>
  <c r="AH19916" i="14"/>
  <c r="V19916" i="14"/>
  <c r="T19916" i="14"/>
  <c r="Q19916" i="14"/>
  <c r="P19916" i="14"/>
  <c r="O19916" i="14"/>
  <c r="E19916" i="14"/>
  <c r="AH19915" i="14"/>
  <c r="T19915" i="14"/>
  <c r="Q19915" i="14"/>
  <c r="E19915" i="14"/>
  <c r="AH19914" i="14"/>
  <c r="T19914" i="14"/>
  <c r="Q19914" i="14"/>
  <c r="E19914" i="14"/>
  <c r="AH19913" i="14"/>
  <c r="T19913" i="14"/>
  <c r="Q19913" i="14"/>
  <c r="E19913" i="14"/>
  <c r="AH19912" i="14"/>
  <c r="AG19912" i="14"/>
  <c r="AE19912" i="14"/>
  <c r="V19912" i="14"/>
  <c r="T19912" i="14"/>
  <c r="Q19912" i="14"/>
  <c r="P19912" i="14"/>
  <c r="M19912" i="14"/>
  <c r="K19912" i="14"/>
  <c r="E19912" i="14"/>
  <c r="AH19911" i="14"/>
  <c r="V19911" i="14"/>
  <c r="T19911" i="14"/>
  <c r="Q19911" i="14"/>
  <c r="P19911" i="14"/>
  <c r="E19911" i="14"/>
  <c r="AH19910" i="14"/>
  <c r="W19910" i="14"/>
  <c r="V19910" i="14"/>
  <c r="T19910" i="14"/>
  <c r="Q19910" i="14"/>
  <c r="P19910" i="14"/>
  <c r="O19910" i="14"/>
  <c r="M19910" i="14"/>
  <c r="E19910" i="14"/>
  <c r="AH19909" i="14"/>
  <c r="V19909" i="14"/>
  <c r="T19909" i="14"/>
  <c r="Q19909" i="14"/>
  <c r="M19909" i="14"/>
  <c r="E19909" i="14"/>
  <c r="AH19908" i="14"/>
  <c r="T19908" i="14"/>
  <c r="Q19908" i="14"/>
  <c r="P19908" i="14"/>
  <c r="E19908" i="14"/>
  <c r="AH19907" i="14"/>
  <c r="W19907" i="14"/>
  <c r="V19907" i="14"/>
  <c r="T19907" i="14"/>
  <c r="Q19907" i="14"/>
  <c r="P19907" i="14"/>
  <c r="O19907" i="14"/>
  <c r="E19907" i="14"/>
  <c r="AH19906" i="14"/>
  <c r="V19906" i="14"/>
  <c r="T19906" i="14"/>
  <c r="Q19906" i="14"/>
  <c r="P19906" i="14"/>
  <c r="O19906" i="14"/>
  <c r="E19906" i="14"/>
  <c r="AH19905" i="14"/>
  <c r="T19905" i="14"/>
  <c r="Q19905" i="14"/>
  <c r="O19905" i="14"/>
  <c r="E19905" i="14"/>
  <c r="AH19904" i="14"/>
  <c r="V19904" i="14"/>
  <c r="T19904" i="14"/>
  <c r="Q19904" i="14"/>
  <c r="E19904" i="14"/>
  <c r="AH19903" i="14"/>
  <c r="T19903" i="14"/>
  <c r="Q19903" i="14"/>
  <c r="E19903" i="14"/>
  <c r="AH19902" i="14"/>
  <c r="V19902" i="14"/>
  <c r="Q19902" i="14"/>
  <c r="E19902" i="14"/>
  <c r="AH19901" i="14"/>
  <c r="W19901" i="14"/>
  <c r="V19901" i="14"/>
  <c r="U19901" i="14"/>
  <c r="T19901" i="14"/>
  <c r="Q19901" i="14"/>
  <c r="E19901" i="14"/>
  <c r="AH19900" i="14"/>
  <c r="E19900" i="14"/>
  <c r="AH19899" i="14"/>
  <c r="V19899" i="14"/>
  <c r="T19899" i="14"/>
  <c r="Q19899" i="14"/>
  <c r="E19899" i="14"/>
  <c r="AH19898" i="14"/>
  <c r="V19898" i="14"/>
  <c r="T19898" i="14"/>
  <c r="Q19898" i="14"/>
  <c r="E19898" i="14"/>
  <c r="AH19897" i="14"/>
  <c r="T19897" i="14"/>
  <c r="Q19897" i="14"/>
  <c r="E19897" i="14"/>
  <c r="AH19896" i="14"/>
  <c r="V19896" i="14"/>
  <c r="U19896" i="14"/>
  <c r="T19896" i="14"/>
  <c r="Q19896" i="14"/>
  <c r="P19896" i="14"/>
  <c r="O19896" i="14"/>
  <c r="E19896" i="14"/>
  <c r="AH19895" i="14"/>
  <c r="T19895" i="14"/>
  <c r="Q19895" i="14"/>
  <c r="P19895" i="14"/>
  <c r="E19895" i="14"/>
  <c r="AH19894" i="14"/>
  <c r="V19894" i="14"/>
  <c r="T19894" i="14"/>
  <c r="Q19894" i="14"/>
  <c r="M19894" i="14"/>
  <c r="E19894" i="14"/>
  <c r="AH19893" i="14"/>
  <c r="V19893" i="14"/>
  <c r="T19893" i="14"/>
  <c r="Q19893" i="14"/>
  <c r="O19893" i="14"/>
  <c r="E19893" i="14"/>
  <c r="AL19892" i="14"/>
  <c r="AH19892" i="14"/>
  <c r="V19892" i="14"/>
  <c r="T19892" i="14"/>
  <c r="Q19892" i="14"/>
  <c r="P19892" i="14"/>
  <c r="G19892" i="14"/>
  <c r="E19892" i="14"/>
  <c r="AH19891" i="14"/>
  <c r="Q19891" i="14"/>
  <c r="L19891" i="14"/>
  <c r="E19891" i="14"/>
  <c r="AH19890" i="14"/>
  <c r="T19890" i="14"/>
  <c r="E19890" i="14"/>
  <c r="AH19889" i="14"/>
  <c r="V19889" i="14"/>
  <c r="T19889" i="14"/>
  <c r="Q19889" i="14"/>
  <c r="E19889" i="14"/>
  <c r="AH19888" i="14"/>
  <c r="W19888" i="14"/>
  <c r="V19888" i="14"/>
  <c r="Q19888" i="14"/>
  <c r="E19888" i="14"/>
  <c r="AH19887" i="14"/>
  <c r="E19887" i="14"/>
  <c r="AH19886" i="14"/>
  <c r="T19886" i="14"/>
  <c r="Q19886" i="14"/>
  <c r="E19886" i="14"/>
  <c r="AH19885" i="14"/>
  <c r="T19885" i="14"/>
  <c r="Q19885" i="14"/>
  <c r="E19885" i="14"/>
  <c r="AH19884" i="14"/>
  <c r="V19884" i="14"/>
  <c r="Q19884" i="14"/>
  <c r="E19884" i="14"/>
  <c r="AH19883" i="14"/>
  <c r="V19883" i="14"/>
  <c r="T19883" i="14"/>
  <c r="Q19883" i="14"/>
  <c r="E19883" i="14"/>
  <c r="AH19882" i="14"/>
  <c r="T19882" i="14"/>
  <c r="E19882" i="14"/>
  <c r="AH19881" i="14"/>
  <c r="W19881" i="14"/>
  <c r="V19881" i="14"/>
  <c r="Q19881" i="14"/>
  <c r="E19881" i="14"/>
  <c r="AH19880" i="14"/>
  <c r="T19880" i="14"/>
  <c r="Q19880" i="14"/>
  <c r="E19880" i="14"/>
  <c r="AH19879" i="14"/>
  <c r="T19879" i="14"/>
  <c r="Q19879" i="14"/>
  <c r="E19879" i="14"/>
  <c r="AH19878" i="14"/>
  <c r="E19878" i="14"/>
  <c r="AH19877" i="14"/>
  <c r="W19877" i="14"/>
  <c r="V19877" i="14"/>
  <c r="Q19877" i="14"/>
  <c r="E19877" i="14"/>
  <c r="AH19876" i="14"/>
  <c r="Q19876" i="14"/>
  <c r="E19876" i="14"/>
  <c r="AH19875" i="14"/>
  <c r="V19875" i="14"/>
  <c r="Q19875" i="14"/>
  <c r="M19875" i="14"/>
  <c r="E19875" i="14"/>
  <c r="AH19874" i="14"/>
  <c r="T19874" i="14"/>
  <c r="E19874" i="14"/>
  <c r="AH19873" i="14"/>
  <c r="T19873" i="14"/>
  <c r="E19873" i="14"/>
  <c r="AH19872" i="14"/>
  <c r="T19872" i="14"/>
  <c r="E19872" i="14"/>
  <c r="AH19871" i="14"/>
  <c r="U19871" i="14"/>
  <c r="T19871" i="14"/>
  <c r="E19871" i="14"/>
  <c r="AH19870" i="14"/>
  <c r="W19870" i="14"/>
  <c r="V19870" i="14"/>
  <c r="Q19870" i="14"/>
  <c r="E19870" i="14"/>
  <c r="AH19869" i="14"/>
  <c r="Q19869" i="14"/>
  <c r="E19869" i="14"/>
  <c r="AH19868" i="14"/>
  <c r="T19868" i="14"/>
  <c r="Q19868" i="14"/>
  <c r="E19868" i="14"/>
  <c r="AH19867" i="14"/>
  <c r="Q19867" i="14"/>
  <c r="E19867" i="14"/>
  <c r="AH19866" i="14"/>
  <c r="T19866" i="14"/>
  <c r="Q19866" i="14"/>
  <c r="E19866" i="14"/>
  <c r="AH19865" i="14"/>
  <c r="T19865" i="14"/>
  <c r="Q19865" i="14"/>
  <c r="E19865" i="14"/>
  <c r="AH19864" i="14"/>
  <c r="T19864" i="14"/>
  <c r="Q19864" i="14"/>
  <c r="E19864" i="14"/>
  <c r="AH19863" i="14"/>
  <c r="V19863" i="14"/>
  <c r="T19863" i="14"/>
  <c r="Q19863" i="14"/>
  <c r="E19863" i="14"/>
  <c r="AH19862" i="14"/>
  <c r="V19862" i="14"/>
  <c r="T19862" i="14"/>
  <c r="Q19862" i="14"/>
  <c r="E19862" i="14"/>
  <c r="AH19861" i="14"/>
  <c r="T19861" i="14"/>
  <c r="Q19861" i="14"/>
  <c r="E19861" i="14"/>
  <c r="AH19860" i="14"/>
  <c r="T19860" i="14"/>
  <c r="Q19860" i="14"/>
  <c r="E19860" i="14"/>
  <c r="AH19859" i="14"/>
  <c r="Q19859" i="14"/>
  <c r="E19859" i="14"/>
  <c r="AH19858" i="14"/>
  <c r="E19858" i="14"/>
  <c r="AH19857" i="14"/>
  <c r="V19857" i="14"/>
  <c r="T19857" i="14"/>
  <c r="Q19857" i="14"/>
  <c r="E19857" i="14"/>
  <c r="AH19856" i="14"/>
  <c r="V19856" i="14"/>
  <c r="T19856" i="14"/>
  <c r="Q19856" i="14"/>
  <c r="E19856" i="14"/>
  <c r="AH19855" i="14"/>
  <c r="T19855" i="14"/>
  <c r="Q19855" i="14"/>
  <c r="E19855" i="14"/>
  <c r="AH19854" i="14"/>
  <c r="U19854" i="14"/>
  <c r="T19854" i="14"/>
  <c r="Q19854" i="14"/>
  <c r="E19854" i="14"/>
  <c r="AH19853" i="14"/>
  <c r="V19853" i="14"/>
  <c r="T19853" i="14"/>
  <c r="Q19853" i="14"/>
  <c r="E19853" i="14"/>
  <c r="AH19852" i="14"/>
  <c r="Q19852" i="14"/>
  <c r="E19852" i="14"/>
  <c r="AH19851" i="14"/>
  <c r="V19851" i="14"/>
  <c r="Q19851" i="14"/>
  <c r="E19851" i="14"/>
  <c r="AH19850" i="14"/>
  <c r="T19850" i="14"/>
  <c r="Q19850" i="14"/>
  <c r="E19850" i="14"/>
  <c r="AH19849" i="14"/>
  <c r="W19849" i="14"/>
  <c r="V19849" i="14"/>
  <c r="U19849" i="14"/>
  <c r="T19849" i="14"/>
  <c r="Q19849" i="14"/>
  <c r="E19849" i="14"/>
  <c r="AH19848" i="14"/>
  <c r="V19848" i="14"/>
  <c r="T19848" i="14"/>
  <c r="Q19848" i="14"/>
  <c r="E19848" i="14"/>
  <c r="AH19847" i="14"/>
  <c r="T19847" i="14"/>
  <c r="Q19847" i="14"/>
  <c r="E19847" i="14"/>
  <c r="AH19846" i="14"/>
  <c r="T19846" i="14"/>
  <c r="Q19846" i="14"/>
  <c r="E19846" i="14"/>
  <c r="AH19845" i="14"/>
  <c r="U19845" i="14"/>
  <c r="T19845" i="14"/>
  <c r="Q19845" i="14"/>
  <c r="E19845" i="14"/>
  <c r="AH19844" i="14"/>
  <c r="V19844" i="14"/>
  <c r="T19844" i="14"/>
  <c r="Q19844" i="14"/>
  <c r="E19844" i="14"/>
  <c r="AH19843" i="14"/>
  <c r="Q19843" i="14"/>
  <c r="E19843" i="14"/>
  <c r="AH19842" i="14"/>
  <c r="Q19842" i="14"/>
  <c r="E19842" i="14"/>
  <c r="AH19841" i="14"/>
  <c r="T19841" i="14"/>
  <c r="E19841" i="14"/>
  <c r="AH19840" i="14"/>
  <c r="T19840" i="14"/>
  <c r="Q19840" i="14"/>
  <c r="E19840" i="14"/>
  <c r="AH19839" i="14"/>
  <c r="V19839" i="14"/>
  <c r="T19839" i="14"/>
  <c r="Q19839" i="14"/>
  <c r="E19839" i="14"/>
  <c r="AH19838" i="14"/>
  <c r="T19838" i="14"/>
  <c r="Q19838" i="14"/>
  <c r="E19838" i="14"/>
  <c r="AH19837" i="14"/>
  <c r="T19837" i="14"/>
  <c r="E19837" i="14"/>
  <c r="AH19836" i="14"/>
  <c r="V19836" i="14"/>
  <c r="T19836" i="14"/>
  <c r="P19836" i="14"/>
  <c r="E19836" i="14"/>
  <c r="AH19835" i="14"/>
  <c r="V19835" i="14"/>
  <c r="P19835" i="14"/>
  <c r="E19835" i="14"/>
  <c r="AH19834" i="14"/>
  <c r="Q19834" i="14"/>
  <c r="E19834" i="14"/>
  <c r="AH19833" i="14"/>
  <c r="V19833" i="14"/>
  <c r="T19833" i="14"/>
  <c r="Q19833" i="14"/>
  <c r="E19833" i="14"/>
  <c r="AH19832" i="14"/>
  <c r="T19832" i="14"/>
  <c r="Q19832" i="14"/>
  <c r="E19832" i="14"/>
  <c r="AH19831" i="14"/>
  <c r="T19831" i="14"/>
  <c r="Q19831" i="14"/>
  <c r="E19831" i="14"/>
  <c r="AH19830" i="14"/>
  <c r="T19830" i="14"/>
  <c r="Q19830" i="14"/>
  <c r="E19830" i="14"/>
  <c r="AH19829" i="14"/>
  <c r="T19829" i="14"/>
  <c r="Q19829" i="14"/>
  <c r="E19829" i="14"/>
  <c r="AH19828" i="14"/>
  <c r="T19828" i="14"/>
  <c r="E19828" i="14"/>
  <c r="AH19827" i="14"/>
  <c r="V19827" i="14"/>
  <c r="E19827" i="14"/>
  <c r="AH19826" i="14"/>
  <c r="E19826" i="14"/>
  <c r="AH19825" i="14"/>
  <c r="E19825" i="14"/>
  <c r="AH19824" i="14"/>
  <c r="E19824" i="14"/>
  <c r="AH19823" i="14"/>
  <c r="T19823" i="14"/>
  <c r="Q19823" i="14"/>
  <c r="E19823" i="14"/>
  <c r="AH19822" i="14"/>
  <c r="T19822" i="14"/>
  <c r="E19822" i="14"/>
  <c r="AH19821" i="14"/>
  <c r="T19821" i="14"/>
  <c r="Q19821" i="14"/>
  <c r="E19821" i="14"/>
  <c r="AH19820" i="14"/>
  <c r="Q19820" i="14"/>
  <c r="E19820" i="14"/>
  <c r="AH19819" i="14"/>
  <c r="V19819" i="14"/>
  <c r="T19819" i="14"/>
  <c r="Q19819" i="14"/>
  <c r="E19819" i="14"/>
  <c r="AH19818" i="14"/>
  <c r="V19818" i="14"/>
  <c r="T19818" i="14"/>
  <c r="Q19818" i="14"/>
  <c r="E19818" i="14"/>
  <c r="AH19817" i="14"/>
  <c r="V19817" i="14"/>
  <c r="Q19817" i="14"/>
  <c r="E19817" i="14"/>
  <c r="AH19816" i="14"/>
  <c r="V19816" i="14"/>
  <c r="U19816" i="14"/>
  <c r="T19816" i="14"/>
  <c r="Q19816" i="14"/>
  <c r="O19816" i="14"/>
  <c r="M19816" i="14"/>
  <c r="E19816" i="14"/>
  <c r="AH19815" i="14"/>
  <c r="V19815" i="14"/>
  <c r="T19815" i="14"/>
  <c r="Q19815" i="14"/>
  <c r="E19815" i="14"/>
  <c r="AH19814" i="14"/>
  <c r="Q19814" i="14"/>
  <c r="E19814" i="14"/>
  <c r="AH19813" i="14"/>
  <c r="T19813" i="14"/>
  <c r="Q19813" i="14"/>
  <c r="E19813" i="14"/>
  <c r="AH19812" i="14"/>
  <c r="E19812" i="14"/>
  <c r="AH19811" i="14"/>
  <c r="V19811" i="14"/>
  <c r="T19811" i="14"/>
  <c r="Q19811" i="14"/>
  <c r="E19811" i="14"/>
  <c r="AH19810" i="14"/>
  <c r="V19810" i="14"/>
  <c r="T19810" i="14"/>
  <c r="Q19810" i="14"/>
  <c r="E19810" i="14"/>
  <c r="AH19809" i="14"/>
  <c r="V19809" i="14"/>
  <c r="T19809" i="14"/>
  <c r="Q19809" i="14"/>
  <c r="P19809" i="14"/>
  <c r="E19809" i="14"/>
  <c r="AH19808" i="14"/>
  <c r="AE19808" i="14"/>
  <c r="W19808" i="14"/>
  <c r="V19808" i="14"/>
  <c r="T19808" i="14"/>
  <c r="Q19808" i="14"/>
  <c r="P19808" i="14"/>
  <c r="M19808" i="14"/>
  <c r="G19808" i="14"/>
  <c r="E19808" i="14"/>
  <c r="AH19807" i="14"/>
  <c r="V19807" i="14"/>
  <c r="T19807" i="14"/>
  <c r="Q19807" i="14"/>
  <c r="E19807" i="14"/>
  <c r="AH19806" i="14"/>
  <c r="T19806" i="14"/>
  <c r="Q19806" i="14"/>
  <c r="E19806" i="14"/>
  <c r="AL19805" i="14"/>
  <c r="AH19805" i="14"/>
  <c r="T19805" i="14"/>
  <c r="Q19805" i="14"/>
  <c r="O19805" i="14"/>
  <c r="E19805" i="14"/>
  <c r="AH19804" i="14"/>
  <c r="W19804" i="14"/>
  <c r="V19804" i="14"/>
  <c r="Q19804" i="14"/>
  <c r="E19804" i="14"/>
  <c r="AH19803" i="14"/>
  <c r="V19803" i="14"/>
  <c r="T19803" i="14"/>
  <c r="Q19803" i="14"/>
  <c r="M19803" i="14"/>
  <c r="E19803" i="14"/>
  <c r="AH19802" i="14"/>
  <c r="Q19802" i="14"/>
  <c r="E19802" i="14"/>
  <c r="AH19801" i="14"/>
  <c r="T19801" i="14"/>
  <c r="Q19801" i="14"/>
  <c r="E19801" i="14"/>
  <c r="AH19800" i="14"/>
  <c r="AE19800" i="14"/>
  <c r="T19800" i="14"/>
  <c r="Q19800" i="14"/>
  <c r="M19800" i="14"/>
  <c r="L19800" i="14"/>
  <c r="K19800" i="14"/>
  <c r="I19800" i="14"/>
  <c r="E19800" i="14"/>
  <c r="AH19799" i="14"/>
  <c r="V19799" i="14"/>
  <c r="Q19799" i="14"/>
  <c r="P19799" i="14"/>
  <c r="O19799" i="14"/>
  <c r="E19799" i="14"/>
  <c r="AH19798" i="14"/>
  <c r="U19798" i="14"/>
  <c r="T19798" i="14"/>
  <c r="Q19798" i="14"/>
  <c r="P19798" i="14"/>
  <c r="O19798" i="14"/>
  <c r="E19798" i="14"/>
  <c r="AH19797" i="14"/>
  <c r="V19797" i="14"/>
  <c r="T19797" i="14"/>
  <c r="Q19797" i="14"/>
  <c r="E19797" i="14"/>
  <c r="AH19796" i="14"/>
  <c r="T19796" i="14"/>
  <c r="Q19796" i="14"/>
  <c r="E19796" i="14"/>
  <c r="AH19795" i="14"/>
  <c r="T19795" i="14"/>
  <c r="Q19795" i="14"/>
  <c r="L19795" i="14"/>
  <c r="E19795" i="14"/>
  <c r="AH19794" i="14"/>
  <c r="V19794" i="14"/>
  <c r="T19794" i="14"/>
  <c r="Q19794" i="14"/>
  <c r="P19794" i="14"/>
  <c r="E19794" i="14"/>
  <c r="AH19793" i="14"/>
  <c r="T19793" i="14"/>
  <c r="Q19793" i="14"/>
  <c r="E19793" i="14"/>
  <c r="AH19792" i="14"/>
  <c r="V19792" i="14"/>
  <c r="Q19792" i="14"/>
  <c r="O19792" i="14"/>
  <c r="E19792" i="14"/>
  <c r="AH19791" i="14"/>
  <c r="T19791" i="14"/>
  <c r="Q19791" i="14"/>
  <c r="P19791" i="14"/>
  <c r="E19791" i="14"/>
  <c r="AH19790" i="14"/>
  <c r="Q19790" i="14"/>
  <c r="E19790" i="14"/>
  <c r="AH19789" i="14"/>
  <c r="E19789" i="14"/>
  <c r="AH19788" i="14"/>
  <c r="T19788" i="14"/>
  <c r="Q19788" i="14"/>
  <c r="O19788" i="14"/>
  <c r="E19788" i="14"/>
  <c r="AH19787" i="14"/>
  <c r="T19787" i="14"/>
  <c r="Q19787" i="14"/>
  <c r="O19787" i="14"/>
  <c r="E19787" i="14"/>
  <c r="AH19786" i="14"/>
  <c r="T19786" i="14"/>
  <c r="Q19786" i="14"/>
  <c r="O19786" i="14"/>
  <c r="E19786" i="14"/>
  <c r="AH19785" i="14"/>
  <c r="T19785" i="14"/>
  <c r="E19785" i="14"/>
  <c r="AH19784" i="14"/>
  <c r="V19784" i="14"/>
  <c r="Q19784" i="14"/>
  <c r="E19784" i="14"/>
  <c r="AH19783" i="14"/>
  <c r="E19783" i="14"/>
  <c r="AH19782" i="14"/>
  <c r="W19782" i="14"/>
  <c r="V19782" i="14"/>
  <c r="T19782" i="14"/>
  <c r="Q19782" i="14"/>
  <c r="M19782" i="14"/>
  <c r="E19782" i="14"/>
  <c r="AH19781" i="14"/>
  <c r="V19781" i="14"/>
  <c r="Q19781" i="14"/>
  <c r="P19781" i="14"/>
  <c r="E19781" i="14"/>
  <c r="AH19780" i="14"/>
  <c r="Q19780" i="14"/>
  <c r="E19780" i="14"/>
  <c r="AH19779" i="14"/>
  <c r="Q19779" i="14"/>
  <c r="E19779" i="14"/>
  <c r="E19778" i="14"/>
  <c r="AH19777" i="14"/>
  <c r="V19777" i="14"/>
  <c r="U19777" i="14"/>
  <c r="T19777" i="14"/>
  <c r="Q19777" i="14"/>
  <c r="P19777" i="14"/>
  <c r="E19777" i="14"/>
  <c r="AH19776" i="14"/>
  <c r="V19776" i="14"/>
  <c r="U19776" i="14"/>
  <c r="T19776" i="14"/>
  <c r="Q19776" i="14"/>
  <c r="P19776" i="14"/>
  <c r="E19776" i="14"/>
  <c r="AH19775" i="14"/>
  <c r="G19775" i="14"/>
  <c r="E19775" i="14"/>
  <c r="AH19774" i="14"/>
  <c r="W19774" i="14"/>
  <c r="V19774" i="14"/>
  <c r="U19774" i="14"/>
  <c r="T19774" i="14"/>
  <c r="Q19774" i="14"/>
  <c r="P19774" i="14"/>
  <c r="O19774" i="14"/>
  <c r="M19774" i="14"/>
  <c r="G19774" i="14"/>
  <c r="E19774" i="14"/>
  <c r="AL19773" i="14"/>
  <c r="AH19773" i="14"/>
  <c r="W19773" i="14"/>
  <c r="V19773" i="14"/>
  <c r="Q19773" i="14"/>
  <c r="P19773" i="14"/>
  <c r="M19773" i="14"/>
  <c r="G19773" i="14"/>
  <c r="E19773" i="14"/>
  <c r="AH19772" i="14"/>
  <c r="V19772" i="14"/>
  <c r="T19772" i="14"/>
  <c r="Q19772" i="14"/>
  <c r="G19772" i="14"/>
  <c r="E19772" i="14"/>
  <c r="AH19771" i="14"/>
  <c r="V19771" i="14"/>
  <c r="T19771" i="14"/>
  <c r="Q19771" i="14"/>
  <c r="P19771" i="14"/>
  <c r="G19771" i="14"/>
  <c r="E19771" i="14"/>
  <c r="AH19770" i="14"/>
  <c r="E19770" i="14"/>
  <c r="AH19769" i="14"/>
  <c r="E19769" i="14"/>
  <c r="AH19768" i="14"/>
  <c r="T19768" i="14"/>
  <c r="Q19768" i="14"/>
  <c r="E19768" i="14"/>
  <c r="AH19767" i="14"/>
  <c r="V19767" i="14"/>
  <c r="T19767" i="14"/>
  <c r="Q19767" i="14"/>
  <c r="P19767" i="14"/>
  <c r="O19767" i="14"/>
  <c r="E19767" i="14"/>
  <c r="AH19766" i="14"/>
  <c r="W19766" i="14"/>
  <c r="V19766" i="14"/>
  <c r="T19766" i="14"/>
  <c r="Q19766" i="14"/>
  <c r="P19766" i="14"/>
  <c r="O19766" i="14"/>
  <c r="L19766" i="14"/>
  <c r="E19766" i="14"/>
  <c r="AH19765" i="14"/>
  <c r="V19765" i="14"/>
  <c r="T19765" i="14"/>
  <c r="Q19765" i="14"/>
  <c r="P19765" i="14"/>
  <c r="G19765" i="14"/>
  <c r="E19765" i="14"/>
  <c r="AH19764" i="14"/>
  <c r="V19764" i="14"/>
  <c r="T19764" i="14"/>
  <c r="Q19764" i="14"/>
  <c r="E19764" i="14"/>
  <c r="AH19763" i="14"/>
  <c r="T19763" i="14"/>
  <c r="Q19763" i="14"/>
  <c r="E19763" i="14"/>
  <c r="AH19762" i="14"/>
  <c r="V19762" i="14"/>
  <c r="T19762" i="14"/>
  <c r="Q19762" i="14"/>
  <c r="P19762" i="14"/>
  <c r="O19762" i="14"/>
  <c r="E19762" i="14"/>
  <c r="AH19761" i="14"/>
  <c r="V19761" i="14"/>
  <c r="T19761" i="14"/>
  <c r="Q19761" i="14"/>
  <c r="P19761" i="14"/>
  <c r="O19761" i="14"/>
  <c r="E19761" i="14"/>
  <c r="AH19760" i="14"/>
  <c r="V19760" i="14"/>
  <c r="T19760" i="14"/>
  <c r="Q19760" i="14"/>
  <c r="P19760" i="14"/>
  <c r="O19760" i="14"/>
  <c r="E19760" i="14"/>
  <c r="AH19759" i="14"/>
  <c r="V19759" i="14"/>
  <c r="T19759" i="14"/>
  <c r="Q19759" i="14"/>
  <c r="P19759" i="14"/>
  <c r="E19759" i="14"/>
  <c r="AH19758" i="14"/>
  <c r="T19758" i="14"/>
  <c r="Q19758" i="14"/>
  <c r="E19758" i="14"/>
  <c r="AH19757" i="14"/>
  <c r="V19757" i="14"/>
  <c r="T19757" i="14"/>
  <c r="Q19757" i="14"/>
  <c r="P19757" i="14"/>
  <c r="E19757" i="14"/>
  <c r="AH19756" i="14"/>
  <c r="V19756" i="14"/>
  <c r="T19756" i="14"/>
  <c r="Q19756" i="14"/>
  <c r="E19756" i="14"/>
  <c r="AH19755" i="14"/>
  <c r="T19755" i="14"/>
  <c r="Q19755" i="14"/>
  <c r="E19755" i="14"/>
  <c r="AH19754" i="14"/>
  <c r="P19754" i="14"/>
  <c r="O19754" i="14"/>
  <c r="E19754" i="14"/>
  <c r="AH19753" i="14"/>
  <c r="V19753" i="14"/>
  <c r="T19753" i="14"/>
  <c r="Q19753" i="14"/>
  <c r="P19753" i="14"/>
  <c r="E19753" i="14"/>
  <c r="AH19752" i="14"/>
  <c r="V19752" i="14"/>
  <c r="U19752" i="14"/>
  <c r="T19752" i="14"/>
  <c r="Q19752" i="14"/>
  <c r="E19752" i="14"/>
  <c r="AH19751" i="14"/>
  <c r="V19751" i="14"/>
  <c r="T19751" i="14"/>
  <c r="Q19751" i="14"/>
  <c r="P19751" i="14"/>
  <c r="E19751" i="14"/>
  <c r="AH19750" i="14"/>
  <c r="AE19750" i="14"/>
  <c r="T19750" i="14"/>
  <c r="Q19750" i="14"/>
  <c r="E19750" i="14"/>
  <c r="AH19749" i="14"/>
  <c r="AG19749" i="14"/>
  <c r="AE19749" i="14"/>
  <c r="W19749" i="14"/>
  <c r="V19749" i="14"/>
  <c r="Q19749" i="14"/>
  <c r="P19749" i="14"/>
  <c r="O19749" i="14"/>
  <c r="L19749" i="14"/>
  <c r="K19749" i="14"/>
  <c r="E19749" i="14"/>
  <c r="AH19748" i="14"/>
  <c r="T19748" i="14"/>
  <c r="E19748" i="14"/>
  <c r="AH19747" i="14"/>
  <c r="E19747" i="14"/>
  <c r="AH19746" i="14"/>
  <c r="T19746" i="14"/>
  <c r="E19746" i="14"/>
  <c r="AH19745" i="14"/>
  <c r="V19745" i="14"/>
  <c r="T19745" i="14"/>
  <c r="Q19745" i="14"/>
  <c r="P19745" i="14"/>
  <c r="E19745" i="14"/>
  <c r="AH19744" i="14"/>
  <c r="V19744" i="14"/>
  <c r="U19744" i="14"/>
  <c r="T19744" i="14"/>
  <c r="Q19744" i="14"/>
  <c r="E19744" i="14"/>
  <c r="AH19743" i="14"/>
  <c r="T19743" i="14"/>
  <c r="Q19743" i="14"/>
  <c r="E19743" i="14"/>
  <c r="AH19742" i="14"/>
  <c r="T19742" i="14"/>
  <c r="Q19742" i="14"/>
  <c r="E19742" i="14"/>
  <c r="AH19741" i="14"/>
  <c r="T19741" i="14"/>
  <c r="E19741" i="14"/>
  <c r="AH19740" i="14"/>
  <c r="V19740" i="14"/>
  <c r="T19740" i="14"/>
  <c r="Q19740" i="14"/>
  <c r="E19740" i="14"/>
  <c r="AH19739" i="14"/>
  <c r="V19739" i="14"/>
  <c r="T19739" i="14"/>
  <c r="Q19739" i="14"/>
  <c r="P19739" i="14"/>
  <c r="E19739" i="14"/>
  <c r="AH19738" i="14"/>
  <c r="V19738" i="14"/>
  <c r="T19738" i="14"/>
  <c r="Q19738" i="14"/>
  <c r="E19738" i="14"/>
  <c r="AH19737" i="14"/>
  <c r="V19737" i="14"/>
  <c r="T19737" i="14"/>
  <c r="Q19737" i="14"/>
  <c r="E19737" i="14"/>
  <c r="AH19736" i="14"/>
  <c r="V19736" i="14"/>
  <c r="T19736" i="14"/>
  <c r="Q19736" i="14"/>
  <c r="E19736" i="14"/>
  <c r="AH19735" i="14"/>
  <c r="V19735" i="14"/>
  <c r="T19735" i="14"/>
  <c r="Q19735" i="14"/>
  <c r="E19735" i="14"/>
  <c r="AH19734" i="14"/>
  <c r="U19734" i="14"/>
  <c r="T19734" i="14"/>
  <c r="Q19734" i="14"/>
  <c r="E19734" i="14"/>
  <c r="AH19733" i="14"/>
  <c r="V19733" i="14"/>
  <c r="T19733" i="14"/>
  <c r="Q19733" i="14"/>
  <c r="E19733" i="14"/>
  <c r="AH19732" i="14"/>
  <c r="T19732" i="14"/>
  <c r="Q19732" i="14"/>
  <c r="E19732" i="14"/>
  <c r="AH19731" i="14"/>
  <c r="W19731" i="14"/>
  <c r="V19731" i="14"/>
  <c r="Q19731" i="14"/>
  <c r="M19731" i="14"/>
  <c r="E19731" i="14"/>
  <c r="AH19730" i="14"/>
  <c r="W19730" i="14"/>
  <c r="V19730" i="14"/>
  <c r="U19730" i="14"/>
  <c r="T19730" i="14"/>
  <c r="Q19730" i="14"/>
  <c r="M19730" i="14"/>
  <c r="E19730" i="14"/>
  <c r="AH19729" i="14"/>
  <c r="V19729" i="14"/>
  <c r="T19729" i="14"/>
  <c r="Q19729" i="14"/>
  <c r="E19729" i="14"/>
  <c r="AH19728" i="14"/>
  <c r="T19728" i="14"/>
  <c r="Q19728" i="14"/>
  <c r="E19728" i="14"/>
  <c r="AH19727" i="14"/>
  <c r="V19727" i="14"/>
  <c r="U19727" i="14"/>
  <c r="T19727" i="14"/>
  <c r="Q19727" i="14"/>
  <c r="E19727" i="14"/>
  <c r="AK19726" i="14"/>
  <c r="AH19726" i="14"/>
  <c r="N19726" i="14"/>
  <c r="L19726" i="14"/>
  <c r="E19726" i="14"/>
  <c r="AH19725" i="14"/>
  <c r="T19725" i="14"/>
  <c r="Q19725" i="14"/>
  <c r="L19725" i="14"/>
  <c r="E19725" i="14"/>
  <c r="AH19724" i="14"/>
  <c r="T19724" i="14"/>
  <c r="E19724" i="14"/>
  <c r="AH19723" i="14"/>
  <c r="T19723" i="14"/>
  <c r="Q19723" i="14"/>
  <c r="E19723" i="14"/>
  <c r="AH19722" i="14"/>
  <c r="V19722" i="14"/>
  <c r="T19722" i="14"/>
  <c r="Q19722" i="14"/>
  <c r="E19722" i="14"/>
  <c r="AH19721" i="14"/>
  <c r="V19721" i="14"/>
  <c r="T19721" i="14"/>
  <c r="Q19721" i="14"/>
  <c r="E19721" i="14"/>
  <c r="AH19720" i="14"/>
  <c r="Q19720" i="14"/>
  <c r="E19720" i="14"/>
  <c r="AH19719" i="14"/>
  <c r="AE19719" i="14"/>
  <c r="T19719" i="14"/>
  <c r="Q19719" i="14"/>
  <c r="L19719" i="14"/>
  <c r="E19719" i="14"/>
  <c r="AH19718" i="14"/>
  <c r="V19718" i="14"/>
  <c r="T19718" i="14"/>
  <c r="R19718" i="14"/>
  <c r="Q19718" i="14"/>
  <c r="P19718" i="14"/>
  <c r="O19718" i="14"/>
  <c r="L19718" i="14"/>
  <c r="I19718" i="14"/>
  <c r="H19718" i="14"/>
  <c r="E19718" i="14"/>
  <c r="AH19717" i="14"/>
  <c r="W19717" i="14"/>
  <c r="V19717" i="14"/>
  <c r="U19717" i="14"/>
  <c r="T19717" i="14"/>
  <c r="R19717" i="14"/>
  <c r="Q19717" i="14"/>
  <c r="P19717" i="14"/>
  <c r="O19717" i="14"/>
  <c r="L19717" i="14"/>
  <c r="I19717" i="14"/>
  <c r="H19717" i="14"/>
  <c r="E19717" i="14"/>
  <c r="AH19716" i="14"/>
  <c r="R19716" i="14"/>
  <c r="P19716" i="14"/>
  <c r="O19716" i="14"/>
  <c r="L19716" i="14"/>
  <c r="J19716" i="14"/>
  <c r="I19716" i="14"/>
  <c r="H19716" i="14"/>
  <c r="E19716" i="14"/>
  <c r="AH19715" i="14"/>
  <c r="U19715" i="14"/>
  <c r="T19715" i="14"/>
  <c r="R19715" i="14"/>
  <c r="Q19715" i="14"/>
  <c r="P19715" i="14"/>
  <c r="O19715" i="14"/>
  <c r="L19715" i="14"/>
  <c r="I19715" i="14"/>
  <c r="H19715" i="14"/>
  <c r="E19715" i="14"/>
  <c r="AH19714" i="14"/>
  <c r="V19714" i="14"/>
  <c r="T19714" i="14"/>
  <c r="R19714" i="14"/>
  <c r="Q19714" i="14"/>
  <c r="P19714" i="14"/>
  <c r="O19714" i="14"/>
  <c r="L19714" i="14"/>
  <c r="I19714" i="14"/>
  <c r="H19714" i="14"/>
  <c r="E19714" i="14"/>
  <c r="AH19713" i="14"/>
  <c r="R19713" i="14"/>
  <c r="P19713" i="14"/>
  <c r="O19713" i="14"/>
  <c r="L19713" i="14"/>
  <c r="J19713" i="14"/>
  <c r="I19713" i="14"/>
  <c r="H19713" i="14"/>
  <c r="E19713" i="14"/>
  <c r="AH19712" i="14"/>
  <c r="S19712" i="14"/>
  <c r="R19712" i="14"/>
  <c r="P19712" i="14"/>
  <c r="O19712" i="14"/>
  <c r="L19712" i="14"/>
  <c r="J19712" i="14"/>
  <c r="I19712" i="14"/>
  <c r="H19712" i="14"/>
  <c r="E19712" i="14"/>
  <c r="AH19711" i="14"/>
  <c r="S19711" i="14"/>
  <c r="P19711" i="14"/>
  <c r="O19711" i="14"/>
  <c r="L19711" i="14"/>
  <c r="J19711" i="14"/>
  <c r="I19711" i="14"/>
  <c r="H19711" i="14"/>
  <c r="E19711" i="14"/>
  <c r="AH19710" i="14"/>
  <c r="W19710" i="14"/>
  <c r="V19710" i="14"/>
  <c r="U19710" i="14"/>
  <c r="T19710" i="14"/>
  <c r="S19710" i="14"/>
  <c r="R19710" i="14"/>
  <c r="Q19710" i="14"/>
  <c r="P19710" i="14"/>
  <c r="O19710" i="14"/>
  <c r="L19710" i="14"/>
  <c r="I19710" i="14"/>
  <c r="E19710" i="14"/>
  <c r="AH19709" i="14"/>
  <c r="W19709" i="14"/>
  <c r="V19709" i="14"/>
  <c r="T19709" i="14"/>
  <c r="S19709" i="14"/>
  <c r="R19709" i="14"/>
  <c r="Q19709" i="14"/>
  <c r="P19709" i="14"/>
  <c r="O19709" i="14"/>
  <c r="L19709" i="14"/>
  <c r="I19709" i="14"/>
  <c r="E19709" i="14"/>
  <c r="AH19708" i="14"/>
  <c r="R19708" i="14"/>
  <c r="P19708" i="14"/>
  <c r="O19708" i="14"/>
  <c r="L19708" i="14"/>
  <c r="I19708" i="14"/>
  <c r="E19708" i="14"/>
  <c r="AH19707" i="14"/>
  <c r="S19707" i="14"/>
  <c r="L19707" i="14"/>
  <c r="I19707" i="14"/>
  <c r="E19707" i="14"/>
  <c r="AH19706" i="14"/>
  <c r="L19706" i="14"/>
  <c r="I19706" i="14"/>
  <c r="E19706" i="14"/>
  <c r="AH19705" i="14"/>
  <c r="L19705" i="14"/>
  <c r="I19705" i="14"/>
  <c r="E19705" i="14"/>
  <c r="AH19704" i="14"/>
  <c r="L19704" i="14"/>
  <c r="I19704" i="14"/>
  <c r="E19704" i="14"/>
  <c r="AH19703" i="14"/>
  <c r="S19703" i="14"/>
  <c r="P19703" i="14"/>
  <c r="O19703" i="14"/>
  <c r="L19703" i="14"/>
  <c r="J19703" i="14"/>
  <c r="I19703" i="14"/>
  <c r="H19703" i="14"/>
  <c r="G19703" i="14"/>
  <c r="E19703" i="14"/>
  <c r="AH19702" i="14"/>
  <c r="W19702" i="14"/>
  <c r="V19702" i="14"/>
  <c r="U19702" i="14"/>
  <c r="T19702" i="14"/>
  <c r="S19702" i="14"/>
  <c r="Q19702" i="14"/>
  <c r="P19702" i="14"/>
  <c r="O19702" i="14"/>
  <c r="L19702" i="14"/>
  <c r="J19702" i="14"/>
  <c r="I19702" i="14"/>
  <c r="H19702" i="14"/>
  <c r="G19702" i="14"/>
  <c r="E19702" i="14"/>
  <c r="AH19701" i="14"/>
  <c r="W19701" i="14"/>
  <c r="V19701" i="14"/>
  <c r="U19701" i="14"/>
  <c r="T19701" i="14"/>
  <c r="S19701" i="14"/>
  <c r="Q19701" i="14"/>
  <c r="P19701" i="14"/>
  <c r="O19701" i="14"/>
  <c r="L19701" i="14"/>
  <c r="J19701" i="14"/>
  <c r="I19701" i="14"/>
  <c r="H19701" i="14"/>
  <c r="E19701" i="14"/>
  <c r="AH19700" i="14"/>
  <c r="AG19700" i="14"/>
  <c r="AE19700" i="14"/>
  <c r="V19700" i="14"/>
  <c r="T19700" i="14"/>
  <c r="S19700" i="14"/>
  <c r="Q19700" i="14"/>
  <c r="P19700" i="14"/>
  <c r="O19700" i="14"/>
  <c r="L19700" i="14"/>
  <c r="J19700" i="14"/>
  <c r="I19700" i="14"/>
  <c r="H19700" i="14"/>
  <c r="E19700" i="14"/>
  <c r="AH19699" i="14"/>
  <c r="S19699" i="14"/>
  <c r="O19699" i="14"/>
  <c r="L19699" i="14"/>
  <c r="I19699" i="14"/>
  <c r="H19699" i="14"/>
  <c r="E19699" i="14"/>
  <c r="AK19698" i="14"/>
  <c r="AH19698" i="14"/>
  <c r="AG19698" i="14"/>
  <c r="AF19698" i="14"/>
  <c r="AE19698" i="14"/>
  <c r="W19698" i="14"/>
  <c r="V19698" i="14"/>
  <c r="U19698" i="14"/>
  <c r="T19698" i="14"/>
  <c r="S19698" i="14"/>
  <c r="Q19698" i="14"/>
  <c r="P19698" i="14"/>
  <c r="O19698" i="14"/>
  <c r="L19698" i="14"/>
  <c r="J19698" i="14"/>
  <c r="I19698" i="14"/>
  <c r="H19698" i="14"/>
  <c r="G19698" i="14"/>
  <c r="E19698" i="14"/>
  <c r="AK19697" i="14"/>
  <c r="AH19697" i="14"/>
  <c r="W19697" i="14"/>
  <c r="V19697" i="14"/>
  <c r="U19697" i="14"/>
  <c r="T19697" i="14"/>
  <c r="S19697" i="14"/>
  <c r="R19697" i="14"/>
  <c r="Q19697" i="14"/>
  <c r="P19697" i="14"/>
  <c r="O19697" i="14"/>
  <c r="L19697" i="14"/>
  <c r="J19697" i="14"/>
  <c r="I19697" i="14"/>
  <c r="H19697" i="14"/>
  <c r="E19697" i="14"/>
  <c r="AH19696" i="14"/>
  <c r="S19696" i="14"/>
  <c r="P19696" i="14"/>
  <c r="O19696" i="14"/>
  <c r="L19696" i="14"/>
  <c r="I19696" i="14"/>
  <c r="H19696" i="14"/>
  <c r="E19696" i="14"/>
  <c r="AK19695" i="14"/>
  <c r="AH19695" i="14"/>
  <c r="AE19695" i="14"/>
  <c r="S19695" i="14"/>
  <c r="R19695" i="14"/>
  <c r="Q19695" i="14"/>
  <c r="P19695" i="14"/>
  <c r="O19695" i="14"/>
  <c r="L19695" i="14"/>
  <c r="J19695" i="14"/>
  <c r="I19695" i="14"/>
  <c r="H19695" i="14"/>
  <c r="E19695" i="14"/>
  <c r="AH19694" i="14"/>
  <c r="O19694" i="14"/>
  <c r="H19694" i="14"/>
  <c r="E19694" i="14"/>
  <c r="AH19693" i="14"/>
  <c r="O19693" i="14"/>
  <c r="H19693" i="14"/>
  <c r="E19693" i="14"/>
  <c r="AH19692" i="14"/>
  <c r="S19692" i="14"/>
  <c r="P19692" i="14"/>
  <c r="O19692" i="14"/>
  <c r="L19692" i="14"/>
  <c r="J19692" i="14"/>
  <c r="I19692" i="14"/>
  <c r="E19692" i="14"/>
  <c r="AH19691" i="14"/>
  <c r="L19691" i="14"/>
  <c r="J19691" i="14"/>
  <c r="I19691" i="14"/>
  <c r="H19691" i="14"/>
  <c r="G19691" i="14"/>
  <c r="E19691" i="14"/>
  <c r="AH19690" i="14"/>
  <c r="O19690" i="14"/>
  <c r="E19690" i="14"/>
  <c r="AH19689" i="14"/>
  <c r="U19689" i="14"/>
  <c r="T19689" i="14"/>
  <c r="S19689" i="14"/>
  <c r="R19689" i="14"/>
  <c r="Q19689" i="14"/>
  <c r="P19689" i="14"/>
  <c r="O19689" i="14"/>
  <c r="L19689" i="14"/>
  <c r="J19689" i="14"/>
  <c r="I19689" i="14"/>
  <c r="H19689" i="14"/>
  <c r="E19689" i="14"/>
  <c r="AH19688" i="14"/>
  <c r="AE19688" i="14"/>
  <c r="S19688" i="14"/>
  <c r="Q19688" i="14"/>
  <c r="P19688" i="14"/>
  <c r="O19688" i="14"/>
  <c r="L19688" i="14"/>
  <c r="J19688" i="14"/>
  <c r="I19688" i="14"/>
  <c r="H19688" i="14"/>
  <c r="E19688" i="14"/>
  <c r="AH19687" i="14"/>
  <c r="S19687" i="14"/>
  <c r="O19687" i="14"/>
  <c r="L19687" i="14"/>
  <c r="I19687" i="14"/>
  <c r="E19687" i="14"/>
  <c r="AH19686" i="14"/>
  <c r="S19686" i="14"/>
  <c r="P19686" i="14"/>
  <c r="O19686" i="14"/>
  <c r="L19686" i="14"/>
  <c r="I19686" i="14"/>
  <c r="H19686" i="14"/>
  <c r="E19686" i="14"/>
  <c r="AH19685" i="14"/>
  <c r="V19685" i="14"/>
  <c r="T19685" i="14"/>
  <c r="Q19685" i="14"/>
  <c r="P19685" i="14"/>
  <c r="O19685" i="14"/>
  <c r="L19685" i="14"/>
  <c r="I19685" i="14"/>
  <c r="E19685" i="14"/>
  <c r="AH19684" i="14"/>
  <c r="V19684" i="14"/>
  <c r="U19684" i="14"/>
  <c r="T19684" i="14"/>
  <c r="Q19684" i="14"/>
  <c r="P19684" i="14"/>
  <c r="O19684" i="14"/>
  <c r="L19684" i="14"/>
  <c r="I19684" i="14"/>
  <c r="E19684" i="14"/>
  <c r="AH19683" i="14"/>
  <c r="W19683" i="14"/>
  <c r="V19683" i="14"/>
  <c r="T19683" i="14"/>
  <c r="S19683" i="14"/>
  <c r="R19683" i="14"/>
  <c r="Q19683" i="14"/>
  <c r="P19683" i="14"/>
  <c r="O19683" i="14"/>
  <c r="L19683" i="14"/>
  <c r="I19683" i="14"/>
  <c r="E19683" i="14"/>
  <c r="AH19682" i="14"/>
  <c r="V19682" i="14"/>
  <c r="T19682" i="14"/>
  <c r="Q19682" i="14"/>
  <c r="P19682" i="14"/>
  <c r="O19682" i="14"/>
  <c r="L19682" i="14"/>
  <c r="I19682" i="14"/>
  <c r="E19682" i="14"/>
  <c r="AH19681" i="14"/>
  <c r="S19681" i="14"/>
  <c r="R19681" i="14"/>
  <c r="Q19681" i="14"/>
  <c r="P19681" i="14"/>
  <c r="O19681" i="14"/>
  <c r="L19681" i="14"/>
  <c r="J19681" i="14"/>
  <c r="I19681" i="14"/>
  <c r="H19681" i="14"/>
  <c r="E19681" i="14"/>
  <c r="AH19680" i="14"/>
  <c r="S19680" i="14"/>
  <c r="P19680" i="14"/>
  <c r="O19680" i="14"/>
  <c r="L19680" i="14"/>
  <c r="I19680" i="14"/>
  <c r="E19680" i="14"/>
  <c r="AH19679" i="14"/>
  <c r="V19679" i="14"/>
  <c r="T19679" i="14"/>
  <c r="S19679" i="14"/>
  <c r="Q19679" i="14"/>
  <c r="P19679" i="14"/>
  <c r="O19679" i="14"/>
  <c r="L19679" i="14"/>
  <c r="I19679" i="14"/>
  <c r="E19679" i="14"/>
  <c r="AH19678" i="14"/>
  <c r="AE19678" i="14"/>
  <c r="R19678" i="14"/>
  <c r="Q19678" i="14"/>
  <c r="P19678" i="14"/>
  <c r="O19678" i="14"/>
  <c r="L19678" i="14"/>
  <c r="J19678" i="14"/>
  <c r="I19678" i="14"/>
  <c r="H19678" i="14"/>
  <c r="E19678" i="14"/>
  <c r="AL19677" i="14"/>
  <c r="AH19677" i="14"/>
  <c r="O19677" i="14"/>
  <c r="I19677" i="14"/>
  <c r="G19677" i="14"/>
  <c r="E19677" i="14"/>
  <c r="AH19676" i="14"/>
  <c r="W19676" i="14"/>
  <c r="V19676" i="14"/>
  <c r="U19676" i="14"/>
  <c r="T19676" i="14"/>
  <c r="S19676" i="14"/>
  <c r="R19676" i="14"/>
  <c r="Q19676" i="14"/>
  <c r="P19676" i="14"/>
  <c r="O19676" i="14"/>
  <c r="L19676" i="14"/>
  <c r="J19676" i="14"/>
  <c r="I19676" i="14"/>
  <c r="H19676" i="14"/>
  <c r="E19676" i="14"/>
  <c r="AH19675" i="14"/>
  <c r="W19675" i="14"/>
  <c r="V19675" i="14"/>
  <c r="T19675" i="14"/>
  <c r="Q19675" i="14"/>
  <c r="P19675" i="14"/>
  <c r="O19675" i="14"/>
  <c r="L19675" i="14"/>
  <c r="I19675" i="14"/>
  <c r="E19675" i="14"/>
  <c r="AH19674" i="14"/>
  <c r="S19674" i="14"/>
  <c r="Q19674" i="14"/>
  <c r="P19674" i="14"/>
  <c r="O19674" i="14"/>
  <c r="L19674" i="14"/>
  <c r="I19674" i="14"/>
  <c r="E19674" i="14"/>
  <c r="AH19673" i="14"/>
  <c r="S19673" i="14"/>
  <c r="P19673" i="14"/>
  <c r="O19673" i="14"/>
  <c r="L19673" i="14"/>
  <c r="I19673" i="14"/>
  <c r="H19673" i="14"/>
  <c r="E19673" i="14"/>
  <c r="AH19672" i="14"/>
  <c r="S19672" i="14"/>
  <c r="P19672" i="14"/>
  <c r="O19672" i="14"/>
  <c r="L19672" i="14"/>
  <c r="I19672" i="14"/>
  <c r="E19672" i="14"/>
  <c r="AH19671" i="14"/>
  <c r="V19671" i="14"/>
  <c r="U19671" i="14"/>
  <c r="T19671" i="14"/>
  <c r="S19671" i="14"/>
  <c r="Q19671" i="14"/>
  <c r="P19671" i="14"/>
  <c r="O19671" i="14"/>
  <c r="L19671" i="14"/>
  <c r="I19671" i="14"/>
  <c r="E19671" i="14"/>
  <c r="AH19670" i="14"/>
  <c r="S19670" i="14"/>
  <c r="P19670" i="14"/>
  <c r="O19670" i="14"/>
  <c r="L19670" i="14"/>
  <c r="I19670" i="14"/>
  <c r="E19670" i="14"/>
  <c r="AH19669" i="14"/>
  <c r="AF19669" i="14"/>
  <c r="AE19669" i="14"/>
  <c r="V19669" i="14"/>
  <c r="U19669" i="14"/>
  <c r="T19669" i="14"/>
  <c r="S19669" i="14"/>
  <c r="Q19669" i="14"/>
  <c r="P19669" i="14"/>
  <c r="O19669" i="14"/>
  <c r="L19669" i="14"/>
  <c r="J19669" i="14"/>
  <c r="I19669" i="14"/>
  <c r="E19669" i="14"/>
  <c r="AH19668" i="14"/>
  <c r="W19668" i="14"/>
  <c r="V19668" i="14"/>
  <c r="U19668" i="14"/>
  <c r="T19668" i="14"/>
  <c r="Q19668" i="14"/>
  <c r="P19668" i="14"/>
  <c r="O19668" i="14"/>
  <c r="L19668" i="14"/>
  <c r="I19668" i="14"/>
  <c r="E19668" i="14"/>
  <c r="AH19667" i="14"/>
  <c r="V19667" i="14"/>
  <c r="T19667" i="14"/>
  <c r="S19667" i="14"/>
  <c r="Q19667" i="14"/>
  <c r="P19667" i="14"/>
  <c r="O19667" i="14"/>
  <c r="L19667" i="14"/>
  <c r="I19667" i="14"/>
  <c r="E19667" i="14"/>
  <c r="AH19666" i="14"/>
  <c r="W19666" i="14"/>
  <c r="V19666" i="14"/>
  <c r="U19666" i="14"/>
  <c r="T19666" i="14"/>
  <c r="S19666" i="14"/>
  <c r="R19666" i="14"/>
  <c r="Q19666" i="14"/>
  <c r="P19666" i="14"/>
  <c r="O19666" i="14"/>
  <c r="L19666" i="14"/>
  <c r="I19666" i="14"/>
  <c r="E19666" i="14"/>
  <c r="AH19665" i="14"/>
  <c r="S19665" i="14"/>
  <c r="P19665" i="14"/>
  <c r="O19665" i="14"/>
  <c r="L19665" i="14"/>
  <c r="I19665" i="14"/>
  <c r="E19665" i="14"/>
  <c r="AH19664" i="14"/>
  <c r="S19664" i="14"/>
  <c r="R19664" i="14"/>
  <c r="P19664" i="14"/>
  <c r="O19664" i="14"/>
  <c r="L19664" i="14"/>
  <c r="I19664" i="14"/>
  <c r="E19664" i="14"/>
  <c r="AH19663" i="14"/>
  <c r="S19663" i="14"/>
  <c r="R19663" i="14"/>
  <c r="P19663" i="14"/>
  <c r="O19663" i="14"/>
  <c r="L19663" i="14"/>
  <c r="I19663" i="14"/>
  <c r="E19663" i="14"/>
  <c r="AH19662" i="14"/>
  <c r="V19662" i="14"/>
  <c r="T19662" i="14"/>
  <c r="R19662" i="14"/>
  <c r="Q19662" i="14"/>
  <c r="P19662" i="14"/>
  <c r="O19662" i="14"/>
  <c r="L19662" i="14"/>
  <c r="I19662" i="14"/>
  <c r="E19662" i="14"/>
  <c r="AH19661" i="14"/>
  <c r="L19661" i="14"/>
  <c r="I19661" i="14"/>
  <c r="E19661" i="14"/>
  <c r="AH19660" i="14"/>
  <c r="V19660" i="14"/>
  <c r="T19660" i="14"/>
  <c r="R19660" i="14"/>
  <c r="Q19660" i="14"/>
  <c r="P19660" i="14"/>
  <c r="O19660" i="14"/>
  <c r="L19660" i="14"/>
  <c r="I19660" i="14"/>
  <c r="E19660" i="14"/>
  <c r="AH19659" i="14"/>
  <c r="S19659" i="14"/>
  <c r="Q19659" i="14"/>
  <c r="P19659" i="14"/>
  <c r="O19659" i="14"/>
  <c r="L19659" i="14"/>
  <c r="I19659" i="14"/>
  <c r="E19659" i="14"/>
  <c r="AH19658" i="14"/>
  <c r="S19658" i="14"/>
  <c r="P19658" i="14"/>
  <c r="O19658" i="14"/>
  <c r="L19658" i="14"/>
  <c r="I19658" i="14"/>
  <c r="E19658" i="14"/>
  <c r="AH19657" i="14"/>
  <c r="S19657" i="14"/>
  <c r="P19657" i="14"/>
  <c r="O19657" i="14"/>
  <c r="L19657" i="14"/>
  <c r="I19657" i="14"/>
  <c r="E19657" i="14"/>
  <c r="AH19656" i="14"/>
  <c r="V19656" i="14"/>
  <c r="U19656" i="14"/>
  <c r="T19656" i="14"/>
  <c r="S19656" i="14"/>
  <c r="Q19656" i="14"/>
  <c r="P19656" i="14"/>
  <c r="O19656" i="14"/>
  <c r="L19656" i="14"/>
  <c r="I19656" i="14"/>
  <c r="E19656" i="14"/>
  <c r="AH19655" i="14"/>
  <c r="S19655" i="14"/>
  <c r="R19655" i="14"/>
  <c r="Q19655" i="14"/>
  <c r="P19655" i="14"/>
  <c r="O19655" i="14"/>
  <c r="L19655" i="14"/>
  <c r="I19655" i="14"/>
  <c r="E19655" i="14"/>
  <c r="AH19654" i="14"/>
  <c r="W19654" i="14"/>
  <c r="V19654" i="14"/>
  <c r="T19654" i="14"/>
  <c r="S19654" i="14"/>
  <c r="R19654" i="14"/>
  <c r="Q19654" i="14"/>
  <c r="P19654" i="14"/>
  <c r="O19654" i="14"/>
  <c r="L19654" i="14"/>
  <c r="I19654" i="14"/>
  <c r="E19654" i="14"/>
  <c r="AH19653" i="14"/>
  <c r="S19653" i="14"/>
  <c r="O19653" i="14"/>
  <c r="L19653" i="14"/>
  <c r="I19653" i="14"/>
  <c r="E19653" i="14"/>
  <c r="AK19652" i="14"/>
  <c r="AH19652" i="14"/>
  <c r="Q19652" i="14"/>
  <c r="P19652" i="14"/>
  <c r="O19652" i="14"/>
  <c r="L19652" i="14"/>
  <c r="J19652" i="14"/>
  <c r="I19652" i="14"/>
  <c r="E19652" i="14"/>
  <c r="AH19651" i="14"/>
  <c r="AE19651" i="14"/>
  <c r="T19651" i="14"/>
  <c r="S19651" i="14"/>
  <c r="Q19651" i="14"/>
  <c r="P19651" i="14"/>
  <c r="O19651" i="14"/>
  <c r="L19651" i="14"/>
  <c r="J19651" i="14"/>
  <c r="I19651" i="14"/>
  <c r="H19651" i="14"/>
  <c r="E19651" i="14"/>
  <c r="AL19650" i="14"/>
  <c r="AH19650" i="14"/>
  <c r="W19650" i="14"/>
  <c r="V19650" i="14"/>
  <c r="U19650" i="14"/>
  <c r="T19650" i="14"/>
  <c r="Q19650" i="14"/>
  <c r="O19650" i="14"/>
  <c r="I19650" i="14"/>
  <c r="H19650" i="14"/>
  <c r="G19650" i="14"/>
  <c r="E19650" i="14"/>
  <c r="AH19649" i="14"/>
  <c r="W19649" i="14"/>
  <c r="V19649" i="14"/>
  <c r="U19649" i="14"/>
  <c r="T19649" i="14"/>
  <c r="S19649" i="14"/>
  <c r="Q19649" i="14"/>
  <c r="P19649" i="14"/>
  <c r="O19649" i="14"/>
  <c r="L19649" i="14"/>
  <c r="I19649" i="14"/>
  <c r="E19649" i="14"/>
  <c r="AH19648" i="14"/>
  <c r="S19648" i="14"/>
  <c r="O19648" i="14"/>
  <c r="L19648" i="14"/>
  <c r="I19648" i="14"/>
  <c r="H19648" i="14"/>
  <c r="E19648" i="14"/>
  <c r="AH19647" i="14"/>
  <c r="W19647" i="14"/>
  <c r="V19647" i="14"/>
  <c r="U19647" i="14"/>
  <c r="T19647" i="14"/>
  <c r="S19647" i="14"/>
  <c r="R19647" i="14"/>
  <c r="Q19647" i="14"/>
  <c r="P19647" i="14"/>
  <c r="O19647" i="14"/>
  <c r="L19647" i="14"/>
  <c r="I19647" i="14"/>
  <c r="E19647" i="14"/>
  <c r="AH19646" i="14"/>
  <c r="V19646" i="14"/>
  <c r="T19646" i="14"/>
  <c r="S19646" i="14"/>
  <c r="R19646" i="14"/>
  <c r="Q19646" i="14"/>
  <c r="P19646" i="14"/>
  <c r="O19646" i="14"/>
  <c r="L19646" i="14"/>
  <c r="I19646" i="14"/>
  <c r="E19646" i="14"/>
  <c r="AH19645" i="14"/>
  <c r="W19645" i="14"/>
  <c r="V19645" i="14"/>
  <c r="Q19645" i="14"/>
  <c r="P19645" i="14"/>
  <c r="O19645" i="14"/>
  <c r="L19645" i="14"/>
  <c r="I19645" i="14"/>
  <c r="E19645" i="14"/>
  <c r="AH19644" i="14"/>
  <c r="W19644" i="14"/>
  <c r="V19644" i="14"/>
  <c r="T19644" i="14"/>
  <c r="S19644" i="14"/>
  <c r="Q19644" i="14"/>
  <c r="P19644" i="14"/>
  <c r="O19644" i="14"/>
  <c r="L19644" i="14"/>
  <c r="I19644" i="14"/>
  <c r="E19644" i="14"/>
  <c r="AH19643" i="14"/>
  <c r="S19643" i="14"/>
  <c r="R19643" i="14"/>
  <c r="P19643" i="14"/>
  <c r="O19643" i="14"/>
  <c r="L19643" i="14"/>
  <c r="I19643" i="14"/>
  <c r="E19643" i="14"/>
  <c r="AH19642" i="14"/>
  <c r="V19642" i="14"/>
  <c r="T19642" i="14"/>
  <c r="S19642" i="14"/>
  <c r="R19642" i="14"/>
  <c r="Q19642" i="14"/>
  <c r="P19642" i="14"/>
  <c r="O19642" i="14"/>
  <c r="L19642" i="14"/>
  <c r="I19642" i="14"/>
  <c r="E19642" i="14"/>
  <c r="AH19641" i="14"/>
  <c r="T19641" i="14"/>
  <c r="Q19641" i="14"/>
  <c r="P19641" i="14"/>
  <c r="O19641" i="14"/>
  <c r="L19641" i="14"/>
  <c r="I19641" i="14"/>
  <c r="E19641" i="14"/>
  <c r="AH19640" i="14"/>
  <c r="Q19640" i="14"/>
  <c r="P19640" i="14"/>
  <c r="O19640" i="14"/>
  <c r="L19640" i="14"/>
  <c r="I19640" i="14"/>
  <c r="E19640" i="14"/>
  <c r="AH19639" i="14"/>
  <c r="W19639" i="14"/>
  <c r="V19639" i="14"/>
  <c r="U19639" i="14"/>
  <c r="T19639" i="14"/>
  <c r="Q19639" i="14"/>
  <c r="P19639" i="14"/>
  <c r="O19639" i="14"/>
  <c r="L19639" i="14"/>
  <c r="I19639" i="14"/>
  <c r="E19639" i="14"/>
  <c r="AH19638" i="14"/>
  <c r="V19638" i="14"/>
  <c r="T19638" i="14"/>
  <c r="S19638" i="14"/>
  <c r="Q19638" i="14"/>
  <c r="P19638" i="14"/>
  <c r="O19638" i="14"/>
  <c r="L19638" i="14"/>
  <c r="E19638" i="14"/>
  <c r="AH19637" i="14"/>
  <c r="S19637" i="14"/>
  <c r="P19637" i="14"/>
  <c r="O19637" i="14"/>
  <c r="L19637" i="14"/>
  <c r="I19637" i="14"/>
  <c r="E19637" i="14"/>
  <c r="AH19636" i="14"/>
  <c r="Q19636" i="14"/>
  <c r="P19636" i="14"/>
  <c r="O19636" i="14"/>
  <c r="L19636" i="14"/>
  <c r="I19636" i="14"/>
  <c r="E19636" i="14"/>
  <c r="AK19635" i="14"/>
  <c r="AH19635" i="14"/>
  <c r="V19635" i="14"/>
  <c r="T19635" i="14"/>
  <c r="S19635" i="14"/>
  <c r="R19635" i="14"/>
  <c r="Q19635" i="14"/>
  <c r="P19635" i="14"/>
  <c r="O19635" i="14"/>
  <c r="J19635" i="14"/>
  <c r="E19635" i="14"/>
  <c r="AH19634" i="14"/>
  <c r="W19634" i="14"/>
  <c r="V19634" i="14"/>
  <c r="U19634" i="14"/>
  <c r="T19634" i="14"/>
  <c r="Q19634" i="14"/>
  <c r="P19634" i="14"/>
  <c r="O19634" i="14"/>
  <c r="L19634" i="14"/>
  <c r="I19634" i="14"/>
  <c r="E19634" i="14"/>
  <c r="AH19633" i="14"/>
  <c r="W19633" i="14"/>
  <c r="V19633" i="14"/>
  <c r="R19633" i="14"/>
  <c r="L19633" i="14"/>
  <c r="J19633" i="14"/>
  <c r="E19633" i="14"/>
  <c r="AH19632" i="14"/>
  <c r="V19632" i="14"/>
  <c r="T19632" i="14"/>
  <c r="R19632" i="14"/>
  <c r="Q19632" i="14"/>
  <c r="P19632" i="14"/>
  <c r="O19632" i="14"/>
  <c r="J19632" i="14"/>
  <c r="I19632" i="14"/>
  <c r="E19632" i="14"/>
  <c r="AH19631" i="14"/>
  <c r="V19631" i="14"/>
  <c r="T19631" i="14"/>
  <c r="R19631" i="14"/>
  <c r="Q19631" i="14"/>
  <c r="P19631" i="14"/>
  <c r="O19631" i="14"/>
  <c r="J19631" i="14"/>
  <c r="E19631" i="14"/>
  <c r="AH19630" i="14"/>
  <c r="L19630" i="14"/>
  <c r="J19630" i="14"/>
  <c r="E19630" i="14"/>
  <c r="AH19629" i="14"/>
  <c r="L19629" i="14"/>
  <c r="J19629" i="14"/>
  <c r="E19629" i="14"/>
  <c r="AH19628" i="14"/>
  <c r="L19628" i="14"/>
  <c r="J19628" i="14"/>
  <c r="E19628" i="14"/>
  <c r="AH19627" i="14"/>
  <c r="V19627" i="14"/>
  <c r="T19627" i="14"/>
  <c r="R19627" i="14"/>
  <c r="Q19627" i="14"/>
  <c r="P19627" i="14"/>
  <c r="O19627" i="14"/>
  <c r="L19627" i="14"/>
  <c r="J19627" i="14"/>
  <c r="E19627" i="14"/>
  <c r="AH19626" i="14"/>
  <c r="AE19626" i="14"/>
  <c r="Q19626" i="14"/>
  <c r="P19626" i="14"/>
  <c r="O19626" i="14"/>
  <c r="L19626" i="14"/>
  <c r="J19626" i="14"/>
  <c r="I19626" i="14"/>
  <c r="E19626" i="14"/>
  <c r="AH19625" i="14"/>
  <c r="Q19625" i="14"/>
  <c r="P19625" i="14"/>
  <c r="O19625" i="14"/>
  <c r="L19625" i="14"/>
  <c r="I19625" i="14"/>
  <c r="E19625" i="14"/>
  <c r="AH19624" i="14"/>
  <c r="V19624" i="14"/>
  <c r="U19624" i="14"/>
  <c r="T19624" i="14"/>
  <c r="S19624" i="14"/>
  <c r="Q19624" i="14"/>
  <c r="P19624" i="14"/>
  <c r="O19624" i="14"/>
  <c r="L19624" i="14"/>
  <c r="I19624" i="14"/>
  <c r="E19624" i="14"/>
  <c r="AH19623" i="14"/>
  <c r="V19623" i="14"/>
  <c r="T19623" i="14"/>
  <c r="Q19623" i="14"/>
  <c r="P19623" i="14"/>
  <c r="O19623" i="14"/>
  <c r="J19623" i="14"/>
  <c r="E19623" i="14"/>
  <c r="AH19622" i="14"/>
  <c r="V19622" i="14"/>
  <c r="T19622" i="14"/>
  <c r="R19622" i="14"/>
  <c r="Q19622" i="14"/>
  <c r="P19622" i="14"/>
  <c r="O19622" i="14"/>
  <c r="J19622" i="14"/>
  <c r="E19622" i="14"/>
  <c r="AH19621" i="14"/>
  <c r="W19621" i="14"/>
  <c r="V19621" i="14"/>
  <c r="U19621" i="14"/>
  <c r="T19621" i="14"/>
  <c r="S19621" i="14"/>
  <c r="Q19621" i="14"/>
  <c r="P19621" i="14"/>
  <c r="O19621" i="14"/>
  <c r="L19621" i="14"/>
  <c r="I19621" i="14"/>
  <c r="E19621" i="14"/>
  <c r="AH19620" i="14"/>
  <c r="O19620" i="14"/>
  <c r="E19620" i="14"/>
  <c r="O19619" i="14"/>
  <c r="E19619" i="14"/>
  <c r="AH19618" i="14"/>
  <c r="O19618" i="14"/>
  <c r="H19618" i="14"/>
  <c r="E19618" i="14"/>
  <c r="AH19617" i="14"/>
  <c r="V19617" i="14"/>
  <c r="U19617" i="14"/>
  <c r="T19617" i="14"/>
  <c r="S19617" i="14"/>
  <c r="Q19617" i="14"/>
  <c r="P19617" i="14"/>
  <c r="O19617" i="14"/>
  <c r="L19617" i="14"/>
  <c r="I19617" i="14"/>
  <c r="E19617" i="14"/>
  <c r="AH19616" i="14"/>
  <c r="Q19616" i="14"/>
  <c r="P19616" i="14"/>
  <c r="O19616" i="14"/>
  <c r="L19616" i="14"/>
  <c r="I19616" i="14"/>
  <c r="E19616" i="14"/>
  <c r="AH19615" i="14"/>
  <c r="W19615" i="14"/>
  <c r="V19615" i="14"/>
  <c r="U19615" i="14"/>
  <c r="T19615" i="14"/>
  <c r="S19615" i="14"/>
  <c r="Q19615" i="14"/>
  <c r="P19615" i="14"/>
  <c r="O19615" i="14"/>
  <c r="L19615" i="14"/>
  <c r="I19615" i="14"/>
  <c r="H19615" i="14"/>
  <c r="E19615" i="14"/>
  <c r="AH19614" i="14"/>
  <c r="AG19614" i="14"/>
  <c r="AE19614" i="14"/>
  <c r="W19614" i="14"/>
  <c r="V19614" i="14"/>
  <c r="Q19614" i="14"/>
  <c r="P19614" i="14"/>
  <c r="O19614" i="14"/>
  <c r="L19614" i="14"/>
  <c r="J19614" i="14"/>
  <c r="I19614" i="14"/>
  <c r="H19614" i="14"/>
  <c r="E19614" i="14"/>
  <c r="AH19613" i="14"/>
  <c r="S19613" i="14"/>
  <c r="P19613" i="14"/>
  <c r="O19613" i="14"/>
  <c r="L19613" i="14"/>
  <c r="J19613" i="14"/>
  <c r="I19613" i="14"/>
  <c r="H19613" i="14"/>
  <c r="E19613" i="14"/>
  <c r="AH19612" i="14"/>
  <c r="V19612" i="14"/>
  <c r="T19612" i="14"/>
  <c r="S19612" i="14"/>
  <c r="Q19612" i="14"/>
  <c r="P19612" i="14"/>
  <c r="O19612" i="14"/>
  <c r="L19612" i="14"/>
  <c r="I19612" i="14"/>
  <c r="H19612" i="14"/>
  <c r="E19612" i="14"/>
  <c r="AH19611" i="14"/>
  <c r="W19611" i="14"/>
  <c r="V19611" i="14"/>
  <c r="T19611" i="14"/>
  <c r="S19611" i="14"/>
  <c r="R19611" i="14"/>
  <c r="Q19611" i="14"/>
  <c r="P19611" i="14"/>
  <c r="O19611" i="14"/>
  <c r="L19611" i="14"/>
  <c r="I19611" i="14"/>
  <c r="E19611" i="14"/>
  <c r="AH19610" i="14"/>
  <c r="S19610" i="14"/>
  <c r="P19610" i="14"/>
  <c r="O19610" i="14"/>
  <c r="L19610" i="14"/>
  <c r="I19610" i="14"/>
  <c r="E19610" i="14"/>
  <c r="AH19609" i="14"/>
  <c r="V19609" i="14"/>
  <c r="U19609" i="14"/>
  <c r="T19609" i="14"/>
  <c r="S19609" i="14"/>
  <c r="Q19609" i="14"/>
  <c r="P19609" i="14"/>
  <c r="O19609" i="14"/>
  <c r="L19609" i="14"/>
  <c r="I19609" i="14"/>
  <c r="E19609" i="14"/>
  <c r="AH19608" i="14"/>
  <c r="O19608" i="14"/>
  <c r="L19608" i="14"/>
  <c r="I19608" i="14"/>
  <c r="E19608" i="14"/>
  <c r="AH19607" i="14"/>
  <c r="L19607" i="14"/>
  <c r="I19607" i="14"/>
  <c r="E19607" i="14"/>
  <c r="AH19606" i="14"/>
  <c r="V19606" i="14"/>
  <c r="T19606" i="14"/>
  <c r="S19606" i="14"/>
  <c r="R19606" i="14"/>
  <c r="Q19606" i="14"/>
  <c r="P19606" i="14"/>
  <c r="O19606" i="14"/>
  <c r="L19606" i="14"/>
  <c r="I19606" i="14"/>
  <c r="E19606" i="14"/>
  <c r="AH19605" i="14"/>
  <c r="S19605" i="14"/>
  <c r="P19605" i="14"/>
  <c r="O19605" i="14"/>
  <c r="L19605" i="14"/>
  <c r="I19605" i="14"/>
  <c r="E19605" i="14"/>
  <c r="AH19604" i="14"/>
  <c r="V19604" i="14"/>
  <c r="T19604" i="14"/>
  <c r="S19604" i="14"/>
  <c r="Q19604" i="14"/>
  <c r="P19604" i="14"/>
  <c r="O19604" i="14"/>
  <c r="L19604" i="14"/>
  <c r="I19604" i="14"/>
  <c r="E19604" i="14"/>
  <c r="AH19603" i="14"/>
  <c r="V19603" i="14"/>
  <c r="U19603" i="14"/>
  <c r="T19603" i="14"/>
  <c r="S19603" i="14"/>
  <c r="Q19603" i="14"/>
  <c r="P19603" i="14"/>
  <c r="O19603" i="14"/>
  <c r="L19603" i="14"/>
  <c r="I19603" i="14"/>
  <c r="E19603" i="14"/>
  <c r="AH19602" i="14"/>
  <c r="S19602" i="14"/>
  <c r="O19602" i="14"/>
  <c r="L19602" i="14"/>
  <c r="I19602" i="14"/>
  <c r="E19602" i="14"/>
  <c r="AH19601" i="14"/>
  <c r="V19601" i="14"/>
  <c r="T19601" i="14"/>
  <c r="S19601" i="14"/>
  <c r="R19601" i="14"/>
  <c r="Q19601" i="14"/>
  <c r="P19601" i="14"/>
  <c r="O19601" i="14"/>
  <c r="L19601" i="14"/>
  <c r="I19601" i="14"/>
  <c r="E19601" i="14"/>
  <c r="AH19600" i="14"/>
  <c r="V19600" i="14"/>
  <c r="U19600" i="14"/>
  <c r="T19600" i="14"/>
  <c r="S19600" i="14"/>
  <c r="Q19600" i="14"/>
  <c r="P19600" i="14"/>
  <c r="O19600" i="14"/>
  <c r="L19600" i="14"/>
  <c r="I19600" i="14"/>
  <c r="E19600" i="14"/>
  <c r="AH19599" i="14"/>
  <c r="V19599" i="14"/>
  <c r="T19599" i="14"/>
  <c r="S19599" i="14"/>
  <c r="Q19599" i="14"/>
  <c r="P19599" i="14"/>
  <c r="O19599" i="14"/>
  <c r="L19599" i="14"/>
  <c r="I19599" i="14"/>
  <c r="E19599" i="14"/>
  <c r="AH19598" i="14"/>
  <c r="V19598" i="14"/>
  <c r="T19598" i="14"/>
  <c r="S19598" i="14"/>
  <c r="Q19598" i="14"/>
  <c r="L19598" i="14"/>
  <c r="I19598" i="14"/>
  <c r="E19598" i="14"/>
  <c r="AH19597" i="14"/>
  <c r="S19597" i="14"/>
  <c r="L19597" i="14"/>
  <c r="J19597" i="14"/>
  <c r="I19597" i="14"/>
  <c r="E19597" i="14"/>
  <c r="AH19596" i="14"/>
  <c r="V19596" i="14"/>
  <c r="U19596" i="14"/>
  <c r="T19596" i="14"/>
  <c r="Q19596" i="14"/>
  <c r="P19596" i="14"/>
  <c r="O19596" i="14"/>
  <c r="L19596" i="14"/>
  <c r="I19596" i="14"/>
  <c r="E19596" i="14"/>
  <c r="AH19595" i="14"/>
  <c r="U19595" i="14"/>
  <c r="T19595" i="14"/>
  <c r="Q19595" i="14"/>
  <c r="P19595" i="14"/>
  <c r="O19595" i="14"/>
  <c r="L19595" i="14"/>
  <c r="I19595" i="14"/>
  <c r="E19595" i="14"/>
  <c r="AH19594" i="14"/>
  <c r="U19594" i="14"/>
  <c r="T19594" i="14"/>
  <c r="Q19594" i="14"/>
  <c r="P19594" i="14"/>
  <c r="O19594" i="14"/>
  <c r="L19594" i="14"/>
  <c r="I19594" i="14"/>
  <c r="E19594" i="14"/>
  <c r="AH19593" i="14"/>
  <c r="AE19593" i="14"/>
  <c r="Q19593" i="14"/>
  <c r="P19593" i="14"/>
  <c r="O19593" i="14"/>
  <c r="L19593" i="14"/>
  <c r="I19593" i="14"/>
  <c r="E19593" i="14"/>
  <c r="AH19592" i="14"/>
  <c r="AE19592" i="14"/>
  <c r="Q19592" i="14"/>
  <c r="P19592" i="14"/>
  <c r="O19592" i="14"/>
  <c r="L19592" i="14"/>
  <c r="J19592" i="14"/>
  <c r="I19592" i="14"/>
  <c r="E19592" i="14"/>
  <c r="AH19591" i="14"/>
  <c r="AE19591" i="14"/>
  <c r="S19591" i="14"/>
  <c r="Q19591" i="14"/>
  <c r="P19591" i="14"/>
  <c r="O19591" i="14"/>
  <c r="L19591" i="14"/>
  <c r="J19591" i="14"/>
  <c r="I19591" i="14"/>
  <c r="E19591" i="14"/>
  <c r="AH19590" i="14"/>
  <c r="V19590" i="14"/>
  <c r="T19590" i="14"/>
  <c r="S19590" i="14"/>
  <c r="Q19590" i="14"/>
  <c r="P19590" i="14"/>
  <c r="O19590" i="14"/>
  <c r="L19590" i="14"/>
  <c r="I19590" i="14"/>
  <c r="E19590" i="14"/>
  <c r="AH19589" i="14"/>
  <c r="W19589" i="14"/>
  <c r="V19589" i="14"/>
  <c r="T19589" i="14"/>
  <c r="S19589" i="14"/>
  <c r="Q19589" i="14"/>
  <c r="P19589" i="14"/>
  <c r="O19589" i="14"/>
  <c r="L19589" i="14"/>
  <c r="I19589" i="14"/>
  <c r="E19589" i="14"/>
  <c r="AH19588" i="14"/>
  <c r="W19588" i="14"/>
  <c r="V19588" i="14"/>
  <c r="U19588" i="14"/>
  <c r="T19588" i="14"/>
  <c r="S19588" i="14"/>
  <c r="Q19588" i="14"/>
  <c r="P19588" i="14"/>
  <c r="O19588" i="14"/>
  <c r="L19588" i="14"/>
  <c r="I19588" i="14"/>
  <c r="E19588" i="14"/>
  <c r="AH19587" i="14"/>
  <c r="V19587" i="14"/>
  <c r="T19587" i="14"/>
  <c r="S19587" i="14"/>
  <c r="Q19587" i="14"/>
  <c r="P19587" i="14"/>
  <c r="O19587" i="14"/>
  <c r="L19587" i="14"/>
  <c r="I19587" i="14"/>
  <c r="E19587" i="14"/>
  <c r="AH19586" i="14"/>
  <c r="V19586" i="14"/>
  <c r="U19586" i="14"/>
  <c r="T19586" i="14"/>
  <c r="S19586" i="14"/>
  <c r="Q19586" i="14"/>
  <c r="P19586" i="14"/>
  <c r="O19586" i="14"/>
  <c r="L19586" i="14"/>
  <c r="I19586" i="14"/>
  <c r="E19586" i="14"/>
  <c r="AH19585" i="14"/>
  <c r="S19585" i="14"/>
  <c r="P19585" i="14"/>
  <c r="O19585" i="14"/>
  <c r="L19585" i="14"/>
  <c r="I19585" i="14"/>
  <c r="E19585" i="14"/>
  <c r="AH19584" i="14"/>
  <c r="W19584" i="14"/>
  <c r="V19584" i="14"/>
  <c r="U19584" i="14"/>
  <c r="T19584" i="14"/>
  <c r="S19584" i="14"/>
  <c r="Q19584" i="14"/>
  <c r="P19584" i="14"/>
  <c r="O19584" i="14"/>
  <c r="L19584" i="14"/>
  <c r="I19584" i="14"/>
  <c r="E19584" i="14"/>
  <c r="AH19583" i="14"/>
  <c r="AE19583" i="14"/>
  <c r="S19583" i="14"/>
  <c r="P19583" i="14"/>
  <c r="O19583" i="14"/>
  <c r="L19583" i="14"/>
  <c r="J19583" i="14"/>
  <c r="I19583" i="14"/>
  <c r="H19583" i="14"/>
  <c r="E19583" i="14"/>
  <c r="AH19582" i="14"/>
  <c r="AE19582" i="14"/>
  <c r="Q19582" i="14"/>
  <c r="P19582" i="14"/>
  <c r="O19582" i="14"/>
  <c r="L19582" i="14"/>
  <c r="J19582" i="14"/>
  <c r="I19582" i="14"/>
  <c r="E19582" i="14"/>
  <c r="AH19581" i="14"/>
  <c r="AG19581" i="14"/>
  <c r="AF19581" i="14"/>
  <c r="AE19581" i="14"/>
  <c r="W19581" i="14"/>
  <c r="V19581" i="14"/>
  <c r="T19581" i="14"/>
  <c r="S19581" i="14"/>
  <c r="Q19581" i="14"/>
  <c r="P19581" i="14"/>
  <c r="O19581" i="14"/>
  <c r="L19581" i="14"/>
  <c r="I19581" i="14"/>
  <c r="E19581" i="14"/>
  <c r="AH19580" i="14"/>
  <c r="S19580" i="14"/>
  <c r="P19580" i="14"/>
  <c r="O19580" i="14"/>
  <c r="L19580" i="14"/>
  <c r="I19580" i="14"/>
  <c r="E19580" i="14"/>
  <c r="AH19579" i="14"/>
  <c r="W19579" i="14"/>
  <c r="V19579" i="14"/>
  <c r="T19579" i="14"/>
  <c r="S19579" i="14"/>
  <c r="Q19579" i="14"/>
  <c r="P19579" i="14"/>
  <c r="O19579" i="14"/>
  <c r="L19579" i="14"/>
  <c r="I19579" i="14"/>
  <c r="E19579" i="14"/>
  <c r="AH19578" i="14"/>
  <c r="W19578" i="14"/>
  <c r="V19578" i="14"/>
  <c r="T19578" i="14"/>
  <c r="Q19578" i="14"/>
  <c r="P19578" i="14"/>
  <c r="O19578" i="14"/>
  <c r="L19578" i="14"/>
  <c r="I19578" i="14"/>
  <c r="E19578" i="14"/>
  <c r="AH19577" i="14"/>
  <c r="V19577" i="14"/>
  <c r="U19577" i="14"/>
  <c r="T19577" i="14"/>
  <c r="Q19577" i="14"/>
  <c r="P19577" i="14"/>
  <c r="O19577" i="14"/>
  <c r="L19577" i="14"/>
  <c r="I19577" i="14"/>
  <c r="E19577" i="14"/>
  <c r="AK19576" i="14"/>
  <c r="AH19576" i="14"/>
  <c r="V19576" i="14"/>
  <c r="T19576" i="14"/>
  <c r="S19576" i="14"/>
  <c r="R19576" i="14"/>
  <c r="Q19576" i="14"/>
  <c r="P19576" i="14"/>
  <c r="O19576" i="14"/>
  <c r="L19576" i="14"/>
  <c r="J19576" i="14"/>
  <c r="I19576" i="14"/>
  <c r="E19576" i="14"/>
  <c r="AK19575" i="14"/>
  <c r="AH19575" i="14"/>
  <c r="S19575" i="14"/>
  <c r="R19575" i="14"/>
  <c r="P19575" i="14"/>
  <c r="O19575" i="14"/>
  <c r="L19575" i="14"/>
  <c r="J19575" i="14"/>
  <c r="I19575" i="14"/>
  <c r="E19575" i="14"/>
  <c r="AH19574" i="14"/>
  <c r="S19574" i="14"/>
  <c r="P19574" i="14"/>
  <c r="O19574" i="14"/>
  <c r="L19574" i="14"/>
  <c r="I19574" i="14"/>
  <c r="E19574" i="14"/>
  <c r="AK19573" i="14"/>
  <c r="AH19573" i="14"/>
  <c r="V19573" i="14"/>
  <c r="T19573" i="14"/>
  <c r="S19573" i="14"/>
  <c r="R19573" i="14"/>
  <c r="Q19573" i="14"/>
  <c r="P19573" i="14"/>
  <c r="O19573" i="14"/>
  <c r="L19573" i="14"/>
  <c r="J19573" i="14"/>
  <c r="I19573" i="14"/>
  <c r="E19573" i="14"/>
  <c r="AK19572" i="14"/>
  <c r="AH19572" i="14"/>
  <c r="V19572" i="14"/>
  <c r="U19572" i="14"/>
  <c r="T19572" i="14"/>
  <c r="R19572" i="14"/>
  <c r="Q19572" i="14"/>
  <c r="P19572" i="14"/>
  <c r="O19572" i="14"/>
  <c r="L19572" i="14"/>
  <c r="J19572" i="14"/>
  <c r="I19572" i="14"/>
  <c r="E19572" i="14"/>
  <c r="AH19571" i="14"/>
  <c r="S19571" i="14"/>
  <c r="O19571" i="14"/>
  <c r="L19571" i="14"/>
  <c r="I19571" i="14"/>
  <c r="E19571" i="14"/>
  <c r="AH19570" i="14"/>
  <c r="S19570" i="14"/>
  <c r="O19570" i="14"/>
  <c r="L19570" i="14"/>
  <c r="I19570" i="14"/>
  <c r="E19570" i="14"/>
  <c r="AK19569" i="14"/>
  <c r="AH19569" i="14"/>
  <c r="V19569" i="14"/>
  <c r="T19569" i="14"/>
  <c r="S19569" i="14"/>
  <c r="R19569" i="14"/>
  <c r="Q19569" i="14"/>
  <c r="P19569" i="14"/>
  <c r="O19569" i="14"/>
  <c r="L19569" i="14"/>
  <c r="J19569" i="14"/>
  <c r="I19569" i="14"/>
  <c r="E19569" i="14"/>
  <c r="AH19568" i="14"/>
  <c r="L19568" i="14"/>
  <c r="I19568" i="14"/>
  <c r="E19568" i="14"/>
  <c r="AH19567" i="14"/>
  <c r="L19567" i="14"/>
  <c r="I19567" i="14"/>
  <c r="E19567" i="14"/>
  <c r="AH19566" i="14"/>
  <c r="W19566" i="14"/>
  <c r="V19566" i="14"/>
  <c r="S19566" i="14"/>
  <c r="Q19566" i="14"/>
  <c r="P19566" i="14"/>
  <c r="O19566" i="14"/>
  <c r="L19566" i="14"/>
  <c r="I19566" i="14"/>
  <c r="E19566" i="14"/>
  <c r="AH19565" i="14"/>
  <c r="V19565" i="14"/>
  <c r="Q19565" i="14"/>
  <c r="P19565" i="14"/>
  <c r="O19565" i="14"/>
  <c r="L19565" i="14"/>
  <c r="I19565" i="14"/>
  <c r="H19565" i="14"/>
  <c r="E19565" i="14"/>
  <c r="AH19564" i="14"/>
  <c r="V19564" i="14"/>
  <c r="T19564" i="14"/>
  <c r="S19564" i="14"/>
  <c r="Q19564" i="14"/>
  <c r="P19564" i="14"/>
  <c r="O19564" i="14"/>
  <c r="L19564" i="14"/>
  <c r="I19564" i="14"/>
  <c r="H19564" i="14"/>
  <c r="E19564" i="14"/>
  <c r="AH19563" i="14"/>
  <c r="AE19563" i="14"/>
  <c r="S19563" i="14"/>
  <c r="Q19563" i="14"/>
  <c r="P19563" i="14"/>
  <c r="O19563" i="14"/>
  <c r="L19563" i="14"/>
  <c r="I19563" i="14"/>
  <c r="H19563" i="14"/>
  <c r="E19563" i="14"/>
  <c r="AH19562" i="14"/>
  <c r="L19562" i="14"/>
  <c r="I19562" i="14"/>
  <c r="H19562" i="14"/>
  <c r="E19562" i="14"/>
  <c r="AH19561" i="14"/>
  <c r="W19561" i="14"/>
  <c r="V19561" i="14"/>
  <c r="T19561" i="14"/>
  <c r="S19561" i="14"/>
  <c r="Q19561" i="14"/>
  <c r="P19561" i="14"/>
  <c r="O19561" i="14"/>
  <c r="L19561" i="14"/>
  <c r="I19561" i="14"/>
  <c r="H19561" i="14"/>
  <c r="E19561" i="14"/>
  <c r="AH19560" i="14"/>
  <c r="S19560" i="14"/>
  <c r="P19560" i="14"/>
  <c r="O19560" i="14"/>
  <c r="L19560" i="14"/>
  <c r="I19560" i="14"/>
  <c r="H19560" i="14"/>
  <c r="E19560" i="14"/>
  <c r="AH19559" i="14"/>
  <c r="AF19559" i="14"/>
  <c r="AE19559" i="14"/>
  <c r="W19559" i="14"/>
  <c r="V19559" i="14"/>
  <c r="U19559" i="14"/>
  <c r="T19559" i="14"/>
  <c r="S19559" i="14"/>
  <c r="Q19559" i="14"/>
  <c r="P19559" i="14"/>
  <c r="O19559" i="14"/>
  <c r="L19559" i="14"/>
  <c r="I19559" i="14"/>
  <c r="H19559" i="14"/>
  <c r="E19559" i="14"/>
  <c r="AH19558" i="14"/>
  <c r="V19558" i="14"/>
  <c r="T19558" i="14"/>
  <c r="S19558" i="14"/>
  <c r="Q19558" i="14"/>
  <c r="P19558" i="14"/>
  <c r="O19558" i="14"/>
  <c r="L19558" i="14"/>
  <c r="I19558" i="14"/>
  <c r="H19558" i="14"/>
  <c r="E19558" i="14"/>
  <c r="AH19557" i="14"/>
  <c r="V19557" i="14"/>
  <c r="T19557" i="14"/>
  <c r="S19557" i="14"/>
  <c r="R19557" i="14"/>
  <c r="Q19557" i="14"/>
  <c r="P19557" i="14"/>
  <c r="O19557" i="14"/>
  <c r="L19557" i="14"/>
  <c r="I19557" i="14"/>
  <c r="H19557" i="14"/>
  <c r="E19557" i="14"/>
  <c r="AH19556" i="14"/>
  <c r="S19556" i="14"/>
  <c r="P19556" i="14"/>
  <c r="O19556" i="14"/>
  <c r="I19556" i="14"/>
  <c r="H19556" i="14"/>
  <c r="E19556" i="14"/>
  <c r="AH19555" i="14"/>
  <c r="L19555" i="14"/>
  <c r="J19555" i="14"/>
  <c r="I19555" i="14"/>
  <c r="H19555" i="14"/>
  <c r="E19555" i="14"/>
  <c r="AH19554" i="14"/>
  <c r="L19554" i="14"/>
  <c r="J19554" i="14"/>
  <c r="I19554" i="14"/>
  <c r="H19554" i="14"/>
  <c r="E19554" i="14"/>
  <c r="AH19553" i="14"/>
  <c r="W19553" i="14"/>
  <c r="V19553" i="14"/>
  <c r="U19553" i="14"/>
  <c r="T19553" i="14"/>
  <c r="S19553" i="14"/>
  <c r="Q19553" i="14"/>
  <c r="P19553" i="14"/>
  <c r="O19553" i="14"/>
  <c r="L19553" i="14"/>
  <c r="J19553" i="14"/>
  <c r="I19553" i="14"/>
  <c r="H19553" i="14"/>
  <c r="E19553" i="14"/>
  <c r="AH19552" i="14"/>
  <c r="V19552" i="14"/>
  <c r="T19552" i="14"/>
  <c r="S19552" i="14"/>
  <c r="Q19552" i="14"/>
  <c r="P19552" i="14"/>
  <c r="O19552" i="14"/>
  <c r="L19552" i="14"/>
  <c r="I19552" i="14"/>
  <c r="H19552" i="14"/>
  <c r="E19552" i="14"/>
  <c r="AH19551" i="14"/>
  <c r="V19551" i="14"/>
  <c r="T19551" i="14"/>
  <c r="S19551" i="14"/>
  <c r="R19551" i="14"/>
  <c r="Q19551" i="14"/>
  <c r="P19551" i="14"/>
  <c r="O19551" i="14"/>
  <c r="L19551" i="14"/>
  <c r="I19551" i="14"/>
  <c r="H19551" i="14"/>
  <c r="E19551" i="14"/>
  <c r="AH19550" i="14"/>
  <c r="Q19550" i="14"/>
  <c r="P19550" i="14"/>
  <c r="O19550" i="14"/>
  <c r="L19550" i="14"/>
  <c r="I19550" i="14"/>
  <c r="E19550" i="14"/>
  <c r="AH19549" i="14"/>
  <c r="W19549" i="14"/>
  <c r="V19549" i="14"/>
  <c r="T19549" i="14"/>
  <c r="R19549" i="14"/>
  <c r="Q19549" i="14"/>
  <c r="P19549" i="14"/>
  <c r="O19549" i="14"/>
  <c r="L19549" i="14"/>
  <c r="I19549" i="14"/>
  <c r="E19549" i="14"/>
  <c r="AH19548" i="14"/>
  <c r="V19548" i="14"/>
  <c r="T19548" i="14"/>
  <c r="R19548" i="14"/>
  <c r="Q19548" i="14"/>
  <c r="P19548" i="14"/>
  <c r="O19548" i="14"/>
  <c r="L19548" i="14"/>
  <c r="I19548" i="14"/>
  <c r="E19548" i="14"/>
  <c r="AH19547" i="14"/>
  <c r="V19547" i="14"/>
  <c r="T19547" i="14"/>
  <c r="Q19547" i="14"/>
  <c r="P19547" i="14"/>
  <c r="O19547" i="14"/>
  <c r="L19547" i="14"/>
  <c r="I19547" i="14"/>
  <c r="E19547" i="14"/>
  <c r="AH19546" i="14"/>
  <c r="S19546" i="14"/>
  <c r="P19546" i="14"/>
  <c r="O19546" i="14"/>
  <c r="L19546" i="14"/>
  <c r="I19546" i="14"/>
  <c r="E19546" i="14"/>
  <c r="AH19545" i="14"/>
  <c r="L19545" i="14"/>
  <c r="I19545" i="14"/>
  <c r="E19545" i="14"/>
  <c r="AH19544" i="14"/>
  <c r="L19544" i="14"/>
  <c r="I19544" i="14"/>
  <c r="E19544" i="14"/>
  <c r="AH19543" i="14"/>
  <c r="V19543" i="14"/>
  <c r="T19543" i="14"/>
  <c r="R19543" i="14"/>
  <c r="Q19543" i="14"/>
  <c r="P19543" i="14"/>
  <c r="O19543" i="14"/>
  <c r="L19543" i="14"/>
  <c r="I19543" i="14"/>
  <c r="E19543" i="14"/>
  <c r="AH19542" i="14"/>
  <c r="AG19542" i="14"/>
  <c r="AF19542" i="14"/>
  <c r="AE19542" i="14"/>
  <c r="W19542" i="14"/>
  <c r="V19542" i="14"/>
  <c r="T19542" i="14"/>
  <c r="R19542" i="14"/>
  <c r="Q19542" i="14"/>
  <c r="P19542" i="14"/>
  <c r="O19542" i="14"/>
  <c r="L19542" i="14"/>
  <c r="I19542" i="14"/>
  <c r="H19542" i="14"/>
  <c r="E19542" i="14"/>
  <c r="AH19541" i="14"/>
  <c r="AE19541" i="14"/>
  <c r="V19541" i="14"/>
  <c r="T19541" i="14"/>
  <c r="S19541" i="14"/>
  <c r="Q19541" i="14"/>
  <c r="P19541" i="14"/>
  <c r="O19541" i="14"/>
  <c r="L19541" i="14"/>
  <c r="J19541" i="14"/>
  <c r="I19541" i="14"/>
  <c r="H19541" i="14"/>
  <c r="E19541" i="14"/>
  <c r="AH19540" i="14"/>
  <c r="W19540" i="14"/>
  <c r="V19540" i="14"/>
  <c r="T19540" i="14"/>
  <c r="S19540" i="14"/>
  <c r="R19540" i="14"/>
  <c r="Q19540" i="14"/>
  <c r="P19540" i="14"/>
  <c r="O19540" i="14"/>
  <c r="L19540" i="14"/>
  <c r="J19540" i="14"/>
  <c r="I19540" i="14"/>
  <c r="E19540" i="14"/>
  <c r="AH19539" i="14"/>
  <c r="W19539" i="14"/>
  <c r="V19539" i="14"/>
  <c r="T19539" i="14"/>
  <c r="S19539" i="14"/>
  <c r="Q19539" i="14"/>
  <c r="P19539" i="14"/>
  <c r="O19539" i="14"/>
  <c r="L19539" i="14"/>
  <c r="I19539" i="14"/>
  <c r="E19539" i="14"/>
  <c r="AH19538" i="14"/>
  <c r="W19538" i="14"/>
  <c r="V19538" i="14"/>
  <c r="U19538" i="14"/>
  <c r="T19538" i="14"/>
  <c r="S19538" i="14"/>
  <c r="Q19538" i="14"/>
  <c r="P19538" i="14"/>
  <c r="O19538" i="14"/>
  <c r="L19538" i="14"/>
  <c r="I19538" i="14"/>
  <c r="E19538" i="14"/>
  <c r="AH19537" i="14"/>
  <c r="V19537" i="14"/>
  <c r="T19537" i="14"/>
  <c r="Q19537" i="14"/>
  <c r="P19537" i="14"/>
  <c r="O19537" i="14"/>
  <c r="L19537" i="14"/>
  <c r="I19537" i="14"/>
  <c r="E19537" i="14"/>
  <c r="AH19536" i="14"/>
  <c r="V19536" i="14"/>
  <c r="U19536" i="14"/>
  <c r="T19536" i="14"/>
  <c r="S19536" i="14"/>
  <c r="Q19536" i="14"/>
  <c r="P19536" i="14"/>
  <c r="O19536" i="14"/>
  <c r="L19536" i="14"/>
  <c r="I19536" i="14"/>
  <c r="E19536" i="14"/>
  <c r="AH19535" i="14"/>
  <c r="W19535" i="14"/>
  <c r="V19535" i="14"/>
  <c r="Q19535" i="14"/>
  <c r="P19535" i="14"/>
  <c r="O19535" i="14"/>
  <c r="L19535" i="14"/>
  <c r="I19535" i="14"/>
  <c r="E19535" i="14"/>
  <c r="AH19534" i="14"/>
  <c r="V19534" i="14"/>
  <c r="T19534" i="14"/>
  <c r="Q19534" i="14"/>
  <c r="P19534" i="14"/>
  <c r="O19534" i="14"/>
  <c r="L19534" i="14"/>
  <c r="I19534" i="14"/>
  <c r="E19534" i="14"/>
  <c r="AH19533" i="14"/>
  <c r="V19533" i="14"/>
  <c r="T19533" i="14"/>
  <c r="S19533" i="14"/>
  <c r="R19533" i="14"/>
  <c r="Q19533" i="14"/>
  <c r="P19533" i="14"/>
  <c r="O19533" i="14"/>
  <c r="L19533" i="14"/>
  <c r="I19533" i="14"/>
  <c r="E19533" i="14"/>
  <c r="AH19532" i="14"/>
  <c r="V19532" i="14"/>
  <c r="T19532" i="14"/>
  <c r="R19532" i="14"/>
  <c r="Q19532" i="14"/>
  <c r="P19532" i="14"/>
  <c r="O19532" i="14"/>
  <c r="L19532" i="14"/>
  <c r="I19532" i="14"/>
  <c r="E19532" i="14"/>
  <c r="AH19531" i="14"/>
  <c r="L19531" i="14"/>
  <c r="I19531" i="14"/>
  <c r="E19531" i="14"/>
  <c r="AH19530" i="14"/>
  <c r="L19530" i="14"/>
  <c r="I19530" i="14"/>
  <c r="E19530" i="14"/>
  <c r="AH19529" i="14"/>
  <c r="L19529" i="14"/>
  <c r="I19529" i="14"/>
  <c r="E19529" i="14"/>
  <c r="AH19528" i="14"/>
  <c r="L19528" i="14"/>
  <c r="I19528" i="14"/>
  <c r="E19528" i="14"/>
  <c r="AH19527" i="14"/>
  <c r="L19527" i="14"/>
  <c r="I19527" i="14"/>
  <c r="E19527" i="14"/>
  <c r="AH19526" i="14"/>
  <c r="V19526" i="14"/>
  <c r="T19526" i="14"/>
  <c r="S19526" i="14"/>
  <c r="Q19526" i="14"/>
  <c r="P19526" i="14"/>
  <c r="O19526" i="14"/>
  <c r="L19526" i="14"/>
  <c r="I19526" i="14"/>
  <c r="E19526" i="14"/>
  <c r="AH19525" i="14"/>
  <c r="W19525" i="14"/>
  <c r="V19525" i="14"/>
  <c r="S19525" i="14"/>
  <c r="R19525" i="14"/>
  <c r="Q19525" i="14"/>
  <c r="P19525" i="14"/>
  <c r="O19525" i="14"/>
  <c r="L19525" i="14"/>
  <c r="I19525" i="14"/>
  <c r="E19525" i="14"/>
  <c r="AH19524" i="14"/>
  <c r="S19524" i="14"/>
  <c r="P19524" i="14"/>
  <c r="O19524" i="14"/>
  <c r="L19524" i="14"/>
  <c r="I19524" i="14"/>
  <c r="E19524" i="14"/>
  <c r="AH19523" i="14"/>
  <c r="W19523" i="14"/>
  <c r="V19523" i="14"/>
  <c r="U19523" i="14"/>
  <c r="T19523" i="14"/>
  <c r="S19523" i="14"/>
  <c r="R19523" i="14"/>
  <c r="Q19523" i="14"/>
  <c r="P19523" i="14"/>
  <c r="O19523" i="14"/>
  <c r="L19523" i="14"/>
  <c r="I19523" i="14"/>
  <c r="E19523" i="14"/>
  <c r="AH19522" i="14"/>
  <c r="W19522" i="14"/>
  <c r="V19522" i="14"/>
  <c r="T19522" i="14"/>
  <c r="S19522" i="14"/>
  <c r="Q19522" i="14"/>
  <c r="P19522" i="14"/>
  <c r="O19522" i="14"/>
  <c r="L19522" i="14"/>
  <c r="I19522" i="14"/>
  <c r="E19522" i="14"/>
  <c r="AH19521" i="14"/>
  <c r="S19521" i="14"/>
  <c r="R19521" i="14"/>
  <c r="Q19521" i="14"/>
  <c r="P19521" i="14"/>
  <c r="O19521" i="14"/>
  <c r="L19521" i="14"/>
  <c r="I19521" i="14"/>
  <c r="E19521" i="14"/>
  <c r="AH19520" i="14"/>
  <c r="T19520" i="14"/>
  <c r="S19520" i="14"/>
  <c r="Q19520" i="14"/>
  <c r="P19520" i="14"/>
  <c r="O19520" i="14"/>
  <c r="L19520" i="14"/>
  <c r="J19520" i="14"/>
  <c r="I19520" i="14"/>
  <c r="E19520" i="14"/>
  <c r="AH19519" i="14"/>
  <c r="S19519" i="14"/>
  <c r="O19519" i="14"/>
  <c r="L19519" i="14"/>
  <c r="I19519" i="14"/>
  <c r="E19519" i="14"/>
  <c r="AH19518" i="14"/>
  <c r="S19518" i="14"/>
  <c r="Q19518" i="14"/>
  <c r="P19518" i="14"/>
  <c r="L19518" i="14"/>
  <c r="I19518" i="14"/>
  <c r="E19518" i="14"/>
  <c r="AH19517" i="14"/>
  <c r="W19517" i="14"/>
  <c r="V19517" i="14"/>
  <c r="U19517" i="14"/>
  <c r="T19517" i="14"/>
  <c r="S19517" i="14"/>
  <c r="Q19517" i="14"/>
  <c r="P19517" i="14"/>
  <c r="O19517" i="14"/>
  <c r="L19517" i="14"/>
  <c r="I19517" i="14"/>
  <c r="E19517" i="14"/>
  <c r="AH19516" i="14"/>
  <c r="W19516" i="14"/>
  <c r="V19516" i="14"/>
  <c r="U19516" i="14"/>
  <c r="T19516" i="14"/>
  <c r="S19516" i="14"/>
  <c r="Q19516" i="14"/>
  <c r="P19516" i="14"/>
  <c r="O19516" i="14"/>
  <c r="L19516" i="14"/>
  <c r="I19516" i="14"/>
  <c r="E19516" i="14"/>
  <c r="AH19515" i="14"/>
  <c r="W19515" i="14"/>
  <c r="V19515" i="14"/>
  <c r="T19515" i="14"/>
  <c r="S19515" i="14"/>
  <c r="Q19515" i="14"/>
  <c r="P19515" i="14"/>
  <c r="O19515" i="14"/>
  <c r="L19515" i="14"/>
  <c r="I19515" i="14"/>
  <c r="E19515" i="14"/>
  <c r="AH19514" i="14"/>
  <c r="R19514" i="14"/>
  <c r="P19514" i="14"/>
  <c r="O19514" i="14"/>
  <c r="L19514" i="14"/>
  <c r="I19514" i="14"/>
  <c r="E19514" i="14"/>
  <c r="AK19513" i="14"/>
  <c r="AH19513" i="14"/>
  <c r="V19513" i="14"/>
  <c r="U19513" i="14"/>
  <c r="T19513" i="14"/>
  <c r="S19513" i="14"/>
  <c r="R19513" i="14"/>
  <c r="Q19513" i="14"/>
  <c r="P19513" i="14"/>
  <c r="O19513" i="14"/>
  <c r="L19513" i="14"/>
  <c r="J19513" i="14"/>
  <c r="I19513" i="14"/>
  <c r="E19513" i="14"/>
  <c r="AH19512" i="14"/>
  <c r="W19512" i="14"/>
  <c r="V19512" i="14"/>
  <c r="U19512" i="14"/>
  <c r="T19512" i="14"/>
  <c r="R19512" i="14"/>
  <c r="Q19512" i="14"/>
  <c r="P19512" i="14"/>
  <c r="O19512" i="14"/>
  <c r="L19512" i="14"/>
  <c r="J19512" i="14"/>
  <c r="I19512" i="14"/>
  <c r="E19512" i="14"/>
  <c r="AH19511" i="14"/>
  <c r="S19511" i="14"/>
  <c r="P19511" i="14"/>
  <c r="O19511" i="14"/>
  <c r="L19511" i="14"/>
  <c r="J19511" i="14"/>
  <c r="I19511" i="14"/>
  <c r="E19511" i="14"/>
  <c r="AH19510" i="14"/>
  <c r="V19510" i="14"/>
  <c r="U19510" i="14"/>
  <c r="T19510" i="14"/>
  <c r="Q19510" i="14"/>
  <c r="P19510" i="14"/>
  <c r="O19510" i="14"/>
  <c r="L19510" i="14"/>
  <c r="I19510" i="14"/>
  <c r="E19510" i="14"/>
  <c r="AH19509" i="14"/>
  <c r="AE19509" i="14"/>
  <c r="T19509" i="14"/>
  <c r="Q19509" i="14"/>
  <c r="P19509" i="14"/>
  <c r="O19509" i="14"/>
  <c r="L19509" i="14"/>
  <c r="J19509" i="14"/>
  <c r="I19509" i="14"/>
  <c r="E19509" i="14"/>
  <c r="AH19508" i="14"/>
  <c r="AE19508" i="14"/>
  <c r="Q19508" i="14"/>
  <c r="P19508" i="14"/>
  <c r="O19508" i="14"/>
  <c r="L19508" i="14"/>
  <c r="J19508" i="14"/>
  <c r="I19508" i="14"/>
  <c r="E19508" i="14"/>
  <c r="AH19507" i="14"/>
  <c r="S19507" i="14"/>
  <c r="P19507" i="14"/>
  <c r="O19507" i="14"/>
  <c r="L19507" i="14"/>
  <c r="I19507" i="14"/>
  <c r="H19507" i="14"/>
  <c r="E19507" i="14"/>
  <c r="AH19506" i="14"/>
  <c r="AG19506" i="14"/>
  <c r="AE19506" i="14"/>
  <c r="W19506" i="14"/>
  <c r="V19506" i="14"/>
  <c r="Q19506" i="14"/>
  <c r="P19506" i="14"/>
  <c r="O19506" i="14"/>
  <c r="L19506" i="14"/>
  <c r="J19506" i="14"/>
  <c r="I19506" i="14"/>
  <c r="E19506" i="14"/>
  <c r="AH19505" i="14"/>
  <c r="V19505" i="14"/>
  <c r="T19505" i="14"/>
  <c r="Q19505" i="14"/>
  <c r="P19505" i="14"/>
  <c r="O19505" i="14"/>
  <c r="L19505" i="14"/>
  <c r="I19505" i="14"/>
  <c r="E19505" i="14"/>
  <c r="AH19504" i="14"/>
  <c r="AE19504" i="14"/>
  <c r="Q19504" i="14"/>
  <c r="P19504" i="14"/>
  <c r="O19504" i="14"/>
  <c r="L19504" i="14"/>
  <c r="J19504" i="14"/>
  <c r="I19504" i="14"/>
  <c r="E19504" i="14"/>
  <c r="AH19503" i="14"/>
  <c r="AG19503" i="14"/>
  <c r="AF19503" i="14"/>
  <c r="AE19503" i="14"/>
  <c r="V19503" i="14"/>
  <c r="T19503" i="14"/>
  <c r="Q19503" i="14"/>
  <c r="P19503" i="14"/>
  <c r="O19503" i="14"/>
  <c r="L19503" i="14"/>
  <c r="J19503" i="14"/>
  <c r="I19503" i="14"/>
  <c r="E19503" i="14"/>
  <c r="AH19502" i="14"/>
  <c r="V19502" i="14"/>
  <c r="T19502" i="14"/>
  <c r="R19502" i="14"/>
  <c r="Q19502" i="14"/>
  <c r="P19502" i="14"/>
  <c r="O19502" i="14"/>
  <c r="L19502" i="14"/>
  <c r="I19502" i="14"/>
  <c r="E19502" i="14"/>
  <c r="AH19501" i="14"/>
  <c r="V19501" i="14"/>
  <c r="T19501" i="14"/>
  <c r="Q19501" i="14"/>
  <c r="P19501" i="14"/>
  <c r="O19501" i="14"/>
  <c r="L19501" i="14"/>
  <c r="J19501" i="14"/>
  <c r="I19501" i="14"/>
  <c r="E19501" i="14"/>
  <c r="AH19500" i="14"/>
  <c r="V19500" i="14"/>
  <c r="T19500" i="14"/>
  <c r="Q19500" i="14"/>
  <c r="P19500" i="14"/>
  <c r="O19500" i="14"/>
  <c r="L19500" i="14"/>
  <c r="I19500" i="14"/>
  <c r="E19500" i="14"/>
  <c r="AH19499" i="14"/>
  <c r="AG19499" i="14"/>
  <c r="AF19499" i="14"/>
  <c r="AE19499" i="14"/>
  <c r="W19499" i="14"/>
  <c r="V19499" i="14"/>
  <c r="U19499" i="14"/>
  <c r="T19499" i="14"/>
  <c r="Q19499" i="14"/>
  <c r="P19499" i="14"/>
  <c r="O19499" i="14"/>
  <c r="L19499" i="14"/>
  <c r="J19499" i="14"/>
  <c r="I19499" i="14"/>
  <c r="E19499" i="14"/>
  <c r="AH19498" i="14"/>
  <c r="W19498" i="14"/>
  <c r="V19498" i="14"/>
  <c r="T19498" i="14"/>
  <c r="S19498" i="14"/>
  <c r="R19498" i="14"/>
  <c r="Q19498" i="14"/>
  <c r="P19498" i="14"/>
  <c r="O19498" i="14"/>
  <c r="L19498" i="14"/>
  <c r="I19498" i="14"/>
  <c r="E19498" i="14"/>
  <c r="AH19497" i="14"/>
  <c r="W19497" i="14"/>
  <c r="V19497" i="14"/>
  <c r="T19497" i="14"/>
  <c r="R19497" i="14"/>
  <c r="Q19497" i="14"/>
  <c r="P19497" i="14"/>
  <c r="O19497" i="14"/>
  <c r="L19497" i="14"/>
  <c r="I19497" i="14"/>
  <c r="E19497" i="14"/>
  <c r="AH19496" i="14"/>
  <c r="AE19496" i="14"/>
  <c r="S19496" i="14"/>
  <c r="Q19496" i="14"/>
  <c r="P19496" i="14"/>
  <c r="O19496" i="14"/>
  <c r="L19496" i="14"/>
  <c r="J19496" i="14"/>
  <c r="I19496" i="14"/>
  <c r="H19496" i="14"/>
  <c r="E19496" i="14"/>
  <c r="AH19495" i="14"/>
  <c r="W19495" i="14"/>
  <c r="V19495" i="14"/>
  <c r="T19495" i="14"/>
  <c r="S19495" i="14"/>
  <c r="Q19495" i="14"/>
  <c r="P19495" i="14"/>
  <c r="O19495" i="14"/>
  <c r="L19495" i="14"/>
  <c r="I19495" i="14"/>
  <c r="H19495" i="14"/>
  <c r="E19495" i="14"/>
  <c r="AH19494" i="14"/>
  <c r="W19494" i="14"/>
  <c r="V19494" i="14"/>
  <c r="T19494" i="14"/>
  <c r="R19494" i="14"/>
  <c r="Q19494" i="14"/>
  <c r="P19494" i="14"/>
  <c r="O19494" i="14"/>
  <c r="L19494" i="14"/>
  <c r="J19494" i="14"/>
  <c r="I19494" i="14"/>
  <c r="E19494" i="14"/>
  <c r="AH19493" i="14"/>
  <c r="W19493" i="14"/>
  <c r="V19493" i="14"/>
  <c r="U19493" i="14"/>
  <c r="T19493" i="14"/>
  <c r="Q19493" i="14"/>
  <c r="P19493" i="14"/>
  <c r="O19493" i="14"/>
  <c r="L19493" i="14"/>
  <c r="I19493" i="14"/>
  <c r="E19493" i="14"/>
  <c r="AH19492" i="14"/>
  <c r="Q19492" i="14"/>
  <c r="P19492" i="14"/>
  <c r="O19492" i="14"/>
  <c r="L19492" i="14"/>
  <c r="I19492" i="14"/>
  <c r="E19492" i="14"/>
  <c r="AH19491" i="14"/>
  <c r="V19491" i="14"/>
  <c r="T19491" i="14"/>
  <c r="S19491" i="14"/>
  <c r="Q19491" i="14"/>
  <c r="P19491" i="14"/>
  <c r="O19491" i="14"/>
  <c r="L19491" i="14"/>
  <c r="I19491" i="14"/>
  <c r="E19491" i="14"/>
  <c r="AH19490" i="14"/>
  <c r="W19490" i="14"/>
  <c r="V19490" i="14"/>
  <c r="T19490" i="14"/>
  <c r="S19490" i="14"/>
  <c r="Q19490" i="14"/>
  <c r="P19490" i="14"/>
  <c r="O19490" i="14"/>
  <c r="L19490" i="14"/>
  <c r="J19490" i="14"/>
  <c r="I19490" i="14"/>
  <c r="E19490" i="14"/>
  <c r="AH19489" i="14"/>
  <c r="AG19489" i="14"/>
  <c r="AF19489" i="14"/>
  <c r="AE19489" i="14"/>
  <c r="W19489" i="14"/>
  <c r="V19489" i="14"/>
  <c r="U19489" i="14"/>
  <c r="T19489" i="14"/>
  <c r="Q19489" i="14"/>
  <c r="P19489" i="14"/>
  <c r="O19489" i="14"/>
  <c r="L19489" i="14"/>
  <c r="J19489" i="14"/>
  <c r="I19489" i="14"/>
  <c r="G19489" i="14"/>
  <c r="E19489" i="14"/>
  <c r="AH19488" i="14"/>
  <c r="W19488" i="14"/>
  <c r="V19488" i="14"/>
  <c r="U19488" i="14"/>
  <c r="T19488" i="14"/>
  <c r="S19488" i="14"/>
  <c r="R19488" i="14"/>
  <c r="Q19488" i="14"/>
  <c r="P19488" i="14"/>
  <c r="O19488" i="14"/>
  <c r="L19488" i="14"/>
  <c r="J19488" i="14"/>
  <c r="I19488" i="14"/>
  <c r="G19488" i="14"/>
  <c r="E19488" i="14"/>
  <c r="AH19487" i="14"/>
  <c r="V19487" i="14"/>
  <c r="T19487" i="14"/>
  <c r="S19487" i="14"/>
  <c r="R19487" i="14"/>
  <c r="Q19487" i="14"/>
  <c r="P19487" i="14"/>
  <c r="O19487" i="14"/>
  <c r="L19487" i="14"/>
  <c r="I19487" i="14"/>
  <c r="G19487" i="14"/>
  <c r="E19487" i="14"/>
  <c r="AH19486" i="14"/>
  <c r="V19486" i="14"/>
  <c r="T19486" i="14"/>
  <c r="R19486" i="14"/>
  <c r="Q19486" i="14"/>
  <c r="P19486" i="14"/>
  <c r="O19486" i="14"/>
  <c r="L19486" i="14"/>
  <c r="I19486" i="14"/>
  <c r="G19486" i="14"/>
  <c r="E19486" i="14"/>
  <c r="AH19485" i="14"/>
  <c r="W19485" i="14"/>
  <c r="V19485" i="14"/>
  <c r="T19485" i="14"/>
  <c r="Q19485" i="14"/>
  <c r="P19485" i="14"/>
  <c r="O19485" i="14"/>
  <c r="L19485" i="14"/>
  <c r="I19485" i="14"/>
  <c r="G19485" i="14"/>
  <c r="E19485" i="14"/>
  <c r="AH19484" i="14"/>
  <c r="AG19484" i="14"/>
  <c r="AE19484" i="14"/>
  <c r="W19484" i="14"/>
  <c r="V19484" i="14"/>
  <c r="U19484" i="14"/>
  <c r="T19484" i="14"/>
  <c r="Q19484" i="14"/>
  <c r="P19484" i="14"/>
  <c r="O19484" i="14"/>
  <c r="L19484" i="14"/>
  <c r="J19484" i="14"/>
  <c r="I19484" i="14"/>
  <c r="G19484" i="14"/>
  <c r="E19484" i="14"/>
  <c r="AH19483" i="14"/>
  <c r="AG19483" i="14"/>
  <c r="AF19483" i="14"/>
  <c r="AE19483" i="14"/>
  <c r="W19483" i="14"/>
  <c r="V19483" i="14"/>
  <c r="U19483" i="14"/>
  <c r="T19483" i="14"/>
  <c r="Q19483" i="14"/>
  <c r="P19483" i="14"/>
  <c r="O19483" i="14"/>
  <c r="L19483" i="14"/>
  <c r="J19483" i="14"/>
  <c r="I19483" i="14"/>
  <c r="G19483" i="14"/>
  <c r="E19483" i="14"/>
  <c r="AH19482" i="14"/>
  <c r="W19482" i="14"/>
  <c r="V19482" i="14"/>
  <c r="U19482" i="14"/>
  <c r="T19482" i="14"/>
  <c r="Q19482" i="14"/>
  <c r="P19482" i="14"/>
  <c r="O19482" i="14"/>
  <c r="L19482" i="14"/>
  <c r="I19482" i="14"/>
  <c r="G19482" i="14"/>
  <c r="E19482" i="14"/>
  <c r="AH19481" i="14"/>
  <c r="W19481" i="14"/>
  <c r="V19481" i="14"/>
  <c r="U19481" i="14"/>
  <c r="T19481" i="14"/>
  <c r="Q19481" i="14"/>
  <c r="P19481" i="14"/>
  <c r="O19481" i="14"/>
  <c r="L19481" i="14"/>
  <c r="I19481" i="14"/>
  <c r="G19481" i="14"/>
  <c r="E19481" i="14"/>
  <c r="AH19480" i="14"/>
  <c r="V19480" i="14"/>
  <c r="T19480" i="14"/>
  <c r="S19480" i="14"/>
  <c r="Q19480" i="14"/>
  <c r="P19480" i="14"/>
  <c r="O19480" i="14"/>
  <c r="L19480" i="14"/>
  <c r="I19480" i="14"/>
  <c r="E19480" i="14"/>
  <c r="AH19479" i="14"/>
  <c r="Q19479" i="14"/>
  <c r="P19479" i="14"/>
  <c r="O19479" i="14"/>
  <c r="L19479" i="14"/>
  <c r="I19479" i="14"/>
  <c r="E19479" i="14"/>
  <c r="AL19478" i="14"/>
  <c r="AH19478" i="14"/>
  <c r="Q19478" i="14"/>
  <c r="I19478" i="14"/>
  <c r="G19478" i="14"/>
  <c r="E19478" i="14"/>
  <c r="AK19477" i="14"/>
  <c r="AH19477" i="14"/>
  <c r="W19477" i="14"/>
  <c r="V19477" i="14"/>
  <c r="U19477" i="14"/>
  <c r="T19477" i="14"/>
  <c r="S19477" i="14"/>
  <c r="Q19477" i="14"/>
  <c r="P19477" i="14"/>
  <c r="O19477" i="14"/>
  <c r="L19477" i="14"/>
  <c r="J19477" i="14"/>
  <c r="I19477" i="14"/>
  <c r="H19477" i="14"/>
  <c r="G19477" i="14"/>
  <c r="E19477" i="14"/>
  <c r="AH19476" i="14"/>
  <c r="O19476" i="14"/>
  <c r="E19476" i="14"/>
  <c r="AK19475" i="14"/>
  <c r="AH19475" i="14"/>
  <c r="V19475" i="14"/>
  <c r="T19475" i="14"/>
  <c r="S19475" i="14"/>
  <c r="Q19475" i="14"/>
  <c r="P19475" i="14"/>
  <c r="O19475" i="14"/>
  <c r="L19475" i="14"/>
  <c r="J19475" i="14"/>
  <c r="I19475" i="14"/>
  <c r="E19475" i="14"/>
  <c r="AK19474" i="14"/>
  <c r="AH19474" i="14"/>
  <c r="V19474" i="14"/>
  <c r="T19474" i="14"/>
  <c r="S19474" i="14"/>
  <c r="R19474" i="14"/>
  <c r="Q19474" i="14"/>
  <c r="P19474" i="14"/>
  <c r="O19474" i="14"/>
  <c r="J19474" i="14"/>
  <c r="E19474" i="14"/>
  <c r="AK19473" i="14"/>
  <c r="AH19473" i="14"/>
  <c r="V19473" i="14"/>
  <c r="T19473" i="14"/>
  <c r="S19473" i="14"/>
  <c r="R19473" i="14"/>
  <c r="Q19473" i="14"/>
  <c r="P19473" i="14"/>
  <c r="O19473" i="14"/>
  <c r="L19473" i="14"/>
  <c r="J19473" i="14"/>
  <c r="I19473" i="14"/>
  <c r="E19473" i="14"/>
  <c r="AK19472" i="14"/>
  <c r="AH19472" i="14"/>
  <c r="AE19472" i="14"/>
  <c r="Q19472" i="14"/>
  <c r="P19472" i="14"/>
  <c r="O19472" i="14"/>
  <c r="L19472" i="14"/>
  <c r="J19472" i="14"/>
  <c r="I19472" i="14"/>
  <c r="G19472" i="14"/>
  <c r="E19472" i="14"/>
  <c r="AH19471" i="14"/>
  <c r="AE19471" i="14"/>
  <c r="R19471" i="14"/>
  <c r="Q19471" i="14"/>
  <c r="P19471" i="14"/>
  <c r="O19471" i="14"/>
  <c r="L19471" i="14"/>
  <c r="I19471" i="14"/>
  <c r="E19471" i="14"/>
  <c r="AH19470" i="14"/>
  <c r="S19470" i="14"/>
  <c r="Q19470" i="14"/>
  <c r="P19470" i="14"/>
  <c r="O19470" i="14"/>
  <c r="L19470" i="14"/>
  <c r="I19470" i="14"/>
  <c r="H19470" i="14"/>
  <c r="E19470" i="14"/>
  <c r="AH19469" i="14"/>
  <c r="AE19469" i="14"/>
  <c r="T19469" i="14"/>
  <c r="S19469" i="14"/>
  <c r="Q19469" i="14"/>
  <c r="P19469" i="14"/>
  <c r="O19469" i="14"/>
  <c r="L19469" i="14"/>
  <c r="J19469" i="14"/>
  <c r="I19469" i="14"/>
  <c r="H19469" i="14"/>
  <c r="E19469" i="14"/>
  <c r="AH19468" i="14"/>
  <c r="AE19468" i="14"/>
  <c r="S19468" i="14"/>
  <c r="Q19468" i="14"/>
  <c r="P19468" i="14"/>
  <c r="O19468" i="14"/>
  <c r="L19468" i="14"/>
  <c r="J19468" i="14"/>
  <c r="I19468" i="14"/>
  <c r="H19468" i="14"/>
  <c r="E19468" i="14"/>
  <c r="AH19467" i="14"/>
  <c r="AE19467" i="14"/>
  <c r="S19467" i="14"/>
  <c r="R19467" i="14"/>
  <c r="Q19467" i="14"/>
  <c r="P19467" i="14"/>
  <c r="O19467" i="14"/>
  <c r="L19467" i="14"/>
  <c r="J19467" i="14"/>
  <c r="I19467" i="14"/>
  <c r="H19467" i="14"/>
  <c r="E19467" i="14"/>
  <c r="AH19466" i="14"/>
  <c r="S19466" i="14"/>
  <c r="O19466" i="14"/>
  <c r="L19466" i="14"/>
  <c r="I19466" i="14"/>
  <c r="H19466" i="14"/>
  <c r="E19466" i="14"/>
  <c r="AH19465" i="14"/>
  <c r="AF19465" i="14"/>
  <c r="AE19465" i="14"/>
  <c r="U19465" i="14"/>
  <c r="T19465" i="14"/>
  <c r="S19465" i="14"/>
  <c r="Q19465" i="14"/>
  <c r="P19465" i="14"/>
  <c r="O19465" i="14"/>
  <c r="L19465" i="14"/>
  <c r="J19465" i="14"/>
  <c r="I19465" i="14"/>
  <c r="H19465" i="14"/>
  <c r="E19465" i="14"/>
  <c r="AH19464" i="14"/>
  <c r="S19464" i="14"/>
  <c r="Q19464" i="14"/>
  <c r="P19464" i="14"/>
  <c r="O19464" i="14"/>
  <c r="L19464" i="14"/>
  <c r="J19464" i="14"/>
  <c r="I19464" i="14"/>
  <c r="H19464" i="14"/>
  <c r="E19464" i="14"/>
  <c r="AH19463" i="14"/>
  <c r="AG19463" i="14"/>
  <c r="AF19463" i="14"/>
  <c r="AE19463" i="14"/>
  <c r="W19463" i="14"/>
  <c r="V19463" i="14"/>
  <c r="U19463" i="14"/>
  <c r="T19463" i="14"/>
  <c r="S19463" i="14"/>
  <c r="R19463" i="14"/>
  <c r="Q19463" i="14"/>
  <c r="P19463" i="14"/>
  <c r="O19463" i="14"/>
  <c r="L19463" i="14"/>
  <c r="J19463" i="14"/>
  <c r="I19463" i="14"/>
  <c r="H19463" i="14"/>
  <c r="E19463" i="14"/>
  <c r="AH19462" i="14"/>
  <c r="S19462" i="14"/>
  <c r="P19462" i="14"/>
  <c r="O19462" i="14"/>
  <c r="L19462" i="14"/>
  <c r="J19462" i="14"/>
  <c r="I19462" i="14"/>
  <c r="H19462" i="14"/>
  <c r="E19462" i="14"/>
  <c r="AH19461" i="14"/>
  <c r="AE19461" i="14"/>
  <c r="S19461" i="14"/>
  <c r="Q19461" i="14"/>
  <c r="P19461" i="14"/>
  <c r="L19461" i="14"/>
  <c r="J19461" i="14"/>
  <c r="I19461" i="14"/>
  <c r="H19461" i="14"/>
  <c r="E19461" i="14"/>
  <c r="AH19460" i="14"/>
  <c r="S19460" i="14"/>
  <c r="P19460" i="14"/>
  <c r="O19460" i="14"/>
  <c r="L19460" i="14"/>
  <c r="I19460" i="14"/>
  <c r="E19460" i="14"/>
  <c r="AH19459" i="14"/>
  <c r="AE19459" i="14"/>
  <c r="S19459" i="14"/>
  <c r="R19459" i="14"/>
  <c r="Q19459" i="14"/>
  <c r="P19459" i="14"/>
  <c r="O19459" i="14"/>
  <c r="L19459" i="14"/>
  <c r="I19459" i="14"/>
  <c r="E19459" i="14"/>
  <c r="AH19458" i="14"/>
  <c r="S19458" i="14"/>
  <c r="R19458" i="14"/>
  <c r="Q19458" i="14"/>
  <c r="P19458" i="14"/>
  <c r="O19458" i="14"/>
  <c r="L19458" i="14"/>
  <c r="J19458" i="14"/>
  <c r="H19458" i="14"/>
  <c r="E19458" i="14"/>
  <c r="AH19457" i="14"/>
  <c r="R19457" i="14"/>
  <c r="P19457" i="14"/>
  <c r="O19457" i="14"/>
  <c r="L19457" i="14"/>
  <c r="I19457" i="14"/>
  <c r="H19457" i="14"/>
  <c r="E19457" i="14"/>
  <c r="AH19456" i="14"/>
  <c r="S19456" i="14"/>
  <c r="P19456" i="14"/>
  <c r="O19456" i="14"/>
  <c r="L19456" i="14"/>
  <c r="I19456" i="14"/>
  <c r="H19456" i="14"/>
  <c r="E19456" i="14"/>
  <c r="AH19455" i="14"/>
  <c r="R19455" i="14"/>
  <c r="Q19455" i="14"/>
  <c r="P19455" i="14"/>
  <c r="L19455" i="14"/>
  <c r="J19455" i="14"/>
  <c r="H19455" i="14"/>
  <c r="E19455" i="14"/>
  <c r="AH19454" i="14"/>
  <c r="L19454" i="14"/>
  <c r="J19454" i="14"/>
  <c r="H19454" i="14"/>
  <c r="E19454" i="14"/>
  <c r="AH19453" i="14"/>
  <c r="L19453" i="14"/>
  <c r="J19453" i="14"/>
  <c r="H19453" i="14"/>
  <c r="E19453" i="14"/>
  <c r="AH19452" i="14"/>
  <c r="S19452" i="14"/>
  <c r="R19452" i="14"/>
  <c r="Q19452" i="14"/>
  <c r="P19452" i="14"/>
  <c r="O19452" i="14"/>
  <c r="L19452" i="14"/>
  <c r="J19452" i="14"/>
  <c r="H19452" i="14"/>
  <c r="E19452" i="14"/>
  <c r="AH19451" i="14"/>
  <c r="R19451" i="14"/>
  <c r="Q19451" i="14"/>
  <c r="P19451" i="14"/>
  <c r="O19451" i="14"/>
  <c r="L19451" i="14"/>
  <c r="J19451" i="14"/>
  <c r="I19451" i="14"/>
  <c r="H19451" i="14"/>
  <c r="E19451" i="14"/>
  <c r="AH19450" i="14"/>
  <c r="R19450" i="14"/>
  <c r="P19450" i="14"/>
  <c r="O19450" i="14"/>
  <c r="L19450" i="14"/>
  <c r="J19450" i="14"/>
  <c r="I19450" i="14"/>
  <c r="H19450" i="14"/>
  <c r="E19450" i="14"/>
  <c r="AH19449" i="14"/>
  <c r="S19449" i="14"/>
  <c r="O19449" i="14"/>
  <c r="L19449" i="14"/>
  <c r="I19449" i="14"/>
  <c r="E19449" i="14"/>
  <c r="AH19448" i="14"/>
  <c r="S19448" i="14"/>
  <c r="R19448" i="14"/>
  <c r="P19448" i="14"/>
  <c r="O19448" i="14"/>
  <c r="L19448" i="14"/>
  <c r="I19448" i="14"/>
  <c r="E19448" i="14"/>
  <c r="AH19447" i="14"/>
  <c r="S19447" i="14"/>
  <c r="P19447" i="14"/>
  <c r="O19447" i="14"/>
  <c r="L19447" i="14"/>
  <c r="I19447" i="14"/>
  <c r="E19447" i="14"/>
  <c r="AH19446" i="14"/>
  <c r="S19446" i="14"/>
  <c r="R19446" i="14"/>
  <c r="P19446" i="14"/>
  <c r="O19446" i="14"/>
  <c r="L19446" i="14"/>
  <c r="I19446" i="14"/>
  <c r="E19446" i="14"/>
  <c r="AH19445" i="14"/>
  <c r="S19445" i="14"/>
  <c r="R19445" i="14"/>
  <c r="P19445" i="14"/>
  <c r="O19445" i="14"/>
  <c r="L19445" i="14"/>
  <c r="I19445" i="14"/>
  <c r="E19445" i="14"/>
  <c r="AH19444" i="14"/>
  <c r="S19444" i="14"/>
  <c r="P19444" i="14"/>
  <c r="O19444" i="14"/>
  <c r="L19444" i="14"/>
  <c r="I19444" i="14"/>
  <c r="H19444" i="14"/>
  <c r="E19444" i="14"/>
  <c r="AH19443" i="14"/>
  <c r="S19443" i="14"/>
  <c r="P19443" i="14"/>
  <c r="O19443" i="14"/>
  <c r="L19443" i="14"/>
  <c r="J19443" i="14"/>
  <c r="I19443" i="14"/>
  <c r="H19443" i="14"/>
  <c r="E19443" i="14"/>
  <c r="AH19442" i="14"/>
  <c r="S19442" i="14"/>
  <c r="R19442" i="14"/>
  <c r="P19442" i="14"/>
  <c r="O19442" i="14"/>
  <c r="L19442" i="14"/>
  <c r="I19442" i="14"/>
  <c r="H19442" i="14"/>
  <c r="E19442" i="14"/>
  <c r="AH19441" i="14"/>
  <c r="S19441" i="14"/>
  <c r="O19441" i="14"/>
  <c r="L19441" i="14"/>
  <c r="I19441" i="14"/>
  <c r="H19441" i="14"/>
  <c r="E19441" i="14"/>
  <c r="AH19440" i="14"/>
  <c r="S19440" i="14"/>
  <c r="O19440" i="14"/>
  <c r="L19440" i="14"/>
  <c r="I19440" i="14"/>
  <c r="H19440" i="14"/>
  <c r="E19440" i="14"/>
  <c r="AH19439" i="14"/>
  <c r="S19439" i="14"/>
  <c r="P19439" i="14"/>
  <c r="O19439" i="14"/>
  <c r="L19439" i="14"/>
  <c r="I19439" i="14"/>
  <c r="H19439" i="14"/>
  <c r="E19439" i="14"/>
  <c r="AH19438" i="14"/>
  <c r="S19438" i="14"/>
  <c r="R19438" i="14"/>
  <c r="P19438" i="14"/>
  <c r="O19438" i="14"/>
  <c r="L19438" i="14"/>
  <c r="I19438" i="14"/>
  <c r="H19438" i="14"/>
  <c r="E19438" i="14"/>
  <c r="AH19437" i="14"/>
  <c r="S19437" i="14"/>
  <c r="R19437" i="14"/>
  <c r="P19437" i="14"/>
  <c r="O19437" i="14"/>
  <c r="L19437" i="14"/>
  <c r="I19437" i="14"/>
  <c r="H19437" i="14"/>
  <c r="E19437" i="14"/>
  <c r="AK19436" i="14"/>
  <c r="AH19436" i="14"/>
  <c r="S19436" i="14"/>
  <c r="R19436" i="14"/>
  <c r="P19436" i="14"/>
  <c r="O19436" i="14"/>
  <c r="L19436" i="14"/>
  <c r="J19436" i="14"/>
  <c r="I19436" i="14"/>
  <c r="H19436" i="14"/>
  <c r="E19436" i="14"/>
  <c r="AK19435" i="14"/>
  <c r="AH19435" i="14"/>
  <c r="W19435" i="14"/>
  <c r="V19435" i="14"/>
  <c r="U19435" i="14"/>
  <c r="T19435" i="14"/>
  <c r="S19435" i="14"/>
  <c r="R19435" i="14"/>
  <c r="Q19435" i="14"/>
  <c r="P19435" i="14"/>
  <c r="O19435" i="14"/>
  <c r="L19435" i="14"/>
  <c r="J19435" i="14"/>
  <c r="I19435" i="14"/>
  <c r="H19435" i="14"/>
  <c r="E19435" i="14"/>
  <c r="AH19434" i="14"/>
  <c r="S19434" i="14"/>
  <c r="P19434" i="14"/>
  <c r="O19434" i="14"/>
  <c r="L19434" i="14"/>
  <c r="I19434" i="14"/>
  <c r="H19434" i="14"/>
  <c r="E19434" i="14"/>
  <c r="AH19433" i="14"/>
  <c r="S19433" i="14"/>
  <c r="O19433" i="14"/>
  <c r="L19433" i="14"/>
  <c r="I19433" i="14"/>
  <c r="H19433" i="14"/>
  <c r="E19433" i="14"/>
  <c r="AK19432" i="14"/>
  <c r="AH19432" i="14"/>
  <c r="S19432" i="14"/>
  <c r="R19432" i="14"/>
  <c r="P19432" i="14"/>
  <c r="O19432" i="14"/>
  <c r="L19432" i="14"/>
  <c r="J19432" i="14"/>
  <c r="I19432" i="14"/>
  <c r="H19432" i="14"/>
  <c r="E19432" i="14"/>
  <c r="AK19431" i="14"/>
  <c r="AH19431" i="14"/>
  <c r="R19431" i="14"/>
  <c r="P19431" i="14"/>
  <c r="O19431" i="14"/>
  <c r="L19431" i="14"/>
  <c r="J19431" i="14"/>
  <c r="I19431" i="14"/>
  <c r="H19431" i="14"/>
  <c r="E19431" i="14"/>
  <c r="AH19430" i="14"/>
  <c r="S19430" i="14"/>
  <c r="O19430" i="14"/>
  <c r="L19430" i="14"/>
  <c r="I19430" i="14"/>
  <c r="H19430" i="14"/>
  <c r="E19430" i="14"/>
  <c r="AH19429" i="14"/>
  <c r="S19429" i="14"/>
  <c r="Q19429" i="14"/>
  <c r="P19429" i="14"/>
  <c r="O19429" i="14"/>
  <c r="L19429" i="14"/>
  <c r="J19429" i="14"/>
  <c r="I19429" i="14"/>
  <c r="H19429" i="14"/>
  <c r="E19429" i="14"/>
  <c r="AH19428" i="14"/>
  <c r="AE19428" i="14"/>
  <c r="S19428" i="14"/>
  <c r="R19428" i="14"/>
  <c r="Q19428" i="14"/>
  <c r="P19428" i="14"/>
  <c r="O19428" i="14"/>
  <c r="L19428" i="14"/>
  <c r="J19428" i="14"/>
  <c r="I19428" i="14"/>
  <c r="H19428" i="14"/>
  <c r="E19428" i="14"/>
  <c r="AH19427" i="14"/>
  <c r="S19427" i="14"/>
  <c r="R19427" i="14"/>
  <c r="Q19427" i="14"/>
  <c r="P19427" i="14"/>
  <c r="O19427" i="14"/>
  <c r="L19427" i="14"/>
  <c r="I19427" i="14"/>
  <c r="H19427" i="14"/>
  <c r="E19427" i="14"/>
  <c r="AH19426" i="14"/>
  <c r="W19426" i="14"/>
  <c r="V19426" i="14"/>
  <c r="U19426" i="14"/>
  <c r="T19426" i="14"/>
  <c r="S19426" i="14"/>
  <c r="Q19426" i="14"/>
  <c r="P19426" i="14"/>
  <c r="O19426" i="14"/>
  <c r="L19426" i="14"/>
  <c r="I19426" i="14"/>
  <c r="H19426" i="14"/>
  <c r="E19426" i="14"/>
  <c r="AH19425" i="14"/>
  <c r="AE19425" i="14"/>
  <c r="Q19425" i="14"/>
  <c r="P19425" i="14"/>
  <c r="O19425" i="14"/>
  <c r="L19425" i="14"/>
  <c r="J19425" i="14"/>
  <c r="I19425" i="14"/>
  <c r="H19425" i="14"/>
  <c r="E19425" i="14"/>
  <c r="AH19424" i="14"/>
  <c r="S19424" i="14"/>
  <c r="P19424" i="14"/>
  <c r="O19424" i="14"/>
  <c r="L19424" i="14"/>
  <c r="J19424" i="14"/>
  <c r="I19424" i="14"/>
  <c r="E19424" i="14"/>
  <c r="AH19423" i="14"/>
  <c r="AG19423" i="14"/>
  <c r="AF19423" i="14"/>
  <c r="AE19423" i="14"/>
  <c r="W19423" i="14"/>
  <c r="V19423" i="14"/>
  <c r="U19423" i="14"/>
  <c r="T19423" i="14"/>
  <c r="S19423" i="14"/>
  <c r="R19423" i="14"/>
  <c r="Q19423" i="14"/>
  <c r="P19423" i="14"/>
  <c r="O19423" i="14"/>
  <c r="L19423" i="14"/>
  <c r="J19423" i="14"/>
  <c r="I19423" i="14"/>
  <c r="H19423" i="14"/>
  <c r="E19423" i="14"/>
  <c r="AH19422" i="14"/>
  <c r="AE19422" i="14"/>
  <c r="S19422" i="14"/>
  <c r="R19422" i="14"/>
  <c r="Q19422" i="14"/>
  <c r="P19422" i="14"/>
  <c r="O19422" i="14"/>
  <c r="L19422" i="14"/>
  <c r="J19422" i="14"/>
  <c r="I19422" i="14"/>
  <c r="H19422" i="14"/>
  <c r="E19422" i="14"/>
  <c r="AH19421" i="14"/>
  <c r="AF19421" i="14"/>
  <c r="AE19421" i="14"/>
  <c r="W19421" i="14"/>
  <c r="V19421" i="14"/>
  <c r="U19421" i="14"/>
  <c r="T19421" i="14"/>
  <c r="Q19421" i="14"/>
  <c r="P19421" i="14"/>
  <c r="O19421" i="14"/>
  <c r="L19421" i="14"/>
  <c r="J19421" i="14"/>
  <c r="I19421" i="14"/>
  <c r="H19421" i="14"/>
  <c r="E19421" i="14"/>
  <c r="AK19420" i="14"/>
  <c r="AH19420" i="14"/>
  <c r="R19420" i="14"/>
  <c r="Q19420" i="14"/>
  <c r="P19420" i="14"/>
  <c r="O19420" i="14"/>
  <c r="L19420" i="14"/>
  <c r="J19420" i="14"/>
  <c r="I19420" i="14"/>
  <c r="H19420" i="14"/>
  <c r="E19420" i="14"/>
  <c r="AH19419" i="14"/>
  <c r="S19419" i="14"/>
  <c r="Q19419" i="14"/>
  <c r="P19419" i="14"/>
  <c r="O19419" i="14"/>
  <c r="L19419" i="14"/>
  <c r="J19419" i="14"/>
  <c r="I19419" i="14"/>
  <c r="H19419" i="14"/>
  <c r="G19419" i="14"/>
  <c r="E19419" i="14"/>
  <c r="AH19418" i="14"/>
  <c r="AE19418" i="14"/>
  <c r="V19418" i="14"/>
  <c r="U19418" i="14"/>
  <c r="T19418" i="14"/>
  <c r="R19418" i="14"/>
  <c r="Q19418" i="14"/>
  <c r="P19418" i="14"/>
  <c r="O19418" i="14"/>
  <c r="L19418" i="14"/>
  <c r="J19418" i="14"/>
  <c r="I19418" i="14"/>
  <c r="G19418" i="14"/>
  <c r="E19418" i="14"/>
  <c r="AH19417" i="14"/>
  <c r="P19417" i="14"/>
  <c r="O19417" i="14"/>
  <c r="L19417" i="14"/>
  <c r="I19417" i="14"/>
  <c r="H19417" i="14"/>
  <c r="G19417" i="14"/>
  <c r="E19417" i="14"/>
  <c r="AH19416" i="14"/>
  <c r="AE19416" i="14"/>
  <c r="S19416" i="14"/>
  <c r="R19416" i="14"/>
  <c r="Q19416" i="14"/>
  <c r="P19416" i="14"/>
  <c r="O19416" i="14"/>
  <c r="L19416" i="14"/>
  <c r="J19416" i="14"/>
  <c r="I19416" i="14"/>
  <c r="H19416" i="14"/>
  <c r="G19416" i="14"/>
  <c r="E19416" i="14"/>
  <c r="AK19415" i="14"/>
  <c r="AH19415" i="14"/>
  <c r="V19415" i="14"/>
  <c r="T19415" i="14"/>
  <c r="S19415" i="14"/>
  <c r="R19415" i="14"/>
  <c r="Q19415" i="14"/>
  <c r="P19415" i="14"/>
  <c r="O19415" i="14"/>
  <c r="L19415" i="14"/>
  <c r="J19415" i="14"/>
  <c r="I19415" i="14"/>
  <c r="H19415" i="14"/>
  <c r="E19415" i="14"/>
  <c r="AH19414" i="14"/>
  <c r="Q19414" i="14"/>
  <c r="P19414" i="14"/>
  <c r="O19414" i="14"/>
  <c r="L19414" i="14"/>
  <c r="J19414" i="14"/>
  <c r="I19414" i="14"/>
  <c r="E19414" i="14"/>
  <c r="AK19413" i="14"/>
  <c r="AH19413" i="14"/>
  <c r="V19413" i="14"/>
  <c r="T19413" i="14"/>
  <c r="S19413" i="14"/>
  <c r="R19413" i="14"/>
  <c r="Q19413" i="14"/>
  <c r="P19413" i="14"/>
  <c r="L19413" i="14"/>
  <c r="J19413" i="14"/>
  <c r="I19413" i="14"/>
  <c r="H19413" i="14"/>
  <c r="E19413" i="14"/>
  <c r="AH19412" i="14"/>
  <c r="AG19412" i="14"/>
  <c r="AF19412" i="14"/>
  <c r="AE19412" i="14"/>
  <c r="W19412" i="14"/>
  <c r="V19412" i="14"/>
  <c r="U19412" i="14"/>
  <c r="T19412" i="14"/>
  <c r="S19412" i="14"/>
  <c r="Q19412" i="14"/>
  <c r="P19412" i="14"/>
  <c r="O19412" i="14"/>
  <c r="L19412" i="14"/>
  <c r="J19412" i="14"/>
  <c r="I19412" i="14"/>
  <c r="H19412" i="14"/>
  <c r="E19412" i="14"/>
  <c r="AH19411" i="14"/>
  <c r="AG19411" i="14"/>
  <c r="AE19411" i="14"/>
  <c r="W19411" i="14"/>
  <c r="V19411" i="14"/>
  <c r="U19411" i="14"/>
  <c r="T19411" i="14"/>
  <c r="S19411" i="14"/>
  <c r="R19411" i="14"/>
  <c r="Q19411" i="14"/>
  <c r="P19411" i="14"/>
  <c r="O19411" i="14"/>
  <c r="L19411" i="14"/>
  <c r="J19411" i="14"/>
  <c r="I19411" i="14"/>
  <c r="H19411" i="14"/>
  <c r="E19411" i="14"/>
  <c r="AK19410" i="14"/>
  <c r="AH19410" i="14"/>
  <c r="W19410" i="14"/>
  <c r="V19410" i="14"/>
  <c r="T19410" i="14"/>
  <c r="S19410" i="14"/>
  <c r="R19410" i="14"/>
  <c r="Q19410" i="14"/>
  <c r="P19410" i="14"/>
  <c r="O19410" i="14"/>
  <c r="L19410" i="14"/>
  <c r="J19410" i="14"/>
  <c r="I19410" i="14"/>
  <c r="H19410" i="14"/>
  <c r="E19410" i="14"/>
  <c r="AH19409" i="14"/>
  <c r="O19409" i="14"/>
  <c r="I19409" i="14"/>
  <c r="E19409" i="14"/>
  <c r="AH19408" i="14"/>
  <c r="Q19408" i="14"/>
  <c r="O19408" i="14"/>
  <c r="I19408" i="14"/>
  <c r="E19408" i="14"/>
  <c r="AH19407" i="14"/>
  <c r="Q19407" i="14"/>
  <c r="O19407" i="14"/>
  <c r="I19407" i="14"/>
  <c r="E19407" i="14"/>
  <c r="AH19406" i="14"/>
  <c r="O19406" i="14"/>
  <c r="E19406" i="14"/>
  <c r="AH19405" i="14"/>
  <c r="W19405" i="14"/>
  <c r="V19405" i="14"/>
  <c r="T19405" i="14"/>
  <c r="Q19405" i="14"/>
  <c r="P19405" i="14"/>
  <c r="O19405" i="14"/>
  <c r="J19405" i="14"/>
  <c r="I19405" i="14"/>
  <c r="E19405" i="14"/>
  <c r="AH19404" i="14"/>
  <c r="W19404" i="14"/>
  <c r="V19404" i="14"/>
  <c r="Q19404" i="14"/>
  <c r="O19404" i="14"/>
  <c r="I19404" i="14"/>
  <c r="G19404" i="14"/>
  <c r="E19404" i="14"/>
  <c r="AK19403" i="14"/>
  <c r="AH19403" i="14"/>
  <c r="W19403" i="14"/>
  <c r="V19403" i="14"/>
  <c r="T19403" i="14"/>
  <c r="S19403" i="14"/>
  <c r="Q19403" i="14"/>
  <c r="P19403" i="14"/>
  <c r="O19403" i="14"/>
  <c r="L19403" i="14"/>
  <c r="J19403" i="14"/>
  <c r="I19403" i="14"/>
  <c r="H19403" i="14"/>
  <c r="E19403" i="14"/>
  <c r="AK19402" i="14"/>
  <c r="AH19402" i="14"/>
  <c r="W19402" i="14"/>
  <c r="V19402" i="14"/>
  <c r="T19402" i="14"/>
  <c r="Q19402" i="14"/>
  <c r="P19402" i="14"/>
  <c r="O19402" i="14"/>
  <c r="J19402" i="14"/>
  <c r="I19402" i="14"/>
  <c r="E19402" i="14"/>
  <c r="AH19401" i="14"/>
  <c r="P19401" i="14"/>
  <c r="O19401" i="14"/>
  <c r="L19401" i="14"/>
  <c r="J19401" i="14"/>
  <c r="I19401" i="14"/>
  <c r="E19401" i="14"/>
  <c r="AK19400" i="14"/>
  <c r="AH19400" i="14"/>
  <c r="V19400" i="14"/>
  <c r="T19400" i="14"/>
  <c r="Q19400" i="14"/>
  <c r="P19400" i="14"/>
  <c r="O19400" i="14"/>
  <c r="J19400" i="14"/>
  <c r="I19400" i="14"/>
  <c r="E19400" i="14"/>
  <c r="AK19399" i="14"/>
  <c r="AH19399" i="14"/>
  <c r="AE19399" i="14"/>
  <c r="Q19399" i="14"/>
  <c r="P19399" i="14"/>
  <c r="O19399" i="14"/>
  <c r="L19399" i="14"/>
  <c r="J19399" i="14"/>
  <c r="I19399" i="14"/>
  <c r="E19399" i="14"/>
  <c r="AH19398" i="14"/>
  <c r="AG19398" i="14"/>
  <c r="AE19398" i="14"/>
  <c r="W19398" i="14"/>
  <c r="V19398" i="14"/>
  <c r="Q19398" i="14"/>
  <c r="P19398" i="14"/>
  <c r="O19398" i="14"/>
  <c r="L19398" i="14"/>
  <c r="J19398" i="14"/>
  <c r="I19398" i="14"/>
  <c r="E19398" i="14"/>
  <c r="AH19397" i="14"/>
  <c r="AG19397" i="14"/>
  <c r="AF19397" i="14"/>
  <c r="AE19397" i="14"/>
  <c r="W19397" i="14"/>
  <c r="V19397" i="14"/>
  <c r="U19397" i="14"/>
  <c r="T19397" i="14"/>
  <c r="S19397" i="14"/>
  <c r="R19397" i="14"/>
  <c r="Q19397" i="14"/>
  <c r="P19397" i="14"/>
  <c r="O19397" i="14"/>
  <c r="L19397" i="14"/>
  <c r="J19397" i="14"/>
  <c r="I19397" i="14"/>
  <c r="H19397" i="14"/>
  <c r="G19397" i="14"/>
  <c r="E19397" i="14"/>
  <c r="AH19396" i="14"/>
  <c r="S19396" i="14"/>
  <c r="P19396" i="14"/>
  <c r="O19396" i="14"/>
  <c r="L19396" i="14"/>
  <c r="J19396" i="14"/>
  <c r="I19396" i="14"/>
  <c r="H19396" i="14"/>
  <c r="G19396" i="14"/>
  <c r="E19396" i="14"/>
  <c r="AH19395" i="14"/>
  <c r="S19395" i="14"/>
  <c r="O19395" i="14"/>
  <c r="L19395" i="14"/>
  <c r="I19395" i="14"/>
  <c r="H19395" i="14"/>
  <c r="E19395" i="14"/>
  <c r="AH19394" i="14"/>
  <c r="S19394" i="14"/>
  <c r="R19394" i="14"/>
  <c r="P19394" i="14"/>
  <c r="O19394" i="14"/>
  <c r="L19394" i="14"/>
  <c r="I19394" i="14"/>
  <c r="H19394" i="14"/>
  <c r="E19394" i="14"/>
  <c r="AH19393" i="14"/>
  <c r="S19393" i="14"/>
  <c r="R19393" i="14"/>
  <c r="P19393" i="14"/>
  <c r="O19393" i="14"/>
  <c r="L19393" i="14"/>
  <c r="I19393" i="14"/>
  <c r="H19393" i="14"/>
  <c r="E19393" i="14"/>
  <c r="AH19392" i="14"/>
  <c r="S19392" i="14"/>
  <c r="P19392" i="14"/>
  <c r="O19392" i="14"/>
  <c r="L19392" i="14"/>
  <c r="I19392" i="14"/>
  <c r="H19392" i="14"/>
  <c r="E19392" i="14"/>
  <c r="AH19391" i="14"/>
  <c r="V19391" i="14"/>
  <c r="T19391" i="14"/>
  <c r="S19391" i="14"/>
  <c r="R19391" i="14"/>
  <c r="Q19391" i="14"/>
  <c r="P19391" i="14"/>
  <c r="O19391" i="14"/>
  <c r="L19391" i="14"/>
  <c r="I19391" i="14"/>
  <c r="H19391" i="14"/>
  <c r="G19391" i="14"/>
  <c r="E19391" i="14"/>
  <c r="AH19390" i="14"/>
  <c r="V19390" i="14"/>
  <c r="T19390" i="14"/>
  <c r="S19390" i="14"/>
  <c r="R19390" i="14"/>
  <c r="Q19390" i="14"/>
  <c r="P19390" i="14"/>
  <c r="O19390" i="14"/>
  <c r="L19390" i="14"/>
  <c r="I19390" i="14"/>
  <c r="H19390" i="14"/>
  <c r="G19390" i="14"/>
  <c r="E19390" i="14"/>
  <c r="AH19389" i="14"/>
  <c r="AG19389" i="14"/>
  <c r="AF19389" i="14"/>
  <c r="AE19389" i="14"/>
  <c r="W19389" i="14"/>
  <c r="V19389" i="14"/>
  <c r="U19389" i="14"/>
  <c r="T19389" i="14"/>
  <c r="S19389" i="14"/>
  <c r="Q19389" i="14"/>
  <c r="P19389" i="14"/>
  <c r="O19389" i="14"/>
  <c r="L19389" i="14"/>
  <c r="J19389" i="14"/>
  <c r="I19389" i="14"/>
  <c r="H19389" i="14"/>
  <c r="G19389" i="14"/>
  <c r="E19389" i="14"/>
  <c r="AH19388" i="14"/>
  <c r="S19388" i="14"/>
  <c r="P19388" i="14"/>
  <c r="O19388" i="14"/>
  <c r="L19388" i="14"/>
  <c r="J19388" i="14"/>
  <c r="I19388" i="14"/>
  <c r="H19388" i="14"/>
  <c r="G19388" i="14"/>
  <c r="E19388" i="14"/>
  <c r="AH19387" i="14"/>
  <c r="AG19387" i="14"/>
  <c r="AF19387" i="14"/>
  <c r="AE19387" i="14"/>
  <c r="W19387" i="14"/>
  <c r="V19387" i="14"/>
  <c r="U19387" i="14"/>
  <c r="T19387" i="14"/>
  <c r="S19387" i="14"/>
  <c r="R19387" i="14"/>
  <c r="Q19387" i="14"/>
  <c r="P19387" i="14"/>
  <c r="O19387" i="14"/>
  <c r="L19387" i="14"/>
  <c r="J19387" i="14"/>
  <c r="I19387" i="14"/>
  <c r="H19387" i="14"/>
  <c r="G19387" i="14"/>
  <c r="E19387" i="14"/>
  <c r="AH19386" i="14"/>
  <c r="AG19386" i="14"/>
  <c r="AF19386" i="14"/>
  <c r="AE19386" i="14"/>
  <c r="W19386" i="14"/>
  <c r="V19386" i="14"/>
  <c r="U19386" i="14"/>
  <c r="T19386" i="14"/>
  <c r="S19386" i="14"/>
  <c r="R19386" i="14"/>
  <c r="Q19386" i="14"/>
  <c r="P19386" i="14"/>
  <c r="O19386" i="14"/>
  <c r="L19386" i="14"/>
  <c r="J19386" i="14"/>
  <c r="I19386" i="14"/>
  <c r="H19386" i="14"/>
  <c r="G19386" i="14"/>
  <c r="E19386" i="14"/>
  <c r="AH19385" i="14"/>
  <c r="AG19385" i="14"/>
  <c r="AF19385" i="14"/>
  <c r="AE19385" i="14"/>
  <c r="W19385" i="14"/>
  <c r="V19385" i="14"/>
  <c r="U19385" i="14"/>
  <c r="T19385" i="14"/>
  <c r="S19385" i="14"/>
  <c r="Q19385" i="14"/>
  <c r="P19385" i="14"/>
  <c r="O19385" i="14"/>
  <c r="L19385" i="14"/>
  <c r="J19385" i="14"/>
  <c r="I19385" i="14"/>
  <c r="H19385" i="14"/>
  <c r="G19385" i="14"/>
  <c r="E19385" i="14"/>
  <c r="AH19384" i="14"/>
  <c r="S19384" i="14"/>
  <c r="Q19384" i="14"/>
  <c r="P19384" i="14"/>
  <c r="O19384" i="14"/>
  <c r="L19384" i="14"/>
  <c r="J19384" i="14"/>
  <c r="I19384" i="14"/>
  <c r="H19384" i="14"/>
  <c r="G19384" i="14"/>
  <c r="E19384" i="14"/>
  <c r="AL19383" i="14"/>
  <c r="AH19383" i="14"/>
  <c r="S19383" i="14"/>
  <c r="O19383" i="14"/>
  <c r="I19383" i="14"/>
  <c r="H19383" i="14"/>
  <c r="E19383" i="14"/>
  <c r="AH19382" i="14"/>
  <c r="Q19382" i="14"/>
  <c r="P19382" i="14"/>
  <c r="O19382" i="14"/>
  <c r="L19382" i="14"/>
  <c r="J19382" i="14"/>
  <c r="I19382" i="14"/>
  <c r="H19382" i="14"/>
  <c r="G19382" i="14"/>
  <c r="E19382" i="14"/>
  <c r="AH19381" i="14"/>
  <c r="AE19381" i="14"/>
  <c r="Q19381" i="14"/>
  <c r="P19381" i="14"/>
  <c r="O19381" i="14"/>
  <c r="L19381" i="14"/>
  <c r="J19381" i="14"/>
  <c r="I19381" i="14"/>
  <c r="H19381" i="14"/>
  <c r="G19381" i="14"/>
  <c r="E19381" i="14"/>
  <c r="AH19380" i="14"/>
  <c r="AE19380" i="14"/>
  <c r="Q19380" i="14"/>
  <c r="P19380" i="14"/>
  <c r="O19380" i="14"/>
  <c r="L19380" i="14"/>
  <c r="J19380" i="14"/>
  <c r="I19380" i="14"/>
  <c r="H19380" i="14"/>
  <c r="G19380" i="14"/>
  <c r="E19380" i="14"/>
  <c r="AH19379" i="14"/>
  <c r="R19379" i="14"/>
  <c r="Q19379" i="14"/>
  <c r="P19379" i="14"/>
  <c r="O19379" i="14"/>
  <c r="L19379" i="14"/>
  <c r="J19379" i="14"/>
  <c r="I19379" i="14"/>
  <c r="H19379" i="14"/>
  <c r="G19379" i="14"/>
  <c r="E19379" i="14"/>
  <c r="AH19378" i="14"/>
  <c r="AG19378" i="14"/>
  <c r="AF19378" i="14"/>
  <c r="AE19378" i="14"/>
  <c r="W19378" i="14"/>
  <c r="V19378" i="14"/>
  <c r="U19378" i="14"/>
  <c r="T19378" i="14"/>
  <c r="S19378" i="14"/>
  <c r="R19378" i="14"/>
  <c r="Q19378" i="14"/>
  <c r="P19378" i="14"/>
  <c r="O19378" i="14"/>
  <c r="L19378" i="14"/>
  <c r="J19378" i="14"/>
  <c r="I19378" i="14"/>
  <c r="H19378" i="14"/>
  <c r="G19378" i="14"/>
  <c r="E19378" i="14"/>
  <c r="AH19377" i="14"/>
  <c r="V19377" i="14"/>
  <c r="T19377" i="14"/>
  <c r="S19377" i="14"/>
  <c r="Q19377" i="14"/>
  <c r="P19377" i="14"/>
  <c r="O19377" i="14"/>
  <c r="L19377" i="14"/>
  <c r="J19377" i="14"/>
  <c r="I19377" i="14"/>
  <c r="H19377" i="14"/>
  <c r="G19377" i="14"/>
  <c r="E19377" i="14"/>
  <c r="AH19376" i="14"/>
  <c r="S19376" i="14"/>
  <c r="Q19376" i="14"/>
  <c r="P19376" i="14"/>
  <c r="O19376" i="14"/>
  <c r="L19376" i="14"/>
  <c r="J19376" i="14"/>
  <c r="I19376" i="14"/>
  <c r="H19376" i="14"/>
  <c r="G19376" i="14"/>
  <c r="E19376" i="14"/>
  <c r="AH19375" i="14"/>
  <c r="AG19375" i="14"/>
  <c r="AF19375" i="14"/>
  <c r="AE19375" i="14"/>
  <c r="V19375" i="14"/>
  <c r="T19375" i="14"/>
  <c r="S19375" i="14"/>
  <c r="Q19375" i="14"/>
  <c r="P19375" i="14"/>
  <c r="O19375" i="14"/>
  <c r="L19375" i="14"/>
  <c r="J19375" i="14"/>
  <c r="I19375" i="14"/>
  <c r="H19375" i="14"/>
  <c r="G19375" i="14"/>
  <c r="E19375" i="14"/>
  <c r="AH19374" i="14"/>
  <c r="S19374" i="14"/>
  <c r="Q19374" i="14"/>
  <c r="P19374" i="14"/>
  <c r="O19374" i="14"/>
  <c r="L19374" i="14"/>
  <c r="J19374" i="14"/>
  <c r="I19374" i="14"/>
  <c r="H19374" i="14"/>
  <c r="G19374" i="14"/>
  <c r="E19374" i="14"/>
  <c r="AL19373" i="14"/>
  <c r="AH19373" i="14"/>
  <c r="Q19373" i="14"/>
  <c r="O19373" i="14"/>
  <c r="I19373" i="14"/>
  <c r="H19373" i="14"/>
  <c r="G19373" i="14"/>
  <c r="E19373" i="14"/>
  <c r="AH19372" i="14"/>
  <c r="W19372" i="14"/>
  <c r="V19372" i="14"/>
  <c r="U19372" i="14"/>
  <c r="T19372" i="14"/>
  <c r="R19372" i="14"/>
  <c r="Q19372" i="14"/>
  <c r="P19372" i="14"/>
  <c r="O19372" i="14"/>
  <c r="L19372" i="14"/>
  <c r="J19372" i="14"/>
  <c r="I19372" i="14"/>
  <c r="H19372" i="14"/>
  <c r="E19372" i="14"/>
  <c r="AH19371" i="14"/>
  <c r="AE19371" i="14"/>
  <c r="R19371" i="14"/>
  <c r="Q19371" i="14"/>
  <c r="P19371" i="14"/>
  <c r="O19371" i="14"/>
  <c r="L19371" i="14"/>
  <c r="J19371" i="14"/>
  <c r="I19371" i="14"/>
  <c r="H19371" i="14"/>
  <c r="E19371" i="14"/>
  <c r="AK19370" i="14"/>
  <c r="AH19370" i="14"/>
  <c r="U19370" i="14"/>
  <c r="T19370" i="14"/>
  <c r="R19370" i="14"/>
  <c r="Q19370" i="14"/>
  <c r="P19370" i="14"/>
  <c r="O19370" i="14"/>
  <c r="L19370" i="14"/>
  <c r="J19370" i="14"/>
  <c r="I19370" i="14"/>
  <c r="H19370" i="14"/>
  <c r="E19370" i="14"/>
  <c r="AK19369" i="14"/>
  <c r="AH19369" i="14"/>
  <c r="R19369" i="14"/>
  <c r="P19369" i="14"/>
  <c r="O19369" i="14"/>
  <c r="L19369" i="14"/>
  <c r="J19369" i="14"/>
  <c r="I19369" i="14"/>
  <c r="H19369" i="14"/>
  <c r="E19369" i="14"/>
  <c r="AK19368" i="14"/>
  <c r="AH19368" i="14"/>
  <c r="S19368" i="14"/>
  <c r="R19368" i="14"/>
  <c r="P19368" i="14"/>
  <c r="O19368" i="14"/>
  <c r="L19368" i="14"/>
  <c r="J19368" i="14"/>
  <c r="I19368" i="14"/>
  <c r="H19368" i="14"/>
  <c r="E19368" i="14"/>
  <c r="AK19367" i="14"/>
  <c r="AH19367" i="14"/>
  <c r="S19367" i="14"/>
  <c r="R19367" i="14"/>
  <c r="P19367" i="14"/>
  <c r="O19367" i="14"/>
  <c r="L19367" i="14"/>
  <c r="J19367" i="14"/>
  <c r="I19367" i="14"/>
  <c r="H19367" i="14"/>
  <c r="E19367" i="14"/>
  <c r="AH19366" i="14"/>
  <c r="P19366" i="14"/>
  <c r="O19366" i="14"/>
  <c r="L19366" i="14"/>
  <c r="I19366" i="14"/>
  <c r="H19366" i="14"/>
  <c r="E19366" i="14"/>
  <c r="AH19365" i="14"/>
  <c r="W19365" i="14"/>
  <c r="V19365" i="14"/>
  <c r="U19365" i="14"/>
  <c r="T19365" i="14"/>
  <c r="Q19365" i="14"/>
  <c r="O19365" i="14"/>
  <c r="I19365" i="14"/>
  <c r="H19365" i="14"/>
  <c r="E19365" i="14"/>
  <c r="AH19364" i="14"/>
  <c r="O19364" i="14"/>
  <c r="I19364" i="14"/>
  <c r="H19364" i="14"/>
  <c r="E19364" i="14"/>
  <c r="AH19363" i="14"/>
  <c r="W19363" i="14"/>
  <c r="V19363" i="14"/>
  <c r="Q19363" i="14"/>
  <c r="P19363" i="14"/>
  <c r="O19363" i="14"/>
  <c r="L19363" i="14"/>
  <c r="J19363" i="14"/>
  <c r="I19363" i="14"/>
  <c r="H19363" i="14"/>
  <c r="E19363" i="14"/>
  <c r="AH19362" i="14"/>
  <c r="U19362" i="14"/>
  <c r="T19362" i="14"/>
  <c r="R19362" i="14"/>
  <c r="Q19362" i="14"/>
  <c r="P19362" i="14"/>
  <c r="O19362" i="14"/>
  <c r="L19362" i="14"/>
  <c r="I19362" i="14"/>
  <c r="H19362" i="14"/>
  <c r="E19362" i="14"/>
  <c r="AH19361" i="14"/>
  <c r="R19361" i="14"/>
  <c r="L19361" i="14"/>
  <c r="J19361" i="14"/>
  <c r="I19361" i="14"/>
  <c r="H19361" i="14"/>
  <c r="E19361" i="14"/>
  <c r="AH19360" i="14"/>
  <c r="R19360" i="14"/>
  <c r="P19360" i="14"/>
  <c r="O19360" i="14"/>
  <c r="L19360" i="14"/>
  <c r="J19360" i="14"/>
  <c r="I19360" i="14"/>
  <c r="H19360" i="14"/>
  <c r="E19360" i="14"/>
  <c r="AH19359" i="14"/>
  <c r="S19359" i="14"/>
  <c r="P19359" i="14"/>
  <c r="O19359" i="14"/>
  <c r="L19359" i="14"/>
  <c r="J19359" i="14"/>
  <c r="I19359" i="14"/>
  <c r="H19359" i="14"/>
  <c r="G19359" i="14"/>
  <c r="E19359" i="14"/>
  <c r="AH19358" i="14"/>
  <c r="S19358" i="14"/>
  <c r="R19358" i="14"/>
  <c r="P19358" i="14"/>
  <c r="O19358" i="14"/>
  <c r="L19358" i="14"/>
  <c r="J19358" i="14"/>
  <c r="I19358" i="14"/>
  <c r="H19358" i="14"/>
  <c r="E19358" i="14"/>
  <c r="AL19357" i="14"/>
  <c r="AH19357" i="14"/>
  <c r="W19357" i="14"/>
  <c r="V19357" i="14"/>
  <c r="U19357" i="14"/>
  <c r="T19357" i="14"/>
  <c r="R19357" i="14"/>
  <c r="Q19357" i="14"/>
  <c r="P19357" i="14"/>
  <c r="O19357" i="14"/>
  <c r="J19357" i="14"/>
  <c r="I19357" i="14"/>
  <c r="H19357" i="14"/>
  <c r="E19357" i="14"/>
  <c r="AK19356" i="14"/>
  <c r="AH19356" i="14"/>
  <c r="L19356" i="14"/>
  <c r="J19356" i="14"/>
  <c r="I19356" i="14"/>
  <c r="H19356" i="14"/>
  <c r="E19356" i="14"/>
  <c r="AK19355" i="14"/>
  <c r="AH19355" i="14"/>
  <c r="AE19355" i="14"/>
  <c r="W19355" i="14"/>
  <c r="V19355" i="14"/>
  <c r="U19355" i="14"/>
  <c r="T19355" i="14"/>
  <c r="S19355" i="14"/>
  <c r="R19355" i="14"/>
  <c r="Q19355" i="14"/>
  <c r="P19355" i="14"/>
  <c r="O19355" i="14"/>
  <c r="L19355" i="14"/>
  <c r="J19355" i="14"/>
  <c r="I19355" i="14"/>
  <c r="H19355" i="14"/>
  <c r="E19355" i="14"/>
  <c r="AH19354" i="14"/>
  <c r="S19354" i="14"/>
  <c r="P19354" i="14"/>
  <c r="O19354" i="14"/>
  <c r="L19354" i="14"/>
  <c r="J19354" i="14"/>
  <c r="I19354" i="14"/>
  <c r="H19354" i="14"/>
  <c r="E19354" i="14"/>
  <c r="AK19353" i="14"/>
  <c r="AH19353" i="14"/>
  <c r="L19353" i="14"/>
  <c r="J19353" i="14"/>
  <c r="I19353" i="14"/>
  <c r="H19353" i="14"/>
  <c r="E19353" i="14"/>
  <c r="AK19352" i="14"/>
  <c r="AH19352" i="14"/>
  <c r="AE19352" i="14"/>
  <c r="R19352" i="14"/>
  <c r="P19352" i="14"/>
  <c r="O19352" i="14"/>
  <c r="L19352" i="14"/>
  <c r="J19352" i="14"/>
  <c r="I19352" i="14"/>
  <c r="H19352" i="14"/>
  <c r="E19352" i="14"/>
  <c r="AH19351" i="14"/>
  <c r="O19351" i="14"/>
  <c r="I19351" i="14"/>
  <c r="H19351" i="14"/>
  <c r="E19351" i="14"/>
  <c r="AH19350" i="14"/>
  <c r="S19350" i="14"/>
  <c r="P19350" i="14"/>
  <c r="O19350" i="14"/>
  <c r="L19350" i="14"/>
  <c r="I19350" i="14"/>
  <c r="H19350" i="14"/>
  <c r="E19350" i="14"/>
  <c r="AH19349" i="14"/>
  <c r="S19349" i="14"/>
  <c r="R19349" i="14"/>
  <c r="P19349" i="14"/>
  <c r="O19349" i="14"/>
  <c r="L19349" i="14"/>
  <c r="J19349" i="14"/>
  <c r="I19349" i="14"/>
  <c r="H19349" i="14"/>
  <c r="E19349" i="14"/>
  <c r="AK19348" i="14"/>
  <c r="AH19348" i="14"/>
  <c r="S19348" i="14"/>
  <c r="R19348" i="14"/>
  <c r="L19348" i="14"/>
  <c r="J19348" i="14"/>
  <c r="I19348" i="14"/>
  <c r="H19348" i="14"/>
  <c r="E19348" i="14"/>
  <c r="AK19347" i="14"/>
  <c r="AH19347" i="14"/>
  <c r="AE19347" i="14"/>
  <c r="S19347" i="14"/>
  <c r="R19347" i="14"/>
  <c r="P19347" i="14"/>
  <c r="O19347" i="14"/>
  <c r="L19347" i="14"/>
  <c r="J19347" i="14"/>
  <c r="I19347" i="14"/>
  <c r="H19347" i="14"/>
  <c r="E19347" i="14"/>
  <c r="AH19346" i="14"/>
  <c r="S19346" i="14"/>
  <c r="R19346" i="14"/>
  <c r="Q19346" i="14"/>
  <c r="P19346" i="14"/>
  <c r="O19346" i="14"/>
  <c r="L19346" i="14"/>
  <c r="J19346" i="14"/>
  <c r="I19346" i="14"/>
  <c r="H19346" i="14"/>
  <c r="E19346" i="14"/>
  <c r="AH19345" i="14"/>
  <c r="L19345" i="14"/>
  <c r="J19345" i="14"/>
  <c r="I19345" i="14"/>
  <c r="H19345" i="14"/>
  <c r="E19345" i="14"/>
  <c r="AH19344" i="14"/>
  <c r="R19344" i="14"/>
  <c r="P19344" i="14"/>
  <c r="O19344" i="14"/>
  <c r="I19344" i="14"/>
  <c r="H19344" i="14"/>
  <c r="E19344" i="14"/>
  <c r="AH19343" i="14"/>
  <c r="W19343" i="14"/>
  <c r="V19343" i="14"/>
  <c r="U19343" i="14"/>
  <c r="T19343" i="14"/>
  <c r="R19343" i="14"/>
  <c r="Q19343" i="14"/>
  <c r="P19343" i="14"/>
  <c r="O19343" i="14"/>
  <c r="L19343" i="14"/>
  <c r="J19343" i="14"/>
  <c r="I19343" i="14"/>
  <c r="H19343" i="14"/>
  <c r="E19343" i="14"/>
  <c r="AH19342" i="14"/>
  <c r="O19342" i="14"/>
  <c r="I19342" i="14"/>
  <c r="H19342" i="14"/>
  <c r="E19342" i="14"/>
  <c r="AH19341" i="14"/>
  <c r="O19341" i="14"/>
  <c r="H19341" i="14"/>
  <c r="E19341" i="14"/>
  <c r="AL19340" i="14"/>
  <c r="AH19340" i="14"/>
  <c r="Q19340" i="14"/>
  <c r="O19340" i="14"/>
  <c r="I19340" i="14"/>
  <c r="H19340" i="14"/>
  <c r="G19340" i="14"/>
  <c r="E19340" i="14"/>
  <c r="AH19339" i="14"/>
  <c r="S19339" i="14"/>
  <c r="P19339" i="14"/>
  <c r="O19339" i="14"/>
  <c r="L19339" i="14"/>
  <c r="J19339" i="14"/>
  <c r="I19339" i="14"/>
  <c r="H19339" i="14"/>
  <c r="G19339" i="14"/>
  <c r="E19339" i="14"/>
  <c r="AH19338" i="14"/>
  <c r="S19338" i="14"/>
  <c r="P19338" i="14"/>
  <c r="O19338" i="14"/>
  <c r="L19338" i="14"/>
  <c r="J19338" i="14"/>
  <c r="I19338" i="14"/>
  <c r="H19338" i="14"/>
  <c r="G19338" i="14"/>
  <c r="E19338" i="14"/>
  <c r="AH19337" i="14"/>
  <c r="W19337" i="14"/>
  <c r="V19337" i="14"/>
  <c r="T19337" i="14"/>
  <c r="S19337" i="14"/>
  <c r="Q19337" i="14"/>
  <c r="P19337" i="14"/>
  <c r="O19337" i="14"/>
  <c r="L19337" i="14"/>
  <c r="I19337" i="14"/>
  <c r="H19337" i="14"/>
  <c r="G19337" i="14"/>
  <c r="E19337" i="14"/>
  <c r="AH19336" i="14"/>
  <c r="AG19336" i="14"/>
  <c r="AE19336" i="14"/>
  <c r="S19336" i="14"/>
  <c r="R19336" i="14"/>
  <c r="P19336" i="14"/>
  <c r="O19336" i="14"/>
  <c r="L19336" i="14"/>
  <c r="J19336" i="14"/>
  <c r="I19336" i="14"/>
  <c r="H19336" i="14"/>
  <c r="G19336" i="14"/>
  <c r="E19336" i="14"/>
  <c r="AH19335" i="14"/>
  <c r="S19335" i="14"/>
  <c r="Q19335" i="14"/>
  <c r="P19335" i="14"/>
  <c r="O19335" i="14"/>
  <c r="L19335" i="14"/>
  <c r="J19335" i="14"/>
  <c r="I19335" i="14"/>
  <c r="H19335" i="14"/>
  <c r="G19335" i="14"/>
  <c r="E19335" i="14"/>
  <c r="AL19334" i="14"/>
  <c r="AH19334" i="14"/>
  <c r="S19334" i="14"/>
  <c r="P19334" i="14"/>
  <c r="O19334" i="14"/>
  <c r="L19334" i="14"/>
  <c r="J19334" i="14"/>
  <c r="I19334" i="14"/>
  <c r="H19334" i="14"/>
  <c r="G19334" i="14"/>
  <c r="E19334" i="14"/>
  <c r="AH19333" i="14"/>
  <c r="V19333" i="14"/>
  <c r="T19333" i="14"/>
  <c r="S19333" i="14"/>
  <c r="R19333" i="14"/>
  <c r="Q19333" i="14"/>
  <c r="P19333" i="14"/>
  <c r="O19333" i="14"/>
  <c r="L19333" i="14"/>
  <c r="I19333" i="14"/>
  <c r="H19333" i="14"/>
  <c r="G19333" i="14"/>
  <c r="E19333" i="14"/>
  <c r="AH19332" i="14"/>
  <c r="AE19332" i="14"/>
  <c r="S19332" i="14"/>
  <c r="Q19332" i="14"/>
  <c r="P19332" i="14"/>
  <c r="O19332" i="14"/>
  <c r="L19332" i="14"/>
  <c r="J19332" i="14"/>
  <c r="I19332" i="14"/>
  <c r="H19332" i="14"/>
  <c r="G19332" i="14"/>
  <c r="E19332" i="14"/>
  <c r="AH19331" i="14"/>
  <c r="AF19331" i="14"/>
  <c r="AE19331" i="14"/>
  <c r="U19331" i="14"/>
  <c r="T19331" i="14"/>
  <c r="S19331" i="14"/>
  <c r="R19331" i="14"/>
  <c r="Q19331" i="14"/>
  <c r="P19331" i="14"/>
  <c r="O19331" i="14"/>
  <c r="L19331" i="14"/>
  <c r="J19331" i="14"/>
  <c r="I19331" i="14"/>
  <c r="H19331" i="14"/>
  <c r="G19331" i="14"/>
  <c r="E19331" i="14"/>
  <c r="AH19330" i="14"/>
  <c r="AE19330" i="14"/>
  <c r="Q19330" i="14"/>
  <c r="P19330" i="14"/>
  <c r="O19330" i="14"/>
  <c r="L19330" i="14"/>
  <c r="J19330" i="14"/>
  <c r="I19330" i="14"/>
  <c r="H19330" i="14"/>
  <c r="G19330" i="14"/>
  <c r="E19330" i="14"/>
  <c r="AH19329" i="14"/>
  <c r="AF19329" i="14"/>
  <c r="AE19329" i="14"/>
  <c r="U19329" i="14"/>
  <c r="T19329" i="14"/>
  <c r="R19329" i="14"/>
  <c r="Q19329" i="14"/>
  <c r="P19329" i="14"/>
  <c r="O19329" i="14"/>
  <c r="L19329" i="14"/>
  <c r="J19329" i="14"/>
  <c r="I19329" i="14"/>
  <c r="H19329" i="14"/>
  <c r="G19329" i="14"/>
  <c r="E19329" i="14"/>
  <c r="AH19328" i="14"/>
  <c r="AG19328" i="14"/>
  <c r="AE19328" i="14"/>
  <c r="W19328" i="14"/>
  <c r="V19328" i="14"/>
  <c r="Q19328" i="14"/>
  <c r="P19328" i="14"/>
  <c r="O19328" i="14"/>
  <c r="L19328" i="14"/>
  <c r="J19328" i="14"/>
  <c r="I19328" i="14"/>
  <c r="H19328" i="14"/>
  <c r="G19328" i="14"/>
  <c r="E19328" i="14"/>
  <c r="AH19327" i="14"/>
  <c r="S19327" i="14"/>
  <c r="P19327" i="14"/>
  <c r="O19327" i="14"/>
  <c r="L19327" i="14"/>
  <c r="J19327" i="14"/>
  <c r="I19327" i="14"/>
  <c r="H19327" i="14"/>
  <c r="G19327" i="14"/>
  <c r="E19327" i="14"/>
  <c r="AH19326" i="14"/>
  <c r="R19326" i="14"/>
  <c r="P19326" i="14"/>
  <c r="O19326" i="14"/>
  <c r="L19326" i="14"/>
  <c r="I19326" i="14"/>
  <c r="H19326" i="14"/>
  <c r="G19326" i="14"/>
  <c r="E19326" i="14"/>
  <c r="AH19325" i="14"/>
  <c r="R19325" i="14"/>
  <c r="P19325" i="14"/>
  <c r="O19325" i="14"/>
  <c r="L19325" i="14"/>
  <c r="J19325" i="14"/>
  <c r="I19325" i="14"/>
  <c r="H19325" i="14"/>
  <c r="G19325" i="14"/>
  <c r="E19325" i="14"/>
  <c r="AH19324" i="14"/>
  <c r="V19324" i="14"/>
  <c r="T19324" i="14"/>
  <c r="S19324" i="14"/>
  <c r="R19324" i="14"/>
  <c r="Q19324" i="14"/>
  <c r="P19324" i="14"/>
  <c r="L19324" i="14"/>
  <c r="I19324" i="14"/>
  <c r="H19324" i="14"/>
  <c r="G19324" i="14"/>
  <c r="E19324" i="14"/>
  <c r="AH19323" i="14"/>
  <c r="W19323" i="14"/>
  <c r="V19323" i="14"/>
  <c r="U19323" i="14"/>
  <c r="T19323" i="14"/>
  <c r="S19323" i="14"/>
  <c r="R19323" i="14"/>
  <c r="Q19323" i="14"/>
  <c r="P19323" i="14"/>
  <c r="O19323" i="14"/>
  <c r="L19323" i="14"/>
  <c r="I19323" i="14"/>
  <c r="H19323" i="14"/>
  <c r="E19323" i="14"/>
  <c r="AH19322" i="14"/>
  <c r="S19322" i="14"/>
  <c r="P19322" i="14"/>
  <c r="O19322" i="14"/>
  <c r="L19322" i="14"/>
  <c r="J19322" i="14"/>
  <c r="I19322" i="14"/>
  <c r="H19322" i="14"/>
  <c r="E19322" i="14"/>
  <c r="AH19321" i="14"/>
  <c r="S19321" i="14"/>
  <c r="P19321" i="14"/>
  <c r="O19321" i="14"/>
  <c r="L19321" i="14"/>
  <c r="J19321" i="14"/>
  <c r="I19321" i="14"/>
  <c r="H19321" i="14"/>
  <c r="E19321" i="14"/>
  <c r="AH19320" i="14"/>
  <c r="S19320" i="14"/>
  <c r="R19320" i="14"/>
  <c r="P19320" i="14"/>
  <c r="O19320" i="14"/>
  <c r="L19320" i="14"/>
  <c r="I19320" i="14"/>
  <c r="H19320" i="14"/>
  <c r="E19320" i="14"/>
  <c r="AH19319" i="14"/>
  <c r="S19319" i="14"/>
  <c r="O19319" i="14"/>
  <c r="L19319" i="14"/>
  <c r="I19319" i="14"/>
  <c r="H19319" i="14"/>
  <c r="E19319" i="14"/>
  <c r="AK19318" i="14"/>
  <c r="AH19318" i="14"/>
  <c r="S19318" i="14"/>
  <c r="R19318" i="14"/>
  <c r="P19318" i="14"/>
  <c r="O19318" i="14"/>
  <c r="L19318" i="14"/>
  <c r="J19318" i="14"/>
  <c r="I19318" i="14"/>
  <c r="H19318" i="14"/>
  <c r="E19318" i="14"/>
  <c r="AH19317" i="14"/>
  <c r="S19317" i="14"/>
  <c r="P19317" i="14"/>
  <c r="O19317" i="14"/>
  <c r="L19317" i="14"/>
  <c r="I19317" i="14"/>
  <c r="H19317" i="14"/>
  <c r="E19317" i="14"/>
  <c r="AK19316" i="14"/>
  <c r="AH19316" i="14"/>
  <c r="L19316" i="14"/>
  <c r="J19316" i="14"/>
  <c r="I19316" i="14"/>
  <c r="H19316" i="14"/>
  <c r="E19316" i="14"/>
  <c r="AK19315" i="14"/>
  <c r="AH19315" i="14"/>
  <c r="T19315" i="14"/>
  <c r="S19315" i="14"/>
  <c r="R19315" i="14"/>
  <c r="Q19315" i="14"/>
  <c r="P19315" i="14"/>
  <c r="O19315" i="14"/>
  <c r="L19315" i="14"/>
  <c r="J19315" i="14"/>
  <c r="I19315" i="14"/>
  <c r="H19315" i="14"/>
  <c r="E19315" i="14"/>
  <c r="AK19314" i="14"/>
  <c r="AH19314" i="14"/>
  <c r="S19314" i="14"/>
  <c r="R19314" i="14"/>
  <c r="P19314" i="14"/>
  <c r="O19314" i="14"/>
  <c r="L19314" i="14"/>
  <c r="J19314" i="14"/>
  <c r="I19314" i="14"/>
  <c r="H19314" i="14"/>
  <c r="E19314" i="14"/>
  <c r="AK19313" i="14"/>
  <c r="AH19313" i="14"/>
  <c r="AG19313" i="14"/>
  <c r="AF19313" i="14"/>
  <c r="AE19313" i="14"/>
  <c r="W19313" i="14"/>
  <c r="V19313" i="14"/>
  <c r="U19313" i="14"/>
  <c r="T19313" i="14"/>
  <c r="S19313" i="14"/>
  <c r="R19313" i="14"/>
  <c r="Q19313" i="14"/>
  <c r="P19313" i="14"/>
  <c r="O19313" i="14"/>
  <c r="L19313" i="14"/>
  <c r="J19313" i="14"/>
  <c r="I19313" i="14"/>
  <c r="H19313" i="14"/>
  <c r="E19313" i="14"/>
  <c r="AH19312" i="14"/>
  <c r="S19312" i="14"/>
  <c r="P19312" i="14"/>
  <c r="O19312" i="14"/>
  <c r="L19312" i="14"/>
  <c r="J19312" i="14"/>
  <c r="I19312" i="14"/>
  <c r="H19312" i="14"/>
  <c r="G19312" i="14"/>
  <c r="E19312" i="14"/>
  <c r="AK19311" i="14"/>
  <c r="AH19311" i="14"/>
  <c r="S19311" i="14"/>
  <c r="R19311" i="14"/>
  <c r="P19311" i="14"/>
  <c r="O19311" i="14"/>
  <c r="L19311" i="14"/>
  <c r="J19311" i="14"/>
  <c r="I19311" i="14"/>
  <c r="H19311" i="14"/>
  <c r="E19311" i="14"/>
  <c r="AK19310" i="14"/>
  <c r="AH19310" i="14"/>
  <c r="AE19310" i="14"/>
  <c r="S19310" i="14"/>
  <c r="R19310" i="14"/>
  <c r="P19310" i="14"/>
  <c r="O19310" i="14"/>
  <c r="L19310" i="14"/>
  <c r="J19310" i="14"/>
  <c r="I19310" i="14"/>
  <c r="H19310" i="14"/>
  <c r="E19310" i="14"/>
  <c r="AK19309" i="14"/>
  <c r="AH19309" i="14"/>
  <c r="R19309" i="14"/>
  <c r="L19309" i="14"/>
  <c r="J19309" i="14"/>
  <c r="I19309" i="14"/>
  <c r="H19309" i="14"/>
  <c r="E19309" i="14"/>
  <c r="AK19308" i="14"/>
  <c r="AH19308" i="14"/>
  <c r="AE19308" i="14"/>
  <c r="T19308" i="14"/>
  <c r="S19308" i="14"/>
  <c r="R19308" i="14"/>
  <c r="Q19308" i="14"/>
  <c r="P19308" i="14"/>
  <c r="O19308" i="14"/>
  <c r="L19308" i="14"/>
  <c r="J19308" i="14"/>
  <c r="I19308" i="14"/>
  <c r="H19308" i="14"/>
  <c r="E19308" i="14"/>
  <c r="AK19307" i="14"/>
  <c r="AH19307" i="14"/>
  <c r="V19307" i="14"/>
  <c r="U19307" i="14"/>
  <c r="T19307" i="14"/>
  <c r="S19307" i="14"/>
  <c r="R19307" i="14"/>
  <c r="Q19307" i="14"/>
  <c r="P19307" i="14"/>
  <c r="O19307" i="14"/>
  <c r="L19307" i="14"/>
  <c r="J19307" i="14"/>
  <c r="I19307" i="14"/>
  <c r="H19307" i="14"/>
  <c r="E19307" i="14"/>
  <c r="AH19306" i="14"/>
  <c r="S19306" i="14"/>
  <c r="O19306" i="14"/>
  <c r="L19306" i="14"/>
  <c r="I19306" i="14"/>
  <c r="H19306" i="14"/>
  <c r="E19306" i="14"/>
  <c r="AH19305" i="14"/>
  <c r="S19305" i="14"/>
  <c r="P19305" i="14"/>
  <c r="O19305" i="14"/>
  <c r="L19305" i="14"/>
  <c r="J19305" i="14"/>
  <c r="I19305" i="14"/>
  <c r="H19305" i="14"/>
  <c r="E19305" i="14"/>
  <c r="AK19304" i="14"/>
  <c r="AH19304" i="14"/>
  <c r="AG19304" i="14"/>
  <c r="AF19304" i="14"/>
  <c r="AE19304" i="14"/>
  <c r="W19304" i="14"/>
  <c r="V19304" i="14"/>
  <c r="U19304" i="14"/>
  <c r="T19304" i="14"/>
  <c r="S19304" i="14"/>
  <c r="R19304" i="14"/>
  <c r="Q19304" i="14"/>
  <c r="P19304" i="14"/>
  <c r="O19304" i="14"/>
  <c r="L19304" i="14"/>
  <c r="J19304" i="14"/>
  <c r="I19304" i="14"/>
  <c r="H19304" i="14"/>
  <c r="E19304" i="14"/>
  <c r="AK19303" i="14"/>
  <c r="AH19303" i="14"/>
  <c r="S19303" i="14"/>
  <c r="R19303" i="14"/>
  <c r="P19303" i="14"/>
  <c r="O19303" i="14"/>
  <c r="L19303" i="14"/>
  <c r="J19303" i="14"/>
  <c r="I19303" i="14"/>
  <c r="H19303" i="14"/>
  <c r="E19303" i="14"/>
  <c r="AH19302" i="14"/>
  <c r="AE19302" i="14"/>
  <c r="S19302" i="14"/>
  <c r="R19302" i="14"/>
  <c r="Q19302" i="14"/>
  <c r="P19302" i="14"/>
  <c r="O19302" i="14"/>
  <c r="L19302" i="14"/>
  <c r="J19302" i="14"/>
  <c r="I19302" i="14"/>
  <c r="H19302" i="14"/>
  <c r="G19302" i="14"/>
  <c r="E19302" i="14"/>
  <c r="AH19301" i="14"/>
  <c r="AE19301" i="14"/>
  <c r="Q19301" i="14"/>
  <c r="P19301" i="14"/>
  <c r="O19301" i="14"/>
  <c r="L19301" i="14"/>
  <c r="J19301" i="14"/>
  <c r="I19301" i="14"/>
  <c r="H19301" i="14"/>
  <c r="E19301" i="14"/>
  <c r="AH19300" i="14"/>
  <c r="W19300" i="14"/>
  <c r="V19300" i="14"/>
  <c r="U19300" i="14"/>
  <c r="T19300" i="14"/>
  <c r="S19300" i="14"/>
  <c r="R19300" i="14"/>
  <c r="Q19300" i="14"/>
  <c r="P19300" i="14"/>
  <c r="O19300" i="14"/>
  <c r="L19300" i="14"/>
  <c r="J19300" i="14"/>
  <c r="I19300" i="14"/>
  <c r="H19300" i="14"/>
  <c r="E19300" i="14"/>
  <c r="AH19299" i="14"/>
  <c r="AG19299" i="14"/>
  <c r="AF19299" i="14"/>
  <c r="AE19299" i="14"/>
  <c r="W19299" i="14"/>
  <c r="V19299" i="14"/>
  <c r="U19299" i="14"/>
  <c r="T19299" i="14"/>
  <c r="S19299" i="14"/>
  <c r="R19299" i="14"/>
  <c r="Q19299" i="14"/>
  <c r="P19299" i="14"/>
  <c r="O19299" i="14"/>
  <c r="L19299" i="14"/>
  <c r="J19299" i="14"/>
  <c r="I19299" i="14"/>
  <c r="H19299" i="14"/>
  <c r="G19299" i="14"/>
  <c r="E19299" i="14"/>
  <c r="AH19298" i="14"/>
  <c r="AG19298" i="14"/>
  <c r="AF19298" i="14"/>
  <c r="AE19298" i="14"/>
  <c r="W19298" i="14"/>
  <c r="V19298" i="14"/>
  <c r="U19298" i="14"/>
  <c r="T19298" i="14"/>
  <c r="Q19298" i="14"/>
  <c r="P19298" i="14"/>
  <c r="O19298" i="14"/>
  <c r="L19298" i="14"/>
  <c r="J19298" i="14"/>
  <c r="I19298" i="14"/>
  <c r="H19298" i="14"/>
  <c r="E19298" i="14"/>
  <c r="AH19297" i="14"/>
  <c r="V19297" i="14"/>
  <c r="T19297" i="14"/>
  <c r="S19297" i="14"/>
  <c r="R19297" i="14"/>
  <c r="Q19297" i="14"/>
  <c r="P19297" i="14"/>
  <c r="O19297" i="14"/>
  <c r="L19297" i="14"/>
  <c r="I19297" i="14"/>
  <c r="H19297" i="14"/>
  <c r="E19297" i="14"/>
  <c r="AH19296" i="14"/>
  <c r="W19296" i="14"/>
  <c r="V19296" i="14"/>
  <c r="R19296" i="14"/>
  <c r="Q19296" i="14"/>
  <c r="P19296" i="14"/>
  <c r="O19296" i="14"/>
  <c r="L19296" i="14"/>
  <c r="J19296" i="14"/>
  <c r="I19296" i="14"/>
  <c r="H19296" i="14"/>
  <c r="G19296" i="14"/>
  <c r="E19296" i="14"/>
  <c r="AH19295" i="14"/>
  <c r="W19295" i="14"/>
  <c r="V19295" i="14"/>
  <c r="U19295" i="14"/>
  <c r="T19295" i="14"/>
  <c r="R19295" i="14"/>
  <c r="Q19295" i="14"/>
  <c r="P19295" i="14"/>
  <c r="L19295" i="14"/>
  <c r="J19295" i="14"/>
  <c r="I19295" i="14"/>
  <c r="H19295" i="14"/>
  <c r="G19295" i="14"/>
  <c r="E19295" i="14"/>
  <c r="AH19294" i="14"/>
  <c r="S19294" i="14"/>
  <c r="O19294" i="14"/>
  <c r="L19294" i="14"/>
  <c r="I19294" i="14"/>
  <c r="E19294" i="14"/>
  <c r="AH19293" i="14"/>
  <c r="W19293" i="14"/>
  <c r="V19293" i="14"/>
  <c r="U19293" i="14"/>
  <c r="T19293" i="14"/>
  <c r="R19293" i="14"/>
  <c r="Q19293" i="14"/>
  <c r="P19293" i="14"/>
  <c r="O19293" i="14"/>
  <c r="L19293" i="14"/>
  <c r="I19293" i="14"/>
  <c r="H19293" i="14"/>
  <c r="G19293" i="14"/>
  <c r="E19293" i="14"/>
  <c r="AH19292" i="14"/>
  <c r="AE19292" i="14"/>
  <c r="U19292" i="14"/>
  <c r="T19292" i="14"/>
  <c r="Q19292" i="14"/>
  <c r="P19292" i="14"/>
  <c r="O19292" i="14"/>
  <c r="L19292" i="14"/>
  <c r="J19292" i="14"/>
  <c r="I19292" i="14"/>
  <c r="H19292" i="14"/>
  <c r="E19292" i="14"/>
  <c r="AH19291" i="14"/>
  <c r="AG19291" i="14"/>
  <c r="AF19291" i="14"/>
  <c r="AE19291" i="14"/>
  <c r="W19291" i="14"/>
  <c r="V19291" i="14"/>
  <c r="U19291" i="14"/>
  <c r="T19291" i="14"/>
  <c r="R19291" i="14"/>
  <c r="Q19291" i="14"/>
  <c r="P19291" i="14"/>
  <c r="O19291" i="14"/>
  <c r="L19291" i="14"/>
  <c r="J19291" i="14"/>
  <c r="I19291" i="14"/>
  <c r="H19291" i="14"/>
  <c r="E19291" i="14"/>
  <c r="AH19290" i="14"/>
  <c r="AG19290" i="14"/>
  <c r="AF19290" i="14"/>
  <c r="AE19290" i="14"/>
  <c r="W19290" i="14"/>
  <c r="V19290" i="14"/>
  <c r="U19290" i="14"/>
  <c r="T19290" i="14"/>
  <c r="S19290" i="14"/>
  <c r="Q19290" i="14"/>
  <c r="P19290" i="14"/>
  <c r="O19290" i="14"/>
  <c r="L19290" i="14"/>
  <c r="J19290" i="14"/>
  <c r="I19290" i="14"/>
  <c r="H19290" i="14"/>
  <c r="E19290" i="14"/>
  <c r="AH19289" i="14"/>
  <c r="AF19289" i="14"/>
  <c r="AE19289" i="14"/>
  <c r="V19289" i="14"/>
  <c r="T19289" i="14"/>
  <c r="S19289" i="14"/>
  <c r="R19289" i="14"/>
  <c r="Q19289" i="14"/>
  <c r="P19289" i="14"/>
  <c r="O19289" i="14"/>
  <c r="L19289" i="14"/>
  <c r="J19289" i="14"/>
  <c r="I19289" i="14"/>
  <c r="H19289" i="14"/>
  <c r="E19289" i="14"/>
  <c r="AH19288" i="14"/>
  <c r="O19288" i="14"/>
  <c r="I19288" i="14"/>
  <c r="E19288" i="14"/>
  <c r="AH19287" i="14"/>
  <c r="P19287" i="14"/>
  <c r="O19287" i="14"/>
  <c r="L19287" i="14"/>
  <c r="J19287" i="14"/>
  <c r="I19287" i="14"/>
  <c r="H19287" i="14"/>
  <c r="G19287" i="14"/>
  <c r="E19287" i="14"/>
  <c r="AH19286" i="14"/>
  <c r="S19286" i="14"/>
  <c r="P19286" i="14"/>
  <c r="O19286" i="14"/>
  <c r="L19286" i="14"/>
  <c r="J19286" i="14"/>
  <c r="I19286" i="14"/>
  <c r="H19286" i="14"/>
  <c r="E19286" i="14"/>
  <c r="AH19285" i="14"/>
  <c r="R19285" i="14"/>
  <c r="Q19285" i="14"/>
  <c r="L19285" i="14"/>
  <c r="I19285" i="14"/>
  <c r="E19285" i="14"/>
  <c r="AH19284" i="14"/>
  <c r="L19284" i="14"/>
  <c r="I19284" i="14"/>
  <c r="H19284" i="14"/>
  <c r="E19284" i="14"/>
  <c r="AH19283" i="14"/>
  <c r="L19283" i="14"/>
  <c r="I19283" i="14"/>
  <c r="H19283" i="14"/>
  <c r="E19283" i="14"/>
  <c r="AH19282" i="14"/>
  <c r="W19282" i="14"/>
  <c r="V19282" i="14"/>
  <c r="U19282" i="14"/>
  <c r="T19282" i="14"/>
  <c r="S19282" i="14"/>
  <c r="R19282" i="14"/>
  <c r="Q19282" i="14"/>
  <c r="P19282" i="14"/>
  <c r="O19282" i="14"/>
  <c r="L19282" i="14"/>
  <c r="I19282" i="14"/>
  <c r="H19282" i="14"/>
  <c r="E19282" i="14"/>
  <c r="AH19281" i="14"/>
  <c r="S19281" i="14"/>
  <c r="Q19281" i="14"/>
  <c r="P19281" i="14"/>
  <c r="O19281" i="14"/>
  <c r="L19281" i="14"/>
  <c r="I19281" i="14"/>
  <c r="E19281" i="14"/>
  <c r="AH19280" i="14"/>
  <c r="AE19280" i="14"/>
  <c r="S19280" i="14"/>
  <c r="Q19280" i="14"/>
  <c r="P19280" i="14"/>
  <c r="O19280" i="14"/>
  <c r="L19280" i="14"/>
  <c r="J19280" i="14"/>
  <c r="I19280" i="14"/>
  <c r="E19280" i="14"/>
  <c r="AH19279" i="14"/>
  <c r="S19279" i="14"/>
  <c r="R19279" i="14"/>
  <c r="P19279" i="14"/>
  <c r="O19279" i="14"/>
  <c r="L19279" i="14"/>
  <c r="J19279" i="14"/>
  <c r="I19279" i="14"/>
  <c r="H19279" i="14"/>
  <c r="E19279" i="14"/>
  <c r="AH19278" i="14"/>
  <c r="S19278" i="14"/>
  <c r="P19278" i="14"/>
  <c r="O19278" i="14"/>
  <c r="L19278" i="14"/>
  <c r="J19278" i="14"/>
  <c r="I19278" i="14"/>
  <c r="E19278" i="14"/>
  <c r="AH19277" i="14"/>
  <c r="O19277" i="14"/>
  <c r="L19277" i="14"/>
  <c r="H19277" i="14"/>
  <c r="G19277" i="14"/>
  <c r="E19277" i="14"/>
  <c r="AK19276" i="14"/>
  <c r="AH19276" i="14"/>
  <c r="W19276" i="14"/>
  <c r="V19276" i="14"/>
  <c r="R19276" i="14"/>
  <c r="Q19276" i="14"/>
  <c r="P19276" i="14"/>
  <c r="O19276" i="14"/>
  <c r="L19276" i="14"/>
  <c r="J19276" i="14"/>
  <c r="I19276" i="14"/>
  <c r="H19276" i="14"/>
  <c r="E19276" i="14"/>
  <c r="AK19275" i="14"/>
  <c r="AH19275" i="14"/>
  <c r="R19275" i="14"/>
  <c r="P19275" i="14"/>
  <c r="O19275" i="14"/>
  <c r="L19275" i="14"/>
  <c r="J19275" i="14"/>
  <c r="I19275" i="14"/>
  <c r="H19275" i="14"/>
  <c r="E19275" i="14"/>
  <c r="AK19274" i="14"/>
  <c r="AH19274" i="14"/>
  <c r="W19274" i="14"/>
  <c r="V19274" i="14"/>
  <c r="U19274" i="14"/>
  <c r="T19274" i="14"/>
  <c r="R19274" i="14"/>
  <c r="Q19274" i="14"/>
  <c r="P19274" i="14"/>
  <c r="O19274" i="14"/>
  <c r="L19274" i="14"/>
  <c r="J19274" i="14"/>
  <c r="I19274" i="14"/>
  <c r="H19274" i="14"/>
  <c r="E19274" i="14"/>
  <c r="AH19273" i="14"/>
  <c r="O19273" i="14"/>
  <c r="E19273" i="14"/>
  <c r="AH19272" i="14"/>
  <c r="S19272" i="14"/>
  <c r="P19272" i="14"/>
  <c r="O19272" i="14"/>
  <c r="L19272" i="14"/>
  <c r="I19272" i="14"/>
  <c r="E19272" i="14"/>
  <c r="AH19271" i="14"/>
  <c r="S19271" i="14"/>
  <c r="O19271" i="14"/>
  <c r="L19271" i="14"/>
  <c r="I19271" i="14"/>
  <c r="E19271" i="14"/>
  <c r="AH19270" i="14"/>
  <c r="V19270" i="14"/>
  <c r="S19270" i="14"/>
  <c r="R19270" i="14"/>
  <c r="Q19270" i="14"/>
  <c r="P19270" i="14"/>
  <c r="O19270" i="14"/>
  <c r="L19270" i="14"/>
  <c r="J19270" i="14"/>
  <c r="I19270" i="14"/>
  <c r="H19270" i="14"/>
  <c r="G19270" i="14"/>
  <c r="E19270" i="14"/>
  <c r="AH19269" i="14"/>
  <c r="Q19269" i="14"/>
  <c r="P19269" i="14"/>
  <c r="O19269" i="14"/>
  <c r="I19269" i="14"/>
  <c r="E19269" i="14"/>
  <c r="AH19268" i="14"/>
  <c r="S19268" i="14"/>
  <c r="Q19268" i="14"/>
  <c r="P19268" i="14"/>
  <c r="O19268" i="14"/>
  <c r="L19268" i="14"/>
  <c r="I19268" i="14"/>
  <c r="E19268" i="14"/>
  <c r="AH19267" i="14"/>
  <c r="S19267" i="14"/>
  <c r="O19267" i="14"/>
  <c r="L19267" i="14"/>
  <c r="I19267" i="14"/>
  <c r="E19267" i="14"/>
  <c r="AH19266" i="14"/>
  <c r="S19266" i="14"/>
  <c r="P19266" i="14"/>
  <c r="O19266" i="14"/>
  <c r="L19266" i="14"/>
  <c r="I19266" i="14"/>
  <c r="E19266" i="14"/>
  <c r="AH19265" i="14"/>
  <c r="S19265" i="14"/>
  <c r="P19265" i="14"/>
  <c r="O19265" i="14"/>
  <c r="L19265" i="14"/>
  <c r="I19265" i="14"/>
  <c r="H19265" i="14"/>
  <c r="E19265" i="14"/>
  <c r="AH19264" i="14"/>
  <c r="V19264" i="14"/>
  <c r="T19264" i="14"/>
  <c r="S19264" i="14"/>
  <c r="R19264" i="14"/>
  <c r="Q19264" i="14"/>
  <c r="P19264" i="14"/>
  <c r="O19264" i="14"/>
  <c r="L19264" i="14"/>
  <c r="I19264" i="14"/>
  <c r="H19264" i="14"/>
  <c r="E19264" i="14"/>
  <c r="AH19263" i="14"/>
  <c r="AE19263" i="14"/>
  <c r="Q19263" i="14"/>
  <c r="P19263" i="14"/>
  <c r="O19263" i="14"/>
  <c r="L19263" i="14"/>
  <c r="I19263" i="14"/>
  <c r="E19263" i="14"/>
  <c r="AH19262" i="14"/>
  <c r="W19262" i="14"/>
  <c r="V19262" i="14"/>
  <c r="U19262" i="14"/>
  <c r="T19262" i="14"/>
  <c r="S19262" i="14"/>
  <c r="R19262" i="14"/>
  <c r="Q19262" i="14"/>
  <c r="P19262" i="14"/>
  <c r="L19262" i="14"/>
  <c r="I19262" i="14"/>
  <c r="E19262" i="14"/>
  <c r="AH19261" i="14"/>
  <c r="AE19261" i="14"/>
  <c r="R19261" i="14"/>
  <c r="Q19261" i="14"/>
  <c r="P19261" i="14"/>
  <c r="O19261" i="14"/>
  <c r="L19261" i="14"/>
  <c r="I19261" i="14"/>
  <c r="H19261" i="14"/>
  <c r="G19261" i="14"/>
  <c r="E19261" i="14"/>
  <c r="AH19260" i="14"/>
  <c r="R19260" i="14"/>
  <c r="P19260" i="14"/>
  <c r="O19260" i="14"/>
  <c r="L19260" i="14"/>
  <c r="J19260" i="14"/>
  <c r="I19260" i="14"/>
  <c r="H19260" i="14"/>
  <c r="E19260" i="14"/>
  <c r="AH19259" i="14"/>
  <c r="O19259" i="14"/>
  <c r="L19259" i="14"/>
  <c r="H19259" i="14"/>
  <c r="E19259" i="14"/>
  <c r="AH19258" i="14"/>
  <c r="S19258" i="14"/>
  <c r="O19258" i="14"/>
  <c r="L19258" i="14"/>
  <c r="I19258" i="14"/>
  <c r="H19258" i="14"/>
  <c r="E19258" i="14"/>
  <c r="AH19257" i="14"/>
  <c r="S19257" i="14"/>
  <c r="O19257" i="14"/>
  <c r="L19257" i="14"/>
  <c r="I19257" i="14"/>
  <c r="H19257" i="14"/>
  <c r="E19257" i="14"/>
  <c r="AK19256" i="14"/>
  <c r="AH19256" i="14"/>
  <c r="AG19256" i="14"/>
  <c r="AE19256" i="14"/>
  <c r="W19256" i="14"/>
  <c r="V19256" i="14"/>
  <c r="T19256" i="14"/>
  <c r="Q19256" i="14"/>
  <c r="P19256" i="14"/>
  <c r="O19256" i="14"/>
  <c r="L19256" i="14"/>
  <c r="J19256" i="14"/>
  <c r="I19256" i="14"/>
  <c r="E19256" i="14"/>
  <c r="AK19255" i="14"/>
  <c r="AH19255" i="14"/>
  <c r="W19255" i="14"/>
  <c r="V19255" i="14"/>
  <c r="U19255" i="14"/>
  <c r="T19255" i="14"/>
  <c r="S19255" i="14"/>
  <c r="R19255" i="14"/>
  <c r="Q19255" i="14"/>
  <c r="P19255" i="14"/>
  <c r="O19255" i="14"/>
  <c r="L19255" i="14"/>
  <c r="J19255" i="14"/>
  <c r="I19255" i="14"/>
  <c r="H19255" i="14"/>
  <c r="E19255" i="14"/>
  <c r="AH19254" i="14"/>
  <c r="S19254" i="14"/>
  <c r="R19254" i="14"/>
  <c r="O19254" i="14"/>
  <c r="L19254" i="14"/>
  <c r="I19254" i="14"/>
  <c r="H19254" i="14"/>
  <c r="E19254" i="14"/>
  <c r="AK19253" i="14"/>
  <c r="AH19253" i="14"/>
  <c r="W19253" i="14"/>
  <c r="V19253" i="14"/>
  <c r="U19253" i="14"/>
  <c r="T19253" i="14"/>
  <c r="S19253" i="14"/>
  <c r="R19253" i="14"/>
  <c r="Q19253" i="14"/>
  <c r="P19253" i="14"/>
  <c r="O19253" i="14"/>
  <c r="L19253" i="14"/>
  <c r="J19253" i="14"/>
  <c r="I19253" i="14"/>
  <c r="H19253" i="14"/>
  <c r="E19253" i="14"/>
  <c r="AH19252" i="14"/>
  <c r="S19252" i="14"/>
  <c r="Q19252" i="14"/>
  <c r="P19252" i="14"/>
  <c r="O19252" i="14"/>
  <c r="L19252" i="14"/>
  <c r="J19252" i="14"/>
  <c r="I19252" i="14"/>
  <c r="H19252" i="14"/>
  <c r="E19252" i="14"/>
  <c r="AK19251" i="14"/>
  <c r="AH19251" i="14"/>
  <c r="S19251" i="14"/>
  <c r="R19251" i="14"/>
  <c r="Q19251" i="14"/>
  <c r="P19251" i="14"/>
  <c r="O19251" i="14"/>
  <c r="L19251" i="14"/>
  <c r="J19251" i="14"/>
  <c r="I19251" i="14"/>
  <c r="H19251" i="14"/>
  <c r="G19251" i="14"/>
  <c r="E19251" i="14"/>
  <c r="AK19250" i="14"/>
  <c r="AH19250" i="14"/>
  <c r="W19250" i="14"/>
  <c r="V19250" i="14"/>
  <c r="U19250" i="14"/>
  <c r="T19250" i="14"/>
  <c r="S19250" i="14"/>
  <c r="R19250" i="14"/>
  <c r="Q19250" i="14"/>
  <c r="P19250" i="14"/>
  <c r="O19250" i="14"/>
  <c r="L19250" i="14"/>
  <c r="J19250" i="14"/>
  <c r="I19250" i="14"/>
  <c r="H19250" i="14"/>
  <c r="G19250" i="14"/>
  <c r="E19250" i="14"/>
  <c r="AK19249" i="14"/>
  <c r="AH19249" i="14"/>
  <c r="V19249" i="14"/>
  <c r="T19249" i="14"/>
  <c r="S19249" i="14"/>
  <c r="R19249" i="14"/>
  <c r="Q19249" i="14"/>
  <c r="P19249" i="14"/>
  <c r="O19249" i="14"/>
  <c r="J19249" i="14"/>
  <c r="I19249" i="14"/>
  <c r="H19249" i="14"/>
  <c r="E19249" i="14"/>
  <c r="AK19248" i="14"/>
  <c r="AH19248" i="14"/>
  <c r="AG19248" i="14"/>
  <c r="AF19248" i="14"/>
  <c r="AE19248" i="14"/>
  <c r="W19248" i="14"/>
  <c r="V19248" i="14"/>
  <c r="U19248" i="14"/>
  <c r="T19248" i="14"/>
  <c r="S19248" i="14"/>
  <c r="R19248" i="14"/>
  <c r="Q19248" i="14"/>
  <c r="P19248" i="14"/>
  <c r="O19248" i="14"/>
  <c r="L19248" i="14"/>
  <c r="J19248" i="14"/>
  <c r="I19248" i="14"/>
  <c r="H19248" i="14"/>
  <c r="G19248" i="14"/>
  <c r="E19248" i="14"/>
  <c r="AK19247" i="14"/>
  <c r="AH19247" i="14"/>
  <c r="S19247" i="14"/>
  <c r="R19247" i="14"/>
  <c r="Q19247" i="14"/>
  <c r="P19247" i="14"/>
  <c r="O19247" i="14"/>
  <c r="L19247" i="14"/>
  <c r="J19247" i="14"/>
  <c r="I19247" i="14"/>
  <c r="H19247" i="14"/>
  <c r="G19247" i="14"/>
  <c r="E19247" i="14"/>
  <c r="AH19246" i="14"/>
  <c r="O19246" i="14"/>
  <c r="H19246" i="14"/>
  <c r="E19246" i="14"/>
  <c r="AH19245" i="14"/>
  <c r="K19245" i="14"/>
  <c r="I19245" i="14"/>
  <c r="H19245" i="14"/>
  <c r="E19245" i="14"/>
  <c r="AH19244" i="14"/>
  <c r="Q19244" i="14"/>
  <c r="I19244" i="14"/>
  <c r="E19244" i="14"/>
  <c r="AH19243" i="14"/>
  <c r="Q19243" i="14"/>
  <c r="E19243" i="14"/>
  <c r="AH19242" i="14"/>
  <c r="V19242" i="14"/>
  <c r="U19242" i="14"/>
  <c r="T19242" i="14"/>
  <c r="Q19242" i="14"/>
  <c r="O19242" i="14"/>
  <c r="L19242" i="14"/>
  <c r="K19242" i="14"/>
  <c r="I19242" i="14"/>
  <c r="G19242" i="14"/>
  <c r="E19242" i="14"/>
  <c r="AH19241" i="14"/>
  <c r="AG19241" i="14"/>
  <c r="AF19241" i="14"/>
  <c r="AE19241" i="14"/>
  <c r="V19241" i="14"/>
  <c r="U19241" i="14"/>
  <c r="Q19241" i="14"/>
  <c r="O19241" i="14"/>
  <c r="L19241" i="14"/>
  <c r="K19241" i="14"/>
  <c r="I19241" i="14"/>
  <c r="H19241" i="14"/>
  <c r="E19241" i="14"/>
  <c r="AH19240" i="14"/>
  <c r="V19240" i="14"/>
  <c r="T19240" i="14"/>
  <c r="Q19240" i="14"/>
  <c r="P19240" i="14"/>
  <c r="O19240" i="14"/>
  <c r="L19240" i="14"/>
  <c r="K19240" i="14"/>
  <c r="I19240" i="14"/>
  <c r="H19240" i="14"/>
  <c r="E19240" i="14"/>
  <c r="AH19239" i="14"/>
  <c r="V19239" i="14"/>
  <c r="Q19239" i="14"/>
  <c r="P19239" i="14"/>
  <c r="O19239" i="14"/>
  <c r="L19239" i="14"/>
  <c r="K19239" i="14"/>
  <c r="I19239" i="14"/>
  <c r="H19239" i="14"/>
  <c r="E19239" i="14"/>
  <c r="AH19238" i="14"/>
  <c r="AG19238" i="14"/>
  <c r="AF19238" i="14"/>
  <c r="AE19238" i="14"/>
  <c r="V19238" i="14"/>
  <c r="U19238" i="14"/>
  <c r="T19238" i="14"/>
  <c r="Q19238" i="14"/>
  <c r="P19238" i="14"/>
  <c r="O19238" i="14"/>
  <c r="L19238" i="14"/>
  <c r="K19238" i="14"/>
  <c r="I19238" i="14"/>
  <c r="H19238" i="14"/>
  <c r="E19238" i="14"/>
  <c r="AH19237" i="14"/>
  <c r="V19237" i="14"/>
  <c r="T19237" i="14"/>
  <c r="Q19237" i="14"/>
  <c r="O19237" i="14"/>
  <c r="L19237" i="14"/>
  <c r="K19237" i="14"/>
  <c r="I19237" i="14"/>
  <c r="H19237" i="14"/>
  <c r="E19237" i="14"/>
  <c r="AH19236" i="14"/>
  <c r="V19236" i="14"/>
  <c r="T19236" i="14"/>
  <c r="Q19236" i="14"/>
  <c r="P19236" i="14"/>
  <c r="O19236" i="14"/>
  <c r="L19236" i="14"/>
  <c r="K19236" i="14"/>
  <c r="I19236" i="14"/>
  <c r="H19236" i="14"/>
  <c r="E19236" i="14"/>
  <c r="AH19235" i="14"/>
  <c r="E19235" i="14"/>
  <c r="AK19234" i="14"/>
  <c r="AH19234" i="14"/>
  <c r="V19234" i="14"/>
  <c r="U19234" i="14"/>
  <c r="T19234" i="14"/>
  <c r="Q19234" i="14"/>
  <c r="P19234" i="14"/>
  <c r="O19234" i="14"/>
  <c r="E19234" i="14"/>
  <c r="AK19233" i="14"/>
  <c r="AH19233" i="14"/>
  <c r="V19233" i="14"/>
  <c r="T19233" i="14"/>
  <c r="Q19233" i="14"/>
  <c r="P19233" i="14"/>
  <c r="O19233" i="14"/>
  <c r="E19233" i="14"/>
  <c r="AL19232" i="14"/>
  <c r="AK19232" i="14"/>
  <c r="AH19232" i="14"/>
  <c r="V19232" i="14"/>
  <c r="T19232" i="14"/>
  <c r="Q19232" i="14"/>
  <c r="O19232" i="14"/>
  <c r="E19232" i="14"/>
  <c r="AH19231" i="14"/>
  <c r="V19231" i="14"/>
  <c r="T19231" i="14"/>
  <c r="Q19231" i="14"/>
  <c r="P19231" i="14"/>
  <c r="O19231" i="14"/>
  <c r="I19231" i="14"/>
  <c r="E19231" i="14"/>
  <c r="AH19230" i="14"/>
  <c r="V19230" i="14"/>
  <c r="U19230" i="14"/>
  <c r="T19230" i="14"/>
  <c r="Q19230" i="14"/>
  <c r="P19230" i="14"/>
  <c r="O19230" i="14"/>
  <c r="L19230" i="14"/>
  <c r="K19230" i="14"/>
  <c r="I19230" i="14"/>
  <c r="E19230" i="14"/>
  <c r="AH19229" i="14"/>
  <c r="V19229" i="14"/>
  <c r="T19229" i="14"/>
  <c r="Q19229" i="14"/>
  <c r="P19229" i="14"/>
  <c r="O19229" i="14"/>
  <c r="I19229" i="14"/>
  <c r="E19229" i="14"/>
  <c r="AH19228" i="14"/>
  <c r="V19228" i="14"/>
  <c r="T19228" i="14"/>
  <c r="Q19228" i="14"/>
  <c r="P19228" i="14"/>
  <c r="O19228" i="14"/>
  <c r="E19228" i="14"/>
  <c r="AL19227" i="14"/>
  <c r="AH19227" i="14"/>
  <c r="V19227" i="14"/>
  <c r="T19227" i="14"/>
  <c r="Q19227" i="14"/>
  <c r="O19227" i="14"/>
  <c r="E19227" i="14"/>
  <c r="AH19226" i="14"/>
  <c r="V19226" i="14"/>
  <c r="T19226" i="14"/>
  <c r="Q19226" i="14"/>
  <c r="P19226" i="14"/>
  <c r="O19226" i="14"/>
  <c r="E19226" i="14"/>
  <c r="AH19225" i="14"/>
  <c r="V19225" i="14"/>
  <c r="U19225" i="14"/>
  <c r="T19225" i="14"/>
  <c r="Q19225" i="14"/>
  <c r="P19225" i="14"/>
  <c r="O19225" i="14"/>
  <c r="E19225" i="14"/>
  <c r="AH19224" i="14"/>
  <c r="V19224" i="14"/>
  <c r="T19224" i="14"/>
  <c r="Q19224" i="14"/>
  <c r="P19224" i="14"/>
  <c r="O19224" i="14"/>
  <c r="E19224" i="14"/>
  <c r="AH19223" i="14"/>
  <c r="V19223" i="14"/>
  <c r="T19223" i="14"/>
  <c r="Q19223" i="14"/>
  <c r="P19223" i="14"/>
  <c r="O19223" i="14"/>
  <c r="E19223" i="14"/>
  <c r="AH19222" i="14"/>
  <c r="Q19222" i="14"/>
  <c r="P19222" i="14"/>
  <c r="O19222" i="14"/>
  <c r="E19222" i="14"/>
  <c r="AL19221" i="14"/>
  <c r="AK19221" i="14"/>
  <c r="AH19221" i="14"/>
  <c r="T19221" i="14"/>
  <c r="Q19221" i="14"/>
  <c r="O19221" i="14"/>
  <c r="E19221" i="14"/>
  <c r="AH19220" i="14"/>
  <c r="V19220" i="14"/>
  <c r="U19220" i="14"/>
  <c r="T19220" i="14"/>
  <c r="Q19220" i="14"/>
  <c r="P19220" i="14"/>
  <c r="O19220" i="14"/>
  <c r="E19220" i="14"/>
  <c r="AH19219" i="14"/>
  <c r="Q19219" i="14"/>
  <c r="P19219" i="14"/>
  <c r="O19219" i="14"/>
  <c r="E19219" i="14"/>
  <c r="AH19218" i="14"/>
  <c r="Q19218" i="14"/>
  <c r="P19218" i="14"/>
  <c r="O19218" i="14"/>
  <c r="E19218" i="14"/>
  <c r="AH19217" i="14"/>
  <c r="V19217" i="14"/>
  <c r="T19217" i="14"/>
  <c r="Q19217" i="14"/>
  <c r="P19217" i="14"/>
  <c r="O19217" i="14"/>
  <c r="E19217" i="14"/>
  <c r="AH19216" i="14"/>
  <c r="V19216" i="14"/>
  <c r="T19216" i="14"/>
  <c r="Q19216" i="14"/>
  <c r="P19216" i="14"/>
  <c r="O19216" i="14"/>
  <c r="E19216" i="14"/>
  <c r="AH19215" i="14"/>
  <c r="V19215" i="14"/>
  <c r="T19215" i="14"/>
  <c r="Q19215" i="14"/>
  <c r="P19215" i="14"/>
  <c r="O19215" i="14"/>
  <c r="E19215" i="14"/>
  <c r="AH19214" i="14"/>
  <c r="AE19214" i="14"/>
  <c r="V19214" i="14"/>
  <c r="T19214" i="14"/>
  <c r="Q19214" i="14"/>
  <c r="P19214" i="14"/>
  <c r="O19214" i="14"/>
  <c r="E19214" i="14"/>
  <c r="AH19213" i="14"/>
  <c r="AF19213" i="14"/>
  <c r="AE19213" i="14"/>
  <c r="V19213" i="14"/>
  <c r="U19213" i="14"/>
  <c r="T19213" i="14"/>
  <c r="Q19213" i="14"/>
  <c r="P19213" i="14"/>
  <c r="O19213" i="14"/>
  <c r="L19213" i="14"/>
  <c r="E19213" i="14"/>
  <c r="AH19212" i="14"/>
  <c r="AG19212" i="14"/>
  <c r="AF19212" i="14"/>
  <c r="AE19212" i="14"/>
  <c r="V19212" i="14"/>
  <c r="U19212" i="14"/>
  <c r="T19212" i="14"/>
  <c r="Q19212" i="14"/>
  <c r="P19212" i="14"/>
  <c r="O19212" i="14"/>
  <c r="L19212" i="14"/>
  <c r="K19212" i="14"/>
  <c r="I19212" i="14"/>
  <c r="E19212" i="14"/>
  <c r="AL19211" i="14"/>
  <c r="AH19211" i="14"/>
  <c r="Q19211" i="14"/>
  <c r="O19211" i="14"/>
  <c r="E19211" i="14"/>
  <c r="AH19210" i="14"/>
  <c r="V19210" i="14"/>
  <c r="T19210" i="14"/>
  <c r="Q19210" i="14"/>
  <c r="P19210" i="14"/>
  <c r="O19210" i="14"/>
  <c r="L19210" i="14"/>
  <c r="I19210" i="14"/>
  <c r="E19210" i="14"/>
  <c r="AK19209" i="14"/>
  <c r="AH19209" i="14"/>
  <c r="AE19209" i="14"/>
  <c r="V19209" i="14"/>
  <c r="Q19209" i="14"/>
  <c r="P19209" i="14"/>
  <c r="O19209" i="14"/>
  <c r="I19209" i="14"/>
  <c r="E19209" i="14"/>
  <c r="AK19208" i="14"/>
  <c r="AH19208" i="14"/>
  <c r="V19208" i="14"/>
  <c r="T19208" i="14"/>
  <c r="Q19208" i="14"/>
  <c r="P19208" i="14"/>
  <c r="O19208" i="14"/>
  <c r="K19208" i="14"/>
  <c r="I19208" i="14"/>
  <c r="E19208" i="14"/>
  <c r="AH19207" i="14"/>
  <c r="P19207" i="14"/>
  <c r="O19207" i="14"/>
  <c r="I19207" i="14"/>
  <c r="E19207" i="14"/>
  <c r="AK19206" i="14"/>
  <c r="AH19206" i="14"/>
  <c r="V19206" i="14"/>
  <c r="T19206" i="14"/>
  <c r="Q19206" i="14"/>
  <c r="P19206" i="14"/>
  <c r="O19206" i="14"/>
  <c r="I19206" i="14"/>
  <c r="E19206" i="14"/>
  <c r="AK19205" i="14"/>
  <c r="AH19205" i="14"/>
  <c r="V19205" i="14"/>
  <c r="T19205" i="14"/>
  <c r="Q19205" i="14"/>
  <c r="P19205" i="14"/>
  <c r="O19205" i="14"/>
  <c r="I19205" i="14"/>
  <c r="E19205" i="14"/>
  <c r="AL19204" i="14"/>
  <c r="AK19204" i="14"/>
  <c r="AH19204" i="14"/>
  <c r="V19204" i="14"/>
  <c r="T19204" i="14"/>
  <c r="Q19204" i="14"/>
  <c r="O19204" i="14"/>
  <c r="I19204" i="14"/>
  <c r="E19204" i="14"/>
  <c r="AK19203" i="14"/>
  <c r="AH19203" i="14"/>
  <c r="V19203" i="14"/>
  <c r="T19203" i="14"/>
  <c r="Q19203" i="14"/>
  <c r="I19203" i="14"/>
  <c r="E19203" i="14"/>
  <c r="AK19202" i="14"/>
  <c r="AH19202" i="14"/>
  <c r="V19202" i="14"/>
  <c r="T19202" i="14"/>
  <c r="Q19202" i="14"/>
  <c r="P19202" i="14"/>
  <c r="O19202" i="14"/>
  <c r="E19202" i="14"/>
  <c r="AH19201" i="14"/>
  <c r="V19201" i="14"/>
  <c r="T19201" i="14"/>
  <c r="Q19201" i="14"/>
  <c r="P19201" i="14"/>
  <c r="O19201" i="14"/>
  <c r="L19201" i="14"/>
  <c r="K19201" i="14"/>
  <c r="I19201" i="14"/>
  <c r="E19201" i="14"/>
  <c r="AL19200" i="14"/>
  <c r="AK19200" i="14"/>
  <c r="AH19200" i="14"/>
  <c r="V19200" i="14"/>
  <c r="T19200" i="14"/>
  <c r="Q19200" i="14"/>
  <c r="O19200" i="14"/>
  <c r="E19200" i="14"/>
  <c r="AH19199" i="14"/>
  <c r="AE19199" i="14"/>
  <c r="T19199" i="14"/>
  <c r="Q19199" i="14"/>
  <c r="P19199" i="14"/>
  <c r="O19199" i="14"/>
  <c r="L19199" i="14"/>
  <c r="K19199" i="14"/>
  <c r="I19199" i="14"/>
  <c r="H19199" i="14"/>
  <c r="E19199" i="14"/>
  <c r="AL19198" i="14"/>
  <c r="AK19198" i="14"/>
  <c r="AH19198" i="14"/>
  <c r="V19198" i="14"/>
  <c r="T19198" i="14"/>
  <c r="Q19198" i="14"/>
  <c r="O19198" i="14"/>
  <c r="E19198" i="14"/>
  <c r="AK19197" i="14"/>
  <c r="AH19197" i="14"/>
  <c r="V19197" i="14"/>
  <c r="U19197" i="14"/>
  <c r="T19197" i="14"/>
  <c r="Q19197" i="14"/>
  <c r="P19197" i="14"/>
  <c r="O19197" i="14"/>
  <c r="K19197" i="14"/>
  <c r="I19197" i="14"/>
  <c r="E19197" i="14"/>
  <c r="AK19196" i="14"/>
  <c r="AH19196" i="14"/>
  <c r="V19196" i="14"/>
  <c r="T19196" i="14"/>
  <c r="Q19196" i="14"/>
  <c r="P19196" i="14"/>
  <c r="I19196" i="14"/>
  <c r="E19196" i="14"/>
  <c r="AH19195" i="14"/>
  <c r="AE19195" i="14"/>
  <c r="V19195" i="14"/>
  <c r="Q19195" i="14"/>
  <c r="P19195" i="14"/>
  <c r="O19195" i="14"/>
  <c r="L19195" i="14"/>
  <c r="K19195" i="14"/>
  <c r="I19195" i="14"/>
  <c r="E19195" i="14"/>
  <c r="AK19194" i="14"/>
  <c r="AH19194" i="14"/>
  <c r="V19194" i="14"/>
  <c r="T19194" i="14"/>
  <c r="Q19194" i="14"/>
  <c r="P19194" i="14"/>
  <c r="O19194" i="14"/>
  <c r="I19194" i="14"/>
  <c r="E19194" i="14"/>
  <c r="AK19193" i="14"/>
  <c r="AH19193" i="14"/>
  <c r="V19193" i="14"/>
  <c r="T19193" i="14"/>
  <c r="Q19193" i="14"/>
  <c r="P19193" i="14"/>
  <c r="O19193" i="14"/>
  <c r="I19193" i="14"/>
  <c r="E19193" i="14"/>
  <c r="AK19192" i="14"/>
  <c r="AH19192" i="14"/>
  <c r="V19192" i="14"/>
  <c r="T19192" i="14"/>
  <c r="Q19192" i="14"/>
  <c r="P19192" i="14"/>
  <c r="O19192" i="14"/>
  <c r="K19192" i="14"/>
  <c r="I19192" i="14"/>
  <c r="E19192" i="14"/>
  <c r="AK19191" i="14"/>
  <c r="AH19191" i="14"/>
  <c r="V19191" i="14"/>
  <c r="T19191" i="14"/>
  <c r="Q19191" i="14"/>
  <c r="P19191" i="14"/>
  <c r="O19191" i="14"/>
  <c r="I19191" i="14"/>
  <c r="E19191" i="14"/>
  <c r="AH19190" i="14"/>
  <c r="AF19190" i="14"/>
  <c r="AE19190" i="14"/>
  <c r="V19190" i="14"/>
  <c r="T19190" i="14"/>
  <c r="Q19190" i="14"/>
  <c r="P19190" i="14"/>
  <c r="O19190" i="14"/>
  <c r="L19190" i="14"/>
  <c r="K19190" i="14"/>
  <c r="I19190" i="14"/>
  <c r="G19190" i="14"/>
  <c r="E19190" i="14"/>
  <c r="AH19189" i="14"/>
  <c r="AG19189" i="14"/>
  <c r="AE19189" i="14"/>
  <c r="V19189" i="14"/>
  <c r="T19189" i="14"/>
  <c r="Q19189" i="14"/>
  <c r="P19189" i="14"/>
  <c r="O19189" i="14"/>
  <c r="L19189" i="14"/>
  <c r="K19189" i="14"/>
  <c r="I19189" i="14"/>
  <c r="G19189" i="14"/>
  <c r="E19189" i="14"/>
  <c r="AH19188" i="14"/>
  <c r="L19188" i="14"/>
  <c r="K19188" i="14"/>
  <c r="I19188" i="14"/>
  <c r="G19188" i="14"/>
  <c r="E19188" i="14"/>
  <c r="AH19187" i="14"/>
  <c r="E19187" i="14"/>
  <c r="AK19186" i="14"/>
  <c r="AH19186" i="14"/>
  <c r="V19186" i="14"/>
  <c r="T19186" i="14"/>
  <c r="Q19186" i="14"/>
  <c r="P19186" i="14"/>
  <c r="O19186" i="14"/>
  <c r="E19186" i="14"/>
  <c r="AL19185" i="14"/>
  <c r="AK19185" i="14"/>
  <c r="AH19185" i="14"/>
  <c r="V19185" i="14"/>
  <c r="Q19185" i="14"/>
  <c r="O19185" i="14"/>
  <c r="E19185" i="14"/>
  <c r="AL19184" i="14"/>
  <c r="AH19184" i="14"/>
  <c r="V19184" i="14"/>
  <c r="T19184" i="14"/>
  <c r="Q19184" i="14"/>
  <c r="P19184" i="14"/>
  <c r="O19184" i="14"/>
  <c r="L19184" i="14"/>
  <c r="K19184" i="14"/>
  <c r="I19184" i="14"/>
  <c r="G19184" i="14"/>
  <c r="E19184" i="14"/>
  <c r="AH19183" i="14"/>
  <c r="V19183" i="14"/>
  <c r="Q19183" i="14"/>
  <c r="P19183" i="14"/>
  <c r="O19183" i="14"/>
  <c r="L19183" i="14"/>
  <c r="K19183" i="14"/>
  <c r="I19183" i="14"/>
  <c r="H19183" i="14"/>
  <c r="E19183" i="14"/>
  <c r="AH19182" i="14"/>
  <c r="V19182" i="14"/>
  <c r="T19182" i="14"/>
  <c r="Q19182" i="14"/>
  <c r="P19182" i="14"/>
  <c r="O19182" i="14"/>
  <c r="L19182" i="14"/>
  <c r="K19182" i="14"/>
  <c r="I19182" i="14"/>
  <c r="H19182" i="14"/>
  <c r="E19182" i="14"/>
  <c r="AH19181" i="14"/>
  <c r="V19181" i="14"/>
  <c r="T19181" i="14"/>
  <c r="Q19181" i="14"/>
  <c r="P19181" i="14"/>
  <c r="O19181" i="14"/>
  <c r="L19181" i="14"/>
  <c r="K19181" i="14"/>
  <c r="I19181" i="14"/>
  <c r="H19181" i="14"/>
  <c r="E19181" i="14"/>
  <c r="AH19180" i="14"/>
  <c r="V19180" i="14"/>
  <c r="T19180" i="14"/>
  <c r="Q19180" i="14"/>
  <c r="O19180" i="14"/>
  <c r="L19180" i="14"/>
  <c r="K19180" i="14"/>
  <c r="I19180" i="14"/>
  <c r="H19180" i="14"/>
  <c r="E19180" i="14"/>
  <c r="AH19179" i="14"/>
  <c r="V19179" i="14"/>
  <c r="Q19179" i="14"/>
  <c r="P19179" i="14"/>
  <c r="O19179" i="14"/>
  <c r="L19179" i="14"/>
  <c r="K19179" i="14"/>
  <c r="I19179" i="14"/>
  <c r="H19179" i="14"/>
  <c r="E19179" i="14"/>
  <c r="AH19178" i="14"/>
  <c r="V19178" i="14"/>
  <c r="T19178" i="14"/>
  <c r="Q19178" i="14"/>
  <c r="P19178" i="14"/>
  <c r="O19178" i="14"/>
  <c r="L19178" i="14"/>
  <c r="K19178" i="14"/>
  <c r="I19178" i="14"/>
  <c r="H19178" i="14"/>
  <c r="E19178" i="14"/>
  <c r="AH19177" i="14"/>
  <c r="V19177" i="14"/>
  <c r="T19177" i="14"/>
  <c r="Q19177" i="14"/>
  <c r="P19177" i="14"/>
  <c r="O19177" i="14"/>
  <c r="L19177" i="14"/>
  <c r="K19177" i="14"/>
  <c r="I19177" i="14"/>
  <c r="H19177" i="14"/>
  <c r="E19177" i="14"/>
  <c r="AH19176" i="14"/>
  <c r="V19176" i="14"/>
  <c r="T19176" i="14"/>
  <c r="Q19176" i="14"/>
  <c r="O19176" i="14"/>
  <c r="L19176" i="14"/>
  <c r="K19176" i="14"/>
  <c r="I19176" i="14"/>
  <c r="H19176" i="14"/>
  <c r="E19176" i="14"/>
  <c r="AH19175" i="14"/>
  <c r="V19175" i="14"/>
  <c r="T19175" i="14"/>
  <c r="Q19175" i="14"/>
  <c r="P19175" i="14"/>
  <c r="O19175" i="14"/>
  <c r="L19175" i="14"/>
  <c r="K19175" i="14"/>
  <c r="I19175" i="14"/>
  <c r="H19175" i="14"/>
  <c r="E19175" i="14"/>
  <c r="AH19174" i="14"/>
  <c r="V19174" i="14"/>
  <c r="U19174" i="14"/>
  <c r="T19174" i="14"/>
  <c r="Q19174" i="14"/>
  <c r="P19174" i="14"/>
  <c r="O19174" i="14"/>
  <c r="L19174" i="14"/>
  <c r="K19174" i="14"/>
  <c r="I19174" i="14"/>
  <c r="H19174" i="14"/>
  <c r="E19174" i="14"/>
  <c r="AH19173" i="14"/>
  <c r="Q19173" i="14"/>
  <c r="P19173" i="14"/>
  <c r="O19173" i="14"/>
  <c r="L19173" i="14"/>
  <c r="K19173" i="14"/>
  <c r="I19173" i="14"/>
  <c r="H19173" i="14"/>
  <c r="E19173" i="14"/>
  <c r="AH19172" i="14"/>
  <c r="AG19172" i="14"/>
  <c r="AE19172" i="14"/>
  <c r="V19172" i="14"/>
  <c r="Q19172" i="14"/>
  <c r="P19172" i="14"/>
  <c r="O19172" i="14"/>
  <c r="L19172" i="14"/>
  <c r="K19172" i="14"/>
  <c r="I19172" i="14"/>
  <c r="H19172" i="14"/>
  <c r="E19172" i="14"/>
  <c r="AH19171" i="14"/>
  <c r="V19171" i="14"/>
  <c r="U19171" i="14"/>
  <c r="T19171" i="14"/>
  <c r="Q19171" i="14"/>
  <c r="P19171" i="14"/>
  <c r="O19171" i="14"/>
  <c r="L19171" i="14"/>
  <c r="K19171" i="14"/>
  <c r="I19171" i="14"/>
  <c r="H19171" i="14"/>
  <c r="E19171" i="14"/>
  <c r="AH19170" i="14"/>
  <c r="V19170" i="14"/>
  <c r="U19170" i="14"/>
  <c r="T19170" i="14"/>
  <c r="Q19170" i="14"/>
  <c r="O19170" i="14"/>
  <c r="L19170" i="14"/>
  <c r="K19170" i="14"/>
  <c r="I19170" i="14"/>
  <c r="H19170" i="14"/>
  <c r="E19170" i="14"/>
  <c r="AH19169" i="14"/>
  <c r="V19169" i="14"/>
  <c r="U19169" i="14"/>
  <c r="T19169" i="14"/>
  <c r="Q19169" i="14"/>
  <c r="P19169" i="14"/>
  <c r="O19169" i="14"/>
  <c r="L19169" i="14"/>
  <c r="K19169" i="14"/>
  <c r="I19169" i="14"/>
  <c r="H19169" i="14"/>
  <c r="E19169" i="14"/>
  <c r="AH19168" i="14"/>
  <c r="V19168" i="14"/>
  <c r="U19168" i="14"/>
  <c r="T19168" i="14"/>
  <c r="Q19168" i="14"/>
  <c r="P19168" i="14"/>
  <c r="O19168" i="14"/>
  <c r="L19168" i="14"/>
  <c r="K19168" i="14"/>
  <c r="I19168" i="14"/>
  <c r="H19168" i="14"/>
  <c r="E19168" i="14"/>
  <c r="AH19167" i="14"/>
  <c r="V19167" i="14"/>
  <c r="T19167" i="14"/>
  <c r="Q19167" i="14"/>
  <c r="O19167" i="14"/>
  <c r="L19167" i="14"/>
  <c r="K19167" i="14"/>
  <c r="I19167" i="14"/>
  <c r="H19167" i="14"/>
  <c r="E19167" i="14"/>
  <c r="AH19166" i="14"/>
  <c r="V19166" i="14"/>
  <c r="U19166" i="14"/>
  <c r="T19166" i="14"/>
  <c r="Q19166" i="14"/>
  <c r="P19166" i="14"/>
  <c r="O19166" i="14"/>
  <c r="L19166" i="14"/>
  <c r="K19166" i="14"/>
  <c r="I19166" i="14"/>
  <c r="H19166" i="14"/>
  <c r="E19166" i="14"/>
  <c r="AH19165" i="14"/>
  <c r="AG19165" i="14"/>
  <c r="AF19165" i="14"/>
  <c r="AE19165" i="14"/>
  <c r="V19165" i="14"/>
  <c r="U19165" i="14"/>
  <c r="T19165" i="14"/>
  <c r="Q19165" i="14"/>
  <c r="P19165" i="14"/>
  <c r="O19165" i="14"/>
  <c r="L19165" i="14"/>
  <c r="K19165" i="14"/>
  <c r="I19165" i="14"/>
  <c r="H19165" i="14"/>
  <c r="E19165" i="14"/>
  <c r="AH19164" i="14"/>
  <c r="AG19164" i="14"/>
  <c r="AF19164" i="14"/>
  <c r="AE19164" i="14"/>
  <c r="V19164" i="14"/>
  <c r="U19164" i="14"/>
  <c r="T19164" i="14"/>
  <c r="Q19164" i="14"/>
  <c r="O19164" i="14"/>
  <c r="L19164" i="14"/>
  <c r="K19164" i="14"/>
  <c r="I19164" i="14"/>
  <c r="H19164" i="14"/>
  <c r="E19164" i="14"/>
  <c r="AH19163" i="14"/>
  <c r="L19163" i="14"/>
  <c r="K19163" i="14"/>
  <c r="I19163" i="14"/>
  <c r="H19163" i="14"/>
  <c r="E19163" i="14"/>
  <c r="AH19162" i="14"/>
  <c r="AG19162" i="14"/>
  <c r="AF19162" i="14"/>
  <c r="AE19162" i="14"/>
  <c r="V19162" i="14"/>
  <c r="U19162" i="14"/>
  <c r="T19162" i="14"/>
  <c r="Q19162" i="14"/>
  <c r="P19162" i="14"/>
  <c r="O19162" i="14"/>
  <c r="L19162" i="14"/>
  <c r="K19162" i="14"/>
  <c r="I19162" i="14"/>
  <c r="H19162" i="14"/>
  <c r="E19162" i="14"/>
  <c r="AH19161" i="14"/>
  <c r="V19161" i="14"/>
  <c r="T19161" i="14"/>
  <c r="Q19161" i="14"/>
  <c r="P19161" i="14"/>
  <c r="O19161" i="14"/>
  <c r="E19161" i="14"/>
  <c r="AH19160" i="14"/>
  <c r="V19160" i="14"/>
  <c r="T19160" i="14"/>
  <c r="Q19160" i="14"/>
  <c r="P19160" i="14"/>
  <c r="O19160" i="14"/>
  <c r="I19160" i="14"/>
  <c r="E19160" i="14"/>
  <c r="AH19159" i="14"/>
  <c r="V19159" i="14"/>
  <c r="U19159" i="14"/>
  <c r="T19159" i="14"/>
  <c r="Q19159" i="14"/>
  <c r="P19159" i="14"/>
  <c r="O19159" i="14"/>
  <c r="I19159" i="14"/>
  <c r="E19159" i="14"/>
  <c r="AH19158" i="14"/>
  <c r="V19158" i="14"/>
  <c r="U19158" i="14"/>
  <c r="T19158" i="14"/>
  <c r="Q19158" i="14"/>
  <c r="P19158" i="14"/>
  <c r="O19158" i="14"/>
  <c r="L19158" i="14"/>
  <c r="I19158" i="14"/>
  <c r="E19158" i="14"/>
  <c r="AH19157" i="14"/>
  <c r="V19157" i="14"/>
  <c r="U19157" i="14"/>
  <c r="T19157" i="14"/>
  <c r="Q19157" i="14"/>
  <c r="L19157" i="14"/>
  <c r="I19157" i="14"/>
  <c r="E19157" i="14"/>
  <c r="AH19156" i="14"/>
  <c r="V19156" i="14"/>
  <c r="Q19156" i="14"/>
  <c r="P19156" i="14"/>
  <c r="O19156" i="14"/>
  <c r="I19156" i="14"/>
  <c r="E19156" i="14"/>
  <c r="AH19155" i="14"/>
  <c r="V19155" i="14"/>
  <c r="T19155" i="14"/>
  <c r="Q19155" i="14"/>
  <c r="P19155" i="14"/>
  <c r="O19155" i="14"/>
  <c r="I19155" i="14"/>
  <c r="E19155" i="14"/>
  <c r="AH19154" i="14"/>
  <c r="V19154" i="14"/>
  <c r="Q19154" i="14"/>
  <c r="P19154" i="14"/>
  <c r="O19154" i="14"/>
  <c r="I19154" i="14"/>
  <c r="E19154" i="14"/>
  <c r="AH19153" i="14"/>
  <c r="V19153" i="14"/>
  <c r="T19153" i="14"/>
  <c r="Q19153" i="14"/>
  <c r="P19153" i="14"/>
  <c r="O19153" i="14"/>
  <c r="I19153" i="14"/>
  <c r="E19153" i="14"/>
  <c r="AH19152" i="14"/>
  <c r="V19152" i="14"/>
  <c r="T19152" i="14"/>
  <c r="Q19152" i="14"/>
  <c r="P19152" i="14"/>
  <c r="O19152" i="14"/>
  <c r="L19152" i="14"/>
  <c r="I19152" i="14"/>
  <c r="E19152" i="14"/>
  <c r="AH19151" i="14"/>
  <c r="V19151" i="14"/>
  <c r="T19151" i="14"/>
  <c r="Q19151" i="14"/>
  <c r="O19151" i="14"/>
  <c r="L19151" i="14"/>
  <c r="K19151" i="14"/>
  <c r="I19151" i="14"/>
  <c r="H19151" i="14"/>
  <c r="E19151" i="14"/>
  <c r="AH19150" i="14"/>
  <c r="E19150" i="14"/>
  <c r="AH19149" i="14"/>
  <c r="E19149" i="14"/>
  <c r="AH19148" i="14"/>
  <c r="E19148" i="14"/>
  <c r="AH19147" i="14"/>
  <c r="E19147" i="14"/>
  <c r="AH19146" i="14"/>
  <c r="E19146" i="14"/>
  <c r="AH19145" i="14"/>
  <c r="E19145" i="14"/>
  <c r="AH19144" i="14"/>
  <c r="E19144" i="14"/>
  <c r="AH19143" i="14"/>
  <c r="E19143" i="14"/>
  <c r="AH19142" i="14"/>
  <c r="E19142" i="14"/>
  <c r="AH19141" i="14"/>
  <c r="E19141" i="14"/>
  <c r="AH19140" i="14"/>
  <c r="E19140" i="14"/>
  <c r="AH19139" i="14"/>
  <c r="E19139" i="14"/>
  <c r="AH19138" i="14"/>
  <c r="E19138" i="14"/>
  <c r="AH19137" i="14"/>
  <c r="E19137" i="14"/>
  <c r="AH19136" i="14"/>
  <c r="E19136" i="14"/>
  <c r="AH19135" i="14"/>
  <c r="E19135" i="14"/>
  <c r="AH19134" i="14"/>
  <c r="E19134" i="14"/>
  <c r="AH19133" i="14"/>
  <c r="E19133" i="14"/>
  <c r="AH19132" i="14"/>
  <c r="E19132" i="14"/>
  <c r="AH19131" i="14"/>
  <c r="E19131" i="14"/>
  <c r="AH19130" i="14"/>
  <c r="E19130" i="14"/>
  <c r="AH19129" i="14"/>
  <c r="E19129" i="14"/>
  <c r="AH19128" i="14"/>
  <c r="E19128" i="14"/>
  <c r="AH19127" i="14"/>
  <c r="E19127" i="14"/>
  <c r="AH19126" i="14"/>
  <c r="E19126" i="14"/>
  <c r="AH19125" i="14"/>
  <c r="E19125" i="14"/>
  <c r="AH19124" i="14"/>
  <c r="E19124" i="14"/>
  <c r="AH19123" i="14"/>
  <c r="E19123" i="14"/>
  <c r="AH19122" i="14"/>
  <c r="E19122" i="14"/>
  <c r="AH19121" i="14"/>
  <c r="E19121" i="14"/>
  <c r="AH19120" i="14"/>
  <c r="E19120" i="14"/>
  <c r="AH19119" i="14"/>
  <c r="E19119" i="14"/>
  <c r="AH19118" i="14"/>
  <c r="E19118" i="14"/>
  <c r="AH19117" i="14"/>
  <c r="E19117" i="14"/>
  <c r="AH19116" i="14"/>
  <c r="E19116" i="14"/>
  <c r="AH19115" i="14"/>
  <c r="E19115" i="14"/>
  <c r="AH19114" i="14"/>
  <c r="E19114" i="14"/>
  <c r="AH19113" i="14"/>
  <c r="E19113" i="14"/>
  <c r="AH19112" i="14"/>
  <c r="Q19112" i="14"/>
  <c r="E19112" i="14"/>
  <c r="AH19111" i="14"/>
  <c r="E19111" i="14"/>
  <c r="AH19110" i="14"/>
  <c r="E19110" i="14"/>
  <c r="AH19109" i="14"/>
  <c r="E19109" i="14"/>
  <c r="AH19108" i="14"/>
  <c r="E19108" i="14"/>
  <c r="AH19107" i="14"/>
  <c r="E19107" i="14"/>
  <c r="AH19106" i="14"/>
  <c r="E19106" i="14"/>
  <c r="AH19105" i="14"/>
  <c r="E19105" i="14"/>
  <c r="AH19104" i="14"/>
  <c r="E19104" i="14"/>
  <c r="AH19103" i="14"/>
  <c r="T19103" i="14"/>
  <c r="Q19103" i="14"/>
  <c r="O19103" i="14"/>
  <c r="E19103" i="14"/>
  <c r="AH19102" i="14"/>
  <c r="E19102" i="14"/>
  <c r="AH19101" i="14"/>
  <c r="E19101" i="14"/>
  <c r="AH19100" i="14"/>
  <c r="E19100" i="14"/>
  <c r="AH19099" i="14"/>
  <c r="E19099" i="14"/>
  <c r="AH19098" i="14"/>
  <c r="E19098" i="14"/>
  <c r="AH19097" i="14"/>
  <c r="E19097" i="14"/>
  <c r="AH19096" i="14"/>
  <c r="E19096" i="14"/>
  <c r="AH19095" i="14"/>
  <c r="E19095" i="14"/>
  <c r="AH19094" i="14"/>
  <c r="E19094" i="14"/>
  <c r="AH19093" i="14"/>
  <c r="E19093" i="14"/>
  <c r="AH19092" i="14"/>
  <c r="E19092" i="14"/>
  <c r="AH19091" i="14"/>
  <c r="E19091" i="14"/>
  <c r="AH19090" i="14"/>
  <c r="E19090" i="14"/>
  <c r="AH19089" i="14"/>
  <c r="E19089" i="14"/>
  <c r="AH19088" i="14"/>
  <c r="E19088" i="14"/>
  <c r="AH19087" i="14"/>
  <c r="E19087" i="14"/>
  <c r="AH19086" i="14"/>
  <c r="E19086" i="14"/>
  <c r="AH19085" i="14"/>
  <c r="E19085" i="14"/>
  <c r="AH19084" i="14"/>
  <c r="E19084" i="14"/>
  <c r="AH19083" i="14"/>
  <c r="E19083" i="14"/>
  <c r="AH19082" i="14"/>
  <c r="E19082" i="14"/>
  <c r="AH19081" i="14"/>
  <c r="E19081" i="14"/>
  <c r="AH19080" i="14"/>
  <c r="E19080" i="14"/>
  <c r="AH19079" i="14"/>
  <c r="E19079" i="14"/>
  <c r="AH19078" i="14"/>
  <c r="E19078" i="14"/>
  <c r="AH19077" i="14"/>
  <c r="E19077" i="14"/>
  <c r="AH19076" i="14"/>
  <c r="E19076" i="14"/>
  <c r="AH19075" i="14"/>
  <c r="V19075" i="14"/>
  <c r="P19075" i="14"/>
  <c r="E19075" i="14"/>
  <c r="AH19074" i="14"/>
  <c r="E19074" i="14"/>
  <c r="AH19073" i="14"/>
  <c r="E19073" i="14"/>
  <c r="AH19072" i="14"/>
  <c r="V19072" i="14"/>
  <c r="P19072" i="14"/>
  <c r="O19072" i="14"/>
  <c r="E19072" i="14"/>
  <c r="AH19071" i="14"/>
  <c r="W19071" i="14"/>
  <c r="V19071" i="14"/>
  <c r="P19071" i="14"/>
  <c r="E19071" i="14"/>
  <c r="AH19070" i="14"/>
  <c r="E19070" i="14"/>
  <c r="AH19069" i="14"/>
  <c r="E19069" i="14"/>
  <c r="AH19068" i="14"/>
  <c r="E19068" i="14"/>
  <c r="AH19067" i="14"/>
  <c r="E19067" i="14"/>
  <c r="AH19066" i="14"/>
  <c r="E19066" i="14"/>
  <c r="AH19065" i="14"/>
  <c r="Q19065" i="14"/>
  <c r="O19065" i="14"/>
  <c r="E19065" i="14"/>
  <c r="AH19064" i="14"/>
  <c r="E19064" i="14"/>
  <c r="AH19063" i="14"/>
  <c r="E19063" i="14"/>
  <c r="AH19062" i="14"/>
  <c r="E19062" i="14"/>
  <c r="AH19061" i="14"/>
  <c r="E19061" i="14"/>
  <c r="AH19060" i="14"/>
  <c r="E19060" i="14"/>
  <c r="AH19059" i="14"/>
  <c r="E19059" i="14"/>
  <c r="AH19058" i="14"/>
  <c r="E19058" i="14"/>
  <c r="AH19057" i="14"/>
  <c r="E19057" i="14"/>
  <c r="AH19056" i="14"/>
  <c r="E19056" i="14"/>
  <c r="AH19055" i="14"/>
  <c r="E19055" i="14"/>
  <c r="AH19054" i="14"/>
  <c r="E19054" i="14"/>
  <c r="AH19053" i="14"/>
  <c r="E19053" i="14"/>
  <c r="AH19052" i="14"/>
  <c r="E19052" i="14"/>
  <c r="AH19051" i="14"/>
  <c r="E19051" i="14"/>
  <c r="AH19050" i="14"/>
  <c r="E19050" i="14"/>
  <c r="AH19049" i="14"/>
  <c r="E19049" i="14"/>
  <c r="AH19048" i="14"/>
  <c r="E19048" i="14"/>
  <c r="AH19047" i="14"/>
  <c r="E19047" i="14"/>
  <c r="AH19046" i="14"/>
  <c r="E19046" i="14"/>
  <c r="AH19045" i="14"/>
  <c r="E19045" i="14"/>
  <c r="AH19044" i="14"/>
  <c r="E19044" i="14"/>
  <c r="AH19043" i="14"/>
  <c r="E19043" i="14"/>
  <c r="AH19042" i="14"/>
  <c r="E19042" i="14"/>
  <c r="AH19041" i="14"/>
  <c r="E19041" i="14"/>
  <c r="AH19040" i="14"/>
  <c r="E19040" i="14"/>
  <c r="AH19039" i="14"/>
  <c r="E19039" i="14"/>
  <c r="AH19038" i="14"/>
  <c r="E19038" i="14"/>
  <c r="AH19037" i="14"/>
  <c r="E19037" i="14"/>
  <c r="AH19036" i="14"/>
  <c r="E19036" i="14"/>
  <c r="AH19035" i="14"/>
  <c r="E19035" i="14"/>
  <c r="AH19034" i="14"/>
  <c r="E19034" i="14"/>
  <c r="AH19033" i="14"/>
  <c r="E19033" i="14"/>
  <c r="AH19032" i="14"/>
  <c r="E19032" i="14"/>
  <c r="AH19031" i="14"/>
  <c r="E19031" i="14"/>
  <c r="AH19030" i="14"/>
  <c r="E19030" i="14"/>
  <c r="AH19029" i="14"/>
  <c r="E19029" i="14"/>
  <c r="AH19028" i="14"/>
  <c r="E19028" i="14"/>
  <c r="AH19027" i="14"/>
  <c r="E19027" i="14"/>
  <c r="AH19026" i="14"/>
  <c r="E19026" i="14"/>
  <c r="AH19025" i="14"/>
  <c r="E19025" i="14"/>
  <c r="AH19024" i="14"/>
  <c r="E19024" i="14"/>
  <c r="AH19023" i="14"/>
  <c r="E19023" i="14"/>
  <c r="AH19022" i="14"/>
  <c r="E19022" i="14"/>
  <c r="AH19021" i="14"/>
  <c r="E19021" i="14"/>
  <c r="AH19020" i="14"/>
  <c r="E19020" i="14"/>
  <c r="AH19019" i="14"/>
  <c r="E19019" i="14"/>
  <c r="AH19018" i="14"/>
  <c r="E19018" i="14"/>
  <c r="AH19017" i="14"/>
  <c r="E19017" i="14"/>
  <c r="AH19016" i="14"/>
  <c r="E19016" i="14"/>
  <c r="AH19015" i="14"/>
  <c r="E19015" i="14"/>
  <c r="AH19014" i="14"/>
  <c r="E19014" i="14"/>
  <c r="AH19013" i="14"/>
  <c r="E19013" i="14"/>
  <c r="AH19012" i="14"/>
  <c r="E19012" i="14"/>
  <c r="AH19011" i="14"/>
  <c r="E19011" i="14"/>
  <c r="AH19010" i="14"/>
  <c r="E19010" i="14"/>
  <c r="AH19009" i="14"/>
  <c r="E19009" i="14"/>
  <c r="AH19008" i="14"/>
  <c r="E19008" i="14"/>
  <c r="AH19007" i="14"/>
  <c r="E19007" i="14"/>
  <c r="AH19006" i="14"/>
  <c r="E19006" i="14"/>
  <c r="AH19005" i="14"/>
  <c r="E19005" i="14"/>
  <c r="AH19004" i="14"/>
  <c r="E19004" i="14"/>
  <c r="AH19003" i="14"/>
  <c r="E19003" i="14"/>
  <c r="AH19002" i="14"/>
  <c r="E19002" i="14"/>
  <c r="AH19001" i="14"/>
  <c r="E19001" i="14"/>
  <c r="AH19000" i="14"/>
  <c r="E19000" i="14"/>
  <c r="AH18999" i="14"/>
  <c r="E18999" i="14"/>
  <c r="AH18998" i="14"/>
  <c r="E18998" i="14"/>
  <c r="AH18997" i="14"/>
  <c r="E18997" i="14"/>
  <c r="AH18996" i="14"/>
  <c r="E18996" i="14"/>
  <c r="AH18995" i="14"/>
  <c r="E18995" i="14"/>
  <c r="AH18994" i="14"/>
  <c r="E18994" i="14"/>
  <c r="AH18993" i="14"/>
  <c r="E18993" i="14"/>
  <c r="AH18992" i="14"/>
  <c r="E18992" i="14"/>
  <c r="AH18991" i="14"/>
  <c r="E18991" i="14"/>
  <c r="AH18990" i="14"/>
  <c r="E18990" i="14"/>
  <c r="AH18989" i="14"/>
  <c r="E18989" i="14"/>
  <c r="AH18988" i="14"/>
  <c r="E18988" i="14"/>
  <c r="AH18987" i="14"/>
  <c r="E18987" i="14"/>
  <c r="AH18986" i="14"/>
  <c r="E18986" i="14"/>
  <c r="AH18985" i="14"/>
  <c r="E18985" i="14"/>
  <c r="AH18984" i="14"/>
  <c r="E18984" i="14"/>
  <c r="AH18983" i="14"/>
  <c r="E18983" i="14"/>
  <c r="AH18982" i="14"/>
  <c r="E18982" i="14"/>
  <c r="AH18981" i="14"/>
  <c r="E18981" i="14"/>
  <c r="AH18980" i="14"/>
  <c r="E18980" i="14"/>
  <c r="AH18979" i="14"/>
  <c r="E18979" i="14"/>
  <c r="AH18978" i="14"/>
  <c r="E18978" i="14"/>
  <c r="AH18977" i="14"/>
  <c r="E18977" i="14"/>
  <c r="AH18976" i="14"/>
  <c r="E18976" i="14"/>
  <c r="AH18975" i="14"/>
  <c r="E18975" i="14"/>
  <c r="AH18974" i="14"/>
  <c r="E18974" i="14"/>
  <c r="AH18973" i="14"/>
  <c r="E18973" i="14"/>
  <c r="AH18972" i="14"/>
  <c r="E18972" i="14"/>
  <c r="AH18971" i="14"/>
  <c r="E18971" i="14"/>
  <c r="AH18970" i="14"/>
  <c r="E18970" i="14"/>
  <c r="AH18969" i="14"/>
  <c r="E18969" i="14"/>
  <c r="AH18968" i="14"/>
  <c r="E18968" i="14"/>
  <c r="AH18967" i="14"/>
  <c r="E18967" i="14"/>
  <c r="AH18966" i="14"/>
  <c r="E18966" i="14"/>
  <c r="AH18965" i="14"/>
  <c r="E18965" i="14"/>
  <c r="AH18964" i="14"/>
  <c r="E18964" i="14"/>
  <c r="AH18963" i="14"/>
  <c r="E18963" i="14"/>
  <c r="AH18962" i="14"/>
  <c r="E18962" i="14"/>
  <c r="AH18961" i="14"/>
  <c r="E18961" i="14"/>
  <c r="AH18960" i="14"/>
  <c r="E18960" i="14"/>
  <c r="AH18959" i="14"/>
  <c r="E18959" i="14"/>
  <c r="AH18958" i="14"/>
  <c r="E18958" i="14"/>
  <c r="AH18957" i="14"/>
  <c r="E18957" i="14"/>
  <c r="AH18956" i="14"/>
  <c r="E18956" i="14"/>
  <c r="AH18955" i="14"/>
  <c r="E18955" i="14"/>
  <c r="AH18954" i="14"/>
  <c r="E18954" i="14"/>
  <c r="AH18953" i="14"/>
  <c r="E18953" i="14"/>
  <c r="AH18952" i="14"/>
  <c r="E18952" i="14"/>
  <c r="AH18951" i="14"/>
  <c r="E18951" i="14"/>
  <c r="AH18950" i="14"/>
  <c r="E18950" i="14"/>
  <c r="AH18949" i="14"/>
  <c r="E18949" i="14"/>
  <c r="AH18948" i="14"/>
  <c r="E18948" i="14"/>
  <c r="AH18947" i="14"/>
  <c r="E18947" i="14"/>
  <c r="AH18946" i="14"/>
  <c r="E18946" i="14"/>
  <c r="AH18945" i="14"/>
  <c r="E18945" i="14"/>
  <c r="AH18944" i="14"/>
  <c r="E18944" i="14"/>
  <c r="AH18943" i="14"/>
  <c r="E18943" i="14"/>
  <c r="AH18942" i="14"/>
  <c r="E18942" i="14"/>
  <c r="AH18941" i="14"/>
  <c r="E18941" i="14"/>
  <c r="AH18940" i="14"/>
  <c r="E18940" i="14"/>
  <c r="AH18939" i="14"/>
  <c r="E18939" i="14"/>
  <c r="AH18938" i="14"/>
  <c r="E18938" i="14"/>
  <c r="AH18937" i="14"/>
  <c r="E18937" i="14"/>
  <c r="AH18936" i="14"/>
  <c r="E18936" i="14"/>
  <c r="AH18935" i="14"/>
  <c r="E18935" i="14"/>
  <c r="AH18934" i="14"/>
  <c r="E18934" i="14"/>
  <c r="AH18933" i="14"/>
  <c r="E18933" i="14"/>
  <c r="AH18932" i="14"/>
  <c r="E18932" i="14"/>
  <c r="AH18931" i="14"/>
  <c r="E18931" i="14"/>
  <c r="AH18930" i="14"/>
  <c r="E18930" i="14"/>
  <c r="AH18929" i="14"/>
  <c r="E18929" i="14"/>
  <c r="AH18928" i="14"/>
  <c r="E18928" i="14"/>
  <c r="AH18927" i="14"/>
  <c r="E18927" i="14"/>
  <c r="AH18926" i="14"/>
  <c r="Q18926" i="14"/>
  <c r="E18926" i="14"/>
  <c r="AH18925" i="14"/>
  <c r="AE18925" i="14"/>
  <c r="E18925" i="14"/>
  <c r="AH18924" i="14"/>
  <c r="E18924" i="14"/>
  <c r="AH18923" i="14"/>
  <c r="E18923" i="14"/>
  <c r="AH18922" i="14"/>
  <c r="E18922" i="14"/>
  <c r="AH18921" i="14"/>
  <c r="E18921" i="14"/>
  <c r="AH18920" i="14"/>
  <c r="E18920" i="14"/>
  <c r="AH18919" i="14"/>
  <c r="E18919" i="14"/>
  <c r="AH18918" i="14"/>
  <c r="E18918" i="14"/>
  <c r="AH18917" i="14"/>
  <c r="E18917" i="14"/>
  <c r="AH18916" i="14"/>
  <c r="E18916" i="14"/>
  <c r="AH18915" i="14"/>
  <c r="E18915" i="14"/>
  <c r="AH18914" i="14"/>
  <c r="E18914" i="14"/>
  <c r="AH18913" i="14"/>
  <c r="E18913" i="14"/>
  <c r="AH18912" i="14"/>
  <c r="E18912" i="14"/>
  <c r="AH18911" i="14"/>
  <c r="E18911" i="14"/>
  <c r="AH18910" i="14"/>
  <c r="E18910" i="14"/>
  <c r="AH18909" i="14"/>
  <c r="E18909" i="14"/>
  <c r="AH18908" i="14"/>
  <c r="E18908" i="14"/>
  <c r="AH18907" i="14"/>
  <c r="E18907" i="14"/>
  <c r="AH18906" i="14"/>
  <c r="E18906" i="14"/>
  <c r="AH18905" i="14"/>
  <c r="E18905" i="14"/>
  <c r="AH18904" i="14"/>
  <c r="E18904" i="14"/>
  <c r="AH18903" i="14"/>
  <c r="E18903" i="14"/>
  <c r="AH18902" i="14"/>
  <c r="E18902" i="14"/>
  <c r="AH18901" i="14"/>
  <c r="E18901" i="14"/>
  <c r="AH18900" i="14"/>
  <c r="E18900" i="14"/>
  <c r="AH18899" i="14"/>
  <c r="L18899" i="14"/>
  <c r="K18899" i="14"/>
  <c r="I18899" i="14"/>
  <c r="E18899" i="14"/>
  <c r="AH18898" i="14"/>
  <c r="T18898" i="14"/>
  <c r="Q18898" i="14"/>
  <c r="P18898" i="14"/>
  <c r="E18898" i="14"/>
  <c r="AH18897" i="14"/>
  <c r="W18897" i="14"/>
  <c r="V18897" i="14"/>
  <c r="U18897" i="14"/>
  <c r="T18897" i="14"/>
  <c r="Q18897" i="14"/>
  <c r="P18897" i="14"/>
  <c r="E18897" i="14"/>
  <c r="AH18896" i="14"/>
  <c r="E18896" i="14"/>
  <c r="AH18895" i="14"/>
  <c r="E18895" i="14"/>
  <c r="AH18894" i="14"/>
  <c r="E18894" i="14"/>
  <c r="AH18893" i="14"/>
  <c r="E18893" i="14"/>
  <c r="AH18892" i="14"/>
  <c r="E18892" i="14"/>
  <c r="AH18891" i="14"/>
  <c r="AE18891" i="14"/>
  <c r="O18891" i="14"/>
  <c r="L18891" i="14"/>
  <c r="K18891" i="14"/>
  <c r="I18891" i="14"/>
  <c r="E18891" i="14"/>
  <c r="AH18890" i="14"/>
  <c r="E18890" i="14"/>
  <c r="AH18889" i="14"/>
  <c r="E18889" i="14"/>
  <c r="AH18888" i="14"/>
  <c r="E18888" i="14"/>
  <c r="AH18887" i="14"/>
  <c r="E18887" i="14"/>
  <c r="AH18886" i="14"/>
  <c r="E18886" i="14"/>
  <c r="AH18885" i="14"/>
  <c r="E18885" i="14"/>
  <c r="AH18884" i="14"/>
  <c r="E18884" i="14"/>
  <c r="AH18883" i="14"/>
  <c r="E18883" i="14"/>
  <c r="AH18882" i="14"/>
  <c r="E18882" i="14"/>
  <c r="AH18881" i="14"/>
  <c r="E18881" i="14"/>
  <c r="AH18880" i="14"/>
  <c r="E18880" i="14"/>
  <c r="AH18879" i="14"/>
  <c r="E18879" i="14"/>
  <c r="AH18878" i="14"/>
  <c r="E18878" i="14"/>
  <c r="AH18877" i="14"/>
  <c r="P18877" i="14"/>
  <c r="O18877" i="14"/>
  <c r="E18877" i="14"/>
  <c r="AH18876" i="14"/>
  <c r="E18876" i="14"/>
  <c r="AH18875" i="14"/>
  <c r="E18875" i="14"/>
  <c r="AH18874" i="14"/>
  <c r="E18874" i="14"/>
  <c r="AH18873" i="14"/>
  <c r="E18873" i="14"/>
  <c r="AH18872" i="14"/>
  <c r="E18872" i="14"/>
  <c r="AH18871" i="14"/>
  <c r="E18871" i="14"/>
  <c r="AH18870" i="14"/>
  <c r="E18870" i="14"/>
  <c r="AH18869" i="14"/>
  <c r="E18869" i="14"/>
  <c r="AH18868" i="14"/>
  <c r="E18868" i="14"/>
  <c r="AH18867" i="14"/>
  <c r="E18867" i="14"/>
  <c r="AH18866" i="14"/>
  <c r="E18866" i="14"/>
  <c r="AH18865" i="14"/>
  <c r="E18865" i="14"/>
  <c r="AH18864" i="14"/>
  <c r="E18864" i="14"/>
  <c r="AH18863" i="14"/>
  <c r="E18863" i="14"/>
  <c r="AH18862" i="14"/>
  <c r="E18862" i="14"/>
  <c r="AH18861" i="14"/>
  <c r="E18861" i="14"/>
  <c r="AH18860" i="14"/>
  <c r="E18860" i="14"/>
  <c r="AH18859" i="14"/>
  <c r="E18859" i="14"/>
  <c r="AH18858" i="14"/>
  <c r="E18858" i="14"/>
  <c r="AH18857" i="14"/>
  <c r="E18857" i="14"/>
  <c r="AH18856" i="14"/>
  <c r="E18856" i="14"/>
  <c r="AH18855" i="14"/>
  <c r="E18855" i="14"/>
  <c r="AH18854" i="14"/>
  <c r="E18854" i="14"/>
  <c r="AH18853" i="14"/>
  <c r="E18853" i="14"/>
  <c r="AH18852" i="14"/>
  <c r="E18852" i="14"/>
  <c r="AH18851" i="14"/>
  <c r="E18851" i="14"/>
  <c r="AH18850" i="14"/>
  <c r="E18850" i="14"/>
  <c r="AH18849" i="14"/>
  <c r="E18849" i="14"/>
  <c r="AH18848" i="14"/>
  <c r="E18848" i="14"/>
  <c r="AH18847" i="14"/>
  <c r="E18847" i="14"/>
  <c r="AH18846" i="14"/>
  <c r="E18846" i="14"/>
  <c r="AH18845" i="14"/>
  <c r="E18845" i="14"/>
  <c r="AH18844" i="14"/>
  <c r="E18844" i="14"/>
  <c r="AH18843" i="14"/>
  <c r="E18843" i="14"/>
  <c r="AH18842" i="14"/>
  <c r="E18842" i="14"/>
  <c r="AH18841" i="14"/>
  <c r="E18841" i="14"/>
  <c r="AH18840" i="14"/>
  <c r="E18840" i="14"/>
  <c r="AH18839" i="14"/>
  <c r="E18839" i="14"/>
  <c r="AH18838" i="14"/>
  <c r="E18838" i="14"/>
  <c r="AH18837" i="14"/>
  <c r="E18837" i="14"/>
  <c r="AH18836" i="14"/>
  <c r="E18836" i="14"/>
  <c r="AH18835" i="14"/>
  <c r="E18835" i="14"/>
  <c r="AH18834" i="14"/>
  <c r="E18834" i="14"/>
  <c r="AH18833" i="14"/>
  <c r="E18833" i="14"/>
  <c r="AH18832" i="14"/>
  <c r="E18832" i="14"/>
  <c r="AH18831" i="14"/>
  <c r="E18831" i="14"/>
  <c r="AH18830" i="14"/>
  <c r="E18830" i="14"/>
  <c r="AH18829" i="14"/>
  <c r="E18829" i="14"/>
  <c r="AH18828" i="14"/>
  <c r="Q18828" i="14"/>
  <c r="E18828" i="14"/>
  <c r="AH18827" i="14"/>
  <c r="E18827" i="14"/>
  <c r="AH18826" i="14"/>
  <c r="E18826" i="14"/>
  <c r="AH18825" i="14"/>
  <c r="E18825" i="14"/>
  <c r="AH18824" i="14"/>
  <c r="E18824" i="14"/>
  <c r="AH18823" i="14"/>
  <c r="E18823" i="14"/>
  <c r="AH18822" i="14"/>
  <c r="E18822" i="14"/>
  <c r="AH18821" i="14"/>
  <c r="E18821" i="14"/>
  <c r="AH18820" i="14"/>
  <c r="E18820" i="14"/>
  <c r="AH18819" i="14"/>
  <c r="E18819" i="14"/>
  <c r="AH18818" i="14"/>
  <c r="E18818" i="14"/>
  <c r="AH18817" i="14"/>
  <c r="E18817" i="14"/>
  <c r="AH18816" i="14"/>
  <c r="E18816" i="14"/>
  <c r="AH18815" i="14"/>
  <c r="E18815" i="14"/>
  <c r="AH18814" i="14"/>
  <c r="E18814" i="14"/>
  <c r="AH18813" i="14"/>
  <c r="E18813" i="14"/>
  <c r="AH18812" i="14"/>
  <c r="E18812" i="14"/>
  <c r="AH18811" i="14"/>
  <c r="E18811" i="14"/>
  <c r="AH18810" i="14"/>
  <c r="E18810" i="14"/>
  <c r="AH18809" i="14"/>
  <c r="E18809" i="14"/>
  <c r="AH18808" i="14"/>
  <c r="E18808" i="14"/>
  <c r="AH18807" i="14"/>
  <c r="E18807" i="14"/>
  <c r="AH18806" i="14"/>
  <c r="E18806" i="14"/>
  <c r="AH18805" i="14"/>
  <c r="E18805" i="14"/>
  <c r="AH18804" i="14"/>
  <c r="E18804" i="14"/>
  <c r="AH18803" i="14"/>
  <c r="E18803" i="14"/>
  <c r="AH18802" i="14"/>
  <c r="E18802" i="14"/>
  <c r="AH18801" i="14"/>
  <c r="E18801" i="14"/>
  <c r="AH18800" i="14"/>
  <c r="E18800" i="14"/>
  <c r="AH18799" i="14"/>
  <c r="E18799" i="14"/>
  <c r="AH18798" i="14"/>
  <c r="E18798" i="14"/>
  <c r="AH18797" i="14"/>
  <c r="E18797" i="14"/>
  <c r="AH18796" i="14"/>
  <c r="E18796" i="14"/>
  <c r="AH18795" i="14"/>
  <c r="E18795" i="14"/>
  <c r="AH18794" i="14"/>
  <c r="E18794" i="14"/>
  <c r="AH18793" i="14"/>
  <c r="E18793" i="14"/>
  <c r="AH18792" i="14"/>
  <c r="E18792" i="14"/>
  <c r="AH18791" i="14"/>
  <c r="E18791" i="14"/>
  <c r="AH18790" i="14"/>
  <c r="E18790" i="14"/>
  <c r="AH18789" i="14"/>
  <c r="E18789" i="14"/>
  <c r="AH18788" i="14"/>
  <c r="E18788" i="14"/>
  <c r="AH18787" i="14"/>
  <c r="E18787" i="14"/>
  <c r="AH18786" i="14"/>
  <c r="E18786" i="14"/>
  <c r="AH18785" i="14"/>
  <c r="E18785" i="14"/>
  <c r="AH18784" i="14"/>
  <c r="E18784" i="14"/>
  <c r="AH18783" i="14"/>
  <c r="E18783" i="14"/>
  <c r="AH18782" i="14"/>
  <c r="E18782" i="14"/>
  <c r="AH18781" i="14"/>
  <c r="E18781" i="14"/>
  <c r="AH18780" i="14"/>
  <c r="E18780" i="14"/>
  <c r="AH18779" i="14"/>
  <c r="E18779" i="14"/>
  <c r="AH18778" i="14"/>
  <c r="E18778" i="14"/>
  <c r="AH18777" i="14"/>
  <c r="E18777" i="14"/>
  <c r="AH18776" i="14"/>
  <c r="Q18776" i="14"/>
  <c r="E18776" i="14"/>
  <c r="AH18775" i="14"/>
  <c r="E18775" i="14"/>
  <c r="AH18774" i="14"/>
  <c r="E18774" i="14"/>
  <c r="AH18773" i="14"/>
  <c r="E18773" i="14"/>
  <c r="AH18772" i="14"/>
  <c r="E18772" i="14"/>
  <c r="AH18771" i="14"/>
  <c r="E18771" i="14"/>
  <c r="AH18770" i="14"/>
  <c r="E18770" i="14"/>
  <c r="AH18769" i="14"/>
  <c r="E18769" i="14"/>
  <c r="AH18768" i="14"/>
  <c r="E18768" i="14"/>
  <c r="AH18767" i="14"/>
  <c r="E18767" i="14"/>
  <c r="AH18766" i="14"/>
  <c r="E18766" i="14"/>
  <c r="AH18765" i="14"/>
  <c r="E18765" i="14"/>
  <c r="AH18764" i="14"/>
  <c r="E18764" i="14"/>
  <c r="AH18763" i="14"/>
  <c r="E18763" i="14"/>
  <c r="AH18762" i="14"/>
  <c r="E18762" i="14"/>
  <c r="AH18761" i="14"/>
  <c r="E18761" i="14"/>
  <c r="AH18760" i="14"/>
  <c r="E18760" i="14"/>
  <c r="AH18759" i="14"/>
  <c r="E18759" i="14"/>
  <c r="AH18758" i="14"/>
  <c r="E18758" i="14"/>
  <c r="AH18757" i="14"/>
  <c r="E18757" i="14"/>
  <c r="AH18756" i="14"/>
  <c r="E18756" i="14"/>
  <c r="AH18755" i="14"/>
  <c r="Q18755" i="14"/>
  <c r="E18755" i="14"/>
  <c r="AH18754" i="14"/>
  <c r="Q18754" i="14"/>
  <c r="E18754" i="14"/>
  <c r="AH18753" i="14"/>
  <c r="Q18753" i="14"/>
  <c r="E18753" i="14"/>
  <c r="AH18752" i="14"/>
  <c r="E18752" i="14"/>
  <c r="AH18751" i="14"/>
  <c r="E18751" i="14"/>
  <c r="AH18750" i="14"/>
  <c r="E18750" i="14"/>
  <c r="AH18749" i="14"/>
  <c r="E18749" i="14"/>
  <c r="AH18748" i="14"/>
  <c r="E18748" i="14"/>
  <c r="AH18747" i="14"/>
  <c r="E18747" i="14"/>
  <c r="AH18746" i="14"/>
  <c r="E18746" i="14"/>
  <c r="AH18745" i="14"/>
  <c r="E18745" i="14"/>
  <c r="AH18744" i="14"/>
  <c r="E18744" i="14"/>
  <c r="AH18743" i="14"/>
  <c r="E18743" i="14"/>
  <c r="AH18742" i="14"/>
  <c r="E18742" i="14"/>
  <c r="AH18741" i="14"/>
  <c r="E18741" i="14"/>
  <c r="AH18740" i="14"/>
  <c r="E18740" i="14"/>
  <c r="AH18739" i="14"/>
  <c r="E18739" i="14"/>
  <c r="AH18738" i="14"/>
  <c r="E18738" i="14"/>
  <c r="AH18737" i="14"/>
  <c r="E18737" i="14"/>
  <c r="AH18736" i="14"/>
  <c r="E18736" i="14"/>
  <c r="AH18735" i="14"/>
  <c r="Q18735" i="14"/>
  <c r="E18735" i="14"/>
  <c r="AH18734" i="14"/>
  <c r="E18734" i="14"/>
  <c r="AH18733" i="14"/>
  <c r="E18733" i="14"/>
  <c r="AH18732" i="14"/>
  <c r="E18732" i="14"/>
  <c r="AH18731" i="14"/>
  <c r="E18731" i="14"/>
  <c r="AH18730" i="14"/>
  <c r="E18730" i="14"/>
  <c r="AH18729" i="14"/>
  <c r="E18729" i="14"/>
  <c r="AH18728" i="14"/>
  <c r="E18728" i="14"/>
  <c r="AH18727" i="14"/>
  <c r="E18727" i="14"/>
  <c r="AH18726" i="14"/>
  <c r="E18726" i="14"/>
  <c r="AH18725" i="14"/>
  <c r="E18725" i="14"/>
  <c r="AH18724" i="14"/>
  <c r="E18724" i="14"/>
  <c r="AH18723" i="14"/>
  <c r="E18723" i="14"/>
  <c r="AH18722" i="14"/>
  <c r="E18722" i="14"/>
  <c r="AH18721" i="14"/>
  <c r="E18721" i="14"/>
  <c r="AH18720" i="14"/>
  <c r="E18720" i="14"/>
  <c r="AH18719" i="14"/>
  <c r="E18719" i="14"/>
  <c r="AH18718" i="14"/>
  <c r="E18718" i="14"/>
  <c r="AH18717" i="14"/>
  <c r="E18717" i="14"/>
  <c r="AH18716" i="14"/>
  <c r="E18716" i="14"/>
  <c r="AH18715" i="14"/>
  <c r="E18715" i="14"/>
  <c r="AH18714" i="14"/>
  <c r="E18714" i="14"/>
  <c r="AH18713" i="14"/>
  <c r="E18713" i="14"/>
  <c r="AH18712" i="14"/>
  <c r="E18712" i="14"/>
  <c r="AH18711" i="14"/>
  <c r="E18711" i="14"/>
  <c r="AH18710" i="14"/>
  <c r="E18710" i="14"/>
  <c r="AH18709" i="14"/>
  <c r="E18709" i="14"/>
  <c r="AH18708" i="14"/>
  <c r="E18708" i="14"/>
  <c r="AH18707" i="14"/>
  <c r="E18707" i="14"/>
  <c r="AH18706" i="14"/>
  <c r="E18706" i="14"/>
  <c r="AH18705" i="14"/>
  <c r="E18705" i="14"/>
  <c r="AH18704" i="14"/>
  <c r="E18704" i="14"/>
  <c r="AH18703" i="14"/>
  <c r="E18703" i="14"/>
  <c r="AH18702" i="14"/>
  <c r="E18702" i="14"/>
  <c r="AH18701" i="14"/>
  <c r="E18701" i="14"/>
  <c r="AH18700" i="14"/>
  <c r="E18700" i="14"/>
  <c r="AH18699" i="14"/>
  <c r="E18699" i="14"/>
  <c r="AH18698" i="14"/>
  <c r="E18698" i="14"/>
  <c r="AH18697" i="14"/>
  <c r="E18697" i="14"/>
  <c r="AH18696" i="14"/>
  <c r="E18696" i="14"/>
  <c r="AH18695" i="14"/>
  <c r="Q18695" i="14"/>
  <c r="P18695" i="14"/>
  <c r="O18695" i="14"/>
  <c r="E18695" i="14"/>
  <c r="AH18694" i="14"/>
  <c r="E18694" i="14"/>
  <c r="AH18693" i="14"/>
  <c r="E18693" i="14"/>
  <c r="AH18692" i="14"/>
  <c r="Q18692" i="14"/>
  <c r="E18692" i="14"/>
  <c r="AH18691" i="14"/>
  <c r="Q18691" i="14"/>
  <c r="E18691" i="14"/>
  <c r="AH18690" i="14"/>
  <c r="E18690" i="14"/>
  <c r="AH18689" i="14"/>
  <c r="E18689" i="14"/>
  <c r="AH18688" i="14"/>
  <c r="E18688" i="14"/>
  <c r="AH18687" i="14"/>
  <c r="E18687" i="14"/>
  <c r="AH18686" i="14"/>
  <c r="E18686" i="14"/>
  <c r="AH18685" i="14"/>
  <c r="E18685" i="14"/>
  <c r="AH18684" i="14"/>
  <c r="E18684" i="14"/>
  <c r="AH18683" i="14"/>
  <c r="E18683" i="14"/>
  <c r="AH18682" i="14"/>
  <c r="E18682" i="14"/>
  <c r="AH18681" i="14"/>
  <c r="E18681" i="14"/>
  <c r="AH18680" i="14"/>
  <c r="E18680" i="14"/>
  <c r="AH18679" i="14"/>
  <c r="E18679" i="14"/>
  <c r="AH18678" i="14"/>
  <c r="E18678" i="14"/>
  <c r="AH18677" i="14"/>
  <c r="E18677" i="14"/>
  <c r="AH18676" i="14"/>
  <c r="E18676" i="14"/>
  <c r="AH18675" i="14"/>
  <c r="E18675" i="14"/>
  <c r="AH18674" i="14"/>
  <c r="E18674" i="14"/>
  <c r="AH18673" i="14"/>
  <c r="E18673" i="14"/>
  <c r="AH18672" i="14"/>
  <c r="Q18672" i="14"/>
  <c r="E18672" i="14"/>
  <c r="AH18671" i="14"/>
  <c r="E18671" i="14"/>
  <c r="AH18670" i="14"/>
  <c r="E18670" i="14"/>
  <c r="AH18669" i="14"/>
  <c r="E18669" i="14"/>
  <c r="AH18668" i="14"/>
  <c r="E18668" i="14"/>
  <c r="AH18667" i="14"/>
  <c r="Q18667" i="14"/>
  <c r="E18667" i="14"/>
  <c r="AH18666" i="14"/>
  <c r="E18666" i="14"/>
  <c r="AH18665" i="14"/>
  <c r="Q18665" i="14"/>
  <c r="E18665" i="14"/>
  <c r="AH18664" i="14"/>
  <c r="V18664" i="14"/>
  <c r="P18664" i="14"/>
  <c r="E18664" i="14"/>
  <c r="AH18663" i="14"/>
  <c r="E18663" i="14"/>
  <c r="AH18662" i="14"/>
  <c r="Q18662" i="14"/>
  <c r="P18662" i="14"/>
  <c r="O18662" i="14"/>
  <c r="E18662" i="14"/>
  <c r="AH18661" i="14"/>
  <c r="P18661" i="14"/>
  <c r="O18661" i="14"/>
  <c r="E18661" i="14"/>
  <c r="AH18660" i="14"/>
  <c r="E18660" i="14"/>
  <c r="AH18659" i="14"/>
  <c r="E18659" i="14"/>
  <c r="AH18658" i="14"/>
  <c r="E18658" i="14"/>
  <c r="AH18657" i="14"/>
  <c r="E18657" i="14"/>
  <c r="AH18656" i="14"/>
  <c r="E18656" i="14"/>
  <c r="AH18655" i="14"/>
  <c r="E18655" i="14"/>
  <c r="AH18654" i="14"/>
  <c r="E18654" i="14"/>
  <c r="AH18653" i="14"/>
  <c r="E18653" i="14"/>
  <c r="AH18652" i="14"/>
  <c r="E18652" i="14"/>
  <c r="AH18651" i="14"/>
  <c r="E18651" i="14"/>
  <c r="AH18650" i="14"/>
  <c r="E18650" i="14"/>
  <c r="AH18649" i="14"/>
  <c r="E18649" i="14"/>
  <c r="AH18648" i="14"/>
  <c r="E18648" i="14"/>
  <c r="AH18647" i="14"/>
  <c r="E18647" i="14"/>
  <c r="AH18646" i="14"/>
  <c r="E18646" i="14"/>
  <c r="AH18645" i="14"/>
  <c r="E18645" i="14"/>
  <c r="AH18644" i="14"/>
  <c r="E18644" i="14"/>
  <c r="AH18643" i="14"/>
  <c r="E18643" i="14"/>
  <c r="AH18642" i="14"/>
  <c r="E18642" i="14"/>
  <c r="AH18641" i="14"/>
  <c r="E18641" i="14"/>
  <c r="AH18640" i="14"/>
  <c r="E18640" i="14"/>
  <c r="AH18639" i="14"/>
  <c r="E18639" i="14"/>
  <c r="AH18638" i="14"/>
  <c r="E18638" i="14"/>
  <c r="AH18637" i="14"/>
  <c r="E18637" i="14"/>
  <c r="AH18636" i="14"/>
  <c r="E18636" i="14"/>
  <c r="AH18635" i="14"/>
  <c r="E18635" i="14"/>
  <c r="AH18634" i="14"/>
  <c r="E18634" i="14"/>
  <c r="AH18633" i="14"/>
  <c r="E18633" i="14"/>
  <c r="AH18632" i="14"/>
  <c r="E18632" i="14"/>
  <c r="AH18631" i="14"/>
  <c r="E18631" i="14"/>
  <c r="AH18630" i="14"/>
  <c r="E18630" i="14"/>
  <c r="AH18629" i="14"/>
  <c r="E18629" i="14"/>
  <c r="AH18628" i="14"/>
  <c r="E18628" i="14"/>
  <c r="AH18627" i="14"/>
  <c r="Q18627" i="14"/>
  <c r="E18627" i="14"/>
  <c r="AH18626" i="14"/>
  <c r="AG18626" i="14"/>
  <c r="AE18626" i="14"/>
  <c r="Q18626" i="14"/>
  <c r="E18626" i="14"/>
  <c r="AH18625" i="14"/>
  <c r="E18625" i="14"/>
  <c r="AH18624" i="14"/>
  <c r="E18624" i="14"/>
  <c r="AH18623" i="14"/>
  <c r="Q18623" i="14"/>
  <c r="E18623" i="14"/>
  <c r="AH18622" i="14"/>
  <c r="E18622" i="14"/>
  <c r="AH18621" i="14"/>
  <c r="E18621" i="14"/>
  <c r="AH18620" i="14"/>
  <c r="Q18620" i="14"/>
  <c r="E18620" i="14"/>
  <c r="AH18619" i="14"/>
  <c r="E18619" i="14"/>
  <c r="AH18618" i="14"/>
  <c r="Q18618" i="14"/>
  <c r="E18618" i="14"/>
  <c r="AH18617" i="14"/>
  <c r="E18617" i="14"/>
  <c r="AH18616" i="14"/>
  <c r="E18616" i="14"/>
  <c r="AH18615" i="14"/>
  <c r="Q18615" i="14"/>
  <c r="P18615" i="14"/>
  <c r="O18615" i="14"/>
  <c r="E18615" i="14"/>
  <c r="AH18614" i="14"/>
  <c r="Q18614" i="14"/>
  <c r="P18614" i="14"/>
  <c r="E18614" i="14"/>
  <c r="AH18613" i="14"/>
  <c r="E18613" i="14"/>
  <c r="AH18612" i="14"/>
  <c r="E18612" i="14"/>
  <c r="AH18611" i="14"/>
  <c r="Q18611" i="14"/>
  <c r="E18611" i="14"/>
  <c r="AH18610" i="14"/>
  <c r="E18610" i="14"/>
  <c r="AH18609" i="14"/>
  <c r="E18609" i="14"/>
  <c r="AH18608" i="14"/>
  <c r="Q18608" i="14"/>
  <c r="E18608" i="14"/>
  <c r="AH18607" i="14"/>
  <c r="E18607" i="14"/>
  <c r="AH18606" i="14"/>
  <c r="E18606" i="14"/>
  <c r="AH18605" i="14"/>
  <c r="E18605" i="14"/>
  <c r="AH18604" i="14"/>
  <c r="E18604" i="14"/>
  <c r="AH18603" i="14"/>
  <c r="E18603" i="14"/>
  <c r="AH18602" i="14"/>
  <c r="E18602" i="14"/>
  <c r="AH18601" i="14"/>
  <c r="E18601" i="14"/>
  <c r="AH18600" i="14"/>
  <c r="E18600" i="14"/>
  <c r="AH18599" i="14"/>
  <c r="E18599" i="14"/>
  <c r="AH18598" i="14"/>
  <c r="E18598" i="14"/>
  <c r="AH18597" i="14"/>
  <c r="E18597" i="14"/>
  <c r="AH18596" i="14"/>
  <c r="E18596" i="14"/>
  <c r="AH18595" i="14"/>
  <c r="P18595" i="14"/>
  <c r="O18595" i="14"/>
  <c r="E18595" i="14"/>
  <c r="AH18594" i="14"/>
  <c r="E18594" i="14"/>
  <c r="AH18593" i="14"/>
  <c r="E18593" i="14"/>
  <c r="AH18592" i="14"/>
  <c r="E18592" i="14"/>
  <c r="AH18591" i="14"/>
  <c r="E18591" i="14"/>
  <c r="AH18590" i="14"/>
  <c r="E18590" i="14"/>
  <c r="AL18589" i="14"/>
  <c r="AH18589" i="14"/>
  <c r="O18589" i="14"/>
  <c r="E18589" i="14"/>
  <c r="AH18588" i="14"/>
  <c r="E18588" i="14"/>
  <c r="AH18587" i="14"/>
  <c r="E18587" i="14"/>
  <c r="AH18586" i="14"/>
  <c r="Q18586" i="14"/>
  <c r="E18586" i="14"/>
  <c r="AH18585" i="14"/>
  <c r="E18585" i="14"/>
  <c r="AH18584" i="14"/>
  <c r="E18584" i="14"/>
  <c r="AH18583" i="14"/>
  <c r="E18583" i="14"/>
  <c r="AH18582" i="14"/>
  <c r="E18582" i="14"/>
  <c r="AH18581" i="14"/>
  <c r="E18581" i="14"/>
  <c r="AH18580" i="14"/>
  <c r="E18580" i="14"/>
  <c r="AH18579" i="14"/>
  <c r="E18579" i="14"/>
  <c r="AH18578" i="14"/>
  <c r="E18578" i="14"/>
  <c r="AH18577" i="14"/>
  <c r="E18577" i="14"/>
  <c r="AH18576" i="14"/>
  <c r="E18576" i="14"/>
  <c r="AH18575" i="14"/>
  <c r="E18575" i="14"/>
  <c r="AH18574" i="14"/>
  <c r="Q18574" i="14"/>
  <c r="E18574" i="14"/>
  <c r="AH18573" i="14"/>
  <c r="E18573" i="14"/>
  <c r="AH18572" i="14"/>
  <c r="E18572" i="14"/>
  <c r="AH18571" i="14"/>
  <c r="E18571" i="14"/>
  <c r="AH18570" i="14"/>
  <c r="E18570" i="14"/>
  <c r="AH18569" i="14"/>
  <c r="E18569" i="14"/>
  <c r="AH18568" i="14"/>
  <c r="Q18568" i="14"/>
  <c r="E18568" i="14"/>
  <c r="AH18567" i="14"/>
  <c r="E18567" i="14"/>
  <c r="AH18566" i="14"/>
  <c r="E18566" i="14"/>
  <c r="AH18565" i="14"/>
  <c r="E18565" i="14"/>
  <c r="AH18564" i="14"/>
  <c r="E18564" i="14"/>
  <c r="AH18563" i="14"/>
  <c r="E18563" i="14"/>
  <c r="AH18562" i="14"/>
  <c r="E18562" i="14"/>
  <c r="AH18561" i="14"/>
  <c r="E18561" i="14"/>
  <c r="AH18560" i="14"/>
  <c r="Q18560" i="14"/>
  <c r="P18560" i="14"/>
  <c r="O18560" i="14"/>
  <c r="E18560" i="14"/>
  <c r="AH18559" i="14"/>
  <c r="E18559" i="14"/>
  <c r="AH18558" i="14"/>
  <c r="Q18558" i="14"/>
  <c r="P18558" i="14"/>
  <c r="O18558" i="14"/>
  <c r="E18558" i="14"/>
  <c r="AH18557" i="14"/>
  <c r="E18557" i="14"/>
  <c r="AH18556" i="14"/>
  <c r="E18556" i="14"/>
  <c r="AH18555" i="14"/>
  <c r="E18555" i="14"/>
  <c r="AH18554" i="14"/>
  <c r="E18554" i="14"/>
  <c r="AH18553" i="14"/>
  <c r="E18553" i="14"/>
  <c r="AH18552" i="14"/>
  <c r="P18552" i="14"/>
  <c r="O18552" i="14"/>
  <c r="E18552" i="14"/>
  <c r="AH18551" i="14"/>
  <c r="E18551" i="14"/>
  <c r="AH18550" i="14"/>
  <c r="E18550" i="14"/>
  <c r="AH18549" i="14"/>
  <c r="E18549" i="14"/>
  <c r="AH18548" i="14"/>
  <c r="E18548" i="14"/>
  <c r="AH18547" i="14"/>
  <c r="E18547" i="14"/>
  <c r="AH18546" i="14"/>
  <c r="E18546" i="14"/>
  <c r="AH18545" i="14"/>
  <c r="E18545" i="14"/>
  <c r="AH18544" i="14"/>
  <c r="E18544" i="14"/>
  <c r="AH18543" i="14"/>
  <c r="E18543" i="14"/>
  <c r="AH18542" i="14"/>
  <c r="E18542" i="14"/>
  <c r="AH18541" i="14"/>
  <c r="E18541" i="14"/>
  <c r="AH18540" i="14"/>
  <c r="E18540" i="14"/>
  <c r="AH18539" i="14"/>
  <c r="E18539" i="14"/>
  <c r="AH18538" i="14"/>
  <c r="L18538" i="14"/>
  <c r="E18538" i="14"/>
  <c r="AH18537" i="14"/>
  <c r="E18537" i="14"/>
  <c r="AH18536" i="14"/>
  <c r="E18536" i="14"/>
  <c r="AH18535" i="14"/>
  <c r="E18535" i="14"/>
  <c r="AH18534" i="14"/>
  <c r="E18534" i="14"/>
  <c r="AH18533" i="14"/>
  <c r="E18533" i="14"/>
  <c r="AH18532" i="14"/>
  <c r="E18532" i="14"/>
  <c r="AH18531" i="14"/>
  <c r="E18531" i="14"/>
  <c r="AH18530" i="14"/>
  <c r="E18530" i="14"/>
  <c r="AH18529" i="14"/>
  <c r="E18529" i="14"/>
  <c r="AH18528" i="14"/>
  <c r="E18528" i="14"/>
  <c r="AH18527" i="14"/>
  <c r="E18527" i="14"/>
  <c r="AH18526" i="14"/>
  <c r="E18526" i="14"/>
  <c r="AH18525" i="14"/>
  <c r="E18525" i="14"/>
  <c r="AH18524" i="14"/>
  <c r="E18524" i="14"/>
  <c r="AH18523" i="14"/>
  <c r="E18523" i="14"/>
  <c r="AH18522" i="14"/>
  <c r="E18522" i="14"/>
  <c r="AH18521" i="14"/>
  <c r="E18521" i="14"/>
  <c r="AH18520" i="14"/>
  <c r="E18520" i="14"/>
  <c r="AH18519" i="14"/>
  <c r="E18519" i="14"/>
  <c r="AH18518" i="14"/>
  <c r="E18518" i="14"/>
  <c r="AH18517" i="14"/>
  <c r="E18517" i="14"/>
  <c r="AH18516" i="14"/>
  <c r="E18516" i="14"/>
  <c r="AL18515" i="14"/>
  <c r="AH18515" i="14"/>
  <c r="T18515" i="14"/>
  <c r="Q18515" i="14"/>
  <c r="O18515" i="14"/>
  <c r="E18515" i="14"/>
  <c r="AH18514" i="14"/>
  <c r="E18514" i="14"/>
  <c r="AH18513" i="14"/>
  <c r="E18513" i="14"/>
  <c r="AH18512" i="14"/>
  <c r="E18512" i="14"/>
  <c r="AH18511" i="14"/>
  <c r="E18511" i="14"/>
  <c r="AH18510" i="14"/>
  <c r="E18510" i="14"/>
  <c r="AH18509" i="14"/>
  <c r="E18509" i="14"/>
  <c r="AH18508" i="14"/>
  <c r="E18508" i="14"/>
  <c r="AH18507" i="14"/>
  <c r="E18507" i="14"/>
  <c r="AH18506" i="14"/>
  <c r="E18506" i="14"/>
  <c r="AH18505" i="14"/>
  <c r="E18505" i="14"/>
  <c r="AH18504" i="14"/>
  <c r="E18504" i="14"/>
  <c r="AH18503" i="14"/>
  <c r="E18503" i="14"/>
  <c r="AH18502" i="14"/>
  <c r="E18502" i="14"/>
  <c r="AH18501" i="14"/>
  <c r="E18501" i="14"/>
  <c r="AH18500" i="14"/>
  <c r="E18500" i="14"/>
  <c r="AH18499" i="14"/>
  <c r="E18499" i="14"/>
  <c r="AH18498" i="14"/>
  <c r="E18498" i="14"/>
  <c r="AH18497" i="14"/>
  <c r="E18497" i="14"/>
  <c r="AH18496" i="14"/>
  <c r="E18496" i="14"/>
  <c r="AH18495" i="14"/>
  <c r="E18495" i="14"/>
  <c r="AH18494" i="14"/>
  <c r="P18494" i="14"/>
  <c r="E18494" i="14"/>
  <c r="AH18493" i="14"/>
  <c r="P18493" i="14"/>
  <c r="E18493" i="14"/>
  <c r="AH18492" i="14"/>
  <c r="P18492" i="14"/>
  <c r="E18492" i="14"/>
  <c r="AH18491" i="14"/>
  <c r="P18491" i="14"/>
  <c r="E18491" i="14"/>
  <c r="AH18490" i="14"/>
  <c r="E18490" i="14"/>
  <c r="AH18489" i="14"/>
  <c r="Q18489" i="14"/>
  <c r="E18489" i="14"/>
  <c r="AH18488" i="14"/>
  <c r="E18488" i="14"/>
  <c r="AH18487" i="14"/>
  <c r="E18487" i="14"/>
  <c r="AH18486" i="14"/>
  <c r="E18486" i="14"/>
  <c r="AH18485" i="14"/>
  <c r="E18485" i="14"/>
  <c r="AH18484" i="14"/>
  <c r="E18484" i="14"/>
  <c r="AH18483" i="14"/>
  <c r="E18483" i="14"/>
  <c r="AH18482" i="14"/>
  <c r="E18482" i="14"/>
  <c r="AH18481" i="14"/>
  <c r="P18481" i="14"/>
  <c r="O18481" i="14"/>
  <c r="E18481" i="14"/>
  <c r="AH18480" i="14"/>
  <c r="Q18480" i="14"/>
  <c r="O18480" i="14"/>
  <c r="E18480" i="14"/>
  <c r="AH18479" i="14"/>
  <c r="Q18479" i="14"/>
  <c r="P18479" i="14"/>
  <c r="O18479" i="14"/>
  <c r="E18479" i="14"/>
  <c r="AH18478" i="14"/>
  <c r="E18478" i="14"/>
  <c r="AH18477" i="14"/>
  <c r="E18477" i="14"/>
  <c r="AH18476" i="14"/>
  <c r="E18476" i="14"/>
  <c r="AH18475" i="14"/>
  <c r="E18475" i="14"/>
  <c r="AH18474" i="14"/>
  <c r="E18474" i="14"/>
  <c r="AH18473" i="14"/>
  <c r="E18473" i="14"/>
  <c r="AH18472" i="14"/>
  <c r="E18472" i="14"/>
  <c r="AH18471" i="14"/>
  <c r="E18471" i="14"/>
  <c r="AH18470" i="14"/>
  <c r="E18470" i="14"/>
  <c r="AH18469" i="14"/>
  <c r="L18469" i="14"/>
  <c r="E18469" i="14"/>
  <c r="AH18468" i="14"/>
  <c r="E18468" i="14"/>
  <c r="AH18467" i="14"/>
  <c r="E18467" i="14"/>
  <c r="AH18466" i="14"/>
  <c r="E18466" i="14"/>
  <c r="AH18465" i="14"/>
  <c r="E18465" i="14"/>
  <c r="AH18464" i="14"/>
  <c r="E18464" i="14"/>
  <c r="AH18463" i="14"/>
  <c r="P18463" i="14"/>
  <c r="E18463" i="14"/>
  <c r="AH18462" i="14"/>
  <c r="E18462" i="14"/>
  <c r="AH18461" i="14"/>
  <c r="E18461" i="14"/>
  <c r="AH18460" i="14"/>
  <c r="E18460" i="14"/>
  <c r="AH18459" i="14"/>
  <c r="AE18459" i="14"/>
  <c r="W18459" i="14"/>
  <c r="V18459" i="14"/>
  <c r="P18459" i="14"/>
  <c r="E18459" i="14"/>
  <c r="AH18458" i="14"/>
  <c r="E18458" i="14"/>
  <c r="AH18457" i="14"/>
  <c r="E18457" i="14"/>
  <c r="AH18456" i="14"/>
  <c r="V18456" i="14"/>
  <c r="P18456" i="14"/>
  <c r="E18456" i="14"/>
  <c r="AH18455" i="14"/>
  <c r="E18455" i="14"/>
  <c r="AH18454" i="14"/>
  <c r="E18454" i="14"/>
  <c r="AH18453" i="14"/>
  <c r="E18453" i="14"/>
  <c r="AH18452" i="14"/>
  <c r="V18452" i="14"/>
  <c r="P18452" i="14"/>
  <c r="E18452" i="14"/>
  <c r="AH18451" i="14"/>
  <c r="E18451" i="14"/>
  <c r="AH18450" i="14"/>
  <c r="Q18450" i="14"/>
  <c r="E18450" i="14"/>
  <c r="AH18449" i="14"/>
  <c r="E18449" i="14"/>
  <c r="AH18448" i="14"/>
  <c r="E18448" i="14"/>
  <c r="AH18447" i="14"/>
  <c r="E18447" i="14"/>
  <c r="AH18446" i="14"/>
  <c r="E18446" i="14"/>
  <c r="AH18445" i="14"/>
  <c r="Q18445" i="14"/>
  <c r="E18445" i="14"/>
  <c r="AH18444" i="14"/>
  <c r="Q18444" i="14"/>
  <c r="E18444" i="14"/>
  <c r="AH18443" i="14"/>
  <c r="E18443" i="14"/>
  <c r="AH18442" i="14"/>
  <c r="E18442" i="14"/>
  <c r="AH18441" i="14"/>
  <c r="E18441" i="14"/>
  <c r="AH18440" i="14"/>
  <c r="E18440" i="14"/>
  <c r="AH18439" i="14"/>
  <c r="E18439" i="14"/>
  <c r="AH18438" i="14"/>
  <c r="E18438" i="14"/>
  <c r="AH18437" i="14"/>
  <c r="E18437" i="14"/>
  <c r="AH18436" i="14"/>
  <c r="E18436" i="14"/>
  <c r="AH18435" i="14"/>
  <c r="E18435" i="14"/>
  <c r="AH18434" i="14"/>
  <c r="E18434" i="14"/>
  <c r="AH18433" i="14"/>
  <c r="E18433" i="14"/>
  <c r="AH18432" i="14"/>
  <c r="E18432" i="14"/>
  <c r="AH18431" i="14"/>
  <c r="E18431" i="14"/>
  <c r="AH18430" i="14"/>
  <c r="E18430" i="14"/>
  <c r="AH18429" i="14"/>
  <c r="L18429" i="14"/>
  <c r="K18429" i="14"/>
  <c r="I18429" i="14"/>
  <c r="E18429" i="14"/>
  <c r="AH18428" i="14"/>
  <c r="E18428" i="14"/>
  <c r="AH18427" i="14"/>
  <c r="E18427" i="14"/>
  <c r="AH18426" i="14"/>
  <c r="E18426" i="14"/>
  <c r="AH18425" i="14"/>
  <c r="E18425" i="14"/>
  <c r="AH18424" i="14"/>
  <c r="P18424" i="14"/>
  <c r="E18424" i="14"/>
  <c r="AH18423" i="14"/>
  <c r="E18423" i="14"/>
  <c r="AH18422" i="14"/>
  <c r="E18422" i="14"/>
  <c r="AH18421" i="14"/>
  <c r="E18421" i="14"/>
  <c r="AH18420" i="14"/>
  <c r="Q18420" i="14"/>
  <c r="E18420" i="14"/>
  <c r="AH18419" i="14"/>
  <c r="E18419" i="14"/>
  <c r="AH18418" i="14"/>
  <c r="E18418" i="14"/>
  <c r="AH18417" i="14"/>
  <c r="E18417" i="14"/>
  <c r="AH18416" i="14"/>
  <c r="E18416" i="14"/>
  <c r="AH18415" i="14"/>
  <c r="E18415" i="14"/>
  <c r="AH18414" i="14"/>
  <c r="E18414" i="14"/>
  <c r="AH18413" i="14"/>
  <c r="E18413" i="14"/>
  <c r="AH18412" i="14"/>
  <c r="E18412" i="14"/>
  <c r="AH18411" i="14"/>
  <c r="Q18411" i="14"/>
  <c r="E18411" i="14"/>
  <c r="AH18410" i="14"/>
  <c r="E18410" i="14"/>
  <c r="AH18409" i="14"/>
  <c r="E18409" i="14"/>
  <c r="AH18408" i="14"/>
  <c r="E18408" i="14"/>
  <c r="AH18407" i="14"/>
  <c r="E18407" i="14"/>
  <c r="AH18406" i="14"/>
  <c r="E18406" i="14"/>
  <c r="AH18405" i="14"/>
  <c r="V18405" i="14"/>
  <c r="U18405" i="14"/>
  <c r="T18405" i="14"/>
  <c r="Q18405" i="14"/>
  <c r="P18405" i="14"/>
  <c r="E18405" i="14"/>
  <c r="AH18404" i="14"/>
  <c r="E18404" i="14"/>
  <c r="AH18403" i="14"/>
  <c r="E18403" i="14"/>
  <c r="AH18402" i="14"/>
  <c r="E18402" i="14"/>
  <c r="AH18401" i="14"/>
  <c r="E18401" i="14"/>
  <c r="AH18400" i="14"/>
  <c r="E18400" i="14"/>
  <c r="AH18399" i="14"/>
  <c r="E18399" i="14"/>
  <c r="AH18398" i="14"/>
  <c r="E18398" i="14"/>
  <c r="AH18397" i="14"/>
  <c r="E18397" i="14"/>
  <c r="AH18396" i="14"/>
  <c r="E18396" i="14"/>
  <c r="AH18395" i="14"/>
  <c r="E18395" i="14"/>
  <c r="AH18394" i="14"/>
  <c r="E18394" i="14"/>
  <c r="AH18393" i="14"/>
  <c r="E18393" i="14"/>
  <c r="AH18392" i="14"/>
  <c r="E18392" i="14"/>
  <c r="AH18391" i="14"/>
  <c r="E18391" i="14"/>
  <c r="AH18390" i="14"/>
  <c r="E18390" i="14"/>
  <c r="AH18389" i="14"/>
  <c r="E18389" i="14"/>
  <c r="AH18388" i="14"/>
  <c r="E18388" i="14"/>
  <c r="AH18387" i="14"/>
  <c r="E18387" i="14"/>
  <c r="AH18386" i="14"/>
  <c r="E18386" i="14"/>
  <c r="AH18385" i="14"/>
  <c r="E18385" i="14"/>
  <c r="AH18384" i="14"/>
  <c r="E18384" i="14"/>
  <c r="AH18383" i="14"/>
  <c r="E18383" i="14"/>
  <c r="AH18382" i="14"/>
  <c r="E18382" i="14"/>
  <c r="AH18381" i="14"/>
  <c r="E18381" i="14"/>
  <c r="AH18380" i="14"/>
  <c r="E18380" i="14"/>
  <c r="AH18379" i="14"/>
  <c r="E18379" i="14"/>
  <c r="AH18378" i="14"/>
  <c r="E18378" i="14"/>
  <c r="AH18377" i="14"/>
  <c r="E18377" i="14"/>
  <c r="AH18376" i="14"/>
  <c r="E18376" i="14"/>
  <c r="AH18375" i="14"/>
  <c r="P18375" i="14"/>
  <c r="E18375" i="14"/>
  <c r="AH18374" i="14"/>
  <c r="P18374" i="14"/>
  <c r="E18374" i="14"/>
  <c r="AH18373" i="14"/>
  <c r="P18373" i="14"/>
  <c r="E18373" i="14"/>
  <c r="AH18372" i="14"/>
  <c r="E18372" i="14"/>
  <c r="AH18371" i="14"/>
  <c r="E18371" i="14"/>
  <c r="AH18370" i="14"/>
  <c r="E18370" i="14"/>
  <c r="AH18369" i="14"/>
  <c r="P18369" i="14"/>
  <c r="E18369" i="14"/>
  <c r="AH18368" i="14"/>
  <c r="P18368" i="14"/>
  <c r="E18368" i="14"/>
  <c r="AH18367" i="14"/>
  <c r="P18367" i="14"/>
  <c r="E18367" i="14"/>
  <c r="AH18366" i="14"/>
  <c r="P18366" i="14"/>
  <c r="E18366" i="14"/>
  <c r="AH18365" i="14"/>
  <c r="E18365" i="14"/>
  <c r="AH18364" i="14"/>
  <c r="P18364" i="14"/>
  <c r="E18364" i="14"/>
  <c r="AH18363" i="14"/>
  <c r="P18363" i="14"/>
  <c r="E18363" i="14"/>
  <c r="AH18362" i="14"/>
  <c r="P18362" i="14"/>
  <c r="E18362" i="14"/>
  <c r="AH18361" i="14"/>
  <c r="E18361" i="14"/>
  <c r="AH18360" i="14"/>
  <c r="E18360" i="14"/>
  <c r="AH18359" i="14"/>
  <c r="E18359" i="14"/>
  <c r="AH18358" i="14"/>
  <c r="E18358" i="14"/>
  <c r="AH18357" i="14"/>
  <c r="E18357" i="14"/>
  <c r="AH18356" i="14"/>
  <c r="E18356" i="14"/>
  <c r="AH18355" i="14"/>
  <c r="E18355" i="14"/>
  <c r="AH18354" i="14"/>
  <c r="E18354" i="14"/>
  <c r="AH18353" i="14"/>
  <c r="E18353" i="14"/>
  <c r="AH18352" i="14"/>
  <c r="E18352" i="14"/>
  <c r="AH18351" i="14"/>
  <c r="E18351" i="14"/>
  <c r="AH18350" i="14"/>
  <c r="Q18350" i="14"/>
  <c r="P18350" i="14"/>
  <c r="O18350" i="14"/>
  <c r="E18350" i="14"/>
  <c r="AH18349" i="14"/>
  <c r="E18349" i="14"/>
  <c r="AH18348" i="14"/>
  <c r="E18348" i="14"/>
  <c r="AH18347" i="14"/>
  <c r="E18347" i="14"/>
  <c r="AH18346" i="14"/>
  <c r="E18346" i="14"/>
  <c r="AH18345" i="14"/>
  <c r="P18345" i="14"/>
  <c r="E18345" i="14"/>
  <c r="AH18344" i="14"/>
  <c r="P18344" i="14"/>
  <c r="E18344" i="14"/>
  <c r="AH18343" i="14"/>
  <c r="E18343" i="14"/>
  <c r="AH18342" i="14"/>
  <c r="Q18342" i="14"/>
  <c r="E18342" i="14"/>
  <c r="AH18341" i="14"/>
  <c r="Q18341" i="14"/>
  <c r="E18341" i="14"/>
  <c r="AH18340" i="14"/>
  <c r="Q18340" i="14"/>
  <c r="E18340" i="14"/>
  <c r="AH18339" i="14"/>
  <c r="Q18339" i="14"/>
  <c r="E18339" i="14"/>
  <c r="AH18338" i="14"/>
  <c r="Q18338" i="14"/>
  <c r="E18338" i="14"/>
  <c r="AH18337" i="14"/>
  <c r="Q18337" i="14"/>
  <c r="E18337" i="14"/>
  <c r="AH18336" i="14"/>
  <c r="Q18336" i="14"/>
  <c r="E18336" i="14"/>
  <c r="AH18335" i="14"/>
  <c r="Q18335" i="14"/>
  <c r="E18335" i="14"/>
  <c r="AH18334" i="14"/>
  <c r="Q18334" i="14"/>
  <c r="E18334" i="14"/>
  <c r="AH18333" i="14"/>
  <c r="Q18333" i="14"/>
  <c r="E18333" i="14"/>
  <c r="AH18332" i="14"/>
  <c r="Q18332" i="14"/>
  <c r="E18332" i="14"/>
  <c r="AH18331" i="14"/>
  <c r="Q18331" i="14"/>
  <c r="E18331" i="14"/>
  <c r="AH18330" i="14"/>
  <c r="E18330" i="14"/>
  <c r="AH18329" i="14"/>
  <c r="E18329" i="14"/>
  <c r="AH18328" i="14"/>
  <c r="Q18328" i="14"/>
  <c r="E18328" i="14"/>
  <c r="AH18327" i="14"/>
  <c r="Q18327" i="14"/>
  <c r="E18327" i="14"/>
  <c r="AH18326" i="14"/>
  <c r="E18326" i="14"/>
  <c r="AH18325" i="14"/>
  <c r="E18325" i="14"/>
  <c r="AH18324" i="14"/>
  <c r="E18324" i="14"/>
  <c r="AH18323" i="14"/>
  <c r="E18323" i="14"/>
  <c r="AH18322" i="14"/>
  <c r="E18322" i="14"/>
  <c r="AH18321" i="14"/>
  <c r="E18321" i="14"/>
  <c r="AH18320" i="14"/>
  <c r="E18320" i="14"/>
  <c r="AH18319" i="14"/>
  <c r="E18319" i="14"/>
  <c r="AH18318" i="14"/>
  <c r="E18318" i="14"/>
  <c r="AH18317" i="14"/>
  <c r="E18317" i="14"/>
  <c r="AH18316" i="14"/>
  <c r="E18316" i="14"/>
  <c r="AH18315" i="14"/>
  <c r="E18315" i="14"/>
  <c r="AH18314" i="14"/>
  <c r="E18314" i="14"/>
  <c r="AH18313" i="14"/>
  <c r="E18313" i="14"/>
  <c r="AH18312" i="14"/>
  <c r="E18312" i="14"/>
  <c r="AH18311" i="14"/>
  <c r="E18311" i="14"/>
  <c r="AH18310" i="14"/>
  <c r="E18310" i="14"/>
  <c r="AH18309" i="14"/>
  <c r="E18309" i="14"/>
  <c r="AH18308" i="14"/>
  <c r="E18308" i="14"/>
  <c r="AH18307" i="14"/>
  <c r="E18307" i="14"/>
  <c r="AH18306" i="14"/>
  <c r="E18306" i="14"/>
  <c r="AH18305" i="14"/>
  <c r="E18305" i="14"/>
  <c r="AH18304" i="14"/>
  <c r="P18304" i="14"/>
  <c r="E18304" i="14"/>
  <c r="AH18303" i="14"/>
  <c r="E18303" i="14"/>
  <c r="AH18302" i="14"/>
  <c r="E18302" i="14"/>
  <c r="AH18301" i="14"/>
  <c r="E18301" i="14"/>
  <c r="AH18300" i="14"/>
  <c r="E18300" i="14"/>
  <c r="AH18299" i="14"/>
  <c r="E18299" i="14"/>
  <c r="AH18298" i="14"/>
  <c r="E18298" i="14"/>
  <c r="AH18297" i="14"/>
  <c r="E18297" i="14"/>
  <c r="AH18296" i="14"/>
  <c r="E18296" i="14"/>
  <c r="AH18295" i="14"/>
  <c r="E18295" i="14"/>
  <c r="AH18294" i="14"/>
  <c r="E18294" i="14"/>
  <c r="AH18293" i="14"/>
  <c r="E18293" i="14"/>
  <c r="AH18292" i="14"/>
  <c r="E18292" i="14"/>
  <c r="AH18291" i="14"/>
  <c r="E18291" i="14"/>
  <c r="AH18290" i="14"/>
  <c r="E18290" i="14"/>
  <c r="AH18289" i="14"/>
  <c r="E18289" i="14"/>
  <c r="AH18288" i="14"/>
  <c r="E18288" i="14"/>
  <c r="AH18287" i="14"/>
  <c r="E18287" i="14"/>
  <c r="AH18286" i="14"/>
  <c r="E18286" i="14"/>
  <c r="AH18285" i="14"/>
  <c r="E18285" i="14"/>
  <c r="AH18284" i="14"/>
  <c r="E18284" i="14"/>
  <c r="AH18283" i="14"/>
  <c r="E18283" i="14"/>
  <c r="AH18282" i="14"/>
  <c r="E18282" i="14"/>
  <c r="AH18281" i="14"/>
  <c r="E18281" i="14"/>
  <c r="AH18280" i="14"/>
  <c r="E18280" i="14"/>
  <c r="AH18279" i="14"/>
  <c r="E18279" i="14"/>
  <c r="AH18278" i="14"/>
  <c r="E18278" i="14"/>
  <c r="AH18277" i="14"/>
  <c r="E18277" i="14"/>
  <c r="AH18276" i="14"/>
  <c r="E18276" i="14"/>
  <c r="AH18275" i="14"/>
  <c r="P18275" i="14"/>
  <c r="E18275" i="14"/>
  <c r="AH18274" i="14"/>
  <c r="P18274" i="14"/>
  <c r="O18274" i="14"/>
  <c r="E18274" i="14"/>
  <c r="AH18273" i="14"/>
  <c r="P18273" i="14"/>
  <c r="E18273" i="14"/>
  <c r="AH18272" i="14"/>
  <c r="E18272" i="14"/>
  <c r="AH18271" i="14"/>
  <c r="P18271" i="14"/>
  <c r="E18271" i="14"/>
  <c r="AH18270" i="14"/>
  <c r="E18270" i="14"/>
  <c r="AH18269" i="14"/>
  <c r="E18269" i="14"/>
  <c r="AH18268" i="14"/>
  <c r="E18268" i="14"/>
  <c r="AH18267" i="14"/>
  <c r="E18267" i="14"/>
  <c r="AH18266" i="14"/>
  <c r="E18266" i="14"/>
  <c r="AH18265" i="14"/>
  <c r="E18265" i="14"/>
  <c r="AH18264" i="14"/>
  <c r="E18264" i="14"/>
  <c r="AH18263" i="14"/>
  <c r="E18263" i="14"/>
  <c r="AH18262" i="14"/>
  <c r="E18262" i="14"/>
  <c r="AH18261" i="14"/>
  <c r="E18261" i="14"/>
  <c r="AH18260" i="14"/>
  <c r="E18260" i="14"/>
  <c r="AH18259" i="14"/>
  <c r="E18259" i="14"/>
  <c r="AH18258" i="14"/>
  <c r="E18258" i="14"/>
  <c r="AH18257" i="14"/>
  <c r="E18257" i="14"/>
  <c r="AH18256" i="14"/>
  <c r="E18256" i="14"/>
  <c r="AH18255" i="14"/>
  <c r="E18255" i="14"/>
  <c r="AH18254" i="14"/>
  <c r="E18254" i="14"/>
  <c r="AH18253" i="14"/>
  <c r="E18253" i="14"/>
  <c r="AH18252" i="14"/>
  <c r="E18252" i="14"/>
  <c r="AH18251" i="14"/>
  <c r="E18251" i="14"/>
  <c r="AH18250" i="14"/>
  <c r="E18250" i="14"/>
  <c r="AH18249" i="14"/>
  <c r="E18249" i="14"/>
  <c r="AH18248" i="14"/>
  <c r="E18248" i="14"/>
  <c r="AH18247" i="14"/>
  <c r="E18247" i="14"/>
  <c r="AH18246" i="14"/>
  <c r="E18246" i="14"/>
  <c r="AH18245" i="14"/>
  <c r="E18245" i="14"/>
  <c r="AH18244" i="14"/>
  <c r="E18244" i="14"/>
  <c r="AH18243" i="14"/>
  <c r="E18243" i="14"/>
  <c r="AH18242" i="14"/>
  <c r="E18242" i="14"/>
  <c r="AH18241" i="14"/>
  <c r="E18241" i="14"/>
  <c r="AH18240" i="14"/>
  <c r="E18240" i="14"/>
  <c r="AH18239" i="14"/>
  <c r="E18239" i="14"/>
  <c r="AH18238" i="14"/>
  <c r="E18238" i="14"/>
  <c r="AH18237" i="14"/>
  <c r="E18237" i="14"/>
  <c r="AH18236" i="14"/>
  <c r="E18236" i="14"/>
  <c r="AH18235" i="14"/>
  <c r="E18235" i="14"/>
  <c r="AH18234" i="14"/>
  <c r="E18234" i="14"/>
  <c r="AH18233" i="14"/>
  <c r="E18233" i="14"/>
  <c r="AH18232" i="14"/>
  <c r="E18232" i="14"/>
  <c r="AH18231" i="14"/>
  <c r="E18231" i="14"/>
  <c r="AH18230" i="14"/>
  <c r="E18230" i="14"/>
  <c r="AH18229" i="14"/>
  <c r="E18229" i="14"/>
  <c r="AH18228" i="14"/>
  <c r="E18228" i="14"/>
  <c r="AH18227" i="14"/>
  <c r="E18227" i="14"/>
  <c r="AH18226" i="14"/>
  <c r="E18226" i="14"/>
  <c r="AH18225" i="14"/>
  <c r="AE18225" i="14"/>
  <c r="P18225" i="14"/>
  <c r="E18225" i="14"/>
  <c r="AH18224" i="14"/>
  <c r="E18224" i="14"/>
  <c r="AH18223" i="14"/>
  <c r="E18223" i="14"/>
  <c r="AH18222" i="14"/>
  <c r="E18222" i="14"/>
  <c r="AH18221" i="14"/>
  <c r="E18221" i="14"/>
  <c r="AH18220" i="14"/>
  <c r="E18220" i="14"/>
  <c r="AH18219" i="14"/>
  <c r="E18219" i="14"/>
  <c r="AH18218" i="14"/>
  <c r="E18218" i="14"/>
  <c r="AH18217" i="14"/>
  <c r="E18217" i="14"/>
  <c r="AH18216" i="14"/>
  <c r="E18216" i="14"/>
  <c r="AH18215" i="14"/>
  <c r="E18215" i="14"/>
  <c r="AH18214" i="14"/>
  <c r="E18214" i="14"/>
  <c r="AH18213" i="14"/>
  <c r="E18213" i="14"/>
  <c r="AH18212" i="14"/>
  <c r="E18212" i="14"/>
  <c r="AH18211" i="14"/>
  <c r="E18211" i="14"/>
  <c r="AH18210" i="14"/>
  <c r="E18210" i="14"/>
  <c r="AH18209" i="14"/>
  <c r="E18209" i="14"/>
  <c r="AH18208" i="14"/>
  <c r="E18208" i="14"/>
  <c r="AH18207" i="14"/>
  <c r="E18207" i="14"/>
  <c r="AH18206" i="14"/>
  <c r="E18206" i="14"/>
  <c r="AH18205" i="14"/>
  <c r="E18205" i="14"/>
  <c r="AH18204" i="14"/>
  <c r="E18204" i="14"/>
  <c r="AH18203" i="14"/>
  <c r="E18203" i="14"/>
  <c r="AH18202" i="14"/>
  <c r="E18202" i="14"/>
  <c r="AH18201" i="14"/>
  <c r="E18201" i="14"/>
  <c r="AH18200" i="14"/>
  <c r="E18200" i="14"/>
  <c r="AH18199" i="14"/>
  <c r="E18199" i="14"/>
  <c r="AH18198" i="14"/>
  <c r="E18198" i="14"/>
  <c r="AH18197" i="14"/>
  <c r="E18197" i="14"/>
  <c r="AH18196" i="14"/>
  <c r="E18196" i="14"/>
  <c r="AH18195" i="14"/>
  <c r="E18195" i="14"/>
  <c r="AH18194" i="14"/>
  <c r="E18194" i="14"/>
  <c r="AH18193" i="14"/>
  <c r="E18193" i="14"/>
  <c r="AH18192" i="14"/>
  <c r="E18192" i="14"/>
  <c r="AH18191" i="14"/>
  <c r="E18191" i="14"/>
  <c r="AH18190" i="14"/>
  <c r="E18190" i="14"/>
  <c r="AH18189" i="14"/>
  <c r="E18189" i="14"/>
  <c r="AH18188" i="14"/>
  <c r="E18188" i="14"/>
  <c r="AH18187" i="14"/>
  <c r="E18187" i="14"/>
  <c r="AH18186" i="14"/>
  <c r="E18186" i="14"/>
  <c r="AH18185" i="14"/>
  <c r="E18185" i="14"/>
  <c r="AH18184" i="14"/>
  <c r="E18184" i="14"/>
  <c r="AH18183" i="14"/>
  <c r="E18183" i="14"/>
  <c r="AH18182" i="14"/>
  <c r="E18182" i="14"/>
  <c r="AH18181" i="14"/>
  <c r="E18181" i="14"/>
  <c r="AH18180" i="14"/>
  <c r="E18180" i="14"/>
  <c r="AH18179" i="14"/>
  <c r="E18179" i="14"/>
  <c r="AH18178" i="14"/>
  <c r="E18178" i="14"/>
  <c r="AH18177" i="14"/>
  <c r="E18177" i="14"/>
  <c r="AH18176" i="14"/>
  <c r="E18176" i="14"/>
  <c r="AH18175" i="14"/>
  <c r="E18175" i="14"/>
  <c r="AH18174" i="14"/>
  <c r="E18174" i="14"/>
  <c r="AH18173" i="14"/>
  <c r="E18173" i="14"/>
  <c r="AH18172" i="14"/>
  <c r="E18172" i="14"/>
  <c r="AH18171" i="14"/>
  <c r="E18171" i="14"/>
  <c r="AH18170" i="14"/>
  <c r="E18170" i="14"/>
  <c r="AH18169" i="14"/>
  <c r="E18169" i="14"/>
  <c r="AH18168" i="14"/>
  <c r="E18168" i="14"/>
  <c r="AH18167" i="14"/>
  <c r="E18167" i="14"/>
  <c r="AH18166" i="14"/>
  <c r="E18166" i="14"/>
  <c r="AH18165" i="14"/>
  <c r="E18165" i="14"/>
  <c r="AH18164" i="14"/>
  <c r="E18164" i="14"/>
  <c r="AH18163" i="14"/>
  <c r="Q18163" i="14"/>
  <c r="E18163" i="14"/>
  <c r="AH18162" i="14"/>
  <c r="Q18162" i="14"/>
  <c r="E18162" i="14"/>
  <c r="AH18161" i="14"/>
  <c r="E18161" i="14"/>
  <c r="AH18160" i="14"/>
  <c r="E18160" i="14"/>
  <c r="AH18159" i="14"/>
  <c r="E18159" i="14"/>
  <c r="AH18158" i="14"/>
  <c r="E18158" i="14"/>
  <c r="AH18157" i="14"/>
  <c r="E18157" i="14"/>
  <c r="AH18156" i="14"/>
  <c r="E18156" i="14"/>
  <c r="AH18155" i="14"/>
  <c r="E18155" i="14"/>
  <c r="AH18154" i="14"/>
  <c r="E18154" i="14"/>
  <c r="AH18153" i="14"/>
  <c r="E18153" i="14"/>
  <c r="AH18152" i="14"/>
  <c r="E18152" i="14"/>
  <c r="AH18151" i="14"/>
  <c r="E18151" i="14"/>
  <c r="AH18150" i="14"/>
  <c r="E18150" i="14"/>
  <c r="AH18149" i="14"/>
  <c r="E18149" i="14"/>
  <c r="AH18148" i="14"/>
  <c r="E18148" i="14"/>
  <c r="AH18147" i="14"/>
  <c r="E18147" i="14"/>
  <c r="AH18146" i="14"/>
  <c r="E18146" i="14"/>
  <c r="AH18145" i="14"/>
  <c r="E18145" i="14"/>
  <c r="AH18144" i="14"/>
  <c r="E18144" i="14"/>
  <c r="AH18143" i="14"/>
  <c r="E18143" i="14"/>
  <c r="AH18142" i="14"/>
  <c r="E18142" i="14"/>
  <c r="AH18141" i="14"/>
  <c r="E18141" i="14"/>
  <c r="AH18140" i="14"/>
  <c r="E18140" i="14"/>
  <c r="AH18139" i="14"/>
  <c r="E18139" i="14"/>
  <c r="AH18138" i="14"/>
  <c r="E18138" i="14"/>
  <c r="AH18137" i="14"/>
  <c r="E18137" i="14"/>
  <c r="AH18136" i="14"/>
  <c r="E18136" i="14"/>
  <c r="AH18135" i="14"/>
  <c r="E18135" i="14"/>
  <c r="AH18134" i="14"/>
  <c r="E18134" i="14"/>
  <c r="AH18133" i="14"/>
  <c r="E18133" i="14"/>
  <c r="AH18132" i="14"/>
  <c r="E18132" i="14"/>
  <c r="AH18131" i="14"/>
  <c r="E18131" i="14"/>
  <c r="AH18130" i="14"/>
  <c r="E18130" i="14"/>
  <c r="AH18129" i="14"/>
  <c r="E18129" i="14"/>
  <c r="AH18128" i="14"/>
  <c r="E18128" i="14"/>
  <c r="AH18127" i="14"/>
  <c r="E18127" i="14"/>
  <c r="AH18126" i="14"/>
  <c r="E18126" i="14"/>
  <c r="AH18125" i="14"/>
  <c r="E18125" i="14"/>
  <c r="AH18124" i="14"/>
  <c r="E18124" i="14"/>
  <c r="AH18123" i="14"/>
  <c r="E18123" i="14"/>
  <c r="AH18122" i="14"/>
  <c r="E18122" i="14"/>
  <c r="AH18121" i="14"/>
  <c r="E18121" i="14"/>
  <c r="AH18120" i="14"/>
  <c r="E18120" i="14"/>
  <c r="AH18119" i="14"/>
  <c r="E18119" i="14"/>
  <c r="AH18118" i="14"/>
  <c r="E18118" i="14"/>
  <c r="AH18117" i="14"/>
  <c r="E18117" i="14"/>
  <c r="AH18116" i="14"/>
  <c r="E18116" i="14"/>
  <c r="AH18115" i="14"/>
  <c r="E18115" i="14"/>
  <c r="AH18114" i="14"/>
  <c r="E18114" i="14"/>
  <c r="AH18113" i="14"/>
  <c r="E18113" i="14"/>
  <c r="AH18112" i="14"/>
  <c r="E18112" i="14"/>
  <c r="AH18111" i="14"/>
  <c r="E18111" i="14"/>
  <c r="AH18110" i="14"/>
  <c r="E18110" i="14"/>
  <c r="AH18109" i="14"/>
  <c r="E18109" i="14"/>
  <c r="AH18108" i="14"/>
  <c r="E18108" i="14"/>
  <c r="AH18107" i="14"/>
  <c r="E18107" i="14"/>
  <c r="AH18106" i="14"/>
  <c r="E18106" i="14"/>
  <c r="AH18105" i="14"/>
  <c r="E18105" i="14"/>
  <c r="AH18104" i="14"/>
  <c r="E18104" i="14"/>
  <c r="AH18103" i="14"/>
  <c r="E18103" i="14"/>
  <c r="AH18102" i="14"/>
  <c r="E18102" i="14"/>
  <c r="AH18101" i="14"/>
  <c r="E18101" i="14"/>
  <c r="AH18100" i="14"/>
  <c r="E18100" i="14"/>
  <c r="AH18099" i="14"/>
  <c r="E18099" i="14"/>
  <c r="AH18098" i="14"/>
  <c r="E18098" i="14"/>
  <c r="AH18097" i="14"/>
  <c r="E18097" i="14"/>
  <c r="AH18096" i="14"/>
  <c r="E18096" i="14"/>
  <c r="AH18095" i="14"/>
  <c r="E18095" i="14"/>
  <c r="AH18094" i="14"/>
  <c r="E18094" i="14"/>
  <c r="AH18093" i="14"/>
  <c r="E18093" i="14"/>
  <c r="AH18092" i="14"/>
  <c r="E18092" i="14"/>
  <c r="AH18091" i="14"/>
  <c r="E18091" i="14"/>
  <c r="AH18090" i="14"/>
  <c r="E18090" i="14"/>
  <c r="AH18089" i="14"/>
  <c r="E18089" i="14"/>
  <c r="AH18088" i="14"/>
  <c r="E18088" i="14"/>
  <c r="AH18087" i="14"/>
  <c r="E18087" i="14"/>
  <c r="AH18086" i="14"/>
  <c r="E18086" i="14"/>
  <c r="AH18085" i="14"/>
  <c r="E18085" i="14"/>
  <c r="AH18084" i="14"/>
  <c r="E18084" i="14"/>
  <c r="AH18083" i="14"/>
  <c r="E18083" i="14"/>
  <c r="AH18082" i="14"/>
  <c r="E18082" i="14"/>
  <c r="AH18081" i="14"/>
  <c r="E18081" i="14"/>
  <c r="AH18080" i="14"/>
  <c r="E18080" i="14"/>
  <c r="AH18079" i="14"/>
  <c r="E18079" i="14"/>
  <c r="AH18078" i="14"/>
  <c r="E18078" i="14"/>
  <c r="AH18077" i="14"/>
  <c r="E18077" i="14"/>
  <c r="AH18076" i="14"/>
  <c r="E18076" i="14"/>
  <c r="AH18075" i="14"/>
  <c r="E18075" i="14"/>
  <c r="AH18074" i="14"/>
  <c r="E18074" i="14"/>
  <c r="AH18073" i="14"/>
  <c r="E18073" i="14"/>
  <c r="AH18072" i="14"/>
  <c r="E18072" i="14"/>
  <c r="AH18071" i="14"/>
  <c r="E18071" i="14"/>
  <c r="AH18070" i="14"/>
  <c r="E18070" i="14"/>
  <c r="AH18069" i="14"/>
  <c r="P18069" i="14"/>
  <c r="E18069" i="14"/>
  <c r="AH18068" i="14"/>
  <c r="E18068" i="14"/>
  <c r="AH18067" i="14"/>
  <c r="E18067" i="14"/>
  <c r="AH18066" i="14"/>
  <c r="E18066" i="14"/>
  <c r="AH18065" i="14"/>
  <c r="Q18065" i="14"/>
  <c r="P18065" i="14"/>
  <c r="O18065" i="14"/>
  <c r="E18065" i="14"/>
  <c r="AH18064" i="14"/>
  <c r="Q18064" i="14"/>
  <c r="P18064" i="14"/>
  <c r="O18064" i="14"/>
  <c r="E18064" i="14"/>
  <c r="AH18063" i="14"/>
  <c r="E18063" i="14"/>
  <c r="AH18062" i="14"/>
  <c r="E18062" i="14"/>
  <c r="AH18061" i="14"/>
  <c r="E18061" i="14"/>
  <c r="AH18060" i="14"/>
  <c r="E18060" i="14"/>
  <c r="AH18059" i="14"/>
  <c r="E18059" i="14"/>
  <c r="AH18058" i="14"/>
  <c r="E18058" i="14"/>
  <c r="AH18057" i="14"/>
  <c r="E18057" i="14"/>
  <c r="AH18056" i="14"/>
  <c r="E18056" i="14"/>
  <c r="AH18055" i="14"/>
  <c r="E18055" i="14"/>
  <c r="AH18054" i="14"/>
  <c r="E18054" i="14"/>
  <c r="AH18053" i="14"/>
  <c r="E18053" i="14"/>
  <c r="AH18052" i="14"/>
  <c r="E18052" i="14"/>
  <c r="AH18051" i="14"/>
  <c r="E18051" i="14"/>
  <c r="AH18050" i="14"/>
  <c r="E18050" i="14"/>
  <c r="AH18049" i="14"/>
  <c r="E18049" i="14"/>
  <c r="AH18048" i="14"/>
  <c r="E18048" i="14"/>
  <c r="AH18047" i="14"/>
  <c r="E18047" i="14"/>
  <c r="AH18046" i="14"/>
  <c r="E18046" i="14"/>
  <c r="AH18045" i="14"/>
  <c r="E18045" i="14"/>
  <c r="AH18044" i="14"/>
  <c r="E18044" i="14"/>
  <c r="AH18043" i="14"/>
  <c r="E18043" i="14"/>
  <c r="AH18042" i="14"/>
  <c r="E18042" i="14"/>
  <c r="AH18041" i="14"/>
  <c r="E18041" i="14"/>
  <c r="AH18040" i="14"/>
  <c r="E18040" i="14"/>
  <c r="AH18039" i="14"/>
  <c r="E18039" i="14"/>
  <c r="AH18038" i="14"/>
  <c r="E18038" i="14"/>
  <c r="AH18037" i="14"/>
  <c r="E18037" i="14"/>
  <c r="AH18036" i="14"/>
  <c r="E18036" i="14"/>
  <c r="AH18035" i="14"/>
  <c r="E18035" i="14"/>
  <c r="AH18034" i="14"/>
  <c r="E18034" i="14"/>
  <c r="AH18033" i="14"/>
  <c r="E18033" i="14"/>
  <c r="AH18032" i="14"/>
  <c r="E18032" i="14"/>
  <c r="AH18031" i="14"/>
  <c r="E18031" i="14"/>
  <c r="AH18030" i="14"/>
  <c r="E18030" i="14"/>
  <c r="AH18029" i="14"/>
  <c r="E18029" i="14"/>
  <c r="AH18028" i="14"/>
  <c r="E18028" i="14"/>
  <c r="AH18027" i="14"/>
  <c r="E18027" i="14"/>
  <c r="AH18026" i="14"/>
  <c r="E18026" i="14"/>
  <c r="AH18025" i="14"/>
  <c r="E18025" i="14"/>
  <c r="AH18024" i="14"/>
  <c r="E18024" i="14"/>
  <c r="AH18023" i="14"/>
  <c r="E18023" i="14"/>
  <c r="AH18022" i="14"/>
  <c r="E18022" i="14"/>
  <c r="AH18021" i="14"/>
  <c r="E18021" i="14"/>
  <c r="AH18020" i="14"/>
  <c r="P18020" i="14"/>
  <c r="O18020" i="14"/>
  <c r="E18020" i="14"/>
  <c r="AH18019" i="14"/>
  <c r="P18019" i="14"/>
  <c r="E18019" i="14"/>
  <c r="AH18018" i="14"/>
  <c r="Q18018" i="14"/>
  <c r="E18018" i="14"/>
  <c r="AH18017" i="14"/>
  <c r="E18017" i="14"/>
  <c r="AH18016" i="14"/>
  <c r="E18016" i="14"/>
  <c r="AH18015" i="14"/>
  <c r="E18015" i="14"/>
  <c r="AH18014" i="14"/>
  <c r="E18014" i="14"/>
  <c r="AH18013" i="14"/>
  <c r="E18013" i="14"/>
  <c r="AH18012" i="14"/>
  <c r="E18012" i="14"/>
  <c r="AH18011" i="14"/>
  <c r="E18011" i="14"/>
  <c r="AH18010" i="14"/>
  <c r="E18010" i="14"/>
  <c r="AH18009" i="14"/>
  <c r="E18009" i="14"/>
  <c r="AH18008" i="14"/>
  <c r="E18008" i="14"/>
  <c r="AH18007" i="14"/>
  <c r="E18007" i="14"/>
  <c r="AH18006" i="14"/>
  <c r="E18006" i="14"/>
  <c r="AH18005" i="14"/>
  <c r="E18005" i="14"/>
  <c r="AH18004" i="14"/>
  <c r="E18004" i="14"/>
  <c r="AH18003" i="14"/>
  <c r="E18003" i="14"/>
  <c r="AH18002" i="14"/>
  <c r="E18002" i="14"/>
  <c r="AH18001" i="14"/>
  <c r="E18001" i="14"/>
  <c r="AH18000" i="14"/>
  <c r="E18000" i="14"/>
  <c r="AH17999" i="14"/>
  <c r="E17999" i="14"/>
  <c r="AH17998" i="14"/>
  <c r="E17998" i="14"/>
  <c r="AH17997" i="14"/>
  <c r="E17997" i="14"/>
  <c r="AH17996" i="14"/>
  <c r="E17996" i="14"/>
  <c r="AH17995" i="14"/>
  <c r="E17995" i="14"/>
  <c r="AH17994" i="14"/>
  <c r="E17994" i="14"/>
  <c r="AH17993" i="14"/>
  <c r="E17993" i="14"/>
  <c r="AH17992" i="14"/>
  <c r="E17992" i="14"/>
  <c r="AH17991" i="14"/>
  <c r="E17991" i="14"/>
  <c r="AH17990" i="14"/>
  <c r="E17990" i="14"/>
  <c r="AH17989" i="14"/>
  <c r="E17989" i="14"/>
  <c r="AH17988" i="14"/>
  <c r="P17988" i="14"/>
  <c r="O17988" i="14"/>
  <c r="E17988" i="14"/>
  <c r="AH17987" i="14"/>
  <c r="P17987" i="14"/>
  <c r="O17987" i="14"/>
  <c r="E17987" i="14"/>
  <c r="AH17986" i="14"/>
  <c r="E17986" i="14"/>
  <c r="AH17985" i="14"/>
  <c r="E17985" i="14"/>
  <c r="AH17984" i="14"/>
  <c r="E17984" i="14"/>
  <c r="AH17983" i="14"/>
  <c r="E17983" i="14"/>
  <c r="AH17982" i="14"/>
  <c r="E17982" i="14"/>
  <c r="AH17981" i="14"/>
  <c r="E17981" i="14"/>
  <c r="AH17980" i="14"/>
  <c r="E17980" i="14"/>
  <c r="AH17979" i="14"/>
  <c r="P17979" i="14"/>
  <c r="E17979" i="14"/>
  <c r="AH17978" i="14"/>
  <c r="E17978" i="14"/>
  <c r="AH17977" i="14"/>
  <c r="Q17977" i="14"/>
  <c r="E17977" i="14"/>
  <c r="AH17976" i="14"/>
  <c r="Q17976" i="14"/>
  <c r="E17976" i="14"/>
  <c r="AH17975" i="14"/>
  <c r="Q17975" i="14"/>
  <c r="E17975" i="14"/>
  <c r="AH17974" i="14"/>
  <c r="Q17974" i="14"/>
  <c r="E17974" i="14"/>
  <c r="AH17973" i="14"/>
  <c r="Q17973" i="14"/>
  <c r="E17973" i="14"/>
  <c r="AH17972" i="14"/>
  <c r="Q17972" i="14"/>
  <c r="E17972" i="14"/>
  <c r="AH17971" i="14"/>
  <c r="E17971" i="14"/>
  <c r="AH17970" i="14"/>
  <c r="E17970" i="14"/>
  <c r="AH17969" i="14"/>
  <c r="E17969" i="14"/>
  <c r="AH17968" i="14"/>
  <c r="E17968" i="14"/>
  <c r="AH17967" i="14"/>
  <c r="E17967" i="14"/>
  <c r="AH17966" i="14"/>
  <c r="E17966" i="14"/>
  <c r="AH17965" i="14"/>
  <c r="E17965" i="14"/>
  <c r="AH17964" i="14"/>
  <c r="E17964" i="14"/>
  <c r="AH17963" i="14"/>
  <c r="E17963" i="14"/>
  <c r="AH17962" i="14"/>
  <c r="P17962" i="14"/>
  <c r="O17962" i="14"/>
  <c r="E17962" i="14"/>
  <c r="AH17961" i="14"/>
  <c r="P17961" i="14"/>
  <c r="E17961" i="14"/>
  <c r="AH17960" i="14"/>
  <c r="P17960" i="14"/>
  <c r="E17960" i="14"/>
  <c r="AH17959" i="14"/>
  <c r="E17959" i="14"/>
  <c r="AH17958" i="14"/>
  <c r="E17958" i="14"/>
  <c r="AH17957" i="14"/>
  <c r="E17957" i="14"/>
  <c r="AH17956" i="14"/>
  <c r="E17956" i="14"/>
  <c r="AH17955" i="14"/>
  <c r="E17955" i="14"/>
  <c r="AH17954" i="14"/>
  <c r="E17954" i="14"/>
  <c r="AH17953" i="14"/>
  <c r="E17953" i="14"/>
  <c r="AH17952" i="14"/>
  <c r="E17952" i="14"/>
  <c r="AH17951" i="14"/>
  <c r="L17951" i="14"/>
  <c r="E17951" i="14"/>
  <c r="AH17950" i="14"/>
  <c r="E17950" i="14"/>
  <c r="AH17949" i="14"/>
  <c r="E17949" i="14"/>
  <c r="AH17948" i="14"/>
  <c r="E17948" i="14"/>
  <c r="AH17947" i="14"/>
  <c r="E17947" i="14"/>
  <c r="AH17946" i="14"/>
  <c r="E17946" i="14"/>
  <c r="AH17945" i="14"/>
  <c r="E17945" i="14"/>
  <c r="AH17944" i="14"/>
  <c r="E17944" i="14"/>
  <c r="AH17943" i="14"/>
  <c r="E17943" i="14"/>
  <c r="AH17942" i="14"/>
  <c r="E17942" i="14"/>
  <c r="AH17941" i="14"/>
  <c r="E17941" i="14"/>
  <c r="AH17940" i="14"/>
  <c r="E17940" i="14"/>
  <c r="AH17939" i="14"/>
  <c r="E17939" i="14"/>
  <c r="AH17938" i="14"/>
  <c r="E17938" i="14"/>
  <c r="AH17937" i="14"/>
  <c r="Q17937" i="14"/>
  <c r="E17937" i="14"/>
  <c r="AH17936" i="14"/>
  <c r="E17936" i="14"/>
  <c r="O17935" i="14"/>
  <c r="E17935" i="14"/>
  <c r="AH17934" i="14"/>
  <c r="E17934" i="14"/>
  <c r="AH17933" i="14"/>
  <c r="P17933" i="14"/>
  <c r="O17933" i="14"/>
  <c r="E17933" i="14"/>
  <c r="AH17932" i="14"/>
  <c r="E17932" i="14"/>
  <c r="AH17931" i="14"/>
  <c r="E17931" i="14"/>
  <c r="AH17930" i="14"/>
  <c r="E17930" i="14"/>
  <c r="AH17929" i="14"/>
  <c r="E17929" i="14"/>
  <c r="AH17928" i="14"/>
  <c r="E17928" i="14"/>
  <c r="AH17927" i="14"/>
  <c r="E17927" i="14"/>
  <c r="AH17926" i="14"/>
  <c r="E17926" i="14"/>
  <c r="AH17925" i="14"/>
  <c r="E17925" i="14"/>
  <c r="AH17924" i="14"/>
  <c r="E17924" i="14"/>
  <c r="AH17923" i="14"/>
  <c r="E17923" i="14"/>
  <c r="AH17922" i="14"/>
  <c r="E17922" i="14"/>
  <c r="AH17921" i="14"/>
  <c r="E17921" i="14"/>
  <c r="AH17920" i="14"/>
  <c r="E17920" i="14"/>
  <c r="AH17919" i="14"/>
  <c r="E17919" i="14"/>
  <c r="AH17918" i="14"/>
  <c r="E17918" i="14"/>
  <c r="AH17917" i="14"/>
  <c r="P17917" i="14"/>
  <c r="E17917" i="14"/>
  <c r="AH17916" i="14"/>
  <c r="E17916" i="14"/>
  <c r="AH17915" i="14"/>
  <c r="E17915" i="14"/>
  <c r="AH17914" i="14"/>
  <c r="E17914" i="14"/>
  <c r="AH17913" i="14"/>
  <c r="E17913" i="14"/>
  <c r="AH17912" i="14"/>
  <c r="Q17912" i="14"/>
  <c r="O17912" i="14"/>
  <c r="E17912" i="14"/>
  <c r="AH17911" i="14"/>
  <c r="W17911" i="14"/>
  <c r="V17911" i="14"/>
  <c r="P17911" i="14"/>
  <c r="E17911" i="14"/>
  <c r="AH17910" i="14"/>
  <c r="V17910" i="14"/>
  <c r="P17910" i="14"/>
  <c r="E17910" i="14"/>
  <c r="AH17909" i="14"/>
  <c r="P17909" i="14"/>
  <c r="E17909" i="14"/>
  <c r="AH17908" i="14"/>
  <c r="V17908" i="14"/>
  <c r="P17908" i="14"/>
  <c r="O17908" i="14"/>
  <c r="E17908" i="14"/>
  <c r="AH17907" i="14"/>
  <c r="P17907" i="14"/>
  <c r="E17907" i="14"/>
  <c r="AH17906" i="14"/>
  <c r="P17906" i="14"/>
  <c r="E17906" i="14"/>
  <c r="AH17905" i="14"/>
  <c r="V17905" i="14"/>
  <c r="P17905" i="14"/>
  <c r="E17905" i="14"/>
  <c r="AH17904" i="14"/>
  <c r="W17904" i="14"/>
  <c r="V17904" i="14"/>
  <c r="P17904" i="14"/>
  <c r="E17904" i="14"/>
  <c r="AH17903" i="14"/>
  <c r="E17903" i="14"/>
  <c r="AH17902" i="14"/>
  <c r="W17902" i="14"/>
  <c r="V17902" i="14"/>
  <c r="P17902" i="14"/>
  <c r="E17902" i="14"/>
  <c r="AH17901" i="14"/>
  <c r="W17901" i="14"/>
  <c r="V17901" i="14"/>
  <c r="P17901" i="14"/>
  <c r="O17901" i="14"/>
  <c r="E17901" i="14"/>
  <c r="AH17900" i="14"/>
  <c r="V17900" i="14"/>
  <c r="P17900" i="14"/>
  <c r="E17900" i="14"/>
  <c r="AH17899" i="14"/>
  <c r="P17899" i="14"/>
  <c r="E17899" i="14"/>
  <c r="AH17898" i="14"/>
  <c r="P17898" i="14"/>
  <c r="E17898" i="14"/>
  <c r="AH17897" i="14"/>
  <c r="W17897" i="14"/>
  <c r="V17897" i="14"/>
  <c r="P17897" i="14"/>
  <c r="E17897" i="14"/>
  <c r="AH17896" i="14"/>
  <c r="V17896" i="14"/>
  <c r="P17896" i="14"/>
  <c r="O17896" i="14"/>
  <c r="E17896" i="14"/>
  <c r="AH17895" i="14"/>
  <c r="E17895" i="14"/>
  <c r="AH17894" i="14"/>
  <c r="V17894" i="14"/>
  <c r="P17894" i="14"/>
  <c r="E17894" i="14"/>
  <c r="AH17893" i="14"/>
  <c r="V17893" i="14"/>
  <c r="P17893" i="14"/>
  <c r="E17893" i="14"/>
  <c r="AH17892" i="14"/>
  <c r="W17892" i="14"/>
  <c r="V17892" i="14"/>
  <c r="P17892" i="14"/>
  <c r="E17892" i="14"/>
  <c r="AH17891" i="14"/>
  <c r="W17891" i="14"/>
  <c r="V17891" i="14"/>
  <c r="P17891" i="14"/>
  <c r="E17891" i="14"/>
  <c r="AH17890" i="14"/>
  <c r="V17890" i="14"/>
  <c r="P17890" i="14"/>
  <c r="E17890" i="14"/>
  <c r="AH17889" i="14"/>
  <c r="P17889" i="14"/>
  <c r="O17889" i="14"/>
  <c r="E17889" i="14"/>
  <c r="AH17888" i="14"/>
  <c r="W17888" i="14"/>
  <c r="V17888" i="14"/>
  <c r="P17888" i="14"/>
  <c r="E17888" i="14"/>
  <c r="AH17887" i="14"/>
  <c r="P17887" i="14"/>
  <c r="E17887" i="14"/>
  <c r="AH17886" i="14"/>
  <c r="P17886" i="14"/>
  <c r="E17886" i="14"/>
  <c r="AH17885" i="14"/>
  <c r="V17885" i="14"/>
  <c r="P17885" i="14"/>
  <c r="E17885" i="14"/>
  <c r="AH17884" i="14"/>
  <c r="P17884" i="14"/>
  <c r="O17884" i="14"/>
  <c r="E17884" i="14"/>
  <c r="AH17883" i="14"/>
  <c r="V17883" i="14"/>
  <c r="P17883" i="14"/>
  <c r="E17883" i="14"/>
  <c r="AH17882" i="14"/>
  <c r="V17882" i="14"/>
  <c r="P17882" i="14"/>
  <c r="E17882" i="14"/>
  <c r="AH17881" i="14"/>
  <c r="AE17881" i="14"/>
  <c r="P17881" i="14"/>
  <c r="E17881" i="14"/>
  <c r="AH17880" i="14"/>
  <c r="W17880" i="14"/>
  <c r="V17880" i="14"/>
  <c r="P17880" i="14"/>
  <c r="E17880" i="14"/>
  <c r="AH17879" i="14"/>
  <c r="V17879" i="14"/>
  <c r="E17879" i="14"/>
  <c r="AH17878" i="14"/>
  <c r="P17878" i="14"/>
  <c r="E17878" i="14"/>
  <c r="AH17877" i="14"/>
  <c r="P17877" i="14"/>
  <c r="E17877" i="14"/>
  <c r="AH17876" i="14"/>
  <c r="W17876" i="14"/>
  <c r="V17876" i="14"/>
  <c r="P17876" i="14"/>
  <c r="E17876" i="14"/>
  <c r="AH17875" i="14"/>
  <c r="V17875" i="14"/>
  <c r="P17875" i="14"/>
  <c r="E17875" i="14"/>
  <c r="AH17874" i="14"/>
  <c r="V17874" i="14"/>
  <c r="P17874" i="14"/>
  <c r="E17874" i="14"/>
  <c r="AH17873" i="14"/>
  <c r="V17873" i="14"/>
  <c r="P17873" i="14"/>
  <c r="E17873" i="14"/>
  <c r="AH17872" i="14"/>
  <c r="V17872" i="14"/>
  <c r="P17872" i="14"/>
  <c r="E17872" i="14"/>
  <c r="AH17871" i="14"/>
  <c r="V17871" i="14"/>
  <c r="P17871" i="14"/>
  <c r="E17871" i="14"/>
  <c r="AH17870" i="14"/>
  <c r="P17870" i="14"/>
  <c r="E17870" i="14"/>
  <c r="AH17869" i="14"/>
  <c r="E17869" i="14"/>
  <c r="AH17868" i="14"/>
  <c r="E17868" i="14"/>
  <c r="AH17867" i="14"/>
  <c r="E17867" i="14"/>
  <c r="AH17866" i="14"/>
  <c r="E17866" i="14"/>
  <c r="AH17865" i="14"/>
  <c r="E17865" i="14"/>
  <c r="AH17864" i="14"/>
  <c r="E17864" i="14"/>
  <c r="AH17863" i="14"/>
  <c r="E17863" i="14"/>
  <c r="AH17862" i="14"/>
  <c r="E17862" i="14"/>
  <c r="AH17861" i="14"/>
  <c r="E17861" i="14"/>
  <c r="AH17860" i="14"/>
  <c r="E17860" i="14"/>
  <c r="AH17859" i="14"/>
  <c r="P17859" i="14"/>
  <c r="E17859" i="14"/>
  <c r="AH17858" i="14"/>
  <c r="V17858" i="14"/>
  <c r="P17858" i="14"/>
  <c r="E17858" i="14"/>
  <c r="AH17857" i="14"/>
  <c r="P17857" i="14"/>
  <c r="E17857" i="14"/>
  <c r="AH17856" i="14"/>
  <c r="V17856" i="14"/>
  <c r="P17856" i="14"/>
  <c r="E17856" i="14"/>
  <c r="AH17855" i="14"/>
  <c r="V17855" i="14"/>
  <c r="P17855" i="14"/>
  <c r="E17855" i="14"/>
  <c r="AH17854" i="14"/>
  <c r="P17854" i="14"/>
  <c r="E17854" i="14"/>
  <c r="AH17853" i="14"/>
  <c r="V17853" i="14"/>
  <c r="P17853" i="14"/>
  <c r="E17853" i="14"/>
  <c r="AH17852" i="14"/>
  <c r="P17852" i="14"/>
  <c r="E17852" i="14"/>
  <c r="AH17851" i="14"/>
  <c r="V17851" i="14"/>
  <c r="P17851" i="14"/>
  <c r="E17851" i="14"/>
  <c r="AH17850" i="14"/>
  <c r="V17850" i="14"/>
  <c r="P17850" i="14"/>
  <c r="E17850" i="14"/>
  <c r="AH17849" i="14"/>
  <c r="V17849" i="14"/>
  <c r="P17849" i="14"/>
  <c r="E17849" i="14"/>
  <c r="AH17848" i="14"/>
  <c r="V17848" i="14"/>
  <c r="E17848" i="14"/>
  <c r="AH17847" i="14"/>
  <c r="P17847" i="14"/>
  <c r="E17847" i="14"/>
  <c r="AH17846" i="14"/>
  <c r="AE17846" i="14"/>
  <c r="W17846" i="14"/>
  <c r="V17846" i="14"/>
  <c r="P17846" i="14"/>
  <c r="E17846" i="14"/>
  <c r="AH17845" i="14"/>
  <c r="V17845" i="14"/>
  <c r="P17845" i="14"/>
  <c r="E17845" i="14"/>
  <c r="AH17844" i="14"/>
  <c r="V17844" i="14"/>
  <c r="P17844" i="14"/>
  <c r="E17844" i="14"/>
  <c r="AH17843" i="14"/>
  <c r="E17843" i="14"/>
  <c r="AH17842" i="14"/>
  <c r="E17842" i="14"/>
  <c r="AH17841" i="14"/>
  <c r="E17841" i="14"/>
  <c r="AH17840" i="14"/>
  <c r="E17840" i="14"/>
  <c r="AH17839" i="14"/>
  <c r="E17839" i="14"/>
  <c r="AH17838" i="14"/>
  <c r="E17838" i="14"/>
  <c r="AH17837" i="14"/>
  <c r="E17837" i="14"/>
  <c r="AH17836" i="14"/>
  <c r="E17836" i="14"/>
  <c r="AH17835" i="14"/>
  <c r="O17835" i="14"/>
  <c r="E17835" i="14"/>
  <c r="AH17834" i="14"/>
  <c r="O17834" i="14"/>
  <c r="E17834" i="14"/>
  <c r="AH17833" i="14"/>
  <c r="V17833" i="14"/>
  <c r="O17833" i="14"/>
  <c r="E17833" i="14"/>
  <c r="AH17832" i="14"/>
  <c r="P17832" i="14"/>
  <c r="O17832" i="14"/>
  <c r="E17832" i="14"/>
  <c r="AH17831" i="14"/>
  <c r="O17831" i="14"/>
  <c r="E17831" i="14"/>
  <c r="AH17830" i="14"/>
  <c r="O17830" i="14"/>
  <c r="E17830" i="14"/>
  <c r="AH17829" i="14"/>
  <c r="O17829" i="14"/>
  <c r="E17829" i="14"/>
  <c r="AH17828" i="14"/>
  <c r="O17828" i="14"/>
  <c r="E17828" i="14"/>
  <c r="AH17827" i="14"/>
  <c r="E17827" i="14"/>
  <c r="AH17826" i="14"/>
  <c r="E17826" i="14"/>
  <c r="AH17825" i="14"/>
  <c r="E17825" i="14"/>
  <c r="AH17824" i="14"/>
  <c r="E17824" i="14"/>
  <c r="AH17823" i="14"/>
  <c r="E17823" i="14"/>
  <c r="AH17822" i="14"/>
  <c r="E17822" i="14"/>
  <c r="AH17821" i="14"/>
  <c r="E17821" i="14"/>
  <c r="AH17820" i="14"/>
  <c r="E17820" i="14"/>
  <c r="AH17819" i="14"/>
  <c r="E17819" i="14"/>
  <c r="AH17818" i="14"/>
  <c r="E17818" i="14"/>
  <c r="AH17817" i="14"/>
  <c r="E17817" i="14"/>
  <c r="AH17816" i="14"/>
  <c r="E17816" i="14"/>
  <c r="AH17815" i="14"/>
  <c r="E17815" i="14"/>
  <c r="AH17814" i="14"/>
  <c r="E17814" i="14"/>
  <c r="AH17813" i="14"/>
  <c r="E17813" i="14"/>
  <c r="AH17812" i="14"/>
  <c r="V17812" i="14"/>
  <c r="P17812" i="14"/>
  <c r="E17812" i="14"/>
  <c r="AH17811" i="14"/>
  <c r="AF17811" i="14"/>
  <c r="AE17811" i="14"/>
  <c r="P17811" i="14"/>
  <c r="O17811" i="14"/>
  <c r="E17811" i="14"/>
  <c r="AH17810" i="14"/>
  <c r="P17810" i="14"/>
  <c r="O17810" i="14"/>
  <c r="E17810" i="14"/>
  <c r="AH17809" i="14"/>
  <c r="V17809" i="14"/>
  <c r="P17809" i="14"/>
  <c r="E17809" i="14"/>
  <c r="AH17808" i="14"/>
  <c r="P17808" i="14"/>
  <c r="E17808" i="14"/>
  <c r="AH17807" i="14"/>
  <c r="V17807" i="14"/>
  <c r="P17807" i="14"/>
  <c r="E17807" i="14"/>
  <c r="AH17806" i="14"/>
  <c r="AE17806" i="14"/>
  <c r="W17806" i="14"/>
  <c r="V17806" i="14"/>
  <c r="P17806" i="14"/>
  <c r="E17806" i="14"/>
  <c r="AH17805" i="14"/>
  <c r="V17805" i="14"/>
  <c r="E17805" i="14"/>
  <c r="AH17804" i="14"/>
  <c r="P17804" i="14"/>
  <c r="E17804" i="14"/>
  <c r="AH17803" i="14"/>
  <c r="P17803" i="14"/>
  <c r="E17803" i="14"/>
  <c r="AH17802" i="14"/>
  <c r="W17802" i="14"/>
  <c r="V17802" i="14"/>
  <c r="P17802" i="14"/>
  <c r="E17802" i="14"/>
  <c r="AH17801" i="14"/>
  <c r="V17801" i="14"/>
  <c r="P17801" i="14"/>
  <c r="O17801" i="14"/>
  <c r="E17801" i="14"/>
  <c r="AH17800" i="14"/>
  <c r="V17800" i="14"/>
  <c r="P17800" i="14"/>
  <c r="E17800" i="14"/>
  <c r="AH17799" i="14"/>
  <c r="V17799" i="14"/>
  <c r="P17799" i="14"/>
  <c r="E17799" i="14"/>
  <c r="AH17798" i="14"/>
  <c r="V17798" i="14"/>
  <c r="P17798" i="14"/>
  <c r="E17798" i="14"/>
  <c r="AH17797" i="14"/>
  <c r="E17797" i="14"/>
  <c r="AH17796" i="14"/>
  <c r="E17796" i="14"/>
  <c r="AH17795" i="14"/>
  <c r="E17795" i="14"/>
  <c r="AH17794" i="14"/>
  <c r="E17794" i="14"/>
  <c r="AH17793" i="14"/>
  <c r="E17793" i="14"/>
  <c r="AH17792" i="14"/>
  <c r="E17792" i="14"/>
  <c r="AH17791" i="14"/>
  <c r="E17791" i="14"/>
  <c r="AH17790" i="14"/>
  <c r="E17790" i="14"/>
  <c r="AH17789" i="14"/>
  <c r="E17789" i="14"/>
  <c r="AH17788" i="14"/>
  <c r="E17788" i="14"/>
  <c r="AH17787" i="14"/>
  <c r="E17787" i="14"/>
  <c r="AH17786" i="14"/>
  <c r="E17786" i="14"/>
  <c r="AH17785" i="14"/>
  <c r="E17785" i="14"/>
  <c r="AH17784" i="14"/>
  <c r="E17784" i="14"/>
  <c r="AH17783" i="14"/>
  <c r="E17783" i="14"/>
  <c r="AH17782" i="14"/>
  <c r="E17782" i="14"/>
  <c r="AH17781" i="14"/>
  <c r="E17781" i="14"/>
  <c r="AH17780" i="14"/>
  <c r="E17780" i="14"/>
  <c r="AH17779" i="14"/>
  <c r="E17779" i="14"/>
  <c r="AH17778" i="14"/>
  <c r="E17778" i="14"/>
  <c r="AH17777" i="14"/>
  <c r="E17777" i="14"/>
  <c r="AH17776" i="14"/>
  <c r="E17776" i="14"/>
  <c r="AH17775" i="14"/>
  <c r="E17775" i="14"/>
  <c r="AH17774" i="14"/>
  <c r="E17774" i="14"/>
  <c r="AH17773" i="14"/>
  <c r="E17773" i="14"/>
  <c r="AH17772" i="14"/>
  <c r="E17772" i="14"/>
  <c r="AH17771" i="14"/>
  <c r="E17771" i="14"/>
  <c r="AH17770" i="14"/>
  <c r="E17770" i="14"/>
  <c r="AH17769" i="14"/>
  <c r="E17769" i="14"/>
  <c r="AH17768" i="14"/>
  <c r="E17768" i="14"/>
  <c r="AH17767" i="14"/>
  <c r="E17767" i="14"/>
  <c r="AH17766" i="14"/>
  <c r="E17766" i="14"/>
  <c r="AH17765" i="14"/>
  <c r="E17765" i="14"/>
  <c r="AH17764" i="14"/>
  <c r="E17764" i="14"/>
  <c r="AH17763" i="14"/>
  <c r="E17763" i="14"/>
  <c r="AH17762" i="14"/>
  <c r="E17762" i="14"/>
  <c r="AH17761" i="14"/>
  <c r="E17761" i="14"/>
  <c r="AH17760" i="14"/>
  <c r="E17760" i="14"/>
  <c r="AH17759" i="14"/>
  <c r="E17759" i="14"/>
  <c r="AH17758" i="14"/>
  <c r="E17758" i="14"/>
  <c r="AH17757" i="14"/>
  <c r="V17757" i="14"/>
  <c r="P17757" i="14"/>
  <c r="E17757" i="14"/>
  <c r="AH17756" i="14"/>
  <c r="V17756" i="14"/>
  <c r="P17756" i="14"/>
  <c r="E17756" i="14"/>
  <c r="AH17755" i="14"/>
  <c r="T17755" i="14"/>
  <c r="Q17755" i="14"/>
  <c r="P17755" i="14"/>
  <c r="O17755" i="14"/>
  <c r="E17755" i="14"/>
  <c r="AH17754" i="14"/>
  <c r="V17754" i="14"/>
  <c r="T17754" i="14"/>
  <c r="Q17754" i="14"/>
  <c r="P17754" i="14"/>
  <c r="O17754" i="14"/>
  <c r="E17754" i="14"/>
  <c r="AH17753" i="14"/>
  <c r="T17753" i="14"/>
  <c r="P17753" i="14"/>
  <c r="O17753" i="14"/>
  <c r="E17753" i="14"/>
  <c r="AH17752" i="14"/>
  <c r="V17752" i="14"/>
  <c r="T17752" i="14"/>
  <c r="Q17752" i="14"/>
  <c r="P17752" i="14"/>
  <c r="O17752" i="14"/>
  <c r="E17752" i="14"/>
  <c r="AH17751" i="14"/>
  <c r="V17751" i="14"/>
  <c r="T17751" i="14"/>
  <c r="Q17751" i="14"/>
  <c r="P17751" i="14"/>
  <c r="O17751" i="14"/>
  <c r="E17751" i="14"/>
  <c r="AH17750" i="14"/>
  <c r="V17750" i="14"/>
  <c r="T17750" i="14"/>
  <c r="Q17750" i="14"/>
  <c r="P17750" i="14"/>
  <c r="O17750" i="14"/>
  <c r="E17750" i="14"/>
  <c r="AH17749" i="14"/>
  <c r="V17749" i="14"/>
  <c r="T17749" i="14"/>
  <c r="Q17749" i="14"/>
  <c r="P17749" i="14"/>
  <c r="O17749" i="14"/>
  <c r="E17749" i="14"/>
  <c r="AH17748" i="14"/>
  <c r="AG17748" i="14"/>
  <c r="AE17748" i="14"/>
  <c r="W17748" i="14"/>
  <c r="V17748" i="14"/>
  <c r="E17748" i="14"/>
  <c r="AH17747" i="14"/>
  <c r="Q17747" i="14"/>
  <c r="O17747" i="14"/>
  <c r="E17747" i="14"/>
  <c r="AH17746" i="14"/>
  <c r="W17746" i="14"/>
  <c r="V17746" i="14"/>
  <c r="T17746" i="14"/>
  <c r="Q17746" i="14"/>
  <c r="P17746" i="14"/>
  <c r="O17746" i="14"/>
  <c r="E17746" i="14"/>
  <c r="AH17745" i="14"/>
  <c r="V17745" i="14"/>
  <c r="T17745" i="14"/>
  <c r="Q17745" i="14"/>
  <c r="P17745" i="14"/>
  <c r="O17745" i="14"/>
  <c r="E17745" i="14"/>
  <c r="AH17744" i="14"/>
  <c r="W17744" i="14"/>
  <c r="V17744" i="14"/>
  <c r="T17744" i="14"/>
  <c r="Q17744" i="14"/>
  <c r="P17744" i="14"/>
  <c r="O17744" i="14"/>
  <c r="E17744" i="14"/>
  <c r="AH17743" i="14"/>
  <c r="AF17743" i="14"/>
  <c r="AE17743" i="14"/>
  <c r="W17743" i="14"/>
  <c r="V17743" i="14"/>
  <c r="T17743" i="14"/>
  <c r="Q17743" i="14"/>
  <c r="P17743" i="14"/>
  <c r="O17743" i="14"/>
  <c r="E17743" i="14"/>
  <c r="AH17742" i="14"/>
  <c r="W17742" i="14"/>
  <c r="V17742" i="14"/>
  <c r="T17742" i="14"/>
  <c r="Q17742" i="14"/>
  <c r="P17742" i="14"/>
  <c r="O17742" i="14"/>
  <c r="E17742" i="14"/>
  <c r="AH17741" i="14"/>
  <c r="V17741" i="14"/>
  <c r="T17741" i="14"/>
  <c r="Q17741" i="14"/>
  <c r="P17741" i="14"/>
  <c r="O17741" i="14"/>
  <c r="E17741" i="14"/>
  <c r="AH17740" i="14"/>
  <c r="AE17740" i="14"/>
  <c r="W17740" i="14"/>
  <c r="V17740" i="14"/>
  <c r="Q17740" i="14"/>
  <c r="P17740" i="14"/>
  <c r="O17740" i="14"/>
  <c r="E17740" i="14"/>
  <c r="AH17739" i="14"/>
  <c r="AE17739" i="14"/>
  <c r="W17739" i="14"/>
  <c r="V17739" i="14"/>
  <c r="T17739" i="14"/>
  <c r="Q17739" i="14"/>
  <c r="P17739" i="14"/>
  <c r="O17739" i="14"/>
  <c r="E17739" i="14"/>
  <c r="AH17738" i="14"/>
  <c r="T17738" i="14"/>
  <c r="E17738" i="14"/>
  <c r="AH17737" i="14"/>
  <c r="AE17737" i="14"/>
  <c r="W17737" i="14"/>
  <c r="V17737" i="14"/>
  <c r="T17737" i="14"/>
  <c r="Q17737" i="14"/>
  <c r="P17737" i="14"/>
  <c r="O17737" i="14"/>
  <c r="L17737" i="14"/>
  <c r="K17737" i="14"/>
  <c r="I17737" i="14"/>
  <c r="E17737" i="14"/>
  <c r="AH17736" i="14"/>
  <c r="P17736" i="14"/>
  <c r="E17736" i="14"/>
  <c r="AH17735" i="14"/>
  <c r="V17735" i="14"/>
  <c r="T17735" i="14"/>
  <c r="Q17735" i="14"/>
  <c r="P17735" i="14"/>
  <c r="O17735" i="14"/>
  <c r="E17735" i="14"/>
  <c r="AH17734" i="14"/>
  <c r="AG17734" i="14"/>
  <c r="AE17734" i="14"/>
  <c r="W17734" i="14"/>
  <c r="V17734" i="14"/>
  <c r="Q17734" i="14"/>
  <c r="P17734" i="14"/>
  <c r="O17734" i="14"/>
  <c r="L17734" i="14"/>
  <c r="K17734" i="14"/>
  <c r="I17734" i="14"/>
  <c r="E17734" i="14"/>
  <c r="AH17733" i="14"/>
  <c r="AG17733" i="14"/>
  <c r="AF17733" i="14"/>
  <c r="AE17733" i="14"/>
  <c r="W17733" i="14"/>
  <c r="V17733" i="14"/>
  <c r="T17733" i="14"/>
  <c r="Q17733" i="14"/>
  <c r="P17733" i="14"/>
  <c r="O17733" i="14"/>
  <c r="L17733" i="14"/>
  <c r="K17733" i="14"/>
  <c r="I17733" i="14"/>
  <c r="E17733" i="14"/>
  <c r="AH17732" i="14"/>
  <c r="Q17732" i="14"/>
  <c r="P17732" i="14"/>
  <c r="O17732" i="14"/>
  <c r="E17732" i="14"/>
  <c r="AH17731" i="14"/>
  <c r="AG17731" i="14"/>
  <c r="AF17731" i="14"/>
  <c r="AE17731" i="14"/>
  <c r="W17731" i="14"/>
  <c r="V17731" i="14"/>
  <c r="T17731" i="14"/>
  <c r="Q17731" i="14"/>
  <c r="P17731" i="14"/>
  <c r="O17731" i="14"/>
  <c r="L17731" i="14"/>
  <c r="K17731" i="14"/>
  <c r="I17731" i="14"/>
  <c r="E17731" i="14"/>
  <c r="AH17730" i="14"/>
  <c r="AE17730" i="14"/>
  <c r="W17730" i="14"/>
  <c r="V17730" i="14"/>
  <c r="Q17730" i="14"/>
  <c r="P17730" i="14"/>
  <c r="O17730" i="14"/>
  <c r="E17730" i="14"/>
  <c r="AH17729" i="14"/>
  <c r="V17729" i="14"/>
  <c r="Q17729" i="14"/>
  <c r="P17729" i="14"/>
  <c r="O17729" i="14"/>
  <c r="E17729" i="14"/>
  <c r="AH17728" i="14"/>
  <c r="V17728" i="14"/>
  <c r="T17728" i="14"/>
  <c r="Q17728" i="14"/>
  <c r="P17728" i="14"/>
  <c r="O17728" i="14"/>
  <c r="E17728" i="14"/>
  <c r="AH17727" i="14"/>
  <c r="V17727" i="14"/>
  <c r="T17727" i="14"/>
  <c r="Q17727" i="14"/>
  <c r="P17727" i="14"/>
  <c r="O17727" i="14"/>
  <c r="E17727" i="14"/>
  <c r="AH17726" i="14"/>
  <c r="V17726" i="14"/>
  <c r="T17726" i="14"/>
  <c r="Q17726" i="14"/>
  <c r="P17726" i="14"/>
  <c r="O17726" i="14"/>
  <c r="E17726" i="14"/>
  <c r="AH17725" i="14"/>
  <c r="T17725" i="14"/>
  <c r="E17725" i="14"/>
  <c r="AH17724" i="14"/>
  <c r="T17724" i="14"/>
  <c r="Q17724" i="14"/>
  <c r="P17724" i="14"/>
  <c r="O17724" i="14"/>
  <c r="E17724" i="14"/>
  <c r="AH17723" i="14"/>
  <c r="W17723" i="14"/>
  <c r="V17723" i="14"/>
  <c r="T17723" i="14"/>
  <c r="Q17723" i="14"/>
  <c r="P17723" i="14"/>
  <c r="O17723" i="14"/>
  <c r="E17723" i="14"/>
  <c r="AH17722" i="14"/>
  <c r="V17722" i="14"/>
  <c r="Q17722" i="14"/>
  <c r="P17722" i="14"/>
  <c r="O17722" i="14"/>
  <c r="E17722" i="14"/>
  <c r="AH17721" i="14"/>
  <c r="AE17721" i="14"/>
  <c r="W17721" i="14"/>
  <c r="V17721" i="14"/>
  <c r="T17721" i="14"/>
  <c r="Q17721" i="14"/>
  <c r="P17721" i="14"/>
  <c r="O17721" i="14"/>
  <c r="E17721" i="14"/>
  <c r="AH17720" i="14"/>
  <c r="V17720" i="14"/>
  <c r="T17720" i="14"/>
  <c r="Q17720" i="14"/>
  <c r="P17720" i="14"/>
  <c r="O17720" i="14"/>
  <c r="E17720" i="14"/>
  <c r="AH17719" i="14"/>
  <c r="AE17719" i="14"/>
  <c r="V17719" i="14"/>
  <c r="T17719" i="14"/>
  <c r="Q17719" i="14"/>
  <c r="P17719" i="14"/>
  <c r="O17719" i="14"/>
  <c r="E17719" i="14"/>
  <c r="AH17718" i="14"/>
  <c r="V17718" i="14"/>
  <c r="T17718" i="14"/>
  <c r="Q17718" i="14"/>
  <c r="P17718" i="14"/>
  <c r="O17718" i="14"/>
  <c r="E17718" i="14"/>
  <c r="AH17717" i="14"/>
  <c r="W17717" i="14"/>
  <c r="V17717" i="14"/>
  <c r="Q17717" i="14"/>
  <c r="P17717" i="14"/>
  <c r="O17717" i="14"/>
  <c r="E17717" i="14"/>
  <c r="AH17716" i="14"/>
  <c r="V17716" i="14"/>
  <c r="T17716" i="14"/>
  <c r="Q17716" i="14"/>
  <c r="P17716" i="14"/>
  <c r="O17716" i="14"/>
  <c r="E17716" i="14"/>
  <c r="AH17715" i="14"/>
  <c r="V17715" i="14"/>
  <c r="T17715" i="14"/>
  <c r="Q17715" i="14"/>
  <c r="P17715" i="14"/>
  <c r="O17715" i="14"/>
  <c r="E17715" i="14"/>
  <c r="AH17714" i="14"/>
  <c r="V17714" i="14"/>
  <c r="Q17714" i="14"/>
  <c r="P17714" i="14"/>
  <c r="O17714" i="14"/>
  <c r="E17714" i="14"/>
  <c r="AH17713" i="14"/>
  <c r="V17713" i="14"/>
  <c r="T17713" i="14"/>
  <c r="Q17713" i="14"/>
  <c r="P17713" i="14"/>
  <c r="O17713" i="14"/>
  <c r="E17713" i="14"/>
  <c r="AH17712" i="14"/>
  <c r="V17712" i="14"/>
  <c r="T17712" i="14"/>
  <c r="Q17712" i="14"/>
  <c r="P17712" i="14"/>
  <c r="O17712" i="14"/>
  <c r="E17712" i="14"/>
  <c r="AH17711" i="14"/>
  <c r="P17711" i="14"/>
  <c r="E17711" i="14"/>
  <c r="AH17710" i="14"/>
  <c r="V17710" i="14"/>
  <c r="T17710" i="14"/>
  <c r="Q17710" i="14"/>
  <c r="P17710" i="14"/>
  <c r="O17710" i="14"/>
  <c r="E17710" i="14"/>
  <c r="AH17709" i="14"/>
  <c r="V17709" i="14"/>
  <c r="T17709" i="14"/>
  <c r="Q17709" i="14"/>
  <c r="P17709" i="14"/>
  <c r="O17709" i="14"/>
  <c r="E17709" i="14"/>
  <c r="AH17708" i="14"/>
  <c r="V17708" i="14"/>
  <c r="T17708" i="14"/>
  <c r="Q17708" i="14"/>
  <c r="P17708" i="14"/>
  <c r="O17708" i="14"/>
  <c r="E17708" i="14"/>
  <c r="AH17707" i="14"/>
  <c r="T17707" i="14"/>
  <c r="Q17707" i="14"/>
  <c r="P17707" i="14"/>
  <c r="O17707" i="14"/>
  <c r="E17707" i="14"/>
  <c r="AH17706" i="14"/>
  <c r="V17706" i="14"/>
  <c r="Q17706" i="14"/>
  <c r="O17706" i="14"/>
  <c r="E17706" i="14"/>
  <c r="AH17705" i="14"/>
  <c r="AE17705" i="14"/>
  <c r="V17705" i="14"/>
  <c r="T17705" i="14"/>
  <c r="Q17705" i="14"/>
  <c r="P17705" i="14"/>
  <c r="O17705" i="14"/>
  <c r="L17705" i="14"/>
  <c r="K17705" i="14"/>
  <c r="I17705" i="14"/>
  <c r="E17705" i="14"/>
  <c r="AH17704" i="14"/>
  <c r="AG17704" i="14"/>
  <c r="AF17704" i="14"/>
  <c r="AE17704" i="14"/>
  <c r="T17704" i="14"/>
  <c r="Q17704" i="14"/>
  <c r="P17704" i="14"/>
  <c r="O17704" i="14"/>
  <c r="L17704" i="14"/>
  <c r="K17704" i="14"/>
  <c r="I17704" i="14"/>
  <c r="E17704" i="14"/>
  <c r="AH17703" i="14"/>
  <c r="AE17703" i="14"/>
  <c r="T17703" i="14"/>
  <c r="Q17703" i="14"/>
  <c r="P17703" i="14"/>
  <c r="O17703" i="14"/>
  <c r="L17703" i="14"/>
  <c r="K17703" i="14"/>
  <c r="I17703" i="14"/>
  <c r="E17703" i="14"/>
  <c r="AH17702" i="14"/>
  <c r="V17702" i="14"/>
  <c r="T17702" i="14"/>
  <c r="Q17702" i="14"/>
  <c r="P17702" i="14"/>
  <c r="O17702" i="14"/>
  <c r="E17702" i="14"/>
  <c r="AH17701" i="14"/>
  <c r="V17701" i="14"/>
  <c r="T17701" i="14"/>
  <c r="Q17701" i="14"/>
  <c r="P17701" i="14"/>
  <c r="O17701" i="14"/>
  <c r="E17701" i="14"/>
  <c r="AH17700" i="14"/>
  <c r="V17700" i="14"/>
  <c r="T17700" i="14"/>
  <c r="Q17700" i="14"/>
  <c r="P17700" i="14"/>
  <c r="O17700" i="14"/>
  <c r="E17700" i="14"/>
  <c r="AH17699" i="14"/>
  <c r="W17699" i="14"/>
  <c r="V17699" i="14"/>
  <c r="T17699" i="14"/>
  <c r="Q17699" i="14"/>
  <c r="P17699" i="14"/>
  <c r="O17699" i="14"/>
  <c r="E17699" i="14"/>
  <c r="AH17698" i="14"/>
  <c r="AF17698" i="14"/>
  <c r="AE17698" i="14"/>
  <c r="U17698" i="14"/>
  <c r="T17698" i="14"/>
  <c r="Q17698" i="14"/>
  <c r="P17698" i="14"/>
  <c r="L17698" i="14"/>
  <c r="E17698" i="14"/>
  <c r="AH17697" i="14"/>
  <c r="V17697" i="14"/>
  <c r="T17697" i="14"/>
  <c r="Q17697" i="14"/>
  <c r="P17697" i="14"/>
  <c r="O17697" i="14"/>
  <c r="E17697" i="14"/>
  <c r="AH17696" i="14"/>
  <c r="E17696" i="14"/>
  <c r="AH17695" i="14"/>
  <c r="W17695" i="14"/>
  <c r="V17695" i="14"/>
  <c r="T17695" i="14"/>
  <c r="Q17695" i="14"/>
  <c r="P17695" i="14"/>
  <c r="O17695" i="14"/>
  <c r="E17695" i="14"/>
  <c r="AH17694" i="14"/>
  <c r="V17694" i="14"/>
  <c r="T17694" i="14"/>
  <c r="Q17694" i="14"/>
  <c r="P17694" i="14"/>
  <c r="O17694" i="14"/>
  <c r="E17694" i="14"/>
  <c r="AH17693" i="14"/>
  <c r="V17693" i="14"/>
  <c r="T17693" i="14"/>
  <c r="Q17693" i="14"/>
  <c r="P17693" i="14"/>
  <c r="O17693" i="14"/>
  <c r="E17693" i="14"/>
  <c r="AH17692" i="14"/>
  <c r="V17692" i="14"/>
  <c r="T17692" i="14"/>
  <c r="Q17692" i="14"/>
  <c r="P17692" i="14"/>
  <c r="O17692" i="14"/>
  <c r="E17692" i="14"/>
  <c r="AH17691" i="14"/>
  <c r="Q17691" i="14"/>
  <c r="P17691" i="14"/>
  <c r="O17691" i="14"/>
  <c r="E17691" i="14"/>
  <c r="AH17690" i="14"/>
  <c r="T17690" i="14"/>
  <c r="Q17690" i="14"/>
  <c r="P17690" i="14"/>
  <c r="O17690" i="14"/>
  <c r="E17690" i="14"/>
  <c r="AH17689" i="14"/>
  <c r="AG17689" i="14"/>
  <c r="AE17689" i="14"/>
  <c r="W17689" i="14"/>
  <c r="V17689" i="14"/>
  <c r="Q17689" i="14"/>
  <c r="P17689" i="14"/>
  <c r="O17689" i="14"/>
  <c r="E17689" i="14"/>
  <c r="AH17688" i="14"/>
  <c r="V17688" i="14"/>
  <c r="T17688" i="14"/>
  <c r="Q17688" i="14"/>
  <c r="P17688" i="14"/>
  <c r="O17688" i="14"/>
  <c r="E17688" i="14"/>
  <c r="AH17687" i="14"/>
  <c r="V17687" i="14"/>
  <c r="T17687" i="14"/>
  <c r="Q17687" i="14"/>
  <c r="P17687" i="14"/>
  <c r="O17687" i="14"/>
  <c r="E17687" i="14"/>
  <c r="AH17686" i="14"/>
  <c r="V17686" i="14"/>
  <c r="T17686" i="14"/>
  <c r="Q17686" i="14"/>
  <c r="P17686" i="14"/>
  <c r="O17686" i="14"/>
  <c r="E17686" i="14"/>
  <c r="AH17685" i="14"/>
  <c r="W17685" i="14"/>
  <c r="V17685" i="14"/>
  <c r="T17685" i="14"/>
  <c r="Q17685" i="14"/>
  <c r="P17685" i="14"/>
  <c r="O17685" i="14"/>
  <c r="E17685" i="14"/>
  <c r="AH17684" i="14"/>
  <c r="AE17684" i="14"/>
  <c r="Q17684" i="14"/>
  <c r="P17684" i="14"/>
  <c r="O17684" i="14"/>
  <c r="E17684" i="14"/>
  <c r="AH17683" i="14"/>
  <c r="W17683" i="14"/>
  <c r="V17683" i="14"/>
  <c r="T17683" i="14"/>
  <c r="Q17683" i="14"/>
  <c r="P17683" i="14"/>
  <c r="O17683" i="14"/>
  <c r="E17683" i="14"/>
  <c r="AH17682" i="14"/>
  <c r="V17682" i="14"/>
  <c r="T17682" i="14"/>
  <c r="Q17682" i="14"/>
  <c r="P17682" i="14"/>
  <c r="O17682" i="14"/>
  <c r="E17682" i="14"/>
  <c r="AH17681" i="14"/>
  <c r="AF17681" i="14"/>
  <c r="AE17681" i="14"/>
  <c r="T17681" i="14"/>
  <c r="Q17681" i="14"/>
  <c r="P17681" i="14"/>
  <c r="O17681" i="14"/>
  <c r="K17681" i="14"/>
  <c r="E17681" i="14"/>
  <c r="AH17680" i="14"/>
  <c r="AG17680" i="14"/>
  <c r="AF17680" i="14"/>
  <c r="AE17680" i="14"/>
  <c r="W17680" i="14"/>
  <c r="V17680" i="14"/>
  <c r="T17680" i="14"/>
  <c r="Q17680" i="14"/>
  <c r="P17680" i="14"/>
  <c r="O17680" i="14"/>
  <c r="L17680" i="14"/>
  <c r="K17680" i="14"/>
  <c r="I17680" i="14"/>
  <c r="E17680" i="14"/>
  <c r="AH17679" i="14"/>
  <c r="W17679" i="14"/>
  <c r="V17679" i="14"/>
  <c r="T17679" i="14"/>
  <c r="Q17679" i="14"/>
  <c r="P17679" i="14"/>
  <c r="O17679" i="14"/>
  <c r="E17679" i="14"/>
  <c r="AH17678" i="14"/>
  <c r="W17678" i="14"/>
  <c r="V17678" i="14"/>
  <c r="T17678" i="14"/>
  <c r="Q17678" i="14"/>
  <c r="P17678" i="14"/>
  <c r="O17678" i="14"/>
  <c r="E17678" i="14"/>
  <c r="AH17677" i="14"/>
  <c r="Q17677" i="14"/>
  <c r="P17677" i="14"/>
  <c r="O17677" i="14"/>
  <c r="E17677" i="14"/>
  <c r="AH17676" i="14"/>
  <c r="V17676" i="14"/>
  <c r="T17676" i="14"/>
  <c r="Q17676" i="14"/>
  <c r="P17676" i="14"/>
  <c r="O17676" i="14"/>
  <c r="E17676" i="14"/>
  <c r="AH17675" i="14"/>
  <c r="V17675" i="14"/>
  <c r="T17675" i="14"/>
  <c r="Q17675" i="14"/>
  <c r="P17675" i="14"/>
  <c r="O17675" i="14"/>
  <c r="E17675" i="14"/>
  <c r="AH17674" i="14"/>
  <c r="E17674" i="14"/>
  <c r="AH17673" i="14"/>
  <c r="E17673" i="14"/>
  <c r="AH17672" i="14"/>
  <c r="E17672" i="14"/>
  <c r="AH17671" i="14"/>
  <c r="V17671" i="14"/>
  <c r="T17671" i="14"/>
  <c r="Q17671" i="14"/>
  <c r="P17671" i="14"/>
  <c r="O17671" i="14"/>
  <c r="E17671" i="14"/>
  <c r="AH17670" i="14"/>
  <c r="Q17670" i="14"/>
  <c r="P17670" i="14"/>
  <c r="O17670" i="14"/>
  <c r="E17670" i="14"/>
  <c r="AH17669" i="14"/>
  <c r="E17669" i="14"/>
  <c r="AH17668" i="14"/>
  <c r="E17668" i="14"/>
  <c r="AH17667" i="14"/>
  <c r="E17667" i="14"/>
  <c r="AH17666" i="14"/>
  <c r="E17666" i="14"/>
  <c r="AH17665" i="14"/>
  <c r="E17665" i="14"/>
  <c r="AH17664" i="14"/>
  <c r="V17664" i="14"/>
  <c r="U17664" i="14"/>
  <c r="T17664" i="14"/>
  <c r="Q17664" i="14"/>
  <c r="P17664" i="14"/>
  <c r="O17664" i="14"/>
  <c r="E17664" i="14"/>
  <c r="AH17663" i="14"/>
  <c r="P17663" i="14"/>
  <c r="E17663" i="14"/>
  <c r="AH17662" i="14"/>
  <c r="Q17662" i="14"/>
  <c r="P17662" i="14"/>
  <c r="E17662" i="14"/>
  <c r="AH17661" i="14"/>
  <c r="Q17661" i="14"/>
  <c r="P17661" i="14"/>
  <c r="O17661" i="14"/>
  <c r="E17661" i="14"/>
  <c r="AH17660" i="14"/>
  <c r="AE17660" i="14"/>
  <c r="Q17660" i="14"/>
  <c r="P17660" i="14"/>
  <c r="O17660" i="14"/>
  <c r="E17660" i="14"/>
  <c r="AH17659" i="14"/>
  <c r="Q17659" i="14"/>
  <c r="P17659" i="14"/>
  <c r="O17659" i="14"/>
  <c r="E17659" i="14"/>
  <c r="AH17658" i="14"/>
  <c r="Q17658" i="14"/>
  <c r="O17658" i="14"/>
  <c r="E17658" i="14"/>
  <c r="AH17657" i="14"/>
  <c r="Q17657" i="14"/>
  <c r="O17657" i="14"/>
  <c r="E17657" i="14"/>
  <c r="AH17656" i="14"/>
  <c r="V17656" i="14"/>
  <c r="T17656" i="14"/>
  <c r="Q17656" i="14"/>
  <c r="P17656" i="14"/>
  <c r="E17656" i="14"/>
  <c r="AH17655" i="14"/>
  <c r="V17655" i="14"/>
  <c r="T17655" i="14"/>
  <c r="Q17655" i="14"/>
  <c r="P17655" i="14"/>
  <c r="O17655" i="14"/>
  <c r="E17655" i="14"/>
  <c r="AH17654" i="14"/>
  <c r="P17654" i="14"/>
  <c r="E17654" i="14"/>
  <c r="AH17653" i="14"/>
  <c r="E17653" i="14"/>
  <c r="AH17652" i="14"/>
  <c r="P17652" i="14"/>
  <c r="O17652" i="14"/>
  <c r="E17652" i="14"/>
  <c r="AH17651" i="14"/>
  <c r="AE17651" i="14"/>
  <c r="Q17651" i="14"/>
  <c r="P17651" i="14"/>
  <c r="O17651" i="14"/>
  <c r="E17651" i="14"/>
  <c r="AH17650" i="14"/>
  <c r="Q17650" i="14"/>
  <c r="P17650" i="14"/>
  <c r="O17650" i="14"/>
  <c r="E17650" i="14"/>
  <c r="AH17649" i="14"/>
  <c r="Q17649" i="14"/>
  <c r="P17649" i="14"/>
  <c r="O17649" i="14"/>
  <c r="E17649" i="14"/>
  <c r="AH17648" i="14"/>
  <c r="Q17648" i="14"/>
  <c r="P17648" i="14"/>
  <c r="O17648" i="14"/>
  <c r="E17648" i="14"/>
  <c r="AH17647" i="14"/>
  <c r="AE17647" i="14"/>
  <c r="Q17647" i="14"/>
  <c r="P17647" i="14"/>
  <c r="O17647" i="14"/>
  <c r="L17647" i="14"/>
  <c r="K17647" i="14"/>
  <c r="E17647" i="14"/>
  <c r="AH17646" i="14"/>
  <c r="Q17646" i="14"/>
  <c r="E17646" i="14"/>
  <c r="AH17645" i="14"/>
  <c r="Q17645" i="14"/>
  <c r="P17645" i="14"/>
  <c r="O17645" i="14"/>
  <c r="E17645" i="14"/>
  <c r="AH17644" i="14"/>
  <c r="AF17644" i="14"/>
  <c r="AE17644" i="14"/>
  <c r="Q17644" i="14"/>
  <c r="P17644" i="14"/>
  <c r="O17644" i="14"/>
  <c r="L17644" i="14"/>
  <c r="K17644" i="14"/>
  <c r="I17644" i="14"/>
  <c r="E17644" i="14"/>
  <c r="AH17643" i="14"/>
  <c r="E17643" i="14"/>
  <c r="AH17642" i="14"/>
  <c r="P17642" i="14"/>
  <c r="E17642" i="14"/>
  <c r="AH17641" i="14"/>
  <c r="P17641" i="14"/>
  <c r="E17641" i="14"/>
  <c r="AH17640" i="14"/>
  <c r="E17640" i="14"/>
  <c r="AH17639" i="14"/>
  <c r="E17639" i="14"/>
  <c r="AH17638" i="14"/>
  <c r="E17638" i="14"/>
  <c r="AH17637" i="14"/>
  <c r="E17637" i="14"/>
  <c r="AH17636" i="14"/>
  <c r="E17636" i="14"/>
  <c r="AH17635" i="14"/>
  <c r="E17635" i="14"/>
  <c r="AH17634" i="14"/>
  <c r="E17634" i="14"/>
  <c r="AH17633" i="14"/>
  <c r="E17633" i="14"/>
  <c r="AH17632" i="14"/>
  <c r="E17632" i="14"/>
  <c r="AH17631" i="14"/>
  <c r="E17631" i="14"/>
  <c r="AH17630" i="14"/>
  <c r="E17630" i="14"/>
  <c r="AH17629" i="14"/>
  <c r="E17629" i="14"/>
  <c r="AH17628" i="14"/>
  <c r="E17628" i="14"/>
  <c r="AH17627" i="14"/>
  <c r="E17627" i="14"/>
  <c r="AH17626" i="14"/>
  <c r="E17626" i="14"/>
  <c r="AH17625" i="14"/>
  <c r="E17625" i="14"/>
  <c r="AH17624" i="14"/>
  <c r="E17624" i="14"/>
  <c r="AH17623" i="14"/>
  <c r="E17623" i="14"/>
  <c r="AH17622" i="14"/>
  <c r="E17622" i="14"/>
  <c r="AH17621" i="14"/>
  <c r="E17621" i="14"/>
  <c r="AH17620" i="14"/>
  <c r="E17620" i="14"/>
  <c r="AH17619" i="14"/>
  <c r="E17619" i="14"/>
  <c r="AH17618" i="14"/>
  <c r="E17618" i="14"/>
  <c r="AH17617" i="14"/>
  <c r="E17617" i="14"/>
  <c r="AH17616" i="14"/>
  <c r="E17616" i="14"/>
  <c r="AH17615" i="14"/>
  <c r="E17615" i="14"/>
  <c r="AH17614" i="14"/>
  <c r="E17614" i="14"/>
  <c r="AH17613" i="14"/>
  <c r="E17613" i="14"/>
  <c r="AH17612" i="14"/>
  <c r="E17612" i="14"/>
  <c r="AH17611" i="14"/>
  <c r="E17611" i="14"/>
  <c r="AH17610" i="14"/>
  <c r="E17610" i="14"/>
  <c r="AH17609" i="14"/>
  <c r="E17609" i="14"/>
  <c r="AH17608" i="14"/>
  <c r="E17608" i="14"/>
  <c r="AH17607" i="14"/>
  <c r="E17607" i="14"/>
  <c r="AH17606" i="14"/>
  <c r="E17606" i="14"/>
  <c r="AH17605" i="14"/>
  <c r="E17605" i="14"/>
  <c r="AH17604" i="14"/>
  <c r="E17604" i="14"/>
  <c r="AH17603" i="14"/>
  <c r="E17603" i="14"/>
  <c r="AH17602" i="14"/>
  <c r="E17602" i="14"/>
  <c r="AH17601" i="14"/>
  <c r="E17601" i="14"/>
  <c r="AH17600" i="14"/>
  <c r="E17600" i="14"/>
  <c r="AH17599" i="14"/>
  <c r="E17599" i="14"/>
  <c r="AH17598" i="14"/>
  <c r="E17598" i="14"/>
  <c r="AH17597" i="14"/>
  <c r="E17597" i="14"/>
  <c r="AH17596" i="14"/>
  <c r="E17596" i="14"/>
  <c r="AH17595" i="14"/>
  <c r="E17595" i="14"/>
  <c r="AH17594" i="14"/>
  <c r="E17594" i="14"/>
  <c r="AH17593" i="14"/>
  <c r="E17593" i="14"/>
  <c r="AH17592" i="14"/>
  <c r="E17592" i="14"/>
  <c r="AH17591" i="14"/>
  <c r="E17591" i="14"/>
  <c r="AH17590" i="14"/>
  <c r="E17590" i="14"/>
  <c r="AH17589" i="14"/>
  <c r="E17589" i="14"/>
  <c r="AH17588" i="14"/>
  <c r="E17588" i="14"/>
  <c r="AH17587" i="14"/>
  <c r="E17587" i="14"/>
  <c r="AH17586" i="14"/>
  <c r="Q17586" i="14"/>
  <c r="P17586" i="14"/>
  <c r="O17586" i="14"/>
  <c r="E17586" i="14"/>
  <c r="AH17585" i="14"/>
  <c r="E17585" i="14"/>
  <c r="AH17584" i="14"/>
  <c r="E17584" i="14"/>
  <c r="AH17583" i="14"/>
  <c r="E17583" i="14"/>
  <c r="AH17582" i="14"/>
  <c r="Q17582" i="14"/>
  <c r="P17582" i="14"/>
  <c r="O17582" i="14"/>
  <c r="E17582" i="14"/>
  <c r="AH17581" i="14"/>
  <c r="E17581" i="14"/>
  <c r="AH17580" i="14"/>
  <c r="E17580" i="14"/>
  <c r="AH17579" i="14"/>
  <c r="E17579" i="14"/>
  <c r="AK17578" i="14"/>
  <c r="AH17578" i="14"/>
  <c r="Q17578" i="14"/>
  <c r="P17578" i="14"/>
  <c r="O17578" i="14"/>
  <c r="N17578" i="14"/>
  <c r="K17578" i="14"/>
  <c r="I17578" i="14"/>
  <c r="E17578" i="14"/>
  <c r="AH17577" i="14"/>
  <c r="Q17577" i="14"/>
  <c r="P17577" i="14"/>
  <c r="O17577" i="14"/>
  <c r="E17577" i="14"/>
  <c r="AH17576" i="14"/>
  <c r="Q17576" i="14"/>
  <c r="P17576" i="14"/>
  <c r="O17576" i="14"/>
  <c r="E17576" i="14"/>
  <c r="AH17575" i="14"/>
  <c r="Q17575" i="14"/>
  <c r="P17575" i="14"/>
  <c r="O17575" i="14"/>
  <c r="E17575" i="14"/>
  <c r="AH17574" i="14"/>
  <c r="Q17574" i="14"/>
  <c r="P17574" i="14"/>
  <c r="O17574" i="14"/>
  <c r="E17574" i="14"/>
  <c r="AH17573" i="14"/>
  <c r="Q17573" i="14"/>
  <c r="P17573" i="14"/>
  <c r="O17573" i="14"/>
  <c r="E17573" i="14"/>
  <c r="AH17572" i="14"/>
  <c r="Q17572" i="14"/>
  <c r="P17572" i="14"/>
  <c r="O17572" i="14"/>
  <c r="E17572" i="14"/>
  <c r="AH17571" i="14"/>
  <c r="Q17571" i="14"/>
  <c r="P17571" i="14"/>
  <c r="O17571" i="14"/>
  <c r="E17571" i="14"/>
  <c r="AH17570" i="14"/>
  <c r="Q17570" i="14"/>
  <c r="P17570" i="14"/>
  <c r="E17570" i="14"/>
  <c r="AH17569" i="14"/>
  <c r="Q17569" i="14"/>
  <c r="P17569" i="14"/>
  <c r="E17569" i="14"/>
  <c r="AH17568" i="14"/>
  <c r="Q17568" i="14"/>
  <c r="P17568" i="14"/>
  <c r="E17568" i="14"/>
  <c r="AH17567" i="14"/>
  <c r="Q17567" i="14"/>
  <c r="P17567" i="14"/>
  <c r="E17567" i="14"/>
  <c r="AH17566" i="14"/>
  <c r="Q17566" i="14"/>
  <c r="P17566" i="14"/>
  <c r="O17566" i="14"/>
  <c r="E17566" i="14"/>
  <c r="AH17565" i="14"/>
  <c r="V17565" i="14"/>
  <c r="T17565" i="14"/>
  <c r="Q17565" i="14"/>
  <c r="P17565" i="14"/>
  <c r="E17565" i="14"/>
  <c r="AH17564" i="14"/>
  <c r="Q17564" i="14"/>
  <c r="P17564" i="14"/>
  <c r="O17564" i="14"/>
  <c r="E17564" i="14"/>
  <c r="AH17563" i="14"/>
  <c r="Q17563" i="14"/>
  <c r="P17563" i="14"/>
  <c r="O17563" i="14"/>
  <c r="E17563" i="14"/>
  <c r="AH17562" i="14"/>
  <c r="Q17562" i="14"/>
  <c r="P17562" i="14"/>
  <c r="O17562" i="14"/>
  <c r="E17562" i="14"/>
  <c r="AH17561" i="14"/>
  <c r="Q17561" i="14"/>
  <c r="P17561" i="14"/>
  <c r="O17561" i="14"/>
  <c r="E17561" i="14"/>
  <c r="AH17560" i="14"/>
  <c r="Q17560" i="14"/>
  <c r="P17560" i="14"/>
  <c r="O17560" i="14"/>
  <c r="E17560" i="14"/>
  <c r="AH17559" i="14"/>
  <c r="Q17559" i="14"/>
  <c r="P17559" i="14"/>
  <c r="O17559" i="14"/>
  <c r="E17559" i="14"/>
  <c r="AH17558" i="14"/>
  <c r="Q17558" i="14"/>
  <c r="P17558" i="14"/>
  <c r="O17558" i="14"/>
  <c r="E17558" i="14"/>
  <c r="AH17557" i="14"/>
  <c r="Q17557" i="14"/>
  <c r="P17557" i="14"/>
  <c r="O17557" i="14"/>
  <c r="E17557" i="14"/>
  <c r="AH17556" i="14"/>
  <c r="Q17556" i="14"/>
  <c r="P17556" i="14"/>
  <c r="O17556" i="14"/>
  <c r="E17556" i="14"/>
  <c r="AH17555" i="14"/>
  <c r="Q17555" i="14"/>
  <c r="P17555" i="14"/>
  <c r="O17555" i="14"/>
  <c r="E17555" i="14"/>
  <c r="AH17554" i="14"/>
  <c r="Q17554" i="14"/>
  <c r="P17554" i="14"/>
  <c r="E17554" i="14"/>
  <c r="AH17553" i="14"/>
  <c r="Q17553" i="14"/>
  <c r="P17553" i="14"/>
  <c r="O17553" i="14"/>
  <c r="E17553" i="14"/>
  <c r="AH17552" i="14"/>
  <c r="AE17552" i="14"/>
  <c r="Q17552" i="14"/>
  <c r="P17552" i="14"/>
  <c r="E17552" i="14"/>
  <c r="AH17551" i="14"/>
  <c r="Q17551" i="14"/>
  <c r="P17551" i="14"/>
  <c r="E17551" i="14"/>
  <c r="AH17550" i="14"/>
  <c r="Q17550" i="14"/>
  <c r="P17550" i="14"/>
  <c r="E17550" i="14"/>
  <c r="AH17549" i="14"/>
  <c r="Q17549" i="14"/>
  <c r="P17549" i="14"/>
  <c r="E17549" i="14"/>
  <c r="AH17548" i="14"/>
  <c r="AE17548" i="14"/>
  <c r="Q17548" i="14"/>
  <c r="P17548" i="14"/>
  <c r="O17548" i="14"/>
  <c r="K17548" i="14"/>
  <c r="E17548" i="14"/>
  <c r="AH17547" i="14"/>
  <c r="AE17547" i="14"/>
  <c r="Q17547" i="14"/>
  <c r="P17547" i="14"/>
  <c r="O17547" i="14"/>
  <c r="K17547" i="14"/>
  <c r="E17547" i="14"/>
  <c r="AH17546" i="14"/>
  <c r="Q17546" i="14"/>
  <c r="P17546" i="14"/>
  <c r="O17546" i="14"/>
  <c r="E17546" i="14"/>
  <c r="AH17545" i="14"/>
  <c r="Q17545" i="14"/>
  <c r="E17545" i="14"/>
  <c r="AH17544" i="14"/>
  <c r="Q17544" i="14"/>
  <c r="P17544" i="14"/>
  <c r="O17544" i="14"/>
  <c r="E17544" i="14"/>
  <c r="AH17543" i="14"/>
  <c r="O17543" i="14"/>
  <c r="E17543" i="14"/>
  <c r="AH17542" i="14"/>
  <c r="Q17542" i="14"/>
  <c r="P17542" i="14"/>
  <c r="O17542" i="14"/>
  <c r="E17542" i="14"/>
  <c r="AH17541" i="14"/>
  <c r="Q17541" i="14"/>
  <c r="P17541" i="14"/>
  <c r="O17541" i="14"/>
  <c r="E17541" i="14"/>
  <c r="AH17540" i="14"/>
  <c r="Q17540" i="14"/>
  <c r="P17540" i="14"/>
  <c r="O17540" i="14"/>
  <c r="E17540" i="14"/>
  <c r="AH17539" i="14"/>
  <c r="Q17539" i="14"/>
  <c r="P17539" i="14"/>
  <c r="E17539" i="14"/>
  <c r="AH17538" i="14"/>
  <c r="Q17538" i="14"/>
  <c r="P17538" i="14"/>
  <c r="O17538" i="14"/>
  <c r="E17538" i="14"/>
  <c r="AH17537" i="14"/>
  <c r="Q17537" i="14"/>
  <c r="P17537" i="14"/>
  <c r="O17537" i="14"/>
  <c r="E17537" i="14"/>
  <c r="AH17536" i="14"/>
  <c r="Q17536" i="14"/>
  <c r="P17536" i="14"/>
  <c r="O17536" i="14"/>
  <c r="E17536" i="14"/>
  <c r="AH17535" i="14"/>
  <c r="Q17535" i="14"/>
  <c r="P17535" i="14"/>
  <c r="O17535" i="14"/>
  <c r="E17535" i="14"/>
  <c r="AH17534" i="14"/>
  <c r="Q17534" i="14"/>
  <c r="P17534" i="14"/>
  <c r="E17534" i="14"/>
  <c r="AH17533" i="14"/>
  <c r="Q17533" i="14"/>
  <c r="P17533" i="14"/>
  <c r="E17533" i="14"/>
  <c r="AH17532" i="14"/>
  <c r="Q17532" i="14"/>
  <c r="P17532" i="14"/>
  <c r="O17532" i="14"/>
  <c r="E17532" i="14"/>
  <c r="AH17531" i="14"/>
  <c r="Q17531" i="14"/>
  <c r="P17531" i="14"/>
  <c r="E17531" i="14"/>
  <c r="AH17530" i="14"/>
  <c r="Q17530" i="14"/>
  <c r="P17530" i="14"/>
  <c r="E17530" i="14"/>
  <c r="AH17529" i="14"/>
  <c r="Q17529" i="14"/>
  <c r="P17529" i="14"/>
  <c r="O17529" i="14"/>
  <c r="E17529" i="14"/>
  <c r="AH17528" i="14"/>
  <c r="Q17528" i="14"/>
  <c r="P17528" i="14"/>
  <c r="O17528" i="14"/>
  <c r="E17528" i="14"/>
  <c r="AH17527" i="14"/>
  <c r="Q17527" i="14"/>
  <c r="P17527" i="14"/>
  <c r="E17527" i="14"/>
  <c r="AH17526" i="14"/>
  <c r="Q17526" i="14"/>
  <c r="P17526" i="14"/>
  <c r="O17526" i="14"/>
  <c r="E17526" i="14"/>
  <c r="AH17525" i="14"/>
  <c r="Q17525" i="14"/>
  <c r="P17525" i="14"/>
  <c r="O17525" i="14"/>
  <c r="E17525" i="14"/>
  <c r="AH17524" i="14"/>
  <c r="Q17524" i="14"/>
  <c r="P17524" i="14"/>
  <c r="O17524" i="14"/>
  <c r="E17524" i="14"/>
  <c r="AH17523" i="14"/>
  <c r="Q17523" i="14"/>
  <c r="P17523" i="14"/>
  <c r="O17523" i="14"/>
  <c r="E17523" i="14"/>
  <c r="AH17522" i="14"/>
  <c r="Q17522" i="14"/>
  <c r="P17522" i="14"/>
  <c r="E17522" i="14"/>
  <c r="AH17521" i="14"/>
  <c r="Q17521" i="14"/>
  <c r="P17521" i="14"/>
  <c r="E17521" i="14"/>
  <c r="AH17520" i="14"/>
  <c r="Q17520" i="14"/>
  <c r="E17520" i="14"/>
  <c r="AH17519" i="14"/>
  <c r="Q17519" i="14"/>
  <c r="E17519" i="14"/>
  <c r="AH17518" i="14"/>
  <c r="P17518" i="14"/>
  <c r="E17518" i="14"/>
  <c r="AH17517" i="14"/>
  <c r="P17517" i="14"/>
  <c r="E17517" i="14"/>
  <c r="AH17516" i="14"/>
  <c r="P17516" i="14"/>
  <c r="E17516" i="14"/>
  <c r="AH17515" i="14"/>
  <c r="P17515" i="14"/>
  <c r="E17515" i="14"/>
  <c r="AH17514" i="14"/>
  <c r="AG17514" i="14"/>
  <c r="AE17514" i="14"/>
  <c r="Q17514" i="14"/>
  <c r="P17514" i="14"/>
  <c r="L17514" i="14"/>
  <c r="K17514" i="14"/>
  <c r="I17514" i="14"/>
  <c r="E17514" i="14"/>
  <c r="AH17513" i="14"/>
  <c r="AG17513" i="14"/>
  <c r="AF17513" i="14"/>
  <c r="AE17513" i="14"/>
  <c r="W17513" i="14"/>
  <c r="V17513" i="14"/>
  <c r="U17513" i="14"/>
  <c r="T17513" i="14"/>
  <c r="Q17513" i="14"/>
  <c r="P17513" i="14"/>
  <c r="L17513" i="14"/>
  <c r="K17513" i="14"/>
  <c r="I17513" i="14"/>
  <c r="E17513" i="14"/>
  <c r="AH17512" i="14"/>
  <c r="AG17512" i="14"/>
  <c r="AF17512" i="14"/>
  <c r="AE17512" i="14"/>
  <c r="W17512" i="14"/>
  <c r="V17512" i="14"/>
  <c r="U17512" i="14"/>
  <c r="T17512" i="14"/>
  <c r="Q17512" i="14"/>
  <c r="P17512" i="14"/>
  <c r="L17512" i="14"/>
  <c r="E17512" i="14"/>
  <c r="AH17511" i="14"/>
  <c r="E17511" i="14"/>
  <c r="AH17510" i="14"/>
  <c r="E17510" i="14"/>
  <c r="AH17509" i="14"/>
  <c r="E17509" i="14"/>
  <c r="AH17508" i="14"/>
  <c r="E17508" i="14"/>
  <c r="AH17507" i="14"/>
  <c r="E17507" i="14"/>
  <c r="AH17506" i="14"/>
  <c r="E17506" i="14"/>
  <c r="AH17505" i="14"/>
  <c r="E17505" i="14"/>
  <c r="AH17504" i="14"/>
  <c r="E17504" i="14"/>
  <c r="AH17503" i="14"/>
  <c r="E17503" i="14"/>
  <c r="AH17502" i="14"/>
  <c r="E17502" i="14"/>
  <c r="AH17501" i="14"/>
  <c r="E17501" i="14"/>
  <c r="AH17500" i="14"/>
  <c r="E17500" i="14"/>
  <c r="AH17499" i="14"/>
  <c r="E17499" i="14"/>
  <c r="AH17498" i="14"/>
  <c r="AG17498" i="14"/>
  <c r="AE17498" i="14"/>
  <c r="W17498" i="14"/>
  <c r="V17498" i="14"/>
  <c r="U17498" i="14"/>
  <c r="T17498" i="14"/>
  <c r="Q17498" i="14"/>
  <c r="P17498" i="14"/>
  <c r="L17498" i="14"/>
  <c r="K17498" i="14"/>
  <c r="I17498" i="14"/>
  <c r="E17498" i="14"/>
  <c r="AH17497" i="14"/>
  <c r="Q17497" i="14"/>
  <c r="E17497" i="14"/>
  <c r="AH17496" i="14"/>
  <c r="E17496" i="14"/>
  <c r="AH17495" i="14"/>
  <c r="Q17495" i="14"/>
  <c r="P17495" i="14"/>
  <c r="O17495" i="14"/>
  <c r="E17495" i="14"/>
  <c r="AH17494" i="14"/>
  <c r="Q17494" i="14"/>
  <c r="P17494" i="14"/>
  <c r="O17494" i="14"/>
  <c r="E17494" i="14"/>
  <c r="AH17493" i="14"/>
  <c r="Q17493" i="14"/>
  <c r="P17493" i="14"/>
  <c r="O17493" i="14"/>
  <c r="E17493" i="14"/>
  <c r="AH17492" i="14"/>
  <c r="Q17492" i="14"/>
  <c r="P17492" i="14"/>
  <c r="O17492" i="14"/>
  <c r="L17492" i="14"/>
  <c r="E17492" i="14"/>
  <c r="AH17491" i="14"/>
  <c r="AE17491" i="14"/>
  <c r="Q17491" i="14"/>
  <c r="P17491" i="14"/>
  <c r="O17491" i="14"/>
  <c r="L17491" i="14"/>
  <c r="E17491" i="14"/>
  <c r="AH17490" i="14"/>
  <c r="Q17490" i="14"/>
  <c r="P17490" i="14"/>
  <c r="O17490" i="14"/>
  <c r="L17490" i="14"/>
  <c r="E17490" i="14"/>
  <c r="AH17489" i="14"/>
  <c r="Q17489" i="14"/>
  <c r="P17489" i="14"/>
  <c r="O17489" i="14"/>
  <c r="L17489" i="14"/>
  <c r="E17489" i="14"/>
  <c r="AH17488" i="14"/>
  <c r="Q17488" i="14"/>
  <c r="O17488" i="14"/>
  <c r="E17488" i="14"/>
  <c r="AH17487" i="14"/>
  <c r="Q17487" i="14"/>
  <c r="P17487" i="14"/>
  <c r="E17487" i="14"/>
  <c r="AH17486" i="14"/>
  <c r="Q17486" i="14"/>
  <c r="P17486" i="14"/>
  <c r="O17486" i="14"/>
  <c r="E17486" i="14"/>
  <c r="AH17485" i="14"/>
  <c r="Q17485" i="14"/>
  <c r="P17485" i="14"/>
  <c r="E17485" i="14"/>
  <c r="AH17484" i="14"/>
  <c r="Q17484" i="14"/>
  <c r="P17484" i="14"/>
  <c r="O17484" i="14"/>
  <c r="E17484" i="14"/>
  <c r="AH17483" i="14"/>
  <c r="Q17483" i="14"/>
  <c r="P17483" i="14"/>
  <c r="O17483" i="14"/>
  <c r="E17483" i="14"/>
  <c r="AH17482" i="14"/>
  <c r="Q17482" i="14"/>
  <c r="P17482" i="14"/>
  <c r="O17482" i="14"/>
  <c r="E17482" i="14"/>
  <c r="AH17481" i="14"/>
  <c r="Q17481" i="14"/>
  <c r="P17481" i="14"/>
  <c r="O17481" i="14"/>
  <c r="E17481" i="14"/>
  <c r="AH17480" i="14"/>
  <c r="E17480" i="14"/>
  <c r="AH17479" i="14"/>
  <c r="V17479" i="14"/>
  <c r="T17479" i="14"/>
  <c r="Q17479" i="14"/>
  <c r="P17479" i="14"/>
  <c r="E17479" i="14"/>
  <c r="AH17478" i="14"/>
  <c r="V17478" i="14"/>
  <c r="T17478" i="14"/>
  <c r="Q17478" i="14"/>
  <c r="P17478" i="14"/>
  <c r="E17478" i="14"/>
  <c r="AH17477" i="14"/>
  <c r="E17477" i="14"/>
  <c r="AH17476" i="14"/>
  <c r="E17476" i="14"/>
  <c r="AH17475" i="14"/>
  <c r="E17475" i="14"/>
  <c r="AH17474" i="14"/>
  <c r="E17474" i="14"/>
  <c r="AH17473" i="14"/>
  <c r="Q17473" i="14"/>
  <c r="E17473" i="14"/>
  <c r="AH17472" i="14"/>
  <c r="W17472" i="14"/>
  <c r="V17472" i="14"/>
  <c r="T17472" i="14"/>
  <c r="Q17472" i="14"/>
  <c r="P17472" i="14"/>
  <c r="E17472" i="14"/>
  <c r="AH17471" i="14"/>
  <c r="E17471" i="14"/>
  <c r="AH17470" i="14"/>
  <c r="Q17470" i="14"/>
  <c r="E17470" i="14"/>
  <c r="AH17469" i="14"/>
  <c r="Q17469" i="14"/>
  <c r="E17469" i="14"/>
  <c r="AH17468" i="14"/>
  <c r="Q17468" i="14"/>
  <c r="E17468" i="14"/>
  <c r="AH17467" i="14"/>
  <c r="Q17467" i="14"/>
  <c r="E17467" i="14"/>
  <c r="AH17466" i="14"/>
  <c r="V17466" i="14"/>
  <c r="P17466" i="14"/>
  <c r="E17466" i="14"/>
  <c r="AH17465" i="14"/>
  <c r="V17465" i="14"/>
  <c r="P17465" i="14"/>
  <c r="E17465" i="14"/>
  <c r="AH17464" i="14"/>
  <c r="E17464" i="14"/>
  <c r="AH17463" i="14"/>
  <c r="V17463" i="14"/>
  <c r="P17463" i="14"/>
  <c r="E17463" i="14"/>
  <c r="AH17462" i="14"/>
  <c r="Q17462" i="14"/>
  <c r="P17462" i="14"/>
  <c r="E17462" i="14"/>
  <c r="E17461" i="14"/>
  <c r="AH17460" i="14"/>
  <c r="Q17460" i="14"/>
  <c r="P17460" i="14"/>
  <c r="O17460" i="14"/>
  <c r="E17460" i="14"/>
  <c r="AH17459" i="14"/>
  <c r="Q17459" i="14"/>
  <c r="P17459" i="14"/>
  <c r="E17459" i="14"/>
  <c r="AH17458" i="14"/>
  <c r="Q17458" i="14"/>
  <c r="P17458" i="14"/>
  <c r="O17458" i="14"/>
  <c r="E17458" i="14"/>
  <c r="AH17457" i="14"/>
  <c r="E17457" i="14"/>
  <c r="AH17456" i="14"/>
  <c r="E17456" i="14"/>
  <c r="AH17455" i="14"/>
  <c r="E17455" i="14"/>
  <c r="AH17454" i="14"/>
  <c r="E17454" i="14"/>
  <c r="AH17453" i="14"/>
  <c r="E17453" i="14"/>
  <c r="AH17452" i="14"/>
  <c r="E17452" i="14"/>
  <c r="AH17451" i="14"/>
  <c r="AG17451" i="14"/>
  <c r="AF17451" i="14"/>
  <c r="AE17451" i="14"/>
  <c r="O17451" i="14"/>
  <c r="L17451" i="14"/>
  <c r="K17451" i="14"/>
  <c r="E17451" i="14"/>
  <c r="AH17450" i="14"/>
  <c r="E17450" i="14"/>
  <c r="AH17449" i="14"/>
  <c r="E17449" i="14"/>
  <c r="AH17448" i="14"/>
  <c r="E17448" i="14"/>
  <c r="AH17447" i="14"/>
  <c r="E17447" i="14"/>
  <c r="AH17446" i="14"/>
  <c r="E17446" i="14"/>
  <c r="AH17445" i="14"/>
  <c r="E17445" i="14"/>
  <c r="AH17444" i="14"/>
  <c r="E17444" i="14"/>
  <c r="AH17443" i="14"/>
  <c r="E17443" i="14"/>
  <c r="AH17442" i="14"/>
  <c r="E17442" i="14"/>
  <c r="AH17441" i="14"/>
  <c r="E17441" i="14"/>
  <c r="AH17440" i="14"/>
  <c r="E17440" i="14"/>
  <c r="AH17439" i="14"/>
  <c r="E17439" i="14"/>
  <c r="AH17438" i="14"/>
  <c r="E17438" i="14"/>
  <c r="AH17437" i="14"/>
  <c r="E17437" i="14"/>
  <c r="AH17436" i="14"/>
  <c r="E17436" i="14"/>
  <c r="AH17435" i="14"/>
  <c r="E17435" i="14"/>
  <c r="AH17434" i="14"/>
  <c r="AG17434" i="14"/>
  <c r="AF17434" i="14"/>
  <c r="AE17434" i="14"/>
  <c r="O17434" i="14"/>
  <c r="L17434" i="14"/>
  <c r="K17434" i="14"/>
  <c r="I17434" i="14"/>
  <c r="E17434" i="14"/>
  <c r="AH17433" i="14"/>
  <c r="E17433" i="14"/>
  <c r="AH17432" i="14"/>
  <c r="E17432" i="14"/>
  <c r="AH17431" i="14"/>
  <c r="E17431" i="14"/>
  <c r="AH17430" i="14"/>
  <c r="E17430" i="14"/>
  <c r="AH17429" i="14"/>
  <c r="E17429" i="14"/>
  <c r="AH17428" i="14"/>
  <c r="O17428" i="14"/>
  <c r="E17428" i="14"/>
  <c r="AH17427" i="14"/>
  <c r="E17427" i="14"/>
  <c r="AH17426" i="14"/>
  <c r="E17426" i="14"/>
  <c r="AH17425" i="14"/>
  <c r="E17425" i="14"/>
  <c r="AH17424" i="14"/>
  <c r="E17424" i="14"/>
  <c r="AH17423" i="14"/>
  <c r="E17423" i="14"/>
  <c r="AH17422" i="14"/>
  <c r="E17422" i="14"/>
  <c r="AH17421" i="14"/>
  <c r="E17421" i="14"/>
  <c r="AH17420" i="14"/>
  <c r="E17420" i="14"/>
  <c r="AH17419" i="14"/>
  <c r="E17419" i="14"/>
  <c r="AH17418" i="14"/>
  <c r="E17418" i="14"/>
  <c r="AH17417" i="14"/>
  <c r="E17417" i="14"/>
  <c r="AH17416" i="14"/>
  <c r="E17416" i="14"/>
  <c r="AH17415" i="14"/>
  <c r="E17415" i="14"/>
  <c r="AH17414" i="14"/>
  <c r="E17414" i="14"/>
  <c r="AH17413" i="14"/>
  <c r="E17413" i="14"/>
  <c r="AH17412" i="14"/>
  <c r="E17412" i="14"/>
  <c r="AH17411" i="14"/>
  <c r="E17411" i="14"/>
  <c r="AH17410" i="14"/>
  <c r="E17410" i="14"/>
  <c r="AH17409" i="14"/>
  <c r="E17409" i="14"/>
  <c r="AH17408" i="14"/>
  <c r="E17408" i="14"/>
  <c r="AH17407" i="14"/>
  <c r="E17407" i="14"/>
  <c r="AH17406" i="14"/>
  <c r="E17406" i="14"/>
  <c r="AH17405" i="14"/>
  <c r="E17405" i="14"/>
  <c r="AH17404" i="14"/>
  <c r="E17404" i="14"/>
  <c r="AH17403" i="14"/>
  <c r="E17403" i="14"/>
  <c r="AH17402" i="14"/>
  <c r="E17402" i="14"/>
  <c r="AH17401" i="14"/>
  <c r="E17401" i="14"/>
  <c r="AH17400" i="14"/>
  <c r="E17400" i="14"/>
  <c r="AH17399" i="14"/>
  <c r="E17399" i="14"/>
  <c r="AH17398" i="14"/>
  <c r="E17398" i="14"/>
  <c r="AH17397" i="14"/>
  <c r="E17397" i="14"/>
  <c r="AH17396" i="14"/>
  <c r="E17396" i="14"/>
  <c r="AH17395" i="14"/>
  <c r="E17395" i="14"/>
  <c r="AH17394" i="14"/>
  <c r="E17394" i="14"/>
  <c r="AH17393" i="14"/>
  <c r="E17393" i="14"/>
  <c r="AH17392" i="14"/>
  <c r="E17392" i="14"/>
  <c r="AH17391" i="14"/>
  <c r="E17391" i="14"/>
  <c r="AH17390" i="14"/>
  <c r="AG17390" i="14"/>
  <c r="AE17390" i="14"/>
  <c r="W17390" i="14"/>
  <c r="V17390" i="14"/>
  <c r="T17390" i="14"/>
  <c r="Q17390" i="14"/>
  <c r="P17390" i="14"/>
  <c r="O17390" i="14"/>
  <c r="L17390" i="14"/>
  <c r="K17390" i="14"/>
  <c r="I17390" i="14"/>
  <c r="G17390" i="14"/>
  <c r="E17390" i="14"/>
  <c r="AH17389" i="14"/>
  <c r="E17389" i="14"/>
  <c r="AH17388" i="14"/>
  <c r="V17388" i="14"/>
  <c r="T17388" i="14"/>
  <c r="Q17388" i="14"/>
  <c r="P17388" i="14"/>
  <c r="E17388" i="14"/>
  <c r="AH17387" i="14"/>
  <c r="V17387" i="14"/>
  <c r="T17387" i="14"/>
  <c r="Q17387" i="14"/>
  <c r="P17387" i="14"/>
  <c r="E17387" i="14"/>
  <c r="AH17386" i="14"/>
  <c r="V17386" i="14"/>
  <c r="T17386" i="14"/>
  <c r="Q17386" i="14"/>
  <c r="P17386" i="14"/>
  <c r="E17386" i="14"/>
  <c r="AH17385" i="14"/>
  <c r="Q17385" i="14"/>
  <c r="E17385" i="14"/>
  <c r="AH17384" i="14"/>
  <c r="U17384" i="14"/>
  <c r="T17384" i="14"/>
  <c r="Q17384" i="14"/>
  <c r="P17384" i="14"/>
  <c r="E17384" i="14"/>
  <c r="AH17383" i="14"/>
  <c r="Q17383" i="14"/>
  <c r="O17383" i="14"/>
  <c r="E17383" i="14"/>
  <c r="AH17382" i="14"/>
  <c r="V17382" i="14"/>
  <c r="T17382" i="14"/>
  <c r="Q17382" i="14"/>
  <c r="P17382" i="14"/>
  <c r="E17382" i="14"/>
  <c r="AH17381" i="14"/>
  <c r="Q17381" i="14"/>
  <c r="L17381" i="14"/>
  <c r="E17381" i="14"/>
  <c r="AH17380" i="14"/>
  <c r="AG17380" i="14"/>
  <c r="AE17380" i="14"/>
  <c r="W17380" i="14"/>
  <c r="V17380" i="14"/>
  <c r="Q17380" i="14"/>
  <c r="P17380" i="14"/>
  <c r="L17380" i="14"/>
  <c r="E17380" i="14"/>
  <c r="AH17379" i="14"/>
  <c r="V17379" i="14"/>
  <c r="T17379" i="14"/>
  <c r="Q17379" i="14"/>
  <c r="P17379" i="14"/>
  <c r="E17379" i="14"/>
  <c r="AH17378" i="14"/>
  <c r="V17378" i="14"/>
  <c r="T17378" i="14"/>
  <c r="Q17378" i="14"/>
  <c r="P17378" i="14"/>
  <c r="E17378" i="14"/>
  <c r="AH17377" i="14"/>
  <c r="U17377" i="14"/>
  <c r="T17377" i="14"/>
  <c r="Q17377" i="14"/>
  <c r="P17377" i="14"/>
  <c r="O17377" i="14"/>
  <c r="E17377" i="14"/>
  <c r="AH17376" i="14"/>
  <c r="V17376" i="14"/>
  <c r="T17376" i="14"/>
  <c r="Q17376" i="14"/>
  <c r="P17376" i="14"/>
  <c r="E17376" i="14"/>
  <c r="AH17375" i="14"/>
  <c r="V17375" i="14"/>
  <c r="T17375" i="14"/>
  <c r="Q17375" i="14"/>
  <c r="P17375" i="14"/>
  <c r="E17375" i="14"/>
  <c r="AH17374" i="14"/>
  <c r="V17374" i="14"/>
  <c r="T17374" i="14"/>
  <c r="Q17374" i="14"/>
  <c r="P17374" i="14"/>
  <c r="E17374" i="14"/>
  <c r="AH17373" i="14"/>
  <c r="V17373" i="14"/>
  <c r="U17373" i="14"/>
  <c r="T17373" i="14"/>
  <c r="Q17373" i="14"/>
  <c r="P17373" i="14"/>
  <c r="E17373" i="14"/>
  <c r="AH17372" i="14"/>
  <c r="V17372" i="14"/>
  <c r="T17372" i="14"/>
  <c r="Q17372" i="14"/>
  <c r="P17372" i="14"/>
  <c r="E17372" i="14"/>
  <c r="AH17371" i="14"/>
  <c r="V17371" i="14"/>
  <c r="T17371" i="14"/>
  <c r="Q17371" i="14"/>
  <c r="P17371" i="14"/>
  <c r="E17371" i="14"/>
  <c r="AH17370" i="14"/>
  <c r="V17370" i="14"/>
  <c r="T17370" i="14"/>
  <c r="Q17370" i="14"/>
  <c r="P17370" i="14"/>
  <c r="E17370" i="14"/>
  <c r="AH17369" i="14"/>
  <c r="V17369" i="14"/>
  <c r="T17369" i="14"/>
  <c r="Q17369" i="14"/>
  <c r="P17369" i="14"/>
  <c r="O17369" i="14"/>
  <c r="E17369" i="14"/>
  <c r="AH17368" i="14"/>
  <c r="V17368" i="14"/>
  <c r="T17368" i="14"/>
  <c r="Q17368" i="14"/>
  <c r="P17368" i="14"/>
  <c r="E17368" i="14"/>
  <c r="AH17367" i="14"/>
  <c r="W17367" i="14"/>
  <c r="V17367" i="14"/>
  <c r="Q17367" i="14"/>
  <c r="P17367" i="14"/>
  <c r="E17367" i="14"/>
  <c r="AH17366" i="14"/>
  <c r="V17366" i="14"/>
  <c r="Q17366" i="14"/>
  <c r="P17366" i="14"/>
  <c r="E17366" i="14"/>
  <c r="AH17365" i="14"/>
  <c r="V17365" i="14"/>
  <c r="T17365" i="14"/>
  <c r="Q17365" i="14"/>
  <c r="P17365" i="14"/>
  <c r="E17365" i="14"/>
  <c r="AH17364" i="14"/>
  <c r="W17364" i="14"/>
  <c r="V17364" i="14"/>
  <c r="U17364" i="14"/>
  <c r="T17364" i="14"/>
  <c r="Q17364" i="14"/>
  <c r="P17364" i="14"/>
  <c r="E17364" i="14"/>
  <c r="AH17363" i="14"/>
  <c r="V17363" i="14"/>
  <c r="U17363" i="14"/>
  <c r="T17363" i="14"/>
  <c r="Q17363" i="14"/>
  <c r="P17363" i="14"/>
  <c r="E17363" i="14"/>
  <c r="AH17362" i="14"/>
  <c r="W17362" i="14"/>
  <c r="V17362" i="14"/>
  <c r="U17362" i="14"/>
  <c r="T17362" i="14"/>
  <c r="Q17362" i="14"/>
  <c r="P17362" i="14"/>
  <c r="E17362" i="14"/>
  <c r="AH17361" i="14"/>
  <c r="W17361" i="14"/>
  <c r="V17361" i="14"/>
  <c r="U17361" i="14"/>
  <c r="T17361" i="14"/>
  <c r="Q17361" i="14"/>
  <c r="P17361" i="14"/>
  <c r="O17361" i="14"/>
  <c r="E17361" i="14"/>
  <c r="AH17360" i="14"/>
  <c r="V17360" i="14"/>
  <c r="T17360" i="14"/>
  <c r="Q17360" i="14"/>
  <c r="P17360" i="14"/>
  <c r="E17360" i="14"/>
  <c r="AH17359" i="14"/>
  <c r="V17359" i="14"/>
  <c r="U17359" i="14"/>
  <c r="T17359" i="14"/>
  <c r="Q17359" i="14"/>
  <c r="P17359" i="14"/>
  <c r="E17359" i="14"/>
  <c r="AH17358" i="14"/>
  <c r="V17358" i="14"/>
  <c r="T17358" i="14"/>
  <c r="Q17358" i="14"/>
  <c r="P17358" i="14"/>
  <c r="E17358" i="14"/>
  <c r="AH17357" i="14"/>
  <c r="V17357" i="14"/>
  <c r="T17357" i="14"/>
  <c r="Q17357" i="14"/>
  <c r="P17357" i="14"/>
  <c r="O17357" i="14"/>
  <c r="E17357" i="14"/>
  <c r="AH17356" i="14"/>
  <c r="AG17356" i="14"/>
  <c r="AF17356" i="14"/>
  <c r="AE17356" i="14"/>
  <c r="W17356" i="14"/>
  <c r="V17356" i="14"/>
  <c r="T17356" i="14"/>
  <c r="Q17356" i="14"/>
  <c r="P17356" i="14"/>
  <c r="L17356" i="14"/>
  <c r="K17356" i="14"/>
  <c r="I17356" i="14"/>
  <c r="E17356" i="14"/>
  <c r="AH17355" i="14"/>
  <c r="AG17355" i="14"/>
  <c r="AE17355" i="14"/>
  <c r="W17355" i="14"/>
  <c r="V17355" i="14"/>
  <c r="U17355" i="14"/>
  <c r="T17355" i="14"/>
  <c r="Q17355" i="14"/>
  <c r="P17355" i="14"/>
  <c r="L17355" i="14"/>
  <c r="K17355" i="14"/>
  <c r="E17355" i="14"/>
  <c r="AH17354" i="14"/>
  <c r="V17354" i="14"/>
  <c r="T17354" i="14"/>
  <c r="Q17354" i="14"/>
  <c r="P17354" i="14"/>
  <c r="E17354" i="14"/>
  <c r="AH17353" i="14"/>
  <c r="V17353" i="14"/>
  <c r="T17353" i="14"/>
  <c r="Q17353" i="14"/>
  <c r="P17353" i="14"/>
  <c r="E17353" i="14"/>
  <c r="AH17352" i="14"/>
  <c r="AG17352" i="14"/>
  <c r="AF17352" i="14"/>
  <c r="AE17352" i="14"/>
  <c r="W17352" i="14"/>
  <c r="V17352" i="14"/>
  <c r="T17352" i="14"/>
  <c r="Q17352" i="14"/>
  <c r="P17352" i="14"/>
  <c r="L17352" i="14"/>
  <c r="E17352" i="14"/>
  <c r="AH17351" i="14"/>
  <c r="V17351" i="14"/>
  <c r="U17351" i="14"/>
  <c r="T17351" i="14"/>
  <c r="Q17351" i="14"/>
  <c r="P17351" i="14"/>
  <c r="E17351" i="14"/>
  <c r="AH17350" i="14"/>
  <c r="V17350" i="14"/>
  <c r="T17350" i="14"/>
  <c r="Q17350" i="14"/>
  <c r="P17350" i="14"/>
  <c r="E17350" i="14"/>
  <c r="AH17349" i="14"/>
  <c r="V17349" i="14"/>
  <c r="T17349" i="14"/>
  <c r="Q17349" i="14"/>
  <c r="P17349" i="14"/>
  <c r="E17349" i="14"/>
  <c r="AH17348" i="14"/>
  <c r="W17348" i="14"/>
  <c r="V17348" i="14"/>
  <c r="U17348" i="14"/>
  <c r="T17348" i="14"/>
  <c r="Q17348" i="14"/>
  <c r="P17348" i="14"/>
  <c r="E17348" i="14"/>
  <c r="AH17347" i="14"/>
  <c r="V17347" i="14"/>
  <c r="T17347" i="14"/>
  <c r="Q17347" i="14"/>
  <c r="P17347" i="14"/>
  <c r="E17347" i="14"/>
  <c r="AH17346" i="14"/>
  <c r="L17346" i="14"/>
  <c r="K17346" i="14"/>
  <c r="I17346" i="14"/>
  <c r="E17346" i="14"/>
  <c r="AH17345" i="14"/>
  <c r="AG17345" i="14"/>
  <c r="AF17345" i="14"/>
  <c r="AE17345" i="14"/>
  <c r="W17345" i="14"/>
  <c r="V17345" i="14"/>
  <c r="U17345" i="14"/>
  <c r="T17345" i="14"/>
  <c r="Q17345" i="14"/>
  <c r="P17345" i="14"/>
  <c r="L17345" i="14"/>
  <c r="K17345" i="14"/>
  <c r="I17345" i="14"/>
  <c r="E17345" i="14"/>
  <c r="AH17344" i="14"/>
  <c r="AG17344" i="14"/>
  <c r="AF17344" i="14"/>
  <c r="AE17344" i="14"/>
  <c r="V17344" i="14"/>
  <c r="U17344" i="14"/>
  <c r="T17344" i="14"/>
  <c r="Q17344" i="14"/>
  <c r="P17344" i="14"/>
  <c r="O17344" i="14"/>
  <c r="L17344" i="14"/>
  <c r="K17344" i="14"/>
  <c r="I17344" i="14"/>
  <c r="E17344" i="14"/>
  <c r="AH17343" i="14"/>
  <c r="E17343" i="14"/>
  <c r="AH17342" i="14"/>
  <c r="V17342" i="14"/>
  <c r="U17342" i="14"/>
  <c r="T17342" i="14"/>
  <c r="Q17342" i="14"/>
  <c r="P17342" i="14"/>
  <c r="E17342" i="14"/>
  <c r="AH17341" i="14"/>
  <c r="V17341" i="14"/>
  <c r="T17341" i="14"/>
  <c r="Q17341" i="14"/>
  <c r="P17341" i="14"/>
  <c r="E17341" i="14"/>
  <c r="AH17340" i="14"/>
  <c r="V17340" i="14"/>
  <c r="T17340" i="14"/>
  <c r="Q17340" i="14"/>
  <c r="P17340" i="14"/>
  <c r="E17340" i="14"/>
  <c r="AH17339" i="14"/>
  <c r="W17339" i="14"/>
  <c r="V17339" i="14"/>
  <c r="T17339" i="14"/>
  <c r="Q17339" i="14"/>
  <c r="P17339" i="14"/>
  <c r="E17339" i="14"/>
  <c r="AH17338" i="14"/>
  <c r="V17338" i="14"/>
  <c r="T17338" i="14"/>
  <c r="Q17338" i="14"/>
  <c r="P17338" i="14"/>
  <c r="E17338" i="14"/>
  <c r="AH17337" i="14"/>
  <c r="W17337" i="14"/>
  <c r="V17337" i="14"/>
  <c r="T17337" i="14"/>
  <c r="Q17337" i="14"/>
  <c r="P17337" i="14"/>
  <c r="E17337" i="14"/>
  <c r="AH17336" i="14"/>
  <c r="V17336" i="14"/>
  <c r="T17336" i="14"/>
  <c r="Q17336" i="14"/>
  <c r="P17336" i="14"/>
  <c r="E17336" i="14"/>
  <c r="AH17335" i="14"/>
  <c r="V17335" i="14"/>
  <c r="U17335" i="14"/>
  <c r="T17335" i="14"/>
  <c r="Q17335" i="14"/>
  <c r="P17335" i="14"/>
  <c r="E17335" i="14"/>
  <c r="AH17334" i="14"/>
  <c r="AF17334" i="14"/>
  <c r="AE17334" i="14"/>
  <c r="W17334" i="14"/>
  <c r="V17334" i="14"/>
  <c r="U17334" i="14"/>
  <c r="T17334" i="14"/>
  <c r="Q17334" i="14"/>
  <c r="P17334" i="14"/>
  <c r="E17334" i="14"/>
  <c r="AH17333" i="14"/>
  <c r="V17333" i="14"/>
  <c r="T17333" i="14"/>
  <c r="Q17333" i="14"/>
  <c r="P17333" i="14"/>
  <c r="E17333" i="14"/>
  <c r="AH17332" i="14"/>
  <c r="V17332" i="14"/>
  <c r="T17332" i="14"/>
  <c r="Q17332" i="14"/>
  <c r="P17332" i="14"/>
  <c r="E17332" i="14"/>
  <c r="AH17331" i="14"/>
  <c r="V17331" i="14"/>
  <c r="T17331" i="14"/>
  <c r="Q17331" i="14"/>
  <c r="P17331" i="14"/>
  <c r="O17331" i="14"/>
  <c r="E17331" i="14"/>
  <c r="AH17330" i="14"/>
  <c r="V17330" i="14"/>
  <c r="T17330" i="14"/>
  <c r="Q17330" i="14"/>
  <c r="P17330" i="14"/>
  <c r="O17330" i="14"/>
  <c r="E17330" i="14"/>
  <c r="AH17329" i="14"/>
  <c r="W17329" i="14"/>
  <c r="V17329" i="14"/>
  <c r="U17329" i="14"/>
  <c r="T17329" i="14"/>
  <c r="Q17329" i="14"/>
  <c r="P17329" i="14"/>
  <c r="O17329" i="14"/>
  <c r="E17329" i="14"/>
  <c r="AH17328" i="14"/>
  <c r="V17328" i="14"/>
  <c r="T17328" i="14"/>
  <c r="Q17328" i="14"/>
  <c r="P17328" i="14"/>
  <c r="E17328" i="14"/>
  <c r="AH17327" i="14"/>
  <c r="V17327" i="14"/>
  <c r="T17327" i="14"/>
  <c r="Q17327" i="14"/>
  <c r="P17327" i="14"/>
  <c r="E17327" i="14"/>
  <c r="AH17326" i="14"/>
  <c r="V17326" i="14"/>
  <c r="T17326" i="14"/>
  <c r="Q17326" i="14"/>
  <c r="P17326" i="14"/>
  <c r="E17326" i="14"/>
  <c r="AH17325" i="14"/>
  <c r="E17325" i="14"/>
  <c r="AH17324" i="14"/>
  <c r="V17324" i="14"/>
  <c r="T17324" i="14"/>
  <c r="Q17324" i="14"/>
  <c r="P17324" i="14"/>
  <c r="E17324" i="14"/>
  <c r="AH17323" i="14"/>
  <c r="E17323" i="14"/>
  <c r="AH17322" i="14"/>
  <c r="W17322" i="14"/>
  <c r="V17322" i="14"/>
  <c r="U17322" i="14"/>
  <c r="T17322" i="14"/>
  <c r="Q17322" i="14"/>
  <c r="P17322" i="14"/>
  <c r="E17322" i="14"/>
  <c r="AH17321" i="14"/>
  <c r="V17321" i="14"/>
  <c r="T17321" i="14"/>
  <c r="Q17321" i="14"/>
  <c r="P17321" i="14"/>
  <c r="E17321" i="14"/>
  <c r="AH17320" i="14"/>
  <c r="AG17320" i="14"/>
  <c r="AE17320" i="14"/>
  <c r="W17320" i="14"/>
  <c r="V17320" i="14"/>
  <c r="T17320" i="14"/>
  <c r="Q17320" i="14"/>
  <c r="P17320" i="14"/>
  <c r="L17320" i="14"/>
  <c r="K17320" i="14"/>
  <c r="I17320" i="14"/>
  <c r="E17320" i="14"/>
  <c r="AH17319" i="14"/>
  <c r="AG17319" i="14"/>
  <c r="AF17319" i="14"/>
  <c r="AE17319" i="14"/>
  <c r="W17319" i="14"/>
  <c r="V17319" i="14"/>
  <c r="T17319" i="14"/>
  <c r="Q17319" i="14"/>
  <c r="P17319" i="14"/>
  <c r="L17319" i="14"/>
  <c r="E17319" i="14"/>
  <c r="AH17318" i="14"/>
  <c r="V17318" i="14"/>
  <c r="T17318" i="14"/>
  <c r="Q17318" i="14"/>
  <c r="P17318" i="14"/>
  <c r="E17318" i="14"/>
  <c r="AH17317" i="14"/>
  <c r="AG17317" i="14"/>
  <c r="AF17317" i="14"/>
  <c r="AE17317" i="14"/>
  <c r="W17317" i="14"/>
  <c r="V17317" i="14"/>
  <c r="U17317" i="14"/>
  <c r="T17317" i="14"/>
  <c r="Q17317" i="14"/>
  <c r="P17317" i="14"/>
  <c r="L17317" i="14"/>
  <c r="K17317" i="14"/>
  <c r="I17317" i="14"/>
  <c r="E17317" i="14"/>
  <c r="AH17316" i="14"/>
  <c r="Q17316" i="14"/>
  <c r="P17316" i="14"/>
  <c r="E17316" i="14"/>
  <c r="AH17315" i="14"/>
  <c r="V17315" i="14"/>
  <c r="T17315" i="14"/>
  <c r="Q17315" i="14"/>
  <c r="P17315" i="14"/>
  <c r="E17315" i="14"/>
  <c r="AH17314" i="14"/>
  <c r="E17314" i="14"/>
  <c r="AH17313" i="14"/>
  <c r="V17313" i="14"/>
  <c r="P17313" i="14"/>
  <c r="E17313" i="14"/>
  <c r="AH17312" i="14"/>
  <c r="V17312" i="14"/>
  <c r="T17312" i="14"/>
  <c r="Q17312" i="14"/>
  <c r="P17312" i="14"/>
  <c r="E17312" i="14"/>
  <c r="AH17311" i="14"/>
  <c r="E17311" i="14"/>
  <c r="AH17310" i="14"/>
  <c r="V17310" i="14"/>
  <c r="T17310" i="14"/>
  <c r="Q17310" i="14"/>
  <c r="P17310" i="14"/>
  <c r="E17310" i="14"/>
  <c r="AH17309" i="14"/>
  <c r="E17309" i="14"/>
  <c r="AH17308" i="14"/>
  <c r="P17308" i="14"/>
  <c r="E17308" i="14"/>
  <c r="AH17307" i="14"/>
  <c r="AE17307" i="14"/>
  <c r="E17307" i="14"/>
  <c r="AH17306" i="14"/>
  <c r="E17306" i="14"/>
  <c r="AH17305" i="14"/>
  <c r="E17305" i="14"/>
  <c r="AH17304" i="14"/>
  <c r="E17304" i="14"/>
  <c r="AH17303" i="14"/>
  <c r="E17303" i="14"/>
  <c r="AH17302" i="14"/>
  <c r="E17302" i="14"/>
  <c r="AH17301" i="14"/>
  <c r="E17301" i="14"/>
  <c r="AH17300" i="14"/>
  <c r="W17300" i="14"/>
  <c r="V17300" i="14"/>
  <c r="Q17300" i="14"/>
  <c r="P17300" i="14"/>
  <c r="O17300" i="14"/>
  <c r="E17300" i="14"/>
  <c r="AH17299" i="14"/>
  <c r="E17299" i="14"/>
  <c r="AH17298" i="14"/>
  <c r="W17298" i="14"/>
  <c r="V17298" i="14"/>
  <c r="Q17298" i="14"/>
  <c r="P17298" i="14"/>
  <c r="O17298" i="14"/>
  <c r="E17298" i="14"/>
  <c r="AH17297" i="14"/>
  <c r="V17297" i="14"/>
  <c r="U17297" i="14"/>
  <c r="T17297" i="14"/>
  <c r="Q17297" i="14"/>
  <c r="P17297" i="14"/>
  <c r="E17297" i="14"/>
  <c r="AH17296" i="14"/>
  <c r="V17296" i="14"/>
  <c r="U17296" i="14"/>
  <c r="T17296" i="14"/>
  <c r="Q17296" i="14"/>
  <c r="P17296" i="14"/>
  <c r="E17296" i="14"/>
  <c r="AH17295" i="14"/>
  <c r="Q17295" i="14"/>
  <c r="P17295" i="14"/>
  <c r="O17295" i="14"/>
  <c r="E17295" i="14"/>
  <c r="AH17294" i="14"/>
  <c r="V17294" i="14"/>
  <c r="Q17294" i="14"/>
  <c r="P17294" i="14"/>
  <c r="E17294" i="14"/>
  <c r="AH17293" i="14"/>
  <c r="V17293" i="14"/>
  <c r="Q17293" i="14"/>
  <c r="P17293" i="14"/>
  <c r="E17293" i="14"/>
  <c r="AH17292" i="14"/>
  <c r="AF17292" i="14"/>
  <c r="AE17292" i="14"/>
  <c r="W17292" i="14"/>
  <c r="V17292" i="14"/>
  <c r="U17292" i="14"/>
  <c r="T17292" i="14"/>
  <c r="Q17292" i="14"/>
  <c r="P17292" i="14"/>
  <c r="E17292" i="14"/>
  <c r="AH17291" i="14"/>
  <c r="W17291" i="14"/>
  <c r="V17291" i="14"/>
  <c r="U17291" i="14"/>
  <c r="T17291" i="14"/>
  <c r="Q17291" i="14"/>
  <c r="P17291" i="14"/>
  <c r="O17291" i="14"/>
  <c r="E17291" i="14"/>
  <c r="AH17290" i="14"/>
  <c r="Q17290" i="14"/>
  <c r="E17290" i="14"/>
  <c r="AH17289" i="14"/>
  <c r="W17289" i="14"/>
  <c r="V17289" i="14"/>
  <c r="U17289" i="14"/>
  <c r="T17289" i="14"/>
  <c r="Q17289" i="14"/>
  <c r="P17289" i="14"/>
  <c r="O17289" i="14"/>
  <c r="E17289" i="14"/>
  <c r="AH17288" i="14"/>
  <c r="W17288" i="14"/>
  <c r="V17288" i="14"/>
  <c r="U17288" i="14"/>
  <c r="T17288" i="14"/>
  <c r="Q17288" i="14"/>
  <c r="P17288" i="14"/>
  <c r="E17288" i="14"/>
  <c r="AH17287" i="14"/>
  <c r="V17287" i="14"/>
  <c r="T17287" i="14"/>
  <c r="Q17287" i="14"/>
  <c r="P17287" i="14"/>
  <c r="E17287" i="14"/>
  <c r="AH17286" i="14"/>
  <c r="AF17286" i="14"/>
  <c r="AE17286" i="14"/>
  <c r="W17286" i="14"/>
  <c r="V17286" i="14"/>
  <c r="U17286" i="14"/>
  <c r="T17286" i="14"/>
  <c r="Q17286" i="14"/>
  <c r="P17286" i="14"/>
  <c r="E17286" i="14"/>
  <c r="AH17285" i="14"/>
  <c r="W17285" i="14"/>
  <c r="V17285" i="14"/>
  <c r="U17285" i="14"/>
  <c r="T17285" i="14"/>
  <c r="Q17285" i="14"/>
  <c r="P17285" i="14"/>
  <c r="E17285" i="14"/>
  <c r="AH17284" i="14"/>
  <c r="W17284" i="14"/>
  <c r="V17284" i="14"/>
  <c r="U17284" i="14"/>
  <c r="T17284" i="14"/>
  <c r="Q17284" i="14"/>
  <c r="P17284" i="14"/>
  <c r="E17284" i="14"/>
  <c r="AH17283" i="14"/>
  <c r="V17283" i="14"/>
  <c r="T17283" i="14"/>
  <c r="Q17283" i="14"/>
  <c r="P17283" i="14"/>
  <c r="E17283" i="14"/>
  <c r="AH17282" i="14"/>
  <c r="U17282" i="14"/>
  <c r="T17282" i="14"/>
  <c r="Q17282" i="14"/>
  <c r="P17282" i="14"/>
  <c r="E17282" i="14"/>
  <c r="AH17281" i="14"/>
  <c r="V17281" i="14"/>
  <c r="T17281" i="14"/>
  <c r="Q17281" i="14"/>
  <c r="P17281" i="14"/>
  <c r="E17281" i="14"/>
  <c r="AH17280" i="14"/>
  <c r="V17280" i="14"/>
  <c r="T17280" i="14"/>
  <c r="Q17280" i="14"/>
  <c r="P17280" i="14"/>
  <c r="E17280" i="14"/>
  <c r="AH17279" i="14"/>
  <c r="V17279" i="14"/>
  <c r="U17279" i="14"/>
  <c r="T17279" i="14"/>
  <c r="Q17279" i="14"/>
  <c r="P17279" i="14"/>
  <c r="E17279" i="14"/>
  <c r="AH17278" i="14"/>
  <c r="AG17278" i="14"/>
  <c r="AF17278" i="14"/>
  <c r="AE17278" i="14"/>
  <c r="W17278" i="14"/>
  <c r="V17278" i="14"/>
  <c r="U17278" i="14"/>
  <c r="T17278" i="14"/>
  <c r="Q17278" i="14"/>
  <c r="P17278" i="14"/>
  <c r="O17278" i="14"/>
  <c r="E17278" i="14"/>
  <c r="AH17277" i="14"/>
  <c r="W17277" i="14"/>
  <c r="V17277" i="14"/>
  <c r="U17277" i="14"/>
  <c r="T17277" i="14"/>
  <c r="Q17277" i="14"/>
  <c r="P17277" i="14"/>
  <c r="E17277" i="14"/>
  <c r="AH17276" i="14"/>
  <c r="W17276" i="14"/>
  <c r="V17276" i="14"/>
  <c r="T17276" i="14"/>
  <c r="Q17276" i="14"/>
  <c r="P17276" i="14"/>
  <c r="E17276" i="14"/>
  <c r="AH17275" i="14"/>
  <c r="E17275" i="14"/>
  <c r="AH17274" i="14"/>
  <c r="W17274" i="14"/>
  <c r="V17274" i="14"/>
  <c r="U17274" i="14"/>
  <c r="T17274" i="14"/>
  <c r="Q17274" i="14"/>
  <c r="P17274" i="14"/>
  <c r="E17274" i="14"/>
  <c r="AH17273" i="14"/>
  <c r="V17273" i="14"/>
  <c r="T17273" i="14"/>
  <c r="Q17273" i="14"/>
  <c r="P17273" i="14"/>
  <c r="E17273" i="14"/>
  <c r="AH17272" i="14"/>
  <c r="P17272" i="14"/>
  <c r="E17272" i="14"/>
  <c r="AH17271" i="14"/>
  <c r="P17271" i="14"/>
  <c r="E17271" i="14"/>
  <c r="AH17270" i="14"/>
  <c r="P17270" i="14"/>
  <c r="E17270" i="14"/>
  <c r="AH17269" i="14"/>
  <c r="P17269" i="14"/>
  <c r="E17269" i="14"/>
  <c r="AH17268" i="14"/>
  <c r="P17268" i="14"/>
  <c r="E17268" i="14"/>
  <c r="AH17267" i="14"/>
  <c r="P17267" i="14"/>
  <c r="E17267" i="14"/>
  <c r="AH17266" i="14"/>
  <c r="P17266" i="14"/>
  <c r="E17266" i="14"/>
  <c r="AH17265" i="14"/>
  <c r="P17265" i="14"/>
  <c r="E17265" i="14"/>
  <c r="AH17264" i="14"/>
  <c r="P17264" i="14"/>
  <c r="E17264" i="14"/>
  <c r="AH17263" i="14"/>
  <c r="P17263" i="14"/>
  <c r="E17263" i="14"/>
  <c r="AH17262" i="14"/>
  <c r="P17262" i="14"/>
  <c r="E17262" i="14"/>
  <c r="AH17261" i="14"/>
  <c r="P17261" i="14"/>
  <c r="E17261" i="14"/>
  <c r="AH17260" i="14"/>
  <c r="P17260" i="14"/>
  <c r="E17260" i="14"/>
  <c r="AH17259" i="14"/>
  <c r="P17259" i="14"/>
  <c r="E17259" i="14"/>
  <c r="AH17258" i="14"/>
  <c r="P17258" i="14"/>
  <c r="E17258" i="14"/>
  <c r="AH17257" i="14"/>
  <c r="P17257" i="14"/>
  <c r="E17257" i="14"/>
  <c r="AH17256" i="14"/>
  <c r="P17256" i="14"/>
  <c r="E17256" i="14"/>
  <c r="AH17255" i="14"/>
  <c r="P17255" i="14"/>
  <c r="E17255" i="14"/>
  <c r="AH17254" i="14"/>
  <c r="P17254" i="14"/>
  <c r="E17254" i="14"/>
  <c r="AH17253" i="14"/>
  <c r="P17253" i="14"/>
  <c r="E17253" i="14"/>
  <c r="AH17252" i="14"/>
  <c r="P17252" i="14"/>
  <c r="E17252" i="14"/>
  <c r="AH17251" i="14"/>
  <c r="P17251" i="14"/>
  <c r="E17251" i="14"/>
  <c r="AH17250" i="14"/>
  <c r="Q17250" i="14"/>
  <c r="P17250" i="14"/>
  <c r="E17250" i="14"/>
  <c r="AH17249" i="14"/>
  <c r="Q17249" i="14"/>
  <c r="P17249" i="14"/>
  <c r="O17249" i="14"/>
  <c r="E17249" i="14"/>
  <c r="AH17248" i="14"/>
  <c r="Q17248" i="14"/>
  <c r="P17248" i="14"/>
  <c r="O17248" i="14"/>
  <c r="E17248" i="14"/>
  <c r="AH17247" i="14"/>
  <c r="Q17247" i="14"/>
  <c r="P17247" i="14"/>
  <c r="E17247" i="14"/>
  <c r="AH17246" i="14"/>
  <c r="Q17246" i="14"/>
  <c r="P17246" i="14"/>
  <c r="E17246" i="14"/>
  <c r="AH17245" i="14"/>
  <c r="Q17245" i="14"/>
  <c r="P17245" i="14"/>
  <c r="O17245" i="14"/>
  <c r="E17245" i="14"/>
  <c r="AH17244" i="14"/>
  <c r="Q17244" i="14"/>
  <c r="P17244" i="14"/>
  <c r="O17244" i="14"/>
  <c r="E17244" i="14"/>
  <c r="AH17243" i="14"/>
  <c r="Q17243" i="14"/>
  <c r="P17243" i="14"/>
  <c r="O17243" i="14"/>
  <c r="E17243" i="14"/>
  <c r="AH17242" i="14"/>
  <c r="Q17242" i="14"/>
  <c r="P17242" i="14"/>
  <c r="O17242" i="14"/>
  <c r="E17242" i="14"/>
  <c r="AH17241" i="14"/>
  <c r="Q17241" i="14"/>
  <c r="P17241" i="14"/>
  <c r="E17241" i="14"/>
  <c r="AH17240" i="14"/>
  <c r="Q17240" i="14"/>
  <c r="P17240" i="14"/>
  <c r="O17240" i="14"/>
  <c r="E17240" i="14"/>
  <c r="AH17239" i="14"/>
  <c r="Q17239" i="14"/>
  <c r="P17239" i="14"/>
  <c r="E17239" i="14"/>
  <c r="AH17238" i="14"/>
  <c r="Q17238" i="14"/>
  <c r="P17238" i="14"/>
  <c r="O17238" i="14"/>
  <c r="E17238" i="14"/>
  <c r="AH17237" i="14"/>
  <c r="Q17237" i="14"/>
  <c r="P17237" i="14"/>
  <c r="O17237" i="14"/>
  <c r="E17237" i="14"/>
  <c r="AH17236" i="14"/>
  <c r="P17236" i="14"/>
  <c r="E17236" i="14"/>
  <c r="AH17235" i="14"/>
  <c r="P17235" i="14"/>
  <c r="E17235" i="14"/>
  <c r="AH17234" i="14"/>
  <c r="P17234" i="14"/>
  <c r="E17234" i="14"/>
  <c r="AH17233" i="14"/>
  <c r="P17233" i="14"/>
  <c r="E17233" i="14"/>
  <c r="AH17232" i="14"/>
  <c r="P17232" i="14"/>
  <c r="E17232" i="14"/>
  <c r="AH17231" i="14"/>
  <c r="P17231" i="14"/>
  <c r="E17231" i="14"/>
  <c r="AH17230" i="14"/>
  <c r="P17230" i="14"/>
  <c r="E17230" i="14"/>
  <c r="AH17229" i="14"/>
  <c r="P17229" i="14"/>
  <c r="E17229" i="14"/>
  <c r="AH17228" i="14"/>
  <c r="P17228" i="14"/>
  <c r="E17228" i="14"/>
  <c r="AH17227" i="14"/>
  <c r="P17227" i="14"/>
  <c r="E17227" i="14"/>
  <c r="AH17226" i="14"/>
  <c r="P17226" i="14"/>
  <c r="E17226" i="14"/>
  <c r="AH17225" i="14"/>
  <c r="E17225" i="14"/>
  <c r="AH17224" i="14"/>
  <c r="P17224" i="14"/>
  <c r="E17224" i="14"/>
  <c r="AH17223" i="14"/>
  <c r="P17223" i="14"/>
  <c r="E17223" i="14"/>
  <c r="AH17222" i="14"/>
  <c r="P17222" i="14"/>
  <c r="E17222" i="14"/>
  <c r="AH17221" i="14"/>
  <c r="P17221" i="14"/>
  <c r="O17221" i="14"/>
  <c r="E17221" i="14"/>
  <c r="AH17220" i="14"/>
  <c r="P17220" i="14"/>
  <c r="E17220" i="14"/>
  <c r="AH17219" i="14"/>
  <c r="E17219" i="14"/>
  <c r="AH17218" i="14"/>
  <c r="E17218" i="14"/>
  <c r="AH17217" i="14"/>
  <c r="E17217" i="14"/>
  <c r="AH17216" i="14"/>
  <c r="E17216" i="14"/>
  <c r="AH17215" i="14"/>
  <c r="E17215" i="14"/>
  <c r="AH17214" i="14"/>
  <c r="E17214" i="14"/>
  <c r="AH17213" i="14"/>
  <c r="E17213" i="14"/>
  <c r="AH17212" i="14"/>
  <c r="E17212" i="14"/>
  <c r="AH17211" i="14"/>
  <c r="E17211" i="14"/>
  <c r="AH17210" i="14"/>
  <c r="E17210" i="14"/>
  <c r="AH17209" i="14"/>
  <c r="E17209" i="14"/>
  <c r="AH17208" i="14"/>
  <c r="E17208" i="14"/>
  <c r="AH17207" i="14"/>
  <c r="E17207" i="14"/>
  <c r="AH17206" i="14"/>
  <c r="E17206" i="14"/>
  <c r="AH17205" i="14"/>
  <c r="E17205" i="14"/>
  <c r="AH17204" i="14"/>
  <c r="E17204" i="14"/>
  <c r="AH17203" i="14"/>
  <c r="E17203" i="14"/>
  <c r="AH17202" i="14"/>
  <c r="E17202" i="14"/>
  <c r="AH17201" i="14"/>
  <c r="E17201" i="14"/>
  <c r="AH17200" i="14"/>
  <c r="E17200" i="14"/>
  <c r="AH17199" i="14"/>
  <c r="E17199" i="14"/>
  <c r="AH17198" i="14"/>
  <c r="E17198" i="14"/>
  <c r="AH17197" i="14"/>
  <c r="E17197" i="14"/>
  <c r="AH17196" i="14"/>
  <c r="E17196" i="14"/>
  <c r="AH17195" i="14"/>
  <c r="E17195" i="14"/>
  <c r="AH17194" i="14"/>
  <c r="E17194" i="14"/>
  <c r="AH17193" i="14"/>
  <c r="E17193" i="14"/>
  <c r="AH17192" i="14"/>
  <c r="E17192" i="14"/>
  <c r="AH17191" i="14"/>
  <c r="E17191" i="14"/>
  <c r="AH17190" i="14"/>
  <c r="E17190" i="14"/>
  <c r="AH17189" i="14"/>
  <c r="E17189" i="14"/>
  <c r="AH17188" i="14"/>
  <c r="E17188" i="14"/>
  <c r="AH17187" i="14"/>
  <c r="E17187" i="14"/>
  <c r="AH17186" i="14"/>
  <c r="E17186" i="14"/>
  <c r="AH17185" i="14"/>
  <c r="E17185" i="14"/>
  <c r="AH17184" i="14"/>
  <c r="E17184" i="14"/>
  <c r="AH17183" i="14"/>
  <c r="E17183" i="14"/>
  <c r="AH17182" i="14"/>
  <c r="E17182" i="14"/>
  <c r="AH17181" i="14"/>
  <c r="E17181" i="14"/>
  <c r="AH17180" i="14"/>
  <c r="E17180" i="14"/>
  <c r="AH17179" i="14"/>
  <c r="E17179" i="14"/>
  <c r="AH17178" i="14"/>
  <c r="E17178" i="14"/>
  <c r="AH17177" i="14"/>
  <c r="E17177" i="14"/>
  <c r="AH17176" i="14"/>
  <c r="E17176" i="14"/>
  <c r="AH17175" i="14"/>
  <c r="E17175" i="14"/>
  <c r="AH17174" i="14"/>
  <c r="E17174" i="14"/>
  <c r="AH17173" i="14"/>
  <c r="E17173" i="14"/>
  <c r="AH17172" i="14"/>
  <c r="E17172" i="14"/>
  <c r="AH17171" i="14"/>
  <c r="E17171" i="14"/>
  <c r="AH17170" i="14"/>
  <c r="E17170" i="14"/>
  <c r="AH17169" i="14"/>
  <c r="E17169" i="14"/>
  <c r="AH17168" i="14"/>
  <c r="E17168" i="14"/>
  <c r="AH17167" i="14"/>
  <c r="E17167" i="14"/>
  <c r="AH17166" i="14"/>
  <c r="E17166" i="14"/>
  <c r="AH17165" i="14"/>
  <c r="E17165" i="14"/>
  <c r="AH17164" i="14"/>
  <c r="E17164" i="14"/>
  <c r="AH17163" i="14"/>
  <c r="E17163" i="14"/>
  <c r="AH17162" i="14"/>
  <c r="E17162" i="14"/>
  <c r="AH17161" i="14"/>
  <c r="E17161" i="14"/>
  <c r="AH17160" i="14"/>
  <c r="E17160" i="14"/>
  <c r="AH17159" i="14"/>
  <c r="E17159" i="14"/>
  <c r="AH17158" i="14"/>
  <c r="E17158" i="14"/>
  <c r="AH17157" i="14"/>
  <c r="E17157" i="14"/>
  <c r="AH17156" i="14"/>
  <c r="E17156" i="14"/>
  <c r="AH17155" i="14"/>
  <c r="E17155" i="14"/>
  <c r="AH17154" i="14"/>
  <c r="E17154" i="14"/>
  <c r="AH17153" i="14"/>
  <c r="E17153" i="14"/>
  <c r="AH17152" i="14"/>
  <c r="E17152" i="14"/>
  <c r="AH17151" i="14"/>
  <c r="E17151" i="14"/>
  <c r="AH17150" i="14"/>
  <c r="E17150" i="14"/>
  <c r="AH17149" i="14"/>
  <c r="E17149" i="14"/>
  <c r="AH17148" i="14"/>
  <c r="E17148" i="14"/>
  <c r="AH17147" i="14"/>
  <c r="E17147" i="14"/>
  <c r="AH17146" i="14"/>
  <c r="E17146" i="14"/>
  <c r="AH17145" i="14"/>
  <c r="E17145" i="14"/>
  <c r="AH17144" i="14"/>
  <c r="Q17144" i="14"/>
  <c r="E17144" i="14"/>
  <c r="AH17143" i="14"/>
  <c r="E17143" i="14"/>
  <c r="AH17142" i="14"/>
  <c r="E17142" i="14"/>
  <c r="AH17141" i="14"/>
  <c r="E17141" i="14"/>
  <c r="AH17140" i="14"/>
  <c r="E17140" i="14"/>
  <c r="AH17139" i="14"/>
  <c r="E17139" i="14"/>
  <c r="AH17138" i="14"/>
  <c r="E17138" i="14"/>
  <c r="AH17137" i="14"/>
  <c r="Q17137" i="14"/>
  <c r="P17137" i="14"/>
  <c r="O17137" i="14"/>
  <c r="E17137" i="14"/>
  <c r="AH17136" i="14"/>
  <c r="Q17136" i="14"/>
  <c r="P17136" i="14"/>
  <c r="E17136" i="14"/>
  <c r="AH17135" i="14"/>
  <c r="Q17135" i="14"/>
  <c r="P17135" i="14"/>
  <c r="O17135" i="14"/>
  <c r="E17135" i="14"/>
  <c r="AH17134" i="14"/>
  <c r="E17134" i="14"/>
  <c r="AH17133" i="14"/>
  <c r="E17133" i="14"/>
  <c r="AH17132" i="14"/>
  <c r="E17132" i="14"/>
  <c r="AH17131" i="14"/>
  <c r="E17131" i="14"/>
  <c r="AH17130" i="14"/>
  <c r="E17130" i="14"/>
  <c r="AH17129" i="14"/>
  <c r="E17129" i="14"/>
  <c r="AH17128" i="14"/>
  <c r="E17128" i="14"/>
  <c r="AH17127" i="14"/>
  <c r="E17127" i="14"/>
  <c r="AH17126" i="14"/>
  <c r="E17126" i="14"/>
  <c r="AH17125" i="14"/>
  <c r="E17125" i="14"/>
  <c r="AH17124" i="14"/>
  <c r="E17124" i="14"/>
  <c r="AH17123" i="14"/>
  <c r="E17123" i="14"/>
  <c r="AH17122" i="14"/>
  <c r="E17122" i="14"/>
  <c r="AH17121" i="14"/>
  <c r="E17121" i="14"/>
  <c r="AH17120" i="14"/>
  <c r="E17120" i="14"/>
  <c r="AH17119" i="14"/>
  <c r="E17119" i="14"/>
  <c r="AH17118" i="14"/>
  <c r="E17118" i="14"/>
  <c r="AH17117" i="14"/>
  <c r="E17117" i="14"/>
  <c r="AH17116" i="14"/>
  <c r="E17116" i="14"/>
  <c r="AH17115" i="14"/>
  <c r="E17115" i="14"/>
  <c r="AH17114" i="14"/>
  <c r="E17114" i="14"/>
  <c r="AH17113" i="14"/>
  <c r="E17113" i="14"/>
  <c r="AH17112" i="14"/>
  <c r="E17112" i="14"/>
  <c r="AH17111" i="14"/>
  <c r="E17111" i="14"/>
  <c r="AH17110" i="14"/>
  <c r="E17110" i="14"/>
  <c r="AH17109" i="14"/>
  <c r="E17109" i="14"/>
  <c r="AH17108" i="14"/>
  <c r="E17108" i="14"/>
  <c r="AH17107" i="14"/>
  <c r="E17107" i="14"/>
  <c r="AH17106" i="14"/>
  <c r="E17106" i="14"/>
  <c r="AH17105" i="14"/>
  <c r="E17105" i="14"/>
  <c r="AH17104" i="14"/>
  <c r="E17104" i="14"/>
  <c r="AH17103" i="14"/>
  <c r="E17103" i="14"/>
  <c r="AH17102" i="14"/>
  <c r="E17102" i="14"/>
  <c r="AH17101" i="14"/>
  <c r="E17101" i="14"/>
  <c r="AH17100" i="14"/>
  <c r="E17100" i="14"/>
  <c r="AH17099" i="14"/>
  <c r="E17099" i="14"/>
  <c r="AH17098" i="14"/>
  <c r="P17098" i="14"/>
  <c r="E17098" i="14"/>
  <c r="AH17097" i="14"/>
  <c r="E17097" i="14"/>
  <c r="AH17096" i="14"/>
  <c r="E17096" i="14"/>
  <c r="AH17095" i="14"/>
  <c r="E17095" i="14"/>
  <c r="AH17094" i="14"/>
  <c r="E17094" i="14"/>
  <c r="AH17093" i="14"/>
  <c r="E17093" i="14"/>
  <c r="AH17092" i="14"/>
  <c r="E17092" i="14"/>
  <c r="AH17091" i="14"/>
  <c r="E17091" i="14"/>
  <c r="AH17090" i="14"/>
  <c r="E17090" i="14"/>
  <c r="AH17089" i="14"/>
  <c r="E17089" i="14"/>
  <c r="AH17088" i="14"/>
  <c r="E17088" i="14"/>
  <c r="AH17087" i="14"/>
  <c r="E17087" i="14"/>
  <c r="AH17086" i="14"/>
  <c r="E17086" i="14"/>
  <c r="AH17085" i="14"/>
  <c r="E17085" i="14"/>
  <c r="AH17084" i="14"/>
  <c r="E17084" i="14"/>
  <c r="AH17083" i="14"/>
  <c r="E17083" i="14"/>
  <c r="AH17082" i="14"/>
  <c r="E17082" i="14"/>
  <c r="AH17081" i="14"/>
  <c r="E17081" i="14"/>
  <c r="AH17080" i="14"/>
  <c r="E17080" i="14"/>
  <c r="AH17079" i="14"/>
  <c r="E17079" i="14"/>
  <c r="AH17078" i="14"/>
  <c r="E17078" i="14"/>
  <c r="AH17077" i="14"/>
  <c r="E17077" i="14"/>
  <c r="AH17076" i="14"/>
  <c r="E17076" i="14"/>
  <c r="AH17075" i="14"/>
  <c r="E17075" i="14"/>
  <c r="AH17074" i="14"/>
  <c r="E17074" i="14"/>
  <c r="AH17073" i="14"/>
  <c r="E17073" i="14"/>
  <c r="AH17072" i="14"/>
  <c r="E17072" i="14"/>
  <c r="AH17071" i="14"/>
  <c r="E17071" i="14"/>
  <c r="AH17070" i="14"/>
  <c r="E17070" i="14"/>
  <c r="AH17069" i="14"/>
  <c r="E17069" i="14"/>
  <c r="AH17068" i="14"/>
  <c r="E17068" i="14"/>
  <c r="AH17067" i="14"/>
  <c r="E17067" i="14"/>
  <c r="AH17066" i="14"/>
  <c r="E17066" i="14"/>
  <c r="AH17065" i="14"/>
  <c r="E17065" i="14"/>
  <c r="AH17064" i="14"/>
  <c r="E17064" i="14"/>
  <c r="AH17063" i="14"/>
  <c r="E17063" i="14"/>
  <c r="AH17062" i="14"/>
  <c r="E17062" i="14"/>
  <c r="AH17061" i="14"/>
  <c r="E17061" i="14"/>
  <c r="AH17060" i="14"/>
  <c r="E17060" i="14"/>
  <c r="AH17059" i="14"/>
  <c r="E17059" i="14"/>
  <c r="AH17058" i="14"/>
  <c r="E17058" i="14"/>
  <c r="AH17057" i="14"/>
  <c r="E17057" i="14"/>
  <c r="AH17056" i="14"/>
  <c r="E17056" i="14"/>
  <c r="AH17055" i="14"/>
  <c r="E17055" i="14"/>
  <c r="AH17054" i="14"/>
  <c r="E17054" i="14"/>
  <c r="AH17053" i="14"/>
  <c r="E17053" i="14"/>
  <c r="AH17052" i="14"/>
  <c r="E17052" i="14"/>
  <c r="AH17051" i="14"/>
  <c r="E17051" i="14"/>
  <c r="AH17050" i="14"/>
  <c r="E17050" i="14"/>
  <c r="AH17049" i="14"/>
  <c r="E17049" i="14"/>
  <c r="AH17048" i="14"/>
  <c r="E17048" i="14"/>
  <c r="AH17047" i="14"/>
  <c r="E17047" i="14"/>
  <c r="AH17046" i="14"/>
  <c r="E17046" i="14"/>
  <c r="AH17045" i="14"/>
  <c r="E17045" i="14"/>
  <c r="AH17044" i="14"/>
  <c r="E17044" i="14"/>
  <c r="AH17043" i="14"/>
  <c r="E17043" i="14"/>
  <c r="AH17042" i="14"/>
  <c r="E17042" i="14"/>
  <c r="AH17041" i="14"/>
  <c r="E17041" i="14"/>
  <c r="AH17040" i="14"/>
  <c r="E17040" i="14"/>
  <c r="AH17039" i="14"/>
  <c r="E17039" i="14"/>
  <c r="AH17038" i="14"/>
  <c r="E17038" i="14"/>
  <c r="AH17037" i="14"/>
  <c r="E17037" i="14"/>
  <c r="AH17036" i="14"/>
  <c r="E17036" i="14"/>
  <c r="AH17035" i="14"/>
  <c r="E17035" i="14"/>
  <c r="AH17034" i="14"/>
  <c r="E17034" i="14"/>
  <c r="AH17033" i="14"/>
  <c r="E17033" i="14"/>
  <c r="AH17032" i="14"/>
  <c r="E17032" i="14"/>
  <c r="AH17031" i="14"/>
  <c r="E17031" i="14"/>
  <c r="AH17030" i="14"/>
  <c r="E17030" i="14"/>
  <c r="AH17029" i="14"/>
  <c r="E17029" i="14"/>
  <c r="AH17028" i="14"/>
  <c r="E17028" i="14"/>
  <c r="AH17027" i="14"/>
  <c r="E17027" i="14"/>
  <c r="AH17026" i="14"/>
  <c r="E17026" i="14"/>
  <c r="AH17025" i="14"/>
  <c r="E17025" i="14"/>
  <c r="AH17024" i="14"/>
  <c r="E17024" i="14"/>
  <c r="AH17023" i="14"/>
  <c r="E17023" i="14"/>
  <c r="AH17022" i="14"/>
  <c r="E17022" i="14"/>
  <c r="AH17021" i="14"/>
  <c r="E17021" i="14"/>
  <c r="AH17020" i="14"/>
  <c r="E17020" i="14"/>
  <c r="AH17019" i="14"/>
  <c r="E17019" i="14"/>
  <c r="AH17018" i="14"/>
  <c r="E17018" i="14"/>
  <c r="AH17017" i="14"/>
  <c r="E17017" i="14"/>
  <c r="AH17016" i="14"/>
  <c r="E17016" i="14"/>
  <c r="AH17015" i="14"/>
  <c r="E17015" i="14"/>
  <c r="AH17014" i="14"/>
  <c r="E17014" i="14"/>
  <c r="AH17013" i="14"/>
  <c r="E17013" i="14"/>
  <c r="AH17012" i="14"/>
  <c r="E17012" i="14"/>
  <c r="AH17011" i="14"/>
  <c r="E17011" i="14"/>
  <c r="AH17010" i="14"/>
  <c r="E17010" i="14"/>
  <c r="AH17009" i="14"/>
  <c r="E17009" i="14"/>
  <c r="AH17008" i="14"/>
  <c r="E17008" i="14"/>
  <c r="AH17007" i="14"/>
  <c r="E17007" i="14"/>
  <c r="AH17006" i="14"/>
  <c r="E17006" i="14"/>
  <c r="AH17005" i="14"/>
  <c r="E17005" i="14"/>
  <c r="AH17004" i="14"/>
  <c r="E17004" i="14"/>
  <c r="AH17003" i="14"/>
  <c r="E17003" i="14"/>
  <c r="AH17002" i="14"/>
  <c r="Q17002" i="14"/>
  <c r="E17002" i="14"/>
  <c r="AH17001" i="14"/>
  <c r="E17001" i="14"/>
  <c r="AH17000" i="14"/>
  <c r="E17000" i="14"/>
  <c r="AH16999" i="14"/>
  <c r="E16999" i="14"/>
  <c r="AH16998" i="14"/>
  <c r="E16998" i="14"/>
  <c r="AH16997" i="14"/>
  <c r="E16997" i="14"/>
  <c r="AH16996" i="14"/>
  <c r="E16996" i="14"/>
  <c r="AH16995" i="14"/>
  <c r="E16995" i="14"/>
  <c r="AH16994" i="14"/>
  <c r="E16994" i="14"/>
  <c r="AH16993" i="14"/>
  <c r="V16993" i="14"/>
  <c r="T16993" i="14"/>
  <c r="Q16993" i="14"/>
  <c r="P16993" i="14"/>
  <c r="E16993" i="14"/>
  <c r="AH16992" i="14"/>
  <c r="E16992" i="14"/>
  <c r="AH16991" i="14"/>
  <c r="E16991" i="14"/>
  <c r="AH16990" i="14"/>
  <c r="E16990" i="14"/>
  <c r="AH16989" i="14"/>
  <c r="E16989" i="14"/>
  <c r="AH16988" i="14"/>
  <c r="E16988" i="14"/>
  <c r="AH16987" i="14"/>
  <c r="E16987" i="14"/>
  <c r="AH16986" i="14"/>
  <c r="E16986" i="14"/>
  <c r="AH16985" i="14"/>
  <c r="Q16985" i="14"/>
  <c r="E16985" i="14"/>
  <c r="AH16984" i="14"/>
  <c r="E16984" i="14"/>
  <c r="AH16983" i="14"/>
  <c r="E16983" i="14"/>
  <c r="AH16982" i="14"/>
  <c r="E16982" i="14"/>
  <c r="AH16981" i="14"/>
  <c r="E16981" i="14"/>
  <c r="AH16980" i="14"/>
  <c r="E16980" i="14"/>
  <c r="AH16979" i="14"/>
  <c r="E16979" i="14"/>
  <c r="AH16978" i="14"/>
  <c r="E16978" i="14"/>
  <c r="AH16977" i="14"/>
  <c r="Q16977" i="14"/>
  <c r="E16977" i="14"/>
  <c r="AH16976" i="14"/>
  <c r="E16976" i="14"/>
  <c r="AH16975" i="14"/>
  <c r="E16975" i="14"/>
  <c r="AH16974" i="14"/>
  <c r="E16974" i="14"/>
  <c r="AH16973" i="14"/>
  <c r="E16973" i="14"/>
  <c r="AH16972" i="14"/>
  <c r="E16972" i="14"/>
  <c r="AH16971" i="14"/>
  <c r="E16971" i="14"/>
  <c r="AH16970" i="14"/>
  <c r="E16970" i="14"/>
  <c r="AH16969" i="14"/>
  <c r="E16969" i="14"/>
  <c r="AH16968" i="14"/>
  <c r="E16968" i="14"/>
  <c r="AH16967" i="14"/>
  <c r="E16967" i="14"/>
  <c r="AH16966" i="14"/>
  <c r="E16966" i="14"/>
  <c r="AH16965" i="14"/>
  <c r="E16965" i="14"/>
  <c r="AH16964" i="14"/>
  <c r="E16964" i="14"/>
  <c r="AH16963" i="14"/>
  <c r="E16963" i="14"/>
  <c r="AH16962" i="14"/>
  <c r="E16962" i="14"/>
  <c r="AH16961" i="14"/>
  <c r="E16961" i="14"/>
  <c r="AH16960" i="14"/>
  <c r="E16960" i="14"/>
  <c r="AH16959" i="14"/>
  <c r="E16959" i="14"/>
  <c r="AH16958" i="14"/>
  <c r="E16958" i="14"/>
  <c r="AH16957" i="14"/>
  <c r="E16957" i="14"/>
  <c r="AH16956" i="14"/>
  <c r="E16956" i="14"/>
  <c r="AH16955" i="14"/>
  <c r="E16955" i="14"/>
  <c r="AH16954" i="14"/>
  <c r="E16954" i="14"/>
  <c r="AH16953" i="14"/>
  <c r="E16953" i="14"/>
  <c r="AH16952" i="14"/>
  <c r="E16952" i="14"/>
  <c r="AH16951" i="14"/>
  <c r="E16951" i="14"/>
  <c r="AH16950" i="14"/>
  <c r="E16950" i="14"/>
  <c r="AH16949" i="14"/>
  <c r="E16949" i="14"/>
  <c r="AH16948" i="14"/>
  <c r="E16948" i="14"/>
  <c r="AH16947" i="14"/>
  <c r="E16947" i="14"/>
  <c r="AH16946" i="14"/>
  <c r="E16946" i="14"/>
  <c r="AH16945" i="14"/>
  <c r="E16945" i="14"/>
  <c r="AH16944" i="14"/>
  <c r="E16944" i="14"/>
  <c r="AH16943" i="14"/>
  <c r="E16943" i="14"/>
  <c r="AH16942" i="14"/>
  <c r="E16942" i="14"/>
  <c r="AH16941" i="14"/>
  <c r="E16941" i="14"/>
  <c r="AH16940" i="14"/>
  <c r="E16940" i="14"/>
  <c r="AH16939" i="14"/>
  <c r="E16939" i="14"/>
  <c r="AH16938" i="14"/>
  <c r="E16938" i="14"/>
  <c r="AH16937" i="14"/>
  <c r="E16937" i="14"/>
  <c r="AH16936" i="14"/>
  <c r="E16936" i="14"/>
  <c r="AH16935" i="14"/>
  <c r="E16935" i="14"/>
  <c r="AH16934" i="14"/>
  <c r="E16934" i="14"/>
  <c r="AH16933" i="14"/>
  <c r="E16933" i="14"/>
  <c r="AH16932" i="14"/>
  <c r="E16932" i="14"/>
  <c r="AH16931" i="14"/>
  <c r="E16931" i="14"/>
  <c r="AH16930" i="14"/>
  <c r="E16930" i="14"/>
  <c r="AH16929" i="14"/>
  <c r="E16929" i="14"/>
  <c r="AH16928" i="14"/>
  <c r="E16928" i="14"/>
  <c r="AH16927" i="14"/>
  <c r="E16927" i="14"/>
  <c r="AH16926" i="14"/>
  <c r="E16926" i="14"/>
  <c r="AH16925" i="14"/>
  <c r="E16925" i="14"/>
  <c r="AH16924" i="14"/>
  <c r="E16924" i="14"/>
  <c r="AH16923" i="14"/>
  <c r="E16923" i="14"/>
  <c r="AH16922" i="14"/>
  <c r="E16922" i="14"/>
  <c r="AH16921" i="14"/>
  <c r="E16921" i="14"/>
  <c r="AH16920" i="14"/>
  <c r="E16920" i="14"/>
  <c r="AH16919" i="14"/>
  <c r="E16919" i="14"/>
  <c r="AH16918" i="14"/>
  <c r="E16918" i="14"/>
  <c r="AH16917" i="14"/>
  <c r="E16917" i="14"/>
  <c r="AH16916" i="14"/>
  <c r="E16916" i="14"/>
  <c r="AH16915" i="14"/>
  <c r="E16915" i="14"/>
  <c r="AH16914" i="14"/>
  <c r="E16914" i="14"/>
  <c r="AH16913" i="14"/>
  <c r="E16913" i="14"/>
  <c r="AH16912" i="14"/>
  <c r="E16912" i="14"/>
  <c r="AH16911" i="14"/>
  <c r="E16911" i="14"/>
  <c r="AH16910" i="14"/>
  <c r="E16910" i="14"/>
  <c r="AH16909" i="14"/>
  <c r="E16909" i="14"/>
  <c r="AH16908" i="14"/>
  <c r="E16908" i="14"/>
  <c r="AH16907" i="14"/>
  <c r="E16907" i="14"/>
  <c r="AH16906" i="14"/>
  <c r="E16906" i="14"/>
  <c r="AH16905" i="14"/>
  <c r="E16905" i="14"/>
  <c r="AH16904" i="14"/>
  <c r="E16904" i="14"/>
  <c r="AH16903" i="14"/>
  <c r="E16903" i="14"/>
  <c r="AH16902" i="14"/>
  <c r="E16902" i="14"/>
  <c r="AH16901" i="14"/>
  <c r="E16901" i="14"/>
  <c r="AH16900" i="14"/>
  <c r="E16900" i="14"/>
  <c r="AH16899" i="14"/>
  <c r="E16899" i="14"/>
  <c r="AH16898" i="14"/>
  <c r="E16898" i="14"/>
  <c r="AH16897" i="14"/>
  <c r="E16897" i="14"/>
  <c r="AH16896" i="14"/>
  <c r="E16896" i="14"/>
  <c r="AH16895" i="14"/>
  <c r="E16895" i="14"/>
  <c r="AH16894" i="14"/>
  <c r="E16894" i="14"/>
  <c r="AH16893" i="14"/>
  <c r="E16893" i="14"/>
  <c r="AH16892" i="14"/>
  <c r="E16892" i="14"/>
  <c r="AH16891" i="14"/>
  <c r="E16891" i="14"/>
  <c r="AH16890" i="14"/>
  <c r="E16890" i="14"/>
  <c r="AH16889" i="14"/>
  <c r="E16889" i="14"/>
  <c r="AH16888" i="14"/>
  <c r="E16888" i="14"/>
  <c r="AH16887" i="14"/>
  <c r="E16887" i="14"/>
  <c r="AH16886" i="14"/>
  <c r="E16886" i="14"/>
  <c r="AH16885" i="14"/>
  <c r="E16885" i="14"/>
  <c r="AH16884" i="14"/>
  <c r="E16884" i="14"/>
  <c r="AH16883" i="14"/>
  <c r="E16883" i="14"/>
  <c r="AH16882" i="14"/>
  <c r="E16882" i="14"/>
  <c r="AH16881" i="14"/>
  <c r="E16881" i="14"/>
  <c r="AH16880" i="14"/>
  <c r="E16880" i="14"/>
  <c r="AH16879" i="14"/>
  <c r="E16879" i="14"/>
  <c r="AH16878" i="14"/>
  <c r="E16878" i="14"/>
  <c r="AH16877" i="14"/>
  <c r="E16877" i="14"/>
  <c r="AH16876" i="14"/>
  <c r="E16876" i="14"/>
  <c r="AH16875" i="14"/>
  <c r="E16875" i="14"/>
  <c r="AH16874" i="14"/>
  <c r="E16874" i="14"/>
  <c r="AH16873" i="14"/>
  <c r="E16873" i="14"/>
  <c r="AH16872" i="14"/>
  <c r="E16872" i="14"/>
  <c r="AH16871" i="14"/>
  <c r="E16871" i="14"/>
  <c r="AH16870" i="14"/>
  <c r="E16870" i="14"/>
  <c r="AH16869" i="14"/>
  <c r="E16869" i="14"/>
  <c r="AH16868" i="14"/>
  <c r="E16868" i="14"/>
  <c r="AH16867" i="14"/>
  <c r="E16867" i="14"/>
  <c r="AH16866" i="14"/>
  <c r="E16866" i="14"/>
  <c r="AH16865" i="14"/>
  <c r="E16865" i="14"/>
  <c r="AH16864" i="14"/>
  <c r="E16864" i="14"/>
  <c r="AH16863" i="14"/>
  <c r="O16863" i="14"/>
  <c r="K16863" i="14"/>
  <c r="I16863" i="14"/>
  <c r="G16863" i="14"/>
  <c r="E16863" i="14"/>
  <c r="AH16862" i="14"/>
  <c r="E16862" i="14"/>
  <c r="AH16861" i="14"/>
  <c r="E16861" i="14"/>
  <c r="AH16860" i="14"/>
  <c r="E16860" i="14"/>
  <c r="AH16859" i="14"/>
  <c r="E16859" i="14"/>
  <c r="AH16858" i="14"/>
  <c r="E16858" i="14"/>
  <c r="AH16857" i="14"/>
  <c r="E16857" i="14"/>
  <c r="AH16856" i="14"/>
  <c r="Q16856" i="14"/>
  <c r="E16856" i="14"/>
  <c r="AH16855" i="14"/>
  <c r="Q16855" i="14"/>
  <c r="E16855" i="14"/>
  <c r="AH16854" i="14"/>
  <c r="Q16854" i="14"/>
  <c r="E16854" i="14"/>
  <c r="AH16853" i="14"/>
  <c r="AE16853" i="14"/>
  <c r="Q16853" i="14"/>
  <c r="E16853" i="14"/>
  <c r="AH16852" i="14"/>
  <c r="E16852" i="14"/>
  <c r="AH16851" i="14"/>
  <c r="Q16851" i="14"/>
  <c r="E16851" i="14"/>
  <c r="AH16850" i="14"/>
  <c r="Q16850" i="14"/>
  <c r="E16850" i="14"/>
  <c r="AH16849" i="14"/>
  <c r="Q16849" i="14"/>
  <c r="E16849" i="14"/>
  <c r="AH16848" i="14"/>
  <c r="Q16848" i="14"/>
  <c r="E16848" i="14"/>
  <c r="AH16847" i="14"/>
  <c r="Q16847" i="14"/>
  <c r="E16847" i="14"/>
  <c r="AH16846" i="14"/>
  <c r="Q16846" i="14"/>
  <c r="E16846" i="14"/>
  <c r="AH16845" i="14"/>
  <c r="Q16845" i="14"/>
  <c r="E16845" i="14"/>
  <c r="AH16844" i="14"/>
  <c r="Q16844" i="14"/>
  <c r="E16844" i="14"/>
  <c r="AH16843" i="14"/>
  <c r="Q16843" i="14"/>
  <c r="E16843" i="14"/>
  <c r="AH16842" i="14"/>
  <c r="Q16842" i="14"/>
  <c r="E16842" i="14"/>
  <c r="AH16841" i="14"/>
  <c r="Q16841" i="14"/>
  <c r="E16841" i="14"/>
  <c r="AH16840" i="14"/>
  <c r="Q16840" i="14"/>
  <c r="E16840" i="14"/>
  <c r="AH16839" i="14"/>
  <c r="Q16839" i="14"/>
  <c r="E16839" i="14"/>
  <c r="AH16838" i="14"/>
  <c r="Q16838" i="14"/>
  <c r="E16838" i="14"/>
  <c r="AH16837" i="14"/>
  <c r="E16837" i="14"/>
  <c r="AH16836" i="14"/>
  <c r="E16836" i="14"/>
  <c r="AH16835" i="14"/>
  <c r="E16835" i="14"/>
  <c r="AH16834" i="14"/>
  <c r="E16834" i="14"/>
  <c r="AH16833" i="14"/>
  <c r="E16833" i="14"/>
  <c r="AH16832" i="14"/>
  <c r="E16832" i="14"/>
  <c r="AH16831" i="14"/>
  <c r="E16831" i="14"/>
  <c r="AL16830" i="14"/>
  <c r="AH16830" i="14"/>
  <c r="E16830" i="14"/>
  <c r="AH16829" i="14"/>
  <c r="E16829" i="14"/>
  <c r="AH16828" i="14"/>
  <c r="E16828" i="14"/>
  <c r="AH16827" i="14"/>
  <c r="E16827" i="14"/>
  <c r="AH16826" i="14"/>
  <c r="E16826" i="14"/>
  <c r="AH16825" i="14"/>
  <c r="Q16825" i="14"/>
  <c r="E16825" i="14"/>
  <c r="AH16824" i="14"/>
  <c r="E16824" i="14"/>
  <c r="AH16823" i="14"/>
  <c r="P16823" i="14"/>
  <c r="O16823" i="14"/>
  <c r="E16823" i="14"/>
  <c r="AH16822" i="14"/>
  <c r="P16822" i="14"/>
  <c r="E16822" i="14"/>
  <c r="AH16821" i="14"/>
  <c r="P16821" i="14"/>
  <c r="O16821" i="14"/>
  <c r="E16821" i="14"/>
  <c r="AH16820" i="14"/>
  <c r="P16820" i="14"/>
  <c r="E16820" i="14"/>
  <c r="AH16819" i="14"/>
  <c r="P16819" i="14"/>
  <c r="E16819" i="14"/>
  <c r="AH16818" i="14"/>
  <c r="Q16818" i="14"/>
  <c r="P16818" i="14"/>
  <c r="O16818" i="14"/>
  <c r="E16818" i="14"/>
  <c r="AH16817" i="14"/>
  <c r="Q16817" i="14"/>
  <c r="P16817" i="14"/>
  <c r="O16817" i="14"/>
  <c r="E16817" i="14"/>
  <c r="AH16816" i="14"/>
  <c r="Q16816" i="14"/>
  <c r="P16816" i="14"/>
  <c r="O16816" i="14"/>
  <c r="E16816" i="14"/>
  <c r="AH16815" i="14"/>
  <c r="Q16815" i="14"/>
  <c r="P16815" i="14"/>
  <c r="O16815" i="14"/>
  <c r="E16815" i="14"/>
  <c r="AH16814" i="14"/>
  <c r="Q16814" i="14"/>
  <c r="P16814" i="14"/>
  <c r="O16814" i="14"/>
  <c r="E16814" i="14"/>
  <c r="AH16813" i="14"/>
  <c r="Q16813" i="14"/>
  <c r="P16813" i="14"/>
  <c r="O16813" i="14"/>
  <c r="E16813" i="14"/>
  <c r="AH16812" i="14"/>
  <c r="Q16812" i="14"/>
  <c r="P16812" i="14"/>
  <c r="O16812" i="14"/>
  <c r="E16812" i="14"/>
  <c r="AH16811" i="14"/>
  <c r="E16811" i="14"/>
  <c r="AH16810" i="14"/>
  <c r="E16810" i="14"/>
  <c r="AH16809" i="14"/>
  <c r="E16809" i="14"/>
  <c r="AH16808" i="14"/>
  <c r="E16808" i="14"/>
  <c r="AH16807" i="14"/>
  <c r="E16807" i="14"/>
  <c r="AH16806" i="14"/>
  <c r="E16806" i="14"/>
  <c r="AH16805" i="14"/>
  <c r="E16805" i="14"/>
  <c r="AH16804" i="14"/>
  <c r="W16804" i="14"/>
  <c r="V16804" i="14"/>
  <c r="E16804" i="14"/>
  <c r="AH16803" i="14"/>
  <c r="E16803" i="14"/>
  <c r="AH16802" i="14"/>
  <c r="E16802" i="14"/>
  <c r="AH16801" i="14"/>
  <c r="E16801" i="14"/>
  <c r="AH16800" i="14"/>
  <c r="E16800" i="14"/>
  <c r="AH16799" i="14"/>
  <c r="E16799" i="14"/>
  <c r="AH16798" i="14"/>
  <c r="E16798" i="14"/>
  <c r="AH16797" i="14"/>
  <c r="E16797" i="14"/>
  <c r="AH16796" i="14"/>
  <c r="E16796" i="14"/>
  <c r="AH16795" i="14"/>
  <c r="E16795" i="14"/>
  <c r="AH16794" i="14"/>
  <c r="E16794" i="14"/>
  <c r="AH16793" i="14"/>
  <c r="E16793" i="14"/>
  <c r="AH16792" i="14"/>
  <c r="E16792" i="14"/>
  <c r="AH16791" i="14"/>
  <c r="E16791" i="14"/>
  <c r="AH16790" i="14"/>
  <c r="E16790" i="14"/>
  <c r="AH16789" i="14"/>
  <c r="E16789" i="14"/>
  <c r="AH16788" i="14"/>
  <c r="E16788" i="14"/>
  <c r="AH16787" i="14"/>
  <c r="E16787" i="14"/>
  <c r="AH16786" i="14"/>
  <c r="E16786" i="14"/>
  <c r="AH16785" i="14"/>
  <c r="E16785" i="14"/>
  <c r="AH16784" i="14"/>
  <c r="E16784" i="14"/>
  <c r="AH16783" i="14"/>
  <c r="E16783" i="14"/>
  <c r="AH16782" i="14"/>
  <c r="E16782" i="14"/>
  <c r="AH16781" i="14"/>
  <c r="E16781" i="14"/>
  <c r="AH16780" i="14"/>
  <c r="E16780" i="14"/>
  <c r="AH16779" i="14"/>
  <c r="E16779" i="14"/>
  <c r="AH16778" i="14"/>
  <c r="E16778" i="14"/>
  <c r="AH16777" i="14"/>
  <c r="E16777" i="14"/>
  <c r="AH16776" i="14"/>
  <c r="E16776" i="14"/>
  <c r="AH16775" i="14"/>
  <c r="E16775" i="14"/>
  <c r="AH16774" i="14"/>
  <c r="E16774" i="14"/>
  <c r="AH16773" i="14"/>
  <c r="E16773" i="14"/>
  <c r="AH16772" i="14"/>
  <c r="E16772" i="14"/>
  <c r="AH16771" i="14"/>
  <c r="E16771" i="14"/>
  <c r="AH16770" i="14"/>
  <c r="E16770" i="14"/>
  <c r="AH16769" i="14"/>
  <c r="E16769" i="14"/>
  <c r="AH16768" i="14"/>
  <c r="E16768" i="14"/>
  <c r="AH16767" i="14"/>
  <c r="E16767" i="14"/>
  <c r="AH16766" i="14"/>
  <c r="E16766" i="14"/>
  <c r="AH16765" i="14"/>
  <c r="E16765" i="14"/>
  <c r="AH16764" i="14"/>
  <c r="E16764" i="14"/>
  <c r="AH16763" i="14"/>
  <c r="E16763" i="14"/>
  <c r="AH16762" i="14"/>
  <c r="E16762" i="14"/>
  <c r="AH16761" i="14"/>
  <c r="E16761" i="14"/>
  <c r="AH16760" i="14"/>
  <c r="E16760" i="14"/>
  <c r="AH16759" i="14"/>
  <c r="E16759" i="14"/>
  <c r="AH16758" i="14"/>
  <c r="E16758" i="14"/>
  <c r="AH16757" i="14"/>
  <c r="P16757" i="14"/>
  <c r="O16757" i="14"/>
  <c r="E16757" i="14"/>
  <c r="AH16756" i="14"/>
  <c r="E16756" i="14"/>
  <c r="AH16755" i="14"/>
  <c r="P16755" i="14"/>
  <c r="E16755" i="14"/>
  <c r="AH16754" i="14"/>
  <c r="P16754" i="14"/>
  <c r="O16754" i="14"/>
  <c r="E16754" i="14"/>
  <c r="AH16753" i="14"/>
  <c r="P16753" i="14"/>
  <c r="E16753" i="14"/>
  <c r="AH16752" i="14"/>
  <c r="P16752" i="14"/>
  <c r="E16752" i="14"/>
  <c r="AH16751" i="14"/>
  <c r="P16751" i="14"/>
  <c r="E16751" i="14"/>
  <c r="AH16750" i="14"/>
  <c r="E16750" i="14"/>
  <c r="E16749" i="14"/>
  <c r="AH16748" i="14"/>
  <c r="E16748" i="14"/>
  <c r="AH16747" i="14"/>
  <c r="E16747" i="14"/>
  <c r="AH16746" i="14"/>
  <c r="E16746" i="14"/>
  <c r="AH16745" i="14"/>
  <c r="E16745" i="14"/>
  <c r="AH16744" i="14"/>
  <c r="E16744" i="14"/>
  <c r="AH16743" i="14"/>
  <c r="E16743" i="14"/>
  <c r="AH16742" i="14"/>
  <c r="Q16742" i="14"/>
  <c r="E16742" i="14"/>
  <c r="AH16741" i="14"/>
  <c r="Q16741" i="14"/>
  <c r="P16741" i="14"/>
  <c r="O16741" i="14"/>
  <c r="K16741" i="14"/>
  <c r="E16741" i="14"/>
  <c r="AH16740" i="14"/>
  <c r="Q16740" i="14"/>
  <c r="P16740" i="14"/>
  <c r="O16740" i="14"/>
  <c r="K16740" i="14"/>
  <c r="E16740" i="14"/>
  <c r="AH16739" i="14"/>
  <c r="E16739" i="14"/>
  <c r="AH16738" i="14"/>
  <c r="E16738" i="14"/>
  <c r="AH16737" i="14"/>
  <c r="E16737" i="14"/>
  <c r="AH16736" i="14"/>
  <c r="E16736" i="14"/>
  <c r="AH16735" i="14"/>
  <c r="E16735" i="14"/>
  <c r="AH16734" i="14"/>
  <c r="E16734" i="14"/>
  <c r="AH16733" i="14"/>
  <c r="E16733" i="14"/>
  <c r="AH16732" i="14"/>
  <c r="E16732" i="14"/>
  <c r="AH16731" i="14"/>
  <c r="E16731" i="14"/>
  <c r="AH16730" i="14"/>
  <c r="E16730" i="14"/>
  <c r="AH16729" i="14"/>
  <c r="E16729" i="14"/>
  <c r="AH16728" i="14"/>
  <c r="E16728" i="14"/>
  <c r="AH16727" i="14"/>
  <c r="E16727" i="14"/>
  <c r="AH16726" i="14"/>
  <c r="E16726" i="14"/>
  <c r="AH16725" i="14"/>
  <c r="E16725" i="14"/>
  <c r="AH16724" i="14"/>
  <c r="E16724" i="14"/>
  <c r="AH16723" i="14"/>
  <c r="Q16723" i="14"/>
  <c r="E16723" i="14"/>
  <c r="AH16722" i="14"/>
  <c r="P16722" i="14"/>
  <c r="O16722" i="14"/>
  <c r="E16722" i="14"/>
  <c r="AH16721" i="14"/>
  <c r="P16721" i="14"/>
  <c r="O16721" i="14"/>
  <c r="E16721" i="14"/>
  <c r="AH16720" i="14"/>
  <c r="E16720" i="14"/>
  <c r="AH16719" i="14"/>
  <c r="E16719" i="14"/>
  <c r="AH16718" i="14"/>
  <c r="P16718" i="14"/>
  <c r="E16718" i="14"/>
  <c r="AH16717" i="14"/>
  <c r="P16717" i="14"/>
  <c r="E16717" i="14"/>
  <c r="AH16716" i="14"/>
  <c r="P16716" i="14"/>
  <c r="E16716" i="14"/>
  <c r="AH16715" i="14"/>
  <c r="P16715" i="14"/>
  <c r="E16715" i="14"/>
  <c r="AH16714" i="14"/>
  <c r="P16714" i="14"/>
  <c r="E16714" i="14"/>
  <c r="AH16713" i="14"/>
  <c r="P16713" i="14"/>
  <c r="E16713" i="14"/>
  <c r="AH16712" i="14"/>
  <c r="P16712" i="14"/>
  <c r="E16712" i="14"/>
  <c r="AH16711" i="14"/>
  <c r="P16711" i="14"/>
  <c r="O16711" i="14"/>
  <c r="E16711" i="14"/>
  <c r="AH16710" i="14"/>
  <c r="P16710" i="14"/>
  <c r="O16710" i="14"/>
  <c r="E16710" i="14"/>
  <c r="AH16709" i="14"/>
  <c r="P16709" i="14"/>
  <c r="O16709" i="14"/>
  <c r="E16709" i="14"/>
  <c r="AH16708" i="14"/>
  <c r="P16708" i="14"/>
  <c r="E16708" i="14"/>
  <c r="AH16707" i="14"/>
  <c r="E16707" i="14"/>
  <c r="AH16706" i="14"/>
  <c r="E16706" i="14"/>
  <c r="AH16705" i="14"/>
  <c r="E16705" i="14"/>
  <c r="AH16704" i="14"/>
  <c r="E16704" i="14"/>
  <c r="AH16703" i="14"/>
  <c r="E16703" i="14"/>
  <c r="AH16702" i="14"/>
  <c r="E16702" i="14"/>
  <c r="AH16701" i="14"/>
  <c r="E16701" i="14"/>
  <c r="AH16700" i="14"/>
  <c r="E16700" i="14"/>
  <c r="AH16699" i="14"/>
  <c r="E16699" i="14"/>
  <c r="AH16698" i="14"/>
  <c r="E16698" i="14"/>
  <c r="AH16697" i="14"/>
  <c r="E16697" i="14"/>
  <c r="AH16696" i="14"/>
  <c r="E16696" i="14"/>
  <c r="AH16695" i="14"/>
  <c r="E16695" i="14"/>
  <c r="AH16694" i="14"/>
  <c r="E16694" i="14"/>
  <c r="AH16693" i="14"/>
  <c r="E16693" i="14"/>
  <c r="AH16692" i="14"/>
  <c r="Q16692" i="14"/>
  <c r="E16692" i="14"/>
  <c r="AH16691" i="14"/>
  <c r="Q16691" i="14"/>
  <c r="E16691" i="14"/>
  <c r="AH16690" i="14"/>
  <c r="P16690" i="14"/>
  <c r="E16690" i="14"/>
  <c r="AH16689" i="14"/>
  <c r="E16689" i="14"/>
  <c r="AH16688" i="14"/>
  <c r="E16688" i="14"/>
  <c r="AH16687" i="14"/>
  <c r="E16687" i="14"/>
  <c r="AH16686" i="14"/>
  <c r="E16686" i="14"/>
  <c r="AH16685" i="14"/>
  <c r="E16685" i="14"/>
  <c r="AH16684" i="14"/>
  <c r="E16684" i="14"/>
  <c r="AH16683" i="14"/>
  <c r="E16683" i="14"/>
  <c r="AH16682" i="14"/>
  <c r="E16682" i="14"/>
  <c r="AH16681" i="14"/>
  <c r="E16681" i="14"/>
  <c r="AH16680" i="14"/>
  <c r="E16680" i="14"/>
  <c r="AH16679" i="14"/>
  <c r="E16679" i="14"/>
  <c r="AH16678" i="14"/>
  <c r="E16678" i="14"/>
  <c r="AH16677" i="14"/>
  <c r="E16677" i="14"/>
  <c r="AH16676" i="14"/>
  <c r="E16676" i="14"/>
  <c r="AH16675" i="14"/>
  <c r="E16675" i="14"/>
  <c r="AH16674" i="14"/>
  <c r="E16674" i="14"/>
  <c r="AH16673" i="14"/>
  <c r="E16673" i="14"/>
  <c r="AH16672" i="14"/>
  <c r="E16672" i="14"/>
  <c r="AH16671" i="14"/>
  <c r="E16671" i="14"/>
  <c r="AH16670" i="14"/>
  <c r="E16670" i="14"/>
  <c r="AH16669" i="14"/>
  <c r="E16669" i="14"/>
  <c r="AH16668" i="14"/>
  <c r="E16668" i="14"/>
  <c r="AH16667" i="14"/>
  <c r="E16667" i="14"/>
  <c r="AH16666" i="14"/>
  <c r="E16666" i="14"/>
  <c r="AH16665" i="14"/>
  <c r="Q16665" i="14"/>
  <c r="E16665" i="14"/>
  <c r="AH16664" i="14"/>
  <c r="Q16664" i="14"/>
  <c r="E16664" i="14"/>
  <c r="AH16663" i="14"/>
  <c r="Q16663" i="14"/>
  <c r="E16663" i="14"/>
  <c r="AH16662" i="14"/>
  <c r="Q16662" i="14"/>
  <c r="E16662" i="14"/>
  <c r="AH16661" i="14"/>
  <c r="Q16661" i="14"/>
  <c r="E16661" i="14"/>
  <c r="AH16660" i="14"/>
  <c r="Q16660" i="14"/>
  <c r="E16660" i="14"/>
  <c r="AH16659" i="14"/>
  <c r="Q16659" i="14"/>
  <c r="E16659" i="14"/>
  <c r="AH16658" i="14"/>
  <c r="E16658" i="14"/>
  <c r="AH16657" i="14"/>
  <c r="E16657" i="14"/>
  <c r="AH16656" i="14"/>
  <c r="E16656" i="14"/>
  <c r="AH16655" i="14"/>
  <c r="E16655" i="14"/>
  <c r="AH16654" i="14"/>
  <c r="E16654" i="14"/>
  <c r="AH16653" i="14"/>
  <c r="E16653" i="14"/>
  <c r="AH16652" i="14"/>
  <c r="E16652" i="14"/>
  <c r="AH16651" i="14"/>
  <c r="E16651" i="14"/>
  <c r="AH16650" i="14"/>
  <c r="E16650" i="14"/>
  <c r="AH16649" i="14"/>
  <c r="E16649" i="14"/>
  <c r="AH16648" i="14"/>
  <c r="E16648" i="14"/>
  <c r="AH16647" i="14"/>
  <c r="E16647" i="14"/>
  <c r="AH16646" i="14"/>
  <c r="E16646" i="14"/>
  <c r="AH16645" i="14"/>
  <c r="E16645" i="14"/>
  <c r="AH16644" i="14"/>
  <c r="E16644" i="14"/>
  <c r="AH16643" i="14"/>
  <c r="E16643" i="14"/>
  <c r="AH16642" i="14"/>
  <c r="E16642" i="14"/>
  <c r="AH16641" i="14"/>
  <c r="E16641" i="14"/>
  <c r="AH16640" i="14"/>
  <c r="E16640" i="14"/>
  <c r="AH16639" i="14"/>
  <c r="E16639" i="14"/>
  <c r="AH16638" i="14"/>
  <c r="E16638" i="14"/>
  <c r="AH16637" i="14"/>
  <c r="E16637" i="14"/>
  <c r="AH16636" i="14"/>
  <c r="E16636" i="14"/>
  <c r="AH16635" i="14"/>
  <c r="E16635" i="14"/>
  <c r="AH16634" i="14"/>
  <c r="E16634" i="14"/>
  <c r="AH16633" i="14"/>
  <c r="E16633" i="14"/>
  <c r="AH16632" i="14"/>
  <c r="E16632" i="14"/>
  <c r="AH16631" i="14"/>
  <c r="E16631" i="14"/>
  <c r="AH16630" i="14"/>
  <c r="E16630" i="14"/>
  <c r="AH16629" i="14"/>
  <c r="E16629" i="14"/>
  <c r="AH16628" i="14"/>
  <c r="E16628" i="14"/>
  <c r="AH16627" i="14"/>
  <c r="E16627" i="14"/>
  <c r="AH16626" i="14"/>
  <c r="E16626" i="14"/>
  <c r="AH16625" i="14"/>
  <c r="E16625" i="14"/>
  <c r="AH16624" i="14"/>
  <c r="E16624" i="14"/>
  <c r="AH16623" i="14"/>
  <c r="E16623" i="14"/>
  <c r="AH16622" i="14"/>
  <c r="E16622" i="14"/>
  <c r="AH16621" i="14"/>
  <c r="E16621" i="14"/>
  <c r="AH16620" i="14"/>
  <c r="E16620" i="14"/>
  <c r="AH16619" i="14"/>
  <c r="E16619" i="14"/>
  <c r="AH16618" i="14"/>
  <c r="E16618" i="14"/>
  <c r="AH16617" i="14"/>
  <c r="E16617" i="14"/>
  <c r="AH16616" i="14"/>
  <c r="E16616" i="14"/>
  <c r="AH16615" i="14"/>
  <c r="E16615" i="14"/>
  <c r="AH16614" i="14"/>
  <c r="E16614" i="14"/>
  <c r="AH16613" i="14"/>
  <c r="E16613" i="14"/>
  <c r="AH16612" i="14"/>
  <c r="E16612" i="14"/>
  <c r="AH16611" i="14"/>
  <c r="E16611" i="14"/>
  <c r="AH16610" i="14"/>
  <c r="E16610" i="14"/>
  <c r="AH16609" i="14"/>
  <c r="E16609" i="14"/>
  <c r="AH16608" i="14"/>
  <c r="Q16608" i="14"/>
  <c r="E16608" i="14"/>
  <c r="AH16607" i="14"/>
  <c r="Q16607" i="14"/>
  <c r="E16607" i="14"/>
  <c r="AH16606" i="14"/>
  <c r="Q16606" i="14"/>
  <c r="E16606" i="14"/>
  <c r="AH16605" i="14"/>
  <c r="Q16605" i="14"/>
  <c r="E16605" i="14"/>
  <c r="AH16604" i="14"/>
  <c r="Q16604" i="14"/>
  <c r="E16604" i="14"/>
  <c r="AH16603" i="14"/>
  <c r="Q16603" i="14"/>
  <c r="E16603" i="14"/>
  <c r="AH16602" i="14"/>
  <c r="Q16602" i="14"/>
  <c r="E16602" i="14"/>
  <c r="AH16601" i="14"/>
  <c r="Q16601" i="14"/>
  <c r="E16601" i="14"/>
  <c r="AH16600" i="14"/>
  <c r="Q16600" i="14"/>
  <c r="E16600" i="14"/>
  <c r="AH16599" i="14"/>
  <c r="Q16599" i="14"/>
  <c r="E16599" i="14"/>
  <c r="AH16598" i="14"/>
  <c r="Q16598" i="14"/>
  <c r="E16598" i="14"/>
  <c r="AH16597" i="14"/>
  <c r="Q16597" i="14"/>
  <c r="E16597" i="14"/>
  <c r="AH16596" i="14"/>
  <c r="Q16596" i="14"/>
  <c r="E16596" i="14"/>
  <c r="AH16595" i="14"/>
  <c r="Q16595" i="14"/>
  <c r="E16595" i="14"/>
  <c r="AH16594" i="14"/>
  <c r="Q16594" i="14"/>
  <c r="E16594" i="14"/>
  <c r="AH16593" i="14"/>
  <c r="Q16593" i="14"/>
  <c r="E16593" i="14"/>
  <c r="AH16592" i="14"/>
  <c r="Q16592" i="14"/>
  <c r="E16592" i="14"/>
  <c r="AH16591" i="14"/>
  <c r="Q16591" i="14"/>
  <c r="E16591" i="14"/>
  <c r="AH16590" i="14"/>
  <c r="Q16590" i="14"/>
  <c r="E16590" i="14"/>
  <c r="AH16589" i="14"/>
  <c r="Q16589" i="14"/>
  <c r="E16589" i="14"/>
  <c r="AH16588" i="14"/>
  <c r="Q16588" i="14"/>
  <c r="E16588" i="14"/>
  <c r="AH16587" i="14"/>
  <c r="Q16587" i="14"/>
  <c r="E16587" i="14"/>
  <c r="AH16586" i="14"/>
  <c r="Q16586" i="14"/>
  <c r="E16586" i="14"/>
  <c r="AH16585" i="14"/>
  <c r="Q16585" i="14"/>
  <c r="E16585" i="14"/>
  <c r="AH16584" i="14"/>
  <c r="Q16584" i="14"/>
  <c r="E16584" i="14"/>
  <c r="AH16583" i="14"/>
  <c r="Q16583" i="14"/>
  <c r="E16583" i="14"/>
  <c r="AH16582" i="14"/>
  <c r="Q16582" i="14"/>
  <c r="E16582" i="14"/>
  <c r="AH16581" i="14"/>
  <c r="Q16581" i="14"/>
  <c r="E16581" i="14"/>
  <c r="AH16580" i="14"/>
  <c r="Q16580" i="14"/>
  <c r="E16580" i="14"/>
  <c r="AH16579" i="14"/>
  <c r="Q16579" i="14"/>
  <c r="E16579" i="14"/>
  <c r="AH16578" i="14"/>
  <c r="Q16578" i="14"/>
  <c r="E16578" i="14"/>
  <c r="AH16577" i="14"/>
  <c r="Q16577" i="14"/>
  <c r="E16577" i="14"/>
  <c r="AH16576" i="14"/>
  <c r="Q16576" i="14"/>
  <c r="E16576" i="14"/>
  <c r="AH16575" i="14"/>
  <c r="Q16575" i="14"/>
  <c r="E16575" i="14"/>
  <c r="AH16574" i="14"/>
  <c r="Q16574" i="14"/>
  <c r="E16574" i="14"/>
  <c r="AH16573" i="14"/>
  <c r="Q16573" i="14"/>
  <c r="E16573" i="14"/>
  <c r="AH16572" i="14"/>
  <c r="Q16572" i="14"/>
  <c r="E16572" i="14"/>
  <c r="AH16571" i="14"/>
  <c r="Q16571" i="14"/>
  <c r="E16571" i="14"/>
  <c r="AH16570" i="14"/>
  <c r="E16570" i="14"/>
  <c r="AH16569" i="14"/>
  <c r="Q16569" i="14"/>
  <c r="E16569" i="14"/>
  <c r="AH16568" i="14"/>
  <c r="Q16568" i="14"/>
  <c r="E16568" i="14"/>
  <c r="AH16567" i="14"/>
  <c r="Q16567" i="14"/>
  <c r="E16567" i="14"/>
  <c r="AH16566" i="14"/>
  <c r="Q16566" i="14"/>
  <c r="E16566" i="14"/>
  <c r="AH16565" i="14"/>
  <c r="Q16565" i="14"/>
  <c r="E16565" i="14"/>
  <c r="AH16564" i="14"/>
  <c r="Q16564" i="14"/>
  <c r="E16564" i="14"/>
  <c r="AH16563" i="14"/>
  <c r="Q16563" i="14"/>
  <c r="E16563" i="14"/>
  <c r="AH16562" i="14"/>
  <c r="Q16562" i="14"/>
  <c r="E16562" i="14"/>
  <c r="AH16561" i="14"/>
  <c r="Q16561" i="14"/>
  <c r="E16561" i="14"/>
  <c r="AH16560" i="14"/>
  <c r="Q16560" i="14"/>
  <c r="E16560" i="14"/>
  <c r="AH16559" i="14"/>
  <c r="Q16559" i="14"/>
  <c r="E16559" i="14"/>
  <c r="AH16558" i="14"/>
  <c r="Q16558" i="14"/>
  <c r="E16558" i="14"/>
  <c r="AH16557" i="14"/>
  <c r="Q16557" i="14"/>
  <c r="E16557" i="14"/>
  <c r="AH16556" i="14"/>
  <c r="Q16556" i="14"/>
  <c r="E16556" i="14"/>
  <c r="AH16555" i="14"/>
  <c r="Q16555" i="14"/>
  <c r="E16555" i="14"/>
  <c r="AH16554" i="14"/>
  <c r="Q16554" i="14"/>
  <c r="E16554" i="14"/>
  <c r="AH16553" i="14"/>
  <c r="Q16553" i="14"/>
  <c r="E16553" i="14"/>
  <c r="AH16552" i="14"/>
  <c r="Q16552" i="14"/>
  <c r="E16552" i="14"/>
  <c r="AH16551" i="14"/>
  <c r="Q16551" i="14"/>
  <c r="E16551" i="14"/>
  <c r="AH16550" i="14"/>
  <c r="Q16550" i="14"/>
  <c r="E16550" i="14"/>
  <c r="AH16549" i="14"/>
  <c r="Q16549" i="14"/>
  <c r="E16549" i="14"/>
  <c r="AH16548" i="14"/>
  <c r="Q16548" i="14"/>
  <c r="E16548" i="14"/>
  <c r="AH16547" i="14"/>
  <c r="Q16547" i="14"/>
  <c r="E16547" i="14"/>
  <c r="AH16546" i="14"/>
  <c r="Q16546" i="14"/>
  <c r="E16546" i="14"/>
  <c r="AH16545" i="14"/>
  <c r="Q16545" i="14"/>
  <c r="E16545" i="14"/>
  <c r="AH16544" i="14"/>
  <c r="Q16544" i="14"/>
  <c r="E16544" i="14"/>
  <c r="AH16543" i="14"/>
  <c r="Q16543" i="14"/>
  <c r="E16543" i="14"/>
  <c r="AH16542" i="14"/>
  <c r="Q16542" i="14"/>
  <c r="E16542" i="14"/>
  <c r="AH16541" i="14"/>
  <c r="Q16541" i="14"/>
  <c r="E16541" i="14"/>
  <c r="AH16540" i="14"/>
  <c r="Q16540" i="14"/>
  <c r="E16540" i="14"/>
  <c r="AH16539" i="14"/>
  <c r="Q16539" i="14"/>
  <c r="E16539" i="14"/>
  <c r="AH16538" i="14"/>
  <c r="Q16538" i="14"/>
  <c r="E16538" i="14"/>
  <c r="AH16537" i="14"/>
  <c r="Q16537" i="14"/>
  <c r="E16537" i="14"/>
  <c r="AH16536" i="14"/>
  <c r="Q16536" i="14"/>
  <c r="E16536" i="14"/>
  <c r="AH16535" i="14"/>
  <c r="Q16535" i="14"/>
  <c r="E16535" i="14"/>
  <c r="AH16534" i="14"/>
  <c r="Q16534" i="14"/>
  <c r="E16534" i="14"/>
  <c r="AH16533" i="14"/>
  <c r="Q16533" i="14"/>
  <c r="E16533" i="14"/>
  <c r="AH16532" i="14"/>
  <c r="E16532" i="14"/>
  <c r="AH16531" i="14"/>
  <c r="E16531" i="14"/>
  <c r="AH16530" i="14"/>
  <c r="E16530" i="14"/>
  <c r="AH16529" i="14"/>
  <c r="E16529" i="14"/>
  <c r="AH16528" i="14"/>
  <c r="E16528" i="14"/>
  <c r="AH16527" i="14"/>
  <c r="E16527" i="14"/>
  <c r="AH16526" i="14"/>
  <c r="E16526" i="14"/>
  <c r="AH16525" i="14"/>
  <c r="E16525" i="14"/>
  <c r="AH16524" i="14"/>
  <c r="E16524" i="14"/>
  <c r="AH16523" i="14"/>
  <c r="E16523" i="14"/>
  <c r="AH16522" i="14"/>
  <c r="E16522" i="14"/>
  <c r="AH16521" i="14"/>
  <c r="E16521" i="14"/>
  <c r="AH16520" i="14"/>
  <c r="E16520" i="14"/>
  <c r="AH16519" i="14"/>
  <c r="E16519" i="14"/>
  <c r="AH16518" i="14"/>
  <c r="E16518" i="14"/>
  <c r="AH16517" i="14"/>
  <c r="E16517" i="14"/>
  <c r="AH16516" i="14"/>
  <c r="E16516" i="14"/>
  <c r="AH16515" i="14"/>
  <c r="E16515" i="14"/>
  <c r="AH16514" i="14"/>
  <c r="E16514" i="14"/>
  <c r="AH16513" i="14"/>
  <c r="E16513" i="14"/>
  <c r="AH16512" i="14"/>
  <c r="E16512" i="14"/>
  <c r="AH16511" i="14"/>
  <c r="E16511" i="14"/>
  <c r="AH16510" i="14"/>
  <c r="E16510" i="14"/>
  <c r="AH16509" i="14"/>
  <c r="E16509" i="14"/>
  <c r="AH16508" i="14"/>
  <c r="E16508" i="14"/>
  <c r="AH16507" i="14"/>
  <c r="E16507" i="14"/>
  <c r="AH16506" i="14"/>
  <c r="E16506" i="14"/>
  <c r="AH16505" i="14"/>
  <c r="E16505" i="14"/>
  <c r="AH16504" i="14"/>
  <c r="E16504" i="14"/>
  <c r="AH16503" i="14"/>
  <c r="E16503" i="14"/>
  <c r="AH16502" i="14"/>
  <c r="E16502" i="14"/>
  <c r="AH16501" i="14"/>
  <c r="E16501" i="14"/>
  <c r="AH16500" i="14"/>
  <c r="E16500" i="14"/>
  <c r="AH16499" i="14"/>
  <c r="E16499" i="14"/>
  <c r="AH16498" i="14"/>
  <c r="E16498" i="14"/>
  <c r="AH16497" i="14"/>
  <c r="E16497" i="14"/>
  <c r="AH16496" i="14"/>
  <c r="E16496" i="14"/>
  <c r="AH16495" i="14"/>
  <c r="E16495" i="14"/>
  <c r="AH16494" i="14"/>
  <c r="E16494" i="14"/>
  <c r="AH16493" i="14"/>
  <c r="E16493" i="14"/>
  <c r="AH16492" i="14"/>
  <c r="E16492" i="14"/>
  <c r="AH16491" i="14"/>
  <c r="E16491" i="14"/>
  <c r="AH16490" i="14"/>
  <c r="E16490" i="14"/>
  <c r="AH16489" i="14"/>
  <c r="E16489" i="14"/>
  <c r="AH16488" i="14"/>
  <c r="E16488" i="14"/>
  <c r="AH16487" i="14"/>
  <c r="E16487" i="14"/>
  <c r="AH16486" i="14"/>
  <c r="E16486" i="14"/>
  <c r="AH16485" i="14"/>
  <c r="E16485" i="14"/>
  <c r="AH16484" i="14"/>
  <c r="E16484" i="14"/>
  <c r="AH16483" i="14"/>
  <c r="E16483" i="14"/>
  <c r="AH16482" i="14"/>
  <c r="E16482" i="14"/>
  <c r="AH16481" i="14"/>
  <c r="E16481" i="14"/>
  <c r="AH16480" i="14"/>
  <c r="E16480" i="14"/>
  <c r="AH16479" i="14"/>
  <c r="E16479" i="14"/>
  <c r="AH16478" i="14"/>
  <c r="E16478" i="14"/>
  <c r="AH16477" i="14"/>
  <c r="E16477" i="14"/>
  <c r="AH16476" i="14"/>
  <c r="E16476" i="14"/>
  <c r="AH16475" i="14"/>
  <c r="E16475" i="14"/>
  <c r="AH16474" i="14"/>
  <c r="E16474" i="14"/>
  <c r="AH16473" i="14"/>
  <c r="E16473" i="14"/>
  <c r="AH16472" i="14"/>
  <c r="E16472" i="14"/>
  <c r="AH16471" i="14"/>
  <c r="E16471" i="14"/>
  <c r="AH16470" i="14"/>
  <c r="E16470" i="14"/>
  <c r="AH16469" i="14"/>
  <c r="E16469" i="14"/>
  <c r="AH16468" i="14"/>
  <c r="E16468" i="14"/>
  <c r="AH16467" i="14"/>
  <c r="E16467" i="14"/>
  <c r="AH16466" i="14"/>
  <c r="E16466" i="14"/>
  <c r="AH16465" i="14"/>
  <c r="E16465" i="14"/>
  <c r="AH16464" i="14"/>
  <c r="E16464" i="14"/>
  <c r="AH16463" i="14"/>
  <c r="E16463" i="14"/>
  <c r="AH16462" i="14"/>
  <c r="E16462" i="14"/>
  <c r="AH16461" i="14"/>
  <c r="E16461" i="14"/>
  <c r="AH16460" i="14"/>
  <c r="E16460" i="14"/>
  <c r="AH16459" i="14"/>
  <c r="E16459" i="14"/>
  <c r="AH16458" i="14"/>
  <c r="E16458" i="14"/>
  <c r="AH16457" i="14"/>
  <c r="E16457" i="14"/>
  <c r="AH16456" i="14"/>
  <c r="E16456" i="14"/>
  <c r="AH16455" i="14"/>
  <c r="E16455" i="14"/>
  <c r="AH16454" i="14"/>
  <c r="E16454" i="14"/>
  <c r="AH16453" i="14"/>
  <c r="E16453" i="14"/>
  <c r="AH16452" i="14"/>
  <c r="E16452" i="14"/>
  <c r="AH16451" i="14"/>
  <c r="E16451" i="14"/>
  <c r="AH16450" i="14"/>
  <c r="E16450" i="14"/>
  <c r="AH16449" i="14"/>
  <c r="E16449" i="14"/>
  <c r="AH16448" i="14"/>
  <c r="E16448" i="14"/>
  <c r="AH16447" i="14"/>
  <c r="E16447" i="14"/>
  <c r="AH16446" i="14"/>
  <c r="E16446" i="14"/>
  <c r="AH16445" i="14"/>
  <c r="E16445" i="14"/>
  <c r="AH16444" i="14"/>
  <c r="E16444" i="14"/>
  <c r="AH16443" i="14"/>
  <c r="E16443" i="14"/>
  <c r="AH16442" i="14"/>
  <c r="E16442" i="14"/>
  <c r="AH16441" i="14"/>
  <c r="E16441" i="14"/>
  <c r="AH16440" i="14"/>
  <c r="E16440" i="14"/>
  <c r="AH16439" i="14"/>
  <c r="E16439" i="14"/>
  <c r="AH16438" i="14"/>
  <c r="E16438" i="14"/>
  <c r="AH16437" i="14"/>
  <c r="E16437" i="14"/>
  <c r="AH16436" i="14"/>
  <c r="E16436" i="14"/>
  <c r="AH16435" i="14"/>
  <c r="E16435" i="14"/>
  <c r="AH16434" i="14"/>
  <c r="E16434" i="14"/>
  <c r="AH16433" i="14"/>
  <c r="E16433" i="14"/>
  <c r="AH16432" i="14"/>
  <c r="E16432" i="14"/>
  <c r="AH16431" i="14"/>
  <c r="E16431" i="14"/>
  <c r="AH16430" i="14"/>
  <c r="E16430" i="14"/>
  <c r="AH16429" i="14"/>
  <c r="E16429" i="14"/>
  <c r="AH16428" i="14"/>
  <c r="E16428" i="14"/>
  <c r="AH16427" i="14"/>
  <c r="E16427" i="14"/>
  <c r="AH16426" i="14"/>
  <c r="E16426" i="14"/>
  <c r="AH16425" i="14"/>
  <c r="E16425" i="14"/>
  <c r="AH16424" i="14"/>
  <c r="E16424" i="14"/>
  <c r="AH16423" i="14"/>
  <c r="E16423" i="14"/>
  <c r="AH16422" i="14"/>
  <c r="E16422" i="14"/>
  <c r="AH16421" i="14"/>
  <c r="E16421" i="14"/>
  <c r="AH16420" i="14"/>
  <c r="E16420" i="14"/>
  <c r="AH16419" i="14"/>
  <c r="E16419" i="14"/>
  <c r="AH16418" i="14"/>
  <c r="E16418" i="14"/>
  <c r="AH16417" i="14"/>
  <c r="E16417" i="14"/>
  <c r="AH16416" i="14"/>
  <c r="E16416" i="14"/>
  <c r="AH16415" i="14"/>
  <c r="E16415" i="14"/>
  <c r="AH16414" i="14"/>
  <c r="E16414" i="14"/>
  <c r="AH16413" i="14"/>
  <c r="E16413" i="14"/>
  <c r="AH16412" i="14"/>
  <c r="E16412" i="14"/>
  <c r="AH16411" i="14"/>
  <c r="E16411" i="14"/>
  <c r="AH16410" i="14"/>
  <c r="E16410" i="14"/>
  <c r="AH16409" i="14"/>
  <c r="E16409" i="14"/>
  <c r="AH16408" i="14"/>
  <c r="E16408" i="14"/>
  <c r="AH16407" i="14"/>
  <c r="E16407" i="14"/>
  <c r="AH16406" i="14"/>
  <c r="E16406" i="14"/>
  <c r="AH16405" i="14"/>
  <c r="E16405" i="14"/>
  <c r="AH16404" i="14"/>
  <c r="E16404" i="14"/>
  <c r="AH16403" i="14"/>
  <c r="E16403" i="14"/>
  <c r="AH16402" i="14"/>
  <c r="E16402" i="14"/>
  <c r="AH16401" i="14"/>
  <c r="E16401" i="14"/>
  <c r="AH16400" i="14"/>
  <c r="E16400" i="14"/>
  <c r="AH16399" i="14"/>
  <c r="E16399" i="14"/>
  <c r="AH16398" i="14"/>
  <c r="E16398" i="14"/>
  <c r="AH16397" i="14"/>
  <c r="E16397" i="14"/>
  <c r="AH16396" i="14"/>
  <c r="E16396" i="14"/>
  <c r="AH16395" i="14"/>
  <c r="E16395" i="14"/>
  <c r="AH16394" i="14"/>
  <c r="E16394" i="14"/>
  <c r="AH16393" i="14"/>
  <c r="E16393" i="14"/>
  <c r="AH16392" i="14"/>
  <c r="E16392" i="14"/>
  <c r="AH16391" i="14"/>
  <c r="E16391" i="14"/>
  <c r="AH16390" i="14"/>
  <c r="E16390" i="14"/>
  <c r="AH16389" i="14"/>
  <c r="E16389" i="14"/>
  <c r="AH16388" i="14"/>
  <c r="E16388" i="14"/>
  <c r="AH16387" i="14"/>
  <c r="E16387" i="14"/>
  <c r="AH16386" i="14"/>
  <c r="E16386" i="14"/>
  <c r="AH16385" i="14"/>
  <c r="E16385" i="14"/>
  <c r="AH16384" i="14"/>
  <c r="E16384" i="14"/>
  <c r="AH16383" i="14"/>
  <c r="E16383" i="14"/>
  <c r="AH16382" i="14"/>
  <c r="E16382" i="14"/>
  <c r="AH16381" i="14"/>
  <c r="E16381" i="14"/>
  <c r="AH16380" i="14"/>
  <c r="E16380" i="14"/>
  <c r="AH16379" i="14"/>
  <c r="E16379" i="14"/>
  <c r="AH16378" i="14"/>
  <c r="E16378" i="14"/>
  <c r="AH16377" i="14"/>
  <c r="E16377" i="14"/>
  <c r="AH16376" i="14"/>
  <c r="E16376" i="14"/>
  <c r="AH16375" i="14"/>
  <c r="E16375" i="14"/>
  <c r="AH16374" i="14"/>
  <c r="E16374" i="14"/>
  <c r="AH16373" i="14"/>
  <c r="E16373" i="14"/>
  <c r="AH16372" i="14"/>
  <c r="E16372" i="14"/>
  <c r="AH16371" i="14"/>
  <c r="E16371" i="14"/>
  <c r="AH16370" i="14"/>
  <c r="E16370" i="14"/>
  <c r="AH16369" i="14"/>
  <c r="E16369" i="14"/>
  <c r="AH16368" i="14"/>
  <c r="E16368" i="14"/>
  <c r="AH16367" i="14"/>
  <c r="E16367" i="14"/>
  <c r="AH16366" i="14"/>
  <c r="E16366" i="14"/>
  <c r="AH16365" i="14"/>
  <c r="E16365" i="14"/>
  <c r="AH16364" i="14"/>
  <c r="E16364" i="14"/>
  <c r="AH16363" i="14"/>
  <c r="E16363" i="14"/>
  <c r="AH16362" i="14"/>
  <c r="E16362" i="14"/>
  <c r="AH16361" i="14"/>
  <c r="E16361" i="14"/>
  <c r="AH16360" i="14"/>
  <c r="E16360" i="14"/>
  <c r="AH16359" i="14"/>
  <c r="E16359" i="14"/>
  <c r="AH16358" i="14"/>
  <c r="E16358" i="14"/>
  <c r="AH16357" i="14"/>
  <c r="E16357" i="14"/>
  <c r="AH16356" i="14"/>
  <c r="E16356" i="14"/>
  <c r="AH16355" i="14"/>
  <c r="E16355" i="14"/>
  <c r="AH16354" i="14"/>
  <c r="E16354" i="14"/>
  <c r="AH16353" i="14"/>
  <c r="E16353" i="14"/>
  <c r="AH16352" i="14"/>
  <c r="E16352" i="14"/>
  <c r="AH16351" i="14"/>
  <c r="E16351" i="14"/>
  <c r="AH16350" i="14"/>
  <c r="E16350" i="14"/>
  <c r="AH16349" i="14"/>
  <c r="E16349" i="14"/>
  <c r="AH16348" i="14"/>
  <c r="E16348" i="14"/>
  <c r="AH16347" i="14"/>
  <c r="E16347" i="14"/>
  <c r="AH16346" i="14"/>
  <c r="E16346" i="14"/>
  <c r="AH16345" i="14"/>
  <c r="E16345" i="14"/>
  <c r="AH16344" i="14"/>
  <c r="E16344" i="14"/>
  <c r="AH16343" i="14"/>
  <c r="E16343" i="14"/>
  <c r="AH16342" i="14"/>
  <c r="E16342" i="14"/>
  <c r="AH16341" i="14"/>
  <c r="E16341" i="14"/>
  <c r="AH16340" i="14"/>
  <c r="E16340" i="14"/>
  <c r="AH16339" i="14"/>
  <c r="E16339" i="14"/>
  <c r="AH16338" i="14"/>
  <c r="E16338" i="14"/>
  <c r="AH16337" i="14"/>
  <c r="E16337" i="14"/>
  <c r="AH16336" i="14"/>
  <c r="E16336" i="14"/>
  <c r="AH16335" i="14"/>
  <c r="E16335" i="14"/>
  <c r="AH16334" i="14"/>
  <c r="E16334" i="14"/>
  <c r="AH16333" i="14"/>
  <c r="E16333" i="14"/>
  <c r="AH16332" i="14"/>
  <c r="E16332" i="14"/>
  <c r="AH16331" i="14"/>
  <c r="E16331" i="14"/>
  <c r="AH16330" i="14"/>
  <c r="E16330" i="14"/>
  <c r="AH16329" i="14"/>
  <c r="E16329" i="14"/>
  <c r="AH16328" i="14"/>
  <c r="E16328" i="14"/>
  <c r="AH16327" i="14"/>
  <c r="E16327" i="14"/>
  <c r="AH16326" i="14"/>
  <c r="E16326" i="14"/>
  <c r="AH16325" i="14"/>
  <c r="E16325" i="14"/>
  <c r="AH16324" i="14"/>
  <c r="E16324" i="14"/>
  <c r="AH16323" i="14"/>
  <c r="E16323" i="14"/>
  <c r="AH16322" i="14"/>
  <c r="E16322" i="14"/>
  <c r="AH16321" i="14"/>
  <c r="E16321" i="14"/>
  <c r="AH16320" i="14"/>
  <c r="E16320" i="14"/>
  <c r="AH16319" i="14"/>
  <c r="E16319" i="14"/>
  <c r="AH16318" i="14"/>
  <c r="E16318" i="14"/>
  <c r="AH16317" i="14"/>
  <c r="E16317" i="14"/>
  <c r="AH16316" i="14"/>
  <c r="E16316" i="14"/>
  <c r="AH16315" i="14"/>
  <c r="E16315" i="14"/>
  <c r="AH16314" i="14"/>
  <c r="E16314" i="14"/>
  <c r="AH16313" i="14"/>
  <c r="E16313" i="14"/>
  <c r="AH16312" i="14"/>
  <c r="E16312" i="14"/>
  <c r="AH16311" i="14"/>
  <c r="E16311" i="14"/>
  <c r="AH16310" i="14"/>
  <c r="E16310" i="14"/>
  <c r="AH16309" i="14"/>
  <c r="E16309" i="14"/>
  <c r="AH16308" i="14"/>
  <c r="E16308" i="14"/>
  <c r="AH16307" i="14"/>
  <c r="E16307" i="14"/>
  <c r="AH16306" i="14"/>
  <c r="E16306" i="14"/>
  <c r="AH16305" i="14"/>
  <c r="E16305" i="14"/>
  <c r="AH16304" i="14"/>
  <c r="E16304" i="14"/>
  <c r="AH16303" i="14"/>
  <c r="E16303" i="14"/>
  <c r="AH16302" i="14"/>
  <c r="E16302" i="14"/>
  <c r="AH16301" i="14"/>
  <c r="E16301" i="14"/>
  <c r="AH16300" i="14"/>
  <c r="E16300" i="14"/>
  <c r="AH16299" i="14"/>
  <c r="E16299" i="14"/>
  <c r="AH16298" i="14"/>
  <c r="E16298" i="14"/>
  <c r="AH16297" i="14"/>
  <c r="E16297" i="14"/>
  <c r="AH16296" i="14"/>
  <c r="E16296" i="14"/>
  <c r="AH16295" i="14"/>
  <c r="E16295" i="14"/>
  <c r="AH16294" i="14"/>
  <c r="E16294" i="14"/>
  <c r="AH16293" i="14"/>
  <c r="E16293" i="14"/>
  <c r="AH16292" i="14"/>
  <c r="E16292" i="14"/>
  <c r="AH16291" i="14"/>
  <c r="E16291" i="14"/>
  <c r="AH16290" i="14"/>
  <c r="E16290" i="14"/>
  <c r="AH16289" i="14"/>
  <c r="E16289" i="14"/>
  <c r="AH16288" i="14"/>
  <c r="E16288" i="14"/>
  <c r="AH16287" i="14"/>
  <c r="E16287" i="14"/>
  <c r="AH16286" i="14"/>
  <c r="E16286" i="14"/>
  <c r="AH16285" i="14"/>
  <c r="E16285" i="14"/>
  <c r="AH16284" i="14"/>
  <c r="E16284" i="14"/>
  <c r="AH16283" i="14"/>
  <c r="E16283" i="14"/>
  <c r="AH16282" i="14"/>
  <c r="E16282" i="14"/>
  <c r="AH16281" i="14"/>
  <c r="E16281" i="14"/>
  <c r="AH16280" i="14"/>
  <c r="E16280" i="14"/>
  <c r="AH16279" i="14"/>
  <c r="E16279" i="14"/>
  <c r="AH16278" i="14"/>
  <c r="E16278" i="14"/>
  <c r="AH16277" i="14"/>
  <c r="E16277" i="14"/>
  <c r="AH16276" i="14"/>
  <c r="E16276" i="14"/>
  <c r="AH16275" i="14"/>
  <c r="E16275" i="14"/>
  <c r="AH16274" i="14"/>
  <c r="E16274" i="14"/>
  <c r="AH16273" i="14"/>
  <c r="E16273" i="14"/>
  <c r="AH16272" i="14"/>
  <c r="E16272" i="14"/>
  <c r="AH16271" i="14"/>
  <c r="E16271" i="14"/>
  <c r="AH16270" i="14"/>
  <c r="E16270" i="14"/>
  <c r="AH16269" i="14"/>
  <c r="E16269" i="14"/>
  <c r="AH16268" i="14"/>
  <c r="E16268" i="14"/>
  <c r="AH16267" i="14"/>
  <c r="E16267" i="14"/>
  <c r="AH16266" i="14"/>
  <c r="E16266" i="14"/>
  <c r="AH16265" i="14"/>
  <c r="E16265" i="14"/>
  <c r="AH16264" i="14"/>
  <c r="E16264" i="14"/>
  <c r="AH16263" i="14"/>
  <c r="E16263" i="14"/>
  <c r="AH16262" i="14"/>
  <c r="E16262" i="14"/>
  <c r="AH16261" i="14"/>
  <c r="E16261" i="14"/>
  <c r="AH16260" i="14"/>
  <c r="E16260" i="14"/>
  <c r="AH16259" i="14"/>
  <c r="E16259" i="14"/>
  <c r="AH16258" i="14"/>
  <c r="E16258" i="14"/>
  <c r="AH16257" i="14"/>
  <c r="E16257" i="14"/>
  <c r="AH16256" i="14"/>
  <c r="E16256" i="14"/>
  <c r="AH16255" i="14"/>
  <c r="E16255" i="14"/>
  <c r="AH16254" i="14"/>
  <c r="E16254" i="14"/>
  <c r="AH16253" i="14"/>
  <c r="E16253" i="14"/>
  <c r="AH16252" i="14"/>
  <c r="E16252" i="14"/>
  <c r="AH16251" i="14"/>
  <c r="P16251" i="14"/>
  <c r="E16251" i="14"/>
  <c r="AH16250" i="14"/>
  <c r="P16250" i="14"/>
  <c r="E16250" i="14"/>
  <c r="AH16249" i="14"/>
  <c r="P16249" i="14"/>
  <c r="O16249" i="14"/>
  <c r="E16249" i="14"/>
  <c r="AH16248" i="14"/>
  <c r="P16248" i="14"/>
  <c r="E16248" i="14"/>
  <c r="AH16247" i="14"/>
  <c r="P16247" i="14"/>
  <c r="E16247" i="14"/>
  <c r="AH16246" i="14"/>
  <c r="P16246" i="14"/>
  <c r="E16246" i="14"/>
  <c r="AH16245" i="14"/>
  <c r="P16245" i="14"/>
  <c r="O16245" i="14"/>
  <c r="E16245" i="14"/>
  <c r="AH16244" i="14"/>
  <c r="P16244" i="14"/>
  <c r="O16244" i="14"/>
  <c r="E16244" i="14"/>
  <c r="AH16243" i="14"/>
  <c r="P16243" i="14"/>
  <c r="E16243" i="14"/>
  <c r="AH16242" i="14"/>
  <c r="P16242" i="14"/>
  <c r="O16242" i="14"/>
  <c r="E16242" i="14"/>
  <c r="AH16241" i="14"/>
  <c r="P16241" i="14"/>
  <c r="O16241" i="14"/>
  <c r="E16241" i="14"/>
  <c r="AH16240" i="14"/>
  <c r="E16240" i="14"/>
  <c r="AH16239" i="14"/>
  <c r="E16239" i="14"/>
  <c r="AH16238" i="14"/>
  <c r="E16238" i="14"/>
  <c r="AH16237" i="14"/>
  <c r="E16237" i="14"/>
  <c r="AH16236" i="14"/>
  <c r="E16236" i="14"/>
  <c r="AH16235" i="14"/>
  <c r="E16235" i="14"/>
  <c r="AH16234" i="14"/>
  <c r="E16234" i="14"/>
  <c r="AH16233" i="14"/>
  <c r="E16233" i="14"/>
  <c r="AH16232" i="14"/>
  <c r="E16232" i="14"/>
  <c r="AH16231" i="14"/>
  <c r="E16231" i="14"/>
  <c r="AH16230" i="14"/>
  <c r="E16230" i="14"/>
  <c r="AH16229" i="14"/>
  <c r="E16229" i="14"/>
  <c r="AH16228" i="14"/>
  <c r="E16228" i="14"/>
  <c r="AH16227" i="14"/>
  <c r="E16227" i="14"/>
  <c r="AH16226" i="14"/>
  <c r="E16226" i="14"/>
  <c r="AH16225" i="14"/>
  <c r="E16225" i="14"/>
  <c r="AH16224" i="14"/>
  <c r="E16224" i="14"/>
  <c r="AH16223" i="14"/>
  <c r="E16223" i="14"/>
  <c r="AH16222" i="14"/>
  <c r="E16222" i="14"/>
  <c r="AH16221" i="14"/>
  <c r="E16221" i="14"/>
  <c r="AH16220" i="14"/>
  <c r="E16220" i="14"/>
  <c r="AH16219" i="14"/>
  <c r="E16219" i="14"/>
  <c r="AH16218" i="14"/>
  <c r="E16218" i="14"/>
  <c r="AH16217" i="14"/>
  <c r="E16217" i="14"/>
  <c r="AH16216" i="14"/>
  <c r="E16216" i="14"/>
  <c r="AH16215" i="14"/>
  <c r="E16215" i="14"/>
  <c r="AH16214" i="14"/>
  <c r="E16214" i="14"/>
  <c r="AH16213" i="14"/>
  <c r="E16213" i="14"/>
  <c r="AH16212" i="14"/>
  <c r="E16212" i="14"/>
  <c r="AH16211" i="14"/>
  <c r="E16211" i="14"/>
  <c r="AH16210" i="14"/>
  <c r="E16210" i="14"/>
  <c r="AH16209" i="14"/>
  <c r="E16209" i="14"/>
  <c r="AH16208" i="14"/>
  <c r="E16208" i="14"/>
  <c r="AH16207" i="14"/>
  <c r="E16207" i="14"/>
  <c r="AH16206" i="14"/>
  <c r="E16206" i="14"/>
  <c r="AH16205" i="14"/>
  <c r="E16205" i="14"/>
  <c r="AH16204" i="14"/>
  <c r="E16204" i="14"/>
  <c r="AH16203" i="14"/>
  <c r="E16203" i="14"/>
  <c r="AH16202" i="14"/>
  <c r="E16202" i="14"/>
  <c r="AH16201" i="14"/>
  <c r="E16201" i="14"/>
  <c r="AH16200" i="14"/>
  <c r="E16200" i="14"/>
  <c r="AH16199" i="14"/>
  <c r="E16199" i="14"/>
  <c r="AH16198" i="14"/>
  <c r="E16198" i="14"/>
  <c r="AH16197" i="14"/>
  <c r="E16197" i="14"/>
  <c r="AH16196" i="14"/>
  <c r="E16196" i="14"/>
  <c r="AH16195" i="14"/>
  <c r="E16195" i="14"/>
  <c r="AH16194" i="14"/>
  <c r="E16194" i="14"/>
  <c r="AH16193" i="14"/>
  <c r="E16193" i="14"/>
  <c r="AH16192" i="14"/>
  <c r="E16192" i="14"/>
  <c r="AH16191" i="14"/>
  <c r="E16191" i="14"/>
  <c r="AH16190" i="14"/>
  <c r="E16190" i="14"/>
  <c r="AH16189" i="14"/>
  <c r="E16189" i="14"/>
  <c r="AH16188" i="14"/>
  <c r="E16188" i="14"/>
  <c r="AH16187" i="14"/>
  <c r="E16187" i="14"/>
  <c r="AH16186" i="14"/>
  <c r="E16186" i="14"/>
  <c r="AH16185" i="14"/>
  <c r="E16185" i="14"/>
  <c r="AH16184" i="14"/>
  <c r="E16184" i="14"/>
  <c r="AH16183" i="14"/>
  <c r="E16183" i="14"/>
  <c r="AH16182" i="14"/>
  <c r="E16182" i="14"/>
  <c r="AH16181" i="14"/>
  <c r="E16181" i="14"/>
  <c r="AH16180" i="14"/>
  <c r="E16180" i="14"/>
  <c r="AH16179" i="14"/>
  <c r="E16179" i="14"/>
  <c r="AH16178" i="14"/>
  <c r="E16178" i="14"/>
  <c r="AH16177" i="14"/>
  <c r="E16177" i="14"/>
  <c r="AH16176" i="14"/>
  <c r="E16176" i="14"/>
  <c r="AH16175" i="14"/>
  <c r="E16175" i="14"/>
  <c r="AH16174" i="14"/>
  <c r="E16174" i="14"/>
  <c r="AH16173" i="14"/>
  <c r="E16173" i="14"/>
  <c r="AH16172" i="14"/>
  <c r="E16172" i="14"/>
  <c r="AH16171" i="14"/>
  <c r="E16171" i="14"/>
  <c r="AH16170" i="14"/>
  <c r="E16170" i="14"/>
  <c r="AH16169" i="14"/>
  <c r="E16169" i="14"/>
  <c r="AH16168" i="14"/>
  <c r="E16168" i="14"/>
  <c r="AH16167" i="14"/>
  <c r="E16167" i="14"/>
  <c r="AH16166" i="14"/>
  <c r="E16166" i="14"/>
  <c r="AH16165" i="14"/>
  <c r="E16165" i="14"/>
  <c r="AH16164" i="14"/>
  <c r="E16164" i="14"/>
  <c r="AH16163" i="14"/>
  <c r="E16163" i="14"/>
  <c r="AH16162" i="14"/>
  <c r="E16162" i="14"/>
  <c r="AH16161" i="14"/>
  <c r="E16161" i="14"/>
  <c r="AH16160" i="14"/>
  <c r="E16160" i="14"/>
  <c r="AH16159" i="14"/>
  <c r="E16159" i="14"/>
  <c r="AH16158" i="14"/>
  <c r="E16158" i="14"/>
  <c r="AH16157" i="14"/>
  <c r="E16157" i="14"/>
  <c r="AH16156" i="14"/>
  <c r="E16156" i="14"/>
  <c r="AH16155" i="14"/>
  <c r="E16155" i="14"/>
  <c r="AH16154" i="14"/>
  <c r="E16154" i="14"/>
  <c r="AH16153" i="14"/>
  <c r="E16153" i="14"/>
  <c r="AH16152" i="14"/>
  <c r="E16152" i="14"/>
  <c r="AH16151" i="14"/>
  <c r="E16151" i="14"/>
  <c r="AH16150" i="14"/>
  <c r="E16150" i="14"/>
  <c r="AH16149" i="14"/>
  <c r="E16149" i="14"/>
  <c r="AH16148" i="14"/>
  <c r="E16148" i="14"/>
  <c r="AH16147" i="14"/>
  <c r="E16147" i="14"/>
  <c r="AH16146" i="14"/>
  <c r="E16146" i="14"/>
  <c r="AH16145" i="14"/>
  <c r="E16145" i="14"/>
  <c r="AH16144" i="14"/>
  <c r="E16144" i="14"/>
  <c r="AH16143" i="14"/>
  <c r="E16143" i="14"/>
  <c r="AH16142" i="14"/>
  <c r="E16142" i="14"/>
  <c r="AH16141" i="14"/>
  <c r="E16141" i="14"/>
  <c r="AH16140" i="14"/>
  <c r="E16140" i="14"/>
  <c r="AH16139" i="14"/>
  <c r="E16139" i="14"/>
  <c r="AH16138" i="14"/>
  <c r="E16138" i="14"/>
  <c r="AH16137" i="14"/>
  <c r="E16137" i="14"/>
  <c r="AH16136" i="14"/>
  <c r="E16136" i="14"/>
  <c r="AH16135" i="14"/>
  <c r="E16135" i="14"/>
  <c r="AH16134" i="14"/>
  <c r="E16134" i="14"/>
  <c r="AH16133" i="14"/>
  <c r="E16133" i="14"/>
  <c r="AH16132" i="14"/>
  <c r="E16132" i="14"/>
  <c r="AH16131" i="14"/>
  <c r="E16131" i="14"/>
  <c r="AH16130" i="14"/>
  <c r="E16130" i="14"/>
  <c r="AH16129" i="14"/>
  <c r="E16129" i="14"/>
  <c r="AH16128" i="14"/>
  <c r="E16128" i="14"/>
  <c r="AH16127" i="14"/>
  <c r="E16127" i="14"/>
  <c r="AH16126" i="14"/>
  <c r="E16126" i="14"/>
  <c r="AH16125" i="14"/>
  <c r="E16125" i="14"/>
  <c r="AH16124" i="14"/>
  <c r="E16124" i="14"/>
  <c r="AH16123" i="14"/>
  <c r="E16123" i="14"/>
  <c r="AH16122" i="14"/>
  <c r="E16122" i="14"/>
  <c r="AH16121" i="14"/>
  <c r="E16121" i="14"/>
  <c r="AH16120" i="14"/>
  <c r="E16120" i="14"/>
  <c r="AH16119" i="14"/>
  <c r="E16119" i="14"/>
  <c r="AH16118" i="14"/>
  <c r="E16118" i="14"/>
  <c r="AH16117" i="14"/>
  <c r="E16117" i="14"/>
  <c r="AH16116" i="14"/>
  <c r="E16116" i="14"/>
  <c r="AH16115" i="14"/>
  <c r="E16115" i="14"/>
  <c r="AH16114" i="14"/>
  <c r="E16114" i="14"/>
  <c r="AH16113" i="14"/>
  <c r="E16113" i="14"/>
  <c r="AH16112" i="14"/>
  <c r="E16112" i="14"/>
  <c r="AH16111" i="14"/>
  <c r="E16111" i="14"/>
  <c r="AH16110" i="14"/>
  <c r="E16110" i="14"/>
  <c r="AH16109" i="14"/>
  <c r="E16109" i="14"/>
  <c r="AH16108" i="14"/>
  <c r="E16108" i="14"/>
  <c r="AH16107" i="14"/>
  <c r="E16107" i="14"/>
  <c r="AH16106" i="14"/>
  <c r="E16106" i="14"/>
  <c r="AH16105" i="14"/>
  <c r="E16105" i="14"/>
  <c r="AH16104" i="14"/>
  <c r="E16104" i="14"/>
  <c r="AH16103" i="14"/>
  <c r="E16103" i="14"/>
  <c r="AH16102" i="14"/>
  <c r="E16102" i="14"/>
  <c r="AH16101" i="14"/>
  <c r="E16101" i="14"/>
  <c r="AH16100" i="14"/>
  <c r="E16100" i="14"/>
  <c r="AH16099" i="14"/>
  <c r="E16099" i="14"/>
  <c r="AH16098" i="14"/>
  <c r="E16098" i="14"/>
  <c r="AH16097" i="14"/>
  <c r="E16097" i="14"/>
  <c r="AH16096" i="14"/>
  <c r="E16096" i="14"/>
  <c r="AH16095" i="14"/>
  <c r="E16095" i="14"/>
  <c r="AH16094" i="14"/>
  <c r="E16094" i="14"/>
  <c r="AH16093" i="14"/>
  <c r="E16093" i="14"/>
  <c r="AH16092" i="14"/>
  <c r="E16092" i="14"/>
  <c r="AH16091" i="14"/>
  <c r="E16091" i="14"/>
  <c r="AH16090" i="14"/>
  <c r="E16090" i="14"/>
  <c r="AH16089" i="14"/>
  <c r="E16089" i="14"/>
  <c r="AH16088" i="14"/>
  <c r="L16088" i="14"/>
  <c r="E16088" i="14"/>
  <c r="AH16087" i="14"/>
  <c r="E16087" i="14"/>
  <c r="AH16086" i="14"/>
  <c r="E16086" i="14"/>
  <c r="AH16085" i="14"/>
  <c r="E16085" i="14"/>
  <c r="AH16084" i="14"/>
  <c r="E16084" i="14"/>
  <c r="AH16083" i="14"/>
  <c r="E16083" i="14"/>
  <c r="AH16082" i="14"/>
  <c r="E16082" i="14"/>
  <c r="AH16081" i="14"/>
  <c r="E16081" i="14"/>
  <c r="AH16080" i="14"/>
  <c r="E16080" i="14"/>
  <c r="AH16079" i="14"/>
  <c r="L16079" i="14"/>
  <c r="E16079" i="14"/>
  <c r="AH16078" i="14"/>
  <c r="E16078" i="14"/>
  <c r="AH16077" i="14"/>
  <c r="E16077" i="14"/>
  <c r="AH16076" i="14"/>
  <c r="E16076" i="14"/>
  <c r="AH16075" i="14"/>
  <c r="E16075" i="14"/>
  <c r="AH16074" i="14"/>
  <c r="E16074" i="14"/>
  <c r="AH16073" i="14"/>
  <c r="E16073" i="14"/>
  <c r="AH16072" i="14"/>
  <c r="E16072" i="14"/>
  <c r="AH16071" i="14"/>
  <c r="E16071" i="14"/>
  <c r="AH16070" i="14"/>
  <c r="W16070" i="14"/>
  <c r="V16070" i="14"/>
  <c r="E16070" i="14"/>
  <c r="AH16069" i="14"/>
  <c r="E16069" i="14"/>
  <c r="AH16068" i="14"/>
  <c r="E16068" i="14"/>
  <c r="AH16067" i="14"/>
  <c r="E16067" i="14"/>
  <c r="AH16066" i="14"/>
  <c r="E16066" i="14"/>
  <c r="AH16065" i="14"/>
  <c r="E16065" i="14"/>
  <c r="AH16064" i="14"/>
  <c r="E16064" i="14"/>
  <c r="AH16063" i="14"/>
  <c r="E16063" i="14"/>
  <c r="AH16062" i="14"/>
  <c r="E16062" i="14"/>
  <c r="AH16061" i="14"/>
  <c r="E16061" i="14"/>
  <c r="AH16060" i="14"/>
  <c r="E16060" i="14"/>
  <c r="AH16059" i="14"/>
  <c r="E16059" i="14"/>
  <c r="AH16058" i="14"/>
  <c r="E16058" i="14"/>
  <c r="AH16057" i="14"/>
  <c r="Q16057" i="14"/>
  <c r="E16057" i="14"/>
  <c r="AH16056" i="14"/>
  <c r="Q16056" i="14"/>
  <c r="E16056" i="14"/>
  <c r="AH16055" i="14"/>
  <c r="Q16055" i="14"/>
  <c r="E16055" i="14"/>
  <c r="AH16054" i="14"/>
  <c r="E16054" i="14"/>
  <c r="AH16053" i="14"/>
  <c r="E16053" i="14"/>
  <c r="AH16052" i="14"/>
  <c r="E16052" i="14"/>
  <c r="AH16051" i="14"/>
  <c r="E16051" i="14"/>
  <c r="AH16050" i="14"/>
  <c r="E16050" i="14"/>
  <c r="AH16049" i="14"/>
  <c r="E16049" i="14"/>
  <c r="AH16048" i="14"/>
  <c r="E16048" i="14"/>
  <c r="AH16047" i="14"/>
  <c r="E16047" i="14"/>
  <c r="AH16046" i="14"/>
  <c r="E16046" i="14"/>
  <c r="AH16045" i="14"/>
  <c r="E16045" i="14"/>
  <c r="AH16044" i="14"/>
  <c r="E16044" i="14"/>
  <c r="AH16043" i="14"/>
  <c r="E16043" i="14"/>
  <c r="AH16042" i="14"/>
  <c r="E16042" i="14"/>
  <c r="AH16041" i="14"/>
  <c r="E16041" i="14"/>
  <c r="AH16040" i="14"/>
  <c r="E16040" i="14"/>
  <c r="AH16039" i="14"/>
  <c r="E16039" i="14"/>
  <c r="AH16038" i="14"/>
  <c r="E16038" i="14"/>
  <c r="AH16037" i="14"/>
  <c r="E16037" i="14"/>
  <c r="AH16036" i="14"/>
  <c r="E16036" i="14"/>
  <c r="AH16035" i="14"/>
  <c r="E16035" i="14"/>
  <c r="AH16034" i="14"/>
  <c r="E16034" i="14"/>
  <c r="AH16033" i="14"/>
  <c r="E16033" i="14"/>
  <c r="AH16032" i="14"/>
  <c r="E16032" i="14"/>
  <c r="AH16031" i="14"/>
  <c r="E16031" i="14"/>
  <c r="AH16030" i="14"/>
  <c r="E16030" i="14"/>
  <c r="AH16029" i="14"/>
  <c r="E16029" i="14"/>
  <c r="AH16028" i="14"/>
  <c r="E16028" i="14"/>
  <c r="AH16027" i="14"/>
  <c r="E16027" i="14"/>
  <c r="AH16026" i="14"/>
  <c r="E16026" i="14"/>
  <c r="AH16025" i="14"/>
  <c r="E16025" i="14"/>
  <c r="AH16024" i="14"/>
  <c r="E16024" i="14"/>
  <c r="AH16023" i="14"/>
  <c r="E16023" i="14"/>
  <c r="AH16022" i="14"/>
  <c r="E16022" i="14"/>
  <c r="AH16021" i="14"/>
  <c r="E16021" i="14"/>
  <c r="AH16020" i="14"/>
  <c r="E16020" i="14"/>
  <c r="AH16019" i="14"/>
  <c r="E16019" i="14"/>
  <c r="AH16018" i="14"/>
  <c r="E16018" i="14"/>
  <c r="AH16017" i="14"/>
  <c r="E16017" i="14"/>
  <c r="AH16016" i="14"/>
  <c r="E16016" i="14"/>
  <c r="AH16015" i="14"/>
  <c r="E16015" i="14"/>
  <c r="AH16014" i="14"/>
  <c r="E16014" i="14"/>
  <c r="AH16013" i="14"/>
  <c r="E16013" i="14"/>
  <c r="AH16012" i="14"/>
  <c r="E16012" i="14"/>
  <c r="AH16011" i="14"/>
  <c r="E16011" i="14"/>
  <c r="AH16010" i="14"/>
  <c r="E16010" i="14"/>
  <c r="AH16009" i="14"/>
  <c r="E16009" i="14"/>
  <c r="AH16008" i="14"/>
  <c r="E16008" i="14"/>
  <c r="AH16007" i="14"/>
  <c r="E16007" i="14"/>
  <c r="AH16006" i="14"/>
  <c r="E16006" i="14"/>
  <c r="AH16005" i="14"/>
  <c r="E16005" i="14"/>
  <c r="AH16004" i="14"/>
  <c r="E16004" i="14"/>
  <c r="AH16003" i="14"/>
  <c r="E16003" i="14"/>
  <c r="AH16002" i="14"/>
  <c r="E16002" i="14"/>
  <c r="AH16001" i="14"/>
  <c r="E16001" i="14"/>
  <c r="AH16000" i="14"/>
  <c r="E16000" i="14"/>
  <c r="AH15999" i="14"/>
  <c r="E15999" i="14"/>
  <c r="AH15998" i="14"/>
  <c r="E15998" i="14"/>
  <c r="AH15997" i="14"/>
  <c r="E15997" i="14"/>
  <c r="AH15996" i="14"/>
  <c r="E15996" i="14"/>
  <c r="AH15995" i="14"/>
  <c r="E15995" i="14"/>
  <c r="AH15994" i="14"/>
  <c r="E15994" i="14"/>
  <c r="AH15993" i="14"/>
  <c r="E15993" i="14"/>
  <c r="AH15992" i="14"/>
  <c r="E15992" i="14"/>
  <c r="AH15991" i="14"/>
  <c r="E15991" i="14"/>
  <c r="AH15990" i="14"/>
  <c r="E15990" i="14"/>
  <c r="AH15989" i="14"/>
  <c r="E15989" i="14"/>
  <c r="AH15988" i="14"/>
  <c r="E15988" i="14"/>
  <c r="AH15987" i="14"/>
  <c r="E15987" i="14"/>
  <c r="AH15986" i="14"/>
  <c r="E15986" i="14"/>
  <c r="AH15985" i="14"/>
  <c r="E15985" i="14"/>
  <c r="AH15984" i="14"/>
  <c r="E15984" i="14"/>
  <c r="AH15983" i="14"/>
  <c r="E15983" i="14"/>
  <c r="AH15982" i="14"/>
  <c r="E15982" i="14"/>
  <c r="AH15981" i="14"/>
  <c r="E15981" i="14"/>
  <c r="AH15980" i="14"/>
  <c r="E15980" i="14"/>
  <c r="AH15979" i="14"/>
  <c r="E15979" i="14"/>
  <c r="AH15978" i="14"/>
  <c r="E15978" i="14"/>
  <c r="AH15977" i="14"/>
  <c r="E15977" i="14"/>
  <c r="AH15976" i="14"/>
  <c r="E15976" i="14"/>
  <c r="AH15975" i="14"/>
  <c r="E15975" i="14"/>
  <c r="AH15974" i="14"/>
  <c r="E15974" i="14"/>
  <c r="AH15973" i="14"/>
  <c r="E15973" i="14"/>
  <c r="AH15972" i="14"/>
  <c r="E15972" i="14"/>
  <c r="AH15971" i="14"/>
  <c r="E15971" i="14"/>
  <c r="AH15970" i="14"/>
  <c r="E15970" i="14"/>
  <c r="AH15969" i="14"/>
  <c r="E15969" i="14"/>
  <c r="AH15968" i="14"/>
  <c r="E15968" i="14"/>
  <c r="AH15967" i="14"/>
  <c r="E15967" i="14"/>
  <c r="AH15966" i="14"/>
  <c r="E15966" i="14"/>
  <c r="AH15965" i="14"/>
  <c r="E15965" i="14"/>
  <c r="AH15964" i="14"/>
  <c r="E15964" i="14"/>
  <c r="AH15963" i="14"/>
  <c r="E15963" i="14"/>
  <c r="AH15962" i="14"/>
  <c r="E15962" i="14"/>
  <c r="AH15961" i="14"/>
  <c r="E15961" i="14"/>
  <c r="AH15960" i="14"/>
  <c r="E15960" i="14"/>
  <c r="AH15959" i="14"/>
  <c r="E15959" i="14"/>
  <c r="AH15958" i="14"/>
  <c r="E15958" i="14"/>
  <c r="AH15957" i="14"/>
  <c r="E15957" i="14"/>
  <c r="AH15956" i="14"/>
  <c r="E15956" i="14"/>
  <c r="AH15955" i="14"/>
  <c r="E15955" i="14"/>
  <c r="AH15954" i="14"/>
  <c r="E15954" i="14"/>
  <c r="AH15953" i="14"/>
  <c r="E15953" i="14"/>
  <c r="AH15952" i="14"/>
  <c r="E15952" i="14"/>
  <c r="AH15951" i="14"/>
  <c r="E15951" i="14"/>
  <c r="AH15950" i="14"/>
  <c r="E15950" i="14"/>
  <c r="AH15949" i="14"/>
  <c r="E15949" i="14"/>
  <c r="AH15948" i="14"/>
  <c r="E15948" i="14"/>
  <c r="AH15947" i="14"/>
  <c r="E15947" i="14"/>
  <c r="AH15946" i="14"/>
  <c r="E15946" i="14"/>
  <c r="AH15945" i="14"/>
  <c r="E15945" i="14"/>
  <c r="AH15944" i="14"/>
  <c r="E15944" i="14"/>
  <c r="AH15943" i="14"/>
  <c r="E15943" i="14"/>
  <c r="AH15942" i="14"/>
  <c r="E15942" i="14"/>
  <c r="AH15941" i="14"/>
  <c r="E15941" i="14"/>
  <c r="AH15940" i="14"/>
  <c r="E15940" i="14"/>
  <c r="AH15939" i="14"/>
  <c r="E15939" i="14"/>
  <c r="AH15938" i="14"/>
  <c r="E15938" i="14"/>
  <c r="AH15937" i="14"/>
  <c r="E15937" i="14"/>
  <c r="AH15936" i="14"/>
  <c r="E15936" i="14"/>
  <c r="AH15935" i="14"/>
  <c r="E15935" i="14"/>
  <c r="AH15934" i="14"/>
  <c r="E15934" i="14"/>
  <c r="AH15933" i="14"/>
  <c r="E15933" i="14"/>
  <c r="AH15932" i="14"/>
  <c r="E15932" i="14"/>
  <c r="AH15931" i="14"/>
  <c r="E15931" i="14"/>
  <c r="AH15930" i="14"/>
  <c r="E15930" i="14"/>
  <c r="AH15929" i="14"/>
  <c r="E15929" i="14"/>
  <c r="AH15928" i="14"/>
  <c r="E15928" i="14"/>
  <c r="AH15927" i="14"/>
  <c r="E15927" i="14"/>
  <c r="AH15926" i="14"/>
  <c r="E15926" i="14"/>
  <c r="AH15925" i="14"/>
  <c r="E15925" i="14"/>
  <c r="AH15924" i="14"/>
  <c r="E15924" i="14"/>
  <c r="AH15923" i="14"/>
  <c r="E15923" i="14"/>
  <c r="AH15922" i="14"/>
  <c r="E15922" i="14"/>
  <c r="AH15921" i="14"/>
  <c r="E15921" i="14"/>
  <c r="AH15920" i="14"/>
  <c r="E15920" i="14"/>
  <c r="AH15919" i="14"/>
  <c r="E15919" i="14"/>
  <c r="AH15918" i="14"/>
  <c r="E15918" i="14"/>
  <c r="AH15917" i="14"/>
  <c r="E15917" i="14"/>
  <c r="AH15916" i="14"/>
  <c r="E15916" i="14"/>
  <c r="AH15915" i="14"/>
  <c r="E15915" i="14"/>
  <c r="AH15914" i="14"/>
  <c r="E15914" i="14"/>
  <c r="AH15913" i="14"/>
  <c r="E15913" i="14"/>
  <c r="AH15912" i="14"/>
  <c r="E15912" i="14"/>
  <c r="AH15911" i="14"/>
  <c r="E15911" i="14"/>
  <c r="AH15910" i="14"/>
  <c r="E15910" i="14"/>
  <c r="AH15909" i="14"/>
  <c r="E15909" i="14"/>
  <c r="AH15908" i="14"/>
  <c r="E15908" i="14"/>
  <c r="AH15907" i="14"/>
  <c r="E15907" i="14"/>
  <c r="AH15906" i="14"/>
  <c r="E15906" i="14"/>
  <c r="AH15905" i="14"/>
  <c r="E15905" i="14"/>
  <c r="AH15904" i="14"/>
  <c r="E15904" i="14"/>
  <c r="AH15903" i="14"/>
  <c r="E15903" i="14"/>
  <c r="AH15902" i="14"/>
  <c r="E15902" i="14"/>
  <c r="AH15901" i="14"/>
  <c r="E15901" i="14"/>
  <c r="AH15900" i="14"/>
  <c r="E15900" i="14"/>
  <c r="AH15899" i="14"/>
  <c r="E15899" i="14"/>
  <c r="AH15898" i="14"/>
  <c r="E15898" i="14"/>
  <c r="AH15897" i="14"/>
  <c r="E15897" i="14"/>
  <c r="AH15896" i="14"/>
  <c r="E15896" i="14"/>
  <c r="AH15895" i="14"/>
  <c r="E15895" i="14"/>
  <c r="AH15894" i="14"/>
  <c r="E15894" i="14"/>
  <c r="AH15893" i="14"/>
  <c r="E15893" i="14"/>
  <c r="AH15892" i="14"/>
  <c r="E15892" i="14"/>
  <c r="AH15891" i="14"/>
  <c r="E15891" i="14"/>
  <c r="AH15890" i="14"/>
  <c r="E15890" i="14"/>
  <c r="AH15889" i="14"/>
  <c r="E15889" i="14"/>
  <c r="AH15888" i="14"/>
  <c r="E15888" i="14"/>
  <c r="AH15887" i="14"/>
  <c r="E15887" i="14"/>
  <c r="AH15886" i="14"/>
  <c r="E15886" i="14"/>
  <c r="AH15885" i="14"/>
  <c r="E15885" i="14"/>
  <c r="AH15884" i="14"/>
  <c r="E15884" i="14"/>
  <c r="AH15883" i="14"/>
  <c r="E15883" i="14"/>
  <c r="AH15882" i="14"/>
  <c r="E15882" i="14"/>
  <c r="AH15881" i="14"/>
  <c r="E15881" i="14"/>
  <c r="AH15880" i="14"/>
  <c r="E15880" i="14"/>
  <c r="AH15879" i="14"/>
  <c r="E15879" i="14"/>
  <c r="AH15878" i="14"/>
  <c r="E15878" i="14"/>
  <c r="AH15877" i="14"/>
  <c r="E15877" i="14"/>
  <c r="AH15876" i="14"/>
  <c r="E15876" i="14"/>
  <c r="AH15875" i="14"/>
  <c r="E15875" i="14"/>
  <c r="AH15874" i="14"/>
  <c r="E15874" i="14"/>
  <c r="AH15873" i="14"/>
  <c r="E15873" i="14"/>
  <c r="AH15872" i="14"/>
  <c r="E15872" i="14"/>
  <c r="AH15871" i="14"/>
  <c r="E15871" i="14"/>
  <c r="AH15870" i="14"/>
  <c r="E15870" i="14"/>
  <c r="AH15869" i="14"/>
  <c r="E15869" i="14"/>
  <c r="AH15868" i="14"/>
  <c r="E15868" i="14"/>
  <c r="AH15867" i="14"/>
  <c r="E15867" i="14"/>
  <c r="AH15866" i="14"/>
  <c r="E15866" i="14"/>
  <c r="AH15865" i="14"/>
  <c r="E15865" i="14"/>
  <c r="AH15864" i="14"/>
  <c r="E15864" i="14"/>
  <c r="AH15863" i="14"/>
  <c r="E15863" i="14"/>
  <c r="AH15862" i="14"/>
  <c r="E15862" i="14"/>
  <c r="AH15861" i="14"/>
  <c r="E15861" i="14"/>
  <c r="AH15860" i="14"/>
  <c r="E15860" i="14"/>
  <c r="AH15859" i="14"/>
  <c r="E15859" i="14"/>
  <c r="AH15858" i="14"/>
  <c r="E15858" i="14"/>
  <c r="AH15857" i="14"/>
  <c r="E15857" i="14"/>
  <c r="AH15856" i="14"/>
  <c r="E15856" i="14"/>
  <c r="AH15855" i="14"/>
  <c r="E15855" i="14"/>
  <c r="AH15854" i="14"/>
  <c r="E15854" i="14"/>
  <c r="AH15853" i="14"/>
  <c r="E15853" i="14"/>
  <c r="AH15852" i="14"/>
  <c r="E15852" i="14"/>
  <c r="AH15851" i="14"/>
  <c r="E15851" i="14"/>
  <c r="AH15850" i="14"/>
  <c r="E15850" i="14"/>
  <c r="AH15849" i="14"/>
  <c r="E15849" i="14"/>
  <c r="AH15848" i="14"/>
  <c r="E15848" i="14"/>
  <c r="AH15847" i="14"/>
  <c r="E15847" i="14"/>
  <c r="AH15846" i="14"/>
  <c r="E15846" i="14"/>
  <c r="AH15845" i="14"/>
  <c r="E15845" i="14"/>
  <c r="AH15844" i="14"/>
  <c r="E15844" i="14"/>
  <c r="AH15843" i="14"/>
  <c r="E15843" i="14"/>
  <c r="AH15842" i="14"/>
  <c r="E15842" i="14"/>
  <c r="AH15841" i="14"/>
  <c r="E15841" i="14"/>
  <c r="AH15840" i="14"/>
  <c r="E15840" i="14"/>
  <c r="AH15839" i="14"/>
  <c r="E15839" i="14"/>
  <c r="AH15838" i="14"/>
  <c r="E15838" i="14"/>
  <c r="AH15837" i="14"/>
  <c r="E15837" i="14"/>
  <c r="AH15836" i="14"/>
  <c r="E15836" i="14"/>
  <c r="AH15835" i="14"/>
  <c r="E15835" i="14"/>
  <c r="AH15834" i="14"/>
  <c r="E15834" i="14"/>
  <c r="AH15833" i="14"/>
  <c r="E15833" i="14"/>
  <c r="AH15832" i="14"/>
  <c r="E15832" i="14"/>
  <c r="AH15831" i="14"/>
  <c r="E15831" i="14"/>
  <c r="AH15830" i="14"/>
  <c r="E15830" i="14"/>
  <c r="AH15829" i="14"/>
  <c r="E15829" i="14"/>
  <c r="AH15828" i="14"/>
  <c r="E15828" i="14"/>
  <c r="AH15827" i="14"/>
  <c r="E15827" i="14"/>
  <c r="AH15826" i="14"/>
  <c r="E15826" i="14"/>
  <c r="AH15825" i="14"/>
  <c r="E15825" i="14"/>
  <c r="AH15824" i="14"/>
  <c r="E15824" i="14"/>
  <c r="AH15823" i="14"/>
  <c r="E15823" i="14"/>
  <c r="AH15822" i="14"/>
  <c r="E15822" i="14"/>
  <c r="AH15821" i="14"/>
  <c r="E15821" i="14"/>
  <c r="AH15820" i="14"/>
  <c r="E15820" i="14"/>
  <c r="AH15819" i="14"/>
  <c r="E15819" i="14"/>
  <c r="AH15818" i="14"/>
  <c r="E15818" i="14"/>
  <c r="AH15817" i="14"/>
  <c r="E15817" i="14"/>
  <c r="AH15816" i="14"/>
  <c r="E15816" i="14"/>
  <c r="AH15815" i="14"/>
  <c r="E15815" i="14"/>
  <c r="AH15814" i="14"/>
  <c r="E15814" i="14"/>
  <c r="AH15813" i="14"/>
  <c r="E15813" i="14"/>
  <c r="AH15812" i="14"/>
  <c r="E15812" i="14"/>
  <c r="AH15811" i="14"/>
  <c r="E15811" i="14"/>
  <c r="AH15810" i="14"/>
  <c r="E15810" i="14"/>
  <c r="AH15809" i="14"/>
  <c r="E15809" i="14"/>
  <c r="AH15808" i="14"/>
  <c r="E15808" i="14"/>
  <c r="AH15807" i="14"/>
  <c r="E15807" i="14"/>
  <c r="AH15806" i="14"/>
  <c r="E15806" i="14"/>
  <c r="AH15805" i="14"/>
  <c r="E15805" i="14"/>
  <c r="AH15804" i="14"/>
  <c r="E15804" i="14"/>
  <c r="AH15803" i="14"/>
  <c r="E15803" i="14"/>
  <c r="AH15802" i="14"/>
  <c r="E15802" i="14"/>
  <c r="AH15801" i="14"/>
  <c r="E15801" i="14"/>
  <c r="AH15800" i="14"/>
  <c r="E15800" i="14"/>
  <c r="AH15799" i="14"/>
  <c r="E15799" i="14"/>
  <c r="AH15798" i="14"/>
  <c r="E15798" i="14"/>
  <c r="AH15797" i="14"/>
  <c r="E15797" i="14"/>
  <c r="AH15796" i="14"/>
  <c r="E15796" i="14"/>
  <c r="AH15795" i="14"/>
  <c r="E15795" i="14"/>
  <c r="AH15794" i="14"/>
  <c r="E15794" i="14"/>
  <c r="AH15793" i="14"/>
  <c r="E15793" i="14"/>
  <c r="AH15792" i="14"/>
  <c r="E15792" i="14"/>
  <c r="AH15791" i="14"/>
  <c r="E15791" i="14"/>
  <c r="AH15790" i="14"/>
  <c r="E15790" i="14"/>
  <c r="AH15789" i="14"/>
  <c r="E15789" i="14"/>
  <c r="AH15788" i="14"/>
  <c r="E15788" i="14"/>
  <c r="AH15787" i="14"/>
  <c r="E15787" i="14"/>
  <c r="AH15786" i="14"/>
  <c r="E15786" i="14"/>
  <c r="AH15785" i="14"/>
  <c r="E15785" i="14"/>
  <c r="AH15784" i="14"/>
  <c r="E15784" i="14"/>
  <c r="AH15783" i="14"/>
  <c r="E15783" i="14"/>
  <c r="AH15782" i="14"/>
  <c r="E15782" i="14"/>
  <c r="AH15781" i="14"/>
  <c r="E15781" i="14"/>
  <c r="AH15780" i="14"/>
  <c r="E15780" i="14"/>
  <c r="AH15779" i="14"/>
  <c r="E15779" i="14"/>
  <c r="AH15778" i="14"/>
  <c r="E15778" i="14"/>
  <c r="AH15777" i="14"/>
  <c r="E15777" i="14"/>
  <c r="AH15776" i="14"/>
  <c r="E15776" i="14"/>
  <c r="AH15775" i="14"/>
  <c r="E15775" i="14"/>
  <c r="AH15774" i="14"/>
  <c r="E15774" i="14"/>
  <c r="AH15773" i="14"/>
  <c r="E15773" i="14"/>
  <c r="AH15772" i="14"/>
  <c r="E15772" i="14"/>
  <c r="AH15771" i="14"/>
  <c r="E15771" i="14"/>
  <c r="AH15770" i="14"/>
  <c r="E15770" i="14"/>
  <c r="AH15769" i="14"/>
  <c r="E15769" i="14"/>
  <c r="AH15768" i="14"/>
  <c r="E15768" i="14"/>
  <c r="AH15767" i="14"/>
  <c r="E15767" i="14"/>
  <c r="AH15766" i="14"/>
  <c r="E15766" i="14"/>
  <c r="AH15765" i="14"/>
  <c r="E15765" i="14"/>
  <c r="AH15764" i="14"/>
  <c r="E15764" i="14"/>
  <c r="AH15763" i="14"/>
  <c r="E15763" i="14"/>
  <c r="AH15762" i="14"/>
  <c r="E15762" i="14"/>
  <c r="AH15761" i="14"/>
  <c r="E15761" i="14"/>
  <c r="AH15760" i="14"/>
  <c r="E15760" i="14"/>
  <c r="AH15759" i="14"/>
  <c r="E15759" i="14"/>
  <c r="AH15758" i="14"/>
  <c r="E15758" i="14"/>
  <c r="AH15757" i="14"/>
  <c r="E15757" i="14"/>
  <c r="AH15756" i="14"/>
  <c r="E15756" i="14"/>
  <c r="AH15755" i="14"/>
  <c r="E15755" i="14"/>
  <c r="AH15754" i="14"/>
  <c r="E15754" i="14"/>
  <c r="AH15753" i="14"/>
  <c r="E15753" i="14"/>
  <c r="AH15752" i="14"/>
  <c r="E15752" i="14"/>
  <c r="AH15751" i="14"/>
  <c r="E15751" i="14"/>
  <c r="AH15750" i="14"/>
  <c r="E15750" i="14"/>
  <c r="AH15749" i="14"/>
  <c r="E15749" i="14"/>
  <c r="AH15748" i="14"/>
  <c r="E15748" i="14"/>
  <c r="AH15747" i="14"/>
  <c r="E15747" i="14"/>
  <c r="AH15746" i="14"/>
  <c r="E15746" i="14"/>
  <c r="AH15745" i="14"/>
  <c r="E15745" i="14"/>
  <c r="AH15744" i="14"/>
  <c r="E15744" i="14"/>
  <c r="AH15743" i="14"/>
  <c r="E15743" i="14"/>
  <c r="AH15742" i="14"/>
  <c r="E15742" i="14"/>
  <c r="AH15741" i="14"/>
  <c r="E15741" i="14"/>
  <c r="AH15740" i="14"/>
  <c r="E15740" i="14"/>
  <c r="AH15739" i="14"/>
  <c r="E15739" i="14"/>
  <c r="AH15738" i="14"/>
  <c r="E15738" i="14"/>
  <c r="AH15737" i="14"/>
  <c r="E15737" i="14"/>
  <c r="AH15736" i="14"/>
  <c r="E15736" i="14"/>
  <c r="AH15735" i="14"/>
  <c r="E15735" i="14"/>
  <c r="AH15734" i="14"/>
  <c r="E15734" i="14"/>
  <c r="AH15733" i="14"/>
  <c r="E15733" i="14"/>
  <c r="AH15732" i="14"/>
  <c r="E15732" i="14"/>
  <c r="AH15731" i="14"/>
  <c r="E15731" i="14"/>
  <c r="AH15730" i="14"/>
  <c r="E15730" i="14"/>
  <c r="AH15729" i="14"/>
  <c r="E15729" i="14"/>
  <c r="AH15728" i="14"/>
  <c r="E15728" i="14"/>
  <c r="AH15727" i="14"/>
  <c r="E15727" i="14"/>
  <c r="AH15726" i="14"/>
  <c r="E15726" i="14"/>
  <c r="AH15725" i="14"/>
  <c r="E15725" i="14"/>
  <c r="AH15724" i="14"/>
  <c r="E15724" i="14"/>
  <c r="AH15723" i="14"/>
  <c r="E15723" i="14"/>
  <c r="AH15722" i="14"/>
  <c r="E15722" i="14"/>
  <c r="AH15721" i="14"/>
  <c r="E15721" i="14"/>
  <c r="AH15720" i="14"/>
  <c r="E15720" i="14"/>
  <c r="AH15719" i="14"/>
  <c r="E15719" i="14"/>
  <c r="AH15718" i="14"/>
  <c r="E15718" i="14"/>
  <c r="AH15717" i="14"/>
  <c r="E15717" i="14"/>
  <c r="AH15716" i="14"/>
  <c r="E15716" i="14"/>
  <c r="AH15715" i="14"/>
  <c r="E15715" i="14"/>
  <c r="AH15714" i="14"/>
  <c r="E15714" i="14"/>
  <c r="AH15713" i="14"/>
  <c r="E15713" i="14"/>
  <c r="AH15712" i="14"/>
  <c r="E15712" i="14"/>
  <c r="AH15711" i="14"/>
  <c r="E15711" i="14"/>
  <c r="AH15710" i="14"/>
  <c r="E15710" i="14"/>
  <c r="AH15709" i="14"/>
  <c r="E15709" i="14"/>
  <c r="AH15708" i="14"/>
  <c r="E15708" i="14"/>
  <c r="AH15707" i="14"/>
  <c r="E15707" i="14"/>
  <c r="AH15706" i="14"/>
  <c r="E15706" i="14"/>
  <c r="AH15705" i="14"/>
  <c r="E15705" i="14"/>
  <c r="AH15704" i="14"/>
  <c r="E15704" i="14"/>
  <c r="AH15703" i="14"/>
  <c r="E15703" i="14"/>
  <c r="AH15702" i="14"/>
  <c r="E15702" i="14"/>
  <c r="AH15701" i="14"/>
  <c r="E15701" i="14"/>
  <c r="AH15700" i="14"/>
  <c r="E15700" i="14"/>
  <c r="AH15699" i="14"/>
  <c r="E15699" i="14"/>
  <c r="AH15698" i="14"/>
  <c r="E15698" i="14"/>
  <c r="AH15697" i="14"/>
  <c r="E15697" i="14"/>
  <c r="AH15696" i="14"/>
  <c r="E15696" i="14"/>
  <c r="AH15695" i="14"/>
  <c r="E15695" i="14"/>
  <c r="AH15694" i="14"/>
  <c r="E15694" i="14"/>
  <c r="AH15693" i="14"/>
  <c r="E15693" i="14"/>
  <c r="AH15692" i="14"/>
  <c r="E15692" i="14"/>
  <c r="AH15691" i="14"/>
  <c r="E15691" i="14"/>
  <c r="AH15690" i="14"/>
  <c r="E15690" i="14"/>
  <c r="AH15689" i="14"/>
  <c r="E15689" i="14"/>
  <c r="AH15688" i="14"/>
  <c r="E15688" i="14"/>
  <c r="AH15687" i="14"/>
  <c r="E15687" i="14"/>
  <c r="AH15686" i="14"/>
  <c r="E15686" i="14"/>
  <c r="AH15685" i="14"/>
  <c r="E15685" i="14"/>
  <c r="AH15684" i="14"/>
  <c r="E15684" i="14"/>
  <c r="AH15683" i="14"/>
  <c r="E15683" i="14"/>
  <c r="AH15682" i="14"/>
  <c r="E15682" i="14"/>
  <c r="AH15681" i="14"/>
  <c r="E15681" i="14"/>
  <c r="AH15680" i="14"/>
  <c r="E15680" i="14"/>
  <c r="AH15679" i="14"/>
  <c r="E15679" i="14"/>
  <c r="AH15678" i="14"/>
  <c r="E15678" i="14"/>
  <c r="AH15677" i="14"/>
  <c r="E15677" i="14"/>
  <c r="AH15676" i="14"/>
  <c r="E15676" i="14"/>
  <c r="AH15675" i="14"/>
  <c r="E15675" i="14"/>
  <c r="AH15674" i="14"/>
  <c r="E15674" i="14"/>
  <c r="AH15673" i="14"/>
  <c r="E15673" i="14"/>
  <c r="AH15672" i="14"/>
  <c r="E15672" i="14"/>
  <c r="AH15671" i="14"/>
  <c r="E15671" i="14"/>
  <c r="AH15670" i="14"/>
  <c r="E15670" i="14"/>
  <c r="AH15669" i="14"/>
  <c r="E15669" i="14"/>
  <c r="AH15668" i="14"/>
  <c r="E15668" i="14"/>
  <c r="AH15667" i="14"/>
  <c r="E15667" i="14"/>
  <c r="AH15666" i="14"/>
  <c r="E15666" i="14"/>
  <c r="AH15665" i="14"/>
  <c r="E15665" i="14"/>
  <c r="AH15664" i="14"/>
  <c r="E15664" i="14"/>
  <c r="AH15663" i="14"/>
  <c r="E15663" i="14"/>
  <c r="AH15662" i="14"/>
  <c r="E15662" i="14"/>
  <c r="AH15661" i="14"/>
  <c r="E15661" i="14"/>
  <c r="AH15660" i="14"/>
  <c r="E15660" i="14"/>
  <c r="AH15659" i="14"/>
  <c r="E15659" i="14"/>
  <c r="AH15658" i="14"/>
  <c r="E15658" i="14"/>
  <c r="AH15657" i="14"/>
  <c r="E15657" i="14"/>
  <c r="AH15656" i="14"/>
  <c r="E15656" i="14"/>
  <c r="AH15655" i="14"/>
  <c r="E15655" i="14"/>
  <c r="AH15654" i="14"/>
  <c r="E15654" i="14"/>
  <c r="AH15653" i="14"/>
  <c r="E15653" i="14"/>
  <c r="AH15652" i="14"/>
  <c r="E15652" i="14"/>
  <c r="AH15651" i="14"/>
  <c r="E15651" i="14"/>
  <c r="AH15650" i="14"/>
  <c r="E15650" i="14"/>
  <c r="AH15649" i="14"/>
  <c r="E15649" i="14"/>
  <c r="AH15648" i="14"/>
  <c r="E15648" i="14"/>
  <c r="AH15647" i="14"/>
  <c r="E15647" i="14"/>
  <c r="AH15646" i="14"/>
  <c r="E15646" i="14"/>
  <c r="AH15645" i="14"/>
  <c r="E15645" i="14"/>
  <c r="AH15644" i="14"/>
  <c r="E15644" i="14"/>
  <c r="AH15643" i="14"/>
  <c r="E15643" i="14"/>
  <c r="AH15642" i="14"/>
  <c r="E15642" i="14"/>
  <c r="AH15641" i="14"/>
  <c r="E15641" i="14"/>
  <c r="AH15640" i="14"/>
  <c r="E15640" i="14"/>
  <c r="AH15639" i="14"/>
  <c r="E15639" i="14"/>
  <c r="AH15638" i="14"/>
  <c r="E15638" i="14"/>
  <c r="AH15637" i="14"/>
  <c r="E15637" i="14"/>
  <c r="AH15636" i="14"/>
  <c r="E15636" i="14"/>
  <c r="AH15635" i="14"/>
  <c r="E15635" i="14"/>
  <c r="AH15634" i="14"/>
  <c r="E15634" i="14"/>
  <c r="AH15633" i="14"/>
  <c r="E15633" i="14"/>
  <c r="AH15632" i="14"/>
  <c r="E15632" i="14"/>
  <c r="AH15631" i="14"/>
  <c r="E15631" i="14"/>
  <c r="AH15630" i="14"/>
  <c r="E15630" i="14"/>
  <c r="AH15629" i="14"/>
  <c r="E15629" i="14"/>
  <c r="AH15628" i="14"/>
  <c r="E15628" i="14"/>
  <c r="AH15627" i="14"/>
  <c r="E15627" i="14"/>
  <c r="AH15626" i="14"/>
  <c r="E15626" i="14"/>
  <c r="AH15625" i="14"/>
  <c r="E15625" i="14"/>
  <c r="AH15624" i="14"/>
  <c r="E15624" i="14"/>
  <c r="AH15623" i="14"/>
  <c r="E15623" i="14"/>
  <c r="AH15622" i="14"/>
  <c r="E15622" i="14"/>
  <c r="AH15621" i="14"/>
  <c r="E15621" i="14"/>
  <c r="AH15620" i="14"/>
  <c r="E15620" i="14"/>
  <c r="AH15619" i="14"/>
  <c r="E15619" i="14"/>
  <c r="AH15618" i="14"/>
  <c r="E15618" i="14"/>
  <c r="AH15617" i="14"/>
  <c r="E15617" i="14"/>
  <c r="AH15616" i="14"/>
  <c r="E15616" i="14"/>
  <c r="AH15615" i="14"/>
  <c r="E15615" i="14"/>
  <c r="AH15614" i="14"/>
  <c r="E15614" i="14"/>
  <c r="AH15613" i="14"/>
  <c r="E15613" i="14"/>
  <c r="AH15612" i="14"/>
  <c r="E15612" i="14"/>
  <c r="AH15611" i="14"/>
  <c r="E15611" i="14"/>
  <c r="AH15610" i="14"/>
  <c r="E15610" i="14"/>
  <c r="AH15609" i="14"/>
  <c r="E15609" i="14"/>
  <c r="AH15608" i="14"/>
  <c r="E15608" i="14"/>
  <c r="AH15607" i="14"/>
  <c r="E15607" i="14"/>
  <c r="AH15606" i="14"/>
  <c r="E15606" i="14"/>
  <c r="AH15605" i="14"/>
  <c r="E15605" i="14"/>
  <c r="AH15604" i="14"/>
  <c r="E15604" i="14"/>
  <c r="AH15603" i="14"/>
  <c r="E15603" i="14"/>
  <c r="AH15602" i="14"/>
  <c r="E15602" i="14"/>
  <c r="AH15601" i="14"/>
  <c r="E15601" i="14"/>
  <c r="AH15600" i="14"/>
  <c r="E15600" i="14"/>
  <c r="AH15599" i="14"/>
  <c r="E15599" i="14"/>
  <c r="AH15598" i="14"/>
  <c r="E15598" i="14"/>
  <c r="AH15597" i="14"/>
  <c r="E15597" i="14"/>
  <c r="AH15596" i="14"/>
  <c r="E15596" i="14"/>
  <c r="AH15595" i="14"/>
  <c r="E15595" i="14"/>
  <c r="AH15594" i="14"/>
  <c r="E15594" i="14"/>
  <c r="AH15593" i="14"/>
  <c r="E15593" i="14"/>
  <c r="AH15592" i="14"/>
  <c r="E15592" i="14"/>
  <c r="AH15591" i="14"/>
  <c r="E15591" i="14"/>
  <c r="AH15590" i="14"/>
  <c r="E15590" i="14"/>
  <c r="AH15589" i="14"/>
  <c r="E15589" i="14"/>
  <c r="AH15588" i="14"/>
  <c r="E15588" i="14"/>
  <c r="AH15587" i="14"/>
  <c r="E15587" i="14"/>
  <c r="AH15586" i="14"/>
  <c r="E15586" i="14"/>
  <c r="AH15585" i="14"/>
  <c r="E15585" i="14"/>
  <c r="AH15584" i="14"/>
  <c r="E15584" i="14"/>
  <c r="AH15583" i="14"/>
  <c r="E15583" i="14"/>
  <c r="AH15582" i="14"/>
  <c r="E15582" i="14"/>
  <c r="AH15581" i="14"/>
  <c r="E15581" i="14"/>
  <c r="AH15580" i="14"/>
  <c r="E15580" i="14"/>
  <c r="AH15579" i="14"/>
  <c r="E15579" i="14"/>
  <c r="AH15578" i="14"/>
  <c r="E15578" i="14"/>
  <c r="AH15577" i="14"/>
  <c r="E15577" i="14"/>
  <c r="AH15576" i="14"/>
  <c r="E15576" i="14"/>
  <c r="AH15575" i="14"/>
  <c r="E15575" i="14"/>
  <c r="AH15574" i="14"/>
  <c r="E15574" i="14"/>
  <c r="AH15573" i="14"/>
  <c r="E15573" i="14"/>
  <c r="AH15572" i="14"/>
  <c r="E15572" i="14"/>
  <c r="AH15571" i="14"/>
  <c r="E15571" i="14"/>
  <c r="AH15570" i="14"/>
  <c r="E15570" i="14"/>
  <c r="AH15569" i="14"/>
  <c r="E15569" i="14"/>
  <c r="AH15568" i="14"/>
  <c r="E15568" i="14"/>
  <c r="AH15567" i="14"/>
  <c r="E15567" i="14"/>
  <c r="AH15566" i="14"/>
  <c r="E15566" i="14"/>
  <c r="AH15565" i="14"/>
  <c r="E15565" i="14"/>
  <c r="AH15564" i="14"/>
  <c r="E15564" i="14"/>
  <c r="AH15563" i="14"/>
  <c r="E15563" i="14"/>
  <c r="AH15562" i="14"/>
  <c r="E15562" i="14"/>
  <c r="AH15561" i="14"/>
  <c r="E15561" i="14"/>
  <c r="AH15560" i="14"/>
  <c r="E15560" i="14"/>
  <c r="AH15559" i="14"/>
  <c r="E15559" i="14"/>
  <c r="AH15558" i="14"/>
  <c r="E15558" i="14"/>
  <c r="AH15557" i="14"/>
  <c r="E15557" i="14"/>
  <c r="AH15556" i="14"/>
  <c r="E15556" i="14"/>
  <c r="AH15555" i="14"/>
  <c r="E15555" i="14"/>
  <c r="AH15554" i="14"/>
  <c r="E15554" i="14"/>
  <c r="AH15553" i="14"/>
  <c r="E15553" i="14"/>
  <c r="AH15552" i="14"/>
  <c r="E15552" i="14"/>
  <c r="AH15551" i="14"/>
  <c r="E15551" i="14"/>
  <c r="AH15550" i="14"/>
  <c r="E15550" i="14"/>
  <c r="AH15549" i="14"/>
  <c r="E15549" i="14"/>
  <c r="AH15548" i="14"/>
  <c r="E15548" i="14"/>
  <c r="AH15547" i="14"/>
  <c r="E15547" i="14"/>
  <c r="AH15546" i="14"/>
  <c r="E15546" i="14"/>
  <c r="AH15545" i="14"/>
  <c r="E15545" i="14"/>
  <c r="AH15544" i="14"/>
  <c r="E15544" i="14"/>
  <c r="AH15543" i="14"/>
  <c r="E15543" i="14"/>
  <c r="AH15542" i="14"/>
  <c r="E15542" i="14"/>
  <c r="AH15541" i="14"/>
  <c r="E15541" i="14"/>
  <c r="AH15540" i="14"/>
  <c r="E15540" i="14"/>
  <c r="AH15539" i="14"/>
  <c r="E15539" i="14"/>
  <c r="AH15538" i="14"/>
  <c r="E15538" i="14"/>
  <c r="AH15537" i="14"/>
  <c r="E15537" i="14"/>
  <c r="AH15536" i="14"/>
  <c r="E15536" i="14"/>
  <c r="AH15535" i="14"/>
  <c r="E15535" i="14"/>
  <c r="AH15534" i="14"/>
  <c r="E15534" i="14"/>
  <c r="AH15533" i="14"/>
  <c r="E15533" i="14"/>
  <c r="AH15532" i="14"/>
  <c r="E15532" i="14"/>
  <c r="AH15531" i="14"/>
  <c r="E15531" i="14"/>
  <c r="AH15530" i="14"/>
  <c r="E15530" i="14"/>
  <c r="AH15529" i="14"/>
  <c r="E15529" i="14"/>
  <c r="AH15528" i="14"/>
  <c r="E15528" i="14"/>
  <c r="AH15527" i="14"/>
  <c r="E15527" i="14"/>
  <c r="AH15526" i="14"/>
  <c r="E15526" i="14"/>
  <c r="AH15525" i="14"/>
  <c r="E15525" i="14"/>
  <c r="AH15524" i="14"/>
  <c r="E15524" i="14"/>
  <c r="AH15523" i="14"/>
  <c r="E15523" i="14"/>
  <c r="AH15522" i="14"/>
  <c r="E15522" i="14"/>
  <c r="AH15521" i="14"/>
  <c r="E15521" i="14"/>
  <c r="AH15520" i="14"/>
  <c r="E15520" i="14"/>
  <c r="AH15519" i="14"/>
  <c r="E15519" i="14"/>
  <c r="AH15518" i="14"/>
  <c r="E15518" i="14"/>
  <c r="AH15517" i="14"/>
  <c r="E15517" i="14"/>
  <c r="AH15516" i="14"/>
  <c r="E15516" i="14"/>
  <c r="AH15515" i="14"/>
  <c r="E15515" i="14"/>
  <c r="AH15514" i="14"/>
  <c r="E15514" i="14"/>
  <c r="AH15513" i="14"/>
  <c r="E15513" i="14"/>
  <c r="AH15512" i="14"/>
  <c r="E15512" i="14"/>
  <c r="AH15511" i="14"/>
  <c r="E15511" i="14"/>
  <c r="AH15510" i="14"/>
  <c r="E15510" i="14"/>
  <c r="AH15509" i="14"/>
  <c r="E15509" i="14"/>
  <c r="AH15508" i="14"/>
  <c r="E15508" i="14"/>
  <c r="AH15507" i="14"/>
  <c r="E15507" i="14"/>
  <c r="AH15506" i="14"/>
  <c r="E15506" i="14"/>
  <c r="AH15505" i="14"/>
  <c r="E15505" i="14"/>
  <c r="AH15504" i="14"/>
  <c r="E15504" i="14"/>
  <c r="AH15503" i="14"/>
  <c r="E15503" i="14"/>
  <c r="AH15502" i="14"/>
  <c r="E15502" i="14"/>
  <c r="AH15501" i="14"/>
  <c r="E15501" i="14"/>
  <c r="AH15500" i="14"/>
  <c r="E15500" i="14"/>
  <c r="AH15499" i="14"/>
  <c r="E15499" i="14"/>
  <c r="AH15498" i="14"/>
  <c r="E15498" i="14"/>
  <c r="AH15497" i="14"/>
  <c r="E15497" i="14"/>
  <c r="AH15496" i="14"/>
  <c r="E15496" i="14"/>
  <c r="AH15495" i="14"/>
  <c r="E15495" i="14"/>
  <c r="AH15494" i="14"/>
  <c r="E15494" i="14"/>
  <c r="AH15493" i="14"/>
  <c r="E15493" i="14"/>
  <c r="AH15492" i="14"/>
  <c r="E15492" i="14"/>
  <c r="AH15491" i="14"/>
  <c r="E15491" i="14"/>
  <c r="AH15490" i="14"/>
  <c r="E15490" i="14"/>
  <c r="AH15489" i="14"/>
  <c r="E15489" i="14"/>
  <c r="AH15488" i="14"/>
  <c r="E15488" i="14"/>
  <c r="AH15487" i="14"/>
  <c r="E15487" i="14"/>
  <c r="AH15486" i="14"/>
  <c r="E15486" i="14"/>
  <c r="AH15485" i="14"/>
  <c r="E15485" i="14"/>
  <c r="AH15484" i="14"/>
  <c r="E15484" i="14"/>
  <c r="AH15483" i="14"/>
  <c r="E15483" i="14"/>
  <c r="AH15482" i="14"/>
  <c r="E15482" i="14"/>
  <c r="AH15481" i="14"/>
  <c r="E15481" i="14"/>
  <c r="AH15480" i="14"/>
  <c r="E15480" i="14"/>
  <c r="AH15479" i="14"/>
  <c r="E15479" i="14"/>
  <c r="AH15478" i="14"/>
  <c r="E15478" i="14"/>
  <c r="AH15477" i="14"/>
  <c r="E15477" i="14"/>
  <c r="AH15476" i="14"/>
  <c r="E15476" i="14"/>
  <c r="AH15475" i="14"/>
  <c r="E15475" i="14"/>
  <c r="AH15474" i="14"/>
  <c r="E15474" i="14"/>
  <c r="AH15473" i="14"/>
  <c r="E15473" i="14"/>
  <c r="AH15472" i="14"/>
  <c r="E15472" i="14"/>
  <c r="AH15471" i="14"/>
  <c r="E15471" i="14"/>
  <c r="AH15470" i="14"/>
  <c r="E15470" i="14"/>
  <c r="AH15469" i="14"/>
  <c r="E15469" i="14"/>
  <c r="AH15468" i="14"/>
  <c r="E15468" i="14"/>
  <c r="AH15467" i="14"/>
  <c r="E15467" i="14"/>
  <c r="AH15466" i="14"/>
  <c r="E15466" i="14"/>
  <c r="AH15465" i="14"/>
  <c r="E15465" i="14"/>
  <c r="AH15464" i="14"/>
  <c r="E15464" i="14"/>
  <c r="AH15463" i="14"/>
  <c r="E15463" i="14"/>
  <c r="AH15462" i="14"/>
  <c r="E15462" i="14"/>
  <c r="AH15461" i="14"/>
  <c r="E15461" i="14"/>
  <c r="AH15460" i="14"/>
  <c r="E15460" i="14"/>
  <c r="AH15459" i="14"/>
  <c r="E15459" i="14"/>
  <c r="AH15458" i="14"/>
  <c r="E15458" i="14"/>
  <c r="AH15457" i="14"/>
  <c r="E15457" i="14"/>
  <c r="AH15456" i="14"/>
  <c r="E15456" i="14"/>
  <c r="AH15455" i="14"/>
  <c r="E15455" i="14"/>
  <c r="AH15454" i="14"/>
  <c r="E15454" i="14"/>
  <c r="AH15453" i="14"/>
  <c r="E15453" i="14"/>
  <c r="AH15452" i="14"/>
  <c r="E15452" i="14"/>
  <c r="AH15451" i="14"/>
  <c r="E15451" i="14"/>
  <c r="AH15450" i="14"/>
  <c r="E15450" i="14"/>
  <c r="AH15449" i="14"/>
  <c r="E15449" i="14"/>
  <c r="AH15448" i="14"/>
  <c r="E15448" i="14"/>
  <c r="AH15447" i="14"/>
  <c r="E15447" i="14"/>
  <c r="AH15446" i="14"/>
  <c r="E15446" i="14"/>
  <c r="AH15445" i="14"/>
  <c r="E15445" i="14"/>
  <c r="AH15444" i="14"/>
  <c r="E15444" i="14"/>
  <c r="AH15443" i="14"/>
  <c r="E15443" i="14"/>
  <c r="AH15442" i="14"/>
  <c r="E15442" i="14"/>
  <c r="AH15441" i="14"/>
  <c r="E15441" i="14"/>
  <c r="AH15440" i="14"/>
  <c r="E15440" i="14"/>
  <c r="AH15439" i="14"/>
  <c r="E15439" i="14"/>
  <c r="AH15438" i="14"/>
  <c r="E15438" i="14"/>
  <c r="AH15437" i="14"/>
  <c r="E15437" i="14"/>
  <c r="AH15436" i="14"/>
  <c r="E15436" i="14"/>
  <c r="AH15435" i="14"/>
  <c r="E15435" i="14"/>
  <c r="AH15434" i="14"/>
  <c r="E15434" i="14"/>
  <c r="AH15433" i="14"/>
  <c r="E15433" i="14"/>
  <c r="AH15432" i="14"/>
  <c r="E15432" i="14"/>
  <c r="AH15431" i="14"/>
  <c r="E15431" i="14"/>
  <c r="AH15430" i="14"/>
  <c r="E15430" i="14"/>
  <c r="AH15429" i="14"/>
  <c r="E15429" i="14"/>
  <c r="AH15428" i="14"/>
  <c r="E15428" i="14"/>
  <c r="AH15427" i="14"/>
  <c r="E15427" i="14"/>
  <c r="AH15426" i="14"/>
  <c r="E15426" i="14"/>
  <c r="AH15425" i="14"/>
  <c r="E15425" i="14"/>
  <c r="AH15424" i="14"/>
  <c r="E15424" i="14"/>
  <c r="AH15423" i="14"/>
  <c r="E15423" i="14"/>
  <c r="AH15422" i="14"/>
  <c r="E15422" i="14"/>
  <c r="AH15421" i="14"/>
  <c r="E15421" i="14"/>
  <c r="AH15420" i="14"/>
  <c r="E15420" i="14"/>
  <c r="AH15419" i="14"/>
  <c r="E15419" i="14"/>
  <c r="AH15418" i="14"/>
  <c r="E15418" i="14"/>
  <c r="AH15417" i="14"/>
  <c r="E15417" i="14"/>
  <c r="AH15416" i="14"/>
  <c r="E15416" i="14"/>
  <c r="AH15415" i="14"/>
  <c r="E15415" i="14"/>
  <c r="AH15414" i="14"/>
  <c r="E15414" i="14"/>
  <c r="AH15413" i="14"/>
  <c r="E15413" i="14"/>
  <c r="AH15412" i="14"/>
  <c r="E15412" i="14"/>
  <c r="AH15411" i="14"/>
  <c r="E15411" i="14"/>
  <c r="AH15410" i="14"/>
  <c r="E15410" i="14"/>
  <c r="AH15409" i="14"/>
  <c r="E15409" i="14"/>
  <c r="AH15408" i="14"/>
  <c r="E15408" i="14"/>
  <c r="AH15407" i="14"/>
  <c r="E15407" i="14"/>
  <c r="AH15406" i="14"/>
  <c r="E15406" i="14"/>
  <c r="AH15405" i="14"/>
  <c r="E15405" i="14"/>
  <c r="AH15404" i="14"/>
  <c r="E15404" i="14"/>
  <c r="AH15403" i="14"/>
  <c r="E15403" i="14"/>
  <c r="AH15402" i="14"/>
  <c r="E15402" i="14"/>
  <c r="AH15401" i="14"/>
  <c r="E15401" i="14"/>
  <c r="AH15400" i="14"/>
  <c r="E15400" i="14"/>
  <c r="AH15399" i="14"/>
  <c r="E15399" i="14"/>
  <c r="AH15398" i="14"/>
  <c r="E15398" i="14"/>
  <c r="AH15397" i="14"/>
  <c r="E15397" i="14"/>
  <c r="AH15396" i="14"/>
  <c r="E15396" i="14"/>
  <c r="AH15395" i="14"/>
  <c r="E15395" i="14"/>
  <c r="AH15394" i="14"/>
  <c r="E15394" i="14"/>
  <c r="AH15393" i="14"/>
  <c r="E15393" i="14"/>
  <c r="AH15392" i="14"/>
  <c r="E15392" i="14"/>
  <c r="AH15391" i="14"/>
  <c r="E15391" i="14"/>
  <c r="AH15390" i="14"/>
  <c r="E15390" i="14"/>
  <c r="AH15389" i="14"/>
  <c r="E15389" i="14"/>
  <c r="AH15388" i="14"/>
  <c r="E15388" i="14"/>
  <c r="AH15387" i="14"/>
  <c r="E15387" i="14"/>
  <c r="AH15386" i="14"/>
  <c r="E15386" i="14"/>
  <c r="AH15385" i="14"/>
  <c r="E15385" i="14"/>
  <c r="AH15384" i="14"/>
  <c r="E15384" i="14"/>
  <c r="AH15383" i="14"/>
  <c r="E15383" i="14"/>
  <c r="AH15382" i="14"/>
  <c r="E15382" i="14"/>
  <c r="AH15381" i="14"/>
  <c r="E15381" i="14"/>
  <c r="AH15380" i="14"/>
  <c r="E15380" i="14"/>
  <c r="AH15379" i="14"/>
  <c r="E15379" i="14"/>
  <c r="AH15378" i="14"/>
  <c r="E15378" i="14"/>
  <c r="AH15377" i="14"/>
  <c r="E15377" i="14"/>
  <c r="AH15376" i="14"/>
  <c r="E15376" i="14"/>
  <c r="AH15375" i="14"/>
  <c r="E15375" i="14"/>
  <c r="AH15374" i="14"/>
  <c r="E15374" i="14"/>
  <c r="AH15373" i="14"/>
  <c r="E15373" i="14"/>
  <c r="AH15372" i="14"/>
  <c r="E15372" i="14"/>
  <c r="AH15371" i="14"/>
  <c r="E15371" i="14"/>
  <c r="AH15370" i="14"/>
  <c r="E15370" i="14"/>
  <c r="AH15369" i="14"/>
  <c r="E15369" i="14"/>
  <c r="AH15368" i="14"/>
  <c r="E15368" i="14"/>
  <c r="AH15367" i="14"/>
  <c r="E15367" i="14"/>
  <c r="AH15366" i="14"/>
  <c r="E15366" i="14"/>
  <c r="AH15365" i="14"/>
  <c r="E15365" i="14"/>
  <c r="AH15364" i="14"/>
  <c r="E15364" i="14"/>
  <c r="AH15363" i="14"/>
  <c r="E15363" i="14"/>
  <c r="AH15362" i="14"/>
  <c r="E15362" i="14"/>
  <c r="AH15361" i="14"/>
  <c r="E15361" i="14"/>
  <c r="AH15360" i="14"/>
  <c r="E15360" i="14"/>
  <c r="AH15359" i="14"/>
  <c r="E15359" i="14"/>
  <c r="AH15358" i="14"/>
  <c r="E15358" i="14"/>
  <c r="AH15357" i="14"/>
  <c r="E15357" i="14"/>
  <c r="AH15356" i="14"/>
  <c r="E15356" i="14"/>
  <c r="AH15355" i="14"/>
  <c r="E15355" i="14"/>
  <c r="AH15354" i="14"/>
  <c r="E15354" i="14"/>
  <c r="AH15353" i="14"/>
  <c r="E15353" i="14"/>
  <c r="AH15352" i="14"/>
  <c r="E15352" i="14"/>
  <c r="AH15351" i="14"/>
  <c r="E15351" i="14"/>
  <c r="AH15350" i="14"/>
  <c r="E15350" i="14"/>
  <c r="AH15349" i="14"/>
  <c r="E15349" i="14"/>
  <c r="AH15348" i="14"/>
  <c r="E15348" i="14"/>
  <c r="AH15347" i="14"/>
  <c r="E15347" i="14"/>
  <c r="AH15346" i="14"/>
  <c r="E15346" i="14"/>
  <c r="AH15345" i="14"/>
  <c r="E15345" i="14"/>
  <c r="AH15344" i="14"/>
  <c r="E15344" i="14"/>
  <c r="AH15343" i="14"/>
  <c r="E15343" i="14"/>
  <c r="AH15342" i="14"/>
  <c r="E15342" i="14"/>
  <c r="AH15341" i="14"/>
  <c r="E15341" i="14"/>
  <c r="AH15340" i="14"/>
  <c r="E15340" i="14"/>
  <c r="AH15339" i="14"/>
  <c r="E15339" i="14"/>
  <c r="AH15338" i="14"/>
  <c r="E15338" i="14"/>
  <c r="AH15337" i="14"/>
  <c r="E15337" i="14"/>
  <c r="AH15336" i="14"/>
  <c r="E15336" i="14"/>
  <c r="AH15335" i="14"/>
  <c r="E15335" i="14"/>
  <c r="AH15334" i="14"/>
  <c r="E15334" i="14"/>
  <c r="AH15333" i="14"/>
  <c r="E15333" i="14"/>
  <c r="AH15332" i="14"/>
  <c r="E15332" i="14"/>
  <c r="AH15331" i="14"/>
  <c r="E15331" i="14"/>
  <c r="AH15330" i="14"/>
  <c r="E15330" i="14"/>
  <c r="AH15329" i="14"/>
  <c r="E15329" i="14"/>
  <c r="AH15328" i="14"/>
  <c r="E15328" i="14"/>
  <c r="AH15327" i="14"/>
  <c r="E15327" i="14"/>
  <c r="AH15326" i="14"/>
  <c r="E15326" i="14"/>
  <c r="AH15325" i="14"/>
  <c r="E15325" i="14"/>
  <c r="AH15324" i="14"/>
  <c r="E15324" i="14"/>
  <c r="AH15323" i="14"/>
  <c r="E15323" i="14"/>
  <c r="AH15322" i="14"/>
  <c r="E15322" i="14"/>
  <c r="AH15321" i="14"/>
  <c r="E15321" i="14"/>
  <c r="AH15320" i="14"/>
  <c r="E15320" i="14"/>
  <c r="AH15319" i="14"/>
  <c r="E15319" i="14"/>
  <c r="AH15318" i="14"/>
  <c r="E15318" i="14"/>
  <c r="AH15317" i="14"/>
  <c r="E15317" i="14"/>
  <c r="AH15316" i="14"/>
  <c r="E15316" i="14"/>
  <c r="AH15315" i="14"/>
  <c r="E15315" i="14"/>
  <c r="AH15314" i="14"/>
  <c r="E15314" i="14"/>
  <c r="AH15313" i="14"/>
  <c r="E15313" i="14"/>
  <c r="AH15312" i="14"/>
  <c r="E15312" i="14"/>
  <c r="AH15311" i="14"/>
  <c r="E15311" i="14"/>
  <c r="AH15310" i="14"/>
  <c r="E15310" i="14"/>
  <c r="AH15309" i="14"/>
  <c r="E15309" i="14"/>
  <c r="AH15308" i="14"/>
  <c r="E15308" i="14"/>
  <c r="AH15307" i="14"/>
  <c r="E15307" i="14"/>
  <c r="AH15306" i="14"/>
  <c r="E15306" i="14"/>
  <c r="AH15305" i="14"/>
  <c r="E15305" i="14"/>
  <c r="AH15304" i="14"/>
  <c r="E15304" i="14"/>
  <c r="AH15303" i="14"/>
  <c r="E15303" i="14"/>
  <c r="AH15302" i="14"/>
  <c r="E15302" i="14"/>
  <c r="AH15301" i="14"/>
  <c r="E15301" i="14"/>
  <c r="AH15300" i="14"/>
  <c r="E15300" i="14"/>
  <c r="AH15299" i="14"/>
  <c r="E15299" i="14"/>
  <c r="AH15298" i="14"/>
  <c r="E15298" i="14"/>
  <c r="AH15297" i="14"/>
  <c r="E15297" i="14"/>
  <c r="AH15296" i="14"/>
  <c r="E15296" i="14"/>
  <c r="AH15295" i="14"/>
  <c r="E15295" i="14"/>
  <c r="AH15294" i="14"/>
  <c r="E15294" i="14"/>
  <c r="AH15293" i="14"/>
  <c r="E15293" i="14"/>
  <c r="AH15292" i="14"/>
  <c r="E15292" i="14"/>
  <c r="AH15291" i="14"/>
  <c r="E15291" i="14"/>
  <c r="AH15290" i="14"/>
  <c r="E15290" i="14"/>
  <c r="AH15289" i="14"/>
  <c r="E15289" i="14"/>
  <c r="AH15288" i="14"/>
  <c r="E15288" i="14"/>
  <c r="AH15287" i="14"/>
  <c r="E15287" i="14"/>
  <c r="AH15286" i="14"/>
  <c r="E15286" i="14"/>
  <c r="AH15285" i="14"/>
  <c r="E15285" i="14"/>
  <c r="AH15284" i="14"/>
  <c r="E15284" i="14"/>
  <c r="AH15283" i="14"/>
  <c r="E15283" i="14"/>
  <c r="AH15282" i="14"/>
  <c r="E15282" i="14"/>
  <c r="AH15281" i="14"/>
  <c r="E15281" i="14"/>
  <c r="AH15280" i="14"/>
  <c r="E15280" i="14"/>
  <c r="AH15279" i="14"/>
  <c r="E15279" i="14"/>
  <c r="AH15278" i="14"/>
  <c r="E15278" i="14"/>
  <c r="AH15277" i="14"/>
  <c r="E15277" i="14"/>
  <c r="AH15276" i="14"/>
  <c r="E15276" i="14"/>
  <c r="AH15275" i="14"/>
  <c r="E15275" i="14"/>
  <c r="AH15274" i="14"/>
  <c r="E15274" i="14"/>
  <c r="AH15273" i="14"/>
  <c r="E15273" i="14"/>
  <c r="AH15272" i="14"/>
  <c r="E15272" i="14"/>
  <c r="AH15271" i="14"/>
  <c r="E15271" i="14"/>
  <c r="AH15270" i="14"/>
  <c r="E15270" i="14"/>
  <c r="AH15269" i="14"/>
  <c r="E15269" i="14"/>
  <c r="AH15268" i="14"/>
  <c r="E15268" i="14"/>
  <c r="AH15267" i="14"/>
  <c r="E15267" i="14"/>
  <c r="AH15266" i="14"/>
  <c r="E15266" i="14"/>
  <c r="AH15265" i="14"/>
  <c r="E15265" i="14"/>
  <c r="AH15264" i="14"/>
  <c r="E15264" i="14"/>
  <c r="AH15263" i="14"/>
  <c r="E15263" i="14"/>
  <c r="AH15262" i="14"/>
  <c r="E15262" i="14"/>
  <c r="AH15261" i="14"/>
  <c r="E15261" i="14"/>
  <c r="AH15260" i="14"/>
  <c r="E15260" i="14"/>
  <c r="AH15259" i="14"/>
  <c r="E15259" i="14"/>
  <c r="AH15258" i="14"/>
  <c r="E15258" i="14"/>
  <c r="AH15257" i="14"/>
  <c r="E15257" i="14"/>
  <c r="AH15256" i="14"/>
  <c r="E15256" i="14"/>
  <c r="AH15255" i="14"/>
  <c r="E15255" i="14"/>
  <c r="AH15254" i="14"/>
  <c r="E15254" i="14"/>
  <c r="AH15253" i="14"/>
  <c r="E15253" i="14"/>
  <c r="AH15252" i="14"/>
  <c r="E15252" i="14"/>
  <c r="AH15251" i="14"/>
  <c r="E15251" i="14"/>
  <c r="AH15250" i="14"/>
  <c r="E15250" i="14"/>
  <c r="AH15249" i="14"/>
  <c r="E15249" i="14"/>
  <c r="AH15248" i="14"/>
  <c r="E15248" i="14"/>
  <c r="AH15247" i="14"/>
  <c r="E15247" i="14"/>
  <c r="AH15246" i="14"/>
  <c r="E15246" i="14"/>
  <c r="AH15245" i="14"/>
  <c r="E15245" i="14"/>
  <c r="AH15244" i="14"/>
  <c r="E15244" i="14"/>
  <c r="AH15243" i="14"/>
  <c r="E15243" i="14"/>
  <c r="AH15242" i="14"/>
  <c r="E15242" i="14"/>
  <c r="AH15241" i="14"/>
  <c r="E15241" i="14"/>
  <c r="AH15240" i="14"/>
  <c r="E15240" i="14"/>
  <c r="AH15239" i="14"/>
  <c r="E15239" i="14"/>
  <c r="AH15238" i="14"/>
  <c r="E15238" i="14"/>
  <c r="AH15237" i="14"/>
  <c r="E15237" i="14"/>
  <c r="AH15236" i="14"/>
  <c r="E15236" i="14"/>
  <c r="AH15235" i="14"/>
  <c r="E15235" i="14"/>
  <c r="AH15234" i="14"/>
  <c r="E15234" i="14"/>
  <c r="AH15233" i="14"/>
  <c r="E15233" i="14"/>
  <c r="AH15232" i="14"/>
  <c r="E15232" i="14"/>
  <c r="AH15231" i="14"/>
  <c r="E15231" i="14"/>
  <c r="AH15230" i="14"/>
  <c r="E15230" i="14"/>
  <c r="AH15229" i="14"/>
  <c r="E15229" i="14"/>
  <c r="AH15228" i="14"/>
  <c r="E15228" i="14"/>
  <c r="AH15227" i="14"/>
  <c r="E15227" i="14"/>
  <c r="AH15226" i="14"/>
  <c r="E15226" i="14"/>
  <c r="AH15225" i="14"/>
  <c r="E15225" i="14"/>
  <c r="AH15224" i="14"/>
  <c r="E15224" i="14"/>
  <c r="AH15223" i="14"/>
  <c r="E15223" i="14"/>
  <c r="AH15222" i="14"/>
  <c r="E15222" i="14"/>
  <c r="AH15221" i="14"/>
  <c r="E15221" i="14"/>
  <c r="AH15220" i="14"/>
  <c r="E15220" i="14"/>
  <c r="AH15219" i="14"/>
  <c r="E15219" i="14"/>
  <c r="AH15218" i="14"/>
  <c r="E15218" i="14"/>
  <c r="AH15217" i="14"/>
  <c r="E15217" i="14"/>
  <c r="AH15216" i="14"/>
  <c r="E15216" i="14"/>
  <c r="AH15215" i="14"/>
  <c r="E15215" i="14"/>
  <c r="AH15214" i="14"/>
  <c r="E15214" i="14"/>
  <c r="AH15213" i="14"/>
  <c r="E15213" i="14"/>
  <c r="AH15212" i="14"/>
  <c r="E15212" i="14"/>
  <c r="AH15211" i="14"/>
  <c r="E15211" i="14"/>
  <c r="AH15210" i="14"/>
  <c r="E15210" i="14"/>
  <c r="AH15209" i="14"/>
  <c r="E15209" i="14"/>
  <c r="AH15208" i="14"/>
  <c r="E15208" i="14"/>
  <c r="AH15207" i="14"/>
  <c r="E15207" i="14"/>
  <c r="AH15206" i="14"/>
  <c r="E15206" i="14"/>
  <c r="AH15205" i="14"/>
  <c r="E15205" i="14"/>
  <c r="AH15204" i="14"/>
  <c r="E15204" i="14"/>
  <c r="AH15203" i="14"/>
  <c r="E15203" i="14"/>
  <c r="AH15202" i="14"/>
  <c r="E15202" i="14"/>
  <c r="AH15201" i="14"/>
  <c r="E15201" i="14"/>
  <c r="AH15200" i="14"/>
  <c r="E15200" i="14"/>
  <c r="AH15199" i="14"/>
  <c r="E15199" i="14"/>
  <c r="AH15198" i="14"/>
  <c r="E15198" i="14"/>
  <c r="AH15197" i="14"/>
  <c r="E15197" i="14"/>
  <c r="AH15196" i="14"/>
  <c r="E15196" i="14"/>
  <c r="AH15195" i="14"/>
  <c r="E15195" i="14"/>
  <c r="AH15194" i="14"/>
  <c r="E15194" i="14"/>
  <c r="AH15193" i="14"/>
  <c r="E15193" i="14"/>
  <c r="AH15192" i="14"/>
  <c r="E15192" i="14"/>
  <c r="AH15191" i="14"/>
  <c r="E15191" i="14"/>
  <c r="AH15190" i="14"/>
  <c r="E15190" i="14"/>
  <c r="AH15189" i="14"/>
  <c r="E15189" i="14"/>
  <c r="AH15188" i="14"/>
  <c r="E15188" i="14"/>
  <c r="AH15187" i="14"/>
  <c r="E15187" i="14"/>
  <c r="AH15186" i="14"/>
  <c r="E15186" i="14"/>
  <c r="AH15185" i="14"/>
  <c r="E15185" i="14"/>
  <c r="AH15184" i="14"/>
  <c r="E15184" i="14"/>
  <c r="AH15183" i="14"/>
  <c r="E15183" i="14"/>
  <c r="AH15182" i="14"/>
  <c r="E15182" i="14"/>
  <c r="AH15181" i="14"/>
  <c r="E15181" i="14"/>
  <c r="AH15180" i="14"/>
  <c r="E15180" i="14"/>
  <c r="AH15179" i="14"/>
  <c r="E15179" i="14"/>
  <c r="AH15178" i="14"/>
  <c r="E15178" i="14"/>
  <c r="AH15177" i="14"/>
  <c r="E15177" i="14"/>
  <c r="AH15176" i="14"/>
  <c r="E15176" i="14"/>
  <c r="AH15175" i="14"/>
  <c r="E15175" i="14"/>
  <c r="AH15174" i="14"/>
  <c r="E15174" i="14"/>
  <c r="AH15173" i="14"/>
  <c r="E15173" i="14"/>
  <c r="AH15172" i="14"/>
  <c r="E15172" i="14"/>
  <c r="AH15171" i="14"/>
  <c r="E15171" i="14"/>
  <c r="AH15170" i="14"/>
  <c r="E15170" i="14"/>
  <c r="AH15169" i="14"/>
  <c r="E15169" i="14"/>
  <c r="AH15168" i="14"/>
  <c r="E15168" i="14"/>
  <c r="AH15167" i="14"/>
  <c r="E15167" i="14"/>
  <c r="AH15166" i="14"/>
  <c r="E15166" i="14"/>
  <c r="AH15165" i="14"/>
  <c r="E15165" i="14"/>
  <c r="AH15164" i="14"/>
  <c r="E15164" i="14"/>
  <c r="AH15163" i="14"/>
  <c r="E15163" i="14"/>
  <c r="AH15162" i="14"/>
  <c r="E15162" i="14"/>
  <c r="AH15161" i="14"/>
  <c r="E15161" i="14"/>
  <c r="AH15160" i="14"/>
  <c r="E15160" i="14"/>
  <c r="AH15159" i="14"/>
  <c r="E15159" i="14"/>
  <c r="AH15158" i="14"/>
  <c r="E15158" i="14"/>
  <c r="AH15157" i="14"/>
  <c r="E15157" i="14"/>
  <c r="AH15156" i="14"/>
  <c r="E15156" i="14"/>
  <c r="AH15155" i="14"/>
  <c r="E15155" i="14"/>
  <c r="AH15154" i="14"/>
  <c r="E15154" i="14"/>
  <c r="AH15153" i="14"/>
  <c r="E15153" i="14"/>
  <c r="AH15152" i="14"/>
  <c r="E15152" i="14"/>
  <c r="AH15151" i="14"/>
  <c r="E15151" i="14"/>
  <c r="AH15150" i="14"/>
  <c r="E15150" i="14"/>
  <c r="AH15149" i="14"/>
  <c r="E15149" i="14"/>
  <c r="AH15148" i="14"/>
  <c r="E15148" i="14"/>
  <c r="AH15147" i="14"/>
  <c r="E15147" i="14"/>
  <c r="AH15146" i="14"/>
  <c r="E15146" i="14"/>
  <c r="AH15145" i="14"/>
  <c r="E15145" i="14"/>
  <c r="AH15144" i="14"/>
  <c r="E15144" i="14"/>
  <c r="AH15143" i="14"/>
  <c r="E15143" i="14"/>
  <c r="AH15142" i="14"/>
  <c r="E15142" i="14"/>
  <c r="AH15141" i="14"/>
  <c r="E15141" i="14"/>
  <c r="AH15140" i="14"/>
  <c r="E15140" i="14"/>
  <c r="AH15139" i="14"/>
  <c r="E15139" i="14"/>
  <c r="AH15138" i="14"/>
  <c r="E15138" i="14"/>
  <c r="AH15137" i="14"/>
  <c r="E15137" i="14"/>
  <c r="AH15136" i="14"/>
  <c r="E15136" i="14"/>
  <c r="AH15135" i="14"/>
  <c r="E15135" i="14"/>
  <c r="AH15134" i="14"/>
  <c r="E15134" i="14"/>
  <c r="AH15133" i="14"/>
  <c r="E15133" i="14"/>
  <c r="AH15132" i="14"/>
  <c r="E15132" i="14"/>
  <c r="AH15131" i="14"/>
  <c r="E15131" i="14"/>
  <c r="AH15130" i="14"/>
  <c r="E15130" i="14"/>
  <c r="AH15129" i="14"/>
  <c r="E15129" i="14"/>
  <c r="AH15128" i="14"/>
  <c r="E15128" i="14"/>
  <c r="AH15127" i="14"/>
  <c r="E15127" i="14"/>
  <c r="AH15126" i="14"/>
  <c r="E15126" i="14"/>
  <c r="AH15125" i="14"/>
  <c r="E15125" i="14"/>
  <c r="AH15124" i="14"/>
  <c r="E15124" i="14"/>
  <c r="AH15123" i="14"/>
  <c r="E15123" i="14"/>
  <c r="AH15122" i="14"/>
  <c r="E15122" i="14"/>
  <c r="AH15121" i="14"/>
  <c r="E15121" i="14"/>
  <c r="AH15120" i="14"/>
  <c r="E15120" i="14"/>
  <c r="AH15119" i="14"/>
  <c r="E15119" i="14"/>
  <c r="AH15118" i="14"/>
  <c r="E15118" i="14"/>
  <c r="AH15117" i="14"/>
  <c r="E15117" i="14"/>
  <c r="AH15116" i="14"/>
  <c r="E15116" i="14"/>
  <c r="AH15115" i="14"/>
  <c r="E15115" i="14"/>
  <c r="AH15114" i="14"/>
  <c r="E15114" i="14"/>
  <c r="AH15113" i="14"/>
  <c r="E15113" i="14"/>
  <c r="AH15112" i="14"/>
  <c r="E15112" i="14"/>
  <c r="AH15111" i="14"/>
  <c r="E15111" i="14"/>
  <c r="AH15110" i="14"/>
  <c r="E15110" i="14"/>
  <c r="AH15109" i="14"/>
  <c r="E15109" i="14"/>
  <c r="AH15108" i="14"/>
  <c r="E15108" i="14"/>
  <c r="AH15107" i="14"/>
  <c r="E15107" i="14"/>
  <c r="AH15106" i="14"/>
  <c r="E15106" i="14"/>
  <c r="AH15105" i="14"/>
  <c r="E15105" i="14"/>
  <c r="AH15104" i="14"/>
  <c r="E15104" i="14"/>
  <c r="AH15103" i="14"/>
  <c r="E15103" i="14"/>
  <c r="AH15102" i="14"/>
  <c r="E15102" i="14"/>
  <c r="AH15101" i="14"/>
  <c r="E15101" i="14"/>
  <c r="AH15100" i="14"/>
  <c r="E15100" i="14"/>
  <c r="AH15099" i="14"/>
  <c r="E15099" i="14"/>
  <c r="AH15098" i="14"/>
  <c r="E15098" i="14"/>
  <c r="AH15097" i="14"/>
  <c r="E15097" i="14"/>
  <c r="AH15096" i="14"/>
  <c r="E15096" i="14"/>
  <c r="AH15095" i="14"/>
  <c r="E15095" i="14"/>
  <c r="AH15094" i="14"/>
  <c r="E15094" i="14"/>
  <c r="AH15093" i="14"/>
  <c r="E15093" i="14"/>
  <c r="AH15092" i="14"/>
  <c r="E15092" i="14"/>
  <c r="AH15091" i="14"/>
  <c r="E15091" i="14"/>
  <c r="AH15090" i="14"/>
  <c r="E15090" i="14"/>
  <c r="AH15089" i="14"/>
  <c r="E15089" i="14"/>
  <c r="AH15088" i="14"/>
  <c r="E15088" i="14"/>
  <c r="AH15087" i="14"/>
  <c r="E15087" i="14"/>
  <c r="AH15086" i="14"/>
  <c r="E15086" i="14"/>
  <c r="AH15085" i="14"/>
  <c r="E15085" i="14"/>
  <c r="AH15084" i="14"/>
  <c r="E15084" i="14"/>
  <c r="AH15083" i="14"/>
  <c r="E15083" i="14"/>
  <c r="AH15082" i="14"/>
  <c r="E15082" i="14"/>
  <c r="AH15081" i="14"/>
  <c r="E15081" i="14"/>
  <c r="AH15080" i="14"/>
  <c r="E15080" i="14"/>
  <c r="AH15079" i="14"/>
  <c r="E15079" i="14"/>
  <c r="AH15078" i="14"/>
  <c r="E15078" i="14"/>
  <c r="AH15077" i="14"/>
  <c r="E15077" i="14"/>
  <c r="AH15076" i="14"/>
  <c r="E15076" i="14"/>
  <c r="AH15075" i="14"/>
  <c r="E15075" i="14"/>
  <c r="AH15074" i="14"/>
  <c r="E15074" i="14"/>
  <c r="AH15073" i="14"/>
  <c r="E15073" i="14"/>
  <c r="AH15072" i="14"/>
  <c r="E15072" i="14"/>
  <c r="AH15071" i="14"/>
  <c r="E15071" i="14"/>
  <c r="AH15070" i="14"/>
  <c r="E15070" i="14"/>
  <c r="AH15069" i="14"/>
  <c r="E15069" i="14"/>
  <c r="AH15068" i="14"/>
  <c r="E15068" i="14"/>
  <c r="AH15067" i="14"/>
  <c r="E15067" i="14"/>
  <c r="AH15066" i="14"/>
  <c r="E15066" i="14"/>
  <c r="AH15065" i="14"/>
  <c r="E15065" i="14"/>
  <c r="AH15064" i="14"/>
  <c r="E15064" i="14"/>
  <c r="AH15063" i="14"/>
  <c r="E15063" i="14"/>
  <c r="AH15062" i="14"/>
  <c r="E15062" i="14"/>
  <c r="AH15061" i="14"/>
  <c r="E15061" i="14"/>
  <c r="AH15060" i="14"/>
  <c r="E15060" i="14"/>
  <c r="AH15059" i="14"/>
  <c r="E15059" i="14"/>
  <c r="AH15058" i="14"/>
  <c r="E15058" i="14"/>
  <c r="AH15057" i="14"/>
  <c r="E15057" i="14"/>
  <c r="AH15056" i="14"/>
  <c r="E15056" i="14"/>
  <c r="AH15055" i="14"/>
  <c r="E15055" i="14"/>
  <c r="AH15054" i="14"/>
  <c r="E15054" i="14"/>
  <c r="AH15053" i="14"/>
  <c r="E15053" i="14"/>
  <c r="AH15052" i="14"/>
  <c r="E15052" i="14"/>
  <c r="AH15051" i="14"/>
  <c r="E15051" i="14"/>
  <c r="AH15050" i="14"/>
  <c r="E15050" i="14"/>
  <c r="AH15049" i="14"/>
  <c r="E15049" i="14"/>
  <c r="AH15048" i="14"/>
  <c r="E15048" i="14"/>
  <c r="AH15047" i="14"/>
  <c r="E15047" i="14"/>
  <c r="AH15046" i="14"/>
  <c r="E15046" i="14"/>
  <c r="AH15045" i="14"/>
  <c r="E15045" i="14"/>
  <c r="AH15044" i="14"/>
  <c r="E15044" i="14"/>
  <c r="AH15043" i="14"/>
  <c r="E15043" i="14"/>
  <c r="AH15042" i="14"/>
  <c r="E15042" i="14"/>
  <c r="AH15041" i="14"/>
  <c r="E15041" i="14"/>
  <c r="AH15040" i="14"/>
  <c r="E15040" i="14"/>
  <c r="AH15039" i="14"/>
  <c r="E15039" i="14"/>
  <c r="AH15038" i="14"/>
  <c r="E15038" i="14"/>
  <c r="AH15037" i="14"/>
  <c r="E15037" i="14"/>
  <c r="AH15036" i="14"/>
  <c r="E15036" i="14"/>
  <c r="AH15035" i="14"/>
  <c r="E15035" i="14"/>
  <c r="AH15034" i="14"/>
  <c r="E15034" i="14"/>
  <c r="AH15033" i="14"/>
  <c r="E15033" i="14"/>
  <c r="AH15032" i="14"/>
  <c r="E15032" i="14"/>
  <c r="AH15031" i="14"/>
  <c r="E15031" i="14"/>
  <c r="AH15030" i="14"/>
  <c r="E15030" i="14"/>
  <c r="AH15029" i="14"/>
  <c r="E15029" i="14"/>
  <c r="AH15028" i="14"/>
  <c r="E15028" i="14"/>
  <c r="AH15027" i="14"/>
  <c r="E15027" i="14"/>
  <c r="AH15026" i="14"/>
  <c r="E15026" i="14"/>
  <c r="AH15025" i="14"/>
  <c r="E15025" i="14"/>
  <c r="AH15024" i="14"/>
  <c r="E15024" i="14"/>
  <c r="AH15023" i="14"/>
  <c r="E15023" i="14"/>
  <c r="AH15022" i="14"/>
  <c r="E15022" i="14"/>
  <c r="AH15021" i="14"/>
  <c r="E15021" i="14"/>
  <c r="AH15020" i="14"/>
  <c r="E15020" i="14"/>
  <c r="AH15019" i="14"/>
  <c r="E15019" i="14"/>
  <c r="AH15018" i="14"/>
  <c r="E15018" i="14"/>
  <c r="AH15017" i="14"/>
  <c r="E15017" i="14"/>
  <c r="AH15016" i="14"/>
  <c r="E15016" i="14"/>
  <c r="AH15015" i="14"/>
  <c r="E15015" i="14"/>
  <c r="AH15014" i="14"/>
  <c r="E15014" i="14"/>
  <c r="AH15013" i="14"/>
  <c r="E15013" i="14"/>
  <c r="AH15012" i="14"/>
  <c r="E15012" i="14"/>
  <c r="AH15011" i="14"/>
  <c r="E15011" i="14"/>
  <c r="AH15010" i="14"/>
  <c r="E15010" i="14"/>
  <c r="AH15009" i="14"/>
  <c r="E15009" i="14"/>
  <c r="AH15008" i="14"/>
  <c r="E15008" i="14"/>
  <c r="AH15007" i="14"/>
  <c r="E15007" i="14"/>
  <c r="AH15006" i="14"/>
  <c r="E15006" i="14"/>
  <c r="AH15005" i="14"/>
  <c r="E15005" i="14"/>
  <c r="AH15004" i="14"/>
  <c r="E15004" i="14"/>
  <c r="AH15003" i="14"/>
  <c r="E15003" i="14"/>
  <c r="AH15002" i="14"/>
  <c r="E15002" i="14"/>
  <c r="AH15001" i="14"/>
  <c r="E15001" i="14"/>
  <c r="AH15000" i="14"/>
  <c r="E15000" i="14"/>
  <c r="AH14999" i="14"/>
  <c r="E14999" i="14"/>
  <c r="AH14998" i="14"/>
  <c r="E14998" i="14"/>
  <c r="AH14997" i="14"/>
  <c r="E14997" i="14"/>
  <c r="AH14996" i="14"/>
  <c r="E14996" i="14"/>
  <c r="AH14995" i="14"/>
  <c r="E14995" i="14"/>
  <c r="AH14994" i="14"/>
  <c r="E14994" i="14"/>
  <c r="AH14993" i="14"/>
  <c r="E14993" i="14"/>
  <c r="AH14992" i="14"/>
  <c r="E14992" i="14"/>
  <c r="AH14991" i="14"/>
  <c r="E14991" i="14"/>
  <c r="AH14990" i="14"/>
  <c r="E14990" i="14"/>
  <c r="AH14989" i="14"/>
  <c r="E14989" i="14"/>
  <c r="AH14988" i="14"/>
  <c r="E14988" i="14"/>
  <c r="AH14987" i="14"/>
  <c r="E14987" i="14"/>
  <c r="AH14986" i="14"/>
  <c r="E14986" i="14"/>
  <c r="AH14985" i="14"/>
  <c r="E14985" i="14"/>
  <c r="AH14984" i="14"/>
  <c r="E14984" i="14"/>
  <c r="AH14983" i="14"/>
  <c r="E14983" i="14"/>
  <c r="AH14982" i="14"/>
  <c r="E14982" i="14"/>
  <c r="AH14981" i="14"/>
  <c r="E14981" i="14"/>
  <c r="AH14980" i="14"/>
  <c r="E14980" i="14"/>
  <c r="AH14979" i="14"/>
  <c r="E14979" i="14"/>
  <c r="AH14978" i="14"/>
  <c r="E14978" i="14"/>
  <c r="AH14977" i="14"/>
  <c r="E14977" i="14"/>
  <c r="AH14976" i="14"/>
  <c r="E14976" i="14"/>
  <c r="AH14975" i="14"/>
  <c r="E14975" i="14"/>
  <c r="AH14974" i="14"/>
  <c r="E14974" i="14"/>
  <c r="AH14973" i="14"/>
  <c r="E14973" i="14"/>
  <c r="AH14972" i="14"/>
  <c r="E14972" i="14"/>
  <c r="AH14971" i="14"/>
  <c r="E14971" i="14"/>
  <c r="AH14970" i="14"/>
  <c r="E14970" i="14"/>
  <c r="AH14969" i="14"/>
  <c r="E14969" i="14"/>
  <c r="AH14968" i="14"/>
  <c r="E14968" i="14"/>
  <c r="AH14967" i="14"/>
  <c r="E14967" i="14"/>
  <c r="AH14966" i="14"/>
  <c r="E14966" i="14"/>
  <c r="AH14965" i="14"/>
  <c r="E14965" i="14"/>
  <c r="AH14964" i="14"/>
  <c r="E14964" i="14"/>
  <c r="AH14963" i="14"/>
  <c r="E14963" i="14"/>
  <c r="AH14962" i="14"/>
  <c r="E14962" i="14"/>
  <c r="AH14961" i="14"/>
  <c r="E14961" i="14"/>
  <c r="AH14960" i="14"/>
  <c r="E14960" i="14"/>
  <c r="AH14959" i="14"/>
  <c r="E14959" i="14"/>
  <c r="AH14958" i="14"/>
  <c r="E14958" i="14"/>
  <c r="AH14957" i="14"/>
  <c r="E14957" i="14"/>
  <c r="AH14956" i="14"/>
  <c r="E14956" i="14"/>
  <c r="AH14955" i="14"/>
  <c r="E14955" i="14"/>
  <c r="AH14954" i="14"/>
  <c r="E14954" i="14"/>
  <c r="AH14953" i="14"/>
  <c r="E14953" i="14"/>
  <c r="AH14952" i="14"/>
  <c r="E14952" i="14"/>
  <c r="AH14951" i="14"/>
  <c r="E14951" i="14"/>
  <c r="AH14950" i="14"/>
  <c r="E14950" i="14"/>
  <c r="AH14949" i="14"/>
  <c r="E14949" i="14"/>
  <c r="AH14948" i="14"/>
  <c r="E14948" i="14"/>
  <c r="AH14947" i="14"/>
  <c r="E14947" i="14"/>
  <c r="AH14946" i="14"/>
  <c r="E14946" i="14"/>
  <c r="AH14945" i="14"/>
  <c r="E14945" i="14"/>
  <c r="AH14944" i="14"/>
  <c r="E14944" i="14"/>
  <c r="AH14943" i="14"/>
  <c r="E14943" i="14"/>
  <c r="AH14942" i="14"/>
  <c r="E14942" i="14"/>
  <c r="AH14941" i="14"/>
  <c r="E14941" i="14"/>
  <c r="AH14940" i="14"/>
  <c r="E14940" i="14"/>
  <c r="AH14939" i="14"/>
  <c r="E14939" i="14"/>
  <c r="AH14938" i="14"/>
  <c r="E14938" i="14"/>
  <c r="AH14937" i="14"/>
  <c r="E14937" i="14"/>
  <c r="AH14936" i="14"/>
  <c r="E14936" i="14"/>
  <c r="AH14935" i="14"/>
  <c r="E14935" i="14"/>
  <c r="AH14934" i="14"/>
  <c r="E14934" i="14"/>
  <c r="AH14933" i="14"/>
  <c r="E14933" i="14"/>
  <c r="AH14932" i="14"/>
  <c r="E14932" i="14"/>
  <c r="AH14931" i="14"/>
  <c r="E14931" i="14"/>
  <c r="AH14930" i="14"/>
  <c r="E14930" i="14"/>
  <c r="AH14929" i="14"/>
  <c r="E14929" i="14"/>
  <c r="AH14928" i="14"/>
  <c r="E14928" i="14"/>
  <c r="AH14927" i="14"/>
  <c r="E14927" i="14"/>
  <c r="AH14926" i="14"/>
  <c r="E14926" i="14"/>
  <c r="AH14925" i="14"/>
  <c r="E14925" i="14"/>
  <c r="AH14924" i="14"/>
  <c r="E14924" i="14"/>
  <c r="AH14923" i="14"/>
  <c r="E14923" i="14"/>
  <c r="AH14922" i="14"/>
  <c r="E14922" i="14"/>
  <c r="AH14921" i="14"/>
  <c r="E14921" i="14"/>
  <c r="AH14920" i="14"/>
  <c r="E14920" i="14"/>
  <c r="AH14919" i="14"/>
  <c r="E14919" i="14"/>
  <c r="AH14918" i="14"/>
  <c r="E14918" i="14"/>
  <c r="AH14917" i="14"/>
  <c r="E14917" i="14"/>
  <c r="AH14916" i="14"/>
  <c r="E14916" i="14"/>
  <c r="AH14915" i="14"/>
  <c r="E14915" i="14"/>
  <c r="AH14914" i="14"/>
  <c r="E14914" i="14"/>
  <c r="AH14913" i="14"/>
  <c r="E14913" i="14"/>
  <c r="AH14912" i="14"/>
  <c r="E14912" i="14"/>
  <c r="AH14911" i="14"/>
  <c r="E14911" i="14"/>
  <c r="AH14910" i="14"/>
  <c r="E14910" i="14"/>
  <c r="AH14909" i="14"/>
  <c r="E14909" i="14"/>
  <c r="AH14908" i="14"/>
  <c r="E14908" i="14"/>
  <c r="AH14907" i="14"/>
  <c r="E14907" i="14"/>
  <c r="AH14906" i="14"/>
  <c r="E14906" i="14"/>
  <c r="AH14905" i="14"/>
  <c r="E14905" i="14"/>
  <c r="AH14904" i="14"/>
  <c r="E14904" i="14"/>
  <c r="AH14903" i="14"/>
  <c r="E14903" i="14"/>
  <c r="AH14902" i="14"/>
  <c r="E14902" i="14"/>
  <c r="AH14901" i="14"/>
  <c r="E14901" i="14"/>
  <c r="AH14900" i="14"/>
  <c r="E14900" i="14"/>
  <c r="AH14899" i="14"/>
  <c r="E14899" i="14"/>
  <c r="AH14898" i="14"/>
  <c r="E14898" i="14"/>
  <c r="AH14897" i="14"/>
  <c r="E14897" i="14"/>
  <c r="AH14896" i="14"/>
  <c r="E14896" i="14"/>
  <c r="AH14895" i="14"/>
  <c r="E14895" i="14"/>
  <c r="AH14894" i="14"/>
  <c r="E14894" i="14"/>
  <c r="AH14893" i="14"/>
  <c r="E14893" i="14"/>
  <c r="AH14892" i="14"/>
  <c r="E14892" i="14"/>
  <c r="AH14891" i="14"/>
  <c r="E14891" i="14"/>
  <c r="AH14890" i="14"/>
  <c r="E14890" i="14"/>
  <c r="AH14889" i="14"/>
  <c r="E14889" i="14"/>
  <c r="AH14888" i="14"/>
  <c r="E14888" i="14"/>
  <c r="AH14887" i="14"/>
  <c r="E14887" i="14"/>
  <c r="AH14886" i="14"/>
  <c r="E14886" i="14"/>
  <c r="AH14885" i="14"/>
  <c r="E14885" i="14"/>
  <c r="AH14884" i="14"/>
  <c r="E14884" i="14"/>
  <c r="AH14883" i="14"/>
  <c r="E14883" i="14"/>
  <c r="AH14882" i="14"/>
  <c r="E14882" i="14"/>
  <c r="AH14881" i="14"/>
  <c r="E14881" i="14"/>
  <c r="AH14880" i="14"/>
  <c r="E14880" i="14"/>
  <c r="AH14879" i="14"/>
  <c r="E14879" i="14"/>
  <c r="AH14878" i="14"/>
  <c r="E14878" i="14"/>
  <c r="AH14877" i="14"/>
  <c r="E14877" i="14"/>
  <c r="AH14876" i="14"/>
  <c r="E14876" i="14"/>
  <c r="AH14875" i="14"/>
  <c r="E14875" i="14"/>
  <c r="AH14874" i="14"/>
  <c r="E14874" i="14"/>
  <c r="AH14873" i="14"/>
  <c r="E14873" i="14"/>
  <c r="AH14872" i="14"/>
  <c r="E14872" i="14"/>
  <c r="AH14871" i="14"/>
  <c r="E14871" i="14"/>
  <c r="AH14870" i="14"/>
  <c r="E14870" i="14"/>
  <c r="AH14869" i="14"/>
  <c r="E14869" i="14"/>
  <c r="AH14868" i="14"/>
  <c r="E14868" i="14"/>
  <c r="AH14867" i="14"/>
  <c r="E14867" i="14"/>
  <c r="AH14866" i="14"/>
  <c r="E14866" i="14"/>
  <c r="AH14865" i="14"/>
  <c r="E14865" i="14"/>
  <c r="AH14864" i="14"/>
  <c r="E14864" i="14"/>
  <c r="AH14863" i="14"/>
  <c r="E14863" i="14"/>
  <c r="AH14862" i="14"/>
  <c r="E14862" i="14"/>
  <c r="AH14861" i="14"/>
  <c r="E14861" i="14"/>
  <c r="AH14860" i="14"/>
  <c r="E14860" i="14"/>
  <c r="AH14859" i="14"/>
  <c r="E14859" i="14"/>
  <c r="AH14858" i="14"/>
  <c r="E14858" i="14"/>
  <c r="AH14857" i="14"/>
  <c r="E14857" i="14"/>
  <c r="AH14856" i="14"/>
  <c r="E14856" i="14"/>
  <c r="AH14855" i="14"/>
  <c r="E14855" i="14"/>
  <c r="AH14854" i="14"/>
  <c r="E14854" i="14"/>
  <c r="AH14853" i="14"/>
  <c r="E14853" i="14"/>
  <c r="AH14852" i="14"/>
  <c r="E14852" i="14"/>
  <c r="AH14851" i="14"/>
  <c r="E14851" i="14"/>
  <c r="AH14850" i="14"/>
  <c r="E14850" i="14"/>
  <c r="AH14849" i="14"/>
  <c r="E14849" i="14"/>
  <c r="AH14848" i="14"/>
  <c r="E14848" i="14"/>
  <c r="AH14847" i="14"/>
  <c r="E14847" i="14"/>
  <c r="AH14846" i="14"/>
  <c r="E14846" i="14"/>
  <c r="AH14845" i="14"/>
  <c r="E14845" i="14"/>
  <c r="AH14844" i="14"/>
  <c r="E14844" i="14"/>
  <c r="AH14843" i="14"/>
  <c r="E14843" i="14"/>
  <c r="AH14842" i="14"/>
  <c r="E14842" i="14"/>
  <c r="AH14841" i="14"/>
  <c r="E14841" i="14"/>
  <c r="AH14840" i="14"/>
  <c r="E14840" i="14"/>
  <c r="AH14839" i="14"/>
  <c r="E14839" i="14"/>
  <c r="AH14838" i="14"/>
  <c r="E14838" i="14"/>
  <c r="AH14837" i="14"/>
  <c r="E14837" i="14"/>
  <c r="AH14836" i="14"/>
  <c r="E14836" i="14"/>
  <c r="AH14835" i="14"/>
  <c r="E14835" i="14"/>
  <c r="AH14834" i="14"/>
  <c r="E14834" i="14"/>
  <c r="AH14833" i="14"/>
  <c r="E14833" i="14"/>
  <c r="AH14832" i="14"/>
  <c r="E14832" i="14"/>
  <c r="AH14831" i="14"/>
  <c r="E14831" i="14"/>
  <c r="AH14830" i="14"/>
  <c r="E14830" i="14"/>
  <c r="AH14829" i="14"/>
  <c r="E14829" i="14"/>
  <c r="AH14828" i="14"/>
  <c r="E14828" i="14"/>
  <c r="AH14827" i="14"/>
  <c r="E14827" i="14"/>
  <c r="AH14826" i="14"/>
  <c r="E14826" i="14"/>
  <c r="AH14825" i="14"/>
  <c r="E14825" i="14"/>
  <c r="AH14824" i="14"/>
  <c r="E14824" i="14"/>
  <c r="AH14823" i="14"/>
  <c r="E14823" i="14"/>
  <c r="AH14822" i="14"/>
  <c r="E14822" i="14"/>
  <c r="AH14821" i="14"/>
  <c r="E14821" i="14"/>
  <c r="AH14820" i="14"/>
  <c r="E14820" i="14"/>
  <c r="AH14819" i="14"/>
  <c r="E14819" i="14"/>
  <c r="AH14818" i="14"/>
  <c r="E14818" i="14"/>
  <c r="AH14817" i="14"/>
  <c r="E14817" i="14"/>
  <c r="AH14816" i="14"/>
  <c r="E14816" i="14"/>
  <c r="AH14815" i="14"/>
  <c r="E14815" i="14"/>
  <c r="AH14814" i="14"/>
  <c r="E14814" i="14"/>
  <c r="AH14813" i="14"/>
  <c r="E14813" i="14"/>
  <c r="AH14812" i="14"/>
  <c r="E14812" i="14"/>
  <c r="AH14811" i="14"/>
  <c r="E14811" i="14"/>
  <c r="AH14810" i="14"/>
  <c r="E14810" i="14"/>
  <c r="AH14809" i="14"/>
  <c r="E14809" i="14"/>
  <c r="AH14808" i="14"/>
  <c r="E14808" i="14"/>
  <c r="AH14807" i="14"/>
  <c r="E14807" i="14"/>
  <c r="AH14806" i="14"/>
  <c r="E14806" i="14"/>
  <c r="AH14805" i="14"/>
  <c r="E14805" i="14"/>
  <c r="AH14804" i="14"/>
  <c r="E14804" i="14"/>
  <c r="AH14803" i="14"/>
  <c r="E14803" i="14"/>
  <c r="AH14802" i="14"/>
  <c r="E14802" i="14"/>
  <c r="AH14801" i="14"/>
  <c r="E14801" i="14"/>
  <c r="AH14800" i="14"/>
  <c r="E14800" i="14"/>
  <c r="AH14799" i="14"/>
  <c r="E14799" i="14"/>
  <c r="AH14798" i="14"/>
  <c r="E14798" i="14"/>
  <c r="AH14797" i="14"/>
  <c r="E14797" i="14"/>
  <c r="AH14796" i="14"/>
  <c r="E14796" i="14"/>
  <c r="AH14795" i="14"/>
  <c r="E14795" i="14"/>
  <c r="AH14794" i="14"/>
  <c r="E14794" i="14"/>
  <c r="AH14793" i="14"/>
  <c r="E14793" i="14"/>
  <c r="AH14792" i="14"/>
  <c r="E14792" i="14"/>
  <c r="AH14791" i="14"/>
  <c r="E14791" i="14"/>
  <c r="AH14790" i="14"/>
  <c r="E14790" i="14"/>
  <c r="AH14789" i="14"/>
  <c r="E14789" i="14"/>
  <c r="AH14788" i="14"/>
  <c r="E14788" i="14"/>
  <c r="AH14787" i="14"/>
  <c r="E14787" i="14"/>
  <c r="AH14786" i="14"/>
  <c r="E14786" i="14"/>
  <c r="AH14785" i="14"/>
  <c r="E14785" i="14"/>
  <c r="AH14784" i="14"/>
  <c r="E14784" i="14"/>
  <c r="AH14783" i="14"/>
  <c r="E14783" i="14"/>
  <c r="AH14782" i="14"/>
  <c r="E14782" i="14"/>
  <c r="AH14781" i="14"/>
  <c r="E14781" i="14"/>
  <c r="AH14780" i="14"/>
  <c r="E14780" i="14"/>
  <c r="AH14779" i="14"/>
  <c r="E14779" i="14"/>
  <c r="AH14778" i="14"/>
  <c r="E14778" i="14"/>
  <c r="AH14777" i="14"/>
  <c r="E14777" i="14"/>
  <c r="AH14776" i="14"/>
  <c r="E14776" i="14"/>
  <c r="AH14775" i="14"/>
  <c r="E14775" i="14"/>
  <c r="AH14774" i="14"/>
  <c r="E14774" i="14"/>
  <c r="AH14773" i="14"/>
  <c r="E14773" i="14"/>
  <c r="AH14772" i="14"/>
  <c r="E14772" i="14"/>
  <c r="AH14771" i="14"/>
  <c r="E14771" i="14"/>
  <c r="AH14770" i="14"/>
  <c r="E14770" i="14"/>
  <c r="AH14769" i="14"/>
  <c r="E14769" i="14"/>
  <c r="AH14768" i="14"/>
  <c r="E14768" i="14"/>
  <c r="AH14767" i="14"/>
  <c r="E14767" i="14"/>
  <c r="AH14766" i="14"/>
  <c r="E14766" i="14"/>
  <c r="AH14765" i="14"/>
  <c r="E14765" i="14"/>
  <c r="AH14764" i="14"/>
  <c r="E14764" i="14"/>
  <c r="AH14763" i="14"/>
  <c r="E14763" i="14"/>
  <c r="AH14762" i="14"/>
  <c r="E14762" i="14"/>
  <c r="AH14761" i="14"/>
  <c r="E14761" i="14"/>
  <c r="AH14760" i="14"/>
  <c r="E14760" i="14"/>
  <c r="AH14759" i="14"/>
  <c r="E14759" i="14"/>
  <c r="AH14758" i="14"/>
  <c r="E14758" i="14"/>
  <c r="AH14757" i="14"/>
  <c r="E14757" i="14"/>
  <c r="AH14756" i="14"/>
  <c r="E14756" i="14"/>
  <c r="AH14755" i="14"/>
  <c r="E14755" i="14"/>
  <c r="AH14754" i="14"/>
  <c r="E14754" i="14"/>
  <c r="AH14753" i="14"/>
  <c r="E14753" i="14"/>
  <c r="AH14752" i="14"/>
  <c r="E14752" i="14"/>
  <c r="AH14751" i="14"/>
  <c r="E14751" i="14"/>
  <c r="AH14750" i="14"/>
  <c r="E14750" i="14"/>
  <c r="AH14749" i="14"/>
  <c r="E14749" i="14"/>
  <c r="AH14748" i="14"/>
  <c r="E14748" i="14"/>
  <c r="AH14747" i="14"/>
  <c r="E14747" i="14"/>
  <c r="AH14746" i="14"/>
  <c r="E14746" i="14"/>
  <c r="AH14745" i="14"/>
  <c r="E14745" i="14"/>
  <c r="AH14744" i="14"/>
  <c r="E14744" i="14"/>
  <c r="AH14743" i="14"/>
  <c r="E14743" i="14"/>
  <c r="AH14742" i="14"/>
  <c r="E14742" i="14"/>
  <c r="AH14741" i="14"/>
  <c r="E14741" i="14"/>
  <c r="AH14740" i="14"/>
  <c r="E14740" i="14"/>
  <c r="AH14739" i="14"/>
  <c r="E14739" i="14"/>
  <c r="AH14738" i="14"/>
  <c r="E14738" i="14"/>
  <c r="AH14737" i="14"/>
  <c r="E14737" i="14"/>
  <c r="AH14736" i="14"/>
  <c r="E14736" i="14"/>
  <c r="AH14735" i="14"/>
  <c r="E14735" i="14"/>
  <c r="AH14734" i="14"/>
  <c r="E14734" i="14"/>
  <c r="AH14733" i="14"/>
  <c r="E14733" i="14"/>
  <c r="AH14732" i="14"/>
  <c r="E14732" i="14"/>
  <c r="AH14731" i="14"/>
  <c r="E14731" i="14"/>
  <c r="AH14730" i="14"/>
  <c r="E14730" i="14"/>
  <c r="AH14729" i="14"/>
  <c r="E14729" i="14"/>
  <c r="AH14728" i="14"/>
  <c r="E14728" i="14"/>
  <c r="AH14727" i="14"/>
  <c r="E14727" i="14"/>
  <c r="AH14726" i="14"/>
  <c r="E14726" i="14"/>
  <c r="AH14725" i="14"/>
  <c r="E14725" i="14"/>
  <c r="AH14724" i="14"/>
  <c r="E14724" i="14"/>
  <c r="AH14723" i="14"/>
  <c r="E14723" i="14"/>
  <c r="AH14722" i="14"/>
  <c r="E14722" i="14"/>
  <c r="AH14721" i="14"/>
  <c r="E14721" i="14"/>
  <c r="AH14720" i="14"/>
  <c r="E14720" i="14"/>
  <c r="AH14719" i="14"/>
  <c r="E14719" i="14"/>
  <c r="AH14718" i="14"/>
  <c r="E14718" i="14"/>
  <c r="AH14717" i="14"/>
  <c r="E14717" i="14"/>
  <c r="AH14716" i="14"/>
  <c r="E14716" i="14"/>
  <c r="AH14715" i="14"/>
  <c r="E14715" i="14"/>
  <c r="AH14714" i="14"/>
  <c r="E14714" i="14"/>
  <c r="AH14713" i="14"/>
  <c r="E14713" i="14"/>
  <c r="AH14712" i="14"/>
  <c r="E14712" i="14"/>
  <c r="AH14711" i="14"/>
  <c r="E14711" i="14"/>
  <c r="AH14710" i="14"/>
  <c r="E14710" i="14"/>
  <c r="AH14709" i="14"/>
  <c r="E14709" i="14"/>
  <c r="AH14708" i="14"/>
  <c r="E14708" i="14"/>
  <c r="AH14707" i="14"/>
  <c r="E14707" i="14"/>
  <c r="AH14706" i="14"/>
  <c r="E14706" i="14"/>
  <c r="AH14705" i="14"/>
  <c r="E14705" i="14"/>
  <c r="AH14704" i="14"/>
  <c r="E14704" i="14"/>
  <c r="AH14703" i="14"/>
  <c r="E14703" i="14"/>
  <c r="AH14702" i="14"/>
  <c r="E14702" i="14"/>
  <c r="AH14701" i="14"/>
  <c r="E14701" i="14"/>
  <c r="AH14700" i="14"/>
  <c r="E14700" i="14"/>
  <c r="AH14699" i="14"/>
  <c r="E14699" i="14"/>
  <c r="AH14698" i="14"/>
  <c r="E14698" i="14"/>
  <c r="AH14697" i="14"/>
  <c r="E14697" i="14"/>
  <c r="AH14696" i="14"/>
  <c r="E14696" i="14"/>
  <c r="AH14695" i="14"/>
  <c r="E14695" i="14"/>
  <c r="AH14694" i="14"/>
  <c r="E14694" i="14"/>
  <c r="AH14693" i="14"/>
  <c r="E14693" i="14"/>
  <c r="AH14692" i="14"/>
  <c r="E14692" i="14"/>
  <c r="AH14691" i="14"/>
  <c r="E14691" i="14"/>
  <c r="AH14690" i="14"/>
  <c r="E14690" i="14"/>
  <c r="AH14689" i="14"/>
  <c r="E14689" i="14"/>
  <c r="AH14688" i="14"/>
  <c r="E14688" i="14"/>
  <c r="AH14687" i="14"/>
  <c r="E14687" i="14"/>
  <c r="AH14686" i="14"/>
  <c r="E14686" i="14"/>
  <c r="AH14685" i="14"/>
  <c r="E14685" i="14"/>
  <c r="AH14684" i="14"/>
  <c r="E14684" i="14"/>
  <c r="AH14683" i="14"/>
  <c r="E14683" i="14"/>
  <c r="AH14682" i="14"/>
  <c r="E14682" i="14"/>
  <c r="AH14681" i="14"/>
  <c r="E14681" i="14"/>
  <c r="AH14680" i="14"/>
  <c r="E14680" i="14"/>
  <c r="AH14679" i="14"/>
  <c r="E14679" i="14"/>
  <c r="AH14678" i="14"/>
  <c r="E14678" i="14"/>
  <c r="AH14677" i="14"/>
  <c r="E14677" i="14"/>
  <c r="AH14676" i="14"/>
  <c r="E14676" i="14"/>
  <c r="AH14675" i="14"/>
  <c r="E14675" i="14"/>
  <c r="AH14674" i="14"/>
  <c r="E14674" i="14"/>
  <c r="AH14673" i="14"/>
  <c r="E14673" i="14"/>
  <c r="AH14672" i="14"/>
  <c r="E14672" i="14"/>
  <c r="AH14671" i="14"/>
  <c r="E14671" i="14"/>
  <c r="AH14670" i="14"/>
  <c r="E14670" i="14"/>
  <c r="AH14669" i="14"/>
  <c r="E14669" i="14"/>
  <c r="AH14668" i="14"/>
  <c r="E14668" i="14"/>
  <c r="AH14667" i="14"/>
  <c r="E14667" i="14"/>
  <c r="AH14666" i="14"/>
  <c r="E14666" i="14"/>
  <c r="AH14665" i="14"/>
  <c r="E14665" i="14"/>
  <c r="AH14664" i="14"/>
  <c r="E14664" i="14"/>
  <c r="AH14663" i="14"/>
  <c r="E14663" i="14"/>
  <c r="AH14662" i="14"/>
  <c r="E14662" i="14"/>
  <c r="AH14661" i="14"/>
  <c r="E14661" i="14"/>
  <c r="AH14660" i="14"/>
  <c r="E14660" i="14"/>
  <c r="AH14659" i="14"/>
  <c r="E14659" i="14"/>
  <c r="AH14658" i="14"/>
  <c r="E14658" i="14"/>
  <c r="AH14657" i="14"/>
  <c r="E14657" i="14"/>
  <c r="AH14656" i="14"/>
  <c r="E14656" i="14"/>
  <c r="AH14655" i="14"/>
  <c r="E14655" i="14"/>
  <c r="AH14654" i="14"/>
  <c r="E14654" i="14"/>
  <c r="AH14653" i="14"/>
  <c r="E14653" i="14"/>
  <c r="AH14652" i="14"/>
  <c r="E14652" i="14"/>
  <c r="AH14651" i="14"/>
  <c r="E14651" i="14"/>
  <c r="AH14650" i="14"/>
  <c r="E14650" i="14"/>
  <c r="AH14649" i="14"/>
  <c r="E14649" i="14"/>
  <c r="AH14648" i="14"/>
  <c r="E14648" i="14"/>
  <c r="AH14647" i="14"/>
  <c r="E14647" i="14"/>
  <c r="AH14646" i="14"/>
  <c r="E14646" i="14"/>
  <c r="AH14645" i="14"/>
  <c r="E14645" i="14"/>
  <c r="AH14644" i="14"/>
  <c r="E14644" i="14"/>
  <c r="AH14643" i="14"/>
  <c r="E14643" i="14"/>
  <c r="AH14642" i="14"/>
  <c r="E14642" i="14"/>
  <c r="AH14641" i="14"/>
  <c r="E14641" i="14"/>
  <c r="AH14640" i="14"/>
  <c r="E14640" i="14"/>
  <c r="AH14639" i="14"/>
  <c r="E14639" i="14"/>
  <c r="AH14638" i="14"/>
  <c r="E14638" i="14"/>
  <c r="AH14637" i="14"/>
  <c r="E14637" i="14"/>
  <c r="AH14636" i="14"/>
  <c r="V14636" i="14"/>
  <c r="U14636" i="14"/>
  <c r="T14636" i="14"/>
  <c r="E14636" i="14"/>
  <c r="AH14635" i="14"/>
  <c r="V14635" i="14"/>
  <c r="U14635" i="14"/>
  <c r="T14635" i="14"/>
  <c r="E14635" i="14"/>
  <c r="AH14634" i="14"/>
  <c r="W14634" i="14"/>
  <c r="V14634" i="14"/>
  <c r="U14634" i="14"/>
  <c r="T14634" i="14"/>
  <c r="E14634" i="14"/>
  <c r="AH14633" i="14"/>
  <c r="V14633" i="14"/>
  <c r="U14633" i="14"/>
  <c r="T14633" i="14"/>
  <c r="E14633" i="14"/>
  <c r="AH14632" i="14"/>
  <c r="W14632" i="14"/>
  <c r="V14632" i="14"/>
  <c r="U14632" i="14"/>
  <c r="T14632" i="14"/>
  <c r="E14632" i="14"/>
  <c r="AH14631" i="14"/>
  <c r="W14631" i="14"/>
  <c r="V14631" i="14"/>
  <c r="U14631" i="14"/>
  <c r="T14631" i="14"/>
  <c r="E14631" i="14"/>
  <c r="AH14630" i="14"/>
  <c r="V14630" i="14"/>
  <c r="T14630" i="14"/>
  <c r="E14630" i="14"/>
  <c r="AH14629" i="14"/>
  <c r="U14629" i="14"/>
  <c r="T14629" i="14"/>
  <c r="E14629" i="14"/>
  <c r="AH14628" i="14"/>
  <c r="V14628" i="14"/>
  <c r="T14628" i="14"/>
  <c r="E14628" i="14"/>
  <c r="AH14627" i="14"/>
  <c r="V14627" i="14"/>
  <c r="U14627" i="14"/>
  <c r="T14627" i="14"/>
  <c r="E14627" i="14"/>
  <c r="AH14626" i="14"/>
  <c r="V14626" i="14"/>
  <c r="T14626" i="14"/>
  <c r="E14626" i="14"/>
  <c r="AH14625" i="14"/>
  <c r="V14625" i="14"/>
  <c r="T14625" i="14"/>
  <c r="E14625" i="14"/>
  <c r="AH14624" i="14"/>
  <c r="W14624" i="14"/>
  <c r="V14624" i="14"/>
  <c r="U14624" i="14"/>
  <c r="T14624" i="14"/>
  <c r="E14624" i="14"/>
  <c r="AH14623" i="14"/>
  <c r="W14623" i="14"/>
  <c r="V14623" i="14"/>
  <c r="U14623" i="14"/>
  <c r="T14623" i="14"/>
  <c r="E14623" i="14"/>
  <c r="AH14622" i="14"/>
  <c r="U14622" i="14"/>
  <c r="T14622" i="14"/>
  <c r="E14622" i="14"/>
  <c r="AH14621" i="14"/>
  <c r="U14621" i="14"/>
  <c r="T14621" i="14"/>
  <c r="E14621" i="14"/>
  <c r="AH14620" i="14"/>
  <c r="W14620" i="14"/>
  <c r="V14620" i="14"/>
  <c r="U14620" i="14"/>
  <c r="T14620" i="14"/>
  <c r="E14620" i="14"/>
  <c r="AH14619" i="14"/>
  <c r="W14619" i="14"/>
  <c r="V14619" i="14"/>
  <c r="U14619" i="14"/>
  <c r="T14619" i="14"/>
  <c r="E14619" i="14"/>
  <c r="AH14618" i="14"/>
  <c r="W14618" i="14"/>
  <c r="V14618" i="14"/>
  <c r="T14618" i="14"/>
  <c r="E14618" i="14"/>
  <c r="AH14617" i="14"/>
  <c r="V14617" i="14"/>
  <c r="E14617" i="14"/>
  <c r="AH14616" i="14"/>
  <c r="V14616" i="14"/>
  <c r="E14616" i="14"/>
  <c r="AH14615" i="14"/>
  <c r="E14615" i="14"/>
  <c r="AH14614" i="14"/>
  <c r="E14614" i="14"/>
  <c r="AH14613" i="14"/>
  <c r="E14613" i="14"/>
  <c r="AH14612" i="14"/>
  <c r="E14612" i="14"/>
  <c r="AH14611" i="14"/>
  <c r="E14611" i="14"/>
  <c r="AH14610" i="14"/>
  <c r="E14610" i="14"/>
  <c r="AH14609" i="14"/>
  <c r="E14609" i="14"/>
  <c r="AH14608" i="14"/>
  <c r="E14608" i="14"/>
  <c r="AH14607" i="14"/>
  <c r="E14607" i="14"/>
  <c r="AH14606" i="14"/>
  <c r="E14606" i="14"/>
  <c r="AH14605" i="14"/>
  <c r="E14605" i="14"/>
  <c r="AH14604" i="14"/>
  <c r="E14604" i="14"/>
  <c r="AH14603" i="14"/>
  <c r="E14603" i="14"/>
  <c r="AH14602" i="14"/>
  <c r="E14602" i="14"/>
  <c r="AH14601" i="14"/>
  <c r="E14601" i="14"/>
  <c r="AH14600" i="14"/>
  <c r="E14600" i="14"/>
  <c r="AH14599" i="14"/>
  <c r="E14599" i="14"/>
  <c r="AH14598" i="14"/>
  <c r="E14598" i="14"/>
  <c r="AH14597" i="14"/>
  <c r="E14597" i="14"/>
  <c r="AH14596" i="14"/>
  <c r="E14596" i="14"/>
  <c r="AH14595" i="14"/>
  <c r="E14595" i="14"/>
  <c r="AH14594" i="14"/>
  <c r="E14594" i="14"/>
  <c r="AH14593" i="14"/>
  <c r="E14593" i="14"/>
  <c r="AH14592" i="14"/>
  <c r="E14592" i="14"/>
  <c r="AH14591" i="14"/>
  <c r="E14591" i="14"/>
  <c r="AH14590" i="14"/>
  <c r="E14590" i="14"/>
  <c r="AH14589" i="14"/>
  <c r="E14589" i="14"/>
  <c r="AH14588" i="14"/>
  <c r="E14588" i="14"/>
  <c r="AH14587" i="14"/>
  <c r="E14587" i="14"/>
  <c r="AH14586" i="14"/>
  <c r="E14586" i="14"/>
  <c r="AH14585" i="14"/>
  <c r="E14585" i="14"/>
  <c r="AH14584" i="14"/>
  <c r="E14584" i="14"/>
  <c r="AH14583" i="14"/>
  <c r="E14583" i="14"/>
  <c r="AH14582" i="14"/>
  <c r="E14582" i="14"/>
  <c r="AH14581" i="14"/>
  <c r="E14581" i="14"/>
  <c r="AH14580" i="14"/>
  <c r="E14580" i="14"/>
  <c r="AH14579" i="14"/>
  <c r="E14579" i="14"/>
  <c r="AH14578" i="14"/>
  <c r="E14578" i="14"/>
  <c r="AH14577" i="14"/>
  <c r="E14577" i="14"/>
  <c r="AH14576" i="14"/>
  <c r="E14576" i="14"/>
  <c r="AH14575" i="14"/>
  <c r="E14575" i="14"/>
  <c r="AH14574" i="14"/>
  <c r="E14574" i="14"/>
  <c r="AH14573" i="14"/>
  <c r="E14573" i="14"/>
  <c r="AH14572" i="14"/>
  <c r="E14572" i="14"/>
  <c r="AH14571" i="14"/>
  <c r="E14571" i="14"/>
  <c r="AH14570" i="14"/>
  <c r="E14570" i="14"/>
  <c r="AH14569" i="14"/>
  <c r="E14569" i="14"/>
  <c r="AH14568" i="14"/>
  <c r="E14568" i="14"/>
  <c r="AH14567" i="14"/>
  <c r="E14567" i="14"/>
  <c r="AH14566" i="14"/>
  <c r="E14566" i="14"/>
  <c r="AH14565" i="14"/>
  <c r="E14565" i="14"/>
  <c r="AH14564" i="14"/>
  <c r="E14564" i="14"/>
  <c r="AH14563" i="14"/>
  <c r="E14563" i="14"/>
  <c r="AH14562" i="14"/>
  <c r="E14562" i="14"/>
  <c r="AH14561" i="14"/>
  <c r="E14561" i="14"/>
  <c r="AH14560" i="14"/>
  <c r="E14560" i="14"/>
  <c r="AH14559" i="14"/>
  <c r="E14559" i="14"/>
  <c r="AH14558" i="14"/>
  <c r="E14558" i="14"/>
  <c r="AH14557" i="14"/>
  <c r="E14557" i="14"/>
  <c r="AH14556" i="14"/>
  <c r="E14556" i="14"/>
  <c r="AH14555" i="14"/>
  <c r="E14555" i="14"/>
  <c r="AH14554" i="14"/>
  <c r="E14554" i="14"/>
  <c r="AH14553" i="14"/>
  <c r="E14553" i="14"/>
  <c r="AH14552" i="14"/>
  <c r="E14552" i="14"/>
  <c r="AH14551" i="14"/>
  <c r="E14551" i="14"/>
  <c r="AH14550" i="14"/>
  <c r="E14550" i="14"/>
  <c r="AH14549" i="14"/>
  <c r="E14549" i="14"/>
  <c r="AH14548" i="14"/>
  <c r="E14548" i="14"/>
  <c r="AH14547" i="14"/>
  <c r="E14547" i="14"/>
  <c r="AH14546" i="14"/>
  <c r="E14546" i="14"/>
  <c r="AH14545" i="14"/>
  <c r="E14545" i="14"/>
  <c r="AH14544" i="14"/>
  <c r="E14544" i="14"/>
  <c r="AH14543" i="14"/>
  <c r="E14543" i="14"/>
  <c r="AH14542" i="14"/>
  <c r="E14542" i="14"/>
  <c r="AH14541" i="14"/>
  <c r="E14541" i="14"/>
  <c r="AH14540" i="14"/>
  <c r="E14540" i="14"/>
  <c r="AH14539" i="14"/>
  <c r="E14539" i="14"/>
  <c r="AH14538" i="14"/>
  <c r="E14538" i="14"/>
  <c r="AH14537" i="14"/>
  <c r="E14537" i="14"/>
  <c r="AH14536" i="14"/>
  <c r="E14536" i="14"/>
  <c r="AH14535" i="14"/>
  <c r="E14535" i="14"/>
  <c r="AH14534" i="14"/>
  <c r="E14534" i="14"/>
  <c r="AH14533" i="14"/>
  <c r="E14533" i="14"/>
  <c r="AH14532" i="14"/>
  <c r="E14532" i="14"/>
  <c r="AH14531" i="14"/>
  <c r="E14531" i="14"/>
  <c r="AH14530" i="14"/>
  <c r="E14530" i="14"/>
  <c r="AH14529" i="14"/>
  <c r="E14529" i="14"/>
  <c r="AH14528" i="14"/>
  <c r="E14528" i="14"/>
  <c r="AH14527" i="14"/>
  <c r="E14527" i="14"/>
  <c r="AH14526" i="14"/>
  <c r="E14526" i="14"/>
  <c r="AH14525" i="14"/>
  <c r="E14525" i="14"/>
  <c r="AH14524" i="14"/>
  <c r="E14524" i="14"/>
  <c r="AH14523" i="14"/>
  <c r="E14523" i="14"/>
  <c r="AH14522" i="14"/>
  <c r="E14522" i="14"/>
  <c r="AH14521" i="14"/>
  <c r="E14521" i="14"/>
  <c r="AH14520" i="14"/>
  <c r="E14520" i="14"/>
  <c r="AH14519" i="14"/>
  <c r="E14519" i="14"/>
  <c r="AH14518" i="14"/>
  <c r="E14518" i="14"/>
  <c r="AH14517" i="14"/>
  <c r="E14517" i="14"/>
  <c r="AH14516" i="14"/>
  <c r="E14516" i="14"/>
  <c r="AH14515" i="14"/>
  <c r="E14515" i="14"/>
  <c r="AH14514" i="14"/>
  <c r="E14514" i="14"/>
  <c r="AH14513" i="14"/>
  <c r="E14513" i="14"/>
  <c r="AH14512" i="14"/>
  <c r="E14512" i="14"/>
  <c r="AH14511" i="14"/>
  <c r="E14511" i="14"/>
  <c r="AH14510" i="14"/>
  <c r="E14510" i="14"/>
  <c r="AH14509" i="14"/>
  <c r="E14509" i="14"/>
  <c r="AH14508" i="14"/>
  <c r="E14508" i="14"/>
  <c r="AH14507" i="14"/>
  <c r="E14507" i="14"/>
  <c r="AH14506" i="14"/>
  <c r="E14506" i="14"/>
  <c r="AH14505" i="14"/>
  <c r="E14505" i="14"/>
  <c r="AH14504" i="14"/>
  <c r="E14504" i="14"/>
  <c r="AH14503" i="14"/>
  <c r="E14503" i="14"/>
  <c r="AH14502" i="14"/>
  <c r="E14502" i="14"/>
  <c r="AH14501" i="14"/>
  <c r="E14501" i="14"/>
  <c r="AH14500" i="14"/>
  <c r="E14500" i="14"/>
  <c r="AH14499" i="14"/>
  <c r="E14499" i="14"/>
  <c r="AH14498" i="14"/>
  <c r="E14498" i="14"/>
  <c r="AH14497" i="14"/>
  <c r="E14497" i="14"/>
  <c r="AH14496" i="14"/>
  <c r="E14496" i="14"/>
  <c r="AH14495" i="14"/>
  <c r="E14495" i="14"/>
  <c r="AH14494" i="14"/>
  <c r="E14494" i="14"/>
  <c r="AH14493" i="14"/>
  <c r="E14493" i="14"/>
  <c r="AH14492" i="14"/>
  <c r="E14492" i="14"/>
  <c r="AH14491" i="14"/>
  <c r="E14491" i="14"/>
  <c r="AH14490" i="14"/>
  <c r="E14490" i="14"/>
  <c r="AH14489" i="14"/>
  <c r="E14489" i="14"/>
  <c r="AH14488" i="14"/>
  <c r="E14488" i="14"/>
  <c r="AH14487" i="14"/>
  <c r="E14487" i="14"/>
  <c r="AH14486" i="14"/>
  <c r="E14486" i="14"/>
  <c r="AH14485" i="14"/>
  <c r="E14485" i="14"/>
  <c r="AH14484" i="14"/>
  <c r="E14484" i="14"/>
  <c r="AH14483" i="14"/>
  <c r="E14483" i="14"/>
  <c r="AH14482" i="14"/>
  <c r="E14482" i="14"/>
  <c r="AH14481" i="14"/>
  <c r="E14481" i="14"/>
  <c r="AH14480" i="14"/>
  <c r="E14480" i="14"/>
  <c r="AH14479" i="14"/>
  <c r="E14479" i="14"/>
  <c r="AH14478" i="14"/>
  <c r="E14478" i="14"/>
  <c r="AH14477" i="14"/>
  <c r="E14477" i="14"/>
  <c r="AH14476" i="14"/>
  <c r="E14476" i="14"/>
  <c r="AH14475" i="14"/>
  <c r="E14475" i="14"/>
  <c r="AH14474" i="14"/>
  <c r="E14474" i="14"/>
  <c r="AH14473" i="14"/>
  <c r="E14473" i="14"/>
  <c r="AH14472" i="14"/>
  <c r="E14472" i="14"/>
  <c r="AH14471" i="14"/>
  <c r="E14471" i="14"/>
  <c r="AH14470" i="14"/>
  <c r="E14470" i="14"/>
  <c r="AH14469" i="14"/>
  <c r="E14469" i="14"/>
  <c r="AH14468" i="14"/>
  <c r="E14468" i="14"/>
  <c r="AH14467" i="14"/>
  <c r="E14467" i="14"/>
  <c r="AH14466" i="14"/>
  <c r="E14466" i="14"/>
  <c r="AH14465" i="14"/>
  <c r="E14465" i="14"/>
  <c r="AH14464" i="14"/>
  <c r="E14464" i="14"/>
  <c r="AH14463" i="14"/>
  <c r="E14463" i="14"/>
  <c r="AH14462" i="14"/>
  <c r="E14462" i="14"/>
  <c r="AH14461" i="14"/>
  <c r="E14461" i="14"/>
  <c r="AH14460" i="14"/>
  <c r="E14460" i="14"/>
  <c r="AH14459" i="14"/>
  <c r="E14459" i="14"/>
  <c r="AH14458" i="14"/>
  <c r="E14458" i="14"/>
  <c r="AH14457" i="14"/>
  <c r="E14457" i="14"/>
  <c r="AH14456" i="14"/>
  <c r="E14456" i="14"/>
  <c r="AH14455" i="14"/>
  <c r="E14455" i="14"/>
  <c r="AH14454" i="14"/>
  <c r="E14454" i="14"/>
  <c r="AH14453" i="14"/>
  <c r="E14453" i="14"/>
  <c r="AH14452" i="14"/>
  <c r="E14452" i="14"/>
  <c r="AH14451" i="14"/>
  <c r="E14451" i="14"/>
  <c r="AH14450" i="14"/>
  <c r="E14450" i="14"/>
  <c r="AH14449" i="14"/>
  <c r="E14449" i="14"/>
  <c r="AH14448" i="14"/>
  <c r="E14448" i="14"/>
  <c r="AH14447" i="14"/>
  <c r="E14447" i="14"/>
  <c r="AH14446" i="14"/>
  <c r="E14446" i="14"/>
  <c r="AH14445" i="14"/>
  <c r="E14445" i="14"/>
  <c r="AH14444" i="14"/>
  <c r="P14444" i="14"/>
  <c r="E14444" i="14"/>
  <c r="AH14443" i="14"/>
  <c r="E14443" i="14"/>
  <c r="AH14442" i="14"/>
  <c r="P14442" i="14"/>
  <c r="E14442" i="14"/>
  <c r="AH14441" i="14"/>
  <c r="E14441" i="14"/>
  <c r="AH14440" i="14"/>
  <c r="E14440" i="14"/>
  <c r="AH14439" i="14"/>
  <c r="E14439" i="14"/>
  <c r="AH14438" i="14"/>
  <c r="E14438" i="14"/>
  <c r="AH14437" i="14"/>
  <c r="E14437" i="14"/>
  <c r="AH14436" i="14"/>
  <c r="E14436" i="14"/>
  <c r="AH14435" i="14"/>
  <c r="E14435" i="14"/>
  <c r="AH14434" i="14"/>
  <c r="E14434" i="14"/>
  <c r="AH14433" i="14"/>
  <c r="E14433" i="14"/>
  <c r="AH14432" i="14"/>
  <c r="E14432" i="14"/>
  <c r="AH14431" i="14"/>
  <c r="E14431" i="14"/>
  <c r="AH14430" i="14"/>
  <c r="E14430" i="14"/>
  <c r="AH14429" i="14"/>
  <c r="E14429" i="14"/>
  <c r="AH14428" i="14"/>
  <c r="E14428" i="14"/>
  <c r="AH14427" i="14"/>
  <c r="E14427" i="14"/>
  <c r="AH14426" i="14"/>
  <c r="E14426" i="14"/>
  <c r="AH14425" i="14"/>
  <c r="E14425" i="14"/>
  <c r="AH14424" i="14"/>
  <c r="P14424" i="14"/>
  <c r="E14424" i="14"/>
  <c r="AH14423" i="14"/>
  <c r="E14423" i="14"/>
  <c r="AH14422" i="14"/>
  <c r="E14422" i="14"/>
  <c r="AH14421" i="14"/>
  <c r="E14421" i="14"/>
  <c r="AH14420" i="14"/>
  <c r="E14420" i="14"/>
  <c r="AH14419" i="14"/>
  <c r="E14419" i="14"/>
  <c r="AH14418" i="14"/>
  <c r="E14418" i="14"/>
  <c r="AH14417" i="14"/>
  <c r="E14417" i="14"/>
  <c r="AH14416" i="14"/>
  <c r="E14416" i="14"/>
  <c r="AH14415" i="14"/>
  <c r="E14415" i="14"/>
  <c r="AH14414" i="14"/>
  <c r="E14414" i="14"/>
  <c r="AH14413" i="14"/>
  <c r="E14413" i="14"/>
  <c r="AH14412" i="14"/>
  <c r="E14412" i="14"/>
  <c r="AH14411" i="14"/>
  <c r="P14411" i="14"/>
  <c r="E14411" i="14"/>
  <c r="AH14410" i="14"/>
  <c r="E14410" i="14"/>
  <c r="AH14409" i="14"/>
  <c r="E14409" i="14"/>
  <c r="AH14408" i="14"/>
  <c r="E14408" i="14"/>
  <c r="AH14407" i="14"/>
  <c r="E14407" i="14"/>
  <c r="AH14406" i="14"/>
  <c r="P14406" i="14"/>
  <c r="E14406" i="14"/>
  <c r="AH14405" i="14"/>
  <c r="E14405" i="14"/>
  <c r="AH14404" i="14"/>
  <c r="E14404" i="14"/>
  <c r="AH14403" i="14"/>
  <c r="E14403" i="14"/>
  <c r="AH14402" i="14"/>
  <c r="P14402" i="14"/>
  <c r="E14402" i="14"/>
  <c r="AH14401" i="14"/>
  <c r="E14401" i="14"/>
  <c r="AH14400" i="14"/>
  <c r="E14400" i="14"/>
  <c r="AH14399" i="14"/>
  <c r="P14399" i="14"/>
  <c r="E14399" i="14"/>
  <c r="AH14398" i="14"/>
  <c r="E14398" i="14"/>
  <c r="AH14397" i="14"/>
  <c r="E14397" i="14"/>
  <c r="AH14396" i="14"/>
  <c r="E14396" i="14"/>
  <c r="AH14395" i="14"/>
  <c r="E14395" i="14"/>
  <c r="AH14394" i="14"/>
  <c r="E14394" i="14"/>
  <c r="AH14393" i="14"/>
  <c r="E14393" i="14"/>
  <c r="AH14392" i="14"/>
  <c r="E14392" i="14"/>
  <c r="AH14391" i="14"/>
  <c r="E14391" i="14"/>
  <c r="AH14390" i="14"/>
  <c r="E14390" i="14"/>
  <c r="AH14389" i="14"/>
  <c r="E14389" i="14"/>
  <c r="AH14388" i="14"/>
  <c r="E14388" i="14"/>
  <c r="AH14387" i="14"/>
  <c r="E14387" i="14"/>
  <c r="AH14386" i="14"/>
  <c r="P14386" i="14"/>
  <c r="E14386" i="14"/>
  <c r="AH14385" i="14"/>
  <c r="E14385" i="14"/>
  <c r="AH14384" i="14"/>
  <c r="E14384" i="14"/>
  <c r="AH14383" i="14"/>
  <c r="E14383" i="14"/>
  <c r="AH14382" i="14"/>
  <c r="E14382" i="14"/>
  <c r="AH14381" i="14"/>
  <c r="E14381" i="14"/>
  <c r="AH14380" i="14"/>
  <c r="E14380" i="14"/>
  <c r="AH14379" i="14"/>
  <c r="E14379" i="14"/>
  <c r="AH14378" i="14"/>
  <c r="E14378" i="14"/>
  <c r="AH14377" i="14"/>
  <c r="E14377" i="14"/>
  <c r="AH14376" i="14"/>
  <c r="E14376" i="14"/>
  <c r="AH14375" i="14"/>
  <c r="E14375" i="14"/>
  <c r="AH14374" i="14"/>
  <c r="E14374" i="14"/>
  <c r="AH14373" i="14"/>
  <c r="E14373" i="14"/>
  <c r="AH14372" i="14"/>
  <c r="E14372" i="14"/>
  <c r="AH14371" i="14"/>
  <c r="E14371" i="14"/>
  <c r="AH14370" i="14"/>
  <c r="E14370" i="14"/>
  <c r="AH14369" i="14"/>
  <c r="P14369" i="14"/>
  <c r="E14369" i="14"/>
  <c r="AH14368" i="14"/>
  <c r="E14368" i="14"/>
  <c r="AH14367" i="14"/>
  <c r="E14367" i="14"/>
  <c r="AH14366" i="14"/>
  <c r="E14366" i="14"/>
  <c r="AH14365" i="14"/>
  <c r="P14365" i="14"/>
  <c r="E14365" i="14"/>
  <c r="AH14364" i="14"/>
  <c r="E14364" i="14"/>
  <c r="AH14363" i="14"/>
  <c r="E14363" i="14"/>
  <c r="AH14362" i="14"/>
  <c r="E14362" i="14"/>
  <c r="AH14361" i="14"/>
  <c r="E14361" i="14"/>
  <c r="AH14360" i="14"/>
  <c r="E14360" i="14"/>
  <c r="AH14359" i="14"/>
  <c r="E14359" i="14"/>
  <c r="AH14358" i="14"/>
  <c r="E14358" i="14"/>
  <c r="AH14357" i="14"/>
  <c r="P14357" i="14"/>
  <c r="E14357" i="14"/>
  <c r="AH14356" i="14"/>
  <c r="E14356" i="14"/>
  <c r="AH14355" i="14"/>
  <c r="E14355" i="14"/>
  <c r="AH14354" i="14"/>
  <c r="E14354" i="14"/>
  <c r="AH14353" i="14"/>
  <c r="E14353" i="14"/>
  <c r="AH14352" i="14"/>
  <c r="E14352" i="14"/>
  <c r="AH14351" i="14"/>
  <c r="E14351" i="14"/>
  <c r="AH14350" i="14"/>
  <c r="E14350" i="14"/>
  <c r="AH14349" i="14"/>
  <c r="E14349" i="14"/>
  <c r="AH14348" i="14"/>
  <c r="P14348" i="14"/>
  <c r="E14348" i="14"/>
  <c r="AH14347" i="14"/>
  <c r="E14347" i="14"/>
  <c r="AH14346" i="14"/>
  <c r="E14346" i="14"/>
  <c r="AH14345" i="14"/>
  <c r="E14345" i="14"/>
  <c r="AH14344" i="14"/>
  <c r="E14344" i="14"/>
  <c r="AH14343" i="14"/>
  <c r="E14343" i="14"/>
  <c r="AH14342" i="14"/>
  <c r="E14342" i="14"/>
  <c r="AH14341" i="14"/>
  <c r="P14341" i="14"/>
  <c r="E14341" i="14"/>
  <c r="AH14340" i="14"/>
  <c r="E14340" i="14"/>
  <c r="AH14339" i="14"/>
  <c r="E14339" i="14"/>
  <c r="AH14338" i="14"/>
  <c r="E14338" i="14"/>
  <c r="AH14337" i="14"/>
  <c r="E14337" i="14"/>
  <c r="AH14336" i="14"/>
  <c r="E14336" i="14"/>
  <c r="AH14335" i="14"/>
  <c r="E14335" i="14"/>
  <c r="AH14334" i="14"/>
  <c r="P14334" i="14"/>
  <c r="E14334" i="14"/>
  <c r="AH14333" i="14"/>
  <c r="E14333" i="14"/>
  <c r="AH14332" i="14"/>
  <c r="E14332" i="14"/>
  <c r="AH14331" i="14"/>
  <c r="E14331" i="14"/>
  <c r="AH14330" i="14"/>
  <c r="E14330" i="14"/>
  <c r="AH14329" i="14"/>
  <c r="E14329" i="14"/>
  <c r="AH14328" i="14"/>
  <c r="E14328" i="14"/>
  <c r="AH14327" i="14"/>
  <c r="E14327" i="14"/>
  <c r="AH14326" i="14"/>
  <c r="E14326" i="14"/>
  <c r="AH14325" i="14"/>
  <c r="E14325" i="14"/>
  <c r="AH14324" i="14"/>
  <c r="E14324" i="14"/>
  <c r="AH14323" i="14"/>
  <c r="E14323" i="14"/>
  <c r="AH14322" i="14"/>
  <c r="E14322" i="14"/>
  <c r="AH14321" i="14"/>
  <c r="E14321" i="14"/>
  <c r="AH14320" i="14"/>
  <c r="E14320" i="14"/>
  <c r="AH14319" i="14"/>
  <c r="E14319" i="14"/>
  <c r="AH14318" i="14"/>
  <c r="E14318" i="14"/>
  <c r="AH14317" i="14"/>
  <c r="E14317" i="14"/>
  <c r="AH14316" i="14"/>
  <c r="E14316" i="14"/>
  <c r="AH14315" i="14"/>
  <c r="E14315" i="14"/>
  <c r="AH14314" i="14"/>
  <c r="E14314" i="14"/>
  <c r="AH14313" i="14"/>
  <c r="E14313" i="14"/>
  <c r="AH14312" i="14"/>
  <c r="E14312" i="14"/>
  <c r="AH14311" i="14"/>
  <c r="E14311" i="14"/>
  <c r="AH14310" i="14"/>
  <c r="P14310" i="14"/>
  <c r="E14310" i="14"/>
  <c r="AH14309" i="14"/>
  <c r="E14309" i="14"/>
  <c r="AH14308" i="14"/>
  <c r="E14308" i="14"/>
  <c r="AH14307" i="14"/>
  <c r="E14307" i="14"/>
  <c r="AH14306" i="14"/>
  <c r="E14306" i="14"/>
  <c r="AH14305" i="14"/>
  <c r="P14305" i="14"/>
  <c r="E14305" i="14"/>
  <c r="AH14304" i="14"/>
  <c r="E14304" i="14"/>
  <c r="AH14303" i="14"/>
  <c r="E14303" i="14"/>
  <c r="AH14302" i="14"/>
  <c r="E14302" i="14"/>
  <c r="AH14301" i="14"/>
  <c r="E14301" i="14"/>
  <c r="AH14300" i="14"/>
  <c r="E14300" i="14"/>
  <c r="AH14299" i="14"/>
  <c r="E14299" i="14"/>
  <c r="AH14298" i="14"/>
  <c r="E14298" i="14"/>
  <c r="AH14297" i="14"/>
  <c r="E14297" i="14"/>
  <c r="AH14296" i="14"/>
  <c r="E14296" i="14"/>
  <c r="AH14295" i="14"/>
  <c r="E14295" i="14"/>
  <c r="AH14294" i="14"/>
  <c r="E14294" i="14"/>
  <c r="AH14293" i="14"/>
  <c r="E14293" i="14"/>
  <c r="AH14292" i="14"/>
  <c r="E14292" i="14"/>
  <c r="AH14291" i="14"/>
  <c r="E14291" i="14"/>
  <c r="AH14290" i="14"/>
  <c r="E14290" i="14"/>
  <c r="AH14289" i="14"/>
  <c r="P14289" i="14"/>
  <c r="E14289" i="14"/>
  <c r="AH14288" i="14"/>
  <c r="E14288" i="14"/>
  <c r="AH14287" i="14"/>
  <c r="E14287" i="14"/>
  <c r="AH14286" i="14"/>
  <c r="E14286" i="14"/>
  <c r="AH14285" i="14"/>
  <c r="E14285" i="14"/>
  <c r="AH14284" i="14"/>
  <c r="E14284" i="14"/>
  <c r="AH14283" i="14"/>
  <c r="E14283" i="14"/>
  <c r="AH14282" i="14"/>
  <c r="E14282" i="14"/>
  <c r="AH14281" i="14"/>
  <c r="E14281" i="14"/>
  <c r="AH14280" i="14"/>
  <c r="E14280" i="14"/>
  <c r="AH14279" i="14"/>
  <c r="P14279" i="14"/>
  <c r="O14279" i="14"/>
  <c r="E14279" i="14"/>
  <c r="AH14278" i="14"/>
  <c r="E14278" i="14"/>
  <c r="AH14277" i="14"/>
  <c r="E14277" i="14"/>
  <c r="AH14276" i="14"/>
  <c r="E14276" i="14"/>
  <c r="AH14275" i="14"/>
  <c r="E14275" i="14"/>
  <c r="AH14274" i="14"/>
  <c r="E14274" i="14"/>
  <c r="AH14273" i="14"/>
  <c r="E14273" i="14"/>
  <c r="AH14272" i="14"/>
  <c r="E14272" i="14"/>
  <c r="AH14271" i="14"/>
  <c r="E14271" i="14"/>
  <c r="AH14270" i="14"/>
  <c r="E14270" i="14"/>
  <c r="AH14269" i="14"/>
  <c r="E14269" i="14"/>
  <c r="AH14268" i="14"/>
  <c r="P14268" i="14"/>
  <c r="E14268" i="14"/>
  <c r="AH14267" i="14"/>
  <c r="E14267" i="14"/>
  <c r="AH14266" i="14"/>
  <c r="E14266" i="14"/>
  <c r="AH14265" i="14"/>
  <c r="E14265" i="14"/>
  <c r="AH14264" i="14"/>
  <c r="E14264" i="14"/>
  <c r="AH14263" i="14"/>
  <c r="P14263" i="14"/>
  <c r="E14263" i="14"/>
  <c r="AH14262" i="14"/>
  <c r="E14262" i="14"/>
  <c r="AH14261" i="14"/>
  <c r="E14261" i="14"/>
  <c r="AH14260" i="14"/>
  <c r="E14260" i="14"/>
  <c r="AH14259" i="14"/>
  <c r="P14259" i="14"/>
  <c r="E14259" i="14"/>
  <c r="AH14258" i="14"/>
  <c r="E14258" i="14"/>
  <c r="AH14257" i="14"/>
  <c r="E14257" i="14"/>
  <c r="AH14256" i="14"/>
  <c r="E14256" i="14"/>
  <c r="AH14255" i="14"/>
  <c r="E14255" i="14"/>
  <c r="AH14254" i="14"/>
  <c r="E14254" i="14"/>
  <c r="AH14253" i="14"/>
  <c r="E14253" i="14"/>
  <c r="AH14252" i="14"/>
  <c r="P14252" i="14"/>
  <c r="E14252" i="14"/>
  <c r="AH14251" i="14"/>
  <c r="E14251" i="14"/>
  <c r="AH14250" i="14"/>
  <c r="E14250" i="14"/>
  <c r="AH14249" i="14"/>
  <c r="E14249" i="14"/>
  <c r="AH14248" i="14"/>
  <c r="E14248" i="14"/>
  <c r="AH14247" i="14"/>
  <c r="E14247" i="14"/>
  <c r="AH14246" i="14"/>
  <c r="E14246" i="14"/>
  <c r="AH14245" i="14"/>
  <c r="E14245" i="14"/>
  <c r="AH14244" i="14"/>
  <c r="E14244" i="14"/>
  <c r="AH14243" i="14"/>
  <c r="E14243" i="14"/>
  <c r="AH14242" i="14"/>
  <c r="E14242" i="14"/>
  <c r="AH14241" i="14"/>
  <c r="E14241" i="14"/>
  <c r="AH14240" i="14"/>
  <c r="E14240" i="14"/>
  <c r="AH14239" i="14"/>
  <c r="E14239" i="14"/>
  <c r="AH14238" i="14"/>
  <c r="E14238" i="14"/>
  <c r="AH14237" i="14"/>
  <c r="E14237" i="14"/>
  <c r="AH14236" i="14"/>
  <c r="E14236" i="14"/>
  <c r="AH14235" i="14"/>
  <c r="E14235" i="14"/>
  <c r="AH14234" i="14"/>
  <c r="E14234" i="14"/>
  <c r="AH14233" i="14"/>
  <c r="E14233" i="14"/>
  <c r="AH14232" i="14"/>
  <c r="E14232" i="14"/>
  <c r="AH14231" i="14"/>
  <c r="E14231" i="14"/>
  <c r="AH14230" i="14"/>
  <c r="P14230" i="14"/>
  <c r="E14230" i="14"/>
  <c r="AH14229" i="14"/>
  <c r="E14229" i="14"/>
  <c r="AH14228" i="14"/>
  <c r="E14228" i="14"/>
  <c r="AH14227" i="14"/>
  <c r="E14227" i="14"/>
  <c r="AH14226" i="14"/>
  <c r="E14226" i="14"/>
  <c r="AH14225" i="14"/>
  <c r="E14225" i="14"/>
  <c r="AH14224" i="14"/>
  <c r="E14224" i="14"/>
  <c r="AH14223" i="14"/>
  <c r="E14223" i="14"/>
  <c r="AH14222" i="14"/>
  <c r="E14222" i="14"/>
  <c r="AH14221" i="14"/>
  <c r="E14221" i="14"/>
  <c r="AH14220" i="14"/>
  <c r="P14220" i="14"/>
  <c r="E14220" i="14"/>
  <c r="AH14219" i="14"/>
  <c r="E14219" i="14"/>
  <c r="AH14218" i="14"/>
  <c r="E14218" i="14"/>
  <c r="AH14217" i="14"/>
  <c r="P14217" i="14"/>
  <c r="E14217" i="14"/>
  <c r="AH14216" i="14"/>
  <c r="E14216" i="14"/>
  <c r="AH14215" i="14"/>
  <c r="E14215" i="14"/>
  <c r="AH14214" i="14"/>
  <c r="E14214" i="14"/>
  <c r="AH14213" i="14"/>
  <c r="E14213" i="14"/>
  <c r="AH14212" i="14"/>
  <c r="E14212" i="14"/>
  <c r="AH14211" i="14"/>
  <c r="E14211" i="14"/>
  <c r="AH14210" i="14"/>
  <c r="P14210" i="14"/>
  <c r="E14210" i="14"/>
  <c r="AH14209" i="14"/>
  <c r="E14209" i="14"/>
  <c r="AH14208" i="14"/>
  <c r="P14208" i="14"/>
  <c r="E14208" i="14"/>
  <c r="AH14207" i="14"/>
  <c r="E14207" i="14"/>
  <c r="AH14206" i="14"/>
  <c r="E14206" i="14"/>
  <c r="AH14205" i="14"/>
  <c r="E14205" i="14"/>
  <c r="AH14204" i="14"/>
  <c r="E14204" i="14"/>
  <c r="AH14203" i="14"/>
  <c r="E14203" i="14"/>
  <c r="AH14202" i="14"/>
  <c r="P14202" i="14"/>
  <c r="E14202" i="14"/>
  <c r="AH14201" i="14"/>
  <c r="E14201" i="14"/>
  <c r="AH14200" i="14"/>
  <c r="E14200" i="14"/>
  <c r="AH14199" i="14"/>
  <c r="E14199" i="14"/>
  <c r="AH14198" i="14"/>
  <c r="E14198" i="14"/>
  <c r="AH14197" i="14"/>
  <c r="E14197" i="14"/>
  <c r="AH14196" i="14"/>
  <c r="E14196" i="14"/>
  <c r="AH14195" i="14"/>
  <c r="P14195" i="14"/>
  <c r="E14195" i="14"/>
  <c r="AH14194" i="14"/>
  <c r="E14194" i="14"/>
  <c r="AH14193" i="14"/>
  <c r="E14193" i="14"/>
  <c r="AH14192" i="14"/>
  <c r="E14192" i="14"/>
  <c r="AH14191" i="14"/>
  <c r="E14191" i="14"/>
  <c r="AH14190" i="14"/>
  <c r="E14190" i="14"/>
  <c r="AH14189" i="14"/>
  <c r="E14189" i="14"/>
  <c r="AH14188" i="14"/>
  <c r="E14188" i="14"/>
  <c r="AH14187" i="14"/>
  <c r="E14187" i="14"/>
  <c r="AH14186" i="14"/>
  <c r="E14186" i="14"/>
  <c r="AH14185" i="14"/>
  <c r="E14185" i="14"/>
  <c r="AH14184" i="14"/>
  <c r="E14184" i="14"/>
  <c r="AH14183" i="14"/>
  <c r="E14183" i="14"/>
  <c r="AH14182" i="14"/>
  <c r="E14182" i="14"/>
  <c r="AH14181" i="14"/>
  <c r="E14181" i="14"/>
  <c r="AH14180" i="14"/>
  <c r="E14180" i="14"/>
  <c r="AH14179" i="14"/>
  <c r="E14179" i="14"/>
  <c r="AH14178" i="14"/>
  <c r="E14178" i="14"/>
  <c r="AH14177" i="14"/>
  <c r="E14177" i="14"/>
  <c r="AH14176" i="14"/>
  <c r="E14176" i="14"/>
  <c r="AH14175" i="14"/>
  <c r="E14175" i="14"/>
  <c r="AH14174" i="14"/>
  <c r="E14174" i="14"/>
  <c r="AH14173" i="14"/>
  <c r="P14173" i="14"/>
  <c r="E14173" i="14"/>
  <c r="AH14172" i="14"/>
  <c r="E14172" i="14"/>
  <c r="AH14171" i="14"/>
  <c r="E14171" i="14"/>
  <c r="AH14170" i="14"/>
  <c r="E14170" i="14"/>
  <c r="AH14169" i="14"/>
  <c r="E14169" i="14"/>
  <c r="AH14168" i="14"/>
  <c r="E14168" i="14"/>
  <c r="AH14167" i="14"/>
  <c r="E14167" i="14"/>
  <c r="AH14166" i="14"/>
  <c r="P14166" i="14"/>
  <c r="E14166" i="14"/>
  <c r="AH14165" i="14"/>
  <c r="E14165" i="14"/>
  <c r="AH14164" i="14"/>
  <c r="E14164" i="14"/>
  <c r="AH14163" i="14"/>
  <c r="E14163" i="14"/>
  <c r="AH14162" i="14"/>
  <c r="E14162" i="14"/>
  <c r="AH14161" i="14"/>
  <c r="E14161" i="14"/>
  <c r="AH14160" i="14"/>
  <c r="E14160" i="14"/>
  <c r="AH14159" i="14"/>
  <c r="E14159" i="14"/>
  <c r="AH14158" i="14"/>
  <c r="E14158" i="14"/>
  <c r="AH14157" i="14"/>
  <c r="E14157" i="14"/>
  <c r="AH14156" i="14"/>
  <c r="E14156" i="14"/>
  <c r="AH14155" i="14"/>
  <c r="E14155" i="14"/>
  <c r="AH14154" i="14"/>
  <c r="E14154" i="14"/>
  <c r="AH14153" i="14"/>
  <c r="E14153" i="14"/>
  <c r="AH14152" i="14"/>
  <c r="E14152" i="14"/>
  <c r="AH14151" i="14"/>
  <c r="E14151" i="14"/>
  <c r="AH14150" i="14"/>
  <c r="P14150" i="14"/>
  <c r="E14150" i="14"/>
  <c r="AH14149" i="14"/>
  <c r="E14149" i="14"/>
  <c r="AH14148" i="14"/>
  <c r="E14148" i="14"/>
  <c r="AH14147" i="14"/>
  <c r="E14147" i="14"/>
  <c r="AH14146" i="14"/>
  <c r="P14146" i="14"/>
  <c r="O14146" i="14"/>
  <c r="E14146" i="14"/>
  <c r="AH14145" i="14"/>
  <c r="E14145" i="14"/>
  <c r="AH14144" i="14"/>
  <c r="E14144" i="14"/>
  <c r="AH14143" i="14"/>
  <c r="E14143" i="14"/>
  <c r="AH14142" i="14"/>
  <c r="E14142" i="14"/>
  <c r="AH14141" i="14"/>
  <c r="E14141" i="14"/>
  <c r="AH14140" i="14"/>
  <c r="E14140" i="14"/>
  <c r="AH14139" i="14"/>
  <c r="E14139" i="14"/>
  <c r="AH14138" i="14"/>
  <c r="E14138" i="14"/>
  <c r="AH14137" i="14"/>
  <c r="P14137" i="14"/>
  <c r="O14137" i="14"/>
  <c r="E14137" i="14"/>
  <c r="AH14136" i="14"/>
  <c r="E14136" i="14"/>
  <c r="AH14135" i="14"/>
  <c r="E14135" i="14"/>
  <c r="AH14134" i="14"/>
  <c r="E14134" i="14"/>
  <c r="AH14133" i="14"/>
  <c r="E14133" i="14"/>
  <c r="AH14132" i="14"/>
  <c r="E14132" i="14"/>
  <c r="AH14131" i="14"/>
  <c r="E14131" i="14"/>
  <c r="AH14130" i="14"/>
  <c r="E14130" i="14"/>
  <c r="AH14129" i="14"/>
  <c r="E14129" i="14"/>
  <c r="AH14128" i="14"/>
  <c r="E14128" i="14"/>
  <c r="AH14127" i="14"/>
  <c r="E14127" i="14"/>
  <c r="AH14126" i="14"/>
  <c r="E14126" i="14"/>
  <c r="AH14125" i="14"/>
  <c r="E14125" i="14"/>
  <c r="AH14124" i="14"/>
  <c r="E14124" i="14"/>
  <c r="AH14123" i="14"/>
  <c r="E14123" i="14"/>
  <c r="AH14122" i="14"/>
  <c r="E14122" i="14"/>
  <c r="AH14121" i="14"/>
  <c r="E14121" i="14"/>
  <c r="AH14120" i="14"/>
  <c r="E14120" i="14"/>
  <c r="AH14119" i="14"/>
  <c r="E14119" i="14"/>
  <c r="AH14118" i="14"/>
  <c r="E14118" i="14"/>
  <c r="AH14117" i="14"/>
  <c r="E14117" i="14"/>
  <c r="AH14116" i="14"/>
  <c r="E14116" i="14"/>
  <c r="AH14115" i="14"/>
  <c r="E14115" i="14"/>
  <c r="AH14114" i="14"/>
  <c r="E14114" i="14"/>
  <c r="AH14113" i="14"/>
  <c r="E14113" i="14"/>
  <c r="AH14112" i="14"/>
  <c r="E14112" i="14"/>
  <c r="AH14111" i="14"/>
  <c r="E14111" i="14"/>
  <c r="AH14110" i="14"/>
  <c r="E14110" i="14"/>
  <c r="AH14109" i="14"/>
  <c r="E14109" i="14"/>
  <c r="AH14108" i="14"/>
  <c r="E14108" i="14"/>
  <c r="AH14107" i="14"/>
  <c r="E14107" i="14"/>
  <c r="AH14106" i="14"/>
  <c r="E14106" i="14"/>
  <c r="AH14105" i="14"/>
  <c r="E14105" i="14"/>
  <c r="AH14104" i="14"/>
  <c r="E14104" i="14"/>
  <c r="AH14103" i="14"/>
  <c r="P14103" i="14"/>
  <c r="E14103" i="14"/>
  <c r="AH14102" i="14"/>
  <c r="E14102" i="14"/>
  <c r="AH14101" i="14"/>
  <c r="E14101" i="14"/>
  <c r="AH14100" i="14"/>
  <c r="E14100" i="14"/>
  <c r="AH14099" i="14"/>
  <c r="E14099" i="14"/>
  <c r="AH14098" i="14"/>
  <c r="E14098" i="14"/>
  <c r="AH14097" i="14"/>
  <c r="E14097" i="14"/>
  <c r="AH14096" i="14"/>
  <c r="E14096" i="14"/>
  <c r="AH14095" i="14"/>
  <c r="E14095" i="14"/>
  <c r="AH14094" i="14"/>
  <c r="E14094" i="14"/>
  <c r="AH14093" i="14"/>
  <c r="E14093" i="14"/>
  <c r="AH14092" i="14"/>
  <c r="E14092" i="14"/>
  <c r="AH14091" i="14"/>
  <c r="E14091" i="14"/>
  <c r="AH14090" i="14"/>
  <c r="E14090" i="14"/>
  <c r="AH14089" i="14"/>
  <c r="E14089" i="14"/>
  <c r="AH14088" i="14"/>
  <c r="E14088" i="14"/>
  <c r="AH14087" i="14"/>
  <c r="E14087" i="14"/>
  <c r="AH14086" i="14"/>
  <c r="P14086" i="14"/>
  <c r="E14086" i="14"/>
  <c r="AH14085" i="14"/>
  <c r="E14085" i="14"/>
  <c r="AH14084" i="14"/>
  <c r="E14084" i="14"/>
  <c r="AH14083" i="14"/>
  <c r="E14083" i="14"/>
  <c r="AH14082" i="14"/>
  <c r="E14082" i="14"/>
  <c r="AH14081" i="14"/>
  <c r="E14081" i="14"/>
  <c r="AH14080" i="14"/>
  <c r="E14080" i="14"/>
  <c r="AH14079" i="14"/>
  <c r="E14079" i="14"/>
  <c r="AH14078" i="14"/>
  <c r="E14078" i="14"/>
  <c r="AH14077" i="14"/>
  <c r="E14077" i="14"/>
  <c r="AH14076" i="14"/>
  <c r="E14076" i="14"/>
  <c r="AH14075" i="14"/>
  <c r="P14075" i="14"/>
  <c r="E14075" i="14"/>
  <c r="AH14074" i="14"/>
  <c r="E14074" i="14"/>
  <c r="AH14073" i="14"/>
  <c r="P14073" i="14"/>
  <c r="E14073" i="14"/>
  <c r="AH14072" i="14"/>
  <c r="P14072" i="14"/>
  <c r="E14072" i="14"/>
  <c r="AH14071" i="14"/>
  <c r="P14071" i="14"/>
  <c r="E14071" i="14"/>
  <c r="AH14070" i="14"/>
  <c r="E14070" i="14"/>
  <c r="AH14069" i="14"/>
  <c r="E14069" i="14"/>
  <c r="AH14068" i="14"/>
  <c r="E14068" i="14"/>
  <c r="AH14067" i="14"/>
  <c r="P14067" i="14"/>
  <c r="E14067" i="14"/>
  <c r="AH14066" i="14"/>
  <c r="E14066" i="14"/>
  <c r="AH14065" i="14"/>
  <c r="P14065" i="14"/>
  <c r="E14065" i="14"/>
  <c r="AH14064" i="14"/>
  <c r="E14064" i="14"/>
  <c r="AH14063" i="14"/>
  <c r="E14063" i="14"/>
  <c r="AH14062" i="14"/>
  <c r="E14062" i="14"/>
  <c r="AH14061" i="14"/>
  <c r="P14061" i="14"/>
  <c r="E14061" i="14"/>
  <c r="AH14060" i="14"/>
  <c r="P14060" i="14"/>
  <c r="E14060" i="14"/>
  <c r="AH14059" i="14"/>
  <c r="P14059" i="14"/>
  <c r="E14059" i="14"/>
  <c r="AH14058" i="14"/>
  <c r="P14058" i="14"/>
  <c r="O14058" i="14"/>
  <c r="E14058" i="14"/>
  <c r="AH14057" i="14"/>
  <c r="E14057" i="14"/>
  <c r="AH14056" i="14"/>
  <c r="E14056" i="14"/>
  <c r="AH14055" i="14"/>
  <c r="E14055" i="14"/>
  <c r="AH14054" i="14"/>
  <c r="E14054" i="14"/>
  <c r="AH14053" i="14"/>
  <c r="P14053" i="14"/>
  <c r="E14053" i="14"/>
  <c r="AH14052" i="14"/>
  <c r="E14052" i="14"/>
  <c r="AH14051" i="14"/>
  <c r="E14051" i="14"/>
  <c r="AH14050" i="14"/>
  <c r="E14050" i="14"/>
  <c r="AH14049" i="14"/>
  <c r="E14049" i="14"/>
  <c r="AH14048" i="14"/>
  <c r="P14048" i="14"/>
  <c r="E14048" i="14"/>
  <c r="AH14047" i="14"/>
  <c r="E14047" i="14"/>
  <c r="AH14046" i="14"/>
  <c r="P14046" i="14"/>
  <c r="E14046" i="14"/>
  <c r="AH14045" i="14"/>
  <c r="P14045" i="14"/>
  <c r="E14045" i="14"/>
  <c r="AH14044" i="14"/>
  <c r="E14044" i="14"/>
  <c r="AH14043" i="14"/>
  <c r="E14043" i="14"/>
  <c r="AH14042" i="14"/>
  <c r="E14042" i="14"/>
  <c r="AH14041" i="14"/>
  <c r="E14041" i="14"/>
  <c r="AH14040" i="14"/>
  <c r="AE14040" i="14"/>
  <c r="E14040" i="14"/>
  <c r="AH14039" i="14"/>
  <c r="E14039" i="14"/>
  <c r="AH14038" i="14"/>
  <c r="E14038" i="14"/>
  <c r="AH14037" i="14"/>
  <c r="E14037" i="14"/>
  <c r="AH14036" i="14"/>
  <c r="P14036" i="14"/>
  <c r="E14036" i="14"/>
  <c r="AH14035" i="14"/>
  <c r="P14035" i="14"/>
  <c r="E14035" i="14"/>
  <c r="AH14034" i="14"/>
  <c r="E14034" i="14"/>
  <c r="AH14033" i="14"/>
  <c r="E14033" i="14"/>
  <c r="AH14032" i="14"/>
  <c r="E14032" i="14"/>
  <c r="AH14031" i="14"/>
  <c r="P14031" i="14"/>
  <c r="E14031" i="14"/>
  <c r="AH14030" i="14"/>
  <c r="E14030" i="14"/>
  <c r="AH14029" i="14"/>
  <c r="E14029" i="14"/>
  <c r="AH14028" i="14"/>
  <c r="E14028" i="14"/>
  <c r="AH14027" i="14"/>
  <c r="P14027" i="14"/>
  <c r="E14027" i="14"/>
  <c r="AH14026" i="14"/>
  <c r="E14026" i="14"/>
  <c r="AH14025" i="14"/>
  <c r="P14025" i="14"/>
  <c r="O14025" i="14"/>
  <c r="E14025" i="14"/>
  <c r="AH14024" i="14"/>
  <c r="P14024" i="14"/>
  <c r="E14024" i="14"/>
  <c r="AH14023" i="14"/>
  <c r="P14023" i="14"/>
  <c r="E14023" i="14"/>
  <c r="AH14022" i="14"/>
  <c r="E14022" i="14"/>
  <c r="AH14021" i="14"/>
  <c r="E14021" i="14"/>
  <c r="AH14020" i="14"/>
  <c r="P14020" i="14"/>
  <c r="E14020" i="14"/>
  <c r="AH14019" i="14"/>
  <c r="Q14019" i="14"/>
  <c r="E14019" i="14"/>
  <c r="AH14018" i="14"/>
  <c r="E14018" i="14"/>
  <c r="AH14017" i="14"/>
  <c r="E14017" i="14"/>
  <c r="AH14016" i="14"/>
  <c r="P14016" i="14"/>
  <c r="O14016" i="14"/>
  <c r="E14016" i="14"/>
  <c r="AH14015" i="14"/>
  <c r="E14015" i="14"/>
  <c r="AH14014" i="14"/>
  <c r="E14014" i="14"/>
  <c r="AH14013" i="14"/>
  <c r="P14013" i="14"/>
  <c r="E14013" i="14"/>
  <c r="AH14012" i="14"/>
  <c r="E14012" i="14"/>
  <c r="AH14011" i="14"/>
  <c r="E14011" i="14"/>
  <c r="AH14010" i="14"/>
  <c r="E14010" i="14"/>
  <c r="AH14009" i="14"/>
  <c r="E14009" i="14"/>
  <c r="AH14008" i="14"/>
  <c r="E14008" i="14"/>
  <c r="AH14007" i="14"/>
  <c r="E14007" i="14"/>
  <c r="AH14006" i="14"/>
  <c r="E14006" i="14"/>
  <c r="AH14005" i="14"/>
  <c r="E14005" i="14"/>
  <c r="AH14004" i="14"/>
  <c r="E14004" i="14"/>
  <c r="AH14003" i="14"/>
  <c r="P14003" i="14"/>
  <c r="E14003" i="14"/>
  <c r="AH14002" i="14"/>
  <c r="P14002" i="14"/>
  <c r="E14002" i="14"/>
  <c r="AH14001" i="14"/>
  <c r="E14001" i="14"/>
  <c r="AH14000" i="14"/>
  <c r="P14000" i="14"/>
  <c r="E14000" i="14"/>
  <c r="AH13999" i="14"/>
  <c r="E13999" i="14"/>
  <c r="AH13998" i="14"/>
  <c r="E13998" i="14"/>
  <c r="AH13997" i="14"/>
  <c r="E13997" i="14"/>
  <c r="AH13996" i="14"/>
  <c r="E13996" i="14"/>
  <c r="AH13995" i="14"/>
  <c r="E13995" i="14"/>
  <c r="AH13994" i="14"/>
  <c r="E13994" i="14"/>
  <c r="AH13993" i="14"/>
  <c r="E13993" i="14"/>
  <c r="AH13992" i="14"/>
  <c r="E13992" i="14"/>
  <c r="AH13991" i="14"/>
  <c r="E13991" i="14"/>
  <c r="AH13990" i="14"/>
  <c r="E13990" i="14"/>
  <c r="AH13989" i="14"/>
  <c r="P13989" i="14"/>
  <c r="E13989" i="14"/>
  <c r="AH13988" i="14"/>
  <c r="E13988" i="14"/>
  <c r="AH13987" i="14"/>
  <c r="E13987" i="14"/>
  <c r="AH13986" i="14"/>
  <c r="P13986" i="14"/>
  <c r="O13986" i="14"/>
  <c r="E13986" i="14"/>
  <c r="AH13985" i="14"/>
  <c r="E13985" i="14"/>
  <c r="AH13984" i="14"/>
  <c r="P13984" i="14"/>
  <c r="O13984" i="14"/>
  <c r="E13984" i="14"/>
  <c r="AH13983" i="14"/>
  <c r="E13983" i="14"/>
  <c r="AH13982" i="14"/>
  <c r="E13982" i="14"/>
  <c r="AH13981" i="14"/>
  <c r="E13981" i="14"/>
  <c r="AH13980" i="14"/>
  <c r="E13980" i="14"/>
  <c r="AH13979" i="14"/>
  <c r="P13979" i="14"/>
  <c r="E13979" i="14"/>
  <c r="AH13978" i="14"/>
  <c r="P13978" i="14"/>
  <c r="E13978" i="14"/>
  <c r="AH13977" i="14"/>
  <c r="E13977" i="14"/>
  <c r="AH13976" i="14"/>
  <c r="E13976" i="14"/>
  <c r="AH13975" i="14"/>
  <c r="E13975" i="14"/>
  <c r="AH13974" i="14"/>
  <c r="E13974" i="14"/>
  <c r="AH13973" i="14"/>
  <c r="E13973" i="14"/>
  <c r="AH13972" i="14"/>
  <c r="E13972" i="14"/>
  <c r="AH13971" i="14"/>
  <c r="E13971" i="14"/>
  <c r="AH13970" i="14"/>
  <c r="E13970" i="14"/>
  <c r="AH13969" i="14"/>
  <c r="E13969" i="14"/>
  <c r="AH13968" i="14"/>
  <c r="E13968" i="14"/>
  <c r="AH13967" i="14"/>
  <c r="E13967" i="14"/>
  <c r="AH13966" i="14"/>
  <c r="E13966" i="14"/>
  <c r="AH13965" i="14"/>
  <c r="P13965" i="14"/>
  <c r="E13965" i="14"/>
  <c r="AH13964" i="14"/>
  <c r="P13964" i="14"/>
  <c r="E13964" i="14"/>
  <c r="AH13963" i="14"/>
  <c r="P13963" i="14"/>
  <c r="O13963" i="14"/>
  <c r="E13963" i="14"/>
  <c r="AH13962" i="14"/>
  <c r="E13962" i="14"/>
  <c r="AH13961" i="14"/>
  <c r="E13961" i="14"/>
  <c r="AH13960" i="14"/>
  <c r="P13960" i="14"/>
  <c r="E13960" i="14"/>
  <c r="AH13959" i="14"/>
  <c r="E13959" i="14"/>
  <c r="AH13958" i="14"/>
  <c r="E13958" i="14"/>
  <c r="AH13957" i="14"/>
  <c r="E13957" i="14"/>
  <c r="AH13956" i="14"/>
  <c r="P13956" i="14"/>
  <c r="E13956" i="14"/>
  <c r="AH13955" i="14"/>
  <c r="E13955" i="14"/>
  <c r="AH13954" i="14"/>
  <c r="P13954" i="14"/>
  <c r="E13954" i="14"/>
  <c r="AH13953" i="14"/>
  <c r="P13953" i="14"/>
  <c r="O13953" i="14"/>
  <c r="E13953" i="14"/>
  <c r="AH13952" i="14"/>
  <c r="E13952" i="14"/>
  <c r="AH13951" i="14"/>
  <c r="E13951" i="14"/>
  <c r="AH13950" i="14"/>
  <c r="E13950" i="14"/>
  <c r="AH13949" i="14"/>
  <c r="E13949" i="14"/>
  <c r="AH13948" i="14"/>
  <c r="E13948" i="14"/>
  <c r="AH13947" i="14"/>
  <c r="E13947" i="14"/>
  <c r="AH13946" i="14"/>
  <c r="P13946" i="14"/>
  <c r="E13946" i="14"/>
  <c r="AH13945" i="14"/>
  <c r="E13945" i="14"/>
  <c r="AH13944" i="14"/>
  <c r="E13944" i="14"/>
  <c r="AH13943" i="14"/>
  <c r="P13943" i="14"/>
  <c r="E13943" i="14"/>
  <c r="AH13942" i="14"/>
  <c r="E13942" i="14"/>
  <c r="AH13941" i="14"/>
  <c r="E13941" i="14"/>
  <c r="AH13940" i="14"/>
  <c r="E13940" i="14"/>
  <c r="AH13939" i="14"/>
  <c r="E13939" i="14"/>
  <c r="AH13938" i="14"/>
  <c r="E13938" i="14"/>
  <c r="AH13937" i="14"/>
  <c r="P13937" i="14"/>
  <c r="O13937" i="14"/>
  <c r="E13937" i="14"/>
  <c r="AH13936" i="14"/>
  <c r="E13936" i="14"/>
  <c r="AH13935" i="14"/>
  <c r="E13935" i="14"/>
  <c r="AH13934" i="14"/>
  <c r="E13934" i="14"/>
  <c r="AH13933" i="14"/>
  <c r="E13933" i="14"/>
  <c r="AH13932" i="14"/>
  <c r="P13932" i="14"/>
  <c r="E13932" i="14"/>
  <c r="AH13931" i="14"/>
  <c r="E13931" i="14"/>
  <c r="AH13930" i="14"/>
  <c r="E13930" i="14"/>
  <c r="AH13929" i="14"/>
  <c r="E13929" i="14"/>
  <c r="AH13928" i="14"/>
  <c r="E13928" i="14"/>
  <c r="AH13927" i="14"/>
  <c r="E13927" i="14"/>
  <c r="AH13926" i="14"/>
  <c r="E13926" i="14"/>
  <c r="AH13925" i="14"/>
  <c r="E13925" i="14"/>
  <c r="AH13924" i="14"/>
  <c r="P13924" i="14"/>
  <c r="O13924" i="14"/>
  <c r="E13924" i="14"/>
  <c r="AH13923" i="14"/>
  <c r="E13923" i="14"/>
  <c r="AH13922" i="14"/>
  <c r="E13922" i="14"/>
  <c r="AH13921" i="14"/>
  <c r="E13921" i="14"/>
  <c r="AH13920" i="14"/>
  <c r="E13920" i="14"/>
  <c r="AH13919" i="14"/>
  <c r="E13919" i="14"/>
  <c r="AH13918" i="14"/>
  <c r="E13918" i="14"/>
  <c r="AH13917" i="14"/>
  <c r="E13917" i="14"/>
  <c r="AH13916" i="14"/>
  <c r="E13916" i="14"/>
  <c r="AH13915" i="14"/>
  <c r="P13915" i="14"/>
  <c r="O13915" i="14"/>
  <c r="E13915" i="14"/>
  <c r="AH13914" i="14"/>
  <c r="E13914" i="14"/>
  <c r="AH13913" i="14"/>
  <c r="E13913" i="14"/>
  <c r="AH13912" i="14"/>
  <c r="E13912" i="14"/>
  <c r="AH13911" i="14"/>
  <c r="E13911" i="14"/>
  <c r="AH13910" i="14"/>
  <c r="E13910" i="14"/>
  <c r="AH13909" i="14"/>
  <c r="E13909" i="14"/>
  <c r="AH13908" i="14"/>
  <c r="E13908" i="14"/>
  <c r="AH13907" i="14"/>
  <c r="E13907" i="14"/>
  <c r="AH13906" i="14"/>
  <c r="E13906" i="14"/>
  <c r="AH13905" i="14"/>
  <c r="P13905" i="14"/>
  <c r="E13905" i="14"/>
  <c r="AH13904" i="14"/>
  <c r="E13904" i="14"/>
  <c r="AH13903" i="14"/>
  <c r="E13903" i="14"/>
  <c r="AH13902" i="14"/>
  <c r="E13902" i="14"/>
  <c r="AH13901" i="14"/>
  <c r="E13901" i="14"/>
  <c r="AH13900" i="14"/>
  <c r="E13900" i="14"/>
  <c r="AH13899" i="14"/>
  <c r="E13899" i="14"/>
  <c r="AH13898" i="14"/>
  <c r="P13898" i="14"/>
  <c r="O13898" i="14"/>
  <c r="E13898" i="14"/>
  <c r="AH13897" i="14"/>
  <c r="P13897" i="14"/>
  <c r="O13897" i="14"/>
  <c r="E13897" i="14"/>
  <c r="AH13896" i="14"/>
  <c r="E13896" i="14"/>
  <c r="AH13895" i="14"/>
  <c r="E13895" i="14"/>
  <c r="AH13894" i="14"/>
  <c r="E13894" i="14"/>
  <c r="AH13893" i="14"/>
  <c r="P13893" i="14"/>
  <c r="O13893" i="14"/>
  <c r="E13893" i="14"/>
  <c r="AH13892" i="14"/>
  <c r="E13892" i="14"/>
  <c r="AH13891" i="14"/>
  <c r="E13891" i="14"/>
  <c r="AH13890" i="14"/>
  <c r="E13890" i="14"/>
  <c r="AH13889" i="14"/>
  <c r="E13889" i="14"/>
  <c r="AH13888" i="14"/>
  <c r="E13888" i="14"/>
  <c r="AH13887" i="14"/>
  <c r="E13887" i="14"/>
  <c r="AH13886" i="14"/>
  <c r="E13886" i="14"/>
  <c r="AH13885" i="14"/>
  <c r="E13885" i="14"/>
  <c r="AH13884" i="14"/>
  <c r="E13884" i="14"/>
  <c r="AH13883" i="14"/>
  <c r="E13883" i="14"/>
  <c r="AH13882" i="14"/>
  <c r="P13882" i="14"/>
  <c r="E13882" i="14"/>
  <c r="AH13881" i="14"/>
  <c r="E13881" i="14"/>
  <c r="AH13880" i="14"/>
  <c r="E13880" i="14"/>
  <c r="AH13879" i="14"/>
  <c r="P13879" i="14"/>
  <c r="O13879" i="14"/>
  <c r="E13879" i="14"/>
  <c r="AH13878" i="14"/>
  <c r="E13878" i="14"/>
  <c r="AH13877" i="14"/>
  <c r="E13877" i="14"/>
  <c r="AH13876" i="14"/>
  <c r="P13876" i="14"/>
  <c r="E13876" i="14"/>
  <c r="AH13875" i="14"/>
  <c r="P13875" i="14"/>
  <c r="O13875" i="14"/>
  <c r="E13875" i="14"/>
  <c r="AH13874" i="14"/>
  <c r="E13874" i="14"/>
  <c r="AH13873" i="14"/>
  <c r="P13873" i="14"/>
  <c r="E13873" i="14"/>
  <c r="AH13872" i="14"/>
  <c r="E13872" i="14"/>
  <c r="AH13871" i="14"/>
  <c r="P13871" i="14"/>
  <c r="E13871" i="14"/>
  <c r="AH13870" i="14"/>
  <c r="P13870" i="14"/>
  <c r="E13870" i="14"/>
  <c r="AH13869" i="14"/>
  <c r="P13869" i="14"/>
  <c r="E13869" i="14"/>
  <c r="AH13868" i="14"/>
  <c r="P13868" i="14"/>
  <c r="E13868" i="14"/>
  <c r="AH13867" i="14"/>
  <c r="E13867" i="14"/>
  <c r="AH13866" i="14"/>
  <c r="E13866" i="14"/>
  <c r="AH13865" i="14"/>
  <c r="P13865" i="14"/>
  <c r="E13865" i="14"/>
  <c r="AH13864" i="14"/>
  <c r="E13864" i="14"/>
  <c r="AH13863" i="14"/>
  <c r="E13863" i="14"/>
  <c r="AH13862" i="14"/>
  <c r="E13862" i="14"/>
  <c r="AH13861" i="14"/>
  <c r="P13861" i="14"/>
  <c r="E13861" i="14"/>
  <c r="AH13860" i="14"/>
  <c r="P13860" i="14"/>
  <c r="E13860" i="14"/>
  <c r="AH13859" i="14"/>
  <c r="E13859" i="14"/>
  <c r="AH13858" i="14"/>
  <c r="E13858" i="14"/>
  <c r="AH13857" i="14"/>
  <c r="E13857" i="14"/>
  <c r="AH13856" i="14"/>
  <c r="E13856" i="14"/>
  <c r="AH13855" i="14"/>
  <c r="E13855" i="14"/>
  <c r="AH13854" i="14"/>
  <c r="E13854" i="14"/>
  <c r="AH13853" i="14"/>
  <c r="E13853" i="14"/>
  <c r="AH13852" i="14"/>
  <c r="E13852" i="14"/>
  <c r="AH13851" i="14"/>
  <c r="E13851" i="14"/>
  <c r="AH13850" i="14"/>
  <c r="E13850" i="14"/>
  <c r="AH13849" i="14"/>
  <c r="E13849" i="14"/>
  <c r="AH13848" i="14"/>
  <c r="P13848" i="14"/>
  <c r="E13848" i="14"/>
  <c r="AH13847" i="14"/>
  <c r="E13847" i="14"/>
  <c r="AH13846" i="14"/>
  <c r="E13846" i="14"/>
  <c r="AH13845" i="14"/>
  <c r="E13845" i="14"/>
  <c r="AH13844" i="14"/>
  <c r="E13844" i="14"/>
  <c r="AH13843" i="14"/>
  <c r="E13843" i="14"/>
  <c r="AH13842" i="14"/>
  <c r="E13842" i="14"/>
  <c r="AH13841" i="14"/>
  <c r="E13841" i="14"/>
  <c r="AH13840" i="14"/>
  <c r="P13840" i="14"/>
  <c r="E13840" i="14"/>
  <c r="AH13839" i="14"/>
  <c r="P13839" i="14"/>
  <c r="O13839" i="14"/>
  <c r="E13839" i="14"/>
  <c r="AH13838" i="14"/>
  <c r="P13838" i="14"/>
  <c r="E13838" i="14"/>
  <c r="AH13837" i="14"/>
  <c r="P13837" i="14"/>
  <c r="E13837" i="14"/>
  <c r="AH13836" i="14"/>
  <c r="P13836" i="14"/>
  <c r="O13836" i="14"/>
  <c r="E13836" i="14"/>
  <c r="AH13835" i="14"/>
  <c r="P13835" i="14"/>
  <c r="O13835" i="14"/>
  <c r="E13835" i="14"/>
  <c r="AH13834" i="14"/>
  <c r="P13834" i="14"/>
  <c r="E13834" i="14"/>
  <c r="AH13833" i="14"/>
  <c r="P13833" i="14"/>
  <c r="E13833" i="14"/>
  <c r="AH13832" i="14"/>
  <c r="P13832" i="14"/>
  <c r="E13832" i="14"/>
  <c r="AH13831" i="14"/>
  <c r="P13831" i="14"/>
  <c r="E13831" i="14"/>
  <c r="AH13830" i="14"/>
  <c r="P13830" i="14"/>
  <c r="O13830" i="14"/>
  <c r="E13830" i="14"/>
  <c r="AH13829" i="14"/>
  <c r="P13829" i="14"/>
  <c r="E13829" i="14"/>
  <c r="AH13828" i="14"/>
  <c r="P13828" i="14"/>
  <c r="E13828" i="14"/>
  <c r="AH13827" i="14"/>
  <c r="E13827" i="14"/>
  <c r="AH13826" i="14"/>
  <c r="E13826" i="14"/>
  <c r="AH13825" i="14"/>
  <c r="E13825" i="14"/>
  <c r="AH13824" i="14"/>
  <c r="E13824" i="14"/>
  <c r="AH13823" i="14"/>
  <c r="P13823" i="14"/>
  <c r="O13823" i="14"/>
  <c r="E13823" i="14"/>
  <c r="AH13822" i="14"/>
  <c r="E13822" i="14"/>
  <c r="AH13821" i="14"/>
  <c r="E13821" i="14"/>
  <c r="AH13820" i="14"/>
  <c r="P13820" i="14"/>
  <c r="E13820" i="14"/>
  <c r="AH13819" i="14"/>
  <c r="E13819" i="14"/>
  <c r="AH13818" i="14"/>
  <c r="P13818" i="14"/>
  <c r="E13818" i="14"/>
  <c r="AH13817" i="14"/>
  <c r="E13817" i="14"/>
  <c r="AH13816" i="14"/>
  <c r="E13816" i="14"/>
  <c r="AH13815" i="14"/>
  <c r="E13815" i="14"/>
  <c r="AH13814" i="14"/>
  <c r="E13814" i="14"/>
  <c r="AH13813" i="14"/>
  <c r="E13813" i="14"/>
  <c r="AH13812" i="14"/>
  <c r="E13812" i="14"/>
  <c r="AH13811" i="14"/>
  <c r="E13811" i="14"/>
  <c r="AH13810" i="14"/>
  <c r="E13810" i="14"/>
  <c r="AH13809" i="14"/>
  <c r="E13809" i="14"/>
  <c r="AH13808" i="14"/>
  <c r="P13808" i="14"/>
  <c r="E13808" i="14"/>
  <c r="AH13807" i="14"/>
  <c r="E13807" i="14"/>
  <c r="AH13806" i="14"/>
  <c r="E13806" i="14"/>
  <c r="AH13805" i="14"/>
  <c r="E13805" i="14"/>
  <c r="AH13804" i="14"/>
  <c r="P13804" i="14"/>
  <c r="E13804" i="14"/>
  <c r="AH13803" i="14"/>
  <c r="E13803" i="14"/>
  <c r="AH13802" i="14"/>
  <c r="E13802" i="14"/>
  <c r="AH13801" i="14"/>
  <c r="E13801" i="14"/>
  <c r="AH13800" i="14"/>
  <c r="E13800" i="14"/>
  <c r="AH13799" i="14"/>
  <c r="E13799" i="14"/>
  <c r="AH13798" i="14"/>
  <c r="E13798" i="14"/>
  <c r="AH13797" i="14"/>
  <c r="P13797" i="14"/>
  <c r="E13797" i="14"/>
  <c r="AH13796" i="14"/>
  <c r="E13796" i="14"/>
  <c r="AH13795" i="14"/>
  <c r="E13795" i="14"/>
  <c r="AH13794" i="14"/>
  <c r="E13794" i="14"/>
  <c r="AH13793" i="14"/>
  <c r="P13793" i="14"/>
  <c r="E13793" i="14"/>
  <c r="AH13792" i="14"/>
  <c r="P13792" i="14"/>
  <c r="E13792" i="14"/>
  <c r="AH13791" i="14"/>
  <c r="E13791" i="14"/>
  <c r="AH13790" i="14"/>
  <c r="E13790" i="14"/>
  <c r="AH13789" i="14"/>
  <c r="E13789" i="14"/>
  <c r="AH13788" i="14"/>
  <c r="E13788" i="14"/>
  <c r="AH13787" i="14"/>
  <c r="E13787" i="14"/>
  <c r="AH13786" i="14"/>
  <c r="E13786" i="14"/>
  <c r="AH13785" i="14"/>
  <c r="E13785" i="14"/>
  <c r="AH13784" i="14"/>
  <c r="E13784" i="14"/>
  <c r="AH13783" i="14"/>
  <c r="E13783" i="14"/>
  <c r="AH13782" i="14"/>
  <c r="P13782" i="14"/>
  <c r="E13782" i="14"/>
  <c r="AH13781" i="14"/>
  <c r="E13781" i="14"/>
  <c r="AH13780" i="14"/>
  <c r="E13780" i="14"/>
  <c r="AH13779" i="14"/>
  <c r="E13779" i="14"/>
  <c r="AH13778" i="14"/>
  <c r="E13778" i="14"/>
  <c r="AH13777" i="14"/>
  <c r="E13777" i="14"/>
  <c r="AH13776" i="14"/>
  <c r="E13776" i="14"/>
  <c r="AH13775" i="14"/>
  <c r="E13775" i="14"/>
  <c r="AH13774" i="14"/>
  <c r="E13774" i="14"/>
  <c r="AH13773" i="14"/>
  <c r="E13773" i="14"/>
  <c r="AH13772" i="14"/>
  <c r="E13772" i="14"/>
  <c r="AH13771" i="14"/>
  <c r="E13771" i="14"/>
  <c r="AH13770" i="14"/>
  <c r="E13770" i="14"/>
  <c r="AH13769" i="14"/>
  <c r="E13769" i="14"/>
  <c r="AH13768" i="14"/>
  <c r="E13768" i="14"/>
  <c r="AH13767" i="14"/>
  <c r="E13767" i="14"/>
  <c r="AH13766" i="14"/>
  <c r="E13766" i="14"/>
  <c r="AH13765" i="14"/>
  <c r="E13765" i="14"/>
  <c r="AH13764" i="14"/>
  <c r="P13764" i="14"/>
  <c r="E13764" i="14"/>
  <c r="AH13763" i="14"/>
  <c r="E13763" i="14"/>
  <c r="AH13762" i="14"/>
  <c r="P13762" i="14"/>
  <c r="O13762" i="14"/>
  <c r="E13762" i="14"/>
  <c r="AH13761" i="14"/>
  <c r="E13761" i="14"/>
  <c r="AH13760" i="14"/>
  <c r="E13760" i="14"/>
  <c r="AH13759" i="14"/>
  <c r="E13759" i="14"/>
  <c r="AH13758" i="14"/>
  <c r="E13758" i="14"/>
  <c r="AH13757" i="14"/>
  <c r="P13757" i="14"/>
  <c r="E13757" i="14"/>
  <c r="AH13756" i="14"/>
  <c r="E13756" i="14"/>
  <c r="AH13755" i="14"/>
  <c r="E13755" i="14"/>
  <c r="AH13754" i="14"/>
  <c r="E13754" i="14"/>
  <c r="AH13753" i="14"/>
  <c r="E13753" i="14"/>
  <c r="AH13752" i="14"/>
  <c r="E13752" i="14"/>
  <c r="AH13751" i="14"/>
  <c r="E13751" i="14"/>
  <c r="AH13750" i="14"/>
  <c r="E13750" i="14"/>
  <c r="AH13749" i="14"/>
  <c r="E13749" i="14"/>
  <c r="AH13748" i="14"/>
  <c r="E13748" i="14"/>
  <c r="AH13747" i="14"/>
  <c r="E13747" i="14"/>
  <c r="AH13746" i="14"/>
  <c r="P13746" i="14"/>
  <c r="E13746" i="14"/>
  <c r="AH13745" i="14"/>
  <c r="E13745" i="14"/>
  <c r="AH13744" i="14"/>
  <c r="E13744" i="14"/>
  <c r="AH13743" i="14"/>
  <c r="E13743" i="14"/>
  <c r="AH13742" i="14"/>
  <c r="P13742" i="14"/>
  <c r="E13742" i="14"/>
  <c r="AH13741" i="14"/>
  <c r="E13741" i="14"/>
  <c r="AH13740" i="14"/>
  <c r="E13740" i="14"/>
  <c r="AH13739" i="14"/>
  <c r="E13739" i="14"/>
  <c r="AH13738" i="14"/>
  <c r="E13738" i="14"/>
  <c r="AH13737" i="14"/>
  <c r="E13737" i="14"/>
  <c r="AH13736" i="14"/>
  <c r="E13736" i="14"/>
  <c r="AH13735" i="14"/>
  <c r="E13735" i="14"/>
  <c r="AH13734" i="14"/>
  <c r="E13734" i="14"/>
  <c r="AH13733" i="14"/>
  <c r="E13733" i="14"/>
  <c r="AH13732" i="14"/>
  <c r="E13732" i="14"/>
  <c r="AH13731" i="14"/>
  <c r="E13731" i="14"/>
  <c r="AH13730" i="14"/>
  <c r="E13730" i="14"/>
  <c r="AH13729" i="14"/>
  <c r="E13729" i="14"/>
  <c r="AH13728" i="14"/>
  <c r="E13728" i="14"/>
  <c r="AH13727" i="14"/>
  <c r="E13727" i="14"/>
  <c r="AH13726" i="14"/>
  <c r="E13726" i="14"/>
  <c r="AH13725" i="14"/>
  <c r="E13725" i="14"/>
  <c r="AH13724" i="14"/>
  <c r="E13724" i="14"/>
  <c r="AH13723" i="14"/>
  <c r="E13723" i="14"/>
  <c r="AH13722" i="14"/>
  <c r="E13722" i="14"/>
  <c r="AH13721" i="14"/>
  <c r="E13721" i="14"/>
  <c r="AH13720" i="14"/>
  <c r="E13720" i="14"/>
  <c r="AH13719" i="14"/>
  <c r="E13719" i="14"/>
  <c r="AH13718" i="14"/>
  <c r="E13718" i="14"/>
  <c r="AH13717" i="14"/>
  <c r="E13717" i="14"/>
  <c r="AH13716" i="14"/>
  <c r="E13716" i="14"/>
  <c r="AH13715" i="14"/>
  <c r="E13715" i="14"/>
  <c r="AH13714" i="14"/>
  <c r="E13714" i="14"/>
  <c r="AH13713" i="14"/>
  <c r="E13713" i="14"/>
  <c r="AH13712" i="14"/>
  <c r="E13712" i="14"/>
  <c r="AH13711" i="14"/>
  <c r="E13711" i="14"/>
  <c r="AH13710" i="14"/>
  <c r="E13710" i="14"/>
  <c r="AH13709" i="14"/>
  <c r="E13709" i="14"/>
  <c r="AH13708" i="14"/>
  <c r="E13708" i="14"/>
  <c r="AH13707" i="14"/>
  <c r="E13707" i="14"/>
  <c r="AH13706" i="14"/>
  <c r="E13706" i="14"/>
  <c r="AH13705" i="14"/>
  <c r="E13705" i="14"/>
  <c r="AH13704" i="14"/>
  <c r="E13704" i="14"/>
  <c r="AH13703" i="14"/>
  <c r="E13703" i="14"/>
  <c r="AH13702" i="14"/>
  <c r="E13702" i="14"/>
  <c r="AH13701" i="14"/>
  <c r="E13701" i="14"/>
  <c r="AH13700" i="14"/>
  <c r="E13700" i="14"/>
  <c r="AH13699" i="14"/>
  <c r="E13699" i="14"/>
  <c r="AH13698" i="14"/>
  <c r="E13698" i="14"/>
  <c r="AH13697" i="14"/>
  <c r="E13697" i="14"/>
  <c r="AH13696" i="14"/>
  <c r="E13696" i="14"/>
  <c r="AH13695" i="14"/>
  <c r="E13695" i="14"/>
  <c r="AH13694" i="14"/>
  <c r="E13694" i="14"/>
  <c r="AH13693" i="14"/>
  <c r="E13693" i="14"/>
  <c r="AH13692" i="14"/>
  <c r="E13692" i="14"/>
  <c r="AH13691" i="14"/>
  <c r="E13691" i="14"/>
  <c r="AH13690" i="14"/>
  <c r="E13690" i="14"/>
  <c r="AH13689" i="14"/>
  <c r="E13689" i="14"/>
  <c r="AH13688" i="14"/>
  <c r="E13688" i="14"/>
  <c r="AH13687" i="14"/>
  <c r="E13687" i="14"/>
  <c r="AH13686" i="14"/>
  <c r="E13686" i="14"/>
  <c r="AH13685" i="14"/>
  <c r="E13685" i="14"/>
  <c r="AH13684" i="14"/>
  <c r="E13684" i="14"/>
  <c r="AH13683" i="14"/>
  <c r="E13683" i="14"/>
  <c r="AH13682" i="14"/>
  <c r="E13682" i="14"/>
  <c r="AH13681" i="14"/>
  <c r="E13681" i="14"/>
  <c r="AH13680" i="14"/>
  <c r="E13680" i="14"/>
  <c r="AH13679" i="14"/>
  <c r="E13679" i="14"/>
  <c r="AH13678" i="14"/>
  <c r="E13678" i="14"/>
  <c r="AH13677" i="14"/>
  <c r="E13677" i="14"/>
  <c r="AH13676" i="14"/>
  <c r="E13676" i="14"/>
  <c r="AH13675" i="14"/>
  <c r="E13675" i="14"/>
  <c r="AH13674" i="14"/>
  <c r="E13674" i="14"/>
  <c r="AH13673" i="14"/>
  <c r="E13673" i="14"/>
  <c r="AH13672" i="14"/>
  <c r="E13672" i="14"/>
  <c r="AH13671" i="14"/>
  <c r="E13671" i="14"/>
  <c r="AH13670" i="14"/>
  <c r="E13670" i="14"/>
  <c r="AH13669" i="14"/>
  <c r="E13669" i="14"/>
  <c r="AH13668" i="14"/>
  <c r="E13668" i="14"/>
  <c r="AH13667" i="14"/>
  <c r="E13667" i="14"/>
  <c r="AH13666" i="14"/>
  <c r="E13666" i="14"/>
  <c r="AH13665" i="14"/>
  <c r="E13665" i="14"/>
  <c r="AH13664" i="14"/>
  <c r="E13664" i="14"/>
  <c r="AH13663" i="14"/>
  <c r="E13663" i="14"/>
  <c r="AH13662" i="14"/>
  <c r="E13662" i="14"/>
  <c r="AH13661" i="14"/>
  <c r="E13661" i="14"/>
  <c r="AH13660" i="14"/>
  <c r="E13660" i="14"/>
  <c r="AH13659" i="14"/>
  <c r="E13659" i="14"/>
  <c r="AH13658" i="14"/>
  <c r="E13658" i="14"/>
  <c r="AH13657" i="14"/>
  <c r="E13657" i="14"/>
  <c r="AH13656" i="14"/>
  <c r="E13656" i="14"/>
  <c r="AH13655" i="14"/>
  <c r="E13655" i="14"/>
  <c r="AH13654" i="14"/>
  <c r="E13654" i="14"/>
  <c r="AH13653" i="14"/>
  <c r="E13653" i="14"/>
  <c r="AH13652" i="14"/>
  <c r="E13652" i="14"/>
  <c r="AH13651" i="14"/>
  <c r="E13651" i="14"/>
  <c r="AH13650" i="14"/>
  <c r="E13650" i="14"/>
  <c r="AH13649" i="14"/>
  <c r="E13649" i="14"/>
  <c r="AH13648" i="14"/>
  <c r="E13648" i="14"/>
  <c r="AH13647" i="14"/>
  <c r="E13647" i="14"/>
  <c r="AH13646" i="14"/>
  <c r="E13646" i="14"/>
  <c r="AH13645" i="14"/>
  <c r="E13645" i="14"/>
  <c r="AH13644" i="14"/>
  <c r="E13644" i="14"/>
  <c r="AH13643" i="14"/>
  <c r="E13643" i="14"/>
  <c r="AH13642" i="14"/>
  <c r="E13642" i="14"/>
  <c r="AH13641" i="14"/>
  <c r="E13641" i="14"/>
  <c r="AH13640" i="14"/>
  <c r="E13640" i="14"/>
  <c r="AH13639" i="14"/>
  <c r="E13639" i="14"/>
  <c r="AH13638" i="14"/>
  <c r="E13638" i="14"/>
  <c r="AH13637" i="14"/>
  <c r="E13637" i="14"/>
  <c r="AH13636" i="14"/>
  <c r="E13636" i="14"/>
  <c r="AH13635" i="14"/>
  <c r="E13635" i="14"/>
  <c r="AH13634" i="14"/>
  <c r="E13634" i="14"/>
  <c r="AH13633" i="14"/>
  <c r="E13633" i="14"/>
  <c r="AH13632" i="14"/>
  <c r="E13632" i="14"/>
  <c r="AH13631" i="14"/>
  <c r="E13631" i="14"/>
  <c r="AH13630" i="14"/>
  <c r="E13630" i="14"/>
  <c r="AH13629" i="14"/>
  <c r="E13629" i="14"/>
  <c r="AH13628" i="14"/>
  <c r="E13628" i="14"/>
  <c r="AH13627" i="14"/>
  <c r="E13627" i="14"/>
  <c r="AH13626" i="14"/>
  <c r="E13626" i="14"/>
  <c r="AH13625" i="14"/>
  <c r="E13625" i="14"/>
  <c r="AH13624" i="14"/>
  <c r="E13624" i="14"/>
  <c r="AH13623" i="14"/>
  <c r="E13623" i="14"/>
  <c r="AH13622" i="14"/>
  <c r="E13622" i="14"/>
  <c r="AH13621" i="14"/>
  <c r="E13621" i="14"/>
  <c r="AH13620" i="14"/>
  <c r="E13620" i="14"/>
  <c r="AH13619" i="14"/>
  <c r="E13619" i="14"/>
  <c r="AH13618" i="14"/>
  <c r="E13618" i="14"/>
  <c r="AH13617" i="14"/>
  <c r="E13617" i="14"/>
  <c r="AH13616" i="14"/>
  <c r="E13616" i="14"/>
  <c r="AH13615" i="14"/>
  <c r="E13615" i="14"/>
  <c r="AH13614" i="14"/>
  <c r="E13614" i="14"/>
  <c r="AH13613" i="14"/>
  <c r="E13613" i="14"/>
  <c r="AH13612" i="14"/>
  <c r="E13612" i="14"/>
  <c r="AH13611" i="14"/>
  <c r="E13611" i="14"/>
  <c r="AH13610" i="14"/>
  <c r="E13610" i="14"/>
  <c r="AH13609" i="14"/>
  <c r="E13609" i="14"/>
  <c r="AH13608" i="14"/>
  <c r="E13608" i="14"/>
  <c r="AH13607" i="14"/>
  <c r="E13607" i="14"/>
  <c r="AH13606" i="14"/>
  <c r="E13606" i="14"/>
  <c r="AH13605" i="14"/>
  <c r="E13605" i="14"/>
  <c r="AH13604" i="14"/>
  <c r="E13604" i="14"/>
  <c r="AH13603" i="14"/>
  <c r="E13603" i="14"/>
  <c r="AH13602" i="14"/>
  <c r="E13602" i="14"/>
  <c r="AH13601" i="14"/>
  <c r="E13601" i="14"/>
  <c r="AH13600" i="14"/>
  <c r="E13600" i="14"/>
  <c r="AH13599" i="14"/>
  <c r="E13599" i="14"/>
  <c r="AH13598" i="14"/>
  <c r="E13598" i="14"/>
  <c r="AH13597" i="14"/>
  <c r="E13597" i="14"/>
  <c r="AH13596" i="14"/>
  <c r="E13596" i="14"/>
  <c r="AH13595" i="14"/>
  <c r="E13595" i="14"/>
  <c r="AH13594" i="14"/>
  <c r="E13594" i="14"/>
  <c r="AH13593" i="14"/>
  <c r="E13593" i="14"/>
  <c r="AH13592" i="14"/>
  <c r="E13592" i="14"/>
  <c r="AH13591" i="14"/>
  <c r="E13591" i="14"/>
  <c r="AH13590" i="14"/>
  <c r="E13590" i="14"/>
  <c r="AH13589" i="14"/>
  <c r="E13589" i="14"/>
  <c r="AH13588" i="14"/>
  <c r="E13588" i="14"/>
  <c r="AH13587" i="14"/>
  <c r="E13587" i="14"/>
  <c r="AH13586" i="14"/>
  <c r="E13586" i="14"/>
  <c r="AH13585" i="14"/>
  <c r="E13585" i="14"/>
  <c r="AH13584" i="14"/>
  <c r="E13584" i="14"/>
  <c r="AH13583" i="14"/>
  <c r="E13583" i="14"/>
  <c r="AH13582" i="14"/>
  <c r="E13582" i="14"/>
  <c r="AH13581" i="14"/>
  <c r="E13581" i="14"/>
  <c r="AH13580" i="14"/>
  <c r="E13580" i="14"/>
  <c r="AH13579" i="14"/>
  <c r="E13579" i="14"/>
  <c r="AH13578" i="14"/>
  <c r="E13578" i="14"/>
  <c r="AH13577" i="14"/>
  <c r="E13577" i="14"/>
  <c r="AH13576" i="14"/>
  <c r="E13576" i="14"/>
  <c r="AH13575" i="14"/>
  <c r="E13575" i="14"/>
  <c r="AH13574" i="14"/>
  <c r="E13574" i="14"/>
  <c r="AH13573" i="14"/>
  <c r="E13573" i="14"/>
  <c r="AH13572" i="14"/>
  <c r="E13572" i="14"/>
  <c r="AH13571" i="14"/>
  <c r="E13571" i="14"/>
  <c r="AH13570" i="14"/>
  <c r="E13570" i="14"/>
  <c r="AH13569" i="14"/>
  <c r="E13569" i="14"/>
  <c r="AH13568" i="14"/>
  <c r="E13568" i="14"/>
  <c r="AH13567" i="14"/>
  <c r="E13567" i="14"/>
  <c r="AH13566" i="14"/>
  <c r="E13566" i="14"/>
  <c r="AH13565" i="14"/>
  <c r="E13565" i="14"/>
  <c r="AH13564" i="14"/>
  <c r="E13564" i="14"/>
  <c r="AH13563" i="14"/>
  <c r="E13563" i="14"/>
  <c r="AH13562" i="14"/>
  <c r="E13562" i="14"/>
  <c r="AH13561" i="14"/>
  <c r="E13561" i="14"/>
  <c r="AH13560" i="14"/>
  <c r="E13560" i="14"/>
  <c r="AH13559" i="14"/>
  <c r="E13559" i="14"/>
  <c r="AH13558" i="14"/>
  <c r="E13558" i="14"/>
  <c r="AH13557" i="14"/>
  <c r="E13557" i="14"/>
  <c r="AH13556" i="14"/>
  <c r="E13556" i="14"/>
  <c r="AH13555" i="14"/>
  <c r="E13555" i="14"/>
  <c r="AH13554" i="14"/>
  <c r="E13554" i="14"/>
  <c r="AH13553" i="14"/>
  <c r="E13553" i="14"/>
  <c r="AH13552" i="14"/>
  <c r="E13552" i="14"/>
  <c r="AH13551" i="14"/>
  <c r="E13551" i="14"/>
  <c r="AH13550" i="14"/>
  <c r="E13550" i="14"/>
  <c r="AH13549" i="14"/>
  <c r="E13549" i="14"/>
  <c r="AH13548" i="14"/>
  <c r="E13548" i="14"/>
  <c r="AH13547" i="14"/>
  <c r="E13547" i="14"/>
  <c r="AH13546" i="14"/>
  <c r="E13546" i="14"/>
  <c r="AH13545" i="14"/>
  <c r="E13545" i="14"/>
  <c r="AH13544" i="14"/>
  <c r="E13544" i="14"/>
  <c r="AH13543" i="14"/>
  <c r="E13543" i="14"/>
  <c r="AH13542" i="14"/>
  <c r="E13542" i="14"/>
  <c r="AH13541" i="14"/>
  <c r="E13541" i="14"/>
  <c r="AH13540" i="14"/>
  <c r="E13540" i="14"/>
  <c r="AH13539" i="14"/>
  <c r="E13539" i="14"/>
  <c r="AH13538" i="14"/>
  <c r="E13538" i="14"/>
  <c r="AH13537" i="14"/>
  <c r="E13537" i="14"/>
  <c r="AH13536" i="14"/>
  <c r="E13536" i="14"/>
  <c r="AH13535" i="14"/>
  <c r="E13535" i="14"/>
  <c r="AH13534" i="14"/>
  <c r="E13534" i="14"/>
  <c r="AH13533" i="14"/>
  <c r="E13533" i="14"/>
  <c r="AH13532" i="14"/>
  <c r="E13532" i="14"/>
  <c r="AH13531" i="14"/>
  <c r="E13531" i="14"/>
  <c r="AH13530" i="14"/>
  <c r="E13530" i="14"/>
  <c r="AH13529" i="14"/>
  <c r="E13529" i="14"/>
  <c r="AH13528" i="14"/>
  <c r="E13528" i="14"/>
  <c r="AH13527" i="14"/>
  <c r="E13527" i="14"/>
  <c r="AH13526" i="14"/>
  <c r="E13526" i="14"/>
  <c r="AH13525" i="14"/>
  <c r="E13525" i="14"/>
  <c r="AH13524" i="14"/>
  <c r="E13524" i="14"/>
  <c r="AH13523" i="14"/>
  <c r="E13523" i="14"/>
  <c r="AH13522" i="14"/>
  <c r="E13522" i="14"/>
  <c r="AH13521" i="14"/>
  <c r="E13521" i="14"/>
  <c r="AH13520" i="14"/>
  <c r="E13520" i="14"/>
  <c r="AH13519" i="14"/>
  <c r="E13519" i="14"/>
  <c r="AH13518" i="14"/>
  <c r="E13518" i="14"/>
  <c r="AH13517" i="14"/>
  <c r="E13517" i="14"/>
  <c r="AH13516" i="14"/>
  <c r="E13516" i="14"/>
  <c r="AH13515" i="14"/>
  <c r="E13515" i="14"/>
  <c r="AH13514" i="14"/>
  <c r="E13514" i="14"/>
  <c r="AH13513" i="14"/>
  <c r="E13513" i="14"/>
  <c r="AH13512" i="14"/>
  <c r="E13512" i="14"/>
  <c r="AH13511" i="14"/>
  <c r="E13511" i="14"/>
  <c r="AH13510" i="14"/>
  <c r="E13510" i="14"/>
  <c r="AH13509" i="14"/>
  <c r="E13509" i="14"/>
  <c r="AH13508" i="14"/>
  <c r="E13508" i="14"/>
  <c r="AH13507" i="14"/>
  <c r="E13507" i="14"/>
  <c r="AH13506" i="14"/>
  <c r="E13506" i="14"/>
  <c r="AH13505" i="14"/>
  <c r="E13505" i="14"/>
  <c r="AH13504" i="14"/>
  <c r="E13504" i="14"/>
  <c r="AH13503" i="14"/>
  <c r="E13503" i="14"/>
  <c r="AH13502" i="14"/>
  <c r="E13502" i="14"/>
  <c r="AH13501" i="14"/>
  <c r="E13501" i="14"/>
  <c r="AH13500" i="14"/>
  <c r="E13500" i="14"/>
  <c r="AH13499" i="14"/>
  <c r="E13499" i="14"/>
  <c r="AH13498" i="14"/>
  <c r="E13498" i="14"/>
  <c r="AH13497" i="14"/>
  <c r="E13497" i="14"/>
  <c r="AH13496" i="14"/>
  <c r="E13496" i="14"/>
  <c r="AH13495" i="14"/>
  <c r="E13495" i="14"/>
  <c r="AH13494" i="14"/>
  <c r="E13494" i="14"/>
  <c r="AH13493" i="14"/>
  <c r="E13493" i="14"/>
  <c r="AH13492" i="14"/>
  <c r="E13492" i="14"/>
  <c r="AH13491" i="14"/>
  <c r="E13491" i="14"/>
  <c r="AH13490" i="14"/>
  <c r="E13490" i="14"/>
  <c r="AH13489" i="14"/>
  <c r="E13489" i="14"/>
  <c r="AH13488" i="14"/>
  <c r="E13488" i="14"/>
  <c r="AH13487" i="14"/>
  <c r="E13487" i="14"/>
  <c r="AH13486" i="14"/>
  <c r="E13486" i="14"/>
  <c r="AH13485" i="14"/>
  <c r="E13485" i="14"/>
  <c r="AH13484" i="14"/>
  <c r="E13484" i="14"/>
  <c r="AH13483" i="14"/>
  <c r="E13483" i="14"/>
  <c r="AH13482" i="14"/>
  <c r="E13482" i="14"/>
  <c r="AH13481" i="14"/>
  <c r="E13481" i="14"/>
  <c r="AH13480" i="14"/>
  <c r="E13480" i="14"/>
  <c r="AH13479" i="14"/>
  <c r="E13479" i="14"/>
  <c r="AH13478" i="14"/>
  <c r="E13478" i="14"/>
  <c r="AH13477" i="14"/>
  <c r="E13477" i="14"/>
  <c r="AH13476" i="14"/>
  <c r="E13476" i="14"/>
  <c r="AH13475" i="14"/>
  <c r="E13475" i="14"/>
  <c r="AH13474" i="14"/>
  <c r="E13474" i="14"/>
  <c r="AH13473" i="14"/>
  <c r="E13473" i="14"/>
  <c r="AH13472" i="14"/>
  <c r="E13472" i="14"/>
  <c r="AH13471" i="14"/>
  <c r="E13471" i="14"/>
  <c r="AH13470" i="14"/>
  <c r="E13470" i="14"/>
  <c r="AH13469" i="14"/>
  <c r="E13469" i="14"/>
  <c r="AH13468" i="14"/>
  <c r="E13468" i="14"/>
  <c r="AH13467" i="14"/>
  <c r="E13467" i="14"/>
  <c r="AH13466" i="14"/>
  <c r="E13466" i="14"/>
  <c r="AH13465" i="14"/>
  <c r="E13465" i="14"/>
  <c r="AH13464" i="14"/>
  <c r="E13464" i="14"/>
  <c r="AH13463" i="14"/>
  <c r="E13463" i="14"/>
  <c r="AH13462" i="14"/>
  <c r="E13462" i="14"/>
  <c r="AH13461" i="14"/>
  <c r="E13461" i="14"/>
  <c r="AH13460" i="14"/>
  <c r="E13460" i="14"/>
  <c r="AH13459" i="14"/>
  <c r="E13459" i="14"/>
  <c r="AH13458" i="14"/>
  <c r="E13458" i="14"/>
  <c r="AH13457" i="14"/>
  <c r="E13457" i="14"/>
  <c r="AH13456" i="14"/>
  <c r="E13456" i="14"/>
  <c r="AH13455" i="14"/>
  <c r="E13455" i="14"/>
  <c r="AH13454" i="14"/>
  <c r="E13454" i="14"/>
  <c r="AH13453" i="14"/>
  <c r="E13453" i="14"/>
  <c r="AH13452" i="14"/>
  <c r="E13452" i="14"/>
  <c r="AH13451" i="14"/>
  <c r="E13451" i="14"/>
  <c r="AH13450" i="14"/>
  <c r="E13450" i="14"/>
  <c r="AH13449" i="14"/>
  <c r="E13449" i="14"/>
  <c r="AH13448" i="14"/>
  <c r="E13448" i="14"/>
  <c r="AH13447" i="14"/>
  <c r="E13447" i="14"/>
  <c r="AH13446" i="14"/>
  <c r="E13446" i="14"/>
  <c r="AH13445" i="14"/>
  <c r="E13445" i="14"/>
  <c r="AH13444" i="14"/>
  <c r="E13444" i="14"/>
  <c r="AH13443" i="14"/>
  <c r="E13443" i="14"/>
  <c r="AH13442" i="14"/>
  <c r="E13442" i="14"/>
  <c r="AH13441" i="14"/>
  <c r="E13441" i="14"/>
  <c r="AH13440" i="14"/>
  <c r="E13440" i="14"/>
  <c r="AH13439" i="14"/>
  <c r="E13439" i="14"/>
  <c r="AH13438" i="14"/>
  <c r="E13438" i="14"/>
  <c r="AH13437" i="14"/>
  <c r="E13437" i="14"/>
  <c r="AH13436" i="14"/>
  <c r="E13436" i="14"/>
  <c r="AH13435" i="14"/>
  <c r="E13435" i="14"/>
  <c r="AH13434" i="14"/>
  <c r="E13434" i="14"/>
  <c r="AH13433" i="14"/>
  <c r="E13433" i="14"/>
  <c r="AH13432" i="14"/>
  <c r="E13432" i="14"/>
  <c r="AH13431" i="14"/>
  <c r="E13431" i="14"/>
  <c r="AH13430" i="14"/>
  <c r="E13430" i="14"/>
  <c r="AH13429" i="14"/>
  <c r="E13429" i="14"/>
  <c r="AH13428" i="14"/>
  <c r="E13428" i="14"/>
  <c r="AH13427" i="14"/>
  <c r="E13427" i="14"/>
  <c r="AH13426" i="14"/>
  <c r="E13426" i="14"/>
  <c r="AH13425" i="14"/>
  <c r="E13425" i="14"/>
  <c r="AH13424" i="14"/>
  <c r="E13424" i="14"/>
  <c r="AH13423" i="14"/>
  <c r="E13423" i="14"/>
  <c r="AH13422" i="14"/>
  <c r="E13422" i="14"/>
  <c r="AH13421" i="14"/>
  <c r="E13421" i="14"/>
  <c r="AH13420" i="14"/>
  <c r="E13420" i="14"/>
  <c r="AH13419" i="14"/>
  <c r="E13419" i="14"/>
  <c r="AH13418" i="14"/>
  <c r="E13418" i="14"/>
  <c r="AH13417" i="14"/>
  <c r="E13417" i="14"/>
  <c r="AH13416" i="14"/>
  <c r="E13416" i="14"/>
  <c r="AH13415" i="14"/>
  <c r="E13415" i="14"/>
  <c r="AH13414" i="14"/>
  <c r="E13414" i="14"/>
  <c r="AH13413" i="14"/>
  <c r="E13413" i="14"/>
  <c r="AH13412" i="14"/>
  <c r="E13412" i="14"/>
  <c r="AH13411" i="14"/>
  <c r="E13411" i="14"/>
  <c r="AH13410" i="14"/>
  <c r="E13410" i="14"/>
  <c r="AH13409" i="14"/>
  <c r="E13409" i="14"/>
  <c r="AH13408" i="14"/>
  <c r="E13408" i="14"/>
  <c r="AH13407" i="14"/>
  <c r="E13407" i="14"/>
  <c r="AH13406" i="14"/>
  <c r="E13406" i="14"/>
  <c r="AH13405" i="14"/>
  <c r="E13405" i="14"/>
  <c r="AH13404" i="14"/>
  <c r="E13404" i="14"/>
  <c r="AH13403" i="14"/>
  <c r="E13403" i="14"/>
  <c r="AH13402" i="14"/>
  <c r="E13402" i="14"/>
  <c r="AH13401" i="14"/>
  <c r="E13401" i="14"/>
  <c r="AH13400" i="14"/>
  <c r="E13400" i="14"/>
  <c r="AH13399" i="14"/>
  <c r="E13399" i="14"/>
  <c r="AH13398" i="14"/>
  <c r="E13398" i="14"/>
  <c r="AH13397" i="14"/>
  <c r="E13397" i="14"/>
  <c r="AH13396" i="14"/>
  <c r="E13396" i="14"/>
  <c r="AH13395" i="14"/>
  <c r="E13395" i="14"/>
  <c r="AH13394" i="14"/>
  <c r="E13394" i="14"/>
  <c r="AH13393" i="14"/>
  <c r="E13393" i="14"/>
  <c r="AH13392" i="14"/>
  <c r="E13392" i="14"/>
  <c r="AH13391" i="14"/>
  <c r="E13391" i="14"/>
  <c r="AH13390" i="14"/>
  <c r="E13390" i="14"/>
  <c r="AH13389" i="14"/>
  <c r="E13389" i="14"/>
  <c r="AH13388" i="14"/>
  <c r="E13388" i="14"/>
  <c r="AH13387" i="14"/>
  <c r="E13387" i="14"/>
  <c r="AH13386" i="14"/>
  <c r="E13386" i="14"/>
  <c r="AH13385" i="14"/>
  <c r="E13385" i="14"/>
  <c r="AH13384" i="14"/>
  <c r="E13384" i="14"/>
  <c r="AH13383" i="14"/>
  <c r="E13383" i="14"/>
  <c r="AH13382" i="14"/>
  <c r="E13382" i="14"/>
  <c r="AH13381" i="14"/>
  <c r="E13381" i="14"/>
  <c r="AH13380" i="14"/>
  <c r="E13380" i="14"/>
  <c r="AH13379" i="14"/>
  <c r="E13379" i="14"/>
  <c r="AH13378" i="14"/>
  <c r="E13378" i="14"/>
  <c r="AH13377" i="14"/>
  <c r="E13377" i="14"/>
  <c r="AH13376" i="14"/>
  <c r="E13376" i="14"/>
  <c r="AH13375" i="14"/>
  <c r="E13375" i="14"/>
  <c r="AH13374" i="14"/>
  <c r="E13374" i="14"/>
  <c r="AH13373" i="14"/>
  <c r="E13373" i="14"/>
  <c r="AH13372" i="14"/>
  <c r="E13372" i="14"/>
  <c r="AH13371" i="14"/>
  <c r="E13371" i="14"/>
  <c r="AH13370" i="14"/>
  <c r="E13370" i="14"/>
  <c r="AH13369" i="14"/>
  <c r="E13369" i="14"/>
  <c r="AH13368" i="14"/>
  <c r="E13368" i="14"/>
  <c r="AH13367" i="14"/>
  <c r="E13367" i="14"/>
  <c r="AH13366" i="14"/>
  <c r="E13366" i="14"/>
  <c r="AH13365" i="14"/>
  <c r="E13365" i="14"/>
  <c r="AH13364" i="14"/>
  <c r="E13364" i="14"/>
  <c r="AH13363" i="14"/>
  <c r="E13363" i="14"/>
  <c r="AH13362" i="14"/>
  <c r="E13362" i="14"/>
  <c r="AH13361" i="14"/>
  <c r="E13361" i="14"/>
  <c r="AH13360" i="14"/>
  <c r="E13360" i="14"/>
  <c r="AH13359" i="14"/>
  <c r="E13359" i="14"/>
  <c r="AH13358" i="14"/>
  <c r="E13358" i="14"/>
  <c r="AH13357" i="14"/>
  <c r="E13357" i="14"/>
  <c r="AH13356" i="14"/>
  <c r="E13356" i="14"/>
  <c r="AH13355" i="14"/>
  <c r="E13355" i="14"/>
  <c r="AH13354" i="14"/>
  <c r="E13354" i="14"/>
  <c r="AH13353" i="14"/>
  <c r="E13353" i="14"/>
  <c r="AH13352" i="14"/>
  <c r="E13352" i="14"/>
  <c r="AH13351" i="14"/>
  <c r="E13351" i="14"/>
  <c r="AH13350" i="14"/>
  <c r="E13350" i="14"/>
  <c r="AH13349" i="14"/>
  <c r="E13349" i="14"/>
  <c r="AH13348" i="14"/>
  <c r="E13348" i="14"/>
  <c r="AH13347" i="14"/>
  <c r="E13347" i="14"/>
  <c r="AH13346" i="14"/>
  <c r="E13346" i="14"/>
  <c r="AH13345" i="14"/>
  <c r="E13345" i="14"/>
  <c r="AH13344" i="14"/>
  <c r="E13344" i="14"/>
  <c r="AH13343" i="14"/>
  <c r="E13343" i="14"/>
  <c r="AH13342" i="14"/>
  <c r="E13342" i="14"/>
  <c r="AH13341" i="14"/>
  <c r="E13341" i="14"/>
  <c r="AH13340" i="14"/>
  <c r="E13340" i="14"/>
  <c r="AH13339" i="14"/>
  <c r="E13339" i="14"/>
  <c r="AH13338" i="14"/>
  <c r="E13338" i="14"/>
  <c r="AH13337" i="14"/>
  <c r="E13337" i="14"/>
  <c r="AH13336" i="14"/>
  <c r="E13336" i="14"/>
  <c r="AH13335" i="14"/>
  <c r="E13335" i="14"/>
  <c r="AH13334" i="14"/>
  <c r="E13334" i="14"/>
  <c r="AH13333" i="14"/>
  <c r="E13333" i="14"/>
  <c r="AH13332" i="14"/>
  <c r="E13332" i="14"/>
  <c r="AH13331" i="14"/>
  <c r="E13331" i="14"/>
  <c r="AH13330" i="14"/>
  <c r="E13330" i="14"/>
  <c r="AH13329" i="14"/>
  <c r="E13329" i="14"/>
  <c r="AH13328" i="14"/>
  <c r="E13328" i="14"/>
  <c r="AH13327" i="14"/>
  <c r="E13327" i="14"/>
  <c r="AH13326" i="14"/>
  <c r="E13326" i="14"/>
  <c r="AH13325" i="14"/>
  <c r="E13325" i="14"/>
  <c r="AH13324" i="14"/>
  <c r="E13324" i="14"/>
  <c r="AH13323" i="14"/>
  <c r="E13323" i="14"/>
  <c r="AH13322" i="14"/>
  <c r="E13322" i="14"/>
  <c r="AH13321" i="14"/>
  <c r="E13321" i="14"/>
  <c r="AH13320" i="14"/>
  <c r="E13320" i="14"/>
  <c r="AH13319" i="14"/>
  <c r="E13319" i="14"/>
  <c r="AH13318" i="14"/>
  <c r="E13318" i="14"/>
  <c r="AH13317" i="14"/>
  <c r="E13317" i="14"/>
  <c r="AH13316" i="14"/>
  <c r="E13316" i="14"/>
  <c r="AH13315" i="14"/>
  <c r="E13315" i="14"/>
  <c r="AH13314" i="14"/>
  <c r="E13314" i="14"/>
  <c r="AH13313" i="14"/>
  <c r="E13313" i="14"/>
  <c r="AH13312" i="14"/>
  <c r="E13312" i="14"/>
  <c r="AH13311" i="14"/>
  <c r="E13311" i="14"/>
  <c r="AH13310" i="14"/>
  <c r="E13310" i="14"/>
  <c r="AH13309" i="14"/>
  <c r="E13309" i="14"/>
  <c r="AH13308" i="14"/>
  <c r="E13308" i="14"/>
  <c r="AH13307" i="14"/>
  <c r="E13307" i="14"/>
  <c r="AH13306" i="14"/>
  <c r="E13306" i="14"/>
  <c r="AH13305" i="14"/>
  <c r="E13305" i="14"/>
  <c r="AH13304" i="14"/>
  <c r="E13304" i="14"/>
  <c r="AH13303" i="14"/>
  <c r="E13303" i="14"/>
  <c r="AH13302" i="14"/>
  <c r="E13302" i="14"/>
  <c r="AH13301" i="14"/>
  <c r="E13301" i="14"/>
  <c r="AH13300" i="14"/>
  <c r="E13300" i="14"/>
  <c r="AH13299" i="14"/>
  <c r="E13299" i="14"/>
  <c r="AH13298" i="14"/>
  <c r="E13298" i="14"/>
  <c r="AH13297" i="14"/>
  <c r="E13297" i="14"/>
  <c r="AH13296" i="14"/>
  <c r="E13296" i="14"/>
  <c r="AH13295" i="14"/>
  <c r="Q13295" i="14"/>
  <c r="E13295" i="14"/>
  <c r="AH13294" i="14"/>
  <c r="Q13294" i="14"/>
  <c r="E13294" i="14"/>
  <c r="AH13293" i="14"/>
  <c r="E13293" i="14"/>
  <c r="AH13292" i="14"/>
  <c r="E13292" i="14"/>
  <c r="AH13291" i="14"/>
  <c r="E13291" i="14"/>
  <c r="AH13290" i="14"/>
  <c r="E13290" i="14"/>
  <c r="AH13289" i="14"/>
  <c r="E13289" i="14"/>
  <c r="AH13288" i="14"/>
  <c r="E13288" i="14"/>
  <c r="AH13287" i="14"/>
  <c r="E13287" i="14"/>
  <c r="AH13286" i="14"/>
  <c r="E13286" i="14"/>
  <c r="AH13285" i="14"/>
  <c r="E13285" i="14"/>
  <c r="AH13284" i="14"/>
  <c r="E13284" i="14"/>
  <c r="AH13283" i="14"/>
  <c r="E13283" i="14"/>
  <c r="AH13282" i="14"/>
  <c r="E13282" i="14"/>
  <c r="AH13281" i="14"/>
  <c r="Q13281" i="14"/>
  <c r="E13281" i="14"/>
  <c r="AH13280" i="14"/>
  <c r="Q13280" i="14"/>
  <c r="E13280" i="14"/>
  <c r="AH13279" i="14"/>
  <c r="Q13279" i="14"/>
  <c r="E13279" i="14"/>
  <c r="AH13278" i="14"/>
  <c r="Q13278" i="14"/>
  <c r="E13278" i="14"/>
  <c r="AH13277" i="14"/>
  <c r="Q13277" i="14"/>
  <c r="E13277" i="14"/>
  <c r="AH13276" i="14"/>
  <c r="E13276" i="14"/>
  <c r="AH13275" i="14"/>
  <c r="Q13275" i="14"/>
  <c r="E13275" i="14"/>
  <c r="AH13274" i="14"/>
  <c r="Q13274" i="14"/>
  <c r="E13274" i="14"/>
  <c r="AH13273" i="14"/>
  <c r="Q13273" i="14"/>
  <c r="E13273" i="14"/>
  <c r="AH13272" i="14"/>
  <c r="Q13272" i="14"/>
  <c r="E13272" i="14"/>
  <c r="AH13271" i="14"/>
  <c r="Q13271" i="14"/>
  <c r="E13271" i="14"/>
  <c r="AH13270" i="14"/>
  <c r="Q13270" i="14"/>
  <c r="E13270" i="14"/>
  <c r="AH13269" i="14"/>
  <c r="Q13269" i="14"/>
  <c r="E13269" i="14"/>
  <c r="AH13268" i="14"/>
  <c r="Q13268" i="14"/>
  <c r="E13268" i="14"/>
  <c r="AH13267" i="14"/>
  <c r="Q13267" i="14"/>
  <c r="E13267" i="14"/>
  <c r="AH13266" i="14"/>
  <c r="Q13266" i="14"/>
  <c r="E13266" i="14"/>
  <c r="AH13265" i="14"/>
  <c r="Q13265" i="14"/>
  <c r="E13265" i="14"/>
  <c r="AH13264" i="14"/>
  <c r="E13264" i="14"/>
  <c r="AH13263" i="14"/>
  <c r="E13263" i="14"/>
  <c r="AH13262" i="14"/>
  <c r="Q13262" i="14"/>
  <c r="E13262" i="14"/>
  <c r="AH13261" i="14"/>
  <c r="Q13261" i="14"/>
  <c r="E13261" i="14"/>
  <c r="AH13260" i="14"/>
  <c r="E13260" i="14"/>
  <c r="AH13259" i="14"/>
  <c r="Q13259" i="14"/>
  <c r="E13259" i="14"/>
  <c r="AH13258" i="14"/>
  <c r="Q13258" i="14"/>
  <c r="E13258" i="14"/>
  <c r="AH13257" i="14"/>
  <c r="Q13257" i="14"/>
  <c r="E13257" i="14"/>
  <c r="AH13256" i="14"/>
  <c r="Q13256" i="14"/>
  <c r="E13256" i="14"/>
  <c r="AH13255" i="14"/>
  <c r="Q13255" i="14"/>
  <c r="E13255" i="14"/>
  <c r="AH13254" i="14"/>
  <c r="Q13254" i="14"/>
  <c r="E13254" i="14"/>
  <c r="AH13253" i="14"/>
  <c r="Q13253" i="14"/>
  <c r="E13253" i="14"/>
  <c r="AH13252" i="14"/>
  <c r="Q13252" i="14"/>
  <c r="E13252" i="14"/>
  <c r="AH13251" i="14"/>
  <c r="Q13251" i="14"/>
  <c r="E13251" i="14"/>
  <c r="AH13250" i="14"/>
  <c r="Q13250" i="14"/>
  <c r="E13250" i="14"/>
  <c r="AH13249" i="14"/>
  <c r="Q13249" i="14"/>
  <c r="E13249" i="14"/>
  <c r="AH13248" i="14"/>
  <c r="Q13248" i="14"/>
  <c r="E13248" i="14"/>
  <c r="AH13247" i="14"/>
  <c r="Q13247" i="14"/>
  <c r="E13247" i="14"/>
  <c r="AH13246" i="14"/>
  <c r="Q13246" i="14"/>
  <c r="E13246" i="14"/>
  <c r="AH13245" i="14"/>
  <c r="Q13245" i="14"/>
  <c r="E13245" i="14"/>
  <c r="AH13244" i="14"/>
  <c r="Q13244" i="14"/>
  <c r="E13244" i="14"/>
  <c r="AH13243" i="14"/>
  <c r="Q13243" i="14"/>
  <c r="E13243" i="14"/>
  <c r="AH13242" i="14"/>
  <c r="Q13242" i="14"/>
  <c r="E13242" i="14"/>
  <c r="AH13241" i="14"/>
  <c r="Q13241" i="14"/>
  <c r="E13241" i="14"/>
  <c r="AH13240" i="14"/>
  <c r="Q13240" i="14"/>
  <c r="E13240" i="14"/>
  <c r="AH13239" i="14"/>
  <c r="Q13239" i="14"/>
  <c r="E13239" i="14"/>
  <c r="AH13238" i="14"/>
  <c r="Q13238" i="14"/>
  <c r="E13238" i="14"/>
  <c r="AH13237" i="14"/>
  <c r="Q13237" i="14"/>
  <c r="E13237" i="14"/>
  <c r="AH13236" i="14"/>
  <c r="Q13236" i="14"/>
  <c r="E13236" i="14"/>
  <c r="AH13235" i="14"/>
  <c r="Q13235" i="14"/>
  <c r="E13235" i="14"/>
  <c r="AH13234" i="14"/>
  <c r="Q13234" i="14"/>
  <c r="E13234" i="14"/>
  <c r="AH13233" i="14"/>
  <c r="Q13233" i="14"/>
  <c r="E13233" i="14"/>
  <c r="AH13232" i="14"/>
  <c r="Q13232" i="14"/>
  <c r="E13232" i="14"/>
  <c r="AH13231" i="14"/>
  <c r="Q13231" i="14"/>
  <c r="E13231" i="14"/>
  <c r="AH13230" i="14"/>
  <c r="Q13230" i="14"/>
  <c r="E13230" i="14"/>
  <c r="AH13229" i="14"/>
  <c r="Q13229" i="14"/>
  <c r="E13229" i="14"/>
  <c r="AH13228" i="14"/>
  <c r="Q13228" i="14"/>
  <c r="E13228" i="14"/>
  <c r="AH13227" i="14"/>
  <c r="Q13227" i="14"/>
  <c r="E13227" i="14"/>
  <c r="AH13226" i="14"/>
  <c r="Q13226" i="14"/>
  <c r="E13226" i="14"/>
  <c r="AH13225" i="14"/>
  <c r="Q13225" i="14"/>
  <c r="E13225" i="14"/>
  <c r="AH13224" i="14"/>
  <c r="Q13224" i="14"/>
  <c r="E13224" i="14"/>
  <c r="AH13223" i="14"/>
  <c r="Q13223" i="14"/>
  <c r="E13223" i="14"/>
  <c r="AH13222" i="14"/>
  <c r="Q13222" i="14"/>
  <c r="E13222" i="14"/>
  <c r="AH13221" i="14"/>
  <c r="Q13221" i="14"/>
  <c r="E13221" i="14"/>
  <c r="AH13220" i="14"/>
  <c r="Q13220" i="14"/>
  <c r="E13220" i="14"/>
  <c r="AH13219" i="14"/>
  <c r="Q13219" i="14"/>
  <c r="E13219" i="14"/>
  <c r="AH13218" i="14"/>
  <c r="Q13218" i="14"/>
  <c r="E13218" i="14"/>
  <c r="AH13217" i="14"/>
  <c r="Q13217" i="14"/>
  <c r="E13217" i="14"/>
  <c r="AH13216" i="14"/>
  <c r="Q13216" i="14"/>
  <c r="E13216" i="14"/>
  <c r="AH13215" i="14"/>
  <c r="Q13215" i="14"/>
  <c r="E13215" i="14"/>
  <c r="AH13214" i="14"/>
  <c r="E13214" i="14"/>
  <c r="AH13213" i="14"/>
  <c r="E13213" i="14"/>
  <c r="AH13212" i="14"/>
  <c r="E13212" i="14"/>
  <c r="AH13211" i="14"/>
  <c r="E13211" i="14"/>
  <c r="AH13210" i="14"/>
  <c r="E13210" i="14"/>
  <c r="AH13209" i="14"/>
  <c r="E13209" i="14"/>
  <c r="AH13208" i="14"/>
  <c r="E13208" i="14"/>
  <c r="AH13207" i="14"/>
  <c r="E13207" i="14"/>
  <c r="AH13206" i="14"/>
  <c r="E13206" i="14"/>
  <c r="AH13205" i="14"/>
  <c r="E13205" i="14"/>
  <c r="AH13204" i="14"/>
  <c r="E13204" i="14"/>
  <c r="AH13203" i="14"/>
  <c r="E13203" i="14"/>
  <c r="AH13202" i="14"/>
  <c r="E13202" i="14"/>
  <c r="AH13201" i="14"/>
  <c r="E13201" i="14"/>
  <c r="AH13200" i="14"/>
  <c r="E13200" i="14"/>
  <c r="AH13199" i="14"/>
  <c r="E13199" i="14"/>
  <c r="AH13198" i="14"/>
  <c r="E13198" i="14"/>
  <c r="AH13197" i="14"/>
  <c r="E13197" i="14"/>
  <c r="AH13196" i="14"/>
  <c r="E13196" i="14"/>
  <c r="AH13195" i="14"/>
  <c r="E13195" i="14"/>
  <c r="AH13194" i="14"/>
  <c r="E13194" i="14"/>
  <c r="AH13193" i="14"/>
  <c r="E13193" i="14"/>
  <c r="AH13192" i="14"/>
  <c r="E13192" i="14"/>
  <c r="AH13191" i="14"/>
  <c r="E13191" i="14"/>
  <c r="AH13190" i="14"/>
  <c r="E13190" i="14"/>
  <c r="AH13189" i="14"/>
  <c r="E13189" i="14"/>
  <c r="AH13188" i="14"/>
  <c r="E13188" i="14"/>
  <c r="AH13187" i="14"/>
  <c r="E13187" i="14"/>
  <c r="AH13186" i="14"/>
  <c r="E13186" i="14"/>
  <c r="AH13185" i="14"/>
  <c r="E13185" i="14"/>
  <c r="AH13184" i="14"/>
  <c r="E13184" i="14"/>
  <c r="AH13183" i="14"/>
  <c r="E13183" i="14"/>
  <c r="AH13182" i="14"/>
  <c r="E13182" i="14"/>
  <c r="AH13181" i="14"/>
  <c r="E13181" i="14"/>
  <c r="AH13180" i="14"/>
  <c r="E13180" i="14"/>
  <c r="AH13179" i="14"/>
  <c r="E13179" i="14"/>
  <c r="AH13178" i="14"/>
  <c r="E13178" i="14"/>
  <c r="AH13177" i="14"/>
  <c r="E13177" i="14"/>
  <c r="AH13176" i="14"/>
  <c r="E13176" i="14"/>
  <c r="AH13175" i="14"/>
  <c r="E13175" i="14"/>
  <c r="AH13174" i="14"/>
  <c r="E13174" i="14"/>
  <c r="AH13173" i="14"/>
  <c r="E13173" i="14"/>
  <c r="AH13172" i="14"/>
  <c r="E13172" i="14"/>
  <c r="AH13171" i="14"/>
  <c r="E13171" i="14"/>
  <c r="AH13170" i="14"/>
  <c r="E13170" i="14"/>
  <c r="AH13169" i="14"/>
  <c r="E13169" i="14"/>
  <c r="AH13168" i="14"/>
  <c r="E13168" i="14"/>
  <c r="AH13167" i="14"/>
  <c r="E13167" i="14"/>
  <c r="AH13166" i="14"/>
  <c r="E13166" i="14"/>
  <c r="AH13165" i="14"/>
  <c r="E13165" i="14"/>
  <c r="AH13164" i="14"/>
  <c r="E13164" i="14"/>
  <c r="AH13163" i="14"/>
  <c r="E13163" i="14"/>
  <c r="AH13162" i="14"/>
  <c r="E13162" i="14"/>
  <c r="AH13161" i="14"/>
  <c r="E13161" i="14"/>
  <c r="AH13160" i="14"/>
  <c r="E13160" i="14"/>
  <c r="AH13159" i="14"/>
  <c r="E13159" i="14"/>
  <c r="AH13158" i="14"/>
  <c r="E13158" i="14"/>
  <c r="AH13157" i="14"/>
  <c r="E13157" i="14"/>
  <c r="AH13156" i="14"/>
  <c r="P13156" i="14"/>
  <c r="E13156" i="14"/>
  <c r="AH13155" i="14"/>
  <c r="E13155" i="14"/>
  <c r="AH13154" i="14"/>
  <c r="E13154" i="14"/>
  <c r="AH13153" i="14"/>
  <c r="E13153" i="14"/>
  <c r="AH13152" i="14"/>
  <c r="E13152" i="14"/>
  <c r="AH13151" i="14"/>
  <c r="E13151" i="14"/>
  <c r="AH13150" i="14"/>
  <c r="P13150" i="14"/>
  <c r="E13150" i="14"/>
  <c r="AH13149" i="14"/>
  <c r="E13149" i="14"/>
  <c r="AH13148" i="14"/>
  <c r="E13148" i="14"/>
  <c r="AH13147" i="14"/>
  <c r="E13147" i="14"/>
  <c r="AH13146" i="14"/>
  <c r="E13146" i="14"/>
  <c r="AH13145" i="14"/>
  <c r="E13145" i="14"/>
  <c r="AH13144" i="14"/>
  <c r="E13144" i="14"/>
  <c r="AH13143" i="14"/>
  <c r="E13143" i="14"/>
  <c r="AH13142" i="14"/>
  <c r="E13142" i="14"/>
  <c r="AH13141" i="14"/>
  <c r="E13141" i="14"/>
  <c r="AH13140" i="14"/>
  <c r="E13140" i="14"/>
  <c r="AH13139" i="14"/>
  <c r="P13139" i="14"/>
  <c r="E13139" i="14"/>
  <c r="AH13138" i="14"/>
  <c r="E13138" i="14"/>
  <c r="AH13137" i="14"/>
  <c r="P13137" i="14"/>
  <c r="E13137" i="14"/>
  <c r="AH13136" i="14"/>
  <c r="P13136" i="14"/>
  <c r="E13136" i="14"/>
  <c r="AH13135" i="14"/>
  <c r="E13135" i="14"/>
  <c r="AH13134" i="14"/>
  <c r="E13134" i="14"/>
  <c r="AH13133" i="14"/>
  <c r="P13133" i="14"/>
  <c r="E13133" i="14"/>
  <c r="AH13132" i="14"/>
  <c r="E13132" i="14"/>
  <c r="AH13131" i="14"/>
  <c r="E13131" i="14"/>
  <c r="AH13130" i="14"/>
  <c r="E13130" i="14"/>
  <c r="AH13129" i="14"/>
  <c r="E13129" i="14"/>
  <c r="AH13128" i="14"/>
  <c r="E13128" i="14"/>
  <c r="AH13127" i="14"/>
  <c r="E13127" i="14"/>
  <c r="AH13126" i="14"/>
  <c r="P13126" i="14"/>
  <c r="E13126" i="14"/>
  <c r="AH13125" i="14"/>
  <c r="E13125" i="14"/>
  <c r="AH13124" i="14"/>
  <c r="E13124" i="14"/>
  <c r="AH13123" i="14"/>
  <c r="E13123" i="14"/>
  <c r="AH13122" i="14"/>
  <c r="AE13122" i="14"/>
  <c r="P13122" i="14"/>
  <c r="O13122" i="14"/>
  <c r="E13122" i="14"/>
  <c r="AH13121" i="14"/>
  <c r="E13121" i="14"/>
  <c r="AH13120" i="14"/>
  <c r="P13120" i="14"/>
  <c r="E13120" i="14"/>
  <c r="AH13119" i="14"/>
  <c r="P13119" i="14"/>
  <c r="E13119" i="14"/>
  <c r="AH13118" i="14"/>
  <c r="E13118" i="14"/>
  <c r="AH13117" i="14"/>
  <c r="E13117" i="14"/>
  <c r="AH13116" i="14"/>
  <c r="E13116" i="14"/>
  <c r="AH13115" i="14"/>
  <c r="E13115" i="14"/>
  <c r="AH13114" i="14"/>
  <c r="E13114" i="14"/>
  <c r="AH13113" i="14"/>
  <c r="E13113" i="14"/>
  <c r="AH13112" i="14"/>
  <c r="E13112" i="14"/>
  <c r="AH13111" i="14"/>
  <c r="P13111" i="14"/>
  <c r="E13111" i="14"/>
  <c r="AH13110" i="14"/>
  <c r="E13110" i="14"/>
  <c r="AH13109" i="14"/>
  <c r="P13109" i="14"/>
  <c r="E13109" i="14"/>
  <c r="AH13108" i="14"/>
  <c r="E13108" i="14"/>
  <c r="AH13107" i="14"/>
  <c r="P13107" i="14"/>
  <c r="E13107" i="14"/>
  <c r="AH13106" i="14"/>
  <c r="P13106" i="14"/>
  <c r="E13106" i="14"/>
  <c r="AH13105" i="14"/>
  <c r="P13105" i="14"/>
  <c r="E13105" i="14"/>
  <c r="AH13104" i="14"/>
  <c r="P13104" i="14"/>
  <c r="E13104" i="14"/>
  <c r="AH13103" i="14"/>
  <c r="P13103" i="14"/>
  <c r="E13103" i="14"/>
  <c r="AH13102" i="14"/>
  <c r="P13102" i="14"/>
  <c r="E13102" i="14"/>
  <c r="AH13101" i="14"/>
  <c r="E13101" i="14"/>
  <c r="AH13100" i="14"/>
  <c r="P13100" i="14"/>
  <c r="E13100" i="14"/>
  <c r="AH13099" i="14"/>
  <c r="P13099" i="14"/>
  <c r="E13099" i="14"/>
  <c r="AH13098" i="14"/>
  <c r="P13098" i="14"/>
  <c r="E13098" i="14"/>
  <c r="AH13097" i="14"/>
  <c r="P13097" i="14"/>
  <c r="O13097" i="14"/>
  <c r="E13097" i="14"/>
  <c r="AH13096" i="14"/>
  <c r="P13096" i="14"/>
  <c r="E13096" i="14"/>
  <c r="AH13095" i="14"/>
  <c r="E13095" i="14"/>
  <c r="AH13094" i="14"/>
  <c r="E13094" i="14"/>
  <c r="AH13093" i="14"/>
  <c r="E13093" i="14"/>
  <c r="AH13092" i="14"/>
  <c r="E13092" i="14"/>
  <c r="AH13091" i="14"/>
  <c r="E13091" i="14"/>
  <c r="AH13090" i="14"/>
  <c r="E13090" i="14"/>
  <c r="AH13089" i="14"/>
  <c r="E13089" i="14"/>
  <c r="AH13088" i="14"/>
  <c r="E13088" i="14"/>
  <c r="AH13087" i="14"/>
  <c r="E13087" i="14"/>
  <c r="AH13086" i="14"/>
  <c r="E13086" i="14"/>
  <c r="AH13085" i="14"/>
  <c r="E13085" i="14"/>
  <c r="AH13084" i="14"/>
  <c r="E13084" i="14"/>
  <c r="AH13083" i="14"/>
  <c r="E13083" i="14"/>
  <c r="AH13082" i="14"/>
  <c r="E13082" i="14"/>
  <c r="AH13081" i="14"/>
  <c r="E13081" i="14"/>
  <c r="AH13080" i="14"/>
  <c r="E13080" i="14"/>
  <c r="AH13079" i="14"/>
  <c r="E13079" i="14"/>
  <c r="AH13078" i="14"/>
  <c r="E13078" i="14"/>
  <c r="AH13077" i="14"/>
  <c r="E13077" i="14"/>
  <c r="AH13076" i="14"/>
  <c r="E13076" i="14"/>
  <c r="AH13075" i="14"/>
  <c r="E13075" i="14"/>
  <c r="AH13074" i="14"/>
  <c r="E13074" i="14"/>
  <c r="AH13073" i="14"/>
  <c r="E13073" i="14"/>
  <c r="AH13072" i="14"/>
  <c r="E13072" i="14"/>
  <c r="AH13071" i="14"/>
  <c r="P13071" i="14"/>
  <c r="O13071" i="14"/>
  <c r="E13071" i="14"/>
  <c r="AH13070" i="14"/>
  <c r="V13070" i="14"/>
  <c r="P13070" i="14"/>
  <c r="E13070" i="14"/>
  <c r="AH13069" i="14"/>
  <c r="E13069" i="14"/>
  <c r="AH13068" i="14"/>
  <c r="E13068" i="14"/>
  <c r="AH13067" i="14"/>
  <c r="E13067" i="14"/>
  <c r="AH13066" i="14"/>
  <c r="E13066" i="14"/>
  <c r="AH13065" i="14"/>
  <c r="E13065" i="14"/>
  <c r="AH13064" i="14"/>
  <c r="E13064" i="14"/>
  <c r="AH13063" i="14"/>
  <c r="P13063" i="14"/>
  <c r="E13063" i="14"/>
  <c r="AH13062" i="14"/>
  <c r="P13062" i="14"/>
  <c r="E13062" i="14"/>
  <c r="AH13061" i="14"/>
  <c r="P13061" i="14"/>
  <c r="E13061" i="14"/>
  <c r="AH13060" i="14"/>
  <c r="P13060" i="14"/>
  <c r="E13060" i="14"/>
  <c r="AH13059" i="14"/>
  <c r="P13059" i="14"/>
  <c r="E13059" i="14"/>
  <c r="AH13058" i="14"/>
  <c r="P13058" i="14"/>
  <c r="E13058" i="14"/>
  <c r="AH13057" i="14"/>
  <c r="P13057" i="14"/>
  <c r="E13057" i="14"/>
  <c r="AH13056" i="14"/>
  <c r="P13056" i="14"/>
  <c r="E13056" i="14"/>
  <c r="AH13055" i="14"/>
  <c r="P13055" i="14"/>
  <c r="E13055" i="14"/>
  <c r="AH13054" i="14"/>
  <c r="P13054" i="14"/>
  <c r="E13054" i="14"/>
  <c r="AH13053" i="14"/>
  <c r="P13053" i="14"/>
  <c r="E13053" i="14"/>
  <c r="AH13052" i="14"/>
  <c r="P13052" i="14"/>
  <c r="E13052" i="14"/>
  <c r="AH13051" i="14"/>
  <c r="P13051" i="14"/>
  <c r="E13051" i="14"/>
  <c r="AH13050" i="14"/>
  <c r="P13050" i="14"/>
  <c r="E13050" i="14"/>
  <c r="AH13049" i="14"/>
  <c r="P13049" i="14"/>
  <c r="E13049" i="14"/>
  <c r="AH13048" i="14"/>
  <c r="P13048" i="14"/>
  <c r="E13048" i="14"/>
  <c r="AH13047" i="14"/>
  <c r="P13047" i="14"/>
  <c r="E13047" i="14"/>
  <c r="AH13046" i="14"/>
  <c r="P13046" i="14"/>
  <c r="E13046" i="14"/>
  <c r="AH13045" i="14"/>
  <c r="P13045" i="14"/>
  <c r="E13045" i="14"/>
  <c r="AH13044" i="14"/>
  <c r="P13044" i="14"/>
  <c r="E13044" i="14"/>
  <c r="AH13043" i="14"/>
  <c r="P13043" i="14"/>
  <c r="E13043" i="14"/>
  <c r="AH13042" i="14"/>
  <c r="P13042" i="14"/>
  <c r="E13042" i="14"/>
  <c r="AH13041" i="14"/>
  <c r="P13041" i="14"/>
  <c r="E13041" i="14"/>
  <c r="AH13040" i="14"/>
  <c r="P13040" i="14"/>
  <c r="E13040" i="14"/>
  <c r="AH13039" i="14"/>
  <c r="P13039" i="14"/>
  <c r="E13039" i="14"/>
  <c r="AH13038" i="14"/>
  <c r="P13038" i="14"/>
  <c r="E13038" i="14"/>
  <c r="AH13037" i="14"/>
  <c r="P13037" i="14"/>
  <c r="O13037" i="14"/>
  <c r="E13037" i="14"/>
  <c r="AH13036" i="14"/>
  <c r="P13036" i="14"/>
  <c r="E13036" i="14"/>
  <c r="AH13035" i="14"/>
  <c r="P13035" i="14"/>
  <c r="E13035" i="14"/>
  <c r="AH13034" i="14"/>
  <c r="P13034" i="14"/>
  <c r="E13034" i="14"/>
  <c r="AH13033" i="14"/>
  <c r="P13033" i="14"/>
  <c r="E13033" i="14"/>
  <c r="AH13032" i="14"/>
  <c r="P13032" i="14"/>
  <c r="E13032" i="14"/>
  <c r="AH13031" i="14"/>
  <c r="P13031" i="14"/>
  <c r="E13031" i="14"/>
  <c r="AH13030" i="14"/>
  <c r="P13030" i="14"/>
  <c r="E13030" i="14"/>
  <c r="AH13029" i="14"/>
  <c r="P13029" i="14"/>
  <c r="E13029" i="14"/>
  <c r="AH13028" i="14"/>
  <c r="P13028" i="14"/>
  <c r="E13028" i="14"/>
  <c r="AH13027" i="14"/>
  <c r="P13027" i="14"/>
  <c r="O13027" i="14"/>
  <c r="E13027" i="14"/>
  <c r="AH13026" i="14"/>
  <c r="P13026" i="14"/>
  <c r="E13026" i="14"/>
  <c r="AH13025" i="14"/>
  <c r="P13025" i="14"/>
  <c r="E13025" i="14"/>
  <c r="AH13024" i="14"/>
  <c r="P13024" i="14"/>
  <c r="E13024" i="14"/>
  <c r="AH13023" i="14"/>
  <c r="P13023" i="14"/>
  <c r="E13023" i="14"/>
  <c r="AH13022" i="14"/>
  <c r="P13022" i="14"/>
  <c r="E13022" i="14"/>
  <c r="AH13021" i="14"/>
  <c r="P13021" i="14"/>
  <c r="O13021" i="14"/>
  <c r="E13021" i="14"/>
  <c r="AH13020" i="14"/>
  <c r="P13020" i="14"/>
  <c r="E13020" i="14"/>
  <c r="AH13019" i="14"/>
  <c r="P13019" i="14"/>
  <c r="E13019" i="14"/>
  <c r="AH13018" i="14"/>
  <c r="E13018" i="14"/>
  <c r="AH13017" i="14"/>
  <c r="P13017" i="14"/>
  <c r="E13017" i="14"/>
  <c r="AH13016" i="14"/>
  <c r="P13016" i="14"/>
  <c r="O13016" i="14"/>
  <c r="E13016" i="14"/>
  <c r="AH13015" i="14"/>
  <c r="P13015" i="14"/>
  <c r="E13015" i="14"/>
  <c r="AH13014" i="14"/>
  <c r="P13014" i="14"/>
  <c r="E13014" i="14"/>
  <c r="AH13013" i="14"/>
  <c r="P13013" i="14"/>
  <c r="E13013" i="14"/>
  <c r="AH13012" i="14"/>
  <c r="P13012" i="14"/>
  <c r="E13012" i="14"/>
  <c r="AH13011" i="14"/>
  <c r="P13011" i="14"/>
  <c r="O13011" i="14"/>
  <c r="E13011" i="14"/>
  <c r="AH13010" i="14"/>
  <c r="P13010" i="14"/>
  <c r="O13010" i="14"/>
  <c r="E13010" i="14"/>
  <c r="AH13009" i="14"/>
  <c r="P13009" i="14"/>
  <c r="E13009" i="14"/>
  <c r="AH13008" i="14"/>
  <c r="P13008" i="14"/>
  <c r="O13008" i="14"/>
  <c r="E13008" i="14"/>
  <c r="AH13007" i="14"/>
  <c r="P13007" i="14"/>
  <c r="E13007" i="14"/>
  <c r="AH13006" i="14"/>
  <c r="E13006" i="14"/>
  <c r="AH13005" i="14"/>
  <c r="P13005" i="14"/>
  <c r="E13005" i="14"/>
  <c r="AH13004" i="14"/>
  <c r="P13004" i="14"/>
  <c r="O13004" i="14"/>
  <c r="E13004" i="14"/>
  <c r="AH13003" i="14"/>
  <c r="P13003" i="14"/>
  <c r="E13003" i="14"/>
  <c r="AH13002" i="14"/>
  <c r="P13002" i="14"/>
  <c r="E13002" i="14"/>
  <c r="AH13001" i="14"/>
  <c r="P13001" i="14"/>
  <c r="E13001" i="14"/>
  <c r="AH13000" i="14"/>
  <c r="P13000" i="14"/>
  <c r="E13000" i="14"/>
  <c r="AH12999" i="14"/>
  <c r="P12999" i="14"/>
  <c r="E12999" i="14"/>
  <c r="AH12998" i="14"/>
  <c r="P12998" i="14"/>
  <c r="E12998" i="14"/>
  <c r="AH12997" i="14"/>
  <c r="P12997" i="14"/>
  <c r="E12997" i="14"/>
  <c r="AH12996" i="14"/>
  <c r="P12996" i="14"/>
  <c r="E12996" i="14"/>
  <c r="AH12995" i="14"/>
  <c r="P12995" i="14"/>
  <c r="E12995" i="14"/>
  <c r="AH12994" i="14"/>
  <c r="P12994" i="14"/>
  <c r="E12994" i="14"/>
  <c r="AH12993" i="14"/>
  <c r="P12993" i="14"/>
  <c r="E12993" i="14"/>
  <c r="AH12992" i="14"/>
  <c r="E12992" i="14"/>
  <c r="AH12991" i="14"/>
  <c r="P12991" i="14"/>
  <c r="E12991" i="14"/>
  <c r="AH12990" i="14"/>
  <c r="P12990" i="14"/>
  <c r="E12990" i="14"/>
  <c r="AH12989" i="14"/>
  <c r="P12989" i="14"/>
  <c r="O12989" i="14"/>
  <c r="E12989" i="14"/>
  <c r="AH12988" i="14"/>
  <c r="P12988" i="14"/>
  <c r="E12988" i="14"/>
  <c r="AH12987" i="14"/>
  <c r="P12987" i="14"/>
  <c r="O12987" i="14"/>
  <c r="E12987" i="14"/>
  <c r="AH12986" i="14"/>
  <c r="P12986" i="14"/>
  <c r="E12986" i="14"/>
  <c r="AH12985" i="14"/>
  <c r="E12985" i="14"/>
  <c r="AH12984" i="14"/>
  <c r="P12984" i="14"/>
  <c r="E12984" i="14"/>
  <c r="AH12983" i="14"/>
  <c r="P12983" i="14"/>
  <c r="E12983" i="14"/>
  <c r="AH12982" i="14"/>
  <c r="P12982" i="14"/>
  <c r="E12982" i="14"/>
  <c r="AH12981" i="14"/>
  <c r="P12981" i="14"/>
  <c r="E12981" i="14"/>
  <c r="AH12980" i="14"/>
  <c r="P12980" i="14"/>
  <c r="E12980" i="14"/>
  <c r="AH12979" i="14"/>
  <c r="E12979" i="14"/>
  <c r="AH12978" i="14"/>
  <c r="P12978" i="14"/>
  <c r="E12978" i="14"/>
  <c r="AH12977" i="14"/>
  <c r="P12977" i="14"/>
  <c r="E12977" i="14"/>
  <c r="AH12976" i="14"/>
  <c r="P12976" i="14"/>
  <c r="E12976" i="14"/>
  <c r="AH12975" i="14"/>
  <c r="P12975" i="14"/>
  <c r="E12975" i="14"/>
  <c r="AH12974" i="14"/>
  <c r="P12974" i="14"/>
  <c r="E12974" i="14"/>
  <c r="AH12973" i="14"/>
  <c r="P12973" i="14"/>
  <c r="E12973" i="14"/>
  <c r="AH12972" i="14"/>
  <c r="P12972" i="14"/>
  <c r="E12972" i="14"/>
  <c r="AH12971" i="14"/>
  <c r="P12971" i="14"/>
  <c r="E12971" i="14"/>
  <c r="AH12970" i="14"/>
  <c r="P12970" i="14"/>
  <c r="E12970" i="14"/>
  <c r="AH12969" i="14"/>
  <c r="P12969" i="14"/>
  <c r="E12969" i="14"/>
  <c r="AH12968" i="14"/>
  <c r="P12968" i="14"/>
  <c r="O12968" i="14"/>
  <c r="E12968" i="14"/>
  <c r="AH12967" i="14"/>
  <c r="P12967" i="14"/>
  <c r="E12967" i="14"/>
  <c r="AH12966" i="14"/>
  <c r="P12966" i="14"/>
  <c r="E12966" i="14"/>
  <c r="AH12965" i="14"/>
  <c r="P12965" i="14"/>
  <c r="E12965" i="14"/>
  <c r="AH12964" i="14"/>
  <c r="P12964" i="14"/>
  <c r="E12964" i="14"/>
  <c r="AH12963" i="14"/>
  <c r="P12963" i="14"/>
  <c r="E12963" i="14"/>
  <c r="AH12962" i="14"/>
  <c r="P12962" i="14"/>
  <c r="E12962" i="14"/>
  <c r="AH12961" i="14"/>
  <c r="P12961" i="14"/>
  <c r="E12961" i="14"/>
  <c r="AH12960" i="14"/>
  <c r="P12960" i="14"/>
  <c r="E12960" i="14"/>
  <c r="AH12959" i="14"/>
  <c r="P12959" i="14"/>
  <c r="E12959" i="14"/>
  <c r="AH12958" i="14"/>
  <c r="P12958" i="14"/>
  <c r="E12958" i="14"/>
  <c r="AH12957" i="14"/>
  <c r="P12957" i="14"/>
  <c r="E12957" i="14"/>
  <c r="AH12956" i="14"/>
  <c r="P12956" i="14"/>
  <c r="E12956" i="14"/>
  <c r="AH12955" i="14"/>
  <c r="P12955" i="14"/>
  <c r="E12955" i="14"/>
  <c r="AH12954" i="14"/>
  <c r="P12954" i="14"/>
  <c r="E12954" i="14"/>
  <c r="AH12953" i="14"/>
  <c r="P12953" i="14"/>
  <c r="E12953" i="14"/>
  <c r="AH12952" i="14"/>
  <c r="P12952" i="14"/>
  <c r="E12952" i="14"/>
  <c r="AH12951" i="14"/>
  <c r="P12951" i="14"/>
  <c r="E12951" i="14"/>
  <c r="AH12950" i="14"/>
  <c r="P12950" i="14"/>
  <c r="E12950" i="14"/>
  <c r="AH12949" i="14"/>
  <c r="E12949" i="14"/>
  <c r="AH12948" i="14"/>
  <c r="P12948" i="14"/>
  <c r="E12948" i="14"/>
  <c r="AH12947" i="14"/>
  <c r="P12947" i="14"/>
  <c r="E12947" i="14"/>
  <c r="AH12946" i="14"/>
  <c r="P12946" i="14"/>
  <c r="E12946" i="14"/>
  <c r="AH12945" i="14"/>
  <c r="P12945" i="14"/>
  <c r="E12945" i="14"/>
  <c r="AH12944" i="14"/>
  <c r="P12944" i="14"/>
  <c r="E12944" i="14"/>
  <c r="AH12943" i="14"/>
  <c r="P12943" i="14"/>
  <c r="E12943" i="14"/>
  <c r="AH12942" i="14"/>
  <c r="P12942" i="14"/>
  <c r="E12942" i="14"/>
  <c r="AH12941" i="14"/>
  <c r="P12941" i="14"/>
  <c r="E12941" i="14"/>
  <c r="AH12940" i="14"/>
  <c r="P12940" i="14"/>
  <c r="E12940" i="14"/>
  <c r="AH12939" i="14"/>
  <c r="P12939" i="14"/>
  <c r="E12939" i="14"/>
  <c r="AH12938" i="14"/>
  <c r="P12938" i="14"/>
  <c r="E12938" i="14"/>
  <c r="AH12937" i="14"/>
  <c r="P12937" i="14"/>
  <c r="E12937" i="14"/>
  <c r="AH12936" i="14"/>
  <c r="P12936" i="14"/>
  <c r="E12936" i="14"/>
  <c r="AH12935" i="14"/>
  <c r="P12935" i="14"/>
  <c r="E12935" i="14"/>
  <c r="AH12934" i="14"/>
  <c r="P12934" i="14"/>
  <c r="E12934" i="14"/>
  <c r="AH12933" i="14"/>
  <c r="P12933" i="14"/>
  <c r="E12933" i="14"/>
  <c r="AH12932" i="14"/>
  <c r="P12932" i="14"/>
  <c r="E12932" i="14"/>
  <c r="AH12931" i="14"/>
  <c r="P12931" i="14"/>
  <c r="E12931" i="14"/>
  <c r="AH12930" i="14"/>
  <c r="E12930" i="14"/>
  <c r="AH12929" i="14"/>
  <c r="P12929" i="14"/>
  <c r="O12929" i="14"/>
  <c r="E12929" i="14"/>
  <c r="AH12928" i="14"/>
  <c r="P12928" i="14"/>
  <c r="E12928" i="14"/>
  <c r="AH12927" i="14"/>
  <c r="P12927" i="14"/>
  <c r="E12927" i="14"/>
  <c r="AH12926" i="14"/>
  <c r="E12926" i="14"/>
  <c r="AH12925" i="14"/>
  <c r="P12925" i="14"/>
  <c r="O12925" i="14"/>
  <c r="E12925" i="14"/>
  <c r="AH12924" i="14"/>
  <c r="P12924" i="14"/>
  <c r="E12924" i="14"/>
  <c r="AH12923" i="14"/>
  <c r="P12923" i="14"/>
  <c r="O12923" i="14"/>
  <c r="E12923" i="14"/>
  <c r="AH12922" i="14"/>
  <c r="P12922" i="14"/>
  <c r="E12922" i="14"/>
  <c r="AH12921" i="14"/>
  <c r="E12921" i="14"/>
  <c r="AH12920" i="14"/>
  <c r="P12920" i="14"/>
  <c r="E12920" i="14"/>
  <c r="AH12919" i="14"/>
  <c r="P12919" i="14"/>
  <c r="E12919" i="14"/>
  <c r="AH12918" i="14"/>
  <c r="P12918" i="14"/>
  <c r="E12918" i="14"/>
  <c r="AH12917" i="14"/>
  <c r="P12917" i="14"/>
  <c r="E12917" i="14"/>
  <c r="AH12916" i="14"/>
  <c r="P12916" i="14"/>
  <c r="E12916" i="14"/>
  <c r="AH12915" i="14"/>
  <c r="P12915" i="14"/>
  <c r="O12915" i="14"/>
  <c r="E12915" i="14"/>
  <c r="AH12914" i="14"/>
  <c r="E12914" i="14"/>
  <c r="AH12913" i="14"/>
  <c r="P12913" i="14"/>
  <c r="E12913" i="14"/>
  <c r="AH12912" i="14"/>
  <c r="P12912" i="14"/>
  <c r="E12912" i="14"/>
  <c r="AH12911" i="14"/>
  <c r="P12911" i="14"/>
  <c r="E12911" i="14"/>
  <c r="AH12910" i="14"/>
  <c r="P12910" i="14"/>
  <c r="E12910" i="14"/>
  <c r="AH12909" i="14"/>
  <c r="E12909" i="14"/>
  <c r="AH12908" i="14"/>
  <c r="P12908" i="14"/>
  <c r="E12908" i="14"/>
  <c r="AH12907" i="14"/>
  <c r="P12907" i="14"/>
  <c r="O12907" i="14"/>
  <c r="E12907" i="14"/>
  <c r="AH12906" i="14"/>
  <c r="P12906" i="14"/>
  <c r="E12906" i="14"/>
  <c r="AH12905" i="14"/>
  <c r="E12905" i="14"/>
  <c r="AH12904" i="14"/>
  <c r="P12904" i="14"/>
  <c r="E12904" i="14"/>
  <c r="AH12903" i="14"/>
  <c r="P12903" i="14"/>
  <c r="E12903" i="14"/>
  <c r="AH12902" i="14"/>
  <c r="E12902" i="14"/>
  <c r="AH12901" i="14"/>
  <c r="P12901" i="14"/>
  <c r="E12901" i="14"/>
  <c r="AH12900" i="14"/>
  <c r="P12900" i="14"/>
  <c r="E12900" i="14"/>
  <c r="AH12899" i="14"/>
  <c r="P12899" i="14"/>
  <c r="E12899" i="14"/>
  <c r="AH12898" i="14"/>
  <c r="P12898" i="14"/>
  <c r="E12898" i="14"/>
  <c r="AH12897" i="14"/>
  <c r="P12897" i="14"/>
  <c r="E12897" i="14"/>
  <c r="AH12896" i="14"/>
  <c r="E12896" i="14"/>
  <c r="AH12895" i="14"/>
  <c r="P12895" i="14"/>
  <c r="E12895" i="14"/>
  <c r="AH12894" i="14"/>
  <c r="P12894" i="14"/>
  <c r="E12894" i="14"/>
  <c r="AH12893" i="14"/>
  <c r="P12893" i="14"/>
  <c r="E12893" i="14"/>
  <c r="AH12892" i="14"/>
  <c r="P12892" i="14"/>
  <c r="E12892" i="14"/>
  <c r="AH12891" i="14"/>
  <c r="P12891" i="14"/>
  <c r="E12891" i="14"/>
  <c r="AH12890" i="14"/>
  <c r="P12890" i="14"/>
  <c r="E12890" i="14"/>
  <c r="AH12889" i="14"/>
  <c r="P12889" i="14"/>
  <c r="E12889" i="14"/>
  <c r="AH12888" i="14"/>
  <c r="P12888" i="14"/>
  <c r="E12888" i="14"/>
  <c r="AH12887" i="14"/>
  <c r="E12887" i="14"/>
  <c r="AH12886" i="14"/>
  <c r="P12886" i="14"/>
  <c r="E12886" i="14"/>
  <c r="AH12885" i="14"/>
  <c r="P12885" i="14"/>
  <c r="E12885" i="14"/>
  <c r="AH12884" i="14"/>
  <c r="P12884" i="14"/>
  <c r="E12884" i="14"/>
  <c r="AH12883" i="14"/>
  <c r="P12883" i="14"/>
  <c r="E12883" i="14"/>
  <c r="AH12882" i="14"/>
  <c r="P12882" i="14"/>
  <c r="E12882" i="14"/>
  <c r="AH12881" i="14"/>
  <c r="P12881" i="14"/>
  <c r="E12881" i="14"/>
  <c r="AH12880" i="14"/>
  <c r="P12880" i="14"/>
  <c r="E12880" i="14"/>
  <c r="AH12879" i="14"/>
  <c r="P12879" i="14"/>
  <c r="E12879" i="14"/>
  <c r="AH12878" i="14"/>
  <c r="P12878" i="14"/>
  <c r="E12878" i="14"/>
  <c r="AH12877" i="14"/>
  <c r="P12877" i="14"/>
  <c r="O12877" i="14"/>
  <c r="E12877" i="14"/>
  <c r="AH12876" i="14"/>
  <c r="P12876" i="14"/>
  <c r="E12876" i="14"/>
  <c r="AH12875" i="14"/>
  <c r="P12875" i="14"/>
  <c r="E12875" i="14"/>
  <c r="AH12874" i="14"/>
  <c r="P12874" i="14"/>
  <c r="E12874" i="14"/>
  <c r="AH12873" i="14"/>
  <c r="P12873" i="14"/>
  <c r="O12873" i="14"/>
  <c r="E12873" i="14"/>
  <c r="AH12872" i="14"/>
  <c r="P12872" i="14"/>
  <c r="E12872" i="14"/>
  <c r="AH12871" i="14"/>
  <c r="P12871" i="14"/>
  <c r="E12871" i="14"/>
  <c r="AH12870" i="14"/>
  <c r="P12870" i="14"/>
  <c r="O12870" i="14"/>
  <c r="E12870" i="14"/>
  <c r="AH12869" i="14"/>
  <c r="P12869" i="14"/>
  <c r="E12869" i="14"/>
  <c r="AH12868" i="14"/>
  <c r="P12868" i="14"/>
  <c r="O12868" i="14"/>
  <c r="E12868" i="14"/>
  <c r="AH12867" i="14"/>
  <c r="P12867" i="14"/>
  <c r="O12867" i="14"/>
  <c r="E12867" i="14"/>
  <c r="AH12866" i="14"/>
  <c r="P12866" i="14"/>
  <c r="E12866" i="14"/>
  <c r="AH12865" i="14"/>
  <c r="P12865" i="14"/>
  <c r="E12865" i="14"/>
  <c r="AH12864" i="14"/>
  <c r="P12864" i="14"/>
  <c r="O12864" i="14"/>
  <c r="E12864" i="14"/>
  <c r="AH12863" i="14"/>
  <c r="P12863" i="14"/>
  <c r="E12863" i="14"/>
  <c r="AH12862" i="14"/>
  <c r="P12862" i="14"/>
  <c r="E12862" i="14"/>
  <c r="AH12861" i="14"/>
  <c r="P12861" i="14"/>
  <c r="E12861" i="14"/>
  <c r="AH12860" i="14"/>
  <c r="P12860" i="14"/>
  <c r="E12860" i="14"/>
  <c r="AH12859" i="14"/>
  <c r="P12859" i="14"/>
  <c r="E12859" i="14"/>
  <c r="AH12858" i="14"/>
  <c r="P12858" i="14"/>
  <c r="E12858" i="14"/>
  <c r="AH12857" i="14"/>
  <c r="P12857" i="14"/>
  <c r="E12857" i="14"/>
  <c r="AH12856" i="14"/>
  <c r="P12856" i="14"/>
  <c r="E12856" i="14"/>
  <c r="AH12855" i="14"/>
  <c r="P12855" i="14"/>
  <c r="E12855" i="14"/>
  <c r="AH12854" i="14"/>
  <c r="P12854" i="14"/>
  <c r="E12854" i="14"/>
  <c r="AH12853" i="14"/>
  <c r="P12853" i="14"/>
  <c r="E12853" i="14"/>
  <c r="AH12852" i="14"/>
  <c r="P12852" i="14"/>
  <c r="E12852" i="14"/>
  <c r="AH12851" i="14"/>
  <c r="P12851" i="14"/>
  <c r="E12851" i="14"/>
  <c r="AH12850" i="14"/>
  <c r="P12850" i="14"/>
  <c r="E12850" i="14"/>
  <c r="AH12849" i="14"/>
  <c r="P12849" i="14"/>
  <c r="E12849" i="14"/>
  <c r="AH12848" i="14"/>
  <c r="P12848" i="14"/>
  <c r="E12848" i="14"/>
  <c r="AH12847" i="14"/>
  <c r="P12847" i="14"/>
  <c r="E12847" i="14"/>
  <c r="AH12846" i="14"/>
  <c r="P12846" i="14"/>
  <c r="E12846" i="14"/>
  <c r="AH12845" i="14"/>
  <c r="P12845" i="14"/>
  <c r="E12845" i="14"/>
  <c r="AH12844" i="14"/>
  <c r="P12844" i="14"/>
  <c r="E12844" i="14"/>
  <c r="AH12843" i="14"/>
  <c r="P12843" i="14"/>
  <c r="E12843" i="14"/>
  <c r="AH12842" i="14"/>
  <c r="P12842" i="14"/>
  <c r="E12842" i="14"/>
  <c r="AH12841" i="14"/>
  <c r="P12841" i="14"/>
  <c r="E12841" i="14"/>
  <c r="AH12840" i="14"/>
  <c r="P12840" i="14"/>
  <c r="E12840" i="14"/>
  <c r="AH12839" i="14"/>
  <c r="P12839" i="14"/>
  <c r="E12839" i="14"/>
  <c r="AH12838" i="14"/>
  <c r="P12838" i="14"/>
  <c r="E12838" i="14"/>
  <c r="AH12837" i="14"/>
  <c r="P12837" i="14"/>
  <c r="E12837" i="14"/>
  <c r="AH12836" i="14"/>
  <c r="P12836" i="14"/>
  <c r="E12836" i="14"/>
  <c r="AH12835" i="14"/>
  <c r="P12835" i="14"/>
  <c r="E12835" i="14"/>
  <c r="AH12834" i="14"/>
  <c r="P12834" i="14"/>
  <c r="E12834" i="14"/>
  <c r="AH12833" i="14"/>
  <c r="P12833" i="14"/>
  <c r="E12833" i="14"/>
  <c r="AH12832" i="14"/>
  <c r="P12832" i="14"/>
  <c r="E12832" i="14"/>
  <c r="AH12831" i="14"/>
  <c r="P12831" i="14"/>
  <c r="E12831" i="14"/>
  <c r="AH12830" i="14"/>
  <c r="P12830" i="14"/>
  <c r="O12830" i="14"/>
  <c r="E12830" i="14"/>
  <c r="AH12829" i="14"/>
  <c r="P12829" i="14"/>
  <c r="E12829" i="14"/>
  <c r="AH12828" i="14"/>
  <c r="P12828" i="14"/>
  <c r="E12828" i="14"/>
  <c r="AH12827" i="14"/>
  <c r="P12827" i="14"/>
  <c r="E12827" i="14"/>
  <c r="AH12826" i="14"/>
  <c r="P12826" i="14"/>
  <c r="E12826" i="14"/>
  <c r="AH12825" i="14"/>
  <c r="P12825" i="14"/>
  <c r="E12825" i="14"/>
  <c r="AH12824" i="14"/>
  <c r="P12824" i="14"/>
  <c r="E12824" i="14"/>
  <c r="AH12823" i="14"/>
  <c r="P12823" i="14"/>
  <c r="E12823" i="14"/>
  <c r="AH12822" i="14"/>
  <c r="P12822" i="14"/>
  <c r="E12822" i="14"/>
  <c r="AH12821" i="14"/>
  <c r="P12821" i="14"/>
  <c r="E12821" i="14"/>
  <c r="AH12820" i="14"/>
  <c r="P12820" i="14"/>
  <c r="E12820" i="14"/>
  <c r="AH12819" i="14"/>
  <c r="P12819" i="14"/>
  <c r="E12819" i="14"/>
  <c r="AH12818" i="14"/>
  <c r="P12818" i="14"/>
  <c r="E12818" i="14"/>
  <c r="AH12817" i="14"/>
  <c r="P12817" i="14"/>
  <c r="E12817" i="14"/>
  <c r="AH12816" i="14"/>
  <c r="P12816" i="14"/>
  <c r="E12816" i="14"/>
  <c r="AH12815" i="14"/>
  <c r="P12815" i="14"/>
  <c r="E12815" i="14"/>
  <c r="AH12814" i="14"/>
  <c r="P12814" i="14"/>
  <c r="E12814" i="14"/>
  <c r="AH12813" i="14"/>
  <c r="P12813" i="14"/>
  <c r="E12813" i="14"/>
  <c r="AH12812" i="14"/>
  <c r="P12812" i="14"/>
  <c r="E12812" i="14"/>
  <c r="AH12811" i="14"/>
  <c r="P12811" i="14"/>
  <c r="E12811" i="14"/>
  <c r="AH12810" i="14"/>
  <c r="P12810" i="14"/>
  <c r="E12810" i="14"/>
  <c r="AH12809" i="14"/>
  <c r="P12809" i="14"/>
  <c r="O12809" i="14"/>
  <c r="E12809" i="14"/>
  <c r="AH12808" i="14"/>
  <c r="P12808" i="14"/>
  <c r="E12808" i="14"/>
  <c r="AH12807" i="14"/>
  <c r="P12807" i="14"/>
  <c r="E12807" i="14"/>
  <c r="AH12806" i="14"/>
  <c r="P12806" i="14"/>
  <c r="E12806" i="14"/>
  <c r="AH12805" i="14"/>
  <c r="P12805" i="14"/>
  <c r="E12805" i="14"/>
  <c r="AH12804" i="14"/>
  <c r="P12804" i="14"/>
  <c r="E12804" i="14"/>
  <c r="AH12803" i="14"/>
  <c r="P12803" i="14"/>
  <c r="E12803" i="14"/>
  <c r="AH12802" i="14"/>
  <c r="P12802" i="14"/>
  <c r="E12802" i="14"/>
  <c r="AH12801" i="14"/>
  <c r="P12801" i="14"/>
  <c r="E12801" i="14"/>
  <c r="AH12800" i="14"/>
  <c r="P12800" i="14"/>
  <c r="E12800" i="14"/>
  <c r="AH12799" i="14"/>
  <c r="P12799" i="14"/>
  <c r="E12799" i="14"/>
  <c r="AH12798" i="14"/>
  <c r="P12798" i="14"/>
  <c r="E12798" i="14"/>
  <c r="AH12797" i="14"/>
  <c r="P12797" i="14"/>
  <c r="E12797" i="14"/>
  <c r="AH12796" i="14"/>
  <c r="P12796" i="14"/>
  <c r="E12796" i="14"/>
  <c r="AH12795" i="14"/>
  <c r="P12795" i="14"/>
  <c r="E12795" i="14"/>
  <c r="AH12794" i="14"/>
  <c r="P12794" i="14"/>
  <c r="E12794" i="14"/>
  <c r="AH12793" i="14"/>
  <c r="P12793" i="14"/>
  <c r="E12793" i="14"/>
  <c r="AH12792" i="14"/>
  <c r="E12792" i="14"/>
  <c r="AH12791" i="14"/>
  <c r="P12791" i="14"/>
  <c r="O12791" i="14"/>
  <c r="E12791" i="14"/>
  <c r="AH12790" i="14"/>
  <c r="P12790" i="14"/>
  <c r="E12790" i="14"/>
  <c r="AH12789" i="14"/>
  <c r="P12789" i="14"/>
  <c r="E12789" i="14"/>
  <c r="AH12788" i="14"/>
  <c r="P12788" i="14"/>
  <c r="E12788" i="14"/>
  <c r="AH12787" i="14"/>
  <c r="P12787" i="14"/>
  <c r="E12787" i="14"/>
  <c r="AH12786" i="14"/>
  <c r="E12786" i="14"/>
  <c r="AH12785" i="14"/>
  <c r="P12785" i="14"/>
  <c r="E12785" i="14"/>
  <c r="AH12784" i="14"/>
  <c r="P12784" i="14"/>
  <c r="E12784" i="14"/>
  <c r="AH12783" i="14"/>
  <c r="P12783" i="14"/>
  <c r="E12783" i="14"/>
  <c r="AH12782" i="14"/>
  <c r="P12782" i="14"/>
  <c r="E12782" i="14"/>
  <c r="AH12781" i="14"/>
  <c r="P12781" i="14"/>
  <c r="E12781" i="14"/>
  <c r="AH12780" i="14"/>
  <c r="P12780" i="14"/>
  <c r="E12780" i="14"/>
  <c r="AH12779" i="14"/>
  <c r="E12779" i="14"/>
  <c r="AH12778" i="14"/>
  <c r="E12778" i="14"/>
  <c r="AH12777" i="14"/>
  <c r="E12777" i="14"/>
  <c r="AH12776" i="14"/>
  <c r="E12776" i="14"/>
  <c r="AH12775" i="14"/>
  <c r="E12775" i="14"/>
  <c r="AH12774" i="14"/>
  <c r="E12774" i="14"/>
  <c r="AH12773" i="14"/>
  <c r="E12773" i="14"/>
  <c r="AH12772" i="14"/>
  <c r="E12772" i="14"/>
  <c r="AH12771" i="14"/>
  <c r="E12771" i="14"/>
  <c r="AH12770" i="14"/>
  <c r="E12770" i="14"/>
  <c r="AH12769" i="14"/>
  <c r="E12769" i="14"/>
  <c r="AH12768" i="14"/>
  <c r="E12768" i="14"/>
  <c r="AH12767" i="14"/>
  <c r="E12767" i="14"/>
  <c r="AH12766" i="14"/>
  <c r="E12766" i="14"/>
  <c r="AH12765" i="14"/>
  <c r="E12765" i="14"/>
  <c r="AH12764" i="14"/>
  <c r="E12764" i="14"/>
  <c r="AH12763" i="14"/>
  <c r="E12763" i="14"/>
  <c r="AH12762" i="14"/>
  <c r="E12762" i="14"/>
  <c r="AH12761" i="14"/>
  <c r="E12761" i="14"/>
  <c r="AH12760" i="14"/>
  <c r="E12760" i="14"/>
  <c r="AH12759" i="14"/>
  <c r="E12759" i="14"/>
  <c r="AH12758" i="14"/>
  <c r="E12758" i="14"/>
  <c r="AH12757" i="14"/>
  <c r="E12757" i="14"/>
  <c r="AH12756" i="14"/>
  <c r="E12756" i="14"/>
  <c r="AH12755" i="14"/>
  <c r="E12755" i="14"/>
  <c r="AH12754" i="14"/>
  <c r="E12754" i="14"/>
  <c r="AH12753" i="14"/>
  <c r="E12753" i="14"/>
  <c r="AH12752" i="14"/>
  <c r="E12752" i="14"/>
  <c r="AH12751" i="14"/>
  <c r="E12751" i="14"/>
  <c r="AH12750" i="14"/>
  <c r="E12750" i="14"/>
  <c r="AH12749" i="14"/>
  <c r="E12749" i="14"/>
  <c r="AH12748" i="14"/>
  <c r="E12748" i="14"/>
  <c r="AH12747" i="14"/>
  <c r="E12747" i="14"/>
  <c r="AH12746" i="14"/>
  <c r="E12746" i="14"/>
  <c r="AH12745" i="14"/>
  <c r="E12745" i="14"/>
  <c r="AH12744" i="14"/>
  <c r="E12744" i="14"/>
  <c r="AH12743" i="14"/>
  <c r="E12743" i="14"/>
  <c r="AH12742" i="14"/>
  <c r="E12742" i="14"/>
  <c r="AH12741" i="14"/>
  <c r="E12741" i="14"/>
  <c r="AH12740" i="14"/>
  <c r="E12740" i="14"/>
  <c r="AH12739" i="14"/>
  <c r="E12739" i="14"/>
  <c r="AH12738" i="14"/>
  <c r="E12738" i="14"/>
  <c r="AH12737" i="14"/>
  <c r="P12737" i="14"/>
  <c r="E12737" i="14"/>
  <c r="AH12736" i="14"/>
  <c r="P12736" i="14"/>
  <c r="E12736" i="14"/>
  <c r="AH12735" i="14"/>
  <c r="P12735" i="14"/>
  <c r="E12735" i="14"/>
  <c r="AH12734" i="14"/>
  <c r="P12734" i="14"/>
  <c r="E12734" i="14"/>
  <c r="AH12733" i="14"/>
  <c r="E12733" i="14"/>
  <c r="AH12732" i="14"/>
  <c r="E12732" i="14"/>
  <c r="AH12731" i="14"/>
  <c r="E12731" i="14"/>
  <c r="AH12730" i="14"/>
  <c r="E12730" i="14"/>
  <c r="AH12729" i="14"/>
  <c r="E12729" i="14"/>
  <c r="AH12728" i="14"/>
  <c r="E12728" i="14"/>
  <c r="AH12727" i="14"/>
  <c r="E12727" i="14"/>
  <c r="AH12726" i="14"/>
  <c r="E12726" i="14"/>
  <c r="AH12725" i="14"/>
  <c r="E12725" i="14"/>
  <c r="AH12724" i="14"/>
  <c r="E12724" i="14"/>
  <c r="AH12723" i="14"/>
  <c r="E12723" i="14"/>
  <c r="AH12722" i="14"/>
  <c r="E12722" i="14"/>
  <c r="AH12721" i="14"/>
  <c r="E12721" i="14"/>
  <c r="AH12720" i="14"/>
  <c r="E12720" i="14"/>
  <c r="AH12719" i="14"/>
  <c r="E12719" i="14"/>
  <c r="AH12718" i="14"/>
  <c r="E12718" i="14"/>
  <c r="AH12717" i="14"/>
  <c r="E12717" i="14"/>
  <c r="AH12716" i="14"/>
  <c r="E12716" i="14"/>
  <c r="AH12715" i="14"/>
  <c r="E12715" i="14"/>
  <c r="AH12714" i="14"/>
  <c r="E12714" i="14"/>
  <c r="AH12713" i="14"/>
  <c r="E12713" i="14"/>
  <c r="AH12712" i="14"/>
  <c r="E12712" i="14"/>
  <c r="AH12711" i="14"/>
  <c r="E12711" i="14"/>
  <c r="AH12710" i="14"/>
  <c r="E12710" i="14"/>
  <c r="AH12709" i="14"/>
  <c r="E12709" i="14"/>
  <c r="AH12708" i="14"/>
  <c r="E12708" i="14"/>
  <c r="AH12707" i="14"/>
  <c r="E12707" i="14"/>
  <c r="AH12706" i="14"/>
  <c r="E12706" i="14"/>
  <c r="AH12705" i="14"/>
  <c r="E12705" i="14"/>
  <c r="AH12704" i="14"/>
  <c r="E12704" i="14"/>
  <c r="AH12703" i="14"/>
  <c r="E12703" i="14"/>
  <c r="AH12702" i="14"/>
  <c r="E12702" i="14"/>
  <c r="AH12701" i="14"/>
  <c r="E12701" i="14"/>
  <c r="AH12700" i="14"/>
  <c r="E12700" i="14"/>
  <c r="AH12699" i="14"/>
  <c r="E12699" i="14"/>
  <c r="AH12698" i="14"/>
  <c r="E12698" i="14"/>
  <c r="AH12697" i="14"/>
  <c r="E12697" i="14"/>
  <c r="AH12696" i="14"/>
  <c r="E12696" i="14"/>
  <c r="AH12695" i="14"/>
  <c r="E12695" i="14"/>
  <c r="AH12694" i="14"/>
  <c r="E12694" i="14"/>
  <c r="AH12693" i="14"/>
  <c r="E12693" i="14"/>
  <c r="AH12692" i="14"/>
  <c r="E12692" i="14"/>
  <c r="AH12691" i="14"/>
  <c r="E12691" i="14"/>
  <c r="AH12690" i="14"/>
  <c r="E12690" i="14"/>
  <c r="AH12689" i="14"/>
  <c r="E12689" i="14"/>
  <c r="AH12688" i="14"/>
  <c r="E12688" i="14"/>
  <c r="AH12687" i="14"/>
  <c r="E12687" i="14"/>
  <c r="AH12686" i="14"/>
  <c r="E12686" i="14"/>
  <c r="AH12685" i="14"/>
  <c r="E12685" i="14"/>
  <c r="AH12684" i="14"/>
  <c r="E12684" i="14"/>
  <c r="AH12683" i="14"/>
  <c r="E12683" i="14"/>
  <c r="AH12682" i="14"/>
  <c r="E12682" i="14"/>
  <c r="AH12681" i="14"/>
  <c r="E12681" i="14"/>
  <c r="AH12680" i="14"/>
  <c r="E12680" i="14"/>
  <c r="AH12679" i="14"/>
  <c r="E12679" i="14"/>
  <c r="AH12678" i="14"/>
  <c r="E12678" i="14"/>
  <c r="AH12677" i="14"/>
  <c r="E12677" i="14"/>
  <c r="AH12676" i="14"/>
  <c r="E12676" i="14"/>
  <c r="AH12675" i="14"/>
  <c r="E12675" i="14"/>
  <c r="AH12674" i="14"/>
  <c r="E12674" i="14"/>
  <c r="AH12673" i="14"/>
  <c r="E12673" i="14"/>
  <c r="AH12672" i="14"/>
  <c r="E12672" i="14"/>
  <c r="AH12671" i="14"/>
  <c r="E12671" i="14"/>
  <c r="AH12670" i="14"/>
  <c r="E12670" i="14"/>
  <c r="AH12669" i="14"/>
  <c r="E12669" i="14"/>
  <c r="AH12668" i="14"/>
  <c r="E12668" i="14"/>
  <c r="AH12667" i="14"/>
  <c r="E12667" i="14"/>
  <c r="AH12666" i="14"/>
  <c r="E12666" i="14"/>
  <c r="AH12665" i="14"/>
  <c r="E12665" i="14"/>
  <c r="AH12664" i="14"/>
  <c r="E12664" i="14"/>
  <c r="AH12663" i="14"/>
  <c r="E12663" i="14"/>
  <c r="AH12662" i="14"/>
  <c r="E12662" i="14"/>
  <c r="AH12661" i="14"/>
  <c r="E12661" i="14"/>
  <c r="AH12660" i="14"/>
  <c r="E12660" i="14"/>
  <c r="AH12659" i="14"/>
  <c r="E12659" i="14"/>
  <c r="AH12658" i="14"/>
  <c r="E12658" i="14"/>
  <c r="AH12657" i="14"/>
  <c r="E12657" i="14"/>
  <c r="AH12656" i="14"/>
  <c r="E12656" i="14"/>
  <c r="AH12655" i="14"/>
  <c r="E12655" i="14"/>
  <c r="AH12654" i="14"/>
  <c r="E12654" i="14"/>
  <c r="AH12653" i="14"/>
  <c r="E12653" i="14"/>
  <c r="AH12652" i="14"/>
  <c r="E12652" i="14"/>
  <c r="AH12651" i="14"/>
  <c r="E12651" i="14"/>
  <c r="AH12650" i="14"/>
  <c r="E12650" i="14"/>
  <c r="AH12649" i="14"/>
  <c r="E12649" i="14"/>
  <c r="AH12648" i="14"/>
  <c r="E12648" i="14"/>
  <c r="AH12647" i="14"/>
  <c r="E12647" i="14"/>
  <c r="AH12646" i="14"/>
  <c r="E12646" i="14"/>
  <c r="AH12645" i="14"/>
  <c r="E12645" i="14"/>
  <c r="AH12644" i="14"/>
  <c r="E12644" i="14"/>
  <c r="AH12643" i="14"/>
  <c r="E12643" i="14"/>
  <c r="AH12642" i="14"/>
  <c r="E12642" i="14"/>
  <c r="AH12641" i="14"/>
  <c r="E12641" i="14"/>
  <c r="AH12640" i="14"/>
  <c r="E12640" i="14"/>
  <c r="AH12639" i="14"/>
  <c r="E12639" i="14"/>
  <c r="AH12638" i="14"/>
  <c r="E12638" i="14"/>
  <c r="AH12637" i="14"/>
  <c r="E12637" i="14"/>
  <c r="AH12636" i="14"/>
  <c r="E12636" i="14"/>
  <c r="AH12635" i="14"/>
  <c r="E12635" i="14"/>
  <c r="AH12634" i="14"/>
  <c r="E12634" i="14"/>
  <c r="AH12633" i="14"/>
  <c r="E12633" i="14"/>
  <c r="AH12632" i="14"/>
  <c r="E12632" i="14"/>
  <c r="AH12631" i="14"/>
  <c r="E12631" i="14"/>
  <c r="AH12630" i="14"/>
  <c r="E12630" i="14"/>
  <c r="AH12629" i="14"/>
  <c r="E12629" i="14"/>
  <c r="AH12628" i="14"/>
  <c r="E12628" i="14"/>
  <c r="AH12627" i="14"/>
  <c r="E12627" i="14"/>
  <c r="AH12626" i="14"/>
  <c r="E12626" i="14"/>
  <c r="AH12625" i="14"/>
  <c r="E12625" i="14"/>
  <c r="AH12624" i="14"/>
  <c r="E12624" i="14"/>
  <c r="AH12623" i="14"/>
  <c r="E12623" i="14"/>
  <c r="AH12622" i="14"/>
  <c r="E12622" i="14"/>
  <c r="AH12621" i="14"/>
  <c r="E12621" i="14"/>
  <c r="AH12620" i="14"/>
  <c r="E12620" i="14"/>
  <c r="AH12619" i="14"/>
  <c r="E12619" i="14"/>
  <c r="AH12618" i="14"/>
  <c r="E12618" i="14"/>
  <c r="AH12617" i="14"/>
  <c r="E12617" i="14"/>
  <c r="AH12616" i="14"/>
  <c r="E12616" i="14"/>
  <c r="AH12615" i="14"/>
  <c r="E12615" i="14"/>
  <c r="AH12614" i="14"/>
  <c r="E12614" i="14"/>
  <c r="AH12613" i="14"/>
  <c r="E12613" i="14"/>
  <c r="AH12612" i="14"/>
  <c r="E12612" i="14"/>
  <c r="AH12611" i="14"/>
  <c r="E12611" i="14"/>
  <c r="AH12610" i="14"/>
  <c r="E12610" i="14"/>
  <c r="AH12609" i="14"/>
  <c r="E12609" i="14"/>
  <c r="AH12608" i="14"/>
  <c r="E12608" i="14"/>
  <c r="AH12607" i="14"/>
  <c r="E12607" i="14"/>
  <c r="AH12606" i="14"/>
  <c r="E12606" i="14"/>
  <c r="AH12605" i="14"/>
  <c r="E12605" i="14"/>
  <c r="AH12604" i="14"/>
  <c r="E12604" i="14"/>
  <c r="AH12603" i="14"/>
  <c r="E12603" i="14"/>
  <c r="AH12602" i="14"/>
  <c r="E12602" i="14"/>
  <c r="AH12601" i="14"/>
  <c r="E12601" i="14"/>
  <c r="AH12600" i="14"/>
  <c r="E12600" i="14"/>
  <c r="AH12599" i="14"/>
  <c r="E12599" i="14"/>
  <c r="AH12598" i="14"/>
  <c r="E12598" i="14"/>
  <c r="AH12597" i="14"/>
  <c r="E12597" i="14"/>
  <c r="AH12596" i="14"/>
  <c r="E12596" i="14"/>
  <c r="AH12595" i="14"/>
  <c r="E12595" i="14"/>
  <c r="AH12594" i="14"/>
  <c r="E12594" i="14"/>
  <c r="AH12593" i="14"/>
  <c r="E12593" i="14"/>
  <c r="AH12592" i="14"/>
  <c r="E12592" i="14"/>
  <c r="AH12591" i="14"/>
  <c r="E12591" i="14"/>
  <c r="AH12590" i="14"/>
  <c r="E12590" i="14"/>
  <c r="AH12589" i="14"/>
  <c r="E12589" i="14"/>
  <c r="AH12588" i="14"/>
  <c r="E12588" i="14"/>
  <c r="AH12587" i="14"/>
  <c r="E12587" i="14"/>
  <c r="AH12586" i="14"/>
  <c r="E12586" i="14"/>
  <c r="AH12585" i="14"/>
  <c r="E12585" i="14"/>
  <c r="AH12584" i="14"/>
  <c r="E12584" i="14"/>
  <c r="AH12583" i="14"/>
  <c r="E12583" i="14"/>
  <c r="AH12582" i="14"/>
  <c r="E12582" i="14"/>
  <c r="AH12581" i="14"/>
  <c r="E12581" i="14"/>
  <c r="AH12580" i="14"/>
  <c r="E12580" i="14"/>
  <c r="AH12579" i="14"/>
  <c r="E12579" i="14"/>
  <c r="AH12578" i="14"/>
  <c r="E12578" i="14"/>
  <c r="AH12577" i="14"/>
  <c r="E12577" i="14"/>
  <c r="AH12576" i="14"/>
  <c r="E12576" i="14"/>
  <c r="AH12575" i="14"/>
  <c r="E12575" i="14"/>
  <c r="AH12574" i="14"/>
  <c r="E12574" i="14"/>
  <c r="AH12573" i="14"/>
  <c r="E12573" i="14"/>
  <c r="AH12572" i="14"/>
  <c r="E12572" i="14"/>
  <c r="AH12571" i="14"/>
  <c r="E12571" i="14"/>
  <c r="AH12570" i="14"/>
  <c r="E12570" i="14"/>
  <c r="AH12569" i="14"/>
  <c r="E12569" i="14"/>
  <c r="AH12568" i="14"/>
  <c r="E12568" i="14"/>
  <c r="AH12567" i="14"/>
  <c r="E12567" i="14"/>
  <c r="AH12566" i="14"/>
  <c r="E12566" i="14"/>
  <c r="AH12565" i="14"/>
  <c r="E12565" i="14"/>
  <c r="AH12564" i="14"/>
  <c r="E12564" i="14"/>
  <c r="AH12563" i="14"/>
  <c r="E12563" i="14"/>
  <c r="AH12562" i="14"/>
  <c r="E12562" i="14"/>
  <c r="AH12561" i="14"/>
  <c r="E12561" i="14"/>
  <c r="AH12560" i="14"/>
  <c r="E12560" i="14"/>
  <c r="AH12559" i="14"/>
  <c r="E12559" i="14"/>
  <c r="AH12558" i="14"/>
  <c r="E12558" i="14"/>
  <c r="AH12557" i="14"/>
  <c r="E12557" i="14"/>
  <c r="AH12556" i="14"/>
  <c r="E12556" i="14"/>
  <c r="AH12555" i="14"/>
  <c r="E12555" i="14"/>
  <c r="AH12554" i="14"/>
  <c r="E12554" i="14"/>
  <c r="AH12553" i="14"/>
  <c r="E12553" i="14"/>
  <c r="AH12552" i="14"/>
  <c r="E12552" i="14"/>
  <c r="AH12551" i="14"/>
  <c r="E12551" i="14"/>
  <c r="AH12550" i="14"/>
  <c r="E12550" i="14"/>
  <c r="AH12549" i="14"/>
  <c r="E12549" i="14"/>
  <c r="AH12548" i="14"/>
  <c r="E12548" i="14"/>
  <c r="AH12547" i="14"/>
  <c r="E12547" i="14"/>
  <c r="AH12546" i="14"/>
  <c r="E12546" i="14"/>
  <c r="AH12545" i="14"/>
  <c r="E12545" i="14"/>
  <c r="AH12544" i="14"/>
  <c r="E12544" i="14"/>
  <c r="AH12543" i="14"/>
  <c r="E12543" i="14"/>
  <c r="AH12542" i="14"/>
  <c r="E12542" i="14"/>
  <c r="AH12541" i="14"/>
  <c r="E12541" i="14"/>
  <c r="AH12540" i="14"/>
  <c r="E12540" i="14"/>
  <c r="AH12539" i="14"/>
  <c r="E12539" i="14"/>
  <c r="AH12538" i="14"/>
  <c r="E12538" i="14"/>
  <c r="AH12537" i="14"/>
  <c r="E12537" i="14"/>
  <c r="AH12536" i="14"/>
  <c r="E12536" i="14"/>
  <c r="AH12535" i="14"/>
  <c r="E12535" i="14"/>
  <c r="AH12534" i="14"/>
  <c r="E12534" i="14"/>
  <c r="AH12533" i="14"/>
  <c r="E12533" i="14"/>
  <c r="AH12532" i="14"/>
  <c r="E12532" i="14"/>
  <c r="AH12531" i="14"/>
  <c r="E12531" i="14"/>
  <c r="AH12530" i="14"/>
  <c r="E12530" i="14"/>
  <c r="AH12529" i="14"/>
  <c r="E12529" i="14"/>
  <c r="AH12528" i="14"/>
  <c r="E12528" i="14"/>
  <c r="AH12527" i="14"/>
  <c r="E12527" i="14"/>
  <c r="AH12526" i="14"/>
  <c r="E12526" i="14"/>
  <c r="AH12525" i="14"/>
  <c r="E12525" i="14"/>
  <c r="AH12524" i="14"/>
  <c r="E12524" i="14"/>
  <c r="AH12523" i="14"/>
  <c r="E12523" i="14"/>
  <c r="AH12522" i="14"/>
  <c r="E12522" i="14"/>
  <c r="AH12521" i="14"/>
  <c r="E12521" i="14"/>
  <c r="AH12520" i="14"/>
  <c r="E12520" i="14"/>
  <c r="AH12519" i="14"/>
  <c r="E12519" i="14"/>
  <c r="AH12518" i="14"/>
  <c r="E12518" i="14"/>
  <c r="AH12517" i="14"/>
  <c r="E12517" i="14"/>
  <c r="AH12516" i="14"/>
  <c r="E12516" i="14"/>
  <c r="AH12515" i="14"/>
  <c r="E12515" i="14"/>
  <c r="AH12514" i="14"/>
  <c r="E12514" i="14"/>
  <c r="AH12513" i="14"/>
  <c r="E12513" i="14"/>
  <c r="AH12512" i="14"/>
  <c r="E12512" i="14"/>
  <c r="AH12511" i="14"/>
  <c r="E12511" i="14"/>
  <c r="AH12510" i="14"/>
  <c r="E12510" i="14"/>
  <c r="AH12509" i="14"/>
  <c r="E12509" i="14"/>
  <c r="AH12508" i="14"/>
  <c r="E12508" i="14"/>
  <c r="AH12507" i="14"/>
  <c r="E12507" i="14"/>
  <c r="AH12506" i="14"/>
  <c r="E12506" i="14"/>
  <c r="AH12505" i="14"/>
  <c r="E12505" i="14"/>
  <c r="AH12504" i="14"/>
  <c r="E12504" i="14"/>
  <c r="AH12503" i="14"/>
  <c r="E12503" i="14"/>
  <c r="AH12502" i="14"/>
  <c r="E12502" i="14"/>
  <c r="AH12501" i="14"/>
  <c r="E12501" i="14"/>
  <c r="AH12500" i="14"/>
  <c r="E12500" i="14"/>
  <c r="AH12499" i="14"/>
  <c r="E12499" i="14"/>
  <c r="AH12498" i="14"/>
  <c r="E12498" i="14"/>
  <c r="AH12497" i="14"/>
  <c r="E12497" i="14"/>
  <c r="AH12496" i="14"/>
  <c r="E12496" i="14"/>
  <c r="AH12495" i="14"/>
  <c r="E12495" i="14"/>
  <c r="AH12494" i="14"/>
  <c r="E12494" i="14"/>
  <c r="AH12493" i="14"/>
  <c r="E12493" i="14"/>
  <c r="AH12492" i="14"/>
  <c r="E12492" i="14"/>
  <c r="AH12491" i="14"/>
  <c r="E12491" i="14"/>
  <c r="AH12490" i="14"/>
  <c r="E12490" i="14"/>
  <c r="AH12489" i="14"/>
  <c r="E12489" i="14"/>
  <c r="AH12488" i="14"/>
  <c r="E12488" i="14"/>
  <c r="AH12487" i="14"/>
  <c r="E12487" i="14"/>
  <c r="AH12486" i="14"/>
  <c r="E12486" i="14"/>
  <c r="AH12485" i="14"/>
  <c r="E12485" i="14"/>
  <c r="AH12484" i="14"/>
  <c r="E12484" i="14"/>
  <c r="AH12483" i="14"/>
  <c r="E12483" i="14"/>
  <c r="AH12482" i="14"/>
  <c r="E12482" i="14"/>
  <c r="AH12481" i="14"/>
  <c r="E12481" i="14"/>
  <c r="AH12480" i="14"/>
  <c r="E12480" i="14"/>
  <c r="AH12479" i="14"/>
  <c r="E12479" i="14"/>
  <c r="AH12478" i="14"/>
  <c r="E12478" i="14"/>
  <c r="AH12477" i="14"/>
  <c r="E12477" i="14"/>
  <c r="AH12476" i="14"/>
  <c r="E12476" i="14"/>
  <c r="AH12475" i="14"/>
  <c r="E12475" i="14"/>
  <c r="AH12474" i="14"/>
  <c r="E12474" i="14"/>
  <c r="AH12473" i="14"/>
  <c r="E12473" i="14"/>
  <c r="AH12472" i="14"/>
  <c r="E12472" i="14"/>
  <c r="AH12471" i="14"/>
  <c r="E12471" i="14"/>
  <c r="AH12470" i="14"/>
  <c r="E12470" i="14"/>
  <c r="AH12469" i="14"/>
  <c r="E12469" i="14"/>
  <c r="AH12468" i="14"/>
  <c r="E12468" i="14"/>
  <c r="AH12467" i="14"/>
  <c r="E12467" i="14"/>
  <c r="AH12466" i="14"/>
  <c r="E12466" i="14"/>
  <c r="AH12465" i="14"/>
  <c r="E12465" i="14"/>
  <c r="AH12464" i="14"/>
  <c r="E12464" i="14"/>
  <c r="AH12463" i="14"/>
  <c r="E12463" i="14"/>
  <c r="AH12462" i="14"/>
  <c r="E12462" i="14"/>
  <c r="AH12461" i="14"/>
  <c r="E12461" i="14"/>
  <c r="AH12460" i="14"/>
  <c r="E12460" i="14"/>
  <c r="AH12459" i="14"/>
  <c r="E12459" i="14"/>
  <c r="AH12458" i="14"/>
  <c r="E12458" i="14"/>
  <c r="AH12457" i="14"/>
  <c r="E12457" i="14"/>
  <c r="AH12456" i="14"/>
  <c r="E12456" i="14"/>
  <c r="AH12455" i="14"/>
  <c r="E12455" i="14"/>
  <c r="AH12454" i="14"/>
  <c r="E12454" i="14"/>
  <c r="AH12453" i="14"/>
  <c r="E12453" i="14"/>
  <c r="AH12452" i="14"/>
  <c r="E12452" i="14"/>
  <c r="AH12451" i="14"/>
  <c r="E12451" i="14"/>
  <c r="AH12450" i="14"/>
  <c r="E12450" i="14"/>
  <c r="AH12449" i="14"/>
  <c r="E12449" i="14"/>
  <c r="AH12448" i="14"/>
  <c r="E12448" i="14"/>
  <c r="AH12447" i="14"/>
  <c r="E12447" i="14"/>
  <c r="AH12446" i="14"/>
  <c r="E12446" i="14"/>
  <c r="AH12445" i="14"/>
  <c r="E12445" i="14"/>
  <c r="AH12444" i="14"/>
  <c r="E12444" i="14"/>
  <c r="AH12443" i="14"/>
  <c r="E12443" i="14"/>
  <c r="AH12442" i="14"/>
  <c r="E12442" i="14"/>
  <c r="AH12441" i="14"/>
  <c r="E12441" i="14"/>
  <c r="AH12440" i="14"/>
  <c r="E12440" i="14"/>
  <c r="AH12439" i="14"/>
  <c r="E12439" i="14"/>
  <c r="AH12438" i="14"/>
  <c r="E12438" i="14"/>
  <c r="AH12437" i="14"/>
  <c r="E12437" i="14"/>
  <c r="AH12436" i="14"/>
  <c r="E12436" i="14"/>
  <c r="AH12435" i="14"/>
  <c r="E12435" i="14"/>
  <c r="AH12434" i="14"/>
  <c r="E12434" i="14"/>
  <c r="AH12433" i="14"/>
  <c r="E12433" i="14"/>
  <c r="AH12432" i="14"/>
  <c r="E12432" i="14"/>
  <c r="AH12431" i="14"/>
  <c r="E12431" i="14"/>
  <c r="AH12430" i="14"/>
  <c r="E12430" i="14"/>
  <c r="AH12429" i="14"/>
  <c r="E12429" i="14"/>
  <c r="AH12428" i="14"/>
  <c r="E12428" i="14"/>
  <c r="AH12427" i="14"/>
  <c r="E12427" i="14"/>
  <c r="AH12426" i="14"/>
  <c r="E12426" i="14"/>
  <c r="AH12425" i="14"/>
  <c r="E12425" i="14"/>
  <c r="AH12424" i="14"/>
  <c r="E12424" i="14"/>
  <c r="AH12423" i="14"/>
  <c r="E12423" i="14"/>
  <c r="AH12422" i="14"/>
  <c r="E12422" i="14"/>
  <c r="AH12421" i="14"/>
  <c r="E12421" i="14"/>
  <c r="AH12420" i="14"/>
  <c r="E12420" i="14"/>
  <c r="AH12419" i="14"/>
  <c r="E12419" i="14"/>
  <c r="AH12418" i="14"/>
  <c r="E12418" i="14"/>
  <c r="AH12417" i="14"/>
  <c r="E12417" i="14"/>
  <c r="AH12416" i="14"/>
  <c r="E12416" i="14"/>
  <c r="AH12415" i="14"/>
  <c r="E12415" i="14"/>
  <c r="AH12414" i="14"/>
  <c r="E12414" i="14"/>
  <c r="AH12413" i="14"/>
  <c r="E12413" i="14"/>
  <c r="AH12412" i="14"/>
  <c r="E12412" i="14"/>
  <c r="AH12411" i="14"/>
  <c r="E12411" i="14"/>
  <c r="AH12410" i="14"/>
  <c r="E12410" i="14"/>
  <c r="AH12409" i="14"/>
  <c r="E12409" i="14"/>
  <c r="AH12408" i="14"/>
  <c r="E12408" i="14"/>
  <c r="AH12407" i="14"/>
  <c r="E12407" i="14"/>
  <c r="AH12406" i="14"/>
  <c r="E12406" i="14"/>
  <c r="AH12405" i="14"/>
  <c r="E12405" i="14"/>
  <c r="AH12404" i="14"/>
  <c r="E12404" i="14"/>
  <c r="AH12403" i="14"/>
  <c r="E12403" i="14"/>
  <c r="AH12402" i="14"/>
  <c r="E12402" i="14"/>
  <c r="AH12401" i="14"/>
  <c r="E12401" i="14"/>
  <c r="AH12400" i="14"/>
  <c r="E12400" i="14"/>
  <c r="AH12399" i="14"/>
  <c r="E12399" i="14"/>
  <c r="AH12398" i="14"/>
  <c r="E12398" i="14"/>
  <c r="AH12397" i="14"/>
  <c r="E12397" i="14"/>
  <c r="AH12396" i="14"/>
  <c r="E12396" i="14"/>
  <c r="AH12395" i="14"/>
  <c r="E12395" i="14"/>
  <c r="AH12394" i="14"/>
  <c r="E12394" i="14"/>
  <c r="AH12393" i="14"/>
  <c r="E12393" i="14"/>
  <c r="AH12392" i="14"/>
  <c r="E12392" i="14"/>
  <c r="AH12391" i="14"/>
  <c r="E12391" i="14"/>
  <c r="AH12390" i="14"/>
  <c r="E12390" i="14"/>
  <c r="AH12389" i="14"/>
  <c r="E12389" i="14"/>
  <c r="AH12388" i="14"/>
  <c r="E12388" i="14"/>
  <c r="AH12387" i="14"/>
  <c r="E12387" i="14"/>
  <c r="AH12386" i="14"/>
  <c r="E12386" i="14"/>
  <c r="AH12385" i="14"/>
  <c r="E12385" i="14"/>
  <c r="AH12384" i="14"/>
  <c r="E12384" i="14"/>
  <c r="AH12383" i="14"/>
  <c r="E12383" i="14"/>
  <c r="AH12382" i="14"/>
  <c r="E12382" i="14"/>
  <c r="AH12381" i="14"/>
  <c r="E12381" i="14"/>
  <c r="AH12380" i="14"/>
  <c r="E12380" i="14"/>
  <c r="AH12379" i="14"/>
  <c r="E12379" i="14"/>
  <c r="AH12378" i="14"/>
  <c r="E12378" i="14"/>
  <c r="AH12377" i="14"/>
  <c r="E12377" i="14"/>
  <c r="AH12376" i="14"/>
  <c r="E12376" i="14"/>
  <c r="AH12375" i="14"/>
  <c r="E12375" i="14"/>
  <c r="AH12374" i="14"/>
  <c r="E12374" i="14"/>
  <c r="AH12373" i="14"/>
  <c r="E12373" i="14"/>
  <c r="AH12372" i="14"/>
  <c r="E12372" i="14"/>
  <c r="AH12371" i="14"/>
  <c r="E12371" i="14"/>
  <c r="AH12370" i="14"/>
  <c r="E12370" i="14"/>
  <c r="AH12369" i="14"/>
  <c r="E12369" i="14"/>
  <c r="AH12368" i="14"/>
  <c r="E12368" i="14"/>
  <c r="AH12367" i="14"/>
  <c r="E12367" i="14"/>
  <c r="AH12366" i="14"/>
  <c r="E12366" i="14"/>
  <c r="AH12365" i="14"/>
  <c r="E12365" i="14"/>
  <c r="AH12364" i="14"/>
  <c r="E12364" i="14"/>
  <c r="AH12363" i="14"/>
  <c r="E12363" i="14"/>
  <c r="AH12362" i="14"/>
  <c r="E12362" i="14"/>
  <c r="AH12361" i="14"/>
  <c r="E12361" i="14"/>
  <c r="AH12360" i="14"/>
  <c r="E12360" i="14"/>
  <c r="AH12359" i="14"/>
  <c r="E12359" i="14"/>
  <c r="AH12358" i="14"/>
  <c r="E12358" i="14"/>
  <c r="AH12357" i="14"/>
  <c r="E12357" i="14"/>
  <c r="AH12356" i="14"/>
  <c r="E12356" i="14"/>
  <c r="AH12355" i="14"/>
  <c r="E12355" i="14"/>
  <c r="AH12354" i="14"/>
  <c r="E12354" i="14"/>
  <c r="AH12353" i="14"/>
  <c r="E12353" i="14"/>
  <c r="AH12352" i="14"/>
  <c r="E12352" i="14"/>
  <c r="AH12351" i="14"/>
  <c r="E12351" i="14"/>
  <c r="AH12350" i="14"/>
  <c r="E12350" i="14"/>
  <c r="AH12349" i="14"/>
  <c r="E12349" i="14"/>
  <c r="AH12348" i="14"/>
  <c r="E12348" i="14"/>
  <c r="AH12347" i="14"/>
  <c r="E12347" i="14"/>
  <c r="AH12346" i="14"/>
  <c r="E12346" i="14"/>
  <c r="AH12345" i="14"/>
  <c r="E12345" i="14"/>
  <c r="AH12344" i="14"/>
  <c r="E12344" i="14"/>
  <c r="AH12343" i="14"/>
  <c r="E12343" i="14"/>
  <c r="AH12342" i="14"/>
  <c r="E12342" i="14"/>
  <c r="AH12341" i="14"/>
  <c r="E12341" i="14"/>
  <c r="AH12340" i="14"/>
  <c r="E12340" i="14"/>
  <c r="AH12339" i="14"/>
  <c r="E12339" i="14"/>
  <c r="AH12338" i="14"/>
  <c r="E12338" i="14"/>
  <c r="AH12337" i="14"/>
  <c r="E12337" i="14"/>
  <c r="AH12336" i="14"/>
  <c r="E12336" i="14"/>
  <c r="AH12335" i="14"/>
  <c r="E12335" i="14"/>
  <c r="AH12334" i="14"/>
  <c r="E12334" i="14"/>
  <c r="AH12333" i="14"/>
  <c r="E12333" i="14"/>
  <c r="AH12332" i="14"/>
  <c r="E12332" i="14"/>
  <c r="AH12331" i="14"/>
  <c r="E12331" i="14"/>
  <c r="AH12330" i="14"/>
  <c r="E12330" i="14"/>
  <c r="AH12329" i="14"/>
  <c r="E12329" i="14"/>
  <c r="AH12328" i="14"/>
  <c r="E12328" i="14"/>
  <c r="AH12327" i="14"/>
  <c r="E12327" i="14"/>
  <c r="AH12326" i="14"/>
  <c r="E12326" i="14"/>
  <c r="AH12325" i="14"/>
  <c r="E12325" i="14"/>
  <c r="AH12324" i="14"/>
  <c r="E12324" i="14"/>
  <c r="AH12323" i="14"/>
  <c r="E12323" i="14"/>
  <c r="AH12322" i="14"/>
  <c r="E12322" i="14"/>
  <c r="AH12321" i="14"/>
  <c r="E12321" i="14"/>
  <c r="AH12320" i="14"/>
  <c r="E12320" i="14"/>
  <c r="AH12319" i="14"/>
  <c r="E12319" i="14"/>
  <c r="AH12318" i="14"/>
  <c r="E12318" i="14"/>
  <c r="AH12317" i="14"/>
  <c r="E12317" i="14"/>
  <c r="AH12316" i="14"/>
  <c r="E12316" i="14"/>
  <c r="AH12315" i="14"/>
  <c r="E12315" i="14"/>
  <c r="AH12314" i="14"/>
  <c r="E12314" i="14"/>
  <c r="AH12313" i="14"/>
  <c r="E12313" i="14"/>
  <c r="AH12312" i="14"/>
  <c r="E12312" i="14"/>
  <c r="AH12311" i="14"/>
  <c r="E12311" i="14"/>
  <c r="AH12310" i="14"/>
  <c r="E12310" i="14"/>
  <c r="AH12309" i="14"/>
  <c r="E12309" i="14"/>
  <c r="AH12308" i="14"/>
  <c r="E12308" i="14"/>
  <c r="AH12307" i="14"/>
  <c r="E12307" i="14"/>
  <c r="AH12306" i="14"/>
  <c r="E12306" i="14"/>
  <c r="AH12305" i="14"/>
  <c r="E12305" i="14"/>
  <c r="AH12304" i="14"/>
  <c r="E12304" i="14"/>
  <c r="AH12303" i="14"/>
  <c r="E12303" i="14"/>
  <c r="AH12302" i="14"/>
  <c r="E12302" i="14"/>
  <c r="AH12301" i="14"/>
  <c r="E12301" i="14"/>
  <c r="AH12300" i="14"/>
  <c r="E12300" i="14"/>
  <c r="AH12299" i="14"/>
  <c r="E12299" i="14"/>
  <c r="AH12298" i="14"/>
  <c r="E12298" i="14"/>
  <c r="AH12297" i="14"/>
  <c r="E12297" i="14"/>
  <c r="AH12296" i="14"/>
  <c r="E12296" i="14"/>
  <c r="AH12295" i="14"/>
  <c r="E12295" i="14"/>
  <c r="AH12294" i="14"/>
  <c r="E12294" i="14"/>
  <c r="AH12293" i="14"/>
  <c r="E12293" i="14"/>
  <c r="AH12292" i="14"/>
  <c r="E12292" i="14"/>
  <c r="AH12291" i="14"/>
  <c r="E12291" i="14"/>
  <c r="AH12290" i="14"/>
  <c r="E12290" i="14"/>
  <c r="AH12289" i="14"/>
  <c r="E12289" i="14"/>
  <c r="AH12288" i="14"/>
  <c r="E12288" i="14"/>
  <c r="AH12287" i="14"/>
  <c r="E12287" i="14"/>
  <c r="AH12286" i="14"/>
  <c r="E12286" i="14"/>
  <c r="AH12285" i="14"/>
  <c r="E12285" i="14"/>
  <c r="AH12284" i="14"/>
  <c r="E12284" i="14"/>
  <c r="AH12283" i="14"/>
  <c r="E12283" i="14"/>
  <c r="AH12282" i="14"/>
  <c r="E12282" i="14"/>
  <c r="AH12281" i="14"/>
  <c r="E12281" i="14"/>
  <c r="AH12280" i="14"/>
  <c r="E12280" i="14"/>
  <c r="AH12279" i="14"/>
  <c r="E12279" i="14"/>
  <c r="AH12278" i="14"/>
  <c r="E12278" i="14"/>
  <c r="AH12277" i="14"/>
  <c r="E12277" i="14"/>
  <c r="AH12276" i="14"/>
  <c r="E12276" i="14"/>
  <c r="AH12275" i="14"/>
  <c r="E12275" i="14"/>
  <c r="AH12274" i="14"/>
  <c r="E12274" i="14"/>
  <c r="AH12273" i="14"/>
  <c r="E12273" i="14"/>
  <c r="AH12272" i="14"/>
  <c r="E12272" i="14"/>
  <c r="AH12271" i="14"/>
  <c r="E12271" i="14"/>
  <c r="AH12270" i="14"/>
  <c r="P12270" i="14"/>
  <c r="E12270" i="14"/>
  <c r="AH12269" i="14"/>
  <c r="E12269" i="14"/>
  <c r="AH12268" i="14"/>
  <c r="E12268" i="14"/>
  <c r="AH12267" i="14"/>
  <c r="P12267" i="14"/>
  <c r="E12267" i="14"/>
  <c r="AH12266" i="14"/>
  <c r="P12266" i="14"/>
  <c r="E12266" i="14"/>
  <c r="AH12265" i="14"/>
  <c r="P12265" i="14"/>
  <c r="E12265" i="14"/>
  <c r="AH12264" i="14"/>
  <c r="E12264" i="14"/>
  <c r="AH12263" i="14"/>
  <c r="P12263" i="14"/>
  <c r="E12263" i="14"/>
  <c r="AH12262" i="14"/>
  <c r="E12262" i="14"/>
  <c r="AH12261" i="14"/>
  <c r="E12261" i="14"/>
  <c r="AH12260" i="14"/>
  <c r="E12260" i="14"/>
  <c r="AH12259" i="14"/>
  <c r="P12259" i="14"/>
  <c r="E12259" i="14"/>
  <c r="AH12258" i="14"/>
  <c r="E12258" i="14"/>
  <c r="AH12257" i="14"/>
  <c r="P12257" i="14"/>
  <c r="E12257" i="14"/>
  <c r="AH12256" i="14"/>
  <c r="P12256" i="14"/>
  <c r="O12256" i="14"/>
  <c r="E12256" i="14"/>
  <c r="AH12255" i="14"/>
  <c r="P12255" i="14"/>
  <c r="O12255" i="14"/>
  <c r="E12255" i="14"/>
  <c r="AH12254" i="14"/>
  <c r="P12254" i="14"/>
  <c r="E12254" i="14"/>
  <c r="AH12253" i="14"/>
  <c r="P12253" i="14"/>
  <c r="E12253" i="14"/>
  <c r="AH12252" i="14"/>
  <c r="P12252" i="14"/>
  <c r="O12252" i="14"/>
  <c r="E12252" i="14"/>
  <c r="AH12251" i="14"/>
  <c r="P12251" i="14"/>
  <c r="E12251" i="14"/>
  <c r="AH12250" i="14"/>
  <c r="P12250" i="14"/>
  <c r="E12250" i="14"/>
  <c r="AH12249" i="14"/>
  <c r="P12249" i="14"/>
  <c r="E12249" i="14"/>
  <c r="AH12248" i="14"/>
  <c r="P12248" i="14"/>
  <c r="E12248" i="14"/>
  <c r="AH12247" i="14"/>
  <c r="E12247" i="14"/>
  <c r="AH12246" i="14"/>
  <c r="P12246" i="14"/>
  <c r="E12246" i="14"/>
  <c r="AH12245" i="14"/>
  <c r="P12245" i="14"/>
  <c r="E12245" i="14"/>
  <c r="AH12244" i="14"/>
  <c r="P12244" i="14"/>
  <c r="E12244" i="14"/>
  <c r="AH12243" i="14"/>
  <c r="P12243" i="14"/>
  <c r="E12243" i="14"/>
  <c r="AH12242" i="14"/>
  <c r="P12242" i="14"/>
  <c r="E12242" i="14"/>
  <c r="AH12241" i="14"/>
  <c r="E12241" i="14"/>
  <c r="AH12240" i="14"/>
  <c r="E12240" i="14"/>
  <c r="AH12239" i="14"/>
  <c r="P12239" i="14"/>
  <c r="E12239" i="14"/>
  <c r="AH12238" i="14"/>
  <c r="E12238" i="14"/>
  <c r="AH12237" i="14"/>
  <c r="E12237" i="14"/>
  <c r="AH12236" i="14"/>
  <c r="E12236" i="14"/>
  <c r="AH12235" i="14"/>
  <c r="E12235" i="14"/>
  <c r="AH12234" i="14"/>
  <c r="E12234" i="14"/>
  <c r="AH12233" i="14"/>
  <c r="E12233" i="14"/>
  <c r="AH12232" i="14"/>
  <c r="P12232" i="14"/>
  <c r="E12232" i="14"/>
  <c r="AH12231" i="14"/>
  <c r="E12231" i="14"/>
  <c r="AH12230" i="14"/>
  <c r="E12230" i="14"/>
  <c r="AH12229" i="14"/>
  <c r="E12229" i="14"/>
  <c r="AH12228" i="14"/>
  <c r="E12228" i="14"/>
  <c r="AH12227" i="14"/>
  <c r="E12227" i="14"/>
  <c r="AH12226" i="14"/>
  <c r="E12226" i="14"/>
  <c r="AH12225" i="14"/>
  <c r="E12225" i="14"/>
  <c r="AH12224" i="14"/>
  <c r="E12224" i="14"/>
  <c r="AH12223" i="14"/>
  <c r="E12223" i="14"/>
  <c r="AH12222" i="14"/>
  <c r="E12222" i="14"/>
  <c r="AH12221" i="14"/>
  <c r="E12221" i="14"/>
  <c r="AH12220" i="14"/>
  <c r="E12220" i="14"/>
  <c r="AH12219" i="14"/>
  <c r="E12219" i="14"/>
  <c r="AH12218" i="14"/>
  <c r="E12218" i="14"/>
  <c r="AH12217" i="14"/>
  <c r="E12217" i="14"/>
  <c r="AH12216" i="14"/>
  <c r="E12216" i="14"/>
  <c r="AH12215" i="14"/>
  <c r="E12215" i="14"/>
  <c r="AH12214" i="14"/>
  <c r="E12214" i="14"/>
  <c r="AH12213" i="14"/>
  <c r="E12213" i="14"/>
  <c r="AH12212" i="14"/>
  <c r="E12212" i="14"/>
  <c r="AH12211" i="14"/>
  <c r="E12211" i="14"/>
  <c r="AH12210" i="14"/>
  <c r="E12210" i="14"/>
  <c r="AH12209" i="14"/>
  <c r="E12209" i="14"/>
  <c r="AH12208" i="14"/>
  <c r="E12208" i="14"/>
  <c r="AH12207" i="14"/>
  <c r="E12207" i="14"/>
  <c r="AH12206" i="14"/>
  <c r="E12206" i="14"/>
  <c r="AH12205" i="14"/>
  <c r="E12205" i="14"/>
  <c r="AH12204" i="14"/>
  <c r="E12204" i="14"/>
  <c r="AH12203" i="14"/>
  <c r="E12203" i="14"/>
  <c r="AH12202" i="14"/>
  <c r="E12202" i="14"/>
  <c r="AH12201" i="14"/>
  <c r="E12201" i="14"/>
  <c r="AH12200" i="14"/>
  <c r="E12200" i="14"/>
  <c r="AH12199" i="14"/>
  <c r="E12199" i="14"/>
  <c r="AH12198" i="14"/>
  <c r="E12198" i="14"/>
  <c r="AH12197" i="14"/>
  <c r="E12197" i="14"/>
  <c r="AH12196" i="14"/>
  <c r="E12196" i="14"/>
  <c r="AH12195" i="14"/>
  <c r="E12195" i="14"/>
  <c r="AH12194" i="14"/>
  <c r="E12194" i="14"/>
  <c r="AH12193" i="14"/>
  <c r="E12193" i="14"/>
  <c r="AH12192" i="14"/>
  <c r="E12192" i="14"/>
  <c r="AH12191" i="14"/>
  <c r="E12191" i="14"/>
  <c r="AH12190" i="14"/>
  <c r="E12190" i="14"/>
  <c r="AH12189" i="14"/>
  <c r="E12189" i="14"/>
  <c r="AH12188" i="14"/>
  <c r="E12188" i="14"/>
  <c r="AH12187" i="14"/>
  <c r="E12187" i="14"/>
  <c r="AH12186" i="14"/>
  <c r="E12186" i="14"/>
  <c r="AH12185" i="14"/>
  <c r="E12185" i="14"/>
  <c r="AH12184" i="14"/>
  <c r="E12184" i="14"/>
  <c r="AH12183" i="14"/>
  <c r="E12183" i="14"/>
  <c r="AH12182" i="14"/>
  <c r="E12182" i="14"/>
  <c r="AH12181" i="14"/>
  <c r="E12181" i="14"/>
  <c r="AH12180" i="14"/>
  <c r="E12180" i="14"/>
  <c r="AH12179" i="14"/>
  <c r="E12179" i="14"/>
  <c r="AH12178" i="14"/>
  <c r="E12178" i="14"/>
  <c r="AH12177" i="14"/>
  <c r="E12177" i="14"/>
  <c r="AH12176" i="14"/>
  <c r="E12176" i="14"/>
  <c r="AH12175" i="14"/>
  <c r="E12175" i="14"/>
  <c r="AH12174" i="14"/>
  <c r="E12174" i="14"/>
  <c r="AH12173" i="14"/>
  <c r="E12173" i="14"/>
  <c r="AH12172" i="14"/>
  <c r="E12172" i="14"/>
  <c r="AH12171" i="14"/>
  <c r="E12171" i="14"/>
  <c r="AH12170" i="14"/>
  <c r="E12170" i="14"/>
  <c r="AH12169" i="14"/>
  <c r="E12169" i="14"/>
  <c r="AH12168" i="14"/>
  <c r="E12168" i="14"/>
  <c r="AH12167" i="14"/>
  <c r="E12167" i="14"/>
  <c r="AH12166" i="14"/>
  <c r="E12166" i="14"/>
  <c r="AH12165" i="14"/>
  <c r="E12165" i="14"/>
  <c r="AH12164" i="14"/>
  <c r="E12164" i="14"/>
  <c r="AH12163" i="14"/>
  <c r="E12163" i="14"/>
  <c r="AH12162" i="14"/>
  <c r="E12162" i="14"/>
  <c r="AH12161" i="14"/>
  <c r="E12161" i="14"/>
  <c r="AH12160" i="14"/>
  <c r="E12160" i="14"/>
  <c r="AH12159" i="14"/>
  <c r="E12159" i="14"/>
  <c r="AH12158" i="14"/>
  <c r="E12158" i="14"/>
  <c r="AH12157" i="14"/>
  <c r="E12157" i="14"/>
  <c r="AH12156" i="14"/>
  <c r="E12156" i="14"/>
  <c r="AH12155" i="14"/>
  <c r="E12155" i="14"/>
  <c r="AH12154" i="14"/>
  <c r="E12154" i="14"/>
  <c r="AH12153" i="14"/>
  <c r="E12153" i="14"/>
  <c r="AH12152" i="14"/>
  <c r="E12152" i="14"/>
  <c r="AH12151" i="14"/>
  <c r="E12151" i="14"/>
  <c r="AH12150" i="14"/>
  <c r="E12150" i="14"/>
  <c r="AH12149" i="14"/>
  <c r="E12149" i="14"/>
  <c r="AH12148" i="14"/>
  <c r="E12148" i="14"/>
  <c r="AH12147" i="14"/>
  <c r="E12147" i="14"/>
  <c r="AH12146" i="14"/>
  <c r="E12146" i="14"/>
  <c r="AH12145" i="14"/>
  <c r="E12145" i="14"/>
  <c r="AH12144" i="14"/>
  <c r="E12144" i="14"/>
  <c r="AH12143" i="14"/>
  <c r="E12143" i="14"/>
  <c r="AH12142" i="14"/>
  <c r="E12142" i="14"/>
  <c r="AH12141" i="14"/>
  <c r="E12141" i="14"/>
  <c r="AH12140" i="14"/>
  <c r="E12140" i="14"/>
  <c r="AH12139" i="14"/>
  <c r="E12139" i="14"/>
  <c r="AH12138" i="14"/>
  <c r="E12138" i="14"/>
  <c r="AH12137" i="14"/>
  <c r="E12137" i="14"/>
  <c r="AH12136" i="14"/>
  <c r="E12136" i="14"/>
  <c r="AH12135" i="14"/>
  <c r="E12135" i="14"/>
  <c r="AH12134" i="14"/>
  <c r="E12134" i="14"/>
  <c r="AH12133" i="14"/>
  <c r="E12133" i="14"/>
  <c r="AH12132" i="14"/>
  <c r="E12132" i="14"/>
  <c r="AH12131" i="14"/>
  <c r="E12131" i="14"/>
  <c r="AH12130" i="14"/>
  <c r="E12130" i="14"/>
  <c r="AH12129" i="14"/>
  <c r="E12129" i="14"/>
  <c r="AH12128" i="14"/>
  <c r="E12128" i="14"/>
  <c r="AH12127" i="14"/>
  <c r="E12127" i="14"/>
  <c r="AH12126" i="14"/>
  <c r="E12126" i="14"/>
  <c r="AH12125" i="14"/>
  <c r="E12125" i="14"/>
  <c r="AH12124" i="14"/>
  <c r="E12124" i="14"/>
  <c r="AH12123" i="14"/>
  <c r="E12123" i="14"/>
  <c r="AH12122" i="14"/>
  <c r="E12122" i="14"/>
  <c r="AH12121" i="14"/>
  <c r="E12121" i="14"/>
  <c r="AH12120" i="14"/>
  <c r="E12120" i="14"/>
  <c r="AH12119" i="14"/>
  <c r="E12119" i="14"/>
  <c r="AH12118" i="14"/>
  <c r="E12118" i="14"/>
  <c r="AH12117" i="14"/>
  <c r="E12117" i="14"/>
  <c r="AH12116" i="14"/>
  <c r="E12116" i="14"/>
  <c r="AH12115" i="14"/>
  <c r="E12115" i="14"/>
  <c r="AH12114" i="14"/>
  <c r="E12114" i="14"/>
  <c r="AH12113" i="14"/>
  <c r="E12113" i="14"/>
  <c r="AH12112" i="14"/>
  <c r="E12112" i="14"/>
  <c r="AH12111" i="14"/>
  <c r="E12111" i="14"/>
  <c r="AH12110" i="14"/>
  <c r="E12110" i="14"/>
  <c r="AH12109" i="14"/>
  <c r="E12109" i="14"/>
  <c r="AH12108" i="14"/>
  <c r="E12108" i="14"/>
  <c r="AH12107" i="14"/>
  <c r="E12107" i="14"/>
  <c r="AH12106" i="14"/>
  <c r="E12106" i="14"/>
  <c r="AH12105" i="14"/>
  <c r="E12105" i="14"/>
  <c r="AH12104" i="14"/>
  <c r="E12104" i="14"/>
  <c r="AH12103" i="14"/>
  <c r="E12103" i="14"/>
  <c r="AH12102" i="14"/>
  <c r="E12102" i="14"/>
  <c r="AH12101" i="14"/>
  <c r="E12101" i="14"/>
  <c r="AH12100" i="14"/>
  <c r="E12100" i="14"/>
  <c r="AH12099" i="14"/>
  <c r="E12099" i="14"/>
  <c r="AH12098" i="14"/>
  <c r="E12098" i="14"/>
  <c r="AH12097" i="14"/>
  <c r="E12097" i="14"/>
  <c r="AH12096" i="14"/>
  <c r="E12096" i="14"/>
  <c r="AH12095" i="14"/>
  <c r="E12095" i="14"/>
  <c r="AH12094" i="14"/>
  <c r="E12094" i="14"/>
  <c r="AH12093" i="14"/>
  <c r="E12093" i="14"/>
  <c r="AH12092" i="14"/>
  <c r="E12092" i="14"/>
  <c r="AH12091" i="14"/>
  <c r="E12091" i="14"/>
  <c r="AH12090" i="14"/>
  <c r="E12090" i="14"/>
  <c r="AH12089" i="14"/>
  <c r="E12089" i="14"/>
  <c r="AH12088" i="14"/>
  <c r="E12088" i="14"/>
  <c r="AH12087" i="14"/>
  <c r="E12087" i="14"/>
  <c r="AH12086" i="14"/>
  <c r="E12086" i="14"/>
  <c r="AH12085" i="14"/>
  <c r="E12085" i="14"/>
  <c r="AH12084" i="14"/>
  <c r="E12084" i="14"/>
  <c r="AH12083" i="14"/>
  <c r="E12083" i="14"/>
  <c r="AH12082" i="14"/>
  <c r="E12082" i="14"/>
  <c r="AH12081" i="14"/>
  <c r="E12081" i="14"/>
  <c r="AH12080" i="14"/>
  <c r="E12080" i="14"/>
  <c r="AH12079" i="14"/>
  <c r="E12079" i="14"/>
  <c r="AH12078" i="14"/>
  <c r="E12078" i="14"/>
  <c r="AH12077" i="14"/>
  <c r="E12077" i="14"/>
  <c r="AH12076" i="14"/>
  <c r="E12076" i="14"/>
  <c r="AH12075" i="14"/>
  <c r="E12075" i="14"/>
  <c r="AH12074" i="14"/>
  <c r="E12074" i="14"/>
  <c r="AH12073" i="14"/>
  <c r="E12073" i="14"/>
  <c r="AH12072" i="14"/>
  <c r="E12072" i="14"/>
  <c r="AH12071" i="14"/>
  <c r="E12071" i="14"/>
  <c r="AH12070" i="14"/>
  <c r="E12070" i="14"/>
  <c r="AH12069" i="14"/>
  <c r="E12069" i="14"/>
  <c r="AH12068" i="14"/>
  <c r="E12068" i="14"/>
  <c r="AH12067" i="14"/>
  <c r="E12067" i="14"/>
  <c r="AH12066" i="14"/>
  <c r="E12066" i="14"/>
  <c r="AH12065" i="14"/>
  <c r="E12065" i="14"/>
  <c r="AH12064" i="14"/>
  <c r="E12064" i="14"/>
  <c r="AH12063" i="14"/>
  <c r="E12063" i="14"/>
  <c r="AH12062" i="14"/>
  <c r="E12062" i="14"/>
  <c r="AH12061" i="14"/>
  <c r="E12061" i="14"/>
  <c r="AH12060" i="14"/>
  <c r="E12060" i="14"/>
  <c r="AH12059" i="14"/>
  <c r="E12059" i="14"/>
  <c r="AH12058" i="14"/>
  <c r="E12058" i="14"/>
  <c r="AH12057" i="14"/>
  <c r="E12057" i="14"/>
  <c r="AH12056" i="14"/>
  <c r="E12056" i="14"/>
  <c r="AH12055" i="14"/>
  <c r="E12055" i="14"/>
  <c r="AH12054" i="14"/>
  <c r="E12054" i="14"/>
  <c r="AH12053" i="14"/>
  <c r="E12053" i="14"/>
  <c r="AH12052" i="14"/>
  <c r="E12052" i="14"/>
  <c r="AH12051" i="14"/>
  <c r="E12051" i="14"/>
  <c r="AH12050" i="14"/>
  <c r="E12050" i="14"/>
  <c r="AH12049" i="14"/>
  <c r="E12049" i="14"/>
  <c r="AH12048" i="14"/>
  <c r="E12048" i="14"/>
  <c r="AH12047" i="14"/>
  <c r="E12047" i="14"/>
  <c r="AH12046" i="14"/>
  <c r="E12046" i="14"/>
  <c r="AH12045" i="14"/>
  <c r="E12045" i="14"/>
  <c r="AH12044" i="14"/>
  <c r="E12044" i="14"/>
  <c r="AH12043" i="14"/>
  <c r="E12043" i="14"/>
  <c r="AH12042" i="14"/>
  <c r="E12042" i="14"/>
  <c r="AH12041" i="14"/>
  <c r="E12041" i="14"/>
  <c r="AH12040" i="14"/>
  <c r="E12040" i="14"/>
  <c r="AH12039" i="14"/>
  <c r="E12039" i="14"/>
  <c r="AH12038" i="14"/>
  <c r="E12038" i="14"/>
  <c r="AH12037" i="14"/>
  <c r="E12037" i="14"/>
  <c r="AH12036" i="14"/>
  <c r="E12036" i="14"/>
  <c r="AH12035" i="14"/>
  <c r="E12035" i="14"/>
  <c r="AH12034" i="14"/>
  <c r="E12034" i="14"/>
  <c r="AH12033" i="14"/>
  <c r="E12033" i="14"/>
  <c r="AH12032" i="14"/>
  <c r="E12032" i="14"/>
  <c r="AH12031" i="14"/>
  <c r="E12031" i="14"/>
  <c r="AH12030" i="14"/>
  <c r="E12030" i="14"/>
  <c r="AH12029" i="14"/>
  <c r="E12029" i="14"/>
  <c r="AH12028" i="14"/>
  <c r="E12028" i="14"/>
  <c r="AH12027" i="14"/>
  <c r="E12027" i="14"/>
  <c r="AH12026" i="14"/>
  <c r="E12026" i="14"/>
  <c r="AH12025" i="14"/>
  <c r="E12025" i="14"/>
  <c r="AH12024" i="14"/>
  <c r="E12024" i="14"/>
  <c r="AH12023" i="14"/>
  <c r="E12023" i="14"/>
  <c r="AH12022" i="14"/>
  <c r="E12022" i="14"/>
  <c r="AH12021" i="14"/>
  <c r="E12021" i="14"/>
  <c r="AH12020" i="14"/>
  <c r="E12020" i="14"/>
  <c r="AH12019" i="14"/>
  <c r="E12019" i="14"/>
  <c r="AH12018" i="14"/>
  <c r="E12018" i="14"/>
  <c r="AH12017" i="14"/>
  <c r="E12017" i="14"/>
  <c r="AH12016" i="14"/>
  <c r="E12016" i="14"/>
  <c r="AH12015" i="14"/>
  <c r="E12015" i="14"/>
  <c r="AH12014" i="14"/>
  <c r="E12014" i="14"/>
  <c r="AH12013" i="14"/>
  <c r="E12013" i="14"/>
  <c r="AH12012" i="14"/>
  <c r="E12012" i="14"/>
  <c r="AH12011" i="14"/>
  <c r="E12011" i="14"/>
  <c r="AH12010" i="14"/>
  <c r="E12010" i="14"/>
  <c r="AH12009" i="14"/>
  <c r="E12009" i="14"/>
  <c r="AH12008" i="14"/>
  <c r="E12008" i="14"/>
  <c r="AH12007" i="14"/>
  <c r="E12007" i="14"/>
  <c r="AH12006" i="14"/>
  <c r="E12006" i="14"/>
  <c r="AH12005" i="14"/>
  <c r="E12005" i="14"/>
  <c r="AH12004" i="14"/>
  <c r="E12004" i="14"/>
  <c r="AH12003" i="14"/>
  <c r="E12003" i="14"/>
  <c r="AH12002" i="14"/>
  <c r="E12002" i="14"/>
  <c r="AH12001" i="14"/>
  <c r="E12001" i="14"/>
  <c r="AH12000" i="14"/>
  <c r="E12000" i="14"/>
  <c r="AH11999" i="14"/>
  <c r="E11999" i="14"/>
  <c r="AH11998" i="14"/>
  <c r="E11998" i="14"/>
  <c r="AH11997" i="14"/>
  <c r="E11997" i="14"/>
  <c r="AH11996" i="14"/>
  <c r="E11996" i="14"/>
  <c r="AH11995" i="14"/>
  <c r="E11995" i="14"/>
  <c r="AH11994" i="14"/>
  <c r="E11994" i="14"/>
  <c r="AH11993" i="14"/>
  <c r="E11993" i="14"/>
  <c r="AH11992" i="14"/>
  <c r="E11992" i="14"/>
  <c r="AH11991" i="14"/>
  <c r="E11991" i="14"/>
  <c r="AH11990" i="14"/>
  <c r="E11990" i="14"/>
  <c r="AH11989" i="14"/>
  <c r="E11989" i="14"/>
  <c r="AH11988" i="14"/>
  <c r="E11988" i="14"/>
  <c r="AH11987" i="14"/>
  <c r="E11987" i="14"/>
  <c r="AH11986" i="14"/>
  <c r="E11986" i="14"/>
  <c r="AH11985" i="14"/>
  <c r="E11985" i="14"/>
  <c r="AH11984" i="14"/>
  <c r="E11984" i="14"/>
  <c r="AH11983" i="14"/>
  <c r="E11983" i="14"/>
  <c r="AH11982" i="14"/>
  <c r="E11982" i="14"/>
  <c r="AH11981" i="14"/>
  <c r="E11981" i="14"/>
  <c r="AH11980" i="14"/>
  <c r="E11980" i="14"/>
  <c r="AH11979" i="14"/>
  <c r="E11979" i="14"/>
  <c r="AH11978" i="14"/>
  <c r="E11978" i="14"/>
  <c r="AH11977" i="14"/>
  <c r="E11977" i="14"/>
  <c r="AH11976" i="14"/>
  <c r="E11976" i="14"/>
  <c r="AH11975" i="14"/>
  <c r="E11975" i="14"/>
  <c r="AH11974" i="14"/>
  <c r="E11974" i="14"/>
  <c r="AH11973" i="14"/>
  <c r="E11973" i="14"/>
  <c r="AH11972" i="14"/>
  <c r="E11972" i="14"/>
  <c r="AH11971" i="14"/>
  <c r="E11971" i="14"/>
  <c r="AH11970" i="14"/>
  <c r="E11970" i="14"/>
  <c r="AH11969" i="14"/>
  <c r="E11969" i="14"/>
  <c r="AH11968" i="14"/>
  <c r="E11968" i="14"/>
  <c r="AH11967" i="14"/>
  <c r="E11967" i="14"/>
  <c r="AH11966" i="14"/>
  <c r="E11966" i="14"/>
  <c r="AH11965" i="14"/>
  <c r="E11965" i="14"/>
  <c r="AH11964" i="14"/>
  <c r="E11964" i="14"/>
  <c r="AH11963" i="14"/>
  <c r="E11963" i="14"/>
  <c r="AH11962" i="14"/>
  <c r="E11962" i="14"/>
  <c r="AH11961" i="14"/>
  <c r="E11961" i="14"/>
  <c r="AH11960" i="14"/>
  <c r="E11960" i="14"/>
  <c r="AH11959" i="14"/>
  <c r="E11959" i="14"/>
  <c r="AH11958" i="14"/>
  <c r="E11958" i="14"/>
  <c r="AH11957" i="14"/>
  <c r="E11957" i="14"/>
  <c r="AH11956" i="14"/>
  <c r="E11956" i="14"/>
  <c r="AH11955" i="14"/>
  <c r="E11955" i="14"/>
  <c r="AH11954" i="14"/>
  <c r="E11954" i="14"/>
  <c r="AH11953" i="14"/>
  <c r="E11953" i="14"/>
  <c r="AH11952" i="14"/>
  <c r="E11952" i="14"/>
  <c r="AH11951" i="14"/>
  <c r="E11951" i="14"/>
  <c r="AH11950" i="14"/>
  <c r="E11950" i="14"/>
  <c r="AH11949" i="14"/>
  <c r="E11949" i="14"/>
  <c r="AH11948" i="14"/>
  <c r="E11948" i="14"/>
  <c r="AH11947" i="14"/>
  <c r="E11947" i="14"/>
  <c r="AH11946" i="14"/>
  <c r="E11946" i="14"/>
  <c r="AH11945" i="14"/>
  <c r="E11945" i="14"/>
  <c r="AH11944" i="14"/>
  <c r="E11944" i="14"/>
  <c r="AH11943" i="14"/>
  <c r="E11943" i="14"/>
  <c r="AH11942" i="14"/>
  <c r="E11942" i="14"/>
  <c r="AH11941" i="14"/>
  <c r="E11941" i="14"/>
  <c r="AH11940" i="14"/>
  <c r="E11940" i="14"/>
  <c r="AH11939" i="14"/>
  <c r="E11939" i="14"/>
  <c r="AH11938" i="14"/>
  <c r="E11938" i="14"/>
  <c r="AH11937" i="14"/>
  <c r="E11937" i="14"/>
  <c r="AH11936" i="14"/>
  <c r="E11936" i="14"/>
  <c r="AH11935" i="14"/>
  <c r="E11935" i="14"/>
  <c r="AH11934" i="14"/>
  <c r="E11934" i="14"/>
  <c r="AH11933" i="14"/>
  <c r="Q11933" i="14"/>
  <c r="E11933" i="14"/>
  <c r="AH11932" i="14"/>
  <c r="Q11932" i="14"/>
  <c r="E11932" i="14"/>
  <c r="AH11931" i="14"/>
  <c r="E11931" i="14"/>
  <c r="AH11930" i="14"/>
  <c r="Q11930" i="14"/>
  <c r="E11930" i="14"/>
  <c r="AH11929" i="14"/>
  <c r="Q11929" i="14"/>
  <c r="E11929" i="14"/>
  <c r="AH11928" i="14"/>
  <c r="Q11928" i="14"/>
  <c r="E11928" i="14"/>
  <c r="AH11927" i="14"/>
  <c r="E11927" i="14"/>
  <c r="AH11926" i="14"/>
  <c r="E11926" i="14"/>
  <c r="AH11925" i="14"/>
  <c r="E11925" i="14"/>
  <c r="AH11924" i="14"/>
  <c r="E11924" i="14"/>
  <c r="AH11923" i="14"/>
  <c r="E11923" i="14"/>
  <c r="AH11922" i="14"/>
  <c r="E11922" i="14"/>
  <c r="AH11921" i="14"/>
  <c r="E11921" i="14"/>
  <c r="AH11920" i="14"/>
  <c r="E11920" i="14"/>
  <c r="AH11919" i="14"/>
  <c r="P11919" i="14"/>
  <c r="E11919" i="14"/>
  <c r="AH11918" i="14"/>
  <c r="P11918" i="14"/>
  <c r="O11918" i="14"/>
  <c r="E11918" i="14"/>
  <c r="AH11917" i="14"/>
  <c r="P11917" i="14"/>
  <c r="E11917" i="14"/>
  <c r="AH11916" i="14"/>
  <c r="E11916" i="14"/>
  <c r="AH11915" i="14"/>
  <c r="E11915" i="14"/>
  <c r="AH11914" i="14"/>
  <c r="E11914" i="14"/>
  <c r="AH11913" i="14"/>
  <c r="E11913" i="14"/>
  <c r="AH11912" i="14"/>
  <c r="E11912" i="14"/>
  <c r="AH11911" i="14"/>
  <c r="E11911" i="14"/>
  <c r="AH11910" i="14"/>
  <c r="E11910" i="14"/>
  <c r="AH11909" i="14"/>
  <c r="E11909" i="14"/>
  <c r="AH11908" i="14"/>
  <c r="E11908" i="14"/>
  <c r="AH11907" i="14"/>
  <c r="E11907" i="14"/>
  <c r="AH11906" i="14"/>
  <c r="E11906" i="14"/>
  <c r="AH11905" i="14"/>
  <c r="E11905" i="14"/>
  <c r="AH11904" i="14"/>
  <c r="E11904" i="14"/>
  <c r="AH11903" i="14"/>
  <c r="E11903" i="14"/>
  <c r="AH11902" i="14"/>
  <c r="E11902" i="14"/>
  <c r="AH11901" i="14"/>
  <c r="E11901" i="14"/>
  <c r="AH11900" i="14"/>
  <c r="E11900" i="14"/>
  <c r="AH11899" i="14"/>
  <c r="E11899" i="14"/>
  <c r="AH11898" i="14"/>
  <c r="E11898" i="14"/>
  <c r="AH11897" i="14"/>
  <c r="E11897" i="14"/>
  <c r="AH11896" i="14"/>
  <c r="E11896" i="14"/>
  <c r="AH11895" i="14"/>
  <c r="E11895" i="14"/>
  <c r="AH11894" i="14"/>
  <c r="E11894" i="14"/>
  <c r="AH11893" i="14"/>
  <c r="E11893" i="14"/>
  <c r="AH11892" i="14"/>
  <c r="E11892" i="14"/>
  <c r="AH11891" i="14"/>
  <c r="E11891" i="14"/>
  <c r="AH11890" i="14"/>
  <c r="E11890" i="14"/>
  <c r="AH11889" i="14"/>
  <c r="E11889" i="14"/>
  <c r="AH11888" i="14"/>
  <c r="E11888" i="14"/>
  <c r="AH11887" i="14"/>
  <c r="E11887" i="14"/>
  <c r="AH11886" i="14"/>
  <c r="E11886" i="14"/>
  <c r="AH11885" i="14"/>
  <c r="E11885" i="14"/>
  <c r="AH11884" i="14"/>
  <c r="E11884" i="14"/>
  <c r="AH11883" i="14"/>
  <c r="E11883" i="14"/>
  <c r="AH11882" i="14"/>
  <c r="E11882" i="14"/>
  <c r="AH11881" i="14"/>
  <c r="E11881" i="14"/>
  <c r="AH11880" i="14"/>
  <c r="E11880" i="14"/>
  <c r="AH11879" i="14"/>
  <c r="E11879" i="14"/>
  <c r="AH11878" i="14"/>
  <c r="E11878" i="14"/>
  <c r="AH11877" i="14"/>
  <c r="E11877" i="14"/>
  <c r="AH11876" i="14"/>
  <c r="E11876" i="14"/>
  <c r="AH11875" i="14"/>
  <c r="E11875" i="14"/>
  <c r="AH11874" i="14"/>
  <c r="E11874" i="14"/>
  <c r="AH11873" i="14"/>
  <c r="E11873" i="14"/>
  <c r="AH11872" i="14"/>
  <c r="E11872" i="14"/>
  <c r="AH11871" i="14"/>
  <c r="E11871" i="14"/>
  <c r="AH11870" i="14"/>
  <c r="E11870" i="14"/>
  <c r="AH11869" i="14"/>
  <c r="E11869" i="14"/>
  <c r="AH11868" i="14"/>
  <c r="E11868" i="14"/>
  <c r="AH11867" i="14"/>
  <c r="E11867" i="14"/>
  <c r="AH11866" i="14"/>
  <c r="E11866" i="14"/>
  <c r="AH11865" i="14"/>
  <c r="E11865" i="14"/>
  <c r="AH11864" i="14"/>
  <c r="E11864" i="14"/>
  <c r="AH11863" i="14"/>
  <c r="E11863" i="14"/>
  <c r="AH11862" i="14"/>
  <c r="E11862" i="14"/>
  <c r="AH11861" i="14"/>
  <c r="E11861" i="14"/>
  <c r="AH11860" i="14"/>
  <c r="E11860" i="14"/>
  <c r="AH11859" i="14"/>
  <c r="E11859" i="14"/>
  <c r="AH11858" i="14"/>
  <c r="E11858" i="14"/>
  <c r="AH11857" i="14"/>
  <c r="E11857" i="14"/>
  <c r="AH11856" i="14"/>
  <c r="E11856" i="14"/>
  <c r="AH11855" i="14"/>
  <c r="E11855" i="14"/>
  <c r="AH11854" i="14"/>
  <c r="E11854" i="14"/>
  <c r="AH11853" i="14"/>
  <c r="E11853" i="14"/>
  <c r="AH11852" i="14"/>
  <c r="E11852" i="14"/>
  <c r="AH11851" i="14"/>
  <c r="E11851" i="14"/>
  <c r="AH11850" i="14"/>
  <c r="E11850" i="14"/>
  <c r="AH11849" i="14"/>
  <c r="E11849" i="14"/>
  <c r="AH11848" i="14"/>
  <c r="E11848" i="14"/>
  <c r="AH11847" i="14"/>
  <c r="E11847" i="14"/>
  <c r="AH11846" i="14"/>
  <c r="E11846" i="14"/>
  <c r="AH11845" i="14"/>
  <c r="E11845" i="14"/>
  <c r="AH11844" i="14"/>
  <c r="E11844" i="14"/>
  <c r="AH11843" i="14"/>
  <c r="E11843" i="14"/>
  <c r="AH11842" i="14"/>
  <c r="E11842" i="14"/>
  <c r="AH11841" i="14"/>
  <c r="E11841" i="14"/>
  <c r="AH11840" i="14"/>
  <c r="E11840" i="14"/>
  <c r="AH11839" i="14"/>
  <c r="E11839" i="14"/>
  <c r="AH11838" i="14"/>
  <c r="E11838" i="14"/>
  <c r="AH11837" i="14"/>
  <c r="E11837" i="14"/>
  <c r="AH11836" i="14"/>
  <c r="E11836" i="14"/>
  <c r="AH11835" i="14"/>
  <c r="E11835" i="14"/>
  <c r="AH11834" i="14"/>
  <c r="E11834" i="14"/>
  <c r="AH11833" i="14"/>
  <c r="E11833" i="14"/>
  <c r="AH11832" i="14"/>
  <c r="E11832" i="14"/>
  <c r="AH11831" i="14"/>
  <c r="E11831" i="14"/>
  <c r="AH11830" i="14"/>
  <c r="E11830" i="14"/>
  <c r="AH11829" i="14"/>
  <c r="E11829" i="14"/>
  <c r="AH11828" i="14"/>
  <c r="E11828" i="14"/>
  <c r="AH11827" i="14"/>
  <c r="E11827" i="14"/>
  <c r="AH11826" i="14"/>
  <c r="E11826" i="14"/>
  <c r="AH11825" i="14"/>
  <c r="E11825" i="14"/>
  <c r="AH11824" i="14"/>
  <c r="E11824" i="14"/>
  <c r="AH11823" i="14"/>
  <c r="E11823" i="14"/>
  <c r="AH11822" i="14"/>
  <c r="E11822" i="14"/>
  <c r="AH11821" i="14"/>
  <c r="E11821" i="14"/>
  <c r="AH11820" i="14"/>
  <c r="E11820" i="14"/>
  <c r="AH11819" i="14"/>
  <c r="E11819" i="14"/>
  <c r="AH11818" i="14"/>
  <c r="E11818" i="14"/>
  <c r="AH11817" i="14"/>
  <c r="E11817" i="14"/>
  <c r="AH11816" i="14"/>
  <c r="E11816" i="14"/>
  <c r="AH11815" i="14"/>
  <c r="E11815" i="14"/>
  <c r="AH11814" i="14"/>
  <c r="E11814" i="14"/>
  <c r="AH11813" i="14"/>
  <c r="E11813" i="14"/>
  <c r="AH11812" i="14"/>
  <c r="E11812" i="14"/>
  <c r="AH11811" i="14"/>
  <c r="E11811" i="14"/>
  <c r="AH11810" i="14"/>
  <c r="E11810" i="14"/>
  <c r="AH11809" i="14"/>
  <c r="E11809" i="14"/>
  <c r="AH11808" i="14"/>
  <c r="E11808" i="14"/>
  <c r="AH11807" i="14"/>
  <c r="E11807" i="14"/>
  <c r="AH11806" i="14"/>
  <c r="E11806" i="14"/>
  <c r="AH11805" i="14"/>
  <c r="E11805" i="14"/>
  <c r="AH11804" i="14"/>
  <c r="E11804" i="14"/>
  <c r="AH11803" i="14"/>
  <c r="E11803" i="14"/>
  <c r="AH11802" i="14"/>
  <c r="E11802" i="14"/>
  <c r="AH11801" i="14"/>
  <c r="E11801" i="14"/>
  <c r="AH11800" i="14"/>
  <c r="E11800" i="14"/>
  <c r="AH11799" i="14"/>
  <c r="E11799" i="14"/>
  <c r="AH11798" i="14"/>
  <c r="E11798" i="14"/>
  <c r="AH11797" i="14"/>
  <c r="E11797" i="14"/>
  <c r="AH11796" i="14"/>
  <c r="E11796" i="14"/>
  <c r="AH11795" i="14"/>
  <c r="E11795" i="14"/>
  <c r="AH11794" i="14"/>
  <c r="E11794" i="14"/>
  <c r="AH11793" i="14"/>
  <c r="E11793" i="14"/>
  <c r="AH11792" i="14"/>
  <c r="E11792" i="14"/>
  <c r="AH11791" i="14"/>
  <c r="E11791" i="14"/>
  <c r="AH11790" i="14"/>
  <c r="E11790" i="14"/>
  <c r="AH11789" i="14"/>
  <c r="E11789" i="14"/>
  <c r="AH11788" i="14"/>
  <c r="E11788" i="14"/>
  <c r="AH11787" i="14"/>
  <c r="E11787" i="14"/>
  <c r="AH11786" i="14"/>
  <c r="E11786" i="14"/>
  <c r="AH11785" i="14"/>
  <c r="E11785" i="14"/>
  <c r="AH11784" i="14"/>
  <c r="E11784" i="14"/>
  <c r="AH11783" i="14"/>
  <c r="E11783" i="14"/>
  <c r="AH11782" i="14"/>
  <c r="E11782" i="14"/>
  <c r="AH11781" i="14"/>
  <c r="E11781" i="14"/>
  <c r="AH11780" i="14"/>
  <c r="E11780" i="14"/>
  <c r="AH11779" i="14"/>
  <c r="E11779" i="14"/>
  <c r="AH11778" i="14"/>
  <c r="E11778" i="14"/>
  <c r="AH11777" i="14"/>
  <c r="E11777" i="14"/>
  <c r="AH11776" i="14"/>
  <c r="E11776" i="14"/>
  <c r="AH11775" i="14"/>
  <c r="E11775" i="14"/>
  <c r="AH11774" i="14"/>
  <c r="E11774" i="14"/>
  <c r="AH11773" i="14"/>
  <c r="E11773" i="14"/>
  <c r="AH11772" i="14"/>
  <c r="E11772" i="14"/>
  <c r="AH11771" i="14"/>
  <c r="E11771" i="14"/>
  <c r="AH11770" i="14"/>
  <c r="E11770" i="14"/>
  <c r="AH11769" i="14"/>
  <c r="E11769" i="14"/>
  <c r="AH11768" i="14"/>
  <c r="E11768" i="14"/>
  <c r="AH11767" i="14"/>
  <c r="E11767" i="14"/>
  <c r="AH11766" i="14"/>
  <c r="E11766" i="14"/>
  <c r="AH11765" i="14"/>
  <c r="E11765" i="14"/>
  <c r="AH11764" i="14"/>
  <c r="E11764" i="14"/>
  <c r="AH11763" i="14"/>
  <c r="E11763" i="14"/>
  <c r="AH11762" i="14"/>
  <c r="E11762" i="14"/>
  <c r="AH11761" i="14"/>
  <c r="E11761" i="14"/>
  <c r="AH11760" i="14"/>
  <c r="E11760" i="14"/>
  <c r="AH11759" i="14"/>
  <c r="E11759" i="14"/>
  <c r="AH11758" i="14"/>
  <c r="E11758" i="14"/>
  <c r="AH11757" i="14"/>
  <c r="E11757" i="14"/>
  <c r="AH11756" i="14"/>
  <c r="E11756" i="14"/>
  <c r="AH11755" i="14"/>
  <c r="E11755" i="14"/>
  <c r="AH11754" i="14"/>
  <c r="E11754" i="14"/>
  <c r="AH11753" i="14"/>
  <c r="E11753" i="14"/>
  <c r="AH11752" i="14"/>
  <c r="E11752" i="14"/>
  <c r="AH11751" i="14"/>
  <c r="E11751" i="14"/>
  <c r="AH11750" i="14"/>
  <c r="E11750" i="14"/>
  <c r="AH11749" i="14"/>
  <c r="E11749" i="14"/>
  <c r="AH11748" i="14"/>
  <c r="E11748" i="14"/>
  <c r="AH11747" i="14"/>
  <c r="E11747" i="14"/>
  <c r="AH11746" i="14"/>
  <c r="E11746" i="14"/>
  <c r="AH11745" i="14"/>
  <c r="E11745" i="14"/>
  <c r="AH11744" i="14"/>
  <c r="E11744" i="14"/>
  <c r="AH11743" i="14"/>
  <c r="E11743" i="14"/>
  <c r="AH11742" i="14"/>
  <c r="E11742" i="14"/>
  <c r="AH11741" i="14"/>
  <c r="E11741" i="14"/>
  <c r="AH11740" i="14"/>
  <c r="E11740" i="14"/>
  <c r="AH11739" i="14"/>
  <c r="E11739" i="14"/>
  <c r="AH11738" i="14"/>
  <c r="E11738" i="14"/>
  <c r="AH11737" i="14"/>
  <c r="E11737" i="14"/>
  <c r="AH11736" i="14"/>
  <c r="P11736" i="14"/>
  <c r="O11736" i="14"/>
  <c r="E11736" i="14"/>
  <c r="AH11735" i="14"/>
  <c r="P11735" i="14"/>
  <c r="O11735" i="14"/>
  <c r="E11735" i="14"/>
  <c r="AH11734" i="14"/>
  <c r="P11734" i="14"/>
  <c r="O11734" i="14"/>
  <c r="E11734" i="14"/>
  <c r="AH11733" i="14"/>
  <c r="P11733" i="14"/>
  <c r="E11733" i="14"/>
  <c r="AH11732" i="14"/>
  <c r="P11732" i="14"/>
  <c r="E11732" i="14"/>
  <c r="AH11731" i="14"/>
  <c r="P11731" i="14"/>
  <c r="O11731" i="14"/>
  <c r="E11731" i="14"/>
  <c r="AH11730" i="14"/>
  <c r="P11730" i="14"/>
  <c r="O11730" i="14"/>
  <c r="E11730" i="14"/>
  <c r="AH11729" i="14"/>
  <c r="P11729" i="14"/>
  <c r="O11729" i="14"/>
  <c r="E11729" i="14"/>
  <c r="AH11728" i="14"/>
  <c r="P11728" i="14"/>
  <c r="O11728" i="14"/>
  <c r="E11728" i="14"/>
  <c r="AH11727" i="14"/>
  <c r="P11727" i="14"/>
  <c r="O11727" i="14"/>
  <c r="E11727" i="14"/>
  <c r="AH11726" i="14"/>
  <c r="P11726" i="14"/>
  <c r="E11726" i="14"/>
  <c r="AH11725" i="14"/>
  <c r="P11725" i="14"/>
  <c r="E11725" i="14"/>
  <c r="AH11724" i="14"/>
  <c r="P11724" i="14"/>
  <c r="E11724" i="14"/>
  <c r="AH11723" i="14"/>
  <c r="P11723" i="14"/>
  <c r="E11723" i="14"/>
  <c r="AH11722" i="14"/>
  <c r="P11722" i="14"/>
  <c r="E11722" i="14"/>
  <c r="AH11721" i="14"/>
  <c r="P11721" i="14"/>
  <c r="E11721" i="14"/>
  <c r="AH11720" i="14"/>
  <c r="P11720" i="14"/>
  <c r="O11720" i="14"/>
  <c r="E11720" i="14"/>
  <c r="AH11719" i="14"/>
  <c r="E11719" i="14"/>
  <c r="AH11718" i="14"/>
  <c r="E11718" i="14"/>
  <c r="AH11717" i="14"/>
  <c r="E11717" i="14"/>
  <c r="AH11716" i="14"/>
  <c r="P11716" i="14"/>
  <c r="E11716" i="14"/>
  <c r="AH11715" i="14"/>
  <c r="P11715" i="14"/>
  <c r="E11715" i="14"/>
  <c r="AH11714" i="14"/>
  <c r="E11714" i="14"/>
  <c r="AH11713" i="14"/>
  <c r="E11713" i="14"/>
  <c r="AH11712" i="14"/>
  <c r="E11712" i="14"/>
  <c r="AH11711" i="14"/>
  <c r="E11711" i="14"/>
  <c r="AH11710" i="14"/>
  <c r="E11710" i="14"/>
  <c r="AH11709" i="14"/>
  <c r="E11709" i="14"/>
  <c r="AH11708" i="14"/>
  <c r="E11708" i="14"/>
  <c r="AH11707" i="14"/>
  <c r="E11707" i="14"/>
  <c r="AH11706" i="14"/>
  <c r="E11706" i="14"/>
  <c r="AH11705" i="14"/>
  <c r="E11705" i="14"/>
  <c r="AH11704" i="14"/>
  <c r="E11704" i="14"/>
  <c r="AH11703" i="14"/>
  <c r="E11703" i="14"/>
  <c r="AH11702" i="14"/>
  <c r="E11702" i="14"/>
  <c r="AH11701" i="14"/>
  <c r="E11701" i="14"/>
  <c r="AH11700" i="14"/>
  <c r="E11700" i="14"/>
  <c r="AH11699" i="14"/>
  <c r="E11699" i="14"/>
  <c r="AH11698" i="14"/>
  <c r="E11698" i="14"/>
  <c r="AH11697" i="14"/>
  <c r="E11697" i="14"/>
  <c r="AH11696" i="14"/>
  <c r="E11696" i="14"/>
  <c r="AH11695" i="14"/>
  <c r="E11695" i="14"/>
  <c r="AH11694" i="14"/>
  <c r="E11694" i="14"/>
  <c r="AH11693" i="14"/>
  <c r="E11693" i="14"/>
  <c r="AH11692" i="14"/>
  <c r="E11692" i="14"/>
  <c r="AH11691" i="14"/>
  <c r="E11691" i="14"/>
  <c r="AH11690" i="14"/>
  <c r="E11690" i="14"/>
  <c r="AH11689" i="14"/>
  <c r="E11689" i="14"/>
  <c r="AH11688" i="14"/>
  <c r="E11688" i="14"/>
  <c r="AH11687" i="14"/>
  <c r="E11687" i="14"/>
  <c r="AH11686" i="14"/>
  <c r="E11686" i="14"/>
  <c r="AH11685" i="14"/>
  <c r="E11685" i="14"/>
  <c r="AH11684" i="14"/>
  <c r="E11684" i="14"/>
  <c r="AH11683" i="14"/>
  <c r="E11683" i="14"/>
  <c r="AH11682" i="14"/>
  <c r="E11682" i="14"/>
  <c r="AH11681" i="14"/>
  <c r="E11681" i="14"/>
  <c r="AH11680" i="14"/>
  <c r="E11680" i="14"/>
  <c r="AH11679" i="14"/>
  <c r="E11679" i="14"/>
  <c r="AH11678" i="14"/>
  <c r="E11678" i="14"/>
  <c r="AH11677" i="14"/>
  <c r="E11677" i="14"/>
  <c r="AH11676" i="14"/>
  <c r="E11676" i="14"/>
  <c r="AH11675" i="14"/>
  <c r="E11675" i="14"/>
  <c r="AH11674" i="14"/>
  <c r="E11674" i="14"/>
  <c r="AH11673" i="14"/>
  <c r="E11673" i="14"/>
  <c r="AH11672" i="14"/>
  <c r="E11672" i="14"/>
  <c r="AH11671" i="14"/>
  <c r="E11671" i="14"/>
  <c r="AH11670" i="14"/>
  <c r="E11670" i="14"/>
  <c r="AH11669" i="14"/>
  <c r="E11669" i="14"/>
  <c r="AH11668" i="14"/>
  <c r="E11668" i="14"/>
  <c r="AH11667" i="14"/>
  <c r="E11667" i="14"/>
  <c r="AH11666" i="14"/>
  <c r="E11666" i="14"/>
  <c r="AH11665" i="14"/>
  <c r="E11665" i="14"/>
  <c r="AH11664" i="14"/>
  <c r="E11664" i="14"/>
  <c r="AH11663" i="14"/>
  <c r="E11663" i="14"/>
  <c r="AH11662" i="14"/>
  <c r="E11662" i="14"/>
  <c r="AH11661" i="14"/>
  <c r="E11661" i="14"/>
  <c r="AH11660" i="14"/>
  <c r="E11660" i="14"/>
  <c r="AH11659" i="14"/>
  <c r="E11659" i="14"/>
  <c r="AH11658" i="14"/>
  <c r="E11658" i="14"/>
  <c r="AH11657" i="14"/>
  <c r="E11657" i="14"/>
  <c r="AH11656" i="14"/>
  <c r="E11656" i="14"/>
  <c r="AH11655" i="14"/>
  <c r="E11655" i="14"/>
  <c r="AH11654" i="14"/>
  <c r="E11654" i="14"/>
  <c r="AH11653" i="14"/>
  <c r="E11653" i="14"/>
  <c r="AH11652" i="14"/>
  <c r="E11652" i="14"/>
  <c r="AH11651" i="14"/>
  <c r="E11651" i="14"/>
  <c r="AH11650" i="14"/>
  <c r="E11650" i="14"/>
  <c r="AH11649" i="14"/>
  <c r="E11649" i="14"/>
  <c r="AH11648" i="14"/>
  <c r="E11648" i="14"/>
  <c r="AH11647" i="14"/>
  <c r="E11647" i="14"/>
  <c r="AH11646" i="14"/>
  <c r="E11646" i="14"/>
  <c r="AH11645" i="14"/>
  <c r="E11645" i="14"/>
  <c r="AH11644" i="14"/>
  <c r="E11644" i="14"/>
  <c r="AH11643" i="14"/>
  <c r="E11643" i="14"/>
  <c r="AH11642" i="14"/>
  <c r="E11642" i="14"/>
  <c r="AH11641" i="14"/>
  <c r="Q11641" i="14"/>
  <c r="E11641" i="14"/>
  <c r="AH11640" i="14"/>
  <c r="Q11640" i="14"/>
  <c r="E11640" i="14"/>
  <c r="AH11639" i="14"/>
  <c r="Q11639" i="14"/>
  <c r="E11639" i="14"/>
  <c r="AH11638" i="14"/>
  <c r="Q11638" i="14"/>
  <c r="E11638" i="14"/>
  <c r="AH11637" i="14"/>
  <c r="Q11637" i="14"/>
  <c r="E11637" i="14"/>
  <c r="AH11636" i="14"/>
  <c r="Q11636" i="14"/>
  <c r="E11636" i="14"/>
  <c r="AH11635" i="14"/>
  <c r="Q11635" i="14"/>
  <c r="E11635" i="14"/>
  <c r="AH11634" i="14"/>
  <c r="Q11634" i="14"/>
  <c r="E11634" i="14"/>
  <c r="AH11633" i="14"/>
  <c r="Q11633" i="14"/>
  <c r="E11633" i="14"/>
  <c r="AH11632" i="14"/>
  <c r="Q11632" i="14"/>
  <c r="E11632" i="14"/>
  <c r="AH11631" i="14"/>
  <c r="Q11631" i="14"/>
  <c r="E11631" i="14"/>
  <c r="AH11630" i="14"/>
  <c r="Q11630" i="14"/>
  <c r="E11630" i="14"/>
  <c r="AH11629" i="14"/>
  <c r="Q11629" i="14"/>
  <c r="E11629" i="14"/>
  <c r="AH11628" i="14"/>
  <c r="Q11628" i="14"/>
  <c r="E11628" i="14"/>
  <c r="AH11627" i="14"/>
  <c r="Q11627" i="14"/>
  <c r="E11627" i="14"/>
  <c r="AH11626" i="14"/>
  <c r="Q11626" i="14"/>
  <c r="E11626" i="14"/>
  <c r="AH11625" i="14"/>
  <c r="Q11625" i="14"/>
  <c r="E11625" i="14"/>
  <c r="AH11624" i="14"/>
  <c r="Q11624" i="14"/>
  <c r="E11624" i="14"/>
  <c r="AH11623" i="14"/>
  <c r="Q11623" i="14"/>
  <c r="E11623" i="14"/>
  <c r="AH11622" i="14"/>
  <c r="Q11622" i="14"/>
  <c r="E11622" i="14"/>
  <c r="AH11621" i="14"/>
  <c r="Q11621" i="14"/>
  <c r="E11621" i="14"/>
  <c r="AH11620" i="14"/>
  <c r="E11620" i="14"/>
  <c r="AH11619" i="14"/>
  <c r="Q11619" i="14"/>
  <c r="E11619" i="14"/>
  <c r="AH11618" i="14"/>
  <c r="Q11618" i="14"/>
  <c r="E11618" i="14"/>
  <c r="AH11617" i="14"/>
  <c r="E11617" i="14"/>
  <c r="AH11616" i="14"/>
  <c r="Q11616" i="14"/>
  <c r="E11616" i="14"/>
  <c r="AH11615" i="14"/>
  <c r="Q11615" i="14"/>
  <c r="E11615" i="14"/>
  <c r="AH11614" i="14"/>
  <c r="Q11614" i="14"/>
  <c r="E11614" i="14"/>
  <c r="AH11613" i="14"/>
  <c r="Q11613" i="14"/>
  <c r="E11613" i="14"/>
  <c r="AH11612" i="14"/>
  <c r="E11612" i="14"/>
  <c r="AH11611" i="14"/>
  <c r="Q11611" i="14"/>
  <c r="E11611" i="14"/>
  <c r="AH11610" i="14"/>
  <c r="E11610" i="14"/>
  <c r="AH11609" i="14"/>
  <c r="Q11609" i="14"/>
  <c r="E11609" i="14"/>
  <c r="AH11608" i="14"/>
  <c r="Q11608" i="14"/>
  <c r="E11608" i="14"/>
  <c r="AH11607" i="14"/>
  <c r="Q11607" i="14"/>
  <c r="E11607" i="14"/>
  <c r="AH11606" i="14"/>
  <c r="Q11606" i="14"/>
  <c r="E11606" i="14"/>
  <c r="AH11605" i="14"/>
  <c r="Q11605" i="14"/>
  <c r="E11605" i="14"/>
  <c r="AH11604" i="14"/>
  <c r="Q11604" i="14"/>
  <c r="E11604" i="14"/>
  <c r="AH11603" i="14"/>
  <c r="Q11603" i="14"/>
  <c r="E11603" i="14"/>
  <c r="AH11602" i="14"/>
  <c r="Q11602" i="14"/>
  <c r="E11602" i="14"/>
  <c r="AH11601" i="14"/>
  <c r="Q11601" i="14"/>
  <c r="E11601" i="14"/>
  <c r="AH11600" i="14"/>
  <c r="Q11600" i="14"/>
  <c r="E11600" i="14"/>
  <c r="AH11599" i="14"/>
  <c r="Q11599" i="14"/>
  <c r="E11599" i="14"/>
  <c r="AH11598" i="14"/>
  <c r="E11598" i="14"/>
  <c r="AH11597" i="14"/>
  <c r="E11597" i="14"/>
  <c r="AH11596" i="14"/>
  <c r="Q11596" i="14"/>
  <c r="E11596" i="14"/>
  <c r="AH11595" i="14"/>
  <c r="Q11595" i="14"/>
  <c r="E11595" i="14"/>
  <c r="AH11594" i="14"/>
  <c r="E11594" i="14"/>
  <c r="AH11593" i="14"/>
  <c r="AG11593" i="14"/>
  <c r="AF11593" i="14"/>
  <c r="AE11593" i="14"/>
  <c r="Q11593" i="14"/>
  <c r="E11593" i="14"/>
  <c r="AH11592" i="14"/>
  <c r="Q11592" i="14"/>
  <c r="E11592" i="14"/>
  <c r="AH11591" i="14"/>
  <c r="Q11591" i="14"/>
  <c r="E11591" i="14"/>
  <c r="AH11590" i="14"/>
  <c r="Q11590" i="14"/>
  <c r="E11590" i="14"/>
  <c r="AH11589" i="14"/>
  <c r="Q11589" i="14"/>
  <c r="E11589" i="14"/>
  <c r="AH11588" i="14"/>
  <c r="Q11588" i="14"/>
  <c r="E11588" i="14"/>
  <c r="AH11587" i="14"/>
  <c r="Q11587" i="14"/>
  <c r="E11587" i="14"/>
  <c r="AH11586" i="14"/>
  <c r="Q11586" i="14"/>
  <c r="E11586" i="14"/>
  <c r="AH11585" i="14"/>
  <c r="Q11585" i="14"/>
  <c r="E11585" i="14"/>
  <c r="AH11584" i="14"/>
  <c r="Q11584" i="14"/>
  <c r="E11584" i="14"/>
  <c r="AH11583" i="14"/>
  <c r="Q11583" i="14"/>
  <c r="E11583" i="14"/>
  <c r="AH11582" i="14"/>
  <c r="Q11582" i="14"/>
  <c r="E11582" i="14"/>
  <c r="AH11581" i="14"/>
  <c r="Q11581" i="14"/>
  <c r="E11581" i="14"/>
  <c r="AH11580" i="14"/>
  <c r="Q11580" i="14"/>
  <c r="E11580" i="14"/>
  <c r="AH11579" i="14"/>
  <c r="Q11579" i="14"/>
  <c r="E11579" i="14"/>
  <c r="AH11578" i="14"/>
  <c r="Q11578" i="14"/>
  <c r="E11578" i="14"/>
  <c r="AH11577" i="14"/>
  <c r="Q11577" i="14"/>
  <c r="E11577" i="14"/>
  <c r="AH11576" i="14"/>
  <c r="Q11576" i="14"/>
  <c r="E11576" i="14"/>
  <c r="AH11575" i="14"/>
  <c r="Q11575" i="14"/>
  <c r="E11575" i="14"/>
  <c r="AH11574" i="14"/>
  <c r="Q11574" i="14"/>
  <c r="E11574" i="14"/>
  <c r="AH11573" i="14"/>
  <c r="E11573" i="14"/>
  <c r="AH11572" i="14"/>
  <c r="Q11572" i="14"/>
  <c r="E11572" i="14"/>
  <c r="AH11571" i="14"/>
  <c r="Q11571" i="14"/>
  <c r="E11571" i="14"/>
  <c r="AH11570" i="14"/>
  <c r="Q11570" i="14"/>
  <c r="E11570" i="14"/>
  <c r="AH11569" i="14"/>
  <c r="Q11569" i="14"/>
  <c r="E11569" i="14"/>
  <c r="AH11568" i="14"/>
  <c r="Q11568" i="14"/>
  <c r="E11568" i="14"/>
  <c r="AH11567" i="14"/>
  <c r="Q11567" i="14"/>
  <c r="E11567" i="14"/>
  <c r="AH11566" i="14"/>
  <c r="E11566" i="14"/>
  <c r="AH11565" i="14"/>
  <c r="Q11565" i="14"/>
  <c r="E11565" i="14"/>
  <c r="AH11564" i="14"/>
  <c r="E11564" i="14"/>
  <c r="AH11563" i="14"/>
  <c r="Q11563" i="14"/>
  <c r="E11563" i="14"/>
  <c r="AH11562" i="14"/>
  <c r="E11562" i="14"/>
  <c r="AH11561" i="14"/>
  <c r="Q11561" i="14"/>
  <c r="E11561" i="14"/>
  <c r="AH11560" i="14"/>
  <c r="Q11560" i="14"/>
  <c r="E11560" i="14"/>
  <c r="AH11559" i="14"/>
  <c r="Q11559" i="14"/>
  <c r="E11559" i="14"/>
  <c r="AH11558" i="14"/>
  <c r="Q11558" i="14"/>
  <c r="E11558" i="14"/>
  <c r="AH11557" i="14"/>
  <c r="E11557" i="14"/>
  <c r="AH11556" i="14"/>
  <c r="E11556" i="14"/>
  <c r="AH11555" i="14"/>
  <c r="Q11555" i="14"/>
  <c r="E11555" i="14"/>
  <c r="AH11554" i="14"/>
  <c r="Q11554" i="14"/>
  <c r="E11554" i="14"/>
  <c r="AH11553" i="14"/>
  <c r="Q11553" i="14"/>
  <c r="E11553" i="14"/>
  <c r="AH11552" i="14"/>
  <c r="Q11552" i="14"/>
  <c r="E11552" i="14"/>
  <c r="AH11551" i="14"/>
  <c r="Q11551" i="14"/>
  <c r="E11551" i="14"/>
  <c r="AH11550" i="14"/>
  <c r="E11550" i="14"/>
  <c r="AH11549" i="14"/>
  <c r="Q11549" i="14"/>
  <c r="E11549" i="14"/>
  <c r="AH11548" i="14"/>
  <c r="Q11548" i="14"/>
  <c r="E11548" i="14"/>
  <c r="AH11547" i="14"/>
  <c r="Q11547" i="14"/>
  <c r="E11547" i="14"/>
  <c r="AH11546" i="14"/>
  <c r="Q11546" i="14"/>
  <c r="E11546" i="14"/>
  <c r="AH11545" i="14"/>
  <c r="Q11545" i="14"/>
  <c r="E11545" i="14"/>
  <c r="AH11544" i="14"/>
  <c r="Q11544" i="14"/>
  <c r="E11544" i="14"/>
  <c r="AH11543" i="14"/>
  <c r="Q11543" i="14"/>
  <c r="E11543" i="14"/>
  <c r="AH11542" i="14"/>
  <c r="Q11542" i="14"/>
  <c r="E11542" i="14"/>
  <c r="AH11541" i="14"/>
  <c r="Q11541" i="14"/>
  <c r="E11541" i="14"/>
  <c r="AH11540" i="14"/>
  <c r="Q11540" i="14"/>
  <c r="E11540" i="14"/>
  <c r="AH11539" i="14"/>
  <c r="Q11539" i="14"/>
  <c r="E11539" i="14"/>
  <c r="AH11538" i="14"/>
  <c r="Q11538" i="14"/>
  <c r="E11538" i="14"/>
  <c r="AH11537" i="14"/>
  <c r="Q11537" i="14"/>
  <c r="E11537" i="14"/>
  <c r="AH11536" i="14"/>
  <c r="E11536" i="14"/>
  <c r="AH11535" i="14"/>
  <c r="Q11535" i="14"/>
  <c r="E11535" i="14"/>
  <c r="AH11534" i="14"/>
  <c r="E11534" i="14"/>
  <c r="AH11533" i="14"/>
  <c r="E11533" i="14"/>
  <c r="AH11532" i="14"/>
  <c r="Q11532" i="14"/>
  <c r="E11532" i="14"/>
  <c r="AH11531" i="14"/>
  <c r="Q11531" i="14"/>
  <c r="E11531" i="14"/>
  <c r="AH11530" i="14"/>
  <c r="Q11530" i="14"/>
  <c r="E11530" i="14"/>
  <c r="AH11529" i="14"/>
  <c r="E11529" i="14"/>
  <c r="AH11528" i="14"/>
  <c r="Q11528" i="14"/>
  <c r="E11528" i="14"/>
  <c r="AH11527" i="14"/>
  <c r="Q11527" i="14"/>
  <c r="E11527" i="14"/>
  <c r="AH11526" i="14"/>
  <c r="Q11526" i="14"/>
  <c r="E11526" i="14"/>
  <c r="AH11525" i="14"/>
  <c r="E11525" i="14"/>
  <c r="AH11524" i="14"/>
  <c r="Q11524" i="14"/>
  <c r="E11524" i="14"/>
  <c r="AH11523" i="14"/>
  <c r="Q11523" i="14"/>
  <c r="E11523" i="14"/>
  <c r="AH11522" i="14"/>
  <c r="Q11522" i="14"/>
  <c r="E11522" i="14"/>
  <c r="AH11521" i="14"/>
  <c r="Q11521" i="14"/>
  <c r="E11521" i="14"/>
  <c r="AH11520" i="14"/>
  <c r="Q11520" i="14"/>
  <c r="E11520" i="14"/>
  <c r="AH11519" i="14"/>
  <c r="Q11519" i="14"/>
  <c r="E11519" i="14"/>
  <c r="AH11518" i="14"/>
  <c r="E11518" i="14"/>
  <c r="AH11517" i="14"/>
  <c r="E11517" i="14"/>
  <c r="AH11516" i="14"/>
  <c r="Q11516" i="14"/>
  <c r="E11516" i="14"/>
  <c r="AH11515" i="14"/>
  <c r="Q11515" i="14"/>
  <c r="E11515" i="14"/>
  <c r="AH11514" i="14"/>
  <c r="E11514" i="14"/>
  <c r="AH11513" i="14"/>
  <c r="Q11513" i="14"/>
  <c r="E11513" i="14"/>
  <c r="AH11512" i="14"/>
  <c r="Q11512" i="14"/>
  <c r="E11512" i="14"/>
  <c r="AH11511" i="14"/>
  <c r="Q11511" i="14"/>
  <c r="E11511" i="14"/>
  <c r="AH11510" i="14"/>
  <c r="Q11510" i="14"/>
  <c r="E11510" i="14"/>
  <c r="AH11509" i="14"/>
  <c r="Q11509" i="14"/>
  <c r="E11509" i="14"/>
  <c r="AH11508" i="14"/>
  <c r="Q11508" i="14"/>
  <c r="E11508" i="14"/>
  <c r="AH11507" i="14"/>
  <c r="Q11507" i="14"/>
  <c r="E11507" i="14"/>
  <c r="AH11506" i="14"/>
  <c r="Q11506" i="14"/>
  <c r="E11506" i="14"/>
  <c r="AH11505" i="14"/>
  <c r="Q11505" i="14"/>
  <c r="E11505" i="14"/>
  <c r="AH11504" i="14"/>
  <c r="Q11504" i="14"/>
  <c r="E11504" i="14"/>
  <c r="AH11503" i="14"/>
  <c r="Q11503" i="14"/>
  <c r="E11503" i="14"/>
  <c r="AH11502" i="14"/>
  <c r="Q11502" i="14"/>
  <c r="E11502" i="14"/>
  <c r="AH11501" i="14"/>
  <c r="Q11501" i="14"/>
  <c r="E11501" i="14"/>
  <c r="AH11500" i="14"/>
  <c r="Q11500" i="14"/>
  <c r="E11500" i="14"/>
  <c r="AH11499" i="14"/>
  <c r="E11499" i="14"/>
  <c r="AH11498" i="14"/>
  <c r="Q11498" i="14"/>
  <c r="E11498" i="14"/>
  <c r="AH11497" i="14"/>
  <c r="Q11497" i="14"/>
  <c r="E11497" i="14"/>
  <c r="AH11496" i="14"/>
  <c r="Q11496" i="14"/>
  <c r="E11496" i="14"/>
  <c r="AH11495" i="14"/>
  <c r="E11495" i="14"/>
  <c r="AH11494" i="14"/>
  <c r="E11494" i="14"/>
  <c r="AH11493" i="14"/>
  <c r="E11493" i="14"/>
  <c r="AH11492" i="14"/>
  <c r="E11492" i="14"/>
  <c r="AH11491" i="14"/>
  <c r="E11491" i="14"/>
  <c r="AH11490" i="14"/>
  <c r="E11490" i="14"/>
  <c r="AH11489" i="14"/>
  <c r="E11489" i="14"/>
  <c r="AH11488" i="14"/>
  <c r="E11488" i="14"/>
  <c r="AH11487" i="14"/>
  <c r="E11487" i="14"/>
  <c r="AH11486" i="14"/>
  <c r="E11486" i="14"/>
  <c r="AH11485" i="14"/>
  <c r="E11485" i="14"/>
  <c r="AH11484" i="14"/>
  <c r="E11484" i="14"/>
  <c r="AH11483" i="14"/>
  <c r="E11483" i="14"/>
  <c r="AH11482" i="14"/>
  <c r="E11482" i="14"/>
  <c r="AH11481" i="14"/>
  <c r="E11481" i="14"/>
  <c r="AH11480" i="14"/>
  <c r="E11480" i="14"/>
  <c r="AH11479" i="14"/>
  <c r="E11479" i="14"/>
  <c r="AH11478" i="14"/>
  <c r="E11478" i="14"/>
  <c r="AH11477" i="14"/>
  <c r="E11477" i="14"/>
  <c r="AH11476" i="14"/>
  <c r="E11476" i="14"/>
  <c r="AH11475" i="14"/>
  <c r="E11475" i="14"/>
  <c r="AH11474" i="14"/>
  <c r="E11474" i="14"/>
  <c r="AH11473" i="14"/>
  <c r="E11473" i="14"/>
  <c r="AH11472" i="14"/>
  <c r="E11472" i="14"/>
  <c r="AH11471" i="14"/>
  <c r="E11471" i="14"/>
  <c r="AH11470" i="14"/>
  <c r="E11470" i="14"/>
  <c r="AH11469" i="14"/>
  <c r="E11469" i="14"/>
  <c r="AH11468" i="14"/>
  <c r="E11468" i="14"/>
  <c r="AH11467" i="14"/>
  <c r="E11467" i="14"/>
  <c r="AH11466" i="14"/>
  <c r="E11466" i="14"/>
  <c r="AH11465" i="14"/>
  <c r="E11465" i="14"/>
  <c r="AH11464" i="14"/>
  <c r="E11464" i="14"/>
  <c r="AH11463" i="14"/>
  <c r="E11463" i="14"/>
  <c r="AH11462" i="14"/>
  <c r="E11462" i="14"/>
  <c r="AH11461" i="14"/>
  <c r="E11461" i="14"/>
  <c r="AH11460" i="14"/>
  <c r="E11460" i="14"/>
  <c r="AH11459" i="14"/>
  <c r="E11459" i="14"/>
  <c r="AH11458" i="14"/>
  <c r="E11458" i="14"/>
  <c r="AH11457" i="14"/>
  <c r="E11457" i="14"/>
  <c r="AH11456" i="14"/>
  <c r="E11456" i="14"/>
  <c r="AH11455" i="14"/>
  <c r="E11455" i="14"/>
  <c r="AH11454" i="14"/>
  <c r="E11454" i="14"/>
  <c r="AH11453" i="14"/>
  <c r="E11453" i="14"/>
  <c r="AH11452" i="14"/>
  <c r="E11452" i="14"/>
  <c r="AH11451" i="14"/>
  <c r="E11451" i="14"/>
  <c r="AH11450" i="14"/>
  <c r="E11450" i="14"/>
  <c r="AH11449" i="14"/>
  <c r="E11449" i="14"/>
  <c r="AH11448" i="14"/>
  <c r="E11448" i="14"/>
  <c r="AH11447" i="14"/>
  <c r="E11447" i="14"/>
  <c r="AH11446" i="14"/>
  <c r="E11446" i="14"/>
  <c r="AH11445" i="14"/>
  <c r="E11445" i="14"/>
  <c r="AH11444" i="14"/>
  <c r="E11444" i="14"/>
  <c r="AH11443" i="14"/>
  <c r="E11443" i="14"/>
  <c r="AH11442" i="14"/>
  <c r="E11442" i="14"/>
  <c r="AH11441" i="14"/>
  <c r="E11441" i="14"/>
  <c r="AH11440" i="14"/>
  <c r="E11440" i="14"/>
  <c r="AH11439" i="14"/>
  <c r="E11439" i="14"/>
  <c r="AH11438" i="14"/>
  <c r="E11438" i="14"/>
  <c r="AH11437" i="14"/>
  <c r="E11437" i="14"/>
  <c r="AH11436" i="14"/>
  <c r="E11436" i="14"/>
  <c r="AH11435" i="14"/>
  <c r="E11435" i="14"/>
  <c r="AH11434" i="14"/>
  <c r="E11434" i="14"/>
  <c r="AH11433" i="14"/>
  <c r="E11433" i="14"/>
  <c r="AH11432" i="14"/>
  <c r="E11432" i="14"/>
  <c r="AH11431" i="14"/>
  <c r="E11431" i="14"/>
  <c r="AH11430" i="14"/>
  <c r="E11430" i="14"/>
  <c r="AH11429" i="14"/>
  <c r="E11429" i="14"/>
  <c r="AH11428" i="14"/>
  <c r="E11428" i="14"/>
  <c r="AH11427" i="14"/>
  <c r="E11427" i="14"/>
  <c r="AH11426" i="14"/>
  <c r="E11426" i="14"/>
  <c r="AH11425" i="14"/>
  <c r="E11425" i="14"/>
  <c r="AH11424" i="14"/>
  <c r="E11424" i="14"/>
  <c r="AH11423" i="14"/>
  <c r="E11423" i="14"/>
  <c r="AH11422" i="14"/>
  <c r="E11422" i="14"/>
  <c r="AH11421" i="14"/>
  <c r="E11421" i="14"/>
  <c r="AH11420" i="14"/>
  <c r="E11420" i="14"/>
  <c r="AH11419" i="14"/>
  <c r="E11419" i="14"/>
  <c r="AH11418" i="14"/>
  <c r="E11418" i="14"/>
  <c r="AH11417" i="14"/>
  <c r="E11417" i="14"/>
  <c r="AH11416" i="14"/>
  <c r="E11416" i="14"/>
  <c r="AH11415" i="14"/>
  <c r="E11415" i="14"/>
  <c r="AH11414" i="14"/>
  <c r="E11414" i="14"/>
  <c r="AH11413" i="14"/>
  <c r="E11413" i="14"/>
  <c r="AH11412" i="14"/>
  <c r="E11412" i="14"/>
  <c r="AH11411" i="14"/>
  <c r="E11411" i="14"/>
  <c r="AH11410" i="14"/>
  <c r="E11410" i="14"/>
  <c r="AH11409" i="14"/>
  <c r="E11409" i="14"/>
  <c r="AH11408" i="14"/>
  <c r="E11408" i="14"/>
  <c r="AH11407" i="14"/>
  <c r="E11407" i="14"/>
  <c r="AH11406" i="14"/>
  <c r="E11406" i="14"/>
  <c r="AH11405" i="14"/>
  <c r="E11405" i="14"/>
  <c r="AH11404" i="14"/>
  <c r="E11404" i="14"/>
  <c r="AH11403" i="14"/>
  <c r="E11403" i="14"/>
  <c r="AH11402" i="14"/>
  <c r="E11402" i="14"/>
  <c r="AH11401" i="14"/>
  <c r="E11401" i="14"/>
  <c r="AH11400" i="14"/>
  <c r="E11400" i="14"/>
  <c r="AH11399" i="14"/>
  <c r="E11399" i="14"/>
  <c r="AH11398" i="14"/>
  <c r="E11398" i="14"/>
  <c r="AH11397" i="14"/>
  <c r="E11397" i="14"/>
  <c r="AH11396" i="14"/>
  <c r="E11396" i="14"/>
  <c r="AH11395" i="14"/>
  <c r="E11395" i="14"/>
  <c r="AH11394" i="14"/>
  <c r="E11394" i="14"/>
  <c r="AH11393" i="14"/>
  <c r="E11393" i="14"/>
  <c r="AH11392" i="14"/>
  <c r="E11392" i="14"/>
  <c r="AH11391" i="14"/>
  <c r="E11391" i="14"/>
  <c r="AH11390" i="14"/>
  <c r="E11390" i="14"/>
  <c r="AH11389" i="14"/>
  <c r="E11389" i="14"/>
  <c r="AH11388" i="14"/>
  <c r="E11388" i="14"/>
  <c r="AH11387" i="14"/>
  <c r="E11387" i="14"/>
  <c r="AH11386" i="14"/>
  <c r="E11386" i="14"/>
  <c r="AH11385" i="14"/>
  <c r="E11385" i="14"/>
  <c r="AH11384" i="14"/>
  <c r="E11384" i="14"/>
  <c r="AH11383" i="14"/>
  <c r="E11383" i="14"/>
  <c r="AH11382" i="14"/>
  <c r="E11382" i="14"/>
  <c r="AH11381" i="14"/>
  <c r="E11381" i="14"/>
  <c r="AH11380" i="14"/>
  <c r="E11380" i="14"/>
  <c r="AH11379" i="14"/>
  <c r="E11379" i="14"/>
  <c r="AH11378" i="14"/>
  <c r="E11378" i="14"/>
  <c r="AH11377" i="14"/>
  <c r="E11377" i="14"/>
  <c r="AH11376" i="14"/>
  <c r="E11376" i="14"/>
  <c r="AH11375" i="14"/>
  <c r="E11375" i="14"/>
  <c r="AH11374" i="14"/>
  <c r="E11374" i="14"/>
  <c r="AH11373" i="14"/>
  <c r="E11373" i="14"/>
  <c r="AH11372" i="14"/>
  <c r="E11372" i="14"/>
  <c r="AH11371" i="14"/>
  <c r="E11371" i="14"/>
  <c r="AH11370" i="14"/>
  <c r="E11370" i="14"/>
  <c r="AH11369" i="14"/>
  <c r="E11369" i="14"/>
  <c r="AH11368" i="14"/>
  <c r="P11368" i="14"/>
  <c r="E11368" i="14"/>
  <c r="AH11367" i="14"/>
  <c r="E11367" i="14"/>
  <c r="AH11366" i="14"/>
  <c r="E11366" i="14"/>
  <c r="AH11365" i="14"/>
  <c r="E11365" i="14"/>
  <c r="AH11364" i="14"/>
  <c r="P11364" i="14"/>
  <c r="E11364" i="14"/>
  <c r="AH11363" i="14"/>
  <c r="E11363" i="14"/>
  <c r="AH11362" i="14"/>
  <c r="P11362" i="14"/>
  <c r="E11362" i="14"/>
  <c r="AH11361" i="14"/>
  <c r="E11361" i="14"/>
  <c r="AH11360" i="14"/>
  <c r="E11360" i="14"/>
  <c r="AH11359" i="14"/>
  <c r="E11359" i="14"/>
  <c r="AH11358" i="14"/>
  <c r="E11358" i="14"/>
  <c r="AH11357" i="14"/>
  <c r="E11357" i="14"/>
  <c r="AH11356" i="14"/>
  <c r="E11356" i="14"/>
  <c r="AH11355" i="14"/>
  <c r="E11355" i="14"/>
  <c r="AH11354" i="14"/>
  <c r="E11354" i="14"/>
  <c r="AH11353" i="14"/>
  <c r="E11353" i="14"/>
  <c r="AH11352" i="14"/>
  <c r="E11352" i="14"/>
  <c r="AH11351" i="14"/>
  <c r="P11351" i="14"/>
  <c r="E11351" i="14"/>
  <c r="AH11350" i="14"/>
  <c r="E11350" i="14"/>
  <c r="AH11349" i="14"/>
  <c r="E11349" i="14"/>
  <c r="AH11348" i="14"/>
  <c r="E11348" i="14"/>
  <c r="AH11347" i="14"/>
  <c r="E11347" i="14"/>
  <c r="AH11346" i="14"/>
  <c r="E11346" i="14"/>
  <c r="AH11345" i="14"/>
  <c r="E11345" i="14"/>
  <c r="AH11344" i="14"/>
  <c r="E11344" i="14"/>
  <c r="AH11343" i="14"/>
  <c r="P11343" i="14"/>
  <c r="E11343" i="14"/>
  <c r="AH11342" i="14"/>
  <c r="E11342" i="14"/>
  <c r="AH11341" i="14"/>
  <c r="E11341" i="14"/>
  <c r="AH11340" i="14"/>
  <c r="E11340" i="14"/>
  <c r="AH11339" i="14"/>
  <c r="E11339" i="14"/>
  <c r="AH11338" i="14"/>
  <c r="P11338" i="14"/>
  <c r="E11338" i="14"/>
  <c r="AH11337" i="14"/>
  <c r="E11337" i="14"/>
  <c r="AH11336" i="14"/>
  <c r="E11336" i="14"/>
  <c r="AH11335" i="14"/>
  <c r="P11335" i="14"/>
  <c r="E11335" i="14"/>
  <c r="AH11334" i="14"/>
  <c r="E11334" i="14"/>
  <c r="AH11333" i="14"/>
  <c r="E11333" i="14"/>
  <c r="AH11332" i="14"/>
  <c r="E11332" i="14"/>
  <c r="AH11331" i="14"/>
  <c r="E11331" i="14"/>
  <c r="AH11330" i="14"/>
  <c r="E11330" i="14"/>
  <c r="AH11329" i="14"/>
  <c r="P11329" i="14"/>
  <c r="E11329" i="14"/>
  <c r="AH11328" i="14"/>
  <c r="E11328" i="14"/>
  <c r="AH11327" i="14"/>
  <c r="E11327" i="14"/>
  <c r="AH11326" i="14"/>
  <c r="E11326" i="14"/>
  <c r="AH11325" i="14"/>
  <c r="E11325" i="14"/>
  <c r="AH11324" i="14"/>
  <c r="E11324" i="14"/>
  <c r="AH11323" i="14"/>
  <c r="E11323" i="14"/>
  <c r="AH11322" i="14"/>
  <c r="E11322" i="14"/>
  <c r="AH11321" i="14"/>
  <c r="E11321" i="14"/>
  <c r="AH11320" i="14"/>
  <c r="E11320" i="14"/>
  <c r="AH11319" i="14"/>
  <c r="E11319" i="14"/>
  <c r="AH11318" i="14"/>
  <c r="E11318" i="14"/>
  <c r="AH11317" i="14"/>
  <c r="E11317" i="14"/>
  <c r="AH11316" i="14"/>
  <c r="E11316" i="14"/>
  <c r="AH11315" i="14"/>
  <c r="E11315" i="14"/>
  <c r="AH11314" i="14"/>
  <c r="P11314" i="14"/>
  <c r="E11314" i="14"/>
  <c r="AH11313" i="14"/>
  <c r="E11313" i="14"/>
  <c r="AH11312" i="14"/>
  <c r="P11312" i="14"/>
  <c r="E11312" i="14"/>
  <c r="AH11311" i="14"/>
  <c r="E11311" i="14"/>
  <c r="AH11310" i="14"/>
  <c r="E11310" i="14"/>
  <c r="AH11309" i="14"/>
  <c r="P11309" i="14"/>
  <c r="E11309" i="14"/>
  <c r="AH11308" i="14"/>
  <c r="P11308" i="14"/>
  <c r="E11308" i="14"/>
  <c r="AH11307" i="14"/>
  <c r="E11307" i="14"/>
  <c r="AH11306" i="14"/>
  <c r="E11306" i="14"/>
  <c r="AH11305" i="14"/>
  <c r="E11305" i="14"/>
  <c r="AH11304" i="14"/>
  <c r="E11304" i="14"/>
  <c r="AH11303" i="14"/>
  <c r="E11303" i="14"/>
  <c r="AH11302" i="14"/>
  <c r="E11302" i="14"/>
  <c r="AH11301" i="14"/>
  <c r="E11301" i="14"/>
  <c r="AH11300" i="14"/>
  <c r="E11300" i="14"/>
  <c r="AH11299" i="14"/>
  <c r="P11299" i="14"/>
  <c r="E11299" i="14"/>
  <c r="AH11298" i="14"/>
  <c r="E11298" i="14"/>
  <c r="AH11297" i="14"/>
  <c r="E11297" i="14"/>
  <c r="AH11296" i="14"/>
  <c r="E11296" i="14"/>
  <c r="AH11295" i="14"/>
  <c r="E11295" i="14"/>
  <c r="AH11294" i="14"/>
  <c r="E11294" i="14"/>
  <c r="AH11293" i="14"/>
  <c r="E11293" i="14"/>
  <c r="AH11292" i="14"/>
  <c r="E11292" i="14"/>
  <c r="AH11291" i="14"/>
  <c r="E11291" i="14"/>
  <c r="AH11290" i="14"/>
  <c r="E11290" i="14"/>
  <c r="AH11289" i="14"/>
  <c r="E11289" i="14"/>
  <c r="AH11288" i="14"/>
  <c r="E11288" i="14"/>
  <c r="AH11287" i="14"/>
  <c r="E11287" i="14"/>
  <c r="AH11286" i="14"/>
  <c r="E11286" i="14"/>
  <c r="AH11285" i="14"/>
  <c r="E11285" i="14"/>
  <c r="AH11284" i="14"/>
  <c r="E11284" i="14"/>
  <c r="AH11283" i="14"/>
  <c r="E11283" i="14"/>
  <c r="AH11282" i="14"/>
  <c r="E11282" i="14"/>
  <c r="AH11281" i="14"/>
  <c r="E11281" i="14"/>
  <c r="AH11280" i="14"/>
  <c r="E11280" i="14"/>
  <c r="AH11279" i="14"/>
  <c r="E11279" i="14"/>
  <c r="AH11278" i="14"/>
  <c r="E11278" i="14"/>
  <c r="AH11277" i="14"/>
  <c r="E11277" i="14"/>
  <c r="AH11276" i="14"/>
  <c r="E11276" i="14"/>
  <c r="AH11275" i="14"/>
  <c r="P11275" i="14"/>
  <c r="E11275" i="14"/>
  <c r="AH11274" i="14"/>
  <c r="E11274" i="14"/>
  <c r="AH11273" i="14"/>
  <c r="E11273" i="14"/>
  <c r="AH11272" i="14"/>
  <c r="P11272" i="14"/>
  <c r="E11272" i="14"/>
  <c r="AH11271" i="14"/>
  <c r="P11271" i="14"/>
  <c r="E11271" i="14"/>
  <c r="AH11270" i="14"/>
  <c r="E11270" i="14"/>
  <c r="AH11269" i="14"/>
  <c r="E11269" i="14"/>
  <c r="AH11268" i="14"/>
  <c r="E11268" i="14"/>
  <c r="AH11267" i="14"/>
  <c r="E11267" i="14"/>
  <c r="AH11266" i="14"/>
  <c r="P11266" i="14"/>
  <c r="E11266" i="14"/>
  <c r="AH11265" i="14"/>
  <c r="E11265" i="14"/>
  <c r="AH11264" i="14"/>
  <c r="E11264" i="14"/>
  <c r="AH11263" i="14"/>
  <c r="P11263" i="14"/>
  <c r="E11263" i="14"/>
  <c r="AH11262" i="14"/>
  <c r="P11262" i="14"/>
  <c r="E11262" i="14"/>
  <c r="AH11261" i="14"/>
  <c r="P11261" i="14"/>
  <c r="E11261" i="14"/>
  <c r="AH11260" i="14"/>
  <c r="E11260" i="14"/>
  <c r="AH11259" i="14"/>
  <c r="E11259" i="14"/>
  <c r="AH11258" i="14"/>
  <c r="E11258" i="14"/>
  <c r="AH11257" i="14"/>
  <c r="E11257" i="14"/>
  <c r="AH11256" i="14"/>
  <c r="E11256" i="14"/>
  <c r="AH11255" i="14"/>
  <c r="E11255" i="14"/>
  <c r="AH11254" i="14"/>
  <c r="E11254" i="14"/>
  <c r="AH11253" i="14"/>
  <c r="E11253" i="14"/>
  <c r="AH11252" i="14"/>
  <c r="E11252" i="14"/>
  <c r="AH11251" i="14"/>
  <c r="E11251" i="14"/>
  <c r="AH11250" i="14"/>
  <c r="E11250" i="14"/>
  <c r="AH11249" i="14"/>
  <c r="E11249" i="14"/>
  <c r="AH11248" i="14"/>
  <c r="E11248" i="14"/>
  <c r="AH11247" i="14"/>
  <c r="E11247" i="14"/>
  <c r="AH11246" i="14"/>
  <c r="P11246" i="14"/>
  <c r="E11246" i="14"/>
  <c r="AH11245" i="14"/>
  <c r="E11245" i="14"/>
  <c r="AH11244" i="14"/>
  <c r="E11244" i="14"/>
  <c r="AH11243" i="14"/>
  <c r="E11243" i="14"/>
  <c r="AH11242" i="14"/>
  <c r="E11242" i="14"/>
  <c r="AH11241" i="14"/>
  <c r="E11241" i="14"/>
  <c r="AH11240" i="14"/>
  <c r="E11240" i="14"/>
  <c r="AH11239" i="14"/>
  <c r="E11239" i="14"/>
  <c r="AH11238" i="14"/>
  <c r="E11238" i="14"/>
  <c r="AH11237" i="14"/>
  <c r="E11237" i="14"/>
  <c r="AH11236" i="14"/>
  <c r="E11236" i="14"/>
  <c r="AH11235" i="14"/>
  <c r="E11235" i="14"/>
  <c r="AH11234" i="14"/>
  <c r="E11234" i="14"/>
  <c r="AH11233" i="14"/>
  <c r="E11233" i="14"/>
  <c r="AH11232" i="14"/>
  <c r="E11232" i="14"/>
  <c r="AH11231" i="14"/>
  <c r="E11231" i="14"/>
  <c r="AH11230" i="14"/>
  <c r="E11230" i="14"/>
  <c r="AH11229" i="14"/>
  <c r="E11229" i="14"/>
  <c r="AH11228" i="14"/>
  <c r="E11228" i="14"/>
  <c r="AH11227" i="14"/>
  <c r="E11227" i="14"/>
  <c r="AH11226" i="14"/>
  <c r="E11226" i="14"/>
  <c r="AH11225" i="14"/>
  <c r="E11225" i="14"/>
  <c r="AH11224" i="14"/>
  <c r="E11224" i="14"/>
  <c r="AH11223" i="14"/>
  <c r="E11223" i="14"/>
  <c r="AH11222" i="14"/>
  <c r="E11222" i="14"/>
  <c r="AH11221" i="14"/>
  <c r="E11221" i="14"/>
  <c r="AH11220" i="14"/>
  <c r="E11220" i="14"/>
  <c r="AH11219" i="14"/>
  <c r="E11219" i="14"/>
  <c r="AH11218" i="14"/>
  <c r="E11218" i="14"/>
  <c r="AH11217" i="14"/>
  <c r="E11217" i="14"/>
  <c r="AH11216" i="14"/>
  <c r="E11216" i="14"/>
  <c r="AH11215" i="14"/>
  <c r="E11215" i="14"/>
  <c r="AH11214" i="14"/>
  <c r="E11214" i="14"/>
  <c r="AH11213" i="14"/>
  <c r="E11213" i="14"/>
  <c r="AH11212" i="14"/>
  <c r="P11212" i="14"/>
  <c r="E11212" i="14"/>
  <c r="AH11211" i="14"/>
  <c r="E11211" i="14"/>
  <c r="AH11210" i="14"/>
  <c r="E11210" i="14"/>
  <c r="AH11209" i="14"/>
  <c r="E11209" i="14"/>
  <c r="AH11208" i="14"/>
  <c r="E11208" i="14"/>
  <c r="AH11207" i="14"/>
  <c r="P11207" i="14"/>
  <c r="E11207" i="14"/>
  <c r="AH11206" i="14"/>
  <c r="E11206" i="14"/>
  <c r="AH11205" i="14"/>
  <c r="E11205" i="14"/>
  <c r="AH11204" i="14"/>
  <c r="E11204" i="14"/>
  <c r="AH11203" i="14"/>
  <c r="E11203" i="14"/>
  <c r="AH11202" i="14"/>
  <c r="P11202" i="14"/>
  <c r="E11202" i="14"/>
  <c r="AH11201" i="14"/>
  <c r="E11201" i="14"/>
  <c r="AH11200" i="14"/>
  <c r="E11200" i="14"/>
  <c r="AH11199" i="14"/>
  <c r="E11199" i="14"/>
  <c r="AH11198" i="14"/>
  <c r="E11198" i="14"/>
  <c r="AH11197" i="14"/>
  <c r="E11197" i="14"/>
  <c r="AH11196" i="14"/>
  <c r="E11196" i="14"/>
  <c r="AH11195" i="14"/>
  <c r="P11195" i="14"/>
  <c r="E11195" i="14"/>
  <c r="AH11194" i="14"/>
  <c r="E11194" i="14"/>
  <c r="AH11193" i="14"/>
  <c r="E11193" i="14"/>
  <c r="AH11192" i="14"/>
  <c r="E11192" i="14"/>
  <c r="AH11191" i="14"/>
  <c r="P11191" i="14"/>
  <c r="E11191" i="14"/>
  <c r="AH11190" i="14"/>
  <c r="E11190" i="14"/>
  <c r="AH11189" i="14"/>
  <c r="E11189" i="14"/>
  <c r="AH11188" i="14"/>
  <c r="E11188" i="14"/>
  <c r="AH11187" i="14"/>
  <c r="E11187" i="14"/>
  <c r="AH11186" i="14"/>
  <c r="E11186" i="14"/>
  <c r="AH11185" i="14"/>
  <c r="E11185" i="14"/>
  <c r="AH11184" i="14"/>
  <c r="P11184" i="14"/>
  <c r="E11184" i="14"/>
  <c r="AH11183" i="14"/>
  <c r="E11183" i="14"/>
  <c r="AH11182" i="14"/>
  <c r="E11182" i="14"/>
  <c r="AH11181" i="14"/>
  <c r="E11181" i="14"/>
  <c r="AH11180" i="14"/>
  <c r="P11180" i="14"/>
  <c r="E11180" i="14"/>
  <c r="AH11179" i="14"/>
  <c r="E11179" i="14"/>
  <c r="AH11178" i="14"/>
  <c r="E11178" i="14"/>
  <c r="AH11177" i="14"/>
  <c r="E11177" i="14"/>
  <c r="AH11176" i="14"/>
  <c r="P11176" i="14"/>
  <c r="E11176" i="14"/>
  <c r="AH11175" i="14"/>
  <c r="E11175" i="14"/>
  <c r="AH11174" i="14"/>
  <c r="E11174" i="14"/>
  <c r="AH11173" i="14"/>
  <c r="E11173" i="14"/>
  <c r="AH11172" i="14"/>
  <c r="E11172" i="14"/>
  <c r="AH11171" i="14"/>
  <c r="E11171" i="14"/>
  <c r="AH11170" i="14"/>
  <c r="E11170" i="14"/>
  <c r="AH11169" i="14"/>
  <c r="E11169" i="14"/>
  <c r="AH11168" i="14"/>
  <c r="E11168" i="14"/>
  <c r="AH11167" i="14"/>
  <c r="P11167" i="14"/>
  <c r="E11167" i="14"/>
  <c r="AH11166" i="14"/>
  <c r="E11166" i="14"/>
  <c r="AH11165" i="14"/>
  <c r="E11165" i="14"/>
  <c r="AH11164" i="14"/>
  <c r="E11164" i="14"/>
  <c r="AH11163" i="14"/>
  <c r="E11163" i="14"/>
  <c r="AH11162" i="14"/>
  <c r="E11162" i="14"/>
  <c r="AH11161" i="14"/>
  <c r="E11161" i="14"/>
  <c r="AH11160" i="14"/>
  <c r="E11160" i="14"/>
  <c r="AH11159" i="14"/>
  <c r="E11159" i="14"/>
  <c r="AH11158" i="14"/>
  <c r="P11158" i="14"/>
  <c r="E11158" i="14"/>
  <c r="AH11157" i="14"/>
  <c r="E11157" i="14"/>
  <c r="AH11156" i="14"/>
  <c r="E11156" i="14"/>
  <c r="AH11155" i="14"/>
  <c r="E11155" i="14"/>
  <c r="AH11154" i="14"/>
  <c r="E11154" i="14"/>
  <c r="AH11153" i="14"/>
  <c r="E11153" i="14"/>
  <c r="AH11152" i="14"/>
  <c r="E11152" i="14"/>
  <c r="AH11151" i="14"/>
  <c r="E11151" i="14"/>
  <c r="AH11150" i="14"/>
  <c r="P11150" i="14"/>
  <c r="E11150" i="14"/>
  <c r="AH11149" i="14"/>
  <c r="P11149" i="14"/>
  <c r="E11149" i="14"/>
  <c r="AH11148" i="14"/>
  <c r="P11148" i="14"/>
  <c r="E11148" i="14"/>
  <c r="AH11147" i="14"/>
  <c r="P11147" i="14"/>
  <c r="E11147" i="14"/>
  <c r="AH11146" i="14"/>
  <c r="P11146" i="14"/>
  <c r="O11146" i="14"/>
  <c r="E11146" i="14"/>
  <c r="AH11145" i="14"/>
  <c r="E11145" i="14"/>
  <c r="AH11144" i="14"/>
  <c r="P11144" i="14"/>
  <c r="E11144" i="14"/>
  <c r="AH11143" i="14"/>
  <c r="P11143" i="14"/>
  <c r="E11143" i="14"/>
  <c r="AH11142" i="14"/>
  <c r="P11142" i="14"/>
  <c r="E11142" i="14"/>
  <c r="AH11141" i="14"/>
  <c r="P11141" i="14"/>
  <c r="E11141" i="14"/>
  <c r="AH11140" i="14"/>
  <c r="P11140" i="14"/>
  <c r="E11140" i="14"/>
  <c r="AH11139" i="14"/>
  <c r="P11139" i="14"/>
  <c r="E11139" i="14"/>
  <c r="AH11138" i="14"/>
  <c r="P11138" i="14"/>
  <c r="E11138" i="14"/>
  <c r="AH11137" i="14"/>
  <c r="P11137" i="14"/>
  <c r="E11137" i="14"/>
  <c r="AH11136" i="14"/>
  <c r="P11136" i="14"/>
  <c r="E11136" i="14"/>
  <c r="AH11135" i="14"/>
  <c r="P11135" i="14"/>
  <c r="E11135" i="14"/>
  <c r="AH11134" i="14"/>
  <c r="P11134" i="14"/>
  <c r="E11134" i="14"/>
  <c r="AH11133" i="14"/>
  <c r="P11133" i="14"/>
  <c r="E11133" i="14"/>
  <c r="AH11132" i="14"/>
  <c r="P11132" i="14"/>
  <c r="E11132" i="14"/>
  <c r="AH11131" i="14"/>
  <c r="P11131" i="14"/>
  <c r="E11131" i="14"/>
  <c r="AH11130" i="14"/>
  <c r="E11130" i="14"/>
  <c r="AH11129" i="14"/>
  <c r="E11129" i="14"/>
  <c r="AH11128" i="14"/>
  <c r="E11128" i="14"/>
  <c r="AH11127" i="14"/>
  <c r="E11127" i="14"/>
  <c r="AH11126" i="14"/>
  <c r="E11126" i="14"/>
  <c r="AH11125" i="14"/>
  <c r="E11125" i="14"/>
  <c r="AH11124" i="14"/>
  <c r="E11124" i="14"/>
  <c r="AH11123" i="14"/>
  <c r="E11123" i="14"/>
  <c r="AH11122" i="14"/>
  <c r="E11122" i="14"/>
  <c r="AH11121" i="14"/>
  <c r="E11121" i="14"/>
  <c r="AH11120" i="14"/>
  <c r="E11120" i="14"/>
  <c r="AH11119" i="14"/>
  <c r="E11119" i="14"/>
  <c r="AH11118" i="14"/>
  <c r="E11118" i="14"/>
  <c r="AH11117" i="14"/>
  <c r="E11117" i="14"/>
  <c r="AH11116" i="14"/>
  <c r="E11116" i="14"/>
  <c r="AH11115" i="14"/>
  <c r="E11115" i="14"/>
  <c r="AH11114" i="14"/>
  <c r="E11114" i="14"/>
  <c r="AH11113" i="14"/>
  <c r="E11113" i="14"/>
  <c r="AH11112" i="14"/>
  <c r="E11112" i="14"/>
  <c r="AH11111" i="14"/>
  <c r="E11111" i="14"/>
  <c r="AH11110" i="14"/>
  <c r="E11110" i="14"/>
  <c r="AH11109" i="14"/>
  <c r="E11109" i="14"/>
  <c r="AH11108" i="14"/>
  <c r="E11108" i="14"/>
  <c r="AH11107" i="14"/>
  <c r="E11107" i="14"/>
  <c r="AH11106" i="14"/>
  <c r="E11106" i="14"/>
  <c r="AH11105" i="14"/>
  <c r="E11105" i="14"/>
  <c r="AH11104" i="14"/>
  <c r="E11104" i="14"/>
  <c r="AH11103" i="14"/>
  <c r="E11103" i="14"/>
  <c r="AH11102" i="14"/>
  <c r="E11102" i="14"/>
  <c r="AH11101" i="14"/>
  <c r="E11101" i="14"/>
  <c r="AH11100" i="14"/>
  <c r="E11100" i="14"/>
  <c r="AH11099" i="14"/>
  <c r="E11099" i="14"/>
  <c r="AH11098" i="14"/>
  <c r="E11098" i="14"/>
  <c r="AH11097" i="14"/>
  <c r="E11097" i="14"/>
  <c r="AH11096" i="14"/>
  <c r="E11096" i="14"/>
  <c r="AH11095" i="14"/>
  <c r="E11095" i="14"/>
  <c r="AH11094" i="14"/>
  <c r="E11094" i="14"/>
  <c r="AH11093" i="14"/>
  <c r="E11093" i="14"/>
  <c r="AH11092" i="14"/>
  <c r="E11092" i="14"/>
  <c r="AH11091" i="14"/>
  <c r="E11091" i="14"/>
  <c r="AH11090" i="14"/>
  <c r="E11090" i="14"/>
  <c r="AH11089" i="14"/>
  <c r="E11089" i="14"/>
  <c r="AH11088" i="14"/>
  <c r="E11088" i="14"/>
  <c r="AH11087" i="14"/>
  <c r="E11087" i="14"/>
  <c r="AH11086" i="14"/>
  <c r="E11086" i="14"/>
  <c r="AH11085" i="14"/>
  <c r="E11085" i="14"/>
  <c r="AH11084" i="14"/>
  <c r="E11084" i="14"/>
  <c r="AH11083" i="14"/>
  <c r="E11083" i="14"/>
  <c r="AH11082" i="14"/>
  <c r="E11082" i="14"/>
  <c r="AH11081" i="14"/>
  <c r="E11081" i="14"/>
  <c r="AH11080" i="14"/>
  <c r="E11080" i="14"/>
  <c r="AH11079" i="14"/>
  <c r="E11079" i="14"/>
  <c r="AH11078" i="14"/>
  <c r="E11078" i="14"/>
  <c r="AH11077" i="14"/>
  <c r="E11077" i="14"/>
  <c r="AH11076" i="14"/>
  <c r="E11076" i="14"/>
  <c r="AH11075" i="14"/>
  <c r="E11075" i="14"/>
  <c r="AH11074" i="14"/>
  <c r="E11074" i="14"/>
  <c r="AH11073" i="14"/>
  <c r="E11073" i="14"/>
  <c r="AH11072" i="14"/>
  <c r="E11072" i="14"/>
  <c r="AH11071" i="14"/>
  <c r="E11071" i="14"/>
  <c r="AH11070" i="14"/>
  <c r="E11070" i="14"/>
  <c r="AH11069" i="14"/>
  <c r="E11069" i="14"/>
  <c r="AH11068" i="14"/>
  <c r="E11068" i="14"/>
  <c r="AH11067" i="14"/>
  <c r="E11067" i="14"/>
  <c r="AH11066" i="14"/>
  <c r="E11066" i="14"/>
  <c r="AH11065" i="14"/>
  <c r="E11065" i="14"/>
  <c r="AH11064" i="14"/>
  <c r="E11064" i="14"/>
  <c r="AH11063" i="14"/>
  <c r="E11063" i="14"/>
  <c r="AH11062" i="14"/>
  <c r="E11062" i="14"/>
  <c r="AH11061" i="14"/>
  <c r="E11061" i="14"/>
  <c r="AH11060" i="14"/>
  <c r="E11060" i="14"/>
  <c r="AH11059" i="14"/>
  <c r="E11059" i="14"/>
  <c r="AH11058" i="14"/>
  <c r="E11058" i="14"/>
  <c r="AH11057" i="14"/>
  <c r="E11057" i="14"/>
  <c r="AH11056" i="14"/>
  <c r="E11056" i="14"/>
  <c r="AH11055" i="14"/>
  <c r="E11055" i="14"/>
  <c r="AH11054" i="14"/>
  <c r="E11054" i="14"/>
  <c r="AH11053" i="14"/>
  <c r="E11053" i="14"/>
  <c r="AH11052" i="14"/>
  <c r="E11052" i="14"/>
  <c r="AH11051" i="14"/>
  <c r="E11051" i="14"/>
  <c r="AH11050" i="14"/>
  <c r="E11050" i="14"/>
  <c r="AH11049" i="14"/>
  <c r="E11049" i="14"/>
  <c r="AH11048" i="14"/>
  <c r="E11048" i="14"/>
  <c r="AH11047" i="14"/>
  <c r="E11047" i="14"/>
  <c r="AH11046" i="14"/>
  <c r="E11046" i="14"/>
  <c r="AH11045" i="14"/>
  <c r="E11045" i="14"/>
  <c r="AH11044" i="14"/>
  <c r="E11044" i="14"/>
  <c r="AH11043" i="14"/>
  <c r="E11043" i="14"/>
  <c r="AH11042" i="14"/>
  <c r="E11042" i="14"/>
  <c r="AH11041" i="14"/>
  <c r="E11041" i="14"/>
  <c r="AH11040" i="14"/>
  <c r="E11040" i="14"/>
  <c r="AH11039" i="14"/>
  <c r="E11039" i="14"/>
  <c r="AH11038" i="14"/>
  <c r="E11038" i="14"/>
  <c r="AH11037" i="14"/>
  <c r="E11037" i="14"/>
  <c r="AH11036" i="14"/>
  <c r="E11036" i="14"/>
  <c r="AH11035" i="14"/>
  <c r="E11035" i="14"/>
  <c r="AH11034" i="14"/>
  <c r="E11034" i="14"/>
  <c r="AH11033" i="14"/>
  <c r="E11033" i="14"/>
  <c r="AH11032" i="14"/>
  <c r="E11032" i="14"/>
  <c r="AH11031" i="14"/>
  <c r="E11031" i="14"/>
  <c r="AH11030" i="14"/>
  <c r="E11030" i="14"/>
  <c r="AH11029" i="14"/>
  <c r="E11029" i="14"/>
  <c r="AH11028" i="14"/>
  <c r="E11028" i="14"/>
  <c r="AH11027" i="14"/>
  <c r="E11027" i="14"/>
  <c r="AH11026" i="14"/>
  <c r="E11026" i="14"/>
  <c r="AH11025" i="14"/>
  <c r="E11025" i="14"/>
  <c r="AH11024" i="14"/>
  <c r="E11024" i="14"/>
  <c r="AH11023" i="14"/>
  <c r="E11023" i="14"/>
  <c r="AH11022" i="14"/>
  <c r="E11022" i="14"/>
  <c r="AH11021" i="14"/>
  <c r="E11021" i="14"/>
  <c r="AH11020" i="14"/>
  <c r="E11020" i="14"/>
  <c r="AH11019" i="14"/>
  <c r="E11019" i="14"/>
  <c r="AH11018" i="14"/>
  <c r="E11018" i="14"/>
  <c r="AH11017" i="14"/>
  <c r="E11017" i="14"/>
  <c r="AH11016" i="14"/>
  <c r="E11016" i="14"/>
  <c r="AH11015" i="14"/>
  <c r="E11015" i="14"/>
  <c r="AH11014" i="14"/>
  <c r="E11014" i="14"/>
  <c r="AH11013" i="14"/>
  <c r="E11013" i="14"/>
  <c r="AH11012" i="14"/>
  <c r="E11012" i="14"/>
  <c r="AH11011" i="14"/>
  <c r="E11011" i="14"/>
  <c r="AH11010" i="14"/>
  <c r="E11010" i="14"/>
  <c r="AH11009" i="14"/>
  <c r="E11009" i="14"/>
  <c r="AH11008" i="14"/>
  <c r="E11008" i="14"/>
  <c r="AH11007" i="14"/>
  <c r="E11007" i="14"/>
  <c r="AH11006" i="14"/>
  <c r="E11006" i="14"/>
  <c r="AH11005" i="14"/>
  <c r="E11005" i="14"/>
  <c r="AH11004" i="14"/>
  <c r="E11004" i="14"/>
  <c r="AH11003" i="14"/>
  <c r="E11003" i="14"/>
  <c r="AH11002" i="14"/>
  <c r="E11002" i="14"/>
  <c r="AH11001" i="14"/>
  <c r="E11001" i="14"/>
  <c r="AH11000" i="14"/>
  <c r="E11000" i="14"/>
  <c r="AH10999" i="14"/>
  <c r="E10999" i="14"/>
  <c r="AH10998" i="14"/>
  <c r="E10998" i="14"/>
  <c r="AH10997" i="14"/>
  <c r="E10997" i="14"/>
  <c r="AH10996" i="14"/>
  <c r="E10996" i="14"/>
  <c r="AH10995" i="14"/>
  <c r="E10995" i="14"/>
  <c r="AH10994" i="14"/>
  <c r="E10994" i="14"/>
  <c r="AH10993" i="14"/>
  <c r="E10993" i="14"/>
  <c r="AH10992" i="14"/>
  <c r="E10992" i="14"/>
  <c r="AH10991" i="14"/>
  <c r="E10991" i="14"/>
  <c r="AH10990" i="14"/>
  <c r="E10990" i="14"/>
  <c r="AH10989" i="14"/>
  <c r="E10989" i="14"/>
  <c r="AH10988" i="14"/>
  <c r="E10988" i="14"/>
  <c r="AH10987" i="14"/>
  <c r="E10987" i="14"/>
  <c r="AH10986" i="14"/>
  <c r="E10986" i="14"/>
  <c r="AH10985" i="14"/>
  <c r="E10985" i="14"/>
  <c r="AH10984" i="14"/>
  <c r="E10984" i="14"/>
  <c r="AH10983" i="14"/>
  <c r="E10983" i="14"/>
  <c r="AH10982" i="14"/>
  <c r="E10982" i="14"/>
  <c r="AH10981" i="14"/>
  <c r="E10981" i="14"/>
  <c r="AH10980" i="14"/>
  <c r="E10980" i="14"/>
  <c r="AH10979" i="14"/>
  <c r="E10979" i="14"/>
  <c r="AH10978" i="14"/>
  <c r="E10978" i="14"/>
  <c r="AH10977" i="14"/>
  <c r="E10977" i="14"/>
  <c r="AH10976" i="14"/>
  <c r="E10976" i="14"/>
  <c r="AH10975" i="14"/>
  <c r="E10975" i="14"/>
  <c r="AH10974" i="14"/>
  <c r="E10974" i="14"/>
  <c r="AH10973" i="14"/>
  <c r="E10973" i="14"/>
  <c r="AH10972" i="14"/>
  <c r="E10972" i="14"/>
  <c r="AH10971" i="14"/>
  <c r="E10971" i="14"/>
  <c r="AH10970" i="14"/>
  <c r="E10970" i="14"/>
  <c r="AH10969" i="14"/>
  <c r="E10969" i="14"/>
  <c r="AH10968" i="14"/>
  <c r="E10968" i="14"/>
  <c r="AH10967" i="14"/>
  <c r="E10967" i="14"/>
  <c r="AH10966" i="14"/>
  <c r="E10966" i="14"/>
  <c r="AH10965" i="14"/>
  <c r="E10965" i="14"/>
  <c r="AH10964" i="14"/>
  <c r="E10964" i="14"/>
  <c r="AH10963" i="14"/>
  <c r="E10963" i="14"/>
  <c r="AH10962" i="14"/>
  <c r="E10962" i="14"/>
  <c r="AH10961" i="14"/>
  <c r="E10961" i="14"/>
  <c r="AH10960" i="14"/>
  <c r="E10960" i="14"/>
  <c r="AH10959" i="14"/>
  <c r="E10959" i="14"/>
  <c r="AH10958" i="14"/>
  <c r="E10958" i="14"/>
  <c r="AH10957" i="14"/>
  <c r="E10957" i="14"/>
  <c r="AH10956" i="14"/>
  <c r="E10956" i="14"/>
  <c r="AH10955" i="14"/>
  <c r="E10955" i="14"/>
  <c r="AH10954" i="14"/>
  <c r="E10954" i="14"/>
  <c r="AH10953" i="14"/>
  <c r="E10953" i="14"/>
  <c r="AH10952" i="14"/>
  <c r="E10952" i="14"/>
  <c r="AH10951" i="14"/>
  <c r="E10951" i="14"/>
  <c r="AH10950" i="14"/>
  <c r="E10950" i="14"/>
  <c r="AH10949" i="14"/>
  <c r="E10949" i="14"/>
  <c r="AH10948" i="14"/>
  <c r="E10948" i="14"/>
  <c r="AH10947" i="14"/>
  <c r="E10947" i="14"/>
  <c r="AH10946" i="14"/>
  <c r="E10946" i="14"/>
  <c r="AH10945" i="14"/>
  <c r="E10945" i="14"/>
  <c r="AH10944" i="14"/>
  <c r="E10944" i="14"/>
  <c r="AH10943" i="14"/>
  <c r="E10943" i="14"/>
  <c r="AH10942" i="14"/>
  <c r="V10942" i="14"/>
  <c r="P10942" i="14"/>
  <c r="E10942" i="14"/>
  <c r="AH10941" i="14"/>
  <c r="E10941" i="14"/>
  <c r="AH10940" i="14"/>
  <c r="E10940" i="14"/>
  <c r="AH10939" i="14"/>
  <c r="E10939" i="14"/>
  <c r="AH10938" i="14"/>
  <c r="E10938" i="14"/>
  <c r="AH10937" i="14"/>
  <c r="E10937" i="14"/>
  <c r="AH10936" i="14"/>
  <c r="E10936" i="14"/>
  <c r="AH10935" i="14"/>
  <c r="E10935" i="14"/>
  <c r="AH10934" i="14"/>
  <c r="E10934" i="14"/>
  <c r="AH10933" i="14"/>
  <c r="E10933" i="14"/>
  <c r="AH10932" i="14"/>
  <c r="E10932" i="14"/>
  <c r="AH10931" i="14"/>
  <c r="E10931" i="14"/>
  <c r="AH10930" i="14"/>
  <c r="E10930" i="14"/>
  <c r="AH10929" i="14"/>
  <c r="E10929" i="14"/>
  <c r="AH10928" i="14"/>
  <c r="E10928" i="14"/>
  <c r="AH10927" i="14"/>
  <c r="E10927" i="14"/>
  <c r="AH10926" i="14"/>
  <c r="E10926" i="14"/>
  <c r="AH10925" i="14"/>
  <c r="E10925" i="14"/>
  <c r="AH10924" i="14"/>
  <c r="E10924" i="14"/>
  <c r="AH10923" i="14"/>
  <c r="E10923" i="14"/>
  <c r="AH10922" i="14"/>
  <c r="E10922" i="14"/>
  <c r="AH10921" i="14"/>
  <c r="E10921" i="14"/>
  <c r="AH10920" i="14"/>
  <c r="E10920" i="14"/>
  <c r="AH10919" i="14"/>
  <c r="E10919" i="14"/>
  <c r="AH10918" i="14"/>
  <c r="E10918" i="14"/>
  <c r="AH10917" i="14"/>
  <c r="E10917" i="14"/>
  <c r="AH10916" i="14"/>
  <c r="E10916" i="14"/>
  <c r="AH10915" i="14"/>
  <c r="E10915" i="14"/>
  <c r="AH10914" i="14"/>
  <c r="E10914" i="14"/>
  <c r="AH10913" i="14"/>
  <c r="E10913" i="14"/>
  <c r="AH10912" i="14"/>
  <c r="E10912" i="14"/>
  <c r="AH10911" i="14"/>
  <c r="E10911" i="14"/>
  <c r="AH10910" i="14"/>
  <c r="E10910" i="14"/>
  <c r="AH10909" i="14"/>
  <c r="E10909" i="14"/>
  <c r="AH10908" i="14"/>
  <c r="E10908" i="14"/>
  <c r="AH10907" i="14"/>
  <c r="E10907" i="14"/>
  <c r="AH10906" i="14"/>
  <c r="E10906" i="14"/>
  <c r="AH10905" i="14"/>
  <c r="E10905" i="14"/>
  <c r="AH10904" i="14"/>
  <c r="E10904" i="14"/>
  <c r="AH10903" i="14"/>
  <c r="E10903" i="14"/>
  <c r="AH10902" i="14"/>
  <c r="E10902" i="14"/>
  <c r="AH10901" i="14"/>
  <c r="E10901" i="14"/>
  <c r="AH10900" i="14"/>
  <c r="E10900" i="14"/>
  <c r="AH10899" i="14"/>
  <c r="E10899" i="14"/>
  <c r="AH10898" i="14"/>
  <c r="E10898" i="14"/>
  <c r="AH10897" i="14"/>
  <c r="E10897" i="14"/>
  <c r="AH10896" i="14"/>
  <c r="E10896" i="14"/>
  <c r="AH10895" i="14"/>
  <c r="E10895" i="14"/>
  <c r="AH10894" i="14"/>
  <c r="E10894" i="14"/>
  <c r="AH10893" i="14"/>
  <c r="E10893" i="14"/>
  <c r="AH10892" i="14"/>
  <c r="E10892" i="14"/>
  <c r="AH10891" i="14"/>
  <c r="E10891" i="14"/>
  <c r="AH10890" i="14"/>
  <c r="E10890" i="14"/>
  <c r="AH10889" i="14"/>
  <c r="E10889" i="14"/>
  <c r="AH10888" i="14"/>
  <c r="E10888" i="14"/>
  <c r="AH10887" i="14"/>
  <c r="E10887" i="14"/>
  <c r="AH10886" i="14"/>
  <c r="E10886" i="14"/>
  <c r="AH10885" i="14"/>
  <c r="E10885" i="14"/>
  <c r="AH10884" i="14"/>
  <c r="E10884" i="14"/>
  <c r="AH10883" i="14"/>
  <c r="E10883" i="14"/>
  <c r="AH10882" i="14"/>
  <c r="E10882" i="14"/>
  <c r="AH10881" i="14"/>
  <c r="E10881" i="14"/>
  <c r="AH10880" i="14"/>
  <c r="E10880" i="14"/>
  <c r="AH10879" i="14"/>
  <c r="E10879" i="14"/>
  <c r="AH10878" i="14"/>
  <c r="E10878" i="14"/>
  <c r="AH10877" i="14"/>
  <c r="E10877" i="14"/>
  <c r="AH10876" i="14"/>
  <c r="E10876" i="14"/>
  <c r="AH10875" i="14"/>
  <c r="E10875" i="14"/>
  <c r="AH10874" i="14"/>
  <c r="E10874" i="14"/>
  <c r="AH10873" i="14"/>
  <c r="E10873" i="14"/>
  <c r="AH10872" i="14"/>
  <c r="E10872" i="14"/>
  <c r="AH10871" i="14"/>
  <c r="E10871" i="14"/>
  <c r="AH10870" i="14"/>
  <c r="E10870" i="14"/>
  <c r="AH10869" i="14"/>
  <c r="E10869" i="14"/>
  <c r="AH10868" i="14"/>
  <c r="E10868" i="14"/>
  <c r="AH10867" i="14"/>
  <c r="E10867" i="14"/>
  <c r="AH10866" i="14"/>
  <c r="E10866" i="14"/>
  <c r="AH10865" i="14"/>
  <c r="E10865" i="14"/>
  <c r="AH10864" i="14"/>
  <c r="E10864" i="14"/>
  <c r="AH10863" i="14"/>
  <c r="E10863" i="14"/>
  <c r="AH10862" i="14"/>
  <c r="E10862" i="14"/>
  <c r="AH10861" i="14"/>
  <c r="E10861" i="14"/>
  <c r="AH10860" i="14"/>
  <c r="E10860" i="14"/>
  <c r="AH10859" i="14"/>
  <c r="E10859" i="14"/>
  <c r="AH10858" i="14"/>
  <c r="E10858" i="14"/>
  <c r="AH10857" i="14"/>
  <c r="E10857" i="14"/>
  <c r="AH10856" i="14"/>
  <c r="E10856" i="14"/>
  <c r="AH10855" i="14"/>
  <c r="E10855" i="14"/>
  <c r="AH10854" i="14"/>
  <c r="E10854" i="14"/>
  <c r="AH10853" i="14"/>
  <c r="E10853" i="14"/>
  <c r="AH10852" i="14"/>
  <c r="E10852" i="14"/>
  <c r="AH10851" i="14"/>
  <c r="E10851" i="14"/>
  <c r="AH10850" i="14"/>
  <c r="E10850" i="14"/>
  <c r="AH10849" i="14"/>
  <c r="E10849" i="14"/>
  <c r="AH10848" i="14"/>
  <c r="E10848" i="14"/>
  <c r="AH10847" i="14"/>
  <c r="E10847" i="14"/>
  <c r="AH10846" i="14"/>
  <c r="E10846" i="14"/>
  <c r="AH10845" i="14"/>
  <c r="E10845" i="14"/>
  <c r="AH10844" i="14"/>
  <c r="E10844" i="14"/>
  <c r="AH10843" i="14"/>
  <c r="E10843" i="14"/>
  <c r="AH10842" i="14"/>
  <c r="E10842" i="14"/>
  <c r="AH10841" i="14"/>
  <c r="E10841" i="14"/>
  <c r="AH10840" i="14"/>
  <c r="E10840" i="14"/>
  <c r="AH10839" i="14"/>
  <c r="E10839" i="14"/>
  <c r="AH10838" i="14"/>
  <c r="E10838" i="14"/>
  <c r="AH10837" i="14"/>
  <c r="E10837" i="14"/>
  <c r="AH10836" i="14"/>
  <c r="E10836" i="14"/>
  <c r="AH10835" i="14"/>
  <c r="E10835" i="14"/>
  <c r="AH10834" i="14"/>
  <c r="E10834" i="14"/>
  <c r="AH10833" i="14"/>
  <c r="E10833" i="14"/>
  <c r="AH10832" i="14"/>
  <c r="E10832" i="14"/>
  <c r="AH10831" i="14"/>
  <c r="E10831" i="14"/>
  <c r="AH10830" i="14"/>
  <c r="E10830" i="14"/>
  <c r="AH10829" i="14"/>
  <c r="E10829" i="14"/>
  <c r="AH10828" i="14"/>
  <c r="E10828" i="14"/>
  <c r="AH10827" i="14"/>
  <c r="E10827" i="14"/>
  <c r="AH10826" i="14"/>
  <c r="E10826" i="14"/>
  <c r="AH10825" i="14"/>
  <c r="E10825" i="14"/>
  <c r="AH10824" i="14"/>
  <c r="E10824" i="14"/>
  <c r="AH10823" i="14"/>
  <c r="E10823" i="14"/>
  <c r="AH10822" i="14"/>
  <c r="E10822" i="14"/>
  <c r="AH10821" i="14"/>
  <c r="E10821" i="14"/>
  <c r="AH10820" i="14"/>
  <c r="E10820" i="14"/>
  <c r="AH10819" i="14"/>
  <c r="E10819" i="14"/>
  <c r="AH10818" i="14"/>
  <c r="E10818" i="14"/>
  <c r="AH10817" i="14"/>
  <c r="E10817" i="14"/>
  <c r="AH10816" i="14"/>
  <c r="E10816" i="14"/>
  <c r="AH10815" i="14"/>
  <c r="E10815" i="14"/>
  <c r="AH10814" i="14"/>
  <c r="E10814" i="14"/>
  <c r="AH10813" i="14"/>
  <c r="E10813" i="14"/>
  <c r="AH10812" i="14"/>
  <c r="E10812" i="14"/>
  <c r="AH10811" i="14"/>
  <c r="E10811" i="14"/>
  <c r="AH10810" i="14"/>
  <c r="E10810" i="14"/>
  <c r="AH10809" i="14"/>
  <c r="E10809" i="14"/>
  <c r="AH10808" i="14"/>
  <c r="E10808" i="14"/>
  <c r="AH10807" i="14"/>
  <c r="E10807" i="14"/>
  <c r="AH10806" i="14"/>
  <c r="E10806" i="14"/>
  <c r="AH10805" i="14"/>
  <c r="E10805" i="14"/>
  <c r="AH10804" i="14"/>
  <c r="E10804" i="14"/>
  <c r="AH10803" i="14"/>
  <c r="E10803" i="14"/>
  <c r="AH10802" i="14"/>
  <c r="E10802" i="14"/>
  <c r="AH10801" i="14"/>
  <c r="E10801" i="14"/>
  <c r="AH10800" i="14"/>
  <c r="E10800" i="14"/>
  <c r="AH10799" i="14"/>
  <c r="E10799" i="14"/>
  <c r="AH10798" i="14"/>
  <c r="E10798" i="14"/>
  <c r="AH10797" i="14"/>
  <c r="E10797" i="14"/>
  <c r="AH10796" i="14"/>
  <c r="E10796" i="14"/>
  <c r="AH10795" i="14"/>
  <c r="E10795" i="14"/>
  <c r="AH10794" i="14"/>
  <c r="E10794" i="14"/>
  <c r="AH10793" i="14"/>
  <c r="E10793" i="14"/>
  <c r="AH10792" i="14"/>
  <c r="E10792" i="14"/>
  <c r="AH10791" i="14"/>
  <c r="E10791" i="14"/>
  <c r="AH10790" i="14"/>
  <c r="E10790" i="14"/>
  <c r="AH10789" i="14"/>
  <c r="E10789" i="14"/>
  <c r="AH10788" i="14"/>
  <c r="E10788" i="14"/>
  <c r="AH10787" i="14"/>
  <c r="E10787" i="14"/>
  <c r="AH10786" i="14"/>
  <c r="E10786" i="14"/>
  <c r="AH10785" i="14"/>
  <c r="E10785" i="14"/>
  <c r="AH10784" i="14"/>
  <c r="E10784" i="14"/>
  <c r="AH10783" i="14"/>
  <c r="E10783" i="14"/>
  <c r="AH10782" i="14"/>
  <c r="E10782" i="14"/>
  <c r="AH10781" i="14"/>
  <c r="E10781" i="14"/>
  <c r="AH10780" i="14"/>
  <c r="E10780" i="14"/>
  <c r="AH10779" i="14"/>
  <c r="E10779" i="14"/>
  <c r="AH10778" i="14"/>
  <c r="E10778" i="14"/>
  <c r="AH10777" i="14"/>
  <c r="E10777" i="14"/>
  <c r="AH10776" i="14"/>
  <c r="E10776" i="14"/>
  <c r="AH10775" i="14"/>
  <c r="E10775" i="14"/>
  <c r="AH10774" i="14"/>
  <c r="E10774" i="14"/>
  <c r="AH10773" i="14"/>
  <c r="E10773" i="14"/>
  <c r="AH10772" i="14"/>
  <c r="E10772" i="14"/>
  <c r="AH10771" i="14"/>
  <c r="E10771" i="14"/>
  <c r="AH10770" i="14"/>
  <c r="E10770" i="14"/>
  <c r="AH10769" i="14"/>
  <c r="E10769" i="14"/>
  <c r="AH10768" i="14"/>
  <c r="E10768" i="14"/>
  <c r="AH10767" i="14"/>
  <c r="E10767" i="14"/>
  <c r="AH10766" i="14"/>
  <c r="E10766" i="14"/>
  <c r="AH10765" i="14"/>
  <c r="E10765" i="14"/>
  <c r="AH10764" i="14"/>
  <c r="E10764" i="14"/>
  <c r="AH10763" i="14"/>
  <c r="E10763" i="14"/>
  <c r="AH10762" i="14"/>
  <c r="E10762" i="14"/>
  <c r="AH10761" i="14"/>
  <c r="E10761" i="14"/>
  <c r="AH10760" i="14"/>
  <c r="E10760" i="14"/>
  <c r="AH10759" i="14"/>
  <c r="E10759" i="14"/>
  <c r="AH10758" i="14"/>
  <c r="E10758" i="14"/>
  <c r="AH10757" i="14"/>
  <c r="E10757" i="14"/>
  <c r="AH10756" i="14"/>
  <c r="E10756" i="14"/>
  <c r="AH10755" i="14"/>
  <c r="E10755" i="14"/>
  <c r="AH10754" i="14"/>
  <c r="E10754" i="14"/>
  <c r="AH10753" i="14"/>
  <c r="E10753" i="14"/>
  <c r="AH10752" i="14"/>
  <c r="E10752" i="14"/>
  <c r="AH10751" i="14"/>
  <c r="E10751" i="14"/>
  <c r="AH10750" i="14"/>
  <c r="E10750" i="14"/>
  <c r="AH10749" i="14"/>
  <c r="E10749" i="14"/>
  <c r="AH10748" i="14"/>
  <c r="E10748" i="14"/>
  <c r="AH10747" i="14"/>
  <c r="E10747" i="14"/>
  <c r="AH10746" i="14"/>
  <c r="E10746" i="14"/>
  <c r="AH10745" i="14"/>
  <c r="E10745" i="14"/>
  <c r="AH10744" i="14"/>
  <c r="E10744" i="14"/>
  <c r="AH10743" i="14"/>
  <c r="E10743" i="14"/>
  <c r="AH10742" i="14"/>
  <c r="E10742" i="14"/>
  <c r="AH10741" i="14"/>
  <c r="E10741" i="14"/>
  <c r="AH10740" i="14"/>
  <c r="E10740" i="14"/>
  <c r="AH10739" i="14"/>
  <c r="E10739" i="14"/>
  <c r="AH10738" i="14"/>
  <c r="E10738" i="14"/>
  <c r="AH10737" i="14"/>
  <c r="E10737" i="14"/>
  <c r="AH10736" i="14"/>
  <c r="E10736" i="14"/>
  <c r="AH10735" i="14"/>
  <c r="E10735" i="14"/>
  <c r="AH10734" i="14"/>
  <c r="E10734" i="14"/>
  <c r="AH10733" i="14"/>
  <c r="E10733" i="14"/>
  <c r="AH10732" i="14"/>
  <c r="E10732" i="14"/>
  <c r="AH10731" i="14"/>
  <c r="E10731" i="14"/>
  <c r="AH10730" i="14"/>
  <c r="E10730" i="14"/>
  <c r="AH10729" i="14"/>
  <c r="E10729" i="14"/>
  <c r="AH10728" i="14"/>
  <c r="E10728" i="14"/>
  <c r="AH10727" i="14"/>
  <c r="E10727" i="14"/>
  <c r="AH10726" i="14"/>
  <c r="E10726" i="14"/>
  <c r="AH10725" i="14"/>
  <c r="E10725" i="14"/>
  <c r="AH10724" i="14"/>
  <c r="E10724" i="14"/>
  <c r="AH10723" i="14"/>
  <c r="E10723" i="14"/>
  <c r="AH10722" i="14"/>
  <c r="E10722" i="14"/>
  <c r="AH10721" i="14"/>
  <c r="E10721" i="14"/>
  <c r="AH10720" i="14"/>
  <c r="E10720" i="14"/>
  <c r="AH10719" i="14"/>
  <c r="E10719" i="14"/>
  <c r="AH10718" i="14"/>
  <c r="E10718" i="14"/>
  <c r="AH10717" i="14"/>
  <c r="E10717" i="14"/>
  <c r="AH10716" i="14"/>
  <c r="E10716" i="14"/>
  <c r="AH10715" i="14"/>
  <c r="E10715" i="14"/>
  <c r="AH10714" i="14"/>
  <c r="E10714" i="14"/>
  <c r="AH10713" i="14"/>
  <c r="E10713" i="14"/>
  <c r="AH10712" i="14"/>
  <c r="E10712" i="14"/>
  <c r="AH10711" i="14"/>
  <c r="E10711" i="14"/>
  <c r="AH10710" i="14"/>
  <c r="E10710" i="14"/>
  <c r="AH10709" i="14"/>
  <c r="E10709" i="14"/>
  <c r="AH10708" i="14"/>
  <c r="E10708" i="14"/>
  <c r="AH10707" i="14"/>
  <c r="E10707" i="14"/>
  <c r="AH10706" i="14"/>
  <c r="E10706" i="14"/>
  <c r="AH10705" i="14"/>
  <c r="E10705" i="14"/>
  <c r="AH10704" i="14"/>
  <c r="E10704" i="14"/>
  <c r="AH10703" i="14"/>
  <c r="E10703" i="14"/>
  <c r="AH10702" i="14"/>
  <c r="E10702" i="14"/>
  <c r="AH10701" i="14"/>
  <c r="E10701" i="14"/>
  <c r="AH10700" i="14"/>
  <c r="E10700" i="14"/>
  <c r="AH10699" i="14"/>
  <c r="E10699" i="14"/>
  <c r="AH10698" i="14"/>
  <c r="E10698" i="14"/>
  <c r="AH10697" i="14"/>
  <c r="E10697" i="14"/>
  <c r="AH10696" i="14"/>
  <c r="E10696" i="14"/>
  <c r="AH10695" i="14"/>
  <c r="E10695" i="14"/>
  <c r="AH10694" i="14"/>
  <c r="E10694" i="14"/>
  <c r="AH10693" i="14"/>
  <c r="E10693" i="14"/>
  <c r="AH10692" i="14"/>
  <c r="E10692" i="14"/>
  <c r="AH10691" i="14"/>
  <c r="E10691" i="14"/>
  <c r="AH10690" i="14"/>
  <c r="E10690" i="14"/>
  <c r="AH10689" i="14"/>
  <c r="E10689" i="14"/>
  <c r="AH10688" i="14"/>
  <c r="E10688" i="14"/>
  <c r="AH10687" i="14"/>
  <c r="E10687" i="14"/>
  <c r="AH10686" i="14"/>
  <c r="E10686" i="14"/>
  <c r="AH10685" i="14"/>
  <c r="E10685" i="14"/>
  <c r="AH10684" i="14"/>
  <c r="E10684" i="14"/>
  <c r="AH10683" i="14"/>
  <c r="E10683" i="14"/>
  <c r="AH10682" i="14"/>
  <c r="E10682" i="14"/>
  <c r="AH10681" i="14"/>
  <c r="E10681" i="14"/>
  <c r="AH10680" i="14"/>
  <c r="E10680" i="14"/>
  <c r="AH10679" i="14"/>
  <c r="E10679" i="14"/>
  <c r="AH10678" i="14"/>
  <c r="E10678" i="14"/>
  <c r="AH10677" i="14"/>
  <c r="E10677" i="14"/>
  <c r="AH10676" i="14"/>
  <c r="E10676" i="14"/>
  <c r="AH10675" i="14"/>
  <c r="E10675" i="14"/>
  <c r="AH10674" i="14"/>
  <c r="E10674" i="14"/>
  <c r="AH10673" i="14"/>
  <c r="E10673" i="14"/>
  <c r="AH10672" i="14"/>
  <c r="E10672" i="14"/>
  <c r="AH10671" i="14"/>
  <c r="E10671" i="14"/>
  <c r="AH10670" i="14"/>
  <c r="E10670" i="14"/>
  <c r="AH10669" i="14"/>
  <c r="E10669" i="14"/>
  <c r="AH10668" i="14"/>
  <c r="E10668" i="14"/>
  <c r="AH10667" i="14"/>
  <c r="E10667" i="14"/>
  <c r="AH10666" i="14"/>
  <c r="E10666" i="14"/>
  <c r="AH10665" i="14"/>
  <c r="E10665" i="14"/>
  <c r="AH10664" i="14"/>
  <c r="E10664" i="14"/>
  <c r="AH10663" i="14"/>
  <c r="E10663" i="14"/>
  <c r="AH10662" i="14"/>
  <c r="E10662" i="14"/>
  <c r="AH10661" i="14"/>
  <c r="E10661" i="14"/>
  <c r="AH10660" i="14"/>
  <c r="E10660" i="14"/>
  <c r="AH10659" i="14"/>
  <c r="E10659" i="14"/>
  <c r="AH10658" i="14"/>
  <c r="E10658" i="14"/>
  <c r="AH10657" i="14"/>
  <c r="E10657" i="14"/>
  <c r="AH10656" i="14"/>
  <c r="E10656" i="14"/>
  <c r="AH10655" i="14"/>
  <c r="E10655" i="14"/>
  <c r="AH10654" i="14"/>
  <c r="E10654" i="14"/>
  <c r="AH10653" i="14"/>
  <c r="E10653" i="14"/>
  <c r="AH10652" i="14"/>
  <c r="E10652" i="14"/>
  <c r="AH10651" i="14"/>
  <c r="E10651" i="14"/>
  <c r="AH10650" i="14"/>
  <c r="E10650" i="14"/>
  <c r="AH10649" i="14"/>
  <c r="E10649" i="14"/>
  <c r="AH10648" i="14"/>
  <c r="E10648" i="14"/>
  <c r="AH10647" i="14"/>
  <c r="E10647" i="14"/>
  <c r="AH10646" i="14"/>
  <c r="E10646" i="14"/>
  <c r="AH10645" i="14"/>
  <c r="E10645" i="14"/>
  <c r="AH10644" i="14"/>
  <c r="E10644" i="14"/>
  <c r="AH10643" i="14"/>
  <c r="E10643" i="14"/>
  <c r="AH10642" i="14"/>
  <c r="E10642" i="14"/>
  <c r="AH10641" i="14"/>
  <c r="E10641" i="14"/>
  <c r="AH10640" i="14"/>
  <c r="E10640" i="14"/>
  <c r="AH10639" i="14"/>
  <c r="E10639" i="14"/>
  <c r="AH10638" i="14"/>
  <c r="E10638" i="14"/>
  <c r="AH10637" i="14"/>
  <c r="E10637" i="14"/>
  <c r="AH10636" i="14"/>
  <c r="E10636" i="14"/>
  <c r="AH10635" i="14"/>
  <c r="E10635" i="14"/>
  <c r="AH10634" i="14"/>
  <c r="E10634" i="14"/>
  <c r="AH10633" i="14"/>
  <c r="E10633" i="14"/>
  <c r="AH10632" i="14"/>
  <c r="E10632" i="14"/>
  <c r="AH10631" i="14"/>
  <c r="E10631" i="14"/>
  <c r="AH10630" i="14"/>
  <c r="E10630" i="14"/>
  <c r="AH10629" i="14"/>
  <c r="E10629" i="14"/>
  <c r="AH10628" i="14"/>
  <c r="E10628" i="14"/>
  <c r="AH10627" i="14"/>
  <c r="E10627" i="14"/>
  <c r="AH10626" i="14"/>
  <c r="E10626" i="14"/>
  <c r="AH10625" i="14"/>
  <c r="E10625" i="14"/>
  <c r="AH10624" i="14"/>
  <c r="E10624" i="14"/>
  <c r="AH10623" i="14"/>
  <c r="E10623" i="14"/>
  <c r="AH10622" i="14"/>
  <c r="E10622" i="14"/>
  <c r="AH10621" i="14"/>
  <c r="E10621" i="14"/>
  <c r="AH10620" i="14"/>
  <c r="E10620" i="14"/>
  <c r="AH10619" i="14"/>
  <c r="E10619" i="14"/>
  <c r="AH10618" i="14"/>
  <c r="E10618" i="14"/>
  <c r="AH10617" i="14"/>
  <c r="E10617" i="14"/>
  <c r="AH10616" i="14"/>
  <c r="E10616" i="14"/>
  <c r="AH10615" i="14"/>
  <c r="E10615" i="14"/>
  <c r="AH10614" i="14"/>
  <c r="E10614" i="14"/>
  <c r="AH10613" i="14"/>
  <c r="E10613" i="14"/>
  <c r="AH10612" i="14"/>
  <c r="E10612" i="14"/>
  <c r="AH10611" i="14"/>
  <c r="E10611" i="14"/>
  <c r="AH10610" i="14"/>
  <c r="E10610" i="14"/>
  <c r="AH10609" i="14"/>
  <c r="E10609" i="14"/>
  <c r="AH10608" i="14"/>
  <c r="E10608" i="14"/>
  <c r="AH10607" i="14"/>
  <c r="E10607" i="14"/>
  <c r="AH10606" i="14"/>
  <c r="E10606" i="14"/>
  <c r="AH10605" i="14"/>
  <c r="E10605" i="14"/>
  <c r="AH10604" i="14"/>
  <c r="E10604" i="14"/>
  <c r="AH10603" i="14"/>
  <c r="E10603" i="14"/>
  <c r="AH10602" i="14"/>
  <c r="E10602" i="14"/>
  <c r="AH10601" i="14"/>
  <c r="E10601" i="14"/>
  <c r="AH10600" i="14"/>
  <c r="E10600" i="14"/>
  <c r="AH10599" i="14"/>
  <c r="E10599" i="14"/>
  <c r="AH10598" i="14"/>
  <c r="E10598" i="14"/>
  <c r="AH10597" i="14"/>
  <c r="E10597" i="14"/>
  <c r="AH10596" i="14"/>
  <c r="E10596" i="14"/>
  <c r="AH10595" i="14"/>
  <c r="E10595" i="14"/>
  <c r="AH10594" i="14"/>
  <c r="E10594" i="14"/>
  <c r="AH10593" i="14"/>
  <c r="E10593" i="14"/>
  <c r="AH10592" i="14"/>
  <c r="E10592" i="14"/>
  <c r="AH10591" i="14"/>
  <c r="E10591" i="14"/>
  <c r="AH10590" i="14"/>
  <c r="E10590" i="14"/>
  <c r="AH10589" i="14"/>
  <c r="E10589" i="14"/>
  <c r="AH10588" i="14"/>
  <c r="E10588" i="14"/>
  <c r="AH10587" i="14"/>
  <c r="E10587" i="14"/>
  <c r="AH10586" i="14"/>
  <c r="E10586" i="14"/>
  <c r="AH10585" i="14"/>
  <c r="E10585" i="14"/>
  <c r="AH10584" i="14"/>
  <c r="E10584" i="14"/>
  <c r="AH10583" i="14"/>
  <c r="E10583" i="14"/>
  <c r="AH10582" i="14"/>
  <c r="E10582" i="14"/>
  <c r="AH10581" i="14"/>
  <c r="E10581" i="14"/>
  <c r="AH10580" i="14"/>
  <c r="E10580" i="14"/>
  <c r="AH10579" i="14"/>
  <c r="E10579" i="14"/>
  <c r="AH10578" i="14"/>
  <c r="E10578" i="14"/>
  <c r="AH10577" i="14"/>
  <c r="E10577" i="14"/>
  <c r="AH10576" i="14"/>
  <c r="E10576" i="14"/>
  <c r="AH10575" i="14"/>
  <c r="E10575" i="14"/>
  <c r="AH10574" i="14"/>
  <c r="E10574" i="14"/>
  <c r="AH10573" i="14"/>
  <c r="E10573" i="14"/>
  <c r="AH10572" i="14"/>
  <c r="E10572" i="14"/>
  <c r="AH10571" i="14"/>
  <c r="E10571" i="14"/>
  <c r="AH10570" i="14"/>
  <c r="E10570" i="14"/>
  <c r="AH10569" i="14"/>
  <c r="E10569" i="14"/>
  <c r="AH10568" i="14"/>
  <c r="E10568" i="14"/>
  <c r="AH10567" i="14"/>
  <c r="E10567" i="14"/>
  <c r="AH10566" i="14"/>
  <c r="E10566" i="14"/>
  <c r="AH10565" i="14"/>
  <c r="E10565" i="14"/>
  <c r="AH10564" i="14"/>
  <c r="E10564" i="14"/>
  <c r="AH10563" i="14"/>
  <c r="E10563" i="14"/>
  <c r="AH10562" i="14"/>
  <c r="E10562" i="14"/>
  <c r="AH10561" i="14"/>
  <c r="E10561" i="14"/>
  <c r="AH10560" i="14"/>
  <c r="E10560" i="14"/>
  <c r="AH10559" i="14"/>
  <c r="E10559" i="14"/>
  <c r="AH10558" i="14"/>
  <c r="E10558" i="14"/>
  <c r="AH10557" i="14"/>
  <c r="E10557" i="14"/>
  <c r="AH10556" i="14"/>
  <c r="E10556" i="14"/>
  <c r="AH10555" i="14"/>
  <c r="E10555" i="14"/>
  <c r="AH10554" i="14"/>
  <c r="E10554" i="14"/>
  <c r="AH10553" i="14"/>
  <c r="E10553" i="14"/>
  <c r="AH10552" i="14"/>
  <c r="E10552" i="14"/>
  <c r="AH10551" i="14"/>
  <c r="E10551" i="14"/>
  <c r="AH10550" i="14"/>
  <c r="E10550" i="14"/>
  <c r="AH10549" i="14"/>
  <c r="E10549" i="14"/>
  <c r="AH10548" i="14"/>
  <c r="E10548" i="14"/>
  <c r="AH10547" i="14"/>
  <c r="E10547" i="14"/>
  <c r="AH10546" i="14"/>
  <c r="E10546" i="14"/>
  <c r="AH10545" i="14"/>
  <c r="E10545" i="14"/>
  <c r="AH10544" i="14"/>
  <c r="E10544" i="14"/>
  <c r="AH10543" i="14"/>
  <c r="E10543" i="14"/>
  <c r="AH10542" i="14"/>
  <c r="E10542" i="14"/>
  <c r="AH10541" i="14"/>
  <c r="E10541" i="14"/>
  <c r="AH10540" i="14"/>
  <c r="E10540" i="14"/>
  <c r="AH10539" i="14"/>
  <c r="E10539" i="14"/>
  <c r="AH10538" i="14"/>
  <c r="E10538" i="14"/>
  <c r="AH10537" i="14"/>
  <c r="E10537" i="14"/>
  <c r="AH10536" i="14"/>
  <c r="E10536" i="14"/>
  <c r="AH10535" i="14"/>
  <c r="E10535" i="14"/>
  <c r="AH10534" i="14"/>
  <c r="E10534" i="14"/>
  <c r="AH10533" i="14"/>
  <c r="E10533" i="14"/>
  <c r="AH10532" i="14"/>
  <c r="E10532" i="14"/>
  <c r="AH10531" i="14"/>
  <c r="E10531" i="14"/>
  <c r="AH10530" i="14"/>
  <c r="E10530" i="14"/>
  <c r="AH10529" i="14"/>
  <c r="E10529" i="14"/>
  <c r="AH10528" i="14"/>
  <c r="E10528" i="14"/>
  <c r="AH10527" i="14"/>
  <c r="E10527" i="14"/>
  <c r="AH10526" i="14"/>
  <c r="E10526" i="14"/>
  <c r="AH10525" i="14"/>
  <c r="E10525" i="14"/>
  <c r="AH10524" i="14"/>
  <c r="E10524" i="14"/>
  <c r="AH10523" i="14"/>
  <c r="E10523" i="14"/>
  <c r="AH10522" i="14"/>
  <c r="E10522" i="14"/>
  <c r="AH10521" i="14"/>
  <c r="E10521" i="14"/>
  <c r="AH10520" i="14"/>
  <c r="E10520" i="14"/>
  <c r="AH10519" i="14"/>
  <c r="E10519" i="14"/>
  <c r="AH10518" i="14"/>
  <c r="E10518" i="14"/>
  <c r="AH10517" i="14"/>
  <c r="E10517" i="14"/>
  <c r="AH10516" i="14"/>
  <c r="E10516" i="14"/>
  <c r="AH10515" i="14"/>
  <c r="E10515" i="14"/>
  <c r="AH10514" i="14"/>
  <c r="E10514" i="14"/>
  <c r="AH10513" i="14"/>
  <c r="E10513" i="14"/>
  <c r="AH10512" i="14"/>
  <c r="E10512" i="14"/>
  <c r="AH10511" i="14"/>
  <c r="E10511" i="14"/>
  <c r="AH10510" i="14"/>
  <c r="E10510" i="14"/>
  <c r="AH10509" i="14"/>
  <c r="E10509" i="14"/>
  <c r="AH10508" i="14"/>
  <c r="E10508" i="14"/>
  <c r="AH10507" i="14"/>
  <c r="E10507" i="14"/>
  <c r="AH10506" i="14"/>
  <c r="E10506" i="14"/>
  <c r="AH10505" i="14"/>
  <c r="E10505" i="14"/>
  <c r="AH10504" i="14"/>
  <c r="E10504" i="14"/>
  <c r="AH10503" i="14"/>
  <c r="E10503" i="14"/>
  <c r="AH10502" i="14"/>
  <c r="E10502" i="14"/>
  <c r="AH10501" i="14"/>
  <c r="E10501" i="14"/>
  <c r="AH10500" i="14"/>
  <c r="E10500" i="14"/>
  <c r="AH10499" i="14"/>
  <c r="E10499" i="14"/>
  <c r="AH10498" i="14"/>
  <c r="E10498" i="14"/>
  <c r="AH10497" i="14"/>
  <c r="E10497" i="14"/>
  <c r="AH10496" i="14"/>
  <c r="E10496" i="14"/>
  <c r="AH10495" i="14"/>
  <c r="E10495" i="14"/>
  <c r="AH10494" i="14"/>
  <c r="E10494" i="14"/>
  <c r="AH10493" i="14"/>
  <c r="E10493" i="14"/>
  <c r="AH10492" i="14"/>
  <c r="E10492" i="14"/>
  <c r="AH10491" i="14"/>
  <c r="E10491" i="14"/>
  <c r="AH10490" i="14"/>
  <c r="E10490" i="14"/>
  <c r="AH10489" i="14"/>
  <c r="E10489" i="14"/>
  <c r="AH10488" i="14"/>
  <c r="E10488" i="14"/>
  <c r="AH10487" i="14"/>
  <c r="E10487" i="14"/>
  <c r="AH10486" i="14"/>
  <c r="E10486" i="14"/>
  <c r="AH10485" i="14"/>
  <c r="E10485" i="14"/>
  <c r="AH10484" i="14"/>
  <c r="E10484" i="14"/>
  <c r="AH10483" i="14"/>
  <c r="E10483" i="14"/>
  <c r="AH10482" i="14"/>
  <c r="E10482" i="14"/>
  <c r="AH10481" i="14"/>
  <c r="E10481" i="14"/>
  <c r="AH10480" i="14"/>
  <c r="E10480" i="14"/>
  <c r="AH10479" i="14"/>
  <c r="E10479" i="14"/>
  <c r="AH10478" i="14"/>
  <c r="E10478" i="14"/>
  <c r="AH10477" i="14"/>
  <c r="E10477" i="14"/>
  <c r="AH10476" i="14"/>
  <c r="E10476" i="14"/>
  <c r="AH10475" i="14"/>
  <c r="E10475" i="14"/>
  <c r="AH10474" i="14"/>
  <c r="E10474" i="14"/>
  <c r="AH10473" i="14"/>
  <c r="E10473" i="14"/>
  <c r="AH10472" i="14"/>
  <c r="E10472" i="14"/>
  <c r="AH10471" i="14"/>
  <c r="E10471" i="14"/>
  <c r="AH10470" i="14"/>
  <c r="E10470" i="14"/>
  <c r="AH10469" i="14"/>
  <c r="E10469" i="14"/>
  <c r="AH10468" i="14"/>
  <c r="E10468" i="14"/>
  <c r="AH10467" i="14"/>
  <c r="E10467" i="14"/>
  <c r="AH10466" i="14"/>
  <c r="E10466" i="14"/>
  <c r="AH10465" i="14"/>
  <c r="E10465" i="14"/>
  <c r="AH10464" i="14"/>
  <c r="E10464" i="14"/>
  <c r="AH10463" i="14"/>
  <c r="E10463" i="14"/>
  <c r="AH10462" i="14"/>
  <c r="E10462" i="14"/>
  <c r="AH10461" i="14"/>
  <c r="E10461" i="14"/>
  <c r="AH10460" i="14"/>
  <c r="E10460" i="14"/>
  <c r="AH10459" i="14"/>
  <c r="E10459" i="14"/>
  <c r="AH10458" i="14"/>
  <c r="E10458" i="14"/>
  <c r="AH10457" i="14"/>
  <c r="E10457" i="14"/>
  <c r="AH10456" i="14"/>
  <c r="E10456" i="14"/>
  <c r="AH10455" i="14"/>
  <c r="E10455" i="14"/>
  <c r="AH10454" i="14"/>
  <c r="E10454" i="14"/>
  <c r="AH10453" i="14"/>
  <c r="E10453" i="14"/>
  <c r="AH10452" i="14"/>
  <c r="E10452" i="14"/>
  <c r="AH10451" i="14"/>
  <c r="E10451" i="14"/>
  <c r="AH10450" i="14"/>
  <c r="E10450" i="14"/>
  <c r="AH10449" i="14"/>
  <c r="E10449" i="14"/>
  <c r="AH10448" i="14"/>
  <c r="E10448" i="14"/>
  <c r="AH10447" i="14"/>
  <c r="E10447" i="14"/>
  <c r="AH10446" i="14"/>
  <c r="E10446" i="14"/>
  <c r="AH10445" i="14"/>
  <c r="E10445" i="14"/>
  <c r="AH10444" i="14"/>
  <c r="E10444" i="14"/>
  <c r="AH10443" i="14"/>
  <c r="E10443" i="14"/>
  <c r="AH10442" i="14"/>
  <c r="E10442" i="14"/>
  <c r="AH10441" i="14"/>
  <c r="E10441" i="14"/>
  <c r="AH10440" i="14"/>
  <c r="E10440" i="14"/>
  <c r="AH10439" i="14"/>
  <c r="E10439" i="14"/>
  <c r="AH10438" i="14"/>
  <c r="E10438" i="14"/>
  <c r="AH10437" i="14"/>
  <c r="E10437" i="14"/>
  <c r="AH10436" i="14"/>
  <c r="E10436" i="14"/>
  <c r="AH10435" i="14"/>
  <c r="E10435" i="14"/>
  <c r="AH10434" i="14"/>
  <c r="E10434" i="14"/>
  <c r="AH10433" i="14"/>
  <c r="E10433" i="14"/>
  <c r="AH10432" i="14"/>
  <c r="E10432" i="14"/>
  <c r="AH10431" i="14"/>
  <c r="E10431" i="14"/>
  <c r="AH10430" i="14"/>
  <c r="E10430" i="14"/>
  <c r="AH10429" i="14"/>
  <c r="E10429" i="14"/>
  <c r="AH10428" i="14"/>
  <c r="E10428" i="14"/>
  <c r="AH10427" i="14"/>
  <c r="E10427" i="14"/>
  <c r="AH10426" i="14"/>
  <c r="E10426" i="14"/>
  <c r="AH10425" i="14"/>
  <c r="E10425" i="14"/>
  <c r="AH10424" i="14"/>
  <c r="E10424" i="14"/>
  <c r="AH10423" i="14"/>
  <c r="E10423" i="14"/>
  <c r="AH10422" i="14"/>
  <c r="E10422" i="14"/>
  <c r="AH10421" i="14"/>
  <c r="E10421" i="14"/>
  <c r="AH10420" i="14"/>
  <c r="E10420" i="14"/>
  <c r="AH10419" i="14"/>
  <c r="E10419" i="14"/>
  <c r="AH10418" i="14"/>
  <c r="E10418" i="14"/>
  <c r="AH10417" i="14"/>
  <c r="E10417" i="14"/>
  <c r="AH10416" i="14"/>
  <c r="E10416" i="14"/>
  <c r="AH10415" i="14"/>
  <c r="E10415" i="14"/>
  <c r="AH10414" i="14"/>
  <c r="E10414" i="14"/>
  <c r="AH10413" i="14"/>
  <c r="E10413" i="14"/>
  <c r="AH10412" i="14"/>
  <c r="E10412" i="14"/>
  <c r="AH10411" i="14"/>
  <c r="E10411" i="14"/>
  <c r="AH10410" i="14"/>
  <c r="E10410" i="14"/>
  <c r="AH10409" i="14"/>
  <c r="E10409" i="14"/>
  <c r="AH10408" i="14"/>
  <c r="E10408" i="14"/>
  <c r="AH10407" i="14"/>
  <c r="E10407" i="14"/>
  <c r="AH10406" i="14"/>
  <c r="E10406" i="14"/>
  <c r="AH10405" i="14"/>
  <c r="E10405" i="14"/>
  <c r="AH10404" i="14"/>
  <c r="E10404" i="14"/>
  <c r="AH10403" i="14"/>
  <c r="P10403" i="14"/>
  <c r="E10403" i="14"/>
  <c r="AH10402" i="14"/>
  <c r="E10402" i="14"/>
  <c r="AH10401" i="14"/>
  <c r="E10401" i="14"/>
  <c r="AH10400" i="14"/>
  <c r="E10400" i="14"/>
  <c r="AH10399" i="14"/>
  <c r="E10399" i="14"/>
  <c r="AH10398" i="14"/>
  <c r="P10398" i="14"/>
  <c r="E10398" i="14"/>
  <c r="AH10397" i="14"/>
  <c r="P10397" i="14"/>
  <c r="E10397" i="14"/>
  <c r="AH10396" i="14"/>
  <c r="E10396" i="14"/>
  <c r="AH10395" i="14"/>
  <c r="P10395" i="14"/>
  <c r="E10395" i="14"/>
  <c r="AH10394" i="14"/>
  <c r="P10394" i="14"/>
  <c r="E10394" i="14"/>
  <c r="AH10393" i="14"/>
  <c r="E10393" i="14"/>
  <c r="AH10392" i="14"/>
  <c r="E10392" i="14"/>
  <c r="AH10391" i="14"/>
  <c r="E10391" i="14"/>
  <c r="AH10390" i="14"/>
  <c r="E10390" i="14"/>
  <c r="AH10389" i="14"/>
  <c r="E10389" i="14"/>
  <c r="AH10388" i="14"/>
  <c r="P10388" i="14"/>
  <c r="E10388" i="14"/>
  <c r="AH10387" i="14"/>
  <c r="P10387" i="14"/>
  <c r="E10387" i="14"/>
  <c r="AH10386" i="14"/>
  <c r="P10386" i="14"/>
  <c r="E10386" i="14"/>
  <c r="AH10385" i="14"/>
  <c r="P10385" i="14"/>
  <c r="E10385" i="14"/>
  <c r="AH10384" i="14"/>
  <c r="E10384" i="14"/>
  <c r="AH10383" i="14"/>
  <c r="E10383" i="14"/>
  <c r="AH10382" i="14"/>
  <c r="E10382" i="14"/>
  <c r="AH10381" i="14"/>
  <c r="E10381" i="14"/>
  <c r="AH10380" i="14"/>
  <c r="P10380" i="14"/>
  <c r="E10380" i="14"/>
  <c r="AH10379" i="14"/>
  <c r="P10379" i="14"/>
  <c r="E10379" i="14"/>
  <c r="AH10378" i="14"/>
  <c r="P10378" i="14"/>
  <c r="E10378" i="14"/>
  <c r="AH10377" i="14"/>
  <c r="P10377" i="14"/>
  <c r="E10377" i="14"/>
  <c r="AH10376" i="14"/>
  <c r="P10376" i="14"/>
  <c r="E10376" i="14"/>
  <c r="AH10375" i="14"/>
  <c r="E10375" i="14"/>
  <c r="AH10374" i="14"/>
  <c r="P10374" i="14"/>
  <c r="E10374" i="14"/>
  <c r="AH10373" i="14"/>
  <c r="E10373" i="14"/>
  <c r="AH10372" i="14"/>
  <c r="E10372" i="14"/>
  <c r="AH10371" i="14"/>
  <c r="E10371" i="14"/>
  <c r="AH10370" i="14"/>
  <c r="E10370" i="14"/>
  <c r="AH10369" i="14"/>
  <c r="E10369" i="14"/>
  <c r="AH10368" i="14"/>
  <c r="E10368" i="14"/>
  <c r="AH10367" i="14"/>
  <c r="E10367" i="14"/>
  <c r="AH10366" i="14"/>
  <c r="E10366" i="14"/>
  <c r="AH10365" i="14"/>
  <c r="E10365" i="14"/>
  <c r="AH10364" i="14"/>
  <c r="E10364" i="14"/>
  <c r="AH10363" i="14"/>
  <c r="E10363" i="14"/>
  <c r="AH10362" i="14"/>
  <c r="E10362" i="14"/>
  <c r="AH10361" i="14"/>
  <c r="E10361" i="14"/>
  <c r="AH10360" i="14"/>
  <c r="E10360" i="14"/>
  <c r="AH10359" i="14"/>
  <c r="E10359" i="14"/>
  <c r="AH10358" i="14"/>
  <c r="E10358" i="14"/>
  <c r="AH10357" i="14"/>
  <c r="E10357" i="14"/>
  <c r="AH10356" i="14"/>
  <c r="E10356" i="14"/>
  <c r="AH10355" i="14"/>
  <c r="E10355" i="14"/>
  <c r="AH10354" i="14"/>
  <c r="E10354" i="14"/>
  <c r="AH10353" i="14"/>
  <c r="E10353" i="14"/>
  <c r="AH10352" i="14"/>
  <c r="E10352" i="14"/>
  <c r="AH10351" i="14"/>
  <c r="E10351" i="14"/>
  <c r="AH10350" i="14"/>
  <c r="E10350" i="14"/>
  <c r="AH10349" i="14"/>
  <c r="E10349" i="14"/>
  <c r="AH10348" i="14"/>
  <c r="E10348" i="14"/>
  <c r="AH10347" i="14"/>
  <c r="E10347" i="14"/>
  <c r="AH10346" i="14"/>
  <c r="E10346" i="14"/>
  <c r="AH10345" i="14"/>
  <c r="E10345" i="14"/>
  <c r="AH10344" i="14"/>
  <c r="E10344" i="14"/>
  <c r="AH10343" i="14"/>
  <c r="E10343" i="14"/>
  <c r="AH10342" i="14"/>
  <c r="E10342" i="14"/>
  <c r="AH10341" i="14"/>
  <c r="E10341" i="14"/>
  <c r="AH10340" i="14"/>
  <c r="E10340" i="14"/>
  <c r="AH10339" i="14"/>
  <c r="E10339" i="14"/>
  <c r="AH10338" i="14"/>
  <c r="E10338" i="14"/>
  <c r="AH10337" i="14"/>
  <c r="E10337" i="14"/>
  <c r="AH10336" i="14"/>
  <c r="E10336" i="14"/>
  <c r="AH10335" i="14"/>
  <c r="E10335" i="14"/>
  <c r="AH10334" i="14"/>
  <c r="E10334" i="14"/>
  <c r="AH10333" i="14"/>
  <c r="E10333" i="14"/>
  <c r="AH10332" i="14"/>
  <c r="E10332" i="14"/>
  <c r="AH10331" i="14"/>
  <c r="E10331" i="14"/>
  <c r="AH10330" i="14"/>
  <c r="E10330" i="14"/>
  <c r="AH10329" i="14"/>
  <c r="E10329" i="14"/>
  <c r="AH10328" i="14"/>
  <c r="E10328" i="14"/>
  <c r="AH10327" i="14"/>
  <c r="E10327" i="14"/>
  <c r="AH10326" i="14"/>
  <c r="E10326" i="14"/>
  <c r="AH10325" i="14"/>
  <c r="E10325" i="14"/>
  <c r="AH10324" i="14"/>
  <c r="E10324" i="14"/>
  <c r="AH10323" i="14"/>
  <c r="E10323" i="14"/>
  <c r="AH10322" i="14"/>
  <c r="E10322" i="14"/>
  <c r="AH10321" i="14"/>
  <c r="E10321" i="14"/>
  <c r="AH10320" i="14"/>
  <c r="E10320" i="14"/>
  <c r="AH10319" i="14"/>
  <c r="E10319" i="14"/>
  <c r="AH10318" i="14"/>
  <c r="E10318" i="14"/>
  <c r="AH10317" i="14"/>
  <c r="E10317" i="14"/>
  <c r="AH10316" i="14"/>
  <c r="E10316" i="14"/>
  <c r="AH10315" i="14"/>
  <c r="E10315" i="14"/>
  <c r="AH10314" i="14"/>
  <c r="E10314" i="14"/>
  <c r="AH10313" i="14"/>
  <c r="E10313" i="14"/>
  <c r="AH10312" i="14"/>
  <c r="E10312" i="14"/>
  <c r="AH10311" i="14"/>
  <c r="E10311" i="14"/>
  <c r="AH10310" i="14"/>
  <c r="E10310" i="14"/>
  <c r="AH10309" i="14"/>
  <c r="E10309" i="14"/>
  <c r="AH10308" i="14"/>
  <c r="E10308" i="14"/>
  <c r="AH10307" i="14"/>
  <c r="E10307" i="14"/>
  <c r="AH10306" i="14"/>
  <c r="E10306" i="14"/>
  <c r="AH10305" i="14"/>
  <c r="E10305" i="14"/>
  <c r="AH10304" i="14"/>
  <c r="E10304" i="14"/>
  <c r="AH10303" i="14"/>
  <c r="E10303" i="14"/>
  <c r="AH10302" i="14"/>
  <c r="E10302" i="14"/>
  <c r="AH10301" i="14"/>
  <c r="E10301" i="14"/>
  <c r="AH10300" i="14"/>
  <c r="E10300" i="14"/>
  <c r="AH10299" i="14"/>
  <c r="E10299" i="14"/>
  <c r="AH10298" i="14"/>
  <c r="E10298" i="14"/>
  <c r="AH10297" i="14"/>
  <c r="E10297" i="14"/>
  <c r="AH10296" i="14"/>
  <c r="E10296" i="14"/>
  <c r="AH10295" i="14"/>
  <c r="E10295" i="14"/>
  <c r="AH10294" i="14"/>
  <c r="E10294" i="14"/>
  <c r="AH10293" i="14"/>
  <c r="E10293" i="14"/>
  <c r="AH10292" i="14"/>
  <c r="E10292" i="14"/>
  <c r="AH10291" i="14"/>
  <c r="E10291" i="14"/>
  <c r="AH10290" i="14"/>
  <c r="E10290" i="14"/>
  <c r="AH10289" i="14"/>
  <c r="E10289" i="14"/>
  <c r="AH10288" i="14"/>
  <c r="E10288" i="14"/>
  <c r="AH10287" i="14"/>
  <c r="E10287" i="14"/>
  <c r="AH10286" i="14"/>
  <c r="E10286" i="14"/>
  <c r="AH10285" i="14"/>
  <c r="E10285" i="14"/>
  <c r="AH10284" i="14"/>
  <c r="E10284" i="14"/>
  <c r="AH10283" i="14"/>
  <c r="E10283" i="14"/>
  <c r="AH10282" i="14"/>
  <c r="E10282" i="14"/>
  <c r="AH10281" i="14"/>
  <c r="E10281" i="14"/>
  <c r="AH10280" i="14"/>
  <c r="E10280" i="14"/>
  <c r="AH10279" i="14"/>
  <c r="E10279" i="14"/>
  <c r="AH10278" i="14"/>
  <c r="E10278" i="14"/>
  <c r="AH10277" i="14"/>
  <c r="E10277" i="14"/>
  <c r="AH10276" i="14"/>
  <c r="E10276" i="14"/>
  <c r="AH10275" i="14"/>
  <c r="E10275" i="14"/>
  <c r="AH10274" i="14"/>
  <c r="E10274" i="14"/>
  <c r="AH10273" i="14"/>
  <c r="E10273" i="14"/>
  <c r="AH10272" i="14"/>
  <c r="E10272" i="14"/>
  <c r="AH10271" i="14"/>
  <c r="E10271" i="14"/>
  <c r="AH10270" i="14"/>
  <c r="E10270" i="14"/>
  <c r="AH10269" i="14"/>
  <c r="E10269" i="14"/>
  <c r="AH10268" i="14"/>
  <c r="E10268" i="14"/>
  <c r="AH10267" i="14"/>
  <c r="E10267" i="14"/>
  <c r="AH10266" i="14"/>
  <c r="E10266" i="14"/>
  <c r="AH10265" i="14"/>
  <c r="E10265" i="14"/>
  <c r="AH10264" i="14"/>
  <c r="E10264" i="14"/>
  <c r="AH10263" i="14"/>
  <c r="E10263" i="14"/>
  <c r="AH10262" i="14"/>
  <c r="E10262" i="14"/>
  <c r="AH10261" i="14"/>
  <c r="E10261" i="14"/>
  <c r="AH10260" i="14"/>
  <c r="E10260" i="14"/>
  <c r="AH10259" i="14"/>
  <c r="E10259" i="14"/>
  <c r="AH10258" i="14"/>
  <c r="E10258" i="14"/>
  <c r="AH10257" i="14"/>
  <c r="E10257" i="14"/>
  <c r="AH10256" i="14"/>
  <c r="E10256" i="14"/>
  <c r="AH10255" i="14"/>
  <c r="E10255" i="14"/>
  <c r="AH10254" i="14"/>
  <c r="E10254" i="14"/>
  <c r="AH10253" i="14"/>
  <c r="E10253" i="14"/>
  <c r="AH10252" i="14"/>
  <c r="E10252" i="14"/>
  <c r="AH10251" i="14"/>
  <c r="E10251" i="14"/>
  <c r="AH10250" i="14"/>
  <c r="E10250" i="14"/>
  <c r="AH10249" i="14"/>
  <c r="E10249" i="14"/>
  <c r="AH10248" i="14"/>
  <c r="E10248" i="14"/>
  <c r="AH10247" i="14"/>
  <c r="E10247" i="14"/>
  <c r="AH10246" i="14"/>
  <c r="E10246" i="14"/>
  <c r="AH10245" i="14"/>
  <c r="E10245" i="14"/>
  <c r="AH10244" i="14"/>
  <c r="E10244" i="14"/>
  <c r="AH10243" i="14"/>
  <c r="E10243" i="14"/>
  <c r="AH10242" i="14"/>
  <c r="E10242" i="14"/>
  <c r="AH10241" i="14"/>
  <c r="E10241" i="14"/>
  <c r="AH10240" i="14"/>
  <c r="E10240" i="14"/>
  <c r="AH10239" i="14"/>
  <c r="E10239" i="14"/>
  <c r="AH10238" i="14"/>
  <c r="E10238" i="14"/>
  <c r="AH10237" i="14"/>
  <c r="E10237" i="14"/>
  <c r="AH10236" i="14"/>
  <c r="E10236" i="14"/>
  <c r="AH10235" i="14"/>
  <c r="E10235" i="14"/>
  <c r="AH10234" i="14"/>
  <c r="E10234" i="14"/>
  <c r="AH10233" i="14"/>
  <c r="E10233" i="14"/>
  <c r="AH10232" i="14"/>
  <c r="E10232" i="14"/>
  <c r="AH10231" i="14"/>
  <c r="E10231" i="14"/>
  <c r="AH10230" i="14"/>
  <c r="E10230" i="14"/>
  <c r="AH10229" i="14"/>
  <c r="E10229" i="14"/>
  <c r="AH10228" i="14"/>
  <c r="E10228" i="14"/>
  <c r="AH10227" i="14"/>
  <c r="E10227" i="14"/>
  <c r="AH10226" i="14"/>
  <c r="E10226" i="14"/>
  <c r="AH10225" i="14"/>
  <c r="E10225" i="14"/>
  <c r="AH10224" i="14"/>
  <c r="E10224" i="14"/>
  <c r="AH10223" i="14"/>
  <c r="E10223" i="14"/>
  <c r="AH10222" i="14"/>
  <c r="E10222" i="14"/>
  <c r="AH10221" i="14"/>
  <c r="E10221" i="14"/>
  <c r="AH10220" i="14"/>
  <c r="E10220" i="14"/>
  <c r="AH10219" i="14"/>
  <c r="E10219" i="14"/>
  <c r="AH10218" i="14"/>
  <c r="E10218" i="14"/>
  <c r="AH10217" i="14"/>
  <c r="E10217" i="14"/>
  <c r="AH10216" i="14"/>
  <c r="E10216" i="14"/>
  <c r="AH10215" i="14"/>
  <c r="E10215" i="14"/>
  <c r="AH10214" i="14"/>
  <c r="E10214" i="14"/>
  <c r="AH10213" i="14"/>
  <c r="E10213" i="14"/>
  <c r="AH10212" i="14"/>
  <c r="E10212" i="14"/>
  <c r="AH10211" i="14"/>
  <c r="E10211" i="14"/>
  <c r="AH10210" i="14"/>
  <c r="E10210" i="14"/>
  <c r="AH10209" i="14"/>
  <c r="E10209" i="14"/>
  <c r="AH10208" i="14"/>
  <c r="E10208" i="14"/>
  <c r="AH10207" i="14"/>
  <c r="E10207" i="14"/>
  <c r="AH10206" i="14"/>
  <c r="E10206" i="14"/>
  <c r="AH10205" i="14"/>
  <c r="E10205" i="14"/>
  <c r="AH10204" i="14"/>
  <c r="E10204" i="14"/>
  <c r="AH10203" i="14"/>
  <c r="E10203" i="14"/>
  <c r="AH10202" i="14"/>
  <c r="E10202" i="14"/>
  <c r="AH10201" i="14"/>
  <c r="E10201" i="14"/>
  <c r="AH10200" i="14"/>
  <c r="E10200" i="14"/>
  <c r="AH10199" i="14"/>
  <c r="E10199" i="14"/>
  <c r="AH10198" i="14"/>
  <c r="E10198" i="14"/>
  <c r="AH10197" i="14"/>
  <c r="E10197" i="14"/>
  <c r="AH10196" i="14"/>
  <c r="E10196" i="14"/>
  <c r="AH10195" i="14"/>
  <c r="E10195" i="14"/>
  <c r="AH10194" i="14"/>
  <c r="E10194" i="14"/>
  <c r="AH10193" i="14"/>
  <c r="E10193" i="14"/>
  <c r="AH10192" i="14"/>
  <c r="E10192" i="14"/>
  <c r="AH10191" i="14"/>
  <c r="E10191" i="14"/>
  <c r="AH10190" i="14"/>
  <c r="E10190" i="14"/>
  <c r="AH10189" i="14"/>
  <c r="E10189" i="14"/>
  <c r="AH10188" i="14"/>
  <c r="E10188" i="14"/>
  <c r="AH10187" i="14"/>
  <c r="E10187" i="14"/>
  <c r="AH10186" i="14"/>
  <c r="E10186" i="14"/>
  <c r="AH10185" i="14"/>
  <c r="E10185" i="14"/>
  <c r="AH10184" i="14"/>
  <c r="E10184" i="14"/>
  <c r="AH10183" i="14"/>
  <c r="E10183" i="14"/>
  <c r="AH10182" i="14"/>
  <c r="E10182" i="14"/>
  <c r="AH10181" i="14"/>
  <c r="E10181" i="14"/>
  <c r="AH10180" i="14"/>
  <c r="E10180" i="14"/>
  <c r="AH10179" i="14"/>
  <c r="E10179" i="14"/>
  <c r="AH10178" i="14"/>
  <c r="E10178" i="14"/>
  <c r="AH10177" i="14"/>
  <c r="E10177" i="14"/>
  <c r="AH10176" i="14"/>
  <c r="E10176" i="14"/>
  <c r="AH10175" i="14"/>
  <c r="E10175" i="14"/>
  <c r="AH10174" i="14"/>
  <c r="E10174" i="14"/>
  <c r="AH10173" i="14"/>
  <c r="E10173" i="14"/>
  <c r="AH10172" i="14"/>
  <c r="E10172" i="14"/>
  <c r="AH10171" i="14"/>
  <c r="E10171" i="14"/>
  <c r="AH10170" i="14"/>
  <c r="E10170" i="14"/>
  <c r="AH10169" i="14"/>
  <c r="E10169" i="14"/>
  <c r="AH10168" i="14"/>
  <c r="E10168" i="14"/>
  <c r="AH10167" i="14"/>
  <c r="E10167" i="14"/>
  <c r="AH10166" i="14"/>
  <c r="E10166" i="14"/>
  <c r="AH10165" i="14"/>
  <c r="E10165" i="14"/>
  <c r="AH10164" i="14"/>
  <c r="E10164" i="14"/>
  <c r="AH10163" i="14"/>
  <c r="E10163" i="14"/>
  <c r="AH10162" i="14"/>
  <c r="E10162" i="14"/>
  <c r="AH10161" i="14"/>
  <c r="E10161" i="14"/>
  <c r="AH10160" i="14"/>
  <c r="E10160" i="14"/>
  <c r="AH10159" i="14"/>
  <c r="E10159" i="14"/>
  <c r="AH10158" i="14"/>
  <c r="E10158" i="14"/>
  <c r="AH10157" i="14"/>
  <c r="E10157" i="14"/>
  <c r="AH10156" i="14"/>
  <c r="E10156" i="14"/>
  <c r="AH10155" i="14"/>
  <c r="E10155" i="14"/>
  <c r="AH10154" i="14"/>
  <c r="E10154" i="14"/>
  <c r="AH10153" i="14"/>
  <c r="E10153" i="14"/>
  <c r="AH10152" i="14"/>
  <c r="E10152" i="14"/>
  <c r="AH10151" i="14"/>
  <c r="E10151" i="14"/>
  <c r="AH10150" i="14"/>
  <c r="E10150" i="14"/>
  <c r="AH10149" i="14"/>
  <c r="E10149" i="14"/>
  <c r="AH10148" i="14"/>
  <c r="E10148" i="14"/>
  <c r="AH10147" i="14"/>
  <c r="E10147" i="14"/>
  <c r="AH10146" i="14"/>
  <c r="E10146" i="14"/>
  <c r="AH10145" i="14"/>
  <c r="E10145" i="14"/>
  <c r="AH10144" i="14"/>
  <c r="E10144" i="14"/>
  <c r="AH10143" i="14"/>
  <c r="E10143" i="14"/>
  <c r="AH10142" i="14"/>
  <c r="E10142" i="14"/>
  <c r="AH10141" i="14"/>
  <c r="E10141" i="14"/>
  <c r="AH10140" i="14"/>
  <c r="E10140" i="14"/>
  <c r="AH10139" i="14"/>
  <c r="E10139" i="14"/>
  <c r="AH10138" i="14"/>
  <c r="E10138" i="14"/>
  <c r="AH10137" i="14"/>
  <c r="E10137" i="14"/>
  <c r="AH10136" i="14"/>
  <c r="P10136" i="14"/>
  <c r="O10136" i="14"/>
  <c r="E10136" i="14"/>
  <c r="AH10135" i="14"/>
  <c r="E10135" i="14"/>
  <c r="AH10134" i="14"/>
  <c r="P10134" i="14"/>
  <c r="E10134" i="14"/>
  <c r="AH10133" i="14"/>
  <c r="P10133" i="14"/>
  <c r="E10133" i="14"/>
  <c r="AH10132" i="14"/>
  <c r="E10132" i="14"/>
  <c r="AH10131" i="14"/>
  <c r="E10131" i="14"/>
  <c r="AH10130" i="14"/>
  <c r="P10130" i="14"/>
  <c r="E10130" i="14"/>
  <c r="AH10129" i="14"/>
  <c r="P10129" i="14"/>
  <c r="E10129" i="14"/>
  <c r="AH10128" i="14"/>
  <c r="P10128" i="14"/>
  <c r="O10128" i="14"/>
  <c r="E10128" i="14"/>
  <c r="AH10127" i="14"/>
  <c r="P10127" i="14"/>
  <c r="O10127" i="14"/>
  <c r="E10127" i="14"/>
  <c r="AH10126" i="14"/>
  <c r="P10126" i="14"/>
  <c r="E10126" i="14"/>
  <c r="AH10125" i="14"/>
  <c r="P10125" i="14"/>
  <c r="E10125" i="14"/>
  <c r="AH10124" i="14"/>
  <c r="P10124" i="14"/>
  <c r="E10124" i="14"/>
  <c r="AH10123" i="14"/>
  <c r="P10123" i="14"/>
  <c r="E10123" i="14"/>
  <c r="AH10122" i="14"/>
  <c r="P10122" i="14"/>
  <c r="E10122" i="14"/>
  <c r="AH10121" i="14"/>
  <c r="E10121" i="14"/>
  <c r="AH10120" i="14"/>
  <c r="P10120" i="14"/>
  <c r="E10120" i="14"/>
  <c r="AH10119" i="14"/>
  <c r="P10119" i="14"/>
  <c r="E10119" i="14"/>
  <c r="AH10118" i="14"/>
  <c r="E10118" i="14"/>
  <c r="AH10117" i="14"/>
  <c r="P10117" i="14"/>
  <c r="E10117" i="14"/>
  <c r="AH10116" i="14"/>
  <c r="P10116" i="14"/>
  <c r="E10116" i="14"/>
  <c r="AH10115" i="14"/>
  <c r="E10115" i="14"/>
  <c r="AH10114" i="14"/>
  <c r="P10114" i="14"/>
  <c r="E10114" i="14"/>
  <c r="AH10113" i="14"/>
  <c r="P10113" i="14"/>
  <c r="E10113" i="14"/>
  <c r="AH10112" i="14"/>
  <c r="E10112" i="14"/>
  <c r="AH10111" i="14"/>
  <c r="P10111" i="14"/>
  <c r="E10111" i="14"/>
  <c r="AH10110" i="14"/>
  <c r="P10110" i="14"/>
  <c r="E10110" i="14"/>
  <c r="AH10109" i="14"/>
  <c r="P10109" i="14"/>
  <c r="E10109" i="14"/>
  <c r="AH10108" i="14"/>
  <c r="E10108" i="14"/>
  <c r="AH10107" i="14"/>
  <c r="P10107" i="14"/>
  <c r="E10107" i="14"/>
  <c r="AH10106" i="14"/>
  <c r="P10106" i="14"/>
  <c r="E10106" i="14"/>
  <c r="AH10105" i="14"/>
  <c r="P10105" i="14"/>
  <c r="E10105" i="14"/>
  <c r="AH10104" i="14"/>
  <c r="P10104" i="14"/>
  <c r="E10104" i="14"/>
  <c r="AH10103" i="14"/>
  <c r="P10103" i="14"/>
  <c r="E10103" i="14"/>
  <c r="AH10102" i="14"/>
  <c r="P10102" i="14"/>
  <c r="O10102" i="14"/>
  <c r="E10102" i="14"/>
  <c r="AH10101" i="14"/>
  <c r="P10101" i="14"/>
  <c r="E10101" i="14"/>
  <c r="AH10100" i="14"/>
  <c r="P10100" i="14"/>
  <c r="E10100" i="14"/>
  <c r="AH10099" i="14"/>
  <c r="P10099" i="14"/>
  <c r="E10099" i="14"/>
  <c r="AH10098" i="14"/>
  <c r="P10098" i="14"/>
  <c r="E10098" i="14"/>
  <c r="AH10097" i="14"/>
  <c r="P10097" i="14"/>
  <c r="E10097" i="14"/>
  <c r="AH10096" i="14"/>
  <c r="P10096" i="14"/>
  <c r="E10096" i="14"/>
  <c r="AH10095" i="14"/>
  <c r="P10095" i="14"/>
  <c r="E10095" i="14"/>
  <c r="AH10094" i="14"/>
  <c r="P10094" i="14"/>
  <c r="E10094" i="14"/>
  <c r="AH10093" i="14"/>
  <c r="E10093" i="14"/>
  <c r="AH10092" i="14"/>
  <c r="P10092" i="14"/>
  <c r="E10092" i="14"/>
  <c r="AH10091" i="14"/>
  <c r="P10091" i="14"/>
  <c r="O10091" i="14"/>
  <c r="E10091" i="14"/>
  <c r="AH10090" i="14"/>
  <c r="E10090" i="14"/>
  <c r="AH10089" i="14"/>
  <c r="E10089" i="14"/>
  <c r="AH10088" i="14"/>
  <c r="E10088" i="14"/>
  <c r="AH10087" i="14"/>
  <c r="E10087" i="14"/>
  <c r="AH10086" i="14"/>
  <c r="E10086" i="14"/>
  <c r="AH10085" i="14"/>
  <c r="E10085" i="14"/>
  <c r="AH10084" i="14"/>
  <c r="E10084" i="14"/>
  <c r="AH10083" i="14"/>
  <c r="E10083" i="14"/>
  <c r="AH10082" i="14"/>
  <c r="E10082" i="14"/>
  <c r="AH10081" i="14"/>
  <c r="E10081" i="14"/>
  <c r="AH10080" i="14"/>
  <c r="E10080" i="14"/>
  <c r="AH10079" i="14"/>
  <c r="E10079" i="14"/>
  <c r="AH10078" i="14"/>
  <c r="E10078" i="14"/>
  <c r="AH10077" i="14"/>
  <c r="E10077" i="14"/>
  <c r="AH10076" i="14"/>
  <c r="E10076" i="14"/>
  <c r="AH10075" i="14"/>
  <c r="E10075" i="14"/>
  <c r="AH10074" i="14"/>
  <c r="E10074" i="14"/>
  <c r="AH10073" i="14"/>
  <c r="E10073" i="14"/>
  <c r="AH10072" i="14"/>
  <c r="P10072" i="14"/>
  <c r="E10072" i="14"/>
  <c r="AH10071" i="14"/>
  <c r="P10071" i="14"/>
  <c r="E10071" i="14"/>
  <c r="AH10070" i="14"/>
  <c r="E10070" i="14"/>
  <c r="AH10069" i="14"/>
  <c r="E10069" i="14"/>
  <c r="AH10068" i="14"/>
  <c r="E10068" i="14"/>
  <c r="AH10067" i="14"/>
  <c r="E10067" i="14"/>
  <c r="AH10066" i="14"/>
  <c r="E10066" i="14"/>
  <c r="AH10065" i="14"/>
  <c r="E10065" i="14"/>
  <c r="AH10064" i="14"/>
  <c r="E10064" i="14"/>
  <c r="AH10063" i="14"/>
  <c r="E10063" i="14"/>
  <c r="AH10062" i="14"/>
  <c r="E10062" i="14"/>
  <c r="AH10061" i="14"/>
  <c r="E10061" i="14"/>
  <c r="AH10060" i="14"/>
  <c r="E10060" i="14"/>
  <c r="AH10059" i="14"/>
  <c r="E10059" i="14"/>
  <c r="AH10058" i="14"/>
  <c r="E10058" i="14"/>
  <c r="AH10057" i="14"/>
  <c r="E10057" i="14"/>
  <c r="AH10056" i="14"/>
  <c r="E10056" i="14"/>
  <c r="AH10055" i="14"/>
  <c r="E10055" i="14"/>
  <c r="AH10054" i="14"/>
  <c r="E10054" i="14"/>
  <c r="AH10053" i="14"/>
  <c r="E10053" i="14"/>
  <c r="AH10052" i="14"/>
  <c r="E10052" i="14"/>
  <c r="AH10051" i="14"/>
  <c r="E10051" i="14"/>
  <c r="AH10050" i="14"/>
  <c r="E10050" i="14"/>
  <c r="AH10049" i="14"/>
  <c r="E10049" i="14"/>
  <c r="AH10048" i="14"/>
  <c r="E10048" i="14"/>
  <c r="AH10047" i="14"/>
  <c r="E10047" i="14"/>
  <c r="AH10046" i="14"/>
  <c r="E10046" i="14"/>
  <c r="AH10045" i="14"/>
  <c r="E10045" i="14"/>
  <c r="AH10044" i="14"/>
  <c r="E10044" i="14"/>
  <c r="AH10043" i="14"/>
  <c r="E10043" i="14"/>
  <c r="AH10042" i="14"/>
  <c r="E10042" i="14"/>
  <c r="AH10041" i="14"/>
  <c r="E10041" i="14"/>
  <c r="AH10040" i="14"/>
  <c r="E10040" i="14"/>
  <c r="AH10039" i="14"/>
  <c r="E10039" i="14"/>
  <c r="AH10038" i="14"/>
  <c r="E10038" i="14"/>
  <c r="AH10037" i="14"/>
  <c r="E10037" i="14"/>
  <c r="AH10036" i="14"/>
  <c r="E10036" i="14"/>
  <c r="AH10035" i="14"/>
  <c r="E10035" i="14"/>
  <c r="AH10034" i="14"/>
  <c r="E10034" i="14"/>
  <c r="AH10033" i="14"/>
  <c r="L10033" i="14"/>
  <c r="E10033" i="14"/>
  <c r="AH10032" i="14"/>
  <c r="E10032" i="14"/>
  <c r="AH10031" i="14"/>
  <c r="E10031" i="14"/>
  <c r="AH10030" i="14"/>
  <c r="E10030" i="14"/>
  <c r="AH10029" i="14"/>
  <c r="E10029" i="14"/>
  <c r="AH10028" i="14"/>
  <c r="E10028" i="14"/>
  <c r="AH10027" i="14"/>
  <c r="E10027" i="14"/>
  <c r="AH10026" i="14"/>
  <c r="E10026" i="14"/>
  <c r="AH10025" i="14"/>
  <c r="E10025" i="14"/>
  <c r="AH10024" i="14"/>
  <c r="E10024" i="14"/>
  <c r="AH10023" i="14"/>
  <c r="E10023" i="14"/>
  <c r="AH10022" i="14"/>
  <c r="E10022" i="14"/>
  <c r="AH10021" i="14"/>
  <c r="E10021" i="14"/>
  <c r="AH10020" i="14"/>
  <c r="E10020" i="14"/>
  <c r="AH10019" i="14"/>
  <c r="E10019" i="14"/>
  <c r="AH10018" i="14"/>
  <c r="E10018" i="14"/>
  <c r="AH10017" i="14"/>
  <c r="E10017" i="14"/>
  <c r="AH10016" i="14"/>
  <c r="E10016" i="14"/>
  <c r="AH10015" i="14"/>
  <c r="E10015" i="14"/>
  <c r="AH10014" i="14"/>
  <c r="E10014" i="14"/>
  <c r="AH10013" i="14"/>
  <c r="E10013" i="14"/>
  <c r="AH10012" i="14"/>
  <c r="E10012" i="14"/>
  <c r="AH10011" i="14"/>
  <c r="E10011" i="14"/>
  <c r="AH10010" i="14"/>
  <c r="E10010" i="14"/>
  <c r="AH10009" i="14"/>
  <c r="E10009" i="14"/>
  <c r="AH10008" i="14"/>
  <c r="E10008" i="14"/>
  <c r="AH10007" i="14"/>
  <c r="E10007" i="14"/>
  <c r="AH10006" i="14"/>
  <c r="E10006" i="14"/>
  <c r="AH10005" i="14"/>
  <c r="E10005" i="14"/>
  <c r="AH10004" i="14"/>
  <c r="E10004" i="14"/>
  <c r="AH10003" i="14"/>
  <c r="E10003" i="14"/>
  <c r="AH10002" i="14"/>
  <c r="E10002" i="14"/>
  <c r="AH10001" i="14"/>
  <c r="E10001" i="14"/>
  <c r="AH10000" i="14"/>
  <c r="E10000" i="14"/>
  <c r="AH9999" i="14"/>
  <c r="E9999" i="14"/>
  <c r="AH9998" i="14"/>
  <c r="E9998" i="14"/>
  <c r="AH9997" i="14"/>
  <c r="E9997" i="14"/>
  <c r="AH9996" i="14"/>
  <c r="E9996" i="14"/>
  <c r="AH9995" i="14"/>
  <c r="E9995" i="14"/>
  <c r="AH9994" i="14"/>
  <c r="E9994" i="14"/>
  <c r="AH9993" i="14"/>
  <c r="E9993" i="14"/>
  <c r="AH9992" i="14"/>
  <c r="E9992" i="14"/>
  <c r="AH9991" i="14"/>
  <c r="E9991" i="14"/>
  <c r="AH9990" i="14"/>
  <c r="E9990" i="14"/>
  <c r="AH9989" i="14"/>
  <c r="E9989" i="14"/>
  <c r="AH9988" i="14"/>
  <c r="E9988" i="14"/>
  <c r="AH9987" i="14"/>
  <c r="E9987" i="14"/>
  <c r="AH9986" i="14"/>
  <c r="E9986" i="14"/>
  <c r="AH9985" i="14"/>
  <c r="E9985" i="14"/>
  <c r="AH9984" i="14"/>
  <c r="E9984" i="14"/>
  <c r="AH9983" i="14"/>
  <c r="E9983" i="14"/>
  <c r="AH9982" i="14"/>
  <c r="E9982" i="14"/>
  <c r="AH9981" i="14"/>
  <c r="E9981" i="14"/>
  <c r="AH9980" i="14"/>
  <c r="E9980" i="14"/>
  <c r="AH9979" i="14"/>
  <c r="E9979" i="14"/>
  <c r="AH9978" i="14"/>
  <c r="E9978" i="14"/>
  <c r="AH9977" i="14"/>
  <c r="E9977" i="14"/>
  <c r="AH9976" i="14"/>
  <c r="E9976" i="14"/>
  <c r="AH9975" i="14"/>
  <c r="E9975" i="14"/>
  <c r="AH9974" i="14"/>
  <c r="E9974" i="14"/>
  <c r="AH9973" i="14"/>
  <c r="E9973" i="14"/>
  <c r="AH9972" i="14"/>
  <c r="E9972" i="14"/>
  <c r="AH9971" i="14"/>
  <c r="E9971" i="14"/>
  <c r="AH9970" i="14"/>
  <c r="E9970" i="14"/>
  <c r="AH9969" i="14"/>
  <c r="E9969" i="14"/>
  <c r="AH9968" i="14"/>
  <c r="E9968" i="14"/>
  <c r="AH9967" i="14"/>
  <c r="E9967" i="14"/>
  <c r="AH9966" i="14"/>
  <c r="E9966" i="14"/>
  <c r="AH9965" i="14"/>
  <c r="E9965" i="14"/>
  <c r="AH9964" i="14"/>
  <c r="E9964" i="14"/>
  <c r="AH9963" i="14"/>
  <c r="E9963" i="14"/>
  <c r="AH9962" i="14"/>
  <c r="E9962" i="14"/>
  <c r="AH9961" i="14"/>
  <c r="E9961" i="14"/>
  <c r="AH9960" i="14"/>
  <c r="E9960" i="14"/>
  <c r="AH9959" i="14"/>
  <c r="E9959" i="14"/>
  <c r="AH9958" i="14"/>
  <c r="E9958" i="14"/>
  <c r="AH9957" i="14"/>
  <c r="E9957" i="14"/>
  <c r="AH9956" i="14"/>
  <c r="E9956" i="14"/>
  <c r="AH9955" i="14"/>
  <c r="E9955" i="14"/>
  <c r="AH9954" i="14"/>
  <c r="E9954" i="14"/>
  <c r="AH9953" i="14"/>
  <c r="E9953" i="14"/>
  <c r="AH9952" i="14"/>
  <c r="E9952" i="14"/>
  <c r="AH9951" i="14"/>
  <c r="E9951" i="14"/>
  <c r="AH9950" i="14"/>
  <c r="E9950" i="14"/>
  <c r="AH9949" i="14"/>
  <c r="E9949" i="14"/>
  <c r="AH9948" i="14"/>
  <c r="E9948" i="14"/>
  <c r="AH9947" i="14"/>
  <c r="E9947" i="14"/>
  <c r="AH9946" i="14"/>
  <c r="E9946" i="14"/>
  <c r="AH9945" i="14"/>
  <c r="E9945" i="14"/>
  <c r="AH9944" i="14"/>
  <c r="E9944" i="14"/>
  <c r="AH9943" i="14"/>
  <c r="E9943" i="14"/>
  <c r="AH9942" i="14"/>
  <c r="E9942" i="14"/>
  <c r="AH9941" i="14"/>
  <c r="E9941" i="14"/>
  <c r="AH9940" i="14"/>
  <c r="E9940" i="14"/>
  <c r="AH9939" i="14"/>
  <c r="E9939" i="14"/>
  <c r="AH9938" i="14"/>
  <c r="E9938" i="14"/>
  <c r="AH9937" i="14"/>
  <c r="E9937" i="14"/>
  <c r="AH9936" i="14"/>
  <c r="E9936" i="14"/>
  <c r="AH9935" i="14"/>
  <c r="E9935" i="14"/>
  <c r="AH9934" i="14"/>
  <c r="E9934" i="14"/>
  <c r="AH9933" i="14"/>
  <c r="E9933" i="14"/>
  <c r="AH9932" i="14"/>
  <c r="E9932" i="14"/>
  <c r="AH9931" i="14"/>
  <c r="E9931" i="14"/>
  <c r="AH9930" i="14"/>
  <c r="E9930" i="14"/>
  <c r="AH9929" i="14"/>
  <c r="E9929" i="14"/>
  <c r="AH9928" i="14"/>
  <c r="E9928" i="14"/>
  <c r="AH9927" i="14"/>
  <c r="E9927" i="14"/>
  <c r="AH9926" i="14"/>
  <c r="E9926" i="14"/>
  <c r="AH9925" i="14"/>
  <c r="E9925" i="14"/>
  <c r="AH9924" i="14"/>
  <c r="E9924" i="14"/>
  <c r="AH9923" i="14"/>
  <c r="E9923" i="14"/>
  <c r="AH9922" i="14"/>
  <c r="E9922" i="14"/>
  <c r="AH9921" i="14"/>
  <c r="E9921" i="14"/>
  <c r="AH9920" i="14"/>
  <c r="E9920" i="14"/>
  <c r="AH9919" i="14"/>
  <c r="E9919" i="14"/>
  <c r="AH9918" i="14"/>
  <c r="E9918" i="14"/>
  <c r="AH9917" i="14"/>
  <c r="E9917" i="14"/>
  <c r="AH9916" i="14"/>
  <c r="E9916" i="14"/>
  <c r="AH9915" i="14"/>
  <c r="E9915" i="14"/>
  <c r="AH9914" i="14"/>
  <c r="E9914" i="14"/>
  <c r="AH9913" i="14"/>
  <c r="E9913" i="14"/>
  <c r="AH9912" i="14"/>
  <c r="E9912" i="14"/>
  <c r="AH9911" i="14"/>
  <c r="E9911" i="14"/>
  <c r="AH9910" i="14"/>
  <c r="E9910" i="14"/>
  <c r="AH9909" i="14"/>
  <c r="E9909" i="14"/>
  <c r="AH9908" i="14"/>
  <c r="E9908" i="14"/>
  <c r="AH9907" i="14"/>
  <c r="E9907" i="14"/>
  <c r="AH9906" i="14"/>
  <c r="E9906" i="14"/>
  <c r="AH9905" i="14"/>
  <c r="E9905" i="14"/>
  <c r="AH9904" i="14"/>
  <c r="E9904" i="14"/>
  <c r="AH9903" i="14"/>
  <c r="E9903" i="14"/>
  <c r="AH9902" i="14"/>
  <c r="E9902" i="14"/>
  <c r="AH9901" i="14"/>
  <c r="E9901" i="14"/>
  <c r="AH9900" i="14"/>
  <c r="E9900" i="14"/>
  <c r="AH9899" i="14"/>
  <c r="E9899" i="14"/>
  <c r="AH9898" i="14"/>
  <c r="E9898" i="14"/>
  <c r="AH9897" i="14"/>
  <c r="E9897" i="14"/>
  <c r="AH9896" i="14"/>
  <c r="E9896" i="14"/>
  <c r="AH9895" i="14"/>
  <c r="E9895" i="14"/>
  <c r="AH9894" i="14"/>
  <c r="E9894" i="14"/>
  <c r="AH9893" i="14"/>
  <c r="E9893" i="14"/>
  <c r="AH9892" i="14"/>
  <c r="E9892" i="14"/>
  <c r="AH9891" i="14"/>
  <c r="E9891" i="14"/>
  <c r="AH9890" i="14"/>
  <c r="E9890" i="14"/>
  <c r="AH9889" i="14"/>
  <c r="E9889" i="14"/>
  <c r="AH9888" i="14"/>
  <c r="E9888" i="14"/>
  <c r="AH9887" i="14"/>
  <c r="E9887" i="14"/>
  <c r="AH9886" i="14"/>
  <c r="E9886" i="14"/>
  <c r="AH9885" i="14"/>
  <c r="E9885" i="14"/>
  <c r="AH9884" i="14"/>
  <c r="E9884" i="14"/>
  <c r="AH9883" i="14"/>
  <c r="E9883" i="14"/>
  <c r="AH9882" i="14"/>
  <c r="E9882" i="14"/>
  <c r="AH9881" i="14"/>
  <c r="E9881" i="14"/>
  <c r="AH9880" i="14"/>
  <c r="E9880" i="14"/>
  <c r="AH9879" i="14"/>
  <c r="E9879" i="14"/>
  <c r="AH9878" i="14"/>
  <c r="E9878" i="14"/>
  <c r="AH9877" i="14"/>
  <c r="E9877" i="14"/>
  <c r="AH9876" i="14"/>
  <c r="E9876" i="14"/>
  <c r="AH9875" i="14"/>
  <c r="E9875" i="14"/>
  <c r="AH9874" i="14"/>
  <c r="E9874" i="14"/>
  <c r="AH9873" i="14"/>
  <c r="E9873" i="14"/>
  <c r="AH9872" i="14"/>
  <c r="E9872" i="14"/>
  <c r="AH9871" i="14"/>
  <c r="E9871" i="14"/>
  <c r="AH9870" i="14"/>
  <c r="E9870" i="14"/>
  <c r="AH9869" i="14"/>
  <c r="E9869" i="14"/>
  <c r="AH9868" i="14"/>
  <c r="E9868" i="14"/>
  <c r="AH9867" i="14"/>
  <c r="E9867" i="14"/>
  <c r="AH9866" i="14"/>
  <c r="E9866" i="14"/>
  <c r="AH9865" i="14"/>
  <c r="E9865" i="14"/>
  <c r="AH9864" i="14"/>
  <c r="E9864" i="14"/>
  <c r="AH9863" i="14"/>
  <c r="E9863" i="14"/>
  <c r="AH9862" i="14"/>
  <c r="E9862" i="14"/>
  <c r="AH9861" i="14"/>
  <c r="E9861" i="14"/>
  <c r="AH9860" i="14"/>
  <c r="E9860" i="14"/>
  <c r="AH9859" i="14"/>
  <c r="E9859" i="14"/>
  <c r="AH9858" i="14"/>
  <c r="E9858" i="14"/>
  <c r="AH9857" i="14"/>
  <c r="E9857" i="14"/>
  <c r="AH9856" i="14"/>
  <c r="E9856" i="14"/>
  <c r="AH9855" i="14"/>
  <c r="E9855" i="14"/>
  <c r="AH9854" i="14"/>
  <c r="E9854" i="14"/>
  <c r="AH9853" i="14"/>
  <c r="E9853" i="14"/>
  <c r="AH9852" i="14"/>
  <c r="E9852" i="14"/>
  <c r="AH9851" i="14"/>
  <c r="E9851" i="14"/>
  <c r="AH9850" i="14"/>
  <c r="E9850" i="14"/>
  <c r="AH9849" i="14"/>
  <c r="E9849" i="14"/>
  <c r="AH9848" i="14"/>
  <c r="E9848" i="14"/>
  <c r="AH9847" i="14"/>
  <c r="E9847" i="14"/>
  <c r="AH9846" i="14"/>
  <c r="E9846" i="14"/>
  <c r="AH9845" i="14"/>
  <c r="E9845" i="14"/>
  <c r="AH9844" i="14"/>
  <c r="E9844" i="14"/>
  <c r="AH9843" i="14"/>
  <c r="E9843" i="14"/>
  <c r="AH9842" i="14"/>
  <c r="E9842" i="14"/>
  <c r="AH9841" i="14"/>
  <c r="E9841" i="14"/>
  <c r="AH9840" i="14"/>
  <c r="E9840" i="14"/>
  <c r="AH9839" i="14"/>
  <c r="E9839" i="14"/>
  <c r="AH9838" i="14"/>
  <c r="E9838" i="14"/>
  <c r="AH9837" i="14"/>
  <c r="E9837" i="14"/>
  <c r="AH9836" i="14"/>
  <c r="E9836" i="14"/>
  <c r="AH9835" i="14"/>
  <c r="E9835" i="14"/>
  <c r="AH9834" i="14"/>
  <c r="E9834" i="14"/>
  <c r="AH9833" i="14"/>
  <c r="E9833" i="14"/>
  <c r="AH9832" i="14"/>
  <c r="E9832" i="14"/>
  <c r="AH9831" i="14"/>
  <c r="P9831" i="14"/>
  <c r="E9831" i="14"/>
  <c r="AH9830" i="14"/>
  <c r="E9830" i="14"/>
  <c r="AH9829" i="14"/>
  <c r="P9829" i="14"/>
  <c r="E9829" i="14"/>
  <c r="AH9828" i="14"/>
  <c r="P9828" i="14"/>
  <c r="E9828" i="14"/>
  <c r="AH9827" i="14"/>
  <c r="E9827" i="14"/>
  <c r="AH9826" i="14"/>
  <c r="E9826" i="14"/>
  <c r="AH9825" i="14"/>
  <c r="E9825" i="14"/>
  <c r="AH9824" i="14"/>
  <c r="E9824" i="14"/>
  <c r="AH9823" i="14"/>
  <c r="E9823" i="14"/>
  <c r="AH9822" i="14"/>
  <c r="E9822" i="14"/>
  <c r="AH9821" i="14"/>
  <c r="E9821" i="14"/>
  <c r="AH9820" i="14"/>
  <c r="E9820" i="14"/>
  <c r="AH9819" i="14"/>
  <c r="E9819" i="14"/>
  <c r="AH9818" i="14"/>
  <c r="E9818" i="14"/>
  <c r="AH9817" i="14"/>
  <c r="E9817" i="14"/>
  <c r="AH9816" i="14"/>
  <c r="E9816" i="14"/>
  <c r="AH9815" i="14"/>
  <c r="E9815" i="14"/>
  <c r="AH9814" i="14"/>
  <c r="E9814" i="14"/>
  <c r="AH9813" i="14"/>
  <c r="E9813" i="14"/>
  <c r="AH9812" i="14"/>
  <c r="E9812" i="14"/>
  <c r="AH9811" i="14"/>
  <c r="E9811" i="14"/>
  <c r="AH9810" i="14"/>
  <c r="E9810" i="14"/>
  <c r="AH9809" i="14"/>
  <c r="E9809" i="14"/>
  <c r="AH9808" i="14"/>
  <c r="E9808" i="14"/>
  <c r="AH9807" i="14"/>
  <c r="E9807" i="14"/>
  <c r="AH9806" i="14"/>
  <c r="E9806" i="14"/>
  <c r="AH9805" i="14"/>
  <c r="E9805" i="14"/>
  <c r="AH9804" i="14"/>
  <c r="E9804" i="14"/>
  <c r="AH9803" i="14"/>
  <c r="E9803" i="14"/>
  <c r="AH9802" i="14"/>
  <c r="E9802" i="14"/>
  <c r="AH9801" i="14"/>
  <c r="E9801" i="14"/>
  <c r="AH9800" i="14"/>
  <c r="E9800" i="14"/>
  <c r="AH9799" i="14"/>
  <c r="E9799" i="14"/>
  <c r="AH9798" i="14"/>
  <c r="E9798" i="14"/>
  <c r="AH9797" i="14"/>
  <c r="E9797" i="14"/>
  <c r="AH9796" i="14"/>
  <c r="E9796" i="14"/>
  <c r="AH9795" i="14"/>
  <c r="E9795" i="14"/>
  <c r="AH9794" i="14"/>
  <c r="E9794" i="14"/>
  <c r="AH9793" i="14"/>
  <c r="E9793" i="14"/>
  <c r="AH9792" i="14"/>
  <c r="E9792" i="14"/>
  <c r="AH9791" i="14"/>
  <c r="E9791" i="14"/>
  <c r="AH9790" i="14"/>
  <c r="E9790" i="14"/>
  <c r="AH9789" i="14"/>
  <c r="E9789" i="14"/>
  <c r="AH9788" i="14"/>
  <c r="E9788" i="14"/>
  <c r="AH9787" i="14"/>
  <c r="E9787" i="14"/>
  <c r="AH9786" i="14"/>
  <c r="E9786" i="14"/>
  <c r="AH9785" i="14"/>
  <c r="E9785" i="14"/>
  <c r="AH9784" i="14"/>
  <c r="E9784" i="14"/>
  <c r="AH9783" i="14"/>
  <c r="E9783" i="14"/>
  <c r="AH9782" i="14"/>
  <c r="E9782" i="14"/>
  <c r="AH9781" i="14"/>
  <c r="E9781" i="14"/>
  <c r="AH9780" i="14"/>
  <c r="E9780" i="14"/>
  <c r="AH9779" i="14"/>
  <c r="E9779" i="14"/>
  <c r="AH9778" i="14"/>
  <c r="E9778" i="14"/>
  <c r="AH9777" i="14"/>
  <c r="E9777" i="14"/>
  <c r="AH9776" i="14"/>
  <c r="E9776" i="14"/>
  <c r="AH9775" i="14"/>
  <c r="E9775" i="14"/>
  <c r="AH9774" i="14"/>
  <c r="E9774" i="14"/>
  <c r="AH9773" i="14"/>
  <c r="E9773" i="14"/>
  <c r="AH9772" i="14"/>
  <c r="E9772" i="14"/>
  <c r="AH9771" i="14"/>
  <c r="E9771" i="14"/>
  <c r="AH9770" i="14"/>
  <c r="E9770" i="14"/>
  <c r="AH9769" i="14"/>
  <c r="E9769" i="14"/>
  <c r="AH9768" i="14"/>
  <c r="E9768" i="14"/>
  <c r="AH9767" i="14"/>
  <c r="E9767" i="14"/>
  <c r="AH9766" i="14"/>
  <c r="E9766" i="14"/>
  <c r="AH9765" i="14"/>
  <c r="E9765" i="14"/>
  <c r="AH9764" i="14"/>
  <c r="E9764" i="14"/>
  <c r="AH9763" i="14"/>
  <c r="E9763" i="14"/>
  <c r="AH9762" i="14"/>
  <c r="E9762" i="14"/>
  <c r="AH9761" i="14"/>
  <c r="E9761" i="14"/>
  <c r="AH9760" i="14"/>
  <c r="E9760" i="14"/>
  <c r="AH9759" i="14"/>
  <c r="E9759" i="14"/>
  <c r="AH9758" i="14"/>
  <c r="E9758" i="14"/>
  <c r="AH9757" i="14"/>
  <c r="E9757" i="14"/>
  <c r="AH9756" i="14"/>
  <c r="E9756" i="14"/>
  <c r="AH9755" i="14"/>
  <c r="E9755" i="14"/>
  <c r="AH9754" i="14"/>
  <c r="E9754" i="14"/>
  <c r="AH9753" i="14"/>
  <c r="E9753" i="14"/>
  <c r="AH9752" i="14"/>
  <c r="E9752" i="14"/>
  <c r="AH9751" i="14"/>
  <c r="E9751" i="14"/>
  <c r="AH9750" i="14"/>
  <c r="E9750" i="14"/>
  <c r="AH9749" i="14"/>
  <c r="E9749" i="14"/>
  <c r="AH9748" i="14"/>
  <c r="E9748" i="14"/>
  <c r="AH9747" i="14"/>
  <c r="E9747" i="14"/>
  <c r="AH9746" i="14"/>
  <c r="E9746" i="14"/>
  <c r="AH9745" i="14"/>
  <c r="E9745" i="14"/>
  <c r="AH9744" i="14"/>
  <c r="E9744" i="14"/>
  <c r="AH9743" i="14"/>
  <c r="E9743" i="14"/>
  <c r="AH9742" i="14"/>
  <c r="E9742" i="14"/>
  <c r="AH9741" i="14"/>
  <c r="E9741" i="14"/>
  <c r="AH9740" i="14"/>
  <c r="E9740" i="14"/>
  <c r="AH9739" i="14"/>
  <c r="E9739" i="14"/>
  <c r="AH9738" i="14"/>
  <c r="E9738" i="14"/>
  <c r="AH9737" i="14"/>
  <c r="E9737" i="14"/>
  <c r="AH9736" i="14"/>
  <c r="E9736" i="14"/>
  <c r="AH9735" i="14"/>
  <c r="E9735" i="14"/>
  <c r="AH9734" i="14"/>
  <c r="E9734" i="14"/>
  <c r="AH9733" i="14"/>
  <c r="E9733" i="14"/>
  <c r="AH9732" i="14"/>
  <c r="E9732" i="14"/>
  <c r="AH9731" i="14"/>
  <c r="E9731" i="14"/>
  <c r="AH9730" i="14"/>
  <c r="E9730" i="14"/>
  <c r="AH9729" i="14"/>
  <c r="E9729" i="14"/>
  <c r="AH9728" i="14"/>
  <c r="E9728" i="14"/>
  <c r="AH9727" i="14"/>
  <c r="E9727" i="14"/>
  <c r="AH9726" i="14"/>
  <c r="E9726" i="14"/>
  <c r="AH9725" i="14"/>
  <c r="E9725" i="14"/>
  <c r="AH9724" i="14"/>
  <c r="E9724" i="14"/>
  <c r="AH9723" i="14"/>
  <c r="E9723" i="14"/>
  <c r="AH9722" i="14"/>
  <c r="E9722" i="14"/>
  <c r="AH9721" i="14"/>
  <c r="E9721" i="14"/>
  <c r="AH9720" i="14"/>
  <c r="E9720" i="14"/>
  <c r="AH9719" i="14"/>
  <c r="E9719" i="14"/>
  <c r="AH9718" i="14"/>
  <c r="E9718" i="14"/>
  <c r="AH9717" i="14"/>
  <c r="E9717" i="14"/>
  <c r="AH9716" i="14"/>
  <c r="E9716" i="14"/>
  <c r="AH9715" i="14"/>
  <c r="E9715" i="14"/>
  <c r="AH9714" i="14"/>
  <c r="E9714" i="14"/>
  <c r="AH9713" i="14"/>
  <c r="E9713" i="14"/>
  <c r="AH9712" i="14"/>
  <c r="E9712" i="14"/>
  <c r="AH9711" i="14"/>
  <c r="E9711" i="14"/>
  <c r="AH9710" i="14"/>
  <c r="E9710" i="14"/>
  <c r="AH9709" i="14"/>
  <c r="E9709" i="14"/>
  <c r="AH9708" i="14"/>
  <c r="E9708" i="14"/>
  <c r="AH9707" i="14"/>
  <c r="E9707" i="14"/>
  <c r="AH9706" i="14"/>
  <c r="E9706" i="14"/>
  <c r="AH9705" i="14"/>
  <c r="E9705" i="14"/>
  <c r="AH9704" i="14"/>
  <c r="E9704" i="14"/>
  <c r="AH9703" i="14"/>
  <c r="E9703" i="14"/>
  <c r="AH9702" i="14"/>
  <c r="E9702" i="14"/>
  <c r="AH9701" i="14"/>
  <c r="E9701" i="14"/>
  <c r="AH9700" i="14"/>
  <c r="E9700" i="14"/>
  <c r="AH9699" i="14"/>
  <c r="E9699" i="14"/>
  <c r="AH9698" i="14"/>
  <c r="E9698" i="14"/>
  <c r="AH9697" i="14"/>
  <c r="E9697" i="14"/>
  <c r="AH9696" i="14"/>
  <c r="E9696" i="14"/>
  <c r="AH9695" i="14"/>
  <c r="E9695" i="14"/>
  <c r="AH9694" i="14"/>
  <c r="E9694" i="14"/>
  <c r="AH9693" i="14"/>
  <c r="E9693" i="14"/>
  <c r="AH9692" i="14"/>
  <c r="E9692" i="14"/>
  <c r="AH9691" i="14"/>
  <c r="E9691" i="14"/>
  <c r="AH9690" i="14"/>
  <c r="E9690" i="14"/>
  <c r="AH9689" i="14"/>
  <c r="E9689" i="14"/>
  <c r="AH9688" i="14"/>
  <c r="E9688" i="14"/>
  <c r="AH9687" i="14"/>
  <c r="E9687" i="14"/>
  <c r="AH9686" i="14"/>
  <c r="E9686" i="14"/>
  <c r="AH9685" i="14"/>
  <c r="E9685" i="14"/>
  <c r="AH9684" i="14"/>
  <c r="E9684" i="14"/>
  <c r="AH9683" i="14"/>
  <c r="E9683" i="14"/>
  <c r="AH9682" i="14"/>
  <c r="E9682" i="14"/>
  <c r="AH9681" i="14"/>
  <c r="E9681" i="14"/>
  <c r="AH9680" i="14"/>
  <c r="E9680" i="14"/>
  <c r="AH9679" i="14"/>
  <c r="E9679" i="14"/>
  <c r="AH9678" i="14"/>
  <c r="E9678" i="14"/>
  <c r="AH9677" i="14"/>
  <c r="E9677" i="14"/>
  <c r="AH9676" i="14"/>
  <c r="E9676" i="14"/>
  <c r="AH9675" i="14"/>
  <c r="E9675" i="14"/>
  <c r="AH9674" i="14"/>
  <c r="E9674" i="14"/>
  <c r="AH9673" i="14"/>
  <c r="E9673" i="14"/>
  <c r="AH9672" i="14"/>
  <c r="E9672" i="14"/>
  <c r="AH9671" i="14"/>
  <c r="E9671" i="14"/>
  <c r="AH9670" i="14"/>
  <c r="E9670" i="14"/>
  <c r="AH9669" i="14"/>
  <c r="E9669" i="14"/>
  <c r="AH9668" i="14"/>
  <c r="E9668" i="14"/>
  <c r="AH9667" i="14"/>
  <c r="E9667" i="14"/>
  <c r="AH9666" i="14"/>
  <c r="E9666" i="14"/>
  <c r="AH9665" i="14"/>
  <c r="E9665" i="14"/>
  <c r="AH9664" i="14"/>
  <c r="E9664" i="14"/>
  <c r="AH9663" i="14"/>
  <c r="E9663" i="14"/>
  <c r="AH9662" i="14"/>
  <c r="E9662" i="14"/>
  <c r="AH9661" i="14"/>
  <c r="E9661" i="14"/>
  <c r="AH9660" i="14"/>
  <c r="E9660" i="14"/>
  <c r="AH9659" i="14"/>
  <c r="E9659" i="14"/>
  <c r="AH9658" i="14"/>
  <c r="E9658" i="14"/>
  <c r="AH9657" i="14"/>
  <c r="E9657" i="14"/>
  <c r="AH9656" i="14"/>
  <c r="E9656" i="14"/>
  <c r="AH9655" i="14"/>
  <c r="E9655" i="14"/>
  <c r="AH9654" i="14"/>
  <c r="E9654" i="14"/>
  <c r="AH9653" i="14"/>
  <c r="E9653" i="14"/>
  <c r="AH9652" i="14"/>
  <c r="E9652" i="14"/>
  <c r="AH9651" i="14"/>
  <c r="E9651" i="14"/>
  <c r="AH9650" i="14"/>
  <c r="E9650" i="14"/>
  <c r="AH9649" i="14"/>
  <c r="E9649" i="14"/>
  <c r="AH9648" i="14"/>
  <c r="E9648" i="14"/>
  <c r="AH9647" i="14"/>
  <c r="E9647" i="14"/>
  <c r="AH9646" i="14"/>
  <c r="E9646" i="14"/>
  <c r="AH9645" i="14"/>
  <c r="E9645" i="14"/>
  <c r="AH9644" i="14"/>
  <c r="E9644" i="14"/>
  <c r="AH9643" i="14"/>
  <c r="Q9643" i="14"/>
  <c r="P9643" i="14"/>
  <c r="O9643" i="14"/>
  <c r="E9643" i="14"/>
  <c r="AH9642" i="14"/>
  <c r="V9642" i="14"/>
  <c r="T9642" i="14"/>
  <c r="Q9642" i="14"/>
  <c r="P9642" i="14"/>
  <c r="E9642" i="14"/>
  <c r="AH9641" i="14"/>
  <c r="V9641" i="14"/>
  <c r="T9641" i="14"/>
  <c r="Q9641" i="14"/>
  <c r="P9641" i="14"/>
  <c r="E9641" i="14"/>
  <c r="AH9640" i="14"/>
  <c r="V9640" i="14"/>
  <c r="T9640" i="14"/>
  <c r="Q9640" i="14"/>
  <c r="P9640" i="14"/>
  <c r="E9640" i="14"/>
  <c r="AH9639" i="14"/>
  <c r="E9639" i="14"/>
  <c r="AH9638" i="14"/>
  <c r="Q9638" i="14"/>
  <c r="P9638" i="14"/>
  <c r="O9638" i="14"/>
  <c r="E9638" i="14"/>
  <c r="AH9637" i="14"/>
  <c r="V9637" i="14"/>
  <c r="T9637" i="14"/>
  <c r="Q9637" i="14"/>
  <c r="P9637" i="14"/>
  <c r="E9637" i="14"/>
  <c r="AH9636" i="14"/>
  <c r="V9636" i="14"/>
  <c r="T9636" i="14"/>
  <c r="Q9636" i="14"/>
  <c r="P9636" i="14"/>
  <c r="E9636" i="14"/>
  <c r="AH9635" i="14"/>
  <c r="AF9635" i="14"/>
  <c r="AE9635" i="14"/>
  <c r="W9635" i="14"/>
  <c r="V9635" i="14"/>
  <c r="U9635" i="14"/>
  <c r="T9635" i="14"/>
  <c r="Q9635" i="14"/>
  <c r="P9635" i="14"/>
  <c r="E9635" i="14"/>
  <c r="AH9634" i="14"/>
  <c r="W9634" i="14"/>
  <c r="V9634" i="14"/>
  <c r="Q9634" i="14"/>
  <c r="P9634" i="14"/>
  <c r="E9634" i="14"/>
  <c r="AH9633" i="14"/>
  <c r="V9633" i="14"/>
  <c r="U9633" i="14"/>
  <c r="T9633" i="14"/>
  <c r="Q9633" i="14"/>
  <c r="P9633" i="14"/>
  <c r="E9633" i="14"/>
  <c r="AH9632" i="14"/>
  <c r="T9632" i="14"/>
  <c r="Q9632" i="14"/>
  <c r="P9632" i="14"/>
  <c r="E9632" i="14"/>
  <c r="AH9631" i="14"/>
  <c r="W9631" i="14"/>
  <c r="V9631" i="14"/>
  <c r="U9631" i="14"/>
  <c r="T9631" i="14"/>
  <c r="Q9631" i="14"/>
  <c r="P9631" i="14"/>
  <c r="E9631" i="14"/>
  <c r="AH9630" i="14"/>
  <c r="V9630" i="14"/>
  <c r="T9630" i="14"/>
  <c r="Q9630" i="14"/>
  <c r="P9630" i="14"/>
  <c r="O9630" i="14"/>
  <c r="E9630" i="14"/>
  <c r="AH9629" i="14"/>
  <c r="Q9629" i="14"/>
  <c r="P9629" i="14"/>
  <c r="E9629" i="14"/>
  <c r="AH9628" i="14"/>
  <c r="W9628" i="14"/>
  <c r="V9628" i="14"/>
  <c r="U9628" i="14"/>
  <c r="T9628" i="14"/>
  <c r="Q9628" i="14"/>
  <c r="E9628" i="14"/>
  <c r="AH9627" i="14"/>
  <c r="U9627" i="14"/>
  <c r="T9627" i="14"/>
  <c r="Q9627" i="14"/>
  <c r="P9627" i="14"/>
  <c r="O9627" i="14"/>
  <c r="E9627" i="14"/>
  <c r="AH9626" i="14"/>
  <c r="V9626" i="14"/>
  <c r="T9626" i="14"/>
  <c r="Q9626" i="14"/>
  <c r="P9626" i="14"/>
  <c r="E9626" i="14"/>
  <c r="AH9625" i="14"/>
  <c r="T9625" i="14"/>
  <c r="Q9625" i="14"/>
  <c r="O9625" i="14"/>
  <c r="E9625" i="14"/>
  <c r="AH9624" i="14"/>
  <c r="V9624" i="14"/>
  <c r="T9624" i="14"/>
  <c r="Q9624" i="14"/>
  <c r="P9624" i="14"/>
  <c r="E9624" i="14"/>
  <c r="AH9623" i="14"/>
  <c r="V9623" i="14"/>
  <c r="T9623" i="14"/>
  <c r="Q9623" i="14"/>
  <c r="P9623" i="14"/>
  <c r="E9623" i="14"/>
  <c r="AH9622" i="14"/>
  <c r="V9622" i="14"/>
  <c r="U9622" i="14"/>
  <c r="T9622" i="14"/>
  <c r="Q9622" i="14"/>
  <c r="P9622" i="14"/>
  <c r="E9622" i="14"/>
  <c r="AH9621" i="14"/>
  <c r="W9621" i="14"/>
  <c r="V9621" i="14"/>
  <c r="T9621" i="14"/>
  <c r="Q9621" i="14"/>
  <c r="P9621" i="14"/>
  <c r="E9621" i="14"/>
  <c r="AH9620" i="14"/>
  <c r="V9620" i="14"/>
  <c r="U9620" i="14"/>
  <c r="T9620" i="14"/>
  <c r="Q9620" i="14"/>
  <c r="P9620" i="14"/>
  <c r="E9620" i="14"/>
  <c r="AH9619" i="14"/>
  <c r="V9619" i="14"/>
  <c r="T9619" i="14"/>
  <c r="Q9619" i="14"/>
  <c r="P9619" i="14"/>
  <c r="E9619" i="14"/>
  <c r="AH9618" i="14"/>
  <c r="V9618" i="14"/>
  <c r="U9618" i="14"/>
  <c r="T9618" i="14"/>
  <c r="Q9618" i="14"/>
  <c r="P9618" i="14"/>
  <c r="E9618" i="14"/>
  <c r="AH9617" i="14"/>
  <c r="V9617" i="14"/>
  <c r="T9617" i="14"/>
  <c r="Q9617" i="14"/>
  <c r="P9617" i="14"/>
  <c r="E9617" i="14"/>
  <c r="AH9616" i="14"/>
  <c r="W9616" i="14"/>
  <c r="V9616" i="14"/>
  <c r="U9616" i="14"/>
  <c r="T9616" i="14"/>
  <c r="Q9616" i="14"/>
  <c r="P9616" i="14"/>
  <c r="E9616" i="14"/>
  <c r="AH9615" i="14"/>
  <c r="W9615" i="14"/>
  <c r="V9615" i="14"/>
  <c r="U9615" i="14"/>
  <c r="T9615" i="14"/>
  <c r="Q9615" i="14"/>
  <c r="P9615" i="14"/>
  <c r="E9615" i="14"/>
  <c r="AH9614" i="14"/>
  <c r="W9614" i="14"/>
  <c r="V9614" i="14"/>
  <c r="U9614" i="14"/>
  <c r="T9614" i="14"/>
  <c r="Q9614" i="14"/>
  <c r="P9614" i="14"/>
  <c r="E9614" i="14"/>
  <c r="AH9613" i="14"/>
  <c r="V9613" i="14"/>
  <c r="T9613" i="14"/>
  <c r="Q9613" i="14"/>
  <c r="P9613" i="14"/>
  <c r="E9613" i="14"/>
  <c r="AH9612" i="14"/>
  <c r="W9612" i="14"/>
  <c r="V9612" i="14"/>
  <c r="T9612" i="14"/>
  <c r="Q9612" i="14"/>
  <c r="P9612" i="14"/>
  <c r="E9612" i="14"/>
  <c r="AH9611" i="14"/>
  <c r="Q9611" i="14"/>
  <c r="P9611" i="14"/>
  <c r="O9611" i="14"/>
  <c r="E9611" i="14"/>
  <c r="AH9610" i="14"/>
  <c r="W9610" i="14"/>
  <c r="V9610" i="14"/>
  <c r="U9610" i="14"/>
  <c r="T9610" i="14"/>
  <c r="Q9610" i="14"/>
  <c r="P9610" i="14"/>
  <c r="E9610" i="14"/>
  <c r="AH9609" i="14"/>
  <c r="V9609" i="14"/>
  <c r="T9609" i="14"/>
  <c r="Q9609" i="14"/>
  <c r="P9609" i="14"/>
  <c r="E9609" i="14"/>
  <c r="AH9608" i="14"/>
  <c r="V9608" i="14"/>
  <c r="T9608" i="14"/>
  <c r="Q9608" i="14"/>
  <c r="P9608" i="14"/>
  <c r="E9608" i="14"/>
  <c r="AH9607" i="14"/>
  <c r="V9607" i="14"/>
  <c r="T9607" i="14"/>
  <c r="Q9607" i="14"/>
  <c r="P9607" i="14"/>
  <c r="E9607" i="14"/>
  <c r="AH9606" i="14"/>
  <c r="E9606" i="14"/>
  <c r="AH9605" i="14"/>
  <c r="E9605" i="14"/>
  <c r="AH9604" i="14"/>
  <c r="E9604" i="14"/>
  <c r="AH9603" i="14"/>
  <c r="E9603" i="14"/>
  <c r="AH9602" i="14"/>
  <c r="E9602" i="14"/>
  <c r="AH9601" i="14"/>
  <c r="E9601" i="14"/>
  <c r="AH9600" i="14"/>
  <c r="E9600" i="14"/>
  <c r="AH9599" i="14"/>
  <c r="E9599" i="14"/>
  <c r="AH9598" i="14"/>
  <c r="E9598" i="14"/>
  <c r="AH9597" i="14"/>
  <c r="E9597" i="14"/>
  <c r="AH9596" i="14"/>
  <c r="E9596" i="14"/>
  <c r="AH9595" i="14"/>
  <c r="E9595" i="14"/>
  <c r="AH9594" i="14"/>
  <c r="E9594" i="14"/>
  <c r="AH9593" i="14"/>
  <c r="E9593" i="14"/>
  <c r="AH9592" i="14"/>
  <c r="E9592" i="14"/>
  <c r="AH9591" i="14"/>
  <c r="E9591" i="14"/>
  <c r="AH9590" i="14"/>
  <c r="E9590" i="14"/>
  <c r="AH9589" i="14"/>
  <c r="E9589" i="14"/>
  <c r="AH9588" i="14"/>
  <c r="E9588" i="14"/>
  <c r="AH9587" i="14"/>
  <c r="E9587" i="14"/>
  <c r="AH9586" i="14"/>
  <c r="E9586" i="14"/>
  <c r="AH9585" i="14"/>
  <c r="E9585" i="14"/>
  <c r="AH9584" i="14"/>
  <c r="E9584" i="14"/>
  <c r="AH9583" i="14"/>
  <c r="E9583" i="14"/>
  <c r="AH9582" i="14"/>
  <c r="E9582" i="14"/>
  <c r="AH9581" i="14"/>
  <c r="E9581" i="14"/>
  <c r="AH9580" i="14"/>
  <c r="E9580" i="14"/>
  <c r="AH9579" i="14"/>
  <c r="E9579" i="14"/>
  <c r="AH9578" i="14"/>
  <c r="E9578" i="14"/>
  <c r="AH9577" i="14"/>
  <c r="E9577" i="14"/>
  <c r="AH9576" i="14"/>
  <c r="E9576" i="14"/>
  <c r="AH9575" i="14"/>
  <c r="E9575" i="14"/>
  <c r="AH9574" i="14"/>
  <c r="E9574" i="14"/>
  <c r="AH9573" i="14"/>
  <c r="E9573" i="14"/>
  <c r="AH9572" i="14"/>
  <c r="E9572" i="14"/>
  <c r="AH9571" i="14"/>
  <c r="E9571" i="14"/>
  <c r="AH9570" i="14"/>
  <c r="E9570" i="14"/>
  <c r="AH9569" i="14"/>
  <c r="E9569" i="14"/>
  <c r="AH9568" i="14"/>
  <c r="E9568" i="14"/>
  <c r="AH9567" i="14"/>
  <c r="E9567" i="14"/>
  <c r="AH9566" i="14"/>
  <c r="E9566" i="14"/>
  <c r="AH9565" i="14"/>
  <c r="E9565" i="14"/>
  <c r="AH9564" i="14"/>
  <c r="E9564" i="14"/>
  <c r="AH9563" i="14"/>
  <c r="E9563" i="14"/>
  <c r="AH9562" i="14"/>
  <c r="E9562" i="14"/>
  <c r="AH9561" i="14"/>
  <c r="E9561" i="14"/>
  <c r="AH9560" i="14"/>
  <c r="E9560" i="14"/>
  <c r="AH9559" i="14"/>
  <c r="O9559" i="14"/>
  <c r="E9559" i="14"/>
  <c r="AH9558" i="14"/>
  <c r="E9558" i="14"/>
  <c r="AH9557" i="14"/>
  <c r="E9557" i="14"/>
  <c r="AH9556" i="14"/>
  <c r="E9556" i="14"/>
  <c r="AH9555" i="14"/>
  <c r="E9555" i="14"/>
  <c r="AH9554" i="14"/>
  <c r="E9554" i="14"/>
  <c r="AH9553" i="14"/>
  <c r="E9553" i="14"/>
  <c r="AH9552" i="14"/>
  <c r="E9552" i="14"/>
  <c r="AH9551" i="14"/>
  <c r="E9551" i="14"/>
  <c r="AH9550" i="14"/>
  <c r="E9550" i="14"/>
  <c r="AH9549" i="14"/>
  <c r="E9549" i="14"/>
  <c r="AH9548" i="14"/>
  <c r="E9548" i="14"/>
  <c r="AH9547" i="14"/>
  <c r="E9547" i="14"/>
  <c r="AH9546" i="14"/>
  <c r="E9546" i="14"/>
  <c r="AH9545" i="14"/>
  <c r="E9545" i="14"/>
  <c r="AH9544" i="14"/>
  <c r="E9544" i="14"/>
  <c r="AH9543" i="14"/>
  <c r="E9543" i="14"/>
  <c r="AH9542" i="14"/>
  <c r="E9542" i="14"/>
  <c r="AH9541" i="14"/>
  <c r="E9541" i="14"/>
  <c r="AH9540" i="14"/>
  <c r="E9540" i="14"/>
  <c r="AH9539" i="14"/>
  <c r="E9539" i="14"/>
  <c r="AH9538" i="14"/>
  <c r="E9538" i="14"/>
  <c r="AH9537" i="14"/>
  <c r="E9537" i="14"/>
  <c r="AH9536" i="14"/>
  <c r="E9536" i="14"/>
  <c r="AH9535" i="14"/>
  <c r="E9535" i="14"/>
  <c r="AH9534" i="14"/>
  <c r="E9534" i="14"/>
  <c r="AH9533" i="14"/>
  <c r="E9533" i="14"/>
  <c r="AH9532" i="14"/>
  <c r="E9532" i="14"/>
  <c r="AH9531" i="14"/>
  <c r="E9531" i="14"/>
  <c r="AH9530" i="14"/>
  <c r="E9530" i="14"/>
  <c r="AH9529" i="14"/>
  <c r="E9529" i="14"/>
  <c r="AH9528" i="14"/>
  <c r="E9528" i="14"/>
  <c r="AH9527" i="14"/>
  <c r="E9527" i="14"/>
  <c r="AH9526" i="14"/>
  <c r="E9526" i="14"/>
  <c r="AH9525" i="14"/>
  <c r="E9525" i="14"/>
  <c r="AH9524" i="14"/>
  <c r="E9524" i="14"/>
  <c r="AH9523" i="14"/>
  <c r="E9523" i="14"/>
  <c r="AH9522" i="14"/>
  <c r="E9522" i="14"/>
  <c r="AH9521" i="14"/>
  <c r="E9521" i="14"/>
  <c r="AH9520" i="14"/>
  <c r="E9520" i="14"/>
  <c r="AH9519" i="14"/>
  <c r="E9519" i="14"/>
  <c r="AH9518" i="14"/>
  <c r="E9518" i="14"/>
  <c r="AH9517" i="14"/>
  <c r="E9517" i="14"/>
  <c r="AH9516" i="14"/>
  <c r="E9516" i="14"/>
  <c r="AH9515" i="14"/>
  <c r="E9515" i="14"/>
  <c r="AH9514" i="14"/>
  <c r="E9514" i="14"/>
  <c r="AH9513" i="14"/>
  <c r="E9513" i="14"/>
  <c r="AH9512" i="14"/>
  <c r="E9512" i="14"/>
  <c r="AH9511" i="14"/>
  <c r="E9511" i="14"/>
  <c r="AH9510" i="14"/>
  <c r="E9510" i="14"/>
  <c r="AH9509" i="14"/>
  <c r="E9509" i="14"/>
  <c r="AH9508" i="14"/>
  <c r="E9508" i="14"/>
  <c r="AH9507" i="14"/>
  <c r="E9507" i="14"/>
  <c r="AH9506" i="14"/>
  <c r="E9506" i="14"/>
  <c r="AH9505" i="14"/>
  <c r="E9505" i="14"/>
  <c r="AH9504" i="14"/>
  <c r="E9504" i="14"/>
  <c r="AH9503" i="14"/>
  <c r="E9503" i="14"/>
  <c r="AH9502" i="14"/>
  <c r="E9502" i="14"/>
  <c r="AH9501" i="14"/>
  <c r="E9501" i="14"/>
  <c r="AH9500" i="14"/>
  <c r="E9500" i="14"/>
  <c r="AH9499" i="14"/>
  <c r="E9499" i="14"/>
  <c r="AH9498" i="14"/>
  <c r="E9498" i="14"/>
  <c r="AH9497" i="14"/>
  <c r="E9497" i="14"/>
  <c r="AH9496" i="14"/>
  <c r="E9496" i="14"/>
  <c r="AH9495" i="14"/>
  <c r="E9495" i="14"/>
  <c r="AH9494" i="14"/>
  <c r="E9494" i="14"/>
  <c r="AH9493" i="14"/>
  <c r="E9493" i="14"/>
  <c r="AH9492" i="14"/>
  <c r="E9492" i="14"/>
  <c r="AH9491" i="14"/>
  <c r="E9491" i="14"/>
  <c r="AH9490" i="14"/>
  <c r="E9490" i="14"/>
  <c r="AH9489" i="14"/>
  <c r="P9489" i="14"/>
  <c r="E9489" i="14"/>
  <c r="AH9488" i="14"/>
  <c r="P9488" i="14"/>
  <c r="E9488" i="14"/>
  <c r="AH9487" i="14"/>
  <c r="P9487" i="14"/>
  <c r="O9487" i="14"/>
  <c r="E9487" i="14"/>
  <c r="AH9486" i="14"/>
  <c r="P9486" i="14"/>
  <c r="E9486" i="14"/>
  <c r="AH9485" i="14"/>
  <c r="P9485" i="14"/>
  <c r="E9485" i="14"/>
  <c r="AH9484" i="14"/>
  <c r="P9484" i="14"/>
  <c r="E9484" i="14"/>
  <c r="AH9483" i="14"/>
  <c r="P9483" i="14"/>
  <c r="E9483" i="14"/>
  <c r="AH9482" i="14"/>
  <c r="P9482" i="14"/>
  <c r="O9482" i="14"/>
  <c r="E9482" i="14"/>
  <c r="AH9481" i="14"/>
  <c r="P9481" i="14"/>
  <c r="O9481" i="14"/>
  <c r="E9481" i="14"/>
  <c r="AH9480" i="14"/>
  <c r="P9480" i="14"/>
  <c r="E9480" i="14"/>
  <c r="AH9479" i="14"/>
  <c r="P9479" i="14"/>
  <c r="E9479" i="14"/>
  <c r="AH9478" i="14"/>
  <c r="P9478" i="14"/>
  <c r="E9478" i="14"/>
  <c r="AH9477" i="14"/>
  <c r="P9477" i="14"/>
  <c r="O9477" i="14"/>
  <c r="E9477" i="14"/>
  <c r="AH9476" i="14"/>
  <c r="P9476" i="14"/>
  <c r="O9476" i="14"/>
  <c r="E9476" i="14"/>
  <c r="AH9475" i="14"/>
  <c r="P9475" i="14"/>
  <c r="E9475" i="14"/>
  <c r="AH9474" i="14"/>
  <c r="P9474" i="14"/>
  <c r="E9474" i="14"/>
  <c r="AH9473" i="14"/>
  <c r="P9473" i="14"/>
  <c r="O9473" i="14"/>
  <c r="E9473" i="14"/>
  <c r="AH9472" i="14"/>
  <c r="P9472" i="14"/>
  <c r="E9472" i="14"/>
  <c r="AH9471" i="14"/>
  <c r="P9471" i="14"/>
  <c r="E9471" i="14"/>
  <c r="AH9470" i="14"/>
  <c r="P9470" i="14"/>
  <c r="E9470" i="14"/>
  <c r="AH9469" i="14"/>
  <c r="P9469" i="14"/>
  <c r="E9469" i="14"/>
  <c r="AH9468" i="14"/>
  <c r="P9468" i="14"/>
  <c r="E9468" i="14"/>
  <c r="AH9467" i="14"/>
  <c r="P9467" i="14"/>
  <c r="E9467" i="14"/>
  <c r="AH9466" i="14"/>
  <c r="P9466" i="14"/>
  <c r="E9466" i="14"/>
  <c r="AH9465" i="14"/>
  <c r="P9465" i="14"/>
  <c r="E9465" i="14"/>
  <c r="AH9464" i="14"/>
  <c r="P9464" i="14"/>
  <c r="E9464" i="14"/>
  <c r="AH9463" i="14"/>
  <c r="P9463" i="14"/>
  <c r="E9463" i="14"/>
  <c r="AH9462" i="14"/>
  <c r="E9462" i="14"/>
  <c r="AH9461" i="14"/>
  <c r="P9461" i="14"/>
  <c r="E9461" i="14"/>
  <c r="AH9460" i="14"/>
  <c r="P9460" i="14"/>
  <c r="E9460" i="14"/>
  <c r="AH9459" i="14"/>
  <c r="P9459" i="14"/>
  <c r="E9459" i="14"/>
  <c r="AH9458" i="14"/>
  <c r="P9458" i="14"/>
  <c r="E9458" i="14"/>
  <c r="AH9457" i="14"/>
  <c r="P9457" i="14"/>
  <c r="E9457" i="14"/>
  <c r="AH9456" i="14"/>
  <c r="P9456" i="14"/>
  <c r="E9456" i="14"/>
  <c r="AH9455" i="14"/>
  <c r="E9455" i="14"/>
  <c r="AH9454" i="14"/>
  <c r="P9454" i="14"/>
  <c r="O9454" i="14"/>
  <c r="E9454" i="14"/>
  <c r="AH9453" i="14"/>
  <c r="P9453" i="14"/>
  <c r="O9453" i="14"/>
  <c r="E9453" i="14"/>
  <c r="AH9452" i="14"/>
  <c r="P9452" i="14"/>
  <c r="E9452" i="14"/>
  <c r="AH9451" i="14"/>
  <c r="E9451" i="14"/>
  <c r="AH9450" i="14"/>
  <c r="P9450" i="14"/>
  <c r="E9450" i="14"/>
  <c r="AH9449" i="14"/>
  <c r="P9449" i="14"/>
  <c r="E9449" i="14"/>
  <c r="AH9448" i="14"/>
  <c r="P9448" i="14"/>
  <c r="E9448" i="14"/>
  <c r="AH9447" i="14"/>
  <c r="P9447" i="14"/>
  <c r="E9447" i="14"/>
  <c r="AH9446" i="14"/>
  <c r="O9446" i="14"/>
  <c r="E9446" i="14"/>
  <c r="AH9445" i="14"/>
  <c r="P9445" i="14"/>
  <c r="E9445" i="14"/>
  <c r="AH9444" i="14"/>
  <c r="P9444" i="14"/>
  <c r="E9444" i="14"/>
  <c r="AH9443" i="14"/>
  <c r="P9443" i="14"/>
  <c r="E9443" i="14"/>
  <c r="AH9442" i="14"/>
  <c r="P9442" i="14"/>
  <c r="E9442" i="14"/>
  <c r="AH9441" i="14"/>
  <c r="P9441" i="14"/>
  <c r="E9441" i="14"/>
  <c r="AH9440" i="14"/>
  <c r="P9440" i="14"/>
  <c r="E9440" i="14"/>
  <c r="AH9439" i="14"/>
  <c r="P9439" i="14"/>
  <c r="E9439" i="14"/>
  <c r="AH9438" i="14"/>
  <c r="P9438" i="14"/>
  <c r="E9438" i="14"/>
  <c r="AH9437" i="14"/>
  <c r="P9437" i="14"/>
  <c r="E9437" i="14"/>
  <c r="AH9436" i="14"/>
  <c r="P9436" i="14"/>
  <c r="E9436" i="14"/>
  <c r="AH9435" i="14"/>
  <c r="P9435" i="14"/>
  <c r="O9435" i="14"/>
  <c r="E9435" i="14"/>
  <c r="AH9434" i="14"/>
  <c r="P9434" i="14"/>
  <c r="E9434" i="14"/>
  <c r="AH9433" i="14"/>
  <c r="P9433" i="14"/>
  <c r="E9433" i="14"/>
  <c r="AH9432" i="14"/>
  <c r="P9432" i="14"/>
  <c r="E9432" i="14"/>
  <c r="AH9431" i="14"/>
  <c r="P9431" i="14"/>
  <c r="E9431" i="14"/>
  <c r="AH9430" i="14"/>
  <c r="P9430" i="14"/>
  <c r="O9430" i="14"/>
  <c r="E9430" i="14"/>
  <c r="AH9429" i="14"/>
  <c r="P9429" i="14"/>
  <c r="E9429" i="14"/>
  <c r="AH9428" i="14"/>
  <c r="P9428" i="14"/>
  <c r="E9428" i="14"/>
  <c r="AH9427" i="14"/>
  <c r="P9427" i="14"/>
  <c r="E9427" i="14"/>
  <c r="AH9426" i="14"/>
  <c r="P9426" i="14"/>
  <c r="E9426" i="14"/>
  <c r="AH9425" i="14"/>
  <c r="P9425" i="14"/>
  <c r="O9425" i="14"/>
  <c r="E9425" i="14"/>
  <c r="AH9424" i="14"/>
  <c r="P9424" i="14"/>
  <c r="E9424" i="14"/>
  <c r="AH9423" i="14"/>
  <c r="P9423" i="14"/>
  <c r="E9423" i="14"/>
  <c r="AH9422" i="14"/>
  <c r="P9422" i="14"/>
  <c r="O9422" i="14"/>
  <c r="E9422" i="14"/>
  <c r="AH9421" i="14"/>
  <c r="P9421" i="14"/>
  <c r="E9421" i="14"/>
  <c r="AH9420" i="14"/>
  <c r="P9420" i="14"/>
  <c r="E9420" i="14"/>
  <c r="AH9419" i="14"/>
  <c r="P9419" i="14"/>
  <c r="E9419" i="14"/>
  <c r="AH9418" i="14"/>
  <c r="P9418" i="14"/>
  <c r="E9418" i="14"/>
  <c r="AH9417" i="14"/>
  <c r="P9417" i="14"/>
  <c r="E9417" i="14"/>
  <c r="AH9416" i="14"/>
  <c r="E9416" i="14"/>
  <c r="AH9415" i="14"/>
  <c r="P9415" i="14"/>
  <c r="O9415" i="14"/>
  <c r="E9415" i="14"/>
  <c r="AH9414" i="14"/>
  <c r="E9414" i="14"/>
  <c r="AH9413" i="14"/>
  <c r="P9413" i="14"/>
  <c r="O9413" i="14"/>
  <c r="E9413" i="14"/>
  <c r="AH9412" i="14"/>
  <c r="P9412" i="14"/>
  <c r="E9412" i="14"/>
  <c r="AH9411" i="14"/>
  <c r="P9411" i="14"/>
  <c r="O9411" i="14"/>
  <c r="E9411" i="14"/>
  <c r="AH9410" i="14"/>
  <c r="P9410" i="14"/>
  <c r="O9410" i="14"/>
  <c r="E9410" i="14"/>
  <c r="AH9409" i="14"/>
  <c r="P9409" i="14"/>
  <c r="E9409" i="14"/>
  <c r="AH9408" i="14"/>
  <c r="P9408" i="14"/>
  <c r="E9408" i="14"/>
  <c r="AH9407" i="14"/>
  <c r="P9407" i="14"/>
  <c r="O9407" i="14"/>
  <c r="E9407" i="14"/>
  <c r="AH9406" i="14"/>
  <c r="P9406" i="14"/>
  <c r="O9406" i="14"/>
  <c r="E9406" i="14"/>
  <c r="AH9405" i="14"/>
  <c r="P9405" i="14"/>
  <c r="O9405" i="14"/>
  <c r="E9405" i="14"/>
  <c r="AH9404" i="14"/>
  <c r="P9404" i="14"/>
  <c r="O9404" i="14"/>
  <c r="E9404" i="14"/>
  <c r="AH9403" i="14"/>
  <c r="P9403" i="14"/>
  <c r="O9403" i="14"/>
  <c r="E9403" i="14"/>
  <c r="AH9402" i="14"/>
  <c r="P9402" i="14"/>
  <c r="O9402" i="14"/>
  <c r="E9402" i="14"/>
  <c r="AH9401" i="14"/>
  <c r="P9401" i="14"/>
  <c r="E9401" i="14"/>
  <c r="AH9400" i="14"/>
  <c r="P9400" i="14"/>
  <c r="O9400" i="14"/>
  <c r="E9400" i="14"/>
  <c r="AH9399" i="14"/>
  <c r="P9399" i="14"/>
  <c r="E9399" i="14"/>
  <c r="AH9398" i="14"/>
  <c r="P9398" i="14"/>
  <c r="E9398" i="14"/>
  <c r="AH9397" i="14"/>
  <c r="P9397" i="14"/>
  <c r="E9397" i="14"/>
  <c r="AH9396" i="14"/>
  <c r="E9396" i="14"/>
  <c r="AH9395" i="14"/>
  <c r="P9395" i="14"/>
  <c r="O9395" i="14"/>
  <c r="E9395" i="14"/>
  <c r="AH9394" i="14"/>
  <c r="P9394" i="14"/>
  <c r="O9394" i="14"/>
  <c r="E9394" i="14"/>
  <c r="AH9393" i="14"/>
  <c r="P9393" i="14"/>
  <c r="O9393" i="14"/>
  <c r="E9393" i="14"/>
  <c r="AH9392" i="14"/>
  <c r="P9392" i="14"/>
  <c r="O9392" i="14"/>
  <c r="E9392" i="14"/>
  <c r="AH9391" i="14"/>
  <c r="P9391" i="14"/>
  <c r="E9391" i="14"/>
  <c r="AH9390" i="14"/>
  <c r="P9390" i="14"/>
  <c r="O9390" i="14"/>
  <c r="E9390" i="14"/>
  <c r="AH9389" i="14"/>
  <c r="P9389" i="14"/>
  <c r="O9389" i="14"/>
  <c r="E9389" i="14"/>
  <c r="AH9388" i="14"/>
  <c r="P9388" i="14"/>
  <c r="O9388" i="14"/>
  <c r="E9388" i="14"/>
  <c r="AH9387" i="14"/>
  <c r="P9387" i="14"/>
  <c r="E9387" i="14"/>
  <c r="AH9386" i="14"/>
  <c r="P9386" i="14"/>
  <c r="O9386" i="14"/>
  <c r="E9386" i="14"/>
  <c r="AH9385" i="14"/>
  <c r="P9385" i="14"/>
  <c r="E9385" i="14"/>
  <c r="AH9384" i="14"/>
  <c r="P9384" i="14"/>
  <c r="E9384" i="14"/>
  <c r="AH9383" i="14"/>
  <c r="P9383" i="14"/>
  <c r="E9383" i="14"/>
  <c r="AH9382" i="14"/>
  <c r="P9382" i="14"/>
  <c r="E9382" i="14"/>
  <c r="AH9381" i="14"/>
  <c r="P9381" i="14"/>
  <c r="E9381" i="14"/>
  <c r="AH9380" i="14"/>
  <c r="P9380" i="14"/>
  <c r="E9380" i="14"/>
  <c r="AH9379" i="14"/>
  <c r="E9379" i="14"/>
  <c r="AH9378" i="14"/>
  <c r="E9378" i="14"/>
  <c r="AH9377" i="14"/>
  <c r="E9377" i="14"/>
  <c r="AH9376" i="14"/>
  <c r="E9376" i="14"/>
  <c r="AH9375" i="14"/>
  <c r="E9375" i="14"/>
  <c r="AH9374" i="14"/>
  <c r="E9374" i="14"/>
  <c r="AH9373" i="14"/>
  <c r="E9373" i="14"/>
  <c r="AH9372" i="14"/>
  <c r="E9372" i="14"/>
  <c r="AH9371" i="14"/>
  <c r="E9371" i="14"/>
  <c r="AH9370" i="14"/>
  <c r="E9370" i="14"/>
  <c r="AH9369" i="14"/>
  <c r="E9369" i="14"/>
  <c r="AH9368" i="14"/>
  <c r="E9368" i="14"/>
  <c r="AH9367" i="14"/>
  <c r="E9367" i="14"/>
  <c r="AH9366" i="14"/>
  <c r="E9366" i="14"/>
  <c r="AH9365" i="14"/>
  <c r="E9365" i="14"/>
  <c r="AH9364" i="14"/>
  <c r="E9364" i="14"/>
  <c r="AH9363" i="14"/>
  <c r="E9363" i="14"/>
  <c r="AH9362" i="14"/>
  <c r="E9362" i="14"/>
  <c r="AH9361" i="14"/>
  <c r="E9361" i="14"/>
  <c r="AH9360" i="14"/>
  <c r="E9360" i="14"/>
  <c r="AH9359" i="14"/>
  <c r="E9359" i="14"/>
  <c r="AH9358" i="14"/>
  <c r="E9358" i="14"/>
  <c r="AH9357" i="14"/>
  <c r="E9357" i="14"/>
  <c r="AH9356" i="14"/>
  <c r="E9356" i="14"/>
  <c r="AH9355" i="14"/>
  <c r="E9355" i="14"/>
  <c r="AH9354" i="14"/>
  <c r="E9354" i="14"/>
  <c r="AH9353" i="14"/>
  <c r="E9353" i="14"/>
  <c r="AH9352" i="14"/>
  <c r="E9352" i="14"/>
  <c r="AH9351" i="14"/>
  <c r="E9351" i="14"/>
  <c r="AH9350" i="14"/>
  <c r="E9350" i="14"/>
  <c r="AH9349" i="14"/>
  <c r="E9349" i="14"/>
  <c r="AH9348" i="14"/>
  <c r="E9348" i="14"/>
  <c r="AH9347" i="14"/>
  <c r="E9347" i="14"/>
  <c r="AH9346" i="14"/>
  <c r="E9346" i="14"/>
  <c r="AH9345" i="14"/>
  <c r="E9345" i="14"/>
  <c r="AH9344" i="14"/>
  <c r="E9344" i="14"/>
  <c r="AH9343" i="14"/>
  <c r="E9343" i="14"/>
  <c r="AH9342" i="14"/>
  <c r="E9342" i="14"/>
  <c r="AH9341" i="14"/>
  <c r="E9341" i="14"/>
  <c r="AH9340" i="14"/>
  <c r="E9340" i="14"/>
  <c r="AH9339" i="14"/>
  <c r="E9339" i="14"/>
  <c r="AH9338" i="14"/>
  <c r="E9338" i="14"/>
  <c r="AH9337" i="14"/>
  <c r="E9337" i="14"/>
  <c r="AH9336" i="14"/>
  <c r="E9336" i="14"/>
  <c r="AH9335" i="14"/>
  <c r="E9335" i="14"/>
  <c r="AH9334" i="14"/>
  <c r="E9334" i="14"/>
  <c r="AH9333" i="14"/>
  <c r="E9333" i="14"/>
  <c r="AH9332" i="14"/>
  <c r="E9332" i="14"/>
  <c r="AH9331" i="14"/>
  <c r="E9331" i="14"/>
  <c r="AH9330" i="14"/>
  <c r="E9330" i="14"/>
  <c r="AH9329" i="14"/>
  <c r="E9329" i="14"/>
  <c r="AH9328" i="14"/>
  <c r="E9328" i="14"/>
  <c r="AH9327" i="14"/>
  <c r="E9327" i="14"/>
  <c r="AH9326" i="14"/>
  <c r="E9326" i="14"/>
  <c r="AH9325" i="14"/>
  <c r="E9325" i="14"/>
  <c r="AH9324" i="14"/>
  <c r="E9324" i="14"/>
  <c r="AH9323" i="14"/>
  <c r="E9323" i="14"/>
  <c r="AH9322" i="14"/>
  <c r="E9322" i="14"/>
  <c r="AH9321" i="14"/>
  <c r="E9321" i="14"/>
  <c r="AH9320" i="14"/>
  <c r="E9320" i="14"/>
  <c r="AH9319" i="14"/>
  <c r="E9319" i="14"/>
  <c r="AH9318" i="14"/>
  <c r="E9318" i="14"/>
  <c r="AH9317" i="14"/>
  <c r="E9317" i="14"/>
  <c r="AH9316" i="14"/>
  <c r="E9316" i="14"/>
  <c r="AH9315" i="14"/>
  <c r="E9315" i="14"/>
  <c r="AH9314" i="14"/>
  <c r="E9314" i="14"/>
  <c r="AH9313" i="14"/>
  <c r="E9313" i="14"/>
  <c r="AH9312" i="14"/>
  <c r="E9312" i="14"/>
  <c r="AH9311" i="14"/>
  <c r="E9311" i="14"/>
  <c r="AH9310" i="14"/>
  <c r="E9310" i="14"/>
  <c r="AH9309" i="14"/>
  <c r="E9309" i="14"/>
  <c r="AH9308" i="14"/>
  <c r="E9308" i="14"/>
  <c r="AH9307" i="14"/>
  <c r="E9307" i="14"/>
  <c r="AH9306" i="14"/>
  <c r="E9306" i="14"/>
  <c r="AH9305" i="14"/>
  <c r="E9305" i="14"/>
  <c r="AH9304" i="14"/>
  <c r="E9304" i="14"/>
  <c r="AH9303" i="14"/>
  <c r="E9303" i="14"/>
  <c r="AH9302" i="14"/>
  <c r="E9302" i="14"/>
  <c r="AH9301" i="14"/>
  <c r="E9301" i="14"/>
  <c r="AH9300" i="14"/>
  <c r="E9300" i="14"/>
  <c r="AH9299" i="14"/>
  <c r="E9299" i="14"/>
  <c r="AH9298" i="14"/>
  <c r="E9298" i="14"/>
  <c r="AH9297" i="14"/>
  <c r="E9297" i="14"/>
  <c r="AH9296" i="14"/>
  <c r="E9296" i="14"/>
  <c r="AH9295" i="14"/>
  <c r="E9295" i="14"/>
  <c r="AH9294" i="14"/>
  <c r="E9294" i="14"/>
  <c r="AH9293" i="14"/>
  <c r="E9293" i="14"/>
  <c r="AH9292" i="14"/>
  <c r="E9292" i="14"/>
  <c r="AH9291" i="14"/>
  <c r="E9291" i="14"/>
  <c r="AH9290" i="14"/>
  <c r="E9290" i="14"/>
  <c r="AH9289" i="14"/>
  <c r="E9289" i="14"/>
  <c r="AH9288" i="14"/>
  <c r="E9288" i="14"/>
  <c r="AH9287" i="14"/>
  <c r="E9287" i="14"/>
  <c r="AH9286" i="14"/>
  <c r="E9286" i="14"/>
  <c r="AH9285" i="14"/>
  <c r="E9285" i="14"/>
  <c r="AH9284" i="14"/>
  <c r="E9284" i="14"/>
  <c r="AH9283" i="14"/>
  <c r="E9283" i="14"/>
  <c r="AH9282" i="14"/>
  <c r="E9282" i="14"/>
  <c r="AH9281" i="14"/>
  <c r="E9281" i="14"/>
  <c r="AH9280" i="14"/>
  <c r="E9280" i="14"/>
  <c r="AH9279" i="14"/>
  <c r="E9279" i="14"/>
  <c r="AH9278" i="14"/>
  <c r="E9278" i="14"/>
  <c r="AH9277" i="14"/>
  <c r="E9277" i="14"/>
  <c r="AH9276" i="14"/>
  <c r="E9276" i="14"/>
  <c r="AH9275" i="14"/>
  <c r="E9275" i="14"/>
  <c r="AH9274" i="14"/>
  <c r="E9274" i="14"/>
  <c r="AH9273" i="14"/>
  <c r="E9273" i="14"/>
  <c r="AH9272" i="14"/>
  <c r="E9272" i="14"/>
  <c r="AH9271" i="14"/>
  <c r="E9271" i="14"/>
  <c r="AH9270" i="14"/>
  <c r="E9270" i="14"/>
  <c r="AH9269" i="14"/>
  <c r="E9269" i="14"/>
  <c r="AH9268" i="14"/>
  <c r="E9268" i="14"/>
  <c r="AH9267" i="14"/>
  <c r="E9267" i="14"/>
  <c r="AH9266" i="14"/>
  <c r="E9266" i="14"/>
  <c r="AH9265" i="14"/>
  <c r="E9265" i="14"/>
  <c r="AH9264" i="14"/>
  <c r="E9264" i="14"/>
  <c r="AH9263" i="14"/>
  <c r="E9263" i="14"/>
  <c r="AH9262" i="14"/>
  <c r="E9262" i="14"/>
  <c r="AH9261" i="14"/>
  <c r="E9261" i="14"/>
  <c r="AH9260" i="14"/>
  <c r="E9260" i="14"/>
  <c r="AH9259" i="14"/>
  <c r="E9259" i="14"/>
  <c r="AH9258" i="14"/>
  <c r="E9258" i="14"/>
  <c r="AH9257" i="14"/>
  <c r="E9257" i="14"/>
  <c r="AH9256" i="14"/>
  <c r="E9256" i="14"/>
  <c r="AH9255" i="14"/>
  <c r="E9255" i="14"/>
  <c r="AH9254" i="14"/>
  <c r="E9254" i="14"/>
  <c r="AH9253" i="14"/>
  <c r="E9253" i="14"/>
  <c r="AH9252" i="14"/>
  <c r="E9252" i="14"/>
  <c r="AH9251" i="14"/>
  <c r="E9251" i="14"/>
  <c r="AH9250" i="14"/>
  <c r="E9250" i="14"/>
  <c r="AH9249" i="14"/>
  <c r="E9249" i="14"/>
  <c r="AH9248" i="14"/>
  <c r="E9248" i="14"/>
  <c r="AH9247" i="14"/>
  <c r="E9247" i="14"/>
  <c r="AH9246" i="14"/>
  <c r="E9246" i="14"/>
  <c r="AH9245" i="14"/>
  <c r="E9245" i="14"/>
  <c r="AH9244" i="14"/>
  <c r="E9244" i="14"/>
  <c r="AH9243" i="14"/>
  <c r="E9243" i="14"/>
  <c r="AH9242" i="14"/>
  <c r="E9242" i="14"/>
  <c r="AH9241" i="14"/>
  <c r="E9241" i="14"/>
  <c r="AH9240" i="14"/>
  <c r="E9240" i="14"/>
  <c r="AH9239" i="14"/>
  <c r="E9239" i="14"/>
  <c r="AH9238" i="14"/>
  <c r="E9238" i="14"/>
  <c r="AH9237" i="14"/>
  <c r="E9237" i="14"/>
  <c r="AH9236" i="14"/>
  <c r="E9236" i="14"/>
  <c r="AH9235" i="14"/>
  <c r="E9235" i="14"/>
  <c r="AH9234" i="14"/>
  <c r="E9234" i="14"/>
  <c r="AH9233" i="14"/>
  <c r="E9233" i="14"/>
  <c r="AH9232" i="14"/>
  <c r="E9232" i="14"/>
  <c r="AH9231" i="14"/>
  <c r="E9231" i="14"/>
  <c r="AH9230" i="14"/>
  <c r="E9230" i="14"/>
  <c r="AH9229" i="14"/>
  <c r="E9229" i="14"/>
  <c r="AH9228" i="14"/>
  <c r="E9228" i="14"/>
  <c r="AH9227" i="14"/>
  <c r="E9227" i="14"/>
  <c r="AH9226" i="14"/>
  <c r="E9226" i="14"/>
  <c r="AH9225" i="14"/>
  <c r="E9225" i="14"/>
  <c r="AH9224" i="14"/>
  <c r="E9224" i="14"/>
  <c r="AH9223" i="14"/>
  <c r="E9223" i="14"/>
  <c r="AH9222" i="14"/>
  <c r="E9222" i="14"/>
  <c r="AH9221" i="14"/>
  <c r="E9221" i="14"/>
  <c r="AH9220" i="14"/>
  <c r="E9220" i="14"/>
  <c r="AH9219" i="14"/>
  <c r="E9219" i="14"/>
  <c r="AH9218" i="14"/>
  <c r="E9218" i="14"/>
  <c r="AH9217" i="14"/>
  <c r="E9217" i="14"/>
  <c r="AH9216" i="14"/>
  <c r="E9216" i="14"/>
  <c r="AH9215" i="14"/>
  <c r="E9215" i="14"/>
  <c r="AH9214" i="14"/>
  <c r="E9214" i="14"/>
  <c r="AH9213" i="14"/>
  <c r="E9213" i="14"/>
  <c r="AH9212" i="14"/>
  <c r="E9212" i="14"/>
  <c r="AH9211" i="14"/>
  <c r="E9211" i="14"/>
  <c r="AH9210" i="14"/>
  <c r="E9210" i="14"/>
  <c r="AH9209" i="14"/>
  <c r="E9209" i="14"/>
  <c r="AH9208" i="14"/>
  <c r="E9208" i="14"/>
  <c r="AH9207" i="14"/>
  <c r="E9207" i="14"/>
  <c r="AH9206" i="14"/>
  <c r="E9206" i="14"/>
  <c r="AH9205" i="14"/>
  <c r="E9205" i="14"/>
  <c r="AH9204" i="14"/>
  <c r="E9204" i="14"/>
  <c r="AH9203" i="14"/>
  <c r="E9203" i="14"/>
  <c r="AH9202" i="14"/>
  <c r="E9202" i="14"/>
  <c r="AH9201" i="14"/>
  <c r="E9201" i="14"/>
  <c r="AH9200" i="14"/>
  <c r="E9200" i="14"/>
  <c r="AH9199" i="14"/>
  <c r="E9199" i="14"/>
  <c r="AH9198" i="14"/>
  <c r="E9198" i="14"/>
  <c r="AH9197" i="14"/>
  <c r="E9197" i="14"/>
  <c r="AH9196" i="14"/>
  <c r="E9196" i="14"/>
  <c r="AH9195" i="14"/>
  <c r="E9195" i="14"/>
  <c r="AH9194" i="14"/>
  <c r="E9194" i="14"/>
  <c r="AH9193" i="14"/>
  <c r="E9193" i="14"/>
  <c r="AH9192" i="14"/>
  <c r="E9192" i="14"/>
  <c r="AH9191" i="14"/>
  <c r="E9191" i="14"/>
  <c r="AH9190" i="14"/>
  <c r="E9190" i="14"/>
  <c r="AH9189" i="14"/>
  <c r="E9189" i="14"/>
  <c r="AH9188" i="14"/>
  <c r="E9188" i="14"/>
  <c r="AH9187" i="14"/>
  <c r="E9187" i="14"/>
  <c r="AH9186" i="14"/>
  <c r="E9186" i="14"/>
  <c r="AH9185" i="14"/>
  <c r="E9185" i="14"/>
  <c r="AH9184" i="14"/>
  <c r="E9184" i="14"/>
  <c r="AH9183" i="14"/>
  <c r="E9183" i="14"/>
  <c r="AH9182" i="14"/>
  <c r="E9182" i="14"/>
  <c r="AH9181" i="14"/>
  <c r="E9181" i="14"/>
  <c r="AH9180" i="14"/>
  <c r="E9180" i="14"/>
  <c r="AH9179" i="14"/>
  <c r="E9179" i="14"/>
  <c r="AH9178" i="14"/>
  <c r="E9178" i="14"/>
  <c r="AH9177" i="14"/>
  <c r="E9177" i="14"/>
  <c r="AH9176" i="14"/>
  <c r="E9176" i="14"/>
  <c r="AH9175" i="14"/>
  <c r="E9175" i="14"/>
  <c r="AH9174" i="14"/>
  <c r="E9174" i="14"/>
  <c r="AH9173" i="14"/>
  <c r="E9173" i="14"/>
  <c r="AH9172" i="14"/>
  <c r="E9172" i="14"/>
  <c r="AH9171" i="14"/>
  <c r="E9171" i="14"/>
  <c r="AH9170" i="14"/>
  <c r="E9170" i="14"/>
  <c r="AH9169" i="14"/>
  <c r="E9169" i="14"/>
  <c r="AH9168" i="14"/>
  <c r="E9168" i="14"/>
  <c r="AH9167" i="14"/>
  <c r="E9167" i="14"/>
  <c r="AH9166" i="14"/>
  <c r="E9166" i="14"/>
  <c r="AH9165" i="14"/>
  <c r="E9165" i="14"/>
  <c r="AH9164" i="14"/>
  <c r="E9164" i="14"/>
  <c r="AH9163" i="14"/>
  <c r="E9163" i="14"/>
  <c r="AH9162" i="14"/>
  <c r="E9162" i="14"/>
  <c r="AH9161" i="14"/>
  <c r="E9161" i="14"/>
  <c r="AH9160" i="14"/>
  <c r="E9160" i="14"/>
  <c r="AH9159" i="14"/>
  <c r="E9159" i="14"/>
  <c r="AH9158" i="14"/>
  <c r="E9158" i="14"/>
  <c r="AH9157" i="14"/>
  <c r="E9157" i="14"/>
  <c r="AH9156" i="14"/>
  <c r="E9156" i="14"/>
  <c r="AH9155" i="14"/>
  <c r="E9155" i="14"/>
  <c r="AH9154" i="14"/>
  <c r="E9154" i="14"/>
  <c r="AH9153" i="14"/>
  <c r="E9153" i="14"/>
  <c r="AH9152" i="14"/>
  <c r="E9152" i="14"/>
  <c r="AH9151" i="14"/>
  <c r="E9151" i="14"/>
  <c r="AH9150" i="14"/>
  <c r="E9150" i="14"/>
  <c r="AH9149" i="14"/>
  <c r="E9149" i="14"/>
  <c r="AH9148" i="14"/>
  <c r="E9148" i="14"/>
  <c r="AH9147" i="14"/>
  <c r="E9147" i="14"/>
  <c r="AH9146" i="14"/>
  <c r="E9146" i="14"/>
  <c r="AH9145" i="14"/>
  <c r="E9145" i="14"/>
  <c r="AH9144" i="14"/>
  <c r="E9144" i="14"/>
  <c r="AH9143" i="14"/>
  <c r="E9143" i="14"/>
  <c r="AH9142" i="14"/>
  <c r="E9142" i="14"/>
  <c r="AH9141" i="14"/>
  <c r="E9141" i="14"/>
  <c r="AH9140" i="14"/>
  <c r="E9140" i="14"/>
  <c r="AH9139" i="14"/>
  <c r="E9139" i="14"/>
  <c r="AH9138" i="14"/>
  <c r="E9138" i="14"/>
  <c r="AH9137" i="14"/>
  <c r="E9137" i="14"/>
  <c r="AH9136" i="14"/>
  <c r="E9136" i="14"/>
  <c r="AH9135" i="14"/>
  <c r="E9135" i="14"/>
  <c r="AH9134" i="14"/>
  <c r="E9134" i="14"/>
  <c r="AH9133" i="14"/>
  <c r="E9133" i="14"/>
  <c r="AH9132" i="14"/>
  <c r="E9132" i="14"/>
  <c r="AH9131" i="14"/>
  <c r="E9131" i="14"/>
  <c r="AH9130" i="14"/>
  <c r="E9130" i="14"/>
  <c r="AH9129" i="14"/>
  <c r="E9129" i="14"/>
  <c r="AH9128" i="14"/>
  <c r="E9128" i="14"/>
  <c r="AH9127" i="14"/>
  <c r="E9127" i="14"/>
  <c r="AH9126" i="14"/>
  <c r="E9126" i="14"/>
  <c r="AH9125" i="14"/>
  <c r="E9125" i="14"/>
  <c r="AH9124" i="14"/>
  <c r="E9124" i="14"/>
  <c r="AH9123" i="14"/>
  <c r="E9123" i="14"/>
  <c r="AH9122" i="14"/>
  <c r="E9122" i="14"/>
  <c r="AH9121" i="14"/>
  <c r="E9121" i="14"/>
  <c r="AH9120" i="14"/>
  <c r="E9120" i="14"/>
  <c r="AH9119" i="14"/>
  <c r="E9119" i="14"/>
  <c r="AH9118" i="14"/>
  <c r="E9118" i="14"/>
  <c r="AH9117" i="14"/>
  <c r="E9117" i="14"/>
  <c r="AH9116" i="14"/>
  <c r="E9116" i="14"/>
  <c r="AH9115" i="14"/>
  <c r="E9115" i="14"/>
  <c r="AH9114" i="14"/>
  <c r="E9114" i="14"/>
  <c r="AH9113" i="14"/>
  <c r="E9113" i="14"/>
  <c r="AH9112" i="14"/>
  <c r="E9112" i="14"/>
  <c r="AH9111" i="14"/>
  <c r="E9111" i="14"/>
  <c r="AH9110" i="14"/>
  <c r="E9110" i="14"/>
  <c r="AH9109" i="14"/>
  <c r="E9109" i="14"/>
  <c r="AH9108" i="14"/>
  <c r="E9108" i="14"/>
  <c r="AH9107" i="14"/>
  <c r="E9107" i="14"/>
  <c r="AH9106" i="14"/>
  <c r="E9106" i="14"/>
  <c r="AH9105" i="14"/>
  <c r="AE9105" i="14"/>
  <c r="Q9105" i="14"/>
  <c r="E9105" i="14"/>
  <c r="AH9104" i="14"/>
  <c r="Q9104" i="14"/>
  <c r="E9104" i="14"/>
  <c r="AH9103" i="14"/>
  <c r="E9103" i="14"/>
  <c r="AH9102" i="14"/>
  <c r="E9102" i="14"/>
  <c r="AH9101" i="14"/>
  <c r="E9101" i="14"/>
  <c r="AH9100" i="14"/>
  <c r="E9100" i="14"/>
  <c r="AH9099" i="14"/>
  <c r="E9099" i="14"/>
  <c r="AH9098" i="14"/>
  <c r="Q9098" i="14"/>
  <c r="E9098" i="14"/>
  <c r="AH9097" i="14"/>
  <c r="Q9097" i="14"/>
  <c r="E9097" i="14"/>
  <c r="AH9096" i="14"/>
  <c r="Q9096" i="14"/>
  <c r="E9096" i="14"/>
  <c r="AH9095" i="14"/>
  <c r="E9095" i="14"/>
  <c r="AH9094" i="14"/>
  <c r="E9094" i="14"/>
  <c r="AH9093" i="14"/>
  <c r="E9093" i="14"/>
  <c r="AH9092" i="14"/>
  <c r="Q9092" i="14"/>
  <c r="E9092" i="14"/>
  <c r="AH9091" i="14"/>
  <c r="Q9091" i="14"/>
  <c r="E9091" i="14"/>
  <c r="AH9090" i="14"/>
  <c r="Q9090" i="14"/>
  <c r="E9090" i="14"/>
  <c r="AH9089" i="14"/>
  <c r="Q9089" i="14"/>
  <c r="E9089" i="14"/>
  <c r="AH9088" i="14"/>
  <c r="E9088" i="14"/>
  <c r="AH9087" i="14"/>
  <c r="E9087" i="14"/>
  <c r="AH9086" i="14"/>
  <c r="E9086" i="14"/>
  <c r="AH9085" i="14"/>
  <c r="Q9085" i="14"/>
  <c r="E9085" i="14"/>
  <c r="AH9084" i="14"/>
  <c r="Q9084" i="14"/>
  <c r="E9084" i="14"/>
  <c r="AH9083" i="14"/>
  <c r="AE9083" i="14"/>
  <c r="Q9083" i="14"/>
  <c r="E9083" i="14"/>
  <c r="AH9082" i="14"/>
  <c r="Q9082" i="14"/>
  <c r="E9082" i="14"/>
  <c r="AH9081" i="14"/>
  <c r="Q9081" i="14"/>
  <c r="E9081" i="14"/>
  <c r="AH9080" i="14"/>
  <c r="Q9080" i="14"/>
  <c r="E9080" i="14"/>
  <c r="AH9079" i="14"/>
  <c r="E9079" i="14"/>
  <c r="AH9078" i="14"/>
  <c r="E9078" i="14"/>
  <c r="AH9077" i="14"/>
  <c r="E9077" i="14"/>
  <c r="AH9076" i="14"/>
  <c r="Q9076" i="14"/>
  <c r="E9076" i="14"/>
  <c r="AH9075" i="14"/>
  <c r="E9075" i="14"/>
  <c r="AH9074" i="14"/>
  <c r="Q9074" i="14"/>
  <c r="E9074" i="14"/>
  <c r="AH9073" i="14"/>
  <c r="Q9073" i="14"/>
  <c r="E9073" i="14"/>
  <c r="AH9072" i="14"/>
  <c r="E9072" i="14"/>
  <c r="AH9071" i="14"/>
  <c r="E9071" i="14"/>
  <c r="AH9070" i="14"/>
  <c r="E9070" i="14"/>
  <c r="AH9069" i="14"/>
  <c r="E9069" i="14"/>
  <c r="AH9068" i="14"/>
  <c r="E9068" i="14"/>
  <c r="AH9067" i="14"/>
  <c r="P9067" i="14"/>
  <c r="E9067" i="14"/>
  <c r="AH9066" i="14"/>
  <c r="E9066" i="14"/>
  <c r="AH9065" i="14"/>
  <c r="E9065" i="14"/>
  <c r="AH9064" i="14"/>
  <c r="E9064" i="14"/>
  <c r="AH9063" i="14"/>
  <c r="E9063" i="14"/>
  <c r="AH9062" i="14"/>
  <c r="E9062" i="14"/>
  <c r="AH9061" i="14"/>
  <c r="E9061" i="14"/>
  <c r="AH9060" i="14"/>
  <c r="E9060" i="14"/>
  <c r="AH9059" i="14"/>
  <c r="O9059" i="14"/>
  <c r="E9059" i="14"/>
  <c r="AH9058" i="14"/>
  <c r="E9058" i="14"/>
  <c r="AH9057" i="14"/>
  <c r="E9057" i="14"/>
  <c r="AH9056" i="14"/>
  <c r="E9056" i="14"/>
  <c r="AH9055" i="14"/>
  <c r="E9055" i="14"/>
  <c r="AH9054" i="14"/>
  <c r="E9054" i="14"/>
  <c r="AH9053" i="14"/>
  <c r="E9053" i="14"/>
  <c r="AH9052" i="14"/>
  <c r="E9052" i="14"/>
  <c r="AH9051" i="14"/>
  <c r="E9051" i="14"/>
  <c r="AH9050" i="14"/>
  <c r="E9050" i="14"/>
  <c r="AH9049" i="14"/>
  <c r="E9049" i="14"/>
  <c r="AH9048" i="14"/>
  <c r="E9048" i="14"/>
  <c r="AH9047" i="14"/>
  <c r="E9047" i="14"/>
  <c r="AH9046" i="14"/>
  <c r="E9046" i="14"/>
  <c r="AH9045" i="14"/>
  <c r="E9045" i="14"/>
  <c r="AH9044" i="14"/>
  <c r="E9044" i="14"/>
  <c r="AH9043" i="14"/>
  <c r="E9043" i="14"/>
  <c r="AH9042" i="14"/>
  <c r="E9042" i="14"/>
  <c r="AH9041" i="14"/>
  <c r="E9041" i="14"/>
  <c r="AH9040" i="14"/>
  <c r="P9040" i="14"/>
  <c r="E9040" i="14"/>
  <c r="AH9039" i="14"/>
  <c r="W9039" i="14"/>
  <c r="V9039" i="14"/>
  <c r="T9039" i="14"/>
  <c r="Q9039" i="14"/>
  <c r="P9039" i="14"/>
  <c r="O9039" i="14"/>
  <c r="E9039" i="14"/>
  <c r="AH9038" i="14"/>
  <c r="Q9038" i="14"/>
  <c r="P9038" i="14"/>
  <c r="E9038" i="14"/>
  <c r="AH9037" i="14"/>
  <c r="Q9037" i="14"/>
  <c r="P9037" i="14"/>
  <c r="O9037" i="14"/>
  <c r="E9037" i="14"/>
  <c r="AH9036" i="14"/>
  <c r="Q9036" i="14"/>
  <c r="P9036" i="14"/>
  <c r="O9036" i="14"/>
  <c r="K9036" i="14"/>
  <c r="I9036" i="14"/>
  <c r="E9036" i="14"/>
  <c r="AH9035" i="14"/>
  <c r="AE9035" i="14"/>
  <c r="Q9035" i="14"/>
  <c r="P9035" i="14"/>
  <c r="O9035" i="14"/>
  <c r="L9035" i="14"/>
  <c r="K9035" i="14"/>
  <c r="I9035" i="14"/>
  <c r="E9035" i="14"/>
  <c r="AH9034" i="14"/>
  <c r="Q9034" i="14"/>
  <c r="P9034" i="14"/>
  <c r="O9034" i="14"/>
  <c r="E9034" i="14"/>
  <c r="AH9033" i="14"/>
  <c r="Q9033" i="14"/>
  <c r="P9033" i="14"/>
  <c r="O9033" i="14"/>
  <c r="E9033" i="14"/>
  <c r="AH9032" i="14"/>
  <c r="Q9032" i="14"/>
  <c r="P9032" i="14"/>
  <c r="E9032" i="14"/>
  <c r="AH9031" i="14"/>
  <c r="Q9031" i="14"/>
  <c r="P9031" i="14"/>
  <c r="O9031" i="14"/>
  <c r="E9031" i="14"/>
  <c r="AH9030" i="14"/>
  <c r="Q9030" i="14"/>
  <c r="P9030" i="14"/>
  <c r="O9030" i="14"/>
  <c r="E9030" i="14"/>
  <c r="AH9029" i="14"/>
  <c r="Q9029" i="14"/>
  <c r="P9029" i="14"/>
  <c r="O9029" i="14"/>
  <c r="E9029" i="14"/>
  <c r="AH9028" i="14"/>
  <c r="Q9028" i="14"/>
  <c r="P9028" i="14"/>
  <c r="O9028" i="14"/>
  <c r="E9028" i="14"/>
  <c r="AH9027" i="14"/>
  <c r="Q9027" i="14"/>
  <c r="P9027" i="14"/>
  <c r="O9027" i="14"/>
  <c r="E9027" i="14"/>
  <c r="AH9026" i="14"/>
  <c r="Q9026" i="14"/>
  <c r="P9026" i="14"/>
  <c r="O9026" i="14"/>
  <c r="E9026" i="14"/>
  <c r="AH9025" i="14"/>
  <c r="Q9025" i="14"/>
  <c r="P9025" i="14"/>
  <c r="O9025" i="14"/>
  <c r="E9025" i="14"/>
  <c r="AH9024" i="14"/>
  <c r="Q9024" i="14"/>
  <c r="P9024" i="14"/>
  <c r="O9024" i="14"/>
  <c r="E9024" i="14"/>
  <c r="AH9023" i="14"/>
  <c r="Q9023" i="14"/>
  <c r="P9023" i="14"/>
  <c r="O9023" i="14"/>
  <c r="E9023" i="14"/>
  <c r="AH9022" i="14"/>
  <c r="Q9022" i="14"/>
  <c r="P9022" i="14"/>
  <c r="O9022" i="14"/>
  <c r="E9022" i="14"/>
  <c r="AH9021" i="14"/>
  <c r="Q9021" i="14"/>
  <c r="P9021" i="14"/>
  <c r="E9021" i="14"/>
  <c r="AH9020" i="14"/>
  <c r="Q9020" i="14"/>
  <c r="P9020" i="14"/>
  <c r="O9020" i="14"/>
  <c r="E9020" i="14"/>
  <c r="AH9019" i="14"/>
  <c r="Q9019" i="14"/>
  <c r="P9019" i="14"/>
  <c r="E9019" i="14"/>
  <c r="AK9018" i="14"/>
  <c r="AH9018" i="14"/>
  <c r="Q9018" i="14"/>
  <c r="P9018" i="14"/>
  <c r="N9018" i="14"/>
  <c r="E9018" i="14"/>
  <c r="AH9017" i="14"/>
  <c r="Q9017" i="14"/>
  <c r="P9017" i="14"/>
  <c r="O9017" i="14"/>
  <c r="E9017" i="14"/>
  <c r="AH9016" i="14"/>
  <c r="Q9016" i="14"/>
  <c r="P9016" i="14"/>
  <c r="O9016" i="14"/>
  <c r="E9016" i="14"/>
  <c r="AH9015" i="14"/>
  <c r="Q9015" i="14"/>
  <c r="P9015" i="14"/>
  <c r="O9015" i="14"/>
  <c r="E9015" i="14"/>
  <c r="AH9014" i="14"/>
  <c r="Q9014" i="14"/>
  <c r="P9014" i="14"/>
  <c r="E9014" i="14"/>
  <c r="AH9013" i="14"/>
  <c r="AE9013" i="14"/>
  <c r="Q9013" i="14"/>
  <c r="P9013" i="14"/>
  <c r="O9013" i="14"/>
  <c r="E9013" i="14"/>
  <c r="AH9012" i="14"/>
  <c r="Q9012" i="14"/>
  <c r="P9012" i="14"/>
  <c r="O9012" i="14"/>
  <c r="E9012" i="14"/>
  <c r="AH9011" i="14"/>
  <c r="Q9011" i="14"/>
  <c r="P9011" i="14"/>
  <c r="O9011" i="14"/>
  <c r="E9011" i="14"/>
  <c r="AH9010" i="14"/>
  <c r="Q9010" i="14"/>
  <c r="P9010" i="14"/>
  <c r="E9010" i="14"/>
  <c r="AH9009" i="14"/>
  <c r="Q9009" i="14"/>
  <c r="P9009" i="14"/>
  <c r="O9009" i="14"/>
  <c r="E9009" i="14"/>
  <c r="AH9008" i="14"/>
  <c r="Q9008" i="14"/>
  <c r="P9008" i="14"/>
  <c r="O9008" i="14"/>
  <c r="E9008" i="14"/>
  <c r="AH9007" i="14"/>
  <c r="Q9007" i="14"/>
  <c r="P9007" i="14"/>
  <c r="O9007" i="14"/>
  <c r="E9007" i="14"/>
  <c r="AH9006" i="14"/>
  <c r="Q9006" i="14"/>
  <c r="P9006" i="14"/>
  <c r="O9006" i="14"/>
  <c r="E9006" i="14"/>
  <c r="AH9005" i="14"/>
  <c r="O9005" i="14"/>
  <c r="E9005" i="14"/>
  <c r="AH9004" i="14"/>
  <c r="E9004" i="14"/>
  <c r="AH9003" i="14"/>
  <c r="E9003" i="14"/>
  <c r="AH9002" i="14"/>
  <c r="V9002" i="14"/>
  <c r="Q9002" i="14"/>
  <c r="P9002" i="14"/>
  <c r="O9002" i="14"/>
  <c r="E9002" i="14"/>
  <c r="AH9001" i="14"/>
  <c r="T9001" i="14"/>
  <c r="E9001" i="14"/>
  <c r="AH9000" i="14"/>
  <c r="T9000" i="14"/>
  <c r="E9000" i="14"/>
  <c r="AH8999" i="14"/>
  <c r="AE8999" i="14"/>
  <c r="W8999" i="14"/>
  <c r="V8999" i="14"/>
  <c r="T8999" i="14"/>
  <c r="Q8999" i="14"/>
  <c r="P8999" i="14"/>
  <c r="O8999" i="14"/>
  <c r="E8999" i="14"/>
  <c r="AH8998" i="14"/>
  <c r="T8998" i="14"/>
  <c r="E8998" i="14"/>
  <c r="AH8997" i="14"/>
  <c r="E8997" i="14"/>
  <c r="AH8996" i="14"/>
  <c r="E8996" i="14"/>
  <c r="AH8995" i="14"/>
  <c r="E8995" i="14"/>
  <c r="AH8994" i="14"/>
  <c r="E8994" i="14"/>
  <c r="AH8993" i="14"/>
  <c r="E8993" i="14"/>
  <c r="AH8992" i="14"/>
  <c r="E8992" i="14"/>
  <c r="AH8991" i="14"/>
  <c r="E8991" i="14"/>
  <c r="AH8990" i="14"/>
  <c r="E8990" i="14"/>
  <c r="AH8989" i="14"/>
  <c r="E8989" i="14"/>
  <c r="AH8988" i="14"/>
  <c r="E8988" i="14"/>
  <c r="AH8987" i="14"/>
  <c r="E8987" i="14"/>
  <c r="AH8986" i="14"/>
  <c r="E8986" i="14"/>
  <c r="AH8985" i="14"/>
  <c r="E8985" i="14"/>
  <c r="AH8984" i="14"/>
  <c r="E8984" i="14"/>
  <c r="AH8983" i="14"/>
  <c r="E8983" i="14"/>
  <c r="AH8982" i="14"/>
  <c r="E8982" i="14"/>
  <c r="AH8981" i="14"/>
  <c r="E8981" i="14"/>
  <c r="AH8980" i="14"/>
  <c r="E8980" i="14"/>
  <c r="AH8979" i="14"/>
  <c r="E8979" i="14"/>
  <c r="AH8978" i="14"/>
  <c r="E8978" i="14"/>
  <c r="AH8977" i="14"/>
  <c r="E8977" i="14"/>
  <c r="AH8976" i="14"/>
  <c r="E8976" i="14"/>
  <c r="AH8975" i="14"/>
  <c r="E8975" i="14"/>
  <c r="AH8974" i="14"/>
  <c r="E8974" i="14"/>
  <c r="AH8973" i="14"/>
  <c r="AG8973" i="14"/>
  <c r="AE8973" i="14"/>
  <c r="Q8973" i="14"/>
  <c r="E8973" i="14"/>
  <c r="AH8972" i="14"/>
  <c r="Q8972" i="14"/>
  <c r="E8972" i="14"/>
  <c r="AH8971" i="14"/>
  <c r="E8971" i="14"/>
  <c r="AH8970" i="14"/>
  <c r="Q8970" i="14"/>
  <c r="E8970" i="14"/>
  <c r="AH8969" i="14"/>
  <c r="E8969" i="14"/>
  <c r="AH8968" i="14"/>
  <c r="E8968" i="14"/>
  <c r="AH8967" i="14"/>
  <c r="Q8967" i="14"/>
  <c r="E8967" i="14"/>
  <c r="AH8966" i="14"/>
  <c r="E8966" i="14"/>
  <c r="AH8965" i="14"/>
  <c r="Q8965" i="14"/>
  <c r="E8965" i="14"/>
  <c r="AH8964" i="14"/>
  <c r="Q8964" i="14"/>
  <c r="E8964" i="14"/>
  <c r="AH8963" i="14"/>
  <c r="Q8963" i="14"/>
  <c r="E8963" i="14"/>
  <c r="AH8962" i="14"/>
  <c r="Q8962" i="14"/>
  <c r="E8962" i="14"/>
  <c r="AH8961" i="14"/>
  <c r="Q8961" i="14"/>
  <c r="E8961" i="14"/>
  <c r="AH8960" i="14"/>
  <c r="E8960" i="14"/>
  <c r="AH8959" i="14"/>
  <c r="E8959" i="14"/>
  <c r="AH8958" i="14"/>
  <c r="Q8958" i="14"/>
  <c r="E8958" i="14"/>
  <c r="AH8957" i="14"/>
  <c r="E8957" i="14"/>
  <c r="AH8956" i="14"/>
  <c r="E8956" i="14"/>
  <c r="AH8955" i="14"/>
  <c r="E8955" i="14"/>
  <c r="AH8954" i="14"/>
  <c r="E8954" i="14"/>
  <c r="AH8953" i="14"/>
  <c r="E8953" i="14"/>
  <c r="AH8952" i="14"/>
  <c r="E8952" i="14"/>
  <c r="AH8951" i="14"/>
  <c r="E8951" i="14"/>
  <c r="AH8950" i="14"/>
  <c r="E8950" i="14"/>
  <c r="AH8949" i="14"/>
  <c r="Q8949" i="14"/>
  <c r="E8949" i="14"/>
  <c r="AH8948" i="14"/>
  <c r="Q8948" i="14"/>
  <c r="E8948" i="14"/>
  <c r="AH8947" i="14"/>
  <c r="Q8947" i="14"/>
  <c r="E8947" i="14"/>
  <c r="AH8946" i="14"/>
  <c r="P8946" i="14"/>
  <c r="O8946" i="14"/>
  <c r="E8946" i="14"/>
  <c r="AH8945" i="14"/>
  <c r="P8945" i="14"/>
  <c r="E8945" i="14"/>
  <c r="AH8944" i="14"/>
  <c r="P8944" i="14"/>
  <c r="E8944" i="14"/>
  <c r="AH8943" i="14"/>
  <c r="E8943" i="14"/>
  <c r="AH8942" i="14"/>
  <c r="AE8942" i="14"/>
  <c r="Q8942" i="14"/>
  <c r="O8942" i="14"/>
  <c r="E8942" i="14"/>
  <c r="AH8941" i="14"/>
  <c r="Q8941" i="14"/>
  <c r="E8941" i="14"/>
  <c r="AH8940" i="14"/>
  <c r="E8940" i="14"/>
  <c r="AH8939" i="14"/>
  <c r="E8939" i="14"/>
  <c r="AH8938" i="14"/>
  <c r="Q8938" i="14"/>
  <c r="E8938" i="14"/>
  <c r="AH8937" i="14"/>
  <c r="Q8937" i="14"/>
  <c r="E8937" i="14"/>
  <c r="AH8936" i="14"/>
  <c r="Q8936" i="14"/>
  <c r="E8936" i="14"/>
  <c r="AH8935" i="14"/>
  <c r="Q8935" i="14"/>
  <c r="E8935" i="14"/>
  <c r="AH8934" i="14"/>
  <c r="Q8934" i="14"/>
  <c r="E8934" i="14"/>
  <c r="AH8933" i="14"/>
  <c r="Q8933" i="14"/>
  <c r="E8933" i="14"/>
  <c r="AH8932" i="14"/>
  <c r="Q8932" i="14"/>
  <c r="E8932" i="14"/>
  <c r="AH8931" i="14"/>
  <c r="Q8931" i="14"/>
  <c r="E8931" i="14"/>
  <c r="AL8930" i="14"/>
  <c r="AH8930" i="14"/>
  <c r="Q8930" i="14"/>
  <c r="E8930" i="14"/>
  <c r="AH8929" i="14"/>
  <c r="Q8929" i="14"/>
  <c r="E8929" i="14"/>
  <c r="AH8928" i="14"/>
  <c r="AG8928" i="14"/>
  <c r="AF8928" i="14"/>
  <c r="AE8928" i="14"/>
  <c r="U8928" i="14"/>
  <c r="T8928" i="14"/>
  <c r="Q8928" i="14"/>
  <c r="O8928" i="14"/>
  <c r="L8928" i="14"/>
  <c r="K8928" i="14"/>
  <c r="I8928" i="14"/>
  <c r="E8928" i="14"/>
  <c r="AH8927" i="14"/>
  <c r="AF8927" i="14"/>
  <c r="AE8927" i="14"/>
  <c r="U8927" i="14"/>
  <c r="T8927" i="14"/>
  <c r="Q8927" i="14"/>
  <c r="O8927" i="14"/>
  <c r="L8927" i="14"/>
  <c r="K8927" i="14"/>
  <c r="I8927" i="14"/>
  <c r="E8927" i="14"/>
  <c r="AH8926" i="14"/>
  <c r="Q8926" i="14"/>
  <c r="E8926" i="14"/>
  <c r="AH8925" i="14"/>
  <c r="Q8925" i="14"/>
  <c r="E8925" i="14"/>
  <c r="AH8924" i="14"/>
  <c r="Q8924" i="14"/>
  <c r="E8924" i="14"/>
  <c r="AH8923" i="14"/>
  <c r="Q8923" i="14"/>
  <c r="E8923" i="14"/>
  <c r="AH8922" i="14"/>
  <c r="AE8922" i="14"/>
  <c r="Q8922" i="14"/>
  <c r="E8922" i="14"/>
  <c r="AH8921" i="14"/>
  <c r="E8921" i="14"/>
  <c r="AH8920" i="14"/>
  <c r="Q8920" i="14"/>
  <c r="E8920" i="14"/>
  <c r="AH8919" i="14"/>
  <c r="Q8919" i="14"/>
  <c r="E8919" i="14"/>
  <c r="AH8918" i="14"/>
  <c r="Q8918" i="14"/>
  <c r="E8918" i="14"/>
  <c r="AH8917" i="14"/>
  <c r="Q8917" i="14"/>
  <c r="E8917" i="14"/>
  <c r="AH8916" i="14"/>
  <c r="Q8916" i="14"/>
  <c r="E8916" i="14"/>
  <c r="AH8915" i="14"/>
  <c r="Q8915" i="14"/>
  <c r="E8915" i="14"/>
  <c r="AH8914" i="14"/>
  <c r="Q8914" i="14"/>
  <c r="E8914" i="14"/>
  <c r="AH8913" i="14"/>
  <c r="Q8913" i="14"/>
  <c r="E8913" i="14"/>
  <c r="AH8912" i="14"/>
  <c r="Q8912" i="14"/>
  <c r="E8912" i="14"/>
  <c r="AH8911" i="14"/>
  <c r="Q8911" i="14"/>
  <c r="E8911" i="14"/>
  <c r="AH8910" i="14"/>
  <c r="Q8910" i="14"/>
  <c r="E8910" i="14"/>
  <c r="AH8909" i="14"/>
  <c r="Q8909" i="14"/>
  <c r="E8909" i="14"/>
  <c r="AH8908" i="14"/>
  <c r="Q8908" i="14"/>
  <c r="E8908" i="14"/>
  <c r="AH8907" i="14"/>
  <c r="Q8907" i="14"/>
  <c r="E8907" i="14"/>
  <c r="AH8906" i="14"/>
  <c r="Q8906" i="14"/>
  <c r="E8906" i="14"/>
  <c r="AH8905" i="14"/>
  <c r="Q8905" i="14"/>
  <c r="E8905" i="14"/>
  <c r="AH8904" i="14"/>
  <c r="Q8904" i="14"/>
  <c r="E8904" i="14"/>
  <c r="AH8903" i="14"/>
  <c r="Q8903" i="14"/>
  <c r="E8903" i="14"/>
  <c r="AH8902" i="14"/>
  <c r="Q8902" i="14"/>
  <c r="E8902" i="14"/>
  <c r="AH8901" i="14"/>
  <c r="Q8901" i="14"/>
  <c r="E8901" i="14"/>
  <c r="AH8900" i="14"/>
  <c r="Q8900" i="14"/>
  <c r="E8900" i="14"/>
  <c r="AH8899" i="14"/>
  <c r="Q8899" i="14"/>
  <c r="E8899" i="14"/>
  <c r="AH8898" i="14"/>
  <c r="Q8898" i="14"/>
  <c r="E8898" i="14"/>
  <c r="AH8897" i="14"/>
  <c r="Q8897" i="14"/>
  <c r="E8897" i="14"/>
  <c r="AH8896" i="14"/>
  <c r="Q8896" i="14"/>
  <c r="E8896" i="14"/>
  <c r="AH8895" i="14"/>
  <c r="Q8895" i="14"/>
  <c r="E8895" i="14"/>
  <c r="AH8894" i="14"/>
  <c r="Q8894" i="14"/>
  <c r="E8894" i="14"/>
  <c r="AH8893" i="14"/>
  <c r="Q8893" i="14"/>
  <c r="E8893" i="14"/>
  <c r="AH8892" i="14"/>
  <c r="Q8892" i="14"/>
  <c r="E8892" i="14"/>
  <c r="AH8891" i="14"/>
  <c r="Q8891" i="14"/>
  <c r="E8891" i="14"/>
  <c r="AH8890" i="14"/>
  <c r="Q8890" i="14"/>
  <c r="E8890" i="14"/>
  <c r="AH8889" i="14"/>
  <c r="Q8889" i="14"/>
  <c r="E8889" i="14"/>
  <c r="AH8888" i="14"/>
  <c r="Q8888" i="14"/>
  <c r="E8888" i="14"/>
  <c r="AH8887" i="14"/>
  <c r="E8887" i="14"/>
  <c r="AH8886" i="14"/>
  <c r="Q8886" i="14"/>
  <c r="E8886" i="14"/>
  <c r="AH8885" i="14"/>
  <c r="Q8885" i="14"/>
  <c r="E8885" i="14"/>
  <c r="AH8884" i="14"/>
  <c r="Q8884" i="14"/>
  <c r="E8884" i="14"/>
  <c r="AH8883" i="14"/>
  <c r="Q8883" i="14"/>
  <c r="E8883" i="14"/>
  <c r="AH8882" i="14"/>
  <c r="Q8882" i="14"/>
  <c r="E8882" i="14"/>
  <c r="AH8881" i="14"/>
  <c r="Q8881" i="14"/>
  <c r="E8881" i="14"/>
  <c r="AH8880" i="14"/>
  <c r="Q8880" i="14"/>
  <c r="E8880" i="14"/>
  <c r="AH8879" i="14"/>
  <c r="Q8879" i="14"/>
  <c r="E8879" i="14"/>
  <c r="AH8878" i="14"/>
  <c r="Q8878" i="14"/>
  <c r="E8878" i="14"/>
  <c r="AH8877" i="14"/>
  <c r="Q8877" i="14"/>
  <c r="E8877" i="14"/>
  <c r="AH8876" i="14"/>
  <c r="Q8876" i="14"/>
  <c r="E8876" i="14"/>
  <c r="AH8875" i="14"/>
  <c r="Q8875" i="14"/>
  <c r="E8875" i="14"/>
  <c r="AH8874" i="14"/>
  <c r="Q8874" i="14"/>
  <c r="E8874" i="14"/>
  <c r="AH8873" i="14"/>
  <c r="Q8873" i="14"/>
  <c r="E8873" i="14"/>
  <c r="AH8872" i="14"/>
  <c r="E8872" i="14"/>
  <c r="AH8871" i="14"/>
  <c r="E8871" i="14"/>
  <c r="AH8870" i="14"/>
  <c r="E8870" i="14"/>
  <c r="AH8869" i="14"/>
  <c r="E8869" i="14"/>
  <c r="AH8868" i="14"/>
  <c r="E8868" i="14"/>
  <c r="AH8867" i="14"/>
  <c r="Q8867" i="14"/>
  <c r="E8867" i="14"/>
  <c r="AH8866" i="14"/>
  <c r="Q8866" i="14"/>
  <c r="E8866" i="14"/>
  <c r="AH8865" i="14"/>
  <c r="Q8865" i="14"/>
  <c r="E8865" i="14"/>
  <c r="AH8864" i="14"/>
  <c r="E8864" i="14"/>
  <c r="AH8863" i="14"/>
  <c r="E8863" i="14"/>
  <c r="AH8862" i="14"/>
  <c r="E8862" i="14"/>
  <c r="AH8861" i="14"/>
  <c r="Q8861" i="14"/>
  <c r="E8861" i="14"/>
  <c r="AH8860" i="14"/>
  <c r="E8860" i="14"/>
  <c r="AH8859" i="14"/>
  <c r="E8859" i="14"/>
  <c r="AH8858" i="14"/>
  <c r="E8858" i="14"/>
  <c r="AH8857" i="14"/>
  <c r="E8857" i="14"/>
  <c r="AH8856" i="14"/>
  <c r="Q8856" i="14"/>
  <c r="E8856" i="14"/>
  <c r="AH8855" i="14"/>
  <c r="Q8855" i="14"/>
  <c r="E8855" i="14"/>
  <c r="AH8854" i="14"/>
  <c r="Q8854" i="14"/>
  <c r="E8854" i="14"/>
  <c r="AH8853" i="14"/>
  <c r="Q8853" i="14"/>
  <c r="E8853" i="14"/>
  <c r="AH8852" i="14"/>
  <c r="Q8852" i="14"/>
  <c r="E8852" i="14"/>
  <c r="AH8851" i="14"/>
  <c r="Q8851" i="14"/>
  <c r="E8851" i="14"/>
  <c r="AH8850" i="14"/>
  <c r="Q8850" i="14"/>
  <c r="E8850" i="14"/>
  <c r="AH8849" i="14"/>
  <c r="Q8849" i="14"/>
  <c r="E8849" i="14"/>
  <c r="AH8848" i="14"/>
  <c r="Q8848" i="14"/>
  <c r="E8848" i="14"/>
  <c r="AH8847" i="14"/>
  <c r="Q8847" i="14"/>
  <c r="E8847" i="14"/>
  <c r="AH8846" i="14"/>
  <c r="Q8846" i="14"/>
  <c r="E8846" i="14"/>
  <c r="AH8845" i="14"/>
  <c r="E8845" i="14"/>
  <c r="AH8844" i="14"/>
  <c r="Q8844" i="14"/>
  <c r="E8844" i="14"/>
  <c r="AH8843" i="14"/>
  <c r="E8843" i="14"/>
  <c r="AH8842" i="14"/>
  <c r="E8842" i="14"/>
  <c r="AH8841" i="14"/>
  <c r="Q8841" i="14"/>
  <c r="E8841" i="14"/>
  <c r="AH8840" i="14"/>
  <c r="Q8840" i="14"/>
  <c r="E8840" i="14"/>
  <c r="AH8839" i="14"/>
  <c r="Q8839" i="14"/>
  <c r="E8839" i="14"/>
  <c r="AH8838" i="14"/>
  <c r="Q8838" i="14"/>
  <c r="E8838" i="14"/>
  <c r="AH8837" i="14"/>
  <c r="Q8837" i="14"/>
  <c r="E8837" i="14"/>
  <c r="AH8836" i="14"/>
  <c r="E8836" i="14"/>
  <c r="AH8835" i="14"/>
  <c r="E8835" i="14"/>
  <c r="AH8834" i="14"/>
  <c r="Q8834" i="14"/>
  <c r="E8834" i="14"/>
  <c r="AH8833" i="14"/>
  <c r="E8833" i="14"/>
  <c r="AH8832" i="14"/>
  <c r="Q8832" i="14"/>
  <c r="E8832" i="14"/>
  <c r="AH8831" i="14"/>
  <c r="E8831" i="14"/>
  <c r="AH8830" i="14"/>
  <c r="E8830" i="14"/>
  <c r="AH8829" i="14"/>
  <c r="E8829" i="14"/>
  <c r="AH8828" i="14"/>
  <c r="E8828" i="14"/>
  <c r="AH8827" i="14"/>
  <c r="E8827" i="14"/>
  <c r="AH8826" i="14"/>
  <c r="E8826" i="14"/>
  <c r="AH8825" i="14"/>
  <c r="E8825" i="14"/>
  <c r="AH8824" i="14"/>
  <c r="E8824" i="14"/>
  <c r="AH8823" i="14"/>
  <c r="Q8823" i="14"/>
  <c r="E8823" i="14"/>
  <c r="AH8822" i="14"/>
  <c r="E8822" i="14"/>
  <c r="AH8821" i="14"/>
  <c r="E8821" i="14"/>
  <c r="AH8820" i="14"/>
  <c r="E8820" i="14"/>
  <c r="AH8819" i="14"/>
  <c r="Q8819" i="14"/>
  <c r="E8819" i="14"/>
  <c r="AH8818" i="14"/>
  <c r="E8818" i="14"/>
  <c r="AH8817" i="14"/>
  <c r="E8817" i="14"/>
  <c r="AH8816" i="14"/>
  <c r="E8816" i="14"/>
  <c r="AH8815" i="14"/>
  <c r="E8815" i="14"/>
  <c r="AH8814" i="14"/>
  <c r="E8814" i="14"/>
  <c r="AH8813" i="14"/>
  <c r="Q8813" i="14"/>
  <c r="E8813" i="14"/>
  <c r="AH8812" i="14"/>
  <c r="E8812" i="14"/>
  <c r="AH8811" i="14"/>
  <c r="E8811" i="14"/>
  <c r="AH8810" i="14"/>
  <c r="E8810" i="14"/>
  <c r="AH8809" i="14"/>
  <c r="Q8809" i="14"/>
  <c r="E8809" i="14"/>
  <c r="AH8808" i="14"/>
  <c r="E8808" i="14"/>
  <c r="AH8807" i="14"/>
  <c r="Q8807" i="14"/>
  <c r="E8807" i="14"/>
  <c r="AH8806" i="14"/>
  <c r="Q8806" i="14"/>
  <c r="E8806" i="14"/>
  <c r="AH8805" i="14"/>
  <c r="Q8805" i="14"/>
  <c r="E8805" i="14"/>
  <c r="AH8804" i="14"/>
  <c r="Q8804" i="14"/>
  <c r="E8804" i="14"/>
  <c r="AH8803" i="14"/>
  <c r="E8803" i="14"/>
  <c r="AH8802" i="14"/>
  <c r="E8802" i="14"/>
  <c r="AH8801" i="14"/>
  <c r="Q8801" i="14"/>
  <c r="E8801" i="14"/>
  <c r="AH8800" i="14"/>
  <c r="E8800" i="14"/>
  <c r="AH8799" i="14"/>
  <c r="Q8799" i="14"/>
  <c r="P8799" i="14"/>
  <c r="O8799" i="14"/>
  <c r="E8799" i="14"/>
  <c r="AH8798" i="14"/>
  <c r="Q8798" i="14"/>
  <c r="P8798" i="14"/>
  <c r="E8798" i="14"/>
  <c r="AH8797" i="14"/>
  <c r="Q8797" i="14"/>
  <c r="O8797" i="14"/>
  <c r="E8797" i="14"/>
  <c r="AH8796" i="14"/>
  <c r="Q8796" i="14"/>
  <c r="O8796" i="14"/>
  <c r="E8796" i="14"/>
  <c r="AH8795" i="14"/>
  <c r="L8795" i="14"/>
  <c r="K8795" i="14"/>
  <c r="E8795" i="14"/>
  <c r="AH8794" i="14"/>
  <c r="K8794" i="14"/>
  <c r="I8794" i="14"/>
  <c r="E8794" i="14"/>
  <c r="AH8793" i="14"/>
  <c r="K8793" i="14"/>
  <c r="I8793" i="14"/>
  <c r="E8793" i="14"/>
  <c r="AH8792" i="14"/>
  <c r="E8792" i="14"/>
  <c r="AH8791" i="14"/>
  <c r="Q8791" i="14"/>
  <c r="P8791" i="14"/>
  <c r="O8791" i="14"/>
  <c r="E8791" i="14"/>
  <c r="AH8790" i="14"/>
  <c r="E8790" i="14"/>
  <c r="AH8789" i="14"/>
  <c r="E8789" i="14"/>
  <c r="AH8788" i="14"/>
  <c r="E8788" i="14"/>
  <c r="AH8787" i="14"/>
  <c r="E8787" i="14"/>
  <c r="AH8786" i="14"/>
  <c r="Q8786" i="14"/>
  <c r="P8786" i="14"/>
  <c r="O8786" i="14"/>
  <c r="E8786" i="14"/>
  <c r="AH8785" i="14"/>
  <c r="Q8785" i="14"/>
  <c r="P8785" i="14"/>
  <c r="O8785" i="14"/>
  <c r="E8785" i="14"/>
  <c r="AH8784" i="14"/>
  <c r="Q8784" i="14"/>
  <c r="P8784" i="14"/>
  <c r="O8784" i="14"/>
  <c r="E8784" i="14"/>
  <c r="AH8783" i="14"/>
  <c r="E8783" i="14"/>
  <c r="AH8782" i="14"/>
  <c r="Q8782" i="14"/>
  <c r="E8782" i="14"/>
  <c r="AH8781" i="14"/>
  <c r="E8781" i="14"/>
  <c r="AH8780" i="14"/>
  <c r="Q8780" i="14"/>
  <c r="P8780" i="14"/>
  <c r="E8780" i="14"/>
  <c r="AH8779" i="14"/>
  <c r="Q8779" i="14"/>
  <c r="P8779" i="14"/>
  <c r="O8779" i="14"/>
  <c r="E8779" i="14"/>
  <c r="AH8778" i="14"/>
  <c r="Q8778" i="14"/>
  <c r="P8778" i="14"/>
  <c r="O8778" i="14"/>
  <c r="E8778" i="14"/>
  <c r="AH8777" i="14"/>
  <c r="E8777" i="14"/>
  <c r="AH8776" i="14"/>
  <c r="Q8776" i="14"/>
  <c r="P8776" i="14"/>
  <c r="O8776" i="14"/>
  <c r="E8776" i="14"/>
  <c r="AH8775" i="14"/>
  <c r="Q8775" i="14"/>
  <c r="P8775" i="14"/>
  <c r="O8775" i="14"/>
  <c r="E8775" i="14"/>
  <c r="AH8774" i="14"/>
  <c r="Q8774" i="14"/>
  <c r="P8774" i="14"/>
  <c r="O8774" i="14"/>
  <c r="E8774" i="14"/>
  <c r="AH8773" i="14"/>
  <c r="Q8773" i="14"/>
  <c r="P8773" i="14"/>
  <c r="E8773" i="14"/>
  <c r="AH8772" i="14"/>
  <c r="Q8772" i="14"/>
  <c r="P8772" i="14"/>
  <c r="E8772" i="14"/>
  <c r="AH8771" i="14"/>
  <c r="Q8771" i="14"/>
  <c r="P8771" i="14"/>
  <c r="O8771" i="14"/>
  <c r="E8771" i="14"/>
  <c r="AH8770" i="14"/>
  <c r="Q8770" i="14"/>
  <c r="P8770" i="14"/>
  <c r="O8770" i="14"/>
  <c r="E8770" i="14"/>
  <c r="AH8769" i="14"/>
  <c r="Q8769" i="14"/>
  <c r="E8769" i="14"/>
  <c r="AH8768" i="14"/>
  <c r="Q8768" i="14"/>
  <c r="P8768" i="14"/>
  <c r="O8768" i="14"/>
  <c r="E8768" i="14"/>
  <c r="AH8767" i="14"/>
  <c r="Q8767" i="14"/>
  <c r="P8767" i="14"/>
  <c r="O8767" i="14"/>
  <c r="E8767" i="14"/>
  <c r="AH8766" i="14"/>
  <c r="Q8766" i="14"/>
  <c r="P8766" i="14"/>
  <c r="E8766" i="14"/>
  <c r="AH8765" i="14"/>
  <c r="Q8765" i="14"/>
  <c r="P8765" i="14"/>
  <c r="O8765" i="14"/>
  <c r="E8765" i="14"/>
  <c r="AH8764" i="14"/>
  <c r="Q8764" i="14"/>
  <c r="P8764" i="14"/>
  <c r="E8764" i="14"/>
  <c r="AH8763" i="14"/>
  <c r="Q8763" i="14"/>
  <c r="P8763" i="14"/>
  <c r="E8763" i="14"/>
  <c r="AH8762" i="14"/>
  <c r="Q8762" i="14"/>
  <c r="P8762" i="14"/>
  <c r="O8762" i="14"/>
  <c r="E8762" i="14"/>
  <c r="AH8761" i="14"/>
  <c r="Q8761" i="14"/>
  <c r="P8761" i="14"/>
  <c r="E8761" i="14"/>
  <c r="AH8760" i="14"/>
  <c r="E8760" i="14"/>
  <c r="AH8759" i="14"/>
  <c r="Q8759" i="14"/>
  <c r="P8759" i="14"/>
  <c r="O8759" i="14"/>
  <c r="E8759" i="14"/>
  <c r="AH8758" i="14"/>
  <c r="Q8758" i="14"/>
  <c r="P8758" i="14"/>
  <c r="O8758" i="14"/>
  <c r="E8758" i="14"/>
  <c r="AH8757" i="14"/>
  <c r="E8757" i="14"/>
  <c r="AH8756" i="14"/>
  <c r="Q8756" i="14"/>
  <c r="P8756" i="14"/>
  <c r="E8756" i="14"/>
  <c r="AH8755" i="14"/>
  <c r="Q8755" i="14"/>
  <c r="P8755" i="14"/>
  <c r="E8755" i="14"/>
  <c r="AH8754" i="14"/>
  <c r="Q8754" i="14"/>
  <c r="P8754" i="14"/>
  <c r="O8754" i="14"/>
  <c r="E8754" i="14"/>
  <c r="AH8753" i="14"/>
  <c r="Q8753" i="14"/>
  <c r="P8753" i="14"/>
  <c r="O8753" i="14"/>
  <c r="E8753" i="14"/>
  <c r="AH8752" i="14"/>
  <c r="E8752" i="14"/>
  <c r="AH8751" i="14"/>
  <c r="Q8751" i="14"/>
  <c r="P8751" i="14"/>
  <c r="E8751" i="14"/>
  <c r="AH8750" i="14"/>
  <c r="Q8750" i="14"/>
  <c r="P8750" i="14"/>
  <c r="O8750" i="14"/>
  <c r="E8750" i="14"/>
  <c r="AH8749" i="14"/>
  <c r="Q8749" i="14"/>
  <c r="P8749" i="14"/>
  <c r="E8749" i="14"/>
  <c r="AH8748" i="14"/>
  <c r="Q8748" i="14"/>
  <c r="P8748" i="14"/>
  <c r="O8748" i="14"/>
  <c r="E8748" i="14"/>
  <c r="AH8747" i="14"/>
  <c r="E8747" i="14"/>
  <c r="AH8746" i="14"/>
  <c r="E8746" i="14"/>
  <c r="AH8745" i="14"/>
  <c r="E8745" i="14"/>
  <c r="AH8744" i="14"/>
  <c r="E8744" i="14"/>
  <c r="AH8743" i="14"/>
  <c r="E8743" i="14"/>
  <c r="AH8742" i="14"/>
  <c r="E8742" i="14"/>
  <c r="AH8741" i="14"/>
  <c r="E8741" i="14"/>
  <c r="AH8740" i="14"/>
  <c r="Q8740" i="14"/>
  <c r="P8740" i="14"/>
  <c r="O8740" i="14"/>
  <c r="E8740" i="14"/>
  <c r="AH8739" i="14"/>
  <c r="E8739" i="14"/>
  <c r="AH8738" i="14"/>
  <c r="E8738" i="14"/>
  <c r="AH8737" i="14"/>
  <c r="E8737" i="14"/>
  <c r="AH8736" i="14"/>
  <c r="Q8736" i="14"/>
  <c r="P8736" i="14"/>
  <c r="O8736" i="14"/>
  <c r="E8736" i="14"/>
  <c r="AH8735" i="14"/>
  <c r="Q8735" i="14"/>
  <c r="P8735" i="14"/>
  <c r="O8735" i="14"/>
  <c r="E8735" i="14"/>
  <c r="AH8734" i="14"/>
  <c r="E8734" i="14"/>
  <c r="AH8733" i="14"/>
  <c r="Q8733" i="14"/>
  <c r="P8733" i="14"/>
  <c r="E8733" i="14"/>
  <c r="AH8732" i="14"/>
  <c r="Q8732" i="14"/>
  <c r="P8732" i="14"/>
  <c r="E8732" i="14"/>
  <c r="AH8731" i="14"/>
  <c r="Q8731" i="14"/>
  <c r="P8731" i="14"/>
  <c r="E8731" i="14"/>
  <c r="AH8730" i="14"/>
  <c r="Q8730" i="14"/>
  <c r="P8730" i="14"/>
  <c r="E8730" i="14"/>
  <c r="AH8729" i="14"/>
  <c r="Q8729" i="14"/>
  <c r="P8729" i="14"/>
  <c r="E8729" i="14"/>
  <c r="AH8728" i="14"/>
  <c r="Q8728" i="14"/>
  <c r="P8728" i="14"/>
  <c r="E8728" i="14"/>
  <c r="AH8727" i="14"/>
  <c r="Q8727" i="14"/>
  <c r="P8727" i="14"/>
  <c r="E8727" i="14"/>
  <c r="AH8726" i="14"/>
  <c r="AF8726" i="14"/>
  <c r="AE8726" i="14"/>
  <c r="Q8726" i="14"/>
  <c r="P8726" i="14"/>
  <c r="O8726" i="14"/>
  <c r="L8726" i="14"/>
  <c r="E8726" i="14"/>
  <c r="AH8725" i="14"/>
  <c r="Q8725" i="14"/>
  <c r="P8725" i="14"/>
  <c r="E8725" i="14"/>
  <c r="AH8724" i="14"/>
  <c r="Q8724" i="14"/>
  <c r="P8724" i="14"/>
  <c r="O8724" i="14"/>
  <c r="E8724" i="14"/>
  <c r="AH8723" i="14"/>
  <c r="Q8723" i="14"/>
  <c r="E8723" i="14"/>
  <c r="AH8722" i="14"/>
  <c r="E8722" i="14"/>
  <c r="AH8721" i="14"/>
  <c r="E8721" i="14"/>
  <c r="AH8720" i="14"/>
  <c r="Q8720" i="14"/>
  <c r="P8720" i="14"/>
  <c r="O8720" i="14"/>
  <c r="E8720" i="14"/>
  <c r="AH8719" i="14"/>
  <c r="Q8719" i="14"/>
  <c r="P8719" i="14"/>
  <c r="O8719" i="14"/>
  <c r="E8719" i="14"/>
  <c r="AH8718" i="14"/>
  <c r="Q8718" i="14"/>
  <c r="P8718" i="14"/>
  <c r="E8718" i="14"/>
  <c r="AH8717" i="14"/>
  <c r="Q8717" i="14"/>
  <c r="P8717" i="14"/>
  <c r="E8717" i="14"/>
  <c r="AH8716" i="14"/>
  <c r="Q8716" i="14"/>
  <c r="P8716" i="14"/>
  <c r="E8716" i="14"/>
  <c r="AH8715" i="14"/>
  <c r="Q8715" i="14"/>
  <c r="P8715" i="14"/>
  <c r="O8715" i="14"/>
  <c r="E8715" i="14"/>
  <c r="AH8714" i="14"/>
  <c r="Q8714" i="14"/>
  <c r="P8714" i="14"/>
  <c r="E8714" i="14"/>
  <c r="AH8713" i="14"/>
  <c r="Q8713" i="14"/>
  <c r="P8713" i="14"/>
  <c r="E8713" i="14"/>
  <c r="AH8712" i="14"/>
  <c r="Q8712" i="14"/>
  <c r="P8712" i="14"/>
  <c r="E8712" i="14"/>
  <c r="AH8711" i="14"/>
  <c r="Q8711" i="14"/>
  <c r="P8711" i="14"/>
  <c r="O8711" i="14"/>
  <c r="E8711" i="14"/>
  <c r="AH8710" i="14"/>
  <c r="Q8710" i="14"/>
  <c r="P8710" i="14"/>
  <c r="E8710" i="14"/>
  <c r="AH8709" i="14"/>
  <c r="Q8709" i="14"/>
  <c r="P8709" i="14"/>
  <c r="O8709" i="14"/>
  <c r="E8709" i="14"/>
  <c r="AH8708" i="14"/>
  <c r="E8708" i="14"/>
  <c r="AH8707" i="14"/>
  <c r="Q8707" i="14"/>
  <c r="E8707" i="14"/>
  <c r="AH8706" i="14"/>
  <c r="Q8706" i="14"/>
  <c r="P8706" i="14"/>
  <c r="O8706" i="14"/>
  <c r="E8706" i="14"/>
  <c r="AH8705" i="14"/>
  <c r="AE8705" i="14"/>
  <c r="Q8705" i="14"/>
  <c r="P8705" i="14"/>
  <c r="E8705" i="14"/>
  <c r="AH8704" i="14"/>
  <c r="Q8704" i="14"/>
  <c r="P8704" i="14"/>
  <c r="E8704" i="14"/>
  <c r="AH8703" i="14"/>
  <c r="E8703" i="14"/>
  <c r="AH8702" i="14"/>
  <c r="Q8702" i="14"/>
  <c r="P8702" i="14"/>
  <c r="E8702" i="14"/>
  <c r="AH8701" i="14"/>
  <c r="Q8701" i="14"/>
  <c r="P8701" i="14"/>
  <c r="O8701" i="14"/>
  <c r="E8701" i="14"/>
  <c r="AH8700" i="14"/>
  <c r="Q8700" i="14"/>
  <c r="O8700" i="14"/>
  <c r="E8700" i="14"/>
  <c r="AH8699" i="14"/>
  <c r="AE8699" i="14"/>
  <c r="Q8699" i="14"/>
  <c r="P8699" i="14"/>
  <c r="O8699" i="14"/>
  <c r="E8699" i="14"/>
  <c r="AH8698" i="14"/>
  <c r="Q8698" i="14"/>
  <c r="P8698" i="14"/>
  <c r="O8698" i="14"/>
  <c r="E8698" i="14"/>
  <c r="AH8697" i="14"/>
  <c r="Q8697" i="14"/>
  <c r="P8697" i="14"/>
  <c r="O8697" i="14"/>
  <c r="E8697" i="14"/>
  <c r="AH8696" i="14"/>
  <c r="AE8696" i="14"/>
  <c r="Q8696" i="14"/>
  <c r="P8696" i="14"/>
  <c r="O8696" i="14"/>
  <c r="E8696" i="14"/>
  <c r="AH8695" i="14"/>
  <c r="Q8695" i="14"/>
  <c r="P8695" i="14"/>
  <c r="O8695" i="14"/>
  <c r="E8695" i="14"/>
  <c r="AH8694" i="14"/>
  <c r="Q8694" i="14"/>
  <c r="P8694" i="14"/>
  <c r="O8694" i="14"/>
  <c r="E8694" i="14"/>
  <c r="AH8693" i="14"/>
  <c r="Q8693" i="14"/>
  <c r="P8693" i="14"/>
  <c r="O8693" i="14"/>
  <c r="L8693" i="14"/>
  <c r="E8693" i="14"/>
  <c r="AH8692" i="14"/>
  <c r="Q8692" i="14"/>
  <c r="P8692" i="14"/>
  <c r="O8692" i="14"/>
  <c r="E8692" i="14"/>
  <c r="AH8691" i="14"/>
  <c r="Q8691" i="14"/>
  <c r="P8691" i="14"/>
  <c r="O8691" i="14"/>
  <c r="E8691" i="14"/>
  <c r="AH8690" i="14"/>
  <c r="Q8690" i="14"/>
  <c r="P8690" i="14"/>
  <c r="O8690" i="14"/>
  <c r="E8690" i="14"/>
  <c r="AH8689" i="14"/>
  <c r="E8689" i="14"/>
  <c r="AH8688" i="14"/>
  <c r="Q8688" i="14"/>
  <c r="P8688" i="14"/>
  <c r="O8688" i="14"/>
  <c r="E8688" i="14"/>
  <c r="AH8687" i="14"/>
  <c r="Q8687" i="14"/>
  <c r="P8687" i="14"/>
  <c r="O8687" i="14"/>
  <c r="L8687" i="14"/>
  <c r="E8687" i="14"/>
  <c r="AH8686" i="14"/>
  <c r="Q8686" i="14"/>
  <c r="P8686" i="14"/>
  <c r="O8686" i="14"/>
  <c r="E8686" i="14"/>
  <c r="AH8685" i="14"/>
  <c r="Q8685" i="14"/>
  <c r="P8685" i="14"/>
  <c r="O8685" i="14"/>
  <c r="E8685" i="14"/>
  <c r="AH8684" i="14"/>
  <c r="E8684" i="14"/>
  <c r="AH8683" i="14"/>
  <c r="E8683" i="14"/>
  <c r="AH8682" i="14"/>
  <c r="L8682" i="14"/>
  <c r="E8682" i="14"/>
  <c r="AH8681" i="14"/>
  <c r="Q8681" i="14"/>
  <c r="P8681" i="14"/>
  <c r="O8681" i="14"/>
  <c r="E8681" i="14"/>
  <c r="AH8680" i="14"/>
  <c r="E8680" i="14"/>
  <c r="AH8679" i="14"/>
  <c r="E8679" i="14"/>
  <c r="AH8678" i="14"/>
  <c r="E8678" i="14"/>
  <c r="AH8677" i="14"/>
  <c r="E8677" i="14"/>
  <c r="AL8676" i="14"/>
  <c r="AH8676" i="14"/>
  <c r="T8676" i="14"/>
  <c r="Q8676" i="14"/>
  <c r="O8676" i="14"/>
  <c r="E8676" i="14"/>
  <c r="AL8675" i="14"/>
  <c r="AH8675" i="14"/>
  <c r="T8675" i="14"/>
  <c r="Q8675" i="14"/>
  <c r="O8675" i="14"/>
  <c r="E8675" i="14"/>
  <c r="AH8674" i="14"/>
  <c r="E8674" i="14"/>
  <c r="AH8673" i="14"/>
  <c r="E8673" i="14"/>
  <c r="AH8672" i="14"/>
  <c r="Q8672" i="14"/>
  <c r="E8672" i="14"/>
  <c r="AH8671" i="14"/>
  <c r="E8671" i="14"/>
  <c r="AH8670" i="14"/>
  <c r="Q8670" i="14"/>
  <c r="E8670" i="14"/>
  <c r="AH8669" i="14"/>
  <c r="E8669" i="14"/>
  <c r="AH8668" i="14"/>
  <c r="E8668" i="14"/>
  <c r="AH8667" i="14"/>
  <c r="Q8667" i="14"/>
  <c r="E8667" i="14"/>
  <c r="AH8666" i="14"/>
  <c r="E8666" i="14"/>
  <c r="AH8665" i="14"/>
  <c r="Q8665" i="14"/>
  <c r="E8665" i="14"/>
  <c r="AH8664" i="14"/>
  <c r="E8664" i="14"/>
  <c r="AH8663" i="14"/>
  <c r="E8663" i="14"/>
  <c r="AH8662" i="14"/>
  <c r="Q8662" i="14"/>
  <c r="E8662" i="14"/>
  <c r="AH8661" i="14"/>
  <c r="E8661" i="14"/>
  <c r="AH8660" i="14"/>
  <c r="E8660" i="14"/>
  <c r="AH8659" i="14"/>
  <c r="E8659" i="14"/>
  <c r="AH8658" i="14"/>
  <c r="E8658" i="14"/>
  <c r="AH8657" i="14"/>
  <c r="E8657" i="14"/>
  <c r="AH8656" i="14"/>
  <c r="E8656" i="14"/>
  <c r="AH8655" i="14"/>
  <c r="Q8655" i="14"/>
  <c r="E8655" i="14"/>
  <c r="AH8654" i="14"/>
  <c r="E8654" i="14"/>
  <c r="AH8653" i="14"/>
  <c r="K8653" i="14"/>
  <c r="E8653" i="14"/>
  <c r="AH8652" i="14"/>
  <c r="E8652" i="14"/>
  <c r="AH8651" i="14"/>
  <c r="E8651" i="14"/>
  <c r="AH8650" i="14"/>
  <c r="E8650" i="14"/>
  <c r="AH8649" i="14"/>
  <c r="E8649" i="14"/>
  <c r="AH8648" i="14"/>
  <c r="E8648" i="14"/>
  <c r="AH8647" i="14"/>
  <c r="Q8647" i="14"/>
  <c r="E8647" i="14"/>
  <c r="AH8646" i="14"/>
  <c r="E8646" i="14"/>
  <c r="AH8645" i="14"/>
  <c r="E8645" i="14"/>
  <c r="AH8644" i="14"/>
  <c r="Q8644" i="14"/>
  <c r="E8644" i="14"/>
  <c r="AH8643" i="14"/>
  <c r="E8643" i="14"/>
  <c r="AH8642" i="14"/>
  <c r="E8642" i="14"/>
  <c r="AH8641" i="14"/>
  <c r="E8641" i="14"/>
  <c r="AH8640" i="14"/>
  <c r="Q8640" i="14"/>
  <c r="E8640" i="14"/>
  <c r="AH8639" i="14"/>
  <c r="Q8639" i="14"/>
  <c r="E8639" i="14"/>
  <c r="AH8638" i="14"/>
  <c r="E8638" i="14"/>
  <c r="AH8637" i="14"/>
  <c r="E8637" i="14"/>
  <c r="AH8636" i="14"/>
  <c r="E8636" i="14"/>
  <c r="AH8635" i="14"/>
  <c r="E8635" i="14"/>
  <c r="AH8634" i="14"/>
  <c r="Q8634" i="14"/>
  <c r="E8634" i="14"/>
  <c r="AH8633" i="14"/>
  <c r="E8633" i="14"/>
  <c r="AH8632" i="14"/>
  <c r="E8632" i="14"/>
  <c r="AH8631" i="14"/>
  <c r="E8631" i="14"/>
  <c r="AH8630" i="14"/>
  <c r="E8630" i="14"/>
  <c r="AH8629" i="14"/>
  <c r="E8629" i="14"/>
  <c r="AH8628" i="14"/>
  <c r="E8628" i="14"/>
  <c r="AH8627" i="14"/>
  <c r="E8627" i="14"/>
  <c r="AH8626" i="14"/>
  <c r="E8626" i="14"/>
  <c r="AH8625" i="14"/>
  <c r="E8625" i="14"/>
  <c r="AH8624" i="14"/>
  <c r="E8624" i="14"/>
  <c r="AH8623" i="14"/>
  <c r="Q8623" i="14"/>
  <c r="E8623" i="14"/>
  <c r="AH8622" i="14"/>
  <c r="Q8622" i="14"/>
  <c r="E8622" i="14"/>
  <c r="AH8621" i="14"/>
  <c r="Q8621" i="14"/>
  <c r="E8621" i="14"/>
  <c r="AH8620" i="14"/>
  <c r="E8620" i="14"/>
  <c r="AH8619" i="14"/>
  <c r="E8619" i="14"/>
  <c r="AH8618" i="14"/>
  <c r="Q8618" i="14"/>
  <c r="E8618" i="14"/>
  <c r="AH8617" i="14"/>
  <c r="E8617" i="14"/>
  <c r="AH8616" i="14"/>
  <c r="E8616" i="14"/>
  <c r="AH8615" i="14"/>
  <c r="E8615" i="14"/>
  <c r="AH8614" i="14"/>
  <c r="E8614" i="14"/>
  <c r="AH8613" i="14"/>
  <c r="E8613" i="14"/>
  <c r="AH8612" i="14"/>
  <c r="E8612" i="14"/>
  <c r="AH8611" i="14"/>
  <c r="Q8611" i="14"/>
  <c r="E8611" i="14"/>
  <c r="AH8610" i="14"/>
  <c r="E8610" i="14"/>
  <c r="AH8609" i="14"/>
  <c r="E8609" i="14"/>
  <c r="AH8608" i="14"/>
  <c r="E8608" i="14"/>
  <c r="AH8607" i="14"/>
  <c r="E8607" i="14"/>
  <c r="AH8606" i="14"/>
  <c r="Q8606" i="14"/>
  <c r="E8606" i="14"/>
  <c r="AH8605" i="14"/>
  <c r="E8605" i="14"/>
  <c r="AH8604" i="14"/>
  <c r="E8604" i="14"/>
  <c r="AH8603" i="14"/>
  <c r="E8603" i="14"/>
  <c r="AH8602" i="14"/>
  <c r="E8602" i="14"/>
  <c r="AH8601" i="14"/>
  <c r="E8601" i="14"/>
  <c r="AH8600" i="14"/>
  <c r="Q8600" i="14"/>
  <c r="E8600" i="14"/>
  <c r="AH8599" i="14"/>
  <c r="Q8599" i="14"/>
  <c r="E8599" i="14"/>
  <c r="AH8598" i="14"/>
  <c r="Q8598" i="14"/>
  <c r="E8598" i="14"/>
  <c r="AH8597" i="14"/>
  <c r="Q8597" i="14"/>
  <c r="E8597" i="14"/>
  <c r="AH8596" i="14"/>
  <c r="Q8596" i="14"/>
  <c r="E8596" i="14"/>
  <c r="AH8595" i="14"/>
  <c r="E8595" i="14"/>
  <c r="AH8594" i="14"/>
  <c r="E8594" i="14"/>
  <c r="AH8593" i="14"/>
  <c r="Q8593" i="14"/>
  <c r="E8593" i="14"/>
  <c r="AH8592" i="14"/>
  <c r="E8592" i="14"/>
  <c r="AH8591" i="14"/>
  <c r="E8591" i="14"/>
  <c r="AH8590" i="14"/>
  <c r="E8590" i="14"/>
  <c r="AH8589" i="14"/>
  <c r="E8589" i="14"/>
  <c r="AH8588" i="14"/>
  <c r="Q8588" i="14"/>
  <c r="E8588" i="14"/>
  <c r="AH8587" i="14"/>
  <c r="E8587" i="14"/>
  <c r="AH8586" i="14"/>
  <c r="E8586" i="14"/>
  <c r="AH8585" i="14"/>
  <c r="E8585" i="14"/>
  <c r="AH8584" i="14"/>
  <c r="Q8584" i="14"/>
  <c r="E8584" i="14"/>
  <c r="AH8583" i="14"/>
  <c r="E8583" i="14"/>
  <c r="AH8582" i="14"/>
  <c r="E8582" i="14"/>
  <c r="AH8581" i="14"/>
  <c r="Q8581" i="14"/>
  <c r="E8581" i="14"/>
  <c r="AH8580" i="14"/>
  <c r="E8580" i="14"/>
  <c r="AH8579" i="14"/>
  <c r="Q8579" i="14"/>
  <c r="E8579" i="14"/>
  <c r="AH8578" i="14"/>
  <c r="E8578" i="14"/>
  <c r="AH8577" i="14"/>
  <c r="Q8577" i="14"/>
  <c r="E8577" i="14"/>
  <c r="AH8576" i="14"/>
  <c r="Q8576" i="14"/>
  <c r="E8576" i="14"/>
  <c r="AH8575" i="14"/>
  <c r="E8575" i="14"/>
  <c r="AH8574" i="14"/>
  <c r="Q8574" i="14"/>
  <c r="E8574" i="14"/>
  <c r="AH8573" i="14"/>
  <c r="Q8573" i="14"/>
  <c r="E8573" i="14"/>
  <c r="AH8572" i="14"/>
  <c r="E8572" i="14"/>
  <c r="AH8571" i="14"/>
  <c r="Q8571" i="14"/>
  <c r="E8571" i="14"/>
  <c r="AH8570" i="14"/>
  <c r="E8570" i="14"/>
  <c r="AH8569" i="14"/>
  <c r="Q8569" i="14"/>
  <c r="E8569" i="14"/>
  <c r="AH8568" i="14"/>
  <c r="Q8568" i="14"/>
  <c r="E8568" i="14"/>
  <c r="AH8567" i="14"/>
  <c r="E8567" i="14"/>
  <c r="AH8566" i="14"/>
  <c r="E8566" i="14"/>
  <c r="AH8565" i="14"/>
  <c r="Q8565" i="14"/>
  <c r="E8565" i="14"/>
  <c r="AH8564" i="14"/>
  <c r="Q8564" i="14"/>
  <c r="E8564" i="14"/>
  <c r="AH8563" i="14"/>
  <c r="E8563" i="14"/>
  <c r="AH8562" i="14"/>
  <c r="E8562" i="14"/>
  <c r="AH8561" i="14"/>
  <c r="E8561" i="14"/>
  <c r="AH8560" i="14"/>
  <c r="E8560" i="14"/>
  <c r="AH8559" i="14"/>
  <c r="E8559" i="14"/>
  <c r="AH8558" i="14"/>
  <c r="E8558" i="14"/>
  <c r="AH8557" i="14"/>
  <c r="Q8557" i="14"/>
  <c r="E8557" i="14"/>
  <c r="AH8556" i="14"/>
  <c r="E8556" i="14"/>
  <c r="AH8555" i="14"/>
  <c r="E8555" i="14"/>
  <c r="AH8554" i="14"/>
  <c r="E8554" i="14"/>
  <c r="AH8553" i="14"/>
  <c r="E8553" i="14"/>
  <c r="AH8552" i="14"/>
  <c r="E8552" i="14"/>
  <c r="AH8551" i="14"/>
  <c r="E8551" i="14"/>
  <c r="AH8550" i="14"/>
  <c r="E8550" i="14"/>
  <c r="AH8549" i="14"/>
  <c r="E8549" i="14"/>
  <c r="AH8548" i="14"/>
  <c r="E8548" i="14"/>
  <c r="AH8547" i="14"/>
  <c r="E8547" i="14"/>
  <c r="AH8546" i="14"/>
  <c r="E8546" i="14"/>
  <c r="AH8545" i="14"/>
  <c r="Q8545" i="14"/>
  <c r="E8545" i="14"/>
  <c r="AH8544" i="14"/>
  <c r="E8544" i="14"/>
  <c r="AH8543" i="14"/>
  <c r="E8543" i="14"/>
  <c r="AH8542" i="14"/>
  <c r="Q8542" i="14"/>
  <c r="E8542" i="14"/>
  <c r="AH8541" i="14"/>
  <c r="E8541" i="14"/>
  <c r="AH8540" i="14"/>
  <c r="E8540" i="14"/>
  <c r="AH8539" i="14"/>
  <c r="Q8539" i="14"/>
  <c r="E8539" i="14"/>
  <c r="AH8538" i="14"/>
  <c r="E8538" i="14"/>
  <c r="AH8537" i="14"/>
  <c r="E8537" i="14"/>
  <c r="AH8536" i="14"/>
  <c r="E8536" i="14"/>
  <c r="AH8535" i="14"/>
  <c r="E8535" i="14"/>
  <c r="AH8534" i="14"/>
  <c r="Q8534" i="14"/>
  <c r="E8534" i="14"/>
  <c r="AH8533" i="14"/>
  <c r="E8533" i="14"/>
  <c r="AH8532" i="14"/>
  <c r="Q8532" i="14"/>
  <c r="E8532" i="14"/>
  <c r="AH8531" i="14"/>
  <c r="E8531" i="14"/>
  <c r="AH8530" i="14"/>
  <c r="E8530" i="14"/>
  <c r="AH8529" i="14"/>
  <c r="E8529" i="14"/>
  <c r="AH8528" i="14"/>
  <c r="E8528" i="14"/>
  <c r="AH8527" i="14"/>
  <c r="E8527" i="14"/>
  <c r="AH8526" i="14"/>
  <c r="E8526" i="14"/>
  <c r="AH8525" i="14"/>
  <c r="E8525" i="14"/>
  <c r="AH8524" i="14"/>
  <c r="E8524" i="14"/>
  <c r="AH8523" i="14"/>
  <c r="E8523" i="14"/>
  <c r="AH8522" i="14"/>
  <c r="E8522" i="14"/>
  <c r="AH8521" i="14"/>
  <c r="Q8521" i="14"/>
  <c r="E8521" i="14"/>
  <c r="AH8520" i="14"/>
  <c r="E8520" i="14"/>
  <c r="AH8519" i="14"/>
  <c r="E8519" i="14"/>
  <c r="AH8518" i="14"/>
  <c r="E8518" i="14"/>
  <c r="AH8517" i="14"/>
  <c r="Q8517" i="14"/>
  <c r="E8517" i="14"/>
  <c r="AH8516" i="14"/>
  <c r="Q8516" i="14"/>
  <c r="E8516" i="14"/>
  <c r="AH8515" i="14"/>
  <c r="Q8515" i="14"/>
  <c r="E8515" i="14"/>
  <c r="AH8514" i="14"/>
  <c r="E8514" i="14"/>
  <c r="AH8513" i="14"/>
  <c r="Q8513" i="14"/>
  <c r="E8513" i="14"/>
  <c r="AH8512" i="14"/>
  <c r="E8512" i="14"/>
  <c r="AH8511" i="14"/>
  <c r="E8511" i="14"/>
  <c r="AH8510" i="14"/>
  <c r="E8510" i="14"/>
  <c r="AH8509" i="14"/>
  <c r="E8509" i="14"/>
  <c r="AH8508" i="14"/>
  <c r="E8508" i="14"/>
  <c r="AH8507" i="14"/>
  <c r="E8507" i="14"/>
  <c r="AH8506" i="14"/>
  <c r="E8506" i="14"/>
  <c r="AH8505" i="14"/>
  <c r="Q8505" i="14"/>
  <c r="E8505" i="14"/>
  <c r="AH8504" i="14"/>
  <c r="E8504" i="14"/>
  <c r="AH8503" i="14"/>
  <c r="E8503" i="14"/>
  <c r="AH8502" i="14"/>
  <c r="Q8502" i="14"/>
  <c r="E8502" i="14"/>
  <c r="AH8501" i="14"/>
  <c r="E8501" i="14"/>
  <c r="AH8500" i="14"/>
  <c r="Q8500" i="14"/>
  <c r="E8500" i="14"/>
  <c r="AH8499" i="14"/>
  <c r="Q8499" i="14"/>
  <c r="E8499" i="14"/>
  <c r="AH8498" i="14"/>
  <c r="Q8498" i="14"/>
  <c r="E8498" i="14"/>
  <c r="AH8497" i="14"/>
  <c r="E8497" i="14"/>
  <c r="AH8496" i="14"/>
  <c r="E8496" i="14"/>
  <c r="AH8495" i="14"/>
  <c r="E8495" i="14"/>
  <c r="AH8494" i="14"/>
  <c r="E8494" i="14"/>
  <c r="AH8493" i="14"/>
  <c r="E8493" i="14"/>
  <c r="AH8492" i="14"/>
  <c r="Q8492" i="14"/>
  <c r="E8492" i="14"/>
  <c r="AH8491" i="14"/>
  <c r="E8491" i="14"/>
  <c r="AH8490" i="14"/>
  <c r="E8490" i="14"/>
  <c r="AH8489" i="14"/>
  <c r="Q8489" i="14"/>
  <c r="E8489" i="14"/>
  <c r="AH8488" i="14"/>
  <c r="E8488" i="14"/>
  <c r="AH8487" i="14"/>
  <c r="E8487" i="14"/>
  <c r="AH8486" i="14"/>
  <c r="E8486" i="14"/>
  <c r="AH8485" i="14"/>
  <c r="E8485" i="14"/>
  <c r="AH8484" i="14"/>
  <c r="Q8484" i="14"/>
  <c r="E8484" i="14"/>
  <c r="AH8483" i="14"/>
  <c r="E8483" i="14"/>
  <c r="AH8482" i="14"/>
  <c r="E8482" i="14"/>
  <c r="AH8481" i="14"/>
  <c r="E8481" i="14"/>
  <c r="AH8480" i="14"/>
  <c r="E8480" i="14"/>
  <c r="AH8479" i="14"/>
  <c r="E8479" i="14"/>
  <c r="AH8478" i="14"/>
  <c r="E8478" i="14"/>
  <c r="AH8477" i="14"/>
  <c r="E8477" i="14"/>
  <c r="AH8476" i="14"/>
  <c r="E8476" i="14"/>
  <c r="AH8475" i="14"/>
  <c r="E8475" i="14"/>
  <c r="AH8474" i="14"/>
  <c r="E8474" i="14"/>
  <c r="AH8473" i="14"/>
  <c r="Q8473" i="14"/>
  <c r="E8473" i="14"/>
  <c r="AH8472" i="14"/>
  <c r="Q8472" i="14"/>
  <c r="E8472" i="14"/>
  <c r="AH8471" i="14"/>
  <c r="E8471" i="14"/>
  <c r="AH8470" i="14"/>
  <c r="E8470" i="14"/>
  <c r="AH8469" i="14"/>
  <c r="E8469" i="14"/>
  <c r="AH8468" i="14"/>
  <c r="Q8468" i="14"/>
  <c r="E8468" i="14"/>
  <c r="AH8467" i="14"/>
  <c r="E8467" i="14"/>
  <c r="AH8466" i="14"/>
  <c r="E8466" i="14"/>
  <c r="AH8465" i="14"/>
  <c r="E8465" i="14"/>
  <c r="AH8464" i="14"/>
  <c r="E8464" i="14"/>
  <c r="AH8463" i="14"/>
  <c r="E8463" i="14"/>
  <c r="AH8462" i="14"/>
  <c r="E8462" i="14"/>
  <c r="AH8461" i="14"/>
  <c r="E8461" i="14"/>
  <c r="AH8460" i="14"/>
  <c r="E8460" i="14"/>
  <c r="AH8459" i="14"/>
  <c r="Q8459" i="14"/>
  <c r="E8459" i="14"/>
  <c r="AH8458" i="14"/>
  <c r="E8458" i="14"/>
  <c r="AH8457" i="14"/>
  <c r="E8457" i="14"/>
  <c r="AH8456" i="14"/>
  <c r="E8456" i="14"/>
  <c r="AH8455" i="14"/>
  <c r="E8455" i="14"/>
  <c r="AH8454" i="14"/>
  <c r="E8454" i="14"/>
  <c r="AH8453" i="14"/>
  <c r="E8453" i="14"/>
  <c r="AH8452" i="14"/>
  <c r="Q8452" i="14"/>
  <c r="E8452" i="14"/>
  <c r="AH8451" i="14"/>
  <c r="E8451" i="14"/>
  <c r="AH8450" i="14"/>
  <c r="E8450" i="14"/>
  <c r="AH8449" i="14"/>
  <c r="E8449" i="14"/>
  <c r="AH8448" i="14"/>
  <c r="Q8448" i="14"/>
  <c r="E8448" i="14"/>
  <c r="AH8447" i="14"/>
  <c r="E8447" i="14"/>
  <c r="AH8446" i="14"/>
  <c r="Q8446" i="14"/>
  <c r="E8446" i="14"/>
  <c r="AH8445" i="14"/>
  <c r="E8445" i="14"/>
  <c r="AH8444" i="14"/>
  <c r="Q8444" i="14"/>
  <c r="E8444" i="14"/>
  <c r="AH8443" i="14"/>
  <c r="E8443" i="14"/>
  <c r="AH8442" i="14"/>
  <c r="E8442" i="14"/>
  <c r="AH8441" i="14"/>
  <c r="E8441" i="14"/>
  <c r="AH8440" i="14"/>
  <c r="E8440" i="14"/>
  <c r="AH8439" i="14"/>
  <c r="Q8439" i="14"/>
  <c r="E8439" i="14"/>
  <c r="AH8438" i="14"/>
  <c r="E8438" i="14"/>
  <c r="AH8437" i="14"/>
  <c r="E8437" i="14"/>
  <c r="AH8436" i="14"/>
  <c r="E8436" i="14"/>
  <c r="AH8435" i="14"/>
  <c r="Q8435" i="14"/>
  <c r="E8435" i="14"/>
  <c r="AH8434" i="14"/>
  <c r="Q8434" i="14"/>
  <c r="E8434" i="14"/>
  <c r="AH8433" i="14"/>
  <c r="E8433" i="14"/>
  <c r="AH8432" i="14"/>
  <c r="E8432" i="14"/>
  <c r="AH8431" i="14"/>
  <c r="E8431" i="14"/>
  <c r="AH8430" i="14"/>
  <c r="E8430" i="14"/>
  <c r="AH8429" i="14"/>
  <c r="E8429" i="14"/>
  <c r="AH8428" i="14"/>
  <c r="E8428" i="14"/>
  <c r="AH8427" i="14"/>
  <c r="E8427" i="14"/>
  <c r="AH8426" i="14"/>
  <c r="E8426" i="14"/>
  <c r="AH8425" i="14"/>
  <c r="E8425" i="14"/>
  <c r="AH8424" i="14"/>
  <c r="E8424" i="14"/>
  <c r="AH8423" i="14"/>
  <c r="E8423" i="14"/>
  <c r="AH8422" i="14"/>
  <c r="E8422" i="14"/>
  <c r="AH8421" i="14"/>
  <c r="E8421" i="14"/>
  <c r="AH8420" i="14"/>
  <c r="E8420" i="14"/>
  <c r="AH8419" i="14"/>
  <c r="Q8419" i="14"/>
  <c r="E8419" i="14"/>
  <c r="AH8418" i="14"/>
  <c r="E8418" i="14"/>
  <c r="AH8417" i="14"/>
  <c r="E8417" i="14"/>
  <c r="AH8416" i="14"/>
  <c r="E8416" i="14"/>
  <c r="AH8415" i="14"/>
  <c r="E8415" i="14"/>
  <c r="AH8414" i="14"/>
  <c r="E8414" i="14"/>
  <c r="AH8413" i="14"/>
  <c r="E8413" i="14"/>
  <c r="AH8412" i="14"/>
  <c r="E8412" i="14"/>
  <c r="AH8411" i="14"/>
  <c r="E8411" i="14"/>
  <c r="AH8410" i="14"/>
  <c r="E8410" i="14"/>
  <c r="AH8409" i="14"/>
  <c r="Q8409" i="14"/>
  <c r="E8409" i="14"/>
  <c r="AH8408" i="14"/>
  <c r="E8408" i="14"/>
  <c r="AH8407" i="14"/>
  <c r="E8407" i="14"/>
  <c r="AH8406" i="14"/>
  <c r="E8406" i="14"/>
  <c r="AH8405" i="14"/>
  <c r="E8405" i="14"/>
  <c r="AH8404" i="14"/>
  <c r="E8404" i="14"/>
  <c r="AH8403" i="14"/>
  <c r="E8403" i="14"/>
  <c r="AH8402" i="14"/>
  <c r="E8402" i="14"/>
  <c r="AH8401" i="14"/>
  <c r="E8401" i="14"/>
  <c r="AH8400" i="14"/>
  <c r="E8400" i="14"/>
  <c r="AH8399" i="14"/>
  <c r="E8399" i="14"/>
  <c r="AH8398" i="14"/>
  <c r="E8398" i="14"/>
  <c r="AH8397" i="14"/>
  <c r="E8397" i="14"/>
  <c r="AH8396" i="14"/>
  <c r="E8396" i="14"/>
  <c r="AH8395" i="14"/>
  <c r="E8395" i="14"/>
  <c r="AH8394" i="14"/>
  <c r="E8394" i="14"/>
  <c r="AH8393" i="14"/>
  <c r="E8393" i="14"/>
  <c r="AH8392" i="14"/>
  <c r="E8392" i="14"/>
  <c r="AH8391" i="14"/>
  <c r="E8391" i="14"/>
  <c r="AH8390" i="14"/>
  <c r="E8390" i="14"/>
  <c r="AH8389" i="14"/>
  <c r="E8389" i="14"/>
  <c r="AH8388" i="14"/>
  <c r="E8388" i="14"/>
  <c r="AH8387" i="14"/>
  <c r="E8387" i="14"/>
  <c r="AH8386" i="14"/>
  <c r="E8386" i="14"/>
  <c r="AH8385" i="14"/>
  <c r="E8385" i="14"/>
  <c r="AH8384" i="14"/>
  <c r="E8384" i="14"/>
  <c r="AH8383" i="14"/>
  <c r="E8383" i="14"/>
  <c r="AH8382" i="14"/>
  <c r="E8382" i="14"/>
  <c r="AH8381" i="14"/>
  <c r="E8381" i="14"/>
  <c r="AH8380" i="14"/>
  <c r="E8380" i="14"/>
  <c r="AH8379" i="14"/>
  <c r="E8379" i="14"/>
  <c r="AH8378" i="14"/>
  <c r="E8378" i="14"/>
  <c r="AH8377" i="14"/>
  <c r="E8377" i="14"/>
  <c r="AH8376" i="14"/>
  <c r="E8376" i="14"/>
  <c r="AH8375" i="14"/>
  <c r="E8375" i="14"/>
  <c r="AH8374" i="14"/>
  <c r="E8374" i="14"/>
  <c r="AH8373" i="14"/>
  <c r="E8373" i="14"/>
  <c r="AH8372" i="14"/>
  <c r="E8372" i="14"/>
  <c r="AH8371" i="14"/>
  <c r="E8371" i="14"/>
  <c r="AH8370" i="14"/>
  <c r="E8370" i="14"/>
  <c r="AH8369" i="14"/>
  <c r="E8369" i="14"/>
  <c r="AH8368" i="14"/>
  <c r="E8368" i="14"/>
  <c r="AH8367" i="14"/>
  <c r="E8367" i="14"/>
  <c r="AH8366" i="14"/>
  <c r="Q8366" i="14"/>
  <c r="E8366" i="14"/>
  <c r="AH8365" i="14"/>
  <c r="E8365" i="14"/>
  <c r="AH8364" i="14"/>
  <c r="Q8364" i="14"/>
  <c r="E8364" i="14"/>
  <c r="AH8363" i="14"/>
  <c r="E8363" i="14"/>
  <c r="AH8362" i="14"/>
  <c r="E8362" i="14"/>
  <c r="AH8361" i="14"/>
  <c r="E8361" i="14"/>
  <c r="AH8360" i="14"/>
  <c r="E8360" i="14"/>
  <c r="AH8359" i="14"/>
  <c r="Q8359" i="14"/>
  <c r="E8359" i="14"/>
  <c r="AH8358" i="14"/>
  <c r="E8358" i="14"/>
  <c r="AH8357" i="14"/>
  <c r="E8357" i="14"/>
  <c r="AH8356" i="14"/>
  <c r="E8356" i="14"/>
  <c r="AH8355" i="14"/>
  <c r="E8355" i="14"/>
  <c r="AH8354" i="14"/>
  <c r="E8354" i="14"/>
  <c r="AH8353" i="14"/>
  <c r="E8353" i="14"/>
  <c r="AH8352" i="14"/>
  <c r="E8352" i="14"/>
  <c r="AH8351" i="14"/>
  <c r="E8351" i="14"/>
  <c r="AH8350" i="14"/>
  <c r="E8350" i="14"/>
  <c r="AH8349" i="14"/>
  <c r="E8349" i="14"/>
  <c r="AH8348" i="14"/>
  <c r="E8348" i="14"/>
  <c r="AH8347" i="14"/>
  <c r="E8347" i="14"/>
  <c r="AH8346" i="14"/>
  <c r="E8346" i="14"/>
  <c r="AH8345" i="14"/>
  <c r="E8345" i="14"/>
  <c r="AH8344" i="14"/>
  <c r="E8344" i="14"/>
  <c r="AH8343" i="14"/>
  <c r="E8343" i="14"/>
  <c r="AH8342" i="14"/>
  <c r="E8342" i="14"/>
  <c r="AH8341" i="14"/>
  <c r="E8341" i="14"/>
  <c r="AH8340" i="14"/>
  <c r="E8340" i="14"/>
  <c r="AH8339" i="14"/>
  <c r="E8339" i="14"/>
  <c r="AH8338" i="14"/>
  <c r="E8338" i="14"/>
  <c r="AH8337" i="14"/>
  <c r="E8337" i="14"/>
  <c r="AH8336" i="14"/>
  <c r="E8336" i="14"/>
  <c r="AH8335" i="14"/>
  <c r="E8335" i="14"/>
  <c r="AH8334" i="14"/>
  <c r="E8334" i="14"/>
  <c r="AH8333" i="14"/>
  <c r="E8333" i="14"/>
  <c r="AH8332" i="14"/>
  <c r="E8332" i="14"/>
  <c r="AH8331" i="14"/>
  <c r="E8331" i="14"/>
  <c r="AH8330" i="14"/>
  <c r="E8330" i="14"/>
  <c r="AH8329" i="14"/>
  <c r="E8329" i="14"/>
  <c r="AH8328" i="14"/>
  <c r="E8328" i="14"/>
  <c r="AH8327" i="14"/>
  <c r="E8327" i="14"/>
  <c r="AH8326" i="14"/>
  <c r="E8326" i="14"/>
  <c r="AH8325" i="14"/>
  <c r="E8325" i="14"/>
  <c r="AH8324" i="14"/>
  <c r="E8324" i="14"/>
  <c r="AH8323" i="14"/>
  <c r="E8323" i="14"/>
  <c r="AH8322" i="14"/>
  <c r="P8322" i="14"/>
  <c r="E8322" i="14"/>
  <c r="AH8321" i="14"/>
  <c r="E8321" i="14"/>
  <c r="AH8320" i="14"/>
  <c r="P8320" i="14"/>
  <c r="E8320" i="14"/>
  <c r="AH8319" i="14"/>
  <c r="E8319" i="14"/>
  <c r="AH8318" i="14"/>
  <c r="E8318" i="14"/>
  <c r="AH8317" i="14"/>
  <c r="E8317" i="14"/>
  <c r="AH8316" i="14"/>
  <c r="E8316" i="14"/>
  <c r="AH8315" i="14"/>
  <c r="E8315" i="14"/>
  <c r="AH8314" i="14"/>
  <c r="E8314" i="14"/>
  <c r="AH8313" i="14"/>
  <c r="Q8313" i="14"/>
  <c r="E8313" i="14"/>
  <c r="AH8312" i="14"/>
  <c r="E8312" i="14"/>
  <c r="AH8311" i="14"/>
  <c r="E8311" i="14"/>
  <c r="AH8310" i="14"/>
  <c r="E8310" i="14"/>
  <c r="AH8309" i="14"/>
  <c r="Q8309" i="14"/>
  <c r="E8309" i="14"/>
  <c r="AH8308" i="14"/>
  <c r="P8308" i="14"/>
  <c r="E8308" i="14"/>
  <c r="AH8307" i="14"/>
  <c r="E8307" i="14"/>
  <c r="AH8306" i="14"/>
  <c r="P8306" i="14"/>
  <c r="E8306" i="14"/>
  <c r="AH8305" i="14"/>
  <c r="P8305" i="14"/>
  <c r="E8305" i="14"/>
  <c r="AH8304" i="14"/>
  <c r="P8304" i="14"/>
  <c r="E8304" i="14"/>
  <c r="AH8303" i="14"/>
  <c r="P8303" i="14"/>
  <c r="O8303" i="14"/>
  <c r="E8303" i="14"/>
  <c r="AH8302" i="14"/>
  <c r="P8302" i="14"/>
  <c r="E8302" i="14"/>
  <c r="AH8301" i="14"/>
  <c r="P8301" i="14"/>
  <c r="O8301" i="14"/>
  <c r="E8301" i="14"/>
  <c r="AH8300" i="14"/>
  <c r="P8300" i="14"/>
  <c r="E8300" i="14"/>
  <c r="AH8299" i="14"/>
  <c r="P8299" i="14"/>
  <c r="E8299" i="14"/>
  <c r="AH8298" i="14"/>
  <c r="P8298" i="14"/>
  <c r="E8298" i="14"/>
  <c r="AH8297" i="14"/>
  <c r="P8297" i="14"/>
  <c r="E8297" i="14"/>
  <c r="AH8296" i="14"/>
  <c r="P8296" i="14"/>
  <c r="E8296" i="14"/>
  <c r="AH8295" i="14"/>
  <c r="P8295" i="14"/>
  <c r="E8295" i="14"/>
  <c r="AH8294" i="14"/>
  <c r="P8294" i="14"/>
  <c r="O8294" i="14"/>
  <c r="E8294" i="14"/>
  <c r="AH8293" i="14"/>
  <c r="P8293" i="14"/>
  <c r="E8293" i="14"/>
  <c r="AH8292" i="14"/>
  <c r="AF8292" i="14"/>
  <c r="AE8292" i="14"/>
  <c r="P8292" i="14"/>
  <c r="O8292" i="14"/>
  <c r="L8292" i="14"/>
  <c r="K8292" i="14"/>
  <c r="I8292" i="14"/>
  <c r="E8292" i="14"/>
  <c r="AH8291" i="14"/>
  <c r="P8291" i="14"/>
  <c r="E8291" i="14"/>
  <c r="AH8290" i="14"/>
  <c r="P8290" i="14"/>
  <c r="E8290" i="14"/>
  <c r="AH8289" i="14"/>
  <c r="P8289" i="14"/>
  <c r="O8289" i="14"/>
  <c r="E8289" i="14"/>
  <c r="AH8288" i="14"/>
  <c r="P8288" i="14"/>
  <c r="E8288" i="14"/>
  <c r="AH8287" i="14"/>
  <c r="AG8287" i="14"/>
  <c r="AF8287" i="14"/>
  <c r="AE8287" i="14"/>
  <c r="P8287" i="14"/>
  <c r="O8287" i="14"/>
  <c r="L8287" i="14"/>
  <c r="K8287" i="14"/>
  <c r="I8287" i="14"/>
  <c r="E8287" i="14"/>
  <c r="AH8286" i="14"/>
  <c r="P8286" i="14"/>
  <c r="E8286" i="14"/>
  <c r="AH8285" i="14"/>
  <c r="P8285" i="14"/>
  <c r="E8285" i="14"/>
  <c r="AH8284" i="14"/>
  <c r="P8284" i="14"/>
  <c r="E8284" i="14"/>
  <c r="AH8283" i="14"/>
  <c r="P8283" i="14"/>
  <c r="E8283" i="14"/>
  <c r="AH8282" i="14"/>
  <c r="P8282" i="14"/>
  <c r="E8282" i="14"/>
  <c r="AH8281" i="14"/>
  <c r="P8281" i="14"/>
  <c r="E8281" i="14"/>
  <c r="AH8280" i="14"/>
  <c r="P8280" i="14"/>
  <c r="E8280" i="14"/>
  <c r="AH8279" i="14"/>
  <c r="P8279" i="14"/>
  <c r="E8279" i="14"/>
  <c r="AH8278" i="14"/>
  <c r="P8278" i="14"/>
  <c r="E8278" i="14"/>
  <c r="AH8277" i="14"/>
  <c r="Q8277" i="14"/>
  <c r="E8277" i="14"/>
  <c r="AH8276" i="14"/>
  <c r="P8276" i="14"/>
  <c r="E8276" i="14"/>
  <c r="AH8275" i="14"/>
  <c r="P8275" i="14"/>
  <c r="E8275" i="14"/>
  <c r="AH8274" i="14"/>
  <c r="P8274" i="14"/>
  <c r="E8274" i="14"/>
  <c r="AH8273" i="14"/>
  <c r="P8273" i="14"/>
  <c r="E8273" i="14"/>
  <c r="AH8272" i="14"/>
  <c r="P8272" i="14"/>
  <c r="E8272" i="14"/>
  <c r="AH8271" i="14"/>
  <c r="P8271" i="14"/>
  <c r="E8271" i="14"/>
  <c r="AH8270" i="14"/>
  <c r="P8270" i="14"/>
  <c r="E8270" i="14"/>
  <c r="AH8269" i="14"/>
  <c r="P8269" i="14"/>
  <c r="E8269" i="14"/>
  <c r="AH8268" i="14"/>
  <c r="P8268" i="14"/>
  <c r="E8268" i="14"/>
  <c r="AH8267" i="14"/>
  <c r="P8267" i="14"/>
  <c r="E8267" i="14"/>
  <c r="AH8266" i="14"/>
  <c r="P8266" i="14"/>
  <c r="E8266" i="14"/>
  <c r="AH8265" i="14"/>
  <c r="P8265" i="14"/>
  <c r="E8265" i="14"/>
  <c r="AH8264" i="14"/>
  <c r="P8264" i="14"/>
  <c r="E8264" i="14"/>
  <c r="AH8263" i="14"/>
  <c r="P8263" i="14"/>
  <c r="E8263" i="14"/>
  <c r="AH8262" i="14"/>
  <c r="P8262" i="14"/>
  <c r="E8262" i="14"/>
  <c r="AH8261" i="14"/>
  <c r="P8261" i="14"/>
  <c r="E8261" i="14"/>
  <c r="AH8260" i="14"/>
  <c r="P8260" i="14"/>
  <c r="E8260" i="14"/>
  <c r="AH8259" i="14"/>
  <c r="P8259" i="14"/>
  <c r="E8259" i="14"/>
  <c r="AH8258" i="14"/>
  <c r="P8258" i="14"/>
  <c r="E8258" i="14"/>
  <c r="AH8257" i="14"/>
  <c r="P8257" i="14"/>
  <c r="E8257" i="14"/>
  <c r="AH8256" i="14"/>
  <c r="P8256" i="14"/>
  <c r="E8256" i="14"/>
  <c r="AH8255" i="14"/>
  <c r="E8255" i="14"/>
  <c r="AH8254" i="14"/>
  <c r="E8254" i="14"/>
  <c r="AH8253" i="14"/>
  <c r="E8253" i="14"/>
  <c r="AH8252" i="14"/>
  <c r="E8252" i="14"/>
  <c r="AH8251" i="14"/>
  <c r="Q8251" i="14"/>
  <c r="E8251" i="14"/>
  <c r="AH8250" i="14"/>
  <c r="E8250" i="14"/>
  <c r="AH8249" i="14"/>
  <c r="E8249" i="14"/>
  <c r="AH8248" i="14"/>
  <c r="E8248" i="14"/>
  <c r="AH8247" i="14"/>
  <c r="P8247" i="14"/>
  <c r="E8247" i="14"/>
  <c r="AH8246" i="14"/>
  <c r="Q8246" i="14"/>
  <c r="E8246" i="14"/>
  <c r="AH8245" i="14"/>
  <c r="P8245" i="14"/>
  <c r="E8245" i="14"/>
  <c r="AH8244" i="14"/>
  <c r="P8244" i="14"/>
  <c r="E8244" i="14"/>
  <c r="AH8243" i="14"/>
  <c r="E8243" i="14"/>
  <c r="AH8242" i="14"/>
  <c r="E8242" i="14"/>
  <c r="AH8241" i="14"/>
  <c r="E8241" i="14"/>
  <c r="AH8240" i="14"/>
  <c r="E8240" i="14"/>
  <c r="AH8239" i="14"/>
  <c r="E8239" i="14"/>
  <c r="AH8238" i="14"/>
  <c r="E8238" i="14"/>
  <c r="AH8237" i="14"/>
  <c r="E8237" i="14"/>
  <c r="AH8236" i="14"/>
  <c r="E8236" i="14"/>
  <c r="AH8235" i="14"/>
  <c r="E8235" i="14"/>
  <c r="AH8234" i="14"/>
  <c r="E8234" i="14"/>
  <c r="AH8233" i="14"/>
  <c r="E8233" i="14"/>
  <c r="AH8232" i="14"/>
  <c r="E8232" i="14"/>
  <c r="AH8231" i="14"/>
  <c r="E8231" i="14"/>
  <c r="AH8230" i="14"/>
  <c r="E8230" i="14"/>
  <c r="AH8229" i="14"/>
  <c r="E8229" i="14"/>
  <c r="AH8228" i="14"/>
  <c r="Q8228" i="14"/>
  <c r="E8228" i="14"/>
  <c r="AH8227" i="14"/>
  <c r="E8227" i="14"/>
  <c r="AH8226" i="14"/>
  <c r="E8226" i="14"/>
  <c r="AH8225" i="14"/>
  <c r="E8225" i="14"/>
  <c r="AH8224" i="14"/>
  <c r="E8224" i="14"/>
  <c r="AH8223" i="14"/>
  <c r="E8223" i="14"/>
  <c r="AH8222" i="14"/>
  <c r="P8222" i="14"/>
  <c r="E8222" i="14"/>
  <c r="AH8221" i="14"/>
  <c r="P8221" i="14"/>
  <c r="E8221" i="14"/>
  <c r="AH8220" i="14"/>
  <c r="P8220" i="14"/>
  <c r="E8220" i="14"/>
  <c r="AH8219" i="14"/>
  <c r="Q8219" i="14"/>
  <c r="E8219" i="14"/>
  <c r="AH8218" i="14"/>
  <c r="Q8218" i="14"/>
  <c r="E8218" i="14"/>
  <c r="AH8217" i="14"/>
  <c r="P8217" i="14"/>
  <c r="E8217" i="14"/>
  <c r="AH8216" i="14"/>
  <c r="Q8216" i="14"/>
  <c r="E8216" i="14"/>
  <c r="AH8215" i="14"/>
  <c r="E8215" i="14"/>
  <c r="AH8214" i="14"/>
  <c r="E8214" i="14"/>
  <c r="AH8213" i="14"/>
  <c r="E8213" i="14"/>
  <c r="AH8212" i="14"/>
  <c r="E8212" i="14"/>
  <c r="AH8211" i="14"/>
  <c r="E8211" i="14"/>
  <c r="AH8210" i="14"/>
  <c r="E8210" i="14"/>
  <c r="AH8209" i="14"/>
  <c r="E8209" i="14"/>
  <c r="AH8208" i="14"/>
  <c r="E8208" i="14"/>
  <c r="AH8207" i="14"/>
  <c r="E8207" i="14"/>
  <c r="AH8206" i="14"/>
  <c r="E8206" i="14"/>
  <c r="AH8205" i="14"/>
  <c r="E8205" i="14"/>
  <c r="AH8204" i="14"/>
  <c r="E8204" i="14"/>
  <c r="AH8203" i="14"/>
  <c r="E8203" i="14"/>
  <c r="AH8202" i="14"/>
  <c r="E8202" i="14"/>
  <c r="AH8201" i="14"/>
  <c r="E8201" i="14"/>
  <c r="AH8200" i="14"/>
  <c r="E8200" i="14"/>
  <c r="AH8199" i="14"/>
  <c r="E8199" i="14"/>
  <c r="AH8198" i="14"/>
  <c r="E8198" i="14"/>
  <c r="AH8197" i="14"/>
  <c r="E8197" i="14"/>
  <c r="AH8196" i="14"/>
  <c r="E8196" i="14"/>
  <c r="AH8195" i="14"/>
  <c r="E8195" i="14"/>
  <c r="AH8194" i="14"/>
  <c r="E8194" i="14"/>
  <c r="AH8193" i="14"/>
  <c r="E8193" i="14"/>
  <c r="AH8192" i="14"/>
  <c r="Q8192" i="14"/>
  <c r="E8192" i="14"/>
  <c r="AH8191" i="14"/>
  <c r="E8191" i="14"/>
  <c r="AH8190" i="14"/>
  <c r="Q8190" i="14"/>
  <c r="E8190" i="14"/>
  <c r="AH8189" i="14"/>
  <c r="E8189" i="14"/>
  <c r="AH8188" i="14"/>
  <c r="P8188" i="14"/>
  <c r="E8188" i="14"/>
  <c r="AH8187" i="14"/>
  <c r="P8187" i="14"/>
  <c r="O8187" i="14"/>
  <c r="E8187" i="14"/>
  <c r="AH8186" i="14"/>
  <c r="P8186" i="14"/>
  <c r="E8186" i="14"/>
  <c r="AH8185" i="14"/>
  <c r="E8185" i="14"/>
  <c r="AH8184" i="14"/>
  <c r="E8184" i="14"/>
  <c r="AH8183" i="14"/>
  <c r="E8183" i="14"/>
  <c r="AH8182" i="14"/>
  <c r="E8182" i="14"/>
  <c r="AH8181" i="14"/>
  <c r="Q8181" i="14"/>
  <c r="E8181" i="14"/>
  <c r="AH8180" i="14"/>
  <c r="E8180" i="14"/>
  <c r="AH8179" i="14"/>
  <c r="E8179" i="14"/>
  <c r="AH8178" i="14"/>
  <c r="E8178" i="14"/>
  <c r="AH8177" i="14"/>
  <c r="E8177" i="14"/>
  <c r="AH8176" i="14"/>
  <c r="P8176" i="14"/>
  <c r="E8176" i="14"/>
  <c r="AH8175" i="14"/>
  <c r="E8175" i="14"/>
  <c r="AH8174" i="14"/>
  <c r="Q8174" i="14"/>
  <c r="E8174" i="14"/>
  <c r="AH8173" i="14"/>
  <c r="E8173" i="14"/>
  <c r="AH8172" i="14"/>
  <c r="E8172" i="14"/>
  <c r="AH8171" i="14"/>
  <c r="E8171" i="14"/>
  <c r="AH8170" i="14"/>
  <c r="E8170" i="14"/>
  <c r="AH8169" i="14"/>
  <c r="E8169" i="14"/>
  <c r="AH8168" i="14"/>
  <c r="E8168" i="14"/>
  <c r="AH8167" i="14"/>
  <c r="E8167" i="14"/>
  <c r="AH8166" i="14"/>
  <c r="E8166" i="14"/>
  <c r="AH8165" i="14"/>
  <c r="E8165" i="14"/>
  <c r="AH8164" i="14"/>
  <c r="E8164" i="14"/>
  <c r="AH8163" i="14"/>
  <c r="E8163" i="14"/>
  <c r="AH8162" i="14"/>
  <c r="P8162" i="14"/>
  <c r="E8162" i="14"/>
  <c r="AH8161" i="14"/>
  <c r="P8161" i="14"/>
  <c r="E8161" i="14"/>
  <c r="AH8160" i="14"/>
  <c r="Q8160" i="14"/>
  <c r="E8160" i="14"/>
  <c r="AH8159" i="14"/>
  <c r="E8159" i="14"/>
  <c r="AH8158" i="14"/>
  <c r="P8158" i="14"/>
  <c r="E8158" i="14"/>
  <c r="AH8157" i="14"/>
  <c r="Q8157" i="14"/>
  <c r="E8157" i="14"/>
  <c r="AH8156" i="14"/>
  <c r="E8156" i="14"/>
  <c r="AH8155" i="14"/>
  <c r="Q8155" i="14"/>
  <c r="E8155" i="14"/>
  <c r="AH8154" i="14"/>
  <c r="E8154" i="14"/>
  <c r="AH8153" i="14"/>
  <c r="E8153" i="14"/>
  <c r="AH8152" i="14"/>
  <c r="E8152" i="14"/>
  <c r="AH8151" i="14"/>
  <c r="E8151" i="14"/>
  <c r="AH8150" i="14"/>
  <c r="E8150" i="14"/>
  <c r="AH8149" i="14"/>
  <c r="E8149" i="14"/>
  <c r="AH8148" i="14"/>
  <c r="E8148" i="14"/>
  <c r="AH8147" i="14"/>
  <c r="E8147" i="14"/>
  <c r="AH8146" i="14"/>
  <c r="E8146" i="14"/>
  <c r="AH8145" i="14"/>
  <c r="E8145" i="14"/>
  <c r="AH8144" i="14"/>
  <c r="E8144" i="14"/>
  <c r="AH8143" i="14"/>
  <c r="E8143" i="14"/>
  <c r="AH8142" i="14"/>
  <c r="E8142" i="14"/>
  <c r="AH8141" i="14"/>
  <c r="E8141" i="14"/>
  <c r="AH8140" i="14"/>
  <c r="E8140" i="14"/>
  <c r="AH8139" i="14"/>
  <c r="Q8139" i="14"/>
  <c r="E8139" i="14"/>
  <c r="AH8138" i="14"/>
  <c r="E8138" i="14"/>
  <c r="AH8137" i="14"/>
  <c r="E8137" i="14"/>
  <c r="AH8136" i="14"/>
  <c r="E8136" i="14"/>
  <c r="AH8135" i="14"/>
  <c r="E8135" i="14"/>
  <c r="AH8134" i="14"/>
  <c r="E8134" i="14"/>
  <c r="AH8133" i="14"/>
  <c r="E8133" i="14"/>
  <c r="AH8132" i="14"/>
  <c r="E8132" i="14"/>
  <c r="AH8131" i="14"/>
  <c r="E8131" i="14"/>
  <c r="AH8130" i="14"/>
  <c r="E8130" i="14"/>
  <c r="AH8129" i="14"/>
  <c r="E8129" i="14"/>
  <c r="AH8128" i="14"/>
  <c r="P8128" i="14"/>
  <c r="E8128" i="14"/>
  <c r="AH8127" i="14"/>
  <c r="P8127" i="14"/>
  <c r="E8127" i="14"/>
  <c r="AH8126" i="14"/>
  <c r="P8126" i="14"/>
  <c r="E8126" i="14"/>
  <c r="AH8125" i="14"/>
  <c r="P8125" i="14"/>
  <c r="E8125" i="14"/>
  <c r="AH8124" i="14"/>
  <c r="P8124" i="14"/>
  <c r="E8124" i="14"/>
  <c r="AH8123" i="14"/>
  <c r="Q8123" i="14"/>
  <c r="E8123" i="14"/>
  <c r="AH8122" i="14"/>
  <c r="P8122" i="14"/>
  <c r="O8122" i="14"/>
  <c r="E8122" i="14"/>
  <c r="AH8121" i="14"/>
  <c r="E8121" i="14"/>
  <c r="AH8120" i="14"/>
  <c r="E8120" i="14"/>
  <c r="AH8119" i="14"/>
  <c r="P8119" i="14"/>
  <c r="E8119" i="14"/>
  <c r="AH8118" i="14"/>
  <c r="E8118" i="14"/>
  <c r="AH8117" i="14"/>
  <c r="E8117" i="14"/>
  <c r="AH8116" i="14"/>
  <c r="E8116" i="14"/>
  <c r="AH8115" i="14"/>
  <c r="E8115" i="14"/>
  <c r="AH8114" i="14"/>
  <c r="E8114" i="14"/>
  <c r="AH8113" i="14"/>
  <c r="E8113" i="14"/>
  <c r="AH8112" i="14"/>
  <c r="E8112" i="14"/>
  <c r="AH8111" i="14"/>
  <c r="E8111" i="14"/>
  <c r="AH8110" i="14"/>
  <c r="E8110" i="14"/>
  <c r="AH8109" i="14"/>
  <c r="E8109" i="14"/>
  <c r="AH8108" i="14"/>
  <c r="E8108" i="14"/>
  <c r="AH8107" i="14"/>
  <c r="E8107" i="14"/>
  <c r="AH8106" i="14"/>
  <c r="E8106" i="14"/>
  <c r="AH8105" i="14"/>
  <c r="E8105" i="14"/>
  <c r="AH8104" i="14"/>
  <c r="E8104" i="14"/>
  <c r="AH8103" i="14"/>
  <c r="P8103" i="14"/>
  <c r="E8103" i="14"/>
  <c r="AH8102" i="14"/>
  <c r="E8102" i="14"/>
  <c r="AH8101" i="14"/>
  <c r="E8101" i="14"/>
  <c r="AH8100" i="14"/>
  <c r="E8100" i="14"/>
  <c r="AH8099" i="14"/>
  <c r="P8099" i="14"/>
  <c r="E8099" i="14"/>
  <c r="AH8098" i="14"/>
  <c r="P8098" i="14"/>
  <c r="E8098" i="14"/>
  <c r="AH8097" i="14"/>
  <c r="E8097" i="14"/>
  <c r="AH8096" i="14"/>
  <c r="E8096" i="14"/>
  <c r="AH8095" i="14"/>
  <c r="E8095" i="14"/>
  <c r="AH8094" i="14"/>
  <c r="E8094" i="14"/>
  <c r="AH8093" i="14"/>
  <c r="E8093" i="14"/>
  <c r="AH8092" i="14"/>
  <c r="E8092" i="14"/>
  <c r="AH8091" i="14"/>
  <c r="E8091" i="14"/>
  <c r="AH8090" i="14"/>
  <c r="E8090" i="14"/>
  <c r="AH8089" i="14"/>
  <c r="E8089" i="14"/>
  <c r="AH8088" i="14"/>
  <c r="E8088" i="14"/>
  <c r="AH8087" i="14"/>
  <c r="E8087" i="14"/>
  <c r="AH8086" i="14"/>
  <c r="E8086" i="14"/>
  <c r="AH8085" i="14"/>
  <c r="E8085" i="14"/>
  <c r="AH8084" i="14"/>
  <c r="E8084" i="14"/>
  <c r="AH8083" i="14"/>
  <c r="E8083" i="14"/>
  <c r="AH8082" i="14"/>
  <c r="E8082" i="14"/>
  <c r="AH8081" i="14"/>
  <c r="E8081" i="14"/>
  <c r="AH8080" i="14"/>
  <c r="E8080" i="14"/>
  <c r="AH8079" i="14"/>
  <c r="E8079" i="14"/>
  <c r="AH8078" i="14"/>
  <c r="E8078" i="14"/>
  <c r="AH8077" i="14"/>
  <c r="E8077" i="14"/>
  <c r="AH8076" i="14"/>
  <c r="E8076" i="14"/>
  <c r="AH8075" i="14"/>
  <c r="E8075" i="14"/>
  <c r="AH8074" i="14"/>
  <c r="E8074" i="14"/>
  <c r="AH8073" i="14"/>
  <c r="E8073" i="14"/>
  <c r="AH8072" i="14"/>
  <c r="E8072" i="14"/>
  <c r="AH8071" i="14"/>
  <c r="E8071" i="14"/>
  <c r="AH8070" i="14"/>
  <c r="E8070" i="14"/>
  <c r="AH8069" i="14"/>
  <c r="E8069" i="14"/>
  <c r="AH8068" i="14"/>
  <c r="E8068" i="14"/>
  <c r="AH8067" i="14"/>
  <c r="E8067" i="14"/>
  <c r="AH8066" i="14"/>
  <c r="E8066" i="14"/>
  <c r="AH8065" i="14"/>
  <c r="E8065" i="14"/>
  <c r="AH8064" i="14"/>
  <c r="E8064" i="14"/>
  <c r="AH8063" i="14"/>
  <c r="E8063" i="14"/>
  <c r="AH8062" i="14"/>
  <c r="E8062" i="14"/>
  <c r="AH8061" i="14"/>
  <c r="E8061" i="14"/>
  <c r="AH8060" i="14"/>
  <c r="E8060" i="14"/>
  <c r="AH8059" i="14"/>
  <c r="E8059" i="14"/>
  <c r="AH8058" i="14"/>
  <c r="E8058" i="14"/>
  <c r="AH8057" i="14"/>
  <c r="E8057" i="14"/>
  <c r="AH8056" i="14"/>
  <c r="E8056" i="14"/>
  <c r="AH8055" i="14"/>
  <c r="E8055" i="14"/>
  <c r="AH8054" i="14"/>
  <c r="E8054" i="14"/>
  <c r="AH8053" i="14"/>
  <c r="E8053" i="14"/>
  <c r="AH8052" i="14"/>
  <c r="E8052" i="14"/>
  <c r="AH8051" i="14"/>
  <c r="E8051" i="14"/>
  <c r="AH8050" i="14"/>
  <c r="Q8050" i="14"/>
  <c r="E8050" i="14"/>
  <c r="AH8049" i="14"/>
  <c r="E8049" i="14"/>
  <c r="AH8048" i="14"/>
  <c r="E8048" i="14"/>
  <c r="AH8047" i="14"/>
  <c r="E8047" i="14"/>
  <c r="AH8046" i="14"/>
  <c r="E8046" i="14"/>
  <c r="AH8045" i="14"/>
  <c r="E8045" i="14"/>
  <c r="AH8044" i="14"/>
  <c r="E8044" i="14"/>
  <c r="AH8043" i="14"/>
  <c r="E8043" i="14"/>
  <c r="AH8042" i="14"/>
  <c r="E8042" i="14"/>
  <c r="AH8041" i="14"/>
  <c r="E8041" i="14"/>
  <c r="AH8040" i="14"/>
  <c r="E8040" i="14"/>
  <c r="AH8039" i="14"/>
  <c r="E8039" i="14"/>
  <c r="AH8038" i="14"/>
  <c r="E8038" i="14"/>
  <c r="AH8037" i="14"/>
  <c r="E8037" i="14"/>
  <c r="AH8036" i="14"/>
  <c r="E8036" i="14"/>
  <c r="AH8035" i="14"/>
  <c r="E8035" i="14"/>
  <c r="AH8034" i="14"/>
  <c r="E8034" i="14"/>
  <c r="AH8033" i="14"/>
  <c r="E8033" i="14"/>
  <c r="AH8032" i="14"/>
  <c r="E8032" i="14"/>
  <c r="AH8031" i="14"/>
  <c r="E8031" i="14"/>
  <c r="AH8030" i="14"/>
  <c r="E8030" i="14"/>
  <c r="AH8029" i="14"/>
  <c r="E8029" i="14"/>
  <c r="AH8028" i="14"/>
  <c r="E8028" i="14"/>
  <c r="AH8027" i="14"/>
  <c r="E8027" i="14"/>
  <c r="AH8026" i="14"/>
  <c r="E8026" i="14"/>
  <c r="AH8025" i="14"/>
  <c r="E8025" i="14"/>
  <c r="AH8024" i="14"/>
  <c r="E8024" i="14"/>
  <c r="AH8023" i="14"/>
  <c r="E8023" i="14"/>
  <c r="AH8022" i="14"/>
  <c r="E8022" i="14"/>
  <c r="AH8021" i="14"/>
  <c r="E8021" i="14"/>
  <c r="AH8020" i="14"/>
  <c r="E8020" i="14"/>
  <c r="AH8019" i="14"/>
  <c r="E8019" i="14"/>
  <c r="AH8018" i="14"/>
  <c r="E8018" i="14"/>
  <c r="AH8017" i="14"/>
  <c r="E8017" i="14"/>
  <c r="AH8016" i="14"/>
  <c r="E8016" i="14"/>
  <c r="AH8015" i="14"/>
  <c r="E8015" i="14"/>
  <c r="AH8014" i="14"/>
  <c r="E8014" i="14"/>
  <c r="AH8013" i="14"/>
  <c r="E8013" i="14"/>
  <c r="AH8012" i="14"/>
  <c r="E8012" i="14"/>
  <c r="AH8011" i="14"/>
  <c r="E8011" i="14"/>
  <c r="AH8010" i="14"/>
  <c r="E8010" i="14"/>
  <c r="AH8009" i="14"/>
  <c r="E8009" i="14"/>
  <c r="AH8008" i="14"/>
  <c r="E8008" i="14"/>
  <c r="AH8007" i="14"/>
  <c r="E8007" i="14"/>
  <c r="AH8006" i="14"/>
  <c r="E8006" i="14"/>
  <c r="AH8005" i="14"/>
  <c r="E8005" i="14"/>
  <c r="AH8004" i="14"/>
  <c r="Q8004" i="14"/>
  <c r="E8004" i="14"/>
  <c r="AH8003" i="14"/>
  <c r="E8003" i="14"/>
  <c r="AH8002" i="14"/>
  <c r="E8002" i="14"/>
  <c r="AH8001" i="14"/>
  <c r="Q8001" i="14"/>
  <c r="E8001" i="14"/>
  <c r="AH8000" i="14"/>
  <c r="E8000" i="14"/>
  <c r="AH7999" i="14"/>
  <c r="P7999" i="14"/>
  <c r="E7999" i="14"/>
  <c r="AH7998" i="14"/>
  <c r="P7998" i="14"/>
  <c r="E7998" i="14"/>
  <c r="AH7997" i="14"/>
  <c r="AF7997" i="14"/>
  <c r="AE7997" i="14"/>
  <c r="P7997" i="14"/>
  <c r="O7997" i="14"/>
  <c r="L7997" i="14"/>
  <c r="K7997" i="14"/>
  <c r="I7997" i="14"/>
  <c r="E7997" i="14"/>
  <c r="AH7996" i="14"/>
  <c r="P7996" i="14"/>
  <c r="E7996" i="14"/>
  <c r="AH7995" i="14"/>
  <c r="E7995" i="14"/>
  <c r="AH7994" i="14"/>
  <c r="E7994" i="14"/>
  <c r="AH7993" i="14"/>
  <c r="E7993" i="14"/>
  <c r="AH7992" i="14"/>
  <c r="E7992" i="14"/>
  <c r="AH7991" i="14"/>
  <c r="E7991" i="14"/>
  <c r="AH7990" i="14"/>
  <c r="E7990" i="14"/>
  <c r="AH7989" i="14"/>
  <c r="E7989" i="14"/>
  <c r="AH7988" i="14"/>
  <c r="E7988" i="14"/>
  <c r="AH7987" i="14"/>
  <c r="E7987" i="14"/>
  <c r="AH7986" i="14"/>
  <c r="E7986" i="14"/>
  <c r="AH7985" i="14"/>
  <c r="E7985" i="14"/>
  <c r="AH7984" i="14"/>
  <c r="E7984" i="14"/>
  <c r="AH7983" i="14"/>
  <c r="E7983" i="14"/>
  <c r="AH7982" i="14"/>
  <c r="E7982" i="14"/>
  <c r="AH7981" i="14"/>
  <c r="E7981" i="14"/>
  <c r="AH7980" i="14"/>
  <c r="E7980" i="14"/>
  <c r="AH7979" i="14"/>
  <c r="E7979" i="14"/>
  <c r="AH7978" i="14"/>
  <c r="E7978" i="14"/>
  <c r="AH7977" i="14"/>
  <c r="O7977" i="14"/>
  <c r="E7977" i="14"/>
  <c r="AH7976" i="14"/>
  <c r="E7976" i="14"/>
  <c r="AH7975" i="14"/>
  <c r="E7975" i="14"/>
  <c r="AH7974" i="14"/>
  <c r="O7974" i="14"/>
  <c r="E7974" i="14"/>
  <c r="AH7973" i="14"/>
  <c r="E7973" i="14"/>
  <c r="AH7972" i="14"/>
  <c r="E7972" i="14"/>
  <c r="AH7971" i="14"/>
  <c r="E7971" i="14"/>
  <c r="AH7970" i="14"/>
  <c r="E7970" i="14"/>
  <c r="AH7969" i="14"/>
  <c r="E7969" i="14"/>
  <c r="AH7968" i="14"/>
  <c r="E7968" i="14"/>
  <c r="AH7967" i="14"/>
  <c r="E7967" i="14"/>
  <c r="AH7966" i="14"/>
  <c r="E7966" i="14"/>
  <c r="AH7965" i="14"/>
  <c r="E7965" i="14"/>
  <c r="AH7964" i="14"/>
  <c r="E7964" i="14"/>
  <c r="AH7963" i="14"/>
  <c r="E7963" i="14"/>
  <c r="AH7962" i="14"/>
  <c r="E7962" i="14"/>
  <c r="AH7961" i="14"/>
  <c r="E7961" i="14"/>
  <c r="AH7960" i="14"/>
  <c r="Q7960" i="14"/>
  <c r="E7960" i="14"/>
  <c r="AH7959" i="14"/>
  <c r="E7959" i="14"/>
  <c r="AH7958" i="14"/>
  <c r="E7958" i="14"/>
  <c r="AH7957" i="14"/>
  <c r="E7957" i="14"/>
  <c r="AH7956" i="14"/>
  <c r="Q7956" i="14"/>
  <c r="E7956" i="14"/>
  <c r="AH7955" i="14"/>
  <c r="Q7955" i="14"/>
  <c r="E7955" i="14"/>
  <c r="AH7954" i="14"/>
  <c r="E7954" i="14"/>
  <c r="AH7953" i="14"/>
  <c r="Q7953" i="14"/>
  <c r="E7953" i="14"/>
  <c r="AH7952" i="14"/>
  <c r="Q7952" i="14"/>
  <c r="E7952" i="14"/>
  <c r="AH7951" i="14"/>
  <c r="Q7951" i="14"/>
  <c r="E7951" i="14"/>
  <c r="AH7950" i="14"/>
  <c r="E7950" i="14"/>
  <c r="AH7949" i="14"/>
  <c r="E7949" i="14"/>
  <c r="AH7948" i="14"/>
  <c r="E7948" i="14"/>
  <c r="AH7947" i="14"/>
  <c r="E7947" i="14"/>
  <c r="AH7946" i="14"/>
  <c r="E7946" i="14"/>
  <c r="AH7945" i="14"/>
  <c r="Q7945" i="14"/>
  <c r="E7945" i="14"/>
  <c r="AH7944" i="14"/>
  <c r="E7944" i="14"/>
  <c r="AH7943" i="14"/>
  <c r="E7943" i="14"/>
  <c r="AH7942" i="14"/>
  <c r="Q7942" i="14"/>
  <c r="E7942" i="14"/>
  <c r="AH7941" i="14"/>
  <c r="E7941" i="14"/>
  <c r="AH7940" i="14"/>
  <c r="E7940" i="14"/>
  <c r="AH7939" i="14"/>
  <c r="E7939" i="14"/>
  <c r="AH7938" i="14"/>
  <c r="E7938" i="14"/>
  <c r="AH7937" i="14"/>
  <c r="E7937" i="14"/>
  <c r="AH7936" i="14"/>
  <c r="P7936" i="14"/>
  <c r="E7936" i="14"/>
  <c r="AH7935" i="14"/>
  <c r="P7935" i="14"/>
  <c r="K7935" i="14"/>
  <c r="I7935" i="14"/>
  <c r="E7935" i="14"/>
  <c r="AH7934" i="14"/>
  <c r="E7934" i="14"/>
  <c r="AH7933" i="14"/>
  <c r="E7933" i="14"/>
  <c r="AH7932" i="14"/>
  <c r="E7932" i="14"/>
  <c r="AH7931" i="14"/>
  <c r="E7931" i="14"/>
  <c r="AH7930" i="14"/>
  <c r="E7930" i="14"/>
  <c r="AH7929" i="14"/>
  <c r="E7929" i="14"/>
  <c r="AH7928" i="14"/>
  <c r="E7928" i="14"/>
  <c r="AH7927" i="14"/>
  <c r="E7927" i="14"/>
  <c r="AH7926" i="14"/>
  <c r="E7926" i="14"/>
  <c r="AH7925" i="14"/>
  <c r="E7925" i="14"/>
  <c r="AH7924" i="14"/>
  <c r="E7924" i="14"/>
  <c r="AH7923" i="14"/>
  <c r="E7923" i="14"/>
  <c r="AH7922" i="14"/>
  <c r="E7922" i="14"/>
  <c r="AH7921" i="14"/>
  <c r="E7921" i="14"/>
  <c r="AH7920" i="14"/>
  <c r="E7920" i="14"/>
  <c r="AH7919" i="14"/>
  <c r="E7919" i="14"/>
  <c r="AH7918" i="14"/>
  <c r="E7918" i="14"/>
  <c r="AH7917" i="14"/>
  <c r="E7917" i="14"/>
  <c r="AH7916" i="14"/>
  <c r="E7916" i="14"/>
  <c r="AH7915" i="14"/>
  <c r="E7915" i="14"/>
  <c r="AH7914" i="14"/>
  <c r="E7914" i="14"/>
  <c r="AH7913" i="14"/>
  <c r="E7913" i="14"/>
  <c r="AH7912" i="14"/>
  <c r="E7912" i="14"/>
  <c r="AH7911" i="14"/>
  <c r="E7911" i="14"/>
  <c r="AH7910" i="14"/>
  <c r="E7910" i="14"/>
  <c r="AH7909" i="14"/>
  <c r="E7909" i="14"/>
  <c r="AH7908" i="14"/>
  <c r="E7908" i="14"/>
  <c r="AH7907" i="14"/>
  <c r="E7907" i="14"/>
  <c r="AH7906" i="14"/>
  <c r="E7906" i="14"/>
  <c r="AH7905" i="14"/>
  <c r="E7905" i="14"/>
  <c r="AH7904" i="14"/>
  <c r="E7904" i="14"/>
  <c r="AH7903" i="14"/>
  <c r="E7903" i="14"/>
  <c r="AH7902" i="14"/>
  <c r="E7902" i="14"/>
  <c r="AH7901" i="14"/>
  <c r="E7901" i="14"/>
  <c r="AH7900" i="14"/>
  <c r="E7900" i="14"/>
  <c r="AH7899" i="14"/>
  <c r="E7899" i="14"/>
  <c r="AH7898" i="14"/>
  <c r="E7898" i="14"/>
  <c r="AH7897" i="14"/>
  <c r="E7897" i="14"/>
  <c r="AH7896" i="14"/>
  <c r="E7896" i="14"/>
  <c r="AH7895" i="14"/>
  <c r="E7895" i="14"/>
  <c r="AH7894" i="14"/>
  <c r="E7894" i="14"/>
  <c r="AH7893" i="14"/>
  <c r="E7893" i="14"/>
  <c r="AH7892" i="14"/>
  <c r="E7892" i="14"/>
  <c r="AH7891" i="14"/>
  <c r="E7891" i="14"/>
  <c r="AH7890" i="14"/>
  <c r="E7890" i="14"/>
  <c r="AH7889" i="14"/>
  <c r="E7889" i="14"/>
  <c r="AH7888" i="14"/>
  <c r="E7888" i="14"/>
  <c r="AH7887" i="14"/>
  <c r="P7887" i="14"/>
  <c r="E7887" i="14"/>
  <c r="AH7886" i="14"/>
  <c r="E7886" i="14"/>
  <c r="AH7885" i="14"/>
  <c r="E7885" i="14"/>
  <c r="AH7884" i="14"/>
  <c r="E7884" i="14"/>
  <c r="AH7883" i="14"/>
  <c r="E7883" i="14"/>
  <c r="AH7882" i="14"/>
  <c r="E7882" i="14"/>
  <c r="AH7881" i="14"/>
  <c r="E7881" i="14"/>
  <c r="AH7880" i="14"/>
  <c r="E7880" i="14"/>
  <c r="AH7879" i="14"/>
  <c r="E7879" i="14"/>
  <c r="AH7878" i="14"/>
  <c r="E7878" i="14"/>
  <c r="AH7877" i="14"/>
  <c r="E7877" i="14"/>
  <c r="AH7876" i="14"/>
  <c r="E7876" i="14"/>
  <c r="AH7875" i="14"/>
  <c r="E7875" i="14"/>
  <c r="AH7874" i="14"/>
  <c r="E7874" i="14"/>
  <c r="AH7873" i="14"/>
  <c r="E7873" i="14"/>
  <c r="AH7872" i="14"/>
  <c r="E7872" i="14"/>
  <c r="AH7871" i="14"/>
  <c r="E7871" i="14"/>
  <c r="AH7870" i="14"/>
  <c r="E7870" i="14"/>
  <c r="AH7869" i="14"/>
  <c r="E7869" i="14"/>
  <c r="AH7868" i="14"/>
  <c r="E7868" i="14"/>
  <c r="AH7867" i="14"/>
  <c r="E7867" i="14"/>
  <c r="AH7866" i="14"/>
  <c r="E7866" i="14"/>
  <c r="AH7865" i="14"/>
  <c r="E7865" i="14"/>
  <c r="AH7864" i="14"/>
  <c r="E7864" i="14"/>
  <c r="AH7862" i="14"/>
  <c r="E7862" i="14"/>
  <c r="AH7861" i="14"/>
  <c r="V7861" i="14"/>
  <c r="E7861" i="14"/>
  <c r="AH7860" i="14"/>
  <c r="V7860" i="14"/>
  <c r="E7860" i="14"/>
  <c r="AH7859" i="14"/>
  <c r="E7859" i="14"/>
  <c r="AH7858" i="14"/>
  <c r="W7858" i="14"/>
  <c r="V7858" i="14"/>
  <c r="E7858" i="14"/>
  <c r="AH7857" i="14"/>
  <c r="V7857" i="14"/>
  <c r="E7857" i="14"/>
  <c r="AH7856" i="14"/>
  <c r="W7856" i="14"/>
  <c r="V7856" i="14"/>
  <c r="E7856" i="14"/>
  <c r="AH7855" i="14"/>
  <c r="V7855" i="14"/>
  <c r="E7855" i="14"/>
  <c r="AH7854" i="14"/>
  <c r="W7854" i="14"/>
  <c r="V7854" i="14"/>
  <c r="E7854" i="14"/>
  <c r="AH7853" i="14"/>
  <c r="E7853" i="14"/>
  <c r="AH7852" i="14"/>
  <c r="E7852" i="14"/>
  <c r="AH7851" i="14"/>
  <c r="W7851" i="14"/>
  <c r="V7851" i="14"/>
  <c r="E7851" i="14"/>
  <c r="AH7850" i="14"/>
  <c r="W7850" i="14"/>
  <c r="V7850" i="14"/>
  <c r="E7850" i="14"/>
  <c r="AH7849" i="14"/>
  <c r="W7849" i="14"/>
  <c r="V7849" i="14"/>
  <c r="E7849" i="14"/>
  <c r="AH7848" i="14"/>
  <c r="W7848" i="14"/>
  <c r="V7848" i="14"/>
  <c r="E7848" i="14"/>
  <c r="AH7847" i="14"/>
  <c r="W7847" i="14"/>
  <c r="V7847" i="14"/>
  <c r="E7847" i="14"/>
  <c r="AH7846" i="14"/>
  <c r="V7846" i="14"/>
  <c r="E7846" i="14"/>
  <c r="AH7845" i="14"/>
  <c r="E7845" i="14"/>
  <c r="AH7844" i="14"/>
  <c r="V7844" i="14"/>
  <c r="E7844" i="14"/>
  <c r="AH7843" i="14"/>
  <c r="W7843" i="14"/>
  <c r="V7843" i="14"/>
  <c r="E7843" i="14"/>
  <c r="AH7842" i="14"/>
  <c r="V7842" i="14"/>
  <c r="E7842" i="14"/>
  <c r="AH7841" i="14"/>
  <c r="V7841" i="14"/>
  <c r="E7841" i="14"/>
  <c r="AH7840" i="14"/>
  <c r="V7840" i="14"/>
  <c r="E7840" i="14"/>
  <c r="AH7839" i="14"/>
  <c r="E7839" i="14"/>
  <c r="AH7838" i="14"/>
  <c r="V7838" i="14"/>
  <c r="E7838" i="14"/>
  <c r="AH7837" i="14"/>
  <c r="E7837" i="14"/>
  <c r="AH7836" i="14"/>
  <c r="V7836" i="14"/>
  <c r="E7836" i="14"/>
  <c r="AH7835" i="14"/>
  <c r="W7835" i="14"/>
  <c r="V7835" i="14"/>
  <c r="E7835" i="14"/>
  <c r="AH7834" i="14"/>
  <c r="V7834" i="14"/>
  <c r="E7834" i="14"/>
  <c r="AH7833" i="14"/>
  <c r="V7833" i="14"/>
  <c r="O7833" i="14"/>
  <c r="E7833" i="14"/>
  <c r="AH7832" i="14"/>
  <c r="V7832" i="14"/>
  <c r="E7832" i="14"/>
  <c r="AH7831" i="14"/>
  <c r="E7831" i="14"/>
  <c r="AH7830" i="14"/>
  <c r="E7830" i="14"/>
  <c r="AH7829" i="14"/>
  <c r="W7829" i="14"/>
  <c r="V7829" i="14"/>
  <c r="E7829" i="14"/>
  <c r="AH7828" i="14"/>
  <c r="W7828" i="14"/>
  <c r="V7828" i="14"/>
  <c r="E7828" i="14"/>
  <c r="AH7827" i="14"/>
  <c r="E7827" i="14"/>
  <c r="AH7826" i="14"/>
  <c r="W7826" i="14"/>
  <c r="V7826" i="14"/>
  <c r="E7826" i="14"/>
  <c r="AH7825" i="14"/>
  <c r="V7825" i="14"/>
  <c r="E7825" i="14"/>
  <c r="AH7824" i="14"/>
  <c r="E7824" i="14"/>
  <c r="AH7823" i="14"/>
  <c r="W7823" i="14"/>
  <c r="V7823" i="14"/>
  <c r="E7823" i="14"/>
  <c r="AH7822" i="14"/>
  <c r="V7822" i="14"/>
  <c r="E7822" i="14"/>
  <c r="AH7821" i="14"/>
  <c r="V7821" i="14"/>
  <c r="E7821" i="14"/>
  <c r="AH7820" i="14"/>
  <c r="V7820" i="14"/>
  <c r="E7820" i="14"/>
  <c r="AH7819" i="14"/>
  <c r="V7819" i="14"/>
  <c r="E7819" i="14"/>
  <c r="AH7818" i="14"/>
  <c r="V7818" i="14"/>
  <c r="E7818" i="14"/>
  <c r="AH7817" i="14"/>
  <c r="W7817" i="14"/>
  <c r="V7817" i="14"/>
  <c r="E7817" i="14"/>
  <c r="AH7816" i="14"/>
  <c r="V7816" i="14"/>
  <c r="E7816" i="14"/>
  <c r="AH7815" i="14"/>
  <c r="V7815" i="14"/>
  <c r="E7815" i="14"/>
  <c r="AH7814" i="14"/>
  <c r="E7814" i="14"/>
  <c r="AH7813" i="14"/>
  <c r="E7813" i="14"/>
  <c r="AH7812" i="14"/>
  <c r="E7812" i="14"/>
  <c r="AH7811" i="14"/>
  <c r="E7811" i="14"/>
  <c r="AH7810" i="14"/>
  <c r="V7810" i="14"/>
  <c r="E7810" i="14"/>
  <c r="AH7809" i="14"/>
  <c r="V7809" i="14"/>
  <c r="E7809" i="14"/>
  <c r="AH7808" i="14"/>
  <c r="V7808" i="14"/>
  <c r="E7808" i="14"/>
  <c r="AH7807" i="14"/>
  <c r="E7807" i="14"/>
  <c r="AH7806" i="14"/>
  <c r="V7806" i="14"/>
  <c r="E7806" i="14"/>
  <c r="AH7805" i="14"/>
  <c r="V7805" i="14"/>
  <c r="E7805" i="14"/>
  <c r="AH7804" i="14"/>
  <c r="W7804" i="14"/>
  <c r="V7804" i="14"/>
  <c r="E7804" i="14"/>
  <c r="AH7803" i="14"/>
  <c r="E7803" i="14"/>
  <c r="AH7802" i="14"/>
  <c r="E7802" i="14"/>
  <c r="AH7801" i="14"/>
  <c r="E7801" i="14"/>
  <c r="AH7800" i="14"/>
  <c r="V7800" i="14"/>
  <c r="E7800" i="14"/>
  <c r="AH7799" i="14"/>
  <c r="V7799" i="14"/>
  <c r="E7799" i="14"/>
  <c r="AH7798" i="14"/>
  <c r="W7798" i="14"/>
  <c r="V7798" i="14"/>
  <c r="E7798" i="14"/>
  <c r="AH7797" i="14"/>
  <c r="V7797" i="14"/>
  <c r="E7797" i="14"/>
  <c r="AH7796" i="14"/>
  <c r="W7796" i="14"/>
  <c r="V7796" i="14"/>
  <c r="E7796" i="14"/>
  <c r="AH7795" i="14"/>
  <c r="W7795" i="14"/>
  <c r="V7795" i="14"/>
  <c r="E7795" i="14"/>
  <c r="AH7794" i="14"/>
  <c r="E7794" i="14"/>
  <c r="AH7793" i="14"/>
  <c r="E7793" i="14"/>
  <c r="AH7792" i="14"/>
  <c r="E7792" i="14"/>
  <c r="AH7791" i="14"/>
  <c r="E7791" i="14"/>
  <c r="AH7790" i="14"/>
  <c r="W7790" i="14"/>
  <c r="V7790" i="14"/>
  <c r="E7790" i="14"/>
  <c r="AH7789" i="14"/>
  <c r="E7789" i="14"/>
  <c r="AH7788" i="14"/>
  <c r="E7788" i="14"/>
  <c r="AH7787" i="14"/>
  <c r="E7787" i="14"/>
  <c r="AH7786" i="14"/>
  <c r="E7786" i="14"/>
  <c r="AH7785" i="14"/>
  <c r="V7785" i="14"/>
  <c r="E7785" i="14"/>
  <c r="AH7784" i="14"/>
  <c r="E7784" i="14"/>
  <c r="AH7783" i="14"/>
  <c r="E7783" i="14"/>
  <c r="AH7782" i="14"/>
  <c r="E7782" i="14"/>
  <c r="AH7781" i="14"/>
  <c r="E7781" i="14"/>
  <c r="AH7780" i="14"/>
  <c r="W7780" i="14"/>
  <c r="V7780" i="14"/>
  <c r="E7780" i="14"/>
  <c r="AH7779" i="14"/>
  <c r="E7779" i="14"/>
  <c r="AH7778" i="14"/>
  <c r="V7778" i="14"/>
  <c r="E7778" i="14"/>
  <c r="AH7777" i="14"/>
  <c r="W7777" i="14"/>
  <c r="V7777" i="14"/>
  <c r="E7777" i="14"/>
  <c r="AH7776" i="14"/>
  <c r="E7776" i="14"/>
  <c r="AH7775" i="14"/>
  <c r="W7775" i="14"/>
  <c r="V7775" i="14"/>
  <c r="E7775" i="14"/>
  <c r="AH7774" i="14"/>
  <c r="E7774" i="14"/>
  <c r="AH7773" i="14"/>
  <c r="V7773" i="14"/>
  <c r="E7773" i="14"/>
  <c r="AH7772" i="14"/>
  <c r="E7772" i="14"/>
  <c r="AH7771" i="14"/>
  <c r="V7771" i="14"/>
  <c r="E7771" i="14"/>
  <c r="AH7770" i="14"/>
  <c r="W7770" i="14"/>
  <c r="V7770" i="14"/>
  <c r="E7770" i="14"/>
  <c r="AH7769" i="14"/>
  <c r="E7769" i="14"/>
  <c r="AH7768" i="14"/>
  <c r="E7768" i="14"/>
  <c r="AH7767" i="14"/>
  <c r="V7767" i="14"/>
  <c r="E7767" i="14"/>
  <c r="AH7766" i="14"/>
  <c r="V7766" i="14"/>
  <c r="E7766" i="14"/>
  <c r="AH7765" i="14"/>
  <c r="V7765" i="14"/>
  <c r="E7765" i="14"/>
  <c r="AH7764" i="14"/>
  <c r="E7764" i="14"/>
  <c r="AH7763" i="14"/>
  <c r="W7763" i="14"/>
  <c r="V7763" i="14"/>
  <c r="E7763" i="14"/>
  <c r="AH7762" i="14"/>
  <c r="E7762" i="14"/>
  <c r="AH7761" i="14"/>
  <c r="V7761" i="14"/>
  <c r="E7761" i="14"/>
  <c r="AH7760" i="14"/>
  <c r="V7760" i="14"/>
  <c r="E7760" i="14"/>
  <c r="AH7759" i="14"/>
  <c r="V7759" i="14"/>
  <c r="E7759" i="14"/>
  <c r="AH7758" i="14"/>
  <c r="V7758" i="14"/>
  <c r="E7758" i="14"/>
  <c r="AH7757" i="14"/>
  <c r="V7757" i="14"/>
  <c r="E7757" i="14"/>
  <c r="AH7756" i="14"/>
  <c r="V7756" i="14"/>
  <c r="E7756" i="14"/>
  <c r="AH7755" i="14"/>
  <c r="V7755" i="14"/>
  <c r="E7755" i="14"/>
  <c r="AH7754" i="14"/>
  <c r="V7754" i="14"/>
  <c r="E7754" i="14"/>
  <c r="AH7753" i="14"/>
  <c r="V7753" i="14"/>
  <c r="E7753" i="14"/>
  <c r="AH7752" i="14"/>
  <c r="V7752" i="14"/>
  <c r="E7752" i="14"/>
  <c r="AH7751" i="14"/>
  <c r="V7751" i="14"/>
  <c r="E7751" i="14"/>
  <c r="AH7750" i="14"/>
  <c r="W7750" i="14"/>
  <c r="V7750" i="14"/>
  <c r="E7750" i="14"/>
  <c r="AH7749" i="14"/>
  <c r="W7749" i="14"/>
  <c r="V7749" i="14"/>
  <c r="E7749" i="14"/>
  <c r="AH7748" i="14"/>
  <c r="V7748" i="14"/>
  <c r="E7748" i="14"/>
  <c r="AH7747" i="14"/>
  <c r="V7747" i="14"/>
  <c r="O7747" i="14"/>
  <c r="E7747" i="14"/>
  <c r="AH7746" i="14"/>
  <c r="W7746" i="14"/>
  <c r="V7746" i="14"/>
  <c r="E7746" i="14"/>
  <c r="AH7745" i="14"/>
  <c r="W7745" i="14"/>
  <c r="V7745" i="14"/>
  <c r="E7745" i="14"/>
  <c r="AH7744" i="14"/>
  <c r="V7744" i="14"/>
  <c r="E7744" i="14"/>
  <c r="AH7743" i="14"/>
  <c r="V7743" i="14"/>
  <c r="E7743" i="14"/>
  <c r="AH7742" i="14"/>
  <c r="W7742" i="14"/>
  <c r="V7742" i="14"/>
  <c r="E7742" i="14"/>
  <c r="AH7741" i="14"/>
  <c r="V7741" i="14"/>
  <c r="E7741" i="14"/>
  <c r="AH7740" i="14"/>
  <c r="E7740" i="14"/>
  <c r="AH7739" i="14"/>
  <c r="V7739" i="14"/>
  <c r="E7739" i="14"/>
  <c r="AH7738" i="14"/>
  <c r="E7738" i="14"/>
  <c r="AH7737" i="14"/>
  <c r="E7737" i="14"/>
  <c r="AH7736" i="14"/>
  <c r="V7736" i="14"/>
  <c r="E7736" i="14"/>
  <c r="AH7735" i="14"/>
  <c r="E7735" i="14"/>
  <c r="AH7734" i="14"/>
  <c r="E7734" i="14"/>
  <c r="AH7733" i="14"/>
  <c r="E7733" i="14"/>
  <c r="AH7732" i="14"/>
  <c r="W7732" i="14"/>
  <c r="V7732" i="14"/>
  <c r="E7732" i="14"/>
  <c r="AH7731" i="14"/>
  <c r="W7731" i="14"/>
  <c r="V7731" i="14"/>
  <c r="E7731" i="14"/>
  <c r="AH7730" i="14"/>
  <c r="E7730" i="14"/>
  <c r="AH7729" i="14"/>
  <c r="E7729" i="14"/>
  <c r="AH7728" i="14"/>
  <c r="E7728" i="14"/>
  <c r="AH7727" i="14"/>
  <c r="E7727" i="14"/>
  <c r="AH7726" i="14"/>
  <c r="E7726" i="14"/>
  <c r="AH7725" i="14"/>
  <c r="E7725" i="14"/>
  <c r="AH7724" i="14"/>
  <c r="E7724" i="14"/>
  <c r="AH7723" i="14"/>
  <c r="E7723" i="14"/>
  <c r="AH7722" i="14"/>
  <c r="E7722" i="14"/>
  <c r="AH7721" i="14"/>
  <c r="E7721" i="14"/>
  <c r="AH7720" i="14"/>
  <c r="V7720" i="14"/>
  <c r="E7720" i="14"/>
  <c r="AH7719" i="14"/>
  <c r="V7719" i="14"/>
  <c r="E7719" i="14"/>
  <c r="AH7718" i="14"/>
  <c r="V7718" i="14"/>
  <c r="E7718" i="14"/>
  <c r="AH7717" i="14"/>
  <c r="V7717" i="14"/>
  <c r="E7717" i="14"/>
  <c r="AH7716" i="14"/>
  <c r="E7716" i="14"/>
  <c r="AH7715" i="14"/>
  <c r="W7715" i="14"/>
  <c r="V7715" i="14"/>
  <c r="E7715" i="14"/>
  <c r="AH7714" i="14"/>
  <c r="V7714" i="14"/>
  <c r="E7714" i="14"/>
  <c r="AH7713" i="14"/>
  <c r="V7713" i="14"/>
  <c r="E7713" i="14"/>
  <c r="AH7712" i="14"/>
  <c r="V7712" i="14"/>
  <c r="E7712" i="14"/>
  <c r="AH7711" i="14"/>
  <c r="V7711" i="14"/>
  <c r="E7711" i="14"/>
  <c r="AH7710" i="14"/>
  <c r="V7710" i="14"/>
  <c r="O7710" i="14"/>
  <c r="E7710" i="14"/>
  <c r="AH7709" i="14"/>
  <c r="W7709" i="14"/>
  <c r="V7709" i="14"/>
  <c r="E7709" i="14"/>
  <c r="AH7708" i="14"/>
  <c r="W7708" i="14"/>
  <c r="V7708" i="14"/>
  <c r="E7708" i="14"/>
  <c r="AH7707" i="14"/>
  <c r="E7707" i="14"/>
  <c r="AH7706" i="14"/>
  <c r="W7706" i="14"/>
  <c r="V7706" i="14"/>
  <c r="E7706" i="14"/>
  <c r="AH7705" i="14"/>
  <c r="V7705" i="14"/>
  <c r="E7705" i="14"/>
  <c r="AH7704" i="14"/>
  <c r="W7704" i="14"/>
  <c r="V7704" i="14"/>
  <c r="E7704" i="14"/>
  <c r="AH7703" i="14"/>
  <c r="V7703" i="14"/>
  <c r="E7703" i="14"/>
  <c r="AH7702" i="14"/>
  <c r="V7702" i="14"/>
  <c r="E7702" i="14"/>
  <c r="AH7701" i="14"/>
  <c r="E7701" i="14"/>
  <c r="AH7700" i="14"/>
  <c r="E7700" i="14"/>
  <c r="AH7699" i="14"/>
  <c r="V7699" i="14"/>
  <c r="E7699" i="14"/>
  <c r="AH7698" i="14"/>
  <c r="E7698" i="14"/>
  <c r="AH7697" i="14"/>
  <c r="E7697" i="14"/>
  <c r="AH7696" i="14"/>
  <c r="E7696" i="14"/>
  <c r="AH7695" i="14"/>
  <c r="E7695" i="14"/>
  <c r="AH7694" i="14"/>
  <c r="E7694" i="14"/>
  <c r="AH7693" i="14"/>
  <c r="E7693" i="14"/>
  <c r="AH7692" i="14"/>
  <c r="E7692" i="14"/>
  <c r="AH7691" i="14"/>
  <c r="E7691" i="14"/>
  <c r="AH7690" i="14"/>
  <c r="E7690" i="14"/>
  <c r="AH7689" i="14"/>
  <c r="E7689" i="14"/>
  <c r="AH7688" i="14"/>
  <c r="W7688" i="14"/>
  <c r="V7688" i="14"/>
  <c r="E7688" i="14"/>
  <c r="E7687" i="14"/>
  <c r="AH7686" i="14"/>
  <c r="W7686" i="14"/>
  <c r="V7686" i="14"/>
  <c r="E7686" i="14"/>
  <c r="AH7685" i="14"/>
  <c r="V7685" i="14"/>
  <c r="E7685" i="14"/>
  <c r="AH7684" i="14"/>
  <c r="W7684" i="14"/>
  <c r="V7684" i="14"/>
  <c r="E7684" i="14"/>
  <c r="AH7683" i="14"/>
  <c r="W7683" i="14"/>
  <c r="V7683" i="14"/>
  <c r="E7683" i="14"/>
  <c r="AH7682" i="14"/>
  <c r="E7682" i="14"/>
  <c r="AH7681" i="14"/>
  <c r="E7681" i="14"/>
  <c r="AH7680" i="14"/>
  <c r="W7680" i="14"/>
  <c r="V7680" i="14"/>
  <c r="E7680" i="14"/>
  <c r="AH7679" i="14"/>
  <c r="E7679" i="14"/>
  <c r="AH7678" i="14"/>
  <c r="E7678" i="14"/>
  <c r="AH7677" i="14"/>
  <c r="E7677" i="14"/>
  <c r="AH7676" i="14"/>
  <c r="E7676" i="14"/>
  <c r="AH7675" i="14"/>
  <c r="E7675" i="14"/>
  <c r="AH7674" i="14"/>
  <c r="E7674" i="14"/>
  <c r="AH7673" i="14"/>
  <c r="E7673" i="14"/>
  <c r="AH7672" i="14"/>
  <c r="E7672" i="14"/>
  <c r="AH7671" i="14"/>
  <c r="E7671" i="14"/>
  <c r="AH7670" i="14"/>
  <c r="E7670" i="14"/>
  <c r="AH7669" i="14"/>
  <c r="E7669" i="14"/>
  <c r="AH7668" i="14"/>
  <c r="E7668" i="14"/>
  <c r="AH7667" i="14"/>
  <c r="E7667" i="14"/>
  <c r="AH7666" i="14"/>
  <c r="E7666" i="14"/>
  <c r="AH7665" i="14"/>
  <c r="E7665" i="14"/>
  <c r="AH7664" i="14"/>
  <c r="E7664" i="14"/>
  <c r="AH7663" i="14"/>
  <c r="E7663" i="14"/>
  <c r="AH7662" i="14"/>
  <c r="E7662" i="14"/>
  <c r="AH7661" i="14"/>
  <c r="E7661" i="14"/>
  <c r="AH7660" i="14"/>
  <c r="E7660" i="14"/>
  <c r="AH7659" i="14"/>
  <c r="E7659" i="14"/>
  <c r="AH7658" i="14"/>
  <c r="E7658" i="14"/>
  <c r="AH7657" i="14"/>
  <c r="E7657" i="14"/>
  <c r="AH7656" i="14"/>
  <c r="E7656" i="14"/>
  <c r="AH7655" i="14"/>
  <c r="E7655" i="14"/>
  <c r="AH7654" i="14"/>
  <c r="E7654" i="14"/>
  <c r="AH7653" i="14"/>
  <c r="E7653" i="14"/>
  <c r="AH7652" i="14"/>
  <c r="E7652" i="14"/>
  <c r="AH7651" i="14"/>
  <c r="E7651" i="14"/>
  <c r="AH7650" i="14"/>
  <c r="E7650" i="14"/>
  <c r="AH7649" i="14"/>
  <c r="E7649" i="14"/>
  <c r="AH7648" i="14"/>
  <c r="E7648" i="14"/>
  <c r="AH7647" i="14"/>
  <c r="E7647" i="14"/>
  <c r="AH7646" i="14"/>
  <c r="E7646" i="14"/>
  <c r="AH7645" i="14"/>
  <c r="E7645" i="14"/>
  <c r="AH7644" i="14"/>
  <c r="E7644" i="14"/>
  <c r="AH7643" i="14"/>
  <c r="E7643" i="14"/>
  <c r="AH7642" i="14"/>
  <c r="E7642" i="14"/>
  <c r="AH7641" i="14"/>
  <c r="E7641" i="14"/>
  <c r="AH7640" i="14"/>
  <c r="E7640" i="14"/>
  <c r="AH7639" i="14"/>
  <c r="E7639" i="14"/>
  <c r="AH7638" i="14"/>
  <c r="E7638" i="14"/>
  <c r="AH7637" i="14"/>
  <c r="E7637" i="14"/>
  <c r="AH7636" i="14"/>
  <c r="E7636" i="14"/>
  <c r="AH7635" i="14"/>
  <c r="E7635" i="14"/>
  <c r="AH7634" i="14"/>
  <c r="E7634" i="14"/>
  <c r="AH7633" i="14"/>
  <c r="E7633" i="14"/>
  <c r="AH7632" i="14"/>
  <c r="E7632" i="14"/>
  <c r="AH7631" i="14"/>
  <c r="E7631" i="14"/>
  <c r="AH7630" i="14"/>
  <c r="E7630" i="14"/>
  <c r="E7629" i="14"/>
  <c r="AH7628" i="14"/>
  <c r="V7628" i="14"/>
  <c r="E7628" i="14"/>
  <c r="AH7627" i="14"/>
  <c r="E7627" i="14"/>
  <c r="AH7626" i="14"/>
  <c r="V7626" i="14"/>
  <c r="E7626" i="14"/>
  <c r="AH7625" i="14"/>
  <c r="V7625" i="14"/>
  <c r="E7625" i="14"/>
  <c r="AH7624" i="14"/>
  <c r="V7624" i="14"/>
  <c r="E7624" i="14"/>
  <c r="AH7623" i="14"/>
  <c r="W7623" i="14"/>
  <c r="V7623" i="14"/>
  <c r="O7623" i="14"/>
  <c r="E7623" i="14"/>
  <c r="AH7622" i="14"/>
  <c r="E7622" i="14"/>
  <c r="AH7621" i="14"/>
  <c r="V7621" i="14"/>
  <c r="E7621" i="14"/>
  <c r="AH7620" i="14"/>
  <c r="V7620" i="14"/>
  <c r="E7620" i="14"/>
  <c r="AH7619" i="14"/>
  <c r="W7619" i="14"/>
  <c r="V7619" i="14"/>
  <c r="E7619" i="14"/>
  <c r="AH7618" i="14"/>
  <c r="V7618" i="14"/>
  <c r="E7618" i="14"/>
  <c r="AH7617" i="14"/>
  <c r="E7617" i="14"/>
  <c r="AH7616" i="14"/>
  <c r="E7616" i="14"/>
  <c r="AH7615" i="14"/>
  <c r="E7615" i="14"/>
  <c r="AH7614" i="14"/>
  <c r="E7614" i="14"/>
  <c r="AH7613" i="14"/>
  <c r="E7613" i="14"/>
  <c r="AH7612" i="14"/>
  <c r="V7612" i="14"/>
  <c r="E7612" i="14"/>
  <c r="AH7611" i="14"/>
  <c r="E7611" i="14"/>
  <c r="AH7610" i="14"/>
  <c r="E7610" i="14"/>
  <c r="AH7609" i="14"/>
  <c r="E7609" i="14"/>
  <c r="AH7608" i="14"/>
  <c r="E7608" i="14"/>
  <c r="AH7607" i="14"/>
  <c r="E7607" i="14"/>
  <c r="AH7606" i="14"/>
  <c r="E7606" i="14"/>
  <c r="AH7605" i="14"/>
  <c r="E7605" i="14"/>
  <c r="AH7604" i="14"/>
  <c r="E7604" i="14"/>
  <c r="AH7603" i="14"/>
  <c r="E7603" i="14"/>
  <c r="AH7602" i="14"/>
  <c r="E7602" i="14"/>
  <c r="AH7601" i="14"/>
  <c r="E7601" i="14"/>
  <c r="AH7600" i="14"/>
  <c r="E7600" i="14"/>
  <c r="AH7599" i="14"/>
  <c r="E7599" i="14"/>
  <c r="AH7598" i="14"/>
  <c r="E7598" i="14"/>
  <c r="AH7597" i="14"/>
  <c r="E7597" i="14"/>
  <c r="AH7596" i="14"/>
  <c r="E7596" i="14"/>
  <c r="AH7595" i="14"/>
  <c r="E7595" i="14"/>
  <c r="AH7594" i="14"/>
  <c r="E7594" i="14"/>
  <c r="AH7593" i="14"/>
  <c r="E7593" i="14"/>
  <c r="AH7592" i="14"/>
  <c r="E7592" i="14"/>
  <c r="AH7591" i="14"/>
  <c r="E7591" i="14"/>
  <c r="AH7590" i="14"/>
  <c r="E7590" i="14"/>
  <c r="AH7589" i="14"/>
  <c r="E7589" i="14"/>
  <c r="AH7588" i="14"/>
  <c r="E7588" i="14"/>
  <c r="AH7587" i="14"/>
  <c r="E7587" i="14"/>
  <c r="AH7586" i="14"/>
  <c r="E7586" i="14"/>
  <c r="AH7585" i="14"/>
  <c r="W7585" i="14"/>
  <c r="V7585" i="14"/>
  <c r="E7585" i="14"/>
  <c r="AH7584" i="14"/>
  <c r="E7584" i="14"/>
  <c r="AH7583" i="14"/>
  <c r="E7583" i="14"/>
  <c r="AH7582" i="14"/>
  <c r="E7582" i="14"/>
  <c r="AH7581" i="14"/>
  <c r="E7581" i="14"/>
  <c r="AH7580" i="14"/>
  <c r="E7580" i="14"/>
  <c r="AH7579" i="14"/>
  <c r="E7579" i="14"/>
  <c r="AH7578" i="14"/>
  <c r="E7578" i="14"/>
  <c r="AH7577" i="14"/>
  <c r="E7577" i="14"/>
  <c r="AH7576" i="14"/>
  <c r="E7576" i="14"/>
  <c r="AH7575" i="14"/>
  <c r="E7575" i="14"/>
  <c r="AH7574" i="14"/>
  <c r="E7574" i="14"/>
  <c r="AH7573" i="14"/>
  <c r="E7573" i="14"/>
  <c r="AH7572" i="14"/>
  <c r="E7572" i="14"/>
  <c r="AH7571" i="14"/>
  <c r="E7571" i="14"/>
  <c r="AH7570" i="14"/>
  <c r="E7570" i="14"/>
  <c r="AH7569" i="14"/>
  <c r="E7569" i="14"/>
  <c r="AH7568" i="14"/>
  <c r="E7568" i="14"/>
  <c r="AH7567" i="14"/>
  <c r="E7567" i="14"/>
  <c r="AH7566" i="14"/>
  <c r="E7566" i="14"/>
  <c r="AH7565" i="14"/>
  <c r="E7565" i="14"/>
  <c r="AH7564" i="14"/>
  <c r="E7564" i="14"/>
  <c r="AH7563" i="14"/>
  <c r="E7563" i="14"/>
  <c r="AH7562" i="14"/>
  <c r="E7562" i="14"/>
  <c r="AH7561" i="14"/>
  <c r="E7561" i="14"/>
  <c r="AH7560" i="14"/>
  <c r="E7560" i="14"/>
  <c r="AH7559" i="14"/>
  <c r="E7559" i="14"/>
  <c r="AH7558" i="14"/>
  <c r="E7558" i="14"/>
  <c r="AH7557" i="14"/>
  <c r="E7557" i="14"/>
  <c r="AH7556" i="14"/>
  <c r="E7556" i="14"/>
  <c r="AH7555" i="14"/>
  <c r="E7555" i="14"/>
  <c r="AH7554" i="14"/>
  <c r="E7554" i="14"/>
  <c r="AH7553" i="14"/>
  <c r="E7553" i="14"/>
  <c r="AH7552" i="14"/>
  <c r="E7552" i="14"/>
  <c r="AH7551" i="14"/>
  <c r="E7551" i="14"/>
  <c r="AH7550" i="14"/>
  <c r="E7550" i="14"/>
  <c r="AH7549" i="14"/>
  <c r="E7549" i="14"/>
  <c r="AH7548" i="14"/>
  <c r="E7548" i="14"/>
  <c r="AH7547" i="14"/>
  <c r="E7547" i="14"/>
  <c r="AH7546" i="14"/>
  <c r="E7546" i="14"/>
  <c r="AH7545" i="14"/>
  <c r="E7545" i="14"/>
  <c r="AH7544" i="14"/>
  <c r="E7544" i="14"/>
  <c r="AH7543" i="14"/>
  <c r="E7543" i="14"/>
  <c r="AH7542" i="14"/>
  <c r="E7542" i="14"/>
  <c r="AH7541" i="14"/>
  <c r="E7541" i="14"/>
  <c r="AH7540" i="14"/>
  <c r="E7540" i="14"/>
  <c r="AH7539" i="14"/>
  <c r="E7539" i="14"/>
  <c r="AH7538" i="14"/>
  <c r="E7538" i="14"/>
  <c r="AH7537" i="14"/>
  <c r="E7537" i="14"/>
  <c r="AH7536" i="14"/>
  <c r="E7536" i="14"/>
  <c r="AH7535" i="14"/>
  <c r="E7535" i="14"/>
  <c r="AH7534" i="14"/>
  <c r="E7534" i="14"/>
  <c r="AH7533" i="14"/>
  <c r="E7533" i="14"/>
  <c r="AH7532" i="14"/>
  <c r="E7532" i="14"/>
  <c r="AH7531" i="14"/>
  <c r="E7531" i="14"/>
  <c r="AH7530" i="14"/>
  <c r="E7530" i="14"/>
  <c r="AH7529" i="14"/>
  <c r="E7529" i="14"/>
  <c r="AH7528" i="14"/>
  <c r="E7528" i="14"/>
  <c r="AH7527" i="14"/>
  <c r="E7527" i="14"/>
  <c r="AH7526" i="14"/>
  <c r="E7526" i="14"/>
  <c r="AH7525" i="14"/>
  <c r="E7525" i="14"/>
  <c r="AH7524" i="14"/>
  <c r="E7524" i="14"/>
  <c r="AH7523" i="14"/>
  <c r="E7523" i="14"/>
  <c r="AH7522" i="14"/>
  <c r="E7522" i="14"/>
  <c r="AH7521" i="14"/>
  <c r="E7521" i="14"/>
  <c r="AH7520" i="14"/>
  <c r="E7520" i="14"/>
  <c r="AH7519" i="14"/>
  <c r="E7519" i="14"/>
  <c r="AH7518" i="14"/>
  <c r="E7518" i="14"/>
  <c r="AH7517" i="14"/>
  <c r="E7517" i="14"/>
  <c r="AH7516" i="14"/>
  <c r="E7516" i="14"/>
  <c r="AH7515" i="14"/>
  <c r="E7515" i="14"/>
  <c r="AH7514" i="14"/>
  <c r="E7514" i="14"/>
  <c r="AH7513" i="14"/>
  <c r="E7513" i="14"/>
  <c r="AH7512" i="14"/>
  <c r="E7512" i="14"/>
  <c r="AH7511" i="14"/>
  <c r="E7511" i="14"/>
  <c r="AH7510" i="14"/>
  <c r="E7510" i="14"/>
  <c r="AH7509" i="14"/>
  <c r="E7509" i="14"/>
  <c r="AH7508" i="14"/>
  <c r="E7508" i="14"/>
  <c r="AH7507" i="14"/>
  <c r="E7507" i="14"/>
  <c r="AH7506" i="14"/>
  <c r="E7506" i="14"/>
  <c r="AH7505" i="14"/>
  <c r="V7505" i="14"/>
  <c r="E7505" i="14"/>
  <c r="AH7504" i="14"/>
  <c r="E7504" i="14"/>
  <c r="AH7503" i="14"/>
  <c r="E7503" i="14"/>
  <c r="AH7502" i="14"/>
  <c r="E7502" i="14"/>
  <c r="AH7501" i="14"/>
  <c r="E7501" i="14"/>
  <c r="AH7500" i="14"/>
  <c r="E7500" i="14"/>
  <c r="AH7499" i="14"/>
  <c r="E7499" i="14"/>
  <c r="AH7498" i="14"/>
  <c r="E7498" i="14"/>
  <c r="AH7497" i="14"/>
  <c r="E7497" i="14"/>
  <c r="AH7496" i="14"/>
  <c r="E7496" i="14"/>
  <c r="AH7495" i="14"/>
  <c r="E7495" i="14"/>
  <c r="AH7494" i="14"/>
  <c r="E7494" i="14"/>
  <c r="AH7493" i="14"/>
  <c r="E7493" i="14"/>
  <c r="AH7492" i="14"/>
  <c r="V7492" i="14"/>
  <c r="E7492" i="14"/>
  <c r="AH7491" i="14"/>
  <c r="E7491" i="14"/>
  <c r="AH7490" i="14"/>
  <c r="E7490" i="14"/>
  <c r="AH7489" i="14"/>
  <c r="E7489" i="14"/>
  <c r="AH7488" i="14"/>
  <c r="E7488" i="14"/>
  <c r="AH7487" i="14"/>
  <c r="W7487" i="14"/>
  <c r="V7487" i="14"/>
  <c r="E7487" i="14"/>
  <c r="AH7486" i="14"/>
  <c r="E7486" i="14"/>
  <c r="AH7485" i="14"/>
  <c r="E7485" i="14"/>
  <c r="AH7484" i="14"/>
  <c r="E7484" i="14"/>
  <c r="AH7483" i="14"/>
  <c r="E7483" i="14"/>
  <c r="AH7482" i="14"/>
  <c r="E7482" i="14"/>
  <c r="AH7481" i="14"/>
  <c r="E7481" i="14"/>
  <c r="AH7480" i="14"/>
  <c r="E7480" i="14"/>
  <c r="AH7479" i="14"/>
  <c r="E7479" i="14"/>
  <c r="AH7478" i="14"/>
  <c r="E7478" i="14"/>
  <c r="AH7477" i="14"/>
  <c r="E7477" i="14"/>
  <c r="AH7476" i="14"/>
  <c r="E7476" i="14"/>
  <c r="AH7475" i="14"/>
  <c r="E7475" i="14"/>
  <c r="AH7474" i="14"/>
  <c r="E7474" i="14"/>
  <c r="AH7473" i="14"/>
  <c r="E7473" i="14"/>
  <c r="AH7472" i="14"/>
  <c r="V7472" i="14"/>
  <c r="E7472" i="14"/>
  <c r="AH7471" i="14"/>
  <c r="E7471" i="14"/>
  <c r="AH7470" i="14"/>
  <c r="E7470" i="14"/>
  <c r="AH7469" i="14"/>
  <c r="E7469" i="14"/>
  <c r="AH7468" i="14"/>
  <c r="E7468" i="14"/>
  <c r="AH7467" i="14"/>
  <c r="V7467" i="14"/>
  <c r="E7467" i="14"/>
  <c r="AH7466" i="14"/>
  <c r="E7466" i="14"/>
  <c r="AH7465" i="14"/>
  <c r="E7465" i="14"/>
  <c r="AH7464" i="14"/>
  <c r="V7464" i="14"/>
  <c r="E7464" i="14"/>
  <c r="AH7463" i="14"/>
  <c r="E7463" i="14"/>
  <c r="AH7462" i="14"/>
  <c r="E7462" i="14"/>
  <c r="AH7461" i="14"/>
  <c r="E7461" i="14"/>
  <c r="AH7460" i="14"/>
  <c r="V7460" i="14"/>
  <c r="E7460" i="14"/>
  <c r="AH7459" i="14"/>
  <c r="E7459" i="14"/>
  <c r="AH7458" i="14"/>
  <c r="E7458" i="14"/>
  <c r="AH7457" i="14"/>
  <c r="E7457" i="14"/>
  <c r="AH7456" i="14"/>
  <c r="E7456" i="14"/>
  <c r="AH7455" i="14"/>
  <c r="E7455" i="14"/>
  <c r="AH7454" i="14"/>
  <c r="E7454" i="14"/>
  <c r="AH7453" i="14"/>
  <c r="E7453" i="14"/>
  <c r="AH7452" i="14"/>
  <c r="E7452" i="14"/>
  <c r="AH7451" i="14"/>
  <c r="E7451" i="14"/>
  <c r="AH7450" i="14"/>
  <c r="E7450" i="14"/>
  <c r="AH7449" i="14"/>
  <c r="E7449" i="14"/>
  <c r="AH7448" i="14"/>
  <c r="E7448" i="14"/>
  <c r="AH7447" i="14"/>
  <c r="E7447" i="14"/>
  <c r="AH7446" i="14"/>
  <c r="E7446" i="14"/>
  <c r="AH7445" i="14"/>
  <c r="E7445" i="14"/>
  <c r="AH7444" i="14"/>
  <c r="E7444" i="14"/>
  <c r="AH7443" i="14"/>
  <c r="E7443" i="14"/>
  <c r="AH7442" i="14"/>
  <c r="E7442" i="14"/>
  <c r="AH7441" i="14"/>
  <c r="E7441" i="14"/>
  <c r="AH7440" i="14"/>
  <c r="E7440" i="14"/>
  <c r="AH7439" i="14"/>
  <c r="E7439" i="14"/>
  <c r="AH7438" i="14"/>
  <c r="E7438" i="14"/>
  <c r="AH7437" i="14"/>
  <c r="E7437" i="14"/>
  <c r="AH7436" i="14"/>
  <c r="E7436" i="14"/>
  <c r="AH7435" i="14"/>
  <c r="E7435" i="14"/>
  <c r="AH7434" i="14"/>
  <c r="E7434" i="14"/>
  <c r="AH7433" i="14"/>
  <c r="E7433" i="14"/>
  <c r="AH7432" i="14"/>
  <c r="E7432" i="14"/>
  <c r="AH7431" i="14"/>
  <c r="E7431" i="14"/>
  <c r="AH7430" i="14"/>
  <c r="E7430" i="14"/>
  <c r="AH7429" i="14"/>
  <c r="E7429" i="14"/>
  <c r="AH7428" i="14"/>
  <c r="E7428" i="14"/>
  <c r="AH7427" i="14"/>
  <c r="E7427" i="14"/>
  <c r="AH7426" i="14"/>
  <c r="E7426" i="14"/>
  <c r="AH7425" i="14"/>
  <c r="E7425" i="14"/>
  <c r="AH7424" i="14"/>
  <c r="E7424" i="14"/>
  <c r="AH7423" i="14"/>
  <c r="E7423" i="14"/>
  <c r="AH7422" i="14"/>
  <c r="E7422" i="14"/>
  <c r="AH7421" i="14"/>
  <c r="E7421" i="14"/>
  <c r="AH7420" i="14"/>
  <c r="E7420" i="14"/>
  <c r="AH7419" i="14"/>
  <c r="E7419" i="14"/>
  <c r="AH7418" i="14"/>
  <c r="E7418" i="14"/>
  <c r="AH7417" i="14"/>
  <c r="E7417" i="14"/>
  <c r="AH7416" i="14"/>
  <c r="E7416" i="14"/>
  <c r="AH7415" i="14"/>
  <c r="V7415" i="14"/>
  <c r="E7415" i="14"/>
  <c r="AH7414" i="14"/>
  <c r="E7414" i="14"/>
  <c r="AH7413" i="14"/>
  <c r="E7413" i="14"/>
  <c r="AH7412" i="14"/>
  <c r="E7412" i="14"/>
  <c r="AH7411" i="14"/>
  <c r="E7411" i="14"/>
  <c r="AH7410" i="14"/>
  <c r="E7410" i="14"/>
  <c r="AH7409" i="14"/>
  <c r="E7409" i="14"/>
  <c r="AH7408" i="14"/>
  <c r="E7408" i="14"/>
  <c r="AH7407" i="14"/>
  <c r="E7407" i="14"/>
  <c r="AH7406" i="14"/>
  <c r="E7406" i="14"/>
  <c r="AH7405" i="14"/>
  <c r="E7405" i="14"/>
  <c r="AH7404" i="14"/>
  <c r="E7404" i="14"/>
  <c r="AH7403" i="14"/>
  <c r="E7403" i="14"/>
  <c r="AH7402" i="14"/>
  <c r="E7402" i="14"/>
  <c r="AH7401" i="14"/>
  <c r="E7401" i="14"/>
  <c r="AH7400" i="14"/>
  <c r="E7400" i="14"/>
  <c r="AH7399" i="14"/>
  <c r="E7399" i="14"/>
  <c r="AH7398" i="14"/>
  <c r="E7398" i="14"/>
  <c r="AH7397" i="14"/>
  <c r="E7397" i="14"/>
  <c r="AH7396" i="14"/>
  <c r="E7396" i="14"/>
  <c r="AH7395" i="14"/>
  <c r="E7395" i="14"/>
  <c r="AH7394" i="14"/>
  <c r="E7394" i="14"/>
  <c r="AH7393" i="14"/>
  <c r="E7393" i="14"/>
  <c r="AH7392" i="14"/>
  <c r="E7392" i="14"/>
  <c r="AH7391" i="14"/>
  <c r="E7391" i="14"/>
  <c r="AH7390" i="14"/>
  <c r="E7390" i="14"/>
  <c r="AH7389" i="14"/>
  <c r="E7389" i="14"/>
  <c r="AH7388" i="14"/>
  <c r="E7388" i="14"/>
  <c r="AH7387" i="14"/>
  <c r="E7387" i="14"/>
  <c r="AH7386" i="14"/>
  <c r="E7386" i="14"/>
  <c r="AH7385" i="14"/>
  <c r="E7385" i="14"/>
  <c r="AH7384" i="14"/>
  <c r="E7384" i="14"/>
  <c r="AH7383" i="14"/>
  <c r="V7383" i="14"/>
  <c r="E7383" i="14"/>
  <c r="AH7382" i="14"/>
  <c r="E7382" i="14"/>
  <c r="AH7381" i="14"/>
  <c r="E7381" i="14"/>
  <c r="AH7380" i="14"/>
  <c r="E7380" i="14"/>
  <c r="AH7379" i="14"/>
  <c r="W7379" i="14"/>
  <c r="V7379" i="14"/>
  <c r="E7379" i="14"/>
  <c r="AH7378" i="14"/>
  <c r="E7378" i="14"/>
  <c r="AH7377" i="14"/>
  <c r="E7377" i="14"/>
  <c r="AH7376" i="14"/>
  <c r="E7376" i="14"/>
  <c r="AH7375" i="14"/>
  <c r="E7375" i="14"/>
  <c r="AH7374" i="14"/>
  <c r="V7374" i="14"/>
  <c r="E7374" i="14"/>
  <c r="AH7373" i="14"/>
  <c r="V7373" i="14"/>
  <c r="E7373" i="14"/>
  <c r="AH7372" i="14"/>
  <c r="E7372" i="14"/>
  <c r="AH7371" i="14"/>
  <c r="E7371" i="14"/>
  <c r="AH7370" i="14"/>
  <c r="O7370" i="14"/>
  <c r="E7370" i="14"/>
  <c r="AH7369" i="14"/>
  <c r="E7369" i="14"/>
  <c r="AH7368" i="14"/>
  <c r="E7368" i="14"/>
  <c r="AH7367" i="14"/>
  <c r="E7367" i="14"/>
  <c r="AH7366" i="14"/>
  <c r="E7366" i="14"/>
  <c r="AH7365" i="14"/>
  <c r="E7365" i="14"/>
  <c r="AH7364" i="14"/>
  <c r="E7364" i="14"/>
  <c r="AH7363" i="14"/>
  <c r="E7363" i="14"/>
  <c r="AH7362" i="14"/>
  <c r="E7362" i="14"/>
  <c r="AH7361" i="14"/>
  <c r="E7361" i="14"/>
  <c r="AH7360" i="14"/>
  <c r="E7360" i="14"/>
  <c r="AH7359" i="14"/>
  <c r="E7359" i="14"/>
  <c r="AH7358" i="14"/>
  <c r="E7358" i="14"/>
  <c r="AH7357" i="14"/>
  <c r="E7357" i="14"/>
  <c r="AH7356" i="14"/>
  <c r="E7356" i="14"/>
  <c r="AH7355" i="14"/>
  <c r="E7355" i="14"/>
  <c r="AH7354" i="14"/>
  <c r="E7354" i="14"/>
  <c r="AH7353" i="14"/>
  <c r="E7353" i="14"/>
  <c r="AH7352" i="14"/>
  <c r="E7352" i="14"/>
  <c r="AH7351" i="14"/>
  <c r="E7351" i="14"/>
  <c r="AH7350" i="14"/>
  <c r="E7350" i="14"/>
  <c r="AH7349" i="14"/>
  <c r="E7349" i="14"/>
  <c r="AH7348" i="14"/>
  <c r="E7348" i="14"/>
  <c r="AH7347" i="14"/>
  <c r="E7347" i="14"/>
  <c r="AH7346" i="14"/>
  <c r="E7346" i="14"/>
  <c r="AH7345" i="14"/>
  <c r="E7345" i="14"/>
  <c r="AH7344" i="14"/>
  <c r="E7344" i="14"/>
  <c r="AH7343" i="14"/>
  <c r="E7343" i="14"/>
  <c r="AH7342" i="14"/>
  <c r="E7342" i="14"/>
  <c r="AH7341" i="14"/>
  <c r="E7341" i="14"/>
  <c r="AH7340" i="14"/>
  <c r="E7340" i="14"/>
  <c r="AH7339" i="14"/>
  <c r="E7339" i="14"/>
  <c r="AH7338" i="14"/>
  <c r="E7338" i="14"/>
  <c r="AH7337" i="14"/>
  <c r="E7337" i="14"/>
  <c r="AH7336" i="14"/>
  <c r="E7336" i="14"/>
  <c r="AH7335" i="14"/>
  <c r="E7335" i="14"/>
  <c r="AH7334" i="14"/>
  <c r="E7334" i="14"/>
  <c r="AH7333" i="14"/>
  <c r="E7333" i="14"/>
  <c r="AH7332" i="14"/>
  <c r="E7332" i="14"/>
  <c r="AH7331" i="14"/>
  <c r="E7331" i="14"/>
  <c r="AH7330" i="14"/>
  <c r="E7330" i="14"/>
  <c r="AH7329" i="14"/>
  <c r="E7329" i="14"/>
  <c r="AH7328" i="14"/>
  <c r="E7328" i="14"/>
  <c r="AH7327" i="14"/>
  <c r="E7327" i="14"/>
  <c r="AH7326" i="14"/>
  <c r="E7326" i="14"/>
  <c r="AH7325" i="14"/>
  <c r="E7325" i="14"/>
  <c r="AH7324" i="14"/>
  <c r="E7324" i="14"/>
  <c r="AH7323" i="14"/>
  <c r="E7323" i="14"/>
  <c r="AH7322" i="14"/>
  <c r="E7322" i="14"/>
  <c r="AH7321" i="14"/>
  <c r="E7321" i="14"/>
  <c r="AH7320" i="14"/>
  <c r="E7320" i="14"/>
  <c r="AH7319" i="14"/>
  <c r="V7319" i="14"/>
  <c r="E7319" i="14"/>
  <c r="AH7318" i="14"/>
  <c r="E7318" i="14"/>
  <c r="AH7317" i="14"/>
  <c r="E7317" i="14"/>
  <c r="AH7316" i="14"/>
  <c r="E7316" i="14"/>
  <c r="AH7315" i="14"/>
  <c r="E7315" i="14"/>
  <c r="AH7314" i="14"/>
  <c r="E7314" i="14"/>
  <c r="AH7313" i="14"/>
  <c r="E7313" i="14"/>
  <c r="AH7312" i="14"/>
  <c r="E7312" i="14"/>
  <c r="AH7311" i="14"/>
  <c r="E7311" i="14"/>
  <c r="AH7310" i="14"/>
  <c r="E7310" i="14"/>
  <c r="AH7309" i="14"/>
  <c r="E7309" i="14"/>
  <c r="AH7308" i="14"/>
  <c r="E7308" i="14"/>
  <c r="AH7307" i="14"/>
  <c r="E7307" i="14"/>
  <c r="AH7306" i="14"/>
  <c r="E7306" i="14"/>
  <c r="AH7305" i="14"/>
  <c r="E7305" i="14"/>
  <c r="AH7304" i="14"/>
  <c r="E7304" i="14"/>
  <c r="AH7303" i="14"/>
  <c r="E7303" i="14"/>
  <c r="AH7302" i="14"/>
  <c r="E7302" i="14"/>
  <c r="AH7301" i="14"/>
  <c r="E7301" i="14"/>
  <c r="AH7300" i="14"/>
  <c r="E7300" i="14"/>
  <c r="AH7299" i="14"/>
  <c r="E7299" i="14"/>
  <c r="AH7298" i="14"/>
  <c r="E7298" i="14"/>
  <c r="AH7297" i="14"/>
  <c r="E7297" i="14"/>
  <c r="AH7296" i="14"/>
  <c r="E7296" i="14"/>
  <c r="AH7295" i="14"/>
  <c r="E7295" i="14"/>
  <c r="AH7294" i="14"/>
  <c r="E7294" i="14"/>
  <c r="AH7293" i="14"/>
  <c r="E7293" i="14"/>
  <c r="AH7292" i="14"/>
  <c r="E7292" i="14"/>
  <c r="AH7291" i="14"/>
  <c r="E7291" i="14"/>
  <c r="AH7290" i="14"/>
  <c r="E7290" i="14"/>
  <c r="AH7289" i="14"/>
  <c r="E7289" i="14"/>
  <c r="AH7288" i="14"/>
  <c r="E7288" i="14"/>
  <c r="AH7287" i="14"/>
  <c r="E7287" i="14"/>
  <c r="AH7286" i="14"/>
  <c r="E7286" i="14"/>
  <c r="AH7285" i="14"/>
  <c r="E7285" i="14"/>
  <c r="AH7284" i="14"/>
  <c r="E7284" i="14"/>
  <c r="AH7283" i="14"/>
  <c r="E7283" i="14"/>
  <c r="AH7282" i="14"/>
  <c r="E7282" i="14"/>
  <c r="AH7281" i="14"/>
  <c r="E7281" i="14"/>
  <c r="AH7280" i="14"/>
  <c r="E7280" i="14"/>
  <c r="AH7279" i="14"/>
  <c r="E7279" i="14"/>
  <c r="AH7278" i="14"/>
  <c r="E7278" i="14"/>
  <c r="AH7277" i="14"/>
  <c r="E7277" i="14"/>
  <c r="AH7276" i="14"/>
  <c r="E7276" i="14"/>
  <c r="AH7275" i="14"/>
  <c r="E7275" i="14"/>
  <c r="AH7274" i="14"/>
  <c r="E7274" i="14"/>
  <c r="AH7273" i="14"/>
  <c r="E7273" i="14"/>
  <c r="AH7272" i="14"/>
  <c r="E7272" i="14"/>
  <c r="AH7271" i="14"/>
  <c r="E7271" i="14"/>
  <c r="AH7270" i="14"/>
  <c r="E7270" i="14"/>
  <c r="AH7269" i="14"/>
  <c r="E7269" i="14"/>
  <c r="AH7268" i="14"/>
  <c r="E7268" i="14"/>
  <c r="AH7267" i="14"/>
  <c r="E7267" i="14"/>
  <c r="AH7266" i="14"/>
  <c r="E7266" i="14"/>
  <c r="AH7265" i="14"/>
  <c r="E7265" i="14"/>
  <c r="AH7264" i="14"/>
  <c r="E7264" i="14"/>
  <c r="AH7263" i="14"/>
  <c r="E7263" i="14"/>
  <c r="AH7262" i="14"/>
  <c r="E7262" i="14"/>
  <c r="AH7261" i="14"/>
  <c r="E7261" i="14"/>
  <c r="AH7260" i="14"/>
  <c r="E7260" i="14"/>
  <c r="AH7259" i="14"/>
  <c r="E7259" i="14"/>
  <c r="AH7258" i="14"/>
  <c r="E7258" i="14"/>
  <c r="AH7257" i="14"/>
  <c r="E7257" i="14"/>
  <c r="AH7256" i="14"/>
  <c r="E7256" i="14"/>
  <c r="AH7255" i="14"/>
  <c r="E7255" i="14"/>
  <c r="AH7254" i="14"/>
  <c r="E7254" i="14"/>
  <c r="AH7253" i="14"/>
  <c r="E7253" i="14"/>
  <c r="AH7252" i="14"/>
  <c r="E7252" i="14"/>
  <c r="AH7251" i="14"/>
  <c r="E7251" i="14"/>
  <c r="AH7250" i="14"/>
  <c r="E7250" i="14"/>
  <c r="AH7249" i="14"/>
  <c r="E7249" i="14"/>
  <c r="E7248" i="14"/>
  <c r="AH7247" i="14"/>
  <c r="E7247" i="14"/>
  <c r="AH7246" i="14"/>
  <c r="V7246" i="14"/>
  <c r="E7246" i="14"/>
  <c r="AH7245" i="14"/>
  <c r="W7245" i="14"/>
  <c r="V7245" i="14"/>
  <c r="E7245" i="14"/>
  <c r="AH7244" i="14"/>
  <c r="V7244" i="14"/>
  <c r="E7244" i="14"/>
  <c r="AH7243" i="14"/>
  <c r="V7243" i="14"/>
  <c r="E7243" i="14"/>
  <c r="AH7242" i="14"/>
  <c r="E7242" i="14"/>
  <c r="AH7241" i="14"/>
  <c r="E7241" i="14"/>
  <c r="AH7240" i="14"/>
  <c r="E7240" i="14"/>
  <c r="AH7239" i="14"/>
  <c r="E7239" i="14"/>
  <c r="AH7238" i="14"/>
  <c r="E7238" i="14"/>
  <c r="AH7237" i="14"/>
  <c r="E7237" i="14"/>
  <c r="AH7236" i="14"/>
  <c r="E7236" i="14"/>
  <c r="AH7235" i="14"/>
  <c r="E7235" i="14"/>
  <c r="AH7234" i="14"/>
  <c r="E7234" i="14"/>
  <c r="AH7233" i="14"/>
  <c r="E7233" i="14"/>
  <c r="AH7232" i="14"/>
  <c r="E7232" i="14"/>
  <c r="E7231" i="14"/>
  <c r="AH7230" i="14"/>
  <c r="W7230" i="14"/>
  <c r="V7230" i="14"/>
  <c r="E7230" i="14"/>
  <c r="AH7229" i="14"/>
  <c r="E7229" i="14"/>
  <c r="AH7228" i="14"/>
  <c r="E7228" i="14"/>
  <c r="AH7227" i="14"/>
  <c r="E7227" i="14"/>
  <c r="AH7226" i="14"/>
  <c r="E7226" i="14"/>
  <c r="AH7225" i="14"/>
  <c r="E7225" i="14"/>
  <c r="AH7224" i="14"/>
  <c r="K7224" i="14"/>
  <c r="E7224" i="14"/>
  <c r="AH7223" i="14"/>
  <c r="E7223" i="14"/>
  <c r="AH7222" i="14"/>
  <c r="E7222" i="14"/>
  <c r="AH7221" i="14"/>
  <c r="E7221" i="14"/>
  <c r="AH7220" i="14"/>
  <c r="E7220" i="14"/>
  <c r="AH7219" i="14"/>
  <c r="E7219" i="14"/>
  <c r="AH7218" i="14"/>
  <c r="E7218" i="14"/>
  <c r="AH7217" i="14"/>
  <c r="E7217" i="14"/>
  <c r="AH7216" i="14"/>
  <c r="E7216" i="14"/>
  <c r="AH7215" i="14"/>
  <c r="E7215" i="14"/>
  <c r="AH7214" i="14"/>
  <c r="E7214" i="14"/>
  <c r="AH7213" i="14"/>
  <c r="E7213" i="14"/>
  <c r="AH7212" i="14"/>
  <c r="E7212" i="14"/>
  <c r="AH7211" i="14"/>
  <c r="E7211" i="14"/>
  <c r="AH7210" i="14"/>
  <c r="E7210" i="14"/>
  <c r="AH7209" i="14"/>
  <c r="E7209" i="14"/>
  <c r="AH7208" i="14"/>
  <c r="E7208" i="14"/>
  <c r="AH7207" i="14"/>
  <c r="E7207" i="14"/>
  <c r="AH7206" i="14"/>
  <c r="E7206" i="14"/>
  <c r="AH7205" i="14"/>
  <c r="E7205" i="14"/>
  <c r="AH7204" i="14"/>
  <c r="E7204" i="14"/>
  <c r="AH7203" i="14"/>
  <c r="E7203" i="14"/>
  <c r="AH7202" i="14"/>
  <c r="E7202" i="14"/>
  <c r="AH7201" i="14"/>
  <c r="E7201" i="14"/>
  <c r="AH7200" i="14"/>
  <c r="E7200" i="14"/>
  <c r="AH7199" i="14"/>
  <c r="E7199" i="14"/>
  <c r="AH7198" i="14"/>
  <c r="E7198" i="14"/>
  <c r="AH7197" i="14"/>
  <c r="E7197" i="14"/>
  <c r="AH7196" i="14"/>
  <c r="E7196" i="14"/>
  <c r="AH7195" i="14"/>
  <c r="E7195" i="14"/>
  <c r="AH7194" i="14"/>
  <c r="E7194" i="14"/>
  <c r="AH7193" i="14"/>
  <c r="E7193" i="14"/>
  <c r="AH7192" i="14"/>
  <c r="E7192" i="14"/>
  <c r="AH7191" i="14"/>
  <c r="E7191" i="14"/>
  <c r="AH7190" i="14"/>
  <c r="E7190" i="14"/>
  <c r="AH7189" i="14"/>
  <c r="E7189" i="14"/>
  <c r="AH7188" i="14"/>
  <c r="E7188" i="14"/>
  <c r="AH7187" i="14"/>
  <c r="E7187" i="14"/>
  <c r="AH7186" i="14"/>
  <c r="E7186" i="14"/>
  <c r="AH7185" i="14"/>
  <c r="E7185" i="14"/>
  <c r="AH7184" i="14"/>
  <c r="E7184" i="14"/>
  <c r="AH7183" i="14"/>
  <c r="E7183" i="14"/>
  <c r="AH7182" i="14"/>
  <c r="E7182" i="14"/>
  <c r="AH7181" i="14"/>
  <c r="E7181" i="14"/>
  <c r="AH7180" i="14"/>
  <c r="O7180" i="14"/>
  <c r="E7180" i="14"/>
  <c r="AH7179" i="14"/>
  <c r="E7179" i="14"/>
  <c r="AH7178" i="14"/>
  <c r="E7178" i="14"/>
  <c r="AH7177" i="14"/>
  <c r="E7177" i="14"/>
  <c r="AH7176" i="14"/>
  <c r="E7176" i="14"/>
  <c r="AH7175" i="14"/>
  <c r="E7175" i="14"/>
  <c r="AH7174" i="14"/>
  <c r="E7174" i="14"/>
  <c r="AH7173" i="14"/>
  <c r="E7173" i="14"/>
  <c r="AH7172" i="14"/>
  <c r="E7172" i="14"/>
  <c r="AH7171" i="14"/>
  <c r="E7171" i="14"/>
  <c r="AH7170" i="14"/>
  <c r="E7170" i="14"/>
  <c r="AH7169" i="14"/>
  <c r="E7169" i="14"/>
  <c r="AH7168" i="14"/>
  <c r="E7168" i="14"/>
  <c r="AH7167" i="14"/>
  <c r="E7167" i="14"/>
  <c r="AH7166" i="14"/>
  <c r="E7166" i="14"/>
  <c r="AH7165" i="14"/>
  <c r="E7165" i="14"/>
  <c r="AH7164" i="14"/>
  <c r="E7164" i="14"/>
  <c r="AH7163" i="14"/>
  <c r="E7163" i="14"/>
  <c r="AH7162" i="14"/>
  <c r="E7162" i="14"/>
  <c r="AH7161" i="14"/>
  <c r="E7161" i="14"/>
  <c r="AH7160" i="14"/>
  <c r="E7160" i="14"/>
  <c r="AH7159" i="14"/>
  <c r="E7159" i="14"/>
  <c r="AH7158" i="14"/>
  <c r="W7158" i="14"/>
  <c r="V7158" i="14"/>
  <c r="E7158" i="14"/>
  <c r="AH7157" i="14"/>
  <c r="E7157" i="14"/>
  <c r="AH7156" i="14"/>
  <c r="E7156" i="14"/>
  <c r="AH7155" i="14"/>
  <c r="E7155" i="14"/>
  <c r="AH7154" i="14"/>
  <c r="E7154" i="14"/>
  <c r="AH7153" i="14"/>
  <c r="E7153" i="14"/>
  <c r="AH7152" i="14"/>
  <c r="E7152" i="14"/>
  <c r="AH7151" i="14"/>
  <c r="E7151" i="14"/>
  <c r="AH7150" i="14"/>
  <c r="E7150" i="14"/>
  <c r="AH7149" i="14"/>
  <c r="E7149" i="14"/>
  <c r="AH7148" i="14"/>
  <c r="E7148" i="14"/>
  <c r="AH7147" i="14"/>
  <c r="E7147" i="14"/>
  <c r="AH7146" i="14"/>
  <c r="E7146" i="14"/>
  <c r="AH7145" i="14"/>
  <c r="E7145" i="14"/>
  <c r="AH7144" i="14"/>
  <c r="E7144" i="14"/>
  <c r="AH7143" i="14"/>
  <c r="E7143" i="14"/>
  <c r="AH7142" i="14"/>
  <c r="E7142" i="14"/>
  <c r="AH7141" i="14"/>
  <c r="E7141" i="14"/>
  <c r="AH7140" i="14"/>
  <c r="E7140" i="14"/>
  <c r="AH7139" i="14"/>
  <c r="E7139" i="14"/>
  <c r="AH7138" i="14"/>
  <c r="E7138" i="14"/>
  <c r="AH7137" i="14"/>
  <c r="E7137" i="14"/>
  <c r="AH7136" i="14"/>
  <c r="E7136" i="14"/>
  <c r="AH7135" i="14"/>
  <c r="E7135" i="14"/>
  <c r="AH7134" i="14"/>
  <c r="E7134" i="14"/>
  <c r="AH7133" i="14"/>
  <c r="E7133" i="14"/>
  <c r="AH7132" i="14"/>
  <c r="E7132" i="14"/>
  <c r="AH7131" i="14"/>
  <c r="E7131" i="14"/>
  <c r="AH7130" i="14"/>
  <c r="O7130" i="14"/>
  <c r="E7130" i="14"/>
  <c r="AH7129" i="14"/>
  <c r="E7129" i="14"/>
  <c r="AH7128" i="14"/>
  <c r="E7128" i="14"/>
  <c r="AH7127" i="14"/>
  <c r="E7127" i="14"/>
  <c r="AH7126" i="14"/>
  <c r="E7126" i="14"/>
  <c r="AH7125" i="14"/>
  <c r="E7125" i="14"/>
  <c r="AH7124" i="14"/>
  <c r="E7124" i="14"/>
  <c r="AH7123" i="14"/>
  <c r="E7123" i="14"/>
  <c r="AH7122" i="14"/>
  <c r="E7122" i="14"/>
  <c r="AH7121" i="14"/>
  <c r="E7121" i="14"/>
  <c r="AH7120" i="14"/>
  <c r="E7120" i="14"/>
  <c r="AH7119" i="14"/>
  <c r="E7119" i="14"/>
  <c r="AH7118" i="14"/>
  <c r="E7118" i="14"/>
  <c r="AH7117" i="14"/>
  <c r="E7117" i="14"/>
  <c r="AH7116" i="14"/>
  <c r="E7116" i="14"/>
  <c r="AH7115" i="14"/>
  <c r="E7115" i="14"/>
  <c r="AH7114" i="14"/>
  <c r="E7114" i="14"/>
  <c r="AH7113" i="14"/>
  <c r="E7113" i="14"/>
  <c r="AH7112" i="14"/>
  <c r="E7112" i="14"/>
  <c r="AH7111" i="14"/>
  <c r="E7111" i="14"/>
  <c r="AH7110" i="14"/>
  <c r="E7110" i="14"/>
  <c r="AH7109" i="14"/>
  <c r="E7109" i="14"/>
  <c r="AH7108" i="14"/>
  <c r="E7108" i="14"/>
  <c r="AH7107" i="14"/>
  <c r="E7107" i="14"/>
  <c r="AH7106" i="14"/>
  <c r="E7106" i="14"/>
  <c r="AH7105" i="14"/>
  <c r="E7105" i="14"/>
  <c r="AH7104" i="14"/>
  <c r="E7104" i="14"/>
  <c r="AH7103" i="14"/>
  <c r="E7103" i="14"/>
  <c r="AH7102" i="14"/>
  <c r="E7102" i="14"/>
  <c r="AH7101" i="14"/>
  <c r="E7101" i="14"/>
  <c r="AH7100" i="14"/>
  <c r="E7100" i="14"/>
  <c r="AH7099" i="14"/>
  <c r="E7099" i="14"/>
  <c r="AH7098" i="14"/>
  <c r="E7098" i="14"/>
  <c r="AH7097" i="14"/>
  <c r="E7097" i="14"/>
  <c r="AH7096" i="14"/>
  <c r="E7096" i="14"/>
  <c r="AH7095" i="14"/>
  <c r="E7095" i="14"/>
  <c r="AH7094" i="14"/>
  <c r="E7094" i="14"/>
  <c r="AH7093" i="14"/>
  <c r="E7093" i="14"/>
  <c r="AH7092" i="14"/>
  <c r="E7092" i="14"/>
  <c r="AH7091" i="14"/>
  <c r="E7091" i="14"/>
  <c r="AH7090" i="14"/>
  <c r="E7090" i="14"/>
  <c r="AH7089" i="14"/>
  <c r="E7089" i="14"/>
  <c r="AH7088" i="14"/>
  <c r="K7088" i="14"/>
  <c r="E7088" i="14"/>
  <c r="AH7087" i="14"/>
  <c r="E7087" i="14"/>
  <c r="AH7086" i="14"/>
  <c r="E7086" i="14"/>
  <c r="AH7085" i="14"/>
  <c r="K7085" i="14"/>
  <c r="E7085" i="14"/>
  <c r="AH7084" i="14"/>
  <c r="E7084" i="14"/>
  <c r="AH7083" i="14"/>
  <c r="E7083" i="14"/>
  <c r="AH7082" i="14"/>
  <c r="E7082" i="14"/>
  <c r="AH7081" i="14"/>
  <c r="E7081" i="14"/>
  <c r="AH7080" i="14"/>
  <c r="E7080" i="14"/>
  <c r="AH7079" i="14"/>
  <c r="E7079" i="14"/>
  <c r="AH7078" i="14"/>
  <c r="E7078" i="14"/>
  <c r="AH7077" i="14"/>
  <c r="E7077" i="14"/>
  <c r="AH7076" i="14"/>
  <c r="E7076" i="14"/>
  <c r="AH7075" i="14"/>
  <c r="E7075" i="14"/>
  <c r="AH7074" i="14"/>
  <c r="E7074" i="14"/>
  <c r="AH7073" i="14"/>
  <c r="E7073" i="14"/>
  <c r="AH7072" i="14"/>
  <c r="E7072" i="14"/>
  <c r="AH7071" i="14"/>
  <c r="E7071" i="14"/>
  <c r="AH7070" i="14"/>
  <c r="E7070" i="14"/>
  <c r="AH7069" i="14"/>
  <c r="E7069" i="14"/>
  <c r="AH7068" i="14"/>
  <c r="E7068" i="14"/>
  <c r="AH7067" i="14"/>
  <c r="E7067" i="14"/>
  <c r="AH7066" i="14"/>
  <c r="E7066" i="14"/>
  <c r="AH7065" i="14"/>
  <c r="E7065" i="14"/>
  <c r="AH7064" i="14"/>
  <c r="E7064" i="14"/>
  <c r="AH7063" i="14"/>
  <c r="E7063" i="14"/>
  <c r="AH7062" i="14"/>
  <c r="E7062" i="14"/>
  <c r="AH7061" i="14"/>
  <c r="E7061" i="14"/>
  <c r="AH7060" i="14"/>
  <c r="E7060" i="14"/>
  <c r="AH7059" i="14"/>
  <c r="E7059" i="14"/>
  <c r="AH7058" i="14"/>
  <c r="E7058" i="14"/>
  <c r="AH7057" i="14"/>
  <c r="E7057" i="14"/>
  <c r="AH7056" i="14"/>
  <c r="E7056" i="14"/>
  <c r="AH7055" i="14"/>
  <c r="E7055" i="14"/>
  <c r="AH7054" i="14"/>
  <c r="E7054" i="14"/>
  <c r="AH7053" i="14"/>
  <c r="E7053" i="14"/>
  <c r="AH7052" i="14"/>
  <c r="E7052" i="14"/>
  <c r="AH7051" i="14"/>
  <c r="E7051" i="14"/>
  <c r="AH7050" i="14"/>
  <c r="E7050" i="14"/>
  <c r="AH7049" i="14"/>
  <c r="E7049" i="14"/>
  <c r="AH7048" i="14"/>
  <c r="E7048" i="14"/>
  <c r="AH7047" i="14"/>
  <c r="E7047" i="14"/>
  <c r="AH7046" i="14"/>
  <c r="E7046" i="14"/>
  <c r="AH7045" i="14"/>
  <c r="E7045" i="14"/>
  <c r="AH7044" i="14"/>
  <c r="E7044" i="14"/>
  <c r="AH7043" i="14"/>
  <c r="E7043" i="14"/>
  <c r="AH7042" i="14"/>
  <c r="E7042" i="14"/>
  <c r="AH7041" i="14"/>
  <c r="E7041" i="14"/>
  <c r="AH7040" i="14"/>
  <c r="E7040" i="14"/>
  <c r="AH7039" i="14"/>
  <c r="E7039" i="14"/>
  <c r="AH7038" i="14"/>
  <c r="O7038" i="14"/>
  <c r="E7038" i="14"/>
  <c r="AH7037" i="14"/>
  <c r="E7037" i="14"/>
  <c r="AH7036" i="14"/>
  <c r="E7036" i="14"/>
  <c r="AH7035" i="14"/>
  <c r="V7035" i="14"/>
  <c r="E7035" i="14"/>
  <c r="AH7034" i="14"/>
  <c r="V7034" i="14"/>
  <c r="E7034" i="14"/>
  <c r="AH7033" i="14"/>
  <c r="W7033" i="14"/>
  <c r="V7033" i="14"/>
  <c r="E7033" i="14"/>
  <c r="AH7032" i="14"/>
  <c r="V7032" i="14"/>
  <c r="E7032" i="14"/>
  <c r="AH7031" i="14"/>
  <c r="V7031" i="14"/>
  <c r="E7031" i="14"/>
  <c r="AH7030" i="14"/>
  <c r="V7030" i="14"/>
  <c r="E7030" i="14"/>
  <c r="AH7029" i="14"/>
  <c r="V7029" i="14"/>
  <c r="E7029" i="14"/>
  <c r="AH7028" i="14"/>
  <c r="V7028" i="14"/>
  <c r="E7028" i="14"/>
  <c r="AH7027" i="14"/>
  <c r="W7027" i="14"/>
  <c r="V7027" i="14"/>
  <c r="E7027" i="14"/>
  <c r="AH7026" i="14"/>
  <c r="W7026" i="14"/>
  <c r="V7026" i="14"/>
  <c r="E7026" i="14"/>
  <c r="AH7025" i="14"/>
  <c r="V7025" i="14"/>
  <c r="E7025" i="14"/>
  <c r="AH7024" i="14"/>
  <c r="E7024" i="14"/>
  <c r="AH7023" i="14"/>
  <c r="E7023" i="14"/>
  <c r="AH7022" i="14"/>
  <c r="V7022" i="14"/>
  <c r="E7022" i="14"/>
  <c r="AH7021" i="14"/>
  <c r="E7021" i="14"/>
  <c r="AH7020" i="14"/>
  <c r="E7020" i="14"/>
  <c r="AH7019" i="14"/>
  <c r="E7019" i="14"/>
  <c r="AH7018" i="14"/>
  <c r="W7018" i="14"/>
  <c r="V7018" i="14"/>
  <c r="E7018" i="14"/>
  <c r="AH7017" i="14"/>
  <c r="V7017" i="14"/>
  <c r="E7017" i="14"/>
  <c r="AH7016" i="14"/>
  <c r="V7016" i="14"/>
  <c r="E7016" i="14"/>
  <c r="AH7015" i="14"/>
  <c r="W7015" i="14"/>
  <c r="V7015" i="14"/>
  <c r="E7015" i="14"/>
  <c r="AH7014" i="14"/>
  <c r="W7014" i="14"/>
  <c r="V7014" i="14"/>
  <c r="E7014" i="14"/>
  <c r="AH7013" i="14"/>
  <c r="E7013" i="14"/>
  <c r="AH7012" i="14"/>
  <c r="V7012" i="14"/>
  <c r="E7012" i="14"/>
  <c r="AH7011" i="14"/>
  <c r="V7011" i="14"/>
  <c r="E7011" i="14"/>
  <c r="AH7010" i="14"/>
  <c r="V7010" i="14"/>
  <c r="E7010" i="14"/>
  <c r="AH7009" i="14"/>
  <c r="V7009" i="14"/>
  <c r="E7009" i="14"/>
  <c r="AH7008" i="14"/>
  <c r="E7008" i="14"/>
  <c r="AH7007" i="14"/>
  <c r="E7007" i="14"/>
  <c r="AH7006" i="14"/>
  <c r="V7006" i="14"/>
  <c r="E7006" i="14"/>
  <c r="AH7005" i="14"/>
  <c r="V7005" i="14"/>
  <c r="E7005" i="14"/>
  <c r="AH7004" i="14"/>
  <c r="V7004" i="14"/>
  <c r="E7004" i="14"/>
  <c r="AH7003" i="14"/>
  <c r="V7003" i="14"/>
  <c r="E7003" i="14"/>
  <c r="AH7002" i="14"/>
  <c r="V7002" i="14"/>
  <c r="E7002" i="14"/>
  <c r="AH7001" i="14"/>
  <c r="V7001" i="14"/>
  <c r="E7001" i="14"/>
  <c r="AH7000" i="14"/>
  <c r="V7000" i="14"/>
  <c r="E7000" i="14"/>
  <c r="AH6999" i="14"/>
  <c r="E6999" i="14"/>
  <c r="AH6998" i="14"/>
  <c r="V6998" i="14"/>
  <c r="E6998" i="14"/>
  <c r="AH6997" i="14"/>
  <c r="V6997" i="14"/>
  <c r="E6997" i="14"/>
  <c r="AH6996" i="14"/>
  <c r="V6996" i="14"/>
  <c r="E6996" i="14"/>
  <c r="AH6995" i="14"/>
  <c r="V6995" i="14"/>
  <c r="E6995" i="14"/>
  <c r="AH6994" i="14"/>
  <c r="V6994" i="14"/>
  <c r="E6994" i="14"/>
  <c r="AH6993" i="14"/>
  <c r="V6993" i="14"/>
  <c r="E6993" i="14"/>
  <c r="AH6992" i="14"/>
  <c r="V6992" i="14"/>
  <c r="E6992" i="14"/>
  <c r="AH6991" i="14"/>
  <c r="V6991" i="14"/>
  <c r="E6991" i="14"/>
  <c r="AH6990" i="14"/>
  <c r="E6990" i="14"/>
  <c r="AH6989" i="14"/>
  <c r="V6989" i="14"/>
  <c r="E6989" i="14"/>
  <c r="AH6988" i="14"/>
  <c r="V6988" i="14"/>
  <c r="E6988" i="14"/>
  <c r="AH6987" i="14"/>
  <c r="E6987" i="14"/>
  <c r="AH6986" i="14"/>
  <c r="V6986" i="14"/>
  <c r="E6986" i="14"/>
  <c r="AH6985" i="14"/>
  <c r="E6985" i="14"/>
  <c r="AH6984" i="14"/>
  <c r="V6984" i="14"/>
  <c r="E6984" i="14"/>
  <c r="AH6983" i="14"/>
  <c r="V6983" i="14"/>
  <c r="E6983" i="14"/>
  <c r="AH6982" i="14"/>
  <c r="E6982" i="14"/>
  <c r="AH6981" i="14"/>
  <c r="V6981" i="14"/>
  <c r="E6981" i="14"/>
  <c r="AH6980" i="14"/>
  <c r="E6980" i="14"/>
  <c r="AH6979" i="14"/>
  <c r="V6979" i="14"/>
  <c r="E6979" i="14"/>
  <c r="AH6978" i="14"/>
  <c r="V6978" i="14"/>
  <c r="E6978" i="14"/>
  <c r="AH6977" i="14"/>
  <c r="V6977" i="14"/>
  <c r="E6977" i="14"/>
  <c r="AH6976" i="14"/>
  <c r="V6976" i="14"/>
  <c r="E6976" i="14"/>
  <c r="AH6975" i="14"/>
  <c r="V6975" i="14"/>
  <c r="E6975" i="14"/>
  <c r="AH6974" i="14"/>
  <c r="V6974" i="14"/>
  <c r="E6974" i="14"/>
  <c r="AH6973" i="14"/>
  <c r="E6973" i="14"/>
  <c r="AH6972" i="14"/>
  <c r="V6972" i="14"/>
  <c r="E6972" i="14"/>
  <c r="AH6971" i="14"/>
  <c r="V6971" i="14"/>
  <c r="E6971" i="14"/>
  <c r="AH6970" i="14"/>
  <c r="V6970" i="14"/>
  <c r="E6970" i="14"/>
  <c r="AH6969" i="14"/>
  <c r="V6969" i="14"/>
  <c r="E6969" i="14"/>
  <c r="AH6968" i="14"/>
  <c r="V6968" i="14"/>
  <c r="E6968" i="14"/>
  <c r="AH6967" i="14"/>
  <c r="E6967" i="14"/>
  <c r="AH6966" i="14"/>
  <c r="V6966" i="14"/>
  <c r="E6966" i="14"/>
  <c r="AH6965" i="14"/>
  <c r="V6965" i="14"/>
  <c r="E6965" i="14"/>
  <c r="AH6964" i="14"/>
  <c r="V6964" i="14"/>
  <c r="E6964" i="14"/>
  <c r="AH6963" i="14"/>
  <c r="E6963" i="14"/>
  <c r="AH6962" i="14"/>
  <c r="V6962" i="14"/>
  <c r="E6962" i="14"/>
  <c r="AH6961" i="14"/>
  <c r="E6961" i="14"/>
  <c r="AH6960" i="14"/>
  <c r="V6960" i="14"/>
  <c r="E6960" i="14"/>
  <c r="AH6959" i="14"/>
  <c r="V6959" i="14"/>
  <c r="E6959" i="14"/>
  <c r="AH6958" i="14"/>
  <c r="E6958" i="14"/>
  <c r="AH6957" i="14"/>
  <c r="E6957" i="14"/>
  <c r="AH6956" i="14"/>
  <c r="E6956" i="14"/>
  <c r="AH6955" i="14"/>
  <c r="V6955" i="14"/>
  <c r="E6955" i="14"/>
  <c r="AH6954" i="14"/>
  <c r="E6954" i="14"/>
  <c r="AH6953" i="14"/>
  <c r="E6953" i="14"/>
  <c r="AH6952" i="14"/>
  <c r="E6952" i="14"/>
  <c r="AH6951" i="14"/>
  <c r="E6951" i="14"/>
  <c r="AH6950" i="14"/>
  <c r="E6950" i="14"/>
  <c r="AH6949" i="14"/>
  <c r="E6949" i="14"/>
  <c r="AH6948" i="14"/>
  <c r="E6948" i="14"/>
  <c r="AH6947" i="14"/>
  <c r="E6947" i="14"/>
  <c r="AH6946" i="14"/>
  <c r="E6946" i="14"/>
  <c r="AH6945" i="14"/>
  <c r="E6945" i="14"/>
  <c r="AH6944" i="14"/>
  <c r="E6944" i="14"/>
  <c r="AH6943" i="14"/>
  <c r="E6943" i="14"/>
  <c r="AH6942" i="14"/>
  <c r="E6942" i="14"/>
  <c r="AH6941" i="14"/>
  <c r="E6941" i="14"/>
  <c r="AH6940" i="14"/>
  <c r="E6940" i="14"/>
  <c r="AH6939" i="14"/>
  <c r="E6939" i="14"/>
  <c r="AH6938" i="14"/>
  <c r="E6938" i="14"/>
  <c r="AH6937" i="14"/>
  <c r="E6937" i="14"/>
  <c r="AH6936" i="14"/>
  <c r="E6936" i="14"/>
  <c r="AH6935" i="14"/>
  <c r="E6935" i="14"/>
  <c r="AH6934" i="14"/>
  <c r="E6934" i="14"/>
  <c r="AH6933" i="14"/>
  <c r="E6933" i="14"/>
  <c r="AH6932" i="14"/>
  <c r="E6932" i="14"/>
  <c r="AH6931" i="14"/>
  <c r="E6931" i="14"/>
  <c r="AH6930" i="14"/>
  <c r="E6930" i="14"/>
  <c r="AH6929" i="14"/>
  <c r="E6929" i="14"/>
  <c r="AH6928" i="14"/>
  <c r="E6928" i="14"/>
  <c r="AH6927" i="14"/>
  <c r="E6927" i="14"/>
  <c r="AH6926" i="14"/>
  <c r="E6926" i="14"/>
  <c r="AH6925" i="14"/>
  <c r="E6925" i="14"/>
  <c r="AH6924" i="14"/>
  <c r="E6924" i="14"/>
  <c r="AH6923" i="14"/>
  <c r="E6923" i="14"/>
  <c r="AH6922" i="14"/>
  <c r="E6922" i="14"/>
  <c r="AH6921" i="14"/>
  <c r="E6921" i="14"/>
  <c r="AH6920" i="14"/>
  <c r="E6920" i="14"/>
  <c r="AH6919" i="14"/>
  <c r="E6919" i="14"/>
  <c r="AH6918" i="14"/>
  <c r="E6918" i="14"/>
  <c r="AH6917" i="14"/>
  <c r="E6917" i="14"/>
  <c r="AH6916" i="14"/>
  <c r="V6916" i="14"/>
  <c r="E6916" i="14"/>
  <c r="AH6915" i="14"/>
  <c r="V6915" i="14"/>
  <c r="E6915" i="14"/>
  <c r="AH6914" i="14"/>
  <c r="V6914" i="14"/>
  <c r="E6914" i="14"/>
  <c r="AH6913" i="14"/>
  <c r="V6913" i="14"/>
  <c r="E6913" i="14"/>
  <c r="AH6912" i="14"/>
  <c r="V6912" i="14"/>
  <c r="E6912" i="14"/>
  <c r="AH6911" i="14"/>
  <c r="W6911" i="14"/>
  <c r="V6911" i="14"/>
  <c r="E6911" i="14"/>
  <c r="AH6910" i="14"/>
  <c r="W6910" i="14"/>
  <c r="V6910" i="14"/>
  <c r="E6910" i="14"/>
  <c r="AH6909" i="14"/>
  <c r="W6909" i="14"/>
  <c r="V6909" i="14"/>
  <c r="E6909" i="14"/>
  <c r="AH6908" i="14"/>
  <c r="W6908" i="14"/>
  <c r="V6908" i="14"/>
  <c r="E6908" i="14"/>
  <c r="AH6907" i="14"/>
  <c r="V6907" i="14"/>
  <c r="E6907" i="14"/>
  <c r="AH6906" i="14"/>
  <c r="V6906" i="14"/>
  <c r="E6906" i="14"/>
  <c r="AH6905" i="14"/>
  <c r="E6905" i="14"/>
  <c r="AH6904" i="14"/>
  <c r="E6904" i="14"/>
  <c r="AH6903" i="14"/>
  <c r="V6903" i="14"/>
  <c r="E6903" i="14"/>
  <c r="AH6902" i="14"/>
  <c r="W6902" i="14"/>
  <c r="V6902" i="14"/>
  <c r="E6902" i="14"/>
  <c r="AH6901" i="14"/>
  <c r="W6901" i="14"/>
  <c r="V6901" i="14"/>
  <c r="O6901" i="14"/>
  <c r="E6901" i="14"/>
  <c r="AH6900" i="14"/>
  <c r="V6900" i="14"/>
  <c r="E6900" i="14"/>
  <c r="AH6899" i="14"/>
  <c r="E6899" i="14"/>
  <c r="AH6898" i="14"/>
  <c r="E6898" i="14"/>
  <c r="AH6897" i="14"/>
  <c r="E6897" i="14"/>
  <c r="AH6896" i="14"/>
  <c r="E6896" i="14"/>
  <c r="AH6895" i="14"/>
  <c r="E6895" i="14"/>
  <c r="AH6894" i="14"/>
  <c r="E6894" i="14"/>
  <c r="AH6893" i="14"/>
  <c r="E6893" i="14"/>
  <c r="AH6892" i="14"/>
  <c r="E6892" i="14"/>
  <c r="AH6891" i="14"/>
  <c r="V6891" i="14"/>
  <c r="E6891" i="14"/>
  <c r="AH6890" i="14"/>
  <c r="V6890" i="14"/>
  <c r="E6890" i="14"/>
  <c r="AH6889" i="14"/>
  <c r="E6889" i="14"/>
  <c r="AH6888" i="14"/>
  <c r="E6888" i="14"/>
  <c r="AH6887" i="14"/>
  <c r="E6887" i="14"/>
  <c r="AH6886" i="14"/>
  <c r="V6886" i="14"/>
  <c r="E6886" i="14"/>
  <c r="AH6885" i="14"/>
  <c r="W6885" i="14"/>
  <c r="V6885" i="14"/>
  <c r="E6885" i="14"/>
  <c r="AH6884" i="14"/>
  <c r="W6884" i="14"/>
  <c r="V6884" i="14"/>
  <c r="E6884" i="14"/>
  <c r="AH6883" i="14"/>
  <c r="V6883" i="14"/>
  <c r="E6883" i="14"/>
  <c r="AH6882" i="14"/>
  <c r="V6882" i="14"/>
  <c r="E6882" i="14"/>
  <c r="AH6881" i="14"/>
  <c r="V6881" i="14"/>
  <c r="E6881" i="14"/>
  <c r="AH6880" i="14"/>
  <c r="W6880" i="14"/>
  <c r="V6880" i="14"/>
  <c r="E6880" i="14"/>
  <c r="AH6879" i="14"/>
  <c r="V6879" i="14"/>
  <c r="E6879" i="14"/>
  <c r="AH6878" i="14"/>
  <c r="V6878" i="14"/>
  <c r="E6878" i="14"/>
  <c r="AH6877" i="14"/>
  <c r="E6877" i="14"/>
  <c r="AH6876" i="14"/>
  <c r="V6876" i="14"/>
  <c r="E6876" i="14"/>
  <c r="AH6875" i="14"/>
  <c r="E6875" i="14"/>
  <c r="AH6874" i="14"/>
  <c r="E6874" i="14"/>
  <c r="AH6873" i="14"/>
  <c r="E6873" i="14"/>
  <c r="AH6872" i="14"/>
  <c r="V6872" i="14"/>
  <c r="E6872" i="14"/>
  <c r="AH6871" i="14"/>
  <c r="V6871" i="14"/>
  <c r="E6871" i="14"/>
  <c r="AH6870" i="14"/>
  <c r="W6870" i="14"/>
  <c r="V6870" i="14"/>
  <c r="E6870" i="14"/>
  <c r="AH6869" i="14"/>
  <c r="E6869" i="14"/>
  <c r="AH6868" i="14"/>
  <c r="E6868" i="14"/>
  <c r="AH6867" i="14"/>
  <c r="V6867" i="14"/>
  <c r="E6867" i="14"/>
  <c r="AH6866" i="14"/>
  <c r="E6866" i="14"/>
  <c r="AH6865" i="14"/>
  <c r="E6865" i="14"/>
  <c r="AH6864" i="14"/>
  <c r="E6864" i="14"/>
  <c r="AH6863" i="14"/>
  <c r="E6863" i="14"/>
  <c r="AH6862" i="14"/>
  <c r="E6862" i="14"/>
  <c r="AH6861" i="14"/>
  <c r="V6861" i="14"/>
  <c r="E6861" i="14"/>
  <c r="AH6860" i="14"/>
  <c r="V6860" i="14"/>
  <c r="E6860" i="14"/>
  <c r="AH6859" i="14"/>
  <c r="E6859" i="14"/>
  <c r="AH6858" i="14"/>
  <c r="W6858" i="14"/>
  <c r="V6858" i="14"/>
  <c r="E6858" i="14"/>
  <c r="AH6857" i="14"/>
  <c r="E6857" i="14"/>
  <c r="AH6856" i="14"/>
  <c r="E6856" i="14"/>
  <c r="AH6855" i="14"/>
  <c r="E6855" i="14"/>
  <c r="AH6854" i="14"/>
  <c r="V6854" i="14"/>
  <c r="E6854" i="14"/>
  <c r="AH6853" i="14"/>
  <c r="E6853" i="14"/>
  <c r="AH6852" i="14"/>
  <c r="V6852" i="14"/>
  <c r="E6852" i="14"/>
  <c r="AH6851" i="14"/>
  <c r="V6851" i="14"/>
  <c r="E6851" i="14"/>
  <c r="AH6850" i="14"/>
  <c r="E6850" i="14"/>
  <c r="AH6849" i="14"/>
  <c r="W6849" i="14"/>
  <c r="V6849" i="14"/>
  <c r="E6849" i="14"/>
  <c r="AH6848" i="14"/>
  <c r="E6848" i="14"/>
  <c r="AH6847" i="14"/>
  <c r="E6847" i="14"/>
  <c r="AH6846" i="14"/>
  <c r="V6846" i="14"/>
  <c r="E6846" i="14"/>
  <c r="AH6845" i="14"/>
  <c r="V6845" i="14"/>
  <c r="E6845" i="14"/>
  <c r="AH6844" i="14"/>
  <c r="V6844" i="14"/>
  <c r="E6844" i="14"/>
  <c r="AH6843" i="14"/>
  <c r="E6843" i="14"/>
  <c r="AH6842" i="14"/>
  <c r="V6842" i="14"/>
  <c r="E6842" i="14"/>
  <c r="AH6841" i="14"/>
  <c r="E6841" i="14"/>
  <c r="AH6840" i="14"/>
  <c r="V6840" i="14"/>
  <c r="E6840" i="14"/>
  <c r="AH6839" i="14"/>
  <c r="W6839" i="14"/>
  <c r="V6839" i="14"/>
  <c r="E6839" i="14"/>
  <c r="AH6838" i="14"/>
  <c r="V6838" i="14"/>
  <c r="E6838" i="14"/>
  <c r="AH6837" i="14"/>
  <c r="E6837" i="14"/>
  <c r="AH6836" i="14"/>
  <c r="W6836" i="14"/>
  <c r="V6836" i="14"/>
  <c r="E6836" i="14"/>
  <c r="AH6835" i="14"/>
  <c r="V6835" i="14"/>
  <c r="E6835" i="14"/>
  <c r="AH6834" i="14"/>
  <c r="W6834" i="14"/>
  <c r="V6834" i="14"/>
  <c r="E6834" i="14"/>
  <c r="AH6833" i="14"/>
  <c r="W6833" i="14"/>
  <c r="V6833" i="14"/>
  <c r="E6833" i="14"/>
  <c r="AH6832" i="14"/>
  <c r="E6832" i="14"/>
  <c r="AH6831" i="14"/>
  <c r="E6831" i="14"/>
  <c r="AH6830" i="14"/>
  <c r="V6830" i="14"/>
  <c r="E6830" i="14"/>
  <c r="AH6829" i="14"/>
  <c r="E6829" i="14"/>
  <c r="AH6828" i="14"/>
  <c r="E6828" i="14"/>
  <c r="AH6827" i="14"/>
  <c r="W6827" i="14"/>
  <c r="V6827" i="14"/>
  <c r="E6827" i="14"/>
  <c r="AH6826" i="14"/>
  <c r="V6826" i="14"/>
  <c r="E6826" i="14"/>
  <c r="AH6825" i="14"/>
  <c r="E6825" i="14"/>
  <c r="AH6824" i="14"/>
  <c r="V6824" i="14"/>
  <c r="E6824" i="14"/>
  <c r="AH6823" i="14"/>
  <c r="V6823" i="14"/>
  <c r="E6823" i="14"/>
  <c r="AH6822" i="14"/>
  <c r="V6822" i="14"/>
  <c r="E6822" i="14"/>
  <c r="AH6821" i="14"/>
  <c r="V6821" i="14"/>
  <c r="E6821" i="14"/>
  <c r="AH6820" i="14"/>
  <c r="E6820" i="14"/>
  <c r="AH6819" i="14"/>
  <c r="E6819" i="14"/>
  <c r="AH6818" i="14"/>
  <c r="E6818" i="14"/>
  <c r="AH6817" i="14"/>
  <c r="E6817" i="14"/>
  <c r="AH6816" i="14"/>
  <c r="E6816" i="14"/>
  <c r="AH6815" i="14"/>
  <c r="E6815" i="14"/>
  <c r="AH6814" i="14"/>
  <c r="E6814" i="14"/>
  <c r="AH6813" i="14"/>
  <c r="E6813" i="14"/>
  <c r="AH6812" i="14"/>
  <c r="E6812" i="14"/>
  <c r="AH6811" i="14"/>
  <c r="E6811" i="14"/>
  <c r="AH6810" i="14"/>
  <c r="E6810" i="14"/>
  <c r="AH6809" i="14"/>
  <c r="V6809" i="14"/>
  <c r="E6809" i="14"/>
  <c r="AH6808" i="14"/>
  <c r="E6808" i="14"/>
  <c r="AH6807" i="14"/>
  <c r="V6807" i="14"/>
  <c r="E6807" i="14"/>
  <c r="AH6806" i="14"/>
  <c r="V6806" i="14"/>
  <c r="E6806" i="14"/>
  <c r="AH6805" i="14"/>
  <c r="V6805" i="14"/>
  <c r="E6805" i="14"/>
  <c r="AH6804" i="14"/>
  <c r="V6804" i="14"/>
  <c r="E6804" i="14"/>
  <c r="AH6803" i="14"/>
  <c r="W6803" i="14"/>
  <c r="V6803" i="14"/>
  <c r="E6803" i="14"/>
  <c r="AH6802" i="14"/>
  <c r="V6802" i="14"/>
  <c r="E6802" i="14"/>
  <c r="AH6801" i="14"/>
  <c r="W6801" i="14"/>
  <c r="V6801" i="14"/>
  <c r="E6801" i="14"/>
  <c r="AH6800" i="14"/>
  <c r="E6800" i="14"/>
  <c r="AH6799" i="14"/>
  <c r="V6799" i="14"/>
  <c r="E6799" i="14"/>
  <c r="AH6798" i="14"/>
  <c r="V6798" i="14"/>
  <c r="E6798" i="14"/>
  <c r="AH6797" i="14"/>
  <c r="E6797" i="14"/>
  <c r="AH6796" i="14"/>
  <c r="E6796" i="14"/>
  <c r="AH6795" i="14"/>
  <c r="E6795" i="14"/>
  <c r="AH6794" i="14"/>
  <c r="E6794" i="14"/>
  <c r="AH6793" i="14"/>
  <c r="E6793" i="14"/>
  <c r="AH6792" i="14"/>
  <c r="E6792" i="14"/>
  <c r="AH6791" i="14"/>
  <c r="E6791" i="14"/>
  <c r="AH6790" i="14"/>
  <c r="E6790" i="14"/>
  <c r="AH6789" i="14"/>
  <c r="W6789" i="14"/>
  <c r="V6789" i="14"/>
  <c r="E6789" i="14"/>
  <c r="AH6788" i="14"/>
  <c r="V6788" i="14"/>
  <c r="E6788" i="14"/>
  <c r="AH6787" i="14"/>
  <c r="W6787" i="14"/>
  <c r="V6787" i="14"/>
  <c r="E6787" i="14"/>
  <c r="AH6786" i="14"/>
  <c r="E6786" i="14"/>
  <c r="AH6785" i="14"/>
  <c r="E6785" i="14"/>
  <c r="AH6784" i="14"/>
  <c r="E6784" i="14"/>
  <c r="AH6783" i="14"/>
  <c r="E6783" i="14"/>
  <c r="AH6782" i="14"/>
  <c r="E6782" i="14"/>
  <c r="AH6781" i="14"/>
  <c r="E6781" i="14"/>
  <c r="AH6780" i="14"/>
  <c r="E6780" i="14"/>
  <c r="AH6779" i="14"/>
  <c r="E6779" i="14"/>
  <c r="AH6778" i="14"/>
  <c r="V6778" i="14"/>
  <c r="E6778" i="14"/>
  <c r="AH6777" i="14"/>
  <c r="V6777" i="14"/>
  <c r="E6777" i="14"/>
  <c r="AH6776" i="14"/>
  <c r="E6776" i="14"/>
  <c r="AH6775" i="14"/>
  <c r="E6775" i="14"/>
  <c r="AH6774" i="14"/>
  <c r="E6774" i="14"/>
  <c r="AH6773" i="14"/>
  <c r="E6773" i="14"/>
  <c r="AH6772" i="14"/>
  <c r="E6772" i="14"/>
  <c r="AH6771" i="14"/>
  <c r="E6771" i="14"/>
  <c r="AH6770" i="14"/>
  <c r="E6770" i="14"/>
  <c r="AH6769" i="14"/>
  <c r="E6769" i="14"/>
  <c r="AH6768" i="14"/>
  <c r="E6768" i="14"/>
  <c r="AH6767" i="14"/>
  <c r="E6767" i="14"/>
  <c r="AH6766" i="14"/>
  <c r="E6766" i="14"/>
  <c r="AH6765" i="14"/>
  <c r="E6765" i="14"/>
  <c r="AH6764" i="14"/>
  <c r="E6764" i="14"/>
  <c r="AH6763" i="14"/>
  <c r="E6763" i="14"/>
  <c r="AH6762" i="14"/>
  <c r="E6762" i="14"/>
  <c r="AH6761" i="14"/>
  <c r="V6761" i="14"/>
  <c r="E6761" i="14"/>
  <c r="AH6760" i="14"/>
  <c r="V6760" i="14"/>
  <c r="E6760" i="14"/>
  <c r="AH6759" i="14"/>
  <c r="V6759" i="14"/>
  <c r="E6759" i="14"/>
  <c r="AH6758" i="14"/>
  <c r="E6758" i="14"/>
  <c r="AH6757" i="14"/>
  <c r="E6757" i="14"/>
  <c r="AH6756" i="14"/>
  <c r="E6756" i="14"/>
  <c r="AH6755" i="14"/>
  <c r="E6755" i="14"/>
  <c r="AH6754" i="14"/>
  <c r="E6754" i="14"/>
  <c r="AH6753" i="14"/>
  <c r="E6753" i="14"/>
  <c r="AH6752" i="14"/>
  <c r="E6752" i="14"/>
  <c r="AH6751" i="14"/>
  <c r="E6751" i="14"/>
  <c r="AH6750" i="14"/>
  <c r="E6750" i="14"/>
  <c r="AH6749" i="14"/>
  <c r="E6749" i="14"/>
  <c r="AH6748" i="14"/>
  <c r="E6748" i="14"/>
  <c r="AH6747" i="14"/>
  <c r="V6747" i="14"/>
  <c r="E6747" i="14"/>
  <c r="AH6746" i="14"/>
  <c r="E6746" i="14"/>
  <c r="AH6745" i="14"/>
  <c r="V6745" i="14"/>
  <c r="E6745" i="14"/>
  <c r="AH6744" i="14"/>
  <c r="E6744" i="14"/>
  <c r="AH6743" i="14"/>
  <c r="E6743" i="14"/>
  <c r="AH6742" i="14"/>
  <c r="E6742" i="14"/>
  <c r="AH6741" i="14"/>
  <c r="E6741" i="14"/>
  <c r="AH6740" i="14"/>
  <c r="E6740" i="14"/>
  <c r="AH6739" i="14"/>
  <c r="E6739" i="14"/>
  <c r="AH6738" i="14"/>
  <c r="E6738" i="14"/>
  <c r="AH6737" i="14"/>
  <c r="E6737" i="14"/>
  <c r="AH6736" i="14"/>
  <c r="E6736" i="14"/>
  <c r="AH6735" i="14"/>
  <c r="E6735" i="14"/>
  <c r="AH6734" i="14"/>
  <c r="V6734" i="14"/>
  <c r="E6734" i="14"/>
  <c r="AH6733" i="14"/>
  <c r="V6733" i="14"/>
  <c r="E6733" i="14"/>
  <c r="AH6732" i="14"/>
  <c r="E6732" i="14"/>
  <c r="AH6731" i="14"/>
  <c r="E6731" i="14"/>
  <c r="AH6730" i="14"/>
  <c r="E6730" i="14"/>
  <c r="AH6729" i="14"/>
  <c r="W6729" i="14"/>
  <c r="V6729" i="14"/>
  <c r="E6729" i="14"/>
  <c r="AH6728" i="14"/>
  <c r="E6728" i="14"/>
  <c r="AH6727" i="14"/>
  <c r="E6727" i="14"/>
  <c r="AH6726" i="14"/>
  <c r="E6726" i="14"/>
  <c r="AH6725" i="14"/>
  <c r="E6725" i="14"/>
  <c r="AH6724" i="14"/>
  <c r="E6724" i="14"/>
  <c r="AH6723" i="14"/>
  <c r="E6723" i="14"/>
  <c r="AH6722" i="14"/>
  <c r="E6722" i="14"/>
  <c r="AH6721" i="14"/>
  <c r="E6721" i="14"/>
  <c r="AH6720" i="14"/>
  <c r="E6720" i="14"/>
  <c r="AH6719" i="14"/>
  <c r="E6719" i="14"/>
  <c r="AH6718" i="14"/>
  <c r="E6718" i="14"/>
  <c r="AH6717" i="14"/>
  <c r="E6717" i="14"/>
  <c r="AH6716" i="14"/>
  <c r="E6716" i="14"/>
  <c r="AH6715" i="14"/>
  <c r="E6715" i="14"/>
  <c r="AH6714" i="14"/>
  <c r="E6714" i="14"/>
  <c r="AH6713" i="14"/>
  <c r="E6713" i="14"/>
  <c r="AH6712" i="14"/>
  <c r="E6712" i="14"/>
  <c r="AH6711" i="14"/>
  <c r="V6711" i="14"/>
  <c r="E6711" i="14"/>
  <c r="AH6710" i="14"/>
  <c r="E6710" i="14"/>
  <c r="AH6709" i="14"/>
  <c r="E6709" i="14"/>
  <c r="AH6708" i="14"/>
  <c r="E6708" i="14"/>
  <c r="AH6707" i="14"/>
  <c r="E6707" i="14"/>
  <c r="AH6706" i="14"/>
  <c r="E6706" i="14"/>
  <c r="AH6705" i="14"/>
  <c r="E6705" i="14"/>
  <c r="AH6704" i="14"/>
  <c r="E6704" i="14"/>
  <c r="AH6703" i="14"/>
  <c r="E6703" i="14"/>
  <c r="AH6702" i="14"/>
  <c r="E6702" i="14"/>
  <c r="AH6701" i="14"/>
  <c r="V6701" i="14"/>
  <c r="E6701" i="14"/>
  <c r="AH6700" i="14"/>
  <c r="W6700" i="14"/>
  <c r="V6700" i="14"/>
  <c r="E6700" i="14"/>
  <c r="AH6699" i="14"/>
  <c r="E6699" i="14"/>
  <c r="AH6698" i="14"/>
  <c r="E6698" i="14"/>
  <c r="AH6697" i="14"/>
  <c r="V6697" i="14"/>
  <c r="E6697" i="14"/>
  <c r="AH6696" i="14"/>
  <c r="W6696" i="14"/>
  <c r="V6696" i="14"/>
  <c r="E6696" i="14"/>
  <c r="AH6695" i="14"/>
  <c r="E6695" i="14"/>
  <c r="AH6694" i="14"/>
  <c r="W6694" i="14"/>
  <c r="V6694" i="14"/>
  <c r="E6694" i="14"/>
  <c r="AH6693" i="14"/>
  <c r="E6693" i="14"/>
  <c r="AH6692" i="14"/>
  <c r="V6692" i="14"/>
  <c r="E6692" i="14"/>
  <c r="AH6691" i="14"/>
  <c r="V6691" i="14"/>
  <c r="E6691" i="14"/>
  <c r="AH6690" i="14"/>
  <c r="E6690" i="14"/>
  <c r="AH6689" i="14"/>
  <c r="V6689" i="14"/>
  <c r="E6689" i="14"/>
  <c r="AH6688" i="14"/>
  <c r="W6688" i="14"/>
  <c r="V6688" i="14"/>
  <c r="E6688" i="14"/>
  <c r="AH6687" i="14"/>
  <c r="V6687" i="14"/>
  <c r="E6687" i="14"/>
  <c r="AH6686" i="14"/>
  <c r="W6686" i="14"/>
  <c r="V6686" i="14"/>
  <c r="E6686" i="14"/>
  <c r="AH6685" i="14"/>
  <c r="W6685" i="14"/>
  <c r="V6685" i="14"/>
  <c r="E6685" i="14"/>
  <c r="AH6684" i="14"/>
  <c r="V6684" i="14"/>
  <c r="E6684" i="14"/>
  <c r="AH6683" i="14"/>
  <c r="E6683" i="14"/>
  <c r="AH6682" i="14"/>
  <c r="V6682" i="14"/>
  <c r="E6682" i="14"/>
  <c r="AH6681" i="14"/>
  <c r="E6681" i="14"/>
  <c r="AH6680" i="14"/>
  <c r="V6680" i="14"/>
  <c r="E6680" i="14"/>
  <c r="AH6679" i="14"/>
  <c r="V6679" i="14"/>
  <c r="E6679" i="14"/>
  <c r="AH6678" i="14"/>
  <c r="V6678" i="14"/>
  <c r="E6678" i="14"/>
  <c r="AH6677" i="14"/>
  <c r="E6677" i="14"/>
  <c r="AH6676" i="14"/>
  <c r="E6676" i="14"/>
  <c r="AH6675" i="14"/>
  <c r="E6675" i="14"/>
  <c r="AH6674" i="14"/>
  <c r="E6674" i="14"/>
  <c r="AH6673" i="14"/>
  <c r="V6673" i="14"/>
  <c r="E6673" i="14"/>
  <c r="AH6672" i="14"/>
  <c r="E6672" i="14"/>
  <c r="AH6671" i="14"/>
  <c r="E6671" i="14"/>
  <c r="AH6670" i="14"/>
  <c r="E6670" i="14"/>
  <c r="AH6669" i="14"/>
  <c r="E6669" i="14"/>
  <c r="AH6668" i="14"/>
  <c r="E6668" i="14"/>
  <c r="AH6667" i="14"/>
  <c r="E6667" i="14"/>
  <c r="AH6666" i="14"/>
  <c r="W6666" i="14"/>
  <c r="V6666" i="14"/>
  <c r="E6666" i="14"/>
  <c r="AH6665" i="14"/>
  <c r="V6665" i="14"/>
  <c r="E6665" i="14"/>
  <c r="AH6664" i="14"/>
  <c r="E6664" i="14"/>
  <c r="AH6663" i="14"/>
  <c r="V6663" i="14"/>
  <c r="E6663" i="14"/>
  <c r="AH6662" i="14"/>
  <c r="E6662" i="14"/>
  <c r="AH6661" i="14"/>
  <c r="W6661" i="14"/>
  <c r="V6661" i="14"/>
  <c r="E6661" i="14"/>
  <c r="AH6660" i="14"/>
  <c r="W6660" i="14"/>
  <c r="V6660" i="14"/>
  <c r="E6660" i="14"/>
  <c r="AH6659" i="14"/>
  <c r="W6659" i="14"/>
  <c r="V6659" i="14"/>
  <c r="E6659" i="14"/>
  <c r="AH6658" i="14"/>
  <c r="W6658" i="14"/>
  <c r="V6658" i="14"/>
  <c r="E6658" i="14"/>
  <c r="AH6657" i="14"/>
  <c r="E6657" i="14"/>
  <c r="AH6656" i="14"/>
  <c r="W6656" i="14"/>
  <c r="V6656" i="14"/>
  <c r="E6656" i="14"/>
  <c r="AH6655" i="14"/>
  <c r="E6655" i="14"/>
  <c r="AH6654" i="14"/>
  <c r="V6654" i="14"/>
  <c r="E6654" i="14"/>
  <c r="AH6653" i="14"/>
  <c r="E6653" i="14"/>
  <c r="AH6652" i="14"/>
  <c r="E6652" i="14"/>
  <c r="AH6651" i="14"/>
  <c r="E6651" i="14"/>
  <c r="AH6650" i="14"/>
  <c r="E6650" i="14"/>
  <c r="AH6649" i="14"/>
  <c r="E6649" i="14"/>
  <c r="AH6648" i="14"/>
  <c r="W6648" i="14"/>
  <c r="V6648" i="14"/>
  <c r="E6648" i="14"/>
  <c r="AH6647" i="14"/>
  <c r="V6647" i="14"/>
  <c r="E6647" i="14"/>
  <c r="AH6646" i="14"/>
  <c r="E6646" i="14"/>
  <c r="AH6645" i="14"/>
  <c r="W6645" i="14"/>
  <c r="V6645" i="14"/>
  <c r="E6645" i="14"/>
  <c r="AH6644" i="14"/>
  <c r="V6644" i="14"/>
  <c r="E6644" i="14"/>
  <c r="AH6643" i="14"/>
  <c r="E6643" i="14"/>
  <c r="AH6642" i="14"/>
  <c r="W6642" i="14"/>
  <c r="V6642" i="14"/>
  <c r="E6642" i="14"/>
  <c r="AH6641" i="14"/>
  <c r="V6641" i="14"/>
  <c r="E6641" i="14"/>
  <c r="AH6640" i="14"/>
  <c r="E6640" i="14"/>
  <c r="AH6639" i="14"/>
  <c r="E6639" i="14"/>
  <c r="AH6638" i="14"/>
  <c r="V6638" i="14"/>
  <c r="E6638" i="14"/>
  <c r="AH6637" i="14"/>
  <c r="E6637" i="14"/>
  <c r="AH6636" i="14"/>
  <c r="E6636" i="14"/>
  <c r="AH6635" i="14"/>
  <c r="E6635" i="14"/>
  <c r="AH6634" i="14"/>
  <c r="E6634" i="14"/>
  <c r="AH6633" i="14"/>
  <c r="E6633" i="14"/>
  <c r="AH6632" i="14"/>
  <c r="V6632" i="14"/>
  <c r="E6632" i="14"/>
  <c r="AH6631" i="14"/>
  <c r="E6631" i="14"/>
  <c r="AH6630" i="14"/>
  <c r="E6630" i="14"/>
  <c r="AH6629" i="14"/>
  <c r="W6629" i="14"/>
  <c r="V6629" i="14"/>
  <c r="E6629" i="14"/>
  <c r="AH6628" i="14"/>
  <c r="E6628" i="14"/>
  <c r="AH6627" i="14"/>
  <c r="V6627" i="14"/>
  <c r="E6627" i="14"/>
  <c r="AH6626" i="14"/>
  <c r="E6626" i="14"/>
  <c r="AH6625" i="14"/>
  <c r="E6625" i="14"/>
  <c r="AH6624" i="14"/>
  <c r="E6624" i="14"/>
  <c r="AH6623" i="14"/>
  <c r="E6623" i="14"/>
  <c r="AH6622" i="14"/>
  <c r="E6622" i="14"/>
  <c r="AH6621" i="14"/>
  <c r="V6621" i="14"/>
  <c r="E6621" i="14"/>
  <c r="AH6620" i="14"/>
  <c r="E6620" i="14"/>
  <c r="AH6619" i="14"/>
  <c r="E6619" i="14"/>
  <c r="AH6618" i="14"/>
  <c r="E6618" i="14"/>
  <c r="AH6617" i="14"/>
  <c r="E6617" i="14"/>
  <c r="AH6616" i="14"/>
  <c r="E6616" i="14"/>
  <c r="AH6615" i="14"/>
  <c r="V6615" i="14"/>
  <c r="E6615" i="14"/>
  <c r="AH6614" i="14"/>
  <c r="E6614" i="14"/>
  <c r="AH6613" i="14"/>
  <c r="V6613" i="14"/>
  <c r="E6613" i="14"/>
  <c r="AH6612" i="14"/>
  <c r="V6612" i="14"/>
  <c r="E6612" i="14"/>
  <c r="AH6611" i="14"/>
  <c r="E6611" i="14"/>
  <c r="AH6610" i="14"/>
  <c r="V6610" i="14"/>
  <c r="E6610" i="14"/>
  <c r="AH6609" i="14"/>
  <c r="E6609" i="14"/>
  <c r="AH6608" i="14"/>
  <c r="E6608" i="14"/>
  <c r="AH6607" i="14"/>
  <c r="V6607" i="14"/>
  <c r="E6607" i="14"/>
  <c r="AH6606" i="14"/>
  <c r="E6606" i="14"/>
  <c r="AH6605" i="14"/>
  <c r="E6605" i="14"/>
  <c r="AH6604" i="14"/>
  <c r="E6604" i="14"/>
  <c r="AH6603" i="14"/>
  <c r="E6603" i="14"/>
  <c r="AH6602" i="14"/>
  <c r="V6602" i="14"/>
  <c r="E6602" i="14"/>
  <c r="AH6601" i="14"/>
  <c r="E6601" i="14"/>
  <c r="AH6600" i="14"/>
  <c r="V6600" i="14"/>
  <c r="E6600" i="14"/>
  <c r="AH6599" i="14"/>
  <c r="E6599" i="14"/>
  <c r="AH6598" i="14"/>
  <c r="W6598" i="14"/>
  <c r="V6598" i="14"/>
  <c r="E6598" i="14"/>
  <c r="AH6597" i="14"/>
  <c r="W6597" i="14"/>
  <c r="V6597" i="14"/>
  <c r="E6597" i="14"/>
  <c r="AH6596" i="14"/>
  <c r="W6596" i="14"/>
  <c r="V6596" i="14"/>
  <c r="E6596" i="14"/>
  <c r="AH6595" i="14"/>
  <c r="V6595" i="14"/>
  <c r="E6595" i="14"/>
  <c r="AH6594" i="14"/>
  <c r="V6594" i="14"/>
  <c r="E6594" i="14"/>
  <c r="AH6593" i="14"/>
  <c r="E6593" i="14"/>
  <c r="AH6592" i="14"/>
  <c r="V6592" i="14"/>
  <c r="E6592" i="14"/>
  <c r="AH6591" i="14"/>
  <c r="W6591" i="14"/>
  <c r="V6591" i="14"/>
  <c r="E6591" i="14"/>
  <c r="AH6590" i="14"/>
  <c r="V6590" i="14"/>
  <c r="E6590" i="14"/>
  <c r="AH6589" i="14"/>
  <c r="E6589" i="14"/>
  <c r="AH6588" i="14"/>
  <c r="E6588" i="14"/>
  <c r="AH6587" i="14"/>
  <c r="W6587" i="14"/>
  <c r="V6587" i="14"/>
  <c r="E6587" i="14"/>
  <c r="AH6586" i="14"/>
  <c r="V6586" i="14"/>
  <c r="E6586" i="14"/>
  <c r="AH6585" i="14"/>
  <c r="V6585" i="14"/>
  <c r="E6585" i="14"/>
  <c r="AH6584" i="14"/>
  <c r="W6584" i="14"/>
  <c r="V6584" i="14"/>
  <c r="E6584" i="14"/>
  <c r="AH6583" i="14"/>
  <c r="E6583" i="14"/>
  <c r="AH6582" i="14"/>
  <c r="W6582" i="14"/>
  <c r="V6582" i="14"/>
  <c r="E6582" i="14"/>
  <c r="AH6581" i="14"/>
  <c r="E6581" i="14"/>
  <c r="AH6580" i="14"/>
  <c r="E6580" i="14"/>
  <c r="AH6579" i="14"/>
  <c r="V6579" i="14"/>
  <c r="E6579" i="14"/>
  <c r="AH6578" i="14"/>
  <c r="E6578" i="14"/>
  <c r="AH6577" i="14"/>
  <c r="V6577" i="14"/>
  <c r="E6577" i="14"/>
  <c r="AH6576" i="14"/>
  <c r="V6576" i="14"/>
  <c r="E6576" i="14"/>
  <c r="AH6575" i="14"/>
  <c r="E6575" i="14"/>
  <c r="AH6574" i="14"/>
  <c r="E6574" i="14"/>
  <c r="AH6573" i="14"/>
  <c r="E6573" i="14"/>
  <c r="AH6572" i="14"/>
  <c r="E6572" i="14"/>
  <c r="AH6571" i="14"/>
  <c r="E6571" i="14"/>
  <c r="AH6570" i="14"/>
  <c r="V6570" i="14"/>
  <c r="E6570" i="14"/>
  <c r="AH6569" i="14"/>
  <c r="E6569" i="14"/>
  <c r="AH6568" i="14"/>
  <c r="V6568" i="14"/>
  <c r="E6568" i="14"/>
  <c r="AH6567" i="14"/>
  <c r="E6567" i="14"/>
  <c r="AH6566" i="14"/>
  <c r="V6566" i="14"/>
  <c r="E6566" i="14"/>
  <c r="AH6565" i="14"/>
  <c r="W6565" i="14"/>
  <c r="V6565" i="14"/>
  <c r="E6565" i="14"/>
  <c r="AH6564" i="14"/>
  <c r="V6564" i="14"/>
  <c r="E6564" i="14"/>
  <c r="AH6563" i="14"/>
  <c r="V6563" i="14"/>
  <c r="E6563" i="14"/>
  <c r="AH6562" i="14"/>
  <c r="V6562" i="14"/>
  <c r="E6562" i="14"/>
  <c r="AH6561" i="14"/>
  <c r="V6561" i="14"/>
  <c r="E6561" i="14"/>
  <c r="AH6560" i="14"/>
  <c r="W6560" i="14"/>
  <c r="V6560" i="14"/>
  <c r="E6560" i="14"/>
  <c r="AH6559" i="14"/>
  <c r="V6559" i="14"/>
  <c r="E6559" i="14"/>
  <c r="AH6558" i="14"/>
  <c r="V6558" i="14"/>
  <c r="E6558" i="14"/>
  <c r="AH6557" i="14"/>
  <c r="V6557" i="14"/>
  <c r="E6557" i="14"/>
  <c r="AH6556" i="14"/>
  <c r="V6556" i="14"/>
  <c r="E6556" i="14"/>
  <c r="AH6555" i="14"/>
  <c r="V6555" i="14"/>
  <c r="E6555" i="14"/>
  <c r="AH6554" i="14"/>
  <c r="V6554" i="14"/>
  <c r="E6554" i="14"/>
  <c r="AH6553" i="14"/>
  <c r="V6553" i="14"/>
  <c r="E6553" i="14"/>
  <c r="AH6552" i="14"/>
  <c r="V6552" i="14"/>
  <c r="E6552" i="14"/>
  <c r="AH6551" i="14"/>
  <c r="V6551" i="14"/>
  <c r="E6551" i="14"/>
  <c r="AH6550" i="14"/>
  <c r="V6550" i="14"/>
  <c r="E6550" i="14"/>
  <c r="AH6549" i="14"/>
  <c r="E6549" i="14"/>
  <c r="AH6548" i="14"/>
  <c r="V6548" i="14"/>
  <c r="E6548" i="14"/>
  <c r="AH6547" i="14"/>
  <c r="E6547" i="14"/>
  <c r="AH6546" i="14"/>
  <c r="W6546" i="14"/>
  <c r="V6546" i="14"/>
  <c r="E6546" i="14"/>
  <c r="AH6545" i="14"/>
  <c r="W6545" i="14"/>
  <c r="V6545" i="14"/>
  <c r="E6545" i="14"/>
  <c r="AH6544" i="14"/>
  <c r="W6544" i="14"/>
  <c r="V6544" i="14"/>
  <c r="E6544" i="14"/>
  <c r="AH6543" i="14"/>
  <c r="E6543" i="14"/>
  <c r="AH6542" i="14"/>
  <c r="V6542" i="14"/>
  <c r="E6542" i="14"/>
  <c r="AH6541" i="14"/>
  <c r="V6541" i="14"/>
  <c r="E6541" i="14"/>
  <c r="AH6540" i="14"/>
  <c r="W6540" i="14"/>
  <c r="V6540" i="14"/>
  <c r="E6540" i="14"/>
  <c r="AH6539" i="14"/>
  <c r="V6539" i="14"/>
  <c r="E6539" i="14"/>
  <c r="AH6538" i="14"/>
  <c r="V6538" i="14"/>
  <c r="E6538" i="14"/>
  <c r="AH6537" i="14"/>
  <c r="E6537" i="14"/>
  <c r="AH6536" i="14"/>
  <c r="E6536" i="14"/>
  <c r="AH6535" i="14"/>
  <c r="V6535" i="14"/>
  <c r="E6535" i="14"/>
  <c r="AH6534" i="14"/>
  <c r="E6534" i="14"/>
  <c r="AH6533" i="14"/>
  <c r="V6533" i="14"/>
  <c r="E6533" i="14"/>
  <c r="AH6532" i="14"/>
  <c r="V6532" i="14"/>
  <c r="E6532" i="14"/>
  <c r="AH6531" i="14"/>
  <c r="V6531" i="14"/>
  <c r="E6531" i="14"/>
  <c r="AH6530" i="14"/>
  <c r="E6530" i="14"/>
  <c r="AH6529" i="14"/>
  <c r="E6529" i="14"/>
  <c r="AH6528" i="14"/>
  <c r="E6528" i="14"/>
  <c r="AH6527" i="14"/>
  <c r="V6527" i="14"/>
  <c r="E6527" i="14"/>
  <c r="AH6526" i="14"/>
  <c r="V6526" i="14"/>
  <c r="E6526" i="14"/>
  <c r="AH6525" i="14"/>
  <c r="E6525" i="14"/>
  <c r="AH6524" i="14"/>
  <c r="V6524" i="14"/>
  <c r="E6524" i="14"/>
  <c r="AH6523" i="14"/>
  <c r="W6523" i="14"/>
  <c r="V6523" i="14"/>
  <c r="E6523" i="14"/>
  <c r="AH6522" i="14"/>
  <c r="V6522" i="14"/>
  <c r="E6522" i="14"/>
  <c r="AH6521" i="14"/>
  <c r="E6521" i="14"/>
  <c r="AH6520" i="14"/>
  <c r="V6520" i="14"/>
  <c r="E6520" i="14"/>
  <c r="AH6519" i="14"/>
  <c r="E6519" i="14"/>
  <c r="AH6518" i="14"/>
  <c r="V6518" i="14"/>
  <c r="E6518" i="14"/>
  <c r="AH6517" i="14"/>
  <c r="E6517" i="14"/>
  <c r="AH6516" i="14"/>
  <c r="V6516" i="14"/>
  <c r="E6516" i="14"/>
  <c r="AH6515" i="14"/>
  <c r="V6515" i="14"/>
  <c r="E6515" i="14"/>
  <c r="AH6514" i="14"/>
  <c r="E6514" i="14"/>
  <c r="AH6513" i="14"/>
  <c r="E6513" i="14"/>
  <c r="AH6512" i="14"/>
  <c r="V6512" i="14"/>
  <c r="E6512" i="14"/>
  <c r="AH6511" i="14"/>
  <c r="E6511" i="14"/>
  <c r="AH6510" i="14"/>
  <c r="V6510" i="14"/>
  <c r="E6510" i="14"/>
  <c r="AH6509" i="14"/>
  <c r="V6509" i="14"/>
  <c r="E6509" i="14"/>
  <c r="AH6508" i="14"/>
  <c r="V6508" i="14"/>
  <c r="E6508" i="14"/>
  <c r="AH6507" i="14"/>
  <c r="V6507" i="14"/>
  <c r="E6507" i="14"/>
  <c r="AH6506" i="14"/>
  <c r="V6506" i="14"/>
  <c r="E6506" i="14"/>
  <c r="AH6505" i="14"/>
  <c r="V6505" i="14"/>
  <c r="E6505" i="14"/>
  <c r="AH6504" i="14"/>
  <c r="V6504" i="14"/>
  <c r="E6504" i="14"/>
  <c r="AH6503" i="14"/>
  <c r="V6503" i="14"/>
  <c r="E6503" i="14"/>
  <c r="AH6502" i="14"/>
  <c r="V6502" i="14"/>
  <c r="E6502" i="14"/>
  <c r="AH6501" i="14"/>
  <c r="V6501" i="14"/>
  <c r="O6501" i="14"/>
  <c r="E6501" i="14"/>
  <c r="AH6500" i="14"/>
  <c r="V6500" i="14"/>
  <c r="E6500" i="14"/>
  <c r="AH6499" i="14"/>
  <c r="E6499" i="14"/>
  <c r="AH6498" i="14"/>
  <c r="V6498" i="14"/>
  <c r="E6498" i="14"/>
  <c r="AH6497" i="14"/>
  <c r="V6497" i="14"/>
  <c r="E6497" i="14"/>
  <c r="AH6496" i="14"/>
  <c r="E6496" i="14"/>
  <c r="AH6495" i="14"/>
  <c r="E6495" i="14"/>
  <c r="AH6494" i="14"/>
  <c r="V6494" i="14"/>
  <c r="E6494" i="14"/>
  <c r="AH6493" i="14"/>
  <c r="V6493" i="14"/>
  <c r="E6493" i="14"/>
  <c r="AH6492" i="14"/>
  <c r="V6492" i="14"/>
  <c r="E6492" i="14"/>
  <c r="AH6491" i="14"/>
  <c r="V6491" i="14"/>
  <c r="E6491" i="14"/>
  <c r="AH6490" i="14"/>
  <c r="V6490" i="14"/>
  <c r="E6490" i="14"/>
  <c r="AH6489" i="14"/>
  <c r="W6489" i="14"/>
  <c r="V6489" i="14"/>
  <c r="E6489" i="14"/>
  <c r="AH6488" i="14"/>
  <c r="V6488" i="14"/>
  <c r="E6488" i="14"/>
  <c r="AH6487" i="14"/>
  <c r="E6487" i="14"/>
  <c r="AH6486" i="14"/>
  <c r="E6486" i="14"/>
  <c r="AH6485" i="14"/>
  <c r="V6485" i="14"/>
  <c r="E6485" i="14"/>
  <c r="AH6484" i="14"/>
  <c r="E6484" i="14"/>
  <c r="AH6483" i="14"/>
  <c r="V6483" i="14"/>
  <c r="E6483" i="14"/>
  <c r="AH6482" i="14"/>
  <c r="V6482" i="14"/>
  <c r="E6482" i="14"/>
  <c r="AH6481" i="14"/>
  <c r="V6481" i="14"/>
  <c r="E6481" i="14"/>
  <c r="AH6480" i="14"/>
  <c r="E6480" i="14"/>
  <c r="AH6479" i="14"/>
  <c r="V6479" i="14"/>
  <c r="E6479" i="14"/>
  <c r="AH6478" i="14"/>
  <c r="V6478" i="14"/>
  <c r="E6478" i="14"/>
  <c r="AH6477" i="14"/>
  <c r="V6477" i="14"/>
  <c r="E6477" i="14"/>
  <c r="AH6476" i="14"/>
  <c r="V6476" i="14"/>
  <c r="E6476" i="14"/>
  <c r="AH6475" i="14"/>
  <c r="V6475" i="14"/>
  <c r="E6475" i="14"/>
  <c r="AH6474" i="14"/>
  <c r="W6474" i="14"/>
  <c r="V6474" i="14"/>
  <c r="E6474" i="14"/>
  <c r="AH6473" i="14"/>
  <c r="V6473" i="14"/>
  <c r="E6473" i="14"/>
  <c r="AH6472" i="14"/>
  <c r="W6472" i="14"/>
  <c r="V6472" i="14"/>
  <c r="E6472" i="14"/>
  <c r="AH6471" i="14"/>
  <c r="V6471" i="14"/>
  <c r="E6471" i="14"/>
  <c r="AH6470" i="14"/>
  <c r="W6470" i="14"/>
  <c r="V6470" i="14"/>
  <c r="E6470" i="14"/>
  <c r="AH6469" i="14"/>
  <c r="V6469" i="14"/>
  <c r="E6469" i="14"/>
  <c r="AH6468" i="14"/>
  <c r="V6468" i="14"/>
  <c r="E6468" i="14"/>
  <c r="AH6467" i="14"/>
  <c r="E6467" i="14"/>
  <c r="AH6466" i="14"/>
  <c r="V6466" i="14"/>
  <c r="E6466" i="14"/>
  <c r="AH6465" i="14"/>
  <c r="W6465" i="14"/>
  <c r="V6465" i="14"/>
  <c r="E6465" i="14"/>
  <c r="AH6464" i="14"/>
  <c r="W6464" i="14"/>
  <c r="V6464" i="14"/>
  <c r="E6464" i="14"/>
  <c r="AH6463" i="14"/>
  <c r="E6463" i="14"/>
  <c r="AH6462" i="14"/>
  <c r="W6462" i="14"/>
  <c r="V6462" i="14"/>
  <c r="E6462" i="14"/>
  <c r="AH6461" i="14"/>
  <c r="V6461" i="14"/>
  <c r="E6461" i="14"/>
  <c r="AH6460" i="14"/>
  <c r="V6460" i="14"/>
  <c r="E6460" i="14"/>
  <c r="AH6459" i="14"/>
  <c r="V6459" i="14"/>
  <c r="E6459" i="14"/>
  <c r="AH6458" i="14"/>
  <c r="E6458" i="14"/>
  <c r="AH6457" i="14"/>
  <c r="E6457" i="14"/>
  <c r="AH6456" i="14"/>
  <c r="E6456" i="14"/>
  <c r="AH6455" i="14"/>
  <c r="E6455" i="14"/>
  <c r="AH6454" i="14"/>
  <c r="E6454" i="14"/>
  <c r="AH6453" i="14"/>
  <c r="E6453" i="14"/>
  <c r="AH6452" i="14"/>
  <c r="E6452" i="14"/>
  <c r="AH6451" i="14"/>
  <c r="E6451" i="14"/>
  <c r="AH6450" i="14"/>
  <c r="E6450" i="14"/>
  <c r="AH6449" i="14"/>
  <c r="E6449" i="14"/>
  <c r="AH6448" i="14"/>
  <c r="V6448" i="14"/>
  <c r="E6448" i="14"/>
  <c r="AH6447" i="14"/>
  <c r="E6447" i="14"/>
  <c r="AH6446" i="14"/>
  <c r="E6446" i="14"/>
  <c r="AH6445" i="14"/>
  <c r="V6445" i="14"/>
  <c r="E6445" i="14"/>
  <c r="AH6444" i="14"/>
  <c r="W6444" i="14"/>
  <c r="V6444" i="14"/>
  <c r="E6444" i="14"/>
  <c r="AH6443" i="14"/>
  <c r="V6443" i="14"/>
  <c r="E6443" i="14"/>
  <c r="AH6442" i="14"/>
  <c r="V6442" i="14"/>
  <c r="E6442" i="14"/>
  <c r="AH6441" i="14"/>
  <c r="V6441" i="14"/>
  <c r="E6441" i="14"/>
  <c r="AH6440" i="14"/>
  <c r="E6440" i="14"/>
  <c r="AH6439" i="14"/>
  <c r="E6439" i="14"/>
  <c r="AH6438" i="14"/>
  <c r="E6438" i="14"/>
  <c r="AH6437" i="14"/>
  <c r="E6437" i="14"/>
  <c r="AH6436" i="14"/>
  <c r="E6436" i="14"/>
  <c r="AH6435" i="14"/>
  <c r="E6435" i="14"/>
  <c r="AH6434" i="14"/>
  <c r="E6434" i="14"/>
  <c r="AH6433" i="14"/>
  <c r="E6433" i="14"/>
  <c r="AH6432" i="14"/>
  <c r="W6432" i="14"/>
  <c r="V6432" i="14"/>
  <c r="E6432" i="14"/>
  <c r="AH6431" i="14"/>
  <c r="V6431" i="14"/>
  <c r="E6431" i="14"/>
  <c r="AH6430" i="14"/>
  <c r="W6430" i="14"/>
  <c r="V6430" i="14"/>
  <c r="E6430" i="14"/>
  <c r="AH6429" i="14"/>
  <c r="W6429" i="14"/>
  <c r="V6429" i="14"/>
  <c r="E6429" i="14"/>
  <c r="AH6428" i="14"/>
  <c r="V6428" i="14"/>
  <c r="E6428" i="14"/>
  <c r="AH6427" i="14"/>
  <c r="W6427" i="14"/>
  <c r="V6427" i="14"/>
  <c r="E6427" i="14"/>
  <c r="AH6426" i="14"/>
  <c r="V6426" i="14"/>
  <c r="E6426" i="14"/>
  <c r="AH6425" i="14"/>
  <c r="E6425" i="14"/>
  <c r="AH6424" i="14"/>
  <c r="E6424" i="14"/>
  <c r="AH6423" i="14"/>
  <c r="W6423" i="14"/>
  <c r="V6423" i="14"/>
  <c r="E6423" i="14"/>
  <c r="AH6422" i="14"/>
  <c r="V6422" i="14"/>
  <c r="E6422" i="14"/>
  <c r="AH6421" i="14"/>
  <c r="E6421" i="14"/>
  <c r="AH6420" i="14"/>
  <c r="E6420" i="14"/>
  <c r="AH6419" i="14"/>
  <c r="E6419" i="14"/>
  <c r="AH6418" i="14"/>
  <c r="E6418" i="14"/>
  <c r="AH6417" i="14"/>
  <c r="V6417" i="14"/>
  <c r="E6417" i="14"/>
  <c r="AH6416" i="14"/>
  <c r="E6416" i="14"/>
  <c r="AH6415" i="14"/>
  <c r="E6415" i="14"/>
  <c r="AH6414" i="14"/>
  <c r="E6414" i="14"/>
  <c r="AH6413" i="14"/>
  <c r="V6413" i="14"/>
  <c r="E6413" i="14"/>
  <c r="AH6412" i="14"/>
  <c r="E6412" i="14"/>
  <c r="AH6411" i="14"/>
  <c r="V6411" i="14"/>
  <c r="E6411" i="14"/>
  <c r="AH6410" i="14"/>
  <c r="E6410" i="14"/>
  <c r="AH6409" i="14"/>
  <c r="V6409" i="14"/>
  <c r="E6409" i="14"/>
  <c r="AH6408" i="14"/>
  <c r="V6408" i="14"/>
  <c r="E6408" i="14"/>
  <c r="AH6407" i="14"/>
  <c r="E6407" i="14"/>
  <c r="AH6406" i="14"/>
  <c r="E6406" i="14"/>
  <c r="AH6405" i="14"/>
  <c r="V6405" i="14"/>
  <c r="E6405" i="14"/>
  <c r="AH6404" i="14"/>
  <c r="V6404" i="14"/>
  <c r="E6404" i="14"/>
  <c r="AH6403" i="14"/>
  <c r="E6403" i="14"/>
  <c r="AH6402" i="14"/>
  <c r="W6402" i="14"/>
  <c r="V6402" i="14"/>
  <c r="E6402" i="14"/>
  <c r="AH6401" i="14"/>
  <c r="W6401" i="14"/>
  <c r="V6401" i="14"/>
  <c r="E6401" i="14"/>
  <c r="AH6400" i="14"/>
  <c r="V6400" i="14"/>
  <c r="E6400" i="14"/>
  <c r="AH6399" i="14"/>
  <c r="V6399" i="14"/>
  <c r="E6399" i="14"/>
  <c r="AH6398" i="14"/>
  <c r="V6398" i="14"/>
  <c r="E6398" i="14"/>
  <c r="AH6397" i="14"/>
  <c r="V6397" i="14"/>
  <c r="E6397" i="14"/>
  <c r="AH6396" i="14"/>
  <c r="W6396" i="14"/>
  <c r="V6396" i="14"/>
  <c r="E6396" i="14"/>
  <c r="AH6395" i="14"/>
  <c r="E6395" i="14"/>
  <c r="AH6394" i="14"/>
  <c r="V6394" i="14"/>
  <c r="E6394" i="14"/>
  <c r="AH6393" i="14"/>
  <c r="E6393" i="14"/>
  <c r="AH6392" i="14"/>
  <c r="V6392" i="14"/>
  <c r="E6392" i="14"/>
  <c r="AH6391" i="14"/>
  <c r="E6391" i="14"/>
  <c r="AH6390" i="14"/>
  <c r="E6390" i="14"/>
  <c r="AH6389" i="14"/>
  <c r="W6389" i="14"/>
  <c r="V6389" i="14"/>
  <c r="E6389" i="14"/>
  <c r="AH6388" i="14"/>
  <c r="E6388" i="14"/>
  <c r="AH6387" i="14"/>
  <c r="V6387" i="14"/>
  <c r="E6387" i="14"/>
  <c r="AH6386" i="14"/>
  <c r="E6386" i="14"/>
  <c r="AH6385" i="14"/>
  <c r="V6385" i="14"/>
  <c r="E6385" i="14"/>
  <c r="AH6384" i="14"/>
  <c r="E6384" i="14"/>
  <c r="AH6383" i="14"/>
  <c r="E6383" i="14"/>
  <c r="AH6382" i="14"/>
  <c r="E6382" i="14"/>
  <c r="AH6381" i="14"/>
  <c r="E6381" i="14"/>
  <c r="AH6380" i="14"/>
  <c r="E6380" i="14"/>
  <c r="AH6379" i="14"/>
  <c r="E6379" i="14"/>
  <c r="AH6378" i="14"/>
  <c r="V6378" i="14"/>
  <c r="E6378" i="14"/>
  <c r="AH6377" i="14"/>
  <c r="W6377" i="14"/>
  <c r="V6377" i="14"/>
  <c r="E6377" i="14"/>
  <c r="AH6376" i="14"/>
  <c r="V6376" i="14"/>
  <c r="E6376" i="14"/>
  <c r="AH6375" i="14"/>
  <c r="W6375" i="14"/>
  <c r="V6375" i="14"/>
  <c r="E6375" i="14"/>
  <c r="AH6374" i="14"/>
  <c r="V6374" i="14"/>
  <c r="E6374" i="14"/>
  <c r="AH6373" i="14"/>
  <c r="E6373" i="14"/>
  <c r="AH6372" i="14"/>
  <c r="E6372" i="14"/>
  <c r="AH6371" i="14"/>
  <c r="E6371" i="14"/>
  <c r="AH6370" i="14"/>
  <c r="E6370" i="14"/>
  <c r="AH6369" i="14"/>
  <c r="E6369" i="14"/>
  <c r="AH6368" i="14"/>
  <c r="E6368" i="14"/>
  <c r="AH6367" i="14"/>
  <c r="E6367" i="14"/>
  <c r="AH6366" i="14"/>
  <c r="V6366" i="14"/>
  <c r="E6366" i="14"/>
  <c r="AH6365" i="14"/>
  <c r="E6365" i="14"/>
  <c r="AH6364" i="14"/>
  <c r="V6364" i="14"/>
  <c r="E6364" i="14"/>
  <c r="AH6363" i="14"/>
  <c r="W6363" i="14"/>
  <c r="V6363" i="14"/>
  <c r="E6363" i="14"/>
  <c r="AH6362" i="14"/>
  <c r="V6362" i="14"/>
  <c r="E6362" i="14"/>
  <c r="AH6361" i="14"/>
  <c r="V6361" i="14"/>
  <c r="E6361" i="14"/>
  <c r="AH6360" i="14"/>
  <c r="V6360" i="14"/>
  <c r="E6360" i="14"/>
  <c r="AH6359" i="14"/>
  <c r="E6359" i="14"/>
  <c r="AH6358" i="14"/>
  <c r="W6358" i="14"/>
  <c r="V6358" i="14"/>
  <c r="E6358" i="14"/>
  <c r="AH6357" i="14"/>
  <c r="V6357" i="14"/>
  <c r="E6357" i="14"/>
  <c r="AH6356" i="14"/>
  <c r="V6356" i="14"/>
  <c r="E6356" i="14"/>
  <c r="AH6355" i="14"/>
  <c r="V6355" i="14"/>
  <c r="E6355" i="14"/>
  <c r="AH6354" i="14"/>
  <c r="V6354" i="14"/>
  <c r="E6354" i="14"/>
  <c r="AH6353" i="14"/>
  <c r="E6353" i="14"/>
  <c r="AH6352" i="14"/>
  <c r="V6352" i="14"/>
  <c r="E6352" i="14"/>
  <c r="AH6351" i="14"/>
  <c r="V6351" i="14"/>
  <c r="E6351" i="14"/>
  <c r="AH6350" i="14"/>
  <c r="W6350" i="14"/>
  <c r="V6350" i="14"/>
  <c r="E6350" i="14"/>
  <c r="AH6349" i="14"/>
  <c r="W6349" i="14"/>
  <c r="V6349" i="14"/>
  <c r="E6349" i="14"/>
  <c r="AH6348" i="14"/>
  <c r="V6348" i="14"/>
  <c r="E6348" i="14"/>
  <c r="AH6347" i="14"/>
  <c r="W6347" i="14"/>
  <c r="V6347" i="14"/>
  <c r="E6347" i="14"/>
  <c r="AH6346" i="14"/>
  <c r="E6346" i="14"/>
  <c r="AH6345" i="14"/>
  <c r="E6345" i="14"/>
  <c r="AH6344" i="14"/>
  <c r="W6344" i="14"/>
  <c r="V6344" i="14"/>
  <c r="E6344" i="14"/>
  <c r="AH6343" i="14"/>
  <c r="E6343" i="14"/>
  <c r="AH6342" i="14"/>
  <c r="W6342" i="14"/>
  <c r="V6342" i="14"/>
  <c r="E6342" i="14"/>
  <c r="AH6341" i="14"/>
  <c r="E6341" i="14"/>
  <c r="AH6340" i="14"/>
  <c r="W6340" i="14"/>
  <c r="V6340" i="14"/>
  <c r="E6340" i="14"/>
  <c r="AH6339" i="14"/>
  <c r="W6339" i="14"/>
  <c r="V6339" i="14"/>
  <c r="E6339" i="14"/>
  <c r="AH6338" i="14"/>
  <c r="V6338" i="14"/>
  <c r="E6338" i="14"/>
  <c r="AH6337" i="14"/>
  <c r="V6337" i="14"/>
  <c r="E6337" i="14"/>
  <c r="AH6336" i="14"/>
  <c r="V6336" i="14"/>
  <c r="E6336" i="14"/>
  <c r="AH6335" i="14"/>
  <c r="E6335" i="14"/>
  <c r="AH6334" i="14"/>
  <c r="E6334" i="14"/>
  <c r="AH6333" i="14"/>
  <c r="E6333" i="14"/>
  <c r="AH6332" i="14"/>
  <c r="E6332" i="14"/>
  <c r="AH6331" i="14"/>
  <c r="W6331" i="14"/>
  <c r="V6331" i="14"/>
  <c r="E6331" i="14"/>
  <c r="AH6330" i="14"/>
  <c r="V6330" i="14"/>
  <c r="E6330" i="14"/>
  <c r="AH6329" i="14"/>
  <c r="E6329" i="14"/>
  <c r="AH6328" i="14"/>
  <c r="V6328" i="14"/>
  <c r="E6328" i="14"/>
  <c r="AH6327" i="14"/>
  <c r="V6327" i="14"/>
  <c r="E6327" i="14"/>
  <c r="AH6326" i="14"/>
  <c r="V6326" i="14"/>
  <c r="E6326" i="14"/>
  <c r="AH6325" i="14"/>
  <c r="W6325" i="14"/>
  <c r="V6325" i="14"/>
  <c r="E6325" i="14"/>
  <c r="AH6324" i="14"/>
  <c r="E6324" i="14"/>
  <c r="AH6323" i="14"/>
  <c r="V6323" i="14"/>
  <c r="E6323" i="14"/>
  <c r="AH6322" i="14"/>
  <c r="E6322" i="14"/>
  <c r="AH6321" i="14"/>
  <c r="W6321" i="14"/>
  <c r="V6321" i="14"/>
  <c r="E6321" i="14"/>
  <c r="AH6320" i="14"/>
  <c r="W6320" i="14"/>
  <c r="V6320" i="14"/>
  <c r="E6320" i="14"/>
  <c r="AH6319" i="14"/>
  <c r="E6319" i="14"/>
  <c r="AH6318" i="14"/>
  <c r="E6318" i="14"/>
  <c r="AH6317" i="14"/>
  <c r="E6317" i="14"/>
  <c r="AH6316" i="14"/>
  <c r="E6316" i="14"/>
  <c r="AH6315" i="14"/>
  <c r="V6315" i="14"/>
  <c r="E6315" i="14"/>
  <c r="AH6314" i="14"/>
  <c r="V6314" i="14"/>
  <c r="E6314" i="14"/>
  <c r="AH6313" i="14"/>
  <c r="E6313" i="14"/>
  <c r="AH6312" i="14"/>
  <c r="E6312" i="14"/>
  <c r="AH6311" i="14"/>
  <c r="E6311" i="14"/>
  <c r="AH6310" i="14"/>
  <c r="E6310" i="14"/>
  <c r="AH6309" i="14"/>
  <c r="E6309" i="14"/>
  <c r="AH6308" i="14"/>
  <c r="V6308" i="14"/>
  <c r="E6308" i="14"/>
  <c r="AH6307" i="14"/>
  <c r="E6307" i="14"/>
  <c r="AH6306" i="14"/>
  <c r="W6306" i="14"/>
  <c r="V6306" i="14"/>
  <c r="E6306" i="14"/>
  <c r="AH6305" i="14"/>
  <c r="V6305" i="14"/>
  <c r="E6305" i="14"/>
  <c r="AH6304" i="14"/>
  <c r="W6304" i="14"/>
  <c r="V6304" i="14"/>
  <c r="E6304" i="14"/>
  <c r="AH6303" i="14"/>
  <c r="V6303" i="14"/>
  <c r="E6303" i="14"/>
  <c r="AH6302" i="14"/>
  <c r="E6302" i="14"/>
  <c r="AH6301" i="14"/>
  <c r="W6301" i="14"/>
  <c r="V6301" i="14"/>
  <c r="E6301" i="14"/>
  <c r="AH6300" i="14"/>
  <c r="W6300" i="14"/>
  <c r="V6300" i="14"/>
  <c r="E6300" i="14"/>
  <c r="AH6299" i="14"/>
  <c r="W6299" i="14"/>
  <c r="V6299" i="14"/>
  <c r="E6299" i="14"/>
  <c r="AH6298" i="14"/>
  <c r="E6298" i="14"/>
  <c r="AH6297" i="14"/>
  <c r="E6297" i="14"/>
  <c r="AH6296" i="14"/>
  <c r="V6296" i="14"/>
  <c r="E6296" i="14"/>
  <c r="AH6295" i="14"/>
  <c r="V6295" i="14"/>
  <c r="E6295" i="14"/>
  <c r="AH6294" i="14"/>
  <c r="E6294" i="14"/>
  <c r="AH6293" i="14"/>
  <c r="W6293" i="14"/>
  <c r="V6293" i="14"/>
  <c r="E6293" i="14"/>
  <c r="AH6292" i="14"/>
  <c r="W6292" i="14"/>
  <c r="V6292" i="14"/>
  <c r="E6292" i="14"/>
  <c r="AH6291" i="14"/>
  <c r="W6291" i="14"/>
  <c r="V6291" i="14"/>
  <c r="E6291" i="14"/>
  <c r="AH6290" i="14"/>
  <c r="V6290" i="14"/>
  <c r="E6290" i="14"/>
  <c r="AH6289" i="14"/>
  <c r="V6289" i="14"/>
  <c r="E6289" i="14"/>
  <c r="AH6288" i="14"/>
  <c r="V6288" i="14"/>
  <c r="E6288" i="14"/>
  <c r="AH6287" i="14"/>
  <c r="E6287" i="14"/>
  <c r="AH6286" i="14"/>
  <c r="E6286" i="14"/>
  <c r="AH6285" i="14"/>
  <c r="V6285" i="14"/>
  <c r="E6285" i="14"/>
  <c r="AH6284" i="14"/>
  <c r="W6284" i="14"/>
  <c r="V6284" i="14"/>
  <c r="E6284" i="14"/>
  <c r="AH6283" i="14"/>
  <c r="E6283" i="14"/>
  <c r="AH6282" i="14"/>
  <c r="E6282" i="14"/>
  <c r="AH6281" i="14"/>
  <c r="E6281" i="14"/>
  <c r="AH6280" i="14"/>
  <c r="E6280" i="14"/>
  <c r="AH6279" i="14"/>
  <c r="E6279" i="14"/>
  <c r="AH6278" i="14"/>
  <c r="W6278" i="14"/>
  <c r="V6278" i="14"/>
  <c r="E6278" i="14"/>
  <c r="AH6277" i="14"/>
  <c r="W6277" i="14"/>
  <c r="V6277" i="14"/>
  <c r="E6277" i="14"/>
  <c r="AH6276" i="14"/>
  <c r="W6276" i="14"/>
  <c r="V6276" i="14"/>
  <c r="E6276" i="14"/>
  <c r="AH6275" i="14"/>
  <c r="V6275" i="14"/>
  <c r="E6275" i="14"/>
  <c r="AH6274" i="14"/>
  <c r="V6274" i="14"/>
  <c r="E6274" i="14"/>
  <c r="AH6273" i="14"/>
  <c r="V6273" i="14"/>
  <c r="E6273" i="14"/>
  <c r="AH6272" i="14"/>
  <c r="V6272" i="14"/>
  <c r="E6272" i="14"/>
  <c r="AH6271" i="14"/>
  <c r="E6271" i="14"/>
  <c r="AH6270" i="14"/>
  <c r="W6270" i="14"/>
  <c r="V6270" i="14"/>
  <c r="E6270" i="14"/>
  <c r="AH6269" i="14"/>
  <c r="E6269" i="14"/>
  <c r="AH6268" i="14"/>
  <c r="E6268" i="14"/>
  <c r="AH6267" i="14"/>
  <c r="V6267" i="14"/>
  <c r="E6267" i="14"/>
  <c r="AH6266" i="14"/>
  <c r="E6266" i="14"/>
  <c r="AH6265" i="14"/>
  <c r="E6265" i="14"/>
  <c r="AH6264" i="14"/>
  <c r="E6264" i="14"/>
  <c r="AH6263" i="14"/>
  <c r="V6263" i="14"/>
  <c r="E6263" i="14"/>
  <c r="AH6262" i="14"/>
  <c r="V6262" i="14"/>
  <c r="E6262" i="14"/>
  <c r="AH6261" i="14"/>
  <c r="E6261" i="14"/>
  <c r="AH6260" i="14"/>
  <c r="E6260" i="14"/>
  <c r="AH6259" i="14"/>
  <c r="W6259" i="14"/>
  <c r="V6259" i="14"/>
  <c r="E6259" i="14"/>
  <c r="AH6258" i="14"/>
  <c r="W6258" i="14"/>
  <c r="V6258" i="14"/>
  <c r="E6258" i="14"/>
  <c r="AH6257" i="14"/>
  <c r="E6257" i="14"/>
  <c r="AH6256" i="14"/>
  <c r="E6256" i="14"/>
  <c r="AH6255" i="14"/>
  <c r="E6255" i="14"/>
  <c r="AH6254" i="14"/>
  <c r="E6254" i="14"/>
  <c r="AH6253" i="14"/>
  <c r="E6253" i="14"/>
  <c r="AH6252" i="14"/>
  <c r="E6252" i="14"/>
  <c r="AH6251" i="14"/>
  <c r="E6251" i="14"/>
  <c r="AH6250" i="14"/>
  <c r="W6250" i="14"/>
  <c r="V6250" i="14"/>
  <c r="O6250" i="14"/>
  <c r="E6250" i="14"/>
  <c r="AH6249" i="14"/>
  <c r="E6249" i="14"/>
  <c r="AH6248" i="14"/>
  <c r="W6248" i="14"/>
  <c r="V6248" i="14"/>
  <c r="E6248" i="14"/>
  <c r="AH6247" i="14"/>
  <c r="V6247" i="14"/>
  <c r="E6247" i="14"/>
  <c r="AH6246" i="14"/>
  <c r="E6246" i="14"/>
  <c r="AH6245" i="14"/>
  <c r="V6245" i="14"/>
  <c r="E6245" i="14"/>
  <c r="AH6244" i="14"/>
  <c r="E6244" i="14"/>
  <c r="AH6243" i="14"/>
  <c r="W6243" i="14"/>
  <c r="V6243" i="14"/>
  <c r="E6243" i="14"/>
  <c r="AH6242" i="14"/>
  <c r="E6242" i="14"/>
  <c r="AH6241" i="14"/>
  <c r="E6241" i="14"/>
  <c r="AH6240" i="14"/>
  <c r="E6240" i="14"/>
  <c r="AH6239" i="14"/>
  <c r="V6239" i="14"/>
  <c r="E6239" i="14"/>
  <c r="AH6238" i="14"/>
  <c r="E6238" i="14"/>
  <c r="AH6237" i="14"/>
  <c r="V6237" i="14"/>
  <c r="E6237" i="14"/>
  <c r="AH6236" i="14"/>
  <c r="E6236" i="14"/>
  <c r="AH6235" i="14"/>
  <c r="W6235" i="14"/>
  <c r="V6235" i="14"/>
  <c r="E6235" i="14"/>
  <c r="AH6234" i="14"/>
  <c r="V6234" i="14"/>
  <c r="E6234" i="14"/>
  <c r="AH6233" i="14"/>
  <c r="V6233" i="14"/>
  <c r="E6233" i="14"/>
  <c r="AH6232" i="14"/>
  <c r="V6232" i="14"/>
  <c r="E6232" i="14"/>
  <c r="AH6231" i="14"/>
  <c r="V6231" i="14"/>
  <c r="E6231" i="14"/>
  <c r="AH6230" i="14"/>
  <c r="V6230" i="14"/>
  <c r="E6230" i="14"/>
  <c r="AH6229" i="14"/>
  <c r="V6229" i="14"/>
  <c r="E6229" i="14"/>
  <c r="AH6228" i="14"/>
  <c r="E6228" i="14"/>
  <c r="AH6227" i="14"/>
  <c r="E6227" i="14"/>
  <c r="AH6226" i="14"/>
  <c r="V6226" i="14"/>
  <c r="E6226" i="14"/>
  <c r="AH6225" i="14"/>
  <c r="V6225" i="14"/>
  <c r="E6225" i="14"/>
  <c r="AH6224" i="14"/>
  <c r="E6224" i="14"/>
  <c r="AH6223" i="14"/>
  <c r="V6223" i="14"/>
  <c r="E6223" i="14"/>
  <c r="AH6222" i="14"/>
  <c r="W6222" i="14"/>
  <c r="V6222" i="14"/>
  <c r="E6222" i="14"/>
  <c r="AH6221" i="14"/>
  <c r="V6221" i="14"/>
  <c r="E6221" i="14"/>
  <c r="AH6220" i="14"/>
  <c r="V6220" i="14"/>
  <c r="E6220" i="14"/>
  <c r="AH6219" i="14"/>
  <c r="E6219" i="14"/>
  <c r="AH6218" i="14"/>
  <c r="V6218" i="14"/>
  <c r="E6218" i="14"/>
  <c r="AH6217" i="14"/>
  <c r="W6217" i="14"/>
  <c r="V6217" i="14"/>
  <c r="E6217" i="14"/>
  <c r="AH6216" i="14"/>
  <c r="V6216" i="14"/>
  <c r="E6216" i="14"/>
  <c r="AH6215" i="14"/>
  <c r="V6215" i="14"/>
  <c r="E6215" i="14"/>
  <c r="AH6214" i="14"/>
  <c r="W6214" i="14"/>
  <c r="V6214" i="14"/>
  <c r="O6214" i="14"/>
  <c r="E6214" i="14"/>
  <c r="AH6213" i="14"/>
  <c r="E6213" i="14"/>
  <c r="AH6212" i="14"/>
  <c r="E6212" i="14"/>
  <c r="AH6211" i="14"/>
  <c r="E6211" i="14"/>
  <c r="AH6210" i="14"/>
  <c r="E6210" i="14"/>
  <c r="AH6209" i="14"/>
  <c r="W6209" i="14"/>
  <c r="V6209" i="14"/>
  <c r="E6209" i="14"/>
  <c r="AH6208" i="14"/>
  <c r="W6208" i="14"/>
  <c r="V6208" i="14"/>
  <c r="E6208" i="14"/>
  <c r="AH6207" i="14"/>
  <c r="E6207" i="14"/>
  <c r="AH6206" i="14"/>
  <c r="V6206" i="14"/>
  <c r="E6206" i="14"/>
  <c r="AH6205" i="14"/>
  <c r="V6205" i="14"/>
  <c r="E6205" i="14"/>
  <c r="AH6204" i="14"/>
  <c r="V6204" i="14"/>
  <c r="E6204" i="14"/>
  <c r="AH6203" i="14"/>
  <c r="W6203" i="14"/>
  <c r="V6203" i="14"/>
  <c r="E6203" i="14"/>
  <c r="AH6202" i="14"/>
  <c r="V6202" i="14"/>
  <c r="O6202" i="14"/>
  <c r="E6202" i="14"/>
  <c r="AH6201" i="14"/>
  <c r="W6201" i="14"/>
  <c r="V6201" i="14"/>
  <c r="E6201" i="14"/>
  <c r="AH6200" i="14"/>
  <c r="V6200" i="14"/>
  <c r="E6200" i="14"/>
  <c r="AH6199" i="14"/>
  <c r="E6199" i="14"/>
  <c r="AH6198" i="14"/>
  <c r="E6198" i="14"/>
  <c r="AH6197" i="14"/>
  <c r="W6197" i="14"/>
  <c r="V6197" i="14"/>
  <c r="E6197" i="14"/>
  <c r="AH6196" i="14"/>
  <c r="V6196" i="14"/>
  <c r="E6196" i="14"/>
  <c r="AH6195" i="14"/>
  <c r="E6195" i="14"/>
  <c r="AH6194" i="14"/>
  <c r="V6194" i="14"/>
  <c r="E6194" i="14"/>
  <c r="AH6193" i="14"/>
  <c r="E6193" i="14"/>
  <c r="AH6192" i="14"/>
  <c r="E6192" i="14"/>
  <c r="AH6191" i="14"/>
  <c r="E6191" i="14"/>
  <c r="AH6190" i="14"/>
  <c r="W6190" i="14"/>
  <c r="V6190" i="14"/>
  <c r="E6190" i="14"/>
  <c r="AH6189" i="14"/>
  <c r="V6189" i="14"/>
  <c r="E6189" i="14"/>
  <c r="AH6188" i="14"/>
  <c r="E6188" i="14"/>
  <c r="AH6187" i="14"/>
  <c r="V6187" i="14"/>
  <c r="E6187" i="14"/>
  <c r="AH6186" i="14"/>
  <c r="W6186" i="14"/>
  <c r="V6186" i="14"/>
  <c r="E6186" i="14"/>
  <c r="AH6185" i="14"/>
  <c r="V6185" i="14"/>
  <c r="E6185" i="14"/>
  <c r="AH6184" i="14"/>
  <c r="E6184" i="14"/>
  <c r="AH6183" i="14"/>
  <c r="E6183" i="14"/>
  <c r="AH6182" i="14"/>
  <c r="V6182" i="14"/>
  <c r="E6182" i="14"/>
  <c r="AH6181" i="14"/>
  <c r="E6181" i="14"/>
  <c r="AH6180" i="14"/>
  <c r="V6180" i="14"/>
  <c r="E6180" i="14"/>
  <c r="AH6179" i="14"/>
  <c r="V6179" i="14"/>
  <c r="E6179" i="14"/>
  <c r="AH6178" i="14"/>
  <c r="V6178" i="14"/>
  <c r="E6178" i="14"/>
  <c r="AH6177" i="14"/>
  <c r="E6177" i="14"/>
  <c r="AH6176" i="14"/>
  <c r="V6176" i="14"/>
  <c r="E6176" i="14"/>
  <c r="AH6175" i="14"/>
  <c r="W6175" i="14"/>
  <c r="V6175" i="14"/>
  <c r="E6175" i="14"/>
  <c r="AH6174" i="14"/>
  <c r="V6174" i="14"/>
  <c r="E6174" i="14"/>
  <c r="AH6173" i="14"/>
  <c r="W6173" i="14"/>
  <c r="V6173" i="14"/>
  <c r="E6173" i="14"/>
  <c r="AH6172" i="14"/>
  <c r="E6172" i="14"/>
  <c r="AH6171" i="14"/>
  <c r="V6171" i="14"/>
  <c r="E6171" i="14"/>
  <c r="AH6170" i="14"/>
  <c r="V6170" i="14"/>
  <c r="E6170" i="14"/>
  <c r="AH6169" i="14"/>
  <c r="V6169" i="14"/>
  <c r="E6169" i="14"/>
  <c r="AH6168" i="14"/>
  <c r="E6168" i="14"/>
  <c r="AH6167" i="14"/>
  <c r="W6167" i="14"/>
  <c r="V6167" i="14"/>
  <c r="E6167" i="14"/>
  <c r="AH6166" i="14"/>
  <c r="V6166" i="14"/>
  <c r="E6166" i="14"/>
  <c r="AH6165" i="14"/>
  <c r="V6165" i="14"/>
  <c r="E6165" i="14"/>
  <c r="AH6164" i="14"/>
  <c r="E6164" i="14"/>
  <c r="AH6163" i="14"/>
  <c r="W6163" i="14"/>
  <c r="V6163" i="14"/>
  <c r="E6163" i="14"/>
  <c r="AH6162" i="14"/>
  <c r="V6162" i="14"/>
  <c r="O6162" i="14"/>
  <c r="E6162" i="14"/>
  <c r="AH6161" i="14"/>
  <c r="E6161" i="14"/>
  <c r="AH6160" i="14"/>
  <c r="V6160" i="14"/>
  <c r="E6160" i="14"/>
  <c r="AH6159" i="14"/>
  <c r="V6159" i="14"/>
  <c r="E6159" i="14"/>
  <c r="AH6158" i="14"/>
  <c r="E6158" i="14"/>
  <c r="AH6157" i="14"/>
  <c r="W6157" i="14"/>
  <c r="V6157" i="14"/>
  <c r="E6157" i="14"/>
  <c r="AH6156" i="14"/>
  <c r="W6156" i="14"/>
  <c r="V6156" i="14"/>
  <c r="E6156" i="14"/>
  <c r="AH6155" i="14"/>
  <c r="E6155" i="14"/>
  <c r="AH6154" i="14"/>
  <c r="V6154" i="14"/>
  <c r="E6154" i="14"/>
  <c r="AH6153" i="14"/>
  <c r="W6153" i="14"/>
  <c r="V6153" i="14"/>
  <c r="E6153" i="14"/>
  <c r="AH6152" i="14"/>
  <c r="W6152" i="14"/>
  <c r="V6152" i="14"/>
  <c r="E6152" i="14"/>
  <c r="AH6151" i="14"/>
  <c r="V6151" i="14"/>
  <c r="E6151" i="14"/>
  <c r="AH6150" i="14"/>
  <c r="E6150" i="14"/>
  <c r="AH6149" i="14"/>
  <c r="V6149" i="14"/>
  <c r="E6149" i="14"/>
  <c r="AH6148" i="14"/>
  <c r="V6148" i="14"/>
  <c r="E6148" i="14"/>
  <c r="AH6147" i="14"/>
  <c r="E6147" i="14"/>
  <c r="AH6146" i="14"/>
  <c r="V6146" i="14"/>
  <c r="E6146" i="14"/>
  <c r="AH6145" i="14"/>
  <c r="V6145" i="14"/>
  <c r="E6145" i="14"/>
  <c r="AH6144" i="14"/>
  <c r="V6144" i="14"/>
  <c r="E6144" i="14"/>
  <c r="AH6143" i="14"/>
  <c r="V6143" i="14"/>
  <c r="E6143" i="14"/>
  <c r="AH6142" i="14"/>
  <c r="V6142" i="14"/>
  <c r="E6142" i="14"/>
  <c r="AH6141" i="14"/>
  <c r="V6141" i="14"/>
  <c r="E6141" i="14"/>
  <c r="AH6140" i="14"/>
  <c r="V6140" i="14"/>
  <c r="E6140" i="14"/>
  <c r="AH6139" i="14"/>
  <c r="E6139" i="14"/>
  <c r="AH6138" i="14"/>
  <c r="W6138" i="14"/>
  <c r="V6138" i="14"/>
  <c r="E6138" i="14"/>
  <c r="AH6137" i="14"/>
  <c r="V6137" i="14"/>
  <c r="E6137" i="14"/>
  <c r="AH6136" i="14"/>
  <c r="V6136" i="14"/>
  <c r="E6136" i="14"/>
  <c r="AH6135" i="14"/>
  <c r="V6135" i="14"/>
  <c r="E6135" i="14"/>
  <c r="AH6134" i="14"/>
  <c r="W6134" i="14"/>
  <c r="V6134" i="14"/>
  <c r="E6134" i="14"/>
  <c r="AH6133" i="14"/>
  <c r="E6133" i="14"/>
  <c r="AH6132" i="14"/>
  <c r="E6132" i="14"/>
  <c r="AH6131" i="14"/>
  <c r="V6131" i="14"/>
  <c r="E6131" i="14"/>
  <c r="AH6130" i="14"/>
  <c r="E6130" i="14"/>
  <c r="AH6129" i="14"/>
  <c r="E6129" i="14"/>
  <c r="AH6128" i="14"/>
  <c r="E6128" i="14"/>
  <c r="AH6127" i="14"/>
  <c r="V6127" i="14"/>
  <c r="E6127" i="14"/>
  <c r="AH6126" i="14"/>
  <c r="W6126" i="14"/>
  <c r="V6126" i="14"/>
  <c r="E6126" i="14"/>
  <c r="AH6125" i="14"/>
  <c r="V6125" i="14"/>
  <c r="E6125" i="14"/>
  <c r="AH6124" i="14"/>
  <c r="E6124" i="14"/>
  <c r="AH6123" i="14"/>
  <c r="W6123" i="14"/>
  <c r="V6123" i="14"/>
  <c r="E6123" i="14"/>
  <c r="AH6122" i="14"/>
  <c r="V6122" i="14"/>
  <c r="E6122" i="14"/>
  <c r="AH6121" i="14"/>
  <c r="V6121" i="14"/>
  <c r="E6121" i="14"/>
  <c r="AH6120" i="14"/>
  <c r="E6120" i="14"/>
  <c r="AH6119" i="14"/>
  <c r="V6119" i="14"/>
  <c r="E6119" i="14"/>
  <c r="AH6118" i="14"/>
  <c r="V6118" i="14"/>
  <c r="E6118" i="14"/>
  <c r="AH6117" i="14"/>
  <c r="W6117" i="14"/>
  <c r="V6117" i="14"/>
  <c r="E6117" i="14"/>
  <c r="AH6116" i="14"/>
  <c r="W6116" i="14"/>
  <c r="V6116" i="14"/>
  <c r="E6116" i="14"/>
  <c r="AH6115" i="14"/>
  <c r="W6115" i="14"/>
  <c r="V6115" i="14"/>
  <c r="E6115" i="14"/>
  <c r="AH6114" i="14"/>
  <c r="W6114" i="14"/>
  <c r="V6114" i="14"/>
  <c r="E6114" i="14"/>
  <c r="AH6113" i="14"/>
  <c r="E6113" i="14"/>
  <c r="AH6112" i="14"/>
  <c r="E6112" i="14"/>
  <c r="AH6111" i="14"/>
  <c r="V6111" i="14"/>
  <c r="E6111" i="14"/>
  <c r="AH6110" i="14"/>
  <c r="W6110" i="14"/>
  <c r="V6110" i="14"/>
  <c r="O6110" i="14"/>
  <c r="E6110" i="14"/>
  <c r="AH6109" i="14"/>
  <c r="V6109" i="14"/>
  <c r="E6109" i="14"/>
  <c r="AH6108" i="14"/>
  <c r="W6108" i="14"/>
  <c r="V6108" i="14"/>
  <c r="E6108" i="14"/>
  <c r="AH6107" i="14"/>
  <c r="W6107" i="14"/>
  <c r="V6107" i="14"/>
  <c r="E6107" i="14"/>
  <c r="AH6106" i="14"/>
  <c r="V6106" i="14"/>
  <c r="E6106" i="14"/>
  <c r="AH6105" i="14"/>
  <c r="V6105" i="14"/>
  <c r="E6105" i="14"/>
  <c r="AH6104" i="14"/>
  <c r="W6104" i="14"/>
  <c r="V6104" i="14"/>
  <c r="E6104" i="14"/>
  <c r="AH6103" i="14"/>
  <c r="E6103" i="14"/>
  <c r="AH6102" i="14"/>
  <c r="V6102" i="14"/>
  <c r="E6102" i="14"/>
  <c r="AH6101" i="14"/>
  <c r="V6101" i="14"/>
  <c r="E6101" i="14"/>
  <c r="AH6100" i="14"/>
  <c r="V6100" i="14"/>
  <c r="E6100" i="14"/>
  <c r="AH6099" i="14"/>
  <c r="W6099" i="14"/>
  <c r="V6099" i="14"/>
  <c r="E6099" i="14"/>
  <c r="AH6098" i="14"/>
  <c r="W6098" i="14"/>
  <c r="V6098" i="14"/>
  <c r="O6098" i="14"/>
  <c r="E6098" i="14"/>
  <c r="AH6097" i="14"/>
  <c r="V6097" i="14"/>
  <c r="E6097" i="14"/>
  <c r="AH6096" i="14"/>
  <c r="E6096" i="14"/>
  <c r="AH6095" i="14"/>
  <c r="W6095" i="14"/>
  <c r="V6095" i="14"/>
  <c r="E6095" i="14"/>
  <c r="AH6094" i="14"/>
  <c r="V6094" i="14"/>
  <c r="E6094" i="14"/>
  <c r="AH6093" i="14"/>
  <c r="E6093" i="14"/>
  <c r="AH6092" i="14"/>
  <c r="V6092" i="14"/>
  <c r="E6092" i="14"/>
  <c r="AH6091" i="14"/>
  <c r="V6091" i="14"/>
  <c r="E6091" i="14"/>
  <c r="AH6090" i="14"/>
  <c r="V6090" i="14"/>
  <c r="E6090" i="14"/>
  <c r="AH6089" i="14"/>
  <c r="E6089" i="14"/>
  <c r="AH6088" i="14"/>
  <c r="E6088" i="14"/>
  <c r="AH6087" i="14"/>
  <c r="V6087" i="14"/>
  <c r="E6087" i="14"/>
  <c r="AH6086" i="14"/>
  <c r="E6086" i="14"/>
  <c r="AH6085" i="14"/>
  <c r="V6085" i="14"/>
  <c r="E6085" i="14"/>
  <c r="AH6084" i="14"/>
  <c r="V6084" i="14"/>
  <c r="E6084" i="14"/>
  <c r="AH6083" i="14"/>
  <c r="V6083" i="14"/>
  <c r="E6083" i="14"/>
  <c r="AH6082" i="14"/>
  <c r="E6082" i="14"/>
  <c r="AH6081" i="14"/>
  <c r="E6081" i="14"/>
  <c r="AH6080" i="14"/>
  <c r="W6080" i="14"/>
  <c r="V6080" i="14"/>
  <c r="E6080" i="14"/>
  <c r="AH6079" i="14"/>
  <c r="W6079" i="14"/>
  <c r="V6079" i="14"/>
  <c r="E6079" i="14"/>
  <c r="AH6078" i="14"/>
  <c r="W6078" i="14"/>
  <c r="V6078" i="14"/>
  <c r="E6078" i="14"/>
  <c r="AH6077" i="14"/>
  <c r="E6077" i="14"/>
  <c r="AH6076" i="14"/>
  <c r="V6076" i="14"/>
  <c r="E6076" i="14"/>
  <c r="AH6075" i="14"/>
  <c r="V6075" i="14"/>
  <c r="E6075" i="14"/>
  <c r="AH6074" i="14"/>
  <c r="V6074" i="14"/>
  <c r="E6074" i="14"/>
  <c r="AH6073" i="14"/>
  <c r="V6073" i="14"/>
  <c r="E6073" i="14"/>
  <c r="AH6072" i="14"/>
  <c r="E6072" i="14"/>
  <c r="AH6071" i="14"/>
  <c r="E6071" i="14"/>
  <c r="AH6070" i="14"/>
  <c r="V6070" i="14"/>
  <c r="E6070" i="14"/>
  <c r="AH6069" i="14"/>
  <c r="V6069" i="14"/>
  <c r="E6069" i="14"/>
  <c r="AH6068" i="14"/>
  <c r="V6068" i="14"/>
  <c r="E6068" i="14"/>
  <c r="AH6067" i="14"/>
  <c r="V6067" i="14"/>
  <c r="E6067" i="14"/>
  <c r="AH6066" i="14"/>
  <c r="V6066" i="14"/>
  <c r="E6066" i="14"/>
  <c r="AH6065" i="14"/>
  <c r="V6065" i="14"/>
  <c r="E6065" i="14"/>
  <c r="AH6064" i="14"/>
  <c r="V6064" i="14"/>
  <c r="E6064" i="14"/>
  <c r="AH6063" i="14"/>
  <c r="E6063" i="14"/>
  <c r="AH6062" i="14"/>
  <c r="V6062" i="14"/>
  <c r="E6062" i="14"/>
  <c r="AH6061" i="14"/>
  <c r="E6061" i="14"/>
  <c r="AH6060" i="14"/>
  <c r="E6060" i="14"/>
  <c r="AH6059" i="14"/>
  <c r="V6059" i="14"/>
  <c r="E6059" i="14"/>
  <c r="AH6058" i="14"/>
  <c r="V6058" i="14"/>
  <c r="E6058" i="14"/>
  <c r="AH6057" i="14"/>
  <c r="E6057" i="14"/>
  <c r="AH6056" i="14"/>
  <c r="E6056" i="14"/>
  <c r="AH6055" i="14"/>
  <c r="V6055" i="14"/>
  <c r="E6055" i="14"/>
  <c r="AH6054" i="14"/>
  <c r="V6054" i="14"/>
  <c r="E6054" i="14"/>
  <c r="AH6053" i="14"/>
  <c r="V6053" i="14"/>
  <c r="E6053" i="14"/>
  <c r="AH6052" i="14"/>
  <c r="V6052" i="14"/>
  <c r="E6052" i="14"/>
  <c r="AH6051" i="14"/>
  <c r="V6051" i="14"/>
  <c r="E6051" i="14"/>
  <c r="AH6050" i="14"/>
  <c r="W6050" i="14"/>
  <c r="V6050" i="14"/>
  <c r="E6050" i="14"/>
  <c r="AH6049" i="14"/>
  <c r="E6049" i="14"/>
  <c r="AH6048" i="14"/>
  <c r="V6048" i="14"/>
  <c r="E6048" i="14"/>
  <c r="AH6047" i="14"/>
  <c r="V6047" i="14"/>
  <c r="E6047" i="14"/>
  <c r="AH6046" i="14"/>
  <c r="W6046" i="14"/>
  <c r="V6046" i="14"/>
  <c r="E6046" i="14"/>
  <c r="AH6045" i="14"/>
  <c r="W6045" i="14"/>
  <c r="V6045" i="14"/>
  <c r="E6045" i="14"/>
  <c r="AH6044" i="14"/>
  <c r="V6044" i="14"/>
  <c r="E6044" i="14"/>
  <c r="AH6043" i="14"/>
  <c r="V6043" i="14"/>
  <c r="E6043" i="14"/>
  <c r="AH6042" i="14"/>
  <c r="W6042" i="14"/>
  <c r="V6042" i="14"/>
  <c r="E6042" i="14"/>
  <c r="AH6041" i="14"/>
  <c r="E6041" i="14"/>
  <c r="AH6040" i="14"/>
  <c r="V6040" i="14"/>
  <c r="E6040" i="14"/>
  <c r="AH6039" i="14"/>
  <c r="E6039" i="14"/>
  <c r="AH6038" i="14"/>
  <c r="V6038" i="14"/>
  <c r="E6038" i="14"/>
  <c r="AH6037" i="14"/>
  <c r="W6037" i="14"/>
  <c r="V6037" i="14"/>
  <c r="E6037" i="14"/>
  <c r="AH6036" i="14"/>
  <c r="E6036" i="14"/>
  <c r="AH6035" i="14"/>
  <c r="W6035" i="14"/>
  <c r="V6035" i="14"/>
  <c r="E6035" i="14"/>
  <c r="AH6034" i="14"/>
  <c r="W6034" i="14"/>
  <c r="V6034" i="14"/>
  <c r="E6034" i="14"/>
  <c r="AH6033" i="14"/>
  <c r="W6033" i="14"/>
  <c r="V6033" i="14"/>
  <c r="E6033" i="14"/>
  <c r="AH6032" i="14"/>
  <c r="V6032" i="14"/>
  <c r="E6032" i="14"/>
  <c r="AH6031" i="14"/>
  <c r="V6031" i="14"/>
  <c r="E6031" i="14"/>
  <c r="AH6030" i="14"/>
  <c r="W6030" i="14"/>
  <c r="V6030" i="14"/>
  <c r="E6030" i="14"/>
  <c r="AH6029" i="14"/>
  <c r="V6029" i="14"/>
  <c r="E6029" i="14"/>
  <c r="AH6028" i="14"/>
  <c r="V6028" i="14"/>
  <c r="E6028" i="14"/>
  <c r="AH6027" i="14"/>
  <c r="V6027" i="14"/>
  <c r="E6027" i="14"/>
  <c r="AH6026" i="14"/>
  <c r="E6026" i="14"/>
  <c r="AH6025" i="14"/>
  <c r="V6025" i="14"/>
  <c r="E6025" i="14"/>
  <c r="AH6024" i="14"/>
  <c r="V6024" i="14"/>
  <c r="E6024" i="14"/>
  <c r="AH6023" i="14"/>
  <c r="E6023" i="14"/>
  <c r="AH6022" i="14"/>
  <c r="W6022" i="14"/>
  <c r="V6022" i="14"/>
  <c r="E6022" i="14"/>
  <c r="AH6021" i="14"/>
  <c r="V6021" i="14"/>
  <c r="E6021" i="14"/>
  <c r="AH6020" i="14"/>
  <c r="V6020" i="14"/>
  <c r="E6020" i="14"/>
  <c r="AH6019" i="14"/>
  <c r="V6019" i="14"/>
  <c r="E6019" i="14"/>
  <c r="AH6018" i="14"/>
  <c r="V6018" i="14"/>
  <c r="E6018" i="14"/>
  <c r="AH6017" i="14"/>
  <c r="E6017" i="14"/>
  <c r="AH6016" i="14"/>
  <c r="V6016" i="14"/>
  <c r="E6016" i="14"/>
  <c r="AH6015" i="14"/>
  <c r="W6015" i="14"/>
  <c r="V6015" i="14"/>
  <c r="E6015" i="14"/>
  <c r="AH6014" i="14"/>
  <c r="W6014" i="14"/>
  <c r="V6014" i="14"/>
  <c r="E6014" i="14"/>
  <c r="AH6013" i="14"/>
  <c r="V6013" i="14"/>
  <c r="E6013" i="14"/>
  <c r="AH6012" i="14"/>
  <c r="V6012" i="14"/>
  <c r="E6012" i="14"/>
  <c r="AH6011" i="14"/>
  <c r="V6011" i="14"/>
  <c r="E6011" i="14"/>
  <c r="AH6010" i="14"/>
  <c r="V6010" i="14"/>
  <c r="E6010" i="14"/>
  <c r="AH6009" i="14"/>
  <c r="V6009" i="14"/>
  <c r="E6009" i="14"/>
  <c r="AH6008" i="14"/>
  <c r="V6008" i="14"/>
  <c r="E6008" i="14"/>
  <c r="AH6007" i="14"/>
  <c r="V6007" i="14"/>
  <c r="E6007" i="14"/>
  <c r="AH6006" i="14"/>
  <c r="W6006" i="14"/>
  <c r="V6006" i="14"/>
  <c r="E6006" i="14"/>
  <c r="AH6005" i="14"/>
  <c r="E6005" i="14"/>
  <c r="AH6004" i="14"/>
  <c r="W6004" i="14"/>
  <c r="V6004" i="14"/>
  <c r="E6004" i="14"/>
  <c r="AH6003" i="14"/>
  <c r="V6003" i="14"/>
  <c r="E6003" i="14"/>
  <c r="AH6002" i="14"/>
  <c r="E6002" i="14"/>
  <c r="AH6001" i="14"/>
  <c r="E6001" i="14"/>
  <c r="AH6000" i="14"/>
  <c r="W6000" i="14"/>
  <c r="V6000" i="14"/>
  <c r="E6000" i="14"/>
  <c r="AH5999" i="14"/>
  <c r="W5999" i="14"/>
  <c r="V5999" i="14"/>
  <c r="E5999" i="14"/>
  <c r="AH5998" i="14"/>
  <c r="W5998" i="14"/>
  <c r="V5998" i="14"/>
  <c r="E5998" i="14"/>
  <c r="AH5997" i="14"/>
  <c r="W5997" i="14"/>
  <c r="V5997" i="14"/>
  <c r="E5997" i="14"/>
  <c r="AH5996" i="14"/>
  <c r="V5996" i="14"/>
  <c r="E5996" i="14"/>
  <c r="AH5995" i="14"/>
  <c r="V5995" i="14"/>
  <c r="E5995" i="14"/>
  <c r="AH5994" i="14"/>
  <c r="V5994" i="14"/>
  <c r="E5994" i="14"/>
  <c r="AH5993" i="14"/>
  <c r="V5993" i="14"/>
  <c r="E5993" i="14"/>
  <c r="AH5992" i="14"/>
  <c r="V5992" i="14"/>
  <c r="E5992" i="14"/>
  <c r="AH5991" i="14"/>
  <c r="V5991" i="14"/>
  <c r="E5991" i="14"/>
  <c r="AH5990" i="14"/>
  <c r="W5990" i="14"/>
  <c r="V5990" i="14"/>
  <c r="E5990" i="14"/>
  <c r="AH5989" i="14"/>
  <c r="V5989" i="14"/>
  <c r="E5989" i="14"/>
  <c r="AH5988" i="14"/>
  <c r="W5988" i="14"/>
  <c r="V5988" i="14"/>
  <c r="E5988" i="14"/>
  <c r="AH5987" i="14"/>
  <c r="V5987" i="14"/>
  <c r="E5987" i="14"/>
  <c r="AH5986" i="14"/>
  <c r="V5986" i="14"/>
  <c r="E5986" i="14"/>
  <c r="AH5985" i="14"/>
  <c r="V5985" i="14"/>
  <c r="E5985" i="14"/>
  <c r="AH5984" i="14"/>
  <c r="V5984" i="14"/>
  <c r="E5984" i="14"/>
  <c r="AH5983" i="14"/>
  <c r="E5983" i="14"/>
  <c r="AH5982" i="14"/>
  <c r="W5982" i="14"/>
  <c r="V5982" i="14"/>
  <c r="E5982" i="14"/>
  <c r="AH5981" i="14"/>
  <c r="E5981" i="14"/>
  <c r="AH5980" i="14"/>
  <c r="W5980" i="14"/>
  <c r="V5980" i="14"/>
  <c r="E5980" i="14"/>
  <c r="AH5979" i="14"/>
  <c r="W5979" i="14"/>
  <c r="V5979" i="14"/>
  <c r="E5979" i="14"/>
  <c r="AH5978" i="14"/>
  <c r="W5978" i="14"/>
  <c r="V5978" i="14"/>
  <c r="E5978" i="14"/>
  <c r="AH5977" i="14"/>
  <c r="E5977" i="14"/>
  <c r="AH5976" i="14"/>
  <c r="V5976" i="14"/>
  <c r="E5976" i="14"/>
  <c r="AH5975" i="14"/>
  <c r="W5975" i="14"/>
  <c r="V5975" i="14"/>
  <c r="E5975" i="14"/>
  <c r="AH5974" i="14"/>
  <c r="V5974" i="14"/>
  <c r="E5974" i="14"/>
  <c r="AH5973" i="14"/>
  <c r="V5973" i="14"/>
  <c r="E5973" i="14"/>
  <c r="AH5972" i="14"/>
  <c r="V5972" i="14"/>
  <c r="E5972" i="14"/>
  <c r="AH5971" i="14"/>
  <c r="V5971" i="14"/>
  <c r="E5971" i="14"/>
  <c r="AH5970" i="14"/>
  <c r="V5970" i="14"/>
  <c r="E5970" i="14"/>
  <c r="AH5969" i="14"/>
  <c r="W5969" i="14"/>
  <c r="V5969" i="14"/>
  <c r="E5969" i="14"/>
  <c r="AH5968" i="14"/>
  <c r="V5968" i="14"/>
  <c r="E5968" i="14"/>
  <c r="AH5967" i="14"/>
  <c r="V5967" i="14"/>
  <c r="E5967" i="14"/>
  <c r="AH5966" i="14"/>
  <c r="V5966" i="14"/>
  <c r="E5966" i="14"/>
  <c r="AH5965" i="14"/>
  <c r="W5965" i="14"/>
  <c r="V5965" i="14"/>
  <c r="E5965" i="14"/>
  <c r="AH5964" i="14"/>
  <c r="V5964" i="14"/>
  <c r="E5964" i="14"/>
  <c r="AH5963" i="14"/>
  <c r="V5963" i="14"/>
  <c r="E5963" i="14"/>
  <c r="AH5962" i="14"/>
  <c r="W5962" i="14"/>
  <c r="V5962" i="14"/>
  <c r="E5962" i="14"/>
  <c r="AH5961" i="14"/>
  <c r="V5961" i="14"/>
  <c r="E5961" i="14"/>
  <c r="AH5960" i="14"/>
  <c r="W5960" i="14"/>
  <c r="V5960" i="14"/>
  <c r="E5960" i="14"/>
  <c r="AH5959" i="14"/>
  <c r="V5959" i="14"/>
  <c r="E5959" i="14"/>
  <c r="AH5958" i="14"/>
  <c r="E5958" i="14"/>
  <c r="AH5957" i="14"/>
  <c r="E5957" i="14"/>
  <c r="AH5956" i="14"/>
  <c r="V5956" i="14"/>
  <c r="E5956" i="14"/>
  <c r="AH5955" i="14"/>
  <c r="W5955" i="14"/>
  <c r="V5955" i="14"/>
  <c r="E5955" i="14"/>
  <c r="AH5954" i="14"/>
  <c r="V5954" i="14"/>
  <c r="E5954" i="14"/>
  <c r="AH5953" i="14"/>
  <c r="V5953" i="14"/>
  <c r="E5953" i="14"/>
  <c r="AH5952" i="14"/>
  <c r="W5952" i="14"/>
  <c r="V5952" i="14"/>
  <c r="E5952" i="14"/>
  <c r="AH5951" i="14"/>
  <c r="V5951" i="14"/>
  <c r="E5951" i="14"/>
  <c r="AH5950" i="14"/>
  <c r="V5950" i="14"/>
  <c r="E5950" i="14"/>
  <c r="AH5949" i="14"/>
  <c r="W5949" i="14"/>
  <c r="V5949" i="14"/>
  <c r="E5949" i="14"/>
  <c r="AH5948" i="14"/>
  <c r="E5948" i="14"/>
  <c r="AH5947" i="14"/>
  <c r="E5947" i="14"/>
  <c r="AH5946" i="14"/>
  <c r="E5946" i="14"/>
  <c r="AH5945" i="14"/>
  <c r="W5945" i="14"/>
  <c r="V5945" i="14"/>
  <c r="E5945" i="14"/>
  <c r="AH5944" i="14"/>
  <c r="E5944" i="14"/>
  <c r="AH5943" i="14"/>
  <c r="E5943" i="14"/>
  <c r="AH5942" i="14"/>
  <c r="E5942" i="14"/>
  <c r="AH5941" i="14"/>
  <c r="W5941" i="14"/>
  <c r="V5941" i="14"/>
  <c r="E5941" i="14"/>
  <c r="AH5940" i="14"/>
  <c r="V5940" i="14"/>
  <c r="E5940" i="14"/>
  <c r="AH5939" i="14"/>
  <c r="E5939" i="14"/>
  <c r="AH5938" i="14"/>
  <c r="E5938" i="14"/>
  <c r="AH5937" i="14"/>
  <c r="V5937" i="14"/>
  <c r="E5937" i="14"/>
  <c r="AH5936" i="14"/>
  <c r="V5936" i="14"/>
  <c r="E5936" i="14"/>
  <c r="AH5935" i="14"/>
  <c r="E5935" i="14"/>
  <c r="AH5934" i="14"/>
  <c r="W5934" i="14"/>
  <c r="V5934" i="14"/>
  <c r="E5934" i="14"/>
  <c r="AH5933" i="14"/>
  <c r="V5933" i="14"/>
  <c r="E5933" i="14"/>
  <c r="AH5932" i="14"/>
  <c r="V5932" i="14"/>
  <c r="E5932" i="14"/>
  <c r="AH5931" i="14"/>
  <c r="V5931" i="14"/>
  <c r="E5931" i="14"/>
  <c r="AH5930" i="14"/>
  <c r="V5930" i="14"/>
  <c r="E5930" i="14"/>
  <c r="AH5929" i="14"/>
  <c r="V5929" i="14"/>
  <c r="E5929" i="14"/>
  <c r="AH5928" i="14"/>
  <c r="E5928" i="14"/>
  <c r="AH5927" i="14"/>
  <c r="E5927" i="14"/>
  <c r="AH5926" i="14"/>
  <c r="E5926" i="14"/>
  <c r="AH5925" i="14"/>
  <c r="V5925" i="14"/>
  <c r="E5925" i="14"/>
  <c r="AH5924" i="14"/>
  <c r="W5924" i="14"/>
  <c r="V5924" i="14"/>
  <c r="E5924" i="14"/>
  <c r="AH5923" i="14"/>
  <c r="V5923" i="14"/>
  <c r="E5923" i="14"/>
  <c r="AH5922" i="14"/>
  <c r="W5922" i="14"/>
  <c r="V5922" i="14"/>
  <c r="E5922" i="14"/>
  <c r="AH5921" i="14"/>
  <c r="V5921" i="14"/>
  <c r="E5921" i="14"/>
  <c r="AH5920" i="14"/>
  <c r="V5920" i="14"/>
  <c r="E5920" i="14"/>
  <c r="AH5919" i="14"/>
  <c r="E5919" i="14"/>
  <c r="AH5918" i="14"/>
  <c r="V5918" i="14"/>
  <c r="E5918" i="14"/>
  <c r="AH5917" i="14"/>
  <c r="V5917" i="14"/>
  <c r="E5917" i="14"/>
  <c r="AH5916" i="14"/>
  <c r="V5916" i="14"/>
  <c r="E5916" i="14"/>
  <c r="AH5915" i="14"/>
  <c r="V5915" i="14"/>
  <c r="E5915" i="14"/>
  <c r="AH5914" i="14"/>
  <c r="E5914" i="14"/>
  <c r="AH5913" i="14"/>
  <c r="V5913" i="14"/>
  <c r="E5913" i="14"/>
  <c r="AH5912" i="14"/>
  <c r="V5912" i="14"/>
  <c r="E5912" i="14"/>
  <c r="AH5911" i="14"/>
  <c r="E5911" i="14"/>
  <c r="AH5910" i="14"/>
  <c r="E5910" i="14"/>
  <c r="AH5909" i="14"/>
  <c r="E5909" i="14"/>
  <c r="AH5908" i="14"/>
  <c r="E5908" i="14"/>
  <c r="AH5907" i="14"/>
  <c r="E5907" i="14"/>
  <c r="AH5906" i="14"/>
  <c r="E5906" i="14"/>
  <c r="AH5905" i="14"/>
  <c r="V5905" i="14"/>
  <c r="E5905" i="14"/>
  <c r="AH5904" i="14"/>
  <c r="E5904" i="14"/>
  <c r="AH5903" i="14"/>
  <c r="V5903" i="14"/>
  <c r="E5903" i="14"/>
  <c r="AH5902" i="14"/>
  <c r="V5902" i="14"/>
  <c r="E5902" i="14"/>
  <c r="AH5901" i="14"/>
  <c r="E5901" i="14"/>
  <c r="AH5900" i="14"/>
  <c r="V5900" i="14"/>
  <c r="E5900" i="14"/>
  <c r="AH5899" i="14"/>
  <c r="V5899" i="14"/>
  <c r="E5899" i="14"/>
  <c r="AH5898" i="14"/>
  <c r="W5898" i="14"/>
  <c r="V5898" i="14"/>
  <c r="E5898" i="14"/>
  <c r="AH5897" i="14"/>
  <c r="W5897" i="14"/>
  <c r="V5897" i="14"/>
  <c r="E5897" i="14"/>
  <c r="AH5896" i="14"/>
  <c r="E5896" i="14"/>
  <c r="AH5895" i="14"/>
  <c r="V5895" i="14"/>
  <c r="E5895" i="14"/>
  <c r="AH5894" i="14"/>
  <c r="E5894" i="14"/>
  <c r="AH5893" i="14"/>
  <c r="E5893" i="14"/>
  <c r="AH5892" i="14"/>
  <c r="E5892" i="14"/>
  <c r="AH5891" i="14"/>
  <c r="E5891" i="14"/>
  <c r="AH5890" i="14"/>
  <c r="V5890" i="14"/>
  <c r="E5890" i="14"/>
  <c r="AH5889" i="14"/>
  <c r="E5889" i="14"/>
  <c r="AH5888" i="14"/>
  <c r="W5888" i="14"/>
  <c r="V5888" i="14"/>
  <c r="E5888" i="14"/>
  <c r="AH5887" i="14"/>
  <c r="E5887" i="14"/>
  <c r="AH5886" i="14"/>
  <c r="V5886" i="14"/>
  <c r="E5886" i="14"/>
  <c r="AH5885" i="14"/>
  <c r="E5885" i="14"/>
  <c r="AH5884" i="14"/>
  <c r="E5884" i="14"/>
  <c r="AH5883" i="14"/>
  <c r="W5883" i="14"/>
  <c r="V5883" i="14"/>
  <c r="E5883" i="14"/>
  <c r="AH5882" i="14"/>
  <c r="V5882" i="14"/>
  <c r="E5882" i="14"/>
  <c r="AH5881" i="14"/>
  <c r="V5881" i="14"/>
  <c r="E5881" i="14"/>
  <c r="AH5880" i="14"/>
  <c r="V5880" i="14"/>
  <c r="E5880" i="14"/>
  <c r="AH5879" i="14"/>
  <c r="V5879" i="14"/>
  <c r="E5879" i="14"/>
  <c r="AH5878" i="14"/>
  <c r="V5878" i="14"/>
  <c r="E5878" i="14"/>
  <c r="AH5877" i="14"/>
  <c r="V5877" i="14"/>
  <c r="E5877" i="14"/>
  <c r="AH5876" i="14"/>
  <c r="V5876" i="14"/>
  <c r="E5876" i="14"/>
  <c r="AH5875" i="14"/>
  <c r="E5875" i="14"/>
  <c r="AH5874" i="14"/>
  <c r="W5874" i="14"/>
  <c r="V5874" i="14"/>
  <c r="E5874" i="14"/>
  <c r="AH5873" i="14"/>
  <c r="W5873" i="14"/>
  <c r="V5873" i="14"/>
  <c r="E5873" i="14"/>
  <c r="AH5872" i="14"/>
  <c r="E5872" i="14"/>
  <c r="AH5871" i="14"/>
  <c r="W5871" i="14"/>
  <c r="V5871" i="14"/>
  <c r="E5871" i="14"/>
  <c r="AH5870" i="14"/>
  <c r="W5870" i="14"/>
  <c r="V5870" i="14"/>
  <c r="E5870" i="14"/>
  <c r="AH5869" i="14"/>
  <c r="V5869" i="14"/>
  <c r="E5869" i="14"/>
  <c r="AH5868" i="14"/>
  <c r="V5868" i="14"/>
  <c r="E5868" i="14"/>
  <c r="AH5867" i="14"/>
  <c r="V5867" i="14"/>
  <c r="E5867" i="14"/>
  <c r="AH5866" i="14"/>
  <c r="V5866" i="14"/>
  <c r="E5866" i="14"/>
  <c r="AH5865" i="14"/>
  <c r="E5865" i="14"/>
  <c r="AH5864" i="14"/>
  <c r="V5864" i="14"/>
  <c r="E5864" i="14"/>
  <c r="AH5863" i="14"/>
  <c r="E5863" i="14"/>
  <c r="AH5862" i="14"/>
  <c r="V5862" i="14"/>
  <c r="E5862" i="14"/>
  <c r="AH5861" i="14"/>
  <c r="E5861" i="14"/>
  <c r="AH5860" i="14"/>
  <c r="V5860" i="14"/>
  <c r="E5860" i="14"/>
  <c r="AH5859" i="14"/>
  <c r="W5859" i="14"/>
  <c r="V5859" i="14"/>
  <c r="E5859" i="14"/>
  <c r="AH5858" i="14"/>
  <c r="W5858" i="14"/>
  <c r="V5858" i="14"/>
  <c r="E5858" i="14"/>
  <c r="AH5857" i="14"/>
  <c r="E5857" i="14"/>
  <c r="AH5856" i="14"/>
  <c r="E5856" i="14"/>
  <c r="AH5855" i="14"/>
  <c r="E5855" i="14"/>
  <c r="AH5854" i="14"/>
  <c r="E5854" i="14"/>
  <c r="AH5853" i="14"/>
  <c r="E5853" i="14"/>
  <c r="AH5852" i="14"/>
  <c r="E5852" i="14"/>
  <c r="AH5851" i="14"/>
  <c r="V5851" i="14"/>
  <c r="E5851" i="14"/>
  <c r="AH5850" i="14"/>
  <c r="W5850" i="14"/>
  <c r="V5850" i="14"/>
  <c r="E5850" i="14"/>
  <c r="AH5849" i="14"/>
  <c r="E5849" i="14"/>
  <c r="AH5848" i="14"/>
  <c r="W5848" i="14"/>
  <c r="V5848" i="14"/>
  <c r="E5848" i="14"/>
  <c r="AH5847" i="14"/>
  <c r="W5847" i="14"/>
  <c r="V5847" i="14"/>
  <c r="E5847" i="14"/>
  <c r="AH5846" i="14"/>
  <c r="V5846" i="14"/>
  <c r="E5846" i="14"/>
  <c r="AH5845" i="14"/>
  <c r="V5845" i="14"/>
  <c r="E5845" i="14"/>
  <c r="AH5844" i="14"/>
  <c r="V5844" i="14"/>
  <c r="E5844" i="14"/>
  <c r="AH5843" i="14"/>
  <c r="E5843" i="14"/>
  <c r="AH5842" i="14"/>
  <c r="E5842" i="14"/>
  <c r="AH5841" i="14"/>
  <c r="E5841" i="14"/>
  <c r="AH5840" i="14"/>
  <c r="V5840" i="14"/>
  <c r="E5840" i="14"/>
  <c r="AH5839" i="14"/>
  <c r="E5839" i="14"/>
  <c r="AH5838" i="14"/>
  <c r="V5838" i="14"/>
  <c r="E5838" i="14"/>
  <c r="AH5837" i="14"/>
  <c r="V5837" i="14"/>
  <c r="E5837" i="14"/>
  <c r="AH5836" i="14"/>
  <c r="E5836" i="14"/>
  <c r="AH5835" i="14"/>
  <c r="E5835" i="14"/>
  <c r="AH5834" i="14"/>
  <c r="V5834" i="14"/>
  <c r="E5834" i="14"/>
  <c r="AH5833" i="14"/>
  <c r="E5833" i="14"/>
  <c r="AH5832" i="14"/>
  <c r="E5832" i="14"/>
  <c r="AH5831" i="14"/>
  <c r="E5831" i="14"/>
  <c r="AH5830" i="14"/>
  <c r="V5830" i="14"/>
  <c r="E5830" i="14"/>
  <c r="AH5829" i="14"/>
  <c r="E5829" i="14"/>
  <c r="AH5828" i="14"/>
  <c r="E5828" i="14"/>
  <c r="AH5827" i="14"/>
  <c r="V5827" i="14"/>
  <c r="E5827" i="14"/>
  <c r="AH5826" i="14"/>
  <c r="E5826" i="14"/>
  <c r="AH5825" i="14"/>
  <c r="E5825" i="14"/>
  <c r="AH5824" i="14"/>
  <c r="E5824" i="14"/>
  <c r="AH5823" i="14"/>
  <c r="E5823" i="14"/>
  <c r="AH5822" i="14"/>
  <c r="E5822" i="14"/>
  <c r="AH5821" i="14"/>
  <c r="E5821" i="14"/>
  <c r="AH5820" i="14"/>
  <c r="E5820" i="14"/>
  <c r="AH5819" i="14"/>
  <c r="E5819" i="14"/>
  <c r="AH5818" i="14"/>
  <c r="E5818" i="14"/>
  <c r="AH5817" i="14"/>
  <c r="E5817" i="14"/>
  <c r="AH5816" i="14"/>
  <c r="E5816" i="14"/>
  <c r="AH5815" i="14"/>
  <c r="V5815" i="14"/>
  <c r="E5815" i="14"/>
  <c r="AH5814" i="14"/>
  <c r="V5814" i="14"/>
  <c r="E5814" i="14"/>
  <c r="AH5813" i="14"/>
  <c r="V5813" i="14"/>
  <c r="E5813" i="14"/>
  <c r="AH5812" i="14"/>
  <c r="V5812" i="14"/>
  <c r="E5812" i="14"/>
  <c r="AH5811" i="14"/>
  <c r="E5811" i="14"/>
  <c r="AH5810" i="14"/>
  <c r="E5810" i="14"/>
  <c r="AH5809" i="14"/>
  <c r="V5809" i="14"/>
  <c r="E5809" i="14"/>
  <c r="AH5808" i="14"/>
  <c r="E5808" i="14"/>
  <c r="AH5807" i="14"/>
  <c r="E5807" i="14"/>
  <c r="AH5806" i="14"/>
  <c r="W5806" i="14"/>
  <c r="V5806" i="14"/>
  <c r="E5806" i="14"/>
  <c r="AH5805" i="14"/>
  <c r="E5805" i="14"/>
  <c r="AH5804" i="14"/>
  <c r="E5804" i="14"/>
  <c r="AH5803" i="14"/>
  <c r="V5803" i="14"/>
  <c r="E5803" i="14"/>
  <c r="AH5802" i="14"/>
  <c r="V5802" i="14"/>
  <c r="E5802" i="14"/>
  <c r="AH5801" i="14"/>
  <c r="V5801" i="14"/>
  <c r="E5801" i="14"/>
  <c r="AH5800" i="14"/>
  <c r="E5800" i="14"/>
  <c r="AH5799" i="14"/>
  <c r="E5799" i="14"/>
  <c r="AH5798" i="14"/>
  <c r="V5798" i="14"/>
  <c r="E5798" i="14"/>
  <c r="AH5797" i="14"/>
  <c r="E5797" i="14"/>
  <c r="AH5796" i="14"/>
  <c r="E5796" i="14"/>
  <c r="AH5795" i="14"/>
  <c r="E5795" i="14"/>
  <c r="AH5794" i="14"/>
  <c r="E5794" i="14"/>
  <c r="AH5793" i="14"/>
  <c r="E5793" i="14"/>
  <c r="AH5792" i="14"/>
  <c r="E5792" i="14"/>
  <c r="AH5791" i="14"/>
  <c r="E5791" i="14"/>
  <c r="AH5790" i="14"/>
  <c r="E5790" i="14"/>
  <c r="AH5789" i="14"/>
  <c r="E5789" i="14"/>
  <c r="AH5788" i="14"/>
  <c r="W5788" i="14"/>
  <c r="V5788" i="14"/>
  <c r="E5788" i="14"/>
  <c r="AH5787" i="14"/>
  <c r="E5787" i="14"/>
  <c r="AH5786" i="14"/>
  <c r="E5786" i="14"/>
  <c r="AH5785" i="14"/>
  <c r="E5785" i="14"/>
  <c r="AH5784" i="14"/>
  <c r="E5784" i="14"/>
  <c r="AH5783" i="14"/>
  <c r="E5783" i="14"/>
  <c r="AH5782" i="14"/>
  <c r="E5782" i="14"/>
  <c r="AH5781" i="14"/>
  <c r="E5781" i="14"/>
  <c r="AH5780" i="14"/>
  <c r="W5780" i="14"/>
  <c r="V5780" i="14"/>
  <c r="E5780" i="14"/>
  <c r="AH5779" i="14"/>
  <c r="W5779" i="14"/>
  <c r="V5779" i="14"/>
  <c r="E5779" i="14"/>
  <c r="AH5778" i="14"/>
  <c r="E5778" i="14"/>
  <c r="AH5777" i="14"/>
  <c r="E5777" i="14"/>
  <c r="AH5776" i="14"/>
  <c r="E5776" i="14"/>
  <c r="AH5775" i="14"/>
  <c r="E5775" i="14"/>
  <c r="AH5774" i="14"/>
  <c r="V5774" i="14"/>
  <c r="E5774" i="14"/>
  <c r="AH5773" i="14"/>
  <c r="V5773" i="14"/>
  <c r="E5773" i="14"/>
  <c r="AH5772" i="14"/>
  <c r="V5772" i="14"/>
  <c r="E5772" i="14"/>
  <c r="AH5771" i="14"/>
  <c r="V5771" i="14"/>
  <c r="E5771" i="14"/>
  <c r="AH5770" i="14"/>
  <c r="E5770" i="14"/>
  <c r="AH5769" i="14"/>
  <c r="E5769" i="14"/>
  <c r="AH5768" i="14"/>
  <c r="E5768" i="14"/>
  <c r="AH5767" i="14"/>
  <c r="E5767" i="14"/>
  <c r="AH5766" i="14"/>
  <c r="E5766" i="14"/>
  <c r="AH5765" i="14"/>
  <c r="E5765" i="14"/>
  <c r="AH5764" i="14"/>
  <c r="E5764" i="14"/>
  <c r="AH5763" i="14"/>
  <c r="E5763" i="14"/>
  <c r="AH5762" i="14"/>
  <c r="W5762" i="14"/>
  <c r="V5762" i="14"/>
  <c r="E5762" i="14"/>
  <c r="AH5761" i="14"/>
  <c r="V5761" i="14"/>
  <c r="E5761" i="14"/>
  <c r="AH5760" i="14"/>
  <c r="V5760" i="14"/>
  <c r="E5760" i="14"/>
  <c r="AH5759" i="14"/>
  <c r="E5759" i="14"/>
  <c r="AH5758" i="14"/>
  <c r="E5758" i="14"/>
  <c r="AH5757" i="14"/>
  <c r="E5757" i="14"/>
  <c r="AH5756" i="14"/>
  <c r="E5756" i="14"/>
  <c r="AH5755" i="14"/>
  <c r="E5755" i="14"/>
  <c r="AH5754" i="14"/>
  <c r="E5754" i="14"/>
  <c r="AH5753" i="14"/>
  <c r="E5753" i="14"/>
  <c r="AH5752" i="14"/>
  <c r="V5752" i="14"/>
  <c r="E5752" i="14"/>
  <c r="AH5751" i="14"/>
  <c r="V5751" i="14"/>
  <c r="E5751" i="14"/>
  <c r="AH5750" i="14"/>
  <c r="V5750" i="14"/>
  <c r="E5750" i="14"/>
  <c r="AH5749" i="14"/>
  <c r="V5749" i="14"/>
  <c r="E5749" i="14"/>
  <c r="AH5748" i="14"/>
  <c r="E5748" i="14"/>
  <c r="AH5747" i="14"/>
  <c r="V5747" i="14"/>
  <c r="E5747" i="14"/>
  <c r="AH5746" i="14"/>
  <c r="E5746" i="14"/>
  <c r="AH5745" i="14"/>
  <c r="E5745" i="14"/>
  <c r="AH5744" i="14"/>
  <c r="E5744" i="14"/>
  <c r="AH5743" i="14"/>
  <c r="E5743" i="14"/>
  <c r="AH5742" i="14"/>
  <c r="E5742" i="14"/>
  <c r="AH5741" i="14"/>
  <c r="V5741" i="14"/>
  <c r="E5741" i="14"/>
  <c r="AH5740" i="14"/>
  <c r="V5740" i="14"/>
  <c r="E5740" i="14"/>
  <c r="AH5739" i="14"/>
  <c r="V5739" i="14"/>
  <c r="E5739" i="14"/>
  <c r="AH5738" i="14"/>
  <c r="V5738" i="14"/>
  <c r="E5738" i="14"/>
  <c r="AH5737" i="14"/>
  <c r="V5737" i="14"/>
  <c r="E5737" i="14"/>
  <c r="AH5736" i="14"/>
  <c r="E5736" i="14"/>
  <c r="AH5735" i="14"/>
  <c r="E5735" i="14"/>
  <c r="AH5734" i="14"/>
  <c r="E5734" i="14"/>
  <c r="AH5733" i="14"/>
  <c r="W5733" i="14"/>
  <c r="V5733" i="14"/>
  <c r="E5733" i="14"/>
  <c r="AH5732" i="14"/>
  <c r="E5732" i="14"/>
  <c r="AH5731" i="14"/>
  <c r="V5731" i="14"/>
  <c r="E5731" i="14"/>
  <c r="AH5730" i="14"/>
  <c r="W5730" i="14"/>
  <c r="V5730" i="14"/>
  <c r="E5730" i="14"/>
  <c r="AH5729" i="14"/>
  <c r="V5729" i="14"/>
  <c r="E5729" i="14"/>
  <c r="AH5728" i="14"/>
  <c r="V5728" i="14"/>
  <c r="E5728" i="14"/>
  <c r="AH5727" i="14"/>
  <c r="V5727" i="14"/>
  <c r="E5727" i="14"/>
  <c r="AH5726" i="14"/>
  <c r="E5726" i="14"/>
  <c r="AH5725" i="14"/>
  <c r="E5725" i="14"/>
  <c r="AH5724" i="14"/>
  <c r="E5724" i="14"/>
  <c r="AH5723" i="14"/>
  <c r="E5723" i="14"/>
  <c r="AH5722" i="14"/>
  <c r="E5722" i="14"/>
  <c r="AH5721" i="14"/>
  <c r="V5721" i="14"/>
  <c r="E5721" i="14"/>
  <c r="AH5720" i="14"/>
  <c r="V5720" i="14"/>
  <c r="E5720" i="14"/>
  <c r="AH5719" i="14"/>
  <c r="E5719" i="14"/>
  <c r="AH5718" i="14"/>
  <c r="V5718" i="14"/>
  <c r="E5718" i="14"/>
  <c r="AH5717" i="14"/>
  <c r="W5717" i="14"/>
  <c r="V5717" i="14"/>
  <c r="E5717" i="14"/>
  <c r="AH5716" i="14"/>
  <c r="W5716" i="14"/>
  <c r="V5716" i="14"/>
  <c r="E5716" i="14"/>
  <c r="AH5715" i="14"/>
  <c r="V5715" i="14"/>
  <c r="E5715" i="14"/>
  <c r="AH5714" i="14"/>
  <c r="E5714" i="14"/>
  <c r="AH5713" i="14"/>
  <c r="V5713" i="14"/>
  <c r="E5713" i="14"/>
  <c r="AH5712" i="14"/>
  <c r="E5712" i="14"/>
  <c r="AH5711" i="14"/>
  <c r="V5711" i="14"/>
  <c r="E5711" i="14"/>
  <c r="AH5710" i="14"/>
  <c r="V5710" i="14"/>
  <c r="E5710" i="14"/>
  <c r="AH5709" i="14"/>
  <c r="V5709" i="14"/>
  <c r="E5709" i="14"/>
  <c r="AH5708" i="14"/>
  <c r="V5708" i="14"/>
  <c r="E5708" i="14"/>
  <c r="AH5707" i="14"/>
  <c r="V5707" i="14"/>
  <c r="E5707" i="14"/>
  <c r="AH5706" i="14"/>
  <c r="V5706" i="14"/>
  <c r="E5706" i="14"/>
  <c r="AH5705" i="14"/>
  <c r="V5705" i="14"/>
  <c r="E5705" i="14"/>
  <c r="AH5704" i="14"/>
  <c r="V5704" i="14"/>
  <c r="E5704" i="14"/>
  <c r="AH5703" i="14"/>
  <c r="V5703" i="14"/>
  <c r="E5703" i="14"/>
  <c r="AH5702" i="14"/>
  <c r="V5702" i="14"/>
  <c r="E5702" i="14"/>
  <c r="AH5701" i="14"/>
  <c r="V5701" i="14"/>
  <c r="E5701" i="14"/>
  <c r="AH5700" i="14"/>
  <c r="V5700" i="14"/>
  <c r="E5700" i="14"/>
  <c r="AH5699" i="14"/>
  <c r="V5699" i="14"/>
  <c r="E5699" i="14"/>
  <c r="AH5698" i="14"/>
  <c r="E5698" i="14"/>
  <c r="AH5697" i="14"/>
  <c r="E5697" i="14"/>
  <c r="AH5696" i="14"/>
  <c r="E5696" i="14"/>
  <c r="AH5695" i="14"/>
  <c r="W5695" i="14"/>
  <c r="V5695" i="14"/>
  <c r="E5695" i="14"/>
  <c r="AH5694" i="14"/>
  <c r="E5694" i="14"/>
  <c r="AH5693" i="14"/>
  <c r="E5693" i="14"/>
  <c r="AH5692" i="14"/>
  <c r="V5692" i="14"/>
  <c r="E5692" i="14"/>
  <c r="AH5691" i="14"/>
  <c r="E5691" i="14"/>
  <c r="AH5690" i="14"/>
  <c r="V5690" i="14"/>
  <c r="E5690" i="14"/>
  <c r="AH5689" i="14"/>
  <c r="V5689" i="14"/>
  <c r="E5689" i="14"/>
  <c r="AH5688" i="14"/>
  <c r="W5688" i="14"/>
  <c r="V5688" i="14"/>
  <c r="E5688" i="14"/>
  <c r="AH5687" i="14"/>
  <c r="W5687" i="14"/>
  <c r="V5687" i="14"/>
  <c r="E5687" i="14"/>
  <c r="AH5686" i="14"/>
  <c r="W5686" i="14"/>
  <c r="V5686" i="14"/>
  <c r="O5686" i="14"/>
  <c r="E5686" i="14"/>
  <c r="AH5685" i="14"/>
  <c r="E5685" i="14"/>
  <c r="AH5684" i="14"/>
  <c r="V5684" i="14"/>
  <c r="E5684" i="14"/>
  <c r="AH5683" i="14"/>
  <c r="W5683" i="14"/>
  <c r="V5683" i="14"/>
  <c r="E5683" i="14"/>
  <c r="AH5682" i="14"/>
  <c r="W5682" i="14"/>
  <c r="V5682" i="14"/>
  <c r="E5682" i="14"/>
  <c r="AH5681" i="14"/>
  <c r="V5681" i="14"/>
  <c r="E5681" i="14"/>
  <c r="AH5680" i="14"/>
  <c r="E5680" i="14"/>
  <c r="AH5679" i="14"/>
  <c r="V5679" i="14"/>
  <c r="E5679" i="14"/>
  <c r="AH5678" i="14"/>
  <c r="V5678" i="14"/>
  <c r="E5678" i="14"/>
  <c r="AH5677" i="14"/>
  <c r="W5677" i="14"/>
  <c r="V5677" i="14"/>
  <c r="E5677" i="14"/>
  <c r="AH5676" i="14"/>
  <c r="V5676" i="14"/>
  <c r="E5676" i="14"/>
  <c r="AH5675" i="14"/>
  <c r="E5675" i="14"/>
  <c r="AH5674" i="14"/>
  <c r="V5674" i="14"/>
  <c r="E5674" i="14"/>
  <c r="AH5673" i="14"/>
  <c r="V5673" i="14"/>
  <c r="E5673" i="14"/>
  <c r="AH5672" i="14"/>
  <c r="W5672" i="14"/>
  <c r="V5672" i="14"/>
  <c r="E5672" i="14"/>
  <c r="AH5671" i="14"/>
  <c r="V5671" i="14"/>
  <c r="E5671" i="14"/>
  <c r="AH5670" i="14"/>
  <c r="V5670" i="14"/>
  <c r="E5670" i="14"/>
  <c r="AH5669" i="14"/>
  <c r="W5669" i="14"/>
  <c r="V5669" i="14"/>
  <c r="E5669" i="14"/>
  <c r="AH5668" i="14"/>
  <c r="V5668" i="14"/>
  <c r="E5668" i="14"/>
  <c r="AH5667" i="14"/>
  <c r="V5667" i="14"/>
  <c r="E5667" i="14"/>
  <c r="AH5666" i="14"/>
  <c r="V5666" i="14"/>
  <c r="E5666" i="14"/>
  <c r="AH5665" i="14"/>
  <c r="V5665" i="14"/>
  <c r="E5665" i="14"/>
  <c r="AH5664" i="14"/>
  <c r="V5664" i="14"/>
  <c r="E5664" i="14"/>
  <c r="AH5663" i="14"/>
  <c r="V5663" i="14"/>
  <c r="E5663" i="14"/>
  <c r="AH5662" i="14"/>
  <c r="V5662" i="14"/>
  <c r="E5662" i="14"/>
  <c r="AH5661" i="14"/>
  <c r="V5661" i="14"/>
  <c r="E5661" i="14"/>
  <c r="AH5660" i="14"/>
  <c r="W5660" i="14"/>
  <c r="V5660" i="14"/>
  <c r="E5660" i="14"/>
  <c r="AH5659" i="14"/>
  <c r="V5659" i="14"/>
  <c r="E5659" i="14"/>
  <c r="AH5658" i="14"/>
  <c r="V5658" i="14"/>
  <c r="E5658" i="14"/>
  <c r="AH5657" i="14"/>
  <c r="E5657" i="14"/>
  <c r="AH5656" i="14"/>
  <c r="E5656" i="14"/>
  <c r="AH5655" i="14"/>
  <c r="E5655" i="14"/>
  <c r="AH5654" i="14"/>
  <c r="E5654" i="14"/>
  <c r="AH5653" i="14"/>
  <c r="E5653" i="14"/>
  <c r="AH5652" i="14"/>
  <c r="E5652" i="14"/>
  <c r="AH5651" i="14"/>
  <c r="E5651" i="14"/>
  <c r="AH5650" i="14"/>
  <c r="V5650" i="14"/>
  <c r="E5650" i="14"/>
  <c r="AH5649" i="14"/>
  <c r="V5649" i="14"/>
  <c r="E5649" i="14"/>
  <c r="AH5648" i="14"/>
  <c r="V5648" i="14"/>
  <c r="E5648" i="14"/>
  <c r="AH5647" i="14"/>
  <c r="V5647" i="14"/>
  <c r="E5647" i="14"/>
  <c r="AH5646" i="14"/>
  <c r="W5646" i="14"/>
  <c r="V5646" i="14"/>
  <c r="E5646" i="14"/>
  <c r="AH5645" i="14"/>
  <c r="E5645" i="14"/>
  <c r="AH5644" i="14"/>
  <c r="E5644" i="14"/>
  <c r="AH5643" i="14"/>
  <c r="E5643" i="14"/>
  <c r="AH5642" i="14"/>
  <c r="V5642" i="14"/>
  <c r="E5642" i="14"/>
  <c r="AH5641" i="14"/>
  <c r="W5641" i="14"/>
  <c r="V5641" i="14"/>
  <c r="E5641" i="14"/>
  <c r="AH5640" i="14"/>
  <c r="V5640" i="14"/>
  <c r="E5640" i="14"/>
  <c r="AH5639" i="14"/>
  <c r="V5639" i="14"/>
  <c r="E5639" i="14"/>
  <c r="AH5638" i="14"/>
  <c r="V5638" i="14"/>
  <c r="E5638" i="14"/>
  <c r="AH5637" i="14"/>
  <c r="V5637" i="14"/>
  <c r="E5637" i="14"/>
  <c r="AH5636" i="14"/>
  <c r="V5636" i="14"/>
  <c r="E5636" i="14"/>
  <c r="AH5635" i="14"/>
  <c r="V5635" i="14"/>
  <c r="E5635" i="14"/>
  <c r="AH5634" i="14"/>
  <c r="V5634" i="14"/>
  <c r="E5634" i="14"/>
  <c r="AH5633" i="14"/>
  <c r="V5633" i="14"/>
  <c r="E5633" i="14"/>
  <c r="AH5632" i="14"/>
  <c r="V5632" i="14"/>
  <c r="E5632" i="14"/>
  <c r="AH5631" i="14"/>
  <c r="V5631" i="14"/>
  <c r="E5631" i="14"/>
  <c r="AH5630" i="14"/>
  <c r="W5630" i="14"/>
  <c r="V5630" i="14"/>
  <c r="E5630" i="14"/>
  <c r="AH5629" i="14"/>
  <c r="W5629" i="14"/>
  <c r="V5629" i="14"/>
  <c r="E5629" i="14"/>
  <c r="AH5628" i="14"/>
  <c r="V5628" i="14"/>
  <c r="E5628" i="14"/>
  <c r="AH5627" i="14"/>
  <c r="V5627" i="14"/>
  <c r="E5627" i="14"/>
  <c r="AH5626" i="14"/>
  <c r="E5626" i="14"/>
  <c r="AH5625" i="14"/>
  <c r="V5625" i="14"/>
  <c r="E5625" i="14"/>
  <c r="AH5624" i="14"/>
  <c r="W5624" i="14"/>
  <c r="V5624" i="14"/>
  <c r="E5624" i="14"/>
  <c r="AH5623" i="14"/>
  <c r="V5623" i="14"/>
  <c r="E5623" i="14"/>
  <c r="AH5622" i="14"/>
  <c r="V5622" i="14"/>
  <c r="E5622" i="14"/>
  <c r="AH5621" i="14"/>
  <c r="V5621" i="14"/>
  <c r="E5621" i="14"/>
  <c r="AH5620" i="14"/>
  <c r="E5620" i="14"/>
  <c r="AH5619" i="14"/>
  <c r="V5619" i="14"/>
  <c r="E5619" i="14"/>
  <c r="AH5618" i="14"/>
  <c r="V5618" i="14"/>
  <c r="E5618" i="14"/>
  <c r="AH5617" i="14"/>
  <c r="V5617" i="14"/>
  <c r="E5617" i="14"/>
  <c r="AH5616" i="14"/>
  <c r="V5616" i="14"/>
  <c r="E5616" i="14"/>
  <c r="AH5615" i="14"/>
  <c r="E5615" i="14"/>
  <c r="AH5614" i="14"/>
  <c r="V5614" i="14"/>
  <c r="E5614" i="14"/>
  <c r="AH5613" i="14"/>
  <c r="V5613" i="14"/>
  <c r="E5613" i="14"/>
  <c r="AH5612" i="14"/>
  <c r="V5612" i="14"/>
  <c r="E5612" i="14"/>
  <c r="AH5611" i="14"/>
  <c r="E5611" i="14"/>
  <c r="AH5610" i="14"/>
  <c r="V5610" i="14"/>
  <c r="E5610" i="14"/>
  <c r="AH5609" i="14"/>
  <c r="V5609" i="14"/>
  <c r="E5609" i="14"/>
  <c r="AH5608" i="14"/>
  <c r="V5608" i="14"/>
  <c r="E5608" i="14"/>
  <c r="AH5607" i="14"/>
  <c r="W5607" i="14"/>
  <c r="V5607" i="14"/>
  <c r="E5607" i="14"/>
  <c r="AH5606" i="14"/>
  <c r="V5606" i="14"/>
  <c r="E5606" i="14"/>
  <c r="AH5605" i="14"/>
  <c r="V5605" i="14"/>
  <c r="E5605" i="14"/>
  <c r="AH5604" i="14"/>
  <c r="W5604" i="14"/>
  <c r="V5604" i="14"/>
  <c r="E5604" i="14"/>
  <c r="AH5603" i="14"/>
  <c r="V5603" i="14"/>
  <c r="E5603" i="14"/>
  <c r="AH5602" i="14"/>
  <c r="E5602" i="14"/>
  <c r="AH5601" i="14"/>
  <c r="V5601" i="14"/>
  <c r="E5601" i="14"/>
  <c r="AH5600" i="14"/>
  <c r="V5600" i="14"/>
  <c r="E5600" i="14"/>
  <c r="AH5599" i="14"/>
  <c r="E5599" i="14"/>
  <c r="AH5598" i="14"/>
  <c r="E5598" i="14"/>
  <c r="AH5597" i="14"/>
  <c r="E5597" i="14"/>
  <c r="AH5596" i="14"/>
  <c r="E5596" i="14"/>
  <c r="AH5595" i="14"/>
  <c r="V5595" i="14"/>
  <c r="E5595" i="14"/>
  <c r="AH5594" i="14"/>
  <c r="E5594" i="14"/>
  <c r="AH5593" i="14"/>
  <c r="E5593" i="14"/>
  <c r="AH5592" i="14"/>
  <c r="V5592" i="14"/>
  <c r="E5592" i="14"/>
  <c r="AH5591" i="14"/>
  <c r="V5591" i="14"/>
  <c r="E5591" i="14"/>
  <c r="AH5590" i="14"/>
  <c r="V5590" i="14"/>
  <c r="E5590" i="14"/>
  <c r="AH5589" i="14"/>
  <c r="V5589" i="14"/>
  <c r="E5589" i="14"/>
  <c r="AH5588" i="14"/>
  <c r="V5588" i="14"/>
  <c r="E5588" i="14"/>
  <c r="AH5587" i="14"/>
  <c r="V5587" i="14"/>
  <c r="E5587" i="14"/>
  <c r="AH5586" i="14"/>
  <c r="V5586" i="14"/>
  <c r="E5586" i="14"/>
  <c r="AH5585" i="14"/>
  <c r="E5585" i="14"/>
  <c r="AH5584" i="14"/>
  <c r="V5584" i="14"/>
  <c r="E5584" i="14"/>
  <c r="AH5583" i="14"/>
  <c r="V5583" i="14"/>
  <c r="E5583" i="14"/>
  <c r="AH5582" i="14"/>
  <c r="V5582" i="14"/>
  <c r="E5582" i="14"/>
  <c r="AH5581" i="14"/>
  <c r="V5581" i="14"/>
  <c r="E5581" i="14"/>
  <c r="AH5580" i="14"/>
  <c r="V5580" i="14"/>
  <c r="E5580" i="14"/>
  <c r="AH5579" i="14"/>
  <c r="V5579" i="14"/>
  <c r="E5579" i="14"/>
  <c r="AH5578" i="14"/>
  <c r="V5578" i="14"/>
  <c r="E5578" i="14"/>
  <c r="AH5577" i="14"/>
  <c r="V5577" i="14"/>
  <c r="E5577" i="14"/>
  <c r="AH5576" i="14"/>
  <c r="V5576" i="14"/>
  <c r="E5576" i="14"/>
  <c r="AH5575" i="14"/>
  <c r="V5575" i="14"/>
  <c r="E5575" i="14"/>
  <c r="AH5574" i="14"/>
  <c r="V5574" i="14"/>
  <c r="E5574" i="14"/>
  <c r="AH5573" i="14"/>
  <c r="V5573" i="14"/>
  <c r="E5573" i="14"/>
  <c r="AH5572" i="14"/>
  <c r="V5572" i="14"/>
  <c r="E5572" i="14"/>
  <c r="AH5571" i="14"/>
  <c r="V5571" i="14"/>
  <c r="E5571" i="14"/>
  <c r="AH5570" i="14"/>
  <c r="V5570" i="14"/>
  <c r="E5570" i="14"/>
  <c r="AH5569" i="14"/>
  <c r="W5569" i="14"/>
  <c r="V5569" i="14"/>
  <c r="E5569" i="14"/>
  <c r="AH5568" i="14"/>
  <c r="V5568" i="14"/>
  <c r="E5568" i="14"/>
  <c r="AH5567" i="14"/>
  <c r="V5567" i="14"/>
  <c r="E5567" i="14"/>
  <c r="AH5566" i="14"/>
  <c r="V5566" i="14"/>
  <c r="E5566" i="14"/>
  <c r="AH5565" i="14"/>
  <c r="V5565" i="14"/>
  <c r="O5565" i="14"/>
  <c r="E5565" i="14"/>
  <c r="AH5564" i="14"/>
  <c r="V5564" i="14"/>
  <c r="E5564" i="14"/>
  <c r="AH5563" i="14"/>
  <c r="V5563" i="14"/>
  <c r="E5563" i="14"/>
  <c r="AH5562" i="14"/>
  <c r="W5562" i="14"/>
  <c r="V5562" i="14"/>
  <c r="E5562" i="14"/>
  <c r="AH5561" i="14"/>
  <c r="V5561" i="14"/>
  <c r="E5561" i="14"/>
  <c r="AH5560" i="14"/>
  <c r="W5560" i="14"/>
  <c r="V5560" i="14"/>
  <c r="E5560" i="14"/>
  <c r="AH5559" i="14"/>
  <c r="W5559" i="14"/>
  <c r="V5559" i="14"/>
  <c r="E5559" i="14"/>
  <c r="AH5558" i="14"/>
  <c r="W5558" i="14"/>
  <c r="V5558" i="14"/>
  <c r="E5558" i="14"/>
  <c r="AH5557" i="14"/>
  <c r="V5557" i="14"/>
  <c r="E5557" i="14"/>
  <c r="AH5556" i="14"/>
  <c r="W5556" i="14"/>
  <c r="V5556" i="14"/>
  <c r="E5556" i="14"/>
  <c r="AH5555" i="14"/>
  <c r="V5555" i="14"/>
  <c r="E5555" i="14"/>
  <c r="AH5554" i="14"/>
  <c r="W5554" i="14"/>
  <c r="V5554" i="14"/>
  <c r="E5554" i="14"/>
  <c r="AH5553" i="14"/>
  <c r="V5553" i="14"/>
  <c r="E5553" i="14"/>
  <c r="AH5552" i="14"/>
  <c r="V5552" i="14"/>
  <c r="E5552" i="14"/>
  <c r="AH5551" i="14"/>
  <c r="V5551" i="14"/>
  <c r="E5551" i="14"/>
  <c r="AH5550" i="14"/>
  <c r="W5550" i="14"/>
  <c r="V5550" i="14"/>
  <c r="E5550" i="14"/>
  <c r="AH5549" i="14"/>
  <c r="V5549" i="14"/>
  <c r="E5549" i="14"/>
  <c r="AH5548" i="14"/>
  <c r="V5548" i="14"/>
  <c r="E5548" i="14"/>
  <c r="AH5547" i="14"/>
  <c r="E5547" i="14"/>
  <c r="AH5546" i="14"/>
  <c r="V5546" i="14"/>
  <c r="E5546" i="14"/>
  <c r="AH5545" i="14"/>
  <c r="V5545" i="14"/>
  <c r="E5545" i="14"/>
  <c r="AH5544" i="14"/>
  <c r="E5544" i="14"/>
  <c r="AH5543" i="14"/>
  <c r="V5543" i="14"/>
  <c r="E5543" i="14"/>
  <c r="AH5542" i="14"/>
  <c r="V5542" i="14"/>
  <c r="E5542" i="14"/>
  <c r="AH5541" i="14"/>
  <c r="V5541" i="14"/>
  <c r="E5541" i="14"/>
  <c r="AH5540" i="14"/>
  <c r="V5540" i="14"/>
  <c r="E5540" i="14"/>
  <c r="AH5539" i="14"/>
  <c r="V5539" i="14"/>
  <c r="E5539" i="14"/>
  <c r="AH5538" i="14"/>
  <c r="V5538" i="14"/>
  <c r="E5538" i="14"/>
  <c r="AH5537" i="14"/>
  <c r="V5537" i="14"/>
  <c r="E5537" i="14"/>
  <c r="AH5536" i="14"/>
  <c r="V5536" i="14"/>
  <c r="E5536" i="14"/>
  <c r="AH5535" i="14"/>
  <c r="V5535" i="14"/>
  <c r="E5535" i="14"/>
  <c r="AH5534" i="14"/>
  <c r="V5534" i="14"/>
  <c r="E5534" i="14"/>
  <c r="AH5533" i="14"/>
  <c r="E5533" i="14"/>
  <c r="AH5532" i="14"/>
  <c r="V5532" i="14"/>
  <c r="E5532" i="14"/>
  <c r="AH5531" i="14"/>
  <c r="V5531" i="14"/>
  <c r="E5531" i="14"/>
  <c r="AH5530" i="14"/>
  <c r="W5530" i="14"/>
  <c r="V5530" i="14"/>
  <c r="E5530" i="14"/>
  <c r="AH5529" i="14"/>
  <c r="V5529" i="14"/>
  <c r="E5529" i="14"/>
  <c r="AH5528" i="14"/>
  <c r="V5528" i="14"/>
  <c r="E5528" i="14"/>
  <c r="AH5527" i="14"/>
  <c r="V5527" i="14"/>
  <c r="E5527" i="14"/>
  <c r="AH5526" i="14"/>
  <c r="V5526" i="14"/>
  <c r="E5526" i="14"/>
  <c r="AH5525" i="14"/>
  <c r="E5525" i="14"/>
  <c r="AH5524" i="14"/>
  <c r="V5524" i="14"/>
  <c r="E5524" i="14"/>
  <c r="AH5523" i="14"/>
  <c r="V5523" i="14"/>
  <c r="E5523" i="14"/>
  <c r="AH5522" i="14"/>
  <c r="V5522" i="14"/>
  <c r="E5522" i="14"/>
  <c r="AH5521" i="14"/>
  <c r="V5521" i="14"/>
  <c r="E5521" i="14"/>
  <c r="AH5520" i="14"/>
  <c r="V5520" i="14"/>
  <c r="E5520" i="14"/>
  <c r="AH5519" i="14"/>
  <c r="E5519" i="14"/>
  <c r="AH5518" i="14"/>
  <c r="E5518" i="14"/>
  <c r="AH5517" i="14"/>
  <c r="V5517" i="14"/>
  <c r="E5517" i="14"/>
  <c r="AH5516" i="14"/>
  <c r="E5516" i="14"/>
  <c r="AH5515" i="14"/>
  <c r="V5515" i="14"/>
  <c r="E5515" i="14"/>
  <c r="AH5514" i="14"/>
  <c r="V5514" i="14"/>
  <c r="E5514" i="14"/>
  <c r="AH5513" i="14"/>
  <c r="V5513" i="14"/>
  <c r="E5513" i="14"/>
  <c r="AH5512" i="14"/>
  <c r="V5512" i="14"/>
  <c r="E5512" i="14"/>
  <c r="AH5511" i="14"/>
  <c r="V5511" i="14"/>
  <c r="E5511" i="14"/>
  <c r="AH5510" i="14"/>
  <c r="E5510" i="14"/>
  <c r="AH5509" i="14"/>
  <c r="E5509" i="14"/>
  <c r="AH5508" i="14"/>
  <c r="V5508" i="14"/>
  <c r="E5508" i="14"/>
  <c r="AH5507" i="14"/>
  <c r="V5507" i="14"/>
  <c r="E5507" i="14"/>
  <c r="AH5506" i="14"/>
  <c r="V5506" i="14"/>
  <c r="E5506" i="14"/>
  <c r="AH5505" i="14"/>
  <c r="V5505" i="14"/>
  <c r="E5505" i="14"/>
  <c r="AH5504" i="14"/>
  <c r="V5504" i="14"/>
  <c r="E5504" i="14"/>
  <c r="AH5503" i="14"/>
  <c r="E5503" i="14"/>
  <c r="AH5502" i="14"/>
  <c r="V5502" i="14"/>
  <c r="E5502" i="14"/>
  <c r="AH5501" i="14"/>
  <c r="E5501" i="14"/>
  <c r="AH5500" i="14"/>
  <c r="V5500" i="14"/>
  <c r="E5500" i="14"/>
  <c r="AH5499" i="14"/>
  <c r="V5499" i="14"/>
  <c r="E5499" i="14"/>
  <c r="AH5498" i="14"/>
  <c r="E5498" i="14"/>
  <c r="AH5497" i="14"/>
  <c r="V5497" i="14"/>
  <c r="E5497" i="14"/>
  <c r="AH5496" i="14"/>
  <c r="V5496" i="14"/>
  <c r="E5496" i="14"/>
  <c r="AH5495" i="14"/>
  <c r="V5495" i="14"/>
  <c r="E5495" i="14"/>
  <c r="AH5494" i="14"/>
  <c r="V5494" i="14"/>
  <c r="E5494" i="14"/>
  <c r="AH5493" i="14"/>
  <c r="V5493" i="14"/>
  <c r="E5493" i="14"/>
  <c r="AH5492" i="14"/>
  <c r="V5492" i="14"/>
  <c r="E5492" i="14"/>
  <c r="AH5491" i="14"/>
  <c r="W5491" i="14"/>
  <c r="V5491" i="14"/>
  <c r="E5491" i="14"/>
  <c r="AH5490" i="14"/>
  <c r="W5490" i="14"/>
  <c r="V5490" i="14"/>
  <c r="E5490" i="14"/>
  <c r="AH5489" i="14"/>
  <c r="V5489" i="14"/>
  <c r="E5489" i="14"/>
  <c r="AH5488" i="14"/>
  <c r="V5488" i="14"/>
  <c r="E5488" i="14"/>
  <c r="AH5487" i="14"/>
  <c r="V5487" i="14"/>
  <c r="E5487" i="14"/>
  <c r="AH5486" i="14"/>
  <c r="E5486" i="14"/>
  <c r="AH5485" i="14"/>
  <c r="V5485" i="14"/>
  <c r="E5485" i="14"/>
  <c r="AH5484" i="14"/>
  <c r="V5484" i="14"/>
  <c r="E5484" i="14"/>
  <c r="AH5483" i="14"/>
  <c r="V5483" i="14"/>
  <c r="E5483" i="14"/>
  <c r="AH5482" i="14"/>
  <c r="W5482" i="14"/>
  <c r="V5482" i="14"/>
  <c r="E5482" i="14"/>
  <c r="AH5481" i="14"/>
  <c r="V5481" i="14"/>
  <c r="E5481" i="14"/>
  <c r="AH5480" i="14"/>
  <c r="V5480" i="14"/>
  <c r="E5480" i="14"/>
  <c r="AH5479" i="14"/>
  <c r="V5479" i="14"/>
  <c r="E5479" i="14"/>
  <c r="AH5478" i="14"/>
  <c r="W5478" i="14"/>
  <c r="V5478" i="14"/>
  <c r="E5478" i="14"/>
  <c r="AH5477" i="14"/>
  <c r="V5477" i="14"/>
  <c r="E5477" i="14"/>
  <c r="AH5476" i="14"/>
  <c r="V5476" i="14"/>
  <c r="E5476" i="14"/>
  <c r="AH5475" i="14"/>
  <c r="E5475" i="14"/>
  <c r="AH5474" i="14"/>
  <c r="V5474" i="14"/>
  <c r="E5474" i="14"/>
  <c r="AH5473" i="14"/>
  <c r="V5473" i="14"/>
  <c r="E5473" i="14"/>
  <c r="AH5472" i="14"/>
  <c r="V5472" i="14"/>
  <c r="E5472" i="14"/>
  <c r="AH5471" i="14"/>
  <c r="V5471" i="14"/>
  <c r="E5471" i="14"/>
  <c r="AH5470" i="14"/>
  <c r="V5470" i="14"/>
  <c r="E5470" i="14"/>
  <c r="AH5469" i="14"/>
  <c r="V5469" i="14"/>
  <c r="E5469" i="14"/>
  <c r="AH5468" i="14"/>
  <c r="V5468" i="14"/>
  <c r="E5468" i="14"/>
  <c r="AH5467" i="14"/>
  <c r="V5467" i="14"/>
  <c r="E5467" i="14"/>
  <c r="AH5466" i="14"/>
  <c r="V5466" i="14"/>
  <c r="E5466" i="14"/>
  <c r="AH5465" i="14"/>
  <c r="V5465" i="14"/>
  <c r="E5465" i="14"/>
  <c r="AH5464" i="14"/>
  <c r="V5464" i="14"/>
  <c r="E5464" i="14"/>
  <c r="AH5463" i="14"/>
  <c r="E5463" i="14"/>
  <c r="AH5462" i="14"/>
  <c r="E5462" i="14"/>
  <c r="AH5461" i="14"/>
  <c r="V5461" i="14"/>
  <c r="E5461" i="14"/>
  <c r="AH5460" i="14"/>
  <c r="V5460" i="14"/>
  <c r="E5460" i="14"/>
  <c r="AH5459" i="14"/>
  <c r="V5459" i="14"/>
  <c r="E5459" i="14"/>
  <c r="AH5458" i="14"/>
  <c r="V5458" i="14"/>
  <c r="E5458" i="14"/>
  <c r="AH5457" i="14"/>
  <c r="V5457" i="14"/>
  <c r="E5457" i="14"/>
  <c r="AH5456" i="14"/>
  <c r="V5456" i="14"/>
  <c r="E5456" i="14"/>
  <c r="AH5455" i="14"/>
  <c r="E5455" i="14"/>
  <c r="AH5454" i="14"/>
  <c r="V5454" i="14"/>
  <c r="E5454" i="14"/>
  <c r="AH5453" i="14"/>
  <c r="V5453" i="14"/>
  <c r="E5453" i="14"/>
  <c r="AH5452" i="14"/>
  <c r="E5452" i="14"/>
  <c r="AH5451" i="14"/>
  <c r="V5451" i="14"/>
  <c r="E5451" i="14"/>
  <c r="AH5450" i="14"/>
  <c r="V5450" i="14"/>
  <c r="E5450" i="14"/>
  <c r="AH5449" i="14"/>
  <c r="V5449" i="14"/>
  <c r="E5449" i="14"/>
  <c r="AH5448" i="14"/>
  <c r="V5448" i="14"/>
  <c r="E5448" i="14"/>
  <c r="AH5447" i="14"/>
  <c r="E5447" i="14"/>
  <c r="AH5446" i="14"/>
  <c r="V5446" i="14"/>
  <c r="E5446" i="14"/>
  <c r="AH5445" i="14"/>
  <c r="V5445" i="14"/>
  <c r="E5445" i="14"/>
  <c r="AH5444" i="14"/>
  <c r="V5444" i="14"/>
  <c r="E5444" i="14"/>
  <c r="AH5443" i="14"/>
  <c r="V5443" i="14"/>
  <c r="E5443" i="14"/>
  <c r="AH5442" i="14"/>
  <c r="V5442" i="14"/>
  <c r="E5442" i="14"/>
  <c r="AH5441" i="14"/>
  <c r="E5441" i="14"/>
  <c r="AH5440" i="14"/>
  <c r="E5440" i="14"/>
  <c r="AH5439" i="14"/>
  <c r="E5439" i="14"/>
  <c r="AH5438" i="14"/>
  <c r="E5438" i="14"/>
  <c r="AH5437" i="14"/>
  <c r="E5437" i="14"/>
  <c r="AH5436" i="14"/>
  <c r="V5436" i="14"/>
  <c r="E5436" i="14"/>
  <c r="AH5435" i="14"/>
  <c r="V5435" i="14"/>
  <c r="E5435" i="14"/>
  <c r="AH5434" i="14"/>
  <c r="V5434" i="14"/>
  <c r="E5434" i="14"/>
  <c r="AH5433" i="14"/>
  <c r="V5433" i="14"/>
  <c r="E5433" i="14"/>
  <c r="AH5432" i="14"/>
  <c r="E5432" i="14"/>
  <c r="AH5431" i="14"/>
  <c r="V5431" i="14"/>
  <c r="E5431" i="14"/>
  <c r="AH5430" i="14"/>
  <c r="W5430" i="14"/>
  <c r="V5430" i="14"/>
  <c r="E5430" i="14"/>
  <c r="AH5429" i="14"/>
  <c r="V5429" i="14"/>
  <c r="E5429" i="14"/>
  <c r="AH5428" i="14"/>
  <c r="W5428" i="14"/>
  <c r="V5428" i="14"/>
  <c r="E5428" i="14"/>
  <c r="AH5427" i="14"/>
  <c r="V5427" i="14"/>
  <c r="E5427" i="14"/>
  <c r="AH5426" i="14"/>
  <c r="V5426" i="14"/>
  <c r="E5426" i="14"/>
  <c r="AH5425" i="14"/>
  <c r="V5425" i="14"/>
  <c r="E5425" i="14"/>
  <c r="AH5424" i="14"/>
  <c r="V5424" i="14"/>
  <c r="E5424" i="14"/>
  <c r="AH5423" i="14"/>
  <c r="V5423" i="14"/>
  <c r="E5423" i="14"/>
  <c r="AH5422" i="14"/>
  <c r="V5422" i="14"/>
  <c r="E5422" i="14"/>
  <c r="AH5421" i="14"/>
  <c r="V5421" i="14"/>
  <c r="E5421" i="14"/>
  <c r="AH5420" i="14"/>
  <c r="V5420" i="14"/>
  <c r="E5420" i="14"/>
  <c r="AH5419" i="14"/>
  <c r="V5419" i="14"/>
  <c r="E5419" i="14"/>
  <c r="AH5418" i="14"/>
  <c r="E5418" i="14"/>
  <c r="AH5417" i="14"/>
  <c r="V5417" i="14"/>
  <c r="E5417" i="14"/>
  <c r="AH5416" i="14"/>
  <c r="E5416" i="14"/>
  <c r="AH5415" i="14"/>
  <c r="E5415" i="14"/>
  <c r="AH5414" i="14"/>
  <c r="E5414" i="14"/>
  <c r="AH5413" i="14"/>
  <c r="V5413" i="14"/>
  <c r="E5413" i="14"/>
  <c r="AH5412" i="14"/>
  <c r="V5412" i="14"/>
  <c r="E5412" i="14"/>
  <c r="AH5411" i="14"/>
  <c r="V5411" i="14"/>
  <c r="E5411" i="14"/>
  <c r="AH5410" i="14"/>
  <c r="V5410" i="14"/>
  <c r="E5410" i="14"/>
  <c r="AH5409" i="14"/>
  <c r="E5409" i="14"/>
  <c r="AH5408" i="14"/>
  <c r="V5408" i="14"/>
  <c r="E5408" i="14"/>
  <c r="AH5407" i="14"/>
  <c r="V5407" i="14"/>
  <c r="E5407" i="14"/>
  <c r="AH5406" i="14"/>
  <c r="V5406" i="14"/>
  <c r="E5406" i="14"/>
  <c r="AH5405" i="14"/>
  <c r="V5405" i="14"/>
  <c r="E5405" i="14"/>
  <c r="AH5404" i="14"/>
  <c r="V5404" i="14"/>
  <c r="E5404" i="14"/>
  <c r="AH5403" i="14"/>
  <c r="V5403" i="14"/>
  <c r="E5403" i="14"/>
  <c r="AH5402" i="14"/>
  <c r="V5402" i="14"/>
  <c r="E5402" i="14"/>
  <c r="AH5401" i="14"/>
  <c r="V5401" i="14"/>
  <c r="E5401" i="14"/>
  <c r="AH5400" i="14"/>
  <c r="V5400" i="14"/>
  <c r="E5400" i="14"/>
  <c r="AH5399" i="14"/>
  <c r="W5399" i="14"/>
  <c r="V5399" i="14"/>
  <c r="E5399" i="14"/>
  <c r="AH5398" i="14"/>
  <c r="V5398" i="14"/>
  <c r="E5398" i="14"/>
  <c r="AH5397" i="14"/>
  <c r="W5397" i="14"/>
  <c r="V5397" i="14"/>
  <c r="E5397" i="14"/>
  <c r="AH5396" i="14"/>
  <c r="V5396" i="14"/>
  <c r="E5396" i="14"/>
  <c r="AH5395" i="14"/>
  <c r="V5395" i="14"/>
  <c r="E5395" i="14"/>
  <c r="AH5394" i="14"/>
  <c r="V5394" i="14"/>
  <c r="E5394" i="14"/>
  <c r="AH5393" i="14"/>
  <c r="V5393" i="14"/>
  <c r="E5393" i="14"/>
  <c r="AH5392" i="14"/>
  <c r="V5392" i="14"/>
  <c r="E5392" i="14"/>
  <c r="AH5391" i="14"/>
  <c r="W5391" i="14"/>
  <c r="V5391" i="14"/>
  <c r="E5391" i="14"/>
  <c r="AH5390" i="14"/>
  <c r="W5390" i="14"/>
  <c r="V5390" i="14"/>
  <c r="E5390" i="14"/>
  <c r="AH5389" i="14"/>
  <c r="V5389" i="14"/>
  <c r="E5389" i="14"/>
  <c r="AH5388" i="14"/>
  <c r="E5388" i="14"/>
  <c r="AH5387" i="14"/>
  <c r="W5387" i="14"/>
  <c r="V5387" i="14"/>
  <c r="E5387" i="14"/>
  <c r="AH5386" i="14"/>
  <c r="W5386" i="14"/>
  <c r="V5386" i="14"/>
  <c r="E5386" i="14"/>
  <c r="AH5385" i="14"/>
  <c r="W5385" i="14"/>
  <c r="V5385" i="14"/>
  <c r="E5385" i="14"/>
  <c r="AH5384" i="14"/>
  <c r="W5384" i="14"/>
  <c r="V5384" i="14"/>
  <c r="E5384" i="14"/>
  <c r="AH5383" i="14"/>
  <c r="W5383" i="14"/>
  <c r="V5383" i="14"/>
  <c r="E5383" i="14"/>
  <c r="AH5382" i="14"/>
  <c r="V5382" i="14"/>
  <c r="E5382" i="14"/>
  <c r="AH5381" i="14"/>
  <c r="W5381" i="14"/>
  <c r="V5381" i="14"/>
  <c r="E5381" i="14"/>
  <c r="AH5380" i="14"/>
  <c r="W5380" i="14"/>
  <c r="V5380" i="14"/>
  <c r="E5380" i="14"/>
  <c r="AH5379" i="14"/>
  <c r="W5379" i="14"/>
  <c r="V5379" i="14"/>
  <c r="E5379" i="14"/>
  <c r="AH5378" i="14"/>
  <c r="V5378" i="14"/>
  <c r="E5378" i="14"/>
  <c r="AH5377" i="14"/>
  <c r="V5377" i="14"/>
  <c r="E5377" i="14"/>
  <c r="AH5376" i="14"/>
  <c r="V5376" i="14"/>
  <c r="E5376" i="14"/>
  <c r="AH5375" i="14"/>
  <c r="V5375" i="14"/>
  <c r="E5375" i="14"/>
  <c r="AH5374" i="14"/>
  <c r="E5374" i="14"/>
  <c r="AH5373" i="14"/>
  <c r="W5373" i="14"/>
  <c r="V5373" i="14"/>
  <c r="E5373" i="14"/>
  <c r="AH5372" i="14"/>
  <c r="W5372" i="14"/>
  <c r="V5372" i="14"/>
  <c r="E5372" i="14"/>
  <c r="AH5371" i="14"/>
  <c r="V5371" i="14"/>
  <c r="E5371" i="14"/>
  <c r="AH5370" i="14"/>
  <c r="V5370" i="14"/>
  <c r="E5370" i="14"/>
  <c r="AH5369" i="14"/>
  <c r="W5369" i="14"/>
  <c r="V5369" i="14"/>
  <c r="E5369" i="14"/>
  <c r="AH5368" i="14"/>
  <c r="V5368" i="14"/>
  <c r="E5368" i="14"/>
  <c r="AH5367" i="14"/>
  <c r="W5367" i="14"/>
  <c r="V5367" i="14"/>
  <c r="E5367" i="14"/>
  <c r="AH5366" i="14"/>
  <c r="W5366" i="14"/>
  <c r="V5366" i="14"/>
  <c r="E5366" i="14"/>
  <c r="AH5365" i="14"/>
  <c r="W5365" i="14"/>
  <c r="V5365" i="14"/>
  <c r="E5365" i="14"/>
  <c r="AH5364" i="14"/>
  <c r="W5364" i="14"/>
  <c r="V5364" i="14"/>
  <c r="E5364" i="14"/>
  <c r="AH5363" i="14"/>
  <c r="V5363" i="14"/>
  <c r="E5363" i="14"/>
  <c r="AH5362" i="14"/>
  <c r="W5362" i="14"/>
  <c r="V5362" i="14"/>
  <c r="E5362" i="14"/>
  <c r="AH5361" i="14"/>
  <c r="V5361" i="14"/>
  <c r="E5361" i="14"/>
  <c r="AH5360" i="14"/>
  <c r="V5360" i="14"/>
  <c r="E5360" i="14"/>
  <c r="AH5359" i="14"/>
  <c r="V5359" i="14"/>
  <c r="E5359" i="14"/>
  <c r="AH5358" i="14"/>
  <c r="V5358" i="14"/>
  <c r="E5358" i="14"/>
  <c r="AH5357" i="14"/>
  <c r="E5357" i="14"/>
  <c r="AH5356" i="14"/>
  <c r="V5356" i="14"/>
  <c r="E5356" i="14"/>
  <c r="AH5355" i="14"/>
  <c r="V5355" i="14"/>
  <c r="E5355" i="14"/>
  <c r="AH5354" i="14"/>
  <c r="W5354" i="14"/>
  <c r="V5354" i="14"/>
  <c r="E5354" i="14"/>
  <c r="AH5353" i="14"/>
  <c r="W5353" i="14"/>
  <c r="V5353" i="14"/>
  <c r="E5353" i="14"/>
  <c r="AH5352" i="14"/>
  <c r="W5352" i="14"/>
  <c r="V5352" i="14"/>
  <c r="E5352" i="14"/>
  <c r="AH5351" i="14"/>
  <c r="W5351" i="14"/>
  <c r="V5351" i="14"/>
  <c r="E5351" i="14"/>
  <c r="AH5350" i="14"/>
  <c r="W5350" i="14"/>
  <c r="V5350" i="14"/>
  <c r="E5350" i="14"/>
  <c r="AH5349" i="14"/>
  <c r="W5349" i="14"/>
  <c r="V5349" i="14"/>
  <c r="E5349" i="14"/>
  <c r="AH5348" i="14"/>
  <c r="W5348" i="14"/>
  <c r="V5348" i="14"/>
  <c r="E5348" i="14"/>
  <c r="AH5347" i="14"/>
  <c r="V5347" i="14"/>
  <c r="E5347" i="14"/>
  <c r="AH5346" i="14"/>
  <c r="E5346" i="14"/>
  <c r="AH5345" i="14"/>
  <c r="V5345" i="14"/>
  <c r="E5345" i="14"/>
  <c r="AH5344" i="14"/>
  <c r="V5344" i="14"/>
  <c r="E5344" i="14"/>
  <c r="AH5343" i="14"/>
  <c r="V5343" i="14"/>
  <c r="E5343" i="14"/>
  <c r="AH5342" i="14"/>
  <c r="V5342" i="14"/>
  <c r="E5342" i="14"/>
  <c r="AH5341" i="14"/>
  <c r="E5341" i="14"/>
  <c r="AH5340" i="14"/>
  <c r="V5340" i="14"/>
  <c r="E5340" i="14"/>
  <c r="AH5339" i="14"/>
  <c r="V5339" i="14"/>
  <c r="E5339" i="14"/>
  <c r="AH5338" i="14"/>
  <c r="V5338" i="14"/>
  <c r="E5338" i="14"/>
  <c r="AH5337" i="14"/>
  <c r="W5337" i="14"/>
  <c r="V5337" i="14"/>
  <c r="E5337" i="14"/>
  <c r="AH5336" i="14"/>
  <c r="V5336" i="14"/>
  <c r="E5336" i="14"/>
  <c r="AH5335" i="14"/>
  <c r="W5335" i="14"/>
  <c r="V5335" i="14"/>
  <c r="E5335" i="14"/>
  <c r="AH5334" i="14"/>
  <c r="W5334" i="14"/>
  <c r="V5334" i="14"/>
  <c r="E5334" i="14"/>
  <c r="AH5333" i="14"/>
  <c r="W5333" i="14"/>
  <c r="V5333" i="14"/>
  <c r="E5333" i="14"/>
  <c r="AH5332" i="14"/>
  <c r="V5332" i="14"/>
  <c r="E5332" i="14"/>
  <c r="AH5331" i="14"/>
  <c r="V5331" i="14"/>
  <c r="E5331" i="14"/>
  <c r="AH5330" i="14"/>
  <c r="V5330" i="14"/>
  <c r="E5330" i="14"/>
  <c r="AH5329" i="14"/>
  <c r="W5329" i="14"/>
  <c r="V5329" i="14"/>
  <c r="E5329" i="14"/>
  <c r="AH5328" i="14"/>
  <c r="V5328" i="14"/>
  <c r="E5328" i="14"/>
  <c r="AH5327" i="14"/>
  <c r="V5327" i="14"/>
  <c r="O5327" i="14"/>
  <c r="E5327" i="14"/>
  <c r="AH5326" i="14"/>
  <c r="V5326" i="14"/>
  <c r="E5326" i="14"/>
  <c r="AH5325" i="14"/>
  <c r="W5325" i="14"/>
  <c r="V5325" i="14"/>
  <c r="E5325" i="14"/>
  <c r="AH5324" i="14"/>
  <c r="V5324" i="14"/>
  <c r="E5324" i="14"/>
  <c r="AH5323" i="14"/>
  <c r="V5323" i="14"/>
  <c r="E5323" i="14"/>
  <c r="AH5322" i="14"/>
  <c r="V5322" i="14"/>
  <c r="E5322" i="14"/>
  <c r="AH5321" i="14"/>
  <c r="V5321" i="14"/>
  <c r="E5321" i="14"/>
  <c r="AH5320" i="14"/>
  <c r="V5320" i="14"/>
  <c r="E5320" i="14"/>
  <c r="AH5319" i="14"/>
  <c r="W5319" i="14"/>
  <c r="V5319" i="14"/>
  <c r="E5319" i="14"/>
  <c r="AH5318" i="14"/>
  <c r="V5318" i="14"/>
  <c r="E5318" i="14"/>
  <c r="AH5317" i="14"/>
  <c r="E5317" i="14"/>
  <c r="AH5316" i="14"/>
  <c r="V5316" i="14"/>
  <c r="E5316" i="14"/>
  <c r="AH5315" i="14"/>
  <c r="V5315" i="14"/>
  <c r="E5315" i="14"/>
  <c r="AH5314" i="14"/>
  <c r="E5314" i="14"/>
  <c r="AH5313" i="14"/>
  <c r="E5313" i="14"/>
  <c r="AH5312" i="14"/>
  <c r="V5312" i="14"/>
  <c r="E5312" i="14"/>
  <c r="AH5311" i="14"/>
  <c r="V5311" i="14"/>
  <c r="E5311" i="14"/>
  <c r="AH5310" i="14"/>
  <c r="W5310" i="14"/>
  <c r="V5310" i="14"/>
  <c r="E5310" i="14"/>
  <c r="AH5309" i="14"/>
  <c r="V5309" i="14"/>
  <c r="E5309" i="14"/>
  <c r="AH5308" i="14"/>
  <c r="V5308" i="14"/>
  <c r="E5308" i="14"/>
  <c r="AH5307" i="14"/>
  <c r="W5307" i="14"/>
  <c r="V5307" i="14"/>
  <c r="E5307" i="14"/>
  <c r="AH5306" i="14"/>
  <c r="W5306" i="14"/>
  <c r="V5306" i="14"/>
  <c r="E5306" i="14"/>
  <c r="AH5305" i="14"/>
  <c r="W5305" i="14"/>
  <c r="V5305" i="14"/>
  <c r="E5305" i="14"/>
  <c r="AH5304" i="14"/>
  <c r="V5304" i="14"/>
  <c r="E5304" i="14"/>
  <c r="AH5303" i="14"/>
  <c r="V5303" i="14"/>
  <c r="E5303" i="14"/>
  <c r="AH5302" i="14"/>
  <c r="W5302" i="14"/>
  <c r="V5302" i="14"/>
  <c r="E5302" i="14"/>
  <c r="AH5301" i="14"/>
  <c r="W5301" i="14"/>
  <c r="V5301" i="14"/>
  <c r="E5301" i="14"/>
  <c r="AH5300" i="14"/>
  <c r="W5300" i="14"/>
  <c r="V5300" i="14"/>
  <c r="E5300" i="14"/>
  <c r="AH5299" i="14"/>
  <c r="V5299" i="14"/>
  <c r="E5299" i="14"/>
  <c r="AH5298" i="14"/>
  <c r="V5298" i="14"/>
  <c r="E5298" i="14"/>
  <c r="AH5297" i="14"/>
  <c r="V5297" i="14"/>
  <c r="E5297" i="14"/>
  <c r="AH5296" i="14"/>
  <c r="V5296" i="14"/>
  <c r="E5296" i="14"/>
  <c r="AH5295" i="14"/>
  <c r="E5295" i="14"/>
  <c r="AH5294" i="14"/>
  <c r="E5294" i="14"/>
  <c r="AH5293" i="14"/>
  <c r="W5293" i="14"/>
  <c r="V5293" i="14"/>
  <c r="E5293" i="14"/>
  <c r="AH5292" i="14"/>
  <c r="W5292" i="14"/>
  <c r="V5292" i="14"/>
  <c r="E5292" i="14"/>
  <c r="AH5291" i="14"/>
  <c r="V5291" i="14"/>
  <c r="E5291" i="14"/>
  <c r="AH5290" i="14"/>
  <c r="V5290" i="14"/>
  <c r="E5290" i="14"/>
  <c r="AH5289" i="14"/>
  <c r="E5289" i="14"/>
  <c r="AH5288" i="14"/>
  <c r="V5288" i="14"/>
  <c r="E5288" i="14"/>
  <c r="AH5287" i="14"/>
  <c r="W5287" i="14"/>
  <c r="V5287" i="14"/>
  <c r="O5287" i="14"/>
  <c r="E5287" i="14"/>
  <c r="AH5286" i="14"/>
  <c r="W5286" i="14"/>
  <c r="V5286" i="14"/>
  <c r="E5286" i="14"/>
  <c r="AH5285" i="14"/>
  <c r="W5285" i="14"/>
  <c r="V5285" i="14"/>
  <c r="E5285" i="14"/>
  <c r="AH5284" i="14"/>
  <c r="V5284" i="14"/>
  <c r="E5284" i="14"/>
  <c r="AH5283" i="14"/>
  <c r="V5283" i="14"/>
  <c r="E5283" i="14"/>
  <c r="AH5282" i="14"/>
  <c r="V5282" i="14"/>
  <c r="E5282" i="14"/>
  <c r="AH5281" i="14"/>
  <c r="V5281" i="14"/>
  <c r="E5281" i="14"/>
  <c r="AH5280" i="14"/>
  <c r="V5280" i="14"/>
  <c r="E5280" i="14"/>
  <c r="AH5279" i="14"/>
  <c r="V5279" i="14"/>
  <c r="E5279" i="14"/>
  <c r="AH5278" i="14"/>
  <c r="V5278" i="14"/>
  <c r="E5278" i="14"/>
  <c r="AH5277" i="14"/>
  <c r="V5277" i="14"/>
  <c r="E5277" i="14"/>
  <c r="AH5276" i="14"/>
  <c r="V5276" i="14"/>
  <c r="E5276" i="14"/>
  <c r="AH5275" i="14"/>
  <c r="V5275" i="14"/>
  <c r="E5275" i="14"/>
  <c r="AH5274" i="14"/>
  <c r="W5274" i="14"/>
  <c r="V5274" i="14"/>
  <c r="O5274" i="14"/>
  <c r="E5274" i="14"/>
  <c r="AH5273" i="14"/>
  <c r="V5273" i="14"/>
  <c r="E5273" i="14"/>
  <c r="AH5272" i="14"/>
  <c r="E5272" i="14"/>
  <c r="AH5271" i="14"/>
  <c r="E5271" i="14"/>
  <c r="AH5270" i="14"/>
  <c r="V5270" i="14"/>
  <c r="O5270" i="14"/>
  <c r="E5270" i="14"/>
  <c r="AH5269" i="14"/>
  <c r="V5269" i="14"/>
  <c r="E5269" i="14"/>
  <c r="AH5268" i="14"/>
  <c r="W5268" i="14"/>
  <c r="V5268" i="14"/>
  <c r="E5268" i="14"/>
  <c r="AH5267" i="14"/>
  <c r="W5267" i="14"/>
  <c r="V5267" i="14"/>
  <c r="E5267" i="14"/>
  <c r="AH5266" i="14"/>
  <c r="V5266" i="14"/>
  <c r="E5266" i="14"/>
  <c r="AH5265" i="14"/>
  <c r="V5265" i="14"/>
  <c r="E5265" i="14"/>
  <c r="AH5264" i="14"/>
  <c r="V5264" i="14"/>
  <c r="E5264" i="14"/>
  <c r="AH5263" i="14"/>
  <c r="V5263" i="14"/>
  <c r="E5263" i="14"/>
  <c r="AH5262" i="14"/>
  <c r="W5262" i="14"/>
  <c r="V5262" i="14"/>
  <c r="E5262" i="14"/>
  <c r="AH5261" i="14"/>
  <c r="V5261" i="14"/>
  <c r="E5261" i="14"/>
  <c r="AH5260" i="14"/>
  <c r="V5260" i="14"/>
  <c r="E5260" i="14"/>
  <c r="AH5259" i="14"/>
  <c r="E5259" i="14"/>
  <c r="AH5258" i="14"/>
  <c r="W5258" i="14"/>
  <c r="V5258" i="14"/>
  <c r="E5258" i="14"/>
  <c r="AH5257" i="14"/>
  <c r="W5257" i="14"/>
  <c r="V5257" i="14"/>
  <c r="E5257" i="14"/>
  <c r="AH5256" i="14"/>
  <c r="W5256" i="14"/>
  <c r="V5256" i="14"/>
  <c r="E5256" i="14"/>
  <c r="AH5255" i="14"/>
  <c r="E5255" i="14"/>
  <c r="AH5254" i="14"/>
  <c r="V5254" i="14"/>
  <c r="E5254" i="14"/>
  <c r="AH5253" i="14"/>
  <c r="W5253" i="14"/>
  <c r="V5253" i="14"/>
  <c r="E5253" i="14"/>
  <c r="AH5252" i="14"/>
  <c r="W5252" i="14"/>
  <c r="V5252" i="14"/>
  <c r="E5252" i="14"/>
  <c r="AH5251" i="14"/>
  <c r="W5251" i="14"/>
  <c r="V5251" i="14"/>
  <c r="E5251" i="14"/>
  <c r="AH5250" i="14"/>
  <c r="V5250" i="14"/>
  <c r="E5250" i="14"/>
  <c r="AH5249" i="14"/>
  <c r="V5249" i="14"/>
  <c r="E5249" i="14"/>
  <c r="AH5248" i="14"/>
  <c r="V5248" i="14"/>
  <c r="E5248" i="14"/>
  <c r="AH5247" i="14"/>
  <c r="E5247" i="14"/>
  <c r="AH5246" i="14"/>
  <c r="V5246" i="14"/>
  <c r="E5246" i="14"/>
  <c r="AH5245" i="14"/>
  <c r="V5245" i="14"/>
  <c r="E5245" i="14"/>
  <c r="AH5244" i="14"/>
  <c r="V5244" i="14"/>
  <c r="E5244" i="14"/>
  <c r="AH5243" i="14"/>
  <c r="W5243" i="14"/>
  <c r="V5243" i="14"/>
  <c r="E5243" i="14"/>
  <c r="AH5242" i="14"/>
  <c r="W5242" i="14"/>
  <c r="V5242" i="14"/>
  <c r="E5242" i="14"/>
  <c r="AH5241" i="14"/>
  <c r="V5241" i="14"/>
  <c r="E5241" i="14"/>
  <c r="AH5240" i="14"/>
  <c r="V5240" i="14"/>
  <c r="E5240" i="14"/>
  <c r="AH5239" i="14"/>
  <c r="W5239" i="14"/>
  <c r="V5239" i="14"/>
  <c r="E5239" i="14"/>
  <c r="AH5238" i="14"/>
  <c r="W5238" i="14"/>
  <c r="V5238" i="14"/>
  <c r="O5238" i="14"/>
  <c r="E5238" i="14"/>
  <c r="AH5237" i="14"/>
  <c r="E5237" i="14"/>
  <c r="AH5236" i="14"/>
  <c r="V5236" i="14"/>
  <c r="E5236" i="14"/>
  <c r="AH5235" i="14"/>
  <c r="V5235" i="14"/>
  <c r="E5235" i="14"/>
  <c r="AH5234" i="14"/>
  <c r="E5234" i="14"/>
  <c r="AH5233" i="14"/>
  <c r="V5233" i="14"/>
  <c r="E5233" i="14"/>
  <c r="AH5232" i="14"/>
  <c r="V5232" i="14"/>
  <c r="E5232" i="14"/>
  <c r="AH5231" i="14"/>
  <c r="W5231" i="14"/>
  <c r="V5231" i="14"/>
  <c r="E5231" i="14"/>
  <c r="AH5230" i="14"/>
  <c r="V5230" i="14"/>
  <c r="E5230" i="14"/>
  <c r="AH5229" i="14"/>
  <c r="V5229" i="14"/>
  <c r="E5229" i="14"/>
  <c r="AH5228" i="14"/>
  <c r="V5228" i="14"/>
  <c r="E5228" i="14"/>
  <c r="AH5227" i="14"/>
  <c r="V5227" i="14"/>
  <c r="E5227" i="14"/>
  <c r="AH5226" i="14"/>
  <c r="W5226" i="14"/>
  <c r="V5226" i="14"/>
  <c r="E5226" i="14"/>
  <c r="AH5225" i="14"/>
  <c r="W5225" i="14"/>
  <c r="V5225" i="14"/>
  <c r="E5225" i="14"/>
  <c r="AH5224" i="14"/>
  <c r="W5224" i="14"/>
  <c r="V5224" i="14"/>
  <c r="E5224" i="14"/>
  <c r="AH5223" i="14"/>
  <c r="W5223" i="14"/>
  <c r="V5223" i="14"/>
  <c r="E5223" i="14"/>
  <c r="AH5222" i="14"/>
  <c r="W5222" i="14"/>
  <c r="V5222" i="14"/>
  <c r="E5222" i="14"/>
  <c r="AH5221" i="14"/>
  <c r="E5221" i="14"/>
  <c r="AH5220" i="14"/>
  <c r="V5220" i="14"/>
  <c r="E5220" i="14"/>
  <c r="AH5219" i="14"/>
  <c r="V5219" i="14"/>
  <c r="E5219" i="14"/>
  <c r="AH5218" i="14"/>
  <c r="E5218" i="14"/>
  <c r="AH5217" i="14"/>
  <c r="V5217" i="14"/>
  <c r="E5217" i="14"/>
  <c r="AH5216" i="14"/>
  <c r="E5216" i="14"/>
  <c r="AH5215" i="14"/>
  <c r="W5215" i="14"/>
  <c r="V5215" i="14"/>
  <c r="E5215" i="14"/>
  <c r="AH5214" i="14"/>
  <c r="V5214" i="14"/>
  <c r="E5214" i="14"/>
  <c r="AH5213" i="14"/>
  <c r="V5213" i="14"/>
  <c r="E5213" i="14"/>
  <c r="AH5212" i="14"/>
  <c r="V5212" i="14"/>
  <c r="E5212" i="14"/>
  <c r="AH5211" i="14"/>
  <c r="E5211" i="14"/>
  <c r="AH5210" i="14"/>
  <c r="V5210" i="14"/>
  <c r="E5210" i="14"/>
  <c r="AH5209" i="14"/>
  <c r="W5209" i="14"/>
  <c r="V5209" i="14"/>
  <c r="E5209" i="14"/>
  <c r="AH5208" i="14"/>
  <c r="E5208" i="14"/>
  <c r="AH5207" i="14"/>
  <c r="V5207" i="14"/>
  <c r="E5207" i="14"/>
  <c r="AH5206" i="14"/>
  <c r="W5206" i="14"/>
  <c r="V5206" i="14"/>
  <c r="E5206" i="14"/>
  <c r="AH5205" i="14"/>
  <c r="V5205" i="14"/>
  <c r="E5205" i="14"/>
  <c r="AH5204" i="14"/>
  <c r="V5204" i="14"/>
  <c r="E5204" i="14"/>
  <c r="AH5203" i="14"/>
  <c r="W5203" i="14"/>
  <c r="V5203" i="14"/>
  <c r="E5203" i="14"/>
  <c r="AH5202" i="14"/>
  <c r="W5202" i="14"/>
  <c r="V5202" i="14"/>
  <c r="E5202" i="14"/>
  <c r="AH5201" i="14"/>
  <c r="E5201" i="14"/>
  <c r="AH5200" i="14"/>
  <c r="V5200" i="14"/>
  <c r="E5200" i="14"/>
  <c r="AH5199" i="14"/>
  <c r="V5199" i="14"/>
  <c r="E5199" i="14"/>
  <c r="AH5198" i="14"/>
  <c r="W5198" i="14"/>
  <c r="V5198" i="14"/>
  <c r="E5198" i="14"/>
  <c r="AH5197" i="14"/>
  <c r="W5197" i="14"/>
  <c r="V5197" i="14"/>
  <c r="E5197" i="14"/>
  <c r="AH5196" i="14"/>
  <c r="W5196" i="14"/>
  <c r="V5196" i="14"/>
  <c r="E5196" i="14"/>
  <c r="AH5195" i="14"/>
  <c r="E5195" i="14"/>
  <c r="AH5194" i="14"/>
  <c r="V5194" i="14"/>
  <c r="E5194" i="14"/>
  <c r="AH5193" i="14"/>
  <c r="V5193" i="14"/>
  <c r="E5193" i="14"/>
  <c r="AH5192" i="14"/>
  <c r="V5192" i="14"/>
  <c r="E5192" i="14"/>
  <c r="AH5191" i="14"/>
  <c r="V5191" i="14"/>
  <c r="E5191" i="14"/>
  <c r="AH5190" i="14"/>
  <c r="V5190" i="14"/>
  <c r="E5190" i="14"/>
  <c r="AH5189" i="14"/>
  <c r="V5189" i="14"/>
  <c r="E5189" i="14"/>
  <c r="AH5188" i="14"/>
  <c r="V5188" i="14"/>
  <c r="E5188" i="14"/>
  <c r="AH5187" i="14"/>
  <c r="V5187" i="14"/>
  <c r="E5187" i="14"/>
  <c r="AH5186" i="14"/>
  <c r="V5186" i="14"/>
  <c r="E5186" i="14"/>
  <c r="AH5185" i="14"/>
  <c r="V5185" i="14"/>
  <c r="E5185" i="14"/>
  <c r="AH5184" i="14"/>
  <c r="W5184" i="14"/>
  <c r="V5184" i="14"/>
  <c r="E5184" i="14"/>
  <c r="AH5183" i="14"/>
  <c r="V5183" i="14"/>
  <c r="E5183" i="14"/>
  <c r="AH5182" i="14"/>
  <c r="V5182" i="14"/>
  <c r="E5182" i="14"/>
  <c r="AH5181" i="14"/>
  <c r="W5181" i="14"/>
  <c r="V5181" i="14"/>
  <c r="O5181" i="14"/>
  <c r="E5181" i="14"/>
  <c r="AH5180" i="14"/>
  <c r="W5180" i="14"/>
  <c r="V5180" i="14"/>
  <c r="E5180" i="14"/>
  <c r="AH5179" i="14"/>
  <c r="V5179" i="14"/>
  <c r="E5179" i="14"/>
  <c r="AH5178" i="14"/>
  <c r="V5178" i="14"/>
  <c r="E5178" i="14"/>
  <c r="AH5177" i="14"/>
  <c r="W5177" i="14"/>
  <c r="V5177" i="14"/>
  <c r="E5177" i="14"/>
  <c r="AH5176" i="14"/>
  <c r="W5176" i="14"/>
  <c r="V5176" i="14"/>
  <c r="E5176" i="14"/>
  <c r="AH5175" i="14"/>
  <c r="V5175" i="14"/>
  <c r="E5175" i="14"/>
  <c r="AH5174" i="14"/>
  <c r="W5174" i="14"/>
  <c r="V5174" i="14"/>
  <c r="E5174" i="14"/>
  <c r="AH5173" i="14"/>
  <c r="W5173" i="14"/>
  <c r="V5173" i="14"/>
  <c r="O5173" i="14"/>
  <c r="E5173" i="14"/>
  <c r="AH5172" i="14"/>
  <c r="W5172" i="14"/>
  <c r="V5172" i="14"/>
  <c r="E5172" i="14"/>
  <c r="AH5171" i="14"/>
  <c r="V5171" i="14"/>
  <c r="E5171" i="14"/>
  <c r="AH5170" i="14"/>
  <c r="W5170" i="14"/>
  <c r="V5170" i="14"/>
  <c r="E5170" i="14"/>
  <c r="AH5169" i="14"/>
  <c r="W5169" i="14"/>
  <c r="V5169" i="14"/>
  <c r="E5169" i="14"/>
  <c r="AH5168" i="14"/>
  <c r="V5168" i="14"/>
  <c r="E5168" i="14"/>
  <c r="AH5167" i="14"/>
  <c r="W5167" i="14"/>
  <c r="V5167" i="14"/>
  <c r="E5167" i="14"/>
  <c r="AH5166" i="14"/>
  <c r="V5166" i="14"/>
  <c r="E5166" i="14"/>
  <c r="AH5165" i="14"/>
  <c r="W5165" i="14"/>
  <c r="V5165" i="14"/>
  <c r="E5165" i="14"/>
  <c r="AH5164" i="14"/>
  <c r="V5164" i="14"/>
  <c r="E5164" i="14"/>
  <c r="AH5163" i="14"/>
  <c r="E5163" i="14"/>
  <c r="AH5162" i="14"/>
  <c r="V5162" i="14"/>
  <c r="E5162" i="14"/>
  <c r="AH5161" i="14"/>
  <c r="W5161" i="14"/>
  <c r="V5161" i="14"/>
  <c r="E5161" i="14"/>
  <c r="AH5160" i="14"/>
  <c r="V5160" i="14"/>
  <c r="E5160" i="14"/>
  <c r="AH5159" i="14"/>
  <c r="W5159" i="14"/>
  <c r="V5159" i="14"/>
  <c r="E5159" i="14"/>
  <c r="AH5158" i="14"/>
  <c r="V5158" i="14"/>
  <c r="E5158" i="14"/>
  <c r="AH5157" i="14"/>
  <c r="V5157" i="14"/>
  <c r="E5157" i="14"/>
  <c r="AH5156" i="14"/>
  <c r="V5156" i="14"/>
  <c r="E5156" i="14"/>
  <c r="AH5155" i="14"/>
  <c r="W5155" i="14"/>
  <c r="V5155" i="14"/>
  <c r="E5155" i="14"/>
  <c r="AH5154" i="14"/>
  <c r="V5154" i="14"/>
  <c r="E5154" i="14"/>
  <c r="AH5153" i="14"/>
  <c r="E5153" i="14"/>
  <c r="AH5152" i="14"/>
  <c r="V5152" i="14"/>
  <c r="E5152" i="14"/>
  <c r="AH5151" i="14"/>
  <c r="V5151" i="14"/>
  <c r="E5151" i="14"/>
  <c r="AH5150" i="14"/>
  <c r="V5150" i="14"/>
  <c r="E5150" i="14"/>
  <c r="AH5149" i="14"/>
  <c r="V5149" i="14"/>
  <c r="E5149" i="14"/>
  <c r="AH5148" i="14"/>
  <c r="V5148" i="14"/>
  <c r="E5148" i="14"/>
  <c r="AH5147" i="14"/>
  <c r="W5147" i="14"/>
  <c r="V5147" i="14"/>
  <c r="E5147" i="14"/>
  <c r="AH5146" i="14"/>
  <c r="V5146" i="14"/>
  <c r="E5146" i="14"/>
  <c r="AH5145" i="14"/>
  <c r="W5145" i="14"/>
  <c r="V5145" i="14"/>
  <c r="O5145" i="14"/>
  <c r="E5145" i="14"/>
  <c r="AH5144" i="14"/>
  <c r="W5144" i="14"/>
  <c r="V5144" i="14"/>
  <c r="E5144" i="14"/>
  <c r="AH5143" i="14"/>
  <c r="V5143" i="14"/>
  <c r="E5143" i="14"/>
  <c r="AH5142" i="14"/>
  <c r="V5142" i="14"/>
  <c r="E5142" i="14"/>
  <c r="AH5141" i="14"/>
  <c r="V5141" i="14"/>
  <c r="E5141" i="14"/>
  <c r="AH5140" i="14"/>
  <c r="V5140" i="14"/>
  <c r="E5140" i="14"/>
  <c r="AH5139" i="14"/>
  <c r="V5139" i="14"/>
  <c r="E5139" i="14"/>
  <c r="AH5138" i="14"/>
  <c r="V5138" i="14"/>
  <c r="E5138" i="14"/>
  <c r="AH5137" i="14"/>
  <c r="W5137" i="14"/>
  <c r="V5137" i="14"/>
  <c r="E5137" i="14"/>
  <c r="AH5136" i="14"/>
  <c r="V5136" i="14"/>
  <c r="E5136" i="14"/>
  <c r="AH5135" i="14"/>
  <c r="V5135" i="14"/>
  <c r="E5135" i="14"/>
  <c r="AH5134" i="14"/>
  <c r="V5134" i="14"/>
  <c r="E5134" i="14"/>
  <c r="AH5133" i="14"/>
  <c r="V5133" i="14"/>
  <c r="E5133" i="14"/>
  <c r="AH5132" i="14"/>
  <c r="V5132" i="14"/>
  <c r="E5132" i="14"/>
  <c r="AH5131" i="14"/>
  <c r="E5131" i="14"/>
  <c r="AH5130" i="14"/>
  <c r="V5130" i="14"/>
  <c r="E5130" i="14"/>
  <c r="AH5129" i="14"/>
  <c r="W5129" i="14"/>
  <c r="V5129" i="14"/>
  <c r="E5129" i="14"/>
  <c r="AH5128" i="14"/>
  <c r="W5128" i="14"/>
  <c r="V5128" i="14"/>
  <c r="E5128" i="14"/>
  <c r="AH5127" i="14"/>
  <c r="V5127" i="14"/>
  <c r="E5127" i="14"/>
  <c r="AH5126" i="14"/>
  <c r="V5126" i="14"/>
  <c r="E5126" i="14"/>
  <c r="AH5125" i="14"/>
  <c r="V5125" i="14"/>
  <c r="E5125" i="14"/>
  <c r="AH5124" i="14"/>
  <c r="V5124" i="14"/>
  <c r="E5124" i="14"/>
  <c r="AH5123" i="14"/>
  <c r="W5123" i="14"/>
  <c r="V5123" i="14"/>
  <c r="E5123" i="14"/>
  <c r="AH5122" i="14"/>
  <c r="V5122" i="14"/>
  <c r="E5122" i="14"/>
  <c r="AH5121" i="14"/>
  <c r="V5121" i="14"/>
  <c r="E5121" i="14"/>
  <c r="AH5120" i="14"/>
  <c r="V5120" i="14"/>
  <c r="E5120" i="14"/>
  <c r="AH5119" i="14"/>
  <c r="W5119" i="14"/>
  <c r="V5119" i="14"/>
  <c r="E5119" i="14"/>
  <c r="AH5118" i="14"/>
  <c r="W5118" i="14"/>
  <c r="V5118" i="14"/>
  <c r="E5118" i="14"/>
  <c r="AH5117" i="14"/>
  <c r="W5117" i="14"/>
  <c r="V5117" i="14"/>
  <c r="E5117" i="14"/>
  <c r="AH5116" i="14"/>
  <c r="V5116" i="14"/>
  <c r="E5116" i="14"/>
  <c r="AH5115" i="14"/>
  <c r="W5115" i="14"/>
  <c r="V5115" i="14"/>
  <c r="E5115" i="14"/>
  <c r="AH5114" i="14"/>
  <c r="V5114" i="14"/>
  <c r="E5114" i="14"/>
  <c r="AH5113" i="14"/>
  <c r="V5113" i="14"/>
  <c r="E5113" i="14"/>
  <c r="AH5112" i="14"/>
  <c r="V5112" i="14"/>
  <c r="E5112" i="14"/>
  <c r="AH5111" i="14"/>
  <c r="W5111" i="14"/>
  <c r="V5111" i="14"/>
  <c r="E5111" i="14"/>
  <c r="AH5110" i="14"/>
  <c r="V5110" i="14"/>
  <c r="E5110" i="14"/>
  <c r="AH5109" i="14"/>
  <c r="V5109" i="14"/>
  <c r="E5109" i="14"/>
  <c r="AH5108" i="14"/>
  <c r="V5108" i="14"/>
  <c r="E5108" i="14"/>
  <c r="AH5107" i="14"/>
  <c r="V5107" i="14"/>
  <c r="E5107" i="14"/>
  <c r="AH5106" i="14"/>
  <c r="V5106" i="14"/>
  <c r="E5106" i="14"/>
  <c r="AH5105" i="14"/>
  <c r="W5105" i="14"/>
  <c r="V5105" i="14"/>
  <c r="E5105" i="14"/>
  <c r="AH5104" i="14"/>
  <c r="V5104" i="14"/>
  <c r="E5104" i="14"/>
  <c r="AH5103" i="14"/>
  <c r="W5103" i="14"/>
  <c r="V5103" i="14"/>
  <c r="E5103" i="14"/>
  <c r="AH5102" i="14"/>
  <c r="V5102" i="14"/>
  <c r="E5102" i="14"/>
  <c r="AH5101" i="14"/>
  <c r="V5101" i="14"/>
  <c r="E5101" i="14"/>
  <c r="AH5100" i="14"/>
  <c r="W5100" i="14"/>
  <c r="V5100" i="14"/>
  <c r="E5100" i="14"/>
  <c r="AH5099" i="14"/>
  <c r="W5099" i="14"/>
  <c r="V5099" i="14"/>
  <c r="E5099" i="14"/>
  <c r="AH5098" i="14"/>
  <c r="W5098" i="14"/>
  <c r="V5098" i="14"/>
  <c r="E5098" i="14"/>
  <c r="AH5097" i="14"/>
  <c r="V5097" i="14"/>
  <c r="E5097" i="14"/>
  <c r="AH5096" i="14"/>
  <c r="V5096" i="14"/>
  <c r="E5096" i="14"/>
  <c r="AH5095" i="14"/>
  <c r="V5095" i="14"/>
  <c r="E5095" i="14"/>
  <c r="AH5094" i="14"/>
  <c r="V5094" i="14"/>
  <c r="E5094" i="14"/>
  <c r="AH5093" i="14"/>
  <c r="W5093" i="14"/>
  <c r="V5093" i="14"/>
  <c r="E5093" i="14"/>
  <c r="AH5092" i="14"/>
  <c r="W5092" i="14"/>
  <c r="V5092" i="14"/>
  <c r="E5092" i="14"/>
  <c r="AH5091" i="14"/>
  <c r="W5091" i="14"/>
  <c r="V5091" i="14"/>
  <c r="E5091" i="14"/>
  <c r="AH5090" i="14"/>
  <c r="V5090" i="14"/>
  <c r="E5090" i="14"/>
  <c r="AH5089" i="14"/>
  <c r="V5089" i="14"/>
  <c r="E5089" i="14"/>
  <c r="AH5088" i="14"/>
  <c r="V5088" i="14"/>
  <c r="E5088" i="14"/>
  <c r="AH5087" i="14"/>
  <c r="E5087" i="14"/>
  <c r="AH5086" i="14"/>
  <c r="V5086" i="14"/>
  <c r="E5086" i="14"/>
  <c r="AH5085" i="14"/>
  <c r="W5085" i="14"/>
  <c r="V5085" i="14"/>
  <c r="E5085" i="14"/>
  <c r="AH5084" i="14"/>
  <c r="W5084" i="14"/>
  <c r="V5084" i="14"/>
  <c r="E5084" i="14"/>
  <c r="AH5083" i="14"/>
  <c r="V5083" i="14"/>
  <c r="E5083" i="14"/>
  <c r="AH5082" i="14"/>
  <c r="V5082" i="14"/>
  <c r="E5082" i="14"/>
  <c r="AH5081" i="14"/>
  <c r="V5081" i="14"/>
  <c r="E5081" i="14"/>
  <c r="AH5080" i="14"/>
  <c r="V5080" i="14"/>
  <c r="E5080" i="14"/>
  <c r="AH5079" i="14"/>
  <c r="W5079" i="14"/>
  <c r="V5079" i="14"/>
  <c r="E5079" i="14"/>
  <c r="AH5078" i="14"/>
  <c r="V5078" i="14"/>
  <c r="E5078" i="14"/>
  <c r="AH5077" i="14"/>
  <c r="V5077" i="14"/>
  <c r="E5077" i="14"/>
  <c r="AH5076" i="14"/>
  <c r="W5076" i="14"/>
  <c r="V5076" i="14"/>
  <c r="E5076" i="14"/>
  <c r="AH5075" i="14"/>
  <c r="V5075" i="14"/>
  <c r="E5075" i="14"/>
  <c r="AH5074" i="14"/>
  <c r="V5074" i="14"/>
  <c r="E5074" i="14"/>
  <c r="AH5073" i="14"/>
  <c r="V5073" i="14"/>
  <c r="E5073" i="14"/>
  <c r="AH5072" i="14"/>
  <c r="V5072" i="14"/>
  <c r="E5072" i="14"/>
  <c r="AH5071" i="14"/>
  <c r="V5071" i="14"/>
  <c r="E5071" i="14"/>
  <c r="AH5070" i="14"/>
  <c r="V5070" i="14"/>
  <c r="E5070" i="14"/>
  <c r="AH5069" i="14"/>
  <c r="V5069" i="14"/>
  <c r="E5069" i="14"/>
  <c r="AH5068" i="14"/>
  <c r="V5068" i="14"/>
  <c r="E5068" i="14"/>
  <c r="AH5067" i="14"/>
  <c r="V5067" i="14"/>
  <c r="E5067" i="14"/>
  <c r="AH5066" i="14"/>
  <c r="W5066" i="14"/>
  <c r="V5066" i="14"/>
  <c r="E5066" i="14"/>
  <c r="AH5065" i="14"/>
  <c r="V5065" i="14"/>
  <c r="E5065" i="14"/>
  <c r="AH5064" i="14"/>
  <c r="V5064" i="14"/>
  <c r="E5064" i="14"/>
  <c r="AH5063" i="14"/>
  <c r="V5063" i="14"/>
  <c r="E5063" i="14"/>
  <c r="AH5062" i="14"/>
  <c r="W5062" i="14"/>
  <c r="V5062" i="14"/>
  <c r="E5062" i="14"/>
  <c r="AH5061" i="14"/>
  <c r="V5061" i="14"/>
  <c r="E5061" i="14"/>
  <c r="AH5060" i="14"/>
  <c r="V5060" i="14"/>
  <c r="E5060" i="14"/>
  <c r="AH5059" i="14"/>
  <c r="W5059" i="14"/>
  <c r="V5059" i="14"/>
  <c r="E5059" i="14"/>
  <c r="AH5058" i="14"/>
  <c r="W5058" i="14"/>
  <c r="V5058" i="14"/>
  <c r="E5058" i="14"/>
  <c r="AH5057" i="14"/>
  <c r="V5057" i="14"/>
  <c r="E5057" i="14"/>
  <c r="AH5056" i="14"/>
  <c r="W5056" i="14"/>
  <c r="V5056" i="14"/>
  <c r="E5056" i="14"/>
  <c r="AH5055" i="14"/>
  <c r="V5055" i="14"/>
  <c r="E5055" i="14"/>
  <c r="AH5054" i="14"/>
  <c r="W5054" i="14"/>
  <c r="V5054" i="14"/>
  <c r="E5054" i="14"/>
  <c r="AH5053" i="14"/>
  <c r="V5053" i="14"/>
  <c r="E5053" i="14"/>
  <c r="AH5052" i="14"/>
  <c r="E5052" i="14"/>
  <c r="AH5051" i="14"/>
  <c r="V5051" i="14"/>
  <c r="E5051" i="14"/>
  <c r="AH5050" i="14"/>
  <c r="V5050" i="14"/>
  <c r="E5050" i="14"/>
  <c r="AH5049" i="14"/>
  <c r="E5049" i="14"/>
  <c r="AH5048" i="14"/>
  <c r="V5048" i="14"/>
  <c r="E5048" i="14"/>
  <c r="AH5047" i="14"/>
  <c r="V5047" i="14"/>
  <c r="E5047" i="14"/>
  <c r="AH5046" i="14"/>
  <c r="E5046" i="14"/>
  <c r="AH5045" i="14"/>
  <c r="W5045" i="14"/>
  <c r="V5045" i="14"/>
  <c r="E5045" i="14"/>
  <c r="AH5044" i="14"/>
  <c r="V5044" i="14"/>
  <c r="E5044" i="14"/>
  <c r="AH5043" i="14"/>
  <c r="V5043" i="14"/>
  <c r="E5043" i="14"/>
  <c r="AH5042" i="14"/>
  <c r="V5042" i="14"/>
  <c r="E5042" i="14"/>
  <c r="AH5041" i="14"/>
  <c r="V5041" i="14"/>
  <c r="E5041" i="14"/>
  <c r="AH5040" i="14"/>
  <c r="V5040" i="14"/>
  <c r="E5040" i="14"/>
  <c r="AH5039" i="14"/>
  <c r="V5039" i="14"/>
  <c r="E5039" i="14"/>
  <c r="AH5038" i="14"/>
  <c r="W5038" i="14"/>
  <c r="V5038" i="14"/>
  <c r="E5038" i="14"/>
  <c r="AH5037" i="14"/>
  <c r="W5037" i="14"/>
  <c r="V5037" i="14"/>
  <c r="E5037" i="14"/>
  <c r="AH5036" i="14"/>
  <c r="W5036" i="14"/>
  <c r="V5036" i="14"/>
  <c r="E5036" i="14"/>
  <c r="AH5035" i="14"/>
  <c r="V5035" i="14"/>
  <c r="E5035" i="14"/>
  <c r="AH5034" i="14"/>
  <c r="V5034" i="14"/>
  <c r="E5034" i="14"/>
  <c r="AH5033" i="14"/>
  <c r="V5033" i="14"/>
  <c r="E5033" i="14"/>
  <c r="AH5032" i="14"/>
  <c r="E5032" i="14"/>
  <c r="AH5031" i="14"/>
  <c r="V5031" i="14"/>
  <c r="E5031" i="14"/>
  <c r="AH5030" i="14"/>
  <c r="W5030" i="14"/>
  <c r="V5030" i="14"/>
  <c r="E5030" i="14"/>
  <c r="AH5029" i="14"/>
  <c r="V5029" i="14"/>
  <c r="O5029" i="14"/>
  <c r="E5029" i="14"/>
  <c r="AH5028" i="14"/>
  <c r="V5028" i="14"/>
  <c r="E5028" i="14"/>
  <c r="AH5027" i="14"/>
  <c r="V5027" i="14"/>
  <c r="E5027" i="14"/>
  <c r="AH5026" i="14"/>
  <c r="W5026" i="14"/>
  <c r="V5026" i="14"/>
  <c r="E5026" i="14"/>
  <c r="AH5025" i="14"/>
  <c r="V5025" i="14"/>
  <c r="E5025" i="14"/>
  <c r="AH5024" i="14"/>
  <c r="W5024" i="14"/>
  <c r="V5024" i="14"/>
  <c r="E5024" i="14"/>
  <c r="AH5023" i="14"/>
  <c r="V5023" i="14"/>
  <c r="E5023" i="14"/>
  <c r="AH5022" i="14"/>
  <c r="W5022" i="14"/>
  <c r="V5022" i="14"/>
  <c r="E5022" i="14"/>
  <c r="AH5021" i="14"/>
  <c r="W5021" i="14"/>
  <c r="V5021" i="14"/>
  <c r="E5021" i="14"/>
  <c r="AH5020" i="14"/>
  <c r="V5020" i="14"/>
  <c r="E5020" i="14"/>
  <c r="AH5019" i="14"/>
  <c r="V5019" i="14"/>
  <c r="E5019" i="14"/>
  <c r="AH5018" i="14"/>
  <c r="V5018" i="14"/>
  <c r="E5018" i="14"/>
  <c r="AH5017" i="14"/>
  <c r="V5017" i="14"/>
  <c r="O5017" i="14"/>
  <c r="E5017" i="14"/>
  <c r="AH5016" i="14"/>
  <c r="V5016" i="14"/>
  <c r="E5016" i="14"/>
  <c r="AH5015" i="14"/>
  <c r="E5015" i="14"/>
  <c r="AH5014" i="14"/>
  <c r="V5014" i="14"/>
  <c r="E5014" i="14"/>
  <c r="AH5013" i="14"/>
  <c r="V5013" i="14"/>
  <c r="E5013" i="14"/>
  <c r="AH5012" i="14"/>
  <c r="V5012" i="14"/>
  <c r="E5012" i="14"/>
  <c r="AH5011" i="14"/>
  <c r="V5011" i="14"/>
  <c r="E5011" i="14"/>
  <c r="AH5010" i="14"/>
  <c r="E5010" i="14"/>
  <c r="AH5009" i="14"/>
  <c r="W5009" i="14"/>
  <c r="V5009" i="14"/>
  <c r="E5009" i="14"/>
  <c r="AH5008" i="14"/>
  <c r="V5008" i="14"/>
  <c r="E5008" i="14"/>
  <c r="AH5007" i="14"/>
  <c r="W5007" i="14"/>
  <c r="V5007" i="14"/>
  <c r="E5007" i="14"/>
  <c r="AH5006" i="14"/>
  <c r="V5006" i="14"/>
  <c r="E5006" i="14"/>
  <c r="AH5005" i="14"/>
  <c r="V5005" i="14"/>
  <c r="E5005" i="14"/>
  <c r="AH5004" i="14"/>
  <c r="W5004" i="14"/>
  <c r="V5004" i="14"/>
  <c r="E5004" i="14"/>
  <c r="AH5003" i="14"/>
  <c r="W5003" i="14"/>
  <c r="V5003" i="14"/>
  <c r="E5003" i="14"/>
  <c r="AH5002" i="14"/>
  <c r="V5002" i="14"/>
  <c r="E5002" i="14"/>
  <c r="AH5001" i="14"/>
  <c r="V5001" i="14"/>
  <c r="E5001" i="14"/>
  <c r="AH5000" i="14"/>
  <c r="V5000" i="14"/>
  <c r="E5000" i="14"/>
  <c r="AH4999" i="14"/>
  <c r="W4999" i="14"/>
  <c r="V4999" i="14"/>
  <c r="E4999" i="14"/>
  <c r="AH4998" i="14"/>
  <c r="V4998" i="14"/>
  <c r="E4998" i="14"/>
  <c r="AH4997" i="14"/>
  <c r="V4997" i="14"/>
  <c r="E4997" i="14"/>
  <c r="AH4996" i="14"/>
  <c r="V4996" i="14"/>
  <c r="E4996" i="14"/>
  <c r="AH4995" i="14"/>
  <c r="V4995" i="14"/>
  <c r="E4995" i="14"/>
  <c r="AH4994" i="14"/>
  <c r="V4994" i="14"/>
  <c r="E4994" i="14"/>
  <c r="AH4993" i="14"/>
  <c r="W4993" i="14"/>
  <c r="V4993" i="14"/>
  <c r="E4993" i="14"/>
  <c r="AH4992" i="14"/>
  <c r="V4992" i="14"/>
  <c r="E4992" i="14"/>
  <c r="AH4991" i="14"/>
  <c r="W4991" i="14"/>
  <c r="V4991" i="14"/>
  <c r="E4991" i="14"/>
  <c r="AH4990" i="14"/>
  <c r="V4990" i="14"/>
  <c r="E4990" i="14"/>
  <c r="AH4989" i="14"/>
  <c r="W4989" i="14"/>
  <c r="V4989" i="14"/>
  <c r="E4989" i="14"/>
  <c r="AH4988" i="14"/>
  <c r="V4988" i="14"/>
  <c r="E4988" i="14"/>
  <c r="AH4987" i="14"/>
  <c r="W4987" i="14"/>
  <c r="V4987" i="14"/>
  <c r="E4987" i="14"/>
  <c r="AH4986" i="14"/>
  <c r="V4986" i="14"/>
  <c r="E4986" i="14"/>
  <c r="AH4985" i="14"/>
  <c r="W4985" i="14"/>
  <c r="V4985" i="14"/>
  <c r="E4985" i="14"/>
  <c r="AH4984" i="14"/>
  <c r="V4984" i="14"/>
  <c r="E4984" i="14"/>
  <c r="AH4983" i="14"/>
  <c r="W4983" i="14"/>
  <c r="V4983" i="14"/>
  <c r="E4983" i="14"/>
  <c r="AH4982" i="14"/>
  <c r="W4982" i="14"/>
  <c r="V4982" i="14"/>
  <c r="E4982" i="14"/>
  <c r="AH4981" i="14"/>
  <c r="W4981" i="14"/>
  <c r="V4981" i="14"/>
  <c r="E4981" i="14"/>
  <c r="AH4980" i="14"/>
  <c r="W4980" i="14"/>
  <c r="V4980" i="14"/>
  <c r="E4980" i="14"/>
  <c r="AH4979" i="14"/>
  <c r="E4979" i="14"/>
  <c r="AH4978" i="14"/>
  <c r="W4978" i="14"/>
  <c r="V4978" i="14"/>
  <c r="E4978" i="14"/>
  <c r="AH4977" i="14"/>
  <c r="V4977" i="14"/>
  <c r="E4977" i="14"/>
  <c r="AH4976" i="14"/>
  <c r="V4976" i="14"/>
  <c r="E4976" i="14"/>
  <c r="AH4975" i="14"/>
  <c r="V4975" i="14"/>
  <c r="E4975" i="14"/>
  <c r="AH4974" i="14"/>
  <c r="W4974" i="14"/>
  <c r="V4974" i="14"/>
  <c r="E4974" i="14"/>
  <c r="AH4973" i="14"/>
  <c r="V4973" i="14"/>
  <c r="E4973" i="14"/>
  <c r="AH4972" i="14"/>
  <c r="V4972" i="14"/>
  <c r="E4972" i="14"/>
  <c r="AH4971" i="14"/>
  <c r="W4971" i="14"/>
  <c r="V4971" i="14"/>
  <c r="E4971" i="14"/>
  <c r="AH4970" i="14"/>
  <c r="V4970" i="14"/>
  <c r="E4970" i="14"/>
  <c r="AH4969" i="14"/>
  <c r="V4969" i="14"/>
  <c r="E4969" i="14"/>
  <c r="AH4968" i="14"/>
  <c r="W4968" i="14"/>
  <c r="V4968" i="14"/>
  <c r="E4968" i="14"/>
  <c r="AH4967" i="14"/>
  <c r="E4967" i="14"/>
  <c r="AH4966" i="14"/>
  <c r="W4966" i="14"/>
  <c r="V4966" i="14"/>
  <c r="E4966" i="14"/>
  <c r="AH4965" i="14"/>
  <c r="V4965" i="14"/>
  <c r="E4965" i="14"/>
  <c r="AH4964" i="14"/>
  <c r="W4964" i="14"/>
  <c r="V4964" i="14"/>
  <c r="E4964" i="14"/>
  <c r="AH4963" i="14"/>
  <c r="V4963" i="14"/>
  <c r="E4963" i="14"/>
  <c r="AH4962" i="14"/>
  <c r="V4962" i="14"/>
  <c r="E4962" i="14"/>
  <c r="AH4961" i="14"/>
  <c r="V4961" i="14"/>
  <c r="E4961" i="14"/>
  <c r="AH4960" i="14"/>
  <c r="V4960" i="14"/>
  <c r="E4960" i="14"/>
  <c r="AH4959" i="14"/>
  <c r="V4959" i="14"/>
  <c r="E4959" i="14"/>
  <c r="AH4958" i="14"/>
  <c r="V4958" i="14"/>
  <c r="E4958" i="14"/>
  <c r="AH4957" i="14"/>
  <c r="V4957" i="14"/>
  <c r="E4957" i="14"/>
  <c r="AH4956" i="14"/>
  <c r="E4956" i="14"/>
  <c r="AH4955" i="14"/>
  <c r="W4955" i="14"/>
  <c r="V4955" i="14"/>
  <c r="E4955" i="14"/>
  <c r="AH4954" i="14"/>
  <c r="V4954" i="14"/>
  <c r="E4954" i="14"/>
  <c r="AH4953" i="14"/>
  <c r="W4953" i="14"/>
  <c r="V4953" i="14"/>
  <c r="E4953" i="14"/>
  <c r="AH4952" i="14"/>
  <c r="V4952" i="14"/>
  <c r="E4952" i="14"/>
  <c r="AH4951" i="14"/>
  <c r="W4951" i="14"/>
  <c r="V4951" i="14"/>
  <c r="E4951" i="14"/>
  <c r="AH4950" i="14"/>
  <c r="V4950" i="14"/>
  <c r="E4950" i="14"/>
  <c r="AH4949" i="14"/>
  <c r="V4949" i="14"/>
  <c r="E4949" i="14"/>
  <c r="AH4948" i="14"/>
  <c r="W4948" i="14"/>
  <c r="V4948" i="14"/>
  <c r="E4948" i="14"/>
  <c r="AH4947" i="14"/>
  <c r="V4947" i="14"/>
  <c r="E4947" i="14"/>
  <c r="AH4946" i="14"/>
  <c r="V4946" i="14"/>
  <c r="E4946" i="14"/>
  <c r="AH4945" i="14"/>
  <c r="E4945" i="14"/>
  <c r="AH4944" i="14"/>
  <c r="V4944" i="14"/>
  <c r="E4944" i="14"/>
  <c r="AH4943" i="14"/>
  <c r="W4943" i="14"/>
  <c r="V4943" i="14"/>
  <c r="E4943" i="14"/>
  <c r="AH4942" i="14"/>
  <c r="W4942" i="14"/>
  <c r="V4942" i="14"/>
  <c r="E4942" i="14"/>
  <c r="AH4941" i="14"/>
  <c r="E4941" i="14"/>
  <c r="AH4940" i="14"/>
  <c r="E4940" i="14"/>
  <c r="AH4939" i="14"/>
  <c r="V4939" i="14"/>
  <c r="E4939" i="14"/>
  <c r="AH4938" i="14"/>
  <c r="E4938" i="14"/>
  <c r="AH4937" i="14"/>
  <c r="V4937" i="14"/>
  <c r="E4937" i="14"/>
  <c r="AH4936" i="14"/>
  <c r="W4936" i="14"/>
  <c r="V4936" i="14"/>
  <c r="E4936" i="14"/>
  <c r="AH4935" i="14"/>
  <c r="E4935" i="14"/>
  <c r="AH4934" i="14"/>
  <c r="V4934" i="14"/>
  <c r="E4934" i="14"/>
  <c r="AH4933" i="14"/>
  <c r="W4933" i="14"/>
  <c r="V4933" i="14"/>
  <c r="E4933" i="14"/>
  <c r="AH4932" i="14"/>
  <c r="W4932" i="14"/>
  <c r="V4932" i="14"/>
  <c r="E4932" i="14"/>
  <c r="AH4931" i="14"/>
  <c r="V4931" i="14"/>
  <c r="E4931" i="14"/>
  <c r="AH4930" i="14"/>
  <c r="W4930" i="14"/>
  <c r="V4930" i="14"/>
  <c r="E4930" i="14"/>
  <c r="AH4929" i="14"/>
  <c r="V4929" i="14"/>
  <c r="E4929" i="14"/>
  <c r="AH4928" i="14"/>
  <c r="W4928" i="14"/>
  <c r="V4928" i="14"/>
  <c r="E4928" i="14"/>
  <c r="AH4927" i="14"/>
  <c r="W4927" i="14"/>
  <c r="V4927" i="14"/>
  <c r="E4927" i="14"/>
  <c r="AH4926" i="14"/>
  <c r="W4926" i="14"/>
  <c r="V4926" i="14"/>
  <c r="E4926" i="14"/>
  <c r="AH4925" i="14"/>
  <c r="E4925" i="14"/>
  <c r="AH4924" i="14"/>
  <c r="V4924" i="14"/>
  <c r="E4924" i="14"/>
  <c r="AH4923" i="14"/>
  <c r="V4923" i="14"/>
  <c r="E4923" i="14"/>
  <c r="AH4922" i="14"/>
  <c r="V4922" i="14"/>
  <c r="E4922" i="14"/>
  <c r="AH4921" i="14"/>
  <c r="W4921" i="14"/>
  <c r="V4921" i="14"/>
  <c r="E4921" i="14"/>
  <c r="AH4920" i="14"/>
  <c r="V4920" i="14"/>
  <c r="E4920" i="14"/>
  <c r="AH4919" i="14"/>
  <c r="W4919" i="14"/>
  <c r="V4919" i="14"/>
  <c r="E4919" i="14"/>
  <c r="AH4918" i="14"/>
  <c r="V4918" i="14"/>
  <c r="E4918" i="14"/>
  <c r="AH4917" i="14"/>
  <c r="V4917" i="14"/>
  <c r="E4917" i="14"/>
  <c r="AH4916" i="14"/>
  <c r="V4916" i="14"/>
  <c r="E4916" i="14"/>
  <c r="AH4915" i="14"/>
  <c r="V4915" i="14"/>
  <c r="E4915" i="14"/>
  <c r="AH4914" i="14"/>
  <c r="E4914" i="14"/>
  <c r="AH4913" i="14"/>
  <c r="W4913" i="14"/>
  <c r="V4913" i="14"/>
  <c r="E4913" i="14"/>
  <c r="AH4912" i="14"/>
  <c r="V4912" i="14"/>
  <c r="E4912" i="14"/>
  <c r="AH4911" i="14"/>
  <c r="V4911" i="14"/>
  <c r="E4911" i="14"/>
  <c r="AH4910" i="14"/>
  <c r="W4910" i="14"/>
  <c r="V4910" i="14"/>
  <c r="E4910" i="14"/>
  <c r="AH4909" i="14"/>
  <c r="W4909" i="14"/>
  <c r="V4909" i="14"/>
  <c r="E4909" i="14"/>
  <c r="AH4908" i="14"/>
  <c r="V4908" i="14"/>
  <c r="E4908" i="14"/>
  <c r="AH4907" i="14"/>
  <c r="W4907" i="14"/>
  <c r="V4907" i="14"/>
  <c r="E4907" i="14"/>
  <c r="AH4906" i="14"/>
  <c r="V4906" i="14"/>
  <c r="E4906" i="14"/>
  <c r="AH4905" i="14"/>
  <c r="V4905" i="14"/>
  <c r="E4905" i="14"/>
  <c r="AH4904" i="14"/>
  <c r="V4904" i="14"/>
  <c r="E4904" i="14"/>
  <c r="AH4903" i="14"/>
  <c r="V4903" i="14"/>
  <c r="E4903" i="14"/>
  <c r="AH4902" i="14"/>
  <c r="W4902" i="14"/>
  <c r="V4902" i="14"/>
  <c r="E4902" i="14"/>
  <c r="AH4901" i="14"/>
  <c r="W4901" i="14"/>
  <c r="V4901" i="14"/>
  <c r="E4901" i="14"/>
  <c r="AH4900" i="14"/>
  <c r="W4900" i="14"/>
  <c r="V4900" i="14"/>
  <c r="E4900" i="14"/>
  <c r="AH4899" i="14"/>
  <c r="V4899" i="14"/>
  <c r="E4899" i="14"/>
  <c r="AH4898" i="14"/>
  <c r="V4898" i="14"/>
  <c r="E4898" i="14"/>
  <c r="AH4897" i="14"/>
  <c r="V4897" i="14"/>
  <c r="E4897" i="14"/>
  <c r="AH4896" i="14"/>
  <c r="V4896" i="14"/>
  <c r="E4896" i="14"/>
  <c r="AH4895" i="14"/>
  <c r="V4895" i="14"/>
  <c r="E4895" i="14"/>
  <c r="AH4894" i="14"/>
  <c r="V4894" i="14"/>
  <c r="E4894" i="14"/>
  <c r="AH4893" i="14"/>
  <c r="V4893" i="14"/>
  <c r="E4893" i="14"/>
  <c r="AH4892" i="14"/>
  <c r="W4892" i="14"/>
  <c r="V4892" i="14"/>
  <c r="E4892" i="14"/>
  <c r="AH4891" i="14"/>
  <c r="W4891" i="14"/>
  <c r="V4891" i="14"/>
  <c r="O4891" i="14"/>
  <c r="E4891" i="14"/>
  <c r="AH4890" i="14"/>
  <c r="V4890" i="14"/>
  <c r="E4890" i="14"/>
  <c r="AH4889" i="14"/>
  <c r="E4889" i="14"/>
  <c r="AH4888" i="14"/>
  <c r="V4888" i="14"/>
  <c r="E4888" i="14"/>
  <c r="AH4887" i="14"/>
  <c r="W4887" i="14"/>
  <c r="V4887" i="14"/>
  <c r="E4887" i="14"/>
  <c r="AH4886" i="14"/>
  <c r="V4886" i="14"/>
  <c r="E4886" i="14"/>
  <c r="AH4885" i="14"/>
  <c r="V4885" i="14"/>
  <c r="E4885" i="14"/>
  <c r="AH4884" i="14"/>
  <c r="V4884" i="14"/>
  <c r="E4884" i="14"/>
  <c r="AH4883" i="14"/>
  <c r="W4883" i="14"/>
  <c r="V4883" i="14"/>
  <c r="E4883" i="14"/>
  <c r="AH4882" i="14"/>
  <c r="E4882" i="14"/>
  <c r="AH4881" i="14"/>
  <c r="V4881" i="14"/>
  <c r="E4881" i="14"/>
  <c r="AH4880" i="14"/>
  <c r="E4880" i="14"/>
  <c r="AH4879" i="14"/>
  <c r="W4879" i="14"/>
  <c r="V4879" i="14"/>
  <c r="E4879" i="14"/>
  <c r="AH4878" i="14"/>
  <c r="V4878" i="14"/>
  <c r="E4878" i="14"/>
  <c r="AH4877" i="14"/>
  <c r="V4877" i="14"/>
  <c r="E4877" i="14"/>
  <c r="AH4876" i="14"/>
  <c r="E4876" i="14"/>
  <c r="AH4875" i="14"/>
  <c r="V4875" i="14"/>
  <c r="E4875" i="14"/>
  <c r="AH4874" i="14"/>
  <c r="W4874" i="14"/>
  <c r="V4874" i="14"/>
  <c r="E4874" i="14"/>
  <c r="AH4873" i="14"/>
  <c r="W4873" i="14"/>
  <c r="V4873" i="14"/>
  <c r="E4873" i="14"/>
  <c r="AH4872" i="14"/>
  <c r="V4872" i="14"/>
  <c r="E4872" i="14"/>
  <c r="AH4871" i="14"/>
  <c r="V4871" i="14"/>
  <c r="E4871" i="14"/>
  <c r="AH4870" i="14"/>
  <c r="V4870" i="14"/>
  <c r="E4870" i="14"/>
  <c r="AH4869" i="14"/>
  <c r="W4869" i="14"/>
  <c r="V4869" i="14"/>
  <c r="E4869" i="14"/>
  <c r="AH4868" i="14"/>
  <c r="W4868" i="14"/>
  <c r="V4868" i="14"/>
  <c r="E4868" i="14"/>
  <c r="AH4867" i="14"/>
  <c r="W4867" i="14"/>
  <c r="V4867" i="14"/>
  <c r="E4867" i="14"/>
  <c r="AH4866" i="14"/>
  <c r="W4866" i="14"/>
  <c r="V4866" i="14"/>
  <c r="E4866" i="14"/>
  <c r="AH4865" i="14"/>
  <c r="W4865" i="14"/>
  <c r="V4865" i="14"/>
  <c r="E4865" i="14"/>
  <c r="AH4864" i="14"/>
  <c r="V4864" i="14"/>
  <c r="O4864" i="14"/>
  <c r="E4864" i="14"/>
  <c r="AH4863" i="14"/>
  <c r="W4863" i="14"/>
  <c r="V4863" i="14"/>
  <c r="O4863" i="14"/>
  <c r="E4863" i="14"/>
  <c r="AH4862" i="14"/>
  <c r="V4862" i="14"/>
  <c r="E4862" i="14"/>
  <c r="AH4861" i="14"/>
  <c r="E4861" i="14"/>
  <c r="AH4860" i="14"/>
  <c r="V4860" i="14"/>
  <c r="E4860" i="14"/>
  <c r="AH4859" i="14"/>
  <c r="W4859" i="14"/>
  <c r="V4859" i="14"/>
  <c r="E4859" i="14"/>
  <c r="AH4858" i="14"/>
  <c r="V4858" i="14"/>
  <c r="E4858" i="14"/>
  <c r="AH4857" i="14"/>
  <c r="V4857" i="14"/>
  <c r="E4857" i="14"/>
  <c r="AH4856" i="14"/>
  <c r="W4856" i="14"/>
  <c r="V4856" i="14"/>
  <c r="E4856" i="14"/>
  <c r="AH4855" i="14"/>
  <c r="V4855" i="14"/>
  <c r="E4855" i="14"/>
  <c r="AH4854" i="14"/>
  <c r="W4854" i="14"/>
  <c r="V4854" i="14"/>
  <c r="E4854" i="14"/>
  <c r="AH4853" i="14"/>
  <c r="W4853" i="14"/>
  <c r="V4853" i="14"/>
  <c r="E4853" i="14"/>
  <c r="AH4852" i="14"/>
  <c r="E4852" i="14"/>
  <c r="AH4851" i="14"/>
  <c r="V4851" i="14"/>
  <c r="E4851" i="14"/>
  <c r="AH4850" i="14"/>
  <c r="W4850" i="14"/>
  <c r="V4850" i="14"/>
  <c r="E4850" i="14"/>
  <c r="AH4849" i="14"/>
  <c r="V4849" i="14"/>
  <c r="E4849" i="14"/>
  <c r="AH4848" i="14"/>
  <c r="V4848" i="14"/>
  <c r="E4848" i="14"/>
  <c r="AH4847" i="14"/>
  <c r="E4847" i="14"/>
  <c r="AH4846" i="14"/>
  <c r="W4846" i="14"/>
  <c r="V4846" i="14"/>
  <c r="E4846" i="14"/>
  <c r="AH4845" i="14"/>
  <c r="W4845" i="14"/>
  <c r="V4845" i="14"/>
  <c r="E4845" i="14"/>
  <c r="AH4844" i="14"/>
  <c r="V4844" i="14"/>
  <c r="E4844" i="14"/>
  <c r="AH4843" i="14"/>
  <c r="V4843" i="14"/>
  <c r="E4843" i="14"/>
  <c r="AH4842" i="14"/>
  <c r="W4842" i="14"/>
  <c r="V4842" i="14"/>
  <c r="E4842" i="14"/>
  <c r="AH4841" i="14"/>
  <c r="V4841" i="14"/>
  <c r="E4841" i="14"/>
  <c r="AH4840" i="14"/>
  <c r="W4840" i="14"/>
  <c r="V4840" i="14"/>
  <c r="E4840" i="14"/>
  <c r="AH4839" i="14"/>
  <c r="V4839" i="14"/>
  <c r="E4839" i="14"/>
  <c r="AH4838" i="14"/>
  <c r="V4838" i="14"/>
  <c r="E4838" i="14"/>
  <c r="AH4837" i="14"/>
  <c r="V4837" i="14"/>
  <c r="E4837" i="14"/>
  <c r="AH4836" i="14"/>
  <c r="V4836" i="14"/>
  <c r="E4836" i="14"/>
  <c r="AH4835" i="14"/>
  <c r="V4835" i="14"/>
  <c r="E4835" i="14"/>
  <c r="AH4834" i="14"/>
  <c r="W4834" i="14"/>
  <c r="V4834" i="14"/>
  <c r="E4834" i="14"/>
  <c r="AH4833" i="14"/>
  <c r="V4833" i="14"/>
  <c r="E4833" i="14"/>
  <c r="AH4832" i="14"/>
  <c r="V4832" i="14"/>
  <c r="E4832" i="14"/>
  <c r="AH4831" i="14"/>
  <c r="V4831" i="14"/>
  <c r="E4831" i="14"/>
  <c r="AH4830" i="14"/>
  <c r="V4830" i="14"/>
  <c r="E4830" i="14"/>
  <c r="AH4829" i="14"/>
  <c r="W4829" i="14"/>
  <c r="V4829" i="14"/>
  <c r="E4829" i="14"/>
  <c r="AH4828" i="14"/>
  <c r="V4828" i="14"/>
  <c r="E4828" i="14"/>
  <c r="AH4827" i="14"/>
  <c r="V4827" i="14"/>
  <c r="E4827" i="14"/>
  <c r="AH4826" i="14"/>
  <c r="V4826" i="14"/>
  <c r="E4826" i="14"/>
  <c r="AH4825" i="14"/>
  <c r="E4825" i="14"/>
  <c r="AH4824" i="14"/>
  <c r="W4824" i="14"/>
  <c r="V4824" i="14"/>
  <c r="E4824" i="14"/>
  <c r="AH4823" i="14"/>
  <c r="V4823" i="14"/>
  <c r="E4823" i="14"/>
  <c r="AH4822" i="14"/>
  <c r="V4822" i="14"/>
  <c r="E4822" i="14"/>
  <c r="AH4821" i="14"/>
  <c r="V4821" i="14"/>
  <c r="E4821" i="14"/>
  <c r="AH4820" i="14"/>
  <c r="V4820" i="14"/>
  <c r="E4820" i="14"/>
  <c r="AH4819" i="14"/>
  <c r="V4819" i="14"/>
  <c r="E4819" i="14"/>
  <c r="AH4818" i="14"/>
  <c r="V4818" i="14"/>
  <c r="E4818" i="14"/>
  <c r="AH4817" i="14"/>
  <c r="V4817" i="14"/>
  <c r="E4817" i="14"/>
  <c r="AH4816" i="14"/>
  <c r="V4816" i="14"/>
  <c r="E4816" i="14"/>
  <c r="AH4815" i="14"/>
  <c r="V4815" i="14"/>
  <c r="E4815" i="14"/>
  <c r="AH4814" i="14"/>
  <c r="V4814" i="14"/>
  <c r="E4814" i="14"/>
  <c r="AH4813" i="14"/>
  <c r="V4813" i="14"/>
  <c r="E4813" i="14"/>
  <c r="AH4812" i="14"/>
  <c r="V4812" i="14"/>
  <c r="E4812" i="14"/>
  <c r="AH4811" i="14"/>
  <c r="V4811" i="14"/>
  <c r="E4811" i="14"/>
  <c r="AH4810" i="14"/>
  <c r="V4810" i="14"/>
  <c r="O4810" i="14"/>
  <c r="E4810" i="14"/>
  <c r="AH4809" i="14"/>
  <c r="V4809" i="14"/>
  <c r="E4809" i="14"/>
  <c r="AH4808" i="14"/>
  <c r="V4808" i="14"/>
  <c r="E4808" i="14"/>
  <c r="AH4807" i="14"/>
  <c r="W4807" i="14"/>
  <c r="V4807" i="14"/>
  <c r="E4807" i="14"/>
  <c r="AH4806" i="14"/>
  <c r="V4806" i="14"/>
  <c r="E4806" i="14"/>
  <c r="AH4805" i="14"/>
  <c r="W4805" i="14"/>
  <c r="V4805" i="14"/>
  <c r="E4805" i="14"/>
  <c r="AH4804" i="14"/>
  <c r="W4804" i="14"/>
  <c r="V4804" i="14"/>
  <c r="E4804" i="14"/>
  <c r="AH4803" i="14"/>
  <c r="W4803" i="14"/>
  <c r="V4803" i="14"/>
  <c r="E4803" i="14"/>
  <c r="AH4802" i="14"/>
  <c r="V4802" i="14"/>
  <c r="E4802" i="14"/>
  <c r="AH4801" i="14"/>
  <c r="W4801" i="14"/>
  <c r="V4801" i="14"/>
  <c r="E4801" i="14"/>
  <c r="AH4800" i="14"/>
  <c r="E4800" i="14"/>
  <c r="AH4799" i="14"/>
  <c r="V4799" i="14"/>
  <c r="E4799" i="14"/>
  <c r="AH4798" i="14"/>
  <c r="V4798" i="14"/>
  <c r="E4798" i="14"/>
  <c r="AH4797" i="14"/>
  <c r="W4797" i="14"/>
  <c r="V4797" i="14"/>
  <c r="E4797" i="14"/>
  <c r="AH4796" i="14"/>
  <c r="V4796" i="14"/>
  <c r="E4796" i="14"/>
  <c r="AH4795" i="14"/>
  <c r="V4795" i="14"/>
  <c r="E4795" i="14"/>
  <c r="AH4794" i="14"/>
  <c r="W4794" i="14"/>
  <c r="V4794" i="14"/>
  <c r="E4794" i="14"/>
  <c r="AH4793" i="14"/>
  <c r="W4793" i="14"/>
  <c r="V4793" i="14"/>
  <c r="E4793" i="14"/>
  <c r="AH4792" i="14"/>
  <c r="W4792" i="14"/>
  <c r="V4792" i="14"/>
  <c r="E4792" i="14"/>
  <c r="AH4791" i="14"/>
  <c r="W4791" i="14"/>
  <c r="V4791" i="14"/>
  <c r="E4791" i="14"/>
  <c r="AH4790" i="14"/>
  <c r="V4790" i="14"/>
  <c r="E4790" i="14"/>
  <c r="AH4789" i="14"/>
  <c r="W4789" i="14"/>
  <c r="V4789" i="14"/>
  <c r="E4789" i="14"/>
  <c r="AH4788" i="14"/>
  <c r="W4788" i="14"/>
  <c r="V4788" i="14"/>
  <c r="E4788" i="14"/>
  <c r="AH4787" i="14"/>
  <c r="V4787" i="14"/>
  <c r="E4787" i="14"/>
  <c r="AH4786" i="14"/>
  <c r="V4786" i="14"/>
  <c r="E4786" i="14"/>
  <c r="AH4785" i="14"/>
  <c r="V4785" i="14"/>
  <c r="E4785" i="14"/>
  <c r="AH4784" i="14"/>
  <c r="V4784" i="14"/>
  <c r="E4784" i="14"/>
  <c r="AH4783" i="14"/>
  <c r="W4783" i="14"/>
  <c r="V4783" i="14"/>
  <c r="E4783" i="14"/>
  <c r="AH4782" i="14"/>
  <c r="W4782" i="14"/>
  <c r="V4782" i="14"/>
  <c r="E4782" i="14"/>
  <c r="AH4781" i="14"/>
  <c r="V4781" i="14"/>
  <c r="E4781" i="14"/>
  <c r="AH4780" i="14"/>
  <c r="V4780" i="14"/>
  <c r="E4780" i="14"/>
  <c r="AH4779" i="14"/>
  <c r="V4779" i="14"/>
  <c r="E4779" i="14"/>
  <c r="AH4778" i="14"/>
  <c r="V4778" i="14"/>
  <c r="E4778" i="14"/>
  <c r="AH4777" i="14"/>
  <c r="W4777" i="14"/>
  <c r="V4777" i="14"/>
  <c r="E4777" i="14"/>
  <c r="AH4776" i="14"/>
  <c r="V4776" i="14"/>
  <c r="E4776" i="14"/>
  <c r="AH4775" i="14"/>
  <c r="V4775" i="14"/>
  <c r="E4775" i="14"/>
  <c r="AH4774" i="14"/>
  <c r="V4774" i="14"/>
  <c r="E4774" i="14"/>
  <c r="AH4773" i="14"/>
  <c r="E4773" i="14"/>
  <c r="AH4772" i="14"/>
  <c r="E4772" i="14"/>
  <c r="AH4771" i="14"/>
  <c r="E4771" i="14"/>
  <c r="AH4770" i="14"/>
  <c r="V4770" i="14"/>
  <c r="O4770" i="14"/>
  <c r="E4770" i="14"/>
  <c r="AH4769" i="14"/>
  <c r="V4769" i="14"/>
  <c r="E4769" i="14"/>
  <c r="AH4768" i="14"/>
  <c r="V4768" i="14"/>
  <c r="E4768" i="14"/>
  <c r="AH4767" i="14"/>
  <c r="W4767" i="14"/>
  <c r="V4767" i="14"/>
  <c r="E4767" i="14"/>
  <c r="AH4766" i="14"/>
  <c r="V4766" i="14"/>
  <c r="E4766" i="14"/>
  <c r="AH4765" i="14"/>
  <c r="V4765" i="14"/>
  <c r="E4765" i="14"/>
  <c r="AH4764" i="14"/>
  <c r="V4764" i="14"/>
  <c r="E4764" i="14"/>
  <c r="AH4763" i="14"/>
  <c r="V4763" i="14"/>
  <c r="E4763" i="14"/>
  <c r="AH4762" i="14"/>
  <c r="W4762" i="14"/>
  <c r="V4762" i="14"/>
  <c r="E4762" i="14"/>
  <c r="AH4761" i="14"/>
  <c r="V4761" i="14"/>
  <c r="E4761" i="14"/>
  <c r="AH4760" i="14"/>
  <c r="W4760" i="14"/>
  <c r="V4760" i="14"/>
  <c r="E4760" i="14"/>
  <c r="AH4759" i="14"/>
  <c r="W4759" i="14"/>
  <c r="V4759" i="14"/>
  <c r="E4759" i="14"/>
  <c r="AH4758" i="14"/>
  <c r="V4758" i="14"/>
  <c r="O4758" i="14"/>
  <c r="E4758" i="14"/>
  <c r="AH4757" i="14"/>
  <c r="V4757" i="14"/>
  <c r="E4757" i="14"/>
  <c r="AH4756" i="14"/>
  <c r="W4756" i="14"/>
  <c r="V4756" i="14"/>
  <c r="E4756" i="14"/>
  <c r="AH4755" i="14"/>
  <c r="V4755" i="14"/>
  <c r="E4755" i="14"/>
  <c r="AH4754" i="14"/>
  <c r="W4754" i="14"/>
  <c r="V4754" i="14"/>
  <c r="E4754" i="14"/>
  <c r="AH4753" i="14"/>
  <c r="V4753" i="14"/>
  <c r="E4753" i="14"/>
  <c r="AH4752" i="14"/>
  <c r="W4752" i="14"/>
  <c r="V4752" i="14"/>
  <c r="E4752" i="14"/>
  <c r="AH4751" i="14"/>
  <c r="V4751" i="14"/>
  <c r="E4751" i="14"/>
  <c r="AH4750" i="14"/>
  <c r="V4750" i="14"/>
  <c r="E4750" i="14"/>
  <c r="AH4749" i="14"/>
  <c r="V4749" i="14"/>
  <c r="E4749" i="14"/>
  <c r="AH4748" i="14"/>
  <c r="V4748" i="14"/>
  <c r="E4748" i="14"/>
  <c r="AH4747" i="14"/>
  <c r="E4747" i="14"/>
  <c r="AH4746" i="14"/>
  <c r="V4746" i="14"/>
  <c r="E4746" i="14"/>
  <c r="AH4745" i="14"/>
  <c r="V4745" i="14"/>
  <c r="E4745" i="14"/>
  <c r="AH4744" i="14"/>
  <c r="V4744" i="14"/>
  <c r="E4744" i="14"/>
  <c r="AH4743" i="14"/>
  <c r="V4743" i="14"/>
  <c r="E4743" i="14"/>
  <c r="AH4742" i="14"/>
  <c r="V4742" i="14"/>
  <c r="E4742" i="14"/>
  <c r="AH4741" i="14"/>
  <c r="V4741" i="14"/>
  <c r="E4741" i="14"/>
  <c r="AH4740" i="14"/>
  <c r="V4740" i="14"/>
  <c r="E4740" i="14"/>
  <c r="AH4739" i="14"/>
  <c r="V4739" i="14"/>
  <c r="E4739" i="14"/>
  <c r="AH4738" i="14"/>
  <c r="V4738" i="14"/>
  <c r="E4738" i="14"/>
  <c r="AH4737" i="14"/>
  <c r="V4737" i="14"/>
  <c r="E4737" i="14"/>
  <c r="AH4736" i="14"/>
  <c r="V4736" i="14"/>
  <c r="E4736" i="14"/>
  <c r="AH4735" i="14"/>
  <c r="E4735" i="14"/>
  <c r="AH4734" i="14"/>
  <c r="V4734" i="14"/>
  <c r="E4734" i="14"/>
  <c r="AH4733" i="14"/>
  <c r="V4733" i="14"/>
  <c r="E4733" i="14"/>
  <c r="AH4732" i="14"/>
  <c r="V4732" i="14"/>
  <c r="E4732" i="14"/>
  <c r="AH4731" i="14"/>
  <c r="V4731" i="14"/>
  <c r="E4731" i="14"/>
  <c r="AH4730" i="14"/>
  <c r="V4730" i="14"/>
  <c r="E4730" i="14"/>
  <c r="AH4729" i="14"/>
  <c r="W4729" i="14"/>
  <c r="V4729" i="14"/>
  <c r="E4729" i="14"/>
  <c r="AH4728" i="14"/>
  <c r="V4728" i="14"/>
  <c r="E4728" i="14"/>
  <c r="AH4727" i="14"/>
  <c r="V4727" i="14"/>
  <c r="E4727" i="14"/>
  <c r="AH4726" i="14"/>
  <c r="V4726" i="14"/>
  <c r="E4726" i="14"/>
  <c r="AH4725" i="14"/>
  <c r="V4725" i="14"/>
  <c r="E4725" i="14"/>
  <c r="AH4724" i="14"/>
  <c r="V4724" i="14"/>
  <c r="E4724" i="14"/>
  <c r="AH4723" i="14"/>
  <c r="W4723" i="14"/>
  <c r="V4723" i="14"/>
  <c r="E4723" i="14"/>
  <c r="AH4722" i="14"/>
  <c r="V4722" i="14"/>
  <c r="E4722" i="14"/>
  <c r="AH4721" i="14"/>
  <c r="W4721" i="14"/>
  <c r="V4721" i="14"/>
  <c r="E4721" i="14"/>
  <c r="AH4720" i="14"/>
  <c r="W4720" i="14"/>
  <c r="V4720" i="14"/>
  <c r="E4720" i="14"/>
  <c r="AH4719" i="14"/>
  <c r="V4719" i="14"/>
  <c r="E4719" i="14"/>
  <c r="AH4718" i="14"/>
  <c r="V4718" i="14"/>
  <c r="E4718" i="14"/>
  <c r="AH4717" i="14"/>
  <c r="V4717" i="14"/>
  <c r="E4717" i="14"/>
  <c r="AH4716" i="14"/>
  <c r="V4716" i="14"/>
  <c r="E4716" i="14"/>
  <c r="AH4715" i="14"/>
  <c r="V4715" i="14"/>
  <c r="E4715" i="14"/>
  <c r="AH4714" i="14"/>
  <c r="V4714" i="14"/>
  <c r="E4714" i="14"/>
  <c r="AH4713" i="14"/>
  <c r="W4713" i="14"/>
  <c r="V4713" i="14"/>
  <c r="E4713" i="14"/>
  <c r="AH4712" i="14"/>
  <c r="V4712" i="14"/>
  <c r="O4712" i="14"/>
  <c r="E4712" i="14"/>
  <c r="AH4711" i="14"/>
  <c r="V4711" i="14"/>
  <c r="E4711" i="14"/>
  <c r="AH4710" i="14"/>
  <c r="W4710" i="14"/>
  <c r="V4710" i="14"/>
  <c r="E4710" i="14"/>
  <c r="AH4709" i="14"/>
  <c r="V4709" i="14"/>
  <c r="E4709" i="14"/>
  <c r="AH4708" i="14"/>
  <c r="E4708" i="14"/>
  <c r="AH4707" i="14"/>
  <c r="E4707" i="14"/>
  <c r="AH4706" i="14"/>
  <c r="V4706" i="14"/>
  <c r="E4706" i="14"/>
  <c r="AH4705" i="14"/>
  <c r="V4705" i="14"/>
  <c r="E4705" i="14"/>
  <c r="AH4704" i="14"/>
  <c r="W4704" i="14"/>
  <c r="V4704" i="14"/>
  <c r="E4704" i="14"/>
  <c r="AH4703" i="14"/>
  <c r="V4703" i="14"/>
  <c r="E4703" i="14"/>
  <c r="AH4702" i="14"/>
  <c r="W4702" i="14"/>
  <c r="V4702" i="14"/>
  <c r="E4702" i="14"/>
  <c r="AH4701" i="14"/>
  <c r="W4701" i="14"/>
  <c r="V4701" i="14"/>
  <c r="E4701" i="14"/>
  <c r="AH4700" i="14"/>
  <c r="V4700" i="14"/>
  <c r="E4700" i="14"/>
  <c r="AH4699" i="14"/>
  <c r="W4699" i="14"/>
  <c r="V4699" i="14"/>
  <c r="E4699" i="14"/>
  <c r="AH4698" i="14"/>
  <c r="E4698" i="14"/>
  <c r="AH4697" i="14"/>
  <c r="V4697" i="14"/>
  <c r="E4697" i="14"/>
  <c r="AH4696" i="14"/>
  <c r="W4696" i="14"/>
  <c r="V4696" i="14"/>
  <c r="E4696" i="14"/>
  <c r="AH4695" i="14"/>
  <c r="V4695" i="14"/>
  <c r="E4695" i="14"/>
  <c r="AH4694" i="14"/>
  <c r="V4694" i="14"/>
  <c r="E4694" i="14"/>
  <c r="AH4693" i="14"/>
  <c r="E4693" i="14"/>
  <c r="AH4692" i="14"/>
  <c r="V4692" i="14"/>
  <c r="E4692" i="14"/>
  <c r="AH4691" i="14"/>
  <c r="W4691" i="14"/>
  <c r="V4691" i="14"/>
  <c r="E4691" i="14"/>
  <c r="AH4690" i="14"/>
  <c r="W4690" i="14"/>
  <c r="V4690" i="14"/>
  <c r="E4690" i="14"/>
  <c r="AH4689" i="14"/>
  <c r="V4689" i="14"/>
  <c r="E4689" i="14"/>
  <c r="AH4688" i="14"/>
  <c r="V4688" i="14"/>
  <c r="E4688" i="14"/>
  <c r="AH4687" i="14"/>
  <c r="V4687" i="14"/>
  <c r="E4687" i="14"/>
  <c r="AH4686" i="14"/>
  <c r="E4686" i="14"/>
  <c r="AH4685" i="14"/>
  <c r="V4685" i="14"/>
  <c r="E4685" i="14"/>
  <c r="AH4684" i="14"/>
  <c r="W4684" i="14"/>
  <c r="V4684" i="14"/>
  <c r="E4684" i="14"/>
  <c r="AH4683" i="14"/>
  <c r="V4683" i="14"/>
  <c r="E4683" i="14"/>
  <c r="AH4682" i="14"/>
  <c r="V4682" i="14"/>
  <c r="E4682" i="14"/>
  <c r="AH4681" i="14"/>
  <c r="E4681" i="14"/>
  <c r="AH4680" i="14"/>
  <c r="V4680" i="14"/>
  <c r="E4680" i="14"/>
  <c r="AH4679" i="14"/>
  <c r="V4679" i="14"/>
  <c r="E4679" i="14"/>
  <c r="AH4678" i="14"/>
  <c r="V4678" i="14"/>
  <c r="E4678" i="14"/>
  <c r="AH4677" i="14"/>
  <c r="W4677" i="14"/>
  <c r="V4677" i="14"/>
  <c r="E4677" i="14"/>
  <c r="AH4676" i="14"/>
  <c r="E4676" i="14"/>
  <c r="AH4675" i="14"/>
  <c r="W4675" i="14"/>
  <c r="V4675" i="14"/>
  <c r="E4675" i="14"/>
  <c r="AH4674" i="14"/>
  <c r="V4674" i="14"/>
  <c r="E4674" i="14"/>
  <c r="AH4673" i="14"/>
  <c r="V4673" i="14"/>
  <c r="E4673" i="14"/>
  <c r="AH4672" i="14"/>
  <c r="V4672" i="14"/>
  <c r="E4672" i="14"/>
  <c r="AH4671" i="14"/>
  <c r="V4671" i="14"/>
  <c r="E4671" i="14"/>
  <c r="AH4670" i="14"/>
  <c r="W4670" i="14"/>
  <c r="V4670" i="14"/>
  <c r="E4670" i="14"/>
  <c r="AH4669" i="14"/>
  <c r="V4669" i="14"/>
  <c r="E4669" i="14"/>
  <c r="AH4668" i="14"/>
  <c r="V4668" i="14"/>
  <c r="E4668" i="14"/>
  <c r="AH4667" i="14"/>
  <c r="V4667" i="14"/>
  <c r="E4667" i="14"/>
  <c r="AH4666" i="14"/>
  <c r="E4666" i="14"/>
  <c r="AH4665" i="14"/>
  <c r="V4665" i="14"/>
  <c r="E4665" i="14"/>
  <c r="AH4664" i="14"/>
  <c r="V4664" i="14"/>
  <c r="E4664" i="14"/>
  <c r="AH4663" i="14"/>
  <c r="V4663" i="14"/>
  <c r="E4663" i="14"/>
  <c r="AH4662" i="14"/>
  <c r="V4662" i="14"/>
  <c r="E4662" i="14"/>
  <c r="AH4661" i="14"/>
  <c r="V4661" i="14"/>
  <c r="E4661" i="14"/>
  <c r="AH4660" i="14"/>
  <c r="W4660" i="14"/>
  <c r="V4660" i="14"/>
  <c r="E4660" i="14"/>
  <c r="AH4659" i="14"/>
  <c r="V4659" i="14"/>
  <c r="E4659" i="14"/>
  <c r="AH4658" i="14"/>
  <c r="V4658" i="14"/>
  <c r="E4658" i="14"/>
  <c r="AH4657" i="14"/>
  <c r="V4657" i="14"/>
  <c r="E4657" i="14"/>
  <c r="AH4656" i="14"/>
  <c r="V4656" i="14"/>
  <c r="E4656" i="14"/>
  <c r="AH4655" i="14"/>
  <c r="V4655" i="14"/>
  <c r="E4655" i="14"/>
  <c r="AH4654" i="14"/>
  <c r="V4654" i="14"/>
  <c r="E4654" i="14"/>
  <c r="AH4653" i="14"/>
  <c r="V4653" i="14"/>
  <c r="E4653" i="14"/>
  <c r="AH4652" i="14"/>
  <c r="W4652" i="14"/>
  <c r="V4652" i="14"/>
  <c r="E4652" i="14"/>
  <c r="AH4651" i="14"/>
  <c r="W4651" i="14"/>
  <c r="V4651" i="14"/>
  <c r="E4651" i="14"/>
  <c r="AH4650" i="14"/>
  <c r="V4650" i="14"/>
  <c r="E4650" i="14"/>
  <c r="AH4649" i="14"/>
  <c r="V4649" i="14"/>
  <c r="E4649" i="14"/>
  <c r="AH4648" i="14"/>
  <c r="V4648" i="14"/>
  <c r="E4648" i="14"/>
  <c r="AH4647" i="14"/>
  <c r="W4647" i="14"/>
  <c r="V4647" i="14"/>
  <c r="E4647" i="14"/>
  <c r="AH4646" i="14"/>
  <c r="W4646" i="14"/>
  <c r="V4646" i="14"/>
  <c r="E4646" i="14"/>
  <c r="AH4645" i="14"/>
  <c r="W4645" i="14"/>
  <c r="V4645" i="14"/>
  <c r="E4645" i="14"/>
  <c r="AH4644" i="14"/>
  <c r="V4644" i="14"/>
  <c r="E4644" i="14"/>
  <c r="AH4643" i="14"/>
  <c r="V4643" i="14"/>
  <c r="E4643" i="14"/>
  <c r="AH4642" i="14"/>
  <c r="V4642" i="14"/>
  <c r="E4642" i="14"/>
  <c r="AH4641" i="14"/>
  <c r="W4641" i="14"/>
  <c r="V4641" i="14"/>
  <c r="E4641" i="14"/>
  <c r="AH4640" i="14"/>
  <c r="V4640" i="14"/>
  <c r="E4640" i="14"/>
  <c r="AH4639" i="14"/>
  <c r="E4639" i="14"/>
  <c r="AH4638" i="14"/>
  <c r="E4638" i="14"/>
  <c r="AH4637" i="14"/>
  <c r="V4637" i="14"/>
  <c r="E4637" i="14"/>
  <c r="AH4636" i="14"/>
  <c r="E4636" i="14"/>
  <c r="AH4635" i="14"/>
  <c r="V4635" i="14"/>
  <c r="E4635" i="14"/>
  <c r="AH4634" i="14"/>
  <c r="V4634" i="14"/>
  <c r="E4634" i="14"/>
  <c r="AH4633" i="14"/>
  <c r="V4633" i="14"/>
  <c r="E4633" i="14"/>
  <c r="AH4632" i="14"/>
  <c r="V4632" i="14"/>
  <c r="E4632" i="14"/>
  <c r="AH4631" i="14"/>
  <c r="V4631" i="14"/>
  <c r="E4631" i="14"/>
  <c r="AH4630" i="14"/>
  <c r="V4630" i="14"/>
  <c r="E4630" i="14"/>
  <c r="AH4629" i="14"/>
  <c r="V4629" i="14"/>
  <c r="E4629" i="14"/>
  <c r="AH4628" i="14"/>
  <c r="W4628" i="14"/>
  <c r="V4628" i="14"/>
  <c r="E4628" i="14"/>
  <c r="AH4627" i="14"/>
  <c r="W4627" i="14"/>
  <c r="V4627" i="14"/>
  <c r="E4627" i="14"/>
  <c r="AH4626" i="14"/>
  <c r="V4626" i="14"/>
  <c r="E4626" i="14"/>
  <c r="AH4625" i="14"/>
  <c r="V4625" i="14"/>
  <c r="E4625" i="14"/>
  <c r="AH4624" i="14"/>
  <c r="V4624" i="14"/>
  <c r="E4624" i="14"/>
  <c r="AH4623" i="14"/>
  <c r="V4623" i="14"/>
  <c r="E4623" i="14"/>
  <c r="AH4622" i="14"/>
  <c r="V4622" i="14"/>
  <c r="E4622" i="14"/>
  <c r="AH4621" i="14"/>
  <c r="V4621" i="14"/>
  <c r="E4621" i="14"/>
  <c r="AH4620" i="14"/>
  <c r="E4620" i="14"/>
  <c r="AH4619" i="14"/>
  <c r="V4619" i="14"/>
  <c r="E4619" i="14"/>
  <c r="AH4618" i="14"/>
  <c r="V4618" i="14"/>
  <c r="E4618" i="14"/>
  <c r="AH4617" i="14"/>
  <c r="V4617" i="14"/>
  <c r="E4617" i="14"/>
  <c r="AH4616" i="14"/>
  <c r="W4616" i="14"/>
  <c r="V4616" i="14"/>
  <c r="E4616" i="14"/>
  <c r="AH4615" i="14"/>
  <c r="W4615" i="14"/>
  <c r="V4615" i="14"/>
  <c r="E4615" i="14"/>
  <c r="AH4614" i="14"/>
  <c r="E4614" i="14"/>
  <c r="AH4613" i="14"/>
  <c r="W4613" i="14"/>
  <c r="V4613" i="14"/>
  <c r="E4613" i="14"/>
  <c r="AH4612" i="14"/>
  <c r="W4612" i="14"/>
  <c r="V4612" i="14"/>
  <c r="E4612" i="14"/>
  <c r="AH4611" i="14"/>
  <c r="V4611" i="14"/>
  <c r="E4611" i="14"/>
  <c r="AH4610" i="14"/>
  <c r="W4610" i="14"/>
  <c r="V4610" i="14"/>
  <c r="E4610" i="14"/>
  <c r="AH4609" i="14"/>
  <c r="V4609" i="14"/>
  <c r="E4609" i="14"/>
  <c r="AH4608" i="14"/>
  <c r="W4608" i="14"/>
  <c r="V4608" i="14"/>
  <c r="E4608" i="14"/>
  <c r="AH4607" i="14"/>
  <c r="V4607" i="14"/>
  <c r="E4607" i="14"/>
  <c r="AH4606" i="14"/>
  <c r="V4606" i="14"/>
  <c r="E4606" i="14"/>
  <c r="AH4605" i="14"/>
  <c r="W4605" i="14"/>
  <c r="V4605" i="14"/>
  <c r="E4605" i="14"/>
  <c r="AH4604" i="14"/>
  <c r="V4604" i="14"/>
  <c r="E4604" i="14"/>
  <c r="AH4603" i="14"/>
  <c r="V4603" i="14"/>
  <c r="E4603" i="14"/>
  <c r="AH4602" i="14"/>
  <c r="W4602" i="14"/>
  <c r="V4602" i="14"/>
  <c r="E4602" i="14"/>
  <c r="AH4601" i="14"/>
  <c r="W4601" i="14"/>
  <c r="V4601" i="14"/>
  <c r="E4601" i="14"/>
  <c r="AH4600" i="14"/>
  <c r="W4600" i="14"/>
  <c r="V4600" i="14"/>
  <c r="E4600" i="14"/>
  <c r="AH4599" i="14"/>
  <c r="E4599" i="14"/>
  <c r="AH4598" i="14"/>
  <c r="W4598" i="14"/>
  <c r="V4598" i="14"/>
  <c r="E4598" i="14"/>
  <c r="AH4597" i="14"/>
  <c r="W4597" i="14"/>
  <c r="V4597" i="14"/>
  <c r="E4597" i="14"/>
  <c r="AH4596" i="14"/>
  <c r="V4596" i="14"/>
  <c r="E4596" i="14"/>
  <c r="AH4595" i="14"/>
  <c r="V4595" i="14"/>
  <c r="E4595" i="14"/>
  <c r="AH4594" i="14"/>
  <c r="V4594" i="14"/>
  <c r="E4594" i="14"/>
  <c r="AH4593" i="14"/>
  <c r="E4593" i="14"/>
  <c r="AH4592" i="14"/>
  <c r="W4592" i="14"/>
  <c r="V4592" i="14"/>
  <c r="E4592" i="14"/>
  <c r="AH4591" i="14"/>
  <c r="W4591" i="14"/>
  <c r="V4591" i="14"/>
  <c r="E4591" i="14"/>
  <c r="AH4590" i="14"/>
  <c r="V4590" i="14"/>
  <c r="E4590" i="14"/>
  <c r="AH4589" i="14"/>
  <c r="V4589" i="14"/>
  <c r="E4589" i="14"/>
  <c r="AH4588" i="14"/>
  <c r="V4588" i="14"/>
  <c r="E4588" i="14"/>
  <c r="AH4587" i="14"/>
  <c r="W4587" i="14"/>
  <c r="V4587" i="14"/>
  <c r="E4587" i="14"/>
  <c r="AH4586" i="14"/>
  <c r="V4586" i="14"/>
  <c r="E4586" i="14"/>
  <c r="AH4585" i="14"/>
  <c r="E4585" i="14"/>
  <c r="AH4584" i="14"/>
  <c r="W4584" i="14"/>
  <c r="V4584" i="14"/>
  <c r="E4584" i="14"/>
  <c r="AH4583" i="14"/>
  <c r="W4583" i="14"/>
  <c r="V4583" i="14"/>
  <c r="E4583" i="14"/>
  <c r="AH4582" i="14"/>
  <c r="V4582" i="14"/>
  <c r="E4582" i="14"/>
  <c r="AH4581" i="14"/>
  <c r="W4581" i="14"/>
  <c r="V4581" i="14"/>
  <c r="E4581" i="14"/>
  <c r="AH4580" i="14"/>
  <c r="E4580" i="14"/>
  <c r="AH4579" i="14"/>
  <c r="V4579" i="14"/>
  <c r="E4579" i="14"/>
  <c r="AH4578" i="14"/>
  <c r="W4578" i="14"/>
  <c r="V4578" i="14"/>
  <c r="E4578" i="14"/>
  <c r="AH4577" i="14"/>
  <c r="E4577" i="14"/>
  <c r="AH4576" i="14"/>
  <c r="V4576" i="14"/>
  <c r="E4576" i="14"/>
  <c r="AH4575" i="14"/>
  <c r="V4575" i="14"/>
  <c r="E4575" i="14"/>
  <c r="AH4574" i="14"/>
  <c r="V4574" i="14"/>
  <c r="E4574" i="14"/>
  <c r="AH4573" i="14"/>
  <c r="V4573" i="14"/>
  <c r="E4573" i="14"/>
  <c r="AH4572" i="14"/>
  <c r="V4572" i="14"/>
  <c r="E4572" i="14"/>
  <c r="AH4571" i="14"/>
  <c r="V4571" i="14"/>
  <c r="E4571" i="14"/>
  <c r="AH4570" i="14"/>
  <c r="W4570" i="14"/>
  <c r="V4570" i="14"/>
  <c r="E4570" i="14"/>
  <c r="AH4569" i="14"/>
  <c r="V4569" i="14"/>
  <c r="E4569" i="14"/>
  <c r="AH4568" i="14"/>
  <c r="V4568" i="14"/>
  <c r="E4568" i="14"/>
  <c r="AH4567" i="14"/>
  <c r="E4567" i="14"/>
  <c r="AH4566" i="14"/>
  <c r="E4566" i="14"/>
  <c r="AH4565" i="14"/>
  <c r="V4565" i="14"/>
  <c r="E4565" i="14"/>
  <c r="AH4564" i="14"/>
  <c r="V4564" i="14"/>
  <c r="E4564" i="14"/>
  <c r="AH4563" i="14"/>
  <c r="V4563" i="14"/>
  <c r="E4563" i="14"/>
  <c r="AH4562" i="14"/>
  <c r="W4562" i="14"/>
  <c r="V4562" i="14"/>
  <c r="E4562" i="14"/>
  <c r="AH4561" i="14"/>
  <c r="V4561" i="14"/>
  <c r="E4561" i="14"/>
  <c r="AH4560" i="14"/>
  <c r="V4560" i="14"/>
  <c r="E4560" i="14"/>
  <c r="AH4559" i="14"/>
  <c r="W4559" i="14"/>
  <c r="V4559" i="14"/>
  <c r="E4559" i="14"/>
  <c r="AH4558" i="14"/>
  <c r="V4558" i="14"/>
  <c r="E4558" i="14"/>
  <c r="AH4557" i="14"/>
  <c r="V4557" i="14"/>
  <c r="E4557" i="14"/>
  <c r="AH4556" i="14"/>
  <c r="W4556" i="14"/>
  <c r="V4556" i="14"/>
  <c r="E4556" i="14"/>
  <c r="AH4555" i="14"/>
  <c r="E4555" i="14"/>
  <c r="AH4554" i="14"/>
  <c r="W4554" i="14"/>
  <c r="V4554" i="14"/>
  <c r="E4554" i="14"/>
  <c r="AH4553" i="14"/>
  <c r="V4553" i="14"/>
  <c r="E4553" i="14"/>
  <c r="AH4552" i="14"/>
  <c r="V4552" i="14"/>
  <c r="E4552" i="14"/>
  <c r="AH4551" i="14"/>
  <c r="V4551" i="14"/>
  <c r="E4551" i="14"/>
  <c r="AH4550" i="14"/>
  <c r="V4550" i="14"/>
  <c r="E4550" i="14"/>
  <c r="AH4549" i="14"/>
  <c r="W4549" i="14"/>
  <c r="V4549" i="14"/>
  <c r="E4549" i="14"/>
  <c r="AH4548" i="14"/>
  <c r="V4548" i="14"/>
  <c r="E4548" i="14"/>
  <c r="AH4547" i="14"/>
  <c r="V4547" i="14"/>
  <c r="E4547" i="14"/>
  <c r="AH4546" i="14"/>
  <c r="E4546" i="14"/>
  <c r="AH4545" i="14"/>
  <c r="W4545" i="14"/>
  <c r="V4545" i="14"/>
  <c r="E4545" i="14"/>
  <c r="AH4544" i="14"/>
  <c r="V4544" i="14"/>
  <c r="E4544" i="14"/>
  <c r="AH4543" i="14"/>
  <c r="V4543" i="14"/>
  <c r="E4543" i="14"/>
  <c r="AH4542" i="14"/>
  <c r="V4542" i="14"/>
  <c r="E4542" i="14"/>
  <c r="AH4541" i="14"/>
  <c r="V4541" i="14"/>
  <c r="E4541" i="14"/>
  <c r="AH4540" i="14"/>
  <c r="V4540" i="14"/>
  <c r="E4540" i="14"/>
  <c r="AH4539" i="14"/>
  <c r="V4539" i="14"/>
  <c r="E4539" i="14"/>
  <c r="AH4538" i="14"/>
  <c r="E4538" i="14"/>
  <c r="AH4537" i="14"/>
  <c r="V4537" i="14"/>
  <c r="E4537" i="14"/>
  <c r="AH4536" i="14"/>
  <c r="V4536" i="14"/>
  <c r="E4536" i="14"/>
  <c r="AH4535" i="14"/>
  <c r="V4535" i="14"/>
  <c r="E4535" i="14"/>
  <c r="AH4534" i="14"/>
  <c r="W4534" i="14"/>
  <c r="V4534" i="14"/>
  <c r="E4534" i="14"/>
  <c r="AH4533" i="14"/>
  <c r="W4533" i="14"/>
  <c r="V4533" i="14"/>
  <c r="E4533" i="14"/>
  <c r="AH4532" i="14"/>
  <c r="W4532" i="14"/>
  <c r="V4532" i="14"/>
  <c r="E4532" i="14"/>
  <c r="AH4531" i="14"/>
  <c r="V4531" i="14"/>
  <c r="E4531" i="14"/>
  <c r="AH4530" i="14"/>
  <c r="V4530" i="14"/>
  <c r="E4530" i="14"/>
  <c r="AH4529" i="14"/>
  <c r="V4529" i="14"/>
  <c r="E4529" i="14"/>
  <c r="AH4528" i="14"/>
  <c r="V4528" i="14"/>
  <c r="E4528" i="14"/>
  <c r="AH4527" i="14"/>
  <c r="V4527" i="14"/>
  <c r="E4527" i="14"/>
  <c r="AH4526" i="14"/>
  <c r="W4526" i="14"/>
  <c r="V4526" i="14"/>
  <c r="E4526" i="14"/>
  <c r="AH4525" i="14"/>
  <c r="W4525" i="14"/>
  <c r="V4525" i="14"/>
  <c r="E4525" i="14"/>
  <c r="AH4524" i="14"/>
  <c r="V4524" i="14"/>
  <c r="E4524" i="14"/>
  <c r="AH4523" i="14"/>
  <c r="W4523" i="14"/>
  <c r="V4523" i="14"/>
  <c r="E4523" i="14"/>
  <c r="AH4522" i="14"/>
  <c r="W4522" i="14"/>
  <c r="V4522" i="14"/>
  <c r="E4522" i="14"/>
  <c r="AH4521" i="14"/>
  <c r="V4521" i="14"/>
  <c r="E4521" i="14"/>
  <c r="AH4520" i="14"/>
  <c r="W4520" i="14"/>
  <c r="V4520" i="14"/>
  <c r="E4520" i="14"/>
  <c r="AH4519" i="14"/>
  <c r="V4519" i="14"/>
  <c r="E4519" i="14"/>
  <c r="AH4518" i="14"/>
  <c r="V4518" i="14"/>
  <c r="E4518" i="14"/>
  <c r="AH4517" i="14"/>
  <c r="V4517" i="14"/>
  <c r="E4517" i="14"/>
  <c r="AH4516" i="14"/>
  <c r="V4516" i="14"/>
  <c r="E4516" i="14"/>
  <c r="AH4515" i="14"/>
  <c r="W4515" i="14"/>
  <c r="V4515" i="14"/>
  <c r="E4515" i="14"/>
  <c r="AH4514" i="14"/>
  <c r="W4514" i="14"/>
  <c r="V4514" i="14"/>
  <c r="E4514" i="14"/>
  <c r="AH4513" i="14"/>
  <c r="W4513" i="14"/>
  <c r="V4513" i="14"/>
  <c r="E4513" i="14"/>
  <c r="AH4512" i="14"/>
  <c r="W4512" i="14"/>
  <c r="V4512" i="14"/>
  <c r="E4512" i="14"/>
  <c r="AH4511" i="14"/>
  <c r="V4511" i="14"/>
  <c r="E4511" i="14"/>
  <c r="AH4510" i="14"/>
  <c r="W4510" i="14"/>
  <c r="V4510" i="14"/>
  <c r="E4510" i="14"/>
  <c r="AH4509" i="14"/>
  <c r="E4509" i="14"/>
  <c r="AH4508" i="14"/>
  <c r="W4508" i="14"/>
  <c r="V4508" i="14"/>
  <c r="E4508" i="14"/>
  <c r="AH4507" i="14"/>
  <c r="V4507" i="14"/>
  <c r="E4507" i="14"/>
  <c r="AH4506" i="14"/>
  <c r="W4506" i="14"/>
  <c r="V4506" i="14"/>
  <c r="E4506" i="14"/>
  <c r="AH4505" i="14"/>
  <c r="E4505" i="14"/>
  <c r="AH4504" i="14"/>
  <c r="V4504" i="14"/>
  <c r="E4504" i="14"/>
  <c r="AH4503" i="14"/>
  <c r="V4503" i="14"/>
  <c r="E4503" i="14"/>
  <c r="AH4502" i="14"/>
  <c r="V4502" i="14"/>
  <c r="E4502" i="14"/>
  <c r="AH4501" i="14"/>
  <c r="V4501" i="14"/>
  <c r="E4501" i="14"/>
  <c r="AH4500" i="14"/>
  <c r="V4500" i="14"/>
  <c r="E4500" i="14"/>
  <c r="AH4499" i="14"/>
  <c r="V4499" i="14"/>
  <c r="E4499" i="14"/>
  <c r="AH4498" i="14"/>
  <c r="W4498" i="14"/>
  <c r="V4498" i="14"/>
  <c r="E4498" i="14"/>
  <c r="AH4497" i="14"/>
  <c r="V4497" i="14"/>
  <c r="E4497" i="14"/>
  <c r="AH4496" i="14"/>
  <c r="V4496" i="14"/>
  <c r="E4496" i="14"/>
  <c r="AH4495" i="14"/>
  <c r="V4495" i="14"/>
  <c r="E4495" i="14"/>
  <c r="AH4494" i="14"/>
  <c r="W4494" i="14"/>
  <c r="V4494" i="14"/>
  <c r="E4494" i="14"/>
  <c r="AH4493" i="14"/>
  <c r="W4493" i="14"/>
  <c r="V4493" i="14"/>
  <c r="E4493" i="14"/>
  <c r="AH4492" i="14"/>
  <c r="E4492" i="14"/>
  <c r="AH4491" i="14"/>
  <c r="V4491" i="14"/>
  <c r="E4491" i="14"/>
  <c r="AH4490" i="14"/>
  <c r="V4490" i="14"/>
  <c r="E4490" i="14"/>
  <c r="AH4489" i="14"/>
  <c r="W4489" i="14"/>
  <c r="V4489" i="14"/>
  <c r="E4489" i="14"/>
  <c r="AH4488" i="14"/>
  <c r="E4488" i="14"/>
  <c r="AH4487" i="14"/>
  <c r="V4487" i="14"/>
  <c r="E4487" i="14"/>
  <c r="AH4486" i="14"/>
  <c r="V4486" i="14"/>
  <c r="E4486" i="14"/>
  <c r="AH4485" i="14"/>
  <c r="E4485" i="14"/>
  <c r="AH4484" i="14"/>
  <c r="V4484" i="14"/>
  <c r="E4484" i="14"/>
  <c r="AH4483" i="14"/>
  <c r="W4483" i="14"/>
  <c r="V4483" i="14"/>
  <c r="E4483" i="14"/>
  <c r="AH4482" i="14"/>
  <c r="V4482" i="14"/>
  <c r="E4482" i="14"/>
  <c r="AH4481" i="14"/>
  <c r="V4481" i="14"/>
  <c r="E4481" i="14"/>
  <c r="AH4480" i="14"/>
  <c r="W4480" i="14"/>
  <c r="V4480" i="14"/>
  <c r="E4480" i="14"/>
  <c r="AH4479" i="14"/>
  <c r="V4479" i="14"/>
  <c r="E4479" i="14"/>
  <c r="AH4478" i="14"/>
  <c r="V4478" i="14"/>
  <c r="E4478" i="14"/>
  <c r="AH4477" i="14"/>
  <c r="W4477" i="14"/>
  <c r="V4477" i="14"/>
  <c r="E4477" i="14"/>
  <c r="AH4476" i="14"/>
  <c r="E4476" i="14"/>
  <c r="AH4475" i="14"/>
  <c r="V4475" i="14"/>
  <c r="E4475" i="14"/>
  <c r="AH4474" i="14"/>
  <c r="W4474" i="14"/>
  <c r="V4474" i="14"/>
  <c r="E4474" i="14"/>
  <c r="AH4473" i="14"/>
  <c r="V4473" i="14"/>
  <c r="O4473" i="14"/>
  <c r="E4473" i="14"/>
  <c r="AH4472" i="14"/>
  <c r="V4472" i="14"/>
  <c r="E4472" i="14"/>
  <c r="AH4471" i="14"/>
  <c r="V4471" i="14"/>
  <c r="E4471" i="14"/>
  <c r="AH4470" i="14"/>
  <c r="V4470" i="14"/>
  <c r="E4470" i="14"/>
  <c r="AH4469" i="14"/>
  <c r="W4469" i="14"/>
  <c r="V4469" i="14"/>
  <c r="E4469" i="14"/>
  <c r="AH4468" i="14"/>
  <c r="V4468" i="14"/>
  <c r="E4468" i="14"/>
  <c r="AH4467" i="14"/>
  <c r="V4467" i="14"/>
  <c r="E4467" i="14"/>
  <c r="AH4466" i="14"/>
  <c r="W4466" i="14"/>
  <c r="V4466" i="14"/>
  <c r="E4466" i="14"/>
  <c r="AH4465" i="14"/>
  <c r="W4465" i="14"/>
  <c r="V4465" i="14"/>
  <c r="E4465" i="14"/>
  <c r="AH4464" i="14"/>
  <c r="V4464" i="14"/>
  <c r="E4464" i="14"/>
  <c r="AH4463" i="14"/>
  <c r="V4463" i="14"/>
  <c r="E4463" i="14"/>
  <c r="AH4462" i="14"/>
  <c r="W4462" i="14"/>
  <c r="V4462" i="14"/>
  <c r="E4462" i="14"/>
  <c r="AH4461" i="14"/>
  <c r="V4461" i="14"/>
  <c r="E4461" i="14"/>
  <c r="AH4460" i="14"/>
  <c r="V4460" i="14"/>
  <c r="E4460" i="14"/>
  <c r="AH4459" i="14"/>
  <c r="E4459" i="14"/>
  <c r="AH4458" i="14"/>
  <c r="V4458" i="14"/>
  <c r="E4458" i="14"/>
  <c r="AH4457" i="14"/>
  <c r="W4457" i="14"/>
  <c r="V4457" i="14"/>
  <c r="E4457" i="14"/>
  <c r="AH4456" i="14"/>
  <c r="V4456" i="14"/>
  <c r="E4456" i="14"/>
  <c r="AH4455" i="14"/>
  <c r="E4455" i="14"/>
  <c r="AH4454" i="14"/>
  <c r="V4454" i="14"/>
  <c r="E4454" i="14"/>
  <c r="AH4453" i="14"/>
  <c r="V4453" i="14"/>
  <c r="E4453" i="14"/>
  <c r="AH4452" i="14"/>
  <c r="V4452" i="14"/>
  <c r="E4452" i="14"/>
  <c r="AH4451" i="14"/>
  <c r="V4451" i="14"/>
  <c r="E4451" i="14"/>
  <c r="AH4450" i="14"/>
  <c r="E4450" i="14"/>
  <c r="AH4449" i="14"/>
  <c r="E4449" i="14"/>
  <c r="AH4448" i="14"/>
  <c r="V4448" i="14"/>
  <c r="E4448" i="14"/>
  <c r="AH4447" i="14"/>
  <c r="V4447" i="14"/>
  <c r="E4447" i="14"/>
  <c r="AH4446" i="14"/>
  <c r="V4446" i="14"/>
  <c r="E4446" i="14"/>
  <c r="AH4445" i="14"/>
  <c r="V4445" i="14"/>
  <c r="E4445" i="14"/>
  <c r="AH4444" i="14"/>
  <c r="W4444" i="14"/>
  <c r="V4444" i="14"/>
  <c r="E4444" i="14"/>
  <c r="AH4443" i="14"/>
  <c r="V4443" i="14"/>
  <c r="E4443" i="14"/>
  <c r="AH4442" i="14"/>
  <c r="V4442" i="14"/>
  <c r="E4442" i="14"/>
  <c r="AH4441" i="14"/>
  <c r="W4441" i="14"/>
  <c r="V4441" i="14"/>
  <c r="E4441" i="14"/>
  <c r="AH4440" i="14"/>
  <c r="V4440" i="14"/>
  <c r="E4440" i="14"/>
  <c r="AH4439" i="14"/>
  <c r="V4439" i="14"/>
  <c r="E4439" i="14"/>
  <c r="AH4438" i="14"/>
  <c r="W4438" i="14"/>
  <c r="V4438" i="14"/>
  <c r="E4438" i="14"/>
  <c r="AH4437" i="14"/>
  <c r="V4437" i="14"/>
  <c r="E4437" i="14"/>
  <c r="AH4436" i="14"/>
  <c r="V4436" i="14"/>
  <c r="E4436" i="14"/>
  <c r="AH4435" i="14"/>
  <c r="W4435" i="14"/>
  <c r="V4435" i="14"/>
  <c r="E4435" i="14"/>
  <c r="AH4434" i="14"/>
  <c r="E4434" i="14"/>
  <c r="AH4433" i="14"/>
  <c r="E4433" i="14"/>
  <c r="AH4432" i="14"/>
  <c r="E4432" i="14"/>
  <c r="AH4431" i="14"/>
  <c r="W4431" i="14"/>
  <c r="V4431" i="14"/>
  <c r="E4431" i="14"/>
  <c r="AH4430" i="14"/>
  <c r="V4430" i="14"/>
  <c r="E4430" i="14"/>
  <c r="AH4429" i="14"/>
  <c r="W4429" i="14"/>
  <c r="V4429" i="14"/>
  <c r="E4429" i="14"/>
  <c r="AH4428" i="14"/>
  <c r="E4428" i="14"/>
  <c r="AH4427" i="14"/>
  <c r="W4427" i="14"/>
  <c r="V4427" i="14"/>
  <c r="E4427" i="14"/>
  <c r="AH4426" i="14"/>
  <c r="V4426" i="14"/>
  <c r="E4426" i="14"/>
  <c r="AH4425" i="14"/>
  <c r="V4425" i="14"/>
  <c r="E4425" i="14"/>
  <c r="AH4424" i="14"/>
  <c r="V4424" i="14"/>
  <c r="E4424" i="14"/>
  <c r="AH4423" i="14"/>
  <c r="W4423" i="14"/>
  <c r="V4423" i="14"/>
  <c r="E4423" i="14"/>
  <c r="AH4422" i="14"/>
  <c r="V4422" i="14"/>
  <c r="E4422" i="14"/>
  <c r="AH4421" i="14"/>
  <c r="E4421" i="14"/>
  <c r="AH4420" i="14"/>
  <c r="V4420" i="14"/>
  <c r="E4420" i="14"/>
  <c r="AH4419" i="14"/>
  <c r="V4419" i="14"/>
  <c r="E4419" i="14"/>
  <c r="AH4418" i="14"/>
  <c r="V4418" i="14"/>
  <c r="E4418" i="14"/>
  <c r="AH4417" i="14"/>
  <c r="W4417" i="14"/>
  <c r="V4417" i="14"/>
  <c r="E4417" i="14"/>
  <c r="AH4416" i="14"/>
  <c r="V4416" i="14"/>
  <c r="E4416" i="14"/>
  <c r="AH4415" i="14"/>
  <c r="E4415" i="14"/>
  <c r="AH4414" i="14"/>
  <c r="V4414" i="14"/>
  <c r="E4414" i="14"/>
  <c r="AH4413" i="14"/>
  <c r="W4413" i="14"/>
  <c r="V4413" i="14"/>
  <c r="E4413" i="14"/>
  <c r="AH4412" i="14"/>
  <c r="W4412" i="14"/>
  <c r="V4412" i="14"/>
  <c r="E4412" i="14"/>
  <c r="AH4411" i="14"/>
  <c r="W4411" i="14"/>
  <c r="V4411" i="14"/>
  <c r="E4411" i="14"/>
  <c r="AH4410" i="14"/>
  <c r="V4410" i="14"/>
  <c r="E4410" i="14"/>
  <c r="AH4409" i="14"/>
  <c r="W4409" i="14"/>
  <c r="V4409" i="14"/>
  <c r="E4409" i="14"/>
  <c r="AH4408" i="14"/>
  <c r="V4408" i="14"/>
  <c r="E4408" i="14"/>
  <c r="AH4407" i="14"/>
  <c r="V4407" i="14"/>
  <c r="E4407" i="14"/>
  <c r="AH4406" i="14"/>
  <c r="E4406" i="14"/>
  <c r="AH4405" i="14"/>
  <c r="V4405" i="14"/>
  <c r="E4405" i="14"/>
  <c r="AH4404" i="14"/>
  <c r="E4404" i="14"/>
  <c r="AH4403" i="14"/>
  <c r="V4403" i="14"/>
  <c r="E4403" i="14"/>
  <c r="AH4402" i="14"/>
  <c r="V4402" i="14"/>
  <c r="E4402" i="14"/>
  <c r="AH4401" i="14"/>
  <c r="V4401" i="14"/>
  <c r="E4401" i="14"/>
  <c r="AH4400" i="14"/>
  <c r="W4400" i="14"/>
  <c r="V4400" i="14"/>
  <c r="E4400" i="14"/>
  <c r="AH4399" i="14"/>
  <c r="V4399" i="14"/>
  <c r="E4399" i="14"/>
  <c r="AH4398" i="14"/>
  <c r="V4398" i="14"/>
  <c r="E4398" i="14"/>
  <c r="AH4397" i="14"/>
  <c r="V4397" i="14"/>
  <c r="E4397" i="14"/>
  <c r="AH4396" i="14"/>
  <c r="V4396" i="14"/>
  <c r="E4396" i="14"/>
  <c r="AH4395" i="14"/>
  <c r="V4395" i="14"/>
  <c r="E4395" i="14"/>
  <c r="AH4394" i="14"/>
  <c r="V4394" i="14"/>
  <c r="E4394" i="14"/>
  <c r="AH4393" i="14"/>
  <c r="W4393" i="14"/>
  <c r="V4393" i="14"/>
  <c r="E4393" i="14"/>
  <c r="AH4392" i="14"/>
  <c r="V4392" i="14"/>
  <c r="E4392" i="14"/>
  <c r="AH4391" i="14"/>
  <c r="W4391" i="14"/>
  <c r="V4391" i="14"/>
  <c r="E4391" i="14"/>
  <c r="AH4390" i="14"/>
  <c r="V4390" i="14"/>
  <c r="E4390" i="14"/>
  <c r="AH4389" i="14"/>
  <c r="V4389" i="14"/>
  <c r="E4389" i="14"/>
  <c r="AH4388" i="14"/>
  <c r="W4388" i="14"/>
  <c r="V4388" i="14"/>
  <c r="E4388" i="14"/>
  <c r="AH4387" i="14"/>
  <c r="V4387" i="14"/>
  <c r="E4387" i="14"/>
  <c r="AH4386" i="14"/>
  <c r="W4386" i="14"/>
  <c r="V4386" i="14"/>
  <c r="E4386" i="14"/>
  <c r="AH4385" i="14"/>
  <c r="V4385" i="14"/>
  <c r="E4385" i="14"/>
  <c r="AH4384" i="14"/>
  <c r="V4384" i="14"/>
  <c r="E4384" i="14"/>
  <c r="AH4383" i="14"/>
  <c r="W4383" i="14"/>
  <c r="V4383" i="14"/>
  <c r="E4383" i="14"/>
  <c r="AH4382" i="14"/>
  <c r="V4382" i="14"/>
  <c r="E4382" i="14"/>
  <c r="AH4381" i="14"/>
  <c r="V4381" i="14"/>
  <c r="E4381" i="14"/>
  <c r="AH4380" i="14"/>
  <c r="V4380" i="14"/>
  <c r="E4380" i="14"/>
  <c r="AH4379" i="14"/>
  <c r="V4379" i="14"/>
  <c r="E4379" i="14"/>
  <c r="AH4378" i="14"/>
  <c r="E4378" i="14"/>
  <c r="AH4377" i="14"/>
  <c r="V4377" i="14"/>
  <c r="E4377" i="14"/>
  <c r="AH4376" i="14"/>
  <c r="W4376" i="14"/>
  <c r="V4376" i="14"/>
  <c r="E4376" i="14"/>
  <c r="AH4375" i="14"/>
  <c r="V4375" i="14"/>
  <c r="E4375" i="14"/>
  <c r="AH4374" i="14"/>
  <c r="W4374" i="14"/>
  <c r="V4374" i="14"/>
  <c r="E4374" i="14"/>
  <c r="AH4373" i="14"/>
  <c r="E4373" i="14"/>
  <c r="AH4372" i="14"/>
  <c r="V4372" i="14"/>
  <c r="E4372" i="14"/>
  <c r="AH4371" i="14"/>
  <c r="V4371" i="14"/>
  <c r="E4371" i="14"/>
  <c r="AH4370" i="14"/>
  <c r="E4370" i="14"/>
  <c r="AH4369" i="14"/>
  <c r="W4369" i="14"/>
  <c r="V4369" i="14"/>
  <c r="E4369" i="14"/>
  <c r="AH4368" i="14"/>
  <c r="V4368" i="14"/>
  <c r="E4368" i="14"/>
  <c r="AH4367" i="14"/>
  <c r="W4367" i="14"/>
  <c r="V4367" i="14"/>
  <c r="E4367" i="14"/>
  <c r="AH4366" i="14"/>
  <c r="V4366" i="14"/>
  <c r="E4366" i="14"/>
  <c r="AH4365" i="14"/>
  <c r="W4365" i="14"/>
  <c r="V4365" i="14"/>
  <c r="E4365" i="14"/>
  <c r="AH4364" i="14"/>
  <c r="V4364" i="14"/>
  <c r="E4364" i="14"/>
  <c r="AH4363" i="14"/>
  <c r="W4363" i="14"/>
  <c r="V4363" i="14"/>
  <c r="E4363" i="14"/>
  <c r="AH4362" i="14"/>
  <c r="E4362" i="14"/>
  <c r="AH4361" i="14"/>
  <c r="E4361" i="14"/>
  <c r="AH4360" i="14"/>
  <c r="V4360" i="14"/>
  <c r="E4360" i="14"/>
  <c r="AH4359" i="14"/>
  <c r="V4359" i="14"/>
  <c r="E4359" i="14"/>
  <c r="AH4358" i="14"/>
  <c r="V4358" i="14"/>
  <c r="E4358" i="14"/>
  <c r="AH4357" i="14"/>
  <c r="V4357" i="14"/>
  <c r="O4357" i="14"/>
  <c r="E4357" i="14"/>
  <c r="AH4356" i="14"/>
  <c r="E4356" i="14"/>
  <c r="AH4355" i="14"/>
  <c r="E4355" i="14"/>
  <c r="AH4354" i="14"/>
  <c r="V4354" i="14"/>
  <c r="E4354" i="14"/>
  <c r="AH4353" i="14"/>
  <c r="V4353" i="14"/>
  <c r="E4353" i="14"/>
  <c r="AH4352" i="14"/>
  <c r="V4352" i="14"/>
  <c r="E4352" i="14"/>
  <c r="AH4351" i="14"/>
  <c r="V4351" i="14"/>
  <c r="E4351" i="14"/>
  <c r="AH4350" i="14"/>
  <c r="W4350" i="14"/>
  <c r="V4350" i="14"/>
  <c r="E4350" i="14"/>
  <c r="AH4349" i="14"/>
  <c r="V4349" i="14"/>
  <c r="E4349" i="14"/>
  <c r="AH4348" i="14"/>
  <c r="V4348" i="14"/>
  <c r="E4348" i="14"/>
  <c r="AH4347" i="14"/>
  <c r="V4347" i="14"/>
  <c r="E4347" i="14"/>
  <c r="AH4346" i="14"/>
  <c r="V4346" i="14"/>
  <c r="E4346" i="14"/>
  <c r="AH4345" i="14"/>
  <c r="W4345" i="14"/>
  <c r="V4345" i="14"/>
  <c r="E4345" i="14"/>
  <c r="AH4344" i="14"/>
  <c r="V4344" i="14"/>
  <c r="E4344" i="14"/>
  <c r="AH4343" i="14"/>
  <c r="V4343" i="14"/>
  <c r="E4343" i="14"/>
  <c r="AH4342" i="14"/>
  <c r="V4342" i="14"/>
  <c r="E4342" i="14"/>
  <c r="AH4341" i="14"/>
  <c r="V4341" i="14"/>
  <c r="E4341" i="14"/>
  <c r="AH4340" i="14"/>
  <c r="W4340" i="14"/>
  <c r="V4340" i="14"/>
  <c r="E4340" i="14"/>
  <c r="AH4339" i="14"/>
  <c r="V4339" i="14"/>
  <c r="E4339" i="14"/>
  <c r="AH4338" i="14"/>
  <c r="V4338" i="14"/>
  <c r="E4338" i="14"/>
  <c r="AH4337" i="14"/>
  <c r="V4337" i="14"/>
  <c r="E4337" i="14"/>
  <c r="AH4336" i="14"/>
  <c r="V4336" i="14"/>
  <c r="E4336" i="14"/>
  <c r="AH4335" i="14"/>
  <c r="W4335" i="14"/>
  <c r="V4335" i="14"/>
  <c r="O4335" i="14"/>
  <c r="E4335" i="14"/>
  <c r="AH4334" i="14"/>
  <c r="V4334" i="14"/>
  <c r="E4334" i="14"/>
  <c r="AH4333" i="14"/>
  <c r="V4333" i="14"/>
  <c r="E4333" i="14"/>
  <c r="AH4332" i="14"/>
  <c r="W4332" i="14"/>
  <c r="V4332" i="14"/>
  <c r="E4332" i="14"/>
  <c r="AH4331" i="14"/>
  <c r="E4331" i="14"/>
  <c r="AH4330" i="14"/>
  <c r="V4330" i="14"/>
  <c r="E4330" i="14"/>
  <c r="AH4329" i="14"/>
  <c r="V4329" i="14"/>
  <c r="E4329" i="14"/>
  <c r="AH4328" i="14"/>
  <c r="V4328" i="14"/>
  <c r="E4328" i="14"/>
  <c r="AH4327" i="14"/>
  <c r="E4327" i="14"/>
  <c r="AH4326" i="14"/>
  <c r="V4326" i="14"/>
  <c r="E4326" i="14"/>
  <c r="AH4325" i="14"/>
  <c r="V4325" i="14"/>
  <c r="E4325" i="14"/>
  <c r="AH4324" i="14"/>
  <c r="W4324" i="14"/>
  <c r="V4324" i="14"/>
  <c r="E4324" i="14"/>
  <c r="AH4323" i="14"/>
  <c r="E4323" i="14"/>
  <c r="AH4322" i="14"/>
  <c r="V4322" i="14"/>
  <c r="E4322" i="14"/>
  <c r="AH4321" i="14"/>
  <c r="W4321" i="14"/>
  <c r="V4321" i="14"/>
  <c r="E4321" i="14"/>
  <c r="AH4320" i="14"/>
  <c r="W4320" i="14"/>
  <c r="V4320" i="14"/>
  <c r="E4320" i="14"/>
  <c r="AH4319" i="14"/>
  <c r="V4319" i="14"/>
  <c r="E4319" i="14"/>
  <c r="AH4318" i="14"/>
  <c r="V4318" i="14"/>
  <c r="E4318" i="14"/>
  <c r="AH4317" i="14"/>
  <c r="V4317" i="14"/>
  <c r="E4317" i="14"/>
  <c r="AH4316" i="14"/>
  <c r="V4316" i="14"/>
  <c r="E4316" i="14"/>
  <c r="AH4315" i="14"/>
  <c r="E4315" i="14"/>
  <c r="AH4314" i="14"/>
  <c r="V4314" i="14"/>
  <c r="E4314" i="14"/>
  <c r="AH4313" i="14"/>
  <c r="V4313" i="14"/>
  <c r="E4313" i="14"/>
  <c r="AH4312" i="14"/>
  <c r="V4312" i="14"/>
  <c r="E4312" i="14"/>
  <c r="AH4311" i="14"/>
  <c r="V4311" i="14"/>
  <c r="E4311" i="14"/>
  <c r="AH4310" i="14"/>
  <c r="W4310" i="14"/>
  <c r="V4310" i="14"/>
  <c r="E4310" i="14"/>
  <c r="AH4309" i="14"/>
  <c r="W4309" i="14"/>
  <c r="V4309" i="14"/>
  <c r="E4309" i="14"/>
  <c r="AH4308" i="14"/>
  <c r="V4308" i="14"/>
  <c r="E4308" i="14"/>
  <c r="AH4307" i="14"/>
  <c r="V4307" i="14"/>
  <c r="E4307" i="14"/>
  <c r="AH4306" i="14"/>
  <c r="W4306" i="14"/>
  <c r="V4306" i="14"/>
  <c r="E4306" i="14"/>
  <c r="AH4305" i="14"/>
  <c r="W4305" i="14"/>
  <c r="V4305" i="14"/>
  <c r="E4305" i="14"/>
  <c r="AH4304" i="14"/>
  <c r="V4304" i="14"/>
  <c r="E4304" i="14"/>
  <c r="AH4303" i="14"/>
  <c r="W4303" i="14"/>
  <c r="V4303" i="14"/>
  <c r="E4303" i="14"/>
  <c r="AH4302" i="14"/>
  <c r="W4302" i="14"/>
  <c r="V4302" i="14"/>
  <c r="E4302" i="14"/>
  <c r="AH4301" i="14"/>
  <c r="E4301" i="14"/>
  <c r="AH4300" i="14"/>
  <c r="V4300" i="14"/>
  <c r="E4300" i="14"/>
  <c r="AH4299" i="14"/>
  <c r="V4299" i="14"/>
  <c r="E4299" i="14"/>
  <c r="AH4298" i="14"/>
  <c r="V4298" i="14"/>
  <c r="E4298" i="14"/>
  <c r="AH4297" i="14"/>
  <c r="E4297" i="14"/>
  <c r="AH4296" i="14"/>
  <c r="W4296" i="14"/>
  <c r="V4296" i="14"/>
  <c r="E4296" i="14"/>
  <c r="AH4295" i="14"/>
  <c r="V4295" i="14"/>
  <c r="E4295" i="14"/>
  <c r="AH4294" i="14"/>
  <c r="E4294" i="14"/>
  <c r="AH4293" i="14"/>
  <c r="W4293" i="14"/>
  <c r="V4293" i="14"/>
  <c r="E4293" i="14"/>
  <c r="AH4292" i="14"/>
  <c r="V4292" i="14"/>
  <c r="E4292" i="14"/>
  <c r="AH4291" i="14"/>
  <c r="W4291" i="14"/>
  <c r="V4291" i="14"/>
  <c r="E4291" i="14"/>
  <c r="AH4290" i="14"/>
  <c r="W4290" i="14"/>
  <c r="V4290" i="14"/>
  <c r="E4290" i="14"/>
  <c r="AH4289" i="14"/>
  <c r="W4289" i="14"/>
  <c r="V4289" i="14"/>
  <c r="E4289" i="14"/>
  <c r="AH4288" i="14"/>
  <c r="W4288" i="14"/>
  <c r="V4288" i="14"/>
  <c r="E4288" i="14"/>
  <c r="AH4287" i="14"/>
  <c r="V4287" i="14"/>
  <c r="E4287" i="14"/>
  <c r="AH4286" i="14"/>
  <c r="W4286" i="14"/>
  <c r="V4286" i="14"/>
  <c r="E4286" i="14"/>
  <c r="AH4285" i="14"/>
  <c r="W4285" i="14"/>
  <c r="V4285" i="14"/>
  <c r="E4285" i="14"/>
  <c r="AH4284" i="14"/>
  <c r="V4284" i="14"/>
  <c r="E4284" i="14"/>
  <c r="AH4283" i="14"/>
  <c r="V4283" i="14"/>
  <c r="O4283" i="14"/>
  <c r="E4283" i="14"/>
  <c r="AH4282" i="14"/>
  <c r="V4282" i="14"/>
  <c r="E4282" i="14"/>
  <c r="AH4281" i="14"/>
  <c r="E4281" i="14"/>
  <c r="AH4280" i="14"/>
  <c r="V4280" i="14"/>
  <c r="E4280" i="14"/>
  <c r="AH4279" i="14"/>
  <c r="V4279" i="14"/>
  <c r="E4279" i="14"/>
  <c r="AH4278" i="14"/>
  <c r="V4278" i="14"/>
  <c r="E4278" i="14"/>
  <c r="AH4277" i="14"/>
  <c r="V4277" i="14"/>
  <c r="E4277" i="14"/>
  <c r="AH4276" i="14"/>
  <c r="V4276" i="14"/>
  <c r="E4276" i="14"/>
  <c r="AH4275" i="14"/>
  <c r="V4275" i="14"/>
  <c r="E4275" i="14"/>
  <c r="AH4274" i="14"/>
  <c r="W4274" i="14"/>
  <c r="V4274" i="14"/>
  <c r="E4274" i="14"/>
  <c r="AH4273" i="14"/>
  <c r="V4273" i="14"/>
  <c r="E4273" i="14"/>
  <c r="AH4272" i="14"/>
  <c r="W4272" i="14"/>
  <c r="V4272" i="14"/>
  <c r="E4272" i="14"/>
  <c r="AH4271" i="14"/>
  <c r="V4271" i="14"/>
  <c r="E4271" i="14"/>
  <c r="AH4270" i="14"/>
  <c r="V4270" i="14"/>
  <c r="E4270" i="14"/>
  <c r="AH4269" i="14"/>
  <c r="V4269" i="14"/>
  <c r="E4269" i="14"/>
  <c r="AH4268" i="14"/>
  <c r="V4268" i="14"/>
  <c r="E4268" i="14"/>
  <c r="AH4267" i="14"/>
  <c r="V4267" i="14"/>
  <c r="E4267" i="14"/>
  <c r="AH4266" i="14"/>
  <c r="E4266" i="14"/>
  <c r="AH4265" i="14"/>
  <c r="V4265" i="14"/>
  <c r="E4265" i="14"/>
  <c r="AH4264" i="14"/>
  <c r="V4264" i="14"/>
  <c r="E4264" i="14"/>
  <c r="AH4263" i="14"/>
  <c r="E4263" i="14"/>
  <c r="AH4262" i="14"/>
  <c r="V4262" i="14"/>
  <c r="E4262" i="14"/>
  <c r="AH4261" i="14"/>
  <c r="W4261" i="14"/>
  <c r="V4261" i="14"/>
  <c r="E4261" i="14"/>
  <c r="AH4260" i="14"/>
  <c r="V4260" i="14"/>
  <c r="O4260" i="14"/>
  <c r="E4260" i="14"/>
  <c r="AH4259" i="14"/>
  <c r="V4259" i="14"/>
  <c r="E4259" i="14"/>
  <c r="AH4258" i="14"/>
  <c r="V4258" i="14"/>
  <c r="E4258" i="14"/>
  <c r="AH4257" i="14"/>
  <c r="W4257" i="14"/>
  <c r="V4257" i="14"/>
  <c r="E4257" i="14"/>
  <c r="AH4256" i="14"/>
  <c r="V4256" i="14"/>
  <c r="E4256" i="14"/>
  <c r="AH4255" i="14"/>
  <c r="V4255" i="14"/>
  <c r="E4255" i="14"/>
  <c r="AH4254" i="14"/>
  <c r="V4254" i="14"/>
  <c r="E4254" i="14"/>
  <c r="AH4253" i="14"/>
  <c r="V4253" i="14"/>
  <c r="E4253" i="14"/>
  <c r="AH4252" i="14"/>
  <c r="V4252" i="14"/>
  <c r="E4252" i="14"/>
  <c r="AH4251" i="14"/>
  <c r="V4251" i="14"/>
  <c r="E4251" i="14"/>
  <c r="AH4250" i="14"/>
  <c r="V4250" i="14"/>
  <c r="E4250" i="14"/>
  <c r="AH4249" i="14"/>
  <c r="V4249" i="14"/>
  <c r="E4249" i="14"/>
  <c r="AH4248" i="14"/>
  <c r="V4248" i="14"/>
  <c r="E4248" i="14"/>
  <c r="AH4247" i="14"/>
  <c r="W4247" i="14"/>
  <c r="V4247" i="14"/>
  <c r="E4247" i="14"/>
  <c r="AH4246" i="14"/>
  <c r="W4246" i="14"/>
  <c r="V4246" i="14"/>
  <c r="E4246" i="14"/>
  <c r="AH4245" i="14"/>
  <c r="V4245" i="14"/>
  <c r="E4245" i="14"/>
  <c r="AH4244" i="14"/>
  <c r="W4244" i="14"/>
  <c r="V4244" i="14"/>
  <c r="E4244" i="14"/>
  <c r="AH4243" i="14"/>
  <c r="W4243" i="14"/>
  <c r="V4243" i="14"/>
  <c r="E4243" i="14"/>
  <c r="AH4242" i="14"/>
  <c r="V4242" i="14"/>
  <c r="E4242" i="14"/>
  <c r="AH4241" i="14"/>
  <c r="E4241" i="14"/>
  <c r="AH4240" i="14"/>
  <c r="W4240" i="14"/>
  <c r="V4240" i="14"/>
  <c r="E4240" i="14"/>
  <c r="AH4239" i="14"/>
  <c r="W4239" i="14"/>
  <c r="V4239" i="14"/>
  <c r="E4239" i="14"/>
  <c r="AH4238" i="14"/>
  <c r="W4238" i="14"/>
  <c r="V4238" i="14"/>
  <c r="E4238" i="14"/>
  <c r="AH4237" i="14"/>
  <c r="E4237" i="14"/>
  <c r="AH4236" i="14"/>
  <c r="V4236" i="14"/>
  <c r="E4236" i="14"/>
  <c r="AH4235" i="14"/>
  <c r="V4235" i="14"/>
  <c r="E4235" i="14"/>
  <c r="AH4234" i="14"/>
  <c r="W4234" i="14"/>
  <c r="V4234" i="14"/>
  <c r="E4234" i="14"/>
  <c r="AH4233" i="14"/>
  <c r="V4233" i="14"/>
  <c r="E4233" i="14"/>
  <c r="AH4232" i="14"/>
  <c r="V4232" i="14"/>
  <c r="E4232" i="14"/>
  <c r="AH4231" i="14"/>
  <c r="V4231" i="14"/>
  <c r="E4231" i="14"/>
  <c r="AH4230" i="14"/>
  <c r="E4230" i="14"/>
  <c r="AH4229" i="14"/>
  <c r="W4229" i="14"/>
  <c r="V4229" i="14"/>
  <c r="E4229" i="14"/>
  <c r="AH4228" i="14"/>
  <c r="V4228" i="14"/>
  <c r="E4228" i="14"/>
  <c r="AH4227" i="14"/>
  <c r="V4227" i="14"/>
  <c r="E4227" i="14"/>
  <c r="AH4226" i="14"/>
  <c r="W4226" i="14"/>
  <c r="V4226" i="14"/>
  <c r="E4226" i="14"/>
  <c r="AH4225" i="14"/>
  <c r="W4225" i="14"/>
  <c r="V4225" i="14"/>
  <c r="E4225" i="14"/>
  <c r="AH4224" i="14"/>
  <c r="V4224" i="14"/>
  <c r="E4224" i="14"/>
  <c r="AH4223" i="14"/>
  <c r="W4223" i="14"/>
  <c r="V4223" i="14"/>
  <c r="E4223" i="14"/>
  <c r="AH4222" i="14"/>
  <c r="W4222" i="14"/>
  <c r="V4222" i="14"/>
  <c r="E4222" i="14"/>
  <c r="AH4221" i="14"/>
  <c r="W4221" i="14"/>
  <c r="V4221" i="14"/>
  <c r="E4221" i="14"/>
  <c r="AH4220" i="14"/>
  <c r="W4220" i="14"/>
  <c r="V4220" i="14"/>
  <c r="E4220" i="14"/>
  <c r="AH4219" i="14"/>
  <c r="V4219" i="14"/>
  <c r="E4219" i="14"/>
  <c r="AH4218" i="14"/>
  <c r="V4218" i="14"/>
  <c r="E4218" i="14"/>
  <c r="AH4217" i="14"/>
  <c r="V4217" i="14"/>
  <c r="E4217" i="14"/>
  <c r="AH4216" i="14"/>
  <c r="E4216" i="14"/>
  <c r="AH4215" i="14"/>
  <c r="V4215" i="14"/>
  <c r="E4215" i="14"/>
  <c r="AH4214" i="14"/>
  <c r="W4214" i="14"/>
  <c r="V4214" i="14"/>
  <c r="E4214" i="14"/>
  <c r="AH4213" i="14"/>
  <c r="V4213" i="14"/>
  <c r="E4213" i="14"/>
  <c r="AH4212" i="14"/>
  <c r="V4212" i="14"/>
  <c r="E4212" i="14"/>
  <c r="AH4211" i="14"/>
  <c r="W4211" i="14"/>
  <c r="V4211" i="14"/>
  <c r="E4211" i="14"/>
  <c r="AH4210" i="14"/>
  <c r="V4210" i="14"/>
  <c r="E4210" i="14"/>
  <c r="AH4209" i="14"/>
  <c r="W4209" i="14"/>
  <c r="V4209" i="14"/>
  <c r="E4209" i="14"/>
  <c r="AH4208" i="14"/>
  <c r="E4208" i="14"/>
  <c r="AH4207" i="14"/>
  <c r="W4207" i="14"/>
  <c r="V4207" i="14"/>
  <c r="E4207" i="14"/>
  <c r="AH4206" i="14"/>
  <c r="W4206" i="14"/>
  <c r="V4206" i="14"/>
  <c r="E4206" i="14"/>
  <c r="AH4205" i="14"/>
  <c r="V4205" i="14"/>
  <c r="E4205" i="14"/>
  <c r="AH4204" i="14"/>
  <c r="W4204" i="14"/>
  <c r="V4204" i="14"/>
  <c r="E4204" i="14"/>
  <c r="AH4203" i="14"/>
  <c r="V4203" i="14"/>
  <c r="E4203" i="14"/>
  <c r="AH4202" i="14"/>
  <c r="W4202" i="14"/>
  <c r="V4202" i="14"/>
  <c r="E4202" i="14"/>
  <c r="AH4201" i="14"/>
  <c r="V4201" i="14"/>
  <c r="E4201" i="14"/>
  <c r="AH4200" i="14"/>
  <c r="V4200" i="14"/>
  <c r="E4200" i="14"/>
  <c r="AH4199" i="14"/>
  <c r="V4199" i="14"/>
  <c r="E4199" i="14"/>
  <c r="AH4198" i="14"/>
  <c r="V4198" i="14"/>
  <c r="E4198" i="14"/>
  <c r="AH4197" i="14"/>
  <c r="V4197" i="14"/>
  <c r="E4197" i="14"/>
  <c r="AH4196" i="14"/>
  <c r="W4196" i="14"/>
  <c r="V4196" i="14"/>
  <c r="E4196" i="14"/>
  <c r="AH4195" i="14"/>
  <c r="W4195" i="14"/>
  <c r="V4195" i="14"/>
  <c r="E4195" i="14"/>
  <c r="AH4194" i="14"/>
  <c r="W4194" i="14"/>
  <c r="V4194" i="14"/>
  <c r="E4194" i="14"/>
  <c r="AH4193" i="14"/>
  <c r="V4193" i="14"/>
  <c r="E4193" i="14"/>
  <c r="AH4192" i="14"/>
  <c r="W4192" i="14"/>
  <c r="V4192" i="14"/>
  <c r="E4192" i="14"/>
  <c r="AH4191" i="14"/>
  <c r="V4191" i="14"/>
  <c r="E4191" i="14"/>
  <c r="AH4190" i="14"/>
  <c r="W4190" i="14"/>
  <c r="V4190" i="14"/>
  <c r="E4190" i="14"/>
  <c r="AH4189" i="14"/>
  <c r="W4189" i="14"/>
  <c r="V4189" i="14"/>
  <c r="E4189" i="14"/>
  <c r="AH4188" i="14"/>
  <c r="W4188" i="14"/>
  <c r="V4188" i="14"/>
  <c r="E4188" i="14"/>
  <c r="AH4187" i="14"/>
  <c r="W4187" i="14"/>
  <c r="V4187" i="14"/>
  <c r="E4187" i="14"/>
  <c r="AH4186" i="14"/>
  <c r="V4186" i="14"/>
  <c r="E4186" i="14"/>
  <c r="AH4185" i="14"/>
  <c r="V4185" i="14"/>
  <c r="E4185" i="14"/>
  <c r="AH4184" i="14"/>
  <c r="W4184" i="14"/>
  <c r="V4184" i="14"/>
  <c r="E4184" i="14"/>
  <c r="AH4183" i="14"/>
  <c r="V4183" i="14"/>
  <c r="E4183" i="14"/>
  <c r="AH4182" i="14"/>
  <c r="V4182" i="14"/>
  <c r="E4182" i="14"/>
  <c r="AH4181" i="14"/>
  <c r="V4181" i="14"/>
  <c r="E4181" i="14"/>
  <c r="AH4180" i="14"/>
  <c r="E4180" i="14"/>
  <c r="AH4179" i="14"/>
  <c r="V4179" i="14"/>
  <c r="E4179" i="14"/>
  <c r="AH4178" i="14"/>
  <c r="V4178" i="14"/>
  <c r="E4178" i="14"/>
  <c r="AH4177" i="14"/>
  <c r="V4177" i="14"/>
  <c r="E4177" i="14"/>
  <c r="AH4176" i="14"/>
  <c r="W4176" i="14"/>
  <c r="V4176" i="14"/>
  <c r="E4176" i="14"/>
  <c r="AH4175" i="14"/>
  <c r="V4175" i="14"/>
  <c r="E4175" i="14"/>
  <c r="AH4174" i="14"/>
  <c r="V4174" i="14"/>
  <c r="E4174" i="14"/>
  <c r="AH4173" i="14"/>
  <c r="W4173" i="14"/>
  <c r="V4173" i="14"/>
  <c r="E4173" i="14"/>
  <c r="AH4172" i="14"/>
  <c r="W4172" i="14"/>
  <c r="V4172" i="14"/>
  <c r="E4172" i="14"/>
  <c r="AH4171" i="14"/>
  <c r="W4171" i="14"/>
  <c r="V4171" i="14"/>
  <c r="E4171" i="14"/>
  <c r="AH4170" i="14"/>
  <c r="V4170" i="14"/>
  <c r="E4170" i="14"/>
  <c r="AH4169" i="14"/>
  <c r="W4169" i="14"/>
  <c r="V4169" i="14"/>
  <c r="E4169" i="14"/>
  <c r="AH4168" i="14"/>
  <c r="V4168" i="14"/>
  <c r="E4168" i="14"/>
  <c r="AH4167" i="14"/>
  <c r="V4167" i="14"/>
  <c r="E4167" i="14"/>
  <c r="AH4166" i="14"/>
  <c r="W4166" i="14"/>
  <c r="V4166" i="14"/>
  <c r="E4166" i="14"/>
  <c r="AH4165" i="14"/>
  <c r="W4165" i="14"/>
  <c r="V4165" i="14"/>
  <c r="E4165" i="14"/>
  <c r="AH4164" i="14"/>
  <c r="V4164" i="14"/>
  <c r="E4164" i="14"/>
  <c r="AH4163" i="14"/>
  <c r="V4163" i="14"/>
  <c r="E4163" i="14"/>
  <c r="AH4162" i="14"/>
  <c r="W4162" i="14"/>
  <c r="V4162" i="14"/>
  <c r="E4162" i="14"/>
  <c r="AH4161" i="14"/>
  <c r="W4161" i="14"/>
  <c r="V4161" i="14"/>
  <c r="E4161" i="14"/>
  <c r="AH4160" i="14"/>
  <c r="V4160" i="14"/>
  <c r="E4160" i="14"/>
  <c r="AH4159" i="14"/>
  <c r="V4159" i="14"/>
  <c r="E4159" i="14"/>
  <c r="AH4158" i="14"/>
  <c r="V4158" i="14"/>
  <c r="E4158" i="14"/>
  <c r="AH4157" i="14"/>
  <c r="V4157" i="14"/>
  <c r="E4157" i="14"/>
  <c r="AH4156" i="14"/>
  <c r="W4156" i="14"/>
  <c r="V4156" i="14"/>
  <c r="E4156" i="14"/>
  <c r="AH4155" i="14"/>
  <c r="W4155" i="14"/>
  <c r="V4155" i="14"/>
  <c r="E4155" i="14"/>
  <c r="AH4154" i="14"/>
  <c r="V4154" i="14"/>
  <c r="E4154" i="14"/>
  <c r="AH4153" i="14"/>
  <c r="V4153" i="14"/>
  <c r="E4153" i="14"/>
  <c r="AH4152" i="14"/>
  <c r="E4152" i="14"/>
  <c r="AH4151" i="14"/>
  <c r="W4151" i="14"/>
  <c r="V4151" i="14"/>
  <c r="E4151" i="14"/>
  <c r="AH4150" i="14"/>
  <c r="W4150" i="14"/>
  <c r="V4150" i="14"/>
  <c r="E4150" i="14"/>
  <c r="AH4149" i="14"/>
  <c r="V4149" i="14"/>
  <c r="E4149" i="14"/>
  <c r="AH4148" i="14"/>
  <c r="W4148" i="14"/>
  <c r="V4148" i="14"/>
  <c r="E4148" i="14"/>
  <c r="AH4147" i="14"/>
  <c r="W4147" i="14"/>
  <c r="V4147" i="14"/>
  <c r="E4147" i="14"/>
  <c r="AH4146" i="14"/>
  <c r="W4146" i="14"/>
  <c r="V4146" i="14"/>
  <c r="E4146" i="14"/>
  <c r="AH4145" i="14"/>
  <c r="V4145" i="14"/>
  <c r="E4145" i="14"/>
  <c r="AH4144" i="14"/>
  <c r="V4144" i="14"/>
  <c r="O4144" i="14"/>
  <c r="E4144" i="14"/>
  <c r="AH4143" i="14"/>
  <c r="V4143" i="14"/>
  <c r="E4143" i="14"/>
  <c r="AH4142" i="14"/>
  <c r="W4142" i="14"/>
  <c r="V4142" i="14"/>
  <c r="E4142" i="14"/>
  <c r="AH4141" i="14"/>
  <c r="V4141" i="14"/>
  <c r="E4141" i="14"/>
  <c r="AH4140" i="14"/>
  <c r="W4140" i="14"/>
  <c r="V4140" i="14"/>
  <c r="E4140" i="14"/>
  <c r="AH4139" i="14"/>
  <c r="W4139" i="14"/>
  <c r="V4139" i="14"/>
  <c r="E4139" i="14"/>
  <c r="AH4138" i="14"/>
  <c r="W4138" i="14"/>
  <c r="V4138" i="14"/>
  <c r="E4138" i="14"/>
  <c r="AH4137" i="14"/>
  <c r="V4137" i="14"/>
  <c r="E4137" i="14"/>
  <c r="AH4136" i="14"/>
  <c r="V4136" i="14"/>
  <c r="E4136" i="14"/>
  <c r="AH4135" i="14"/>
  <c r="V4135" i="14"/>
  <c r="E4135" i="14"/>
  <c r="AH4134" i="14"/>
  <c r="E4134" i="14"/>
  <c r="AH4133" i="14"/>
  <c r="W4133" i="14"/>
  <c r="V4133" i="14"/>
  <c r="E4133" i="14"/>
  <c r="AH4132" i="14"/>
  <c r="V4132" i="14"/>
  <c r="E4132" i="14"/>
  <c r="AH4131" i="14"/>
  <c r="V4131" i="14"/>
  <c r="E4131" i="14"/>
  <c r="AH4130" i="14"/>
  <c r="W4130" i="14"/>
  <c r="V4130" i="14"/>
  <c r="E4130" i="14"/>
  <c r="AH4129" i="14"/>
  <c r="W4129" i="14"/>
  <c r="V4129" i="14"/>
  <c r="E4129" i="14"/>
  <c r="AH4128" i="14"/>
  <c r="V4128" i="14"/>
  <c r="E4128" i="14"/>
  <c r="AH4127" i="14"/>
  <c r="V4127" i="14"/>
  <c r="E4127" i="14"/>
  <c r="AH4126" i="14"/>
  <c r="V4126" i="14"/>
  <c r="E4126" i="14"/>
  <c r="AH4125" i="14"/>
  <c r="E4125" i="14"/>
  <c r="AH4124" i="14"/>
  <c r="W4124" i="14"/>
  <c r="V4124" i="14"/>
  <c r="E4124" i="14"/>
  <c r="AH4123" i="14"/>
  <c r="V4123" i="14"/>
  <c r="E4123" i="14"/>
  <c r="AH4122" i="14"/>
  <c r="V4122" i="14"/>
  <c r="E4122" i="14"/>
  <c r="AH4121" i="14"/>
  <c r="V4121" i="14"/>
  <c r="E4121" i="14"/>
  <c r="AH4120" i="14"/>
  <c r="V4120" i="14"/>
  <c r="E4120" i="14"/>
  <c r="AH4119" i="14"/>
  <c r="W4119" i="14"/>
  <c r="V4119" i="14"/>
  <c r="E4119" i="14"/>
  <c r="AH4118" i="14"/>
  <c r="W4118" i="14"/>
  <c r="V4118" i="14"/>
  <c r="E4118" i="14"/>
  <c r="AH4117" i="14"/>
  <c r="E4117" i="14"/>
  <c r="AH4116" i="14"/>
  <c r="W4116" i="14"/>
  <c r="V4116" i="14"/>
  <c r="E4116" i="14"/>
  <c r="AH4115" i="14"/>
  <c r="V4115" i="14"/>
  <c r="O4115" i="14"/>
  <c r="E4115" i="14"/>
  <c r="AH4114" i="14"/>
  <c r="V4114" i="14"/>
  <c r="E4114" i="14"/>
  <c r="AH4113" i="14"/>
  <c r="W4113" i="14"/>
  <c r="V4113" i="14"/>
  <c r="E4113" i="14"/>
  <c r="AH4112" i="14"/>
  <c r="V4112" i="14"/>
  <c r="E4112" i="14"/>
  <c r="AH4111" i="14"/>
  <c r="W4111" i="14"/>
  <c r="V4111" i="14"/>
  <c r="E4111" i="14"/>
  <c r="AH4110" i="14"/>
  <c r="V4110" i="14"/>
  <c r="E4110" i="14"/>
  <c r="AH4109" i="14"/>
  <c r="W4109" i="14"/>
  <c r="V4109" i="14"/>
  <c r="E4109" i="14"/>
  <c r="AH4108" i="14"/>
  <c r="W4108" i="14"/>
  <c r="V4108" i="14"/>
  <c r="E4108" i="14"/>
  <c r="AH4107" i="14"/>
  <c r="W4107" i="14"/>
  <c r="V4107" i="14"/>
  <c r="E4107" i="14"/>
  <c r="AH4106" i="14"/>
  <c r="V4106" i="14"/>
  <c r="E4106" i="14"/>
  <c r="AH4105" i="14"/>
  <c r="W4105" i="14"/>
  <c r="V4105" i="14"/>
  <c r="E4105" i="14"/>
  <c r="AH4104" i="14"/>
  <c r="W4104" i="14"/>
  <c r="V4104" i="14"/>
  <c r="E4104" i="14"/>
  <c r="AH4103" i="14"/>
  <c r="W4103" i="14"/>
  <c r="V4103" i="14"/>
  <c r="E4103" i="14"/>
  <c r="AH4102" i="14"/>
  <c r="W4102" i="14"/>
  <c r="V4102" i="14"/>
  <c r="E4102" i="14"/>
  <c r="AH4101" i="14"/>
  <c r="E4101" i="14"/>
  <c r="AH4100" i="14"/>
  <c r="V4100" i="14"/>
  <c r="E4100" i="14"/>
  <c r="AH4099" i="14"/>
  <c r="W4099" i="14"/>
  <c r="V4099" i="14"/>
  <c r="E4099" i="14"/>
  <c r="AH4098" i="14"/>
  <c r="W4098" i="14"/>
  <c r="V4098" i="14"/>
  <c r="E4098" i="14"/>
  <c r="AH4097" i="14"/>
  <c r="E4097" i="14"/>
  <c r="AH4096" i="14"/>
  <c r="W4096" i="14"/>
  <c r="V4096" i="14"/>
  <c r="E4096" i="14"/>
  <c r="AH4095" i="14"/>
  <c r="V4095" i="14"/>
  <c r="E4095" i="14"/>
  <c r="AH4094" i="14"/>
  <c r="W4094" i="14"/>
  <c r="V4094" i="14"/>
  <c r="E4094" i="14"/>
  <c r="AH4093" i="14"/>
  <c r="W4093" i="14"/>
  <c r="V4093" i="14"/>
  <c r="E4093" i="14"/>
  <c r="AH4092" i="14"/>
  <c r="W4092" i="14"/>
  <c r="V4092" i="14"/>
  <c r="E4092" i="14"/>
  <c r="AH4091" i="14"/>
  <c r="V4091" i="14"/>
  <c r="E4091" i="14"/>
  <c r="AH4090" i="14"/>
  <c r="W4090" i="14"/>
  <c r="V4090" i="14"/>
  <c r="E4090" i="14"/>
  <c r="AH4089" i="14"/>
  <c r="V4089" i="14"/>
  <c r="E4089" i="14"/>
  <c r="AH4088" i="14"/>
  <c r="V4088" i="14"/>
  <c r="E4088" i="14"/>
  <c r="AH4087" i="14"/>
  <c r="W4087" i="14"/>
  <c r="V4087" i="14"/>
  <c r="E4087" i="14"/>
  <c r="AH4086" i="14"/>
  <c r="W4086" i="14"/>
  <c r="V4086" i="14"/>
  <c r="E4086" i="14"/>
  <c r="AH4085" i="14"/>
  <c r="W4085" i="14"/>
  <c r="V4085" i="14"/>
  <c r="E4085" i="14"/>
  <c r="AH4084" i="14"/>
  <c r="V4084" i="14"/>
  <c r="E4084" i="14"/>
  <c r="AH4083" i="14"/>
  <c r="V4083" i="14"/>
  <c r="E4083" i="14"/>
  <c r="AH4082" i="14"/>
  <c r="W4082" i="14"/>
  <c r="V4082" i="14"/>
  <c r="E4082" i="14"/>
  <c r="AH4081" i="14"/>
  <c r="W4081" i="14"/>
  <c r="V4081" i="14"/>
  <c r="E4081" i="14"/>
  <c r="AH4080" i="14"/>
  <c r="V4080" i="14"/>
  <c r="E4080" i="14"/>
  <c r="AH4079" i="14"/>
  <c r="V4079" i="14"/>
  <c r="E4079" i="14"/>
  <c r="AH4078" i="14"/>
  <c r="W4078" i="14"/>
  <c r="V4078" i="14"/>
  <c r="E4078" i="14"/>
  <c r="AH4077" i="14"/>
  <c r="W4077" i="14"/>
  <c r="V4077" i="14"/>
  <c r="E4077" i="14"/>
  <c r="AH4076" i="14"/>
  <c r="W4076" i="14"/>
  <c r="V4076" i="14"/>
  <c r="E4076" i="14"/>
  <c r="AH4075" i="14"/>
  <c r="W4075" i="14"/>
  <c r="V4075" i="14"/>
  <c r="E4075" i="14"/>
  <c r="AH4074" i="14"/>
  <c r="V4074" i="14"/>
  <c r="E4074" i="14"/>
  <c r="AH4073" i="14"/>
  <c r="W4073" i="14"/>
  <c r="V4073" i="14"/>
  <c r="E4073" i="14"/>
  <c r="AH4072" i="14"/>
  <c r="W4072" i="14"/>
  <c r="V4072" i="14"/>
  <c r="O4072" i="14"/>
  <c r="E4072" i="14"/>
  <c r="AH4071" i="14"/>
  <c r="W4071" i="14"/>
  <c r="V4071" i="14"/>
  <c r="O4071" i="14"/>
  <c r="E4071" i="14"/>
  <c r="AH4070" i="14"/>
  <c r="V4070" i="14"/>
  <c r="E4070" i="14"/>
  <c r="AH4069" i="14"/>
  <c r="V4069" i="14"/>
  <c r="E4069" i="14"/>
  <c r="AH4068" i="14"/>
  <c r="E4068" i="14"/>
  <c r="AH4067" i="14"/>
  <c r="W4067" i="14"/>
  <c r="V4067" i="14"/>
  <c r="E4067" i="14"/>
  <c r="AH4066" i="14"/>
  <c r="V4066" i="14"/>
  <c r="E4066" i="14"/>
  <c r="AH4065" i="14"/>
  <c r="V4065" i="14"/>
  <c r="E4065" i="14"/>
  <c r="AH4064" i="14"/>
  <c r="E4064" i="14"/>
  <c r="AH4063" i="14"/>
  <c r="V4063" i="14"/>
  <c r="E4063" i="14"/>
  <c r="AH4062" i="14"/>
  <c r="W4062" i="14"/>
  <c r="V4062" i="14"/>
  <c r="E4062" i="14"/>
  <c r="AH4061" i="14"/>
  <c r="W4061" i="14"/>
  <c r="V4061" i="14"/>
  <c r="E4061" i="14"/>
  <c r="AH4060" i="14"/>
  <c r="E4060" i="14"/>
  <c r="AH4059" i="14"/>
  <c r="W4059" i="14"/>
  <c r="V4059" i="14"/>
  <c r="E4059" i="14"/>
  <c r="AH4058" i="14"/>
  <c r="W4058" i="14"/>
  <c r="V4058" i="14"/>
  <c r="E4058" i="14"/>
  <c r="AH4057" i="14"/>
  <c r="W4057" i="14"/>
  <c r="V4057" i="14"/>
  <c r="E4057" i="14"/>
  <c r="AH4056" i="14"/>
  <c r="V4056" i="14"/>
  <c r="E4056" i="14"/>
  <c r="AH4055" i="14"/>
  <c r="E4055" i="14"/>
  <c r="AH4054" i="14"/>
  <c r="V4054" i="14"/>
  <c r="E4054" i="14"/>
  <c r="AH4053" i="14"/>
  <c r="V4053" i="14"/>
  <c r="E4053" i="14"/>
  <c r="AH4052" i="14"/>
  <c r="W4052" i="14"/>
  <c r="V4052" i="14"/>
  <c r="E4052" i="14"/>
  <c r="AH4051" i="14"/>
  <c r="V4051" i="14"/>
  <c r="E4051" i="14"/>
  <c r="AH4050" i="14"/>
  <c r="V4050" i="14"/>
  <c r="E4050" i="14"/>
  <c r="AH4049" i="14"/>
  <c r="E4049" i="14"/>
  <c r="AH4048" i="14"/>
  <c r="E4048" i="14"/>
  <c r="AH4047" i="14"/>
  <c r="W4047" i="14"/>
  <c r="V4047" i="14"/>
  <c r="E4047" i="14"/>
  <c r="AH4046" i="14"/>
  <c r="W4046" i="14"/>
  <c r="V4046" i="14"/>
  <c r="E4046" i="14"/>
  <c r="AH4045" i="14"/>
  <c r="V4045" i="14"/>
  <c r="E4045" i="14"/>
  <c r="AH4044" i="14"/>
  <c r="W4044" i="14"/>
  <c r="V4044" i="14"/>
  <c r="E4044" i="14"/>
  <c r="AH4043" i="14"/>
  <c r="W4043" i="14"/>
  <c r="V4043" i="14"/>
  <c r="E4043" i="14"/>
  <c r="AH4042" i="14"/>
  <c r="V4042" i="14"/>
  <c r="E4042" i="14"/>
  <c r="AH4041" i="14"/>
  <c r="W4041" i="14"/>
  <c r="V4041" i="14"/>
  <c r="E4041" i="14"/>
  <c r="AH4040" i="14"/>
  <c r="V4040" i="14"/>
  <c r="E4040" i="14"/>
  <c r="AH4039" i="14"/>
  <c r="W4039" i="14"/>
  <c r="V4039" i="14"/>
  <c r="E4039" i="14"/>
  <c r="AH4038" i="14"/>
  <c r="V4038" i="14"/>
  <c r="E4038" i="14"/>
  <c r="AH4037" i="14"/>
  <c r="E4037" i="14"/>
  <c r="AH4036" i="14"/>
  <c r="V4036" i="14"/>
  <c r="E4036" i="14"/>
  <c r="AH4035" i="14"/>
  <c r="W4035" i="14"/>
  <c r="V4035" i="14"/>
  <c r="E4035" i="14"/>
  <c r="AH4034" i="14"/>
  <c r="W4034" i="14"/>
  <c r="V4034" i="14"/>
  <c r="E4034" i="14"/>
  <c r="AH4033" i="14"/>
  <c r="V4033" i="14"/>
  <c r="E4033" i="14"/>
  <c r="AH4032" i="14"/>
  <c r="V4032" i="14"/>
  <c r="E4032" i="14"/>
  <c r="AH4031" i="14"/>
  <c r="W4031" i="14"/>
  <c r="V4031" i="14"/>
  <c r="E4031" i="14"/>
  <c r="AH4030" i="14"/>
  <c r="W4030" i="14"/>
  <c r="V4030" i="14"/>
  <c r="E4030" i="14"/>
  <c r="AH4029" i="14"/>
  <c r="V4029" i="14"/>
  <c r="E4029" i="14"/>
  <c r="AH4028" i="14"/>
  <c r="W4028" i="14"/>
  <c r="V4028" i="14"/>
  <c r="E4028" i="14"/>
  <c r="AH4027" i="14"/>
  <c r="V4027" i="14"/>
  <c r="E4027" i="14"/>
  <c r="AH4026" i="14"/>
  <c r="V4026" i="14"/>
  <c r="E4026" i="14"/>
  <c r="AH4025" i="14"/>
  <c r="V4025" i="14"/>
  <c r="E4025" i="14"/>
  <c r="AH4024" i="14"/>
  <c r="W4024" i="14"/>
  <c r="V4024" i="14"/>
  <c r="E4024" i="14"/>
  <c r="AH4023" i="14"/>
  <c r="W4023" i="14"/>
  <c r="V4023" i="14"/>
  <c r="E4023" i="14"/>
  <c r="AH4022" i="14"/>
  <c r="W4022" i="14"/>
  <c r="V4022" i="14"/>
  <c r="E4022" i="14"/>
  <c r="AH4021" i="14"/>
  <c r="W4021" i="14"/>
  <c r="V4021" i="14"/>
  <c r="E4021" i="14"/>
  <c r="AH4020" i="14"/>
  <c r="W4020" i="14"/>
  <c r="V4020" i="14"/>
  <c r="E4020" i="14"/>
  <c r="AH4019" i="14"/>
  <c r="V4019" i="14"/>
  <c r="O4019" i="14"/>
  <c r="E4019" i="14"/>
  <c r="AH4018" i="14"/>
  <c r="V4018" i="14"/>
  <c r="E4018" i="14"/>
  <c r="AH4017" i="14"/>
  <c r="V4017" i="14"/>
  <c r="E4017" i="14"/>
  <c r="AH4016" i="14"/>
  <c r="V4016" i="14"/>
  <c r="E4016" i="14"/>
  <c r="AH4015" i="14"/>
  <c r="E4015" i="14"/>
  <c r="AH4014" i="14"/>
  <c r="V4014" i="14"/>
  <c r="E4014" i="14"/>
  <c r="AH4013" i="14"/>
  <c r="W4013" i="14"/>
  <c r="V4013" i="14"/>
  <c r="E4013" i="14"/>
  <c r="AH4012" i="14"/>
  <c r="W4012" i="14"/>
  <c r="V4012" i="14"/>
  <c r="E4012" i="14"/>
  <c r="AH4011" i="14"/>
  <c r="V4011" i="14"/>
  <c r="E4011" i="14"/>
  <c r="AH4010" i="14"/>
  <c r="W4010" i="14"/>
  <c r="V4010" i="14"/>
  <c r="E4010" i="14"/>
  <c r="AH4009" i="14"/>
  <c r="W4009" i="14"/>
  <c r="V4009" i="14"/>
  <c r="E4009" i="14"/>
  <c r="AH4008" i="14"/>
  <c r="W4008" i="14"/>
  <c r="V4008" i="14"/>
  <c r="E4008" i="14"/>
  <c r="AH4007" i="14"/>
  <c r="W4007" i="14"/>
  <c r="V4007" i="14"/>
  <c r="E4007" i="14"/>
  <c r="AH4006" i="14"/>
  <c r="W4006" i="14"/>
  <c r="V4006" i="14"/>
  <c r="E4006" i="14"/>
  <c r="AH4005" i="14"/>
  <c r="E4005" i="14"/>
  <c r="AH4004" i="14"/>
  <c r="W4004" i="14"/>
  <c r="V4004" i="14"/>
  <c r="E4004" i="14"/>
  <c r="AH4003" i="14"/>
  <c r="V4003" i="14"/>
  <c r="E4003" i="14"/>
  <c r="AH4002" i="14"/>
  <c r="W4002" i="14"/>
  <c r="V4002" i="14"/>
  <c r="E4002" i="14"/>
  <c r="AH4001" i="14"/>
  <c r="W4001" i="14"/>
  <c r="V4001" i="14"/>
  <c r="E4001" i="14"/>
  <c r="AH4000" i="14"/>
  <c r="V4000" i="14"/>
  <c r="E4000" i="14"/>
  <c r="AH3999" i="14"/>
  <c r="V3999" i="14"/>
  <c r="E3999" i="14"/>
  <c r="AH3998" i="14"/>
  <c r="V3998" i="14"/>
  <c r="E3998" i="14"/>
  <c r="AH3997" i="14"/>
  <c r="V3997" i="14"/>
  <c r="E3997" i="14"/>
  <c r="AH3996" i="14"/>
  <c r="V3996" i="14"/>
  <c r="E3996" i="14"/>
  <c r="AH3995" i="14"/>
  <c r="E3995" i="14"/>
  <c r="AH3994" i="14"/>
  <c r="V3994" i="14"/>
  <c r="E3994" i="14"/>
  <c r="AH3993" i="14"/>
  <c r="W3993" i="14"/>
  <c r="V3993" i="14"/>
  <c r="E3993" i="14"/>
  <c r="AH3992" i="14"/>
  <c r="W3992" i="14"/>
  <c r="V3992" i="14"/>
  <c r="E3992" i="14"/>
  <c r="AH3991" i="14"/>
  <c r="E3991" i="14"/>
  <c r="AH3990" i="14"/>
  <c r="W3990" i="14"/>
  <c r="V3990" i="14"/>
  <c r="E3990" i="14"/>
  <c r="AH3989" i="14"/>
  <c r="V3989" i="14"/>
  <c r="E3989" i="14"/>
  <c r="AH3988" i="14"/>
  <c r="V3988" i="14"/>
  <c r="E3988" i="14"/>
  <c r="AH3987" i="14"/>
  <c r="V3987" i="14"/>
  <c r="E3987" i="14"/>
  <c r="AH3986" i="14"/>
  <c r="W3986" i="14"/>
  <c r="V3986" i="14"/>
  <c r="E3986" i="14"/>
  <c r="AH3985" i="14"/>
  <c r="W3985" i="14"/>
  <c r="V3985" i="14"/>
  <c r="E3985" i="14"/>
  <c r="AH3984" i="14"/>
  <c r="V3984" i="14"/>
  <c r="E3984" i="14"/>
  <c r="AH3983" i="14"/>
  <c r="E3983" i="14"/>
  <c r="AH3982" i="14"/>
  <c r="W3982" i="14"/>
  <c r="V3982" i="14"/>
  <c r="E3982" i="14"/>
  <c r="AH3981" i="14"/>
  <c r="V3981" i="14"/>
  <c r="E3981" i="14"/>
  <c r="AH3980" i="14"/>
  <c r="V3980" i="14"/>
  <c r="E3980" i="14"/>
  <c r="AH3979" i="14"/>
  <c r="V3979" i="14"/>
  <c r="E3979" i="14"/>
  <c r="AH3978" i="14"/>
  <c r="V3978" i="14"/>
  <c r="E3978" i="14"/>
  <c r="AH3977" i="14"/>
  <c r="V3977" i="14"/>
  <c r="E3977" i="14"/>
  <c r="AH3976" i="14"/>
  <c r="V3976" i="14"/>
  <c r="E3976" i="14"/>
  <c r="AH3975" i="14"/>
  <c r="V3975" i="14"/>
  <c r="E3975" i="14"/>
  <c r="AH3974" i="14"/>
  <c r="W3974" i="14"/>
  <c r="V3974" i="14"/>
  <c r="E3974" i="14"/>
  <c r="AH3973" i="14"/>
  <c r="V3973" i="14"/>
  <c r="E3973" i="14"/>
  <c r="AH3972" i="14"/>
  <c r="V3972" i="14"/>
  <c r="E3972" i="14"/>
  <c r="AH3971" i="14"/>
  <c r="V3971" i="14"/>
  <c r="E3971" i="14"/>
  <c r="AH3970" i="14"/>
  <c r="V3970" i="14"/>
  <c r="E3970" i="14"/>
  <c r="AH3969" i="14"/>
  <c r="W3969" i="14"/>
  <c r="V3969" i="14"/>
  <c r="E3969" i="14"/>
  <c r="AH3968" i="14"/>
  <c r="V3968" i="14"/>
  <c r="E3968" i="14"/>
  <c r="AH3967" i="14"/>
  <c r="V3967" i="14"/>
  <c r="E3967" i="14"/>
  <c r="AH3966" i="14"/>
  <c r="E3966" i="14"/>
  <c r="AH3965" i="14"/>
  <c r="V3965" i="14"/>
  <c r="E3965" i="14"/>
  <c r="AH3964" i="14"/>
  <c r="V3964" i="14"/>
  <c r="E3964" i="14"/>
  <c r="AH3963" i="14"/>
  <c r="V3963" i="14"/>
  <c r="E3963" i="14"/>
  <c r="AH3962" i="14"/>
  <c r="V3962" i="14"/>
  <c r="E3962" i="14"/>
  <c r="AH3961" i="14"/>
  <c r="W3961" i="14"/>
  <c r="V3961" i="14"/>
  <c r="E3961" i="14"/>
  <c r="AH3960" i="14"/>
  <c r="V3960" i="14"/>
  <c r="E3960" i="14"/>
  <c r="AH3959" i="14"/>
  <c r="E3959" i="14"/>
  <c r="AH3958" i="14"/>
  <c r="V3958" i="14"/>
  <c r="E3958" i="14"/>
  <c r="AH3957" i="14"/>
  <c r="W3957" i="14"/>
  <c r="V3957" i="14"/>
  <c r="E3957" i="14"/>
  <c r="AH3956" i="14"/>
  <c r="V3956" i="14"/>
  <c r="E3956" i="14"/>
  <c r="AH3955" i="14"/>
  <c r="V3955" i="14"/>
  <c r="E3955" i="14"/>
  <c r="AH3954" i="14"/>
  <c r="V3954" i="14"/>
  <c r="E3954" i="14"/>
  <c r="AH3953" i="14"/>
  <c r="V3953" i="14"/>
  <c r="E3953" i="14"/>
  <c r="AH3952" i="14"/>
  <c r="V3952" i="14"/>
  <c r="E3952" i="14"/>
  <c r="AH3951" i="14"/>
  <c r="V3951" i="14"/>
  <c r="E3951" i="14"/>
  <c r="AH3950" i="14"/>
  <c r="V3950" i="14"/>
  <c r="E3950" i="14"/>
  <c r="AH3949" i="14"/>
  <c r="W3949" i="14"/>
  <c r="V3949" i="14"/>
  <c r="E3949" i="14"/>
  <c r="AH3948" i="14"/>
  <c r="V3948" i="14"/>
  <c r="E3948" i="14"/>
  <c r="AH3947" i="14"/>
  <c r="V3947" i="14"/>
  <c r="E3947" i="14"/>
  <c r="AH3946" i="14"/>
  <c r="W3946" i="14"/>
  <c r="V3946" i="14"/>
  <c r="E3946" i="14"/>
  <c r="AH3945" i="14"/>
  <c r="V3945" i="14"/>
  <c r="E3945" i="14"/>
  <c r="AH3944" i="14"/>
  <c r="W3944" i="14"/>
  <c r="V3944" i="14"/>
  <c r="E3944" i="14"/>
  <c r="AH3943" i="14"/>
  <c r="V3943" i="14"/>
  <c r="E3943" i="14"/>
  <c r="AH3942" i="14"/>
  <c r="V3942" i="14"/>
  <c r="E3942" i="14"/>
  <c r="AH3941" i="14"/>
  <c r="W3941" i="14"/>
  <c r="V3941" i="14"/>
  <c r="E3941" i="14"/>
  <c r="AH3940" i="14"/>
  <c r="W3940" i="14"/>
  <c r="V3940" i="14"/>
  <c r="E3940" i="14"/>
  <c r="AH3939" i="14"/>
  <c r="V3939" i="14"/>
  <c r="E3939" i="14"/>
  <c r="AH3938" i="14"/>
  <c r="W3938" i="14"/>
  <c r="V3938" i="14"/>
  <c r="E3938" i="14"/>
  <c r="AH3937" i="14"/>
  <c r="V3937" i="14"/>
  <c r="E3937" i="14"/>
  <c r="AH3936" i="14"/>
  <c r="V3936" i="14"/>
  <c r="E3936" i="14"/>
  <c r="AH3935" i="14"/>
  <c r="V3935" i="14"/>
  <c r="E3935" i="14"/>
  <c r="AH3934" i="14"/>
  <c r="V3934" i="14"/>
  <c r="E3934" i="14"/>
  <c r="AH3933" i="14"/>
  <c r="W3933" i="14"/>
  <c r="V3933" i="14"/>
  <c r="E3933" i="14"/>
  <c r="AH3932" i="14"/>
  <c r="W3932" i="14"/>
  <c r="V3932" i="14"/>
  <c r="E3932" i="14"/>
  <c r="AH3931" i="14"/>
  <c r="W3931" i="14"/>
  <c r="V3931" i="14"/>
  <c r="E3931" i="14"/>
  <c r="AH3930" i="14"/>
  <c r="V3930" i="14"/>
  <c r="E3930" i="14"/>
  <c r="AH3929" i="14"/>
  <c r="V3929" i="14"/>
  <c r="E3929" i="14"/>
  <c r="AH3928" i="14"/>
  <c r="V3928" i="14"/>
  <c r="E3928" i="14"/>
  <c r="AH3927" i="14"/>
  <c r="V3927" i="14"/>
  <c r="E3927" i="14"/>
  <c r="AH3926" i="14"/>
  <c r="V3926" i="14"/>
  <c r="E3926" i="14"/>
  <c r="AH3925" i="14"/>
  <c r="V3925" i="14"/>
  <c r="E3925" i="14"/>
  <c r="AH3924" i="14"/>
  <c r="W3924" i="14"/>
  <c r="V3924" i="14"/>
  <c r="E3924" i="14"/>
  <c r="AH3923" i="14"/>
  <c r="V3923" i="14"/>
  <c r="E3923" i="14"/>
  <c r="AH3922" i="14"/>
  <c r="E3922" i="14"/>
  <c r="AH3921" i="14"/>
  <c r="E3921" i="14"/>
  <c r="AH3920" i="14"/>
  <c r="W3920" i="14"/>
  <c r="V3920" i="14"/>
  <c r="E3920" i="14"/>
  <c r="AH3919" i="14"/>
  <c r="V3919" i="14"/>
  <c r="E3919" i="14"/>
  <c r="AH3918" i="14"/>
  <c r="V3918" i="14"/>
  <c r="E3918" i="14"/>
  <c r="AH3917" i="14"/>
  <c r="V3917" i="14"/>
  <c r="E3917" i="14"/>
  <c r="AH3916" i="14"/>
  <c r="V3916" i="14"/>
  <c r="E3916" i="14"/>
  <c r="AH3915" i="14"/>
  <c r="V3915" i="14"/>
  <c r="E3915" i="14"/>
  <c r="AH3914" i="14"/>
  <c r="V3914" i="14"/>
  <c r="E3914" i="14"/>
  <c r="AH3913" i="14"/>
  <c r="W3913" i="14"/>
  <c r="V3913" i="14"/>
  <c r="E3913" i="14"/>
  <c r="AH3912" i="14"/>
  <c r="W3912" i="14"/>
  <c r="V3912" i="14"/>
  <c r="E3912" i="14"/>
  <c r="AH3911" i="14"/>
  <c r="W3911" i="14"/>
  <c r="V3911" i="14"/>
  <c r="E3911" i="14"/>
  <c r="AH3910" i="14"/>
  <c r="V3910" i="14"/>
  <c r="E3910" i="14"/>
  <c r="AH3909" i="14"/>
  <c r="W3909" i="14"/>
  <c r="V3909" i="14"/>
  <c r="E3909" i="14"/>
  <c r="AH3908" i="14"/>
  <c r="E3908" i="14"/>
  <c r="AH3907" i="14"/>
  <c r="V3907" i="14"/>
  <c r="E3907" i="14"/>
  <c r="AH3906" i="14"/>
  <c r="V3906" i="14"/>
  <c r="E3906" i="14"/>
  <c r="AH3905" i="14"/>
  <c r="W3905" i="14"/>
  <c r="V3905" i="14"/>
  <c r="E3905" i="14"/>
  <c r="AH3904" i="14"/>
  <c r="V3904" i="14"/>
  <c r="E3904" i="14"/>
  <c r="AH3903" i="14"/>
  <c r="V3903" i="14"/>
  <c r="E3903" i="14"/>
  <c r="AH3902" i="14"/>
  <c r="V3902" i="14"/>
  <c r="E3902" i="14"/>
  <c r="AH3901" i="14"/>
  <c r="W3901" i="14"/>
  <c r="V3901" i="14"/>
  <c r="E3901" i="14"/>
  <c r="AH3900" i="14"/>
  <c r="W3900" i="14"/>
  <c r="V3900" i="14"/>
  <c r="E3900" i="14"/>
  <c r="AH3899" i="14"/>
  <c r="V3899" i="14"/>
  <c r="E3899" i="14"/>
  <c r="AH3898" i="14"/>
  <c r="W3898" i="14"/>
  <c r="V3898" i="14"/>
  <c r="E3898" i="14"/>
  <c r="AH3897" i="14"/>
  <c r="V3897" i="14"/>
  <c r="E3897" i="14"/>
  <c r="AH3896" i="14"/>
  <c r="V3896" i="14"/>
  <c r="E3896" i="14"/>
  <c r="AH3895" i="14"/>
  <c r="E3895" i="14"/>
  <c r="AH3894" i="14"/>
  <c r="W3894" i="14"/>
  <c r="V3894" i="14"/>
  <c r="E3894" i="14"/>
  <c r="AH3893" i="14"/>
  <c r="W3893" i="14"/>
  <c r="V3893" i="14"/>
  <c r="E3893" i="14"/>
  <c r="AH3892" i="14"/>
  <c r="V3892" i="14"/>
  <c r="E3892" i="14"/>
  <c r="AH3891" i="14"/>
  <c r="W3891" i="14"/>
  <c r="V3891" i="14"/>
  <c r="E3891" i="14"/>
  <c r="AH3890" i="14"/>
  <c r="W3890" i="14"/>
  <c r="V3890" i="14"/>
  <c r="E3890" i="14"/>
  <c r="AH3889" i="14"/>
  <c r="V3889" i="14"/>
  <c r="E3889" i="14"/>
  <c r="AH3888" i="14"/>
  <c r="W3888" i="14"/>
  <c r="V3888" i="14"/>
  <c r="E3888" i="14"/>
  <c r="AH3887" i="14"/>
  <c r="W3887" i="14"/>
  <c r="V3887" i="14"/>
  <c r="E3887" i="14"/>
  <c r="AH3886" i="14"/>
  <c r="W3886" i="14"/>
  <c r="V3886" i="14"/>
  <c r="E3886" i="14"/>
  <c r="AH3885" i="14"/>
  <c r="W3885" i="14"/>
  <c r="V3885" i="14"/>
  <c r="E3885" i="14"/>
  <c r="AH3884" i="14"/>
  <c r="V3884" i="14"/>
  <c r="E3884" i="14"/>
  <c r="AH3883" i="14"/>
  <c r="V3883" i="14"/>
  <c r="E3883" i="14"/>
  <c r="AH3882" i="14"/>
  <c r="W3882" i="14"/>
  <c r="V3882" i="14"/>
  <c r="E3882" i="14"/>
  <c r="AH3881" i="14"/>
  <c r="V3881" i="14"/>
  <c r="E3881" i="14"/>
  <c r="AH3880" i="14"/>
  <c r="V3880" i="14"/>
  <c r="E3880" i="14"/>
  <c r="AH3879" i="14"/>
  <c r="V3879" i="14"/>
  <c r="E3879" i="14"/>
  <c r="AH3878" i="14"/>
  <c r="E3878" i="14"/>
  <c r="AH3877" i="14"/>
  <c r="W3877" i="14"/>
  <c r="V3877" i="14"/>
  <c r="E3877" i="14"/>
  <c r="AH3876" i="14"/>
  <c r="V3876" i="14"/>
  <c r="E3876" i="14"/>
  <c r="AH3875" i="14"/>
  <c r="V3875" i="14"/>
  <c r="E3875" i="14"/>
  <c r="AH3874" i="14"/>
  <c r="V3874" i="14"/>
  <c r="E3874" i="14"/>
  <c r="AH3873" i="14"/>
  <c r="V3873" i="14"/>
  <c r="E3873" i="14"/>
  <c r="AH3872" i="14"/>
  <c r="V3872" i="14"/>
  <c r="E3872" i="14"/>
  <c r="AH3871" i="14"/>
  <c r="V3871" i="14"/>
  <c r="E3871" i="14"/>
  <c r="AH3870" i="14"/>
  <c r="V3870" i="14"/>
  <c r="E3870" i="14"/>
  <c r="AH3869" i="14"/>
  <c r="V3869" i="14"/>
  <c r="E3869" i="14"/>
  <c r="AH3868" i="14"/>
  <c r="V3868" i="14"/>
  <c r="E3868" i="14"/>
  <c r="AH3867" i="14"/>
  <c r="W3867" i="14"/>
  <c r="V3867" i="14"/>
  <c r="E3867" i="14"/>
  <c r="AH3866" i="14"/>
  <c r="W3866" i="14"/>
  <c r="V3866" i="14"/>
  <c r="E3866" i="14"/>
  <c r="AH3865" i="14"/>
  <c r="V3865" i="14"/>
  <c r="E3865" i="14"/>
  <c r="AH3864" i="14"/>
  <c r="W3864" i="14"/>
  <c r="V3864" i="14"/>
  <c r="E3864" i="14"/>
  <c r="AH3863" i="14"/>
  <c r="W3863" i="14"/>
  <c r="V3863" i="14"/>
  <c r="E3863" i="14"/>
  <c r="AH3862" i="14"/>
  <c r="V3862" i="14"/>
  <c r="E3862" i="14"/>
  <c r="AH3861" i="14"/>
  <c r="V3861" i="14"/>
  <c r="E3861" i="14"/>
  <c r="AH3860" i="14"/>
  <c r="V3860" i="14"/>
  <c r="E3860" i="14"/>
  <c r="AH3859" i="14"/>
  <c r="W3859" i="14"/>
  <c r="V3859" i="14"/>
  <c r="E3859" i="14"/>
  <c r="AH3858" i="14"/>
  <c r="V3858" i="14"/>
  <c r="E3858" i="14"/>
  <c r="AH3857" i="14"/>
  <c r="V3857" i="14"/>
  <c r="E3857" i="14"/>
  <c r="AH3856" i="14"/>
  <c r="E3856" i="14"/>
  <c r="AH3855" i="14"/>
  <c r="E3855" i="14"/>
  <c r="AH3854" i="14"/>
  <c r="V3854" i="14"/>
  <c r="E3854" i="14"/>
  <c r="AH3853" i="14"/>
  <c r="V3853" i="14"/>
  <c r="E3853" i="14"/>
  <c r="AH3852" i="14"/>
  <c r="E3852" i="14"/>
  <c r="AH3851" i="14"/>
  <c r="V3851" i="14"/>
  <c r="E3851" i="14"/>
  <c r="AH3850" i="14"/>
  <c r="W3850" i="14"/>
  <c r="V3850" i="14"/>
  <c r="E3850" i="14"/>
  <c r="AH3849" i="14"/>
  <c r="V3849" i="14"/>
  <c r="E3849" i="14"/>
  <c r="AH3848" i="14"/>
  <c r="V3848" i="14"/>
  <c r="E3848" i="14"/>
  <c r="AH3847" i="14"/>
  <c r="E3847" i="14"/>
  <c r="AH3846" i="14"/>
  <c r="W3846" i="14"/>
  <c r="V3846" i="14"/>
  <c r="E3846" i="14"/>
  <c r="AH3845" i="14"/>
  <c r="V3845" i="14"/>
  <c r="E3845" i="14"/>
  <c r="AH3844" i="14"/>
  <c r="V3844" i="14"/>
  <c r="E3844" i="14"/>
  <c r="AH3843" i="14"/>
  <c r="W3843" i="14"/>
  <c r="V3843" i="14"/>
  <c r="E3843" i="14"/>
  <c r="AH3842" i="14"/>
  <c r="V3842" i="14"/>
  <c r="E3842" i="14"/>
  <c r="AH3841" i="14"/>
  <c r="V3841" i="14"/>
  <c r="E3841" i="14"/>
  <c r="AH3840" i="14"/>
  <c r="W3840" i="14"/>
  <c r="V3840" i="14"/>
  <c r="E3840" i="14"/>
  <c r="AH3839" i="14"/>
  <c r="V3839" i="14"/>
  <c r="E3839" i="14"/>
  <c r="AH3838" i="14"/>
  <c r="W3838" i="14"/>
  <c r="V3838" i="14"/>
  <c r="E3838" i="14"/>
  <c r="AH3837" i="14"/>
  <c r="W3837" i="14"/>
  <c r="V3837" i="14"/>
  <c r="E3837" i="14"/>
  <c r="AH3836" i="14"/>
  <c r="W3836" i="14"/>
  <c r="V3836" i="14"/>
  <c r="E3836" i="14"/>
  <c r="AH3835" i="14"/>
  <c r="W3835" i="14"/>
  <c r="V3835" i="14"/>
  <c r="E3835" i="14"/>
  <c r="AH3834" i="14"/>
  <c r="V3834" i="14"/>
  <c r="E3834" i="14"/>
  <c r="AH3833" i="14"/>
  <c r="E3833" i="14"/>
  <c r="AH3832" i="14"/>
  <c r="V3832" i="14"/>
  <c r="E3832" i="14"/>
  <c r="AH3831" i="14"/>
  <c r="W3831" i="14"/>
  <c r="V3831" i="14"/>
  <c r="E3831" i="14"/>
  <c r="AH3830" i="14"/>
  <c r="E3830" i="14"/>
  <c r="AH3829" i="14"/>
  <c r="V3829" i="14"/>
  <c r="E3829" i="14"/>
  <c r="AH3828" i="14"/>
  <c r="V3828" i="14"/>
  <c r="E3828" i="14"/>
  <c r="AH3827" i="14"/>
  <c r="W3827" i="14"/>
  <c r="V3827" i="14"/>
  <c r="E3827" i="14"/>
  <c r="AH3826" i="14"/>
  <c r="V3826" i="14"/>
  <c r="E3826" i="14"/>
  <c r="AH3825" i="14"/>
  <c r="V3825" i="14"/>
  <c r="E3825" i="14"/>
  <c r="AH3824" i="14"/>
  <c r="V3824" i="14"/>
  <c r="E3824" i="14"/>
  <c r="AH3823" i="14"/>
  <c r="V3823" i="14"/>
  <c r="E3823" i="14"/>
  <c r="AH3822" i="14"/>
  <c r="E3822" i="14"/>
  <c r="AH3821" i="14"/>
  <c r="W3821" i="14"/>
  <c r="V3821" i="14"/>
  <c r="E3821" i="14"/>
  <c r="AH3820" i="14"/>
  <c r="E3820" i="14"/>
  <c r="AH3819" i="14"/>
  <c r="V3819" i="14"/>
  <c r="E3819" i="14"/>
  <c r="AH3818" i="14"/>
  <c r="W3818" i="14"/>
  <c r="V3818" i="14"/>
  <c r="E3818" i="14"/>
  <c r="AH3817" i="14"/>
  <c r="W3817" i="14"/>
  <c r="V3817" i="14"/>
  <c r="E3817" i="14"/>
  <c r="AH3816" i="14"/>
  <c r="V3816" i="14"/>
  <c r="E3816" i="14"/>
  <c r="AH3815" i="14"/>
  <c r="V3815" i="14"/>
  <c r="E3815" i="14"/>
  <c r="AH3814" i="14"/>
  <c r="E3814" i="14"/>
  <c r="AH3813" i="14"/>
  <c r="V3813" i="14"/>
  <c r="E3813" i="14"/>
  <c r="AH3812" i="14"/>
  <c r="V3812" i="14"/>
  <c r="E3812" i="14"/>
  <c r="AH3811" i="14"/>
  <c r="V3811" i="14"/>
  <c r="E3811" i="14"/>
  <c r="AH3810" i="14"/>
  <c r="E3810" i="14"/>
  <c r="AH3809" i="14"/>
  <c r="V3809" i="14"/>
  <c r="E3809" i="14"/>
  <c r="AH3808" i="14"/>
  <c r="E3808" i="14"/>
  <c r="AH3807" i="14"/>
  <c r="E3807" i="14"/>
  <c r="AH3806" i="14"/>
  <c r="W3806" i="14"/>
  <c r="V3806" i="14"/>
  <c r="E3806" i="14"/>
  <c r="AH3805" i="14"/>
  <c r="W3805" i="14"/>
  <c r="V3805" i="14"/>
  <c r="E3805" i="14"/>
  <c r="AH3804" i="14"/>
  <c r="W3804" i="14"/>
  <c r="V3804" i="14"/>
  <c r="E3804" i="14"/>
  <c r="AH3803" i="14"/>
  <c r="W3803" i="14"/>
  <c r="V3803" i="14"/>
  <c r="E3803" i="14"/>
  <c r="AH3802" i="14"/>
  <c r="W3802" i="14"/>
  <c r="V3802" i="14"/>
  <c r="E3802" i="14"/>
  <c r="AH3801" i="14"/>
  <c r="W3801" i="14"/>
  <c r="V3801" i="14"/>
  <c r="E3801" i="14"/>
  <c r="AH3800" i="14"/>
  <c r="W3800" i="14"/>
  <c r="V3800" i="14"/>
  <c r="E3800" i="14"/>
  <c r="AH3799" i="14"/>
  <c r="V3799" i="14"/>
  <c r="E3799" i="14"/>
  <c r="AH3798" i="14"/>
  <c r="E3798" i="14"/>
  <c r="AH3797" i="14"/>
  <c r="V3797" i="14"/>
  <c r="O3797" i="14"/>
  <c r="E3797" i="14"/>
  <c r="AH3796" i="14"/>
  <c r="V3796" i="14"/>
  <c r="E3796" i="14"/>
  <c r="AH3795" i="14"/>
  <c r="V3795" i="14"/>
  <c r="E3795" i="14"/>
  <c r="AH3794" i="14"/>
  <c r="E3794" i="14"/>
  <c r="AH3793" i="14"/>
  <c r="W3793" i="14"/>
  <c r="V3793" i="14"/>
  <c r="E3793" i="14"/>
  <c r="AH3792" i="14"/>
  <c r="V3792" i="14"/>
  <c r="E3792" i="14"/>
  <c r="AH3791" i="14"/>
  <c r="E3791" i="14"/>
  <c r="AH3790" i="14"/>
  <c r="V3790" i="14"/>
  <c r="E3790" i="14"/>
  <c r="AH3789" i="14"/>
  <c r="V3789" i="14"/>
  <c r="E3789" i="14"/>
  <c r="AH3788" i="14"/>
  <c r="V3788" i="14"/>
  <c r="E3788" i="14"/>
  <c r="AH3787" i="14"/>
  <c r="W3787" i="14"/>
  <c r="V3787" i="14"/>
  <c r="E3787" i="14"/>
  <c r="AH3786" i="14"/>
  <c r="V3786" i="14"/>
  <c r="E3786" i="14"/>
  <c r="AH3785" i="14"/>
  <c r="W3785" i="14"/>
  <c r="V3785" i="14"/>
  <c r="E3785" i="14"/>
  <c r="AH3784" i="14"/>
  <c r="V3784" i="14"/>
  <c r="E3784" i="14"/>
  <c r="AH3783" i="14"/>
  <c r="V3783" i="14"/>
  <c r="E3783" i="14"/>
  <c r="AH3782" i="14"/>
  <c r="V3782" i="14"/>
  <c r="E3782" i="14"/>
  <c r="AH3781" i="14"/>
  <c r="V3781" i="14"/>
  <c r="E3781" i="14"/>
  <c r="AH3780" i="14"/>
  <c r="V3780" i="14"/>
  <c r="E3780" i="14"/>
  <c r="AH3779" i="14"/>
  <c r="V3779" i="14"/>
  <c r="E3779" i="14"/>
  <c r="AH3778" i="14"/>
  <c r="W3778" i="14"/>
  <c r="V3778" i="14"/>
  <c r="E3778" i="14"/>
  <c r="AH3777" i="14"/>
  <c r="W3777" i="14"/>
  <c r="V3777" i="14"/>
  <c r="E3777" i="14"/>
  <c r="AH3776" i="14"/>
  <c r="V3776" i="14"/>
  <c r="E3776" i="14"/>
  <c r="AH3775" i="14"/>
  <c r="V3775" i="14"/>
  <c r="E3775" i="14"/>
  <c r="AH3774" i="14"/>
  <c r="V3774" i="14"/>
  <c r="E3774" i="14"/>
  <c r="AH3773" i="14"/>
  <c r="W3773" i="14"/>
  <c r="V3773" i="14"/>
  <c r="E3773" i="14"/>
  <c r="AH3772" i="14"/>
  <c r="W3772" i="14"/>
  <c r="V3772" i="14"/>
  <c r="E3772" i="14"/>
  <c r="AH3771" i="14"/>
  <c r="V3771" i="14"/>
  <c r="E3771" i="14"/>
  <c r="AH3770" i="14"/>
  <c r="E3770" i="14"/>
  <c r="AH3769" i="14"/>
  <c r="W3769" i="14"/>
  <c r="V3769" i="14"/>
  <c r="E3769" i="14"/>
  <c r="AH3768" i="14"/>
  <c r="W3768" i="14"/>
  <c r="V3768" i="14"/>
  <c r="E3768" i="14"/>
  <c r="AH3767" i="14"/>
  <c r="V3767" i="14"/>
  <c r="E3767" i="14"/>
  <c r="AH3766" i="14"/>
  <c r="E3766" i="14"/>
  <c r="AH3765" i="14"/>
  <c r="W3765" i="14"/>
  <c r="V3765" i="14"/>
  <c r="E3765" i="14"/>
  <c r="AH3764" i="14"/>
  <c r="V3764" i="14"/>
  <c r="E3764" i="14"/>
  <c r="AH3763" i="14"/>
  <c r="W3763" i="14"/>
  <c r="V3763" i="14"/>
  <c r="E3763" i="14"/>
  <c r="AH3762" i="14"/>
  <c r="V3762" i="14"/>
  <c r="E3762" i="14"/>
  <c r="AH3761" i="14"/>
  <c r="V3761" i="14"/>
  <c r="E3761" i="14"/>
  <c r="AH3760" i="14"/>
  <c r="W3760" i="14"/>
  <c r="V3760" i="14"/>
  <c r="E3760" i="14"/>
  <c r="AH3759" i="14"/>
  <c r="V3759" i="14"/>
  <c r="E3759" i="14"/>
  <c r="AH3758" i="14"/>
  <c r="W3758" i="14"/>
  <c r="V3758" i="14"/>
  <c r="E3758" i="14"/>
  <c r="AH3757" i="14"/>
  <c r="W3757" i="14"/>
  <c r="V3757" i="14"/>
  <c r="E3757" i="14"/>
  <c r="AH3756" i="14"/>
  <c r="W3756" i="14"/>
  <c r="V3756" i="14"/>
  <c r="E3756" i="14"/>
  <c r="AH3755" i="14"/>
  <c r="V3755" i="14"/>
  <c r="E3755" i="14"/>
  <c r="AH3754" i="14"/>
  <c r="W3754" i="14"/>
  <c r="V3754" i="14"/>
  <c r="E3754" i="14"/>
  <c r="AH3753" i="14"/>
  <c r="V3753" i="14"/>
  <c r="E3753" i="14"/>
  <c r="AH3752" i="14"/>
  <c r="V3752" i="14"/>
  <c r="E3752" i="14"/>
  <c r="AH3751" i="14"/>
  <c r="V3751" i="14"/>
  <c r="E3751" i="14"/>
  <c r="AH3750" i="14"/>
  <c r="W3750" i="14"/>
  <c r="V3750" i="14"/>
  <c r="E3750" i="14"/>
  <c r="AH3749" i="14"/>
  <c r="V3749" i="14"/>
  <c r="E3749" i="14"/>
  <c r="AH3748" i="14"/>
  <c r="W3748" i="14"/>
  <c r="V3748" i="14"/>
  <c r="E3748" i="14"/>
  <c r="AH3747" i="14"/>
  <c r="V3747" i="14"/>
  <c r="E3747" i="14"/>
  <c r="AH3746" i="14"/>
  <c r="V3746" i="14"/>
  <c r="E3746" i="14"/>
  <c r="AH3745" i="14"/>
  <c r="V3745" i="14"/>
  <c r="E3745" i="14"/>
  <c r="AH3744" i="14"/>
  <c r="V3744" i="14"/>
  <c r="E3744" i="14"/>
  <c r="AH3743" i="14"/>
  <c r="V3743" i="14"/>
  <c r="E3743" i="14"/>
  <c r="AH3742" i="14"/>
  <c r="W3742" i="14"/>
  <c r="V3742" i="14"/>
  <c r="E3742" i="14"/>
  <c r="AH3741" i="14"/>
  <c r="V3741" i="14"/>
  <c r="E3741" i="14"/>
  <c r="AH3740" i="14"/>
  <c r="V3740" i="14"/>
  <c r="E3740" i="14"/>
  <c r="AH3739" i="14"/>
  <c r="V3739" i="14"/>
  <c r="E3739" i="14"/>
  <c r="AH3738" i="14"/>
  <c r="E3738" i="14"/>
  <c r="AH3737" i="14"/>
  <c r="V3737" i="14"/>
  <c r="E3737" i="14"/>
  <c r="AH3736" i="14"/>
  <c r="W3736" i="14"/>
  <c r="V3736" i="14"/>
  <c r="E3736" i="14"/>
  <c r="AH3735" i="14"/>
  <c r="W3735" i="14"/>
  <c r="V3735" i="14"/>
  <c r="E3735" i="14"/>
  <c r="AH3734" i="14"/>
  <c r="W3734" i="14"/>
  <c r="V3734" i="14"/>
  <c r="E3734" i="14"/>
  <c r="AH3733" i="14"/>
  <c r="W3733" i="14"/>
  <c r="V3733" i="14"/>
  <c r="E3733" i="14"/>
  <c r="AH3732" i="14"/>
  <c r="W3732" i="14"/>
  <c r="V3732" i="14"/>
  <c r="E3732" i="14"/>
  <c r="AH3731" i="14"/>
  <c r="W3731" i="14"/>
  <c r="V3731" i="14"/>
  <c r="E3731" i="14"/>
  <c r="AH3730" i="14"/>
  <c r="E3730" i="14"/>
  <c r="AH3729" i="14"/>
  <c r="V3729" i="14"/>
  <c r="E3729" i="14"/>
  <c r="AH3728" i="14"/>
  <c r="V3728" i="14"/>
  <c r="E3728" i="14"/>
  <c r="AH3727" i="14"/>
  <c r="V3727" i="14"/>
  <c r="E3727" i="14"/>
  <c r="AH3726" i="14"/>
  <c r="W3726" i="14"/>
  <c r="V3726" i="14"/>
  <c r="E3726" i="14"/>
  <c r="AH3725" i="14"/>
  <c r="V3725" i="14"/>
  <c r="E3725" i="14"/>
  <c r="AH3724" i="14"/>
  <c r="V3724" i="14"/>
  <c r="E3724" i="14"/>
  <c r="AH3723" i="14"/>
  <c r="V3723" i="14"/>
  <c r="E3723" i="14"/>
  <c r="AH3722" i="14"/>
  <c r="V3722" i="14"/>
  <c r="E3722" i="14"/>
  <c r="AH3721" i="14"/>
  <c r="W3721" i="14"/>
  <c r="V3721" i="14"/>
  <c r="E3721" i="14"/>
  <c r="AH3720" i="14"/>
  <c r="V3720" i="14"/>
  <c r="E3720" i="14"/>
  <c r="AH3719" i="14"/>
  <c r="V3719" i="14"/>
  <c r="E3719" i="14"/>
  <c r="AH3718" i="14"/>
  <c r="V3718" i="14"/>
  <c r="E3718" i="14"/>
  <c r="AH3717" i="14"/>
  <c r="V3717" i="14"/>
  <c r="E3717" i="14"/>
  <c r="AH3716" i="14"/>
  <c r="V3716" i="14"/>
  <c r="E3716" i="14"/>
  <c r="AH3715" i="14"/>
  <c r="V3715" i="14"/>
  <c r="E3715" i="14"/>
  <c r="AH3714" i="14"/>
  <c r="W3714" i="14"/>
  <c r="V3714" i="14"/>
  <c r="E3714" i="14"/>
  <c r="AH3713" i="14"/>
  <c r="W3713" i="14"/>
  <c r="V3713" i="14"/>
  <c r="E3713" i="14"/>
  <c r="AH3712" i="14"/>
  <c r="E3712" i="14"/>
  <c r="AH3711" i="14"/>
  <c r="E3711" i="14"/>
  <c r="AH3710" i="14"/>
  <c r="E3710" i="14"/>
  <c r="AH3709" i="14"/>
  <c r="V3709" i="14"/>
  <c r="E3709" i="14"/>
  <c r="AH3708" i="14"/>
  <c r="V3708" i="14"/>
  <c r="E3708" i="14"/>
  <c r="AH3707" i="14"/>
  <c r="W3707" i="14"/>
  <c r="V3707" i="14"/>
  <c r="E3707" i="14"/>
  <c r="AH3706" i="14"/>
  <c r="V3706" i="14"/>
  <c r="E3706" i="14"/>
  <c r="AH3705" i="14"/>
  <c r="V3705" i="14"/>
  <c r="E3705" i="14"/>
  <c r="AH3704" i="14"/>
  <c r="E3704" i="14"/>
  <c r="AH3703" i="14"/>
  <c r="W3703" i="14"/>
  <c r="V3703" i="14"/>
  <c r="E3703" i="14"/>
  <c r="AH3702" i="14"/>
  <c r="V3702" i="14"/>
  <c r="E3702" i="14"/>
  <c r="AH3701" i="14"/>
  <c r="E3701" i="14"/>
  <c r="AH3700" i="14"/>
  <c r="V3700" i="14"/>
  <c r="E3700" i="14"/>
  <c r="AH3699" i="14"/>
  <c r="V3699" i="14"/>
  <c r="E3699" i="14"/>
  <c r="AH3698" i="14"/>
  <c r="V3698" i="14"/>
  <c r="E3698" i="14"/>
  <c r="AH3697" i="14"/>
  <c r="V3697" i="14"/>
  <c r="E3697" i="14"/>
  <c r="AH3696" i="14"/>
  <c r="W3696" i="14"/>
  <c r="V3696" i="14"/>
  <c r="E3696" i="14"/>
  <c r="AH3695" i="14"/>
  <c r="V3695" i="14"/>
  <c r="E3695" i="14"/>
  <c r="AH3694" i="14"/>
  <c r="V3694" i="14"/>
  <c r="E3694" i="14"/>
  <c r="AH3693" i="14"/>
  <c r="V3693" i="14"/>
  <c r="E3693" i="14"/>
  <c r="AH3692" i="14"/>
  <c r="E3692" i="14"/>
  <c r="AH3691" i="14"/>
  <c r="V3691" i="14"/>
  <c r="E3691" i="14"/>
  <c r="AH3690" i="14"/>
  <c r="V3690" i="14"/>
  <c r="E3690" i="14"/>
  <c r="AH3689" i="14"/>
  <c r="W3689" i="14"/>
  <c r="V3689" i="14"/>
  <c r="E3689" i="14"/>
  <c r="AH3688" i="14"/>
  <c r="W3688" i="14"/>
  <c r="V3688" i="14"/>
  <c r="E3688" i="14"/>
  <c r="AH3687" i="14"/>
  <c r="V3687" i="14"/>
  <c r="E3687" i="14"/>
  <c r="AH3686" i="14"/>
  <c r="V3686" i="14"/>
  <c r="E3686" i="14"/>
  <c r="AH3685" i="14"/>
  <c r="E3685" i="14"/>
  <c r="AH3684" i="14"/>
  <c r="V3684" i="14"/>
  <c r="E3684" i="14"/>
  <c r="AH3683" i="14"/>
  <c r="W3683" i="14"/>
  <c r="V3683" i="14"/>
  <c r="E3683" i="14"/>
  <c r="AH3682" i="14"/>
  <c r="V3682" i="14"/>
  <c r="E3682" i="14"/>
  <c r="AH3681" i="14"/>
  <c r="V3681" i="14"/>
  <c r="E3681" i="14"/>
  <c r="AH3680" i="14"/>
  <c r="V3680" i="14"/>
  <c r="E3680" i="14"/>
  <c r="AH3679" i="14"/>
  <c r="E3679" i="14"/>
  <c r="AH3678" i="14"/>
  <c r="V3678" i="14"/>
  <c r="E3678" i="14"/>
  <c r="AH3677" i="14"/>
  <c r="V3677" i="14"/>
  <c r="E3677" i="14"/>
  <c r="AH3676" i="14"/>
  <c r="V3676" i="14"/>
  <c r="E3676" i="14"/>
  <c r="AH3675" i="14"/>
  <c r="V3675" i="14"/>
  <c r="E3675" i="14"/>
  <c r="AH3674" i="14"/>
  <c r="V3674" i="14"/>
  <c r="E3674" i="14"/>
  <c r="AH3673" i="14"/>
  <c r="V3673" i="14"/>
  <c r="E3673" i="14"/>
  <c r="AH3672" i="14"/>
  <c r="W3672" i="14"/>
  <c r="V3672" i="14"/>
  <c r="E3672" i="14"/>
  <c r="AH3671" i="14"/>
  <c r="V3671" i="14"/>
  <c r="E3671" i="14"/>
  <c r="AH3670" i="14"/>
  <c r="V3670" i="14"/>
  <c r="E3670" i="14"/>
  <c r="AH3669" i="14"/>
  <c r="V3669" i="14"/>
  <c r="E3669" i="14"/>
  <c r="AH3668" i="14"/>
  <c r="V3668" i="14"/>
  <c r="E3668" i="14"/>
  <c r="AH3667" i="14"/>
  <c r="W3667" i="14"/>
  <c r="V3667" i="14"/>
  <c r="E3667" i="14"/>
  <c r="AH3666" i="14"/>
  <c r="V3666" i="14"/>
  <c r="E3666" i="14"/>
  <c r="AH3665" i="14"/>
  <c r="V3665" i="14"/>
  <c r="E3665" i="14"/>
  <c r="AH3664" i="14"/>
  <c r="W3664" i="14"/>
  <c r="V3664" i="14"/>
  <c r="E3664" i="14"/>
  <c r="AH3663" i="14"/>
  <c r="V3663" i="14"/>
  <c r="E3663" i="14"/>
  <c r="AH3662" i="14"/>
  <c r="V3662" i="14"/>
  <c r="E3662" i="14"/>
  <c r="AH3661" i="14"/>
  <c r="W3661" i="14"/>
  <c r="V3661" i="14"/>
  <c r="E3661" i="14"/>
  <c r="AH3660" i="14"/>
  <c r="E3660" i="14"/>
  <c r="AH3659" i="14"/>
  <c r="V3659" i="14"/>
  <c r="E3659" i="14"/>
  <c r="AH3658" i="14"/>
  <c r="V3658" i="14"/>
  <c r="E3658" i="14"/>
  <c r="AH3657" i="14"/>
  <c r="W3657" i="14"/>
  <c r="V3657" i="14"/>
  <c r="E3657" i="14"/>
  <c r="AH3656" i="14"/>
  <c r="V3656" i="14"/>
  <c r="E3656" i="14"/>
  <c r="AH3655" i="14"/>
  <c r="V3655" i="14"/>
  <c r="E3655" i="14"/>
  <c r="AH3654" i="14"/>
  <c r="V3654" i="14"/>
  <c r="E3654" i="14"/>
  <c r="AH3653" i="14"/>
  <c r="W3653" i="14"/>
  <c r="V3653" i="14"/>
  <c r="E3653" i="14"/>
  <c r="AH3652" i="14"/>
  <c r="V3652" i="14"/>
  <c r="E3652" i="14"/>
  <c r="AH3651" i="14"/>
  <c r="W3651" i="14"/>
  <c r="V3651" i="14"/>
  <c r="E3651" i="14"/>
  <c r="AH3650" i="14"/>
  <c r="V3650" i="14"/>
  <c r="E3650" i="14"/>
  <c r="AH3649" i="14"/>
  <c r="W3649" i="14"/>
  <c r="V3649" i="14"/>
  <c r="E3649" i="14"/>
  <c r="AH3648" i="14"/>
  <c r="V3648" i="14"/>
  <c r="E3648" i="14"/>
  <c r="AH3647" i="14"/>
  <c r="W3647" i="14"/>
  <c r="V3647" i="14"/>
  <c r="E3647" i="14"/>
  <c r="AH3646" i="14"/>
  <c r="V3646" i="14"/>
  <c r="E3646" i="14"/>
  <c r="AH3645" i="14"/>
  <c r="V3645" i="14"/>
  <c r="E3645" i="14"/>
  <c r="AH3644" i="14"/>
  <c r="W3644" i="14"/>
  <c r="V3644" i="14"/>
  <c r="E3644" i="14"/>
  <c r="AH3643" i="14"/>
  <c r="V3643" i="14"/>
  <c r="E3643" i="14"/>
  <c r="AH3642" i="14"/>
  <c r="V3642" i="14"/>
  <c r="E3642" i="14"/>
  <c r="AH3641" i="14"/>
  <c r="W3641" i="14"/>
  <c r="V3641" i="14"/>
  <c r="E3641" i="14"/>
  <c r="AH3640" i="14"/>
  <c r="W3640" i="14"/>
  <c r="V3640" i="14"/>
  <c r="E3640" i="14"/>
  <c r="AH3639" i="14"/>
  <c r="V3639" i="14"/>
  <c r="E3639" i="14"/>
  <c r="AH3638" i="14"/>
  <c r="V3638" i="14"/>
  <c r="E3638" i="14"/>
  <c r="AH3637" i="14"/>
  <c r="V3637" i="14"/>
  <c r="E3637" i="14"/>
  <c r="AH3636" i="14"/>
  <c r="V3636" i="14"/>
  <c r="E3636" i="14"/>
  <c r="AH3635" i="14"/>
  <c r="V3635" i="14"/>
  <c r="E3635" i="14"/>
  <c r="AH3634" i="14"/>
  <c r="V3634" i="14"/>
  <c r="E3634" i="14"/>
  <c r="AH3633" i="14"/>
  <c r="V3633" i="14"/>
  <c r="E3633" i="14"/>
  <c r="AH3632" i="14"/>
  <c r="W3632" i="14"/>
  <c r="V3632" i="14"/>
  <c r="E3632" i="14"/>
  <c r="AH3631" i="14"/>
  <c r="W3631" i="14"/>
  <c r="V3631" i="14"/>
  <c r="E3631" i="14"/>
  <c r="AH3630" i="14"/>
  <c r="V3630" i="14"/>
  <c r="E3630" i="14"/>
  <c r="AH3629" i="14"/>
  <c r="E3629" i="14"/>
  <c r="AH3628" i="14"/>
  <c r="V3628" i="14"/>
  <c r="E3628" i="14"/>
  <c r="AH3627" i="14"/>
  <c r="W3627" i="14"/>
  <c r="V3627" i="14"/>
  <c r="E3627" i="14"/>
  <c r="AH3626" i="14"/>
  <c r="W3626" i="14"/>
  <c r="V3626" i="14"/>
  <c r="E3626" i="14"/>
  <c r="AH3625" i="14"/>
  <c r="V3625" i="14"/>
  <c r="E3625" i="14"/>
  <c r="AH3624" i="14"/>
  <c r="V3624" i="14"/>
  <c r="E3624" i="14"/>
  <c r="AH3623" i="14"/>
  <c r="W3623" i="14"/>
  <c r="V3623" i="14"/>
  <c r="E3623" i="14"/>
  <c r="AH3622" i="14"/>
  <c r="V3622" i="14"/>
  <c r="O3622" i="14"/>
  <c r="E3622" i="14"/>
  <c r="AH3621" i="14"/>
  <c r="V3621" i="14"/>
  <c r="O3621" i="14"/>
  <c r="E3621" i="14"/>
  <c r="AH3620" i="14"/>
  <c r="W3620" i="14"/>
  <c r="V3620" i="14"/>
  <c r="O3620" i="14"/>
  <c r="E3620" i="14"/>
  <c r="AH3619" i="14"/>
  <c r="W3619" i="14"/>
  <c r="V3619" i="14"/>
  <c r="E3619" i="14"/>
  <c r="AH3618" i="14"/>
  <c r="V3618" i="14"/>
  <c r="E3618" i="14"/>
  <c r="AH3617" i="14"/>
  <c r="V3617" i="14"/>
  <c r="E3617" i="14"/>
  <c r="AH3616" i="14"/>
  <c r="V3616" i="14"/>
  <c r="E3616" i="14"/>
  <c r="AH3615" i="14"/>
  <c r="V3615" i="14"/>
  <c r="E3615" i="14"/>
  <c r="AH3614" i="14"/>
  <c r="V3614" i="14"/>
  <c r="E3614" i="14"/>
  <c r="AH3613" i="14"/>
  <c r="E3613" i="14"/>
  <c r="AH3612" i="14"/>
  <c r="V3612" i="14"/>
  <c r="E3612" i="14"/>
  <c r="AH3611" i="14"/>
  <c r="V3611" i="14"/>
  <c r="E3611" i="14"/>
  <c r="AH3610" i="14"/>
  <c r="V3610" i="14"/>
  <c r="E3610" i="14"/>
  <c r="AH3609" i="14"/>
  <c r="E3609" i="14"/>
  <c r="AH3608" i="14"/>
  <c r="V3608" i="14"/>
  <c r="E3608" i="14"/>
  <c r="AH3607" i="14"/>
  <c r="E3607" i="14"/>
  <c r="AH3606" i="14"/>
  <c r="E3606" i="14"/>
  <c r="AH3605" i="14"/>
  <c r="E3605" i="14"/>
  <c r="AH3604" i="14"/>
  <c r="V3604" i="14"/>
  <c r="O3604" i="14"/>
  <c r="E3604" i="14"/>
  <c r="AH3603" i="14"/>
  <c r="W3603" i="14"/>
  <c r="V3603" i="14"/>
  <c r="O3603" i="14"/>
  <c r="E3603" i="14"/>
  <c r="AH3602" i="14"/>
  <c r="V3602" i="14"/>
  <c r="E3602" i="14"/>
  <c r="AH3601" i="14"/>
  <c r="V3601" i="14"/>
  <c r="E3601" i="14"/>
  <c r="AH3600" i="14"/>
  <c r="W3600" i="14"/>
  <c r="V3600" i="14"/>
  <c r="E3600" i="14"/>
  <c r="AH3599" i="14"/>
  <c r="W3599" i="14"/>
  <c r="V3599" i="14"/>
  <c r="E3599" i="14"/>
  <c r="AH3598" i="14"/>
  <c r="V3598" i="14"/>
  <c r="E3598" i="14"/>
  <c r="AH3597" i="14"/>
  <c r="W3597" i="14"/>
  <c r="V3597" i="14"/>
  <c r="E3597" i="14"/>
  <c r="AH3596" i="14"/>
  <c r="W3596" i="14"/>
  <c r="V3596" i="14"/>
  <c r="E3596" i="14"/>
  <c r="AH3595" i="14"/>
  <c r="V3595" i="14"/>
  <c r="E3595" i="14"/>
  <c r="AH3594" i="14"/>
  <c r="V3594" i="14"/>
  <c r="E3594" i="14"/>
  <c r="AH3593" i="14"/>
  <c r="V3593" i="14"/>
  <c r="E3593" i="14"/>
  <c r="AH3592" i="14"/>
  <c r="W3592" i="14"/>
  <c r="V3592" i="14"/>
  <c r="E3592" i="14"/>
  <c r="AH3591" i="14"/>
  <c r="W3591" i="14"/>
  <c r="V3591" i="14"/>
  <c r="E3591" i="14"/>
  <c r="AH3590" i="14"/>
  <c r="W3590" i="14"/>
  <c r="V3590" i="14"/>
  <c r="E3590" i="14"/>
  <c r="AH3589" i="14"/>
  <c r="V3589" i="14"/>
  <c r="E3589" i="14"/>
  <c r="AH3588" i="14"/>
  <c r="V3588" i="14"/>
  <c r="E3588" i="14"/>
  <c r="AH3587" i="14"/>
  <c r="V3587" i="14"/>
  <c r="E3587" i="14"/>
  <c r="AH3586" i="14"/>
  <c r="V3586" i="14"/>
  <c r="E3586" i="14"/>
  <c r="AH3585" i="14"/>
  <c r="V3585" i="14"/>
  <c r="E3585" i="14"/>
  <c r="AH3584" i="14"/>
  <c r="E3584" i="14"/>
  <c r="AH3583" i="14"/>
  <c r="W3583" i="14"/>
  <c r="V3583" i="14"/>
  <c r="E3583" i="14"/>
  <c r="AH3582" i="14"/>
  <c r="V3582" i="14"/>
  <c r="E3582" i="14"/>
  <c r="AH3581" i="14"/>
  <c r="W3581" i="14"/>
  <c r="V3581" i="14"/>
  <c r="O3581" i="14"/>
  <c r="E3581" i="14"/>
  <c r="AH3580" i="14"/>
  <c r="V3580" i="14"/>
  <c r="E3580" i="14"/>
  <c r="AH3579" i="14"/>
  <c r="W3579" i="14"/>
  <c r="V3579" i="14"/>
  <c r="E3579" i="14"/>
  <c r="AH3578" i="14"/>
  <c r="V3578" i="14"/>
  <c r="E3578" i="14"/>
  <c r="AH3577" i="14"/>
  <c r="V3577" i="14"/>
  <c r="E3577" i="14"/>
  <c r="AH3576" i="14"/>
  <c r="W3576" i="14"/>
  <c r="V3576" i="14"/>
  <c r="E3576" i="14"/>
  <c r="AH3575" i="14"/>
  <c r="V3575" i="14"/>
  <c r="E3575" i="14"/>
  <c r="AH3574" i="14"/>
  <c r="V3574" i="14"/>
  <c r="E3574" i="14"/>
  <c r="AH3573" i="14"/>
  <c r="V3573" i="14"/>
  <c r="E3573" i="14"/>
  <c r="AH3572" i="14"/>
  <c r="W3572" i="14"/>
  <c r="V3572" i="14"/>
  <c r="E3572" i="14"/>
  <c r="AH3571" i="14"/>
  <c r="W3571" i="14"/>
  <c r="V3571" i="14"/>
  <c r="E3571" i="14"/>
  <c r="AH3570" i="14"/>
  <c r="V3570" i="14"/>
  <c r="E3570" i="14"/>
  <c r="AH3569" i="14"/>
  <c r="V3569" i="14"/>
  <c r="E3569" i="14"/>
  <c r="AH3568" i="14"/>
  <c r="W3568" i="14"/>
  <c r="V3568" i="14"/>
  <c r="E3568" i="14"/>
  <c r="AH3567" i="14"/>
  <c r="E3567" i="14"/>
  <c r="AH3566" i="14"/>
  <c r="V3566" i="14"/>
  <c r="O3566" i="14"/>
  <c r="E3566" i="14"/>
  <c r="AH3565" i="14"/>
  <c r="V3565" i="14"/>
  <c r="E3565" i="14"/>
  <c r="AH3564" i="14"/>
  <c r="V3564" i="14"/>
  <c r="E3564" i="14"/>
  <c r="AH3563" i="14"/>
  <c r="V3563" i="14"/>
  <c r="E3563" i="14"/>
  <c r="AH3562" i="14"/>
  <c r="W3562" i="14"/>
  <c r="V3562" i="14"/>
  <c r="E3562" i="14"/>
  <c r="AH3561" i="14"/>
  <c r="V3561" i="14"/>
  <c r="E3561" i="14"/>
  <c r="AH3560" i="14"/>
  <c r="W3560" i="14"/>
  <c r="V3560" i="14"/>
  <c r="E3560" i="14"/>
  <c r="AH3559" i="14"/>
  <c r="E3559" i="14"/>
  <c r="AH3558" i="14"/>
  <c r="V3558" i="14"/>
  <c r="E3558" i="14"/>
  <c r="AH3557" i="14"/>
  <c r="V3557" i="14"/>
  <c r="E3557" i="14"/>
  <c r="AH3556" i="14"/>
  <c r="W3556" i="14"/>
  <c r="V3556" i="14"/>
  <c r="E3556" i="14"/>
  <c r="AH3555" i="14"/>
  <c r="V3555" i="14"/>
  <c r="E3555" i="14"/>
  <c r="AH3554" i="14"/>
  <c r="E3554" i="14"/>
  <c r="AH3553" i="14"/>
  <c r="W3553" i="14"/>
  <c r="V3553" i="14"/>
  <c r="E3553" i="14"/>
  <c r="AH3552" i="14"/>
  <c r="V3552" i="14"/>
  <c r="O3552" i="14"/>
  <c r="E3552" i="14"/>
  <c r="AH3551" i="14"/>
  <c r="V3551" i="14"/>
  <c r="E3551" i="14"/>
  <c r="AH3550" i="14"/>
  <c r="W3550" i="14"/>
  <c r="V3550" i="14"/>
  <c r="E3550" i="14"/>
  <c r="AH3549" i="14"/>
  <c r="V3549" i="14"/>
  <c r="E3549" i="14"/>
  <c r="AH3548" i="14"/>
  <c r="W3548" i="14"/>
  <c r="V3548" i="14"/>
  <c r="E3548" i="14"/>
  <c r="AH3547" i="14"/>
  <c r="W3547" i="14"/>
  <c r="V3547" i="14"/>
  <c r="E3547" i="14"/>
  <c r="AH3546" i="14"/>
  <c r="V3546" i="14"/>
  <c r="E3546" i="14"/>
  <c r="AH3545" i="14"/>
  <c r="V3545" i="14"/>
  <c r="E3545" i="14"/>
  <c r="AH3544" i="14"/>
  <c r="V3544" i="14"/>
  <c r="E3544" i="14"/>
  <c r="AH3543" i="14"/>
  <c r="V3543" i="14"/>
  <c r="E3543" i="14"/>
  <c r="AH3542" i="14"/>
  <c r="V3542" i="14"/>
  <c r="E3542" i="14"/>
  <c r="AH3541" i="14"/>
  <c r="V3541" i="14"/>
  <c r="E3541" i="14"/>
  <c r="AH3540" i="14"/>
  <c r="V3540" i="14"/>
  <c r="E3540" i="14"/>
  <c r="AH3539" i="14"/>
  <c r="W3539" i="14"/>
  <c r="V3539" i="14"/>
  <c r="E3539" i="14"/>
  <c r="AH3538" i="14"/>
  <c r="O3538" i="14"/>
  <c r="E3538" i="14"/>
  <c r="AH3537" i="14"/>
  <c r="E3537" i="14"/>
  <c r="AH3536" i="14"/>
  <c r="W3536" i="14"/>
  <c r="V3536" i="14"/>
  <c r="E3536" i="14"/>
  <c r="AH3535" i="14"/>
  <c r="W3535" i="14"/>
  <c r="V3535" i="14"/>
  <c r="E3535" i="14"/>
  <c r="AH3534" i="14"/>
  <c r="V3534" i="14"/>
  <c r="E3534" i="14"/>
  <c r="AH3533" i="14"/>
  <c r="V3533" i="14"/>
  <c r="E3533" i="14"/>
  <c r="AH3532" i="14"/>
  <c r="V3532" i="14"/>
  <c r="E3532" i="14"/>
  <c r="AH3531" i="14"/>
  <c r="W3531" i="14"/>
  <c r="V3531" i="14"/>
  <c r="E3531" i="14"/>
  <c r="AH3530" i="14"/>
  <c r="W3530" i="14"/>
  <c r="V3530" i="14"/>
  <c r="E3530" i="14"/>
  <c r="AH3529" i="14"/>
  <c r="W3529" i="14"/>
  <c r="V3529" i="14"/>
  <c r="E3529" i="14"/>
  <c r="AH3528" i="14"/>
  <c r="V3528" i="14"/>
  <c r="E3528" i="14"/>
  <c r="AH3527" i="14"/>
  <c r="W3527" i="14"/>
  <c r="V3527" i="14"/>
  <c r="E3527" i="14"/>
  <c r="AH3526" i="14"/>
  <c r="W3526" i="14"/>
  <c r="V3526" i="14"/>
  <c r="O3526" i="14"/>
  <c r="E3526" i="14"/>
  <c r="AH3525" i="14"/>
  <c r="W3525" i="14"/>
  <c r="V3525" i="14"/>
  <c r="E3525" i="14"/>
  <c r="AH3524" i="14"/>
  <c r="W3524" i="14"/>
  <c r="V3524" i="14"/>
  <c r="E3524" i="14"/>
  <c r="AH3523" i="14"/>
  <c r="W3523" i="14"/>
  <c r="V3523" i="14"/>
  <c r="E3523" i="14"/>
  <c r="AH3522" i="14"/>
  <c r="W3522" i="14"/>
  <c r="V3522" i="14"/>
  <c r="E3522" i="14"/>
  <c r="AH3521" i="14"/>
  <c r="W3521" i="14"/>
  <c r="V3521" i="14"/>
  <c r="E3521" i="14"/>
  <c r="AH3520" i="14"/>
  <c r="W3520" i="14"/>
  <c r="V3520" i="14"/>
  <c r="E3520" i="14"/>
  <c r="AH3519" i="14"/>
  <c r="W3519" i="14"/>
  <c r="V3519" i="14"/>
  <c r="O3519" i="14"/>
  <c r="E3519" i="14"/>
  <c r="AH3518" i="14"/>
  <c r="V3518" i="14"/>
  <c r="E3518" i="14"/>
  <c r="AH3517" i="14"/>
  <c r="V3517" i="14"/>
  <c r="E3517" i="14"/>
  <c r="AH3516" i="14"/>
  <c r="W3516" i="14"/>
  <c r="V3516" i="14"/>
  <c r="E3516" i="14"/>
  <c r="AH3515" i="14"/>
  <c r="W3515" i="14"/>
  <c r="V3515" i="14"/>
  <c r="E3515" i="14"/>
  <c r="AH3514" i="14"/>
  <c r="W3514" i="14"/>
  <c r="V3514" i="14"/>
  <c r="E3514" i="14"/>
  <c r="AH3513" i="14"/>
  <c r="W3513" i="14"/>
  <c r="V3513" i="14"/>
  <c r="E3513" i="14"/>
  <c r="AH3512" i="14"/>
  <c r="W3512" i="14"/>
  <c r="V3512" i="14"/>
  <c r="O3512" i="14"/>
  <c r="E3512" i="14"/>
  <c r="AH3511" i="14"/>
  <c r="W3511" i="14"/>
  <c r="V3511" i="14"/>
  <c r="E3511" i="14"/>
  <c r="AH3510" i="14"/>
  <c r="W3510" i="14"/>
  <c r="V3510" i="14"/>
  <c r="E3510" i="14"/>
  <c r="AH3509" i="14"/>
  <c r="W3509" i="14"/>
  <c r="V3509" i="14"/>
  <c r="E3509" i="14"/>
  <c r="AH3508" i="14"/>
  <c r="W3508" i="14"/>
  <c r="V3508" i="14"/>
  <c r="E3508" i="14"/>
  <c r="AH3507" i="14"/>
  <c r="E3507" i="14"/>
  <c r="AH3506" i="14"/>
  <c r="V3506" i="14"/>
  <c r="E3506" i="14"/>
  <c r="AH3505" i="14"/>
  <c r="W3505" i="14"/>
  <c r="V3505" i="14"/>
  <c r="E3505" i="14"/>
  <c r="AH3504" i="14"/>
  <c r="W3504" i="14"/>
  <c r="V3504" i="14"/>
  <c r="E3504" i="14"/>
  <c r="AH3503" i="14"/>
  <c r="W3503" i="14"/>
  <c r="V3503" i="14"/>
  <c r="E3503" i="14"/>
  <c r="AH3502" i="14"/>
  <c r="E3502" i="14"/>
  <c r="AH3501" i="14"/>
  <c r="V3501" i="14"/>
  <c r="E3501" i="14"/>
  <c r="AH3500" i="14"/>
  <c r="W3500" i="14"/>
  <c r="V3500" i="14"/>
  <c r="E3500" i="14"/>
  <c r="AH3499" i="14"/>
  <c r="W3499" i="14"/>
  <c r="V3499" i="14"/>
  <c r="E3499" i="14"/>
  <c r="AH3498" i="14"/>
  <c r="W3498" i="14"/>
  <c r="V3498" i="14"/>
  <c r="E3498" i="14"/>
  <c r="AH3497" i="14"/>
  <c r="W3497" i="14"/>
  <c r="V3497" i="14"/>
  <c r="E3497" i="14"/>
  <c r="AH3496" i="14"/>
  <c r="W3496" i="14"/>
  <c r="V3496" i="14"/>
  <c r="E3496" i="14"/>
  <c r="AH3495" i="14"/>
  <c r="W3495" i="14"/>
  <c r="V3495" i="14"/>
  <c r="E3495" i="14"/>
  <c r="AH3494" i="14"/>
  <c r="W3494" i="14"/>
  <c r="V3494" i="14"/>
  <c r="E3494" i="14"/>
  <c r="AH3493" i="14"/>
  <c r="W3493" i="14"/>
  <c r="V3493" i="14"/>
  <c r="E3493" i="14"/>
  <c r="AH3492" i="14"/>
  <c r="W3492" i="14"/>
  <c r="V3492" i="14"/>
  <c r="E3492" i="14"/>
  <c r="AH3491" i="14"/>
  <c r="E3491" i="14"/>
  <c r="AH3490" i="14"/>
  <c r="V3490" i="14"/>
  <c r="E3490" i="14"/>
  <c r="AH3489" i="14"/>
  <c r="W3489" i="14"/>
  <c r="V3489" i="14"/>
  <c r="E3489" i="14"/>
  <c r="AH3488" i="14"/>
  <c r="W3488" i="14"/>
  <c r="V3488" i="14"/>
  <c r="O3488" i="14"/>
  <c r="E3488" i="14"/>
  <c r="AH3487" i="14"/>
  <c r="V3487" i="14"/>
  <c r="E3487" i="14"/>
  <c r="AH3486" i="14"/>
  <c r="W3486" i="14"/>
  <c r="V3486" i="14"/>
  <c r="E3486" i="14"/>
  <c r="AH3485" i="14"/>
  <c r="W3485" i="14"/>
  <c r="V3485" i="14"/>
  <c r="E3485" i="14"/>
  <c r="AH3484" i="14"/>
  <c r="W3484" i="14"/>
  <c r="V3484" i="14"/>
  <c r="E3484" i="14"/>
  <c r="AH3483" i="14"/>
  <c r="V3483" i="14"/>
  <c r="E3483" i="14"/>
  <c r="AH3482" i="14"/>
  <c r="V3482" i="14"/>
  <c r="E3482" i="14"/>
  <c r="AH3481" i="14"/>
  <c r="W3481" i="14"/>
  <c r="V3481" i="14"/>
  <c r="E3481" i="14"/>
  <c r="AH3480" i="14"/>
  <c r="V3480" i="14"/>
  <c r="E3480" i="14"/>
  <c r="AH3479" i="14"/>
  <c r="W3479" i="14"/>
  <c r="V3479" i="14"/>
  <c r="E3479" i="14"/>
  <c r="AH3478" i="14"/>
  <c r="W3478" i="14"/>
  <c r="V3478" i="14"/>
  <c r="E3478" i="14"/>
  <c r="AH3477" i="14"/>
  <c r="W3477" i="14"/>
  <c r="V3477" i="14"/>
  <c r="E3477" i="14"/>
  <c r="AH3476" i="14"/>
  <c r="V3476" i="14"/>
  <c r="E3476" i="14"/>
  <c r="AH3475" i="14"/>
  <c r="E3475" i="14"/>
  <c r="AH3474" i="14"/>
  <c r="W3474" i="14"/>
  <c r="V3474" i="14"/>
  <c r="E3474" i="14"/>
  <c r="AH3473" i="14"/>
  <c r="W3473" i="14"/>
  <c r="V3473" i="14"/>
  <c r="E3473" i="14"/>
  <c r="AH3472" i="14"/>
  <c r="W3472" i="14"/>
  <c r="V3472" i="14"/>
  <c r="E3472" i="14"/>
  <c r="AH3471" i="14"/>
  <c r="W3471" i="14"/>
  <c r="V3471" i="14"/>
  <c r="E3471" i="14"/>
  <c r="AH3470" i="14"/>
  <c r="V3470" i="14"/>
  <c r="E3470" i="14"/>
  <c r="AH3469" i="14"/>
  <c r="W3469" i="14"/>
  <c r="V3469" i="14"/>
  <c r="E3469" i="14"/>
  <c r="AH3468" i="14"/>
  <c r="W3468" i="14"/>
  <c r="V3468" i="14"/>
  <c r="E3468" i="14"/>
  <c r="AH3467" i="14"/>
  <c r="W3467" i="14"/>
  <c r="V3467" i="14"/>
  <c r="O3467" i="14"/>
  <c r="E3467" i="14"/>
  <c r="AH3466" i="14"/>
  <c r="W3466" i="14"/>
  <c r="V3466" i="14"/>
  <c r="E3466" i="14"/>
  <c r="AH3465" i="14"/>
  <c r="W3465" i="14"/>
  <c r="V3465" i="14"/>
  <c r="E3465" i="14"/>
  <c r="AH3464" i="14"/>
  <c r="W3464" i="14"/>
  <c r="V3464" i="14"/>
  <c r="O3464" i="14"/>
  <c r="E3464" i="14"/>
  <c r="AH3463" i="14"/>
  <c r="W3463" i="14"/>
  <c r="V3463" i="14"/>
  <c r="E3463" i="14"/>
  <c r="AH3462" i="14"/>
  <c r="W3462" i="14"/>
  <c r="V3462" i="14"/>
  <c r="E3462" i="14"/>
  <c r="AH3461" i="14"/>
  <c r="W3461" i="14"/>
  <c r="V3461" i="14"/>
  <c r="E3461" i="14"/>
  <c r="AH3460" i="14"/>
  <c r="V3460" i="14"/>
  <c r="E3460" i="14"/>
  <c r="AH3459" i="14"/>
  <c r="V3459" i="14"/>
  <c r="E3459" i="14"/>
  <c r="AH3458" i="14"/>
  <c r="W3458" i="14"/>
  <c r="V3458" i="14"/>
  <c r="E3458" i="14"/>
  <c r="AH3457" i="14"/>
  <c r="W3457" i="14"/>
  <c r="V3457" i="14"/>
  <c r="E3457" i="14"/>
  <c r="AH3456" i="14"/>
  <c r="W3456" i="14"/>
  <c r="V3456" i="14"/>
  <c r="E3456" i="14"/>
  <c r="AH3455" i="14"/>
  <c r="W3455" i="14"/>
  <c r="V3455" i="14"/>
  <c r="E3455" i="14"/>
  <c r="AH3454" i="14"/>
  <c r="V3454" i="14"/>
  <c r="E3454" i="14"/>
  <c r="AH3453" i="14"/>
  <c r="W3453" i="14"/>
  <c r="V3453" i="14"/>
  <c r="E3453" i="14"/>
  <c r="AH3452" i="14"/>
  <c r="W3452" i="14"/>
  <c r="V3452" i="14"/>
  <c r="E3452" i="14"/>
  <c r="AH3451" i="14"/>
  <c r="W3451" i="14"/>
  <c r="V3451" i="14"/>
  <c r="E3451" i="14"/>
  <c r="AH3450" i="14"/>
  <c r="W3450" i="14"/>
  <c r="V3450" i="14"/>
  <c r="E3450" i="14"/>
  <c r="AH3449" i="14"/>
  <c r="E3449" i="14"/>
  <c r="AH3448" i="14"/>
  <c r="V3448" i="14"/>
  <c r="E3448" i="14"/>
  <c r="AH3447" i="14"/>
  <c r="V3447" i="14"/>
  <c r="O3447" i="14"/>
  <c r="E3447" i="14"/>
  <c r="AH3446" i="14"/>
  <c r="E3446" i="14"/>
  <c r="AH3445" i="14"/>
  <c r="E3445" i="14"/>
  <c r="AH3444" i="14"/>
  <c r="V3444" i="14"/>
  <c r="O3444" i="14"/>
  <c r="E3444" i="14"/>
  <c r="AH3443" i="14"/>
  <c r="V3443" i="14"/>
  <c r="E3443" i="14"/>
  <c r="AH3442" i="14"/>
  <c r="V3442" i="14"/>
  <c r="E3442" i="14"/>
  <c r="AH3441" i="14"/>
  <c r="V3441" i="14"/>
  <c r="E3441" i="14"/>
  <c r="AH3440" i="14"/>
  <c r="V3440" i="14"/>
  <c r="E3440" i="14"/>
  <c r="AH3439" i="14"/>
  <c r="V3439" i="14"/>
  <c r="E3439" i="14"/>
  <c r="AH3438" i="14"/>
  <c r="E3438" i="14"/>
  <c r="AH3437" i="14"/>
  <c r="V3437" i="14"/>
  <c r="O3437" i="14"/>
  <c r="E3437" i="14"/>
  <c r="AH3436" i="14"/>
  <c r="E3436" i="14"/>
  <c r="AH3435" i="14"/>
  <c r="E3435" i="14"/>
  <c r="AH3434" i="14"/>
  <c r="V3434" i="14"/>
  <c r="O3434" i="14"/>
  <c r="E3434" i="14"/>
  <c r="AH3433" i="14"/>
  <c r="O3433" i="14"/>
  <c r="E3433" i="14"/>
  <c r="AH3432" i="14"/>
  <c r="V3432" i="14"/>
  <c r="O3432" i="14"/>
  <c r="E3432" i="14"/>
  <c r="AH3431" i="14"/>
  <c r="W3431" i="14"/>
  <c r="V3431" i="14"/>
  <c r="E3431" i="14"/>
  <c r="AH3430" i="14"/>
  <c r="V3430" i="14"/>
  <c r="E3430" i="14"/>
  <c r="AH3429" i="14"/>
  <c r="V3429" i="14"/>
  <c r="E3429" i="14"/>
  <c r="AH3428" i="14"/>
  <c r="V3428" i="14"/>
  <c r="E3428" i="14"/>
  <c r="AH3427" i="14"/>
  <c r="V3427" i="14"/>
  <c r="E3427" i="14"/>
  <c r="AH3426" i="14"/>
  <c r="W3426" i="14"/>
  <c r="V3426" i="14"/>
  <c r="E3426" i="14"/>
  <c r="AH3425" i="14"/>
  <c r="V3425" i="14"/>
  <c r="E3425" i="14"/>
  <c r="AH3424" i="14"/>
  <c r="W3424" i="14"/>
  <c r="V3424" i="14"/>
  <c r="E3424" i="14"/>
  <c r="AH3423" i="14"/>
  <c r="V3423" i="14"/>
  <c r="E3423" i="14"/>
  <c r="AH3422" i="14"/>
  <c r="W3422" i="14"/>
  <c r="V3422" i="14"/>
  <c r="E3422" i="14"/>
  <c r="AH3421" i="14"/>
  <c r="V3421" i="14"/>
  <c r="E3421" i="14"/>
  <c r="AH3420" i="14"/>
  <c r="W3420" i="14"/>
  <c r="V3420" i="14"/>
  <c r="E3420" i="14"/>
  <c r="AH3419" i="14"/>
  <c r="V3419" i="14"/>
  <c r="E3419" i="14"/>
  <c r="AH3418" i="14"/>
  <c r="W3418" i="14"/>
  <c r="V3418" i="14"/>
  <c r="E3418" i="14"/>
  <c r="AH3417" i="14"/>
  <c r="W3417" i="14"/>
  <c r="V3417" i="14"/>
  <c r="E3417" i="14"/>
  <c r="AH3416" i="14"/>
  <c r="W3416" i="14"/>
  <c r="V3416" i="14"/>
  <c r="E3416" i="14"/>
  <c r="AH3415" i="14"/>
  <c r="V3415" i="14"/>
  <c r="E3415" i="14"/>
  <c r="AH3414" i="14"/>
  <c r="W3414" i="14"/>
  <c r="V3414" i="14"/>
  <c r="E3414" i="14"/>
  <c r="AH3413" i="14"/>
  <c r="V3413" i="14"/>
  <c r="E3413" i="14"/>
  <c r="AH3412" i="14"/>
  <c r="V3412" i="14"/>
  <c r="E3412" i="14"/>
  <c r="AH3411" i="14"/>
  <c r="V3411" i="14"/>
  <c r="E3411" i="14"/>
  <c r="AH3410" i="14"/>
  <c r="V3410" i="14"/>
  <c r="E3410" i="14"/>
  <c r="AH3409" i="14"/>
  <c r="W3409" i="14"/>
  <c r="V3409" i="14"/>
  <c r="O3409" i="14"/>
  <c r="E3409" i="14"/>
  <c r="AH3408" i="14"/>
  <c r="W3408" i="14"/>
  <c r="V3408" i="14"/>
  <c r="E3408" i="14"/>
  <c r="AH3407" i="14"/>
  <c r="V3407" i="14"/>
  <c r="O3407" i="14"/>
  <c r="E3407" i="14"/>
  <c r="AH3406" i="14"/>
  <c r="V3406" i="14"/>
  <c r="O3406" i="14"/>
  <c r="E3406" i="14"/>
  <c r="AH3405" i="14"/>
  <c r="W3405" i="14"/>
  <c r="V3405" i="14"/>
  <c r="E3405" i="14"/>
  <c r="AH3404" i="14"/>
  <c r="E3404" i="14"/>
  <c r="AH3403" i="14"/>
  <c r="V3403" i="14"/>
  <c r="E3403" i="14"/>
  <c r="AH3402" i="14"/>
  <c r="E3402" i="14"/>
  <c r="AH3401" i="14"/>
  <c r="V3401" i="14"/>
  <c r="E3401" i="14"/>
  <c r="AH3400" i="14"/>
  <c r="W3400" i="14"/>
  <c r="V3400" i="14"/>
  <c r="E3400" i="14"/>
  <c r="AH3399" i="14"/>
  <c r="V3399" i="14"/>
  <c r="E3399" i="14"/>
  <c r="AH3398" i="14"/>
  <c r="E3398" i="14"/>
  <c r="AH3397" i="14"/>
  <c r="E3397" i="14"/>
  <c r="AH3396" i="14"/>
  <c r="E3396" i="14"/>
  <c r="AH3395" i="14"/>
  <c r="E3395" i="14"/>
  <c r="AH3394" i="14"/>
  <c r="V3394" i="14"/>
  <c r="E3394" i="14"/>
  <c r="AH3393" i="14"/>
  <c r="V3393" i="14"/>
  <c r="E3393" i="14"/>
  <c r="AH3392" i="14"/>
  <c r="V3392" i="14"/>
  <c r="E3392" i="14"/>
  <c r="AH3391" i="14"/>
  <c r="E3391" i="14"/>
  <c r="AH3390" i="14"/>
  <c r="E3390" i="14"/>
  <c r="AH3389" i="14"/>
  <c r="V3389" i="14"/>
  <c r="E3389" i="14"/>
  <c r="AH3388" i="14"/>
  <c r="V3388" i="14"/>
  <c r="E3388" i="14"/>
  <c r="AH3387" i="14"/>
  <c r="E3387" i="14"/>
  <c r="AH3386" i="14"/>
  <c r="V3386" i="14"/>
  <c r="E3386" i="14"/>
  <c r="AH3385" i="14"/>
  <c r="E3385" i="14"/>
  <c r="AH3384" i="14"/>
  <c r="E3384" i="14"/>
  <c r="AH3383" i="14"/>
  <c r="W3383" i="14"/>
  <c r="V3383" i="14"/>
  <c r="E3383" i="14"/>
  <c r="AH3382" i="14"/>
  <c r="V3382" i="14"/>
  <c r="E3382" i="14"/>
  <c r="AH3381" i="14"/>
  <c r="V3381" i="14"/>
  <c r="E3381" i="14"/>
  <c r="AH3380" i="14"/>
  <c r="V3380" i="14"/>
  <c r="E3380" i="14"/>
  <c r="AH3379" i="14"/>
  <c r="W3379" i="14"/>
  <c r="V3379" i="14"/>
  <c r="E3379" i="14"/>
  <c r="AH3378" i="14"/>
  <c r="V3378" i="14"/>
  <c r="E3378" i="14"/>
  <c r="AH3377" i="14"/>
  <c r="E3377" i="14"/>
  <c r="AH3376" i="14"/>
  <c r="E3376" i="14"/>
  <c r="AH3375" i="14"/>
  <c r="E3375" i="14"/>
  <c r="AH3374" i="14"/>
  <c r="V3374" i="14"/>
  <c r="E3374" i="14"/>
  <c r="AH3373" i="14"/>
  <c r="E3373" i="14"/>
  <c r="AH3372" i="14"/>
  <c r="W3372" i="14"/>
  <c r="V3372" i="14"/>
  <c r="E3372" i="14"/>
  <c r="AH3371" i="14"/>
  <c r="E3371" i="14"/>
  <c r="AH3370" i="14"/>
  <c r="E3370" i="14"/>
  <c r="AH3369" i="14"/>
  <c r="V3369" i="14"/>
  <c r="E3369" i="14"/>
  <c r="AH3368" i="14"/>
  <c r="E3368" i="14"/>
  <c r="AH3367" i="14"/>
  <c r="V3367" i="14"/>
  <c r="E3367" i="14"/>
  <c r="AH3366" i="14"/>
  <c r="V3366" i="14"/>
  <c r="E3366" i="14"/>
  <c r="AH3365" i="14"/>
  <c r="E3365" i="14"/>
  <c r="AH3364" i="14"/>
  <c r="W3364" i="14"/>
  <c r="V3364" i="14"/>
  <c r="E3364" i="14"/>
  <c r="AH3363" i="14"/>
  <c r="V3363" i="14"/>
  <c r="E3363" i="14"/>
  <c r="AH3362" i="14"/>
  <c r="V3362" i="14"/>
  <c r="E3362" i="14"/>
  <c r="AH3361" i="14"/>
  <c r="V3361" i="14"/>
  <c r="E3361" i="14"/>
  <c r="AH3360" i="14"/>
  <c r="E3360" i="14"/>
  <c r="AH3359" i="14"/>
  <c r="W3359" i="14"/>
  <c r="V3359" i="14"/>
  <c r="E3359" i="14"/>
  <c r="AH3358" i="14"/>
  <c r="W3358" i="14"/>
  <c r="V3358" i="14"/>
  <c r="E3358" i="14"/>
  <c r="AH3357" i="14"/>
  <c r="W3357" i="14"/>
  <c r="V3357" i="14"/>
  <c r="E3357" i="14"/>
  <c r="AH3356" i="14"/>
  <c r="V3356" i="14"/>
  <c r="E3356" i="14"/>
  <c r="AH3355" i="14"/>
  <c r="V3355" i="14"/>
  <c r="E3355" i="14"/>
  <c r="AH3354" i="14"/>
  <c r="E3354" i="14"/>
  <c r="AH3353" i="14"/>
  <c r="W3353" i="14"/>
  <c r="V3353" i="14"/>
  <c r="E3353" i="14"/>
  <c r="AH29" i="14"/>
  <c r="E29" i="14"/>
  <c r="AH28" i="14"/>
  <c r="V28" i="14"/>
  <c r="T28" i="14"/>
  <c r="Q28" i="14"/>
  <c r="P28" i="14"/>
  <c r="O28" i="14"/>
  <c r="L28" i="14"/>
  <c r="I28" i="14"/>
  <c r="E28" i="14"/>
  <c r="AH27" i="14"/>
  <c r="AE27" i="14"/>
  <c r="V27" i="14"/>
  <c r="Q27" i="14"/>
  <c r="P27" i="14"/>
  <c r="O27" i="14"/>
  <c r="L27" i="14"/>
  <c r="K27" i="14"/>
  <c r="I27" i="14"/>
  <c r="E27" i="14"/>
  <c r="AH26" i="14"/>
  <c r="AE26" i="14"/>
  <c r="Q26" i="14"/>
  <c r="P26" i="14"/>
  <c r="O26" i="14"/>
  <c r="L26" i="14"/>
  <c r="K26" i="14"/>
  <c r="I26" i="14"/>
  <c r="E26" i="14"/>
  <c r="AH25" i="14"/>
  <c r="L25" i="14"/>
  <c r="I25" i="14"/>
  <c r="E25" i="14"/>
  <c r="AH24" i="14"/>
  <c r="L24" i="14"/>
  <c r="I24" i="14"/>
  <c r="E24" i="14"/>
  <c r="AH23" i="14"/>
  <c r="W23" i="14"/>
  <c r="V23" i="14"/>
  <c r="U23" i="14"/>
  <c r="T23" i="14"/>
  <c r="Q23" i="14"/>
  <c r="P23" i="14"/>
  <c r="O23" i="14"/>
  <c r="L23" i="14"/>
  <c r="K23" i="14"/>
  <c r="I23" i="14"/>
  <c r="E23" i="14"/>
  <c r="AL22" i="14"/>
  <c r="AH22" i="14"/>
  <c r="Q22" i="14"/>
  <c r="O22" i="14"/>
  <c r="I22" i="14"/>
  <c r="G22" i="14"/>
  <c r="E22" i="14"/>
  <c r="AH21" i="14"/>
  <c r="V21" i="14"/>
  <c r="T21" i="14"/>
  <c r="Q21" i="14"/>
  <c r="P21" i="14"/>
  <c r="O21" i="14"/>
  <c r="L21" i="14"/>
  <c r="K21" i="14"/>
  <c r="I21" i="14"/>
  <c r="E21" i="14"/>
  <c r="AH20" i="14"/>
  <c r="AG20" i="14"/>
  <c r="AF20" i="14"/>
  <c r="AE20" i="14"/>
  <c r="V20" i="14"/>
  <c r="T20" i="14"/>
  <c r="Q20" i="14"/>
  <c r="P20" i="14"/>
  <c r="O20" i="14"/>
  <c r="L20" i="14"/>
  <c r="K20" i="14"/>
  <c r="I20" i="14"/>
  <c r="E20" i="14"/>
  <c r="AH19" i="14"/>
  <c r="V19" i="14"/>
  <c r="T19" i="14"/>
  <c r="Q19" i="14"/>
  <c r="L19" i="14"/>
  <c r="K19" i="14"/>
  <c r="I19" i="14"/>
  <c r="E19" i="14"/>
  <c r="AH18" i="14"/>
  <c r="V18" i="14"/>
  <c r="T18" i="14"/>
  <c r="Q18" i="14"/>
  <c r="P18" i="14"/>
  <c r="O18" i="14"/>
  <c r="L18" i="14"/>
  <c r="I18" i="14"/>
  <c r="E18" i="14"/>
  <c r="AH17" i="14"/>
  <c r="W17" i="14"/>
  <c r="V17" i="14"/>
  <c r="U17" i="14"/>
  <c r="T17" i="14"/>
  <c r="Q17" i="14"/>
  <c r="P17" i="14"/>
  <c r="L17" i="14"/>
  <c r="I17" i="14"/>
  <c r="E17" i="14"/>
  <c r="AH16" i="14"/>
  <c r="V16" i="14"/>
  <c r="T16" i="14"/>
  <c r="Q16" i="14"/>
  <c r="P16" i="14"/>
  <c r="O16" i="14"/>
  <c r="L16" i="14"/>
  <c r="I16" i="14"/>
  <c r="E16" i="14"/>
  <c r="AK15" i="14"/>
  <c r="AH15" i="14"/>
  <c r="W15" i="14"/>
  <c r="V15" i="14"/>
  <c r="T15" i="14"/>
  <c r="Q15" i="14"/>
  <c r="O15" i="14"/>
  <c r="L15" i="14"/>
  <c r="K15" i="14"/>
  <c r="I15" i="14"/>
  <c r="E15" i="14"/>
  <c r="AH14" i="14"/>
  <c r="W14" i="14"/>
  <c r="V14" i="14"/>
  <c r="T14" i="14"/>
  <c r="Q14" i="14"/>
  <c r="P14" i="14"/>
  <c r="O14" i="14"/>
  <c r="L14" i="14"/>
  <c r="K14" i="14"/>
  <c r="I14" i="14"/>
  <c r="E14" i="14"/>
  <c r="AH13" i="14"/>
  <c r="AE13" i="14"/>
  <c r="W13" i="14"/>
  <c r="V13" i="14"/>
  <c r="Q13" i="14"/>
  <c r="P13" i="14"/>
  <c r="O13" i="14"/>
  <c r="L13" i="14"/>
  <c r="K13" i="14"/>
  <c r="I13" i="14"/>
  <c r="E13" i="14"/>
  <c r="AH12" i="14"/>
  <c r="Q12" i="14"/>
  <c r="O12" i="14"/>
  <c r="L12" i="14"/>
  <c r="K12" i="14"/>
  <c r="I12" i="14"/>
  <c r="E12" i="14"/>
  <c r="AH11" i="14"/>
  <c r="L11" i="14"/>
  <c r="K11" i="14"/>
  <c r="I11" i="14"/>
  <c r="E11" i="14"/>
  <c r="AH10" i="14"/>
  <c r="W10" i="14"/>
  <c r="V10" i="14"/>
  <c r="U10" i="14"/>
  <c r="T10" i="14"/>
  <c r="Q10" i="14"/>
  <c r="P10" i="14"/>
  <c r="O10" i="14"/>
  <c r="L10" i="14"/>
  <c r="K10" i="14"/>
  <c r="I10" i="14"/>
  <c r="E10" i="14"/>
  <c r="AH9" i="14"/>
  <c r="V9" i="14"/>
  <c r="T9" i="14"/>
  <c r="Q9" i="14"/>
  <c r="P9" i="14"/>
  <c r="O9" i="14"/>
  <c r="L9" i="14"/>
  <c r="I9" i="14"/>
  <c r="E9" i="14"/>
  <c r="AH8" i="14"/>
  <c r="U8" i="14"/>
  <c r="T8" i="14"/>
  <c r="Q8" i="14"/>
  <c r="P8" i="14"/>
  <c r="O8" i="14"/>
  <c r="L8" i="14"/>
  <c r="I8" i="14"/>
  <c r="E8" i="14"/>
  <c r="AH7" i="14"/>
  <c r="AE7" i="14"/>
  <c r="Q7" i="14"/>
  <c r="P7" i="14"/>
  <c r="O7" i="14"/>
  <c r="L7" i="14"/>
  <c r="K7" i="14"/>
  <c r="I7" i="14"/>
  <c r="E7" i="14"/>
  <c r="AH6" i="14"/>
  <c r="AG6" i="14"/>
  <c r="AF6" i="14"/>
  <c r="AE6" i="14"/>
  <c r="W6" i="14"/>
  <c r="V6" i="14"/>
  <c r="U6" i="14"/>
  <c r="T6" i="14"/>
  <c r="Q6" i="14"/>
  <c r="P6" i="14"/>
  <c r="L6" i="14"/>
  <c r="K6" i="14"/>
  <c r="I6" i="14"/>
  <c r="E6" i="14"/>
  <c r="AH5" i="14"/>
  <c r="W5" i="14"/>
  <c r="V5" i="14"/>
  <c r="T5" i="14"/>
  <c r="Q5" i="14"/>
  <c r="P5" i="14"/>
  <c r="O5" i="14"/>
  <c r="L5" i="14"/>
  <c r="K5" i="14"/>
  <c r="I5" i="14"/>
  <c r="E5" i="14"/>
  <c r="AH4" i="14"/>
  <c r="AF4" i="14"/>
  <c r="AE4" i="14"/>
  <c r="U4" i="14"/>
  <c r="T4" i="14"/>
  <c r="Q4" i="14"/>
  <c r="P4" i="14"/>
  <c r="O4" i="14"/>
  <c r="L4" i="14"/>
  <c r="K4" i="14"/>
  <c r="I4" i="14"/>
  <c r="E4" i="14"/>
  <c r="AH3" i="14"/>
  <c r="L3" i="14"/>
  <c r="I3" i="14"/>
  <c r="E3" i="14"/>
  <c r="AH2" i="14"/>
  <c r="AF2" i="14"/>
  <c r="AE2" i="14"/>
  <c r="W2" i="14"/>
  <c r="V2" i="14"/>
  <c r="U2" i="14"/>
  <c r="T2" i="14"/>
  <c r="Q2" i="14"/>
  <c r="P2" i="14"/>
  <c r="O2" i="14"/>
  <c r="L2" i="14"/>
  <c r="K2" i="14"/>
  <c r="I2" i="14"/>
  <c r="E2" i="14"/>
</calcChain>
</file>

<file path=xl/sharedStrings.xml><?xml version="1.0" encoding="utf-8"?>
<sst xmlns="http://schemas.openxmlformats.org/spreadsheetml/2006/main" count="127932" uniqueCount="32956">
  <si>
    <t>groupe_taxonomique</t>
  </si>
  <si>
    <t>intitule</t>
  </si>
  <si>
    <t>article</t>
  </si>
  <si>
    <t>arrete</t>
  </si>
  <si>
    <t>date</t>
  </si>
  <si>
    <t>Champignons</t>
  </si>
  <si>
    <t>Réglementation de la cueillette des champignons dans le département de Haute-Saône</t>
  </si>
  <si>
    <t>Article 2</t>
  </si>
  <si>
    <t>1990</t>
  </si>
  <si>
    <t>Réglementation de la cueillette des champignons dans le département du Doubs</t>
  </si>
  <si>
    <t>Article 1</t>
  </si>
  <si>
    <t>1991</t>
  </si>
  <si>
    <t>Réglementation de la cueillette des champignons dans le département du Jura</t>
  </si>
  <si>
    <t>1993</t>
  </si>
  <si>
    <t>Réglementation de la cueillette des champignons dans le département du Territoire de Belfort</t>
  </si>
  <si>
    <t>Lichens fruticuleux</t>
  </si>
  <si>
    <t>Réglementation de la cueillette de certaines plantes sauvages dans le département du Doubs</t>
  </si>
  <si>
    <t>Article 4</t>
  </si>
  <si>
    <t>Sphaignes</t>
  </si>
  <si>
    <t>codification</t>
  </si>
  <si>
    <t>description</t>
  </si>
  <si>
    <t>EX</t>
  </si>
  <si>
    <t>Eteinte au niveau mondial</t>
  </si>
  <si>
    <t>EW</t>
  </si>
  <si>
    <t>Eteinte à l'état sauvage</t>
  </si>
  <si>
    <t>RE</t>
  </si>
  <si>
    <t>Disparue au niveau régional</t>
  </si>
  <si>
    <t>CR</t>
  </si>
  <si>
    <t>En danger critique</t>
  </si>
  <si>
    <t>EN</t>
  </si>
  <si>
    <t>En danger</t>
  </si>
  <si>
    <t>VU</t>
  </si>
  <si>
    <t>Vulnérable</t>
  </si>
  <si>
    <t>NT</t>
  </si>
  <si>
    <t>Quasi menacée</t>
  </si>
  <si>
    <t>LC</t>
  </si>
  <si>
    <t>Préoccupation mineure</t>
  </si>
  <si>
    <t>DD</t>
  </si>
  <si>
    <t>Données insuffisantes</t>
  </si>
  <si>
    <t>NA</t>
  </si>
  <si>
    <t>Non applicable</t>
  </si>
  <si>
    <t>NE</t>
  </si>
  <si>
    <t>Non évaluée</t>
  </si>
  <si>
    <t>A</t>
  </si>
  <si>
    <t>Absent</t>
  </si>
  <si>
    <t>B</t>
  </si>
  <si>
    <t>Occasionnel</t>
  </si>
  <si>
    <t>C</t>
  </si>
  <si>
    <t>Cryptogène</t>
  </si>
  <si>
    <t>D</t>
  </si>
  <si>
    <t>Douteux</t>
  </si>
  <si>
    <t>E</t>
  </si>
  <si>
    <t>Endémique</t>
  </si>
  <si>
    <t>I</t>
  </si>
  <si>
    <t>Introduit</t>
  </si>
  <si>
    <t>J</t>
  </si>
  <si>
    <t>Introduit envahissant</t>
  </si>
  <si>
    <t>M</t>
  </si>
  <si>
    <t>Introduit non établi (dont cultivé / domestique)</t>
  </si>
  <si>
    <t>P</t>
  </si>
  <si>
    <t>Présent (indigène ou indéterminé)</t>
  </si>
  <si>
    <t>Q</t>
  </si>
  <si>
    <t>Mentionné par erreur</t>
  </si>
  <si>
    <t>S</t>
  </si>
  <si>
    <t>Subendémique</t>
  </si>
  <si>
    <t>W</t>
  </si>
  <si>
    <t>Disparu</t>
  </si>
  <si>
    <t>X</t>
  </si>
  <si>
    <t>Eteint</t>
  </si>
  <si>
    <t>Y</t>
  </si>
  <si>
    <t>Introduit éteint</t>
  </si>
  <si>
    <t>Z</t>
  </si>
  <si>
    <t>Endémique éteint</t>
  </si>
  <si>
    <t>1-</t>
  </si>
  <si>
    <t>Niveau d’insuffisance majeure : réseau d’aires protégées insuffisant ou inexistant (Mauvais état de connaissance de l’espèce ou de l’habitat / espèce ou habitat trop marginale (à rechercher)).</t>
  </si>
  <si>
    <t>1+</t>
  </si>
  <si>
    <t>Niveau d’insuffisance majeure : réseau d’aires protégées insuffisant ou inexistant (Bonne connaissance de l’espèce ou de l’habitat).</t>
  </si>
  <si>
    <t>2-</t>
  </si>
  <si>
    <t>Niveau d’insuffisance modérée : réseau d’aires protégées à renforcer (Mauvais état de connaissance de l’espèce ou de l’habitat).</t>
  </si>
  <si>
    <t>2+</t>
  </si>
  <si>
    <t>Niveau d’insuffisance modérée : réseau d’aires protégées à renforcer (Bonne connaissance de l’espèce ou de l’habitat).</t>
  </si>
  <si>
    <t>3</t>
  </si>
  <si>
    <t>Réseau d’aires protégées satisfaisant.</t>
  </si>
  <si>
    <t>6</t>
  </si>
  <si>
    <t>Espèce ou habitat présent en région mais répartition départementale de l’espèce ou de l’habitat mal connue.</t>
  </si>
  <si>
    <t>7</t>
  </si>
  <si>
    <t>Espèce ou habitat non expertisé.</t>
  </si>
  <si>
    <t>Espèce ou habitat présentant régionalement un intérêt patrimonial et amendée à la liste nationale SCAP. La prise en compte dans le réseau d’aires protégées est jugée insuffisante (priorité 1 ou 2).</t>
  </si>
  <si>
    <t>NP</t>
  </si>
  <si>
    <t>Espèce ou habitat non priorisé.</t>
  </si>
  <si>
    <t>liste</t>
  </si>
  <si>
    <t>reference_biblio</t>
  </si>
  <si>
    <t>Liste des espèces à compétence CNPN</t>
  </si>
  <si>
    <t/>
  </si>
  <si>
    <t>2020</t>
  </si>
  <si>
    <t>Liste des espèces ministérielles</t>
  </si>
  <si>
    <t>1999</t>
  </si>
  <si>
    <t>Liste régionale des données naturalistes sensibles - faune</t>
  </si>
  <si>
    <t>Liste régionale des données naturalistes sensibles - faune - volet Mollusques</t>
  </si>
  <si>
    <t>Mollusques</t>
  </si>
  <si>
    <t>2021</t>
  </si>
  <si>
    <t>Liste régionale des données naturalistes sensibles - flore/trachéophytes</t>
  </si>
  <si>
    <t>Plantes</t>
  </si>
  <si>
    <t>Liste régionale des données naturalistes sensibles - poissons</t>
  </si>
  <si>
    <t>Poissons</t>
  </si>
  <si>
    <t>2023</t>
  </si>
  <si>
    <t>Liste rouge européenne</t>
  </si>
  <si>
    <t>2022</t>
  </si>
  <si>
    <t>Liste rouge mondiale</t>
  </si>
  <si>
    <t>Liste rouge nationale</t>
  </si>
  <si>
    <t>2017</t>
  </si>
  <si>
    <t>Crustacés</t>
  </si>
  <si>
    <t>2014</t>
  </si>
  <si>
    <t>Insectes</t>
  </si>
  <si>
    <t>2018</t>
  </si>
  <si>
    <t>2012</t>
  </si>
  <si>
    <t>2016</t>
  </si>
  <si>
    <t>Oiseaux</t>
  </si>
  <si>
    <t>2019</t>
  </si>
  <si>
    <t>Reptiles</t>
  </si>
  <si>
    <t>2015</t>
  </si>
  <si>
    <t>Liste rouge régionale Bourgogne</t>
  </si>
  <si>
    <t>Bryophytes</t>
  </si>
  <si>
    <t>Chiroptères</t>
  </si>
  <si>
    <t>Liste rouge régionale Franche-Comté</t>
  </si>
  <si>
    <t>2013</t>
  </si>
  <si>
    <t>2007</t>
  </si>
  <si>
    <t>2008</t>
  </si>
  <si>
    <t>Plan national d'action</t>
  </si>
  <si>
    <t>Amphibiens</t>
  </si>
  <si>
    <t>2011</t>
  </si>
  <si>
    <t>2010</t>
  </si>
  <si>
    <t>Mammifères</t>
  </si>
  <si>
    <t>2009</t>
  </si>
  <si>
    <t>2004</t>
  </si>
  <si>
    <t>2003</t>
  </si>
  <si>
    <t>2002</t>
  </si>
  <si>
    <t>2001</t>
  </si>
  <si>
    <t>Référentiel taxonomique</t>
  </si>
  <si>
    <t>SCAP nationale</t>
  </si>
  <si>
    <t>SCAP régionale</t>
  </si>
  <si>
    <t>Source de données de présence des espèces</t>
  </si>
  <si>
    <t>LPO BFC, SHNA-OFAB, CPEPESC FC, CBN FC-ORI, CBN BP, OFB BFC, Référentiel FME</t>
  </si>
  <si>
    <t>ZNIEFF déterminantes</t>
  </si>
  <si>
    <t>ZNIEFF déterminantes fonge Franche-Comté</t>
  </si>
  <si>
    <t>code</t>
  </si>
  <si>
    <t>AMBROISIE</t>
  </si>
  <si>
    <t>Lutte contre l'ambroisie à feuilles d'armoise, l'ambroisie trifide et l'ambroisie à épis lisses.</t>
  </si>
  <si>
    <t>CCA</t>
  </si>
  <si>
    <t>Application de la Convention CITES (Convention de Washington) au sein de l'Union européenne</t>
  </si>
  <si>
    <t>Annexe A</t>
  </si>
  <si>
    <t>CCB</t>
  </si>
  <si>
    <t>Annexe B</t>
  </si>
  <si>
    <t>CCC</t>
  </si>
  <si>
    <t>Annexe C</t>
  </si>
  <si>
    <t>CCD</t>
  </si>
  <si>
    <t>Annexe D</t>
  </si>
  <si>
    <t>CDH2</t>
  </si>
  <si>
    <t>Directive 92/43/CEE (Directive européenne dite Directive Habitats-Faune-Flore)</t>
  </si>
  <si>
    <t>Annexe II</t>
  </si>
  <si>
    <t>CDH4</t>
  </si>
  <si>
    <t>Annexe IV</t>
  </si>
  <si>
    <t>CDH5</t>
  </si>
  <si>
    <t>Annexe V</t>
  </si>
  <si>
    <t>CDO1</t>
  </si>
  <si>
    <t>Directive 79/409/CEE (Directive européenne dite Directive Oiseaux)</t>
  </si>
  <si>
    <t>Annexe I</t>
  </si>
  <si>
    <t>CDO21</t>
  </si>
  <si>
    <t>Annexe II/1</t>
  </si>
  <si>
    <t>CDO22</t>
  </si>
  <si>
    <t>Annexe II/2</t>
  </si>
  <si>
    <t>CDO31</t>
  </si>
  <si>
    <t>Annexe III/1</t>
  </si>
  <si>
    <t>CDO32</t>
  </si>
  <si>
    <t>Annexe III/2</t>
  </si>
  <si>
    <t>E39P1</t>
  </si>
  <si>
    <t>Réglementation du ramassage des escargots dans le département du Jura</t>
  </si>
  <si>
    <t>E39P2</t>
  </si>
  <si>
    <t>E70P1</t>
  </si>
  <si>
    <t>Réglementation du ramassage des escargots dans le département de Haute-Saône</t>
  </si>
  <si>
    <t>E70P2</t>
  </si>
  <si>
    <t>EEEUE</t>
  </si>
  <si>
    <t>Règlement d'exécution (UE) 2016/1141</t>
  </si>
  <si>
    <t>FRAR2</t>
  </si>
  <si>
    <t>Arrêté du 8 janvier 2021 fixant la liste des amphibiens et des reptiles représentés sur le territoire métropolitain protégés sur l'ensemble du territoire national et les modalités de leur protection</t>
  </si>
  <si>
    <t>FRAR3</t>
  </si>
  <si>
    <t>Article 3</t>
  </si>
  <si>
    <t>FRAR4</t>
  </si>
  <si>
    <t>FRnoEEEA</t>
  </si>
  <si>
    <t>Liste des espèces animales exotiques envahissantes dont l'introduction est interdite sur le territoire métropolitain</t>
  </si>
  <si>
    <t>Annexe 1</t>
  </si>
  <si>
    <t>FRnoEEEA2</t>
  </si>
  <si>
    <t>Annexe 2</t>
  </si>
  <si>
    <t>FRnoEEEV</t>
  </si>
  <si>
    <t>Liste des espèces végétales exotiques envahissantes dont l'introduction est interdite sur le territoire métropolitain</t>
  </si>
  <si>
    <t>gypaete1</t>
  </si>
  <si>
    <t>Interdiction de la perturbation intentionnelle du gypaète barbu</t>
  </si>
  <si>
    <t>IBE1</t>
  </si>
  <si>
    <t>Convention relative à la conservation de la vie sauvage et du milieu naturel de l'Europe (Convention de Berne)</t>
  </si>
  <si>
    <t>IBE2</t>
  </si>
  <si>
    <t>IBE3</t>
  </si>
  <si>
    <t>Annexe III</t>
  </si>
  <si>
    <t>IBO1</t>
  </si>
  <si>
    <t>Convention sur la conservation des espèces migratrices appartenant à la faune sauvage (CMS - Convention de Bonn)</t>
  </si>
  <si>
    <t>IBO2</t>
  </si>
  <si>
    <t>IBOAC</t>
  </si>
  <si>
    <t>Accord ACCOBAMS [2001]</t>
  </si>
  <si>
    <t>IBOAE</t>
  </si>
  <si>
    <t>Accord AEWA [1999]</t>
  </si>
  <si>
    <t>IBOAS</t>
  </si>
  <si>
    <t>Accord ASCOBANS [1994]</t>
  </si>
  <si>
    <t>IBOAW</t>
  </si>
  <si>
    <t>Protocole d’accord Aquatic warbler [2003]</t>
  </si>
  <si>
    <t>IBOC</t>
  </si>
  <si>
    <t>Protocole d’accord Slender-Billed Curlew [1994]</t>
  </si>
  <si>
    <t>IBOEU</t>
  </si>
  <si>
    <t>Accord EUROBATS - ANNEXE 1</t>
  </si>
  <si>
    <t>NEC1</t>
  </si>
  <si>
    <t>Protection des écrevisses autochtones sur le territoire français métropolitain</t>
  </si>
  <si>
    <t>Ngib_ch_1</t>
  </si>
  <si>
    <t>Liste des espèces de gibier dont la chasse est autorisée</t>
  </si>
  <si>
    <t>Premier</t>
  </si>
  <si>
    <t>NI2</t>
  </si>
  <si>
    <t>Liste des insectes protégés sur l'ensemble du territoire et les modalités de leur protection</t>
  </si>
  <si>
    <t>NI3</t>
  </si>
  <si>
    <t>NM</t>
  </si>
  <si>
    <t>Liste des espèces de vertébrés protégées menacées d'extinction en France et dont l'aire de répartition excède le territoire d'un département</t>
  </si>
  <si>
    <t>Article 1er</t>
  </si>
  <si>
    <t>NM2</t>
  </si>
  <si>
    <t>Liste des mammifères terrestres protégés sur l'ensemble du territoire français et les modalités de leur protection</t>
  </si>
  <si>
    <t>NMAMmar2</t>
  </si>
  <si>
    <t>Liste des mammifères marins protégés sur le territoire national et les modalités de leur protection</t>
  </si>
  <si>
    <t>NMAMmar3</t>
  </si>
  <si>
    <t>NMAMmar5</t>
  </si>
  <si>
    <t>Article 5</t>
  </si>
  <si>
    <t>NMO2</t>
  </si>
  <si>
    <t>Liste des mollusques protégés sur l'ensemble du territoire français métropolitain</t>
  </si>
  <si>
    <t>NMO4</t>
  </si>
  <si>
    <t>NO3</t>
  </si>
  <si>
    <t>Liste des oiseaux protégés sur l'ensemble du territoire et les modalités de leur protection</t>
  </si>
  <si>
    <t>NO4</t>
  </si>
  <si>
    <t>NO6</t>
  </si>
  <si>
    <t>Article 6</t>
  </si>
  <si>
    <t>NP1</t>
  </si>
  <si>
    <t>Liste des espèces de poissons protégées sur l'ensemble du territoire français national</t>
  </si>
  <si>
    <t>NV1</t>
  </si>
  <si>
    <t>Liste des espèces végétales protégées sur l'ensemble du territoire français métropolitain</t>
  </si>
  <si>
    <t>NV2</t>
  </si>
  <si>
    <t>NV3</t>
  </si>
  <si>
    <t>OC2</t>
  </si>
  <si>
    <t>Protection et commercialisation de certaines espèces d'oiseaux sur le territoire français national</t>
  </si>
  <si>
    <t>OC3</t>
  </si>
  <si>
    <t>OC4</t>
  </si>
  <si>
    <t>OC5</t>
  </si>
  <si>
    <t>PE1</t>
  </si>
  <si>
    <t>Liste des escargots dont le ramassage et la cession à titre gratuit ou onéreux peuvent être interdits ou autorisés sur le territoire français métropolitain</t>
  </si>
  <si>
    <t>PE1a</t>
  </si>
  <si>
    <t>Article 1a</t>
  </si>
  <si>
    <t>PE1b</t>
  </si>
  <si>
    <t>Article 1b</t>
  </si>
  <si>
    <t>PGR</t>
  </si>
  <si>
    <t>Production des spécimens de grenouille rousse</t>
  </si>
  <si>
    <t>RV26</t>
  </si>
  <si>
    <t>Liste des espèces végétales protégées en région Bourgogne</t>
  </si>
  <si>
    <t>RV43</t>
  </si>
  <si>
    <t>Liste des espèces végétales protégées en région Franche-Comté</t>
  </si>
  <si>
    <t>UEintro</t>
  </si>
  <si>
    <t>Suspension de l'introduction dans l'Union européenne de spécimens de certaines espèces de faune et de flore sauvages</t>
  </si>
  <si>
    <t>Article premier</t>
  </si>
  <si>
    <t>V25P1</t>
  </si>
  <si>
    <t>V25P2</t>
  </si>
  <si>
    <t>V25P3</t>
  </si>
  <si>
    <t>V25P5</t>
  </si>
  <si>
    <t>V39P1</t>
  </si>
  <si>
    <t>Réglementation de la cueillette de certaines plantes sauvages dans le département du Jura</t>
  </si>
  <si>
    <t>V39P2</t>
  </si>
  <si>
    <t>V39P3</t>
  </si>
  <si>
    <t>V39P5</t>
  </si>
  <si>
    <t>V39P6</t>
  </si>
  <si>
    <t>V70P1</t>
  </si>
  <si>
    <t>Réglementation de la cueillette de certaines plantes sauvages dans le département de Haute-Saône</t>
  </si>
  <si>
    <t>V70P1modif</t>
  </si>
  <si>
    <t>Réglementation de la cueillette de certaines plantes sauvages dans le département de Haute-Saône modifié</t>
  </si>
  <si>
    <t>V70P2</t>
  </si>
  <si>
    <t>VV1</t>
  </si>
  <si>
    <t>Arrêté du 26 décembre 2012 relatif au classement dans la liste des dangers sanitaires du frelon asiatique</t>
  </si>
  <si>
    <t>attribut</t>
  </si>
  <si>
    <t>cd_nom</t>
  </si>
  <si>
    <t>Concaténation des identifiants de taxons rattachés au cd_ref (synonymes) selon le référentiel TaxRef</t>
  </si>
  <si>
    <t>cd_ref</t>
  </si>
  <si>
    <t>Identifiant du taxon de référence (nom retenu) selon le référentiel TaxRef</t>
  </si>
  <si>
    <t>cites</t>
  </si>
  <si>
    <t>Convention CITES (Convention de Washington)</t>
  </si>
  <si>
    <t>competence</t>
  </si>
  <si>
    <t>Compétence CNPN/CSRPN</t>
  </si>
  <si>
    <t>convention_berne</t>
  </si>
  <si>
    <t>convention_bonn</t>
  </si>
  <si>
    <t>destruction_reglementee</t>
  </si>
  <si>
    <t>Espèces dont la destruction est réglementée</t>
  </si>
  <si>
    <t>directive_habitat_faune_flore</t>
  </si>
  <si>
    <t>Espèce soumise à une annexe de la Directive 92/43/CEE (Directive européenne dite Directive Habitats-Faune-Flore)</t>
  </si>
  <si>
    <t>directive_oiseaux</t>
  </si>
  <si>
    <t>Espèce soumise à une annexe de la Directive 79/409/CEE (Directive européenne dite Directive Oiseaux)</t>
  </si>
  <si>
    <t>eee</t>
  </si>
  <si>
    <t>Lutte contre l'introduction ou la propagation de certaines espèces</t>
  </si>
  <si>
    <t>especes_ministerielles</t>
  </si>
  <si>
    <t>Espèces dites "ministérielles"</t>
  </si>
  <si>
    <t>fme_cd_ref</t>
  </si>
  <si>
    <t>Identifiant du taxon de référence (nom retenu) selon le référentiel de la Fédération Mycologique de l'Est</t>
  </si>
  <si>
    <t>Regroupement vernaculaire</t>
  </si>
  <si>
    <t>liste_rouge_bourgogne</t>
  </si>
  <si>
    <t>Classification selon la Liste rouge régionale Bourgogne</t>
  </si>
  <si>
    <t>liste_rouge_bourgogne_criteres</t>
  </si>
  <si>
    <t>Critères régionaux pour la Liste rouge régionale Bourgogne</t>
  </si>
  <si>
    <t>liste_rouge_de_passage_france</t>
  </si>
  <si>
    <t>Classification selon la Liste rouge des oiseaux non nicheurs de France métropolitaine (de passage)</t>
  </si>
  <si>
    <t>liste_rouge_europenne</t>
  </si>
  <si>
    <t>Classification selon la Liste rouge Europe</t>
  </si>
  <si>
    <t>liste_rouge_france</t>
  </si>
  <si>
    <t>Classification selon la Liste rouge France (pour le groupe des Oiseaux, il s'agit ici de la Liste rouge des oiseaux nicheurs de France métropolitaine)</t>
  </si>
  <si>
    <t>liste_rouge_franche_comte</t>
  </si>
  <si>
    <t>Classification selon la Liste rouge régionale Franche-Comté</t>
  </si>
  <si>
    <t>liste_rouge_franche_comte_criteres</t>
  </si>
  <si>
    <t>Critères régionaux pour la Liste rouge régionale Franche-Comté</t>
  </si>
  <si>
    <t>liste_rouge_hivernants_france</t>
  </si>
  <si>
    <t>Classification selon la Liste rouge des oiseaux non nicheurs de France métropolitaine (hivernants)</t>
  </si>
  <si>
    <t>liste_rouge_internationale</t>
  </si>
  <si>
    <t>Classification selon la Liste rouge Internationale</t>
  </si>
  <si>
    <t>nom_scientifique</t>
  </si>
  <si>
    <t>Nom valide de référence du taxon</t>
  </si>
  <si>
    <t>nom_vernaculaire</t>
  </si>
  <si>
    <t>Nom vernaculaire du taxon</t>
  </si>
  <si>
    <t>pna</t>
  </si>
  <si>
    <t>Plan National d'Action associé au taxon</t>
  </si>
  <si>
    <t>pna_periode</t>
  </si>
  <si>
    <t>Période de mise en oeuvre du Plan National d'Action</t>
  </si>
  <si>
    <t>protection_departement</t>
  </si>
  <si>
    <t>Protection au niveau départemental appliquée à l’espèce</t>
  </si>
  <si>
    <t>protection_france</t>
  </si>
  <si>
    <t>Protection au niveau national appliquée à l’espèce</t>
  </si>
  <si>
    <t>protection_region</t>
  </si>
  <si>
    <t>Protection au niveau régional appliquée à l’espèce</t>
  </si>
  <si>
    <t>restriction_diff_com</t>
  </si>
  <si>
    <t>Espèces sensibles : localisation grand public restreinte en Bourgogne-Franche-Comté (donnée visible/non visible à la commune)</t>
  </si>
  <si>
    <t>restriction_diff_m10</t>
  </si>
  <si>
    <t>Espèces sensibles : localisation grand public restreinte en Bourgogne-Franche-Comté (donnée visible/non visible à la maille 10x10 km)</t>
  </si>
  <si>
    <t>restriction_diff_m5</t>
  </si>
  <si>
    <t>Espèces sensibles : localisation grand public restreinte en Bourgogne-Franche-Comté (donnée visible/non visible à la maille 5x5 km)</t>
  </si>
  <si>
    <t>scap_bourgogne</t>
  </si>
  <si>
    <t>Stratégie régionale de création d'aires protégées – Bourgogne</t>
  </si>
  <si>
    <t>scap_franche_comte</t>
  </si>
  <si>
    <t>Stratégie régionale de création d'aires protégées – Franche-Comté</t>
  </si>
  <si>
    <t>scap_nationale</t>
  </si>
  <si>
    <t>Stratégie nationale de création d'aires protégées – France</t>
  </si>
  <si>
    <t>statut_biogeo</t>
  </si>
  <si>
    <t>Statut biogéographique du taxon</t>
  </si>
  <si>
    <t>validation</t>
  </si>
  <si>
    <t>Espèces dont la présence a été validée par les experts en région</t>
  </si>
  <si>
    <t>znieff_conditions</t>
  </si>
  <si>
    <t>Conditions de déterminance ZNIEFF en Bourgogne-Franche-Comté</t>
  </si>
  <si>
    <t>znieff_confidentielles_b</t>
  </si>
  <si>
    <t>Espèces confidentielles pour les ZNIEFF en Bourgogne</t>
  </si>
  <si>
    <t>znieff_confidentielles_fc</t>
  </si>
  <si>
    <t>Espèces confidentielles pour les ZNIEFF en Franche-Comté</t>
  </si>
  <si>
    <t>znieff_cotations</t>
  </si>
  <si>
    <t>Cotations de déterminance ZNIEFF pour la fonge en Franche-Comté</t>
  </si>
  <si>
    <t>znieff_determinantes_bfc</t>
  </si>
  <si>
    <t>Espèces déterminantes pour les ZNIEFF en Bourgogne-Franche-Comté</t>
  </si>
  <si>
    <t>znieff_determinantes_dept</t>
  </si>
  <si>
    <t xml:space="preserve">Départements de déterminance des espèces pour les ZNIEFF </t>
  </si>
  <si>
    <t>znieff_determinantes_fc_fonge</t>
  </si>
  <si>
    <t>Espèces déterminantes ZNIEFF pour la fonge en Franche-Comté</t>
  </si>
  <si>
    <t>146 - 143 - 144 - 142 - 79256 - 139 - 145 - 951901 - 141 - 147</t>
  </si>
  <si>
    <t>Triton crêté (Le)</t>
  </si>
  <si>
    <t>Déterminante stricte</t>
  </si>
  <si>
    <t>Visible</t>
  </si>
  <si>
    <t>CSRPN</t>
  </si>
  <si>
    <t>Oui</t>
  </si>
  <si>
    <t>151 - 150 - 931222</t>
  </si>
  <si>
    <t>Triton de Blasius (Le)</t>
  </si>
  <si>
    <t>163 - 166 - 1015844 - 165 - 167</t>
  </si>
  <si>
    <t>Triton marbré (Le)</t>
  </si>
  <si>
    <t>Non visible</t>
  </si>
  <si>
    <t>201 - 199 - 197 - 200</t>
  </si>
  <si>
    <t>Alyte accoucheur (L'), Crapaud accoucheur</t>
  </si>
  <si>
    <t>214 - 212</t>
  </si>
  <si>
    <t>Sonneur à ventre jaune (Le)</t>
  </si>
  <si>
    <t>Bombina variegata</t>
  </si>
  <si>
    <t>2011-2016</t>
  </si>
  <si>
    <t>CNPN</t>
  </si>
  <si>
    <t>243 - 242 - 240 - 699685</t>
  </si>
  <si>
    <t>Pélobate brun (Le)</t>
  </si>
  <si>
    <t>Pelobates fuscus</t>
  </si>
  <si>
    <t>2014-2018</t>
  </si>
  <si>
    <t>254 - 255 - 252 - 256</t>
  </si>
  <si>
    <t>Pélodyte ponctué (Le)</t>
  </si>
  <si>
    <t>262 - 261 - 259 - 263</t>
  </si>
  <si>
    <t>Crapaud commun (Le)</t>
  </si>
  <si>
    <t>Déterminante station</t>
  </si>
  <si>
    <t>&gt; 2000 individus</t>
  </si>
  <si>
    <t>283 - 281 - 284 - 285</t>
  </si>
  <si>
    <t>Rainette verte (La)</t>
  </si>
  <si>
    <t>292 - 294 - 286 - 295 - 1009333 - 296</t>
  </si>
  <si>
    <t>Rainette méridionale (La)</t>
  </si>
  <si>
    <t>303 - 302 - 299</t>
  </si>
  <si>
    <t>Grenouille des champs (La), Grenouille oxyrhine</t>
  </si>
  <si>
    <t>310 - 312 - 314 - 313</t>
  </si>
  <si>
    <t>Grenouille agile (La)</t>
  </si>
  <si>
    <t>&gt; 250 individus</t>
  </si>
  <si>
    <t>324 - 315 - 353 - 351</t>
  </si>
  <si>
    <t>Grenouille rousse (La)</t>
  </si>
  <si>
    <t>459631 - 125 - 124 - 121 - 444430 - 123</t>
  </si>
  <si>
    <t>Triton alpestre (Le)</t>
  </si>
  <si>
    <t>184 - 181 - 179 - 444431 - 183 - 182</t>
  </si>
  <si>
    <t>Triton ponctué (Le)</t>
  </si>
  <si>
    <t>157 - 852434 - 158 - 159 - 155 - 444432</t>
  </si>
  <si>
    <t>Triton palmé (Le)</t>
  </si>
  <si>
    <t>327 - 459636 - 317 - 318 - 328 - 444440 - 701684 - 322 - 320</t>
  </si>
  <si>
    <t>Grenouille verte (La), Grenouille commune</t>
  </si>
  <si>
    <t>329 - 852074 - 348 - 323 - 337 - 444441</t>
  </si>
  <si>
    <t>Grenouille de Lessona (La)</t>
  </si>
  <si>
    <t>342 - 701677 - 444443 - 344</t>
  </si>
  <si>
    <t>Grenouille rieuse (La)</t>
  </si>
  <si>
    <t>459618 - 308 - 444435</t>
  </si>
  <si>
    <t>Grenouille taureau (La)</t>
  </si>
  <si>
    <t>272 - 270 - 271 - 273 - 459628 - 701815 - 274 - 267 - 269</t>
  </si>
  <si>
    <t>Crapaud calamite (Le)</t>
  </si>
  <si>
    <t>699564 - 185</t>
  </si>
  <si>
    <t>699691 - 1017211</t>
  </si>
  <si>
    <t>14 - 852464 - 1011859 - 18 - 35 - 79251</t>
  </si>
  <si>
    <t>Spélerpès de Strinati (Le)</t>
  </si>
  <si>
    <t>819822 - 459632 - 275 - 701816</t>
  </si>
  <si>
    <t>Crapaud vert (Le)</t>
  </si>
  <si>
    <t>Bufo viridis</t>
  </si>
  <si>
    <t>97 - 92 - 96 - 94 - 95 - 98</t>
  </si>
  <si>
    <t>Salamandre tachetée (La)</t>
  </si>
  <si>
    <t>Bryozoaires</t>
  </si>
  <si>
    <t>961196 - 221594</t>
  </si>
  <si>
    <t>Pectinatelle</t>
  </si>
  <si>
    <t>Xerula pudens var. fusca (Quélet) Dörfelt</t>
  </si>
  <si>
    <t>Collybie à poils ras variété sombre</t>
  </si>
  <si>
    <t>Postia simanii (Pilát) Jülich</t>
  </si>
  <si>
    <t>Polypore de Siman</t>
  </si>
  <si>
    <t>Déterminante. Espèce patrimoniale assez remarquable.</t>
  </si>
  <si>
    <t>1</t>
  </si>
  <si>
    <t>Vibrissea truncorum Fr.</t>
  </si>
  <si>
    <t>Vibrisse des branches</t>
  </si>
  <si>
    <t>Déterminante. Espèce patrimoniale remarquable.</t>
  </si>
  <si>
    <t>5</t>
  </si>
  <si>
    <t>Tuber excavatum Vitt.</t>
  </si>
  <si>
    <t>Truffe creuse</t>
  </si>
  <si>
    <t>Panaeolus semiovatus (Sow. : Fr.) Lundell &amp; Nannfeldt</t>
  </si>
  <si>
    <t>Lichenomphalia alpina (Britzelmayr) Redhead, Lutzoni, Moncalvo &amp; Vilgalys</t>
  </si>
  <si>
    <t>Psilachnum pteridigenum Graddon</t>
  </si>
  <si>
    <t>Psilocybe semilanceata (Fr.) Kummer</t>
  </si>
  <si>
    <t>Psilocybe en fer de lance</t>
  </si>
  <si>
    <t>Panaeolus phalaenarum (Fr.) Quélet</t>
  </si>
  <si>
    <t>Sporormiella octomera (Auersw.) S.I. Ahmed &amp; Cain</t>
  </si>
  <si>
    <t>Pestalotia quercicola Kuhnh.-Lord. &amp; J.P. Barry</t>
  </si>
  <si>
    <t>Polyporus leptocephalus f. nummularius (Bull. : Fr.) Courtecuisse</t>
  </si>
  <si>
    <t>Polypore nain</t>
  </si>
  <si>
    <t xml:space="preserve">Phyllactinia fraxini (DC.) Homma </t>
  </si>
  <si>
    <t>Ramularia libanotidis Bubák</t>
  </si>
  <si>
    <t xml:space="preserve">Syspastospora parasitica (Tul.) P.F. Cannon &amp; D. Hawksw </t>
  </si>
  <si>
    <t xml:space="preserve">Sordaria macrospora Auersw. </t>
  </si>
  <si>
    <t>Lepiota felina var. lilacina M. Bon</t>
  </si>
  <si>
    <t>Lépiote féline var. lilacine</t>
  </si>
  <si>
    <t>Lepista flaccida f. caespitosa Mornand &amp; Bon</t>
  </si>
  <si>
    <t>Lépiste inversé f. cespiteuse</t>
  </si>
  <si>
    <t>Russula urens Singer</t>
  </si>
  <si>
    <t>Russule brûlante</t>
  </si>
  <si>
    <t>Melanospora zamiae Corda</t>
  </si>
  <si>
    <t>Tricholoma luridum (J.C. Sch. : Fr.) Kummer</t>
  </si>
  <si>
    <t>Tricholome blafard</t>
  </si>
  <si>
    <t>Russula nitida (Pers. : Fr.) Fr.</t>
  </si>
  <si>
    <t>Russule brillante des bouleaux ou Russule des sphaignes</t>
  </si>
  <si>
    <t>Lepiota oreadiformis Velenovsky</t>
  </si>
  <si>
    <t>Simocybe sumptuosa (P.D. Orton) Singer</t>
  </si>
  <si>
    <t>Simocybe somptueux</t>
  </si>
  <si>
    <t>Pluteus punctipes P.D. Orton</t>
  </si>
  <si>
    <t>Plutée à pied ponctué</t>
  </si>
  <si>
    <t xml:space="preserve">Podospora curvicolla (G. Winter) Niessl </t>
  </si>
  <si>
    <t>Leucostoma niveum (Hoffm. : Fr.) Höhn.</t>
  </si>
  <si>
    <t>Leucostome blanc</t>
  </si>
  <si>
    <t>Syzygites megalocarpus Ehrenb.</t>
  </si>
  <si>
    <t>Lepista nuda (Bull. : Fr.) Cooke</t>
  </si>
  <si>
    <t>Pied bleu</t>
  </si>
  <si>
    <t>Puccinia barkhausiae-rhoedifoliae Bubák</t>
  </si>
  <si>
    <t>Hypholoma elaeodes (Bull.) Wünsche</t>
  </si>
  <si>
    <t>Spongipellis pachyodon (Pers. : Fr.) Kotlaba &amp; Pouzar</t>
  </si>
  <si>
    <t>Polypore denté</t>
  </si>
  <si>
    <t>Lactifluus vellereus (Fr. : Fr.) Kuntze</t>
  </si>
  <si>
    <t>Lactaire velouté</t>
  </si>
  <si>
    <t>Amanita alseides Hanss</t>
  </si>
  <si>
    <t>Amanite des alséides</t>
  </si>
  <si>
    <t>Russula amarissima Romagnesi &amp; E.-J. Gilbert</t>
  </si>
  <si>
    <t>Russule très amère</t>
  </si>
  <si>
    <t>Phellinus lundellii Niemelä</t>
  </si>
  <si>
    <t>Phellin de Lundell</t>
  </si>
  <si>
    <t>Mycena silvae-nigrae Maas Geesteranus &amp; Schwöbel</t>
  </si>
  <si>
    <t>Mycène à odeur nitreuse</t>
  </si>
  <si>
    <t>Mycena hemisphaerica Peck</t>
  </si>
  <si>
    <t>Mycène hémisphérique</t>
  </si>
  <si>
    <t>Typhula quisquiliaris (Fr. : Fr.) P. Hennings</t>
  </si>
  <si>
    <t>Mycena viscosa Maire</t>
  </si>
  <si>
    <t>Mycène visqueuse</t>
  </si>
  <si>
    <t>Pezicula cinnamomea (DC.) Sacc.</t>
  </si>
  <si>
    <t>Pézicule cannelle</t>
  </si>
  <si>
    <t>Omphalotus illudens (Schw. : Fr.) Saccardo</t>
  </si>
  <si>
    <t>Faux-clitocybe trompeur</t>
  </si>
  <si>
    <t>Russula favrei Moser</t>
  </si>
  <si>
    <t>Russule écrevisse de montagne</t>
  </si>
  <si>
    <t>Déterminante. Espèce patrimoniale emblématique.</t>
  </si>
  <si>
    <t>50</t>
  </si>
  <si>
    <t xml:space="preserve">Tubercularia vulgaris Tode </t>
  </si>
  <si>
    <t>Otidea bufonia (Pers.) Boud.</t>
  </si>
  <si>
    <t>Otidée brun d'ombre</t>
  </si>
  <si>
    <t>Thyronectria abieticola Lechat, Gardiennet &amp; J. Fourn.</t>
  </si>
  <si>
    <t>Mycena fagetorum (Fr.) Gillet</t>
  </si>
  <si>
    <t>Mycène du hêtre</t>
  </si>
  <si>
    <t>Sclerotinia trifoliorum Erikss.</t>
  </si>
  <si>
    <t>Pezicula sepium (Desm.) Dennis</t>
  </si>
  <si>
    <t>Pézicule des haies</t>
  </si>
  <si>
    <t>Pholiota jahnii Tjallingii-Beukers &amp; Bas</t>
  </si>
  <si>
    <t>Pholiote de Jahn</t>
  </si>
  <si>
    <t>Tricholoma arvernense Bon</t>
  </si>
  <si>
    <t>Tricholome d'Auvergne</t>
  </si>
  <si>
    <t>Roridomyces roridus (Scop. : Fr.) Rexer</t>
  </si>
  <si>
    <t>Mycène engluée</t>
  </si>
  <si>
    <t>Septoria caricis Pass.</t>
  </si>
  <si>
    <t>Protomyces macrosporus Unger</t>
  </si>
  <si>
    <t>Mycena leptocephala (Pers. : Fr.) Gillet</t>
  </si>
  <si>
    <t>Mycène chlorée ou Mycène à chair mince</t>
  </si>
  <si>
    <t>Phyllosticta lamii Sacc</t>
  </si>
  <si>
    <t>Pluteus mamifer Romagnesi</t>
  </si>
  <si>
    <t>Lyophyllum eustygium (Cooke) Clémençon</t>
  </si>
  <si>
    <t>Protoglossum niveum (Vittadini) T.W. May</t>
  </si>
  <si>
    <t>Oxyporus populinus (Schum. : Fr.) Donk</t>
  </si>
  <si>
    <t>Polypore stratifié</t>
  </si>
  <si>
    <t>Phyllosticta auerswalddii Allesch.</t>
  </si>
  <si>
    <t xml:space="preserve">Phyllosticta populina Pers. </t>
  </si>
  <si>
    <t>Peniophora laeta (Fr. : Fr.) Donk</t>
  </si>
  <si>
    <t>Corticie jolie</t>
  </si>
  <si>
    <t xml:space="preserve">Rosellinia microscopica (De Not.) Sacc. </t>
  </si>
  <si>
    <t xml:space="preserve">Septoria chelidonii (Lib.) Desm. </t>
  </si>
  <si>
    <t>Mollisia uda (Pers.) Gillet</t>
  </si>
  <si>
    <t>Melogramma campylosporum Fr.</t>
  </si>
  <si>
    <t>Sarcodon glaucopus Maas Geesteranus &amp; Nannfeldt</t>
  </si>
  <si>
    <t>Hydne à pied glauque</t>
  </si>
  <si>
    <t>Octospora bridei Caillet &amp; Moyne</t>
  </si>
  <si>
    <t xml:space="preserve">Ramaria pallida (J.C. Sch.) Ricken </t>
  </si>
  <si>
    <t>Ramaire pâle</t>
  </si>
  <si>
    <t>Volvariella surrecta (Knapp) Singer</t>
  </si>
  <si>
    <t>Volvaire de Lovey ou Volvaire parasite</t>
  </si>
  <si>
    <t>Puccinia annularis (F. Strauss) G. Winter</t>
  </si>
  <si>
    <t>Marasmiellus atropapillatus (Kühner &amp; Maire) Singer</t>
  </si>
  <si>
    <t>Marasme à mamelon noir</t>
  </si>
  <si>
    <t xml:space="preserve">Podospora setosa (G. Winter) Niessl </t>
  </si>
  <si>
    <t>Russula persicina krombholtz</t>
  </si>
  <si>
    <t>Russule couleur de pêche</t>
  </si>
  <si>
    <t>Pholiotina velata (Velenovsky) Hausknecht</t>
  </si>
  <si>
    <t>Melanoleuca subalpina (Britzelm.) Bresinsky &amp; Stangl</t>
  </si>
  <si>
    <t>Tricholome de montagne</t>
  </si>
  <si>
    <t>Tectella patellaris (Fr.) Murrill</t>
  </si>
  <si>
    <t>Pan en assiètte</t>
  </si>
  <si>
    <t>Pleurotus dryinus (Pers. : Fr) Kummer</t>
  </si>
  <si>
    <t>Pleurote du chêne</t>
  </si>
  <si>
    <t>Leccinum vulpinum Watling</t>
  </si>
  <si>
    <t xml:space="preserve">Inocybe caesariata (Fr.) P. Karst. </t>
  </si>
  <si>
    <t>Psathyrella effibulata Örstadius &amp; E. Ludw.</t>
  </si>
  <si>
    <t>Morchella olivea Quél.</t>
  </si>
  <si>
    <t>Morille brun d'ombre</t>
  </si>
  <si>
    <t xml:space="preserve">Microscypha grisella (Rehm) Syd. &amp; P. Syd. </t>
  </si>
  <si>
    <t>Martellia pila (Patouillard) Vidal</t>
  </si>
  <si>
    <t>Thekopsora areolata (Fr.) Magnus</t>
  </si>
  <si>
    <t>Russula badia Quélet</t>
  </si>
  <si>
    <t>Russule perfide ou Russule très âcre</t>
  </si>
  <si>
    <t>Pluteus thomsonii (Berk. &amp; Br.) Dennis</t>
  </si>
  <si>
    <t>Plutée de Thomson</t>
  </si>
  <si>
    <t>Sphaerotheca plantaginis (Castagne) L. Junell</t>
  </si>
  <si>
    <t>Mycena pilosella Maas Geesteranus</t>
  </si>
  <si>
    <t xml:space="preserve">Hyaloperonospora lunariae (Gäum.) Constant. </t>
  </si>
  <si>
    <t>Tapinella atrotomentosa (Batsch : Fr.) Šutara</t>
  </si>
  <si>
    <t>Paxille à pied noir</t>
  </si>
  <si>
    <t>Lactifluus rugatus (Kühner &amp; Romagn.) Verbeken</t>
  </si>
  <si>
    <t>Lactaire flamboyant ou Lactaire rugeux</t>
  </si>
  <si>
    <t>Itersonilia perplexans Derx</t>
  </si>
  <si>
    <t xml:space="preserve">Podosphaera tridactyla (Wallr.) de Bary </t>
  </si>
  <si>
    <t>Russula artesiana Bon</t>
  </si>
  <si>
    <t>Russule de l'Artois</t>
  </si>
  <si>
    <t>Ramaria strasseri (Bresadola) Corner</t>
  </si>
  <si>
    <t>Ramaire de Strasser</t>
  </si>
  <si>
    <t xml:space="preserve">Septoria ebuli Roberge ex Desm. </t>
  </si>
  <si>
    <t>Peziza saniosa Schrad. ex J.F. Gmel.</t>
  </si>
  <si>
    <t>Pézize à lait bleu</t>
  </si>
  <si>
    <t>Leucocoprinus brebissonii (Godey) Locquin</t>
  </si>
  <si>
    <t>Lépiote de Brebisson</t>
  </si>
  <si>
    <t>Lactarius spurius Romagnesi [inval.]</t>
  </si>
  <si>
    <t>Peziza cerea Sowerby</t>
  </si>
  <si>
    <t xml:space="preserve">Heteropatella umbilicata (Pers.) Grove </t>
  </si>
  <si>
    <t>Puccinia punctata Link</t>
  </si>
  <si>
    <t>Phyllosticta nemoralis Sacc.</t>
  </si>
  <si>
    <t>Puccinia gentianae (F. Strauss) Link</t>
  </si>
  <si>
    <t>Rouille des gentianes</t>
  </si>
  <si>
    <t>Thelephora terrestris Ehrhart : Fr.</t>
  </si>
  <si>
    <t>Théléphore terrestre</t>
  </si>
  <si>
    <t>Ramaria lutea (Vittadini) Schild</t>
  </si>
  <si>
    <t>Ramaire jaune</t>
  </si>
  <si>
    <t>Stemonaria irregularis (Rex) Nann.-Bremek., Y. Yamam. &amp; R. Sharma</t>
  </si>
  <si>
    <t>Russula pallidospora Romagnesi</t>
  </si>
  <si>
    <t>Russule faux-lactaire à sporée crème</t>
  </si>
  <si>
    <t>Sistotrema dennisii Malençon</t>
  </si>
  <si>
    <t>Stagonospora sp.</t>
  </si>
  <si>
    <t>Lyophyllum loricatum (Fr.) Kalamees</t>
  </si>
  <si>
    <t>Tricholome cartilagineux</t>
  </si>
  <si>
    <t>Octospora melina (Velen.) Dennis &amp; Itzerott</t>
  </si>
  <si>
    <t>Deconica merdaria (Fr.) Noordel.</t>
  </si>
  <si>
    <t>Psilocybe des excréments</t>
  </si>
  <si>
    <t>Septoria heracleicola Kabát &amp; Bubák</t>
  </si>
  <si>
    <t>Peziza atrospora Fuckel</t>
  </si>
  <si>
    <t>Thelebolus stercoreus Tode : Fr.</t>
  </si>
  <si>
    <t>Physarum globuliferum (Bull.) Pers.</t>
  </si>
  <si>
    <t>Pholiota muricella (Fr.) Bon</t>
  </si>
  <si>
    <t>Psathyrella sarcocephala (Fr. : Fr.) Singer</t>
  </si>
  <si>
    <t xml:space="preserve">Melampsora rostrupii G.H. Wagner </t>
  </si>
  <si>
    <t>Valsa fuckelii Nitschke</t>
  </si>
  <si>
    <t xml:space="preserve">Nectria sanguinea (Sibth.) Fr. </t>
  </si>
  <si>
    <t>Nectrie sanguine</t>
  </si>
  <si>
    <t>Porostereum spadiceum (Pers. : Fr.) Hjortstam &amp; Ryvarden</t>
  </si>
  <si>
    <t>Lophaire châtaine</t>
  </si>
  <si>
    <t xml:space="preserve">Ramularia lactea (Desm.) Sacc. </t>
  </si>
  <si>
    <t>Stereum sanguinolentum (Alb. &amp; Schw. : Fr.) Fr.</t>
  </si>
  <si>
    <t>Stérée sanguinolente</t>
  </si>
  <si>
    <t>Phyllosticta valerianae A.L. Sm. &amp; Ramsb.</t>
  </si>
  <si>
    <t>Puccinia mulgedii Sydow</t>
  </si>
  <si>
    <t>Ramariopsis crocea (Pers. : Fr.) Corner</t>
  </si>
  <si>
    <t>Ramaire safran</t>
  </si>
  <si>
    <t>Pholiota lucifera (Lasch) Quélet</t>
  </si>
  <si>
    <t>Pholiante de Lucifer</t>
  </si>
  <si>
    <t>Russula viscida Kudrna</t>
  </si>
  <si>
    <t>Russule à pied brunissant ou Russule viscide</t>
  </si>
  <si>
    <t>Russula fragilis f. fallax (J.C. Sch.) Massee</t>
  </si>
  <si>
    <t>Russule fragile trompeuse</t>
  </si>
  <si>
    <t>Ramaria eumorpha (P. Karsten) Corner</t>
  </si>
  <si>
    <t>Ramaire aux belles formes</t>
  </si>
  <si>
    <t>Inosperma bongardii (Weinm.) Matheny &amp; Esteve-Rav.</t>
  </si>
  <si>
    <t>Inocybe odorant</t>
  </si>
  <si>
    <t xml:space="preserve">Orbilia aristata  (Velen.) Velen., </t>
  </si>
  <si>
    <t>Physarum oblatum Macbr.</t>
  </si>
  <si>
    <t>Cortinarius olidobulbosus Bidaud, P. Moënne-Loccoz &amp; Reumaux [ad int.]</t>
  </si>
  <si>
    <t>Megalocystidium luridum (Bresadola) Jülich</t>
  </si>
  <si>
    <t>Russula medullata Romagnesi</t>
  </si>
  <si>
    <t>Russule à pied farci</t>
  </si>
  <si>
    <t>Porodaedalea pini (Thore : Fr.) Murrill</t>
  </si>
  <si>
    <t>Polypore du pin</t>
  </si>
  <si>
    <t>Phoma urticae Schulzer &amp; Sacc</t>
  </si>
  <si>
    <t>Strattonia insignis (E.C. Hansen) N. Lundq.</t>
  </si>
  <si>
    <t>Ramularia aplospora Speg.</t>
  </si>
  <si>
    <t>Hymenoscyphus sulphuratus (Fr.) Van Vooren &amp; Cheype</t>
  </si>
  <si>
    <t>Perenniporia subacida (Peck) Donk</t>
  </si>
  <si>
    <t>Nectria cinnabarina (Tode) Fr</t>
  </si>
  <si>
    <t>Nectrie rouge cinabre</t>
  </si>
  <si>
    <t>Lepiota magnispora Murrill</t>
  </si>
  <si>
    <t>Lépiote à spores ventrues</t>
  </si>
  <si>
    <t>Pholiota limonella (Peck) Saccardo</t>
  </si>
  <si>
    <t>Pholiote jaune citron</t>
  </si>
  <si>
    <t>Septoria lycoctoni Speg.</t>
  </si>
  <si>
    <t>Rugosomyces pseudoflammula (J.E. Lange) M. Bon</t>
  </si>
  <si>
    <t>Lyophylle fausse flammule</t>
  </si>
  <si>
    <t xml:space="preserve">Phyllachora junci (Fr.) Fuckel </t>
  </si>
  <si>
    <t>Mycena flos-nivium Kühner</t>
  </si>
  <si>
    <t>Mycène fleur des neiges</t>
  </si>
  <si>
    <t>Sphaerobolus stellatus Tode : Pers.</t>
  </si>
  <si>
    <t>Sphérobole étoilée</t>
  </si>
  <si>
    <t>Nitschkia grevillii (Rehm) Nannf.</t>
  </si>
  <si>
    <t>Mycena capillaris (Schum : Fr.) Kumm</t>
  </si>
  <si>
    <t>Marasme capillaire</t>
  </si>
  <si>
    <t>Russula emeticicolor J. Schäffer</t>
  </si>
  <si>
    <t>Russule mimétique</t>
  </si>
  <si>
    <t xml:space="preserve">Microthyrium inconspicuum J.P. Ellis </t>
  </si>
  <si>
    <t>Ramularia hellebori Fuckel</t>
  </si>
  <si>
    <t>Mycena purpureofusca (Peck) Saccardo</t>
  </si>
  <si>
    <t>Tubaria minutalis Romagnesi</t>
  </si>
  <si>
    <t>Melanoleuca spegazzinii (Saccardo &amp; D. Saccardo) Singer</t>
  </si>
  <si>
    <t>Tricholome de Spegazzini</t>
  </si>
  <si>
    <t>Mollisia pulla (W. Phillips &amp; Keith) Baral</t>
  </si>
  <si>
    <t>Phyllosticta passerinii Berl. &amp; Voglino</t>
  </si>
  <si>
    <t>Leptoporus mollis (Pers. : Fr.) Pilát</t>
  </si>
  <si>
    <t>Polypore mou</t>
  </si>
  <si>
    <t>Polyporus corylinus Mauri</t>
  </si>
  <si>
    <t>Polypore du noisetier</t>
  </si>
  <si>
    <t>Hygrophoropsis aurantiaca f. nigripes Trog.</t>
  </si>
  <si>
    <t>Fausse-girolle forme à pied noir</t>
  </si>
  <si>
    <t>Tricholoma apium J. Schäffer</t>
  </si>
  <si>
    <t>Tricholome à odeur de céleri</t>
  </si>
  <si>
    <t>Déterminante. Espèce patrimoniale très remarquable.</t>
  </si>
  <si>
    <t>20</t>
  </si>
  <si>
    <t xml:space="preserve">Microsphaera hedwigii (Lév.) Lév. </t>
  </si>
  <si>
    <t>Tubaria furfuracea (Pers. : Fr.) Gillet</t>
  </si>
  <si>
    <t>Tubaire furfuracé</t>
  </si>
  <si>
    <t xml:space="preserve">Perisporium vulgare Corda </t>
  </si>
  <si>
    <t>Panaeolina foenisecii (Pers. : Fr.) R. Maire</t>
  </si>
  <si>
    <t>Panéole des foins</t>
  </si>
  <si>
    <t>Typhula erumpens Corner</t>
  </si>
  <si>
    <t>Strobilomyces strobilaceus (Scop. : Fr.) Berk</t>
  </si>
  <si>
    <t>Bolet pomme de pin</t>
  </si>
  <si>
    <t>Puccinia menthae Pers.</t>
  </si>
  <si>
    <t>Rouille de la menthe</t>
  </si>
  <si>
    <t>Septoria torminalis Allesch.</t>
  </si>
  <si>
    <t>Ramularia veronicicola Videira &amp; Crous</t>
  </si>
  <si>
    <t>Phyllosticta tinea Sacc.</t>
  </si>
  <si>
    <t>Psathyrella leucotephra (Berk. &amp; Br.) Orton</t>
  </si>
  <si>
    <t>Perenniporia fraxinea (Bull. : Fr.) Ryvarden</t>
  </si>
  <si>
    <t>Polypore du frêne</t>
  </si>
  <si>
    <t>Pholiota pseudoflavida M. Bon &amp; P. Roux</t>
  </si>
  <si>
    <t>Pholiote jaune</t>
  </si>
  <si>
    <t>Pirottaea senecionis (Cooke &amp; W. Phillips) Nannf.</t>
  </si>
  <si>
    <t xml:space="preserve">Ramularia rubella (Bonord.) Nannf. </t>
  </si>
  <si>
    <t>Ascochyta ambrosiana Unamuno</t>
  </si>
  <si>
    <t>Tuber brumale Vitt.</t>
  </si>
  <si>
    <t>Truffe d'hiver</t>
  </si>
  <si>
    <t>Orbilia filiformis Baral ined.</t>
  </si>
  <si>
    <t>Opegrapha atra Pers.</t>
  </si>
  <si>
    <t>Cortinarius filopes P. Moënne-Loccoz &amp; Reumaux [ad int.]</t>
  </si>
  <si>
    <t>Pulvinula globifera (Berk. &amp; M.A. Curtis) Le Gal</t>
  </si>
  <si>
    <t>Metatrichia vesparium (Batsh) Nannf. Brem.</t>
  </si>
  <si>
    <t>Trapeliopsis granulosa (Hoffm.) Lumbsch</t>
  </si>
  <si>
    <t>Russula viridicans Carteret &amp; Reumaux</t>
  </si>
  <si>
    <t>Leccinum melaneum (Smotl.) Pilát &amp; Dermek</t>
  </si>
  <si>
    <t>Puccinia angelicae (Schum.) Fuckel</t>
  </si>
  <si>
    <t>Rouille de l'angélique</t>
  </si>
  <si>
    <t>Russula amoenicolor Romagnesi</t>
  </si>
  <si>
    <t>Russule panachée</t>
  </si>
  <si>
    <t>Pluteus hispidulus (Fr. : Fr.) Gillet</t>
  </si>
  <si>
    <t>Plutée hispide</t>
  </si>
  <si>
    <t xml:space="preserve">Pseudovalsa thelebola (Fr.) Höhn. </t>
  </si>
  <si>
    <t>Tranzschelia fusca (Rehlan) Dietel</t>
  </si>
  <si>
    <t>Puccinia obscura J. Schröter</t>
  </si>
  <si>
    <t>Pluteus hiatulus Romagnesi</t>
  </si>
  <si>
    <t>Queletia mirabilis Fr.</t>
  </si>
  <si>
    <t>Queletie admirable</t>
  </si>
  <si>
    <t>Thelephora anthocephala (Bull. : Fr.) Fr.</t>
  </si>
  <si>
    <t>Théléphore à tête en choux-fleur</t>
  </si>
  <si>
    <t>Rutstroemia luteovirescens (P. Karst.) W.L. White</t>
  </si>
  <si>
    <t>Lactifluus glaucescens (Crossl.) Verbeken</t>
  </si>
  <si>
    <t>Lactaire verdissant</t>
  </si>
  <si>
    <t>Ophiocordyceps clavulata (Schweinitz) Petch</t>
  </si>
  <si>
    <t xml:space="preserve">Ramularia mulgedii (Bubák) Bubák </t>
  </si>
  <si>
    <t>Phyllosticta agrimoniae (Lasch) Allesch. ex Died</t>
  </si>
  <si>
    <t>Physarum bitectum G. Lister</t>
  </si>
  <si>
    <t>Tricholoma sulfurescens Bresadola</t>
  </si>
  <si>
    <t>Tricholome jaunissant</t>
  </si>
  <si>
    <t>Postia ceriflua (Berk. &amp; M.A. Curtis) Jülich</t>
  </si>
  <si>
    <t>Pleurocybella porrigens (Pers. : Fr.) Singer</t>
  </si>
  <si>
    <t>Pleurote en oreille</t>
  </si>
  <si>
    <t>Pluteus pellitus (Pers. : Fr.) Kummer</t>
  </si>
  <si>
    <t>Plutée à fourrure</t>
  </si>
  <si>
    <t xml:space="preserve">Erysiphe geraniacearum U. Braun &amp; Simonyan </t>
  </si>
  <si>
    <t>Rhizopogon luteolus Fr. &amp; Nordholm</t>
  </si>
  <si>
    <t>Rhizopogon jaunâtre</t>
  </si>
  <si>
    <t>Microglossum rufescens (Grélet) Bon</t>
  </si>
  <si>
    <t>Microglosse roussissant</t>
  </si>
  <si>
    <t>Tranzschelia pruni-spinosae (Pers.) Dietel</t>
  </si>
  <si>
    <t xml:space="preserve">Taeniolella exilis (P. Karst.) S. Hughes </t>
  </si>
  <si>
    <t>Psathyrella fulvescens (Romagn.) M.M. Moser ex A.H. Sm.</t>
  </si>
  <si>
    <t>Scleroderma verrucosum (Bull. : Pers.) Pers.</t>
  </si>
  <si>
    <t>Scléroderme verruqueux</t>
  </si>
  <si>
    <t>Phaeohelotium geogenum (Cooke) Svrček &amp; Matheis</t>
  </si>
  <si>
    <t xml:space="preserve">Mycosphaerella chenopodii Dearn. &amp; Barthol. </t>
  </si>
  <si>
    <t>Phyllosticta arbuti (desm.) Sacc.</t>
  </si>
  <si>
    <t>Pholiota conissans var. graminis (Quélet) M. Bon &amp; P. Roux</t>
  </si>
  <si>
    <t>Pholiote des graminées</t>
  </si>
  <si>
    <t xml:space="preserve">Resupinatus algidus (Fr.) M. Lange </t>
  </si>
  <si>
    <t xml:space="preserve">Ramularia glechomatis U. Braun </t>
  </si>
  <si>
    <t>Panus conchatus (Bull. : Fr.) Fr.</t>
  </si>
  <si>
    <t>Lentin coquillage</t>
  </si>
  <si>
    <t>Stereum ochraceoflavum (Schw.) J.B. Ellis</t>
  </si>
  <si>
    <t>Stérée ochracé-fauve</t>
  </si>
  <si>
    <t>Hebeloma sinuosum (Fr.) Quél</t>
  </si>
  <si>
    <t>Tolypocladium capitatum (Holmsk.) C.A. Quandt, Kepler &amp; Spatafora</t>
  </si>
  <si>
    <t>Cordyceps à tête allongée</t>
  </si>
  <si>
    <t>Xerocomus ferrugineus f. citrinovirens (Watling) Redeuilh</t>
  </si>
  <si>
    <t xml:space="preserve">Antrodia pulvinascens (Pilát) Niemelä </t>
  </si>
  <si>
    <t>Trichopeziza urticae Baral ad interim</t>
  </si>
  <si>
    <t>Lycoperdon molle Pers. : Pers.</t>
  </si>
  <si>
    <t>Vesse-de-loup molle</t>
  </si>
  <si>
    <t>Gnomonia ulmea (Schwein.) Thüm.</t>
  </si>
  <si>
    <t>Postia simulans (P. Karst.) Spirin &amp; B. Rivoire</t>
  </si>
  <si>
    <t>Polypore simulateur</t>
  </si>
  <si>
    <t xml:space="preserve">Leptogium lichenoides (L.) Zahlbr. </t>
  </si>
  <si>
    <t>Pluteus boudieri Orton</t>
  </si>
  <si>
    <t>Plutée de Boudier</t>
  </si>
  <si>
    <t>Pluteus romellii (Britz.) Saccardo</t>
  </si>
  <si>
    <t>Plutée de Romell</t>
  </si>
  <si>
    <t>Physoderma menyanthis (de Bary) de Bary</t>
  </si>
  <si>
    <t>Otidea fuckelii M. Carbone &amp; Van Vooren</t>
  </si>
  <si>
    <t>Otidée de Fuckel</t>
  </si>
  <si>
    <t>Panaeolus acuminatus Quélet</t>
  </si>
  <si>
    <t>Panéole acuminée</t>
  </si>
  <si>
    <t>Crepidotus malachius Sacc.</t>
  </si>
  <si>
    <t>Meottomyces dissimulans (Berk. &amp; Br.) Vizzini</t>
  </si>
  <si>
    <t>Pholiote à pied renflé</t>
  </si>
  <si>
    <t>Valsa auerswaldii Nitschke</t>
  </si>
  <si>
    <t>Postia stiptica (Pers. : Fr.) Jülich</t>
  </si>
  <si>
    <t>Polypore amer</t>
  </si>
  <si>
    <t xml:space="preserve">Cylindrosporella ulmea (Miles) Arx </t>
  </si>
  <si>
    <t>Puccinia tanaceti de Candolle</t>
  </si>
  <si>
    <t>Trichophaea brunnea (Alb. &amp; Schwein. : Fr.) L.R. Batra</t>
  </si>
  <si>
    <t>Leccinum piceinum Pilát &amp; Dermek</t>
  </si>
  <si>
    <t>Bolet rude des épicéas</t>
  </si>
  <si>
    <t>Russula versicolor var. intensior (Cooke) M. Bon</t>
  </si>
  <si>
    <t>Russule vieux-rose</t>
  </si>
  <si>
    <t>Microglossum viride (Pers. : Fr.) Gillet</t>
  </si>
  <si>
    <t>Microglosse vert</t>
  </si>
  <si>
    <t>Pluteus depauperatus Romagnesi</t>
  </si>
  <si>
    <t>Plutée beige et blanche</t>
  </si>
  <si>
    <t xml:space="preserve">Tubeufia cerea (Berk. &amp; M.A. Curtis) Höhn. </t>
  </si>
  <si>
    <t>Physarum listeri T.Macbr.</t>
  </si>
  <si>
    <t>Psathyrella orbitarum (Romagnesi) Moser</t>
  </si>
  <si>
    <t>Pseudombrophila hepatica (Batsch) Brumm.</t>
  </si>
  <si>
    <t>Lyophyllum graminicola (Bon) Ballero &amp; Contu</t>
  </si>
  <si>
    <t>Collybie graminicole</t>
  </si>
  <si>
    <t>Mycena zephirus (Fr. : Fr.) Kummer</t>
  </si>
  <si>
    <t>Mycène zéphir</t>
  </si>
  <si>
    <t>Sarcogyne regularis var. intermedia (Körb.) Golubk.</t>
  </si>
  <si>
    <t>Phyllosticta alpina Allesch.</t>
  </si>
  <si>
    <t>Sarcoscypha coccinea (Scop. : Fr.) Lambotte</t>
  </si>
  <si>
    <t>Pézize coccinée ou Pézize écarlate</t>
  </si>
  <si>
    <t xml:space="preserve">Podospora pyriformis (A. Bayer) Cain </t>
  </si>
  <si>
    <t>Sclerotinia sclerotiorum (Lib.) de Bary</t>
  </si>
  <si>
    <t>Peronospora alta Fuckel</t>
  </si>
  <si>
    <t>Tricholoma equestre (L. : Fr.) Kummer</t>
  </si>
  <si>
    <t>Tricholome équestre ou Tricholome des chevaliers</t>
  </si>
  <si>
    <t>Tricholoma dulciolens Kytövuori</t>
  </si>
  <si>
    <t>Unguiculariella allantospora Baral ad interim</t>
  </si>
  <si>
    <t>Trochila ilicina (Nees : Fr.) Courtec.</t>
  </si>
  <si>
    <t>Neoerysiphe galii (S. Blumer) U. Braun</t>
  </si>
  <si>
    <t>Mycena galopus (Pers. : Fr.) Kummer</t>
  </si>
  <si>
    <t>Mycène à lait blanc</t>
  </si>
  <si>
    <t>Mycena rhenana Maas Geesteranus &amp; Winterhoff</t>
  </si>
  <si>
    <t>Mycène du Rhin ou Mycène rhénane</t>
  </si>
  <si>
    <t>Septoria ficariae Desm.</t>
  </si>
  <si>
    <t>Pachyella violaceonigra (Rehm) Pfister</t>
  </si>
  <si>
    <t>Pézize violacée noire</t>
  </si>
  <si>
    <t xml:space="preserve">Phyllosticta leucospila (Pass.) Allesch. </t>
  </si>
  <si>
    <t>Ascochyta juglandis Boltsh</t>
  </si>
  <si>
    <t>Octospora axillaris (Nees) M.M. Moser</t>
  </si>
  <si>
    <t>Russula laricina Velenovsky</t>
  </si>
  <si>
    <t>Russule des mélèzes</t>
  </si>
  <si>
    <t>Leucocybe connata (Schumach.) Vizzini, P. Alvarado, G. Moreno &amp; Consiglio</t>
  </si>
  <si>
    <t>Tricholome conné</t>
  </si>
  <si>
    <t>Hebeloma crustuliniforme var. longicaudum (Pers…</t>
  </si>
  <si>
    <t>Hébélome échaudé variété à long pied</t>
  </si>
  <si>
    <t>Pseudophacidium necans  Rehm,</t>
  </si>
  <si>
    <t>Russula fragilis f. violascens (Gillet) Singer</t>
  </si>
  <si>
    <t>Stemonitis fusca var. rufescens Lister</t>
  </si>
  <si>
    <t>Mycosphaerella ligustri (Roberge ex Desm.) Lindau</t>
  </si>
  <si>
    <t>Peziza micropus Pers.</t>
  </si>
  <si>
    <t>Phaeohelotium carneum (Fr.) Hengstm</t>
  </si>
  <si>
    <t xml:space="preserve">Lentaria byssiseda Corner  </t>
  </si>
  <si>
    <t xml:space="preserve">Roumegueriella rufula (Berk. &amp; Broome) Malloch &amp; Cain </t>
  </si>
  <si>
    <t xml:space="preserve">Peziza succinea Quél. </t>
  </si>
  <si>
    <t>Panaeolus rickenii Hora</t>
  </si>
  <si>
    <t>Panéole de Ricken</t>
  </si>
  <si>
    <t>Mycena juniperina Aronsen</t>
  </si>
  <si>
    <t>Mycène des genévriers</t>
  </si>
  <si>
    <t>Ramaria largentii Marr &amp; Stuntz</t>
  </si>
  <si>
    <t>Ramaire de Largent</t>
  </si>
  <si>
    <t xml:space="preserve">Taphrina carpini (Rostr.) Johanson </t>
  </si>
  <si>
    <t>Cloque du charme</t>
  </si>
  <si>
    <t>Postia undosa (Peck) Jülich</t>
  </si>
  <si>
    <t>Massaria campestris Voglmayr &amp; Jaklitsch</t>
  </si>
  <si>
    <t>Pyrenopeziza rubi (Fr.) Rehm.</t>
  </si>
  <si>
    <t>Melanoleuca cognata (Fr.) Konrad &amp; Maublanc</t>
  </si>
  <si>
    <t>Tricholome vernal</t>
  </si>
  <si>
    <t xml:space="preserve">Marssonina brunnea (Ellis &amp; Everh.) Magnus </t>
  </si>
  <si>
    <t>Marasmius cespitum Quélet</t>
  </si>
  <si>
    <t>Marasme cespiteux</t>
  </si>
  <si>
    <t>Septoria pastinacae Westend</t>
  </si>
  <si>
    <t>Tricholoma stans (Fr.) Saccardo</t>
  </si>
  <si>
    <t>Tricholome constant</t>
  </si>
  <si>
    <t>Mycena inclinata f. albopilea Robich &amp; Consiglio</t>
  </si>
  <si>
    <t>Mycène inclinée forme à pied blanc</t>
  </si>
  <si>
    <t xml:space="preserve">Peltigera polydactylon (Neck.) Hoffm </t>
  </si>
  <si>
    <t>Trechispora hymenocystis (Berk. &amp; Br.) K.-H. Larsson</t>
  </si>
  <si>
    <t>Ramaria stricta (Pers. : Fr.) Quélet</t>
  </si>
  <si>
    <t>Ramaire raide</t>
  </si>
  <si>
    <t>Russula zvarae Velenosky</t>
  </si>
  <si>
    <t>Russule de Zvara ou Russule rose tendre</t>
  </si>
  <si>
    <t>Platygloea effusa J. Schröter</t>
  </si>
  <si>
    <t>Tricholoma vaccinum var. fulvosquamulosum M. Bon</t>
  </si>
  <si>
    <t>Typhula mucor Patouillard</t>
  </si>
  <si>
    <t xml:space="preserve">Podospora fimiseda (Ces. &amp; De Not.) Niessl </t>
  </si>
  <si>
    <t>Panaeolus fimicola (Pers. : Fr.) Quélet</t>
  </si>
  <si>
    <t>Panéole du fumier</t>
  </si>
  <si>
    <t xml:space="preserve">Cylindrocarpon olidum (Wollenw.) Wollenw. </t>
  </si>
  <si>
    <t>Tarzetta cupularis var. velata (Quél.) Häffner</t>
  </si>
  <si>
    <t>Pezize blanche variété voilée</t>
  </si>
  <si>
    <t>Phragmidium sanguisorbae (de Candolle) J. Schröter</t>
  </si>
  <si>
    <t>Melanoleuca verrucipes (Fr.) Singer</t>
  </si>
  <si>
    <t>Tricholome à pied verruqueux</t>
  </si>
  <si>
    <t xml:space="preserve">Paxillus obscurisporus C. Hahn </t>
  </si>
  <si>
    <t xml:space="preserve">Ramularia filaris Fresen. </t>
  </si>
  <si>
    <t>Ascochyta levistici (Lebedeva) Melnik</t>
  </si>
  <si>
    <t>Poronia punctata (L.) Fr.</t>
  </si>
  <si>
    <t xml:space="preserve">Diplodia syringae Auersw. </t>
  </si>
  <si>
    <t>Taeniolella stilbospora (Corda) S. Hughes</t>
  </si>
  <si>
    <t>Melanoleuca cavipes Métrod</t>
  </si>
  <si>
    <t>Septoria napelli Speg.</t>
  </si>
  <si>
    <t>Tubaria segestria (Fr.) Boud.</t>
  </si>
  <si>
    <t xml:space="preserve">Cortinarius violaceomaculatus Brandrud </t>
  </si>
  <si>
    <t>Trichia scabra Rostf.</t>
  </si>
  <si>
    <t>Amanita albogrisescens f. subglobispora Hanss</t>
  </si>
  <si>
    <t xml:space="preserve">Ramularia plantaginis Peck </t>
  </si>
  <si>
    <t xml:space="preserve">Platychora ulmi Duval </t>
  </si>
  <si>
    <t xml:space="preserve">Septoria inconspicua Berk. &amp; M.A. Curtis </t>
  </si>
  <si>
    <t xml:space="preserve">Ramularia pusilla Unger </t>
  </si>
  <si>
    <t>Phaeocollybia arduennensis Bon</t>
  </si>
  <si>
    <t xml:space="preserve">Collybie des Ardennes </t>
  </si>
  <si>
    <t>Ramularia oreophila Sacc.</t>
  </si>
  <si>
    <t>Puccinia hordei G.H. Otth</t>
  </si>
  <si>
    <t>Phellinus robiniae (Murrill) A. Ames</t>
  </si>
  <si>
    <t>Polypore du robinier</t>
  </si>
  <si>
    <t>Lentinellus inolens (Konrad &amp; Maublanc) Konrad &amp; Maublanc</t>
  </si>
  <si>
    <t>Lentin en colimaçon variété inodore</t>
  </si>
  <si>
    <t>Lepiota pilodes Vellinga &amp; Huijser</t>
  </si>
  <si>
    <t>Peniophora proxima Bresadola</t>
  </si>
  <si>
    <t>Vuilleminia coryli Boidin, Lanquetin &amp; G. Gilles</t>
  </si>
  <si>
    <t xml:space="preserve">Puccinia brachypodii G.H. Otth </t>
  </si>
  <si>
    <t>Ocellaria ocellata (Pers.) J. Schröt.</t>
  </si>
  <si>
    <t>Microsphaera begoniae Sivan.</t>
  </si>
  <si>
    <t>Pholiota gummosa (Lasch : Fr.) Singer</t>
  </si>
  <si>
    <t>Pholiote gommeuse</t>
  </si>
  <si>
    <t xml:space="preserve">Ramularia cardamines Syd. &amp; P. Syd. </t>
  </si>
  <si>
    <t>Russula faginea Romagnesi</t>
  </si>
  <si>
    <t>Russule écrevisse des hêtres</t>
  </si>
  <si>
    <t>Ascobolus scatigenus (Berk. &amp; M.A. Curtis) Brumm.</t>
  </si>
  <si>
    <t>Fusisporium sanguineum Fr.</t>
  </si>
  <si>
    <t>Phyllosticta chaenomelina Thüm.</t>
  </si>
  <si>
    <t>Licea parasitica (Zukal) W. G. Martin</t>
  </si>
  <si>
    <t>Psilachnum inquilinum (P. Karst.) Dennis</t>
  </si>
  <si>
    <t>Asteromella aegopodii (Curr.) Petr.</t>
  </si>
  <si>
    <t>Octospora humosa var. anthracobia Boud.</t>
  </si>
  <si>
    <t>Resupinatus striatulus (Pers. : Fr.) Murrill</t>
  </si>
  <si>
    <t>Ramaria ochraceovirens (Junghuhn : Fr.) Donk</t>
  </si>
  <si>
    <t>Ramairedes sapins</t>
  </si>
  <si>
    <t>Simocybe laevigata (J. Favre) P.D. Orton</t>
  </si>
  <si>
    <t>Simocybe lisse</t>
  </si>
  <si>
    <t>Psathyrella bipellis (Quélet) A.H. Smith,</t>
  </si>
  <si>
    <t>Physarum album (Bull.) Chevall.</t>
  </si>
  <si>
    <t>Lentinellus ursinus (Fr. : Fr.) Kühn.</t>
  </si>
  <si>
    <t>Lentin ours</t>
  </si>
  <si>
    <t>Tricholoma columbetta (Fr. : Fr.) Kummer</t>
  </si>
  <si>
    <t>Tricholome colombette</t>
  </si>
  <si>
    <t>Macrotyphula fistulosa var. contorta (Holmskjold : Fr.) Nannfeldt &amp; L. Holm</t>
  </si>
  <si>
    <t>Lycogala epidendrum (J.C. Buxb. ex L.) Fr.</t>
  </si>
  <si>
    <t>Lycogale rose</t>
  </si>
  <si>
    <t>Melanoleuca polioleuca var. nivea (Métrod ex Boekhout) Gminder</t>
  </si>
  <si>
    <t>Leptosphaeria tanaceti (Fuckel) L. Holm</t>
  </si>
  <si>
    <t>Propolis farinosa (Pers.) Fr.</t>
  </si>
  <si>
    <t>Leucoagaricus ionidicolor Bellù &amp; Lanzoni</t>
  </si>
  <si>
    <t>Protostropharia semiglobata (Batsch) Redhead, Moncalvo &amp; Vilgalys</t>
  </si>
  <si>
    <t>Strophaire hémisphérique</t>
  </si>
  <si>
    <t>Ombrophila lilacea (Quél.) Sacc.</t>
  </si>
  <si>
    <t>Ascochyta silenes Ellis &amp; Everh.</t>
  </si>
  <si>
    <t>Polyporus tubaeformis (P. Karsten) Ryvarden &amp; Gilbertson</t>
  </si>
  <si>
    <t>Polypore en entonnoir</t>
  </si>
  <si>
    <t>Aecidium parthenii Pat. &amp; Har.</t>
  </si>
  <si>
    <t>Phellinus tuberculosus (Baumgartner) Niemelä</t>
  </si>
  <si>
    <t>Polypore des vergers</t>
  </si>
  <si>
    <t xml:space="preserve">Melanopsamma pomiformis (Pers.) Sacc. </t>
  </si>
  <si>
    <t>Cladosporium gentianae Lobik</t>
  </si>
  <si>
    <t>Simocybe obscura (Romagnesi) D.A. Reid</t>
  </si>
  <si>
    <t>Simocybe obscur</t>
  </si>
  <si>
    <t>Pannaria conoplea (Ach.) Bory</t>
  </si>
  <si>
    <t xml:space="preserve">Perichaena corticalis (Batsch) Rostaf. </t>
  </si>
  <si>
    <t>Mycena leptophylla (Peck) Saccardo</t>
  </si>
  <si>
    <t xml:space="preserve">Mycène à lames roses. </t>
  </si>
  <si>
    <t>Tricholoma pessundatum (Fr. : Fr.) Quélet</t>
  </si>
  <si>
    <t>Tricholome du Trentin</t>
  </si>
  <si>
    <t>Lepista sordida var. aianthina (M. Bon) M. Bon</t>
  </si>
  <si>
    <t>Lépiste sordide varité violacée</t>
  </si>
  <si>
    <t>Stenella subsanguinea (Ellis &amp; Everh.) U. Braun</t>
  </si>
  <si>
    <t>Neoboletus erythropus (Pers.) C. Hahn</t>
  </si>
  <si>
    <t>Bolet à pied rouge</t>
  </si>
  <si>
    <t>Physarum citrinum Schum.</t>
  </si>
  <si>
    <t>Melanoleuca phaeopodia (Bull. : Fr.) Sing.</t>
  </si>
  <si>
    <t>Valsella salicis Fuckel</t>
  </si>
  <si>
    <t>Polydesmia pruinosa (Berk. &amp; Br.) Boud.</t>
  </si>
  <si>
    <t>Volvariella taylori (Berk.) Singer</t>
  </si>
  <si>
    <t>Volvaire parasite</t>
  </si>
  <si>
    <t>Ramaria subbotrytis (Coker) Corner</t>
  </si>
  <si>
    <t>Ramaire corail</t>
  </si>
  <si>
    <t xml:space="preserve">Phomopsis oncostoma (Thüm.) Traverso </t>
  </si>
  <si>
    <t xml:space="preserve">Discostroma callistemonis (H.J. Swart) Sivan. </t>
  </si>
  <si>
    <t>Octospora coccinea var. tetraspora Benkert</t>
  </si>
  <si>
    <t>Cortinarius glandicolor f. curtus (Fr.) Nespiak</t>
  </si>
  <si>
    <t>Hypomyces dactylarioides G.R.W. Arnold</t>
  </si>
  <si>
    <t xml:space="preserve">Nectria cinnabarina var. ribis (Tode) Wollenw. </t>
  </si>
  <si>
    <t>Nectrie rouge cinabre varité des Ribes</t>
  </si>
  <si>
    <t>Phyllachora punctiformis (Fuckel) Fuckel</t>
  </si>
  <si>
    <t>Thyrostroma carpophilum (Lév.) B. Sutton</t>
  </si>
  <si>
    <t>Criblure</t>
  </si>
  <si>
    <t>Ascochyta lagochili Byzova</t>
  </si>
  <si>
    <t>Marssonina daphnes (Roberge ex Desm.) Magnus</t>
  </si>
  <si>
    <t>Postia lowei (Pilát) Jülich</t>
  </si>
  <si>
    <t>Proliferodiscus pulveraceus (Alb. &amp; Schwein.) Baral</t>
  </si>
  <si>
    <t>Octospora leucoloma var. tetraspora (Fuckel) Benkert</t>
  </si>
  <si>
    <t>Cortinarius opimus var. fulvobrunneus Fr.</t>
  </si>
  <si>
    <t xml:space="preserve">Nodulosphaeria derasa (Berk. &amp; Broome) L. Holm </t>
  </si>
  <si>
    <t>Melastiza cornubiensis (Berk. &amp; Broome) J. Moravec</t>
  </si>
  <si>
    <t xml:space="preserve">Taphrina polyspora (Sorokin) Johanson </t>
  </si>
  <si>
    <t>Lentinellus micheneri (Berk. &amp; Curt.) Pegler</t>
  </si>
  <si>
    <t>Lentin en éventail</t>
  </si>
  <si>
    <t xml:space="preserve">Peltigera canina (L.) Willd. </t>
  </si>
  <si>
    <t>Parascutellinia violacea (Vel.) Svrček</t>
  </si>
  <si>
    <t>Lepiota severiana Tiberi</t>
  </si>
  <si>
    <t>Phoma typhina (Sacc. &amp; Malbr.) Aa</t>
  </si>
  <si>
    <t>Otidea cochleata (Huds.) Fuckel</t>
  </si>
  <si>
    <t>Tremella lutescens Pers. : Fr.</t>
  </si>
  <si>
    <t>Tremelle jaunâtre</t>
  </si>
  <si>
    <t>Pholiota mixta (Fr.) Kuyper &amp; Tjall.-Beuk.</t>
  </si>
  <si>
    <t>Psathyrella multipedata (Peck) Smith</t>
  </si>
  <si>
    <t>Psathyrelle en touffe</t>
  </si>
  <si>
    <t>Trichia botrytis (J.F. Gmel.) Pers.</t>
  </si>
  <si>
    <t>Russula cutefracta Cooke</t>
  </si>
  <si>
    <t>Russule charbonnière craquelée</t>
  </si>
  <si>
    <t>Scleroderma geaster Fr.</t>
  </si>
  <si>
    <t>Russula trimbachii M. Bon</t>
  </si>
  <si>
    <t>Russule de Trimbach</t>
  </si>
  <si>
    <t>Tubaria pellucida (Bull. : Fr.) Gillet</t>
  </si>
  <si>
    <t xml:space="preserve">Marssonina betulae (Lib.) Magnus </t>
  </si>
  <si>
    <t>Ombrophila limosella (P. Karst.) Rehm</t>
  </si>
  <si>
    <t>Phanerochaete calotricha (Karst.) Eriksson &amp; Ryvarden</t>
  </si>
  <si>
    <t>Trichoglossum hirsutum (Pers. : Fr.) Boud.</t>
  </si>
  <si>
    <t>Trichoglosse hirsute</t>
  </si>
  <si>
    <t>Pleurotus eryngii (de Candolle : Fr.) Quélet</t>
  </si>
  <si>
    <t>Pleurote du panicaut</t>
  </si>
  <si>
    <t>Xerocomellus cisalpinus (Simonini, H. Ladurner &amp; Peintner) Klofac</t>
  </si>
  <si>
    <t>Bolet cisalpin</t>
  </si>
  <si>
    <t xml:space="preserve">Asteromella ebuli (Fuckel) Moesz </t>
  </si>
  <si>
    <t>Xerocomus dryophilus (Thiers) Singer</t>
  </si>
  <si>
    <t>Bolet du chêne</t>
  </si>
  <si>
    <t>Mycena bulbosa (Cejp.) Kühn.</t>
  </si>
  <si>
    <t>Mycène bulbeuse</t>
  </si>
  <si>
    <t>Ramularia acris Lindr.</t>
  </si>
  <si>
    <t xml:space="preserve">Phyllachora graminis (Pers.) Fuckel </t>
  </si>
  <si>
    <t>Sporormiella heptamera (Auersw.) S.I. Ahmed &amp; Cain</t>
  </si>
  <si>
    <t>Phellinus robustus (Karst.) Bourd. et Galz.</t>
  </si>
  <si>
    <t>Polypore robuste</t>
  </si>
  <si>
    <t>Mycena meliigena (Berk. &amp; Cooke) Saccardo</t>
  </si>
  <si>
    <t>Phaeotremella frondosa (Fr.) Spirin &amp; V. Malysheva</t>
  </si>
  <si>
    <t>Tremelle foliacée des feuillus</t>
  </si>
  <si>
    <t>Russula queletii Fr.</t>
  </si>
  <si>
    <t>Russule de Quélet</t>
  </si>
  <si>
    <t xml:space="preserve">Plasmopara densa (Rabenh.) J. Schröt.  </t>
  </si>
  <si>
    <t>Melanoleuca decembris var. pseudorasilis M. Bon</t>
  </si>
  <si>
    <t>Lactarius zonarius f. scrobipes (Kühn. &amp; Rom.) Quad.</t>
  </si>
  <si>
    <t>Lactaire zoné forme à pied scrobiculé</t>
  </si>
  <si>
    <t xml:space="preserve">Phlebia cremeoalutacea (Parmasto) K.-H. Larsson &amp; Hjortstam </t>
  </si>
  <si>
    <t>Russula alnetorum Romagn.</t>
  </si>
  <si>
    <t>Russule des aulnaies</t>
  </si>
  <si>
    <t xml:space="preserve">Nectriopsis violacea (J.C. Schmidt ex Fr.) Maire </t>
  </si>
  <si>
    <t>Nectrie violacée</t>
  </si>
  <si>
    <t>Angustimassarina quercicola Thambug., Jayasiri, R.K. Schumach. &amp; K.D. Hyde</t>
  </si>
  <si>
    <t>Mycena amicta (Fr. : Fr.) Quélet</t>
  </si>
  <si>
    <t>Mycène iris</t>
  </si>
  <si>
    <t>Rimbachia bryophila (Pers.) Redhead</t>
  </si>
  <si>
    <t>Physarum leucophaeum Fr.</t>
  </si>
  <si>
    <t>Omphalina mutila (Fr. : Fr.) P.D. Orton</t>
  </si>
  <si>
    <t>Microbotryum stellariae (Liro) Deml &amp; Oberwinkler</t>
  </si>
  <si>
    <t>Octospora leucoloma Hedw. : Fr.</t>
  </si>
  <si>
    <t>Puccinia montana Fuckel</t>
  </si>
  <si>
    <t>Peziza acroornata Dougoud &amp; J. Moravec</t>
  </si>
  <si>
    <t>Pleospora cytisi Fuckel</t>
  </si>
  <si>
    <t>Puccinia liliacearum Duby</t>
  </si>
  <si>
    <t>Tricholoma fucatum (Fr. : Fr.) Kummer</t>
  </si>
  <si>
    <t xml:space="preserve">Puccinia graminis Pers. </t>
  </si>
  <si>
    <t>Rouilles des graminées</t>
  </si>
  <si>
    <t xml:space="preserve">Mycosphaerella ribis Sacc. </t>
  </si>
  <si>
    <t>Russula betularum Hora</t>
  </si>
  <si>
    <t>Russule émétique des bouleaux</t>
  </si>
  <si>
    <t>Plicaria endocarpoides (Berk.) Rifai</t>
  </si>
  <si>
    <t>Russula unicolor Romagnesi</t>
  </si>
  <si>
    <t>Russule unicolore</t>
  </si>
  <si>
    <t xml:space="preserve">Lobothallia radiosa (Hoffm.) Hafellner </t>
  </si>
  <si>
    <t>Typhula spathulata (Corner) Berthier</t>
  </si>
  <si>
    <t>Pluteus godeyi Gillet</t>
  </si>
  <si>
    <t>Plutée de Godey</t>
  </si>
  <si>
    <t>Steccherinum robustius (J. Erikss. &amp; S. Lundell) J. Erikss.</t>
  </si>
  <si>
    <t>Hydne robuste</t>
  </si>
  <si>
    <t>Scytinium lichenoides (Linnaeus) Otálora, P.M. Jørg. &amp; Wedin</t>
  </si>
  <si>
    <t>Marasmius anomalus Lasch</t>
  </si>
  <si>
    <t>Marasme anormal</t>
  </si>
  <si>
    <t>Postia balsamea (Peck) Jülich</t>
  </si>
  <si>
    <t>Polypore baumier</t>
  </si>
  <si>
    <t>Septoria leucanthemi Sacc. &amp; Speg.</t>
  </si>
  <si>
    <t>Didymocyrtis slaptonensis (D. Hawksw.) Hafellner &amp; Ertz</t>
  </si>
  <si>
    <t>Russula brunneoviolacea Crawshay</t>
  </si>
  <si>
    <t>Russule brun violacé</t>
  </si>
  <si>
    <t>Pseudoplectania nigrella (Pers. : Fr.) Fuckel</t>
  </si>
  <si>
    <t>Plectanie noire</t>
  </si>
  <si>
    <t>Olla millepunctata (Lib.) Svrček</t>
  </si>
  <si>
    <t>Tulasnella allantospora Wakefield &amp; Pearson</t>
  </si>
  <si>
    <t>Ramularia lysimachiae Thüm.</t>
  </si>
  <si>
    <t>Orbilia mali Baral</t>
  </si>
  <si>
    <t>Pézize du pommier</t>
  </si>
  <si>
    <t>Melampsora salicis-albae Kleb.</t>
  </si>
  <si>
    <t xml:space="preserve">Septoria menyanthis (Lib.) Desm. </t>
  </si>
  <si>
    <t xml:space="preserve">Puccinia urticata var. urticae-hirtae (Kleb.) Zwetko </t>
  </si>
  <si>
    <t xml:space="preserve">Phoma exigua Desm. </t>
  </si>
  <si>
    <t>Pithya vulgaris Fuckel</t>
  </si>
  <si>
    <t>Pithye commune</t>
  </si>
  <si>
    <t>Xylaria carpophila (Pers.) Fr.</t>
  </si>
  <si>
    <t>Xylaire des faînes</t>
  </si>
  <si>
    <t>Mycena plumipes (Kalchbrenner) P.-A. Moreau</t>
  </si>
  <si>
    <t>Mycène des strobiles ou Mycène des cônes</t>
  </si>
  <si>
    <t xml:space="preserve">Splanchnonema pupula (Fr.) Kuntze </t>
  </si>
  <si>
    <t>Septoria gei Rob. ex Desm.</t>
  </si>
  <si>
    <t>Limacella illinita (Fr.) Maire</t>
  </si>
  <si>
    <t>Limacelle enduite</t>
  </si>
  <si>
    <t>Phlyctis argena (Ach.) Flot</t>
  </si>
  <si>
    <t>Peziza subviolacea Svrek</t>
  </si>
  <si>
    <t>Pézize presque violacée</t>
  </si>
  <si>
    <t>Phanerochaete laevis (Pers. : Fr.) Erikss. &amp; Ryv.</t>
  </si>
  <si>
    <t>Pholiota conissans (Fr.) Moser</t>
  </si>
  <si>
    <t>Mollisia retincola (Rabenh.) inéd.</t>
  </si>
  <si>
    <t>Physarum cinereum (Batsch) Pers.</t>
  </si>
  <si>
    <t>Lyophyllum transforme (Britzelmayr) Singer</t>
  </si>
  <si>
    <t>Tricholome à spores triangulaires</t>
  </si>
  <si>
    <t>Physcia aipolia (Ehrh. ex Humb.) Fürnr</t>
  </si>
  <si>
    <t>Peziza vesiculosa Bull. : Fr.</t>
  </si>
  <si>
    <t>Pézize vésiculeuse</t>
  </si>
  <si>
    <t xml:space="preserve">Podospora myriospora (P. Crouan &amp; H. Crouan) Niessl </t>
  </si>
  <si>
    <t>Rhodocybe gemina f. subvermicularis (R. Maire) M. Bon</t>
  </si>
  <si>
    <t>Conocybe aurea (Jul. Schäff.) Hongo</t>
  </si>
  <si>
    <t>Conocybe doré</t>
  </si>
  <si>
    <t>Psathyrella niveobadia (Romagn.) M.M. Moser</t>
  </si>
  <si>
    <t>Psathyrelle blanc bai</t>
  </si>
  <si>
    <t>Sarcinella heterospora Sacc.</t>
  </si>
  <si>
    <t xml:space="preserve">Septoria veronicae Roberge &amp; Desm. </t>
  </si>
  <si>
    <t xml:space="preserve">Uromyces appendiculatus F. Strauss </t>
  </si>
  <si>
    <t>Panaeolus uliginosus J. Schäffer</t>
  </si>
  <si>
    <t>Russula sublevispora (Romagnesi) M. Bon</t>
  </si>
  <si>
    <t>Russule grise des peupliers</t>
  </si>
  <si>
    <t>Monilia fructigena (Pers.) Eaton</t>
  </si>
  <si>
    <t xml:space="preserve">Tomentella ellisii (Sacc.) Jülich &amp; Stalpers </t>
  </si>
  <si>
    <t>Tomentelle hydrophile</t>
  </si>
  <si>
    <t>Tricholoma sulphureum (Bull. : Fr.) Kummer</t>
  </si>
  <si>
    <t>Tricholome soufré</t>
  </si>
  <si>
    <t xml:space="preserve">Quaternaria dissepta (Fr.) Tul. &amp; C. Tul. </t>
  </si>
  <si>
    <t>Pezicula rubi (Lib.) Niessl</t>
  </si>
  <si>
    <t>Pézicule des ronces</t>
  </si>
  <si>
    <t>Russula subfoetens var. johannis Moënne-Loccoz</t>
  </si>
  <si>
    <t>Tricholoma portentosum (Fr. : Fr.) Quélet</t>
  </si>
  <si>
    <t>Tricholome prétentieux</t>
  </si>
  <si>
    <t>Cyathicula paludosa (Velen.) Baral</t>
  </si>
  <si>
    <t xml:space="preserve">Podospora communis (Speg.) Niessl </t>
  </si>
  <si>
    <t>Spooneromyces helveticus J. Breitenb. &amp; F. Kränzl.</t>
  </si>
  <si>
    <t>Asteromella trautmanniana (Moesz) Moesz</t>
  </si>
  <si>
    <t>Russula pectinatoides Peck</t>
  </si>
  <si>
    <t>Russule à odeur de baudruche</t>
  </si>
  <si>
    <t xml:space="preserve">Peltigera tomentosa Vain. </t>
  </si>
  <si>
    <t>Puccinia veronicae (Schum.) J. Schröter</t>
  </si>
  <si>
    <t>Rouilles des véroniques</t>
  </si>
  <si>
    <t>Leotia lubrica (Scop. : Fr.) Pers.</t>
  </si>
  <si>
    <t>Léotie visqueuse</t>
  </si>
  <si>
    <t>Oxyporus obducens (Pers.) Donk</t>
  </si>
  <si>
    <t>Polypore sosie</t>
  </si>
  <si>
    <t>Russula sericatula Romagnesi</t>
  </si>
  <si>
    <t>Russule soyeuse</t>
  </si>
  <si>
    <t>Mycena metata (Fr. : Fr.) Kummer</t>
  </si>
  <si>
    <t>Mycène conique</t>
  </si>
  <si>
    <t>Licea minima Fr.</t>
  </si>
  <si>
    <t>Rutstroemia firma (Pers. : Fr.) P. Karst.</t>
  </si>
  <si>
    <t>Lepista nebularis var. stenophylla (P. Karsten) M. Bon</t>
  </si>
  <si>
    <t>Diplococcium clarkii M.B. Ellis</t>
  </si>
  <si>
    <t>Pholiota adiposa (Batsch : Fr.) Kummer</t>
  </si>
  <si>
    <t>Pholiote adipeuse ou Pholiote dorée</t>
  </si>
  <si>
    <t>Mycena arcangeliana Bresadola</t>
  </si>
  <si>
    <t>Mycène jaune olive ou Mycène olivâtre</t>
  </si>
  <si>
    <t>Russula sororia Fr.</t>
  </si>
  <si>
    <t>Russule sœur ou Russule à odeur spermatique</t>
  </si>
  <si>
    <t>Lasiobelonium belanense (Svrcek) Raitv.</t>
  </si>
  <si>
    <t>Phanerochaete sordida (Karst.) Erikss. &amp; Ryv.</t>
  </si>
  <si>
    <t>Podostroma alutaceum (Pers. : Fr.) G.F. Atk.</t>
  </si>
  <si>
    <t>Podostrome alutacé</t>
  </si>
  <si>
    <t xml:space="preserve">Leptochlamys thecicola (Berk. &amp; Broome) Racov. </t>
  </si>
  <si>
    <t>Leccinum nigellum Redeuilh</t>
  </si>
  <si>
    <t xml:space="preserve">Ramularia lamii var. minor U. Braun </t>
  </si>
  <si>
    <t xml:space="preserve">Phyllactinia guttata (Wallr.) Lév. </t>
  </si>
  <si>
    <t>Saccobolus depauperatus (Berk. &amp; Broome) Hansen</t>
  </si>
  <si>
    <t>Lasiosphaeria hirsuta (Fr.) Ces. &amp; De Not.</t>
  </si>
  <si>
    <t>Melanoleuca parisiorum M. Bon</t>
  </si>
  <si>
    <t>Leucopaxillus compactus (Quélet) Neuhoff</t>
  </si>
  <si>
    <t>Leucopaxille compact</t>
  </si>
  <si>
    <t>Pterula multifida (Chevallier) Fr.</t>
  </si>
  <si>
    <t>Melanoleuca pseudoluscina M. Bon</t>
  </si>
  <si>
    <t>Scutiger ovinus (J.C. Sch. : Fr.) Murrill</t>
  </si>
  <si>
    <t>Polypore des brebis</t>
  </si>
  <si>
    <t>Ramaria gypsea Schild</t>
  </si>
  <si>
    <t>Ramaria neoformosa R.H. Petersen</t>
  </si>
  <si>
    <t>Rinodina bischoffii (Hepp) A.Massal. subsp. bischoffii</t>
  </si>
  <si>
    <t>Taphrina fagicola K. Tanaka</t>
  </si>
  <si>
    <t>Cloque du hêtre</t>
  </si>
  <si>
    <t>Russula firmula J. Schäffer</t>
  </si>
  <si>
    <t>Russule ferme ou Russule petite pomme</t>
  </si>
  <si>
    <t>Physcia adscendens (Fr.) H. Olivier</t>
  </si>
  <si>
    <t>Marasmius torquescens Quél.</t>
  </si>
  <si>
    <t>Pluteus exiguus (Patouillard) Saccardo</t>
  </si>
  <si>
    <t xml:space="preserve">Phacellium carneum (Oudem.) U. Braun </t>
  </si>
  <si>
    <t>Peniophora rufomarginata (Pers.) Litschauer</t>
  </si>
  <si>
    <t>Corticie à marge rousse</t>
  </si>
  <si>
    <t>Puccinia angelicae-mamillata Kleb.</t>
  </si>
  <si>
    <t>Simocybe coniophora (Romagnesi) Watling</t>
  </si>
  <si>
    <t>Lepiota lilacea Bresadola</t>
  </si>
  <si>
    <t>Lépiote lilas</t>
  </si>
  <si>
    <t>Lepraria aeruginosa (F.H. Wigg.) Sm.</t>
  </si>
  <si>
    <t>Singerocybe phaeophtalma (Pers.) Harmaja</t>
  </si>
  <si>
    <t>Clitocybe à odeur de poulailler</t>
  </si>
  <si>
    <t>Tricholoma sejunctum var. fagetorum Bon &amp; Bouteville</t>
  </si>
  <si>
    <t>Tricholome émarginé variété des hêtres</t>
  </si>
  <si>
    <t>Leptosphaeria vagabunda Sacc.</t>
  </si>
  <si>
    <t xml:space="preserve">Ramularia calthae Lindr. </t>
  </si>
  <si>
    <t>Rhizodiscina lignyota (Fr. : Fr.) Hafellner</t>
  </si>
  <si>
    <t xml:space="preserve">Xanthoria parietina (L.) Beltr. </t>
  </si>
  <si>
    <t>Sowerbyella imperialis (Peck) Korf</t>
  </si>
  <si>
    <t>Pézize impériale</t>
  </si>
  <si>
    <t>Neohendersonia kickxii (Westend.) B. Sutton &amp; Pollack</t>
  </si>
  <si>
    <t>Uromyces fallens (Arthur) Bartholomew</t>
  </si>
  <si>
    <t>Phaeohelotium umbilicatum (Le Gal) Dennis</t>
  </si>
  <si>
    <t>Phoma herbarum Westend.</t>
  </si>
  <si>
    <t>Thelonectria veuillotiana (Sacc. &amp; Roum.) P. Chaverri &amp; C. Salgado</t>
  </si>
  <si>
    <t>Lepista multiformis (Romell) G. Gulden</t>
  </si>
  <si>
    <t>Russula poichilochroa Sarnari</t>
  </si>
  <si>
    <t>Russule polychrome</t>
  </si>
  <si>
    <t>Rhytisma salicinum (Pers.) Fr.</t>
  </si>
  <si>
    <t>Tache goudronneuse du saule</t>
  </si>
  <si>
    <t>Tricholomopsis rutilans var. albofimbriata (Trog) A.H. Smith</t>
  </si>
  <si>
    <t>Peziza ripensis E.C. Hansen</t>
  </si>
  <si>
    <t xml:space="preserve">Melanconiella appendiculata (G.H. Otth) Sacc. </t>
  </si>
  <si>
    <t>Lentinellus cochleatus (Pers. : Fr.) P. Karsten</t>
  </si>
  <si>
    <t>Lentin en colimaçon</t>
  </si>
  <si>
    <t>Trichia sordida Johannessen</t>
  </si>
  <si>
    <t>Pseudocercosporella junci (MacGarvie &amp; O'Rourke) U. Braun</t>
  </si>
  <si>
    <t xml:space="preserve">Septoria geranii Roberge ex Desm. </t>
  </si>
  <si>
    <t>Sporormiella megalospora (Auersw.) S.I. Ahmed &amp; Cain</t>
  </si>
  <si>
    <t xml:space="preserve">Podospora conica (Fuckel) A.E. Bell &amp; Mahoney </t>
  </si>
  <si>
    <t>Rutstroemia elatina (Alb. &amp; Schwein. : Fr.) Rehm</t>
  </si>
  <si>
    <t>Nidularia deformis (Willdenow : Pers.) Fr. &amp; Nordh.</t>
  </si>
  <si>
    <t>Rhytisma acerinum (Pers. : Fr.) Fr.</t>
  </si>
  <si>
    <t>Tache goudronneuse de l'érable</t>
  </si>
  <si>
    <t>Russula rubra (Lamarck : Fr.) Fr.</t>
  </si>
  <si>
    <t>Russule de velours rouge</t>
  </si>
  <si>
    <t>Elliottinia kerneri (Wettst.) L.M. Kohn</t>
  </si>
  <si>
    <t>Melanoleuca bresadolana M. Bon</t>
  </si>
  <si>
    <t>Mycena vulgaris (Pers. : Fr.) Kummer</t>
  </si>
  <si>
    <t>Mycène commune</t>
  </si>
  <si>
    <t>Phomopsis dominici (Traverso) Sacc. &amp; D. Sacc.</t>
  </si>
  <si>
    <t>Russula albonigra f. pseudonigricans Romagnesi</t>
  </si>
  <si>
    <t>Mycena mucor (Batsch : Fr.) Gillet</t>
  </si>
  <si>
    <t>Dendropleella multiseptata Munk</t>
  </si>
  <si>
    <t>Russula integra var. campestris Romagn</t>
  </si>
  <si>
    <t>Hymenoscyphus carpini (Batsch) Gminder</t>
  </si>
  <si>
    <t>Veluticeps abietina (Pers. : Fr.) Hjortstam &amp; Telleria</t>
  </si>
  <si>
    <t>Psathyrella mammifera (Romagnesi) Courtecuisse</t>
  </si>
  <si>
    <t>Phaeocollybia jennyae (P. Karsten) Heim</t>
  </si>
  <si>
    <t>Collybie de Jenny</t>
  </si>
  <si>
    <t>Puccinia antirrhini Dietel &amp; Holway</t>
  </si>
  <si>
    <t>Russula maculata Quélet</t>
  </si>
  <si>
    <t>Russule maculée</t>
  </si>
  <si>
    <t>Pholiotina hadrocystis (Kits van Waveren) Courtecuisse</t>
  </si>
  <si>
    <t>Ramaria flaccida (Fr. : Fr.) Bourdot</t>
  </si>
  <si>
    <t>Ramaire flasque</t>
  </si>
  <si>
    <t>Russula subfoetens var. grata (Britzelmayr) Romagnesi</t>
  </si>
  <si>
    <t>Cercoseptoria laserpitii (Bres.) Petr.</t>
  </si>
  <si>
    <t xml:space="preserve">Trechispora praefocata (Bourdot &amp; Galzin) Liberta </t>
  </si>
  <si>
    <t>Parasola schroeteri (P. Karst.) Redhead, Vilgalys &amp; Hopple</t>
  </si>
  <si>
    <t>Mollisia luctuosa Boud.</t>
  </si>
  <si>
    <t xml:space="preserve">Psathyrella rostellata L. Örstadius </t>
  </si>
  <si>
    <t>Peniophora incarnata (Pers. : Fr.) Karst.</t>
  </si>
  <si>
    <t>Corticie incarnate</t>
  </si>
  <si>
    <t>Rubroboletus rubrosanguineus (Cheype) Kuan Zhao et Zhu L. Yang</t>
  </si>
  <si>
    <t>Bolet rouge-sang</t>
  </si>
  <si>
    <t>Phyllosticta laserpitii Sacc.</t>
  </si>
  <si>
    <t>Urceolella graddonii Raitv. &amp; R. Galán</t>
  </si>
  <si>
    <t>Octospora grimmiae Dennis &amp; Itzerott</t>
  </si>
  <si>
    <t xml:space="preserve">Phoma macrostoma Mont. </t>
  </si>
  <si>
    <t>Trematosphaeria hydrela (Rehm) Sacc.</t>
  </si>
  <si>
    <t>Peziza badia Pers. : Fr.</t>
  </si>
  <si>
    <t>Pézize baie</t>
  </si>
  <si>
    <t>Phyllosticta potentillica Sacc.</t>
  </si>
  <si>
    <t>Lentinus tigrinus (Bull. : Fr.) Fr.</t>
  </si>
  <si>
    <t>Lentin tigré</t>
  </si>
  <si>
    <t xml:space="preserve">Sporormiella australis (Speg.) S.I. Ahmed &amp; Cain </t>
  </si>
  <si>
    <t xml:space="preserve">Synchytrium aureum J. Schröt. </t>
  </si>
  <si>
    <t>Lobaria scrobiculata (Scop.) P. Gaertn</t>
  </si>
  <si>
    <t>Mallocybe terrigena (Fr.) Matheny, Vizzini &amp; Esteve-Rav.</t>
  </si>
  <si>
    <t>Inocybe à odeur terreuse ou Inocybe pied écailleux</t>
  </si>
  <si>
    <t>Tricholoma focale (Fr.) Ricken</t>
  </si>
  <si>
    <t>Tricholome à cravate</t>
  </si>
  <si>
    <t>Marasmius tenuiparietalis Singer</t>
  </si>
  <si>
    <t>Phyllosticta michailovskoensis Elenkin &amp; Ohl</t>
  </si>
  <si>
    <t>Taphrina crataegi Sadeb.</t>
  </si>
  <si>
    <t>Cloque de l'aubépine</t>
  </si>
  <si>
    <t>Schiffnerula corni S. Hughes stade Sarcinella</t>
  </si>
  <si>
    <t>Psathyrella typhae (Kalchbrenner) A. Pearson &amp; Dennis</t>
  </si>
  <si>
    <t>Tricholoma umbonatum (J.E. Lange) Clémençon &amp; M. Bon</t>
  </si>
  <si>
    <t>Tricholome mamelonné</t>
  </si>
  <si>
    <t>Tricholoma orirubens Quélet</t>
  </si>
  <si>
    <t>Tricholome à marge rougissante</t>
  </si>
  <si>
    <t>Russula risigallina f. chamaeleontina (Lasch : Fr.) M. Bon</t>
  </si>
  <si>
    <t xml:space="preserve">Russule caméléon </t>
  </si>
  <si>
    <t>Lactarius salmonicolor f. brigantiacus Remy ex</t>
  </si>
  <si>
    <t>Ophiognomonia ischnostyla (Desm.) Sogonov</t>
  </si>
  <si>
    <t xml:space="preserve">Trichophaea abundans (P. Karst.) Boud. </t>
  </si>
  <si>
    <t>Unguiculariopsis lettaui (Grummann) Coppins</t>
  </si>
  <si>
    <t>Mycena atroalba (Bolt. : Fr.) S.F. Gray</t>
  </si>
  <si>
    <t>Eurotium intermedium (Blaser)</t>
  </si>
  <si>
    <t xml:space="preserve">Lylea tetracoila (Corda) Hol.-Jech. </t>
  </si>
  <si>
    <t>Phloeospora robiniae (Lib.) Höhn</t>
  </si>
  <si>
    <t>Schizopora flavipora (Cooke) Ryvarden</t>
  </si>
  <si>
    <t>Tympanis corylina (Sacc.) Rehm</t>
  </si>
  <si>
    <t>Xerocomellus chrysenteronf. gracilis Engel</t>
  </si>
  <si>
    <t>Bolet à chair jaune forme gracile</t>
  </si>
  <si>
    <t>Ramsbottomia asperior (Nyl.) Benkert &amp; T. Schumach.</t>
  </si>
  <si>
    <t>Comatricha nigricapillitium (Nann.-Brem. &amp; Bozonnet) Castillo &amp; al.</t>
  </si>
  <si>
    <t>Leucogyrophana mollusca (Fr. : Fr.) Pouzar</t>
  </si>
  <si>
    <t>Corticie mollusque</t>
  </si>
  <si>
    <t>Panaeolus retirugis (Fr.) Gillet</t>
  </si>
  <si>
    <t xml:space="preserve">Peltigera leucophlebia (Nyl.) Gyeln. </t>
  </si>
  <si>
    <t>Russula violeipes f. citrina (Quélet) Romagnesi</t>
  </si>
  <si>
    <t>Russule à pied violet forme citrine</t>
  </si>
  <si>
    <t>Psathyrella scanica Örstadius &amp; E. Larss.</t>
  </si>
  <si>
    <t>Phomopsis leptostromiformis (J.G. Kühn) Bubák</t>
  </si>
  <si>
    <t>Hymenochaetopsis tabacina (Sowerby) S.H. He &amp; Jiao Yang</t>
  </si>
  <si>
    <t>Hyménochète couleur tabac</t>
  </si>
  <si>
    <t>Russula laeta F.H. Møller &amp; J. Schäffer</t>
  </si>
  <si>
    <t>Russule gaie</t>
  </si>
  <si>
    <t>Leucoagaricus cinerascens (Quélet) M. Bon &amp; Boiffard</t>
  </si>
  <si>
    <t>Lépiote cendrée</t>
  </si>
  <si>
    <t>Trichopeziza leucophaea (Pers.) Rehm</t>
  </si>
  <si>
    <t>Loreleia postii (Fr.) Redhead, Moncalvo, Vilgalys &amp; Lutzoni</t>
  </si>
  <si>
    <t>Trichophaea gregaria (Rehm) Boudier</t>
  </si>
  <si>
    <t>Trametes cervina (Schw. : Fr.) Bresadola</t>
  </si>
  <si>
    <t>Tramète couleur de cerf</t>
  </si>
  <si>
    <t>Lepista personata (Fr. : Fr.) Cooke</t>
  </si>
  <si>
    <t>Pied violet</t>
  </si>
  <si>
    <t>Myriosclerotinia duriaeana (Tul. &amp; C. Tul.) N.F. Buchw</t>
  </si>
  <si>
    <t xml:space="preserve">Placosphaeria rhytismoides Allesch. </t>
  </si>
  <si>
    <t>Physcia dubia (Hoffm.) Lettau</t>
  </si>
  <si>
    <t>Russula anthracina Romagnesi</t>
  </si>
  <si>
    <t>Russule anthracite</t>
  </si>
  <si>
    <t>Paralepista flaccida (Sowerby) Vizzini</t>
  </si>
  <si>
    <t xml:space="preserve">Lépiste inversé </t>
  </si>
  <si>
    <t>Pezicula acerina (Fr.) P. Karst. &amp; Har.</t>
  </si>
  <si>
    <t>Pézicule de l'érable</t>
  </si>
  <si>
    <t>Thelebolus microsporus (Berk. &amp; Broome) Kimbr.</t>
  </si>
  <si>
    <t>Melanoleuca contracta Métrod ex Fontenla, Gottardi &amp; Para</t>
  </si>
  <si>
    <t>Pyrenopeziza fuckelii Nannf.</t>
  </si>
  <si>
    <t>Russula risigallina var. ochracea ss. Bresadola</t>
  </si>
  <si>
    <t>Russule caméléon variété ochracée</t>
  </si>
  <si>
    <t>Leucocoprinus straminellus (Baglietto) Narducci &amp; Caroti</t>
  </si>
  <si>
    <t>Rhizopogon roseolus (Corda) Th. M. Fries</t>
  </si>
  <si>
    <t>Rhizopogon rosâtre</t>
  </si>
  <si>
    <t>Russula rubroalba (Singer) Romagnesi</t>
  </si>
  <si>
    <t>Russule rouge et blanche</t>
  </si>
  <si>
    <t>Psathyrella polycystis (Romagnesi) Kits van Waveren</t>
  </si>
  <si>
    <t>Phellodon confluens (Pers.) Pouzar</t>
  </si>
  <si>
    <t>Hydne confluent</t>
  </si>
  <si>
    <t xml:space="preserve">Ramularia silvestris Sacc. </t>
  </si>
  <si>
    <t>Penicillium aurantiogriseum Dierckx</t>
  </si>
  <si>
    <t>Russula pseudodelica J. E. Lange</t>
  </si>
  <si>
    <t>Russule fausse "delica"</t>
  </si>
  <si>
    <t>Physarum viride (Bull.) pers.</t>
  </si>
  <si>
    <t>Unguiculariopsis castanea Baral</t>
  </si>
  <si>
    <t>Scutellinia minutella Svrček &amp; J. Moravec</t>
  </si>
  <si>
    <t>Phyllosticta digitalis Bellynck</t>
  </si>
  <si>
    <t>Pterula gracilis (Desmazières &amp; Berk.) Corner</t>
  </si>
  <si>
    <t>Calocera expallens Quélet</t>
  </si>
  <si>
    <t xml:space="preserve">Pseudovalsa longipes (Tul.) Sacc. </t>
  </si>
  <si>
    <t xml:space="preserve">Septoria chaerophylli-aromatici Kabát &amp; Bubák </t>
  </si>
  <si>
    <t xml:space="preserve">Massaria conspurcata Sacc. </t>
  </si>
  <si>
    <t>Tricholoma lascivum (Fr. : Fr.) Gillet</t>
  </si>
  <si>
    <t>Tricholome repoussant</t>
  </si>
  <si>
    <t>Octospora pyriformis Hedw.</t>
  </si>
  <si>
    <t>Russula smaragdina Quélet</t>
  </si>
  <si>
    <t>Mycena niveipes (Murrill) Murrill</t>
  </si>
  <si>
    <t>Mycène à pied blanc</t>
  </si>
  <si>
    <t>Sericeomyces serenus (Fr.) Heinemann</t>
  </si>
  <si>
    <t>Omphalina demissa (Fr. : Fr.) Quélet</t>
  </si>
  <si>
    <t>Septoria polygonorum Desm.</t>
  </si>
  <si>
    <t>Peziza simplex Dougoud &amp; Moyne</t>
  </si>
  <si>
    <t>Tricholoma guldeniae Mort. Chr</t>
  </si>
  <si>
    <t>Tricholome dédié à Gro Gulden</t>
  </si>
  <si>
    <t>Delitschia winteri (W. Phillips &amp; Plowr.) Sacc.</t>
  </si>
  <si>
    <t xml:space="preserve">Spermosporina graminella (Höhn.) U. Braun </t>
  </si>
  <si>
    <t>Russula cavipes var. abietina Bon</t>
  </si>
  <si>
    <t>Russule à pied creux variété du sapin</t>
  </si>
  <si>
    <t>Macrolepiota konradii (P.D. Orton) L. Vassiliev</t>
  </si>
  <si>
    <t>Lépiote étoilée ou Lépiote de Konrad</t>
  </si>
  <si>
    <t>Parasola hemerobia (Fr.) Redhead, Vilgalys &amp; Hopple</t>
  </si>
  <si>
    <t>Tricharina ascophanoides (Boud.) Chin S. Yang &amp; Korf</t>
  </si>
  <si>
    <t>Macrolepiota procera (Scop. : Fr.) Singer</t>
  </si>
  <si>
    <t>Lépiote élevée ou Coulemelle</t>
  </si>
  <si>
    <t>Russula roseicolor Blum</t>
  </si>
  <si>
    <t>Russule bouton de rose</t>
  </si>
  <si>
    <t>Suillus luteus (L. : Fr.) Roussel</t>
  </si>
  <si>
    <t>Nonnette voilée</t>
  </si>
  <si>
    <t>Marasmiellus ramealis (Bull. : Fr.) Singer</t>
  </si>
  <si>
    <t>Marasme des brindilles</t>
  </si>
  <si>
    <t>Lepiota clypeolaria (Bull. : Fr.) Kummer</t>
  </si>
  <si>
    <t>Lépiote en bouclier</t>
  </si>
  <si>
    <t>Microdochium dimerum (Penz.) Arx</t>
  </si>
  <si>
    <t xml:space="preserve">Protocrea farinosa (Berk. &amp; Broome) Petch </t>
  </si>
  <si>
    <t>Cortinarius albomaculans R. Henry [ad int.]</t>
  </si>
  <si>
    <t>Cortinaire maculé de blanc</t>
  </si>
  <si>
    <t>Psathyrella dicrani (A.E. Jansen) Kits van Waveren</t>
  </si>
  <si>
    <t>Scytinostroma hemidichophyticum Pouzar</t>
  </si>
  <si>
    <t>Uromyces graminis (Niessl) Dietel</t>
  </si>
  <si>
    <t>Tricholoma militare (Lasch) Gillet</t>
  </si>
  <si>
    <t>Tricholome militaire</t>
  </si>
  <si>
    <t>Phyllosticta lathyrina Sacc. &amp; G. Winter</t>
  </si>
  <si>
    <t>Phanerochaete tuberculata (P. Karst.) Parmasto</t>
  </si>
  <si>
    <t>Pholiota cerifera (P. Karsten) P. Karsten</t>
  </si>
  <si>
    <t>Scutellinia kerguelensis (Berk.) Kuntze</t>
  </si>
  <si>
    <t>Ochropsora ariae (Fuckel) Ramsbottom</t>
  </si>
  <si>
    <t>Phellinus ferreus (Pers. : Fr.) Bourdot &amp; Galzin</t>
  </si>
  <si>
    <t>Polypore ferrugineux du chêne</t>
  </si>
  <si>
    <t>Mycena capillaripes Peck</t>
  </si>
  <si>
    <t>Mycène à pied chevelu ou Mycène à pied grêle</t>
  </si>
  <si>
    <t>Pluteus griseoluridus P.D. Orton</t>
  </si>
  <si>
    <t>Leotia atrovirens Pers.</t>
  </si>
  <si>
    <t>Léocarpe vert foncé</t>
  </si>
  <si>
    <t>Usnea florida (L.) Weber ex F.H. Wigg.</t>
  </si>
  <si>
    <t>Usnée en forme de fleur</t>
  </si>
  <si>
    <t>Typhula erythropus (Pers. : Fr.) Fr.</t>
  </si>
  <si>
    <t>Psathyrella suavissima F. Ayer</t>
  </si>
  <si>
    <t>Psathyrelle à odeur sucrée</t>
  </si>
  <si>
    <t>Russula parazurea J. Schäffer</t>
  </si>
  <si>
    <t>Russule bleu-vert</t>
  </si>
  <si>
    <t>Tremella simplex Jackson &amp; Martin</t>
  </si>
  <si>
    <t>Trémelle simple</t>
  </si>
  <si>
    <t>Mutinus caninus (Huds. : Pers.) Fr.</t>
  </si>
  <si>
    <t>Satyre des chiens</t>
  </si>
  <si>
    <t>Septoria convolvuli Desm.</t>
  </si>
  <si>
    <t>Scleroderma bovista Fr.</t>
  </si>
  <si>
    <t>Scléroderme boviste</t>
  </si>
  <si>
    <t>Postia subcaesia (A. David) Jülich</t>
  </si>
  <si>
    <t>Polypore bleuté des feuillus</t>
  </si>
  <si>
    <t>Puccinia caricina de Candolle</t>
  </si>
  <si>
    <t>Russula straminea f. globispora (Blum) Cl. Lejeune</t>
  </si>
  <si>
    <t>Russule couleur paille forme à spores rondes</t>
  </si>
  <si>
    <t>Stemonitis flavogenita E. Jahn</t>
  </si>
  <si>
    <t>Phyllosticta erysimi Westend.</t>
  </si>
  <si>
    <t>Trichia affinis de Bary</t>
  </si>
  <si>
    <t>Notholepista subzonalis (Peck) Vizzini &amp; Contu</t>
  </si>
  <si>
    <t xml:space="preserve">Protounguicularia transiens (Höhnel) Hutinen </t>
  </si>
  <si>
    <t>Pleurotus abieticola R.H. Petersen &amp; K.W. Hughes</t>
  </si>
  <si>
    <t>Pleurote des sapins</t>
  </si>
  <si>
    <t>Marasmius hudsonii (Pers. : Fr.) Fr.</t>
  </si>
  <si>
    <t>Marasme de Hudson</t>
  </si>
  <si>
    <t>Pseudoomphalina graveolens (S. Petersen) Contu &amp; La Rocca</t>
  </si>
  <si>
    <t>Clitocybe à pied comprimé</t>
  </si>
  <si>
    <t>Lyophyllum fibrosipes (Métrod ex Bon) Consiglio &amp; Contu</t>
  </si>
  <si>
    <t>Tricholome à pied fibreux.</t>
  </si>
  <si>
    <t>Russula fuscorubroides M. Bon</t>
  </si>
  <si>
    <t>Russule fausse rouge sombre</t>
  </si>
  <si>
    <t>Mucilago crustacea P. Micheli ex F.H. Wigg.</t>
  </si>
  <si>
    <t>Leucotelium cerasi (Berenger) Tranzschel</t>
  </si>
  <si>
    <t>Peronospora arabidis-turritae Gäum</t>
  </si>
  <si>
    <t>Scutellinia crinita (Bull. : Fr.) Lambotte</t>
  </si>
  <si>
    <t>Puccinia praecox Bub.</t>
  </si>
  <si>
    <t>Mycena crocata var. vogesiana Quél.</t>
  </si>
  <si>
    <t>Mycène safran variété vosgienne</t>
  </si>
  <si>
    <t xml:space="preserve">Ramularia brunnea Peck </t>
  </si>
  <si>
    <t>Phlebiella vaga (Fr. : Fr.) P. Karsten</t>
  </si>
  <si>
    <t>Corticie soufrée</t>
  </si>
  <si>
    <t>Pluteus griseopus P.D. Orton</t>
  </si>
  <si>
    <t>Plutée à pied gris</t>
  </si>
  <si>
    <t>Scytinium massiliense (Nyl.) Otálora, P. M. Jørg. et Wedin</t>
  </si>
  <si>
    <t>Phyllosticta concentrica Sacc.</t>
  </si>
  <si>
    <t>Mycenella margaritifera (Maire) Maas Geest.</t>
  </si>
  <si>
    <t>Podophacidium xanthomelum (Pers.) Kavina</t>
  </si>
  <si>
    <t>Alternaria longipes (Ellis &amp; Everh.) E.W. Mason</t>
  </si>
  <si>
    <t>Mycena inclinata (Fr.) Quélet</t>
  </si>
  <si>
    <t>Mycène inclinée</t>
  </si>
  <si>
    <t>Mycena rapiolens J. Favre</t>
  </si>
  <si>
    <t>Thelebolus dubius var. lagopi Doveri</t>
  </si>
  <si>
    <t>Rhodocollybia prolixa var. distorta (Fr.) Antonín &amp; Noordel.</t>
  </si>
  <si>
    <t>Collybie à pied tordu</t>
  </si>
  <si>
    <t>Marasmius bulliardii Quélet</t>
  </si>
  <si>
    <t>Marasme de Bulliard</t>
  </si>
  <si>
    <t>Rugosomyces ionides (Bull. : Fr.) M. Bon</t>
  </si>
  <si>
    <t>Calocybe violet</t>
  </si>
  <si>
    <t>Mollisia melaleuca (Fr.) Sacc.</t>
  </si>
  <si>
    <t>Steccherinum ochraceum (Pers. Apud. Gmelin:Fr.) S.F.Gray</t>
  </si>
  <si>
    <t>Hydne ocré</t>
  </si>
  <si>
    <t xml:space="preserve">Strickeria pomiformis (P. Karst.) Cooke </t>
  </si>
  <si>
    <t>Leucoagaricus subcretaceus M. Bon</t>
  </si>
  <si>
    <t>Peziza howsei Roze &amp; Boud.</t>
  </si>
  <si>
    <t>Strobilurus griseus (Métrod) P.-A. Moreau &amp; Courtecuisse</t>
  </si>
  <si>
    <t>Collybie comestible variété grise</t>
  </si>
  <si>
    <t>Stereum gausapatum (Fr. : Fr.) Fr.</t>
  </si>
  <si>
    <t xml:space="preserve">Cercospora epipactidis C. Massal. ex Sacc. </t>
  </si>
  <si>
    <t xml:space="preserve">Phacellium trifolii (Jaap) U. Braun </t>
  </si>
  <si>
    <t>Scleroderma cepa Pers. : Pers.</t>
  </si>
  <si>
    <t>Scléroderme oignon</t>
  </si>
  <si>
    <t>Lepista martiorum (J. Favre) M. Bon</t>
  </si>
  <si>
    <t>Clitocybe des Marti</t>
  </si>
  <si>
    <t xml:space="preserve">Helicoön ellipticum (Peck) Morgan </t>
  </si>
  <si>
    <t>Scutellinia torrentis (Rehm) T. Schumach.,</t>
  </si>
  <si>
    <t>Stigmina sp.</t>
  </si>
  <si>
    <t>Tubaria conspersa (Pers. : Fr.) Fayod</t>
  </si>
  <si>
    <t>Russula azurea Bresadola</t>
  </si>
  <si>
    <t>Russule azurée</t>
  </si>
  <si>
    <t>Orbilia epipora (Nyl.) P. Karst.</t>
  </si>
  <si>
    <t>Melanoleuca tristis Moser</t>
  </si>
  <si>
    <t>Tricholome triste</t>
  </si>
  <si>
    <t>Pholiotina vestita (Fr.) Singer</t>
  </si>
  <si>
    <t>Russula aurea Pers.</t>
  </si>
  <si>
    <t xml:space="preserve">Russule dorée </t>
  </si>
  <si>
    <t>Mollisia ulicis Feltgen</t>
  </si>
  <si>
    <t>Tricholoma filamentosum (Alessio) Alessio</t>
  </si>
  <si>
    <t>Russula violeipes Quélet</t>
  </si>
  <si>
    <t>Russule à pied violet</t>
  </si>
  <si>
    <t>Xerocomellus porosporus (Imler ex Watling) Šutara</t>
  </si>
  <si>
    <t>Bolet fissuré</t>
  </si>
  <si>
    <t>Russula fragrantissima Romagnesi</t>
  </si>
  <si>
    <t>Russule à odeur d'anis</t>
  </si>
  <si>
    <t>Pseudoomphalina kalchbrenneri (Bres.) Singer</t>
  </si>
  <si>
    <t>Alternaria citri Ellis &amp; N. Pierce</t>
  </si>
  <si>
    <t xml:space="preserve">Stagonospora brachypodiicola (Brunaud) E. Castell. &amp; Germano </t>
  </si>
  <si>
    <t>Uromyces pisi (de Candolle) Otth</t>
  </si>
  <si>
    <t>Valsa salicina (Pers.) Fr</t>
  </si>
  <si>
    <t>Monilinia urnula (Weinm.) Whetzel</t>
  </si>
  <si>
    <t xml:space="preserve">Xanthoria polycarpa (Hoffm.) Rieber </t>
  </si>
  <si>
    <t>Resupinatus trichotis (Pers.) Singer</t>
  </si>
  <si>
    <t>Aspergillus versicolor (Vuill.) Tiraboschi</t>
  </si>
  <si>
    <t>Trichia persimilis P. Karst.</t>
  </si>
  <si>
    <t>Panaeolus antillarum (Fr.) Dennis</t>
  </si>
  <si>
    <t>Panéole des Antilles</t>
  </si>
  <si>
    <t xml:space="preserve">Venturia maculiformis (Desm.) G. Winter </t>
  </si>
  <si>
    <t>Pseudopeziza trifolii (Biv. : Fr.) Fuckel</t>
  </si>
  <si>
    <t>Morchella deliciosa f. purpurascens Boud.</t>
  </si>
  <si>
    <t>Morille délicieuse forme pourprée</t>
  </si>
  <si>
    <t>Mycena rosea f. candida Robich</t>
  </si>
  <si>
    <t>Mycène rose forme blanche</t>
  </si>
  <si>
    <t>Sarcodon fuligineoviolaceus (Kalchbrenner) Patouillard</t>
  </si>
  <si>
    <t>Hydne fuligineux-violacé</t>
  </si>
  <si>
    <t>Rhodocollybia filamentosa (Velen.) Antonín</t>
  </si>
  <si>
    <t>Tricholoma hordum (Fr. : Fr.) Quélet</t>
  </si>
  <si>
    <t>Cortinarius flabellus f. iners Bidaud</t>
  </si>
  <si>
    <t>Russula zvarae var. salmonicolor Romagnesi</t>
  </si>
  <si>
    <t>Pseudombrophila theioleuca Rolland</t>
  </si>
  <si>
    <t>Cerioporus choseniae (Vassilkov) Zmitr. &amp; Kovalenko</t>
  </si>
  <si>
    <t>Tricholoma acerbum (Bull. : Fr.) Quélet</t>
  </si>
  <si>
    <t>Tricholome acerbe</t>
  </si>
  <si>
    <t>Lepiota xanthophylla Orton</t>
  </si>
  <si>
    <t>Lépiote à lames jaunes</t>
  </si>
  <si>
    <t xml:space="preserve">Nectria magnusiana Rehm </t>
  </si>
  <si>
    <t>Ascochyta patagonica Speg.</t>
  </si>
  <si>
    <t>Tapinella panuoides (Fr. : Fr.) E.-J. Gilbert</t>
  </si>
  <si>
    <t>Paxille faux-"Panus"</t>
  </si>
  <si>
    <t>Octospora gemmicola Benkert</t>
  </si>
  <si>
    <t xml:space="preserve">Ramularia abscondita (Fautrey &amp; Lambotte) U. Braun </t>
  </si>
  <si>
    <t>Octospora orthotricha (Cooke &amp; Ellis) K.B. Khare &amp; V.P. Tewari</t>
  </si>
  <si>
    <t>Zygopleurage zygospora (Speg.) Boedijn</t>
  </si>
  <si>
    <t>Pirottaea lychnidis (Desmazieres ex Sacc.) M. Chlebická</t>
  </si>
  <si>
    <t xml:space="preserve">Trichophyton rubrum (Castell.) Sabour. </t>
  </si>
  <si>
    <t>Phragmidium mucronatum (Pers.) Schlechtendal</t>
  </si>
  <si>
    <t>Phyllosticta magnoliae Sacc.</t>
  </si>
  <si>
    <t xml:space="preserve">Lophium mytilinum (Pers.) Fr. </t>
  </si>
  <si>
    <t>Saccobolus citrinus Boud. &amp; Torrend</t>
  </si>
  <si>
    <t>Penicillium roqueforti Thom</t>
  </si>
  <si>
    <t>Pénicillium du Roquefort</t>
  </si>
  <si>
    <t>Pseudoclitocybe expallens (Pers. : Fr.) Moser</t>
  </si>
  <si>
    <t>Clitocybe pâlissant</t>
  </si>
  <si>
    <t>Puccinia scirpi de Candolle</t>
  </si>
  <si>
    <t xml:space="preserve">Trechispora candidissima (Schwein.) Bondartsev &amp; Singer </t>
  </si>
  <si>
    <t>Melanoleuca atripes var. nigripes M. Bon</t>
  </si>
  <si>
    <t xml:space="preserve">Lilapila jurana Stöckli E.        </t>
  </si>
  <si>
    <t>Thanatephorus fusisporus (J. Schröter) Hauerslev &amp; P. Roberts</t>
  </si>
  <si>
    <t>Uromyces behenis (de Candolle) Unger</t>
  </si>
  <si>
    <t>Orbilia subaristata Baral, G. Marson &amp; Matočec</t>
  </si>
  <si>
    <t>Lepiota alba f. sylvatica M. Bon</t>
  </si>
  <si>
    <t>Lépiote blanche forme sylvestre</t>
  </si>
  <si>
    <t>Marasmius oreades (Bolt. : Fr.) Fr.</t>
  </si>
  <si>
    <t>Marasme des oréades ou Faux mousseron</t>
  </si>
  <si>
    <t>Xerula melanotricha Dörfelt</t>
  </si>
  <si>
    <t>Collybie à poils noirs</t>
  </si>
  <si>
    <t>Lewia scrophulariae (Desm.) M.E. Barr &amp; E.G. Simmons</t>
  </si>
  <si>
    <t>Asteromella chaerophylli (C. Massal.) Petr.</t>
  </si>
  <si>
    <t>Pezizella vulgaris (Fr.) Sacc.</t>
  </si>
  <si>
    <t xml:space="preserve">Navicella pileata (Tode) Fabre </t>
  </si>
  <si>
    <t xml:space="preserve">Septoria berberidis Niessl </t>
  </si>
  <si>
    <t>Mycena acicula (J.C. Sch.) Kummer</t>
  </si>
  <si>
    <t>Mycène orange</t>
  </si>
  <si>
    <t>Lichenomphalia umbellifera (L. : Fr.) Redhead, Lutzoni, Moncalvo &amp; Vilgalys</t>
  </si>
  <si>
    <t>Russula atrorubens Quélet</t>
  </si>
  <si>
    <t>Russule rouge et noire</t>
  </si>
  <si>
    <t>Pluteus luteovirens Rea</t>
  </si>
  <si>
    <t>Plutée jaune -verdâtre</t>
  </si>
  <si>
    <t>Phyllosticta cornivora Melnik</t>
  </si>
  <si>
    <t xml:space="preserve">Taphrina tormentillae Rostr. </t>
  </si>
  <si>
    <t xml:space="preserve">Ramsbottomia crechqueraultii (P. Crouan &amp; H. Crouan) Benkert &amp; T. Schumach. </t>
  </si>
  <si>
    <t>Puccinia oreoselini Körnicke</t>
  </si>
  <si>
    <t>Phylloporia ribis (Schum. : Fr.) Ryvarden</t>
  </si>
  <si>
    <t>Polypore du groseillé ou Polypore du fusain</t>
  </si>
  <si>
    <t>Taphrina betulina Rostr.</t>
  </si>
  <si>
    <t>Cloque du bouleau</t>
  </si>
  <si>
    <t xml:space="preserve">Marssonina rosae (Lib.) Died. </t>
  </si>
  <si>
    <t>Rhodocybe hirneola (Fr.) Kühn. &amp; Roma.</t>
  </si>
  <si>
    <t>Therrya pini (Alb. &amp; Schwein.) Höhn.</t>
  </si>
  <si>
    <t>Marasmius wynneae Berk. &amp; Br.</t>
  </si>
  <si>
    <t>Marasme globuleux</t>
  </si>
  <si>
    <t>Melanophyllum haematospermum (Bull. : Fr.) Kreisel</t>
  </si>
  <si>
    <t>Lépiote à lames rouges</t>
  </si>
  <si>
    <t>Pseudovalsa lanciformis (Fr.) Cesati &amp; de Notaris</t>
  </si>
  <si>
    <t>Puccinia major Dietel</t>
  </si>
  <si>
    <t>Melanoleuca strictipes (P. Karsten) J. Schäffer</t>
  </si>
  <si>
    <t>Ramularia succisae Sacc.</t>
  </si>
  <si>
    <t xml:space="preserve">Phyllactinia mali (Duby) U. Braun </t>
  </si>
  <si>
    <t xml:space="preserve">Peroneutypa heteracantha Sacc. </t>
  </si>
  <si>
    <t>Orbilia eucalypti (W. Phillips &amp; Harkn.) Sacc.</t>
  </si>
  <si>
    <t>Psathyrella cernua (Vahl : Fr.) Hirsch</t>
  </si>
  <si>
    <t>Psatyrelle recourbée</t>
  </si>
  <si>
    <t xml:space="preserve">Cercospora barbareae (Sacc.) Chupp </t>
  </si>
  <si>
    <t>Mycena polyadelpha (Lasch.) Kühn.</t>
  </si>
  <si>
    <t>Milesina scolopendrii (Fuckel) Jaap</t>
  </si>
  <si>
    <t>Pertusaria pertusa (L.) Tuck.</t>
  </si>
  <si>
    <t>Russula lepida Fr.</t>
  </si>
  <si>
    <t>Russule jolie</t>
  </si>
  <si>
    <t>Pseudocercosporella scirpi (Moesz) Deighton</t>
  </si>
  <si>
    <t>Septoria cirsii-heterophylli Petr.</t>
  </si>
  <si>
    <t>Tulostoma brumale Pers. : Pers.</t>
  </si>
  <si>
    <t>Tulostome d'hiver</t>
  </si>
  <si>
    <t>Tricholoma fulvum (Retz. : Fr.) Costantin &amp; Dufour</t>
  </si>
  <si>
    <t>Tricholome fauve ou Tricholome jaune brun</t>
  </si>
  <si>
    <t>Septoria valerianae Sacc. &amp; Fautrey</t>
  </si>
  <si>
    <t xml:space="preserve">Pseudocercospora concentrica (Cooke &amp; Ellis) U. Braun &amp; Crous </t>
  </si>
  <si>
    <t>Melanogaster broomeianus Berk.</t>
  </si>
  <si>
    <t>Mélanogaster de Broom</t>
  </si>
  <si>
    <t>Puccinia albescens Plowright</t>
  </si>
  <si>
    <t>Brachysporium coryneoideum (De Not.) Sacc.</t>
  </si>
  <si>
    <t>Lycoperdon umbrinum Pers. : Pers.</t>
  </si>
  <si>
    <t>Vesse-de-loup brune</t>
  </si>
  <si>
    <t>Pulvina pyrophila (Snyder) Donadini, G. Riousset &amp; Riousset</t>
  </si>
  <si>
    <t>Phloeomana speirea (Fr.) Redhead</t>
  </si>
  <si>
    <t>Mycène groupée</t>
  </si>
  <si>
    <t>Mycena latifolia (Peck) A.H. Sm.</t>
  </si>
  <si>
    <t>Mycène à larges lames</t>
  </si>
  <si>
    <t>Typhula phacorrhiza (J.J. Reichard : Fr.) Fr.</t>
  </si>
  <si>
    <t>Rhodocollybia butyracea var. asema (Fr. : Fr.) Antonin, Halling &amp; Noordel.</t>
  </si>
  <si>
    <t>Collybie beurrée</t>
  </si>
  <si>
    <t>Tricholoma album var. thalliophilum (R. Henry) M. Bon</t>
  </si>
  <si>
    <t>Septoria lychnidis Desm.</t>
  </si>
  <si>
    <t>Tephrocybe putida (P. Karsten) Moser</t>
  </si>
  <si>
    <t>Ascochyta juelii Bubák</t>
  </si>
  <si>
    <t xml:space="preserve">Ramaria obtusissima (Peck) Corner </t>
  </si>
  <si>
    <t>Pholiota tuberculosa (J.C. Sch. : Fr.) Kummer</t>
  </si>
  <si>
    <t>Pholiote tuberculée</t>
  </si>
  <si>
    <t>Tricholoma joachimii M. Bon &amp; Riva</t>
  </si>
  <si>
    <t>Tricholome de Joachim</t>
  </si>
  <si>
    <t>Paraconiothyrium tiliae (F. Rudolphi) Verkley &amp; Gruyter</t>
  </si>
  <si>
    <t>Russula helodes Melzer</t>
  </si>
  <si>
    <t>Russule sanguine des marais</t>
  </si>
  <si>
    <t>Puccinia circaea Pers.</t>
  </si>
  <si>
    <t>Rouille des circes</t>
  </si>
  <si>
    <t>Psathyrella pellucidipes (Romagn.) M.M. Moser</t>
  </si>
  <si>
    <t>Psathyrelle à pied diaphane</t>
  </si>
  <si>
    <t>Septoria lamiicola Sacc.</t>
  </si>
  <si>
    <t>Pseudoplectania sphagnophila (Pers.) Kreisel</t>
  </si>
  <si>
    <t>Plectanie des sphaignes</t>
  </si>
  <si>
    <t>Tuber rufum var. oblongisporum E. Fisch.</t>
  </si>
  <si>
    <t>Leucocortinarius bulbiger (Alb. Et Schw. : Fr.) Singer</t>
  </si>
  <si>
    <t>Cortinaire bulbeux ou Cortinaire à spores blanches</t>
  </si>
  <si>
    <t>Lepiota helveola Bresadola</t>
  </si>
  <si>
    <t>Lépiote brunâtre</t>
  </si>
  <si>
    <t>Leccinum variicolor f. sphagnorum Lannoy &amp; Estades</t>
  </si>
  <si>
    <t>Bolet ramoneur forme des sphaignes</t>
  </si>
  <si>
    <t>Russula illota Romagnesi</t>
  </si>
  <si>
    <t>Russule tachée ou Russule mal lavée</t>
  </si>
  <si>
    <t>Melanconis ribis (Henn. &amp; Plöttn.) Sacc.</t>
  </si>
  <si>
    <t>Trichaptum hollii (J.C. Schmidt : Fr.) Kreisel</t>
  </si>
  <si>
    <t>Tramète violette ou Tramète déchirée</t>
  </si>
  <si>
    <t>Russula claroflava Grove</t>
  </si>
  <si>
    <t>Russule jaune noircissante</t>
  </si>
  <si>
    <t>Mycena filopes (Bull. : Fr.) Kummer</t>
  </si>
  <si>
    <t>Mycène à odeur d'iode</t>
  </si>
  <si>
    <t>Rheubarbariboletus armeniacus var. venosipes Redeuilh</t>
  </si>
  <si>
    <t>Bolet abricot à pied veiné</t>
  </si>
  <si>
    <t>Puccinia chaerophylli Purton</t>
  </si>
  <si>
    <t>Ascochyta menyanthicola Melnik</t>
  </si>
  <si>
    <t>Psathyrella canoceps (Kauffman) A.H. Sm.</t>
  </si>
  <si>
    <t>Psathyrelle voilée de blanc</t>
  </si>
  <si>
    <t>Orbilia rubella (Pers.) P. Karst.</t>
  </si>
  <si>
    <t>Russula xerampelina (J.C. Sch.) Fr.</t>
  </si>
  <si>
    <t>Russule feuille de vigne</t>
  </si>
  <si>
    <t>Myxosporium incarnatum (Kunze) Bonord</t>
  </si>
  <si>
    <t xml:space="preserve">Ramularia didymarioides Briosi &amp; Sacc. </t>
  </si>
  <si>
    <t>Morchella costata (Vent.) Pers.</t>
  </si>
  <si>
    <t>Morille costée ou Morille d'écorce</t>
  </si>
  <si>
    <t xml:space="preserve">Russula risigallina (Batsch) Saccardo </t>
  </si>
  <si>
    <t>Melanoleuca evenosa (Saccardo) Konrad &amp; Maublanc</t>
  </si>
  <si>
    <t>Tricholome blanchâtre</t>
  </si>
  <si>
    <t>Mycocalia duriaeana (Tulasne &amp; C. Tulasne) Palmer</t>
  </si>
  <si>
    <t>Polyporus leptocephalus (Jacq. : Fr.) Fr.</t>
  </si>
  <si>
    <t>Polypore moucheté</t>
  </si>
  <si>
    <t>Melampsora ribesii-grandifoliae O. Schneid.</t>
  </si>
  <si>
    <t>Melampsora abieti-capraearum Tubaki</t>
  </si>
  <si>
    <t xml:space="preserve">Ramularia ajugae (Niessl) Sacc. </t>
  </si>
  <si>
    <t>Scytinostroma odoratum (Fr. : Fr.) Donk</t>
  </si>
  <si>
    <t>Corticie odorant</t>
  </si>
  <si>
    <t>Uromyces valerianae (Schum.) Fuckel</t>
  </si>
  <si>
    <t xml:space="preserve">Melanconis chrysostroma (Fr.) Tul. &amp; C. Tul. </t>
  </si>
  <si>
    <t>Septoria sp.</t>
  </si>
  <si>
    <t>Macrolepiota olivascens Moser</t>
  </si>
  <si>
    <t>Lépiote olivâtre</t>
  </si>
  <si>
    <t>Marasmiellus trabutii (R. Maire) Singer</t>
  </si>
  <si>
    <t>Virgaria nigra (Link) Nees</t>
  </si>
  <si>
    <t xml:space="preserve">Microsphaera penicillata (Wallr.) Lév. </t>
  </si>
  <si>
    <t xml:space="preserve">Peziza buxea Quél. </t>
  </si>
  <si>
    <t>Pézize du buis</t>
  </si>
  <si>
    <t>Phyllosticta aucubicola Sacc.</t>
  </si>
  <si>
    <t xml:space="preserve">Drechslera dematioidea (Bubák &amp; Wróbl.) Scharif </t>
  </si>
  <si>
    <t>Xeromphalina campanella (Batsch : Fr.) Kühner &amp; R. Maire</t>
  </si>
  <si>
    <t>Omphale en clochette</t>
  </si>
  <si>
    <t>Litschauerella clematidis (Bourd. &amp; Galz.) Erikss. &amp; Ryv.</t>
  </si>
  <si>
    <t>Trichophaea livida (Schum. : Fr.) Boud.</t>
  </si>
  <si>
    <t>Pézize livide</t>
  </si>
  <si>
    <t>Suillus variegatus (Swartz : Fr.) Richon &amp; Roze</t>
  </si>
  <si>
    <t>Bolet moucheté</t>
  </si>
  <si>
    <t>Phyllosticta zahlbruckneri Bäumler</t>
  </si>
  <si>
    <t>Psathyrella pygmaea (Bull. : Fr.) Singer</t>
  </si>
  <si>
    <t>Psathyrelle pygmée</t>
  </si>
  <si>
    <t>Pluteus brunneoradiatus Bonnard</t>
  </si>
  <si>
    <t>Plutée à fibrilles brunes</t>
  </si>
  <si>
    <t>Orbilia xanthoguttulata Baral</t>
  </si>
  <si>
    <t>Valsa frangulae Munk</t>
  </si>
  <si>
    <t>Neonectria coccinea (Pers.) Rossman &amp; Samuels</t>
  </si>
  <si>
    <t xml:space="preserve">Sordaria fimicola (Roberge ex Desm.) Ces. &amp; De Not. </t>
  </si>
  <si>
    <t>Mollisia minutella (Sacc.) Rehm</t>
  </si>
  <si>
    <t>Urocystis filipendulae (Tul. &amp; C. Tul.) J. Schröt.</t>
  </si>
  <si>
    <t>Melampsoridium carpini (Fuckel) Dietel</t>
  </si>
  <si>
    <t>Sclerencoelia fraxinicola Baral &amp; Pärtel</t>
  </si>
  <si>
    <t>Sphaerotheca dipsacacearum (Tul. &amp; C. Tul.) L. Junell</t>
  </si>
  <si>
    <t>Pluteus cervinus f. albus Vellinga</t>
  </si>
  <si>
    <t>Plutée couleur de cerf, forme blanche</t>
  </si>
  <si>
    <t>Suillus cavipes (Opat.) A. H. Sm. &amp; Thiers</t>
  </si>
  <si>
    <t>Bolet à pied creux</t>
  </si>
  <si>
    <t xml:space="preserve">Usnea filipendula Stirt.  </t>
  </si>
  <si>
    <t>Scytinostroma portentosum (Berk. &amp; Curt.) Donk</t>
  </si>
  <si>
    <t>Psilocybe fimetaria (P.D. Orton) Watling</t>
  </si>
  <si>
    <t xml:space="preserve">Veronidia oxycocci Negru </t>
  </si>
  <si>
    <t xml:space="preserve">Mycosphaerella isariphora (Desm.) Johanson </t>
  </si>
  <si>
    <t>Pholiota highlandensis (Peck) Quadraccia</t>
  </si>
  <si>
    <t>Pholiote des charbonnières</t>
  </si>
  <si>
    <t xml:space="preserve">Sillia ferruginea (Pers.) P. Karst. </t>
  </si>
  <si>
    <t>Tricholoma squarrulosum Bresadola</t>
  </si>
  <si>
    <t>Tricholome écailleux</t>
  </si>
  <si>
    <t>Septoria viburni Westend.</t>
  </si>
  <si>
    <t>Sphaerosporella hinnulea(Berk. &amp; Broome) Rifai</t>
  </si>
  <si>
    <t>Russula vesca f. avellanea Melzer &amp; Zvara</t>
  </si>
  <si>
    <t>Russule comestible forme noisette</t>
  </si>
  <si>
    <t>Camarosporium spartii Trail</t>
  </si>
  <si>
    <t>Tricholoma ustale (Fr. : Fr.) Kummer</t>
  </si>
  <si>
    <t>Tricholome brûlé</t>
  </si>
  <si>
    <t>Scutellinia cejpii (Velen.) Svrček</t>
  </si>
  <si>
    <t>Phlebiella christiansenii (Parmasto) K.-H. Larsson &amp; Hjortstam</t>
  </si>
  <si>
    <t>Tricholomopsis decora (Fr. : Fr.) Singer</t>
  </si>
  <si>
    <t>Tricholome décoré</t>
  </si>
  <si>
    <t>Xerocomellus ripariellus (Redeuilh) Šutara</t>
  </si>
  <si>
    <t>Bolet des bords de mares</t>
  </si>
  <si>
    <t>Russula sanguinea var. confusa (Velenovsky) M. Bon</t>
  </si>
  <si>
    <t>Russule sanguine variété trompeuse</t>
  </si>
  <si>
    <t>Phoma lingam (Tode) Desm</t>
  </si>
  <si>
    <t xml:space="preserve">Hypomyces leotiicola Rogerson &amp; Samuels </t>
  </si>
  <si>
    <t>Hypoxylon salicicola Granmo</t>
  </si>
  <si>
    <t>Hypoxylon salicicole</t>
  </si>
  <si>
    <t>Pholiota astragalina (Fr. : Fr.) Singer</t>
  </si>
  <si>
    <t>Pholiote astragale</t>
  </si>
  <si>
    <t>Paxillus involutus (Batsch : Fr.) Fr.</t>
  </si>
  <si>
    <t>Paxille enroulé</t>
  </si>
  <si>
    <t>Phyllosticta teucrii Sacc. &amp; Speg.</t>
  </si>
  <si>
    <t>Lycoperdon utriforme Bulliard</t>
  </si>
  <si>
    <t>Vesse de loup en forme d'outre</t>
  </si>
  <si>
    <t xml:space="preserve">Passalora periclymeni (G. Winter) U. Braun &amp; Crous </t>
  </si>
  <si>
    <t>Rugosomyces chrysenteron (Bull. : Fr.) M. Bon</t>
  </si>
  <si>
    <t>Lyophylle à chair jaune</t>
  </si>
  <si>
    <t xml:space="preserve">Mycosphaerella lignicola (Munk) Munk </t>
  </si>
  <si>
    <t>Macowanites mattiroloanus (Cavara) T. Lebel &amp; Trappe (2000)</t>
  </si>
  <si>
    <t>Pucciniastrum agrimoniae (Dietel)Tranzschel</t>
  </si>
  <si>
    <t>Mycena renatii Quélet</t>
  </si>
  <si>
    <t>Mycène à pied jaune</t>
  </si>
  <si>
    <t>Ramularia ulmariae Cooke</t>
  </si>
  <si>
    <t xml:space="preserve">Plasmopara angelicae (Casp.) Trotter </t>
  </si>
  <si>
    <t xml:space="preserve">Ramularia major (Unger) U. Braun </t>
  </si>
  <si>
    <t>Neottiella ricciae (P. Crouan &amp; H. Crouan) Korf &amp; W.Y. Zhuang</t>
  </si>
  <si>
    <t>Panaeolus ater (J.E. Lange) M. Bon</t>
  </si>
  <si>
    <t>Cortinarius uraceovernus R. Henry [inval.]</t>
  </si>
  <si>
    <t>Phellodon melaleucus (Swartz : Fr.) P. Karsten</t>
  </si>
  <si>
    <t>Hydne blanc et noir</t>
  </si>
  <si>
    <t>Tremellodendropsis tuberosa (Greville : Fr.) Crawford</t>
  </si>
  <si>
    <t>Heterosporium symphoricarpi Ranoj</t>
  </si>
  <si>
    <t>Pseudolachnea fraxini Crous</t>
  </si>
  <si>
    <t>Leucopaxillus albissimus (Peck) Sing.</t>
  </si>
  <si>
    <t xml:space="preserve">Leucopaxille blanc </t>
  </si>
  <si>
    <t>Russula lepida var. linnaei (Fr.) Reumaux &amp; Frund</t>
  </si>
  <si>
    <t>Russule de Linné</t>
  </si>
  <si>
    <t>Repetobasidium mirificum J. Eriksson</t>
  </si>
  <si>
    <t>Tricholoma virgatum (Fr. : Fr.) Kummer</t>
  </si>
  <si>
    <t>Tricholome vergeté</t>
  </si>
  <si>
    <t>Cercospora rosicola Pass.</t>
  </si>
  <si>
    <t>Orbilia coccinella (Sommerf.) Fr.</t>
  </si>
  <si>
    <t>Pézize coccinelle</t>
  </si>
  <si>
    <t>Septoria balkarica D. Bab. &amp; Savintz.</t>
  </si>
  <si>
    <t>Lactarius flavidus ss. Korhonen p.p.</t>
  </si>
  <si>
    <t xml:space="preserve">Lactaire jaunâtre </t>
  </si>
  <si>
    <t>Tylospora asterophora (Bonorden) Donk</t>
  </si>
  <si>
    <t>Thelonectria discophora (Mont.) P. Chaverri &amp; Salgado</t>
  </si>
  <si>
    <t>Ramularia campanulae-latifoliae Allesch.</t>
  </si>
  <si>
    <t>Lepiota grangei (Eyre) Kühner</t>
  </si>
  <si>
    <t>Lépiote de Grange</t>
  </si>
  <si>
    <t>Tricharina hiemalis Chin S. Yang &amp; Korf</t>
  </si>
  <si>
    <t>Pseudoclitocybe obbata (Fr.) Singer</t>
  </si>
  <si>
    <t xml:space="preserve">Scytalidium lignicola Pesante </t>
  </si>
  <si>
    <t>Morchella gigas (Batsch : Fr.) Pers.</t>
  </si>
  <si>
    <t>Morillon</t>
  </si>
  <si>
    <t xml:space="preserve">Valsa ceratophora Tul. &amp; C. Tul. </t>
  </si>
  <si>
    <t>Thyronectria rhodochlora (Mont.) Seeler</t>
  </si>
  <si>
    <t>Deconica pratensis (P.D. Orton) Noordel.</t>
  </si>
  <si>
    <t>Psilocybe des prés</t>
  </si>
  <si>
    <t>Neosetophoma samarorum (Desm.) Gruyter, Aveskamp &amp; Verkley</t>
  </si>
  <si>
    <t xml:space="preserve">Puccinia argentata (Schultz) G. Winter </t>
  </si>
  <si>
    <t>Rouille argentée</t>
  </si>
  <si>
    <t>Psathyrella hirtosquamulosa (Peck) A.H. Sm.</t>
  </si>
  <si>
    <t>Psathyrelle hirsute</t>
  </si>
  <si>
    <t>Uromyces viciae-fabae (Pers.) J. Schröter</t>
  </si>
  <si>
    <t>Pisolithus arhizus (Scop. : Pers.) S. Rauschert</t>
  </si>
  <si>
    <t>Pisolithe des teinturiers</t>
  </si>
  <si>
    <t>Phlebiopsis gigantea (Fr.) Jülich</t>
  </si>
  <si>
    <t>Pholiotina arrhenii (Fr.) Singer</t>
  </si>
  <si>
    <t>Pholiote de Arrhen</t>
  </si>
  <si>
    <t>Psathyrella conferta Eyssart. &amp; Chiaffi</t>
  </si>
  <si>
    <t>Lyophyllum macrosporum Singer</t>
  </si>
  <si>
    <t xml:space="preserve">Ascochyta phlogis Voglino </t>
  </si>
  <si>
    <t>Volvariella murinella (Quélet) Dennis, P.D. Orton &amp; Hora</t>
  </si>
  <si>
    <t>Volvaire gris souris</t>
  </si>
  <si>
    <t>Sparassis crispa (Wulfen : Fr.) Fr.</t>
  </si>
  <si>
    <t>Sparassis crépu ou Crête de coq ou Morille des pins</t>
  </si>
  <si>
    <t>Smardaea purpurea Dissing</t>
  </si>
  <si>
    <t>Rimbachia arachnoidea (Peck) Redhead</t>
  </si>
  <si>
    <t xml:space="preserve">Stamnaria urceolata R. Dougoud </t>
  </si>
  <si>
    <t xml:space="preserve">Pezizella lividaVelen. </t>
  </si>
  <si>
    <t>Pézizelle livide</t>
  </si>
  <si>
    <t>Parasola kuehneri (Uljé &amp; Bas) Redhead, Vilgalys &amp; Hopple</t>
  </si>
  <si>
    <t>Uromyces dianthi (Pers.) Niessl</t>
  </si>
  <si>
    <t>Scutellinia minor (Velen.) Svrček</t>
  </si>
  <si>
    <t>Ramariopsis pulchella (Boudier) Corner</t>
  </si>
  <si>
    <t>Orbilia aprilis Velen.</t>
  </si>
  <si>
    <t>Pézize d'avril</t>
  </si>
  <si>
    <t>Sarcodon scabrosus (Fries) Karsten</t>
  </si>
  <si>
    <t>Hydne rugueux</t>
  </si>
  <si>
    <t>Pachyella peltata Pfister &amp; Candousseau</t>
  </si>
  <si>
    <t>Tympanis ligustri Tul. &amp; C. Tul.</t>
  </si>
  <si>
    <t>Pezicula morthieri (Fuckel) J.W. Groves</t>
  </si>
  <si>
    <t>Trichophaea paludosa Boud.</t>
  </si>
  <si>
    <t>Pseudombrophila disciformis (Velen.) Svrček</t>
  </si>
  <si>
    <t>Mycosphaerella lineolata (Roberge ex Desm.) J. Schröt.</t>
  </si>
  <si>
    <t>Jackrogersella minutella (Syd. &amp; P. Syd.) L. Wendt, Kuhnert &amp; M. Stadler</t>
  </si>
  <si>
    <t>Ramularia trollii Iwanov</t>
  </si>
  <si>
    <t>Neournula pouchetii (Berthet &amp; Riousset) Paden</t>
  </si>
  <si>
    <t>Orbilia leucostigma Fr. : Fr.</t>
  </si>
  <si>
    <t xml:space="preserve">Zignoëlla fallax (Sacc.) Sacc. </t>
  </si>
  <si>
    <t>Macrolepiota excoriata (Sch. : Fr.) Wasser</t>
  </si>
  <si>
    <t>Lépiote excoriée</t>
  </si>
  <si>
    <t>Mycosphaerella vulnerariae (Fuckel) Lindau</t>
  </si>
  <si>
    <t xml:space="preserve">Pseudorhytisma bistortae (DC.) Juel </t>
  </si>
  <si>
    <t xml:space="preserve">Saccharomyces cerevisiae Meyen ex E.C. Hansen </t>
  </si>
  <si>
    <t>Levure de boulanger</t>
  </si>
  <si>
    <t xml:space="preserve">Septoria anaxeoides Kuhnh.-Lord. &amp; J.P. Barry </t>
  </si>
  <si>
    <t>Peniophora nuda (Fr. : Fr.) Bresadola</t>
  </si>
  <si>
    <t>Corticie nue</t>
  </si>
  <si>
    <t>Phleogena faginea (Fr. : Fr.) Link</t>
  </si>
  <si>
    <t>Lepiota pseudofelina J.E. Lange</t>
  </si>
  <si>
    <t>Lépiote fausse "felina"</t>
  </si>
  <si>
    <t>Leucoagaricus badhamii (Berk. &amp; Br.) Locquin</t>
  </si>
  <si>
    <t>Lépiote de Badham</t>
  </si>
  <si>
    <t>Lepista sordida (Schum. : Fr.) Singer</t>
  </si>
  <si>
    <t>Lépiste sordide</t>
  </si>
  <si>
    <t>Morchella elata Fr. : Fr.</t>
  </si>
  <si>
    <t>Morille conique élévée</t>
  </si>
  <si>
    <t>Limacella delicata (Fr.) Earle ex Konrad &amp; Maubl.</t>
  </si>
  <si>
    <t>Limacelle délicate</t>
  </si>
  <si>
    <t>Russula pseudointegra Arnoult &amp; Goris</t>
  </si>
  <si>
    <t>Russule coccinée</t>
  </si>
  <si>
    <t>Volvariella caesiocincta P.D. Orton</t>
  </si>
  <si>
    <t>Volvaire à reflets bleutés</t>
  </si>
  <si>
    <t>Ascochyta forsythiae (Sacc.) Höhn.</t>
  </si>
  <si>
    <t xml:space="preserve">Phacellium bulbigerum (Fuckel) U. Braun </t>
  </si>
  <si>
    <t xml:space="preserve">Pertusaria albescens (Huds.) M. Choisy &amp; Werner </t>
  </si>
  <si>
    <t>Puccinia cladii Ellis &amp; Tracy</t>
  </si>
  <si>
    <t>Passalora rosae (Fuckel) U. Braun</t>
  </si>
  <si>
    <t>Mollisia cinerea (Batsch : Fr.) P. Karst.</t>
  </si>
  <si>
    <t>Pézize cendrée</t>
  </si>
  <si>
    <t>Nectria nigrescens Cooke</t>
  </si>
  <si>
    <t>Nectrie noircissante</t>
  </si>
  <si>
    <t xml:space="preserve">Septoria virgaureae (Lib.) Desm. </t>
  </si>
  <si>
    <t>Phacidium lacerum Fr.</t>
  </si>
  <si>
    <t>Clitocella fallax (Quél.) Kluting, T.J. Baroni &amp; Bergemann</t>
  </si>
  <si>
    <t>Rhodocybe trompeur</t>
  </si>
  <si>
    <t>Lachnum subnudipes L.G. Krieglst. &amp; Baral</t>
  </si>
  <si>
    <t>Pézize à pied presque nu</t>
  </si>
  <si>
    <t>Septoria sanguisorbicola Nelen.</t>
  </si>
  <si>
    <t>Russula puellaris Fr.</t>
  </si>
  <si>
    <t>Russule jeune fille</t>
  </si>
  <si>
    <t>Plicaria carbonaria Fuckel</t>
  </si>
  <si>
    <t>Peniophora cinerea (Pers. : Fr.) Cooke</t>
  </si>
  <si>
    <t>Corticie cendrée</t>
  </si>
  <si>
    <t>Ascochyta petuniae Speg.</t>
  </si>
  <si>
    <t>Psathyrella corrugis f. gracilis (Pers. : Fr.) Enderle</t>
  </si>
  <si>
    <t>Psathyrelle grêle</t>
  </si>
  <si>
    <t>Microstoma protractum (Fr.) Kanouse</t>
  </si>
  <si>
    <t>Neobulgaria pura var. foliacea (Bres.) Dennis &amp; Gamundí</t>
  </si>
  <si>
    <t>Tricholomopsis ornata (Fr.) Singer</t>
  </si>
  <si>
    <t>Tricholome orné</t>
  </si>
  <si>
    <t>Russula integra (L. : Fr.) R. Maire</t>
  </si>
  <si>
    <t>Russule intègre, Russule des épicéas</t>
  </si>
  <si>
    <t xml:space="preserve">Ramularia valerianae (Speg.) Sacc. </t>
  </si>
  <si>
    <t>Stictis radiata (L.) Pers.</t>
  </si>
  <si>
    <t>Octospora rustica (Velen.) J. Moravec</t>
  </si>
  <si>
    <t>Protoblastenia rupestris (Scop.) J.Steiner subsp. rupestris</t>
  </si>
  <si>
    <t>Peronospora gei Syd.</t>
  </si>
  <si>
    <t>Mollisia ramealis P. Karst.</t>
  </si>
  <si>
    <t>Pézize des ramilles</t>
  </si>
  <si>
    <t>Uromyces minor J. Schröter</t>
  </si>
  <si>
    <t>Petractis clausa (Hoffm.) Kremp.</t>
  </si>
  <si>
    <t>Melampsora euphorbiae (C. Schubert) Castagne</t>
  </si>
  <si>
    <t>Lepista sordida var. umbonata (M. Bon) M. Bon</t>
  </si>
  <si>
    <t>Lépiste sordide variété umbonée</t>
  </si>
  <si>
    <t>Russula integra f. purpurella (Singer) M. Bon</t>
  </si>
  <si>
    <t>Russule intègre forme pourprée</t>
  </si>
  <si>
    <t>Leccinum molle (Bon) Bon</t>
  </si>
  <si>
    <t>Bolet mou</t>
  </si>
  <si>
    <t>Pholiota squarrosa (Oeder : Fr.) Kummer</t>
  </si>
  <si>
    <t>Pholiote écailleuse</t>
  </si>
  <si>
    <t>Psilocybe modesta (Peck) A.H. Smith</t>
  </si>
  <si>
    <t>Psilocybe modeste</t>
  </si>
  <si>
    <t>Mycogone rosea Link.</t>
  </si>
  <si>
    <t>Russula silvestris (Singer) Reumaux</t>
  </si>
  <si>
    <t>Russule émétique des chênes</t>
  </si>
  <si>
    <t>Trechispora stellulata (Bourdot &amp; Galzin) Liberta</t>
  </si>
  <si>
    <t xml:space="preserve">Pseudocercospora acericola (Woron.) Y.L. Guo &amp; X.J. Liu </t>
  </si>
  <si>
    <t>Aspicilia contorta (Hoffm.) Kremp. subsp. hoffmanniana (Ekman et Fröberg)</t>
  </si>
  <si>
    <t>Synchytrium valerianellae Syd.</t>
  </si>
  <si>
    <t>Mycena olivaceomarginata f. roseofusca (Kühner) Maas Geesteranus</t>
  </si>
  <si>
    <t>Mycène à arête olive variété rose foncé</t>
  </si>
  <si>
    <t>Volvopluteus gloiocephalus (DC.) Vizzini, Contu &amp; Justo</t>
  </si>
  <si>
    <t>Volvaire gluante</t>
  </si>
  <si>
    <t>Mycena stylobates (Pers. : Fr.) Kummer</t>
  </si>
  <si>
    <t>Mycène à socle</t>
  </si>
  <si>
    <t xml:space="preserve">Pestalotia funerea Desm. </t>
  </si>
  <si>
    <t>Massaria lantanae G.H. Otth ex Shoemaker &amp; P.M. LeClair</t>
  </si>
  <si>
    <t>Sphaerotheca epilobii (Wallr.) de Bary</t>
  </si>
  <si>
    <t>Tricholoma sudum (Fr.) Quélet</t>
  </si>
  <si>
    <t>Tricholome sec</t>
  </si>
  <si>
    <t>Sarcodon leucopus (Pers.) Maas Geesteranus &amp; Nannfeldt</t>
  </si>
  <si>
    <t>Hydne à pied blanc</t>
  </si>
  <si>
    <t>Phaeohelotium terrestre (Velen.) Svrcek</t>
  </si>
  <si>
    <t>Simocybe haustellaris f. rubi (Berk.) comb.ined.</t>
  </si>
  <si>
    <t>Septoria verbenae Roberge ex Desm.</t>
  </si>
  <si>
    <t xml:space="preserve">Lophodermium pinastri (Schrad.) Chevall. </t>
  </si>
  <si>
    <t>Sporormia fimetaria De Not.</t>
  </si>
  <si>
    <t>Tubifera ferruginea (Batsch) Gmelin</t>
  </si>
  <si>
    <t>Tubifère ferrugineuse</t>
  </si>
  <si>
    <t>Lepiota oreadiformis var. laevigata (J.E. Lange) M. Bon</t>
  </si>
  <si>
    <t>Lépiote lisse</t>
  </si>
  <si>
    <t>Russula subrubens (Lange) Bon</t>
  </si>
  <si>
    <t>Russule écrevisse des saules</t>
  </si>
  <si>
    <t xml:space="preserve">Leccinum fuscoalbum (Sowerby) Lannoy &amp; Estadès
</t>
  </si>
  <si>
    <t>Bolet blanc et sombre</t>
  </si>
  <si>
    <t>Peniophora violaceolivida (Sommerfelt) Massee</t>
  </si>
  <si>
    <t>Corticie violet pâle</t>
  </si>
  <si>
    <t>Tricholoma boudieri (Barla) Barla</t>
  </si>
  <si>
    <t>Tricholome de Boudier</t>
  </si>
  <si>
    <t>Russula atropurpurea (Krombholz) Britzelmayr</t>
  </si>
  <si>
    <t>Russule pourpre et noire</t>
  </si>
  <si>
    <t>Melanoleuca polioleuca (Fr.) Kühner &amp; Maire</t>
  </si>
  <si>
    <t>Pachyella aquatilis (Berthet &amp; Donadini) Donadini</t>
  </si>
  <si>
    <t>Trichia verrucosa Berk.</t>
  </si>
  <si>
    <t xml:space="preserve">Lophiotrema crenatum (Pers.) Sacc. </t>
  </si>
  <si>
    <t>Phyllosticta mahoniae Sacc. &amp; Speg</t>
  </si>
  <si>
    <t xml:space="preserve">Stagonospora meliloti (Lasch) Petr. </t>
  </si>
  <si>
    <t>Pholiotina pygmaeoaffinis (Fr.) Singer</t>
  </si>
  <si>
    <t>Ramaria formosa (Pers. : Fr.) Quélet</t>
  </si>
  <si>
    <t>Ramaire jolie</t>
  </si>
  <si>
    <t>Sporormiella longisporopsis Ahmed &amp; Cain</t>
  </si>
  <si>
    <t>Tricholoma hemisulphureum (Kühner ex M. Bon) Riva</t>
  </si>
  <si>
    <t>Pluteus umbrosus (Pers. : Fr.) Kummer</t>
  </si>
  <si>
    <t>Plutée brun d'ombre</t>
  </si>
  <si>
    <t>Pholiotina aporos (Kits van Waveren) Clémençon</t>
  </si>
  <si>
    <t>Conocybe printanier</t>
  </si>
  <si>
    <t>Tyromyces fissilis (Berk. &amp; Curt.) Donk</t>
  </si>
  <si>
    <t>Tapinella panuoides f. ionipes (Quélet) Šutara</t>
  </si>
  <si>
    <t>Septoria lonicerae Allesch</t>
  </si>
  <si>
    <t>Pluteus pouzarianus var. albus Bonnard</t>
  </si>
  <si>
    <t>Plutée blanche de Pouzar</t>
  </si>
  <si>
    <t>Atheniella flavoalba (Fr.) Redhead, Moncalvo, Vilgalys, Desjardin &amp; B.A. Perry</t>
  </si>
  <si>
    <t>Mycène jaune pâle</t>
  </si>
  <si>
    <t>Porpoloma spinulosum (Kühn. &amp; Romagnesi) Singer</t>
  </si>
  <si>
    <t>Porpolome spinuleux</t>
  </si>
  <si>
    <t>Thelephora atrocitrina Quélet</t>
  </si>
  <si>
    <t>Théléphore noir et jaune</t>
  </si>
  <si>
    <t>Moravecia calospora (Quél.) Benkert, Caillet &amp; Moyne</t>
  </si>
  <si>
    <t>Tubulicrinis glebulosus (Fr.) Donk</t>
  </si>
  <si>
    <t>Spongipellis spumeus (Sow. : Fr.) Patouillard</t>
  </si>
  <si>
    <t>Polypore cotonneux</t>
  </si>
  <si>
    <t>Peziza violacea Pers.</t>
  </si>
  <si>
    <t>Pézize violette</t>
  </si>
  <si>
    <t>Neonectria fuckeliana (C. Booth) Castl. &amp; Rossman</t>
  </si>
  <si>
    <t xml:space="preserve">Septoria hepaticicola (Duby) Jørst. </t>
  </si>
  <si>
    <t>Phaeolepiota aurea (Bull. : Fr.) Konrad &amp; Maublanc</t>
  </si>
  <si>
    <t>Cystoderme doré</t>
  </si>
  <si>
    <t xml:space="preserve">Lophiostoma macrostomoides De Not. </t>
  </si>
  <si>
    <t>Morchella crassipes (Vent.) Persoon</t>
  </si>
  <si>
    <t>Morille à pied épais</t>
  </si>
  <si>
    <t>Puccinia rubiginosa J. Schröter</t>
  </si>
  <si>
    <t xml:space="preserve">Mycosphaerella rubefaciens B. Erikss. </t>
  </si>
  <si>
    <t>Synchytrium anomalum J. Schröt.</t>
  </si>
  <si>
    <t>Lepiota alba (Bres.) Saccardo</t>
  </si>
  <si>
    <t>Lépiote blanche</t>
  </si>
  <si>
    <t>Spooneromyces velenovskyi (Vacek ex Svrcek) Van Vooren</t>
  </si>
  <si>
    <t>Phyllosticta badhamii Cooke</t>
  </si>
  <si>
    <t>Orbilia delicatula (P. Karst.) P. Karst.</t>
  </si>
  <si>
    <t>Hebeloma incarnatulum A.H. Sm.</t>
  </si>
  <si>
    <t>Tricholomella constricta (Fr. : Fr.) Kalamees</t>
  </si>
  <si>
    <t>Calocybe étranglé</t>
  </si>
  <si>
    <t>Trichophaea hemisphaerioides (Mouton) Graddon</t>
  </si>
  <si>
    <t>Puccinia calcitrapae de Candolle</t>
  </si>
  <si>
    <t xml:space="preserve">Phoma exigua var. inoxydabilis Boerema &amp; Vegh </t>
  </si>
  <si>
    <t xml:space="preserve">Ramularia cylindroides Sacc. </t>
  </si>
  <si>
    <t>Leptospora rubella (Pers.) Rabenh.</t>
  </si>
  <si>
    <t>Leucoagaricus griseodiscus (M. Bon) M. Bon &amp; Migliozzi</t>
  </si>
  <si>
    <t>Lépiote à disque gris</t>
  </si>
  <si>
    <t xml:space="preserve">Septoria aceris (Lib.) Berk. &amp; Broome </t>
  </si>
  <si>
    <t>Rickenella fibula var. pseudocantharellus Bon</t>
  </si>
  <si>
    <t>Mollisia ligni (Desm.) P. Karst.</t>
  </si>
  <si>
    <t xml:space="preserve">Venturia inaequalis (Cooke) G. Winter </t>
  </si>
  <si>
    <t>Tricholoma ustale var. rufoaurantiacum M. Bon</t>
  </si>
  <si>
    <t>Tricholome brûlé variété roux-orangé</t>
  </si>
  <si>
    <t>Sphaerotheca niesslii Thüm</t>
  </si>
  <si>
    <t>Pholiotina teneroides (J.E. Lange) Singer</t>
  </si>
  <si>
    <t>Melanoleuca brevipes (Bull. : Fr.) Patouillard</t>
  </si>
  <si>
    <t>Tricholome à pied court</t>
  </si>
  <si>
    <t>Marasmius epiphyllus (Pers. : Fr.) Fr.</t>
  </si>
  <si>
    <t>Physarum nutans Pers.</t>
  </si>
  <si>
    <t>Otidea alutacea (Pers. : Fr.) Massee</t>
  </si>
  <si>
    <t>Otidée alutacée</t>
  </si>
  <si>
    <t>Russula zonatula Ebbensen &amp; J. Schäffer</t>
  </si>
  <si>
    <t>Russule jouvencelle</t>
  </si>
  <si>
    <t>Thelephora spiculosa (Fr. : Fr.) Fr.</t>
  </si>
  <si>
    <t>Lactarius vellereus var. fuscescens Blum [inval.]</t>
  </si>
  <si>
    <t>Lactaire velouté à lait roussissant</t>
  </si>
  <si>
    <t>Tubulifera arachnoidea Jacq</t>
  </si>
  <si>
    <t>Lepiota latispora (Wasser) M. Bon</t>
  </si>
  <si>
    <t>Lépiote à grandes spores</t>
  </si>
  <si>
    <t>Russula suberythropus P. Moënne-Loccoz ad int.</t>
  </si>
  <si>
    <t>Russule écrevisse des épicéas</t>
  </si>
  <si>
    <t>Phyllosticta atropae Tassi</t>
  </si>
  <si>
    <t>Urocystis anemones (Pers.) G. Winter</t>
  </si>
  <si>
    <t>Octospora lilacina (Seaver) Svrček &amp; Kubička</t>
  </si>
  <si>
    <t>Septoria besseyi Peck</t>
  </si>
  <si>
    <t>Octospora roxheimii var. aestivalis Caillet &amp; Moyne</t>
  </si>
  <si>
    <t>Leucoagaricus croceovelutinus (M. Bon &amp; Boiffard) M. Bon &amp; Boiffard</t>
  </si>
  <si>
    <t>Lépiote à voile safran</t>
  </si>
  <si>
    <t>Ramariopsis asperulospora (G.F. Atk.) Corne</t>
  </si>
  <si>
    <t>Leptothyrium lonicerae Jørst.</t>
  </si>
  <si>
    <t xml:space="preserve">Uromyces aconiti Fuckel </t>
  </si>
  <si>
    <t>Phyllotopsis nidulans (Pers. : Fr.) Singer</t>
  </si>
  <si>
    <t>Pleurote nid d'oiseau</t>
  </si>
  <si>
    <t>Mycena cyanorrhiza Quélet</t>
  </si>
  <si>
    <t>Mycène à base bleue</t>
  </si>
  <si>
    <t>Melanoleuca exscissa (Fries) Singer</t>
  </si>
  <si>
    <t>Tricholome couleur de cendres</t>
  </si>
  <si>
    <t>Rickenella mellea (Singer &amp; Clémençon) Lamoure</t>
  </si>
  <si>
    <t>Omphale couleur de miel</t>
  </si>
  <si>
    <t xml:space="preserve">Verrucaria lecideoides (A. Massal.) Trevis. </t>
  </si>
  <si>
    <t>Phyllosticta populorum Sacc. &amp; Roum.</t>
  </si>
  <si>
    <t>Ramularia bosniaca Bubák</t>
  </si>
  <si>
    <t>Ramularia beccabungae Fautrey</t>
  </si>
  <si>
    <t xml:space="preserve">Mycosphaerella bacillifera (P. Karst.) Lind </t>
  </si>
  <si>
    <t>Tephrocybe murina (Batsch : Fr.) Moser</t>
  </si>
  <si>
    <t>Leucopaxillus lentus (Saccardo) Courtecuisse</t>
  </si>
  <si>
    <t xml:space="preserve">Valsa germanica Nitschke </t>
  </si>
  <si>
    <t>Ramalina farinacea (L.) Ach.</t>
  </si>
  <si>
    <t>Splanchospora ampullacea (Pers.) Lar.N. Vassiljeva</t>
  </si>
  <si>
    <t>Russula cyanoxantha (Sch.) Fr.</t>
  </si>
  <si>
    <t>Russule charbonnière</t>
  </si>
  <si>
    <t>Peniophora limitata (Chaillet : Fr.) Cooke</t>
  </si>
  <si>
    <t>Corticie bordée</t>
  </si>
  <si>
    <t>Mycena epipterygia (Scop. : Fr.) S.F.Gray</t>
  </si>
  <si>
    <t>Mycène des fougères</t>
  </si>
  <si>
    <t>Stagonosporopsis hortensis (Sacc. &amp; Malbr.) Petr.</t>
  </si>
  <si>
    <t xml:space="preserve">Ascochyta violae-hirtae Bubák </t>
  </si>
  <si>
    <t>Xanthoriicola physciae (Kalchbr.) D. Hawksw.</t>
  </si>
  <si>
    <t>Hyaloscypha minuta (Spooner &amp; Dennis) Baral</t>
  </si>
  <si>
    <t>Pholiota scamba (Fr. : Fr.) Moser</t>
  </si>
  <si>
    <t>Hebeloma magnimamma (Fr.) Quélet</t>
  </si>
  <si>
    <t>Neohygrocybe nitrata (Pers.) Kovalenko</t>
  </si>
  <si>
    <t>Puccinia aegopodii (F. Strauss) Röhl.</t>
  </si>
  <si>
    <t>Mycetinis alliaceus (Jacq.) Earle ex A.W. Wilson &amp; Desjardin</t>
  </si>
  <si>
    <t>Marasme à odeur d'ail</t>
  </si>
  <si>
    <t>Valsa friesii (Duby) Fuckel</t>
  </si>
  <si>
    <t>Phyllosticta anthyllidis Baudys</t>
  </si>
  <si>
    <t>Nectria berberidicola Hirooka, Lechat, Rossman &amp; P. Chaverri</t>
  </si>
  <si>
    <t>Nectrie de l'Epine-Vinette</t>
  </si>
  <si>
    <t>Puccinia opizii Bubák</t>
  </si>
  <si>
    <t>Tricholoma tumidum (Pers. : Fr.) Gillet</t>
  </si>
  <si>
    <t xml:space="preserve">Septoria cirsii Niessl </t>
  </si>
  <si>
    <t>Lobaria pulmonaria (L.) Hoffm</t>
  </si>
  <si>
    <t xml:space="preserve">Lichen pulmonaire. </t>
  </si>
  <si>
    <t>Mycena polygramma (Bull. : Fr.) S. F. Gray</t>
  </si>
  <si>
    <t>Mycène à pied strié</t>
  </si>
  <si>
    <t>Russula mairei Singer</t>
  </si>
  <si>
    <t>Russule émétique des hêtres</t>
  </si>
  <si>
    <t xml:space="preserve">Septoria silenes Westend. </t>
  </si>
  <si>
    <t>Puccinia ptychotidis Viennot-Bourgin &amp; Ponchet</t>
  </si>
  <si>
    <t xml:space="preserve">Septoria eupatorii Roberge ex Desm. </t>
  </si>
  <si>
    <t>Mycena graminicola Robich</t>
  </si>
  <si>
    <t>Mycène des graminées</t>
  </si>
  <si>
    <t>Pyrenopeziza lonicerae Nannf.</t>
  </si>
  <si>
    <t>Paxillus filamentosus (Scop.) Fr.</t>
  </si>
  <si>
    <t xml:space="preserve">Tuberculina persicina (Ditmar) Sacc. </t>
  </si>
  <si>
    <t>Phragmidium rubi (Pers.) G. Winter</t>
  </si>
  <si>
    <t>Trachyspora intrusa (Grev.) Arthur</t>
  </si>
  <si>
    <t>Otidea nannfeldtii Harmaja</t>
  </si>
  <si>
    <t>Stropharia eximia Benedix</t>
  </si>
  <si>
    <t>Rubroboletus dupainii (Boud.) Kuan Zhao &amp; Zhu L. Yang</t>
  </si>
  <si>
    <t>Bolet de Dupain</t>
  </si>
  <si>
    <t>Lecidella elaeochroma (Ach.) M.Choisy</t>
  </si>
  <si>
    <t>Unguiculariopsis thallophila (P. Karst.) W.Y. Zhuang</t>
  </si>
  <si>
    <t>Rhytisma punctatum (Pers.) Fr.</t>
  </si>
  <si>
    <t>Russula turci Bresadola</t>
  </si>
  <si>
    <t>Russule cocardée ou Russule de Turco</t>
  </si>
  <si>
    <t>Microglossum olivaceum (Pers. : Fr.) Gillet</t>
  </si>
  <si>
    <t>Microglosse olivacé</t>
  </si>
  <si>
    <t>Postia tephroleuca (Fr. : Fr.) Jülich</t>
  </si>
  <si>
    <t>Polypore souris ou Polypore blanc</t>
  </si>
  <si>
    <t>Neonectria punicea (J.C. Schmidt)</t>
  </si>
  <si>
    <t>Flammocladiella anomiae Lechat &amp; J. Fourn.</t>
  </si>
  <si>
    <t>Mollisia clavata Gremmen</t>
  </si>
  <si>
    <t>Pézize clavée</t>
  </si>
  <si>
    <t xml:space="preserve">Rhizosphaera kalkhoffii Bubák </t>
  </si>
  <si>
    <t xml:space="preserve">Septoria rhamni Durieu &amp; Mont. </t>
  </si>
  <si>
    <t>Panellus mitis (Pers.) Singer</t>
  </si>
  <si>
    <t>Panelle doux</t>
  </si>
  <si>
    <t>Puccinia lapsanae Fuckel</t>
  </si>
  <si>
    <t>Rouille de la lapsane</t>
  </si>
  <si>
    <t>Stropharia albonitens (Fr.) Quélet</t>
  </si>
  <si>
    <t>Strophaire blanc soyeux</t>
  </si>
  <si>
    <t>Mastigosporium kitzebergense U. Schlöss</t>
  </si>
  <si>
    <t>Russula vinosobrunnea (Bresadola) Romagnesi</t>
  </si>
  <si>
    <t>Russule brun vineux</t>
  </si>
  <si>
    <t>Ramaria bataillei (R. Maire) Corner</t>
  </si>
  <si>
    <t>Ramaire de Bataille</t>
  </si>
  <si>
    <t xml:space="preserve">Thekopsora myrtillina P. Karst. </t>
  </si>
  <si>
    <t>Saccobolus caesariatus Renny</t>
  </si>
  <si>
    <t>Septoria aegopodina Sacc.</t>
  </si>
  <si>
    <t>Marssonia veratri Ellis &amp; Everh.</t>
  </si>
  <si>
    <t>Maireina maxima (Massee) W.B. Cooke</t>
  </si>
  <si>
    <t>Uromyces rumicis (Schumach.) G. Winter</t>
  </si>
  <si>
    <t>Melampsora laricis Hartig</t>
  </si>
  <si>
    <t>Tephrocybe mephitica (Fr.) Moser</t>
  </si>
  <si>
    <t>Sphaeropsis malorum Peck</t>
  </si>
  <si>
    <t>Puccinia adoxae R. Hedwig</t>
  </si>
  <si>
    <t>Psathyrella picta (Romagnesi) Romagnesi</t>
  </si>
  <si>
    <t>Mycena vitrea (Fr. : Fr.) Quélet</t>
  </si>
  <si>
    <t xml:space="preserve">Microthyrium cytisi var. cytisi </t>
  </si>
  <si>
    <t xml:space="preserve">Massarina albocarnis (Ellis &amp; Everh.) M.E. Barr </t>
  </si>
  <si>
    <t>Lepiota cristata (Bolt. : Fr.) Kummer</t>
  </si>
  <si>
    <t>Lépiote crêtée</t>
  </si>
  <si>
    <t>Phyllosticta maculiformis Sacc.</t>
  </si>
  <si>
    <t xml:space="preserve">Phoma viburni (Roum. ex Sacc.) Boerema &amp; M.J. Griffin </t>
  </si>
  <si>
    <t>Rutstroemia sydowiana (Rehm) W.L. White</t>
  </si>
  <si>
    <t>Russula mustelina Fr.</t>
  </si>
  <si>
    <t>Russule belette</t>
  </si>
  <si>
    <t>Lyophyllum caerulescens Clémençon</t>
  </si>
  <si>
    <t>Tricholome bleuissant</t>
  </si>
  <si>
    <t>Hypomyces viridis P. Karst</t>
  </si>
  <si>
    <t>Orbilia xanthostigma (Fr.) Fr.</t>
  </si>
  <si>
    <t xml:space="preserve">Phacellium vossianum (Thüm.) U. Braun </t>
  </si>
  <si>
    <t>Hemimycena pithya (Fr.) Dörfelt</t>
  </si>
  <si>
    <t>Ramaria lacteobrunnescens Schild</t>
  </si>
  <si>
    <t>Ombrophila rivulorum Velen.</t>
  </si>
  <si>
    <t>Trichoglossum hirsutum var. capitatum (Pers.) Teng</t>
  </si>
  <si>
    <t>Trichoglosse hirsute variété capitée</t>
  </si>
  <si>
    <t>Russula versicolor J. Schäffer</t>
  </si>
  <si>
    <t>Russule versicolore</t>
  </si>
  <si>
    <t xml:space="preserve">Leptosphaeria acuta (Moug. &amp; Nestl.) P. Karst. </t>
  </si>
  <si>
    <t>Lyophyllum conglobatum (Vittadini) M. Bon</t>
  </si>
  <si>
    <t>Tricholome cendré</t>
  </si>
  <si>
    <t>Venturia rumicis (Desm.) G. Winter</t>
  </si>
  <si>
    <t>Mycocalicium subtile var. minutellum (Ach.) Szatala</t>
  </si>
  <si>
    <t>Merismodes anomalus (Pers. : Fr.) Singer</t>
  </si>
  <si>
    <t>Cyphelle anormale</t>
  </si>
  <si>
    <t>Synchytrium ulmariae O. Falck &amp; Lagerh</t>
  </si>
  <si>
    <t>Russula melitodes Romagnesi</t>
  </si>
  <si>
    <t>Russule mielleuse</t>
  </si>
  <si>
    <t>Pleurotus ostreatus (Jacq. : Fr.) Kummer</t>
  </si>
  <si>
    <t>Pleurote en huitre</t>
  </si>
  <si>
    <t>Lycoperdon lividum Pers.</t>
  </si>
  <si>
    <t>Vesse de-loup livide</t>
  </si>
  <si>
    <t xml:space="preserve">Phaeoramularia antipus (Ellis &amp; Holw.) Deighton </t>
  </si>
  <si>
    <t xml:space="preserve">Synchytrium anemones (DC.) Woronin </t>
  </si>
  <si>
    <t>Cortinarius helianthemorum Bidaud, P. Moënne-Loccoz &amp; Reumaux [ad int.]</t>
  </si>
  <si>
    <t xml:space="preserve">Cortinaire des hélianthèmes. </t>
  </si>
  <si>
    <t>Mycena laevigata (Lasch. : Fr.) Gillet</t>
  </si>
  <si>
    <t>Mycène lisse</t>
  </si>
  <si>
    <t>Lycogala conicum Pers.</t>
  </si>
  <si>
    <t>Xerocomellus pruinatus (Fr. &amp; Hök) Šutara</t>
  </si>
  <si>
    <t>Bolet pruineux</t>
  </si>
  <si>
    <t>Trichobolus zukalii (Heimerl) Kimbr.</t>
  </si>
  <si>
    <t>Leptosphaeria eustomoides Sacc.</t>
  </si>
  <si>
    <t>Podostroma leucopus P. Karst.</t>
  </si>
  <si>
    <t>Synchytrium myosotidis J.G. Kühn</t>
  </si>
  <si>
    <t>Sebacina incrustans (Pers. : Fr.) Tulasne &amp; C. Tulasne</t>
  </si>
  <si>
    <t>Macrocystidia cucumis f. minor Josserand</t>
  </si>
  <si>
    <t>Collybie à odeur de concombre forme grêle</t>
  </si>
  <si>
    <t>Puccinia malvacearum Montagne</t>
  </si>
  <si>
    <t>Rouille de la mauve</t>
  </si>
  <si>
    <t>Trimmatostroma salicis Corda</t>
  </si>
  <si>
    <t>Pluteus pallescens P.D. Orton</t>
  </si>
  <si>
    <t>Plutée palissante</t>
  </si>
  <si>
    <t>Pachyella subisabellina (Le Gal) Trimbach</t>
  </si>
  <si>
    <t>Pseudombrophila bulbifera (E.J. Durand) Brumm.</t>
  </si>
  <si>
    <t>Sistotremastrum niveocremeum (von Höhnel &amp; Litschauer) J. Eriksson</t>
  </si>
  <si>
    <t>Sistotrème blanc crémeux</t>
  </si>
  <si>
    <t>Onygena equina (Willd,) Pers.</t>
  </si>
  <si>
    <t xml:space="preserve">Paxillus cuprinus Jargeat, P; Gryta, H; Chaumeton, J.P; Vizzini,A., </t>
  </si>
  <si>
    <t>Paxille cuivré</t>
  </si>
  <si>
    <t>Diderma carneum var. album  Nann.-Brem</t>
  </si>
  <si>
    <t xml:space="preserve">Septoria cercidis Fr. ex Lév. </t>
  </si>
  <si>
    <t>Melampsoridium betulinum (Fr.) Klebahn</t>
  </si>
  <si>
    <t>Octospora axillaris var. tetraspora Benkert</t>
  </si>
  <si>
    <t>Russula vesca Fr.</t>
  </si>
  <si>
    <t>Russule vieux-rose ou Russule comestible</t>
  </si>
  <si>
    <t>Sporormiella minimoides Ahmed &amp; Cain</t>
  </si>
  <si>
    <t>Omphaliaster asterosporus (J.E. Lange) Lamoure</t>
  </si>
  <si>
    <t>Lepista lentiginosa (Fr.) Bresinsky</t>
  </si>
  <si>
    <t>Russula puellula Ebbensen, F.H. Møller &amp; J. Schäffer</t>
  </si>
  <si>
    <t>Russule timide</t>
  </si>
  <si>
    <t>Sporormiella lageniformis (Fuckel) S.I. Ahmed &amp; Cain</t>
  </si>
  <si>
    <t xml:space="preserve">Ramularia spiraeae-arunci (Sacc.) Allesch. </t>
  </si>
  <si>
    <t xml:space="preserve">Passalora angelicae (Ellis &amp; Everh.) U. Braun </t>
  </si>
  <si>
    <t>Tricholoma vaccinum (J.C. Sch. : Fr.) Kummer</t>
  </si>
  <si>
    <t>Tricholome couleur de vache</t>
  </si>
  <si>
    <t>Xerocomus badiorufus (Heim) M. Bon [inval.]</t>
  </si>
  <si>
    <t>Bolet bai-roux</t>
  </si>
  <si>
    <t>Tricharina praecox (P. Karst.) Dennis</t>
  </si>
  <si>
    <t>Urceolella hirta (Velen.) Svrček, J.R. De Sloover &amp; Baral</t>
  </si>
  <si>
    <t>Phyllosticta phleicola Melnik</t>
  </si>
  <si>
    <t>Tubulicrinis regificus (H.S. Jackson &amp; Dearden) Donk</t>
  </si>
  <si>
    <t xml:space="preserve">Ramularia interstitialis (Berk. &amp; Broome) Gunnerb. &amp; Constant. </t>
  </si>
  <si>
    <t>Tricholoma leucoterreum Mariotto &amp; Turretta</t>
  </si>
  <si>
    <t>Tricholome terreux blanc</t>
  </si>
  <si>
    <t>Septoria wodziczkiana Dominik</t>
  </si>
  <si>
    <t xml:space="preserve">Phoma nebulosa (Pers.) Berk. </t>
  </si>
  <si>
    <t>Phomopsis occulta Traverso</t>
  </si>
  <si>
    <t>Tephrocybe atrata (Fr. : Fr.) Donk</t>
  </si>
  <si>
    <t>Mycena olivaceomarginata (Massee) Massee</t>
  </si>
  <si>
    <t>Mycène à arête olive</t>
  </si>
  <si>
    <t>Russula luteotacta var. oligophylla (Zvara) J. Schäffer</t>
  </si>
  <si>
    <t>Postia caesia (Schrad. : Fr.) P. Karsten</t>
  </si>
  <si>
    <t>Polypore bleuté des conifères</t>
  </si>
  <si>
    <t>Russula lilacea var. carnicolor Bresadola</t>
  </si>
  <si>
    <t>Russule lilas variété couleur chair</t>
  </si>
  <si>
    <t>Peziza pseudovesiculosa Donadini</t>
  </si>
  <si>
    <t>Pézize fausse "vésiculeuse"</t>
  </si>
  <si>
    <t>Peziza ostracoderma Korf</t>
  </si>
  <si>
    <t>Lyophyllum decastes (Fr. : Fr.) Singer</t>
  </si>
  <si>
    <t>Tricholome agrégé</t>
  </si>
  <si>
    <t>Leucoagaricus sublittoralis (Kühner ex Hora) Singer</t>
  </si>
  <si>
    <t>Peziza ampliata Pers.</t>
  </si>
  <si>
    <t>Euepixylon udum (Pers.) Læssøe &amp; Spooner</t>
  </si>
  <si>
    <t>Hypoxylon mouillé</t>
  </si>
  <si>
    <t>Physarum penetrale Rex</t>
  </si>
  <si>
    <t>Tulasnella hyalina von Höhnel &amp; Litschauer</t>
  </si>
  <si>
    <t xml:space="preserve">Kirschsteiniella applanata (Fr.) Petr </t>
  </si>
  <si>
    <t>Ophiostoma novo-ulmi Brasier</t>
  </si>
  <si>
    <t>Graphiose de l'orme.</t>
  </si>
  <si>
    <t>Pulvinula cinnabarina (Fuckel) Boud.</t>
  </si>
  <si>
    <t>Ripartites strigiceps (Fr. : Fr.) P. Karsten</t>
  </si>
  <si>
    <t>Phialea strobilina (Fr.) Gillet</t>
  </si>
  <si>
    <t>Psathyrella olympiana f. caespitosa Kits van Wav.</t>
  </si>
  <si>
    <t>Erysiphe trifoliorum (Wallr.) U. Braun</t>
  </si>
  <si>
    <t>Steccherinum bourdotii Saliba &amp; A. David</t>
  </si>
  <si>
    <t>Scutellinia nigrohirtula (Svrček) Le Gal</t>
  </si>
  <si>
    <t>Ascochyta sorbina Lobik</t>
  </si>
  <si>
    <t>Postia ptychogaster (F. Ludwig) Vesterholt</t>
  </si>
  <si>
    <t>Polypore en coussinet</t>
  </si>
  <si>
    <t>Suillellus luridus var. queletiformis (Blum) Blanco-Dios</t>
  </si>
  <si>
    <t xml:space="preserve">Seynesiella juniperi (Desm.) G. Arnaud </t>
  </si>
  <si>
    <t>Pleurotus ostreatus f. salignus (Pers. : Fr.) Pilát</t>
  </si>
  <si>
    <t>Pleurote du saule</t>
  </si>
  <si>
    <t>Postia floriformis (Quélet) Jülich</t>
  </si>
  <si>
    <t>Polypore en fleur</t>
  </si>
  <si>
    <t>Peronospora potentillae-sterilis Gäum.</t>
  </si>
  <si>
    <t>Leucocybe candicans (Pers.) Vizzini, P. Alvarado, G. Moreno &amp; Consiglio</t>
  </si>
  <si>
    <t>Clitocybe blanchissant</t>
  </si>
  <si>
    <t>Thyronectria aquifolii (Fr.) Jaklitsch &amp; Voglmayr</t>
  </si>
  <si>
    <t>Hymenoscyphus sachalinensis Baral nom. Prov.</t>
  </si>
  <si>
    <t>Pseudohydnum gelatinosum (Scop. : Fr.) Karsten</t>
  </si>
  <si>
    <t>Tremellodon gélatineux</t>
  </si>
  <si>
    <t xml:space="preserve">Peziza lobulata (Velen.) Svrček </t>
  </si>
  <si>
    <t>Zygospermella setosa (Cain) Cain</t>
  </si>
  <si>
    <t xml:space="preserve">Punctelia borreri (Sm.) Krog </t>
  </si>
  <si>
    <t>Lepiota subgracilis Wasser</t>
  </si>
  <si>
    <t>Lépiote presque grêle</t>
  </si>
  <si>
    <t>Stamnaria americana Massee &amp; Morgan</t>
  </si>
  <si>
    <t>Leucoagaricus brunneocingulatus (Orton) M. Bon</t>
  </si>
  <si>
    <t>Lépiote à anneau brun</t>
  </si>
  <si>
    <t>Tremella encephala Willdenow : Fr.</t>
  </si>
  <si>
    <t>Tremelle cérébriforme</t>
  </si>
  <si>
    <t>Septoria crataegi Desm.</t>
  </si>
  <si>
    <t>Tephrocybe impexa (P. Karsten) Moser</t>
  </si>
  <si>
    <t>Ramularia sphaeroidea Sacc.</t>
  </si>
  <si>
    <t>Licea pygmaea (Meyl.) Ing</t>
  </si>
  <si>
    <t>Rhodophana stangliana (Bresinsky &amp; Pfaff) Vizzini</t>
  </si>
  <si>
    <t>Russula pseudoraoultii Ayel &amp; Bidaud</t>
  </si>
  <si>
    <t>Spathularia neesii Bres.</t>
  </si>
  <si>
    <t xml:space="preserve">Parmelia sulcata Taylor </t>
  </si>
  <si>
    <t>Pluteus nanus (Pers. : Fr.) Kummer</t>
  </si>
  <si>
    <t>Plutée naine</t>
  </si>
  <si>
    <t>Pseudomerulius aureus (Fr. : Fr.) Jülich</t>
  </si>
  <si>
    <t>Dematophora buxi (Fabre) C. Lamb., Wittstein &amp; M. Stadler</t>
  </si>
  <si>
    <t>Lepista nuda var. pruinosa (M. Bon) Courtecuisse</t>
  </si>
  <si>
    <t>Pied bleu variété pruineuse</t>
  </si>
  <si>
    <t>Lepiota josserandii M. Bon &amp; Boiffard</t>
  </si>
  <si>
    <t>Lépiote de Josserand</t>
  </si>
  <si>
    <t xml:space="preserve">Sydowiella fenestrans (Duby) Petr. </t>
  </si>
  <si>
    <t>Lepiota rhodorhiza P.D. Orton</t>
  </si>
  <si>
    <t xml:space="preserve">Pseudocercospora opuli (Höhn.) U. Braun &amp; Crous </t>
  </si>
  <si>
    <t xml:space="preserve">Xerocomus subtomentosus f. rubrotinctus Simonini &amp; Contu </t>
  </si>
  <si>
    <t>Pseudoperonospora urticae (Lib.) E.S. Salmon &amp; Ware</t>
  </si>
  <si>
    <t>Russula langei M. Bon</t>
  </si>
  <si>
    <t>Russule charbonnière à pied dur</t>
  </si>
  <si>
    <t>Sclerotinia capillipes (Quél.) Sacc.</t>
  </si>
  <si>
    <t>Psilocybe subcoprophila (Britzelmayr) Saccardo</t>
  </si>
  <si>
    <t>Lepiota andegavensis Mornand</t>
  </si>
  <si>
    <t>Trechispora farinacea (Pers. : Fr.) Liberta</t>
  </si>
  <si>
    <t>Pyrenopeziza dilutella (Fr.) Gminder</t>
  </si>
  <si>
    <t>Phoma longissima (Pers.) Westend</t>
  </si>
  <si>
    <t>Sarcodon subsquamosum (Batsch : Fr.) Quélet</t>
  </si>
  <si>
    <t>Hydne squamuleux</t>
  </si>
  <si>
    <t>Tomentella bryophila (Pers.) M.J. Larsen</t>
  </si>
  <si>
    <t>Tomentelle des mousses</t>
  </si>
  <si>
    <t>Morchella intermedia Boudier</t>
  </si>
  <si>
    <t>Morille intermédiaire</t>
  </si>
  <si>
    <t>Tricholoma gausapatum (Fr. : Fr.) Quélet</t>
  </si>
  <si>
    <t>Octosporella jungermanniarum (P. Crouan &amp; H. Crouan) Döbbeler</t>
  </si>
  <si>
    <t>Russula densissima Romagnesi</t>
  </si>
  <si>
    <t>Russule noiraude</t>
  </si>
  <si>
    <t xml:space="preserve">Entoloma prunuloides var. obscurum Arnolds &amp; Noordel. </t>
  </si>
  <si>
    <t>Vibrissea flavovirens (Pers.) Korf &amp; J.R. Dixon</t>
  </si>
  <si>
    <t>Mycena leucogala (Cooke) Saccardo</t>
  </si>
  <si>
    <t>Mycène lactescente</t>
  </si>
  <si>
    <t>Russula lepida var. salmonea Zvára</t>
  </si>
  <si>
    <t>Russule jolie var. saumonée</t>
  </si>
  <si>
    <t>Pluteus chrysophaeus (J.C. Sch. : Fr.) Quélet</t>
  </si>
  <si>
    <t>Rickenella fibula var. hydrina (Fr. : Fr.) G.J. Krieglsteiner</t>
  </si>
  <si>
    <t>Omphale épingle variété des lieux humides</t>
  </si>
  <si>
    <t>Subulicystidium longisporum (Patouillard) Parmasto</t>
  </si>
  <si>
    <t>Physarum contextum (Pers.) Pers.</t>
  </si>
  <si>
    <t xml:space="preserve">Erysiphe arcuata U. Braun, V.P. Heluta &amp; S. Takam. </t>
  </si>
  <si>
    <t>Tricholoma cedretorum (Bon) A. Riva</t>
  </si>
  <si>
    <t>Tricholome des cèdres</t>
  </si>
  <si>
    <t>Stropharia semiglobata var. stercoraria (Schum. : Fr.) J.E. Lange</t>
  </si>
  <si>
    <t>Strophaire hémisphérique varité stercoricole</t>
  </si>
  <si>
    <t>Squamanita paradoxa (A.H. Sm. &amp; Singer) Bas</t>
  </si>
  <si>
    <t>Microsphaera sparsa Howe</t>
  </si>
  <si>
    <t>Puccinia sorghi Schw.</t>
  </si>
  <si>
    <t>Pezicula frangulae (Fr.) Fuckel</t>
  </si>
  <si>
    <t>Pézicule de la bourdaine</t>
  </si>
  <si>
    <t>Lentinus arcularius (Batsch) Zmitr.</t>
  </si>
  <si>
    <t>Polypore à pores étirés</t>
  </si>
  <si>
    <t xml:space="preserve">Parmelia saxatilis (L.) Ach. </t>
  </si>
  <si>
    <t xml:space="preserve">Aspergillus glaucus (L.) Link </t>
  </si>
  <si>
    <t>Micropeziza poae Fuckel</t>
  </si>
  <si>
    <t>Physarum psittacinum Ditmar</t>
  </si>
  <si>
    <t>Volvariella hypopithys (Fr.) R. Schaffer</t>
  </si>
  <si>
    <t>Volvaire plumeuse</t>
  </si>
  <si>
    <t>Russula aeruginea Lindblad</t>
  </si>
  <si>
    <t>Russule vert-de-gris</t>
  </si>
  <si>
    <t xml:space="preserve">Septoria stellariae Roberge ex Desm. </t>
  </si>
  <si>
    <t>Russula violacea Quélet</t>
  </si>
  <si>
    <t>Russule violacée</t>
  </si>
  <si>
    <t>Mycena sanguinolenta (Alb. &amp; Schw. : Fr.) Kummer</t>
  </si>
  <si>
    <t>Mycène sanguinolante ou Mycène à lait rose</t>
  </si>
  <si>
    <t>Phlebia queletii (Bourdot &amp; Galzin) M.P. Christ.</t>
  </si>
  <si>
    <t>Cladosporium sphaerospermum Penz.</t>
  </si>
  <si>
    <t>Microsphaera euonymi (DC.) Sacc.</t>
  </si>
  <si>
    <t>Russula atropurpurea var. depallens (Pers. : Fr.) R. Maire</t>
  </si>
  <si>
    <t>Russule pourpre et noire décolorée</t>
  </si>
  <si>
    <t xml:space="preserve">Scleromitrula spiraeicola (Dennis) T. Schumach. &amp; Holst-Jensen </t>
  </si>
  <si>
    <t>Inocybe grata Weinmann</t>
  </si>
  <si>
    <t xml:space="preserve">Cetrelia cetrarioides (Delise) W.L. Culb. &amp; C.F. Culb. </t>
  </si>
  <si>
    <t>Pholiota lenta (Pers. : Fr.) Singer</t>
  </si>
  <si>
    <t>Pholiote glutineuse</t>
  </si>
  <si>
    <t xml:space="preserve">Sphacelia typhina (Pers.) Sacc. </t>
  </si>
  <si>
    <t>Stigmina deflectens (P. Karst.) M.B. Ellis</t>
  </si>
  <si>
    <t>Russula clavipes Vélen.</t>
  </si>
  <si>
    <t>Russule jaune verdâtre.</t>
  </si>
  <si>
    <t>Phyllosticta nigromaculans Sacc.</t>
  </si>
  <si>
    <t>Mycena mirata (Peck) Saccardo</t>
  </si>
  <si>
    <t>Mycène mignone</t>
  </si>
  <si>
    <t xml:space="preserve">Passalora graminis (Fuckel) Höhn. </t>
  </si>
  <si>
    <t>Pluteus roseipes von Höhnel</t>
  </si>
  <si>
    <t>Plutée à pied rose</t>
  </si>
  <si>
    <t>Tricholoma saponaceum var. atrovirens (Pers.) P. Karsten</t>
  </si>
  <si>
    <t>Tricholome à odeur de savon variété vert foncé</t>
  </si>
  <si>
    <t>Protoparmeliopsis muralis (Schreb.) M. Choisy</t>
  </si>
  <si>
    <t>Marasmius collinus (Scop. : Fr.) Sing.</t>
  </si>
  <si>
    <t>Marasme des collines</t>
  </si>
  <si>
    <t>Vuilleminia alni Boidin, Lanquetin &amp; G. Gilles</t>
  </si>
  <si>
    <t xml:space="preserve">Trematosphaeria pertusa (Pers.) Fuckel </t>
  </si>
  <si>
    <t>Typhula sclerotioides (Pers.) Fr.</t>
  </si>
  <si>
    <t xml:space="preserve">Ramularia epilobiana (Sacc. &amp; Fautrey) B. Sutton &amp; Piroz. </t>
  </si>
  <si>
    <t>Reticularia lobata A. Lister</t>
  </si>
  <si>
    <t xml:space="preserve">Septoria hedericola (Fr.) Jørst. </t>
  </si>
  <si>
    <t>Sarea difformis (Fr.) Fr.</t>
  </si>
  <si>
    <t>Lyophyllum aemiliae Consiglio</t>
  </si>
  <si>
    <t>Pseudoomphalina clusiliformis (Kühner &amp; Romagnesi) Bon</t>
  </si>
  <si>
    <t xml:space="preserve">Entylomella aricola (Zambett.) U. Braun </t>
  </si>
  <si>
    <t>Phellinus rhamni (Bondartsev) H. Jahn</t>
  </si>
  <si>
    <t>Polypore de la bourdaine</t>
  </si>
  <si>
    <t>Morchella rotunda (Pers. : Fr.) Boud.</t>
  </si>
  <si>
    <t>Morille blonde</t>
  </si>
  <si>
    <t>Russula ochroleuca Pers.</t>
  </si>
  <si>
    <t>Russule ocre et blanche</t>
  </si>
  <si>
    <t>Russula vinosopurpurea J. Schäffer</t>
  </si>
  <si>
    <t>Russule lie-de-vin</t>
  </si>
  <si>
    <t>Stemonitis virginiensis Rex.</t>
  </si>
  <si>
    <t>Tricholoma pardinum (Pers.) Quélet</t>
  </si>
  <si>
    <t>Tricholome tigré</t>
  </si>
  <si>
    <t>Sphaerotheca fugax Penz. &amp; Sacc.</t>
  </si>
  <si>
    <t>Ramularia torrendii (Bres.) U. Braun</t>
  </si>
  <si>
    <t>Leccinum schistophilum Bon</t>
  </si>
  <si>
    <t>Bolet des schistes</t>
  </si>
  <si>
    <t>Phyllosticta balcanica Bubák &amp; Picb.</t>
  </si>
  <si>
    <t>Rectipilus fasciculatus (Pers. : Fr.) Agerer</t>
  </si>
  <si>
    <t xml:space="preserve">Penicillium digitatum (Pers.) Sacc. </t>
  </si>
  <si>
    <t>Phytophthora cinnamomi Rands</t>
  </si>
  <si>
    <t>Tephrocybe confusa (P.D. Orton) P.D. Orton</t>
  </si>
  <si>
    <t>Collybie trompeuse</t>
  </si>
  <si>
    <t xml:space="preserve">Plasmopara pusilla (de Bary) J. Schröt. </t>
  </si>
  <si>
    <t>Scutellinia scutellata (L. : Fr.) Lambotte</t>
  </si>
  <si>
    <t>Pézize en bouclier</t>
  </si>
  <si>
    <t xml:space="preserve">Taphrina wiesneri (Ráthay) Mix </t>
  </si>
  <si>
    <t>Cloque du cerisier</t>
  </si>
  <si>
    <t>Russula roseipes (Gillet) Bresadola</t>
  </si>
  <si>
    <t>Russule à pied rose</t>
  </si>
  <si>
    <t>Ramularia armoraciae Fuckel</t>
  </si>
  <si>
    <t>Peziza boltonii Quél.</t>
  </si>
  <si>
    <t>Pézize de Bolton</t>
  </si>
  <si>
    <t>Lactifluus piperatus (L. : Fr.) Kuntze</t>
  </si>
  <si>
    <t>Lactaire poivré</t>
  </si>
  <si>
    <t>Russula nigropurpurea Bidaud &amp; Moënne-Loccoz</t>
  </si>
  <si>
    <t>Russule pourpre et noir</t>
  </si>
  <si>
    <t xml:space="preserve">Sphaerodes ornata (Zukal) Arx </t>
  </si>
  <si>
    <t>Mycena clavularis (Batsch : Fr.) Saccardo</t>
  </si>
  <si>
    <t>Tricholoma imbricatum (Fr. : Fr.) Kummer</t>
  </si>
  <si>
    <t>Tricholome imbriqué</t>
  </si>
  <si>
    <t xml:space="preserve">Symphytocarpus trechispora (Berk. ex Torrend) Nann.-Bremek. </t>
  </si>
  <si>
    <t>Octospora ithacaensis (Rehm) K.B. Khare</t>
  </si>
  <si>
    <t>Cryptocline paradoxa (De Not.) Arx</t>
  </si>
  <si>
    <t xml:space="preserve">Cortinarius variecolor var. pseudovariicolor (Damblon &amp; Lambinon) Bidaud, P. Moënne-Loccoz &amp; Reumaux </t>
  </si>
  <si>
    <t>Peziza sepiatra Cooke</t>
  </si>
  <si>
    <t>Parascutellinia carneosanguinea (Fuckel) T. Schumach.</t>
  </si>
  <si>
    <t>Russula densifolia Gillet</t>
  </si>
  <si>
    <t>Russule à lames serrées</t>
  </si>
  <si>
    <t xml:space="preserve">Microsphaera alphitoides Griffon &amp; Maubl. </t>
  </si>
  <si>
    <t>Oïdium du chêne</t>
  </si>
  <si>
    <t>Lepista glaucocana (Bresadola) Singer</t>
  </si>
  <si>
    <t>Lépiste gris glauque ou Lépiste pâle</t>
  </si>
  <si>
    <t>Mycena abramsii (Murr.) Murr.</t>
  </si>
  <si>
    <t>Mycène printanière</t>
  </si>
  <si>
    <t>Tricholoma sciodes (Pers.) C. Martin</t>
  </si>
  <si>
    <t>Tricholome ombré</t>
  </si>
  <si>
    <t>Russula adulterina (Fr.) Peck</t>
  </si>
  <si>
    <t>Russule bâtarde</t>
  </si>
  <si>
    <t>Physcia tenella (Scop.) DC.</t>
  </si>
  <si>
    <t>Mycena tenerrima Quélet</t>
  </si>
  <si>
    <t>Mycène fragile</t>
  </si>
  <si>
    <t>Mycena pura (Pers. : Fr.) Kummer</t>
  </si>
  <si>
    <t>Mycène pure</t>
  </si>
  <si>
    <t>Sagaranella tylicolor (Fr.) V. Hofst., Clémençon, Moncalvo &amp; Redhead</t>
  </si>
  <si>
    <t>Collybie gris brun</t>
  </si>
  <si>
    <t>Lepista sordida var. lilacea (Quélet) M. Bon</t>
  </si>
  <si>
    <t>Lépiste sordide variété lilacine</t>
  </si>
  <si>
    <t>Mycena stipata M. Geest &amp; Schwöbel</t>
  </si>
  <si>
    <t>Mycène cespiteuse</t>
  </si>
  <si>
    <t>Phyllosticta cardamines Allesch.</t>
  </si>
  <si>
    <t xml:space="preserve">Mycosphaerella aquilina (Fr.) J. Schröt. </t>
  </si>
  <si>
    <t>Asteromella dentariae (Kabát &amp; Bubák) H. Ruppr.</t>
  </si>
  <si>
    <t>Pezicula acericola (Peck) Peck ex Sacc. &amp; Berl.</t>
  </si>
  <si>
    <t>Taphrina acericola C. Massal.</t>
  </si>
  <si>
    <t>Lepiota ignivolvata Bousset &amp; Josserand</t>
  </si>
  <si>
    <t>Lépiote à volve couleur de feu</t>
  </si>
  <si>
    <t>Phyllosticta rhamnicola Desmazières</t>
  </si>
  <si>
    <t>Lepista tomentosa M.M. Moser</t>
  </si>
  <si>
    <t>Lépiste tomenteuse</t>
  </si>
  <si>
    <t>Lyophyllum ambustum (Fr. : Fr.) Singer</t>
  </si>
  <si>
    <t>Alternaria capsici-annui Săvul. &amp; Sandu</t>
  </si>
  <si>
    <t>Psathyrella olympiana A.H. Smith</t>
  </si>
  <si>
    <t>Pleurophragmium simplex (Berk. &amp; Br.) Hughes</t>
  </si>
  <si>
    <t>Patinella hyalophaea Sacc.</t>
  </si>
  <si>
    <t xml:space="preserve">Otidea onotica var. ochracea (Fr.) Sacc. </t>
  </si>
  <si>
    <t>Oreille de lièvre variété ochracée</t>
  </si>
  <si>
    <t>Hymenoscyphus sabranskyana (Bäumler) inéd.</t>
  </si>
  <si>
    <t>Mycena epipterygia var. atroviscosa Maas Geesteranus</t>
  </si>
  <si>
    <t>Thyronectria ilicicola (Hirooka, Rossman &amp; P. Chaverri) Jaklitsch &amp; Voglmayr</t>
  </si>
  <si>
    <t>Psathyrella piluliformis (Bull.) P.D. Orton</t>
  </si>
  <si>
    <t>Psathyrelle hydrophile</t>
  </si>
  <si>
    <t>Genea hispidula Tul. &amp; C. Tul.</t>
  </si>
  <si>
    <t>Tympanis alnea (Pers. : Fr.) Fr.</t>
  </si>
  <si>
    <t>Russula anthracina var. carneifolia Romagnesi</t>
  </si>
  <si>
    <t>Russule anthracite varité à lames carnées</t>
  </si>
  <si>
    <t xml:space="preserve">Peronospora chenopodii Schltdl. </t>
  </si>
  <si>
    <t>Mollisia prunicola (Fuckel) Gminder, Baral &amp; E. Weber</t>
  </si>
  <si>
    <t>Rhabdosopra rhinanthi (Lib.) Oudem.</t>
  </si>
  <si>
    <t>Pleurosticta acetabulum (Neck.) Elix &amp; Lumbsch</t>
  </si>
  <si>
    <t>Phyllosticta sphaeropsoidea Ellis &amp; Everh</t>
  </si>
  <si>
    <t>Stemonitis ferruginea Ehrenberg ex Fries</t>
  </si>
  <si>
    <t>Stémonite ferrugineuse</t>
  </si>
  <si>
    <t>Leucocoprinus ianthinus (Cooke) Locquin</t>
  </si>
  <si>
    <t>Lépiote violacée</t>
  </si>
  <si>
    <t>Taphrina sp.</t>
  </si>
  <si>
    <t>Psathyrella phegophila Romagnesi</t>
  </si>
  <si>
    <t>Sparassis brevipes Krombholz</t>
  </si>
  <si>
    <t>Tephrocybe coracina (Fr.) Moser</t>
  </si>
  <si>
    <t>Xylaria corniformis var. obovata Sacc.</t>
  </si>
  <si>
    <t>Mycena maculata P. Karsten</t>
  </si>
  <si>
    <t>Mycène tachée</t>
  </si>
  <si>
    <t>Jackrogersella multiformis (Fr.) L. Wendt Kuhnert &amp; M. Stadler</t>
  </si>
  <si>
    <t>Hypoxylon multiforme</t>
  </si>
  <si>
    <t>Alternaria calendulae Ondřej</t>
  </si>
  <si>
    <t>Russula amoena Quélet</t>
  </si>
  <si>
    <t>Russule veloutée</t>
  </si>
  <si>
    <t>Puccinia astrantiae Kalchbr.</t>
  </si>
  <si>
    <t xml:space="preserve">Lepista sordida var. calathus (Quél.) Urbonas </t>
  </si>
  <si>
    <t>Nitschkia parasitans (Schwein.) Nannf.</t>
  </si>
  <si>
    <t>Erysiphe elevata (Burrill) U. Braun &amp; S. Takam</t>
  </si>
  <si>
    <t>Rutstroemia alni L. Remy</t>
  </si>
  <si>
    <t>Russula fellea (Fr. : Fr.) Fr.</t>
  </si>
  <si>
    <t>Russule de fiel</t>
  </si>
  <si>
    <t>Ramaria pseudobotrytis M.P. Christ.</t>
  </si>
  <si>
    <t>Leptosphaeria phyteumatis (Fuckel) Sacc.</t>
  </si>
  <si>
    <t>Volvariella media (Schumach.) Singer</t>
  </si>
  <si>
    <t>Volvaire moyenne</t>
  </si>
  <si>
    <t>Rimbachia neckerae (Fr.) Redhead</t>
  </si>
  <si>
    <t>Pholiota spumosa (Fr. : Fr.) Singer</t>
  </si>
  <si>
    <t>Pholiote écumeuse</t>
  </si>
  <si>
    <t>Tylospora fibrillosa (Burt) Donk</t>
  </si>
  <si>
    <t>Suillus grevillei (Klotzsch) Singer</t>
  </si>
  <si>
    <t>Bolet élégant</t>
  </si>
  <si>
    <t>Sarea resinae (Fr. : Fr.) Kuntze</t>
  </si>
  <si>
    <t>Ramaria flavobrunnescens (G.F. Atkinson) Corner</t>
  </si>
  <si>
    <t>Ramaire brunissante</t>
  </si>
  <si>
    <t>Sistotrema hispanicum Dueñas, Ryvarden &amp; Telleria</t>
  </si>
  <si>
    <t>Sistotrème à quatre spores</t>
  </si>
  <si>
    <t>Russula luteotacta Rea</t>
  </si>
  <si>
    <t>Russule jaunissante</t>
  </si>
  <si>
    <t>Tricholoma populinum J.E. Lange</t>
  </si>
  <si>
    <t>Tricholome du peuplier</t>
  </si>
  <si>
    <t xml:space="preserve">Ramularia veronicae Fuckel </t>
  </si>
  <si>
    <t>Otidea grandis (Pers.) Rehm</t>
  </si>
  <si>
    <t>Pholiota henningsii (Bresadola) P.D. Orton</t>
  </si>
  <si>
    <t>Pholiote de Hennings</t>
  </si>
  <si>
    <t>Phyllosticta libertiae Sacc.</t>
  </si>
  <si>
    <t>Tulasnella violea (Quélet) Bourdot &amp; Galzin</t>
  </si>
  <si>
    <t>Ripartites metrodi Huijsman</t>
  </si>
  <si>
    <t>Ripartite de Métrod</t>
  </si>
  <si>
    <t>Marasmius curreyi Berk. &amp; Br.</t>
  </si>
  <si>
    <t>Marasme de Currey</t>
  </si>
  <si>
    <t>Ascochyta epilobii Oudem.</t>
  </si>
  <si>
    <t xml:space="preserve">Podosphaera clandestina var. aucupariae (Erikss.) U. Braun </t>
  </si>
  <si>
    <t>Psathyrella obtusata (Pers. : Fr.) A.H. Smith</t>
  </si>
  <si>
    <t>Peronospora arvensis Gäum.</t>
  </si>
  <si>
    <t>Puccinia atragenes Hausmann   stade aecidium</t>
  </si>
  <si>
    <t>Plicariella scabrosa (Cooke) Spooner</t>
  </si>
  <si>
    <t>Neolentinus degener (Kalchbrenner) Hrouda</t>
  </si>
  <si>
    <t>Lentin de Shaeffer</t>
  </si>
  <si>
    <t>Merismodes fasciculata (Schwein.) Donk</t>
  </si>
  <si>
    <t>Cyphelle fasciculée</t>
  </si>
  <si>
    <t>Rhizomarasmius undatus (Berk.) R.H. Petersen</t>
  </si>
  <si>
    <t>Phyllosticta bubakiana Picb.</t>
  </si>
  <si>
    <t>Amphosoma atroolivaceum Baral &amp; G. Marson</t>
  </si>
  <si>
    <t xml:space="preserve">Peltigera praetextata (Flörke) Vain. </t>
  </si>
  <si>
    <t>Omphalina pyxidata (Bull. : Fr.) Quélet</t>
  </si>
  <si>
    <t>Omphale en coupe</t>
  </si>
  <si>
    <t>Rickenella fibula (Bull. : Fr.) Raith.</t>
  </si>
  <si>
    <t>Omphale épingle</t>
  </si>
  <si>
    <t>Leucoscypha leucotricha (Alb. &amp; Schwein. : Fr.) Boud.</t>
  </si>
  <si>
    <t>Orbilia curvatispora Boud.</t>
  </si>
  <si>
    <t>Phellodon niger (Fr. : Fr.) Karsten</t>
  </si>
  <si>
    <t>Hydne noir</t>
  </si>
  <si>
    <t>Pseudoclitocybe cyathiformis (Bull. Fr.) Singer</t>
  </si>
  <si>
    <t>Clitocybe en coupe</t>
  </si>
  <si>
    <t>Leptopeltis litigiosa (Desm.) L. Holm &amp; K. Holm</t>
  </si>
  <si>
    <t>Lyophyllum immundum (Berk.) Kühner</t>
  </si>
  <si>
    <t>Phomopsis convallariae (Westend.) Grove</t>
  </si>
  <si>
    <t xml:space="preserve">Melanconis stilbostoma (Fr.) Tul. &amp; C. Tul. </t>
  </si>
  <si>
    <t>Uromyces verrucosae- craccae Mayor</t>
  </si>
  <si>
    <t>Mucronella flava Corner</t>
  </si>
  <si>
    <t xml:space="preserve">Russula xerampelina var. olivascens (Fr.) Quél. </t>
  </si>
  <si>
    <t>Russule écrevisse variété olivâtre</t>
  </si>
  <si>
    <t>Puccinia convolvuli (Pers.) Castagne</t>
  </si>
  <si>
    <t>Rouille du liseron</t>
  </si>
  <si>
    <t>Taphrina pruni Tul.</t>
  </si>
  <si>
    <t>Cloque du prunier</t>
  </si>
  <si>
    <t>Naohidemyces vaccinii (Alb. &amp; Schw.) Sato, Katsuya &amp; Y. Hiratsuka</t>
  </si>
  <si>
    <t>Phyllosticta multiformis Pettinari</t>
  </si>
  <si>
    <t>Puccinia globulariae DC.</t>
  </si>
  <si>
    <t>Phanerochaete sanguinea (Fr. : Fr.) Hjortstam</t>
  </si>
  <si>
    <t>Orbilia aurantiorubra Boud.</t>
  </si>
  <si>
    <t>Psathyrella cotonea (Quélet) Konrad &amp; Maublanc</t>
  </si>
  <si>
    <t>Psathyrelle cotonneuse</t>
  </si>
  <si>
    <t>Typhula lutescens Boud.</t>
  </si>
  <si>
    <t>Phlebia subcretacea (Litschauer) M.P. Christiansen</t>
  </si>
  <si>
    <t>Tuber uncinatum Chatin</t>
  </si>
  <si>
    <t>Truffe de Bourgogne</t>
  </si>
  <si>
    <t>Limacella furnacea (Letellier) E.-J. Gilbert</t>
  </si>
  <si>
    <t>Limacelle brunâtre</t>
  </si>
  <si>
    <t xml:space="preserve">Microsphaera tortilis (Wallr.) Speer </t>
  </si>
  <si>
    <t>Xylaria digitata (L.) Grev.</t>
  </si>
  <si>
    <t>Xylaire digité</t>
  </si>
  <si>
    <t>Podofomes trogii (Fr.) Pouzar</t>
  </si>
  <si>
    <t>Polypore de Trog</t>
  </si>
  <si>
    <t>Pluteus inquilinus Romagnesi</t>
  </si>
  <si>
    <t xml:space="preserve">Marssonina castagnei (Desm. &amp; Mont.) Magnus </t>
  </si>
  <si>
    <t xml:space="preserve">Mycosphaerella depazeiformis (Auersw.) Lindau </t>
  </si>
  <si>
    <t>Tuber aestivum Vitt.</t>
  </si>
  <si>
    <t>Truffe d'été</t>
  </si>
  <si>
    <t>Russula delica var. puta Romagnesi</t>
  </si>
  <si>
    <t>Pleurotus eryngii var. nebrodensis Inzenga</t>
  </si>
  <si>
    <t>Melanoleuca oreina (Fr. : Fr.) Kühner &amp; Maire</t>
  </si>
  <si>
    <t>Tricholome montagnard</t>
  </si>
  <si>
    <t>Imperator rhodopurpureus (Smotl.) Assyov &amp; coll.</t>
  </si>
  <si>
    <t>Bolet vieux rose ou Bolet pourpre</t>
  </si>
  <si>
    <t>Trichia varia Pers.</t>
  </si>
  <si>
    <t>Marasmius limosus Quélet</t>
  </si>
  <si>
    <t>Marasme des marais</t>
  </si>
  <si>
    <t>Tricholoma sejunctum var. coniferarum Bon</t>
  </si>
  <si>
    <t>Tricholome émarginé variété des conifères</t>
  </si>
  <si>
    <t>Myriosclerotinia curreyana (Berk. ex Curr.) N.F. Buchw.</t>
  </si>
  <si>
    <t>Phyllosticta scrophulariae Sacc.</t>
  </si>
  <si>
    <t>Peronospora dipsaci Tul.</t>
  </si>
  <si>
    <t>Phlebia uda (Fr. : Fr.) K.K. Nakasone</t>
  </si>
  <si>
    <t xml:space="preserve">Polytrincium trifolii Kunze </t>
  </si>
  <si>
    <t xml:space="preserve">Phyllosticta aceris (Sacc.) Sacc. </t>
  </si>
  <si>
    <t>Ascochyta sonchi (Sacc.) Grove</t>
  </si>
  <si>
    <t>Peziza granulosa Schumach.</t>
  </si>
  <si>
    <t>Pézize granuleuse</t>
  </si>
  <si>
    <t>Trametes versicolor (L. : Fr.) Lloyd</t>
  </si>
  <si>
    <t>Tramète versicolore</t>
  </si>
  <si>
    <t xml:space="preserve">Placynthium nigrum (Huds.) Gray </t>
  </si>
  <si>
    <t>Phyllosticta argentinae Desm.</t>
  </si>
  <si>
    <t>Leucopaxillus albissimus var. piceinus (Peck) Singer &amp; A.H. Smith</t>
  </si>
  <si>
    <t>Leucopaxille blanc var. des épicéas</t>
  </si>
  <si>
    <t xml:space="preserve">Mamiania fimbriata (Pers.) Ces. &amp; De Not. </t>
  </si>
  <si>
    <t xml:space="preserve">Verrucaria nigrescens Pers. </t>
  </si>
  <si>
    <t>Scutiger pes-caprae (Pers. : Fr.) Bondarzew &amp; Singer</t>
  </si>
  <si>
    <t>Polypore pied-de-chèvre</t>
  </si>
  <si>
    <t xml:space="preserve">Ramularia macrospora Fresen. </t>
  </si>
  <si>
    <t>Diplocarpon fragariae (Lib.) Rossman</t>
  </si>
  <si>
    <t>Phellinus laevigatus (P. Karsten) Bourdot &amp; Galzin</t>
  </si>
  <si>
    <t>Polypore lisse</t>
  </si>
  <si>
    <t>Puccinia iridis Wallr.</t>
  </si>
  <si>
    <t>Rouille de l'iris</t>
  </si>
  <si>
    <t>Mycena viridimarginata P. Karsten</t>
  </si>
  <si>
    <t>Mycène à arête verte</t>
  </si>
  <si>
    <t>Russula decolorans (Fr. : Fr.) Fr.</t>
  </si>
  <si>
    <t>Russule orangée grisonnante</t>
  </si>
  <si>
    <t>Scytinium plicatile (Ach.) Otálora, P. M. Jørg. et Wedin</t>
  </si>
  <si>
    <t>Peziza badiofusca (Boud.) Dennis</t>
  </si>
  <si>
    <t>Russula versatilis Romagnesi</t>
  </si>
  <si>
    <t>Russule versatile</t>
  </si>
  <si>
    <t>Pseudotrichia viburnicola (P. Crouan &amp; H. Crouan) Rossman</t>
  </si>
  <si>
    <t>Lichenopeltella ramalinae Etayo &amp; Diederich</t>
  </si>
  <si>
    <t>Stereum insignitum Quélet</t>
  </si>
  <si>
    <t>Stérée remarquable</t>
  </si>
  <si>
    <t>Saccobolus dilutellus (Fuckel) Sacc.</t>
  </si>
  <si>
    <t>Phyllosticta lysimachiae Allesch.</t>
  </si>
  <si>
    <t>Peltigera aphthosa (L.) Willd.</t>
  </si>
  <si>
    <t>Trochila craterium (DC.) Fr.</t>
  </si>
  <si>
    <t>Ramularia cerinthes Hollós</t>
  </si>
  <si>
    <t>Septoria euonymi Rabenh.</t>
  </si>
  <si>
    <t>Berkleasmium concinnum (Berk.) S. Hughes</t>
  </si>
  <si>
    <t xml:space="preserve">Melanconis alni Tul. &amp; C. Tul. </t>
  </si>
  <si>
    <t> </t>
  </si>
  <si>
    <t>Peronospora sanguisorbae Gäum.</t>
  </si>
  <si>
    <t>Russula cessans A. Pearson</t>
  </si>
  <si>
    <t>Russule tardive</t>
  </si>
  <si>
    <t xml:space="preserve">Leptosphaeria macrospora Thüm. </t>
  </si>
  <si>
    <t>Russula nobilis Velenovsky</t>
  </si>
  <si>
    <t>Russule émétique compacte</t>
  </si>
  <si>
    <t>Neohygrocybe ovina (Bull. : Fr.) Herink</t>
  </si>
  <si>
    <t>Hygrophore des brebis</t>
  </si>
  <si>
    <t>Tricholoma pseudonictitans M. Bon</t>
  </si>
  <si>
    <t xml:space="preserve">Ramularia grevilleana (Tul. &amp; C. Tul.) Jørst. </t>
  </si>
  <si>
    <t>Hymenoscyphus laetus (Boud.) Dennis f. blanche</t>
  </si>
  <si>
    <t>Pluteus diettrichii Bresadola</t>
  </si>
  <si>
    <t>Plutée de Diettrich</t>
  </si>
  <si>
    <t>Pachyella babingtonii (Berk. &amp; Broome) Boud.</t>
  </si>
  <si>
    <t>Unguiculariopsis ravenelii subsp. hamata (Chenant.) W.Y. Zhuang</t>
  </si>
  <si>
    <t>Stereum hirsutum (Willdenow : Fr.) S.F. Gray</t>
  </si>
  <si>
    <t>Stérée hirsute</t>
  </si>
  <si>
    <t xml:space="preserve">Peronospora pulveracea Fuckel </t>
  </si>
  <si>
    <t>Naemacyclus minor Butin</t>
  </si>
  <si>
    <t>Ophiocordyceps gracilis (Grev.) G.H. Sung, J.M. Sung, Hywel-Jones &amp; Spatafora</t>
  </si>
  <si>
    <t>Cordyceps gracile</t>
  </si>
  <si>
    <t>Phyllosticta angulata Wenzl.</t>
  </si>
  <si>
    <t xml:space="preserve">Passalora comari (Peck) U. Braun </t>
  </si>
  <si>
    <t xml:space="preserve">Microsphaeropsis concentrica (Desm.) Morgan-Jones </t>
  </si>
  <si>
    <t>Pleurotus ostreatus f. columbinus (Quélet) Pilát</t>
  </si>
  <si>
    <t>Pleurote en huitre forme bleue</t>
  </si>
  <si>
    <t xml:space="preserve">Macrophoma fusispora (Rostr.) N.F. Buchw. </t>
  </si>
  <si>
    <t xml:space="preserve">Strobilurus tenacellus (Pers.) Singer </t>
  </si>
  <si>
    <t>Collybie tenace</t>
  </si>
  <si>
    <t>Russula aquosa Leclair</t>
  </si>
  <si>
    <t>Russule aqueuse</t>
  </si>
  <si>
    <t>Ombrophila violacea (Hedw.) Fr.</t>
  </si>
  <si>
    <t xml:space="preserve">Tricholoma pseudoimbricatum J.E. Lange &amp; Torkelsen </t>
  </si>
  <si>
    <t>Tricholome feux "imbricatum"</t>
  </si>
  <si>
    <t>Russula integra var. oreas Romagn</t>
  </si>
  <si>
    <t>Thyridium vestitum (Fr.) Fuckel</t>
  </si>
  <si>
    <t>Peziza applanata (Hedw.) Fr.</t>
  </si>
  <si>
    <t>Pézize aplanie</t>
  </si>
  <si>
    <t>Tomentella ferruginella (Bourdot &amp; Galzin) Svrček</t>
  </si>
  <si>
    <t>Puccinia hieracii H. von Martius</t>
  </si>
  <si>
    <t>Psathyrella spadiceogrisea (J.C. Sch.) R. Maire</t>
  </si>
  <si>
    <t>Psathyrelle grisâtre</t>
  </si>
  <si>
    <t>Otidea onotica (Pers. : Fr.) Fuckel</t>
  </si>
  <si>
    <t>Oreille de lièvre</t>
  </si>
  <si>
    <t>Typhula micans (Pers. : Fr.) Berthier</t>
  </si>
  <si>
    <t>Sarcoleotia turficola (Boud.) Dennis</t>
  </si>
  <si>
    <t>Simocybe haustellaris (Fr. : Fr.) Watling</t>
  </si>
  <si>
    <t xml:space="preserve">Aecidium euphorbiae Pers. ex J.F. Gmel. </t>
  </si>
  <si>
    <t xml:space="preserve">Septoria trifolii Ellis </t>
  </si>
  <si>
    <t>Peziza michelii (Boud.) Dennis</t>
  </si>
  <si>
    <t>Pézize de Michel</t>
  </si>
  <si>
    <t xml:space="preserve">Spathularia flavida Pers. : Fr. </t>
  </si>
  <si>
    <t>Spathulaire jaune</t>
  </si>
  <si>
    <t xml:space="preserve">Melogramma spiniferum (Wallr.) De Not. </t>
  </si>
  <si>
    <t>Mycosphaerella teucrii (Unamuno) M. Morelet</t>
  </si>
  <si>
    <t xml:space="preserve">Melogramma bulliardii Tul. &amp; C. Tul. </t>
  </si>
  <si>
    <t xml:space="preserve">Monostichella robergei (Desm.) Höhn. </t>
  </si>
  <si>
    <t>Hymenoscyphus parasulphuratus Baral</t>
  </si>
  <si>
    <t>Pseudoomphalina pachyphylla (Fr. : Fr.) Knudsen</t>
  </si>
  <si>
    <t>Mycena pterigena (Fr. : Fr.) Kummer</t>
  </si>
  <si>
    <t>Mycène des fougères mortes</t>
  </si>
  <si>
    <t>Lophodermium arundinaceum (Schrad.) Chevall.</t>
  </si>
  <si>
    <t xml:space="preserve">Septoria capsellae Oudem. </t>
  </si>
  <si>
    <t>Lentinellus vulpinus (Sow. : Fr.) Kühner &amp; R. Maire</t>
  </si>
  <si>
    <t>Lentin loup</t>
  </si>
  <si>
    <t>Synchytrium globosum J. Schröt.</t>
  </si>
  <si>
    <t>Lyophyllum semitale (Fr. : Fr.) Kalamees</t>
  </si>
  <si>
    <t>Tricholome des sentiers</t>
  </si>
  <si>
    <t>Leucocoprinus cepistipes (Sow. : Fr.) Patouillard</t>
  </si>
  <si>
    <t>Lépiote cespiteuse</t>
  </si>
  <si>
    <t>Stereum subtomentosum Pouzar</t>
  </si>
  <si>
    <t>Stérée presque veloutée</t>
  </si>
  <si>
    <t>Psilocybe atrobrunnea (Lasch : Fr.) Gillet</t>
  </si>
  <si>
    <t>Psilocybe de la tourbe</t>
  </si>
  <si>
    <t>Melanoleuca kuehneri Bon</t>
  </si>
  <si>
    <t>Tricholome de Kuehner</t>
  </si>
  <si>
    <t xml:space="preserve">Uromyces verruculosus J. Schröter </t>
  </si>
  <si>
    <t>Polyporus melanopus (Pers. : Fr.) Fr.</t>
  </si>
  <si>
    <t>Polypore à pied noir</t>
  </si>
  <si>
    <t>Hymenogaster intermedius Stielow, Bratek &amp; Hensel</t>
  </si>
  <si>
    <t>Vibrissea norvegica (Gremmen) A. Sánchez</t>
  </si>
  <si>
    <t>Vibrisse de Norvège</t>
  </si>
  <si>
    <t>Neottiella rutilans (Fr.) Boud.</t>
  </si>
  <si>
    <t>Pézize rutilante</t>
  </si>
  <si>
    <t xml:space="preserve">Ophiocordyceps dittmarii (Quél.) G.H. Sung, J.M. Sung, Hywel-Jones &amp; Spatafora </t>
  </si>
  <si>
    <t>Trichopeziza viridula Grelet</t>
  </si>
  <si>
    <t>Protomyces pachydermus Thüm.</t>
  </si>
  <si>
    <t>Puccinia recondita Roberge</t>
  </si>
  <si>
    <t>Miladina lechithina (Cooke) Svrček</t>
  </si>
  <si>
    <t>Stephanospora caroticolor (Berk.) Patouillard</t>
  </si>
  <si>
    <t xml:space="preserve">Octospora affinis  Benkert &amp; L.G. Krieglst., </t>
  </si>
  <si>
    <t>Trametes gibbosa (Pers. : Fr.) Fr.</t>
  </si>
  <si>
    <t>Tramète bossue</t>
  </si>
  <si>
    <t>Peziza phyllogena Cooke</t>
  </si>
  <si>
    <t>Scytinotus ringens (Fr. : Fr.) P. Karsten</t>
  </si>
  <si>
    <t>Panelle spatulée</t>
  </si>
  <si>
    <t>Lyophyllum rancidum (Fr. : Fr.) Singer</t>
  </si>
  <si>
    <t>Collybie rance</t>
  </si>
  <si>
    <t>Phanerochaete radicata (P. Hennings) K.K. Nakasone, Bergman &amp; H.H. Burdsall</t>
  </si>
  <si>
    <t>Mycena pura f. alba (Gill.) Kühn.</t>
  </si>
  <si>
    <t>Mycène pure forme blanche</t>
  </si>
  <si>
    <t>Puccinia primulae (DC.) Duby</t>
  </si>
  <si>
    <t>Pyrenopeziza urticicola (W. Phillips) Boud.</t>
  </si>
  <si>
    <t>Septoria cymbalariae Sacc. &amp; Speg.</t>
  </si>
  <si>
    <t xml:space="preserve">Strobilurus esculentus (Wulfen) Singer </t>
  </si>
  <si>
    <t>Collybie comestible</t>
  </si>
  <si>
    <t>Lepiota parvannulata (Lasch) Gillet</t>
  </si>
  <si>
    <t>Macrocystidia cucumis (Pers. : Fr.) Josserand</t>
  </si>
  <si>
    <t>Collybie à odeur de concombre</t>
  </si>
  <si>
    <t>Mycena haematopus (Pers. : Fr.) Kummer</t>
  </si>
  <si>
    <t>Mycène à lait rouge</t>
  </si>
  <si>
    <t>Phyllosticta photinica Sacc</t>
  </si>
  <si>
    <t>Thelebolus caninus (Auersw.) Jeng &amp; J.C. Krug</t>
  </si>
  <si>
    <t>Melanelixia glabratula (Lamy) Sandler et Arup</t>
  </si>
  <si>
    <t>Pyrenopeziza baraliana Gminder</t>
  </si>
  <si>
    <t>Clitocella popinalis (Fr.) Kluting, T.J. Baroni &amp; Bergemann</t>
  </si>
  <si>
    <t>Rhodocybe élégant</t>
  </si>
  <si>
    <t>Mycena galopus var. candida J.E. Lange</t>
  </si>
  <si>
    <t>Mycène à lait blanc variété blanche</t>
  </si>
  <si>
    <t>Xerula caussei R. Maire</t>
  </si>
  <si>
    <t>Mucidula mucida (Schrad.) Pat.</t>
  </si>
  <si>
    <t>Collybie visqueuse</t>
  </si>
  <si>
    <t>Pulverolepiota pulverulenta (Huijsman) M. Bon</t>
  </si>
  <si>
    <t>Ramaria broomei (Cotton &amp; Wakefield) R.H. Petersen</t>
  </si>
  <si>
    <t>Ramaire de Broom</t>
  </si>
  <si>
    <t xml:space="preserve">Sordaria humana (Fuckel) G. Winter </t>
  </si>
  <si>
    <t>Orbilia polyspora Grélet</t>
  </si>
  <si>
    <t>Trichophaea contradicta (Seaver) H.J. Larsen</t>
  </si>
  <si>
    <t>Tricholoma portentosum var. lugdunense M. Bon</t>
  </si>
  <si>
    <t>Peziza megalochondra (Le Gal) Donadini</t>
  </si>
  <si>
    <t xml:space="preserve">Mycosphaerella polifoliae (Ellis &amp; Everh.) Bubák </t>
  </si>
  <si>
    <t>Perisporium funiculatum Preuss.</t>
  </si>
  <si>
    <t>Russula lepida var. lactea (Fr.) F.H. Moeller &amp; J. Schäffer</t>
  </si>
  <si>
    <t>Russule jolie variété blanche</t>
  </si>
  <si>
    <t>Mycena riparia Maas Geesteranus</t>
  </si>
  <si>
    <t>Pezicula corylii (Tul.) Tul. &amp; C. Tul.</t>
  </si>
  <si>
    <t>Pézicule du noisetier</t>
  </si>
  <si>
    <t>Tilachlidium brachiatum (Batsch) Petch</t>
  </si>
  <si>
    <t>Russula fragilis (Pers. : Fr.) Fr.</t>
  </si>
  <si>
    <t>Russule fragile</t>
  </si>
  <si>
    <t>Pholiotina vexans (Orton) Bon.</t>
  </si>
  <si>
    <t>Xerocomus subtomentosus (L. : Fr.) Quélet</t>
  </si>
  <si>
    <t>Bolet presque velouté</t>
  </si>
  <si>
    <t>Lepiota kuehneriana Locquin</t>
  </si>
  <si>
    <t>Lépiote dédiée à Kuehner</t>
  </si>
  <si>
    <t>Pholiotina aeruginosa (Romagnesi) M. Bon</t>
  </si>
  <si>
    <t>Conocybe vert de gris</t>
  </si>
  <si>
    <t xml:space="preserve">Massaria microcarpa Fuckel </t>
  </si>
  <si>
    <t>Venturia palustris Sacc., E. Bommer &amp; M. Rousseau</t>
  </si>
  <si>
    <t>Pycnoporellus fulgens (Fr.) Donk</t>
  </si>
  <si>
    <t>Polypore flamboyant</t>
  </si>
  <si>
    <t>Peziza arvernensis Roze &amp; Boud.</t>
  </si>
  <si>
    <t>Pézize d'Auvergne</t>
  </si>
  <si>
    <t xml:space="preserve">Pteridiospora scoriadea (Fr.) Dennis </t>
  </si>
  <si>
    <t>Psathyrella prona (Fr.) Gillet</t>
  </si>
  <si>
    <t>Lyophyllum konradianum (R. Maire) Konrad &amp; Maublanc</t>
  </si>
  <si>
    <t>Tricholome de Konrad</t>
  </si>
  <si>
    <t>Phyllosticta farfarae Sacc.</t>
  </si>
  <si>
    <t>Russula grisea Fr.</t>
  </si>
  <si>
    <t>Russule grise</t>
  </si>
  <si>
    <t>Suillus flavidus (Fr. : Fr.) Presl</t>
  </si>
  <si>
    <t>Bolet jaunâtre</t>
  </si>
  <si>
    <t>Ombrophila lilacina (Wulfen) P. Karst.</t>
  </si>
  <si>
    <t xml:space="preserve">Puccinia sessilis J. Schröt. </t>
  </si>
  <si>
    <t>Nothomitra cinnamomea Maas Geest.</t>
  </si>
  <si>
    <t>Marasmius rotula (Scop. : Fr.) Fr</t>
  </si>
  <si>
    <t>Marasme petite roue</t>
  </si>
  <si>
    <t>Peltigera neopolydactyla (Gyeln.) Gyeln.</t>
  </si>
  <si>
    <t>Russula puellaris var. pseudoabietina Bidaud &amp; P. Moënne-Loccoz</t>
  </si>
  <si>
    <t>Russule jeune fille variété des sapins</t>
  </si>
  <si>
    <t>Trametes suaveolens (L. : Fr.) Fr.</t>
  </si>
  <si>
    <t>Tramète parfumée</t>
  </si>
  <si>
    <t>Sistotrema confluens Pers. : Fr.</t>
  </si>
  <si>
    <t>Sistotrème confluent</t>
  </si>
  <si>
    <t xml:space="preserve">Mamianiella coryli (Batsch) Höhn. </t>
  </si>
  <si>
    <t>Splanchnonema foedans (Fr.) Kuntze</t>
  </si>
  <si>
    <t>Uromyces junci (Desmazières) Tulasne</t>
  </si>
  <si>
    <t>Trimmatostroma betulinum (Corda) S. Hughes</t>
  </si>
  <si>
    <t>Trichia contorta var. attenuata Meylan</t>
  </si>
  <si>
    <t>Trichophaea pseudogregaria (Rick) Boud.</t>
  </si>
  <si>
    <t xml:space="preserve">Podospora decipiens (G. Winter ex Fuckel) Niessl </t>
  </si>
  <si>
    <t>Phloeospora ulmi (Fr.) Wallr.</t>
  </si>
  <si>
    <t>Scotomyces subviolaceus (Peck) Jülich</t>
  </si>
  <si>
    <t>Pluteus alborugosus Kühner &amp; Romagn.</t>
  </si>
  <si>
    <t>Hymenoscyphus albidus (Roberge &amp; Desm. ex Gillet) W. Phillips</t>
  </si>
  <si>
    <t>Mycena cinerella (Karsten) Karsten</t>
  </si>
  <si>
    <t>Mycène cendrée</t>
  </si>
  <si>
    <t>Psilocybe medullosa (Bresadola) Borovička</t>
  </si>
  <si>
    <t>Pionnotes cesati Thüm Saccardo</t>
  </si>
  <si>
    <t>Thecotheus rivicola (Vacek) Kimbr. &amp; Pfister</t>
  </si>
  <si>
    <t>Massaria gigantispora Voglmayr &amp; Jaklitsch</t>
  </si>
  <si>
    <t>Lindtneria trachyspora (Bourdot &amp; Galzin) Pilát</t>
  </si>
  <si>
    <t xml:space="preserve">Lophiosphaera beckhausii (Nitschke) Berl. &amp; Voglino </t>
  </si>
  <si>
    <t>Ramularia schulzeri Bäumler</t>
  </si>
  <si>
    <t>Loreleia marchantiae (Singer &amp; Clémençon) Redhead, Moncalvo, Vilgalys &amp; Lutzoni</t>
  </si>
  <si>
    <t>Omphale des hépatiques</t>
  </si>
  <si>
    <t>Peziza domiciliana Cooke</t>
  </si>
  <si>
    <t>Pézize des maisons</t>
  </si>
  <si>
    <t>Stephensia bombycina (Vittad.) Tul. &amp; C. Tul</t>
  </si>
  <si>
    <t xml:space="preserve">Psilachnum chrysostigma var. versicolor (Quél.) Krieglst. </t>
  </si>
  <si>
    <t>Peniophora erikssonii Boidin</t>
  </si>
  <si>
    <t>Corticie d'Eriksson</t>
  </si>
  <si>
    <t xml:space="preserve">Myrothecium verrucaria (Alb. &amp; Schwein.) Ditmar </t>
  </si>
  <si>
    <t>Ramularia urticae Ces.</t>
  </si>
  <si>
    <t>Sporormiella pulchella (E.C. Hansen) S.I. Ahmed &amp; Cain</t>
  </si>
  <si>
    <t>Ascochyta festucae-erectae Henn.</t>
  </si>
  <si>
    <t>Melampsora ribesii-purpureae Klebahn</t>
  </si>
  <si>
    <t xml:space="preserve">Septoria macrophomospora Sousa da Câmara </t>
  </si>
  <si>
    <t>Leocarpus fragilis (Dicks.) Rostaf.</t>
  </si>
  <si>
    <t>Léocarpe fragile</t>
  </si>
  <si>
    <t>Thyronectria rosellinii (Carestia) Jaklitsch &amp; Voglmayr</t>
  </si>
  <si>
    <t>Melanophyllum eyrei (Massee) Singer</t>
  </si>
  <si>
    <t>Puccinia betonicae D.C.</t>
  </si>
  <si>
    <t xml:space="preserve">Melanconis xanthostroma (Mont. &amp; Fr.) J. Schröt. </t>
  </si>
  <si>
    <t>Rutstroemia paludosa (E.K. Cash &amp; R.W. Davidson) J.W. Groves &amp; M.E. Elliott</t>
  </si>
  <si>
    <t xml:space="preserve">Stemphylium vesicarium (Wallr.) E.G. Simmons </t>
  </si>
  <si>
    <t>Ramularia mercurialis-perennis Roum.</t>
  </si>
  <si>
    <t>Phragmidium fragariae (de Candolle) Rabenhorst</t>
  </si>
  <si>
    <t>Lepista caespitosa (Bresadola) Singer</t>
  </si>
  <si>
    <t>Lépiste cespiteuse</t>
  </si>
  <si>
    <t xml:space="preserve">Psathyrella umbrina Kits van Waveren </t>
  </si>
  <si>
    <t>Aspropaxillus candidus (Bres.) M.M. Moser</t>
  </si>
  <si>
    <t>Leucopaxille blanc candide</t>
  </si>
  <si>
    <t>Psathyrella hirta Peck</t>
  </si>
  <si>
    <t>Paragymnopus perforans (Hoffm.) J.S. Oliveira</t>
  </si>
  <si>
    <t>Marasme perforant</t>
  </si>
  <si>
    <t xml:space="preserve">Staurothele hymenogonia (Nyl.) Th. Fr.    </t>
  </si>
  <si>
    <t>Tympanis conspersa (Fr.) Fr.</t>
  </si>
  <si>
    <t>Verpa bohemica (Krombh.) J. Schröt.</t>
  </si>
  <si>
    <t>Verpe de Bohème</t>
  </si>
  <si>
    <t xml:space="preserve">Quaternaria quaternata (Pers.) J. Schröt. </t>
  </si>
  <si>
    <t xml:space="preserve">Phoma rhodorae Cooke </t>
  </si>
  <si>
    <t>Neolentinus suffrutescens (Brotero : Fr.) May &amp; Wood</t>
  </si>
  <si>
    <t xml:space="preserve">Melomastia mastoidea (Fr.) J. Schröt. </t>
  </si>
  <si>
    <t>Puccinia veratri (de Candolle) Duby</t>
  </si>
  <si>
    <t>Rouille du verrâtre</t>
  </si>
  <si>
    <t>Uromyces rumicis f.sp. aquatici Gäum.</t>
  </si>
  <si>
    <t xml:space="preserve">Pertusaria amara (Ach.) Nyl. </t>
  </si>
  <si>
    <t>Phyllosticta foliorum (Sacc.) Wikee &amp; Crous</t>
  </si>
  <si>
    <t xml:space="preserve">Phlebia  radiata Fr. </t>
  </si>
  <si>
    <t>Tricholoma album (Sch. : Fr.) Kummer</t>
  </si>
  <si>
    <t>Tricholome blanc</t>
  </si>
  <si>
    <t>Phaeocollybia lugubris (Fr. : Fr.) Heim</t>
  </si>
  <si>
    <t>Collybie lugubre</t>
  </si>
  <si>
    <t>Suillus collinitus (Fr.) O. Kuntze</t>
  </si>
  <si>
    <t>Bolet à base rose</t>
  </si>
  <si>
    <t xml:space="preserve">Phyllosticta epipactidis Died. </t>
  </si>
  <si>
    <t xml:space="preserve">Microsphaera berberidis (DC.) Lév. </t>
  </si>
  <si>
    <t>Lauriomyces catenatus (Preuss) R.F. Castañeda &amp; W.B. Kendr.</t>
  </si>
  <si>
    <t>Trichoglossum walteri (Berk.) E.J. Durand</t>
  </si>
  <si>
    <t>Trichoglosse de Wallter</t>
  </si>
  <si>
    <t>Vuilleminia cystidiata Parmasto</t>
  </si>
  <si>
    <t xml:space="preserve">Melampsora evonymi-caprearum Klebahn </t>
  </si>
  <si>
    <t>Melanconium bicolor Nees</t>
  </si>
  <si>
    <t>Sarcodon versipelle (Fr.) Quélet</t>
  </si>
  <si>
    <t>Hyne changeant</t>
  </si>
  <si>
    <t>Tricholoma atrosquamosum Saccardo</t>
  </si>
  <si>
    <t>Tricholome à écailles noirâtres</t>
  </si>
  <si>
    <t>Pithyella frullaniae Chalaud ex Döbbeler</t>
  </si>
  <si>
    <t>Thyronectria pinicola (Kirschst.) Jaklitsch &amp; Voglmayr</t>
  </si>
  <si>
    <t>Sphaerotheca euphorbiae (Castagne) E.S. Salmon</t>
  </si>
  <si>
    <t>Russula sardonia Fr.</t>
  </si>
  <si>
    <t>Russule sardoine</t>
  </si>
  <si>
    <t>Tricholoma scalpturatum f. album Hermosilla &amp; Sanchez</t>
  </si>
  <si>
    <t>Tricholome gravé forme blanche</t>
  </si>
  <si>
    <t>Helvella atra J. König</t>
  </si>
  <si>
    <t>Helvelle noire</t>
  </si>
  <si>
    <t>Phyllosticta ligustri Sacc.</t>
  </si>
  <si>
    <t>Sphaerostilbella berkeleyana (Plowr. &amp; Cooke) Samuels</t>
  </si>
  <si>
    <t xml:space="preserve">Ramularia lapsanae (Desm.) Sacc. </t>
  </si>
  <si>
    <t>Marasmius querceus Britzelmayr</t>
  </si>
  <si>
    <t>Marasme du chêne</t>
  </si>
  <si>
    <t>Puccinia dioicae Magnus</t>
  </si>
  <si>
    <t>Phyllosticta griseofusca Bubák</t>
  </si>
  <si>
    <t>Lepista densifolia (Favre) Singer &amp; Clémençon</t>
  </si>
  <si>
    <t>Lépiste à lames serrées</t>
  </si>
  <si>
    <t>Phellinus igniarius (L. : Fr.) Quélet</t>
  </si>
  <si>
    <t>Polypore faux-amadouvier ou Polypore du saule</t>
  </si>
  <si>
    <t>Rhizocybe vermicularis (Fr.) Vizzini, G. Moreno, P. Alvarado &amp; Consiglio</t>
  </si>
  <si>
    <t>Clitocybe à rhizomorphes</t>
  </si>
  <si>
    <t>Rugosomyces carneus (Bull. : Fr.) M. Bon</t>
  </si>
  <si>
    <t>Lyophylle couleur chair</t>
  </si>
  <si>
    <t>Penicillium nalgiovense Laxa</t>
  </si>
  <si>
    <t>« fleur blanche » à la surface du saucisson</t>
  </si>
  <si>
    <t>Puccinia poarum E. Nielsen</t>
  </si>
  <si>
    <t>Phyllosticta buxina Sacc.</t>
  </si>
  <si>
    <t xml:space="preserve">Scopuloides rimosa (Cooke) Jülich </t>
  </si>
  <si>
    <t>Peziza repanda Pers.</t>
  </si>
  <si>
    <t>Pézize répandue</t>
  </si>
  <si>
    <t>Ascochyta grovei Pisareva</t>
  </si>
  <si>
    <t>Pulvinula constellatio (Berk. &amp; Broome) Boud.</t>
  </si>
  <si>
    <t>Pluteus granulatus Bresadola</t>
  </si>
  <si>
    <t>Plutée granuleuse</t>
  </si>
  <si>
    <t>Lepiota cristata var. pallidior M. Bon</t>
  </si>
  <si>
    <t>Lépiote crêtée varité pâle</t>
  </si>
  <si>
    <t>Vibrissea decolorans (Saut.) A. Sánchez &amp; Korf</t>
  </si>
  <si>
    <t>Lycoperdon foetidum Bonorden</t>
  </si>
  <si>
    <t>Vesse-de loup fétide</t>
  </si>
  <si>
    <t>Ascochyta necans (Ellis &amp; Everh.) Davis</t>
  </si>
  <si>
    <t>Peziza varia (Hedw. : Fr.) Fr.</t>
  </si>
  <si>
    <t>Pézize variable</t>
  </si>
  <si>
    <t xml:space="preserve">Rutola graminis (Desm.) Crane &amp; Schokn. </t>
  </si>
  <si>
    <t>Leucostoma persoonii (Nitschke) Höhn.</t>
  </si>
  <si>
    <t>Leucostome de Persoon</t>
  </si>
  <si>
    <t xml:space="preserve">Mytilinidion acicola G. Winter </t>
  </si>
  <si>
    <t>Octospora neglecta Dennis &amp; Itzerott</t>
  </si>
  <si>
    <t>Phaeosphaeria luctuosa (Niessl ex Sacc.) Y. Otani &amp; Mikawa,</t>
  </si>
  <si>
    <t xml:space="preserve">Podospora granulostriata N. Lundq. </t>
  </si>
  <si>
    <t>Exidia pitya (Alb. &amp; Schw. : Fr.) Fr.</t>
  </si>
  <si>
    <t>Exidie du pin</t>
  </si>
  <si>
    <t>Tubaria dispersa (Pers.) Singer</t>
  </si>
  <si>
    <t>Grifola frondosa var. intybacea (Fr.) Cetto [inval.]</t>
  </si>
  <si>
    <t>Stemonitis axifera (Bull.) Mc Bride</t>
  </si>
  <si>
    <t>Stémonite axifère</t>
  </si>
  <si>
    <t>Phyllosticta ehrhartii Sacc.</t>
  </si>
  <si>
    <t>Physarum viride var. aurantium (Bull.) Lister</t>
  </si>
  <si>
    <t>Trichopezizella barbata (Kunze : Fr.) Raitviir</t>
  </si>
  <si>
    <t>Parasola conopilus (Fr.) Örstadius &amp; E. Larss.</t>
  </si>
  <si>
    <t>Psathyrelle conique</t>
  </si>
  <si>
    <t>Lycoperdon echinatum Pers. : Pers.</t>
  </si>
  <si>
    <t>Vesse-de-loup hérissée de piquants</t>
  </si>
  <si>
    <t>Neoerysiphe galeopsidis (DC.) U. Braun</t>
  </si>
  <si>
    <t>Pluteus luctuosus Boud.</t>
  </si>
  <si>
    <t>Plutée marginée</t>
  </si>
  <si>
    <t>Mycena pura f. violacea (Gillet) Maas Geest.</t>
  </si>
  <si>
    <t>Mycène pure forme violacée</t>
  </si>
  <si>
    <t>Stropharia inuncta (Fr. : Fr.) Quélet</t>
  </si>
  <si>
    <t>Strophaire porphyre</t>
  </si>
  <si>
    <t>Inosperma calamistratum (Fr.) Matheny &amp; Esteve-Rav.</t>
  </si>
  <si>
    <t>Inocybe à base vert sombre ou Inocybe hirsute</t>
  </si>
  <si>
    <t xml:space="preserve">Septoria epilobii Westend. </t>
  </si>
  <si>
    <t>Ramaria testaceoflava (Bresadola) Corner</t>
  </si>
  <si>
    <t>Ramaire brique</t>
  </si>
  <si>
    <t>Peronospora meliloti Syd.</t>
  </si>
  <si>
    <t>Venturia potentillae (Fr.) Cooke</t>
  </si>
  <si>
    <t>Loweomyces wynneae (Berk. &amp; Broome) Jülich</t>
  </si>
  <si>
    <t>Septoria collinae Gonz. Frag.</t>
  </si>
  <si>
    <t>Phyllosticta trifolii Richon</t>
  </si>
  <si>
    <t xml:space="preserve">Peltigera rufescens (Weiss) Humb. </t>
  </si>
  <si>
    <t>Sarcodon quercinofibulatus Pérez-De-Greg., Macau &amp; J. Carbó</t>
  </si>
  <si>
    <t xml:space="preserve">Septoria ulmariae Oudem. </t>
  </si>
  <si>
    <t>Xerula radicata f. marginata (Konrad &amp; Maublanc) R.H. Petersen</t>
  </si>
  <si>
    <t>Collybie radicante forme marginée</t>
  </si>
  <si>
    <t>Tyromyces chioneus (Fr. : Fr.) P. Karsten</t>
  </si>
  <si>
    <t>Polypore blanc de neige</t>
  </si>
  <si>
    <t>Mollisia ventosa P. Karst.</t>
  </si>
  <si>
    <t>Phytophthora alni Brasier &amp; S.A. Kirk</t>
  </si>
  <si>
    <t>Rosellinia marcucciana Ces.</t>
  </si>
  <si>
    <t>Taphrina epiphylla (Sadeb.) Sacc.</t>
  </si>
  <si>
    <t>Cloque de l'aulne</t>
  </si>
  <si>
    <t>Valsa ambiens (Pers.) Fr.</t>
  </si>
  <si>
    <t>Russula fuliginosa Sarnari</t>
  </si>
  <si>
    <t>Russule fuligineuse</t>
  </si>
  <si>
    <t>Mycena rosea (Pers.) Gramberg</t>
  </si>
  <si>
    <t>Mycène rose</t>
  </si>
  <si>
    <t>Pyrenopeziza benesuada (Tul.) Gremmen</t>
  </si>
  <si>
    <t>Taphrina alni (Berk. &amp; Broome) Gjaerum</t>
  </si>
  <si>
    <t>Uromyces heimerlianus Magnus</t>
  </si>
  <si>
    <t>Russula exalbicans (Pers.) Melzer &amp; Zvara</t>
  </si>
  <si>
    <t>Russule pâlissante</t>
  </si>
  <si>
    <t>Cercospora malvicola Ellis &amp; G. Martin</t>
  </si>
  <si>
    <t>Tubulicrinis medius (Bourdot &amp; Galzin) Oberwinkler</t>
  </si>
  <si>
    <t>Rheubarbariboletus armeniacus (Quél.) Vizzini, Simonini &amp; Gelardi</t>
  </si>
  <si>
    <t>Bolet abricot</t>
  </si>
  <si>
    <t>Mycena epipterygia var. candida (Weinm.) Bon &amp; P. Roux</t>
  </si>
  <si>
    <t>Mycène des fougères var. blanche</t>
  </si>
  <si>
    <t>Russula odorata Romagnesi</t>
  </si>
  <si>
    <t>Russule odorante</t>
  </si>
  <si>
    <t>Limacella glioderma (Fr.) Maire</t>
  </si>
  <si>
    <t>Limacelle gluante</t>
  </si>
  <si>
    <t xml:space="preserve">Rosellinia diathrausta (Rehm) L.E. Petrini </t>
  </si>
  <si>
    <t>Mycena pura f. ianthina (Gillet) Maas Geest.</t>
  </si>
  <si>
    <t>Scutellinia legaliae Lohmeyer &amp; Häffner</t>
  </si>
  <si>
    <t>Pézize de madame Legal</t>
  </si>
  <si>
    <t>Ramariopsis kunzei (Fr. : Fr.) Corner</t>
  </si>
  <si>
    <t>Ramaire de Kunz</t>
  </si>
  <si>
    <t>Patinellaria sanguinea (Pers.) P. Karst.</t>
  </si>
  <si>
    <t>Lepiota bettinae Dörfelt</t>
  </si>
  <si>
    <t>Lépiote à squames pourprées</t>
  </si>
  <si>
    <t xml:space="preserve">Pseudevernia furfuracea (L.) Zopf </t>
  </si>
  <si>
    <t>Lyophyllum maas-geesterani Clémençon &amp; Winterhoff</t>
  </si>
  <si>
    <t>Tricholome de Maas-Geesteran</t>
  </si>
  <si>
    <t>Ramularia simplex Pass.</t>
  </si>
  <si>
    <t>Cortinarius salmonicolor Bidaud [ad int.]</t>
  </si>
  <si>
    <t>Lepiota ochraceofulva Orton</t>
  </si>
  <si>
    <t>Lépiote ochracé-fauve</t>
  </si>
  <si>
    <t>Psathyrella fagetophila Örstadius &amp; Enderle</t>
  </si>
  <si>
    <t xml:space="preserve">Psathyrelle du hêtre. </t>
  </si>
  <si>
    <t>Urceolella papillaris (Bull.) Boud.</t>
  </si>
  <si>
    <t>Puccinia calthicola J. Schröter</t>
  </si>
  <si>
    <t xml:space="preserve">Massariosphaeria typhicola (P. Karst.) Leuchtm. </t>
  </si>
  <si>
    <t>Thelephora penicillata (Pers. : Fr.) Fr.</t>
  </si>
  <si>
    <t>Volvariella volvacea (Bull. : Fr.) Singer</t>
  </si>
  <si>
    <t xml:space="preserve">Taphrina deformans (Berk.) Tul. </t>
  </si>
  <si>
    <t>Cloque du pêcher</t>
  </si>
  <si>
    <t>Peziza tenella Batsch</t>
  </si>
  <si>
    <t>Rhodocybe gemina (Fr.) Kuyper &amp; Noordeloos</t>
  </si>
  <si>
    <t>Rhodocybe tronqué</t>
  </si>
  <si>
    <t>Xenolachne longicornis Hauerslev</t>
  </si>
  <si>
    <t>Russula anthracina var. insipida Romagnesi</t>
  </si>
  <si>
    <t>Russule anthracite insipide</t>
  </si>
  <si>
    <t>Peronospora melandryi Gäum.</t>
  </si>
  <si>
    <t>Peziza succosa Berk.</t>
  </si>
  <si>
    <t>Pézize à lait jaune</t>
  </si>
  <si>
    <t>Tomentella stuposa (Link) Stalpers</t>
  </si>
  <si>
    <t>Nectriopsis lecanodes (Ces.) Diederich &amp; Schroers</t>
  </si>
  <si>
    <t xml:space="preserve">Leptotrochila ranunculi (Fr.) Schüepp </t>
  </si>
  <si>
    <t>Puccinia cervariae Lindroth</t>
  </si>
  <si>
    <t xml:space="preserve">Thyronectria berolinensis (Sacc.) Seaver </t>
  </si>
  <si>
    <t>Pucciniastrum oenotherae Gaillard</t>
  </si>
  <si>
    <t>Sowerbyella fagicola J. Moravec</t>
  </si>
  <si>
    <t>Mycosphaerella populi (Auersw.) J. Schröt.</t>
  </si>
  <si>
    <t>Lyophyllum anthracophilum (Lasch) M. Lange &amp; Sivertsen</t>
  </si>
  <si>
    <t>Collybie des charbonnières</t>
  </si>
  <si>
    <t xml:space="preserve">Phomatospora dinemasporium J. Webster </t>
  </si>
  <si>
    <t>Fusisporium bacilligerum Berk. &amp; Broome</t>
  </si>
  <si>
    <t>Rhodotus palmatus (Bull. Fr.) Maire</t>
  </si>
  <si>
    <t>Rhodotus réticulé</t>
  </si>
  <si>
    <t>Panaeolus campanulatus (Kummer) Quélet</t>
  </si>
  <si>
    <t>Panéole campanulé</t>
  </si>
  <si>
    <t>Mycosphaerella hedericola (Cooke) Lindau</t>
  </si>
  <si>
    <t>Mycorrhaphium pusillum (Brotero : Fr.) Maas Geesteranus</t>
  </si>
  <si>
    <t xml:space="preserve">Podospora curvula (de Bary) Niessl </t>
  </si>
  <si>
    <t xml:space="preserve">Stagonosporopsis trachelii (Allesch.) </t>
  </si>
  <si>
    <t>Puccinia buxi de Candolle</t>
  </si>
  <si>
    <t>Rouille du buis</t>
  </si>
  <si>
    <t xml:space="preserve">Phyllosticta fragaricola Roberge ex Desm. </t>
  </si>
  <si>
    <t>Saccoblastia farinacea (v. Höhnel) Donk</t>
  </si>
  <si>
    <t>Melastiza flavorubens (Rehm) Pfister &amp; Korf</t>
  </si>
  <si>
    <t>Phyllosticta vittata Mel'nik</t>
  </si>
  <si>
    <t>Aecidium narcissi Liou</t>
  </si>
  <si>
    <t>Ascochyta euonymi Pass.</t>
  </si>
  <si>
    <t>Melanoleuca graminicola (Vel.) Kühner &amp; Maire</t>
  </si>
  <si>
    <t>Tricholome graminicole</t>
  </si>
  <si>
    <t>Lactarius scoticus (Berk. &amp; Broome)</t>
  </si>
  <si>
    <t>Lactaire de Favre ou Lactaire des hauts-marais</t>
  </si>
  <si>
    <t>Mycena rubromarginata (Fr. : Fr.) Kummer</t>
  </si>
  <si>
    <t>Mycène à arête rouge</t>
  </si>
  <si>
    <t xml:space="preserve">Podospora tetraspora (G. Winter) Cain </t>
  </si>
  <si>
    <t xml:space="preserve">Rosellinia aquila (Fr.) De Not. </t>
  </si>
  <si>
    <t>Cercospora palustris Losa</t>
  </si>
  <si>
    <t>Puccinia microlonchi H. Sydow</t>
  </si>
  <si>
    <t>Jackrogersella cohaerens (Pers.) L. Wendt, Kuhnert &amp; M. Stadler</t>
  </si>
  <si>
    <t>Podosphaera ferruginea (Schltdl.) U. Braun &amp; S. Takam.</t>
  </si>
  <si>
    <t>Synchytrium mercurialis (Lib.) Fuckel</t>
  </si>
  <si>
    <t>Scutiger confluens (Alb. &amp; Schw. : Fr.) Bondarzew &amp; Singer</t>
  </si>
  <si>
    <t>Polypore confluent</t>
  </si>
  <si>
    <t xml:space="preserve">Montagnula spartii (Fabre) Aptroot </t>
  </si>
  <si>
    <t>Perenniporia medulla-panis (Jacq. : Fr.) Donk</t>
  </si>
  <si>
    <t>Polypore mie de pain</t>
  </si>
  <si>
    <t>Lamprospora wisconsinensis Seaver</t>
  </si>
  <si>
    <t>Mycena ticinensis Robich</t>
  </si>
  <si>
    <t>Octospora wrightii (Berk. &amp; M.A. Curtis) J. Moravec</t>
  </si>
  <si>
    <t>Ascochyta cheiranthi Bres</t>
  </si>
  <si>
    <t>Octospora roxheimii Dennis &amp; Itzerott</t>
  </si>
  <si>
    <t>Pluteus phlebophorus (Ditmar : Fr.) Kummer</t>
  </si>
  <si>
    <t>Plutée veinée</t>
  </si>
  <si>
    <t>Sphaerotheca pannosa (Wallr.) Lév.</t>
  </si>
  <si>
    <t>Resinicium bicolor (Alb. &amp; Schw. : Fr.) Parmasto</t>
  </si>
  <si>
    <t>Mitrula paludosa Fr.</t>
  </si>
  <si>
    <t>Mitrule des marais</t>
  </si>
  <si>
    <t xml:space="preserve">Phaeophyscia chloantha (Ach.) Moberg </t>
  </si>
  <si>
    <t>Cortinarius pseudorigidipes (publication ad interim)</t>
  </si>
  <si>
    <t>Porpolomopsis calyptriformis (Berk.) Bresinsky</t>
  </si>
  <si>
    <t>Hygrophore en capuchon</t>
  </si>
  <si>
    <t>Marasmius saccharinus (Batsch : Fr.) Fr.</t>
  </si>
  <si>
    <t xml:space="preserve">Podospora vesticola (Berk. &amp; Broome) Mirza &amp; Cain ex Kobayasi </t>
  </si>
  <si>
    <t>Physarum bivalve Pers.</t>
  </si>
  <si>
    <t>Lepista irina (Fr.) Bigelow</t>
  </si>
  <si>
    <t>Lépiste à odeur d'iris</t>
  </si>
  <si>
    <t>Psilocybe phillipsii (Berk. &amp; Br.) Noordeloos</t>
  </si>
  <si>
    <t>Psilocybe de Phillips</t>
  </si>
  <si>
    <t>Phyllosticta quernea Thüm.</t>
  </si>
  <si>
    <t>Ramaria fennica var. fumigata (Peck) Schild</t>
  </si>
  <si>
    <t>Spilocaea pomi Fr. ex Fr.</t>
  </si>
  <si>
    <t>Peniophora polygonia (Pers. : Fr.) Bourdot &amp; Galzin</t>
  </si>
  <si>
    <t>Russula flavispora Romagnesi</t>
  </si>
  <si>
    <t>Russule faux-lactaire à sporée jaune</t>
  </si>
  <si>
    <t>Mycena aetites (Fr.) Quélet</t>
  </si>
  <si>
    <t>Mycène gris-brun</t>
  </si>
  <si>
    <t>Suillus tridentinus (Bresadola) Singer</t>
  </si>
  <si>
    <t>Bolet du Trentin</t>
  </si>
  <si>
    <t>Octosporella perforata (Döbbeler) Döbbeler</t>
  </si>
  <si>
    <t>Helotium subcitrinum Velen</t>
  </si>
  <si>
    <t>Phellinus igniarius var. trivialis (Killermann) Niemelä</t>
  </si>
  <si>
    <t>Phellin vulgaire</t>
  </si>
  <si>
    <t xml:space="preserve">Sordaria superba De Not. </t>
  </si>
  <si>
    <t>Phragmidium violaceum (Schultzer von Müggenburg) G. Winter</t>
  </si>
  <si>
    <t>Mycena phaeophylla Kühner</t>
  </si>
  <si>
    <t>Pseudoclitopilus rhodoleucus (Sacc.) Vizzini &amp; Contu</t>
  </si>
  <si>
    <t>Leucopaxille rose et blanc</t>
  </si>
  <si>
    <t>Peziza gerardii Cooke</t>
  </si>
  <si>
    <t>Pézize de Gerard</t>
  </si>
  <si>
    <t xml:space="preserve">Nitschkia confertula (Schwein.) Nannf. </t>
  </si>
  <si>
    <t>Ramularia phaseolina Petr.</t>
  </si>
  <si>
    <t>Psathyrella melanthina (Fr.) Kits van Wav.</t>
  </si>
  <si>
    <t>Psathyrelle gris lilas</t>
  </si>
  <si>
    <t>Sebacina caesia (Pers. : Fr.) Tulasne &amp; C. Tulasne</t>
  </si>
  <si>
    <t>Onygena piligena Fr.</t>
  </si>
  <si>
    <t>Sphaeria lichenoides var. convallariae-polygonati DC stade Phyllosticta</t>
  </si>
  <si>
    <t>Splanchnonema argus (Berk. &amp; Broome) Kuntze</t>
  </si>
  <si>
    <t>Lycoperdon decipiens Durieu &amp; Montagne</t>
  </si>
  <si>
    <t>Puccinia sedi Körnicke</t>
  </si>
  <si>
    <t xml:space="preserve">Microsphaeropsis olivacea (Bonord.) Höhn. </t>
  </si>
  <si>
    <t>Aecidium senecionis-macrophylli Savul. &amp; O. Savul.</t>
  </si>
  <si>
    <t xml:space="preserve">Pluteus luteomarginatus Rolland </t>
  </si>
  <si>
    <t>Plutée à marge jaune</t>
  </si>
  <si>
    <t>Tricholoma sejunctoides P.D. Orton</t>
  </si>
  <si>
    <t>Tricholome proche de "sejunctum"</t>
  </si>
  <si>
    <t>Russula pectinatoides f. amarescens Romagnesi</t>
  </si>
  <si>
    <t>Russule à odeur de baudruche forme amère</t>
  </si>
  <si>
    <t>Russula veternosa Fr.</t>
  </si>
  <si>
    <t>Russule rose bonbon</t>
  </si>
  <si>
    <t xml:space="preserve">Mycosphaerella patouillardii (Sacc.) Maire &amp; Werner </t>
  </si>
  <si>
    <t>Psathyrella corrugis (Pers. : Fr.) Konrad &amp; Maublanc</t>
  </si>
  <si>
    <t>Psathyrelle ridée</t>
  </si>
  <si>
    <t>Mycena polygramma f. pumila J.E. Lange</t>
  </si>
  <si>
    <t>Mycène à pied strié forme naine</t>
  </si>
  <si>
    <t>Pucciniastrum circaeae (Schumach.) Speg.</t>
  </si>
  <si>
    <t>Tricholoma aurantium (Sch. : Fr.) Ricken</t>
  </si>
  <si>
    <t>Tricholome orangé</t>
  </si>
  <si>
    <t>Plicaria trachycarpa (Curr.) Boud.</t>
  </si>
  <si>
    <t>Mycena romagnesiana Maas Geesteranus</t>
  </si>
  <si>
    <t>Mycène de Romagnesi</t>
  </si>
  <si>
    <t>Tapesia lividofusca (Fr.) Rehm</t>
  </si>
  <si>
    <t>Phoma asiatica (Cooke) Aa</t>
  </si>
  <si>
    <t>Squamaria crassa (Huds.) DC.</t>
  </si>
  <si>
    <t>Psathyrella potteri A. H. Sm.</t>
  </si>
  <si>
    <t>Mycena flavescens Velenovsky</t>
  </si>
  <si>
    <t>Mycène jaunissante</t>
  </si>
  <si>
    <t>Septogloeum cynanchi Allesch</t>
  </si>
  <si>
    <t>Mycena galericulata var. albida (Pers.) Roussel</t>
  </si>
  <si>
    <t>Mycène en casque variété blanche</t>
  </si>
  <si>
    <t>Octaviania asterosperma Vittad.</t>
  </si>
  <si>
    <t xml:space="preserve">Melanoleuca stridula var. pallidipes (J.E. Lange) Bon </t>
  </si>
  <si>
    <t>Mollisia fallax Gillet</t>
  </si>
  <si>
    <t xml:space="preserve">Mitrophora semilibera f. acuta (Velen.) Svrcek </t>
  </si>
  <si>
    <t>Sporormiella minima (Auersw.) Ahmed &amp; Cain</t>
  </si>
  <si>
    <t>Lamprospora miniata (P. Crouan &amp; H. Crouan) De Not.</t>
  </si>
  <si>
    <t>Tricholoma frondosae Kalamees &amp; Shtshukin</t>
  </si>
  <si>
    <t xml:space="preserve">Tricholome équestre du peuplier. </t>
  </si>
  <si>
    <t>Russula risigallina f. luteorosella (Britzelmayr) M. Bon</t>
  </si>
  <si>
    <t>Russule caméléon jaune et rose</t>
  </si>
  <si>
    <t>Russula pulchella Borczow</t>
  </si>
  <si>
    <t>Russule blanchissante</t>
  </si>
  <si>
    <t>Parasola leiocephala (P.D. Orton) Redhead, Vilgalys &amp; Hopple</t>
  </si>
  <si>
    <t>Coprin glabre</t>
  </si>
  <si>
    <t>Nemania confluens (Tode) Læssøe &amp; Spooner</t>
  </si>
  <si>
    <t>Hypoxylon semi-immergé</t>
  </si>
  <si>
    <t>Rhizocybe pruinosa (P. Kumm.) Vizzini, P. Alvarado &amp; G. Moreno</t>
  </si>
  <si>
    <t>Clitocybe pruineux ou Clitocybe de mars</t>
  </si>
  <si>
    <t>Ramaria condensata (Fr.) Quélet</t>
  </si>
  <si>
    <t>Ascochyta leptospora (Trail) Hara</t>
  </si>
  <si>
    <t xml:space="preserve">Ceriporia tarda (Berk.) Ginns </t>
  </si>
  <si>
    <t>Tricholoma scalpturatum (Fr.) Quélet</t>
  </si>
  <si>
    <t>Tricholome gravé ou Tricholome jaunissant</t>
  </si>
  <si>
    <t>Pluteus satur Kühner &amp; Romagnesi</t>
  </si>
  <si>
    <t xml:space="preserve">Puccinia phragmitis (Schumach.) Körn. </t>
  </si>
  <si>
    <t>Panellus stipticus (Bull. : Fr.) Karsten</t>
  </si>
  <si>
    <t>Panelle stiptique</t>
  </si>
  <si>
    <t>Stropharia pseudocyanea (Desmazières : Fr.) Morgan</t>
  </si>
  <si>
    <t>Strophaire blanc bleuté</t>
  </si>
  <si>
    <t>Porpoloma elytroides (Fr.) Singer</t>
  </si>
  <si>
    <t>Porpolome à spores en élytres</t>
  </si>
  <si>
    <t>Tremella mesenterica (Retz. : Fr.)</t>
  </si>
  <si>
    <t>Trémelle mésentérique</t>
  </si>
  <si>
    <t>Pseudobaeospora brunnea S. Arauzo, P. Iglesias &amp; J. Fernández</t>
  </si>
  <si>
    <t xml:space="preserve">Leptotrochila astrantiae (Ces.) Schüepp </t>
  </si>
  <si>
    <t>Diatrypella melaleuca Nitschke</t>
  </si>
  <si>
    <t xml:space="preserve">Oedohysterium insidens (Schwein.) E.W.A. Boehm &amp; C.L. Schoch </t>
  </si>
  <si>
    <t>Lentinus brumalis (Pers.) Zmitr.</t>
  </si>
  <si>
    <t>Polypore d'hiver</t>
  </si>
  <si>
    <t>Pycnopeziza sejournei (Boud.) Whetzel &amp; W.L. White</t>
  </si>
  <si>
    <t>Pholiota salicicola (Fr.) Arnolds</t>
  </si>
  <si>
    <t>Pholiote des saules</t>
  </si>
  <si>
    <t>Lophodermium abietis Rostr.</t>
  </si>
  <si>
    <t>Melanoleuca subbrevipes M. Bon</t>
  </si>
  <si>
    <t>Russula consobrina (Fr. : Fr.) Fr.</t>
  </si>
  <si>
    <t>Russule bistre</t>
  </si>
  <si>
    <t>Lycogala terrestre Fr.</t>
  </si>
  <si>
    <t>Lycogale terrestre</t>
  </si>
  <si>
    <t xml:space="preserve">Septoria senecionis Westend. </t>
  </si>
  <si>
    <t>Trichothecium roseum (Pers.) Link</t>
  </si>
  <si>
    <t>Phyllosticta stevenii Gucevic</t>
  </si>
  <si>
    <t>Peronospora calotheca Fckl.</t>
  </si>
  <si>
    <t>Sporormiella pilosa (Cain) S.I. Ahmed &amp; Cain</t>
  </si>
  <si>
    <t xml:space="preserve">Mastigosporium rubricosum (Dearn. &amp; Barthol.) Nannf. </t>
  </si>
  <si>
    <t>Nemania effusa (Nitschke) Pouzar</t>
  </si>
  <si>
    <t>Lepiota sublaevigata Bon &amp; Boiffard</t>
  </si>
  <si>
    <t>Lépiote presque lisse</t>
  </si>
  <si>
    <t xml:space="preserve">Taeniolella pulvillus (Berk. &amp; Broome) M.B. Ellis </t>
  </si>
  <si>
    <t>Alternaria dauci (J.G. Kühn) J.W. Groves &amp; Skolko</t>
  </si>
  <si>
    <t>Puccinia magnusiana Körn</t>
  </si>
  <si>
    <t>Hygrocybe vitellina (Fr.) P. Karst.</t>
  </si>
  <si>
    <t>Hygrophore jaune d'œuf</t>
  </si>
  <si>
    <t>Schizophyllum commune (Fr. : Fr.)</t>
  </si>
  <si>
    <t>Schizophylle commun</t>
  </si>
  <si>
    <t>Rubroboletus satanas (Lenz) Kuan Zhao &amp; Zhu L. Yang</t>
  </si>
  <si>
    <t>Bolet Satan</t>
  </si>
  <si>
    <t xml:space="preserve">Peronospora parasitica var. niessleana Berl. </t>
  </si>
  <si>
    <t xml:space="preserve">Selinia pulchra (G. Winter) Sacc. </t>
  </si>
  <si>
    <t>Lepiota cristata var. exannulata Bon</t>
  </si>
  <si>
    <t>Lépiote crêtée varité sans anneau</t>
  </si>
  <si>
    <t>Morchella esculenta var. abietina (Leuba) Sacc. &amp; Trotter</t>
  </si>
  <si>
    <t>Morille commune des sapins</t>
  </si>
  <si>
    <t xml:space="preserve">Phoma hedericola (Durieu &amp; Mont.) Boerema </t>
  </si>
  <si>
    <t>Piloderma byssinum (Karst.) Jülich</t>
  </si>
  <si>
    <t>Puccinia violae de Candolle</t>
  </si>
  <si>
    <t>Rouille des violettes</t>
  </si>
  <si>
    <t>Suillus granulatus (L. : Fr.) Roussel</t>
  </si>
  <si>
    <t>Bolet granulé</t>
  </si>
  <si>
    <t>Russula cremeoavellanea Singer</t>
  </si>
  <si>
    <t>Russule isabelle</t>
  </si>
  <si>
    <t>Otidea tuomikoskii Harmaja</t>
  </si>
  <si>
    <t>Melanoleuca decembris M. Bon</t>
  </si>
  <si>
    <t>Melanoleuca humilis (Pers. : Fr.) Patouillard</t>
  </si>
  <si>
    <t>Russula delica Fr.</t>
  </si>
  <si>
    <t>Russule faux-lactaire ou Russule sans lait</t>
  </si>
  <si>
    <t xml:space="preserve">Ramularia cynarae Sacc. </t>
  </si>
  <si>
    <t>Puccinia carduorum Jacky</t>
  </si>
  <si>
    <t>Patellariopsis atrovinosa (A. Bloxam ex Curr.) Dennis</t>
  </si>
  <si>
    <t>Lepista panaeolus var. irinoides (Bohus) Bon</t>
  </si>
  <si>
    <t xml:space="preserve">Microsphaera vanbruntiana var. sambuci-racemosae U. Braun </t>
  </si>
  <si>
    <t>Phallus impudicus var. pseudoduplicatus O. Andersson</t>
  </si>
  <si>
    <t>Russula intermedia P. Karsten</t>
  </si>
  <si>
    <t>Russule rouge des bouleaux</t>
  </si>
  <si>
    <t xml:space="preserve">Sphaerotheca aphanis (Wallr.) U. Braun </t>
  </si>
  <si>
    <t>Peltigera membranacea (Ach.) Nyl.</t>
  </si>
  <si>
    <t xml:space="preserve">Ramaria sanguinea (Pers.) Quél. </t>
  </si>
  <si>
    <t>Ramaire sanguine</t>
  </si>
  <si>
    <t>Resupinatus poriaeformis (Pers. : Fr.) Thorn, Moncalvo &amp; Redhead</t>
  </si>
  <si>
    <t>Macrolepiota permixta (Barla) Pacioni</t>
  </si>
  <si>
    <t>Lépiote rougissante</t>
  </si>
  <si>
    <t>Pholiotina filaris (Fr.) Fayod</t>
  </si>
  <si>
    <t>Morchella hetieri Boud.</t>
  </si>
  <si>
    <t>Morille de Hétier</t>
  </si>
  <si>
    <t xml:space="preserve">Uncinula adunca (Wallr.) Lév. </t>
  </si>
  <si>
    <t>Tricholoma basirubens (Bon) Riva &amp; Bon</t>
  </si>
  <si>
    <t>Tricholome à base du pied rouge</t>
  </si>
  <si>
    <t xml:space="preserve">Ophiognomonia melanostyla (DC.) Sacc. </t>
  </si>
  <si>
    <t xml:space="preserve">Phoma complanata (Tode) Desm. </t>
  </si>
  <si>
    <t>Phloeomana minutula (Sacc.) Redhead</t>
  </si>
  <si>
    <t>Mycène odorante</t>
  </si>
  <si>
    <t xml:space="preserve">Oligonema flavidum (Peck) Peck </t>
  </si>
  <si>
    <t>Rutstroemia petiolorum (Roberge ex Desm.) W.L. White</t>
  </si>
  <si>
    <t xml:space="preserve">Mytilinidion rhenanum Fuckel </t>
  </si>
  <si>
    <t>Hebeloma griseopruinatum Vesterh., Beker &amp; U. Eberh.</t>
  </si>
  <si>
    <t>Hébélome à pruine grise</t>
  </si>
  <si>
    <t xml:space="preserve">Peronospora conferta (Unger) Unger </t>
  </si>
  <si>
    <t xml:space="preserve">Stagonospora foliicola (Bres.) Bubák </t>
  </si>
  <si>
    <t>Myriosclerotinia sulcatula T. Schumach. &amp; L. M. Kohn</t>
  </si>
  <si>
    <t>Tricharina fimbriata (Quél.) inéd.</t>
  </si>
  <si>
    <t xml:space="preserve">Tricharina gilva (Boud.) Eckblad </t>
  </si>
  <si>
    <t>Myxomphalia maura (Fr. : Fr.) Hora</t>
  </si>
  <si>
    <t>Omphale brun noirâtre</t>
  </si>
  <si>
    <t>Phragmidium acuminatum (Fr.) Cooke</t>
  </si>
  <si>
    <t>Physarum virescens Ditmar</t>
  </si>
  <si>
    <t xml:space="preserve">Ophiovalsa suffusa (Fr.) Petr. </t>
  </si>
  <si>
    <t xml:space="preserve">Trichopeziza discolor (Mouton) Raitv. </t>
  </si>
  <si>
    <t>Stemonitis hyperopta (Meylan) Nann.-Brem.</t>
  </si>
  <si>
    <t>Pleurotus pulmonarius (Fr.) Quél.</t>
  </si>
  <si>
    <t>Pleurote pulmonaire</t>
  </si>
  <si>
    <t>Lentaria albovinacea Pilát</t>
  </si>
  <si>
    <t>Trechispora stevensonii (Berk. &amp; Br.) K.-H. Larsson</t>
  </si>
  <si>
    <t xml:space="preserve">Ramularia bistortae Fuckel </t>
  </si>
  <si>
    <t>Skeletocutis subincarnata (Peck) Keller</t>
  </si>
  <si>
    <t>Tramète rougeâtre</t>
  </si>
  <si>
    <t xml:space="preserve">Uromyces proeminens (de Candolle) Léveillé </t>
  </si>
  <si>
    <t xml:space="preserve">Microthyrium macrosporum (Sacc.) Höhn. </t>
  </si>
  <si>
    <t xml:space="preserve">Pleospora herbarum (Pers.) Rabenh. </t>
  </si>
  <si>
    <t>Phragmidium tuberculatum E. Müller</t>
  </si>
  <si>
    <t>Psathyrella caput-medusae (Fr.) Konrad &amp; Maublanc</t>
  </si>
  <si>
    <t>Psathyrelle tête de méduse</t>
  </si>
  <si>
    <t>Tuber rufum Pollini</t>
  </si>
  <si>
    <t>Tricholoma populinum f. campestre (Fr.) M. Bon</t>
  </si>
  <si>
    <t>Tricholome du peuplier forme champêtre</t>
  </si>
  <si>
    <t>Ramaria flavescens (J.C. Sch.) R.H. Petersen</t>
  </si>
  <si>
    <t>Ramaire jaunissante</t>
  </si>
  <si>
    <t>Tricholoma viridifucatum Bon</t>
  </si>
  <si>
    <t>Tricholome verdâtre</t>
  </si>
  <si>
    <t>Stemonitis fusca (Roth.)</t>
  </si>
  <si>
    <t>Stémonite foncée</t>
  </si>
  <si>
    <t xml:space="preserve">Pseudomassaria chondrospora (Ces.) Jacz. </t>
  </si>
  <si>
    <t>Mycenella rubropunctata Boekhout</t>
  </si>
  <si>
    <t>Mycène des mousses forme tétrasporique</t>
  </si>
  <si>
    <t>Russula cyanoxantha f. peltereaui Singer</t>
  </si>
  <si>
    <t>Russule charbonnière verte</t>
  </si>
  <si>
    <t>Russula insignis Quélet</t>
  </si>
  <si>
    <t>Russule à voile jaune</t>
  </si>
  <si>
    <t>Tricholoma inamoenum (Fr. : Fr.) Gillet</t>
  </si>
  <si>
    <t>Tricholome à odeur désagréable</t>
  </si>
  <si>
    <t>Psathyrella exalbicans (Romagnesi) Romagnesi</t>
  </si>
  <si>
    <t>Strobilurus stephanocystis (Hora) Singer</t>
  </si>
  <si>
    <t>Mollisia cytisi Pat.</t>
  </si>
  <si>
    <t>Typhula uncialis (Grev.) Berthier</t>
  </si>
  <si>
    <t>Omphalina ventosa (Fr.) Quélet</t>
  </si>
  <si>
    <t>Mucronella bresadolae (Quél.) Corner</t>
  </si>
  <si>
    <t>Lyophyllum admissum (Britzelm.) Consiglio &amp; Contu</t>
  </si>
  <si>
    <t>Phylloporus pelletieri (Léveillé) Quélet</t>
  </si>
  <si>
    <t>Phyllopore d'Europe</t>
  </si>
  <si>
    <t>Peziza tenacella W. Phillips</t>
  </si>
  <si>
    <t>Pézize tenace</t>
  </si>
  <si>
    <t>Septoria rubi Westend</t>
  </si>
  <si>
    <t>Roseodiscus subcarneus (Sacc.) Baral</t>
  </si>
  <si>
    <t>Verpa pusilla Quélet</t>
  </si>
  <si>
    <t xml:space="preserve">Rosellinia mammiformis (Pers.) Ces. &amp; De Not. </t>
  </si>
  <si>
    <t>Lobulicium occultum K.-H. Larsson &amp; Hjortstam</t>
  </si>
  <si>
    <t>Psathyrella mucrocystis Smith</t>
  </si>
  <si>
    <t>Russula nigricans Fr.</t>
  </si>
  <si>
    <t>Russule noircissante</t>
  </si>
  <si>
    <t>Psathyrella ochracea (Romagn.) Kits van Wav</t>
  </si>
  <si>
    <t>Sarcodon squamosum (Fr.) Quélet</t>
  </si>
  <si>
    <t>Hydne écailleux</t>
  </si>
  <si>
    <t xml:space="preserve">Trichodelitschia munkii N. Lundq. </t>
  </si>
  <si>
    <t>Clitocella mundula (Lasch) Kluting, T.J. Baroni &amp; Bergemann</t>
  </si>
  <si>
    <t>Porphyrellus porphyrosporus (Fr.) E.-J. Gilbert</t>
  </si>
  <si>
    <t>Bolet à spores porphyres</t>
  </si>
  <si>
    <t>Physisporinus vitraeus (Pers. : Fr.) P. Karsten</t>
  </si>
  <si>
    <t>Polypore vitreux</t>
  </si>
  <si>
    <t xml:space="preserve">Peronospora grisea (Unger) de Bary </t>
  </si>
  <si>
    <t>Bonomyces arnoldii (Boud.) P.-A. Moreau, Vizzini &amp; P. Alvarado</t>
  </si>
  <si>
    <t>Physisporinus sanguinolentus (Alb. &amp; Schw. : Fr.) Pilát</t>
  </si>
  <si>
    <t>Polypore sanguinolent</t>
  </si>
  <si>
    <t>Melanoleuca schumacheri (Fr. : Fr.) Singer</t>
  </si>
  <si>
    <t>Tricholome de Schumacher</t>
  </si>
  <si>
    <t>Tephrocybe striaepilea (Fr.) Donk</t>
  </si>
  <si>
    <t>Pluteus cervinus Kummer</t>
  </si>
  <si>
    <t>Plutée couleur de cerf</t>
  </si>
  <si>
    <t xml:space="preserve">Phyllosticta alliariaefoliae Allesch. </t>
  </si>
  <si>
    <t>Phellinus alni (Bondartsev) Parmasto</t>
  </si>
  <si>
    <t>Phéllin de l'aulne</t>
  </si>
  <si>
    <t>Pulvinula convexella (P. Karst.) Pfister</t>
  </si>
  <si>
    <t xml:space="preserve">Lophodermium caricinum (Roberge ex Desm.) Duby </t>
  </si>
  <si>
    <t>Bremia lactucae Regel</t>
  </si>
  <si>
    <t>Melampsorella caryophyllacearum Schroet.</t>
  </si>
  <si>
    <t>Balai de sorcière des sapins</t>
  </si>
  <si>
    <t>Phellodon tomentosus (L. : Fr.) Banker</t>
  </si>
  <si>
    <t>Hydne velouté</t>
  </si>
  <si>
    <t>Phyllosticta solidaginis Bres.</t>
  </si>
  <si>
    <t>Vibrissea filisporia f. fiscella (P. Karst.) A. Sánchez</t>
  </si>
  <si>
    <t>Tricholoma sulphureum var. coronarium (Pers.) Gillet</t>
  </si>
  <si>
    <t>Tricholome soufré variété couronnée</t>
  </si>
  <si>
    <t>Tricholoma stiparophyllum (Lund) P. Karsten</t>
  </si>
  <si>
    <t>Tricholome faux "album"</t>
  </si>
  <si>
    <t>Phellinus tremulae (Bondarzew) Borisov</t>
  </si>
  <si>
    <t>Polypore du tremble</t>
  </si>
  <si>
    <t>Russula aurora Krombholz</t>
  </si>
  <si>
    <t xml:space="preserve">Russule aurore </t>
  </si>
  <si>
    <t xml:space="preserve">Nematostoma parasiticum (R. Hartig) M.E. Barr </t>
  </si>
  <si>
    <t>Ustilago neglecta Niessl</t>
  </si>
  <si>
    <t xml:space="preserve">Myriosclerotinia scirpicola (Rehm) N.F. Buchw., </t>
  </si>
  <si>
    <t>Neonectria ditissima (Tul. &amp; C. Tul.) Samuels &amp; Rossman</t>
  </si>
  <si>
    <t>Tomentella terrestris (Berk. &amp; Br.) M.J. Larsen</t>
  </si>
  <si>
    <t>Tomentelle terrestre</t>
  </si>
  <si>
    <t>Cortinarius semudaphilus R. Henry [inval.]</t>
  </si>
  <si>
    <t>Trichoglossum variabile (E.J. Durand) Nannf</t>
  </si>
  <si>
    <t>Trichoglosse variable</t>
  </si>
  <si>
    <t>Peziza apiculata Cooke</t>
  </si>
  <si>
    <t>Pseudoidium neolycopersici (L. Kiss) L. Kiss</t>
  </si>
  <si>
    <t xml:space="preserve">Oïdium de la tomate. </t>
  </si>
  <si>
    <t>Marasmius buxi Fr.</t>
  </si>
  <si>
    <t>Marasme du buis</t>
  </si>
  <si>
    <t>Xenodochus carbonarius Schltdl</t>
  </si>
  <si>
    <t>Phaeomarasmius erinaceus (Fr. : Fr.) Scherffel</t>
  </si>
  <si>
    <t>Marasme hérisson</t>
  </si>
  <si>
    <t>Ascochyta boraginis I.E. Brezhnev</t>
  </si>
  <si>
    <t>Melanoleuca friesii (Bresadola) Bon</t>
  </si>
  <si>
    <t>Tricholome de Fries</t>
  </si>
  <si>
    <t xml:space="preserve">Phaeostoma lagenarium (Pers.) Munk </t>
  </si>
  <si>
    <t>Sphagnurus paluster (Peck) Redhead &amp; V. Hofst.</t>
  </si>
  <si>
    <t>Collybie des marais</t>
  </si>
  <si>
    <t>Russula pelargonia Niolle</t>
  </si>
  <si>
    <t>Russule à odeur de géranium</t>
  </si>
  <si>
    <t>Agrocybe xanthocystis Bon &amp; Jamoni</t>
  </si>
  <si>
    <t>Leucoagaricus wichanskyi (Pilát) M. Bon &amp; Boiffard</t>
  </si>
  <si>
    <t>Lépiote de Wychansky</t>
  </si>
  <si>
    <t>Russula gracillima J. Schäffer</t>
  </si>
  <si>
    <t>Russule gracile</t>
  </si>
  <si>
    <t xml:space="preserve">Ramularia asteris (W. Phillips &amp; Plowr.) Bubák </t>
  </si>
  <si>
    <t>Trichia alpina Meylan</t>
  </si>
  <si>
    <t xml:space="preserve">Phaeohelotium nobile (Velen.) Dennis </t>
  </si>
  <si>
    <t>Mycena aurantiomarginata (Fr.:Fr.) Quélet</t>
  </si>
  <si>
    <t>Mycène à arête orangée</t>
  </si>
  <si>
    <t>Septoria quercina Desm.</t>
  </si>
  <si>
    <t>Pluteus pouzarianus Singer</t>
  </si>
  <si>
    <t>Plutée de Pouzar</t>
  </si>
  <si>
    <t>Stictis friabilis (W. Phillips &amp; Plowr.) Sacc. &amp; Traverso</t>
  </si>
  <si>
    <t>Puccinia festucae Plowr.</t>
  </si>
  <si>
    <t>Suillus viscidus var. brunneus Cazzoli &amp; Cons.</t>
  </si>
  <si>
    <t>Bolet visqueux var. brunne</t>
  </si>
  <si>
    <t>Mycena epipterygia var. epipterygioides (A. Pearson) Kühner</t>
  </si>
  <si>
    <t xml:space="preserve">Pythium sylvaticum W.A. Campb. &amp; F.F. Hendrix </t>
  </si>
  <si>
    <t>Phragmidium potentillae (Pers.) P. Karst.</t>
  </si>
  <si>
    <t>Endophyllum euphorbiae-sylvaticae (DC.) G. Winter</t>
  </si>
  <si>
    <t>Melanoleuca rasilis (Fr.) Sing.</t>
  </si>
  <si>
    <t>Ascochyta citri Penz.</t>
  </si>
  <si>
    <t>Puccinia arenariae (Schum.) G. Winter</t>
  </si>
  <si>
    <t>Russula olivacea (J.C. Sch.) Fr.</t>
  </si>
  <si>
    <t>Russule olivacée</t>
  </si>
  <si>
    <t>Peronospora lunariae Gäum</t>
  </si>
  <si>
    <t>Thyronectria lamyi (Desm.) Seeler</t>
  </si>
  <si>
    <t xml:space="preserve">Phaeoramularia punctiformis (Schltdl.) U. Braun </t>
  </si>
  <si>
    <t>Peronospora drabae-majusculae Lindtner</t>
  </si>
  <si>
    <t>Trametes hirsuta (Wulfen) Pilát</t>
  </si>
  <si>
    <t>Tramète hirsute</t>
  </si>
  <si>
    <t>Ramaria fennica var. griseolilacina Schild</t>
  </si>
  <si>
    <t>Sporotrichum bombacinum Link</t>
  </si>
  <si>
    <t>Tricholoma bresadolanum Clémençon</t>
  </si>
  <si>
    <t>Tricholome de Bresadola</t>
  </si>
  <si>
    <t>Lepidoderma tigrinum (Schrad.) Rostaf.</t>
  </si>
  <si>
    <t>Lépidoderme tigré</t>
  </si>
  <si>
    <t>Trametes ochracea (Pers.) Gilbertson &amp; Ryvarden</t>
  </si>
  <si>
    <t>Tramète zonée ou tramète multicolore</t>
  </si>
  <si>
    <t>Melanogaster tuberiformis Corda</t>
  </si>
  <si>
    <t>Deconica horizontalis (Bull.) Noordel.</t>
  </si>
  <si>
    <t>Psilocybe horizontal</t>
  </si>
  <si>
    <t>Tricholoma sejunctum (Sow. : Fr.) Quélet</t>
  </si>
  <si>
    <t>Tricholome émarginé</t>
  </si>
  <si>
    <t>Lentaria subcaulescens (Rebentisch : Fr.) S. Rauschert</t>
  </si>
  <si>
    <t>Triphragmiopsis isopyri (Moug. &amp; Nestl.) Tranzschel</t>
  </si>
  <si>
    <t>Pezicula dissepta Tul. &amp; C. Tul.</t>
  </si>
  <si>
    <t xml:space="preserve">Pseudocercosporella inconspicua (G. Winter)U. Braun </t>
  </si>
  <si>
    <t>Peridermium conorum Thüm.</t>
  </si>
  <si>
    <t>Phyllosticta caprifolii (Opiz) Sacc.</t>
  </si>
  <si>
    <t>Hymenopellis radicata (Relhan) R.H. Petersen</t>
  </si>
  <si>
    <t>Collybie radicante</t>
  </si>
  <si>
    <t>Thyronectria zanthoxyli (Peck) Ellis &amp; Everh.</t>
  </si>
  <si>
    <t xml:space="preserve">Peronospora malyi Lindtner </t>
  </si>
  <si>
    <t>Physarum pusillum (Berk. &amp; M.A. Curtis) G. Lister</t>
  </si>
  <si>
    <t>Leucopaxillus amarus (Alb. &amp; Schw. : Fr.) Kühner</t>
  </si>
  <si>
    <t>Leucopaxille amer</t>
  </si>
  <si>
    <t>Stropharia rugosoannulata f. lutea Hongo</t>
  </si>
  <si>
    <t>Strophaire à anneau rugeux forme jaune</t>
  </si>
  <si>
    <t>Peniophora lycii (Pers.) v. Hoehn. &amp; Litsch.</t>
  </si>
  <si>
    <t>Octosporella erythrostigma (Mont.) Döbbeler</t>
  </si>
  <si>
    <t xml:space="preserve">Cortinarius strobilaceeofulvus D. Antonini &amp; M. Antonini  </t>
  </si>
  <si>
    <t>Xylaria filiformis (Alb. &amp; Schwein. : Fr.) Fr.</t>
  </si>
  <si>
    <t>Xylaire filiforme</t>
  </si>
  <si>
    <t xml:space="preserve">Pilobolus crystallinus var. hyalosporus (Boedijn) F.M. Hu &amp; R.Y. Zheng </t>
  </si>
  <si>
    <t>Macrolepiota excoriata var. rubescens (Duf.) Bon</t>
  </si>
  <si>
    <t>Lépiote excoriée variété rougissante</t>
  </si>
  <si>
    <t>Podosphaera balsaminae (Wallr.) U. Braun &amp; S. Takam</t>
  </si>
  <si>
    <t>Tricholoma saponaceum var. squamosum (Cooke) Rea</t>
  </si>
  <si>
    <t xml:space="preserve">Tricholome à pied squameux </t>
  </si>
  <si>
    <t>Russula laccata Huijsman</t>
  </si>
  <si>
    <t>Russile de Norvège</t>
  </si>
  <si>
    <t>Paralepista gilva (Pers.) Raithelh.</t>
  </si>
  <si>
    <t>Lépiste à guttules</t>
  </si>
  <si>
    <t xml:space="preserve">Puccinia allii Castagne </t>
  </si>
  <si>
    <t>Rouille de l'ail</t>
  </si>
  <si>
    <t>Tylopilus felleus (Bull. : Fr.) P. Karsten</t>
  </si>
  <si>
    <t>Bolet amer ou Bolet de fiel</t>
  </si>
  <si>
    <t>Melanoleuca cognata var. pallidipes Kühn.</t>
  </si>
  <si>
    <t>Tricholome vernal variété à pied pâle</t>
  </si>
  <si>
    <t>Entoloma conicosericeum Vila, F. Caball. &amp; Eyssart.</t>
  </si>
  <si>
    <t xml:space="preserve">Phomatospora minutissima (P. Crouan &amp; H. Crouan) N. Lundq </t>
  </si>
  <si>
    <t>Paxillus olivellus Moreau P-A, Chaumeton J-P, Gryta H, Jargeat P</t>
  </si>
  <si>
    <t>Phyllosticta himantoglossi Petr.</t>
  </si>
  <si>
    <t>Coprinus velaris Fr.</t>
  </si>
  <si>
    <t>Coprin voilé</t>
  </si>
  <si>
    <t xml:space="preserve">Mastigosporium muticum (Sacc.) Gunnerb. </t>
  </si>
  <si>
    <t>Pluteus leoninus (Sch. : Fr.) Kummer</t>
  </si>
  <si>
    <t>Plutée couleur de lion</t>
  </si>
  <si>
    <t>Scutellinia vitreola Kullman</t>
  </si>
  <si>
    <t>Russula carpini Girard &amp; Heinemann</t>
  </si>
  <si>
    <t>Russule des charmes</t>
  </si>
  <si>
    <t>Tricholoma myomyces (Pers. : Fr.) J.E. Lange</t>
  </si>
  <si>
    <t>Tricholome gris souris</t>
  </si>
  <si>
    <t>Pirottaea nigrostriata Graddon</t>
  </si>
  <si>
    <t>Sebacina epigaea (Berk. &amp; Br.) Neuhoff</t>
  </si>
  <si>
    <t>Tapesina griseovitellina (Fuckel) Höhn.</t>
  </si>
  <si>
    <t>Xeropilidium dennisii Baral, Pärtel &amp; G. Marson</t>
  </si>
  <si>
    <t>Pézize de Fuckel</t>
  </si>
  <si>
    <t>Phyllosticta pimpinellae Cejp, Fassat. &amp; Zavrel</t>
  </si>
  <si>
    <t>Octospora convexula (Pers.) L.R. Batra</t>
  </si>
  <si>
    <t>Simocybe centunculus (Fr. : Fr.) P. Karsten</t>
  </si>
  <si>
    <t>Simocybe bariolé</t>
  </si>
  <si>
    <t>Rosellinia corticium (Schwein.) Sacc.</t>
  </si>
  <si>
    <t>Russula acrifolia Romagnesi</t>
  </si>
  <si>
    <t>Russule à lames âcres</t>
  </si>
  <si>
    <t>Unguicularia aspera (Fr.) Nannf</t>
  </si>
  <si>
    <t xml:space="preserve">Orbicula parietina (Schrad.) S. Hughes </t>
  </si>
  <si>
    <t xml:space="preserve">Ramularia caduca (W. Voss) U. Braun </t>
  </si>
  <si>
    <t>Suillellus luridus (Schaeff.) Murrill</t>
  </si>
  <si>
    <t>Bolet blafard ou Bolet blême</t>
  </si>
  <si>
    <t xml:space="preserve">Phellinopsis conchata (Persoon) Dai 2010 </t>
  </si>
  <si>
    <t>Polypore en coquille</t>
  </si>
  <si>
    <t>Russula vesca f. pectinata Britzelmayr</t>
  </si>
  <si>
    <t>Russule comestible forme dédaignée</t>
  </si>
  <si>
    <t>Peziza apicula f. alba Van Vooren &amp; Moyne</t>
  </si>
  <si>
    <t>Peltigera horizontalis (Huds.) Baumg.</t>
  </si>
  <si>
    <t>Marasmius wettsteinii Sacc. &amp; Sydow</t>
  </si>
  <si>
    <t>Marasme de Wettstein</t>
  </si>
  <si>
    <t>Mniaecia jungermanniae (Nees : Fr.) Boud.</t>
  </si>
  <si>
    <t>Lepiota griseovirens Maire</t>
  </si>
  <si>
    <t>Lépiote gris olivacé</t>
  </si>
  <si>
    <t>Patellaria atrata Fr.</t>
  </si>
  <si>
    <t xml:space="preserve">Spadicoides clavariarum (Desm.) S. Hughes </t>
  </si>
  <si>
    <t>Ramularia coryli Chevassut</t>
  </si>
  <si>
    <t>Pluteus murinus Bresadola</t>
  </si>
  <si>
    <t>Rhizoctonia pseudocornigera (M.P. Christ.) Oberw., R. Bauer, Garnica &amp; R. Kirschner</t>
  </si>
  <si>
    <t>Pluteus minimus Romagn.</t>
  </si>
  <si>
    <t>Phragmidium rosae-pimpinellifoliae (Rabenhorst) Dietel</t>
  </si>
  <si>
    <t>Mycena nucicola Huijsman</t>
  </si>
  <si>
    <t>Mycène des noisettes</t>
  </si>
  <si>
    <t>Porpidia crustulata (Ach.) Hertel &amp; Knoph</t>
  </si>
  <si>
    <t>Hyaloscypha strobilicola Huhtinen</t>
  </si>
  <si>
    <t>Pluteus salicinus (Pers. : Fr.) Kummer</t>
  </si>
  <si>
    <t>Plutée des saules</t>
  </si>
  <si>
    <t xml:space="preserve">Septoria erigerontis Peck </t>
  </si>
  <si>
    <t>Toninia sedifolia (Scop.) Timdal</t>
  </si>
  <si>
    <t>Pilidium acerinum (Alb. &amp; Schwein.) Kunze</t>
  </si>
  <si>
    <t>Rubroboletus legaliae (Pilát &amp; Dermek) Della Magg. &amp; Trassin</t>
  </si>
  <si>
    <t>Bolet chicorée ou Bolet de Le Gal</t>
  </si>
  <si>
    <t>Tricholoma psammopus (Kalchbrenner) Quélet</t>
  </si>
  <si>
    <t>Tricholome sablé</t>
  </si>
  <si>
    <t>Russula solaris Ferdinansen &amp; Winge</t>
  </si>
  <si>
    <t>Russule soleil</t>
  </si>
  <si>
    <t>Mycena corynephora Maas Geesteranus</t>
  </si>
  <si>
    <t xml:space="preserve">Uromyces ficariae (Schumach.) Lév. </t>
  </si>
  <si>
    <t xml:space="preserve">Lophiostoma fuckelii var. pulveraceum (Sacc.) Chesters &amp; A.E. Bell  </t>
  </si>
  <si>
    <t>Thelephora mollissima Fr. : Fr.</t>
  </si>
  <si>
    <t>Russula sanguinea f. pseudorosacea (R. Maire) M. Bon</t>
  </si>
  <si>
    <t>Russule sanguine jaunissante</t>
  </si>
  <si>
    <t>Mycena floridula (Fr.) P. Karsten</t>
  </si>
  <si>
    <t>Otidea felina (Pers.) Bres.</t>
  </si>
  <si>
    <t>Otidée féline</t>
  </si>
  <si>
    <t>Xerocomellus chrysenteron (Bull.) Sutara</t>
  </si>
  <si>
    <t>Bolet à chair jaune</t>
  </si>
  <si>
    <t>Leucangium carthusianum (Tul. &amp; C. Tul.) Paol.</t>
  </si>
  <si>
    <t>Velutarina rufoolivacea (Alb. &amp; Schwein.) Korf</t>
  </si>
  <si>
    <t>Sarcodon imbricatus (L. : Fr.) P. Karst.</t>
  </si>
  <si>
    <t>Hydene imbriqué ou Ecailleux ou Epervier</t>
  </si>
  <si>
    <t>Morchella spongiola Boud.</t>
  </si>
  <si>
    <t>Morille éponge</t>
  </si>
  <si>
    <t>Rhodocollybia prolixa (Fr.) Antonín &amp; Noordel.</t>
  </si>
  <si>
    <t>Triphragmium ulmariae (de Candolle) Link</t>
  </si>
  <si>
    <t>Phlebia aurea (Fr. : Fr.) K.K. Nakasone</t>
  </si>
  <si>
    <t xml:space="preserve">Ramularia chaerophylli Ferraris </t>
  </si>
  <si>
    <t>Tarzetta cupularis (L. : Fr.) Lambotte</t>
  </si>
  <si>
    <t>Pezize blanche</t>
  </si>
  <si>
    <t>Melanoleuca nauseosa (Boekh.) Bon</t>
  </si>
  <si>
    <t>Plectania melastoma (Sow. : Fr.) Fuckel</t>
  </si>
  <si>
    <t>Microsphaeropsis hellebori (Cooke &amp; Massee) Aa</t>
  </si>
  <si>
    <t>Pleurotus ostreatus f. peregrinus (Hazslinky) Métrod</t>
  </si>
  <si>
    <t xml:space="preserve">Ceuthospora feurichii Bubák </t>
  </si>
  <si>
    <t>Septoria melittidis Sacc. &amp; Speg.</t>
  </si>
  <si>
    <t>Pholiotina coprophila (Kühner) Singer</t>
  </si>
  <si>
    <t>Pholiote coprophile</t>
  </si>
  <si>
    <t xml:space="preserve">Septoria quercicola (Desm.) Sacc. </t>
  </si>
  <si>
    <t>Lycoperdon pratense Pers.</t>
  </si>
  <si>
    <t>Vesse-de-loup</t>
  </si>
  <si>
    <t>Russula cavipes Britzlemayer</t>
  </si>
  <si>
    <t>Russule à pied creux</t>
  </si>
  <si>
    <t>Trichia decipiens var. olivacea Meylan</t>
  </si>
  <si>
    <t>Trichie trompeuse var. olivacée</t>
  </si>
  <si>
    <t xml:space="preserve">Ascochyta carpathica (Allesch.) Grove </t>
  </si>
  <si>
    <t>Podosphaera xanthii (Castagne) U. Braun &amp; Shishkoff</t>
  </si>
  <si>
    <t>Sebacina dimitica Oberwinkler</t>
  </si>
  <si>
    <t>Cosmospora diatrypicola Lechat sp. nov. (ined)</t>
  </si>
  <si>
    <t>Puccinia pulverulenta Greville</t>
  </si>
  <si>
    <t>Russula heterophylla (Fr. : Fr.) Fr.</t>
  </si>
  <si>
    <t>Russule à lames fourchues</t>
  </si>
  <si>
    <t>Hymenoscyphus erythropus Döbbeler</t>
  </si>
  <si>
    <t xml:space="preserve">Phyllosticta armenicola Farneti </t>
  </si>
  <si>
    <t>Russula camarophylla Romagnesi</t>
  </si>
  <si>
    <t>Russule hygrophore</t>
  </si>
  <si>
    <t>Postia rennyi (Berk. &amp; Broome) Rajchenb</t>
  </si>
  <si>
    <t>Botrytis parasitica var. colchici Voglino</t>
  </si>
  <si>
    <t>Orbilia ebuli Svrček</t>
  </si>
  <si>
    <t>Mollisia palustris (P. Karst.) P. Karst.</t>
  </si>
  <si>
    <t>Phragmidium fusiforme J. Schröter</t>
  </si>
  <si>
    <t>Thelephora palmata (Scop. : Fr.) Fr.</t>
  </si>
  <si>
    <t>Théléphore palmé</t>
  </si>
  <si>
    <t>Russula virescens (J.C. Sch.) Fr.</t>
  </si>
  <si>
    <t>Russule verdoyante ou Palomet</t>
  </si>
  <si>
    <t>Physarum leucopus Link</t>
  </si>
  <si>
    <t>Limacella guttata (Pers. : Fr.) Konrad &amp; Maublanc</t>
  </si>
  <si>
    <t>Limacelle tachée</t>
  </si>
  <si>
    <t>Lophodermium apiculatum (Wormsk. ex Fr.) Duby  (1883)</t>
  </si>
  <si>
    <t xml:space="preserve">Marcelleina rickii (Rehm) Graddon </t>
  </si>
  <si>
    <t>Russula citrinocincta Reumaux</t>
  </si>
  <si>
    <t>Uromyces anthyllidis J. Schröter</t>
  </si>
  <si>
    <t>Puccinia sesleriae H.W. Reichardt</t>
  </si>
  <si>
    <t>Stropharia melanosperma (Bull. : Fr.) Wünsche</t>
  </si>
  <si>
    <t>Strophaire à lames noires</t>
  </si>
  <si>
    <t>Septoria aromatica Kabát &amp; Bubák</t>
  </si>
  <si>
    <t>Hyaloperonospora dentariae (Rabenhorst)Voglmayr</t>
  </si>
  <si>
    <t>Septogloeum carthusianum (Sacc.) Sacc.</t>
  </si>
  <si>
    <t>Penicillium glaucum Link</t>
  </si>
  <si>
    <t>Pénicillium glauque.</t>
  </si>
  <si>
    <t>Septoria sambucina Peck</t>
  </si>
  <si>
    <t>Trechispora confinis (Bourdot &amp; Galzin) Liberta</t>
  </si>
  <si>
    <t>Trichia favoginea (Batsh.) Pers.</t>
  </si>
  <si>
    <t>Phellinus contiguus (Pers. : Fr.) Patouillard</t>
  </si>
  <si>
    <t>Merismodes bresadolae (Grelet) Singer</t>
  </si>
  <si>
    <t>Cyphelle de Bresadola</t>
  </si>
  <si>
    <t>Lepiota erminea (Fr. : Fr.) Kummer</t>
  </si>
  <si>
    <t>Lépiote hermine</t>
  </si>
  <si>
    <t xml:space="preserve">Plasmopara aegopodii (Casp.) Trotter </t>
  </si>
  <si>
    <t>Sparassis spathulata (Schw. : Fr.) Fr.</t>
  </si>
  <si>
    <t>Sparassis laminée</t>
  </si>
  <si>
    <t xml:space="preserve">Lentaria dendroidea (O.R. Fr.) J.H. Petersen </t>
  </si>
  <si>
    <t>Thecotheus holmskjoldii (E.C. Hansen) Eckblad</t>
  </si>
  <si>
    <t>Rhytisma andromedae (Pers.) Fr.</t>
  </si>
  <si>
    <t>Tache goudronneuse de l'andromède</t>
  </si>
  <si>
    <t xml:space="preserve">Ramularia variabilis Fuckel </t>
  </si>
  <si>
    <t>Pseudosperma mimicum (Massee) Matheny &amp; Esteve-Rav.</t>
  </si>
  <si>
    <t>Physarum vernum Sommerf. ex Fr.</t>
  </si>
  <si>
    <t>Unguiculariopsis rehmii W.Y. Zhuang &amp; Korf</t>
  </si>
  <si>
    <t>Trichia erecta Rex.</t>
  </si>
  <si>
    <t>Trichie dressée</t>
  </si>
  <si>
    <t>Volvariella bombycina (J.C. Sch. : Fr.) Singer</t>
  </si>
  <si>
    <t>Volvaire soyeuse</t>
  </si>
  <si>
    <t xml:space="preserve">Melogramma vagans De Not </t>
  </si>
  <si>
    <t>Unguiculariopsis ilicincola (Berk. &amp; Broome) Rehm</t>
  </si>
  <si>
    <t>Pluteus cinereofuscus J.E. Lange</t>
  </si>
  <si>
    <t>Plutée cendré sombre</t>
  </si>
  <si>
    <t>Ramularia vaccinii Peck</t>
  </si>
  <si>
    <t>Schizoxylon alboatrum Rehm</t>
  </si>
  <si>
    <t>Clitocybe gyrans (Fr.) Fr.</t>
  </si>
  <si>
    <t>Labrella agrostidis (Lib.) Sacc.</t>
  </si>
  <si>
    <t>Psathyrella pennata (Fr.) A. Pearson &amp; Dennis</t>
  </si>
  <si>
    <t>Psathyrelle des places à feu</t>
  </si>
  <si>
    <t>Psathyrella microrrhiza (Lasch : Fr.) Konr. &amp; Maub.</t>
  </si>
  <si>
    <t>Psathyrelle semi-vêtue</t>
  </si>
  <si>
    <t>Octospora echinospora Caillet &amp; Moyne</t>
  </si>
  <si>
    <t>Pluteus curtisii (Berk. &amp; Br.) Saccardo</t>
  </si>
  <si>
    <t>Plutée de Curtis</t>
  </si>
  <si>
    <t>Septoria cornicola Desm.</t>
  </si>
  <si>
    <t>Lyophyllum gangraenosum (Fr.) G. Gulden</t>
  </si>
  <si>
    <t>Tricholome noircissant</t>
  </si>
  <si>
    <t>Russula sanguinea (Bull.) Fr.</t>
  </si>
  <si>
    <t>Russule sanguine</t>
  </si>
  <si>
    <t xml:space="preserve">Microsphaera friesii (Lév.) Lév. </t>
  </si>
  <si>
    <t>Tricholoma colossus (Fr.) Quélet</t>
  </si>
  <si>
    <t>Tricholome colosse</t>
  </si>
  <si>
    <t>Scutellinia barlae (Boud.) Maire</t>
  </si>
  <si>
    <t>Neofavolus alveolaris (DC.) Sotome &amp; T. Hatt.</t>
  </si>
  <si>
    <t>Polypore alvéolé</t>
  </si>
  <si>
    <t xml:space="preserve">Lophodermium macrosporum (R. Hartig) Rehm </t>
  </si>
  <si>
    <t>Clitopaxillus fibulatus P.-A. Moreau, Dima, Consiglio &amp; Vizzini</t>
  </si>
  <si>
    <t>Mollisia hydrophila (P. Karst.) Sacc.</t>
  </si>
  <si>
    <t>Xerula kuehneri (Romagn.) Bas &amp; Boekhout</t>
  </si>
  <si>
    <t>Collybie de Kuehner</t>
  </si>
  <si>
    <t>Puccinia galii-verni Ces.</t>
  </si>
  <si>
    <t xml:space="preserve">Phytophthora infestans (Mont.) de Bary </t>
  </si>
  <si>
    <t>Panaeolus cinctulus (Bolt.) Saccardo</t>
  </si>
  <si>
    <t>Pseudombrophila cervaria (W. Phillips) Brumm.</t>
  </si>
  <si>
    <t>Puccinia leontodontis Jacky</t>
  </si>
  <si>
    <t>Mollisia kneiffii (Wallr.) inéd.</t>
  </si>
  <si>
    <t xml:space="preserve">Ramularia didyma Unger </t>
  </si>
  <si>
    <t xml:space="preserve">Leptosphaerulina trifolii (Rostr.) Petr. </t>
  </si>
  <si>
    <t xml:space="preserve">Uromyces genistae Fuckel </t>
  </si>
  <si>
    <t>Orbilia sarraziniana Boud.</t>
  </si>
  <si>
    <t xml:space="preserve">Septoria aegopodii Desm. </t>
  </si>
  <si>
    <t>Pseudotomentella mucidula (P. Karsten) Svrček</t>
  </si>
  <si>
    <t>Russula knauthii (Singer) Hora</t>
  </si>
  <si>
    <t>Russule fragile à centre noir</t>
  </si>
  <si>
    <t>Mollisia discolor (Mont.) W. Phillips</t>
  </si>
  <si>
    <t>Russula mollis Quélet</t>
  </si>
  <si>
    <t>Russule molle</t>
  </si>
  <si>
    <t>Neodasyscypha cerina (Pers. : Fr.) Spooner</t>
  </si>
  <si>
    <t>Parmeliopsis ambigua (Wulfen) Nyl.</t>
  </si>
  <si>
    <t>Ramariopsis luteoalba (Rea) Corner</t>
  </si>
  <si>
    <t>Psathyrella sphagnicola (Maire) Favre</t>
  </si>
  <si>
    <t>Psathyrelle des sphaignes</t>
  </si>
  <si>
    <t>Stropharia rugosoannulata Farlow</t>
  </si>
  <si>
    <t>Strophaire à anneau rugeux</t>
  </si>
  <si>
    <t>Peziza limnaea Maas Geest.</t>
  </si>
  <si>
    <t>Pézize des étangs</t>
  </si>
  <si>
    <t xml:space="preserve">Pholiota intermedia A.H. Sm. </t>
  </si>
  <si>
    <t>Pholiote intermédiaire</t>
  </si>
  <si>
    <t xml:space="preserve">Melanconiella spodiaea (Tul. &amp; C. Tul.) Sacc. </t>
  </si>
  <si>
    <t xml:space="preserve">Octosporella ornithocephala Döbbeler </t>
  </si>
  <si>
    <t>Uromyces excavatus (de Candolle) Léveillé</t>
  </si>
  <si>
    <t>Piloderma croceum J. Eriksson &amp; Hjortstam</t>
  </si>
  <si>
    <t>Phlebia fuscoatra (Fr. : Fr.) K.K. Nakasone</t>
  </si>
  <si>
    <t>Tarzetta catinus (Holmsk. : Fr.) Korf &amp; Rogers</t>
  </si>
  <si>
    <t>Pezize dentelée</t>
  </si>
  <si>
    <t>Phaeohelotium fulvidulum (Boud.) Baral &amp; Declercq</t>
  </si>
  <si>
    <t>Lentomita hirsutula Bres. Ss. Munk</t>
  </si>
  <si>
    <t>Rutstroemia bolaris (Batsch) Rehm</t>
  </si>
  <si>
    <t>Saccobolus versicolor (P. Karst.) P. Karst.</t>
  </si>
  <si>
    <t>Plicariella flavovirens (Fuckel) Van Vooren &amp; Moyne</t>
  </si>
  <si>
    <t>Tyromyces kmetii (Bresadola) Bondarzew &amp; Singer</t>
  </si>
  <si>
    <t>Polypore de Kmet</t>
  </si>
  <si>
    <t xml:space="preserve">Venturia geranii (Fr.) G. Winter </t>
  </si>
  <si>
    <t>Tuber nitidum Vittad.</t>
  </si>
  <si>
    <t>Truffe brillante</t>
  </si>
  <si>
    <t>Peziza polaripapulata (J. Moravec) K. Hansen</t>
  </si>
  <si>
    <t>Polyporus tuberaster (Jacq. : Fr.) Fr.</t>
  </si>
  <si>
    <t>Polypore à sclérote</t>
  </si>
  <si>
    <t>Mycena pseudopicta (J.E. Lange) Kühner</t>
  </si>
  <si>
    <t>Septoria xylostei Sacc. &amp; G. Winter</t>
  </si>
  <si>
    <t>Tuburcinia colchici (Schlecht.) Liro</t>
  </si>
  <si>
    <t>Otidea apophysata (Cooke &amp; W. Phillips) Sacc.</t>
  </si>
  <si>
    <t>Trichopezizella subnidulus nom. prov.</t>
  </si>
  <si>
    <t>Psathyrella pseudogracilis (Romagnesi) Nathorst-Windahl</t>
  </si>
  <si>
    <t xml:space="preserve">Passalora murina (Ellis &amp; Kellerm.) U. Braun &amp; Crous </t>
  </si>
  <si>
    <t>Psilocybe subviscida (Peck) Kauffman</t>
  </si>
  <si>
    <t>Ramaria paludosa (S. Lundell) Schild.</t>
  </si>
  <si>
    <t>Ramaire des marais</t>
  </si>
  <si>
    <t>Trichophaea woolhopeia (Cooke &amp; W. Phillips) Arnould</t>
  </si>
  <si>
    <t>Russula puellaris var. minutalis (Britzelmayr) Singer</t>
  </si>
  <si>
    <t>Russula ochroleuca var. granulosa (Cooke) Rea</t>
  </si>
  <si>
    <t>Russule ocre et blanche variété granuleuse</t>
  </si>
  <si>
    <t>Stropharia coronilla (Bull. : Fr.) Quélet</t>
  </si>
  <si>
    <t>Strophaire coronille</t>
  </si>
  <si>
    <t>Trechispora fastidiosa (Pers.) Liberta</t>
  </si>
  <si>
    <t>Pluteus tricuspidatus Velenovsky</t>
  </si>
  <si>
    <t>Imperator torosus (Fr.) Assyov et col.</t>
  </si>
  <si>
    <t>Bolet de plomb</t>
  </si>
  <si>
    <t xml:space="preserve">Penicillium brevicompactum Dierckx </t>
  </si>
  <si>
    <t xml:space="preserve">Fusicoccum ubrizsyi Negru &amp; R. Sandor </t>
  </si>
  <si>
    <t>Lophodermium foliicola (Fr.) P.F. Cannon &amp; Minter</t>
  </si>
  <si>
    <t>Septoria tanaceti Niessl</t>
  </si>
  <si>
    <t>Leucoscypha semiimmersa (P. Karst.) Svrček</t>
  </si>
  <si>
    <t>Lyophyllum fumosum (Pers. : Fr.) P.D. Orton</t>
  </si>
  <si>
    <t>Tricholome enfumé</t>
  </si>
  <si>
    <t>Tremella aurantia Schw. : Fr.</t>
  </si>
  <si>
    <t>Tremelle aurangée</t>
  </si>
  <si>
    <t>Sphaerotheca mors-uvae (Schwein.) Berk. &amp; M.A. Curtis</t>
  </si>
  <si>
    <t>Conocybe crispa (Longyear) Singer [inval.]</t>
  </si>
  <si>
    <t>Myochromella boudieri (Kühner &amp; Romagn.) V. Hofstetter et coll.</t>
  </si>
  <si>
    <t>Collybie de Boudier</t>
  </si>
  <si>
    <t>Cortinarius contractus R. Henry [inval.]</t>
  </si>
  <si>
    <t>Tricholoma concolor (Delile ex De Seynes) P.A. Moreau, Bellanger &amp; Courtec</t>
  </si>
  <si>
    <t>Tricholome concolore</t>
  </si>
  <si>
    <t>Tricholoma saponaceum (Fr. : Fr.) Kummer</t>
  </si>
  <si>
    <t>Tricholome à odeur de savon</t>
  </si>
  <si>
    <t>Phyllosticta coryli Westend.</t>
  </si>
  <si>
    <t>Pholiota decussata (Fr.) Moser</t>
  </si>
  <si>
    <t>Pholiote traverssante</t>
  </si>
  <si>
    <t>Peronospora affinis Rossmann</t>
  </si>
  <si>
    <t>Bisporella lactea (Ellis &amp; Everh.) Stadelman</t>
  </si>
  <si>
    <t>Porodaedalea chrysoloma (Fr.) Fiasson &amp; Niemelä, Karstenia</t>
  </si>
  <si>
    <t>Pycnoporus cinnabarinus (Jacq. : Fr.) Karsten</t>
  </si>
  <si>
    <t>Tramète rouge cinabre</t>
  </si>
  <si>
    <t>Inocybe elegans Reumaux</t>
  </si>
  <si>
    <t>Inocybe élégant</t>
  </si>
  <si>
    <t>Uromyces ervi Westendorp</t>
  </si>
  <si>
    <t>Sphacelotheca hydropiperis (Schumach.) De Bary</t>
  </si>
  <si>
    <t>Ramularia tricherae Lindr.</t>
  </si>
  <si>
    <t>Russula olivacea var. pavonina (Bresadola) Reumaux</t>
  </si>
  <si>
    <t>Russula melliolens Quélet</t>
  </si>
  <si>
    <t>Russule à odeur de miel</t>
  </si>
  <si>
    <t>Phallus impudicus L. : Pers.</t>
  </si>
  <si>
    <t>Satyre puant</t>
  </si>
  <si>
    <t>Phragmidium rubi-idaei (de Candolle) P. Karsten</t>
  </si>
  <si>
    <t>Xerocomellus chrysenteron var. crassipes Pilát</t>
  </si>
  <si>
    <t>Bolet à chair jaune variété à pied épais</t>
  </si>
  <si>
    <t>Rhodocybe parilis (Fr.) Singer</t>
  </si>
  <si>
    <t>Mycena epipterygia var. griseoviridis (A.H. Smith) Maas Geesteranus</t>
  </si>
  <si>
    <t xml:space="preserve">Leptosphaeria nigrans (Roberge ex Desm.) Ces. &amp; De Not. </t>
  </si>
  <si>
    <t>Baorangia emilei (Barbier) Vizzini, Simonini &amp; Gelardi</t>
  </si>
  <si>
    <t>Bolet de Boudier, bolet délaissé</t>
  </si>
  <si>
    <t>Scutellinia setosa (Nees) Kuntze</t>
  </si>
  <si>
    <t>Lentinus substrictus (Bolton) Zmitr.</t>
  </si>
  <si>
    <t>Polypore cilié</t>
  </si>
  <si>
    <t xml:space="preserve">Stagonospora vitensis Unamuno </t>
  </si>
  <si>
    <t>Lyophyllum amariusculum Clémençon</t>
  </si>
  <si>
    <t>Ciborinia pseudobifrons Whetzel ex J.W. Groves &amp; Bowerman</t>
  </si>
  <si>
    <t>Lepiota felina (Pers.) P. Karsten</t>
  </si>
  <si>
    <t>Lépiote féline</t>
  </si>
  <si>
    <t>Uromyces scrophulariae Fuckel</t>
  </si>
  <si>
    <t>Ophiognomonia setacea (Pers.) Sogonov</t>
  </si>
  <si>
    <t>Lentinellus castoreus (Fr. : Fr.) Kühner &amp; Maire</t>
  </si>
  <si>
    <t xml:space="preserve">Lentin couleur de castor </t>
  </si>
  <si>
    <t>Phlebia livida (Pers. : Fr.) Bresadola</t>
  </si>
  <si>
    <t>Tricholoma sciodes var. virgatoides Bon</t>
  </si>
  <si>
    <t>Tricholome ombré forme vergetée</t>
  </si>
  <si>
    <t>Puccinia anthoxanthi Fuckel</t>
  </si>
  <si>
    <t>Pezicula carpinea (Pers.) Fuckel</t>
  </si>
  <si>
    <t>Pézicule du charme</t>
  </si>
  <si>
    <t>Ophiocordyceps entomorrhiza (Dicks.) G.H. Sung, J.M. Sung, Hywel-Jones &amp; Spatafora</t>
  </si>
  <si>
    <t xml:space="preserve">Massaria anomia (Fr.) Petr. </t>
  </si>
  <si>
    <t>Onygena corvina Alb. &amp; Schwein. : Fr.</t>
  </si>
  <si>
    <t xml:space="preserve">Lophiostoma desmazieri Sacc. &amp; Speg. </t>
  </si>
  <si>
    <t>Melanoleuca microcephala (P. Karst.) Singer</t>
  </si>
  <si>
    <t>Physarum albescens D. Ellis ex T. Macbr.</t>
  </si>
  <si>
    <t xml:space="preserve">Asteroma leptothyrioides (Kabát &amp; Bubák) B. Sutton </t>
  </si>
  <si>
    <t>Russula raoulti Quélet</t>
  </si>
  <si>
    <t>Russule jaune pâle</t>
  </si>
  <si>
    <t>Lenzites betulinus (L.) Fr.</t>
  </si>
  <si>
    <t>Lenzite du bouleau</t>
  </si>
  <si>
    <t>Phellinus punctatus Pilát</t>
  </si>
  <si>
    <t>Phellin ponctué</t>
  </si>
  <si>
    <t>Parasola plicatilis (Curtis) Redhead, Vilgalys &amp; Hopple</t>
  </si>
  <si>
    <t>Coprin parasol</t>
  </si>
  <si>
    <t>Phoma sambuci-nigrae (Sacc.) E. Monte, Bridge &amp; B. Sutton</t>
  </si>
  <si>
    <t>Thecotheus crustaceus (Starbäck) Aas &amp; N. Lundq.</t>
  </si>
  <si>
    <t>Phacellium alborosellum (Desm.) U. Braun</t>
  </si>
  <si>
    <t>Uromyces polygoni-aviculariae (Pers.) J. Schröter</t>
  </si>
  <si>
    <t>Lophiostoma macrostomum (Tode) Ces. &amp; De Not.</t>
  </si>
  <si>
    <t>Russula melzeri Zvara</t>
  </si>
  <si>
    <t>Russule tache-de-sang</t>
  </si>
  <si>
    <t>Trichodelitschia bisporula (P. Crouan &amp; H. Crouan) Munk</t>
  </si>
  <si>
    <t>Melanoleuca arcuata (Bull. : Fr.) Singer</t>
  </si>
  <si>
    <t>Sporormiella leporina (Niessl)  S.I. Ahmed &amp; Cain</t>
  </si>
  <si>
    <t>Asteromella trollii (Trail) Ruppr.</t>
  </si>
  <si>
    <t>Russula cuprea (Krombholz) J.E. Lange</t>
  </si>
  <si>
    <t>Russule cuivrée</t>
  </si>
  <si>
    <t>Russula amara Kucera</t>
  </si>
  <si>
    <t>Russule mamelonnée</t>
  </si>
  <si>
    <t xml:space="preserve">Pseudolachnea hispidula (Schrad.) B. Sutton </t>
  </si>
  <si>
    <t>Uncinula necator (Schwein.) Burrill</t>
  </si>
  <si>
    <t>Tranzschelia discolor (Fuckel) Tranzschel &amp; M.A. Litvinov</t>
  </si>
  <si>
    <t>Tricholoma bufonium (Pers. : Fr.) Gillet</t>
  </si>
  <si>
    <t>Tricholome des crapauds</t>
  </si>
  <si>
    <t>Sistotrema coroniferum (Höhn. &amp; Litsch.) D.P. Rogers &amp; H.S. Jacks</t>
  </si>
  <si>
    <t xml:space="preserve">Selenophoma buphthalmi Petr. </t>
  </si>
  <si>
    <t xml:space="preserve">Septoria heraclei (Lib.) Desm. </t>
  </si>
  <si>
    <t xml:space="preserve">Pilobolus kleinii Tiegh. </t>
  </si>
  <si>
    <t>Mytilinidion gemmigenum Fuckel</t>
  </si>
  <si>
    <t>Coprinus spadiceisporus Bogart</t>
  </si>
  <si>
    <t>Stropharia aeruginosa (Curt. : Fr.) Quélet</t>
  </si>
  <si>
    <t>Strophaire vert de gris</t>
  </si>
  <si>
    <t>Puccinia maculosa Röhling</t>
  </si>
  <si>
    <t xml:space="preserve">Sawadaea bicornis (Wallr.) Miyabe </t>
  </si>
  <si>
    <t xml:space="preserve">Psilopezia nummularia Berk. </t>
  </si>
  <si>
    <t>Pézize en forme de pièce de monaie</t>
  </si>
  <si>
    <t>Skeletocutis nivea (Junghuhn) Keller</t>
  </si>
  <si>
    <t>Tramète blanc de neige</t>
  </si>
  <si>
    <t>Lycogala exiguum Morgan</t>
  </si>
  <si>
    <t>Tricholoma bisontinum Roland</t>
  </si>
  <si>
    <t>Tricholome bisontin</t>
  </si>
  <si>
    <t>Neottiella hetieri Boud.</t>
  </si>
  <si>
    <t>Pézize de Hetier</t>
  </si>
  <si>
    <t>Litschaueria corticiorum (Höhn.) Petr.</t>
  </si>
  <si>
    <t xml:space="preserve">Ophiocordyceps forquignonii (Quél.) G.H. Sung, J.M. Sung, Hywel-Jones &amp; Spatafora  </t>
  </si>
  <si>
    <t>Cordyceps de Forquignon</t>
  </si>
  <si>
    <t>Sarcosphaera coronaria var. nivea (M.M. Moser) Péric. &amp; Courtec.</t>
  </si>
  <si>
    <t>Pézize couronnée variété blanche</t>
  </si>
  <si>
    <t>Ripartites helomorphus (Fr.) Karsten</t>
  </si>
  <si>
    <t>Apioperdon pyriforme (Schaeff.) Vizzini</t>
  </si>
  <si>
    <t>Vesse-de-loup en forme de poire</t>
  </si>
  <si>
    <t>Phanerochaete velutina (de Candolle : Fr.) P. Karsten</t>
  </si>
  <si>
    <t>Phyllosticta filipendulina Sacc. &amp; Speg.</t>
  </si>
  <si>
    <t xml:space="preserve">Septoria mougeotii Sacc. &amp; Roum. </t>
  </si>
  <si>
    <t>Sarcoscypha jurana (Boud.) Baral</t>
  </si>
  <si>
    <t>Pézize coccinée du Jura</t>
  </si>
  <si>
    <t>Postia fragilis (Fr. : Fr.) Jülich</t>
  </si>
  <si>
    <t>Polypore fragile</t>
  </si>
  <si>
    <t>Russula carminipes Blum</t>
  </si>
  <si>
    <t>Russule à pied carmin</t>
  </si>
  <si>
    <t>Pholiota flammans (Batsch : Fr.) Kummer</t>
  </si>
  <si>
    <t>Pholiote flamboyante</t>
  </si>
  <si>
    <t xml:space="preserve">Passalora scandicearum (Vassiljevsky) U. Braun &amp; Crous </t>
  </si>
  <si>
    <t>Phaeolus schweinitzii (Fr. : Fr.) Patouillard</t>
  </si>
  <si>
    <t>Polypore éponge</t>
  </si>
  <si>
    <t>Mycena pseudocorticola Kühner</t>
  </si>
  <si>
    <t>Mycena vitilis (Fr.) Quélet</t>
  </si>
  <si>
    <t xml:space="preserve">Plagiostoma euphorbiae (Fuckel) Fuckel </t>
  </si>
  <si>
    <t xml:space="preserve">Puccinia jaceae G.H. Otth </t>
  </si>
  <si>
    <t>Thelebolus polysporus (P. Karst.) Otani &amp; Kanzawa</t>
  </si>
  <si>
    <t xml:space="preserve">Phyllosticta opuli Sacc. </t>
  </si>
  <si>
    <t>Skeletocutis amorpha (Fr. : Fr.) Kotlaba &amp; Pouzar</t>
  </si>
  <si>
    <t>Tramète saumonée</t>
  </si>
  <si>
    <t>Phyllosticta centaurea-scabiosae Petr.</t>
  </si>
  <si>
    <t>Cortinarius pseudorigidus Bidaud, Carteret &amp; Reumaux</t>
  </si>
  <si>
    <t>Cortinaire faux "rigidus"</t>
  </si>
  <si>
    <t xml:space="preserve">Microsphaera magnusii S. Blumer </t>
  </si>
  <si>
    <t>Mycenella bryophila (Vogl.) Sing.</t>
  </si>
  <si>
    <t>Mycène des mousses forme bisporique</t>
  </si>
  <si>
    <t>Lepiota ochraceodisca M. Bon</t>
  </si>
  <si>
    <t>Lépiote à disque ochracé</t>
  </si>
  <si>
    <t>Octospora borealis (Eckblad) Caillet &amp; Moyne</t>
  </si>
  <si>
    <t>Russula paludosa Britzelmayr</t>
  </si>
  <si>
    <t>Russule des marais</t>
  </si>
  <si>
    <t>Russula sardonia f. viridis (Singer) Bon</t>
  </si>
  <si>
    <t>Russule sardoine varité verte</t>
  </si>
  <si>
    <t>Septotis sp.</t>
  </si>
  <si>
    <t>Lepiota cortinarius J.E. Lange</t>
  </si>
  <si>
    <t>Lépiote cortinaire.</t>
  </si>
  <si>
    <t>Ramaria gracilis (Pers. : Fr.) Quélet</t>
  </si>
  <si>
    <t>Ramaire gracile</t>
  </si>
  <si>
    <t>Russula lutensis Romagnesi &amp; Le Gal</t>
  </si>
  <si>
    <t>Russule des bourbiers</t>
  </si>
  <si>
    <t xml:space="preserve">Ramularia triboutiana (Sacc. &amp; Letendre) Nannf. </t>
  </si>
  <si>
    <t xml:space="preserve">Lepiota boudieri Bresadola </t>
  </si>
  <si>
    <t>Lépiote de Boudier</t>
  </si>
  <si>
    <t>Puccinia asarina J. Kunze</t>
  </si>
  <si>
    <t>Armillaria griseofusca (de Candolle : Fr.) Gillet</t>
  </si>
  <si>
    <t xml:space="preserve">Nectriopsis oropensoides (Rehm) Samuels </t>
  </si>
  <si>
    <t xml:space="preserve">Rhodoscypha ovilla (Peck) Dissing &amp; Sivertsen </t>
  </si>
  <si>
    <t>Marcelleina persoonii (P. Crouan &amp; H. Crouan) Brumm.</t>
  </si>
  <si>
    <t>Tomentella crinalis (Fr.) M.J. Larsen</t>
  </si>
  <si>
    <t>Mycena tintinnabulum (Batsch) Quélet</t>
  </si>
  <si>
    <t xml:space="preserve">Ramularia inaequale (Preuss) U. Braun </t>
  </si>
  <si>
    <t xml:space="preserve">Scoleconectria cucurbitula (Tode) C. Booth </t>
  </si>
  <si>
    <t>Leucoagaricus leucothites (Vittadini) Nasser</t>
  </si>
  <si>
    <t>Lépiote pudique</t>
  </si>
  <si>
    <t>Ombrophila janthina P. Karst.</t>
  </si>
  <si>
    <t>Ramalina canariensis J. Steiner</t>
  </si>
  <si>
    <t>Ramaria aurea (J.C. Sch.) Quélet</t>
  </si>
  <si>
    <t>Ramaire dorée</t>
  </si>
  <si>
    <t>Uncinula adunca var. regularis (R.Y. Zheng &amp; G.Q. Chen) U. Braun</t>
  </si>
  <si>
    <t xml:space="preserve">Uromyces dactylidis G.H. Otth </t>
  </si>
  <si>
    <t>Perrotia flammea (Alb. &amp; Schwein.) Boud.</t>
  </si>
  <si>
    <t>Vuilleminia comedens (Nees von Eesenbeck : Fr.) R. Maire</t>
  </si>
  <si>
    <t xml:space="preserve">Pseudovalsa umbonata (Tul.) Sacc. </t>
  </si>
  <si>
    <t>Cortinarius oreinus (Rob. Henry) Eyssart.</t>
  </si>
  <si>
    <t>Russula citrina Gillet</t>
  </si>
  <si>
    <t>Russule citrine</t>
  </si>
  <si>
    <t>Russula foetens (Pers. : Fr.) Pers.</t>
  </si>
  <si>
    <t>Russule fétide</t>
  </si>
  <si>
    <t>Pyrenopeziza gentianae (Pers.) Fuckel</t>
  </si>
  <si>
    <t>Russula romellii Maire</t>
  </si>
  <si>
    <t>Russule de Romell ou Russule à lames fragiles</t>
  </si>
  <si>
    <t xml:space="preserve">Podospora aloides (Fuckel) Mirza &amp; Cain </t>
  </si>
  <si>
    <t>Scleroderma areolatum Ehrenberg</t>
  </si>
  <si>
    <t>Scléroderme craquelé</t>
  </si>
  <si>
    <t>Metatrichia floriformis (Schw.) Nann. - Brem.</t>
  </si>
  <si>
    <t>Phyllosticta cirsii Desm.</t>
  </si>
  <si>
    <t>Phaeotremella foliacea (Pers.) Wedin, J.C. Zamora &amp; Millanes</t>
  </si>
  <si>
    <t>Tremelle foliacée des conifères</t>
  </si>
  <si>
    <t>Orbilia alnea Velen.</t>
  </si>
  <si>
    <t>Pézize de l'aulne</t>
  </si>
  <si>
    <t xml:space="preserve">Neoramularia rubi (Bubák) U. Braun </t>
  </si>
  <si>
    <t>Ophiocordyceps larvicola (Quél.) Van Vooren</t>
  </si>
  <si>
    <t>Cordyceps des larves</t>
  </si>
  <si>
    <t>Rubroboletus rhodoxanthus (Krombh.) Kuan Zhao &amp; Zhu L. Yang</t>
  </si>
  <si>
    <t>Bolet rouge et jaune</t>
  </si>
  <si>
    <t>Infundibulicybe meridionalis (Bon) Pérez-De-Greg.</t>
  </si>
  <si>
    <t>Clitocybe méridional</t>
  </si>
  <si>
    <t>Russula longipes (Singer) Moënne-Locc. &amp; Reumaux</t>
  </si>
  <si>
    <t>Russule émétique variété à pied long</t>
  </si>
  <si>
    <t>Russula laurocerasi Melzer</t>
  </si>
  <si>
    <t>Russule frangipane</t>
  </si>
  <si>
    <t>Passalora ferruginea (Fuckel) U. Braun &amp; Crous</t>
  </si>
  <si>
    <t xml:space="preserve">Galerina autumnalis var. angusticystis A.H. Sm </t>
  </si>
  <si>
    <t xml:space="preserve">Galère d'automne lignicole. </t>
  </si>
  <si>
    <t>Octospora humosa (Fr.) Dennis</t>
  </si>
  <si>
    <t>Marasmius epiphylloides (Rea) Sacc. &amp; Trott.</t>
  </si>
  <si>
    <t>Puccinia glechomatis DC.</t>
  </si>
  <si>
    <t>Phyllosticta photiniae Thüm</t>
  </si>
  <si>
    <t>Russula amoenolens Romagnesi</t>
  </si>
  <si>
    <t>Russule à odeur de topinambour</t>
  </si>
  <si>
    <t>Perrotia succina (W. Phillips) Dennis</t>
  </si>
  <si>
    <t>Septoria aderholdii Voglino</t>
  </si>
  <si>
    <t>Cercospora elongata Peck</t>
  </si>
  <si>
    <t>Normandina pulchella (Borrer) Nyl.</t>
  </si>
  <si>
    <t xml:space="preserve">Corynespora pruni (Berk. &amp; M.A. Curtis) M.B. Ellis </t>
  </si>
  <si>
    <t>Russula nitida var. heterosperma (Singer) Bon</t>
  </si>
  <si>
    <t>Russule brillante des sphaignes</t>
  </si>
  <si>
    <t xml:space="preserve">Entoloma rhodopolium var. pseudopolitum Noordeloos </t>
  </si>
  <si>
    <t xml:space="preserve">Pseudobaeospora laguncularis Bas </t>
  </si>
  <si>
    <t>Russula sardonia var. mellina Melzer</t>
  </si>
  <si>
    <t>Russule sardoine jaune</t>
  </si>
  <si>
    <t>Puccinia bistortae de Candolle</t>
  </si>
  <si>
    <t>Lepiota micropholis (Berk. &amp; Br.) Saccardo</t>
  </si>
  <si>
    <t>Xylaria polymorpha (Pers. : Fr.) Grev.</t>
  </si>
  <si>
    <t>Xylaire polymorphe</t>
  </si>
  <si>
    <t>Simocybe centunculus var. filopes (Romagnesi) Senn-Irlet</t>
  </si>
  <si>
    <t>Lepiota pseudohelveola Hora</t>
  </si>
  <si>
    <t>Lépiote fause "helvola"</t>
  </si>
  <si>
    <t xml:space="preserve">Nectria modesta Höhn. </t>
  </si>
  <si>
    <t>Nectrie modeste</t>
  </si>
  <si>
    <t>Schizopora paradoxa (Schrad. : Fr.) Donk</t>
  </si>
  <si>
    <t xml:space="preserve">Sawadaea tulasnei (Fuckel) Homma </t>
  </si>
  <si>
    <t xml:space="preserve">Myrothecium roridum Tode </t>
  </si>
  <si>
    <t>Scutellinia macrospora (Svrček) Le Gal</t>
  </si>
  <si>
    <t>Pézize à grandes spores</t>
  </si>
  <si>
    <t>Russula decipiens (Singer) Svrček</t>
  </si>
  <si>
    <t>Russule trompeuse</t>
  </si>
  <si>
    <t>Nodulisporium sp.</t>
  </si>
  <si>
    <t>Rhodocollybia maculata (Alb. &amp; Schwein.) Singer</t>
  </si>
  <si>
    <t>Collybie maculée</t>
  </si>
  <si>
    <t>Pluteus ephebeus (Fr. : Fr.) Gillet</t>
  </si>
  <si>
    <t>Psathyrella maculata (Parker) A.H. Smith</t>
  </si>
  <si>
    <t>Psathyrelle tachetée</t>
  </si>
  <si>
    <t>Tricholoma saponaceum f. ardosiacum (Bresadola) M. Bon</t>
  </si>
  <si>
    <t>Tricholome à odeur de savon forme ardoisée</t>
  </si>
  <si>
    <t>Lyophyllum tenebrosum Clémençon</t>
  </si>
  <si>
    <t>Trichia lutescens (Lister) Lister</t>
  </si>
  <si>
    <t>Scytinotus violaceofulvus (Batsch : Fr.) Courtecuisse</t>
  </si>
  <si>
    <t>Panelle fauve-violet</t>
  </si>
  <si>
    <t>Psathyrella lutensis (Romagnesi) Watling &amp; Richardson</t>
  </si>
  <si>
    <t>Psatyrelle brun-rouge</t>
  </si>
  <si>
    <t>Puccinia cynodontis Desmazières</t>
  </si>
  <si>
    <t xml:space="preserve">Physcia leptalea (Ach.) DC. </t>
  </si>
  <si>
    <t xml:space="preserve">Pseudoperonospora humuli (Miyabe &amp; Takah.) G.W. Wilson </t>
  </si>
  <si>
    <t>Protostropharia luteonitens (Fr.) Redhead</t>
  </si>
  <si>
    <t>Psilocybe umboné</t>
  </si>
  <si>
    <t>Mycena diosma Krieglsteiner &amp; Schwöbel</t>
  </si>
  <si>
    <t>Mycène à deux odeurs</t>
  </si>
  <si>
    <t>Mycena clavicularis (Fr. : Fr.) Gillet</t>
  </si>
  <si>
    <t>Mycène claviculé</t>
  </si>
  <si>
    <t>Russula lepida var. speciosa Zvara</t>
  </si>
  <si>
    <t>Alternaria radicina Meier, Drechsler &amp; E.D. Eddy</t>
  </si>
  <si>
    <t>Mycena pearsoniana Singer</t>
  </si>
  <si>
    <t>Mycène de Pearson</t>
  </si>
  <si>
    <t>Ramularia primulae Thüm.</t>
  </si>
  <si>
    <t>Pseudobaeospora pyrifera Bas &amp; L. G. Krieglsteiner</t>
  </si>
  <si>
    <t>Tubaria romagnesiana Arnolds</t>
  </si>
  <si>
    <t>Tubaire de Romagnesi</t>
  </si>
  <si>
    <t>Melanoleuca heterocystidiosa (Beller &amp; Bon) Bon</t>
  </si>
  <si>
    <t>Pseudascozonus racemosporus Brumm.</t>
  </si>
  <si>
    <t>Russula fuscorubra (Bresadola) Blum</t>
  </si>
  <si>
    <t>Russule rouge sombre</t>
  </si>
  <si>
    <t>Orbilia fraxini Baral &amp; P. Perz</t>
  </si>
  <si>
    <t>Pézize du frêne.</t>
  </si>
  <si>
    <t>Ustilago maydis (DC.) Cda.</t>
  </si>
  <si>
    <t>Charbon du maïs</t>
  </si>
  <si>
    <t>Tuber foetidum Vittad</t>
  </si>
  <si>
    <t>Phellinus populicola Niemelä</t>
  </si>
  <si>
    <t>Phellin du peuplier</t>
  </si>
  <si>
    <t>Melampsora allii-fragilis Kleb.</t>
  </si>
  <si>
    <t>Tatraea dumbirensis (Velen.) Svrček</t>
  </si>
  <si>
    <t>Sarcoscypha austriaca (Beck ex Sacc.) Boud.</t>
  </si>
  <si>
    <t>Pézize coccinée d'Autriche</t>
  </si>
  <si>
    <t xml:space="preserve">Septoria stachydis Roberge ex Desm. </t>
  </si>
  <si>
    <t>Mycena erubescens Höhn.</t>
  </si>
  <si>
    <t>Mycène rougissante</t>
  </si>
  <si>
    <t xml:space="preserve">Sphaceloma populi (Sacc.) Jenkins </t>
  </si>
  <si>
    <t xml:space="preserve">Neobarya parasitica (Fuckel) Lowen </t>
  </si>
  <si>
    <t>Sagaranella tesquorum (Fr.) V. Hofst., Clémençon, Moncalvo &amp; Redhead</t>
  </si>
  <si>
    <t>Russula albonigra (Krombholz) Fr.</t>
  </si>
  <si>
    <t>Russule blanche et noire</t>
  </si>
  <si>
    <t>Lepiota ventriosospora var. fulva Bon</t>
  </si>
  <si>
    <t>Lépiote à spores ventrues variété fauve</t>
  </si>
  <si>
    <t xml:space="preserve">Russula atropurpurea var. atropurpurella Singer </t>
  </si>
  <si>
    <t>Macrolepiota fuliginosa (Barla) Bon</t>
  </si>
  <si>
    <t>Lépiote fuligineuse</t>
  </si>
  <si>
    <t>Mallocybe dulcamara (Pers.) Vizzini, Maggiora, Tolaini &amp; Ercole</t>
  </si>
  <si>
    <t>Inocybe doux amer</t>
  </si>
  <si>
    <t>Phomopsis dipsaci (Cooke) Grove</t>
  </si>
  <si>
    <t>Septoria digitalis Pass.</t>
  </si>
  <si>
    <t xml:space="preserve">Rosellinia necatrix Berl. ex Prill </t>
  </si>
  <si>
    <t xml:space="preserve">Podospora minuta (Fuckel) Niessl </t>
  </si>
  <si>
    <t>Septoria populi Desm.</t>
  </si>
  <si>
    <t>Mycena ammoniaca (Fr.) Quélet</t>
  </si>
  <si>
    <t>Mycène à odeur d'ammoniaque</t>
  </si>
  <si>
    <t xml:space="preserve">Phaeoramularia minutissima (Desm.) U. Braun </t>
  </si>
  <si>
    <t xml:space="preserve">Phacidiostroma multivalve (DC.) Höhn. </t>
  </si>
  <si>
    <t xml:space="preserve">Vulpicida pinastri (Scop.) J.-E. Mattsson </t>
  </si>
  <si>
    <t xml:space="preserve">Podospora pauciseta (Ces.) Traverso </t>
  </si>
  <si>
    <t>Strossmayeria basitricha (Sacc.) Dennis</t>
  </si>
  <si>
    <t>Tephrocybe inolens (Fr.) Moser</t>
  </si>
  <si>
    <t>Collybie inodore</t>
  </si>
  <si>
    <t>Stagonospora alopecuri Rostr.</t>
  </si>
  <si>
    <t>Psathyrella chondroderma (Berk. &amp; Br.) A.H. Smith</t>
  </si>
  <si>
    <t>Splanchnonema platani M.E. Barr</t>
  </si>
  <si>
    <t>Trichia decipiens (Pers.) Macbr.</t>
  </si>
  <si>
    <t>Trichie trompeuse</t>
  </si>
  <si>
    <t>Peniophora piceae (Pers.) J. Erikss.</t>
  </si>
  <si>
    <t>Corticie de l'épicéa</t>
  </si>
  <si>
    <t>Macrotyphula fistulosa (Holmskjold : Fr.) R.H. Petersen</t>
  </si>
  <si>
    <t>Clavaire fistuleuse</t>
  </si>
  <si>
    <t>Volvariella pusilla (Pers. : Fr.) Singer</t>
  </si>
  <si>
    <t>Volvaire de petite taille</t>
  </si>
  <si>
    <t xml:space="preserve">Clitocybe wielandii Raithelh. </t>
  </si>
  <si>
    <t>Pseudoplectania melaena (Fr. : Fr.) Sacc.</t>
  </si>
  <si>
    <t>Plectanie à pied long</t>
  </si>
  <si>
    <t>Pluteus petasatus (Fr.) Gillet</t>
  </si>
  <si>
    <t>Plutée en parasol</t>
  </si>
  <si>
    <t xml:space="preserve">Nectria desmazieri De Not. &amp; Becc. </t>
  </si>
  <si>
    <t>Russula lilacea Quélet</t>
  </si>
  <si>
    <t>Russule lilas</t>
  </si>
  <si>
    <t>Phlebia lilascens (Bourdot) J. Erikss. &amp; Hjortstam</t>
  </si>
  <si>
    <t>Orbilia phragmotricha Baral, E. Weber &amp; L.G. Krieglst.</t>
  </si>
  <si>
    <t xml:space="preserve">Rosellinia thelena (Fr.) Rabenh. </t>
  </si>
  <si>
    <t>Dennisiodiscus iridis (P. Crouan &amp; H. Crouan)</t>
  </si>
  <si>
    <t xml:space="preserve">Thedgonia ligustrina (Boerema) B. Sutton </t>
  </si>
  <si>
    <t>Phyllosticta rubicola Rabenh.</t>
  </si>
  <si>
    <t xml:space="preserve">Peniophora pithya (Pers.) Erikss. </t>
  </si>
  <si>
    <t>Phyllosticta primulicola Desm.</t>
  </si>
  <si>
    <t>Russula font-queri Singer</t>
  </si>
  <si>
    <t>Russule saumonée des bouleaux</t>
  </si>
  <si>
    <t>Nectria mariae Hirooka, J. Fourn., Lechat, Rossman &amp; P. Chaverri</t>
  </si>
  <si>
    <t>Octospora rubens (Boud.) M.M. Moser</t>
  </si>
  <si>
    <t xml:space="preserve">Septoria cerastii Roberge &amp; Desm. </t>
  </si>
  <si>
    <t>Mycetinis scorodonius (Fr.) A.W. Wilson &amp; Desjardin</t>
  </si>
  <si>
    <t>Marasme à odeur d'échalotte</t>
  </si>
  <si>
    <t>Septoriella junci (Desm.) B. Sutton</t>
  </si>
  <si>
    <t>Ascochyta elephas Bubák &amp; Kabát</t>
  </si>
  <si>
    <t>Mycena adonis (Bull. : Fr.) S. F. Gray</t>
  </si>
  <si>
    <t>Mycène aux belles couleurs</t>
  </si>
  <si>
    <t>Melanoleuca metrodiana Bon</t>
  </si>
  <si>
    <t>Tricholome de Metrod</t>
  </si>
  <si>
    <t>Tricholoma coryphaeum (Fr.) Gillet</t>
  </si>
  <si>
    <t>Russula farinipes Romel</t>
  </si>
  <si>
    <t>Russule à pied farineux</t>
  </si>
  <si>
    <t>Xeromphalina cornui (Quélet) J. Favre</t>
  </si>
  <si>
    <t>Omphale cornée</t>
  </si>
  <si>
    <t>Hymenoscyphus aesculi (Velen.) Baral &amp; E. Rubio</t>
  </si>
  <si>
    <t>Peziza proteana f. sparassoides (Boud.) Korf</t>
  </si>
  <si>
    <t xml:space="preserve">Phyllosticta pyrolae Ellis &amp; Everh. </t>
  </si>
  <si>
    <t>Sporormiella intermedia (Auersw.) S.I. Ahmed &amp; Cain ex Kobayasi</t>
  </si>
  <si>
    <t>Mycena pelianthina (Fr. : Fr.) Quélet</t>
  </si>
  <si>
    <t>Mycène gris-violet ou Mycène du hêtre.</t>
  </si>
  <si>
    <t>Capitotricha brevipila Baral &amp; van Ryckegem</t>
  </si>
  <si>
    <t>Simocybe geraniolens (Clowez &amp; Diaz) P.-A. Moreau &amp; Courtecuisse</t>
  </si>
  <si>
    <t>Cladosporium algarum Cooke &amp; Massee</t>
  </si>
  <si>
    <t>Tephrocybe platypus (Kühner) Moser</t>
  </si>
  <si>
    <t>Collybie des rives</t>
  </si>
  <si>
    <t>Sporormiella corynespora (Niessl) S.I. Ahmed &amp; Cain</t>
  </si>
  <si>
    <t>Scutellinia trechispora (Berk. &amp; Broome) Lambotte</t>
  </si>
  <si>
    <t>Phaeocollybia festiva (Fr.) Heim</t>
  </si>
  <si>
    <t xml:space="preserve">Valdensia heterodoxa Peyronel </t>
  </si>
  <si>
    <t>Monilinia baccarum (J. Schröt.) Whetzel</t>
  </si>
  <si>
    <t>Scutiger cristatus (J.C. Sch. : Fr.) Bondarzew &amp; Singer</t>
  </si>
  <si>
    <t>Polypore craquelé</t>
  </si>
  <si>
    <t>Plicatura nivea (Sommerfelt : Fr.) P. Karsten</t>
  </si>
  <si>
    <t>Plicature blanche</t>
  </si>
  <si>
    <t>Cercospora salviicola Tharp</t>
  </si>
  <si>
    <t xml:space="preserve">Septoria cruciatae Roberge ex Desm. </t>
  </si>
  <si>
    <t>Opegrapha pulicaris Vain.</t>
  </si>
  <si>
    <t>Russula grisea var. pictipes (Cooke) Bon</t>
  </si>
  <si>
    <t>Tuber rufum var. apiculatum E. Fisch.</t>
  </si>
  <si>
    <t>Parafenestella rosacearum Jaklitsch &amp; Voglmayr</t>
  </si>
  <si>
    <t>Inocybe carpta (Scop.) Kummer</t>
  </si>
  <si>
    <t xml:space="preserve">Podospora leporina (Cain) Cain </t>
  </si>
  <si>
    <t>Oxyporus corticola (Fr.) Ryvarden</t>
  </si>
  <si>
    <t>Polypore corticole.</t>
  </si>
  <si>
    <t xml:space="preserve">Melanospora chionea (Fr.) Corda </t>
  </si>
  <si>
    <t>Lophodermium gramineum (Fr.) Chevall.</t>
  </si>
  <si>
    <t>Phyllosticta circaeae Melnik</t>
  </si>
  <si>
    <t>Inocybe stangliana Kuyper</t>
  </si>
  <si>
    <t>Sarcodontia crocea (Schw. : Fr.) Kotlaba</t>
  </si>
  <si>
    <t>Ripartites albidoincarnatus (Britzelmayr) Métrod</t>
  </si>
  <si>
    <t>Ripartite blanc incarnat</t>
  </si>
  <si>
    <t>Pseudoporpoloma pes-caprae (Fr.) Vizzini &amp; Consiglio</t>
  </si>
  <si>
    <t>Porpolome pied de chèvre</t>
  </si>
  <si>
    <t>Scutellinia crucipila (Cooke &amp; W. Phillips) J. Moravec</t>
  </si>
  <si>
    <t>Peronospora sordida Berk.</t>
  </si>
  <si>
    <t>Psathyrella candolleana (Fr. : Fr.) Maire</t>
  </si>
  <si>
    <t>Psathyrelle de De Candolle</t>
  </si>
  <si>
    <t>Typhula juncea (Alb. &amp; Schwein.) P. Karst.</t>
  </si>
  <si>
    <t>Clavaire filiforme</t>
  </si>
  <si>
    <t xml:space="preserve">Ramularia sambucina Peck </t>
  </si>
  <si>
    <t>Octospora libussae Svrček &amp; Kubicka</t>
  </si>
  <si>
    <t>Sphaeropsis visci (Alb. &amp; Schwein.) Sacc.</t>
  </si>
  <si>
    <t>Microbotryum violaceum (Pers.) G. Deml &amp; Oberw.</t>
  </si>
  <si>
    <t>Charbon des caryophyllacées</t>
  </si>
  <si>
    <t>Sistotrema diademiferum (Bourdot &amp; Galzin) Donk</t>
  </si>
  <si>
    <t xml:space="preserve">Nectriella robergei (Mont. &amp; Desm.) Weese </t>
  </si>
  <si>
    <t xml:space="preserve">Pseudonectria rousseliana (Mont.) Seaver </t>
  </si>
  <si>
    <t>Russula purpurolivascens Carteret &amp; Reumaux</t>
  </si>
  <si>
    <t>Russule pourpre olivâtre</t>
  </si>
  <si>
    <t>Phaeogalera stagnina (Fr. : Fr.) Pegler &amp; T.W.K. Young</t>
  </si>
  <si>
    <t>Phaéogalère des marécages</t>
  </si>
  <si>
    <t>Psathyrella fatua (Fr. : Fr.) Konrad &amp; Maublanc</t>
  </si>
  <si>
    <t>Phaeocollybia christinae (Fr.) Heim</t>
  </si>
  <si>
    <t>Collybie de Christian</t>
  </si>
  <si>
    <t>Serpula lacrymans (Wulfen : Fr.) J. Schröter</t>
  </si>
  <si>
    <t>Mérule pleureuse</t>
  </si>
  <si>
    <t>Taphrina populina (Fr.) Fr.</t>
  </si>
  <si>
    <t>Cloque du peuplier</t>
  </si>
  <si>
    <t>Thyridaria broussonetiae (Sacc.) Traverso</t>
  </si>
  <si>
    <t xml:space="preserve">Unguiculella tityri (Velen.) Huhtinen &amp; Spooner </t>
  </si>
  <si>
    <t>Proliferodiscus tricolor (Sowerby) Baral</t>
  </si>
  <si>
    <t>Mycena picta (Fr. : Fr.) Harmaja</t>
  </si>
  <si>
    <t>Mycène peinte</t>
  </si>
  <si>
    <t xml:space="preserve">Penicillium waksmanii K.M. Zalessky </t>
  </si>
  <si>
    <t>Ramularia centaureae-atropurpureae Bubák</t>
  </si>
  <si>
    <t>Puccinia isiacae G. Winter</t>
  </si>
  <si>
    <t>Russula pectinata Fr.</t>
  </si>
  <si>
    <t>Russule pectinée</t>
  </si>
  <si>
    <t>Tomentella ferruginea (Pers. : Fr.) Patouillard</t>
  </si>
  <si>
    <t>Tomentelle ferrugineuse</t>
  </si>
  <si>
    <t>Lactarius theiogalus (Bull. : Fr.) S.F. Gray</t>
  </si>
  <si>
    <t>Lactaire à lait jaunissant</t>
  </si>
  <si>
    <t>Leccinum murinaceum (Blum) Bon</t>
  </si>
  <si>
    <t>Ustilago vaillantii Tul &amp; C. Tul.</t>
  </si>
  <si>
    <t>Russula rhodopus Zvara</t>
  </si>
  <si>
    <t>Russule à pied rouge</t>
  </si>
  <si>
    <t xml:space="preserve">Pseudocercosporella magnusiana (Allesch.) U. Braun </t>
  </si>
  <si>
    <t>Pithya cupressina (Batsch) Fuckel</t>
  </si>
  <si>
    <t>Octospora itzerottii Benkert</t>
  </si>
  <si>
    <t xml:space="preserve">Podosphaera fusca (Fr.) U. Braun &amp; Shishkoff </t>
  </si>
  <si>
    <t>Syzygospora tumefaciens (Ginns &amp; Sunhede) Ginns</t>
  </si>
  <si>
    <t>Phyllosticta sphingina Bubák</t>
  </si>
  <si>
    <t>Rickenella swartzii (Fr. : Fr.) Kuyper</t>
  </si>
  <si>
    <t>Omphale de Swartz</t>
  </si>
  <si>
    <t xml:space="preserve">Rhabdospora visci (Bres.) Died. </t>
  </si>
  <si>
    <t>Mycena megaspora Kauffmann</t>
  </si>
  <si>
    <t>Mycène à grandes spores</t>
  </si>
  <si>
    <t>Suillus bovinus (L. : Fr.) Roussel</t>
  </si>
  <si>
    <t>Bolet des bouviers</t>
  </si>
  <si>
    <t>Niemelaea consobrina (Bres.) Zmitr., Ezhov &amp; Khimich</t>
  </si>
  <si>
    <t>Terana caerulea (Lam.) Kuntze</t>
  </si>
  <si>
    <t>Tricholoma argyraceum (Bull. ) Gillet</t>
  </si>
  <si>
    <t>Tricholome argenté</t>
  </si>
  <si>
    <t xml:space="preserve">Microsphaera lonicerae (DC.) G. Winter </t>
  </si>
  <si>
    <t>Tricholoma inocybeoides A. Pearson</t>
  </si>
  <si>
    <t>Tricholome faux inocybe</t>
  </si>
  <si>
    <t xml:space="preserve">Ramularia geranii (Westend.) Fuckel </t>
  </si>
  <si>
    <t>Pyronema omphalodes (Bull. ex St. Amans) Fuck.</t>
  </si>
  <si>
    <t>Phyllosticta hepaticae Brunaud</t>
  </si>
  <si>
    <t>Lycoperdon caudatum J. Schröt</t>
  </si>
  <si>
    <t>Meripilus giganteus (Pers. : Fr.) Karsten</t>
  </si>
  <si>
    <t>Polypore géant</t>
  </si>
  <si>
    <t>Uromyces fabae de Bary ex Cooke</t>
  </si>
  <si>
    <t>Russula subterfurcata Romagnesi</t>
  </si>
  <si>
    <t>Russule pastel</t>
  </si>
  <si>
    <t>Simocybe reducta (Fr. : Fr.) P. Karsten</t>
  </si>
  <si>
    <t>Morchella vaporaria Brond.</t>
  </si>
  <si>
    <t>Morille des serres</t>
  </si>
  <si>
    <t>Peziza merdae Donadini</t>
  </si>
  <si>
    <t>Pézize des excréments</t>
  </si>
  <si>
    <t>Pyrenopeziza revincta (P. Karst.) Gremmen</t>
  </si>
  <si>
    <t xml:space="preserve">Septoria plantaginis-majoris (Sacc.) Nannf. </t>
  </si>
  <si>
    <t>Lepiota echinella Quélet &amp; G. E. Bernard</t>
  </si>
  <si>
    <t>Lépiote échinulée</t>
  </si>
  <si>
    <t xml:space="preserve">Leptosphaeria doliolum (Pers.) Ces. &amp; De Not. </t>
  </si>
  <si>
    <t>Suillus placidus (Bonorden) Singer</t>
  </si>
  <si>
    <t>Bolet placide ou Bolet tranquille</t>
  </si>
  <si>
    <t>Peniophora quercina (Pers. : Fr.) Cooke</t>
  </si>
  <si>
    <t>Corticie du chêne</t>
  </si>
  <si>
    <t>Ramularia allii Byzova</t>
  </si>
  <si>
    <t>Otidea mirabilis Bolognini &amp; Jamoni</t>
  </si>
  <si>
    <t>Lepiota pseudolilacea Huijsman</t>
  </si>
  <si>
    <t>Lépiote fausse "lilacea"</t>
  </si>
  <si>
    <t>Nemania serpens (Pers. : Fr.) Gray</t>
  </si>
  <si>
    <t>Megacollybia platyphylla (Pers. : Fr.) Kotlaba &amp; Pouzar</t>
  </si>
  <si>
    <t>Collybie à lames larges</t>
  </si>
  <si>
    <t xml:space="preserve">Lophodermium piceae (Fuckel) Höhn. </t>
  </si>
  <si>
    <t>Ophiovalsa corylina (Tul. &amp; C. Tul.) Petr.</t>
  </si>
  <si>
    <t>Pirottaea trichostoma (Kirschst.) E. Müll. &amp; Arx</t>
  </si>
  <si>
    <t>Lyophyllum rhopalopodium Clémençon</t>
  </si>
  <si>
    <t>Macrophoma spec.</t>
  </si>
  <si>
    <t xml:space="preserve">Ramularia pratensis Sacc </t>
  </si>
  <si>
    <t>Septoria anemones Desm.</t>
  </si>
  <si>
    <t xml:space="preserve">Russula clariana Kuyper &amp; Vuure </t>
  </si>
  <si>
    <t>Russule violette</t>
  </si>
  <si>
    <t>Limacella ochraceolutea P.D. Orton</t>
  </si>
  <si>
    <t>Limacelle jaune-ochracée</t>
  </si>
  <si>
    <t>Inosperma erubescens (A. Blytt) Matheny &amp; Esteve-Rav.</t>
  </si>
  <si>
    <t>Inocybe de Patouillard</t>
  </si>
  <si>
    <t>Russula ionochlora Romagnesi</t>
  </si>
  <si>
    <t>Russule verte et violette</t>
  </si>
  <si>
    <t>Calycina italica (Sacc.) Baral</t>
  </si>
  <si>
    <t>Russula adusta (Pers. : Fr.) Fr.</t>
  </si>
  <si>
    <t>Russule brûlée</t>
  </si>
  <si>
    <t>Tricholoma ramentaceum (Bull. : Fr.) Ricken</t>
  </si>
  <si>
    <t>Russula torulosa f. luteovirens M. Bon</t>
  </si>
  <si>
    <t>Russule des pinèdes forme jaunissante</t>
  </si>
  <si>
    <t>Tubaria hiemalis M. Bon</t>
  </si>
  <si>
    <t>Tubaire d'hiver</t>
  </si>
  <si>
    <t xml:space="preserve">Phyllosticta betonicae Brunaud </t>
  </si>
  <si>
    <t>Melampsora amygdalina Klebahn</t>
  </si>
  <si>
    <t>Morchella tridentina Bres.</t>
  </si>
  <si>
    <t>Morille du Trentin</t>
  </si>
  <si>
    <t>Phellinus hartigii (Allescher &amp; Schnabl) Patouillard</t>
  </si>
  <si>
    <t>Polypore du sapin</t>
  </si>
  <si>
    <t>Prosthecium platanoidis (Pers.) M.E. Barr</t>
  </si>
  <si>
    <t>Hebeloma spoliatum (Fr.) Gillet</t>
  </si>
  <si>
    <t>Trichaptum abietinum (Dicks. : Fr.) Ryvarden</t>
  </si>
  <si>
    <t>Tramète lilas</t>
  </si>
  <si>
    <t xml:space="preserve">Psathyrella spadiceogrisea f. mammifera (Romagn.) Kits van Wav. </t>
  </si>
  <si>
    <t>Omphalina hepatica (Fr. : Fr.) P.D. Orton</t>
  </si>
  <si>
    <t>Russula atropurpurea f. dissidens Zvara</t>
  </si>
  <si>
    <t xml:space="preserve">Rhopographus filicinus (Fr.) Nitschke ex Fuckel </t>
  </si>
  <si>
    <t>Octaviania cerea (Soehner) Svrček</t>
  </si>
  <si>
    <t xml:space="preserve">Ramsbottomia macrantha (Boud.) Benkert &amp; T. Schumach. </t>
  </si>
  <si>
    <t>Tricharina ochroleuca (Bres.) Eckblad</t>
  </si>
  <si>
    <t xml:space="preserve">Podospora intestinacea N. Lundq. </t>
  </si>
  <si>
    <t xml:space="preserve">Riessia semiophora Fresen. </t>
  </si>
  <si>
    <t>Tricholoma saponaceum f. carneifolium Bertault</t>
  </si>
  <si>
    <t>Myriolecis hagenii (Ach.) Śliwa, Zhao Xin &amp; Lumbsch</t>
  </si>
  <si>
    <t xml:space="preserve">Galerina cerina f. longicystis (A.H. Smith &amp; Singer) de Haan &amp; Walleyn - </t>
  </si>
  <si>
    <t>Romjularia lurida (Ach.) Timdal</t>
  </si>
  <si>
    <t>Ascochyta Kabati-Bubaki Savul &amp; Sandu</t>
  </si>
  <si>
    <t>Mycena algeriensis Maire</t>
  </si>
  <si>
    <t>Mycène d'Algérie</t>
  </si>
  <si>
    <t>Phyllosticta verbenae Sacc.</t>
  </si>
  <si>
    <t>Fusicladium betulae Aderh.</t>
  </si>
  <si>
    <t>Tomentellopsis zygodesmoides (J.B. Ellis) Hjortstam</t>
  </si>
  <si>
    <t>Mollisia rosae (Pers. : Fr.) P. Karst.</t>
  </si>
  <si>
    <t>Octospora phagospora (Flageolet &amp; Lorton) Dennis &amp; Itzerott</t>
  </si>
  <si>
    <t>Ophiocordyceps sphecocephala (Klotzsch ex Berk.) G.H. Sung, J.M. Sung, Hywel-Jones &amp; Spatafora</t>
  </si>
  <si>
    <t>Macrolepiota excoriata var. squarrosa (Maire) Wass.</t>
  </si>
  <si>
    <t>Lépiote excoriée variété écailleuse</t>
  </si>
  <si>
    <t xml:space="preserve">Stromatinia rapulum (Bull.) Boud. </t>
  </si>
  <si>
    <t>Neonectria hederae (C. Booth) Castl. &amp; Rossman</t>
  </si>
  <si>
    <t>Plicaturopsis crispa (Pers. : Fr.) D.A. Reid</t>
  </si>
  <si>
    <t>Plicature crispée</t>
  </si>
  <si>
    <t xml:space="preserve">Ramularia macularis (J. Schröt.) Sacc. &amp; P. Syd. </t>
  </si>
  <si>
    <t>Russula lateritia Quélet</t>
  </si>
  <si>
    <t>Russule couleur brique</t>
  </si>
  <si>
    <t>Melanogaster macrosporus Velen.</t>
  </si>
  <si>
    <t>Puccinia taraxaci Plowright</t>
  </si>
  <si>
    <t>Tuber mesentericum Vitt.</t>
  </si>
  <si>
    <t>Truffe mésantérique</t>
  </si>
  <si>
    <t>Hymenoscyphus reynoutriae Baral</t>
  </si>
  <si>
    <t xml:space="preserve">Ramularia carneola (Sacc.) Nannf. </t>
  </si>
  <si>
    <t>Sowerbyella radiculata (Sow. : Fr.) Nannf.</t>
  </si>
  <si>
    <t>Panaeolus olivaceus F.H. Møller</t>
  </si>
  <si>
    <t>Puccinia hysterium (F. Strauss) Röhl.</t>
  </si>
  <si>
    <t>Rouille du salsifis</t>
  </si>
  <si>
    <t>Russula amoenicolor f. olivacea (R. Maire) Bertault</t>
  </si>
  <si>
    <t>Russule panachée forme olivacée</t>
  </si>
  <si>
    <t xml:space="preserve">Pseudocercospora rubi (Sacc.) Deighton </t>
  </si>
  <si>
    <t>Pyrenopeziza escharodes (Berk. &amp; Broome) Rehm</t>
  </si>
  <si>
    <t xml:space="preserve">Bostrichonema polygoni (Unger) J. Schröt. </t>
  </si>
  <si>
    <t>Russula subfoetens W. G. Smith</t>
  </si>
  <si>
    <t>Russule fausse-fétide</t>
  </si>
  <si>
    <t>Octospora musci-muralis Graddon</t>
  </si>
  <si>
    <t xml:space="preserve">Melanomma pulvis-pyrius (Pers.) Fuckel </t>
  </si>
  <si>
    <t>Sporophagomyces chrysostomus (Berk. &amp; Broome) K. Põldmaa &amp; Samuels</t>
  </si>
  <si>
    <t xml:space="preserve">Lophodermium juniperinum (Fr.) De Not. </t>
  </si>
  <si>
    <t>Inosperma cervicolor (Pers.) Matheny &amp; Esteve-Rav.</t>
  </si>
  <si>
    <t>Inocybe couleur de cerf</t>
  </si>
  <si>
    <t xml:space="preserve">Puccinia striiformis var. dactylidis Manners </t>
  </si>
  <si>
    <t>Phaeohelotium trabinellum (P. Karst.) Dennis</t>
  </si>
  <si>
    <t>Rutstroemia bulgarioides (Rabenh.) P. Karst.</t>
  </si>
  <si>
    <t>Pézize bulgaroïde</t>
  </si>
  <si>
    <t>Leucoagaricus bresadolae (Schulzer von Müggenburg) M. Bon</t>
  </si>
  <si>
    <t>Lépiote de Bresadola</t>
  </si>
  <si>
    <t>Lecidea lapicida (Ach.) Ach. var. lapicida</t>
  </si>
  <si>
    <t xml:space="preserve">Podosphaera myrtillina Kunze </t>
  </si>
  <si>
    <t>Strattonia carbonaria (W. Phillips &amp; Plowr.) N. Lundq.</t>
  </si>
  <si>
    <t xml:space="preserve">Phlebiella fibrillosa (Hallenb.) K.H. Larss. &amp; Hjortstam </t>
  </si>
  <si>
    <t>Thelephora caryophyllea (J.C. Sch. : Fr.) Pers.</t>
  </si>
  <si>
    <t>Théléphore en entonnoir</t>
  </si>
  <si>
    <t>Ramaria decurrens (Pers.) R.H. Petersen</t>
  </si>
  <si>
    <t>Typhula incarnata Lasch ex Fr.</t>
  </si>
  <si>
    <t>Synchytrium viride W.G. Schneid.</t>
  </si>
  <si>
    <t>Chuppia sp.</t>
  </si>
  <si>
    <t xml:space="preserve">Meloderma desmazieri (Duby) Darker </t>
  </si>
  <si>
    <t>Cercospora ononidicola Unamuno</t>
  </si>
  <si>
    <t>Mollisia fusca (Pers. : Fr.) P. Karst.</t>
  </si>
  <si>
    <t>Resupinatus applicatus (Batsch : Fr.) S.F. Gray</t>
  </si>
  <si>
    <t>Russula amethystina Quélet</t>
  </si>
  <si>
    <t>Russule améthyste</t>
  </si>
  <si>
    <t>Psathyrella clivensis (Berk. &amp; Broome) P.D. Orton</t>
  </si>
  <si>
    <t>Puccinia acetosae Körnicke</t>
  </si>
  <si>
    <t>Inocybe parvispora Alessio</t>
  </si>
  <si>
    <t>Phaeosphaeria typharum (Desm.) L. Holm</t>
  </si>
  <si>
    <t xml:space="preserve">Peronospora symphyti Gäum. </t>
  </si>
  <si>
    <t>Sarcodon underwoodii Banker</t>
  </si>
  <si>
    <t>Hydne d'Underwood</t>
  </si>
  <si>
    <t>Cortinarius vicinus Bidaud, Consiglio, D. Antonini &amp; M. Antonini</t>
  </si>
  <si>
    <t xml:space="preserve">Ophiobolus acuminatus (Sowerby) Duby </t>
  </si>
  <si>
    <t>Multiclavula mucida (Pers. : Fr.) R.H. Petersen</t>
  </si>
  <si>
    <t>Phyllosticta juglandis (D.C) Sacc.</t>
  </si>
  <si>
    <t>Hysterium pulicare (Lightf.) Pers.</t>
  </si>
  <si>
    <t>Sistotrema oblongisporum M.P. Christiansen &amp; Hauerslev</t>
  </si>
  <si>
    <t>Sistotrème à spores oblongues</t>
  </si>
  <si>
    <t>Psathyrella tephrophylla (Romagnesi) Romagnesi</t>
  </si>
  <si>
    <t>Psathyrelle à lames cendrées</t>
  </si>
  <si>
    <t>Lyophyllum infumatum (Bresadola) Kühner</t>
  </si>
  <si>
    <t>Lepista sordida var. obscurata (M. Bon) M. Bon</t>
  </si>
  <si>
    <t>Lépiste sordide variété obscure</t>
  </si>
  <si>
    <t xml:space="preserve">Neurospora sitophila Shear &amp; B.O. Dodge </t>
  </si>
  <si>
    <t>Lepiota saponella M. Bodin &amp; Priou</t>
  </si>
  <si>
    <t>Russula aurea var. axantha (Romagnesi) Bon</t>
  </si>
  <si>
    <t>Russule dorée varité sans jaune</t>
  </si>
  <si>
    <t>Mycena citrinomarginata Gill.</t>
  </si>
  <si>
    <t>Mycène à lames bordées de jaune</t>
  </si>
  <si>
    <t>Morchella esculenta var. vulgaris Pers.</t>
  </si>
  <si>
    <t xml:space="preserve">Morille commune </t>
  </si>
  <si>
    <t>Phragmotrichum chailletii Kunze</t>
  </si>
  <si>
    <t>Parasola auricoma (Pat.) Redhead, Vilgalys &amp; Hopple</t>
  </si>
  <si>
    <t>Coprin doré</t>
  </si>
  <si>
    <t>Vibrissea filisporia (Bonord.) Korf &amp; A. Sánchez</t>
  </si>
  <si>
    <t>Phoma mahoniae Thüm.</t>
  </si>
  <si>
    <t xml:space="preserve">Marssonina juglandis (Lib.) Magnus </t>
  </si>
  <si>
    <t>Orbilia auricolor (A. Bloxam) Sacc.</t>
  </si>
  <si>
    <t>Pézize dorée</t>
  </si>
  <si>
    <t>Urnula craterium (Schwein. : Fr.) Fr.</t>
  </si>
  <si>
    <t>Urnule en cratère</t>
  </si>
  <si>
    <t xml:space="preserve">Ascochyta mimuli A.L. Sm. &amp; Ramsb. </t>
  </si>
  <si>
    <t>Mycena urania (Fr. : Fr.) Quélet</t>
  </si>
  <si>
    <t>Mycosphaerella cruciferarum (Fr.) Lindau</t>
  </si>
  <si>
    <t xml:space="preserve">Puccinia ilicis J.M. Yen &amp; Zambett. </t>
  </si>
  <si>
    <t>Octospora bryi-argentei Benkert</t>
  </si>
  <si>
    <t xml:space="preserve">Resinomycena saccharifera (Berk. &amp; Broome) Redhead </t>
  </si>
  <si>
    <t>Monilia linhartiana Sacc</t>
  </si>
  <si>
    <t>Tricholoma albobrunneum (Pers. : Fr.) Kummer</t>
  </si>
  <si>
    <t>Tricholome strié</t>
  </si>
  <si>
    <t>Mycena pura f. roseoviolacea (Gillet) Maas Geest</t>
  </si>
  <si>
    <t>Mycène pure forme rose violacée</t>
  </si>
  <si>
    <t xml:space="preserve">Septoria orchidearum Westend </t>
  </si>
  <si>
    <t>Ramularia scolopendrii Fautrey</t>
  </si>
  <si>
    <t>Nectria coryli Fuckel</t>
  </si>
  <si>
    <t>Nectrie du noisetier</t>
  </si>
  <si>
    <t>Paralepistopsis amoenolens (Malençon) Vizzini</t>
  </si>
  <si>
    <t>Clitocybe à bonne odeur</t>
  </si>
  <si>
    <t xml:space="preserve">Podospora appendiculata (Auersw. ex Niessl) Niessl </t>
  </si>
  <si>
    <t xml:space="preserve">Stemonitopsis typhina (Wigg.) Nann. Bremek (1974) = Comatricha typhoides </t>
  </si>
  <si>
    <t>Bonomyces sinopicus (Fr. : Fr.) Vizzini</t>
  </si>
  <si>
    <t>Clitocybe tere cuite</t>
  </si>
  <si>
    <t>Cortinarius fuliginosus P.D. Orton</t>
  </si>
  <si>
    <t>Licea castanea G. Lister</t>
  </si>
  <si>
    <t>Russula olivascens Fr.</t>
  </si>
  <si>
    <t>Russule olivâtre</t>
  </si>
  <si>
    <t>Mycena maurella Robich</t>
  </si>
  <si>
    <t xml:space="preserve">Phyllosticta plantaginis Sacc. </t>
  </si>
  <si>
    <t xml:space="preserve">Phyllosticta variegata Ellis &amp; Everh. </t>
  </si>
  <si>
    <t>Eriospora leucostoma Berk. &amp; Broome</t>
  </si>
  <si>
    <t>Pholiota subochracea (A.H. Sm.) A.H. Sm. &amp; Hesler</t>
  </si>
  <si>
    <t>Phyllosticta montellica Sacc.</t>
  </si>
  <si>
    <t>Entoloma sericeum (Bull. : Fr.) Quélet</t>
  </si>
  <si>
    <t>Entolome soyeux</t>
  </si>
  <si>
    <t>Phlebia tremellosa (Schrad. : Fr.) K.K. Nakasone &amp; H.H. Burdsall</t>
  </si>
  <si>
    <t>Mérule tremblante</t>
  </si>
  <si>
    <t>Rhodophana melleopallens (P.D. Orton) Kluting, T.J. Baroni &amp; Bergemann</t>
  </si>
  <si>
    <t>Brachysporium britannicum S. Hughes</t>
  </si>
  <si>
    <t>Phoma allostoma (Lév.) Sacc.</t>
  </si>
  <si>
    <t>Melampsora euphorbiae-dulcis Otth</t>
  </si>
  <si>
    <t>Gyoerffyella oxalidis Vanev</t>
  </si>
  <si>
    <t xml:space="preserve">Sphaeria buxicola (DC.) Fr. </t>
  </si>
  <si>
    <t>Russula acetolens S. Rauschert</t>
  </si>
  <si>
    <t>Russule vinaigrée</t>
  </si>
  <si>
    <t>Ramularia archangelicae Lindr.</t>
  </si>
  <si>
    <t>Marasmius cohaerens (Pers. : Fr.) Cke &amp; Quél.</t>
  </si>
  <si>
    <t>Marasme à pied corné</t>
  </si>
  <si>
    <t>Rhodophana nitellina (Fr.) Kühner</t>
  </si>
  <si>
    <t>Rhodocybe cuivré</t>
  </si>
  <si>
    <t>Russula pseudoaeruginea (Romagnesi) Kuyper &amp; van Vuure</t>
  </si>
  <si>
    <t>Russule vert olivacé</t>
  </si>
  <si>
    <t>Lepista ovispora (J.E. Lange) G. Gulden</t>
  </si>
  <si>
    <t>Lépiste fasciculée</t>
  </si>
  <si>
    <t xml:space="preserve">Physalospora empetri Rostr. </t>
  </si>
  <si>
    <t>Tomentella sublilacina (J.B. Ellis &amp; Holway) Wakefield</t>
  </si>
  <si>
    <t>Tomentelle sublilacine</t>
  </si>
  <si>
    <t xml:space="preserve">Calvatia excipuliformis f. capitata (Hollós) Kreisel </t>
  </si>
  <si>
    <t>Vesse de loup en forme de vase forme capitée</t>
  </si>
  <si>
    <t>Reticularia lycoperdon (Bull.) Cosm.</t>
  </si>
  <si>
    <t>Réticulaire vesse de loup</t>
  </si>
  <si>
    <t>Mycena xantholeuca Kühner</t>
  </si>
  <si>
    <t>Mycène blanche et jaune</t>
  </si>
  <si>
    <t>Leucopaxillus paradoxus (Costantin &amp; Dufour) Boursier</t>
  </si>
  <si>
    <t>Leucopaxille paradoxal</t>
  </si>
  <si>
    <t xml:space="preserve">Peronospora knautiae Fuckel </t>
  </si>
  <si>
    <t>Stictis stellata Wallr.</t>
  </si>
  <si>
    <t>Peniophora pini (Schleicher : Fr.) Boidin</t>
  </si>
  <si>
    <t>Corticie du pin</t>
  </si>
  <si>
    <t>Rugosomyces persicolor (Fr.) M. Bon</t>
  </si>
  <si>
    <t>Lyophylle couleur de pêche</t>
  </si>
  <si>
    <t>Tuber dryophilum Tul. &amp; C. Tul.</t>
  </si>
  <si>
    <t>Truffe du chêne</t>
  </si>
  <si>
    <t>Otidea propinquata  (P. Karst.) Harmaja</t>
  </si>
  <si>
    <t>Neobulgaria pura (Pers. : Fr.) Petr.</t>
  </si>
  <si>
    <t xml:space="preserve">Podosphaera myrtillina var. major Juel </t>
  </si>
  <si>
    <t>Neolentinus adhaerens var. inadhaerens (Mal.&amp; Bert.) Bouvet &amp; Sugny</t>
  </si>
  <si>
    <t>Lentin collant variété non collante</t>
  </si>
  <si>
    <t>Ascochyta humuliphila Melnik</t>
  </si>
  <si>
    <t>Tephrocybe plexipes f. atra (Kühner &amp; Romagnesi) P.-A. Moreau &amp; Courtecuisse</t>
  </si>
  <si>
    <t>Leucangium ophtalmosporum Quél.</t>
  </si>
  <si>
    <t>Leucocoprinus cretatus Lanzoni</t>
  </si>
  <si>
    <t>Lépiote blanchie à la craie</t>
  </si>
  <si>
    <t xml:space="preserve">Valsa rubi Fuckel </t>
  </si>
  <si>
    <t>Lopadostoma gastrinum (Fr.) Traverso</t>
  </si>
  <si>
    <t>Ophiognomonia intermedia (Rehm) Sogonov</t>
  </si>
  <si>
    <t>Peziza moseri Aviz.-Hersh. &amp; Nemlich</t>
  </si>
  <si>
    <t>Pézize de Moser</t>
  </si>
  <si>
    <t>Lepiota ignipes M. Bon</t>
  </si>
  <si>
    <t>Lépiote à pied couleur de feu</t>
  </si>
  <si>
    <t xml:space="preserve">Ramularia chamaedryos (Lindr.) Gunnerb. </t>
  </si>
  <si>
    <t>Marasmius graminum (Lib.) Berk.</t>
  </si>
  <si>
    <t>Marasme des graminées</t>
  </si>
  <si>
    <t>Tricholoma saponaceum var. lavedanum Rolland</t>
  </si>
  <si>
    <t>Lepiota brunneoincarnata Chod. &amp; Mart.</t>
  </si>
  <si>
    <t>Lépiote brun rose</t>
  </si>
  <si>
    <t>Cystoderma bonnardiae Thoen</t>
  </si>
  <si>
    <t xml:space="preserve">Cystoderme dédiée à Jacqueline Bonnard. </t>
  </si>
  <si>
    <t>Septoria oxalidis Lind</t>
  </si>
  <si>
    <t>Xylaria hypoxylon (L. : Fr.) Grev.</t>
  </si>
  <si>
    <t>Xylaire du bois</t>
  </si>
  <si>
    <t>Mniaecia nivea (P. Crouan &amp; H. Crouan) Boud.</t>
  </si>
  <si>
    <t>Skeletocutis carneogrisea A. David</t>
  </si>
  <si>
    <t>Tramète gris carné</t>
  </si>
  <si>
    <t>Lophiostoma arundinaceum (Sowerby) Aptroot &amp; K.D. Hyde</t>
  </si>
  <si>
    <t>Ramularia gei (A.G. Eliasson) Lindr</t>
  </si>
  <si>
    <t>Russula nauseosa (Pers.) Fr.</t>
  </si>
  <si>
    <t>Russule précoce ou Russule à marge striée</t>
  </si>
  <si>
    <t>Pholiota gummosa var. rufobrunnea(P. Karsten) Holec</t>
  </si>
  <si>
    <t>Melanoleuca grammopodia (Bull. : Fr.) Patouillard</t>
  </si>
  <si>
    <t>Tricholome à pied strié</t>
  </si>
  <si>
    <t>Luellia recondita (Jacks) Lars. &amp; Hjortst.</t>
  </si>
  <si>
    <t>Psilachnum chrysostigmum (Fr. : Fr.) Raitv.</t>
  </si>
  <si>
    <t>Marasmiellus tricolor (Alb. &amp; Schw. : Fr.) Singer</t>
  </si>
  <si>
    <t>Marasme tricolore</t>
  </si>
  <si>
    <t>Peziza rifaii J. Moravec &amp; Spooner</t>
  </si>
  <si>
    <t>Sphaeropsis sapinea (Fr.) Dyko &amp; B. Sutton</t>
  </si>
  <si>
    <t>Russula anatina Romagnesi</t>
  </si>
  <si>
    <t>Russule plume de canard</t>
  </si>
  <si>
    <t>Russula fragrans Romagnesi</t>
  </si>
  <si>
    <t>Russule frangipane douce</t>
  </si>
  <si>
    <t>Pezicula livida (Berk. &amp; Broome) Rehm</t>
  </si>
  <si>
    <t>Pézicule livide</t>
  </si>
  <si>
    <t>Peziza obtusapiculata J. Moravec</t>
  </si>
  <si>
    <t>Microsphaeropsis ulmicola (Sacc.) Aa</t>
  </si>
  <si>
    <t>Ophiocordyceps superficialis (Peck) G.H. Sung, J.M. Sung, Hywel-Jones &amp; Spatafora</t>
  </si>
  <si>
    <t>Heterosphaeria veratri Nespiak &amp; E. Müll.</t>
  </si>
  <si>
    <t>Leucocoprinus birnbaumii (Corda) Singer</t>
  </si>
  <si>
    <t>Lépiote de Birnbaum</t>
  </si>
  <si>
    <t xml:space="preserve">Septoria hyperici Roberge ex Desm. </t>
  </si>
  <si>
    <t>Melampsora hypericorum Winter</t>
  </si>
  <si>
    <t>Octospora crosslandii (Dennis &amp; Itzerott) Benkert</t>
  </si>
  <si>
    <t>Guignardia xylostei Reusser</t>
  </si>
  <si>
    <t>Thelephora intybacea Pers. : Fr.</t>
  </si>
  <si>
    <t>Picoa carthusiana Tul. &amp; C. Tul.</t>
  </si>
  <si>
    <t xml:space="preserve">Polystigma rubrum subsp. rubrum </t>
  </si>
  <si>
    <t>Phloeomana alba (Bres.) Redhead</t>
  </si>
  <si>
    <t>Mycène blanche</t>
  </si>
  <si>
    <t>Ostropa barbara (Fr.) Nannf.</t>
  </si>
  <si>
    <t>Russula torulosa Bresadola</t>
  </si>
  <si>
    <t>Russule des pinèdes ou Russule à pied bleu</t>
  </si>
  <si>
    <t xml:space="preserve">Nitschkia collapsa (Romell) Chenant. </t>
  </si>
  <si>
    <t>Galera aquatilis (Fr. : Fr.) Gillet</t>
  </si>
  <si>
    <t>Phaeosolenia densa (Berk.) W.B. Cooke</t>
  </si>
  <si>
    <t>Peziza ampelina Quél.</t>
  </si>
  <si>
    <t>Scutellinia umbrorum (Fr. : Fr.) Lambotte</t>
  </si>
  <si>
    <t>Tomentella lapida (Pers.) Stalpers</t>
  </si>
  <si>
    <t>Tomentelle violet foncé</t>
  </si>
  <si>
    <t>Trechispora cohaerens (Schwein.) Jülich &amp; Stalpers</t>
  </si>
  <si>
    <t>Resupinatus conspersus (Pers. : Fr.) Thorn, Moncalvo &amp; Redhead</t>
  </si>
  <si>
    <t>Nectria aurantiaca (Tul. &amp; C. Tul.) Jacz.</t>
  </si>
  <si>
    <t>Panaeolus papilionaceus (Bull.) Quél.</t>
  </si>
  <si>
    <t>Panéole papillonacée</t>
  </si>
  <si>
    <t>Tubaria confragosa (Fr.) Harmaja</t>
  </si>
  <si>
    <t>Tubaire raboteux</t>
  </si>
  <si>
    <t>Mycena rosella (Fr. : Fr.) Kummer</t>
  </si>
  <si>
    <t>Mycène à lames rosées</t>
  </si>
  <si>
    <t>Typhrasa gossypina (Bull.) Örstadius &amp; E. Larss.</t>
  </si>
  <si>
    <t xml:space="preserve">Uredo geranii DC. </t>
  </si>
  <si>
    <t>Scleroderma citrinum Pers. : Pers.</t>
  </si>
  <si>
    <t>Scléroderme commun</t>
  </si>
  <si>
    <t xml:space="preserve">Paxillus rubicundulus P.D. Orton </t>
  </si>
  <si>
    <t>Valsaria insitiva (Tode) Ces. &amp; De Not.</t>
  </si>
  <si>
    <t>Monilia cinerea Bonord.</t>
  </si>
  <si>
    <t>Lepista panaeolus (Fr.) P. Karsten</t>
  </si>
  <si>
    <t>Argouane des prairies</t>
  </si>
  <si>
    <t>Micarea prasina Fr.s.l.</t>
  </si>
  <si>
    <t>Phyllosticta corylaria Sacc.</t>
  </si>
  <si>
    <t>Tomentellopsis echinospora (J.B. Ellis) Hjortstam</t>
  </si>
  <si>
    <t>Tomentelle à spores echinulées</t>
  </si>
  <si>
    <t>Lepista panaeolus var. nimbata (Batsch : Fr.) M. Bon</t>
  </si>
  <si>
    <t>Argouane des prairies variété nimbée</t>
  </si>
  <si>
    <t>Massaria vomitoria Berk. &amp; M.A. Curtis</t>
  </si>
  <si>
    <t>Limacella vinosorubescens Furrer</t>
  </si>
  <si>
    <t>Limacelle rouge-vineuse</t>
  </si>
  <si>
    <t>Marasmiellus candidus (Bolt.) Singer</t>
  </si>
  <si>
    <t>Marasme candide</t>
  </si>
  <si>
    <t>Protomyces hispanicus Cif.</t>
  </si>
  <si>
    <t>Lophiostoma vagabundum Sacc</t>
  </si>
  <si>
    <t>Phyllotopsis rhodophylla (Bres.) Singer</t>
  </si>
  <si>
    <t>Uromyces pisi-sativi (Pers.) Liro</t>
  </si>
  <si>
    <t>Russula velenovskyi Melzer &amp; Zvara</t>
  </si>
  <si>
    <t>Russule rouge cuivre</t>
  </si>
  <si>
    <t>Russula cicatricata M. Bon</t>
  </si>
  <si>
    <t>Russule écrevisse ridée</t>
  </si>
  <si>
    <t>Ramularia tiliae Lobik</t>
  </si>
  <si>
    <t xml:space="preserve">Phyllosticta hieracii Allesch. </t>
  </si>
  <si>
    <t>Morchella rotunda var. fulva Boud.</t>
  </si>
  <si>
    <t>Morille blonde variété fauve</t>
  </si>
  <si>
    <t>Mycocentrospora acerina (R. Hartig) Deighton</t>
  </si>
  <si>
    <t>Xerocomus ferrugineus (J.C. Sch.) M. Bon</t>
  </si>
  <si>
    <t>Bolet ferrugineux</t>
  </si>
  <si>
    <t>Suillus viscidus (L.) Roussel</t>
  </si>
  <si>
    <t>Bolet visqueux ou Bolet vert de gris</t>
  </si>
  <si>
    <t>Rhodonia placenta (Fr.) Niemelä, K.H. Larss. &amp; Schigel</t>
  </si>
  <si>
    <t>Polypore placenta</t>
  </si>
  <si>
    <t>Lepiota castanea Quélet</t>
  </si>
  <si>
    <t>Lépiote châtain</t>
  </si>
  <si>
    <t>Peronospora bulbocapni Beck</t>
  </si>
  <si>
    <t>Ramaria fennica (P. Karsten) Ricken</t>
  </si>
  <si>
    <t>Phanerochaete galactites (Bourd. &amp; Galz.) Erikss. &amp; Ryv.</t>
  </si>
  <si>
    <t>Lactifluus bertillonii (Neuhoff ex Z. Schaef.) Verbeken</t>
  </si>
  <si>
    <t>Lactaire de Bertillon ou Lactaire fruité</t>
  </si>
  <si>
    <t>Ramularia centaureae-scabiosae U. Braun</t>
  </si>
  <si>
    <t>Phyllosticta aucupariae Thüm.</t>
  </si>
  <si>
    <t>Xylaria bulbosa (Pers.) Berk. &amp; Broome</t>
  </si>
  <si>
    <t>Xylaire bulbeuse</t>
  </si>
  <si>
    <t xml:space="preserve">Microsphaera syringae (Schwein.) Magnus </t>
  </si>
  <si>
    <t>Phallus impudicus var. togatus (Kalchbr.) Costantin &amp; L.M. Dufour</t>
  </si>
  <si>
    <t>Sistotrema brinkmannii (Bresadola) J. Eriksson</t>
  </si>
  <si>
    <t>Sistotrème de Brinkmann</t>
  </si>
  <si>
    <t>Pezicula scoparia (Cooke) Dennis</t>
  </si>
  <si>
    <t xml:space="preserve">Peronospora alpicola Gäum. </t>
  </si>
  <si>
    <t>Pluteus podospileus Saccardo &amp; Cuboni</t>
  </si>
  <si>
    <t>Plutée soyeuse</t>
  </si>
  <si>
    <t>Russula curtipes F.H. Møller &amp; J. Schäffer</t>
  </si>
  <si>
    <t>Russule à pied court</t>
  </si>
  <si>
    <t>Macrocystidia cucumis var. latifolia (J.E. Lange) Imazeki &amp; Hongo</t>
  </si>
  <si>
    <t>Tricholomopsis flammula (Métrod ex E. Ludwig) P.-A. Moreau &amp; Courtecuisse</t>
  </si>
  <si>
    <t>Tricholome flammule</t>
  </si>
  <si>
    <t>Tricholomopsis rutilans (J.C. Sch. : Fr.) Singer</t>
  </si>
  <si>
    <t>Tricholome rutilant</t>
  </si>
  <si>
    <t>Pholiota lubrica (Pers. : Fr.) Singer</t>
  </si>
  <si>
    <t>Pholiote lubrifiée</t>
  </si>
  <si>
    <t>Trichopezizella nidulus (Kunze) Raitv.</t>
  </si>
  <si>
    <t>Pseudotomentella tristis (P. Karst.) M. J. Larsen</t>
  </si>
  <si>
    <t>Russula vinosa Lindblad</t>
  </si>
  <si>
    <t>Russule vineuse</t>
  </si>
  <si>
    <t>Otidea concinna (Pers.) Sacc.</t>
  </si>
  <si>
    <t>Otidée en colimaçon</t>
  </si>
  <si>
    <t>Lepiota ochraceosulfurescens M. Bon</t>
  </si>
  <si>
    <t>Lépiote ocre soufré</t>
  </si>
  <si>
    <t>Xerula pudens (Pers. : Fr.) Singer</t>
  </si>
  <si>
    <t>Collybie à poils ras</t>
  </si>
  <si>
    <t>Albugo candida (Pers.) Roussel</t>
  </si>
  <si>
    <t>Rouille blanche</t>
  </si>
  <si>
    <t>Spinellus fusiger (Link) Tiegh.</t>
  </si>
  <si>
    <t>Russula rhodomelanea Sarnari</t>
  </si>
  <si>
    <t xml:space="preserve">Platismatia glauca (L.) W.L. Culb. &amp; C.F. Culb. </t>
  </si>
  <si>
    <t>Neolentinus adhaerens (Alb.&amp; Schw :Fr.) Redh. &amp; Ginns</t>
  </si>
  <si>
    <t>Lentin collant</t>
  </si>
  <si>
    <t>Nitschkia cupularis (Pers.) P. Karst.</t>
  </si>
  <si>
    <t>Resupinatus europaeus Consiglio &amp; Setti</t>
  </si>
  <si>
    <t>Pleurote blanc et noir</t>
  </si>
  <si>
    <t xml:space="preserve">Gliomastix murorum (Corda) S. Hughes </t>
  </si>
  <si>
    <t>Toninia caeruleonigricans (Lightf.) Th. Fr.</t>
  </si>
  <si>
    <t>Leucoagaricus barssii (Zeller) Vellinga</t>
  </si>
  <si>
    <t>Puccinia artemisiella P. Syd. &amp; Syd</t>
  </si>
  <si>
    <t>Puccinia albulensis Magnus</t>
  </si>
  <si>
    <t>Stemonitopsis amoena (Nann.-Bremek.) Nann.-Bremek.</t>
  </si>
  <si>
    <t>Passalora fraxini (DC.) Arx</t>
  </si>
  <si>
    <t xml:space="preserve">Podosphaera schlechtendalii Lév. </t>
  </si>
  <si>
    <t>Mycena concolor (J.E. Lange) Kühner</t>
  </si>
  <si>
    <t>Mycène concolore</t>
  </si>
  <si>
    <t>Typhula culmigena (Montagne &amp; Fr.) J. Schröter</t>
  </si>
  <si>
    <t>Thecotheus pelletieri (P. Crouan &amp; H. Crouan) Boud.</t>
  </si>
  <si>
    <t xml:space="preserve">Unguiculella eurotioides (P. Karst.) Nannf. </t>
  </si>
  <si>
    <t xml:space="preserve">Phyllosticta gentianicola (DC.) Pat. </t>
  </si>
  <si>
    <t>Stilbella byssiseda (Pers.) Seifert</t>
  </si>
  <si>
    <t>Bactrodesmium cedricola M.B. Ellis</t>
  </si>
  <si>
    <t>Xerocomus chrysonemus A.E. Hills &amp; A.F.S. Taylor</t>
  </si>
  <si>
    <t xml:space="preserve">Kabatia periclymeni var. xylostei (Pass.) B. Sutton </t>
  </si>
  <si>
    <t>Phaeophlebiopsis ravenelii (Cooke) Zmitr.</t>
  </si>
  <si>
    <t>Tubulicrinis borealis J. Erikss</t>
  </si>
  <si>
    <t>Lepiota obscura (M. Bon) Babos</t>
  </si>
  <si>
    <t>Lépiote foncée</t>
  </si>
  <si>
    <t xml:space="preserve">Phomopsis ramealis (Desm.) Died. </t>
  </si>
  <si>
    <t xml:space="preserve">Russula sphagnophila Kauffmann </t>
  </si>
  <si>
    <t>Russule des sphaignes</t>
  </si>
  <si>
    <t>Mycena atrochalybaea Huijsman</t>
  </si>
  <si>
    <t xml:space="preserve">Deightoniella arundinacea (Corda) S. Hughes </t>
  </si>
  <si>
    <t xml:space="preserve">Mycosphaerella clymenia (Sacc.) Johanson ex Oudem. </t>
  </si>
  <si>
    <t>Saccobolus glaber (Pers.) Lambotte</t>
  </si>
  <si>
    <t>Verpa digitaliformis Pers.</t>
  </si>
  <si>
    <t>Verpe conique ou verpe en forme de doigt</t>
  </si>
  <si>
    <t>Valsa viburni Fuckel</t>
  </si>
  <si>
    <t>Ascochyta kleinii Bubák</t>
  </si>
  <si>
    <t>Hilberina munkii (R. Hilber &amp; O. Hilber) Declercq</t>
  </si>
  <si>
    <t>Melanoleuca subpulverulenta (Pers.) Singer</t>
  </si>
  <si>
    <t>Ustilago heufleri Fckl.</t>
  </si>
  <si>
    <t>Mycena aciculata (A.H. Sm.) Desjardin &amp; E. Horak</t>
  </si>
  <si>
    <t>Pyrenopeziza chailletii (Pers.) Fuckel</t>
  </si>
  <si>
    <t xml:space="preserve">Podospora pleiospora (G. Winter) Niessl </t>
  </si>
  <si>
    <t xml:space="preserve">Septoria galeopsidis Westend. </t>
  </si>
  <si>
    <t>Lycoperdon perlatum Pers. : Pers.</t>
  </si>
  <si>
    <t>Vesse-de-loup perlée</t>
  </si>
  <si>
    <t>Septoria scabiosicola Desm.</t>
  </si>
  <si>
    <t>Hypomyces orthosporus K. Põldmaa</t>
  </si>
  <si>
    <t>Ramularia galeopsidis Bubák</t>
  </si>
  <si>
    <t xml:space="preserve">Melanconis flavovirens (G.H. Otth) Wehm. </t>
  </si>
  <si>
    <t>Pseudoboletus parasiticus (Bull. : Fr.) Šutara</t>
  </si>
  <si>
    <t>Bolet parasite</t>
  </si>
  <si>
    <t>Sepedonium tulasneanum (Plowr.) Sacc.</t>
  </si>
  <si>
    <t>Russula taeniospora Einhellinger</t>
  </si>
  <si>
    <t>Russule carmin</t>
  </si>
  <si>
    <t>Russula chloroides (Krombholz) Bresadola</t>
  </si>
  <si>
    <t>Russule à lames glauques</t>
  </si>
  <si>
    <t>Podospora araneosa (Cain) Cain</t>
  </si>
  <si>
    <t>Lepista nebularis f. alba (J.E. Lange)</t>
  </si>
  <si>
    <t>Clitocybe nébuleux blanc</t>
  </si>
  <si>
    <t>Uromyces trifolii (Hedw.) Léveillé</t>
  </si>
  <si>
    <t>Pachykystospora tuberculosa (de Candolle : Fr.) Kotlaba &amp; Pouzar</t>
  </si>
  <si>
    <t>Peziza echinospora P. Karst.</t>
  </si>
  <si>
    <t>Pézize à spores épineuses</t>
  </si>
  <si>
    <t>Lactarius flexuosus (Pers. : Fr.) S.F. Gray</t>
  </si>
  <si>
    <t>Lactaire à marge flexueuse</t>
  </si>
  <si>
    <t>Pleurotus cornucopiae (Paulet) Quélet</t>
  </si>
  <si>
    <t>Pleurote corne d'abondance</t>
  </si>
  <si>
    <t xml:space="preserve">Tremella globospora D.A. Reid </t>
  </si>
  <si>
    <t>Tremelle à spores globuleuses</t>
  </si>
  <si>
    <t xml:space="preserve">Perichaena depressa Lib. </t>
  </si>
  <si>
    <t>Lepiota fuscovinacea F.H. Møller &amp; J.E. Lange</t>
  </si>
  <si>
    <t>Lépiote vineux foncé</t>
  </si>
  <si>
    <t>Ramaria spinulosa (Pers. : Fr.) Courtecuisse</t>
  </si>
  <si>
    <t>Peziza recedens (Boud.) Sacc. &amp; P. Syd.</t>
  </si>
  <si>
    <t xml:space="preserve">Phomopsis stictica (Berk. &amp; Broome) Traverso </t>
  </si>
  <si>
    <t>Odontia fibrosa (Berk. &amp; M.A. Curtis) Kõljalg</t>
  </si>
  <si>
    <t xml:space="preserve">Pseudocercosporella pastinacae (P. Karst.) U. Braun </t>
  </si>
  <si>
    <t>Lepiota acerina Peck</t>
  </si>
  <si>
    <t>Psilocybe squamosa (Pers. : Fr.) P.D. Orton</t>
  </si>
  <si>
    <t>Psilocybe squamuleux</t>
  </si>
  <si>
    <t>Stropharia caerulea Kreisel</t>
  </si>
  <si>
    <t>Strophaire bleu clair</t>
  </si>
  <si>
    <t>Lopadostoma turgidum (Pers.) Traverso</t>
  </si>
  <si>
    <t>Macroconia leptosphaeriae (Niessl) Gräfenhan &amp; Schroers</t>
  </si>
  <si>
    <t>Parasola misera (P. Karst.) Redhead, Vilgalys &amp; Hopple</t>
  </si>
  <si>
    <t>Coprin misérable</t>
  </si>
  <si>
    <t>Phyllosticta humuli Sacc. &amp; Speg.</t>
  </si>
  <si>
    <t>Phlebia rufa (Pers. : Fr.) M.P. Christiansen</t>
  </si>
  <si>
    <t>Phloeomana hiemalis (Osbeck) Redhead</t>
  </si>
  <si>
    <t>Mycène hivernale</t>
  </si>
  <si>
    <t>Puccinia lagenophorae Cooke</t>
  </si>
  <si>
    <t xml:space="preserve">Rhizina undulata Fr. </t>
  </si>
  <si>
    <t>Lepidoderma chailletii Rostaf.</t>
  </si>
  <si>
    <t>Lépidoderme de Chaillet</t>
  </si>
  <si>
    <t>Phyllosticta ajugae Sacc. &amp; Speg.</t>
  </si>
  <si>
    <t>Ramaria botrytis (Pers. : Fr.) Ricken</t>
  </si>
  <si>
    <t>Ramaire choux-fleur</t>
  </si>
  <si>
    <t>Phyllosticta berberidicola Speg.</t>
  </si>
  <si>
    <t>Tricholoma ustaloides Romagnesi</t>
  </si>
  <si>
    <t>Tricholome faux"ustale"</t>
  </si>
  <si>
    <t>Trichopeziza mollissima (Lasch) Fuckel</t>
  </si>
  <si>
    <t xml:space="preserve">Ramularia heraclei (Oudem.) Sacc. </t>
  </si>
  <si>
    <t>Rhizocarpon geographicum (L.) DC.</t>
  </si>
  <si>
    <t>Uromyces trifolii-repentis Liro</t>
  </si>
  <si>
    <t>Peziza celtica (Boud.) M.M. Moser</t>
  </si>
  <si>
    <t>Tricholoma batschii M. Christensen &amp; Noordeloos</t>
  </si>
  <si>
    <t>Tricholome brun et blanc ou Tricholome de Batsch</t>
  </si>
  <si>
    <t>Sarcomyxa serotina (Pers. : Fr.) P. Karsten</t>
  </si>
  <si>
    <t>Panelle tardif</t>
  </si>
  <si>
    <t>Leccinum pulchrum Lannoy &amp; Estades</t>
  </si>
  <si>
    <t>Bolet rude panaché</t>
  </si>
  <si>
    <t>Orbilia luteorubella (Nyl.) P. Karst.</t>
  </si>
  <si>
    <t xml:space="preserve">Leptostroma herbarum (Fr.) Link </t>
  </si>
  <si>
    <t xml:space="preserve">Urocystis polygonati (Lavrov) Zundel </t>
  </si>
  <si>
    <t>Lachnum reynoutriae Baral ad int.</t>
  </si>
  <si>
    <t xml:space="preserve">Pézize de la renouée du Japon. </t>
  </si>
  <si>
    <t>Chaetosphaeria ovoidea (Fr.) Constant., K. Holm &amp; L. Holm</t>
  </si>
  <si>
    <t>Peziza fimeti (Fuckel) Seaver</t>
  </si>
  <si>
    <t>Pézize fimicole</t>
  </si>
  <si>
    <t>Tricholoma cingulatum (Almf. : Fr.) Jacobasch</t>
  </si>
  <si>
    <t>Tricholome ceinturé</t>
  </si>
  <si>
    <t>Melanoleuca melaleuca (Pers. : Fr.) Murrill</t>
  </si>
  <si>
    <t>Tricholome blanc et noir</t>
  </si>
  <si>
    <t>Russula pseudoromellii M. Bon</t>
  </si>
  <si>
    <t>Russule fausse "romellii"</t>
  </si>
  <si>
    <t>Sarcosphaera coronaria (Jacq.) J. Schröt.</t>
  </si>
  <si>
    <t>Pézize couronnée ou Pézize remarquable</t>
  </si>
  <si>
    <t xml:space="preserve">Otidea abietina (Pers.) Fuckel </t>
  </si>
  <si>
    <t>Otidée des sapins</t>
  </si>
  <si>
    <t>Zygospermella insignis (Mouton) Cain</t>
  </si>
  <si>
    <t>Russula graveolens Romell</t>
  </si>
  <si>
    <t>Russule écrevisse des chênes</t>
  </si>
  <si>
    <t>Pucciniastrum epilobii Otth</t>
  </si>
  <si>
    <t>Rouille des épilobes</t>
  </si>
  <si>
    <t>Ramaria flava (J.C. Sch. : Fr.) Quélet</t>
  </si>
  <si>
    <t xml:space="preserve">Chalaropsis thielavioides Peyronel </t>
  </si>
  <si>
    <t>Podoscypha multizonata (Berk. &amp; Br.) Patouillard</t>
  </si>
  <si>
    <t>Téléphore multizoné</t>
  </si>
  <si>
    <t>Zythia fragariae Laib.</t>
  </si>
  <si>
    <t>Lenzites warnieri Durieu &amp; Montagne</t>
  </si>
  <si>
    <t>Lenzite baleine ou Lenzite de Warnier</t>
  </si>
  <si>
    <t>Acremonium arxii W. Gams</t>
  </si>
  <si>
    <t>Psora decipiens (Hedw.) Hoffm.</t>
  </si>
  <si>
    <t xml:space="preserve">Rosellinia lignicola (Cooke &amp; Massee) Petr. &amp; Syd. </t>
  </si>
  <si>
    <t>Lepiota rufipes Morgan</t>
  </si>
  <si>
    <t>Lépiote à pied roux</t>
  </si>
  <si>
    <t>Schizopora radula (Pers. : Fr.) Hallenberg</t>
  </si>
  <si>
    <t>Mycena albidolilacea Kühner &amp; R. Maire</t>
  </si>
  <si>
    <t>Mycène blanche et lilas</t>
  </si>
  <si>
    <t>Nesolechia oxyspora (Tul.) A.Massal.</t>
  </si>
  <si>
    <t>Xylaria longipes Nitschke</t>
  </si>
  <si>
    <t>Xylaire à long pied</t>
  </si>
  <si>
    <t>Paratrichophaea boudieri (Grelet) Bronckers</t>
  </si>
  <si>
    <t>Tuber rapaeodorum Tul. &amp; C. Tul.</t>
  </si>
  <si>
    <t>Melanoleuca stridula (Fr.) Singer</t>
  </si>
  <si>
    <t>Lasiobelonium horridulum (Desm.) Dougoud</t>
  </si>
  <si>
    <t>Psathyrella bifrons (Berk.) A.H. Smith</t>
  </si>
  <si>
    <t>Psathyrelle de couleurs variables</t>
  </si>
  <si>
    <t>Ossicaulis lignatilis (Pers. : Fr.) Redhead &amp; Ginns</t>
  </si>
  <si>
    <t>Clitocybe lignicole</t>
  </si>
  <si>
    <t>Pyrenopeziza carduorum Rehm</t>
  </si>
  <si>
    <t>Tricholomella leucocephala (Bull. : Fr.) M. Bon</t>
  </si>
  <si>
    <t>Russula odorata var. lilacinicolor (Blum) Romagnesi</t>
  </si>
  <si>
    <t>Russule lilacine</t>
  </si>
  <si>
    <t xml:space="preserve">Leptotrochila trifolii-arvensis (Nannf.) Schüepp </t>
  </si>
  <si>
    <t>Pulvinula archeri (Berk.) Rifai</t>
  </si>
  <si>
    <t>Hymenogaster occidentalis Zeller &amp; C.W. Dodge</t>
  </si>
  <si>
    <t>Pluteus primus Bonnard</t>
  </si>
  <si>
    <t>Plutée précoce</t>
  </si>
  <si>
    <t>Synchytrium chrysosplenii Sorokīn</t>
  </si>
  <si>
    <t>Endophragmia boothii M.B. Ellis</t>
  </si>
  <si>
    <t>Saccobolus minimus Vel.</t>
  </si>
  <si>
    <t xml:space="preserve">Plowrightia ribesia (Pers.) Sacc. </t>
  </si>
  <si>
    <t xml:space="preserve">Phacellium episphaerium (Desm.) U. Braun </t>
  </si>
  <si>
    <t>Melampsora caprearum Thüm</t>
  </si>
  <si>
    <t>Russula alutacea (Pers. : Fr.) Fr.</t>
  </si>
  <si>
    <t>Russule alutacée</t>
  </si>
  <si>
    <t>Suillus luteus f. decoloratus Estades &amp; Lannoy</t>
  </si>
  <si>
    <t>Nonnette voilée forme decolorée</t>
  </si>
  <si>
    <t>Puccinia conglomerata (F. Strauss) J. C. Schmidt &amp; Kunze</t>
  </si>
  <si>
    <t>Amanita pantherinaf. albida Schulzer von Müggenburg</t>
  </si>
  <si>
    <t>Amanite panthère forme blanche</t>
  </si>
  <si>
    <t>Smardaea amethystina (W. Phillips) Svrček</t>
  </si>
  <si>
    <t>Solorina saccata (L.) Ach.</t>
  </si>
  <si>
    <t>Psilocistella conincola (Velen.) Svrček</t>
  </si>
  <si>
    <t>Ramularia coccinea (Fuckel) Vestergr.</t>
  </si>
  <si>
    <t>Picipes badius (Pers.) Zmitr. &amp; Kovalenko</t>
  </si>
  <si>
    <t>Polypore bai</t>
  </si>
  <si>
    <t>Orbilia frullaniae Baral</t>
  </si>
  <si>
    <t xml:space="preserve">Physalospora vaccinii (Shear) Arx &amp; E. Müll. </t>
  </si>
  <si>
    <t xml:space="preserve">Rhizopus stolonifer (Ehrenb.) Vuill. </t>
  </si>
  <si>
    <t>Lycoperdon mammaeforme Pers. : Pers.</t>
  </si>
  <si>
    <t>Vesse-de-loup en forme de mamelle</t>
  </si>
  <si>
    <t>Rutstroemia fruticeti Rehm</t>
  </si>
  <si>
    <t>Microglossum nudipes Boud.</t>
  </si>
  <si>
    <t>Microglosse à pied lisse</t>
  </si>
  <si>
    <t>Mucronella calva (Alb. &amp; Schwein.) Fr.</t>
  </si>
  <si>
    <t>Trechispora mollusca (Pers. : Fr.) Liberta</t>
  </si>
  <si>
    <t>Peziza depressa Pers. : Fr.</t>
  </si>
  <si>
    <t>Puccinia pelargonii-zonalis Doidge</t>
  </si>
  <si>
    <t>Stereum rugosum (Pers. : Fr.) Fr.</t>
  </si>
  <si>
    <t>Stérée rugueuse</t>
  </si>
  <si>
    <t>Synchytrium papillatumFarl.</t>
  </si>
  <si>
    <t>Chlorociboria aeruginosa  (Oeder) Seaver</t>
  </si>
  <si>
    <t>Zelleromyces stephensii (Berk.) A.H. Smith</t>
  </si>
  <si>
    <t>Pucciniastrum goeppertianum (Kuehn) Kleb.</t>
  </si>
  <si>
    <t xml:space="preserve">Puccinia cnici-oleracei Pers. ex Desm. </t>
  </si>
  <si>
    <t xml:space="preserve">Leptosphaerulina myrtillina (Sacc. &amp; Fautrey) Petr. </t>
  </si>
  <si>
    <t>Neofavolus suavissimus (Fr.) J.S. Seelan, Justo &amp; Hibbett</t>
  </si>
  <si>
    <t>Lentin à odeur suave</t>
  </si>
  <si>
    <t>Scutellinia pseudotrechispora (J. Schröt.) Le Gal</t>
  </si>
  <si>
    <t>Lepiota kuehneri Hora</t>
  </si>
  <si>
    <t>Lépiote de Kuehner</t>
  </si>
  <si>
    <t>Marasmiellus vaillantii (Pers. : Fr.) Singer</t>
  </si>
  <si>
    <t>Marasme de Vaillant</t>
  </si>
  <si>
    <t xml:space="preserve">Podosphaera clandestina (Wallr.) Lév. </t>
  </si>
  <si>
    <t>Tricholoma virgatum f. roseipes Bon</t>
  </si>
  <si>
    <t>Tricholome vergeté forme à pied rosé</t>
  </si>
  <si>
    <t>Trichopeziza sulphurea (Pers. : Fr.) Fuckel</t>
  </si>
  <si>
    <t>Trametes pubescens (Schum. : Fr.) Pilát</t>
  </si>
  <si>
    <t>Tramète pubescente</t>
  </si>
  <si>
    <t>Peziza petersii Berk &amp; M.A. Curtis</t>
  </si>
  <si>
    <t>Pézize de Peters</t>
  </si>
  <si>
    <t>Russula chloroides var. trachyspora (Romagn.) Sarnari</t>
  </si>
  <si>
    <t xml:space="preserve">Podospora neglecta (E.C. Hansen) Niessl </t>
  </si>
  <si>
    <t xml:space="preserve">Ramularia lamii Fuckel </t>
  </si>
  <si>
    <t>Russula griseascens (M. Bon &amp; Gaugué) L. Marti</t>
  </si>
  <si>
    <t>Russule émétique grisonnante</t>
  </si>
  <si>
    <t xml:space="preserve">Microsphaera divaricata (Wallr.) Lév. </t>
  </si>
  <si>
    <t>Melampsora allii-populina f. muscari-populina Vienn.-Bourg.</t>
  </si>
  <si>
    <t>Russula emetica (Sch. : Fr.) Pers.</t>
  </si>
  <si>
    <t>Russule émétique</t>
  </si>
  <si>
    <t>Mycena epipterygia var. lignicola A.H. Sm.</t>
  </si>
  <si>
    <t>Mycène gélatineuse.</t>
  </si>
  <si>
    <t>Puccinia eriophori-alpini Allescher</t>
  </si>
  <si>
    <t>Pyronema domesticum (Sow. ex Fr.) Sacc.</t>
  </si>
  <si>
    <t>Xerula radicata var. alba Dörfelt</t>
  </si>
  <si>
    <t>Collybie radicante variété blanche</t>
  </si>
  <si>
    <t>Octospora coccinea (P. Crouan &amp; H. Crouan) Brumm.</t>
  </si>
  <si>
    <t>Ramularia agrestis var. deflectens (Bres.) U. Braun</t>
  </si>
  <si>
    <t>Typhula setipes (Greville) Berthier</t>
  </si>
  <si>
    <t>Otidea alutacea var. parvispora Parslow &amp; Spooner</t>
  </si>
  <si>
    <t xml:space="preserve">Nectriopsis aureonitens (Tul. &amp; C. Tul.) Maire </t>
  </si>
  <si>
    <t>Mycosphaerella vogelii (Syd. &amp; P. Syd.) Tomilin avec ou sans stade Asteromella</t>
  </si>
  <si>
    <t>Megacollybia platyphylla (Pers. Fr.) f. blanche ad int</t>
  </si>
  <si>
    <t>Collybie à lames larges forme blanche</t>
  </si>
  <si>
    <t>Ramularia rumicis Kalchbr. &amp; Cooke</t>
  </si>
  <si>
    <t>Lepiota locquinii M. Bon</t>
  </si>
  <si>
    <t>Lépiote de Locquin</t>
  </si>
  <si>
    <t>Russula tinctipes M. Bon</t>
  </si>
  <si>
    <t>Russule à pied teinté</t>
  </si>
  <si>
    <t xml:space="preserve">Torula herbarum f. quaternella Sacc. </t>
  </si>
  <si>
    <t>Russula minutula Velenovsky</t>
  </si>
  <si>
    <t>Russule minuscule</t>
  </si>
  <si>
    <t xml:space="preserve">Puccinia coronata Corda </t>
  </si>
  <si>
    <t>Rouille couronnée</t>
  </si>
  <si>
    <t>Tuber fulgens Quél</t>
  </si>
  <si>
    <t>Truffe  flamboyante</t>
  </si>
  <si>
    <t xml:space="preserve">Phialea rosulea Quél. </t>
  </si>
  <si>
    <t>Leucoagaricus holosericeus (Gillet) Moser</t>
  </si>
  <si>
    <t>Rhizomarasmius setosus (Sowerby) Antonín &amp; A. Urb.</t>
  </si>
  <si>
    <t>Marasme à pied hirsute</t>
  </si>
  <si>
    <t xml:space="preserve">Massaria inquinans (Tode) De Not. </t>
  </si>
  <si>
    <t>Psilocybe subviscida var. velata Noordel. &amp; Verduin</t>
  </si>
  <si>
    <t xml:space="preserve">Lophiostoma compressum (Pers.) Ces. &amp; De Not. </t>
  </si>
  <si>
    <t>Psathyrella artemisiae (Pass.) Konr. &amp; Maubl.</t>
  </si>
  <si>
    <t>Suillellus queletii (Schulzer) Vizzini, Simonini &amp; Gelardi</t>
  </si>
  <si>
    <t>Bolet de Quélet</t>
  </si>
  <si>
    <t xml:space="preserve">Pilobolus crystallinus (F.H. Wigg.) Tode </t>
  </si>
  <si>
    <t>Oidium carpini Foitzik</t>
  </si>
  <si>
    <t>Mycena pura f. lutea (Gill.) Kühn.</t>
  </si>
  <si>
    <t>Mycène pure forme jaune</t>
  </si>
  <si>
    <t>Pluteus insidiosus Vellinga &amp; Schreurs</t>
  </si>
  <si>
    <t>Russula aciculocystis Kauffman ex Bills &amp; O.K. Mill.</t>
  </si>
  <si>
    <t>Tubaria ferruginea Horak &amp; P.-A. Moreau</t>
  </si>
  <si>
    <t>Tubaire ferrugineux</t>
  </si>
  <si>
    <t>Melanohalea exasperata (DeNot.) O.Blanco, A.Crespo, Divakar, Essl., D.Hawksw.et Lumbsch</t>
  </si>
  <si>
    <t>Ramalina fraxinea (L.) Ach.</t>
  </si>
  <si>
    <t>Phellinus ferrugineofuscus (P. Karsten) Bourdot</t>
  </si>
  <si>
    <t>Polypore ferrugineux des conifères</t>
  </si>
  <si>
    <t>Peziza brunneoatrata Desm.</t>
  </si>
  <si>
    <t>Pézize brune et noire</t>
  </si>
  <si>
    <t xml:space="preserve">Postia alni Niemelä &amp; Vampola </t>
  </si>
  <si>
    <t>Polypore de l'aulne</t>
  </si>
  <si>
    <t>Russula terenopus Romagnesi</t>
  </si>
  <si>
    <t>Russule à pied fragile</t>
  </si>
  <si>
    <t>Mycosphaerella bubakii Aptroot</t>
  </si>
  <si>
    <t xml:space="preserve">Peziza dissingii Van Vooren &amp; Moyne </t>
  </si>
  <si>
    <t>Tricholoma triste (Scop. : Fr.) Quélet</t>
  </si>
  <si>
    <t>Podosphaera spiraeae (Sawada) U. Braun &amp; S. Takam.</t>
  </si>
  <si>
    <t xml:space="preserve">Puccinia laschii Lagerh. </t>
  </si>
  <si>
    <t>1001789 - 33392 - 520075</t>
  </si>
  <si>
    <t>44527 - 44528 - 519170 - 1001853 - 44526 - 519168</t>
  </si>
  <si>
    <t>510829 - 510829 - 462955</t>
  </si>
  <si>
    <t>42115 - 42123 - 511733 - 42125 - 1002350 - 42115 - 42122 - 511730 - 971758 - 33061 - 511731 - 511732</t>
  </si>
  <si>
    <t>Cyphelle des mousses</t>
  </si>
  <si>
    <t>515665 - 1002365 - 31106 - 515666 - 31105</t>
  </si>
  <si>
    <t>Mycène adonis, Mycène jolie</t>
  </si>
  <si>
    <t>878763 - 1002420 - 49087 - 49086</t>
  </si>
  <si>
    <t>49163 - 879029 - 1002421 - 49161 - 879028</t>
  </si>
  <si>
    <t>869542 - 49258 - 1002425 - 877871 - 868765 - 877872</t>
  </si>
  <si>
    <t>41665 - 509059 - 41665 - 509065 - 509064 - 509062 - 509060 - 1003483 - 509061</t>
  </si>
  <si>
    <t>517562 - 517560 - 1003493 - 34298 - 517557 - 517558 - 34297 - 37070 - 1003494 - 517556 - 37069 - 517561 - 34295 - 34294 - 517563 - 34296 - 464860 - 517559</t>
  </si>
  <si>
    <t>31048 - 31049 - 31050 - 464341 - 31476 - 31477 - 1003495 - 515250 - 515251</t>
  </si>
  <si>
    <t>509820 - 509822 - 1003497 - 31952 - 509821 - 509819</t>
  </si>
  <si>
    <t>874544 - 874544</t>
  </si>
  <si>
    <t>42977 - 42977 - 513651 - 42979 - 1005957 - 42978</t>
  </si>
  <si>
    <t>43926 - 516593 - 516592 - 1005958</t>
  </si>
  <si>
    <t>37254 - 37254</t>
  </si>
  <si>
    <t>Coprin à spores en cœur</t>
  </si>
  <si>
    <t>37335 - 37335</t>
  </si>
  <si>
    <t>Coprin de Patouillard</t>
  </si>
  <si>
    <t>41681 - 509078 - 509077 - 973620 - 41681 - 1006020 - 509079</t>
  </si>
  <si>
    <t>517347 - 517348 - 37444 - 517349 - 1006145</t>
  </si>
  <si>
    <t>1006350 - 41071 - 463659 - 41069 - 41070</t>
  </si>
  <si>
    <t>Clavaire noircissante</t>
  </si>
  <si>
    <t>469427 - 469427</t>
  </si>
  <si>
    <t>43118 - 995012 - 1009703 - 43119 - 469845 - 514062 - 43120 - 43118 - 514060 - 1009706 - 514064 - 469844 - 43121 - 514063 - 514061</t>
  </si>
  <si>
    <t>Polypore radié</t>
  </si>
  <si>
    <t>862488 - 862488</t>
  </si>
  <si>
    <t>862405 - 862405 - 1010518 - 804166</t>
  </si>
  <si>
    <t>878387 - 878387</t>
  </si>
  <si>
    <t>469298 - 1010998 - 469298 - 34683 - 34684 - 510457</t>
  </si>
  <si>
    <t>34681 - 34685 - 34681 - 469300 - 469296 - 469295 - 34969 - 34682 - 469294 - 469299 - 510460 - 1010999 - 469301 - 469297 - 510459 - 35493</t>
  </si>
  <si>
    <t>Cortinaire jaune crème</t>
  </si>
  <si>
    <t>Cortinaire odorant ou Cortinaire anisé</t>
  </si>
  <si>
    <t>35540 - 35540 - 973700 - 511247 - 973698 - 35541 - 974370 - 511243 - 511245 - 511244 - 511248 - 973699 - 973701 - 1011004 - 35545 - 511242 - 35544 - 35543 - 521009 - 511246 - 1011005</t>
  </si>
  <si>
    <t>Cortinaire roux olive</t>
  </si>
  <si>
    <t>Cortinaire pied-bot</t>
  </si>
  <si>
    <t>35029 - 510853 - 510481 - 510850 - 1011402 - 35031 - 35029 - 510852 - 510851</t>
  </si>
  <si>
    <t>35590 - 35590</t>
  </si>
  <si>
    <t>855601 - 855601</t>
  </si>
  <si>
    <t>35481 - 35481</t>
  </si>
  <si>
    <t>Cortinaire pourpré</t>
  </si>
  <si>
    <t>29886 - 519477 - 29887 - 29888 - 519478 - 519479 - 470250 - 1013575</t>
  </si>
  <si>
    <t>515145 - 515144 - 515143 - 31088 - 515150 - 31087 - 515148 - 31085 - 1015036 - 464282 - 515147 - 515146 - 515145 - 510027 - 515149</t>
  </si>
  <si>
    <t>Marasme fétide</t>
  </si>
  <si>
    <t>509560 - 509560</t>
  </si>
  <si>
    <t>59499 - 666678 - 664791 - 59486 - 59499 - 977777 - 977779 - 667541 - 1015126</t>
  </si>
  <si>
    <t>877764 - 877765 - 49211 - 1016588</t>
  </si>
  <si>
    <t>42890 - 513606 - 513604 - 42890 - 42892 - 513605 - 42893 - 1017721 - 42891</t>
  </si>
  <si>
    <t>17783 - 17783</t>
  </si>
  <si>
    <t>34315 - 516083 - 29120 - 34313 - 516081 - 516082 - 516080 - 34312</t>
  </si>
  <si>
    <t>Pleurote lignicole</t>
  </si>
  <si>
    <t>993935 - 516794 - 29227 - 516792 - 993948 - 993947 - 516793</t>
  </si>
  <si>
    <t>29257 - 517976 - 517978 - 517977 - 517975 - 517979</t>
  </si>
  <si>
    <t>518046 - 518048 - 29258 - 518052 - 518051 - 518047 - 518049 - 518050</t>
  </si>
  <si>
    <t>974827 - 29280 - 29281 - 29279</t>
  </si>
  <si>
    <t>29292 - 974828 - 29291 - 29293 - 515427 - 515426</t>
  </si>
  <si>
    <t>29301 - 515430 - 29300 - 29299</t>
  </si>
  <si>
    <t>29322 - 520451 - 520450</t>
  </si>
  <si>
    <t>29336 - 508772 - 29338 - 29341 - 29666 - 29337 - 508774 - 29667 - 508773 - 508775 - 29340 - 29336 - 971718</t>
  </si>
  <si>
    <t>Bolet cramoisi</t>
  </si>
  <si>
    <t>29347 - 29347</t>
  </si>
  <si>
    <t>Bolet à pied creux forme dorée</t>
  </si>
  <si>
    <t>29357 - 508929 - 508933 - 508931 - 508934 - 508928 - 508932 - 29357</t>
  </si>
  <si>
    <t>Cèpe bronzé, Tête de nègre</t>
  </si>
  <si>
    <t>29362 - 29362 - 508935 - 508936 - 29360 - 508938 - 508937 - 29361 - 508930</t>
  </si>
  <si>
    <t>Cèpe d'été ou Bolet réticulé</t>
  </si>
  <si>
    <t>29388 - 508954 - 29388 - 508951 - 508959 - 508953 - 508957 - 29369 - 508955 - 29389 - 508956 - 29368 - 976746 - 508958 - 508952 - 508962 - 508961 - 29391 - 508960</t>
  </si>
  <si>
    <t>Cèpe de Bordeaux, Cèpe du Périgord</t>
  </si>
  <si>
    <t>29435 - 29435 - 29433 - 508963</t>
  </si>
  <si>
    <t>Cèpe blanc</t>
  </si>
  <si>
    <t>29436 - 29436 - 971727 - 29438 - 509006</t>
  </si>
  <si>
    <t>Cèpe des pins</t>
  </si>
  <si>
    <t>29503 - 29509 - 509471 - 509472 - 29506 - 29504 - 29503 - 29505 - 509473 - 29516 - 509470 - 29510 - 29517</t>
  </si>
  <si>
    <t>Bolet nain</t>
  </si>
  <si>
    <t>29512 - 509476 - 509477 - 29515 - 29513 - 509478 - 29512 - 509475 - 29514</t>
  </si>
  <si>
    <t>Bolet poivré</t>
  </si>
  <si>
    <t>29523 - 29356 - 29524 - 512956 - 512959 - 512960 - 512958 - 512957 - 29523 - 512955 - 512954 - 29525</t>
  </si>
  <si>
    <t>Bolet livide</t>
  </si>
  <si>
    <t>29528 - 29531 - 512967 - 512970 - 512968 - 512969 - 512966 - 29530 - 29528</t>
  </si>
  <si>
    <t>Bolet châtain</t>
  </si>
  <si>
    <t>29541 - 514385 - 29541 - 514384 - 29543 - 514383 - 29542</t>
  </si>
  <si>
    <t>Bolet noisette</t>
  </si>
  <si>
    <t>29545 - 514391 - 29429 - 514475 - 514398 - 29612 - 514392 - 975676 - 514397 - 514395 - 29548 - 29545 - 514474 - 514473 - 514393 - 29546 - 29614 - 29547 - 975674 - 514394</t>
  </si>
  <si>
    <t>Bolet orangé</t>
  </si>
  <si>
    <t>973089 - 29552</t>
  </si>
  <si>
    <t>Bolet rude gris-brun</t>
  </si>
  <si>
    <t>Bolet rude gris-brun f. verdâtre</t>
  </si>
  <si>
    <t>29554 - 29554</t>
  </si>
  <si>
    <t>Bolet rude gris-brun var du bouleau pubscent</t>
  </si>
  <si>
    <t>514431 - 29570 - 29572 - 514424 - 514423 - 514427 - 514431 - 514432 - 29569 - 514421 - 514422 - 514420 - 514425 - 514429 - 514430 - 514428 - 514426</t>
  </si>
  <si>
    <t>Bolet craquelé</t>
  </si>
  <si>
    <t>Bolet rude blanc à base bleue</t>
  </si>
  <si>
    <t>514434 - 514439 - 514433 - 514435 - 514438 - 514437 - 514436 - 29577 - 29578 - 971726</t>
  </si>
  <si>
    <t>Bolet rude des trembles</t>
  </si>
  <si>
    <t>29585 - 29583 - 514461 - 514455 - 514459 - 514458 - 514456 - 29584 - 514460 - 514457</t>
  </si>
  <si>
    <t>Bolet blanc des marais</t>
  </si>
  <si>
    <t>29595 - 29597</t>
  </si>
  <si>
    <t>Bolet rude couleur de noix</t>
  </si>
  <si>
    <t>514476 - 29617 - 29618</t>
  </si>
  <si>
    <t>Bolet rude à chair rose</t>
  </si>
  <si>
    <t>514488 - 29631 - 514489 - 29633 - 29628 - 514490 - 29632</t>
  </si>
  <si>
    <t>Bolet rude</t>
  </si>
  <si>
    <t>517173 - 517179 - 29662 - 517175 - 517174 - 517176 - 517177 - 975119 - 29660 - 517178</t>
  </si>
  <si>
    <t>Bolet porphyre</t>
  </si>
  <si>
    <t>519261 - 519262 - 29678 - 519264 - 29680 - 29682 - 29679 - 519263</t>
  </si>
  <si>
    <t>29705 - 519390 - 519391 - 519389 - 519392 - 519393 - 29704</t>
  </si>
  <si>
    <t>29708 - 519395 - 519394 - 29709 - 519398 - 519396 - 29711 - 519400 - 519399 - 519397</t>
  </si>
  <si>
    <t>976741 - 519402 - 519408 - 519403 - 519407 - 976738 - 519404 - 519405 - 29714 - 519401 - 29712 - 519406 - 976740 - 29715 - 519409</t>
  </si>
  <si>
    <t>Bolet granuleux</t>
  </si>
  <si>
    <t>971724 - 988083 - 519414 - 519418 - 519420 - 519421 - 519416 - 29736 - 519417 - 29720 - 519415 - 29722 - 988084 - 519413 - 519419</t>
  </si>
  <si>
    <t>519423 - 29729 - 29192 - 29731 - 29730</t>
  </si>
  <si>
    <t>29742 - 519430 - 519427 - 519428 - 519431 - 29739 - 976736 - 519432 - 519433 - 519434 - 976735 - 976737 - 29740 - 29741 - 519429</t>
  </si>
  <si>
    <t>Bolet ivoire</t>
  </si>
  <si>
    <t>519441 - 29753 - 519440 - 29751</t>
  </si>
  <si>
    <t>Bolet du trentin</t>
  </si>
  <si>
    <t>29757 - 29756 - 519443 - 519444 - 29755 - 519445 - 519442 - 29758</t>
  </si>
  <si>
    <t>519452 - 29762 - 519453 - 519447 - 519451 - 519448 - 29761 - 29759 - 29760 - 519450 - 29700 - 519449 - 519454</t>
  </si>
  <si>
    <t>Bolet gris des mélèzes</t>
  </si>
  <si>
    <t>29794 - 520755 - 520754 - 29800 - 35840 - 29792 - 29799 - 29791 - 520756 - 520757</t>
  </si>
  <si>
    <t>29834 - 29831 - 520791 - 520792 - 520793 - 520794</t>
  </si>
  <si>
    <t>Bolet subtomenteux</t>
  </si>
  <si>
    <t>29846 - 29846</t>
  </si>
  <si>
    <t>Gomphide helvétique</t>
  </si>
  <si>
    <t>29848 - 509531 - 29850 - 29859 - 509532 - 509533 - 972066 - 509530 - 29848 - 509529</t>
  </si>
  <si>
    <t>Gomphide visqueux</t>
  </si>
  <si>
    <t>29852 - 29852</t>
  </si>
  <si>
    <t>29858 - 512866 - 29860 - 29858 - 512865</t>
  </si>
  <si>
    <t>Gomphide glutineux</t>
  </si>
  <si>
    <t>29861 - 29861</t>
  </si>
  <si>
    <t>Gomphide gracile</t>
  </si>
  <si>
    <t>29867 - 29867 - 29868 - 974490</t>
  </si>
  <si>
    <t>Gomphide tacheté</t>
  </si>
  <si>
    <t>512873 - 29871 - 512872 - 512871 - 29869 - 512870</t>
  </si>
  <si>
    <t>Gomphide rose</t>
  </si>
  <si>
    <t>516195 - 516194 - 29879</t>
  </si>
  <si>
    <t>Paxille enroulé, Paxille à bords enroulés, Paxille involuté, Bolet à lamelles, Chanterelle brune</t>
  </si>
  <si>
    <t>29891 - 930428 - 29892 - 29893</t>
  </si>
  <si>
    <t>29898 - 516880 - 516879 - 516884 - 516878 - 516876 - 516882 - 29899 - 516877 - 516883 - 516881 - 516875 - 29896</t>
  </si>
  <si>
    <t>Phyllopore d'europe</t>
  </si>
  <si>
    <t>29904 - 509299 - 509298 - 509295 - 29905 - 509297 - 29904 - 29906 - 509296</t>
  </si>
  <si>
    <t>Girolle</t>
  </si>
  <si>
    <t>29908 - 29907 - 509294 - 469202 - 29908</t>
  </si>
  <si>
    <t>Chanterelle améthyste</t>
  </si>
  <si>
    <t>29918 - 29918 - 509303 - 29917</t>
  </si>
  <si>
    <t>Chanterelle ferrugineuse</t>
  </si>
  <si>
    <t>29920 - 509304 - 29920 - 509305</t>
  </si>
  <si>
    <t>Girolle abricot</t>
  </si>
  <si>
    <t>29924 - 29924 - 29923</t>
  </si>
  <si>
    <t>Trompette jaune</t>
  </si>
  <si>
    <t>29937 - 29938 - 29937 - 29939 - 511514</t>
  </si>
  <si>
    <t>Trompette des morts</t>
  </si>
  <si>
    <t>29941 - 512876 - 512875 - 29942 - 29941 - 512877 - 29944</t>
  </si>
  <si>
    <t>Chanterelle violette</t>
  </si>
  <si>
    <t>29963 - 29962 - 511513 - 29965 - 29963 - 29961</t>
  </si>
  <si>
    <t>Chanterelle cendrée</t>
  </si>
  <si>
    <t>29971 - 511530 - 511529 - 511527 - 29971 - 511528 - 29970 - 29972 - 511526 - 29969 - 511524 - 511525</t>
  </si>
  <si>
    <t>Chanterelle sinueuse</t>
  </si>
  <si>
    <t>29986 - 511644 - 30083 - 511647 - 511645 - 511650 - 29986 - 511646 - 511648 - 972474 - 511649</t>
  </si>
  <si>
    <t>Hygrophore de Berkeley</t>
  </si>
  <si>
    <t>29989 - 511654 - 29989 - 29991 - 29990 - 994193</t>
  </si>
  <si>
    <t>29994 - 29994</t>
  </si>
  <si>
    <t>Hygrophore cendré</t>
  </si>
  <si>
    <t>29998 - 30055 - 29999 - 511658 - 30000 - 29998</t>
  </si>
  <si>
    <t>30002 - 511659 - 511661 - 511660 - 30003 - 30004 - 30002</t>
  </si>
  <si>
    <t>Hygrophore à pied jaune</t>
  </si>
  <si>
    <t>30007 - 511665 - 30006 - 972481 - 511664 - 511663 - 511662 - 30010 - 30008</t>
  </si>
  <si>
    <t>Hygrophore roussissant</t>
  </si>
  <si>
    <t>30017 - 30020 - 30005 - 30018 - 511670 - 511669 - 30019 - 30017 - 974213 - 511668 - 511667</t>
  </si>
  <si>
    <t>Hygrophore gris-violacé</t>
  </si>
  <si>
    <t>511683 - 511682 - 30033 - 511680 - 511681</t>
  </si>
  <si>
    <t>Hygrophore ocre pâle</t>
  </si>
  <si>
    <t>30034 - 511684 - 511685 - 511686 - 30269 - 511687 - 30037 - 30035 - 30034</t>
  </si>
  <si>
    <t>Hygrophore des prés</t>
  </si>
  <si>
    <t>30038 - 30038 - 511692 - 511691 - 30039 - 511690</t>
  </si>
  <si>
    <t>30042 - 511694 - 30040 - 30051 - 30049 - 30042 - 511693 - 30052 - 30050</t>
  </si>
  <si>
    <t>511696 - 30045 - 30047 - 511696 - 30307 - 30046</t>
  </si>
  <si>
    <t>Hygrophore à odeur de cuir de Russie</t>
  </si>
  <si>
    <t>30025 - 30025 - 30061 - 511676 - 30028 - 30029 - 30240 - 974393 - 511677 - 511698 - 511678 - 511699 - 30059 - 974392 - 30058 - 30026</t>
  </si>
  <si>
    <t>Hygrophore blanc de neige</t>
  </si>
  <si>
    <t>30065 - 30065</t>
  </si>
  <si>
    <t>30071 - 513369 - 30071 - 30072</t>
  </si>
  <si>
    <t>30074 - 30074</t>
  </si>
  <si>
    <t>Hygrophore immuable</t>
  </si>
  <si>
    <t>30078 - 30079 - 30078 - 30080</t>
  </si>
  <si>
    <t>Hygrocybe orangé splendide</t>
  </si>
  <si>
    <t>30091 - 30091 - 513372 - 513371 - 30093</t>
  </si>
  <si>
    <t>Hygrophore calcicole</t>
  </si>
  <si>
    <t>30102 - 30258 - 973751 - 513383 - 513382 - 30102 - 513384 - 30103</t>
  </si>
  <si>
    <t>Hygrophore cireux</t>
  </si>
  <si>
    <t>30104 - 30104 - 30106</t>
  </si>
  <si>
    <t>30111 - 513386 - 513387 - 30112 - 30111</t>
  </si>
  <si>
    <t>Hygrophore verdâtre</t>
  </si>
  <si>
    <t>30114 - 513388 - 30114 - 30113</t>
  </si>
  <si>
    <t>Hygrophore verdâtre variété orangée</t>
  </si>
  <si>
    <t>30115 - 30115</t>
  </si>
  <si>
    <t>Hygrophore à lames cendrée</t>
  </si>
  <si>
    <t>30117 - 513389 - 30116 - 30342 - 30118</t>
  </si>
  <si>
    <t>Hygrophore citrin</t>
  </si>
  <si>
    <t>30122 - 30124 - 30122 - 30125 - 30123 - 513390</t>
  </si>
  <si>
    <t>Hygrophore jaune et vert</t>
  </si>
  <si>
    <t>30126 - 30127 - 513391 - 30126 - 513392 - 30223</t>
  </si>
  <si>
    <t>Hygrophore cocciné</t>
  </si>
  <si>
    <t>30129 - 30129</t>
  </si>
  <si>
    <t>Hygrophore écarlate var mamelonnée</t>
  </si>
  <si>
    <t>30130 - 513393 - 30132 - 30227 - 30130 - 30131</t>
  </si>
  <si>
    <t>Hygrophore à marge crénelée</t>
  </si>
  <si>
    <t>30136 - 513395 - 30305 - 969594 - 994191 - 30136 - 804816 - 30137 - 513394 - 438088</t>
  </si>
  <si>
    <t>Hygrophore conique</t>
  </si>
  <si>
    <t>30139 - 513396 - 30141 - 30142 - 30138 - 30139</t>
  </si>
  <si>
    <t>Hygrocybe conique variété glauque</t>
  </si>
  <si>
    <t>30151 - 30153 - 30151 - 513400</t>
  </si>
  <si>
    <t>30158 - 30160 - 30158 - 513402</t>
  </si>
  <si>
    <t>Hygrophore jaunâtre</t>
  </si>
  <si>
    <t>30162 - 513404 - 30164 - 513403 - 30157 - 30162</t>
  </si>
  <si>
    <t>30170 - 30171 - 513409 - 30250 - 30172 - 30170 - 513410</t>
  </si>
  <si>
    <t>Hygrophore à pied glutineux</t>
  </si>
  <si>
    <t>30174 - 30174</t>
  </si>
  <si>
    <t>30178 - 30235 - 30180 - 30234 - 30178</t>
  </si>
  <si>
    <t>Hygrophore à odeur désagréable</t>
  </si>
  <si>
    <t>30181 - 972483 - 30182 - 30184 - 30183 - 972484 - 30181</t>
  </si>
  <si>
    <t>Hygrophore insipide</t>
  </si>
  <si>
    <t>30185 - 30187 - 30186 - 30185 - 513412</t>
  </si>
  <si>
    <t>Hygrophore intermédiaire</t>
  </si>
  <si>
    <t>30192 - 30194 - 513414 - 30195 - 30192</t>
  </si>
  <si>
    <t>Hygrophore de Konrad</t>
  </si>
  <si>
    <t>513417 - 30200 - 513417 - 513416 - 30198</t>
  </si>
  <si>
    <t>Hygrophore plaisant</t>
  </si>
  <si>
    <t>30206 - 30206</t>
  </si>
  <si>
    <t>30208 - 902962</t>
  </si>
  <si>
    <t>30213 - 30215 - 30213 - 513381 - 30212 - 513380 - 30214 - 513379</t>
  </si>
  <si>
    <t>Hygrophore joli ou Hygrohore chanterelle</t>
  </si>
  <si>
    <t>30216 - 513424 - 30217 - 30216</t>
  </si>
  <si>
    <t>Hygrophore de March</t>
  </si>
  <si>
    <t>30222 - 30222 - 513426 - 30128 - 513425</t>
  </si>
  <si>
    <t>Hygrophore vermillon</t>
  </si>
  <si>
    <t>30229 - 30229</t>
  </si>
  <si>
    <t>Hygrophore minuscule</t>
  </si>
  <si>
    <t>30226 - 30226</t>
  </si>
  <si>
    <t>Hygrophore vermillon variété jaune.</t>
  </si>
  <si>
    <t>30232 - 30233 - 30232</t>
  </si>
  <si>
    <t>30237 - 513479 - 513478 - 513474 - 513476 - 513477 - 513475 - 30239 - 30236</t>
  </si>
  <si>
    <t>30242 - 513433 - 513431 - 30243 - 513432 - 30245 - 30242</t>
  </si>
  <si>
    <t>Hygrophore jaune d'or</t>
  </si>
  <si>
    <t>Hygrocybe d'Orton</t>
  </si>
  <si>
    <t>513435 - 30252 - 30253 - 30254</t>
  </si>
  <si>
    <t>513436 - 513436 - 30255 - 30257</t>
  </si>
  <si>
    <t>30260 - 30260</t>
  </si>
  <si>
    <t>513440 - 513439 - 30263 - 30264 - 513441 - 30311 - 30310 - 513440 - 30262</t>
  </si>
  <si>
    <t>Hygrophopre pelure d'oignon</t>
  </si>
  <si>
    <t>30265 - 30266 - 969595 - 30265</t>
  </si>
  <si>
    <t>30270 - 513444 - 30270 - 513445</t>
  </si>
  <si>
    <t>Hygrophore faux "conica"</t>
  </si>
  <si>
    <t>30280 - 30284 - 513449 - 513450 - 30280 - 30283 - 30282</t>
  </si>
  <si>
    <t>Hygrophore perroquet</t>
  </si>
  <si>
    <t>30286 - 30286 - 30290 - 30289 - 30287 - 513452 - 513451</t>
  </si>
  <si>
    <t>Hygrocybe ponceau</t>
  </si>
  <si>
    <t>30291 - 513453 - 30291 - 30294</t>
  </si>
  <si>
    <t>Hygrophore tranquille</t>
  </si>
  <si>
    <t>30295 - 30295 - 513455 - 30298 - 513454</t>
  </si>
  <si>
    <t>30300 - 30300 - 30302 - 30301</t>
  </si>
  <si>
    <t>Hygrophore de Reid</t>
  </si>
  <si>
    <t>30303 - 30303</t>
  </si>
  <si>
    <t>30306 - 30306 - 30147 - 30148 - 513457</t>
  </si>
  <si>
    <t>30312 - 513458 - 30313 - 30314 - 30312</t>
  </si>
  <si>
    <t>Hygrophore brun de date</t>
  </si>
  <si>
    <t>30315 - 30315 - 513459 - 30316 - 30317</t>
  </si>
  <si>
    <t>Hygrocybe splendidissime</t>
  </si>
  <si>
    <t>30322 - 30324 - 513461 - 30322</t>
  </si>
  <si>
    <t>Hygrophore à spores presque globuleuses</t>
  </si>
  <si>
    <t>30325 - 30325</t>
  </si>
  <si>
    <t>30330 - 30330 - 30134 - 513466 - 513467 - 513464 - 30331 - 513468 - 513465</t>
  </si>
  <si>
    <t>30333 - 30335 - 513470 - 30333 - 513469</t>
  </si>
  <si>
    <t>513472 - 513472 - 30339 - 513471 - 513473 - 30336</t>
  </si>
  <si>
    <t>Hygrophore englué</t>
  </si>
  <si>
    <t>30345 - 30345 - 513493 - 513492 - 30347</t>
  </si>
  <si>
    <t>Hygrophore à odeur agréable</t>
  </si>
  <si>
    <t>30348 - 30348 - 513495</t>
  </si>
  <si>
    <t>Hygrophore à odeur agréable variété à flocons dorés</t>
  </si>
  <si>
    <t>30349 - 30349 - 30350</t>
  </si>
  <si>
    <t>30352 - 30352 - 513496</t>
  </si>
  <si>
    <t>Hygrophore noirâtre</t>
  </si>
  <si>
    <t>30355 - 30355</t>
  </si>
  <si>
    <t>Hygrophore doré</t>
  </si>
  <si>
    <t>30359 - 30359</t>
  </si>
  <si>
    <t>Hygrophore de Bresadola</t>
  </si>
  <si>
    <t>30361 - 30361</t>
  </si>
  <si>
    <t>30364 - 30365 - 30367 - 513501 - 30366 - 30436 - 30364</t>
  </si>
  <si>
    <t>Hygrophore des chèvres</t>
  </si>
  <si>
    <t>30368 - 513502 - 30368</t>
  </si>
  <si>
    <t>Hygrophore des chevreuils</t>
  </si>
  <si>
    <t>30372 - 30374 - 513504 - 30372</t>
  </si>
  <si>
    <t>Hygrophore à dents d'or</t>
  </si>
  <si>
    <t>30375 - 30378 - 513506 - 30377 - 30375 - 513507 - 30379</t>
  </si>
  <si>
    <t>Hygrophore à odeur de cossus</t>
  </si>
  <si>
    <t>30381 - 30382 - 513510 - 30381 - 30383</t>
  </si>
  <si>
    <t>Hygrophore discoïde</t>
  </si>
  <si>
    <t>30384 - 30385 - 30386 - 513511 - 30384 - 513512</t>
  </si>
  <si>
    <t>Hygrophore à disque jaune</t>
  </si>
  <si>
    <t>30389 - 994183 - 513514 - 30389 - 513513 - 30391</t>
  </si>
  <si>
    <t>Hygrophore blanc d'ivoire</t>
  </si>
  <si>
    <t>30392 - 30392 - 30394 - 513515</t>
  </si>
  <si>
    <t>Hygrophore rougissant</t>
  </si>
  <si>
    <t>30395 - 30395</t>
  </si>
  <si>
    <t>Hygrophore rougissant variété couleur de pêche</t>
  </si>
  <si>
    <t>30397 - 30397</t>
  </si>
  <si>
    <t>Hygrophore des hêtres</t>
  </si>
  <si>
    <t>30400 - 513517 - 30400 - 513516</t>
  </si>
  <si>
    <t>Hygrophore blanc et sombre</t>
  </si>
  <si>
    <t>30401 - 30401</t>
  </si>
  <si>
    <t>Hygrophore à cercle muqueux</t>
  </si>
  <si>
    <t>30404 - 30405 - 30404</t>
  </si>
  <si>
    <t>Hygrophore à odeur de jacinthe</t>
  </si>
  <si>
    <t>30406 - 30406 - 30408 - 513519</t>
  </si>
  <si>
    <t>Hygrophore à lames jaune soufre</t>
  </si>
  <si>
    <t>30412 - 30413 - 30412</t>
  </si>
  <si>
    <t>Hygrophore de karsten variété du Vatican</t>
  </si>
  <si>
    <t>30414 - 30414</t>
  </si>
  <si>
    <t>Hygrophore de Korhonen</t>
  </si>
  <si>
    <t>30423 - 30423 - 513523 - 30424</t>
  </si>
  <si>
    <t>Hygrophore blanc noirâtre</t>
  </si>
  <si>
    <t>30426 - 513524 - 30426 - 30427</t>
  </si>
  <si>
    <t>30428 - 30428</t>
  </si>
  <si>
    <t>Hygrophore de Lindtner</t>
  </si>
  <si>
    <t>30429 - 30430 - 30429</t>
  </si>
  <si>
    <t>Hygrophore des charmes</t>
  </si>
  <si>
    <t>30432 - 30432 - 30433</t>
  </si>
  <si>
    <t>Hygrophore du mélèze</t>
  </si>
  <si>
    <t>30435 - 513528 - 513526 - 30437 - 30435 - 513527 - 513525</t>
  </si>
  <si>
    <t>Hygrophore de mars</t>
  </si>
  <si>
    <t>30441 - 30441</t>
  </si>
  <si>
    <t>Hygrophorus blanc ivoire forme à pied carné</t>
  </si>
  <si>
    <t>30443 - 30443 - 513518</t>
  </si>
  <si>
    <t>Hygrophore de Hedrych ou Hygrophore des bouleaux</t>
  </si>
  <si>
    <t>30444 - 30444 - 30445</t>
  </si>
  <si>
    <t>Hygrophore à centre sombre</t>
  </si>
  <si>
    <t>30447 - 30449 - 30447 - 513530 - 513529</t>
  </si>
  <si>
    <t>Hygrophore des bois</t>
  </si>
  <si>
    <t>30450 - 30450</t>
  </si>
  <si>
    <t>Hygrophore des bois variété grêle</t>
  </si>
  <si>
    <t>30452 - 30452 - 513531 - 30454</t>
  </si>
  <si>
    <t>Hygrophore olivacé et blanc</t>
  </si>
  <si>
    <t>30455 - 30455</t>
  </si>
  <si>
    <t>Hygrophore olivacé et blanc forme grêle</t>
  </si>
  <si>
    <t>30457 - 30459 - 30457</t>
  </si>
  <si>
    <t>Hygrophore de l'office</t>
  </si>
  <si>
    <t>30460 - 30461</t>
  </si>
  <si>
    <t>30462 - 972480 - 30462</t>
  </si>
  <si>
    <t>Hygrophore bicolore</t>
  </si>
  <si>
    <t>30468 - 30468</t>
  </si>
  <si>
    <t>Hygrophore de l'épicéa</t>
  </si>
  <si>
    <t>30471 - 30471</t>
  </si>
  <si>
    <t>Hygrophore des poètes</t>
  </si>
  <si>
    <t>Hygrophore pudibond</t>
  </si>
  <si>
    <t>30484 - 30486 - 30485 - 34167 - 513538 - 30484</t>
  </si>
  <si>
    <t xml:space="preserve">Hygrophore se tachant de pourpre. </t>
  </si>
  <si>
    <t>30487 - 30487 - 513539 - 513540</t>
  </si>
  <si>
    <t>Hycrophore pustuleux</t>
  </si>
  <si>
    <t>30496 - 513543 - 513542 - 30497 - 30496</t>
  </si>
  <si>
    <t>Hygrophore russule</t>
  </si>
  <si>
    <t>30506 - 30507 - 513546 - 30506</t>
  </si>
  <si>
    <t>Hygrophore blanc-cendré</t>
  </si>
  <si>
    <t>30508 - 30508</t>
  </si>
  <si>
    <t>Hygrophore unicolor</t>
  </si>
  <si>
    <t>30533 - 509268 - 509267 - 30535 - 30533 - 30534 - 30532 - 509266</t>
  </si>
  <si>
    <t>Camarophyllopsis dédié à Schulzer</t>
  </si>
  <si>
    <t>30538 - 508811 - 508816 - 508809 - 30539 - 508808 - 508812 - 508814 - 30542 - 508807 - 30538 - 508806 - 508810 - 508813 - 508817 - 508815</t>
  </si>
  <si>
    <t>Collybie queue de souris</t>
  </si>
  <si>
    <t>30544 - 508818 - 30545 - 508819 - 30546 - 30547 - 30544</t>
  </si>
  <si>
    <t>Collybie à lames très serrées</t>
  </si>
  <si>
    <t>30549 - 974001 - 974003 - 30549 - 974002</t>
  </si>
  <si>
    <t>30557 - 30557 - 509175 - 974005 - 509174 - 509173 - 509171 - 509172 - 30559 - 30558</t>
  </si>
  <si>
    <t>Collybie à lames jaunes</t>
  </si>
  <si>
    <t>30562 - 30562</t>
  </si>
  <si>
    <t>Clitocybe fasciculé</t>
  </si>
  <si>
    <t>30590 - 926385 - 30590 - 972023 - 509957 - 509955 - 509954 - 509953 - 509956</t>
  </si>
  <si>
    <t>Collybie mycophage</t>
  </si>
  <si>
    <t>509961 - 30642 - 509960 - 509964 - 509962 - 509958 - 30644 - 509963 - 509961 - 30595 - 30593 - 509959 - 30594 - 30641 - 974110 - 994179</t>
  </si>
  <si>
    <t>Collybie en touffes ou Collybie confluente</t>
  </si>
  <si>
    <t>509966 - 509967 - 509965 - 30599 - 509968 - 30597 - 30598</t>
  </si>
  <si>
    <t>Collybie à sclérote jaune</t>
  </si>
  <si>
    <t>509971 - 30608 - 509972 - 509969 - 509970 - 509971 - 30606</t>
  </si>
  <si>
    <t>Collybie des chênes</t>
  </si>
  <si>
    <t>509940 - 509942 - 509943 - 509939 - 509940 - 509941 - 30609 - 30610</t>
  </si>
  <si>
    <t>Collybie aqueuse</t>
  </si>
  <si>
    <t>510033 - 510032 - 510030 - 510031 - 30612 - 510034 - 30614 - 30611</t>
  </si>
  <si>
    <t>510050 - 510048 - 510049 - 510046 - 510047 - 30613 - 510045</t>
  </si>
  <si>
    <t>Collybie ambrée</t>
  </si>
  <si>
    <t>30617 - 974044 - 30617</t>
  </si>
  <si>
    <t>Collybie exubérante</t>
  </si>
  <si>
    <t>30623 - 30579 - 509992 - 30580 - 30623 - 30578 - 30577 - 509993 - 509994</t>
  </si>
  <si>
    <t>Collybie pourprée</t>
  </si>
  <si>
    <t>510007 - 509999 - 510002 - 509997 - 510004 - 994178 - 30627 - 510008 - 30600 - 509995 - 510007 - 510000 - 510003 - 509996 - 510001 - 510005 - 510006 - 509998 - 994177 - 30626</t>
  </si>
  <si>
    <t>Souchette</t>
  </si>
  <si>
    <t>510015 - 510015 - 30632 - 30631 - 510016 - 510014</t>
  </si>
  <si>
    <t>Collybie des devins</t>
  </si>
  <si>
    <t>510022 - 510022 - 30637 - 30636</t>
  </si>
  <si>
    <t>Collybie hybride</t>
  </si>
  <si>
    <t>30638 - 510024 - 510025 - 30640 - 30638 - 510023 - 30639</t>
  </si>
  <si>
    <t>Collybie fétide</t>
  </si>
  <si>
    <t>510040 - 39100 - 510038 - 30654 - 510039</t>
  </si>
  <si>
    <t>30662 - 510053 - 510051 - 30662 - 31647 - 510052</t>
  </si>
  <si>
    <t>30665 - 515205 - 30664 - 515204</t>
  </si>
  <si>
    <t>30666 - 30668 - 510056 - 994176 - 510055 - 30666 - 510057 - 510060 - 510054 - 975952 - 30634 - 510059 - 30667 - 510058</t>
  </si>
  <si>
    <t>Marasme guêtré</t>
  </si>
  <si>
    <t>30683 - 30592 - 510086 - 510087 - 30684 - 30683</t>
  </si>
  <si>
    <t>Collybie à sclérote noir</t>
  </si>
  <si>
    <t>30703 - 30703 - 512620</t>
  </si>
  <si>
    <t>Flammule de l'Ononis</t>
  </si>
  <si>
    <t>30705 - 31053 - 30705 - 512622 - 512621 - 30712 - 512623 - 30708 - 30707</t>
  </si>
  <si>
    <t>Collybie à pied velouté</t>
  </si>
  <si>
    <t>514832 - 30720 - 513098 - 30721 - 30718</t>
  </si>
  <si>
    <t>30722 - 513099 - 30724 - 513100 - 513101 - 30722 - 30725</t>
  </si>
  <si>
    <t>30726 - 30728 - 30726 - 513102 - 513104</t>
  </si>
  <si>
    <t>30733 - 30733 - 513113 - 513115 - 987896 - 513114 - 513116</t>
  </si>
  <si>
    <t>30745 - 30745</t>
  </si>
  <si>
    <t>30749 - 994084 - 994081 - 513133 - 513131 - 513139 - 513132 - 30752 - 513136 - 513135 - 513137 - 513134 - 30749 - 513138</t>
  </si>
  <si>
    <t>30753 - 513145 - 30755 - 513144 - 30753 - 513143 - 30756</t>
  </si>
  <si>
    <t>Mycène de Maire</t>
  </si>
  <si>
    <t>30761 - 30761</t>
  </si>
  <si>
    <t>30765 - 513157 - 972360 - 30765 - 30768 - 30767</t>
  </si>
  <si>
    <t>30769 - 30769</t>
  </si>
  <si>
    <t>30772 - 30774 - 513161 - 30772 - 513162</t>
  </si>
  <si>
    <t>Mycène fausse "lactea"</t>
  </si>
  <si>
    <t>515815 - 515811 - 31172 - 515814 - 515810 - 31174 - 30779 - 515809 - 30778 - 515812 - 515813</t>
  </si>
  <si>
    <t>515773 - 30781 - 30782 - 30784 - 515772</t>
  </si>
  <si>
    <t>Mycène à pied rouge</t>
  </si>
  <si>
    <t>515787 - 515788 - 515786 - 30789 - 30788</t>
  </si>
  <si>
    <t>515793 - 976528 - 515792 - 30799 - 30798</t>
  </si>
  <si>
    <t>469201 - 509192 - 30812 - 509189 - 469201 - 509197 - 509191 - 509188 - 30809 - 30810 - 509196 - 30811 - 509194</t>
  </si>
  <si>
    <t>Tricholome de la Saint-Georges, Mousseron de la Saint-Georges</t>
  </si>
  <si>
    <t>30828 - 509291 - 509292 - 30828 - 509290</t>
  </si>
  <si>
    <t>Fausse-chanterelle des bruyeres</t>
  </si>
  <si>
    <t>30833 - 30833 - 30835 - 509309 - 509310 - 30834</t>
  </si>
  <si>
    <t>Armillaire impériale</t>
  </si>
  <si>
    <t>30837 - 30837</t>
  </si>
  <si>
    <t>Omphale à lames jaune d’or</t>
  </si>
  <si>
    <t>30841 - 974017 - 30841 - 30843 - 509558</t>
  </si>
  <si>
    <t>Clitocybe nitrophile</t>
  </si>
  <si>
    <t>30863 - 30863</t>
  </si>
  <si>
    <t>30864 - 30864</t>
  </si>
  <si>
    <t>Clitocybe anisé</t>
  </si>
  <si>
    <t>509679 - 509679 - 30870</t>
  </si>
  <si>
    <t>Clitocybe de bresadola</t>
  </si>
  <si>
    <t>30873 - 509680 - 975892 - 30873 - 509681 - 509682</t>
  </si>
  <si>
    <t>Clitocybe hivernal</t>
  </si>
  <si>
    <t>30877 - 30877</t>
  </si>
  <si>
    <t>Clitocybe calcicole</t>
  </si>
  <si>
    <t>30880 - 509690 - 30880 - 509691 - 30882 - 30881 - 509689</t>
  </si>
  <si>
    <t>Clitocybe déprimé</t>
  </si>
  <si>
    <t>509695 - 30883 - 509696 - 509693 - 31937 - 509694 - 509692</t>
  </si>
  <si>
    <t>Clitocybe cérusé</t>
  </si>
  <si>
    <t>509702 - 30893 - 509702</t>
  </si>
  <si>
    <t>Clitocybe côtelé</t>
  </si>
  <si>
    <t>30897 - 30897 - 509706 - 30898 - 509705</t>
  </si>
  <si>
    <t>Clitocybe blanchi, Clitocybe blanc-ivoire</t>
  </si>
  <si>
    <t>30903 - 30905 - 30903 - 30904</t>
  </si>
  <si>
    <t>Mycène tortueuse</t>
  </si>
  <si>
    <t>30907 - 30909 - 513354 - 513355 - 974546 - 30907</t>
  </si>
  <si>
    <t>Hydrope à pied noir</t>
  </si>
  <si>
    <t>30917 - 30919 - 30917 - 513362 - 513363</t>
  </si>
  <si>
    <t>Hydrope marginé</t>
  </si>
  <si>
    <t>30926 - 30926 - 513366 - 30928 - 30927</t>
  </si>
  <si>
    <t>Hydrope subalpin</t>
  </si>
  <si>
    <t>30929 - 30930 - 30929 - 513367</t>
  </si>
  <si>
    <t>30945 - 30942 - 994106 - 30943 - 30944 - 515169</t>
  </si>
  <si>
    <t>515139 - 30946 - 30948 - 515138 - 515137 - 515140</t>
  </si>
  <si>
    <t>515166 - 30960 - 515162 - 515164 - 30962 - 515167 - 30959 - 515165 - 515163 - 515161 - 30937 - 973142</t>
  </si>
  <si>
    <t>515184 - 515182 - 515187 - 994104 - 515188 - 515180 - 30971 - 515185 - 30972 - 515183 - 515190 - 30974 - 515189 - 515186 - 515181</t>
  </si>
  <si>
    <t>30989 - 515193 - 30988</t>
  </si>
  <si>
    <t>30990 - 974799 - 30991 - 515256</t>
  </si>
  <si>
    <t>30992 - 515194 - 515195</t>
  </si>
  <si>
    <t>31000 - 515198 - 31002 - 31001 - 515200 - 515203 - 515199 - 515197 - 515202 - 515201</t>
  </si>
  <si>
    <t>515213 - 515214 - 31009 - 515215</t>
  </si>
  <si>
    <t>515219 - 515222 - 515217 - 515220 - 515221 - 31011 - 994097 - 515218 - 31013</t>
  </si>
  <si>
    <t>31020 - 31021 - 31019 - 31018</t>
  </si>
  <si>
    <t>31039 - 515231 - 515232 - 515234 - 31038 - 515233 - 515236 - 515235 - 515237</t>
  </si>
  <si>
    <t>Faux mousseron</t>
  </si>
  <si>
    <t>515240 - 515239 - 31043</t>
  </si>
  <si>
    <t>31052 - 515241 - 31054</t>
  </si>
  <si>
    <t>31055 - 515243 - 515242</t>
  </si>
  <si>
    <t>31056 - 515246 - 515248 - 515244 - 515247 - 31057 - 31058 - 515245</t>
  </si>
  <si>
    <t>515268 - 515269 - 515264 - 31078 - 31077 - 515265 - 30569 - 31079 - 515266 - 31076 - 515267</t>
  </si>
  <si>
    <t>31097 - 31099 - 31098 - 31100</t>
  </si>
  <si>
    <t>515663 - 973827 - 515660 - 31102 - 515662 - 515661</t>
  </si>
  <si>
    <t>31111 - 515667 - 515668 - 31112 - 31339</t>
  </si>
  <si>
    <t>511186 - 511186</t>
  </si>
  <si>
    <t>Cortinaire rigide</t>
  </si>
  <si>
    <t>31137 - 31138 - 31137</t>
  </si>
  <si>
    <t>31139 - 34910 - 31139 - 31141</t>
  </si>
  <si>
    <t>Cortinaire aigu ou Cortinaireà mammelon pointu</t>
  </si>
  <si>
    <t>31140 - 31140 - 510775 - 510776 - 510777</t>
  </si>
  <si>
    <t>Cortinaire fasciculé ou Cortinaire à bandelettes</t>
  </si>
  <si>
    <t>31145 - 31145</t>
  </si>
  <si>
    <t>Cortinaire à odeur agréable</t>
  </si>
  <si>
    <t>31146 - 31146</t>
  </si>
  <si>
    <t>515679 - 515683 - 515676 - 31157 - 515677 - 515678 - 515680 - 515682 - 515684 - 515681 - 31160</t>
  </si>
  <si>
    <t>515687 - 515689 - 31168 - 31165 - 515688</t>
  </si>
  <si>
    <t>515695 - 31182 - 515694 - 31184</t>
  </si>
  <si>
    <t>31191 - 31189</t>
  </si>
  <si>
    <t>31194 - 31195 - 31196</t>
  </si>
  <si>
    <t>515697 - 31197 - 31199</t>
  </si>
  <si>
    <t>515801 - 31207 - 515799 - 515800 - 31204 - 515798 - 31206 - 515802</t>
  </si>
  <si>
    <t>515699 - 31211 - 515700</t>
  </si>
  <si>
    <t>515702 - 31217 - 515703 - 515704 - 515701 - 31218</t>
  </si>
  <si>
    <t>31225 - 515706 - 31223 - 515707 - 31224</t>
  </si>
  <si>
    <t>515712 - 31232</t>
  </si>
  <si>
    <t>31233 - 515713</t>
  </si>
  <si>
    <t>Mycène dorée</t>
  </si>
  <si>
    <t>31237 - 31238</t>
  </si>
  <si>
    <t>515816 - 515817 - 31534 - 31245 - 31246</t>
  </si>
  <si>
    <t>994058 - 31385 - 31215 - 515719 - 515715 - 515716 - 515717 - 515718 - 31386 - 31249</t>
  </si>
  <si>
    <t>31257 - 31258</t>
  </si>
  <si>
    <t>31274 - 515729 - 515730 - 31272 - 515731</t>
  </si>
  <si>
    <t>31279 - 515739 - 31277</t>
  </si>
  <si>
    <t>515748 - 515745 - 31284 - 515746 - 515747</t>
  </si>
  <si>
    <t>31288 - 31287</t>
  </si>
  <si>
    <t>515753 - 515757 - 515750 - 515759 - 515758 - 515749 - 515756 - 515755 - 515754 - 31292 - 515760 - 515751 - 515752</t>
  </si>
  <si>
    <t>Mycène casquée</t>
  </si>
  <si>
    <t>515766 - 515765 - 515770 - 515769 - 973176 - 31298 - 515768 - 31408 - 515767</t>
  </si>
  <si>
    <t>Mycène à pied laiteux</t>
  </si>
  <si>
    <t>31302 - 30776 - 31301 - 515771</t>
  </si>
  <si>
    <t>31321 - 31320 - 31322</t>
  </si>
  <si>
    <t>Mycène tachetée</t>
  </si>
  <si>
    <t>31324 - 515819 - 515818 - 31326</t>
  </si>
  <si>
    <t>515822 - 515823 - 994029 - 515827 - 973178 - 994030 - 515824 - 31229 - 515826 - 515820 - 515828 - 515821 - 31329 - 973177 - 515825 - 31331</t>
  </si>
  <si>
    <t>515829 - 515831 - 31336 - 515830</t>
  </si>
  <si>
    <t>31344 - 31342 - 515832</t>
  </si>
  <si>
    <t>515837 - 31359 - 515836 - 31358</t>
  </si>
  <si>
    <t>515839 - 31362 - 31365 - 515838 - 31363 - 31364</t>
  </si>
  <si>
    <t>31371 - 31373</t>
  </si>
  <si>
    <t>515843 - 515844 - 515842 - 31374 - 31375 - 515841</t>
  </si>
  <si>
    <t>515851 - 515850 - 31391 - 515853 - 515854 - 31390 - 515852 - 515855 - 31392</t>
  </si>
  <si>
    <t>31393 - 515856 - 31395</t>
  </si>
  <si>
    <t>31403 - 31404</t>
  </si>
  <si>
    <t>31406 - 31405</t>
  </si>
  <si>
    <t>515859 - 31493 - 31407 - 515857 - 515858</t>
  </si>
  <si>
    <t>31409 - 31411 - 515860 - 1002443 - 515861</t>
  </si>
  <si>
    <t>Mycène pur</t>
  </si>
  <si>
    <t>31414 - 515862 - 31412</t>
  </si>
  <si>
    <t>31416 - 31417</t>
  </si>
  <si>
    <t>31429 - 31430 - 515864</t>
  </si>
  <si>
    <t>515866 - 31432 - 31433 - 515867 - 515865 - 515868</t>
  </si>
  <si>
    <t>31457 - 515873 - 515874 - 31456 - 973835 - 31460</t>
  </si>
  <si>
    <t>Mycène pure forme rose</t>
  </si>
  <si>
    <t>515876 - 515875 - 31458</t>
  </si>
  <si>
    <t>31463 - 31462 - 31461</t>
  </si>
  <si>
    <t>515878 - 515877 - 31465</t>
  </si>
  <si>
    <t>31469 - 515880 - 515879 - 515881 - 31470 - 31468</t>
  </si>
  <si>
    <t>Mycène sanguinolent</t>
  </si>
  <si>
    <t>515882 - 31480</t>
  </si>
  <si>
    <t>31492 - 31491</t>
  </si>
  <si>
    <t>515892 - 515897 - 31501 - 31503 - 31241 - 515898 - 31242 - 515895 - 515894 - 515896 - 515893</t>
  </si>
  <si>
    <t>515905 - 31511 - 31513 - 515902 - 515903 - 515904 - 31510 - 31512</t>
  </si>
  <si>
    <t>515909 - 515908 - 515906 - 973836 - 31521 - 515907</t>
  </si>
  <si>
    <t>31319 - 515912 - 31539 - 515914 - 31538 - 515913 - 515911 - 31540</t>
  </si>
  <si>
    <t>31541 - 31543</t>
  </si>
  <si>
    <t>515915 - 31545 - 515916 - 515917</t>
  </si>
  <si>
    <t>515918 - 31552 - 515919</t>
  </si>
  <si>
    <t>31568 - 31569</t>
  </si>
  <si>
    <t>520809 - 520811 - 31592 - 31591 - 31589 - 520808 - 520810</t>
  </si>
  <si>
    <t>31597 - 520815 - 31600 - 520816</t>
  </si>
  <si>
    <t>31627 - 516298 - 31630 - 516296 - 516300 - 516299 - 516297</t>
  </si>
  <si>
    <t>31633 - 516314 - 31632 - 516312 - 516313</t>
  </si>
  <si>
    <t>519266 - 519265 - 988085 - 31655 - 31653 - 31654 - 31652 - 519267</t>
  </si>
  <si>
    <t>Collybie des cônes d'épicéa</t>
  </si>
  <si>
    <t>519270 - 31656 - 972028 - 519269</t>
  </si>
  <si>
    <t>Collybie des cônes de pin</t>
  </si>
  <si>
    <t>519271 - 519276 - 519277 - 519274 - 519275 - 31663 - 519273 - 519272 - 31660</t>
  </si>
  <si>
    <t>31666 - 31666</t>
  </si>
  <si>
    <t>Armillaire boréale</t>
  </si>
  <si>
    <t>31670 - 31670</t>
  </si>
  <si>
    <t>Armillaire pied-bot</t>
  </si>
  <si>
    <t>31673 - 508626 - 31673 - 508625 - 31675 - 31674 - 31677 - 32867</t>
  </si>
  <si>
    <t>Armillaire des tourbières</t>
  </si>
  <si>
    <t>31680 - 31681 - 31680 - 31679 - 31678 - 31671</t>
  </si>
  <si>
    <t>Armillaire à voile jaune</t>
  </si>
  <si>
    <t>31682 - 508628 - 31685 - 31684 - 508627 - 31682 - 508629 - 31683</t>
  </si>
  <si>
    <t>Armillaire couleur de miel, Armillaire des feuillus</t>
  </si>
  <si>
    <t>31686 - 508630 - 508634 - 508631 - 31687 - 31688 - 508633 - 31686 - 508632</t>
  </si>
  <si>
    <t>Armillaire obscure, Armillaire des résineux</t>
  </si>
  <si>
    <t>31693 - 508729 - 31694 - 508730 - 975783 - 508731 - 508728 - 975782 - 31695 - 31693</t>
  </si>
  <si>
    <t>Nyctalis faux lycoperdon ou Nyctalis porteur d'étoiles</t>
  </si>
  <si>
    <t>31706 - 31709 - 509707 - 509708 - 31706</t>
  </si>
  <si>
    <t>Clitocybe bicolore</t>
  </si>
  <si>
    <t>31713 - 509712 - 509710 - 509709 - 31713 - 509711</t>
  </si>
  <si>
    <t>Clitocybe rosé</t>
  </si>
  <si>
    <t>31720 - 509713 - 509715 - 31720 - 509716 - 509714</t>
  </si>
  <si>
    <t>Clitocybe farineux</t>
  </si>
  <si>
    <t>31738 - 31738</t>
  </si>
  <si>
    <t>Clitocybe fétide</t>
  </si>
  <si>
    <t>31742 - 31742 - 974108 - 509725</t>
  </si>
  <si>
    <t>Clitocybe anisé strié</t>
  </si>
  <si>
    <t>31710 - 509844 - 31710 - 31744 - 509843 - 509842</t>
  </si>
  <si>
    <t>Clitocybe anisé pâle</t>
  </si>
  <si>
    <t>509731 - 31754 - 509731 - 509729 - 509730 - 509728</t>
  </si>
  <si>
    <t>Clitocybe géotrope</t>
  </si>
  <si>
    <t>31761 - 509742 - 31761</t>
  </si>
  <si>
    <t>31767 - 31767 - 509743</t>
  </si>
  <si>
    <t>Clitocybe des pelouses</t>
  </si>
  <si>
    <t>31778 - 31778</t>
  </si>
  <si>
    <t>Clitocybe des lieux herbeux</t>
  </si>
  <si>
    <t>31789 - 31789 - 509759 - 31787 - 509758</t>
  </si>
  <si>
    <t>Clitocybe strié</t>
  </si>
  <si>
    <t>31794 - 509764 - 509763 - 509762 - 31795 - 31794</t>
  </si>
  <si>
    <t>Clitocybe en trompette</t>
  </si>
  <si>
    <t>31802 - 31804 - 509772 - 509771 - 31802 - 509770</t>
  </si>
  <si>
    <t>Clitocybe à centre brun</t>
  </si>
  <si>
    <t>31809 - 514984</t>
  </si>
  <si>
    <t>515010 - 515012 - 31826 - 515006 - 515013 - 31824 - 515015 - 515009 - 515011 - 515014 - 515007 - 31827 - 515008</t>
  </si>
  <si>
    <t>518429 - 518428 - 518430 - 518431 - 31850 - 31849 - 31847 - 31848 - 31851</t>
  </si>
  <si>
    <t>31853 - 31854</t>
  </si>
  <si>
    <t>974158 - 518433 - 518438 - 518436 - 31857 - 31855 - 518441 - 518434 - 518435 - 31858 - 518440 - 518439 - 31856</t>
  </si>
  <si>
    <t>518466 - 31864 - 518469 - 518468 - 518470 - 31862 - 518471 - 518467 - 31863</t>
  </si>
  <si>
    <t>31873 - 31871 - 518478 - 518477 - 518476 - 31872 - 518479</t>
  </si>
  <si>
    <t>31874 - 31875 - 518481 - 518483 - 31876 - 518482 - 518480</t>
  </si>
  <si>
    <t>973138 - 31881 - 518500 - 31880 - 518502 - 518501</t>
  </si>
  <si>
    <t>518507 - 31884 - 31701 - 31886 - 518506</t>
  </si>
  <si>
    <t>31899 - 31895 - 518516 - 518518 - 31899 - 518517 - 518515</t>
  </si>
  <si>
    <t>31906 - 31906</t>
  </si>
  <si>
    <t>31908 - 509782 - 31908 - 31909</t>
  </si>
  <si>
    <t>Clitocybe nitreux</t>
  </si>
  <si>
    <t>31910 - 509783 - 31910</t>
  </si>
  <si>
    <t>31913 - 509789 - 31913 - 509788 - 31712 - 509785 - 509790 - 509786 - 509787 - 31915 - 974109</t>
  </si>
  <si>
    <t>Clitocybe anisé rosâtre</t>
  </si>
  <si>
    <t>31918 - 32805 - 31918 - 509794 - 509793 - 509796 - 509791 - 509792 - 31916 - 509795</t>
  </si>
  <si>
    <t>Clitocybe odorant</t>
  </si>
  <si>
    <t>31924 - 31924 - 31925</t>
  </si>
  <si>
    <t>Clitocybe anisé des feuilles</t>
  </si>
  <si>
    <t>31927 - 31957 - 31927 - 31954 - 509797</t>
  </si>
  <si>
    <t>31928 - 31928 - 509798 - 31929</t>
  </si>
  <si>
    <t>509804 - 31931 - 509805 - 509802 - 509800 - 509806 - 509801 - 509799 - 509803 - 31934</t>
  </si>
  <si>
    <t>31935 - 31935 - 509815 - 509814 - 509811 - 509812 - 509813</t>
  </si>
  <si>
    <t>Clitocybe des feuilles</t>
  </si>
  <si>
    <t>31950 - 31950</t>
  </si>
  <si>
    <t>Clitocybe à pied fuligineux</t>
  </si>
  <si>
    <t>31958 - 31960 - 509829</t>
  </si>
  <si>
    <t>Clitocybe du bord des routes</t>
  </si>
  <si>
    <t>31959 - 509851 - 31959 - 32003 - 32004 - 971630 - 32005</t>
  </si>
  <si>
    <t>Clitocybe ombiliqué</t>
  </si>
  <si>
    <t>31963 - 31963</t>
  </si>
  <si>
    <t>31970 - 31968 - 31970 - 509839 - 31972 - 509838 - 509837 - 35818</t>
  </si>
  <si>
    <t>Clitocybe squamuleux</t>
  </si>
  <si>
    <t>31973 - 31973</t>
  </si>
  <si>
    <t>Clitocybe faux-squamuleux</t>
  </si>
  <si>
    <t>31985 - 31985</t>
  </si>
  <si>
    <t>31986 - 31986</t>
  </si>
  <si>
    <t>31991 - 509846 - 31991</t>
  </si>
  <si>
    <t>31996 - 31996</t>
  </si>
  <si>
    <t>31999 - 31999</t>
  </si>
  <si>
    <t>Clitocybe des troncs</t>
  </si>
  <si>
    <t>509856 - 509855 - 509854 - 32009</t>
  </si>
  <si>
    <t>Clitocybe moisi</t>
  </si>
  <si>
    <t>32017 - 509871 - 32017 - 509872 - 509870 - 509875 - 509873 - 509874 - 32018</t>
  </si>
  <si>
    <t>Clitopile sessile</t>
  </si>
  <si>
    <t>32023 - 32023</t>
  </si>
  <si>
    <t>Clitopile du fumier</t>
  </si>
  <si>
    <t>32024 - 32024</t>
  </si>
  <si>
    <t>32026 - 32026 - 509879 - 32027 - 509878</t>
  </si>
  <si>
    <t>Clitopile aplati</t>
  </si>
  <si>
    <t>32028 - 974035 - 509885 - 32030 - 32028 - 509886 - 509884 - 509880 - 509883 - 509882 - 509881</t>
  </si>
  <si>
    <t>Meunier, Clitopile petite prune, Clitopile pruineux, Langue de carpe, Garde-cèpe, Mère de cèpe</t>
  </si>
  <si>
    <t>32038 - 32038 - 32037</t>
  </si>
  <si>
    <t>32044 - 511843 - 32044 - 32045 - 511842 - 511841 - 31343 - 32047</t>
  </si>
  <si>
    <t>Mycène blanc pur</t>
  </si>
  <si>
    <t>32051 - 511886 - 511885 - 32052 - 32053 - 32051</t>
  </si>
  <si>
    <t>Dermolome gris sombre</t>
  </si>
  <si>
    <t>511888 - 511887 - 32069 - 511889 - 511888 - 32054</t>
  </si>
  <si>
    <t>Dermolome à lames triangulaires</t>
  </si>
  <si>
    <t>32061 - 32061</t>
  </si>
  <si>
    <t>32063 - 32063 - 32066 - 32065</t>
  </si>
  <si>
    <t>511897 - 32068 - 511898 - 32067</t>
  </si>
  <si>
    <t>32072 - 32072</t>
  </si>
  <si>
    <t>32084 - 512750 - 975964 - 32730 - 32084 - 975965 - 32086 - 975967 - 512749 - 975966 - 32085</t>
  </si>
  <si>
    <t>Omphale brun miel</t>
  </si>
  <si>
    <t>32101 - 32101</t>
  </si>
  <si>
    <t>Tricholome jaune-vert</t>
  </si>
  <si>
    <t>32117 - 32117</t>
  </si>
  <si>
    <t>32158 - 513481 - 32160 - 513484 - 32158 - 972479 - 972478 - 513482 - 513483 - 513480</t>
  </si>
  <si>
    <t>Fausse girolle</t>
  </si>
  <si>
    <t>513488 - 513488</t>
  </si>
  <si>
    <t>Fausse-girolle rousse</t>
  </si>
  <si>
    <t>32177 - 32197 - 32198 - 514171 - 32177</t>
  </si>
  <si>
    <t>Laccaire laqué variété à lames pâles</t>
  </si>
  <si>
    <t>32178 - 514179 - 32178 - 974649 - 973084 - 32180 - 514180 - 514182 - 514183 - 514178 - 514181</t>
  </si>
  <si>
    <t>Laque améthyste</t>
  </si>
  <si>
    <t>32182 - 32182 - 32184 - 973085</t>
  </si>
  <si>
    <t>Laccaire bicolore</t>
  </si>
  <si>
    <t>32191 - 32191</t>
  </si>
  <si>
    <t>32192 - 32194 - 32192 - 514188 - 514187 - 32193</t>
  </si>
  <si>
    <t>Clitocybe laqué</t>
  </si>
  <si>
    <t>32204 - 32204 - 514195 - 32202 - 32195</t>
  </si>
  <si>
    <t>Laccaire laqué variété de Moeller</t>
  </si>
  <si>
    <t>32213 - 32214 - 32213 - 32215 - 514197 - 514196</t>
  </si>
  <si>
    <t>Laccaire nain</t>
  </si>
  <si>
    <t>32216 - 32216</t>
  </si>
  <si>
    <t>Laccaire pourpre-bai</t>
  </si>
  <si>
    <t>32219 - 514203 - 514201 - 514204 - 32221 - 32219 - 514205 - 514202 - 514200 - 514206</t>
  </si>
  <si>
    <t>Laccaire tortueux</t>
  </si>
  <si>
    <t>32225 - 974711 - 987875 - 974710</t>
  </si>
  <si>
    <t>32230 - 32233 - 32231 - 514625</t>
  </si>
  <si>
    <t>514628 - 32234 - 514627 - 514626 - 32236 - 32235</t>
  </si>
  <si>
    <t>Clitocybe inverse des feuillus</t>
  </si>
  <si>
    <t>514630 - 514632 - 32238 - 32237 - 514629 - 32240 - 30854 - 514631</t>
  </si>
  <si>
    <t>Clitocybe à guttules</t>
  </si>
  <si>
    <t>32243 - 514634 - 514633 - 32242 - 514635 - 514636 - 32245 - 32244</t>
  </si>
  <si>
    <t>32252 - 32249 - 514637 - 514639 - 514638 - 32251</t>
  </si>
  <si>
    <t>Clitocybe inversé</t>
  </si>
  <si>
    <t>32254 - 32253 - 514640 - 32256 - 514641 - 32255</t>
  </si>
  <si>
    <t>Tricholome à odeur d'iris</t>
  </si>
  <si>
    <t>32266 - 32267</t>
  </si>
  <si>
    <t>Clitocybe des marti</t>
  </si>
  <si>
    <t>32274 - 514646 - 514645 - 32273 - 32274 - 32272</t>
  </si>
  <si>
    <t>Clitocybe nébuleux</t>
  </si>
  <si>
    <t>514650 - 32277 - 32276 - 32279 - 32278 - 514649 - 514651</t>
  </si>
  <si>
    <t>Pied bleu, Tout-bleu</t>
  </si>
  <si>
    <t>32280 - 32282 - 32281</t>
  </si>
  <si>
    <t>514686 - 514683 - 32294 - 514685 - 514675 - 514676 - 514677 - 514682 - 514678 - 514680 - 32295 - 32293 - 514684 - 514681</t>
  </si>
  <si>
    <t>Pied-violet, Tricholome sinistre, Tricholome des Oies</t>
  </si>
  <si>
    <t>32297 - 32300 - 988078 - 32298 - 514690 - 32299 - 988065 - 514689</t>
  </si>
  <si>
    <t>32304 - 514692 - 514693 - 514691 - 514694</t>
  </si>
  <si>
    <t>32316 - 32317 - 514792 - 514791 - 514790 - 514789 - 514788</t>
  </si>
  <si>
    <t>Leucocortinaire bulbeux</t>
  </si>
  <si>
    <t>514813 - 974726 - 32320</t>
  </si>
  <si>
    <t>514815 - 514816 - 514814 - 32323</t>
  </si>
  <si>
    <t>514848 - 32335 - 32334 - 32336 - 514849 - 514847</t>
  </si>
  <si>
    <t>514837 - 514836 - 986968 - 32337 - 514834 - 31806 - 514838 - 31807 - 514835 - 32374</t>
  </si>
  <si>
    <t>514828 - 514824 - 514827 - 514822 - 469245 - 32341 - 514830 - 514826 - 514823 - 514829 - 974736 - 32342 - 514825 - 974737 - 32344 - 32343</t>
  </si>
  <si>
    <t>514841 - 975721 - 32347 - 514842 - 514843 - 32346 - 32345 - 514840 - 514841</t>
  </si>
  <si>
    <t>Leucopaxille géant</t>
  </si>
  <si>
    <t>515021 - 515025 - 32375 - 515022 - 515028 - 515023 - 515024 - 973136 - 31813 - 515020 - 973137 - 515027 - 32377 - 515019 - 515026</t>
  </si>
  <si>
    <t>515037 - 32386 - 32387 - 515035 - 515036 - 32384 - 515038</t>
  </si>
  <si>
    <t>515040 - 32389 - 32388</t>
  </si>
  <si>
    <t>515043 - 32396 - 515046 - 515045 - 32395 - 32393 - 515042 - 515044</t>
  </si>
  <si>
    <t>32401 - 32403 - 514657 - 32226 - 32402 - 514656</t>
  </si>
  <si>
    <t>32405 - 32404 - 32406 - 32405 - 519531 - 519532</t>
  </si>
  <si>
    <t>Collybie odorante</t>
  </si>
  <si>
    <t>515049 - 32407</t>
  </si>
  <si>
    <t>32415 - 32416 - 515055 - 32414</t>
  </si>
  <si>
    <t>32420 - 32419 - 515056</t>
  </si>
  <si>
    <t>32422 - 32425 - 32424 - 515057 - 32423 - 515060 - 515058 - 515059</t>
  </si>
  <si>
    <t>515071 - 515066 - 32432 - 515068 - 515069 - 515070 - 32433 - 32434 - 515067</t>
  </si>
  <si>
    <t>Naucorie à odeur de concombre, Macrocystidie à odeur de concombre</t>
  </si>
  <si>
    <t>32437 - 515072</t>
  </si>
  <si>
    <t>515369 - 515366 - 515367 - 32454 - 32453 - 515368 - 971478</t>
  </si>
  <si>
    <t>32462 - 515371 - 515370 - 32463 - 515372</t>
  </si>
  <si>
    <t>515423 - 515424 - 32474</t>
  </si>
  <si>
    <t>974825 - 32473 - 515422 - 515383 - 464508 - 32477</t>
  </si>
  <si>
    <t>32481 - 32479 - 515377</t>
  </si>
  <si>
    <t>32480 - 515362 - 515363 - 515361</t>
  </si>
  <si>
    <t>515378 - 32482</t>
  </si>
  <si>
    <t>515380 - 515379 - 32484 - 32483 - 32485 - 32674</t>
  </si>
  <si>
    <t>Melanoleuca à pied strié</t>
  </si>
  <si>
    <t>32488 - 32489</t>
  </si>
  <si>
    <t>515381 - 32492 - 32491 - 515382</t>
  </si>
  <si>
    <t>32509 - 515388 - 32512 - 515389</t>
  </si>
  <si>
    <t>32515 - 32516</t>
  </si>
  <si>
    <t>32529 - 32494 - 32493 - 32495 - 515404 - 515405 - 32531 - 515403 - 515402 - 32530</t>
  </si>
  <si>
    <t>32537 - 32536 - 32535</t>
  </si>
  <si>
    <t>516757 - 516758 - 32546 - 32545 - 516756 - 32544 - 516754 - 516753 - 516759 - 516755 - 516752</t>
  </si>
  <si>
    <t>Conocybe ridé</t>
  </si>
  <si>
    <t>32549 - 32548 - 516762</t>
  </si>
  <si>
    <t>32577 - 32578 - 32576</t>
  </si>
  <si>
    <t>37182 - 516787 - 32579 - 32581</t>
  </si>
  <si>
    <t>517540 - 32585 - 972327 - 32586 - 517541</t>
  </si>
  <si>
    <t>32591 - 32592 - 517546 - 32591 - 517545 - 32590</t>
  </si>
  <si>
    <t>Psilocybe coprophile</t>
  </si>
  <si>
    <t>32602 - 32601 - 32602 - 32603 - 517565 - 517566 - 517564 - 517567 - 32604</t>
  </si>
  <si>
    <t>32618 - 517591 - 32616 - 517592 - 32618 - 517594 - 517593 - 517595 - 32617</t>
  </si>
  <si>
    <t>Psilocybe montagnard</t>
  </si>
  <si>
    <t>32641 - 517605 - 32629 - 32628 - 517604 - 32643</t>
  </si>
  <si>
    <t>32644 - 517616 - 517618 - 517617</t>
  </si>
  <si>
    <t>32654 - 921120 - 972460</t>
  </si>
  <si>
    <t>Strophaire vert-de-gris</t>
  </si>
  <si>
    <t>515413 - 515408 - 515415 - 515414 - 515410 - 515409 - 32665 - 515411 - 32664 - 515412 - 32663</t>
  </si>
  <si>
    <t>515416 - 32666 - 515418 - 515417 - 32668</t>
  </si>
  <si>
    <t>515439 - 515440 - 32696 - 32698</t>
  </si>
  <si>
    <t>515955 - 32706 - 32703 - 515956 - 32704</t>
  </si>
  <si>
    <t>32710 - 508733 - 32710 - 987968 - 508732 - 32709</t>
  </si>
  <si>
    <t>Nyctalis parasite</t>
  </si>
  <si>
    <t>32732 - 32729 - 32733 - 32880</t>
  </si>
  <si>
    <t>32744 - 516031 - 32764 - 516030 - 32742</t>
  </si>
  <si>
    <t>516034 - 32762 - 32765 - 516033 - 974894 - 516035 - 516032 - 974893 - 32763</t>
  </si>
  <si>
    <t>516043 - 516041 - 516042 - 516040 - 32795 - 32798</t>
  </si>
  <si>
    <t>516046 - 32831 - 516045 - 32829 - 32828</t>
  </si>
  <si>
    <t>Pleurote de l'olivier</t>
  </si>
  <si>
    <t>517181 - 517180 - 517183 - 32847 - 517182 - 32848</t>
  </si>
  <si>
    <t>32858 - 32859 - 971477 - 517192</t>
  </si>
  <si>
    <t>32866 - 517490 - 517492 - 32868 - 32865 - 517491</t>
  </si>
  <si>
    <t>517493 - 517495 - 517494 - 32871 - 32869 - 32870 - 974152</t>
  </si>
  <si>
    <t>517497 - 32873 - 517496 - 517498 - 32875 - 32874</t>
  </si>
  <si>
    <t>518380 - 36209 - 32908 - 29266 - 972022 - 518376</t>
  </si>
  <si>
    <t>518396 - 518398 - 518392 - 518390 - 32917 - 518394 - 32919 - 32918 - 518391 - 518388 - 518395 - 518393 - 32916 - 518397 - 518389</t>
  </si>
  <si>
    <t>32932 - 32933 - 32930 - 32931 - 518409</t>
  </si>
  <si>
    <t>518521 - 32942 - 32945 - 32943 - 518522 - 976756 - 518523 - 32944</t>
  </si>
  <si>
    <t>32959 - 32960</t>
  </si>
  <si>
    <t>32966 - 32964 - 32969 - 519484 - 519483 - 519482 - 32965</t>
  </si>
  <si>
    <t>519487 - 519488 - 519485 - 519486 - 32968 - 32970 - 519489 - 32972</t>
  </si>
  <si>
    <t>32975 - 32973 - 32976 - 519490 - 32974</t>
  </si>
  <si>
    <t>519502 - 519503 - 32993</t>
  </si>
  <si>
    <t>32995 - 519510</t>
  </si>
  <si>
    <t>33008 - 519523 - 519522 - 519521 - 33007</t>
  </si>
  <si>
    <t>519537 - 33015 - 33016 - 33017 - 519536</t>
  </si>
  <si>
    <t>33021 - 33021</t>
  </si>
  <si>
    <t>33026 - 33028 - 512050 - 512048 - 33026 - 512049</t>
  </si>
  <si>
    <t>33037 - 512053 - 33040 - 33037 - 33038</t>
  </si>
  <si>
    <t>Entolome ocellé</t>
  </si>
  <si>
    <t>33045 - 508669 - 33045 - 508672 - 32837 - 508673 - 32840 - 508674 - 508671 - 508670 - 32836 - 508668 - 32839</t>
  </si>
  <si>
    <t>Arrhénie gris pâle</t>
  </si>
  <si>
    <t>33056 - 508691 - 33058 - 508693 - 33056 - 508690 - 508692 - 33059 - 33057</t>
  </si>
  <si>
    <t>33060 - 508709 - 33062 - 508707 - 508708 - 508706 - 508710 - 971760 - 33060 - 508704 - 508705 - 33063</t>
  </si>
  <si>
    <t>Arrhénie spatulée</t>
  </si>
  <si>
    <t>33075 - 33075 - 511557</t>
  </si>
  <si>
    <t>Crépidote applani</t>
  </si>
  <si>
    <t>33083 - 33083 - 33082 - 511560 - 511561 - 511562</t>
  </si>
  <si>
    <t>Crépidote méchuleux</t>
  </si>
  <si>
    <t>33084 - 511563 - 33084</t>
  </si>
  <si>
    <t>Crépidote de Lundell</t>
  </si>
  <si>
    <t>33087 - 33124 - 33090 - 33087 - 511565 - 469621 - 511564 - 972072</t>
  </si>
  <si>
    <t>Crépidote des conifères.</t>
  </si>
  <si>
    <t>33091 - 33091</t>
  </si>
  <si>
    <t>Crépidote rouge cinnabre</t>
  </si>
  <si>
    <t>33092 - 33092</t>
  </si>
  <si>
    <t>33096 - 33096</t>
  </si>
  <si>
    <t>33097 - 33098 - 511573 - 33097 - 511568 - 511570 - 511567 - 511571 - 511572 - 511569</t>
  </si>
  <si>
    <t>33108 - 33108 - 974207</t>
  </si>
  <si>
    <t>Crépidote jaunâtre</t>
  </si>
  <si>
    <t>33112 - 33112 - 511580 - 511579 - 511581</t>
  </si>
  <si>
    <t>Crépidote mou</t>
  </si>
  <si>
    <t>33129 - 511588 - 33131 - 33129 - 511589 - 33130 - 33126</t>
  </si>
  <si>
    <t>Crépidote variable</t>
  </si>
  <si>
    <t>33134 - 33135 - 512532 - 512529 - 512527 - 33137 - 512525 - 33136 - 512530 - 33134 - 512526 - 512528 - 512531 - 512524</t>
  </si>
  <si>
    <t>Fausse-chanterelle des charbonnières</t>
  </si>
  <si>
    <t>33147 - 519546 - 33146 - 33144 - 33145</t>
  </si>
  <si>
    <t>519947 - 33157 - 519946</t>
  </si>
  <si>
    <t>33164 - 519955 - 519953 - 519954</t>
  </si>
  <si>
    <t>33170 - 33169 - 33171</t>
  </si>
  <si>
    <t>519958 - 33172 - 519960 - 988077 - 519959 - 519962 - 519961 - 33173</t>
  </si>
  <si>
    <t>33178 - 519963</t>
  </si>
  <si>
    <t>975348 - 33180 - 33181</t>
  </si>
  <si>
    <t>519964 - 33183 - 519966 - 519965</t>
  </si>
  <si>
    <t>33229 - 33187 - 519986 - 33189 - 33188 - 519988 - 519989 - 519987 - 519985 - 33230</t>
  </si>
  <si>
    <t>Tricholome équestre, Chevalier, Tricholome chevalier, Tricholome des chevaliers, Canari, Jaunet</t>
  </si>
  <si>
    <t>33190 - 33191</t>
  </si>
  <si>
    <t>33193 - 33196</t>
  </si>
  <si>
    <t>519973 - 519972 - 33202 - 33200</t>
  </si>
  <si>
    <t>519977 - 33213 - 33211 - 33212</t>
  </si>
  <si>
    <t>33216 - 519978 - 519979 - 33217 - 519980</t>
  </si>
  <si>
    <t>33221 - 519981 - 33219 - 988076 - 988075</t>
  </si>
  <si>
    <t>Colombette</t>
  </si>
  <si>
    <t>33226 - 519982 - 33227 - 33228</t>
  </si>
  <si>
    <t>33233 - 519992 - 519991 - 33232 - 519993 - 519990</t>
  </si>
  <si>
    <t>33240 - 519967 - 519969 - 33239 - 519970 - 973898 - 519968 - 33242 - 973899</t>
  </si>
  <si>
    <t>33388 - 33243 - 519996 - 519997</t>
  </si>
  <si>
    <t>33245 - 520002 - 33244 - 519999 - 519998 - 520001 - 520000</t>
  </si>
  <si>
    <t>Tricholome brun et jaune</t>
  </si>
  <si>
    <t>520007 - 520006 - 520008 - 520004 - 520005 - 33250 - 520003 - 33249</t>
  </si>
  <si>
    <t>33257 - 33258 - 520010</t>
  </si>
  <si>
    <t>33259 - 520012 - 520011 - 33261</t>
  </si>
  <si>
    <t>33267 - 520014 - 520013</t>
  </si>
  <si>
    <t>520017 - 33280 - 33281</t>
  </si>
  <si>
    <t>33284 - 33285 - 520018</t>
  </si>
  <si>
    <t>520021 - 33292</t>
  </si>
  <si>
    <t>520023 - 33300 - 971140 - 971137</t>
  </si>
  <si>
    <t>33304 - 520024 - 520025 - 975352 - 33305 - 33303</t>
  </si>
  <si>
    <t>Tricholome tigré, Tricholome moucheté, Tricholome rayé, Tricholome léopard, Faux griset, Faux petit-gris, Grivelé</t>
  </si>
  <si>
    <t>520028 - 520027 - 520026 - 33311 - 33309</t>
  </si>
  <si>
    <t>33312 - 33313 - 520032 - 520033 - 520031</t>
  </si>
  <si>
    <t>Tricholome des peupliers</t>
  </si>
  <si>
    <t>975353 - 520030 - 520029 - 33315</t>
  </si>
  <si>
    <t>33316 - 520034 - 33317</t>
  </si>
  <si>
    <t>Tricholome prétentieux, Petit-gris jaune</t>
  </si>
  <si>
    <t>33323 - 520035 - 520036</t>
  </si>
  <si>
    <t>33328 - 33331 - 520071 - 520070</t>
  </si>
  <si>
    <t>520037 - 33336 - 33335</t>
  </si>
  <si>
    <t>520039 - 33340 - 33339 - 520038</t>
  </si>
  <si>
    <t>33349 - 520048 - 520049</t>
  </si>
  <si>
    <t>520051 - 520052 - 520053 - 33352</t>
  </si>
  <si>
    <t>520056 - 520057 - 520058 - 33364 - 975356 - 33362 - 520059</t>
  </si>
  <si>
    <t>Tricholome gravé</t>
  </si>
  <si>
    <t>520061 - 33368 - 33366 - 520063 - 520062</t>
  </si>
  <si>
    <t>520068 - 33380 - 33382</t>
  </si>
  <si>
    <t>33387 - 519951 - 33386 - 33384 - 519952 - 519950</t>
  </si>
  <si>
    <t>520072 - 520073 - 520074 - 33390</t>
  </si>
  <si>
    <t>33401 - 520080 - 33406</t>
  </si>
  <si>
    <t>Tricholome terreux, Petit-gris</t>
  </si>
  <si>
    <t>33404 - 520081 - 520082 - 33405</t>
  </si>
  <si>
    <t>33411 - 33413</t>
  </si>
  <si>
    <t>520085 - 33414 - 520087 - 520083 - 520086 - 33246 - 520084</t>
  </si>
  <si>
    <t>33425 - 520089 - 33423 - 520088</t>
  </si>
  <si>
    <t>33429 - 520091 - 520090</t>
  </si>
  <si>
    <t>520104 - 520102 - 33441 - 33439 - 520103</t>
  </si>
  <si>
    <t>33443 - 520106 - 33445 - 520105 - 33444 - 520107</t>
  </si>
  <si>
    <t>33446 - 520108 - 33449 - 520109</t>
  </si>
  <si>
    <t>33462 - 33462</t>
  </si>
  <si>
    <t>Entolome blanc tomenteux</t>
  </si>
  <si>
    <t>33463 - 33463</t>
  </si>
  <si>
    <t>33474 - 33475 - 33474 - 512007 - 512006 - 512005</t>
  </si>
  <si>
    <t>Entolome à odeur douceâtre</t>
  </si>
  <si>
    <t>33478 - 33478</t>
  </si>
  <si>
    <t>33484 - 512012 - 33485 - 512011 - 33484 - 512013</t>
  </si>
  <si>
    <t>Entolome d'avril</t>
  </si>
  <si>
    <t>33492 - 33494 - 33495 - 33492 - 512020</t>
  </si>
  <si>
    <t>33507 - 33507 - 33508</t>
  </si>
  <si>
    <t>33510 - 512033 - 33512 - 33510</t>
  </si>
  <si>
    <t>Ardoisier</t>
  </si>
  <si>
    <t>33516 - 512038 - 512037 - 512036 - 512035 - 33516 - 33517</t>
  </si>
  <si>
    <t>33519 - 33519</t>
  </si>
  <si>
    <t>33522 - 33523 - 33522</t>
  </si>
  <si>
    <t>33524 - 33526 - 512044 - 33524</t>
  </si>
  <si>
    <t>33534 - 33534</t>
  </si>
  <si>
    <t>33538 - 512065 - 33539 - 33540 - 33538</t>
  </si>
  <si>
    <t>Entolome clandestin</t>
  </si>
  <si>
    <t>33541 - 512068 - 33544 - 512067 - 33542 - 512069 - 33541</t>
  </si>
  <si>
    <t>Entolome en bouclier</t>
  </si>
  <si>
    <t>33550 - 33550</t>
  </si>
  <si>
    <t>33558 - 33558 - 512074 - 512076 - 512075 - 33561 - 512073 - 33980</t>
  </si>
  <si>
    <t>Entolome à spores étoilées</t>
  </si>
  <si>
    <t>33562 - 33562 - 512085 - 512084 - 33563</t>
  </si>
  <si>
    <t>Entolome de petite taille à spores étoilées</t>
  </si>
  <si>
    <t>33566 - 33566 - 33568 - 33567</t>
  </si>
  <si>
    <t>Entolome couleur de corbeau</t>
  </si>
  <si>
    <t>33582 - 33582 - 33583 - 512098 - 512097 - 512096 - 33584</t>
  </si>
  <si>
    <t>33587 - 33587 - 512100 - 512099 - 33530 - 33588</t>
  </si>
  <si>
    <t>33594 - 512107 - 33597 - 512109 - 33595 - 33594 - 512108</t>
  </si>
  <si>
    <t>33598 - 33598 - 512110</t>
  </si>
  <si>
    <t>33606 - 512116 - 33608 - 33609 - 33606</t>
  </si>
  <si>
    <t>Entolome tout bleu</t>
  </si>
  <si>
    <t>33610 - 33610 - 33611</t>
  </si>
  <si>
    <t>Entolome à pied excentrique</t>
  </si>
  <si>
    <t>33613 - 33613 - 33616 - 512117 - 512118 - 512119</t>
  </si>
  <si>
    <t>33617 - 33617</t>
  </si>
  <si>
    <t>33618 - 33618</t>
  </si>
  <si>
    <t>Entolome farineux</t>
  </si>
  <si>
    <t>33619 - 33619</t>
  </si>
  <si>
    <t>Entolome de Favre</t>
  </si>
  <si>
    <t>33627 - 512126 - 33627 - 512127 - 512128 - 33629 - 512129 - 33628 - 34050</t>
  </si>
  <si>
    <t>512138 - 512138</t>
  </si>
  <si>
    <t>33638 - 33638 - 33639 - 512141 - 33640</t>
  </si>
  <si>
    <t>33641 - 33641 - 974332</t>
  </si>
  <si>
    <t>33643 - 33643 - 512149 - 987803 - 512148 - 512147</t>
  </si>
  <si>
    <t>33648 - 512154 - 512151 - 33650 - 33649 - 512152 - 512153 - 33648</t>
  </si>
  <si>
    <t>Entolome à pied grêle</t>
  </si>
  <si>
    <t>33653 - 33652 - 33653 - 33656 - 33654 - 512114 - 512112 - 512113</t>
  </si>
  <si>
    <t>Entolome des marais</t>
  </si>
  <si>
    <t>33657 - 33657</t>
  </si>
  <si>
    <t>Entolome de Henri</t>
  </si>
  <si>
    <t>33658 - 33660 - 512155 - 33658 - 33661 - 512158 - 512157 - 512156 - 33662 - 33659</t>
  </si>
  <si>
    <t>Entolome à pied hirsute</t>
  </si>
  <si>
    <t>33663 - 33663</t>
  </si>
  <si>
    <t>33670 - 33670 - 512164 - 33671 - 512163</t>
  </si>
  <si>
    <t>33672 - 33674 - 512168 - 512169 - 33673 - 512167 - 512166 - 33675 - 33672</t>
  </si>
  <si>
    <t>Entolome à pied vert</t>
  </si>
  <si>
    <t>33685 - 512061 - 33685 - 512062 - 33686</t>
  </si>
  <si>
    <t>33687 - 33687 - 974413</t>
  </si>
  <si>
    <t>33693 - 512181 - 33694 - 512180 - 512182 - 33693</t>
  </si>
  <si>
    <t>33696 - 974415 - 33696 - 512183 - 512184</t>
  </si>
  <si>
    <t>33701 - 33701 - 33702 - 33703</t>
  </si>
  <si>
    <t>33706 - 33707 - 33706 - 512186 - 33708</t>
  </si>
  <si>
    <t>33710 - 33711 - 33710 - 512187 - 33712</t>
  </si>
  <si>
    <t>33720 - 33722 - 33721 - 33720</t>
  </si>
  <si>
    <t>33729 - 33729</t>
  </si>
  <si>
    <t>33733 - 33733 - 974417</t>
  </si>
  <si>
    <t>Entolome blanc livide</t>
  </si>
  <si>
    <t>33735 - 33735 - 33738 - 512191 - 512190</t>
  </si>
  <si>
    <t>33739 - 512327 - 33742 - 33739 - 512328 - 33740 - 971480 - 33741 - 512326 - 33543</t>
  </si>
  <si>
    <t>Entolome livide</t>
  </si>
  <si>
    <t>33743 - 512192 - 33743</t>
  </si>
  <si>
    <t>33746 - 33746</t>
  </si>
  <si>
    <t>33748 - 512195 - 512197 - 33749 - 512196 - 33751 - 512194 - 33748 - 512193</t>
  </si>
  <si>
    <t>33752 - 33752</t>
  </si>
  <si>
    <t>Entolome luisant</t>
  </si>
  <si>
    <t>33757 - 512201 - 512200 - 33757</t>
  </si>
  <si>
    <t>33758 - 33758 - 512202</t>
  </si>
  <si>
    <t>33765 - 33765 - 33766 - 33767 - 512204 - 512206 - 512203 - 512205</t>
  </si>
  <si>
    <t>Entolome de Mougeot</t>
  </si>
  <si>
    <t>33770 - 33770</t>
  </si>
  <si>
    <t>Entolome à pied décolorant</t>
  </si>
  <si>
    <t>33771 - 33771</t>
  </si>
  <si>
    <t>33774 - 512209 - 33774</t>
  </si>
  <si>
    <t>33776 - 33776</t>
  </si>
  <si>
    <t>33789 - 33789</t>
  </si>
  <si>
    <t>Entolome blanc de neige</t>
  </si>
  <si>
    <t>33795 - 33793</t>
  </si>
  <si>
    <t>33797 - 33797 - 33799</t>
  </si>
  <si>
    <t>Entolome brillant</t>
  </si>
  <si>
    <t>33800 - 33800</t>
  </si>
  <si>
    <t>33804 - 33805 - 33804</t>
  </si>
  <si>
    <t>33806 - 974421 - 33806</t>
  </si>
  <si>
    <t>33808 - 33808</t>
  </si>
  <si>
    <t>33811 - 33811</t>
  </si>
  <si>
    <t>33817 - 33814 - 33816</t>
  </si>
  <si>
    <t>33820 - 512225 - 512226 - 512227 - 33822 - 33820</t>
  </si>
  <si>
    <t>Entolome papillé</t>
  </si>
  <si>
    <t>33830 - 33830</t>
  </si>
  <si>
    <t>33833 - 33999 - 33833 - 33834 - 33835</t>
  </si>
  <si>
    <t>33840 - 33486 - 33840 - 512242 - 33843 - 512241 - 512244 - 512238 - 33842 - 512243 - 512240 - 512239</t>
  </si>
  <si>
    <t>Entolome de mail</t>
  </si>
  <si>
    <t>33844 - 33844</t>
  </si>
  <si>
    <t>33847 - 512165 - 33846 - 33845</t>
  </si>
  <si>
    <t>33848 - 512248 - 33848 - 974429</t>
  </si>
  <si>
    <t>Entolome à pied poli</t>
  </si>
  <si>
    <t>33852 - 33852</t>
  </si>
  <si>
    <t>Entolome à pied poli var. discolore</t>
  </si>
  <si>
    <t>33854 - 33854</t>
  </si>
  <si>
    <t>33856 - 33859 - 512251 - 512253 - 512252 - 33856</t>
  </si>
  <si>
    <t>33862 - 512255 - 512259 - 33862 - 512256 - 512258 - 33863 - 987886 - 512260 - 512257 - 512254</t>
  </si>
  <si>
    <t>Entolome porphyre</t>
  </si>
  <si>
    <t>33870 - 33870 - 33873 - 512261</t>
  </si>
  <si>
    <t>Entolome faux-meunier</t>
  </si>
  <si>
    <t>33879 - 33879</t>
  </si>
  <si>
    <t>33880 - 33880 - 33881</t>
  </si>
  <si>
    <t>33882 - 33882</t>
  </si>
  <si>
    <t>33887 - 33889 - 33887 - 33890</t>
  </si>
  <si>
    <t>Entolome de Quélet</t>
  </si>
  <si>
    <t>33891 - 33891 - 33893 - 33892</t>
  </si>
  <si>
    <t>33898 - 33898 - 512269 - 512270 - 33900 - 33899</t>
  </si>
  <si>
    <t>33781 - 512272 - 33782 - 512273 - 33781 - 512271 - 33901 - 33780 - 33902</t>
  </si>
  <si>
    <t>Entolome rose-gris</t>
  </si>
  <si>
    <t>33904 - 33906 - 512275 - 33905 - 33904 - 512274</t>
  </si>
  <si>
    <t>Entolome à spores rhomboïdales</t>
  </si>
  <si>
    <t>33913 - 33913 - 33915 - 512277 - 33914 - 512276</t>
  </si>
  <si>
    <t>Entolome rose</t>
  </si>
  <si>
    <t>33923 - 512283 - 512284 - 512285 - 33923 - 33925</t>
  </si>
  <si>
    <t>33928 - 33928</t>
  </si>
  <si>
    <t>33931 - 33931</t>
  </si>
  <si>
    <t>Entolome de Saunders</t>
  </si>
  <si>
    <t>33942 - 512296 - 512295 - 33942 - 512297 - 33944 - 512294 - 33945</t>
  </si>
  <si>
    <t>Entolome des haies</t>
  </si>
  <si>
    <t>33947 - 33948 - 33947 - 512298</t>
  </si>
  <si>
    <t>33950 - 512310 - 512312 - 512303 - 512301 - 512306 - 512311 - 512309 - 33950 - 512305 - 512300 - 512304 - 512052 - 33036 - 1013580 - 512307 - 33953 - 512302 - 512308</t>
  </si>
  <si>
    <t>Entolome blanc soyeux</t>
  </si>
  <si>
    <t>33954 - 33954 - 512313 - 33955 - 512314</t>
  </si>
  <si>
    <t>Entolome soyeux farineux</t>
  </si>
  <si>
    <t>33956 - 33956 - 33957</t>
  </si>
  <si>
    <t>33958 - 512316 - 512315 - 512317 - 33960</t>
  </si>
  <si>
    <t>33961 - 33961</t>
  </si>
  <si>
    <t>33962 - 33963 - 33962 - 33547 - 512323 - 512322</t>
  </si>
  <si>
    <t>Entolome à arète serrulée</t>
  </si>
  <si>
    <t>33965 - 33965 - 33966 - 512329 - 33967</t>
  </si>
  <si>
    <t>462176 - 462176 - 989061 - 33968 - 512333 - 512331 - 512332 - 989060 - 512330</t>
  </si>
  <si>
    <t>33971 - 33971 - 974445</t>
  </si>
  <si>
    <t>33973 - 33973</t>
  </si>
  <si>
    <t>33976 - 33976</t>
  </si>
  <si>
    <t>33978 - 33978 - 33979</t>
  </si>
  <si>
    <t>Entolome des sphaignes</t>
  </si>
  <si>
    <t>33987 - 974446 - 33987</t>
  </si>
  <si>
    <t>33991 - 33992 - 512342 - 512343 - 33991</t>
  </si>
  <si>
    <t>33993 - 33993</t>
  </si>
  <si>
    <t>33998 - 512346 - 512344 - 512345 - 33998</t>
  </si>
  <si>
    <t>Entolome à pied squamuleux</t>
  </si>
  <si>
    <t>34000 - 34000 - 512103 - 34001 - 512104</t>
  </si>
  <si>
    <t>Entolome dicolore</t>
  </si>
  <si>
    <t>34009 - 34011 - 34012 - 34009</t>
  </si>
  <si>
    <t>34013 - 512352 - 34014 - 972376 - 34016 - 34013 - 512350 - 512351 - 512353</t>
  </si>
  <si>
    <t>Entolome ondoyeux</t>
  </si>
  <si>
    <t>34017 - 34017</t>
  </si>
  <si>
    <t>34022 - 34022</t>
  </si>
  <si>
    <t>34028 - 34028 - 512361 - 34031</t>
  </si>
  <si>
    <t>Entolome printanier</t>
  </si>
  <si>
    <t>34032 - 512364 - 34034 - 34035 - 34033 - 512363 - 34032 - 512362</t>
  </si>
  <si>
    <t>34045 - 34045</t>
  </si>
  <si>
    <t>34049 - 512371 - 34049 - 512370</t>
  </si>
  <si>
    <t>34054 - 34054</t>
  </si>
  <si>
    <t>34058 - 33050 - 34058 - 34061 - 34060 - 508646 - 508645 - 508647 - 34059</t>
  </si>
  <si>
    <t>34066 - 34066</t>
  </si>
  <si>
    <t>Cortinaire vert foncé.</t>
  </si>
  <si>
    <t>34073 - 34073</t>
  </si>
  <si>
    <t>Cortinaire à base orangée</t>
  </si>
  <si>
    <t>34074 - 34074</t>
  </si>
  <si>
    <t>Cortinaire à marge orangée</t>
  </si>
  <si>
    <t>34080 - 34080 - 34081</t>
  </si>
  <si>
    <t>34084 - 34085 - 34086 - 34084</t>
  </si>
  <si>
    <t>34087 - 510482 - 34087</t>
  </si>
  <si>
    <t>Cortinaire à voile azuré</t>
  </si>
  <si>
    <t>34088 - 34088</t>
  </si>
  <si>
    <t>34089 - 34089 - 510483 - 34091 - 510484</t>
  </si>
  <si>
    <t>Cortinaire bleu azur</t>
  </si>
  <si>
    <t>34093 - 510486 - 34093 - 34095</t>
  </si>
  <si>
    <t>34096 - 34740 - 34096 - 510487</t>
  </si>
  <si>
    <t>34097 - 34097 - 34741</t>
  </si>
  <si>
    <t>34103 - 34101 - 510491 - 34102</t>
  </si>
  <si>
    <t>Cortinaire à ceinture bleu de mer</t>
  </si>
  <si>
    <t>34107 - 34108 - 510495 - 34107 - 34109 - 510494 - 510493</t>
  </si>
  <si>
    <t>34110 - 35833 - 510499 - 34110</t>
  </si>
  <si>
    <t>34114 - 34115 - 510501 - 34114 - 510500</t>
  </si>
  <si>
    <t>Cortinaire de Bataille</t>
  </si>
  <si>
    <t>34117 - 34117</t>
  </si>
  <si>
    <t>34119 - 34119</t>
  </si>
  <si>
    <t>Cortinaire du bouleau</t>
  </si>
  <si>
    <t>34120 - 34120</t>
  </si>
  <si>
    <t>Cortinaire bibelot</t>
  </si>
  <si>
    <t>34126 - 34126</t>
  </si>
  <si>
    <t>Cortinaire brun saturé</t>
  </si>
  <si>
    <t>34130 - 34130</t>
  </si>
  <si>
    <t>34132 - 34134 - 510507 - 34132</t>
  </si>
  <si>
    <t>Cortinaire à deux voiles</t>
  </si>
  <si>
    <t>34135 - 34135 - 510509 - 34136</t>
  </si>
  <si>
    <t>Cortinaire teint en rouge</t>
  </si>
  <si>
    <t>34141 - 34141 - 510511 - 510510</t>
  </si>
  <si>
    <t>Cortinaire de Boudier</t>
  </si>
  <si>
    <t>34145 - 34147 - 510514 - 34145</t>
  </si>
  <si>
    <t>Cortinaire des bouviers</t>
  </si>
  <si>
    <t>34149 - 34149 - 34150</t>
  </si>
  <si>
    <t>Cortinaire brun fauve</t>
  </si>
  <si>
    <t>34151 - 34151 - 34153 - 510516</t>
  </si>
  <si>
    <t>Cortinaire brun rouge</t>
  </si>
  <si>
    <t>34159 - 510519 - 34157 - 34159 - 510520 - 510518 - 34158 - 34156</t>
  </si>
  <si>
    <t>Cortinaire bulbeux</t>
  </si>
  <si>
    <t>34160 - 510521 - 34160 - 34162</t>
  </si>
  <si>
    <t>Cortinaire de Bulliard</t>
  </si>
  <si>
    <t>510524 - 510523 - 510525 - 34166</t>
  </si>
  <si>
    <t>Cortinaire bleu</t>
  </si>
  <si>
    <t>34172 - 34172</t>
  </si>
  <si>
    <t>Cortinaire bleu variété à pied pâle</t>
  </si>
  <si>
    <t>34174 - 34174 - 973640 - 34175 - 34183</t>
  </si>
  <si>
    <t>34176 - 34177 - 34176</t>
  </si>
  <si>
    <t>34180 - 34180 - 34181</t>
  </si>
  <si>
    <t>513247 - 34185 - 34187 - 513248</t>
  </si>
  <si>
    <t>34188 - 34188</t>
  </si>
  <si>
    <t>34195 - 34197 - 513263 - 513266 - 34198 - 34195 - 513265 - 513264</t>
  </si>
  <si>
    <t>34199 - 513269 - 513268 - 34199 - 513267</t>
  </si>
  <si>
    <t>34201 - 34202 - 34204 - 513272 - 34201 - 513273 - 34203 - 34229 - 513274</t>
  </si>
  <si>
    <t>Pleurote terrestre</t>
  </si>
  <si>
    <t>34209 - 34210 - 34209 - 34212</t>
  </si>
  <si>
    <t>Pleurote à long pied</t>
  </si>
  <si>
    <t>34217 - 513283 - 513281 - 34218 - 34217 - 513280 - 513282</t>
  </si>
  <si>
    <t>34219 - 34220 - 513288 - 513286 - 513284 - 513285 - 513287 - 34219 - 34222</t>
  </si>
  <si>
    <t>Pleurote pétaloïde</t>
  </si>
  <si>
    <t>34231 - 513304 - 513303 - 513301 - 513302 - 34232 - 34233 - 34231</t>
  </si>
  <si>
    <t>34237 - 34235 - 514515 - 514518 - 514516 - 514517</t>
  </si>
  <si>
    <t>34239 - 514520 - 514522 - 514521 - 34238</t>
  </si>
  <si>
    <t>514539 - 514535 - 34250 - 514540 - 514537 - 34248 - 514538 - 514536</t>
  </si>
  <si>
    <t>34257 - 34255 - 514544 - 514543 - 514542 - 34256</t>
  </si>
  <si>
    <t>34287 - 514557 - 514561 - 514559 - 514558 - 514560 - 34286 - 514562 - 514556</t>
  </si>
  <si>
    <t>34289 - 516180 - 516182 - 34288 - 34290 - 516179 - 34291 - 34292 - 516178 - 516181</t>
  </si>
  <si>
    <t>34309 - 34308 - 509489 - 34309 - 34311 - 975882</t>
  </si>
  <si>
    <t>Pleurote candide</t>
  </si>
  <si>
    <t>34325 - 34326 - 34328 - 34327 - 519024</t>
  </si>
  <si>
    <t>34332 - 516174 - 34334 - 516175</t>
  </si>
  <si>
    <t>Panelle astringente</t>
  </si>
  <si>
    <t>516885 - 516887 - 516888 - 516889 - 34346 - 34344 - 516886</t>
  </si>
  <si>
    <t>516953 - 516949 - 516951 - 34373 - 516952 - 516950 - 516948</t>
  </si>
  <si>
    <t>Corne d'abondance</t>
  </si>
  <si>
    <t>516954 - 516961 - 34376 - 470008 - 981540 - 470009 - 516959 - 34378 - 1015040 - 516956 - 516955 - 516960 - 516957 - 516958 - 34377 - 34381</t>
  </si>
  <si>
    <t>34382 - 34382 - 34383</t>
  </si>
  <si>
    <t>510536 - 34386</t>
  </si>
  <si>
    <t>510428 - 510428</t>
  </si>
  <si>
    <t>34391 - 510541 - 34391 - 510544 - 510540 - 510543 - 34392 - 510542</t>
  </si>
  <si>
    <t>Cortinaire à odeur de pressing ou Cortinaire magnifique</t>
  </si>
  <si>
    <t>Cortinaire décolorant</t>
  </si>
  <si>
    <t>Cortinaire à odeur de rave</t>
  </si>
  <si>
    <t>34416 - 34416</t>
  </si>
  <si>
    <t>34421 - 34421</t>
  </si>
  <si>
    <t>34423 - 34425 - 34423 - 34424</t>
  </si>
  <si>
    <t>Cortinaire caustique</t>
  </si>
  <si>
    <t>34427 - 34427 - 34428</t>
  </si>
  <si>
    <t>Cortinaire des cèdres</t>
  </si>
  <si>
    <t>35725 - 34434 - 35346 - 510570 - 34433</t>
  </si>
  <si>
    <t>34443 - 34443 - 34445</t>
  </si>
  <si>
    <t>Cortinaire rouge cinnabre</t>
  </si>
  <si>
    <t>510577 - 510577</t>
  </si>
  <si>
    <t>Cortinaire à lames cannelle</t>
  </si>
  <si>
    <t>34453 - 34453 - 34447 - 34446</t>
  </si>
  <si>
    <t>Cortinaire fauve cannelle</t>
  </si>
  <si>
    <t>34455 - 34455 - 34459</t>
  </si>
  <si>
    <t>Cortinaire jaune cannelle</t>
  </si>
  <si>
    <t>510588 - 34466 - 510585 - 34460 - 510586 - 34457 - 34463 - 510587</t>
  </si>
  <si>
    <t>Cortinaire cannelle</t>
  </si>
  <si>
    <t>34469 - 34469</t>
  </si>
  <si>
    <t>Cortinaire cannelle violacé</t>
  </si>
  <si>
    <t>34473 - 34473</t>
  </si>
  <si>
    <t>Cortinaire citrin fauvâtre</t>
  </si>
  <si>
    <t>34474 - 34474 - 34475</t>
  </si>
  <si>
    <t>Cortinaire citrin lilacin</t>
  </si>
  <si>
    <t>34477 - 510596 - 34477</t>
  </si>
  <si>
    <t>Cortinaire citrin</t>
  </si>
  <si>
    <t>516968 - 34478 - 516966 - 976704 - 516962 - 516967 - 976705 - 516964 - 516963 - 516965</t>
  </si>
  <si>
    <t>34485 - 34486 - 975094 - 516969</t>
  </si>
  <si>
    <t>516974 - 34502 - 34488 - 516975 - 516976 - 516977</t>
  </si>
  <si>
    <t>Pleurote en huître</t>
  </si>
  <si>
    <t>34499 - 34498 - 516978</t>
  </si>
  <si>
    <t>974965 - 34506 - 34508 - 518322 - 34507 - 518319 - 518318 - 518323 - 972459 - 518320 - 518321</t>
  </si>
  <si>
    <t>34519 - 34511 - 34510 - 518343 - 34518 - 34517 - 518344 - 518341 - 518342 - 518345 - 518346</t>
  </si>
  <si>
    <t>518454 - 34521 - 518453 - 34522 - 518455 - 518456</t>
  </si>
  <si>
    <t>34527 - 900675 - 518919 - 910229 - 900676 - 518918 - 518920</t>
  </si>
  <si>
    <t>34536 - 519480 - 34534 - 34535</t>
  </si>
  <si>
    <t>34543 - 34543</t>
  </si>
  <si>
    <t>Alnicole amère</t>
  </si>
  <si>
    <t>34546 - 34547 - 34546</t>
  </si>
  <si>
    <t>Alnicole de Bohême</t>
  </si>
  <si>
    <t>34560 - 34560</t>
  </si>
  <si>
    <t>Alnicole laineuse</t>
  </si>
  <si>
    <t>508183 - 508181 - 34563 - 993963 - 508185</t>
  </si>
  <si>
    <t>Alnicole jaunâtre</t>
  </si>
  <si>
    <t>34579 - 34579 - 508205</t>
  </si>
  <si>
    <t>Alnicole couleur d'ombre</t>
  </si>
  <si>
    <t>34577 - 970227 - 34577 - 34580 - 508197 - 508195 - 508196 - 34581 - 34578</t>
  </si>
  <si>
    <t>Alnicole rougeâtre</t>
  </si>
  <si>
    <t>34586 - 34586</t>
  </si>
  <si>
    <t>Alnicole des sphaignes</t>
  </si>
  <si>
    <t>34566 - 976709 - 34566 - 34588 - 34589 - 508201</t>
  </si>
  <si>
    <t>Alnicole des marais</t>
  </si>
  <si>
    <t>34599 - 34599</t>
  </si>
  <si>
    <t>511008 - 510417 - 34970 - 511008 - 34971 - 510418 - 510808 - 461515 - 510807 - 34602 - 35492 - 34601 - 469482 - 461524 - 34600</t>
  </si>
  <si>
    <t>Cortinaire blanc et violet</t>
  </si>
  <si>
    <t>34606 - 510419 - 34607 - 35515 - 34605</t>
  </si>
  <si>
    <t>Cortinaire à odeur de farine.</t>
  </si>
  <si>
    <t>34608 - 510421 - 510422 - 34608 - 34609</t>
  </si>
  <si>
    <t>Cortinaire boueux</t>
  </si>
  <si>
    <t>34611 - 510423 - 34611</t>
  </si>
  <si>
    <t>Cortinaire de l'aulne</t>
  </si>
  <si>
    <t>34613 - 34613</t>
  </si>
  <si>
    <t>Cortinaire subalpin.</t>
  </si>
  <si>
    <t>34618 - 34619 - 34617</t>
  </si>
  <si>
    <t>34624 - 34624 - 34625 - 510436 - 510435 - 34626</t>
  </si>
  <si>
    <t>Cortinaire anormal ou Cortinaire irrégulier</t>
  </si>
  <si>
    <t>34630 - 34630 - 974064</t>
  </si>
  <si>
    <t>Cortinaire à odeur d'oie rôtie</t>
  </si>
  <si>
    <t>34632 - 34632 - 34633 - 34631 - 510431</t>
  </si>
  <si>
    <t>Cortinaire à odeur de prune</t>
  </si>
  <si>
    <t>34634 - 35669 - 469557 - 34634 - 510437 - 469558 - 510438 - 35670</t>
  </si>
  <si>
    <t>Cortinaire brun noir</t>
  </si>
  <si>
    <t>511200 - 972057 - 34636</t>
  </si>
  <si>
    <t>Cortinaire pourpre bai</t>
  </si>
  <si>
    <t>34641 - 510443 - 34641</t>
  </si>
  <si>
    <t>34642 - 34642</t>
  </si>
  <si>
    <t>34643 - 34644 - 34643</t>
  </si>
  <si>
    <t>34646 - 510452 - 34646 - 34647</t>
  </si>
  <si>
    <t>Cortinaire argenté</t>
  </si>
  <si>
    <t>34649 - 34650 - 34649</t>
  </si>
  <si>
    <t>Cortinaire argenté lilacin</t>
  </si>
  <si>
    <t>34651 - 510455</t>
  </si>
  <si>
    <t>34652 - 513962 - 34652</t>
  </si>
  <si>
    <t>Inocybe à odeur de poisson</t>
  </si>
  <si>
    <t>34653 - 513964 - 34653 - 34655</t>
  </si>
  <si>
    <t>Inocybe tardif</t>
  </si>
  <si>
    <t>34657 - 34658 - 34657</t>
  </si>
  <si>
    <t>Inocybe à pied blanc</t>
  </si>
  <si>
    <t>34659 - 34659</t>
  </si>
  <si>
    <t>Inocybe brun noisette</t>
  </si>
  <si>
    <t>34674 - 34674 - 36495 - 513971</t>
  </si>
  <si>
    <t>Inocybe pudique</t>
  </si>
  <si>
    <t>34688 - 510753 - 510755 - 510754 - 34688 - 973646 - 34888 - 510752</t>
  </si>
  <si>
    <t>34691 - 34691 - 510465 - 510466 - 34693</t>
  </si>
  <si>
    <t>Cortinaire voilé à collier</t>
  </si>
  <si>
    <t>510612 - 510613 - 510611 - 510614 - 34703</t>
  </si>
  <si>
    <t>Cortinaire de couleur claire variété grégaire</t>
  </si>
  <si>
    <t>34704 - 34704 - 34706</t>
  </si>
  <si>
    <t>34707 - 510615 - 34707</t>
  </si>
  <si>
    <t>Cortinaire jaune clair</t>
  </si>
  <si>
    <t>34717 - 34719 - 34717</t>
  </si>
  <si>
    <t>34721 - 510630 - 34721 - 34722</t>
  </si>
  <si>
    <t>34723 - 34723</t>
  </si>
  <si>
    <t>34725 - 34725 - 34726 - 510632 - 34727</t>
  </si>
  <si>
    <t>35633 - 35635 - 511307 - 35636 - 35633 - 974187 - 34729</t>
  </si>
  <si>
    <t>Cortinaire roux</t>
  </si>
  <si>
    <t>34732 - 34733 - 34732</t>
  </si>
  <si>
    <t>34736 - 34738 - 510641 - 34736</t>
  </si>
  <si>
    <t>Cortinaire cotoneux</t>
  </si>
  <si>
    <t>34739 - 510644 - 510643 - 34739 - 510645 - 992552</t>
  </si>
  <si>
    <t>34743 - 34745 - 510649 - 974114 - 34743 - 510648 - 510647</t>
  </si>
  <si>
    <t>Cortinaire jaune et bleu</t>
  </si>
  <si>
    <t>34746 - 34746 - 510651 - 34748 - 34747</t>
  </si>
  <si>
    <t>34751 - 510658 - 34753 - 510657 - 34752 - 510655 - 34751 - 510656</t>
  </si>
  <si>
    <t>Cortinaire safran</t>
  </si>
  <si>
    <t>34756 - 34756</t>
  </si>
  <si>
    <t>Cortinaire triomphant forme grêle</t>
  </si>
  <si>
    <t>34757 - 34757</t>
  </si>
  <si>
    <t>34763 - 34763</t>
  </si>
  <si>
    <t>34767 - 510664 - 34767 - 973650 - 510663</t>
  </si>
  <si>
    <t>34769 - 34769</t>
  </si>
  <si>
    <t>34771 - 510668 - 34771 - 34773 - 510669</t>
  </si>
  <si>
    <t>34775 - 34775 - 34774</t>
  </si>
  <si>
    <t>34778 - 34778</t>
  </si>
  <si>
    <t>34780 - 34781 - 34780 - 510673</t>
  </si>
  <si>
    <t>34783 - 34783</t>
  </si>
  <si>
    <t>34785 - 34786 - 34785</t>
  </si>
  <si>
    <t>34795 - 34795</t>
  </si>
  <si>
    <t>34802 - 34802</t>
  </si>
  <si>
    <t>34807 - 34807</t>
  </si>
  <si>
    <t>34808 - 510688 - 510689 - 510687 - 34808 - 510686</t>
  </si>
  <si>
    <t>Cortinaire pommadé</t>
  </si>
  <si>
    <t>34812 - 34812</t>
  </si>
  <si>
    <t>34815 - 34815 - 34809 - 510883 - 34814</t>
  </si>
  <si>
    <t>34816 - 34816</t>
  </si>
  <si>
    <t>34818 - 34818</t>
  </si>
  <si>
    <t>34820 - 34820 - 510698 - 34173 - 510697 - 34821</t>
  </si>
  <si>
    <t>34823 - 34823 - 510699 - 34822</t>
  </si>
  <si>
    <t>34825 - 510701 - 34825</t>
  </si>
  <si>
    <t>34831 - 34832 - 34831</t>
  </si>
  <si>
    <t>34835 - 34835</t>
  </si>
  <si>
    <t>34839 - 34839 - 34841 - 34840 - 510706</t>
  </si>
  <si>
    <t>34843 - 972061</t>
  </si>
  <si>
    <t>34845 - 34845</t>
  </si>
  <si>
    <t>34848 - 34848 - 34849</t>
  </si>
  <si>
    <t>Cortinaire de Denise</t>
  </si>
  <si>
    <t>34851 - 34851</t>
  </si>
  <si>
    <t>Cortinaire à deux odeurs</t>
  </si>
  <si>
    <t>34855 - 34855 - 34856</t>
  </si>
  <si>
    <t>Cortinaire à pied dur</t>
  </si>
  <si>
    <t>34859 - 34859</t>
  </si>
  <si>
    <t>Cortinaire blanc ivoire</t>
  </si>
  <si>
    <t>34869 - 510732 - 34869 - 510731 - 510729 - 34865 - 510730</t>
  </si>
  <si>
    <t>Cortinaire très élégant</t>
  </si>
  <si>
    <t>34872 - 34872</t>
  </si>
  <si>
    <t>34878 - 34878 - 510746 - 510745 - 510748 - 510747</t>
  </si>
  <si>
    <t>34412 - 34882 - 510749</t>
  </si>
  <si>
    <t>34893 - 34893</t>
  </si>
  <si>
    <t>34896 - 34896</t>
  </si>
  <si>
    <t>34898 - 510760 - 34898 - 35377</t>
  </si>
  <si>
    <t>34899 - 34899 - 510764 - 510765 - 510763</t>
  </si>
  <si>
    <t>510766 - 510766 - 510767 - 34901 - 975956</t>
  </si>
  <si>
    <t>Cortinaire strié</t>
  </si>
  <si>
    <t>34904 - 510769 - 34904 - 972062 - 510770 - 34906</t>
  </si>
  <si>
    <t>Cortinaire châtain</t>
  </si>
  <si>
    <t>35327 - 35327 - 35328 - 34907 - 510772</t>
  </si>
  <si>
    <t>34919 - 34919</t>
  </si>
  <si>
    <t>34922 - 34922</t>
  </si>
  <si>
    <t>34923 - 34923</t>
  </si>
  <si>
    <t>34925 - 34925</t>
  </si>
  <si>
    <t>34930 - 34930 - 34929</t>
  </si>
  <si>
    <t>34931 - 34933 - 510784 - 34931</t>
  </si>
  <si>
    <t>Cortinaire à pied flexueux</t>
  </si>
  <si>
    <t>34939 - 974123 - 34939</t>
  </si>
  <si>
    <t>34942 - 34942</t>
  </si>
  <si>
    <t>510791 - 974124 - 34944 - 510790 - 35695</t>
  </si>
  <si>
    <t>34952 - 34952 - 34953</t>
  </si>
  <si>
    <t>34954 - 34954</t>
  </si>
  <si>
    <t>34958 - 34958</t>
  </si>
  <si>
    <t>34959 - 34959</t>
  </si>
  <si>
    <t>510801 - 510800 - 34961</t>
  </si>
  <si>
    <t>34963 - 34963 - 34962</t>
  </si>
  <si>
    <t>34967 - 34967</t>
  </si>
  <si>
    <t>34976 - 510815 - 34976 - 510814 - 34977</t>
  </si>
  <si>
    <t>34983 - 34983 - 34984 - 29303 - 510819</t>
  </si>
  <si>
    <t>Cortinaire couleur de gland</t>
  </si>
  <si>
    <t>34989 - 34989 - 34991 - 510821 - 510822</t>
  </si>
  <si>
    <t>Cortinaire à pied glauque</t>
  </si>
  <si>
    <t>34992 - 34993 - 34992 - 510823</t>
  </si>
  <si>
    <t>34994 - 34994 - 510826 - 510827</t>
  </si>
  <si>
    <t>34998 - 34998</t>
  </si>
  <si>
    <t>34999 - 34999 - 35000</t>
  </si>
  <si>
    <t>35005 - 35005 - 35006</t>
  </si>
  <si>
    <t>35009 - 510839 - 510837 - 35009 - 510838</t>
  </si>
  <si>
    <t>35012 - 35012</t>
  </si>
  <si>
    <t>35013 - 510841 - 510843 - 510842 - 35013</t>
  </si>
  <si>
    <t>Cortinaire helvelle</t>
  </si>
  <si>
    <t>35016 - 510845 - 35016 - 35018 - 974126 - 510844</t>
  </si>
  <si>
    <t>35019 - 510848 - 35021 - 35019 - 35020</t>
  </si>
  <si>
    <t>Cortinaire semi-poilu</t>
  </si>
  <si>
    <t>35025 - 35025 - 35026</t>
  </si>
  <si>
    <t>Cortinaire herculéen</t>
  </si>
  <si>
    <t>35035 - 35035</t>
  </si>
  <si>
    <t>Cortinaire de Hillier</t>
  </si>
  <si>
    <t>35037 - 510862 - 35037 - 510860</t>
  </si>
  <si>
    <t>Cortinaire à couleur de faon</t>
  </si>
  <si>
    <t>35044 - 35044</t>
  </si>
  <si>
    <t>Cortinaire faux hinnuleus</t>
  </si>
  <si>
    <t>35045 - 35045</t>
  </si>
  <si>
    <t>35047 - 510551 - 35047 - 510553 - 510552 - 510554</t>
  </si>
  <si>
    <t>Cortinaire camphré ou Cortinaire à odeur de corne brûlée</t>
  </si>
  <si>
    <t>35052 - 35052</t>
  </si>
  <si>
    <t>35054 - 35054 - 35056 - 510878 - 510877 - 35055</t>
  </si>
  <si>
    <t>Cortinaire humicole</t>
  </si>
  <si>
    <t>35061 - 35061</t>
  </si>
  <si>
    <t>35062 - 35062 - 510884</t>
  </si>
  <si>
    <t>35071 - 510899 - 35071 - 35073 - 35072 - 510900 - 510898</t>
  </si>
  <si>
    <t>Cortinaire à bord rompu ou Cortinaire à marge brisée</t>
  </si>
  <si>
    <t>35076 - 510903 - 35077 - 35076</t>
  </si>
  <si>
    <t>35086 - 35086</t>
  </si>
  <si>
    <t>Cortinaire vert et violet</t>
  </si>
  <si>
    <t>35095 - 35096 - 35095 - 974142</t>
  </si>
  <si>
    <t>Cortinaire isabelle</t>
  </si>
  <si>
    <t>35098 - 35098</t>
  </si>
  <si>
    <t>35099 - 35100 - 35099 - 510926 - 35101</t>
  </si>
  <si>
    <t>35110 - 35111 - 976084 - 35110</t>
  </si>
  <si>
    <t>Cortinaire de lange</t>
  </si>
  <si>
    <t>35113 - 510937 - 510936 - 35113 - 510935 - 35114</t>
  </si>
  <si>
    <t>Cortinaire laineux</t>
  </si>
  <si>
    <t>35116 - 35116</t>
  </si>
  <si>
    <t>35121 - 35121 - 510941 - 35122 - 510940</t>
  </si>
  <si>
    <t>Cortinaire large</t>
  </si>
  <si>
    <t>35130 - 510951 - 510950 - 35130 - 35131</t>
  </si>
  <si>
    <t>35138 - 510959 - 35138 - 35140 - 510960 - 34393</t>
  </si>
  <si>
    <t>35146 - 35147</t>
  </si>
  <si>
    <t>35149 - 35149 - 35148 - 510889 - 510890</t>
  </si>
  <si>
    <t>35158 - 974146 - 35161 - 35158</t>
  </si>
  <si>
    <t>35165 - 510986 - 35164 - 35163</t>
  </si>
  <si>
    <t>35167 - 35167 - 510987 - 35169</t>
  </si>
  <si>
    <t>Cortinaire mauve</t>
  </si>
  <si>
    <t>35168 - 35168 - 511425</t>
  </si>
  <si>
    <t>35170 - 35170 - 35172</t>
  </si>
  <si>
    <t>Cortinaire à chair olive ou Cortinaire orangé</t>
  </si>
  <si>
    <t>35175 - 35177 - 35175</t>
  </si>
  <si>
    <t>35180 - 35180</t>
  </si>
  <si>
    <t>35648 - 975868 - 35648 - 510989 - 35183 - 510990</t>
  </si>
  <si>
    <t>Cortinaire de Meinhard Moser</t>
  </si>
  <si>
    <t>35186 - 35187 - 35186</t>
  </si>
  <si>
    <t>Cortinaire à squames brunes ou à odeur de persil</t>
  </si>
  <si>
    <t>35189 - 510799 - 35189 - 510798</t>
  </si>
  <si>
    <t>35199 - 510996 - 35199 - 510997</t>
  </si>
  <si>
    <t>35201 - 35201</t>
  </si>
  <si>
    <t>35206 - 35206 - 35207</t>
  </si>
  <si>
    <t>Cortinaire sanguin</t>
  </si>
  <si>
    <t>35209 - 35210 - 35209</t>
  </si>
  <si>
    <t>Cortinaire de Moënne-Loccoz</t>
  </si>
  <si>
    <t>35213 - 35214 - 35213 - 35216 - 35391 - 34876 - 511011 - 511010</t>
  </si>
  <si>
    <t>Cortinaire presque muqueux</t>
  </si>
  <si>
    <t>35215 - 511189</t>
  </si>
  <si>
    <t>Cortinaire faux "salor"</t>
  </si>
  <si>
    <t>35217 - 35219 - 511012 - 35217</t>
  </si>
  <si>
    <t>511015 - 511015 - 511016 - 511014 - 35222 - 511017 - 511013 - 35220</t>
  </si>
  <si>
    <t>Cortinaire des collines</t>
  </si>
  <si>
    <t>35224 - 511018 - 35224 - 35226</t>
  </si>
  <si>
    <t>Cortinaire multiforme</t>
  </si>
  <si>
    <t>35234 - 511022 - 511024 - 511023 - 35234</t>
  </si>
  <si>
    <t>Cortinaire des myrtilles</t>
  </si>
  <si>
    <t>35236 - 35236 - 511025</t>
  </si>
  <si>
    <t>35238 - 35238 - 35240 - 511019 - 511020 - 35239</t>
  </si>
  <si>
    <t>Cortinaire de Nancy</t>
  </si>
  <si>
    <t>35243 - 511028 - 35243</t>
  </si>
  <si>
    <t>Cortinaire navet</t>
  </si>
  <si>
    <t>35244 - 35244</t>
  </si>
  <si>
    <t>35246 - 35246 - 511030</t>
  </si>
  <si>
    <t>Cortinaire nébuleux</t>
  </si>
  <si>
    <t>35249 - 511444 - 35249 - 511443 - 35250 - 35248</t>
  </si>
  <si>
    <t>Cortinaire des bois</t>
  </si>
  <si>
    <t>35260 - 35260 - 35259</t>
  </si>
  <si>
    <t>Cortinaire de Ricken</t>
  </si>
  <si>
    <t>35261 - 35263 - 35261 - 510902 - 510901 - 469462</t>
  </si>
  <si>
    <t>35264 - 35264</t>
  </si>
  <si>
    <t>35267 - 35268 - 35267 - 511040 - 511041</t>
  </si>
  <si>
    <t>Cortinaire obtus</t>
  </si>
  <si>
    <t>35273 - 511047 - 35274 - 35273 - 511046</t>
  </si>
  <si>
    <t>Cortinaire ocre blanc</t>
  </si>
  <si>
    <t>35277 - 35276 - 35275 - 511048</t>
  </si>
  <si>
    <t>35278 - 35278</t>
  </si>
  <si>
    <t>510922 - 510923 - 35283 - 510922 - 35280 - 510924 - 35281</t>
  </si>
  <si>
    <t>Cortinaire odorant</t>
  </si>
  <si>
    <t>35291 - 35291</t>
  </si>
  <si>
    <t>35293 - 35293</t>
  </si>
  <si>
    <t>511053 - 511053 - 35294</t>
  </si>
  <si>
    <t>35295 - 35295 - 511054 - 511055 - 35296</t>
  </si>
  <si>
    <t>Cortinaire parfumé</t>
  </si>
  <si>
    <t>511480 - 511478 - 511479 - 511481 - 35297</t>
  </si>
  <si>
    <t>35299 - 511059 - 35302 - 511057 - 511058 - 35299 - 35300</t>
  </si>
  <si>
    <t>35303 - 35303 - 511060 - 511062 - 511061</t>
  </si>
  <si>
    <t>Cortinaire olivacé</t>
  </si>
  <si>
    <t>35304 - 35304</t>
  </si>
  <si>
    <t>35305 - 511063 - 511064</t>
  </si>
  <si>
    <t>35310 - 35310</t>
  </si>
  <si>
    <t>35311 - 35313 - 35312 - 35311</t>
  </si>
  <si>
    <t>35314 - 35314</t>
  </si>
  <si>
    <t xml:space="preserve">Cortinaire faux "couleur de Rocou" </t>
  </si>
  <si>
    <t>35315 - 35315 - 511071</t>
  </si>
  <si>
    <t>Cortinaire à couleur de rocou, Cortinaire des montagnes</t>
  </si>
  <si>
    <t>35322 - 35321 - 511074 - 35322 - 35323</t>
  </si>
  <si>
    <t>Cortinaire pailleté</t>
  </si>
  <si>
    <t>35340 - 35340 - 511083 - 35341</t>
  </si>
  <si>
    <t>Cortinaire palustre</t>
  </si>
  <si>
    <t>35344 - 35344</t>
  </si>
  <si>
    <t>35348 - 35348</t>
  </si>
  <si>
    <t>35349 - 35349 - 34947 - 510797</t>
  </si>
  <si>
    <t>Cortinaire  flamboyant</t>
  </si>
  <si>
    <t>35357 - 35357</t>
  </si>
  <si>
    <t>35358 - 35358 - 511106 - 511105</t>
  </si>
  <si>
    <t>Cortinaire petit</t>
  </si>
  <si>
    <t>35361 - 35361</t>
  </si>
  <si>
    <t>Cortinaire pivoine</t>
  </si>
  <si>
    <t>35367 - 35369 - 35367</t>
  </si>
  <si>
    <t>Cortinaire gracieux ou Cortinaire aromatique</t>
  </si>
  <si>
    <t>35384 - 511123 - 35385 - 35384 - 34451 - 511122</t>
  </si>
  <si>
    <t>Cortinaire de Phénicie</t>
  </si>
  <si>
    <t>35387 - 35387 - 511127 - 511126 - 511124 - 978580 - 511125</t>
  </si>
  <si>
    <t>Cortinaire écailleux</t>
  </si>
  <si>
    <t>35392 - 511130 - 35393 - 35392</t>
  </si>
  <si>
    <t>35395 - 35395</t>
  </si>
  <si>
    <t>35398 - 35398</t>
  </si>
  <si>
    <t>35401 - 35401 - 35402</t>
  </si>
  <si>
    <t>35406 - 35406</t>
  </si>
  <si>
    <t>Cortinaire polyporphe</t>
  </si>
  <si>
    <t>35412 - 511140 - 35412 - 511139</t>
  </si>
  <si>
    <t>Cortinaire à pied porphyre</t>
  </si>
  <si>
    <t>35415 - 511144 - 511146 - 511145 - 511143 - 511147 - 35119 - 35415</t>
  </si>
  <si>
    <t>Cortinaire remarquable</t>
  </si>
  <si>
    <t>35418 - 35418</t>
  </si>
  <si>
    <t>35420 - 511150 - 35419</t>
  </si>
  <si>
    <t>Cortinaire couleur de poireau</t>
  </si>
  <si>
    <t>35421 - 35421</t>
  </si>
  <si>
    <t>Cortinaire des prés</t>
  </si>
  <si>
    <t>35424 - 35425</t>
  </si>
  <si>
    <t>35429 - 35429</t>
  </si>
  <si>
    <t>35435 - 35435 - 34161 - 511165</t>
  </si>
  <si>
    <t>35436 - 35436</t>
  </si>
  <si>
    <t>Cortinaire faux "crassus"</t>
  </si>
  <si>
    <t>35441 - 35441</t>
  </si>
  <si>
    <t>Cortinaire faux "diabolicus"</t>
  </si>
  <si>
    <t>35444 - 35444</t>
  </si>
  <si>
    <t>Cortinaire faux "fulgens"</t>
  </si>
  <si>
    <t>35445 - 35445</t>
  </si>
  <si>
    <t>Cortinaire faux "fulmineus"</t>
  </si>
  <si>
    <t>35447 - 35447 - 511179</t>
  </si>
  <si>
    <t>Cortinaire faux "glaucopus"</t>
  </si>
  <si>
    <t>35458 - 35458</t>
  </si>
  <si>
    <t>Cortinaire faux "suillus"</t>
  </si>
  <si>
    <t>35470 - 35470</t>
  </si>
  <si>
    <t>968818 - 968818 - 974368 - 35475</t>
  </si>
  <si>
    <t>Cortinaire pourpre</t>
  </si>
  <si>
    <t>35485 - 35485</t>
  </si>
  <si>
    <t>35488 - 35488</t>
  </si>
  <si>
    <t>Cortinaire du chêne vert</t>
  </si>
  <si>
    <t>35494 - 511205 - 35494 - 35495</t>
  </si>
  <si>
    <t>Cortinaire rapace</t>
  </si>
  <si>
    <t>35506 - 35288 - 35506 - 35507</t>
  </si>
  <si>
    <t>Cortinaire du roi de Rome</t>
  </si>
  <si>
    <t>35508 - 35508 - 35510 - 35509</t>
  </si>
  <si>
    <t>Cortinaire anguleux</t>
  </si>
  <si>
    <t>35513 - 35513</t>
  </si>
  <si>
    <t>Cortinaire à odeur de rhubarbe</t>
  </si>
  <si>
    <t>511214 - 511214 - 511215 - 35514</t>
  </si>
  <si>
    <t>511219 - 968814 - 511221 - 511220 - 35517</t>
  </si>
  <si>
    <t>35519 - 35519 - 974369 - 511226</t>
  </si>
  <si>
    <t>35526 - 35526</t>
  </si>
  <si>
    <t>Cortinaire à pied rougeâtre</t>
  </si>
  <si>
    <t>35527 - 35527 - 35529 - 511232 - 511233 - 35528</t>
  </si>
  <si>
    <t>Cortinaire rubicond</t>
  </si>
  <si>
    <t>35531 - 35533 - 35531 - 511234 - 974359</t>
  </si>
  <si>
    <t>35551 - 511250 - 35551</t>
  </si>
  <si>
    <t>35555 - 35555</t>
  </si>
  <si>
    <t>Cortinaire à pied safran</t>
  </si>
  <si>
    <t>35559 - 511255 - 35559 - 511254 - 511253</t>
  </si>
  <si>
    <t>35560 - 35560</t>
  </si>
  <si>
    <t>35561 - 35561</t>
  </si>
  <si>
    <t>35562 - 35562</t>
  </si>
  <si>
    <t>Cortinaire des saules</t>
  </si>
  <si>
    <t>35563 - 35563 - 35565</t>
  </si>
  <si>
    <t>Cortinaire bleu de mer</t>
  </si>
  <si>
    <t>34880 - 34880 - 510939 - 35564 - 510938</t>
  </si>
  <si>
    <t>35566 - 35566 - 511257 - 35568</t>
  </si>
  <si>
    <t>35567 - 35567 - 511199</t>
  </si>
  <si>
    <t>Cortinaire rouge ponceau</t>
  </si>
  <si>
    <t>35569 - 35569</t>
  </si>
  <si>
    <t>35573 - 511263 - 35575 - 35574 - 35573</t>
  </si>
  <si>
    <t>Cortinaire des bourbiers</t>
  </si>
  <si>
    <t>35576 - 35576 - 511265 - 511264</t>
  </si>
  <si>
    <t>35577 - 35577</t>
  </si>
  <si>
    <t>35578 - 35578 - 511268</t>
  </si>
  <si>
    <t>35586 - 35586</t>
  </si>
  <si>
    <t>35591 - 974374 - 974372 - 35591 - 511275</t>
  </si>
  <si>
    <t>35601 - 511279 - 35601 - 511280</t>
  </si>
  <si>
    <t>35603 - 35606 - 511284 - 511285 - 35603 - 35308 - 511283 - 511286</t>
  </si>
  <si>
    <t>Cortinaire à demi sanguin</t>
  </si>
  <si>
    <t>35610 - 35610</t>
  </si>
  <si>
    <t>35613 - 35615 - 35613</t>
  </si>
  <si>
    <t>35621 - 35621 - 35623 - 35622</t>
  </si>
  <si>
    <t>Cortinaire reconnu par la soude</t>
  </si>
  <si>
    <t>35626 - 35628 - 35626 - 511297</t>
  </si>
  <si>
    <t>Cortinaire soleil couchant</t>
  </si>
  <si>
    <t>35629 - 35629</t>
  </si>
  <si>
    <t>35630 - 35630</t>
  </si>
  <si>
    <t>35640 - 35640 - 511313</t>
  </si>
  <si>
    <t>35646 - 35646 - 511315 - 35647 - 511316</t>
  </si>
  <si>
    <t>Cortinaire resplendissant</t>
  </si>
  <si>
    <t>35652 - 35652</t>
  </si>
  <si>
    <t>35654 - 35656 - 35654 - 511320</t>
  </si>
  <si>
    <t>35658 - 511321 - 35658</t>
  </si>
  <si>
    <t>Cortinaire dégouttant</t>
  </si>
  <si>
    <t>35659 - 35659 - 510910</t>
  </si>
  <si>
    <t>35661 - 35661</t>
  </si>
  <si>
    <t>35672 - 511323 - 35674 - 35672 - 35673</t>
  </si>
  <si>
    <t>Cortinaire proche d'arquatus</t>
  </si>
  <si>
    <t>35675 - 35675 - 35676</t>
  </si>
  <si>
    <t>Cortinaire des bouleaux</t>
  </si>
  <si>
    <t>511327 - 35682</t>
  </si>
  <si>
    <t>35683 - 510597 - 510598 - 35683</t>
  </si>
  <si>
    <t>Cortinaire de couleur claire ou Cortinaire voilé de blanc</t>
  </si>
  <si>
    <t>35686 - 35686 - 511337</t>
  </si>
  <si>
    <t>Cortinaire proche d'elegantior</t>
  </si>
  <si>
    <t>35691 - 35691 - 511338 - 35692</t>
  </si>
  <si>
    <t>Cortinaire proche de ferrugineus</t>
  </si>
  <si>
    <t>35700 - 35700</t>
  </si>
  <si>
    <t>35704 - 35704</t>
  </si>
  <si>
    <t>35707 - 511350 - 35707</t>
  </si>
  <si>
    <t>35708 - 35708 - 511356 - 511354 - 511352 - 511355 - 511353 - 511351</t>
  </si>
  <si>
    <t>Cortinaire presque purpurescent</t>
  </si>
  <si>
    <t>35712 - 35712</t>
  </si>
  <si>
    <t>35718 - 511361 - 511362 - 35718</t>
  </si>
  <si>
    <t>Cortinaire jaune olivacé</t>
  </si>
  <si>
    <t>35730 - 35730 - 35729</t>
  </si>
  <si>
    <t>35731 - 35731</t>
  </si>
  <si>
    <t>Cortinaire des porcs</t>
  </si>
  <si>
    <t>35736 - 35736</t>
  </si>
  <si>
    <t>35738 - 511383 - 511384 - 511382 - 35738 - 511381</t>
  </si>
  <si>
    <t>Cortinaire à talon</t>
  </si>
  <si>
    <t>35742 - 35742</t>
  </si>
  <si>
    <t>Cortinaire de Terpsichore</t>
  </si>
  <si>
    <t>35743 - 35743</t>
  </si>
  <si>
    <t>35746 - 511385 - 35746</t>
  </si>
  <si>
    <t>Cortinaire couleur de tuff</t>
  </si>
  <si>
    <t>35747 - 511387 - 35749 - 35747 - 35748</t>
  </si>
  <si>
    <t>35750 - 35750 - 35753 - 35751 - 511388 - 511389</t>
  </si>
  <si>
    <t>Cortinaire farouche</t>
  </si>
  <si>
    <t>35754 - 35756 - 511390 - 35754</t>
  </si>
  <si>
    <t>Cortinaire puant, Cortinaire à odeur de poire</t>
  </si>
  <si>
    <t>35757 - 511397 - 511396 - 35757 - 35758</t>
  </si>
  <si>
    <t>Cortinaire tricolore</t>
  </si>
  <si>
    <t>35761 - 511403 - 35761 - 511404 - 35762</t>
  </si>
  <si>
    <t>Cortinaire triomphant</t>
  </si>
  <si>
    <t>511409 - 511410 - 35763</t>
  </si>
  <si>
    <t>Cortinaire trivial</t>
  </si>
  <si>
    <t>510626 - 35764 - 510625</t>
  </si>
  <si>
    <t>Cortinaire visqueux</t>
  </si>
  <si>
    <t>972063 - 972063 - 35769</t>
  </si>
  <si>
    <t>35776 - 35776 - 35778 - 35777</t>
  </si>
  <si>
    <t>35779 - 35779 - 35781 - 35780</t>
  </si>
  <si>
    <t>35785 - 35785</t>
  </si>
  <si>
    <t>35789 - 35789</t>
  </si>
  <si>
    <t>35791 - 35791 - 35792</t>
  </si>
  <si>
    <t>35799 - 511428 - 35799 - 511427 - 35800</t>
  </si>
  <si>
    <t>35801 - 35801 - 35802</t>
  </si>
  <si>
    <t>Cortinaire à volve</t>
  </si>
  <si>
    <t>35803 - 511429 - 35803</t>
  </si>
  <si>
    <t>35806 - 974385 - 35806 - 974386 - 511434 - 511433 - 511435 - 35807 - 511436 - 35808</t>
  </si>
  <si>
    <t>Cortinaire de couleur variable</t>
  </si>
  <si>
    <t>35811 - 35813 - 35812 - 35811</t>
  </si>
  <si>
    <t>Cortinaite tacheté</t>
  </si>
  <si>
    <t>35814 - 35814 - 35816 - 511451 - 35815</t>
  </si>
  <si>
    <t>Cortinaire variable</t>
  </si>
  <si>
    <t>35821 - 35819 - 35821</t>
  </si>
  <si>
    <t>Cortinaire vert olive varité montagnarde</t>
  </si>
  <si>
    <t>35827 - 35827</t>
  </si>
  <si>
    <t>35829 - 511098 - 511097 - 511099 - 35829</t>
  </si>
  <si>
    <t>Cortinaire à bracelets rouges</t>
  </si>
  <si>
    <t>35831 - 511460 - 511459 - 35831</t>
  </si>
  <si>
    <t>35832 - 511461 - 35832 - 511462 - 511463</t>
  </si>
  <si>
    <t>35836 - 35837 - 35838 - 35836 - 511468 - 511469</t>
  </si>
  <si>
    <t>35841 - 35842 - 35841 - 511472</t>
  </si>
  <si>
    <t>Cortinaire violet</t>
  </si>
  <si>
    <t>511483 - 511483 - 35464 - 35853 - 35855</t>
  </si>
  <si>
    <t>Cortinaire des renards ou Cortinaire des charmes</t>
  </si>
  <si>
    <t>35857 - 35857</t>
  </si>
  <si>
    <t>35858 - 35860 - 511491 - 35858</t>
  </si>
  <si>
    <t>Cortinaire à lames jaunes</t>
  </si>
  <si>
    <t>35872 - 512573 - 512574 - 512571 - 512572 - 35872 - 35874 - 35875</t>
  </si>
  <si>
    <t>Naucorie des faînes</t>
  </si>
  <si>
    <t>35886 - 35886</t>
  </si>
  <si>
    <t>35890 - 35892 - 35890 - 35891 - 35893</t>
  </si>
  <si>
    <t>Flammule grumeleuse</t>
  </si>
  <si>
    <t>35894 - 35894 - 512581 - 512582</t>
  </si>
  <si>
    <t>35896 - 512584 - 35897 - 512583 - 35895 - 512587 - 512586 - 35899 - 512585 - 35896</t>
  </si>
  <si>
    <t>35902 - 512591 - 35902 - 512592 - 35905 - 512594 - 35903 - 512589 - 512590 - 512593</t>
  </si>
  <si>
    <t>35907 - 512599 - 512601 - 35908 - 35907 - 35910 - 512600 - 35909</t>
  </si>
  <si>
    <t>35914 - 35914</t>
  </si>
  <si>
    <t>35916 - 35915 - 512598 - 512597</t>
  </si>
  <si>
    <t>35918 - 35918 - 35921 - 512611 - 35919 - 35920 - 512612 - 512613 - 512610</t>
  </si>
  <si>
    <t>35930 - 35930</t>
  </si>
  <si>
    <t>35931 - 35931</t>
  </si>
  <si>
    <t>512682 - 512681 - 35932</t>
  </si>
  <si>
    <t>35933 - 512683 - 35935 - 35933 - 35934</t>
  </si>
  <si>
    <t>Galère d'automne</t>
  </si>
  <si>
    <t>35941 - 35941 - 512689</t>
  </si>
  <si>
    <t>35951 - 35951</t>
  </si>
  <si>
    <t>35953 - 35953</t>
  </si>
  <si>
    <t>35960 - 35962 - 35960 - 35961 - 512693</t>
  </si>
  <si>
    <t>35969 - 35969</t>
  </si>
  <si>
    <t>Galère bossue.</t>
  </si>
  <si>
    <t>35980 - 35980</t>
  </si>
  <si>
    <t>35983 - 512696 - 35985 - 36093 - 35983</t>
  </si>
  <si>
    <t>Galère des hypnes</t>
  </si>
  <si>
    <t>35989 - 35989</t>
  </si>
  <si>
    <t>35996 - 35996 - 35994 - 35995</t>
  </si>
  <si>
    <t>Galère des graminées.</t>
  </si>
  <si>
    <t>36003 - 36004 - 36006 - 512702 - 512703 - 36003 - 36005</t>
  </si>
  <si>
    <t>Galère marginée, Pholiote marginée</t>
  </si>
  <si>
    <t>36008 - 512705 - 36009 - 36008 - 512704</t>
  </si>
  <si>
    <t>36018 - 36018</t>
  </si>
  <si>
    <t>36023 - 36024 - 36025 - 512709 - 36023 - 512710</t>
  </si>
  <si>
    <t>Galère palustre</t>
  </si>
  <si>
    <t>36029 - 36029</t>
  </si>
  <si>
    <t>36034 - 36034 - 512714 - 512713 - 973726 - 36036</t>
  </si>
  <si>
    <t>Galère campanulée</t>
  </si>
  <si>
    <t>36037 - 36035 - 36037</t>
  </si>
  <si>
    <t>36042 - 512718 - 36013 - 972385 - 36045 - 36042 - 512719 - 972386</t>
  </si>
  <si>
    <t>Galère naine</t>
  </si>
  <si>
    <t>36048 - 36048 - 36049 - 512723 - 512724</t>
  </si>
  <si>
    <t>36050 - 36050</t>
  </si>
  <si>
    <t>36055 - 36055</t>
  </si>
  <si>
    <t>36056 - 36056 - 512728</t>
  </si>
  <si>
    <t>Galère des marais</t>
  </si>
  <si>
    <t>36057 - 512729 - 36059 - 36058 - 36057</t>
  </si>
  <si>
    <t>Galère des sphaignes</t>
  </si>
  <si>
    <t>36063 - 512730 - 36063 - 36065 - 512731</t>
  </si>
  <si>
    <t>Galère à cystides pointues</t>
  </si>
  <si>
    <t>36064 - 36052 - 36064 - 512725 - 36053 - 512726 - 512727 - 36054</t>
  </si>
  <si>
    <t>Galère rouillée</t>
  </si>
  <si>
    <t>36069 - 36069 - 512732</t>
  </si>
  <si>
    <t>Galère bisporique</t>
  </si>
  <si>
    <t>36074 - 36074</t>
  </si>
  <si>
    <t>Galère terrestre</t>
  </si>
  <si>
    <t>36079 - 512735 - 36079 - 512734 - 36080</t>
  </si>
  <si>
    <t>36084 - 36085 - 36084 - 512736 - 36086</t>
  </si>
  <si>
    <t>36087 - 512737 - 36090 - 36089 - 512738 - 36087</t>
  </si>
  <si>
    <t>Galère unicolore</t>
  </si>
  <si>
    <t>36092 - 36092 - 512739 - 36095</t>
  </si>
  <si>
    <t>36096 - 512720 - 36094 - 36096 - 512722 - 512721</t>
  </si>
  <si>
    <t>36102 - 36102</t>
  </si>
  <si>
    <t>Hébélome des charbonnières</t>
  </si>
  <si>
    <t>36109 - 513009 - 36109</t>
  </si>
  <si>
    <t>Hébélome en rond de sorcière</t>
  </si>
  <si>
    <t>36114 - 36114</t>
  </si>
  <si>
    <t>Hébélome à zone fugace</t>
  </si>
  <si>
    <t>36115 - 513015 - 513017 - 513016 - 36115</t>
  </si>
  <si>
    <t>Hébélome échaudé, Hébélome croûte de pain</t>
  </si>
  <si>
    <t>36128 - 36128</t>
  </si>
  <si>
    <t>hébélome blanc d'ivoire</t>
  </si>
  <si>
    <t>36132 - 513025 - 513027 - 36132 - 513026 - 36134</t>
  </si>
  <si>
    <t>Hébélome cespiteux</t>
  </si>
  <si>
    <t>36139 - 36139</t>
  </si>
  <si>
    <t>Hébélome à pied fragile</t>
  </si>
  <si>
    <t>36140 - 36140</t>
  </si>
  <si>
    <t>36141 - 36141</t>
  </si>
  <si>
    <t>Hébélome à spores fusiformes</t>
  </si>
  <si>
    <t>36142 - 36142</t>
  </si>
  <si>
    <t>Hébélome macrospore</t>
  </si>
  <si>
    <t>36143 - 36143</t>
  </si>
  <si>
    <t>36146 - 36146 - 513032</t>
  </si>
  <si>
    <t>Hebelome d'hiver</t>
  </si>
  <si>
    <t>36147 - 36147</t>
  </si>
  <si>
    <t>36150 - 36150 - 513038</t>
  </si>
  <si>
    <t>Hebelome à chair blanche</t>
  </si>
  <si>
    <t>36153 - 36153</t>
  </si>
  <si>
    <t>Hébélome des marécages</t>
  </si>
  <si>
    <t>36159 - 513040 - 513039 - 513043 - 513041 - 513042 - 36159</t>
  </si>
  <si>
    <t>Hébélome à centre brun</t>
  </si>
  <si>
    <t>36166 - 36166 - 974524 - 513049</t>
  </si>
  <si>
    <t>Hébélome à lames larges</t>
  </si>
  <si>
    <t>36171 - 36171</t>
  </si>
  <si>
    <t>Hébélome du peuplier</t>
  </si>
  <si>
    <t>36179 - 36179 - 36144 - 36145</t>
  </si>
  <si>
    <t>Hébélome nain</t>
  </si>
  <si>
    <t>36180 - 36180 - 513057</t>
  </si>
  <si>
    <t>Hébélome de petite taille</t>
  </si>
  <si>
    <t>36181 - 36181</t>
  </si>
  <si>
    <t>36182 - 36183 - 36184 - 513060 - 513059 - 36182</t>
  </si>
  <si>
    <t>Hébélome radicant</t>
  </si>
  <si>
    <t>36188 - 513061 - 36188</t>
  </si>
  <si>
    <t>Hébélome à odeur sucrée</t>
  </si>
  <si>
    <t>36191 - 513064 - 513062 - 513065 - 36191 - 36196 - 513063</t>
  </si>
  <si>
    <t>Hébélome brûlant, Hébélome couleur moutarde</t>
  </si>
  <si>
    <t>36199 - 974525 - 513068 - 36199 - 513069</t>
  </si>
  <si>
    <t>36211 - 36211</t>
  </si>
  <si>
    <t>36217 - 36217 - 36220</t>
  </si>
  <si>
    <t>Inocybe à mamelon pointu</t>
  </si>
  <si>
    <t>36224 - 513800 - 513798 - 513799 - 976142 - 36224</t>
  </si>
  <si>
    <t>36226 - 36226</t>
  </si>
  <si>
    <t>Inocybe à marge blanche</t>
  </si>
  <si>
    <t>36228 - 36228</t>
  </si>
  <si>
    <t>36230 - 975989 - 36230</t>
  </si>
  <si>
    <t>36234 - 36234</t>
  </si>
  <si>
    <t>Inocybe appendiculé</t>
  </si>
  <si>
    <t>36241 - 36242 - 36241</t>
  </si>
  <si>
    <t>Inocybe à spore étoilée</t>
  </si>
  <si>
    <t>36243 - 36243 - 974566</t>
  </si>
  <si>
    <t>Inocybe à lames orangées</t>
  </si>
  <si>
    <t>36245 - 513808 - 513809 - 36245 - 513807</t>
  </si>
  <si>
    <t>Inocybe doré</t>
  </si>
  <si>
    <t>36247 - 36247</t>
  </si>
  <si>
    <t>Inocybe trapu</t>
  </si>
  <si>
    <t>36250 - 513811 - 36250 - 974568</t>
  </si>
  <si>
    <t>Inocybe déchiré</t>
  </si>
  <si>
    <t>513812 - 36253</t>
  </si>
  <si>
    <t>36256 - 513814 - 513813 - 36257 - 36256</t>
  </si>
  <si>
    <t>Inocybe de Bresadola</t>
  </si>
  <si>
    <t>36260 - 36261 - 36260</t>
  </si>
  <si>
    <t>Inocybe brun et noir</t>
  </si>
  <si>
    <t>36262 - 36262</t>
  </si>
  <si>
    <t>36264 - 513820 - 513819 - 36263</t>
  </si>
  <si>
    <t>36267 - 513821 - 36269 - 513822 - 36267</t>
  </si>
  <si>
    <t>Inocybe à jolies spores</t>
  </si>
  <si>
    <t>513832 - 513833 - 513834 - 513831 - 36272</t>
  </si>
  <si>
    <t>36276 - 36276 - 513835 - 973077 - 973078</t>
  </si>
  <si>
    <t>Inocybe bouclé</t>
  </si>
  <si>
    <t>36277 - 36277</t>
  </si>
  <si>
    <t>Inocybe brun violet</t>
  </si>
  <si>
    <t>36279 - 36279</t>
  </si>
  <si>
    <t>36282 - 36282</t>
  </si>
  <si>
    <t>Inocybe à odeur de miel</t>
  </si>
  <si>
    <t>36285 - 36285</t>
  </si>
  <si>
    <t>Inocybe à odeur de corydale</t>
  </si>
  <si>
    <t>36298 - 513845 - 513843 - 36301 - 513844 - 36298 - 36299</t>
  </si>
  <si>
    <t>Inocybe à pied courbe</t>
  </si>
  <si>
    <t>36304 - 513852</t>
  </si>
  <si>
    <t>36309 - 974600 - 513864 - 36309 - 513863 - 513862 - 36281</t>
  </si>
  <si>
    <t>Inocybe fastigié</t>
  </si>
  <si>
    <t>36310 - 513840 - 513839 - 513841 - 36310</t>
  </si>
  <si>
    <t>36317 - 513872 - 36317 - 36318</t>
  </si>
  <si>
    <t>Inocybe fibreux</t>
  </si>
  <si>
    <t>36319 - 36319</t>
  </si>
  <si>
    <t>Inocybe faux-fibreux</t>
  </si>
  <si>
    <t>36322 - 36322</t>
  </si>
  <si>
    <t>36325 - 36325</t>
  </si>
  <si>
    <t>36329 - 36331 - 36329</t>
  </si>
  <si>
    <t>36332 - 36332</t>
  </si>
  <si>
    <t>36336 - 36334 - 36336 - 974567</t>
  </si>
  <si>
    <t>Inocybe flocculeux</t>
  </si>
  <si>
    <t>36337 - 36337</t>
  </si>
  <si>
    <t>36338 - 36338 - 513881 - 521460 - 36339 - 969720</t>
  </si>
  <si>
    <t>Inocybe à lames couleur de terre, Inocybe terreux</t>
  </si>
  <si>
    <t>36341 - 36341</t>
  </si>
  <si>
    <t>Inocybe fauve</t>
  </si>
  <si>
    <t>36342 - 513884 - 36342 - 36344</t>
  </si>
  <si>
    <t>Inocybe lilacin</t>
  </si>
  <si>
    <t>36343 - 974615 - 974616 - 36343 - 513885</t>
  </si>
  <si>
    <t>Inocybe à lames terreuses, variété violette</t>
  </si>
  <si>
    <t>36347 - 36347</t>
  </si>
  <si>
    <t>36348 - 36348</t>
  </si>
  <si>
    <t>Inocybe à odeur de géranium</t>
  </si>
  <si>
    <t>36353 - 36353</t>
  </si>
  <si>
    <t>Inocybe des conifères</t>
  </si>
  <si>
    <t>36355 - 36355</t>
  </si>
  <si>
    <t>Inocybe rayé</t>
  </si>
  <si>
    <t>36364 - 36364</t>
  </si>
  <si>
    <t>Inocybe gris lilas</t>
  </si>
  <si>
    <t>36366 - 36366</t>
  </si>
  <si>
    <t>36367 - 36367</t>
  </si>
  <si>
    <t>36368 - 36368 - 513898 - 513897</t>
  </si>
  <si>
    <t>Inocybe rouge et vert</t>
  </si>
  <si>
    <t>36371 - 36371 - 36307</t>
  </si>
  <si>
    <t>Inocybe dédié à Heim</t>
  </si>
  <si>
    <t>36374 - 513900 - 36374</t>
  </si>
  <si>
    <t>Inocybe à odeur d'amandes amères</t>
  </si>
  <si>
    <t>36377 - 36377</t>
  </si>
  <si>
    <t>36379 - 976152 - 36379</t>
  </si>
  <si>
    <t>Inocybe hygrophore</t>
  </si>
  <si>
    <t>36380 - 36380 - 513903</t>
  </si>
  <si>
    <t>Inocybe hérissé</t>
  </si>
  <si>
    <t>36385 - 36386 - 513961 - 36388 - 36385</t>
  </si>
  <si>
    <t>Inocybe couleur chair</t>
  </si>
  <si>
    <t>36399 - 36398 - 513909 - 513908 - 513907 - 36399</t>
  </si>
  <si>
    <t>Inocybe du Jura</t>
  </si>
  <si>
    <t>36401 - 36401 - 513982 - 513984 - 513983</t>
  </si>
  <si>
    <t>36403 - 973754 - 36403 - 973755 - 513858</t>
  </si>
  <si>
    <t>36405 - 36405 - 513989 - 513990</t>
  </si>
  <si>
    <t>Inocybe couvert</t>
  </si>
  <si>
    <t>36406 - 36406 - 36407 - 513911</t>
  </si>
  <si>
    <t>Inocybe à pied brunissant</t>
  </si>
  <si>
    <t>36410 - 513914 - 513913 - 36409 - 513916 - 513915</t>
  </si>
  <si>
    <t>36415 - 36415</t>
  </si>
  <si>
    <t>36416 - 36416 - 513824 - 36417 - 513825</t>
  </si>
  <si>
    <t>36418 - 36418</t>
  </si>
  <si>
    <t>Inocybe argenté</t>
  </si>
  <si>
    <t>36419 - 36419</t>
  </si>
  <si>
    <t>36421 - 36421</t>
  </si>
  <si>
    <t>Inocybe jaunissant</t>
  </si>
  <si>
    <t>36423 - 36423</t>
  </si>
  <si>
    <t>Inocybe maculé</t>
  </si>
  <si>
    <t>36425 - 36425</t>
  </si>
  <si>
    <t>Inocybe maculé forme fauve</t>
  </si>
  <si>
    <t>36429 - 36429 - 513923 - 513922</t>
  </si>
  <si>
    <t>Inocybe à spores perlées</t>
  </si>
  <si>
    <t>36435 - 513927 - 36435 - 513928</t>
  </si>
  <si>
    <t>Inocybe à bulbe marginé</t>
  </si>
  <si>
    <t>36443 - 36444 - 36443 - 513931 - 513932</t>
  </si>
  <si>
    <t>Inocybe à bulbe en forme de navet</t>
  </si>
  <si>
    <t>36445 - 36445 - 513934 - 36446</t>
  </si>
  <si>
    <t>Inocybe luisant</t>
  </si>
  <si>
    <t>36449 - 36449</t>
  </si>
  <si>
    <t>36450 - 36450</t>
  </si>
  <si>
    <t>36453 - 513940 - 513941 - 513939 - 36453 - 513942 - 974623</t>
  </si>
  <si>
    <t>Inocybe obscur</t>
  </si>
  <si>
    <t>36454 - 513944 - 36454 - 36231</t>
  </si>
  <si>
    <t>Inocybe améthyste</t>
  </si>
  <si>
    <t>36456 - 36456</t>
  </si>
  <si>
    <t>36459 - 36459 - 983024 - 513945</t>
  </si>
  <si>
    <t>Inocybe fastigé varité blanche</t>
  </si>
  <si>
    <t>36460 - 36460</t>
  </si>
  <si>
    <t>Inocybe ocre et blanc</t>
  </si>
  <si>
    <t>36476 - 36476</t>
  </si>
  <si>
    <t>36478 - 36478 - 513953 - 513952</t>
  </si>
  <si>
    <t>Inocybe à pied court</t>
  </si>
  <si>
    <t>36479 - 513954 - 513955 - 36479</t>
  </si>
  <si>
    <t>36480 - 36480</t>
  </si>
  <si>
    <t>Inocybe gris-violet</t>
  </si>
  <si>
    <t>36481 - 36483 - 36481 - 513956 - 36482</t>
  </si>
  <si>
    <t>Inocybe à chapeau zoné ou Inocybe calleux</t>
  </si>
  <si>
    <t>36485 - 36485</t>
  </si>
  <si>
    <t>36214 - 513848 - 36488 - 513849</t>
  </si>
  <si>
    <t>Inocybe négligé</t>
  </si>
  <si>
    <t>36490 - 36490</t>
  </si>
  <si>
    <t>36491 - 36491</t>
  </si>
  <si>
    <t>36492 - 513958 - 36493 - 513959 - 36492 - 513960</t>
  </si>
  <si>
    <t>Inocybe à odeur de poire</t>
  </si>
  <si>
    <t>36496 - 36496</t>
  </si>
  <si>
    <t>Inocybe nain ou Inocybe modeste</t>
  </si>
  <si>
    <t>36500 - 36500</t>
  </si>
  <si>
    <t>Inocybe de Quélet ou Inocybe abiéticole</t>
  </si>
  <si>
    <t>Inocybe des saules</t>
  </si>
  <si>
    <t>36510 - 36510 - 513988 - 513987</t>
  </si>
  <si>
    <t>Inocybe fleur de surreau</t>
  </si>
  <si>
    <t>36513 - 36513</t>
  </si>
  <si>
    <t>36516 - 36516</t>
  </si>
  <si>
    <t>Inocybe splendide</t>
  </si>
  <si>
    <t>36523 - 36520 - 36523</t>
  </si>
  <si>
    <t>36525 - 36525</t>
  </si>
  <si>
    <t>Inocybe squameux</t>
  </si>
  <si>
    <t>36526 - 36526</t>
  </si>
  <si>
    <t>36532 - 36532</t>
  </si>
  <si>
    <t>36535 - 36535</t>
  </si>
  <si>
    <t>36536 - 36536</t>
  </si>
  <si>
    <t>Inocybe à pied noir</t>
  </si>
  <si>
    <t>514002 - 514003 - 36539 - 514004 - 514005</t>
  </si>
  <si>
    <t>36542 - 36542</t>
  </si>
  <si>
    <t>Inocybe tigré</t>
  </si>
  <si>
    <t>36543 - 36544 - 36543</t>
  </si>
  <si>
    <t>36547 - 36547 - 514006</t>
  </si>
  <si>
    <t>Inocybe tricolore</t>
  </si>
  <si>
    <t>36550 - 514008 - 36551 - 36550</t>
  </si>
  <si>
    <t>Inocybe sciaphile</t>
  </si>
  <si>
    <t>36554 - 514009 - 36553 - 514010 - 36554</t>
  </si>
  <si>
    <t>Inocybe brun d'ombre ou Inocybe à bulbe sphérique</t>
  </si>
  <si>
    <t>36556 - 36556</t>
  </si>
  <si>
    <t>36579 - 36579 - 36011</t>
  </si>
  <si>
    <t>Galère fausse "naine"</t>
  </si>
  <si>
    <t>36598 - 971634 - 519096 - 36596 - 519095 - 36599</t>
  </si>
  <si>
    <t>36602 - 519103 - 36603 - 36605 - 973238</t>
  </si>
  <si>
    <t>36616 - 519116 - 519117 - 36615 - 519115</t>
  </si>
  <si>
    <t>36628 - 36628 - 518487 - 518489 - 518488 - 36627 - 36629 - 518486</t>
  </si>
  <si>
    <t>Pholiote ridée</t>
  </si>
  <si>
    <t>520135 - 36640 - 520132 - 520131 - 520133 - 36642 - 520134 - 36641</t>
  </si>
  <si>
    <t>Tubaire annelée</t>
  </si>
  <si>
    <t>520138 - 36645 - 520136 - 36643 - 520137</t>
  </si>
  <si>
    <t>Tubaire voilée, Tubaire floconneuse</t>
  </si>
  <si>
    <t>36648 - 973237 - 520128 - 520130 - 520127 - 36649 - 520129</t>
  </si>
  <si>
    <t>Tubaire de l'aubépine</t>
  </si>
  <si>
    <t>520140 - 35882 - 36650 - 35881 - 35883 - 520139</t>
  </si>
  <si>
    <t>Naucorie ferrugineuse</t>
  </si>
  <si>
    <t>36674 - 36653 - 36652 - 520141 - 36654 - 520142</t>
  </si>
  <si>
    <t>Tubaire furfuracée, Tubaire commune</t>
  </si>
  <si>
    <t>36655 - 36646</t>
  </si>
  <si>
    <t>Tubaire hivernale</t>
  </si>
  <si>
    <t>36678 - 520798 - 36679 - 36680 - 520796 - 520797</t>
  </si>
  <si>
    <t>36692 - 36747 - 508093 - 508095 - 508091 - 508096 - 36693 - 508094 - 976708 - 36692 - 508098 - 508090 - 508097</t>
  </si>
  <si>
    <t>36695 - 508100 - 508102 - 508104 - 36695 - 508101 - 36697 - 508103 - 36698 - 36696</t>
  </si>
  <si>
    <t>36707 - 36708 - 36707</t>
  </si>
  <si>
    <t>Agrocybe velouté</t>
  </si>
  <si>
    <t>36711 - 36714 - 508127 - 973943 - 36711 - 36712 - 508129 - 508128</t>
  </si>
  <si>
    <t>Pholiote dure</t>
  </si>
  <si>
    <t>Agrocybe des pelouses</t>
  </si>
  <si>
    <t>508139 - 36724 - 508138 - 508137 - 36725 - 508135 - 508134 - 974962 - 508136 - 974963</t>
  </si>
  <si>
    <t>Pholiote précoce</t>
  </si>
  <si>
    <t>36733 - 508147 - 508146 - 36733 - 36734 - 36717</t>
  </si>
  <si>
    <t>Agrocybe hémisphérique</t>
  </si>
  <si>
    <t>36736 - 36736 - 508152 - 508148 - 36728 - 508151 - 508150 - 508149 - 36737</t>
  </si>
  <si>
    <t>Agrocybe trompeur</t>
  </si>
  <si>
    <t>36748 - 508156 - 508158 - 508157 - 36750 - 36748</t>
  </si>
  <si>
    <t>Agrocybe jaune</t>
  </si>
  <si>
    <t>36765 - 36766 - 508900 - 36765 - 508899 - 508898</t>
  </si>
  <si>
    <t>Bolbitie réticulée</t>
  </si>
  <si>
    <t>36771 - 508905 - 36774 - 508904 - 36773 - 36772 - 976733 - 508906</t>
  </si>
  <si>
    <t>Bolbitie jaune d'œuf</t>
  </si>
  <si>
    <t>36777 - 36777</t>
  </si>
  <si>
    <t>36781 - 36781</t>
  </si>
  <si>
    <t>Conocybe des charbonnières</t>
  </si>
  <si>
    <t>36783 - 510123 - 510124 - 36784 - 36783 - 510122</t>
  </si>
  <si>
    <t>Conocybe radicant</t>
  </si>
  <si>
    <t>36791 - 36791</t>
  </si>
  <si>
    <t>Conocybe bulbeux</t>
  </si>
  <si>
    <t>36807 - 36807</t>
  </si>
  <si>
    <t>Conocybe élégant</t>
  </si>
  <si>
    <t>36821 - 36822 - 36821</t>
  </si>
  <si>
    <t>Conocybe intrus</t>
  </si>
  <si>
    <t>36832 - 36832</t>
  </si>
  <si>
    <t>Conocybe à pied blanc</t>
  </si>
  <si>
    <t>36844 - 510161 - 36844 - 510163 - 36845 - 510162 - 36874</t>
  </si>
  <si>
    <t>Conocybe gris noirâtre</t>
  </si>
  <si>
    <t>36856 - 36867 - 36856 - 510164 - 510165</t>
  </si>
  <si>
    <t>Agaric du littoral</t>
  </si>
  <si>
    <t>36866 - 510167 - 36868 - 36866</t>
  </si>
  <si>
    <t>Conocybe de Ricken</t>
  </si>
  <si>
    <t>36873 - 36873 - 510171 - 510170</t>
  </si>
  <si>
    <t>Conocybe dédié à Ricken</t>
  </si>
  <si>
    <t>36876 - 36876</t>
  </si>
  <si>
    <t>36877 - 36878 - 36877</t>
  </si>
  <si>
    <t>Conocybe semi-globulaire</t>
  </si>
  <si>
    <t>36887 - 36887</t>
  </si>
  <si>
    <t>36889 - 510181 - 510182 - 36890 - 36889</t>
  </si>
  <si>
    <t>Conocybe à bulbe marginé</t>
  </si>
  <si>
    <t>36896 - 36895 - 36896 - 36891 - 510183 - 36897</t>
  </si>
  <si>
    <t>Conocybe commun</t>
  </si>
  <si>
    <t>36920 - 36920 - 512912 - 512910 - 512911 - 987908</t>
  </si>
  <si>
    <t>Gymnopile hybride</t>
  </si>
  <si>
    <t>36923 - 36926 - 512921 - 512918 - 512920 - 36923 - 36924 - 512917 - 512916 - 512919</t>
  </si>
  <si>
    <t>Pholiote remarquable</t>
  </si>
  <si>
    <t>36928 - 36930 - 36927 - 512922 - 512923 - 512924</t>
  </si>
  <si>
    <t>36933 - 512928 - 36936 - 36933 - 512927 - 36935 - 36937</t>
  </si>
  <si>
    <t>Gymnopile pénétrant, Pholiote pénétrante</t>
  </si>
  <si>
    <t>36938 - 512931 - 512930 - 512929 - 36939 - 36938</t>
  </si>
  <si>
    <t>Gymnopile amer</t>
  </si>
  <si>
    <t>36942 - 512933 - 512908 - 512932 - 512909 - 36944 - 512907 - 36942 - 36943 - 36921 - 36922</t>
  </si>
  <si>
    <t>Gymnopile du sapin</t>
  </si>
  <si>
    <t>36945 - 36945 - 512935 - 512934</t>
  </si>
  <si>
    <t>36957 - 513181 - 36958 - 513182 - 36960 - 513180 - 36959 - 513179 - 36957</t>
  </si>
  <si>
    <t>Pholiote destructice</t>
  </si>
  <si>
    <t>36963 - 513677 - 513676 - 36964 - 513679 - 36963 - 513678 - 36965</t>
  </si>
  <si>
    <t>Hypholome doux ou Hypholome à lamelles enfumées</t>
  </si>
  <si>
    <t>36969 - 29181 - 36969 - 513689 - 513687 - 36970 - 513688</t>
  </si>
  <si>
    <t>Hypholome radicant</t>
  </si>
  <si>
    <t>36971 - 36971 - 36967 - 36973 - 513692 - 513693</t>
  </si>
  <si>
    <t>36972 - 513686 - 513680 - 513684 - 513682 - 513681 - 513683 - 36966 - 36972 - 513685</t>
  </si>
  <si>
    <t>Hypholome à long pied</t>
  </si>
  <si>
    <t>36974 - 36976 - 513694 - 513695 - 36975 - 513696 - 36974</t>
  </si>
  <si>
    <t>36977 - 972485 - 36978 - 36977 - 32600 - 36979 - 513697 - 903067 - 513700 - 972486 - 513698 - 513699 - 903066</t>
  </si>
  <si>
    <t>Hypholome en touffes, Hypholome fasciculé, Géophile, Nématolome en touffes</t>
  </si>
  <si>
    <t>36980 - 513701 - 36980</t>
  </si>
  <si>
    <t>Hypholome en touffes forme grêle</t>
  </si>
  <si>
    <t>36981 - 36981</t>
  </si>
  <si>
    <t>Hypholome à couleur gaie</t>
  </si>
  <si>
    <t>36983 - 975977 - 513715 - 36983 - 513713 - 513711 - 513716 - 36984 - 513714 - 513712</t>
  </si>
  <si>
    <t>Hypholome marginé</t>
  </si>
  <si>
    <t>36986 - 36986 - 36987 - 513720 - 513718 - 513721 - 36988 - 513719</t>
  </si>
  <si>
    <t>Hypholome des polytrics</t>
  </si>
  <si>
    <t>36992 - 513729 - 36993 - 513730 - 36992 - 513728</t>
  </si>
  <si>
    <t>36997 - 513704 - 36997 - 36995 - 36996 - 513706 - 513705 - 513708 - 513707</t>
  </si>
  <si>
    <t>Hypholome à couleur de briques</t>
  </si>
  <si>
    <t>37002 - 514170 - 37005 - 37003 - 37004 - 37002</t>
  </si>
  <si>
    <t>Pholiote changeante</t>
  </si>
  <si>
    <t>516153 - 516151 - 516154 - 516155 - 516152 - 37018 - 516156</t>
  </si>
  <si>
    <t>37021 - 37023</t>
  </si>
  <si>
    <t>516141 - 37032 - 516140</t>
  </si>
  <si>
    <t>516145 - 37033 - 516142 - 37035 - 37034 - 516143 - 516144</t>
  </si>
  <si>
    <t>516149 - 516147 - 516150 - 37044 - 516148 - 516138 - 37043</t>
  </si>
  <si>
    <t>37047 - 37048 - 516158 - 516159 - 516157</t>
  </si>
  <si>
    <t>516163 - 37051 - 516160 - 516161 - 37050 - 516162</t>
  </si>
  <si>
    <t>37052 - 37045 - 974906</t>
  </si>
  <si>
    <t>37053 - 516165 - 37054 - 516169 - 516164 - 974168 - 516168 - 37055 - 516166 - 974169 - 516167</t>
  </si>
  <si>
    <t>37046 - 37059 - 516171 - 516170 - 37057 - 37058</t>
  </si>
  <si>
    <t>516346 - 37065 - 993549 - 37064 - 516344 - 516345 - 516347</t>
  </si>
  <si>
    <t>Naucorie hérisson</t>
  </si>
  <si>
    <t>37075 - 516651 - 37074 - 987873 - 37079 - 987870 - 516650 - 37075 - 987874 - 987871 - 516652 - 516653</t>
  </si>
  <si>
    <t>Pholiote des aulnes</t>
  </si>
  <si>
    <t>37085 - 516656 - 37082 - 37084</t>
  </si>
  <si>
    <t>516660 - 972372 - 516657 - 37089 - 516659 - 516658</t>
  </si>
  <si>
    <t>516679 - 516677 - 37101 - 37102 - 516678</t>
  </si>
  <si>
    <t>516680 - 37110 - 37109 - 37108</t>
  </si>
  <si>
    <t>516690 - 516694 - 516691 - 516693 - 37113 - 37114 - 37115 - 516692 - 516689 - 516695</t>
  </si>
  <si>
    <t>37072 - 37118 - 37117 - 516696 - 516697 - 37073</t>
  </si>
  <si>
    <t>516701 - 37123 - 516700 - 37122 - 37121 - 37120 - 516699</t>
  </si>
  <si>
    <t>37126 - 29849 - 516705 - 37125 - 37124</t>
  </si>
  <si>
    <t>37128 - 516706 - 37130 - 516707</t>
  </si>
  <si>
    <t>516723 - 516724 - 972374 - 37143 - 516722 - 516720 - 37145 - 37146 - 516721 - 37144</t>
  </si>
  <si>
    <t>37150 - 37149 - 516726 - 37148 - 516725</t>
  </si>
  <si>
    <t>37152 - 516727 - 926403 - 516729 - 516728 - 37151</t>
  </si>
  <si>
    <t>37162 - 516735 - 37160 - 516734 - 37161</t>
  </si>
  <si>
    <t>37168 - 37169</t>
  </si>
  <si>
    <t>37173 - 37171 - 37170 - 37172</t>
  </si>
  <si>
    <t>37178 - 37179 - 37177 - 37176 - 516743 - 516742 - 516741 - 516740</t>
  </si>
  <si>
    <t>37185 - 516748 - 516747 - 516745 - 516746 - 37185 - 37184</t>
  </si>
  <si>
    <t>Conocybe brun</t>
  </si>
  <si>
    <t>519279 - 519278 - 37189 - 37190</t>
  </si>
  <si>
    <t>37197 - 37194 - 519285</t>
  </si>
  <si>
    <t>519286 - 37198 - 519287 - 37199 - 37200 - 519288</t>
  </si>
  <si>
    <t>519298 - 519299 - 519300 - 37205</t>
  </si>
  <si>
    <t>519305 - 37208</t>
  </si>
  <si>
    <t>37211 - 519315 - 519310 - 519313 - 519311 - 519312 - 37209 - 519316 - 37210 - 519314</t>
  </si>
  <si>
    <t>519321 - 519320 - 37212 - 37214 - 37213</t>
  </si>
  <si>
    <t>Cepe de paille</t>
  </si>
  <si>
    <t>37233 - 510200 - 37234 - 510204 - 510205 - 37233 - 510203 - 510201 - 510202</t>
  </si>
  <si>
    <t>Coprin noir d'encre</t>
  </si>
  <si>
    <t>37243 - 37243 - 510216</t>
  </si>
  <si>
    <t>Coprin à flocons cendrés</t>
  </si>
  <si>
    <t>37248 - 37248 - 510228</t>
  </si>
  <si>
    <t>Coprin chevelu</t>
  </si>
  <si>
    <t>37311 - 37311 - 510297</t>
  </si>
  <si>
    <t>Coprin gris souris</t>
  </si>
  <si>
    <t>510301 - 37317 - 510300</t>
  </si>
  <si>
    <t>37325 - 37325 - 510308</t>
  </si>
  <si>
    <t>Coprin des joncs</t>
  </si>
  <si>
    <t>510323 - 510323 - 37312 - 37340</t>
  </si>
  <si>
    <t>37379 - 510363 - 37278 - 510362 - 37379</t>
  </si>
  <si>
    <t>Coprin annelé</t>
  </si>
  <si>
    <t>37384 - 37384 - 37383 - 510378</t>
  </si>
  <si>
    <t>517306 - 517307 - 37408 - 517309 - 972370 - 517304 - 517310 - 37411 - 517308</t>
  </si>
  <si>
    <t>517328 - 517329 - 517326 - 517327 - 37431 - 37433 - 37430 - 37432</t>
  </si>
  <si>
    <t>37434 - 975125</t>
  </si>
  <si>
    <t>517335 - 517331 - 517338 - 517334 - 37441 - 37442 - 37559 - 517340 - 517346 - 517336 - 37750 - 517345 - 517337 - 517341 - 517342 - 517344 - 37440 - 517333 - 517332 - 517339 - 517343</t>
  </si>
  <si>
    <t>Hypholome de De Candolle</t>
  </si>
  <si>
    <t>517361 - 517362 - 37462 - 37461</t>
  </si>
  <si>
    <t>37465 - 517363 - 517365 - 517366 - 517364 - 37466 - 37467</t>
  </si>
  <si>
    <t>37476 - 517381 - 517382 - 517383</t>
  </si>
  <si>
    <t>37490 - 37489 - 517387 - 517388 - 37488 - 37491</t>
  </si>
  <si>
    <t>37502 - 37501</t>
  </si>
  <si>
    <t>517373 - 517375 - 517379 - 470025 - 517377 - 517374 - 517376 - 37512 - 37518 - 37513 - 517378 - 37515 - 517380</t>
  </si>
  <si>
    <t>37528 - 517400 - 517399 - 37526</t>
  </si>
  <si>
    <t>37550 - 37878 - 514227 - 514229 - 514223 - 514224 - 514228 - 514225 - 37547 - 972371 - 514226 - 37551 - 37478 - 37549 - 37550</t>
  </si>
  <si>
    <t>Lacrymaire velouté</t>
  </si>
  <si>
    <t>37553 - 37554</t>
  </si>
  <si>
    <t>37557 - 37556 - 517409 - 37558 - 517410 - 517406 - 517408 - 517407</t>
  </si>
  <si>
    <t>517411 - 37568 - 37566 - 37565</t>
  </si>
  <si>
    <t>37591 - 37592 - 516462 - 516461 - 37590</t>
  </si>
  <si>
    <t>Polypore du sapin, Phellin de Hartig</t>
  </si>
  <si>
    <t>465136 - 974929 - 516470 - 516465 - 909627 - 37597 - 37596 - 465095 - 516420 - 516464 - 469987 - 516417 - 465135 - 37598 - 516499 - 37606 - 516419</t>
  </si>
  <si>
    <t>Faux amadouvier</t>
  </si>
  <si>
    <t>465146 - 37602 - 516473 - 37600 - 516472 - 516471 - 974891</t>
  </si>
  <si>
    <t>974892 - 516480 - 37626 - 37627 - 37628</t>
  </si>
  <si>
    <t>37644 - 37645 - 465140 - 37643</t>
  </si>
  <si>
    <t>Polypore du tremble, Phellin du tremble</t>
  </si>
  <si>
    <t>37646 - 37647 - 974928 - 516469 - 37605 - 974926 - 37648</t>
  </si>
  <si>
    <t>Polypore du saule</t>
  </si>
  <si>
    <t>516493 - 37642 - 516495 - 516496 - 516494 - 516497 - 465141 - 516498 - 37649 - 37652 - 516492</t>
  </si>
  <si>
    <t>37658 - 516511 - 516507 - 516509 - 516510 - 37660 - 516508</t>
  </si>
  <si>
    <t>516512 - 516519 - 516516 - 516513 - 516515 - 37663 - 37662 - 516514</t>
  </si>
  <si>
    <t>469988 - 516521 - 516517 - 976757 - 516520 - 37667 - 37668 - 37669 - 516518 - 37666</t>
  </si>
  <si>
    <t>42791 - 516522 - 37665 - 516523 - 37670 - 37672</t>
  </si>
  <si>
    <t>37689 - 517425</t>
  </si>
  <si>
    <t>972367 - 37692 - 517426 - 37695</t>
  </si>
  <si>
    <t>517430 - 517428 - 37707 - 517429</t>
  </si>
  <si>
    <t>37738 - 37737</t>
  </si>
  <si>
    <t>37747 - 37746 - 37745</t>
  </si>
  <si>
    <t>517447 - 517437 - 517442 - 517436 - 37748 - 37530 - 517438 - 517444 - 517443 - 517441 - 517439 - 517445 - 517440 - 37749 - 517448 - 517446</t>
  </si>
  <si>
    <t>Hypholome hydrophile</t>
  </si>
  <si>
    <t>517451 - 517450 - 517452 - 37759 - 517451 - 37758 - 37761</t>
  </si>
  <si>
    <t>Psathyrelle sylvestre - Psathyrelle du peuplier.</t>
  </si>
  <si>
    <t>517453 - 37765 - 37762 - 37763 - 37764</t>
  </si>
  <si>
    <t>37774 - 37776 - 37775</t>
  </si>
  <si>
    <t>37791 - 37790 - 517455</t>
  </si>
  <si>
    <t>37795 - 37794 - 517456 - 517457 - 37793</t>
  </si>
  <si>
    <t>37800 - 514233 - 514231 - 972369 - 37797 - 37800 - 514232 - 514230</t>
  </si>
  <si>
    <t>Lacrymaire à poils roux</t>
  </si>
  <si>
    <t>517460 - 517459 - 37811 - 37810 - 37809 - 517461</t>
  </si>
  <si>
    <t>517474 - 37828 - 37826 - 37825 - 37827</t>
  </si>
  <si>
    <t>37837 - 517475 - 37840</t>
  </si>
  <si>
    <t>37862 - 973862 - 37863</t>
  </si>
  <si>
    <t>517485 - 517486 - 37870 - 37871</t>
  </si>
  <si>
    <t>37899 - 507932 - 37900 - 37888 - 37889 - 469061 - 37886 - 37887 - 462631 - 37899</t>
  </si>
  <si>
    <t>Agaric élevé, Psalliote élevé</t>
  </si>
  <si>
    <t>507933 - 507935 - 37907 - 507934 - 37905</t>
  </si>
  <si>
    <t>Agaric des jachères, Psalliote des jachères</t>
  </si>
  <si>
    <t>37926 - 987900 - 507960 - 507956 - 507957 - 507958 - 507961 - 37929 - 507962 - 37930 - 507959 - 37926</t>
  </si>
  <si>
    <t>Psalliote des trottoirs, Agaric  des trottoirs</t>
  </si>
  <si>
    <t>37931 - 507967 - 507968 - 37931 - 37934</t>
  </si>
  <si>
    <t>Agaric à pied en fuseau, Psalliote à pied en fuseau</t>
  </si>
  <si>
    <t>38075 - 38075 - 507970 - 975805 - 975804 - 37937 - 38076 - 37936</t>
  </si>
  <si>
    <t>Psalliote radicante, Agaric radicant</t>
  </si>
  <si>
    <t>37939 - 37939 - 29240 - 37940 - 507948 - 507947 - 507946 - 37941</t>
  </si>
  <si>
    <t>Champignon de Paris</t>
  </si>
  <si>
    <t>37955 - 507987 - 37953</t>
  </si>
  <si>
    <t>Agaric élégant, Psalliote élégant</t>
  </si>
  <si>
    <t>37956 - 37956</t>
  </si>
  <si>
    <t>Agaric brun cuivré, Psalliote brun cuivré</t>
  </si>
  <si>
    <t>37972 - 37972 - 993692 - 993691 - 37973</t>
  </si>
  <si>
    <t>Agaric à pied bulbeux, Psalliote à pied bulbeux</t>
  </si>
  <si>
    <t>37976 - 507995 - 37976 - 507993 - 507992 - 37979 - 507994</t>
  </si>
  <si>
    <t>Agaric  éminent, Psalliote éminent</t>
  </si>
  <si>
    <t>37994 - 37996 - 37998 - 37997 - 508005 - 37994</t>
  </si>
  <si>
    <t>Agaric de printemps, Psalliote de printemps</t>
  </si>
  <si>
    <t>Agaric rougissant, Psalliote rougissant</t>
  </si>
  <si>
    <t>38011 - 38011 - 38012</t>
  </si>
  <si>
    <t>Agaric à toison blanche, Psalliote à toison blanche</t>
  </si>
  <si>
    <t>38020 - 38020 - 38022 - 38021</t>
  </si>
  <si>
    <t>Agaric (psalliote) géant des bois</t>
  </si>
  <si>
    <t>38024 - 38024</t>
  </si>
  <si>
    <t>Agaric malodorant, Psalliote malodorant</t>
  </si>
  <si>
    <t>38027 - 38027</t>
  </si>
  <si>
    <t>38028 - 38028</t>
  </si>
  <si>
    <t>38050 - 38050 - 508037 - 973927 - 38053 - 508036</t>
  </si>
  <si>
    <t>Agaric porphyre</t>
  </si>
  <si>
    <t>38056 - 38056 - 38058 - 38057</t>
  </si>
  <si>
    <t>Agaric pourpré, Psalliote pourpré</t>
  </si>
  <si>
    <t>38069 - 38069</t>
  </si>
  <si>
    <t>38071 - 38071</t>
  </si>
  <si>
    <t>38072 - 38074 - 508042 - 38072 - 38073</t>
  </si>
  <si>
    <t>Agaric améthyste, Psalliote améthyste</t>
  </si>
  <si>
    <t>38077 - 38079 - 508050 - 508047 - 38077 - 508048 - 508051 - 508049 - 508046</t>
  </si>
  <si>
    <t>Agaric solitaire, Psalliote solitaire</t>
  </si>
  <si>
    <t>38089 - 508059 - 38089 - 508057 - 38091 - 508060 - 508058 - 508061</t>
  </si>
  <si>
    <t>Agaric anisé, Agaric anisé des bois, Psalliote anisé des bois</t>
  </si>
  <si>
    <t>38092 - 38092 - 38094</t>
  </si>
  <si>
    <t>Agaric épais, Psalliote épais</t>
  </si>
  <si>
    <t>38095 - 38095 - 38097</t>
  </si>
  <si>
    <t>Agaric squamuleux, Psalliote squamuleux</t>
  </si>
  <si>
    <t>38103 - 38103</t>
  </si>
  <si>
    <t>Agaric à flocon, Psalliote à flocons,</t>
  </si>
  <si>
    <t>38107 - 38107</t>
  </si>
  <si>
    <t>Agaric guêtre, Psalliote guêtre</t>
  </si>
  <si>
    <t>38118 - 38118</t>
  </si>
  <si>
    <t>Agaric impudique</t>
  </si>
  <si>
    <t>Agaric (psalliote) jaunissant</t>
  </si>
  <si>
    <t>38140 - 509484 - 509486 - 31602 - 509482 - 509483 - 509481 - 38140 - 509480 - 509485 - 38142</t>
  </si>
  <si>
    <t>Lépiote guttulée</t>
  </si>
  <si>
    <t>38153 - 38153 - 511740</t>
  </si>
  <si>
    <t>511743 - 511742 - 38156 - 511744 - 511745 - 38158</t>
  </si>
  <si>
    <t>Cystoderme furfuracé</t>
  </si>
  <si>
    <t>38163 - 38163 - 511749 - 511746 - 511747 - 38162 - 511748</t>
  </si>
  <si>
    <t>38165 - 511754 - 511752 - 38167 - 38165 - 511751 - 511753</t>
  </si>
  <si>
    <t>Cystoderme dents-de- requin</t>
  </si>
  <si>
    <t>38169 - 38169</t>
  </si>
  <si>
    <t>Cystoderme trompeur</t>
  </si>
  <si>
    <t>511767 - 511767 - 38172 - 38170 - 511766</t>
  </si>
  <si>
    <t>Cystoderme granuleux</t>
  </si>
  <si>
    <t>38174 - 38177 - 38175 - 511769 - 38174 - 511768 - 38176</t>
  </si>
  <si>
    <t>38184 - 38184</t>
  </si>
  <si>
    <t>38187 - 38189 - 511772 - 38188 - 38187</t>
  </si>
  <si>
    <t>Cystoderme superbe</t>
  </si>
  <si>
    <t>511759 - 38191 - 511758 - 511759 - 511760 - 511755 - 38192 - 511756 - 511757 - 38190 - 511762 - 511763 - 511761</t>
  </si>
  <si>
    <t>Cystoderme rouge cinabre</t>
  </si>
  <si>
    <t>38194 - 511764 - 38194 - 38196</t>
  </si>
  <si>
    <t>38201 - 38203 - 38201</t>
  </si>
  <si>
    <t>Lépiote adultérine</t>
  </si>
  <si>
    <t>38206 - 38206 - 38207</t>
  </si>
  <si>
    <t>38209 - 38210 - 38211 - 511774 - 38209</t>
  </si>
  <si>
    <t>Lépiote de bucknall</t>
  </si>
  <si>
    <t>38219 - 511776 - 38219 - 38220 - 511777</t>
  </si>
  <si>
    <t>38225 - 38226 - 511779 - 511778 - 38225 - 511780</t>
  </si>
  <si>
    <t>Lépiote de Lange</t>
  </si>
  <si>
    <t>972322 - 972322 - 38239 - 511781 - 38238</t>
  </si>
  <si>
    <t>Lépiote rose</t>
  </si>
  <si>
    <t>38241 - 511786 - 38741 - 38241</t>
  </si>
  <si>
    <t>38242 - 511782 - 511784 - 511783 - 38242 - 38244 - 511785</t>
  </si>
  <si>
    <t>38251 - 511968 - 38254 - 38251 - 38252 - 38971 - 511967 - 38973</t>
  </si>
  <si>
    <t>Lépiote à écailles aigues</t>
  </si>
  <si>
    <t>38260 - 38261 - 38263 - 38260</t>
  </si>
  <si>
    <t>Lépiote calcicole</t>
  </si>
  <si>
    <t>38265 - 38265</t>
  </si>
  <si>
    <t>38267 - 38268 - 38269 - 38267</t>
  </si>
  <si>
    <t>Lépiote hérissée</t>
  </si>
  <si>
    <t>38278 - 511970 - 511972 - 38278 - 38279 - 38255 - 511971</t>
  </si>
  <si>
    <t>Lépiote de Fries</t>
  </si>
  <si>
    <t>38280 - 38282 - 38280 - 38281</t>
  </si>
  <si>
    <t>Lépiote hérisson</t>
  </si>
  <si>
    <t>38283 - 38285 - 38283 - 511977</t>
  </si>
  <si>
    <t>Lépiote perplexe</t>
  </si>
  <si>
    <t>38293 - 38294</t>
  </si>
  <si>
    <t>514579 - 38302</t>
  </si>
  <si>
    <t>514580 - 38305 - 38303 - 514581</t>
  </si>
  <si>
    <t>38310 - 514582 - 514583</t>
  </si>
  <si>
    <t>514586 - 514587 - 38323</t>
  </si>
  <si>
    <t>Lépiote crêtée, Lépiote puante, Lépiote crêpue</t>
  </si>
  <si>
    <t>514589 - 38333</t>
  </si>
  <si>
    <t>38337 - 38338 - 514590</t>
  </si>
  <si>
    <t>38351 - 514592 - 38322 - 38352 - 514591 - 38350</t>
  </si>
  <si>
    <t>Lépiote brune, Lépiote helvéolée</t>
  </si>
  <si>
    <t>38367 - 38366 - 38365</t>
  </si>
  <si>
    <t>973787 - 38368</t>
  </si>
  <si>
    <t>Lépiote à base couleur de feu</t>
  </si>
  <si>
    <t>514594 - 514595 - 38375 - 38374 - 38376</t>
  </si>
  <si>
    <t>38380 - 38379</t>
  </si>
  <si>
    <t>38389 - 38391</t>
  </si>
  <si>
    <t>38409 - 38407</t>
  </si>
  <si>
    <t>38412 - 514603</t>
  </si>
  <si>
    <t>514608 - 38423 - 38422</t>
  </si>
  <si>
    <t>38449 - 38448</t>
  </si>
  <si>
    <t>38450 - 514615</t>
  </si>
  <si>
    <t>514616 - 514617 - 38454</t>
  </si>
  <si>
    <t>38468 - 514710 - 38476 - 38467 - 38469 - 514711 - 514713 - 514712</t>
  </si>
  <si>
    <t>38486 - 514719</t>
  </si>
  <si>
    <t>514724 - 514723 - 38496 - 38495</t>
  </si>
  <si>
    <t>38501 - 38502</t>
  </si>
  <si>
    <t>38523 - 38521</t>
  </si>
  <si>
    <t>514731 - 973789 - 38524 - 38525</t>
  </si>
  <si>
    <t>38537 - 514736 - 514737 - 514740 - 514735 - 38534 - 514738 - 514739 - 38535</t>
  </si>
  <si>
    <t>514757 - 38583 - 514756 - 514758</t>
  </si>
  <si>
    <t>38588 - 38586 - 38587</t>
  </si>
  <si>
    <t>514773 - 514774 - 38613 - 38614</t>
  </si>
  <si>
    <t>901847 - 901846 - 514763 - 38623 - 38625 - 514767 - 514762 - 514765 - 514764 - 514766 - 38624 - 38622 - 514761 - 38626</t>
  </si>
  <si>
    <t>Lépiote jaune</t>
  </si>
  <si>
    <t>515077 - 38647 - 515076 - 38649 - 515074 - 515075</t>
  </si>
  <si>
    <t>515089 - 515088 - 38666 - 38668</t>
  </si>
  <si>
    <t>38672 - 515093 - 515091 - 515092 - 38670 - 515090</t>
  </si>
  <si>
    <t>Lépiote mamelonnée</t>
  </si>
  <si>
    <t>38685 - 515101 - 515100 - 38682 - 515104 - 515099 - 515103 - 515102</t>
  </si>
  <si>
    <t>Lépiote élevée, Grande coulemelle</t>
  </si>
  <si>
    <t>38687 - 38686 - 38689 - 515084 - 38688</t>
  </si>
  <si>
    <t>515120 - 38659 - 515119 - 38714 - 515118 - 515117 - 38658 - 38716</t>
  </si>
  <si>
    <t>Lépiote grêle</t>
  </si>
  <si>
    <t>515450 - 515448 - 515454 - 515443 - 515455 - 38733 - 38732 - 515449 - 515457 - 515452 - 515456 - 515444 - 515453 - 515445 - 38730 - 515447 - 515451 - 515446 - 469945</t>
  </si>
  <si>
    <t>Lépiote à lamelles rouges</t>
  </si>
  <si>
    <t>516322 - 994195 - 36925 - 38735 - 972321 - 516323 - 38736</t>
  </si>
  <si>
    <t>38740 - 518231 - 38739 - 38742</t>
  </si>
  <si>
    <t>38580 - 38506 - 38581 - 519066 - 38773 - 38579 - 38776</t>
  </si>
  <si>
    <t>38797 - 38795</t>
  </si>
  <si>
    <t>517036 - 38800 - 38801 - 38799 - 517037</t>
  </si>
  <si>
    <t>38807 - 516991 - 516990</t>
  </si>
  <si>
    <t>975792 - 971479 - 38811 - 516992 - 975791 - 516993 - 516995 - 516994 - 38812</t>
  </si>
  <si>
    <t>38815 - 516996 - 516997</t>
  </si>
  <si>
    <t>38820 - 38818 - 38819 - 516998</t>
  </si>
  <si>
    <t>38821 - 516999</t>
  </si>
  <si>
    <t>38829 - 38828</t>
  </si>
  <si>
    <t>517001 - 38833 - 38831</t>
  </si>
  <si>
    <t>38834 - 517002</t>
  </si>
  <si>
    <t>38845 - 38846</t>
  </si>
  <si>
    <t>517006 - 38849 - 38851 - 517008 - 517007 - 38850</t>
  </si>
  <si>
    <t>38859 - 38861 - 517010 - 38860</t>
  </si>
  <si>
    <t>517016 - 38868</t>
  </si>
  <si>
    <t>Plutée nain</t>
  </si>
  <si>
    <t>38874 - 517018</t>
  </si>
  <si>
    <t>517024 - 38878 - 517023 - 38877</t>
  </si>
  <si>
    <t>Plutée veiné</t>
  </si>
  <si>
    <t>975105 - 517026 - 38881 - 517027</t>
  </si>
  <si>
    <t>517029 - 517031 - 38891 - 38893 - 517028 - 517030 - 38894</t>
  </si>
  <si>
    <t>38896 - 38895</t>
  </si>
  <si>
    <t>38898 - 517032</t>
  </si>
  <si>
    <t>Plutée du saule</t>
  </si>
  <si>
    <t>975795 - 38903</t>
  </si>
  <si>
    <t>38907 - 517013 - 38905 - 517014 - 517015</t>
  </si>
  <si>
    <t>517033 - 517035 - 975794 - 517034 - 38910</t>
  </si>
  <si>
    <t>517038 - 38916 - 517039 - 38914</t>
  </si>
  <si>
    <t>Plutée ombré</t>
  </si>
  <si>
    <t>38925 - 520685 - 38922 - 520684 - 38923</t>
  </si>
  <si>
    <t>520700 - 520697 - 520699 - 38930 - 38932 - 520698 - 38933</t>
  </si>
  <si>
    <t>38937 - 38936 - 520702</t>
  </si>
  <si>
    <t>38940 - 975394 - 38942 - 38943 - 520703 - 38941</t>
  </si>
  <si>
    <t>Volvaire naine</t>
  </si>
  <si>
    <t>38950 - 520706 - 38952 - 520705 - 520708 - 520707</t>
  </si>
  <si>
    <t>520712 - 520709 - 906627 - 38954 - 520711 - 520710 - 38957</t>
  </si>
  <si>
    <t>38958 - 520713 - 520715 - 520714 - 38961</t>
  </si>
  <si>
    <t>Volvaire cultivée</t>
  </si>
  <si>
    <t>38969 - 38969 - 508316 - 38968 - 38970</t>
  </si>
  <si>
    <t>Amanite argentée</t>
  </si>
  <si>
    <t>508375 - 508375 - 508374 - 38972</t>
  </si>
  <si>
    <t>Amanite à voile jaune</t>
  </si>
  <si>
    <t>38975 - 38975</t>
  </si>
  <si>
    <t>Amanite à bulbe étoilé</t>
  </si>
  <si>
    <t>38981 - 973450 - 508211 - 508210 - 38981 - 508212</t>
  </si>
  <si>
    <t>Amanita à cerne sombre des feuillus</t>
  </si>
  <si>
    <t>38982 - 38983 - 508409 - 38982 - 38984</t>
  </si>
  <si>
    <t>Amanita à cerne sombre des conifères</t>
  </si>
  <si>
    <t>38985 - 38987 - 38985</t>
  </si>
  <si>
    <t>Amanite noisette</t>
  </si>
  <si>
    <t>38993 - 508226 - 508225 - 508224 - 38993</t>
  </si>
  <si>
    <t>Amanite des césars</t>
  </si>
  <si>
    <t>38997 - 39000 - 38998 - 38999 - 508232 - 38997 - 508231 - 508233 - 508229 - 508230</t>
  </si>
  <si>
    <t>Amanite impériale</t>
  </si>
  <si>
    <t>39001 - 508238 - 508240 - 39002 - 508237 - 508239 - 39001 - 508241 - 508242</t>
  </si>
  <si>
    <t>Amanite citrine</t>
  </si>
  <si>
    <t>39005 - 39005 - 508243 - 508244 - 39004 - 508245 - 975780</t>
  </si>
  <si>
    <t>Amanite citrine blanche</t>
  </si>
  <si>
    <t>39011 - 508254 - 39011 - 973948</t>
  </si>
  <si>
    <t>Amanite à pied court</t>
  </si>
  <si>
    <t>39013 - 39013</t>
  </si>
  <si>
    <t>Amanite trompeuse</t>
  </si>
  <si>
    <t>39017 - 39148 - 508261 - 39019 - 508262 - 508260 - 39017 - 508263 - 39149</t>
  </si>
  <si>
    <t>Amanite épineuse</t>
  </si>
  <si>
    <t>39020 - 508268 - 508267 - 39022 - 508269 - 39020 - 508266 - 508270</t>
  </si>
  <si>
    <t>Amanite isabelle</t>
  </si>
  <si>
    <t>39025 - 39026 - 508273 - 976721 - 508272 - 39175 - 508279 - 508276 - 1009708 - 508274 - 508277 - 508397 - 508278 - 973968 - 39025 - 39176 - 508398 - 976722 - 39027 - 508399 - 508275</t>
  </si>
  <si>
    <t>Amanite élevée</t>
  </si>
  <si>
    <t>39037 - 508288 - 39037 - 508287</t>
  </si>
  <si>
    <t>Amanite des aulnes</t>
  </si>
  <si>
    <t>39040 - 39043 - 508290 - 39040 - 39042 - 508289 - 973953 - 508291</t>
  </si>
  <si>
    <t>Amanite fauve</t>
  </si>
  <si>
    <t>39055 - 508306 - 508304 - 508307 - 508305 - 39055 - 39057 - 508303</t>
  </si>
  <si>
    <t>Amanite jonquille</t>
  </si>
  <si>
    <t>39063 - 39063</t>
  </si>
  <si>
    <t>Amanite fausse-lépiote</t>
  </si>
  <si>
    <t>39066 - 508314 - 39068</t>
  </si>
  <si>
    <t>Amanite livide</t>
  </si>
  <si>
    <t>39071 - 39071</t>
  </si>
  <si>
    <t>Amanite de Huijsman</t>
  </si>
  <si>
    <t>39077 - 39078 - 39075</t>
  </si>
  <si>
    <t>39079 - 39079 - 39081 - 508319 - 508318 - 508317 - 39080</t>
  </si>
  <si>
    <t>Amanite tue-mouches, Fausse oronge</t>
  </si>
  <si>
    <t>508329 - 508329 - 508327 - 39082 - 508328</t>
  </si>
  <si>
    <t>Amanite tue-mouches dorée</t>
  </si>
  <si>
    <t>39092 - 508341 - 508338 - 508336 - 508337 - 39094 - 39092 - 508339 - 508340</t>
  </si>
  <si>
    <t>Amanite ovoide</t>
  </si>
  <si>
    <t>39096 - 39098 - 39096</t>
  </si>
  <si>
    <t>Amanite à volve épaisse</t>
  </si>
  <si>
    <t>39097 - 508315 - 39097</t>
  </si>
  <si>
    <t>39099 - 508344 - 39101 - 39099 - 508343 - 508342</t>
  </si>
  <si>
    <t>Amanite panthère</t>
  </si>
  <si>
    <t>39102 - 39104 - 39105 - 39102 - 39103 - 508345</t>
  </si>
  <si>
    <t>Amanite panthère forme des conifères</t>
  </si>
  <si>
    <t>39106 - 508353 - 508346 - 508349 - 508356 - 508348 - 508355 - 508347 - 508351 - 39106 - 508354 - 508350 - 508352</t>
  </si>
  <si>
    <t>Amanite phalloïde, Oronge verte, Calice de la mort, Agaric bulbeux, Oronge ciguë</t>
  </si>
  <si>
    <t>39109 - 39109</t>
  </si>
  <si>
    <t>Amanite phalloïde forme blanche</t>
  </si>
  <si>
    <t>39115 - 39115 - 508416 - 508415 - 39113 - 39116</t>
  </si>
  <si>
    <t>Amanite vaginée forme plombée</t>
  </si>
  <si>
    <t>39119 - 508370 - 508368 - 508366 - 39119 - 508369 - 508367 - 39121</t>
  </si>
  <si>
    <t>Amanite porphyre</t>
  </si>
  <si>
    <t>39123 - 39123</t>
  </si>
  <si>
    <t>Amanite fausse-royale</t>
  </si>
  <si>
    <t>39125 - 508376 - 508377 - 508378 - 39126 - 39125 - 508379</t>
  </si>
  <si>
    <t>Amanite royale</t>
  </si>
  <si>
    <t>39128 - 508386 - 508384 - 508385 - 508382 - 39130 - 508387 - 508383 - 508381 - 39128</t>
  </si>
  <si>
    <t>Amanite rougissante, Oronge vineuse</t>
  </si>
  <si>
    <t>39132 - 438045 - 39132 - 39135</t>
  </si>
  <si>
    <t>Golmotte à anneau jaune</t>
  </si>
  <si>
    <t>39137 - 39137</t>
  </si>
  <si>
    <t>Amanite brun de date</t>
  </si>
  <si>
    <t>39146 - 39146 - 508400 - 508402 - 508401 - 508405 - 508404 - 508407 - 508408 - 508403 - 508406</t>
  </si>
  <si>
    <t>Amanite solitaire</t>
  </si>
  <si>
    <t>39150 - 39152 - 39150</t>
  </si>
  <si>
    <t>Amanite à volve grise</t>
  </si>
  <si>
    <t>39153 - 39153</t>
  </si>
  <si>
    <t>Amanite à volve grise variété argenté</t>
  </si>
  <si>
    <t>39155 - 508410 - 39156 - 973448 - 39155 - 508412 - 508411</t>
  </si>
  <si>
    <t>Grisette, Coulemelle, Amanite vaginee</t>
  </si>
  <si>
    <t>39165 - 508209 - 508208 - 39164 - 39165 - 508207</t>
  </si>
  <si>
    <t>Amanite baie</t>
  </si>
  <si>
    <t>39168 - 39167 - 39170 - 508250 - 39168</t>
  </si>
  <si>
    <t>Amanite safran</t>
  </si>
  <si>
    <t>39177 - 39178 - 508425 - 508426 - 508427 - 508424 - 39177 - 974106</t>
  </si>
  <si>
    <t>Amanite printanière, Oronge ciguë blanche</t>
  </si>
  <si>
    <t>508429 - 508430 - 39181 - 39179 - 508428</t>
  </si>
  <si>
    <t>Amanite vireuse, Ange de la mort, Ange destructeur</t>
  </si>
  <si>
    <t>39192 - 514906 - 514904 - 39193 - 514908 - 514905 - 39198 - 514907</t>
  </si>
  <si>
    <t>39197 - 39195 - 39196 - 514909 - 514910 - 514911</t>
  </si>
  <si>
    <t>514926 - 514927 - 39204 - 39203 - 39205 - 974744 - 514928</t>
  </si>
  <si>
    <t>39207 - 514930</t>
  </si>
  <si>
    <t>39216 - 514234 - 39216 - 39217</t>
  </si>
  <si>
    <t>Lactaire à lames interveinées</t>
  </si>
  <si>
    <t>39219 - 39219 - 514235</t>
  </si>
  <si>
    <t>Lactaire âcre</t>
  </si>
  <si>
    <t>39222 - 39222 - 39224</t>
  </si>
  <si>
    <t>Lactaire glutineux</t>
  </si>
  <si>
    <t>39230 - 514238 - 514237 - 39230</t>
  </si>
  <si>
    <t>Lactaire des saules</t>
  </si>
  <si>
    <t>39233 - 39233 - 39237 - 514240 - 514239</t>
  </si>
  <si>
    <t>Lactaire orangé</t>
  </si>
  <si>
    <t>39236 - 39236</t>
  </si>
  <si>
    <t>Lactaire fauve orangé</t>
  </si>
  <si>
    <t>39240 - 39240</t>
  </si>
  <si>
    <t>Lactaire rouge sombre</t>
  </si>
  <si>
    <t>39246 - 39246 - 514245</t>
  </si>
  <si>
    <t>Lactaire muqueux</t>
  </si>
  <si>
    <t>39247 - 39247 - 39248</t>
  </si>
  <si>
    <t>Lactaire muqueux forme verdâtre</t>
  </si>
  <si>
    <t>39255 - 39255 - 39332 - 39469</t>
  </si>
  <si>
    <t>Lactaire presque soyeux</t>
  </si>
  <si>
    <t>39261 - 514247 - 39261 - 514249 - 514248</t>
  </si>
  <si>
    <t>Lactaire à odeur de chicorée</t>
  </si>
  <si>
    <t>39264 - 514250 - 39264 - 514251</t>
  </si>
  <si>
    <t>39268 - 39268</t>
  </si>
  <si>
    <t>Lactaire cerclé</t>
  </si>
  <si>
    <t>39273 - 39273</t>
  </si>
  <si>
    <t>Lactaire à odeur de citron</t>
  </si>
  <si>
    <t>39279 - 514255 - 514252 - 514254 - 39281 - 39279 - 514253</t>
  </si>
  <si>
    <t>Lactaire des peupliers</t>
  </si>
  <si>
    <t>39282 - 514256 - 39282</t>
  </si>
  <si>
    <t>Lactaire cannelé</t>
  </si>
  <si>
    <t>39284 - 39284</t>
  </si>
  <si>
    <t>Lactaire petite coupe</t>
  </si>
  <si>
    <t>39285 - 39285</t>
  </si>
  <si>
    <t>Lactaire trompeur</t>
  </si>
  <si>
    <t>39288 - 514257 - 39288 - 994910 - 514259 - 514258</t>
  </si>
  <si>
    <t>Lactaire délicieuse</t>
  </si>
  <si>
    <t>39289 - 39289 - 514262 - 514261</t>
  </si>
  <si>
    <t>Lactaire de l'épicéa</t>
  </si>
  <si>
    <t>39294 - 39294</t>
  </si>
  <si>
    <t>Lactaire à odeur de pomme</t>
  </si>
  <si>
    <t>39297 - 39297 - 514264</t>
  </si>
  <si>
    <t>Lactaire fascinant ou Lactaire charmant</t>
  </si>
  <si>
    <t>39299 - 39300 - 39299 - 514266</t>
  </si>
  <si>
    <t>Lactaire jaunâtre</t>
  </si>
  <si>
    <t>39302 - 39302 - 39304</t>
  </si>
  <si>
    <t>Lactaire pisse-lait</t>
  </si>
  <si>
    <t>39305 - 39305</t>
  </si>
  <si>
    <t>Lactaire du frêne</t>
  </si>
  <si>
    <t>39306 - 39306 - 514270</t>
  </si>
  <si>
    <t>Lactaire fuligineux</t>
  </si>
  <si>
    <t>39307 - 39307 - 39308 - 514241 - 514242</t>
  </si>
  <si>
    <t>Lactaire à pied blanc</t>
  </si>
  <si>
    <t>39310 - 39334 - 514271 - 39310</t>
  </si>
  <si>
    <t>Lactaire fauve</t>
  </si>
  <si>
    <t>39313 - 39313</t>
  </si>
  <si>
    <t>Lactaire brun</t>
  </si>
  <si>
    <t>39321 - 514275 - 39324 - 39321</t>
  </si>
  <si>
    <t>Lactaire à odeur de céleri</t>
  </si>
  <si>
    <t>39326 - 39326</t>
  </si>
  <si>
    <t>Lactaire hépatique</t>
  </si>
  <si>
    <t>39329 - 39269 - 514277 - 39330 - 39329 - 514276</t>
  </si>
  <si>
    <t>Lactaire cireux</t>
  </si>
  <si>
    <t>39335 - 39335</t>
  </si>
  <si>
    <t>Lactaire d'Illyrie</t>
  </si>
  <si>
    <t>39341 - 39341 - 514280 - 514279</t>
  </si>
  <si>
    <t>Lactaire des sapins</t>
  </si>
  <si>
    <t>39346 - 39346 - 39347</t>
  </si>
  <si>
    <t>Lactaire des bourbiers</t>
  </si>
  <si>
    <t>39354 - 39354</t>
  </si>
  <si>
    <t>Lactaire velours</t>
  </si>
  <si>
    <t>39357 - 39357 - 514281</t>
  </si>
  <si>
    <t>Lactaire lilacin</t>
  </si>
  <si>
    <t>39358 - 39358 - 907544 - 514282</t>
  </si>
  <si>
    <t>Lactaire blafard</t>
  </si>
  <si>
    <t>39363 - 39363</t>
  </si>
  <si>
    <t>Lactaire à poil ras</t>
  </si>
  <si>
    <t>39366 - 39366 - 514285</t>
  </si>
  <si>
    <t>Lactaire très doux</t>
  </si>
  <si>
    <t>39370 - 39370</t>
  </si>
  <si>
    <t>Lactaire pâle des tourbières</t>
  </si>
  <si>
    <t>39373 - 514287 - 514289 - 39375 - 39378 - 514288 - 39374 - 994909 - 39379 - 39373 - 39376</t>
  </si>
  <si>
    <t>Lactaire olivâtre</t>
  </si>
  <si>
    <t>39377 - 994908 - 39377</t>
  </si>
  <si>
    <t>Lactaire ombiliqué</t>
  </si>
  <si>
    <t>39380 - 39381 - 39380 - 514291</t>
  </si>
  <si>
    <t>Lactaire pâle</t>
  </si>
  <si>
    <t>39383 - 514293 - 39383 - 39384</t>
  </si>
  <si>
    <t>Lactaire parcheminé</t>
  </si>
  <si>
    <t>39385 - 39385 - 514294 - 39386</t>
  </si>
  <si>
    <t>Lactaire enfumé</t>
  </si>
  <si>
    <t>39388 - 39388</t>
  </si>
  <si>
    <t>Lactaire des pins</t>
  </si>
  <si>
    <t>39395 - 514322 - 514323 - 514325 - 39394 - 514324 - 39396 - 39395</t>
  </si>
  <si>
    <t>Lactaire plombé</t>
  </si>
  <si>
    <t>39399 - 39399 - 39397</t>
  </si>
  <si>
    <t>Lactaire des mélèzes</t>
  </si>
  <si>
    <t>39401 - 514296 - 39401</t>
  </si>
  <si>
    <t>Lactaire ridulé</t>
  </si>
  <si>
    <t>39404 - 39406 - 39407 - 514298 - 39249 - 39404 - 514299 - 514297 - 974662</t>
  </si>
  <si>
    <t>Lactaire pubescent</t>
  </si>
  <si>
    <t>39409 - 514301 - 514300 - 39409</t>
  </si>
  <si>
    <t>Lactaire à lait brûlant</t>
  </si>
  <si>
    <t>39413 - 39413</t>
  </si>
  <si>
    <t>Lactaire orangé gris</t>
  </si>
  <si>
    <t>39415 - 39415 - 514304 - 514303</t>
  </si>
  <si>
    <t>Lactaire tranquille</t>
  </si>
  <si>
    <t>39418 - 39418</t>
  </si>
  <si>
    <t>Lactaire remarquable</t>
  </si>
  <si>
    <t>39434 - 39434</t>
  </si>
  <si>
    <t>Lactaire à ceinture rouge</t>
  </si>
  <si>
    <t>39437 - 39438 - 33260 - 39437</t>
  </si>
  <si>
    <t>Lactaire roux</t>
  </si>
  <si>
    <t>39442 - 39442 - 514308</t>
  </si>
  <si>
    <t>Lactaire festonné</t>
  </si>
  <si>
    <t>39445 - 39445 - 1017533 - 974664</t>
  </si>
  <si>
    <t>Lactaire saumon</t>
  </si>
  <si>
    <t>39448 - 39448 - 39449</t>
  </si>
  <si>
    <t>Sanguin (Le)</t>
  </si>
  <si>
    <t>39452 - 514265</t>
  </si>
  <si>
    <t>39454 - 39454 - 514309</t>
  </si>
  <si>
    <t>Lactaire à fossettes</t>
  </si>
  <si>
    <t>39455 - 39455</t>
  </si>
  <si>
    <t>Lactaire semi-sanguin</t>
  </si>
  <si>
    <t>39456 - 39456 - 514310 - 514311 - 39266</t>
  </si>
  <si>
    <t>Lactaire petit-lait</t>
  </si>
  <si>
    <t>514312 - 39459</t>
  </si>
  <si>
    <t>Lactaire des sphaignes</t>
  </si>
  <si>
    <t>39461 - 514313 - 39461</t>
  </si>
  <si>
    <t>Lactaire épineux</t>
  </si>
  <si>
    <t>39465 - 514314 - 39465</t>
  </si>
  <si>
    <t>Lactaire douceâtre</t>
  </si>
  <si>
    <t>514315 - 514315 - 39468</t>
  </si>
  <si>
    <t>Lactaire ruguleux</t>
  </si>
  <si>
    <t>39475 - 39475</t>
  </si>
  <si>
    <t>Lactaire chagriné</t>
  </si>
  <si>
    <t>39478 - 39480 - 39478 - 514316</t>
  </si>
  <si>
    <t>Lactaire chiffonné</t>
  </si>
  <si>
    <t>39489 - 514320 - 39489 - 39490</t>
  </si>
  <si>
    <t>Lactaire à toison, Lactaire aux coliques, Lactaire aux tranchées</t>
  </si>
  <si>
    <t>39491 - 39491 - 514321</t>
  </si>
  <si>
    <t>Lactaire trivial</t>
  </si>
  <si>
    <t>39494 - 39494 - 514328</t>
  </si>
  <si>
    <t>Lactaire humide</t>
  </si>
  <si>
    <t>39504 - 514331 - 39504</t>
  </si>
  <si>
    <t>Lactaire fané, Lactaire à lait gris, Lactaire lilas</t>
  </si>
  <si>
    <t>39509 - 514333 - 514332 - 514335 - 514334 - 39511 - 39509</t>
  </si>
  <si>
    <t>Lactaire vineux</t>
  </si>
  <si>
    <t>39512 - 39512 - 514336 - 39514</t>
  </si>
  <si>
    <t>Lactaire violascent</t>
  </si>
  <si>
    <t>39522 - 973086 - 39522 - 514339 - 514340 - 39524 - 469882 - 514338 - 973087</t>
  </si>
  <si>
    <t>Lactaire zoné</t>
  </si>
  <si>
    <t>39529 - 39528 - 39530 - 39531</t>
  </si>
  <si>
    <t>518527 - 39534 - 39532 - 518528</t>
  </si>
  <si>
    <t>518529 - 39536</t>
  </si>
  <si>
    <t>518530 - 39538 - 518531</t>
  </si>
  <si>
    <t>39545 - 39681 - 518532</t>
  </si>
  <si>
    <t>Russule verdâtre</t>
  </si>
  <si>
    <t>518535 - 518536 - 518534 - 518533 - 39548</t>
  </si>
  <si>
    <t>39558 - 976592 - 518540 - 518541</t>
  </si>
  <si>
    <t>39560 - 39563 - 976593 - 518542</t>
  </si>
  <si>
    <t>39565 - 39564</t>
  </si>
  <si>
    <t>39566 - 39561</t>
  </si>
  <si>
    <t>39569 - 518544</t>
  </si>
  <si>
    <t>518545 - 39576 - 518546</t>
  </si>
  <si>
    <t>Russule anthracite à lames carnées</t>
  </si>
  <si>
    <t>39642 - 39595 - 518549 - 39643</t>
  </si>
  <si>
    <t>975214 - 39598</t>
  </si>
  <si>
    <t>Russule de l'artois</t>
  </si>
  <si>
    <t>994257 - 518572 - 39605 - 39607 - 518573</t>
  </si>
  <si>
    <t>Russule dorée</t>
  </si>
  <si>
    <t>39608 - 518574</t>
  </si>
  <si>
    <t>39613 - 39821 - 518576 - 39610 - 518575 - 39618</t>
  </si>
  <si>
    <t>Russule aurore</t>
  </si>
  <si>
    <t>39621 - 39622</t>
  </si>
  <si>
    <t>Russule perfide</t>
  </si>
  <si>
    <t>518709 - 39633 - 39632 - 518710</t>
  </si>
  <si>
    <t>518583 - 39637 - 39636</t>
  </si>
  <si>
    <t>39652 - 518589 - 518592 - 39653 - 39654 - 518590 - 518591</t>
  </si>
  <si>
    <t>518594 - 39656</t>
  </si>
  <si>
    <t>Russule ridulée</t>
  </si>
  <si>
    <t>39664 - 39665</t>
  </si>
  <si>
    <t>518601 - 39668 - 518602 - 39581</t>
  </si>
  <si>
    <t>39671 - 518607 - 518608 - 518605 - 518606</t>
  </si>
  <si>
    <t>39678 - 518611 - 518612</t>
  </si>
  <si>
    <t>Russule crevassée</t>
  </si>
  <si>
    <t>518614 - 518616 - 39680 - 518615 - 518613</t>
  </si>
  <si>
    <t>973875 - 39683 - 39684</t>
  </si>
  <si>
    <t>510677 - 39685 - 518622</t>
  </si>
  <si>
    <t>994266 - 518623 - 518625 - 39686 - 518627 - 518628 - 518624 - 518626</t>
  </si>
  <si>
    <t>Russule faux-lactaire</t>
  </si>
  <si>
    <t>39689 - 39549 - 39690</t>
  </si>
  <si>
    <t>39692 - 39691</t>
  </si>
  <si>
    <t>518636 - 39707 - 518635 - 518638 - 518637</t>
  </si>
  <si>
    <t>518580 - 39708 - 518579 - 39710</t>
  </si>
  <si>
    <t>518832 - 975238 - 39719 - 518831 - 39720</t>
  </si>
  <si>
    <t>39726 - 518643 - 518644 - 518646 - 40111 - 518642 - 518645</t>
  </si>
  <si>
    <t>39737 - 39738 - 39739</t>
  </si>
  <si>
    <t>39742 - 39741 - 518653</t>
  </si>
  <si>
    <t>518657 - 518656 - 39746 - 518655 - 39744</t>
  </si>
  <si>
    <t>Russule petite pomme</t>
  </si>
  <si>
    <t>39751 - 518659</t>
  </si>
  <si>
    <t>518662 - 518661 - 518663 - 518660 - 39756</t>
  </si>
  <si>
    <t>39765 - 518705 - 39766 - 518704</t>
  </si>
  <si>
    <t>39777 - 39778</t>
  </si>
  <si>
    <t>518673 - 39780</t>
  </si>
  <si>
    <t>518678 - 39788</t>
  </si>
  <si>
    <t>39791 - 988130</t>
  </si>
  <si>
    <t>Russule malodorante</t>
  </si>
  <si>
    <t>518680 - 39796 - 39794 - 518681 - 975220</t>
  </si>
  <si>
    <t>518683 - 39799 - 518682 - 39800 - 518684</t>
  </si>
  <si>
    <t>39805 - 39803 - 518685</t>
  </si>
  <si>
    <t>518687 - 39810</t>
  </si>
  <si>
    <t>Russule mal lavée</t>
  </si>
  <si>
    <t>39825 - 518693 - 39824 - 39826</t>
  </si>
  <si>
    <t>39829 - 518694 - 39827</t>
  </si>
  <si>
    <t>Russule des épicéas</t>
  </si>
  <si>
    <t>39833 - 518700 - 518701</t>
  </si>
  <si>
    <t>518554 - 518555 - 39841 - 39840 - 39839 - 39842</t>
  </si>
  <si>
    <t>518559 - 39853 - 518560 - 518561 - 39851</t>
  </si>
  <si>
    <t>39869 - 39868 - 39866 - 39867</t>
  </si>
  <si>
    <t>39873 - 39874 - 976594 - 518715</t>
  </si>
  <si>
    <t>39878 - 40100</t>
  </si>
  <si>
    <t>518721 - 39890</t>
  </si>
  <si>
    <t>518723 - 518724 - 39898 - 39897 - 994265 - 518725</t>
  </si>
  <si>
    <t>39906 - 39905 - 39904</t>
  </si>
  <si>
    <t>Russule des trembles</t>
  </si>
  <si>
    <t>39913 - 518727</t>
  </si>
  <si>
    <t>39914 - 39917</t>
  </si>
  <si>
    <t>518730 - 39920</t>
  </si>
  <si>
    <t>39924 - 926404</t>
  </si>
  <si>
    <t>Russule précoce</t>
  </si>
  <si>
    <t>518739 - 975226 - 39925 - 518738</t>
  </si>
  <si>
    <t>518741 - 39927 - 518742 - 39929 - 518743</t>
  </si>
  <si>
    <t>Russule brillante des bouleaux</t>
  </si>
  <si>
    <t>39731 - 39932 - 518751</t>
  </si>
  <si>
    <t>39939 - 975229</t>
  </si>
  <si>
    <t>975231 - 39942</t>
  </si>
  <si>
    <t>518757 - 518756 - 39949 - 994264 - 518758 - 39948</t>
  </si>
  <si>
    <t>518759 - 973878 - 39951</t>
  </si>
  <si>
    <t>39966 - 518764</t>
  </si>
  <si>
    <t>970816 - 39970 - 39972 - 518767 - 39783</t>
  </si>
  <si>
    <t>39979 - 39977</t>
  </si>
  <si>
    <t>518776 - 39987 - 975766 - 39986</t>
  </si>
  <si>
    <t>Russule fillette</t>
  </si>
  <si>
    <t>40001 - 40002</t>
  </si>
  <si>
    <t>40009 - 40010 - 518792</t>
  </si>
  <si>
    <t>Russule de quélet</t>
  </si>
  <si>
    <t>Russule à lames fragiles</t>
  </si>
  <si>
    <t>518808 - 518812 - 518807 - 40028 - 470189</t>
  </si>
  <si>
    <t>518816 - 518814 - 40034 - 40033 - 518813 - 518817 - 518815</t>
  </si>
  <si>
    <t>40036 - 518818</t>
  </si>
  <si>
    <t>988609 - 518822 - 518714 - 40047 - 973880 - 518821 - 40044</t>
  </si>
  <si>
    <t>40049 - 518823 - 40048</t>
  </si>
  <si>
    <t>39580 - 40072 - 40060 - 518834</t>
  </si>
  <si>
    <t>40061 - 518837 - 518835 - 518836</t>
  </si>
  <si>
    <t>Russule à odeur spermatique</t>
  </si>
  <si>
    <t>518843 - 40071</t>
  </si>
  <si>
    <t>39863 - 518713 - 39862 - 40076 - 518712 - 40075 - 40074</t>
  </si>
  <si>
    <t>Russule laurier-cerise, Russule frangipane, Russule à odeur d'amandes amères</t>
  </si>
  <si>
    <t>40080 - 40081</t>
  </si>
  <si>
    <t>Russule des saules</t>
  </si>
  <si>
    <t>40088 - 518847 - 518846</t>
  </si>
  <si>
    <t>Russule des pinèdes</t>
  </si>
  <si>
    <t>Russule cocardée</t>
  </si>
  <si>
    <t>40110 - 40112</t>
  </si>
  <si>
    <t>40113 - 518855</t>
  </si>
  <si>
    <t>970926 - 40121 - 40122 - 518856 - 518857 - 518858</t>
  </si>
  <si>
    <t>518859 - 40123</t>
  </si>
  <si>
    <t>518860 - 988131 - 518861 - 40126</t>
  </si>
  <si>
    <t>518870 - 40133 - 40134 - 518871 - 518869</t>
  </si>
  <si>
    <t>39919 - 518762 - 39915 - 39916 - 40154 - 40137</t>
  </si>
  <si>
    <t>40139 - 518872 - 518873</t>
  </si>
  <si>
    <t>Palomet</t>
  </si>
  <si>
    <t>Russule à pied brunissant</t>
  </si>
  <si>
    <t>40147 - 39724 - 33447 - 40008 - 40150 - 994262</t>
  </si>
  <si>
    <t>Russule écrevisse</t>
  </si>
  <si>
    <t>40174 - 516016 - 516017 - 40172 - 40175 - 516015 - 516014</t>
  </si>
  <si>
    <t>40179 - 508739 - 508741 - 976731 - 508738 - 508735 - 883728 - 40180 - 508736 - 40181 - 508740 - 40179 - 508737</t>
  </si>
  <si>
    <t>Géastre hygrométrique</t>
  </si>
  <si>
    <t>40183 - 40183</t>
  </si>
  <si>
    <t>Battarrée phalloïde</t>
  </si>
  <si>
    <t>40188 - 40214 - 509100 - 40190 - 509102 - 509103 - 509099 - 509101 - 509098 - 40188 - 509097</t>
  </si>
  <si>
    <t>40201 - 40203 - 509112 - 40201</t>
  </si>
  <si>
    <t>Boviste noircisssante</t>
  </si>
  <si>
    <t>40205 - 40205 - 40206 - 40207 - 509115 - 509114</t>
  </si>
  <si>
    <t>Boviste des marais</t>
  </si>
  <si>
    <t>40208 - 509119 - 509117 - 509120 - 40208 - 509116 - 509118</t>
  </si>
  <si>
    <t>Boviste plombée</t>
  </si>
  <si>
    <t>40211 - 509121 - 509123 - 509125 - 40211 - 509124 - 509122</t>
  </si>
  <si>
    <t>Boviste de petite taille</t>
  </si>
  <si>
    <t>40231 - 40231 - 509208 - 509205 - 40233 - 509207 - 40232 - 509203 - 509206 - 509204 - 40230</t>
  </si>
  <si>
    <t>Vesse de loup en coupe</t>
  </si>
  <si>
    <t>1002596 - 509212 - 509216 - 509209 - 509214 - 40234 - 509210 - 40237 - 509213 - 509215 - 40235 - 509211</t>
  </si>
  <si>
    <t>509222 - 509227 - 509229 - 509223 - 509226 - 509225 - 40248 - 40250 - 509228 - 509224</t>
  </si>
  <si>
    <t>40253 - 40253</t>
  </si>
  <si>
    <t>40256 - 509575 - 40257 - 509578 - 509577 - 509579 - 509580 - 40259 - 509576 - 40256</t>
  </si>
  <si>
    <t>Anthurus étoilé, Anthurus d'Archer, Doigts du diable, Pieuvre des bois</t>
  </si>
  <si>
    <t>40260 - 40260 - 62389 - 40263</t>
  </si>
  <si>
    <t>Clathre rouge, Clathre grillagé, Cœur de sorcière, Cage grillagée</t>
  </si>
  <si>
    <t>40268 - 40268 - 511624 - 511625 - 511626 - 511627 - 40270 - 511629 - 511628 - 40269</t>
  </si>
  <si>
    <t>Crucibule lisse</t>
  </si>
  <si>
    <t>40273 - 40273 - 40275 - 511705 - 511703 - 40274 - 972096 - 511702 - 511704</t>
  </si>
  <si>
    <t>Cyathe en vase</t>
  </si>
  <si>
    <t>40277 - 511708 - 511707 - 40278 - 40277 - 909535 - 511709</t>
  </si>
  <si>
    <t>Cyathe coprophile</t>
  </si>
  <si>
    <t>40281 - 40281 - 40282 - 511710 - 909536</t>
  </si>
  <si>
    <t>Cyathe strié</t>
  </si>
  <si>
    <t>40301 - 40301</t>
  </si>
  <si>
    <t>40347 - 512782 - 512783 - 512784 - 40347</t>
  </si>
  <si>
    <t>Géastre vouté</t>
  </si>
  <si>
    <t>40355 - 40355 - 512786</t>
  </si>
  <si>
    <t>40360 - 40360 - 512787 - 29179</t>
  </si>
  <si>
    <t>Géastre pectiné</t>
  </si>
  <si>
    <t>40367 - 40367 - 512792 - 40369</t>
  </si>
  <si>
    <t>Géastre à quatre pieds</t>
  </si>
  <si>
    <t>40370 - 40370 - 40379 - 512794 - 512793 - 40372</t>
  </si>
  <si>
    <t>40373 - 40373</t>
  </si>
  <si>
    <t>Géastre en sac</t>
  </si>
  <si>
    <t>40374 - 40374 - 40375 - 512795</t>
  </si>
  <si>
    <t>Géastre nain</t>
  </si>
  <si>
    <t>40380 - 512797 - 40378 - 40380 - 40377 - 512796</t>
  </si>
  <si>
    <t>Géastre sessile</t>
  </si>
  <si>
    <t>40382 - 40382</t>
  </si>
  <si>
    <t>40385 - 40385 - 512800 - 512798 - 512799</t>
  </si>
  <si>
    <t>Géastre strié</t>
  </si>
  <si>
    <t>40388 - 969063 - 969064 - 512802 - 512801 - 40388 - 40389</t>
  </si>
  <si>
    <t>Géastre a trois enveloppes</t>
  </si>
  <si>
    <t>40406 - 40406</t>
  </si>
  <si>
    <t>40416 - 40416</t>
  </si>
  <si>
    <t>40422 - 40422</t>
  </si>
  <si>
    <t>40435 - 40435</t>
  </si>
  <si>
    <t>40444 - 40444 - 40443</t>
  </si>
  <si>
    <t>40452 - 40452</t>
  </si>
  <si>
    <t>40466 - 40466</t>
  </si>
  <si>
    <t>40475 - 40475</t>
  </si>
  <si>
    <t>40489 - 40489</t>
  </si>
  <si>
    <t>40499 - 514370 - 40501 - 514372 - 40499 - 514371 - 40500 - 514373 - 40502</t>
  </si>
  <si>
    <t>Vesse de loup géante</t>
  </si>
  <si>
    <t>40506 - 40506</t>
  </si>
  <si>
    <t>40525 - 514966 - 514967</t>
  </si>
  <si>
    <t>Vesse de loup hérisson</t>
  </si>
  <si>
    <t>514969 - 40534 - 40536 - 40535 - 514968</t>
  </si>
  <si>
    <t>40539 - 514970 - 514971</t>
  </si>
  <si>
    <t>40550 - 514976</t>
  </si>
  <si>
    <t>514977 - 40561 - 514978 - 40562</t>
  </si>
  <si>
    <t>Vesse de loup perlée</t>
  </si>
  <si>
    <t>514982 - 514983 - 514981 - 40569</t>
  </si>
  <si>
    <t xml:space="preserve">Truffe du cerf muriquée </t>
  </si>
  <si>
    <t>515656 - 515657 - 40611</t>
  </si>
  <si>
    <t>Satyre des chiens, Phallus de chien</t>
  </si>
  <si>
    <t>516004 - 516005 - 40635 - 516006 - 40632 - 40633 - 40634 - 516003 - 516002</t>
  </si>
  <si>
    <t>516374 - 40655 - 40654</t>
  </si>
  <si>
    <t>Satyre puant, Phallus impudique, Morille du diable</t>
  </si>
  <si>
    <t>40492 - 40692 - 513794 - 40693 - 518363 - 974336 - 40678 - 40697 - 40695 - 513795 - 518364 - 40679 - 518362 - 40680 - 518365 - 513793 - 974337</t>
  </si>
  <si>
    <t>883729 - 518355 - 518358 - 40686 - 518357 - 40687 - 518359 - 518356</t>
  </si>
  <si>
    <t>Rhizopogon jaune</t>
  </si>
  <si>
    <t>40708 - 40707 - 40709</t>
  </si>
  <si>
    <t>Scléroderme aréolé</t>
  </si>
  <si>
    <t>518946 - 40711 - 40710 - 518947 - 518945 - 518948</t>
  </si>
  <si>
    <t>40747 - 40748 - 40716</t>
  </si>
  <si>
    <t>Scléroderme vulgaire, Scléroderme commun, Scléroderme citron, Scléroderme orangé</t>
  </si>
  <si>
    <t>40718 - 518953 - 40720 - 518952</t>
  </si>
  <si>
    <t>Scléroderme en forme d'étoile</t>
  </si>
  <si>
    <t>40723 - 40725</t>
  </si>
  <si>
    <t>519205 - 519204 - 40750 - 40751 - 519206 - 519203</t>
  </si>
  <si>
    <t>520185 - 40789 - 520186 - 40790</t>
  </si>
  <si>
    <t>520676 - 520675 - 40809 - 520674 - 40811 - 40808 - 520670 - 520672 - 520671 - 520673</t>
  </si>
  <si>
    <t>Vesse de loup des prés</t>
  </si>
  <si>
    <t>40823 - 40864 - 40823 - 40826 - 509596</t>
  </si>
  <si>
    <t>Clavaire en chandelier</t>
  </si>
  <si>
    <t>40838 - 40839 - 509586 - 40838 - 509585</t>
  </si>
  <si>
    <t>Clavaire argilacée</t>
  </si>
  <si>
    <t>40841 - 40841</t>
  </si>
  <si>
    <t>40848 - 40848 - 40847</t>
  </si>
  <si>
    <t>Clavaire en forme d'aiguille</t>
  </si>
  <si>
    <t>40851 - 509588 - 40851 - 40854</t>
  </si>
  <si>
    <t>Clavaire vermicelle</t>
  </si>
  <si>
    <t>909474 - 40855</t>
  </si>
  <si>
    <t>Clavaire fuligineuse</t>
  </si>
  <si>
    <t>40856 - 40856</t>
  </si>
  <si>
    <t>Clavaire gris-bleu</t>
  </si>
  <si>
    <t>40857 - 509589 - 40857</t>
  </si>
  <si>
    <t>Clavaire saumonnée</t>
  </si>
  <si>
    <t>40867 - 40867 - 40868</t>
  </si>
  <si>
    <t>Clavaire des sphaignes</t>
  </si>
  <si>
    <t>40870 - 40870</t>
  </si>
  <si>
    <t>Clavaire jaune paille</t>
  </si>
  <si>
    <t>509594 - 40872</t>
  </si>
  <si>
    <t>Clavaire violette</t>
  </si>
  <si>
    <t>40883 - 40885 - 40884 - 40883 - 509595</t>
  </si>
  <si>
    <t>Clavaire en pilon</t>
  </si>
  <si>
    <t>40887 - 40890 - 40887</t>
  </si>
  <si>
    <t>Clavaire tronquée</t>
  </si>
  <si>
    <t>40893 - 509597 - 509599 - 40893 - 509598 - 40894</t>
  </si>
  <si>
    <t>Clavaire petite massue</t>
  </si>
  <si>
    <t>40899 - 509607 - 509608 - 40901 - 40899 - 40903 - 509609 - 40900</t>
  </si>
  <si>
    <t>Clavaire cendrée</t>
  </si>
  <si>
    <t>40904 - 40904</t>
  </si>
  <si>
    <t>Clavaire cendrée forme sublilacine</t>
  </si>
  <si>
    <t>40908 - 40908 - 40909 - 509616 - 40907 - 40906 - 509617 - 509615 - 509613 - 509614 - 509618 - 40905</t>
  </si>
  <si>
    <t>Clavaire crêtée</t>
  </si>
  <si>
    <t>40912 - 40914 - 509625 - 40912 - 40915 - 509627 - 509626</t>
  </si>
  <si>
    <t>Clavaire rugueuse</t>
  </si>
  <si>
    <t>40918 - 40918 - 40917</t>
  </si>
  <si>
    <t>Clavaire à spores en étoile</t>
  </si>
  <si>
    <t>40925 - 41137 - 509634 - 40850 - 509636 - 509633 - 41136 - 40925 - 509635</t>
  </si>
  <si>
    <t>Clavaire cornue</t>
  </si>
  <si>
    <t>40933 - 40933 - 41144 - 509638 - 509639 - 41146</t>
  </si>
  <si>
    <t>Clavaire en fuseau</t>
  </si>
  <si>
    <t>40934 - 40934 - 509647 - 40936 - 509646 - 40937</t>
  </si>
  <si>
    <t>Clavaire joyeuse</t>
  </si>
  <si>
    <t>40944 - 509653 - 40946 - 40944</t>
  </si>
  <si>
    <t>Clavaire obscurcie</t>
  </si>
  <si>
    <t>40955 - 514503</t>
  </si>
  <si>
    <t>974767 - 515123 - 40983 - 515122 - 40981</t>
  </si>
  <si>
    <t>660682 - 40991 - 667035 - 515655 - 667274 - 40992</t>
  </si>
  <si>
    <t>41004 - 41005</t>
  </si>
  <si>
    <t>Clavaire dorée</t>
  </si>
  <si>
    <t>41007 - 518255 - 41008</t>
  </si>
  <si>
    <t>Clavaire rougissante</t>
  </si>
  <si>
    <t>41012 - 518256 - 41009 - 518257 - 41010</t>
  </si>
  <si>
    <t>Clavaire choux-fleur</t>
  </si>
  <si>
    <t>518267 - 41029 - 41030 - 518268</t>
  </si>
  <si>
    <t>Clavaire variable</t>
  </si>
  <si>
    <t>41036 - 41006 - 41035 - 41037</t>
  </si>
  <si>
    <t>Clavaire jaune</t>
  </si>
  <si>
    <t>41039 - 41038</t>
  </si>
  <si>
    <t>Clavaire jaunâtre</t>
  </si>
  <si>
    <t>41049 - 41047 - 41050</t>
  </si>
  <si>
    <t>Clavaire jolie, Ramaire élégante</t>
  </si>
  <si>
    <t>41054 - 41052</t>
  </si>
  <si>
    <t>Clavaire anisée</t>
  </si>
  <si>
    <t>41060 - 41059</t>
  </si>
  <si>
    <t>Clavaire des sapinières</t>
  </si>
  <si>
    <t>Clavaire mimétique</t>
  </si>
  <si>
    <t>41093 - 518266 - 41094 - 463655</t>
  </si>
  <si>
    <t>41105 - 41106</t>
  </si>
  <si>
    <t>40971 - 518282 - 41107 - 41111 - 41020 - 41014</t>
  </si>
  <si>
    <t>Clavaire dressée</t>
  </si>
  <si>
    <t>41115 - 41116</t>
  </si>
  <si>
    <t>Clavaire rouge corail</t>
  </si>
  <si>
    <t>41124 - 518289 - 41122 - 518290</t>
  </si>
  <si>
    <t>41151 - 41158 - 509644 - 41149 - 509642 - 41148 - 509643 - 41151</t>
  </si>
  <si>
    <t>Clavaire lumineuse</t>
  </si>
  <si>
    <t>41153 - 41155 - 518299 - 41156 - 518298</t>
  </si>
  <si>
    <t>Clavaire bifurquée</t>
  </si>
  <si>
    <t>41160 - 41159 - 41157</t>
  </si>
  <si>
    <t>Clavaire jaune pâle</t>
  </si>
  <si>
    <t>41162 - 41161</t>
  </si>
  <si>
    <t>41167 - 518303 - 41165 - 518302</t>
  </si>
  <si>
    <t>Clavaire lilacine</t>
  </si>
  <si>
    <t>41195 - 520216 - 520217 - 41196 - 520214 - 41197 - 520215</t>
  </si>
  <si>
    <t>Typhule à pied rouge</t>
  </si>
  <si>
    <t>41227 - 41226 - 41225 - 520240</t>
  </si>
  <si>
    <t>520245 - 520246 - 520247 - 41237 - 41235</t>
  </si>
  <si>
    <t>520248 - 41206 - 520251 - 520253 - 520249 - 975365 - 41251 - 41207 - 975364 - 520250 - 520254 - 520252</t>
  </si>
  <si>
    <t>41256 - 507903 - 507891 - 507905 - 507901 - 41256 - 507908 - 507900 - 41257 - 507894 - 507907 - 44046 - 507899 - 507892 - 507902 - 507904 - 507906 - 41258 - 507896 - 507895 - 507893 - 41255 - 507897 - 507890 - 507898</t>
  </si>
  <si>
    <t>Polypore bisannuel</t>
  </si>
  <si>
    <t>41259 - 507911 - 41260 - 507909 - 507910 - 41259 - 902198 - 41261</t>
  </si>
  <si>
    <t>Polypore pied-bot</t>
  </si>
  <si>
    <t>41289 - 41288</t>
  </si>
  <si>
    <t>41310 - 41313 - 508161 - 508162 - 41311 - 41310 - 41312 - 508163</t>
  </si>
  <si>
    <t>41319 - 508166 - 508167 - 41319 - 508168 - 508165 - 41320 - 508164</t>
  </si>
  <si>
    <t>Corticié amorphe</t>
  </si>
  <si>
    <t>41329 - 41329 - 41330 - 41328 - 41331</t>
  </si>
  <si>
    <t>Cyphelle digitée</t>
  </si>
  <si>
    <t>41334 - 41334</t>
  </si>
  <si>
    <t>41341 - 508449 - 41344 - 41345 - 508441 - 508447 - 508443 - 508442 - 508448 - 508444 - 508445 - 41341 - 508446</t>
  </si>
  <si>
    <t>41355 - 41355</t>
  </si>
  <si>
    <t>41358 - 508765 - 41357 - 41358 - 41359</t>
  </si>
  <si>
    <t>41384 - 41384 - 41385 - 508466 - 41386</t>
  </si>
  <si>
    <t>41387 - 41387 - 41390 - 508467 - 41389 - 41388</t>
  </si>
  <si>
    <t>41391 - 508470 - 41394 - 508471 - 41392 - 508472 - 41393 - 508469 - 41391 - 508468</t>
  </si>
  <si>
    <t>41406 - 41406</t>
  </si>
  <si>
    <t>41408 - 508513 - 41410 - 508508 - 41409 - 41408 - 508518 - 508516 - 508517 - 508510 - 508515 - 508514 - 508511 - 508509 - 508512</t>
  </si>
  <si>
    <t>Polypore blanchâtre</t>
  </si>
  <si>
    <t>41415 - 41415</t>
  </si>
  <si>
    <t>Polypore heteromorphe</t>
  </si>
  <si>
    <t>41425 - 41426 - 508531 - 508529 - 508530 - 41425 - 508532 - 41427</t>
  </si>
  <si>
    <t xml:space="preserve">Polypore mince. </t>
  </si>
  <si>
    <t>41434 - 41436 - 508536 - 508534 - 508537 - 508539 - 508538 - 41434 - 41435 - 508535</t>
  </si>
  <si>
    <t>41437 - 508541 - 41440 - 913253 - 508543 - 508542 - 41437</t>
  </si>
  <si>
    <t>41449 - 976725 - 508567 - 41423 - 508560 - 508568 - 508558 - 508564 - 508565 - 508562 - 41449 - 508566 - 508559 - 508561 - 41452 - 976724 - 508563</t>
  </si>
  <si>
    <t>41465 - 508582 - 41465</t>
  </si>
  <si>
    <t>41477 - 41480 - 41479 - 508612 - 41477 - 508613</t>
  </si>
  <si>
    <t>41484 - 41485 - 41486 - 41487 - 41484</t>
  </si>
  <si>
    <t>41508 - 508742 - 41509 - 41508</t>
  </si>
  <si>
    <t>41510 - 41510</t>
  </si>
  <si>
    <t>41520 - 508748 - 41520 - 508751 - 508750 - 508749 - 508747</t>
  </si>
  <si>
    <t>41523 - 41523</t>
  </si>
  <si>
    <t>41524 - 41524</t>
  </si>
  <si>
    <t>41551 - 508764 - 41553 - 41551 - 41552 - 972050</t>
  </si>
  <si>
    <t>41559 - 508769 - 41559 - 41561</t>
  </si>
  <si>
    <t>41571 - 508782 - 508779 - 508780 - 909862 - 41573 - 508778 - 41571 - 909442 - 508781 - 508776 - 41572 - 508777</t>
  </si>
  <si>
    <t>Oreille de Judas</t>
  </si>
  <si>
    <t>41575 - 508790 - 508793 - 508798 - 508797 - 508792 - 508795 - 508788 - 41575 - 508796 - 508789 - 41576 - 508794 - 508791</t>
  </si>
  <si>
    <t>Oreille poilue</t>
  </si>
  <si>
    <t>41587 - 41587</t>
  </si>
  <si>
    <t>41589 - 508805 - 508803 - 41589 - 508804 - 41591</t>
  </si>
  <si>
    <t>Hydne cure-oreille</t>
  </si>
  <si>
    <t>41593 - 41593</t>
  </si>
  <si>
    <t>41622 - 508861 - 508860 - 41623 - 976732 - 897351 - 508859 - 508854 - 508862 - 508856 - 508853 - 508863 - 41624 - 508864 - 508865 - 508855 - 41622 - 508858 - 508857</t>
  </si>
  <si>
    <t>Tramète brûlée</t>
  </si>
  <si>
    <t>41630 - 508873 - 508876 - 41630 - 508871 - 508879 - 41631 - 41632 - 508881 - 508875 - 508877 - 508880 - 41633 - 508872 - 508874 - 508882 - 508883 - 508878 - 508870</t>
  </si>
  <si>
    <t>Tramète enfumée</t>
  </si>
  <si>
    <t>41637 - 41639 - 508891 - 41638 - 41640 - 41637</t>
  </si>
  <si>
    <t>41645 - 985859 - 44092</t>
  </si>
  <si>
    <t>41650 - 41652 - 509049 - 509048 - 509050 - 41650 - 41649</t>
  </si>
  <si>
    <t>Polypore des montagnes</t>
  </si>
  <si>
    <t>41660 - 509055 - 509057 - 509054 - 509056 - 509053 - 41660</t>
  </si>
  <si>
    <t>41661 - 41663</t>
  </si>
  <si>
    <t>41662 - 41662 - 41664 - 509082 - 509083</t>
  </si>
  <si>
    <t>41666 - 29188 - 509066 - 509068 - 41666 - 509067</t>
  </si>
  <si>
    <t>41667 - 41667 - 41668</t>
  </si>
  <si>
    <t>41673 - 41673 - 41674</t>
  </si>
  <si>
    <t>41675 - 41675</t>
  </si>
  <si>
    <t>41676 - 41676</t>
  </si>
  <si>
    <t>41683 - 41684 - 509081 - 41683</t>
  </si>
  <si>
    <t>41696 - 519885 - 519884 - 41698 - 519882 - 519886 - 464262 - 519883 - 973998 - 41696 - 974000</t>
  </si>
  <si>
    <t>41706 - 41708 - 41706 - 29137 - 509147 - 509148 - 41707 - 509146</t>
  </si>
  <si>
    <t>41712 - 41714 - 509151 - 41712 - 41715</t>
  </si>
  <si>
    <t>41713 - 41713</t>
  </si>
  <si>
    <t>41741 - 41741</t>
  </si>
  <si>
    <t>971738 - 971738 - 509178 - 509177 - 897354 - 971739 - 41747 - 41746 - 509176</t>
  </si>
  <si>
    <t>Calocère petite-corne</t>
  </si>
  <si>
    <t>41751 - 41751</t>
  </si>
  <si>
    <t>41755 - 509187 - 509185 - 41755 - 41757 - 41756 - 509186</t>
  </si>
  <si>
    <t>Calocère visqueuse</t>
  </si>
  <si>
    <t>41759 - 41759</t>
  </si>
  <si>
    <t>41770 - 41770</t>
  </si>
  <si>
    <t>41826 - 41826</t>
  </si>
  <si>
    <t>41854 - 41855 - 41854 - 41856 - 509331 - 41857</t>
  </si>
  <si>
    <t>41864 - 41864 - 41862</t>
  </si>
  <si>
    <t>41883 - 41883 - 41885 - 41896 - 509378 - 41884</t>
  </si>
  <si>
    <t>41886 - 509394 - 41886 - 509389 - 509391 - 509392 - 509390 - 41887 - 41888 - 509393 - 41890</t>
  </si>
  <si>
    <t>41891 - 509398 - 41891 - 41894 - 509399 - 509401 - 509397 - 509396 - 509395 - 509400</t>
  </si>
  <si>
    <t>41897 - 509402 - 509404 - 41900 - 41897 - 509403</t>
  </si>
  <si>
    <t>41902 - 41902</t>
  </si>
  <si>
    <t>41906 - 41906</t>
  </si>
  <si>
    <t>41914 - 41914 - 41915 - 509424</t>
  </si>
  <si>
    <t>41918 - 41920 - 41918 - 41921 - 509430</t>
  </si>
  <si>
    <t>41926 - 41926 - 41929 - 41928 - 509435</t>
  </si>
  <si>
    <t>41930 - 895542 - 509443 - 509440 - 41933 - 509437 - 41930 - 509438 - 41931 - 43451 - 509444 - 509445 - 509439 - 509441</t>
  </si>
  <si>
    <t>41939 - 41939 - 509462 - 509455 - 41940 - 41942 - 509460 - 509461 - 509458 - 509463 - 509459 - 509456 - 509457 - 509464</t>
  </si>
  <si>
    <t>Tramète à ligne noire</t>
  </si>
  <si>
    <t>41952 - 41955 - 41952 - 41954 - 509511 - 509509 - 509508 - 509510</t>
  </si>
  <si>
    <t>Stérée pourpre</t>
  </si>
  <si>
    <t>41963 - 41965 - 509512 - 509517 - 509518 - 509521 - 509513 - 509515 - 509519 - 41963 - 41966 - 509520 - 509516 - 509522 - 41969 - 509514 - 41967</t>
  </si>
  <si>
    <t>462252 - 511923 - 462252 - 41973 - 41972 - 511920 - 511921 - 511919 - 41974 - 511922 - 511918 - 41971</t>
  </si>
  <si>
    <t>41983 - 509655 - 509656 - 509657 - 41985 - 41983 - 41986 - 509654</t>
  </si>
  <si>
    <t>Polypore boréal</t>
  </si>
  <si>
    <t>41996 - 41996</t>
  </si>
  <si>
    <t>Polypore cannelle</t>
  </si>
  <si>
    <t>41999 - 510096 - 510095 - 41999 - 510098 - 42001 - 510097 - 510094</t>
  </si>
  <si>
    <t>42002 - 510102 - 510099 - 510104 - 988094 - 510103 - 510101 - 42005 - 42002 - 510100 - 42004 - 510105</t>
  </si>
  <si>
    <t>Polypore vivace</t>
  </si>
  <si>
    <t>42017 - 510110 - 42019 - 42017 - 42021</t>
  </si>
  <si>
    <t>42030 - 42030</t>
  </si>
  <si>
    <t>42064 - 42067 - 511505 - 511496 - 511499 - 511504 - 511507 - 511501 - 511503 - 511506 - 42066 - 511498 - 511508 - 42065 - 511502 - 42064 - 511500 - 511497</t>
  </si>
  <si>
    <t>42073 - 42073</t>
  </si>
  <si>
    <t>42080 - 513193 - 513192 - 42078 - 42079 - 513191 - 42080 - 513194</t>
  </si>
  <si>
    <t>42083 - 511609 - 511611 - 511610 - 42083 - 42085 - 42084 - 511612 - 511608</t>
  </si>
  <si>
    <t>42086 - 42086 - 42087 - 42089 - 511613</t>
  </si>
  <si>
    <t>42102 - 42102 - 42100</t>
  </si>
  <si>
    <t>42133 - 511791 - 42133 - 511790 - 511792 - 42134</t>
  </si>
  <si>
    <t>Corticie du saule</t>
  </si>
  <si>
    <t>42140 - 511795 - 511797 - 42140 - 511796 - 42142</t>
  </si>
  <si>
    <t>42143 - 42143 - 42145</t>
  </si>
  <si>
    <t>Trémelle à spores jaunes</t>
  </si>
  <si>
    <t>42161 - 511806 - 511808 - 511809 - 511807 - 42163 - 42161</t>
  </si>
  <si>
    <t>Trémelle déliquescente</t>
  </si>
  <si>
    <t>42172 - 42175 - 42174 - 42172</t>
  </si>
  <si>
    <t>Stérée de Karsten</t>
  </si>
  <si>
    <t>42185 - 42185 - 42187 - 511816 - 511815</t>
  </si>
  <si>
    <t>Lenzite du chêne, Dédalée du chêne</t>
  </si>
  <si>
    <t>42194 - 42196 - 42194 - 42193 - 511836 - 974401</t>
  </si>
  <si>
    <t>Lenzite tricolore</t>
  </si>
  <si>
    <t>42198 - 42199 - 42200 - 42201 - 511837 - 42198</t>
  </si>
  <si>
    <t>Tramète à odeur d'abricot</t>
  </si>
  <si>
    <t>42202 - 42202</t>
  </si>
  <si>
    <t>511862 - 42219 - 511862 - 42216 - 511863 - 42217 - 511861 - 511860</t>
  </si>
  <si>
    <t>Polypore en ombelle</t>
  </si>
  <si>
    <t>42221 - 511865 - 42224 - 42222 - 511868 - 511867 - 42223 - 511864 - 42221 - 511866</t>
  </si>
  <si>
    <t>42225 - 511869 - 42227 - 511870 - 511872 - 42225 - 511871 - 511873</t>
  </si>
  <si>
    <t>42243 - 511882 - 511883 - 42246 - 511881 - 42243 - 42244 - 42245</t>
  </si>
  <si>
    <t>Dentipèle fragile</t>
  </si>
  <si>
    <t>42252 - 42253 - 42252 - 42254 - 511904 - 511905</t>
  </si>
  <si>
    <t>Polypore champêtre</t>
  </si>
  <si>
    <t>42286 - 511958 - 511957 - 511955 - 511959 - 511956 - 511953 - 42286 - 511952 - 42287 - 42288 - 511954</t>
  </si>
  <si>
    <t>42305 - 511986 - 42306 - 511988 - 42307 - 511987 - 42305</t>
  </si>
  <si>
    <t>42317 - 42317 - 42319 - 512422 - 512423 - 512421 - 42318</t>
  </si>
  <si>
    <t>42323 - 42325 - 512426 - 512425 - 42323 - 42326 - 512424</t>
  </si>
  <si>
    <t>42331 - 512427 - 42331 - 42348</t>
  </si>
  <si>
    <t>Exidie glanduleuse</t>
  </si>
  <si>
    <t>42337 - 42337 - 512443 - 512444 - 512441 - 512442 - 42338</t>
  </si>
  <si>
    <t>Exidie obconique</t>
  </si>
  <si>
    <t>42340 - 512446 - 42340 - 512445</t>
  </si>
  <si>
    <t>Exidie répandue</t>
  </si>
  <si>
    <t>42343 - 42344 - 512449 - 44971 - 512450 - 42345 - 42343</t>
  </si>
  <si>
    <t>42346 - 512452 - 42346 - 512453 - 512451</t>
  </si>
  <si>
    <t>Exidie tronquée</t>
  </si>
  <si>
    <t>42349 - 42349</t>
  </si>
  <si>
    <t>42352 - 42355 - 512456 - 512454 - 42354 - 512455 - 42352 - 512457</t>
  </si>
  <si>
    <t>42358 - 512461 - 42358 - 512462 - 512459 - 512465 - 512458 - 512466 - 512463 - 512464 - 512460 - 42360</t>
  </si>
  <si>
    <t>Cheveux de glace</t>
  </si>
  <si>
    <t>42366 - 42367 - 512474 - 42366</t>
  </si>
  <si>
    <t>42390 - 42390</t>
  </si>
  <si>
    <t>42392 - 42392 - 512497 - 512496</t>
  </si>
  <si>
    <t>Exobasodium de l'Andromède</t>
  </si>
  <si>
    <t>42396 - 42396 - 512500 - 512501</t>
  </si>
  <si>
    <t>Exobasodium de la canneberge</t>
  </si>
  <si>
    <t>42397 - 42397</t>
  </si>
  <si>
    <t>512508 - 512506 - 42400 - 512507 - 512509</t>
  </si>
  <si>
    <t>42408 - 512521 - 42408 - 42409</t>
  </si>
  <si>
    <t>Exobasidium de l'airelle du Mont-Ida</t>
  </si>
  <si>
    <t>42439 - 42439</t>
  </si>
  <si>
    <t>42445 - 512557 - 42445 - 512558</t>
  </si>
  <si>
    <t>Langue de bœuf, Fistuline hépatique</t>
  </si>
  <si>
    <t>42469 - 42469</t>
  </si>
  <si>
    <t>42470 - 42458 - 512561 - 42474 - 42470 - 512559 - 42457 - 42456 - 512562 - 512560 - 42471 - 42473 - 42472 - 42459</t>
  </si>
  <si>
    <t>42480 - 42480</t>
  </si>
  <si>
    <t>Cyphelle ciliée</t>
  </si>
  <si>
    <t>42504 - 42507 - 512631 - 512629 - 42506 - 512628 - 512632 - 42505 - 512630 - 42504</t>
  </si>
  <si>
    <t>Amadouvier, Polypore allume-feu</t>
  </si>
  <si>
    <t>42514 - 512640 - 42514 - 512644 - 512637 - 42515 - 42518 - 512645 - 512642 - 512647 - 516921 - 512638 - 512646 - 512641 - 512639 - 512643 - 42517</t>
  </si>
  <si>
    <t>Polypore marginé</t>
  </si>
  <si>
    <t>42524 - 512660 - 512658 - 512665 - 512667 - 42524 - 512664 - 512663 - 512661 - 512666 - 512659 - 512668 - 42527 - 512662 - 42044 - 42526 - 512669</t>
  </si>
  <si>
    <t>Tramète des gaules</t>
  </si>
  <si>
    <t>42528 - 512671 - 512673 - 512670 - 512674 - 42531 - 512672 - 42529 - 42528</t>
  </si>
  <si>
    <t>Tramète du peuplier</t>
  </si>
  <si>
    <t>42534 - 42534</t>
  </si>
  <si>
    <t>42542 - 804428 - 42542 - 42541 - 512757 - 512756 - 42543 - 1018754 - 512758 - 908184 - 512755</t>
  </si>
  <si>
    <t>Ganoderme épaissi</t>
  </si>
  <si>
    <t>42544 - 42544 - 42545</t>
  </si>
  <si>
    <t>Ganoderme du sapin</t>
  </si>
  <si>
    <t>42547 - 42548 - 512761 - 42547 - 512762 - 512759 - 42549 - 512760 - 975547 - 512763 - 975799</t>
  </si>
  <si>
    <t>Ganoderme plat, Ganoderme aplani</t>
  </si>
  <si>
    <t>42551 - 512770 - 42553 - 512765 - 42551 - 512767 - 512766 - 512768 - 42556 - 512764 - 512769</t>
  </si>
  <si>
    <t>Ganoderme luisant</t>
  </si>
  <si>
    <t>42554 - 42554</t>
  </si>
  <si>
    <t>Ganoderme crevassé</t>
  </si>
  <si>
    <t>42558 - 42558 - 512771 - 42559</t>
  </si>
  <si>
    <t>Polypore résineux, Ganoderme résineux</t>
  </si>
  <si>
    <t>512772 - 512772 - 42561</t>
  </si>
  <si>
    <t>Ganoderme du mélèze</t>
  </si>
  <si>
    <t>42593 - 42590 - 42591 - 515273 - 42592</t>
  </si>
  <si>
    <t>42598 - 512818 - 42598 - 42601 - 42599 - 512817</t>
  </si>
  <si>
    <t>42603 - 42603 - 512821 - 42605 - 512820 - 42606 - 42604</t>
  </si>
  <si>
    <t>Lenzite du sapin</t>
  </si>
  <si>
    <t>42607 - 42608 - 512822 - 42607 - 512825 - 42609 - 42610 - 512824 - 512826 - 512823</t>
  </si>
  <si>
    <t>Polypore anisé</t>
  </si>
  <si>
    <t>42614 - 42617 - 42615 - 42614 - 512830</t>
  </si>
  <si>
    <t>Lenzite des clôtures</t>
  </si>
  <si>
    <t>42621 - 42622 - 512835 - 512832 - 512836 - 512831 - 512834 - 512833 - 42621 - 512837 - 42623 - 42624 - 517233</t>
  </si>
  <si>
    <t>Lenzite des poutres</t>
  </si>
  <si>
    <t>42626 - 512840 - 42628 - 512839 - 42626 - 512838</t>
  </si>
  <si>
    <t>Tramète bicolore</t>
  </si>
  <si>
    <t>42632 - 42632</t>
  </si>
  <si>
    <t>42644 - 512879 - 42644 - 42646 - 512878 - 42648 - 512880 - 42647</t>
  </si>
  <si>
    <t>Polypore en touffes</t>
  </si>
  <si>
    <t>461995 - 512941 - 42652 - 461995 - 42661 - 42660 - 994941 - 512952 - 512940 - 994945 - 512938 - 512939</t>
  </si>
  <si>
    <t>42662 - 512953 - 42662 - 994946</t>
  </si>
  <si>
    <t>42664 - 512985 - 512988 - 512987 - 42665 - 512983 - 512984 - 512990 - 512982 - 512989 - 42666 - 512986 - 42664</t>
  </si>
  <si>
    <t>Polypore safran</t>
  </si>
  <si>
    <t>42667 - 42671 - 512991 - 42667 - 42670 - 512993 - 42669 - 512995 - 42668 - 512996 - 512994 - 512992</t>
  </si>
  <si>
    <t>Polypore rutilant</t>
  </si>
  <si>
    <t>42672 - 42672</t>
  </si>
  <si>
    <t>Polypore saumoné</t>
  </si>
  <si>
    <t>42682 - 42682 - 42683</t>
  </si>
  <si>
    <t>42694 - 513189 - 42695 - 513190 - 513187 - 513188 - 42694 - 42697</t>
  </si>
  <si>
    <t>42702 - 42702 - 513195</t>
  </si>
  <si>
    <t>Hydne rameux</t>
  </si>
  <si>
    <t>42709 - 42709 - 42711 - 513220 - 513221</t>
  </si>
  <si>
    <t>Hydne corail des résineux</t>
  </si>
  <si>
    <t>42712 - 513198 - 513200 - 513203 - 513204 - 513197 - 513201 - 513199 - 42704 - 513196 - 513202 - 42712 - 513205 - 42710 - 42703</t>
  </si>
  <si>
    <t>Hydne corail des feuillus.</t>
  </si>
  <si>
    <t>42716 - 42718 - 974540 - 42717 - 42716</t>
  </si>
  <si>
    <t>42721 - 975800 - 513230 - 513226 - 42723 - 513228 - 42724 - 513234 - 513229 - 513236 - 513235 - 513224 - 42722 - 513232 - 42721 - 513227 - 513225 - 513231 - 513233</t>
  </si>
  <si>
    <t>Polypore du rond des pins</t>
  </si>
  <si>
    <t>42737 - 513316 - 42737 - 42738 - 513317</t>
  </si>
  <si>
    <t>Hydne orangé</t>
  </si>
  <si>
    <t>42741 - 42741 - 42742</t>
  </si>
  <si>
    <t>42743 - 513319 - 42746 - 42743 - 513320</t>
  </si>
  <si>
    <t>Hydne bleu azur</t>
  </si>
  <si>
    <t>42748 - 42748</t>
  </si>
  <si>
    <t>Hydne compact</t>
  </si>
  <si>
    <t>42751 - 42754 - 513325 - 513323 - 42751 - 513324 - 513327 - 994255 - 513322 - 42753 - 513326</t>
  </si>
  <si>
    <t>Hydne concrescent</t>
  </si>
  <si>
    <t>42757 - 42757 - 42760 - 513330 - 42759 - 513328 - 513329</t>
  </si>
  <si>
    <t>Hydne ferrugineux</t>
  </si>
  <si>
    <t>42762 - 42762 - 513332 - 42764 - 513333 - 513334 - 42765</t>
  </si>
  <si>
    <t>Hydne terrestre</t>
  </si>
  <si>
    <t>42767 - 42767 - 42769 - 513336 - 513337 - 42770</t>
  </si>
  <si>
    <t>Hydne admirable ou Hydne âcre</t>
  </si>
  <si>
    <t>42771 - 42774 - 42771 - 513338</t>
  </si>
  <si>
    <t>Hydne de Peck</t>
  </si>
  <si>
    <t>42775 - 513339 - 42776 - 42778 - 513340 - 42775</t>
  </si>
  <si>
    <t>Hydne scrobiculé</t>
  </si>
  <si>
    <t>42784 - 42787 - 42785 - 42784</t>
  </si>
  <si>
    <t>Hydne parfumé</t>
  </si>
  <si>
    <t>42792 - 513348 - 42792 - 513347</t>
  </si>
  <si>
    <t>Pied de mouton</t>
  </si>
  <si>
    <t>42796 - 513351 - 513352 - 513353 - 42796 - 42798</t>
  </si>
  <si>
    <t>Pied de mouton roux</t>
  </si>
  <si>
    <t>42800 - 42801 - 42800 - 513548 - 513547 - 42803</t>
  </si>
  <si>
    <t>Hyménochète canelle</t>
  </si>
  <si>
    <t>42804 - 513550 - 42804 - 42805 - 513549</t>
  </si>
  <si>
    <t>42807 - 42811 - 513552 - 513553 - 42810 - 42809 - 42807 - 513551 - 42808</t>
  </si>
  <si>
    <t>42815 - 42815 - 42816 - 513558 - 513559 - 513557 - 513556</t>
  </si>
  <si>
    <t>Hyménochète rouillé</t>
  </si>
  <si>
    <t>974558 - 513568 - 513563 - 513561 - 974559 - 513567 - 513566 - 513564 - 42820 - 42822 - 513565 - 513562 - 42821</t>
  </si>
  <si>
    <t>42827 - 513581 - 513578 - 513579 - 42827 - 42828 - 513580 - 42830 - 42829</t>
  </si>
  <si>
    <t>42833 - 42833</t>
  </si>
  <si>
    <t>42836 - 42836 - 42837</t>
  </si>
  <si>
    <t>42838 - 42839 - 42838</t>
  </si>
  <si>
    <t>42851 - 42855 - 42851 - 42854 - 42853</t>
  </si>
  <si>
    <t>42870 - 42873 - 513593 - 42870 - 42872</t>
  </si>
  <si>
    <t>42874 - 42874</t>
  </si>
  <si>
    <t>42882 - 513601 - 42884 - 974949 - 513597 - 42885 - 513598 - 513600 - 513596 - 42882 - 513599</t>
  </si>
  <si>
    <t>42894 - 513608 - 42896 - 42894</t>
  </si>
  <si>
    <t>42897 - 42900 - 513619 - 513621 - 513620 - 42897</t>
  </si>
  <si>
    <t>42910 - 513625 - 42911 - 42912 - 42910 - 42913 - 513624</t>
  </si>
  <si>
    <t>42932 - 42935 - 42932 - 42934 - 513629 - 42933</t>
  </si>
  <si>
    <t>42936 - 42938 - 513630 - 42937 - 513631 - 42936</t>
  </si>
  <si>
    <t>42943 - 42942 - 513649</t>
  </si>
  <si>
    <t>42947 - 42948 - 514151 - 42946 - 514150 - 42947 - 42945 - 514152</t>
  </si>
  <si>
    <t>42953 - 42955 - 513640 - 42953 - 513638 - 42954 - 513639</t>
  </si>
  <si>
    <t>42957 - 42959 - 513641 - 42957 - 899657 - 42960 - 913256 - 42958</t>
  </si>
  <si>
    <t>42987 - 42989 - 513660 - 513661 - 42987 - 42990</t>
  </si>
  <si>
    <t>42994 - 513665 - 42997 - 42994 - 42995</t>
  </si>
  <si>
    <t>42998 - 513669 - 513666 - 42999 - 513670 - 42998 - 513667 - 43000 - 513668</t>
  </si>
  <si>
    <t>43012 - 43013 - 43012 - 43014 - 513674 - 43015 - 513675</t>
  </si>
  <si>
    <t>43019 - 43019</t>
  </si>
  <si>
    <t>43029 - 43029</t>
  </si>
  <si>
    <t>43035 - 43035</t>
  </si>
  <si>
    <t>43047 - 43049 - 513762 - 43047 - 513761 - 513763</t>
  </si>
  <si>
    <t>43050 - 43050</t>
  </si>
  <si>
    <t>43060 - 43060</t>
  </si>
  <si>
    <t>43068 - 513780 - 43069 - 43066 - 43063 - 43062 - 513781</t>
  </si>
  <si>
    <t>43071 - 43071 - 43074 - 43073 - 513782</t>
  </si>
  <si>
    <t>Corticie veloutée</t>
  </si>
  <si>
    <t>43086 - 43089 - 514023 - 514022 - 514021 - 43086</t>
  </si>
  <si>
    <t>Polypore peigné</t>
  </si>
  <si>
    <t>43094 - 43094</t>
  </si>
  <si>
    <t>Polypore du chêne</t>
  </si>
  <si>
    <t>43103 - 514041 - 514044 - 43103 - 514040 - 514042 - 514043 - 43106 - 43105 - 43104</t>
  </si>
  <si>
    <t>Polypore herissé</t>
  </si>
  <si>
    <t>43108 - 514052 - 43110 - 43109 - 514053 - 514051 - 514049 - 514050 - 43108</t>
  </si>
  <si>
    <t>Polypore du hêtre</t>
  </si>
  <si>
    <t>43113 - 514057 - 43115 - 514058 - 43116 - 514055 - 514056 - 900324 - 514054 - 43113</t>
  </si>
  <si>
    <t>Polypore incrusté</t>
  </si>
  <si>
    <t>43122 - 514066 - 514065 - 37651 - 514072 - 514069 - 514075 - 514074 - 514070 - 43122 - 37650 - 514068 - 43124 - 43123 - 976168 - 514071 - 43125 - 514067 - 514073</t>
  </si>
  <si>
    <t>Polypore roux</t>
  </si>
  <si>
    <t>43140 - 43144 - 43143 - 514103 - 514104 - 43140 - 514101 - 973080 - 514102</t>
  </si>
  <si>
    <t>Irpex laiteux</t>
  </si>
  <si>
    <t>43151 - 514135 - 514132 - 514130 - 514134 - 43154 - 514131 - 514133 - 43151</t>
  </si>
  <si>
    <t>Polypore balsamique</t>
  </si>
  <si>
    <t>43155 - 43155 - 43153</t>
  </si>
  <si>
    <t>Polypore anisé ou Polypore résineux</t>
  </si>
  <si>
    <t>517047 - 517040 - 43161 - 517044 - 517045 - 517043 - 517049 - 517048 - 43158 - 43159 - 517046 - 517041 - 517042</t>
  </si>
  <si>
    <t>Polypore de trog</t>
  </si>
  <si>
    <t>43163 - 43163</t>
  </si>
  <si>
    <t>43213 - 43211 - 510404 - 43214 - 510405 - 971645 - 43213</t>
  </si>
  <si>
    <t xml:space="preserve">Corticie rose. </t>
  </si>
  <si>
    <t>43216 - 514345 - 514350 - 514343 - 43217 - 514348 - 514352 - 514353 - 514354 - 514351 - 514346 - 514347 - 43219 - 514342 - 514344 - 43216 - 514349</t>
  </si>
  <si>
    <t>Polypore soufré</t>
  </si>
  <si>
    <t>43227 - 513758 - 43227 - 513760 - 43225 - 43228 - 43226 - 513759</t>
  </si>
  <si>
    <t>43230 - 43230</t>
  </si>
  <si>
    <t>Polypore du mélèze ou Polypore officinal</t>
  </si>
  <si>
    <t>43242 - 899704 - 43242 - 43244 - 43245 - 43243 - 899705 - 514382</t>
  </si>
  <si>
    <t>Stérée bicolore</t>
  </si>
  <si>
    <t>514570 - 514572 - 43251 - 514566 - 514573 - 514565 - 514568 - 514571 - 43252 - 514564 - 43253 - 514569 - 514563 - 514567 - 514574 - 43254</t>
  </si>
  <si>
    <t>Lenzite du bouleau, Tramète du bouleau</t>
  </si>
  <si>
    <t>43264 - 43267 - 514701 - 43265 - 43266 - 514704 - 514702 - 514703</t>
  </si>
  <si>
    <t>514959 - 514958 - 514960 - 43348 - 43347</t>
  </si>
  <si>
    <t>515486 - 515484 - 43385 - 515485 - 515490 - 43386 - 515487 - 515488 - 43388 - 515489 - 515482 - 515483 - 515491 - 44045</t>
  </si>
  <si>
    <t>515502 - 515507 - 515501 - 515505 - 515494 - 994184 - 43392 - 43390 - 515498 - 515504 - 515500 - 515496 - 515492 - 43391 - 515497 - 515499 - 515506 - 515508 - 515509 - 994185 - 994182 - 515493 - 43393 - 515495</t>
  </si>
  <si>
    <t>43408 - 43409 - 515516 - 43407 - 43408 - 515517 - 43410</t>
  </si>
  <si>
    <t>Mérule papyracée</t>
  </si>
  <si>
    <t>43412 - 43412</t>
  </si>
  <si>
    <t>43417 - 43419</t>
  </si>
  <si>
    <t>43476 - 512432 - 43475 - 512436 - 512431 - 43476 - 43477 - 43478 - 512434</t>
  </si>
  <si>
    <t>43536 - 517238 - 43534 - 43537 - 517239 - 43535</t>
  </si>
  <si>
    <t>43578 - 517285 - 517286 - 517288 - 517287 - 517291 - 900570 - 517289 - 900569 - 900568 - 43581 - 43582 - 43580 - 517290 - 43579</t>
  </si>
  <si>
    <t>Polypore souris</t>
  </si>
  <si>
    <t>517292 - 43586 - 43583 - 517293 - 43585 - 43584</t>
  </si>
  <si>
    <t>516112 - 516110 - 43620 - 516109 - 29579 - 516107 - 43622 - 43621 - 516111 - 516108 - 43619</t>
  </si>
  <si>
    <t>43662 - 516199 - 43661 - 900206</t>
  </si>
  <si>
    <t>43669 - 43668</t>
  </si>
  <si>
    <t>43671 - 516201 - 43670 - 516202</t>
  </si>
  <si>
    <t>516207 - 516209 - 43677 - 516205 - 516208 - 516203 - 516206 - 516204 - 43675 - 43679</t>
  </si>
  <si>
    <t>974186 - 516211 - 516212 - 43685 - 43683 - 974185 - 43684</t>
  </si>
  <si>
    <t>516215 - 43687 - 516213 - 516214 - 516216 - 43689</t>
  </si>
  <si>
    <t>516224 - 516228 - 516229 - 516225 - 516227 - 43694 - 516230 - 43695 - 516226</t>
  </si>
  <si>
    <t>43710 - 43709 - 43708 - 516241 - 516240</t>
  </si>
  <si>
    <t>516246 - 516243 - 516244 - 43714 - 516245 - 43713 - 516242</t>
  </si>
  <si>
    <t>43720 - 516250 - 43722 - 516249</t>
  </si>
  <si>
    <t>516263 - 516258 - 516260 - 516268 - 516266 - 43734 - 516264 - 516261 - 516259 - 43732 - 516265 - 516262 - 516267</t>
  </si>
  <si>
    <t>43791 - 516390 - 516391</t>
  </si>
  <si>
    <t>516396 - 43803</t>
  </si>
  <si>
    <t>438055 - 438055</t>
  </si>
  <si>
    <t>Campanelle bleue</t>
  </si>
  <si>
    <t>36885 - 974049 - 36885 - 438063 - 36886</t>
  </si>
  <si>
    <t>Conocybe sordide</t>
  </si>
  <si>
    <t>36864 - 36864 - 510169 - 510168 - 438064</t>
  </si>
  <si>
    <t>438066 - 994466 - 438066 - 510564 - 974076</t>
  </si>
  <si>
    <t>438067 - 510810 - 438067</t>
  </si>
  <si>
    <t>438068 - 438068</t>
  </si>
  <si>
    <t>43812 - 43809 - 43811 - 974918 - 516399</t>
  </si>
  <si>
    <t>438152 - 520716</t>
  </si>
  <si>
    <t>43821 - 976041 - 516410 - 43819 - 43822 - 516411 - 516409 - 43820</t>
  </si>
  <si>
    <t>43823 - 974190 - 974181 - 913254 - 974188 - 974182</t>
  </si>
  <si>
    <t>43833 - 516415 - 42802 - 43835 - 43832 - 516416</t>
  </si>
  <si>
    <t>516426 - 43841 - 516428 - 516430 - 516429 - 516427 - 465267</t>
  </si>
  <si>
    <t>43864 - 43864</t>
  </si>
  <si>
    <t>43900 - 974931 - 43901 - 516569 - 43902</t>
  </si>
  <si>
    <t>516574 - 43906 - 516576 - 516572 - 516571 - 516575 - 43907 - 516570 - 516573 - 43916 - 516577</t>
  </si>
  <si>
    <t>516586 - 516587 - 516585 - 516584 - 43921 - 43920 - 43938 - 43919 - 516583 - 43922 - 43937 - 516588</t>
  </si>
  <si>
    <t>516907 - 516902 - 974948 - 516905 - 43996 - 43994 - 516904 - 465275 - 43993 - 516906 - 516903</t>
  </si>
  <si>
    <t>44006 - 44004 - 516909 - 516908 - 44003</t>
  </si>
  <si>
    <t>516913 - 516911 - 44007 - 44005 - 44010</t>
  </si>
  <si>
    <t>917860 - 44023 - 917860 - 44021 - 44020 - 516915 - 516916 - 44022</t>
  </si>
  <si>
    <t>Polypore du bouleau</t>
  </si>
  <si>
    <t>44030 - 44029</t>
  </si>
  <si>
    <t>44034 - 516986 - 44035 - 516988 - 516984 - 516982 - 516987 - 516985 - 44033 - 44036 - 516983</t>
  </si>
  <si>
    <t>44039 - 44038 - 517050 - 517051</t>
  </si>
  <si>
    <t>517068 - 44071 - 44069 - 994965 - 44070 - 994966 - 517069 - 517072 - 517071 - 517070</t>
  </si>
  <si>
    <t>517123 - 44075 - 517125 - 517124 - 517128 - 517129 - 994963 - 517122 - 517121 - 44073 - 517127 - 517126</t>
  </si>
  <si>
    <t>517135 - 517141 - 517132 - 517140 - 517134 - 517131 - 975557 - 975559 - 517137 - 975555 - 517133 - 517135 - 517138 - 517139 - 517142 - 44089 - 44088 - 517136</t>
  </si>
  <si>
    <t>Polypore écailleux</t>
  </si>
  <si>
    <t>517094 - 512131 - 517091 - 44097 - 44095 - 517090 - 44098 - 517093 - 517092 - 517147 - 517146 - 975798</t>
  </si>
  <si>
    <t>517499 - 900583 - 900580 - 44138 - 900581 - 517500 - 900582 - 44141</t>
  </si>
  <si>
    <t>Faux hydne gélatineux</t>
  </si>
  <si>
    <t>517526 - 44154 - 517523 - 44157 - 517524 - 517525 - 44156 - 517521 - 517522 - 517519 - 517520</t>
  </si>
  <si>
    <t>517642 - 44177 - 44178</t>
  </si>
  <si>
    <t>44192 - 518230 - 518229 - 44190 - 44191</t>
  </si>
  <si>
    <t>518245 - 518240 - 44204 - 518241 - 518243 - 44207 - 518244 - 44205 - 518242</t>
  </si>
  <si>
    <t>29147 - 44210 - 518249 - 518248 - 44211 - 518251 - 518247 - 518246 - 44212 - 518250 - 44209</t>
  </si>
  <si>
    <t>Tramète cinabre</t>
  </si>
  <si>
    <t>44245 - 44246 - 518314 - 44247 - 44248</t>
  </si>
  <si>
    <t>516893 - 516899 - 44260 - 516894 - 516895 - 44263 - 44261 - 516892 - 516891 - 516898 - 516900 - 516901 - 516896 - 516897 - 44262</t>
  </si>
  <si>
    <t>44306 - 44307 - 44308 - 994210</t>
  </si>
  <si>
    <t>518932 - 518925 - 518933 - 518927 - 518931 - 973081 - 518926 - 518929 - 518930 - 44337 - 518928 - 44336 - 973082 - 518935 - 44335 - 518934</t>
  </si>
  <si>
    <t>44354 - 518971 - 44340 - 44342 - 44353 - 44352 - 518972</t>
  </si>
  <si>
    <t>518985 - 518981 - 518980 - 44359 - 518984 - 518983 - 518982 - 44360 - 518979 - 44358</t>
  </si>
  <si>
    <t>518995 - 44367 - 518992 - 44368 - 518993 - 518994 - 44369 - 44366</t>
  </si>
  <si>
    <t>519005 - 519000 - 519003 - 519006 - 44370 - 518996 - 519001 - 44371 - 518999 - 519002 - 518997 - 44083 - 519004 - 519007 - 518998</t>
  </si>
  <si>
    <t>519009 - 44376 - 519010 - 44375 - 519008 - 44374</t>
  </si>
  <si>
    <t>519020 - 44389 - 44388 - 44390</t>
  </si>
  <si>
    <t>44407 - 44408 - 519031 - 519032 - 519030 - 44409 - 519029</t>
  </si>
  <si>
    <t>44413 - 44415 - 519039 - 519034 - 519040 - 519038 - 519035 - 519037 - 519036 - 519033 - 44414</t>
  </si>
  <si>
    <t>44441 - 519081 - 519080 - 519086 - 519087 - 519084 - 44438 - 519079 - 519083 - 44439 - 519082 - 519085 - 44440 - 519078</t>
  </si>
  <si>
    <t>Mérule des habitations, Mérule pleureuse</t>
  </si>
  <si>
    <t>972317 - 972317</t>
  </si>
  <si>
    <t>Cyphelle blanche</t>
  </si>
  <si>
    <t>519126 - 519127 - 44462 - 44464</t>
  </si>
  <si>
    <t>44470 - 519129 - 44472 - 44471</t>
  </si>
  <si>
    <t>519134 - 44479</t>
  </si>
  <si>
    <t>519148 - 44507 - 519149 - 44506</t>
  </si>
  <si>
    <t>44521 - 519161 - 517193 - 44520 - 519159 - 44518 - 519157 - 519160 - 519158 - 519162</t>
  </si>
  <si>
    <t>44536 - 44538 - 44537 - 44539 - 519178</t>
  </si>
  <si>
    <t>44554 - 44555</t>
  </si>
  <si>
    <t>Sparassis lamelleux</t>
  </si>
  <si>
    <t>519195 - 44559 - 44558 - 994952 - 519194 - 44557</t>
  </si>
  <si>
    <t>Sparassis crépu</t>
  </si>
  <si>
    <t>519213 - 44571 - 44568 - 519215 - 44569 - 519216 - 519214 - 519212 - 44570</t>
  </si>
  <si>
    <t>44620 - 519254 - 44619</t>
  </si>
  <si>
    <t>44624 - 44623 - 519255 - 44622</t>
  </si>
  <si>
    <t>44629 - 973886 - 519257 - 44628 - 44627 - 519256 - 44630 - 973887</t>
  </si>
  <si>
    <t>44634 - 519258 - 44632</t>
  </si>
  <si>
    <t>44637 - 44638 - 44639 - 44636 - 994948</t>
  </si>
  <si>
    <t>519259 - 44641 - 44642 - 1014992</t>
  </si>
  <si>
    <t>519358 - 519357 - 44687 - 519353 - 44686 - 519359 - 519361 - 519354 - 519360 - 519356 - 44689 - 519355</t>
  </si>
  <si>
    <t>44711 - 519595 - 44706 - 44707 - 519594</t>
  </si>
  <si>
    <t>519599 - 44710 - 519598 - 519600 - 44712 - 44713</t>
  </si>
  <si>
    <t>44715 - 519601 - 519602 - 44716</t>
  </si>
  <si>
    <t>519604 - 44719 - 44718 - 519603 - 44717 - 519605</t>
  </si>
  <si>
    <t>44731 - 44730</t>
  </si>
  <si>
    <t>44732 - 44728 - 519610 - 519611</t>
  </si>
  <si>
    <t>44738 - 44737 - 975302</t>
  </si>
  <si>
    <t>44740 - 44741 - 519617 - 44739</t>
  </si>
  <si>
    <t>44744 - 44743</t>
  </si>
  <si>
    <t>519700 - 519703 - 519697 - 994205 - 519705 - 994207 - 994206 - 519695 - 994203 - 519702 - 519696 - 519698 - 519701 - 44785 - 519699 - 44786 - 44784 - 519704</t>
  </si>
  <si>
    <t>44831 - 519776 - 519775 - 519772 - 519771 - 519773 - 519774 - 44830 - 519770</t>
  </si>
  <si>
    <t>519780 - 44835 - 44836 - 519779 - 519781 - 44834 - 519778</t>
  </si>
  <si>
    <t>519790 - 519786 - 519787 - 44869 - 519788 - 519789 - 519785</t>
  </si>
  <si>
    <t>519795 - 519798 - 44879 - 519796 - 519799 - 44877 - 519794 - 519793 - 44878 - 519797 - 44880</t>
  </si>
  <si>
    <t>44888 - 44887 - 519821 - 44889</t>
  </si>
  <si>
    <t>900766 - 44891 - 976042 - 519825 - 519826 - 44893 - 519824 - 519823 - 44890 - 519822 - 519827 - 519828 - 900768 - 900767</t>
  </si>
  <si>
    <t>44901 - 975340 - 44904 - 519836 - 44908 - 900974 - 519835 - 44903 - 975802 - 975801 - 909505 - 519837 - 44902</t>
  </si>
  <si>
    <t>511826 - 42677 - 519838 - 511827 - 519839 - 44905 - 44906 - 511819</t>
  </si>
  <si>
    <t>44914 - 519840 - 519841 - 44911 - 44913</t>
  </si>
  <si>
    <t>Tramète versicolore, Tramète à couleur changeante</t>
  </si>
  <si>
    <t>44926 - 519867</t>
  </si>
  <si>
    <t>44927 - 44928 - 44929</t>
  </si>
  <si>
    <t>509423 - 519878 - 900884 - 44948 - 519880 - 44950 - 509416 - 994202 - 509418 - 519879</t>
  </si>
  <si>
    <t>519898 - 519897 - 44959</t>
  </si>
  <si>
    <t>519905 - 519904 - 44975 - 44976</t>
  </si>
  <si>
    <t>44992 - 470268</t>
  </si>
  <si>
    <t>45017 - 519917 - 519918 - 987980 - 45016 - 987979 - 45017</t>
  </si>
  <si>
    <t>45021 - 45020 - 519923 - 519922 - 519921 - 519920 - 45023 - 45021 - 519919 - 519924 - 45022</t>
  </si>
  <si>
    <t>Guépinie en helvelle</t>
  </si>
  <si>
    <t>45025 - 45027 - 519926 - 519925 - 993600 - 45026</t>
  </si>
  <si>
    <t>519942 - 519939 - 45034 - 519941 - 519938 - 519935 - 519934 - 43011 - 519943 - 519937 - 45032 - 519940 - 45035 - 519945 - 519944 - 519936</t>
  </si>
  <si>
    <t>Tramète déchirée</t>
  </si>
  <si>
    <t>45076 - 520163 - 975362</t>
  </si>
  <si>
    <t>45082 - 45081</t>
  </si>
  <si>
    <t>45121 - 45122 - 520175</t>
  </si>
  <si>
    <t>45145 - 520181 - 45095 - 520182 - 45144 - 520183 - 520184</t>
  </si>
  <si>
    <t>520199 - 520198 - 520197 - 45148 - 45149 - 45150</t>
  </si>
  <si>
    <t>45153 - 45152 - 520201 - 45151 - 520200</t>
  </si>
  <si>
    <t>45159 - 45158 - 45160 - 520273 - 520272 - 520274</t>
  </si>
  <si>
    <t>520286 - 520285 - 45163 - 45162</t>
  </si>
  <si>
    <t>45192 - 42008 - 520677 - 42007 - 520678</t>
  </si>
  <si>
    <t>45215 - 45214 - 520717 - 29151 - 520718 - 520719</t>
  </si>
  <si>
    <t>871765 - 871765 - 45278</t>
  </si>
  <si>
    <t>45300 - 871829 - 45300 - 871828</t>
  </si>
  <si>
    <t>45304 - 45304</t>
  </si>
  <si>
    <t>871842 - 871842 - 45323 - 45324</t>
  </si>
  <si>
    <t>45332 - 45332</t>
  </si>
  <si>
    <t>Pezize orangée</t>
  </si>
  <si>
    <t>45336 - 871854 - 871852 - 871853 - 871851 - 871850 - 45336</t>
  </si>
  <si>
    <t>45338 - 45338 - 871855 - 871856</t>
  </si>
  <si>
    <t>45369 - 883388 - 871754 - 45370 - 45369 - 871753 - 871752</t>
  </si>
  <si>
    <t>45373 - 871682 - 976931 - 45373 - 871683</t>
  </si>
  <si>
    <t>45378 - 45378</t>
  </si>
  <si>
    <t>45381 - 45381</t>
  </si>
  <si>
    <t>45404 - 45404</t>
  </si>
  <si>
    <t>45414 - 45414</t>
  </si>
  <si>
    <t>45419 - 871874 - 45419</t>
  </si>
  <si>
    <t>45436 - 45436</t>
  </si>
  <si>
    <t>45443 - 45443 - 871924 - 871922 - 871923 - 871921 - 45445 - 871925</t>
  </si>
  <si>
    <t>45447 - 45447</t>
  </si>
  <si>
    <t>45450 - 871931 - 871929 - 883550 - 45450 - 871933 - 871930 - 45452 - 871932 - 871928 - 871935 - 871934</t>
  </si>
  <si>
    <t>45453 - 45454 - 45453</t>
  </si>
  <si>
    <t>45455 - 45455</t>
  </si>
  <si>
    <t>45464 - 45465 - 45463 - 45464 - 876761 - 876763 - 876762</t>
  </si>
  <si>
    <t>871951 - 871951</t>
  </si>
  <si>
    <t>Anthracnose du chêne et du hêtre</t>
  </si>
  <si>
    <t>45536 - 45536</t>
  </si>
  <si>
    <t>45538 - 45540 - 45541 - 871796 - 871797 - 45538 - 871795</t>
  </si>
  <si>
    <t>45542 - 45543 - 871800 - 871799 - 45542 - 883546 - 871801 - 871802 - 871803 - 871804 - 45544 - 871798</t>
  </si>
  <si>
    <t>45552 - 45552</t>
  </si>
  <si>
    <t>45565 - 45565</t>
  </si>
  <si>
    <t>45566 - 45566</t>
  </si>
  <si>
    <t>45600 - 45600 - 872025 - 872026 - 872027</t>
  </si>
  <si>
    <t>45603 - 45603</t>
  </si>
  <si>
    <t>45604 - 45604</t>
  </si>
  <si>
    <t>45606 - 872034 - 872049 - 872037 - 883556 - 872041 - 883107 - 872030 - 872051 - 872039 - 872043 - 872033 - 872031 - 872045 - 872040 - 872050 - 872032 - 872054 - 872053 - 872047 - 872044 - 872042 - 872048 - 872035 - 872036 - 872052 - 872046 - 883632 - 45606 - 872038</t>
  </si>
  <si>
    <t>45615 - 45615</t>
  </si>
  <si>
    <t>45618 - 45618</t>
  </si>
  <si>
    <t>45619 - 872058 - 45619 - 872059</t>
  </si>
  <si>
    <t>45627 - 883169 - 872062 - 45627</t>
  </si>
  <si>
    <t>45629 - 872069 - 45626 - 872066 - 872067 - 872063 - 872065 - 872064 - 872068 - 45629 - 872072 - 872070 - 872071</t>
  </si>
  <si>
    <t>45632 - 45632</t>
  </si>
  <si>
    <t>45634 - 872081 - 872084 - 45634 - 872083 - 872082</t>
  </si>
  <si>
    <t>45638 - 971668 - 45638</t>
  </si>
  <si>
    <t>45640 - 872086 - 45640</t>
  </si>
  <si>
    <t>45643 - 45643</t>
  </si>
  <si>
    <t>45645 - 45645 - 871982</t>
  </si>
  <si>
    <t>45648 - 45648 - 871983</t>
  </si>
  <si>
    <t>45655 - 45655 - 872141 - 872140</t>
  </si>
  <si>
    <t>45658 - 872144 - 45658 - 872143 - 45660 - 872142 - 872145 - 872146</t>
  </si>
  <si>
    <t>45662 - 872148 - 45663 - 872152 - 45662 - 872155 - 872149 - 872151 - 872150 - 872153 - 872147 - 872154 - 45664</t>
  </si>
  <si>
    <t>Coryne à aspect de chair (téléomorphe)</t>
  </si>
  <si>
    <t>45666 - 45666</t>
  </si>
  <si>
    <t>Coryne solitaire</t>
  </si>
  <si>
    <t>45672 - 872164 - 996177 - 872165 - 45672 - 872163 - 996181 - 872162 - 869312</t>
  </si>
  <si>
    <t>45692 - 45692 - 45693</t>
  </si>
  <si>
    <t>45696 - 45696</t>
  </si>
  <si>
    <t>45701 - 45701</t>
  </si>
  <si>
    <t>45706 - 45706</t>
  </si>
  <si>
    <t>45714 - 45714</t>
  </si>
  <si>
    <t>879183 - 879183</t>
  </si>
  <si>
    <t>45777 - 872111 - 45777</t>
  </si>
  <si>
    <t>45789 - 45791 - 872299 - 45789 - 45792 - 872297 - 45790 - 872298</t>
  </si>
  <si>
    <t>45799 - 872306 - 872304 - 45801 - 45802 - 872305 - 45800 - 45799</t>
  </si>
  <si>
    <t>Bisporelle citrine</t>
  </si>
  <si>
    <t>45807 - 45807 - 872319 - 872320 - 872323 - 45794 - 872317 - 872322 - 872318 - 45809 - 872321 - 872324</t>
  </si>
  <si>
    <t>Bisporelle palissante</t>
  </si>
  <si>
    <t>45810 - 45810</t>
  </si>
  <si>
    <t>Bisporelle presque pâle</t>
  </si>
  <si>
    <t>45815 - 45815 - 45816 - 45817</t>
  </si>
  <si>
    <t>Bisporelle sulfurine</t>
  </si>
  <si>
    <t>872339 - 872339</t>
  </si>
  <si>
    <t>45827 - 45827</t>
  </si>
  <si>
    <t>45828 - 45828</t>
  </si>
  <si>
    <t>45833 - 872371 - 45833 - 872370 - 872369</t>
  </si>
  <si>
    <t>45840 - 45840</t>
  </si>
  <si>
    <t>45843 - 45843</t>
  </si>
  <si>
    <t>45859 - 45859</t>
  </si>
  <si>
    <t>45865 - 45865</t>
  </si>
  <si>
    <t>45873 - 872273 - 45874 - 872272 - 45876 - 45873</t>
  </si>
  <si>
    <t>45896 - 45896</t>
  </si>
  <si>
    <t>45908 - 45910 - 872483 - 872484 - 45908</t>
  </si>
  <si>
    <t>Bulgarie salissante</t>
  </si>
  <si>
    <t>45927 - 45928 - 876535 - 45925 - 45927 - 876537 - 876536 - 45926 - 876538</t>
  </si>
  <si>
    <t>664915 - 668839 - 45945 - 667498 - 664883 - 667474 - 664876 - 667473 - 664893 - 667497 - 664850 - 666939 - 667501</t>
  </si>
  <si>
    <t>45949 - 45949 - 872516 - 872518 - 872520 - 872517 - 872514 - 872519 - 872515</t>
  </si>
  <si>
    <t>45962 - 872548 - 45962 - 45963 - 872546 - 872549 - 872545 - 872547 - 45964</t>
  </si>
  <si>
    <t>Pézize flamboyante</t>
  </si>
  <si>
    <t>45988 - 872599 - 872596 - 872595 - 872597 - 872592 - 872593 - 872594 - 872600 - 45988 - 45990 - 872598 - 45989 - 872591</t>
  </si>
  <si>
    <t>46000 - 46000</t>
  </si>
  <si>
    <t>46062 - 46062</t>
  </si>
  <si>
    <t>46073 - 46073</t>
  </si>
  <si>
    <t>46077 - 46077</t>
  </si>
  <si>
    <t>46087 - 46087</t>
  </si>
  <si>
    <t>46102 - 46102 - 872829</t>
  </si>
  <si>
    <t>46114 - 46114</t>
  </si>
  <si>
    <t>46118 - 46118</t>
  </si>
  <si>
    <t>461253 - 461253</t>
  </si>
  <si>
    <t>461266 - 461266 - 511212</t>
  </si>
  <si>
    <t>461270 - 461270</t>
  </si>
  <si>
    <t>461271 - 461271</t>
  </si>
  <si>
    <t>461279 - 461279</t>
  </si>
  <si>
    <t>461299 - 461299</t>
  </si>
  <si>
    <t>35023 - 35023 - 511252 - 461301 - 35024</t>
  </si>
  <si>
    <t>Cortinaire rustique</t>
  </si>
  <si>
    <t>461313 - 461313 - 511277 - 511278</t>
  </si>
  <si>
    <t>Cortinaire raphanoïde</t>
  </si>
  <si>
    <t>Cortinaire faux "redactus"</t>
  </si>
  <si>
    <t>461320 - 511187 - 461320</t>
  </si>
  <si>
    <t>Cortinaire faux "rubricosus"</t>
  </si>
  <si>
    <t>Cortinaire faux "fulvescens"</t>
  </si>
  <si>
    <t>461328 - 461328</t>
  </si>
  <si>
    <t>461329 - 461329 - 511213</t>
  </si>
  <si>
    <t>Cortinaire fétide</t>
  </si>
  <si>
    <t>667609 - 46133 - 667608 - 664866 - 667471 - 55523</t>
  </si>
  <si>
    <t>Cortinaire faux "cyanites"</t>
  </si>
  <si>
    <t>461333 - 461333</t>
  </si>
  <si>
    <t>Cortinaire faux "cyanopus"</t>
  </si>
  <si>
    <t>461335 - 461335 - 511177</t>
  </si>
  <si>
    <t>Cortinaire faux "duracinus"</t>
  </si>
  <si>
    <t>35460 - 35460 - 511190 - 511191 - 35462 - 461347</t>
  </si>
  <si>
    <t>Cortinaire faux"sulphureus"</t>
  </si>
  <si>
    <t>461350 - 461350</t>
  </si>
  <si>
    <t>461364 - 461364</t>
  </si>
  <si>
    <t>Cortinaire faux "venetus"</t>
  </si>
  <si>
    <t>461366 - 461366</t>
  </si>
  <si>
    <t>461382 - 461382</t>
  </si>
  <si>
    <t>511333 - 511333</t>
  </si>
  <si>
    <t>461404 - 461404</t>
  </si>
  <si>
    <t>Cortinaire proche de duracinus</t>
  </si>
  <si>
    <t>511332 - 511332</t>
  </si>
  <si>
    <t>Cortinaire proche de brunneus</t>
  </si>
  <si>
    <t>461414 - 461414</t>
  </si>
  <si>
    <t>461418 - 461418</t>
  </si>
  <si>
    <t>461424 - 461424</t>
  </si>
  <si>
    <t>461426 - 461426</t>
  </si>
  <si>
    <t>Cortinaire presdque fasciculé</t>
  </si>
  <si>
    <t>461427 - 461427</t>
  </si>
  <si>
    <t>461429 - 461429</t>
  </si>
  <si>
    <t>461438 - 461438</t>
  </si>
  <si>
    <t>461448 - 35639 - 461448</t>
  </si>
  <si>
    <t>461454 - 461454 - 511308</t>
  </si>
  <si>
    <t>461462 - 461462</t>
  </si>
  <si>
    <t>461469 - 461469 - 511301</t>
  </si>
  <si>
    <t>461473 - 461473</t>
  </si>
  <si>
    <t>461484 - 461484</t>
  </si>
  <si>
    <t>461489 - 461489</t>
  </si>
  <si>
    <t>461492 - 461492</t>
  </si>
  <si>
    <t>Cortinaire squamuleux</t>
  </si>
  <si>
    <t>461504 - 461504</t>
  </si>
  <si>
    <t>Cortinaire de Moser</t>
  </si>
  <si>
    <t>461506 - 461506</t>
  </si>
  <si>
    <t>461510 - 461510</t>
  </si>
  <si>
    <t>461517 - 461517</t>
  </si>
  <si>
    <t>461519 - 461519</t>
  </si>
  <si>
    <t>Cortinaire montagnard</t>
  </si>
  <si>
    <t>461537 - 461537</t>
  </si>
  <si>
    <t>461548 - 461548</t>
  </si>
  <si>
    <t>461557 - 461557</t>
  </si>
  <si>
    <t>461584 - 461584</t>
  </si>
  <si>
    <t>Cortinaire à pied lilacin</t>
  </si>
  <si>
    <t>35142 - 461587 - 35142 - 510963</t>
  </si>
  <si>
    <t>461590 - 461590 - 510972</t>
  </si>
  <si>
    <t>461593 - 461593</t>
  </si>
  <si>
    <t>461598 - 510995 - 461598</t>
  </si>
  <si>
    <t>Cortinaire de Metrod</t>
  </si>
  <si>
    <t>461605 - 461605</t>
  </si>
  <si>
    <t>Cortinarius à odeur de miel</t>
  </si>
  <si>
    <t>461612 - 461612</t>
  </si>
  <si>
    <t>Cortinaire bicolore</t>
  </si>
  <si>
    <t>461618 - 461618</t>
  </si>
  <si>
    <t>461637 - 461637</t>
  </si>
  <si>
    <t>461646 - 461646</t>
  </si>
  <si>
    <t>46166 - 46166</t>
  </si>
  <si>
    <t>461687 - 461687</t>
  </si>
  <si>
    <t>35282 - 35282</t>
  </si>
  <si>
    <t>461696 - 461696</t>
  </si>
  <si>
    <t>511081 - 511081</t>
  </si>
  <si>
    <t>461707 - 461707</t>
  </si>
  <si>
    <t>461711 - 461711</t>
  </si>
  <si>
    <t>35536 - 35536 - 511068 - 511070 - 511069 - 461717</t>
  </si>
  <si>
    <t>461725 - 461725</t>
  </si>
  <si>
    <t>461726 - 461726</t>
  </si>
  <si>
    <t>461728 - 461728</t>
  </si>
  <si>
    <t>461732 - 511104 - 461732</t>
  </si>
  <si>
    <t>461739 - 461739</t>
  </si>
  <si>
    <t>511101 - 511101</t>
  </si>
  <si>
    <t>461753 - 461753</t>
  </si>
  <si>
    <t>511102 - 511102</t>
  </si>
  <si>
    <t>461765 - 512617 - 974472 - 30711 - 30710 - 461765 - 512618</t>
  </si>
  <si>
    <t>Flammule élastique</t>
  </si>
  <si>
    <t>461773 - 512415 - 461773 - 974459 - 512416 - 512414</t>
  </si>
  <si>
    <t>461780 - 461780</t>
  </si>
  <si>
    <t>461781 - 512493 - 461781 - 42391 - 512495 - 512494</t>
  </si>
  <si>
    <t>461783 - 512523 - 42410 - 461783</t>
  </si>
  <si>
    <t>Exobasidium de l'airelle des marais</t>
  </si>
  <si>
    <t>512419 - 512419 - 461786 - 512420 - 43759 - 512418 - 43758</t>
  </si>
  <si>
    <t>512701 - 36075 - 512700 - 512701 - 36077 - 461795 - 36078</t>
  </si>
  <si>
    <t>461796 - 512774 - 461796 - 512773 - 40307 - 512775</t>
  </si>
  <si>
    <t>461802 - 461802</t>
  </si>
  <si>
    <t>43853 - 461807 - 516448 - 43852 - 43851</t>
  </si>
  <si>
    <t>461808 - 461808 - 516452 - 37585 - 516455 - 43114 - 516453 - 37584 - 516457 - 516449 - 516454 - 516451</t>
  </si>
  <si>
    <t>Polypore ferrugineux</t>
  </si>
  <si>
    <t>46181 - 872794 - 46181 - 872795 - 872793 - 46183 - 872792 - 872791</t>
  </si>
  <si>
    <t>35970 - 35970</t>
  </si>
  <si>
    <t>Galère à pied gris</t>
  </si>
  <si>
    <t>512686 - 35949 - 512685 - 512686 - 512687 - 975701 - 512688 - 461814 - 512684</t>
  </si>
  <si>
    <t>Galère à pied bai</t>
  </si>
  <si>
    <t>35976 - 512692 - 35978 - 972384 - 35976 - 461815</t>
  </si>
  <si>
    <t>461827 - 461827</t>
  </si>
  <si>
    <t>461831 - 461831</t>
  </si>
  <si>
    <t>461850 - 461850</t>
  </si>
  <si>
    <t>512805 - 512805 - 461867</t>
  </si>
  <si>
    <t>461872 - 461872</t>
  </si>
  <si>
    <t>461873 - 512397 - 461873</t>
  </si>
  <si>
    <t>461882 - 461882</t>
  </si>
  <si>
    <t>461885 - 513213 - 513215 - 42708 - 513219 - 513218 - 513211 - 461885 - 513217 - 42707 - 42706 - 42705 - 513210 - 513216 - 513212 - 513214</t>
  </si>
  <si>
    <t>Hydne hérisson</t>
  </si>
  <si>
    <t>461887 - 513184 - 461887 - 513186 - 32657 - 37188 - 513185 - 513183 - 37187</t>
  </si>
  <si>
    <t>461900 - 461900 - 513074</t>
  </si>
  <si>
    <t>Hébélome presque cespiteux</t>
  </si>
  <si>
    <t>461913 - 461913</t>
  </si>
  <si>
    <t>461915 - 461915</t>
  </si>
  <si>
    <t>461918 - 461918 - 513361</t>
  </si>
  <si>
    <t>Hydrope de Kauffman</t>
  </si>
  <si>
    <t>461920 - 461920</t>
  </si>
  <si>
    <t>461921 - 461921 - 513313 - 513312 - 513311</t>
  </si>
  <si>
    <t>461926 - 461926</t>
  </si>
  <si>
    <t>Hygrocybe de Veselsky</t>
  </si>
  <si>
    <t>461928 - 461928</t>
  </si>
  <si>
    <t>461934 - 461934</t>
  </si>
  <si>
    <t>461941 - 513299 - 461941 - 33049 - 513300 - 513296 - 34227 - 33051 - 513293 - 513297 - 513298 - 513294 - 513295 - 34228</t>
  </si>
  <si>
    <t>Pleurote de Ricken</t>
  </si>
  <si>
    <t>513260 - 513259 - 34221 - 513261 - 461944</t>
  </si>
  <si>
    <t>Pleurote cure oreilles</t>
  </si>
  <si>
    <t>461946 - 461946 - 512915</t>
  </si>
  <si>
    <t>461959 - 461959</t>
  </si>
  <si>
    <t>31987 - 31987 - 461963</t>
  </si>
  <si>
    <t>Clitocybe à ceinture blanche</t>
  </si>
  <si>
    <t>461965 - 461965</t>
  </si>
  <si>
    <t>461969 - 45204 - 461969 - 512855 - 45202 - 45201 - 512858 - 512856 - 512854 - 512857</t>
  </si>
  <si>
    <t>Hébélome roux</t>
  </si>
  <si>
    <t>Hébélome à pied blanc</t>
  </si>
  <si>
    <t>461985 - 461985 - 36207 - 36208</t>
  </si>
  <si>
    <t>Hebelome tomenteux</t>
  </si>
  <si>
    <t>36194 - 36194 - 513036 - 36193 - 461986 - 36195 - 513035 - 513037</t>
  </si>
  <si>
    <t>Hébélome cacaoté</t>
  </si>
  <si>
    <t>461989 - 461989</t>
  </si>
  <si>
    <t>Hébélome ocre blanchâtre</t>
  </si>
  <si>
    <t>461992 - 512948 - 512949 - 512950 - 461992 - 512951</t>
  </si>
  <si>
    <t>461993 - 461993</t>
  </si>
  <si>
    <t>461996 - 461996</t>
  </si>
  <si>
    <t>462001 - 512961 - 462001 - 32120 - 512962 - 512964 - 32118 - 512963 - 512965 - 32119</t>
  </si>
  <si>
    <t>Omphale cinturée</t>
  </si>
  <si>
    <t>46201 - 872822 - 872823 - 872821 - 46201 - 872824 - 46188 - 872825 - 872826</t>
  </si>
  <si>
    <t>462010 - 462010</t>
  </si>
  <si>
    <t>462025 - 511449 - 35809 - 462025</t>
  </si>
  <si>
    <t>Cortinaire de forme variable</t>
  </si>
  <si>
    <t>462026 - 462026</t>
  </si>
  <si>
    <t>Cortinaire à pied variable.</t>
  </si>
  <si>
    <t>462032 - 462032</t>
  </si>
  <si>
    <t>Cortinaire printanier</t>
  </si>
  <si>
    <t>511465 - 511465</t>
  </si>
  <si>
    <t>462038 - 462038 - 511455 - 511454</t>
  </si>
  <si>
    <t>462043 - 462043</t>
  </si>
  <si>
    <t>Crépidote à spores subverruqueuses</t>
  </si>
  <si>
    <t>462044 - 33118 - 33117 - 511590 - 462044</t>
  </si>
  <si>
    <t>462049 - 511615 - 511614 - 462049 - 511617 - 511616</t>
  </si>
  <si>
    <t>Rouille vésiculeuse de l'écorce des pins</t>
  </si>
  <si>
    <t>462052 - 462052 - 511622 - 511623</t>
  </si>
  <si>
    <t>30690 - 30690 - 511592 - 511599 - 511593 - 511600 - 511598 - 511596 - 511595 - 511594 - 511601 - 462054 - 511597 - 511602 - 511591</t>
  </si>
  <si>
    <t xml:space="preserve">Marasme des chaumes. </t>
  </si>
  <si>
    <t>462055 - 976095 - 462055 - 29925 - 511545 - 511516 - 29927 - 976094 - 29926</t>
  </si>
  <si>
    <t>Chanterelle jaune</t>
  </si>
  <si>
    <t>462056 - 462056</t>
  </si>
  <si>
    <t>Cortinaire de Vagnet</t>
  </si>
  <si>
    <t>511515 - 511515 - 462062</t>
  </si>
  <si>
    <t>Chanterelle jaune forme à pied jaune</t>
  </si>
  <si>
    <t>462064 - 462064 - 511522 - 511523 - 29930 - 511521</t>
  </si>
  <si>
    <t>Chanterelle noircissante</t>
  </si>
  <si>
    <t>Chanterelle en tube</t>
  </si>
  <si>
    <t>462067 - 462067</t>
  </si>
  <si>
    <t>462070 - 29916 - 462070 - 29922</t>
  </si>
  <si>
    <t>Chanterelle jaune et violette</t>
  </si>
  <si>
    <t>462072 - 462072</t>
  </si>
  <si>
    <t>462115 - 511426 - 462115</t>
  </si>
  <si>
    <t>462119 - 462119 - 511643 - 29982 - 511642</t>
  </si>
  <si>
    <t>Hygrophore à larges lames</t>
  </si>
  <si>
    <t>462134 - 462134 - 512043 - 33557</t>
  </si>
  <si>
    <t>462138 - 462138</t>
  </si>
  <si>
    <t>46214 - 46214</t>
  </si>
  <si>
    <t>462142 - 462142</t>
  </si>
  <si>
    <t>33041 - 512056 - 512057 - 33041 - 512055 - 462146 - 512054 - 982981 - 982982</t>
  </si>
  <si>
    <t>462147 - 462147</t>
  </si>
  <si>
    <t>Entolome de Cetto</t>
  </si>
  <si>
    <t>462153 - 33487 - 512015 - 512018 - 512017 - 512016 - 462153 - 512019</t>
  </si>
  <si>
    <t>462157 - 462157</t>
  </si>
  <si>
    <t>462160 - 462160</t>
  </si>
  <si>
    <t>462167 - 462167 - 512232</t>
  </si>
  <si>
    <t>462168 - 462168</t>
  </si>
  <si>
    <t>462169 - 512262 - 33874 - 462169</t>
  </si>
  <si>
    <t>46217 - 46217</t>
  </si>
  <si>
    <t>462184 - 512170 - 33725 - 462184 - 33726 - 512172 - 512171 - 33676 - 33727</t>
  </si>
  <si>
    <t>33682 - 462186 - 512177 - 33683 - 33682 - 33684</t>
  </si>
  <si>
    <t>462187 - 33829 - 512230 - 33828 - 462187 - 512231 - 512229</t>
  </si>
  <si>
    <t>462189 - 462189</t>
  </si>
  <si>
    <t>46219 - 46219</t>
  </si>
  <si>
    <t>462194 - 462194</t>
  </si>
  <si>
    <t>45222 - 511852 - 45222 - 511853 - 45220 - 45219 - 45221 - 45223 - 462200</t>
  </si>
  <si>
    <t>30676 - 511848 - 511844 - 511846 - 30676 - 511847 - 511845 - 462203</t>
  </si>
  <si>
    <t>Collybie rameuse</t>
  </si>
  <si>
    <t>462205 - 462205</t>
  </si>
  <si>
    <t>462215 - 30087 - 30085 - 462215 - 30086</t>
  </si>
  <si>
    <t>Hygrophore boréal</t>
  </si>
  <si>
    <t>462225 - 462225</t>
  </si>
  <si>
    <t>Stérée de Murray</t>
  </si>
  <si>
    <t>462228 - 462228 - 511715 - 516401 - 516400 - 42108 - 511713 - 974920 - 511718 - 511716 - 42107 - 974921 - 42106 - 511714 - 516398 - 511717 - 42109</t>
  </si>
  <si>
    <t>38274 - 38274 - 462234</t>
  </si>
  <si>
    <t>462237 - 462237</t>
  </si>
  <si>
    <t>46224 - 46224</t>
  </si>
  <si>
    <t>462243 - 462243</t>
  </si>
  <si>
    <t>462244 - 38233 - 462244 - 511978 - 38236 - 38235</t>
  </si>
  <si>
    <t>462247 - 511896 - 462247</t>
  </si>
  <si>
    <t>462253 - 462253</t>
  </si>
  <si>
    <t>462254 - 511931 - 511930 - 42280 - 462254 - 511932 - 996332 - 42279</t>
  </si>
  <si>
    <t>462261 - 41171 - 509652 - 41170 - 462261</t>
  </si>
  <si>
    <t>Clavaire bifide</t>
  </si>
  <si>
    <t>31739 - 31739 - 462265</t>
  </si>
  <si>
    <t>Clitocybe petite souris</t>
  </si>
  <si>
    <t>462270 - 509697 - 462270</t>
  </si>
  <si>
    <t>Clitocybe des collines</t>
  </si>
  <si>
    <t>509563 - 509564 - 462275 - 509565</t>
  </si>
  <si>
    <t>462287 - 462287 - 509602 - 41979 - 509603 - 41980 - 509601 - 41978 - 41981</t>
  </si>
  <si>
    <t>462290 - 462290</t>
  </si>
  <si>
    <t>Clitocybe à pied enflé</t>
  </si>
  <si>
    <t>462295 - 462295</t>
  </si>
  <si>
    <t>Meunier gris</t>
  </si>
  <si>
    <t>462296 - 462296 - 509877 - 509876</t>
  </si>
  <si>
    <t>Clitopile omphale</t>
  </si>
  <si>
    <t>462308 - 462308</t>
  </si>
  <si>
    <t>462312 - 509769 - 462312 - 31757 - 509768 - 509767</t>
  </si>
  <si>
    <t>Clitocybe très grand</t>
  </si>
  <si>
    <t>462321 - 462321 - 509834 - 509833 - 509832</t>
  </si>
  <si>
    <t>Clitocybe ridé</t>
  </si>
  <si>
    <t>31705 - 31705 - 462323</t>
  </si>
  <si>
    <t>Clitocybe palustre</t>
  </si>
  <si>
    <t>462324 - 462324 - 945082</t>
  </si>
  <si>
    <t>Chanterelle de Romagnesi</t>
  </si>
  <si>
    <t>32172 - 509283 - 29958 - 509284 - 509280 - 462339 - 29959 - 509281 - 509287 - 32112 - 509278 - 509289 - 509286 - 509279 - 509282 - 32172 - 509288 - 509285 - 32110</t>
  </si>
  <si>
    <t>Hygrophropsis de Morgan</t>
  </si>
  <si>
    <t>46234 - 46234</t>
  </si>
  <si>
    <t>462349 - 462349</t>
  </si>
  <si>
    <t>Chanterelle de Henri</t>
  </si>
  <si>
    <t>462350 - 462350</t>
  </si>
  <si>
    <t>Chanterelle à pruine lilacine</t>
  </si>
  <si>
    <t>462351 - 462351 - 509306</t>
  </si>
  <si>
    <t>Chanterelle dédaignée</t>
  </si>
  <si>
    <t>462352 - 462352</t>
  </si>
  <si>
    <t>462354 - 41820 - 509276 - 509277 - 509275 - 41819 - 462354 - 41817</t>
  </si>
  <si>
    <t>462357 - 38713 - 462357 - 509493 - 38708 - 38721 - 38420 - 38709 - 38711 - 509494 - 509495 - 38723 - 38710 - 38712</t>
  </si>
  <si>
    <t>Lépiote vénéneuse</t>
  </si>
  <si>
    <t>462359 - 509506 - 38707 - 38700 - 38706 - 509507 - 38704 - 462359 - 509505</t>
  </si>
  <si>
    <t>Lépiote déguenillée</t>
  </si>
  <si>
    <t>462366 - 30012 - 509555 - 509552 - 30011 - 509556 - 509549 - 509554 - 509551 - 509548 - 509553 - 509550 - 462366 - 30014</t>
  </si>
  <si>
    <t>462374 - 41889 - 462374 - 509379</t>
  </si>
  <si>
    <t>509374 - 509375 - 41899 - 509374 - 462379</t>
  </si>
  <si>
    <t>462380 - 509422 - 44117 - 509419 - 44116 - 44338 - 509421 - 509415 - 509420 - 44115 - 462380 - 509414 - 509417</t>
  </si>
  <si>
    <t>Polypore mou.</t>
  </si>
  <si>
    <t>46239 - 46240 - 46239 - 46241 - 873066</t>
  </si>
  <si>
    <t>Pezize vert-de-gris</t>
  </si>
  <si>
    <t>462397 - 462397</t>
  </si>
  <si>
    <t>Coprin à odeur de chicorée</t>
  </si>
  <si>
    <t>978296 - 873068 - 873070 - 873069 - 46243 - 46242</t>
  </si>
  <si>
    <t>462432 - 462432</t>
  </si>
  <si>
    <t>510353 - 510353</t>
  </si>
  <si>
    <t>462444 - 37281 - 462444 - 510358</t>
  </si>
  <si>
    <t>510037 - 510037 - 462456</t>
  </si>
  <si>
    <t>Collybie luxuriante</t>
  </si>
  <si>
    <t>462460 - 462460 - 510021</t>
  </si>
  <si>
    <t>Collybie de Huijsman</t>
  </si>
  <si>
    <t>462465 - 509929 - 509930 - 462465 - 509931</t>
  </si>
  <si>
    <t>30645 - 30645 - 509982 - 509985 - 509981 - 509980 - 31035 - 509984 - 30646 - 509978 - 509979 - 462473 - 509983</t>
  </si>
  <si>
    <t>Collybie à pied rouge</t>
  </si>
  <si>
    <t>509944 - 31081 - 31083 - 509944 - 462477</t>
  </si>
  <si>
    <t>Collybie à odeur de chou</t>
  </si>
  <si>
    <t>462486 - 462486 - 36823</t>
  </si>
  <si>
    <t>Conocybe à pied velouté</t>
  </si>
  <si>
    <t>462488 - 462488</t>
  </si>
  <si>
    <t>Omphale rose</t>
  </si>
  <si>
    <t>46250 - 873072 - 46250 - 873071</t>
  </si>
  <si>
    <t>36826 - 508903 - 36828 - 510131 - 1010992 - 510130 - 36827 - 510127 - 510133 - 510126 - 510132 - 510125 - 36826 - 462501 - 510128 - 510129</t>
  </si>
  <si>
    <t>Conocybe blanc le lait</t>
  </si>
  <si>
    <t>462506 - 510154 - 510153 - 462506 - 36816</t>
  </si>
  <si>
    <t>462508 - 510156 - 462508 - 36819</t>
  </si>
  <si>
    <t>462518 - 462518</t>
  </si>
  <si>
    <t>Amanite du chêne</t>
  </si>
  <si>
    <t>462523 - 462523</t>
  </si>
  <si>
    <t>462529 - 462529 - 30531 - 30530 - 30529</t>
  </si>
  <si>
    <t>Camarophyllopsis à lames sombres</t>
  </si>
  <si>
    <t>462530 - 462530 - 37978 - 508073 - 37890 - 37891 - 508074 - 37892 - 508075 - 508076 - 37893</t>
  </si>
  <si>
    <t>Boule de neige, Agaric géant des près, Psalliote géant des près</t>
  </si>
  <si>
    <t>36718 - 36718 - 36719 - 462535 - 508116 - 508115</t>
  </si>
  <si>
    <t>Agrocybe des marais</t>
  </si>
  <si>
    <t>34541 - 36566 - 462536 - 34541 - 508191 - 508192 - 36565 - 34542 - 508190</t>
  </si>
  <si>
    <t>Alnicole des aulnes</t>
  </si>
  <si>
    <t>462538 - 462538</t>
  </si>
  <si>
    <t>Agrocybe rivuleux.</t>
  </si>
  <si>
    <t>462539 - 462539</t>
  </si>
  <si>
    <t>Agrocybe splendide</t>
  </si>
  <si>
    <t>462540 - 462540</t>
  </si>
  <si>
    <t>Polypore jaunissant</t>
  </si>
  <si>
    <t>462542 - 462542</t>
  </si>
  <si>
    <t>Amanite à volve rousse</t>
  </si>
  <si>
    <t>462551 - 462551</t>
  </si>
  <si>
    <t>30887 - 508452 - 508450 - 462269 - 508451 - 509699 - 30887 - 509698 - 462560 - 509700</t>
  </si>
  <si>
    <t>Tête de moine, Clitocybe à pied en massue</t>
  </si>
  <si>
    <t>462562 - 462562</t>
  </si>
  <si>
    <t>508395 - 508395 - 462563</t>
  </si>
  <si>
    <t>Amanite simulatrice forme liée aux hélianthèmes</t>
  </si>
  <si>
    <t>462567 - 462567</t>
  </si>
  <si>
    <t>462568 - 462568</t>
  </si>
  <si>
    <t>Amanite vaginée à long pied</t>
  </si>
  <si>
    <t>462608 - 462608</t>
  </si>
  <si>
    <t>46261 - 46261 - 873078 - 873079</t>
  </si>
  <si>
    <t>38059 - 508025 - 508022 - 508020 - 38059 - 987959 - 508027 - 508029 - 508026 - 508023 - 508018 - 38066 - 508019 - 508021 - 462610 - 38065 - 38063 - 976706 - 508028 - 508024</t>
  </si>
  <si>
    <t>Agaric pintade</t>
  </si>
  <si>
    <t>462615 - 462615 - 38034</t>
  </si>
  <si>
    <t>Agaric blanc jaunissant, Psalliote blanc jaunissant</t>
  </si>
  <si>
    <t>38114 - 507980 - 38114 - 38115 - 507981 - 507985 - 507983 - 462623 - 507986 - 507982 - 38116 - 507984</t>
  </si>
  <si>
    <t>Agaric des bords de route, Psalliote des bords de route</t>
  </si>
  <si>
    <t>462625 - 37909 - 37910 - 37913 - 37914 - 507941 - 462625 - 37915</t>
  </si>
  <si>
    <t>Agaric impérial, Psalliote impérial</t>
  </si>
  <si>
    <t>462638 - 507971 - 507976 - 37942 - 507974 - 507973 - 37944 - 507975 - 462638 - 507972</t>
  </si>
  <si>
    <t>Rosé des prés, Agaric champêtre, Psalliote champêtre</t>
  </si>
  <si>
    <t>462641 - 462641 - 508912 - 508914 - 508913 - 36767</t>
  </si>
  <si>
    <t>Bolbitie olivacée</t>
  </si>
  <si>
    <t>462644 - 462644</t>
  </si>
  <si>
    <t>462655 - 462655</t>
  </si>
  <si>
    <t>462656 - 462656</t>
  </si>
  <si>
    <t>Omphale à pied velu</t>
  </si>
  <si>
    <t>462659 - 462659</t>
  </si>
  <si>
    <t>462667 - 462667 - 508829 - 508830 - 508825 - 508823 - 508826 - 508821 - 508828 - 41599 - 508822 - 41601 - 41598 - 41600 - 508824 - 508827</t>
  </si>
  <si>
    <t>462679 - 41832 - 462679 - 41830 - 509234 - 41833 - 41831</t>
  </si>
  <si>
    <t>462680 - 462680</t>
  </si>
  <si>
    <t>Cyphelle ochracée</t>
  </si>
  <si>
    <t>462683 - 509248 - 32715 - 509249 - 462683</t>
  </si>
  <si>
    <t>Camarophyllopsis velouté noir</t>
  </si>
  <si>
    <t>508713 - 508713 - 508714 - 32811 - 462687 - 508712 - 32808 - 508715 - 976730</t>
  </si>
  <si>
    <t>Omphale des sphaignes</t>
  </si>
  <si>
    <t>462699 - 462699 - 509131 - 509134 - 509132 - 29669 - 509136 - 29668 - 1006368 - 1006367 - 509135 - 509133</t>
  </si>
  <si>
    <t>462700 - 509145 - 509142 - 29675 - 462700 - 509143 - 509144 - 29673</t>
  </si>
  <si>
    <t>Bolet lignicole</t>
  </si>
  <si>
    <t>462714 - 462714</t>
  </si>
  <si>
    <t>462734 - 32735 - 508688 - 508687 - 462734 - 508686</t>
  </si>
  <si>
    <t>462737 - 462737</t>
  </si>
  <si>
    <t>Arrhénie noire</t>
  </si>
  <si>
    <t>462738 - 32780 - 32781 - 462738</t>
  </si>
  <si>
    <t>Arrhénie obscure</t>
  </si>
  <si>
    <t>462739 - 462739</t>
  </si>
  <si>
    <t>Arrhénie brune</t>
  </si>
  <si>
    <t>462743 - 32791 - 508689 - 32792 - 462743 - 32790</t>
  </si>
  <si>
    <t>462744 - 32841 - 29957 - 462744 - 32842 - 32845 - 508694 - 508696 - 508695</t>
  </si>
  <si>
    <t>Arrhénie de Ricken</t>
  </si>
  <si>
    <t>462746 - 462746</t>
  </si>
  <si>
    <t>41458 - 41460 - 508594 - 41458 - 508595 - 508596 - 508593 - 462751 - 41461 - 41459</t>
  </si>
  <si>
    <t>Polypore vorace</t>
  </si>
  <si>
    <t>462758 - 462758</t>
  </si>
  <si>
    <t>972031 - 508640 - 508644 - 31690 - 508642 - 972031 - 508643 - 508639 - 462759 - 31691 - 508641 - 31969 - 508635 - 508638 - 508636 - 508637 - 31689 - 972030</t>
  </si>
  <si>
    <t>Armillaire sans anneau</t>
  </si>
  <si>
    <t>46276 - 873091 - 873086 - 873087 - 873088 - 46276 - 873090 - 873085 - 873089</t>
  </si>
  <si>
    <t>Ciboire de Batsch</t>
  </si>
  <si>
    <t>462764 - 462764 - 32128</t>
  </si>
  <si>
    <t>462771 - 462771</t>
  </si>
  <si>
    <t>462782 - 510809 - 462782</t>
  </si>
  <si>
    <t>Cortinaire à pied en fuseau</t>
  </si>
  <si>
    <t>462785 - 462785</t>
  </si>
  <si>
    <t>462786 - 462786</t>
  </si>
  <si>
    <t>Cortinaire du hêtre</t>
  </si>
  <si>
    <t>46280 - 46280 - 873102 - 873103 - 873101</t>
  </si>
  <si>
    <t>Ciboire des amentifères</t>
  </si>
  <si>
    <t>462811 - 462811</t>
  </si>
  <si>
    <t>462814 - 462814</t>
  </si>
  <si>
    <t>462816 - 462816</t>
  </si>
  <si>
    <t>462829 - 462829 - 34789</t>
  </si>
  <si>
    <t>462834 - 462834 - 510705</t>
  </si>
  <si>
    <t>Cortinaire teint deux fois</t>
  </si>
  <si>
    <t>462836 - 462836</t>
  </si>
  <si>
    <t>Cortinaire démoniaque</t>
  </si>
  <si>
    <t>46284 - 46284 - 46285</t>
  </si>
  <si>
    <t>Ciboire roux foncé</t>
  </si>
  <si>
    <t>34779 - 462844</t>
  </si>
  <si>
    <t>462850 - 462850 - 34796</t>
  </si>
  <si>
    <t>462852 - 34798 - 462852 - 510675</t>
  </si>
  <si>
    <t>Cortinaire trompeur</t>
  </si>
  <si>
    <t>510672 - 510672</t>
  </si>
  <si>
    <t>46286 - 873126 - 873123 - 873124 - 46286 - 873129 - 873128 - 873125 - 873130 - 873127</t>
  </si>
  <si>
    <t>Ciboire vert foncé</t>
  </si>
  <si>
    <t>462860 - 462860</t>
  </si>
  <si>
    <t>462867 - 462867</t>
  </si>
  <si>
    <t>462868 - 34867 - 462868 - 510721 - 35365 - 510722 - 34868 - 510723 - 34866</t>
  </si>
  <si>
    <t>Cortinaire élégant</t>
  </si>
  <si>
    <t>462871 - 462871</t>
  </si>
  <si>
    <t>462884 - 462884</t>
  </si>
  <si>
    <t>462887 - 462887</t>
  </si>
  <si>
    <t>462891 - 462891</t>
  </si>
  <si>
    <t>462902 - 510913 - 510914 - 462902</t>
  </si>
  <si>
    <t>462903 - 510912 - 462903</t>
  </si>
  <si>
    <t>462906 - 462906</t>
  </si>
  <si>
    <t>462911 - 462911</t>
  </si>
  <si>
    <t>462920 - 973674 - 462920</t>
  </si>
  <si>
    <t>462927 - 510942 - 462927</t>
  </si>
  <si>
    <t>462930 - 462930</t>
  </si>
  <si>
    <t>462936 - 462936</t>
  </si>
  <si>
    <t>462947 - 510928 - 510927 - 462947</t>
  </si>
  <si>
    <t>Cortinaire du Jura</t>
  </si>
  <si>
    <t>462950 - 462950</t>
  </si>
  <si>
    <t>34399 - 510835 - 510834 - 510836 - 462957</t>
  </si>
  <si>
    <t>462963 - 462963</t>
  </si>
  <si>
    <t>462966 - 462966</t>
  </si>
  <si>
    <t>462977 - 462977 - 34759 - 510816</t>
  </si>
  <si>
    <t>462986 - 462986</t>
  </si>
  <si>
    <t>462996 - 462996</t>
  </si>
  <si>
    <t>463001 - 463001</t>
  </si>
  <si>
    <t>463005 - 463005</t>
  </si>
  <si>
    <t>463008 - 463008</t>
  </si>
  <si>
    <t>510859 - 510859</t>
  </si>
  <si>
    <t>463016 - 463016</t>
  </si>
  <si>
    <t>Cortinaire faux hircinus</t>
  </si>
  <si>
    <t>510470 - 510471 - 463026</t>
  </si>
  <si>
    <t>463028 - 510468 - 463028 - 975954 - 510469</t>
  </si>
  <si>
    <t>463037 - 510449 - 510451 - 510450 - 463037</t>
  </si>
  <si>
    <t>463042 - 463042</t>
  </si>
  <si>
    <t>Cortinaire argile pâle</t>
  </si>
  <si>
    <t>463044 - 463044</t>
  </si>
  <si>
    <t>463047 - 463047</t>
  </si>
  <si>
    <t>510496 - 510496 - 510498 - 510497 - 34397 - 463053</t>
  </si>
  <si>
    <t>463064 - 463064</t>
  </si>
  <si>
    <t>461654 - 461654</t>
  </si>
  <si>
    <t>Cortinaire de Jean Perrin</t>
  </si>
  <si>
    <t>463087 - 463087</t>
  </si>
  <si>
    <t>463093 - 463093</t>
  </si>
  <si>
    <t>463101 - 463101</t>
  </si>
  <si>
    <t>463119 - 510434 - 34623 - 34622 - 463119</t>
  </si>
  <si>
    <t>463127 - 463127</t>
  </si>
  <si>
    <t>463128 - 463128</t>
  </si>
  <si>
    <t>463129 - 463129</t>
  </si>
  <si>
    <t>Cortinaire de Boname</t>
  </si>
  <si>
    <t>872932 - 872932 - 46313</t>
  </si>
  <si>
    <t>463150 - 463150</t>
  </si>
  <si>
    <t>463154 - 34125 - 510619 - 463154</t>
  </si>
  <si>
    <t>463157 - 463157</t>
  </si>
  <si>
    <t>463170 - 463170</t>
  </si>
  <si>
    <t>463187 - 463187</t>
  </si>
  <si>
    <t>463189 - 463189 - 35137</t>
  </si>
  <si>
    <t>463196 - 510631 - 463196</t>
  </si>
  <si>
    <t>510531 - 510534 - 510533 - 463207 - 510532</t>
  </si>
  <si>
    <t>463209 - 463209</t>
  </si>
  <si>
    <t>463216 - 463216</t>
  </si>
  <si>
    <t>463219 - 510539 - 510538 - 974073</t>
  </si>
  <si>
    <t>463226 - 463226 - 34799</t>
  </si>
  <si>
    <t>Cortinaire de Bon</t>
  </si>
  <si>
    <t>463239 - 463239</t>
  </si>
  <si>
    <t>463246 - 463246 - 510567</t>
  </si>
  <si>
    <t>463252 - 463252</t>
  </si>
  <si>
    <t>463257 - 463257</t>
  </si>
  <si>
    <t>463260 - 463260</t>
  </si>
  <si>
    <t>463265 - 463265</t>
  </si>
  <si>
    <t>463266 - 510560 - 510557 - 510559 - 463266 - 510558 - 510561</t>
  </si>
  <si>
    <t>Cortinaire des chiens</t>
  </si>
  <si>
    <t>39754 - 463285</t>
  </si>
  <si>
    <t>39911 - 518703 - 463299 - 39882</t>
  </si>
  <si>
    <t>46331 - 46331</t>
  </si>
  <si>
    <t>975210 - 518484 - 31455 - 31453 - 518485 - 463334 - 33184</t>
  </si>
  <si>
    <t>518524 - 518525 - 463344</t>
  </si>
  <si>
    <t>463350 - 463350 - 32163</t>
  </si>
  <si>
    <t>Fausse-girolle mouchetée</t>
  </si>
  <si>
    <t>518588 - 463396 - 39990</t>
  </si>
  <si>
    <t>46340 - 873203 - 873197 - 873200 - 978449 - 873207 - 46341 - 46340 - 873202 - 873199 - 873201 - 873204 - 873206 - 978448 - 873198 - 873196 - 873195 - 873205</t>
  </si>
  <si>
    <t>519091 - 31047 - 463412 - 519091 - 994085 - 31045 - 519090 - 31046 - 519093 - 519092</t>
  </si>
  <si>
    <t>Marasme ami des chênes</t>
  </si>
  <si>
    <t>36601 - 463422 - 36600</t>
  </si>
  <si>
    <t>519102 - 463424</t>
  </si>
  <si>
    <t>44560 - 519197 - 463453 - 994951 - 44556 - 519196</t>
  </si>
  <si>
    <t>46347 - 46347</t>
  </si>
  <si>
    <t>463479 - 518800 - 518799 - 40021 - 970922 - 40024 - 40023 - 970921</t>
  </si>
  <si>
    <t>Russule caméléon</t>
  </si>
  <si>
    <t>988606 - 988608 - 518827 - 463486 - 518826 - 39693 - 518828 - 39694 - 988607</t>
  </si>
  <si>
    <t>463500 - 34337 - 519028 - 34335 - 519027 - 34336 - 519025 - 519026</t>
  </si>
  <si>
    <t>518882 - 463510 - 970929 - 970930 - 518884 - 44287 - 518883 - 44290</t>
  </si>
  <si>
    <t>Hydne imbriqué, Aile de bécasse</t>
  </si>
  <si>
    <t>44316 - 463512</t>
  </si>
  <si>
    <t>518937 - 43188 - 463518 - 518938 - 521564 - 518936 - 518939 - 518941 - 518940 - 518942</t>
  </si>
  <si>
    <t>518910 - 518911 - 463522 - 518912 - 518909 - 34329 - 34331 - 34330 - 518913</t>
  </si>
  <si>
    <t>518066 - 518065 - 463532</t>
  </si>
  <si>
    <t>46354 - 46354</t>
  </si>
  <si>
    <t>Ergot des glumacées</t>
  </si>
  <si>
    <t>518079 - 518078 - 518077 - 518080 - 463578</t>
  </si>
  <si>
    <t>517959 - 463592 - 517961 - 517960 - 517959 - 517962</t>
  </si>
  <si>
    <t>463601 - 517936 - 517935</t>
  </si>
  <si>
    <t>518213 - 518210 - 518211 - 518215 - 518214 - 463674 - 518212 - 975755 - 975756</t>
  </si>
  <si>
    <t>41085 - 463678 - 41083</t>
  </si>
  <si>
    <t>Clavaire pâle</t>
  </si>
  <si>
    <t>975189 - 463679</t>
  </si>
  <si>
    <t>518352 - 463684 - 30997 - 518353 - 518354 - 30999</t>
  </si>
  <si>
    <t>44646 - 875106 - 862506 - 518324 - 463688 - 518325</t>
  </si>
  <si>
    <t>46370 - 46370</t>
  </si>
  <si>
    <t>518279 - 518278 - 518279 - 463703 - 975758 - 518280</t>
  </si>
  <si>
    <t>Clavaire roussissante</t>
  </si>
  <si>
    <t>520447 - 520448 - 520449 - 520446 - 463792</t>
  </si>
  <si>
    <t>520463 - 520465 - 463801 - 520464 - 520462 - 520460 - 520466 - 520467 - 520461 - 975377</t>
  </si>
  <si>
    <t>463810 - 520525 - 463647 - 520527 - 520526</t>
  </si>
  <si>
    <t>463847 - 520385 - 520387 - 520386</t>
  </si>
  <si>
    <t>975376 - 463852</t>
  </si>
  <si>
    <t>520663 - 520665 - 463908 - 520664</t>
  </si>
  <si>
    <t>520747 - 520750 - 520749 - 520782 - 520746 - 463940 - 520748</t>
  </si>
  <si>
    <t>Bolet commun</t>
  </si>
  <si>
    <t>520823 - 520822 - 31606 - 520819 - 975874 - 520820 - 520821 - 520818 - 31609 - 31607 - 31608 - 463945</t>
  </si>
  <si>
    <t>Collybie à poils ras, Collybie à long pied</t>
  </si>
  <si>
    <t>464014 - 520598 - 520599 - 520600</t>
  </si>
  <si>
    <t>520606 - 464021 - 520607 - 520608 - 520605</t>
  </si>
  <si>
    <t>520609 - 464023 - 34321 - 520610 - 34322</t>
  </si>
  <si>
    <t>46404 - 46404</t>
  </si>
  <si>
    <t>464069 - 519873</t>
  </si>
  <si>
    <t>464078 - 44823 - 519766</t>
  </si>
  <si>
    <t>519735 - 44841 - 464082 - 519734 - 44839 - 44840 - 519737 - 519739 - 519736 - 519740 - 519738</t>
  </si>
  <si>
    <t>519830 - 519834 - 44900 - 519831 - 464086 - 519832 - 44897 - 44898 - 44899 - 519833</t>
  </si>
  <si>
    <t>Tramète zonée</t>
  </si>
  <si>
    <t>46410 - 873323 - 46410</t>
  </si>
  <si>
    <t>46411 - 46411</t>
  </si>
  <si>
    <t>519304 - 519303 - 37207 - 519302 - 37206 - 519301 - 464117</t>
  </si>
  <si>
    <t>464121 - 45173 - 45175 - 519569</t>
  </si>
  <si>
    <t>464142 - 519464 - 29876</t>
  </si>
  <si>
    <t>519473 - 519468 - 519470 - 519469 - 519474 - 519476 - 519475 - 464152 - 29883 - 1013576 - 519466 - 519471 - 519467 - 519465 - 29885 - 519472</t>
  </si>
  <si>
    <t>470290 - 33397 - 520078 - 464216 - 520076 - 33395 - 520077</t>
  </si>
  <si>
    <t>464222 - 33307</t>
  </si>
  <si>
    <t>30803 - 520094 - 464225 - 30805 - 520092 - 520095 - 30802 - 520093 - 30804 - 520096</t>
  </si>
  <si>
    <t>33165 - 30824 - 30822 - 520097 - 464226 - 30823 - 520101 - 520099 - 520098 - 520100 - 30821</t>
  </si>
  <si>
    <t>46423 - 46423</t>
  </si>
  <si>
    <t>519894 - 464236 - 519895 - 519868 - 44944</t>
  </si>
  <si>
    <t>464238 - 519995</t>
  </si>
  <si>
    <t>520124 - 464240 - 520126 - 520125 - 520123</t>
  </si>
  <si>
    <t>33198 - 33197 - 464244</t>
  </si>
  <si>
    <t>46426 - 46426</t>
  </si>
  <si>
    <t>46428 - 46428 - 873156</t>
  </si>
  <si>
    <t>40979 - 515131 - 40977 - 515132 - 40980 - 515130 - 40978 - 464285</t>
  </si>
  <si>
    <t>32385 - 464290</t>
  </si>
  <si>
    <t>464291 - 32397</t>
  </si>
  <si>
    <t>32133 - 514954 - 32121 - 464299</t>
  </si>
  <si>
    <t>464300 - 32140 - 514956 - 32139 - 32137 - 514955</t>
  </si>
  <si>
    <t>464310 - 40545 - 40546 - 514972 - 40543</t>
  </si>
  <si>
    <t>464311 - 976750 - 515277 - 515279 - 976751 - 515278 - 515275 - 515276</t>
  </si>
  <si>
    <t>515259 - 515258 - 515257 - 994094 - 31069 - 464314 - 994092 - 31072 - 31071 - 31070</t>
  </si>
  <si>
    <t>515280 - 515280</t>
  </si>
  <si>
    <t>515287 - 515288 - 464324 - 515290 - 515289 - 515286</t>
  </si>
  <si>
    <t>31729 - 32125 - 514896 - 514894 - 666806 - 514887 - 59221 - 653659 - 31729 - 975732 - 514889 - 514892 - 32124 - 665941 - 666977 - 464328 - 514888 - 666677 - 514895 - 514891 - 509720 - 32126 - 975725 - 514890 - 32122 - 653947 - 514893</t>
  </si>
  <si>
    <t>Omphale des bruyères</t>
  </si>
  <si>
    <t>515253 - 515254 - 31064 - 464333 - 515252</t>
  </si>
  <si>
    <t>31044 - 464342</t>
  </si>
  <si>
    <t>464345 - 514619 - 514618 - 514621 - 514620 - 514622 - 514624 - 514623</t>
  </si>
  <si>
    <t>514604 - 464351 - 514605</t>
  </si>
  <si>
    <t>464355 - 38349</t>
  </si>
  <si>
    <t>Lépiote vineuse</t>
  </si>
  <si>
    <t>464360 - 40965 - 514512 - 514511 - 40964</t>
  </si>
  <si>
    <t>514658 - 514659 - 514664 - 32262 - 514665 - 514660 - 514661 - 514662 - 514663 - 32265 - 464375</t>
  </si>
  <si>
    <t>Argouane</t>
  </si>
  <si>
    <t>46443 - 46443</t>
  </si>
  <si>
    <t>515685 - 515686 - 464449</t>
  </si>
  <si>
    <t>46446 - 46446</t>
  </si>
  <si>
    <t>464470 - 515337 - 464472 - 515338 - 515339</t>
  </si>
  <si>
    <t>464487 - 515298</t>
  </si>
  <si>
    <t>515300 - 464489 - 515301</t>
  </si>
  <si>
    <t>515314 - 515313 - 515315 - 464495</t>
  </si>
  <si>
    <t>32660 - 32659 - 464506</t>
  </si>
  <si>
    <t>515471 - 36953 - 36955 - 515469 - 36954 - 515473 - 515474 - 36956 - 515470 - 972373 - 515472 - 464514</t>
  </si>
  <si>
    <t>46452 - 873412 - 873411 - 873413 - 873410 - 46455 - 873414 - 46452</t>
  </si>
  <si>
    <t>515350 - 464520 - 515346 - 515347 - 515349 - 515348</t>
  </si>
  <si>
    <t>Dorge du sapin, Chaudron</t>
  </si>
  <si>
    <t>464523 - 515352 - 515353 - 515355 - 974816</t>
  </si>
  <si>
    <t>515343 - 515341 - 515344 - 515342 - 464524</t>
  </si>
  <si>
    <t>464526 - 40586 - 515357</t>
  </si>
  <si>
    <t>464545 - 464545</t>
  </si>
  <si>
    <t>Inocybe de Henry</t>
  </si>
  <si>
    <t>464547 - 464547</t>
  </si>
  <si>
    <t>464551 - 464551</t>
  </si>
  <si>
    <t>464560 - 464560</t>
  </si>
  <si>
    <t>Inocybe à pied rayé</t>
  </si>
  <si>
    <t>464564 - 464564</t>
  </si>
  <si>
    <t>Inocybe de Lange</t>
  </si>
  <si>
    <t>Inocybe ressemblant au marasme des oréades</t>
  </si>
  <si>
    <t>464576 - 464576</t>
  </si>
  <si>
    <t>464583 - 464583</t>
  </si>
  <si>
    <t>46459 - 46459</t>
  </si>
  <si>
    <t>464590 - 464590</t>
  </si>
  <si>
    <t>464594 - 464594</t>
  </si>
  <si>
    <t>Corticie couleur crème</t>
  </si>
  <si>
    <t>46461 - 46464 - 873420 - 873417 - 46461 - 873419 - 873421 - 873418</t>
  </si>
  <si>
    <t>464611 - 464611</t>
  </si>
  <si>
    <t>Hygrophore de l'office ou Hygrophore du buffet</t>
  </si>
  <si>
    <t>464617 - 464617</t>
  </si>
  <si>
    <t>464622 - 464622</t>
  </si>
  <si>
    <t>464626 - 36412 - 464626</t>
  </si>
  <si>
    <t>464631 - 464631</t>
  </si>
  <si>
    <t>464644 - 464644</t>
  </si>
  <si>
    <t>Pleurote tesselé</t>
  </si>
  <si>
    <t>464645 - 32426 - 464645 - 513788 - 513787 - 513789 - 32429</t>
  </si>
  <si>
    <t>Pleurote de l'orme</t>
  </si>
  <si>
    <t>464651 - 464651</t>
  </si>
  <si>
    <t>Inocybe de l'aulne</t>
  </si>
  <si>
    <t>464655 - 464655</t>
  </si>
  <si>
    <t>Inocybe arménien</t>
  </si>
  <si>
    <t>514164 - 514165 - 514168 - 514167 - 514161 - 514164 - 37007 - 37008 - 514166 - 514163 - 514169 - 464670 - 514162</t>
  </si>
  <si>
    <t>Pholiote vernale</t>
  </si>
  <si>
    <t>514098 - 514098 - 514096 - 43186 - 514099 - 974643 - 514100 - 464674 - 514097</t>
  </si>
  <si>
    <t>43180 - 514118 - 514116 - 514114 - 43181 - 514117 - 42674 - 43183 - 43180 - 464678 - 43182 - 514115</t>
  </si>
  <si>
    <t>Polypore brillant</t>
  </si>
  <si>
    <t>39508 - 514268 - 514267 - 464687</t>
  </si>
  <si>
    <t>Lactaire flexueux</t>
  </si>
  <si>
    <t>464691 - 464691 - 514386</t>
  </si>
  <si>
    <t>Bolet blanc rosâtre</t>
  </si>
  <si>
    <t>464692 - 514399 - 514400 - 464692</t>
  </si>
  <si>
    <t>Déterminante. Espèce patrimoniale assez remarquable. (fme_cd_nom 3115) - Déterminante. Espèce patrimoniale emblématique. (fme_cd_nom 5209)</t>
  </si>
  <si>
    <t>464696 - 514444 - 29653 - 29651 - 514445 - 29650 - 514446 - 29654 - 514441 - 29494 - 514442 - 29649 - 514443 - 464696 - 514447</t>
  </si>
  <si>
    <t>Bolet à pied floconneux</t>
  </si>
  <si>
    <t>464701 - 514471 - 514472</t>
  </si>
  <si>
    <t>464707 - 39314 - 464707 - 514274 - 39317</t>
  </si>
  <si>
    <t>Lactaire à odeur de noix de coco</t>
  </si>
  <si>
    <t>464708 - 464708</t>
  </si>
  <si>
    <t>Lactaire des marais</t>
  </si>
  <si>
    <t>514284 - 464710</t>
  </si>
  <si>
    <t>464719 - 464719</t>
  </si>
  <si>
    <t>464728 - 464728</t>
  </si>
  <si>
    <t>464732 - 464732</t>
  </si>
  <si>
    <t>Inocybe strié</t>
  </si>
  <si>
    <t>464733 - 464733</t>
  </si>
  <si>
    <t>464735 - 44594 - 464735 - 514095 - 514094 - 44595 - 44593 - 44592</t>
  </si>
  <si>
    <t>464737 - 513977 - 464737</t>
  </si>
  <si>
    <t>Inocybe à odeur de quietus</t>
  </si>
  <si>
    <t>514501 - 29645 - 29605 - 29643 - 29644 - 464738</t>
  </si>
  <si>
    <t>Ramoneur (Le)</t>
  </si>
  <si>
    <t>464756 - 464756 - 514012 - 514011 - 514013 - 36314 - 514014</t>
  </si>
  <si>
    <t>Inocybe fastigié à spores courtes</t>
  </si>
  <si>
    <t>464759 - 464759 - 36458 - 36413</t>
  </si>
  <si>
    <t>Inocybe à cystides tenues</t>
  </si>
  <si>
    <t>464760 - 464760 - 974632</t>
  </si>
  <si>
    <t>514059 - 43100 - 514038 - 43101 - 464762</t>
  </si>
  <si>
    <t>464764 - 464764</t>
  </si>
  <si>
    <t>464781 - 464781</t>
  </si>
  <si>
    <t>Inocybe couleur tabac</t>
  </si>
  <si>
    <t>873433 - 873438 - 46479 - 46482 - 873439 - 873437 - 873440 - 873435 - 873441 - 873436 - 873434</t>
  </si>
  <si>
    <t>873450 - 873447 - 46481 - 873448 - 873449 - 873446 - 883359 - 873444 - 873445</t>
  </si>
  <si>
    <t>517753 - 517752 - 464823 - 517759 - 517761 - 517757 - 517750 - 517762 - 517756 - 517754 - 517758 - 517749 - 517760 - 517751 - 517755</t>
  </si>
  <si>
    <t>46484 - 873453 - 804051 - 873451 - 873452</t>
  </si>
  <si>
    <t>464848 - 517554</t>
  </si>
  <si>
    <t>46486 - 873465 - 883111 - 873458 - 873459 - 873464 - 46486 - 46487 - 873457 - 873460 - 46488 - 881449 - 873461 - 873463 - 873462</t>
  </si>
  <si>
    <t>Cordyceps militaire</t>
  </si>
  <si>
    <t>29811 - 29809 - 29812 - 464866 - 29810 - 29808</t>
  </si>
  <si>
    <t>517506 - 32882 - 517509 - 32885 - 464870 - 32883 - 517507 - 517508</t>
  </si>
  <si>
    <t>517548 - 32593 - 517550 - 517548 - 517547 - 32594 - 517552 - 517549 - 517551 - 32596 - 464876 - 32595</t>
  </si>
  <si>
    <t>Psilocybe à toupet</t>
  </si>
  <si>
    <t>517648 - 464899 - 517647</t>
  </si>
  <si>
    <t>975146 - 464907</t>
  </si>
  <si>
    <t>883282 - 873479 - 873478 - 873472 - 46492 - 873470 - 873474 - 873476 - 873477 - 873475 - 873473 - 873471</t>
  </si>
  <si>
    <t>46493 - 46493</t>
  </si>
  <si>
    <t>517929 - 464952 - 517930</t>
  </si>
  <si>
    <t>516342 - 516334 - 516331 - 516328 - 516343 - 516329 - 516332 - 43766 - 516326 - 516340 - 516324 - 516336 - 516327 - 516335 - 465040 - 516333 - 516338 - 516341 - 516330 - 516339 - 516325 - 516337</t>
  </si>
  <si>
    <t>Polypore éponge, Phéole de schweinitz</t>
  </si>
  <si>
    <t>516239 - 465044 - 43706 - 516238 - 43705 - 43707</t>
  </si>
  <si>
    <t>516123 - 975748 - 465052</t>
  </si>
  <si>
    <t>516564 - 43449 - 43450 - 516560 - 516563 - 516565 - 516562 - 465068 - 516561</t>
  </si>
  <si>
    <t>36951 - 516361 - 36952 - 36949 - 465069 - 516357 - 516360 - 516362 - 36950 - 516359 - 36951 - 516358</t>
  </si>
  <si>
    <t>43456 - 516600 - 43457 - 43455 - 465081 - 43454</t>
  </si>
  <si>
    <t>465084 - 516408 - 973845</t>
  </si>
  <si>
    <t>516545 - 516538 - 516537 - 516542 - 516548 - 43447 - 516543 - 516544 - 43446 - 516541 - 516539 - 516535 - 516534 - 465090 - 516536 - 29215 - 516546 - 516547 - 516533 - 516540 - 43445 - 516549</t>
  </si>
  <si>
    <t>43855 - 43854 - 465094</t>
  </si>
  <si>
    <t>465097 - 37604 - 37603 - 465138</t>
  </si>
  <si>
    <t>46510 - 46508 - 876460 - 876462 - 876461 - 46267 - 876459 - 46510 - 46509</t>
  </si>
  <si>
    <t>Hypocrée gélatineuse</t>
  </si>
  <si>
    <t>465104 - 515871 - 31444 - 515870 - 31443</t>
  </si>
  <si>
    <t>515849 - 31495 - 31494 - 515848 - 465109</t>
  </si>
  <si>
    <t>515732 - 515735 - 31164 - 515737 - 515734 - 515733 - 515736 - 31161 - 465124</t>
  </si>
  <si>
    <t>515999 - 34277 - 34280 - 515998 - 515993 - 515996 - 515995 - 515989 - 515992 - 465137 - 34279 - 515994 - 515991 - 515997 - 515990</t>
  </si>
  <si>
    <t>34270 - 515983 - 34272 - 515987 - 515985 - 515980 - 515988 - 515986 - 515982 - 515981 - 515984 - 465139 - 34271</t>
  </si>
  <si>
    <t>465142 - 516013 - 516011 - 516009 - 516010 - 516012</t>
  </si>
  <si>
    <t>515920 - 31560 - 465152</t>
  </si>
  <si>
    <t>515974 - 515977 - 515973 - 34267 - 515978 - 515975 - 465161 - 34269 - 515972 - 515976</t>
  </si>
  <si>
    <t>465170 - 37829 - 37830</t>
  </si>
  <si>
    <t>37426 - 465176 - 37425 - 517324 - 37427 - 517322 - 517320 - 517321 - 517323 - 517325</t>
  </si>
  <si>
    <t>43555 - 517256 - 43557 - 517254 - 465185 - 44185 - 43556 - 44187 - 517252 - 517255 - 44186</t>
  </si>
  <si>
    <t>465190 - 517294 - 40442</t>
  </si>
  <si>
    <t>46518 - 46518</t>
  </si>
  <si>
    <t>517422 - 465214 - 517424 - 37578 - 517423</t>
  </si>
  <si>
    <t>465219 - 37777 - 37778</t>
  </si>
  <si>
    <t>37756 - 37755 - 517449 - 465220</t>
  </si>
  <si>
    <t>465226 - 516801</t>
  </si>
  <si>
    <t>465227 - 516815</t>
  </si>
  <si>
    <t>516796 - 465230 - 516795</t>
  </si>
  <si>
    <t>465234 - 37174 - 516786 - 37175</t>
  </si>
  <si>
    <t>465236 - 29228 - 516806 - 516804 - 516803 - 974946 - 516805</t>
  </si>
  <si>
    <t>516811 - 516812 - 465238</t>
  </si>
  <si>
    <t>516798 - 974945 - 516800 - 516799 - 465241 - 516797 - 974964</t>
  </si>
  <si>
    <t>516648 - 516645 - 465245 - 516644 - 516646 - 516643 - 37086 - 516649 - 37087 - 37090 - 516647</t>
  </si>
  <si>
    <t>516702 - 465249 - 516704 - 516703 - 37095</t>
  </si>
  <si>
    <t>46526 - 873590 - 873591 - 873588 - 873586 - 46526 - 873593 - 873587 - 873589 - 873592 - 873584 - 873585 - 873583</t>
  </si>
  <si>
    <t>38854 - 517009 - 465266 - 38855</t>
  </si>
  <si>
    <t>Pluté couleur de lion</t>
  </si>
  <si>
    <t>517150 - 37613 - 37616 - 37615 - 975111 - 517151 - 465269 - 517149 - 517148</t>
  </si>
  <si>
    <t>43338 - 43335 - 43336 - 517152 - 43337 - 465270 - 517154 - 517153</t>
  </si>
  <si>
    <t>40666 - 516931 - 516935 - 40667 - 516936 - 516934 - 975088 - 516932 - 516937 - 516929 - 40668 - 516930 - 465278 - 40670 - 516939 - 516938 - 516933</t>
  </si>
  <si>
    <t>517019 - 517021 - 465280 - 517022 - 38869 - 517020</t>
  </si>
  <si>
    <t>517197 - 465282 - 517194 - 43497 - 43500 - 517198 - 43499 - 517195 - 517196</t>
  </si>
  <si>
    <t>465283 - 34316 - 974966 - 34319 - 38695 - 34317 - 516944</t>
  </si>
  <si>
    <t>46530 - 873595 - 873599 - 873602 - 873594 - 46530 - 873601 - 873596 - 46531 - 46533 - 873600 - 873598 - 873597 - 46532</t>
  </si>
  <si>
    <t>873608 - 873627 - 46536 - 873623 - 873615 - 883287 - 873614 - 873630 - 873608 - 873604 - 873624 - 873629 - 873621 - 873628 - 873606 - 511711 - 873631 - 878949 - 873609 - 873607 - 873605 - 873611 - 873613 - 46534 - 873616 - 873632 - 873626 - 873619 - 873625 - 873617 - 873618 - 873603 - 873622 - 873612 - 873620 - 873610</t>
  </si>
  <si>
    <t>46564 - 46564</t>
  </si>
  <si>
    <t>46605 - 46605</t>
  </si>
  <si>
    <t>46618 - 873800 - 873801 - 873808 - 46618 - 873804 - 873807 - 873806 - 873805 - 873802 - 873803</t>
  </si>
  <si>
    <t>46632 - 46632</t>
  </si>
  <si>
    <t>46642 - 873551 - 873553 - 46642 - 873552 - 873550 - 873554</t>
  </si>
  <si>
    <t>46644 - 46644</t>
  </si>
  <si>
    <t>46657 - 46657 - 46659 - 46658</t>
  </si>
  <si>
    <t>Cudonie en cercles</t>
  </si>
  <si>
    <t>46660 - 46660</t>
  </si>
  <si>
    <t>Cudonie trompeuse</t>
  </si>
  <si>
    <t>46662 - 46664 - 46665 - 873885 - 46662</t>
  </si>
  <si>
    <t>46668 - 873889 - 873887 - 873888 - 873893 - 873892 - 46670 - 879983 - 873890 - 46668 - 873886 - 873891 - 867396</t>
  </si>
  <si>
    <t>46706 - 46706 - 883292 - 46707</t>
  </si>
  <si>
    <t>Daldinie concentrique</t>
  </si>
  <si>
    <t>46714 - 46714</t>
  </si>
  <si>
    <t>46719 - 46722 - 46721 - 46719 - 46720</t>
  </si>
  <si>
    <t>46725 - 46726 - 46727 - 46728 - 46725 - 873852 - 873854 - 873853 - 873851</t>
  </si>
  <si>
    <t>46764 - 46764</t>
  </si>
  <si>
    <t>46778 - 46778</t>
  </si>
  <si>
    <t>46786 - 46786</t>
  </si>
  <si>
    <t>874034 - 874034</t>
  </si>
  <si>
    <t>46831 - 46831 - 875371 - 46829 - 46830</t>
  </si>
  <si>
    <t>46865 - 46865</t>
  </si>
  <si>
    <t>46867 - 46867</t>
  </si>
  <si>
    <t>46876 - 46876 - 46878</t>
  </si>
  <si>
    <t>46901 - 46901 - 46903 - 46904 - 860103 - 46902</t>
  </si>
  <si>
    <t>46906 - 46906</t>
  </si>
  <si>
    <t>469067 - 507964 - 469067 - 507963</t>
  </si>
  <si>
    <t>Agaric robuste, Psalliote robuste</t>
  </si>
  <si>
    <t>469068 - 469068</t>
  </si>
  <si>
    <t>469072 - 469072 - 37949 - 37948</t>
  </si>
  <si>
    <t>Agaric champêtre variété squamuleuse</t>
  </si>
  <si>
    <t>469076 - 469076 - 38036 - 38035 - 38037</t>
  </si>
  <si>
    <t>Agaric neigeux, Psalliote neigeux</t>
  </si>
  <si>
    <t>46909 - 874124 - 874123 - 46909</t>
  </si>
  <si>
    <t>469098 - 508247 - 469098 - 508246</t>
  </si>
  <si>
    <t>Amanite intermédiaire</t>
  </si>
  <si>
    <t>469104 - 469104</t>
  </si>
  <si>
    <t>469106 - 508271 - 469106 - 973950</t>
  </si>
  <si>
    <t>Amanite isabelle à voile gris</t>
  </si>
  <si>
    <t>469108 - 469108</t>
  </si>
  <si>
    <t>Amanite élevée forme albinique</t>
  </si>
  <si>
    <t>469109 - 469109 - 39140 - 39142 - 508283</t>
  </si>
  <si>
    <t>Amanite épaisse</t>
  </si>
  <si>
    <t>469117 - 469117</t>
  </si>
  <si>
    <t>Amanite jonquille forme grêle</t>
  </si>
  <si>
    <t>469121 - 469121</t>
  </si>
  <si>
    <t>Amanite livide variété tigrée.</t>
  </si>
  <si>
    <t>Amanite tue-mouches à voile jaune</t>
  </si>
  <si>
    <t>469128 - 469128</t>
  </si>
  <si>
    <t>Amanite tue-mouches variété à voile fuligineux</t>
  </si>
  <si>
    <t>469151 - 469151</t>
  </si>
  <si>
    <t>469153 - 469153 - 971652</t>
  </si>
  <si>
    <t>Amanite olivacé foncé</t>
  </si>
  <si>
    <t>469154 - 508414 - 469154 - 39158 - 508413</t>
  </si>
  <si>
    <t>Amanite vaginée forme blanche</t>
  </si>
  <si>
    <t>469163 - 469163</t>
  </si>
  <si>
    <t>Amanite vireuse</t>
  </si>
  <si>
    <t>469165 - 469165</t>
  </si>
  <si>
    <t>Armillaire à pied clavé et presque bulbeux</t>
  </si>
  <si>
    <t>36768 - 36768 - 36769 - 469173 - 508911 - 508909 - 508907 - 508908 - 508910</t>
  </si>
  <si>
    <t>Bolbitius jaune d'oeuf</t>
  </si>
  <si>
    <t>469187 - 469187</t>
  </si>
  <si>
    <t>46920 - 46920</t>
  </si>
  <si>
    <t>469204 - 469204</t>
  </si>
  <si>
    <t>Chanterelle commune variété blanchâtre</t>
  </si>
  <si>
    <t>469207 - 469207</t>
  </si>
  <si>
    <t>Chanterelle commune variété à pied jaune</t>
  </si>
  <si>
    <t>469210 - 469210</t>
  </si>
  <si>
    <t>Chanterelle commune variété squamuleuse</t>
  </si>
  <si>
    <t>874160 - 874160</t>
  </si>
  <si>
    <t>469220 - 469220</t>
  </si>
  <si>
    <t>Clavaire cendrée forme subcrêtée</t>
  </si>
  <si>
    <t>509620 - 509620</t>
  </si>
  <si>
    <t>Clavaire crêtée forme subcendrée</t>
  </si>
  <si>
    <t>469228 - 40913 - 469228</t>
  </si>
  <si>
    <t>Clavaire rugeuse var. canaliculée</t>
  </si>
  <si>
    <t>509645 - 509645 - 469233</t>
  </si>
  <si>
    <t>Clavaire en fome de géoglosse</t>
  </si>
  <si>
    <t>30868 - 30868 - 469236</t>
  </si>
  <si>
    <t>469237 - 974028 - 469237</t>
  </si>
  <si>
    <t>Clitocybe blanchi var. grêle</t>
  </si>
  <si>
    <t>31919 - 31919 - 469241</t>
  </si>
  <si>
    <t>Clitocybe odorant blanc</t>
  </si>
  <si>
    <t>469243 - 469243 - 509808 - 509807</t>
  </si>
  <si>
    <t>469250 - 469250</t>
  </si>
  <si>
    <t>Collybie lacérée var. odorante</t>
  </si>
  <si>
    <t>865511 - 865511 - 46926</t>
  </si>
  <si>
    <t>469319 - 510513 - 510512 - 469319 - 34142</t>
  </si>
  <si>
    <t>34417 - 34417 - 34413 - 469354</t>
  </si>
  <si>
    <t>46936 - 46936</t>
  </si>
  <si>
    <t>469361 - 469361</t>
  </si>
  <si>
    <t>Cortinaire jaune cannelle variété à voile porphyre</t>
  </si>
  <si>
    <t>34394 - 34394</t>
  </si>
  <si>
    <t>469366 - 469366 - 510600 - 510601 - 510603 - 510602</t>
  </si>
  <si>
    <t>510610 - 469371</t>
  </si>
  <si>
    <t>469382 - 469382 - 510642</t>
  </si>
  <si>
    <t>469389 - 469389</t>
  </si>
  <si>
    <t>35440 - 35440</t>
  </si>
  <si>
    <t>469393 - 469393</t>
  </si>
  <si>
    <t>34836 - 34836</t>
  </si>
  <si>
    <t>469409 - 973660 - 469409</t>
  </si>
  <si>
    <t>469414 - 469414</t>
  </si>
  <si>
    <t>Cortinaire élevé forme gris livide</t>
  </si>
  <si>
    <t>469423 - 469423</t>
  </si>
  <si>
    <t>469435 - 469435</t>
  </si>
  <si>
    <t>469443 - 469443</t>
  </si>
  <si>
    <t>469451 - 469451</t>
  </si>
  <si>
    <t>469455 - 469455</t>
  </si>
  <si>
    <t>469468 - 469468</t>
  </si>
  <si>
    <t>469477 - 469477</t>
  </si>
  <si>
    <t>35242 - 35242 - 469489</t>
  </si>
  <si>
    <t>Cortinaire soufré variété à pied bulbeux</t>
  </si>
  <si>
    <t>469497 - 469497</t>
  </si>
  <si>
    <t>469498 - 469498</t>
  </si>
  <si>
    <t>35463 - 511066 - 469500 - 511067</t>
  </si>
  <si>
    <t>469501 - 469501 - 511072 - 35318</t>
  </si>
  <si>
    <t>511154 - 511154</t>
  </si>
  <si>
    <t>469523 - 469523</t>
  </si>
  <si>
    <t>34476 - 34476</t>
  </si>
  <si>
    <t>46953 - 874028 - 46953 - 874220</t>
  </si>
  <si>
    <t>469539 - 469539</t>
  </si>
  <si>
    <t>469571 - 469571</t>
  </si>
  <si>
    <t>469573 - 469573 - 511391 - 511392</t>
  </si>
  <si>
    <t>Cortinaire à odeur de poire</t>
  </si>
  <si>
    <t>469578 - 469578</t>
  </si>
  <si>
    <t>Cortinaire triomphant forme spectaculaire</t>
  </si>
  <si>
    <t>511406 - 511406 - 469580</t>
  </si>
  <si>
    <t>Cortinaire trivial forme jaune</t>
  </si>
  <si>
    <t>469593 - 469593 - 511441</t>
  </si>
  <si>
    <t>469595 - 469595 - 511450</t>
  </si>
  <si>
    <t>469596 - 469596</t>
  </si>
  <si>
    <t>511464 - 511464</t>
  </si>
  <si>
    <t>469602 - 34766 - 469602</t>
  </si>
  <si>
    <t>35538 - 35538</t>
  </si>
  <si>
    <t>469610 - 469610</t>
  </si>
  <si>
    <t>Chanterelle jaune forme à pied blanc</t>
  </si>
  <si>
    <t>469613 - 511535 - 511531 - 29966 - 469613 - 511533 - 29967 - 511534 - 511532</t>
  </si>
  <si>
    <t>Craterelle crépue</t>
  </si>
  <si>
    <t>469623 - 30687</t>
  </si>
  <si>
    <t>469641 - 469641</t>
  </si>
  <si>
    <t>46968 - 874268 - 874266 - 46968 - 874267</t>
  </si>
  <si>
    <t>469681 - 469681</t>
  </si>
  <si>
    <t>469686 - 469686</t>
  </si>
  <si>
    <t>Exidie pustulée</t>
  </si>
  <si>
    <t>469692 - 469692</t>
  </si>
  <si>
    <t>469693 - 469693</t>
  </si>
  <si>
    <t>512708 - 512708 - 469694</t>
  </si>
  <si>
    <t>Galère à grandes spores</t>
  </si>
  <si>
    <t>469700 - 469700</t>
  </si>
  <si>
    <t>Bolet bleuissant ou Indigotier</t>
  </si>
  <si>
    <t>469703 - 469703</t>
  </si>
  <si>
    <t>469704 - 469704</t>
  </si>
  <si>
    <t>469713 - 469713</t>
  </si>
  <si>
    <t>469719 - 513271 - 34205 - 469719 - 513270 - 975706</t>
  </si>
  <si>
    <t>Pleurote grise</t>
  </si>
  <si>
    <t>469723 - 469723</t>
  </si>
  <si>
    <t>Pied de mouton variété blanche</t>
  </si>
  <si>
    <t>469731 - 979454 - 30275 - 513398 - 979455 - 513397 - 469731 - 30276 - 30140</t>
  </si>
  <si>
    <t>Hygrophore triste</t>
  </si>
  <si>
    <t>469732 - 30319 - 30001 - 513408 - 513406 - 469732 - 513407 - 30318</t>
  </si>
  <si>
    <t>469733 - 469733</t>
  </si>
  <si>
    <t>Hygrophore à pied glutineux var. rouge</t>
  </si>
  <si>
    <t>513415 - 513415 - 469739</t>
  </si>
  <si>
    <t>469747 - 469747 - 32167 - 513487 - 32166</t>
  </si>
  <si>
    <t>Fausse-girolle forme pâle</t>
  </si>
  <si>
    <t>469749 - 469749 - 513494</t>
  </si>
  <si>
    <t>Hygrophore à odeur agréable forme blanche</t>
  </si>
  <si>
    <t>36991 - 513691 - 469758 - 513690 - 36989</t>
  </si>
  <si>
    <t>469760 - 469760</t>
  </si>
  <si>
    <t>Hypholome couleur de brique</t>
  </si>
  <si>
    <t>469769 - 469769 - 36300</t>
  </si>
  <si>
    <t>Inocybe à pied courbe var. à cystides globuleuses</t>
  </si>
  <si>
    <t>513861 - 36402 - 513860 - 469785</t>
  </si>
  <si>
    <t>Inocybe de Kühner</t>
  </si>
  <si>
    <t>469786 - 469786</t>
  </si>
  <si>
    <t>46980 - 46980 - 978821</t>
  </si>
  <si>
    <t>Diatrype en bulle</t>
  </si>
  <si>
    <t>469805 - 469805</t>
  </si>
  <si>
    <t>469807 - 469807</t>
  </si>
  <si>
    <t>469811 - 469811</t>
  </si>
  <si>
    <t>469815 - 469815</t>
  </si>
  <si>
    <t>469820 - 469820 - 513929</t>
  </si>
  <si>
    <t>46983 - 874295 - 46983 - 874294 - 874293 - 874292</t>
  </si>
  <si>
    <t>Diatrype disciforme</t>
  </si>
  <si>
    <t>469841 - 469841 - 974634 - 514017</t>
  </si>
  <si>
    <t>469857 - 469857</t>
  </si>
  <si>
    <t>Lactaire fuligineux f. blanche</t>
  </si>
  <si>
    <t>46986 - 46986 - 874307 - 874306 - 874308 - 874302 - 874305 - 874303 - 874304</t>
  </si>
  <si>
    <t>469861 - 39472 - 469861 - 514246</t>
  </si>
  <si>
    <t>Lactaire presque soyeux variété faux "fulvissimus"</t>
  </si>
  <si>
    <t>469864 - 469864</t>
  </si>
  <si>
    <t>Lactaire délicieux variété rougissante</t>
  </si>
  <si>
    <t>469870 - 469870</t>
  </si>
  <si>
    <t>Lactaire orange gris var. semi-bleuissante</t>
  </si>
  <si>
    <t>469874 - 469874</t>
  </si>
  <si>
    <t>Lactaire trivial variété grêle</t>
  </si>
  <si>
    <t>469877 - 469877</t>
  </si>
  <si>
    <t>469878 - 469878</t>
  </si>
  <si>
    <t>Lactaire humide variété pâle</t>
  </si>
  <si>
    <t>469886 - 469886</t>
  </si>
  <si>
    <t>Bolet rude des peupliers f. robuste</t>
  </si>
  <si>
    <t>514602 - 38383 - 469901</t>
  </si>
  <si>
    <t>514670 - 514671 - 514672 - 514669 - 514668 - 469910 - 514673 - 32263</t>
  </si>
  <si>
    <t>514695 - 469913</t>
  </si>
  <si>
    <t>469939 - 32679</t>
  </si>
  <si>
    <t>46995 - 46995 - 874328 - 862364 - 874324 - 874326 - 874325 - 874327</t>
  </si>
  <si>
    <t>469960 - 515789 - 515790</t>
  </si>
  <si>
    <t>515979 - 469973</t>
  </si>
  <si>
    <t>516674 - 516671 - 516669 - 37067 - 469991 - 516668 - 516673 - 516676 - 516670 - 516675 - 516672 - 37135</t>
  </si>
  <si>
    <t>41128 - 470051 - 41127 - 41129 - 41051 - 41130</t>
  </si>
  <si>
    <t>518432 - 31841 - 975764 - 470066 - 31843</t>
  </si>
  <si>
    <t>39614 - 470080</t>
  </si>
  <si>
    <t>47009 - 47009</t>
  </si>
  <si>
    <t>518617 - 470099 - 39682</t>
  </si>
  <si>
    <t>470112 - 39716 - 518640</t>
  </si>
  <si>
    <t>47014 - 47014</t>
  </si>
  <si>
    <t>47015 - 47015</t>
  </si>
  <si>
    <t>470162 - 518745 - 40063 - 518744</t>
  </si>
  <si>
    <t>518805 - 470187 - 518804</t>
  </si>
  <si>
    <t>470200 - 988508 - 518825</t>
  </si>
  <si>
    <t>518848 - 470212 - 988643</t>
  </si>
  <si>
    <t>518866 - 518867 - 470221 - 518863 - 40136 - 518868 - 518864 - 518865</t>
  </si>
  <si>
    <t>470228 - 519098 - 519097</t>
  </si>
  <si>
    <t>519109 - 519106 - 470229 - 519107 - 36617 - 519108 - 36633</t>
  </si>
  <si>
    <t>470235 - 519319 - 519318</t>
  </si>
  <si>
    <t>519540 - 470251 - 519541</t>
  </si>
  <si>
    <t>520050 - 470280</t>
  </si>
  <si>
    <t>470309 - 520758</t>
  </si>
  <si>
    <t>470313 - 520824 - 520826 - 520825 - 520828 - 520827</t>
  </si>
  <si>
    <t>470315 - 520832 - 31615 - 31614</t>
  </si>
  <si>
    <t>520834 - 470316 - 520833</t>
  </si>
  <si>
    <t>47057 - 47057</t>
  </si>
  <si>
    <t>874446 - 874446</t>
  </si>
  <si>
    <t>47070 - 47070</t>
  </si>
  <si>
    <t>47128 - 47128 - 47129</t>
  </si>
  <si>
    <t>Gyromitre blanc et noir</t>
  </si>
  <si>
    <t>47133 - 47135 - 874387 - 874384 - 874386 - 874385</t>
  </si>
  <si>
    <t>Pézize perlée</t>
  </si>
  <si>
    <t>874388 - 874388 - 47140</t>
  </si>
  <si>
    <t>47154 - 47154 - 874398</t>
  </si>
  <si>
    <t>47157 - 883306 - 47157 - 874400 - 47159</t>
  </si>
  <si>
    <t>Pezize veinée</t>
  </si>
  <si>
    <t>471608 - 471608</t>
  </si>
  <si>
    <t xml:space="preserve">Amanite ochracé pâle. </t>
  </si>
  <si>
    <t>462345 - 462345 - 471675 - 29909</t>
  </si>
  <si>
    <t>Girolle pruineuse</t>
  </si>
  <si>
    <t>47174 - 47174</t>
  </si>
  <si>
    <t>877101 - 877100 - 877101 - 47191 - 877099</t>
  </si>
  <si>
    <t>47193 - 47193</t>
  </si>
  <si>
    <t>471976 - 471976</t>
  </si>
  <si>
    <t>47199 - 47199 - 981542 - 47200 - 878608 - 47201</t>
  </si>
  <si>
    <t>47226 - 877240 - 47228 - 871864 - 47229 - 47227 - 877239 - 877238 - 47226 - 877237</t>
  </si>
  <si>
    <t>47236 - 47236</t>
  </si>
  <si>
    <t>47246 - 877316 - 877314 - 877318 - 47246 - 877317 - 877315</t>
  </si>
  <si>
    <t>47256 - 47256 - 883047</t>
  </si>
  <si>
    <t>47262 - 47262 - 877401 - 883182</t>
  </si>
  <si>
    <t>Truffe aspérulée</t>
  </si>
  <si>
    <t>47267 - 47267</t>
  </si>
  <si>
    <t>Truffe trompeuse</t>
  </si>
  <si>
    <t>47272 - 883043 - 877403 - 883042 - 877402 - 883183 - 47272 - 883049 - 883048</t>
  </si>
  <si>
    <t>Truffe des cerfs</t>
  </si>
  <si>
    <t>47280 - 877406 - 883050 - 877411 - 877404 - 877412 - 47280 - 877409 - 883414</t>
  </si>
  <si>
    <t>47303 - 47303</t>
  </si>
  <si>
    <t>47305 - 877496 - 47306 - 877497 - 47305 - 47307 - 877495</t>
  </si>
  <si>
    <t>Pézize furfuracée</t>
  </si>
  <si>
    <t>47308 - 47308</t>
  </si>
  <si>
    <t>Pézize glabre</t>
  </si>
  <si>
    <t>47355 - 47357 - 47356 - 877683 - 877684 - 877682 - 47355</t>
  </si>
  <si>
    <t>Quenouille des graminées</t>
  </si>
  <si>
    <t>47388 - 876496 - 876489 - 876493 - 876491 - 876494 - 876490 - 876483 - 876495 - 876487 - 876484 - 47389 - 876497 - 47388 - 876488 - 876492</t>
  </si>
  <si>
    <t>47403 - 47412 - 876649 - 969053 - 876652 - 876650 - 969052 - 876656 - 876654 - 876653 - 876651 - 876655 - 979160 - 47403</t>
  </si>
  <si>
    <t>47407 - 47407 - 876665</t>
  </si>
  <si>
    <t>47413 - 876676 - 47413 - 876679 - 876678 - 876677</t>
  </si>
  <si>
    <t>47423 - 876889 - 876888 - 876887 - 47423 - 876890 - 876886</t>
  </si>
  <si>
    <t>47429 - 47429</t>
  </si>
  <si>
    <t>877147 - 47469 - 877146 - 877148 - 47467 - 48998 - 47466</t>
  </si>
  <si>
    <t>47498 - 47495 - 47498</t>
  </si>
  <si>
    <t>47502 - 877590 - 47502</t>
  </si>
  <si>
    <t>Géoglosse de Barla</t>
  </si>
  <si>
    <t>47503 - 47512 - 883695 - 47503 - 47511 - 993130 - 993131</t>
  </si>
  <si>
    <t>Géoglosse de Cook</t>
  </si>
  <si>
    <t>47505 - 47505</t>
  </si>
  <si>
    <t>Géoglosse trompeur</t>
  </si>
  <si>
    <t>Géopore des sables</t>
  </si>
  <si>
    <t>47526 - 47526</t>
  </si>
  <si>
    <t>47530 - 877692 - 47530 - 47532 - 877687 - 883421 - 877691 - 47535 - 877686 - 979236 - 877689 - 877690 - 877688 - 979234</t>
  </si>
  <si>
    <t>47544 - 47547 - 877696 - 877700 - 877699 - 877695 - 877698 - 877697 - 47544</t>
  </si>
  <si>
    <t>Pézize du cèdre</t>
  </si>
  <si>
    <t>47548 - 47548</t>
  </si>
  <si>
    <t>47560 - 47560</t>
  </si>
  <si>
    <t>Pézize des brûlis</t>
  </si>
  <si>
    <t>47573 - 47573</t>
  </si>
  <si>
    <t>47578 - 47578 - 876042</t>
  </si>
  <si>
    <t>47584 - 47584 - 876048</t>
  </si>
  <si>
    <t>47596 - 47596</t>
  </si>
  <si>
    <t>47600 - 876387 - 876388 - 47600 - 979254 - 876390 - 876389 - 979255</t>
  </si>
  <si>
    <t>47601 - 47601</t>
  </si>
  <si>
    <t>47608 - 47609 - 47608</t>
  </si>
  <si>
    <t>883381 - 883381</t>
  </si>
  <si>
    <t>47624 - 47624</t>
  </si>
  <si>
    <t>47628 - 876687 - 47629 - 876684 - 876685 - 876688 - 47628 - 876686</t>
  </si>
  <si>
    <t>47637 - 47637</t>
  </si>
  <si>
    <t>47646 - 877171 - 47646 - 877170</t>
  </si>
  <si>
    <t>Fausse morille, Gyromitre fausse morille, Moricaude, Cervelot, Gyromitre commune</t>
  </si>
  <si>
    <t>47650 - 47652 - 877172 - 47651 - 47650 - 877173</t>
  </si>
  <si>
    <t>Gyromitre en turban</t>
  </si>
  <si>
    <t>877277 - 877277 - 877275 - 47666 - 47663 - 877276</t>
  </si>
  <si>
    <t>47668 - 47668</t>
  </si>
  <si>
    <t>47692 - 47695 - 876059 - 47694 - 876058 - 876061 - 876060 - 47692 - 49051 - 49050 - 876064</t>
  </si>
  <si>
    <t>Helvelle en calice</t>
  </si>
  <si>
    <t>47707 - 876069 - 983006 - 47704</t>
  </si>
  <si>
    <t>47708 - 47708</t>
  </si>
  <si>
    <t>47715 - 47715 - 876077 - 876076 - 876075 - 876074 - 883627 - 47716</t>
  </si>
  <si>
    <t>Helvelle coriace</t>
  </si>
  <si>
    <t>47719 - 47721 - 876084 - 876083 - 47719 - 876082 - 45295 - 876085</t>
  </si>
  <si>
    <t>Helvelle cotelée</t>
  </si>
  <si>
    <t>47723 - 876088 - 876087 - 876089 - 876090 - 867634 - 996334 - 47723 - 47725 - 876086</t>
  </si>
  <si>
    <t>Helvelle crêpue</t>
  </si>
  <si>
    <t>47728 - 47728</t>
  </si>
  <si>
    <t>Helvelle en coupe</t>
  </si>
  <si>
    <t>47731 - 876175 - 47747 - 876173 - 876168 - 47749 - 47734 - 876170 - 876177 - 876169 - 876172 - 876171 - 47790 - 47791 - 47731 - 876176 - 47746 - 883369 - 876174</t>
  </si>
  <si>
    <t>Helvelle élastique</t>
  </si>
  <si>
    <t>Helvelle ombrageuse</t>
  </si>
  <si>
    <t>47753 - 876207 - 47753 - 876301</t>
  </si>
  <si>
    <t>Helvelle lacuneuse</t>
  </si>
  <si>
    <t>47767 - 876328 - 876335 - 876332 - 876407 - 876329 - 876330 - 876334 - 876331 - 876336 - 876408 - 876409 - 47769 - 47767 - 47768 - 876410 - 876333</t>
  </si>
  <si>
    <t>Helvelle à long pied</t>
  </si>
  <si>
    <t>47774 - 47774</t>
  </si>
  <si>
    <t>Helvelle palissante</t>
  </si>
  <si>
    <t>47776 - 876419 - 47776</t>
  </si>
  <si>
    <t>Helvelle des marais</t>
  </si>
  <si>
    <t>47784 - 47784 - 876426</t>
  </si>
  <si>
    <t>876435 - 876434 - 876429 - 876438 - 876432 - 45291 - 876435 - 876436 - 979347 - 876431 - 47802 - 876439 - 876433 - 883378 - 876437 - 876430</t>
  </si>
  <si>
    <t>Helvelle solitaire</t>
  </si>
  <si>
    <t>47828 - 876832 - 876835 - 979425 - 47825 - 47828 - 876834 - 876833 - 979426</t>
  </si>
  <si>
    <t>47831 - 47831</t>
  </si>
  <si>
    <t>47839 - 876956 - 47839 - 47840</t>
  </si>
  <si>
    <t>Crinule musqueuse</t>
  </si>
  <si>
    <t>47843 - 876963 - 47843 - 876964 - 47844 - 876965</t>
  </si>
  <si>
    <t>Pézize hémisphérique</t>
  </si>
  <si>
    <t>511551 - 47854 - 511554 - 47853 - 47855 - 877078 - 511555</t>
  </si>
  <si>
    <t>47887 - 47887 - 877191 - 47884</t>
  </si>
  <si>
    <t>47895 - 47895</t>
  </si>
  <si>
    <t>47903 - 47903</t>
  </si>
  <si>
    <t>47910 - 47910</t>
  </si>
  <si>
    <t>47913 - 877290 - 877292 - 872970 - 47913 - 877293 - 877289 - 877291 - 883408</t>
  </si>
  <si>
    <t>47914 - 47914</t>
  </si>
  <si>
    <t>47923 - 47923</t>
  </si>
  <si>
    <t>47929 - 47929</t>
  </si>
  <si>
    <t>47938 - 47938</t>
  </si>
  <si>
    <t>Hydnobolite cérébriforme</t>
  </si>
  <si>
    <t>47966 - 877474 - 877473 - 877535 - 47965 - 883415 - 877475 - 877476</t>
  </si>
  <si>
    <t>47969 - 47969</t>
  </si>
  <si>
    <t>47993 - 47993 - 47994 - 47995 - 47996</t>
  </si>
  <si>
    <t>47997 - 47999 - 47998 - 48000 - 47997</t>
  </si>
  <si>
    <t>48004 - 48004</t>
  </si>
  <si>
    <t>48008 - 48008 - 877640 - 877641</t>
  </si>
  <si>
    <t>48012 - 48012 - 48013 - 877648</t>
  </si>
  <si>
    <t>48014 - 48014</t>
  </si>
  <si>
    <t>48021 - 48021</t>
  </si>
  <si>
    <t>48027 - 48027 - 48028</t>
  </si>
  <si>
    <t>876099 - 876100 - 876098 - 48029 - 48030</t>
  </si>
  <si>
    <t>48040 - 48040 - 876121 - 876116 - 876118 - 876120 - 876115 - 876114 - 876119 - 876122 - 876123 - 876117 - 48042</t>
  </si>
  <si>
    <t>876224 - 48052 - 48053 - 48051</t>
  </si>
  <si>
    <t>48054 - 48054 - 876230 - 48056</t>
  </si>
  <si>
    <t>48057 - 48057</t>
  </si>
  <si>
    <t>48070 - 50099 - 48070 - 876627</t>
  </si>
  <si>
    <t>Trichoderme vert</t>
  </si>
  <si>
    <t>48072 - 876632 - 883383 - 876633 - 876636 - 48072 - 876634 - 876638 - 876635 - 876637</t>
  </si>
  <si>
    <t>Hypocrée en forme de lichen</t>
  </si>
  <si>
    <t>48081 - 48082 - 48081 - 876754 - 876755 - 48083 - 876753</t>
  </si>
  <si>
    <t>Hypomyces aurangé</t>
  </si>
  <si>
    <t>876554 - 48085 - 876554 - 50305 - 876552 - 973172 - 876553 - 876555 - 876556 - 973173</t>
  </si>
  <si>
    <t>Hypomyces abricot</t>
  </si>
  <si>
    <t>48088 - 876560 - 876851 - 876559 - 876855 - 876853 - 876856 - 883646 - 876852 - 876850 - 876854 - 48088</t>
  </si>
  <si>
    <t>Hypomyces rose</t>
  </si>
  <si>
    <t>48104 - 875452 - 875450 - 875454 - 875448 - 875455 - 48104 - 875458 - 875451 - 875453 - 875456 - 805812 - 883344 - 875457 - 875449 - 875447</t>
  </si>
  <si>
    <t>Hypoxylon en forme de fraise</t>
  </si>
  <si>
    <t>48110 - 875462 - 875460 - 875459 - 875461 - 48110</t>
  </si>
  <si>
    <t>Hypoxylon sombre</t>
  </si>
  <si>
    <t>48115 - 48115</t>
  </si>
  <si>
    <t>48126 - 875553 - 871701 - 48126 - 875550 - 875552 - 875551 - 871700 - 883348</t>
  </si>
  <si>
    <t>Hypoxylon rouillé</t>
  </si>
  <si>
    <t>48129 - 48129</t>
  </si>
  <si>
    <t>875647 - 875646 - 48136 - 883129 - 875645</t>
  </si>
  <si>
    <t>48138 - 48138 - 875657 - 875656 - 875659 - 875658 - 875660</t>
  </si>
  <si>
    <t>48161 - 48161</t>
  </si>
  <si>
    <t>876002 - 874495 - 874497 - 48177 - 48179 - 874494 - 874496 - 48176</t>
  </si>
  <si>
    <t>48182 - 874505 - 874501 - 874507 - 48184 - 874508 - 48183 - 883310 - 874503 - 874509 - 48182 - 874504 - 874511 - 874502 - 874510 - 874506 - 874512</t>
  </si>
  <si>
    <t>48186 - 48186</t>
  </si>
  <si>
    <t>48189 - 874526 - 48189</t>
  </si>
  <si>
    <t>48196 - 48196</t>
  </si>
  <si>
    <t>48215 - 48216 - 514213 - 48217 - 514215 - 514214 - 514209 - 514208 - 514217 - 514211 - 514216 - 48215 - 514212 - 514210</t>
  </si>
  <si>
    <t>Cyphelle blanc violet</t>
  </si>
  <si>
    <t>48221 - 48221 - 518309 - 48224 - 48223 - 48222 - 514220 - 518312 - 514219</t>
  </si>
  <si>
    <t>Pézize villeuse</t>
  </si>
  <si>
    <t>48230 - 876070 - 860653 - 48231 - 48230 - 875193 - 876071</t>
  </si>
  <si>
    <t>Pézize en forme de calice</t>
  </si>
  <si>
    <t>48240 - 48240</t>
  </si>
  <si>
    <t>48247 - 48247</t>
  </si>
  <si>
    <t>Pézize occidentale</t>
  </si>
  <si>
    <t>48249 - 48249</t>
  </si>
  <si>
    <t>48258 - 48258 - 48259 - 48260 - 875209 - 48261 - 875208</t>
  </si>
  <si>
    <t>Pézize de la résine</t>
  </si>
  <si>
    <t>48262 - 875221 - 48262 - 875220 - 48264 - 875222</t>
  </si>
  <si>
    <t>48265 - 48265</t>
  </si>
  <si>
    <t>48269 - 48269</t>
  </si>
  <si>
    <t>Chancre du mélèze</t>
  </si>
  <si>
    <t>48281 - 48281</t>
  </si>
  <si>
    <t>48285 - 48285</t>
  </si>
  <si>
    <t>48290 - 875367 - 48290 - 875368 - 875366 - 48292</t>
  </si>
  <si>
    <t>Pézize à pied nu</t>
  </si>
  <si>
    <t>48310 - 875378 - 875375 - 875372 - 48314 - 48310 - 48311 - 875374 - 883342 - 875376 - 875380 - 48313 - 875381 - 875377 - 875373 - 875379</t>
  </si>
  <si>
    <t>Pézize minuscule</t>
  </si>
  <si>
    <t>48324 - 48325 - 875473 - 875474 - 883345 - 48324</t>
  </si>
  <si>
    <t>Pézize virginale</t>
  </si>
  <si>
    <t>48338 - 48338</t>
  </si>
  <si>
    <t>48342 - 48342</t>
  </si>
  <si>
    <t>48345 - 48345</t>
  </si>
  <si>
    <t>48347 - 48347</t>
  </si>
  <si>
    <t>48348 - 48348</t>
  </si>
  <si>
    <t>48364 - 879592 - 48367 - 879596 - 879598 - 879594 - 879597 - 48365 - 879593 - 879591 - 879595</t>
  </si>
  <si>
    <t>48368 - 48368</t>
  </si>
  <si>
    <t>48369 - 48369</t>
  </si>
  <si>
    <t>48373 - 48373 - 875682</t>
  </si>
  <si>
    <t>48381 - 875788 - 48381 - 875789</t>
  </si>
  <si>
    <t>48392 - 48392</t>
  </si>
  <si>
    <t>876005 - 48396 - 876003 - 876004</t>
  </si>
  <si>
    <t>48397 - 876016 - 876015 - 48397 - 48398 - 876017</t>
  </si>
  <si>
    <t>48399 - 48399 - 876024 - 876022 - 876021 - 876023</t>
  </si>
  <si>
    <t>48400 - 48400 - 876027 - 876026</t>
  </si>
  <si>
    <t>874635 - 48407 - 874638 - 874636 - 48408 - 979889 - 874634 - 874637</t>
  </si>
  <si>
    <t>874754 - 874755 - 48420 - 874753 - 874757 - 874756 - 883625 - 883316 - 874752 - 874751</t>
  </si>
  <si>
    <t>874973 - 874970 - 874974 - 874971 - 874972 - 48421 - 874969</t>
  </si>
  <si>
    <t>48438 - 875602 - 875603 - 48440</t>
  </si>
  <si>
    <t>875143 - 875144 - 48460</t>
  </si>
  <si>
    <t>875152 - 48464 - 875153 - 875154</t>
  </si>
  <si>
    <t>Rouge cryptogamique des pins</t>
  </si>
  <si>
    <t>874489 - 874490 - 48485 - 874487 - 874491 - 874488</t>
  </si>
  <si>
    <t>48513 - 48511</t>
  </si>
  <si>
    <t>48521 - 972467 - 875103 - 48520 - 875102 - 875101</t>
  </si>
  <si>
    <t>880094 - 879752 - 1002831 - 879748 - 879755 - 879750 - 883673 - 879751 - 880095 - 48547 - 879753 - 48676 - 883671 - 879754 - 883674 - 880097 - 883685 - 879758 - 879749 - 879756 - 879757 - 48543 - 883681 - 879823 - 883672</t>
  </si>
  <si>
    <t>880100 - 880099 - 48551</t>
  </si>
  <si>
    <t>48563 - 48562 - 880110 - 48564 - 880108 - 880109</t>
  </si>
  <si>
    <t>664649 - 880112 - 665795 - 880111 - 663021 - 48565</t>
  </si>
  <si>
    <t>48586 - 48585 - 48587</t>
  </si>
  <si>
    <t>48592 - 48593 - 48591</t>
  </si>
  <si>
    <t>48598 - 880412 - 880413 - 880410 - 880411 - 48599 - 883505 - 880414 - 880415</t>
  </si>
  <si>
    <t>880507 - 880508 - 48601 - 48602 - 993132</t>
  </si>
  <si>
    <t>880737 - 980511 - 48617</t>
  </si>
  <si>
    <t>879556 - 883135 - 48662</t>
  </si>
  <si>
    <t>Morille conique</t>
  </si>
  <si>
    <t>879638 - 879636 - 879640 - 48672 - 879639 - 48683 - 879637</t>
  </si>
  <si>
    <t>Morille élevée</t>
  </si>
  <si>
    <t>879649 - 879648 - 879650 - 48697</t>
  </si>
  <si>
    <t>48670 - 879653 - 48714</t>
  </si>
  <si>
    <t>980527 - 879656 - 48716</t>
  </si>
  <si>
    <t>48732 - 879759</t>
  </si>
  <si>
    <t>879773 - 873880 - 879772 - 856790 - 880049 - 879774 - 50226 - 879775 - 880050 - 48765</t>
  </si>
  <si>
    <t>48796 - 880359 - 880358 - 880360 - 48793 - 883128 - 48794</t>
  </si>
  <si>
    <t>856765 - 48798 - 48799 - 879976</t>
  </si>
  <si>
    <t>880451 - 880450 - 48800</t>
  </si>
  <si>
    <t>48843 - 48844 - 980503</t>
  </si>
  <si>
    <t>879197 - 48846 - 48847 - 879198</t>
  </si>
  <si>
    <t>879512 - 48875 - 879578</t>
  </si>
  <si>
    <t>48904 - 48904 - 879612 - 48903</t>
  </si>
  <si>
    <t>48914 - 48913</t>
  </si>
  <si>
    <t>48924 - 48924</t>
  </si>
  <si>
    <t>48956 - 879994</t>
  </si>
  <si>
    <t>879995 - 879997 - 48957 - 879996</t>
  </si>
  <si>
    <t>48961 - 880494 - 880495 - 880493</t>
  </si>
  <si>
    <t>980847 - 48977 - 48968 - 48978 - 880590 - 880591 - 48979</t>
  </si>
  <si>
    <t>48988 - 48986 - 880697</t>
  </si>
  <si>
    <t>880698 - 48990 - 880699 - 880700 - 48989</t>
  </si>
  <si>
    <t>48993 - 48991 - 880701 - 48992</t>
  </si>
  <si>
    <t>48994 - 880712 - 880709 - 880713 - 880711</t>
  </si>
  <si>
    <t>49004 - 49006 - 49005 - 879210</t>
  </si>
  <si>
    <t>49008 - 49007 - 879212 - 49009</t>
  </si>
  <si>
    <t>879420 - 879423 - 879425 - 49016 - 879422 - 49018 - 883473 - 879421 - 879424</t>
  </si>
  <si>
    <t>49046 - 879535 - 49045</t>
  </si>
  <si>
    <t>49058 - 49058</t>
  </si>
  <si>
    <t>Pézize des conifères</t>
  </si>
  <si>
    <t>879628 - 879626 - 879629 - 49061 - 49059 - 879627 - 49060</t>
  </si>
  <si>
    <t>49071 - 878632 - 878630 - 878631 - 993541 - 878629 - 49069 - 878633 - 878634</t>
  </si>
  <si>
    <t>878745 - 878750 - 883454 - 49081 - 878747 - 878746 - 878748 - 878751 - 878749</t>
  </si>
  <si>
    <t>49088 - 878764 - 49089</t>
  </si>
  <si>
    <t>878773 - 49091 - 878770 - 878771 - 878772 - 49093 - 49092 - 49090 - 49243</t>
  </si>
  <si>
    <t>49256 - 49255 - 878853 - 883825 - 878851 - 49098 - 878852</t>
  </si>
  <si>
    <t>49119 - 49120 - 49118 - 49119 - 1008002</t>
  </si>
  <si>
    <t>49272 - 878874 - 877949 - 883140 - 49131 - 878875 - 49273 - 45343 - 878876 - 878877 - 45342 - 49130 - 877950</t>
  </si>
  <si>
    <t>878956 - 878957 - 878958 - 49138</t>
  </si>
  <si>
    <t>878960 - 878959 - 49141 - 878961</t>
  </si>
  <si>
    <t>49200 - 49199 - 879130 - 49201 - 879129 - 878979 - 1002858</t>
  </si>
  <si>
    <t>49224 - 49225 - 49226</t>
  </si>
  <si>
    <t>877853 - 49236 - 49237 - 49235</t>
  </si>
  <si>
    <t>49238 - 877854 - 877855 - 49239</t>
  </si>
  <si>
    <t>49250 - 49249 - 49251 - 877866</t>
  </si>
  <si>
    <t>49278 - 877955 - 49279 - 49277 - 877956</t>
  </si>
  <si>
    <t>49282 - 877958 - 877959 - 49281 - 996000 - 877957 - 49280</t>
  </si>
  <si>
    <t>49294 - 49294</t>
  </si>
  <si>
    <t>869619 - 974533 - 49412</t>
  </si>
  <si>
    <t>878710 - 878713 - 49448 - 878715 - 878712 - 878716 - 878714 - 878711</t>
  </si>
  <si>
    <t>878910 - 878909 - 49453 - 878911 - 878912 - 878914 - 878915 - 49454 - 878913 - 878916 - 882736</t>
  </si>
  <si>
    <t>879088 - 49464 - 879089 - 879090 - 981560 - 49463</t>
  </si>
  <si>
    <t>49476 - 49475</t>
  </si>
  <si>
    <t>878541 - 49500 - 49499 - 49498 - 878540 - 883447</t>
  </si>
  <si>
    <t>878101 - 49506 - 878102 - 49505 - 49508 - 49507 - 981749</t>
  </si>
  <si>
    <t>882672 - 981800 - 49591 - 49592</t>
  </si>
  <si>
    <t>882981 - 882980 - 49610 - 882979 - 869680</t>
  </si>
  <si>
    <t>881665 - 881666 - 882988 - 49617 - 882987 - 49616 - 869380</t>
  </si>
  <si>
    <t>882175 - 882174 - 49638 - 882176 - 882173</t>
  </si>
  <si>
    <t>Pézize renflée, Rhizina</t>
  </si>
  <si>
    <t>49643 - 882178 - 49642 - 49645 - 882177 - 49644</t>
  </si>
  <si>
    <t>49647 - 48447 - 48445 - 49649 - 882182 - 48446 - 882184 - 49650 - 882183 - 882185 - 882181</t>
  </si>
  <si>
    <t>882187 - 882186 - 882261 - 49652</t>
  </si>
  <si>
    <t>49660 - 882271 - 882270 - 882269</t>
  </si>
  <si>
    <t>Maladie des croûtes noires</t>
  </si>
  <si>
    <t>45403 - 45403</t>
  </si>
  <si>
    <t>49667 - 883159 - 49668 - 882364</t>
  </si>
  <si>
    <t>882377 - 49686 - 882376 - 882375</t>
  </si>
  <si>
    <t>49702 - 882445 - 49701</t>
  </si>
  <si>
    <t>49711 - 882521 - 49709 - 49710 - 882522 - 882523 - 882519 - 882520 - 49708 - 882518</t>
  </si>
  <si>
    <t>49717 - 883275 - 873105 - 873106 - 49716 - 49717 - 873104</t>
  </si>
  <si>
    <t>Ciboire des aulnes</t>
  </si>
  <si>
    <t>49751 - 49752 - 882620 - 882621</t>
  </si>
  <si>
    <t>49770 - 882778 - 49771 - 49769</t>
  </si>
  <si>
    <t>882779 - 882780 - 49773 - 49774</t>
  </si>
  <si>
    <t>983189 - 49776 - 882781 - 882782 - 49778 - 882783 - 983190 - 882784 - 882786 - 983191 - 49777 - 983188 - 882785</t>
  </si>
  <si>
    <t>Pézize écarlate</t>
  </si>
  <si>
    <t>881756 - 49822 - 883160 - 49825 - 881757 - 49823</t>
  </si>
  <si>
    <t>881758 - 881759 - 881760 - 49829</t>
  </si>
  <si>
    <t>881814 - 881819 - 881766 - 881773 - 881813 - 881772 - 881769 - 881815 - 49833 - 881816 - 881820 - 881818 - 881767 - 883560 - 881768 - 881770 - 881771 - 881817</t>
  </si>
  <si>
    <t>881835 - 881834 - 881836 - 49840</t>
  </si>
  <si>
    <t>49844 - 49846</t>
  </si>
  <si>
    <t>883562 - 49847 - 983388 - 881839 - 881838</t>
  </si>
  <si>
    <t>881927 - 49860 - 49861 - 49862</t>
  </si>
  <si>
    <t>988627 - 881931 - 881929 - 49863 - 49864 - 49865 - 881932 - 881936 - 881934 - 881935 - 881930 - 881928 - 988634 - 881933</t>
  </si>
  <si>
    <t>881947 - 881945 - 883148 - 881946 - 49871 - 881944 - 49872 - 49870</t>
  </si>
  <si>
    <t>882036 - 882039 - 882038 - 876967 - 882034 - 49873 - 882035 - 876968 - 882040 - 882037</t>
  </si>
  <si>
    <t>882841 - 882840 - 49883 - 882839 - 882838 - 882843 - 882842 - 882837</t>
  </si>
  <si>
    <t>882915 - 971007 - 49889 - 882919 - 882922 - 882921 - 49891 - 883607 - 49890 - 882916 - 882917 - 882918 - 882920</t>
  </si>
  <si>
    <t>882931 - 882933 - 49898 - 882935 - 988650 - 882934 - 49899 - 49897 - 988651 - 882930 - 882932</t>
  </si>
  <si>
    <t>881783 - 881850 - 881849 - 49924 - 881847 - 881851 - 881784 - 881848 - 49920</t>
  </si>
  <si>
    <t>49992 - 882020 - 882019</t>
  </si>
  <si>
    <t>882253 - 882256 - 882257 - 882258 - 882255 - 49997 - 882254</t>
  </si>
  <si>
    <t>881300 - 881337 - 49999 - 881338 - 50001 - 881303 - 881339 - 881302 - 881301 - 50002 - 881336</t>
  </si>
  <si>
    <t>50003 - 881341 - 50006 - 50005 - 50004 - 881340</t>
  </si>
  <si>
    <t>881354 - 881353 - 50016</t>
  </si>
  <si>
    <t>50038 - 50037 - 881462 - 50036 - 881463</t>
  </si>
  <si>
    <t>45686 - 881473 - 50046 - 50048 - 881476 - 50047 - 881475 - 45687 - 881472 - 881474 - 45685</t>
  </si>
  <si>
    <t>881478 - 50050</t>
  </si>
  <si>
    <t>881511 - 881511</t>
  </si>
  <si>
    <t>50053 - 50055 - 878971 - 878972</t>
  </si>
  <si>
    <t>50083 - 50084 - 50085 - 880832</t>
  </si>
  <si>
    <t>50086 - 50088 - 50089 - 880833</t>
  </si>
  <si>
    <t>883166 - 50101</t>
  </si>
  <si>
    <t>880885 - 880886 - 50109</t>
  </si>
  <si>
    <t>880982 - 50134 - 50135</t>
  </si>
  <si>
    <t>881021 - 50145 - 50144 - 881022 - 50146</t>
  </si>
  <si>
    <t>50161 - 881067 - 993125 - 881066 - 50160</t>
  </si>
  <si>
    <t>Truffe</t>
  </si>
  <si>
    <t>50177 - 881097</t>
  </si>
  <si>
    <t>837545 - 50271 - 50272 - 881439</t>
  </si>
  <si>
    <t>878066 - 878068 - 50276 - 50277 - 878067 - 50274</t>
  </si>
  <si>
    <t>882426 - 50291 - 882422 - 882424 - 882425 - 882423 - 50294</t>
  </si>
  <si>
    <t>881040 - 50315 - 50313 - 881042 - 881039 - 881041</t>
  </si>
  <si>
    <t>50327 - 881237 - 881238 - 50326</t>
  </si>
  <si>
    <t>881248 - 881249 - 50332 - 881251 - 881250</t>
  </si>
  <si>
    <t>881256 - 881258 - 50337 - 881254 - 50335 - 50347 - 50338 - 50339 - 881257 - 881255</t>
  </si>
  <si>
    <t>881261 - 50336 - 50340 - 881260</t>
  </si>
  <si>
    <t>881265 - 1007706 - 50346 - 50344</t>
  </si>
  <si>
    <t>Xylaire polymorphe, Doigt de Satan, Doigt du mort</t>
  </si>
  <si>
    <t>50377 - 806647 - 50377</t>
  </si>
  <si>
    <t>50381 - 805157 - 804729 - 805162 - 805165 - 805154 - 805153 - 805151 - 805150 - 50381 - 805152 - 805155 - 806253 - 805158 - 805164 - 806256 - 806254 - 806257 - 805161 - 805148 - 806258 - 805156 - 805149 - 806252 - 805160 - 805163 - 805159 - 806255</t>
  </si>
  <si>
    <t>Arcyrie cendrée</t>
  </si>
  <si>
    <t>50388 - 50388</t>
  </si>
  <si>
    <t>805216 - 805216</t>
  </si>
  <si>
    <t>50409 - 50409</t>
  </si>
  <si>
    <t>50417 - 805235 - 805231 - 805230 - 805234 - 50419 - 50417 - 805233 - 806283 - 805232 - 805236 - 805237</t>
  </si>
  <si>
    <t>50421 - 50422 - 50423 - 805238 - 50421</t>
  </si>
  <si>
    <t>50435 - 806295 - 50435</t>
  </si>
  <si>
    <t>50442 - 50442</t>
  </si>
  <si>
    <t>50451 - 805257 - 50451 - 806304 - 806303 - 50452</t>
  </si>
  <si>
    <t>50491 - 50493 - 806335 - 806334 - 50491</t>
  </si>
  <si>
    <t>50513 - 50513</t>
  </si>
  <si>
    <t>50525 - 50525</t>
  </si>
  <si>
    <t>50530 - 50530 - 805325 - 806347 - 806349 - 805321 - 50531 - 806348 - 805324 - 805319 - 806351 - 805318 - 805320 - 806350 - 806346 - 805322 - 806353 - 806352 - 805323</t>
  </si>
  <si>
    <t>50534 - 50534</t>
  </si>
  <si>
    <t>50539 - 50539</t>
  </si>
  <si>
    <t>50567 - 50567</t>
  </si>
  <si>
    <t>Cribraire argilacée</t>
  </si>
  <si>
    <t>50584 - 50584</t>
  </si>
  <si>
    <t>Cribraire filiforme</t>
  </si>
  <si>
    <t>50585 - 806416 - 50585 - 50587</t>
  </si>
  <si>
    <t>50604 - 50604</t>
  </si>
  <si>
    <t>50625 - 50625</t>
  </si>
  <si>
    <t>50633 - 50633</t>
  </si>
  <si>
    <t>50636 - 50636</t>
  </si>
  <si>
    <t>50650 - 805480 - 805482 - 805471 - 805467 - 805465 - 806453 - 806451 - 805464 - 805470 - 805469 - 805474 - 805473 - 805478 - 805468 - 806454 - 805466 - 806452 - 805477 - 806450 - 805481 - 805476 - 805472 - 805479 - 50649 - 50650 - 805463 - 805475</t>
  </si>
  <si>
    <t>50664 - 50664</t>
  </si>
  <si>
    <t>50667 - 50667 - 976379 - 50668</t>
  </si>
  <si>
    <t>50673 - 50673</t>
  </si>
  <si>
    <t>50701 - 50701</t>
  </si>
  <si>
    <t>50707 - 806362 - 50707 - 805334 - 806363 - 805333</t>
  </si>
  <si>
    <t>50712 - 50712</t>
  </si>
  <si>
    <t>50713 - 50713 - 805336 - 805335 - 806366 - 805337 - 50715 - 806367</t>
  </si>
  <si>
    <t>50718 - 50718</t>
  </si>
  <si>
    <t>50721 - 50721</t>
  </si>
  <si>
    <t>50731 - 50731 - 976278</t>
  </si>
  <si>
    <t>50737 - 805548 - 805551 - 805552 - 804742 - 806491 - 805549 - 50737 - 805553 - 805550</t>
  </si>
  <si>
    <t>50741 - 50741</t>
  </si>
  <si>
    <t>50763 - 50763</t>
  </si>
  <si>
    <t>50803 - 50803</t>
  </si>
  <si>
    <t>34562 - 508186 - 34562 - 508184 - 34565 - 508182</t>
  </si>
  <si>
    <t>Naucorie couleur de miel</t>
  </si>
  <si>
    <t>50835 - 50835 - 50836 - 805651 - 805650</t>
  </si>
  <si>
    <t>806535 - 806535 - 806536</t>
  </si>
  <si>
    <t>50874 - 50874</t>
  </si>
  <si>
    <t>29384 - 29384 - 29386 - 508947 - 508948 - 29385 - 508946 - 508945 - 469177</t>
  </si>
  <si>
    <t>Bolet chauve</t>
  </si>
  <si>
    <t>508990 - 508989 - 508988 - 508990 - 29403 - 508987 - 508986</t>
  </si>
  <si>
    <t>Bolet dépoli</t>
  </si>
  <si>
    <t>509199 - 509199 - 469200</t>
  </si>
  <si>
    <t>Mousseron de printemps  à odeur forte</t>
  </si>
  <si>
    <t>805810 - 805805 - 805809 - 805801 - 805802 - 50972 - 805813 - 805807 - 805804 - 805800 - 806609 - 805808 - 805806 - 805803 - 50970 - 805811</t>
  </si>
  <si>
    <t>Lycogale des arbres</t>
  </si>
  <si>
    <t>509740 - 509741 - 509739 - 509736 - 974572 - 509737 - 31758 - 509738 - 509734 - 31759 - 509735 - 509740</t>
  </si>
  <si>
    <t>Clitocybe en entonnoir</t>
  </si>
  <si>
    <t>30585 - 509948 - 509945 - 509947 - 974571 - 509946 - 974570</t>
  </si>
  <si>
    <t>30588 - 469257 - 30587 - 509952 - 509950 - 509949 - 509951</t>
  </si>
  <si>
    <t>462459 - 462459 - 510026</t>
  </si>
  <si>
    <t>30673 - 510066 - 510070 - 510065 - 30605 - 510067 - 30603 - 469262 - 510069 - 968498 - 510064 - 510068 - 510063</t>
  </si>
  <si>
    <t>30658 - 30658 - 510089</t>
  </si>
  <si>
    <t>Collybie des neiges</t>
  </si>
  <si>
    <t>510194 - 510194 - 37224 - 37226</t>
  </si>
  <si>
    <t>Coprin noir d'encre pointu</t>
  </si>
  <si>
    <t>510197 - 510197 - 37232 - 37231</t>
  </si>
  <si>
    <t>Coprin des charbonnières</t>
  </si>
  <si>
    <t>510206 - 37235 - 37344 - 37296</t>
  </si>
  <si>
    <t>510208 - 510208 - 462464</t>
  </si>
  <si>
    <t>37238 - 37238</t>
  </si>
  <si>
    <t>Coprin bisporique</t>
  </si>
  <si>
    <t>37240 - 37239 - 510210</t>
  </si>
  <si>
    <t>37244 - 37245 - 510222 - 510217 - 510224 - 510221 - 510220 - 510219 - 510218 - 510225 - 37382 - 37244 - 37246 - 510223</t>
  </si>
  <si>
    <t>Coprin cendré</t>
  </si>
  <si>
    <t>510243 - 510243 - 37265 - 510241 - 510242 - 37264 - 37266</t>
  </si>
  <si>
    <t>Coprin grégaire, Coprin disséminé</t>
  </si>
  <si>
    <t>37399 - 510244 - 37399 - 510245</t>
  </si>
  <si>
    <t>Coprin domestique</t>
  </si>
  <si>
    <t>37268 - 37268 - 510246</t>
  </si>
  <si>
    <t>Coprin à spores échinulées</t>
  </si>
  <si>
    <t>510248 - 510248</t>
  </si>
  <si>
    <t>Coprin à fausse volve</t>
  </si>
  <si>
    <t>510253 - 469275 - 510252 - 510253 - 37274 - 510255 - 510254 - 469276 - 510251</t>
  </si>
  <si>
    <t>Coprin éphémère</t>
  </si>
  <si>
    <t>510264 - 510264 - 510263 - 37284</t>
  </si>
  <si>
    <t>Coprin à mèches concentriques</t>
  </si>
  <si>
    <t>510269 - 510269 - 37293</t>
  </si>
  <si>
    <t>Coprin mini-pie</t>
  </si>
  <si>
    <t>Coprin laineux des charbonnières</t>
  </si>
  <si>
    <t>510271 - 37298 - 510272</t>
  </si>
  <si>
    <t>37302 - 37302 - 510277</t>
  </si>
  <si>
    <t>Coprin à poils divers</t>
  </si>
  <si>
    <t>37303 - 37303 - 510279</t>
  </si>
  <si>
    <t>510282 - 510282 - 37306 - 510281 - 37304 - 510280</t>
  </si>
  <si>
    <t>510290 - 510290</t>
  </si>
  <si>
    <t>37321 - 37321 - 510304 - 510305</t>
  </si>
  <si>
    <t>510306 - 510306 - 972044 - 37322 - 469280 - 510307 - 972046 - 471778</t>
  </si>
  <si>
    <t>510311 - 510311 - 510310 - 37327</t>
  </si>
  <si>
    <t>Coprin micacé</t>
  </si>
  <si>
    <t>37295 - 37295 - 510314 - 510313</t>
  </si>
  <si>
    <t>Coprin à odeur de bitume</t>
  </si>
  <si>
    <t>37330 - 37330 - 510315 - 30027</t>
  </si>
  <si>
    <t>Coprin blanc de neige</t>
  </si>
  <si>
    <t>510319 - 510319 - 462391</t>
  </si>
  <si>
    <t>37341 - 510324 - 37341 - 510325</t>
  </si>
  <si>
    <t>Coprin pie, Coprin noir et blanc</t>
  </si>
  <si>
    <t>37343 - 510328 - 510329</t>
  </si>
  <si>
    <t>510332 - 510332 - 462436</t>
  </si>
  <si>
    <t>462437 - 469281 - 520999 - 462437 - 510334 - 510333</t>
  </si>
  <si>
    <t>Coprin faux niveus</t>
  </si>
  <si>
    <t>510338 - 510338 - 37347</t>
  </si>
  <si>
    <t>Coprin à feutre roux</t>
  </si>
  <si>
    <t>510341 - 510340 - 510341 - 37350</t>
  </si>
  <si>
    <t>37355 - 37356 - 37355 - 510343 - 510344</t>
  </si>
  <si>
    <t>Coprin squamuleux</t>
  </si>
  <si>
    <t>37361 - 37361 - 510345</t>
  </si>
  <si>
    <t>37367 - 510355 - 37367 - 510354</t>
  </si>
  <si>
    <t>37376 - 972049 - 37376 - 37378 - 510361</t>
  </si>
  <si>
    <t>Coprin des crottes</t>
  </si>
  <si>
    <t>510364 - 510364 - 462446 - 510367</t>
  </si>
  <si>
    <t>Coprin du peuplier</t>
  </si>
  <si>
    <t>510369 - 510369</t>
  </si>
  <si>
    <t>Coprin subdisséminé</t>
  </si>
  <si>
    <t>37385 - 978556 - 37385 - 510379 - 510381 - 510380 - 37386</t>
  </si>
  <si>
    <t>Coprin micacé à pied lisse</t>
  </si>
  <si>
    <t>37389 - 37389 - 510385</t>
  </si>
  <si>
    <t>Coprin des orties</t>
  </si>
  <si>
    <t>510391 - 510391 - 37396</t>
  </si>
  <si>
    <t>Coprin à spores verruqueuses</t>
  </si>
  <si>
    <t>510395 - 510395 - 37267 - 37398</t>
  </si>
  <si>
    <t>51310 - 520634 - 51311</t>
  </si>
  <si>
    <t>30729 - 513112 - 513108 - 30729 - 30731 - 513103 - 513106 - 30730 - 513111 - 513105 - 469709 - 30732 - 513107</t>
  </si>
  <si>
    <t>Mycène hirsute</t>
  </si>
  <si>
    <t>30326 - 513462 - 30326 - 30327 - 513463</t>
  </si>
  <si>
    <t>30416 - 513522 - 30419 - 513521 - 30416 - 30463</t>
  </si>
  <si>
    <t>Hygrophore limace</t>
  </si>
  <si>
    <t>513626 - 513626 - 42929 - 895538 - 42928 - 513628 - 42930 - 42931 - 513627</t>
  </si>
  <si>
    <t>43090 - 43090 - 514030 - 974636 - 514026 - 514025 - 514027 - 43092 - 43093 - 514024 - 514028 - 514029</t>
  </si>
  <si>
    <t>Polypore larmoyant, Inpneute du chêne</t>
  </si>
  <si>
    <t>514396 - 514396</t>
  </si>
  <si>
    <t>29565 - 29565</t>
  </si>
  <si>
    <t>Bolet de corse</t>
  </si>
  <si>
    <t>975474 - 514647 - 469905</t>
  </si>
  <si>
    <t>516630 - 516628 - 44964 - 516633 - 516634 - 516622 - 516632 - 516631 - 516626 - 516623 - 516629 - 44966 - 44965 - 465148 - 516624 - 516625 - 43969 - 516627</t>
  </si>
  <si>
    <t>516639 - 516642</t>
  </si>
  <si>
    <t>908311 - 516835 - 516847 - 37629</t>
  </si>
  <si>
    <t>517084 - 994958 - 517082 - 517079 - 517085 - 44064 - 517089 - 44065 - 517076 - 517075 - 44056 - 517078 - 517083 - 44063 - 517086 - 517088 - 994957 - 517077 - 517087 - 517080 - 44066 - 517081 - 517074</t>
  </si>
  <si>
    <t>517242 - 517245 - 517243 - 517246 - 517249 - 43553 - 43554 - 465193 - 517247 - 43551 - 517244 - 517250 - 517248</t>
  </si>
  <si>
    <t>517609 - 517611 - 517608 - 32635 - 973093 - 517606 - 517610 - 32636 - 517607 - 32637</t>
  </si>
  <si>
    <t>971664 - 30980 - 971665 - 519088 - 30982 - 971664 - 519089 - 463419</t>
  </si>
  <si>
    <t>Marasme crin de cheval</t>
  </si>
  <si>
    <t>519816 - 519817 - 519818 - 44882 - 519814 - 44883 - 519812 - 519815 - 44884 - 519813</t>
  </si>
  <si>
    <t>29788 - 470308 - 470307 - 29785 - 520742 - 29783 - 520743 - 472755</t>
  </si>
  <si>
    <t>29816 - 29814 - 29815 - 520774</t>
  </si>
  <si>
    <t>520779 - 29818 - 29817 - 29819 - 520776 - 520781 - 29820 - 520777 - 520780 - 520778 - 520775</t>
  </si>
  <si>
    <t>520783 - 463935 - 471642 - 438052 - 520784</t>
  </si>
  <si>
    <t>520993 - 520993</t>
  </si>
  <si>
    <t>520994 - 520994</t>
  </si>
  <si>
    <t>55513 - 839638 - 521464 - 664859 - 667611 - 664918</t>
  </si>
  <si>
    <t>521465 - 56004 - 55996 - 913214</t>
  </si>
  <si>
    <t>521468 - 58836 - 668233 - 953667 - 668236 - 668239 - 58837 - 668891 - 668235 - 521468 - 668234 - 668237</t>
  </si>
  <si>
    <t>58839 - 668983 - 58838 - 521469</t>
  </si>
  <si>
    <t>521473 - 667442 - 664970 - 664978 - 662968 - 667453 - 664990 - 667454 - 663536 - 664956 - 840535 - 668870 - 663156 - 664999 - 665030 - 521473 - 664035 - 59649 - 59645 - 660965</t>
  </si>
  <si>
    <t>663365 - 667887 - 542929 - 58526</t>
  </si>
  <si>
    <t>661010 - 840627 - 54943 - 661148 - 661177</t>
  </si>
  <si>
    <t>661154 - 661090 - 54969 - 665753 - 661175 - 661155 - 661003</t>
  </si>
  <si>
    <t>666780 - 664342 - 660921 - 55302 - 661156 - 664275 - 664215 - 55301 - 667743 - 664267</t>
  </si>
  <si>
    <t>662147 - 978108 - 664279 - 668465 - 662137 - 662140 - 661113 - 55303 - 55304</t>
  </si>
  <si>
    <t>55352 - 666225 - 662663 - 840564 - 667148</t>
  </si>
  <si>
    <t>55436 - 665441 - 665572 - 976814 - 55442 - 661014 - 976813 - 55441 - 665432 - 665575 - 976812</t>
  </si>
  <si>
    <t>664913 - 667496 - 664841 - 55524 - 667610 - 664853 - 55525 - 46134</t>
  </si>
  <si>
    <t>55526 - 667480 - 664387 - 55536</t>
  </si>
  <si>
    <t>664862 - 664900 - 667466 - 55548 - 667478 - 667486 - 664837 - 667467</t>
  </si>
  <si>
    <t>664835 - 667499 - 664855 - 664917 - 55549 - 666831 - 664908 - 666823</t>
  </si>
  <si>
    <t>977673 - 667468 - 977674 - 664912 - 55553 - 667504</t>
  </si>
  <si>
    <t>664159 - 662644 - 55764</t>
  </si>
  <si>
    <t>55858 - 55854 - 55859 - 978913 - 55856 - 978914 - 675614</t>
  </si>
  <si>
    <t>664145 - 661426 - 981024 - 662265 - 981025 - 667815 - 663501 - 981015 - 55918</t>
  </si>
  <si>
    <t>978904 - 667195 - 978899 - 664316 - 978902 - 664318 - 978905 - 56156 - 667779 - 55957 - 978901 - 664315 - 978903 - 666875 - 667780 - 55958 - 667776 - 666824 - 668745 - 664306 - 55959 - 978900</t>
  </si>
  <si>
    <t>55971 - 978375 - 55971</t>
  </si>
  <si>
    <t>978379 - 55977 - 978376 - 55979 - 55982 - 978380 - 55973 - 55972 - 55975 - 978377 - 978378</t>
  </si>
  <si>
    <t>55984 - 55984</t>
  </si>
  <si>
    <t>56064 - 665559 - 56066 - 56064 - 56086 - 665554 - 665558 - 667311</t>
  </si>
  <si>
    <t>56073 - 665041 - 977420 - 56083 - 977419 - 56074 - 977418 - 665553</t>
  </si>
  <si>
    <t>56099 - 661291 - 56128 - 56098 - 661292</t>
  </si>
  <si>
    <t>668758 - 668761 - 985483 - 56092 - 668757 - 661288 - 658634 - 56112 - 985481</t>
  </si>
  <si>
    <t>981493 - 664449 - 666247 - 981500 - 662130 - 662132 - 662128 - 668483 - 668482 - 981499 - 662134 - 981496 - 668885 - 668485 - 666989 - 981495 - 56355 - 981494</t>
  </si>
  <si>
    <t>661537 - 56626 - 840503 - 668120 - 668121 - 56613 - 56614</t>
  </si>
  <si>
    <t>Lichen pulmonaire</t>
  </si>
  <si>
    <t>983446 - 56646</t>
  </si>
  <si>
    <t>980919 - 662339 - 56658 - 662343 - 56656 - 980921 - 668353 - 662345 - 653228 - 980920 - 662350 - 662340 - 668352</t>
  </si>
  <si>
    <t>980928 - 662354 - 56663 - 980927 - 668347</t>
  </si>
  <si>
    <t>56671 - 666314 - 668915 - 668914</t>
  </si>
  <si>
    <t>668346 - 668348 - 56675 - 668341 - 56674 - 662349 - 56676 - 980937 - 668344 - 653153</t>
  </si>
  <si>
    <t>668345 - 666311 - 56678 - 668342 - 980938</t>
  </si>
  <si>
    <t>668343 - 953669 - 56681</t>
  </si>
  <si>
    <t>56683 - 980916 - 1002588 - 980918 - 662351 - 662347 - 662338 - 56684 - 668930 - 666313</t>
  </si>
  <si>
    <t>56692 - 668888 - 662688 - 56693 - 668157 - 662687</t>
  </si>
  <si>
    <t>56696 - 668163 - 980777 - 668160 - 668158 - 662686</t>
  </si>
  <si>
    <t>663584 - 661058 - 56709 - 56708 - 663239 - 665145 - 663464 - 661352 - 665109</t>
  </si>
  <si>
    <t>57264 - 56998 - 56865 - 57032 - 56861 - 953510 - 675619 - 56856 - 953511 - 56862 - 845699</t>
  </si>
  <si>
    <t>56910 - 57048 - 665789 - 665179 - 979223 - 664698 - 668041 - 979222</t>
  </si>
  <si>
    <t>57212 - 663460 - 663923 - 981773</t>
  </si>
  <si>
    <t>57246 - 57246</t>
  </si>
  <si>
    <t>840808 - 57565</t>
  </si>
  <si>
    <t>663544 - 57571 - 661846 - 668555 - 668554 - 668567 - 668553 - 666995 - 661835</t>
  </si>
  <si>
    <t>57638 - 666848 - 57638</t>
  </si>
  <si>
    <t>57658 - 667616 - 664548 - 978415 - 664532 - 57658 - 665962 - 667688 - 665960</t>
  </si>
  <si>
    <t>57660 - 57660</t>
  </si>
  <si>
    <t>57664 - 664550 - 667615 - 978341 - 665971 - 57663</t>
  </si>
  <si>
    <t>57665 - 978326</t>
  </si>
  <si>
    <t>978329 - 57671</t>
  </si>
  <si>
    <t>57672 - 668951 - 664554 - 668953 - 57673 - 665967 - 668949 - 668952 - 664538 - 978404 - 665963 - 57672 - 978407 - 664517 - 978406 - 978410 - 978405 - 978409 - 668950 - 978408</t>
  </si>
  <si>
    <t>Cladonie prétentieuse</t>
  </si>
  <si>
    <t>57677 - 57677</t>
  </si>
  <si>
    <t>667643 - 57680 - 664558 - 978400 - 978399 - 978402 - 667644 - 978403 - 667646</t>
  </si>
  <si>
    <t>57683 - 57683</t>
  </si>
  <si>
    <t>57689 - 57689 - 840549</t>
  </si>
  <si>
    <t>57694 - 839666 - 57694</t>
  </si>
  <si>
    <t>57701 - 668923 - 57701 - 664567 - 954168</t>
  </si>
  <si>
    <t>57717 - 978417 - 57717</t>
  </si>
  <si>
    <t>57747 - 664544 - 792129 - 978332 - 664557</t>
  </si>
  <si>
    <t>667641 - 667641 - 668900 - 57767 - 667664 - 667663</t>
  </si>
  <si>
    <t>57768 - 57769 - 667637 - 667629 - 667662 - 667636 - 664533 - 57768 - 57770 - 907925</t>
  </si>
  <si>
    <t>57790 - 57788</t>
  </si>
  <si>
    <t>978337 - 57791</t>
  </si>
  <si>
    <t>57797 - 667677 - 978411 - 978412 - 978414 - 667683 - 664562 - 668947 - 667681 - 57797 - 57798 - 664551 - 978413</t>
  </si>
  <si>
    <t>57801 - 840548 - 667684 - 667679 - 57801 - 667682 - 667678 - 667680</t>
  </si>
  <si>
    <t>664522 - 57803 - 978343 - 978344 - 664523</t>
  </si>
  <si>
    <t>57810 - 668926 - 664559 - 978358 - 667711 - 978357 - 57810 - 978356 - 668913 - 667638 - 667639 - 978362 - 664571 - 668927 - 664560 - 668928 - 667715 - 978361 - 978359 - 667642</t>
  </si>
  <si>
    <t>57815 - 57813 - 57815 - 978432</t>
  </si>
  <si>
    <t>979631 - 57969 - 666162 - 57917</t>
  </si>
  <si>
    <t>953636 - 980963 - 58214</t>
  </si>
  <si>
    <t>980991 - 662018 - 58230 - 662269 - 58231</t>
  </si>
  <si>
    <t>668380 - 668936 - 662322 - 668377 - 58289 - 668381 - 668362 - 58299 - 662296 - 668363</t>
  </si>
  <si>
    <t>985868 - 58335</t>
  </si>
  <si>
    <t>667244 - 58406 - 667361 - 663929 - 841262 - 663899 - 665362 - 663840</t>
  </si>
  <si>
    <t>58430 - 977136 - 977134 - 977135 - 58430 - 58452</t>
  </si>
  <si>
    <t>58502 - 58502</t>
  </si>
  <si>
    <t>58503 - 668917 - 663962 - 668916 - 667877 - 979719 - 979716 - 979717 - 58503 - 979718 - 663859</t>
  </si>
  <si>
    <t>58605 - 58605 - 58544 - 979778 - 979779 - 58533 - 979780</t>
  </si>
  <si>
    <t>58623 - 58623</t>
  </si>
  <si>
    <t>58679 - 58680 - 981671 - 981670 - 58678 - 58682 - 981674 - 58683 - 981672 - 58681</t>
  </si>
  <si>
    <t>663908 - 983529 - 983534 - 663809 - 663909 - 58695 - 983535 - 667190 - 58693 - 668830 - 983536 - 58694</t>
  </si>
  <si>
    <t>663944 - 983525 - 667906 - 661591 - 983528 - 983526 - 983527 - 983524 - 58699 - 668691 - 667907 - 58700 - 668694 - 58697 - 661961</t>
  </si>
  <si>
    <t>58805 - 668292 - 58805 - 668291 - 913203 - 58806 - 668293</t>
  </si>
  <si>
    <t>58810 - 58810 - 58811 - 668879 - 667840 - 668294</t>
  </si>
  <si>
    <t>58844 - 985102 - 668244 - 58840 - 58842 - 662377</t>
  </si>
  <si>
    <t>668305 - 58888 - 668306 - 662384 - 968701</t>
  </si>
  <si>
    <t>668320 - 58890 - 58889 - 662402</t>
  </si>
  <si>
    <t>953630 - 59011 - 58829 - 59009 - 59010</t>
  </si>
  <si>
    <t>59040 - 59040 - 978180</t>
  </si>
  <si>
    <t>664606 - 664592 - 665704 - 666363 - 59042</t>
  </si>
  <si>
    <t>59053 - 59053 - 59056 - 59054 - 59055 - 979167 - 979166</t>
  </si>
  <si>
    <t>59059 - 59059</t>
  </si>
  <si>
    <t>59098 - 59095 - 59096 - 59097 - 59094 - 59093 - 59092 - 953668</t>
  </si>
  <si>
    <t>59157 - 59156 - 59152 - 953666 - 59154 - 59159 - 59158 - 59151 - 59150 - 59155 - 59153 - 59160</t>
  </si>
  <si>
    <t>662150 - 662206 - 662214 - 59179</t>
  </si>
  <si>
    <t>666003 - 662918 - 926873 - 59239 - 59238 - 665046</t>
  </si>
  <si>
    <t>59312 - 664749 - 979201 - 59314 - 979200 - 979198 - 667052 - 979199 - 664182 - 663898</t>
  </si>
  <si>
    <t>667535 - 59357 - 977748 - 663718 - 59356 - 977747 - 667043 - 977743</t>
  </si>
  <si>
    <t>666022 - 59244 - 666997 - 59451 - 979895 - 663575 - 662916 - 979894</t>
  </si>
  <si>
    <t>666028 - 59455</t>
  </si>
  <si>
    <t>664507 - 927089 - 59464 - 664380 - 664508</t>
  </si>
  <si>
    <t>59510 - 977706 - 59510 - 977705 - 667511 - 59511 - 666689 - 977704 - 56369</t>
  </si>
  <si>
    <t>953642 - 667051 - 977791 - 59516</t>
  </si>
  <si>
    <t>667062 - 978032 - 667239 - 664810 - 978038 - 664797 - 59539 - 667560 - 666651 - 978036 - 978034 - 978035 - 978033</t>
  </si>
  <si>
    <t>59568 - 953657</t>
  </si>
  <si>
    <t>Lichen encroûtant jaune, Parmélie des murailles</t>
  </si>
  <si>
    <t>59822 - 663890 - 59695</t>
  </si>
  <si>
    <t>59709 - 675611 - 59721 - 59732 - 840555 - 59713 - 59708 - 59722 - 59724</t>
  </si>
  <si>
    <t>59906 - 981388 - 981390 - 662192 - 981381 - 59905</t>
  </si>
  <si>
    <t>59908 - 981395 - 59907 - 698705 - 981393 - 59909</t>
  </si>
  <si>
    <t>59911 - 662154</t>
  </si>
  <si>
    <t>59979 - 981401</t>
  </si>
  <si>
    <t>653231 - 663251 - 978452 - 666996 - 978450 - 57235 - 667396 - 978451 - 653232</t>
  </si>
  <si>
    <t>58919 - 58921 - 653909</t>
  </si>
  <si>
    <t>461792 - 512745 - 33415 - 32082 - 32081 - 512747 - 512746 - 461792 - 32090 - 653911</t>
  </si>
  <si>
    <t>653165 - 667685 - 57799 - 978397 - 653165 - 654003</t>
  </si>
  <si>
    <t>658538 - 667204 - 667132</t>
  </si>
  <si>
    <t>660945 - 658597 - 661194 - 661218 - 55062</t>
  </si>
  <si>
    <t>661321 - 56127 - 658640 - 56125 - 668766 - 56123 - 661257 - 661318 - 56122</t>
  </si>
  <si>
    <t>658645 - 661628 - 667100</t>
  </si>
  <si>
    <t>666499 - 667008 - 663612 - 661060 - 663391 - 658676 - 983805 - 665805 - 663576 - 661376 - 983816 - 661965 - 661975 - 666497 - 661403 - 983814 - 661383 - 661399 - 661404 - 661366</t>
  </si>
  <si>
    <t>57475 - 666493 - 663178 - 661367 - 667201 - 658679 - 57471 - 665790 - 666664</t>
  </si>
  <si>
    <t>667172 - 658892 - 667200 - 666980</t>
  </si>
  <si>
    <t>57223 - 667130 - 663067 - 661969 - 663202 - 661963 - 658900 - 662715</t>
  </si>
  <si>
    <t>668538 - 59148 - 668541 - 59127 - 668543 - 661868 - 661877 - 668539 - 668540 - 953661 - 658984 - 59145</t>
  </si>
  <si>
    <t>662426 - 58928 - 668251 - 662458 - 662473 - 661942 - 659007 - 662390 - 668252</t>
  </si>
  <si>
    <t>662397 - 668240 - 668254 - 668232 - 981790 - 659011 - 981792 - 661943</t>
  </si>
  <si>
    <t>663605 - 59287 - 59288 - 659019 - 668826 - 668827</t>
  </si>
  <si>
    <t>666495 - 663571 - 666503 - 666500 - 661382 - 981653 - 57499 - 661355 - 661362 - 661397 - 666494 - 659049 - 981649</t>
  </si>
  <si>
    <t>55315 - 659129 - 664710 - 667746 - 664358 - 664217 - 664211 - 664261 - 55314 - 664260 - 664359</t>
  </si>
  <si>
    <t>59863 - 59864 - 668416 - 668412 - 981373 - 668452 - 668451 - 668409 - 59870 - 981372 - 659151 - 668411 - 59869 - 668410 - 59866 - 981367 - 668414 - 59865 - 981374 - 668413</t>
  </si>
  <si>
    <t>662239 - 662286 - 668882 - 667247 - 662238 - 659168 - 58337</t>
  </si>
  <si>
    <t>58286 - 662299 - 666841 - 58287 - 668378 - 58282 - 662297 - 668361 - 668379 - 659201</t>
  </si>
  <si>
    <t>662047 - 667278 - 856742 - 879927 - 659217 - 666067 - 668955 - 55390 - 666911 - 879620 - 666556 - 666091</t>
  </si>
  <si>
    <t>662335 - 659225 - 980922 - 980923 - 662334 - 980925 - 662337 - 980924 - 662346 - 56673</t>
  </si>
  <si>
    <t>58869 - 907930 - 662357 - 58867 - 662496 - 659233 - 668931 - 58868 - 668846 - 668290 - 668287 - 662470 - 662356</t>
  </si>
  <si>
    <t>662489 - 662447 - 662493 - 668256 - 58863 - 662466 - 659236</t>
  </si>
  <si>
    <t>668314 - 668323 - 659237 - 58937 - 668313</t>
  </si>
  <si>
    <t>662317 - 659287 - 662270 - 662654</t>
  </si>
  <si>
    <t>663492 - 659357 - 663117 - 663471 - 663055 - 663974 - 668022</t>
  </si>
  <si>
    <t>58978 - 58977 - 659403 - 662487</t>
  </si>
  <si>
    <t>668262 - 662436 - 662448 - 58966 - 659406 - 58965 - 662419 - 662449 - 668259 - 668260 - 58964 - 668942</t>
  </si>
  <si>
    <t>878174 - 666999 - 664099 - 878173 - 58560 - 58758 - 667253 - 980351 - 662298 - 659416 - 663727</t>
  </si>
  <si>
    <t>979896 - 666023 - 662924 - 659517</t>
  </si>
  <si>
    <t>59241 - 666828 - 666257 - 666834 - 668102 - 667731 - 668267 - 666258 - 661956 - 667733 - 666650 - 668822 - 667234 - 668238 - 666019 - 667730 - 667732 - 59242 - 659519 - 666029 - 667729 - 666777 - 666260</t>
  </si>
  <si>
    <t>659697 - 659697</t>
  </si>
  <si>
    <t>659738 - 666769 - 659738</t>
  </si>
  <si>
    <t>659825 - 659825</t>
  </si>
  <si>
    <t>659839 - 659839 - 664192</t>
  </si>
  <si>
    <t>659877 - 659877</t>
  </si>
  <si>
    <t>659896 - 667753 - 666818 - 667393 - 57636</t>
  </si>
  <si>
    <t>978489 - 978488 - 978486 - 978487 - 662892 - 56399 - 659952</t>
  </si>
  <si>
    <t>57731 - 667673 - 843944 - 57737 - 667676 - 57736 - 57740 - 659977 - 667671 - 667675 - 667668 - 667667 - 667666 - 667665 - 57743 - 667669 - 664574 - 57730 - 667670 - 57742 - 57729 - 57738 - 667674 - 667672 - 57739 - 57734 - 57741</t>
  </si>
  <si>
    <t>659985 - 57804 - 664568</t>
  </si>
  <si>
    <t>978053 - 665924 - 978052 - 59442 - 660082 - 978051 - 665930</t>
  </si>
  <si>
    <t>663963 - 660124 - 59371 - 978040</t>
  </si>
  <si>
    <t>660131 - 660131</t>
  </si>
  <si>
    <t>664971 - 667425 - 660174 - 663426 - 667439 - 664964 - 59672 - 663091</t>
  </si>
  <si>
    <t>660179 - 660179</t>
  </si>
  <si>
    <t>660231 - 661212 - 660949 - 660231 - 661065 - 661153 - 661221</t>
  </si>
  <si>
    <t>660232 - 665744 - 660232 - 54928 - 665755 - 661244 - 977335</t>
  </si>
  <si>
    <t>660236 - 54961 - 665747 - 666369 - 668779 - 666370 - 660236</t>
  </si>
  <si>
    <t>660257 - 660257</t>
  </si>
  <si>
    <t>665525 - 660375 - 668857 - 839574 - 55669 - 666714</t>
  </si>
  <si>
    <t>976939 - 667314 - 667318 - 59971 - 660397 - 662156 - 976941 - 976935 - 667315 - 668421 - 976944 - 662483</t>
  </si>
  <si>
    <t>660955 - 55152 - 933396 - 660410 - 662097 - 662101</t>
  </si>
  <si>
    <t>58938 - 660465</t>
  </si>
  <si>
    <t>660474 - 978752</t>
  </si>
  <si>
    <t>666816 - 660486</t>
  </si>
  <si>
    <t>954896 - 59294 - 660489</t>
  </si>
  <si>
    <t>56036 - 954164 - 56028 - 660505 - 56037</t>
  </si>
  <si>
    <t>660509 - 660509 - 58547</t>
  </si>
  <si>
    <t>660515 - 58648 - 58647 - 980269 - 58390 - 58646 - 58396</t>
  </si>
  <si>
    <t>660972 - 661501 - 660971 - 660528</t>
  </si>
  <si>
    <t>660538 - 660538 - 662563 - 664160 - 55754</t>
  </si>
  <si>
    <t>660540 - 55760 - 667812 - 664158 - 664164 - 662649 - 907958 - 664157 - 55755 - 660540 - 55757 - 664167 - 662566 - 667807 - 664163 - 664162 - 662616</t>
  </si>
  <si>
    <t>660601 - 667656 - 55981 - 55980</t>
  </si>
  <si>
    <t>665964 - 57674 - 660604</t>
  </si>
  <si>
    <t>978183 - 59041 - 660645</t>
  </si>
  <si>
    <t>668297 - 662480 - 58942 - 58941 - 662488 - 660654</t>
  </si>
  <si>
    <t>59161 - 662152 - 59165 - 668447 - 660680 - 1003512 - 662175 - 668445 - 1003511 - 668443 - 1003513</t>
  </si>
  <si>
    <t>55320 - 978759 - 55332 - 55331 - 978754 - 978755 - 978757 - 660704 - 978758</t>
  </si>
  <si>
    <t>664789 - 667071 - 667255 - 666649 - 668468 - 660717 - 59512</t>
  </si>
  <si>
    <t>716767 - 716767</t>
  </si>
  <si>
    <t>786121 - 786121</t>
  </si>
  <si>
    <t>803901 - 803901 - 872501 - 872500 - 872499 - 872502</t>
  </si>
  <si>
    <t>874522 - 874522</t>
  </si>
  <si>
    <t>805490 - 804596 - 978826</t>
  </si>
  <si>
    <t>804604 - 804604</t>
  </si>
  <si>
    <t>804611 - 804611</t>
  </si>
  <si>
    <t>804616 - 805593 - 806508 - 804616 - 806507 - 805592</t>
  </si>
  <si>
    <t>804617 - 804617</t>
  </si>
  <si>
    <t>804625 - 804625 - 806573</t>
  </si>
  <si>
    <t>804631 - 804631</t>
  </si>
  <si>
    <t>50860 - 50860</t>
  </si>
  <si>
    <t>50817 - 50817</t>
  </si>
  <si>
    <t>Fleur de tan variété blanche</t>
  </si>
  <si>
    <t>806852 - 806852</t>
  </si>
  <si>
    <t>Amanite fauvâtre</t>
  </si>
  <si>
    <t>8089 - 513365 - 513364 - 8089</t>
  </si>
  <si>
    <t xml:space="preserve">Hydrope à pied scabre. </t>
  </si>
  <si>
    <t>809566 - 809566</t>
  </si>
  <si>
    <t>814216 - 43846 - 516432 - 43845 - 516440 - 516433 - 43844 - 976543 - 516436 - 465268 - 516437 - 516438 - 516434 - 516439 - 516435 - 516431</t>
  </si>
  <si>
    <t>Polypore à marge dorée</t>
  </si>
  <si>
    <t>837412 - 837412</t>
  </si>
  <si>
    <t>Daldinie de Child</t>
  </si>
  <si>
    <t>840423 - 840423</t>
  </si>
  <si>
    <t>852881 - 852880</t>
  </si>
  <si>
    <t>854182 - 854182</t>
  </si>
  <si>
    <t>854287 - 854287</t>
  </si>
  <si>
    <t>854298 - 854298</t>
  </si>
  <si>
    <t>854302 - 854302</t>
  </si>
  <si>
    <t>854307 - 854307</t>
  </si>
  <si>
    <t>854313 - 854313</t>
  </si>
  <si>
    <t>854316 - 854316</t>
  </si>
  <si>
    <t>854317 - 854317</t>
  </si>
  <si>
    <t>854323 - 854323</t>
  </si>
  <si>
    <t>854324 - 854324</t>
  </si>
  <si>
    <t>854329 - 854329</t>
  </si>
  <si>
    <t>854331 - 854331</t>
  </si>
  <si>
    <t>854341 - 854341</t>
  </si>
  <si>
    <t>854349 - 854349</t>
  </si>
  <si>
    <t>48119 - 48119 - 854379</t>
  </si>
  <si>
    <t>Hypoxylon méditerranéen</t>
  </si>
  <si>
    <t>854392 - 872263 - 872265 - 854392 - 872264 - 46775 - 46774 - 46773</t>
  </si>
  <si>
    <t>854396 - 854396 - 48296</t>
  </si>
  <si>
    <t>854409 - 854409</t>
  </si>
  <si>
    <t>854416 - 854416</t>
  </si>
  <si>
    <t>854480 - 854480 - 872726 - 872727 - 45775</t>
  </si>
  <si>
    <t>872731 - 872731</t>
  </si>
  <si>
    <t>854543 - 854543</t>
  </si>
  <si>
    <t>854549 - 854549</t>
  </si>
  <si>
    <t>854568 - 854568</t>
  </si>
  <si>
    <t>854587 - 854587</t>
  </si>
  <si>
    <t>854617 - 854617</t>
  </si>
  <si>
    <t>854619 - 854619</t>
  </si>
  <si>
    <t>854620 - 854620</t>
  </si>
  <si>
    <t>854624 - 854624</t>
  </si>
  <si>
    <t>854625 - 854625</t>
  </si>
  <si>
    <t>854661 - 854661</t>
  </si>
  <si>
    <t>854757 - 854757 - 874173 - 874174 - 883195</t>
  </si>
  <si>
    <t>854812 - 854812</t>
  </si>
  <si>
    <t>854906 - 854906</t>
  </si>
  <si>
    <t>854947 - 854947</t>
  </si>
  <si>
    <t>854968 - 854968</t>
  </si>
  <si>
    <t>855076 - 855076</t>
  </si>
  <si>
    <t>855126 - 855126</t>
  </si>
  <si>
    <t>883328 - 855232</t>
  </si>
  <si>
    <t>48500 - 875007 - 875006 - 875008 - 48499 - 855234 - 875005 - 875004</t>
  </si>
  <si>
    <t>855240 - 48098 - 874965 - 875029 - 875028 - 875025 - 804324 - 48099 - 875026 - 875027 - 883325 - 855240 - 875031 - 875030</t>
  </si>
  <si>
    <t>Ustuline brûlée</t>
  </si>
  <si>
    <t>855393 - 855393</t>
  </si>
  <si>
    <t>855395 - 855395</t>
  </si>
  <si>
    <t>855396 - 855396</t>
  </si>
  <si>
    <t>855398 - 855398</t>
  </si>
  <si>
    <t>855402 - 855402</t>
  </si>
  <si>
    <t>855431 - 855431</t>
  </si>
  <si>
    <t>855435 - 855435</t>
  </si>
  <si>
    <t>855440 - 855440 - 969701</t>
  </si>
  <si>
    <t>855443 - 855443</t>
  </si>
  <si>
    <t>855448 - 855448</t>
  </si>
  <si>
    <t>48307 - 48307 - 875472 - 46855 - 875470 - 875469 - 875471 - 979589 - 875468 - 855450</t>
  </si>
  <si>
    <t>48107 - 883830 - 875546 - 48107 - 875545 - 855453</t>
  </si>
  <si>
    <t>Hypoxylon du frêne</t>
  </si>
  <si>
    <t>855461 - 855461 - 883693</t>
  </si>
  <si>
    <t>Hypoxylon de Pétrini</t>
  </si>
  <si>
    <t>855462 - 855462</t>
  </si>
  <si>
    <t>Hypoxylon porphyre</t>
  </si>
  <si>
    <t>855466 - 855466</t>
  </si>
  <si>
    <t>855467 - 855467</t>
  </si>
  <si>
    <t>Hypoxylon des Vosges</t>
  </si>
  <si>
    <t>855478 - 855478</t>
  </si>
  <si>
    <t>47954 - 855482 - 47955 - 875685 - 875687 - 47957 - 875686 - 875683 - 875684</t>
  </si>
  <si>
    <t>855485 - 875693 - 49722 - 855485 - 49721 - 49720</t>
  </si>
  <si>
    <t>855530 - 855530</t>
  </si>
  <si>
    <t>855554 - 855554</t>
  </si>
  <si>
    <t>855563 - 855563</t>
  </si>
  <si>
    <t>855581 - 855581</t>
  </si>
  <si>
    <t>855595 - 855595</t>
  </si>
  <si>
    <t>876261 - 876261</t>
  </si>
  <si>
    <t>855602 - 855602</t>
  </si>
  <si>
    <t>855610 - 855610 - 876361</t>
  </si>
  <si>
    <t>855611 - 855611</t>
  </si>
  <si>
    <t>855612 - 876364 - 855612</t>
  </si>
  <si>
    <t>855622 - 855622</t>
  </si>
  <si>
    <t>876377 - 855623</t>
  </si>
  <si>
    <t>876380 - 876382 - 855625 - 876380 - 876379 - 876381</t>
  </si>
  <si>
    <t>855640 - 855640</t>
  </si>
  <si>
    <t>855663 - 876514 - 876515 - 855663 - 876513</t>
  </si>
  <si>
    <t>855689 - 855689</t>
  </si>
  <si>
    <t>Hypomyces de Lithuanie</t>
  </si>
  <si>
    <t>855690 - 855690</t>
  </si>
  <si>
    <t>855695 - 855695</t>
  </si>
  <si>
    <t>855712 - 855712</t>
  </si>
  <si>
    <t>855719 - 855719</t>
  </si>
  <si>
    <t>855732 - 855732</t>
  </si>
  <si>
    <t>855735 - 855735</t>
  </si>
  <si>
    <t>876772 - 876775 - 876776 - 876772 - 876774 - 876773 - 855742</t>
  </si>
  <si>
    <t>855748 - 855748</t>
  </si>
  <si>
    <t>47406 - 876789 - 47421 - 876791 - 876793 - 47406 - 876790 - 47420 - 876796 - 876795 - 855750 - 883392 - 876797 - 876794 - 876792 - 47405</t>
  </si>
  <si>
    <t>876733 - 876733</t>
  </si>
  <si>
    <t>855757 - 855757</t>
  </si>
  <si>
    <t>855762 - 855762</t>
  </si>
  <si>
    <t>855834 - 877453 - 855834 - 877452 - 877454 - 877448 - 877455 - 877446 - 877451 - 877449 - 877447 - 877450</t>
  </si>
  <si>
    <t>855837 - 855837</t>
  </si>
  <si>
    <t>855852 - 855852</t>
  </si>
  <si>
    <t>855855 - 855855</t>
  </si>
  <si>
    <t>47987 - 855857 - 47988 - 47985 - 47986</t>
  </si>
  <si>
    <t>855870 - 855870</t>
  </si>
  <si>
    <t xml:space="preserve">Géoglosse glabre </t>
  </si>
  <si>
    <t>855875 - 855875 - 877597</t>
  </si>
  <si>
    <t>Géoglosse des sphaignes</t>
  </si>
  <si>
    <t>855878 - 855878</t>
  </si>
  <si>
    <t>855879 - 855879</t>
  </si>
  <si>
    <t>855882 - 877654 - 855882 - 877655 - 979493</t>
  </si>
  <si>
    <t>877656 - 855883 - 877657 - 49358</t>
  </si>
  <si>
    <t>855886 - 855886</t>
  </si>
  <si>
    <t>855891 - 855891</t>
  </si>
  <si>
    <t>855914 - 855914</t>
  </si>
  <si>
    <t>855916 - 855916</t>
  </si>
  <si>
    <t>878098 - 878097 - 856090 - 878093 - 878100 - 878095 - 878096 - 878099 - 878094 - 49513</t>
  </si>
  <si>
    <t>Pézize des Vosges</t>
  </si>
  <si>
    <t>49364 - 878272 - 878274 - 878275 - 878205 - 878273 - 49365 - 856177</t>
  </si>
  <si>
    <t>856232 - 878291</t>
  </si>
  <si>
    <t>856425 - 49728 - 49727 - 878618 - 49726 - 878620 - 878617 - 878619 - 878621</t>
  </si>
  <si>
    <t>856428 - 49743 - 49745 - 49744</t>
  </si>
  <si>
    <t>880027 - 880027</t>
  </si>
  <si>
    <t>880313 - 880313</t>
  </si>
  <si>
    <t>Pézize élégante</t>
  </si>
  <si>
    <t>883229 - 880932 - 46822 - 880929 - 880930 - 880931 - 48286 - 880933 - 46824 - 880928 - 880934 - 857202 - 880927 - 880935</t>
  </si>
  <si>
    <t>45506 - 881004 - 881006 - 45505 - 881008 - 881002 - 881007 - 881005 - 857214 - 881003</t>
  </si>
  <si>
    <t>881028 - 857217 - 50140 - 881027</t>
  </si>
  <si>
    <t>985848 - 857338 - 881972 - 881974 - 881970 - 881973 - 881971</t>
  </si>
  <si>
    <t>881976 - 881976</t>
  </si>
  <si>
    <t>882064 - 857385 - 882066 - 882065</t>
  </si>
  <si>
    <t>47399 - 882268 - 982749 - 857447 - 47399 - 882267</t>
  </si>
  <si>
    <t>859859 - 859859</t>
  </si>
  <si>
    <t>859860 - 859860</t>
  </si>
  <si>
    <t>859861 - 859861</t>
  </si>
  <si>
    <t>859869 - 859869</t>
  </si>
  <si>
    <t>859875 - 859875 - 871729</t>
  </si>
  <si>
    <t>859892 - 859892</t>
  </si>
  <si>
    <t>859898 - 859898</t>
  </si>
  <si>
    <t>859903 - 859903</t>
  </si>
  <si>
    <t>859905 - 859905</t>
  </si>
  <si>
    <t>859910 - 859910</t>
  </si>
  <si>
    <t>859912 - 859912</t>
  </si>
  <si>
    <t>872100 - 872100</t>
  </si>
  <si>
    <t>860006 - 860006</t>
  </si>
  <si>
    <t>860026 - 860026</t>
  </si>
  <si>
    <t>860028 - 860028 - 872397 - 872249</t>
  </si>
  <si>
    <t>860065 - 860065</t>
  </si>
  <si>
    <t>860084 - 860084</t>
  </si>
  <si>
    <t>860091 - 872700 - 860091 - 46742 - 46743 - 872699 - 46744</t>
  </si>
  <si>
    <t>860092 - 860092</t>
  </si>
  <si>
    <t>860096 - 860096</t>
  </si>
  <si>
    <t>860121 - 860121</t>
  </si>
  <si>
    <t>860122 - 860122</t>
  </si>
  <si>
    <t>860125 - 860125</t>
  </si>
  <si>
    <t>860132 - 860132</t>
  </si>
  <si>
    <t>860156 - 860156</t>
  </si>
  <si>
    <t>872931 - 872931 - 860180</t>
  </si>
  <si>
    <t>872937 - 872937 - 860181</t>
  </si>
  <si>
    <t>46361 - 46361 - 872955 - 872953 - 872949 - 46360 - 872956 - 872951 - 872952 - 46362 - 872954 - 860190 - 872950</t>
  </si>
  <si>
    <t>860210 - 860210 - 872990 - 46441 - 872991 - 872989 - 46440 - 872987 - 46438 - 46439 - 872988</t>
  </si>
  <si>
    <t>860231 - 860231</t>
  </si>
  <si>
    <t>982888 - 873095 - 873098 - 873094 - 873096 - 49715 - 873100 - 873099 - 982889 - 49712 - 860232 - 982887 - 873097</t>
  </si>
  <si>
    <t>860278 - 860278</t>
  </si>
  <si>
    <t>860289 - 860289</t>
  </si>
  <si>
    <t>860323 - 883304 - 874299 - 874298 - 874297 - 860323 - 874300 - 47402 - 972380 - 874296</t>
  </si>
  <si>
    <t>860328 - 860328</t>
  </si>
  <si>
    <t>860336 - 860336</t>
  </si>
  <si>
    <t>874802 - 46193 - 874805 - 874801 - 874806 - 874800 - 874803 - 874814 - 46192 - 874804 - 860376 - 874813</t>
  </si>
  <si>
    <t>874815 - 48496 - 883317 - 860377 - 883131</t>
  </si>
  <si>
    <t>860461 - 860461</t>
  </si>
  <si>
    <t>Pézize robuste</t>
  </si>
  <si>
    <t>860462 - 860462</t>
  </si>
  <si>
    <t>45321 - 875535 - 875536 - 875537 - 883347 - 860523 - 875542 - 875541 - 875621 - 875538 - 45321 - 875539 - 875543 - 875622 - 875540</t>
  </si>
  <si>
    <t>860539 - 860539</t>
  </si>
  <si>
    <t>48353 - 48353</t>
  </si>
  <si>
    <t>860583 - 860583</t>
  </si>
  <si>
    <t>860614 - 860614</t>
  </si>
  <si>
    <t>860615 - 860615</t>
  </si>
  <si>
    <t>860624 - 860624</t>
  </si>
  <si>
    <t>860626 - 860626</t>
  </si>
  <si>
    <t>860627 - 860627</t>
  </si>
  <si>
    <t>860629 - 860629</t>
  </si>
  <si>
    <t>860630 - 860630</t>
  </si>
  <si>
    <t>860631 - 860631</t>
  </si>
  <si>
    <t>860640 - 860640</t>
  </si>
  <si>
    <t>860651 - 860651</t>
  </si>
  <si>
    <t>Helvelle blanchâtre</t>
  </si>
  <si>
    <t>876195 - 876195 - 876189 - 860657</t>
  </si>
  <si>
    <t>Helvelle poilue</t>
  </si>
  <si>
    <t>860662 - 860662</t>
  </si>
  <si>
    <t>860663 - 860663</t>
  </si>
  <si>
    <t>860664 - 860664</t>
  </si>
  <si>
    <t>860668 - 860668</t>
  </si>
  <si>
    <t>Helvelle en mitre, Bonnet de capelan, Petite religieuse, Nonnette</t>
  </si>
  <si>
    <t>860672 - 860672</t>
  </si>
  <si>
    <t>Helvelle en selle</t>
  </si>
  <si>
    <t>860693 - 873177 - 883389 - 873178 - 883655 - 883689 - 860693 - 865842 - 876737</t>
  </si>
  <si>
    <t>860698 - 860698</t>
  </si>
  <si>
    <t>876952 - 876952 - 860715</t>
  </si>
  <si>
    <t>47113 - 47113</t>
  </si>
  <si>
    <t>860755 - 860755</t>
  </si>
  <si>
    <t>Gyromitre en bouclier</t>
  </si>
  <si>
    <t>860770 - 860770</t>
  </si>
  <si>
    <t>860798 - 860798</t>
  </si>
  <si>
    <t>860800 - 860800 - 877423</t>
  </si>
  <si>
    <t>860817 - 860817</t>
  </si>
  <si>
    <t>860830 - 860830</t>
  </si>
  <si>
    <t>860833 - 860833</t>
  </si>
  <si>
    <t>860834 - 860834</t>
  </si>
  <si>
    <t>Pézize fétide</t>
  </si>
  <si>
    <t>860835 - 860835</t>
  </si>
  <si>
    <t>877909 - 877836 - 877904 - 883426 - 877828 - 877922 - 877835 - 877827 - 877914 - 49473 - 877840 - 49469 - 49470 - 877910 - 877916 - 877832 - 877839 - 1002608 - 877912 - 877842 - 877830 - 877906 - 877905 - 877829 - 877826 - 877908 - 49471 - 975803 - 877831 - 877825 - 860885 - 877913 - 877838 - 877841 - 877917 - 877834 - 877901 - 877902 - 877903 - 867515 - 877915 - 877833 - 877837 - 877907 - 877911</t>
  </si>
  <si>
    <t>879693 - 879691 - 879692 - 861272</t>
  </si>
  <si>
    <t>48705 - 861293</t>
  </si>
  <si>
    <t>861342 - 880830 - 50138 - 880831 - 50137 - 50139 - 50136</t>
  </si>
  <si>
    <t>861376 - 861376</t>
  </si>
  <si>
    <t>50132 - 880987 - 48206 - 48204 - 50131 - 880989 - 880988 - 50133 - 861377</t>
  </si>
  <si>
    <t>868262 - 881089 - 50166 - 881150 - 861413 - 50223 - 50167 - 881091 - 881151 - 881090</t>
  </si>
  <si>
    <t>Truffe d'été, Truffe de Bourgogne</t>
  </si>
  <si>
    <t>881311 - 881308 - 881309 - 881310 - 861462</t>
  </si>
  <si>
    <t>881315 - 881315</t>
  </si>
  <si>
    <t>861468 - 861468 - 881319</t>
  </si>
  <si>
    <t>48191 - 882643 - 882645 - 882644 - 861807 - 48192</t>
  </si>
  <si>
    <t>882789 - 882790 - 861834 - 49782 - 882791 - 983294</t>
  </si>
  <si>
    <t>862240 - 862240</t>
  </si>
  <si>
    <t>862241 - 862241</t>
  </si>
  <si>
    <t>862244 - 862244</t>
  </si>
  <si>
    <t>872242 - 872242</t>
  </si>
  <si>
    <t>862265 - 862265</t>
  </si>
  <si>
    <t>862267 - 872285 - 862267</t>
  </si>
  <si>
    <t>862268 - 862268</t>
  </si>
  <si>
    <t>862273 - 862273</t>
  </si>
  <si>
    <t>862371 - 862371</t>
  </si>
  <si>
    <t>862372 - 862372</t>
  </si>
  <si>
    <t>862389 - 862389</t>
  </si>
  <si>
    <t>873346 - 873346 - 862394 - 873347 - 873345 - 873343 - 873350 - 873344 - 873348 - 873349 - 48772</t>
  </si>
  <si>
    <t>862396 - 48775 - 873353 - 873354</t>
  </si>
  <si>
    <t>862413 - 862413</t>
  </si>
  <si>
    <t>46708 - 46708 - 862415 - 46709</t>
  </si>
  <si>
    <t>Daldinie vernissée</t>
  </si>
  <si>
    <t>862426 - 873915 - 862426</t>
  </si>
  <si>
    <t>862440 - 862440</t>
  </si>
  <si>
    <t>862457 - 862457</t>
  </si>
  <si>
    <t>862459 - 862459</t>
  </si>
  <si>
    <t>874374 - 874374 - 874377 - 874375 - 874378 - 862472 - 874376</t>
  </si>
  <si>
    <t>47329 - 874630 - 862498 - 880956 - 883312 - 47329 - 874629 - 874627 - 1003534 - 874628</t>
  </si>
  <si>
    <t>875564 - 875561 - 875562 - 862520 - 48135 - 875563</t>
  </si>
  <si>
    <t>862532 - 862532</t>
  </si>
  <si>
    <t>862533 - 875775 - 862533 - 875654</t>
  </si>
  <si>
    <t>876557 - 876557</t>
  </si>
  <si>
    <t>862573 - 862573</t>
  </si>
  <si>
    <t>862589 - 862589</t>
  </si>
  <si>
    <t>862636 - 862636</t>
  </si>
  <si>
    <t>862661 - 862661</t>
  </si>
  <si>
    <t>862662 - 862662</t>
  </si>
  <si>
    <t>Truffe réticulée</t>
  </si>
  <si>
    <t>862667 - 862667</t>
  </si>
  <si>
    <t>804067 - 804067</t>
  </si>
  <si>
    <t>Hypocrée pâle</t>
  </si>
  <si>
    <t>48770 - 880478 - 880480 - 880479 - 862788</t>
  </si>
  <si>
    <t>880838 - 880838</t>
  </si>
  <si>
    <t>48084 - 48084</t>
  </si>
  <si>
    <t>882392 - 882392</t>
  </si>
  <si>
    <t>47606 - 882412 - 862982 - 47606</t>
  </si>
  <si>
    <t>877407 - 877407</t>
  </si>
  <si>
    <t>865464 - 865464</t>
  </si>
  <si>
    <t>865470 - 865470</t>
  </si>
  <si>
    <t>865535 - 865535</t>
  </si>
  <si>
    <t>865543 - 865543</t>
  </si>
  <si>
    <t>865586 - 865586</t>
  </si>
  <si>
    <t>905067 - 905067</t>
  </si>
  <si>
    <t>865627 - 865627</t>
  </si>
  <si>
    <t>45712 - 45712</t>
  </si>
  <si>
    <t>865665 - 865665</t>
  </si>
  <si>
    <t>865717 - 865717</t>
  </si>
  <si>
    <t>865746 - 865746</t>
  </si>
  <si>
    <t>865888 - 865888</t>
  </si>
  <si>
    <t>865984 - 865984</t>
  </si>
  <si>
    <t>866024 - 866024</t>
  </si>
  <si>
    <t>881178 - 881178</t>
  </si>
  <si>
    <t>46111 - 46111</t>
  </si>
  <si>
    <t>875924 - 875924</t>
  </si>
  <si>
    <t>866153 - 866153</t>
  </si>
  <si>
    <t>866160 - 866160</t>
  </si>
  <si>
    <t>866163 - 866163</t>
  </si>
  <si>
    <t>866164 - 866164</t>
  </si>
  <si>
    <t>866165 - 866165</t>
  </si>
  <si>
    <t>876594 - 876594</t>
  </si>
  <si>
    <t>866213 - 866213</t>
  </si>
  <si>
    <t>866246 - 866246</t>
  </si>
  <si>
    <t>48395 - 48395 - 877326 - 866263 - 877328 - 877327</t>
  </si>
  <si>
    <t>866271 - 866271</t>
  </si>
  <si>
    <t>867330 - 867330</t>
  </si>
  <si>
    <t>883265 - 883265</t>
  </si>
  <si>
    <t>880279 - 880279 - 880281</t>
  </si>
  <si>
    <t>883153 - 883153</t>
  </si>
  <si>
    <t>883010 - 49455 - 866886 - 883065 - 883009</t>
  </si>
  <si>
    <t>867092 - 867092</t>
  </si>
  <si>
    <t>867105 - 867105</t>
  </si>
  <si>
    <t>867145 - 867145</t>
  </si>
  <si>
    <t>881124 - 881124</t>
  </si>
  <si>
    <t>46628 - 46628</t>
  </si>
  <si>
    <t>882639 - 882638 - 882641 - 882640 - 867195</t>
  </si>
  <si>
    <t>867355 - 867355</t>
  </si>
  <si>
    <t>867371 - 867371</t>
  </si>
  <si>
    <t>867378 - 867378 - 913189</t>
  </si>
  <si>
    <t>46542 - 46542</t>
  </si>
  <si>
    <t>48102 - 48102</t>
  </si>
  <si>
    <t>Hypoxylon rouillé variété ferrugineuse</t>
  </si>
  <si>
    <t>867671 - 867671</t>
  </si>
  <si>
    <t>876690 - 867741 - 876689</t>
  </si>
  <si>
    <t>876693 - 876693</t>
  </si>
  <si>
    <t>876697 - 876697 - 867743</t>
  </si>
  <si>
    <t>876702 - 876701</t>
  </si>
  <si>
    <t>876703 - 876703</t>
  </si>
  <si>
    <t>876707 - 876707 - 876709</t>
  </si>
  <si>
    <t>867760 - 867760 - 876806 - 876807</t>
  </si>
  <si>
    <t>867823 - 867823</t>
  </si>
  <si>
    <t>867865 - 867865</t>
  </si>
  <si>
    <t>867880 - 867880</t>
  </si>
  <si>
    <t>867903 - 867903</t>
  </si>
  <si>
    <t>47571 - 47571</t>
  </si>
  <si>
    <t>878801 - 878801</t>
  </si>
  <si>
    <t>905974 - 905081 - 868057</t>
  </si>
  <si>
    <t>48377 - 48377</t>
  </si>
  <si>
    <t>46741 - 880961 - 46740 - 868242 - 46739</t>
  </si>
  <si>
    <t>868505 - 882287</t>
  </si>
  <si>
    <t>868587 - 882555</t>
  </si>
  <si>
    <t>868716 - 868716</t>
  </si>
  <si>
    <t>868717 - 868717</t>
  </si>
  <si>
    <t>868719 - 868719</t>
  </si>
  <si>
    <t>868728 - 868728</t>
  </si>
  <si>
    <t>868745 - 868745</t>
  </si>
  <si>
    <t>868757 - 868757</t>
  </si>
  <si>
    <t>876809 - 876809 - 876810 - 883393</t>
  </si>
  <si>
    <t>876700 - 876700</t>
  </si>
  <si>
    <t>868942 - 868828 - 876696</t>
  </si>
  <si>
    <t>868885 - 868885</t>
  </si>
  <si>
    <t>876320 - 876320</t>
  </si>
  <si>
    <t>Helvelle blanche et noire</t>
  </si>
  <si>
    <t>875556 - 869039 - 875557 - 875556</t>
  </si>
  <si>
    <t>874404 - 874404</t>
  </si>
  <si>
    <t>Pézize veinée variété réticulée</t>
  </si>
  <si>
    <t>869387 - 869387</t>
  </si>
  <si>
    <t>878021 - 878021</t>
  </si>
  <si>
    <t>872703 - 872703 - 872701</t>
  </si>
  <si>
    <t>869613 - 869613</t>
  </si>
  <si>
    <t>883126 - 883126 - 48032</t>
  </si>
  <si>
    <t>869741 - 869741</t>
  </si>
  <si>
    <t>870897 - 870897 - 883086</t>
  </si>
  <si>
    <t>870901 - 870901</t>
  </si>
  <si>
    <t>870947 - 870947 - 877392</t>
  </si>
  <si>
    <t>870948 - 877394 - 877396 - 883413 - 46490 - 877395 - 870948 - 979624 - 979625 - 877397 - 46489 - 877393</t>
  </si>
  <si>
    <t>Cordyceps langue de serpent</t>
  </si>
  <si>
    <t>872017 - 872017</t>
  </si>
  <si>
    <t>873772 - 873772 - 45481</t>
  </si>
  <si>
    <t>46915 - 46915</t>
  </si>
  <si>
    <t>46960 - 46960</t>
  </si>
  <si>
    <t>874450 - 874450</t>
  </si>
  <si>
    <t>860382 - 874913 - 874912 - 874914 - 860456 - 980470 - 883692</t>
  </si>
  <si>
    <t>Oïdium du chêne, Blanc du chêne</t>
  </si>
  <si>
    <t>874915 - 874915</t>
  </si>
  <si>
    <t>875175 - 875175</t>
  </si>
  <si>
    <t>875210 - 875210</t>
  </si>
  <si>
    <t>Pézize en calice</t>
  </si>
  <si>
    <t>876079 - 876079</t>
  </si>
  <si>
    <t>47594 - 47594 - 876293</t>
  </si>
  <si>
    <t>855642 - 855642</t>
  </si>
  <si>
    <t>876811 - 876811</t>
  </si>
  <si>
    <t>878846 - 878844 - 878847 - 878842 - 878774 - 878848 - 878843 - 878850 - 878849 - 49094 - 878845</t>
  </si>
  <si>
    <t>880631 - 880631</t>
  </si>
  <si>
    <t>854641 - 854641</t>
  </si>
  <si>
    <t>883091 - 883091</t>
  </si>
  <si>
    <t>883094 - 879371 - 879370 - 879367 - 883094 - 868705 - 879368 - 879369</t>
  </si>
  <si>
    <t>883722 - 883722 - 883725 - 883726 - 883727</t>
  </si>
  <si>
    <t>883829 - 48113 - 883829</t>
  </si>
  <si>
    <t>41429 - 41430 - 41431 - 508533 - 41429 - 895743 - 897147</t>
  </si>
  <si>
    <t>516479 - 37623 - 516477 - 37622 - 900326 - 516478 - 900328 - 37624</t>
  </si>
  <si>
    <t>516487 - 37638 - 900334 - 516486 - 900339 - 900337 - 900336 - 516484 - 37636 - 900335 - 469986 - 516485 - 37635 - 900338</t>
  </si>
  <si>
    <t>Polypore robuste, Phellin robuste</t>
  </si>
  <si>
    <t>462278 - 509573 - 509574 - 509572 - 508588 - 508585 - 462278 - 509571 - 900973</t>
  </si>
  <si>
    <t>37989 - 38087 - 508054 - 508056 - 508004 - 1010986 - 38082 - 469074 - 38088 - 1010989 - 37989 - 1010990 - 1010985 - 993951 - 508003 - 469080 - 508002 - 507969 - 508001 - 508055 - 38080 - 1010991 - 38086 - 37991 - 38084 - 1010984 - 901371 - 1010988</t>
  </si>
  <si>
    <t>Psalliote des bois,  Agaric des forêts, Psalliote des forêts</t>
  </si>
  <si>
    <t>901563 - 901563 - 510173 - 510175 - 36851 - 462484 - 36880 - 510174</t>
  </si>
  <si>
    <t>901574 - 510250 - 37272 - 901574 - 510249 - 37271 - 37273 - 974113</t>
  </si>
  <si>
    <t>Coprin faux éphémère</t>
  </si>
  <si>
    <t>462399 - 462399 - 510299 - 469279 - 510298 - 469278 - 901577</t>
  </si>
  <si>
    <t>Coprin pied-de-lièvre</t>
  </si>
  <si>
    <t>44334 - 44330 - 518924 - 901833 - 518921 - 44331 - 518923 - 518922 - 44333</t>
  </si>
  <si>
    <t>43353 - 513613 - 43353 - 43354 - 513617 - 43352 - 513618 - 43350 - 513615 - 513609 - 513611 - 43351 - 513610 - 513614 - 901854 - 513616 - 513612</t>
  </si>
  <si>
    <t>903134 - 903134</t>
  </si>
  <si>
    <t>905050 - 905050</t>
  </si>
  <si>
    <t>905051 - 905051</t>
  </si>
  <si>
    <t>905052 - 905052</t>
  </si>
  <si>
    <t>905053 - 905053</t>
  </si>
  <si>
    <t>905055 - 905055</t>
  </si>
  <si>
    <t>905056 - 905056</t>
  </si>
  <si>
    <t>905057 - 905057</t>
  </si>
  <si>
    <t>905058 - 905058</t>
  </si>
  <si>
    <t>905059 - 905059</t>
  </si>
  <si>
    <t>905066 - 905066</t>
  </si>
  <si>
    <t>905068 - 905068</t>
  </si>
  <si>
    <t>905076 - 905076</t>
  </si>
  <si>
    <t>905079 - 905079</t>
  </si>
  <si>
    <t>905092 - 905092</t>
  </si>
  <si>
    <t>905112 - 905112 - 905984</t>
  </si>
  <si>
    <t>905195 - 905195</t>
  </si>
  <si>
    <t>905204 - 905204</t>
  </si>
  <si>
    <t>Amanite du bouleau</t>
  </si>
  <si>
    <t>905205 - 905205</t>
  </si>
  <si>
    <t>905232 - 905232</t>
  </si>
  <si>
    <t>905241 - 905241</t>
  </si>
  <si>
    <t>905250 - 905250</t>
  </si>
  <si>
    <t>905254 - 905254</t>
  </si>
  <si>
    <t>905267 - 905267</t>
  </si>
  <si>
    <t>Polypore annelé des épicéas.</t>
  </si>
  <si>
    <t>905270 - 905270</t>
  </si>
  <si>
    <t>905271 - 905271</t>
  </si>
  <si>
    <t>Hydne ombiliqué</t>
  </si>
  <si>
    <t>906030 - 905361</t>
  </si>
  <si>
    <t>905363 - 905363</t>
  </si>
  <si>
    <t>905366 - 905366</t>
  </si>
  <si>
    <t>905367 - 905367</t>
  </si>
  <si>
    <t>905370 - 905370</t>
  </si>
  <si>
    <t>905372 - 905372</t>
  </si>
  <si>
    <t>905375 - 905375</t>
  </si>
  <si>
    <t>905385 - 905385</t>
  </si>
  <si>
    <t>905386 - 905386</t>
  </si>
  <si>
    <t>905403 - 905403</t>
  </si>
  <si>
    <t>905407 - 905407</t>
  </si>
  <si>
    <t>905408 - 905408</t>
  </si>
  <si>
    <t>906053 - 906053 - 905438</t>
  </si>
  <si>
    <t>663692 - 663815 - 667079 - 667251 - 55998 - 55999 - 667066 - 913215</t>
  </si>
  <si>
    <t>58324 - 58321 - 913229 - 58316 - 58322 - 913231</t>
  </si>
  <si>
    <t>917504 - 917504</t>
  </si>
  <si>
    <t>917505 - 917505</t>
  </si>
  <si>
    <t>44273 - 44272 - 518878 - 518880 - 518877 - 518876 - 518881 - 518879 - 917883</t>
  </si>
  <si>
    <t>855797 - 855797</t>
  </si>
  <si>
    <t>921257 - 921257</t>
  </si>
  <si>
    <t>860131 - 860131</t>
  </si>
  <si>
    <t>926172 - 926172 - 30056</t>
  </si>
  <si>
    <t>972055 - 972055</t>
  </si>
  <si>
    <t>926220 - 926220 - 877595 - 47507 - 47506 - 47516</t>
  </si>
  <si>
    <t>Géoglosse glutineux</t>
  </si>
  <si>
    <t>31947 - 31947 - 926249</t>
  </si>
  <si>
    <t>33150 - 519555 - 519557 - 33148 - 33155 - 931191 - 33149 - 519556</t>
  </si>
  <si>
    <t>937002 - 937002</t>
  </si>
  <si>
    <t>942438 - 29476 - 509041 - 509040 - 509042 - 29413</t>
  </si>
  <si>
    <t>Bolet satan, Cèpe du diable, Bolet diabolique</t>
  </si>
  <si>
    <t>945071 - 945071 - 34573</t>
  </si>
  <si>
    <t>Alnicole inondable</t>
  </si>
  <si>
    <t>945100 - 945100</t>
  </si>
  <si>
    <t>Inocybe laineux</t>
  </si>
  <si>
    <t>945104 - 945104</t>
  </si>
  <si>
    <t>56384 - 56384 - 664446 - 953526 - 664477 - 664475 - 664419 - 664489 - 664467 - 664426 - 953524 - 660710 - 660547 - 667710</t>
  </si>
  <si>
    <t>664461 - 660708 - 664445 - 664501 - 664468 - 667718 - 954263 - 667716 - 664457</t>
  </si>
  <si>
    <t>954276 - 954277 - 659954 - 664452 - 56370 - 954276</t>
  </si>
  <si>
    <t>954898 - 668195 - 662577 - 55792 - 662601 - 662586 - 662630 - 662648 - 662600</t>
  </si>
  <si>
    <t>662907 - 954991 - 668107 - 662871 - 56511 - 662888 - 661346 - 662872 - 668864 - 664496</t>
  </si>
  <si>
    <t>664439 - 56519 - 955017 - 955014</t>
  </si>
  <si>
    <t>961047 - 961047</t>
  </si>
  <si>
    <t>Maladie des taches blanches</t>
  </si>
  <si>
    <t>517110 - 517109 - 517117 - 517114 - 521016 - 517105 - 465265 - 517108 - 517115 - 517104 - 44104 - 517103 - 966674 - 517119 - 517095 - 517107 - 517112 - 966675 - 517113 - 517098 - 517101 - 517106 - 517111 - 910098 - 517116 - 517102 - 470018 - 517120 - 517100 - 973145 - 44103 - 517118</t>
  </si>
  <si>
    <t>Polypore variable</t>
  </si>
  <si>
    <t>967801 - 967801</t>
  </si>
  <si>
    <t>967805 - 967805</t>
  </si>
  <si>
    <t>967881 - 29826 - 29823 - 509010 - 469189 - 509011 - 509012 - 967881 - 29825 - 509009 - 967880</t>
  </si>
  <si>
    <t>Bolet pulvérulent</t>
  </si>
  <si>
    <t>469190 - 509013 - 509017 - 29460 - 509019 - 29458 - 509014 - 469190 - 509015 - 29457 - 29459 - 967886 - 509018 - 509016 - 29450</t>
  </si>
  <si>
    <t>508976 - 29393 - 508975 - 29456 - 508976 - 29454 - 508977 - 967888 - 29453 - 508974</t>
  </si>
  <si>
    <t>Bolet à pied rouge variété discolore</t>
  </si>
  <si>
    <t>469182 - 29408 - 469182 - 29406 - 508969 - 508979 - 469180 - 508968 - 967890 - 508970 - 508973 - 508980 - 508971 - 29392 - 508978</t>
  </si>
  <si>
    <t>508972 - 967895</t>
  </si>
  <si>
    <t>967900 - 508949 - 508950 - 29387</t>
  </si>
  <si>
    <t>Bolet de dupain</t>
  </si>
  <si>
    <t>29414 - 508992 - 29412 - 29411 - 967901 - 508991 - 508993</t>
  </si>
  <si>
    <t>Bolet chicorée</t>
  </si>
  <si>
    <t>29473 - 29415 - 29417 - 29475 - 968004 - 509032 - 29474 - 509033 - 509034</t>
  </si>
  <si>
    <t>509037 - 968007 - 509038 - 968009 - 29487 - 509035 - 509036</t>
  </si>
  <si>
    <t>Bolet rouge sang</t>
  </si>
  <si>
    <t>469183 - 509000 - 508998 - 508996 - 471648 - 508995 - 508994 - 29420 - 968047 - 471649 - 469184 - 508997 - 29419 - 469183 - 29418 - 508999</t>
  </si>
  <si>
    <t>Bolet blafard</t>
  </si>
  <si>
    <t>469185 - 968060 - 469185</t>
  </si>
  <si>
    <t>968063 - 469186</t>
  </si>
  <si>
    <t>968156 - 520768 - 29801 - 29803 - 29806 - 520767 - 29804 - 968156 - 29805 - 29802</t>
  </si>
  <si>
    <t>Bolet couleur de lion</t>
  </si>
  <si>
    <t>968158 - 968158 - 29492 - 508939 - 508940</t>
  </si>
  <si>
    <t>Bolet appendiculé</t>
  </si>
  <si>
    <t>29396 - 29396 - 508981 - 968166</t>
  </si>
  <si>
    <t>Bolet pâle</t>
  </si>
  <si>
    <t>29443 - 29444 - 29443 - 509007 - 968167</t>
  </si>
  <si>
    <t>Bolet faux royal</t>
  </si>
  <si>
    <t>968170 - 469191 - 469192 - 968170 - 29465 - 29466 - 509030 - 471652</t>
  </si>
  <si>
    <t>Cèpe royal</t>
  </si>
  <si>
    <t>968171 - 509046 - 968171 - 29491</t>
  </si>
  <si>
    <t>Bolet des sapins</t>
  </si>
  <si>
    <t>968436 - 968436</t>
  </si>
  <si>
    <t>860169 - 860169</t>
  </si>
  <si>
    <t>968487 - 968487</t>
  </si>
  <si>
    <t>Clavaire tenace</t>
  </si>
  <si>
    <t>968494 - 968494</t>
  </si>
  <si>
    <t>968523 - 968523</t>
  </si>
  <si>
    <t>968803 - 968803</t>
  </si>
  <si>
    <t>968816 - 968816</t>
  </si>
  <si>
    <t>968820 - 968820</t>
  </si>
  <si>
    <t>969036 - 969036</t>
  </si>
  <si>
    <t>969054 - 969054</t>
  </si>
  <si>
    <t>969070 - 969070</t>
  </si>
  <si>
    <t>462340 - 969238 - 30220 - 462340 - 30221</t>
  </si>
  <si>
    <t>Camarophyllopsis à pied jaune</t>
  </si>
  <si>
    <t>969243 - 969243</t>
  </si>
  <si>
    <t>Pleurote reniforme</t>
  </si>
  <si>
    <t>969621 - 969621</t>
  </si>
  <si>
    <t>Hygrophore couleur de lièvre</t>
  </si>
  <si>
    <t>969629 - 969629</t>
  </si>
  <si>
    <t>876450 - 855639 - 49459 - 876449 - 969655</t>
  </si>
  <si>
    <t>969704 - 969704</t>
  </si>
  <si>
    <t>969707 - 969707</t>
  </si>
  <si>
    <t>Inocybe brunâtre</t>
  </si>
  <si>
    <t>Lactaire à lait abondant ou Vachotte</t>
  </si>
  <si>
    <t>42984 - 513656 - 970231 - 42986 - 970233 - 513658</t>
  </si>
  <si>
    <t>39186 - 39201 - 39202 - 39199 - 514918 - 514920 - 514922 - 514921 - 514916 - 514919 - 514923 - 514924 - 971138 - 39187 - 514915 - 514917 - 514925 - 514914</t>
  </si>
  <si>
    <t>971168 - 29774 - 29773 - 472753 - 520734 - 520735 - 520733 - 470306</t>
  </si>
  <si>
    <t>971178 - 469176 - 508942 - 29378 - 508941 - 29379 - 971178 - 469175 - 29377</t>
  </si>
  <si>
    <t>Bolet à beau pied</t>
  </si>
  <si>
    <t>971716 - 509026 - 509023 - 509028 - 509025 - 29463 - 509020 - 29430 - 971716 - 509022 - 29461 - 509021 - 971180 - 509024 - 509027</t>
  </si>
  <si>
    <t>Bolet radicant</t>
  </si>
  <si>
    <t>469194 - 29472 - 469196 - 29470 - 971198 - 469193 - 29468 - 509031 - 469195 - 469194</t>
  </si>
  <si>
    <t>Bolet vieux rose</t>
  </si>
  <si>
    <t>971200 - 509047 - 29495</t>
  </si>
  <si>
    <t>971206 - 29780 - 520736 - 971206 - 520738 - 520737 - 29779 - 520740 - 520739</t>
  </si>
  <si>
    <t>Bolet bai</t>
  </si>
  <si>
    <t>971423 - 29828 - 29830 - 520786 - 29827 - 520787 - 971423 - 520788 - 520790 - 520789</t>
  </si>
  <si>
    <t>32861 - 32863 - 32860 - 971476</t>
  </si>
  <si>
    <t>971482 - 37824 - 971481 - 971482 - 37821 - 517473 - 37822</t>
  </si>
  <si>
    <t xml:space="preserve">Psathyrelle brun de date </t>
  </si>
  <si>
    <t>972007 - 972010 - 30878 - 509685 - 972011 - 31725 - 31726 - 509687 - 509686 - 509688 - 31727</t>
  </si>
  <si>
    <t>Clitocybe blanc</t>
  </si>
  <si>
    <t>518378 - 518377 - 32909 - 31835 - 972026 - 32905 - 32911 - 32901 - 518383 - 518384 - 518379 - 32904 - 518382 - 518381 - 518386 - 518385 - 972016 - 518375 - 470060 - 1002597 - 972012 - 32912</t>
  </si>
  <si>
    <t>972034 - 517416 - 972039 - 470026 - 37572 - 517417 - 37570 - 37571 - 470027 - 37569 - 517414 - 517415 - 972041 - 972034</t>
  </si>
  <si>
    <t>470017 - 517062 - 517065 - 44058 - 517067 - 973094 - 517063 - 517061 - 517059 - 517066 - 44057 - 517060 - 973095 - 517064 - 973097 - 973096</t>
  </si>
  <si>
    <t>973132 - 515649 - 515648 - 40565 - 515647 - 973134 - 464452</t>
  </si>
  <si>
    <t>Vesse de loup en poire</t>
  </si>
  <si>
    <t>515191 - 973179 - 30976 - 469933 - 30978 - 515192</t>
  </si>
  <si>
    <t>469885 - 29592 - 973596 - 514407 - 514402 - 514405 - 514404 - 514406 - 514408 - 29555 - 514401 - 514409 - 29556 - 29557 - 973593 - 514403 - 29558 - 469885 - 29559</t>
  </si>
  <si>
    <t>Bolet rude des charmes</t>
  </si>
  <si>
    <t>31784 - 509753 - 509755 - 469240 - 471705 - 509752 - 31784 - 509757 - 973625 - 509756 - 509754</t>
  </si>
  <si>
    <t>Clitocybe à odeur de poisson</t>
  </si>
  <si>
    <t>34418 - 34418 - 510547 - 510548 - 469329</t>
  </si>
  <si>
    <t>463231 - 973643 - 973642 - 463231 - 510545 - 34396 - 510546</t>
  </si>
  <si>
    <t>Cortinaire à belles couleurs</t>
  </si>
  <si>
    <t>974178 - 37471 - 37469 - 974174 - 517371 - 974180 - 517370 - 517372 - 37470 - 517367 - 517369 - 517368 - 974171</t>
  </si>
  <si>
    <t>513490 - 513491 - 32173 - 974553</t>
  </si>
  <si>
    <t>974629 - 36473 - 513951 - 513893 - 36472 - 36273 - 36474</t>
  </si>
  <si>
    <t>Inocybe de Patouillard, Inocybe de Printemps</t>
  </si>
  <si>
    <t>515125 - 515126 - 974777 - 515127 - 515128 - 515129 - 469930 - 515124</t>
  </si>
  <si>
    <t>41026 - 518263 - 975192 - 41027 - 41025 - 518262 - 518261 - 518265 - 518264</t>
  </si>
  <si>
    <t>Clavaire palmée des conifères</t>
  </si>
  <si>
    <t>41077 - 975194 - 41080</t>
  </si>
  <si>
    <t>37216 - 519322 - 519323 - 37215 - 519324 - 470237 - 470236 - 32627 - 905718 - 975276 - 37217</t>
  </si>
  <si>
    <t>47577 - 47577 - 975495 - 876037</t>
  </si>
  <si>
    <t>32566 - 32566 - 516779</t>
  </si>
  <si>
    <t>Pholiote à pied strié</t>
  </si>
  <si>
    <t>43343 - 975778 - 975777 - 43341 - 43342 - 520291 - 43340 - 520289 - 464172 - 520290 - 520292 - 975776</t>
  </si>
  <si>
    <t>30853 - 462284 - 975888 - 30853 - 975889</t>
  </si>
  <si>
    <t>Clitocybe plombé</t>
  </si>
  <si>
    <t>31956 - 509852 - 509853 - 975897</t>
  </si>
  <si>
    <t>36998 - 513734 - 513735 - 975982 - 37000 - 36999 - 513733 - 36998</t>
  </si>
  <si>
    <t>Hypholome mouillé</t>
  </si>
  <si>
    <t>50630 - 50630</t>
  </si>
  <si>
    <t>32390 - 515030 - 32392 - 32391 - 515029 - 464280 - 976498 - 515032 - 515031</t>
  </si>
  <si>
    <t>976530 - 31418 - 31419 - 31420</t>
  </si>
  <si>
    <t>519560 - 976628 - 519558 - 29310 - 519559 - 33152</t>
  </si>
  <si>
    <t>520829 - 31611 - 977000 - 31610 - 31613 - 520830</t>
  </si>
  <si>
    <t>Mucicule radicante</t>
  </si>
  <si>
    <t>58428 - 667365 - 663875 - 660638 - 58428 - 977138 - 668217 - 665382 - 977139 - 667354 - 667893 - 667355 - 977140</t>
  </si>
  <si>
    <t>469328 - 469328</t>
  </si>
  <si>
    <t>660809 - 660728 - 660839 - 978044 - 59378 - 978042 - 667518 - 667513 - 660829</t>
  </si>
  <si>
    <t>854647 - 854647</t>
  </si>
  <si>
    <t>46598 - 46598</t>
  </si>
  <si>
    <t>Gyromitre géant</t>
  </si>
  <si>
    <t>47444 - 47444</t>
  </si>
  <si>
    <t>874949 - 661784 - 874946 - 874943 - 869170 - 874947 - 874944 - 874942 - 874092 - 979570 - 979569 - 874941 - 874940 - 874945 - 979571 - 874948 - 874950</t>
  </si>
  <si>
    <t>875936 - 875936</t>
  </si>
  <si>
    <t>49974 - 883509 - 880615 - 880613 - 880618 - 49977 - 880612 - 880616 - 880620 - 980504 - 880621 - 49975 - 49976 - 880614 - 880619 - 880617 - 880622</t>
  </si>
  <si>
    <t>513413 - 30190 - 30189 - 983019 - 30188</t>
  </si>
  <si>
    <t>970803 - 970803</t>
  </si>
  <si>
    <t>879325 - 879328 - 985964 - 879321 - 879322 - 879323 - 985966 - 879413 - 49552 - 883470 - 49553 - 879326 - 879327 - 879331 - 879330 - 879329 - 879324</t>
  </si>
  <si>
    <t>880120 - 880120</t>
  </si>
  <si>
    <t>854668 - 854668</t>
  </si>
  <si>
    <t>509244 - 509241 - 30514 - 509247 - 30516 - 509246 - 509244 - 509243 - 509242 - 509245 - 30515 - 30517 - 988720 - 462682</t>
  </si>
  <si>
    <t>Hygrophore ponctué de noir</t>
  </si>
  <si>
    <t>29977 - 509254 - 988796 - 29977 - 29978 - 29979 - 509257 - 509255 - 509256</t>
  </si>
  <si>
    <t>Camarophyllopsis fétide</t>
  </si>
  <si>
    <t>520692 - 989308 - 38946 - 463953 - 520691 - 520688 - 520690 - 38944 - 520696 - 38945 - 520689 - 989309 - 38947 - 520693 - 520695</t>
  </si>
  <si>
    <t>36702 - 508105 - 508106 - 508111 - 976707 - 993698 - 508109 - 36704 - 36702 - 508107 - 508108 - 508112 - 508113 - 508114 - 508110 - 36701</t>
  </si>
  <si>
    <t>Pholiote du peuplier</t>
  </si>
  <si>
    <t>36705 - 508117 - 508120 - 36706 - 508118 - 508122 - 508119 - 508123 - 508121 - 993699 - 36705</t>
  </si>
  <si>
    <t>Agrocybe brun foncé</t>
  </si>
  <si>
    <t>462514 - 462514 - 993712</t>
  </si>
  <si>
    <t>Amanite à volve maculée d'ocre</t>
  </si>
  <si>
    <t>46950 - 46950 - 865468</t>
  </si>
  <si>
    <t>48092 - 871689 - 871691 - 871690 - 871692 - 871694 - 867053 - 871693 - 993725</t>
  </si>
  <si>
    <t>871698 - 871697 - 871699 - 871702 - 865455 - 871696 - 48123 - 993729</t>
  </si>
  <si>
    <t>876317 - 883850 - 867314 - 876313 - 876309 - 876316 - 47764 - 876314 - 876308 - 876063 - 876319 - 993955 - 876311 - 876318 - 867680 - 876312 - 47766 - 993958 - 876315 - 876065 - 47761 - 876326 - 993954 - 876066 - 876310 - 979344 - 876062</t>
  </si>
  <si>
    <t>515885 - 31487 - 515886 - 515883 - 515888 - 31485 - 515887 - 994015 - 515884</t>
  </si>
  <si>
    <t>515780 - 515777 - 515785 - 515775 - 515779 - 515774 - 515781 - 515784 - 515776 - 515778 - 515783 - 30785 - 994043 - 515782</t>
  </si>
  <si>
    <t>31115 - 31116 - 31114 - 994063 - 515669 - 32008 - 515670</t>
  </si>
  <si>
    <t>515158 - 994103 - 31094 - 515159 - 515160 - 31092 - 464330 - 31095 - 31093</t>
  </si>
  <si>
    <t>Marasme perforant, Collybie perforante</t>
  </si>
  <si>
    <t>994181 - 514999 - 514993 - 514995 - 469925 - 31818 - 31816 - 514997 - 514994 - 515000 - 31995 - 514996 - 514998</t>
  </si>
  <si>
    <t>Lyophylle conné</t>
  </si>
  <si>
    <t>44981 - 519911 - 470266 - 44990 - 470267 - 519909 - 994198 - 519910</t>
  </si>
  <si>
    <t>Trémelle foliacée</t>
  </si>
  <si>
    <t>860144 - 860144</t>
  </si>
  <si>
    <t>868784 - 868784</t>
  </si>
  <si>
    <t>868723 - 868723</t>
  </si>
  <si>
    <t>868721 - 868721</t>
  </si>
  <si>
    <t>31779 - 31779</t>
  </si>
  <si>
    <t>Clitocybe feuille de tomate</t>
  </si>
  <si>
    <t>994393 - 31975 - 462313</t>
  </si>
  <si>
    <t>31965 - 509835 - 994399 - 31967</t>
  </si>
  <si>
    <t>Clitocybe terre cuite</t>
  </si>
  <si>
    <t>37257 - 37257 - 510235 - 994429</t>
  </si>
  <si>
    <t>Coprin cortiné</t>
  </si>
  <si>
    <t>37252 - 37252</t>
  </si>
  <si>
    <t>Coprin grégaire</t>
  </si>
  <si>
    <t>37370 - 37370 - 37371 - 994441 - 37372</t>
  </si>
  <si>
    <t>39501 - 514329 - 438095 - 39497 - 994492 - 39501 - 514330</t>
  </si>
  <si>
    <t>514295 - 39753 - 39391 - 994907</t>
  </si>
  <si>
    <t>469858 - 469859 - 39243 - 994911 - 39245</t>
  </si>
  <si>
    <t>Lactaire fruité</t>
  </si>
  <si>
    <t>877398 - 877398 - 870949</t>
  </si>
  <si>
    <t>Cordyceps de Roux</t>
  </si>
  <si>
    <t>518986 - 518989 - 44363 - 518990 - 44364 - 518991 - 518987 - 518988 - 44362 - 994949</t>
  </si>
  <si>
    <t>520279 - 520278 - 41568 - 994954 - 520282 - 520281 - 41566 - 520280 - 520277 - 41569</t>
  </si>
  <si>
    <t>517097 - 994959 - 517099 - 44100 - 44099 - 517096 - 29235</t>
  </si>
  <si>
    <t>Polypore vergeté</t>
  </si>
  <si>
    <t>Pézize fasciculée</t>
  </si>
  <si>
    <t>517056 - 994968 - 44052 - 44054 - 517055 - 517058 - 517057 - 44051 - 517054 - 44053 - 44049</t>
  </si>
  <si>
    <t>47311 - 47311</t>
  </si>
  <si>
    <t>47424 - 876902 - 876899 - 876907 - 876901 - 47427 - 876910 - 876898 - 876903 - 994976 - 876909 - 47424 - 876905 - 876908 - 876906 - 876904 - 876900</t>
  </si>
  <si>
    <t>47713 - 47713 - 883124 - 994991</t>
  </si>
  <si>
    <t>Helvelle confondue</t>
  </si>
  <si>
    <t>469728 - 30098 - 469728 - 994995 - 513376 - 30096 - 30100 - 513378 - 513373 - 30099 - 30101 - 469727 - 513374 - 513377 - 513375</t>
  </si>
  <si>
    <t>Hygrophore en capuchon forme sylvestre</t>
  </si>
  <si>
    <t>43002 - 43004 - 995001 - 43003 - 43002 - 43005 - 513671 - 43006</t>
  </si>
  <si>
    <t>48062 - 876456 - 876453 - 48062 - 995003 - 876454 - 855644 - 995004 - 876455</t>
  </si>
  <si>
    <t>Hypocrée blanche</t>
  </si>
  <si>
    <t>48067 - 48067 - 995008 - 876624 - 876625 - 876622 - 876623</t>
  </si>
  <si>
    <t>Hypocrée pulvinée</t>
  </si>
  <si>
    <t>43176 - 43176</t>
  </si>
  <si>
    <t>995019 - 514273 - 514272 - 39316</t>
  </si>
  <si>
    <t>879961 - 879964 - 879958 - 856761 - 879959 - 879961 - 995135 - 879956 - 879953 - 879962 - 879954 - 995134 - 879963 - 879957 - 879960 - 879965 - 879955</t>
  </si>
  <si>
    <t>49109 - 49111 - 995188 - 49110 - 49108</t>
  </si>
  <si>
    <t>49216 - 879128 - 49218 - 995208 - 49196 - 49197</t>
  </si>
  <si>
    <t>37510 - 517398 - 37509 - 37508 - 995241 - 517397</t>
  </si>
  <si>
    <t>972465 - 517571 - 32608 - 32606 - 995250 - 32607 - 972463 - 517569 - 517570</t>
  </si>
  <si>
    <t>517582 - 32609 - 32610 - 517583 - 995251</t>
  </si>
  <si>
    <t>464851 - 995396</t>
  </si>
  <si>
    <t>518273 - 995405 - 41032 - 41034 - 41033 - 518272 - 470053</t>
  </si>
  <si>
    <t>Clavaire élastique</t>
  </si>
  <si>
    <t>32899 - 518372 - 32897 - 518374 - 518373 - 32900 - 995414 - 32898</t>
  </si>
  <si>
    <t>518404 - 518402 - 32927 - 518405 - 518403 - 32926 - 518401 - 995415 - 32929</t>
  </si>
  <si>
    <t>518414 - 518413 - 995420 - 32938 - 32939 - 31831 - 518417 - 518416 - 32941 - 518419 - 470064 - 31832 - 518418 - 518415 - 470065</t>
  </si>
  <si>
    <t>33000 - 519515 - 32998 - 995459 - 32999 - 519516</t>
  </si>
  <si>
    <t>33014 - 519535 - 33011 - 33013 - 519533 - 995462 - 519534</t>
  </si>
  <si>
    <t>50074 - 880822 - 995473 - 880821 - 50073</t>
  </si>
  <si>
    <t>45006 - 995481</t>
  </si>
  <si>
    <t>34339 - 995498 - 34341 - 514555</t>
  </si>
  <si>
    <t>995503 - 515743 - 515742 - 469958 - 31283 - 515741 - 31280 - 515740</t>
  </si>
  <si>
    <t>31313 - 515807 - 515808 - 515803 - 31311 - 995505 - 995506 - 515804 - 515805 - 515806</t>
  </si>
  <si>
    <t>517279 - 517280 - 43572 - 43571 - 517281 - 517284 - 517282 - 43569 - 43570 - 996277 - 517283 - 517278 - 44123 - 43573</t>
  </si>
  <si>
    <t>43257 - 996309 - 43255</t>
  </si>
  <si>
    <t>Lenzite baleine</t>
  </si>
  <si>
    <t>996346 - 517203 - 517201 - 517205 - 996347 - 517204</t>
  </si>
  <si>
    <t>996356 - 43576 - 43575 - 43574 - 43577</t>
  </si>
  <si>
    <t>43517 - 43514 - 43515 - 517222 - 43516 - 517225 - 517220 - 517224 - 517221 - 996482 - 517218 - 517219 - 517223</t>
  </si>
  <si>
    <t>879838 - 996922 - 879844 - 879838 - 856716 - 879842 - 879841 - 879843 - 879839 - 879840</t>
  </si>
  <si>
    <t>Invertébrés</t>
  </si>
  <si>
    <t>Tomosvaryella estabani</t>
  </si>
  <si>
    <t>10002 - 411570 - 10004 - 800527 - 411568 - 411569</t>
  </si>
  <si>
    <t>Staphylin rouge à tête noire &amp; étuis bleus</t>
  </si>
  <si>
    <t>837671 - 238362 - 1000688</t>
  </si>
  <si>
    <t>1000692 - 1000698 - 1000697 - 238364 - 1000695 - 837673 - 1000690</t>
  </si>
  <si>
    <t>397693 - 916466 - 397696 - 65858 - 397695 - 397692 - 1002119 - 1002115 - 397694</t>
  </si>
  <si>
    <t>399703 - 948688 - 26827 - 1002787</t>
  </si>
  <si>
    <t>1002793 - 226555 - 1002796 - 850556</t>
  </si>
  <si>
    <t>1003160 - 308329</t>
  </si>
  <si>
    <t>10079 - 10081</t>
  </si>
  <si>
    <t>10086 - 800438</t>
  </si>
  <si>
    <t>Staphylin à antennes en demi massues</t>
  </si>
  <si>
    <t>10088 - 10089</t>
  </si>
  <si>
    <t>780073 - 220480 - 1009181</t>
  </si>
  <si>
    <t>236622 - 1009319</t>
  </si>
  <si>
    <t>10098 - 411871</t>
  </si>
  <si>
    <t>1011235 - 1011236 - 227433 - 400335 - 400328 - 946930</t>
  </si>
  <si>
    <t>898816 - 895591 - 895592 - 51978 - 1012282</t>
  </si>
  <si>
    <t>397516 - 397518 - 224028 - 1012327 - 397517</t>
  </si>
  <si>
    <t>1012346 - 12110</t>
  </si>
  <si>
    <t>10134 - 411939</t>
  </si>
  <si>
    <t>802328 - 1013882 - 12255</t>
  </si>
  <si>
    <t>Lepture de Stendhal, Lepture noire</t>
  </si>
  <si>
    <t>226692 - 1014245</t>
  </si>
  <si>
    <t>412019 - 799559 - 412020 - 412016 - 10143 - 412018 - 412017</t>
  </si>
  <si>
    <t>849523 - 1015419 - 784127 - 887605 - 249096</t>
  </si>
  <si>
    <t>Manteau à tête jaune (Le), Lithosie aplatie (La)</t>
  </si>
  <si>
    <t>923009 - 249097 - 1015420</t>
  </si>
  <si>
    <t>Manteau incertain (Le), le Manteau d'Anatolie (Le)</t>
  </si>
  <si>
    <t>917687 - 887607 - 249099 - 1015423 - 777620</t>
  </si>
  <si>
    <t>Manteau bicolore (Le),  Manteau ivoirin (Le)</t>
  </si>
  <si>
    <t>1015428 - 887608 - 826868 - 838737 - 826866 - 249101 - 849745</t>
  </si>
  <si>
    <t>Manteau safran (Le), Jaunet (Le)</t>
  </si>
  <si>
    <t>923010 - 249100 - 1015431</t>
  </si>
  <si>
    <t>Lithosie naine (La)</t>
  </si>
  <si>
    <t>784126 - 249095 - 822012 - 1015435</t>
  </si>
  <si>
    <t>Lithosie complanule (La), Lithosie plombée (La)</t>
  </si>
  <si>
    <t>249094 - 822003 - 915458 - 988298 - 1015437</t>
  </si>
  <si>
    <t>Lithosie grise (La)</t>
  </si>
  <si>
    <t>826860 - 521548 - 777621 - 416494 - 822004 - 1015440 - 918993 - 249093 - 777816</t>
  </si>
  <si>
    <t>Lithosie ocre (La), Lithosie déprimée (La)</t>
  </si>
  <si>
    <t>10158 - 411997 - 411995 - 411996</t>
  </si>
  <si>
    <t>232526 - 1016011</t>
  </si>
  <si>
    <t>886150 - 79160 - 1016051</t>
  </si>
  <si>
    <t>885940 - 1016209 - 402058 - 402057 - 232682</t>
  </si>
  <si>
    <t>412137 - 412138 - 412134 - 799636 - 412135 - 412136 - 412139 - 10171 - 412133 - 412140</t>
  </si>
  <si>
    <t>412173 - 412174 - 10176 - 799626 - 412172</t>
  </si>
  <si>
    <t>412191 - 412194 - 412196 - 412197 - 10178 - 412193 - 412195 - 412192 - 894624</t>
  </si>
  <si>
    <t>412210 - 799615 - 412211 - 10180 - 412212</t>
  </si>
  <si>
    <t>799594 - 412094 - 412093 - 10194</t>
  </si>
  <si>
    <t>243820 - 799596 - 412096 - 799595 - 10195 - 412097 - 412098 - 243818 - 412101 - 412095 - 412100 - 412099</t>
  </si>
  <si>
    <t>10207 - 799641</t>
  </si>
  <si>
    <t>10217 - 799695</t>
  </si>
  <si>
    <t>10222 - 799682</t>
  </si>
  <si>
    <t>10228 - 799686</t>
  </si>
  <si>
    <t>799474 - 10360</t>
  </si>
  <si>
    <t>Silphe banal</t>
  </si>
  <si>
    <t>403096 - 799467 - 403097 - 10362 - 403095 - 403099 - 403100 - 403098</t>
  </si>
  <si>
    <t>Silphe des friches, Silphe lisse</t>
  </si>
  <si>
    <t>402988 - 402984 - 402989 - 402991 - 402985 - 402993 - 402986 - 402992 - 402987 - 799476 - 402990 - 10365</t>
  </si>
  <si>
    <t>Thanatophile perlé, Silphe perlé</t>
  </si>
  <si>
    <t>403003 - 403004 - 403014 - 403013 - 403010 - 403011 - 403005 - 403016 - 403006 - 403009 - 10370 - 403008 - 403007 - 403012 - 403015</t>
  </si>
  <si>
    <t>Silphe clochette, Fée clochette</t>
  </si>
  <si>
    <t>10374 - 403039 - 403040 - 403038</t>
  </si>
  <si>
    <t>Silphe triste</t>
  </si>
  <si>
    <t>403068 - 10381 - 403067 - 799472 - 403062 - 403065 - 403063 - 403066 - 403069 - 403064</t>
  </si>
  <si>
    <t>Silphe des rivages</t>
  </si>
  <si>
    <t>397077 - 397078 - 10400</t>
  </si>
  <si>
    <t>397098 - 796857 - 397100 - 397097 - 10404 - 397101 - 397099 - 397102 - 397114 - 799421</t>
  </si>
  <si>
    <t>403297 - 403300 - 403299 - 10415 - 403298 - 801884</t>
  </si>
  <si>
    <t>797907 - 404742 - 10420 - 404741</t>
  </si>
  <si>
    <t>396813 - 719602 - 10437 - 799255 - 396814</t>
  </si>
  <si>
    <t>970845 - 10440 - 799248 - 396850 - 396849</t>
  </si>
  <si>
    <t>Hister asymétrique, Escarbot asymétrique</t>
  </si>
  <si>
    <t>396824 - 10450 - 396827 - 396823 - 396825 - 396830 - 10449 - 396829 - 396822 - 396826 - 396831 - 396828</t>
  </si>
  <si>
    <t>Hister à quatre tâches</t>
  </si>
  <si>
    <t>396836 - 10455 - 851129</t>
  </si>
  <si>
    <t>10472 - 799199 - 396731 - 396730</t>
  </si>
  <si>
    <t>396710 - 396711 - 396716 - 396714 - 396712 - 799208 - 396713 - 396715 - 10475</t>
  </si>
  <si>
    <t>396717 - 396718 - 10478</t>
  </si>
  <si>
    <t>639273 - 396816 - 10496 - 396817 - 851130 - 396815</t>
  </si>
  <si>
    <t>851076 - 800710 - 397272 - 397271 - 10502</t>
  </si>
  <si>
    <t>Cerf-volant (mâle), Biche (femelle), Lucane, Lucane cerf-volant</t>
  </si>
  <si>
    <t>800716 - 10512</t>
  </si>
  <si>
    <t>Lucane rhinoceros, Sinodendre cylindrique</t>
  </si>
  <si>
    <t>851116 - 800719 - 851117 - 10517 - 813042</t>
  </si>
  <si>
    <t>Trox perlé</t>
  </si>
  <si>
    <t>200627 - 10518 - 403714 - 403715</t>
  </si>
  <si>
    <t>800718 - 403708 - 10519 - 403709</t>
  </si>
  <si>
    <t>403717 - 403719 - 800721 - 403718 - 403720 - 403721 - 10521</t>
  </si>
  <si>
    <t>403716 - 10522 - 800720</t>
  </si>
  <si>
    <t>Ulobore de Walckenaer</t>
  </si>
  <si>
    <t>200397 - 10534 - 403702 - 403701 - 403703 - 800724</t>
  </si>
  <si>
    <t>Bousier rhinoceros</t>
  </si>
  <si>
    <t>403667 - 800729 - 403670 - 403669 - 403666 - 403665 - 10539 - 951449 - 403668</t>
  </si>
  <si>
    <t>Géotrupe des bois, Géotrupe forestier, Bousier commun</t>
  </si>
  <si>
    <t>403649 - 800726 - 403647 - 403650 - 10544 - 403646 - 403648</t>
  </si>
  <si>
    <t>403657 - 403655 - 800727 - 403664 - 403662 - 10548 - 403658 - 403663 - 403659 - 403661 - 403656 - 403660</t>
  </si>
  <si>
    <t>Géotrupe du fumier, Bousier</t>
  </si>
  <si>
    <t>403653 - 403652 - 403654 - 200451 - 403651 - 10552</t>
  </si>
  <si>
    <t>800731 - 10550 - 10569</t>
  </si>
  <si>
    <t>Bousier lisse</t>
  </si>
  <si>
    <t>851125 - 404580 - 404577 - 410336 - 410338 - 410335 - 404578 - 404579 - 410337 - 10575 - 410339 - 410334</t>
  </si>
  <si>
    <t>1058 - 903118</t>
  </si>
  <si>
    <t>Araignée triangle</t>
  </si>
  <si>
    <t>900469 - 900474 - 1066</t>
  </si>
  <si>
    <t>Amaurobe féroce</t>
  </si>
  <si>
    <t>393621 - 200388 - 393620 - 800748 - 10668</t>
  </si>
  <si>
    <t>900475 - 1067</t>
  </si>
  <si>
    <t>900464 - 900466 - 1068</t>
  </si>
  <si>
    <t>800784 - 10761 - 393532 - 393531 - 393530 - 393533 - 10762</t>
  </si>
  <si>
    <t>393697 - 800795 - 10524 - 10769 - 393695 - 393696</t>
  </si>
  <si>
    <t>393687 - 800798 - 393688 - 10779</t>
  </si>
  <si>
    <t>1078 - 902229</t>
  </si>
  <si>
    <t>393679 - 393880 - 393682 - 393683 - 10782 - 393678 - 393680 - 393681</t>
  </si>
  <si>
    <t>10811 - 800807</t>
  </si>
  <si>
    <t>Sisyphe</t>
  </si>
  <si>
    <t>404962 - 404971 - 404965 - 404964 - 404970 - 404963 - 800808 - 404972 - 10813 - 404966 - 404967 - 404968 - 404969</t>
  </si>
  <si>
    <t>Copris, Copris lunaire, Bousier rhinocéros</t>
  </si>
  <si>
    <t>10817 - 404977 - 404976 - 10818 - 851127 - 404974 - 10822 - 404978 - 404973 - 404979 - 404975 - 800813</t>
  </si>
  <si>
    <t>Bousier fauve</t>
  </si>
  <si>
    <t>405137 - 405131 - 405138 - 820750 - 405133 - 405136 - 405132 - 405126 - 10836 - 405134 - 800816 - 405130 - 405129 - 405128 - 405127 - 405135</t>
  </si>
  <si>
    <t>404995 - 404987 - 404999 - 404989 - 404993 - 404998 - 404986 - 405003 - 404990 - 404992 - 405000 - 404985 - 405004 - 800817 - 404996 - 10844 - 404991 - 405002 - 404997 - 404994 - 404988 - 405001 - 405006 - 405005</t>
  </si>
  <si>
    <t>Bousier à cornes retroussées</t>
  </si>
  <si>
    <t>405011 - 405009 - 405010 - 405008 - 800818 - 10845 - 405007</t>
  </si>
  <si>
    <t>405021 - 405029 - 405024 - 405028 - 405026 - 800819 - 405027 - 405019 - 405020 - 405025 - 10847 - 405023 - 405022</t>
  </si>
  <si>
    <t>405037 - 405041 - 405039 - 820749 - 800828 - 405036 - 405038 - 10849</t>
  </si>
  <si>
    <t>10852 - 405030</t>
  </si>
  <si>
    <t>405032 - 800824 - 405031 - 405033 - 10853 - 10866</t>
  </si>
  <si>
    <t>Onthophage ovatus</t>
  </si>
  <si>
    <t>405090 - 405093 - 800820 - 405091 - 405092 - 405089 - 405094 - 405095 - 10857</t>
  </si>
  <si>
    <t>10858 - 405018 - 10846</t>
  </si>
  <si>
    <t>800826 - 10860</t>
  </si>
  <si>
    <t>405103 - 405099 - 405105 - 405107 - 405100 - 405096 - 405106 - 800821 - 405101 - 405098 - 405104 - 405097 - 10861 - 405102 - 405108</t>
  </si>
  <si>
    <t>405069 - 405074 - 405072 - 405060 - 405070 - 405064 - 405068 - 405075 - 10864 - 800827 - 405066 - 405071 - 405065 - 405062 - 405063 - 405067 - 405073</t>
  </si>
  <si>
    <t>Onthophage vacca</t>
  </si>
  <si>
    <t>410291 - 410302 - 410293 - 410290 - 410287 - 410299 - 410292 - 410300 - 800836 - 410288 - 410301 - 410294 - 410289 - 410297 - 410295 - 410298 - 410284 - 410286 - 410303 - 410296 - 410285 - 10877 - 10878</t>
  </si>
  <si>
    <t>Grand hanneton commun, Hanneton commun (le)</t>
  </si>
  <si>
    <t>410273 - 410266 - 410270 - 410276 - 410274 - 410280 - 410268 - 10879 - 410269 - 410279 - 410282 - 410271 - 410281 - 410272 - 410277 - 410278 - 410275 - 410267 - 410283 - 410265</t>
  </si>
  <si>
    <t>Grand hanneton forestier</t>
  </si>
  <si>
    <t>820757 - 800846 - 10887 - 851114</t>
  </si>
  <si>
    <t>Hanneton de la Saint-Jean</t>
  </si>
  <si>
    <t>410230 - 410227 - 410229 - 800842 - 10889 - 410228 - 10891</t>
  </si>
  <si>
    <t>Hanneton européen</t>
  </si>
  <si>
    <t>410231 - 10895 - 410232 - 800845 - 10897</t>
  </si>
  <si>
    <t>10898 - 410220 - 10900 - 699650 - 800841 - 410219</t>
  </si>
  <si>
    <t>410237 - 410233 - 410236 - 410239 - 410234 - 410235 - 10905 - 410238</t>
  </si>
  <si>
    <t>410244 - 800847 - 410250 - 10907 - 410252 - 410247 - 410246 - 410248 - 410251 - 410249 - 410245</t>
  </si>
  <si>
    <t>410255 - 10908 - 410253 - 410254 - 410256</t>
  </si>
  <si>
    <t>10927 - 800851 - 410333</t>
  </si>
  <si>
    <t>Petit hanneton des sables</t>
  </si>
  <si>
    <t>10935 - 800855</t>
  </si>
  <si>
    <t>10936 - 10938 - 800856 - 851153</t>
  </si>
  <si>
    <t>Hoplie argentée</t>
  </si>
  <si>
    <t>408175 - 851119 - 10937 - 800857</t>
  </si>
  <si>
    <t>800859 - 851122 - 10946</t>
  </si>
  <si>
    <t>Rutelle velue</t>
  </si>
  <si>
    <t>10949 - 951660 - 800862 - 951659 - 408179 - 408180</t>
  </si>
  <si>
    <t>Rutelle verte, Hanneton bronzé</t>
  </si>
  <si>
    <t>820755 - 800866 - 10958</t>
  </si>
  <si>
    <t>Hanneton des jardins</t>
  </si>
  <si>
    <t>800863 - 10960 - 886472</t>
  </si>
  <si>
    <t>800867 - 10964</t>
  </si>
  <si>
    <t>Scarabée rhinocéros européen, Rhinocéros</t>
  </si>
  <si>
    <t>10977 - 851118 - 800871</t>
  </si>
  <si>
    <t>Cétoine punaise, Mini cétoine</t>
  </si>
  <si>
    <t>10979 - 800872</t>
  </si>
  <si>
    <t>Pique-prune, Barbot</t>
  </si>
  <si>
    <t>800873 - 10981</t>
  </si>
  <si>
    <t>Gnorime vert</t>
  </si>
  <si>
    <t>10990 - 800875</t>
  </si>
  <si>
    <t>Trichie barrée, Trichie fasciée</t>
  </si>
  <si>
    <t>10992 - 800877</t>
  </si>
  <si>
    <t>Cétoine dorée (la), Hanneton des roses</t>
  </si>
  <si>
    <t>11008 - 11011 - 200556 - 894023</t>
  </si>
  <si>
    <t>Cétoine noire (la)</t>
  </si>
  <si>
    <t>800886 - 11026 - 977887 - 716251</t>
  </si>
  <si>
    <t>850736 - 1103</t>
  </si>
  <si>
    <t>8265 - 800888 - 11030 - 820764 - 820766 - 851120</t>
  </si>
  <si>
    <t>404152 - 820744 - 404149 - 799093 - 11033 - 404151 - 404153 - 404148 - 851141 - 404150</t>
  </si>
  <si>
    <t>404147 - 11034</t>
  </si>
  <si>
    <t>404192 - 404190 - 404189 - 11036 - 404191 - 404188 - 404187 - 799095 - 404186</t>
  </si>
  <si>
    <t>11038 - 404169 - 799094 - 404170</t>
  </si>
  <si>
    <t>11042 - 404209 - 404205 - 404207 - 404204 - 404208 - 404206 - 11043</t>
  </si>
  <si>
    <t>799097 - 11045</t>
  </si>
  <si>
    <t>11049 - 403739 - 403741 - 8942 - 403740 - 403742 - 403736 - 403737 - 403738 - 799136 - 403735 - 403734</t>
  </si>
  <si>
    <t>Hydrophile noir picoté</t>
  </si>
  <si>
    <t>11060 - 801949</t>
  </si>
  <si>
    <t>11075 - 802015</t>
  </si>
  <si>
    <t>802016 - 11077</t>
  </si>
  <si>
    <t>802010 - 11084</t>
  </si>
  <si>
    <t>801773 - 11090</t>
  </si>
  <si>
    <t>11096 - 801776</t>
  </si>
  <si>
    <t>11099 - 801785</t>
  </si>
  <si>
    <t>Endomyche coccinelle, Fausse coccinelle, Endomyque écarlate</t>
  </si>
  <si>
    <t>11110 - 845175</t>
  </si>
  <si>
    <t>11112 - 801823</t>
  </si>
  <si>
    <t>801825 - 11113</t>
  </si>
  <si>
    <t>11115 - 801826</t>
  </si>
  <si>
    <t>Coccinelle velue à bandes</t>
  </si>
  <si>
    <t>801828 - 11118</t>
  </si>
  <si>
    <t>845176 - 11122</t>
  </si>
  <si>
    <t>11124 - 801824 - 406842</t>
  </si>
  <si>
    <t>901851 - 801832 - 901850 - 901849 - 901848 - 901844 - 11131</t>
  </si>
  <si>
    <t>Coccinelle des landes</t>
  </si>
  <si>
    <t>11133 - 801834</t>
  </si>
  <si>
    <t>11132 - 791566 - 11136 - 239056</t>
  </si>
  <si>
    <t>995986 - 995987 - 995988 - 801791 - 406855 - 11138 - 995984 - 995985</t>
  </si>
  <si>
    <t>801792 - 995994 - 995991 - 995995 - 11139 - 995993 - 995992 - 820808 - 995990</t>
  </si>
  <si>
    <t>406852 - 801797 - 406853 - 11141</t>
  </si>
  <si>
    <t>11142 - 801798</t>
  </si>
  <si>
    <t>801860 - 11144</t>
  </si>
  <si>
    <t>Coccinelle à treize points</t>
  </si>
  <si>
    <t>895946 - 895945 - 895948 - 895944 - 11145 - 895947 - 801861</t>
  </si>
  <si>
    <t>Coccinelle des friches</t>
  </si>
  <si>
    <t>801847 - 11152</t>
  </si>
  <si>
    <t>Coccinelle à deux points</t>
  </si>
  <si>
    <t>846862 - 11156</t>
  </si>
  <si>
    <t>895933 - 11157 - 895935 - 895936 - 895934 - 716256 - 895940 - 895939 - 895937</t>
  </si>
  <si>
    <t>Coccinelle à dix points</t>
  </si>
  <si>
    <t>Coccinelle à 7 points, Coccinelle, Bête à bon Dieu</t>
  </si>
  <si>
    <t>Coccinelle à 11 points</t>
  </si>
  <si>
    <t>11173 - 895942 - 801858</t>
  </si>
  <si>
    <t>Coccinelle à quatre points</t>
  </si>
  <si>
    <t>801848 - 11186</t>
  </si>
  <si>
    <t>Coccinelle ocellée</t>
  </si>
  <si>
    <t>11197 - 801840</t>
  </si>
  <si>
    <t>Grande coccinelle orange</t>
  </si>
  <si>
    <t>1120 - 903059</t>
  </si>
  <si>
    <t>Araignée cracheuse</t>
  </si>
  <si>
    <t>11202 - 801842 - 845219</t>
  </si>
  <si>
    <t>Petite coccinelle orange</t>
  </si>
  <si>
    <t>Dermeste du lard</t>
  </si>
  <si>
    <t>Dermeste hertzien</t>
  </si>
  <si>
    <t>801311 - 396550 - 11216</t>
  </si>
  <si>
    <t>Dermeste triste</t>
  </si>
  <si>
    <t>11219 - 397266</t>
  </si>
  <si>
    <t>408071 - 408073 - 408074 - 408062 - 408061 - 408064 - 11221 - 11222 - 408068 - 408066 - 408072 - 408067 - 408069 - 408065 - 408063 - 801008 - 408070</t>
  </si>
  <si>
    <t>11225 - 408151 - 408143 - 408146 - 408147 - 408149 - 408144 - 408150 - 408145 - 408148</t>
  </si>
  <si>
    <t>801005 - 11226</t>
  </si>
  <si>
    <t>Byrrhide en pilule</t>
  </si>
  <si>
    <t>408045 - 408055 - 408053 - 408044 - 893932 - 408048 - 408054 - 408050 - 408052 - 11228 - 408049 - 408051 - 408046 - 408047</t>
  </si>
  <si>
    <t>11235 - 797088 - 797090 - 797087 - 801042 - 797086 - 797089</t>
  </si>
  <si>
    <t>797056 - 797055 - 797058 - 797054 - 11248 - 797059 - 797057</t>
  </si>
  <si>
    <t>11250 - 801026</t>
  </si>
  <si>
    <t>716267 - 11256 - 801027 - 797065</t>
  </si>
  <si>
    <t>797049 - 797050 - 11258</t>
  </si>
  <si>
    <t>798225 - 11263 - 798226 - 801024</t>
  </si>
  <si>
    <t>394363 - 394367 - 800925 - 394364 - 11283 - 394366 - 394368 - 394369 - 394365</t>
  </si>
  <si>
    <t>Capnode de l'Oseille</t>
  </si>
  <si>
    <t>11285 - 527195 - 800927</t>
  </si>
  <si>
    <t>800928 - 11286 - 699790</t>
  </si>
  <si>
    <t>800938 - 11288</t>
  </si>
  <si>
    <t>11311 - 394177 - 800948 - 394178 - 394179</t>
  </si>
  <si>
    <t>Anthaxie driver, Richard hibou</t>
  </si>
  <si>
    <t>800950 - 11312</t>
  </si>
  <si>
    <t>Anthaxie du Saule</t>
  </si>
  <si>
    <t>11317 - 887021</t>
  </si>
  <si>
    <t>800958 - 11322</t>
  </si>
  <si>
    <t>394227 - 394228 - 394224 - 394222 - 394223 - 394225 - 11323 - 394221 - 394226</t>
  </si>
  <si>
    <t>800944 - 394142 - 394141 - 394139 - 394140 - 394143 - 11326</t>
  </si>
  <si>
    <t>Richard Coeur de Lion</t>
  </si>
  <si>
    <t>Richard de glace et de feu</t>
  </si>
  <si>
    <t>11348 - 800962</t>
  </si>
  <si>
    <t>Richard bosselé, Chrysobothre ressemblant</t>
  </si>
  <si>
    <t>394733 - 394735 - 394734 - 394732 - 11350</t>
  </si>
  <si>
    <t>Richard à fossettes</t>
  </si>
  <si>
    <t>394573 - 394571 - 394569 - 394565 - 394566 - 394562 - 394568 - 394570 - 394564 - 394567 - 394572 - 800988 - 394561 - 11353 - 394563 - 394560 - 887422</t>
  </si>
  <si>
    <t>11356 - 800991 - 416812 - 394584 - 394585</t>
  </si>
  <si>
    <t>Richard en bandes organisées</t>
  </si>
  <si>
    <t>11361 - 800983</t>
  </si>
  <si>
    <t>Agrile noir</t>
  </si>
  <si>
    <t>394450 - 800972 - 394448 - 11362 - 394449</t>
  </si>
  <si>
    <t>Agrile ponctué, Agrile à deux points</t>
  </si>
  <si>
    <t>800970 - 394487 - 394488 - 11363</t>
  </si>
  <si>
    <t>394530 - 394532 - 394534 - 394531 - 800971 - 394533 - 394526 - 394529 - 394535 - 394528 - 394525 - 394538 - 394537 - 394527 - 394536 - 394540 - 394539 - 11364</t>
  </si>
  <si>
    <t>394431 - 11367 - 394432 - 394434 - 394429 - 394430 - 394435 - 394433 - 800974</t>
  </si>
  <si>
    <t>Agrile du chêne</t>
  </si>
  <si>
    <t>394489 - 394492 - 11368 - 394491 - 394493 - 394490 - 11366 - 800976</t>
  </si>
  <si>
    <t>11372 - 394477 - 800975</t>
  </si>
  <si>
    <t>11365 - 11378 - 394464 - 800973 - 394470 - 394468 - 394467 - 394465 - 394466 - 394469</t>
  </si>
  <si>
    <t>11380 - 394520 - 394519 - 394521 - 394516 - 394518 - 394515 - 394517</t>
  </si>
  <si>
    <t>11383 - 800998</t>
  </si>
  <si>
    <t>Petit Richard, Bupreste noir sans stries</t>
  </si>
  <si>
    <t>394544 - 11392 - 800984</t>
  </si>
  <si>
    <t>800985 - 394545 - 394546 - 11393</t>
  </si>
  <si>
    <t>Eucnème moine</t>
  </si>
  <si>
    <t>11406 - 801080 - 952094</t>
  </si>
  <si>
    <t>Eucnème masqué</t>
  </si>
  <si>
    <t>11416 - 801204</t>
  </si>
  <si>
    <t>11423 - 801199</t>
  </si>
  <si>
    <t>Taupin pourpre</t>
  </si>
  <si>
    <t>240495 - 407334 - 407335 - 820728 - 11428 - 407336</t>
  </si>
  <si>
    <t>Taupin obèse</t>
  </si>
  <si>
    <t>11435 - 951438</t>
  </si>
  <si>
    <t>Grand Taupin roux</t>
  </si>
  <si>
    <t>801114 - 11443</t>
  </si>
  <si>
    <t>Taupin des moissons</t>
  </si>
  <si>
    <t>847473 - 11444</t>
  </si>
  <si>
    <t>801116 - 11445</t>
  </si>
  <si>
    <t>11446 - 801117</t>
  </si>
  <si>
    <t>801118 - 11447</t>
  </si>
  <si>
    <t>11449 - 801112</t>
  </si>
  <si>
    <t>11451 - 801106</t>
  </si>
  <si>
    <t>11452 - 801107</t>
  </si>
  <si>
    <t>801109 - 11453</t>
  </si>
  <si>
    <t>Taupin à bandes</t>
  </si>
  <si>
    <t>11455 - 801178</t>
  </si>
  <si>
    <t>801179 - 11458</t>
  </si>
  <si>
    <t>407300 - 11467</t>
  </si>
  <si>
    <t>Taupin en livrée</t>
  </si>
  <si>
    <t>801169 - 11468</t>
  </si>
  <si>
    <t>Taupin acajou</t>
  </si>
  <si>
    <t>801176 - 11469</t>
  </si>
  <si>
    <t>11480 - 801162</t>
  </si>
  <si>
    <t>11487 - 801239</t>
  </si>
  <si>
    <t>Taupin porte-coeur dépassé</t>
  </si>
  <si>
    <t>801243 - 240420 - 11488</t>
  </si>
  <si>
    <t>Taupin noir à pattes fauves</t>
  </si>
  <si>
    <t>11501 - 407316 - 407317 - 801156</t>
  </si>
  <si>
    <t>402375 - 1151</t>
  </si>
  <si>
    <t>801133 - 11510</t>
  </si>
  <si>
    <t>11515 - 801141</t>
  </si>
  <si>
    <t>Taupin à étuis rouges</t>
  </si>
  <si>
    <t>11516 - 801142</t>
  </si>
  <si>
    <t>Taupin sanguinaire</t>
  </si>
  <si>
    <t>801187 - 11519</t>
  </si>
  <si>
    <t>Taupin géomètre</t>
  </si>
  <si>
    <t>Taupin artiste</t>
  </si>
  <si>
    <t>800908 - 797046 - 11525</t>
  </si>
  <si>
    <t>800907 - 11530</t>
  </si>
  <si>
    <t>11532 - 801066 - 798253</t>
  </si>
  <si>
    <t>404440 - 404441 - 11542 - 404443 - 404445 - 404446 - 404442 - 404439 - 404444 - 404447</t>
  </si>
  <si>
    <t>Lyce à bec, Lycie sanguine</t>
  </si>
  <si>
    <t>396954 - 396951 - 11545 - 396959 - 396958 - 396957 - 396956 - 396952 - 396955 - 801256 - 396953</t>
  </si>
  <si>
    <t>Ver luisant, Lampyre</t>
  </si>
  <si>
    <t>396934 - 396932 - 801261 - 396933 - 396935 - 11550</t>
  </si>
  <si>
    <t>Ver à pied, Luciole à ailes courtes</t>
  </si>
  <si>
    <t>394863 - 394856 - 394852 - 394857 - 699614 - 394853 - 394858 - 394855 - 394854 - 394861 - 394859 - 801264 - 11556 - 394862 - 394860</t>
  </si>
  <si>
    <t>394959 - 11561 - 11562 - 394961 - 394951 - 394953 - 394954 - 394952 - 394957 - 394956 - 394963 - 394950 - 394960 - 394955 - 394962 - 394958</t>
  </si>
  <si>
    <t>394985 - 394994 - 394989 - 394991 - 394988 - 394993 - 394984 - 394986 - 394987 - 394990 - 11568 - 394992 - 427623</t>
  </si>
  <si>
    <t>Téléphore maison</t>
  </si>
  <si>
    <t>11569 - 395124 - 395125 - 395127 - 395126 - 395128 - 395129 - 395123 - 395130</t>
  </si>
  <si>
    <t>Téléphore rose</t>
  </si>
  <si>
    <t>1157 - 902259</t>
  </si>
  <si>
    <t>395002 - 395022 - 395012 - 395018 - 395028 - 395017 - 395004 - 395014 - 395033 - 395023 - 395026 - 395034 - 395005 - 395029 - 395020 - 395016 - 395011 - 395031 - 395010 - 11570 - 395021 - 395013 - 395027 - 395008 - 395032 - 395030 - 395024 - 395009 - 395019 - 395003 - 395006 - 395025 - 395015 - 395007</t>
  </si>
  <si>
    <t>395052 - 395053 - 395054 - 11572 - 395048 - 11571 - 395051 - 395058 - 395056 - 395057 - 395044 - 395045 - 395050 - 395055 - 395046 - 395047 - 395049</t>
  </si>
  <si>
    <t>Cantharide noirâtre</t>
  </si>
  <si>
    <t>11573 - 395061 - 395059 - 395060</t>
  </si>
  <si>
    <t>11576 - 395077 - 395076 - 395074 - 395075 - 395078 - 395071 - 11575 - 395073 - 395072</t>
  </si>
  <si>
    <t>395104 - 395109 - 395110 - 395112 - 395103 - 395114 - 11578 - 395106 - 395113 - 395115 - 395111 - 395108 - 395105 - 395107</t>
  </si>
  <si>
    <t>Téléphore de campagne, Cantharide rustique</t>
  </si>
  <si>
    <t>11583 - 394872 - 394873</t>
  </si>
  <si>
    <t>427767 - 11585 - 801279 - 427773 - 427822 - 427771 - 427668 - 427805 - 427815 - 427809 - 427782 - 887536</t>
  </si>
  <si>
    <t>Téléphore fauve</t>
  </si>
  <si>
    <t>801738 - 403547 - 403546 - 11590</t>
  </si>
  <si>
    <t>403419 - 403420 - 403417 - 403418 - 11593</t>
  </si>
  <si>
    <t>403359 - 403357 - 403358 - 11603 - 987832 - 403360</t>
  </si>
  <si>
    <t>397613 - 397614 - 801715 - 11624</t>
  </si>
  <si>
    <t>801718 - 397619 - 11628</t>
  </si>
  <si>
    <t>404415 - 404417 - 801906 - 404416 - 11645</t>
  </si>
  <si>
    <t>797112 - 404420 - 801908 - 11647</t>
  </si>
  <si>
    <t>899016 - 1165</t>
  </si>
  <si>
    <t>Ségestrie florentine</t>
  </si>
  <si>
    <t>235019 - 404248 - 11657 - 404251 - 404249 - 404250 - 404254 - 404247 - 404279 - 404252 - 404253</t>
  </si>
  <si>
    <t>397561 - 801938 - 397560 - 397559 - 11663 - 397557 - 397558</t>
  </si>
  <si>
    <t>850753 - 1167 - 402467</t>
  </si>
  <si>
    <t>11672 - 397538 - 251702 - 397537 - 11671</t>
  </si>
  <si>
    <t>397534 - 397528 - 397529 - 820778 - 397533 - 801940 - 397527 - 11673 - 397532 - 397530 - 397531</t>
  </si>
  <si>
    <t>Mycologue fâché</t>
  </si>
  <si>
    <t>394886 - 11682 - 801280 - 394888 - 394889 - 394887 - 394890 - 11574</t>
  </si>
  <si>
    <t>Téléphore mobile</t>
  </si>
  <si>
    <t>394919 - 394918 - 801284 - 394916 - 394917 - 394915 - 11686</t>
  </si>
  <si>
    <t>Cantharide fauve avec la pointe des étuis noire</t>
  </si>
  <si>
    <t>222242 - 394848 - 801287 - 394847 - 394846 - 394849 - 11690 - 394845 - 394851 - 394850</t>
  </si>
  <si>
    <t>Téléphore timide</t>
  </si>
  <si>
    <t>394740 - 11692 - 394745 - 394741 - 394746 - 394742 - 394744 - 394739 - 394743</t>
  </si>
  <si>
    <t>394758 - 394754 - 394753 - 394757 - 394755 - 394756 - 11694 - 801290 - 797099</t>
  </si>
  <si>
    <t>Necydale à points jaunes</t>
  </si>
  <si>
    <t>394766 - 394770 - 394771 - 394765 - 394764 - 394768 - 394767 - 394763 - 394769 - 11698</t>
  </si>
  <si>
    <t>11708 - 801571</t>
  </si>
  <si>
    <t>11726 - 801564</t>
  </si>
  <si>
    <t>801565 - 11727</t>
  </si>
  <si>
    <t>Malachie pulicaire</t>
  </si>
  <si>
    <t>11732 - 801582</t>
  </si>
  <si>
    <t>Malachie à deux points</t>
  </si>
  <si>
    <t>402379 - 1174 - 902307 - 458732</t>
  </si>
  <si>
    <t>Drassode lapidicole</t>
  </si>
  <si>
    <t>396522 - 396524 - 11741 - 396523 - 223251 - 801502</t>
  </si>
  <si>
    <t>Dasyte ficelle</t>
  </si>
  <si>
    <t>12391 - 802372 - 12392 - 12393 - 11744</t>
  </si>
  <si>
    <t>Clyte théologien</t>
  </si>
  <si>
    <t>802451 - 11755</t>
  </si>
  <si>
    <t>Aiguille marbrée</t>
  </si>
  <si>
    <t>802448 - 11756</t>
  </si>
  <si>
    <t>Aiguille à bacchantes</t>
  </si>
  <si>
    <t>11757 - 802450</t>
  </si>
  <si>
    <t>802446 - 11758</t>
  </si>
  <si>
    <t>1176 - 902314</t>
  </si>
  <si>
    <t>11761 - 802452</t>
  </si>
  <si>
    <t>Aiguillonier, Céréales killer</t>
  </si>
  <si>
    <t>11768 - 802466</t>
  </si>
  <si>
    <t>530943 - 11775</t>
  </si>
  <si>
    <t>Lamie bûcheron</t>
  </si>
  <si>
    <t>802458 - 820793 - 11777</t>
  </si>
  <si>
    <t>Lamie tisserand</t>
  </si>
  <si>
    <t>802463 - 11779</t>
  </si>
  <si>
    <t>Lamie boulanger, Monochame de Provence</t>
  </si>
  <si>
    <t>802464 - 11780</t>
  </si>
  <si>
    <t>11781 - 802465</t>
  </si>
  <si>
    <t>Monochame cordonnier</t>
  </si>
  <si>
    <t>11785 - 802484</t>
  </si>
  <si>
    <t>902360 - 1180 - 550789</t>
  </si>
  <si>
    <t>1014874 - 11806 - 11804 - 409378 - 409377 - 409375 - 409376 - 11807</t>
  </si>
  <si>
    <t>Otiorhynque méridional</t>
  </si>
  <si>
    <t>1183 - 1182 - 902361</t>
  </si>
  <si>
    <t>396488 - 11834 - 801498</t>
  </si>
  <si>
    <t>Dasyte bleu</t>
  </si>
  <si>
    <t>396505 - 11837 - 396511 - 396504 - 801496</t>
  </si>
  <si>
    <t>396507 - 396506 - 11839</t>
  </si>
  <si>
    <t>800914 - 11853</t>
  </si>
  <si>
    <t>Dascille de Koch</t>
  </si>
  <si>
    <t>801468 - 403247 - 403248 - 808935 - 11858 - 403243 - 808934 - 403245 - 403244</t>
  </si>
  <si>
    <t>11867 - 430948 - 430946 - 430947 - 430889 - 991870 - 430945 - 801475 - 430892</t>
  </si>
  <si>
    <t>Clairon des fourmis</t>
  </si>
  <si>
    <t>11870 - 801476 - 403198 - 403200 - 403201 - 403199</t>
  </si>
  <si>
    <t>Caliron des abeilles solitaires, Clairon des ruches</t>
  </si>
  <si>
    <t>403205 - 820737 - 403206 - 403209 - 403208 - 801477 - 403207 - 403211 - 403203 - 11871 - 403202 - 403204 - 403210</t>
  </si>
  <si>
    <t>Caliron des abeilles solitaires, Clairon des abeilles</t>
  </si>
  <si>
    <t>968119 - 11877 - 801486</t>
  </si>
  <si>
    <t>Mort-vivant de Latreille, Zombie de Latreille</t>
  </si>
  <si>
    <t>430913 - 430905 - 430906 - 430911 - 801488 - 430904 - 430896 - 820738 - 11879 - 430928</t>
  </si>
  <si>
    <t>Zombie à pattes bleues</t>
  </si>
  <si>
    <t>801406 - 394136 - 394135 - 11903</t>
  </si>
  <si>
    <t>11909 - 393833 - 393828 - 851144 - 393830 - 393831 - 393832 - 393829 - 801419 - 393827</t>
  </si>
  <si>
    <t>393835 - 393841 - 801420 - 393839 - 393842 - 393838 - 393843 - 11910 - 393837 - 393836 - 393840</t>
  </si>
  <si>
    <t>11917 - 394090 - 394089 - 394084 - 394087 - 394088 - 394086 - 394085 - 801376 - 11916 - 394083</t>
  </si>
  <si>
    <t>Petite vrillette</t>
  </si>
  <si>
    <t>394052 - 11919 - 801392</t>
  </si>
  <si>
    <t>394053 - 394054 - 11920 - 801394</t>
  </si>
  <si>
    <t>394119 - 394118 - 394123 - 801436 - 394120 - 394122 - 394121 - 11922</t>
  </si>
  <si>
    <t>393722 - 393723 - 393721 - 11924 - 393725 - 393724 - 801447</t>
  </si>
  <si>
    <t>393728 - 11926 - 801448 - 393727 - 393730 - 393733 - 393732 - 393731 - 11928 - 11927 - 393729</t>
  </si>
  <si>
    <t>11965 - 802073</t>
  </si>
  <si>
    <t>Asida, Asida des sables</t>
  </si>
  <si>
    <t>Ténébrion des pigeonniers, Présage de mort</t>
  </si>
  <si>
    <t>11985 - 802122</t>
  </si>
  <si>
    <t>Opâtre des sables, Opâtre de Jésus</t>
  </si>
  <si>
    <t>902507 - 1199</t>
  </si>
  <si>
    <t>12008 - 802150</t>
  </si>
  <si>
    <t>Ténébrion des bouleaux, Diapère du bolet</t>
  </si>
  <si>
    <t>902450 - 233409 - 1202</t>
  </si>
  <si>
    <t>1204 - 902487</t>
  </si>
  <si>
    <t>Zélote noir de Latreille</t>
  </si>
  <si>
    <t>802045 - 12040</t>
  </si>
  <si>
    <t>802044 - 12042</t>
  </si>
  <si>
    <t>Hyménalia à pattes rouges</t>
  </si>
  <si>
    <t>12044 - 802054</t>
  </si>
  <si>
    <t>Allécule dentée</t>
  </si>
  <si>
    <t>12046 - 802048</t>
  </si>
  <si>
    <t>802053 - 976850 - 12049</t>
  </si>
  <si>
    <t>802065 - 12056</t>
  </si>
  <si>
    <t>Omophlus orangé</t>
  </si>
  <si>
    <t>12064 - 397291 - 699052 - 975022 - 801977 - 223971 - 397289 - 223969 - 397293 - 397290 - 397292</t>
  </si>
  <si>
    <t>12066 - 397325 - 801987</t>
  </si>
  <si>
    <t>902500 - 1207</t>
  </si>
  <si>
    <t>397346 - 12070</t>
  </si>
  <si>
    <t>397349 - 397347 - 397348 - 801999 - 397352 - 12071 - 397350 - 397351</t>
  </si>
  <si>
    <t>404554 - 235281 - 12076</t>
  </si>
  <si>
    <t>Mordelle noire à pointe</t>
  </si>
  <si>
    <t>404542 - 12091</t>
  </si>
  <si>
    <t>405147 - 235375 - 405149 - 405150 - 405146 - 12093 - 405148 - 802295</t>
  </si>
  <si>
    <t>405160 - 405161 - 12097</t>
  </si>
  <si>
    <t>405170 - 12101</t>
  </si>
  <si>
    <t>802212 - 12104</t>
  </si>
  <si>
    <t>Cardinal, Pyrochore écarlate</t>
  </si>
  <si>
    <t>12107 - 12106 - 802213 - 838523</t>
  </si>
  <si>
    <t>Mazarin des écorces, Cardinal à tête rouge</t>
  </si>
  <si>
    <t>Méloé enfle-boeufs ténébreux</t>
  </si>
  <si>
    <t>12113 - 397477 - 397481 - 397482 - 397479 - 397476 - 397478 - 397480</t>
  </si>
  <si>
    <t>Meloe enfle-boeufs violet</t>
  </si>
  <si>
    <t>802193 - 12117</t>
  </si>
  <si>
    <t>Mouche d'Espagne (la), Cantharide (la)</t>
  </si>
  <si>
    <t>802206 - 397397 - 397398 - 397396 - 397395 - 12123 - 397394 - 397399</t>
  </si>
  <si>
    <t>Grande Sitare</t>
  </si>
  <si>
    <t>982675 - 12127 - 893860</t>
  </si>
  <si>
    <t>802235 - 12133</t>
  </si>
  <si>
    <t>802171 - 12157</t>
  </si>
  <si>
    <t>Petit Cycliste à pattes vertes, Chrysanthie verte</t>
  </si>
  <si>
    <t>802166 - 12159</t>
  </si>
  <si>
    <t>1216 - 902407</t>
  </si>
  <si>
    <t>12172 - 802181</t>
  </si>
  <si>
    <t>Cycliste à bras jaunes</t>
  </si>
  <si>
    <t>802182 - 12174</t>
  </si>
  <si>
    <t>12176 - 820782 - 802183 - 820783</t>
  </si>
  <si>
    <t>Cycliste maillot-vert, Cycliste émeraude, Oedemère noble</t>
  </si>
  <si>
    <t>802184 - 12178 - 12177</t>
  </si>
  <si>
    <t>Cycliste maillot-jaune, Oedemère ochracée</t>
  </si>
  <si>
    <t>1218 - 850746</t>
  </si>
  <si>
    <t>Callilepis noctambule</t>
  </si>
  <si>
    <t>12180 - 802188</t>
  </si>
  <si>
    <t>Oedemère verte</t>
  </si>
  <si>
    <t>802042 - 12187</t>
  </si>
  <si>
    <t>Lagrie hérissée</t>
  </si>
  <si>
    <t>886486 - 407671 - 407672 - 721498 - 12197 - 407576</t>
  </si>
  <si>
    <t>12200 - 12199 - 802312</t>
  </si>
  <si>
    <t>Prione tanneur</t>
  </si>
  <si>
    <t>Rhagie fâchée</t>
  </si>
  <si>
    <t>12206 - 802358</t>
  </si>
  <si>
    <t>Rhagie grondeuse, Rhagie inquisitrice</t>
  </si>
  <si>
    <t>802356 - 12207</t>
  </si>
  <si>
    <t>Rhagie suspicieuse, Rhagie mordante</t>
  </si>
  <si>
    <t>926309 - 802357 - 12209 - 12208</t>
  </si>
  <si>
    <t>Rhagie délatrice, Rhagie sycophante</t>
  </si>
  <si>
    <t>926308 - 12211 - 802339</t>
  </si>
  <si>
    <t>926306 - 12214 - 926307 - 802359</t>
  </si>
  <si>
    <t>Lepture du milieu</t>
  </si>
  <si>
    <t>12216 - 802354 - 892600</t>
  </si>
  <si>
    <t>802350 - 12222</t>
  </si>
  <si>
    <t>Rhagie nez-de-clown</t>
  </si>
  <si>
    <t>12230 - 802349</t>
  </si>
  <si>
    <t>Lepture bossue</t>
  </si>
  <si>
    <t>12232 - 802318</t>
  </si>
  <si>
    <t>Lepturette rousse</t>
  </si>
  <si>
    <t>12233 - 802319</t>
  </si>
  <si>
    <t>Lepturette suédoise</t>
  </si>
  <si>
    <t>802313 - 12236 - 396459</t>
  </si>
  <si>
    <t>Lepture gitane</t>
  </si>
  <si>
    <t>12238 - 802315</t>
  </si>
  <si>
    <t>12239 - 527244</t>
  </si>
  <si>
    <t>Lepture goutte de miel</t>
  </si>
  <si>
    <t>Vraie Lepture noire</t>
  </si>
  <si>
    <t>12243 - 12242</t>
  </si>
  <si>
    <t>Lepture abeille, Lepture couleur d'or</t>
  </si>
  <si>
    <t>12247 - 12246</t>
  </si>
  <si>
    <t>Lepture guêpe</t>
  </si>
  <si>
    <t>802326 - 12249 - 926310</t>
  </si>
  <si>
    <t>Lepture de pique (femelle)</t>
  </si>
  <si>
    <t>802327 - 12252</t>
  </si>
  <si>
    <t>Lepture à poils durs</t>
  </si>
  <si>
    <t>12262 - 912428 - 12261</t>
  </si>
  <si>
    <t>Lepture trapue</t>
  </si>
  <si>
    <t>1227 - 902339</t>
  </si>
  <si>
    <t>802335 - 416807 - 12278</t>
  </si>
  <si>
    <t>Lepture à écusson doré, Lepture écussonné</t>
  </si>
  <si>
    <t>774056 - 12280 - 993108</t>
  </si>
  <si>
    <t>Lepture rouge sang</t>
  </si>
  <si>
    <t>926311 - 12282 - 774053 - 12284</t>
  </si>
  <si>
    <t>Lepture variable</t>
  </si>
  <si>
    <t>802370 - 12302</t>
  </si>
  <si>
    <t>Faux meunier, Spondyle bupreste</t>
  </si>
  <si>
    <t>802365 - 12304</t>
  </si>
  <si>
    <t>12309 - 396456 - 12307 - 12311 - 802363</t>
  </si>
  <si>
    <t>12314 - 802367</t>
  </si>
  <si>
    <t>12323 - 802415</t>
  </si>
  <si>
    <t>802436 - 12330</t>
  </si>
  <si>
    <t>Calleux Cycliste, Sténoptère roux</t>
  </si>
  <si>
    <t>820787 - 12336</t>
  </si>
  <si>
    <t>Grand Capricorne (Le)</t>
  </si>
  <si>
    <t>Petit Capricorne (Le)</t>
  </si>
  <si>
    <t>802431 - 12344</t>
  </si>
  <si>
    <t>802373 - 12346</t>
  </si>
  <si>
    <t>Parfumeur, Aromie musquée (L'), Capricorne musqué (Le)</t>
  </si>
  <si>
    <t>12348 - 802432</t>
  </si>
  <si>
    <t>Rosalie des Alpes</t>
  </si>
  <si>
    <t>Confidentielle stricte</t>
  </si>
  <si>
    <t>802423 - 12351</t>
  </si>
  <si>
    <t>Calleux charpentier, Capricorne des maisons</t>
  </si>
  <si>
    <t>396441 - 820788 - 7885 - 802386 - 951658 - 12354</t>
  </si>
  <si>
    <t>12357 - 802384 - 820789</t>
  </si>
  <si>
    <t>Cardinal imposteur</t>
  </si>
  <si>
    <t>396438 - 396436 - 396437 - 802377 - 12360</t>
  </si>
  <si>
    <t>Calleux chauffagiste</t>
  </si>
  <si>
    <t>12375 - 802412</t>
  </si>
  <si>
    <t>Clyte suspicieux</t>
  </si>
  <si>
    <t>802413 - 12377</t>
  </si>
  <si>
    <t>Clyte apaisé</t>
  </si>
  <si>
    <t>8207 - 802411 - 12378</t>
  </si>
  <si>
    <t>Clyte rustique</t>
  </si>
  <si>
    <t>12380 - 802402</t>
  </si>
  <si>
    <t>Clyte d'Eastwood, Clyte bélier (Le), Clyte guêpe (Le)</t>
  </si>
  <si>
    <t>12387 - 396433 - 396432 - 934707</t>
  </si>
  <si>
    <t>12389 - 802403</t>
  </si>
  <si>
    <t>Clyte fâché</t>
  </si>
  <si>
    <t>802406 - 820790 - 12398</t>
  </si>
  <si>
    <t>Clyte horrible, Clyte arqué</t>
  </si>
  <si>
    <t>802394 - 887308 - 12400</t>
  </si>
  <si>
    <t>12403 - 802399</t>
  </si>
  <si>
    <t>12404 - 802400</t>
  </si>
  <si>
    <t>802401 - 12405</t>
  </si>
  <si>
    <t>Clyte varié</t>
  </si>
  <si>
    <t>836072 - 1243 - 837803</t>
  </si>
  <si>
    <t>Pholque phalangiste</t>
  </si>
  <si>
    <t>409454 - 886468 - 803591 - 409452 - 409453 - 975068 - 12430</t>
  </si>
  <si>
    <t>409455 - 409458 - 12436 - 409457 - 409456 - 803574</t>
  </si>
  <si>
    <t>409467 - 12439</t>
  </si>
  <si>
    <t>899059 - 1244 - 402439</t>
  </si>
  <si>
    <t>803570 - 12447</t>
  </si>
  <si>
    <t>12460 - 802453</t>
  </si>
  <si>
    <t>802437 - 699686 - 12462</t>
  </si>
  <si>
    <t>Magistrat</t>
  </si>
  <si>
    <t>12463 - 802438</t>
  </si>
  <si>
    <t>Greffier</t>
  </si>
  <si>
    <t>12472 - 886447 - 802496</t>
  </si>
  <si>
    <t>12480 - 802488</t>
  </si>
  <si>
    <t>Saperde du Tilleul</t>
  </si>
  <si>
    <t>12490 - 12481 - 802490</t>
  </si>
  <si>
    <t>Petite Saperde</t>
  </si>
  <si>
    <t>802492 - 12482</t>
  </si>
  <si>
    <t>Saperde postale, Saperde à échelons</t>
  </si>
  <si>
    <t>12483 - 12477</t>
  </si>
  <si>
    <t>Saperde intermédiaire</t>
  </si>
  <si>
    <t>12492 - 802493</t>
  </si>
  <si>
    <t>396423 - 802494 - 12493</t>
  </si>
  <si>
    <t>12495 - 802476</t>
  </si>
  <si>
    <t>Aiguille travailleuse</t>
  </si>
  <si>
    <t>802479 - 12496</t>
  </si>
  <si>
    <t>12504 - 802469</t>
  </si>
  <si>
    <t>Aiguille noire</t>
  </si>
  <si>
    <t>12505 - 802470</t>
  </si>
  <si>
    <t>Obera bouffe</t>
  </si>
  <si>
    <t>12506 - 802471</t>
  </si>
  <si>
    <t>Obera comique</t>
  </si>
  <si>
    <t>12526 - 802563</t>
  </si>
  <si>
    <t>802559 - 12527</t>
  </si>
  <si>
    <t>802560 - 12528</t>
  </si>
  <si>
    <t>820795 - 884188 - 802570 - 12531</t>
  </si>
  <si>
    <t>Criocère du muguet</t>
  </si>
  <si>
    <t>983100 - 12540 - 983097 - 802568 - 12543</t>
  </si>
  <si>
    <t>12547 - 699660</t>
  </si>
  <si>
    <t>12548 - 802904 - 407579</t>
  </si>
  <si>
    <t>Clytre influent</t>
  </si>
  <si>
    <t>12567 - 802896 - 820798</t>
  </si>
  <si>
    <t>Clytre à petites taches</t>
  </si>
  <si>
    <t>12580 - 407586</t>
  </si>
  <si>
    <t>12585 - 407589</t>
  </si>
  <si>
    <t>12587 - 798374</t>
  </si>
  <si>
    <t>12590 - 802935</t>
  </si>
  <si>
    <t>Cagoule coccinelle</t>
  </si>
  <si>
    <t>12596 - 12618 - 802930 - 12595</t>
  </si>
  <si>
    <t>Cagoule sourire</t>
  </si>
  <si>
    <t>802927 - 12600</t>
  </si>
  <si>
    <t>Cagoule de Reims</t>
  </si>
  <si>
    <t>12604 - 802928</t>
  </si>
  <si>
    <t>Cagoule sanguine</t>
  </si>
  <si>
    <t>12606 - 802932</t>
  </si>
  <si>
    <t>Cagoule noire</t>
  </si>
  <si>
    <t>12609 - 802925</t>
  </si>
  <si>
    <t>12614 - 798359 - 798358 - 798357 - 798356</t>
  </si>
  <si>
    <t>Épisine tronqué</t>
  </si>
  <si>
    <t>718468 - 407575 - 12633 - 820801 - 802957 - 820800</t>
  </si>
  <si>
    <t>Mange-poison de l'épilobe, Gribouri, Ecrivain, Eumolpe</t>
  </si>
  <si>
    <t>968074 - 12635 - 846863</t>
  </si>
  <si>
    <t>Petit crache-sang, Chrysomèle de Barbara</t>
  </si>
  <si>
    <t>429797 - 429793 - 12641 - 802673</t>
  </si>
  <si>
    <t>802674 - 407626 - 407625 - 12643 - 12644 - 407628 - 407627 - 968080</t>
  </si>
  <si>
    <t>Grand crache-sang, Crache-sang</t>
  </si>
  <si>
    <t>802608 - 12704</t>
  </si>
  <si>
    <t>Chrysomèle à bandes jaunes</t>
  </si>
  <si>
    <t>903959 - 1271</t>
  </si>
  <si>
    <t>12713 - 407665 - 802685 - 407667 - 407666</t>
  </si>
  <si>
    <t>802694 - 241521 - 12715 - 407653 - 820805</t>
  </si>
  <si>
    <t>802695 - 12717 - 407654</t>
  </si>
  <si>
    <t>12719 - 407669 - 699721 - 802700</t>
  </si>
  <si>
    <t>Galérucelle du Gaillet, Alain VI</t>
  </si>
  <si>
    <t>407660 - 820806 - 802689 - 12721</t>
  </si>
  <si>
    <t>Chrysomèle de la Salicaire</t>
  </si>
  <si>
    <t>802690 - 975076 - 12723 - 407661</t>
  </si>
  <si>
    <t>802688 - 12725</t>
  </si>
  <si>
    <t>407662 - 12726 - 802692</t>
  </si>
  <si>
    <t>407670 - 12730 - 820804 - 802699</t>
  </si>
  <si>
    <t>Galéruque bleue, Chrysomèle  de l'Aulne, Galéruque de l'Aulne</t>
  </si>
  <si>
    <t>12744 - 802767</t>
  </si>
  <si>
    <t>12746 - 802761</t>
  </si>
  <si>
    <t>802857 - 12751</t>
  </si>
  <si>
    <t>12760 - 802840</t>
  </si>
  <si>
    <t>12762 - 802838</t>
  </si>
  <si>
    <t>12766 - 802743</t>
  </si>
  <si>
    <t>12767 - 802753</t>
  </si>
  <si>
    <t>802756 - 12770 - 975532</t>
  </si>
  <si>
    <t>802754 - 12771 - 12772</t>
  </si>
  <si>
    <t>12778 - 802752 - 975607</t>
  </si>
  <si>
    <t>798321 - 798322 - 975655 - 12779 - 802760 - 798320</t>
  </si>
  <si>
    <t>802860 - 12790</t>
  </si>
  <si>
    <t>12794 - 802866</t>
  </si>
  <si>
    <t>802727 - 886485 - 975610 - 12799</t>
  </si>
  <si>
    <t>802724 - 975617 - 12801 - 975616</t>
  </si>
  <si>
    <t>407694 - 802729 - 798318 - 12802 - 975079</t>
  </si>
  <si>
    <t>Altise bleue sans stries</t>
  </si>
  <si>
    <t>802728 - 12803</t>
  </si>
  <si>
    <t>12805 - 802731</t>
  </si>
  <si>
    <t>892615 - 886453 - 12807</t>
  </si>
  <si>
    <t>802801 - 12818</t>
  </si>
  <si>
    <t>12820 - 802813</t>
  </si>
  <si>
    <t>798343 - 12822 - 802816</t>
  </si>
  <si>
    <t>322732 - 802818 - 975609 - 12823 - 798344 - 975247 - 975608</t>
  </si>
  <si>
    <t>892622 - 12824</t>
  </si>
  <si>
    <t>12826 - 802827</t>
  </si>
  <si>
    <t>12832 - 802892</t>
  </si>
  <si>
    <t>12834 - 802770 - 798323</t>
  </si>
  <si>
    <t>12839 - 241565 - 802881</t>
  </si>
  <si>
    <t>Altise du colza</t>
  </si>
  <si>
    <t>892627 - 12849</t>
  </si>
  <si>
    <t>12855 - 12856</t>
  </si>
  <si>
    <t>1286 - 457286</t>
  </si>
  <si>
    <t>12865 - 802580</t>
  </si>
  <si>
    <t>Casside verte</t>
  </si>
  <si>
    <t>802514 - 12879</t>
  </si>
  <si>
    <t>12886 - 802521 - 407715</t>
  </si>
  <si>
    <t>802522 - 12887 - 407717</t>
  </si>
  <si>
    <t>12894 - 802542</t>
  </si>
  <si>
    <t>975072 - 407719 - 12895 - 407720 - 802543</t>
  </si>
  <si>
    <t>802527 - 12897</t>
  </si>
  <si>
    <t>803205 - 408985 - 408986 - 12919 - 408987 - 408984 - 983312 - 408983</t>
  </si>
  <si>
    <t>408997 - 408996 - 803206 - 408994 - 408999 - 409000 - 408995 - 12921 - 408998</t>
  </si>
  <si>
    <t>408886 - 983310 - 408883 - 408887 - 408888 - 803122 - 408884 - 408885 - 12926</t>
  </si>
  <si>
    <t>12928 - 803131 - 409059</t>
  </si>
  <si>
    <t>IIylesine brillante</t>
  </si>
  <si>
    <t>409057 - 803132 - 12933 - 409058</t>
  </si>
  <si>
    <t>803118 - 408854 - 12935 - 408855</t>
  </si>
  <si>
    <t>408856 - 408857 - 12936 - 803119 - 408858</t>
  </si>
  <si>
    <t>409063 - 409069 - 409071 - 409064 - 409068 - 242361 - 409067 - 409062 - 803211 - 409065 - 409070 - 409066 - 12942</t>
  </si>
  <si>
    <t>409080 - 803217 - 975047 - 409079 - 409078 - 988022 - 12945</t>
  </si>
  <si>
    <t>408927 - 803183 - 408928 - 12960 - 408925 - 408926 - 408924</t>
  </si>
  <si>
    <t>408940 - 408939 - 12961 - 803187</t>
  </si>
  <si>
    <t>408917 - 803189 - 12965</t>
  </si>
  <si>
    <t>408919 - 12966 - 408918 - 803190</t>
  </si>
  <si>
    <t>408923 - 12968 - 803194</t>
  </si>
  <si>
    <t>1298 - 903943</t>
  </si>
  <si>
    <t>903941 - 1299</t>
  </si>
  <si>
    <t>13015 - 409484 - 409483 - 13016 - 803575</t>
  </si>
  <si>
    <t>13023 - 13022</t>
  </si>
  <si>
    <t>409496 - 13044 - 409497 - 409494 - 409495 - 803573 - 409493 - 13047</t>
  </si>
  <si>
    <t>Charançon à corselet sillonné</t>
  </si>
  <si>
    <t>903939 - 1306</t>
  </si>
  <si>
    <t>13071 - 13072</t>
  </si>
  <si>
    <t>803582 - 13089 - 13088</t>
  </si>
  <si>
    <t>409530 - 409536 - 13097 - 409535 - 13100 - 13101 - 409532 - 409542 - 13096 - 409541 - 409544 - 409543 - 409529 - 409546 - 409540 - 409547 - 409539 - 409538 - 409533 - 409545 - 409534 - 409537 - 409531 - 803572</t>
  </si>
  <si>
    <t>Charançon gris à étuis réunis &amp; chagrinés</t>
  </si>
  <si>
    <t>13173 - 13174 - 951309</t>
  </si>
  <si>
    <t>Péritèle gris</t>
  </si>
  <si>
    <t>402477 - 1320 - 903938 - 1312</t>
  </si>
  <si>
    <t>409774 - 409769 - 409775 - 409771 - 13229 - 409772 - 409767 - 409773 - 409768 - 409770 - 803615 - 13228</t>
  </si>
  <si>
    <t>Charançons à étuis fauves</t>
  </si>
  <si>
    <t>1323 - 903956</t>
  </si>
  <si>
    <t>13243 - 829502 - 803646</t>
  </si>
  <si>
    <t>Sitone du pois</t>
  </si>
  <si>
    <t>402469 - 1325</t>
  </si>
  <si>
    <t>13267 - 409655</t>
  </si>
  <si>
    <t>903955 - 1328 - 1280</t>
  </si>
  <si>
    <t>Théridion ovoïde</t>
  </si>
  <si>
    <t>13295 - 13296</t>
  </si>
  <si>
    <t>829503 - 951317 - 951319 - 803645 - 432362 - 951320 - 13301 - 951318</t>
  </si>
  <si>
    <t>13305 - 409641 - 409640</t>
  </si>
  <si>
    <t>13307 - 409646 - 409645 - 409648 - 409647</t>
  </si>
  <si>
    <t>409642 - 409644 - 13308 - 13311 - 409643</t>
  </si>
  <si>
    <t>903996 - 1335</t>
  </si>
  <si>
    <t>408595 - 13387 - 408597 - 803745 - 408596 - 408598</t>
  </si>
  <si>
    <t>408590 - 803752 - 699689 - 408588 - 408589 - 13453 - 408591 - 1008643</t>
  </si>
  <si>
    <t>13484 - 13483 - 847436</t>
  </si>
  <si>
    <t>803619 - 13496 - 13501 - 13495 - 13504 - 13502 - 13528</t>
  </si>
  <si>
    <t>409723 - 409724 - 13506 - 13505 - 409722 - 252888 - 803618 - 409725 - 887596 - 409721</t>
  </si>
  <si>
    <t>13511 - 13513 - 803620</t>
  </si>
  <si>
    <t>886454 - 13515 - 409776 - 13516</t>
  </si>
  <si>
    <t>13525 - 409761 - 409762 - 409764 - 409759 - 409765 - 13524 - 13526 - 409763 - 409766 - 409760 - 951356</t>
  </si>
  <si>
    <t>Charançon de l'Ortie</t>
  </si>
  <si>
    <t>1353 - 457287 - 904015</t>
  </si>
  <si>
    <t>Théridiosome précieuse</t>
  </si>
  <si>
    <t>409719 - 13535 - 13536 - 803617 - 409720 - 13534</t>
  </si>
  <si>
    <t>13573 - 409321</t>
  </si>
  <si>
    <t>409314 - 13597</t>
  </si>
  <si>
    <t>903581 - 1361</t>
  </si>
  <si>
    <t>Linyphie triangulaire</t>
  </si>
  <si>
    <t>1363 - 457296</t>
  </si>
  <si>
    <t>884901 - 13673 - 13672</t>
  </si>
  <si>
    <t>13676 - 13675</t>
  </si>
  <si>
    <t>13681 - 13680</t>
  </si>
  <si>
    <t>886440 - 13685 - 13684</t>
  </si>
  <si>
    <t>13692 - 13693</t>
  </si>
  <si>
    <t>Charançon vert pâle</t>
  </si>
  <si>
    <t>13705 - 13704 - 803659</t>
  </si>
  <si>
    <t>13722 - 13723 - 975069</t>
  </si>
  <si>
    <t>886482 - 13724 - 803658</t>
  </si>
  <si>
    <t>13729 - 13730</t>
  </si>
  <si>
    <t>13737 - 13738 - 884895</t>
  </si>
  <si>
    <t>1397 - 903370 - 1377</t>
  </si>
  <si>
    <t>409328 - 13794</t>
  </si>
  <si>
    <t>13800 - 13799 - 803550</t>
  </si>
  <si>
    <t>803640 - 409327 - 13818</t>
  </si>
  <si>
    <t>1383 - 897394</t>
  </si>
  <si>
    <t>13851 - 409598 - 409595 - 409593 - 409597 - 409589 - 13852 - 409594 - 803557 - 409592 - 409596 - 409591 - 409599 - 409590</t>
  </si>
  <si>
    <t>409622 - 409619 - 797164 - 13868 - 803555 - 409620 - 13867 - 409621</t>
  </si>
  <si>
    <t>903561 - 1388</t>
  </si>
  <si>
    <t>409710 - 803566 - 409712 - 409709 - 409708 - 409711 - 13886</t>
  </si>
  <si>
    <t>409707 - 409706 - 803565 - 13892</t>
  </si>
  <si>
    <t>409701 - 409700 - 13895</t>
  </si>
  <si>
    <t>13975 - 408388 - 408390 - 803782 - 408389</t>
  </si>
  <si>
    <t>Charançon à dents de sabre</t>
  </si>
  <si>
    <t>408460 - 408461 - 13982 - 408463 - 408464 - 408469 - 408465 - 408468 - 13977 - 408470 - 13978 - 408466 - 408467 - 408459 - 408462 - 408471</t>
  </si>
  <si>
    <t>Charançon poudré, Lixe des ombellifères</t>
  </si>
  <si>
    <t>903372 - 1399</t>
  </si>
  <si>
    <t>903375 - 1400</t>
  </si>
  <si>
    <t>903386 - 1403</t>
  </si>
  <si>
    <t>14035 - 14034</t>
  </si>
  <si>
    <t>1405 - 903428</t>
  </si>
  <si>
    <t>1407 - 903429</t>
  </si>
  <si>
    <t>408405 - 408408 - 408403 - 14073 - 408404 - 408406 - 408402 - 408407 - 803777</t>
  </si>
  <si>
    <t>Charançon travailleur</t>
  </si>
  <si>
    <t>1008649 - 408561 - 14118 - 888282 - 408566 - 408565 - 408567 - 408564 - 408562</t>
  </si>
  <si>
    <t>Charançon tacheté des têtes de chardon</t>
  </si>
  <si>
    <t>803773 - 408578 - 408577 - 408576 - 14122 - 14123</t>
  </si>
  <si>
    <t>Larin étourneau</t>
  </si>
  <si>
    <t>14125 - 408573 - 888283</t>
  </si>
  <si>
    <t>408574 - 803772 - 14126 - 408575 - 14127 - 14124 - 408572</t>
  </si>
  <si>
    <t>14096 - 408557 - 14135</t>
  </si>
  <si>
    <t>903658 - 402411 - 1414</t>
  </si>
  <si>
    <t>14145 - 408684 - 408681 - 408677 - 408678 - 408679 - 803788 - 408682 - 408683 - 408680</t>
  </si>
  <si>
    <t>Charançon du Chardon penché</t>
  </si>
  <si>
    <t>1417 - 903677</t>
  </si>
  <si>
    <t>1421 - 903687</t>
  </si>
  <si>
    <t>903826 - 934008 - 718051 - 1423</t>
  </si>
  <si>
    <t>803695 - 14236</t>
  </si>
  <si>
    <t>408266 - 408268 - 14240 - 408270 - 408264 - 408263 - 408269 - 408265 - 803691 - 408262 - 408267</t>
  </si>
  <si>
    <t>408302 - 408301 - 893574 - 408299 - 14245 - 408303 - 408300 - 408298 - 408297</t>
  </si>
  <si>
    <t>1425 - 903876</t>
  </si>
  <si>
    <t>408200 - 803705 - 408201 - 14250 - 408202 - 408203 - 408205 - 408204 - 408206 - 408199</t>
  </si>
  <si>
    <t>408243 - 951313 - 408244 - 408240 - 408253 - 408239 - 408246 - 408249 - 408251 - 408242 - 408250 - 803702 - 242174 - 408248 - 408252 - 408245 - 408241 - 14260</t>
  </si>
  <si>
    <t>407832 - 14276 - 407829 - 407830 - 407831 - 408229 - 408232 - 408234 - 17023 - 408235 - 408227 - 408233 - 408231 - 408230 - 408228</t>
  </si>
  <si>
    <t>408259 - 408258 - 803704 - 14283</t>
  </si>
  <si>
    <t>408187 - 242169 - 14293 - 803725</t>
  </si>
  <si>
    <t>14324 - 408261</t>
  </si>
  <si>
    <t>14349 - 803805 - 951303 - 951304</t>
  </si>
  <si>
    <t>Lepyre annoncé</t>
  </si>
  <si>
    <t>803804 - 14352</t>
  </si>
  <si>
    <t>951349 - 951351 - 14360 - 14359 - 951348 - 951350</t>
  </si>
  <si>
    <t>Grand charançon du pin, Hylobe du pin</t>
  </si>
  <si>
    <t>803802 - 14365</t>
  </si>
  <si>
    <t>903280 - 1437</t>
  </si>
  <si>
    <t>803811 - 14377 - 14378</t>
  </si>
  <si>
    <t>Charançon du Laser</t>
  </si>
  <si>
    <t>1438 - 903284</t>
  </si>
  <si>
    <t>803812 - 14383</t>
  </si>
  <si>
    <t>14386 - 803810</t>
  </si>
  <si>
    <t>Charançon de la carotte, Charançon couronné</t>
  </si>
  <si>
    <t>951300 - 14396 - 951301 - 803815 - 951299 - 951298 - 951297</t>
  </si>
  <si>
    <t>14410 - 14409 - 803817 - 14411</t>
  </si>
  <si>
    <t>Charançon cratère</t>
  </si>
  <si>
    <t>1442 - 903407</t>
  </si>
  <si>
    <t>14425 - 803807</t>
  </si>
  <si>
    <t>Érigone noire</t>
  </si>
  <si>
    <t>803504 - 14453 - 408346 - 408345</t>
  </si>
  <si>
    <t>14455 - 803505</t>
  </si>
  <si>
    <t>903442 - 1446</t>
  </si>
  <si>
    <t>803819 - 14471</t>
  </si>
  <si>
    <t>14478 - 14476 - 14477</t>
  </si>
  <si>
    <t>14479 - 410148 - 803794 - 14480 - 14481 - 410149</t>
  </si>
  <si>
    <t>14483 - 14482 - 803793</t>
  </si>
  <si>
    <t>14484 - 14485 - 410147 - 410145 - 803792 - 410146</t>
  </si>
  <si>
    <t>14487 - 803791</t>
  </si>
  <si>
    <t>410166 - 14492 - 410165 - 14491 - 410167 - 410163 - 410164</t>
  </si>
  <si>
    <t>14494 - 410161 - 803790 - 410157 - 14493 - 410158 - 410162 - 410159 - 14495 - 410160</t>
  </si>
  <si>
    <t>410171 - 14498 - 410173 - 410172 - 410170 - 14497</t>
  </si>
  <si>
    <t>Charançon noir à corselet armé</t>
  </si>
  <si>
    <t>410176 - 14501 - 410175 - 410177 - 803797 - 14502 - 14503 - 410174</t>
  </si>
  <si>
    <t>14508 - 14523 - 410182 - 14524 - 803801 - 14509 - 410183</t>
  </si>
  <si>
    <t>903470 - 1451</t>
  </si>
  <si>
    <t>410181 - 14515 - 410180 - 14514 - 410179 - 803800</t>
  </si>
  <si>
    <t>803799 - 14519 - 14518</t>
  </si>
  <si>
    <t>14520 - 884909 - 14521 - 410178</t>
  </si>
  <si>
    <t>803789 - 410168 - 14527 - 14528</t>
  </si>
  <si>
    <t>803246 - 409202 - 409200 - 409201 - 14531 - 409203</t>
  </si>
  <si>
    <t>1455 - 903488</t>
  </si>
  <si>
    <t>1457 - 903492</t>
  </si>
  <si>
    <t>14571 - 803384 - 14570</t>
  </si>
  <si>
    <t>14582 - 14581 - 884630 - 975060</t>
  </si>
  <si>
    <t>1365 - 1463</t>
  </si>
  <si>
    <t>903726 - 1465</t>
  </si>
  <si>
    <t>14651 - 408373</t>
  </si>
  <si>
    <t>1466 - 903729</t>
  </si>
  <si>
    <t>408342 - 14663</t>
  </si>
  <si>
    <t>903731 - 1467</t>
  </si>
  <si>
    <t>1468 - 1469 - 903732</t>
  </si>
  <si>
    <t>14714 - 14715 - 408371 - 884872 - 408372 - 14716 - 14717</t>
  </si>
  <si>
    <t>903747 - 1472</t>
  </si>
  <si>
    <t>1476 - 903752 - 1473</t>
  </si>
  <si>
    <t>884873 - 975051 - 14736 - 408354 - 14737 - 14738 - 408353</t>
  </si>
  <si>
    <t>1478 - 903759</t>
  </si>
  <si>
    <t>Érigone cul-noir</t>
  </si>
  <si>
    <t>409937 - 409933 - 409936 - 409939 - 409934 - 803480 - 409935 - 14815 - 409938</t>
  </si>
  <si>
    <t>Charançon des iris, Charançon de l'Iris des marais</t>
  </si>
  <si>
    <t>850739 - 1489</t>
  </si>
  <si>
    <t>409858 - 409863 - 409862 - 14901 - 409861 - 803495 - 14900 - 14904 - 409860 - 409859</t>
  </si>
  <si>
    <t>14946 - 409833 - 803500 - 409832 - 409834 - 242670</t>
  </si>
  <si>
    <t>Charançon justicier</t>
  </si>
  <si>
    <t>1495 - 903859</t>
  </si>
  <si>
    <t>410141 - 410143 - 14959 - 803394 - 410142 - 1016711</t>
  </si>
  <si>
    <t>803475 - 14966 - 1016712 - 410130</t>
  </si>
  <si>
    <t>803425 - 14968 - 409978 - 409976 - 409977</t>
  </si>
  <si>
    <t>903685 - 1497</t>
  </si>
  <si>
    <t>803473 - 14973 - 409806</t>
  </si>
  <si>
    <t>409810 - 409808 - 803474 - 409809 - 409811 - 409807 - 14974</t>
  </si>
  <si>
    <t>409919 - 409920 - 409924 - 14978 - 409916 - 409921 - 803446 - 409928 - 409913 - 409917 - 409931 - 409923 - 409914 - 409930 - 409926 - 409918 - 409929 - 409915 - 409927 - 409925 - 409932 - 409922</t>
  </si>
  <si>
    <t>Charançon à bandes blanches</t>
  </si>
  <si>
    <t>803415 - 410022 - 410020 - 410021 - 15033 - 410023 - 410019 - 410024 - 410018 - 15031 - 15035</t>
  </si>
  <si>
    <t>1504 - 903809</t>
  </si>
  <si>
    <t>15042 - 803413 - 410013</t>
  </si>
  <si>
    <t>409818 - 803471 - 409817 - 409819 - 887597 - 15061</t>
  </si>
  <si>
    <t>850747 - 1530</t>
  </si>
  <si>
    <t>Tétragnathe étirée</t>
  </si>
  <si>
    <t>1537 - 903924</t>
  </si>
  <si>
    <t>Nestique alvéolé</t>
  </si>
  <si>
    <t>Charançon de la tige du colza</t>
  </si>
  <si>
    <t>410098 - 15384 - 15383</t>
  </si>
  <si>
    <t>853890 - 15362 - 803397 - 410040 - 410039 - 15387</t>
  </si>
  <si>
    <t>Charançon des siliques du colza</t>
  </si>
  <si>
    <t>853882 - 15410 - 803400 - 15411</t>
  </si>
  <si>
    <t>15418 - 410123 - 15417</t>
  </si>
  <si>
    <t>1546 - 903928</t>
  </si>
  <si>
    <t>853884 - 15462 - 410046 - 410045 - 15461</t>
  </si>
  <si>
    <t>15470 - 1016707 - 410083 - 410082 - 901376 - 15471 - 803403</t>
  </si>
  <si>
    <t>Charançon du chou, Charançon de la tige du chou</t>
  </si>
  <si>
    <t>410086 - 15479 - 15480 - 410087</t>
  </si>
  <si>
    <t>Charançon du bourgeon terminal</t>
  </si>
  <si>
    <t>410085 - 15496 - 15495</t>
  </si>
  <si>
    <t>1552 - 1551 - 1550 - 903133</t>
  </si>
  <si>
    <t>Épeire frelon</t>
  </si>
  <si>
    <t>15502 - 410054 - 410056 - 15531 - 15503 - 894850 - 410055</t>
  </si>
  <si>
    <t>15506 - 242751 - 15504 - 410072 - 410074 - 15505 - 410073 - 410071 - 803401 - 15507</t>
  </si>
  <si>
    <t>803828 - 15536 - 328365 - 431693 - 431451 - 431696</t>
  </si>
  <si>
    <t>15541 - 803501</t>
  </si>
  <si>
    <t>820784 - 15546 - 951352 - 803083</t>
  </si>
  <si>
    <t>Charançon du blé, Calandre des grains, Calandre des greniers</t>
  </si>
  <si>
    <t>911112 - 640669 - 923317 - 15551 - 803085</t>
  </si>
  <si>
    <t>Charançon du riz</t>
  </si>
  <si>
    <t>1556 - 901455 - 901454 - 889</t>
  </si>
  <si>
    <t>Épeire de velours</t>
  </si>
  <si>
    <t>803088 - 410202 - 410201 - 15544 - 410205 - 410203 - 410204 - 410200 - 15562</t>
  </si>
  <si>
    <t>15572 - 884621 - 410207 - 410209 - 410210 - 410206 - 410186 - 410208</t>
  </si>
  <si>
    <t>Charançon grain de café</t>
  </si>
  <si>
    <t>1559 - 891</t>
  </si>
  <si>
    <t>Épeires concombres</t>
  </si>
  <si>
    <t>903153 - 1563</t>
  </si>
  <si>
    <t>1596 - 1564 - 903151</t>
  </si>
  <si>
    <t>Épeire à bosses</t>
  </si>
  <si>
    <t>884624 - 409118 - 15663</t>
  </si>
  <si>
    <t>Balamin éléphant</t>
  </si>
  <si>
    <t>803276 - 951370 - 15668</t>
  </si>
  <si>
    <t>15685 - 803274 - 15672 - 409119</t>
  </si>
  <si>
    <t>977889 - 409120 - 15675</t>
  </si>
  <si>
    <t>Balanin des noisettes</t>
  </si>
  <si>
    <t>409125 - 15679 - 409127 - 409124 - 409122 - 409126 - 409123 - 409121</t>
  </si>
  <si>
    <t>15694 - 431452 - 803275</t>
  </si>
  <si>
    <t>15706 - 803255 - 409143 - 409144 - 409142</t>
  </si>
  <si>
    <t>409168 - 409169 - 409165 - 803251 - 15718 - 409166 - 409167 - 409164</t>
  </si>
  <si>
    <t>15727 - 15750 - 803253 - 15729</t>
  </si>
  <si>
    <t>803249 - 409154 - 15754 - 409155 - 409157 - 409156 - 15734</t>
  </si>
  <si>
    <t>1574 - 1602</t>
  </si>
  <si>
    <t>Épeire des fissures</t>
  </si>
  <si>
    <t>15742 - 409158 - 409159</t>
  </si>
  <si>
    <t>803256 - 15761 - 15759 - 15760</t>
  </si>
  <si>
    <t>15765 - 15764 - 15763</t>
  </si>
  <si>
    <t>409140 - 409138 - 15766 - 409141 - 409139 - 15767 - 15768 - 1018823</t>
  </si>
  <si>
    <t>252008 - 252006 - 402357 - 1580 - 457327 - 252005 - 252007 - 903138 - 252004</t>
  </si>
  <si>
    <t>Épeire conique</t>
  </si>
  <si>
    <t>903140 - 1581</t>
  </si>
  <si>
    <t>699592 - 803369 - 15822</t>
  </si>
  <si>
    <t>803371 - 15824</t>
  </si>
  <si>
    <t>982987 - 15838 - 982988 - 982992 - 803378</t>
  </si>
  <si>
    <t>1585 - 903171</t>
  </si>
  <si>
    <t>Mangore petite-bouteille</t>
  </si>
  <si>
    <t>15853 - 803374 - 15852</t>
  </si>
  <si>
    <t>803379 - 15856</t>
  </si>
  <si>
    <t>903221 - 1587</t>
  </si>
  <si>
    <t>15901 - 803373</t>
  </si>
  <si>
    <t>15912 - 409116 - 15918</t>
  </si>
  <si>
    <t>811533 - 941034 - 159443 - 159442 - 777609 - 941033</t>
  </si>
  <si>
    <t>Écaille chinée (L')</t>
  </si>
  <si>
    <t>15947 - 803368</t>
  </si>
  <si>
    <t>Charançon atomique</t>
  </si>
  <si>
    <t>1595 - 251998</t>
  </si>
  <si>
    <t>Épeire angulaire</t>
  </si>
  <si>
    <t>15952 - 15950 - 803263</t>
  </si>
  <si>
    <t>Charançon  noir à thorax bicolore</t>
  </si>
  <si>
    <t>15953 - 15951 - 951372 - 803261</t>
  </si>
  <si>
    <t>Charançon noir à thorax blanc</t>
  </si>
  <si>
    <t>939199 - 803259 - 939200 - 15954</t>
  </si>
  <si>
    <t>Charançon gris de la scrophulaire</t>
  </si>
  <si>
    <t>15958 - 252817</t>
  </si>
  <si>
    <t>15968 - 803260</t>
  </si>
  <si>
    <t>1597 - 252002 - 252001 - 894 - 1599 - 252000</t>
  </si>
  <si>
    <t>Épeire diadème</t>
  </si>
  <si>
    <t>803258 - 15970</t>
  </si>
  <si>
    <t>Charançon alouette</t>
  </si>
  <si>
    <t>15974 - 803266</t>
  </si>
  <si>
    <t>252003 - 1598 - 457326</t>
  </si>
  <si>
    <t>Épeire à quatre points</t>
  </si>
  <si>
    <t>803264 - 15980</t>
  </si>
  <si>
    <t>16009 - 803079 - 16008</t>
  </si>
  <si>
    <t>16020 - 16018 - 16019</t>
  </si>
  <si>
    <t>1604 - 1606</t>
  </si>
  <si>
    <t>Thomise replet</t>
  </si>
  <si>
    <t>803313 - 16078</t>
  </si>
  <si>
    <t>1610 - 903077 - 1611</t>
  </si>
  <si>
    <t>Misumène variable</t>
  </si>
  <si>
    <t>16119 - 975056</t>
  </si>
  <si>
    <t>162667 - 904893</t>
  </si>
  <si>
    <t>Écrevisse de Californie (L'), Écrevisse signal (L'), Écrevisse du Pacifique (L')</t>
  </si>
  <si>
    <t>819741 - 162668</t>
  </si>
  <si>
    <t>Écrevisse de Louisiane (L'), Écrevisse rouge de Louisiane (L'), Écrevisse rouge des marais (L')</t>
  </si>
  <si>
    <t>412336 - 412327 - 412329 - 412333 - 412331 - 162679 - 412335 - 412330 - 412334 - 412328 - 412337</t>
  </si>
  <si>
    <t>Nérite des rivières</t>
  </si>
  <si>
    <t>Cochlostome commun</t>
  </si>
  <si>
    <t>Aiguillette bordée</t>
  </si>
  <si>
    <t>412376 - 412374 - 412375 - 162700</t>
  </si>
  <si>
    <t>Aiguillette luisante</t>
  </si>
  <si>
    <t>933551 - 779965 - 162703</t>
  </si>
  <si>
    <t>Aiguillette de Dupuy</t>
  </si>
  <si>
    <t>Bythiospée rhénane</t>
  </si>
  <si>
    <t>929884 - 162785</t>
  </si>
  <si>
    <t>Bythiospée du Jura</t>
  </si>
  <si>
    <t>Grande bythiospée</t>
  </si>
  <si>
    <t>162791 - 782813</t>
  </si>
  <si>
    <t>Bythiospée de Saint-Amour</t>
  </si>
  <si>
    <t>904336 - 162792</t>
  </si>
  <si>
    <t>Bythiospée de Baume-les-messieurs</t>
  </si>
  <si>
    <t>Bythiospée de la Bresse</t>
  </si>
  <si>
    <t>929882 - 162794</t>
  </si>
  <si>
    <t>Bythiospée intermédiaire</t>
  </si>
  <si>
    <t>532764 - 162820 - 837182</t>
  </si>
  <si>
    <t>Globhydrobie du Doubs</t>
  </si>
  <si>
    <t>532765 - 162821 - 163469 - 904538</t>
  </si>
  <si>
    <t>Globhydrobie de Besançon</t>
  </si>
  <si>
    <t>412457 - 458859 - 913019 - 162822 - 163467 - 1000634 - 913018 - 770196</t>
  </si>
  <si>
    <t>Globhydrobie commune</t>
  </si>
  <si>
    <t>Globhydrobie du Jura</t>
  </si>
  <si>
    <t>Bythinelle de Quenoche</t>
  </si>
  <si>
    <t>Bythinelle trompeuse</t>
  </si>
  <si>
    <t>412485 - 412486 - 162872</t>
  </si>
  <si>
    <t>Mercurie trompette</t>
  </si>
  <si>
    <t>162879 - 62005</t>
  </si>
  <si>
    <t>Valvée nordique</t>
  </si>
  <si>
    <t>412497 - 162884 - 905025</t>
  </si>
  <si>
    <t>Limnée des marais</t>
  </si>
  <si>
    <t>905022 - 162885</t>
  </si>
  <si>
    <t>Limnée d'Europe</t>
  </si>
  <si>
    <t>899725 - 777734 - 64058 - 900207 - 162891</t>
  </si>
  <si>
    <t>Limnée cristalline</t>
  </si>
  <si>
    <t>904834 - 162902 - 972078 - 972076</t>
  </si>
  <si>
    <t>Planorbine américaine</t>
  </si>
  <si>
    <t>162915 - 64106 - 899845 - 899849 - 897072 - 908761</t>
  </si>
  <si>
    <t>Planorbine voyageuse</t>
  </si>
  <si>
    <t>412598 - 412597 - 416679 - 162934</t>
  </si>
  <si>
    <t>Ambrette terrestre</t>
  </si>
  <si>
    <t>412591 - 412595 - 412581 - 412576 - 412583 - 412594 - 162935 - 412580 - 412574 - 412587 - 412586 - 412592 - 412596 - 64166 - 412589 - 412582 - 412588</t>
  </si>
  <si>
    <t>Ambrette élégante</t>
  </si>
  <si>
    <t>928082 - 162936</t>
  </si>
  <si>
    <t>Ambrette des marais</t>
  </si>
  <si>
    <t>162937 - 199773 - 651118 - 412573</t>
  </si>
  <si>
    <t>Ambrette des sables</t>
  </si>
  <si>
    <t>899728 - 412614 - 412616 - 412615 - 162942 - 782403</t>
  </si>
  <si>
    <t>Brillante dentée</t>
  </si>
  <si>
    <t>412631 - 928036 - 412632 - 162946</t>
  </si>
  <si>
    <t>Maillot fragile</t>
  </si>
  <si>
    <t>Maillot baril</t>
  </si>
  <si>
    <t>928108 - 412636 - 416676 - 412641 - 412642 - 412637 - 162949</t>
  </si>
  <si>
    <t>Maillot barillet</t>
  </si>
  <si>
    <t>412667 - 162959</t>
  </si>
  <si>
    <t>Vallonie des pelouses</t>
  </si>
  <si>
    <t>412666 - 928112 - 162960</t>
  </si>
  <si>
    <t>Vallonie des marais</t>
  </si>
  <si>
    <t>412649 - 162964 - 777751 - 412650</t>
  </si>
  <si>
    <t>Escargotin hérisson</t>
  </si>
  <si>
    <t>412683 - 412688 - 412682 - 412684 - 809563 - 162967 - 412686 - 412685 - 412687</t>
  </si>
  <si>
    <t>Maillot pygmée</t>
  </si>
  <si>
    <t>412681 - 928093 - 162968 - 412680</t>
  </si>
  <si>
    <t>Maillot des rochers</t>
  </si>
  <si>
    <t>412675 - 532746 - 162969 - 928092 - 928090</t>
  </si>
  <si>
    <t>Maillot des Alpes</t>
  </si>
  <si>
    <t>412691 - 762419 - 162970 - 412692</t>
  </si>
  <si>
    <t>Pyramidule des rochers</t>
  </si>
  <si>
    <t>162971 - 925132 - 412690 - 412689</t>
  </si>
  <si>
    <t>Pyramidule commun</t>
  </si>
  <si>
    <t>762420 - 412710 - 412707 - 412709 - 162972 - 412694 - 412704 - 412703 - 412698 - 412706 - 412705 - 412699 - 412693 - 412695 - 412696 - 412700 - 412701 - 412702 - 412708 - 412697</t>
  </si>
  <si>
    <t>Maillot grain</t>
  </si>
  <si>
    <t>762421 - 162973</t>
  </si>
  <si>
    <t>412745 - 412751 - 412740 - 412737 - 730613 - 412733 - 412736 - 412742 - 412743 - 412739 - 412734 - 412749 - 412741 - 412746 - 412747 - 412735 - 412748 - 412744 - 412732 - 412753 - 412731 - 412752 - 162975 - 623022 - 412738 - 412750</t>
  </si>
  <si>
    <t>Maillot variable</t>
  </si>
  <si>
    <t>Maillot seigle</t>
  </si>
  <si>
    <t>Maillot avoine</t>
  </si>
  <si>
    <t>1630 - 903091</t>
  </si>
  <si>
    <t>Thomise tronqué</t>
  </si>
  <si>
    <t>163008 - 900405 - 413034 - 413031 - 413029 - 900406 - 413033 - 413030 - 413032 - 927924</t>
  </si>
  <si>
    <t>Columelle édentée</t>
  </si>
  <si>
    <t>Columelle obèse</t>
  </si>
  <si>
    <t>413025 - 413021 - 908689 - 413026 - 413023 - 163012 - 908690 - 61752 - 413027 - 413022 - 413024</t>
  </si>
  <si>
    <t>Maillotin mousseron</t>
  </si>
  <si>
    <t>782353 - 163013 - 782341 - 413012 - 413016 - 413010 - 413014 - 413015 - 413011 - 413013</t>
  </si>
  <si>
    <t>Maillotin denté</t>
  </si>
  <si>
    <t>413017 - 927923 - 413018 - 413019 - 163014 - 413020</t>
  </si>
  <si>
    <t>Maillotin strié</t>
  </si>
  <si>
    <t>412990 - 412989 - 412986 - 412987 - 163016 - 412988 - 412991</t>
  </si>
  <si>
    <t>Vertigo inverse</t>
  </si>
  <si>
    <t>412963 - 412962 - 412965 - 412964 - 412968 - 412970 - 412972 - 412971 - 412969 - 412966 - 163017 - 762416 - 412973 - 412961</t>
  </si>
  <si>
    <t>Vertigo des marais</t>
  </si>
  <si>
    <t>413003 - 928116 - 163018</t>
  </si>
  <si>
    <t>Vertigo strié</t>
  </si>
  <si>
    <t>762417 - 412992 - 412995 - 412996 - 412997 - 412998 - 413002 - 412994 - 412999 - 413000 - 163019 - 928549 - 413001 - 412993</t>
  </si>
  <si>
    <t>Vertigo commun</t>
  </si>
  <si>
    <t>163024 - 412958 - 412959 - 412960</t>
  </si>
  <si>
    <t>Vertigo des Alpes</t>
  </si>
  <si>
    <t>413039 - 413041 - 163026</t>
  </si>
  <si>
    <t>Bulime inverse</t>
  </si>
  <si>
    <t>163028 - 762418</t>
  </si>
  <si>
    <t>Bulime montagnard</t>
  </si>
  <si>
    <t>64151 - 928553 - 928552 - 777795 - 413045 - 163029 - 779163 - 413046 - 928554</t>
  </si>
  <si>
    <t>Bulime boueux</t>
  </si>
  <si>
    <t>Fuseau oriental</t>
  </si>
  <si>
    <t>Fuseau strié</t>
  </si>
  <si>
    <t>413136 - 413135 - 163047 - 413134 - 413133 - 413137</t>
  </si>
  <si>
    <t>Grande massue</t>
  </si>
  <si>
    <t>900198 - 163048 - 413138 - 413140</t>
  </si>
  <si>
    <t>Massue atlantique</t>
  </si>
  <si>
    <t>413142 - 928039 - 521611 - 416673 - 163050 - 413141</t>
  </si>
  <si>
    <t>Massue orientale</t>
  </si>
  <si>
    <t>Massue costulée</t>
  </si>
  <si>
    <t>413129 - 413120 - 413117 - 413130 - 413131 - 413119 - 413132 - 413121 - 163057 - 413125 - 413124 - 413118 - 413128 - 413123 - 413127 - 413122 - 413126</t>
  </si>
  <si>
    <t>Clausilie douteuse</t>
  </si>
  <si>
    <t>413099 - 413101 - 413103 - 413098 - 413100 - 413102 - 413096 - 416661 - 163064 - 413097</t>
  </si>
  <si>
    <t>Clausilie lisse</t>
  </si>
  <si>
    <t>413080 - 413077 - 413075 - 413079 - 413076 - 413083 - 413078 - 163068 - 413082</t>
  </si>
  <si>
    <t>Clausilie commune</t>
  </si>
  <si>
    <t>163072 - 928145</t>
  </si>
  <si>
    <t>Clausilie orientale</t>
  </si>
  <si>
    <t>163076 - 413074</t>
  </si>
  <si>
    <t>Clausilie dentée</t>
  </si>
  <si>
    <t>163077 - 413068 - 413070 - 784884 - 413067 - 413069</t>
  </si>
  <si>
    <t>Balée commune</t>
  </si>
  <si>
    <t>163079 - 413210 - 777731 - 413209 - 899732 - 912009 - 413219 - 413213 - 413214</t>
  </si>
  <si>
    <t>Aiguillette commune</t>
  </si>
  <si>
    <t>413238 - 413239 - 413236 - 413235 - 413234 - 413237 - 413240 - 163089</t>
  </si>
  <si>
    <t>Testacelle commune</t>
  </si>
  <si>
    <t>413247 - 762414 - 163093 - 413246</t>
  </si>
  <si>
    <t>Escargotin minuscule</t>
  </si>
  <si>
    <t>163098 - 413261 - 413258 - 413259</t>
  </si>
  <si>
    <t>Bouton commun</t>
  </si>
  <si>
    <t>413292 - 413286 - 413280 - 413289 - 928123 - 413287 - 413288 - 413284 - 928125 - 413293 - 413294 - 413281 - 163101 - 928124 - 413290 - 413282 - 413291 - 413283 - 413285 - 413295</t>
  </si>
  <si>
    <t>Cristalline méridionale</t>
  </si>
  <si>
    <t>413276 - 899784 - 777758 - 413272 - 413274 - 413273 - 413277 - 413275 - 163103</t>
  </si>
  <si>
    <t>Cristalline commune</t>
  </si>
  <si>
    <t>413266 - 928118 - 928117 - 413269 - 413270 - 413271 - 163104 - 413268 - 413264 - 413267 - 413263 - 928119 - 413265</t>
  </si>
  <si>
    <t>Cristalline ombiliquée</t>
  </si>
  <si>
    <t>163108 - 777776 - 901025 - 899726</t>
  </si>
  <si>
    <t>Conule des bois</t>
  </si>
  <si>
    <t>64192 - 163128 - 928070</t>
  </si>
  <si>
    <t>Luisant des bois</t>
  </si>
  <si>
    <t>163130 - 894784</t>
  </si>
  <si>
    <t>Luisant cryptique</t>
  </si>
  <si>
    <t>163143 - 458834 - 928042</t>
  </si>
  <si>
    <t>Luisant épars</t>
  </si>
  <si>
    <t>413320 - 163144</t>
  </si>
  <si>
    <t>Luisant étroit</t>
  </si>
  <si>
    <t>927950 - 923677 - 163147</t>
  </si>
  <si>
    <t>Luisantine intermédiaire</t>
  </si>
  <si>
    <t>433487 - 413306 - 899788 - 413307 - 927760 - 163148 - 782339</t>
  </si>
  <si>
    <t>Luisantine ample</t>
  </si>
  <si>
    <t>927762 - 927763 - 927773 - 416678 - 778999 - 791731 - 163154 - 927761</t>
  </si>
  <si>
    <t>Luisantine striée</t>
  </si>
  <si>
    <t>163155 - 748143 - 530341 - 748144 - 413302</t>
  </si>
  <si>
    <t>Luisantine brune</t>
  </si>
  <si>
    <t>929784 - 163160 - 413388</t>
  </si>
  <si>
    <t>Pseudolimace chagrinée</t>
  </si>
  <si>
    <t>163167 - 413452 - 928127</t>
  </si>
  <si>
    <t>Semilimace germanique</t>
  </si>
  <si>
    <t>413445 - 413446 - 413444 - 413447 - 413442 - 163168 - 413443 - 847067</t>
  </si>
  <si>
    <t>Semilimace aplatie</t>
  </si>
  <si>
    <t>413422 - 413424 - 163172 - 413423 - 730621 - 817343</t>
  </si>
  <si>
    <t>Semilimace des plaines</t>
  </si>
  <si>
    <t>163175 - 413463</t>
  </si>
  <si>
    <t>Limace du Caucase</t>
  </si>
  <si>
    <t>413475 - 413479 - 64209 - 413480 - 413477 - 413474 - 413481 - 413476 - 163192 - 413478</t>
  </si>
  <si>
    <t>Limace des caves</t>
  </si>
  <si>
    <t>413473 - 900203 - 64214 - 163194 - 900192</t>
  </si>
  <si>
    <t>Limace jaune</t>
  </si>
  <si>
    <t>413464 - 413469 - 413466 - 163195 - 64212</t>
  </si>
  <si>
    <t>Limace des bois</t>
  </si>
  <si>
    <t>413501 - 413504 - 413503 - 413507 - 413498 - 413506 - 163207 - 413500 - 413505 - 413502 - 851013 - 413499 - 413497</t>
  </si>
  <si>
    <t>Loche blanche</t>
  </si>
  <si>
    <t>929835 - 163226</t>
  </si>
  <si>
    <t>Loche rousse</t>
  </si>
  <si>
    <t>Loche ponctuée</t>
  </si>
  <si>
    <t>777767 - 163245 - 64222</t>
  </si>
  <si>
    <t>Hélice cerise</t>
  </si>
  <si>
    <t>Veloutée plane</t>
  </si>
  <si>
    <t>779161 - 163256 - 413788 - 64240 - 413790 - 777755 - 413792</t>
  </si>
  <si>
    <t>Petit moine</t>
  </si>
  <si>
    <t>163273 - 413762 - 846539 - 413764 - 416672 - 413765 - 413766 - 413761 - 458832</t>
  </si>
  <si>
    <t>Hélicette des steppes</t>
  </si>
  <si>
    <t>163293 - 928134 - 413576 - 413577</t>
  </si>
  <si>
    <t>Hélicelle des Balkans</t>
  </si>
  <si>
    <t>Hélicelle trompette</t>
  </si>
  <si>
    <t>1633 - 903075</t>
  </si>
  <si>
    <t>Hélicette du thym</t>
  </si>
  <si>
    <t>163309 - 762400 - 413734 - 413733 - 413735</t>
  </si>
  <si>
    <t>Hélice carénée</t>
  </si>
  <si>
    <t>413724 - 413723 - 413727 - 413730 - 927905 - 413725 - 413726 - 413729 - 413728 - 163321</t>
  </si>
  <si>
    <t>Caragouille élargie</t>
  </si>
  <si>
    <t>413741 - 927746 - 64237 - 163322</t>
  </si>
  <si>
    <t>Veloutée rouge</t>
  </si>
  <si>
    <t>Moine des bois</t>
  </si>
  <si>
    <t>Hélice des bois, Hélice porphyre</t>
  </si>
  <si>
    <t>413906 - 413909 - 413907 - 163345 - 413908 - 927908</t>
  </si>
  <si>
    <t>Hélice des Alpes</t>
  </si>
  <si>
    <t>Soucoupe commune</t>
  </si>
  <si>
    <t>163366 - 413894 - 927912</t>
  </si>
  <si>
    <t>Hélice grimace</t>
  </si>
  <si>
    <t>Escargot des haies</t>
  </si>
  <si>
    <t>393422 - 250734 - 930138 - 163408 - 250732 - 163412 - 163411 - 393421 - 64447 - 250731</t>
  </si>
  <si>
    <t>Mulette méridionale</t>
  </si>
  <si>
    <t>64448 - 816797 - 250729 - 930140 - 163409 - 250735 - 163410 - 393419</t>
  </si>
  <si>
    <t>Mulette rhodanienne</t>
  </si>
  <si>
    <t>930135 - 930136 - 163422 - 163419 - 163420</t>
  </si>
  <si>
    <t>Mulette épaisse</t>
  </si>
  <si>
    <t>163426 - 779958 - 893379</t>
  </si>
  <si>
    <t>Anodonte chinoise</t>
  </si>
  <si>
    <t>695918 - 163433 - 393383</t>
  </si>
  <si>
    <t>Corbicule asiatique</t>
  </si>
  <si>
    <t>163435 - 779946</t>
  </si>
  <si>
    <t>Cyclade cerise</t>
  </si>
  <si>
    <t>163436 - 779947 - 393387</t>
  </si>
  <si>
    <t>Cyclade ovale</t>
  </si>
  <si>
    <t>Moule zébrée</t>
  </si>
  <si>
    <t>1636 - 903072</t>
  </si>
  <si>
    <t>Thomise tricolore</t>
  </si>
  <si>
    <t>803349 - 16381 - 798402 - 409217</t>
  </si>
  <si>
    <t>803521 - 16396</t>
  </si>
  <si>
    <t>Charançon fiente d'oiseau</t>
  </si>
  <si>
    <t>1640 - 903100</t>
  </si>
  <si>
    <t>Xystique crêté</t>
  </si>
  <si>
    <t>903097 - 1641</t>
  </si>
  <si>
    <t>402482 - 1643</t>
  </si>
  <si>
    <t>803525 - 16446 - 16445</t>
  </si>
  <si>
    <t>16453 - 16452 - 409299 - 16454</t>
  </si>
  <si>
    <t>1648 - 402483</t>
  </si>
  <si>
    <t>803530 - 16495 - 325790</t>
  </si>
  <si>
    <t>803824 - 16503</t>
  </si>
  <si>
    <t>803362 - 16562</t>
  </si>
  <si>
    <t>16573 - 803091</t>
  </si>
  <si>
    <t>803098 - 16583</t>
  </si>
  <si>
    <t>803095 - 16604</t>
  </si>
  <si>
    <t>16628 - 16629 - 16627 - 16630 - 884625</t>
  </si>
  <si>
    <t>Charançon influent</t>
  </si>
  <si>
    <t>803292 - 16642 - 16641</t>
  </si>
  <si>
    <t>1665 - 903103</t>
  </si>
  <si>
    <t>803291 - 16651 - 16650</t>
  </si>
  <si>
    <t>886483 - 16681 - 409191 - 797145 - 803279 - 16680</t>
  </si>
  <si>
    <t>409190 - 16688 - 16687</t>
  </si>
  <si>
    <t>16701 - 16700</t>
  </si>
  <si>
    <t>803290 - 16705 - 16706</t>
  </si>
  <si>
    <t>16727 - 803287 - 16726</t>
  </si>
  <si>
    <t>803288 - 16736 - 719583 - 16735</t>
  </si>
  <si>
    <t>16742 - 409192 - 16743</t>
  </si>
  <si>
    <t>Philodrome disparate</t>
  </si>
  <si>
    <t>803277 - 16762 - 16761</t>
  </si>
  <si>
    <t>902734 - 1677</t>
  </si>
  <si>
    <t>16772 - 409279 - 699571 - 16773 - 409278 - 803365 - 409281 - 409280 - 16771</t>
  </si>
  <si>
    <t>803364 - 16780 - 16779</t>
  </si>
  <si>
    <t>1678 - 902722</t>
  </si>
  <si>
    <t>902732 - 1679</t>
  </si>
  <si>
    <t>Philodrome tigré</t>
  </si>
  <si>
    <t>1690 - 1687</t>
  </si>
  <si>
    <t>402438 - 233957 - 1700 - 1699 - 457388 - 902752</t>
  </si>
  <si>
    <t>Philodrome oblong</t>
  </si>
  <si>
    <t>798387 - 17081 - 17088 - 407725 - 17084 - 17089 - 17082 - 17083 - 803014</t>
  </si>
  <si>
    <t>Apion rouge</t>
  </si>
  <si>
    <t>17086 - 407729 - 407728 - 17087 - 407726 - 407727</t>
  </si>
  <si>
    <t>1709 - 903063</t>
  </si>
  <si>
    <t>Micrommate émeraude</t>
  </si>
  <si>
    <t>17091 - 407724 - 407723 - 17090</t>
  </si>
  <si>
    <t>900893 - 900894 - 1715</t>
  </si>
  <si>
    <t>Anyphène à chevrons</t>
  </si>
  <si>
    <t>1729 - 402369</t>
  </si>
  <si>
    <t>402365 - 1733 - 402366 - 402364</t>
  </si>
  <si>
    <t>1734 - 902203</t>
  </si>
  <si>
    <t>803010 - 17430</t>
  </si>
  <si>
    <t>Cigarier okapi, Cigarier du noisetier</t>
  </si>
  <si>
    <t>17439 - 951284 - 407278 - 17438 - 803012</t>
  </si>
  <si>
    <t>Cigarier toulousain, Cigarier du chêne, Attélable du Chêne</t>
  </si>
  <si>
    <t>951255 - 951251 - 951253 - 951254 - 951249 - 951257 - 951252 - 802993 - 699619 - 17442 - 951256 - 977888 - 951250</t>
  </si>
  <si>
    <t>802994 - 17447</t>
  </si>
  <si>
    <t>402370 - 1745</t>
  </si>
  <si>
    <t>Clubione simple</t>
  </si>
  <si>
    <t>951269 - 951267 - 951271 - 17450 - 802998</t>
  </si>
  <si>
    <t>Cigarier du Bouleau</t>
  </si>
  <si>
    <t>17475 - 803007 - 17474</t>
  </si>
  <si>
    <t>17467 - 17481 - 17482 - 803006</t>
  </si>
  <si>
    <t>Charançon à écailles vertes</t>
  </si>
  <si>
    <t>1753 - 902710</t>
  </si>
  <si>
    <t>Zora</t>
  </si>
  <si>
    <t>1754 - 902709</t>
  </si>
  <si>
    <t>951245 - 951244 - 17555 - 951247 - 951246 - 17557 - 17556</t>
  </si>
  <si>
    <t>17561 - 17560 - 17562</t>
  </si>
  <si>
    <t>17568 - 17567</t>
  </si>
  <si>
    <t>845144 - 802477 - 17605</t>
  </si>
  <si>
    <t>Aiguille charcutière</t>
  </si>
  <si>
    <t>237071 - 17654</t>
  </si>
  <si>
    <t>850976 - 17678</t>
  </si>
  <si>
    <t>Polyphème pou (Le), Céphalocle des étangs (Le)</t>
  </si>
  <si>
    <t>904381 - 17685</t>
  </si>
  <si>
    <t>Daphnie longue-épine (La)</t>
  </si>
  <si>
    <t>17686 - 319835</t>
  </si>
  <si>
    <t>Daphnie puce (La)</t>
  </si>
  <si>
    <t>17688 - 904989</t>
  </si>
  <si>
    <t>17694 - 904992</t>
  </si>
  <si>
    <t>Daphnie camuse (La)</t>
  </si>
  <si>
    <t>17697 - 1014931 - 844780</t>
  </si>
  <si>
    <t>904439 - 17700</t>
  </si>
  <si>
    <t>Lyncée lamellé (Le)</t>
  </si>
  <si>
    <t>319897 - 904204 - 17702</t>
  </si>
  <si>
    <t>904208 - 17706</t>
  </si>
  <si>
    <t>17721 - 904812</t>
  </si>
  <si>
    <t>904520 - 17724</t>
  </si>
  <si>
    <t>905035 - 17728</t>
  </si>
  <si>
    <t>902531 - 1774</t>
  </si>
  <si>
    <t>Agroeca brune</t>
  </si>
  <si>
    <t>1776 - 1775</t>
  </si>
  <si>
    <t>1779 - 902533</t>
  </si>
  <si>
    <t>17794 - 17887 - 585469</t>
  </si>
  <si>
    <t>552334 - 17808</t>
  </si>
  <si>
    <t>902547 - 1781</t>
  </si>
  <si>
    <t>580793 - 683411 - 17813</t>
  </si>
  <si>
    <t>17838 - 583872 - 582325 - 552340 - 584680</t>
  </si>
  <si>
    <t>Cyclope nain (Le)</t>
  </si>
  <si>
    <t>521449 - 1786 - 902764</t>
  </si>
  <si>
    <t>Phrurolithus drôle</t>
  </si>
  <si>
    <t>683490 - 17869 - 585466 - 17870</t>
  </si>
  <si>
    <t>Cyclope à cornes grèles (Le)</t>
  </si>
  <si>
    <t>521450 - 1787</t>
  </si>
  <si>
    <t>585467 - 17872 - 17871</t>
  </si>
  <si>
    <t>17874 - 891990</t>
  </si>
  <si>
    <t>891994 - 17876</t>
  </si>
  <si>
    <t>1788 - 902765</t>
  </si>
  <si>
    <t>892001 - 17889</t>
  </si>
  <si>
    <t>17890 - 892005</t>
  </si>
  <si>
    <t>1794 - 902390</t>
  </si>
  <si>
    <t>18021 - 18023</t>
  </si>
  <si>
    <t>18026 - 18025 - 891723</t>
  </si>
  <si>
    <t>891754 - 18062</t>
  </si>
  <si>
    <t>Cypris religieuse (La)</t>
  </si>
  <si>
    <t>18067 - 891752</t>
  </si>
  <si>
    <t>Cypris à duvet (La)</t>
  </si>
  <si>
    <t>622895 - 18074 - 891766</t>
  </si>
  <si>
    <t>Cypris enfumée (La), Cypris brune (La)</t>
  </si>
  <si>
    <t>891773 - 18080 - 407445</t>
  </si>
  <si>
    <t>Cypris orangée (La)</t>
  </si>
  <si>
    <t>407439 - 407434 - 407436 - 407438 - 891779 - 18084 - 407435 - 407437</t>
  </si>
  <si>
    <t>Cypris veuve (La)</t>
  </si>
  <si>
    <t>891756 - 18088</t>
  </si>
  <si>
    <t>Cypris verdoyante (La)</t>
  </si>
  <si>
    <t>891768 - 18092</t>
  </si>
  <si>
    <t>18095 - 891789 - 407459</t>
  </si>
  <si>
    <t>1820 - 902207</t>
  </si>
  <si>
    <t>Argyronète</t>
  </si>
  <si>
    <t>407420 - 18333 - 891787</t>
  </si>
  <si>
    <t>Cypris velue (La)</t>
  </si>
  <si>
    <t>900151 - 1839 - 903448</t>
  </si>
  <si>
    <t>1842 - 457421</t>
  </si>
  <si>
    <t>837801 - 1843</t>
  </si>
  <si>
    <t>Tégénaire domestique, Tégénaire</t>
  </si>
  <si>
    <t>18433 - 18432 - 850945 - 18435 - 18434</t>
  </si>
  <si>
    <t>Écrevisse à pattes rouges (L'), Écrevisse à pieds rouges (L'), Écrevisse fluviatile (L'), Écrevisse de rivière (L')</t>
  </si>
  <si>
    <t>18438 - 18437</t>
  </si>
  <si>
    <t>Écrevisse à pieds blancs (L'), Écrevisse à pattes blanches (L'), Écrevisse pallipède (L')</t>
  </si>
  <si>
    <t>900133 - 1846</t>
  </si>
  <si>
    <t>Coelote terrestre</t>
  </si>
  <si>
    <t>545812 - 574276 - 545811 - 574275 - 545813 - 545814 - 18515</t>
  </si>
  <si>
    <t>Crabe chinois (Le), Crabe chinois à mitaines (Le), Crabe poilu de Shangai (Le)</t>
  </si>
  <si>
    <t>902520 - 1863</t>
  </si>
  <si>
    <t>850967 - 18651</t>
  </si>
  <si>
    <t>244562 - 18667</t>
  </si>
  <si>
    <t>1872 - 902523</t>
  </si>
  <si>
    <t>1882 - 902770</t>
  </si>
  <si>
    <t>Pisaure admirable</t>
  </si>
  <si>
    <t>18820 - 1001643</t>
  </si>
  <si>
    <t>237015 - 781237 - 18829</t>
  </si>
  <si>
    <t>Cloporte commun (Le), Armadille commune (L'), Armadille mélangée (L')</t>
  </si>
  <si>
    <t>895 - 1884 - 402441</t>
  </si>
  <si>
    <t>Dolomède des marais, Dolomède bordé</t>
  </si>
  <si>
    <t>902769 - 233965 - 1885</t>
  </si>
  <si>
    <t>12334 - 396448 - 188656</t>
  </si>
  <si>
    <t>18870 - 932657</t>
  </si>
  <si>
    <t>902648 - 1890</t>
  </si>
  <si>
    <t>1896 - 902617</t>
  </si>
  <si>
    <t>Lycose renard</t>
  </si>
  <si>
    <t>402424 - 1897 - 902623</t>
  </si>
  <si>
    <t>400157 - 950271 - 400159 - 400156 - 19005 - 400158 - 400160</t>
  </si>
  <si>
    <t>932649 - 19019</t>
  </si>
  <si>
    <t>19020 - 545662 - 950274</t>
  </si>
  <si>
    <t>Néphrotome de Pierre</t>
  </si>
  <si>
    <t>19023 - 850309</t>
  </si>
  <si>
    <t>950283 - 19034</t>
  </si>
  <si>
    <t>19035 - 400177 - 850314 - 400178</t>
  </si>
  <si>
    <t>400179 - 950289 - 19038 - 400180</t>
  </si>
  <si>
    <t>19049 - 932651</t>
  </si>
  <si>
    <t>902632 - 1905</t>
  </si>
  <si>
    <t>19061 - 850310</t>
  </si>
  <si>
    <t>19074 - 850311</t>
  </si>
  <si>
    <t>902673 - 1922</t>
  </si>
  <si>
    <t>1923 - 902653</t>
  </si>
  <si>
    <t>902662 - 1924</t>
  </si>
  <si>
    <t>1928 - 902665</t>
  </si>
  <si>
    <t>1929 - 233889 - 457341 - 902672</t>
  </si>
  <si>
    <t>19299 - 19301 - 400130</t>
  </si>
  <si>
    <t>902663 - 1930</t>
  </si>
  <si>
    <t>950029 - 19320 - 19317 - 19318 - 19321 - 19319</t>
  </si>
  <si>
    <t>19324 - 19325 - 19322 - 19323 - 950031</t>
  </si>
  <si>
    <t>550790 - 1933</t>
  </si>
  <si>
    <t>19339 - 950110</t>
  </si>
  <si>
    <t>Trochose terrassière</t>
  </si>
  <si>
    <t>902698 - 1944</t>
  </si>
  <si>
    <t>950234 - 19456 - 400085</t>
  </si>
  <si>
    <t>950145 - 19547</t>
  </si>
  <si>
    <t>949993 - 19702 - 19701 - 19700</t>
  </si>
  <si>
    <t>19786 - 19784 - 399938 - 950173</t>
  </si>
  <si>
    <t>19798 - 950177</t>
  </si>
  <si>
    <t>19805 - 399946 - 399945 - 950178</t>
  </si>
  <si>
    <t>19815 - 899053 - 399944 - 19816</t>
  </si>
  <si>
    <t>19820 - 899056 - 1009283</t>
  </si>
  <si>
    <t>19822 - 399934 - 399936 - 399935 - 950184</t>
  </si>
  <si>
    <t>950185 - 19827 - 1009284</t>
  </si>
  <si>
    <t>399931 - 19835</t>
  </si>
  <si>
    <t>949987 - 19844</t>
  </si>
  <si>
    <t>19873 - 850307</t>
  </si>
  <si>
    <t>399594 - 19877</t>
  </si>
  <si>
    <t>399581 - 19883</t>
  </si>
  <si>
    <t>949578 - 727373 - 399545 - 19894</t>
  </si>
  <si>
    <t>949863 - 19917 - 399564</t>
  </si>
  <si>
    <t>949866 - 19919 - 399565</t>
  </si>
  <si>
    <t>399547 - 399546 - 19933</t>
  </si>
  <si>
    <t>399549 - 19935</t>
  </si>
  <si>
    <t>19947 - 949877</t>
  </si>
  <si>
    <t>850406 - 19953</t>
  </si>
  <si>
    <t>199682 - 808391</t>
  </si>
  <si>
    <t>Gomphe à forceps septentrional (Le), Gomphe à pinces septentrional (Le)</t>
  </si>
  <si>
    <t>199685 - 65407</t>
  </si>
  <si>
    <t>Cordulégastre bidenté (Le)</t>
  </si>
  <si>
    <t>Cordulégastre annelé</t>
  </si>
  <si>
    <t>Orthétrum bleuissant</t>
  </si>
  <si>
    <t>65406 - 65401 - 808395 - 65403 - 817008 - 199694 - 199687 - 789503 - 789498</t>
  </si>
  <si>
    <t>Cordulégastre annelé (Le)</t>
  </si>
  <si>
    <t>985328 - 985327 - 985324 - 985331 - 985330 - 199813 - 985321 - 985323 - 985326</t>
  </si>
  <si>
    <t>985299 - 991723 - 199814 - 985300 - 991724</t>
  </si>
  <si>
    <t>997216 - 997218 - 199816 - 997217</t>
  </si>
  <si>
    <t>412841 - 412843 - 412857 - 412851 - 199830 - 412836 - 412838 - 412854 - 412846 - 412845 - 412837 - 412848 - 412858 - 412849 - 412844 - 412859 - 412840 - 412847 - 412855 - 412850 - 412835 - 412853 - 412856 - 762410 - 412852 - 412842 - 412839</t>
  </si>
  <si>
    <t>412370 - 729225 - 412371 - 927616 - 729222 - 729223 - 199832</t>
  </si>
  <si>
    <t>904331 - 199840</t>
  </si>
  <si>
    <t>412894 - 412886 - 412890 - 412893 - 412884 - 412903 - 412887 - 412897 - 199848 - 412899 - 412895 - 412900 - 412889 - 412902 - 412901 - 412891 - 412896 - 412898 - 927720 - 412885 - 412888 - 412892</t>
  </si>
  <si>
    <t>413057 - 779416 - 809560 - 199851 - 927982 - 413059 - 413051 - 413047 - 927983 - 413049 - 413055 - 777803 - 413054 - 413053 - 413060 - 413048</t>
  </si>
  <si>
    <t>Bulime trois-dents</t>
  </si>
  <si>
    <t>641342 - 199853</t>
  </si>
  <si>
    <t>Clausilie ridée</t>
  </si>
  <si>
    <t>413093 - 199854 - 927984</t>
  </si>
  <si>
    <t>413172 - 199855 - 900196 - 900197</t>
  </si>
  <si>
    <t>Fuseau commun</t>
  </si>
  <si>
    <t>413169 - 413167 - 413168 - 927623 - 413170 - 927624 - 413166 - 413171 - 199856</t>
  </si>
  <si>
    <t>927942 - 927943 - 199858</t>
  </si>
  <si>
    <t>199862 - 163009 - 163010 - 413028 - 928022</t>
  </si>
  <si>
    <t>Columelle alpine</t>
  </si>
  <si>
    <t>199863 - 432756 - 413864 - 413867 - 413865 - 413861 - 64254 - 413862 - 413866 - 436728 - 413868 - 163393</t>
  </si>
  <si>
    <t>Escargot petit-gris</t>
  </si>
  <si>
    <t>163097 - 199864 - 928024 - 748145</t>
  </si>
  <si>
    <t>Bouton montagnard</t>
  </si>
  <si>
    <t>199865 - 762409</t>
  </si>
  <si>
    <t>Moine de Draparnaud</t>
  </si>
  <si>
    <t>413830 - 413839 - 199869 - 163396 - 927917 - 927918 - 413833 - 413838 - 413837 - 413834 - 413831 - 413832 - 413829 - 413835 - 413828</t>
  </si>
  <si>
    <t>Escargot turc</t>
  </si>
  <si>
    <t>199870 - 64045 - 904536</t>
  </si>
  <si>
    <t>Petite globhydrobie</t>
  </si>
  <si>
    <t>777800 - 730612 - 809559 - 199871 - 779417</t>
  </si>
  <si>
    <t>199872 - 762413</t>
  </si>
  <si>
    <t>199873 - 416675 - 762422</t>
  </si>
  <si>
    <t>199874 - 928038</t>
  </si>
  <si>
    <t>413148 - 413151 - 762412 - 413154 - 413152 - 416674 - 199875 - 928181 - 413146 - 413149 - 413153 - 413150 - 413147</t>
  </si>
  <si>
    <t>413739 - 199877 - 777782 - 348300</t>
  </si>
  <si>
    <t>64191 - 782401 - 445250 - 199878</t>
  </si>
  <si>
    <t>762415 - 199880</t>
  </si>
  <si>
    <t>199881 - 928069</t>
  </si>
  <si>
    <t>Luisant des Pyrénées</t>
  </si>
  <si>
    <t>730623 - 199882 - 920439 - 412584 - 920440</t>
  </si>
  <si>
    <t>199883 - 928084 - 1014139</t>
  </si>
  <si>
    <t>Maillot de Dordogne</t>
  </si>
  <si>
    <t>779941 - 199888 - 1015689</t>
  </si>
  <si>
    <t>163398 - 64450 - 199889 - 64437 - 393386 - 779951</t>
  </si>
  <si>
    <t>Grande mulette</t>
  </si>
  <si>
    <t>Pseudunio auricularius</t>
  </si>
  <si>
    <t>2012-2017</t>
  </si>
  <si>
    <t>199900 - 159450 - 930092</t>
  </si>
  <si>
    <t>413279 - 199905 - 163100 - 853400 - 730615 - 413278</t>
  </si>
  <si>
    <t>Cristalline diaphane</t>
  </si>
  <si>
    <t>413064 - 809561 - 199907 - 928544 - 413066 - 777760 - 348303 - 413065 - 413063 - 413062 - 730619</t>
  </si>
  <si>
    <t>Bulime zébré</t>
  </si>
  <si>
    <t>199909 - 789484 - 65462 - 65460 - 789683 - 199680 - 816996</t>
  </si>
  <si>
    <t>Aeschne isocèle</t>
  </si>
  <si>
    <t>66256 - 199958 - 827128</t>
  </si>
  <si>
    <t>Criquet pansu</t>
  </si>
  <si>
    <t>414717 - 414718 - 414719 - 850401 - 20011</t>
  </si>
  <si>
    <t>20012 - 937555 - 414720</t>
  </si>
  <si>
    <t>794567 - 10721 - 200330 - 388246</t>
  </si>
  <si>
    <t>393669 - 800737 - 393671 - 200331 - 10589 - 10590 - 393670</t>
  </si>
  <si>
    <t>10583 - 393673 - 10585 - 851123 - 200333 - 10586 - 800738 - 393672 - 10584</t>
  </si>
  <si>
    <t>393674 - 200334 - 393676 - 393675 - 8881 - 800739 - 8882</t>
  </si>
  <si>
    <t>393642 - 10698 - 200344 - 10697 - 393643 - 800741</t>
  </si>
  <si>
    <t>10699 - 393646 - 393645 - 393647 - 10700 - 200345 - 393644</t>
  </si>
  <si>
    <t>200359 - 8911 - 8912</t>
  </si>
  <si>
    <t>393618 - 393617 - 393616 - 800750 - 200390 - 8915 - 8916</t>
  </si>
  <si>
    <t>8884 - 200426 - 393589 - 800759 - 8883</t>
  </si>
  <si>
    <t>Scarabée erratique</t>
  </si>
  <si>
    <t>393586 - 800760 - 8889 - 200427 - 393587 - 8890 - 393588</t>
  </si>
  <si>
    <t>8928 - 8927 - 800763 - 200434 - 841412</t>
  </si>
  <si>
    <t>200442 - 8925 - 8926</t>
  </si>
  <si>
    <t>800854 - 200459</t>
  </si>
  <si>
    <t>Hoplie farineuse</t>
  </si>
  <si>
    <t>8921 - 393563 - 8922 - 200472</t>
  </si>
  <si>
    <t>393564 - 200473 - 393565 - 8917 - 8918</t>
  </si>
  <si>
    <t>10606 - 10605 - 393557 - 393556 - 200483 - 800777 - 393555</t>
  </si>
  <si>
    <t>10626 - 200485 - 393558 - 10625</t>
  </si>
  <si>
    <t>800775 - 393551 - 393552 - 200487 - 10612 - 393550</t>
  </si>
  <si>
    <t>10622 - 10611 - 393548 - 200490 - 10621</t>
  </si>
  <si>
    <t>393541 - 393546 - 393544 - 10735 - 393542 - 10734 - 393543 - 200501 - 393547 - 393545</t>
  </si>
  <si>
    <t>393539 - 10587 - 800779 - 10588 - 200505 - 393538</t>
  </si>
  <si>
    <t>410345 - 10917 - 200511 - 410344 - 851124 - 800850 - 851121 - 410346</t>
  </si>
  <si>
    <t>Petit hanneton de 11h45, Scarabée à bordure</t>
  </si>
  <si>
    <t>8899 - 800783 - 8900 - 200521</t>
  </si>
  <si>
    <t>10652 - 393518 - 10651 - 393517 - 200535 - 393519</t>
  </si>
  <si>
    <t>800714 - 200542</t>
  </si>
  <si>
    <t>404847 - 404846 - 404848 - 404842 - 200601 - 404844 - 404845 - 404843</t>
  </si>
  <si>
    <t>393496 - 393497 - 8903 - 8901 - 200604 - 800790 - 8902</t>
  </si>
  <si>
    <t>10568 - 951641 - 800730 - 200629</t>
  </si>
  <si>
    <t>Bousier irisé, Géotrupe des Pyrénées</t>
  </si>
  <si>
    <t>403696 - 403699 - 10536 - 851112 - 800725 - 820752 - 403698 - 200637 - 403697 - 403700</t>
  </si>
  <si>
    <t>Minotaure (Le), Minotaure typhée</t>
  </si>
  <si>
    <t>10591 - 200639 - 10593 - 393489 - 393490 - 800792 - 10592</t>
  </si>
  <si>
    <t>903045 - 2009</t>
  </si>
  <si>
    <t>903043 - 2011</t>
  </si>
  <si>
    <t>402457 - 902866 - 2015</t>
  </si>
  <si>
    <t>399552 - 949931 - 20150</t>
  </si>
  <si>
    <t>820192 - 225104 - 20205</t>
  </si>
  <si>
    <t>225106 - 20210 - 820180</t>
  </si>
  <si>
    <t>2025 - 902861</t>
  </si>
  <si>
    <t>902852 - 2042</t>
  </si>
  <si>
    <t>902821 - 2053</t>
  </si>
  <si>
    <t>2060 - 902862</t>
  </si>
  <si>
    <t>Saltique sanguinolent</t>
  </si>
  <si>
    <t>2064 - 902879</t>
  </si>
  <si>
    <t>Saltique arlequin</t>
  </si>
  <si>
    <t>902882 - 2065</t>
  </si>
  <si>
    <t>20653 - 937559 - 414654 - 414655 - 414653</t>
  </si>
  <si>
    <t>414110 - 414111 - 414108 - 20704 - 20705 - 850400 - 414112 - 414109 - 20706</t>
  </si>
  <si>
    <t>Chironome plumosus</t>
  </si>
  <si>
    <t>414120 - 414122 - 414117 - 20710 - 414118 - 414124 - 414119 - 414127 - 414123 - 414125 - 414114 - 414113 - 414115 - 414116 - 414126 - 414121</t>
  </si>
  <si>
    <t>2072 - 902837</t>
  </si>
  <si>
    <t>2073 - 902839</t>
  </si>
  <si>
    <t>2074 - 902840</t>
  </si>
  <si>
    <t>902838 - 2075</t>
  </si>
  <si>
    <t>414091 - 937644 - 20813</t>
  </si>
  <si>
    <t>414058 - 937750 - 414057 - 20853</t>
  </si>
  <si>
    <t>414449 - 937783 - 414451 - 414450 - 20905</t>
  </si>
  <si>
    <t>2091 - 902827 - 402447</t>
  </si>
  <si>
    <t>Saltique cuivré</t>
  </si>
  <si>
    <t>457404 - 402449 - 2092 - 902828</t>
  </si>
  <si>
    <t>2095 - 402451</t>
  </si>
  <si>
    <t>937866 - 20952 - 414386 - 20951 - 414390 - 414388 - 414391 - 414389 - 414387</t>
  </si>
  <si>
    <t>414214 - 20966 - 20968 - 925943 - 340297</t>
  </si>
  <si>
    <t>20973 - 414225 - 414228 - 414226 - 414223 - 414229 - 414222 - 925939 - 414227 - 414224</t>
  </si>
  <si>
    <t>937879 - 414013 - 414014 - 414010 - 414009 - 414012 - 20985 - 414011 - 414008</t>
  </si>
  <si>
    <t>937980 - 413996 - 413995 - 21027</t>
  </si>
  <si>
    <t>2106 - 902800</t>
  </si>
  <si>
    <t>402452 - 2108</t>
  </si>
  <si>
    <t>938084 - 414580 - 414579 - 414581 - 414586 - 414585 - 414583 - 414578 - 414584 - 414582 - 414576 - 414577 - 21131</t>
  </si>
  <si>
    <t>821016 - 414632 - 414633 - 914002 - 21139 - 414631 - 414630 - 414628 - 414629</t>
  </si>
  <si>
    <t>2128 - 1011143 - 401736 - 401735 - 401737 - 401738</t>
  </si>
  <si>
    <t>398225 - 850404 - 21336 - 21337 - 398226</t>
  </si>
  <si>
    <t>398197 - 398198 - 398196 - 21342 - 398199</t>
  </si>
  <si>
    <t>398202 - 850405 - 21344 - 913340 - 398204 - 398205 - 398203</t>
  </si>
  <si>
    <t>Bibion de S. Marc rouge</t>
  </si>
  <si>
    <t>398210 - 398207 - 936289 - 398209 - 398208 - 398206 - 398211 - 21345</t>
  </si>
  <si>
    <t>850403 - 398216 - 398215 - 913341 - 398217 - 21349</t>
  </si>
  <si>
    <t>Bibion, Mouche de la Saint Marc</t>
  </si>
  <si>
    <t>398223 - 398224 - 398222 - 21354</t>
  </si>
  <si>
    <t>949944 - 21366</t>
  </si>
  <si>
    <t>949952 - 405227 - 21371</t>
  </si>
  <si>
    <t>405223 - 405224 - 949953 - 405225 - 21375</t>
  </si>
  <si>
    <t>405220 - 949957 - 405218 - 405219 - 21377</t>
  </si>
  <si>
    <t>405222 - 21378 - 949959 - 405221</t>
  </si>
  <si>
    <t>949974 - 21411 - 949973</t>
  </si>
  <si>
    <t>854088 - 936600 - 21504</t>
  </si>
  <si>
    <t>936610 - 21508 - 1016249 - 936611</t>
  </si>
  <si>
    <t>215114 - 820906 - 820909</t>
  </si>
  <si>
    <t>Aleurode du chou, Mouche blanche du chou</t>
  </si>
  <si>
    <t>21516 - 897574</t>
  </si>
  <si>
    <t>215166 - 1011676 - 1011657</t>
  </si>
  <si>
    <t>854103 - 1011678 - 215168 - 1011677</t>
  </si>
  <si>
    <t>Puceron du Cotonnier</t>
  </si>
  <si>
    <t>215216 - 1007899</t>
  </si>
  <si>
    <t>215243 - 521488 - 1011714</t>
  </si>
  <si>
    <t>Puceron de sureau</t>
  </si>
  <si>
    <t>52033 - 215250</t>
  </si>
  <si>
    <t>Puceron des Spirées</t>
  </si>
  <si>
    <t>1013533 - 854027 - 215265</t>
  </si>
  <si>
    <t>883735 - 215304 - 957405</t>
  </si>
  <si>
    <t>Puceron vert du Prunier</t>
  </si>
  <si>
    <t>949096 - 399359 - 399360 - 399362 - 399358 - 399361 - 21534 - 399363</t>
  </si>
  <si>
    <t>215384 - 1011821 - 1011822</t>
  </si>
  <si>
    <t>1011834 - 1011837 - 215398 - 1011836</t>
  </si>
  <si>
    <t>848967 - 215404</t>
  </si>
  <si>
    <t>215432 - 1011876 - 1011878 - 1011875 - 1011869</t>
  </si>
  <si>
    <t>215454 - 1011892 - 1011890</t>
  </si>
  <si>
    <t>1011893 - 215455</t>
  </si>
  <si>
    <t>848974 - 215481</t>
  </si>
  <si>
    <t>Puceron des feuilles du Groseillier et de la Laitue</t>
  </si>
  <si>
    <t>215498 - 1007895</t>
  </si>
  <si>
    <t>1011992 - 215518 - 1011987</t>
  </si>
  <si>
    <t>215536 - 820356</t>
  </si>
  <si>
    <t>Puceron vert et rose de la Pomme de terre</t>
  </si>
  <si>
    <t>21554 - 936646</t>
  </si>
  <si>
    <t>848971 - 215549</t>
  </si>
  <si>
    <t>Puceron vert du rosier</t>
  </si>
  <si>
    <t>215583 - 1012069 - 1012073</t>
  </si>
  <si>
    <t>Puceron de l'échalote</t>
  </si>
  <si>
    <t>21567 - 936665</t>
  </si>
  <si>
    <t>215696 - 908707 - 1007884</t>
  </si>
  <si>
    <t>Petit puceron des céréales, Puceron du blé, Puceron des épis, Puceron des épis des céréales</t>
  </si>
  <si>
    <t>1012234 - 1007885 - 215697</t>
  </si>
  <si>
    <t>936668 - 21572 - 854068</t>
  </si>
  <si>
    <t>215720 - 1013082</t>
  </si>
  <si>
    <t>936672 - 21573</t>
  </si>
  <si>
    <t>21574 - 936674</t>
  </si>
  <si>
    <t>1013137 - 1013145 - 215756</t>
  </si>
  <si>
    <t>936709 - 21577 - 936708</t>
  </si>
  <si>
    <t>215781 - 1013629 - 1013625 - 1013630 - 1013628</t>
  </si>
  <si>
    <t>388817 - 951037 - 215802</t>
  </si>
  <si>
    <t>215821 - 388827 - 884295 - 388825 - 388826 - 388824 - 388823</t>
  </si>
  <si>
    <t>884300 - 215829</t>
  </si>
  <si>
    <t>936715 - 857622 - 21583</t>
  </si>
  <si>
    <t>215864 - 388875 - 388876 - 388873 - 388874</t>
  </si>
  <si>
    <t>388879 - 884326 - 215873</t>
  </si>
  <si>
    <t>388884 - 388886 - 388883 - 388882 - 884377 - 215877 - 388887 - 388880 - 388881 - 388885</t>
  </si>
  <si>
    <t>215884 - 884375 - 884374 - 884373</t>
  </si>
  <si>
    <t>215903 - 884347</t>
  </si>
  <si>
    <t>388894 - 215926</t>
  </si>
  <si>
    <t>388901 - 215945</t>
  </si>
  <si>
    <t>911653 - 21596</t>
  </si>
  <si>
    <t>388924 - 388923 - 388925 - 884382 - 215972</t>
  </si>
  <si>
    <t>388929 - 884426 - 215985 - 884425</t>
  </si>
  <si>
    <t>215991 - 884432</t>
  </si>
  <si>
    <t>884440 - 216034</t>
  </si>
  <si>
    <t>936737 - 21604</t>
  </si>
  <si>
    <t>Cécidomyie de la véronique petit-chêne</t>
  </si>
  <si>
    <t>216055 - 884473</t>
  </si>
  <si>
    <t>388953 - 388952 - 884529 - 216065</t>
  </si>
  <si>
    <t>216097 - 778567</t>
  </si>
  <si>
    <t>388994 - 884652 - 388992 - 388993 - 216107</t>
  </si>
  <si>
    <t>388996 - 388999 - 216110 - 388998 - 884653</t>
  </si>
  <si>
    <t>216123 - 951033</t>
  </si>
  <si>
    <t>389011 - 389010 - 216125 - 884665</t>
  </si>
  <si>
    <t>884671 - 216133</t>
  </si>
  <si>
    <t>843966 - 843968 - 843967 - 216137 - 389016</t>
  </si>
  <si>
    <t>389017 - 843969 - 28900 - 216139</t>
  </si>
  <si>
    <t>884688 - 216147 - 389021</t>
  </si>
  <si>
    <t>389026 - 389024 - 216150 - 389025 - 389027 - 884692</t>
  </si>
  <si>
    <t>389035 - 837809 - 389031 - 389034 - 389036 - 389033 - 389037 - 216155 - 837810 - 389032</t>
  </si>
  <si>
    <t>216164 - 884702</t>
  </si>
  <si>
    <t>216196 - 389058 - 850696</t>
  </si>
  <si>
    <t>216197 - 884712</t>
  </si>
  <si>
    <t>884770 - 216200</t>
  </si>
  <si>
    <t>884767 - 389064 - 389065 - 389066 - 389067 - 216203</t>
  </si>
  <si>
    <t>216206 - 884755 - 389072</t>
  </si>
  <si>
    <t>884756 - 216218</t>
  </si>
  <si>
    <t>216236 - 884760 - 389077</t>
  </si>
  <si>
    <t>389084 - 389083 - 216268 - 389080 - 389085 - 389082 - 389079 - 389081</t>
  </si>
  <si>
    <t>389087 - 389089 - 389088 - 389086 - 216269</t>
  </si>
  <si>
    <t>389096 - 884746 - 389099 - 389098 - 389092 - 389094 - 216271 - 389093 - 389091 - 389097 - 389100 - 389095 - 389090</t>
  </si>
  <si>
    <t>389102 - 389101 - 216273</t>
  </si>
  <si>
    <t>216277 - 389103</t>
  </si>
  <si>
    <t>389112 - 389113 - 389114 - 389119 - 389111 - 389104 - 216278 - 389116 - 389117 - 389108 - 389107 - 389106 - 389105 - 389118 - 389115 - 389110 - 389109 - 850697</t>
  </si>
  <si>
    <t>884752 - 389124 - 389125 - 389121 - 389123 - 389122 - 389120 - 216280</t>
  </si>
  <si>
    <t>884754 - 216287</t>
  </si>
  <si>
    <t>884744 - 216289</t>
  </si>
  <si>
    <t>389138 - 389141 - 389137 - 216290 - 389140 - 389142 - 884745 - 389139</t>
  </si>
  <si>
    <t>216296 - 884734</t>
  </si>
  <si>
    <t>884735 - 216300 - 389150</t>
  </si>
  <si>
    <t>216304 - 884739</t>
  </si>
  <si>
    <t>884740 - 216305 - 389153 - 389155 - 389154</t>
  </si>
  <si>
    <t>389156 - 389158 - 389162 - 216307 - 389157 - 389159 - 389161 - 389160 - 389164 - 389163 - 850695</t>
  </si>
  <si>
    <t>216312 - 884727 - 389169 - 884728</t>
  </si>
  <si>
    <t>884718 - 216327</t>
  </si>
  <si>
    <t>884719 - 216328</t>
  </si>
  <si>
    <t>216329 - 884720</t>
  </si>
  <si>
    <t>884722 - 216333</t>
  </si>
  <si>
    <t>884726 - 216336</t>
  </si>
  <si>
    <t>216341 - 389173</t>
  </si>
  <si>
    <t>216372 - 884783 - 389177</t>
  </si>
  <si>
    <t>21638 - 911652</t>
  </si>
  <si>
    <t>884799 - 216386</t>
  </si>
  <si>
    <t>884800 - 216387</t>
  </si>
  <si>
    <t>216388 - 884801</t>
  </si>
  <si>
    <t>884803 - 216390</t>
  </si>
  <si>
    <t>216395 - 884807</t>
  </si>
  <si>
    <t>884808 - 389190 - 216396</t>
  </si>
  <si>
    <t>884809 - 216398</t>
  </si>
  <si>
    <t>389191 - 216399</t>
  </si>
  <si>
    <t>884820 - 216409 - 884819</t>
  </si>
  <si>
    <t>216415 - 850694 - 389195 - 389196</t>
  </si>
  <si>
    <t>389201 - 216419 - 389202 - 389200 - 884825</t>
  </si>
  <si>
    <t>216421 - 389204 - 884826 - 389203</t>
  </si>
  <si>
    <t>216425 - 884829</t>
  </si>
  <si>
    <t>389206 - 216426 - 884830</t>
  </si>
  <si>
    <t>913991 - 389208 - 216448 - 389207 - 913993 - 22371 - 216447</t>
  </si>
  <si>
    <t>389216 - 216460 - 936042</t>
  </si>
  <si>
    <t>216465 - 22565 - 936241</t>
  </si>
  <si>
    <t>216467 - 936242 - 22567</t>
  </si>
  <si>
    <t>936793 - 21647 - 850408</t>
  </si>
  <si>
    <t>936286 - 216474</t>
  </si>
  <si>
    <t>216480 - 931115 - 22504</t>
  </si>
  <si>
    <t>216487 - 936104</t>
  </si>
  <si>
    <t>216494 - 22571 - 936109</t>
  </si>
  <si>
    <t>936063 - 216513 - 22533</t>
  </si>
  <si>
    <t>936099 - 216579</t>
  </si>
  <si>
    <t>936096 - 216580 - 22515</t>
  </si>
  <si>
    <t>914564 - 821018 - 216581</t>
  </si>
  <si>
    <t>936045 - 216583</t>
  </si>
  <si>
    <t>936053 - 216594</t>
  </si>
  <si>
    <t>914672 - 727376 - 216595</t>
  </si>
  <si>
    <t>216606 - 934178</t>
  </si>
  <si>
    <t>945848 - 945852 - 945851 - 945847 - 945853 - 945850 - 216664 - 945855 - 945849 - 945854</t>
  </si>
  <si>
    <t>389254 - 216679 - 945917</t>
  </si>
  <si>
    <t>216681 - 945920</t>
  </si>
  <si>
    <t>216726 - 946035 - 25816</t>
  </si>
  <si>
    <t>26328 - 934021 - 216766 - 389277</t>
  </si>
  <si>
    <t>1013102 - 26333 - 389278 - 216767 - 389279 - 26331 - 934012</t>
  </si>
  <si>
    <t>26340 - 389289 - 1017504 - 216768 - 389288 - 389285 - 389284 - 26342 - 26334 - 389283 - 389286 - 389282 - 934014 - 389280 - 974225 - 389287 - 389290 - 389281</t>
  </si>
  <si>
    <t>216773 - 389295 - 26315 - 389296 - 26314</t>
  </si>
  <si>
    <t>389297 - 933983 - 216774 - 389299 - 389298</t>
  </si>
  <si>
    <t>389301 - 216775 - 389300 - 933984</t>
  </si>
  <si>
    <t>389308 - 913995 - 389304 - 389305 - 216778 - 389307 - 26294 - 389306</t>
  </si>
  <si>
    <t>Drosophile, Mouche du vinaigre</t>
  </si>
  <si>
    <t>26295 - 26296 - 216779 - 389309</t>
  </si>
  <si>
    <t>21678 - 937402</t>
  </si>
  <si>
    <t>389314 - 389313 - 389315 - 26299 - 26298 - 216781</t>
  </si>
  <si>
    <t>216782 - 26300</t>
  </si>
  <si>
    <t>389317 - 389319 - 389318 - 216784</t>
  </si>
  <si>
    <t>216795 - 389345 - 26319 - 389342 - 389340 - 389339 - 389341 - 26317 - 26320 - 389343 - 26318 - 389346 - 389344</t>
  </si>
  <si>
    <t>Mouche du vinaigre, Drosophile</t>
  </si>
  <si>
    <t>389348 - 216796 - 26322 - 389347 - 26321</t>
  </si>
  <si>
    <t>216800 - 389350 - 389351</t>
  </si>
  <si>
    <t>216802 - 933968</t>
  </si>
  <si>
    <t>216804 - 389353 - 933965</t>
  </si>
  <si>
    <t>216807 - 26266 - 389355 - 389354</t>
  </si>
  <si>
    <t>25013 - 216818 - 389367 - 946493</t>
  </si>
  <si>
    <t>216831 - 389368</t>
  </si>
  <si>
    <t>946674 - 216838</t>
  </si>
  <si>
    <t>946676 - 946677 - 216839 - 1009369</t>
  </si>
  <si>
    <t>946645 - 946647 - 216840 - 946646</t>
  </si>
  <si>
    <t>216843 - 946679 - 389371</t>
  </si>
  <si>
    <t>216845 - 946680 - 389372</t>
  </si>
  <si>
    <t>946653 - 216847 - 946654</t>
  </si>
  <si>
    <t>216857 - 26388 - 946635 - 946634 - 946633</t>
  </si>
  <si>
    <t>216859 - 26364 - 946605 - 946604</t>
  </si>
  <si>
    <t>946599 - 216861 - 946597 - 946598</t>
  </si>
  <si>
    <t>26361 - 216863 - 389373 - 850524</t>
  </si>
  <si>
    <t>216894 - 914122 - 25104</t>
  </si>
  <si>
    <t>25124 - 216902 - 934222</t>
  </si>
  <si>
    <t>216904 - 914562 - 25119</t>
  </si>
  <si>
    <t>216906 - 839551 - 25126 - 913996</t>
  </si>
  <si>
    <t>25128 - 216908 - 934228</t>
  </si>
  <si>
    <t>25142 - 216918</t>
  </si>
  <si>
    <t>25146 - 216926</t>
  </si>
  <si>
    <t>216929 - 934237</t>
  </si>
  <si>
    <t>216931 - 25151 - 934241</t>
  </si>
  <si>
    <t>216932 - 934343 - 25153</t>
  </si>
  <si>
    <t>934459 - 216933</t>
  </si>
  <si>
    <t>216935 - 25207 - 850630</t>
  </si>
  <si>
    <t>216937 - 934467 - 25204</t>
  </si>
  <si>
    <t>934471 - 216939 - 25208</t>
  </si>
  <si>
    <t>25211 - 216940 - 934472</t>
  </si>
  <si>
    <t>934474 - 216941</t>
  </si>
  <si>
    <t>216942 - 24677 - 943652 - 943654</t>
  </si>
  <si>
    <t>943975 - 943977 - 943976 - 943979 - 216948 - 24607</t>
  </si>
  <si>
    <t>216962 - 944112 - 944113</t>
  </si>
  <si>
    <t>944135 - 216971 - 944133 - 944136 - 944132 - 944134</t>
  </si>
  <si>
    <t>850641 - 216975 - 24615</t>
  </si>
  <si>
    <t>Mouche du céleri</t>
  </si>
  <si>
    <t>216995 - 24632 - 944277 - 944279 - 944278</t>
  </si>
  <si>
    <t>944287 - 944286 - 216997</t>
  </si>
  <si>
    <t>217000 - 944326</t>
  </si>
  <si>
    <t>944334 - 217003</t>
  </si>
  <si>
    <t>217015 - 944382 - 944383</t>
  </si>
  <si>
    <t>914556 - 217031 - 24739</t>
  </si>
  <si>
    <t>217034 - 24746 - 944416</t>
  </si>
  <si>
    <t>217043 - 944464 - 944463</t>
  </si>
  <si>
    <t>217048 - 934347 - 389380</t>
  </si>
  <si>
    <t>217050 - 934346</t>
  </si>
  <si>
    <t>945146 - 781658 - 945148 - 945145 - 217054 - 945142 - 945147 - 945143 - 945144</t>
  </si>
  <si>
    <t>934350 - 217057 - 24020</t>
  </si>
  <si>
    <t>217081 - 934427</t>
  </si>
  <si>
    <t>217088 - 389403 - 934455</t>
  </si>
  <si>
    <t>940747 - 24905 - 940746 - 217091 - 940745</t>
  </si>
  <si>
    <t>940749 - 24906 - 217093</t>
  </si>
  <si>
    <t>389406 - 217095</t>
  </si>
  <si>
    <t>217102 - 940800</t>
  </si>
  <si>
    <t>940795 - 940794 - 940796 - 940798 - 940797 - 24975 - 940793 - 217103 - 940799</t>
  </si>
  <si>
    <t>217107 - 940816</t>
  </si>
  <si>
    <t>940828 - 217108 - 940829</t>
  </si>
  <si>
    <t>940845 - 217111 - 389414</t>
  </si>
  <si>
    <t>909693 - 21713 - 398741</t>
  </si>
  <si>
    <t>945230 - 217169 - 23849 - 945229 - 945228</t>
  </si>
  <si>
    <t>398744 - 398742 - 398747 - 21717 - 398746 - 398745 - 398743 - 948933</t>
  </si>
  <si>
    <t>399173 - 21723</t>
  </si>
  <si>
    <t>934579 - 217241</t>
  </si>
  <si>
    <t>845171 - 217253 - 939724</t>
  </si>
  <si>
    <t>946908 - 217272 - 389445 - 26507</t>
  </si>
  <si>
    <t>26580 - 389471 - 389470 - 217275 - 389469 - 946882</t>
  </si>
  <si>
    <t>389483 - 217289 - 26542 - 946874</t>
  </si>
  <si>
    <t>946875 - 217290 - 26544</t>
  </si>
  <si>
    <t>389498 - 26563 - 946777 - 389499 - 217310</t>
  </si>
  <si>
    <t>389500 - 217312 - 26532 - 946913</t>
  </si>
  <si>
    <t>217318 - 26461 - 946778 - 389534</t>
  </si>
  <si>
    <t>946750 - 217323</t>
  </si>
  <si>
    <t>399115 - 399116 - 21733</t>
  </si>
  <si>
    <t>927018 - 217336 - 927012 - 927015 - 927014 - 927016 - 927017 - 927013 - 927011</t>
  </si>
  <si>
    <t>927035 - 927034 - 217340 - 927033</t>
  </si>
  <si>
    <t>217341 - 850410</t>
  </si>
  <si>
    <t>389595 - 217364</t>
  </si>
  <si>
    <t>23661 - 217372 - 839224</t>
  </si>
  <si>
    <t>24525 - 217377</t>
  </si>
  <si>
    <t>217379 - 914576 - 23665</t>
  </si>
  <si>
    <t>935549 - 217380</t>
  </si>
  <si>
    <t>217382 - 932568 - 932573</t>
  </si>
  <si>
    <t>913290 - 217389</t>
  </si>
  <si>
    <t>945475 - 945470 - 217391 - 945473</t>
  </si>
  <si>
    <t>913287 - 217392</t>
  </si>
  <si>
    <t>914677 - 217394</t>
  </si>
  <si>
    <t>913285 - 217396</t>
  </si>
  <si>
    <t>913306 - 217400</t>
  </si>
  <si>
    <t>217402 - 932585</t>
  </si>
  <si>
    <t>913286 - 217404</t>
  </si>
  <si>
    <t>217407 - 913299</t>
  </si>
  <si>
    <t>913284 - 217410</t>
  </si>
  <si>
    <t>913301 - 217417</t>
  </si>
  <si>
    <t>913357 - 24450 - 217422</t>
  </si>
  <si>
    <t>913302 - 217423 - 389601 - 24445</t>
  </si>
  <si>
    <t>913305 - 217424</t>
  </si>
  <si>
    <t>217426 - 932592</t>
  </si>
  <si>
    <t>21744 - 21743</t>
  </si>
  <si>
    <t>932596 - 217432</t>
  </si>
  <si>
    <t>932602 - 217439</t>
  </si>
  <si>
    <t>23189 - 932603 - 217441</t>
  </si>
  <si>
    <t>217448 - 850489 - 23914</t>
  </si>
  <si>
    <t>217453 - 850431 - 23709</t>
  </si>
  <si>
    <t>23713 - 913702 - 217455</t>
  </si>
  <si>
    <t>913703 - 217456</t>
  </si>
  <si>
    <t>217467 - 24548</t>
  </si>
  <si>
    <t>217468 - 913665</t>
  </si>
  <si>
    <t>217482 - 932654 - 23146 - 712931</t>
  </si>
  <si>
    <t>23140 - 845210 - 217483</t>
  </si>
  <si>
    <t>945539 - 217484 - 945538</t>
  </si>
  <si>
    <t>932662 - 217487</t>
  </si>
  <si>
    <t>217488 - 913369</t>
  </si>
  <si>
    <t>217489 - 23149</t>
  </si>
  <si>
    <t>712933 - 217490 - 23150</t>
  </si>
  <si>
    <t>913689 - 217495</t>
  </si>
  <si>
    <t>217502 - 913371</t>
  </si>
  <si>
    <t>217503 - 850463</t>
  </si>
  <si>
    <t>945545 - 945544 - 945546 - 217505 - 945543</t>
  </si>
  <si>
    <t>913309 - 217509</t>
  </si>
  <si>
    <t>217510 - 24474</t>
  </si>
  <si>
    <t>217511 - 932744</t>
  </si>
  <si>
    <t>217513 - 945553</t>
  </si>
  <si>
    <t>217515 - 945554 - 945558 - 23211 - 945557 - 945556</t>
  </si>
  <si>
    <t>217516 - 913368 - 23192 - 976873</t>
  </si>
  <si>
    <t>217517 - 932755 - 23197</t>
  </si>
  <si>
    <t>21752 - 399159</t>
  </si>
  <si>
    <t>914603 - 217525</t>
  </si>
  <si>
    <t>945563 - 945565 - 945561 - 217528</t>
  </si>
  <si>
    <t>909281 - 399157 - 21753 - 399158 - 399156</t>
  </si>
  <si>
    <t>945572 - 945569 - 945573 - 945570 - 945568 - 217546 - 945571</t>
  </si>
  <si>
    <t>217547 - 976877 - 932758</t>
  </si>
  <si>
    <t>24495 - 945582 - 945580 - 217549 - 945581</t>
  </si>
  <si>
    <t>217553 - 932863</t>
  </si>
  <si>
    <t>913663 - 217554 - 932865</t>
  </si>
  <si>
    <t>932876 - 217570 - 23223</t>
  </si>
  <si>
    <t>24478 - 217579 - 850555</t>
  </si>
  <si>
    <t>24440 - 913699 - 217598</t>
  </si>
  <si>
    <t>932912 - 217605</t>
  </si>
  <si>
    <t>217613 - 24317 - 932917</t>
  </si>
  <si>
    <t>217615 - 913323 - 24319</t>
  </si>
  <si>
    <t>945663 - 945664 - 945665 - 945666 - 217622</t>
  </si>
  <si>
    <t>945672 - 217626 - 945669 - 945671 - 945670</t>
  </si>
  <si>
    <t>217632 - 913609 - 24407</t>
  </si>
  <si>
    <t>914634 - 23220 - 217635</t>
  </si>
  <si>
    <t>217637 - 24602 - 258373</t>
  </si>
  <si>
    <t>948703 - 948704 - 948700 - 389602 - 217645 - 948702</t>
  </si>
  <si>
    <t>22307 - 914655 - 217651</t>
  </si>
  <si>
    <t>217652 - 914656</t>
  </si>
  <si>
    <t>948769 - 217654 - 839540 - 948771 - 948770</t>
  </si>
  <si>
    <t>389603 - 217667</t>
  </si>
  <si>
    <t>22358 - 217684</t>
  </si>
  <si>
    <t>217690 - 850677 - 839515</t>
  </si>
  <si>
    <t>Taon</t>
  </si>
  <si>
    <t>948763 - 948761 - 217693 - 948762</t>
  </si>
  <si>
    <t>389628 - 389629 - 217712</t>
  </si>
  <si>
    <t>217750 - 28910</t>
  </si>
  <si>
    <t>217757 - 250470</t>
  </si>
  <si>
    <t>389665 - 217822</t>
  </si>
  <si>
    <t>389667 - 217824</t>
  </si>
  <si>
    <t>1011203 - 1009780 - 217836 - 1009784 - 1009781 - 1009759 - 389678 - 1011342</t>
  </si>
  <si>
    <t>399141 - 909595 - 399140 - 21789</t>
  </si>
  <si>
    <t>909694 - 399209 - 399208 - 21794</t>
  </si>
  <si>
    <t>399206 - 399205 - 909696 - 21796 - 399204 - 399207</t>
  </si>
  <si>
    <t>217995 - 389871 - 389891 - 389874 - 389873 - 389883 - 389889 - 389885 - 389872 - 389879 - 389887 - 389890 - 389882 - 389880 - 389876 - 389886 - 389877 - 389881 - 389870 - 389875 - 389878 - 389884 - 389888</t>
  </si>
  <si>
    <t>21801 - 909946</t>
  </si>
  <si>
    <t>21806 - 399522 - 909972</t>
  </si>
  <si>
    <t>21816 - 399203</t>
  </si>
  <si>
    <t>21818 - 910693</t>
  </si>
  <si>
    <t>21821 - 399199 - 399200 - 399198 - 399202 - 910711 - 399197 - 399201</t>
  </si>
  <si>
    <t>921944 - 21858</t>
  </si>
  <si>
    <t>21862 - 948976 - 399195</t>
  </si>
  <si>
    <t>399177 - 948991 - 21878</t>
  </si>
  <si>
    <t>850723 - 702001 - 702002 - 2188</t>
  </si>
  <si>
    <t>399536 - 21891</t>
  </si>
  <si>
    <t>21893 - 399538 - 399537</t>
  </si>
  <si>
    <t>21895 - 909803</t>
  </si>
  <si>
    <t>21899 - 399524 - 909836 - 399525</t>
  </si>
  <si>
    <t>219036 - 718504 - 718509</t>
  </si>
  <si>
    <t>399513 - 21905</t>
  </si>
  <si>
    <t>948994 - 399514 - 21906</t>
  </si>
  <si>
    <t>1003500 - 899011 - 391591 - 219072 - 250504 - 219066</t>
  </si>
  <si>
    <t>52339 - 219082 - 716409</t>
  </si>
  <si>
    <t>219084 - 52742</t>
  </si>
  <si>
    <t>391596 - 913338 - 250519 - 219088</t>
  </si>
  <si>
    <t>250536 - 219112</t>
  </si>
  <si>
    <t>219114 - 989802</t>
  </si>
  <si>
    <t>391687 - 391688 - 219185 - 391686</t>
  </si>
  <si>
    <t>219358 - 997544 - 997535 - 783069</t>
  </si>
  <si>
    <t>219359 - 997177 - 997178 - 219362 - 997171 - 997180 - 219360 - 783064</t>
  </si>
  <si>
    <t>783050 - 783061 - 997988 - 219365 - 219374 - 718491 - 997996 - 782295 - 783059 - 782298 - 997994 - 219375 - 52826 - 219370 - 998138 - 219376 - 997992 - 219366 - 998135 - 219363 - 219371 - 998136 - 219377 - 782296 - 997995 - 782297 - 219368 - 998137 - 219364 - 783049 - 52827 - 219373 - 997991 - 219369 - 997990 - 997511 - 997989 - 997997</t>
  </si>
  <si>
    <t>21939 - 399308 - 399307</t>
  </si>
  <si>
    <t>391991 - 782964 - 783041 - 391990 - 997798 - 219391</t>
  </si>
  <si>
    <t>997816 - 997815 - 997813 - 997819 - 997820 - 997817 - 997814 - 219392 - 997812 - 997818 - 997821</t>
  </si>
  <si>
    <t>718512 - 997839 - 997842 - 997841 - 782966 - 997844 - 219394 - 997840</t>
  </si>
  <si>
    <t>Fourmi rouge</t>
  </si>
  <si>
    <t>219396 - 997823</t>
  </si>
  <si>
    <t>219397 - 997871 - 997867 - 997870 - 997868 - 997869</t>
  </si>
  <si>
    <t>21940 - 909838</t>
  </si>
  <si>
    <t>997483 - 997520 - 219401 - 997521 - 997524 - 782962 - 997518 - 997522 - 997526 - 997523</t>
  </si>
  <si>
    <t>399311 - 21941 - 399310 - 399312</t>
  </si>
  <si>
    <t>997156 - 997157 - 716413 - 997159 - 997164 - 997160 - 997158 - 997162 - 219411 - 997163 - 782945</t>
  </si>
  <si>
    <t>219412 - 782929 - 997793 - 997792</t>
  </si>
  <si>
    <t>219413 - 997507 - 250586 - 997506 - 997508 - 782840 - 997510 - 250587 - 219447 - 997505 - 997504</t>
  </si>
  <si>
    <t>997512 - 997513 - 782859 - 997509 - 219432</t>
  </si>
  <si>
    <t>997117 - 997114 - 997116 - 937894 - 997115 - 219458 - 997118</t>
  </si>
  <si>
    <t>Fourmi bossue</t>
  </si>
  <si>
    <t>990042 - 770396 - 990041 - 219465 - 990040</t>
  </si>
  <si>
    <t>Fourmi quadriponctuée</t>
  </si>
  <si>
    <t>989986 - 973489 - 973488 - 219471 - 219469 - 219468 - 219467 - 968176</t>
  </si>
  <si>
    <t>783023 - 219475 - 991670 - 991651 - 991672</t>
  </si>
  <si>
    <t>991362 - 219482 - 991365 - 991366 - 991368 - 991361 - 991364 - 991367</t>
  </si>
  <si>
    <t>Fourmi jaune</t>
  </si>
  <si>
    <t>991354 - 991353 - 219486 - 991355</t>
  </si>
  <si>
    <t>219488 - 991363</t>
  </si>
  <si>
    <t>1009336 - 219490 - 820946 - 991360 - 1009325</t>
  </si>
  <si>
    <t>Fourmi fuligineuse</t>
  </si>
  <si>
    <t>991699 - 991711 - 991708 - 991709 - 991710 - 991707 - 991712 - 991706 - 219496</t>
  </si>
  <si>
    <t>985346 - 219500 - 985349 - 991742 - 985350 - 250621 - 985333 - 985356 - 985352 - 985344 - 985339 - 985342 - 985351 - 985340 - 985341 - 985343 - 985345 - 985347</t>
  </si>
  <si>
    <t>991716 - 219505 - 840052 - 991717 - 991718</t>
  </si>
  <si>
    <t>Fourmi jaïet</t>
  </si>
  <si>
    <t>219507 - 991713</t>
  </si>
  <si>
    <t>991853 - 991854 - 219514 - 991846 - 991848 - 991852 - 52786 - 991851 - 974316 - 991849 - 770823 - 770822 - 991847 - 991855 - 991850 - 991839</t>
  </si>
  <si>
    <t>Fourmi Hercule</t>
  </si>
  <si>
    <t>774464 - 974348 - 774469 - 774467 - 774465 - 774468 - 774466 - 219515</t>
  </si>
  <si>
    <t>Fourmi ronge-bois</t>
  </si>
  <si>
    <t>782748 - 991837 - 991840 - 391995 - 770821 - 219517</t>
  </si>
  <si>
    <t>774509 - 974462 - 774507 - 774508 - 219519 - 991945</t>
  </si>
  <si>
    <t>783025 - 992257 - 219524 - 992256</t>
  </si>
  <si>
    <t>910298 - 21953</t>
  </si>
  <si>
    <t>992125 - 992132 - 992128 - 992145 - 992131 - 992126 - 992142 - 992129 - 992141 - 992134 - 992130 - 644173 - 992144 - 992148 - 992143 - 992146 - 992135 - 992140 - 992137 - 992124 - 219530 - 992136 - 646943</t>
  </si>
  <si>
    <t>399295 - 399296 - 910449 - 399297 - 399294 - 399298 - 21955 - 399293</t>
  </si>
  <si>
    <t>219553 - 897550 - 897549</t>
  </si>
  <si>
    <t>219589 - 392061 - 392058 - 716415 - 392063 - 392059 - 392062 - 392060</t>
  </si>
  <si>
    <t>936703 - 219602 - 392088 - 392089</t>
  </si>
  <si>
    <t>219606 - 392099 - 392098</t>
  </si>
  <si>
    <t>392108 - 936702 - 219610 - 392109</t>
  </si>
  <si>
    <t>392123 - 392124 - 392125 - 219619</t>
  </si>
  <si>
    <t>392173 - 219737</t>
  </si>
  <si>
    <t>778465 - 392188 - 53338 - 647730 - 770425 - 219740 - 774006 - 53337 - 809762 - 833211 - 833213 - 641343 - 641345</t>
  </si>
  <si>
    <t>Sylvaine (La), Sylvain (Le), Sylvine (La)</t>
  </si>
  <si>
    <t>714134 - 53326 - 641359 - 641358 - 219741 - 641360</t>
  </si>
  <si>
    <t>Hespérie du Dactyle (L'), Hespérie europénne (au Canada) (L'), Ligné (Le), Hespérie orangée (L')</t>
  </si>
  <si>
    <t>833207 - 833210 - 833209 - 714136 - 952438 - 53328 - 647729 - 770461 - 219742 - 641361 - 775015 - 392190 - 392189 - 641363 - 641364 - 833205 - 952212</t>
  </si>
  <si>
    <t>Hespérie de la Houque (L'), Thaumas (Le), Bande noire (La)</t>
  </si>
  <si>
    <t>904172 - 53255 - 392193 - 641460 - 904173 - 219743 - 641452 - 641449 - 777445</t>
  </si>
  <si>
    <t>Hespérie du Carthame (L'), Bigarré (Le), Grande Hespéride (La), Plain-Chant (Le)</t>
  </si>
  <si>
    <t>Déterminante sous conditions géographiques + station</t>
  </si>
  <si>
    <t>&lt; 600 m.</t>
  </si>
  <si>
    <t>774072 - 219744 - 777363 - 816848 - 816846 - 816844 - 641471 - 816845 - 816849 - 816850 - 816869 - 53224 - 641472 - 816847 - 713121 - 838777 - 773993 - 789950</t>
  </si>
  <si>
    <t>Tacheté austral (Le), Hespérie de l'Aigremoine (L'), Hespérie de la Mauve du Sud (L')</t>
  </si>
  <si>
    <t>642421 - 713917 - 642416 - 833898 - 713910 - 713909 - 642422 - 642414 - 642427 - 642417 - 642420 - 642415 - 642419 - 642425 - 642424 - 642413 - 713912 - 642428 - 219750 - 713915 - 53983 - 642423 - 392214 - 392213</t>
  </si>
  <si>
    <t>Cuivré de la Verge-d'or (Le), Cuivré satiné (Le), Argus satiné (Le), Verge-d'or (La), Lycène de la Verge-d'or (Le), Polyomate de la Verge-d'or (Le)</t>
  </si>
  <si>
    <t>&lt; 800 m.</t>
  </si>
  <si>
    <t>Confidentielle sur les petits sites (&lt;1 ha)</t>
  </si>
  <si>
    <t>642401 - 642399 - 53985 - 219751 - 783609 - 838744 - 642397 - 392215 - 392216 - 825165 - 642398</t>
  </si>
  <si>
    <t>Cuivré fuligineux (Le), Argus myope (L'), Polyommate Xanthé (Le)</t>
  </si>
  <si>
    <t>777283 - 642296 - 53991 - 219752 - 642253 - 701943</t>
  </si>
  <si>
    <t>Cuivré mauvin (Le), Cuivré flamboyant (Le), Argus pourpre (L')</t>
  </si>
  <si>
    <t>838743 - 809622 - 54001 - 642367 - 642368 - 979247 - 778461 - 884215 - 774712 - 219753 - 976063 - 804261 - 54005 - 642537 - 642365 - 642369</t>
  </si>
  <si>
    <t>Cuivré écarlate (Le)</t>
  </si>
  <si>
    <t>Toute la Bourgogne
&lt; 600 m en Franche-Comté</t>
  </si>
  <si>
    <t>219755 - 884234 - 770462 - 54299 - 820963 - 646173</t>
  </si>
  <si>
    <t>Thécla de l'Orme (La), Thécla à W blanc (La), W blanc (Le), Thècle W-album (La), Thécla W-Blanc (La), Porte-Queue brun à une ligne blanche (Le)</t>
  </si>
  <si>
    <t>54302 - 984634 - 646156 - 219756 - 778491 - 643511</t>
  </si>
  <si>
    <t>Thécla du Prunier (La), Thécla du Coudrier (La), Porte-Queue brun à lignes blanches (Le)</t>
  </si>
  <si>
    <t>646160 - 646167 - 778863 - 646171 - 884238 - 777337 - 219757 - 646169 - 54296 - 646161 - 646170 - 646158 - 884232</t>
  </si>
  <si>
    <t>Thécla des Nerpruns (La), Thécla du Prunellier (La), Thécla de l'Aubépine (La), Porte-Queue brun à tâches bleues (Le), Porte-Queue gris-brun (Le)</t>
  </si>
  <si>
    <t>838667 - 774925 - 820964 - 646150 - 884237 - 777338 - 219758 - 646153 - 646155 - 770429 - 646151 - 809646 - 646148 - 646149 - 777399 - 54286</t>
  </si>
  <si>
    <t>Thécla de l'Yeuse (La), Lyncée (Le), Porte-Queue brun à tâches fauves (Le)</t>
  </si>
  <si>
    <t>777402 - 646139 - 774482 - 646140 - 646141 - 646143 - 884235 - 646142 - 54292 - 219760 - 778862</t>
  </si>
  <si>
    <t>Thécla de l'Amarel (La), Thécla de l'Acacia (La)</t>
  </si>
  <si>
    <t>834111 - 392231 - 646071 - 646075 - 646073 - 392230 - 646078 - 643525 - 777421 - 646079 - 54256 - 777281 - 782901 - 646074 - 777279 - 646077 - 884199 - 646072 - 219763</t>
  </si>
  <si>
    <t>Azuré du Mélilot (L'), Argus turquoise (L'), Azuré (L')</t>
  </si>
  <si>
    <t>459078 - 646108 - 646107 - 643528 - 646109 - 838749 - 646103 - 54245 - 826775 - 219765</t>
  </si>
  <si>
    <t>Azuré de L'Esparcette (L'), Azuré de Chapman (L'), Argus bleu roi (L')</t>
  </si>
  <si>
    <t>Toute la Bourgogne</t>
  </si>
  <si>
    <t>642536 - 826774 - 774622 - 642535 - 642525 - 774627 - 783611 - 219793 - 774625 - 821971 - 825166 - 807126 - 54039 - 711949</t>
  </si>
  <si>
    <t>Azuré du Trèfle (L'), Petit Porte-Queue (Le), Argus mini-queue (L'), Myrmidon (Le)</t>
  </si>
  <si>
    <t>642529 - 54041 - 642528 - 642527 - 392271 - 711959 - 219794 - 392275 - 642533 - 642534 - 713733 - 54043 - 713734</t>
  </si>
  <si>
    <t>Azuré de la Faucille (L'), Argus rase-queue (L'), Azuré frêle (L')</t>
  </si>
  <si>
    <t>Brun du pélargonium (Le), Argus des Pélargoniums (L')</t>
  </si>
  <si>
    <t>775012 - 219799 - 821852 - 778489 - 778304 - 53688 - 647167</t>
  </si>
  <si>
    <t>Tristan (Le)</t>
  </si>
  <si>
    <t>777361 - 833412 - 833419 - 647350 - 219806 - 976462 - 833410 - 833417 - 713863 - 833409 - 783604 - 833416 - 833420 - 833415 - 833411 - 53407 - 833408 - 833413 - 833414 - 833418</t>
  </si>
  <si>
    <t>Faune (Le), Arachné (L'), Coronis (Le)</t>
  </si>
  <si>
    <t>53382 - 884640 - 647347 - 219807</t>
  </si>
  <si>
    <t>Sylvandre helvète (Le)</t>
  </si>
  <si>
    <t>646849 - 713973 - 608363 - 219808 - 53835 - 646851 - 53834 - 1015024 - 53832 - 777425 - 392376</t>
  </si>
  <si>
    <t>Mélitée des Linaires (La)</t>
  </si>
  <si>
    <t>646856 - 777263 - 219810 - 984764 - 774939 - 392377 - 53837</t>
  </si>
  <si>
    <t>Mélitée de la Lancéole (La), Mélitée des Scabieuses (La), Damier Parthénie (Le)</t>
  </si>
  <si>
    <t>826778 - 392378 - 646331 - 979131 - 219811 - 646337 - 646332 - 53841 - 646330 - 976207</t>
  </si>
  <si>
    <t>Mélitée des Digitales (La), Damier Aurélie (Le)</t>
  </si>
  <si>
    <t>Melitaea aurelia</t>
  </si>
  <si>
    <t>2018-2028</t>
  </si>
  <si>
    <t>774940 - 250647 - 219812 - 821856 - 392381 - 392380 - 53830 - 53827 - 392379 - 821857 - 646328 - 53829</t>
  </si>
  <si>
    <t>Mélitée du Mélampyre (La), Damier Athalie (Le)</t>
  </si>
  <si>
    <t>774936 - 53959 - 392401 - 646258 - 778869 - 219815 - 770469</t>
  </si>
  <si>
    <t>Grand collier argenté (Le), Nacré sagitté (Le)</t>
  </si>
  <si>
    <t>609957 - 392403 - 721001 - 646260 - 53957 - 392402 - 53954 - 608341 - 809754 - 609956 - 53956 - 219816 - 838673 - 53958 - 713466</t>
  </si>
  <si>
    <t>Nacré porphyrin (Le), Alezan (L'), Jason (Le), Grande Violette (La), Amathuse (L')</t>
  </si>
  <si>
    <t>770470 - 646259 - 774937 - 778865 - 53938 - 219817</t>
  </si>
  <si>
    <t>Petit Collier argenté (Le), Nacré fléché (Le)</t>
  </si>
  <si>
    <t>646257 - 774935 - 778871 - 219818 - 53942</t>
  </si>
  <si>
    <t>Petite Violette (La), Nacré violet (Le)</t>
  </si>
  <si>
    <t>720967 - 836533 - 219826 - 884795 - 641920 - 720963 - 54386 - 720965</t>
  </si>
  <si>
    <t>Fluoré (Le)</t>
  </si>
  <si>
    <t>642123 - 54436 - 720041 - 777607 - 642121 - 432544 - 642122 - 976061 - 610364 - 884844 - 610363 - 608275 - 642120 - 836531 - 219827 - 838672 - 816622 - 701929</t>
  </si>
  <si>
    <t>Piéride du Simplon (La), Piéride de la Roquette (La)</t>
  </si>
  <si>
    <t>399427 - 399425 - 399424 - 399428 - 21984 - 948939 - 399430 - 399426 - 21983 - 399429</t>
  </si>
  <si>
    <t>219830 - 781330 - 54357 - 642163 - 642189 - 642187 - 642186</t>
  </si>
  <si>
    <t>Piéride de l'Ibéride (La), Piéride jumelle (La)</t>
  </si>
  <si>
    <t>642221 - 54355 - 219831</t>
  </si>
  <si>
    <t>Piéride de la Rave (La), Petit Blanc du Chou (Le), Petite Piéride du Chou (La)</t>
  </si>
  <si>
    <t>392437 - 885093 - 642214 - 392440 - 392435 - 392438 - 392436 - 54349 - 54347 - 392439 - 885092 - 219833 - 642218 - 54352</t>
  </si>
  <si>
    <t>Piéride du Navet (La), Papillon blanc veiné de vert (Le)</t>
  </si>
  <si>
    <t>956680 - 721389 - 816618 - 219835 - 642095</t>
  </si>
  <si>
    <t>Piéride de Réal (La)</t>
  </si>
  <si>
    <t>219838 - 392450</t>
  </si>
  <si>
    <t>901549 - 219899</t>
  </si>
  <si>
    <t>824772 - 219918</t>
  </si>
  <si>
    <t>789819 - 219923 - 789818</t>
  </si>
  <si>
    <t>789796 - 219927 - 789795 - 789799</t>
  </si>
  <si>
    <t>789853 - 219928</t>
  </si>
  <si>
    <t>789959 - 789854 - 789855 - 901547 - 219931</t>
  </si>
  <si>
    <t>219955 - 824773</t>
  </si>
  <si>
    <t>789858 - 789824 - 789825 - 789859 - 219961</t>
  </si>
  <si>
    <t>21997 - 399456</t>
  </si>
  <si>
    <t>789823 - 219970</t>
  </si>
  <si>
    <t>849786 - 219991 - 52093</t>
  </si>
  <si>
    <t>399471 - 22000</t>
  </si>
  <si>
    <t>392482 - 789820 - 824025 - 220011</t>
  </si>
  <si>
    <t>824064 - 220032 - 824065</t>
  </si>
  <si>
    <t>220034 - 65588</t>
  </si>
  <si>
    <t>824098 - 824099 - 824100 - 220035 - 824101</t>
  </si>
  <si>
    <t>824055 - 220037 - 824054</t>
  </si>
  <si>
    <t>220038 - 824037 - 824036 - 824038</t>
  </si>
  <si>
    <t>824205 - 824206 - 824203 - 824201 - 65528 - 824204 - 824207 - 65529 - 220047 - 824202</t>
  </si>
  <si>
    <t>22005 - 399379</t>
  </si>
  <si>
    <t>824186 - 824189 - 824187 - 824185 - 824184 - 65603 - 824188 - 220052</t>
  </si>
  <si>
    <t>Perle jaune</t>
  </si>
  <si>
    <t>824234 - 220055 - 824233</t>
  </si>
  <si>
    <t>824219 - 824218 - 824220 - 824221 - 220058</t>
  </si>
  <si>
    <t>824224 - 220059 - 824223</t>
  </si>
  <si>
    <t>824312 - 824314 - 824313 - 824315 - 220061 - 65583 - 824316</t>
  </si>
  <si>
    <t>220062 - 65571</t>
  </si>
  <si>
    <t>65572 - 220063</t>
  </si>
  <si>
    <t>824301 - 824299 - 824300 - 824298 - 824304 - 824296 - 65575 - 824297 - 824303 - 824302 - 65574 - 220064 - 824295 - 65573</t>
  </si>
  <si>
    <t>220066 - 824305 - 65577</t>
  </si>
  <si>
    <t>65578 - 220067</t>
  </si>
  <si>
    <t>824306 - 824307 - 824308 - 220068</t>
  </si>
  <si>
    <t>220070 - 65579 - 392487</t>
  </si>
  <si>
    <t>392489 - 220084</t>
  </si>
  <si>
    <t>220089 - 824255 - 824254 - 392490</t>
  </si>
  <si>
    <t>22011 - 22010 - 399397 - 948979</t>
  </si>
  <si>
    <t>399398 - 22012 - 948980 - 22013</t>
  </si>
  <si>
    <t>220124 - 824382</t>
  </si>
  <si>
    <t>399400 - 399401 - 399402 - 22015</t>
  </si>
  <si>
    <t>399368 - 22018 - 948981 - 399367</t>
  </si>
  <si>
    <t>220189 - 1011100</t>
  </si>
  <si>
    <t>220192 - 1011599</t>
  </si>
  <si>
    <t>948988 - 22025 - 1009497</t>
  </si>
  <si>
    <t>392519 - 1011540 - 220265</t>
  </si>
  <si>
    <t>934108 - 220275</t>
  </si>
  <si>
    <t>848990 - 220306</t>
  </si>
  <si>
    <t>Psylle du figuier</t>
  </si>
  <si>
    <t>898534 - 220333</t>
  </si>
  <si>
    <t>220355 - 898542 - 898543</t>
  </si>
  <si>
    <t>650957 - 220356</t>
  </si>
  <si>
    <t>Psylle de l'arbre de Judée, Psylle du Cercis</t>
  </si>
  <si>
    <t>220372 - 650927 - 650986 - 650928</t>
  </si>
  <si>
    <t>220407 - 820905 - 650974</t>
  </si>
  <si>
    <t>220474 - 789860</t>
  </si>
  <si>
    <t>Rafidie</t>
  </si>
  <si>
    <t>1014275 - 220487</t>
  </si>
  <si>
    <t>392630 - 220606 - 392629</t>
  </si>
  <si>
    <t>399808 - 399809 - 399807 - 399810 - 399812 - 399811 - 949123 - 399813 - 22070</t>
  </si>
  <si>
    <t>221013 - 840891 - 840892</t>
  </si>
  <si>
    <t>Aoûtat, Rouget, Vendangeon, Vendangeron</t>
  </si>
  <si>
    <t>850722 - 221033</t>
  </si>
  <si>
    <t>399905 - 22120 - 22119 - 399906</t>
  </si>
  <si>
    <t>221196 - 954922</t>
  </si>
  <si>
    <t>Pou des escargots, Pou des limaçons</t>
  </si>
  <si>
    <t>954342 - 221300</t>
  </si>
  <si>
    <t>954349 - 221307 - 854031</t>
  </si>
  <si>
    <t>854025 - 954634 - 221370</t>
  </si>
  <si>
    <t>393066 - 221373 - 927568</t>
  </si>
  <si>
    <t>221382 - 393068 - 848691 - 393069</t>
  </si>
  <si>
    <t>854023 - 393070 - 954639 - 221383</t>
  </si>
  <si>
    <t>Phytopte du tilleul</t>
  </si>
  <si>
    <t>221427 - 393141 - 954944 - 393142 - 393140 - 393139 - 393143 - 393145 - 393146 - 393144</t>
  </si>
  <si>
    <t>393151 - 393148 - 393149 - 393150 - 954945 - 221428 - 393147</t>
  </si>
  <si>
    <t>393209 - 393208 - 393201 - 393214 - 393213 - 393190 - 393211 - 221439 - 393195 - 393193 - 820457 - 393198 - 393194 - 393207 - 393206 - 393191 - 393200 - 393212 - 393204 - 393203 - 393205 - 393216 - 393210 - 393215 - 393197 - 393202 - 393196 - 393192 - 393199</t>
  </si>
  <si>
    <t>Tique du mouton</t>
  </si>
  <si>
    <t>393247 - 393251 - 393246 - 221452 - 393253 - 393252 - 393254 - 885283 - 393250 - 393249 - 393245 - 393248 - 885230</t>
  </si>
  <si>
    <t>22150 - 22148</t>
  </si>
  <si>
    <t>944478 - 22149 - 944477 - 944479 - 944476</t>
  </si>
  <si>
    <t>22153 - 934342</t>
  </si>
  <si>
    <t>22157 - 944470</t>
  </si>
  <si>
    <t>393431 - 65784 - 221580</t>
  </si>
  <si>
    <t>945801 - 221581</t>
  </si>
  <si>
    <t>65781 - 221582 - 65804</t>
  </si>
  <si>
    <t>927007 - 22160 - 927006 - 927008 - 927004 - 927005</t>
  </si>
  <si>
    <t>927009 - 927010 - 22161</t>
  </si>
  <si>
    <t>22163 - 927021</t>
  </si>
  <si>
    <t>893107 - 221648</t>
  </si>
  <si>
    <t>927032 - 22168 - 927031</t>
  </si>
  <si>
    <t>22170 - 927036 - 927039 - 927040 - 927037 - 927038 - 927041</t>
  </si>
  <si>
    <t>22172 - 927049</t>
  </si>
  <si>
    <t>22173 - 927052 - 927053</t>
  </si>
  <si>
    <t>850554 - 389580 - 927062 - 927058 - 22174 - 927063 - 927057 - 927060</t>
  </si>
  <si>
    <t>22177 - 913630 - 927096 - 927095</t>
  </si>
  <si>
    <t>850553 - 927100 - 927099 - 927098 - 22178 - 927097</t>
  </si>
  <si>
    <t>927101 - 22179 - 927102</t>
  </si>
  <si>
    <t>927103 - 22180 - 927110 - 927105 - 927108 - 927106 - 927111 - 927104</t>
  </si>
  <si>
    <t>927127 - 927123 - 927120 - 914671 - 927118 - 22182 - 927130 - 927125</t>
  </si>
  <si>
    <t>927135 - 22183 - 927134 - 927136 - 914654</t>
  </si>
  <si>
    <t>393458 - 893459 - 393460 - 393459 - 393461 - 1016028 - 221835</t>
  </si>
  <si>
    <t>22184 - 850413 - 927153</t>
  </si>
  <si>
    <t>927193 - 927194 - 927195 - 927188 - 927189 - 927191 - 927192 - 22188 - 927197 - 927196 - 927187 - 927185</t>
  </si>
  <si>
    <t>393710 - 801779 - 221887</t>
  </si>
  <si>
    <t>221888 - 801780 - 885089 - 393711 - 885090 - 885088</t>
  </si>
  <si>
    <t>393713 - 393714 - 221889 - 393712</t>
  </si>
  <si>
    <t>393747 - 393746 - 393744 - 221893 - 393745 - 393743 - 801449 - 393742</t>
  </si>
  <si>
    <t>927215 - 927216 - 22190 - 927211 - 927209 - 927210 - 927214 - 850411 - 927213 - 927212 - 18962</t>
  </si>
  <si>
    <t>Mouche armée à ventre plat chargé à six lunules</t>
  </si>
  <si>
    <t>927223 - 22191 - 927233 - 927226 - 927231 - 927221 - 838524 - 927228 - 927229 - 927232 - 927230 - 927220 - 927225 - 927224 - 927227 - 927219 - 927222</t>
  </si>
  <si>
    <t>801443 - 221903 - 393778 - 393777 - 801442 - 221910 - 801441 - 221911 - 393779 - 393780</t>
  </si>
  <si>
    <t>801428 - 393798 - 221914 - 393799 - 393795 - 393797 - 393802 - 393801 - 393796 - 393794 - 393800</t>
  </si>
  <si>
    <t>Horloge de la mort, Grande vrillette</t>
  </si>
  <si>
    <t>393804 - 393805 - 1012748 - 801429 - 221917</t>
  </si>
  <si>
    <t>Vrillette brune à bandes grises</t>
  </si>
  <si>
    <t>221918 - 779809 - 393806 - 699734</t>
  </si>
  <si>
    <t>221920 - 393807 - 801413 - 393808 - 393809</t>
  </si>
  <si>
    <t>221921 - 393811 - 801414 - 393810</t>
  </si>
  <si>
    <t>393819 - 393822 - 393821 - 801417 - 393823 - 393818 - 393825 - 393824 - 393820 - 221929</t>
  </si>
  <si>
    <t>927249 - 927248 - 22193 - 913339 - 18963 - 389598 - 948697 - 927251</t>
  </si>
  <si>
    <t>393884 - 221944 - 393883 - 393882 - 393886 - 393887 - 393881 - 393885</t>
  </si>
  <si>
    <t>393900 - 393902 - 221950 - 393899 - 393901</t>
  </si>
  <si>
    <t>393923 - 847454 - 221960 - 393924 - 393925 - 393926 - 393927 - 393928 - 393921 - 393922 - 393920</t>
  </si>
  <si>
    <t>393930 - 393929 - 393933 - 221961 - 393937 - 393932 - 393938 - 393934 - 393946 - 393939 - 393936 - 393931 - 393943 - 393944 - 393941 - 393945 - 393942 - 393935 - 393940</t>
  </si>
  <si>
    <t>801367 - 393969 - 221977</t>
  </si>
  <si>
    <t>389582 - 389583 - 961633 - 22198 - 927268</t>
  </si>
  <si>
    <t>850414 - 389584 - 927276 - 927271 - 22199 - 389585 - 927273 - 927275 - 927278 - 927279 - 927272</t>
  </si>
  <si>
    <t>393990 - 393991 - 393989 - 221993 - 801434 - 393988</t>
  </si>
  <si>
    <t>892580 - 394001 - 394000 - 221998</t>
  </si>
  <si>
    <t>222001 - 394007 - 394005 - 394006 - 394004 - 812957 - 394008</t>
  </si>
  <si>
    <t>222002 - 394009</t>
  </si>
  <si>
    <t>394014 - 838403 - 394015 - 222006</t>
  </si>
  <si>
    <t>801401 - 394016 - 222007</t>
  </si>
  <si>
    <t>222016 - 394035 - 394034 - 394033 - 394032 - 801358</t>
  </si>
  <si>
    <t>394042 - 394036 - 801395 - 962768 - 394046 - 222017 - 1018564 - 394045 - 394037 - 394041 - 394048 - 394039 - 394038 - 394040 - 394047 - 910391 - 394043 - 394044</t>
  </si>
  <si>
    <t>222018 - 394050 - 394051 - 801390 - 394049</t>
  </si>
  <si>
    <t>394059 - 801383 - 222022 - 394058</t>
  </si>
  <si>
    <t>801380 - 394060 - 394061 - 222023</t>
  </si>
  <si>
    <t>394065 - 394062 - 394064 - 394063 - 222024 - 801381</t>
  </si>
  <si>
    <t>801388 - 222027</t>
  </si>
  <si>
    <t>394067 - 394068 - 394070 - 851145 - 222028 - 394071 - 801389 - 394069</t>
  </si>
  <si>
    <t>839512 - 914670 - 22203</t>
  </si>
  <si>
    <t>394074 - 222030 - 801385 - 394075 - 394073</t>
  </si>
  <si>
    <t>394076 - 222032 - 801386</t>
  </si>
  <si>
    <t>394082 - 394078 - 801377 - 394079 - 394080 - 222033 - 394081 - 394077</t>
  </si>
  <si>
    <t>222035 - 11915</t>
  </si>
  <si>
    <t>394092 - 11899 - 394102 - 394103 - 394096 - 394100 - 394098 - 394099 - 394101 - 801432 - 394093 - 222037 - 394097 - 394094 - 394095</t>
  </si>
  <si>
    <t>Hédobie impériale</t>
  </si>
  <si>
    <t>222038 - 394105 - 394108 - 801433 - 394107 - 394104 - 394106</t>
  </si>
  <si>
    <t>394114 - 394113 - 394111 - 394115 - 222039 - 394117 - 801435 - 394112 - 394116</t>
  </si>
  <si>
    <t>394126 - 801408 - 222041</t>
  </si>
  <si>
    <t>394130 - 11905 - 394129 - 394128 - 222042 - 394127 - 394131 - 801407 - 394132</t>
  </si>
  <si>
    <t>222046 - 801767</t>
  </si>
  <si>
    <t>22205 - 927370</t>
  </si>
  <si>
    <t>801349 - 222051 - 968122</t>
  </si>
  <si>
    <t>801340 - 222058</t>
  </si>
  <si>
    <t>Bostryche lichen</t>
  </si>
  <si>
    <t>801339 - 222059 - 11888</t>
  </si>
  <si>
    <t>Bostryche moine</t>
  </si>
  <si>
    <t>389587 - 22206</t>
  </si>
  <si>
    <t>895831 - 801347 - 222063 - 895832 - 813069</t>
  </si>
  <si>
    <t>927373 - 927375 - 389589 - 927379 - 927378 - 22207 - 927377 - 927374 - 389588</t>
  </si>
  <si>
    <t>222075 - 801772</t>
  </si>
  <si>
    <t>801771 - 222076</t>
  </si>
  <si>
    <t>927381 - 389591 - 22208 - 927382 - 389590</t>
  </si>
  <si>
    <t>394171 - 394164 - 800946 - 394174 - 394169 - 394168 - 394167 - 394172 - 394173 - 394165 - 222082 - 394170</t>
  </si>
  <si>
    <t>222087 - 800949</t>
  </si>
  <si>
    <t>927401 - 22211 - 927400</t>
  </si>
  <si>
    <t>222110 - 394318 - 394319 - 800929 - 394317</t>
  </si>
  <si>
    <t>Richard de Berlin, Richard berlinois, Grand Bupreste du Hêtre</t>
  </si>
  <si>
    <t>222112 - 800967</t>
  </si>
  <si>
    <t>Rychard cyanosé</t>
  </si>
  <si>
    <t>222116 - 394339 - 394345 - 394340 - 394343 - 800965 - 394347 - 394346 - 394341 - 394344 - 394338 - 394342 - 394348 - 394337</t>
  </si>
  <si>
    <t>394378 - 222120 - 394374 - 800926 - 394370 - 394372 - 394371 - 394376 - 394373 - 394375 - 394377</t>
  </si>
  <si>
    <t>Capnode du Pêcher</t>
  </si>
  <si>
    <t>800977 - 222129</t>
  </si>
  <si>
    <t>222130 - 394451 - 800981</t>
  </si>
  <si>
    <t>800969 - 222132</t>
  </si>
  <si>
    <t>394463 - 222133</t>
  </si>
  <si>
    <t>222134 - 394471</t>
  </si>
  <si>
    <t>Agrile gothique</t>
  </si>
  <si>
    <t>800982 - 394478 - 394484 - 394483 - 394480 - 394479 - 222137 - 394482 - 394481 - 394485 - 394486</t>
  </si>
  <si>
    <t>394495 - 222141 - 394496</t>
  </si>
  <si>
    <t>222142 - 394497</t>
  </si>
  <si>
    <t>394500 - 222143 - 394498 - 800978 - 394501 - 394499</t>
  </si>
  <si>
    <t>394507 - 394506 - 394504 - 394510 - 222145 - 394508 - 394503 - 394509 - 394502</t>
  </si>
  <si>
    <t>394511 - 222146 - 394512</t>
  </si>
  <si>
    <t>394513 - 222147 - 800980</t>
  </si>
  <si>
    <t>394514 - 800979 - 222149</t>
  </si>
  <si>
    <t>927405 - 927406 - 22215</t>
  </si>
  <si>
    <t>394522 - 394523 - 222150</t>
  </si>
  <si>
    <t>8127 - 222155 - 394553 - 893910 - 394552 - 394555 - 394554</t>
  </si>
  <si>
    <t>222166 - 394596 - 394595</t>
  </si>
  <si>
    <t>222170 - 394602</t>
  </si>
  <si>
    <t>394613 - 394614 - 394611 - 394612 - 845253 - 394616 - 394615 - 394617 - 222173 - 798210 - 394610 - 797048 - 394609</t>
  </si>
  <si>
    <t>222177 - 887309 - 11342 - 800918</t>
  </si>
  <si>
    <t>222182 - 800920 - 11339</t>
  </si>
  <si>
    <t>222188 - 800921</t>
  </si>
  <si>
    <t>Richard des prunes</t>
  </si>
  <si>
    <t>801766 - 222189</t>
  </si>
  <si>
    <t>Ver des framboises (larve)</t>
  </si>
  <si>
    <t>394738 - 394737 - 394736 - 801765 - 222190</t>
  </si>
  <si>
    <t>394748 - 222193 - 394747 - 801288</t>
  </si>
  <si>
    <t>394751 - 979623 - 394752 - 394750 - 394749 - 222197</t>
  </si>
  <si>
    <t>22220 - 914679 - 927409</t>
  </si>
  <si>
    <t>394773 - 222200 - 801292 - 394772</t>
  </si>
  <si>
    <t>801295 - 394782 - 222211 - 394788</t>
  </si>
  <si>
    <t>394810 - 394809 - 801296 - 394808 - 222221</t>
  </si>
  <si>
    <t>394820 - 394819 - 820736 - 394818 - 222224 - 394821 - 394816 - 394817 - 394822 - 801298</t>
  </si>
  <si>
    <t>222234 - 394829 - 394828</t>
  </si>
  <si>
    <t>394866 - 394870 - 893988 - 394865 - 222244 - 394867 - 394868 - 394869</t>
  </si>
  <si>
    <t>394884 - 222249</t>
  </si>
  <si>
    <t>394892 - 11586 - 394896 - 801281 - 222251 - 394891 - 394895 - 394893 - 394894</t>
  </si>
  <si>
    <t>11683 - 394912 - 394911 - 394910 - 394914 - 394913 - 222256 - 394909</t>
  </si>
  <si>
    <t>394878 - 801286 - 222259 - 394881 - 394922 - 394921 - 273863 - 801285 - 394879 - 394880 - 394923 - 222258 - 394920 - 222248 - 427774 - 394882 - 394883</t>
  </si>
  <si>
    <t>394925 - 394924 - 801276 - 798255 - 222260</t>
  </si>
  <si>
    <t>394944 - 394935 - 394943 - 394940 - 394939 - 394938 - 394936 - 394941 - 801275 - 394937 - 394942 - 222262 - 394934 - 394933</t>
  </si>
  <si>
    <t>699720 - 894783 - 798257 - 222263 - 394946 - 394948 - 394945 - 394947 - 394949</t>
  </si>
  <si>
    <t>394970 - 222270 - 394967 - 394974 - 394968 - 394969 - 394971 - 394973 - 394972</t>
  </si>
  <si>
    <t>394980 - 394981 - 394983 - 394977 - 394978 - 394982 - 394979 - 222271 - 394976 - 394975</t>
  </si>
  <si>
    <t>395036 - 395035 - 801272 - 395039 - 801271 - 395043 - 11564 - 222274 - 395040 - 395041 - 395042 - 395038 - 395037</t>
  </si>
  <si>
    <t>395065 - 395069 - 395070 - 222276 - 11567 - 11577 - 395066 - 395064 - 395067 - 395068</t>
  </si>
  <si>
    <t>395102 - 395101 - 395093 - 395099 - 395091 - 395090 - 395092 - 395098 - 395094 - 222280 - 395096 - 395100 - 395089 - 395095 - 395097 - 395088</t>
  </si>
  <si>
    <t>Cantharide rouge</t>
  </si>
  <si>
    <t>222281 - 699692 - 395120 - 395116 - 395119 - 395118 - 395117</t>
  </si>
  <si>
    <t>395140 - 395141 - 395142 - 395143 - 222287 - 11566 - 395139 - 395138</t>
  </si>
  <si>
    <t>395148 - 395149 - 11580 - 395150 - 1016256 - 395152 - 395153 - 11579 - 395151 - 222290</t>
  </si>
  <si>
    <t>222291 - 395156 - 395155 - 799089</t>
  </si>
  <si>
    <t>Polistichus</t>
  </si>
  <si>
    <t>222307 - 809245 - 798913 - 222308 - 395191</t>
  </si>
  <si>
    <t>809242 - 395198 - 222311 - 395196 - 798904 - 222315 - 395197</t>
  </si>
  <si>
    <t>222318 - 9432</t>
  </si>
  <si>
    <t>399600 - 939934 - 22232 - 22233 - 22231</t>
  </si>
  <si>
    <t>222320 - 699782</t>
  </si>
  <si>
    <t>222323 - 798883</t>
  </si>
  <si>
    <t>222324 - 395205 - 395204 - 699651 - 395203 - 794345 - 887311 - 798884</t>
  </si>
  <si>
    <t>395212 - 222325</t>
  </si>
  <si>
    <t>847531 - 222326</t>
  </si>
  <si>
    <t>9427 - 798895 - 222329</t>
  </si>
  <si>
    <t>798892 - 395219 - 222336 - 395220</t>
  </si>
  <si>
    <t>395223 - 222337</t>
  </si>
  <si>
    <t>22234 - 939935</t>
  </si>
  <si>
    <t>222343 - 9403 - 798908 - 395233 - 9404 - 222344</t>
  </si>
  <si>
    <t>Lebia croisée</t>
  </si>
  <si>
    <t>222351 - 250877 - 395248 - 809483 - 8806 - 799055</t>
  </si>
  <si>
    <t>Synuque des bois</t>
  </si>
  <si>
    <t>809510 - 395249 - 222352 - 799035 - 395250 - 395251 - 8789 - 395252</t>
  </si>
  <si>
    <t>Bupreste rouget</t>
  </si>
  <si>
    <t>395273 - 395271 - 222356 - 797828 - 395272</t>
  </si>
  <si>
    <t>395281 - 222357 - 799040 - 395282</t>
  </si>
  <si>
    <t>395289 - 222358 - 395287 - 395288 - 8400</t>
  </si>
  <si>
    <t>939936 - 22236</t>
  </si>
  <si>
    <t>222371 - 799054 - 395333 - 395335 - 395334</t>
  </si>
  <si>
    <t>8843 - 8844 - 844703 - 222374 - 798951 - 395342 - 809489 - 395341</t>
  </si>
  <si>
    <t>716209 - 809488 - 8821 - 9062 - 395344 - 809487 - 798952 - 395343 - 222375 - 9061</t>
  </si>
  <si>
    <t>Bupreste noir à pattes jaunes</t>
  </si>
  <si>
    <t>809491 - 809492 - 222381 - 844719 - 798953 - 8814</t>
  </si>
  <si>
    <t>8835 - 8836 - 8827 - 808536 - 395349 - 222383 - 798946</t>
  </si>
  <si>
    <t>Promeneur des champs</t>
  </si>
  <si>
    <t>798936 - 792305 - 222389 - 395354 - 395355</t>
  </si>
  <si>
    <t>798927 - 395360 - 222391</t>
  </si>
  <si>
    <t>8818 - 222392 - 395361</t>
  </si>
  <si>
    <t>222393 - 395362 - 798932</t>
  </si>
  <si>
    <t>222397 - 798931</t>
  </si>
  <si>
    <t>222400 - 8830 - 798942</t>
  </si>
  <si>
    <t>8812 - 222405 - 1000527 - 395377 - 719793 - 222401 - 8831</t>
  </si>
  <si>
    <t>798943 - 886465 - 395378 - 222402 - 1016701</t>
  </si>
  <si>
    <t>809495 - 809494 - 222403 - 798944 - 395379 - 416998</t>
  </si>
  <si>
    <t>Anchomène brun-de-poix</t>
  </si>
  <si>
    <t>395380 - 222404</t>
  </si>
  <si>
    <t>222407 - 798949</t>
  </si>
  <si>
    <t>1003413 - 222409</t>
  </si>
  <si>
    <t>798792 - 809528 - 222412</t>
  </si>
  <si>
    <t>809557 - 395401 - 222418</t>
  </si>
  <si>
    <t>395404 - 222419 - 798853</t>
  </si>
  <si>
    <t>798856 - 395410 - 222420 - 395408 - 395409 - 9347</t>
  </si>
  <si>
    <t>399610 - 399611 - 399609 - 399612 - 22243</t>
  </si>
  <si>
    <t>395417 - 395413 - 395418 - 395414 - 892418 - 222430 - 395416 - 9340 - 798862 - 395415</t>
  </si>
  <si>
    <t>395422 - 222432 - 798865 - 395421</t>
  </si>
  <si>
    <t>222441 - 9267 - 798841 - 395434</t>
  </si>
  <si>
    <t>395448 - 222449 - 395450 - 9296 - 798805 - 820711 - 9295 - 395449</t>
  </si>
  <si>
    <t>Harpale affine, Harpale facile</t>
  </si>
  <si>
    <t>395461 - 9329 - 395464 - 395463 - 222451 - 395462 - 395465</t>
  </si>
  <si>
    <t>9326 - 222455</t>
  </si>
  <si>
    <t>222456 - 798814</t>
  </si>
  <si>
    <t>222460 - 792304</t>
  </si>
  <si>
    <t>798819 - 222461 - 395489</t>
  </si>
  <si>
    <t>222462 - 9308 - 395490</t>
  </si>
  <si>
    <t>9271 - 809543 - 798845 - 222465</t>
  </si>
  <si>
    <t>798846 - 395497 - 222466 - 521496 - 886473 - 809542 - 395498</t>
  </si>
  <si>
    <t>9270 - 222467 - 798844 - 809544 - 845168</t>
  </si>
  <si>
    <t>1012692 - 798847 - 395499 - 222468</t>
  </si>
  <si>
    <t>399614 - 399613 - 22247 - 939944</t>
  </si>
  <si>
    <t>222470 - 9314</t>
  </si>
  <si>
    <t>721387 - 222472 - 649686</t>
  </si>
  <si>
    <t>798830 - 222473 - 395504 - 395505 - 395506 - 395507 - 809526</t>
  </si>
  <si>
    <t>395512 - 222476 - 809527 - 395510 - 395511 - 395509 - 798836 - 820710</t>
  </si>
  <si>
    <t>9254 - 395514 - 222477 - 395513</t>
  </si>
  <si>
    <t>395515 - 395520 - 222478 - 9302 - 395518 - 395519 - 395516 - 395517 - 798831</t>
  </si>
  <si>
    <t>222483 - 395526 - 798821 - 395527</t>
  </si>
  <si>
    <t>222486 - 395534 - 395532 - 395533</t>
  </si>
  <si>
    <t>798823 - 395538 - 395535 - 395537 - 222487 - 395536</t>
  </si>
  <si>
    <t>395540 - 222488 - 395542 - 395539 - 798824 - 395541 - 395543</t>
  </si>
  <si>
    <t>399615 - 22250 - 399616 - 22249 - 399617</t>
  </si>
  <si>
    <t>395545 - 222490 - 395547 - 395546 - 798825 - 395544</t>
  </si>
  <si>
    <t>395549 - 395548 - 798826 - 222491</t>
  </si>
  <si>
    <t>798916 - 222508 - 9359 - 797664 - 395569</t>
  </si>
  <si>
    <t>395571 - 222509</t>
  </si>
  <si>
    <t>399621 - 399620 - 22252 - 22253 - 939945 - 399618 - 399622 - 22251 - 399619</t>
  </si>
  <si>
    <t>395573 - 222510 - 395574</t>
  </si>
  <si>
    <t>222511 - 798918 - 721354 - 395575</t>
  </si>
  <si>
    <t>222513 - 721359</t>
  </si>
  <si>
    <t>395586 - 1000520 - 222515 - 395581 - 395585 - 395580 - 395582 - 395584 - 395583 - 798919</t>
  </si>
  <si>
    <t>395570 - 395614 - 222532</t>
  </si>
  <si>
    <t>Petites Croix, Panagée à deux tâches</t>
  </si>
  <si>
    <t>9399 - 416991 - 222533 - 798925</t>
  </si>
  <si>
    <t>Grand Croix</t>
  </si>
  <si>
    <t>719610 - 222538 - 395617 - 395616 - 797821 - 809513 - 395618 - 798966</t>
  </si>
  <si>
    <t>798972 - 820705 - 820704 - 9127 - 222539 - 820703</t>
  </si>
  <si>
    <t>798973 - 222540</t>
  </si>
  <si>
    <t>886496 - 892442 - 222541 - 395622</t>
  </si>
  <si>
    <t>395624 - 798974 - 809496 - 9123 - 222545</t>
  </si>
  <si>
    <t>Poecile tricolore</t>
  </si>
  <si>
    <t>798976 - 222546</t>
  </si>
  <si>
    <t>798971 - 222550</t>
  </si>
  <si>
    <t>799013 - 395640 - 395639 - 809511 - 892474 - 222552 - 250937</t>
  </si>
  <si>
    <t>9081 - 395654 - 1018561 - 9082 - 395652 - 222555 - 395653</t>
  </si>
  <si>
    <t>222556 - 348302 - 798980</t>
  </si>
  <si>
    <t>222557 - 809516 - 820707 - 886474 - 799017</t>
  </si>
  <si>
    <t>Féronie commune</t>
  </si>
  <si>
    <t>395663 - 395664 - 886438 - 887241 - 395665 - 222558 - 809499 - 847528 - 780132 - 395666 - 799004</t>
  </si>
  <si>
    <t>222559 - 886480 - 799018 - 845128 - 809506</t>
  </si>
  <si>
    <t>399623 - 22256 - 939946</t>
  </si>
  <si>
    <t>799021 - 845131 - 222560 - 886470</t>
  </si>
  <si>
    <t>395676 - 395675 - 395677 - 718466 - 798996 - 222569</t>
  </si>
  <si>
    <t>399626 - 850418 - 399627 - 399625 - 22257</t>
  </si>
  <si>
    <t>395692 - 10116 - 395807 - 222579 - 395693</t>
  </si>
  <si>
    <t>Pterostichus ovale, Féronie ovale</t>
  </si>
  <si>
    <t>395696 - 395697 - 222581 - 798999 - 395695</t>
  </si>
  <si>
    <t>797822 - 222582</t>
  </si>
  <si>
    <t>22261 - 939948 - 22260</t>
  </si>
  <si>
    <t>222606 - 892443 - 886450</t>
  </si>
  <si>
    <t>222607 - 798960</t>
  </si>
  <si>
    <t>Grand abax</t>
  </si>
  <si>
    <t>798958 - 222609</t>
  </si>
  <si>
    <t>395828 - 395825 - 395827 - 395826 - 1006180 - 799087 - 792350 - 1006179 - 809524 - 222616</t>
  </si>
  <si>
    <t>Bupreste paresseux</t>
  </si>
  <si>
    <t>399633 - 399631 - 399632 - 399629 - 399634 - 850420 - 399628 - 399635 - 22262 - 399630 - 399636</t>
  </si>
  <si>
    <t>395840 - 222621 - 395838 - 395839</t>
  </si>
  <si>
    <t>222622 - 395845</t>
  </si>
  <si>
    <t>395846 - 222623 - 395847</t>
  </si>
  <si>
    <t>395852 - 222624</t>
  </si>
  <si>
    <t>222631 - 395886</t>
  </si>
  <si>
    <t>222634 - 395894 - 799069 - 395893 - 9188 - 395895</t>
  </si>
  <si>
    <t>9185 - 222640 - 799081</t>
  </si>
  <si>
    <t>799082 - 222643</t>
  </si>
  <si>
    <t>395905 - 222644 - 799073 - 395907 - 699562 - 395906</t>
  </si>
  <si>
    <t>799079 - 222652 - 9181</t>
  </si>
  <si>
    <t>844725 - 222655 - 799066 - 951612</t>
  </si>
  <si>
    <t>699714 - 222661 - 395923 - 395924 - 395925 - 799075</t>
  </si>
  <si>
    <t>222664 - 798703 - 395929</t>
  </si>
  <si>
    <t>222675 - 251046 - 428973 - 251048 - 275861 - 275862 - 275863 - 798742 - 251047</t>
  </si>
  <si>
    <t>399637 - 22272 - 399638 - 399598 - 22271</t>
  </si>
  <si>
    <t>798725 - 222805</t>
  </si>
  <si>
    <t>892565 - 222806</t>
  </si>
  <si>
    <t>798719 - 8703 - 222829</t>
  </si>
  <si>
    <t>399606 - 399604 - 399605 - 939939 - 22283</t>
  </si>
  <si>
    <t>222830 - 798720</t>
  </si>
  <si>
    <t>222833 - 8702 - 396029 - 798710</t>
  </si>
  <si>
    <t>222843 - 792181 - 8682</t>
  </si>
  <si>
    <t>8672 - 521497 - 798702 - 222845</t>
  </si>
  <si>
    <t>222846 - 892561</t>
  </si>
  <si>
    <t>845423 - 222848</t>
  </si>
  <si>
    <t>699559 - 396039 - 222850 - 521499 - 8674 - 396038</t>
  </si>
  <si>
    <t>892549 - 222855</t>
  </si>
  <si>
    <t>22292 - 934276</t>
  </si>
  <si>
    <t>22294 - 934277</t>
  </si>
  <si>
    <t>222940 - 798503</t>
  </si>
  <si>
    <t>396108 - 222945 - 798510</t>
  </si>
  <si>
    <t>798701 - 222946</t>
  </si>
  <si>
    <t>22296 - 934278</t>
  </si>
  <si>
    <t>850678 - 22299</t>
  </si>
  <si>
    <t>222990 - 798465</t>
  </si>
  <si>
    <t>Blethise de Cambrai</t>
  </si>
  <si>
    <t>892423 - 798450 - 396264 - 396262 - 396261 - 223005 - 396263 - 719517</t>
  </si>
  <si>
    <t>223008 - 8530</t>
  </si>
  <si>
    <t>223010 - 8527 - 396276</t>
  </si>
  <si>
    <t>8325 - 899229 - 223037</t>
  </si>
  <si>
    <t>Cicindèle des prés</t>
  </si>
  <si>
    <t>396406 - 396408 - 223049 - 973526 - 396407 - 396409</t>
  </si>
  <si>
    <t>802478 - 223058</t>
  </si>
  <si>
    <t>Aiguille en deuil</t>
  </si>
  <si>
    <t>802472 - 839447 - 223061</t>
  </si>
  <si>
    <t>Aiguille de la vipérine, Phytoécie bleuâtre</t>
  </si>
  <si>
    <t>802486 - 223065</t>
  </si>
  <si>
    <t>Aiguille triste</t>
  </si>
  <si>
    <t>802487 - 223066 - 12476</t>
  </si>
  <si>
    <t>Grande Saperde</t>
  </si>
  <si>
    <t>802491 - 223067</t>
  </si>
  <si>
    <t>Saperde de l'Orme</t>
  </si>
  <si>
    <t>802489 - 223068</t>
  </si>
  <si>
    <t>Saperde général</t>
  </si>
  <si>
    <t>223069 - 886498 - 396424 - 802443 - 11796</t>
  </si>
  <si>
    <t>396425 - 12470 - 802442 - 223070</t>
  </si>
  <si>
    <t>Lamie écorce de peuplier, Acanthodère à fémurs renflés</t>
  </si>
  <si>
    <t>802483 - 223072</t>
  </si>
  <si>
    <t>802482 - 223073</t>
  </si>
  <si>
    <t>223074 - 802440</t>
  </si>
  <si>
    <t>Capricorne nébuleux</t>
  </si>
  <si>
    <t>223077 - 802439</t>
  </si>
  <si>
    <t>802485 - 223079 - 396426</t>
  </si>
  <si>
    <t>Capricorne brun de forme ovale</t>
  </si>
  <si>
    <t>11787 - 951649 - 223080 - 784427</t>
  </si>
  <si>
    <t>784428 - 11789 - 223081</t>
  </si>
  <si>
    <t>396428 - 11754 - 223089 - 802444</t>
  </si>
  <si>
    <t>Aiguille des piquants, Agapanthie du Chardon</t>
  </si>
  <si>
    <t>22309 - 839539</t>
  </si>
  <si>
    <t>Aiguille métallisée</t>
  </si>
  <si>
    <t>802460 - 223093</t>
  </si>
  <si>
    <t>Lamie écorce de hêtre, Mésose charançon</t>
  </si>
  <si>
    <t>7998 - 223094 - 802459</t>
  </si>
  <si>
    <t>Lamie écorce de chêne, Mésose nébuleuse</t>
  </si>
  <si>
    <t>223095 - 802456 - 11746</t>
  </si>
  <si>
    <t>Lamie berger</t>
  </si>
  <si>
    <t>802455 - 11748 - 223096</t>
  </si>
  <si>
    <t>223099 - 844734 - 802395</t>
  </si>
  <si>
    <t>Clyte poilu</t>
  </si>
  <si>
    <t>396431 - 802407 - 223102</t>
  </si>
  <si>
    <t>Clyte frelon</t>
  </si>
  <si>
    <t>7705 - 802408 - 223103</t>
  </si>
  <si>
    <t>12363 - 802381 - 223108 - 845158</t>
  </si>
  <si>
    <t>802382 - 12364 - 223109</t>
  </si>
  <si>
    <t>223111 - 802378</t>
  </si>
  <si>
    <t>Calleux arlequin</t>
  </si>
  <si>
    <t>223113 - 12369 - 802383</t>
  </si>
  <si>
    <t>223115 - 527224</t>
  </si>
  <si>
    <t>223116 - 802374 - 792873</t>
  </si>
  <si>
    <t>802375 - 527225 - 223117</t>
  </si>
  <si>
    <t>223118 - 802391</t>
  </si>
  <si>
    <t>802388 - 223120 - 396439</t>
  </si>
  <si>
    <t>7887 - 802389 - 223122 - 12355 - 396440</t>
  </si>
  <si>
    <t>396442 - 223123 - 802385 - 7884</t>
  </si>
  <si>
    <t>802414 - 223124 - 12332</t>
  </si>
  <si>
    <t>Aiguille du genêt</t>
  </si>
  <si>
    <t>12487 - 223126 - 416811 - 802434</t>
  </si>
  <si>
    <t>802425 - 396445 - 223128 - 396444 - 983363 - 396446</t>
  </si>
  <si>
    <t>948773 - 948775 - 839541 - 948772 - 948774 - 22313</t>
  </si>
  <si>
    <t>802426 - 223130</t>
  </si>
  <si>
    <t>223131 - 802428</t>
  </si>
  <si>
    <t>223132 - 802427</t>
  </si>
  <si>
    <t>948809 - 22314 - 948810 - 948812 - 948811 - 948807 - 948808</t>
  </si>
  <si>
    <t>802422 - 12318 - 223140</t>
  </si>
  <si>
    <t>Clyte pâle</t>
  </si>
  <si>
    <t>12308 - 223146 - 802362</t>
  </si>
  <si>
    <t>802368 - 223148</t>
  </si>
  <si>
    <t>223150 - 820792</t>
  </si>
  <si>
    <t>Officier menteur</t>
  </si>
  <si>
    <t>223152 - 12245 - 12244</t>
  </si>
  <si>
    <t>Lepture tachetée, Lepture cycliste</t>
  </si>
  <si>
    <t>802337 - 960172 - 223153</t>
  </si>
  <si>
    <t>Lepture à étuis étranglés</t>
  </si>
  <si>
    <t>802325 - 223156 - 12292</t>
  </si>
  <si>
    <t>Lepture havane, Pseudovadonie livide</t>
  </si>
  <si>
    <t>802320 - 223158</t>
  </si>
  <si>
    <t>223164 - 802329 - 844710 - 12288 - 12286</t>
  </si>
  <si>
    <t>Lepture cardinale (femelle), Lepture papale (mÃ¢le), Lepture rouge</t>
  </si>
  <si>
    <t>223166 - 12264 - 12265</t>
  </si>
  <si>
    <t>Lepture de coeur, Lepture porte-cœur</t>
  </si>
  <si>
    <t>223170 - 396462</t>
  </si>
  <si>
    <t>223171 - 802321</t>
  </si>
  <si>
    <t>223172 - 802324 - 960173</t>
  </si>
  <si>
    <t>Lepture dantesque</t>
  </si>
  <si>
    <t>802355 - 223174</t>
  </si>
  <si>
    <t>802317 - 223175 - 12234 - 396463</t>
  </si>
  <si>
    <t>Lepturette discrète</t>
  </si>
  <si>
    <t>396465 - 802342 - 926950 - 223177</t>
  </si>
  <si>
    <t>948883 - 22318</t>
  </si>
  <si>
    <t>223182 - 802347</t>
  </si>
  <si>
    <t>223185 - 802360</t>
  </si>
  <si>
    <t>Rhagie ermite</t>
  </si>
  <si>
    <t>908120 - 223187 - 802308</t>
  </si>
  <si>
    <t>Prione ermite, Aegosome scabricorne</t>
  </si>
  <si>
    <t>948819 - 22319 - 948820</t>
  </si>
  <si>
    <t>223191 - 396477 - 893993</t>
  </si>
  <si>
    <t>948824 - 948823 - 948822 - 948821 - 22322</t>
  </si>
  <si>
    <t>801505 - 798266 - 396485 - 801507 - 716262 - 801506 - 223224 - 975527 - 223222 - 396486 - 396487</t>
  </si>
  <si>
    <t>Enicopus pilosus</t>
  </si>
  <si>
    <t>396490 - 223230 - 396491 - 223233</t>
  </si>
  <si>
    <t>396497 - 396498 - 801495 - 223237</t>
  </si>
  <si>
    <t>396500 - 223240 - 396501</t>
  </si>
  <si>
    <t>223242 - 396502</t>
  </si>
  <si>
    <t>801497 - 396510 - 396503 - 223248 - 11835</t>
  </si>
  <si>
    <t>11826 - 396525 - 223254 - 396526 - 11825 - 396529 - 396528 - 801511 - 396527</t>
  </si>
  <si>
    <t>Dasyte émeraude, Psilothrix vert</t>
  </si>
  <si>
    <t>396530 - 223258</t>
  </si>
  <si>
    <t>991877 - 801492 - 11739 - 223265</t>
  </si>
  <si>
    <t>801493 - 981959 - 981958 - 223266 - 981955</t>
  </si>
  <si>
    <t>223268 - 396533 - 801528</t>
  </si>
  <si>
    <t>11842 - 223270</t>
  </si>
  <si>
    <t>396542 - 223276 - 396541 - 801518</t>
  </si>
  <si>
    <t>801522 - 223279 - 11846</t>
  </si>
  <si>
    <t>948837 - 948838 - 948840 - 948842 - 948844 - 948841 - 22328 - 948839 - 948843</t>
  </si>
  <si>
    <t>223283 - 396547 - 11850 - 801527</t>
  </si>
  <si>
    <t>223287 - 396548</t>
  </si>
  <si>
    <t>Dermeste rongeur</t>
  </si>
  <si>
    <t>948846 - 948851 - 948845 - 948850 - 22330</t>
  </si>
  <si>
    <t>396552 - 589935 - 396554 - 396553 - 223302</t>
  </si>
  <si>
    <t>223303 - 801306</t>
  </si>
  <si>
    <t>801333 - 223305</t>
  </si>
  <si>
    <t>Dermeste zèbre</t>
  </si>
  <si>
    <t>801325 - 223310</t>
  </si>
  <si>
    <t>801322 - 223321</t>
  </si>
  <si>
    <t>801317 - 223326</t>
  </si>
  <si>
    <t>801318 - 223327</t>
  </si>
  <si>
    <t>Anthrène à broderie</t>
  </si>
  <si>
    <t>223332 - 801319</t>
  </si>
  <si>
    <t>Anthrène des musées (L')</t>
  </si>
  <si>
    <t>801320 - 223334 - 851146</t>
  </si>
  <si>
    <t>Anthrène des tapis, Anthrène bigarré des tapis, Anthrène du bouillon blanc</t>
  </si>
  <si>
    <t>798439 - 396567 - 9522 - 396566 - 223337</t>
  </si>
  <si>
    <t>798593 - 223338</t>
  </si>
  <si>
    <t>798591 - 844841 - 396568 - 716266 - 223339</t>
  </si>
  <si>
    <t>22334 - 948876 - 948874</t>
  </si>
  <si>
    <t>223343 - 9474</t>
  </si>
  <si>
    <t>798651 - 223347</t>
  </si>
  <si>
    <t>798648 - 223352</t>
  </si>
  <si>
    <t>223354 - 798644 - 9511</t>
  </si>
  <si>
    <t>798640 - 223359</t>
  </si>
  <si>
    <t>948799 - 948801 - 948800 - 948797 - 948798 - 948802 - 948803 - 948805 - 948804 - 22336</t>
  </si>
  <si>
    <t>9510 - 721479 - 223365 - 798632</t>
  </si>
  <si>
    <t>798629 - 223369 - 721475</t>
  </si>
  <si>
    <t>948755 - 948754 - 948758 - 22338 - 948757 - 948756</t>
  </si>
  <si>
    <t>223388 - 798618</t>
  </si>
  <si>
    <t>948760 - 22339 - 948759</t>
  </si>
  <si>
    <t>798621 - 796807 - 792291 - 223394</t>
  </si>
  <si>
    <t>223396 - 798623</t>
  </si>
  <si>
    <t>9504 - 798624 - 223397</t>
  </si>
  <si>
    <t>798608 - 396570 - 8143 - 223399</t>
  </si>
  <si>
    <t>223401 - 538345 - 9495 - 1000892 - 798610</t>
  </si>
  <si>
    <t>798612 - 223403</t>
  </si>
  <si>
    <t>223409 - 798605</t>
  </si>
  <si>
    <t>223412 - 797752 - 798653</t>
  </si>
  <si>
    <t>223413 - 798655</t>
  </si>
  <si>
    <t>798656 - 223414 - 844739</t>
  </si>
  <si>
    <t>798659 - 223416 - 396573</t>
  </si>
  <si>
    <t>223420 - 798435</t>
  </si>
  <si>
    <t>223422 - 798436</t>
  </si>
  <si>
    <t>798437 - 223423</t>
  </si>
  <si>
    <t>396574 - 223424 - 798578</t>
  </si>
  <si>
    <t>798579 - 223427 - 9575</t>
  </si>
  <si>
    <t>Cybister à côtés bordés</t>
  </si>
  <si>
    <t>Dytique ceinturé</t>
  </si>
  <si>
    <t>948917 - 948922 - 22343 - 948921 - 948919 - 948923</t>
  </si>
  <si>
    <t>716265 - 223430</t>
  </si>
  <si>
    <t>798582 - 223436</t>
  </si>
  <si>
    <t>396577 - 798565 - 223440</t>
  </si>
  <si>
    <t>223442 - 887280 - 796803 - 798567</t>
  </si>
  <si>
    <t>535362 - 9556 - 798568 - 223443 - 951146</t>
  </si>
  <si>
    <t>223447 - 798571</t>
  </si>
  <si>
    <t>223450 - 798561</t>
  </si>
  <si>
    <t>Dytique noir</t>
  </si>
  <si>
    <t>9525 - 798550 - 223454</t>
  </si>
  <si>
    <t>396579 - 798555 - 223456</t>
  </si>
  <si>
    <t>9533 - 223457</t>
  </si>
  <si>
    <t>Taon à ventre jaunâtre &amp; taches triangulaires blanches</t>
  </si>
  <si>
    <t>223460 - 798558</t>
  </si>
  <si>
    <t>798533 - 223462</t>
  </si>
  <si>
    <t>798535 - 223463</t>
  </si>
  <si>
    <t>223464 - 798537</t>
  </si>
  <si>
    <t>223466 - 798538</t>
  </si>
  <si>
    <t>223468 - 798540</t>
  </si>
  <si>
    <t>Taon gris à jambes fauves</t>
  </si>
  <si>
    <t>798543 - 223470</t>
  </si>
  <si>
    <t>223471 - 9534 - 798545</t>
  </si>
  <si>
    <t>798547 - 223473</t>
  </si>
  <si>
    <t>223475 - 797732</t>
  </si>
  <si>
    <t>798517 - 223484</t>
  </si>
  <si>
    <t>796801 - 223486 - 798527</t>
  </si>
  <si>
    <t>9454 - 223487 - 396583</t>
  </si>
  <si>
    <t>223488 - 798521 - 396584</t>
  </si>
  <si>
    <t>798525 - 396592 - 223498</t>
  </si>
  <si>
    <t>396593 - 223499</t>
  </si>
  <si>
    <t>223511 - 396616 - 396617 - 396618</t>
  </si>
  <si>
    <t>396619 - 396621 - 396620 - 396625 - 223512 - 396623 - 396624 - 396622 - 801063</t>
  </si>
  <si>
    <t>396637 - 396636 - 223513 - 396638</t>
  </si>
  <si>
    <t>223516 - 396650 - 396651 - 801064</t>
  </si>
  <si>
    <t>799177 - 223535</t>
  </si>
  <si>
    <t>799181 - 223559 - 396743</t>
  </si>
  <si>
    <t>948740 - 948737 - 948741 - 22356 - 948738</t>
  </si>
  <si>
    <t>223560 - 396744 - 396745 - 799180 - 396746</t>
  </si>
  <si>
    <t>223562 - 396747</t>
  </si>
  <si>
    <t>223563 - 396748</t>
  </si>
  <si>
    <t>396749 - 223564 - 396750 - 799164</t>
  </si>
  <si>
    <t>223570 - 799173</t>
  </si>
  <si>
    <t>223571 - 799172</t>
  </si>
  <si>
    <t>223572 - 396752</t>
  </si>
  <si>
    <t>223580 - 799168 - 396768 - 396770 - 396767 - 396771 - 396769</t>
  </si>
  <si>
    <t>396772 - 396773 - 223581</t>
  </si>
  <si>
    <t>223585 - 799214 - 7695</t>
  </si>
  <si>
    <t>799215 - 396783 - 396780 - 223586 - 396781 - 396782</t>
  </si>
  <si>
    <t>223591 - 799219</t>
  </si>
  <si>
    <t>396787 - 799220 - 223592</t>
  </si>
  <si>
    <t>223597 - 799217 - 396794 - 396795 - 396793 - 10458</t>
  </si>
  <si>
    <t>223600 - 396800 - 799256 - 396799 - 396798</t>
  </si>
  <si>
    <t>223602 - 799250</t>
  </si>
  <si>
    <t>Hister du peuplier, Escarbot du peuplier</t>
  </si>
  <si>
    <t>799231 - 223608</t>
  </si>
  <si>
    <t>799229 - 223609</t>
  </si>
  <si>
    <t>223625 - 10447 - 396852</t>
  </si>
  <si>
    <t>10453 - 223627</t>
  </si>
  <si>
    <t>223628 - 396853 - 799241 - 10444 - 396857 - 396854 - 396855 - 396856</t>
  </si>
  <si>
    <t>396863 - 396860 - 396861 - 799246 - 223631 - 396862 - 396859 - 396864</t>
  </si>
  <si>
    <t>396865 - 396866 - 799238 - 223633</t>
  </si>
  <si>
    <t>223634 - 396869 - 799236 - 396868 - 396867</t>
  </si>
  <si>
    <t>223635 - 10456</t>
  </si>
  <si>
    <t>396871 - 799235 - 396870 - 223637</t>
  </si>
  <si>
    <t>223638 - 799237 - 396872 - 797836</t>
  </si>
  <si>
    <t>799234 - 223639</t>
  </si>
  <si>
    <t>396887 - 798530 - 223651 - 967168</t>
  </si>
  <si>
    <t>Dytique d'Hermann</t>
  </si>
  <si>
    <t>801602 - 396888 - 982414 - 9005 - 223652</t>
  </si>
  <si>
    <t>396890 - 801603 - 223653 - 396891 - 396892</t>
  </si>
  <si>
    <t>801600 - 396897 - 396898 - 396899 - 396900 - 223655</t>
  </si>
  <si>
    <t>801601 - 223656 - 396902 - 396901 - 396903 - 396904</t>
  </si>
  <si>
    <t>396915 - 396910 - 223659 - 396914 - 801598 - 396913 - 396912 - 396911</t>
  </si>
  <si>
    <t>396916 - 223660 - 396917 - 396919 - 396918 - 801599</t>
  </si>
  <si>
    <t>396927 - 801597 - 223664</t>
  </si>
  <si>
    <t>801594 - 396928 - 396929 - 797106 - 223665</t>
  </si>
  <si>
    <t>396931 - 801596 - 396930 - 223666</t>
  </si>
  <si>
    <t>396989 - 396987 - 396991 - 799417 - 223685 - 396988 - 396990</t>
  </si>
  <si>
    <t>397003 - 797962 - 799463 - 223699 - 797964 - 797963</t>
  </si>
  <si>
    <t>796924 - 223703 - 397007 - 397006 - 799460</t>
  </si>
  <si>
    <t>223724 - 799448</t>
  </si>
  <si>
    <t>796925 - 796927 - 797956 - 799461 - 796926 - 797957 - 223741</t>
  </si>
  <si>
    <t>397025 - 223745 - 397024 - 397020 - 397021 - 397023</t>
  </si>
  <si>
    <t>397031 - 223747 - 397029 - 397030 - 397028</t>
  </si>
  <si>
    <t>397046 - 397047 - 223752 - 799422</t>
  </si>
  <si>
    <t>799420 - 397073 - 397074 - 397076 - 223756 - 397075 - 796856</t>
  </si>
  <si>
    <t>799431 - 397106 - 223762</t>
  </si>
  <si>
    <t>799424 - 223763</t>
  </si>
  <si>
    <t>799425 - 397108 - 397109 - 223764 - 397107</t>
  </si>
  <si>
    <t>397110 - 223765</t>
  </si>
  <si>
    <t>799426 - 223766</t>
  </si>
  <si>
    <t>223767 - 812953 - 397115 - 397117 - 397116 - 910819 - 397118 - 910820</t>
  </si>
  <si>
    <t>223768 - 799429 - 397120 - 397119</t>
  </si>
  <si>
    <t>799392 - 223817</t>
  </si>
  <si>
    <t>838525 - 899038 - 22386</t>
  </si>
  <si>
    <t>223895 - 799324</t>
  </si>
  <si>
    <t>223897 - 799349</t>
  </si>
  <si>
    <t>223902 - 799344 - 397172 - 397171 - 397173</t>
  </si>
  <si>
    <t>223903 - 799345</t>
  </si>
  <si>
    <t>397185 - 223911</t>
  </si>
  <si>
    <t>799339 - 251684 - 223921 - 397195 - 397194</t>
  </si>
  <si>
    <t>799340 - 223922</t>
  </si>
  <si>
    <t>397198 - 223923 - 797922 - 799338</t>
  </si>
  <si>
    <t>799337 - 223925</t>
  </si>
  <si>
    <t>223928 - 397216 - 397217 - 397210 - 397213 - 397211 - 397214 - 397212 - 397215</t>
  </si>
  <si>
    <t>397221 - 799331 - 397222 - 397223 - 223931 - 397224 - 397220 - 797894</t>
  </si>
  <si>
    <t>397227 - 397231 - 397229 - 799330 - 223934 - 397228 - 397230 - 797893</t>
  </si>
  <si>
    <t>223935 - 397232 - 397234 - 799332 - 397233</t>
  </si>
  <si>
    <t>799334 - 223941</t>
  </si>
  <si>
    <t>799325 - 797915 - 797916 - 797914 - 397242 - 223944 - 397246 - 397245 - 397243 - 397244</t>
  </si>
  <si>
    <t>223945 - 280844 - 223947 - 799412</t>
  </si>
  <si>
    <t>397260 - 397250 - 397248 - 985766 - 397255 - 223948 - 397247 - 799413 - 397252 - 397254 - 397258 - 397251 - 397259 - 397257 - 397253 - 796854 - 397256</t>
  </si>
  <si>
    <t>799414 - 397261 - 223949</t>
  </si>
  <si>
    <t>797932 - 223950 - 397262 - 799415</t>
  </si>
  <si>
    <t>397264 - 397263 - 397265 - 223951 - 801054</t>
  </si>
  <si>
    <t>397267 - 798252 - 397268 - 801052 - 223954</t>
  </si>
  <si>
    <t>801053 - 223955</t>
  </si>
  <si>
    <t>933762 - 223958 - 801354 - 813087 - 933764 - 933765 - 933761 - 933763</t>
  </si>
  <si>
    <t>397277 - 397278 - 801993 - 397275 - 223963 - 397281 - 397280 - 397276 - 397279</t>
  </si>
  <si>
    <t>397283 - 397282 - 801992 - 982056 - 223965</t>
  </si>
  <si>
    <t>397285 - 223966 - 397284</t>
  </si>
  <si>
    <t>223967 - 397286</t>
  </si>
  <si>
    <t>223968 - 397288 - 397287 - 801980</t>
  </si>
  <si>
    <t>801979 - 223970</t>
  </si>
  <si>
    <t>801978 - 223973 - 397295</t>
  </si>
  <si>
    <t>397301 - 223975 - 397300 - 397298</t>
  </si>
  <si>
    <t>397304 - 801981 - 397302 - 223976</t>
  </si>
  <si>
    <t>223977 - 397305 - 801982</t>
  </si>
  <si>
    <t>397309 - 397308 - 416786 - 397307 - 397306 - 223978 - 801983</t>
  </si>
  <si>
    <t>397311 - 397310 - 801994 - 397312 - 223979</t>
  </si>
  <si>
    <t>812166 - 397315 - 223980 - 397314 - 801997 - 397313 - 397317 - 397316</t>
  </si>
  <si>
    <t>397329 - 801986 - 223985 - 397331 - 397330</t>
  </si>
  <si>
    <t>Mélandre tribal</t>
  </si>
  <si>
    <t>801988 - 223987 - 397336 - 397335</t>
  </si>
  <si>
    <t>Mélandre à barbe</t>
  </si>
  <si>
    <t>223988 - 397340 - 397339 - 397337 - 801989 - 397338</t>
  </si>
  <si>
    <t>Mélandre Charlemagne</t>
  </si>
  <si>
    <t>397368 - 397361 - 802000 - 397362 - 223992 - 397359 - 397365 - 397364 - 397366 - 397360 - 397367 - 397357 - 397358 - 397363</t>
  </si>
  <si>
    <t>Mélandre Hibou (femelle), Mélandre Cycliste (mâle)</t>
  </si>
  <si>
    <t>397389 - 397391 - 397390 - 223997</t>
  </si>
  <si>
    <t>Sitare orange</t>
  </si>
  <si>
    <t>397439 - 397444 - 802200 - 820781 - 397438 - 397440 - 397441 - 397443 - 397442 - 224008</t>
  </si>
  <si>
    <t>Mylabre à bandes, Mylabre variable</t>
  </si>
  <si>
    <t>224033 - 397526 - 801939</t>
  </si>
  <si>
    <t>224034 - 397536 - 397535</t>
  </si>
  <si>
    <t>224035 - 397543 - 397539 - 397542 - 397541 - 397540</t>
  </si>
  <si>
    <t>801941 - 224037</t>
  </si>
  <si>
    <t>397544 - 224038</t>
  </si>
  <si>
    <t>801942 - 397552 - 397549 - 397556 - 397554 - 224039 - 397555 - 397551 - 397545 - 397550 - 397547 - 397553 - 397546 - 397548</t>
  </si>
  <si>
    <t>397562 - 224041</t>
  </si>
  <si>
    <t>397571 - 224046 - 397569 - 801945 - 397570 - 710577 - 397568 - 397572</t>
  </si>
  <si>
    <t>Mycétophage des céréales (le)</t>
  </si>
  <si>
    <t>224047 - 801303</t>
  </si>
  <si>
    <t>Pilule de comptoir</t>
  </si>
  <si>
    <t>397576 - 397577 - 798529 - 397578 - 224048</t>
  </si>
  <si>
    <t>224049 - 802168</t>
  </si>
  <si>
    <t>Sage des forêts</t>
  </si>
  <si>
    <t>224051 - 397579 - 802167</t>
  </si>
  <si>
    <t>224052 - 802165</t>
  </si>
  <si>
    <t>Grand Cycliste</t>
  </si>
  <si>
    <t>12169 - 224056 - 802179</t>
  </si>
  <si>
    <t>397584 - 802185 - 224061</t>
  </si>
  <si>
    <t>397585 - 397586 - 224062 - 802180</t>
  </si>
  <si>
    <t>845152 - 812950 - 281121 - 224065</t>
  </si>
  <si>
    <t>Petit Cycliste à pattes rouges</t>
  </si>
  <si>
    <t>397591 - 886491 - 802177 - 224069 - 224068 - 839484</t>
  </si>
  <si>
    <t>224071 - 802176</t>
  </si>
  <si>
    <t>Oedemère à corselet rouge</t>
  </si>
  <si>
    <t>893892 - 845258 - 224075</t>
  </si>
  <si>
    <t>Oedémère couleur de miel</t>
  </si>
  <si>
    <t>397598 - 801723 - 224080</t>
  </si>
  <si>
    <t>224082 - 801724</t>
  </si>
  <si>
    <t>801717 - 224095 - 397618</t>
  </si>
  <si>
    <t>224101 - 802211</t>
  </si>
  <si>
    <t>Clown triste, Cardinal triste</t>
  </si>
  <si>
    <t>841407 - 802223 - 224102</t>
  </si>
  <si>
    <t>718463 - 224104 - 802224</t>
  </si>
  <si>
    <t>224106 - 802232 - 397625 - 12192</t>
  </si>
  <si>
    <t>22411 - 850415</t>
  </si>
  <si>
    <t>8316 - 224111</t>
  </si>
  <si>
    <t>224112 - 802228 - 8317</t>
  </si>
  <si>
    <t>802221 - 224113</t>
  </si>
  <si>
    <t>802218 - 224117</t>
  </si>
  <si>
    <t>802219 - 887547 - 845123 - 397627 - 224118</t>
  </si>
  <si>
    <t>894010 - 224119</t>
  </si>
  <si>
    <t>800903 - 224125 - 397628 - 397629</t>
  </si>
  <si>
    <t>224126 - 887394 - 950522 - 800905</t>
  </si>
  <si>
    <t>224147 - 9047</t>
  </si>
  <si>
    <t>224148 - 801684</t>
  </si>
  <si>
    <t>224150 - 801682</t>
  </si>
  <si>
    <t>224153 - 641211 - 801690</t>
  </si>
  <si>
    <t>801691 - 224154</t>
  </si>
  <si>
    <t>224155 - 801693</t>
  </si>
  <si>
    <t>535245 - 224156 - 797731</t>
  </si>
  <si>
    <t>801589 - 397635 - 397634 - 224159</t>
  </si>
  <si>
    <t>224161 - 801591</t>
  </si>
  <si>
    <t>397636 - 224162 - 801975</t>
  </si>
  <si>
    <t>397637 - 224163 - 397639 - 801973 - 397640 - 397638 - 397641</t>
  </si>
  <si>
    <t>224164 - 397644 - 801974 - 844912 - 397645 - 397642 - 397643</t>
  </si>
  <si>
    <t>981437 - 224166 - 397647 - 397649 - 397648 - 397650</t>
  </si>
  <si>
    <t>224174 - 7687 - 802014</t>
  </si>
  <si>
    <t>224176 - 802013 - 11082</t>
  </si>
  <si>
    <t>802017 - 224177</t>
  </si>
  <si>
    <t>844735 - 844736 - 224180</t>
  </si>
  <si>
    <t>11080 - 224181</t>
  </si>
  <si>
    <t>802009 - 224191</t>
  </si>
  <si>
    <t>Dermeste à tête noire</t>
  </si>
  <si>
    <t>224192 - 802007</t>
  </si>
  <si>
    <t>224194 - 1014896 - 65994 - 397670 - 397671</t>
  </si>
  <si>
    <t>397761 - 224204</t>
  </si>
  <si>
    <t>397763 - 224205 - 397762</t>
  </si>
  <si>
    <t>224208 - 397767</t>
  </si>
  <si>
    <t>224211 - 397770</t>
  </si>
  <si>
    <t>397778 - 224219</t>
  </si>
  <si>
    <t>397787 - 224222 - 397784 - 397786 - 397785</t>
  </si>
  <si>
    <t>397789 - 224224 - 397788</t>
  </si>
  <si>
    <t>397795 - 397796 - 224230 - 397797 - 397798 - 397799</t>
  </si>
  <si>
    <t>224237 - 397813</t>
  </si>
  <si>
    <t>224241 - 397820</t>
  </si>
  <si>
    <t>397831 - 397824 - 397830 - 397828 - 397832 - 397821 - 224242 - 397826 - 397827 - 397829 - 397822 - 397825 - 397823</t>
  </si>
  <si>
    <t>224251 - 397840</t>
  </si>
  <si>
    <t>397845 - 397842 - 397843 - 224255 - 397844 - 397846</t>
  </si>
  <si>
    <t>821021 - 850417 - 22426</t>
  </si>
  <si>
    <t>397867 - 224267</t>
  </si>
  <si>
    <t>397869 - 397870 - 224272</t>
  </si>
  <si>
    <t>224274 - 397874 - 397875</t>
  </si>
  <si>
    <t>935405 - 397897 - 397896 - 224288 - 397895</t>
  </si>
  <si>
    <t>22430 - 934296</t>
  </si>
  <si>
    <t>224305 - 397913</t>
  </si>
  <si>
    <t>397919 - 224310</t>
  </si>
  <si>
    <t>224313 - 935390</t>
  </si>
  <si>
    <t>224322 - 397932</t>
  </si>
  <si>
    <t>397934 - 397936 - 397935 - 397937 - 224324</t>
  </si>
  <si>
    <t>935375 - 224342</t>
  </si>
  <si>
    <t>224343 - 935376</t>
  </si>
  <si>
    <t>224391 - 935343</t>
  </si>
  <si>
    <t>935348 - 935347 - 224394</t>
  </si>
  <si>
    <t>25506 - 398053 - 25505 - 935350 - 398052 - 25561 - 25504 - 224396</t>
  </si>
  <si>
    <t>935353 - 25508 - 224401</t>
  </si>
  <si>
    <t>935338 - 398060 - 224406</t>
  </si>
  <si>
    <t>935333 - 224408</t>
  </si>
  <si>
    <t>224417 - 925450</t>
  </si>
  <si>
    <t>398075 - 925456 - 398076 - 224425</t>
  </si>
  <si>
    <t>398089 - 224444</t>
  </si>
  <si>
    <t>224447 - 398096</t>
  </si>
  <si>
    <t>224450 - 398100</t>
  </si>
  <si>
    <t>224463 - 934690</t>
  </si>
  <si>
    <t>398104 - 25393 - 224465 - 25389 - 25388 - 25391 - 398103 - 25390</t>
  </si>
  <si>
    <t>398112 - 398113 - 224476 - 398114 - 398111</t>
  </si>
  <si>
    <t>398117 - 398118 - 398119 - 224478 - 398120</t>
  </si>
  <si>
    <t>398123 - 224483</t>
  </si>
  <si>
    <t>398125 - 398124 - 224484</t>
  </si>
  <si>
    <t>2245 - 712607</t>
  </si>
  <si>
    <t>910636 - 224520</t>
  </si>
  <si>
    <t>224521 - 935272</t>
  </si>
  <si>
    <t>935678 - 224534</t>
  </si>
  <si>
    <t>22455 - 389627 - 389626 - 389625</t>
  </si>
  <si>
    <t>935837 - 935836 - 224552</t>
  </si>
  <si>
    <t>224555 - 26969 - 935843</t>
  </si>
  <si>
    <t>944492 - 389631 - 22456 - 389630 - 944493</t>
  </si>
  <si>
    <t>224562 - 935850</t>
  </si>
  <si>
    <t>224564 - 935853</t>
  </si>
  <si>
    <t>26917 - 935901 - 224567</t>
  </si>
  <si>
    <t>935911 - 224579</t>
  </si>
  <si>
    <t>389632 - 850409 - 389635 - 389633 - 389634 - 22458</t>
  </si>
  <si>
    <t>Nemotèle à bandes</t>
  </si>
  <si>
    <t>22460 - 389650 - 389649</t>
  </si>
  <si>
    <t>224628 - 934387</t>
  </si>
  <si>
    <t>398248 - 21694 - 398247 - 936296 - 224657</t>
  </si>
  <si>
    <t>224659 - 21695</t>
  </si>
  <si>
    <t>22413 - 934072 - 224723</t>
  </si>
  <si>
    <t>398280 - 224742 - 934091</t>
  </si>
  <si>
    <t>224749 - 22392 - 960590</t>
  </si>
  <si>
    <t>224750 - 22393</t>
  </si>
  <si>
    <t>224752 - 22394</t>
  </si>
  <si>
    <t>22402 - 224753</t>
  </si>
  <si>
    <t>224756 - 22396 - 960596</t>
  </si>
  <si>
    <t>Grand bombyle</t>
  </si>
  <si>
    <t>398284 - 398285 - 22398 - 224758</t>
  </si>
  <si>
    <t>22399 - 224766</t>
  </si>
  <si>
    <t>398291 - 934042 - 224772</t>
  </si>
  <si>
    <t>224824 - 398303 - 398304</t>
  </si>
  <si>
    <t>758748 - 224825 - 398305 - 398306</t>
  </si>
  <si>
    <t>1012503 - 398307 - 821027 - 224826 - 27449</t>
  </si>
  <si>
    <t>Mouche bleue</t>
  </si>
  <si>
    <t>936309 - 398308 - 398309 - 224828 - 27453</t>
  </si>
  <si>
    <t>821028 - 27460 - 224833</t>
  </si>
  <si>
    <t>Mouche verte, Mouche dorée</t>
  </si>
  <si>
    <t>27466 - 224838 - 911938</t>
  </si>
  <si>
    <t>27459 - 27458 - 224839 - 936315</t>
  </si>
  <si>
    <t>936316 - 224840 - 398314 - 27670</t>
  </si>
  <si>
    <t>224847 - 936325</t>
  </si>
  <si>
    <t>20500 - 398357 - 20507 - 398351 - 398350 - 398352 - 398358 - 398354 - 20506 - 398360 - 224873 - 20505 - 398355 - 398353 - 398356 - 398359 - 398362 - 398361 - 20504 - 937451</t>
  </si>
  <si>
    <t>398386 - 398389 - 398387 - 20527 - 20535 - 398392 - 20544 - 398390 - 20534 - 398391 - 224884 - 398388 - 850679</t>
  </si>
  <si>
    <t>936049 - 22499</t>
  </si>
  <si>
    <t>Asile frelon, Asilide frelon</t>
  </si>
  <si>
    <t>22507 - 936054</t>
  </si>
  <si>
    <t>727377 - 22509 - 850689</t>
  </si>
  <si>
    <t>936060 - 931040 - 22511</t>
  </si>
  <si>
    <t>20199 - 225126</t>
  </si>
  <si>
    <t>225132 - 824276</t>
  </si>
  <si>
    <t>Moustique tigre</t>
  </si>
  <si>
    <t>20243 - 225136</t>
  </si>
  <si>
    <t>Moustique commun, Maringouin</t>
  </si>
  <si>
    <t>225168 - 948927 - 398739 - 21708 - 21709 - 398740</t>
  </si>
  <si>
    <t>225169 - 21711</t>
  </si>
  <si>
    <t>398749 - 20159 - 225171 - 398748</t>
  </si>
  <si>
    <t>398754 - 225178 - 398755 - 20165 - 398756</t>
  </si>
  <si>
    <t>398757 - 20167 - 20168 - 949551 - 225180 - 398758</t>
  </si>
  <si>
    <t>949557 - 20172 - 225187</t>
  </si>
  <si>
    <t>225203 - 944727 - 398798 - 398797 - 398796 - 23050</t>
  </si>
  <si>
    <t>398804 - 944728 - 225206 - 398803 - 23052</t>
  </si>
  <si>
    <t>22523 - 839537 - 914560</t>
  </si>
  <si>
    <t>225230 - 23471 - 398843 - 23446</t>
  </si>
  <si>
    <t>225233 - 23450 - 398845</t>
  </si>
  <si>
    <t>398847 - 23456 - 225237 - 23520 - 23455</t>
  </si>
  <si>
    <t>225238 - 23458</t>
  </si>
  <si>
    <t>23461 - 398850 - 225241</t>
  </si>
  <si>
    <t>398853 - 225244 - 23470</t>
  </si>
  <si>
    <t>398856 - 225246 - 398854 - 398855</t>
  </si>
  <si>
    <t>913999 - 22525</t>
  </si>
  <si>
    <t>398858 - 225250 - 23439 - 23474</t>
  </si>
  <si>
    <t>23475 - 225252</t>
  </si>
  <si>
    <t>225254 - 23480</t>
  </si>
  <si>
    <t>398865 - 398863 - 23481 - 398864 - 225255</t>
  </si>
  <si>
    <t>23463 - 398869 - 23462 - 398868 - 398870 - 23485 - 225260 - 398871</t>
  </si>
  <si>
    <t>398875 - 398874 - 398873 - 225262 - 23486 - 398872</t>
  </si>
  <si>
    <t>398876 - 23488 - 398877 - 225264 - 23487</t>
  </si>
  <si>
    <t>225268 - 23491</t>
  </si>
  <si>
    <t>22527 - 850691</t>
  </si>
  <si>
    <t>398883 - 398882 - 225270 - 23498 - 23497</t>
  </si>
  <si>
    <t>23499 - 225271</t>
  </si>
  <si>
    <t>225272 - 23506 - 23501 - 398884 - 944629</t>
  </si>
  <si>
    <t>398885 - 225273 - 23505</t>
  </si>
  <si>
    <t>398886 - 23508 - 398888 - 225275 - 398887</t>
  </si>
  <si>
    <t>23512 - 225279 - 398890 - 23510 - 23494</t>
  </si>
  <si>
    <t>398892 - 225281 - 23495 - 23514 - 398893</t>
  </si>
  <si>
    <t>23518 - 225285</t>
  </si>
  <si>
    <t>225286 - 23528 - 398897 - 23519 - 398896</t>
  </si>
  <si>
    <t>398900 - 23521 - 398898 - 225287 - 850557 - 398899</t>
  </si>
  <si>
    <t>225289 - 23524</t>
  </si>
  <si>
    <t>22529 - 936064</t>
  </si>
  <si>
    <t>398903 - 225291 - 398902 - 398901 - 23526</t>
  </si>
  <si>
    <t>225292 - 23529</t>
  </si>
  <si>
    <t>944518 - 398905 - 225297 - 23534 - 398906</t>
  </si>
  <si>
    <t>23535 - 944519 - 225298</t>
  </si>
  <si>
    <t>23552 - 225305 - 944524</t>
  </si>
  <si>
    <t>944646 - 398928 - 398927 - 225323</t>
  </si>
  <si>
    <t>398969 - 225348 - 398970</t>
  </si>
  <si>
    <t>944694 - 225360</t>
  </si>
  <si>
    <t>399057 - 944610 - 225383 - 399058</t>
  </si>
  <si>
    <t>399069 - 944736 - 225390</t>
  </si>
  <si>
    <t>23409 - 399073 - 944737 - 399072 - 225391 - 399071 - 399070</t>
  </si>
  <si>
    <t>399086 - 399087 - 399085 - 23422 - 944745 - 225401</t>
  </si>
  <si>
    <t>22544 - 936079</t>
  </si>
  <si>
    <t>20085 - 225445</t>
  </si>
  <si>
    <t>225446 - 20087</t>
  </si>
  <si>
    <t>Empis marqueté</t>
  </si>
  <si>
    <t>20100 - 225447</t>
  </si>
  <si>
    <t>20053 - 225453</t>
  </si>
  <si>
    <t>20102 - 225455</t>
  </si>
  <si>
    <t>20089 - 225456</t>
  </si>
  <si>
    <t>20092 - 225461</t>
  </si>
  <si>
    <t>20094 - 225462</t>
  </si>
  <si>
    <t>20064 - 225465</t>
  </si>
  <si>
    <t>225466 - 20065</t>
  </si>
  <si>
    <t>225471 - 20068</t>
  </si>
  <si>
    <t>225472 - 20072</t>
  </si>
  <si>
    <t>20074 - 225474</t>
  </si>
  <si>
    <t>20055 - 225477</t>
  </si>
  <si>
    <t>936090 - 22548</t>
  </si>
  <si>
    <t>225485 - 20109</t>
  </si>
  <si>
    <t>20110 - 225486</t>
  </si>
  <si>
    <t>20111 - 225487</t>
  </si>
  <si>
    <t>20112 - 225488</t>
  </si>
  <si>
    <t>20113 - 225490</t>
  </si>
  <si>
    <t>22693 - 225492 - 944808</t>
  </si>
  <si>
    <t>936093 - 22550</t>
  </si>
  <si>
    <t>225501 - 22741</t>
  </si>
  <si>
    <t>944811 - 225502 - 22743</t>
  </si>
  <si>
    <t>225503 - 22744</t>
  </si>
  <si>
    <t>22745 - 225504</t>
  </si>
  <si>
    <t>225505 - 944798 - 22706</t>
  </si>
  <si>
    <t>22709 - 225506 - 944813</t>
  </si>
  <si>
    <t>22713 - 225507</t>
  </si>
  <si>
    <t>225508 - 944807 - 22714</t>
  </si>
  <si>
    <t>225509 - 22723 - 914000</t>
  </si>
  <si>
    <t>936095 - 22551</t>
  </si>
  <si>
    <t>399104 - 22728 - 225510 - 22729</t>
  </si>
  <si>
    <t>225511 - 22733</t>
  </si>
  <si>
    <t>944799 - 225513</t>
  </si>
  <si>
    <t>22698 - 225514 - 944800</t>
  </si>
  <si>
    <t>225516 - 22700</t>
  </si>
  <si>
    <t>225517 - 22702 - 944805</t>
  </si>
  <si>
    <t>225549 - 399106 - 944765</t>
  </si>
  <si>
    <t>22555 - 936094</t>
  </si>
  <si>
    <t>944766 - 225550</t>
  </si>
  <si>
    <t>22558 - 936098</t>
  </si>
  <si>
    <t>225600 - 26157 - 946182 - 399108</t>
  </si>
  <si>
    <t>936100 - 22561 - 931083</t>
  </si>
  <si>
    <t>225617 - 26123</t>
  </si>
  <si>
    <t>26147 - 225625</t>
  </si>
  <si>
    <t>26152 - 225630</t>
  </si>
  <si>
    <t>26199 - 225669</t>
  </si>
  <si>
    <t>946137 - 225686</t>
  </si>
  <si>
    <t>225690 - 22606</t>
  </si>
  <si>
    <t>913628 - 225695</t>
  </si>
  <si>
    <t>22570 - 936108</t>
  </si>
  <si>
    <t>22835 - 225714</t>
  </si>
  <si>
    <t>944841 - 944842 - 22839 - 225715</t>
  </si>
  <si>
    <t>399133 - 399132 - 909616 - 21726 - 225727</t>
  </si>
  <si>
    <t>225730 - 399139 - 399138 - 909597 - 21782</t>
  </si>
  <si>
    <t>936213 - 22574</t>
  </si>
  <si>
    <t>18932 - 399155 - 225745</t>
  </si>
  <si>
    <t>936217 - 22575</t>
  </si>
  <si>
    <t>399162 - 399168 - 909276 - 399169 - 399172 - 399163 - 225750 - 21763 - 399166 - 399164 - 909275 - 399165 - 1017505 - 399170 - 399161 - 21765 - 399171 - 399167</t>
  </si>
  <si>
    <t>22578 - 936220</t>
  </si>
  <si>
    <t>27332 - 225806 - 947735</t>
  </si>
  <si>
    <t>27333 - 947736 - 225807</t>
  </si>
  <si>
    <t>914645 - 27336 - 225813</t>
  </si>
  <si>
    <t>22582 - 936223</t>
  </si>
  <si>
    <t>947511 - 225828</t>
  </si>
  <si>
    <t>225879 - 947265 - 976886 - 947264 - 947262 - 947266</t>
  </si>
  <si>
    <t>947325 - 947324 - 947322 - 947321 - 27146 - 225881 - 947323</t>
  </si>
  <si>
    <t>27111 - 225887 - 948488</t>
  </si>
  <si>
    <t>934388 - 22590</t>
  </si>
  <si>
    <t>225918 - 399179</t>
  </si>
  <si>
    <t>225926 - 921965 - 399194</t>
  </si>
  <si>
    <t>399213 - 225935 - 948944</t>
  </si>
  <si>
    <t>225941 - 399220</t>
  </si>
  <si>
    <t>399221 - 225943 - 921821</t>
  </si>
  <si>
    <t>225951 - 399230 - 21835 - 812986</t>
  </si>
  <si>
    <t>948965 - 225955</t>
  </si>
  <si>
    <t>948967 - 225957</t>
  </si>
  <si>
    <t>225963 - 948971</t>
  </si>
  <si>
    <t>399246 - 21841 - 812991 - 225964 - 399245 - 399244</t>
  </si>
  <si>
    <t>812992 - 225965 - 399247</t>
  </si>
  <si>
    <t>944854 - 22597</t>
  </si>
  <si>
    <t>399250 - 399249 - 812989 - 21847 - 225970</t>
  </si>
  <si>
    <t>399251 - 948951 - 225971 - 948954</t>
  </si>
  <si>
    <t>21927 - 399261 - 21935 - 399259 - 948992 - 399260 - 399258 - 399262 - 225975 - 21936 - 399264</t>
  </si>
  <si>
    <t>944861 - 22599 - 944860 - 944859 - 944857 - 944855 - 944856 - 944858</t>
  </si>
  <si>
    <t>909837 - 399306 - 399305 - 226024</t>
  </si>
  <si>
    <t>226025 - 399309</t>
  </si>
  <si>
    <t>21928 - 909806 - 226032</t>
  </si>
  <si>
    <t>399316 - 399318 - 399317 - 226036 - 897589 - 21930 - 399315 - 909809 - 399314</t>
  </si>
  <si>
    <t>22604 - 944862</t>
  </si>
  <si>
    <t>226042 - 909815</t>
  </si>
  <si>
    <t>226043 - 909816 - 399322 - 399323</t>
  </si>
  <si>
    <t>399326 - 399324 - 399325 - 226045 - 21933 - 909818</t>
  </si>
  <si>
    <t>226073 - 909718</t>
  </si>
  <si>
    <t>226075 - 399340 - 909721</t>
  </si>
  <si>
    <t>399366 - 922047 - 399365 - 226088 - 399364</t>
  </si>
  <si>
    <t>944863 - 944864 - 22609</t>
  </si>
  <si>
    <t>921969 - 226090</t>
  </si>
  <si>
    <t>948982 - 226097 - 399369</t>
  </si>
  <si>
    <t>921958 - 399372 - 399376 - 399375 - 399374 - 399371 - 399373 - 226098</t>
  </si>
  <si>
    <t>226114 - 22007</t>
  </si>
  <si>
    <t>399404 - 226120</t>
  </si>
  <si>
    <t>399405 - 226122</t>
  </si>
  <si>
    <t>399413 - 226127</t>
  </si>
  <si>
    <t>226133 - 399418</t>
  </si>
  <si>
    <t>226140 - 399431</t>
  </si>
  <si>
    <t>945141 - 22615</t>
  </si>
  <si>
    <t>399454 - 226160 - 399455</t>
  </si>
  <si>
    <t>399458 - 226162 - 399457</t>
  </si>
  <si>
    <t>226163 - 399459 - 399460</t>
  </si>
  <si>
    <t>226165 - 921747</t>
  </si>
  <si>
    <t>399482 - 948987 - 399479 - 399481 - 399480 - 226179 - 399483 - 399484</t>
  </si>
  <si>
    <t>399498 - 226184 - 399497 - 399496</t>
  </si>
  <si>
    <t>226186 - 399503 - 399505 - 399504 - 21814</t>
  </si>
  <si>
    <t>226192 - 21889 - 399515</t>
  </si>
  <si>
    <t>399519 - 399520 - 910503 - 399518 - 399517 - 226194</t>
  </si>
  <si>
    <t>399521 - 226195</t>
  </si>
  <si>
    <t>226200 - 21898</t>
  </si>
  <si>
    <t>850301 - 226214 - 960477</t>
  </si>
  <si>
    <t>934520 - 24276 - 226218</t>
  </si>
  <si>
    <t>934551 - 226221 - 23104</t>
  </si>
  <si>
    <t>934554 - 24241 - 226227</t>
  </si>
  <si>
    <t>949912 - 226277</t>
  </si>
  <si>
    <t>22631 - 399052 - 944722 - 399051</t>
  </si>
  <si>
    <t>19957 - 921275 - 226311</t>
  </si>
  <si>
    <t>19949 - 226312</t>
  </si>
  <si>
    <t>20155 - 226318</t>
  </si>
  <si>
    <t>19962 - 226320</t>
  </si>
  <si>
    <t>399572 - 949584 - 19925 - 226355</t>
  </si>
  <si>
    <t>399599 - 399596 - 226368 - 939928 - 22226 - 399595 - 399597</t>
  </si>
  <si>
    <t>22637 - 944545</t>
  </si>
  <si>
    <t>939941 - 399608 - 226374</t>
  </si>
  <si>
    <t>226377 - 939943</t>
  </si>
  <si>
    <t>398984 - 944547 - 22638</t>
  </si>
  <si>
    <t>22281 - 939949 - 226380</t>
  </si>
  <si>
    <t>839548 - 399643 - 399642 - 226382 - 22277 - 914948</t>
  </si>
  <si>
    <t>699753 - 226383</t>
  </si>
  <si>
    <t>398985 - 944548 - 22639</t>
  </si>
  <si>
    <t>22640 - 944549</t>
  </si>
  <si>
    <t>226400 - 399648</t>
  </si>
  <si>
    <t>399653 - 399652 - 226403</t>
  </si>
  <si>
    <t>940379 - 226409 - 399654 - 399656 - 399655</t>
  </si>
  <si>
    <t>940381 - 226412</t>
  </si>
  <si>
    <t>226423 - 699683</t>
  </si>
  <si>
    <t>226441 - 27629</t>
  </si>
  <si>
    <t>699682 - 226448</t>
  </si>
  <si>
    <t>226452 - 399663</t>
  </si>
  <si>
    <t>940473 - 940557 - 940454 - 940513 - 940501 - 940469 - 940529 - 940564 - 940519 - 226459 - 940547 - 940512 - 940516 - 940470 - 940554 - 940532 - 940462 - 940460 - 940531 - 940459 - 940499 - 940472 - 940452 - 940502 - 940457 - 940486 - 940453 - 940498 - 940506 - 940496 - 940490 - 940534 - 940539 - 940533 - 940562 - 940526 - 940465 - 940466 - 940485 - 940476 - 940493 - 940451 - 940521 - 940518 - 940542 - 940553 - 940488 - 940515 - 940456 - 940545 - 940450 - 940544 - 940536 - 940471 - 940525 - 940507 - 940535 - 940487 - 940478 - 940449 - 940481 - 940556 - 940489 - 940551 - 940448 - 940552 - 940550 - 940474 - 940561 - 940523 - 940508 - 940517 - 940458 - 940540 - 940558 - 940520 - 940504 - 940546 - 940491 - 940541 - 940555 - 940480 - 940563 - 940463 - 940482 - 940495 - 940477 - 940455 - 940467 - 940527 - 940537 - 940483 - 940494 - 940503 - 940509 - 940464 - 940530 - 940543 - 940524 - 940497 - 940559 - 940560 - 940528 - 940468 - 940479 - 940549 - 940514 - 940492 - 940538 - 940500 - 958301 - 940510 - 940511 - 940475 - 940484 - 940522</t>
  </si>
  <si>
    <t>27657 - 226461</t>
  </si>
  <si>
    <t>27665 - 226465</t>
  </si>
  <si>
    <t>940134 - 226477 - 940136 - 940139 - 940135 - 940138 - 940137</t>
  </si>
  <si>
    <t>944769 - 22649</t>
  </si>
  <si>
    <t>940130 - 940129 - 940128 - 940122 - 940121 - 940127 - 940124 - 226492 - 940117 - 940123 - 940126 - 940120 - 940118 - 940115 - 940112 - 940133 - 940119 - 940131 - 940114 - 940125 - 940132 - 940113 - 940116</t>
  </si>
  <si>
    <t>948669 - 226551</t>
  </si>
  <si>
    <t>969456 - 226553</t>
  </si>
  <si>
    <t>969460 - 226554</t>
  </si>
  <si>
    <t>969468 - 226557</t>
  </si>
  <si>
    <t>26766 - 399678 - 226559 - 967947 - 399679 - 967948</t>
  </si>
  <si>
    <t>226565 - 399692 - 399693 - 26749 - 948682 - 399691</t>
  </si>
  <si>
    <t>948683 - 26751 - 226566 - 399695</t>
  </si>
  <si>
    <t>948684 - 399696 - 26753 - 226567</t>
  </si>
  <si>
    <t>226568 - 26754 - 399697 - 948685</t>
  </si>
  <si>
    <t>399701 - 399699 - 26824 - 226571 - 948687 - 399700 - 26823 - 399698 - 399702 - 26825</t>
  </si>
  <si>
    <t>399767 - 226585 - 949107</t>
  </si>
  <si>
    <t>226606 - 922195 - 399797 - 399796</t>
  </si>
  <si>
    <t>399799 - 399798 - 399800 - 922203 - 226607</t>
  </si>
  <si>
    <t>22683 - 914571 - 22661</t>
  </si>
  <si>
    <t>949121 - 399803 - 399804 - 226611 - 949122</t>
  </si>
  <si>
    <t>922214 - 226613</t>
  </si>
  <si>
    <t>949118 - 22097 - 399806 - 226614 - 399805</t>
  </si>
  <si>
    <t>226623 - 949139</t>
  </si>
  <si>
    <t>399845 - 226624 - 399844 - 949143 - 997874 - 922241</t>
  </si>
  <si>
    <t>226625 - 399846 - 399848 - 949144 - 399847</t>
  </si>
  <si>
    <t>399849 - 399851 - 399852 - 399850 - 949145 - 399853 - 226626 - 22132</t>
  </si>
  <si>
    <t>226632 - 949150 - 399877</t>
  </si>
  <si>
    <t>399898 - 399900 - 399899 - 922284 - 399897 - 226639 - 22115</t>
  </si>
  <si>
    <t>399901 - 399902 - 226640</t>
  </si>
  <si>
    <t>399903 - 399904 - 997896 - 22123 - 226641 - 922288</t>
  </si>
  <si>
    <t>22136 - 399914 - 399911 - 22044 - 399912 - 226644 - 399913 - 399915 - 399910 - 914661</t>
  </si>
  <si>
    <t>399916 - 399917 - 226645</t>
  </si>
  <si>
    <t>941370 - 941371 - 941373 - 226656 - 941372 - 28311</t>
  </si>
  <si>
    <t>941375 - 941374 - 941376 - 28307 - 226657</t>
  </si>
  <si>
    <t>970857 - 941378 - 28308 - 941379 - 941380 - 941381 - 226658</t>
  </si>
  <si>
    <t>226663 - 941392 - 941391</t>
  </si>
  <si>
    <t>226664 - 1002871 - 812999</t>
  </si>
  <si>
    <t>22668 - 944771</t>
  </si>
  <si>
    <t>22669 - 944772</t>
  </si>
  <si>
    <t>914550 - 226698 - 1003113 - 839545 - 28363</t>
  </si>
  <si>
    <t>28329 - 226713 - 850491</t>
  </si>
  <si>
    <t>941577 - 941579 - 226720 - 941580 - 1002928 - 28331 - 941578 - 941582 - 941581</t>
  </si>
  <si>
    <t>942311 - 942307 - 28251 - 942310 - 942308 - 942312 - 1002865 - 942300 - 942299 - 942304 - 226724 - 942309 - 942313 - 942306 - 942302 - 942305 - 942303 - 942315 - 942314 - 942301</t>
  </si>
  <si>
    <t>943288 - 943289 - 943287 - 226730</t>
  </si>
  <si>
    <t>941238 - 226756 - 941240 - 941236 - 28215 - 941237 - 941241 - 941234 - 941235 - 941239</t>
  </si>
  <si>
    <t>944778 - 22676</t>
  </si>
  <si>
    <t>968402 - 226806</t>
  </si>
  <si>
    <t>942596 - 28152 - 399920 - 226818</t>
  </si>
  <si>
    <t>940955 - 940952 - 940953 - 226819 - 940954</t>
  </si>
  <si>
    <t>226870 - 942121 - 28105</t>
  </si>
  <si>
    <t>838529 - 226893 - 28145 - 914946</t>
  </si>
  <si>
    <t>943182 - 28187 - 943184 - 839534 - 226900 - 943185</t>
  </si>
  <si>
    <t>28196 - 850490 - 839533 - 226901</t>
  </si>
  <si>
    <t>226907 - 943187 - 943186 - 28192</t>
  </si>
  <si>
    <t>943000 - 942951 - 942994 - 942991 - 942990 - 943002 - 942995 - 942999 - 942996 - 942993 - 226940 - 943001 - 942998 - 942989 - 27957 - 942997 - 942992</t>
  </si>
  <si>
    <t>941252 - 941251 - 941250 - 226956</t>
  </si>
  <si>
    <t>226961 - 941260 - 27732 - 941261 - 941262 - 941259</t>
  </si>
  <si>
    <t>226976 - 976878 - 942805 - 28188 - 226904 - 942804</t>
  </si>
  <si>
    <t>227013 - 942107</t>
  </si>
  <si>
    <t>942936 - 227015 - 942940 - 942939 - 942941 - 942938</t>
  </si>
  <si>
    <t>942421 - 227020 - 942422 - 942423 - 942425 - 942424</t>
  </si>
  <si>
    <t>942017 - 942018 - 942016 - 227027</t>
  </si>
  <si>
    <t>942277 - 227039 - 942279 - 942278</t>
  </si>
  <si>
    <t>941758 - 941761 - 941760 - 941762 - 941759 - 227059</t>
  </si>
  <si>
    <t>941817 - 941839 - 941838 - 941868 - 941801 - 941864 - 941921 - 941832 - 941856 - 941818 - 941912 - 941883 - 941804 - 941848 - 941922 - 941845 - 941924 - 941887 - 941858 - 941841 - 941895 - 941908 - 941840 - 941897 - 941816 - 941880 - 941890 - 941866 - 941823 - 941896 - 941800 - 941811 - 27807 - 941891 - 941810 - 941913 - 941822 - 941902 - 941850 - 227065 - 941894 - 941905 - 941837 - 941881 - 941909 - 941903 - 941877 - 941807 - 941862 - 941806 - 941910 - 941879 - 941828 - 941888 - 941851 - 941904 - 941871 - 941900 - 941860 - 941852 - 941869 - 941899 - 941831 - 941918 - 941843 - 941861 - 941859 - 941872 - 941923 - 941827 - 941799 - 941853 - 941808 - 941824 - 941830 - 941893 - 941876 - 941814 - 941854 - 941863 - 941809 - 941846 - 941914 - 941901 - 941917 - 941797 - 941842 - 941915 - 941886 - 941916 - 941803 - 941889 - 941821 - 941826 - 941802 - 941833 - 941882 - 941920 - 941875 - 941870 - 941873 - 941855 - 941819 - 941805 - 941844 - 941820 - 941835 - 941857 - 941847 - 941867 - 941829 - 941796 - 941898 - 941812 - 941892 - 941815 - 941911 - 941834 - 941884 - 941878 - 941836 - 941906 - 941825 - 941907 - 941798 - 941865 - 941919 - 941885 - 941874 - 941849 - 941813</t>
  </si>
  <si>
    <t>399961 - 19716 - 19719 - 399958 - 399957 - 399956 - 950035 - 399962 - 399960 - 399959 - 227112 - 19720</t>
  </si>
  <si>
    <t>400069 - 19472 - 227215 - 950022 - 400066 - 400068 - 400067</t>
  </si>
  <si>
    <t>18992 - 227277</t>
  </si>
  <si>
    <t>227278 - 18993</t>
  </si>
  <si>
    <t>18996 - 227279 - 400153 - 18995</t>
  </si>
  <si>
    <t>18997 - 227280 - 914665</t>
  </si>
  <si>
    <t>850304 - 227282 - 18999 - 400154 - 400155</t>
  </si>
  <si>
    <t>227296 - 19088</t>
  </si>
  <si>
    <t>400205 - 227297 - 19089 - 19092 - 400202 - 400201 - 19091 - 400203 - 19093 - 19094 - 400204</t>
  </si>
  <si>
    <t>Cousin, Faucheux</t>
  </si>
  <si>
    <t>19111 - 227307</t>
  </si>
  <si>
    <t>227315 - 19113</t>
  </si>
  <si>
    <t>227320 - 400219 - 19123 - 19122</t>
  </si>
  <si>
    <t>Tipule à ailes cendrées avec une tache blanche cendrée</t>
  </si>
  <si>
    <t>400225 - 19131 - 19130 - 227333 - 400224 - 19134 - 19133 - 400223 - 400226 - 400222 - 19135</t>
  </si>
  <si>
    <t>932665 - 400232 - 227338</t>
  </si>
  <si>
    <t>400237 - 19152 - 19153 - 227343 - 19154 - 400236</t>
  </si>
  <si>
    <t>400239 - 227346 - 19157 - 19158</t>
  </si>
  <si>
    <t>227348 - 400240 - 19160 - 19164</t>
  </si>
  <si>
    <t>400242 - 227350</t>
  </si>
  <si>
    <t>400245 - 400247 - 19171 - 227352 - 400246 - 19168 - 19136 - 19172</t>
  </si>
  <si>
    <t>400256 - 19191 - 400258 - 19192 - 19189 - 227370 - 400257</t>
  </si>
  <si>
    <t>227386 - 400269 - 19211 - 19214</t>
  </si>
  <si>
    <t>Tipule à bords des ailes bruns</t>
  </si>
  <si>
    <t>400271 - 400272 - 19216 - 227388 - 400270 - 19215</t>
  </si>
  <si>
    <t>Tipule des prairies</t>
  </si>
  <si>
    <t>18974 - 400293 - 227409</t>
  </si>
  <si>
    <t>18981 - 400294 - 400295 - 227412 - 18977</t>
  </si>
  <si>
    <t>400296 - 850315 - 227414 - 18983</t>
  </si>
  <si>
    <t>24861 - 400298 - 227419 - 400301 - 400299 - 946956 - 400300</t>
  </si>
  <si>
    <t>227421 - 946920 - 400314</t>
  </si>
  <si>
    <t>400316 - 227424 - 400315</t>
  </si>
  <si>
    <t>400362 - 400365 - 400364 - 227457 - 400363 - 400360 - 400361</t>
  </si>
  <si>
    <t>400381 - 888712 - 400387 - 400388 - 400380 - 400386 - 899949 - 400390 - 400383 - 899948 - 400374 - 400385 - 400382 - 400377 - 400376 - 400375 - 400378 - 400379 - 227477 - 400384 - 400389</t>
  </si>
  <si>
    <t>944752 - 22754</t>
  </si>
  <si>
    <t>892066 - 227579 - 892065 - 400434 - 400433 - 892067</t>
  </si>
  <si>
    <t>887947 - 227593 - 887946 - 974091</t>
  </si>
  <si>
    <t>944755 - 22760</t>
  </si>
  <si>
    <t>887957 - 887956 - 227611 - 400476</t>
  </si>
  <si>
    <t>887960 - 400480 - 1017585 - 227618</t>
  </si>
  <si>
    <t>400495 - 400496 - 400497 - 887980 - 227630</t>
  </si>
  <si>
    <t>227641 - 400506</t>
  </si>
  <si>
    <t>888022 - 64874 - 227668 - 888021</t>
  </si>
  <si>
    <t>888025 - 400552 - 400553 - 227673 - 400554 - 400551 - 400549 - 400550 - 400548</t>
  </si>
  <si>
    <t>227676 - 400570 - 400569 - 400571 - 888029 - 778575</t>
  </si>
  <si>
    <t>400603 - 400608 - 400602 - 227692 - 400601 - 785411 - 400599 - 400607 - 400604 - 400605 - 400606 - 400609 - 974094 - 400600</t>
  </si>
  <si>
    <t>22770 - 914572</t>
  </si>
  <si>
    <t>400630 - 400629 - 227700</t>
  </si>
  <si>
    <t>955453 - 400638 - 400636 - 400637 - 227710</t>
  </si>
  <si>
    <t>400641 - 400639 - 400643 - 227714 - 955458 - 400646 - 400645 - 400642 - 400644 - 400640</t>
  </si>
  <si>
    <t>22772 - 944812</t>
  </si>
  <si>
    <t>400651 - 400653 - 400654 - 400652 - 227752</t>
  </si>
  <si>
    <t>784839 - 227753 - 1017586 - 443286 - 400655</t>
  </si>
  <si>
    <t>400657 - 400656 - 227755 - 400658 - 400659</t>
  </si>
  <si>
    <t>400678 - 400681 - 227762 - 400679 - 400677 - 400682 - 400683 - 784845 - 64881 - 400676</t>
  </si>
  <si>
    <t>400688 - 400687 - 227769</t>
  </si>
  <si>
    <t>400689 - 400690 - 823337 - 227771 - 400691</t>
  </si>
  <si>
    <t>400700 - 400695 - 400692 - 580986 - 400699 - 400696 - 586849 - 400697 - 400693 - 400701 - 845137 - 400698 - 400694 - 227772</t>
  </si>
  <si>
    <t>400731 - 400732 - 778569 - 227786</t>
  </si>
  <si>
    <t>400758 - 227796 - 844843 - 400755 - 823325 - 400759 - 400756</t>
  </si>
  <si>
    <t>400765 - 227798 - 400769 - 400767 - 400768 - 823355 - 400770 - 400766</t>
  </si>
  <si>
    <t>400778 - 400772 - 400779 - 400775 - 227799 - 823432 - 400776 - 400773 - 400777 - 400780 - 400771 - 400774</t>
  </si>
  <si>
    <t>823474 - 227810 - 400791</t>
  </si>
  <si>
    <t>65911 - 721734 - 65926 - 953188 - 535980 - 227817</t>
  </si>
  <si>
    <t>Grillon bordelais, Grillon d'été</t>
  </si>
  <si>
    <t>400797 - 1000928 - 227822</t>
  </si>
  <si>
    <t>Cicadelle blanche, Cicadelle pruineuse, Cicadelle américaine</t>
  </si>
  <si>
    <t>22785 - 944763</t>
  </si>
  <si>
    <t>848179 - 820892 - 227854 - 400813 - 400811 - 400812</t>
  </si>
  <si>
    <t>400818 - 227860</t>
  </si>
  <si>
    <t>400819 - 400820 - 400822 - 400821 - 400823 - 227863</t>
  </si>
  <si>
    <t>227869 - 400828 - 400827</t>
  </si>
  <si>
    <t>400855 - 400856 - 227892 - 400857 - 400854 - 400853</t>
  </si>
  <si>
    <t>400879 - 227909 - 400882 - 400880</t>
  </si>
  <si>
    <t>400884 - 400883 - 227911</t>
  </si>
  <si>
    <t>400888 - 400887 - 51997 - 400885 - 400886 - 227917</t>
  </si>
  <si>
    <t>400893 - 400899 - 400895 - 897604 - 227924 - 400901 - 400898 - 400903 - 400894 - 400897 - 400900 - 400902 - 400896</t>
  </si>
  <si>
    <t>400912 - 400915 - 400914 - 400913 - 227927</t>
  </si>
  <si>
    <t>400922 - 400927 - 1007786 - 400930 - 400921 - 400932 - 400926 - 400935 - 844825 - 400928 - 227930 - 1007783 - 400929 - 400936 - 400934 - 400931 - 400925 - 400924 - 51995 - 400933 - 400923</t>
  </si>
  <si>
    <t>897290 - 400980 - 400978 - 400979 - 897289 - 227969</t>
  </si>
  <si>
    <t>Delphacide à corne</t>
  </si>
  <si>
    <t>944845 - 944848 - 22809 - 944846 - 944847</t>
  </si>
  <si>
    <t>22810 - 944852 - 944851 - 944849</t>
  </si>
  <si>
    <t>22811 - 944853</t>
  </si>
  <si>
    <t>22845 - 944866 - 944865</t>
  </si>
  <si>
    <t>913624 - 22846</t>
  </si>
  <si>
    <t>22849 - 944871 - 944869 - 944873 - 944872</t>
  </si>
  <si>
    <t>838976 - 849864 - 228681</t>
  </si>
  <si>
    <t>398963 - 22871</t>
  </si>
  <si>
    <t>22874 - 944692 - 398964 - 398965</t>
  </si>
  <si>
    <t>22895 - 398980</t>
  </si>
  <si>
    <t>929143 - 228953</t>
  </si>
  <si>
    <t>228966 - 401022 - 401021</t>
  </si>
  <si>
    <t>Ichneumon noir, à pattes rougeâtres, avec les genoux &amp; le milieu des antennes blancs</t>
  </si>
  <si>
    <t>944690 - 22897</t>
  </si>
  <si>
    <t>844975 - 228975</t>
  </si>
  <si>
    <t>Ichneumon à pattes fauves &amp; pieds noirs</t>
  </si>
  <si>
    <t>398770 - 944495 - 398771 - 22910</t>
  </si>
  <si>
    <t>944496 - 398772 - 22911</t>
  </si>
  <si>
    <t>229258 - 849823</t>
  </si>
  <si>
    <t>22942 - 398819 - 944626 - 398820 - 22931 - 398823 - 22922 - 398821 - 398822 - 22930</t>
  </si>
  <si>
    <t>229307 - 1006702</t>
  </si>
  <si>
    <t>995944 - 995933 - 229443</t>
  </si>
  <si>
    <t>398837 - 398836 - 398838 - 22948 - 944516</t>
  </si>
  <si>
    <t>944502 - 398775 - 398774 - 22957</t>
  </si>
  <si>
    <t>22955 - 398777 - 22958 - 944503 - 22959 - 398776 - 398778</t>
  </si>
  <si>
    <t>22962 - 944504</t>
  </si>
  <si>
    <t>22963 - 398780 - 944506 - 398782 - 398781 - 398783</t>
  </si>
  <si>
    <t>944507 - 22964</t>
  </si>
  <si>
    <t>398784 - 22965</t>
  </si>
  <si>
    <t>398786 - 22967 - 398785</t>
  </si>
  <si>
    <t>401075 - 1016132 - 229682</t>
  </si>
  <si>
    <t>1007517 - 1007520 - 229695</t>
  </si>
  <si>
    <t>398787 - 22970 - 398788 - 944505</t>
  </si>
  <si>
    <t>944510 - 22973</t>
  </si>
  <si>
    <t>944544 - 398983 - 22976</t>
  </si>
  <si>
    <t>1003425 - 229765</t>
  </si>
  <si>
    <t>718526 - 229782 - 401078</t>
  </si>
  <si>
    <t>229788 - 1018672</t>
  </si>
  <si>
    <t>849814 - 229797</t>
  </si>
  <si>
    <t>229806 - 1018671</t>
  </si>
  <si>
    <t>229821 - 1006698</t>
  </si>
  <si>
    <t>1018676 - 229830</t>
  </si>
  <si>
    <t>1018667 - 229835</t>
  </si>
  <si>
    <t>1007177 - 229842</t>
  </si>
  <si>
    <t>229893 - 1018677</t>
  </si>
  <si>
    <t>229894 - 401095 - 849812</t>
  </si>
  <si>
    <t>229946 - 401096</t>
  </si>
  <si>
    <t>399006 - 399005 - 22999</t>
  </si>
  <si>
    <t>399007 - 23001</t>
  </si>
  <si>
    <t>230010 - 401099</t>
  </si>
  <si>
    <t>401106 - 230029</t>
  </si>
  <si>
    <t>230043 - 849815</t>
  </si>
  <si>
    <t>225361 - 23005 - 399010 - 399011</t>
  </si>
  <si>
    <t>401108 - 973059 - 230055 - 973060 - 401107</t>
  </si>
  <si>
    <t>230071 - 1018690</t>
  </si>
  <si>
    <t>23008 - 399012 - 23009 - 944695</t>
  </si>
  <si>
    <t>230083 - 849822</t>
  </si>
  <si>
    <t>230084 - 401117 - 820936</t>
  </si>
  <si>
    <t>401119 - 401118 - 230086 - 401120 - 899044</t>
  </si>
  <si>
    <t>Ichneumon noir à pattes fauves &amp; devant de la tête jaune</t>
  </si>
  <si>
    <t>1018681 - 230090</t>
  </si>
  <si>
    <t>230092 - 401122</t>
  </si>
  <si>
    <t>23012 - 399013 - 399014 - 944696</t>
  </si>
  <si>
    <t>1018675 - 230124</t>
  </si>
  <si>
    <t>401123 - 230127</t>
  </si>
  <si>
    <t>230133 - 935472</t>
  </si>
  <si>
    <t>230139 - 401126</t>
  </si>
  <si>
    <t>1006740 - 1018651 - 1006741 - 230143 - 1006738</t>
  </si>
  <si>
    <t>230177 - 230163 - 1013828</t>
  </si>
  <si>
    <t>1013830 - 230165</t>
  </si>
  <si>
    <t>399016 - 944698 - 399017 - 23021</t>
  </si>
  <si>
    <t>230244 - 1006554</t>
  </si>
  <si>
    <t>399022 - 944702 - 399021 - 23026 - 23037</t>
  </si>
  <si>
    <t>23027 - 944699 - 399023</t>
  </si>
  <si>
    <t>23033 - 944705</t>
  </si>
  <si>
    <t>230599 - 401155 - 401157 - 401156</t>
  </si>
  <si>
    <t>23062 - 23072</t>
  </si>
  <si>
    <t>23075 - 23061 - 23063</t>
  </si>
  <si>
    <t>934562 - 23090 - 23081 - 399544</t>
  </si>
  <si>
    <t>23091 - 922646</t>
  </si>
  <si>
    <t>934564 - 23093</t>
  </si>
  <si>
    <t>922617 - 23103</t>
  </si>
  <si>
    <t>922619 - 23105</t>
  </si>
  <si>
    <t>913674 - 23111</t>
  </si>
  <si>
    <t>23113 - 945509</t>
  </si>
  <si>
    <t>945511 - 23114</t>
  </si>
  <si>
    <t>23117 - 913675</t>
  </si>
  <si>
    <t>23118 - 913366</t>
  </si>
  <si>
    <t>945512 - 23121</t>
  </si>
  <si>
    <t>932604 - 23122</t>
  </si>
  <si>
    <t>913367 - 23126</t>
  </si>
  <si>
    <t>932606 - 23128</t>
  </si>
  <si>
    <t>23129 - 839520</t>
  </si>
  <si>
    <t>23132 - 913686</t>
  </si>
  <si>
    <t>23137 - 850433</t>
  </si>
  <si>
    <t>23154 - 850467</t>
  </si>
  <si>
    <t>Syrphe du poirier, Syrphe pyrastre</t>
  </si>
  <si>
    <t>23156 - 913370 - 839521</t>
  </si>
  <si>
    <t>231571 - 401218</t>
  </si>
  <si>
    <t>850466 - 23163</t>
  </si>
  <si>
    <t>Syrphe du groseillier</t>
  </si>
  <si>
    <t>913666 - 23170 - 23168</t>
  </si>
  <si>
    <t>898956 - 231703 - 699599</t>
  </si>
  <si>
    <t>845458 - 845455 - 838533 - 845456 - 845457 - 401224 - 845454 - 401225 - 401223 - 231713 - 231712 - 845453</t>
  </si>
  <si>
    <t>401232 - 401234 - 401235 - 231717 - 401231 - 845459 - 401227 - 401228 - 401233 - 401230 - 401229 - 401237 - 845460 - 401236 - 845461</t>
  </si>
  <si>
    <t>401245 - 231719 - 401246 - 401243 - 401242 - 401244 - 845465</t>
  </si>
  <si>
    <t>899060 - 231726</t>
  </si>
  <si>
    <t>23173 - 850435</t>
  </si>
  <si>
    <t>821037 - 819162 - 817828 - 819379 - 820923 - 817827 - 231730</t>
  </si>
  <si>
    <t>231732 - 1017633 - 819442 - 817831 - 818652 - 817830</t>
  </si>
  <si>
    <t>231736 - 817823 - 818876 - 1006052 - 818900</t>
  </si>
  <si>
    <t>401277 - 1015957 - 231740</t>
  </si>
  <si>
    <t>401278 - 935529 - 817797 - 819187 - 819473 - 817798 - 817801 - 819126 - 817800 - 52443 - 231741 - 817799</t>
  </si>
  <si>
    <t>819378 - 817804 - 817806 - 817805 - 817803 - 819481 - 231743 - 935531 - 820922</t>
  </si>
  <si>
    <t>231744 - 1003419 - 817807</t>
  </si>
  <si>
    <t>231746 - 819064 - 819188 - 817811 - 817809 - 401280 - 817813 - 818898 - 401279 - 819066 - 817812 - 817810 - 821104 - 819065</t>
  </si>
  <si>
    <t>Mouche-à-scie à quatre bandes jaunes</t>
  </si>
  <si>
    <t>913332 - 23175</t>
  </si>
  <si>
    <t>817645 - 817649 - 817648 - 817646 - 818756 - 817647 - 231751</t>
  </si>
  <si>
    <t>817652 - 231753 - 819372</t>
  </si>
  <si>
    <t>231758 - 817656 - 819112 - 52660 - 791818 - 819171 - 818579 - 817657 - 817655 - 819374 - 817658</t>
  </si>
  <si>
    <t>818826 - 818759 - 817660 - 401281 - 231759 - 52659 - 817661 - 818758 - 817659</t>
  </si>
  <si>
    <t>818828 - 817670 - 231765 - 817669 - 819375</t>
  </si>
  <si>
    <t>817685 - 818646 - 231767 - 818810</t>
  </si>
  <si>
    <t>231768 - 819009 - 817871 - 818907</t>
  </si>
  <si>
    <t>844915 - 401338 - 818904 - 231776 - 818662 - 817858 - 818536</t>
  </si>
  <si>
    <t>Frelon à épaulettes</t>
  </si>
  <si>
    <t>817832 - 401287 - 231777 - 401286</t>
  </si>
  <si>
    <t>231779 - 821097 - 52651</t>
  </si>
  <si>
    <t>838528 - 23178 - 23172 - 850460</t>
  </si>
  <si>
    <t>821068 - 817835 - 231781</t>
  </si>
  <si>
    <t>231783 - 821102</t>
  </si>
  <si>
    <t>825569 - 231791</t>
  </si>
  <si>
    <t>52414 - 401290 - 231797 - 817687 - 401291</t>
  </si>
  <si>
    <t>231803 - 1015665 - 817711</t>
  </si>
  <si>
    <t>401296 - 1015953 - 231804</t>
  </si>
  <si>
    <t>1015954 - 231809</t>
  </si>
  <si>
    <t>817720 - 231819 - 821123</t>
  </si>
  <si>
    <t>820473 - 231821 - 820472 - 52411</t>
  </si>
  <si>
    <t>821112 - 231828 - 817705 - 817703 - 817704 - 820915 - 817706 - 817702</t>
  </si>
  <si>
    <t>231829 - 817708 - 401300 - 818768 - 818882 - 817709 - 817707 - 818769 - 817710 - 821115 - 818890</t>
  </si>
  <si>
    <t>817694 - 819145 - 821111 - 818765 - 817696 - 231830 - 817695</t>
  </si>
  <si>
    <t>231832 - 817698 - 817699 - 817697 - 818767</t>
  </si>
  <si>
    <t>231841 - 817613 - 817615 - 817614 - 818823 - 849801</t>
  </si>
  <si>
    <t>52450 - 817611 - 818752 - 818679 - 820542 - 231844 - 817610 - 401303 - 817612</t>
  </si>
  <si>
    <t>Grand Sirex, Sirex géant, Guêpe du bois</t>
  </si>
  <si>
    <t>52626 - 819343 - 819354 - 818609 - 818606 - 818998 - 819350 - 818605 - 819427 - 231849 - 819348 - 819351 - 818659 - 52625 - 819428 - 819429 - 401306 - 818607 - 819355 - 818585 - 818610 - 818572 - 818574 - 819353 - 821093 - 819352 - 819349 - 818608</t>
  </si>
  <si>
    <t>Mouche-à-scie perlée, Mouche-à-scie fauve à point jaune</t>
  </si>
  <si>
    <t>913685 - 23185</t>
  </si>
  <si>
    <t>819357 - 401307 - 818875 - 1003703 - 1003710 - 52623 - 819356 - 231850</t>
  </si>
  <si>
    <t>231851 - 818619 - 818618 - 818578</t>
  </si>
  <si>
    <t>818588 - 819364 - 819360 - 1004803 - 818620 - 819431 - 819361 - 231852</t>
  </si>
  <si>
    <t>1016394 - 401313 - 819561 - 818621 - 231853</t>
  </si>
  <si>
    <t>818419 - 818970 - 231864 - 52593 - 818420 - 1003705</t>
  </si>
  <si>
    <t>819330 - 52604 - 231865 - 819331 - 401321</t>
  </si>
  <si>
    <t>296072 - 231866 - 819526</t>
  </si>
  <si>
    <t>818424 - 818425 - 231868 - 818426</t>
  </si>
  <si>
    <t>818742 - 819412 - 231871</t>
  </si>
  <si>
    <t>819276 - 231873 - 818437 - 819277</t>
  </si>
  <si>
    <t>819278 - 819037 - 825565 - 818438 - 231874</t>
  </si>
  <si>
    <t>818974 - 231876 - 825567</t>
  </si>
  <si>
    <t>231878 - 818450</t>
  </si>
  <si>
    <t>818453 - 818452 - 401327 - 231880</t>
  </si>
  <si>
    <t>819291 - 819293 - 818457 - 231883 - 401329 - 819294 - 401328 - 819292</t>
  </si>
  <si>
    <t>231886 - 818743 - 818464 - 818558 - 401330 - 818465 - 819296 - 819297</t>
  </si>
  <si>
    <t>819332 - 819422 - 819333 - 52609 - 231888 - 401332</t>
  </si>
  <si>
    <t>Mouche-à-scie de la scrofulaire</t>
  </si>
  <si>
    <t>818570 - 818564 - 231893</t>
  </si>
  <si>
    <t>819261 - 819529 - 231904</t>
  </si>
  <si>
    <t>818545 - 818989 - 819141 - 820468 - 231905</t>
  </si>
  <si>
    <t>819061 - 818544 - 1003942 - 231906</t>
  </si>
  <si>
    <t>231908 - 818507</t>
  </si>
  <si>
    <t>818817 - 1003658 - 231909</t>
  </si>
  <si>
    <t>818983 - 821138 - 818509 - 819052 - 818510 - 818511 - 231910 - 819315</t>
  </si>
  <si>
    <t>Mouche-à-scie à pattes argentées &amp; milieu du ventre fauve</t>
  </si>
  <si>
    <t>819054 - 818984 - 231915 - 1003933 - 819419 - 819319</t>
  </si>
  <si>
    <t>231917 - 818985</t>
  </si>
  <si>
    <t>818535 - 819326 - 231918 - 819324 - 818537 - 818986 - 819420 - 935996 - 401337 - 819325</t>
  </si>
  <si>
    <t>818664 - 231920 - 818987 - 819140</t>
  </si>
  <si>
    <t>821146 - 231921 - 818540 - 231916 - 819118 - 819119 - 818539</t>
  </si>
  <si>
    <t>Mouche-à-scie noire à ventre bordé de taches jaunes</t>
  </si>
  <si>
    <t>401341 - 1004812 - 231929</t>
  </si>
  <si>
    <t>231930 - 818643 - 819139 - 1004811</t>
  </si>
  <si>
    <t>818494 - 819116 - 818495 - 845021 - 401342 - 401343 - 296103 - 52590 - 231931 - 818580 - 818980</t>
  </si>
  <si>
    <t>231932 - 818496 - 401345 - 401344 - 1016293</t>
  </si>
  <si>
    <t>1006373 - 818881 - 1004801 - 818979 - 818489 - 231933 - 818491 - 818490</t>
  </si>
  <si>
    <t>231935 - 817876</t>
  </si>
  <si>
    <t>818479 - 820926 - 231936 - 821142</t>
  </si>
  <si>
    <t>1003633 - 231937 - 819254 - 818391 - 818392 - 818393</t>
  </si>
  <si>
    <t>1003631 - 231940</t>
  </si>
  <si>
    <t>818276 - 818274 - 819129 - 818275 - 231952</t>
  </si>
  <si>
    <t>23196 - 23158 - 932607 - 718441</t>
  </si>
  <si>
    <t>Syrphe ceinturé</t>
  </si>
  <si>
    <t>818480 - 1003817 - 819301 - 818482 - 819415 - 818978 - 818681 - 52319 - 819045 - 818481 - 231972</t>
  </si>
  <si>
    <t>231975 - 1006388</t>
  </si>
  <si>
    <t>818381 - 231977 - 818382 - 1003837</t>
  </si>
  <si>
    <t>818303 - 818301 - 1017761 - 818302 - 818859 - 231980</t>
  </si>
  <si>
    <t>231985 - 818308 - 1017627</t>
  </si>
  <si>
    <t>819006 - 401360 - 819572 - 231987</t>
  </si>
  <si>
    <t>818321 - 819450 - 818322 - 231994 - 821134</t>
  </si>
  <si>
    <t>818326 - 817236 - 818324 - 818327 - 818325 - 818323 - 231996 - 819568 - 818328 - 819166</t>
  </si>
  <si>
    <t>1017726 - 818338 - 401365 - 819026 - 231999</t>
  </si>
  <si>
    <t>897087 - 818345 - 818340 - 818344 - 818738 - 821130 - 818341 - 818339 - 818343 - 232000 - 821129 - 52517 - 818342 - 819131</t>
  </si>
  <si>
    <t>232001 - 818346 - 818347 - 52515 - 819133 - 819134 - 820481 - 401366 - 818348</t>
  </si>
  <si>
    <t>818353 - 232007 - 818352 - 818351 - 897088 - 401370</t>
  </si>
  <si>
    <t>819500 - 232013 - 231997 - 1017729 - 818358</t>
  </si>
  <si>
    <t>232014 - 401372 - 897102 - 897103 - 897104 - 819029 - 819028 - 897105 - 897106</t>
  </si>
  <si>
    <t>913691 - 23203</t>
  </si>
  <si>
    <t>913692 - 23205 - 23204</t>
  </si>
  <si>
    <t>932735 - 23206</t>
  </si>
  <si>
    <t>232063 - 1018896 - 818298 - 818297</t>
  </si>
  <si>
    <t>818296 - 818294 - 232088 - 818295 - 818858</t>
  </si>
  <si>
    <t>23209 - 932736</t>
  </si>
  <si>
    <t>1003829 - 232099 - 819224</t>
  </si>
  <si>
    <t>232101 - 818019 - 818018 - 1017212 - 1004828 - 818017 - 819514 - 818701 - 818016</t>
  </si>
  <si>
    <t>232104 - 819021 - 818923</t>
  </si>
  <si>
    <t>Tenthrède verte</t>
  </si>
  <si>
    <t>818039 - 819004 - 818041 - 818040 - 818706 - 819069 - 232108 - 818926 - 819103 - 818038 - 817922 - 844943</t>
  </si>
  <si>
    <t>Mouche-à-scie safranée</t>
  </si>
  <si>
    <t>23212 - 914600</t>
  </si>
  <si>
    <t>850470 - 23214</t>
  </si>
  <si>
    <t>818009 - 232158 - 1003847 - 401429</t>
  </si>
  <si>
    <t>1016746 - 232159</t>
  </si>
  <si>
    <t>23216 - 914601</t>
  </si>
  <si>
    <t>819222 - 401430 - 232161 - 818007 - 818006 - 401431 - 1016744</t>
  </si>
  <si>
    <t>401434 - 825570 - 818003 - 232166 - 818004</t>
  </si>
  <si>
    <t>818919 - 232168 - 817994 - 818695</t>
  </si>
  <si>
    <t>232169 - 935631</t>
  </si>
  <si>
    <t>817970 - 232171 - 818688 - 817971 - 1003607</t>
  </si>
  <si>
    <t>232176 - 817962 - 817961</t>
  </si>
  <si>
    <t>232177 - 817958 - 817959 - 1003853</t>
  </si>
  <si>
    <t>817919 - 817920 - 232186 - 821116</t>
  </si>
  <si>
    <t>232188 - 1016831</t>
  </si>
  <si>
    <t>821096 - 819218 - 817952 - 819219 - 817955 - 52642 - 819341 - 817951 - 817954 - 817956 - 232190 - 817953 - 818684</t>
  </si>
  <si>
    <t>818912 - 817907 - 817912 - 819099 - 52640 - 817918 - 817913 - 817914 - 232191 - 819100 - 817917 - 817908 - 401439 - 818914 - 817915 - 817906 - 1016796 - 818775 - 817910 - 817909 - 817905 - 817916 - 818913 - 819098 - 817911</t>
  </si>
  <si>
    <t>1016795 - 232192</t>
  </si>
  <si>
    <t>1004809 - 232193 - 818799</t>
  </si>
  <si>
    <t>1016829 - 817944 - 232195 - 818682</t>
  </si>
  <si>
    <t>401441 - 232196 - 819370 - 1003848</t>
  </si>
  <si>
    <t>1003826 - 232197 - 817945</t>
  </si>
  <si>
    <t>1016830 - 232198</t>
  </si>
  <si>
    <t>1003831 - 817900 - 52343 - 817902 - 232203 - 817901</t>
  </si>
  <si>
    <t>1003849 - 232204 - 817904 - 817903</t>
  </si>
  <si>
    <t>819385 - 818650 - 232205 - 821098 - 52344 - 401444</t>
  </si>
  <si>
    <t>232206 - 1004808</t>
  </si>
  <si>
    <t>817897 - 401445 - 232207</t>
  </si>
  <si>
    <t>817727 - 232209 - 817725 - 817726 - 825572 - 819147 - 817728 - 818677 - 818883</t>
  </si>
  <si>
    <t>23222 - 932875</t>
  </si>
  <si>
    <t>1003641 - 52495 - 232220</t>
  </si>
  <si>
    <t>817766 - 401451 - 818660 - 232223 - 52497 - 821099 - 401452</t>
  </si>
  <si>
    <t>232224 - 1016714 - 1016377 - 401453</t>
  </si>
  <si>
    <t>819185 - 819377 - 401465 - 819184 - 232230 - 819186 - 819159</t>
  </si>
  <si>
    <t>817881 - 401467 - 819011 - 818792 - 401466 - 1006394 - 232233</t>
  </si>
  <si>
    <t>232234 - 1003629 - 817752</t>
  </si>
  <si>
    <t>818994 - 817754 - 817757 - 819125 - 817758 - 1003622 - 232235 - 817756 - 817755 - 1003623 - 817753</t>
  </si>
  <si>
    <t>819384 - 899037 - 819209 - 232236 - 819208</t>
  </si>
  <si>
    <t>945601 - 945599 - 945600 - 23224</t>
  </si>
  <si>
    <t>23225 - 932877</t>
  </si>
  <si>
    <t>401474 - 232254 - 401473</t>
  </si>
  <si>
    <t>962061 - 232256</t>
  </si>
  <si>
    <t>23226 - 932878</t>
  </si>
  <si>
    <t>232265 - 401497 - 401498</t>
  </si>
  <si>
    <t>23227 - 932879</t>
  </si>
  <si>
    <t>1001037 - 232272 - 401510 - 401508 - 401509</t>
  </si>
  <si>
    <t>401511 - 232273</t>
  </si>
  <si>
    <t>401514 - 232274 - 401512 - 401513</t>
  </si>
  <si>
    <t>232276 - 401515</t>
  </si>
  <si>
    <t>401516 - 850068 - 232277</t>
  </si>
  <si>
    <t>401519 - 232279</t>
  </si>
  <si>
    <t>932880 - 23228</t>
  </si>
  <si>
    <t>401522 - 1013451 - 232280 - 401521 - 1013450 - 401520</t>
  </si>
  <si>
    <t>401525 - 232288</t>
  </si>
  <si>
    <t>232290 - 401527 - 401526</t>
  </si>
  <si>
    <t>936196 - 232304</t>
  </si>
  <si>
    <t>401555 - 401556 - 850119 - 401553 - 232306 - 401554</t>
  </si>
  <si>
    <t>401563 - 401559 - 401561 - 401564 - 232308 - 401558 - 401560 - 401562 - 936197</t>
  </si>
  <si>
    <t>718438 - 23231 - 932891</t>
  </si>
  <si>
    <t>401565 - 232310</t>
  </si>
  <si>
    <t>232314 - 401568 - 401567 - 1011602</t>
  </si>
  <si>
    <t>232315 - 401570 - 401569</t>
  </si>
  <si>
    <t>401576 - 232319 - 1011601</t>
  </si>
  <si>
    <t>712939 - 23232 - 712941</t>
  </si>
  <si>
    <t>401582 - 401579 - 401586 - 401583 - 401587 - 232321 - 401581 - 401584 - 401580 - 401585</t>
  </si>
  <si>
    <t>401598 - 898991 - 401597 - 232328 - 716435 - 898992 - 401599</t>
  </si>
  <si>
    <t>932892 - 23233</t>
  </si>
  <si>
    <t>401613 - 401610 - 401612 - 232334 - 401615 - 401609 - 401614 - 401611</t>
  </si>
  <si>
    <t>401622 - 401623 - 401624 - 232336 - 401626 - 401625</t>
  </si>
  <si>
    <t>232338 - 850123 - 820948</t>
  </si>
  <si>
    <t>913603 - 23234</t>
  </si>
  <si>
    <t>232343 - 401636</t>
  </si>
  <si>
    <t>401640 - 232348</t>
  </si>
  <si>
    <t>232349 - 401641</t>
  </si>
  <si>
    <t>232357 - 401662 - 1003414 - 401661 - 401660</t>
  </si>
  <si>
    <t>23236 - 945637 - 945638 - 945639</t>
  </si>
  <si>
    <t>232360 - 401663</t>
  </si>
  <si>
    <t>1003415 - 401668 - 232362 - 401666 - 401667</t>
  </si>
  <si>
    <t>401674 - 401673 - 401675 - 401672 - 232365</t>
  </si>
  <si>
    <t>401678 - 401680 - 1001021 - 401679 - 232367</t>
  </si>
  <si>
    <t>Guêpe maçonne</t>
  </si>
  <si>
    <t>716434 - 401682 - 232368 - 850067 - 401681 - 401683 - 401684</t>
  </si>
  <si>
    <t>232371 - 401691 - 401689 - 401690</t>
  </si>
  <si>
    <t>232373 - 1000646</t>
  </si>
  <si>
    <t>996011 - 232376 - 401694</t>
  </si>
  <si>
    <t>232378 - 840177 - 401703 - 52890 - 401704</t>
  </si>
  <si>
    <t>Guêpe norvégienne</t>
  </si>
  <si>
    <t>913604 - 23238</t>
  </si>
  <si>
    <t>893784 - 232383 - 232382</t>
  </si>
  <si>
    <t>913605 - 23240</t>
  </si>
  <si>
    <t>789839 - 232411</t>
  </si>
  <si>
    <t>51364 - 232413</t>
  </si>
  <si>
    <t>51366 - 232416 - 789840</t>
  </si>
  <si>
    <t>Psoque, Pou des écorces</t>
  </si>
  <si>
    <t>23242 - 913322</t>
  </si>
  <si>
    <t>23244 - 913622</t>
  </si>
  <si>
    <t>944878 - 23245</t>
  </si>
  <si>
    <t>251946 - 232493 - 78907</t>
  </si>
  <si>
    <t>232495 - 401809 - 401810 - 401808 - 401807 - 401806</t>
  </si>
  <si>
    <t>401813 - 401811 - 232497 - 401812</t>
  </si>
  <si>
    <t>232499 - 401814 - 401815</t>
  </si>
  <si>
    <t>232502 - 401816</t>
  </si>
  <si>
    <t>23251 - 913629</t>
  </si>
  <si>
    <t>232519 - 401829</t>
  </si>
  <si>
    <t>944886 - 944885 - 23252 - 944884 - 839514 - 944887</t>
  </si>
  <si>
    <t>401830 - 401831 - 232521</t>
  </si>
  <si>
    <t>852093 - 232525</t>
  </si>
  <si>
    <t>401832 - 232528</t>
  </si>
  <si>
    <t>401837 - 232531 - 401841 - 701938 - 401836 - 401839</t>
  </si>
  <si>
    <t>232532 - 78922 - 701939</t>
  </si>
  <si>
    <t>401838 - 401840 - 232533 - 401835 - 401842 - 401834 - 701940 - 701941</t>
  </si>
  <si>
    <t>232539 - 852100</t>
  </si>
  <si>
    <t>232541 - 852102 - 401853</t>
  </si>
  <si>
    <t>401856 - 232548 - 401855</t>
  </si>
  <si>
    <t>401860 - 401859 - 401861 - 232556</t>
  </si>
  <si>
    <t>820853 - 232557 - 78940</t>
  </si>
  <si>
    <t>23256 - 944889 - 944888</t>
  </si>
  <si>
    <t>401865 - 232564 - 852048</t>
  </si>
  <si>
    <t>23257 - 944890</t>
  </si>
  <si>
    <t>401887 - 401889 - 401888 - 849781 - 232581 - 401890 - 401891</t>
  </si>
  <si>
    <t>401907 - 232596 - 401908 - 401906 - 852077 - 401909</t>
  </si>
  <si>
    <t>852078 - 232597</t>
  </si>
  <si>
    <t>23260 - 944891</t>
  </si>
  <si>
    <t>232605 - 401928 - 852084</t>
  </si>
  <si>
    <t>23261 - 945024</t>
  </si>
  <si>
    <t>401946 - 232612</t>
  </si>
  <si>
    <t>251955 - 401947 - 401949 - 852051 - 401950 - 232615 - 401948</t>
  </si>
  <si>
    <t>1016210 - 232621</t>
  </si>
  <si>
    <t>401956 - 232623</t>
  </si>
  <si>
    <t>401982 - 232631 - 852114</t>
  </si>
  <si>
    <t>232632 - 852115 - 401983</t>
  </si>
  <si>
    <t>232633 - 401984 - 852116</t>
  </si>
  <si>
    <t>820832 - 401987 - 401988 - 79035 - 232634 - 401985 - 401986</t>
  </si>
  <si>
    <t>Frigane de couleur fauve</t>
  </si>
  <si>
    <t>401989 - 232635 - 401990</t>
  </si>
  <si>
    <t>401994 - 790090 - 401995 - 232636</t>
  </si>
  <si>
    <t>401997 - 401998 - 232637 - 401996 - 844853 - 820852</t>
  </si>
  <si>
    <t>Frigane à ailes tachetées &amp; courtes antennes</t>
  </si>
  <si>
    <t>232638 - 402002 - 401999 - 402004 - 402003 - 402000 - 402001 - 79165</t>
  </si>
  <si>
    <t>402006 - 402005 - 232641</t>
  </si>
  <si>
    <t>232642 - 852118</t>
  </si>
  <si>
    <t>852121 - 232644</t>
  </si>
  <si>
    <t>886042 - 402014 - 232645</t>
  </si>
  <si>
    <t>886045 - 232646 - 402016 - 402017 - 402015</t>
  </si>
  <si>
    <t>886047 - 232647 - 402022 - 886048 - 886050 - 886049 - 402021 - 402020</t>
  </si>
  <si>
    <t>402023 - 886052 - 402026 - 402024 - 402025 - 886051 - 232648</t>
  </si>
  <si>
    <t>402038 - 232650 - 852125 - 402037 - 402036 - 820851 - 402033 - 402031 - 402034 - 402032 - 402030 - 402035</t>
  </si>
  <si>
    <t>402042 - 232659 - 886008</t>
  </si>
  <si>
    <t>23268 - 813283</t>
  </si>
  <si>
    <t>402064 - 402063 - 886017 - 232684</t>
  </si>
  <si>
    <t>402065 - 402066 - 402067 - 232685 - 820837</t>
  </si>
  <si>
    <t>790092 - 790091 - 402068 - 232686 - 402069 - 885952 - 885953</t>
  </si>
  <si>
    <t>886021 - 402075 - 232688 - 402076 - 402074</t>
  </si>
  <si>
    <t>232690 - 886026</t>
  </si>
  <si>
    <t>232691 - 886027</t>
  </si>
  <si>
    <t>402079 - 402082 - 402080 - 232692 - 402078 - 790096 - 402081 - 402083</t>
  </si>
  <si>
    <t>79121 - 232693</t>
  </si>
  <si>
    <t>402090 - 402091 - 885958 - 402089 - 402088 - 232694 - 402092</t>
  </si>
  <si>
    <t>885966 - 885964 - 232695 - 402103 - 885965</t>
  </si>
  <si>
    <t>402104 - 232696 - 402105</t>
  </si>
  <si>
    <t>402114 - 402111 - 402113 - 232698 - 402112</t>
  </si>
  <si>
    <t>232699 - 402115 - 885977</t>
  </si>
  <si>
    <t>232700 - 885979</t>
  </si>
  <si>
    <t>232701 - 402122</t>
  </si>
  <si>
    <t>944895 - 23271</t>
  </si>
  <si>
    <t>886031 - 232713 - 402169 - 402168</t>
  </si>
  <si>
    <t>886202 - 232715 - 402178 - 402179 - 886203</t>
  </si>
  <si>
    <t>232716 - 402180 - 886204 - 402181</t>
  </si>
  <si>
    <t>402182 - 232717 - 402183 - 886205</t>
  </si>
  <si>
    <t>402184 - 232719 - 251961 - 885994</t>
  </si>
  <si>
    <t>232729 - 402195</t>
  </si>
  <si>
    <t>886040 - 402197 - 886039 - 232730 - 402196</t>
  </si>
  <si>
    <t>402212 - 886061 - 402213 - 232731</t>
  </si>
  <si>
    <t>886071 - 886069 - 886072 - 402221 - 79075 - 886070 - 886075 - 232736 - 232735 - 402220</t>
  </si>
  <si>
    <t>402227 - 402229 - 402226 - 402228 - 79081 - 232739 - 886079 - 886080</t>
  </si>
  <si>
    <t>79044 - 820846 - 904874 - 232748 - 402247 - 402246 - 79046</t>
  </si>
  <si>
    <t>820833 - 402253 - 402251 - 232749 - 402252</t>
  </si>
  <si>
    <t>232763 - 790138 - 402284 - 790137</t>
  </si>
  <si>
    <t>886156 - 232767</t>
  </si>
  <si>
    <t>402311 - 232773</t>
  </si>
  <si>
    <t>913621 - 23279</t>
  </si>
  <si>
    <t>23282 - 944898 - 944899</t>
  </si>
  <si>
    <t>23289 - 944902</t>
  </si>
  <si>
    <t>944905 - 23294 - 944906</t>
  </si>
  <si>
    <t>944908 - 944910 - 944909 - 23296</t>
  </si>
  <si>
    <t>23301 - 944915 - 944916</t>
  </si>
  <si>
    <t>944918 - 23307</t>
  </si>
  <si>
    <t>955629 - 233083</t>
  </si>
  <si>
    <t>233094 - 929827</t>
  </si>
  <si>
    <t>913626 - 23310</t>
  </si>
  <si>
    <t>233116 - 1015137 - 955665</t>
  </si>
  <si>
    <t>944922 - 944924 - 23312 - 944923</t>
  </si>
  <si>
    <t>944929 - 944925 - 944927 - 23314 - 944928 - 944930 - 944926</t>
  </si>
  <si>
    <t>1829 - 900129 - 233169</t>
  </si>
  <si>
    <t>Agélène à labyrinthe</t>
  </si>
  <si>
    <t>457349 - 233170 - 1835</t>
  </si>
  <si>
    <t>1840 - 233178 - 457232 - 900150</t>
  </si>
  <si>
    <t>23320 - 944937 - 944938</t>
  </si>
  <si>
    <t>233208 - 1561</t>
  </si>
  <si>
    <t>901502 - 901505 - 233210</t>
  </si>
  <si>
    <t>233213 - 903136</t>
  </si>
  <si>
    <t>233219 - 903157</t>
  </si>
  <si>
    <t>233221 - 402358 - 903161</t>
  </si>
  <si>
    <t>903165 - 457330 - 233224</t>
  </si>
  <si>
    <t>233226 - 888 - 1573</t>
  </si>
  <si>
    <t>Épeire des roseaux</t>
  </si>
  <si>
    <t>1590 - 233237 - 903219</t>
  </si>
  <si>
    <t>Diodie tête de mort</t>
  </si>
  <si>
    <t>233242 - 903224 - 1588</t>
  </si>
  <si>
    <t>Épeire des fenêtres</t>
  </si>
  <si>
    <t>233243 - 1742</t>
  </si>
  <si>
    <t>1813 - 233245 - 903112</t>
  </si>
  <si>
    <t>1857 - 902221 - 233253</t>
  </si>
  <si>
    <t>1091 - 902251 - 233266</t>
  </si>
  <si>
    <t>Dictyne fille</t>
  </si>
  <si>
    <t>233267 - 902254 - 902253 - 233268</t>
  </si>
  <si>
    <t>913625 - 23327</t>
  </si>
  <si>
    <t>233271 - 891621 - 1150 - 891619</t>
  </si>
  <si>
    <t>Dysdère érythrine</t>
  </si>
  <si>
    <t>902256 - 1154 - 233284 - 233283</t>
  </si>
  <si>
    <t>Harpactée pattes-rayées</t>
  </si>
  <si>
    <t>457269 - 902257 - 233285 - 402376</t>
  </si>
  <si>
    <t>23329 - 944949</t>
  </si>
  <si>
    <t>233305 - 902298</t>
  </si>
  <si>
    <t>902327 - 233318</t>
  </si>
  <si>
    <t>233327 - 457372 - 902336</t>
  </si>
  <si>
    <t>233333 - 902342</t>
  </si>
  <si>
    <t>402393 - 233376 - 902438 - 1193</t>
  </si>
  <si>
    <t>233456 - 903241</t>
  </si>
  <si>
    <t>945127 - 23346 - 945126 - 945124 - 945125</t>
  </si>
  <si>
    <t>903269 - 233466</t>
  </si>
  <si>
    <t>233470 - 903273</t>
  </si>
  <si>
    <t>252028 - 903325 - 233488</t>
  </si>
  <si>
    <t>945129 - 23350</t>
  </si>
  <si>
    <t>903361 - 233502</t>
  </si>
  <si>
    <t>903380 - 233505</t>
  </si>
  <si>
    <t>233507 - 903385</t>
  </si>
  <si>
    <t>23352 - 945132 - 945133 - 945130 - 945131</t>
  </si>
  <si>
    <t>903420 - 233529</t>
  </si>
  <si>
    <t>903423 - 233532</t>
  </si>
  <si>
    <t>233533 - 903424</t>
  </si>
  <si>
    <t>233538 - 903430</t>
  </si>
  <si>
    <t>233541 - 903432</t>
  </si>
  <si>
    <t>903435 - 233544</t>
  </si>
  <si>
    <t>233547 - 903437</t>
  </si>
  <si>
    <t>233549 - 903439</t>
  </si>
  <si>
    <t>233562 - 903447</t>
  </si>
  <si>
    <t>402404 - 233579 - 903480</t>
  </si>
  <si>
    <t>903482 - 233580</t>
  </si>
  <si>
    <t>903517 - 233591</t>
  </si>
  <si>
    <t>903520 - 233592</t>
  </si>
  <si>
    <t>903522 - 1408 - 233593</t>
  </si>
  <si>
    <t>233604 - 903556</t>
  </si>
  <si>
    <t>233619 - 903566</t>
  </si>
  <si>
    <t>233633 - 903587</t>
  </si>
  <si>
    <t>903614 - 233639</t>
  </si>
  <si>
    <t>945137 - 23364</t>
  </si>
  <si>
    <t>945139 - 945140 - 945138 - 23365</t>
  </si>
  <si>
    <t>233665 - 903667</t>
  </si>
  <si>
    <t>903675 - 233667</t>
  </si>
  <si>
    <t>903680 - 233668</t>
  </si>
  <si>
    <t>903696 - 233675</t>
  </si>
  <si>
    <t>903723 - 233685</t>
  </si>
  <si>
    <t>23369 - 944819 - 944821 - 944820</t>
  </si>
  <si>
    <t>884954 - 233709 - 884953 - 402413</t>
  </si>
  <si>
    <t>944823 - 944822 - 23372 - 944824</t>
  </si>
  <si>
    <t>233720 - 402414 - 903806</t>
  </si>
  <si>
    <t>233731 - 903817 - 402415</t>
  </si>
  <si>
    <t>1482 - 233735 - 903819</t>
  </si>
  <si>
    <t>934010 - 233738 - 807 - 903821</t>
  </si>
  <si>
    <t>233741 - 897426</t>
  </si>
  <si>
    <t>233744 - 233742 - 903823 - 884993</t>
  </si>
  <si>
    <t>944825 - 944826 - 23375</t>
  </si>
  <si>
    <t>903856 - 233775</t>
  </si>
  <si>
    <t>903863 - 233781</t>
  </si>
  <si>
    <t>903865 - 1371 - 233783</t>
  </si>
  <si>
    <t>233786 - 903869</t>
  </si>
  <si>
    <t>233787 - 1006874 - 903870 - 1374 - 402422</t>
  </si>
  <si>
    <t>233788 - 1006921 - 1375</t>
  </si>
  <si>
    <t>903872 - 233790</t>
  </si>
  <si>
    <t>233794 - 903878</t>
  </si>
  <si>
    <t>903882 - 233805</t>
  </si>
  <si>
    <t>1508 - 233827</t>
  </si>
  <si>
    <t>Érigone périscope</t>
  </si>
  <si>
    <t>233829 - 1509 - 233849 - 903895</t>
  </si>
  <si>
    <t>903901 - 1511 - 233833</t>
  </si>
  <si>
    <t>233837 - 903905</t>
  </si>
  <si>
    <t>903912 - 233841</t>
  </si>
  <si>
    <t>233846 - 903917 - 1516</t>
  </si>
  <si>
    <t>1761 - 233856</t>
  </si>
  <si>
    <t>902551 - 1783 - 233864</t>
  </si>
  <si>
    <t>1910 - 402428 - 233876</t>
  </si>
  <si>
    <t>Lycose tarentuline</t>
  </si>
  <si>
    <t>902656 - 402430 - 233879</t>
  </si>
  <si>
    <t>398812 - 944512 - 23389</t>
  </si>
  <si>
    <t>944513 - 398813 - 23391</t>
  </si>
  <si>
    <t>398950 - 944534 - 398952 - 398951 - 23393 - 398953</t>
  </si>
  <si>
    <t>304203 - 902728 - 233943</t>
  </si>
  <si>
    <t>902784 - 233969 - 944 - 1000147</t>
  </si>
  <si>
    <t>1000145 - 902789 - 233970 - 2062</t>
  </si>
  <si>
    <t>902805 - 233978 - 402443 - 2082</t>
  </si>
  <si>
    <t>902822 - 233993 - 2055</t>
  </si>
  <si>
    <t>Saltique entouré</t>
  </si>
  <si>
    <t>902826 - 457403 - 402444 - 1000149 - 233995</t>
  </si>
  <si>
    <t>402448 - 233999</t>
  </si>
  <si>
    <t>399060 - 944612 - 23400 - 399059</t>
  </si>
  <si>
    <t>402453 - 234006 - 902836 - 1006683 - 402454 - 2105</t>
  </si>
  <si>
    <t>234009 - 902849 - 2045</t>
  </si>
  <si>
    <t>902864 - 2014 - 234020</t>
  </si>
  <si>
    <t>234008 - 234021 - 234022 - 1006684 - 234024 - 902865</t>
  </si>
  <si>
    <t>902868 - 234026 - 521503 - 2083</t>
  </si>
  <si>
    <t>402459 - 902869 - 402458 - 717032 - 234027</t>
  </si>
  <si>
    <t>23401 - 399066 - 399067 - 23403</t>
  </si>
  <si>
    <t>234030 - 902876</t>
  </si>
  <si>
    <t>234039 - 2099 - 902889</t>
  </si>
  <si>
    <t>903046 - 234053</t>
  </si>
  <si>
    <t>234065 - 252070 - 903930 - 1544</t>
  </si>
  <si>
    <t>234066 - 903931 - 1543</t>
  </si>
  <si>
    <t>Méta d'automne</t>
  </si>
  <si>
    <t>234067 - 1527</t>
  </si>
  <si>
    <t>457284 - 234103 - 903966 - 1304</t>
  </si>
  <si>
    <t>1281 - 1000985 - 903967 - 234105</t>
  </si>
  <si>
    <t>Théridion à deux tâches</t>
  </si>
  <si>
    <t>234111 - 1288</t>
  </si>
  <si>
    <t>234117 - 719469</t>
  </si>
  <si>
    <t>234125 - 1314 - 837804</t>
  </si>
  <si>
    <t>904011 - 234144</t>
  </si>
  <si>
    <t>234152 - 1617 - 903079</t>
  </si>
  <si>
    <t>Ozyptile sablée</t>
  </si>
  <si>
    <t>903080 - 234155 - 1624</t>
  </si>
  <si>
    <t>903084 - 1623 - 234161</t>
  </si>
  <si>
    <t>903088 - 1620 - 234165</t>
  </si>
  <si>
    <t>903089 - 1622 - 234166</t>
  </si>
  <si>
    <t>1638 - 234169 - 903093</t>
  </si>
  <si>
    <t>Thomise Napoléon</t>
  </si>
  <si>
    <t>1071 - 457358 - 234186 - 903111 - 1000150</t>
  </si>
  <si>
    <t>1061 - 234211 - 903128</t>
  </si>
  <si>
    <t>Zoropse à pattes épineuses</t>
  </si>
  <si>
    <t>399096 - 399095 - 23429 - 944620</t>
  </si>
  <si>
    <t>23432 - 944621</t>
  </si>
  <si>
    <t>402586 - 402587 - 402588 - 402589 - 234440</t>
  </si>
  <si>
    <t>402610 - 402611 - 402608 - 234445 - 402609</t>
  </si>
  <si>
    <t>402641 - 402640 - 402652 - 402669 - 402660 - 402645 - 402661 - 402638 - 402651 - 402643 - 402667 - 402658 - 402672 - 402670 - 402655 - 402662 - 402653 - 402650 - 402646 - 823621 - 402656 - 402668 - 402665 - 402666 - 402647 - 402664 - 402663 - 402649 - 402648 - 402639 - 402671 - 402654 - 402657 - 402644 - 402642 - 402637 - 234449 - 951521</t>
  </si>
  <si>
    <t>252082 - 252083 - 402704 - 402705 - 402706 - 402703 - 234454</t>
  </si>
  <si>
    <t>402732 - 402737 - 402734 - 402726 - 402723 - 402729 - 402736 - 402738 - 402730 - 402731 - 402735 - 402740 - 402727 - 402725 - 402722 - 402721 - 402720 - 402718 - 402724 - 402728 - 234458 - 402733 - 402719</t>
  </si>
  <si>
    <t>234459 - 402741 - 402743 - 402744 - 402742</t>
  </si>
  <si>
    <t>234472 - 402814 - 402804 - 402808 - 402806 - 402805 - 402813 - 402807 - 402816 - 402815 - 402812 - 402811 - 402809 - 402810</t>
  </si>
  <si>
    <t>402825 - 402828 - 402824 - 402827 - 402826 - 234477</t>
  </si>
  <si>
    <t>402835 - 402831 - 402832 - 402833 - 234478 - 402829 - 402836 - 402830 - 402834</t>
  </si>
  <si>
    <t>402869 - 402873 - 581702 - 402878 - 402865 - 402879 - 402866 - 402872 - 402874 - 402870 - 402875 - 823312 - 402868 - 402877 - 234482 - 402863 - 888713 - 402881 - 402876 - 402864 - 402880 - 402867 - 402871</t>
  </si>
  <si>
    <t>Scutigère véloce</t>
  </si>
  <si>
    <t>894040 - 234577</t>
  </si>
  <si>
    <t>402901 - 402900 - 402903 - 790021 - 10383 - 402902 - 234580</t>
  </si>
  <si>
    <t>Nécrophore noir, Nécrophore ensevelisseur</t>
  </si>
  <si>
    <t>402913 - 402918 - 402914 - 234581 - 402909 - 402916 - 402912 - 402908 - 402905 - 402906 - 402919 - 402911 - 402915 - 790019 - 402910 - 402917 - 402904 - 402907</t>
  </si>
  <si>
    <t>402923 - 402932 - 402921 - 234582 - 402937 - 402925 - 402931 - 402940 - 402936 - 402941 - 10384 - 402933 - 402930 - 402922 - 402929 - 402938 - 402939 - 402934 - 402926 - 402927 - 402924 - 402928 - 402935 - 402920</t>
  </si>
  <si>
    <t>402953 - 402948 - 402944 - 790023 - 402946 - 402954 - 402950 - 10385 - 851131 - 402949 - 402947 - 402945 - 402943 - 234585 - 402952 - 402951</t>
  </si>
  <si>
    <t>Nécrophore imité</t>
  </si>
  <si>
    <t>402961 - 402967 - 402963 - 402955 - 234586 - 402965 - 402958 - 402962 - 402964 - 402956 - 402966 - 10386 - 402957 - 402960 - 402959</t>
  </si>
  <si>
    <t>Nécrophore imitateur</t>
  </si>
  <si>
    <t>402977 - 402969 - 402968 - 402976 - 402971 - 402975 - 402980 - 402978 - 402970 - 402973 - 10387 - 402981 - 402974 - 402979 - 402972 - 234587</t>
  </si>
  <si>
    <t>402995 - 402999 - 402997 - 402996 - 10366 - 403002 - 799477 - 234588 - 403001 - 403000 - 402994 - 402998</t>
  </si>
  <si>
    <t>Thanatophile sinueux, Thanatophile mat</t>
  </si>
  <si>
    <t>721762 - 851151 - 721386 - 403061 - 234590 - 799473</t>
  </si>
  <si>
    <t>Silphe à corselet rouge, Silphe à corselet orange</t>
  </si>
  <si>
    <t>403072 - 799471 - 403071 - 10377 - 403070 - 403074 - 845259 - 403073 - 234591</t>
  </si>
  <si>
    <t>Silphe à quatre points</t>
  </si>
  <si>
    <t>403078 - 799468 - 234592 - 403075 - 403077 - 403082 - 403085 - 403080 - 403081 - 403076 - 844722 - 403083 - 403084 - 403079</t>
  </si>
  <si>
    <t>403091 - 844723 - 403087 - 403092 - 799470 - 234594 - 403094 - 403089 - 403093 - 403090 - 403088</t>
  </si>
  <si>
    <t>234597 - 802990 - 966142</t>
  </si>
  <si>
    <t>802991 - 887594 - 234599</t>
  </si>
  <si>
    <t>234603 - 403108 - 403109 - 798386 - 403110 - 403112 - 403111 - 403113</t>
  </si>
  <si>
    <t>802977 - 403114 - 234605</t>
  </si>
  <si>
    <t>Anthribe fiente d'oiseau</t>
  </si>
  <si>
    <t>234609 - 416804 - 886449 - 802974</t>
  </si>
  <si>
    <t>Anthribe longicorne</t>
  </si>
  <si>
    <t>719600 - 721473 - 403122 - 12905 - 721471 - 802972 - 403119 - 234610 - 403121 - 403120 - 721472</t>
  </si>
  <si>
    <t>Anthribe licheneux</t>
  </si>
  <si>
    <t>721491 - 234611 - 721492 - 403123 - 403124</t>
  </si>
  <si>
    <t>234612 - 403125 - 802975 - 403126</t>
  </si>
  <si>
    <t>845256 - 403129 - 802978 - 234618</t>
  </si>
  <si>
    <t>Anthribe bout d'écorce</t>
  </si>
  <si>
    <t>403136 - 403134 - 403135 - 234619 - 403133</t>
  </si>
  <si>
    <t>Antribe minime</t>
  </si>
  <si>
    <t>801968 - 234624</t>
  </si>
  <si>
    <t>801970 - 234627</t>
  </si>
  <si>
    <t>234630 - 801948 - 403171</t>
  </si>
  <si>
    <t>234634 - 403174</t>
  </si>
  <si>
    <t>403176 - 403175 - 801952 - 403177 - 801953 - 234641 - 234637 - 403178</t>
  </si>
  <si>
    <t>234651 - 718454</t>
  </si>
  <si>
    <t>234657 - 801967</t>
  </si>
  <si>
    <t>234661 - 801963 - 845383</t>
  </si>
  <si>
    <t>234663 - 801958</t>
  </si>
  <si>
    <t>403195 - 234673 - 403197 - 403194 - 403196 - 801480</t>
  </si>
  <si>
    <t>clairon courroucé</t>
  </si>
  <si>
    <t>801469 - 234675 - 403230</t>
  </si>
  <si>
    <t>Petit Clairon</t>
  </si>
  <si>
    <t>234678 - 403234 - 801472 - 403235 - 11863</t>
  </si>
  <si>
    <t>Clairon porte-croix</t>
  </si>
  <si>
    <t>403237 - 234679 - 403236 - 403238 - 801473</t>
  </si>
  <si>
    <t>234680 - 403241 - 801467 - 11859 - 981990 - 403242 - 403240</t>
  </si>
  <si>
    <t>801879 - 234694 - 797109 - 403274</t>
  </si>
  <si>
    <t>403307 - 403306 - 234704</t>
  </si>
  <si>
    <t>801744 - 403363 - 403365 - 403368 - 234733 - 403364 - 1003421</t>
  </si>
  <si>
    <t>403391 - 234748</t>
  </si>
  <si>
    <t>403400 - 234751 - 403397 - 403398 - 403401 - 403396 - 403394 - 403395 - 983254 - 892966 - 403399</t>
  </si>
  <si>
    <t>403412 - 403413 - 403414 - 234756</t>
  </si>
  <si>
    <t>403435 - 403504 - 403438 - 403437 - 403436 - 234763</t>
  </si>
  <si>
    <t>403502 - 403499 - 403501 - 403500 - 234786 - 306164 - 403503</t>
  </si>
  <si>
    <t>403507 - 403509 - 801731 - 403506 - 234787</t>
  </si>
  <si>
    <t>403519 - 234790 - 403515 - 403521 - 403518 - 403520 - 403516 - 403517 - 403514</t>
  </si>
  <si>
    <t>403525 - 403527 - 403526 - 234794</t>
  </si>
  <si>
    <t>801728 - 801727 - 234810 - 403558 - 234811 - 403559 - 403560</t>
  </si>
  <si>
    <t>403567 - 403568 - 234814 - 801742</t>
  </si>
  <si>
    <t>234817 - 801696</t>
  </si>
  <si>
    <t>234818 - 801697</t>
  </si>
  <si>
    <t>403588 - 710542 - 234827 - 403589 - 801790</t>
  </si>
  <si>
    <t>801789 - 234829</t>
  </si>
  <si>
    <t>Endomyche coeur-croisé</t>
  </si>
  <si>
    <t>801784 - 234834</t>
  </si>
  <si>
    <t>403598 - 11612 - 403597 - 403593 - 403596 - 403591 - 234836 - 403590 - 403592 - 403594 - 403595</t>
  </si>
  <si>
    <t>801761 - 234841</t>
  </si>
  <si>
    <t>403611 - 982378 - 234843 - 403609 - 801763 - 403610</t>
  </si>
  <si>
    <t>234844 - 403616 - 801764 - 403615 - 403613 - 403614 - 403617 - 403612</t>
  </si>
  <si>
    <t>403626 - 403627 - 403624 - 234847 - 801757 - 403623 - 403625 - 987868</t>
  </si>
  <si>
    <t>416817 - 801084 - 234851</t>
  </si>
  <si>
    <t>Eucnème Barnabé</t>
  </si>
  <si>
    <t>403635 - 234853 - 801071</t>
  </si>
  <si>
    <t>801068 - 234854 - 416814</t>
  </si>
  <si>
    <t>784600 - 403636 - 1012687 - 234855 - 416815</t>
  </si>
  <si>
    <t>801069 - 416816 - 234856</t>
  </si>
  <si>
    <t>416849 - 234857 - 719795</t>
  </si>
  <si>
    <t>234860 - 801072</t>
  </si>
  <si>
    <t>403639 - 234861 - 801073</t>
  </si>
  <si>
    <t>234862 - 801074</t>
  </si>
  <si>
    <t>403640 - 801075 - 234863</t>
  </si>
  <si>
    <t>801076 - 234864</t>
  </si>
  <si>
    <t>801081 - 234865 - 403641</t>
  </si>
  <si>
    <t>234875 - 799122 - 403771</t>
  </si>
  <si>
    <t>234876 - 403773 - 403772 - 799123</t>
  </si>
  <si>
    <t>234878 - 799125 - 403774</t>
  </si>
  <si>
    <t>403782 - 403781 - 403785 - 403780 - 403790 - 234880 - 403787 - 403788 - 403786 - 403779 - 403783 - 403784 - 403776 - 799115 - 403789 - 403778 - 403775 - 403777</t>
  </si>
  <si>
    <t>403794 - 234881 - 403796 - 403795 - 403792 - 403791 - 403797 - 799116 - 403793</t>
  </si>
  <si>
    <t>403799 - 799117 - 403798 - 234882</t>
  </si>
  <si>
    <t>234883 - 403800 - 799118 - 403801</t>
  </si>
  <si>
    <t>403808 - 796824 - 403806 - 403811 - 403807 - 403809 - 234885 - 403810 - 799119</t>
  </si>
  <si>
    <t>403817 - 403816 - 403818 - 799121 - 234887</t>
  </si>
  <si>
    <t>403820 - 403821 - 403819 - 234888 - 799113</t>
  </si>
  <si>
    <t>403825 - 403823 - 8964 - 8965 - 403828 - 403824 - 403826 - 799102 - 234889 - 403827 - 403822</t>
  </si>
  <si>
    <t>Hydrophile fauve</t>
  </si>
  <si>
    <t>403832 - 234890 - 403831 - 403830 - 799103 - 403829</t>
  </si>
  <si>
    <t>403838 - 403840 - 799129 - 234894 - 403839</t>
  </si>
  <si>
    <t>403855 - 799130 - 403851 - 403856 - 403852 - 403854 - 403857 - 234901 - 403853</t>
  </si>
  <si>
    <t>887307 - 234902</t>
  </si>
  <si>
    <t>403860 - 799131 - 403859 - 234904 - 403861 - 403858</t>
  </si>
  <si>
    <t>234905 - 403862 - 799132 - 403865 - 403864 - 403869 - 403863 - 403868 - 796826 - 403867 - 403866</t>
  </si>
  <si>
    <t>403878 - 799106 - 234908 - 403877</t>
  </si>
  <si>
    <t>403882 - 403881 - 234910 - 403879 - 886471 - 403880 - 799107</t>
  </si>
  <si>
    <t>799135 - 403901 - 234913 - 403902</t>
  </si>
  <si>
    <t>306413 - 234914 - 799104</t>
  </si>
  <si>
    <t>799126 - 403920 - 234923 - 403919 - 403922 - 403923 - 403921</t>
  </si>
  <si>
    <t>403924 - 799127 - 403926 - 403927 - 234924 - 403925</t>
  </si>
  <si>
    <t>820746 - 403945 - 234926 - 403944 - 403943</t>
  </si>
  <si>
    <t>403947 - 8975 - 403946 - 799162 - 403957 - 403948 - 403954 - 403952 - 403955 - 403953 - 403950 - 403951 - 403956 - 403949 - 234927</t>
  </si>
  <si>
    <t>Dermeste- tortue à tâche rouge</t>
  </si>
  <si>
    <t>403958 - 234928 - 799158</t>
  </si>
  <si>
    <t>234929 - 799159 - 403959</t>
  </si>
  <si>
    <t>403966 - 403973 - 403968 - 403974 - 403970 - 403963 - 403965 - 403964 - 234930 - 538422 - 403960 - 799160 - 403972 - 403975 - 403961 - 403969 - 403971 - 403967 - 403962</t>
  </si>
  <si>
    <t>403977 - 234932</t>
  </si>
  <si>
    <t>234934 - 403978</t>
  </si>
  <si>
    <t>403999 - 403998 - 404002 - 799146 - 404001 - 234937 - 404000</t>
  </si>
  <si>
    <t>799143 - 234938 - 404003</t>
  </si>
  <si>
    <t>234939 - 404009</t>
  </si>
  <si>
    <t>8985 - 404012 - 234940 - 404014 - 404021 - 404020 - 404011 - 404017 - 404022 - 404018 - 404013 - 404024 - 704707 - 404016 - 404023 - 404015 - 404019 - 404025 - 799151</t>
  </si>
  <si>
    <t>404029 - 404031 - 234941 - 404030 - 404034 - 404033 - 799149 - 404032</t>
  </si>
  <si>
    <t>404040 - 404035 - 234942 - 404037 - 799154 - 404039 - 404036 - 404038</t>
  </si>
  <si>
    <t>404051 - 234945 - 404048 - 404042 - 404046 - 404047 - 404043 - 404049 - 404050 - 799150 - 404045 - 404044</t>
  </si>
  <si>
    <t>234946 - 404055 - 404054 - 404052 - 799153</t>
  </si>
  <si>
    <t>234947 - 404059 - 404057 - 404058 - 799155 - 404056</t>
  </si>
  <si>
    <t>404061 - 404062 - 234948 - 799156</t>
  </si>
  <si>
    <t>404064 - 404066 - 234949 - 404065 - 404063 - 799157</t>
  </si>
  <si>
    <t>404071 - 799142 - 234950 - 404073 - 404068 - 404067 - 404070 - 795108 - 404069 - 404072</t>
  </si>
  <si>
    <t>234951 - 404074 - 894037</t>
  </si>
  <si>
    <t>404095 - 799098 - 234953</t>
  </si>
  <si>
    <t>404099 - 234954 - 404098 - 11039 - 404096 - 799099 - 404097</t>
  </si>
  <si>
    <t>404105 - 404107 - 404106 - 234958 - 306451</t>
  </si>
  <si>
    <t>797832 - 234959</t>
  </si>
  <si>
    <t>975035 - 404110 - 404109 - 404108 - 234961 - 404111</t>
  </si>
  <si>
    <t>234962 - 404112</t>
  </si>
  <si>
    <t>404125 - 799096 - 404117 - 404119 - 404121 - 404113 - 234963 - 404114 - 404118 - 404123 - 404122 - 404120 - 404124 - 404115 - 404116</t>
  </si>
  <si>
    <t>404130 - 234965 - 404128 - 404127 - 404129 - 404132 - 404131 - 404126</t>
  </si>
  <si>
    <t>Dermeste à côtes</t>
  </si>
  <si>
    <t>234966 - 404133</t>
  </si>
  <si>
    <t>234970 - 404154</t>
  </si>
  <si>
    <t>404158 - 234975 - 404157 - 404159</t>
  </si>
  <si>
    <t>404160 - 234976</t>
  </si>
  <si>
    <t>404166 - 404167 - 234977</t>
  </si>
  <si>
    <t>404177 - 404174 - 404171 - 404178 - 404172 - 404173 - 404176 - 234979 - 404175</t>
  </si>
  <si>
    <t>404193 - 404194 - 234982</t>
  </si>
  <si>
    <t>404197 - 234985 - 404200 - 404196 - 404198 - 404199</t>
  </si>
  <si>
    <t>886523 - 234986</t>
  </si>
  <si>
    <t>404210 - 234988</t>
  </si>
  <si>
    <t>234990 - 404212</t>
  </si>
  <si>
    <t>801699 - 234995</t>
  </si>
  <si>
    <t>234996 - 801700</t>
  </si>
  <si>
    <t>801701 - 234997 - 640207</t>
  </si>
  <si>
    <t>801707 - 235005</t>
  </si>
  <si>
    <t>801711 - 235007</t>
  </si>
  <si>
    <t>801712 - 11587 - 235008</t>
  </si>
  <si>
    <t>404237 - 404230 - 801932 - 404236 - 404233 - 404231 - 404232 - 404234 - 235016</t>
  </si>
  <si>
    <t>404246 - 235018 - 801931</t>
  </si>
  <si>
    <t>404255 - 801935 - 235020 - 404256</t>
  </si>
  <si>
    <t>235024 - 801929</t>
  </si>
  <si>
    <t>235028 - 699596 - 801930</t>
  </si>
  <si>
    <t>235029 - 801926 - 404282 - 404284 - 404283 - 404281</t>
  </si>
  <si>
    <t>404286 - 235030 - 801919 - 404285</t>
  </si>
  <si>
    <t>801925 - 404336 - 404335 - 404334 - 235045 - 404317 - 404337 - 235037 - 404338 - 404309</t>
  </si>
  <si>
    <t>Dermeste noir à longues antennes</t>
  </si>
  <si>
    <t>404322 - 404321 - 404329 - 235042 - 404324 - 235041 - 404326 - 404330 - 404323 - 801927 - 404325 - 404327 - 404328</t>
  </si>
  <si>
    <t>235048 - 404344 - 404343</t>
  </si>
  <si>
    <t>404357 - 404356 - 801920 - 404358 - 235056</t>
  </si>
  <si>
    <t>801895 - 404378 - 404370 - 235058 - 404375 - 404371 - 710550 - 404376 - 404373 - 979406 - 404374 - 979403 - 404372</t>
  </si>
  <si>
    <t>404384 - 404382 - 982118 - 801892 - 404381 - 235062 - 404385 - 844713 - 710552 - 404383</t>
  </si>
  <si>
    <t>404391 - 801914 - 404390 - 404389 - 235064 - 404388</t>
  </si>
  <si>
    <t>235066 - 404393 - 404392 - 806873</t>
  </si>
  <si>
    <t>801913 - 235067</t>
  </si>
  <si>
    <t>979501 - 801896 - 235073</t>
  </si>
  <si>
    <t>404405 - 801897 - 404398 - 404403 - 404399 - 404402 - 404404 - 235075 - 404401 - 404400</t>
  </si>
  <si>
    <t>404414 - 235084 - 404412 - 404413 - 801905</t>
  </si>
  <si>
    <t>235086 - 801907 - 404419 - 404418</t>
  </si>
  <si>
    <t>718464 - 404421 - 235088</t>
  </si>
  <si>
    <t>11642 - 404433 - 235089 - 404422 - 404423</t>
  </si>
  <si>
    <t>235090 - 801910</t>
  </si>
  <si>
    <t>235102 - 801252</t>
  </si>
  <si>
    <t>235105 - 801254</t>
  </si>
  <si>
    <t>Lyce rugueux</t>
  </si>
  <si>
    <t>404448 - 235106 - 801255 - 798256</t>
  </si>
  <si>
    <t>Lyce de Stendhal</t>
  </si>
  <si>
    <t>11537 - 404451 - 404449 - 235107 - 404450</t>
  </si>
  <si>
    <t>Omâle bellifontain</t>
  </si>
  <si>
    <t>235120 - 801578</t>
  </si>
  <si>
    <t>235128 - 801573</t>
  </si>
  <si>
    <t>235130 - 11734</t>
  </si>
  <si>
    <t>801561 - 8299 - 404460 - 235139</t>
  </si>
  <si>
    <t>801562 - 404461 - 235140</t>
  </si>
  <si>
    <t>235141 - 801560</t>
  </si>
  <si>
    <t>235144 - 801568 - 11724</t>
  </si>
  <si>
    <t>801566 - 235148</t>
  </si>
  <si>
    <t>404464 - 801540 - 235155</t>
  </si>
  <si>
    <t>801542 - 235157</t>
  </si>
  <si>
    <t>801549 - 235165</t>
  </si>
  <si>
    <t>801555 - 235174</t>
  </si>
  <si>
    <t>Cicindèle verte à corselet rouge</t>
  </si>
  <si>
    <t>235175 - 801556 - 975040</t>
  </si>
  <si>
    <t>235179 - 801559</t>
  </si>
  <si>
    <t>801587 - 235181</t>
  </si>
  <si>
    <t>235189 - 801669</t>
  </si>
  <si>
    <t>404468 - 235191 - 801670</t>
  </si>
  <si>
    <t>235192 - 801671</t>
  </si>
  <si>
    <t>404473 - 404474 - 801673 - 235194</t>
  </si>
  <si>
    <t>404475 - 404476 - 801676 - 235195</t>
  </si>
  <si>
    <t>235196 - 801677 - 404477</t>
  </si>
  <si>
    <t>404478 - 404481 - 235198 - 404480 - 801678 - 404479</t>
  </si>
  <si>
    <t>404482 - 979092 - 235200 - 404483 - 404484</t>
  </si>
  <si>
    <t>404486 - 801679 - 235201 - 404485</t>
  </si>
  <si>
    <t>404489 - 404490 - 235203 - 801680</t>
  </si>
  <si>
    <t>404499 - 404498 - 235205 - 404500 - 404497</t>
  </si>
  <si>
    <t>404510 - 404506 - 404509 - 404505 - 404504 - 404507 - 404508 - 235209</t>
  </si>
  <si>
    <t>235212 - 404512</t>
  </si>
  <si>
    <t>235215 - 893871</t>
  </si>
  <si>
    <t>845135 - 404519 - 404518 - 235217 - 802035 - 404520</t>
  </si>
  <si>
    <t>Mordelle facile</t>
  </si>
  <si>
    <t>235221 - 404524 - 404522 - 798297 - 802039 - 404523</t>
  </si>
  <si>
    <t>404534 - 404535 - 404536 - 235249 - 802031</t>
  </si>
  <si>
    <t>235255 - 404537 - 802033 - 404538</t>
  </si>
  <si>
    <t>404549 - 839223 - 404546 - 12078 - 235273 - 802028 - 404550 - 404545 - 404544 - 404548 - 404547</t>
  </si>
  <si>
    <t>Mordelle veloutée à pointe</t>
  </si>
  <si>
    <t>404552 - 235276 - 893862 - 404553</t>
  </si>
  <si>
    <t>404558 - 235280 - 404559</t>
  </si>
  <si>
    <t>404573 - 404572 - 404570 - 404571 - 235292 - 802021</t>
  </si>
  <si>
    <t>404608 - 235299 - 404613 - 404612 - 404611 - 404610 - 404607 - 799303 - 404609 - 404606</t>
  </si>
  <si>
    <t>799306 - 235301 - 404615 - 404616</t>
  </si>
  <si>
    <t>404682 - 404680 - 404681 - 799293 - 235316 - 404684 - 404683</t>
  </si>
  <si>
    <t>404693 - 404691 - 404692 - 797593 - 235319 - 404690 - 799297</t>
  </si>
  <si>
    <t>404776 - 404771 - 404774 - 404789 - 404788 - 404775 - 404782 - 404787 - 404777 - 404779 - 404780 - 404783 - 404781 - 235366 - 404786 - 404785 - 802006 - 404784 - 404778 - 404773 - 404772</t>
  </si>
  <si>
    <t>Coléoptère paradoxal</t>
  </si>
  <si>
    <t>404829 - 802003 - 979361 - 404831 - 404836 - 404832 - 404834 - 404833 - 235373 - 404828 - 404827 - 404830 - 404835 - 404837 - 404826</t>
  </si>
  <si>
    <t>405139 - 802294 - 235377 - 802293 - 405140</t>
  </si>
  <si>
    <t>405152 - 12100 - 235378 - 405151</t>
  </si>
  <si>
    <t>798306 - 235381</t>
  </si>
  <si>
    <t>802298 - 797419 - 405163 - 235382</t>
  </si>
  <si>
    <t>235383 - 307231 - 845311 - 307240 - 802299 - 307235 - 405164 - 405165 - 798307</t>
  </si>
  <si>
    <t>Anaspe à corselet jaune</t>
  </si>
  <si>
    <t>235384 - 405166</t>
  </si>
  <si>
    <t>802300 - 235385</t>
  </si>
  <si>
    <t>235386 - 405167</t>
  </si>
  <si>
    <t>307246 - 235387 - 798308 - 802301</t>
  </si>
  <si>
    <t>235390 - 405169</t>
  </si>
  <si>
    <t>235398 - 802303</t>
  </si>
  <si>
    <t>235403 - 802292</t>
  </si>
  <si>
    <t>799163 - 235406</t>
  </si>
  <si>
    <t>801086 - 235407</t>
  </si>
  <si>
    <t>405177 - 235411 - 718476 - 405178 - 405176</t>
  </si>
  <si>
    <t>235412 - 405181 - 405179 - 405180 - 405183 - 801089 - 405182</t>
  </si>
  <si>
    <t>Taupin à antenne en masse</t>
  </si>
  <si>
    <t>801090 - 235413 - 405185 - 405184</t>
  </si>
  <si>
    <t>235414 - 801091</t>
  </si>
  <si>
    <t>405188 - 801093 - 405189 - 235419</t>
  </si>
  <si>
    <t>235420 - 801094</t>
  </si>
  <si>
    <t>801463 - 235421</t>
  </si>
  <si>
    <t>Fausse-casside des champignons, Petit malus</t>
  </si>
  <si>
    <t>801459 - 235425</t>
  </si>
  <si>
    <t>Ostomate basilic</t>
  </si>
  <si>
    <t>841144 - 892856 - 235430</t>
  </si>
  <si>
    <t>944634 - 23544</t>
  </si>
  <si>
    <t>20182 - 951674 - 405191 - 937551 - 405193 - 405192 - 405196 - 235440 - 405197 - 405194 - 405195</t>
  </si>
  <si>
    <t>405199 - 949975 - 235444</t>
  </si>
  <si>
    <t>21391 - 405214 - 235455 - 949969 - 405213</t>
  </si>
  <si>
    <t>949962 - 21380 - 235461</t>
  </si>
  <si>
    <t>235491 - 823890 - 29078 - 405260</t>
  </si>
  <si>
    <t>235498 - 789736 - 405286 - 405287 - 405289 - 405288 - 29017</t>
  </si>
  <si>
    <t>823861 - 29018 - 235499</t>
  </si>
  <si>
    <t>398921 - 944642 - 398922 - 23550 - 398923</t>
  </si>
  <si>
    <t>823984 - 823983 - 405297 - 235502</t>
  </si>
  <si>
    <t>29037 - 235504 - 405304 - 405305 - 405306 - 824000</t>
  </si>
  <si>
    <t>398924 - 23551 - 944644</t>
  </si>
  <si>
    <t>405331 - 235514</t>
  </si>
  <si>
    <t>405337 - 405338 - 973201 - 235517 - 895623 - 405336</t>
  </si>
  <si>
    <t>844737 - 898715 - 235519 - 898714</t>
  </si>
  <si>
    <t>398925 - 944645 - 23553 - 398926</t>
  </si>
  <si>
    <t>897275 - 405360 - 405359 - 405361 - 405358 - 235544 - 405357 - 897276</t>
  </si>
  <si>
    <t>235545 - 405362</t>
  </si>
  <si>
    <t>897810 - 897807 - 235551</t>
  </si>
  <si>
    <t>405377 - 405376 - 235554</t>
  </si>
  <si>
    <t>405398 - 405396 - 405397 - 235574</t>
  </si>
  <si>
    <t>235577 - 405405 - 405406 - 895621 - 405404 - 405407 - 895622</t>
  </si>
  <si>
    <t>235579 - 895627 - 405410 - 895628 - 405409</t>
  </si>
  <si>
    <t>405413 - 235583</t>
  </si>
  <si>
    <t>Cicadelle américaine de la vigne</t>
  </si>
  <si>
    <t>235599 - 405423 - 898709 - 898708 - 405424</t>
  </si>
  <si>
    <t>405429 - 235603</t>
  </si>
  <si>
    <t>235616 - 405445 - 405444</t>
  </si>
  <si>
    <t>405447 - 898721 - 405448 - 898722 - 405449 - 235618</t>
  </si>
  <si>
    <t>898724 - 405483 - 405484 - 235640 - 898723</t>
  </si>
  <si>
    <t>405487 - 405486 - 895593 - 235642 - 405488 - 405485</t>
  </si>
  <si>
    <t>405490 - 235644</t>
  </si>
  <si>
    <t>235647 - 405493 - 898720 - 405492 - 898719</t>
  </si>
  <si>
    <t>235664 - 897950 - 897951</t>
  </si>
  <si>
    <t>978738 - 978737 - 978736 - 235667 - 405505 - 978739</t>
  </si>
  <si>
    <t>897953 - 235669 - 405506 - 405507 - 897952</t>
  </si>
  <si>
    <t>405527 - 235686 - 897717 - 405528 - 405529</t>
  </si>
  <si>
    <t>405535 - 405536 - 405538 - 405534 - 235689 - 405537</t>
  </si>
  <si>
    <t>405554 - 235710 - 897698 - 897700 - 897699 - 405555</t>
  </si>
  <si>
    <t>405559 - 405558 - 235712</t>
  </si>
  <si>
    <t>897707 - 235727 - 897705 - 405566</t>
  </si>
  <si>
    <t>405579 - 405580 - 405578 - 235740 - 405577</t>
  </si>
  <si>
    <t>405605 - 897724 - 405606 - 405607 - 235765 - 897726</t>
  </si>
  <si>
    <t>405614 - 897728 - 405615 - 235774 - 405613 - 897730</t>
  </si>
  <si>
    <t>235777 - 405619</t>
  </si>
  <si>
    <t>898798 - 405627 - 235809 - 898799</t>
  </si>
  <si>
    <t>399000 - 398998 - 398999 - 23581 - 944662</t>
  </si>
  <si>
    <t>405632 - 405631 - 235819</t>
  </si>
  <si>
    <t>405634 - 235829 - 405635 - 898795 - 405636 - 898796 - 405637</t>
  </si>
  <si>
    <t>405644 - 405643 - 235835</t>
  </si>
  <si>
    <t>405672 - 235853</t>
  </si>
  <si>
    <t>235856 - 898731</t>
  </si>
  <si>
    <t>405675 - 405674 - 235858 - 898742 - 405673</t>
  </si>
  <si>
    <t>898739 - 898740 - 235862 - 898741</t>
  </si>
  <si>
    <t>845122 - 898729 - 405683 - 235863</t>
  </si>
  <si>
    <t>405687 - 235869</t>
  </si>
  <si>
    <t>235870 - 1010709</t>
  </si>
  <si>
    <t>897778 - 235872 - 897780</t>
  </si>
  <si>
    <t>235881 - 897773 - 897775</t>
  </si>
  <si>
    <t>848918 - 405696 - 235882 - 405693 - 405695 - 405694</t>
  </si>
  <si>
    <t>405699 - 235890</t>
  </si>
  <si>
    <t>405702 - 235895 - 405701</t>
  </si>
  <si>
    <t>897784 - 235899 - 405705 - 405704</t>
  </si>
  <si>
    <t>944668 - 23590</t>
  </si>
  <si>
    <t>405707 - 405708 - 235907</t>
  </si>
  <si>
    <t>897264 - 405720 - 405721 - 235914 - 897269 - 897265</t>
  </si>
  <si>
    <t>405728 - 235925</t>
  </si>
  <si>
    <t>405730 - 405731 - 820895 - 848920 - 405729 - 235927</t>
  </si>
  <si>
    <t>235936 - 405733</t>
  </si>
  <si>
    <t>405738 - 405737 - 235938</t>
  </si>
  <si>
    <t>235943 - 895380 - 820893 - 895388 - 895379</t>
  </si>
  <si>
    <t>235951 - 978766 - 405751</t>
  </si>
  <si>
    <t>235957 - 897771</t>
  </si>
  <si>
    <t>898461 - 898462 - 898448 - 898463 - 1003042 - 898449 - 898460 - 235958 - 898450</t>
  </si>
  <si>
    <t>235959 - 898220 - 405758 - 898222</t>
  </si>
  <si>
    <t>405764 - 235962 - 405763 - 405765 - 405762</t>
  </si>
  <si>
    <t>405767 - 967281 - 405766 - 967276 - 405768 - 235963</t>
  </si>
  <si>
    <t>405798 - 897939 - 405802 - 405800 - 405801 - 235976 - 405799 - 405803 - 897940</t>
  </si>
  <si>
    <t>405805 - 405804 - 897932 - 235977</t>
  </si>
  <si>
    <t>405807 - 405810 - 235983 - 405808 - 405809</t>
  </si>
  <si>
    <t>Cicadelle</t>
  </si>
  <si>
    <t>897945 - 235984 - 405811</t>
  </si>
  <si>
    <t>405813 - 235985 - 405812 - 897930</t>
  </si>
  <si>
    <t>897933 - 405815 - 235988</t>
  </si>
  <si>
    <t>405817 - 235990</t>
  </si>
  <si>
    <t>405821 - 844849 - 895437 - 236001</t>
  </si>
  <si>
    <t>Cigale à veines blanches</t>
  </si>
  <si>
    <t>895407 - 405822 - 405823 - 236003</t>
  </si>
  <si>
    <t>897241 - 236008 - 897240</t>
  </si>
  <si>
    <t>898443 - 236015 - 898442 - 405834</t>
  </si>
  <si>
    <t>236024 - 405840</t>
  </si>
  <si>
    <t>405843 - 405852 - 236034 - 405848 - 405845 - 405849 - 822212 - 405850 - 405851 - 405846 - 405847 - 405844 - 405854 - 405853</t>
  </si>
  <si>
    <t>405855 - 822254 - 405856 - 236035</t>
  </si>
  <si>
    <t>986653 - 986652 - 405857 - 236036</t>
  </si>
  <si>
    <t>236037 - 822255</t>
  </si>
  <si>
    <t>925360 - 236038 - 822257</t>
  </si>
  <si>
    <t>822259 - 236039</t>
  </si>
  <si>
    <t>236041 - 405859</t>
  </si>
  <si>
    <t>236042 - 405860 - 475 - 405861 - 822223 - 483</t>
  </si>
  <si>
    <t>822227 - 236043</t>
  </si>
  <si>
    <t>472 - 236044 - 822229</t>
  </si>
  <si>
    <t>236045 - 822234</t>
  </si>
  <si>
    <t>236046 - 986662</t>
  </si>
  <si>
    <t>471 - 236047 - 933171 - 822235</t>
  </si>
  <si>
    <t>822242 - 236048</t>
  </si>
  <si>
    <t>236049 - 925887 - 822247</t>
  </si>
  <si>
    <t>721005 - 236051</t>
  </si>
  <si>
    <t>405865 - 405864 - 236055</t>
  </si>
  <si>
    <t>838908 - 236066 - 979986</t>
  </si>
  <si>
    <t>236073 - 995754</t>
  </si>
  <si>
    <t>236074 - 52970</t>
  </si>
  <si>
    <t>52971 - 935811 - 236076</t>
  </si>
  <si>
    <t>850061 - 236089</t>
  </si>
  <si>
    <t>236108 - 845213</t>
  </si>
  <si>
    <t>236123 - 52991</t>
  </si>
  <si>
    <t>52996 - 236126</t>
  </si>
  <si>
    <t>236128 - 52334</t>
  </si>
  <si>
    <t>1000363 - 236160</t>
  </si>
  <si>
    <t>52999 - 236162</t>
  </si>
  <si>
    <t>236181 - 971678</t>
  </si>
  <si>
    <t>52906 - 236184</t>
  </si>
  <si>
    <t>236185 - 52347</t>
  </si>
  <si>
    <t>52920 - 236186</t>
  </si>
  <si>
    <t>850062 - 236188</t>
  </si>
  <si>
    <t>236204 - 52946</t>
  </si>
  <si>
    <t>850063 - 236207</t>
  </si>
  <si>
    <t>52949 - 236212</t>
  </si>
  <si>
    <t>236214 - 850115</t>
  </si>
  <si>
    <t>53034 - 236225</t>
  </si>
  <si>
    <t>236237 - 53035 - 850133</t>
  </si>
  <si>
    <t>236249 - 998649</t>
  </si>
  <si>
    <t>252190 - 997636 - 236262</t>
  </si>
  <si>
    <t>236269 - 1006694 - 1006696</t>
  </si>
  <si>
    <t>236296 - 53068</t>
  </si>
  <si>
    <t>997434 - 236299</t>
  </si>
  <si>
    <t>52967 - 236301</t>
  </si>
  <si>
    <t>236303 - 995323</t>
  </si>
  <si>
    <t>236304 - 1003412</t>
  </si>
  <si>
    <t>936698 - 236319</t>
  </si>
  <si>
    <t>967559 - 405866 - 967562 - 967560 - 967561 - 236323</t>
  </si>
  <si>
    <t>997389 - 236324 - 790184</t>
  </si>
  <si>
    <t>52355 - 236327 - 790185</t>
  </si>
  <si>
    <t>236330 - 790182</t>
  </si>
  <si>
    <t>936700 - 236331 - 790181</t>
  </si>
  <si>
    <t>936705 - 790183 - 236336</t>
  </si>
  <si>
    <t>936696 - 790174 - 236341</t>
  </si>
  <si>
    <t>236344 - 790175</t>
  </si>
  <si>
    <t>52982 - 999569 - 236349 - 850277</t>
  </si>
  <si>
    <t>405937 - 405938 - 405936 - 236407</t>
  </si>
  <si>
    <t>236411 - 849789 - 52673 - 1013473 - 405946</t>
  </si>
  <si>
    <t>Cynips du rosier</t>
  </si>
  <si>
    <t>934566 - 23642</t>
  </si>
  <si>
    <t>405990 - 405998 - 236429 - 405989 - 405996 - 405999 - 406001 - 406000 - 405991 - 52687 - 405995 - 405997 - 406005 - 405994 - 52689 - 406004 - 405993 - 849796 - 406003 - 820928 - 406002 - 405992</t>
  </si>
  <si>
    <t>Galle lenticulaire du chêne</t>
  </si>
  <si>
    <t>406015 - 406014 - 236437</t>
  </si>
  <si>
    <t>406025 - 406024 - 406022 - 406021 - 406026 - 406023 - 406020 - 236439</t>
  </si>
  <si>
    <t>236443 - 911399 - 406035 - 406037 - 406039 - 406040 - 406036 - 406041 - 406038 - 406034</t>
  </si>
  <si>
    <t>Galle du chêne</t>
  </si>
  <si>
    <t>406121 - 406120 - 911280 - 406119 - 236477</t>
  </si>
  <si>
    <t>406155 - 406151 - 236487 - 406152 - 911267 - 406154 - 406153</t>
  </si>
  <si>
    <t>406201 - 406199 - 925922 - 236520 - 406200 - 406203</t>
  </si>
  <si>
    <t>406216 - 406215 - 236531 - 406214</t>
  </si>
  <si>
    <t>236533 - 406218 - 406217</t>
  </si>
  <si>
    <t>236534 - 406225 - 406220 - 406224 - 406223 - 406219 - 406222 - 406221</t>
  </si>
  <si>
    <t>236537 - 406237 - 406239 - 406238 - 406241 - 406240 - 406242</t>
  </si>
  <si>
    <t>406262 - 236542 - 406263 - 406265 - 406257 - 406260 - 406264 - 406258 - 406261 - 406259</t>
  </si>
  <si>
    <t>236543 - 406268 - 406267 - 406266</t>
  </si>
  <si>
    <t>236545 - 406275 - 406277 - 406276</t>
  </si>
  <si>
    <t>406281 - 406280 - 236546</t>
  </si>
  <si>
    <t>236550 - 406285 - 406286</t>
  </si>
  <si>
    <t>236554 - 406301 - 406302 - 406298 - 406300 - 716417 - 406303 - 406299</t>
  </si>
  <si>
    <t>406321 - 406323 - 406325 - 406327 - 406322 - 236562 - 406324 - 406318 - 406326 - 406320 - 406319 - 406317</t>
  </si>
  <si>
    <t>406338 - 236566</t>
  </si>
  <si>
    <t>406340 - 236568</t>
  </si>
  <si>
    <t>406343 - 995331 - 406344 - 236570 - 406345 - 406342</t>
  </si>
  <si>
    <t>406347 - 406349 - 406352 - 406350 - 406351 - 406348 - 236573</t>
  </si>
  <si>
    <t>236583 - 406393 - 406392 - 406391</t>
  </si>
  <si>
    <t>52847 - 406398 - 406397 - 406395 - 406394 - 236584 - 995330 - 406396</t>
  </si>
  <si>
    <t>406405 - 236586</t>
  </si>
  <si>
    <t>406406 - 236587 - 406415 - 406424 - 406408 - 406422 - 406409 - 406411 - 406416 - 406417 - 406425 - 406412 - 406418 - 406423 - 406419 - 406407 - 52846</t>
  </si>
  <si>
    <t>406434 - 406426 - 820944 - 406432 - 406436 - 236588 - 406429 - 406430 - 406428 - 406431 - 849876 - 406427 - 406435</t>
  </si>
  <si>
    <t>406453 - 406450 - 406452 - 406451 - 406449 - 406455 - 236591 - 406454 - 933786 - 406448</t>
  </si>
  <si>
    <t>52854 - 236592 - 406456 - 406457 - 406458</t>
  </si>
  <si>
    <t>406463 - 406467 - 406464 - 406466 - 406465 - 236596</t>
  </si>
  <si>
    <t>406468 - 236597 - 406470 - 406469</t>
  </si>
  <si>
    <t>406490 - 236606 - 406487 - 406488 - 406489 - 406486</t>
  </si>
  <si>
    <t>52858 - 236620</t>
  </si>
  <si>
    <t>236624 - 406502</t>
  </si>
  <si>
    <t>406506 - 406507 - 406505 - 406504 - 236629 - 406508 - 52865</t>
  </si>
  <si>
    <t>236631 - 406510 - 406509</t>
  </si>
  <si>
    <t>236632 - 52864</t>
  </si>
  <si>
    <t>23663 - 945459 - 945458 - 945462 - 945457 - 945461 - 23664 - 945454</t>
  </si>
  <si>
    <t>406529 - 406530 - 406534 - 236645 - 406535 - 406531 - 406532 - 406533 - 406528</t>
  </si>
  <si>
    <t>406542 - 406550 - 236648 - 406553 - 406552 - 406547 - 406555 - 406549 - 406554 - 406544 - 406546 - 406545 - 406551 - 406548 - 406543</t>
  </si>
  <si>
    <t>406577 - 236652 - 406569 - 406580 - 997385 - 406574 - 406570 - 406571 - 406575 - 406578 - 406576 - 406579 - 406572</t>
  </si>
  <si>
    <t>406583 - 406581 - 406582 - 236653</t>
  </si>
  <si>
    <t>406589 - 406594 - 406590 - 406595 - 406591 - 406592 - 236656</t>
  </si>
  <si>
    <t>23666 - 850472</t>
  </si>
  <si>
    <t>898997 - 236660</t>
  </si>
  <si>
    <t>23667 - 850434</t>
  </si>
  <si>
    <t>913334 - 23672</t>
  </si>
  <si>
    <t>913344 - 23673</t>
  </si>
  <si>
    <t>23674 - 24541 - 913345 - 23115</t>
  </si>
  <si>
    <t>850468 - 23675</t>
  </si>
  <si>
    <t>850432 - 23678</t>
  </si>
  <si>
    <t>960506 - 23683 - 850421 - 952200</t>
  </si>
  <si>
    <t>932598 - 23686</t>
  </si>
  <si>
    <t>1011007 - 932599 - 23687</t>
  </si>
  <si>
    <t>838527 - 23689 - 913359</t>
  </si>
  <si>
    <t>913303 - 23690</t>
  </si>
  <si>
    <t>914807 - 23692</t>
  </si>
  <si>
    <t>945714 - 23697 - 945717 - 945705 - 945719 - 23696 - 945712 - 945709 - 945708 - 945706 - 727392 - 945716 - 945711 - 945700</t>
  </si>
  <si>
    <t>406691 - 237039</t>
  </si>
  <si>
    <t>945768 - 945771 - 945775 - 945773 - 23708 - 945777 - 921008 - 945770 - 23705 - 945772 - 850428 - 945776 - 945774 - 945769</t>
  </si>
  <si>
    <t>Ligie des hypnes (La)</t>
  </si>
  <si>
    <t>Cloporte commun (Le)</t>
  </si>
  <si>
    <t>237061 - 406693</t>
  </si>
  <si>
    <t>Philoscie des mousses (La)</t>
  </si>
  <si>
    <t>913337 - 945764 - 217454 - 23707</t>
  </si>
  <si>
    <t>23711 - 850427</t>
  </si>
  <si>
    <t>23712 - 932608 - 931061</t>
  </si>
  <si>
    <t>237130 - 553704</t>
  </si>
  <si>
    <t>237216 - 237171</t>
  </si>
  <si>
    <t>237200 - 237211 - 237213 - 622794</t>
  </si>
  <si>
    <t>23722 - 389438</t>
  </si>
  <si>
    <t>20275 - 949393 - 932435 - 949396 - 949395 - 949397 - 949392 - 237227 - 949394</t>
  </si>
  <si>
    <t>237275 - 823370</t>
  </si>
  <si>
    <t>823395 - 897508 - 897298 - 897506 - 237278</t>
  </si>
  <si>
    <t>897326 - 237279 - 823394</t>
  </si>
  <si>
    <t>897522 - 237280 - 823402</t>
  </si>
  <si>
    <t>237281 - 823408</t>
  </si>
  <si>
    <t>237283 - 823407 - 820854 - 823406 - 823404 - 897207</t>
  </si>
  <si>
    <t>823388 - 897208 - 237284 - 897297</t>
  </si>
  <si>
    <t>823391 - 237285</t>
  </si>
  <si>
    <t>237286 - 823396</t>
  </si>
  <si>
    <t>823393 - 897214 - 237287 - 897324 - 897213</t>
  </si>
  <si>
    <t>823757 - 237289</t>
  </si>
  <si>
    <t>897496 - 897498 - 823756 - 237290</t>
  </si>
  <si>
    <t>1010966 - 237292 - 823382</t>
  </si>
  <si>
    <t>237294 - 823376</t>
  </si>
  <si>
    <t>237295 - 823377</t>
  </si>
  <si>
    <t>824402 - 1003072 - 823375 - 237296 - 824401 - 1003069</t>
  </si>
  <si>
    <t>Micronecte bruyant</t>
  </si>
  <si>
    <t>237297 - 824447 - 824446</t>
  </si>
  <si>
    <t>823373 - 237300 - 824414 - 824403</t>
  </si>
  <si>
    <t>824405 - 237302</t>
  </si>
  <si>
    <t>237320 - 823718</t>
  </si>
  <si>
    <t>823711 - 237322</t>
  </si>
  <si>
    <t>237323 - 824032</t>
  </si>
  <si>
    <t>823714 - 237326 - 51752 - 820857 - 51753</t>
  </si>
  <si>
    <t>820856 - 237327</t>
  </si>
  <si>
    <t>Porteur d'eau palustre</t>
  </si>
  <si>
    <t>237331 - 1007775</t>
  </si>
  <si>
    <t>898576 - 237338 - 898575</t>
  </si>
  <si>
    <t>898566 - 237345</t>
  </si>
  <si>
    <t>237359 - 1001624</t>
  </si>
  <si>
    <t>237372 - 898280 - 848929</t>
  </si>
  <si>
    <t>237376 - 898744 - 1001096 - 898746</t>
  </si>
  <si>
    <t>406701 - 898290 - 237379 - 898289</t>
  </si>
  <si>
    <t>237380 - 898283 - 237378</t>
  </si>
  <si>
    <t>898293 - 898292 - 237384</t>
  </si>
  <si>
    <t>1001626 - 237386 - 1001609</t>
  </si>
  <si>
    <t>237405 - 937349 - 938576</t>
  </si>
  <si>
    <t>939662 - 23741</t>
  </si>
  <si>
    <t>237413 - 1017223</t>
  </si>
  <si>
    <t>Tigre du platane</t>
  </si>
  <si>
    <t>848924 - 237414 - 970294</t>
  </si>
  <si>
    <t>898285 - 237416 - 898281 - 898282 - 898284</t>
  </si>
  <si>
    <t>973215 - 237418</t>
  </si>
  <si>
    <t>23742 - 970888 - 939674</t>
  </si>
  <si>
    <t>898584 - 898583 - 237421</t>
  </si>
  <si>
    <t>1001089 - 899034 - 237430</t>
  </si>
  <si>
    <t>237439 - 1001116 - 1001117</t>
  </si>
  <si>
    <t>975912 - 51851 - 963978 - 898522 - 898521 - 898518 - 963977 - 898519 - 237506 - 898520</t>
  </si>
  <si>
    <t>895303 - 1012256 - 895302 - 895295 - 237508 - 895294</t>
  </si>
  <si>
    <t>237511 - 1011767</t>
  </si>
  <si>
    <t>898505 - 898507 - 898506 - 237515</t>
  </si>
  <si>
    <t>237517 - 898508</t>
  </si>
  <si>
    <t>237521 - 898479 - 898478 - 848966</t>
  </si>
  <si>
    <t>237523 - 237522</t>
  </si>
  <si>
    <t>237529 - 963983 - 963984</t>
  </si>
  <si>
    <t>237535 - 1001473 - 1001472</t>
  </si>
  <si>
    <t>898225 - 237568 - 1010727</t>
  </si>
  <si>
    <t>237567 - 990254 - 990252 - 237569</t>
  </si>
  <si>
    <t>963973 - 51852 - 237574</t>
  </si>
  <si>
    <t>237576 - 1001471 - 897826</t>
  </si>
  <si>
    <t>895290 - 895291 - 237585 - 895292</t>
  </si>
  <si>
    <t>1012259 - 237589</t>
  </si>
  <si>
    <t>1010737 - 237604</t>
  </si>
  <si>
    <t>237621 - 895441</t>
  </si>
  <si>
    <t>848934 - 237627</t>
  </si>
  <si>
    <t>237641 - 898002 - 898003 - 963974 - 963975</t>
  </si>
  <si>
    <t>898000 - 898001 - 973103 - 237644</t>
  </si>
  <si>
    <t>237648 - 972390</t>
  </si>
  <si>
    <t>973108 - 237653</t>
  </si>
  <si>
    <t>237685 - 898430</t>
  </si>
  <si>
    <t>237702 - 974977</t>
  </si>
  <si>
    <t>237703 - 898233 - 898232 - 898230</t>
  </si>
  <si>
    <t>975914 - 237706</t>
  </si>
  <si>
    <t>1001470 - 895239 - 895240 - 237713</t>
  </si>
  <si>
    <t>237714 - 897804 - 897803</t>
  </si>
  <si>
    <t>237715 - 895238</t>
  </si>
  <si>
    <t>1000789 - 888060 - 1000790 - 237720</t>
  </si>
  <si>
    <t>974661 - 885556 - 716376 - 237727 - 897245</t>
  </si>
  <si>
    <t>Miride strié du chêne</t>
  </si>
  <si>
    <t>898515 - 898514 - 237733 - 1001446</t>
  </si>
  <si>
    <t>237736 - 898431</t>
  </si>
  <si>
    <t>237737 - 885564</t>
  </si>
  <si>
    <t>895266 - 237738 - 895265</t>
  </si>
  <si>
    <t>898192 - 845146 - 237739 - 898191</t>
  </si>
  <si>
    <t>895268 - 895270 - 895267 - 237740</t>
  </si>
  <si>
    <t>237742 - 895272 - 898595 - 895274</t>
  </si>
  <si>
    <t>237756 - 848960</t>
  </si>
  <si>
    <t>973204 - 973191 - 973205 - 237757</t>
  </si>
  <si>
    <t>1001292 - 848947 - 898207 - 237777 - 898190</t>
  </si>
  <si>
    <t>237778 - 848945 - 898195 - 898200 - 898193 - 898199 - 898197 - 979060</t>
  </si>
  <si>
    <t>237779 - 657736 - 51818 - 638853</t>
  </si>
  <si>
    <t>895254 - 839029 - 895248 - 895250 - 895252 - 237781 - 895251</t>
  </si>
  <si>
    <t>848955 - 237782 - 51807 - 1001290</t>
  </si>
  <si>
    <t>237784 - 973109</t>
  </si>
  <si>
    <t>1001288 - 1001287 - 895217 - 237785 - 895213</t>
  </si>
  <si>
    <t>237788 - 895232 - 895231</t>
  </si>
  <si>
    <t>895234 - 237791 - 848946 - 820876 - 1006383</t>
  </si>
  <si>
    <t>820875 - 51821 - 1001029 - 237795</t>
  </si>
  <si>
    <t>Punaise verte des pousses</t>
  </si>
  <si>
    <t>820877 - 237797</t>
  </si>
  <si>
    <t>895225 - 237800 - 898061 - 938579 - 885563 - 895226 - 895227 - 976867 - 898060 - 895224 - 898041</t>
  </si>
  <si>
    <t>898826 - 898824 - 237801 - 898825</t>
  </si>
  <si>
    <t>963987 - 1007781 - 963988 - 237803 - 963990</t>
  </si>
  <si>
    <t>885562 - 237813 - 974654</t>
  </si>
  <si>
    <t>888055 - 885561 - 237814</t>
  </si>
  <si>
    <t>897243 - 51810 - 963985 - 821764 - 821763 - 979058 - 979057 - 237815</t>
  </si>
  <si>
    <t>Punaise de la pomme de terre</t>
  </si>
  <si>
    <t>237818 - 1001443 - 1001444</t>
  </si>
  <si>
    <t>898553 - 898556 - 898555 - 237820 - 848938 - 898554</t>
  </si>
  <si>
    <t>237822 - 898075 - 898076 - 938586</t>
  </si>
  <si>
    <t>848939 - 898080 - 237823</t>
  </si>
  <si>
    <t>1010683 - 898078 - 898079 - 237825</t>
  </si>
  <si>
    <t>897249 - 1007792 - 1007791 - 897248 - 237826</t>
  </si>
  <si>
    <t>237832 - 897242 - 885557</t>
  </si>
  <si>
    <t>51819 - 237834</t>
  </si>
  <si>
    <t>895243 - 237835</t>
  </si>
  <si>
    <t>895245 - 237836 - 895244</t>
  </si>
  <si>
    <t>897571 - 897570 - 898215 - 237838</t>
  </si>
  <si>
    <t>844696 - 974293 - 1010160 - 237840</t>
  </si>
  <si>
    <t>237842 - 974286</t>
  </si>
  <si>
    <t>938580 - 898961 - 237843</t>
  </si>
  <si>
    <t>1001291 - 976122 - 237844</t>
  </si>
  <si>
    <t>51559 - 237845</t>
  </si>
  <si>
    <t>899106 - 237850 - 51788 - 898274 - 899108</t>
  </si>
  <si>
    <t>938585 - 885558 - 237853 - 1001121 - 1001120</t>
  </si>
  <si>
    <t>898276 - 848953 - 51789 - 237854</t>
  </si>
  <si>
    <t>237855 - 983890</t>
  </si>
  <si>
    <t>1013683 - 1013684 - 237857</t>
  </si>
  <si>
    <t>237859 - 844990</t>
  </si>
  <si>
    <t>898236 - 938578 - 820874 - 973202 - 237860 - 848956</t>
  </si>
  <si>
    <t>237861 - 844978 - 973228 - 898238 - 973229</t>
  </si>
  <si>
    <t>Punaise verte à antennes droites</t>
  </si>
  <si>
    <t>237862 - 1001125 - 848954</t>
  </si>
  <si>
    <t>237863 - 51528</t>
  </si>
  <si>
    <t>1010741 - 1010742 - 237867 - 1010739</t>
  </si>
  <si>
    <t>237878 - 897256 - 897255</t>
  </si>
  <si>
    <t>237881 - 963976 - 848928</t>
  </si>
  <si>
    <t>237888 - 237884</t>
  </si>
  <si>
    <t>237887 - 845125</t>
  </si>
  <si>
    <t>970867 - 237904</t>
  </si>
  <si>
    <t>237910 - 999078 - 974665</t>
  </si>
  <si>
    <t>716382 - 237913</t>
  </si>
  <si>
    <t>237915 - 937352 - 820859 - 848957</t>
  </si>
  <si>
    <t>716383 - 898301 - 237925 - 898300</t>
  </si>
  <si>
    <t>Nabide-fourmi</t>
  </si>
  <si>
    <t>898298 - 820858 - 237926 - 898295 - 898299</t>
  </si>
  <si>
    <t>237930 - 970282</t>
  </si>
  <si>
    <t>1000725 - 237932</t>
  </si>
  <si>
    <t>898782 - 237937</t>
  </si>
  <si>
    <t>237938 - 897258</t>
  </si>
  <si>
    <t>898499 - 237946 - 898498</t>
  </si>
  <si>
    <t>898497 - 898496 - 237948 - 820872</t>
  </si>
  <si>
    <t>970311 - 895446 - 895445 - 237965</t>
  </si>
  <si>
    <t>1001023 - 898811 - 237966 - 898810</t>
  </si>
  <si>
    <t>Punaise des fleurs, Punaise des peupliers</t>
  </si>
  <si>
    <t>898765 - 1001113 - 237976 - 848935</t>
  </si>
  <si>
    <t>237977 - 1008651</t>
  </si>
  <si>
    <t>898768 - 898774 - 898773 - 898767 - 237980 - 974992 - 970636</t>
  </si>
  <si>
    <t>1008653 - 237985</t>
  </si>
  <si>
    <t>897820 - 848937 - 237989 - 887278</t>
  </si>
  <si>
    <t>974988 - 51761 - 897821 - 237991 - 897822</t>
  </si>
  <si>
    <t>Rèduve à pattes rouges</t>
  </si>
  <si>
    <t>237992 - 938577</t>
  </si>
  <si>
    <t>899002 - 237995 - 897292 - 897291</t>
  </si>
  <si>
    <t>238005 - 848936</t>
  </si>
  <si>
    <t>Réduve masqué</t>
  </si>
  <si>
    <t>964339 - 238009</t>
  </si>
  <si>
    <t>Punaise à pattes de crabe</t>
  </si>
  <si>
    <t>973183 - 238011 - 898500 - 898501</t>
  </si>
  <si>
    <t>937350 - 238013</t>
  </si>
  <si>
    <t>Rèduve pirate</t>
  </si>
  <si>
    <t>1010690 - 238021</t>
  </si>
  <si>
    <t>1001082 - 898776 - 238065</t>
  </si>
  <si>
    <t>1000750 - 1000749 - 238068</t>
  </si>
  <si>
    <t>51727 - 898579 - 238073</t>
  </si>
  <si>
    <t>238087 - 972718</t>
  </si>
  <si>
    <t>238089 - 1001085</t>
  </si>
  <si>
    <t>1001086 - 238090 - 1001087</t>
  </si>
  <si>
    <t>238091 - 848963</t>
  </si>
  <si>
    <t>999174 - 238094 - 999175 - 1008762</t>
  </si>
  <si>
    <t>937348 - 238101</t>
  </si>
  <si>
    <t>1008761 - 238102</t>
  </si>
  <si>
    <t>845254 - 238106</t>
  </si>
  <si>
    <t>1001079 - 238108 - 975788</t>
  </si>
  <si>
    <t>898547 - 898546 - 898548 - 238110</t>
  </si>
  <si>
    <t>938574 - 848951 - 238122</t>
  </si>
  <si>
    <t>Aphanus de Rolander</t>
  </si>
  <si>
    <t>976202 - 238129 - 970290</t>
  </si>
  <si>
    <t>1001078 - 898558 - 1000746 - 1000747 - 898557 - 970288 - 238130</t>
  </si>
  <si>
    <t>238131 - 976204</t>
  </si>
  <si>
    <t>976208 - 1010175 - 238132</t>
  </si>
  <si>
    <t>1000745 - 238133</t>
  </si>
  <si>
    <t>238136 - 937344 - 976206</t>
  </si>
  <si>
    <t>973214 - 898560 - 1010176 - 238138 - 898562 - 1001080</t>
  </si>
  <si>
    <t>51543 - 898509 - 898510 - 238146</t>
  </si>
  <si>
    <t>238147 - 937327</t>
  </si>
  <si>
    <t>238148 - 848961</t>
  </si>
  <si>
    <t>937331 - 238152</t>
  </si>
  <si>
    <t>238158 - 716371 - 937346 - 964393 - 1001084 - 970284 - 946382</t>
  </si>
  <si>
    <t>970286 - 238160</t>
  </si>
  <si>
    <t>238162 - 974998 - 937347 - 970287</t>
  </si>
  <si>
    <t>1000757 - 238163 - 895471 - 1000756 - 975233 - 895454 - 895455</t>
  </si>
  <si>
    <t>895477 - 895478 - 716367 - 238164</t>
  </si>
  <si>
    <t>895462 - 238173 - 972873</t>
  </si>
  <si>
    <t>1006382 - 974987 - 1006380 - 1006377 - 238177</t>
  </si>
  <si>
    <t>845022 - 238179 - 898603 - 898602</t>
  </si>
  <si>
    <t>Punaise brune ponctuée</t>
  </si>
  <si>
    <t>898605 - 238182 - 937364 - 937345 - 898604</t>
  </si>
  <si>
    <t>1008341 - 238188 - 1008340</t>
  </si>
  <si>
    <t>238192 - 972742</t>
  </si>
  <si>
    <t>51712 - 238196</t>
  </si>
  <si>
    <t>1010179 - 238201</t>
  </si>
  <si>
    <t>238220 - 845166</t>
  </si>
  <si>
    <t>Géocore à tête rouge</t>
  </si>
  <si>
    <t>1009150 - 238225</t>
  </si>
  <si>
    <t>238228 - 51699</t>
  </si>
  <si>
    <t>820869 - 1000736 - 238233 - 937342 - 1000735</t>
  </si>
  <si>
    <t>238234 - 937326</t>
  </si>
  <si>
    <t>238241 - 1002876</t>
  </si>
  <si>
    <t>1001067 - 1001070 - 238243</t>
  </si>
  <si>
    <t>933739 - 51688 - 238247 - 1003034 - 1003036</t>
  </si>
  <si>
    <t>Punaise de l’Asclépiade</t>
  </si>
  <si>
    <t>938573 - 1003035 - 238248 - 1003038 - 1008758</t>
  </si>
  <si>
    <t>51690 - 1008757 - 238249</t>
  </si>
  <si>
    <t>Punaise à damier</t>
  </si>
  <si>
    <t>898181 - 974994 - 820866 - 973190 - 898182 - 967169 - 238250 - 898180</t>
  </si>
  <si>
    <t>898186 - 898185 - 238256 - 51534 - 898184</t>
  </si>
  <si>
    <t>238258 - 820868</t>
  </si>
  <si>
    <t>1000721 - 238259</t>
  </si>
  <si>
    <t>1001088 - 898490 - 238266</t>
  </si>
  <si>
    <t>898491 - 898492 - 238267 - 1001090</t>
  </si>
  <si>
    <t>937320 - 238274 - 848965 - 938932</t>
  </si>
  <si>
    <t>238276 - 937322 - 897209 - 897210</t>
  </si>
  <si>
    <t>1001068 - 1000719 - 238286 - 937321</t>
  </si>
  <si>
    <t>238290 - 937314</t>
  </si>
  <si>
    <t>1010427 - 973189 - 898590 - 238291 - 898589 - 1010428</t>
  </si>
  <si>
    <t>238295 - 937318 - 897546 - 897547</t>
  </si>
  <si>
    <t>897540 - 1003043 - 848948 - 238296</t>
  </si>
  <si>
    <t>975063 - 238298</t>
  </si>
  <si>
    <t>897557 - 238300</t>
  </si>
  <si>
    <t>238301 - 1001066</t>
  </si>
  <si>
    <t>238304 - 937319</t>
  </si>
  <si>
    <t>238306 - 897538 - 976865 - 897534</t>
  </si>
  <si>
    <t>897555 - 938584 - 897556 - 238309</t>
  </si>
  <si>
    <t>848940 - 1001019 - 938571 - 238310 - 51663</t>
  </si>
  <si>
    <t>Corise de la jusquiame</t>
  </si>
  <si>
    <t>897559 - 238311 - 897558</t>
  </si>
  <si>
    <t>238316 - 848962</t>
  </si>
  <si>
    <t>898830 - 898829 - 238318 - 898831</t>
  </si>
  <si>
    <t>Alydide des genêts</t>
  </si>
  <si>
    <t>973213 - 898777 - 1006379 - 973212 - 974985 - 898779 - 898778 - 238320</t>
  </si>
  <si>
    <t>238326 - 897760 - 973182</t>
  </si>
  <si>
    <t>897816 - 897812 - 238329 - 897811</t>
  </si>
  <si>
    <t>Gonocère du buis</t>
  </si>
  <si>
    <t>Gonocère du genévrier</t>
  </si>
  <si>
    <t>1001061 - 974986 - 1001059 - 238338 - 1001060</t>
  </si>
  <si>
    <t>238340 - 1001063 - 1001064 - 1001056 - 938570</t>
  </si>
  <si>
    <t>837687 - 238350 - 938562 - 820883</t>
  </si>
  <si>
    <t>Punaise noire à quatre taches blanches</t>
  </si>
  <si>
    <t>238351 - 837688</t>
  </si>
  <si>
    <t>937338 - 238352 - 837689</t>
  </si>
  <si>
    <t>971620 - 898581 - 837686 - 238354 - 820885</t>
  </si>
  <si>
    <t>238358 - 837679 - 937299</t>
  </si>
  <si>
    <t>Punaise noire à bordure blanche</t>
  </si>
  <si>
    <t>937300 - 238359 - 837680</t>
  </si>
  <si>
    <t>837670 - 1011858 - 976864 - 238361</t>
  </si>
  <si>
    <t>837672 - 238363</t>
  </si>
  <si>
    <t>252352 - 238365 - 837675 - 837674 - 973199</t>
  </si>
  <si>
    <t>898582 - 238366 - 820884 - 946372 - 837665</t>
  </si>
  <si>
    <t>984344 - 51593 - 238367 - 51590 - 984343</t>
  </si>
  <si>
    <t>238368 - 837682 - 897562 - 844698</t>
  </si>
  <si>
    <t>1000752 - 837677 - 1000751 - 238372</t>
  </si>
  <si>
    <t>820889 - 897293 - 937296 - 238381 - 836351</t>
  </si>
  <si>
    <t>938926 - 820891 - 1000655 - 820890 - 971651 - 238382 - 837279</t>
  </si>
  <si>
    <t>Punaise cuirasse</t>
  </si>
  <si>
    <t>1000867 - 937310 - 837663 - 238383</t>
  </si>
  <si>
    <t>837662 - 1000871 - 937311 - 1000870 - 238385</t>
  </si>
  <si>
    <t>953539 - 238387</t>
  </si>
  <si>
    <t>836355 - 238391</t>
  </si>
  <si>
    <t>Punaise ponctuée</t>
  </si>
  <si>
    <t>897794 - 1006384 - 252358 - 252357 - 837691 - 938561 - 1000964 - 973185 - 238393 - 970420 - 1010240 - 1000669 - 1010242</t>
  </si>
  <si>
    <t>238397 - 252359 - 836354 - 1010169</t>
  </si>
  <si>
    <t>Punaise tortue brune</t>
  </si>
  <si>
    <t>938927 - 238398 - 51600 - 837267</t>
  </si>
  <si>
    <t>946373 - 238399 - 845141</t>
  </si>
  <si>
    <t>837273 - 938560 - 1010177 - 238404</t>
  </si>
  <si>
    <t>238423 - 837292</t>
  </si>
  <si>
    <t>837296 - 252362 - 238425 - 313007 - 973188</t>
  </si>
  <si>
    <t>837297 - 238426</t>
  </si>
  <si>
    <t>936156 - 898305 - 837298 - 238427 - 937301</t>
  </si>
  <si>
    <t>238434 - 837316</t>
  </si>
  <si>
    <t>1010429 - 1010430 - 238435 - 837320</t>
  </si>
  <si>
    <t>837319 - 238436</t>
  </si>
  <si>
    <t>845153 - 238439 - 1010170 - 785672</t>
  </si>
  <si>
    <t>938582 - 313021 - 238441 - 837314 - 252366 - 1000868 - 1002993 - 1000865</t>
  </si>
  <si>
    <t>820882 - 252367 - 837311 - 51638 - 51639 - 948211 - 1006381 - 238442</t>
  </si>
  <si>
    <t>837307 - 1002989 - 937307 - 238445 - 1000866 - 1010210</t>
  </si>
  <si>
    <t>837308 - 238447</t>
  </si>
  <si>
    <t>238451 - 1000755 - 837303</t>
  </si>
  <si>
    <t>897262 - 897261 - 252371 - 1000754 - 897259 - 897260 - 837304 - 238452</t>
  </si>
  <si>
    <t>837600 - 937303 - 970427 - 238457 - 1002875</t>
  </si>
  <si>
    <t>844839 - 238458 - 1002874 - 1002873 - 938563 - 837601</t>
  </si>
  <si>
    <t>845177 - 938566 - 1010401 - 837612 - 238460</t>
  </si>
  <si>
    <t>Punaise nébuleuse, Punaise grise</t>
  </si>
  <si>
    <t>238461 - 837610 - 1000762 - 1000759</t>
  </si>
  <si>
    <t>Punaise verte ponctuée, Punaise verte puante</t>
  </si>
  <si>
    <t>898578 - 238465 - 837617 - 252375 - 238464</t>
  </si>
  <si>
    <t>888046 - 238470</t>
  </si>
  <si>
    <t>238471 - 837618</t>
  </si>
  <si>
    <t>837616 - 252378 - 238477</t>
  </si>
  <si>
    <t>937306 - 238479 - 837621 - 820881 - 971654 - 971653 - 899091 - 970438 - 970436 - 51633 - 970437</t>
  </si>
  <si>
    <t>Punaise verte à raies &amp; rouges ou blanches</t>
  </si>
  <si>
    <t>937304 - 974999 - 820880 - 1010171 - 973209 - 837622 - 970442 - 1010173 - 973186 - 938568 - 238480 - 938930 - 898844 - 898843 - 973187 - 1010172</t>
  </si>
  <si>
    <t>837625 - 937305 - 252379 - 238484 - 1007772</t>
  </si>
  <si>
    <t>899090 - 899088 - 238485 - 899086 - 1003029 - 938567 - 899089 - 899087</t>
  </si>
  <si>
    <t>238489 - 837286 - 970435 - 820886 - 51655</t>
  </si>
  <si>
    <t>Punaise verte bleuâtre</t>
  </si>
  <si>
    <t>837290 - 238490 - 898513</t>
  </si>
  <si>
    <t>238491 - 837288</t>
  </si>
  <si>
    <t>837284 - 238492</t>
  </si>
  <si>
    <t>238494 - 837285</t>
  </si>
  <si>
    <t>984353 - 837283 - 984356 - 238495</t>
  </si>
  <si>
    <t>238498 - 52146</t>
  </si>
  <si>
    <t>Panorpe alpine</t>
  </si>
  <si>
    <t>893589 - 238955</t>
  </si>
  <si>
    <t>238957 - 802281 - 406802 - 406801</t>
  </si>
  <si>
    <t>238961 - 844697 - 802285</t>
  </si>
  <si>
    <t>406807 - 238962 - 406806 - 802286</t>
  </si>
  <si>
    <t>802273 - 12134 - 239003</t>
  </si>
  <si>
    <t>239004 - 802274 - 920651</t>
  </si>
  <si>
    <t>802237 - 239013</t>
  </si>
  <si>
    <t>23904 - 945431</t>
  </si>
  <si>
    <t>801871 - 11193 - 239048</t>
  </si>
  <si>
    <t>Coccinelle de la Bryone</t>
  </si>
  <si>
    <t>801869 - 239051</t>
  </si>
  <si>
    <t>895949 - 801873 - 239052</t>
  </si>
  <si>
    <t>Coccinelle à 24 points</t>
  </si>
  <si>
    <t>239054 - 801837</t>
  </si>
  <si>
    <t>239063 - 845193</t>
  </si>
  <si>
    <t>239064 - 886478</t>
  </si>
  <si>
    <t>801822 - 239065</t>
  </si>
  <si>
    <t>406840 - 239067</t>
  </si>
  <si>
    <t>239068 - 406841</t>
  </si>
  <si>
    <t>801827 - 239072 - 406843</t>
  </si>
  <si>
    <t>239077 - 801829</t>
  </si>
  <si>
    <t>239081 - 801808</t>
  </si>
  <si>
    <t>801812 - 239085</t>
  </si>
  <si>
    <t>403928 - 403930 - 403936 - 403931 - 403934 - 403929 - 403942 - 403933 - 403935 - 403938 - 403940 - 8974 - 239087 - 403941 - 403937 - 403932 - 403939</t>
  </si>
  <si>
    <t>Dermeste- tortue noire</t>
  </si>
  <si>
    <t>901534 - 801806 - 239097</t>
  </si>
  <si>
    <t>239098 - 801801</t>
  </si>
  <si>
    <t>239105 - 801802 - 239100</t>
  </si>
  <si>
    <t>801868 - 239110</t>
  </si>
  <si>
    <t>801867 - 895951 - 716257 - 239111 - 11190 - 11184 - 11196</t>
  </si>
  <si>
    <t>Coccinelle à damier, Coccinelle à 14 points, Coccinelle à sourire</t>
  </si>
  <si>
    <t>801864 - 239112 - 718450</t>
  </si>
  <si>
    <t>Coccinelle joker, Coccinelle rose</t>
  </si>
  <si>
    <t>801865 - 239114</t>
  </si>
  <si>
    <t>801866 - 239115 - 1013116</t>
  </si>
  <si>
    <t>886446 - 239116 - 801863 - 718469</t>
  </si>
  <si>
    <t>Coccinelle zébrée</t>
  </si>
  <si>
    <t>239117 - 801862</t>
  </si>
  <si>
    <t>Coccinelle des pins</t>
  </si>
  <si>
    <t>895955 - 801859 - 239120</t>
  </si>
  <si>
    <t>239122 - 11164</t>
  </si>
  <si>
    <t>406850 - 239126</t>
  </si>
  <si>
    <t>Coccinelle éclatante</t>
  </si>
  <si>
    <t>239128 - 801851</t>
  </si>
  <si>
    <t>239129 - 886484 - 801852</t>
  </si>
  <si>
    <t>801850 - 239130</t>
  </si>
  <si>
    <t>Coccinelle à 10 points blancs</t>
  </si>
  <si>
    <t>801849 - 239131</t>
  </si>
  <si>
    <t>11150 - 239132 - 801843</t>
  </si>
  <si>
    <t>Coccinelle à dix-neuf points</t>
  </si>
  <si>
    <t>801841 - 845220 - 239133</t>
  </si>
  <si>
    <t>Coccinelle à 22 points</t>
  </si>
  <si>
    <t>11188 - 895950 - 845257 - 239134</t>
  </si>
  <si>
    <t>Coccinelle à 16 points</t>
  </si>
  <si>
    <t>239137 - 794741 - 801793</t>
  </si>
  <si>
    <t>901817 - 239138 - 406854 - 707054 - 901792 - 801794 - 901793</t>
  </si>
  <si>
    <t>406869 - 239145 - 801662</t>
  </si>
  <si>
    <t>23915 - 976874 - 850429 - 844830</t>
  </si>
  <si>
    <t>Eristale gluante, Mouche pourceau</t>
  </si>
  <si>
    <t>23919 - 850425</t>
  </si>
  <si>
    <t>932729 - 885864 - 23920 - 913335</t>
  </si>
  <si>
    <t>407018 - 801665 - 407019 - 239216 - 407020 - 971056</t>
  </si>
  <si>
    <t>407023 - 239217 - 801605 - 407024 - 407021 - 407022</t>
  </si>
  <si>
    <t>801606 - 239219</t>
  </si>
  <si>
    <t>407026 - 239220</t>
  </si>
  <si>
    <t>407033 - 239224 - 407032 - 801609 - 407031</t>
  </si>
  <si>
    <t>801610 - 407034 - 239225</t>
  </si>
  <si>
    <t>239227 - 407035 - 801620</t>
  </si>
  <si>
    <t>239231 - 407040 - 407038 - 407041 - 407039</t>
  </si>
  <si>
    <t>239232 - 801622</t>
  </si>
  <si>
    <t>801621 - 239234</t>
  </si>
  <si>
    <t>239235 - 801612 - 407042</t>
  </si>
  <si>
    <t>705620 - 407043 - 902640 - 239236</t>
  </si>
  <si>
    <t>407045 - 801613 - 239237 - 407044</t>
  </si>
  <si>
    <t>801618 - 407057 - 407058 - 239242</t>
  </si>
  <si>
    <t>801619 - 239243 - 407059 - 407060</t>
  </si>
  <si>
    <t>239252 - 407072 - 407064 - 407074 - 801626 - 239247 - 407073 - 922533</t>
  </si>
  <si>
    <t>407067 - 239249</t>
  </si>
  <si>
    <t>239254 - 801625</t>
  </si>
  <si>
    <t>407079 - 239256 - 407078 - 801636</t>
  </si>
  <si>
    <t>407080 - 239257</t>
  </si>
  <si>
    <t>780127 - 407081 - 239258 - 801633</t>
  </si>
  <si>
    <t>Dermeste à quatre points rouges, sans stries</t>
  </si>
  <si>
    <t>239259 - 407082 - 801634</t>
  </si>
  <si>
    <t>407083 - 801632 - 239260 - 851142</t>
  </si>
  <si>
    <t>801635 - 239261</t>
  </si>
  <si>
    <t>239262 - 801630</t>
  </si>
  <si>
    <t>801631 - 407084 - 239263 - 407085</t>
  </si>
  <si>
    <t>898873 - 801651 - 407086 - 239264</t>
  </si>
  <si>
    <t>407087 - 820741 - 239266 - 801647</t>
  </si>
  <si>
    <t>797107 - 801639 - 239269</t>
  </si>
  <si>
    <t>801650 - 239272</t>
  </si>
  <si>
    <t>239273 - 801637</t>
  </si>
  <si>
    <t>407099 - 801648 - 851140 - 407100 - 407098 - 239274</t>
  </si>
  <si>
    <t>239276 - 801649</t>
  </si>
  <si>
    <t>407101 - 239277 - 801644</t>
  </si>
  <si>
    <t>239278 - 801645</t>
  </si>
  <si>
    <t>407102 - 801646 - 239279</t>
  </si>
  <si>
    <t>239283 - 407108 - 21324 - 935626</t>
  </si>
  <si>
    <t>239284 - 21325 - 914004</t>
  </si>
  <si>
    <t>816763 - 712727 - 407109 - 239285 - 712729</t>
  </si>
  <si>
    <t>996014 - 838971 - 239286 - 407110</t>
  </si>
  <si>
    <t>Amégille à joues blanches</t>
  </si>
  <si>
    <t>996805 - 239301</t>
  </si>
  <si>
    <t>239303 - 407112</t>
  </si>
  <si>
    <t>239308 - 996927</t>
  </si>
  <si>
    <t>24555 - 23931 - 839531</t>
  </si>
  <si>
    <t>996810 - 239313</t>
  </si>
  <si>
    <t>997621 - 997622 - 239314</t>
  </si>
  <si>
    <t>996811 - 998050 - 239316 - 407115</t>
  </si>
  <si>
    <t>23932 - 976876 - 898987 - 842695</t>
  </si>
  <si>
    <t>718516 - 407120 - 239322</t>
  </si>
  <si>
    <t>996809 - 407121 - 239325</t>
  </si>
  <si>
    <t>407123 - 407124 - 239326 - 407122</t>
  </si>
  <si>
    <t>239327 - 996808</t>
  </si>
  <si>
    <t>996812 - 239329</t>
  </si>
  <si>
    <t>239331 - 998426</t>
  </si>
  <si>
    <t>239339 - 997452 - 1008548 - 998055 - 996814</t>
  </si>
  <si>
    <t>23930 - 914604 - 23938 - 989081 - 839530 - 23936 - 23934 - 989080 - 23937</t>
  </si>
  <si>
    <t>Mouche des narcisses, Syrphe des narcisses</t>
  </si>
  <si>
    <t>997446 - 239352</t>
  </si>
  <si>
    <t>239362 - 998578</t>
  </si>
  <si>
    <t>997443 - 239363</t>
  </si>
  <si>
    <t>Andrène de la scabieuse</t>
  </si>
  <si>
    <t>850271 - 239365</t>
  </si>
  <si>
    <t>239374 - 996816</t>
  </si>
  <si>
    <t>1000732 - 239375</t>
  </si>
  <si>
    <t>239376 - 997046</t>
  </si>
  <si>
    <t>998577 - 239378</t>
  </si>
  <si>
    <t>998077 - 239382</t>
  </si>
  <si>
    <t>996819 - 239387</t>
  </si>
  <si>
    <t>239399 - 998319 - 407132</t>
  </si>
  <si>
    <t>996821 - 239407</t>
  </si>
  <si>
    <t>239414 - 721011</t>
  </si>
  <si>
    <t>996823 - 239418</t>
  </si>
  <si>
    <t>23942 - 976875 - 850426</t>
  </si>
  <si>
    <t>996508 - 239434</t>
  </si>
  <si>
    <t>23944 - 945602</t>
  </si>
  <si>
    <t>23945 - 945604 - 945603</t>
  </si>
  <si>
    <t>239454 - 996826</t>
  </si>
  <si>
    <t>1000730 - 239458</t>
  </si>
  <si>
    <t>914608 - 23946</t>
  </si>
  <si>
    <t>239460 - 815391</t>
  </si>
  <si>
    <t>239468 - 996828 - 939767</t>
  </si>
  <si>
    <t>53084 - 1000421 - 1000069 - 239470</t>
  </si>
  <si>
    <t>239474 - 1000428</t>
  </si>
  <si>
    <t>998681 - 239478</t>
  </si>
  <si>
    <t>1000786 - 998583 - 820677 - 239483</t>
  </si>
  <si>
    <t>Anthophore estivale</t>
  </si>
  <si>
    <t>998628 - 239500</t>
  </si>
  <si>
    <t>Anthophore fourchue</t>
  </si>
  <si>
    <t>820950 - 820951 - 998685 - 239508</t>
  </si>
  <si>
    <t>Anthophore commune, Anthophore plumeuse, Anthophore à pattes plumeuses</t>
  </si>
  <si>
    <t>23951 - 945667</t>
  </si>
  <si>
    <t>816765 - 1003416 - 407150 - 239513 - 998687</t>
  </si>
  <si>
    <t>Anthophore rusée</t>
  </si>
  <si>
    <t>53089 - 239523</t>
  </si>
  <si>
    <t>Abeille domestique, Abeille européenne, Abeille mellifère, Mouche à miel</t>
  </si>
  <si>
    <t>239541 - 1000805 - 239528 - 996830</t>
  </si>
  <si>
    <t>Psithyre barbu</t>
  </si>
  <si>
    <t>239529 - 1000807</t>
  </si>
  <si>
    <t>Psithyre bohémien</t>
  </si>
  <si>
    <t>239531 - 816766 - 998991 - 998858</t>
  </si>
  <si>
    <t>Psithyre des champs</t>
  </si>
  <si>
    <t>Bourdon velouté</t>
  </si>
  <si>
    <t>239533 - 416987 - 53094</t>
  </si>
  <si>
    <t>Bourdon distingué</t>
  </si>
  <si>
    <t>1000838 - 239534</t>
  </si>
  <si>
    <t>Bourdon doré</t>
  </si>
  <si>
    <t>239536 - 53105 - 1000822 - 1000823 - 407153</t>
  </si>
  <si>
    <t>Bourdon variable</t>
  </si>
  <si>
    <t>996831 - 239538 - 53071</t>
  </si>
  <si>
    <t>Petit bourdon des landes</t>
  </si>
  <si>
    <t>239543 - 1000832</t>
  </si>
  <si>
    <t>Bourdon élégant</t>
  </si>
  <si>
    <t>239544 - 998973 - 1000813</t>
  </si>
  <si>
    <t>Bourdon montagnard</t>
  </si>
  <si>
    <t>Bourdon moisi</t>
  </si>
  <si>
    <t>816768 - 850290 - 1000830 - 239546</t>
  </si>
  <si>
    <t>Bourdon des mousses</t>
  </si>
  <si>
    <t>998989 - 239547</t>
  </si>
  <si>
    <t>Psithyre norvégien</t>
  </si>
  <si>
    <t>1000824 - 239549 - 52374 - 998992</t>
  </si>
  <si>
    <t>Bourdon fruitier</t>
  </si>
  <si>
    <t>Bourdon pyrénéen</t>
  </si>
  <si>
    <t>239551 - 999044</t>
  </si>
  <si>
    <t>Psithyre quadricolore</t>
  </si>
  <si>
    <t>416988 - 239552 - 999191</t>
  </si>
  <si>
    <t>Bourdon des friches</t>
  </si>
  <si>
    <t>239553 - 999048 - 999046</t>
  </si>
  <si>
    <t>Psithyre des rochers</t>
  </si>
  <si>
    <t>1000814 - 239554 - 1000815</t>
  </si>
  <si>
    <t>Bourdon de Sichel</t>
  </si>
  <si>
    <t>815950 - 239555</t>
  </si>
  <si>
    <t>Bourdon danois</t>
  </si>
  <si>
    <t>239556 - 850274 - 416989 - 1000831</t>
  </si>
  <si>
    <t>Bourdon sous-terrain</t>
  </si>
  <si>
    <t>999041 - 239557</t>
  </si>
  <si>
    <t>Psithyre sylvestre</t>
  </si>
  <si>
    <t>239558 - 53008 - 999045</t>
  </si>
  <si>
    <t>Psithyre vestale</t>
  </si>
  <si>
    <t>999204 - 52375 - 239559</t>
  </si>
  <si>
    <t>Bourdon des sables, Bourdon vétéran</t>
  </si>
  <si>
    <t>389274 - 23956 - 960505</t>
  </si>
  <si>
    <t>Bourdon hirsute</t>
  </si>
  <si>
    <t>716406 - 239563 - 1000644 - 1000645</t>
  </si>
  <si>
    <t>Cératine précieuse</t>
  </si>
  <si>
    <t>Cératine d'acier</t>
  </si>
  <si>
    <t>1000642 - 1000641 - 239565 - 999952</t>
  </si>
  <si>
    <t>Ceratine commune</t>
  </si>
  <si>
    <t>239566 - 996834</t>
  </si>
  <si>
    <t>Cératine bleutée</t>
  </si>
  <si>
    <t>996833 - 52378 - 239584</t>
  </si>
  <si>
    <t>850279 - 997094 - 53179 - 239588 - 838534</t>
  </si>
  <si>
    <t>997095 - 239589</t>
  </si>
  <si>
    <t>970900 - 23959</t>
  </si>
  <si>
    <t>239594 - 239593 - 239585 - 996013 - 53184</t>
  </si>
  <si>
    <t>850185 - 239597</t>
  </si>
  <si>
    <t>239602 - 53107 - 998683 - 850190</t>
  </si>
  <si>
    <t>239605 - 1000070 - 850192</t>
  </si>
  <si>
    <t>239609 - 850194</t>
  </si>
  <si>
    <t>1000059 - 239621 - 1000053</t>
  </si>
  <si>
    <t>960504 - 23964</t>
  </si>
  <si>
    <t>999948 - 239655</t>
  </si>
  <si>
    <t>999868 - 317871 - 999870 - 239661 - 850275</t>
  </si>
  <si>
    <t>239678 - 850149</t>
  </si>
  <si>
    <t>Eucère à longues antennes</t>
  </si>
  <si>
    <t>239679 - 999524</t>
  </si>
  <si>
    <t>Eucère noirâtre</t>
  </si>
  <si>
    <t>934133 - 23969</t>
  </si>
  <si>
    <t>815809 - 239708</t>
  </si>
  <si>
    <t>239712 - 1000124</t>
  </si>
  <si>
    <t>997201 - 850270 - 53188 - 239718</t>
  </si>
  <si>
    <t>780128 - 997226 - 239720 - 997225</t>
  </si>
  <si>
    <t>997240 - 239729</t>
  </si>
  <si>
    <t>23973 - 850685</t>
  </si>
  <si>
    <t>239738 - 996838 - 718489 - 53182</t>
  </si>
  <si>
    <t>239739 - 53177 - 997262</t>
  </si>
  <si>
    <t>239740 - 53183</t>
  </si>
  <si>
    <t>239747 - 997239</t>
  </si>
  <si>
    <t>23975 - 821025</t>
  </si>
  <si>
    <t>718486 - 239751</t>
  </si>
  <si>
    <t>239752 - 53189</t>
  </si>
  <si>
    <t>53190 - 239753 - 997637 - 816780</t>
  </si>
  <si>
    <t>967763 - 23976</t>
  </si>
  <si>
    <t>239760 - 997640</t>
  </si>
  <si>
    <t>239761 - 239799 - 996839</t>
  </si>
  <si>
    <t>850280 - 239762</t>
  </si>
  <si>
    <t>407174 - 1000638 - 239766</t>
  </si>
  <si>
    <t>997645 - 239767</t>
  </si>
  <si>
    <t>1000050 - 239770</t>
  </si>
  <si>
    <t>239773 - 998322</t>
  </si>
  <si>
    <t>1000628 - 318080 - 1000051 - 239776</t>
  </si>
  <si>
    <t>1000636 - 239792 - 1000112</t>
  </si>
  <si>
    <t>239796 - 1000107</t>
  </si>
  <si>
    <t>1000102 - 239806 - 1000101</t>
  </si>
  <si>
    <t>1000317 - 53118 - 239811</t>
  </si>
  <si>
    <t>1000223 - 1000221 - 239818</t>
  </si>
  <si>
    <t>23982 - 934138</t>
  </si>
  <si>
    <t>239822 - 1000151 - 1000155 - 839003 - 53120</t>
  </si>
  <si>
    <t>997646 - 1000116 - 239825</t>
  </si>
  <si>
    <t>53124 - 239831</t>
  </si>
  <si>
    <t>239836 - 53125 - 996835</t>
  </si>
  <si>
    <t>1000033 - 53126 - 239838</t>
  </si>
  <si>
    <t>1000340 - 53127 - 239842</t>
  </si>
  <si>
    <t>53128 - 996837 - 239845</t>
  </si>
  <si>
    <t>53129 - 239846 - 407190</t>
  </si>
  <si>
    <t>239847 - 997648</t>
  </si>
  <si>
    <t>996843 - 239848 - 932216 - 1000120</t>
  </si>
  <si>
    <t>899052 - 239849 - 53142</t>
  </si>
  <si>
    <t>239850 - 1000337 - 1000022 - 1000023</t>
  </si>
  <si>
    <t>239851 - 781639 - 815958</t>
  </si>
  <si>
    <t>1000032 - 997649 - 239853</t>
  </si>
  <si>
    <t>1000065 - 239854</t>
  </si>
  <si>
    <t>996844 - 53131 - 239855 - 1000121</t>
  </si>
  <si>
    <t>239857 - 1000353</t>
  </si>
  <si>
    <t>996845 - 239862</t>
  </si>
  <si>
    <t>997652 - 239863 - 53134</t>
  </si>
  <si>
    <t>53136 - 239864 - 998408</t>
  </si>
  <si>
    <t>53138 - 239865 - 1000066</t>
  </si>
  <si>
    <t>239866 - 996846</t>
  </si>
  <si>
    <t>239867 - 1000366</t>
  </si>
  <si>
    <t>1000166 - 53139 - 239868</t>
  </si>
  <si>
    <t>239869 - 997651</t>
  </si>
  <si>
    <t>1000174 - 239870</t>
  </si>
  <si>
    <t>1000024 - 53140 - 239871 - 997654</t>
  </si>
  <si>
    <t>53143 - 239875 - 997653</t>
  </si>
  <si>
    <t>997655 - 239878</t>
  </si>
  <si>
    <t>934161 - 23988 - 934150 - 216746</t>
  </si>
  <si>
    <t>1000379 - 1000068 - 239884</t>
  </si>
  <si>
    <t>1000388 - 239885 - 1000386</t>
  </si>
  <si>
    <t>996171 - 239895</t>
  </si>
  <si>
    <t>1000021 - 997659 - 239898</t>
  </si>
  <si>
    <t>23990 - 216744 - 914120 - 969256</t>
  </si>
  <si>
    <t>53151 - 239900 - 926026</t>
  </si>
  <si>
    <t>1000553 - 239905</t>
  </si>
  <si>
    <t>934172 - 23992 - 970902</t>
  </si>
  <si>
    <t>996890 - 239921</t>
  </si>
  <si>
    <t>1000542 - 407193 - 239930 - 239929</t>
  </si>
  <si>
    <t>815807 - 239936</t>
  </si>
  <si>
    <t>Mélècte commune</t>
  </si>
  <si>
    <t>239945 - 1000556</t>
  </si>
  <si>
    <t>1000558 - 239946</t>
  </si>
  <si>
    <t>1001099 - 1001098 - 239955 - 1001100</t>
  </si>
  <si>
    <t>853412 - 853413 - 960508 - 960507 - 23997 - 934173</t>
  </si>
  <si>
    <t>1001140 - 239970</t>
  </si>
  <si>
    <t>239980 - 999720</t>
  </si>
  <si>
    <t>1001146 - 1001279 - 1001280 - 239984 - 999721</t>
  </si>
  <si>
    <t>239992 - 996897</t>
  </si>
  <si>
    <t>239998 - 1001141 - 1001144</t>
  </si>
  <si>
    <t>934175 - 24000</t>
  </si>
  <si>
    <t>996906 - 240004</t>
  </si>
  <si>
    <t>996908 - 240005</t>
  </si>
  <si>
    <t>1001136 - 240010</t>
  </si>
  <si>
    <t>1001273 - 240031 - 850281</t>
  </si>
  <si>
    <t>240036 - 886429 - 716405 - 996912</t>
  </si>
  <si>
    <t>240040 - 1001138 - 1001282 - 1001137 - 1001281</t>
  </si>
  <si>
    <t>1001143 - 240042</t>
  </si>
  <si>
    <t>1000330 - 1000581 - 240050</t>
  </si>
  <si>
    <t>1000566 - 53178 - 838535 - 240065 - 997082 - 815400</t>
  </si>
  <si>
    <t>240072 - 53180 - 815364 - 816825</t>
  </si>
  <si>
    <t>1000713 - 1000714 - 240074</t>
  </si>
  <si>
    <t>53191 - 815397 - 240084</t>
  </si>
  <si>
    <t>240110 - 1000306 - 1000307</t>
  </si>
  <si>
    <t>1000259 - 240117 - 1000658</t>
  </si>
  <si>
    <t>985878 - 240119 - 985881 - 985880 - 985882 - 985879 - 985883 - 985877 - 985876 - 815161</t>
  </si>
  <si>
    <t>850059 - 240120</t>
  </si>
  <si>
    <t>996913 - 240126</t>
  </si>
  <si>
    <t>1000225 - 240127</t>
  </si>
  <si>
    <t>1000268 - 240133</t>
  </si>
  <si>
    <t>1000305 - 240134 - 1000303</t>
  </si>
  <si>
    <t>240141 - 996003</t>
  </si>
  <si>
    <t>240144 - 1000252</t>
  </si>
  <si>
    <t>997058 - 240145</t>
  </si>
  <si>
    <t>780133 - 407213 - 898950 - 1000863 - 240151</t>
  </si>
  <si>
    <t>Eucère de la mauve</t>
  </si>
  <si>
    <t>999572 - 240169</t>
  </si>
  <si>
    <t>Crocise ravisseuse</t>
  </si>
  <si>
    <t>1000938 - 1000939 - 240178 - 1000016</t>
  </si>
  <si>
    <t>Xylocope irisé</t>
  </si>
  <si>
    <t>Xylocope panard</t>
  </si>
  <si>
    <t>240245 - 548388 - 388632 - 548750</t>
  </si>
  <si>
    <t>904934 - 240253</t>
  </si>
  <si>
    <t>240254 - 548733 - 388675 - 407245 - 407246 - 548734</t>
  </si>
  <si>
    <t>240258 - 407248 - 743</t>
  </si>
  <si>
    <t>745 - 407251 - 240260</t>
  </si>
  <si>
    <t>934349 - 24027</t>
  </si>
  <si>
    <t>407262 - 240286 - 953143 - 66219 - 66220</t>
  </si>
  <si>
    <t>Criquet des Roseaux, Parapleure alliacé</t>
  </si>
  <si>
    <t>783227 - 535851 - 535850 - 240287 - 66172</t>
  </si>
  <si>
    <t>240297 - 17584 - 17585 - 17583</t>
  </si>
  <si>
    <t>240298 - 803009 - 407272 - 17589 - 887595 - 17588 - 17587</t>
  </si>
  <si>
    <t>24030 - 970872 - 914544</t>
  </si>
  <si>
    <t>17538 - 240300 - 17536 - 17537 - 407273</t>
  </si>
  <si>
    <t>Rhynchite rouge du pommier</t>
  </si>
  <si>
    <t>17509 - 17508 - 17510 - 240305</t>
  </si>
  <si>
    <t>17517 - 17519 - 240306 - 17518</t>
  </si>
  <si>
    <t>17530 - 240307 - 951263 - 951265 - 17532 - 17531 - 951261</t>
  </si>
  <si>
    <t>17549 - 966152 - 803002 - 17547 - 17548 - 240308</t>
  </si>
  <si>
    <t>407275 - 17488 - 802999 - 240310 - 17487</t>
  </si>
  <si>
    <t>Rhynchite cuivreux</t>
  </si>
  <si>
    <t>240318 - 801044</t>
  </si>
  <si>
    <t>24032 - 934356</t>
  </si>
  <si>
    <t>240321 - 797093 - 801046 - 240320</t>
  </si>
  <si>
    <t>240324 - 801049 - 798251 - 797095 - 798250</t>
  </si>
  <si>
    <t>11239 - 240326 - 797097 - 797096 - 716263 - 801051</t>
  </si>
  <si>
    <t>982469 - 240328</t>
  </si>
  <si>
    <t>801108 - 240330</t>
  </si>
  <si>
    <t>240333 - 801113</t>
  </si>
  <si>
    <t>240340 - 801119</t>
  </si>
  <si>
    <t>240341 - 801120 - 407284</t>
  </si>
  <si>
    <t>240343 - 11410 - 820723 - 11413 - 407285 - 886442 - 801097 - 820724</t>
  </si>
  <si>
    <t>Taupin rongeur</t>
  </si>
  <si>
    <t>407287 - 407286 - 240344 - 801125</t>
  </si>
  <si>
    <t>Taupin balte</t>
  </si>
  <si>
    <t>240346 - 801126</t>
  </si>
  <si>
    <t>240347 - 407289 - 801127 - 407290</t>
  </si>
  <si>
    <t>801129 - 407291 - 240349 - 407292</t>
  </si>
  <si>
    <t>240350 - 801131</t>
  </si>
  <si>
    <t>785500 - 240354 - 801132</t>
  </si>
  <si>
    <t>801134 - 240355</t>
  </si>
  <si>
    <t>240356 - 801135</t>
  </si>
  <si>
    <t>801136 - 407294 - 407295 - 240357</t>
  </si>
  <si>
    <t>801137 - 240358</t>
  </si>
  <si>
    <t>801139 - 240359</t>
  </si>
  <si>
    <t>24036 - 1009133</t>
  </si>
  <si>
    <t>801140 - 240360</t>
  </si>
  <si>
    <t>813309 - 813308 - 407297 - 416788 - 240361 - 785497 - 813307 - 785498</t>
  </si>
  <si>
    <t>808533 - 240363 - 801195</t>
  </si>
  <si>
    <t>Taupin des bruyères</t>
  </si>
  <si>
    <t>801200 - 240368 - 407298</t>
  </si>
  <si>
    <t>240369 - 801201 - 407299</t>
  </si>
  <si>
    <t>719625 - 1016704 - 1016705 - 801202 - 240370</t>
  </si>
  <si>
    <t>801177 - 240390</t>
  </si>
  <si>
    <t>Athous bicolore</t>
  </si>
  <si>
    <t>240392 - 11471</t>
  </si>
  <si>
    <t>240409 - 701804 - 801143</t>
  </si>
  <si>
    <t>11426 - 801203 - 240411</t>
  </si>
  <si>
    <t>Taupin gradé</t>
  </si>
  <si>
    <t>801241 - 240422</t>
  </si>
  <si>
    <t>240426 - 801188</t>
  </si>
  <si>
    <t>820726 - 240428 - 884187 - 801206</t>
  </si>
  <si>
    <t>Taupin brun cuivreux</t>
  </si>
  <si>
    <t>240429 - 801207</t>
  </si>
  <si>
    <t>240430 - 801121 - 820734</t>
  </si>
  <si>
    <t>801189 - 416844 - 240433</t>
  </si>
  <si>
    <t>240434 - 801244</t>
  </si>
  <si>
    <t>11442 - 801122 - 240440</t>
  </si>
  <si>
    <t>407313 - 801190 - 844717 - 240443</t>
  </si>
  <si>
    <t>801191 - 11465 - 240444</t>
  </si>
  <si>
    <t>Taupin brun nébuleux</t>
  </si>
  <si>
    <t>801167 - 240448</t>
  </si>
  <si>
    <t>1016703 - 240450 - 407315 - 11433 - 801209</t>
  </si>
  <si>
    <t>240451 - 801144</t>
  </si>
  <si>
    <t>Taupin à cou sanglant</t>
  </si>
  <si>
    <t>240454 - 718461 - 801182 - 11456</t>
  </si>
  <si>
    <t>407318 - 240455 - 801210</t>
  </si>
  <si>
    <t>240456 - 801151</t>
  </si>
  <si>
    <t>240460 - 801158</t>
  </si>
  <si>
    <t>240462 - 407319 - 721483 - 801161</t>
  </si>
  <si>
    <t>Mélanothus noir</t>
  </si>
  <si>
    <t>11479 - 801163 - 407321 - 240463 - 407320</t>
  </si>
  <si>
    <t>Taupin brun velouté</t>
  </si>
  <si>
    <t>240469 - 801222</t>
  </si>
  <si>
    <t>240470 - 801223</t>
  </si>
  <si>
    <t>240471 - 11460 - 11457 - 801183</t>
  </si>
  <si>
    <t>801224 - 240472</t>
  </si>
  <si>
    <t>240474 - 801247</t>
  </si>
  <si>
    <t>820732 - 699574 - 11429 - 820733 - 801214 - 240476</t>
  </si>
  <si>
    <t>801184 - 886443 - 240479</t>
  </si>
  <si>
    <t>939923 - 24048</t>
  </si>
  <si>
    <t>801185 - 11461 - 240480</t>
  </si>
  <si>
    <t>240484 - 801154</t>
  </si>
  <si>
    <t>801152 - 240485</t>
  </si>
  <si>
    <t>407324 - 407325 - 847477 - 407327 - 407326 - 240486</t>
  </si>
  <si>
    <t>Taupin cyclone</t>
  </si>
  <si>
    <t>801225 - 240487</t>
  </si>
  <si>
    <t>820730 - 240492 - 407329 - 820731 - 820729 - 801219 - 820727</t>
  </si>
  <si>
    <t>801149 - 240496</t>
  </si>
  <si>
    <t>801148 - 240498</t>
  </si>
  <si>
    <t>801192 - 845206 - 240499 - 808561</t>
  </si>
  <si>
    <t>Taupin chauve-souris</t>
  </si>
  <si>
    <t>801229 - 240506</t>
  </si>
  <si>
    <t>240507 - 11492 - 801230</t>
  </si>
  <si>
    <t>11496 - 240509 - 801232</t>
  </si>
  <si>
    <t>894001 - 407339 - 240510 - 886479</t>
  </si>
  <si>
    <t>798240 - 798239 - 11241 - 240516 - 798238 - 801035</t>
  </si>
  <si>
    <t>240517 - 979618</t>
  </si>
  <si>
    <t>Stenelmis cousin</t>
  </si>
  <si>
    <t>798235 - 798231 - 240518 - 798229 - 407345 - 801033 - 798228 - 798230</t>
  </si>
  <si>
    <t>798234 - 798232 - 798233 - 240520 - 798237 - 801034 - 798236 - 407346</t>
  </si>
  <si>
    <t>240521 - 798227 - 801030</t>
  </si>
  <si>
    <t>240522 - 801031 - 797069 - 797070</t>
  </si>
  <si>
    <t>884602 - 240523 - 11252 - 794612 - 797071 - 801032 - 11253</t>
  </si>
  <si>
    <t>240524 - 797073 - 797072 - 884603 - 797074 - 11254</t>
  </si>
  <si>
    <t>240525 - 797066 - 797067 - 884601 - 801028</t>
  </si>
  <si>
    <t>798217 - 699654 - 240530 - 801022 - 884596 - 11260 - 798216</t>
  </si>
  <si>
    <t>798218 - 240532</t>
  </si>
  <si>
    <t>798223 - 11262 - 801023 - 798219 - 798220 - 798222 - 798221 - 240533 - 798224</t>
  </si>
  <si>
    <t>798212 - 801019 - 797051 - 982471 - 240534</t>
  </si>
  <si>
    <t>982472 - 240536</t>
  </si>
  <si>
    <t>797053 - 971065 - 798213 - 240537 - 801020</t>
  </si>
  <si>
    <t>939924 - 24054</t>
  </si>
  <si>
    <t>798214 - 801021 - 798215 - 240540</t>
  </si>
  <si>
    <t>240541 - 801036</t>
  </si>
  <si>
    <t>240542 - 797877 - 797876</t>
  </si>
  <si>
    <t>797869 - 240544</t>
  </si>
  <si>
    <t>407347 - 240546</t>
  </si>
  <si>
    <t>240549 - 407348 - 796838</t>
  </si>
  <si>
    <t>838294 - 838295 - 24055</t>
  </si>
  <si>
    <t>Mouche de la carotte</t>
  </si>
  <si>
    <t>799265 - 11051 - 820745 - 797879 - 797878 - 240553 - 799266</t>
  </si>
  <si>
    <t>797891 - 240573 - 797890 - 797892 - 797889</t>
  </si>
  <si>
    <t>799263 - 240585</t>
  </si>
  <si>
    <t>797851 - 240588 - 797853 - 797852</t>
  </si>
  <si>
    <t>960242 - 960241 - 24060 - 898981</t>
  </si>
  <si>
    <t>797842 - 240604 - 797843 - 797840 - 11054 - 797841 - 797839</t>
  </si>
  <si>
    <t>407362 - 797855 - 240607 - 407363 - 797854 - 407364</t>
  </si>
  <si>
    <t>240608 - 538423</t>
  </si>
  <si>
    <t>797848 - 240609 - 797846 - 797847</t>
  </si>
  <si>
    <t>407366 - 797850 - 240614</t>
  </si>
  <si>
    <t>240618 - 797857 - 797858 - 797856</t>
  </si>
  <si>
    <t>799259 - 240628 - 797862 - 796833</t>
  </si>
  <si>
    <t>799260 - 796834 - 240635</t>
  </si>
  <si>
    <t>240639 - 799262</t>
  </si>
  <si>
    <t>240641 - 407370 - 696679 - 407369 - 696678 - 696677 - 583869 - 696676</t>
  </si>
  <si>
    <t>Argule foliacée (L')</t>
  </si>
  <si>
    <t>240654 - 904991</t>
  </si>
  <si>
    <t>17692 - 240658</t>
  </si>
  <si>
    <t>240659 - 904358 - 552332</t>
  </si>
  <si>
    <t>Daphnie réticulée (La)</t>
  </si>
  <si>
    <t>Daphnie ronde (La)</t>
  </si>
  <si>
    <t>240672 - 904549</t>
  </si>
  <si>
    <t>240675 - 904990</t>
  </si>
  <si>
    <t>Sidie cristalline (La)</t>
  </si>
  <si>
    <t>1014932 - 240681</t>
  </si>
  <si>
    <t>Lyncée trigonelle (Le)</t>
  </si>
  <si>
    <t>240683 - 904926</t>
  </si>
  <si>
    <t>Lyncée à bec crochu (Le)</t>
  </si>
  <si>
    <t>844782 - 887009 - 240691 - 319890</t>
  </si>
  <si>
    <t>240707 - 904803</t>
  </si>
  <si>
    <t>904478 - 240713</t>
  </si>
  <si>
    <t>240715 - 844783</t>
  </si>
  <si>
    <t>240718 - 904799</t>
  </si>
  <si>
    <t>Leptodore hyaline (La)</t>
  </si>
  <si>
    <t>240740 - 583866 - 583871 - 580802 - 584715</t>
  </si>
  <si>
    <t>240745 - 905621</t>
  </si>
  <si>
    <t>892012 - 240746</t>
  </si>
  <si>
    <t>240757 - 904856 - 584709</t>
  </si>
  <si>
    <t>240762 - 891997</t>
  </si>
  <si>
    <t>892000 - 240772</t>
  </si>
  <si>
    <t>696712 - 904401 - 703418 - 240773</t>
  </si>
  <si>
    <t>892004 - 240776</t>
  </si>
  <si>
    <t>252505 - 240781 - 240784</t>
  </si>
  <si>
    <t>585468 - 240791 - 891993</t>
  </si>
  <si>
    <t>583819 - 891992 - 240798</t>
  </si>
  <si>
    <t>583820 - 891988 - 240799</t>
  </si>
  <si>
    <t>696715 - 240800 - 891991</t>
  </si>
  <si>
    <t>240802 - 891996 - 583934</t>
  </si>
  <si>
    <t>24087 - 850627</t>
  </si>
  <si>
    <t>934348 - 24095</t>
  </si>
  <si>
    <t>553637 - 553634 - 553635 - 553638 - 553636 - 240952</t>
  </si>
  <si>
    <t>Aselle cavatique (L'), Aselle anophthalme (L')</t>
  </si>
  <si>
    <t>975623 - 904962 - 240964</t>
  </si>
  <si>
    <t>240978 - 432530 - 622815 - 622811</t>
  </si>
  <si>
    <t>240988 - 407373 - 891740</t>
  </si>
  <si>
    <t>891739 - 407380 - 407379 - 240993</t>
  </si>
  <si>
    <t>241008 - 891744</t>
  </si>
  <si>
    <t>241010 - 904339</t>
  </si>
  <si>
    <t>Cypris blanche (La)</t>
  </si>
  <si>
    <t>241013 - 891745</t>
  </si>
  <si>
    <t>407392 - 241014 - 18028 - 891746</t>
  </si>
  <si>
    <t>Cypris ponctuée (La), Cypris ophthalmique (La)</t>
  </si>
  <si>
    <t>241016 - 407396 - 891750 - 407395</t>
  </si>
  <si>
    <t>Cypris œuf (La)</t>
  </si>
  <si>
    <t>916119 - 916115 - 916117 - 24102 - 916123 - 916118</t>
  </si>
  <si>
    <t>Mouche méditerranéenne des fruits, Mouche méditerranéenne, Mouche des fruits, Mouche de l'oranger</t>
  </si>
  <si>
    <t>891785 - 241045</t>
  </si>
  <si>
    <t>407441 - 407443 - 891778 - 407442 - 241051</t>
  </si>
  <si>
    <t>891777 - 241054</t>
  </si>
  <si>
    <t>407452 - 241063</t>
  </si>
  <si>
    <t>895479 - 241076 - 407464</t>
  </si>
  <si>
    <t>Aphrophore des saules</t>
  </si>
  <si>
    <t>407466 - 407467 - 848177 - 51925 - 241077 - 407465</t>
  </si>
  <si>
    <t>899216 - 899191 - 899210 - 899213 - 51930 - 848178 - 241085 - 899190 - 899212 - 899196 - 899211 - 899214 - 899193 - 898551 - 976870 - 899197 - 51932 - 51933 - 899215 - 899204 - 937355 - 899195 - 899194 - 899203 - 899202 - 899192</t>
  </si>
  <si>
    <t>Philène spumeuse</t>
  </si>
  <si>
    <t>1001481 - 1001482 - 51920 - 241089</t>
  </si>
  <si>
    <t>241097 - 699554 - 978070 - 699555</t>
  </si>
  <si>
    <t>Cigalette à ailes courtes (la)</t>
  </si>
  <si>
    <t>Membracide bison</t>
  </si>
  <si>
    <t>407497 - 241108</t>
  </si>
  <si>
    <t>Petit diable</t>
  </si>
  <si>
    <t>241110 - 848175 - 51939</t>
  </si>
  <si>
    <t>Demi-diable</t>
  </si>
  <si>
    <t>407498 - 241115 - 840053 - 973206 - 783095</t>
  </si>
  <si>
    <t>Dictyophore européen, Fulgore d'Europe</t>
  </si>
  <si>
    <t>24113 - 850642</t>
  </si>
  <si>
    <t>Mouche du chardon</t>
  </si>
  <si>
    <t>241138 - 407528 - 407529 - 407527</t>
  </si>
  <si>
    <t>Isside commun</t>
  </si>
  <si>
    <t>963775 - 241226</t>
  </si>
  <si>
    <t>407562 - 407569 - 407568 - 407559 - 994451 - 407565 - 407566 - 407561 - 407567 - 407571 - 407564 - 407570 - 241247 - 407563 - 407560 - 994454</t>
  </si>
  <si>
    <t>802899 - 241265</t>
  </si>
  <si>
    <t>802894 - 241267 - 12572</t>
  </si>
  <si>
    <t>241271 - 802915</t>
  </si>
  <si>
    <t>241272 - 802916</t>
  </si>
  <si>
    <t>241275 - 407577 - 802918 - 407578</t>
  </si>
  <si>
    <t>241276 - 802920 - 884189 - 798350</t>
  </si>
  <si>
    <t>12565 - 241278</t>
  </si>
  <si>
    <t>Clytre à grandes taches</t>
  </si>
  <si>
    <t>944454 - 944456 - 944453 - 944457 - 944452 - 944455 - 944450 - 944451 - 24128</t>
  </si>
  <si>
    <t>407588 - 886458 - 241336 - 802931 - 407587</t>
  </si>
  <si>
    <t>798370 - 798369 - 798368 - 241340</t>
  </si>
  <si>
    <t>Cagoule à bandes</t>
  </si>
  <si>
    <t>241341 - 798371</t>
  </si>
  <si>
    <t>802933 - 407590 - 241342</t>
  </si>
  <si>
    <t>241353 - 798376 - 12577 - 802937</t>
  </si>
  <si>
    <t>802938 - 241354</t>
  </si>
  <si>
    <t>Cagoule du Joker</t>
  </si>
  <si>
    <t>24138 - 943678</t>
  </si>
  <si>
    <t>802948 - 241382</t>
  </si>
  <si>
    <t>241388 - 802949 - 407592</t>
  </si>
  <si>
    <t>802954 - 241392</t>
  </si>
  <si>
    <t>241398 - 407593 - 802664 - 886435</t>
  </si>
  <si>
    <t>Chrysomèle Totoro</t>
  </si>
  <si>
    <t>12694 - 802667 - 241400</t>
  </si>
  <si>
    <t>Chrysomèle cyclope</t>
  </si>
  <si>
    <t>802669 - 241401</t>
  </si>
  <si>
    <t>241403 - 845204 - 845160 - 802671</t>
  </si>
  <si>
    <t>Chrysomèle insipide</t>
  </si>
  <si>
    <t>802598 - 241414</t>
  </si>
  <si>
    <t>241415 - 802599</t>
  </si>
  <si>
    <t>241419 - 802589 - 12678</t>
  </si>
  <si>
    <t>Gastrophyse de la Renouée</t>
  </si>
  <si>
    <t>12683 - 645922 - 241420</t>
  </si>
  <si>
    <t>Petit vertubleu</t>
  </si>
  <si>
    <t>12686 - 241421</t>
  </si>
  <si>
    <t>Chrysomèle populaire, Chrysomèle du peuplier</t>
  </si>
  <si>
    <t>802587 - 241427</t>
  </si>
  <si>
    <t>12698 - 802591 - 241429</t>
  </si>
  <si>
    <t>241430 - 802593</t>
  </si>
  <si>
    <t>802594 - 241431</t>
  </si>
  <si>
    <t>12697 - 241432 - 802595</t>
  </si>
  <si>
    <t>802654 - 241439</t>
  </si>
  <si>
    <t>802644 - 407603 - 241441</t>
  </si>
  <si>
    <t>241453 - 802614</t>
  </si>
  <si>
    <t>802610 - 241455</t>
  </si>
  <si>
    <t>241462 - 802616 - 12666</t>
  </si>
  <si>
    <t>845147 - 983184 - 12656 - 241463</t>
  </si>
  <si>
    <t>Chrysomèle violette</t>
  </si>
  <si>
    <t>12659 - 241469</t>
  </si>
  <si>
    <t>Chrysomèle bienséante</t>
  </si>
  <si>
    <t>802620 - 820802 - 241471</t>
  </si>
  <si>
    <t>802624 - 241474</t>
  </si>
  <si>
    <t>12652 - 716254 - 241475</t>
  </si>
  <si>
    <t>Chrysomèle perforée</t>
  </si>
  <si>
    <t>802625 - 407619 - 241476</t>
  </si>
  <si>
    <t>802627 - 241481</t>
  </si>
  <si>
    <t>802628 - 241482</t>
  </si>
  <si>
    <t>12657 - 407620 - 241486 - 407621 - 844873</t>
  </si>
  <si>
    <t>Petite Chrysomèle</t>
  </si>
  <si>
    <t>716253 - 241487 - 12649</t>
  </si>
  <si>
    <t>407622 - 12651 - 241493</t>
  </si>
  <si>
    <t>Chrysomèle noire à bordure rouge</t>
  </si>
  <si>
    <t>802637 - 886488 - 241498</t>
  </si>
  <si>
    <t>241499 - 951434 - 802638</t>
  </si>
  <si>
    <t>Chrysomèle mentholée</t>
  </si>
  <si>
    <t>12653 - 241502</t>
  </si>
  <si>
    <t>Chrysomèle du Romarin, Patriote à bandes</t>
  </si>
  <si>
    <t>802698 - 407652 - 241519 - 897285</t>
  </si>
  <si>
    <t>Galéruque de l'orme (La)</t>
  </si>
  <si>
    <t>241520 - 802697</t>
  </si>
  <si>
    <t>241522 - 802696</t>
  </si>
  <si>
    <t>241523 - 802691</t>
  </si>
  <si>
    <t>820803 - 241533 - 802686 - 699733</t>
  </si>
  <si>
    <t>Galéruque de la tanaisie, Galeruque brunette</t>
  </si>
  <si>
    <t>407673 - 241544 - 802707</t>
  </si>
  <si>
    <t>802708 - 241545 - 407674</t>
  </si>
  <si>
    <t>241546 - 12739 - 802709 - 407675</t>
  </si>
  <si>
    <t>241554 - 802705 - 12732</t>
  </si>
  <si>
    <t>Lupérus portugais</t>
  </si>
  <si>
    <t>802702 - 241556 - 407677 - 976851</t>
  </si>
  <si>
    <t>241558 - 407678 - 802703</t>
  </si>
  <si>
    <t>241559 - 802891</t>
  </si>
  <si>
    <t>802880 - 241564 - 887310</t>
  </si>
  <si>
    <t>802889 - 241580</t>
  </si>
  <si>
    <t>241594 - 802874 - 798347</t>
  </si>
  <si>
    <t>Altise de la Guimauve</t>
  </si>
  <si>
    <t>802875 - 241595</t>
  </si>
  <si>
    <t>Altise des mauves</t>
  </si>
  <si>
    <t>802876 - 241596</t>
  </si>
  <si>
    <t>241600 - 802859</t>
  </si>
  <si>
    <t>802861 - 241605</t>
  </si>
  <si>
    <t>241614 - 802864</t>
  </si>
  <si>
    <t>241615 - 802865</t>
  </si>
  <si>
    <t>802867 - 241616</t>
  </si>
  <si>
    <t>793237 - 241623</t>
  </si>
  <si>
    <t>802873 - 241625</t>
  </si>
  <si>
    <t>802846 - 12747 - 241637</t>
  </si>
  <si>
    <t>Chrysomèle brunie</t>
  </si>
  <si>
    <t>241647 - 886487 - 802855 - 12749</t>
  </si>
  <si>
    <t>802832 - 241655 - 975078</t>
  </si>
  <si>
    <t>241660 - 802779</t>
  </si>
  <si>
    <t>802829 - 241661</t>
  </si>
  <si>
    <t>802782 - 241663</t>
  </si>
  <si>
    <t>12815 - 241677 - 802790</t>
  </si>
  <si>
    <t>241679 - 802791 - 798342</t>
  </si>
  <si>
    <t>241696 - 802800</t>
  </si>
  <si>
    <t>802802 - 241697</t>
  </si>
  <si>
    <t>802803 - 241698</t>
  </si>
  <si>
    <t>802805 - 241700</t>
  </si>
  <si>
    <t>241701 - 802806</t>
  </si>
  <si>
    <t>241705 - 802811</t>
  </si>
  <si>
    <t>241707 - 802812</t>
  </si>
  <si>
    <t>802817 - 407689 - 241711 - 975612</t>
  </si>
  <si>
    <t>241715 - 802822</t>
  </si>
  <si>
    <t>802826 - 241722</t>
  </si>
  <si>
    <t>241727 - 802776</t>
  </si>
  <si>
    <t>241728 - 802773</t>
  </si>
  <si>
    <t>241729 - 802774</t>
  </si>
  <si>
    <t>241733 - 892617</t>
  </si>
  <si>
    <t>241734 - 802769</t>
  </si>
  <si>
    <t>241735 - 798324 - 798325</t>
  </si>
  <si>
    <t>241738 - 802771 - 798328</t>
  </si>
  <si>
    <t>798333 - 892609 - 241741 - 798332</t>
  </si>
  <si>
    <t>802762 - 241744</t>
  </si>
  <si>
    <t>Plutus</t>
  </si>
  <si>
    <t>802763 - 241745</t>
  </si>
  <si>
    <t>802764 - 241746</t>
  </si>
  <si>
    <t>241747 - 12756</t>
  </si>
  <si>
    <t>802765 - 820807 - 241748</t>
  </si>
  <si>
    <t>Altise rubis</t>
  </si>
  <si>
    <t>802744 - 241751</t>
  </si>
  <si>
    <t>241754 - 802747 - 975533</t>
  </si>
  <si>
    <t>Altise noire dorée</t>
  </si>
  <si>
    <t>802748 - 241755 - 12774</t>
  </si>
  <si>
    <t>802738 - 241759</t>
  </si>
  <si>
    <t>241764 - 802733</t>
  </si>
  <si>
    <t>241765 - 802734</t>
  </si>
  <si>
    <t>241768 - 802720</t>
  </si>
  <si>
    <t>241776 - 802723</t>
  </si>
  <si>
    <t>802725 - 241780 - 886457</t>
  </si>
  <si>
    <t>886452 - 241783</t>
  </si>
  <si>
    <t>802732 - 241790</t>
  </si>
  <si>
    <t>802711 - 241792</t>
  </si>
  <si>
    <t>802712 - 241793</t>
  </si>
  <si>
    <t>241801 - 975077</t>
  </si>
  <si>
    <t>407699 - 802718 - 241802</t>
  </si>
  <si>
    <t>241809 - 12864</t>
  </si>
  <si>
    <t>Casside à bandes d'or</t>
  </si>
  <si>
    <t>Velcro banal, Oursin des steppes</t>
  </si>
  <si>
    <t>241843 - 802561</t>
  </si>
  <si>
    <t>241845 - 802564</t>
  </si>
  <si>
    <t>802556 - 241848</t>
  </si>
  <si>
    <t>802573 - 241861</t>
  </si>
  <si>
    <t>241862 - 12541</t>
  </si>
  <si>
    <t>241863 - 12523 - 802574 - 407703 - 983394</t>
  </si>
  <si>
    <t>12542 - 241865 - 886444 - 802576 - 12521</t>
  </si>
  <si>
    <t>Criocère des céréales</t>
  </si>
  <si>
    <t>241866 - 802577</t>
  </si>
  <si>
    <t>802569 - 12530 - 241869 - 12536</t>
  </si>
  <si>
    <t>Criocère du lis, Criocère du Lys</t>
  </si>
  <si>
    <t>241871 - 802565 - 820796</t>
  </si>
  <si>
    <t>Criocère de l'asperge , Criocère porte-croix de l'asperge</t>
  </si>
  <si>
    <t>802566 - 241872</t>
  </si>
  <si>
    <t>Criocère à 12 points, Criocère rouge à points noirs</t>
  </si>
  <si>
    <t>241876 - 802497</t>
  </si>
  <si>
    <t>241877 - 802498</t>
  </si>
  <si>
    <t>241878 - 802499</t>
  </si>
  <si>
    <t>407706 - 241893 - 802553</t>
  </si>
  <si>
    <t>Bruche du pois (La), Charançon du pois (Le)</t>
  </si>
  <si>
    <t>241894 - 241885</t>
  </si>
  <si>
    <t>241918 - 407718 - 802535 - 12891</t>
  </si>
  <si>
    <t>802537 - 241919</t>
  </si>
  <si>
    <t>797124 - 1007349 - 802504 - 241926</t>
  </si>
  <si>
    <t>802501 - 241928</t>
  </si>
  <si>
    <t>241930 - 802502</t>
  </si>
  <si>
    <t>Mylabre satiné</t>
  </si>
  <si>
    <t>241932 - 16895 - 16894</t>
  </si>
  <si>
    <t>407733 - 407732 - 241933 - 16892 - 16893 - 16891</t>
  </si>
  <si>
    <t>407740 - 241946 - 407739 - 16871 - 16867 - 16866 - 16870 - 803018</t>
  </si>
  <si>
    <t>241951 - 893403</t>
  </si>
  <si>
    <t>884613 - 241960 - 803021</t>
  </si>
  <si>
    <t>241961 - 16959 - 16957 - 16958</t>
  </si>
  <si>
    <t>16961 - 407766 - 407764 - 407765 - 407762 - 407763 - 803022 - 16963 - 241963 - 16960 - 407767</t>
  </si>
  <si>
    <t>16980 - 241967 - 16979 - 803028</t>
  </si>
  <si>
    <t>241971 - 16902 - 16903</t>
  </si>
  <si>
    <t>241973 - 407783 - 407786 - 16919 - 407782 - 16920 - 407785 - 407784</t>
  </si>
  <si>
    <t>241976 - 16953 - 16952</t>
  </si>
  <si>
    <t>24198 - 945411</t>
  </si>
  <si>
    <t>241984 - 16950 - 16949 - 16934</t>
  </si>
  <si>
    <t>17062 - 241991 - 17061</t>
  </si>
  <si>
    <t>17031 - 17035 - 17033 - 241994 - 17034</t>
  </si>
  <si>
    <t>241997 - 17037 - 407820 - 17036</t>
  </si>
  <si>
    <t>17024 - 17025 - 242004</t>
  </si>
  <si>
    <t>17068 - 407833 - 242006 - 17067 - 17070</t>
  </si>
  <si>
    <t>242007 - 16988 - 16987 - 16986</t>
  </si>
  <si>
    <t>17157 - 17158 - 17160 - 242012 - 803038 - 17159</t>
  </si>
  <si>
    <t>407849 - 407851 - 407850 - 17142 - 17143 - 17145 - 17144 - 407848 - 242016</t>
  </si>
  <si>
    <t>242020 - 407857 - 17164 - 17163</t>
  </si>
  <si>
    <t>17161 - 242021 - 17162</t>
  </si>
  <si>
    <t>17149 - 407863 - 17404 - 242024 - 17151 - 17150 - 17403</t>
  </si>
  <si>
    <t>242025 - 17421 - 17422 - 17423 - 17420 - 407866 - 407864 - 407865 - 17203 - 17204</t>
  </si>
  <si>
    <t>16989 - 407867 - 16990 - 803037 - 407868 - 16991 - 242026 - 407869 - 16992</t>
  </si>
  <si>
    <t>17071 - 242029 - 17072</t>
  </si>
  <si>
    <t>Apion de la rose trémière</t>
  </si>
  <si>
    <t>242032 - 803044 - 17073 - 17075 - 407877 - 17074 - 407878</t>
  </si>
  <si>
    <t>17177 - 407884 - 17180 - 17178 - 407885 - 242035</t>
  </si>
  <si>
    <t>16810 - 407886 - 242036</t>
  </si>
  <si>
    <t>16819 - 16825 - 16820 - 407887 - 242037 - 16824 - 407888 - 803059 - 16823</t>
  </si>
  <si>
    <t>407890 - 242039 - 16809 - 16808 - 407889 - 17201</t>
  </si>
  <si>
    <t>16818 - 242040 - 16816 - 16817 - 16815</t>
  </si>
  <si>
    <t>16804 - 407891 - 407894 - 407892 - 407893 - 242041 - 16803 - 803060</t>
  </si>
  <si>
    <t>803061 - 16822 - 242042 - 407895</t>
  </si>
  <si>
    <t>17313 - 884618 - 242045 - 17312</t>
  </si>
  <si>
    <t>17388 - 407898 - 242046 - 407897 - 17386 - 407899 - 17387</t>
  </si>
  <si>
    <t>17326 - 17327 - 242048</t>
  </si>
  <si>
    <t>17247 - 407909 - 17248 - 242049 - 407906 - 17246 - 17243 - 407907 - 407908 - 17241 - 17240 - 17244 - 407904 - 17245 - 803051 - 17249 - 951333 - 407905</t>
  </si>
  <si>
    <t>407915 - 242050 - 407913 - 407912 - 407911 - 17258 - 17257 - 407914 - 407910</t>
  </si>
  <si>
    <t>17367 - 17362 - 407919 - 242054 - 17363 - 17366 - 17364</t>
  </si>
  <si>
    <t>17350 - 17346 - 407925 - 242060 - 407924 - 17347 - 407922 - 407923</t>
  </si>
  <si>
    <t>407928 - 242062 - 17324 - 17323 - 407927 - 17325 - 407926</t>
  </si>
  <si>
    <t>407933 - 242063 - 803047 - 407929 - 407930 - 407932 - 17335 - 17333 - 407931</t>
  </si>
  <si>
    <t>845148 - 242070 - 17286 - 407942 - 17285 - 17284</t>
  </si>
  <si>
    <t>17283 - 407943 - 17279 - 242071 - 407944 - 17281 - 17280</t>
  </si>
  <si>
    <t>407950 - 242077 - 17352 - 798391 - 17114 - 17351 - 17113 - 407951 - 17112</t>
  </si>
  <si>
    <t>17107 - 242081 - 407953 - 407952 - 17105 - 17106</t>
  </si>
  <si>
    <t>17120 - 407955 - 242082 - 407954 - 17126 - 17125 - 407956 - 17123 - 17127 - 17119 - 407957 - 407958 - 17128</t>
  </si>
  <si>
    <t>17402 - 17400 - 242085 - 17401</t>
  </si>
  <si>
    <t>407961 - 242086 - 17390 - 407963 - 407962 - 17389</t>
  </si>
  <si>
    <t>17399 - 242087 - 17398</t>
  </si>
  <si>
    <t>242090 - 407965 - 17168 - 798393 - 17169 - 407966</t>
  </si>
  <si>
    <t>803053 - 17406 - 17307 - 17409 - 407972 - 17391 - 407970 - 242094 - 407974 - 407973 - 16967 - 407971 - 17408</t>
  </si>
  <si>
    <t>242095 - 803054</t>
  </si>
  <si>
    <t>17383 - 17382 - 407981 - 982910 - 242099 - 17381 - 407980 - 407979</t>
  </si>
  <si>
    <t>17416 - 242100 - 17415</t>
  </si>
  <si>
    <t>242101 - 17275 - 17274</t>
  </si>
  <si>
    <t>407985 - 17267 - 407983 - 17268 - 17271 - 407986 - 242102 - 407987 - 407984 - 17269 - 17270 - 17266</t>
  </si>
  <si>
    <t>17202 - 407993 - 242105 - 407996 - 407994 - 17197 - 407997 - 407995 - 17198</t>
  </si>
  <si>
    <t>17223 - 407998 - 407999 - 17222 - 17224 - 242106</t>
  </si>
  <si>
    <t>16802 - 408008 - 242111 - 408006 - 408007</t>
  </si>
  <si>
    <t>803066 - 408010 - 844707 - 408011 - 17189 - 17185 - 242112 - 17183 - 17184 - 408013 - 17186 - 408009 - 408014 - 408012</t>
  </si>
  <si>
    <t>Becmare noir à pattes fauves</t>
  </si>
  <si>
    <t>408017 - 242116 - 17192 - 17190 - 17191</t>
  </si>
  <si>
    <t>242117 - 17219 - 803067 - 17218</t>
  </si>
  <si>
    <t>803069 - 17194 - 242121 - 17193</t>
  </si>
  <si>
    <t>408019 - 408020 - 408021 - 242122 - 17208 - 803070 - 17206 - 17209</t>
  </si>
  <si>
    <t>408023 - 801011 - 242125</t>
  </si>
  <si>
    <t>242133 - 408029 - 408033 - 801009 - 408031 - 408030 - 408028 - 408032</t>
  </si>
  <si>
    <t>408041 - 408040 - 408039 - 408042 - 800999 - 242137 - 408038</t>
  </si>
  <si>
    <t>408056 - 242140 - 801002</t>
  </si>
  <si>
    <t>408059 - 242141 - 408060 - 408057 - 408058 - 801003</t>
  </si>
  <si>
    <t>801006 - 242146</t>
  </si>
  <si>
    <t>14257 - 408220 - 408223 - 408225 - 242176 - 408221 - 408224 - 14255 - 803699 - 408222 - 408226</t>
  </si>
  <si>
    <t>408238 - 242178 - 14274 - 408236 - 408237 - 803701</t>
  </si>
  <si>
    <t>15845 - 242179 - 408254 - 14278 - 408255 - 408257 - 408256 - 803703</t>
  </si>
  <si>
    <t>839306 - 408278 - 408285 - 408290 - 408288 - 408280 - 803694 - 408291 - 408279 - 408283 - 408282 - 408281 - 408277 - 408276 - 408289 - 408286 - 242182 - 14231 - 408287 - 408284</t>
  </si>
  <si>
    <t>14658 - 408343 - 14657 - 803503 - 242190 - 14659 - 798417</t>
  </si>
  <si>
    <t>803507 - 408366 - 408367 - 242194</t>
  </si>
  <si>
    <t>14692 - 408374 - 408375 - 14693 - 242195</t>
  </si>
  <si>
    <t>408377 - 408376 - 408379 - 408378 - 845167 - 14685 - 242196 - 14687 - 803517</t>
  </si>
  <si>
    <t>14698 - 242197 - 14697</t>
  </si>
  <si>
    <t>242200 - 14705 - 14706</t>
  </si>
  <si>
    <t>975055 - 408382 - 884875 - 408383 - 242202 - 408384</t>
  </si>
  <si>
    <t>408417 - 408419 - 408421 - 242208 - 408425 - 14044 - 803778 - 408416 - 408418 - 408420 - 408422 - 408415 - 408423 - 408427 - 14039 - 408424 - 408426</t>
  </si>
  <si>
    <t>Lixe poudreux</t>
  </si>
  <si>
    <t>408414 - 408413 - 408448 - 803779 - 408450 - 14081 - 951243 - 408446 - 14082 - 14084 - 951242 - 242209 - 408445 - 408447 - 408449</t>
  </si>
  <si>
    <t>Charançon fausse aiguille</t>
  </si>
  <si>
    <t>951295 - 803732 - 408649 - 408653 - 13966 - 408656 - 408652 - 408655 - 408651 - 242233 - 408654 - 408650</t>
  </si>
  <si>
    <t>Grand-charançon du Chardon</t>
  </si>
  <si>
    <t>408687 - 408686 - 803116 - 408688 - 242239 - 408685 - 12971</t>
  </si>
  <si>
    <t>Scolyte castor</t>
  </si>
  <si>
    <t>408689 - 242240 - 408690 - 803153</t>
  </si>
  <si>
    <t>12951 - 242241</t>
  </si>
  <si>
    <t>242249 - 803156</t>
  </si>
  <si>
    <t>803157 - 242250 - 408699</t>
  </si>
  <si>
    <t>408775 - 408774 - 242255 - 803162</t>
  </si>
  <si>
    <t>922308 - 24226</t>
  </si>
  <si>
    <t>408779 - 408781 - 242260 - 803159 - 408780</t>
  </si>
  <si>
    <t>408784 - 242261 - 408783 - 408786 - 408782 - 803165 - 408785</t>
  </si>
  <si>
    <t>408791 - 408793 - 408790 - 242265 - 803166 - 408792</t>
  </si>
  <si>
    <t>408794 - 242267 - 803182</t>
  </si>
  <si>
    <t>242269 - 803173</t>
  </si>
  <si>
    <t>242270 - 408795 - 803174</t>
  </si>
  <si>
    <t>803170 - 242271 - 408798 - 408796 - 408797</t>
  </si>
  <si>
    <t>408803 - 408806 - 408805 - 408801 - 408804 - 803171 - 408799 - 408807 - 408800 - 242272 - 408802</t>
  </si>
  <si>
    <t>242275 - 803172</t>
  </si>
  <si>
    <t>803120 - 408842 - 408845 - 408844 - 242279 - 408843</t>
  </si>
  <si>
    <t>408849 - 408850 - 242280 - 803121 - 408853 - 13782 - 408852 - 408848 - 408851 - 408846 - 408847</t>
  </si>
  <si>
    <t>408859 - 242282</t>
  </si>
  <si>
    <t>242283 - 408863 - 408861 - 408860 - 408862</t>
  </si>
  <si>
    <t>408864 - 242284</t>
  </si>
  <si>
    <t>408865 - 242285 - 803128</t>
  </si>
  <si>
    <t>803129 - 408866 - 242286 - 408867</t>
  </si>
  <si>
    <t>242288 - 408870</t>
  </si>
  <si>
    <t>242289 - 408871 - 803123</t>
  </si>
  <si>
    <t>408881 - 408880 - 242291 - 803124 - 408878 - 844871 - 408877 - 408879</t>
  </si>
  <si>
    <t>803201 - 408895 - 408894 - 408896 - 242298</t>
  </si>
  <si>
    <t>408897 - 803202 - 242299</t>
  </si>
  <si>
    <t>803203 - 242300</t>
  </si>
  <si>
    <t>408902 - 408898 - 803195 - 242301 - 408899 - 408900 - 408901</t>
  </si>
  <si>
    <t>803198 - 408909 - 242303 - 408908 - 408911 - 408910</t>
  </si>
  <si>
    <t>242305 - 408915 - 803200 - 408916</t>
  </si>
  <si>
    <t>408942 - 846746 - 1007316 - 242311 - 408941 - 803188</t>
  </si>
  <si>
    <t>803139 - 408945 - 242312 - 408946 - 408943 - 798396 - 408944</t>
  </si>
  <si>
    <t>803140 - 242314</t>
  </si>
  <si>
    <t>841142 - 242321 - 803146</t>
  </si>
  <si>
    <t>803147 - 242322</t>
  </si>
  <si>
    <t>408965 - 408966 - 1012751 - 408964 - 803149 - 242323</t>
  </si>
  <si>
    <t>408967 - 242324</t>
  </si>
  <si>
    <t>408968 - 242325 - 803152</t>
  </si>
  <si>
    <t>803204 - 408982 - 242330 - 408981</t>
  </si>
  <si>
    <t>242334 - 408992 - 408993</t>
  </si>
  <si>
    <t>242335 - 893586</t>
  </si>
  <si>
    <t>242336 - 409009 - 803207 - 409010</t>
  </si>
  <si>
    <t>409012 - 988280 - 409015 - 409013 - 409011 - 242337 - 409014</t>
  </si>
  <si>
    <t>Scolyte saucisse</t>
  </si>
  <si>
    <t>409024 - 409026 - 242338 - 845192 - 409018 - 409021 - 409020 - 409019 - 409022 - 409025 - 409016 - 803208 - 409017 - 409023</t>
  </si>
  <si>
    <t>409034 - 803209 - 409029 - 409033 - 409030 - 409032 - 409028 - 409035 - 242339 - 409027 - 409031</t>
  </si>
  <si>
    <t>Grand scolyte de l'orme, Scolyte de l'orme</t>
  </si>
  <si>
    <t>24234 - 934565</t>
  </si>
  <si>
    <t>409037 - 409038 - 12953 - 803178 - 242343</t>
  </si>
  <si>
    <t>409044 - 409040 - 409041 - 409042 - 242344 - 409043 - 803179 - 409039</t>
  </si>
  <si>
    <t>242352 - 12947 - 893584 - 409051 - 409052</t>
  </si>
  <si>
    <t>409053 - 1012747 - 803134 - 12930 - 242356</t>
  </si>
  <si>
    <t>242357 - 409054 - 844721 - 12931 - 803135 - 409056 - 409055</t>
  </si>
  <si>
    <t>242359 - 409060 - 803219</t>
  </si>
  <si>
    <t>242360 - 409061 - 803214</t>
  </si>
  <si>
    <t>409074 - 803215 - 409075 - 975046 - 409072 - 409073 - 409076 - 242362</t>
  </si>
  <si>
    <t>409093 - 409094 - 409090 - 409099 - 716261 - 409088 - 409095 - 409086 - 409097 - 409092 - 409087 - 409098 - 409100 - 409084 - 242364 - 409096 - 409091 - 409101 - 409085 - 803213 - 409102 - 409089</t>
  </si>
  <si>
    <t>845260 - 242366 - 409104 - 803221</t>
  </si>
  <si>
    <t>803222 - 845055 - 409106 - 409105 - 409108 - 409107 - 242367</t>
  </si>
  <si>
    <t>409113 - 845261 - 409110 - 409111 - 409114 - 242368 - 803223 - 409112 - 409109</t>
  </si>
  <si>
    <t>242387 - 15942 - 803375</t>
  </si>
  <si>
    <t>15963 - 803262 - 242397</t>
  </si>
  <si>
    <t>803318 - 242398 - 975053 - 16139</t>
  </si>
  <si>
    <t>803325 - 242403</t>
  </si>
  <si>
    <t>887598 - 16172 - 803327 - 242404</t>
  </si>
  <si>
    <t>242406 - 16150</t>
  </si>
  <si>
    <t>242407 - 803329 - 16159</t>
  </si>
  <si>
    <t>242408 - 242409 - 803331 - 16145 - 803332 - 16164 - 797147 - 16134 - 325644</t>
  </si>
  <si>
    <t>803310 - 16096 - 242415</t>
  </si>
  <si>
    <t>242427 - 16186 - 803297</t>
  </si>
  <si>
    <t>16177 - 410079 - 803301 - 242431 - 410078</t>
  </si>
  <si>
    <t>Charançon noir strié</t>
  </si>
  <si>
    <t>951379 - 409130 - 242433</t>
  </si>
  <si>
    <t>Balanin triste, Charançon du chêne</t>
  </si>
  <si>
    <t>15702 - 409134 - 409135 - 803272 - 242436</t>
  </si>
  <si>
    <t>242437 - 803271 - 15703 - 409136</t>
  </si>
  <si>
    <t>803248 - 242438 - 409148</t>
  </si>
  <si>
    <t>409153 - 242439</t>
  </si>
  <si>
    <t>409175 - 409171 - 409176 - 242440 - 409172 - 409174 - 409180 - 409173 - 409179 - 15713 - 409177 - 803247 - 409178</t>
  </si>
  <si>
    <t>409186 - 242441 - 409187 - 803254 - 409185 - 409183 - 409184 - 15709</t>
  </si>
  <si>
    <t>Anthonome du Merisier</t>
  </si>
  <si>
    <t>16720 - 803281 - 242444 - 16719</t>
  </si>
  <si>
    <t>409209 - 409207 - 409210 - 409208 - 16302 - 16303 - 803352 - 409211 - 242449 - 16300 - 16301</t>
  </si>
  <si>
    <t>24245 - 934555</t>
  </si>
  <si>
    <t>16319 - 16318 - 242450 - 16321 - 409215 - 16320 - 409213 - 409214 - 803353 - 409212</t>
  </si>
  <si>
    <t>16288 - 242451 - 409216 - 16290 - 16289 - 16291</t>
  </si>
  <si>
    <t>803348 - 242452 - 16383</t>
  </si>
  <si>
    <t>409228 - 409230 - 242461 - 16223 - 409229 - 16225 - 16230 - 803338 - 409227 - 409231 - 16271</t>
  </si>
  <si>
    <t>Charançon sauteur brun</t>
  </si>
  <si>
    <t>242463 - 409236 - 16216 - 16218 - 803339 - 409237 - 16217 - 16219</t>
  </si>
  <si>
    <t>16252 - 16253 - 803340 - 242464 - 16254 - 16255</t>
  </si>
  <si>
    <t>409243 - 409248 - 16206 - 409247 - 409246 - 409249 - 409242 - 242468 - 803344 - 16208 - 16205 - 409244 - 409245 - 16207</t>
  </si>
  <si>
    <t>409250 - 242469 - 16293 - 16296 - 16294 - 409251 - 803336 - 16295</t>
  </si>
  <si>
    <t>24247 - 922582</t>
  </si>
  <si>
    <t>803337 - 16269 - 16270 - 242471</t>
  </si>
  <si>
    <t>16259 - 242472 - 16262 - 803341</t>
  </si>
  <si>
    <t>Charançon du hêtre</t>
  </si>
  <si>
    <t>242475 - 16343 - 409274 - 16338 - 16341 - 16339 - 803335 - 16342 - 16337 - 409273</t>
  </si>
  <si>
    <t>24249 - 934526</t>
  </si>
  <si>
    <t>24250 - 934527</t>
  </si>
  <si>
    <t>16462 - 242501</t>
  </si>
  <si>
    <t>24251 - 922590</t>
  </si>
  <si>
    <t>24252 - 934528</t>
  </si>
  <si>
    <t>803226 - 242522 - 15628</t>
  </si>
  <si>
    <t>24253 - 934535</t>
  </si>
  <si>
    <t>242535 - 803224 - 15659</t>
  </si>
  <si>
    <t>242536 - 15652 - 15651 - 803225</t>
  </si>
  <si>
    <t>24255 - 934530</t>
  </si>
  <si>
    <t>409348 - 409349 - 242553</t>
  </si>
  <si>
    <t>970885 - 970886 - 922592 - 24256</t>
  </si>
  <si>
    <t>409404 - 242560 - 803581 - 409392 - 409418 - 409414 - 11810 - 409388 - 409397 - 409396 - 409398 - 409390 - 409410</t>
  </si>
  <si>
    <t>242564 - 803584</t>
  </si>
  <si>
    <t>409486 - 242570 - 409485</t>
  </si>
  <si>
    <t>242571 - 837244</t>
  </si>
  <si>
    <t>13139 - 242583 - 803608</t>
  </si>
  <si>
    <t>13165 - 13166 - 242602</t>
  </si>
  <si>
    <t>242623 - 13841 - 803560 - 13842</t>
  </si>
  <si>
    <t>409649 - 13254 - 242630</t>
  </si>
  <si>
    <t>242633 - 409657 - 845197 - 409656</t>
  </si>
  <si>
    <t>242636 - 803667</t>
  </si>
  <si>
    <t>Charançon bordé</t>
  </si>
  <si>
    <t>242640 - 14340 - 803547</t>
  </si>
  <si>
    <t>409751 - 13407 - 13518 - 409748 - 409755 - 242644 - 803614 - 409745 - 409753 - 409754 - 409758 - 409746 - 409752 - 13520 - 409756 - 409744 - 409757</t>
  </si>
  <si>
    <t>13491 - 242645 - 13488 - 803616 - 409777 - 13489</t>
  </si>
  <si>
    <t>242650 - 803664 - 409799</t>
  </si>
  <si>
    <t>409800 - 951312 - 886455 - 13699 - 242651 - 13700 - 951311 - 884899</t>
  </si>
  <si>
    <t>Charançon vert soyeux</t>
  </si>
  <si>
    <t>242655 - 699781 - 884904</t>
  </si>
  <si>
    <t>242658 - 803654 - 13652</t>
  </si>
  <si>
    <t>Pachyrhine de Lethierry</t>
  </si>
  <si>
    <t>15151 - 242663 - 409821 - 15150</t>
  </si>
  <si>
    <t>409843 - 242671 - 803458 - 409844 - 15002 - 409842 - 409841</t>
  </si>
  <si>
    <t>409871 - 14916 - 409869 - 14915 - 242675 - 803497 - 409868 - 409870</t>
  </si>
  <si>
    <t>242694 - 15203 - 15206 - 15202 - 803436 - 15205</t>
  </si>
  <si>
    <t>803437 - 242695</t>
  </si>
  <si>
    <t>15218 - 242700 - 15219</t>
  </si>
  <si>
    <t>15154 - 951362 - 15155 - 242701 - 409957 - 409958 - 803441 - 409956</t>
  </si>
  <si>
    <t>Charançon à guêpière, Charançon géographie</t>
  </si>
  <si>
    <t>24271 - 399543</t>
  </si>
  <si>
    <t>922312 - 24272</t>
  </si>
  <si>
    <t>410002 - 242734 - 410006 - 410007 - 410005 - 803418 - 410004 - 15280 - 410003 - 410008 - 410009 - 15281</t>
  </si>
  <si>
    <t>15224 - 15225 - 242735 - 410010 - 410011</t>
  </si>
  <si>
    <t>893512 - 15030 - 242736</t>
  </si>
  <si>
    <t>242737 - 410012 - 15027 - 803417</t>
  </si>
  <si>
    <t>410028 - 844740 - 242739 - 410027 - 797153 - 15023 - 15021 - 803416 - 410026</t>
  </si>
  <si>
    <t>15422 - 242742 - 803399 - 410050 - 242760 - 410052 - 410051</t>
  </si>
  <si>
    <t>15427 - 15426 - 242758</t>
  </si>
  <si>
    <t>410118 - 15103 - 15107 - 410121 - 803398 - 803411 - 410122 - 15102 - 410120 - 15108 - 410117 - 242761 - 410119</t>
  </si>
  <si>
    <t>410152 - 410151 - 803796 - 410154 - 410153 - 242777 - 410150</t>
  </si>
  <si>
    <t>242778 - 14526 - 14525 - 884907</t>
  </si>
  <si>
    <t>922316 - 24278</t>
  </si>
  <si>
    <t>242783 - 14401</t>
  </si>
  <si>
    <t>14466 - 409476 - 409478 - 803818 - 410185 - 409477 - 409482 - 242787 - 409481 - 409479 - 409480</t>
  </si>
  <si>
    <t>Pissode du pin</t>
  </si>
  <si>
    <t>803082 - 242789 - 14631</t>
  </si>
  <si>
    <t>24280 - 934510</t>
  </si>
  <si>
    <t>17592 - 410474 - 242807 - 410473</t>
  </si>
  <si>
    <t>410479 - 410476 - 242808 - 410480 - 410477 - 802965 - 410481 - 410475 - 410478</t>
  </si>
  <si>
    <t>799542 - 242861 - 410530</t>
  </si>
  <si>
    <t>934519 - 24288</t>
  </si>
  <si>
    <t>799505 - 10325 - 410561 - 242908 - 410562</t>
  </si>
  <si>
    <t>934547 - 24292</t>
  </si>
  <si>
    <t>410600 - 242953 - 980771 - 799857</t>
  </si>
  <si>
    <t>992410 - 410626 - 9954 - 242957 - 410625 - 410624</t>
  </si>
  <si>
    <t>410632 - 242958 - 410630 - 410628 - 410629 - 800540 - 9957 - 410631 - 410627</t>
  </si>
  <si>
    <t>410645 - 242965</t>
  </si>
  <si>
    <t>410655 - 800588 - 410650 - 242970 - 410651 - 410654 - 410652 - 410656 - 410653</t>
  </si>
  <si>
    <t>410681 - 410680 - 410679 - 716289 - 242974 - 410678</t>
  </si>
  <si>
    <t>800591 - 410685 - 242975 - 410686 - 410682 - 410683 - 9918 - 410684</t>
  </si>
  <si>
    <t>242979 - 9920 - 800592 - 410690</t>
  </si>
  <si>
    <t>800599 - 242986</t>
  </si>
  <si>
    <t>410714 - 242990</t>
  </si>
  <si>
    <t>410777 - 410775 - 410776 - 410774 - 243002</t>
  </si>
  <si>
    <t>800613 - 243005</t>
  </si>
  <si>
    <t>410799 - 243011</t>
  </si>
  <si>
    <t>243020 - 800582</t>
  </si>
  <si>
    <t>243023 - 800579</t>
  </si>
  <si>
    <t>410845 - 800565 - 410846 - 243027</t>
  </si>
  <si>
    <t>945645 - 24304 - 945644</t>
  </si>
  <si>
    <t>243042 - 410878</t>
  </si>
  <si>
    <t>410885 - 410886 - 410883 - 800575 - 243046 - 410884</t>
  </si>
  <si>
    <t>410894 - 410890 - 800560 - 410891 - 410892 - 243053 - 410893</t>
  </si>
  <si>
    <t>913606 - 24306</t>
  </si>
  <si>
    <t>410909 - 410910 - 243061 - 410908 - 718460 - 800547 - 410906 - 410907</t>
  </si>
  <si>
    <t>410928 - 410929 - 800557 - 243068 - 410926 - 410927</t>
  </si>
  <si>
    <t>800628 - 410939 - 243073 - 410938 - 410937</t>
  </si>
  <si>
    <t>410942 - 410945 - 243076 - 410943 - 410946 - 800629 - 9842 - 410944</t>
  </si>
  <si>
    <t>410960 - 990378 - 410961 - 243079</t>
  </si>
  <si>
    <t>800633 - 243082</t>
  </si>
  <si>
    <t>800635 - 410992 - 243086</t>
  </si>
  <si>
    <t>411019 - 411020 - 411021 - 975029 - 243092 - 9836 - 800638</t>
  </si>
  <si>
    <t>411023 - 411029 - 411028 - 411026 - 800639 - 411025 - 411027 - 411022 - 411024 - 243093</t>
  </si>
  <si>
    <t>24310 - 932910</t>
  </si>
  <si>
    <t>243116 - 411076 - 411075</t>
  </si>
  <si>
    <t>411078 - 411081 - 411077 - 411080 - 800648 - 411079 - 243117</t>
  </si>
  <si>
    <t>411095 - 411094 - 243124 - 411096 - 252981 - 800652</t>
  </si>
  <si>
    <t>243142 - 800683 - 844699</t>
  </si>
  <si>
    <t>243144 - 411139 - 411145 - 411146 - 800685 - 699766 - 411142 - 411140 - 411143 - 972890 - 411144 - 411141</t>
  </si>
  <si>
    <t>411162 - 411163 - 243147</t>
  </si>
  <si>
    <t>9867 - 243167 - 800679</t>
  </si>
  <si>
    <t>800674 - 411182 - 243170 - 9857 - 411183</t>
  </si>
  <si>
    <t>Staphylin velouté</t>
  </si>
  <si>
    <t>243174 - 800661</t>
  </si>
  <si>
    <t>252997 - 243175 - 798184 - 252998 - 800662</t>
  </si>
  <si>
    <t>243177 - 411200 - 411198 - 800664 - 411199</t>
  </si>
  <si>
    <t>411219 - 800667 - 411220 - 243178 - 845173 - 411218</t>
  </si>
  <si>
    <t>411224 - 411223 - 243179 - 411221 - 9885 - 845174 - 411222</t>
  </si>
  <si>
    <t>Staphylin à bouton d'or</t>
  </si>
  <si>
    <t>243187 - 800656</t>
  </si>
  <si>
    <t>411270 - 9859 - 411269 - 411268 - 243188 - 800657 - 411271</t>
  </si>
  <si>
    <t>Staphylin aux élytres de braises</t>
  </si>
  <si>
    <t>411314 - 411312 - 411313 - 411316 - 243199 - 411315</t>
  </si>
  <si>
    <t>411336 - 411335 - 800701 - 847547 - 243223 - 243206</t>
  </si>
  <si>
    <t>411340 - 411339 - 411337 - 411378 - 411376 - 243207 - 411338 - 411342 - 411377 - 411341 - 411375</t>
  </si>
  <si>
    <t>411354 - 411352 - 411360 - 411350 - 411348 - 411347 - 411356 - 411358 - 411353 - 975026 - 411346 - 411359 - 411351 - 411357 - 243209 - 411355 - 411345 - 411349 - 800693</t>
  </si>
  <si>
    <t>850469 - 24321</t>
  </si>
  <si>
    <t>411361 - 411363 - 243211 - 411362</t>
  </si>
  <si>
    <t>243213 - 411367 - 411365 - 411366</t>
  </si>
  <si>
    <t>411369 - 243214 - 800694 - 411371 - 411368 - 411370</t>
  </si>
  <si>
    <t>800692 - 243218 - 845155</t>
  </si>
  <si>
    <t>411381 - 411379 - 411380 - 243219 - 411382</t>
  </si>
  <si>
    <t>243220 - 800689 - 411383 - 411384</t>
  </si>
  <si>
    <t>411390 - 411388 - 411391 - 411389 - 243221 - 411387 - 411385 - 800690 - 411386</t>
  </si>
  <si>
    <t>Staphylin noir à bandes de points</t>
  </si>
  <si>
    <t>243224 - 800688</t>
  </si>
  <si>
    <t>913608 - 24323</t>
  </si>
  <si>
    <t>800458 - 411421 - 411420 - 411422 - 243241</t>
  </si>
  <si>
    <t>844785 - 243250 - 411423 - 411424 - 800468</t>
  </si>
  <si>
    <t>243257 - 9979 - 411436 - 411438 - 800496 - 411437 - 887295</t>
  </si>
  <si>
    <t>24326 - 913328</t>
  </si>
  <si>
    <t>800481 - 411457 - 716334 - 411454 - 243270 - 253023 - 329909 - 411453 - 9978 - 411456 - 411455 - 243272</t>
  </si>
  <si>
    <t>800475 - 411463 - 243290 - 411460 - 411462 - 243275 - 411461 - 699688 - 411459</t>
  </si>
  <si>
    <t>Staphylin noir à pattes fauves &amp; étuis pointillés</t>
  </si>
  <si>
    <t>800476 - 243279 - 411468 - 887297 - 411470 - 411471 - 411469</t>
  </si>
  <si>
    <t>243280 - 411474 - 411472 - 411473</t>
  </si>
  <si>
    <t>411478 - 243281 - 411477 - 800477 - 890350 - 411479 - 411476 - 411475</t>
  </si>
  <si>
    <t>411488 - 243283 - 411490 - 411487 - 411491 - 411489</t>
  </si>
  <si>
    <t>24329 - 932924 - 432562</t>
  </si>
  <si>
    <t>411512 - 411511 - 800515 - 243300 - 411510</t>
  </si>
  <si>
    <t>800518 - 411515 - 243305 - 411514 - 411517 - 411516</t>
  </si>
  <si>
    <t>243306 - 800522 - 411518 - 644202 - 411519</t>
  </si>
  <si>
    <t>839516 - 913330 - 24331</t>
  </si>
  <si>
    <t>800513 - 798178 - 243311</t>
  </si>
  <si>
    <t>330087 - 243322 - 798176 - 798177 - 243318</t>
  </si>
  <si>
    <t>243329 - 902067 - 411557 - 411555 - 411559 - 411556 - 674695 - 411558</t>
  </si>
  <si>
    <t>411567 - 243331</t>
  </si>
  <si>
    <t>411571 - 243332 - 411572</t>
  </si>
  <si>
    <t>411577 - 243334</t>
  </si>
  <si>
    <t>411603 - 411604 - 10006 - 411606 - 411607 - 411605 - 411602 - 411610 - 411601 - 411612 - 411600 - 800526 - 411599 - 411609 - 243337 - 411608 - 411611</t>
  </si>
  <si>
    <t>Staphylin noir à corselet rouge</t>
  </si>
  <si>
    <t>411613 - 411616 - 411615 - 411614 - 243338 - 10005</t>
  </si>
  <si>
    <t>Pédère rufficole</t>
  </si>
  <si>
    <t>800529 - 243347 - 411632</t>
  </si>
  <si>
    <t>24335 - 913346</t>
  </si>
  <si>
    <t>411637 - 411636 - 411635 - 243353</t>
  </si>
  <si>
    <t>800531 - 411649 - 243359 - 9991 - 411650</t>
  </si>
  <si>
    <t>24427 - 24336 - 913347</t>
  </si>
  <si>
    <t>243361 - 411653 - 411651 - 800532 - 411652</t>
  </si>
  <si>
    <t>Staphylin à corselet étranglé</t>
  </si>
  <si>
    <t>800533 - 243362</t>
  </si>
  <si>
    <t>243367 - 243366 - 644219 - 411663</t>
  </si>
  <si>
    <t>800538 - 243368</t>
  </si>
  <si>
    <t>913297 - 24338</t>
  </si>
  <si>
    <t>839529 - 913348 - 24339</t>
  </si>
  <si>
    <t>24340 - 914799</t>
  </si>
  <si>
    <t>913350 - 24342 - 217386</t>
  </si>
  <si>
    <t>913354 - 24343</t>
  </si>
  <si>
    <t>24348 - 914675</t>
  </si>
  <si>
    <t>945466 - 24349 - 945464</t>
  </si>
  <si>
    <t>24353 - 913669</t>
  </si>
  <si>
    <t>411680 - 243564 - 411681 - 411682 - 411683</t>
  </si>
  <si>
    <t>411686 - 800357 - 243565</t>
  </si>
  <si>
    <t>800360 - 243566 - 411687</t>
  </si>
  <si>
    <t>411699 - 243572 - 411697 - 800383 - 411698</t>
  </si>
  <si>
    <t>800384 - 411705 - 411701 - 411706 - 411702 - 411707 - 411704 - 411700 - 411703 - 243573</t>
  </si>
  <si>
    <t>411720 - 411717 - 411718 - 411716 - 800385 - 411714 - 411713 - 411715 - 411719 - 243576 - 411712</t>
  </si>
  <si>
    <t>Staphylin à étuis jaunes au milieu</t>
  </si>
  <si>
    <t>411721 - 411723 - 243577 - 411722</t>
  </si>
  <si>
    <t>24359 - 718439 - 932730 - 24358</t>
  </si>
  <si>
    <t>243581 - 411735 - 411732 - 411734 - 411736 - 844706 - 411733 - 411731 - 800381</t>
  </si>
  <si>
    <t>411737 - 411742 - 243582 - 411740 - 411741 - 411739 - 411738 - 800382</t>
  </si>
  <si>
    <t>Oxytèle</t>
  </si>
  <si>
    <t>411744 - 10110 - 411743 - 411745 - 243585</t>
  </si>
  <si>
    <t>411747 - 800367 - 243588</t>
  </si>
  <si>
    <t>243590 - 411750 - 411749 - 10111</t>
  </si>
  <si>
    <t>243592 - 716330</t>
  </si>
  <si>
    <t>411759 - 411760 - 411761 - 243593 - 411753 - 411754 - 411757 - 411755 - 411758 - 411756 - 800369</t>
  </si>
  <si>
    <t>411773 - 411767 - 411771 - 243596 - 411770 - 411768 - 411766 - 411772 - 411765 - 411769 - 800373</t>
  </si>
  <si>
    <t>Staphylin noir à corselet sillonné &amp; bordé</t>
  </si>
  <si>
    <t>243598 - 411777 - 411775 - 411776 - 800375 - 411774</t>
  </si>
  <si>
    <t>411778 - 800377 - 411779 - 243600</t>
  </si>
  <si>
    <t>243602 - 800429 - 411782 - 411781</t>
  </si>
  <si>
    <t>24363 - 217498 - 932867</t>
  </si>
  <si>
    <t>24364 - 945592 - 217499</t>
  </si>
  <si>
    <t>887292 - 243640 - 800386</t>
  </si>
  <si>
    <t>243643 - 800395</t>
  </si>
  <si>
    <t>800400 - 243647</t>
  </si>
  <si>
    <t>24365 - 712935 - 217500</t>
  </si>
  <si>
    <t>411811 - 411821 - 243650 - 411809 - 411824 - 411823 - 411825 - 411810 - 411822 - 411808</t>
  </si>
  <si>
    <t>800407 - 411829 - 411830 - 243653 - 10120 - 411828 - 411827 - 411831</t>
  </si>
  <si>
    <t>913695 - 24367</t>
  </si>
  <si>
    <t>913657 - 913658 - 913656 - 913659 - 914607 - 24368</t>
  </si>
  <si>
    <t>411936 - 411935 - 411938 - 243705 - 800379 - 411937</t>
  </si>
  <si>
    <t>24371 - 989082</t>
  </si>
  <si>
    <t>913660 - 913696 - 913662 - 24373</t>
  </si>
  <si>
    <t>411943 - 243733</t>
  </si>
  <si>
    <t>10154 - 243745 - 799573</t>
  </si>
  <si>
    <t>243773 - 799560</t>
  </si>
  <si>
    <t>799554 - 243776</t>
  </si>
  <si>
    <t>799592 - 243803</t>
  </si>
  <si>
    <t>412110 - 799603 - 243810 - 412109 - 412108</t>
  </si>
  <si>
    <t>10186 - 799610 - 412118 - 243814</t>
  </si>
  <si>
    <t>Dermeste noir à étuis courts</t>
  </si>
  <si>
    <t>412120 - 412119 - 412121 - 799612 - 243816</t>
  </si>
  <si>
    <t>243819 - 894635</t>
  </si>
  <si>
    <t>412131 - 894641 - 243821</t>
  </si>
  <si>
    <t>243830 - 412158 - 412156 - 799629 - 412155 - 412157</t>
  </si>
  <si>
    <t>412169 - 243837 - 412171 - 412170 - 799628</t>
  </si>
  <si>
    <t>243838 - 799625</t>
  </si>
  <si>
    <t>243839 - 799624</t>
  </si>
  <si>
    <t>24380 - 24384 - 24390 - 24381 - 913315</t>
  </si>
  <si>
    <t>412181 - 243841 - 412179 - 243846 - 412180 - 412178 - 243849</t>
  </si>
  <si>
    <t>412203 - 696750 - 886500 - 412204 - 803829 - 412202 - 799623 - 243859</t>
  </si>
  <si>
    <t>24378 - 24386 - 850464 - 24382</t>
  </si>
  <si>
    <t>24377 - 258306 - 24387 - 24375</t>
  </si>
  <si>
    <t>243872 - 894619</t>
  </si>
  <si>
    <t>243875 - 9763</t>
  </si>
  <si>
    <t>799850 - 980761 - 980759 - 243879</t>
  </si>
  <si>
    <t>243883 - 798046</t>
  </si>
  <si>
    <t>243888 - 797594</t>
  </si>
  <si>
    <t>24389 - 913316</t>
  </si>
  <si>
    <t>799836 - 243892 - 980618</t>
  </si>
  <si>
    <t>1014935 - 243893 - 799837</t>
  </si>
  <si>
    <t>243896 - 799841</t>
  </si>
  <si>
    <t>1016524 - 799842 - 243897</t>
  </si>
  <si>
    <t>799849 - 243903 - 980754 - 980753 - 980755 - 796971</t>
  </si>
  <si>
    <t>799833 - 243904</t>
  </si>
  <si>
    <t>799829 - 639641 - 243907</t>
  </si>
  <si>
    <t>9798 - 243929</t>
  </si>
  <si>
    <t>913318 - 24393</t>
  </si>
  <si>
    <t>243930 - 799809 - 9799</t>
  </si>
  <si>
    <t>780015 - 9800 - 243933 - 721766</t>
  </si>
  <si>
    <t>243935 - 9801</t>
  </si>
  <si>
    <t>799808 - 243939 - 845136</t>
  </si>
  <si>
    <t>243940 - 799805</t>
  </si>
  <si>
    <t>243954 - 412224</t>
  </si>
  <si>
    <t>243956 - 10092</t>
  </si>
  <si>
    <t>932885 - 24396</t>
  </si>
  <si>
    <t>243960 - 800437</t>
  </si>
  <si>
    <t>Staphylin junon</t>
  </si>
  <si>
    <t>243970 - 800435</t>
  </si>
  <si>
    <t>243971 - 412227</t>
  </si>
  <si>
    <t>945612 - 945609 - 24398 - 945613 - 945611 - 945614 - 945607 - 945610</t>
  </si>
  <si>
    <t>932886 - 24399</t>
  </si>
  <si>
    <t>913321 - 217586 - 24401</t>
  </si>
  <si>
    <t>244015 - 412228</t>
  </si>
  <si>
    <t>24303 - 945651 - 24403 - 945650</t>
  </si>
  <si>
    <t>244034 - 800436</t>
  </si>
  <si>
    <t>10076 - 800434 - 244042</t>
  </si>
  <si>
    <t>799858 - 244085 - 9776</t>
  </si>
  <si>
    <t>412242 - 244097 - 800264</t>
  </si>
  <si>
    <t>913610 - 24410</t>
  </si>
  <si>
    <t>913667 - 24414</t>
  </si>
  <si>
    <t>244154 - 800072 - 412251</t>
  </si>
  <si>
    <t>800168 - 244170</t>
  </si>
  <si>
    <t>800157 - 244172 - 412276 - 412275</t>
  </si>
  <si>
    <t>412296 - 244183 - 412293 - 412295 - 800185 - 412294 - 412292</t>
  </si>
  <si>
    <t>800187 - 412300 - 244184 - 412297 - 412299 - 412298</t>
  </si>
  <si>
    <t>24420 - 913668</t>
  </si>
  <si>
    <t>800220 - 244226</t>
  </si>
  <si>
    <t>704926 - 244227 - 800221</t>
  </si>
  <si>
    <t>244253 - 792252</t>
  </si>
  <si>
    <t>799672 - 244254</t>
  </si>
  <si>
    <t>244255 - 799673</t>
  </si>
  <si>
    <t>244257 - 799674</t>
  </si>
  <si>
    <t>244260 - 799727</t>
  </si>
  <si>
    <t>799709 - 244276</t>
  </si>
  <si>
    <t>799712 - 244279</t>
  </si>
  <si>
    <t>244282 - 799714</t>
  </si>
  <si>
    <t>932584 - 24429</t>
  </si>
  <si>
    <t>799732 - 244328 - 844709</t>
  </si>
  <si>
    <t>799740 - 244337</t>
  </si>
  <si>
    <t>945479 - 24434 - 945477 - 945478</t>
  </si>
  <si>
    <t>10275 - 798036 - 244358</t>
  </si>
  <si>
    <t>913298 - 24436</t>
  </si>
  <si>
    <t>244378 - 799693</t>
  </si>
  <si>
    <t>24438 - 932587</t>
  </si>
  <si>
    <t>244395 - 990382</t>
  </si>
  <si>
    <t>244396 - 894112</t>
  </si>
  <si>
    <t>799680 - 244403</t>
  </si>
  <si>
    <t>244405 - 798027 - 10229</t>
  </si>
  <si>
    <t>798028 - 979286 - 244406</t>
  </si>
  <si>
    <t>799687 - 798029 - 797995 - 244409</t>
  </si>
  <si>
    <t>913670 - 24441</t>
  </si>
  <si>
    <t>244422 - 799692</t>
  </si>
  <si>
    <t>24444 - 913355</t>
  </si>
  <si>
    <t>24447 - 913356</t>
  </si>
  <si>
    <t>244510 - 799786</t>
  </si>
  <si>
    <t>820740 - 800341 - 244517</t>
  </si>
  <si>
    <t>800342 - 244519</t>
  </si>
  <si>
    <t>799645 - 244525</t>
  </si>
  <si>
    <t>24453 - 945480 - 945482</t>
  </si>
  <si>
    <t>244532 - 799642</t>
  </si>
  <si>
    <t>799643 - 244533</t>
  </si>
  <si>
    <t>932591 - 24454</t>
  </si>
  <si>
    <t>799648 - 244543</t>
  </si>
  <si>
    <t>244560 - 18656</t>
  </si>
  <si>
    <t>913300 - 24458</t>
  </si>
  <si>
    <t>244580 - 412321 - 886451 - 412322 - 800889</t>
  </si>
  <si>
    <t>801453 - 244582</t>
  </si>
  <si>
    <t>Fil de fer</t>
  </si>
  <si>
    <t>802163 - 244583</t>
  </si>
  <si>
    <t>Pince-monseigneur</t>
  </si>
  <si>
    <t>913672 - 24459 - 839522</t>
  </si>
  <si>
    <t>24460 - 913296</t>
  </si>
  <si>
    <t>244606 - 802083</t>
  </si>
  <si>
    <t>945483 - 24461</t>
  </si>
  <si>
    <t>820772 - 244612 - 698872 - 820774</t>
  </si>
  <si>
    <t>244614 - 802087</t>
  </si>
  <si>
    <t>Lépreux des mycètes</t>
  </si>
  <si>
    <t>8227 - 989758 - 802101 - 244620</t>
  </si>
  <si>
    <t>Hélope à queue</t>
  </si>
  <si>
    <t>914716 - 24463 - 838526</t>
  </si>
  <si>
    <t>244631 - 12033</t>
  </si>
  <si>
    <t>802096 - 244636</t>
  </si>
  <si>
    <t>244637 - 802097 - 951493 - 951492 - 12025</t>
  </si>
  <si>
    <t>Hélope brune</t>
  </si>
  <si>
    <t>802160 - 244657</t>
  </si>
  <si>
    <t>24466 - 913671</t>
  </si>
  <si>
    <t>Ténébrion meunier, Ténébrion à neuf stries lisses</t>
  </si>
  <si>
    <t>780011 - 244668</t>
  </si>
  <si>
    <t>802140 - 244669</t>
  </si>
  <si>
    <t>12019 - 802142 - 244675</t>
  </si>
  <si>
    <t>Ténébrion gourmand</t>
  </si>
  <si>
    <t>802145 - 244680 - 12006</t>
  </si>
  <si>
    <t>244683 - 802155</t>
  </si>
  <si>
    <t>Navette violette</t>
  </si>
  <si>
    <t>802154 - 244685</t>
  </si>
  <si>
    <t>244689 - 820776 - 802148</t>
  </si>
  <si>
    <t>24469 - 913358</t>
  </si>
  <si>
    <t>802125 - 244702</t>
  </si>
  <si>
    <t>244704 - 802127 - 962781</t>
  </si>
  <si>
    <t>244707 - 413922 - 413920 - 949217 - 413923 - 413921 - 20858</t>
  </si>
  <si>
    <t>21082 - 938071 - 413937 - 244715 - 727375 - 413938 - 413936</t>
  </si>
  <si>
    <t>24476 - 913673</t>
  </si>
  <si>
    <t>244763 - 414100</t>
  </si>
  <si>
    <t>949283 - 244794</t>
  </si>
  <si>
    <t>24483 - 932728</t>
  </si>
  <si>
    <t>24485 - 945541</t>
  </si>
  <si>
    <t>24488 - 913307 - 976872</t>
  </si>
  <si>
    <t>938057 - 414302 - 244890 - 414304 - 414305 - 414303</t>
  </si>
  <si>
    <t>414323 - 244903 - 938032</t>
  </si>
  <si>
    <t>244961 - 937854 - 20937</t>
  </si>
  <si>
    <t>945594 - 24499</t>
  </si>
  <si>
    <t>245012 - 414494 - 414493 - 20753 - 937618</t>
  </si>
  <si>
    <t>24502 - 712405</t>
  </si>
  <si>
    <t>937649 - 20771 - 245027 - 414505 - 414506</t>
  </si>
  <si>
    <t>20788 - 414524 - 245038 - 414528 - 414521 - 414522 - 20793 - 414530 - 414525 - 414527 - 414526 - 414531 - 414523 - 20792 - 414529 - 914662</t>
  </si>
  <si>
    <t>937639 - 414532 - 20794 - 245039</t>
  </si>
  <si>
    <t>24504 - 913694</t>
  </si>
  <si>
    <t>Rhyngie champêtre, Syrphe à long nez des champs</t>
  </si>
  <si>
    <t>850682 - 24510</t>
  </si>
  <si>
    <t>414623 - 938078 - 414622 - 245112</t>
  </si>
  <si>
    <t>932920 - 24512</t>
  </si>
  <si>
    <t>54516 - 245138</t>
  </si>
  <si>
    <t>521509 - 54517 - 826649 - 54518 - 727864 - 726500 - 726481 - 727863 - 414728 - 245140 - 414727 - 727416 - 414729</t>
  </si>
  <si>
    <t>727904 - 726504 - 726503 - 245141 - 727865 - 54510 - 727417</t>
  </si>
  <si>
    <t>791724 - 791723 - 54524 - 245154</t>
  </si>
  <si>
    <t>726505 - 245155 - 931582 - 726506</t>
  </si>
  <si>
    <t>245158 - 726511 - 927936</t>
  </si>
  <si>
    <t>245161 - 716710 - 721559 - 54535 - 951712</t>
  </si>
  <si>
    <t>Sylvine (La)</t>
  </si>
  <si>
    <t>54538 - 647733 - 245166 - 822011</t>
  </si>
  <si>
    <t>Hépatique (L'), Hépiale de la Fougère (L'), Patte-en-Masse (La)</t>
  </si>
  <si>
    <t>245167 - 926814</t>
  </si>
  <si>
    <t>927590 - 245168</t>
  </si>
  <si>
    <t>840840 - 245171</t>
  </si>
  <si>
    <t>245172 - 925533</t>
  </si>
  <si>
    <t>414739 - 932371 - 245173</t>
  </si>
  <si>
    <t>245174 - 927478</t>
  </si>
  <si>
    <t>927691 - 245175 - 414740</t>
  </si>
  <si>
    <t>980600 - 925532 - 245176</t>
  </si>
  <si>
    <t>926804 - 245177</t>
  </si>
  <si>
    <t>826644 - 245178</t>
  </si>
  <si>
    <t>927582 - 245179</t>
  </si>
  <si>
    <t>245180 - 926803</t>
  </si>
  <si>
    <t>927699 - 245181</t>
  </si>
  <si>
    <t>245183 - 824945</t>
  </si>
  <si>
    <t>414742 - 414743 - 414741 - 825078 - 245184 - 920292</t>
  </si>
  <si>
    <t>245185 - 826648</t>
  </si>
  <si>
    <t>927703 - 245186</t>
  </si>
  <si>
    <t>826626 - 245187 - 932404</t>
  </si>
  <si>
    <t>932405 - 927696 - 414744 - 245190</t>
  </si>
  <si>
    <t>245191 - 840836</t>
  </si>
  <si>
    <t>927486 - 245192</t>
  </si>
  <si>
    <t>245193 - 927693</t>
  </si>
  <si>
    <t>925145 - 245194 - 840834 - 414745</t>
  </si>
  <si>
    <t>926805 - 245195</t>
  </si>
  <si>
    <t>927698 - 245196</t>
  </si>
  <si>
    <t>414746 - 918935 - 245197</t>
  </si>
  <si>
    <t>245198 - 926211</t>
  </si>
  <si>
    <t>822608 - 826642 - 245199 - 840842 - 916657</t>
  </si>
  <si>
    <t>245201 - 918596 - 932425</t>
  </si>
  <si>
    <t>926808 - 932426 - 245202</t>
  </si>
  <si>
    <t>926807 - 245203</t>
  </si>
  <si>
    <t>840843 - 918598 - 245206</t>
  </si>
  <si>
    <t>921475 - 245207</t>
  </si>
  <si>
    <t>926806 - 245209</t>
  </si>
  <si>
    <t>245210 - 921435 - 414748</t>
  </si>
  <si>
    <t>925534 - 245211</t>
  </si>
  <si>
    <t>414750 - 915323 - 245212 - 824933 - 414749 - 414751</t>
  </si>
  <si>
    <t>414752 - 825079 - 245214</t>
  </si>
  <si>
    <t>245215 - 918933</t>
  </si>
  <si>
    <t>414760 - 245219 - 918934</t>
  </si>
  <si>
    <t>927697 - 245220 - 414761</t>
  </si>
  <si>
    <t>932442 - 925834 - 245221</t>
  </si>
  <si>
    <t>927584 - 414762 - 245222</t>
  </si>
  <si>
    <t>245225 - 927583</t>
  </si>
  <si>
    <t>414764 - 927587 - 245226</t>
  </si>
  <si>
    <t>918597 - 245230 - 826633</t>
  </si>
  <si>
    <t>245231 - 826638 - 918595</t>
  </si>
  <si>
    <t>932443 - 921436 - 245232</t>
  </si>
  <si>
    <t>927684 - 245233</t>
  </si>
  <si>
    <t>245249 - 921473</t>
  </si>
  <si>
    <t>932636 - 927489 - 245256</t>
  </si>
  <si>
    <t>932582 - 1011706 - 1011707 - 24528 - 24526</t>
  </si>
  <si>
    <t>245262 - 927476</t>
  </si>
  <si>
    <t>414773 - 414772 - 414774 - 825080 - 245268</t>
  </si>
  <si>
    <t>245269 - 414775 - 927477</t>
  </si>
  <si>
    <t>918931 - 245270</t>
  </si>
  <si>
    <t>825081 - 245271</t>
  </si>
  <si>
    <t>927480 - 245272</t>
  </si>
  <si>
    <t>245273 - 932644 - 927485</t>
  </si>
  <si>
    <t>414777 - 932646 - 414776 - 245274 - 918625</t>
  </si>
  <si>
    <t>24529 - 914666</t>
  </si>
  <si>
    <t>245306 - 932444 - 926139</t>
  </si>
  <si>
    <t>245308 - 916658 - 932648</t>
  </si>
  <si>
    <t>245309 - 921438</t>
  </si>
  <si>
    <t>898985 - 24531</t>
  </si>
  <si>
    <t>920041 - 245311</t>
  </si>
  <si>
    <t>245314 - 917494 - 414788</t>
  </si>
  <si>
    <t>414790 - 924750 - 245315</t>
  </si>
  <si>
    <t>726489 - 726490 - 245321 - 890986</t>
  </si>
  <si>
    <t>414795 - 726492 - 917680 - 826096 - 414794 - 414796 - 245323</t>
  </si>
  <si>
    <t>245324 - 726495 - 726496</t>
  </si>
  <si>
    <t>726494 - 245325 - 726493 - 826092</t>
  </si>
  <si>
    <t>414798 - 245326 - 917586 - 726491</t>
  </si>
  <si>
    <t>416623 - 918191 - 245330 - 416622 - 826098 - 808377</t>
  </si>
  <si>
    <t>726485 - 414800 - 245331</t>
  </si>
  <si>
    <t>826099 - 726488 - 245335 - 414802</t>
  </si>
  <si>
    <t>Adèle verdoyante</t>
  </si>
  <si>
    <t>245336 - 726486</t>
  </si>
  <si>
    <t>918949 - 414803 - 726475 - 699715 - 245337</t>
  </si>
  <si>
    <t>245338 - 726471 - 726472 - 414804 - 918189</t>
  </si>
  <si>
    <t>245339 - 459061 - 726467</t>
  </si>
  <si>
    <t>24534 - 898986</t>
  </si>
  <si>
    <t>414806 - 726487 - 716689 - 980799 - 924396 - 245343</t>
  </si>
  <si>
    <t>245344 - 916654 - 414808 - 826579 - 414807</t>
  </si>
  <si>
    <t>245345 - 916651</t>
  </si>
  <si>
    <t>980745 - 414812 - 917493 - 245351</t>
  </si>
  <si>
    <t>917587 - 245354</t>
  </si>
  <si>
    <t>726516 - 245358 - 726517</t>
  </si>
  <si>
    <t>917496 - 245361</t>
  </si>
  <si>
    <t>918930 - 414818 - 414819 - 245367</t>
  </si>
  <si>
    <t>414820 - 245368 - 839403</t>
  </si>
  <si>
    <t>826090 - 245369 - 726514</t>
  </si>
  <si>
    <t>726515 - 245371</t>
  </si>
  <si>
    <t>917495 - 245372</t>
  </si>
  <si>
    <t>927468 - 824931 - 245376 - 414821</t>
  </si>
  <si>
    <t>918591 - 521511 - 245379 - 824930</t>
  </si>
  <si>
    <t>245380 - 926036 - 521512</t>
  </si>
  <si>
    <t>245381 - 826621 - 822605 - 819859</t>
  </si>
  <si>
    <t>884123 - 824925 - 822600 - 245382 - 825084</t>
  </si>
  <si>
    <t>414922 - 245383 - 726270 - 414827 - 978219 - 414828</t>
  </si>
  <si>
    <t>414829 - 245384 - 927337 - 414830</t>
  </si>
  <si>
    <t>414832 - 978218 - 826057 - 245385 - 414831 - 414833 - 726273</t>
  </si>
  <si>
    <t>414835 - 913618 - 974173 - 414837 - 245386 - 414834 - 414838 - 414836</t>
  </si>
  <si>
    <t>824830 - 245387 - 414839 - 916641</t>
  </si>
  <si>
    <t>916642 - 245388</t>
  </si>
  <si>
    <t>245392 - 414846 - 414848 - 414847 - 726271</t>
  </si>
  <si>
    <t>414859 - 414858 - 245398</t>
  </si>
  <si>
    <t>414862 - 414863 - 245401 - 414861</t>
  </si>
  <si>
    <t>726268 - 726269 - 245403</t>
  </si>
  <si>
    <t>245405 - 414869 - 932248</t>
  </si>
  <si>
    <t>414880 - 414878 - 726282 - 726283 - 245409 - 414879</t>
  </si>
  <si>
    <t>414891 - 245416 - 726281 - 826069</t>
  </si>
  <si>
    <t>927332 - 245422</t>
  </si>
  <si>
    <t>245423 - 726265 - 726264</t>
  </si>
  <si>
    <t>726261 - 414898 - 414899 - 414897 - 726262 - 245424</t>
  </si>
  <si>
    <t>814414 - 245430 - 414904 - 920871 - 245429</t>
  </si>
  <si>
    <t>414921 - 245451 - 923105</t>
  </si>
  <si>
    <t>822585 - 245464 - 826048 - 920678</t>
  </si>
  <si>
    <t>24547 - 932580</t>
  </si>
  <si>
    <t>784148 - 926869 - 245472</t>
  </si>
  <si>
    <t>784147 - 822016 - 822015 - 245473</t>
  </si>
  <si>
    <t>822734 - 245477 - 920290 - 785632 - 924458 - 245476</t>
  </si>
  <si>
    <t>924395 - 807591 - 783136 - 245484 - 459084 - 414929</t>
  </si>
  <si>
    <t>245486 - 918947</t>
  </si>
  <si>
    <t>926856 - 825322 - 925886 - 919141 - 838398 - 784139 - 245491</t>
  </si>
  <si>
    <t>945575 - 945574 - 945579 - 945576 - 945577 - 945578 - 24550</t>
  </si>
  <si>
    <t>245503 - 918583 - 825327 - 414932 - 414931</t>
  </si>
  <si>
    <t>245517 - 783137 - 926825</t>
  </si>
  <si>
    <t>850458 - 24552 - 821023</t>
  </si>
  <si>
    <t>920161 - 979025 - 826049 - 979024 - 245520</t>
  </si>
  <si>
    <t>934605 - 952282 - 414939 - 917487 - 784146 - 245529 - 920966</t>
  </si>
  <si>
    <t>245532 - 917485</t>
  </si>
  <si>
    <t>919230 - 245535 - 726497</t>
  </si>
  <si>
    <t>826559 - 922489 - 414941 - 922488 - 245537</t>
  </si>
  <si>
    <t>414943 - 826625 - 245544 - 921421</t>
  </si>
  <si>
    <t>926645 - 825075 - 822620 - 414945 - 245549</t>
  </si>
  <si>
    <t>923793 - 245553</t>
  </si>
  <si>
    <t>245557 - 920159 - 414947</t>
  </si>
  <si>
    <t>945585 - 945586 - 945587 - 913664 - 945584 - 945588 - 24556</t>
  </si>
  <si>
    <t>245567 - 918215</t>
  </si>
  <si>
    <t>245570 - 921429</t>
  </si>
  <si>
    <t>826623 - 414950 - 920479 - 245571</t>
  </si>
  <si>
    <t>Mineuse, Teigne minière du marronnier (chenille)</t>
  </si>
  <si>
    <t>245574 - 821298 - 822856</t>
  </si>
  <si>
    <t>414951 - 245576 - 822603 - 821301</t>
  </si>
  <si>
    <t>821294 - 245580</t>
  </si>
  <si>
    <t>245582 - 923065 - 821252 - 414953</t>
  </si>
  <si>
    <t>821261 - 245583</t>
  </si>
  <si>
    <t>245585 - 821244 - 825074</t>
  </si>
  <si>
    <t>821250 - 245586</t>
  </si>
  <si>
    <t>821245 - 245590</t>
  </si>
  <si>
    <t>414955 - 821290 - 916635 - 245591</t>
  </si>
  <si>
    <t>245592 - 821248 - 917483</t>
  </si>
  <si>
    <t>245594 - 821238</t>
  </si>
  <si>
    <t>245596 - 785903 - 926701 - 821278</t>
  </si>
  <si>
    <t>245598 - 414956 - 414957 - 920160</t>
  </si>
  <si>
    <t>245601 - 821300 - 926323</t>
  </si>
  <si>
    <t>821227 - 245604</t>
  </si>
  <si>
    <t>821262 - 920339 - 414959 - 245606</t>
  </si>
  <si>
    <t>712407 - 24561</t>
  </si>
  <si>
    <t>245613 - 925857 - 821254 - 825072</t>
  </si>
  <si>
    <t>414962 - 821270 - 245614</t>
  </si>
  <si>
    <t>245615 - 921521</t>
  </si>
  <si>
    <t>924258 - 821246 - 245616</t>
  </si>
  <si>
    <t>916636 - 821251 - 825071 - 245618 - 414963</t>
  </si>
  <si>
    <t>245619 - 821229</t>
  </si>
  <si>
    <t>24562 - 913373</t>
  </si>
  <si>
    <t>821276 - 245624</t>
  </si>
  <si>
    <t>245625 - 821268</t>
  </si>
  <si>
    <t>245626 - 821253</t>
  </si>
  <si>
    <t>245631 - 821228</t>
  </si>
  <si>
    <t>245635 - 821230</t>
  </si>
  <si>
    <t>245637 - 821234 - 825070 - 849775 - 972836 - 414965</t>
  </si>
  <si>
    <t>821264 - 245639 - 822622</t>
  </si>
  <si>
    <t>24564 - 932864</t>
  </si>
  <si>
    <t>245640 - 414966 - 926780</t>
  </si>
  <si>
    <t>821259 - 414967 - 245641 - 926782</t>
  </si>
  <si>
    <t>821289 - 414968 - 821258 - 245642</t>
  </si>
  <si>
    <t>923068 - 821271 - 245644</t>
  </si>
  <si>
    <t>821249 - 245647</t>
  </si>
  <si>
    <t>921448 - 245648 - 821247 - 972838</t>
  </si>
  <si>
    <t>245650 - 821272</t>
  </si>
  <si>
    <t>245655 - 414972 - 821226</t>
  </si>
  <si>
    <t>245656 - 918580 - 821282</t>
  </si>
  <si>
    <t>918581 - 821279 - 245658</t>
  </si>
  <si>
    <t>945589 - 24566</t>
  </si>
  <si>
    <t>821265 - 916637 - 245660</t>
  </si>
  <si>
    <t>926797 - 245665 - 821316</t>
  </si>
  <si>
    <t>821323 - 245666 - 926800</t>
  </si>
  <si>
    <t>245667 - 821315 - 414974 - 926810</t>
  </si>
  <si>
    <t>926798 - 821318 - 245668 - 821317</t>
  </si>
  <si>
    <t>921522 - 245670 - 821319</t>
  </si>
  <si>
    <t>926799 - 821321 - 245673</t>
  </si>
  <si>
    <t>245674 - 821320 - 826542</t>
  </si>
  <si>
    <t>726603 - 918216 - 414977 - 245676 - 826541 - 821311</t>
  </si>
  <si>
    <t>824955 - 924704 - 245684</t>
  </si>
  <si>
    <t>821327 - 245688 - 916634 - 414979 - 978213</t>
  </si>
  <si>
    <t>821326 - 822744 - 824943 - 521514 - 1006793 - 826344 - 245689</t>
  </si>
  <si>
    <t>821346 - 245690 - 822722</t>
  </si>
  <si>
    <t>245691 - 821331 - 822597 - 825065</t>
  </si>
  <si>
    <t>821328 - 826340 - 923104 - 245693</t>
  </si>
  <si>
    <t>790923 - 826312 - 245694</t>
  </si>
  <si>
    <t>926661 - 245696</t>
  </si>
  <si>
    <t>245698 - 916630 - 826540</t>
  </si>
  <si>
    <t>245701 - 826333</t>
  </si>
  <si>
    <t>245702 - 414982 - 926672</t>
  </si>
  <si>
    <t>245704 - 917482</t>
  </si>
  <si>
    <t>921425 - 245705</t>
  </si>
  <si>
    <t>988430 - 245707 - 916632</t>
  </si>
  <si>
    <t>245709 - 918579</t>
  </si>
  <si>
    <t>24571 - 850424</t>
  </si>
  <si>
    <t>826317 - 923064 - 920265 - 245710</t>
  </si>
  <si>
    <t>825068 - 822609 - 245713</t>
  </si>
  <si>
    <t>925054 - 820378 - 245719</t>
  </si>
  <si>
    <t>24572 - 839518 - 913333</t>
  </si>
  <si>
    <t>414983 - 245728</t>
  </si>
  <si>
    <t>726571 - 245731 - 726569</t>
  </si>
  <si>
    <t>726572 - 726573 - 245732 - 820382 - 790924 - 820383</t>
  </si>
  <si>
    <t>923049 - 245736 - 820386 - 414984</t>
  </si>
  <si>
    <t>820352 - 245740 - 414985</t>
  </si>
  <si>
    <t>820406 - 245744 - 414987 - 726557 - 917583</t>
  </si>
  <si>
    <t>820373 - 245745 - 820372 - 414988 - 726561 - 726560 - 820364 - 726559</t>
  </si>
  <si>
    <t>245746 - 918587</t>
  </si>
  <si>
    <t>924480 - 245747</t>
  </si>
  <si>
    <t>521515 - 245749 - 927380</t>
  </si>
  <si>
    <t>245754 - 921355 - 821212 - 414989</t>
  </si>
  <si>
    <t>245757 - 726566</t>
  </si>
  <si>
    <t>245759 - 414991 - 820408 - 927460</t>
  </si>
  <si>
    <t>820344 - 245761 - 965381 - 822588 - 920263 - 826124 - 414992</t>
  </si>
  <si>
    <t>726280 - 414993 - 245762 - 726279</t>
  </si>
  <si>
    <t>726276 - 917672 - 245763</t>
  </si>
  <si>
    <t>245765 - 822740 - 916645 - 826123 - 820348 - 820346</t>
  </si>
  <si>
    <t>24577 - 850471</t>
  </si>
  <si>
    <t>1006695 - 245783 - 414995 - 849741</t>
  </si>
  <si>
    <t>414997 - 826119 - 414996 - 245784 - 849743</t>
  </si>
  <si>
    <t>245785 - 826120 - 922516</t>
  </si>
  <si>
    <t>414998 - 245786 - 826122 - 916646</t>
  </si>
  <si>
    <t>245788 - 916648</t>
  </si>
  <si>
    <t>245789 - 916647</t>
  </si>
  <si>
    <t>24579 - 914632</t>
  </si>
  <si>
    <t>917491 - 245790 - 826118</t>
  </si>
  <si>
    <t>245791 - 965387 - 414999</t>
  </si>
  <si>
    <t>726565 - 726275 - 245792 - 726563 - 726274</t>
  </si>
  <si>
    <t>920915 - 245795 - 978217 - 978216 - 415000 - 726463 - 726464</t>
  </si>
  <si>
    <t>415002 - 918188 - 824841 - 245798 - 726374 - 820640 - 726373</t>
  </si>
  <si>
    <t>726352 - 981179 - 726353 - 726354 - 820644 - 245799 - 988429</t>
  </si>
  <si>
    <t>945673 - 945676 - 945674 - 945677 - 945675 - 24580</t>
  </si>
  <si>
    <t>915320 - 415003 - 820642 - 726351 - 245800</t>
  </si>
  <si>
    <t>726349 - 726350 - 820643 - 245801</t>
  </si>
  <si>
    <t>820649 - 826143 - 245802 - 726309 - 820648</t>
  </si>
  <si>
    <t>245803 - 820650 - 820651</t>
  </si>
  <si>
    <t>979014 - 726314 - 726313 - 245804 - 820652</t>
  </si>
  <si>
    <t>245805 - 820656 - 726312 - 915321 - 726311</t>
  </si>
  <si>
    <t>726308 - 245806 - 726307 - 826142 - 919231 - 820654</t>
  </si>
  <si>
    <t>245809 - 820660 - 726316 - 820661 - 826183 - 726317</t>
  </si>
  <si>
    <t>24581 - 850459</t>
  </si>
  <si>
    <t>245810 - 826127 - 726319 - 917585 - 820662 - 415004</t>
  </si>
  <si>
    <t>820666 - 917584 - 820668 - 820667 - 245811 - 726325</t>
  </si>
  <si>
    <t>820669 - 820670 - 726326 - 245812 - 726327 - 826126</t>
  </si>
  <si>
    <t>415005 - 245818 - 826144 - 726333 - 726332 - 415006 - 826125</t>
  </si>
  <si>
    <t>726334 - 726335 - 245820 - 932294</t>
  </si>
  <si>
    <t>820533 - 245821</t>
  </si>
  <si>
    <t>245825 - 924748</t>
  </si>
  <si>
    <t>245832 - 415011 - 415010 - 821220 - 924950</t>
  </si>
  <si>
    <t>821219 - 415012 - 245835 - 920039</t>
  </si>
  <si>
    <t>821218 - 921431 - 822590 - 415013 - 245837</t>
  </si>
  <si>
    <t>945681 - 945679 - 945680 - 945684 - 24584 - 945683</t>
  </si>
  <si>
    <t>415021 - 415023 - 826116 - 826117 - 415022 - 415020 - 245841</t>
  </si>
  <si>
    <t>918187 - 245842 - 726528 - 726538 - 826295</t>
  </si>
  <si>
    <t>726550 - 245848 - 980670 - 918186</t>
  </si>
  <si>
    <t>245851 - 923070 - 826296 - 726542</t>
  </si>
  <si>
    <t>826307 - 415024 - 927353 - 822607 - 245852 - 415025</t>
  </si>
  <si>
    <t>245854 - 820604 - 726305 - 884132 - 726306 - 917534</t>
  </si>
  <si>
    <t>726581 - 245855 - 726578</t>
  </si>
  <si>
    <t>921354 - 245856 - 785882</t>
  </si>
  <si>
    <t>849776 - 245860</t>
  </si>
  <si>
    <t>245862 - 916644</t>
  </si>
  <si>
    <t>925542 - 925543 - 245866 - 415026</t>
  </si>
  <si>
    <t>1010723 - 916643 - 245867</t>
  </si>
  <si>
    <t>918226 - 245871 - 826624 - 415027</t>
  </si>
  <si>
    <t>918529 - 415028 - 245875</t>
  </si>
  <si>
    <t>920157 - 415029 - 245876</t>
  </si>
  <si>
    <t>415030 - 245878 - 849740 - 415031</t>
  </si>
  <si>
    <t>850422 - 24588</t>
  </si>
  <si>
    <t>915309 - 808372 - 245881 - 826150 - 415037 - 415036</t>
  </si>
  <si>
    <t>415038 - 824690 - 245882 - 824689</t>
  </si>
  <si>
    <t>917427 - 245886</t>
  </si>
  <si>
    <t>785895 - 245887 - 916385</t>
  </si>
  <si>
    <t>726254 - 245889 - 726253</t>
  </si>
  <si>
    <t>24589 - 945685</t>
  </si>
  <si>
    <t>245890 - 726258 - 726257</t>
  </si>
  <si>
    <t>726247 - 245891 - 918210 - 415041</t>
  </si>
  <si>
    <t>245893 - 415043</t>
  </si>
  <si>
    <t>245904 - 415050</t>
  </si>
  <si>
    <t>415054 - 245909 - 917424</t>
  </si>
  <si>
    <t>24591 - 850474</t>
  </si>
  <si>
    <t>914633 - 24592</t>
  </si>
  <si>
    <t>915308 - 245921 - 726301 - 826163 - 415062 - 415063</t>
  </si>
  <si>
    <t>245928 - 726290 - 826158 - 726288 - 726289</t>
  </si>
  <si>
    <t>415069 - 415070 - 918526 - 245929</t>
  </si>
  <si>
    <t>24593 - 850475</t>
  </si>
  <si>
    <t>Volucelle à ventre blanc en devant</t>
  </si>
  <si>
    <t>826159 - 726304 - 726303 - 245930</t>
  </si>
  <si>
    <t>826154 - 245934</t>
  </si>
  <si>
    <t>245935 - 924059</t>
  </si>
  <si>
    <t>926084 - 245939</t>
  </si>
  <si>
    <t>932923 - 24594</t>
  </si>
  <si>
    <t>Volucelle zonée</t>
  </si>
  <si>
    <t>245941 - 826156 - 919766</t>
  </si>
  <si>
    <t>726287 - 726286 - 826155 - 245942</t>
  </si>
  <si>
    <t>826160 - 808373 - 808374 - 415074 - 726292 - 726291 - 726293 - 726297 - 245944 - 726298</t>
  </si>
  <si>
    <t>245945 - 826161</t>
  </si>
  <si>
    <t>245952 - 824872</t>
  </si>
  <si>
    <t>826153 - 919763 - 726302 - 245958</t>
  </si>
  <si>
    <t>726285 - 726284 - 415085 - 920261 - 415083 - 826151 - 245965 - 415084</t>
  </si>
  <si>
    <t>826152 - 245967 - 415086</t>
  </si>
  <si>
    <t>415088 - 923090 - 245968 - 415087 - 938639 - 415089</t>
  </si>
  <si>
    <t>921240 - 245969 - 918527 - 415090</t>
  </si>
  <si>
    <t>916381 - 826162 - 245973</t>
  </si>
  <si>
    <t>826157 - 245977 - 415095 - 415094 - 923059</t>
  </si>
  <si>
    <t>917426 - 826262 - 245987</t>
  </si>
  <si>
    <t>918817 - 245989</t>
  </si>
  <si>
    <t>926109 - 245990</t>
  </si>
  <si>
    <t>917561 - 245995 - 415096</t>
  </si>
  <si>
    <t>822614 - 245998</t>
  </si>
  <si>
    <t>246003 - 822611</t>
  </si>
  <si>
    <t>932288 - 246008</t>
  </si>
  <si>
    <t>415100 - 246015</t>
  </si>
  <si>
    <t>918814 - 246017</t>
  </si>
  <si>
    <t>822616 - 246028</t>
  </si>
  <si>
    <t>916377 - 246036</t>
  </si>
  <si>
    <t>926108 - 246042</t>
  </si>
  <si>
    <t>916378 - 246045</t>
  </si>
  <si>
    <t>932926 - 24605</t>
  </si>
  <si>
    <t>246057 - 822606 - 923060</t>
  </si>
  <si>
    <t>945698 - 945694 - 945697 - 24606 - 945695</t>
  </si>
  <si>
    <t>918522 - 246070</t>
  </si>
  <si>
    <t>826556 - 246075 - 726336</t>
  </si>
  <si>
    <t>415106 - 896226 - 918538 - 826558 - 415108 - 246078 - 415107</t>
  </si>
  <si>
    <t>839631 - 822772 - 839634 - 246087 - 246104 - 918179 - 839630</t>
  </si>
  <si>
    <t>246093 - 921418 - 839655</t>
  </si>
  <si>
    <t>246096 - 926358</t>
  </si>
  <si>
    <t>839654 - 839653 - 246131 - 921331 - 824679</t>
  </si>
  <si>
    <t>839650 - 917436 - 839651 - 246133 - 912006</t>
  </si>
  <si>
    <t>726445 - 918620 - 920970 - 246147 - 826572</t>
  </si>
  <si>
    <t>839658 - 929453 - 826573 - 915312 - 246148 - 726451 - 726452</t>
  </si>
  <si>
    <t>726431 - 246168 - 923006</t>
  </si>
  <si>
    <t>726239 - 246170 - 726241 - 726240 - 921104</t>
  </si>
  <si>
    <t>726243 - 246171 - 826146 - 726245 - 415119</t>
  </si>
  <si>
    <t>246172 - 726249 - 726250</t>
  </si>
  <si>
    <t>918178 - 246173 - 726381 - 726383</t>
  </si>
  <si>
    <t>826270 - 918618 - 726513 - 246174</t>
  </si>
  <si>
    <t>726385 - 726387 - 246176 - 726386</t>
  </si>
  <si>
    <t>246177 - 923091 - 721033</t>
  </si>
  <si>
    <t>246179 - 826282 - 917434</t>
  </si>
  <si>
    <t>246181 - 977963 - 918534 - 822736</t>
  </si>
  <si>
    <t>415121 - 826287 - 926205 - 246183 - 415122</t>
  </si>
  <si>
    <t>726459 - 726457 - 246185 - 826275</t>
  </si>
  <si>
    <t>780122 - 826276 - 246186 - 916398</t>
  </si>
  <si>
    <t>246189 - 826277 - 726523 - 726521 - 726522</t>
  </si>
  <si>
    <t>924945 - 246192</t>
  </si>
  <si>
    <t>821013 - 415124 - 726417 - 826574 - 246193</t>
  </si>
  <si>
    <t>921415 - 246194</t>
  </si>
  <si>
    <t>415125 - 849768 - 246197</t>
  </si>
  <si>
    <t>826192 - 726585 - 726587 - 246211 - 726588</t>
  </si>
  <si>
    <t>921223 - 808324 - 915311 - 824954 - 808323 - 246214</t>
  </si>
  <si>
    <t>726339 - 246220 - 917566</t>
  </si>
  <si>
    <t>917659 - 246237</t>
  </si>
  <si>
    <t>918510 - 415147 - 246243 - 415148</t>
  </si>
  <si>
    <t>822459 - 246257</t>
  </si>
  <si>
    <t>246258 - 822446 - 916370</t>
  </si>
  <si>
    <t>246259 - 822618 - 822461</t>
  </si>
  <si>
    <t>944190 - 944189 - 944188 - 24626</t>
  </si>
  <si>
    <t>822464 - 246261</t>
  </si>
  <si>
    <t>246267 - 822455 - 822456 - 923040</t>
  </si>
  <si>
    <t>415152 - 925846 - 246268</t>
  </si>
  <si>
    <t>822440 - 246273</t>
  </si>
  <si>
    <t>415154 - 919761 - 822452 - 246275</t>
  </si>
  <si>
    <t>415155 - 246277 - 822454</t>
  </si>
  <si>
    <t>415156 - 246280 - 925970 - 415157</t>
  </si>
  <si>
    <t>246284 - 925832 - 822451</t>
  </si>
  <si>
    <t>246285 - 822435</t>
  </si>
  <si>
    <t>246286 - 822431</t>
  </si>
  <si>
    <t>924474 - 246288</t>
  </si>
  <si>
    <t>246289 - 822420 - 849773</t>
  </si>
  <si>
    <t>246290 - 822428 - 822427 - 925831</t>
  </si>
  <si>
    <t>822783 - 822784 - 822782 - 246300 - 918512</t>
  </si>
  <si>
    <t>918174 - 822482 - 246303</t>
  </si>
  <si>
    <t>415170 - 822545 - 246312 - 923088 - 822563 - 822550 - 415169</t>
  </si>
  <si>
    <t>246315 - 822564</t>
  </si>
  <si>
    <t>246317 - 822749</t>
  </si>
  <si>
    <t>822423 - 246332</t>
  </si>
  <si>
    <t>820596 - 916372 - 716700 - 415179 - 246334</t>
  </si>
  <si>
    <t>246340 - 822502 - 826545 - 920155 - 415181</t>
  </si>
  <si>
    <t>822508 - 246344</t>
  </si>
  <si>
    <t>822521 - 246346</t>
  </si>
  <si>
    <t>415186 - 822779 - 822778 - 246354</t>
  </si>
  <si>
    <t>944201 - 944206 - 24636</t>
  </si>
  <si>
    <t>246360 - 822562</t>
  </si>
  <si>
    <t>822514 - 246363</t>
  </si>
  <si>
    <t>246365 - 822535 - 415190 - 822522 - 822534</t>
  </si>
  <si>
    <t>822509 - 246375 - 916375</t>
  </si>
  <si>
    <t>822495 - 246386</t>
  </si>
  <si>
    <t>415205 - 246387 - 822496 - 916373</t>
  </si>
  <si>
    <t>822523 - 246391</t>
  </si>
  <si>
    <t>415212 - 917221 - 246399 - 920288 - 822781 - 415211 - 716698</t>
  </si>
  <si>
    <t>944283 - 944282 - 24649 - 944284</t>
  </si>
  <si>
    <t>824668 - 824667 - 415246 - 824695 - 246495</t>
  </si>
  <si>
    <t>246501 - 824641</t>
  </si>
  <si>
    <t>825064 - 246504 - 822560</t>
  </si>
  <si>
    <t>24651 - 850640 - 977904</t>
  </si>
  <si>
    <t>Mouche de la cerise, Mouche du cerisier</t>
  </si>
  <si>
    <t>415253 - 822487 - 246516</t>
  </si>
  <si>
    <t>246524 - 826554</t>
  </si>
  <si>
    <t>918532 - 246526</t>
  </si>
  <si>
    <t>979017 - 415268 - 415269 - 917431 - 246528</t>
  </si>
  <si>
    <t>979019 - 415270 - 415273 - 916397 - 415271 - 246529 - 415272</t>
  </si>
  <si>
    <t>246531 - 826551 - 415277 - 917433 - 884579 - 415276</t>
  </si>
  <si>
    <t>917432 - 415278 - 246532 - 415280 - 415279</t>
  </si>
  <si>
    <t>246533 - 415281 - 415283 - 926196 - 415282</t>
  </si>
  <si>
    <t>246534 - 921413</t>
  </si>
  <si>
    <t>921395 - 415285 - 246536</t>
  </si>
  <si>
    <t>415298 - 918509 - 246546</t>
  </si>
  <si>
    <t>246549 - 415299 - 918807</t>
  </si>
  <si>
    <t>246562 - 415309</t>
  </si>
  <si>
    <t>918175 - 246579</t>
  </si>
  <si>
    <t>920284 - 415316 - 246583 - 918176</t>
  </si>
  <si>
    <t>932402 - 921397 - 246586</t>
  </si>
  <si>
    <t>246597 - 415324 - 919762 - 415323 - 938799 - 824982</t>
  </si>
  <si>
    <t>246611 - 916376 - 415334</t>
  </si>
  <si>
    <t>415336 - 246614</t>
  </si>
  <si>
    <t>415345 - 415344 - 923041 - 415343 - 246622</t>
  </si>
  <si>
    <t>770840 - 246629</t>
  </si>
  <si>
    <t>415348 - 246630 - 978734 - 770839</t>
  </si>
  <si>
    <t>726393 - 726394 - 246631 - 978200</t>
  </si>
  <si>
    <t>246632 - 770810 - 826219</t>
  </si>
  <si>
    <t>246639 - 726447</t>
  </si>
  <si>
    <t>964270 - 770829 - 246640</t>
  </si>
  <si>
    <t>826220 - 246642 - 770836</t>
  </si>
  <si>
    <t>785532 - 770835 - 246644 - 884580</t>
  </si>
  <si>
    <t>246646 - 824691 - 770830 - 415349</t>
  </si>
  <si>
    <t>770965 - 246648</t>
  </si>
  <si>
    <t>944439 - 24665 - 944438</t>
  </si>
  <si>
    <t>770486 - 826253 - 246654 - 896230 - 726341</t>
  </si>
  <si>
    <t>246655 - 726320 - 770807</t>
  </si>
  <si>
    <t>246656 - 726321 - 726322 - 415352 - 824971</t>
  </si>
  <si>
    <t>926121 - 978211 - 246657</t>
  </si>
  <si>
    <t>726415 - 726416 - 246659</t>
  </si>
  <si>
    <t>770866 - 246667</t>
  </si>
  <si>
    <t>726396 - 925127 - 246669 - 726395</t>
  </si>
  <si>
    <t>921208 - 246680 - 770872</t>
  </si>
  <si>
    <t>770862 - 246681</t>
  </si>
  <si>
    <t>246700 - 920879 - 726597 - 726596</t>
  </si>
  <si>
    <t>726553 - 726556 - 246714</t>
  </si>
  <si>
    <t>770854 - 246718</t>
  </si>
  <si>
    <t>246719 - 824963 - 771015 - 246736</t>
  </si>
  <si>
    <t>826194 - 771011 - 246723</t>
  </si>
  <si>
    <t>771013 - 246727</t>
  </si>
  <si>
    <t>726331 - 246744</t>
  </si>
  <si>
    <t>246747 - 770936</t>
  </si>
  <si>
    <t>246755 - 770856</t>
  </si>
  <si>
    <t>246756 - 770855</t>
  </si>
  <si>
    <t>726426 - 726425 - 246778</t>
  </si>
  <si>
    <t>246781 - 918177 - 726427 - 726428</t>
  </si>
  <si>
    <t>246783 - 918211 - 824957 - 938883 - 824958</t>
  </si>
  <si>
    <t>726439 - 726441 - 808376 - 726440 - 246784 - 808375</t>
  </si>
  <si>
    <t>921410 - 826188 - 939181 - 415365 - 246787</t>
  </si>
  <si>
    <t>826177 - 726409 - 246792 - 918530</t>
  </si>
  <si>
    <t>917429 - 246796 - 826185</t>
  </si>
  <si>
    <t>246800 - 916394</t>
  </si>
  <si>
    <t>978205 - 921411 - 246804</t>
  </si>
  <si>
    <t>246807 - 726429 - 726430</t>
  </si>
  <si>
    <t>943686 - 943687 - 943684 - 24681</t>
  </si>
  <si>
    <t>917428 - 246811</t>
  </si>
  <si>
    <t>726443 - 917564 - 246812 - 726437</t>
  </si>
  <si>
    <t>771064 - 826178 - 246817</t>
  </si>
  <si>
    <t>246824 - 771107</t>
  </si>
  <si>
    <t>246843 - 726423 - 771073</t>
  </si>
  <si>
    <t>771111 - 246850</t>
  </si>
  <si>
    <t>246853 - 771100</t>
  </si>
  <si>
    <t>246854 - 771097</t>
  </si>
  <si>
    <t>246861 - 771101</t>
  </si>
  <si>
    <t>246862 - 771109</t>
  </si>
  <si>
    <t>246864 - 938875 - 726422 - 726421</t>
  </si>
  <si>
    <t>415372 - 246866 - 771092</t>
  </si>
  <si>
    <t>246875 - 771089</t>
  </si>
  <si>
    <t>726402 - 826171 - 726401 - 726399 - 246876</t>
  </si>
  <si>
    <t>944124 - 944123 - 944122 - 24688</t>
  </si>
  <si>
    <t>771353 - 246957</t>
  </si>
  <si>
    <t>944162 - 944166 - 944168 - 944169 - 944165 - 944173 - 944167 - 944170 - 944171 - 24696 - 944163</t>
  </si>
  <si>
    <t>824969 - 770379 - 246987</t>
  </si>
  <si>
    <t>726391 - 246989 - 415388 - 770355 - 826217</t>
  </si>
  <si>
    <t>246990 - 770347</t>
  </si>
  <si>
    <t>822771 - 824918 - 246997 - 770376</t>
  </si>
  <si>
    <t>824919 - 822592 - 826201 - 770373 - 246999 - 415391</t>
  </si>
  <si>
    <t>247019 - 726397 - 726398 - 770459 - 822732 - 826175</t>
  </si>
  <si>
    <t>770460 - 247020</t>
  </si>
  <si>
    <t>770477 - 247023 - 785887</t>
  </si>
  <si>
    <t>726465 - 726466 - 247024</t>
  </si>
  <si>
    <t>415401 - 415400 - 789474 - 415398 - 415396 - 770458 - 415404 - 415397 - 247027 - 415403 - 415402 - 415399</t>
  </si>
  <si>
    <t>807593 - 825320 - 247030 - 784134 - 807592 - 647755</t>
  </si>
  <si>
    <t>Tortue (La)</t>
  </si>
  <si>
    <t>838735 - 647758 - 247032</t>
  </si>
  <si>
    <t>Cloporte (Le)</t>
  </si>
  <si>
    <t>1010135 - 647375 - 247041 - 415411</t>
  </si>
  <si>
    <t>Zygène diaphane (La), Zygène des Boucages (La)</t>
  </si>
  <si>
    <t>777666 - 247042 - 699821 - 777928 - 643703 - 415412</t>
  </si>
  <si>
    <t>Zygène pourpre (La), Zygène du Serpolet (La)</t>
  </si>
  <si>
    <t>921080 - 716923 - 643463 - 247044</t>
  </si>
  <si>
    <t>Zygène de la Petite coronille (La)</t>
  </si>
  <si>
    <t>Doubs (25), Jura (39)</t>
  </si>
  <si>
    <t>247045 - 643441 - 699820 - 777359</t>
  </si>
  <si>
    <t>Zygène du Sainfoin (La), Zygène de la Carniole (La)</t>
  </si>
  <si>
    <t>785613 - 643482 - 247047 - 342816 - 342824 - 777950 - 342823 - 342819 - 719935 - 643486 - 342818 - 719934 - 643483 - 719933 - 643485 - 643479 - 643489 - 342817 - 342830 - 342826 - 342820 - 982466 - 643481 - 982465 - 342828 - 719955 - 415413 - 643487</t>
  </si>
  <si>
    <t>Zygène du Lotier (La), la Zygène du Fer-à-Cheval (La), Zygène de la Faucille (La), Zygène de l’Hippocrepis (La)</t>
  </si>
  <si>
    <t>342868 - 701876 - 719936 - 342866 - 719937 - 247052 - 342867</t>
  </si>
  <si>
    <t>Zygène de la Gesse (La), Zygène des Vesces (La)</t>
  </si>
  <si>
    <t>701875 - 983263 - 342882 - 785609 - 342877 - 342876 - 247053 - 983232 - 342878 - 983231 - 777930 - 701873 - 983262 - 983230 - 701874 - 1012033</t>
  </si>
  <si>
    <t>Zygène d'Ostérode (La), Zygène de la Jarosse (La), Zygène de l'Orobe (La)</t>
  </si>
  <si>
    <t>247054 - 644035 - 415414 - 699643</t>
  </si>
  <si>
    <t>Zygène des Thérésiens (La), Zygène de la Jarosse (La)</t>
  </si>
  <si>
    <t>701871 - 643475 - 247056 - 778306 - 643474 - 777599 - 342911 - 342919 - 1010483 - 1010481 - 342912 - 342913 - 643447 - 777594</t>
  </si>
  <si>
    <t>Zygène de la Coronille variée (La), Zygène de la Coronille (La)</t>
  </si>
  <si>
    <t>643773 - 247057 - 785612 - 342940</t>
  </si>
  <si>
    <t>Zygène transalpine (La)</t>
  </si>
  <si>
    <t>983162 - 701867 - 822758 - 936253 - 983160 - 983185 - 643467 - 777966 - 701865 - 936254 - 983161 - 342979 - 936255 - 936252 - 983181 - 342981 - 701866 - 719943 - 342988 - 982825 - 342990 - 342989 - 701848 - 719940 - 719941 - 719942 - 342980 - 643465 - 643469 - 785611 - 342985 - 247058 - 983201</t>
  </si>
  <si>
    <t>Zygène du Pied-de-Poule (La), Zygène des Lotiers (La), Zygène de la Filipendule (La)</t>
  </si>
  <si>
    <t>719945 - 701845 - 719946 - 785610 - 343006 - 247059 - 643477 - 343001 - 343008 - 643473 - 343007</t>
  </si>
  <si>
    <t>Zygène des bois (La), Zygène du Trèfle-de-montagne (La)</t>
  </si>
  <si>
    <t>983887 - 983234 - 343019 - 343020 - 343022 - 785626 - 343021 - 983227 - 247060 - 644023 - 343018</t>
  </si>
  <si>
    <t>Zygène des prés (La), Zygène des Cornettes (La)</t>
  </si>
  <si>
    <t>247061 - 643395</t>
  </si>
  <si>
    <t>Aglaopé des haies (L'), Zygène des Epines (La)</t>
  </si>
  <si>
    <t>415416 - 935176 - 247063 - 703009 - 936204 - 778492 - 936248 - 643424 - 415415 - 643413</t>
  </si>
  <si>
    <t>Procris de l'Oseille (Le), Turquoise de la Sarcille (La), Turqoise commune</t>
  </si>
  <si>
    <t>643423 - 247064 - 784131 - 643411</t>
  </si>
  <si>
    <t>Procris de l'Hélianthème (Le), Turquoise des Hélianthèmes (La)</t>
  </si>
  <si>
    <t>247066 - 643425 - 936245 - 936205 - 936206 - 643415 - 343041 - 936246 - 343042</t>
  </si>
  <si>
    <t>Procris vert brillant (Le), Turquoise des Cistes (La), Turquoise de Mann</t>
  </si>
  <si>
    <t>643434 - 936250 - 247068</t>
  </si>
  <si>
    <t>Procris de la Jacée (Le), Turquoise des Chardons (La)</t>
  </si>
  <si>
    <t>643429 - 643427 - 782959 - 936210 - 774714 - 247071</t>
  </si>
  <si>
    <t>Procris des Centaurées (Le), Turquoise des Globulaires (La)</t>
  </si>
  <si>
    <t>936216 - 247072 - 643431</t>
  </si>
  <si>
    <t>Procris des Cistes (Le), Turquoise de la Cardoncelle (La)</t>
  </si>
  <si>
    <t>343063 - 777347 - 247073 - 343062 - 778487 - 643435 - 771340</t>
  </si>
  <si>
    <t>Procris du Prunellier (Le), Procris du Prunier (Le), Turquoise du Prunellier (La)</t>
  </si>
  <si>
    <t>821998 - 935173 - 848423 - 848395 - 848445 - 848447 - 784149 - 247079 - 848446</t>
  </si>
  <si>
    <t>Sésie apiforme (La),  Sésie du Peuplier (La)</t>
  </si>
  <si>
    <t>848396 - 983888 - 848451 - 415422 - 415421 - 247080 - 976054</t>
  </si>
  <si>
    <t>Sésie du Saule (La)</t>
  </si>
  <si>
    <t>848466 - 848467 - 848385 - 247082 - 807016 - 805022 - 784150</t>
  </si>
  <si>
    <t>Petite Sésie du Peuplier (La), Sésie asiliforme (La)</t>
  </si>
  <si>
    <t>247083 - 784256</t>
  </si>
  <si>
    <t>Sésie polonaise (La)</t>
  </si>
  <si>
    <t>247085 - 848512 - 838666</t>
  </si>
  <si>
    <t>Sésie de l'Origan (La)</t>
  </si>
  <si>
    <t>415425 - 848513 - 848380 - 247089</t>
  </si>
  <si>
    <t>Sésie du Millepertuis (La)</t>
  </si>
  <si>
    <t>247095 - 848495 - 825315 - 415431 - 848376 - 848480</t>
  </si>
  <si>
    <t>Sésie empiforme (La)</t>
  </si>
  <si>
    <t>247096 - 826834 - 848383</t>
  </si>
  <si>
    <t>Sésie tenthrède (La)</t>
  </si>
  <si>
    <t>848487 - 983889 - 247097 - 848486 - 716916 - 784157 - 848479 - 844720 - 848493 - 848389 - 848490 - 848491 - 821958 - 848489 - 848488 - 716917 - 848440</t>
  </si>
  <si>
    <t>Sésie de l'Oseille (La)</t>
  </si>
  <si>
    <t>848511 - 848392 - 247099 - 848510 - 415435 - 848509 - 784228 - 848508</t>
  </si>
  <si>
    <t>Sésie corse</t>
  </si>
  <si>
    <t>247103 - 1009882 - 784235 - 848388</t>
  </si>
  <si>
    <t>Sésie des Hélianthèmes</t>
  </si>
  <si>
    <t>848279 - 848484 - 784155 - 247104</t>
  </si>
  <si>
    <t>Sésie ichneumon (La)</t>
  </si>
  <si>
    <t>247105 - 847584</t>
  </si>
  <si>
    <t>Sésie de la Bugrane</t>
  </si>
  <si>
    <t>848334 - 848477 - 247109</t>
  </si>
  <si>
    <t>Sésie de l'Esparcette (La), Sésie du Sainfoin (La)</t>
  </si>
  <si>
    <t>848482 - 247114 - 848478 - 777552</t>
  </si>
  <si>
    <t>Sésie armoricaine (La)</t>
  </si>
  <si>
    <t>848408 - 848468 - 848431 - 247115</t>
  </si>
  <si>
    <t>Sésie du Bouleau (La)</t>
  </si>
  <si>
    <t>805021 - 848409 - 247117</t>
  </si>
  <si>
    <t>Sésie de l'Aulne (La)</t>
  </si>
  <si>
    <t>848411 - 247118 - 784154</t>
  </si>
  <si>
    <t>Sésie du Néflier</t>
  </si>
  <si>
    <t>847549 - 805020 - 247119</t>
  </si>
  <si>
    <t>Sésie culiciforme (La)</t>
  </si>
  <si>
    <t>247120 - 848472 - 415441 - 848402 - 826841</t>
  </si>
  <si>
    <t>Sésie fourmi (La)</t>
  </si>
  <si>
    <t>848401 - 247121</t>
  </si>
  <si>
    <t>Sésie jaune-gorge (La)</t>
  </si>
  <si>
    <t>415442 - 247122 - 848397</t>
  </si>
  <si>
    <t>Sésie de la Viorne</t>
  </si>
  <si>
    <t>Sésie du Chèvrefeuille</t>
  </si>
  <si>
    <t>848406 - 784153 - 807134 - 848470 - 247125 - 1006705</t>
  </si>
  <si>
    <t>Sésie du Pommier (La)</t>
  </si>
  <si>
    <t>821956 - 935170 - 821957 - 247126 - 784152 - 848414</t>
  </si>
  <si>
    <t>Sésie vespiforme</t>
  </si>
  <si>
    <t>848400 - 848469 - 805019 - 247128</t>
  </si>
  <si>
    <t>Sésie du Chène (La)</t>
  </si>
  <si>
    <t>784151 - 838540 - 247129 - 848413</t>
  </si>
  <si>
    <t>Sésie du Groseillier (La)</t>
  </si>
  <si>
    <t>247130 - 848410 - 415446</t>
  </si>
  <si>
    <t>Sésie de l'Erable (La), Sésie de Spuler (La)</t>
  </si>
  <si>
    <t>838648 - 848387 - 247134</t>
  </si>
  <si>
    <t>Sésie du Framboisier (La)</t>
  </si>
  <si>
    <t>247135 - 647753</t>
  </si>
  <si>
    <t>Zeuzère du Roseau (La)</t>
  </si>
  <si>
    <t>952138 - 807587 - 820991 - 247136 - 807588 - 647754</t>
  </si>
  <si>
    <t>Zeuzère du Marronnier (La), Coquette (La), Zeuzère du Poirier (La)</t>
  </si>
  <si>
    <t>647751 - 777618 - 838703 - 247138</t>
  </si>
  <si>
    <t>Petite marbrure (La), Cossus marbré (Le)</t>
  </si>
  <si>
    <t>944233 - 944232 - 24714 - 944230 - 944231 - 944234 - 992749</t>
  </si>
  <si>
    <t>647747 - 247141 - 721561</t>
  </si>
  <si>
    <t>Cossus gâte-bois (Le)</t>
  </si>
  <si>
    <t>916627 - 825939 - 935104 - 825938 - 247142</t>
  </si>
  <si>
    <t>785540 - 920910 - 918578 - 247143</t>
  </si>
  <si>
    <t>247147 - 935119 - 933972 - 916423 - 933970 - 978182</t>
  </si>
  <si>
    <t>247148 - 825928 - 918559 - 978158</t>
  </si>
  <si>
    <t>824720 - 247149 - 918557 - 415448</t>
  </si>
  <si>
    <t>247151 - 918562 - 415449</t>
  </si>
  <si>
    <t>935123 - 918558 - 935124 - 247153 - 935122</t>
  </si>
  <si>
    <t>926197 - 247154 - 415450</t>
  </si>
  <si>
    <t>918561 - 415451 - 247155 - 935125 - 935153</t>
  </si>
  <si>
    <t>920401 - 247157</t>
  </si>
  <si>
    <t>247158 - 919229 - 415455 - 415456</t>
  </si>
  <si>
    <t>845142 - 415458 - 415457 - 247159 - 918577 - 920913</t>
  </si>
  <si>
    <t>917578 - 247160 - 935162 - 935159 - 935160</t>
  </si>
  <si>
    <t>247165 - 935158 - 926556</t>
  </si>
  <si>
    <t>935145 - 785588 - 247166 - 785309</t>
  </si>
  <si>
    <t>247182 - 825929 - 935148 - 918182</t>
  </si>
  <si>
    <t>935152 - 247183 - 977961 - 825930 - 917456 - 935151</t>
  </si>
  <si>
    <t>415462 - 825935 - 247185 - 415463 - 822708 - 785542</t>
  </si>
  <si>
    <t>935726 - 247188 - 935725 - 916411</t>
  </si>
  <si>
    <t>917455 - 845143 - 780137 - 825934 - 935723 - 824789 - 247190 - 884124 - 935722</t>
  </si>
  <si>
    <t>247191 - 935713 - 919839</t>
  </si>
  <si>
    <t>920267 - 935163 - 980593 - 247192 - 825932 - 918181</t>
  </si>
  <si>
    <t>247194 - 980751 - 415464 - 918549 - 415465</t>
  </si>
  <si>
    <t>247195 - 844844 - 935142 - 920335 - 933958</t>
  </si>
  <si>
    <t>825923 - 247196 - 980599 - 935127 - 934112 - 808327 - 808328 - 849752</t>
  </si>
  <si>
    <t>808329 - 808330 - 918571 - 247197 - 935135</t>
  </si>
  <si>
    <t>247198 - 977898 - 935137 - 825926 - 916442</t>
  </si>
  <si>
    <t>247200 - 825927 - 926438 - 935136 - 933957</t>
  </si>
  <si>
    <t>415467 - 247201 - 808337 - 808336 - 825933 - 808335</t>
  </si>
  <si>
    <t>933951 - 918548 - 247202 - 935129 - 933950</t>
  </si>
  <si>
    <t>826008 - 933953 - 933952 - 826010 - 247205</t>
  </si>
  <si>
    <t>916409 - 247206 - 933955 - 935133 - 978987</t>
  </si>
  <si>
    <t>933956 - 247207 - 935134 - 920334</t>
  </si>
  <si>
    <t>247209 - 849729 - 933860 - 933859 - 978136 - 933861 - 415470 - 825931 - 849720 - 824705</t>
  </si>
  <si>
    <t>247213 - 916430</t>
  </si>
  <si>
    <t>938936 - 247214 - 808333 - 808334 - 825922 - 852524</t>
  </si>
  <si>
    <t>935117 - 415474 - 841220 - 921239 - 247217 - 824714</t>
  </si>
  <si>
    <t>Eudémis de la vigne, Ver de la grappe, Tordeuse de la grappe</t>
  </si>
  <si>
    <t>916629 - 825940 - 247219 - 825941</t>
  </si>
  <si>
    <t>247220 - 822728 - 935115</t>
  </si>
  <si>
    <t>826037 - 932905 - 932906 - 247228 - 849751</t>
  </si>
  <si>
    <t>932887 - 247230 - 932831 - 932889 - 915314 - 826035</t>
  </si>
  <si>
    <t>926431 - 826039 - 247232 - 938920</t>
  </si>
  <si>
    <t>932904 - 415478 - 932916 - 918546 - 247236</t>
  </si>
  <si>
    <t>247238 - 917447 - 932913 - 826038 - 415479 - 932872</t>
  </si>
  <si>
    <t>932766 - 917448 - 415480 - 932874 - 826040 - 247240 - 826041 - 932873</t>
  </si>
  <si>
    <t>247241 - 917446 - 932871 - 825936</t>
  </si>
  <si>
    <t>932779 - 932893 - 247242 - 917449 - 826034</t>
  </si>
  <si>
    <t>932907 - 825981 - 247243 - 825983 - 918184</t>
  </si>
  <si>
    <t>932918 - 825970 - 916429 - 247244 - 932908</t>
  </si>
  <si>
    <t>825921 - 933247 - 247245 - 920287 - 917477</t>
  </si>
  <si>
    <t>933246 - 247246 - 926520</t>
  </si>
  <si>
    <t>933252 - 785561 - 933249 - 247249</t>
  </si>
  <si>
    <t>247250 - 916454 - 933265 - 933264</t>
  </si>
  <si>
    <t>932927 - 920918 - 247252 - 924477</t>
  </si>
  <si>
    <t>825957 - 885020 - 808326 - 933470 - 247261 - 808325 - 824792 - 849753 - 933469 - 825956 - 825955 - 934114</t>
  </si>
  <si>
    <t>825937 - 933311 - 247263 - 805069 - 783211 - 926515</t>
  </si>
  <si>
    <t>933312 - 917468 - 415481 - 886090 - 247264</t>
  </si>
  <si>
    <t>933959 - 247265 - 933318 - 826002 - 826003 - 916445 - 886089</t>
  </si>
  <si>
    <t>926514 - 247266</t>
  </si>
  <si>
    <t>918574 - 934113 - 415482 - 247267 - 822702</t>
  </si>
  <si>
    <t>415485 - 415483 - 933437 - 933438 - 247268 - 933436 - 415484 - 415486 - 923093</t>
  </si>
  <si>
    <t>917460 - 933447 - 824816 - 415487 - 933445 - 933448 - 247269 - 933444</t>
  </si>
  <si>
    <t>932945 - 933446 - 933432 - 932944 - 247270 - 825960 - 849750</t>
  </si>
  <si>
    <t>343238 - 918563 - 822342 - 247271 - 415488 - 932844 - 933451</t>
  </si>
  <si>
    <t>919775 - 933457 - 932947 - 247272</t>
  </si>
  <si>
    <t>247281 - 933304 - 933305 - 826020 - 916435 - 939615 - 933306</t>
  </si>
  <si>
    <t>926433 - 247283 - 933308 - 933310 - 933309</t>
  </si>
  <si>
    <t>919782 - 247284 - 826006</t>
  </si>
  <si>
    <t>918570 - 415490 - 247285 - 822730</t>
  </si>
  <si>
    <t>825996 - 822706 - 247287 - 933303</t>
  </si>
  <si>
    <t>247290 - 785224</t>
  </si>
  <si>
    <t>933417 - 825945 - 825946 - 247291 - 918568</t>
  </si>
  <si>
    <t>247294 - 933418 - 415494 - 917464 - 825944</t>
  </si>
  <si>
    <t>926450 - 415496 - 247296</t>
  </si>
  <si>
    <t>247297 - 917463 - 932860 - 933402 - 933401</t>
  </si>
  <si>
    <t>926122 - 247299 - 415497 - 933411</t>
  </si>
  <si>
    <t>415498 - 247300 - 415499 - 926500</t>
  </si>
  <si>
    <t>247305 - 919780 - 933416</t>
  </si>
  <si>
    <t>785223 - 825966 - 247307</t>
  </si>
  <si>
    <t>247309 - 916428 - 824793 - 932859 - 825967</t>
  </si>
  <si>
    <t>933421 - 247317 - 805070 - 916449</t>
  </si>
  <si>
    <t>933426 - 933443 - 921339 - 247318 - 933442 - 415504 - 933427 - 415503</t>
  </si>
  <si>
    <t>933459 - 918888 - 247323 - 933458</t>
  </si>
  <si>
    <t>933400 - 822579 - 247326 - 716920</t>
  </si>
  <si>
    <t>916458 - 785315 - 247328 - 933346 - 785560 - 415505 - 980264</t>
  </si>
  <si>
    <t>933360 - 415507 - 926552 - 415506 - 933359 - 247330</t>
  </si>
  <si>
    <t>933365 - 933363 - 933361 - 923097 - 247331</t>
  </si>
  <si>
    <t>247332 - 916427</t>
  </si>
  <si>
    <t>934831 - 934832 - 924703 - 247333 - 415508</t>
  </si>
  <si>
    <t>849758 - 415510 - 415509 - 934825 - 247334 - 932847 - 933626</t>
  </si>
  <si>
    <t>934830 - 415511 - 932851 - 247335 - 918622</t>
  </si>
  <si>
    <t>978996 - 247337 - 849727 - 933620 - 934829 - 934828 - 933621 - 934827</t>
  </si>
  <si>
    <t>932848 - 247338 - 923096 - 932849 - 826016 - 822634 - 932850 - 415513 - 826018 - 933373</t>
  </si>
  <si>
    <t>247339 - 911424 - 1016121</t>
  </si>
  <si>
    <t>247341 - 933381 - 932637 - 918870</t>
  </si>
  <si>
    <t>923043 - 933332 - 932852 - 247343</t>
  </si>
  <si>
    <t>822646 - 933331 - 926432 - 247344 - 933320</t>
  </si>
  <si>
    <t>920270 - 824791 - 933493 - 920271 - 247345 - 934809</t>
  </si>
  <si>
    <t>247349 - 919777 - 932854 - 826014</t>
  </si>
  <si>
    <t>934806 - 924723 - 932952 - 247351 - 934807</t>
  </si>
  <si>
    <t>911666 - 934808 - 933624 - 933625 - 247353</t>
  </si>
  <si>
    <t>917462 - 247356 - 825954 - 933475 - 822577 - 699669</t>
  </si>
  <si>
    <t>849769 - 933480 - 932857 - 933481 - 247357</t>
  </si>
  <si>
    <t>932855 - 934810 - 918872 - 247358</t>
  </si>
  <si>
    <t>247361 - 917573 - 933622 - 933623 - 825948 - 934812</t>
  </si>
  <si>
    <t>932853 - 918566 - 247362 - 934811 - 825951 - 825950</t>
  </si>
  <si>
    <t>247363 - 933482 - 932949 - 932948 - 918564</t>
  </si>
  <si>
    <t>980601 - 933489 - 933483 - 933485 - 247364 - 933488 - 933484 - 825952 - 917572 - 933486 - 932856 - 933487</t>
  </si>
  <si>
    <t>824794 - 247367 - 917481</t>
  </si>
  <si>
    <t>247368 - 926503</t>
  </si>
  <si>
    <t>247372 - 933181 - 933186 - 933185 - 916628 - 933184 - 415519</t>
  </si>
  <si>
    <t>247378 - 926434 - 933341 - 933345 - 933339</t>
  </si>
  <si>
    <t>247382 - 979010 - 923099 - 979009</t>
  </si>
  <si>
    <t>979008 - 785298 - 785562 - 247384</t>
  </si>
  <si>
    <t>247393 - 822578</t>
  </si>
  <si>
    <t>415529 - 923044 - 247395</t>
  </si>
  <si>
    <t>825993 - 247397 - 917579</t>
  </si>
  <si>
    <t>247400 - 923788</t>
  </si>
  <si>
    <t>247402 - 921377</t>
  </si>
  <si>
    <t>247403 - 932127 - 415530</t>
  </si>
  <si>
    <t>916447 - 247404</t>
  </si>
  <si>
    <t>785293 - 785291 - 247411</t>
  </si>
  <si>
    <t>926435 - 521520 - 247413</t>
  </si>
  <si>
    <t>415531 - 915316 - 824798 - 247414 - 920266 - 521521</t>
  </si>
  <si>
    <t>247416 - 785554 - 521522</t>
  </si>
  <si>
    <t>932165 - 247421 - 939633</t>
  </si>
  <si>
    <t>825972 - 939619 - 247432</t>
  </si>
  <si>
    <t>824810 - 824814 - 247434 - 939618</t>
  </si>
  <si>
    <t>915317 - 825968 - 247437 - 825969</t>
  </si>
  <si>
    <t>415538 - 247439 - 923098</t>
  </si>
  <si>
    <t>908751 - 247440 - 824795 - 917458 - 908752</t>
  </si>
  <si>
    <t>247452 - 415549 - 920333</t>
  </si>
  <si>
    <t>247454 - 926558 - 977918</t>
  </si>
  <si>
    <t>247455 - 916419</t>
  </si>
  <si>
    <t>247458 - 919835</t>
  </si>
  <si>
    <t>247459 - 825979 - 721651 - 849761</t>
  </si>
  <si>
    <t>247462 - 977897 - 806850 - 805075 - 849760 - 806847 - 1013300 - 825987</t>
  </si>
  <si>
    <t>824801 - 979011 - 916421 - 247466 - 979012 - 852525</t>
  </si>
  <si>
    <t>247467 - 415554 - 921669 - 932261</t>
  </si>
  <si>
    <t>247472 - 939629 - 415559 - 789466 - 789465 - 939630 - 415557 - 988427</t>
  </si>
  <si>
    <t>932166 - 247473</t>
  </si>
  <si>
    <t>926573 - 247474</t>
  </si>
  <si>
    <t>789468 - 789467 - 247487</t>
  </si>
  <si>
    <t>247488 - 916422</t>
  </si>
  <si>
    <t>789454 - 247492 - 415562</t>
  </si>
  <si>
    <t>247495 - 789462 - 789460</t>
  </si>
  <si>
    <t>247496 - 789464 - 938922 - 789463</t>
  </si>
  <si>
    <t>920953 - 916443 - 247501</t>
  </si>
  <si>
    <t>932862 - 247502 - 918573</t>
  </si>
  <si>
    <t>247503 - 785284</t>
  </si>
  <si>
    <t>932732 - 247505 - 919227 - 932866 - 415566 - 932734</t>
  </si>
  <si>
    <t>978153 - 825918 - 825917 - 918569 - 247507</t>
  </si>
  <si>
    <t>978152 - 918554 - 247510 - 822581</t>
  </si>
  <si>
    <t>978140 - 247513 - 916417</t>
  </si>
  <si>
    <t>825920 - 247515 - 916416 - 825919</t>
  </si>
  <si>
    <t>824712 - 247517 - 920477</t>
  </si>
  <si>
    <t>247519 - 978985</t>
  </si>
  <si>
    <t>884725 - 247526</t>
  </si>
  <si>
    <t>247527 - 918551</t>
  </si>
  <si>
    <t>247529 - 824709 - 825916</t>
  </si>
  <si>
    <t>247530 - 917570 - 825907</t>
  </si>
  <si>
    <t>247540 - 916406 - 896794</t>
  </si>
  <si>
    <t>923063 - 825915 - 822580 - 247541 - 920285</t>
  </si>
  <si>
    <t>415577 - 917445 - 980663 - 247542 - 976862</t>
  </si>
  <si>
    <t>825909 - 980654 - 824819 - 247546 - 825911 - 825912 - 825910</t>
  </si>
  <si>
    <t>247547 - 926627</t>
  </si>
  <si>
    <t>247550 - 926551</t>
  </si>
  <si>
    <t>247551 - 926609</t>
  </si>
  <si>
    <t>926615 - 247553</t>
  </si>
  <si>
    <t>825898 - 247559 - 825899 - 916432</t>
  </si>
  <si>
    <t>808364 - 805068 - 247560 - 976848 - 785637 - 806861</t>
  </si>
  <si>
    <t>825895 - 976858 - 247567 - 849714 - 952192</t>
  </si>
  <si>
    <t>926611 - 247568</t>
  </si>
  <si>
    <t>808316 - 825896 - 247569 - 976859 - 918621</t>
  </si>
  <si>
    <t>24757 - 850635</t>
  </si>
  <si>
    <t>924736 - 247577</t>
  </si>
  <si>
    <t>918575 - 977960 - 247596</t>
  </si>
  <si>
    <t>247605 - 916452</t>
  </si>
  <si>
    <t>933940 - 247606 - 938942 - 825753 - 849724</t>
  </si>
  <si>
    <t>938941 - 933942 - 972616 - 247607 - 933943 - 849721</t>
  </si>
  <si>
    <t>782960 - 849723 - 825868 - 933941 - 247608</t>
  </si>
  <si>
    <t>933874 - 808317 - 808318 - 938958 - 923103 - 415584 - 247610 - 938959</t>
  </si>
  <si>
    <t>920035 - 247612</t>
  </si>
  <si>
    <t>933867 - 917442 - 978983 - 978984 - 247613 - 933917 - 933868 - 785590</t>
  </si>
  <si>
    <t>247614 - 806843 - 923106 - 933930 - 933932 - 415585 - 933933 - 805074 - 933934 - 917439</t>
  </si>
  <si>
    <t>782576 - 933935 - 1009884 - 247615 - 988426 - 933936 - 933938 - 915313</t>
  </si>
  <si>
    <t>247616 - 933925 - 824701 - 938960 - 849098</t>
  </si>
  <si>
    <t>824813 - 247617</t>
  </si>
  <si>
    <t>933923 - 916405 - 938956 - 247618</t>
  </si>
  <si>
    <t>247619 - 933912 - 933880 - 917437 - 938964 - 938963 - 978127 - 933913 - 933879 - 825742</t>
  </si>
  <si>
    <t>917443 - 933875 - 933876 - 825745 - 977958 - 933877 - 247620 - 938965 - 933878</t>
  </si>
  <si>
    <t>916403 - 933929 - 247621 - 919219</t>
  </si>
  <si>
    <t>849728 - 933922 - 933920 - 978129 - 825743 - 933916 - 938961 - 247623 - 933915 - 938957 - 933919 - 933921 - 933872 - 933918 - 938962 - 933871</t>
  </si>
  <si>
    <t>926644 - 247624</t>
  </si>
  <si>
    <t>824822 - 933873 - 247625</t>
  </si>
  <si>
    <t>938948 - 917441 - 247627 - 933914</t>
  </si>
  <si>
    <t>825752 - 933928 - 415591 - 415594 - 415587 - 779402 - 415590 - 415592 - 415593 - 415588 - 415589 - 933927 - 247628</t>
  </si>
  <si>
    <t>415595 - 938953 - 884125 - 415597 - 247629 - 933924 - 938952 - 911665 - 415596</t>
  </si>
  <si>
    <t>247630 - 921378</t>
  </si>
  <si>
    <t>415598 - 933863 - 825748 - 808319 - 920158 - 808320 - 247631 - 825747 - 933864 - 825746</t>
  </si>
  <si>
    <t>247632 - 917569 - 825744 - 415599 - 978982 - 933866 - 933865</t>
  </si>
  <si>
    <t>247633 - 916404</t>
  </si>
  <si>
    <t>849713 - 825749 - 247634 - 933862 - 938944 - 825750</t>
  </si>
  <si>
    <t>825874 - 806853 - 933939 - 247638 - 805065 - 849722</t>
  </si>
  <si>
    <t>933857 - 849711 - 247639</t>
  </si>
  <si>
    <t>916455 - 247640</t>
  </si>
  <si>
    <t>919841 - 825890 - 825891 - 247641</t>
  </si>
  <si>
    <t>247643 - 926596 - 926597 - 954307</t>
  </si>
  <si>
    <t>825884 - 808331 - 918918 - 247644 - 808332</t>
  </si>
  <si>
    <t>415601 - 415602 - 825888 - 917457 - 825889 - 247645</t>
  </si>
  <si>
    <t>932073 - 908744 - 247646 - 908745</t>
  </si>
  <si>
    <t>918919 - 247648 - 825886</t>
  </si>
  <si>
    <t>415604 - 247649 - 924445 - 415603</t>
  </si>
  <si>
    <t>247658 - 918183 - 956677</t>
  </si>
  <si>
    <t>917571 - 956676 - 247659 - 777829</t>
  </si>
  <si>
    <t>247662 - 926604 - 932071</t>
  </si>
  <si>
    <t>944271 - 944272 - 24767 - 944273 - 944275 - 944276 - 944274</t>
  </si>
  <si>
    <t>918213 - 247670</t>
  </si>
  <si>
    <t>825894 - 415614 - 415613 - 917479 - 247672</t>
  </si>
  <si>
    <t>247676 - 825893 - 916444</t>
  </si>
  <si>
    <t>821010 - 247679 - 825880 - 977899</t>
  </si>
  <si>
    <t>915319 - 825865 - 933944 - 247680 - 933945 - 933946</t>
  </si>
  <si>
    <t>247681 - 849718 - 933858</t>
  </si>
  <si>
    <t>926439 - 247682 - 415615</t>
  </si>
  <si>
    <t>917580 - 415616 - 980598 - 933791 - 247684 - 929107</t>
  </si>
  <si>
    <t>977959 - 247685 - 825881 - 923061</t>
  </si>
  <si>
    <t>247687 - 918556</t>
  </si>
  <si>
    <t>924727 - 247689</t>
  </si>
  <si>
    <t>825879 - 247692</t>
  </si>
  <si>
    <t>785211 - 825773 - 932078 - 247696 - 415620</t>
  </si>
  <si>
    <t>247698 - 808322 - 808321</t>
  </si>
  <si>
    <t>808315 - 822572 - 247702 - 415622 - 916413 - 808314</t>
  </si>
  <si>
    <t>247707 - 917451</t>
  </si>
  <si>
    <t>933758 - 247708 - 824702</t>
  </si>
  <si>
    <t>923062 - 808307 - 247711</t>
  </si>
  <si>
    <t>916456 - 247712</t>
  </si>
  <si>
    <t>919840 - 247713</t>
  </si>
  <si>
    <t>808313 - 978989 - 978988 - 808312 - 247714</t>
  </si>
  <si>
    <t>933757 - 247715 - 916448 - 825844</t>
  </si>
  <si>
    <t>808310 - 978134 - 933756 - 247716</t>
  </si>
  <si>
    <t>247717 - 825845</t>
  </si>
  <si>
    <t>825848 - 247719 - 849719</t>
  </si>
  <si>
    <t>247721 - 415624 - 825856 - 926592</t>
  </si>
  <si>
    <t>247722 - 933755 - 825851</t>
  </si>
  <si>
    <t>247723 - 916412</t>
  </si>
  <si>
    <t>924257 - 247724 - 415625 - 933752 - 808302 - 978133</t>
  </si>
  <si>
    <t>808295 - 415626 - 247726 - 849717 - 720004 - 849715</t>
  </si>
  <si>
    <t>918180 - 825766 - 938298 - 247727</t>
  </si>
  <si>
    <t>938940 - 825767 - 247728</t>
  </si>
  <si>
    <t>825769 - 825768 - 978130 - 247729</t>
  </si>
  <si>
    <t>978132 - 938299 - 933754 - 247730 - 825770 - 825771 - 808299 - 933753 - 825772</t>
  </si>
  <si>
    <t>247733 - 916358 - 824829</t>
  </si>
  <si>
    <t>918207 - 247734</t>
  </si>
  <si>
    <t>1006725 - 918616 - 247741 - 826047</t>
  </si>
  <si>
    <t>247742 - 824827 - 824828 - 918945</t>
  </si>
  <si>
    <t>726598 - 247744 - 726600</t>
  </si>
  <si>
    <t>850628 - 24775</t>
  </si>
  <si>
    <t>415641 - 415642 - 826549 - 920154 - 415639 - 247754 - 415640</t>
  </si>
  <si>
    <t>415650 - 952217 - 774049 - 247766 - 415648 - 415649 - 849777</t>
  </si>
  <si>
    <t>928249 - 247768</t>
  </si>
  <si>
    <t>247770 - 883732</t>
  </si>
  <si>
    <t>415651 - 247771 - 415652</t>
  </si>
  <si>
    <t>247772 - 415653</t>
  </si>
  <si>
    <t>415654 - 247774 - 928250</t>
  </si>
  <si>
    <t>415660 - 701732 - 415661 - 952216 - 415656 - 415658 - 415659 - 247775 - 415657 - 701730 - 701731 - 415655 - 826666</t>
  </si>
  <si>
    <t>247777 - 415667 - 701690 - 701689</t>
  </si>
  <si>
    <t>908750 - 247781 - 714845 - 716896</t>
  </si>
  <si>
    <t>716847 - 701639 - 247799 - 415698 - 415703 - 928972 - 701637</t>
  </si>
  <si>
    <t>415706 - 415707 - 415709 - 247800 - 415708 - 415705 - 701648 - 701652 - 701649 - 701650</t>
  </si>
  <si>
    <t>699922 - 699923 - 791777 - 247823 - 699921</t>
  </si>
  <si>
    <t>415752 - 699857 - 699856 - 699858 - 247830</t>
  </si>
  <si>
    <t>415759 - 699955 - 415760 - 699956 - 699952 - 699959 - 415758 - 983591 - 247834 - 415757 - 247835</t>
  </si>
  <si>
    <t>701533 - 415764 - 415766 - 247838 - 415763 - 701532 - 415765</t>
  </si>
  <si>
    <t>415772 - 701559 - 415776 - 956683 - 701560 - 701584 - 415773 - 247841 - 415769 - 415771 - 415774 - 842602 - 521532 - 415775</t>
  </si>
  <si>
    <t>701417 - 415807 - 701415 - 701416 - 701418 - 247855 - 826654</t>
  </si>
  <si>
    <t>415823 - 415826 - 415825 - 701426 - 247860 - 415824</t>
  </si>
  <si>
    <t>415827 - 415829 - 701429 - 701427 - 247861 - 415828 - 701428 - 415830 - 415831</t>
  </si>
  <si>
    <t>647759 - 247876 - 935167 - 777971</t>
  </si>
  <si>
    <t>Pygmée (Le), Sphinx-Pygmée (Le)</t>
  </si>
  <si>
    <t>247877 - 415851 - 918504</t>
  </si>
  <si>
    <t>Cryptoblabe du chêne</t>
  </si>
  <si>
    <t>920962 - 247878</t>
  </si>
  <si>
    <t>Cryptoblable du miellat</t>
  </si>
  <si>
    <t>920917 - 920929 - 918805 - 415853 - 937070 - 921155 - 415852 - 920914 - 247880</t>
  </si>
  <si>
    <t>Phycide autrichienne</t>
  </si>
  <si>
    <t>247883 - 785199 - 937074</t>
  </si>
  <si>
    <t>Teigne des fruits secs</t>
  </si>
  <si>
    <t>789471 - 247884</t>
  </si>
  <si>
    <t>Pyrale de Kühn</t>
  </si>
  <si>
    <t>247885 - 415854 - 789473 - 937072 - 789472 - 939062</t>
  </si>
  <si>
    <t>Phycide de l'ail</t>
  </si>
  <si>
    <t>247888 - 916155 - 415855</t>
  </si>
  <si>
    <t>Teigne du cacao</t>
  </si>
  <si>
    <t>Phycide de Mrassine</t>
  </si>
  <si>
    <t>808368 - 916162 - 247891 - 822396</t>
  </si>
  <si>
    <t>Pyrale indienne de la farine</t>
  </si>
  <si>
    <t>247892 - 921471 - 937075</t>
  </si>
  <si>
    <t>Phycide des inflorescences de pins</t>
  </si>
  <si>
    <t>925139 - 415858 - 247893 - 415857</t>
  </si>
  <si>
    <t>Phycide de séneçon</t>
  </si>
  <si>
    <t>247895 - 938590 - 916161</t>
  </si>
  <si>
    <t>Phycide géminée</t>
  </si>
  <si>
    <t>925034 - 415859 - 247898</t>
  </si>
  <si>
    <t>Phycide de Germanicia</t>
  </si>
  <si>
    <t>247899 - 415860 - 415861 - 925147</t>
  </si>
  <si>
    <t>Phycide saxicole</t>
  </si>
  <si>
    <t>808370 - 808369 - 247901 - 923084</t>
  </si>
  <si>
    <t>Phycide du plantain</t>
  </si>
  <si>
    <t>937358 - 921718 - 937356 - 247907 - 937195</t>
  </si>
  <si>
    <t>Phycide couleur de cannelle</t>
  </si>
  <si>
    <t>247911 - 921468 - 937196</t>
  </si>
  <si>
    <t>918506 - 247918</t>
  </si>
  <si>
    <t>Phycide du frêne</t>
  </si>
  <si>
    <t>247919 - 921469 - 415868</t>
  </si>
  <si>
    <t>Phycide du pêcher</t>
  </si>
  <si>
    <t>247923 - 921212 - 925064</t>
  </si>
  <si>
    <t>Phycide fuligineuse</t>
  </si>
  <si>
    <t>824806 - 247924</t>
  </si>
  <si>
    <t>Phycide du pin d'Alep</t>
  </si>
  <si>
    <t>908748 - 908749 - 247925</t>
  </si>
  <si>
    <t>Phycide des cônes d'épicéas</t>
  </si>
  <si>
    <t>Phycide de pommier</t>
  </si>
  <si>
    <t>247929 - 916164</t>
  </si>
  <si>
    <t>Phycide du groseillier</t>
  </si>
  <si>
    <t>415895 - 981199 - 415896 - 415897 - 813884 - 247949 - 415893 - 415894 - 247948 - 921730</t>
  </si>
  <si>
    <t>Phycide roussâtre</t>
  </si>
  <si>
    <t>247950 - 415898</t>
  </si>
  <si>
    <t>808371 - 825735 - 825736 - 844987 - 247951 - 977969 - 415900 - 415899</t>
  </si>
  <si>
    <t>Myélophile tamis</t>
  </si>
  <si>
    <t>908739 - 247954 - 908738 - 415901</t>
  </si>
  <si>
    <t>Phycide de Goater</t>
  </si>
  <si>
    <t>247955 - 917109 - 415902</t>
  </si>
  <si>
    <t>Phycide du saule à oreillette</t>
  </si>
  <si>
    <t>415905 - 247957 - 984635 - 825739</t>
  </si>
  <si>
    <t>Phycide de marécages</t>
  </si>
  <si>
    <t>937360 - 937359 - 415906 - 247958 - 925025</t>
  </si>
  <si>
    <t>Phycide de la daldinie</t>
  </si>
  <si>
    <t>921318 - 937130 - 785636 - 415921 - 247962 - 937131</t>
  </si>
  <si>
    <t>Phycide oblique</t>
  </si>
  <si>
    <t>921715 - 247964</t>
  </si>
  <si>
    <t>Phycide porphyre (La)</t>
  </si>
  <si>
    <t>Phycide poudreuse</t>
  </si>
  <si>
    <t>808367 - 916153 - 247967</t>
  </si>
  <si>
    <t>Phycide associée</t>
  </si>
  <si>
    <t>415924 - 247968</t>
  </si>
  <si>
    <t>Phycide glauque</t>
  </si>
  <si>
    <t>988418 - 916160 - 247978</t>
  </si>
  <si>
    <t>Phycide du fusain</t>
  </si>
  <si>
    <t>944295 - 944296 - 944297 - 944293 - 944294 - 24798 - 944292</t>
  </si>
  <si>
    <t>247986 - 916157</t>
  </si>
  <si>
    <t>Phycide ornée</t>
  </si>
  <si>
    <t>247987 - 415937 - 916159 - 415938</t>
  </si>
  <si>
    <t>Phycide d'Orenburg</t>
  </si>
  <si>
    <t>247988 - 415944 - 415943 - 415942 - 415941 - 415940 - 415939 - 896804 - 917112 - 1009709</t>
  </si>
  <si>
    <t>Phycide bronzée</t>
  </si>
  <si>
    <t>808365 - 247991 - 415947 - 825730 - 808366</t>
  </si>
  <si>
    <t>Phycide du rouvre</t>
  </si>
  <si>
    <t>977967 - 247993 - 925050 - 977968</t>
  </si>
  <si>
    <t>Pyrale du tronc</t>
  </si>
  <si>
    <t>247995 - 415949</t>
  </si>
  <si>
    <t>Phycide du pin</t>
  </si>
  <si>
    <t>917108 - 247996 - 938240</t>
  </si>
  <si>
    <t>Phycide du Sapin (La)</t>
  </si>
  <si>
    <t>921729 - 248003 - 1016633</t>
  </si>
  <si>
    <t>Phycide du genêt</t>
  </si>
  <si>
    <t>917113 - 248007</t>
  </si>
  <si>
    <t>Phycide de la callune</t>
  </si>
  <si>
    <t>921391 - 521536 - 248010</t>
  </si>
  <si>
    <t>Phycide rosâtre</t>
  </si>
  <si>
    <t>825732 - 822397 - 920269 - 918173 - 248011 - 977966</t>
  </si>
  <si>
    <t>Ilythie incarnat</t>
  </si>
  <si>
    <t>248015 - 919756 - 985731</t>
  </si>
  <si>
    <t>Pyrale du haricot vert</t>
  </si>
  <si>
    <t>415950 - 825731 - 917115 - 248017</t>
  </si>
  <si>
    <t>Phycide marcassite</t>
  </si>
  <si>
    <t>248018 - 916163</t>
  </si>
  <si>
    <t>Phycide violette</t>
  </si>
  <si>
    <t>1008243 - 248024 - 924708</t>
  </si>
  <si>
    <t>Phycide du saule</t>
  </si>
  <si>
    <t>248026 - 919758</t>
  </si>
  <si>
    <t>Phycide composite</t>
  </si>
  <si>
    <t>415955 - 825733 - 415954 - 248032 - 917114</t>
  </si>
  <si>
    <t>248041 - 925017</t>
  </si>
  <si>
    <t>Phycide semblable</t>
  </si>
  <si>
    <t>248042 - 918806</t>
  </si>
  <si>
    <t>Phycide du tilleul</t>
  </si>
  <si>
    <t>248060 - 822374 - 825513</t>
  </si>
  <si>
    <t>Asopie frangée</t>
  </si>
  <si>
    <t>248067 - 808271 - 916166</t>
  </si>
  <si>
    <t>Aglosse cuivrée</t>
  </si>
  <si>
    <t>415976 - 415975 - 248068 - 849736 - 920283 - 415977</t>
  </si>
  <si>
    <t>Aglosse de la graisse</t>
  </si>
  <si>
    <t>825514 - 953720 - 415978 - 849730 - 248073</t>
  </si>
  <si>
    <t>Asopie de la farine</t>
  </si>
  <si>
    <t>961782 - 915307 - 805073 - 415983 - 248078</t>
  </si>
  <si>
    <t>Clédéobie étroite</t>
  </si>
  <si>
    <t>808244 - 248079 - 808243</t>
  </si>
  <si>
    <t>Asopie flamme</t>
  </si>
  <si>
    <t>248084 - 920268 - 415984 - 849739 - 415985 - 248083</t>
  </si>
  <si>
    <t>Fausse-teigne des bourdons</t>
  </si>
  <si>
    <t>821012 - 821011 - 248086 - 849755</t>
  </si>
  <si>
    <t>Fausse teigne de la cire (La)</t>
  </si>
  <si>
    <t>248087 - 984390 - 923083 - 825741</t>
  </si>
  <si>
    <t>Petite teigne des ruches</t>
  </si>
  <si>
    <t>808270 - 916904 - 822392 - 808269 - 248088</t>
  </si>
  <si>
    <t>Nomophile</t>
  </si>
  <si>
    <t>781942 - 248100</t>
  </si>
  <si>
    <t>Sténie pontuée</t>
  </si>
  <si>
    <t>985718 - 988523 - 415995 - 918627 - 978723 - 458350 - 248104</t>
  </si>
  <si>
    <t>Pyrale du jasmin</t>
  </si>
  <si>
    <t>784276 - 784675 - 984393 - 415996 - 813593 - 248105 - 915306</t>
  </si>
  <si>
    <t>415997 - 248108 - 923039 - 976856 - 808256 - 808255</t>
  </si>
  <si>
    <t>Hydrocampe lettrée</t>
  </si>
  <si>
    <t>248109 - 918171</t>
  </si>
  <si>
    <t>Agrotère sylvatique</t>
  </si>
  <si>
    <t>944300 - 944302 - 944299 - 24811 - 944301</t>
  </si>
  <si>
    <t>822378 - 248112 - 1013215 - 916902</t>
  </si>
  <si>
    <t>Botys jaun-serin</t>
  </si>
  <si>
    <t>916903 - 248114</t>
  </si>
  <si>
    <t>Botys jaune marginé</t>
  </si>
  <si>
    <t>808265 - 248116 - 916019 - 977973</t>
  </si>
  <si>
    <t>Botys âne</t>
  </si>
  <si>
    <t>916078 - 822632 - 248120 - 825717</t>
  </si>
  <si>
    <t>Botys de la germandrée des bois</t>
  </si>
  <si>
    <t>916074 - 248121 - 822379</t>
  </si>
  <si>
    <t>Botys hyalin</t>
  </si>
  <si>
    <t>808267 - 808266 - 248123</t>
  </si>
  <si>
    <t>Botys du bouillon-blanc</t>
  </si>
  <si>
    <t>716702 - 416002 - 924908 - 248124 - 825555</t>
  </si>
  <si>
    <t>Botys à huit taches</t>
  </si>
  <si>
    <t>248127 - 961785 - 822377 - 779354 - 916073</t>
  </si>
  <si>
    <t>Pyrale de l'armoise</t>
  </si>
  <si>
    <t>916089 - 248128</t>
  </si>
  <si>
    <t>Scopule poudreuse</t>
  </si>
  <si>
    <t>916911 - 248137 - 822389 - 961783</t>
  </si>
  <si>
    <t>Botys verdâtre</t>
  </si>
  <si>
    <t>825720 - 808264 - 248138 - 849735</t>
  </si>
  <si>
    <t>Botys vertical</t>
  </si>
  <si>
    <t>248139 - 916072 - 988424</t>
  </si>
  <si>
    <t>Botys de laîches</t>
  </si>
  <si>
    <t>416005 - 643597 - 248140 - 416006 - 458457 - 785639 - 923081 - 784132 - 416004 - 416003</t>
  </si>
  <si>
    <t>Botys de la traînasse</t>
  </si>
  <si>
    <t>248141 - 778125 - 952134 - 248142 - 849709</t>
  </si>
  <si>
    <t>Ennychie zone blanche</t>
  </si>
  <si>
    <t>248144 - 918615 - 822390</t>
  </si>
  <si>
    <t>Pyrauste ensanglantée</t>
  </si>
  <si>
    <t>917870 - 416009 - 248146</t>
  </si>
  <si>
    <t>Pyrauste du plantain</t>
  </si>
  <si>
    <t>917869 - 825630 - 248148</t>
  </si>
  <si>
    <t>Pyrauste de la Menthe (La)</t>
  </si>
  <si>
    <t>248149 - 825631 - 849737 - 416010</t>
  </si>
  <si>
    <t>Pyrauste pourprée</t>
  </si>
  <si>
    <t>248150 - 778123 - 916094</t>
  </si>
  <si>
    <t>Pyrauste violette</t>
  </si>
  <si>
    <t>918167 - 825621 - 778126 - 248154</t>
  </si>
  <si>
    <t>Enychie cordelière</t>
  </si>
  <si>
    <t>416011 - 248155</t>
  </si>
  <si>
    <t>Pyrauste noire</t>
  </si>
  <si>
    <t>248156 - 416012 - 916090 - 778124</t>
  </si>
  <si>
    <t>Pyrauste olivacée commune</t>
  </si>
  <si>
    <t>24816 - 944329</t>
  </si>
  <si>
    <t>944343 - 24817</t>
  </si>
  <si>
    <t>894560 - 248171 - 916905 - 825633</t>
  </si>
  <si>
    <t>Scopule du froment</t>
  </si>
  <si>
    <t>248172 - 416016 - 825716 - 822388 - 916098 - 977972 - 908822</t>
  </si>
  <si>
    <t>Botys ferrugineux</t>
  </si>
  <si>
    <t>822387 - 248173 - 916102 - 416017</t>
  </si>
  <si>
    <t>Botys fauve</t>
  </si>
  <si>
    <t>916104 - 248177 - 785559</t>
  </si>
  <si>
    <t>Botys alpestre</t>
  </si>
  <si>
    <t>248178 - 916912</t>
  </si>
  <si>
    <t>Botys pâle</t>
  </si>
  <si>
    <t>416018 - 988421 - 808260 - 248179 - 808261</t>
  </si>
  <si>
    <t>Botys des haies</t>
  </si>
  <si>
    <t>850637 - 24818</t>
  </si>
  <si>
    <t>248181 - 925002</t>
  </si>
  <si>
    <t>Botys de De la Harpe</t>
  </si>
  <si>
    <t>248190 - 891616</t>
  </si>
  <si>
    <t>Botys nébuleux</t>
  </si>
  <si>
    <t>248192 - 918801</t>
  </si>
  <si>
    <t>Botys décrépi</t>
  </si>
  <si>
    <t>248193 - 916913</t>
  </si>
  <si>
    <t>Botys olive</t>
  </si>
  <si>
    <t>248197 - 923058</t>
  </si>
  <si>
    <t>Nymphule ondée</t>
  </si>
  <si>
    <t>248209 - 808259 - 849734</t>
  </si>
  <si>
    <t>Pyrale du chou</t>
  </si>
  <si>
    <t>944345 - 24821</t>
  </si>
  <si>
    <t>806864 - 917697 - 805059 - 248210 - 920281</t>
  </si>
  <si>
    <t>Evergète de la roquette jaune</t>
  </si>
  <si>
    <t>248211 - 918614 - 808257 - 808258 - 825724</t>
  </si>
  <si>
    <t>Evergète de l'alliaire</t>
  </si>
  <si>
    <t>825722 - 822383 - 248212 - 416030 - 917642</t>
  </si>
  <si>
    <t>Evergète des bois</t>
  </si>
  <si>
    <t>944346 - 24822</t>
  </si>
  <si>
    <t>248221 - 919522</t>
  </si>
  <si>
    <t>Ennychie pygmée</t>
  </si>
  <si>
    <t>916896 - 248224 - 822373</t>
  </si>
  <si>
    <t>Odontie dentelée</t>
  </si>
  <si>
    <t>248228 - 716701 - 916898 - 825552</t>
  </si>
  <si>
    <t>Poudrée</t>
  </si>
  <si>
    <t>24823 - 944380 - 944381</t>
  </si>
  <si>
    <t>248231 - 825725 - 783213 - 917643 - 416034 - 721040</t>
  </si>
  <si>
    <t>Hydrocampe du nénuphar</t>
  </si>
  <si>
    <t>808252 - 976857 - 849707 - 952854 - 248232 - 808253</t>
  </si>
  <si>
    <t>Hydrocampe de la stratiote</t>
  </si>
  <si>
    <t>920264 - 806855 - 805060 - 248233 - 849708</t>
  </si>
  <si>
    <t>Hydrocampe de la lentille d'eau</t>
  </si>
  <si>
    <t>778846 - 416035 - 916914 - 248234 - 777313</t>
  </si>
  <si>
    <t>Hydrocampe fausse-éphémère</t>
  </si>
  <si>
    <t>808246 - 849705 - 822376 - 808245 - 977957 - 808247 - 805058 - 248235 - 806866</t>
  </si>
  <si>
    <t>Hydrocampe du Potamogéton (L')</t>
  </si>
  <si>
    <t>24824 - 944384</t>
  </si>
  <si>
    <t>918169 - 248241</t>
  </si>
  <si>
    <t>Scirpophage fantôme</t>
  </si>
  <si>
    <t>248242 - 961784 - 918206</t>
  </si>
  <si>
    <t>Schoenobius tenaille</t>
  </si>
  <si>
    <t>248243 - 916897 - 988420</t>
  </si>
  <si>
    <t>Schenobius mucroné</t>
  </si>
  <si>
    <t>917098 - 248245</t>
  </si>
  <si>
    <t>Ancylolome palpulé</t>
  </si>
  <si>
    <t>808339 - 248246 - 975916 - 808338</t>
  </si>
  <si>
    <t>Ancylolome commun</t>
  </si>
  <si>
    <t>980649 - 248249 - 916088</t>
  </si>
  <si>
    <t>Crambus alpestre</t>
  </si>
  <si>
    <t>1013811 - 248250 - 916086</t>
  </si>
  <si>
    <t>Crambus des dunes</t>
  </si>
  <si>
    <t>416037 - 825729 - 916906 - 248252</t>
  </si>
  <si>
    <t>Crambus jaunâtre</t>
  </si>
  <si>
    <t>248254 - 916080</t>
  </si>
  <si>
    <t>Crambus contaminé</t>
  </si>
  <si>
    <t>248256 - 808360 - 808359</t>
  </si>
  <si>
    <t>Crambus des adrets</t>
  </si>
  <si>
    <t>977953 - 820673 - 977954 - 923057 - 808358 - 248257</t>
  </si>
  <si>
    <t>Crambus rayé commun</t>
  </si>
  <si>
    <t>924845 - 248260</t>
  </si>
  <si>
    <t>Crambus occidental</t>
  </si>
  <si>
    <t>248261 - 924848</t>
  </si>
  <si>
    <t>Crambus de Leipzig</t>
  </si>
  <si>
    <t>984618 - 248265 - 918799</t>
  </si>
  <si>
    <t>Crambus permuté</t>
  </si>
  <si>
    <t>248266 - 699680 - 916113 - 1013705</t>
  </si>
  <si>
    <t>Crambus du mélézin</t>
  </si>
  <si>
    <t>248268 - 919521</t>
  </si>
  <si>
    <t>Crambus à bande</t>
  </si>
  <si>
    <t>Crambus de Maurin</t>
  </si>
  <si>
    <t>944388 - 944389 - 944390 - 24827</t>
  </si>
  <si>
    <t>248274 - 917101</t>
  </si>
  <si>
    <t>Crambus coquille</t>
  </si>
  <si>
    <t>248275 - 916116</t>
  </si>
  <si>
    <t>Crambus petite moule</t>
  </si>
  <si>
    <t>849762 - 822398 - 248276</t>
  </si>
  <si>
    <t>Cranbus des pinèdes (Le)</t>
  </si>
  <si>
    <t>917102 - 248278</t>
  </si>
  <si>
    <t>Crambus à rayure d'argent</t>
  </si>
  <si>
    <t>808362 - 248283 - 808361</t>
  </si>
  <si>
    <t>Crambus douteux</t>
  </si>
  <si>
    <t>825728 - 248285 - 924832</t>
  </si>
  <si>
    <t>Crambus des bois</t>
  </si>
  <si>
    <t>459040 - 459039 - 248290</t>
  </si>
  <si>
    <t>Crambus des chaumes</t>
  </si>
  <si>
    <t>917097 - 459076 - 248292</t>
  </si>
  <si>
    <t>Crambus souillé</t>
  </si>
  <si>
    <t>918502 - 248295 - 977965</t>
  </si>
  <si>
    <t>Crambus à strie large</t>
  </si>
  <si>
    <t>814263 - 248296</t>
  </si>
  <si>
    <t>Crambus des rivages</t>
  </si>
  <si>
    <t>248297 - 917099</t>
  </si>
  <si>
    <t>Crambus des pelouses</t>
  </si>
  <si>
    <t>248301 - 814217 - 808363</t>
  </si>
  <si>
    <t>Crambus des friches</t>
  </si>
  <si>
    <t>849748 - 777811 - 248304</t>
  </si>
  <si>
    <t>Crambus des pâturages</t>
  </si>
  <si>
    <t>248305 - 916014</t>
  </si>
  <si>
    <t>Crambus du bois</t>
  </si>
  <si>
    <t>Crambus des tourbières</t>
  </si>
  <si>
    <t>916013 - 248307</t>
  </si>
  <si>
    <t>Crambus des landes</t>
  </si>
  <si>
    <t>Crambus savoyard</t>
  </si>
  <si>
    <t>1013700 - 248310 - 849749 - 805071</t>
  </si>
  <si>
    <t>Crambus des buissons</t>
  </si>
  <si>
    <t>416041 - 777812 - 924835 - 248311</t>
  </si>
  <si>
    <t>Crambus des prés</t>
  </si>
  <si>
    <t>808341 - 248314 - 808340 - 805072 - 805124 - 825726 - 920280</t>
  </si>
  <si>
    <t>Crambus des jardins (Le)</t>
  </si>
  <si>
    <t>248315 - 916106</t>
  </si>
  <si>
    <t>Chilo des marais</t>
  </si>
  <si>
    <t>24832 - 944419 - 944417 - 944418</t>
  </si>
  <si>
    <t>908743 - 908742 - 248326</t>
  </si>
  <si>
    <t>Crambus décoré</t>
  </si>
  <si>
    <t>416043 - 825550 - 416045 - 917698 - 248333 - 416044 - 1011646</t>
  </si>
  <si>
    <t>Pyrale de coteaux</t>
  </si>
  <si>
    <t>248335 - 924994 - 445261 - 822394</t>
  </si>
  <si>
    <t>Eudorée des mousses</t>
  </si>
  <si>
    <t>416048 - 416047 - 924472 - 248336 - 1010290</t>
  </si>
  <si>
    <t>Eudorée des rochers</t>
  </si>
  <si>
    <t>924999 - 248337 - 416049 - 920816</t>
  </si>
  <si>
    <t>Eudorée des parois</t>
  </si>
  <si>
    <t>416050 - 248338 - 924470</t>
  </si>
  <si>
    <t>Eudorée anguleuse</t>
  </si>
  <si>
    <t>24834 - 899033</t>
  </si>
  <si>
    <t>924471 - 248340</t>
  </si>
  <si>
    <t>Eudorée des Anglais</t>
  </si>
  <si>
    <t>416052 - 924931 - 248341</t>
  </si>
  <si>
    <t>Eudorée des lichens</t>
  </si>
  <si>
    <t>1011583 - 822395 - 924935 - 248343</t>
  </si>
  <si>
    <t>Eudorée dzs troncs</t>
  </si>
  <si>
    <t>416056 - 248345 - 825549 - 416057 - 849759 - 1011532</t>
  </si>
  <si>
    <t>248351 - 988419 - 416064 - 908757 - 416065 - 908758</t>
  </si>
  <si>
    <t>Eudorée des picrides</t>
  </si>
  <si>
    <t>Eudorée des bois</t>
  </si>
  <si>
    <t>248354 - 805067 - 416067 - 919524</t>
  </si>
  <si>
    <t>Eudorée commune</t>
  </si>
  <si>
    <t>248355 - 925000 - 416068</t>
  </si>
  <si>
    <t>Eudorée équivoque</t>
  </si>
  <si>
    <t>925003 - 248356 - 416069</t>
  </si>
  <si>
    <t>Eudorée de De La Harpe</t>
  </si>
  <si>
    <t>248357 - 822393 - 416072 - 416071 - 916910 - 1011331 - 416070 - 416073 - 805066</t>
  </si>
  <si>
    <t>Eudorée des vergers</t>
  </si>
  <si>
    <t>248359 - 416074 - 1011332 - 921384</t>
  </si>
  <si>
    <t>Eudorée de Zeller</t>
  </si>
  <si>
    <t>940715 - 647789 - 416076 - 248362 - 940714 - 54791 - 838772</t>
  </si>
  <si>
    <t>Lunigère (La)</t>
  </si>
  <si>
    <t>459066 - 248363 - 647788 - 822030 - 826918 - 459067</t>
  </si>
  <si>
    <t>Buveuse (La)</t>
  </si>
  <si>
    <t>721110 - 980556 - 778241 - 647784 - 980557 - 940702 - 248369</t>
  </si>
  <si>
    <t>Petit minime à bande (Le), Bombyx du Trèfle (Le)</t>
  </si>
  <si>
    <t>248370 - 838681 - 54746 - 647773</t>
  </si>
  <si>
    <t>Livrée des prés (La)</t>
  </si>
  <si>
    <t>940868 - 822760 - 940870 - 940869 - 647775 - 54747 - 248371 - 253325 - 940865</t>
  </si>
  <si>
    <t>Franconienne (La)</t>
  </si>
  <si>
    <t>54716 - 977891 - 952219 - 939813 - 807586 - 459031 - 248375 - 807585 - 952220 - 779228</t>
  </si>
  <si>
    <t>Petit Paon de Nuit (Le)</t>
  </si>
  <si>
    <t>416154 - 416151 - 721118 - 779265 - 248378 - 979126 - 416153 - 416150 - 809763 - 416152</t>
  </si>
  <si>
    <t>Sphinx livournien (Le)</t>
  </si>
  <si>
    <t>779246 - 416179 - 248379 - 416180 - 54805 - 416178 - 779245 - 416182 - 931196 - 779243 - 416181</t>
  </si>
  <si>
    <t>Sphinx du Pin (Le)</t>
  </si>
  <si>
    <t>54812 - 774481 - 248381</t>
  </si>
  <si>
    <t>Sphinx demi-paon (Le)</t>
  </si>
  <si>
    <t>807595 - 939827 - 939826 - 248384 - 779169 - 807594</t>
  </si>
  <si>
    <t>Petite Epine (La)</t>
  </si>
  <si>
    <t>826992 - 248385 - 826993 - 779157 - 934496</t>
  </si>
  <si>
    <t>Harpon (Le)</t>
  </si>
  <si>
    <t>826990 - 779287 - 248386</t>
  </si>
  <si>
    <t>Incurvé (L')</t>
  </si>
  <si>
    <t>822038 - 779289 - 940215 - 826989 - 940217 - 248387 - 826988 - 826994 - 826995</t>
  </si>
  <si>
    <t>Faucille (La)</t>
  </si>
  <si>
    <t>921098 - 940270 - 248388 - 940287 - 826996 - 822040 - 826997 - 807596 - 716448 - 779165</t>
  </si>
  <si>
    <t>Hameçon (Le), Binaire (Le)</t>
  </si>
  <si>
    <t>826998 - 826999 - 248390 - 459072 - 779166</t>
  </si>
  <si>
    <t>Serpette (La)</t>
  </si>
  <si>
    <t>809654 - 779290 - 826944 - 822039 - 826945 - 248391 - 940225</t>
  </si>
  <si>
    <t>Lacertine (La), Lézard (Le)</t>
  </si>
  <si>
    <t>940359 - 822048 - 820992 - 810364 - 779281 - 248392 - 785893 - 940344 - 940371</t>
  </si>
  <si>
    <t>Flavicorne (Le)</t>
  </si>
  <si>
    <t>827146 - 779282 - 887720 - 248394</t>
  </si>
  <si>
    <t>Rieuse (La), Tête rouge (La)</t>
  </si>
  <si>
    <t>810360 - 940373 - 838696 - 779280 - 248395 - 984111 - 779279</t>
  </si>
  <si>
    <t>Cymatophore délayée (La),  Diluée (La)</t>
  </si>
  <si>
    <t>838697 - 248396 - 779277 - 827150 - 827149 - 810362 - 983593</t>
  </si>
  <si>
    <t>Double-Ligne (La), Bipoint (Le)</t>
  </si>
  <si>
    <t>248397 - 810363 - 779276 - 940438 - 983592</t>
  </si>
  <si>
    <t>Cymatophore onduleuse (La), Aqueuse (L')</t>
  </si>
  <si>
    <t>807607 - 777139 - 807604 - 248398 - 807603 - 777140 - 887718 - 940407 - 940425 - 779272</t>
  </si>
  <si>
    <t>Octogésime (L')</t>
  </si>
  <si>
    <t>940430 - 940427 - 248399 - 827148 - 887719 - 779274</t>
  </si>
  <si>
    <t>Or (L'), Double-Bande brune (La)</t>
  </si>
  <si>
    <t>416197 - 779270 - 810361 - 827394 - 248400</t>
  </si>
  <si>
    <t>Râtissée (La)</t>
  </si>
  <si>
    <t>248401 - 779271</t>
  </si>
  <si>
    <t>Batis (La)</t>
  </si>
  <si>
    <t>988395 - 780993 - 809653 - 783958 - 988394 - 416198 - 248402</t>
  </si>
  <si>
    <t>Ephyre orbiculaire (L'), Ephyre lichénée (L')</t>
  </si>
  <si>
    <t>783959 - 248403 - 780995</t>
  </si>
  <si>
    <t>416199 - 822211 - 952858 - 416200 - 780998 - 248404 - 808159 - 782823 - 782821 - 952857</t>
  </si>
  <si>
    <t>Ephyre omicron (L'), Phalène mariée (La)</t>
  </si>
  <si>
    <t>780994 - 248405 - 808158 - 416201</t>
  </si>
  <si>
    <t>Ephyre suspendue (L')</t>
  </si>
  <si>
    <t>248406 - 780999 - 981175 - 416202 - 783960</t>
  </si>
  <si>
    <t>Ephyre pupillée (L')</t>
  </si>
  <si>
    <t>248407 - 781001</t>
  </si>
  <si>
    <t>Ephyre Trois-Cerceaux (L')</t>
  </si>
  <si>
    <t>781000 - 988396 - 248408</t>
  </si>
  <si>
    <t>Ephyre de Bastelberger (L')</t>
  </si>
  <si>
    <t>952141 - 808157 - 783961 - 825427 - 781003 - 248409 - 808156</t>
  </si>
  <si>
    <t>Ephyre trouée (L'), Ephyre ocellée (L')</t>
  </si>
  <si>
    <t>899065 - 24841</t>
  </si>
  <si>
    <t>416203 - 825428 - 248410 - 416206 - 981144 - 783962 - 416204 - 781006 - 416205</t>
  </si>
  <si>
    <t>Ephyre ponctuée (L'), Soutenue (La)</t>
  </si>
  <si>
    <t>781004 - 248411</t>
  </si>
  <si>
    <t>Ephyre blond-roux (L')</t>
  </si>
  <si>
    <t>416208 - 416207 - 248412 - 781007</t>
  </si>
  <si>
    <t>Ephyre trilignée (L')</t>
  </si>
  <si>
    <t>809652 - 779374 - 416209 - 248416 - 416210</t>
  </si>
  <si>
    <t>Acidalie sinuée (L')</t>
  </si>
  <si>
    <t>779376 - 248417</t>
  </si>
  <si>
    <t>Acidalie catalane (L')</t>
  </si>
  <si>
    <t>416212 - 248418 - 416211 - 952284 - 952828 - 810148 - 416213 - 779378 - 827581</t>
  </si>
  <si>
    <t>Acidalie des alpages (L'), Acidalie double-ceinture (L.)</t>
  </si>
  <si>
    <t>699724 - 779379 - 416214 - 248419</t>
  </si>
  <si>
    <t>Acidalie jaune (L')</t>
  </si>
  <si>
    <t>827572 - 810149 - 779380 - 825422 - 827573 - 805056 - 822210 - 777805 - 248420</t>
  </si>
  <si>
    <t>Phalène aurorale (La),  Variée (La)</t>
  </si>
  <si>
    <t>779388 - 248425 - 983782 - 783921</t>
  </si>
  <si>
    <t>Acidalie rousse (L')</t>
  </si>
  <si>
    <t>416221 - 248428 - 827583 - 416222 - 783920 - 779398 - 827582 - 770413 - 416220</t>
  </si>
  <si>
    <t>Acidalie ocreuse (L')</t>
  </si>
  <si>
    <t>779403 - 248431 - 416224 - 807014 - 721038 - 783938 - 988392 - 810150 - 805055</t>
  </si>
  <si>
    <t>Acidalie campagnarde (L'), Acidalie des ibères (L')</t>
  </si>
  <si>
    <t>779407 - 778017 - 248434 - 827577 - 825424 - 825423 - 810151 - 416225</t>
  </si>
  <si>
    <t>Acidalie des herboristes (L')</t>
  </si>
  <si>
    <t>779419 - 810152 - 248439</t>
  </si>
  <si>
    <t>Acidalie de l'Alysson</t>
  </si>
  <si>
    <t>783924 - 810153 - 779420 - 248441</t>
  </si>
  <si>
    <t>Coquille (La), Acidalie chapelet (L')</t>
  </si>
  <si>
    <t>779426 - 248445 - 921303</t>
  </si>
  <si>
    <t>Acidalie allongée (L')</t>
  </si>
  <si>
    <t>248448 - 810155 - 416238 - 779429 - 783934</t>
  </si>
  <si>
    <t>Acidalie naine (L')</t>
  </si>
  <si>
    <t>808125 - 779431 - 827584 - 416239 - 248449 - 783939 - 988393</t>
  </si>
  <si>
    <t>Acidalie diluée (L')</t>
  </si>
  <si>
    <t>248450 - 779432 - 416240 - 783940 - 952859 - 810156</t>
  </si>
  <si>
    <t>Acidalie familière (L')</t>
  </si>
  <si>
    <t>780165 - 783941 - 810157 - 248451 - 808174 - 416241 - 808175</t>
  </si>
  <si>
    <t>Acidalie roussie (L'), Phalène à côte rousse (La)</t>
  </si>
  <si>
    <t>780171 - 248455</t>
  </si>
  <si>
    <t>Acidalie discrète (L'), Acidalie de Bartel (L')</t>
  </si>
  <si>
    <t>827576 - 416243 - 416244 - 248458 - 921998 - 783926 - 810158 - 780174 - 808168 - 921106</t>
  </si>
  <si>
    <t>Vieillie (La) , Voisine (La)</t>
  </si>
  <si>
    <t>780177 - 785627 - 248460 - 783927 - 810160</t>
  </si>
  <si>
    <t>Acidalie blanchâtre (L')</t>
  </si>
  <si>
    <t>780192 - 248461 - 808171 - 908747</t>
  </si>
  <si>
    <t>Acidalie disparate (L'), Acidalie pâle (L')</t>
  </si>
  <si>
    <t>248463 - 780194 - 808178 - 983783</t>
  </si>
  <si>
    <t>Acidalie sylvestre (L')</t>
  </si>
  <si>
    <t>783925 - 248464 - 780196 - 827579 - 810159 - 827578</t>
  </si>
  <si>
    <t>Acidalie écussonnée (L')</t>
  </si>
  <si>
    <t>248465 - 780231</t>
  </si>
  <si>
    <t>Acidalie suffusée (L')</t>
  </si>
  <si>
    <t>827580 - 248466 - 983784 - 780232 - 783935</t>
  </si>
  <si>
    <t>Acidalie retournée (L')</t>
  </si>
  <si>
    <t>822199 - 416246 - 810154 - 780233 - 248467 - 808169 - 808170</t>
  </si>
  <si>
    <t>Truie (La)</t>
  </si>
  <si>
    <t>810161 - 416251 - 248469 - 416248 - 416249 - 780236 - 416247 - 416250</t>
  </si>
  <si>
    <t>Acidalie contiguë (L')</t>
  </si>
  <si>
    <t>248472 - 783930 - 416252 - 780247</t>
  </si>
  <si>
    <t>Acidalie séparée (L')</t>
  </si>
  <si>
    <t>827492 - 827493 - 780256 - 248476 - 983786 - 822200</t>
  </si>
  <si>
    <t>Echancrée (L')</t>
  </si>
  <si>
    <t>808180 - 780259 - 783946 - 822205 - 808179 - 416255 - 825426 - 416256 - 416254 - 825425 - 777141 - 459077 - 248477</t>
  </si>
  <si>
    <t>Impolie (L'), l'Acidalie détournée (L')</t>
  </si>
  <si>
    <t>921091 - 248479 - 780260 - 810163 - 783942</t>
  </si>
  <si>
    <t>Acidalie dégénérée (L')</t>
  </si>
  <si>
    <t>780261 - 248480 - 783943 - 783928 - 810164 - 827594 - 416258</t>
  </si>
  <si>
    <t>Acidalie sobre (L')</t>
  </si>
  <si>
    <t>783945 - 416260 - 416261 - 248481 - 416259 - 780262 - 983788 - 783944</t>
  </si>
  <si>
    <t>Acidalie maritime (L'), Ombrageuse (L')</t>
  </si>
  <si>
    <t>778318 - 248484 - 781009 - 919201</t>
  </si>
  <si>
    <t>Phalène sacrée (La)</t>
  </si>
  <si>
    <t>780991 - 248485 - 808080 - 416262 - 827543 - 416263</t>
  </si>
  <si>
    <t>Bande rouge (La)</t>
  </si>
  <si>
    <t>777550 - 808082 - 783963 - 808081 - 780992 - 248486</t>
  </si>
  <si>
    <t>Phalène calabraise (La)</t>
  </si>
  <si>
    <t>248491 - 808176 - 780276 - 778020 - 827597 - 808177</t>
  </si>
  <si>
    <t>Acidalie hardie (L')</t>
  </si>
  <si>
    <t>988435 - 248492 - 780277</t>
  </si>
  <si>
    <t>Acidalie tesselée (L')</t>
  </si>
  <si>
    <t>248493 - 780278</t>
  </si>
  <si>
    <t>Acidalie de Kretschmar (L')</t>
  </si>
  <si>
    <t>248494 - 416272 - 416271 - 777807 - 777806</t>
  </si>
  <si>
    <t>Acidalie neigeuse (L')</t>
  </si>
  <si>
    <t>827593 - 248495 - 780279</t>
  </si>
  <si>
    <t>Acidalie en soie brodée (L')</t>
  </si>
  <si>
    <t>780280 - 248496 - 827596</t>
  </si>
  <si>
    <t>Acidalie des ombelles (L')</t>
  </si>
  <si>
    <t>248497 - 783953 - 783954 - 780281 - 808181</t>
  </si>
  <si>
    <t>Acidalie étrille (L')</t>
  </si>
  <si>
    <t>780285 - 248498 - 783952 - 416273</t>
  </si>
  <si>
    <t>Acidalie striée (L'), Acidalie sillonnée.(L')</t>
  </si>
  <si>
    <t>416275 - 416274 - 780289 - 952852 - 783955 - 952853 - 827574 - 808162 - 248499 - 808161</t>
  </si>
  <si>
    <t>Acidalie ornée (L')</t>
  </si>
  <si>
    <t>248500 - 780290 - 808163 - 783957 - 808164</t>
  </si>
  <si>
    <t>Acidalie décorée (L'), Cendrée (La)</t>
  </si>
  <si>
    <t>416280 - 248503 - 416281 - 416282 - 808172 - 416283 - 780943 - 808173 - 783947</t>
  </si>
  <si>
    <t>Phalène rougeâtre (La), Acidalie rougie (L')</t>
  </si>
  <si>
    <t>808167 - 783948 - 780953 - 919357 - 248506</t>
  </si>
  <si>
    <t>Frange picotée (La), Acidalie picotée (L')</t>
  </si>
  <si>
    <t>416284 - 416285 - 248507 - 783950 - 780952</t>
  </si>
  <si>
    <t>Acidalie grisonnante (L')</t>
  </si>
  <si>
    <t>248508 - 783956 - 780954</t>
  </si>
  <si>
    <t>Acidalie fausse-Timandre (L')</t>
  </si>
  <si>
    <t>808166 - 780955 - 822206 - 827575 - 827592 - 808165 - 248509</t>
  </si>
  <si>
    <t>Acidalie des pâturages (L')</t>
  </si>
  <si>
    <t>780956 - 248510 - 416286</t>
  </si>
  <si>
    <t>Acidalie à trois raies (L')</t>
  </si>
  <si>
    <t>416288 - 810165 - 780958 - 416287 - 248511</t>
  </si>
  <si>
    <t>Acidalie laiteuse (L')</t>
  </si>
  <si>
    <t>783951 - 248512 - 780959</t>
  </si>
  <si>
    <t>Acidalie virginale (L'), l'Acidalie ponctuée (L')</t>
  </si>
  <si>
    <t>808183 - 459087 - 459088 - 952283 - 808184 - 248516 - 459086 - 459089 - 459085</t>
  </si>
  <si>
    <t>Timandre aimée (La)</t>
  </si>
  <si>
    <t>827866 - 808194 - 808191 - 248517 - 808193</t>
  </si>
  <si>
    <t>Souris (La), Phalène de l'Euphorbe (La)</t>
  </si>
  <si>
    <t>416291 - 827590 - 827589 - 248518</t>
  </si>
  <si>
    <t>Cidarie sylvestre (La)</t>
  </si>
  <si>
    <t>248519 - 827586 - 822315 - 827585 - 416292 - 827873 - 822323</t>
  </si>
  <si>
    <t>Acidalie jaunâtre, La Flammèche (La)</t>
  </si>
  <si>
    <t>939919 - 24852 - 257762</t>
  </si>
  <si>
    <t>825458 - 827587 - 248520 - 827867 - 827588 - 822324 - 416293</t>
  </si>
  <si>
    <t>Phalène candide (La)</t>
  </si>
  <si>
    <t>827869 - 248521 - 827868</t>
  </si>
  <si>
    <t>Cidarie du Cornouiller (La)</t>
  </si>
  <si>
    <t>248522 - 827529 - 827872 - 827871 - 783997 - 778011 - 825460 - 827530 - 827870</t>
  </si>
  <si>
    <t>Cidarie de l'Aulne (La)</t>
  </si>
  <si>
    <t>248523 - 778090</t>
  </si>
  <si>
    <t>Cidarie du Sorbier (La)</t>
  </si>
  <si>
    <t>248524 - 816619 - 827874 - 785901</t>
  </si>
  <si>
    <t>Cidarie de l'Orme (La)</t>
  </si>
  <si>
    <t>822282 - 248525 - 827550 - 781098 - 827549</t>
  </si>
  <si>
    <t>Cidarie rayée (La)</t>
  </si>
  <si>
    <t>827696 - 827697 - 785634 - 781095 - 248526 - 783985</t>
  </si>
  <si>
    <t>Veinée (La)</t>
  </si>
  <si>
    <t>248530 - 916689</t>
  </si>
  <si>
    <t>Phalène argentée (La), Phalène grisette (La)</t>
  </si>
  <si>
    <t>808189 - 808190 - 838780 - 248533 - 827990 - 808187</t>
  </si>
  <si>
    <t>Ramoneur (Le), Tanagre du Cerfeuil (Le)</t>
  </si>
  <si>
    <t>828015 - 808113 - 716703 - 248534</t>
  </si>
  <si>
    <t>Triple Raie (La), Rayure commune (La)</t>
  </si>
  <si>
    <t>785196 - 248535</t>
  </si>
  <si>
    <t>Petite Rayure (La)</t>
  </si>
  <si>
    <t>248537 - 777657 - 824847 - 827643</t>
  </si>
  <si>
    <t>Rayure montagnarde (La)</t>
  </si>
  <si>
    <t>915421 - 771338 - 248540</t>
  </si>
  <si>
    <t>Cidarie des alpages (La)</t>
  </si>
  <si>
    <t>827646 - 248541 - 783969 - 827644</t>
  </si>
  <si>
    <t>Chésias du Genêt (La)</t>
  </si>
  <si>
    <t>248543 - 828477</t>
  </si>
  <si>
    <t>Rousse (La), Chesias oblique (La)</t>
  </si>
  <si>
    <t>782054 - 248544 - 810124 - 827570 - 827569 - 778049 - 827568</t>
  </si>
  <si>
    <t>Cidarie olivette (La)</t>
  </si>
  <si>
    <t>810125 - 248545 - 778051 - 782055</t>
  </si>
  <si>
    <t>Cidarie olive (La)</t>
  </si>
  <si>
    <t>248547 - 782063 - 810127 - 822327 - 822329</t>
  </si>
  <si>
    <t>Cidarie verdâtre (La)</t>
  </si>
  <si>
    <t>782056 - 827839 - 248548</t>
  </si>
  <si>
    <t>Cidarie glauque (La)</t>
  </si>
  <si>
    <t>810126 - 783981 - 782059 - 248550</t>
  </si>
  <si>
    <t>Cidarie pointillée (La)</t>
  </si>
  <si>
    <t>778089 - 782060 - 248551 - 827612 - 827611</t>
  </si>
  <si>
    <t>Cidarie dérangée (La)</t>
  </si>
  <si>
    <t>827699 - 248553 - 827846 - 782062</t>
  </si>
  <si>
    <t>Cidarie joyeuse (La)</t>
  </si>
  <si>
    <t>827814 - 988411 - 782051 - 827682 - 248554 - 822365</t>
  </si>
  <si>
    <t>Cidarie rompue (La)</t>
  </si>
  <si>
    <t>782049 - 248555 - 782050</t>
  </si>
  <si>
    <t>Cidarie réticulée (La)</t>
  </si>
  <si>
    <t>827660 - 248558 - 827657 - 827659 - 782040</t>
  </si>
  <si>
    <t>Corythée montagnarde (La)</t>
  </si>
  <si>
    <t>783974 - 988378 - 782020 - 827655 - 248559 - 827656</t>
  </si>
  <si>
    <t>Corythée variée (La)</t>
  </si>
  <si>
    <t>416304 - 782037 - 248560</t>
  </si>
  <si>
    <t>Corythée anglaise</t>
  </si>
  <si>
    <t>827605 - 782038 - 778074 - 248561 - 770392 - 827661 - 416305</t>
  </si>
  <si>
    <t>Corythée étranglée (La)</t>
  </si>
  <si>
    <t>988363 - 248562 - 978740 - 782019</t>
  </si>
  <si>
    <t>Corythée sobre (La)</t>
  </si>
  <si>
    <t>825445 - 827654 - 827652 - 782041 - 783975 - 248563</t>
  </si>
  <si>
    <t>Corythée du Genévrier (La)</t>
  </si>
  <si>
    <t>822354 - 781520 - 248565 - 416306 - 808143</t>
  </si>
  <si>
    <t>Mignonne (La), Cidarie bicolore (La)</t>
  </si>
  <si>
    <t>783972 - 808133 - 248566 - 781385</t>
  </si>
  <si>
    <t>Cidarie fauve (La), Associée (L')</t>
  </si>
  <si>
    <t>825446 - 781383 - 988614 - 822366 - 827679 - 781382 - 248567 - 827833</t>
  </si>
  <si>
    <t>Cidarie roussâtre (La)</t>
  </si>
  <si>
    <t>827669 - 827668 - 988410 - 781384 - 248568 - 827667 - 445252</t>
  </si>
  <si>
    <t>Cidarie de la Myrtille (La)</t>
  </si>
  <si>
    <t>808123 - 808124 - 827695 - 781380 - 822363 - 248569 - 827828 - 988377</t>
  </si>
  <si>
    <t>Cidarie à bandes vertes (La)</t>
  </si>
  <si>
    <t>979993 - 827567 - 248570 - 781381 - 827694 - 808108 - 808109</t>
  </si>
  <si>
    <t>Cidarie fasciée (La)</t>
  </si>
  <si>
    <t>932264 - 827824 - 248571 - 781379 - 932265 - 827825</t>
  </si>
  <si>
    <t>Cidarie de la Balsamine (La), Cidarie à tête jaune (La)</t>
  </si>
  <si>
    <t>827674 - 827827 - 248572 - 781378 - 810128 - 827826</t>
  </si>
  <si>
    <t>Cidarie ochracée (La)</t>
  </si>
  <si>
    <t>832934 - 827666 - 988376 - 988409 - 827665 - 248573 - 445262 - 822367</t>
  </si>
  <si>
    <t>716449 - 248574 - 781374 - 827818 - 827673</t>
  </si>
  <si>
    <t>Cidarie du Prunier (La)</t>
  </si>
  <si>
    <t>248575 - 827664 - 827663 - 822308 - 781375 - 827819</t>
  </si>
  <si>
    <t>Cidarie agate (La)</t>
  </si>
  <si>
    <t>827820 - 827821 - 459094 - 827662 - 248576 - 781376</t>
  </si>
  <si>
    <t>Cidarie du Peuplier (La)</t>
  </si>
  <si>
    <t>988375 - 416307 - 827822 - 781377 - 248577</t>
  </si>
  <si>
    <t>Cidarie marbrée (La)</t>
  </si>
  <si>
    <t>778088 - 981166 - 783979 - 248578 - 781364 - 827556 - 781363 - 827555 - 827852</t>
  </si>
  <si>
    <t>Nébuleuse commune (La)</t>
  </si>
  <si>
    <t>827855 - 778042 - 781366 - 827687 - 981192 - 781367 - 248580 - 827685</t>
  </si>
  <si>
    <t>Nébuleuse coudée (La)</t>
  </si>
  <si>
    <t>781368 - 778046 - 248581 - 778032</t>
  </si>
  <si>
    <t>Nébuleuse grise (La)</t>
  </si>
  <si>
    <t>781369 - 248582</t>
  </si>
  <si>
    <t>Nébuleuse achromatique (La)</t>
  </si>
  <si>
    <t>248584 - 781362 - 808140 - 827816 - 783973 - 778075 - 827817 - 825444 - 721696 - 827815</t>
  </si>
  <si>
    <t>Lynx (Le)</t>
  </si>
  <si>
    <t>781360 - 248585</t>
  </si>
  <si>
    <t>Cidarie enfumée (La)</t>
  </si>
  <si>
    <t>805053 - 918477 - 248587 - 822364 - 810140 - 825450 - 416308</t>
  </si>
  <si>
    <t>Cidarie-Pivert (La)</t>
  </si>
  <si>
    <t>976855 - 248588 - 918478 - 825454</t>
  </si>
  <si>
    <t>Cidarie à bec (La)</t>
  </si>
  <si>
    <t>919480 - 778047 - 248589</t>
  </si>
  <si>
    <t>Larentie fruste (La)</t>
  </si>
  <si>
    <t>789651 - 789650 - 248590</t>
  </si>
  <si>
    <t>Eupithécie carrée (L')</t>
  </si>
  <si>
    <t>808130 - 248591 - 784037 - 822370 - 849676 - 810137</t>
  </si>
  <si>
    <t>Eupithécie rectangulaire (L')</t>
  </si>
  <si>
    <t>915440 - 248592 - 810138 - 822371</t>
  </si>
  <si>
    <t>Eupithécie de la Myrtille (L')</t>
  </si>
  <si>
    <t>784036 - 918479 - 248593 - 416309</t>
  </si>
  <si>
    <t>Eupithécie couronnée (L')</t>
  </si>
  <si>
    <t>810135 - 918484 - 416311 - 416310 - 920975 - 784033 - 248594 - 416312 - 416315 - 416313 - 416316 - 785558 - 784035 - 416314 - 920961</t>
  </si>
  <si>
    <t>Fausse-Eupithécie (La)</t>
  </si>
  <si>
    <t>416317 - 784017 - 248595</t>
  </si>
  <si>
    <t>Eupithécie de la Clématite (L')</t>
  </si>
  <si>
    <t>248596 - 915438</t>
  </si>
  <si>
    <t>Eupithécie des Saules (L')</t>
  </si>
  <si>
    <t>915430 - 248597</t>
  </si>
  <si>
    <t>Eupithécie de l'Erable (L'), Eupithécie paisible (L')</t>
  </si>
  <si>
    <t>416321 - 416318 - 248598 - 416320 - 416319 - 920042</t>
  </si>
  <si>
    <t>Eupithécie du Sapin (L')</t>
  </si>
  <si>
    <t>248599 - 416322</t>
  </si>
  <si>
    <t>Eupithécie des galles (L'), Petite Eupithécie du Sapin (L')</t>
  </si>
  <si>
    <t>916692 - 784004 - 248600</t>
  </si>
  <si>
    <t>Eupithécie de la Linaire (L')</t>
  </si>
  <si>
    <t>Eupithécie de la Digitale pourpre (L')</t>
  </si>
  <si>
    <t>784005 - 248603</t>
  </si>
  <si>
    <t>Eupithécie lambrissée (L')</t>
  </si>
  <si>
    <t>248605 - 918480</t>
  </si>
  <si>
    <t>Eupithécie du Mélampyre (L')</t>
  </si>
  <si>
    <t>Eupithécie du Silène (L')</t>
  </si>
  <si>
    <t>784007 - 248610 - 919125</t>
  </si>
  <si>
    <t>Eupithécie veinée (L')</t>
  </si>
  <si>
    <t>Eupithécie silénicole (L')</t>
  </si>
  <si>
    <t>784028 - 248616</t>
  </si>
  <si>
    <t>Eupithécie printanière (L')</t>
  </si>
  <si>
    <t>248618 - 784029</t>
  </si>
  <si>
    <t>Eupithécie sagittée (L')</t>
  </si>
  <si>
    <t>784013 - 988521 - 921102 - 917542 - 778067 - 988522 - 248621</t>
  </si>
  <si>
    <t>Eupithécie des balais (L')</t>
  </si>
  <si>
    <t>916693 - 810133 - 921066 - 810134 - 248622</t>
  </si>
  <si>
    <t>Eupithécie chétive (L')</t>
  </si>
  <si>
    <t>917540 - 248624 - 784031</t>
  </si>
  <si>
    <t>Eupithécie de la Bruyère (L')</t>
  </si>
  <si>
    <t>248626 - 921216 - 784027 - 917541 - 416328</t>
  </si>
  <si>
    <t>Eupithécie de l'Oxycèdre (L')</t>
  </si>
  <si>
    <t>248628 - 416329 - 810130</t>
  </si>
  <si>
    <t>Eupithécie triponctuée (L')</t>
  </si>
  <si>
    <t>Eupithécie de la Verge d'Or (L')</t>
  </si>
  <si>
    <t>Eupithécie des Résineux (L')</t>
  </si>
  <si>
    <t>920344 - 248632</t>
  </si>
  <si>
    <t>Eupithécie du Mélèze (L')</t>
  </si>
  <si>
    <t>915433 - 248633</t>
  </si>
  <si>
    <t>Eupithécie de l'Epicéa (L')</t>
  </si>
  <si>
    <t>Eupithécie du Persil (L')</t>
  </si>
  <si>
    <t>Eupithécie de l'Actée (L')</t>
  </si>
  <si>
    <t>Eupithécie du Tilleul (L')</t>
  </si>
  <si>
    <t>915435 - 248637 - 896814 - 921047</t>
  </si>
  <si>
    <t>Eupithécie du Boucage (L')</t>
  </si>
  <si>
    <t>918481 - 810132 - 248638 - 784011</t>
  </si>
  <si>
    <t>Eupithécie du Chénopode (L')</t>
  </si>
  <si>
    <t>248639 - 915434 - 784022</t>
  </si>
  <si>
    <t>Eupithécie naine (L')</t>
  </si>
  <si>
    <t>805049 - 806906 - 248640 - 1016330 - 784023 - 416331</t>
  </si>
  <si>
    <t>Eupithécie réputée (L')</t>
  </si>
  <si>
    <t>784003 - 248646 - 920310</t>
  </si>
  <si>
    <t>Eupithécie rouillée (L')</t>
  </si>
  <si>
    <t>915432 - 248647 - 416334</t>
  </si>
  <si>
    <t>Eupithécie arrosée (L')</t>
  </si>
  <si>
    <t>248648 - 915426</t>
  </si>
  <si>
    <t>Eupithécie dénuée (L')</t>
  </si>
  <si>
    <t>248649 - 785556</t>
  </si>
  <si>
    <t>Eupithécie des tourbières (L.)</t>
  </si>
  <si>
    <t>778069 - 784010 - 921243 - 248650</t>
  </si>
  <si>
    <t>Eupithécie du Thym (L')</t>
  </si>
  <si>
    <t>Eupithécie à tirets (L')</t>
  </si>
  <si>
    <t>416335 - 952851 - 825510 - 808128 - 784002 - 916691 - 248653</t>
  </si>
  <si>
    <t>Eupithécie des Centaurées (L'), Eupithécie oblongue (L')</t>
  </si>
  <si>
    <t>248655 - 915443 - 770385</t>
  </si>
  <si>
    <t>Eupithécie distinguée (L')</t>
  </si>
  <si>
    <t>Eupithécie trisignée (L')</t>
  </si>
  <si>
    <t>416336 - 248659</t>
  </si>
  <si>
    <t>Eupithécie de la Vérâtre (L')</t>
  </si>
  <si>
    <t>920318 - 248660</t>
  </si>
  <si>
    <t>Eupithécie crayeuse (L')</t>
  </si>
  <si>
    <t>248661 - 416338 - 416337 - 920329 - 956678</t>
  </si>
  <si>
    <t>Eupithécie embrouillée (L')</t>
  </si>
  <si>
    <t>248662 - 915437</t>
  </si>
  <si>
    <t>Eupithécie satyre (L')</t>
  </si>
  <si>
    <t>918631 - 248663</t>
  </si>
  <si>
    <t>Eupithécie de Cauchy (L')</t>
  </si>
  <si>
    <t>248665 - 825511 - 416341 - 917550</t>
  </si>
  <si>
    <t>Eupithécie de l'Absinthe (L')</t>
  </si>
  <si>
    <t>Eupithécie délavée (L')</t>
  </si>
  <si>
    <t>915439 - 248667</t>
  </si>
  <si>
    <t>Eupithécie de la Valériane (L')</t>
  </si>
  <si>
    <t>Eupithécie du Groseillier (L')</t>
  </si>
  <si>
    <t>248669 - 918483</t>
  </si>
  <si>
    <t>Eupithécie austère (L')</t>
  </si>
  <si>
    <t>808129 - 248672 - 784030 - 915424</t>
  </si>
  <si>
    <t>Eupithécie de l'Aubépine (L')</t>
  </si>
  <si>
    <t>416343 - 915423 - 248674</t>
  </si>
  <si>
    <t>Eupithécie des Campanules (L')</t>
  </si>
  <si>
    <t>784009 - 416345 - 248676</t>
  </si>
  <si>
    <t>Eupithécie parcimonieuse (L')</t>
  </si>
  <si>
    <t>416346 - 248678 - 416348 - 416347</t>
  </si>
  <si>
    <t>Eupithécie de la Millefeuille (L')</t>
  </si>
  <si>
    <t>984760 - 248679 - 778064 - 917677</t>
  </si>
  <si>
    <t>Eupithécie frappée (L')</t>
  </si>
  <si>
    <t>849673 - 248680</t>
  </si>
  <si>
    <t>Eupithécie substituée (L')</t>
  </si>
  <si>
    <t>248681 - 784014</t>
  </si>
  <si>
    <t>Eupithécie des Labiées (L')</t>
  </si>
  <si>
    <t>778066 - 248682 - 915425</t>
  </si>
  <si>
    <t>Eupithécie impure (L.)</t>
  </si>
  <si>
    <t>916694 - 416349 - 248685</t>
  </si>
  <si>
    <t>Eupithécie des friches (L')</t>
  </si>
  <si>
    <t>Eupithécie subtile (L')</t>
  </si>
  <si>
    <t>810131 - 918482 - 248687 - 416350 - 778071</t>
  </si>
  <si>
    <t>Eupithécie noirâtre (L')</t>
  </si>
  <si>
    <t>822334 - 822333 - 248688 - 827691 - 782065 - 827690 - 988412</t>
  </si>
  <si>
    <t>Larentie lavée (La)</t>
  </si>
  <si>
    <t>988389 - 827689 - 782067 - 248689 - 822352 - 810129 - 822353 - 827688 - 416351</t>
  </si>
  <si>
    <t>Larentie arrosée (La)</t>
  </si>
  <si>
    <t>782066 - 248690</t>
  </si>
  <si>
    <t>Larentie rubescente (La)</t>
  </si>
  <si>
    <t>778079 - 827613 - 782131 - 777836 - 248691</t>
  </si>
  <si>
    <t>Mélanippe affligée (La)</t>
  </si>
  <si>
    <t>248692 - 781359 - 822368</t>
  </si>
  <si>
    <t>Cidarie accompagnée (La), Phalène de la Patte-d'Oie (La)</t>
  </si>
  <si>
    <t>783991 - 988385 - 781358 - 248693 - 778076 - 808147</t>
  </si>
  <si>
    <t>Phalène de la Ronce (La), Blanchâtre (La)</t>
  </si>
  <si>
    <t>780145 - 780146 - 822360 - 988390 - 781356 - 248694 - 805051</t>
  </si>
  <si>
    <t>Cidarie baie (La)</t>
  </si>
  <si>
    <t>248695 - 805052 - 825462 - 781357 - 784000</t>
  </si>
  <si>
    <t>Violette (La), Cidarie dérivée (La)</t>
  </si>
  <si>
    <t>781353 - 783966 - 248697 - 416352</t>
  </si>
  <si>
    <t>Larentie cloutée (La)</t>
  </si>
  <si>
    <t>781346 - 248700</t>
  </si>
  <si>
    <t>Entéphrie de l'Arabette (L')</t>
  </si>
  <si>
    <t>248701 - 827702 - 781349 - 827703 - 778037</t>
  </si>
  <si>
    <t>Entéphrie ceinture-jaune (L')</t>
  </si>
  <si>
    <t>248703 - 781351</t>
  </si>
  <si>
    <t>Entéphrie étranglée (L'), Infidèle (L')</t>
  </si>
  <si>
    <t>827700 - 827701 - 248704 - 781352 - 988883 - 1008245</t>
  </si>
  <si>
    <t>Entéphrie commune (L'), Larentie bleuâtre (La)</t>
  </si>
  <si>
    <t>952280 - 808083 - 781092 - 248706</t>
  </si>
  <si>
    <t>Ensanglantée des Renouées (La)</t>
  </si>
  <si>
    <t>810146 - 248707 - 416354 - 781093 - 416355</t>
  </si>
  <si>
    <t>Ensanglantée de l'Oseille (L')</t>
  </si>
  <si>
    <t>827968 - 248709 - 827969</t>
  </si>
  <si>
    <t>Larentie mouchetée (La)</t>
  </si>
  <si>
    <t>248710 - 988386 - 827607 - 980732 - 778080 - 827606</t>
  </si>
  <si>
    <t>Mélanthie pie (La)</t>
  </si>
  <si>
    <t>825464 - 827958 - 808117 - 248712 - 923803 - 784042</t>
  </si>
  <si>
    <t>Horisme rayé (L')</t>
  </si>
  <si>
    <t>784043 - 825465 - 248714 - 778093 - 808119 - 827960 - 771331 - 827959</t>
  </si>
  <si>
    <t>Horisme élégant (L'), Essuyée (L')</t>
  </si>
  <si>
    <t>827961 - 248715 - 827962</t>
  </si>
  <si>
    <t>Horisme jumeau (L')</t>
  </si>
  <si>
    <t>248716 - 827965</t>
  </si>
  <si>
    <t>Horisme mimétique (L')</t>
  </si>
  <si>
    <t>248717 - 827966</t>
  </si>
  <si>
    <t>Horisme calligraphié (L')</t>
  </si>
  <si>
    <t>827723 - 784041 - 827724 - 248718</t>
  </si>
  <si>
    <t>Horisme des Pulsatilles (L'), Phalène aqueuse (La)</t>
  </si>
  <si>
    <t>24872 - 400304 - 850645 - 400303 - 400302</t>
  </si>
  <si>
    <t>248721 - 827860</t>
  </si>
  <si>
    <t>Cheimatobie du Hêtre (La)</t>
  </si>
  <si>
    <t>827861 - 808127 - 827628 - 783970 - 808126 - 827862 - 248722 - 827863</t>
  </si>
  <si>
    <t>Cheimatobie hiémale (La), Phalène brumeuse (La)</t>
  </si>
  <si>
    <t>783984 - 716706 - 827626 - 824846 - 248723 - 827627</t>
  </si>
  <si>
    <t>Epirrite diluée (L')</t>
  </si>
  <si>
    <t>827864 - 248724</t>
  </si>
  <si>
    <t>Epirrite de Christy (L')</t>
  </si>
  <si>
    <t>810123 - 827865 - 248725</t>
  </si>
  <si>
    <t>Epirrite automnale (L')</t>
  </si>
  <si>
    <t>248726 - 919126</t>
  </si>
  <si>
    <t>Périzome du Pigamon (La)</t>
  </si>
  <si>
    <t>445268 - 778027 - 849675 - 827560 - 248727 - 827561</t>
  </si>
  <si>
    <t>Eubolie âpre (L'), La Périzome des Myrtilles (La)</t>
  </si>
  <si>
    <t>248728 - 827557 - 920676 - 810139 - 827558</t>
  </si>
  <si>
    <t>Larentie parallèle (La)</t>
  </si>
  <si>
    <t>827706 - 917686 - 777825 - 827705 - 248729 - 827704 - 445249</t>
  </si>
  <si>
    <t>Larentie rupestre (La)</t>
  </si>
  <si>
    <t>920468 - 248731</t>
  </si>
  <si>
    <t>Périzome contrastée (La)</t>
  </si>
  <si>
    <t>827615 - 783993 - 972344 - 778057 - 248732 - 825455 - 849671</t>
  </si>
  <si>
    <t>Périzome coupée (La)</t>
  </si>
  <si>
    <t>981202 - 248733 - 783995 - 827616 - 827617</t>
  </si>
  <si>
    <t>Périzome du Silène penché (La), Périzome terne (La)</t>
  </si>
  <si>
    <t>825456 - 825457 - 248734 - 778062</t>
  </si>
  <si>
    <t>Phalène du Cucubale (La)</t>
  </si>
  <si>
    <t>783996 - 918486 - 920950 - 248735 - 988387 - 1009616</t>
  </si>
  <si>
    <t>Périzome soulignée (La)</t>
  </si>
  <si>
    <t>248736 - 778059 - 919485</t>
  </si>
  <si>
    <t>Périzome de l'Euphraise (La), Périzome grisâtre (La)</t>
  </si>
  <si>
    <t>778060 - 248737 - 916695 - 416356</t>
  </si>
  <si>
    <t>Périzome agréable (La)</t>
  </si>
  <si>
    <t>827709 - 248738 - 827708 - 827707 - 822312</t>
  </si>
  <si>
    <t>Périzome du Rhinanthe (La)</t>
  </si>
  <si>
    <t>805057 - 806869 - 825459 - 248739 - 822310 - 918202 - 988388 - 827614</t>
  </si>
  <si>
    <t>Périzome décolorée (La), Périzome à fascies jaunes (La)</t>
  </si>
  <si>
    <t>920686 - 779030 - 1011441 - 248740 - 1011442 - 416358</t>
  </si>
  <si>
    <t>Périzome frottée (La)</t>
  </si>
  <si>
    <t>778087 - 921063 - 248741</t>
  </si>
  <si>
    <t>Périzome des sommets (La)</t>
  </si>
  <si>
    <t>827722 - 248742 - 827721 - 808116 - 783971</t>
  </si>
  <si>
    <t>Petite Phalène du Nerprun (La), Vieillote (La)</t>
  </si>
  <si>
    <t>822306 - 416360 - 808115 - 416361 - 827876 - 416359 - 827718 - 827875 - 248743</t>
  </si>
  <si>
    <t>Phalène du Nerprun (La)</t>
  </si>
  <si>
    <t>248744 - 827911</t>
  </si>
  <si>
    <t>Cavernicole blafarde (La), Incertaine savoyarde (L')</t>
  </si>
  <si>
    <t>827910 - 808114 - 827715 - 248745</t>
  </si>
  <si>
    <t>Incertaine (L'), Dent-de-Scie (La), Douteuse (La)</t>
  </si>
  <si>
    <t>778077 - 827880 - 827608 - 248750 - 951666</t>
  </si>
  <si>
    <t>Hachée (La), Mélanippe hastée (La)</t>
  </si>
  <si>
    <t>827885 - 248751</t>
  </si>
  <si>
    <t>Mélanippe du Myrtillier (La)</t>
  </si>
  <si>
    <t>827677 - 416362 - 827675 - 248752 - 783999</t>
  </si>
  <si>
    <t>Phalène de l'Epine-Vinette (La)</t>
  </si>
  <si>
    <t>983650 - 822286 - 915441 - 248757</t>
  </si>
  <si>
    <t>Lobophore verdâtre (La)</t>
  </si>
  <si>
    <t>248759 - 809651 - 809650 - 827629</t>
  </si>
  <si>
    <t>Lobophore de l'Erable (La)</t>
  </si>
  <si>
    <t>248760 - 827640 - 988372 - 827641</t>
  </si>
  <si>
    <t>Phalène à six ailes (La)</t>
  </si>
  <si>
    <t>918229 - 981191 - 248761</t>
  </si>
  <si>
    <t>Lobophore du Genévrier (La)</t>
  </si>
  <si>
    <t>827630 - 248762 - 827633</t>
  </si>
  <si>
    <t>Phalène du Troène (La), Lobée des haies (La)</t>
  </si>
  <si>
    <t>988371 - 827637 - 248763 - 827636</t>
  </si>
  <si>
    <t>Lobée (La), Phalène du Charme (La)</t>
  </si>
  <si>
    <t>917596 - 827639 - 248764 - 822284 - 822285</t>
  </si>
  <si>
    <t>Haltère (La), Phalène hexaptérate (La)</t>
  </si>
  <si>
    <t>827698 - 952856 - 783998 - 781343 - 248765 - 825461 - 808118</t>
  </si>
  <si>
    <t>Brocatelle d'or (La)</t>
  </si>
  <si>
    <t>781348 - 416363 - 248766 - 781347</t>
  </si>
  <si>
    <t>Brocatelle rédigée (La)</t>
  </si>
  <si>
    <t>781342 - 248767 - 784038</t>
  </si>
  <si>
    <t>Phalène convexe (La)</t>
  </si>
  <si>
    <t>933408 - 248768 - 781341</t>
  </si>
  <si>
    <t>Phalène distinguée (La)</t>
  </si>
  <si>
    <t>988362 - 781335 - 248769 - 827609 - 778078</t>
  </si>
  <si>
    <t>Mélanippe triste (La)</t>
  </si>
  <si>
    <t>248770 - 781334 - 416364</t>
  </si>
  <si>
    <t>Mélanippe pupillée (La)</t>
  </si>
  <si>
    <t>783990 - 416365 - 827610 - 248771 - 825453 - 781336 - 416366</t>
  </si>
  <si>
    <t>Alternée (L')</t>
  </si>
  <si>
    <t>416367 - 248772 - 783989 - 808139 - 825452 - 416368 - 781337</t>
  </si>
  <si>
    <t>Mélanippe claire (La)</t>
  </si>
  <si>
    <t>248773 - 781210 - 416369 - 781211</t>
  </si>
  <si>
    <t>Lancette (La)</t>
  </si>
  <si>
    <t>781338 - 783992 - 827618 - 248774 - 827619 - 884186 - 778081</t>
  </si>
  <si>
    <t>Mélanippe rude (La)</t>
  </si>
  <si>
    <t>781339 - 248775 - 808142 - 416370 - 783987 - 825451 - 778082</t>
  </si>
  <si>
    <t>Mélanthie du Caille-Lait (La)</t>
  </si>
  <si>
    <t>827678 - 248781 - 821195 - 988384 - 821196 - 781205</t>
  </si>
  <si>
    <t>Eubolie sinuée (L')</t>
  </si>
  <si>
    <t>825463 - 808134 - 248782 - 781204 - 784001</t>
  </si>
  <si>
    <t>Eubolie roussâtre (L')</t>
  </si>
  <si>
    <t>808141 - 825448 - 781135 - 783980 - 248784</t>
  </si>
  <si>
    <t>Incertaine (L'), Phalène ondée (La)</t>
  </si>
  <si>
    <t>778086 - 781139 - 248786</t>
  </si>
  <si>
    <t>Cidarie montagnarde (La)</t>
  </si>
  <si>
    <t>248787 - 781115 - 416373</t>
  </si>
  <si>
    <t>Larentie des Impatientes (La)</t>
  </si>
  <si>
    <t>248788 - 781118</t>
  </si>
  <si>
    <t>Oxydée (L')</t>
  </si>
  <si>
    <t>822361 - 808110 - 778083 - 781119 - 827564 - 416374 - 825449 - 808111 - 951672 - 248789</t>
  </si>
  <si>
    <t>946921 - 24879</t>
  </si>
  <si>
    <t>827565 - 980207 - 248790 - 416375 - 827566 - 988381 - 781116</t>
  </si>
  <si>
    <t>Désignée (La)</t>
  </si>
  <si>
    <t>827554 - 248791 - 827551 - 781133</t>
  </si>
  <si>
    <t>Mélanthie montagnarde (La)</t>
  </si>
  <si>
    <t>1001076 - 827563 - 827562 - 783982 - 988380 - 248792 - 781131</t>
  </si>
  <si>
    <t>Phalène quadrifasciée (La)</t>
  </si>
  <si>
    <t>781113 - 781112 - 783983 - 805048 - 248793 - 988382</t>
  </si>
  <si>
    <t>Escortée (L'), Phalène dimorphe (La)</t>
  </si>
  <si>
    <t>416376 - 988383 - 781114 - 770433 - 248794</t>
  </si>
  <si>
    <t>Phalène du Gaillet palustre (La), Orthonome ligneuse (L')</t>
  </si>
  <si>
    <t>459093 - 810144 - 248797 - 781108 - 416378</t>
  </si>
  <si>
    <t>Ortholite acuminée (L')</t>
  </si>
  <si>
    <t>936173 - 936170 - 827546 - 952844 - 1016328 - 952845 - 778094 - 810145 - 783965 - 781109 - 248798 - 1000222 - 808105</t>
  </si>
  <si>
    <t>Ortholite plombée (L')</t>
  </si>
  <si>
    <t>827552 - 248801 - 416379 - 808107 - 976852 - 783968 - 781105 - 810142</t>
  </si>
  <si>
    <t>Ortholite biponctuée (L')</t>
  </si>
  <si>
    <t>810141 - 783967 - 827545 - 248803 - 781099 - 827544</t>
  </si>
  <si>
    <t>Ortholite fortifiée (L')</t>
  </si>
  <si>
    <t>806897 - 806900 - 805050 - 810143 - 822280 - 248808 - 808106 - 781107 - 822281</t>
  </si>
  <si>
    <t>Phalène de l'Ansérine (La), Chénopodie (La)</t>
  </si>
  <si>
    <t>783915 - 416385 - 416386 - 248810 - 1016117 - 416387 - 779308 - 779307</t>
  </si>
  <si>
    <t>Emeraude (L')</t>
  </si>
  <si>
    <t>779317 - 810299 - 783914 - 805044 - 822197 - 248811 - 952279 - 416388 - 952829</t>
  </si>
  <si>
    <t>Verdelet (Le)</t>
  </si>
  <si>
    <t>416389 - 248813 - 779309</t>
  </si>
  <si>
    <t>Grande Naïade (La), Papillonaire (La)</t>
  </si>
  <si>
    <t>248815 - 827508 - 779316 - 827509 - 810305</t>
  </si>
  <si>
    <t>Hémithée printanière (L')</t>
  </si>
  <si>
    <t>416391 - 770415 - 248816 - 779361</t>
  </si>
  <si>
    <t>Phalène verte des Ombellifères (La)</t>
  </si>
  <si>
    <t>779324 - 827511 - 416392 - 827510 - 783918 - 248818</t>
  </si>
  <si>
    <t>Herbacée (L'), Phalène verte des Callunes (La)</t>
  </si>
  <si>
    <t>779330 - 416393 - 248819</t>
  </si>
  <si>
    <t>Chlorée (La)</t>
  </si>
  <si>
    <t>248820 - 416394 - 783919 - 779323 - 827506</t>
  </si>
  <si>
    <t>Phalène sillonnée (La)</t>
  </si>
  <si>
    <t>827504 - 822198 - 952842 - 779320 - 416395 - 416396 - 248821 - 805046</t>
  </si>
  <si>
    <t>Hémithée éruginée (L')</t>
  </si>
  <si>
    <t>248822 - 827505 - 807901 - 779321 - 807902</t>
  </si>
  <si>
    <t>Phalène perlée (La)</t>
  </si>
  <si>
    <t>416399 - 416401 - 416400 - 807757 - 416403 - 778319 - 416398 - 416397 - 248824 - 807756 - 779297 - 416402</t>
  </si>
  <si>
    <t>Hémithée du Genêt (L')</t>
  </si>
  <si>
    <t>805045 - 779300 - 248825</t>
  </si>
  <si>
    <t>Hémithée de l'Ajonc (L')</t>
  </si>
  <si>
    <t>248827 - 416405 - 416406 - 808155 - 416404 - 822277 - 779295</t>
  </si>
  <si>
    <t>Phalène de l'Arrête-Boeuf (La)</t>
  </si>
  <si>
    <t>416408 - 416407 - 248828 - 779322 - 827507</t>
  </si>
  <si>
    <t>Phalène du Buplèvre (La), la Phalène du Thym (La)</t>
  </si>
  <si>
    <t>808145 - 852708 - 784044 - 248829</t>
  </si>
  <si>
    <t>Phalène du Fusain (La)</t>
  </si>
  <si>
    <t>808149 - 248830 - 849669</t>
  </si>
  <si>
    <t>Zérène du Groseillier (La)</t>
  </si>
  <si>
    <t>852710 - 248831 - 774727 - 852711 - 984614</t>
  </si>
  <si>
    <t>Zérène de l'Orme (La)</t>
  </si>
  <si>
    <t>821009 - 808077 - 248833 - 808076 - 849587</t>
  </si>
  <si>
    <t>Angéronie du Prunier (L'), Phalène du Noisetier (La)</t>
  </si>
  <si>
    <t>808152 - 822272 - 824859 - 248834</t>
  </si>
  <si>
    <t>Etrille (L'), Phalène des landes (La)</t>
  </si>
  <si>
    <t>248840 - 916679 - 784094</t>
  </si>
  <si>
    <t>Aspilate jaunâtre (L')</t>
  </si>
  <si>
    <t>918626 - 808084 - 808085 - 845196 - 784095 - 248841 - 416412</t>
  </si>
  <si>
    <t>Aspilate ochracée (L')</t>
  </si>
  <si>
    <t>721039 - 784045 - 988361 - 248843 - 919373</t>
  </si>
  <si>
    <t>Phalène distincte (La), Lomographe précoce (Le)</t>
  </si>
  <si>
    <t>915292 - 827600 - 822248 - 810221 - 827601 - 248844</t>
  </si>
  <si>
    <t>Phalène à deux taches (La)</t>
  </si>
  <si>
    <t>827604 - 248845 - 771328 - 827602 - 822246 - 810222 - 827603</t>
  </si>
  <si>
    <t>Phalène satinée (La)</t>
  </si>
  <si>
    <t>824855 - 248846 - 784058 - 827459</t>
  </si>
  <si>
    <t>Hibernie défeuillante (L')</t>
  </si>
  <si>
    <t>248847 - 784055 - 808093 - 916666</t>
  </si>
  <si>
    <t>Hibernie grisâtre (L')</t>
  </si>
  <si>
    <t>248852 - 952838 - 931568 - 1016327 - 808099 - 808098 - 824852</t>
  </si>
  <si>
    <t>Biston marbré (Le)</t>
  </si>
  <si>
    <t>824853 - 808097 - 825436 - 822253 - 248853</t>
  </si>
  <si>
    <t>Phalène du Bouleau (La), Biston du Bouleau (Le)</t>
  </si>
  <si>
    <t>784060 - 248854 - 917546 - 827452 - 825435</t>
  </si>
  <si>
    <t>Phalène hérissée (La)</t>
  </si>
  <si>
    <t>248857 - 827455 - 916673</t>
  </si>
  <si>
    <t>Phalène zonée (La)</t>
  </si>
  <si>
    <t>1008248 - 248858 - 915442 - 827454</t>
  </si>
  <si>
    <t>Phalène pomone</t>
  </si>
  <si>
    <t>825434 - 808095 - 972636 - 825433 - 836765 - 824851 - 248859</t>
  </si>
  <si>
    <t>Phalène velue (La), Phigalie velue (La).</t>
  </si>
  <si>
    <t>916667 - 827453 - 248860 - 931460 - 784059</t>
  </si>
  <si>
    <t>Nyssie hispide (La)</t>
  </si>
  <si>
    <t>248861 - 416414 - 781698 - 931605 - 808104 - 917592 - 931607 - 248862 - 931601 - 931603 - 931608 - 931606 - 931604</t>
  </si>
  <si>
    <t>Gymnospile commune (La), Gymnospile crème (La)</t>
  </si>
  <si>
    <t>808153 - 784079 - 988370 - 248866 - 915324</t>
  </si>
  <si>
    <t>Boarmie souillée (La)</t>
  </si>
  <si>
    <t>849591 - 777476 - 248867</t>
  </si>
  <si>
    <t>Phalène picotée (La)</t>
  </si>
  <si>
    <t>916659 - 822263 - 822264 - 248868</t>
  </si>
  <si>
    <t>Boarmie ponctuée (La), Boarmie corticole (La)</t>
  </si>
  <si>
    <t>784069 - 917591 - 988368 - 816620 - 827521 - 248869 - 416415 - 416416</t>
  </si>
  <si>
    <t>Boarmie frottée (La), Boarmie sylvatique (La)</t>
  </si>
  <si>
    <t>248870 - 827518 - 827519 - 459044</t>
  </si>
  <si>
    <t>Boarmie du Tilleul (La), Boarmie convenable (La)</t>
  </si>
  <si>
    <t>416417 - 825438 - 248871 - 916671 - 1007523 - 810220 - 805047</t>
  </si>
  <si>
    <t>Boarmie crépusculaire (La)</t>
  </si>
  <si>
    <t>784068 - 248872 - 416418 - 836761 - 916668</t>
  </si>
  <si>
    <t>Boarmie lunulée (La)</t>
  </si>
  <si>
    <t>810175 - 917590 - 1018555 - 248873</t>
  </si>
  <si>
    <t>Boarmie veuve (La)</t>
  </si>
  <si>
    <t>784067 - 917588 - 836755 - 248874 - 822267</t>
  </si>
  <si>
    <t>Boarmie des Lichens (La)</t>
  </si>
  <si>
    <t>810174 - 248877 - 916672</t>
  </si>
  <si>
    <t>Boarmie du Chêne (La)</t>
  </si>
  <si>
    <t>810176 - 931478 - 784065 - 416419 - 931475 - 416420 - 917681 - 808100 - 931473 - 248878</t>
  </si>
  <si>
    <t>Boarmie pointillée (La)</t>
  </si>
  <si>
    <t>849589 - 248879</t>
  </si>
  <si>
    <t>Boarmie tigrée (La)</t>
  </si>
  <si>
    <t>248880 - 824856 - 784064 - 821090 - 821091 - 777985</t>
  </si>
  <si>
    <t>Boarmie recourbée (La)</t>
  </si>
  <si>
    <t>248882 - 931885 - 777984 - 917527</t>
  </si>
  <si>
    <t>Boarmie crêtée (La)</t>
  </si>
  <si>
    <t>248883 - 917545</t>
  </si>
  <si>
    <t>Boarmie du Sapin (La)</t>
  </si>
  <si>
    <t>825437 - 248884 - 916669</t>
  </si>
  <si>
    <t>Boarmie ceinte (La)</t>
  </si>
  <si>
    <t>827531 - 917674 - 770400 - 248885</t>
  </si>
  <si>
    <t>Boarmie brune (La)</t>
  </si>
  <si>
    <t>248886 - 915361</t>
  </si>
  <si>
    <t>Boarmie à bandes (La), Boarmie des steppes (La)</t>
  </si>
  <si>
    <t>248887 - 916674 - 785649</t>
  </si>
  <si>
    <t>Boarmie rhomboïdale (La), Boarmie commune (La)</t>
  </si>
  <si>
    <t>918243 - 781806 - 416429 - 932827 - 248891 - 248888 - 781809 - 344929 - 918242 - 248890 - 836025 - 248889 - 781808 - 932823 - 918254 - 781807</t>
  </si>
  <si>
    <t>Boarmie confondue (La)</t>
  </si>
  <si>
    <t>916675 - 248893 - 416424</t>
  </si>
  <si>
    <t>Boarmie des Résineux (La), Boarmie seconde (La)</t>
  </si>
  <si>
    <t>248894 - 918228 - 932805</t>
  </si>
  <si>
    <t>Boarmie de l'Yeuse (La)</t>
  </si>
  <si>
    <t>248895 - 781749 - 781748 - 781751</t>
  </si>
  <si>
    <t>Sciadie menaçante (La),  Sciadie savoyarde (La)</t>
  </si>
  <si>
    <t>915362 - 416436 - 416437 - 248900 - 822761 - 416438</t>
  </si>
  <si>
    <t>Boarmie compagne (La)</t>
  </si>
  <si>
    <t>774046 - 918198 - 808103 - 248901 - 808101 - 808102</t>
  </si>
  <si>
    <t>Boarmie pétrifiée (La)</t>
  </si>
  <si>
    <t>784061 - 918227 - 931448 - 827517 - 770386 - 248903</t>
  </si>
  <si>
    <t>Boarmie noctambule (La)</t>
  </si>
  <si>
    <t>344968 - 344965 - 248905 - 344967 - 917673 - 931918 - 344966</t>
  </si>
  <si>
    <t>Boarmie obscure (La), Anthracite commun (L')</t>
  </si>
  <si>
    <t>946928 - 400327 - 24891</t>
  </si>
  <si>
    <t>810171 - 416440 - 248910 - 915327</t>
  </si>
  <si>
    <t>Fidonie lutée (La)</t>
  </si>
  <si>
    <t>416441 - 849588 - 836759 - 416442 - 248911 - 836757 - 822268 - 836758 - 825440</t>
  </si>
  <si>
    <t>Fidonie du Pin (La)</t>
  </si>
  <si>
    <t>849596 - 248912 - 784046</t>
  </si>
  <si>
    <t>Cabère virginale (La), Délicate (La)</t>
  </si>
  <si>
    <t>808151 - 784047 - 248913 - 832972 - 416443 - 808150 - 832971 - 917682</t>
  </si>
  <si>
    <t>Cabère pustulée (La)</t>
  </si>
  <si>
    <t>778022 - 416444 - 248914 - 827539 - 827540</t>
  </si>
  <si>
    <t>Phalène du Sapin (La)</t>
  </si>
  <si>
    <t>822220 - 833142 - 416445 - 822218 - 777983 - 810236 - 827515 - 248916 - 833143 - 849593</t>
  </si>
  <si>
    <t>Métrocampe verte (La), Bilieuse (La)</t>
  </si>
  <si>
    <t>832974 - 248918 - 808059 - 445257 - 416447 - 832975</t>
  </si>
  <si>
    <t>Céladon (Le)</t>
  </si>
  <si>
    <t>248920 - 915410 - 770434</t>
  </si>
  <si>
    <t>Stéganie convoitée (La)</t>
  </si>
  <si>
    <t>805054 - 917675 - 805102 - 810166 - 248921 - 785633</t>
  </si>
  <si>
    <t>Stéganie du peuplier (La)</t>
  </si>
  <si>
    <t>808137 - 824848 - 825429 - 808136 - 248922</t>
  </si>
  <si>
    <t>Bordure entrecoupée (La), Marginée (La)</t>
  </si>
  <si>
    <t>827462 - 248923 - 774728 - 824850 - 827461</t>
  </si>
  <si>
    <t>Himère-plume (L'), Phalène emplumée (La)</t>
  </si>
  <si>
    <t>952827 - 808068 - 416449 - 952266 - 915293 - 784048 - 808070 - 248924 - 808069</t>
  </si>
  <si>
    <t>Ennomos illunaire (L')</t>
  </si>
  <si>
    <t>827468 - 827470 - 416450 - 808067 - 248925 - 915447 - 810168</t>
  </si>
  <si>
    <t>Ennomos lunaire (L') , Croissant (Le)</t>
  </si>
  <si>
    <t>808072 - 827467 - 827466 - 917594 - 248926 - 808071</t>
  </si>
  <si>
    <t>Ennomos illustre (L')</t>
  </si>
  <si>
    <t>918474 - 248927</t>
  </si>
  <si>
    <t>Ennomos moucheté (L')</t>
  </si>
  <si>
    <t>248928 - 808073 - 808074 - 917593 - 952839 - 832966</t>
  </si>
  <si>
    <t>Ennomos du Chêne (L')</t>
  </si>
  <si>
    <t>849585 - 248929</t>
  </si>
  <si>
    <t>Ennomos du Tilleul (L')</t>
  </si>
  <si>
    <t>918475 - 248930</t>
  </si>
  <si>
    <t>Ennomos du Frêne (L'), Ennomos bicolore (L')</t>
  </si>
  <si>
    <t>916678 - 248931</t>
  </si>
  <si>
    <t>Ennomos rongée (L')</t>
  </si>
  <si>
    <t>915411 - 248932</t>
  </si>
  <si>
    <t>Ennomos de l'Yeuse (L'), l'Ennomos pâle (L')</t>
  </si>
  <si>
    <t>832963 - 838705 - 849586 - 827464 - 248933 - 822233 - 832964</t>
  </si>
  <si>
    <t>Ennomos du Lilas (L')</t>
  </si>
  <si>
    <t>808135 - 699623 - 778315 - 849590 - 952849 - 248935 - 952850 - 778316</t>
  </si>
  <si>
    <t>Panthère (La)</t>
  </si>
  <si>
    <t>248936 - 917595 - 821007 - 821008 - 822240</t>
  </si>
  <si>
    <t>Epione marginée (L'), Epione des Saules (L')</t>
  </si>
  <si>
    <t>918600 - 248937</t>
  </si>
  <si>
    <t>Epione vespérale (L') , Epione parallèle (L')</t>
  </si>
  <si>
    <t>416451 - 838662 - 808061 - 825432 - 952848 - 248938 - 808063 - 822239 - 849670 - 822238</t>
  </si>
  <si>
    <t>Citronnelle rouillée (La)</t>
  </si>
  <si>
    <t>248939 - 345019 - 827624 - 827625 - 825443 - 917684</t>
  </si>
  <si>
    <t>Divisée (La), Phalène blanche (La), Surlignée (La)</t>
  </si>
  <si>
    <t>24894 - 838531 - 400334</t>
  </si>
  <si>
    <t>785874 - 248946 - 918193 - 777828</t>
  </si>
  <si>
    <t>Ruban fauve (Le), Psodos équestre (La)</t>
  </si>
  <si>
    <t>778001 - 778003 - 248963 - 784071 - 916680</t>
  </si>
  <si>
    <t>Gnophos obscure (La)</t>
  </si>
  <si>
    <t>777654 - 345125 - 781963 - 248965</t>
  </si>
  <si>
    <t>Gnophos des buissons (La)</t>
  </si>
  <si>
    <t>248966 - 824857 - 827712 - 827714 - 416468 - 827711 - 785899 - 416469</t>
  </si>
  <si>
    <t>Gnophos ténébreuse (La), Phalène de la Viorne (La)</t>
  </si>
  <si>
    <t>416470 - 248967 - 416471 - 810243 - 916684 - 778004</t>
  </si>
  <si>
    <t>Gnophos trompée (La), Gnophos assombrie (La)</t>
  </si>
  <si>
    <t>248969 - 918473</t>
  </si>
  <si>
    <t>Crocalle du Prunellier (La), Crocalle brune (La)</t>
  </si>
  <si>
    <t>832967 - 248970 - 832968 - 824849</t>
  </si>
  <si>
    <t>Phalène de la Mancienne (La), Crocalle commune (La)</t>
  </si>
  <si>
    <t>778053 - 810169 - 248972 - 917547 - 416472 - 827490 - 827491</t>
  </si>
  <si>
    <t>Ennomos dentelé (L')</t>
  </si>
  <si>
    <t>827622 - 827623 - 248973</t>
  </si>
  <si>
    <t>Callunaire (La), Pachycnémie des Callunes (La)</t>
  </si>
  <si>
    <t>988359 - 822216 - 248976 - 849592</t>
  </si>
  <si>
    <t>Numérie poudrée (La)</t>
  </si>
  <si>
    <t>808065 - 248977 - 822236 - 918601</t>
  </si>
  <si>
    <t>Phalène linéolée (La), Numérie ligneuse (La)</t>
  </si>
  <si>
    <t>808121 - 808120 - 988408 - 917685 - 248979 - 784081</t>
  </si>
  <si>
    <t>Phalène de l'Aquiline (La), Pétrophore de la Fougère (La)</t>
  </si>
  <si>
    <t>822243 - 915412 - 248983</t>
  </si>
  <si>
    <t>Epione étrangère (L')</t>
  </si>
  <si>
    <t>915418 - 784077 - 785644 - 248986</t>
  </si>
  <si>
    <t>Fidonie du Nerprun (La)</t>
  </si>
  <si>
    <t>827535 - 248987 - 827534 - 915294</t>
  </si>
  <si>
    <t>Phalène bordée (La), Entourée (L')</t>
  </si>
  <si>
    <t>825439 - 808086 - 827533 - 248989 - 808087 - 918969 - 789655</t>
  </si>
  <si>
    <t>Fidonie du Genêt (La)</t>
  </si>
  <si>
    <t>400297 - 850631 - 24899</t>
  </si>
  <si>
    <t>716704 - 248990 - 784087 - 920878 - 916686</t>
  </si>
  <si>
    <t>Fidonie du Trèfle (La)</t>
  </si>
  <si>
    <t>849598 - 778317 - 822270 - 808185 - 459063 - 248995 - 808186</t>
  </si>
  <si>
    <t>Réseau (Le), Géomètre à barreaux (La)</t>
  </si>
  <si>
    <t>784049 - 980275 - 784051 - 248996 - 915417</t>
  </si>
  <si>
    <t>Philobie du Tamaris (La)</t>
  </si>
  <si>
    <t>248997 - 952133 - 782819 - 849597 - 827497 - 827496</t>
  </si>
  <si>
    <t>Philobie tachetée (La)</t>
  </si>
  <si>
    <t>521543 - 827499 - 827498 - 459092 - 248998 - 916687 - 716450</t>
  </si>
  <si>
    <t>Philobie alternée (La)</t>
  </si>
  <si>
    <t>827503 - 827502 - 248999 - 770435</t>
  </si>
  <si>
    <t>Philobie des Pins (La)</t>
  </si>
  <si>
    <t>827501 - 917549 - 249000 - 827500 - 521544</t>
  </si>
  <si>
    <t>Philobie effacée (La)</t>
  </si>
  <si>
    <t>827524 - 249001 - 521545 - 822269 - 825441 - 849594</t>
  </si>
  <si>
    <t>Damas cendré (Le)</t>
  </si>
  <si>
    <t>1014867 - 249002 - 827547 - 827548 - 825442</t>
  </si>
  <si>
    <t>Philobie des Saules (La)</t>
  </si>
  <si>
    <t>416475 - 918200 - 827526 - 249004 - 827527 - 810167 - 832955 - 781597</t>
  </si>
  <si>
    <t>Fidonie à cinq raies (La)</t>
  </si>
  <si>
    <t>808060 - 249007 - 849584</t>
  </si>
  <si>
    <t>Phalène du Sureau (La)</t>
  </si>
  <si>
    <t>822764 - 249008 - 416476 - 784096 - 915420</t>
  </si>
  <si>
    <t>Fidonie pointue (La)</t>
  </si>
  <si>
    <t>784053 - 916688 - 808089 - 249010 - 832973</t>
  </si>
  <si>
    <t>Phalène chamoisée (La)</t>
  </si>
  <si>
    <t>416477 - 918476 - 249011</t>
  </si>
  <si>
    <t>Phalène précoce (La)</t>
  </si>
  <si>
    <t>821005 - 643453 - 249014</t>
  </si>
  <si>
    <t>Intruse (L')</t>
  </si>
  <si>
    <t>249017 - 822291 - 779294</t>
  </si>
  <si>
    <t>Phalène du Marronnier (La), Alsophile printanière (L')</t>
  </si>
  <si>
    <t>827458 - 416480 - 810122 - 822294 - 249018 - 908755 - 714858</t>
  </si>
  <si>
    <t>Phalène de l'Erable (La), Alsophile automnale (L')</t>
  </si>
  <si>
    <t>521546 - 838767 - 416482 - 822044 - 249022 - 916891 - 774058</t>
  </si>
  <si>
    <t>Capuchon (Le)</t>
  </si>
  <si>
    <t>916890 - 249023 - 809767 - 782825 - 809766</t>
  </si>
  <si>
    <t>Dromadaire (Le)</t>
  </si>
  <si>
    <t>249024 - 952265 - 54639 - 849095</t>
  </si>
  <si>
    <t>Bois-Veiné (Le)</t>
  </si>
  <si>
    <t>919060 - 827135 - 782830 - 54586 - 249025 - 416486</t>
  </si>
  <si>
    <t>Ardoisée (L')</t>
  </si>
  <si>
    <t>54584 - 917640 - 827137 - 984112 - 249026</t>
  </si>
  <si>
    <t>Voile (La)</t>
  </si>
  <si>
    <t>917559 - 952267 - 54562 - 952268 - 807597 - 249027 - 783638</t>
  </si>
  <si>
    <t>Harpye fourchue (La)</t>
  </si>
  <si>
    <t>783637 - 54560 - 924064 - 249028</t>
  </si>
  <si>
    <t>Harpye bicuspide (La)</t>
  </si>
  <si>
    <t>54564 - 783639 - 827000 - 924698 - 249029</t>
  </si>
  <si>
    <t>Petite Queue-Fourchue (La)</t>
  </si>
  <si>
    <t>249030 - 915305 - 54607 - 783640 - 827002</t>
  </si>
  <si>
    <t>Dragon (Le)</t>
  </si>
  <si>
    <t>820989 - 820990 - 809768 - 807162 - 249032 - 849066 - 721052</t>
  </si>
  <si>
    <t>Pudibonde (La), Patte-Etendue (La)</t>
  </si>
  <si>
    <t>809771 - 822020 - 809770 - 249033 - 988433 - 977895 - 820988 - 809769 - 789891 - 820987</t>
  </si>
  <si>
    <t>Cul-brun (Le)</t>
  </si>
  <si>
    <t>249035 - 807159 - 849063 - 720007</t>
  </si>
  <si>
    <t>Bombyx du Saule (Le), Apparent (L')</t>
  </si>
  <si>
    <t>826903 - 838730 - 826904 - 249036 - 924251</t>
  </si>
  <si>
    <t>L-noir (Le)</t>
  </si>
  <si>
    <t>416489 - 249038 - 807167 - 849092 - 807431</t>
  </si>
  <si>
    <t>Etoilée (L'), Bombyx antique (Le)</t>
  </si>
  <si>
    <t>807168 - 783656 - 249042 - 915503</t>
  </si>
  <si>
    <t>Soucieuse (La)</t>
  </si>
  <si>
    <t>921238 - 249047 - 916709 - 1016119</t>
  </si>
  <si>
    <t>Bombyx rubicond (Le), Liparis rosâtre (Le)</t>
  </si>
  <si>
    <t>721113 - 822023 - 249049 - 849062 - 789893 - 977892</t>
  </si>
  <si>
    <t>Disparate (Le), Spongieuse (La), Zigzag (Le)</t>
  </si>
  <si>
    <t>822022 - 249050 - 849061 - 826900</t>
  </si>
  <si>
    <t>Nonne (La)</t>
  </si>
  <si>
    <t>784120 - 774721 - 843989 - 838651 - 811535 - 941036 - 249051</t>
  </si>
  <si>
    <t>Goutte-de-sang , Carmin (Le)</t>
  </si>
  <si>
    <t>952262 - 774043 - 249052 - 811529</t>
  </si>
  <si>
    <t>Ecaille marbrée (L'), Ecaille lustrée (L')</t>
  </si>
  <si>
    <t>249053 - 1007209 - 778310 - 811407</t>
  </si>
  <si>
    <t>Ecaille Martre (L'), Hérissonne (La)</t>
  </si>
  <si>
    <t>811415 - 777974 - 716695 - 249055</t>
  </si>
  <si>
    <t>Ecaille fermière (L'), Ecaille villageoise (L')</t>
  </si>
  <si>
    <t>809799 - 811408 - 940979 - 716696 - 249056 - 784111 - 940978 - 778308 - 778307</t>
  </si>
  <si>
    <t>Ecaille rose (L')</t>
  </si>
  <si>
    <t>249061 - 941010 - 820982 - 820983 - 941009 - 811537 - 774724</t>
  </si>
  <si>
    <t>Bordure ensanglantée (La), Roussette (La)</t>
  </si>
  <si>
    <t>459043 - 820985 - 807158 - 784109 - 811541 - 459042 - 249064</t>
  </si>
  <si>
    <t>Ecaille mendiante (L')</t>
  </si>
  <si>
    <t>249066 - 811545</t>
  </si>
  <si>
    <t>Ecaille fileuse (L')</t>
  </si>
  <si>
    <t>1007528 - 807156 - 807157 - 459090 - 778311 - 820986 - 811561 - 249068</t>
  </si>
  <si>
    <t>Ecaille tigrée (L')</t>
  </si>
  <si>
    <t>983487 - 249069 - 918987</t>
  </si>
  <si>
    <t>Ecaille de l'Ortie (L')</t>
  </si>
  <si>
    <t>822815 - 784117 - 941032 - 249073 - 811532</t>
  </si>
  <si>
    <t>Ecaille tesselée (L'), Ecaille pudique (L')</t>
  </si>
  <si>
    <t>807153 - 811495 - 249074 - 988612 - 822009 - 820984 - 941050 - 921294</t>
  </si>
  <si>
    <t>Ecaille cramoisie (L')</t>
  </si>
  <si>
    <t>941039 - 826854 - 249081 - 811536 - 941038 - 770803 - 985552 - 826855 - 777551</t>
  </si>
  <si>
    <t>Gentille (La), Ecaille du Myosotis (L')</t>
  </si>
  <si>
    <t>920347 - 249085</t>
  </si>
  <si>
    <t>Soumise (La)</t>
  </si>
  <si>
    <t>784122 - 820980 - 849744 - 809796 - 249088 - 820981 - 826889</t>
  </si>
  <si>
    <t>Endrosie diaphane (L'), Callimorphe arrosée (La)</t>
  </si>
  <si>
    <t>940751 - 24909 - 940750</t>
  </si>
  <si>
    <t>249090 - 627793 - 918991</t>
  </si>
  <si>
    <t>Ecaille alpine (L'), Endrosie crépitante (L')</t>
  </si>
  <si>
    <t>249091 - 916696</t>
  </si>
  <si>
    <t>Ecaille roscide (L'), Callimorphe humectée (La)</t>
  </si>
  <si>
    <t>784129 - 887606 - 249098 - 915452</t>
  </si>
  <si>
    <t>Manteau pâle (Le)</t>
  </si>
  <si>
    <t>981213 - 822005 - 976854 - 249104 - 849522</t>
  </si>
  <si>
    <t>Lithosie quadrille (La)</t>
  </si>
  <si>
    <t>249105 - 849517 - 822006 - 838738</t>
  </si>
  <si>
    <t>Veuve (La), Collier rouge (Le)</t>
  </si>
  <si>
    <t>249106 - 826876 - 917598</t>
  </si>
  <si>
    <t>Lithosie muscerde (La), Lithosie crotte-souris (La)</t>
  </si>
  <si>
    <t>918646 - 249107</t>
  </si>
  <si>
    <t>Lithosie obtuse (La)</t>
  </si>
  <si>
    <t>822002 - 249108 - 849747 - 807149 - 953684</t>
  </si>
  <si>
    <t>Eborine (L')</t>
  </si>
  <si>
    <t>807145 - 952264 - 822001 - 923012 - 807146 - 952190 - 249109</t>
  </si>
  <si>
    <t>Rosette (La)</t>
  </si>
  <si>
    <t>807151 - 809797 - 807150 - 249112 - 774044 - 920346</t>
  </si>
  <si>
    <t>Ecaille gris-souris (L')</t>
  </si>
  <si>
    <t>809795 - 822000 - 915462 - 249113</t>
  </si>
  <si>
    <t>Nudarie vieille (La)</t>
  </si>
  <si>
    <t>249114 - 923014</t>
  </si>
  <si>
    <t>Mondaine (La)</t>
  </si>
  <si>
    <t>916819 - 774657 - 953714 - 953689 - 249115</t>
  </si>
  <si>
    <t>Noctuelle en deuil (La)</t>
  </si>
  <si>
    <t>416495 - 822196 - 920451 - 249116</t>
  </si>
  <si>
    <t>Hypénode du Serpolet (L')</t>
  </si>
  <si>
    <t>249117 - 915500</t>
  </si>
  <si>
    <t>Hypénode de la Callune (L')</t>
  </si>
  <si>
    <t>249118 - 809708</t>
  </si>
  <si>
    <t>Hypénode des Tourbières (L')</t>
  </si>
  <si>
    <t>917690 - 964266 - 249120</t>
  </si>
  <si>
    <t>Soyeuse (La)</t>
  </si>
  <si>
    <t>785154 - 887701 - 822190 - 783891 - 825447 - 807750 - 822191 - 249121 - 807749 - 917551</t>
  </si>
  <si>
    <t>Noctuelle couleur de bronze (La)</t>
  </si>
  <si>
    <t>827538 - 249123 - 827537 - 923015</t>
  </si>
  <si>
    <t>Inégale (L')</t>
  </si>
  <si>
    <t>249124 - 916703 - 809665 - 932764 - 825420</t>
  </si>
  <si>
    <t>Madope du Saule (La)</t>
  </si>
  <si>
    <t>783899 - 915554 - 887695 - 249126</t>
  </si>
  <si>
    <t>Ni (Le), Plusie ni (La)</t>
  </si>
  <si>
    <t>249133 - 849530 - 778121</t>
  </si>
  <si>
    <t>Plusie de l'Orcette (La), Point d'interrogation. (Le)</t>
  </si>
  <si>
    <t>919220 - 249134 - 777818</t>
  </si>
  <si>
    <t>Plusie monnoie (La)</t>
  </si>
  <si>
    <t>809663 - 887696 - 249135 - 849532</t>
  </si>
  <si>
    <t>Plusie de la Fétuque (La)</t>
  </si>
  <si>
    <t>Plusie des Laîches (La), Plusie des marais (La)</t>
  </si>
  <si>
    <t>807743 - 924453 - 887697 - 249139 - 783895 - 809778 - 807744</t>
  </si>
  <si>
    <t>Goutte d'Argent (La)</t>
  </si>
  <si>
    <t>699613 - 1008764 - 924460 - 249141</t>
  </si>
  <si>
    <t>Plusie illustre (La), Plusie de l'Aconit (La)</t>
  </si>
  <si>
    <t>809777 - 838657 - 416497 - 928928 - 988357 - 249142</t>
  </si>
  <si>
    <t>Plusie modeste (La)</t>
  </si>
  <si>
    <t>459073 - 249144 - 849528 - 783893</t>
  </si>
  <si>
    <t>Vert-Doré (Le)</t>
  </si>
  <si>
    <t>249145 - 924452 - 416499</t>
  </si>
  <si>
    <t>Plusie confluente (La)</t>
  </si>
  <si>
    <t>919022 - 809664 - 249147</t>
  </si>
  <si>
    <t>Plusie topaze (La)</t>
  </si>
  <si>
    <t>783896 - 919021 - 829713 - 785642 - 985589 - 985588 - 249149</t>
  </si>
  <si>
    <t>Plusie chalcite (La)</t>
  </si>
  <si>
    <t>824839 - 24915</t>
  </si>
  <si>
    <t>887698 - 249151 - 849529 - 770801</t>
  </si>
  <si>
    <t>Gamma (Le)</t>
  </si>
  <si>
    <t>822182 - 249152 - 459095 - 918489 - 984753</t>
  </si>
  <si>
    <t>V d'or (Le)</t>
  </si>
  <si>
    <t>827439 - 984754 - 249153 - 849531 - 822181 - 809779</t>
  </si>
  <si>
    <t>Iota (Le)</t>
  </si>
  <si>
    <t>249154 - 916844 - 827438</t>
  </si>
  <si>
    <t>Feuille d'Or (La)</t>
  </si>
  <si>
    <t>838653 - 249155 - 916843</t>
  </si>
  <si>
    <t>Plusie des Liondents (La),  Plusie émule (La)</t>
  </si>
  <si>
    <t>827437 - 981201 - 809775 - 917626 - 827436 - 249156</t>
  </si>
  <si>
    <t>Plusie de l'Ortie (La)</t>
  </si>
  <si>
    <t>838655 - 916842 - 249157</t>
  </si>
  <si>
    <t>Plusie de l'Asclépiade (La)</t>
  </si>
  <si>
    <t>416500 - 809776 - 887699 - 849574 - 825392 - 249158</t>
  </si>
  <si>
    <t>Plusie à lunettes (La)</t>
  </si>
  <si>
    <t>822058 - 782817 - 849064 - 249161 - 807165</t>
  </si>
  <si>
    <t>Noctuelle du Coudrier (La)</t>
  </si>
  <si>
    <t>915540 - 805030 - 249162 - 887619</t>
  </si>
  <si>
    <t>Noctuelle blessée (La)</t>
  </si>
  <si>
    <t>249166 - 915538 - 838640 - 920311</t>
  </si>
  <si>
    <t>Agrotide refoulée (L')</t>
  </si>
  <si>
    <t>249169 - 916826 - 777624</t>
  </si>
  <si>
    <t>Agrotide parée (L')</t>
  </si>
  <si>
    <t>827326 - 249171 - 932978 - 916824</t>
  </si>
  <si>
    <t>Noctuelle Aquiline (La)</t>
  </si>
  <si>
    <t>809669 - 932822 - 932974 - 249172 - 809671 - 809668 - 932971 - 924407 - 932973 - 809670</t>
  </si>
  <si>
    <t>Agrotide distinguée (L')</t>
  </si>
  <si>
    <t>827327 - 827328 - 783694 - 249175 - 923023</t>
  </si>
  <si>
    <t>Noir-Atre (Le)</t>
  </si>
  <si>
    <t>416501 - 249177 - 923024 - 783695</t>
  </si>
  <si>
    <t>Noctuelle cryptée (La)</t>
  </si>
  <si>
    <t>932800 - 249179 - 783696 - 805032 - 916827</t>
  </si>
  <si>
    <t>Noctuelle Obélisque (La)</t>
  </si>
  <si>
    <t>777643 - 249184 - 968400</t>
  </si>
  <si>
    <t>Agrotide chandelière (L')</t>
  </si>
  <si>
    <t>924402 - 249188 - 520906 - 771325</t>
  </si>
  <si>
    <t>Agrotide bistrée (L')</t>
  </si>
  <si>
    <t>770421 - 916822 - 783692 - 249189 - 445254</t>
  </si>
  <si>
    <t>Agrotide forcipulée (L')</t>
  </si>
  <si>
    <t>887612 - 809809 - 249195 - 416503 - 416992 - 919009</t>
  </si>
  <si>
    <t>Noctuelle trapue (La)</t>
  </si>
  <si>
    <t>416504 - 809808 - 915532 - 249198 - 887614</t>
  </si>
  <si>
    <t>Noctuelle des Renouées (La)</t>
  </si>
  <si>
    <t>807007 - 833557 - 783698 - 984771 - 917619 - 971282 - 805031 - 809807 - 249200</t>
  </si>
  <si>
    <t>Noctuelle baignée (La)</t>
  </si>
  <si>
    <t>915534 - 416505 - 984752 - 887615 - 771334 - 249201</t>
  </si>
  <si>
    <t>Noctuelle farouche (La)</t>
  </si>
  <si>
    <t>887616 - 809806 - 953688 - 849544 - 249202 - 820996</t>
  </si>
  <si>
    <t>Point d'Exclamation (Le)</t>
  </si>
  <si>
    <t>988302 - 783697 - 416506 - 249203 - 809805 - 917618</t>
  </si>
  <si>
    <t>Pointillée (La)</t>
  </si>
  <si>
    <t>249204 - 809804 - 887613 - 916821</t>
  </si>
  <si>
    <t>Noctuelle des Moissons (La)</t>
  </si>
  <si>
    <t>416507 - 915533 - 249205</t>
  </si>
  <si>
    <t>Agrotide sagittée (L')</t>
  </si>
  <si>
    <t>988299 - 984090 - 249206 - 917620</t>
  </si>
  <si>
    <t>Porte-Flèches (Le)</t>
  </si>
  <si>
    <t>24921 - 389405 - 934480</t>
  </si>
  <si>
    <t>809803 - 988304 - 916820 - 249210</t>
  </si>
  <si>
    <t>Noctuelle Cendrée (La)</t>
  </si>
  <si>
    <t>249213 - 887622 - 827242 - 809810 - 849573</t>
  </si>
  <si>
    <t>Noctuelle précoce (La)</t>
  </si>
  <si>
    <t>249214 - 915548 - 809812 - 838644 - 827368</t>
  </si>
  <si>
    <t>Noctuelle spécieuse (La)</t>
  </si>
  <si>
    <t>249217 - 918652</t>
  </si>
  <si>
    <t>Ségétie du Sapin (La)</t>
  </si>
  <si>
    <t>721627 - 249219 - 783683 - 849566 - 807641 - 809813</t>
  </si>
  <si>
    <t>C-noir (Le)</t>
  </si>
  <si>
    <t>838634 - 249220 - 916840 - 984092</t>
  </si>
  <si>
    <t>Double Trapèze (Le), Sérieuse (La)</t>
  </si>
  <si>
    <t>249221 - 917624 - 809814 - 783682</t>
  </si>
  <si>
    <t>Noctuelle de la Chélidoine (La)</t>
  </si>
  <si>
    <t>249222 - 924436</t>
  </si>
  <si>
    <t>Ségétie des Seneçons (La)</t>
  </si>
  <si>
    <t>809815 - 838626 - 249223 - 827240</t>
  </si>
  <si>
    <t>Noctuelle de la Belladonne (La)</t>
  </si>
  <si>
    <t>779357 - 838645 - 249224 - 809816 - 416508 - 915550</t>
  </si>
  <si>
    <t>Noctuelle rhomboïde (La)</t>
  </si>
  <si>
    <t>809655 - 783292 - 770394 - 919016 - 822078 - 809656 - 783680 - 249225</t>
  </si>
  <si>
    <t>Noctuelle négligée (La)</t>
  </si>
  <si>
    <t>838630 - 918250 - 249227 - 809817</t>
  </si>
  <si>
    <t>Ségétie des Plantains (La)</t>
  </si>
  <si>
    <t>984185 - 249228 - 918488 - 809818 - 988303</t>
  </si>
  <si>
    <t>Noctuelle ombragée (La)</t>
  </si>
  <si>
    <t>809819 - 827234 - 916841 - 783684 - 821002 - 249229</t>
  </si>
  <si>
    <t>Trimaculée (La)</t>
  </si>
  <si>
    <t>24923 - 824836</t>
  </si>
  <si>
    <t>249232 - 783681 - 923815 - 921241 - 809820</t>
  </si>
  <si>
    <t>Noctuelle agathine (La)</t>
  </si>
  <si>
    <t>249235 - 924380</t>
  </si>
  <si>
    <t>Agrotide dalmate (L')</t>
  </si>
  <si>
    <t>778103 - 849513 - 249238</t>
  </si>
  <si>
    <t>Agrotide lucernaire (L')</t>
  </si>
  <si>
    <t>984188 - 249239 - 916839</t>
  </si>
  <si>
    <t>Noctuelle rousselette (La), Agréable (L')</t>
  </si>
  <si>
    <t>827243 - 917623 - 984184 - 249241 - 827244 - 988308</t>
  </si>
  <si>
    <t>Noctuelle pyrophile (La)</t>
  </si>
  <si>
    <t>777626 - 249242 - 916838</t>
  </si>
  <si>
    <t>Lucipète (La)</t>
  </si>
  <si>
    <t>807639 - 249246 - 805029 - 849525 - 807015 - 783679</t>
  </si>
  <si>
    <t>Hibou (Le)</t>
  </si>
  <si>
    <t>807638 - 808931 - 249247 - 917622 - 825355</t>
  </si>
  <si>
    <t>Suivante (La)</t>
  </si>
  <si>
    <t>915546 - 249248 - 1003649 - 784317</t>
  </si>
  <si>
    <t>Triphène sarmate (La)</t>
  </si>
  <si>
    <t>249249 - 822068 - 838631 - 808933 - 827236</t>
  </si>
  <si>
    <t>Hulotte (La)</t>
  </si>
  <si>
    <t>940814 - 940815 - 24925</t>
  </si>
  <si>
    <t>924434 - 249250 - 783677 - 777820</t>
  </si>
  <si>
    <t>Frangée (La)</t>
  </si>
  <si>
    <t>Frangée méditerranéenne (La)</t>
  </si>
  <si>
    <t>952862 - 249252 - 952860 - 783675 - 807637 - 952861</t>
  </si>
  <si>
    <t>Casque (Le)</t>
  </si>
  <si>
    <t>924373 - 249253</t>
  </si>
  <si>
    <t>Collier soufré (Le)</t>
  </si>
  <si>
    <t>249254 - 807636 - 783678</t>
  </si>
  <si>
    <t>Faux Casque (Le)</t>
  </si>
  <si>
    <t>827233 - 849577 - 249255</t>
  </si>
  <si>
    <t>Noctuelle typique (La)</t>
  </si>
  <si>
    <t>838646 - 778102 - 827238 - 916836 - 249258</t>
  </si>
  <si>
    <t>Noctuelle porphyre (La)</t>
  </si>
  <si>
    <t>249259 - 827241 - 838625 - 915301</t>
  </si>
  <si>
    <t>Noctuelle augure (La)</t>
  </si>
  <si>
    <t>838637 - 849539 - 249260</t>
  </si>
  <si>
    <t>Occulte (L')</t>
  </si>
  <si>
    <t>249261 - 822072 - 916835 - 822073</t>
  </si>
  <si>
    <t>Diarsie du Cornouiller (La)</t>
  </si>
  <si>
    <t>777645 - 771339 - 783685 - 249262 - 919014</t>
  </si>
  <si>
    <t>Noctuelle à I double (La)</t>
  </si>
  <si>
    <t>838633 - 249263 - 923030</t>
  </si>
  <si>
    <t>Noctuelle pointée (La), Noctuelle piquée (La)</t>
  </si>
  <si>
    <t>916834 - 249264 - 783676 - 807634</t>
  </si>
  <si>
    <t>Noctuelle gris-de-lin (La)</t>
  </si>
  <si>
    <t>838638 - 988306 - 249265 - 915302</t>
  </si>
  <si>
    <t>Noctuelle de la Primevère (La)</t>
  </si>
  <si>
    <t>249266 - 915544</t>
  </si>
  <si>
    <t>Diarsie de la Lancéole (La)</t>
  </si>
  <si>
    <t>838628 - 249268 - 827239</t>
  </si>
  <si>
    <t>Point noir (Le)</t>
  </si>
  <si>
    <t>249269 - 924068 - 822076</t>
  </si>
  <si>
    <t>Noctuelle belle (La)</t>
  </si>
  <si>
    <t>249272 - 916833 - 777628</t>
  </si>
  <si>
    <t>Chersotide du Mélilot (La), Rectangulaire (La)</t>
  </si>
  <si>
    <t>924416 - 249273</t>
  </si>
  <si>
    <t>Chersotide musicienne (La)</t>
  </si>
  <si>
    <t>915542 - 249277 - 777629</t>
  </si>
  <si>
    <t>Chersotide de la Mollugine (La)</t>
  </si>
  <si>
    <t>988307 - 783687 - 249278 - 917678</t>
  </si>
  <si>
    <t>Noctuelle à I entier (La)</t>
  </si>
  <si>
    <t>824837 - 24928</t>
  </si>
  <si>
    <t>838632 - 916831 - 249283</t>
  </si>
  <si>
    <t>Noctuelle cuivreuse (La)</t>
  </si>
  <si>
    <t>838641 - 916830 - 249285 - 980212 - 988310</t>
  </si>
  <si>
    <t>Noctuelle rubiconde (La)</t>
  </si>
  <si>
    <t>916829 - 249286 - 980213</t>
  </si>
  <si>
    <t>Noctuelle leucographe (La)</t>
  </si>
  <si>
    <t>249288 - 783693 - 807701 - 923025 - 807699</t>
  </si>
  <si>
    <t>Noctuelle putride (La)</t>
  </si>
  <si>
    <t>940823 - 940822 - 24929</t>
  </si>
  <si>
    <t>923026 - 783688 - 249291 - 807640</t>
  </si>
  <si>
    <t>Cordon blanc (Le)</t>
  </si>
  <si>
    <t>249293 - 849732</t>
  </si>
  <si>
    <t>Noctuelle à museau (La)</t>
  </si>
  <si>
    <t>849733 - 249294</t>
  </si>
  <si>
    <t>Toupet (Le)</t>
  </si>
  <si>
    <t>249295 - 928050</t>
  </si>
  <si>
    <t>Hypène des Lamiers (L'), Hypène grasse (L')</t>
  </si>
  <si>
    <t>915491 - 249296</t>
  </si>
  <si>
    <t>Hypène des ponts (L')</t>
  </si>
  <si>
    <t>249299 - 784171 - 919127</t>
  </si>
  <si>
    <t>Noctuelle épaissie (La)</t>
  </si>
  <si>
    <t>940825 - 24930 - 940824 - 940826 - 940827</t>
  </si>
  <si>
    <t>822192 - 249300 - 887714 - 808273 - 887713 - 808274 - 917689</t>
  </si>
  <si>
    <t>Herminie plumeuse (L')</t>
  </si>
  <si>
    <t>249301 - 887715</t>
  </si>
  <si>
    <t>Herminie brune (L')</t>
  </si>
  <si>
    <t>849595 - 249303 - 984755</t>
  </si>
  <si>
    <t>Tâteuse (La)</t>
  </si>
  <si>
    <t>416509 - 770402 - 928196 - 721041 - 249305</t>
  </si>
  <si>
    <t>Herminie de la Garance (L')</t>
  </si>
  <si>
    <t>249307 - 808272 - 923076 - 416511 - 809785 - 887716 - 783913 - 809784</t>
  </si>
  <si>
    <t>Herminie dérivée (L')</t>
  </si>
  <si>
    <t>915485 - 984757 - 249310</t>
  </si>
  <si>
    <t>Herminie pointillée (L')</t>
  </si>
  <si>
    <t>916708 - 249311 - 825416 - 783911</t>
  </si>
  <si>
    <t>Noctuelle des Cimetières (La)</t>
  </si>
  <si>
    <t>809783 - 924247 - 249312</t>
  </si>
  <si>
    <t>Herminie de la Ronce (L')</t>
  </si>
  <si>
    <t>249313 - 416513 - 916707 - 783912</t>
  </si>
  <si>
    <t>Herminie grise (L')</t>
  </si>
  <si>
    <t>809729 - 249314</t>
  </si>
  <si>
    <t>Herminie ténue (L')</t>
  </si>
  <si>
    <t>917617 - 984759 - 249317 - 827440 - 827441</t>
  </si>
  <si>
    <t>Chrysographe (La)</t>
  </si>
  <si>
    <t>249319 - 849579 - 988301 - 825395</t>
  </si>
  <si>
    <t>Noctuelle du Pied d'Alouette (La)</t>
  </si>
  <si>
    <t>940832 - 940834 - 940835 - 940836 - 24932 - 940833 - 940830</t>
  </si>
  <si>
    <t>783877 - 825394 - 716727 - 917616 - 887611 - 249320</t>
  </si>
  <si>
    <t>Noctuelle de la Cardère (La)</t>
  </si>
  <si>
    <t>916816 - 249322</t>
  </si>
  <si>
    <t>Noctuelle de l'Arrête-boeuf (La)</t>
  </si>
  <si>
    <t>810119 - 249323 - 916817</t>
  </si>
  <si>
    <t>Noctuelle peltigère (La)</t>
  </si>
  <si>
    <t>915529 - 249325 - 810120 - 833559 - 719637</t>
  </si>
  <si>
    <t>Armigère (L')</t>
  </si>
  <si>
    <t>807745 - 979951 - 783876 - 416516 - 822183 - 249327 - 807746 - 917693 - 951717</t>
  </si>
  <si>
    <t>Noctuelle héliaque (La)</t>
  </si>
  <si>
    <t>249329 - 825400 - 915444 - 988349 - 810118</t>
  </si>
  <si>
    <t>Erastrie gracieuse (L')</t>
  </si>
  <si>
    <t>988397 - 249330 - 924519</t>
  </si>
  <si>
    <t>Noctuelle de la Brouille (La)</t>
  </si>
  <si>
    <t>459035 - 249331 - 915854 - 821210</t>
  </si>
  <si>
    <t>Noctuelle du Roseau (La)</t>
  </si>
  <si>
    <t>249334 - 918496 - 416517</t>
  </si>
  <si>
    <t>Nonagrie des Canches (La)</t>
  </si>
  <si>
    <t>915561 - 249335 - 1016123 - 783778</t>
  </si>
  <si>
    <t>Noctuelle musculeuse (La)</t>
  </si>
  <si>
    <t>249337 - 806909 - 807650 - 849565 - 778108 - 520853 - 805035 - 822162 - 783725</t>
  </si>
  <si>
    <t>Noctuelle du Dactyle (La)</t>
  </si>
  <si>
    <t>924374 - 249338</t>
  </si>
  <si>
    <t>Procude versicolore (La)</t>
  </si>
  <si>
    <t>807651 - 916862 - 825372 - 838763 - 827354 - 887675 - 249339</t>
  </si>
  <si>
    <t>Trompeuse (La)</t>
  </si>
  <si>
    <t>918495 - 249340</t>
  </si>
  <si>
    <t>Noctuelle de la Canche (La)</t>
  </si>
  <si>
    <t>459041 - 918204 - 249341</t>
  </si>
  <si>
    <t>Nonagrie de la Massette (La)</t>
  </si>
  <si>
    <t>887676 - 249342 - 520852 - 825376 - 916861 - 807652 - 825378 - 838764 - 779039 - 822163</t>
  </si>
  <si>
    <t>Noctuelle furoncule (La)</t>
  </si>
  <si>
    <t>887674 - 249346 - 919136 - 249344 - 783742 - 849583 - 822892</t>
  </si>
  <si>
    <t>Hiéroglyphe (L')</t>
  </si>
  <si>
    <t>916860 - 783728 - 249347 - 887678</t>
  </si>
  <si>
    <t>Lupérine testacée (La)</t>
  </si>
  <si>
    <t>838652 - 249349 - 887679 - 923481 - 783729</t>
  </si>
  <si>
    <t>Noctuelle de Duméril (La)</t>
  </si>
  <si>
    <t>940837 - 940838 - 24935</t>
  </si>
  <si>
    <t>919032 - 249351 - 887686</t>
  </si>
  <si>
    <t>Noctuelle de la Pomme de Terre (La)</t>
  </si>
  <si>
    <t>249352 - 809699</t>
  </si>
  <si>
    <t>Noctuelle du Grand-Taconnet (La)</t>
  </si>
  <si>
    <t>916850 - 416519 - 783776 - 249354</t>
  </si>
  <si>
    <t>Drap d'Or (Le), Noctuelle des Artichauts (La)</t>
  </si>
  <si>
    <t>805042 - 822137 - 249360 - 916849</t>
  </si>
  <si>
    <t>Noctuelle jaunâtre (La)</t>
  </si>
  <si>
    <t>918491 - 249361</t>
  </si>
  <si>
    <t>Nonagrie rougeâtre (La)</t>
  </si>
  <si>
    <t>249369 - 924469</t>
  </si>
  <si>
    <t>Noctuelle de la Linaigrette (La)</t>
  </si>
  <si>
    <t>827387 - 249372 - 915867</t>
  </si>
  <si>
    <t>Ceinture noire (La)</t>
  </si>
  <si>
    <t>915866 - 249373 - 783751</t>
  </si>
  <si>
    <t>Xyline argillacée (La)</t>
  </si>
  <si>
    <t>249374 - 915864 - 783748 - 721036</t>
  </si>
  <si>
    <t>Noctuelle couleur de lichen (La)</t>
  </si>
  <si>
    <t>249375 - 783749 - 916871</t>
  </si>
  <si>
    <t>Ceinture jaune (La)</t>
  </si>
  <si>
    <t>249376 - 807714 - 918239</t>
  </si>
  <si>
    <t>Ceinture rousse (La)</t>
  </si>
  <si>
    <t>778115 - 838658 - 887663 - 921298 - 249377</t>
  </si>
  <si>
    <t>Xyline floue (La)</t>
  </si>
  <si>
    <t>827333 - 988356 - 827332 - 917630 - 249378</t>
  </si>
  <si>
    <t>Verdoyante (La)</t>
  </si>
  <si>
    <t>940844 - 940843 - 24938</t>
  </si>
  <si>
    <t>915558 - 249381</t>
  </si>
  <si>
    <t>Nonagrie neurique (La), Nonagrie radiée (La)</t>
  </si>
  <si>
    <t>249382 - 919513 - 983594 - 983596</t>
  </si>
  <si>
    <t>Nonagrie rubanée (La)</t>
  </si>
  <si>
    <t>249385 - 720188 - 887673 - 807646 - 720183 - 783734 - 822142 - 807647</t>
  </si>
  <si>
    <t>Monoglyphe (La)</t>
  </si>
  <si>
    <t>249386 - 924466</t>
  </si>
  <si>
    <t>805034 - 806965 - 249387 - 807002 - 520869 - 783737</t>
  </si>
  <si>
    <t>Doucette (La)</t>
  </si>
  <si>
    <t>249388 - 838725 - 919029 - 720185 - 988337</t>
  </si>
  <si>
    <t>Abromiade ochracée (L')</t>
  </si>
  <si>
    <t>917628 - 988404 - 887671 - 827335 - 827336 - 838724 - 827337 - 827334 - 249389</t>
  </si>
  <si>
    <t>Campagnarde (La)</t>
  </si>
  <si>
    <t>24939 - 940846</t>
  </si>
  <si>
    <t>249390 - 918490 - 827339</t>
  </si>
  <si>
    <t>Noctuelle hépatique (La)</t>
  </si>
  <si>
    <t>887672 - 249391</t>
  </si>
  <si>
    <t>Abromiade de la Molinie (L')</t>
  </si>
  <si>
    <t>520868 - 783736 - 249392 - 852713</t>
  </si>
  <si>
    <t>Abromiade latéritique (L')</t>
  </si>
  <si>
    <t>852712 - 520867 - 249393 - 838718</t>
  </si>
  <si>
    <t>Abromiade ténébreuse (L')</t>
  </si>
  <si>
    <t>838723 - 520874 - 852715 - 249396</t>
  </si>
  <si>
    <t>Abromiade rubrirène (L')</t>
  </si>
  <si>
    <t>838720 - 249397 - 887677 - 520872 - 778114</t>
  </si>
  <si>
    <t>Abromiade platinée (L')</t>
  </si>
  <si>
    <t>827352 - 783740 - 416520 - 249399 - 988339 - 915556 - 827353</t>
  </si>
  <si>
    <t>Brouillée (La)</t>
  </si>
  <si>
    <t>988341 - 249400 - 915557</t>
  </si>
  <si>
    <t>Noctuelle de l'Alpiste (La)</t>
  </si>
  <si>
    <t>249401 - 810116 - 810115</t>
  </si>
  <si>
    <t>Abromiade du Millet (L')</t>
  </si>
  <si>
    <t>820999 - 822120 - 916848 - 820998 - 969194 - 924538 - 416521 - 520882 - 827331 - 249402</t>
  </si>
  <si>
    <t>Double-Feston (Le)</t>
  </si>
  <si>
    <t>917629 - 416522 - 820997 - 827351 - 783738 - 249403</t>
  </si>
  <si>
    <t>Noctuelle basilaire (La)</t>
  </si>
  <si>
    <t>827338 - 988344 - 989734 - 249405 - 919028</t>
  </si>
  <si>
    <t>Noctuelle mignonne (La)</t>
  </si>
  <si>
    <t>520915 - 988350 - 822154 - 988352 - 984190 - 838647 - 249407 - 923031</t>
  </si>
  <si>
    <t>Noctuelle éclatante (La)</t>
  </si>
  <si>
    <t>249409 - 920362</t>
  </si>
  <si>
    <t>Noctuelle chatoyante (La)</t>
  </si>
  <si>
    <t>940848 - 24941 - 940849 - 940850 - 940847</t>
  </si>
  <si>
    <t>783790 - 887683 - 249410 - 781959 - 915862</t>
  </si>
  <si>
    <t>Noctuelle exiguë (La)</t>
  </si>
  <si>
    <t>924386 - 809692 - 985578 - 249412</t>
  </si>
  <si>
    <t>Spodoptère littorale (La)</t>
  </si>
  <si>
    <t>416523 - 249425 - 887728 - 920152 - 810117</t>
  </si>
  <si>
    <t>Noctuelle de la Morgeline (La)</t>
  </si>
  <si>
    <t>887684 - 916864 - 249426 - 805038 - 783793</t>
  </si>
  <si>
    <t>Noctuelle du Pissenlit (La)</t>
  </si>
  <si>
    <t>928914 - 249427 - 783792 - 988346</t>
  </si>
  <si>
    <t>Caradrine de la Surelle (La), Noctuelle flatteuse (La)</t>
  </si>
  <si>
    <t>822171 - 988347 - 249429 - 916865</t>
  </si>
  <si>
    <t>Noctuelle arrosée (La)</t>
  </si>
  <si>
    <t>783794 - 887729 - 916863 - 249430 - 807718 - 807717</t>
  </si>
  <si>
    <t>Ambiguë (L')</t>
  </si>
  <si>
    <t>887687 - 827397 - 917632 - 249432 - 783789 - 827398</t>
  </si>
  <si>
    <t>Noctuelle trilignée (La)</t>
  </si>
  <si>
    <t>249433 - 887685 - 917631</t>
  </si>
  <si>
    <t>Noctuelle des Haies (La)</t>
  </si>
  <si>
    <t>249434 - 783795 - 919034</t>
  </si>
  <si>
    <t>Caradrine de la Pulmonaire (La)</t>
  </si>
  <si>
    <t>249438 - 777652 - 887662 - 919041 - 923496</t>
  </si>
  <si>
    <t>Noctuelle du Muscari (La)</t>
  </si>
  <si>
    <t>824838 - 24944</t>
  </si>
  <si>
    <t>838709 - 916815 - 249441</t>
  </si>
  <si>
    <t>Noctuelle du Gazon (La)</t>
  </si>
  <si>
    <t>249442 - 822132 - 822131 - 924394 - 783702 - 807643 - 807644</t>
  </si>
  <si>
    <t>Nasse (La)</t>
  </si>
  <si>
    <t>980634 - 249444 - 919008 - 988315 - 416526 - 416995</t>
  </si>
  <si>
    <t>Tréma blanc (Le)</t>
  </si>
  <si>
    <t>783723 - 459045 - 887634 - 915299 - 249445 - 822124</t>
  </si>
  <si>
    <t>Noctuelle du Cucubale (La)</t>
  </si>
  <si>
    <t>988316 - 827361 - 822100 - 920151 - 249446 - 809823 - 822108 - 838754</t>
  </si>
  <si>
    <t>Noctuelle de la Saponaire (La)</t>
  </si>
  <si>
    <t>838751 - 416527 - 988313 - 917613 - 249448 - 827369</t>
  </si>
  <si>
    <t>Etrangère (L')</t>
  </si>
  <si>
    <t>249449 - 917555 - 416528 - 838756 - 838755 - 988340</t>
  </si>
  <si>
    <t>Noctuelle teinte (La), Noctuelle du Bouleau (La)</t>
  </si>
  <si>
    <t>822082 - 827370 - 917614 - 249450 - 887629</t>
  </si>
  <si>
    <t>Noctuelle nébuleuse (La)</t>
  </si>
  <si>
    <t>838750 - 920150 - 249452</t>
  </si>
  <si>
    <t>Hadène glauque (L')</t>
  </si>
  <si>
    <t>917612 - 920974 - 822081 - 822080 - 249453 - 827330</t>
  </si>
  <si>
    <t>Coureuse (La)</t>
  </si>
  <si>
    <t>249454 - 782828 - 923019 - 807657</t>
  </si>
  <si>
    <t>Noctuelle de la Persicaire (La)</t>
  </si>
  <si>
    <t>953686 - 887623 - 849567 - 249455 - 807658</t>
  </si>
  <si>
    <t>Brassicaire (La)</t>
  </si>
  <si>
    <t>825362 - 984772 - 809826 - 917611 - 827364 - 249459 - 887628 - 825366</t>
  </si>
  <si>
    <t>Noctuelle du Genêt (La)</t>
  </si>
  <si>
    <t>940854 - 940852 - 24946 - 940853</t>
  </si>
  <si>
    <t>988309 - 809827 - 917610 - 249460 - 807661</t>
  </si>
  <si>
    <t>Noctuelle thalassine (La)</t>
  </si>
  <si>
    <t>809825 - 249461 - 988312 - 916740 - 827365</t>
  </si>
  <si>
    <t>Noctuelle contiguë (La)</t>
  </si>
  <si>
    <t>809828 - 887627 - 981164 - 249462 - 916741 - 807659 - 981163</t>
  </si>
  <si>
    <t>Noctuelle enfumée (La)</t>
  </si>
  <si>
    <t>807660 - 249463 - 809829 - 887630 - 849570</t>
  </si>
  <si>
    <t>Noctuelle des Potagers (La)</t>
  </si>
  <si>
    <t>249464 - 782837 - 915522</t>
  </si>
  <si>
    <t>Noctuelle du Thélyptéris (La)</t>
  </si>
  <si>
    <t>249467 - 783712 - 917608 - 809838 - 783711 - 778113 - 887633</t>
  </si>
  <si>
    <t>Noctuelle sereine (La)</t>
  </si>
  <si>
    <t>783709 - 809839 - 783708 - 827386 - 887631 - 916730 - 249469</t>
  </si>
  <si>
    <t>Noctuelle dysodée (La)</t>
  </si>
  <si>
    <t>249470 - 915520 - 783715 - 783714</t>
  </si>
  <si>
    <t>Hadène des Dauphinelles (L')</t>
  </si>
  <si>
    <t>917605 - 827380 - 345868 - 249476 - 887635 - 783722</t>
  </si>
  <si>
    <t>Noctuelle capsulaire (La)</t>
  </si>
  <si>
    <t>249477 - 887637 - 783719 - 984773 - 783720</t>
  </si>
  <si>
    <t>Dianthécie de Magnol (La)</t>
  </si>
  <si>
    <t>887640 - 249478 - 984767 - 916729 - 778112 - 783721</t>
  </si>
  <si>
    <t>Noctuelle de l'Oeillet (La)</t>
  </si>
  <si>
    <t>988314 - 807702 - 778111 - 807703 - 917606 - 249479</t>
  </si>
  <si>
    <t>Noctuelle saupoudrée (La)</t>
  </si>
  <si>
    <t>940895 - 24948</t>
  </si>
  <si>
    <t>887639 - 249481 - 924372 - 827379</t>
  </si>
  <si>
    <t>Noctuelle parée (La)</t>
  </si>
  <si>
    <t>249482 - 781956 - 981186</t>
  </si>
  <si>
    <t>Hadène occitane (L')</t>
  </si>
  <si>
    <t>716719 - 919007 - 838701 - 783717 - 981184 - 778109 - 887638 - 981185 - 249483 - 416533 - 783716</t>
  </si>
  <si>
    <t>Dianthécie bleuâtre (La)</t>
  </si>
  <si>
    <t>778110 - 916728 - 777835 - 249485 - 887656</t>
  </si>
  <si>
    <t>Noctuelle bleue (La)</t>
  </si>
  <si>
    <t>827383 - 838700 - 249487 - 916727 - 887636 - 983163 - 783724</t>
  </si>
  <si>
    <t>Noctuelle carpophage (La)</t>
  </si>
  <si>
    <t>249490 - 924529 - 915518 - 887649</t>
  </si>
  <si>
    <t>Hadène du Silène (L'), Dianthécie du Silène (La)</t>
  </si>
  <si>
    <t>923018 - 778118 - 988402 - 416534 - 249493 - 822084 - 822083 - 459033 - 459032</t>
  </si>
  <si>
    <t>Noctuelle dentine (La)</t>
  </si>
  <si>
    <t>917529 - 249495</t>
  </si>
  <si>
    <t>Noctuelle cordigère (La)</t>
  </si>
  <si>
    <t>838702 - 416994 - 916726 - 249497 - 981183 - 783713</t>
  </si>
  <si>
    <t>Noctuelle limoneuse (La), Noctuelle des Silènes (La)</t>
  </si>
  <si>
    <t>249498 - 849102 - 777817 - 827329</t>
  </si>
  <si>
    <t>Noctuelle du gramen (La)</t>
  </si>
  <si>
    <t>249499 - 849571 - 827356 - 821202 - 809837</t>
  </si>
  <si>
    <t>Noctuelle des Pois (La), Pisivore (La)</t>
  </si>
  <si>
    <t>249501 - 923017</t>
  </si>
  <si>
    <t>Noctuelle de la Myrtille (La)</t>
  </si>
  <si>
    <t>249502 - 849572 - 805036</t>
  </si>
  <si>
    <t>Noctuelle de l'Arroche (La)</t>
  </si>
  <si>
    <t>917633 - 783730 - 249503 - 520860 - 807633 - 807632</t>
  </si>
  <si>
    <t>Noctuelle cythérée (La)</t>
  </si>
  <si>
    <t>919035 - 781889 - 459062 - 805040 - 249507 - 887670</t>
  </si>
  <si>
    <t>Noctuelle ténébreuse (La)</t>
  </si>
  <si>
    <t>783797 - 721028 - 920370 - 249509</t>
  </si>
  <si>
    <t>Hydrille domestique (L')</t>
  </si>
  <si>
    <t>940901 - 24951</t>
  </si>
  <si>
    <t>416535 - 249511 - 827392 - 919037 - 827393 - 919036</t>
  </si>
  <si>
    <t>Noctuelle du Camérisier (La)</t>
  </si>
  <si>
    <t>887680 - 249513 - 783771 - 849533</t>
  </si>
  <si>
    <t>Méticuleuse (La)</t>
  </si>
  <si>
    <t>249514 - 915446 - 988882</t>
  </si>
  <si>
    <t>Noctuelle amandine (La)</t>
  </si>
  <si>
    <t>520901 - 915868 - 249515 - 988333</t>
  </si>
  <si>
    <t>Xanthie falote (La)</t>
  </si>
  <si>
    <t>249517 - 416536 - 783773 - 849526</t>
  </si>
  <si>
    <t>Maure</t>
  </si>
  <si>
    <t>916881 - 249519</t>
  </si>
  <si>
    <t>Noctuelle de la Petite-Oseille (La)</t>
  </si>
  <si>
    <t>915874 - 249520</t>
  </si>
  <si>
    <t>Noctuelle de l'Oxalide (La)</t>
  </si>
  <si>
    <t>249521 - 827155 - 822176 - 923033</t>
  </si>
  <si>
    <t>Cosmie rétuse (La)</t>
  </si>
  <si>
    <t>783818 - 249522 - 916876</t>
  </si>
  <si>
    <t>919050 - 249523</t>
  </si>
  <si>
    <t>Noctuelle saxonne (La)</t>
  </si>
  <si>
    <t>827366 - 249525 - 849578</t>
  </si>
  <si>
    <t>Luisante (La)</t>
  </si>
  <si>
    <t>249526 - 915512</t>
  </si>
  <si>
    <t>Noctuelle améthyste (La)</t>
  </si>
  <si>
    <t>919048 - 249527 - 770805 - 827405 - 827404</t>
  </si>
  <si>
    <t>Cosmie paillée (La)</t>
  </si>
  <si>
    <t>249528 - 805033 - 807006 - 825381 - 849564</t>
  </si>
  <si>
    <t>Noctuelle hérissée (La)</t>
  </si>
  <si>
    <t>805027 - 849107 - 249529</t>
  </si>
  <si>
    <t>Double Zéro (Le)</t>
  </si>
  <si>
    <t>838770 - 249530 - 919517 - 627790</t>
  </si>
  <si>
    <t>Noctuelle du Vulpin (La)</t>
  </si>
  <si>
    <t>918611 - 805039 - 783814 - 249531</t>
  </si>
  <si>
    <t>Nacarat (Le)</t>
  </si>
  <si>
    <t>721626 - 249532 - 918612</t>
  </si>
  <si>
    <t>Cosmie Baie (La)</t>
  </si>
  <si>
    <t>249533 - 916875</t>
  </si>
  <si>
    <t>Cosmie pyraline (La)</t>
  </si>
  <si>
    <t>783816 - 849512 - 249534 - 887688</t>
  </si>
  <si>
    <t>Trapèze (Le)</t>
  </si>
  <si>
    <t>520879 - 916847 - 249535 - 980215</t>
  </si>
  <si>
    <t>Noctuelle du Millepertuis (La)</t>
  </si>
  <si>
    <t>983595 - 924523 - 983598 - 249536 - 782838 - 983597</t>
  </si>
  <si>
    <t>Nonagrie du Phragmite (La)</t>
  </si>
  <si>
    <t>838715 - 249537 - 924353 - 1014890 - 887681</t>
  </si>
  <si>
    <t>Noctuelle de la Fougère (La)</t>
  </si>
  <si>
    <t>838761 - 249538 - 827359 - 919042 - 827358</t>
  </si>
  <si>
    <t>Noctuelle grisonne (La)</t>
  </si>
  <si>
    <t>919518 - 249539</t>
  </si>
  <si>
    <t>Athétide du Fer-à-cheval (L')</t>
  </si>
  <si>
    <t>249542 - 917556 - 783769 - 821003 - 827433 - 827434 - 838669</t>
  </si>
  <si>
    <t>Camomilière (La)</t>
  </si>
  <si>
    <t>919026 - 249543 - 827435 - 783767</t>
  </si>
  <si>
    <t>Noctuelle radiée (La), Noctuelle rayonnée (La)</t>
  </si>
  <si>
    <t>416537 - 908735 - 908734 - 249544</t>
  </si>
  <si>
    <t>Leucanie du Roseau (La), Feu-Follet (Le)</t>
  </si>
  <si>
    <t>923022 - 249545 - 988318 - 838734</t>
  </si>
  <si>
    <t>Noctuelle turque (La)</t>
  </si>
  <si>
    <t>988317 - 627786 - 783787 - 916743 - 249546</t>
  </si>
  <si>
    <t>Conigère (La)</t>
  </si>
  <si>
    <t>988324 - 416538 - 249547 - 984616 - 916744</t>
  </si>
  <si>
    <t>Leucanie pudorine (La)</t>
  </si>
  <si>
    <t>849515 - 783779 - 777142 - 249548</t>
  </si>
  <si>
    <t>Leucanie blafarde (La)</t>
  </si>
  <si>
    <t>915526 - 249549 - 844700 - 838733</t>
  </si>
  <si>
    <t>Leucanie souillée (La)</t>
  </si>
  <si>
    <t>721024 - 807716 - 249550</t>
  </si>
  <si>
    <t>Leucanie paillée (La)</t>
  </si>
  <si>
    <t>783785 - 915527 - 249551 - 887655 - 988321 - 627787</t>
  </si>
  <si>
    <t>Leucanie vitelline (La)</t>
  </si>
  <si>
    <t>918487 - 1016255 - 981170 - 249552 - 781539</t>
  </si>
  <si>
    <t>Leucanie orbicole (La)</t>
  </si>
  <si>
    <t>416539 - 981169 - 984768 - 721115 - 919489 - 981167 - 249555 - 981168 - 716717 - 716718 - 521552 - 844702 - 887661 - 521551</t>
  </si>
  <si>
    <t>Leucanie sicilienne (La)</t>
  </si>
  <si>
    <t>916742 - 721020 - 783786 - 887654 - 249557 - 920982 - 984615</t>
  </si>
  <si>
    <t>Point blanc (Le)</t>
  </si>
  <si>
    <t>721022 - 416541 - 919131 - 822170 - 783788 - 887653 - 887652 - 249558</t>
  </si>
  <si>
    <t>Noctuelle lythargyrée (La)</t>
  </si>
  <si>
    <t>918608 - 887658 - 249561 - 783781 - 721023</t>
  </si>
  <si>
    <t>L blanc (Le)</t>
  </si>
  <si>
    <t>923020 - 809853 - 988322 - 249563</t>
  </si>
  <si>
    <t>Comma blanc (Le)</t>
  </si>
  <si>
    <t>783091 - 887659 - 915523 - 249564</t>
  </si>
  <si>
    <t>Leucanie obsolète (La)</t>
  </si>
  <si>
    <t>1007847 - 923468 - 643547 - 249569 - 721019 - 887657</t>
  </si>
  <si>
    <t>Leucanie irisée (La)</t>
  </si>
  <si>
    <t>249573 - 822175 - 822174 - 827403 - 916749</t>
  </si>
  <si>
    <t>Noctuelle du Pin (La)</t>
  </si>
  <si>
    <t>807723 - 917615 - 822172 - 980222 - 249574 - 807724 - 716722</t>
  </si>
  <si>
    <t>Orthosie variable (L')</t>
  </si>
  <si>
    <t>249575 - 783798 - 849563 - 716721</t>
  </si>
  <si>
    <t>Gothique (La)</t>
  </si>
  <si>
    <t>827402 - 249576 - 980220 - 980218 - 827401 - 520854 - 822173 - 716720 - 916747</t>
  </si>
  <si>
    <t>Orthosie farineuse (L')</t>
  </si>
  <si>
    <t>783799 - 916748 - 249577 - 716723</t>
  </si>
  <si>
    <t>Orthosie rougeoyante (L')</t>
  </si>
  <si>
    <t>923056 - 988319 - 249578</t>
  </si>
  <si>
    <t>Orthosie du Peuplier (L')</t>
  </si>
  <si>
    <t>783800 - 716724 - 915300 - 782803 - 249579</t>
  </si>
  <si>
    <t>Orthosie du Cerisier (L')</t>
  </si>
  <si>
    <t>249580 - 916746 - 783813</t>
  </si>
  <si>
    <t>Orthosie gracile (L')</t>
  </si>
  <si>
    <t>249581 - 915528</t>
  </si>
  <si>
    <t>Téniocampe riche (La)</t>
  </si>
  <si>
    <t>849540 - 774480 - 827349 - 809841 - 783870 - 827347 - 249582 - 807648 - 887650</t>
  </si>
  <si>
    <t>Conspicillaire (La)</t>
  </si>
  <si>
    <t>827424 - 783867 - 916008 - 249583</t>
  </si>
  <si>
    <t>Antique (L')</t>
  </si>
  <si>
    <t>783869 - 807731 - 249584 - 807732 - 849542</t>
  </si>
  <si>
    <t>Bois-sec (Le)</t>
  </si>
  <si>
    <t>827408 - 838668 - 249585 - 919057 - 771336 - 827406</t>
  </si>
  <si>
    <t>Xanthie ochracée (La)</t>
  </si>
  <si>
    <t>807683 - 249589 - 988327 - 807691 - 919047</t>
  </si>
  <si>
    <t>Noctuelle embrasée (La)</t>
  </si>
  <si>
    <t>24959 - 824840</t>
  </si>
  <si>
    <t>988329 - 918656 - 249591</t>
  </si>
  <si>
    <t>Noctuelle allumée (La)</t>
  </si>
  <si>
    <t>721044 - 810101 - 916882 - 249593 - 988334</t>
  </si>
  <si>
    <t>Xanthie dorée (La)</t>
  </si>
  <si>
    <t>783092 - 810104 - 249595 - 849580 - 988338</t>
  </si>
  <si>
    <t>Xanthie citronnée (La)</t>
  </si>
  <si>
    <t>778117 - 249598 - 827363 - 981198 - 416545 - 809901 - 919046</t>
  </si>
  <si>
    <t>Noctuelle aduste (La)</t>
  </si>
  <si>
    <t>783733 - 249600</t>
  </si>
  <si>
    <t>Xyline provençale (La)</t>
  </si>
  <si>
    <t>249602 - 984193 - 988328 - 916870 - 771333</t>
  </si>
  <si>
    <t>Noctuelle saturée (La)</t>
  </si>
  <si>
    <t>807737 - 783862 - 249603 - 807736 - 918500</t>
  </si>
  <si>
    <t>Xyline du Frêne (La)</t>
  </si>
  <si>
    <t>822180 - 827431 - 249604 - 827432 - 917637</t>
  </si>
  <si>
    <t>Xyline pétrifiée (La)</t>
  </si>
  <si>
    <t>807734 - 249605 - 783863 - 827430 - 825391 - 917636 - 807735 - 807733</t>
  </si>
  <si>
    <t>Xyline du Chêne (La)</t>
  </si>
  <si>
    <t>980205 - 917635 - 827428 - 827427 - 988326 - 249606</t>
  </si>
  <si>
    <t>Xyline du Bouleau (La)</t>
  </si>
  <si>
    <t>850629 - 24961</t>
  </si>
  <si>
    <t>249612 - 916880 - 783853 - 770382</t>
  </si>
  <si>
    <t>Xanthie safranée (La)</t>
  </si>
  <si>
    <t>520895 - 827378 - 249613 - 849537</t>
  </si>
  <si>
    <t>Runique (La)</t>
  </si>
  <si>
    <t>827423 - 249615 - 917634 - 416546 - 783861</t>
  </si>
  <si>
    <t>Satellite (Le)</t>
  </si>
  <si>
    <t>915304 - 807665 - 249616 - 783765 - 520896 - 807662</t>
  </si>
  <si>
    <t>Jaspe vert (Le)</t>
  </si>
  <si>
    <t>783763 - 919045 - 249617</t>
  </si>
  <si>
    <t>Jaspe gris (Le)</t>
  </si>
  <si>
    <t>249621 - 919043 - 785645 - 783755</t>
  </si>
  <si>
    <t>Ecu blanc (L')</t>
  </si>
  <si>
    <t>916869 - 249622</t>
  </si>
  <si>
    <t>Griposie chatoyante (La)</t>
  </si>
  <si>
    <t>416548 - 416549 - 918205 - 249624</t>
  </si>
  <si>
    <t>Noctuelle du Temple (La)</t>
  </si>
  <si>
    <t>807727 - 807009 - 805043 - 923034 - 783858 - 249626</t>
  </si>
  <si>
    <t>Orrhodie de l'Airelle (L')</t>
  </si>
  <si>
    <t>249627 - 919049 - 783859</t>
  </si>
  <si>
    <t>Orrhodie ligulée (L')</t>
  </si>
  <si>
    <t>827421 - 827422 - 827418 - 783857 - 988403 - 917695 - 249629 - 416550</t>
  </si>
  <si>
    <t>Orrhodie grise (L')</t>
  </si>
  <si>
    <t>940760 - 940759 - 24963</t>
  </si>
  <si>
    <t>249630 - 924408</t>
  </si>
  <si>
    <t>Orrhodie sourcilleuse (L')</t>
  </si>
  <si>
    <t>783860 - 249635 - 827417 - 916879 - 822179</t>
  </si>
  <si>
    <t>Orrhodie tigrée (L')</t>
  </si>
  <si>
    <t>249637 - 807728 - 916878 - 783854</t>
  </si>
  <si>
    <t>Orrhodie érythrocéphale (L'), Hyacinthe (L')</t>
  </si>
  <si>
    <t>809897 - 789644 - 827154 - 249638 - 988325</t>
  </si>
  <si>
    <t>Noctuelle de l'Osier</t>
  </si>
  <si>
    <t>822177 - 807725 - 918499 - 807726 - 887669 - 249639</t>
  </si>
  <si>
    <t>Xanthie topaze (La)</t>
  </si>
  <si>
    <t>249641 - 920374</t>
  </si>
  <si>
    <t>Noctuelle boueuse (La)</t>
  </si>
  <si>
    <t>249642 - 918498 - 807654 - 807656 - 807655</t>
  </si>
  <si>
    <t>Noctuelle anthracite (La)</t>
  </si>
  <si>
    <t>770398 - 249644 - 783753 - 849535</t>
  </si>
  <si>
    <t>Chi (Le)</t>
  </si>
  <si>
    <t>916867 - 249647 - 988311 - 827399</t>
  </si>
  <si>
    <t>Tache effacée (La), Noctuelle aveugle (La)</t>
  </si>
  <si>
    <t>783828 - 249649 - 916877</t>
  </si>
  <si>
    <t>Xanthie cannellée (La)</t>
  </si>
  <si>
    <t>915507 - 249662</t>
  </si>
  <si>
    <t>Noctuelle adulatrice (La)</t>
  </si>
  <si>
    <t>887689 - 920262 - 822188 - 249667 - 1014838 - 822187 - 807751 - 781861 - 821006 - 807752 - 917691 - 825414</t>
  </si>
  <si>
    <t>827448 - 249669 - 917692 - 827449 - 838684 - 783000</t>
  </si>
  <si>
    <t>Erastrie noirâtre (L')</t>
  </si>
  <si>
    <t>827443 - 822184 - 774726 - 988355 - 915297 - 827444 - 249670</t>
  </si>
  <si>
    <t>Noctuelle argentule (La)</t>
  </si>
  <si>
    <t>249672 - 988406 - 916698</t>
  </si>
  <si>
    <t>Herminie olivâtre (L')</t>
  </si>
  <si>
    <t>24968 - 824842 - 389408</t>
  </si>
  <si>
    <t>915466 - 777556 - 249682 - 783884</t>
  </si>
  <si>
    <t>Anthophile pourprée (L')</t>
  </si>
  <si>
    <t>783885 - 915468 - 932762 - 249683</t>
  </si>
  <si>
    <t>Anthophile des Inules (L')</t>
  </si>
  <si>
    <t>783883 - 916702 - 249685 - 777555</t>
  </si>
  <si>
    <t>Noctuelle purpurine (La)</t>
  </si>
  <si>
    <t>940785 - 940784 - 24969 - 940782 - 389410 - 940781 - 940783 - 940780</t>
  </si>
  <si>
    <t>249699 - 923016</t>
  </si>
  <si>
    <t>Cucullie de l'Absinthe (La)</t>
  </si>
  <si>
    <t>249702 - 917602</t>
  </si>
  <si>
    <t>Cucullie de l'Armoise (La)</t>
  </si>
  <si>
    <t>249705 - 916722</t>
  </si>
  <si>
    <t>Cucullie de la Laitue (La)</t>
  </si>
  <si>
    <t>916723 - 249706</t>
  </si>
  <si>
    <t>Cucullie lucifuge (La)</t>
  </si>
  <si>
    <t>249707 - 849541</t>
  </si>
  <si>
    <t>Ombrageuse (L')</t>
  </si>
  <si>
    <t>916721 - 249710</t>
  </si>
  <si>
    <t>Cucullie de la Camomille (La)</t>
  </si>
  <si>
    <t>249712 - 915514 - 520911</t>
  </si>
  <si>
    <t>Cucullie de la Perlière (La)</t>
  </si>
  <si>
    <t>249713 - 916724</t>
  </si>
  <si>
    <t>Cucullie de la Tanaisie (La)</t>
  </si>
  <si>
    <t>249715 - 916720</t>
  </si>
  <si>
    <t>Cucullie de l'Aster (La)</t>
  </si>
  <si>
    <t>716728 - 807738 - 249716 - 807739 - 919025 - 821004</t>
  </si>
  <si>
    <t>Noctuelle areolée (La)</t>
  </si>
  <si>
    <t>940791 - 839546 - 940788 - 940789 - 940790 - 940792 - 24972</t>
  </si>
  <si>
    <t>924449 - 827450 - 249720 - 827451</t>
  </si>
  <si>
    <t>Stilbie des Etangs (La)</t>
  </si>
  <si>
    <t>249725 - 783871 - 915552</t>
  </si>
  <si>
    <t>Cléophane du Muflier (La)</t>
  </si>
  <si>
    <t>915551 - 249726</t>
  </si>
  <si>
    <t>Omie de l'Hélianthème (L')</t>
  </si>
  <si>
    <t>924448 - 249727</t>
  </si>
  <si>
    <t>Cléophane cyclope (La)</t>
  </si>
  <si>
    <t>916845 - 249730</t>
  </si>
  <si>
    <t>Noctuelle soignée (La)</t>
  </si>
  <si>
    <t>249734 - 917625 - 807741 - 807740 - 838687</t>
  </si>
  <si>
    <t>Linariette (La)</t>
  </si>
  <si>
    <t>919019 - 838688 - 249736</t>
  </si>
  <si>
    <t>Cléophane platyptère (La)</t>
  </si>
  <si>
    <t>919017 - 249738 - 785879</t>
  </si>
  <si>
    <t>Noctuelle rameuse (la)</t>
  </si>
  <si>
    <t>249742 - 917679</t>
  </si>
  <si>
    <t>Valérie jaspée (La)</t>
  </si>
  <si>
    <t>249743 - 918610</t>
  </si>
  <si>
    <t>Noctuelle bimaculée (La)</t>
  </si>
  <si>
    <t>919024 - 249744 - 827003</t>
  </si>
  <si>
    <t>Noctuelle nubéculeuse (La)</t>
  </si>
  <si>
    <t>520886 - 917627 - 988323 - 820993 - 249745 - 820994</t>
  </si>
  <si>
    <t>Noctuelle-Sphinx (La), Noctuelle de Cassini (La)</t>
  </si>
  <si>
    <t>783754 - 849569 - 249746</t>
  </si>
  <si>
    <t>Aubépinière (L')</t>
  </si>
  <si>
    <t>807106 - 778848 - 807107 - 917688 - 249748 - 785127</t>
  </si>
  <si>
    <t>Lichénée jaune (La)</t>
  </si>
  <si>
    <t>249753 - 849527</t>
  </si>
  <si>
    <t>Lichénée bleue (La)</t>
  </si>
  <si>
    <t>918604 - 249754</t>
  </si>
  <si>
    <t>Mariée (La)</t>
  </si>
  <si>
    <t>918999 - 249756</t>
  </si>
  <si>
    <t>Déplacée (La)</t>
  </si>
  <si>
    <t>249759 - 918605 - 809780</t>
  </si>
  <si>
    <t>Fiancée (La)</t>
  </si>
  <si>
    <t>923005 - 249760</t>
  </si>
  <si>
    <t>Choisie (La), Lichénée de Godart (La)</t>
  </si>
  <si>
    <t>916705 - 249761</t>
  </si>
  <si>
    <t>Promise (La)</t>
  </si>
  <si>
    <t>953683 - 953682 - 249764 - 807080 - 916706 - 783906 - 721025 - 953681 - 785146</t>
  </si>
  <si>
    <t>Lunaire (La)</t>
  </si>
  <si>
    <t>783903 - 918606 - 774048 - 249767 - 777611 - 887694</t>
  </si>
  <si>
    <t>Passagère (La)</t>
  </si>
  <si>
    <t>916704 - 249769 - 952864 - 952863</t>
  </si>
  <si>
    <t>Alchimiste (L')</t>
  </si>
  <si>
    <t>249770 - 849103</t>
  </si>
  <si>
    <t>Ophiuse de l'Orobe (L')</t>
  </si>
  <si>
    <t>919486 - 249771 - 822189</t>
  </si>
  <si>
    <t>Ophiuse de l'Astragale (L')</t>
  </si>
  <si>
    <t>249772 - 915506</t>
  </si>
  <si>
    <t>Ophiuse de la Vesce (L')</t>
  </si>
  <si>
    <t>916710 - 887700 - 416557 - 783910 - 249773</t>
  </si>
  <si>
    <t>Ophiuse des pois à crapauds (L')</t>
  </si>
  <si>
    <t>827495 - 249775 - 827494 - 916697</t>
  </si>
  <si>
    <t>Crochet (Le)</t>
  </si>
  <si>
    <t>849514 - 809781 - 249776</t>
  </si>
  <si>
    <t>Doublure jaune (La)</t>
  </si>
  <si>
    <t>249780 - 777649 - 783909 - 777650</t>
  </si>
  <si>
    <t>Chéirophane du Sainfoin</t>
  </si>
  <si>
    <t>249785 - 849105 - 807616</t>
  </si>
  <si>
    <t>Découpure (La)</t>
  </si>
  <si>
    <t>249787 - 915296 - 783726 - 721067</t>
  </si>
  <si>
    <t>Bryophile vert-mousse (La)</t>
  </si>
  <si>
    <t>940809 - 24979 - 940810 - 940808 - 940811 - 940807 - 940812 - 940806</t>
  </si>
  <si>
    <t>849575 - 249801</t>
  </si>
  <si>
    <t>Pyramide (La)</t>
  </si>
  <si>
    <t>928774 - 249802</t>
  </si>
  <si>
    <t>Noctuelle berbère (La)</t>
  </si>
  <si>
    <t>249803 - 919129</t>
  </si>
  <si>
    <t>Noctuelle efféminée (La)</t>
  </si>
  <si>
    <t>916718 - 249804</t>
  </si>
  <si>
    <t>Noctuelle livide (La)</t>
  </si>
  <si>
    <t>807623 - 810114 - 249805 - 917553</t>
  </si>
  <si>
    <t>Noctuelle du Salsifis (La)</t>
  </si>
  <si>
    <t>249806 - 919130</t>
  </si>
  <si>
    <t>Noctuelle charbonnière (La)</t>
  </si>
  <si>
    <t>919005 - 249807</t>
  </si>
  <si>
    <t>Pie (La)</t>
  </si>
  <si>
    <t>785115 - 785114 - 827442 - 783907 - 849576 - 249808</t>
  </si>
  <si>
    <t>Clair-obscur (Le)</t>
  </si>
  <si>
    <t>940858 - 24981 - 940857 - 940855</t>
  </si>
  <si>
    <t>827202 - 822062 - 924352 - 249814 - 981151 - 822061 - 984195</t>
  </si>
  <si>
    <t>Avrilière (L')</t>
  </si>
  <si>
    <t>249815 - 916716 - 822066</t>
  </si>
  <si>
    <t>Troënière (La)</t>
  </si>
  <si>
    <t>918607 - 520910 - 809712 - 249817 - 809657</t>
  </si>
  <si>
    <t>Aunette (L')</t>
  </si>
  <si>
    <t>822065 - 915508 - 780125 - 249818</t>
  </si>
  <si>
    <t>Cuspide (La), Javelot (Le)</t>
  </si>
  <si>
    <t>789892 - 916715 - 810108 - 520862 - 249819</t>
  </si>
  <si>
    <t>Trident (Le)</t>
  </si>
  <si>
    <t>249820 - 849534 - 520861 - 810109 - 820995 - 977896</t>
  </si>
  <si>
    <t>Psi (Le)</t>
  </si>
  <si>
    <t>249821 - 810106 - 778096 - 958418 - 520884 - 849536</t>
  </si>
  <si>
    <t>Noctuelle de l'Erable (La)</t>
  </si>
  <si>
    <t>249822 - 849516 - 807608 - 810107</t>
  </si>
  <si>
    <t>Noctuelle-Lièvre (La)</t>
  </si>
  <si>
    <t>249823 - 810105 - 807609 - 916713 - 520857</t>
  </si>
  <si>
    <t>Noctuelle mégacéphale (La)</t>
  </si>
  <si>
    <t>249824 - 988405 - 916714 - 520898</t>
  </si>
  <si>
    <t>Noctuelle Grisette (La)</t>
  </si>
  <si>
    <t>919006 - 810110 - 827185 - 785897 - 249825</t>
  </si>
  <si>
    <t>Noctuelle du Ményanthe (La)</t>
  </si>
  <si>
    <t>721043 - 807610 - 809721 - 810111 - 520863 - 249826 - 809720 - 809718 - 916711</t>
  </si>
  <si>
    <t>Chevelure dorée (La)</t>
  </si>
  <si>
    <t>520914 - 805028 - 719779 - 807010 - 249827 - 719777 - 827187 - 810112 - 916712 - 716747 - 778095</t>
  </si>
  <si>
    <t>Noctuelle de l'Euphorbe (La)</t>
  </si>
  <si>
    <t>459071 - 520864 - 774732 - 249828 - 849568 - 810113</t>
  </si>
  <si>
    <t>Noctuelle de la Patience (La)</t>
  </si>
  <si>
    <t>917599 - 807747 - 988331 - 807748 - 249829 - 774479</t>
  </si>
  <si>
    <t>Collier blanc (Le)</t>
  </si>
  <si>
    <t>249830 - 849756 - 976057</t>
  </si>
  <si>
    <t>Nole-capuchon (La)</t>
  </si>
  <si>
    <t>808276 - 808277 - 249831 - 809801 - 918657</t>
  </si>
  <si>
    <t>Nole crêtée (La), Nole-Aigrette (La)</t>
  </si>
  <si>
    <t>770384 - 919519 - 249832</t>
  </si>
  <si>
    <t>Cicatrice (La)</t>
  </si>
  <si>
    <t>249833 - 916058 - 988297 - 976058</t>
  </si>
  <si>
    <t>Nole ravaudée (La)</t>
  </si>
  <si>
    <t>249837 - 770404 - 721103 - 782752</t>
  </si>
  <si>
    <t>Nole des Germandrées (La)</t>
  </si>
  <si>
    <t>784099 - 249840 - 916010 - 770405</t>
  </si>
  <si>
    <t>Nole togée (La)</t>
  </si>
  <si>
    <t>249841 - 984120 - 916886 - 771320 - 976056</t>
  </si>
  <si>
    <t>Nole striolée (La)</t>
  </si>
  <si>
    <t>784100 - 916885 - 976059 - 249842 - 809802 - 805064</t>
  </si>
  <si>
    <t>Nole blanchâtre (La)</t>
  </si>
  <si>
    <t>923036 - 249843 - 774045 - 938300</t>
  </si>
  <si>
    <t>Halias du Saule (La)</t>
  </si>
  <si>
    <t>825316 - 784103 - 980209 - 825317 - 924685 - 808278 - 249848</t>
  </si>
  <si>
    <t>Sarrothripe de Revay (La)</t>
  </si>
  <si>
    <t>940884 - 24985</t>
  </si>
  <si>
    <t>916009 - 809701 - 249850 - 809702</t>
  </si>
  <si>
    <t>Nyctéole de l'Osier (La)</t>
  </si>
  <si>
    <t>249852 - 809703 - 809704 - 924688</t>
  </si>
  <si>
    <t>Nyctéole du Peuplier (La)</t>
  </si>
  <si>
    <t>809774 - 784108 - 249854 - 821999 - 789653 - 808280 - 808279 - 721029 - 899030 - 789652</t>
  </si>
  <si>
    <t>Halias du Chêne (La)</t>
  </si>
  <si>
    <t>24986 - 940894</t>
  </si>
  <si>
    <t>940902 - 24988 - 940903</t>
  </si>
  <si>
    <t>249881 - 937395</t>
  </si>
  <si>
    <t>854104 - 937393 - 249885</t>
  </si>
  <si>
    <t>24989 - 940904 - 940905</t>
  </si>
  <si>
    <t>997276 - 24990</t>
  </si>
  <si>
    <t>940919 - 24992 - 940916 - 940918 - 940915 - 940920 - 940917</t>
  </si>
  <si>
    <t>249929 - 936806</t>
  </si>
  <si>
    <t>940924 - 940923 - 24993 - 940922 - 940921</t>
  </si>
  <si>
    <t>911654 - 249931</t>
  </si>
  <si>
    <t>249941 - 936785</t>
  </si>
  <si>
    <t>249959 - 936768 - 936769 - 21624</t>
  </si>
  <si>
    <t>24997 - 940925 - 940927 - 940928 - 940926</t>
  </si>
  <si>
    <t>389416 - 24998</t>
  </si>
  <si>
    <t>940929 - 25000 - 24999</t>
  </si>
  <si>
    <t>936719 - 250019 - 21590</t>
  </si>
  <si>
    <t>250026 - 936714</t>
  </si>
  <si>
    <t>25003 - 389417</t>
  </si>
  <si>
    <t>25004 - 389418</t>
  </si>
  <si>
    <t>25009 - 824844</t>
  </si>
  <si>
    <t>389363 - 389364 - 389366 - 389365 - 25016 - 25015 - 914640</t>
  </si>
  <si>
    <t>250184 - 936401</t>
  </si>
  <si>
    <t>593702 - 250287</t>
  </si>
  <si>
    <t>Chirocéphale diaphane (Le)</t>
  </si>
  <si>
    <t>823019 - 250293</t>
  </si>
  <si>
    <t>823040 - 250294</t>
  </si>
  <si>
    <t>250416 - 389184 - 389183</t>
  </si>
  <si>
    <t>946506 - 946505 - 25044 - 946507 - 946504</t>
  </si>
  <si>
    <t>946515 - 946513 - 946519 - 946524 - 25052 - 946523 - 946521 - 946527 - 946525 - 946514 - 946508 - 946528 - 946511 - 946512 - 946526 - 946522 - 946520 - 946510 - 946517 - 946516 - 946518</t>
  </si>
  <si>
    <t>850632 - 25057</t>
  </si>
  <si>
    <t>Petite mouche à bouse</t>
  </si>
  <si>
    <t>914641 - 25067</t>
  </si>
  <si>
    <t>Dectique verrucivore</t>
  </si>
  <si>
    <t>946546 - 946547 - 946543 - 946544 - 25073 - 946542 - 946545</t>
  </si>
  <si>
    <t>25090 - 934190</t>
  </si>
  <si>
    <t>934191 - 25092</t>
  </si>
  <si>
    <t>25098 - 934199</t>
  </si>
  <si>
    <t>395707 - 395706 - 395709 - 250991 - 809518 - 395708 - 887300 - 820708</t>
  </si>
  <si>
    <t>820709 - 251016 - 395769 - 395770 - 886439</t>
  </si>
  <si>
    <t>934209 - 25109</t>
  </si>
  <si>
    <t>934216 - 25112</t>
  </si>
  <si>
    <t>25114 - 934217</t>
  </si>
  <si>
    <t>25133 - 934233</t>
  </si>
  <si>
    <t>699607 - 396280 - 251372</t>
  </si>
  <si>
    <t>797755 - 795303 - 251386 - 396302</t>
  </si>
  <si>
    <t>899598 - 396311 - 251393 - 396314 - 396312 - 396313 - 396315</t>
  </si>
  <si>
    <t>396359 - 251413</t>
  </si>
  <si>
    <t>251421 - 251422 - 251423 - 795309 - 8376 - 645527</t>
  </si>
  <si>
    <t>Carabe à reflets d'or (Le), Carabe à reflets cuivrés (Le)</t>
  </si>
  <si>
    <t>396380 - 396381 - 396378 - 396376 - 986528 - 396379 - 251435 - 396377 - 396375</t>
  </si>
  <si>
    <t>251451 - 396393</t>
  </si>
  <si>
    <t>894034 - 251528</t>
  </si>
  <si>
    <t>934244 - 25158</t>
  </si>
  <si>
    <t>934245 - 25160</t>
  </si>
  <si>
    <t>25169 - 389233 - 937543</t>
  </si>
  <si>
    <t>844705 - 397593 - 251710</t>
  </si>
  <si>
    <t>398860 - 251731 - 398859</t>
  </si>
  <si>
    <t>400162 - 400163 - 251777</t>
  </si>
  <si>
    <t>251790 - 400195 - 400194 - 400197 - 400196 - 400198</t>
  </si>
  <si>
    <t>401250 - 401249 - 251820</t>
  </si>
  <si>
    <t>401593 - 401594 - 401595 - 251865</t>
  </si>
  <si>
    <t>922660 - 25188 - 25187</t>
  </si>
  <si>
    <t>401634 - 251871 - 401635</t>
  </si>
  <si>
    <t>251878 - 401676 - 401677</t>
  </si>
  <si>
    <t>389382 - 25193 - 389381</t>
  </si>
  <si>
    <t>389383 - 25195 - 25194</t>
  </si>
  <si>
    <t>25210 - 934463</t>
  </si>
  <si>
    <t>934481 - 25218</t>
  </si>
  <si>
    <t>25222 - 934489</t>
  </si>
  <si>
    <t>406246 - 406245 - 252221</t>
  </si>
  <si>
    <t>1001477 - 252238</t>
  </si>
  <si>
    <t>406699 - 252250</t>
  </si>
  <si>
    <t>937325 - 937339 - 252339</t>
  </si>
  <si>
    <t>716385 - 252374 - 837605</t>
  </si>
  <si>
    <t>25238 - 934279 - 389223 - 25240 - 389222 - 389224</t>
  </si>
  <si>
    <t>389269 - 25259 - 389268 - 934334</t>
  </si>
  <si>
    <t>Chrysomèle dorée</t>
  </si>
  <si>
    <t>Chrysomèle bleue à bordure rouge</t>
  </si>
  <si>
    <t>389270 - 25266 - 934335</t>
  </si>
  <si>
    <t>25269 - 934337</t>
  </si>
  <si>
    <t>25271 - 934340 - 389272</t>
  </si>
  <si>
    <t>960334 - 25272 - 934338</t>
  </si>
  <si>
    <t>407702 - 252741</t>
  </si>
  <si>
    <t>408108 - 408115 - 408110 - 408126 - 408109 - 408113 - 408111 - 408127 - 408119 - 408116 - 408123 - 408121 - 408106 - 408112 - 408124 - 408118 - 408122 - 408120 - 408114 - 408117 - 408125 - 252770 - 408128 - 408107 - 408129</t>
  </si>
  <si>
    <t>Cistele satinée</t>
  </si>
  <si>
    <t>1012760 - 252805 - 408882</t>
  </si>
  <si>
    <t>13679 - 886441 - 13677 - 409802 - 252895</t>
  </si>
  <si>
    <t>410976 - 410971 - 410970 - 410972 - 410978 - 410974 - 252969 - 410975 - 410968 - 410966 - 410967 - 410980 - 410969 - 410979 - 410977 - 410973</t>
  </si>
  <si>
    <t>25300 - 25299 - 25301 - 25302</t>
  </si>
  <si>
    <t>25304 - 914546</t>
  </si>
  <si>
    <t>25305 - 850638</t>
  </si>
  <si>
    <t>25308 - 25306 - 389404</t>
  </si>
  <si>
    <t>253081 - 412025</t>
  </si>
  <si>
    <t>412050 - 412053 - 412052 - 253086 - 412051</t>
  </si>
  <si>
    <t>25318 - 25320 - 389221</t>
  </si>
  <si>
    <t>Bombyx du Peuplier (Le)</t>
  </si>
  <si>
    <t>838629 - 253370 - 887618</t>
  </si>
  <si>
    <t>398061 - 398062 - 25346 - 935332</t>
  </si>
  <si>
    <t>253466 - 11833</t>
  </si>
  <si>
    <t>431669 - 253469 - 14741 - 14742 - 14743</t>
  </si>
  <si>
    <t>25347 - 935334</t>
  </si>
  <si>
    <t>935335 - 25348</t>
  </si>
  <si>
    <t>935339 - 398064 - 25349</t>
  </si>
  <si>
    <t>25371 - 25370 - 398073 - 935410</t>
  </si>
  <si>
    <t>398128 - 25402 - 25401</t>
  </si>
  <si>
    <t>925489 - 25408 - 397883 - 397884</t>
  </si>
  <si>
    <t>25426 - 935383</t>
  </si>
  <si>
    <t>25427 - 25428</t>
  </si>
  <si>
    <t>25430 - 397911 - 935384 - 25431 - 397910 - 397909 - 25432 - 25429</t>
  </si>
  <si>
    <t>25435 - 25434 - 25436 - 25437 - 925479 - 25438 - 397917 - 25433</t>
  </si>
  <si>
    <t>935389 - 25443 - 25442</t>
  </si>
  <si>
    <t>397922 - 25410 - 397887 - 397921 - 925480 - 397920 - 25444</t>
  </si>
  <si>
    <t>951038 - 254488</t>
  </si>
  <si>
    <t>25450 - 935392</t>
  </si>
  <si>
    <t>397940 - 925485 - 397939 - 25452</t>
  </si>
  <si>
    <t>935396 - 397945 - 397946 - 397947 - 25456</t>
  </si>
  <si>
    <t>25458 - 397948</t>
  </si>
  <si>
    <t>25474 - 397991 - 397993 - 397992 - 914947 - 398000 - 397999 - 397995 - 397990 - 397994 - 398001 - 397996 - 397997 - 397998</t>
  </si>
  <si>
    <t>25488 - 935366</t>
  </si>
  <si>
    <t>25495 - 398044 - 398046 - 925461 - 398045</t>
  </si>
  <si>
    <t>25498 - 911895 - 398048 - 398047</t>
  </si>
  <si>
    <t>884459 - 255085</t>
  </si>
  <si>
    <t>255221 - 813305</t>
  </si>
  <si>
    <t>25535 - 397768</t>
  </si>
  <si>
    <t>25549 - 25545 - 25547 - 25548 - 25546 - 397777 - 25544 - 397775 - 397776</t>
  </si>
  <si>
    <t>25554 - 397808</t>
  </si>
  <si>
    <t>397814 - 25557 - 25556</t>
  </si>
  <si>
    <t>Mouche du houx</t>
  </si>
  <si>
    <t>25559 - 25558 - 397819 - 397818 - 397816 - 397817</t>
  </si>
  <si>
    <t>25566 - 25567 - 25568</t>
  </si>
  <si>
    <t>25593 - 25587 - 25578 - 25590 - 25580 - 25584 - 25589 - 397850 - 25574 - 25594 - 25585 - 25588 - 25591 - 935616 - 397851 - 25576 - 25575 - 25586 - 25583 - 25592 - 25581 - 25595 - 25582 - 25579</t>
  </si>
  <si>
    <t>397864 - 25601</t>
  </si>
  <si>
    <t>397865 - 25604 - 25605 - 397866</t>
  </si>
  <si>
    <t>256249 - 25244</t>
  </si>
  <si>
    <t>25643 - 934407</t>
  </si>
  <si>
    <t>25644 - 389394 - 389393</t>
  </si>
  <si>
    <t>256584 - 934336 - 25268</t>
  </si>
  <si>
    <t>946672 - 256722 - 946673 - 946669 - 946671 - 946670</t>
  </si>
  <si>
    <t>945858 - 945860 - 945859 - 25676 - 945864 - 945857 - 945861 - 945863 - 945862</t>
  </si>
  <si>
    <t>946012 - 946011 - 25704 - 946010</t>
  </si>
  <si>
    <t>257106 - 934352</t>
  </si>
  <si>
    <t>24021 - 934354 - 257108</t>
  </si>
  <si>
    <t>257119 - 934401 - 1012755</t>
  </si>
  <si>
    <t>934450 - 257189</t>
  </si>
  <si>
    <t>257680 - 945412</t>
  </si>
  <si>
    <t>939922 - 24856 - 257774</t>
  </si>
  <si>
    <t>257972 - 946760 - 946761</t>
  </si>
  <si>
    <t>258119 - 945487 - 945485</t>
  </si>
  <si>
    <t>945542 - 258212</t>
  </si>
  <si>
    <t>945548 - 258224</t>
  </si>
  <si>
    <t>258370 - 932925</t>
  </si>
  <si>
    <t>945784 - 389242 - 945783 - 945786 - 945785 - 25839</t>
  </si>
  <si>
    <t>945810 - 945812 - 25872 - 945813 - 945811 - 945814</t>
  </si>
  <si>
    <t>945815 - 25989</t>
  </si>
  <si>
    <t>946090 - 946091 - 946092 - 946098 - 946093 - 946096 - 946089 - 946095 - 946088 - 26005 - 946097 - 946094</t>
  </si>
  <si>
    <t>946103 - 946099 - 946100 - 26016 - 946102 - 946101</t>
  </si>
  <si>
    <t>946108 - 946109 - 545660 - 26022</t>
  </si>
  <si>
    <t>216683 - 26040 - 429601 - 945924 - 945922 - 945925 - 945923</t>
  </si>
  <si>
    <t>934179 - 26054</t>
  </si>
  <si>
    <t>1009134 - 934312 - 26057</t>
  </si>
  <si>
    <t>934313 - 26059</t>
  </si>
  <si>
    <t>26080 - 946188</t>
  </si>
  <si>
    <t>26106 - 946483</t>
  </si>
  <si>
    <t>946409 - 946407 - 26127 - 946408</t>
  </si>
  <si>
    <t>946177 - 946178 - 26156 - 946179</t>
  </si>
  <si>
    <t>26162 - 946184</t>
  </si>
  <si>
    <t>946116 - 946117 - 26165 - 946114</t>
  </si>
  <si>
    <t>225647 - 545485 - 26177 - 812960</t>
  </si>
  <si>
    <t>933971 - 26283</t>
  </si>
  <si>
    <t>263225 - 52756</t>
  </si>
  <si>
    <t>820932 - 898998 - 263377 - 52336</t>
  </si>
  <si>
    <t>26348 - 946578</t>
  </si>
  <si>
    <t>946584 - 26349 - 946582</t>
  </si>
  <si>
    <t>26351 - 946588 - 946586</t>
  </si>
  <si>
    <t>946637 - 946636 - 26394 - 25228 - 946638</t>
  </si>
  <si>
    <t>1015920 - 1009374 - 946640 - 26395</t>
  </si>
  <si>
    <t>946662 - 946663 - 946661 - 26396</t>
  </si>
  <si>
    <t>946642 - 946644 - 946643 - 26397</t>
  </si>
  <si>
    <t>26404 - 946685 - 946684 - 946686</t>
  </si>
  <si>
    <t>26408 - 946696 - 946697</t>
  </si>
  <si>
    <t>26409 - 946698 - 946699 - 946700</t>
  </si>
  <si>
    <t>946602 - 26418</t>
  </si>
  <si>
    <t>26420 - 946702</t>
  </si>
  <si>
    <t>26421 - 946704 - 946703</t>
  </si>
  <si>
    <t>26422 - 946712 - 946711 - 946709 - 946706 - 946705 - 946708 - 946710</t>
  </si>
  <si>
    <t>389521 - 26435 - 389518 - 389520 - 389523 - 389522 - 389519</t>
  </si>
  <si>
    <t>264382 - 991383</t>
  </si>
  <si>
    <t>26442 - 389532 - 946764 - 389531</t>
  </si>
  <si>
    <t>946910 - 389570 - 26454 - 389573 - 26455 - 389572 - 389571</t>
  </si>
  <si>
    <t>389543 - 946771 - 389545 - 389542 - 389541 - 389540 - 931087 - 389544 - 26458</t>
  </si>
  <si>
    <t>946734 - 26464</t>
  </si>
  <si>
    <t>389547 - 389546 - 946744 - 26472</t>
  </si>
  <si>
    <t>389548 - 389550 - 389549 - 946745 - 26474</t>
  </si>
  <si>
    <t>946746 - 26476</t>
  </si>
  <si>
    <t>389553 - 26478 - 389554 - 946749</t>
  </si>
  <si>
    <t>946740 - 26489 - 389505</t>
  </si>
  <si>
    <t>545663 - 389497 - 946914 - 26522</t>
  </si>
  <si>
    <t>946768 - 26550</t>
  </si>
  <si>
    <t>26552 - 946758</t>
  </si>
  <si>
    <t>389517 - 946715 - 26554 - 389516</t>
  </si>
  <si>
    <t>26556 - 946759</t>
  </si>
  <si>
    <t>946905 - 26558 - 389459 - 389458</t>
  </si>
  <si>
    <t>932373 - 26560</t>
  </si>
  <si>
    <t>899377 - 266020</t>
  </si>
  <si>
    <t>26607 - 946737 - 974222</t>
  </si>
  <si>
    <t>1009438 - 389460 - 389463 - 389461 - 26618 - 389462 - 946903</t>
  </si>
  <si>
    <t>26620 - 946904</t>
  </si>
  <si>
    <t>26646 - 909242 - 838296</t>
  </si>
  <si>
    <t>Mouche des oiseaux</t>
  </si>
  <si>
    <t>266589 - 65576</t>
  </si>
  <si>
    <t>909223 - 26661</t>
  </si>
  <si>
    <t>26698 - 850703</t>
  </si>
  <si>
    <t>26763 - 969466</t>
  </si>
  <si>
    <t>26771 - 948674</t>
  </si>
  <si>
    <t>26772 - 399682 - 948675</t>
  </si>
  <si>
    <t>399683 - 399684 - 399685 - 948676 - 26774</t>
  </si>
  <si>
    <t>26778 - 948677 - 948679</t>
  </si>
  <si>
    <t>26781 - 948667</t>
  </si>
  <si>
    <t>948666 - 26789</t>
  </si>
  <si>
    <t>399705 - 26796 - 948691 - 399704</t>
  </si>
  <si>
    <t>226572 - 26798 - 399706</t>
  </si>
  <si>
    <t>26801 - 399712 - 914648</t>
  </si>
  <si>
    <t>26804 - 399713 - 850558</t>
  </si>
  <si>
    <t>850625 - 26805 - 399717 - 399714 - 545658 - 821029 - 399716 - 399718 - 399719 - 399715</t>
  </si>
  <si>
    <t>Scathophage du fumier, Mouche à merde</t>
  </si>
  <si>
    <t>399725 - 399722 - 399724 - 914649 - 399720 - 399723 - 26809 - 839550 - 26807 - 399721</t>
  </si>
  <si>
    <t>399680 - 914646 - 26819</t>
  </si>
  <si>
    <t>399681 - 26831</t>
  </si>
  <si>
    <t>1014957 - 935630 - 1014956 - 716925 - 26834</t>
  </si>
  <si>
    <t>398131 - 935249 - 26839</t>
  </si>
  <si>
    <t>850495 - 26842</t>
  </si>
  <si>
    <t>26849 - 935257</t>
  </si>
  <si>
    <t>959743 - 935265 - 26856</t>
  </si>
  <si>
    <t>844733 - 26862</t>
  </si>
  <si>
    <t>935656 - 26869</t>
  </si>
  <si>
    <t>935674 - 26875</t>
  </si>
  <si>
    <t>970868 - 970858 - 992753 - 935699 - 26884</t>
  </si>
  <si>
    <t>398152 - 545653 - 967374 - 26886 - 545652</t>
  </si>
  <si>
    <t>Mouche du chou</t>
  </si>
  <si>
    <t>935842 - 26897</t>
  </si>
  <si>
    <t>398157 - 935851 - 224561 - 935849 - 26903 - 398156</t>
  </si>
  <si>
    <t>26906 - 398159 - 935854</t>
  </si>
  <si>
    <t>935896 - 26910</t>
  </si>
  <si>
    <t>935897 - 26911</t>
  </si>
  <si>
    <t>26915 - 935899</t>
  </si>
  <si>
    <t>26924 - 26922 - 914667</t>
  </si>
  <si>
    <t>935900 - 26925</t>
  </si>
  <si>
    <t>26939 - 992757 - 935920</t>
  </si>
  <si>
    <t>936026 - 26949</t>
  </si>
  <si>
    <t>936033 - 26954</t>
  </si>
  <si>
    <t>26960 - 935248</t>
  </si>
  <si>
    <t>935838 - 26967 - 398154</t>
  </si>
  <si>
    <t>935917 - 26977</t>
  </si>
  <si>
    <t>935939 - 935938 - 26987</t>
  </si>
  <si>
    <t>915025 - 398182 - 26992</t>
  </si>
  <si>
    <t>27003 - 27010 - 398186 - 935963 - 398185</t>
  </si>
  <si>
    <t>398192 - 992754 - 935973 - 992752 - 27018</t>
  </si>
  <si>
    <t>27032 - 911925</t>
  </si>
  <si>
    <t>948570 - 27047 - 948571 - 948573</t>
  </si>
  <si>
    <t>948593 - 948594 - 948592 - 27051</t>
  </si>
  <si>
    <t>948595 - 27052</t>
  </si>
  <si>
    <t>948604 - 27055 - 948603 - 948602 - 948605</t>
  </si>
  <si>
    <t>947722 - 947719 - 947721 - 27083 - 947723 - 947720 - 947724 - 947718</t>
  </si>
  <si>
    <t>947725 - 947726 - 947727 - 27087</t>
  </si>
  <si>
    <t>850487 - 27104</t>
  </si>
  <si>
    <t>27105 - 839544 - 850423 - 989079</t>
  </si>
  <si>
    <t>976889 - 27115</t>
  </si>
  <si>
    <t>911929 - 27117 - 911928</t>
  </si>
  <si>
    <t>Mouche domestique</t>
  </si>
  <si>
    <t>947888 - 947867 - 947891 - 947895 - 947844 - 947911 - 947886 - 947866 - 947892 - 947907 - 947877 - 947871 - 947906 - 947876 - 947918 - 947849 - 947851 - 947922 - 947853 - 947852 - 947872 - 947884 - 947882 - 947850 - 947900 - 947862 - 947917 - 947896 - 947870 - 27134 - 947878 - 947901 - 947856 - 947889 - 947869 - 947875 - 947873 - 947857 - 947854 - 947858 - 947912 - 947883 - 947910 - 947893 - 947898 - 947890 - 947881 - 947909 - 947880 - 947859 - 947879 - 947905 - 947902 - 947899 - 947904 - 947865 - 947921 - 947923 - 947916 - 947868 - 947914 - 947864 - 947894 - 947855 - 947874 - 947861 - 947885 - 947903 - 947887 - 947848</t>
  </si>
  <si>
    <t>948268 - 948267 - 948269 - 948271 - 948270 - 948273 - 27136 - 948266 - 948272</t>
  </si>
  <si>
    <t>948492 - 948501 - 948494 - 948490 - 948496 - 717156 - 948500 - 948497 - 948503 - 948495 - 976888 - 948498 - 27138 - 948493 - 948499 - 948491 - 948502</t>
  </si>
  <si>
    <t>850683 - 27152</t>
  </si>
  <si>
    <t>Mouche charbonneuse, Mouche piquante</t>
  </si>
  <si>
    <t>947414 - 947422 - 839532 - 947425 - 947421 - 947424 - 947411 - 947417 - 27158 - 947419</t>
  </si>
  <si>
    <t>947390 - 27162</t>
  </si>
  <si>
    <t>27188 - 948333 - 948334 - 948330 - 948331</t>
  </si>
  <si>
    <t>914001 - 27197</t>
  </si>
  <si>
    <t>27201 - 948442 - 948439 - 948445 - 1009285 - 948441 - 948443 - 948440 - 948444</t>
  </si>
  <si>
    <t>27207 - 948452 - 948453 - 948455 - 1009304 - 948454 - 948451</t>
  </si>
  <si>
    <t>948471 - 948469 - 948472 - 948468 - 948478 - 948476 - 1017507 - 948474 - 948470 - 948475 - 948477 - 948473 - 27209</t>
  </si>
  <si>
    <t>27211 - 948479 - 948480</t>
  </si>
  <si>
    <t>947568 - 947567 - 947563 - 947566 - 27232 - 947570 - 947560 - 947565 - 947572 - 947575 - 970871 - 947573 - 947569 - 976890 - 947559 - 947564 - 947561 - 947562 - 947574</t>
  </si>
  <si>
    <t>947607 - 947603 - 947589 - 947597 - 947600 - 947591 - 947596 - 947604 - 947588 - 947606 - 947602 - 947605 - 27238 - 947598 - 947590 - 947594 - 947593 - 947599 - 947601</t>
  </si>
  <si>
    <t>939933 - 939930 - 939932 - 27253</t>
  </si>
  <si>
    <t>947793 - 27263 - 947794 - 947795 - 947791 - 947792</t>
  </si>
  <si>
    <t>27269 - 1009295</t>
  </si>
  <si>
    <t>947488 - 947484 - 947481 - 27280 - 947475 - 947492 - 947486 - 947478 - 947482 - 947490</t>
  </si>
  <si>
    <t>947332 - 947333 - 947329 - 947330 - 947327 - 27287</t>
  </si>
  <si>
    <t>426362 - 273043 - 801404</t>
  </si>
  <si>
    <t>948660 - 948655 - 948652 - 948654 - 948657 - 948659 - 948664 - 27325 - 948663 - 948656 - 948653 - 948658 - 948661 - 948662</t>
  </si>
  <si>
    <t>948508 - 948511 - 948505 - 948507 - 948506 - 948509 - 948512 - 948510 - 27340</t>
  </si>
  <si>
    <t>947123 - 947119 - 947130 - 947120 - 947127 - 947131 - 947121 - 947122 - 27351 - 947126 - 947125 - 947128 - 947124</t>
  </si>
  <si>
    <t>947249 - 947251 - 947252 - 947242 - 947256 - 947258 - 947247 - 947253 - 947246 - 27381 - 947254 - 947233 - 947245 - 947240</t>
  </si>
  <si>
    <t>946973 - 946972 - 946975 - 946974 - 946976 - 27393</t>
  </si>
  <si>
    <t>911935 - 27394</t>
  </si>
  <si>
    <t>427806 - 427621 - 427653 - 427615 - 427626 - 273961</t>
  </si>
  <si>
    <t>427625 - 273967 - 427611 - 427619 - 427811 - 427622 - 427647 - 427634 - 427665 - 427652 - 427662 - 427617 - 801273 - 427646 - 427635</t>
  </si>
  <si>
    <t>946983 - 27397 - 946984 - 946982</t>
  </si>
  <si>
    <t>946990 - 946989 - 27399 - 946986 - 946987 - 946988</t>
  </si>
  <si>
    <t>947006 - 947008 - 947003 - 947007 - 27406 - 947005 - 947002 - 947004</t>
  </si>
  <si>
    <t>947017 - 947026 - 947021 - 947020 - 947019 - 27409 - 947025 - 947023 - 947022 - 947027 - 947024 - 947018</t>
  </si>
  <si>
    <t>947038 - 27413 - 947037 - 947036</t>
  </si>
  <si>
    <t>947042 - 947046 - 947045 - 947043 - 27415 - 947044 - 947041</t>
  </si>
  <si>
    <t>947050 - 27416</t>
  </si>
  <si>
    <t>27418 - 947053</t>
  </si>
  <si>
    <t>947056 - 27419 - 947054 - 947055 - 947057</t>
  </si>
  <si>
    <t>947067 - 947065 - 947066 - 27423</t>
  </si>
  <si>
    <t>947068 - 947069 - 947070 - 992756 - 27426</t>
  </si>
  <si>
    <t>947071 - 27427</t>
  </si>
  <si>
    <t>947072 - 27428 - 947074 - 947073</t>
  </si>
  <si>
    <t>398316 - 1009678 - 27472 - 398315 - 27469</t>
  </si>
  <si>
    <t>936332 - 27483</t>
  </si>
  <si>
    <t>914651 - 27493 - 27489 - 398328</t>
  </si>
  <si>
    <t>Mouche des greniers</t>
  </si>
  <si>
    <t>939957 - 398337 - 27497</t>
  </si>
  <si>
    <t>936310 - 27501</t>
  </si>
  <si>
    <t>940221 - 940223 - 940220 - 940216 - 27550 - 940222 - 940218 - 940219</t>
  </si>
  <si>
    <t>27552 - 914674 - 1009677</t>
  </si>
  <si>
    <t>399667 - 850488 - 27649 - 27637</t>
  </si>
  <si>
    <t>Mouche à damier, Mouche grise de la viande</t>
  </si>
  <si>
    <t>1018725 - 27654</t>
  </si>
  <si>
    <t>941194 - 941195 - 941196 - 27710 - 941197</t>
  </si>
  <si>
    <t>941489 - 27763 - 941490 - 941488</t>
  </si>
  <si>
    <t>941620 - 941621 - 27767</t>
  </si>
  <si>
    <t>396364 - 277926 - 795326</t>
  </si>
  <si>
    <t>926954 - 892606 - 278135</t>
  </si>
  <si>
    <t>942157 - 942158 - 942166 - 942162 - 942160 - 27866 - 942159 - 942161 - 942164</t>
  </si>
  <si>
    <t>942264 - 942265 - 942262 - 942261 - 942260 - 942259 - 27875</t>
  </si>
  <si>
    <t>942383 - 942388 - 942387 - 27905 - 942381 - 942385 - 942384 - 942382 - 942386 - 942380</t>
  </si>
  <si>
    <t>698639 - 279068</t>
  </si>
  <si>
    <t>279151 - 801321</t>
  </si>
  <si>
    <t>27917 - 942446 - 942444 - 942445 - 942443</t>
  </si>
  <si>
    <t>223493 - 279360</t>
  </si>
  <si>
    <t>942780 - 942788 - 27941 - 942779 - 942783 - 942785 - 942782 - 942781 - 942787 - 942784 - 942786</t>
  </si>
  <si>
    <t>942847 - 942896 - 942856 - 942876 - 942880 - 942891 - 942872 - 942836 - 942853 - 942842 - 942885 - 942844 - 942886 - 942899 - 942835 - 942833 - 942834 - 942866 - 942860 - 942867 - 1012544 - 942845 - 942851 - 942874 - 942850 - 942848 - 942855 - 942843 - 27955 - 942864 - 942882 - 942897 - 942829 - 942893 - 942859 - 942862 - 942830 - 942841 - 942883 - 942871 - 942879 - 942849 - 942869 - 942873 - 942888 - 942877 - 942846 - 942831 - 942881 - 942854 - 942826 - 942827 - 942828 - 942863 - 942889 - 942861 - 942858 - 942887 - 942895 - 942875 - 942884 - 942892 - 942840 - 942839 - 942857 - 942890 - 942838 - 942837 - 942898 - 942870 - 942868 - 942832 - 942894 - 942865 - 942852 - 942878</t>
  </si>
  <si>
    <t>279642 - 796841 - 799432</t>
  </si>
  <si>
    <t>27986 - 911958</t>
  </si>
  <si>
    <t>914553 - 28001</t>
  </si>
  <si>
    <t>28020 - 940948 - 940946 - 940949 - 940950 - 399921 - 940951 - 940945 - 940947</t>
  </si>
  <si>
    <t>940960 - 940958 - 940957 - 28021 - 940959 - 940956</t>
  </si>
  <si>
    <t>941422 - 28048 - 941423 - 941425 - 941426 - 941427 - 941424</t>
  </si>
  <si>
    <t>941592 - 941594 - 941589 - 941593 - 941590 - 941591 - 28052</t>
  </si>
  <si>
    <t>942180 - 942186 - 942174 - 942188 - 942175 - 942172 - 942173 - 942190 - 942192 - 942177 - 28115 - 942191 - 942187 - 942176 - 942189 - 942179 - 942178 - 942171</t>
  </si>
  <si>
    <t>802214 - 281157</t>
  </si>
  <si>
    <t>Cardinal éméché</t>
  </si>
  <si>
    <t>281169 - 800913</t>
  </si>
  <si>
    <t>942197 - 942198 - 942204 - 942203 - 28123 - 942200 - 942199 - 942201 - 942196 - 942202</t>
  </si>
  <si>
    <t>800912 - 281235</t>
  </si>
  <si>
    <t>28129 - 942230 - 942233 - 942235 - 942229 - 942228 - 942225 - 942231 - 942226 - 942232 - 942234 - 942227</t>
  </si>
  <si>
    <t>942316 - 28135</t>
  </si>
  <si>
    <t>281398 - 65996</t>
  </si>
  <si>
    <t>942479 - 28153 - 942481 - 942480</t>
  </si>
  <si>
    <t>943305 - 943307 - 943302 - 943304 - 943308 - 943301 - 943299 - 28165 - 943306 - 943298 - 943300 - 943303</t>
  </si>
  <si>
    <t>943331 - 943332 - 943329 - 943330 - 28173 - 943328</t>
  </si>
  <si>
    <t>943443 - 943214 - 943442 - 943438 - 943441 - 975004 - 943439 - 943440 - 28199 - 943215</t>
  </si>
  <si>
    <t>28202 - 943642 - 943644 - 943643</t>
  </si>
  <si>
    <t>935695 - 282070</t>
  </si>
  <si>
    <t>426479 - 282088 - 426507 - 426480 - 935707 - 426501</t>
  </si>
  <si>
    <t>968412 - 941408 - 941410 - 941409 - 28219</t>
  </si>
  <si>
    <t>282236 - 426967 - 426972</t>
  </si>
  <si>
    <t>941454 - 941452 - 941448 - 941450 - 941449 - 941451 - 941453 - 28228 - 976879</t>
  </si>
  <si>
    <t>28233 - 941548 - 941547 - 941552 - 941550 - 941553 - 941549 - 941546 - 941551</t>
  </si>
  <si>
    <t>941638 - 941639 - 941636 - 28239 - 226764 - 941637 - 941635</t>
  </si>
  <si>
    <t>941676 - 941679 - 941678 - 941677 - 28243</t>
  </si>
  <si>
    <t>282529 - 914650 - 27494</t>
  </si>
  <si>
    <t>28283 - 913329 - 943190</t>
  </si>
  <si>
    <t>943559 - 943547 - 943544 - 943553 - 943561 - 943556 - 943558 - 943552 - 943551 - 943557 - 943554 - 943550 - 943549 - 28287 - 943562</t>
  </si>
  <si>
    <t>941306 - 941307 - 28295 - 941308 - 941310 - 941309</t>
  </si>
  <si>
    <t>1003044 - 28319 - 914547 - 1003048</t>
  </si>
  <si>
    <t>28327 - 1003076</t>
  </si>
  <si>
    <t>942030 - 942029 - 942032 - 28342 - 942031 - 942028</t>
  </si>
  <si>
    <t>20091 - 283537</t>
  </si>
  <si>
    <t>20095 - 283546</t>
  </si>
  <si>
    <t>283550 - 20096</t>
  </si>
  <si>
    <t>283553 - 20061</t>
  </si>
  <si>
    <t>283563 - 20063</t>
  </si>
  <si>
    <t>283603 - 20071</t>
  </si>
  <si>
    <t>283605 - 20073</t>
  </si>
  <si>
    <t>283609 - 20075</t>
  </si>
  <si>
    <t>22692 - 283668</t>
  </si>
  <si>
    <t>944802 - 283706 - 22737</t>
  </si>
  <si>
    <t>283729 - 22742</t>
  </si>
  <si>
    <t>283796 - 22699 - 914573</t>
  </si>
  <si>
    <t>22695 - 283802</t>
  </si>
  <si>
    <t>284134 - 944843</t>
  </si>
  <si>
    <t>23318 - 284246 - 944935</t>
  </si>
  <si>
    <t>284270 - 944951</t>
  </si>
  <si>
    <t>944840 - 944839 - 944838 - 22832 - 284333</t>
  </si>
  <si>
    <t>284342 - 22834</t>
  </si>
  <si>
    <t>948937 - 909665 - 21720 - 284433</t>
  </si>
  <si>
    <t>285247 - 922621</t>
  </si>
  <si>
    <t>285335 - 939926</t>
  </si>
  <si>
    <t>285480 - 19955</t>
  </si>
  <si>
    <t>949593 - 20132 - 285574</t>
  </si>
  <si>
    <t>27527 - 285841</t>
  </si>
  <si>
    <t>285874 - 969449</t>
  </si>
  <si>
    <t>26764 - 969470 - 285878 - 969457</t>
  </si>
  <si>
    <t>922182 - 286173</t>
  </si>
  <si>
    <t>922185 - 286189</t>
  </si>
  <si>
    <t>968005 - 286393 - 922279</t>
  </si>
  <si>
    <t>388980 - 388975 - 388974 - 28893 - 388981 - 388982 - 388978 - 388976 - 388983 - 388977 - 388979</t>
  </si>
  <si>
    <t>28902 - 884747</t>
  </si>
  <si>
    <t>1012188 - 28916</t>
  </si>
  <si>
    <t>28926 - 405235 - 823865 - 823866</t>
  </si>
  <si>
    <t>823868 - 235486 - 405248 - 28930 - 405247 - 405246 - 718478 - 718864</t>
  </si>
  <si>
    <t>405230 - 28933 - 405231</t>
  </si>
  <si>
    <t>405238 - 405237 - 405236 - 823870 - 28935</t>
  </si>
  <si>
    <t>405239 - 28937 - 405240</t>
  </si>
  <si>
    <t>405242 - 823873 - 1000152 - 823871 - 823872 - 28940 - 405241</t>
  </si>
  <si>
    <t>Éphémère à deux filets &amp; ailes brunes</t>
  </si>
  <si>
    <t>28944 - 823876</t>
  </si>
  <si>
    <t>28949 - 235487</t>
  </si>
  <si>
    <t>405253 - 405254 - 28950 - 823886 - 405251 - 405252 - 28941 - 405250</t>
  </si>
  <si>
    <t>28951 - 405255</t>
  </si>
  <si>
    <t>28955 - 405258 - 405259 - 823889 - 405257</t>
  </si>
  <si>
    <t>405275 - 405273 - 823853 - 28960 - 405274</t>
  </si>
  <si>
    <t>Éphémère à deux filets &amp; ailes marginées</t>
  </si>
  <si>
    <t>823856 - 28962 - 405279 - 823855</t>
  </si>
  <si>
    <t>823858 - 823859 - 28964 - 823857</t>
  </si>
  <si>
    <t>405280 - 28966</t>
  </si>
  <si>
    <t>405281 - 28967</t>
  </si>
  <si>
    <t>405282 - 405283 - 28968</t>
  </si>
  <si>
    <t>823891 - 823893 - 823894 - 28971</t>
  </si>
  <si>
    <t>405315 - 28976 - 823832</t>
  </si>
  <si>
    <t>405261 - 28978 - 28973 - 405262 - 789894 - 789737 - 789738</t>
  </si>
  <si>
    <t>Ephémère, Mouche de mai</t>
  </si>
  <si>
    <t>405292 - 823970 - 28983 - 823971</t>
  </si>
  <si>
    <t>823972 - 823974 - 405293 - 28986</t>
  </si>
  <si>
    <t>823976 - 823978 - 823977 - 28988</t>
  </si>
  <si>
    <t>28989 - 405294 - 823979</t>
  </si>
  <si>
    <t>28993 - 405295 - 823980</t>
  </si>
  <si>
    <t>823981 - 28997</t>
  </si>
  <si>
    <t>29000 - 29038 - 823988 - 405298 - 823990</t>
  </si>
  <si>
    <t>29002 - 823991 - 405299</t>
  </si>
  <si>
    <t>29007 - 910831</t>
  </si>
  <si>
    <t>777788 - 823995 - 29008 - 823996</t>
  </si>
  <si>
    <t>Mouche de mai</t>
  </si>
  <si>
    <t>405291 - 29015</t>
  </si>
  <si>
    <t>Éphémère à trois filets &amp; ailes tachetées</t>
  </si>
  <si>
    <t>823846 - 29022 - 29064</t>
  </si>
  <si>
    <t>29024 - 823833</t>
  </si>
  <si>
    <t>823838 - 29027</t>
  </si>
  <si>
    <t>823840 - 29028 - 29029</t>
  </si>
  <si>
    <t>823842 - 29031 - 405316</t>
  </si>
  <si>
    <t>29036 - 405301 - 405302</t>
  </si>
  <si>
    <t>405303 - 29039 - 823997 - 823998</t>
  </si>
  <si>
    <t>29040 - 823999</t>
  </si>
  <si>
    <t>235483 - 29044</t>
  </si>
  <si>
    <t>820826 - 29046</t>
  </si>
  <si>
    <t>823843 - 405317 - 29047</t>
  </si>
  <si>
    <t>29049 - 405233 - 823862 - 405232 - 405234</t>
  </si>
  <si>
    <t>29055 - 235488 - 405249 - 820827</t>
  </si>
  <si>
    <t>Éphémère noir à trois filets</t>
  </si>
  <si>
    <t>405324 - 823960 - 29058</t>
  </si>
  <si>
    <t>29060 - 405318 - 823844</t>
  </si>
  <si>
    <t>29061 - 823845</t>
  </si>
  <si>
    <t>820825 - 904930 - 29066</t>
  </si>
  <si>
    <t>Éphémère jaune à deux filets &amp; ailes réticulées</t>
  </si>
  <si>
    <t>405267 - 823896 - 823897 - 29068 - 405266 - 405268</t>
  </si>
  <si>
    <t>780458 - 29070 - 29069</t>
  </si>
  <si>
    <t>29072 - 405271 - 405270 - 405269 - 29071</t>
  </si>
  <si>
    <t>824001 - 824002 - 824003 - 29081</t>
  </si>
  <si>
    <t>824004 - 29082</t>
  </si>
  <si>
    <t>29088 - 29085</t>
  </si>
  <si>
    <t>405311 - 405309 - 405310 - 29091</t>
  </si>
  <si>
    <t>29102 - 824007</t>
  </si>
  <si>
    <t>29104 - 824008</t>
  </si>
  <si>
    <t>29106 - 824012 - 824011 - 405313 - 405314</t>
  </si>
  <si>
    <t>823951 - 29109 - 405326</t>
  </si>
  <si>
    <t>405327 - 823952 - 823953 - 823954 - 29110</t>
  </si>
  <si>
    <t>29114 - 777791 - 405290</t>
  </si>
  <si>
    <t>989695 - 989705 - 989704 - 294280</t>
  </si>
  <si>
    <t>1016217 - 819383 - 819206 - 817875 - 295951 - 819205</t>
  </si>
  <si>
    <t>296126 - 231967</t>
  </si>
  <si>
    <t>818005 - 296488</t>
  </si>
  <si>
    <t>701937 - 297585</t>
  </si>
  <si>
    <t>702629 - 702614 - 298588 - 2184</t>
  </si>
  <si>
    <t>904888 - 298785 - 298787</t>
  </si>
  <si>
    <t>298881 - 703034 - 703033</t>
  </si>
  <si>
    <t>298984 - 703039</t>
  </si>
  <si>
    <t>298985 - 703040</t>
  </si>
  <si>
    <t>298998 - 703089</t>
  </si>
  <si>
    <t>703090 - 299001</t>
  </si>
  <si>
    <t>299004 - 703091</t>
  </si>
  <si>
    <t>703092 - 299006</t>
  </si>
  <si>
    <t>299011 - 703080 - 703079</t>
  </si>
  <si>
    <t>703087 - 299015 - 703086</t>
  </si>
  <si>
    <t>703254 - 299069</t>
  </si>
  <si>
    <t>703245 - 703241 - 703238 - 703243 - 299078</t>
  </si>
  <si>
    <t>703236 - 299081 - 703231</t>
  </si>
  <si>
    <t>299095 - 703152</t>
  </si>
  <si>
    <t>703183 - 299103</t>
  </si>
  <si>
    <t>703190 - 703189 - 299113</t>
  </si>
  <si>
    <t>299117 - 703191</t>
  </si>
  <si>
    <t>299121 - 703199</t>
  </si>
  <si>
    <t>299129 - 703181 - 703177</t>
  </si>
  <si>
    <t>299132 - 703188 - 703187</t>
  </si>
  <si>
    <t>712589 - 712591 - 299209</t>
  </si>
  <si>
    <t>299264 - 712643</t>
  </si>
  <si>
    <t>904229 - 712652 - 299268 - 712649</t>
  </si>
  <si>
    <t>299272 - 712659</t>
  </si>
  <si>
    <t>299275 - 712663</t>
  </si>
  <si>
    <t>299278 - 712665</t>
  </si>
  <si>
    <t>712669 - 299285 - 904230</t>
  </si>
  <si>
    <t>712673 - 299311 - 712674</t>
  </si>
  <si>
    <t>712679 - 299352</t>
  </si>
  <si>
    <t>299367 - 426863</t>
  </si>
  <si>
    <t>904233 - 299377</t>
  </si>
  <si>
    <t>904245 - 299404 - 426867</t>
  </si>
  <si>
    <t>903238 - 303091</t>
  </si>
  <si>
    <t>903360 - 303177</t>
  </si>
  <si>
    <t>903650 - 303436</t>
  </si>
  <si>
    <t>903893 - 303768</t>
  </si>
  <si>
    <t>902634 - 303894</t>
  </si>
  <si>
    <t>306034 - 430932 - 430933 - 430926 - 430934 - 801489 - 430935</t>
  </si>
  <si>
    <t>430917 - 801485 - 306039 - 430914 - 430921</t>
  </si>
  <si>
    <t>Corinne à pieds rouges</t>
  </si>
  <si>
    <t>430936 - 430915 - 430943 - 430961 - 430939 - 922524 - 430956 - 801491 - 430941 - 430888 - 430940 - 306040</t>
  </si>
  <si>
    <t>306063 - 887546 - 430891 - 430885 - 886475 - 993113</t>
  </si>
  <si>
    <t>Grand Clairon, Clairon mutile</t>
  </si>
  <si>
    <t>801474 - 430901 - 430895 - 306064 - 430899</t>
  </si>
  <si>
    <t>431328 - 306145</t>
  </si>
  <si>
    <t>306158 - 234782</t>
  </si>
  <si>
    <t>306412 - 799111</t>
  </si>
  <si>
    <t>799152 - 306446 - 796828</t>
  </si>
  <si>
    <t>306515 - 306516 - 404434</t>
  </si>
  <si>
    <t>306640 - 847459</t>
  </si>
  <si>
    <t>802030 - 798294 - 306970</t>
  </si>
  <si>
    <t>307008 - 802032</t>
  </si>
  <si>
    <t>797117 - 802034 - 797118 - 307036</t>
  </si>
  <si>
    <t>307225 - 798305 - 798304</t>
  </si>
  <si>
    <t>235376 - 307229</t>
  </si>
  <si>
    <t>798302 - 797123 - 307288</t>
  </si>
  <si>
    <t>307418 - 892304 - 823964 - 823962 - 823961</t>
  </si>
  <si>
    <t>774886 - 307462</t>
  </si>
  <si>
    <t>822225 - 308335</t>
  </si>
  <si>
    <t>822237 - 308340 - 625162</t>
  </si>
  <si>
    <t>308342 - 822244 - 925326</t>
  </si>
  <si>
    <t>308343 - 822245</t>
  </si>
  <si>
    <t>308348 - 822249</t>
  </si>
  <si>
    <t>308351 - 1013595</t>
  </si>
  <si>
    <t>308762 - 921269</t>
  </si>
  <si>
    <t>824404 - 311691</t>
  </si>
  <si>
    <t>1006371 - 312570</t>
  </si>
  <si>
    <t>Punaise des lits</t>
  </si>
  <si>
    <t>Punaise americaine du pin, Punaise du pin, Leptoglosse américain</t>
  </si>
  <si>
    <t>313024 - 837309</t>
  </si>
  <si>
    <t>317256 - 239069 - 239078 - 406846</t>
  </si>
  <si>
    <t>239103 - 892959 - 317298 - 406849</t>
  </si>
  <si>
    <t>317425 - 21322 - 914003</t>
  </si>
  <si>
    <t>317792 - 850186</t>
  </si>
  <si>
    <t>Collète du lierre</t>
  </si>
  <si>
    <t>999867 - 999865 - 317868</t>
  </si>
  <si>
    <t>317934 - 1000160</t>
  </si>
  <si>
    <t>1000198 - 239696 - 407167 - 317939 - 1000142 - 407166</t>
  </si>
  <si>
    <t>318170 - 53154</t>
  </si>
  <si>
    <t>318504 - 816790</t>
  </si>
  <si>
    <t>820957 - 996915 - 318516 - 820956</t>
  </si>
  <si>
    <t>797081 - 797076 - 797078 - 798244 - 820743 - 797077 - 797079 - 797083 - 319045 - 797082 - 801038</t>
  </si>
  <si>
    <t>Dermeste à oreilles</t>
  </si>
  <si>
    <t>797084 - 319048</t>
  </si>
  <si>
    <t>801124 - 319091</t>
  </si>
  <si>
    <t>579535 - 319866 - 622896 - 639943 - 319868 - 546922 - 365197</t>
  </si>
  <si>
    <t>622889 - 320831</t>
  </si>
  <si>
    <t>701824 - 322008</t>
  </si>
  <si>
    <t>802893 - 322067 - 845117</t>
  </si>
  <si>
    <t>322073 - 802666</t>
  </si>
  <si>
    <t>785743 - 322076</t>
  </si>
  <si>
    <t>Chrysomèle des racines du maïs</t>
  </si>
  <si>
    <t>802804 - 322762</t>
  </si>
  <si>
    <t>431768 - 431770 - 431765 - 325426</t>
  </si>
  <si>
    <t>803653 - 328026 - 13920</t>
  </si>
  <si>
    <t>Charançon damier</t>
  </si>
  <si>
    <t>329494 - 800646</t>
  </si>
  <si>
    <t>799704 - 331889</t>
  </si>
  <si>
    <t>801302 - 333015</t>
  </si>
  <si>
    <t>928114 - 334177</t>
  </si>
  <si>
    <t>Vertigo édenté</t>
  </si>
  <si>
    <t>334178 - 928115</t>
  </si>
  <si>
    <t>Vertigo septentrional</t>
  </si>
  <si>
    <t>928141 - 928137 - 928139 - 928140 - 335667 - 928138</t>
  </si>
  <si>
    <t>Luisantine d'Amérique</t>
  </si>
  <si>
    <t>337113 - 1011536</t>
  </si>
  <si>
    <t>643377 - 824928 - 337165</t>
  </si>
  <si>
    <t>824888 - 337240</t>
  </si>
  <si>
    <t>337312 - 951231 - 824868</t>
  </si>
  <si>
    <t>1011135 - 337320</t>
  </si>
  <si>
    <t>337326 - 824861 - 824860</t>
  </si>
  <si>
    <t>339921 - 802046 - 339919</t>
  </si>
  <si>
    <t>339965 - 802059</t>
  </si>
  <si>
    <t>339972 - 893896</t>
  </si>
  <si>
    <t>340004 - 802050</t>
  </si>
  <si>
    <t>802062 - 802061 - 820780 - 340048 - 340043</t>
  </si>
  <si>
    <t>Allécule citron</t>
  </si>
  <si>
    <t>840451 - 802043 - 340053</t>
  </si>
  <si>
    <t>21090 - 429476 - 340134 - 938067 - 21106</t>
  </si>
  <si>
    <t>927588 - 340699</t>
  </si>
  <si>
    <t>726272 - 340852 - 826085 - 927339</t>
  </si>
  <si>
    <t>341468 - 726255</t>
  </si>
  <si>
    <t>341582 - 415099 - 246012</t>
  </si>
  <si>
    <t>341688 - 884578</t>
  </si>
  <si>
    <t>822462 - 341915 - 822627</t>
  </si>
  <si>
    <t>699535 - 981858 - 342738 - 719949 - 981859</t>
  </si>
  <si>
    <t>719951 - 342742 - 719953 - 982130</t>
  </si>
  <si>
    <t>342789 - 984086 - 643443 - 719907 - 984085</t>
  </si>
  <si>
    <t>720066 - 981204 - 342946 - 342945 - 777495 - 720065 - 644009 - 342944 - 342939 - 643995 - 342943 - 342941 - 643991 - 644019 - 644021 - 716757</t>
  </si>
  <si>
    <t>Zygène de l’Hippocrépide (La)</t>
  </si>
  <si>
    <t>701869 - 342942 - 644017 - 1011081 - 342957 - 644015 - 719944 - 643776 - 342947 - 342951 - 342958 - 342953</t>
  </si>
  <si>
    <t>785598 - 785599 - 343037</t>
  </si>
  <si>
    <t>935132 - 918547 - 825925 - 343203 - 933954</t>
  </si>
  <si>
    <t>343222 - 918544 - 826036 - 932881</t>
  </si>
  <si>
    <t>920473 - 978199 - 343252</t>
  </si>
  <si>
    <t>343513 - 917459</t>
  </si>
  <si>
    <t>917475 - 343525</t>
  </si>
  <si>
    <t>926440 - 343553 - 720006</t>
  </si>
  <si>
    <t>343566 - 916410</t>
  </si>
  <si>
    <t>247848 - 343621 - 701558</t>
  </si>
  <si>
    <t>343794 - 925061</t>
  </si>
  <si>
    <t>Phycide de Brussa</t>
  </si>
  <si>
    <t>921382 - 344087</t>
  </si>
  <si>
    <t>Eudorée des Ardennes</t>
  </si>
  <si>
    <t>Ephyre ocellée de blanc (L'), Ephyre de l'Erable (L')</t>
  </si>
  <si>
    <t>345352 - 919020</t>
  </si>
  <si>
    <t>Cénobite (La)</t>
  </si>
  <si>
    <t>345689 - 520851 - 920364</t>
  </si>
  <si>
    <t>Lupérine de la Fétuque (La)</t>
  </si>
  <si>
    <t>928952 - 346019</t>
  </si>
  <si>
    <t>Orrhodie du Fraisier (L')</t>
  </si>
  <si>
    <t>520883 - 346062 - 807653 - 916868</t>
  </si>
  <si>
    <t>789867 - 916866 - 346092 - 809662</t>
  </si>
  <si>
    <t>Eustrotie claire (L')</t>
  </si>
  <si>
    <t>Cucullie des Campanules (La)</t>
  </si>
  <si>
    <t>921078 - 346242 - 924067</t>
  </si>
  <si>
    <t>Elue (L')</t>
  </si>
  <si>
    <t>394505 - 273427</t>
  </si>
  <si>
    <t>224088 - 397605</t>
  </si>
  <si>
    <t>65988 - 397685 - 65990 - 397686 - 397688 - 397687 - 916469</t>
  </si>
  <si>
    <t>400714 - 400703 - 400704 - 227774 - 400706 - 400705</t>
  </si>
  <si>
    <t>893782 - 893781 - 232381 - 893780 - 778596 - 52884 - 893783 - 401712</t>
  </si>
  <si>
    <t>403172 - 234631</t>
  </si>
  <si>
    <t>988023 - 403179 - 306011</t>
  </si>
  <si>
    <t>11597 - 403493 - 403486 - 403490 - 403483 - 403485 - 403489 - 403491 - 403492 - 403488 - 403487</t>
  </si>
  <si>
    <t>404341 - 235046 - 404342 - 404340 - 404339</t>
  </si>
  <si>
    <t>235092 - 404430 - 404432 - 404431 - 404427 - 404424 - 404429 - 404425 - 404426</t>
  </si>
  <si>
    <t>66042 - 407259 - 432561</t>
  </si>
  <si>
    <t>Tétrix des larris</t>
  </si>
  <si>
    <t>409405 - 13054 - 409399 - 409406 - 409403 - 409408</t>
  </si>
  <si>
    <t>431478 - 327561 - 409632 - 431476</t>
  </si>
  <si>
    <t>928954 - 415286</t>
  </si>
  <si>
    <t>933490 - 918565 - 933491 - 933492 - 415515</t>
  </si>
  <si>
    <t>415963 - 925055 - 248040</t>
  </si>
  <si>
    <t>Eupithécie de Goossens (L')</t>
  </si>
  <si>
    <t>416518 - 807649 - 249345 - 838717</t>
  </si>
  <si>
    <t>Noctuelle didyme (La)</t>
  </si>
  <si>
    <t>413590 - 413584 - 779159 - 413589 - 416747 - 413586 - 64013 - 413588 - 413587 - 413585 - 64224</t>
  </si>
  <si>
    <t>Veloutée commune</t>
  </si>
  <si>
    <t>416748 - 64014 - 908679</t>
  </si>
  <si>
    <t>Veloutée des Préalpes</t>
  </si>
  <si>
    <t>163280 - 416749 - 927754</t>
  </si>
  <si>
    <t>Veloutée déprimée</t>
  </si>
  <si>
    <t>163281 - 927753 - 416750</t>
  </si>
  <si>
    <t>Veloutée de la Grande Chartreuse</t>
  </si>
  <si>
    <t>416755 - 163287 - 927750</t>
  </si>
  <si>
    <t>Veloutée des Alpes</t>
  </si>
  <si>
    <t>163288 - 416756 - 927756</t>
  </si>
  <si>
    <t>Veloutée hirsute</t>
  </si>
  <si>
    <t>416758 - 199897 - 927751</t>
  </si>
  <si>
    <t>416791 - 407293 - 801130 - 240352 - 11507</t>
  </si>
  <si>
    <t>244691 - 698988 - 416813 - 698986 - 698987</t>
  </si>
  <si>
    <t>801077 - 416821 - 234867</t>
  </si>
  <si>
    <t>801078 - 234868 - 416822</t>
  </si>
  <si>
    <t>416838 - 698979 - 339879</t>
  </si>
  <si>
    <t>427512 - 427513 - 427503 - 427510 - 427502 - 273470</t>
  </si>
  <si>
    <t>432537 - 29035 - 405300</t>
  </si>
  <si>
    <t>Aïolope émeraudine</t>
  </si>
  <si>
    <t>Criquet des Landes</t>
  </si>
  <si>
    <t>432556 - 953075 - 66253</t>
  </si>
  <si>
    <t>Miramelle fontinale, Miramelle des reposoirs</t>
  </si>
  <si>
    <t>Frelon à pattes jaunes, Frelon asiatique, Vespa veloutée</t>
  </si>
  <si>
    <t>Frelon à pattes jaunes, Frelon asiatique</t>
  </si>
  <si>
    <t>Cigale mélodieuse (la)</t>
  </si>
  <si>
    <t>436727 - 413139 - 809541</t>
  </si>
  <si>
    <t>Massue des Pyrénées</t>
  </si>
  <si>
    <t>Caloptène italien</t>
  </si>
  <si>
    <t>445259 - 920936 - 521539 - 416461 - 827710 - 784073 - 248954 - 784072 - 416460</t>
  </si>
  <si>
    <t>Gnophos bigarrée (La)</t>
  </si>
  <si>
    <t>445264 - 627683</t>
  </si>
  <si>
    <t>Oedipode turquoise</t>
  </si>
  <si>
    <t>777544 - 811531 - 445269 - 784119 - 777543 - 249083 - 416493 - 916030 - 809798 - 1001072</t>
  </si>
  <si>
    <t>Crible (Le)</t>
  </si>
  <si>
    <t>903929 - 457228 - 1547 - 234064</t>
  </si>
  <si>
    <t>1830 - 457230</t>
  </si>
  <si>
    <t>233615 - 903545 - 457240</t>
  </si>
  <si>
    <t>457244 - 234078 - 1284 - 644897</t>
  </si>
  <si>
    <t>457316 - 1525</t>
  </si>
  <si>
    <t>892 - 457320 - 900926 - 893</t>
  </si>
  <si>
    <t>1000143 - 457321</t>
  </si>
  <si>
    <t>Épeire alsine</t>
  </si>
  <si>
    <t>836216 - 402359 - 457331 - 836217 - 233227</t>
  </si>
  <si>
    <t>457340 - 1920 - 902671</t>
  </si>
  <si>
    <t>Pardose forestière</t>
  </si>
  <si>
    <t>457346 - 902695</t>
  </si>
  <si>
    <t>457348 - 234210 - 1757</t>
  </si>
  <si>
    <t>1727 - 457363</t>
  </si>
  <si>
    <t>903107 - 1649 - 457397</t>
  </si>
  <si>
    <t>777986 - 248957 - 521540 - 915413 - 777987 - 458686 - 930152</t>
  </si>
  <si>
    <t>Gnophos glauque (La)</t>
  </si>
  <si>
    <t>233297 - 1112 - 458706 - 302773 - 402377 - 1001721</t>
  </si>
  <si>
    <t>Érèse coccinelle</t>
  </si>
  <si>
    <t>903641 - 458766 - 303246</t>
  </si>
  <si>
    <t>1625 - 458768 - 234154</t>
  </si>
  <si>
    <t>458769 - 891916 - 1614</t>
  </si>
  <si>
    <t>Thomise à trois taches</t>
  </si>
  <si>
    <t>777615 - 811534 - 777616 - 805436 - 820674 - 459036 - 805023 - 249082 - 820675 - 941035 - 916022 - 916032 - 716694</t>
  </si>
  <si>
    <t>Ecaille striée (L')</t>
  </si>
  <si>
    <t>821190 - 459068 - 249067 - 811560 - 459070 - 807154 - 459069 - 822010</t>
  </si>
  <si>
    <t>Ecaille Lièvre (L')</t>
  </si>
  <si>
    <t>459325 - 895952 - 895953 - 895954 - 801856 - 994633</t>
  </si>
  <si>
    <t>Coccinelle asiatique (la), Coccinelle arlequin (La)</t>
  </si>
  <si>
    <t>485 - 822241</t>
  </si>
  <si>
    <t>Helobdelle des étangs</t>
  </si>
  <si>
    <t>490 - 585522</t>
  </si>
  <si>
    <t>Sangsue géomètre, Sangsue piscicole</t>
  </si>
  <si>
    <t>Sangsue médicinale, Sangsue médicinale européenne</t>
  </si>
  <si>
    <t>405862 - 822250 - 405863 - 499</t>
  </si>
  <si>
    <t>405599 - 848176 - 51331 - 405600</t>
  </si>
  <si>
    <t>Grand Diable</t>
  </si>
  <si>
    <t>51377 - 789849</t>
  </si>
  <si>
    <t>789834 - 51394</t>
  </si>
  <si>
    <t>1013769 - 51411 - 1013765 - 1013770 - 1013768</t>
  </si>
  <si>
    <t>51433 - 1013794 - 1013796</t>
  </si>
  <si>
    <t>790014 - 790015 - 51439</t>
  </si>
  <si>
    <t>51497 - 895391</t>
  </si>
  <si>
    <t>51499 - 823380</t>
  </si>
  <si>
    <t>898517 - 51503 - 898516</t>
  </si>
  <si>
    <t>51623 - 937309 - 837315 - 51508</t>
  </si>
  <si>
    <t>Punaise brune à antennes &amp; bords panachés</t>
  </si>
  <si>
    <t>726259 - 51512 - 414822 - 726260 - 414823 - 414825 - 414824 - 918185 - 414826</t>
  </si>
  <si>
    <t>897325 - 967837 - 51517 - 823755</t>
  </si>
  <si>
    <t>51519 - 897517 - 897206 - 823754</t>
  </si>
  <si>
    <t>51523 - 823411 - 51861</t>
  </si>
  <si>
    <t>Naucore</t>
  </si>
  <si>
    <t>970230 - 51547</t>
  </si>
  <si>
    <t>972722 - 51555 - 976866</t>
  </si>
  <si>
    <t>407479 - 808797 - 407478 - 51569 - 407480 - 967872 - 808798</t>
  </si>
  <si>
    <t>Cigale plébéienne (La), Grande Cigale commune (la)</t>
  </si>
  <si>
    <t>899084 - 820887 - 899085 - 238396 - 970421 - 836353 - 51602</t>
  </si>
  <si>
    <t>837628 - 51610 - 837629 - 51611 - 238414</t>
  </si>
  <si>
    <t>Punaise arlequin</t>
  </si>
  <si>
    <t>840434 - 51613 - 837636</t>
  </si>
  <si>
    <t>252363 - 51615 - 837293 - 938928</t>
  </si>
  <si>
    <t>Punaise à tête allongée</t>
  </si>
  <si>
    <t>1010421 - 51617 - 897754 - 837615</t>
  </si>
  <si>
    <t>837317 - 51619 - 1000869 - 1000792 - 657679</t>
  </si>
  <si>
    <t>Punaise verte</t>
  </si>
  <si>
    <t>898432 - 837318 - 51620</t>
  </si>
  <si>
    <t>937308 - 837310 - 1002990 - 1002991 - 1002992 - 51627</t>
  </si>
  <si>
    <t>51645 - 51637 - 837611</t>
  </si>
  <si>
    <t>Punaise à pattes rousses, Punaise des bois</t>
  </si>
  <si>
    <t>845165 - 898495 - 837613 - 971655 - 898494 - 51641 - 953542</t>
  </si>
  <si>
    <t>938929 - 1010243 - 837661 - 51647 - 252354</t>
  </si>
  <si>
    <t>Punaise de l'aubépine, Punaise ensanglantée</t>
  </si>
  <si>
    <t>51649 - 937312 - 820879 - 252353 - 820878</t>
  </si>
  <si>
    <t>Elasmucha sociale, Punaise du bouleau</t>
  </si>
  <si>
    <t>51653 - 937313 - 837289</t>
  </si>
  <si>
    <t>937316 - 848930 - 51658</t>
  </si>
  <si>
    <t>Corée marginée</t>
  </si>
  <si>
    <t>938583 - 1001057 - 1001058 - 51660</t>
  </si>
  <si>
    <t>51667 - 975065</t>
  </si>
  <si>
    <t>51677 - 848942</t>
  </si>
  <si>
    <t>Gendarme, Pyrrhocore, Soldat, Suisse</t>
  </si>
  <si>
    <t>848941 - 51687</t>
  </si>
  <si>
    <t>Punaise écuyère</t>
  </si>
  <si>
    <t>964752 - 51710</t>
  </si>
  <si>
    <t>Hétérogaster de l'ortie</t>
  </si>
  <si>
    <t>897758 - 897756 - 51714</t>
  </si>
  <si>
    <t>899219 - 51716 - 895682 - 895684 - 895683 - 899220 - 899221</t>
  </si>
  <si>
    <t>51720 - 820870 - 848950</t>
  </si>
  <si>
    <t>898345 - 898346 - 1007774 - 899181 - 51735</t>
  </si>
  <si>
    <t>51741 - 824411 - 823675 - 824410 - 824412</t>
  </si>
  <si>
    <t>51744 - 1015397 - 823679</t>
  </si>
  <si>
    <t>51747 - 823700</t>
  </si>
  <si>
    <t>51749 - 824031 - 824409</t>
  </si>
  <si>
    <t>51750 - 823708</t>
  </si>
  <si>
    <t>Ciseau, Patineur, Araignée d'eau, Gerris lacustre</t>
  </si>
  <si>
    <t>1001627 - 823677 - 51758</t>
  </si>
  <si>
    <t>Hydromètre stagnant, Hydromètre des étangs</t>
  </si>
  <si>
    <t>937353 - 51770</t>
  </si>
  <si>
    <t>51771 - 848923</t>
  </si>
  <si>
    <t>897246 - 897247 - 51784 - 1001466</t>
  </si>
  <si>
    <t>897253 - 51786 - 963986 - 897252 - 848933 - 1001467 - 1003070 - 1003068</t>
  </si>
  <si>
    <t>51794 - 898342 - 898341</t>
  </si>
  <si>
    <t>51798 - 898489</t>
  </si>
  <si>
    <t>897244 - 973217 - 974290 - 51813 - 973216</t>
  </si>
  <si>
    <t>1001283 - 974291 - 51814</t>
  </si>
  <si>
    <t>51822 - 898213 - 895237 - 898212</t>
  </si>
  <si>
    <t>844826 - 51839</t>
  </si>
  <si>
    <t>898502 - 51847 - 898504 - 898503 - 1001474</t>
  </si>
  <si>
    <t>51858 - 823413</t>
  </si>
  <si>
    <t>820855 - 51862</t>
  </si>
  <si>
    <t>824399 - 51866 - 824400 - 823752</t>
  </si>
  <si>
    <t>Nèpe cendrée, Nèpe rousse, Scorpion d'eau, Punaise scorpion</t>
  </si>
  <si>
    <t>51868 - 823371</t>
  </si>
  <si>
    <t>Ranâtre</t>
  </si>
  <si>
    <t>Notonecte glauque</t>
  </si>
  <si>
    <t>899176 - 51886 - 899177 - 899179 - 899178 - 899180</t>
  </si>
  <si>
    <t>Notonecte maculée</t>
  </si>
  <si>
    <t>51891 - 823378 - 897296</t>
  </si>
  <si>
    <t>823381 - 51896 - 51897</t>
  </si>
  <si>
    <t>Batelier, Cigale d'eau</t>
  </si>
  <si>
    <t>823383 - 51898</t>
  </si>
  <si>
    <t>897306 - 51904 - 51903 - 823390</t>
  </si>
  <si>
    <t>823389 - 51905</t>
  </si>
  <si>
    <t>789874 - 51911</t>
  </si>
  <si>
    <t>Cigale des montagnes, Petite cigale montagnarde</t>
  </si>
  <si>
    <t>407483 - 1003041 - 51913 - 407484</t>
  </si>
  <si>
    <t>Cigale grise (la), Cigale de l'orne (la), Cigale panachée (la), Cacan (le)</t>
  </si>
  <si>
    <t>51916 - 407493 - 407494 - 407495 - 701746 - 978535</t>
  </si>
  <si>
    <t>Cigale rouge (la)</t>
  </si>
  <si>
    <t>1001483 - 898751 - 51923</t>
  </si>
  <si>
    <t>Cercope, Crachat de coucou</t>
  </si>
  <si>
    <t>820894 - 898552 - 405408 - 407472 - 899201 - 407473 - 407471 - 407470 - 1001484 - 51936 - 1001485</t>
  </si>
  <si>
    <t>405734 - 51946 - 405736 - 405735 - 51947 - 848917</t>
  </si>
  <si>
    <t>Cicadelle verte</t>
  </si>
  <si>
    <t>405740 - 897769 - 405741 - 51949 - 405739</t>
  </si>
  <si>
    <t>897770 - 51950</t>
  </si>
  <si>
    <t>51961 - 405746 - 405745 - 51962</t>
  </si>
  <si>
    <t>898713 - 405438 - 898712 - 51980 - 405439</t>
  </si>
  <si>
    <t>848988 - 52007</t>
  </si>
  <si>
    <t>720225 - 52028 - 853845</t>
  </si>
  <si>
    <t>Puceron noir de la fève</t>
  </si>
  <si>
    <t>Puceron vert de la vesce</t>
  </si>
  <si>
    <t>52045 - 854078</t>
  </si>
  <si>
    <t>52046 - 837812</t>
  </si>
  <si>
    <t>Puceron vert du Pêcher</t>
  </si>
  <si>
    <t>52073 - 789744</t>
  </si>
  <si>
    <t>Osmyle à tête jaune</t>
  </si>
  <si>
    <t>52076 - 789821</t>
  </si>
  <si>
    <t>52081 - 52082 - 789741</t>
  </si>
  <si>
    <t>52084 - 897360</t>
  </si>
  <si>
    <t>918494 - 520850 - 249343 - 838758</t>
  </si>
  <si>
    <t>Noctuelle de l'Elyme (La)</t>
  </si>
  <si>
    <t>838779 - 520881 - 916745 - 988320 - 780131 - 249572</t>
  </si>
  <si>
    <t>Orthosie picotée (L'), Proprette (La)</t>
  </si>
  <si>
    <t>783791 - 887731 - 807721 - 520887 - 807719 - 249422 - 917694</t>
  </si>
  <si>
    <t>Noctuelle cubiculaire (La)</t>
  </si>
  <si>
    <t>789739 - 52089 - 52090</t>
  </si>
  <si>
    <t>Fourmillion longicorne</t>
  </si>
  <si>
    <t>1001073 - 827447 - 777809 - 249666 - 838728 - 917554 - 827446 - 520893 - 809661</t>
  </si>
  <si>
    <t>Ancre (L')</t>
  </si>
  <si>
    <t>249778 - 520897 - 917552</t>
  </si>
  <si>
    <t>Mi (Le)</t>
  </si>
  <si>
    <t>988342 - 249406 - 822157 - 919027 - 520902</t>
  </si>
  <si>
    <t>Noctuelle ophiogramme (La)</t>
  </si>
  <si>
    <t>915560 - 249370 - 520903 - 988345</t>
  </si>
  <si>
    <t>Noctuelle de l'Iris (La)</t>
  </si>
  <si>
    <t>915852 - 988353 - 249363 - 520904</t>
  </si>
  <si>
    <t>Nonagrie fluide (La)</t>
  </si>
  <si>
    <t>249362 - 978742 - 520905 - 988354 - 781913</t>
  </si>
  <si>
    <t>Nonagrie fauve (La)</t>
  </si>
  <si>
    <t>520907 - 887730 - 521550 - 249415</t>
  </si>
  <si>
    <t>Caradrine aspergée (La)</t>
  </si>
  <si>
    <t>52097 - 824780</t>
  </si>
  <si>
    <t>Bythinelle d'Arbois</t>
  </si>
  <si>
    <t>790140 - 52103 - 820829</t>
  </si>
  <si>
    <t>Lion des pucerons</t>
  </si>
  <si>
    <t>789750 - 789746 - 789786 - 789747 - 1013115 - 789749 - 789787 - 789748 - 790085 - 789743 - 52106 - 789783 - 789941 - 1008173 - 790141</t>
  </si>
  <si>
    <t>52114 - 52115 - 219889 - 789785</t>
  </si>
  <si>
    <t>Ascalaphe ambré</t>
  </si>
  <si>
    <t>52121 - 52113 - 824786</t>
  </si>
  <si>
    <t>Ascalaphe soufré</t>
  </si>
  <si>
    <t>52124 - 889462 - 392481 - 889463</t>
  </si>
  <si>
    <t>820830 - 820831 - 52138 - 899376</t>
  </si>
  <si>
    <t>406705 - 885567 - 52143</t>
  </si>
  <si>
    <t>1282 - 521447 - 903989</t>
  </si>
  <si>
    <t>Théridion Sisyphe</t>
  </si>
  <si>
    <t>798098 - 796991 - 800023 - 521457</t>
  </si>
  <si>
    <t>240505 - 407337 - 790134 - 521459</t>
  </si>
  <si>
    <t>790089 - 52147</t>
  </si>
  <si>
    <t>52148 - 790009 - 790008 - 790088</t>
  </si>
  <si>
    <t>Mouche scorpion, Panorpe commune</t>
  </si>
  <si>
    <t>200347 - 393656 - 393659 - 521485 - 393660 - 10666 - 10717 - 393655 - 10720 - 393657 - 393651 - 783872 - 10718 - 393653 - 393652 - 10719 - 10665 - 393658 - 393654</t>
  </si>
  <si>
    <t>406710 - 406709 - 406708 - 789957 - 406712 - 406707 - 52149 - 406711</t>
  </si>
  <si>
    <t>997557 - 781129 - 997560 - 521491 - 250592 - 219425 - 997562 - 781196 - 997563 - 782848 - 997561</t>
  </si>
  <si>
    <t>838746 - 392256 - 770467 - 783618 - 642465 - 774643 - 642468 - 219784 - 54174 - 521494 - 392257 - 642464 - 642467 - 642463 - 642461 - 642471 - 642469 - 642466</t>
  </si>
  <si>
    <t>Collier-de-corail (Le), Argus brun (L')</t>
  </si>
  <si>
    <t>406713 - 52150 - 406714</t>
  </si>
  <si>
    <t>521501 - 798667 - 222857 - 8659</t>
  </si>
  <si>
    <t>884255 - 884256 - 800179 - 798112 - 798113 - 521507</t>
  </si>
  <si>
    <t>918507 - 521537 - 248038 - 415962</t>
  </si>
  <si>
    <t>416264 - 248487 - 521538 - 780965 - 416265</t>
  </si>
  <si>
    <t>Acidalie proche (L')</t>
  </si>
  <si>
    <t>784114 - 789449 - 981182 - 416492 - 521547 - 249076</t>
  </si>
  <si>
    <t>Ecaille chaste (L'), Ecaille saumon (L')</t>
  </si>
  <si>
    <t>777631 - 445263 - 521549 - 249193</t>
  </si>
  <si>
    <t>Agrotide de la Chicorée (La)</t>
  </si>
  <si>
    <t>521553 - 8688</t>
  </si>
  <si>
    <t>928028 - 163110 - 413298 - 521613</t>
  </si>
  <si>
    <t>Conule brillant</t>
  </si>
  <si>
    <t>401357 - 52332 - 819577 - 821135 - 818478</t>
  </si>
  <si>
    <t>52341 - 818798 - 818911 - 817898 - 1003834 - 817899 - 819012</t>
  </si>
  <si>
    <t>819198 - 817868 - 819463 - 899005 - 817870 - 818788 - 817867 - 817869 - 52350</t>
  </si>
  <si>
    <t>401285 - 52351 - 819548 - 817872</t>
  </si>
  <si>
    <t>52359 - 936069</t>
  </si>
  <si>
    <t>52416 - 817688 - 401293 - 401294 - 401295 - 401292</t>
  </si>
  <si>
    <t>817834 - 52419</t>
  </si>
  <si>
    <t>52420 - 817836 - 819511</t>
  </si>
  <si>
    <t>1006054 - 819179 - 52432 - 819178 - 817743</t>
  </si>
  <si>
    <t>819437 - 819177 - 1004763 - 817738 - 817735 - 819148 - 819149 - 817732 - 819150 - 817733 - 817737 - 818894 - 52433 - 817736 - 817734 - 817731</t>
  </si>
  <si>
    <t>818655 - 817739 - 52434 - 817740 - 817741 - 817742 - 818895 - 1004805</t>
  </si>
  <si>
    <t>817745 - 817746 - 52435 - 817748 - 817751 - 817750 - 817747 - 819153 - 819154 - 819152 - 818661 - 997371 - 817749 - 819151 - 817744</t>
  </si>
  <si>
    <t>821144 - 52439 - 818648 - 817617 - 819373 - 817618</t>
  </si>
  <si>
    <t>401275 - 817621 - 819170 - 817620 - 817619 - 817622 - 819371 - 52440 - 1006073 - 819109</t>
  </si>
  <si>
    <t>52441 - 817789 - 819124 - 817792 - 401276 - 820921 - 817790 - 818897 - 817791 - 821140</t>
  </si>
  <si>
    <t>817796 - 817795 - 817794 - 817793 - 52442 - 1015958 - 818584 - 844662</t>
  </si>
  <si>
    <t>Mouche-à-scie noire bleuâtre</t>
  </si>
  <si>
    <t>52444 - 821118</t>
  </si>
  <si>
    <t>817818 - 817815 - 817817 - 52448 - 821103 - 819106 - 818899 - 818736 - 819190 - 817816 - 817819</t>
  </si>
  <si>
    <t>Mouche-à-scie noire à ailes jaunes</t>
  </si>
  <si>
    <t>819376 - 819158 - 52452 - 401455</t>
  </si>
  <si>
    <t>401456 - 52453 - 817783 - 401458 - 401457 - 401460 - 401459 - 819180 - 1003542 - 819441</t>
  </si>
  <si>
    <t>819181 - 819182 - 817784 - 52454 - 818649</t>
  </si>
  <si>
    <t>819425 - 819183 - 52455</t>
  </si>
  <si>
    <t>1003611 - 52456 - 819438</t>
  </si>
  <si>
    <t>401464 - 52457 - 401462 - 401463 - 821109</t>
  </si>
  <si>
    <t>Tenthrède de la rave</t>
  </si>
  <si>
    <t>52461 - 1003836 - 817966 - 817965</t>
  </si>
  <si>
    <t>818687 - 817967 - 401436 - 821106 - 52462 - 817968 - 817969</t>
  </si>
  <si>
    <t>Mouche-à-scie noire à pattes jaunes</t>
  </si>
  <si>
    <t>52464 - 819018 - 1003835</t>
  </si>
  <si>
    <t>52466 - 817973 - 818676 - 401416 - 817976 - 817974 - 818689 - 818777 - 844917 - 817972 - 817975</t>
  </si>
  <si>
    <t>Mouche-à-scie noire, a antennes pectinées</t>
  </si>
  <si>
    <t>52473 - 231963</t>
  </si>
  <si>
    <t>819451 - 818400 - 52474 - 818401 - 818402</t>
  </si>
  <si>
    <t>818967 - 818390 - 818968 - 52475 - 819400</t>
  </si>
  <si>
    <t>821137 - 52476</t>
  </si>
  <si>
    <t>52478 - 231970</t>
  </si>
  <si>
    <t>821145 - 52480 - 818289</t>
  </si>
  <si>
    <t>52481 - 818959 - 818293 - 818292 - 818857 - 818290 - 818291 - 1016291</t>
  </si>
  <si>
    <t>818470 - 1003638 - 818666 - 52482 - 818468 - 819042 - 818469 - 818467</t>
  </si>
  <si>
    <t>818471 - 52483</t>
  </si>
  <si>
    <t>1003619 - 52489</t>
  </si>
  <si>
    <t>818013 - 818699 - 52491 - 819223 - 818014 - 818012 - 1016726</t>
  </si>
  <si>
    <t>819121 - 817762 - 817763 - 817764 - 817765 - 52498 - 935627 - 819120</t>
  </si>
  <si>
    <t>817767 - 817769 - 1003818 - 819439 - 819102 - 52501 - 817768 - 817770</t>
  </si>
  <si>
    <t>817778 - 52503 - 819440 - 819515 - 817777 - 817779</t>
  </si>
  <si>
    <t>Mouche-à-scie noire à corselet rouge</t>
  </si>
  <si>
    <t>928512 - 818171 - 818172 - 818173 - 52506 - 818174</t>
  </si>
  <si>
    <t>819122 - 818178 - 52507 - 821127 - 818176 - 928509 - 818177 - 928508</t>
  </si>
  <si>
    <t>818366 - 1017723 - 296187 - 818362 - 818363 - 52516 - 818361 - 818364 - 819253 - 819398 - 818365 - 818360</t>
  </si>
  <si>
    <t>52520 - 818982 - 819050 - 819313 - 818506 - 818505 - 1004813 - 819312 - 818504 - 819049 - 818503</t>
  </si>
  <si>
    <t>Mouche-à-scie noire à pattes argentées</t>
  </si>
  <si>
    <t>819314 - 819051 - 818508 - 844977 - 401336 - 1003932 - 52521</t>
  </si>
  <si>
    <t>Mouche-à-scie noire, avec le milieu du ventre fauve</t>
  </si>
  <si>
    <t>819317 - 818517 - 819136 - 818519 - 818583 - 819316 - 818515 - 818518 - 52522 - 818520 - 818521 - 819418 - 818516 - 819478 - 818514</t>
  </si>
  <si>
    <t>52523 - 818524 - 818522 - 819318 - 818523 - 819053 - 821110 - 1003715 - 818525</t>
  </si>
  <si>
    <t>1003654 - 818526 - 818530 - 716421 - 818528 - 819104 - 818529 - 818531 - 818527 - 819321 - 819320 - 52524</t>
  </si>
  <si>
    <t>Mouche-à-scie à trois bandes jaunes</t>
  </si>
  <si>
    <t>818532 - 52526 - 818533 - 819055 - 899054</t>
  </si>
  <si>
    <t>52527 - 819057 - 819322 - 819323 - 821107 - 818818 - 818534 - 1003656 - 819056</t>
  </si>
  <si>
    <t>Mouche-à-scie noire, à points de devant jaunes &amp; milieu du ventre fauve</t>
  </si>
  <si>
    <t>818696 - 52532 - 1003846 - 818008</t>
  </si>
  <si>
    <t>1003845 - 52536</t>
  </si>
  <si>
    <t>817996 - 817995 - 817998 - 52538 - 817997</t>
  </si>
  <si>
    <t>819123 - 818573 - 52539 - 817999 - 818000</t>
  </si>
  <si>
    <t>52544 - 818853 - 818266</t>
  </si>
  <si>
    <t>819327 - 52554 - 1003943</t>
  </si>
  <si>
    <t>818988 - 818543 - 818542 - 52555 - 819058 - 818541 - 819060 - 821147 - 819059</t>
  </si>
  <si>
    <t>401417 - 817979 - 817978 - 817977 - 52568 - 232121 - 818917 - 818690 - 819019</t>
  </si>
  <si>
    <t>1004800 - 52579</t>
  </si>
  <si>
    <t>819530 - 821108 - 819263 - 818412 - 52578 - 401335 - 52580 - 819403 - 819454 - 818870 - 819035 - 818413 - 819087 - 818414 - 819262</t>
  </si>
  <si>
    <t>818488 - 819304 - 819302 - 819305 - 1003698 - 818486 - 401347 - 818487 - 52582 - 1003702 - 401348 - 819303</t>
  </si>
  <si>
    <t>52586 - 818887 - 401358 - 818865 - 818387 - 1003620</t>
  </si>
  <si>
    <t>819537 - 818388 - 818389 - 52587 - 818866 - 401359 - 819516 - 818966</t>
  </si>
  <si>
    <t>52595 - 819290 - 819117 - 819288 - 819289</t>
  </si>
  <si>
    <t>819274 - 52597 - 819273 - 819272 - 818431 - 819270 - 825563 - 818435 - 819271 - 819269 - 818433 - 818432 - 818434 - 818436 - 818430 - 818972 - 819114</t>
  </si>
  <si>
    <t>Mouche-à-scie noire à pattes fauves</t>
  </si>
  <si>
    <t>819036 - 819406 - 52599 - 819275 - 818973 - 1004826 - 818873 - 825564 - 819138</t>
  </si>
  <si>
    <t>818976 - 819413 - 818463 - 818460 - 52601 - 401326 - 818458 - 819040 - 818462 - 819295 - 818459 - 818461</t>
  </si>
  <si>
    <t>819455 - 818439 - 819407 - 819039 - 818443 - 819280 - 818445 - 818440 - 818444 - 825566 - 818442 - 819038 - 819279 - 52602 - 818441</t>
  </si>
  <si>
    <t>Mouche-à-scie à antennes blanches au bout</t>
  </si>
  <si>
    <t>Mouche-à-scie noire, à ventre jaune noir en haut &amp; en bas</t>
  </si>
  <si>
    <t>52606 - 818429 - 818971 - 819405</t>
  </si>
  <si>
    <t>818454 - 819474 - 819285 - 716427 - 819135 - 52610 - 818740</t>
  </si>
  <si>
    <t>401325 - 52611 - 819268</t>
  </si>
  <si>
    <t>819286 - 818455 - 819476 - 825568 - 52612 - 231881 - 818456 - 819467 - 819411 - 819410 - 819456 - 819287</t>
  </si>
  <si>
    <t>819424 - 818561 - 818563 - 818562 - 819342 - 818559 - 818992 - 52613 - 819338 - 818560</t>
  </si>
  <si>
    <t>818568 - 1004807 - 52616 - 818566 - 818569 - 819340 - 401340 - 818567</t>
  </si>
  <si>
    <t>1004816 - 52617 - 1004814</t>
  </si>
  <si>
    <t>818597 - 819460 - 818603 - 819346 - 819563 - 818602 - 818599 - 818600 - 818604 - 52620 - 819562 - 818800 - 818595 - 819426 - 818598 - 818596 - 818801 - 819347 - 819345 - 818601 - 818784 - 818997</t>
  </si>
  <si>
    <t>Mouche-à-scie porte-cœur, Mouche-à-scie à pattes fauves et taches blanches</t>
  </si>
  <si>
    <t>818594 - 401304 - 52624 - 401305</t>
  </si>
  <si>
    <t>52628 - 818613 - 401308 - 401311 - 52627 - 401309 - 818999 - 818612 - 818611 - 819430 - 818614 - 401310 - 401312 - 1003707 - 819358 - 818380</t>
  </si>
  <si>
    <t>52629 - 1004802</t>
  </si>
  <si>
    <t>818615 - 818616 - 818617 - 1004804 - 52630 - 819359</t>
  </si>
  <si>
    <t>819017 - 1004825 - 899061 - 818685 - 52635 - 817963 - 818776</t>
  </si>
  <si>
    <t>52638 - 817948 - 817950 - 401438 - 936153 - 817949 - 818683</t>
  </si>
  <si>
    <t>817964 - 818686 - 1003827 - 819220 - 52644 - 818672</t>
  </si>
  <si>
    <t>817630 - 817632 - 818675 - 817629 - 817628 - 818806 - 817633 - 817631 - 52657 - 818754</t>
  </si>
  <si>
    <t>897307 - 406070 - 406073 - 406076 - 406071 - 406075 - 1013391 - 52665 - 911268 - 236457 - 406074 - 406072</t>
  </si>
  <si>
    <t>406099 - 52680 - 406098 - 52667</t>
  </si>
  <si>
    <t>405976 - 405975 - 52688 - 405979 - 405981 - 911571 - 405980 - 405977 - 405978 - 405974</t>
  </si>
  <si>
    <t>780069 - 200572 - 527194 - 11022</t>
  </si>
  <si>
    <t>Cétoine cuivrée (La)</t>
  </si>
  <si>
    <t>12225 - 223179 - 527207 - 802352 - 12227</t>
  </si>
  <si>
    <t>52726 - 849811</t>
  </si>
  <si>
    <t>Rhysse persuasive</t>
  </si>
  <si>
    <t>52751 - 52739 - 52740</t>
  </si>
  <si>
    <t>1008496 - 850064 - 52743</t>
  </si>
  <si>
    <t>Guêpe coucou, Guêpe dorée</t>
  </si>
  <si>
    <t>850065 - 820933 - 52753</t>
  </si>
  <si>
    <t>997119 - 997122 - 997120 - 997113 - 997123 - 52777 - 968151</t>
  </si>
  <si>
    <t>52782 - 991801 - 991804 - 991769 - 770800 - 991805 - 991800 - 991802 - 991803 - 747799 - 991806 - 52779</t>
  </si>
  <si>
    <t>Fourmi éthiopienne</t>
  </si>
  <si>
    <t>991859 - 974340 - 991861 - 52781 - 770826 - 991857 - 770824 - 747802 - 991862 - 52783 - 991858 - 991856 - 974341 - 991860 - 770825</t>
  </si>
  <si>
    <t>Fourmi latérale</t>
  </si>
  <si>
    <t>774526 - 975905 - 52784 - 991968 - 774525</t>
  </si>
  <si>
    <t>Fourmi sylvatique</t>
  </si>
  <si>
    <t>774546 - 991971 - 777071 - 774548 - 975908 - 774547 - 975906 - 52785</t>
  </si>
  <si>
    <t>991689 - 991690 - 840051 - 52788 - 991687</t>
  </si>
  <si>
    <t>Fourmi mineuse</t>
  </si>
  <si>
    <t>991693 - 991695 - 991700 - 991694 - 840050 - 991696 - 991698 - 991697 - 52789</t>
  </si>
  <si>
    <t>Fourmi toute brune</t>
  </si>
  <si>
    <t>985314 - 991720 - 985309 - 985313 - 985306 - 991722 - 264398 - 985318 - 985316 - 985310 - 985312 - 250620 - 985311 - 52790 - 985303 - 985317 - 985308 - 250618 - 985305 - 991721</t>
  </si>
  <si>
    <t>Fourmi des prés</t>
  </si>
  <si>
    <t>985291 - 985292 - 52791 - 985289 - 985285 - 985290 - 985296 - 985279 - 985294 - 985293</t>
  </si>
  <si>
    <t>Fourmi rousse des bois</t>
  </si>
  <si>
    <t>52792 - 991735 - 991729 - 991733 - 991736 - 991739 - 991738</t>
  </si>
  <si>
    <t>991746 - 991752 - 991753 - 991756 - 52793 - 991754 - 991750 - 991744 - 991747 - 991755 - 991748 - 991757 - 991749 - 991751</t>
  </si>
  <si>
    <t>997831 - 997835 - 52808 - 997837 - 997838 - 997834 - 997836 - 997833 - 997832</t>
  </si>
  <si>
    <t>997822 - 264116 - 997826 - 997825 - 52809 - 250582 - 997824</t>
  </si>
  <si>
    <t>52814 - 991352</t>
  </si>
  <si>
    <t>991345 - 52815 - 991342 - 991343 - 991344</t>
  </si>
  <si>
    <t>52816 - 991369 - 991373 - 991372 - 991371</t>
  </si>
  <si>
    <t>Fourmi échancrée</t>
  </si>
  <si>
    <t>850293 - 991380 - 52817</t>
  </si>
  <si>
    <t>Fourmi noire des jardins</t>
  </si>
  <si>
    <t>991394 - 991388 - 991391 - 991395 - 991390 - 52818 - 991393 - 991389 - 991392</t>
  </si>
  <si>
    <t>52822 - 991280 - 991278 - 783021 - 991277</t>
  </si>
  <si>
    <t>250608 - 990573 - 990563 - 774460 - 990572 - 774462 - 990574 - 990571 - 990570 - 990575 - 52831</t>
  </si>
  <si>
    <t>770480 - 52832</t>
  </si>
  <si>
    <t>997613 - 997612 - 997611 - 52834 - 997610 - 997614 - 997607 - 997609 - 997608 - 997606 - 783163</t>
  </si>
  <si>
    <t>Fourmi des gazons</t>
  </si>
  <si>
    <t>997773 - 219346 - 52835 - 783172</t>
  </si>
  <si>
    <t>406357 - 406359 - 406354 - 406356 - 406355 - 52838 - 406358</t>
  </si>
  <si>
    <t>406353 - 52839</t>
  </si>
  <si>
    <t>406400 - 406402 - 406403 - 406401 - 406404 - 52848 - 406399</t>
  </si>
  <si>
    <t>52850 - 406197 - 406196</t>
  </si>
  <si>
    <t>406287 - 406289 - 406291 - 406296 - 52852 - 406294 - 406288 - 406290 - 406293 - 406292 - 406295 - 850060</t>
  </si>
  <si>
    <t>899973 - 899974 - 64652 - 528528 - 393390 - 777852 - 393391</t>
  </si>
  <si>
    <t>Cyclade de vase</t>
  </si>
  <si>
    <t>528530 - 393413 - 64663 - 64662 - 393415 - 393414</t>
  </si>
  <si>
    <t>Pisidie des rivières</t>
  </si>
  <si>
    <t>528547 - 933570 - 64657</t>
  </si>
  <si>
    <t>Pisidie arctique</t>
  </si>
  <si>
    <t>406208 - 406207 - 406211 - 406210 - 840176 - 406212 - 406213 - 406209 - 406206 - 52855 - 52856</t>
  </si>
  <si>
    <t>406497 - 406496 - 406501 - 406498 - 406500 - 406499 - 52860</t>
  </si>
  <si>
    <t>893776 - 401706 - 401707 - 893777 - 893779 - 52879 - 850131 - 893778 - 52877 - 401708</t>
  </si>
  <si>
    <t>Guêpe à anneaux bordés de jaune, &amp; deux taches jaunes</t>
  </si>
  <si>
    <t>52881 - 52880</t>
  </si>
  <si>
    <t>401710 - 52883 - 820949 - 401709 - 401711</t>
  </si>
  <si>
    <t>302814 - 302813 - 528834</t>
  </si>
  <si>
    <t>Frelon d'Europe, Frelon, Guichard</t>
  </si>
  <si>
    <t>401700 - 401701 - 52888</t>
  </si>
  <si>
    <t>Guêpe adultérine</t>
  </si>
  <si>
    <t>401702 - 52889</t>
  </si>
  <si>
    <t>Guêpe des buissons</t>
  </si>
  <si>
    <t>52891 - 401705</t>
  </si>
  <si>
    <t>Guêpe saxonne</t>
  </si>
  <si>
    <t>52893 - 52901</t>
  </si>
  <si>
    <t>Guêpe des bois</t>
  </si>
  <si>
    <t>Guêpe autrichienne</t>
  </si>
  <si>
    <t>716431 - 52898 - 52899</t>
  </si>
  <si>
    <t>Guêpe germanique</t>
  </si>
  <si>
    <t>401696 - 52900 - 52895 - 850066 - 401697</t>
  </si>
  <si>
    <t>Guêpe rousse</t>
  </si>
  <si>
    <t>52903 - 401698 - 52902 - 401699</t>
  </si>
  <si>
    <t>Guêpe commune</t>
  </si>
  <si>
    <t>52907 - 924435 - 52909 - 52908</t>
  </si>
  <si>
    <t>52912 - 52911</t>
  </si>
  <si>
    <t>52913 - 52915 - 52914</t>
  </si>
  <si>
    <t>52918 - 52917 - 820945</t>
  </si>
  <si>
    <t>52921 - 52922</t>
  </si>
  <si>
    <t>52924 - 52923</t>
  </si>
  <si>
    <t>52925 - 52926</t>
  </si>
  <si>
    <t>52928 - 52927 - 997219</t>
  </si>
  <si>
    <t>52348 - 52931</t>
  </si>
  <si>
    <t>52321 - 52937</t>
  </si>
  <si>
    <t>52938 - 52939</t>
  </si>
  <si>
    <t>52941 - 52940</t>
  </si>
  <si>
    <t>52942 - 52943 - 898994</t>
  </si>
  <si>
    <t>52944 - 52945</t>
  </si>
  <si>
    <t>52954 - 52953</t>
  </si>
  <si>
    <t>52322 - 52957 - 52956</t>
  </si>
  <si>
    <t>52960 - 52959 - 52958</t>
  </si>
  <si>
    <t>52961 - 52962</t>
  </si>
  <si>
    <t>52972 - 849868</t>
  </si>
  <si>
    <t>936693 - 52977 - 716411 - 790176 - 1001074</t>
  </si>
  <si>
    <t>52989 - 389666 - 997386</t>
  </si>
  <si>
    <t>Pemphrédon lugubre</t>
  </si>
  <si>
    <t>938864 - 52995 - 838541</t>
  </si>
  <si>
    <t>53013 - 790178</t>
  </si>
  <si>
    <t>53015 - 790179 - 936697</t>
  </si>
  <si>
    <t>790173 - 936694 - 53016</t>
  </si>
  <si>
    <t>850125 - 53020</t>
  </si>
  <si>
    <t>936194 - 53030</t>
  </si>
  <si>
    <t>898996 - 53032</t>
  </si>
  <si>
    <t>530331 - 802462</t>
  </si>
  <si>
    <t>Longicorne asiatique</t>
  </si>
  <si>
    <t>938886 - 53041</t>
  </si>
  <si>
    <t>849872 - 53052</t>
  </si>
  <si>
    <t>53062 - 823151</t>
  </si>
  <si>
    <t>53067 - 849875</t>
  </si>
  <si>
    <t>850266 - 53077</t>
  </si>
  <si>
    <t>53079 - 997034 - 716386</t>
  </si>
  <si>
    <t>850276 - 53081</t>
  </si>
  <si>
    <t>Abeille cotonnière, Anthidie cotonnière</t>
  </si>
  <si>
    <t>53095 - 1000837 - 998860</t>
  </si>
  <si>
    <t>Bourdon des jardins</t>
  </si>
  <si>
    <t>850291 - 53096</t>
  </si>
  <si>
    <t>Bourdon des arbres</t>
  </si>
  <si>
    <t>1000635 - 850289 - 53097 - 53072</t>
  </si>
  <si>
    <t>Bourdon des pierres</t>
  </si>
  <si>
    <t>53098 - 998971 - 1000816</t>
  </si>
  <si>
    <t>Bourdon des forêts, Bourdon des saussaies, Petit bourdon terrestre</t>
  </si>
  <si>
    <t>407154 - 52371 - 998990 - 53099 - 53092</t>
  </si>
  <si>
    <t>Bourdon des champs</t>
  </si>
  <si>
    <t>1000666 - 53073 - 53100 - 999179</t>
  </si>
  <si>
    <t>Bourdon des prés</t>
  </si>
  <si>
    <t>999198 - 996827 - 53101 - 1000826 - 407155</t>
  </si>
  <si>
    <t>Bourdon rudéral</t>
  </si>
  <si>
    <t>1000827 - 416990 - 53103 - 1000829 - 851157 - 1000828</t>
  </si>
  <si>
    <t>Bourdon grisé</t>
  </si>
  <si>
    <t>53104 - 850284</t>
  </si>
  <si>
    <t>Bourdon terrestre (Le)</t>
  </si>
  <si>
    <t>850278 - 850196 - 53108</t>
  </si>
  <si>
    <t>1000056 - 53110</t>
  </si>
  <si>
    <t>929802 - 531122 - 413534 - 413538 - 64183</t>
  </si>
  <si>
    <t>Loche méridionale</t>
  </si>
  <si>
    <t>393397 - 528533 - 64656 - 64673 - 393398 - 531162 - 393396 - 393394 - 393395 - 779943</t>
  </si>
  <si>
    <t>Pisidie robuste</t>
  </si>
  <si>
    <t>531183 - 163444 - 528539</t>
  </si>
  <si>
    <t>Pisidie globe</t>
  </si>
  <si>
    <t>528536 - 780218 - 393403 - 64658 - 531202</t>
  </si>
  <si>
    <t>Pisidie des gardons</t>
  </si>
  <si>
    <t>528540 - 531203 - 64659 - 393407</t>
  </si>
  <si>
    <t>Pisidie septentrionale</t>
  </si>
  <si>
    <t>929871 - 528535 - 929870 - 64660 - 531204</t>
  </si>
  <si>
    <t>Pisidie des lacs</t>
  </si>
  <si>
    <t>393411 - 393410 - 528543 - 64661 - 531205</t>
  </si>
  <si>
    <t>Pisidie des rives</t>
  </si>
  <si>
    <t>64672 - 528544 - 64664 - 531206 - 393408</t>
  </si>
  <si>
    <t>Pisidie ubique</t>
  </si>
  <si>
    <t>528534 - 64665 - 531207 - 779944 - 393401 - 393402</t>
  </si>
  <si>
    <t>Pisidie de Lamarck</t>
  </si>
  <si>
    <t>64666 - 531208 - 528538 - 393399 - 393400</t>
  </si>
  <si>
    <t>Pisidie des sources</t>
  </si>
  <si>
    <t>64668 - 531210 - 528542</t>
  </si>
  <si>
    <t>Pisidie jolie</t>
  </si>
  <si>
    <t>531211 - 528541 - 250727 - 393412 - 64669 - 531222</t>
  </si>
  <si>
    <t>Pisidie chiendent</t>
  </si>
  <si>
    <t>393406 - 64670 - 531212 - 393404 - 528537 - 393405</t>
  </si>
  <si>
    <t>Pisidie des plaines</t>
  </si>
  <si>
    <t>64671 - 531242</t>
  </si>
  <si>
    <t>Petite pisidie</t>
  </si>
  <si>
    <t>53130 - 1000137</t>
  </si>
  <si>
    <t>1000153 - 1000156 - 1000154 - 53144 - 990293</t>
  </si>
  <si>
    <t>1000318 - 1000158 - 53145</t>
  </si>
  <si>
    <t>898949 - 1000157 - 53146</t>
  </si>
  <si>
    <t>850265 - 53157</t>
  </si>
  <si>
    <t>Mégachile du rosier, Abeille découpeuse</t>
  </si>
  <si>
    <t>815403 - 53158</t>
  </si>
  <si>
    <t>53159 - 996892</t>
  </si>
  <si>
    <t>53164 - 996900</t>
  </si>
  <si>
    <t>53169 - 996905</t>
  </si>
  <si>
    <t>53171 - 814899 - 239721</t>
  </si>
  <si>
    <t>53172 - 1000681 - 815954</t>
  </si>
  <si>
    <t>53173 - 1000667 - 899057 - 1000696</t>
  </si>
  <si>
    <t>850273 - 53175</t>
  </si>
  <si>
    <t>1000552 - 53176</t>
  </si>
  <si>
    <t>53196 - 996914</t>
  </si>
  <si>
    <t>53198 - 850283</t>
  </si>
  <si>
    <t>Abeille charpentière, Xylocope violette</t>
  </si>
  <si>
    <t>641468 - 821997 - 774003 - 773994 - 641469 - 820975 - 774563 - 814348 - 816842 - 53223 - 775017 - 774553 - 775016 - 816664 - 785247 - 53221 - 816843 - 641467</t>
  </si>
  <si>
    <t>Hespérie de l’Ormière (L'), Hespérie de la Mauve (L'), Hespérie du Chardon (L'), Tacheté (Le), Plain-Chant (Le), Hespérie Plain-Chant (L')</t>
  </si>
  <si>
    <t>392199 - 392200 - 641433 - 53229 - 392195 - 53232 - 641435 - 641434 - 392196 - 821996</t>
  </si>
  <si>
    <t>Hespérie du Faux-Buis, Plain-Chant (Le), Dé-à-jouer (Le), Hespérie frillitaire (L')</t>
  </si>
  <si>
    <t>719961 - 53233 - 816643 - 720000 - 816640 - 392197 - 816644 - 53231 - 777282 - 53234 - 719999</t>
  </si>
  <si>
    <t>53236 - 641442 - 641443</t>
  </si>
  <si>
    <t>Hespérie des Potentilles (L'), Armoricain (L')</t>
  </si>
  <si>
    <t>53242 - 641508 - 816855 - 641509 - 816858 - 773866 - 53245 - 816856 - 53244 - 774001 - 816857 - 816859 - 641505</t>
  </si>
  <si>
    <t>Hespérie de l'Alchémille (L'), Hespérie de l'Armoise (L'), Olivâtre (L')</t>
  </si>
  <si>
    <t>773999 - 816841 - 976861 - 641461 - 904681 - 773868 - 641465 - 641463 - 641464 - 641462 - 53248 - 773873 - 773991</t>
  </si>
  <si>
    <t>Hespérie des Cirses (L'), Hespérie de Rambur (L')</t>
  </si>
  <si>
    <t>Pyrgus cirsii</t>
  </si>
  <si>
    <t>392202 - 392203 - 53273 - 641417 - 641420 - 641419 - 641421 - 774004 - 53269</t>
  </si>
  <si>
    <t>Hespérie des Sanguisorbes (L'), Sao (La), Roussâtre (Le), Tacheté (Le)</t>
  </si>
  <si>
    <t>816862 - 775019 - 816861 - 903784 - 774637 - 641397 - 903785 - 53291 - 777326 - 807133 - 773995</t>
  </si>
  <si>
    <t>Hespérie de l'Alcée (L'), Hespérie de la Passe-Rose (L'), Grisette (La), Hespérie de la Guimauve (L'), Hespérie de la Mauve (L')</t>
  </si>
  <si>
    <t>816638 - 825314 - 816639 - 641427 - 820976 - 641426 - 641429 - 641430 - 641428 - 641431 - 53307 - 816659</t>
  </si>
  <si>
    <t>Point de Hongrie (Le), Grisette (La)</t>
  </si>
  <si>
    <t>774007 - 641395 - 777810 - 805018 - 641396 - 805083 - 53312 - 392192 - 952211</t>
  </si>
  <si>
    <t>Miroir (Le), Stérope (Le)</t>
  </si>
  <si>
    <t>641393 - 641391 - 820977 - 53315 - 774008 - 779849 - 826823</t>
  </si>
  <si>
    <t>Hespérie du Brome (L'), Échiquier (L'), Palémon (Le), Petit Pan (Le)</t>
  </si>
  <si>
    <t>53322 - 53320 - 641357 - 610410 - 641383 - 392191 - 641355 - 774005 - 641356</t>
  </si>
  <si>
    <t>Hespérie du Chiendent (L'), Hespérie Actéon (L'), Actéon (L')</t>
  </si>
  <si>
    <t>641341 - 53332 - 53334 - 773864 - 641309</t>
  </si>
  <si>
    <t>Virgule (La), Comma (Le)</t>
  </si>
  <si>
    <t>392367 - 647360 - 777619 - 716841 - 647359 - 53364 - 647361</t>
  </si>
  <si>
    <t>Grand Nègre des bois (Le), Dryade (La)</t>
  </si>
  <si>
    <t>647327 - 976460 - 647324 - 647321 - 392358 - 809648 - 53367 - 773854 - 647325</t>
  </si>
  <si>
    <t>Silène (Le), Circé (Le)</t>
  </si>
  <si>
    <t>647312 - 53370 - 777287</t>
  </si>
  <si>
    <t>Mercure (Le), Petit Agreste (Le)</t>
  </si>
  <si>
    <t>777346 - 521461 - 713862 - 53376 - 952203 - 647345 - 392365</t>
  </si>
  <si>
    <t>Sylvandre (Le), Portier de la forêt (Le), Silène (Le), Grand Sylvandre (Le)</t>
  </si>
  <si>
    <t>647337 - 610403 - 777360 - 647340 - 53381 - 809761 - 647343 - 392366 - 721383 - 777428 - 647341 - 647344 - 826801 - 53379</t>
  </si>
  <si>
    <t>Petit Sylvandre (Le)</t>
  </si>
  <si>
    <t>392363 - 774991 - 647353 - 833245 - 392362 - 647356 - 53393 - 53391 - 647355</t>
  </si>
  <si>
    <t>Agreste (L')</t>
  </si>
  <si>
    <t>647332 - 647331 - 777345 - 647329 - 833406 - 647333 - 833407 - 647336 - 647330 - 777431 - 53425 - 647335</t>
  </si>
  <si>
    <t>Hermite (L'), Ermite (L')</t>
  </si>
  <si>
    <t>Chazara briseis</t>
  </si>
  <si>
    <t>833387 - 820974 - 53449 - 833401 - 647107 - 833383 - 392305</t>
  </si>
  <si>
    <t>Moiré blanc-fascié (Le), Grand nègre hongrois (Le), Nègre (Le), Nègre hongrois (Le)</t>
  </si>
  <si>
    <t>53451 - 647080</t>
  </si>
  <si>
    <t>Moiré frange-pie (Le), Moiré frangé (Le)</t>
  </si>
  <si>
    <t>53459 - 826797 - 647108 - 826796</t>
  </si>
  <si>
    <t>Moiré variable (Le), Petit Nègre hongrois (Le), Grand Nègre bernois (Le), Moiré rayé (Le), Pollux (Le), Satyre Machabée (Le)</t>
  </si>
  <si>
    <t>53483 - 647004 - 713736 - 826800 - 826799 - 838714</t>
  </si>
  <si>
    <t>Moiré sylvicole (Le), Nègre à bandes fauves (Le), Grand Nègre à bandes fauves (Le), Grand Nègre (Le),  Éthiopien (L')</t>
  </si>
  <si>
    <t>392320 - 53489 - 713817 - 647116 - 713819 - 392319 - 53490 - 647121 - 53487</t>
  </si>
  <si>
    <t>Moiré franconien (Le), Franconien (Le), Nègre à bandes fauves (Le), Moyen Nègre à bandes fauves (Le), Moiré brun (Le), Méduse (Le)</t>
  </si>
  <si>
    <t>647151 - 392337 - 53541 - 647149 - 392336 - 647153 - 416802 - 777911 - 647150 - 53538 - 647147 - 53540 - 777837</t>
  </si>
  <si>
    <t>Moiré fontinal (Le), Pronoë (Le), Moiré foncé (Le), Arachné (L')</t>
  </si>
  <si>
    <t>223438 - 535387 - 535388 - 798572</t>
  </si>
  <si>
    <t>53567 - 53566 - 53568 - 416801 - 53564 - 647138 - 392347 - 392346</t>
  </si>
  <si>
    <t>Moiré des Luzules (Le), Moiré (Le), Moiré châtain (Le)</t>
  </si>
  <si>
    <t>953478 - 268541 - 953479 - 535752</t>
  </si>
  <si>
    <t>Decticelle bicolore</t>
  </si>
  <si>
    <t>535758 - 953275</t>
  </si>
  <si>
    <t>Grillon des marais</t>
  </si>
  <si>
    <t>953258 - 535760 - 953259 - 953257</t>
  </si>
  <si>
    <t>Grillon d’Italie</t>
  </si>
  <si>
    <t>Criquet des chaumes</t>
  </si>
  <si>
    <t>Criquet verdelet</t>
  </si>
  <si>
    <t>65914 - 535767</t>
  </si>
  <si>
    <t>535771 - 66182 - 66184</t>
  </si>
  <si>
    <t>Criquet de Palavas</t>
  </si>
  <si>
    <t>535823 - 65654 - 65653 - 820816 - 65649</t>
  </si>
  <si>
    <t>Ephippigère des vignes</t>
  </si>
  <si>
    <t>Criquet des Roseaux</t>
  </si>
  <si>
    <t>821853 - 53595 - 647254 - 775011 - 774654</t>
  </si>
  <si>
    <t>Tircis (Le), Argus des Bois (L'), Égérie (L')</t>
  </si>
  <si>
    <t>713992 - 713994 - 53598 - 53597 - 392281 - 833242 - 825312 - 392282 - 647310 - 833232 - 833234</t>
  </si>
  <si>
    <t>775010 - 777341 - 716839 - 783605 - 647221 - 53606 - 952204 - 53607 - 821854 - 785793 - 53604 - 785794</t>
  </si>
  <si>
    <t>Mégère (La), Satyre (Le)</t>
  </si>
  <si>
    <t>1018649 - 536050 - 953476 - 65721</t>
  </si>
  <si>
    <t>65650 - 837849 - 159428 - 65652 - 536062 - 65651</t>
  </si>
  <si>
    <t>778302 - 647216 - 775009 - 647218 - 721193 - 833282 - 647217 - 988294 - 647219 - 53609 - 833266 - 392280 - 833264</t>
  </si>
  <si>
    <t>Némusien (Le), Ariane (L'), Némutien (Le), Satyre (Le)</t>
  </si>
  <si>
    <t>838760 - 392279 - 838771 - 53613 - 647224 - 833317 - 833297 - 53611 - 833299</t>
  </si>
  <si>
    <t>Gorgone (La)</t>
  </si>
  <si>
    <t>778303 - 53615 - 647215 - 647209 - 647214 - 770432 - 392277 - 952337 - 647213 - 826813</t>
  </si>
  <si>
    <t>Bacchante (La), Déjanire (La)</t>
  </si>
  <si>
    <t>Lopinga achine</t>
  </si>
  <si>
    <t>53623 - 976473 - 646995 - 53625 - 775014 - 392298 - 646999 - 646986 - 53627</t>
  </si>
  <si>
    <t>Fadet commun (Le), Procris (Le), Petit Papillon des foins (Le), Pamphile (Le)</t>
  </si>
  <si>
    <t>392287 - 826816 - 721264 - 713731 - 721263 - 53634 - 53631 - 647002 - 976474 - 392286 - 392284 - 392283 - 392285 - 392288 - 53633</t>
  </si>
  <si>
    <t>Fadet des tourbières (Le), Daphnis (Le)</t>
  </si>
  <si>
    <t>Confidentielle sur les petits sites (&lt; 1 ha) : petits sites tourbeux</t>
  </si>
  <si>
    <t>Coenonympha tullia</t>
  </si>
  <si>
    <t>826815 - 53651 - 646979</t>
  </si>
  <si>
    <t>Mélibée (Le), Moelibée (Le), Fadet de l'Élyme (Le)</t>
  </si>
  <si>
    <t>Coenonympha hero</t>
  </si>
  <si>
    <t>785806 - 646874 - 646875 - 770380 - 777435 - 392290 - 53661 - 785805 - 775013 - 952436 - 646876</t>
  </si>
  <si>
    <t>Céphale (Le), Arcanie (L')</t>
  </si>
  <si>
    <t>53663 - 809649 - 646928 - 699597 - 392291</t>
  </si>
  <si>
    <t>Fadet de la Mélique (Le), Iphis (L'), Semi-Procris (Le)</t>
  </si>
  <si>
    <t>770912 - 53668 - 988401 - 770913 - 777330 - 647171</t>
  </si>
  <si>
    <t>Myrtil (Le), Myrtile (Le), Jurtine (La), Janire (La)</t>
  </si>
  <si>
    <t>392301 - 775007 - 647173 - 53671 - 53670 - 647177 - 774655 - 785845 - 647174 - 392300</t>
  </si>
  <si>
    <t>647186 - 820973 - 777426 - 647191 - 785799 - 721265 - 834125 - 952214 - 647190 - 647189 - 53702 - 53700 - 770911 - 984676 - 777538 - 785801 - 647187 - 785800 - 785798 - 834124 - 984675</t>
  </si>
  <si>
    <t>Demi-Deuil (Le), Échiquier (L'), Échiquier commun (L'), Arge galathée (L')</t>
  </si>
  <si>
    <t>778488 - 777269 - 53724 - 810421 - 775289 - 777249 - 646861</t>
  </si>
  <si>
    <t>Carte géographique (La), Jaspé (Le)</t>
  </si>
  <si>
    <t>713988 - 53727 - 785792 - 785791 - 770473 - 777333 - 884246 - 646863</t>
  </si>
  <si>
    <t>Grande Tortue (La), Vanesse de l'Orme (La), Grand-Renard (Le), Doré (Le)</t>
  </si>
  <si>
    <t>646862 - 716842 - 770802 - 53733</t>
  </si>
  <si>
    <t>Morio (Le), Manteau royal (Le), Velours (Le), Manteau-de-deuil (Le)</t>
  </si>
  <si>
    <t>646869 - 770472 - 53741</t>
  </si>
  <si>
    <t>Vulcain (Le), Amiral (L'), Vanesse Vulcain (La), Chiffre (Le), Atalante (L')</t>
  </si>
  <si>
    <t>646871 - 53749 - 53747 - 770471 - 919353 - 716843</t>
  </si>
  <si>
    <t>Vanesse des Chardons (La), Belle-Dame (La), Vanesse de L'Artichaut (La), Vanesse du Chardon (La), Nymphe des Chardons (La)</t>
  </si>
  <si>
    <t>774738 - 646859 - 53756 - 53754</t>
  </si>
  <si>
    <t>Petite Tortue (La), Vanesse de l'Ortie (La), Petit-Renard (Le)</t>
  </si>
  <si>
    <t>646865 - 53759 - 774960</t>
  </si>
  <si>
    <t>Gamma (Le), Robert-le-diable (Le), C-blanc (Le), Dentelle (La), Vanesse Gamma (La), Papillon-C (Le)</t>
  </si>
  <si>
    <t>777273 - 646294 - 976053 - 53765</t>
  </si>
  <si>
    <t>Grand Sylvain (Le), Nymphale du Peuplier (La)</t>
  </si>
  <si>
    <t>646289 - 774974 - 713871 - 809647 - 646288 - 646271 - 53769 - 53767 - 713872 - 646290 - 392396 - 646287 - 720303</t>
  </si>
  <si>
    <t>Sylvain azuré (Le), Camille (Le)</t>
  </si>
  <si>
    <t>53772 - 646291 - 833423 - 777275 - 392395 - 952213 - 53773 - 646293 - 921233 - 774973 - 53764 - 53770 - 833439 - 646292</t>
  </si>
  <si>
    <t>Petit Sylvain (Le), Petit Sylvain azuré (Le), Deuil (Le), Sibille (Le)</t>
  </si>
  <si>
    <t>646207 - 392397 - 820972 - 805017 - 53783 - 646206 - 774560 - 646200 - 774561</t>
  </si>
  <si>
    <t>Petit Mars changeant (Le), Petit Mars (Le), Miroitant (Le)</t>
  </si>
  <si>
    <t>53786 - 646209 - 777277 - 826788 - 826787</t>
  </si>
  <si>
    <t>Grand mars changeant (Le), Grand Mars (Le), Chatoyant (Le)</t>
  </si>
  <si>
    <t>53794 - 984680 - 392372 - 646320 - 646316 - 833767 - 646313 - 646317 - 53796 - 984681 - 392371 - 713981 - 646319 - 646315 - 777257</t>
  </si>
  <si>
    <t>Mélitée orangée (La), Damier orangé (Le), Diane (La)</t>
  </si>
  <si>
    <t>713985 - 646321 - 392370 - 53813 - 646322 - 646324 - 713986 - 646323 - 777261 - 53811 - 984678</t>
  </si>
  <si>
    <t>Mélitée des Centaurées (La), Grand Damier (Le)</t>
  </si>
  <si>
    <t>646339 - 646847 - 627797 - 777259 - 53820 - 53817</t>
  </si>
  <si>
    <t>Mélitée du Plantain (La), Déesse à ceinturons (La), Damier du Plantain (Le), Damier pointillé (Le), Damier (Le), Mélitée de la Piloselle (La)</t>
  </si>
  <si>
    <t>646853 - 53824 - 53821 - 53825 - 774717 - 646855 - 392374 - 984766 - 392373 - 777265 - 392375</t>
  </si>
  <si>
    <t>Mélitée noirâtre (La), Damier noir (Le), Argynne dictynne (L')</t>
  </si>
  <si>
    <t>646312 - 770436 - 53856 - 713861 - 53858</t>
  </si>
  <si>
    <t>Damier du Frêne (Le), Mélitée du Frêne (La), Petit Damier à taches fauves (Le), Maturne (La)</t>
  </si>
  <si>
    <t>Euphydryas maturna</t>
  </si>
  <si>
    <t>53865 - 53843 - 646296 - 777267 - 774718 - 774938 - 777247 - 53867</t>
  </si>
  <si>
    <t>Damier de la Succise (Le), Artémis (L'), Damier printanier (Le), Mélitée des marais (La), Mélitée de la Scabieuse (La), Damier des marais (Le)</t>
  </si>
  <si>
    <t>Euphydryas aurinia</t>
  </si>
  <si>
    <t>53868 - 837077 - 837082 - 837177 - 646302 - 837083 - 837072</t>
  </si>
  <si>
    <t>Damier de la Succise</t>
  </si>
  <si>
    <t>778463 - 53881 - 392410 - 53882 - 778925 - 770431 - 392411 - 53880 - 646229 - 777252 - 53878</t>
  </si>
  <si>
    <t>Tabac d'Espagne (Le), Nacré vert (Le), Barre argentée (La), Empereur (L')</t>
  </si>
  <si>
    <t>53897 - 646233 - 778886 - 53898 - 838395 - 778885 - 53895 - 219822 - 774934 - 713697 - 838674 - 392417 - 778877</t>
  </si>
  <si>
    <t>Chiffre (Le)</t>
  </si>
  <si>
    <t>713695 - 778916 - 809756 - 392416 - 392415 - 219821 - 392414 - 778906 - 53906 - 778903 - 809755 - 646232 - 778915 - 778918 - 833453 - 53902 - 791577 - 53904 - 778917 - 833449 - 53905</t>
  </si>
  <si>
    <t>Moyen Nacré (Le), Grand Nacré (Le)</t>
  </si>
  <si>
    <t>646239 - 777317 - 774933 - 778875 - 53908</t>
  </si>
  <si>
    <t>Petit Nacré (Le), Latonia (Le), Lathone (Le)</t>
  </si>
  <si>
    <t>646238 - 774716 - 53915 - 838676 - 833467</t>
  </si>
  <si>
    <t>Nacré de la Sanguisorbe (Le), Nacré des marais (Le), Nacré de la Reine-des-prés (Le), Ino (L'), Nacré mauve (Le), Grande Violette (La)</t>
  </si>
  <si>
    <t>646240 - 838537 - 392406 - 646241 - 53926 - 976212</t>
  </si>
  <si>
    <t>Nacré de la Canneberge (Le), Nacré des tourbières (Le), Vanesse aquilon (La)</t>
  </si>
  <si>
    <t>Boloria aquilonaris</t>
  </si>
  <si>
    <t>646204 - 836746 - 807049 - 646205 - 646203 - 716915 - 53969</t>
  </si>
  <si>
    <t>Lucine (La), Fauve à taches blanches (Le), Faune à taches blanches (Le)</t>
  </si>
  <si>
    <t>952210 - 642391 - 642394 - 392209 - 826762 - 774749 - 642393 - 642389 - 642392 - 53973 - 392208 - 642396 - 774640 - 642390</t>
  </si>
  <si>
    <t>Cuivré commun (Le), Argus bronzé (L'), Bronzé (Le)</t>
  </si>
  <si>
    <t>642381 - 642380 - 392210 - 53978 - 53976 - 642378 - 642379</t>
  </si>
  <si>
    <t>Cuivré de la Bistorte (Le), Cuivre violacé (Le), Lycène hellé (Le), Argus Violet (Le), Argus myope violet (Le)</t>
  </si>
  <si>
    <t>Lycaena helle</t>
  </si>
  <si>
    <t>979135 - 810420 - 642356 - 884218 - 642361 - 642357 - 713873 - 392212 - 838769 - 884219 - 642363 - 642351 - 774711 - 779802 - 642359 - 980820 - 778243 - 980914 - 833775 - 53981 - 392211 - 980811 - 642358 - 53979 - 642353 - 642355 - 988400 - 627798</t>
  </si>
  <si>
    <t>Cuivré des marais (Le), Grand Cuivré (Le), Grand Argus satiné (Le), Argus satiné à taches noires (Le), Lycène disparate (Le), Cuivré de la Parelle-d'eau (Le)</t>
  </si>
  <si>
    <t>Lycaena dispar</t>
  </si>
  <si>
    <t>952206 - 774663 - 54021 - 820965 - 774927 - 884211 - 985520 - 645900</t>
  </si>
  <si>
    <t>Azuré porte-queue (L'), Argus porte-queue (L'), Porte-Queue bleu strié (Le), Lycène du Baguenaudier (Le), Strié (Le)</t>
  </si>
  <si>
    <t>642513 - 642517 - 642516 - 642515 - 642519 - 774647 - 392272 - 838739 - 774932 - 54029 - 54035</t>
  </si>
  <si>
    <t>Argus frêle (L'), Argus minime (L'), Lycène naine (La), Pygmée (Le), Azuré murcian (L')</t>
  </si>
  <si>
    <t>54031 - 645883 - 777332 - 645885 - 642524 - 645884 - 642531 - 642521 - 392274 - 642530 - 642522</t>
  </si>
  <si>
    <t>Azuré de la Chevrette (L'), Azuré osiris (L'),  Petit Argus (Le)</t>
  </si>
  <si>
    <t>642511 - 642509 - 642512 - 642510 - 54052 - 820969 - 774645</t>
  </si>
  <si>
    <t>Azuré des Nerpruns (L'), Argus à bande noire (L'), Argus bordé (L'), Argiolus (L')</t>
  </si>
  <si>
    <t>54057 - 720129 - 777419 - 646119 - 832888 - 54055 - 716714 - 777315 - 646120 - 646116 - 646117 - 646118 - 774642 - 832889 - 988295</t>
  </si>
  <si>
    <t>Azuré du Thym (L'), Azuré de la Sariette (L'), Argus du Thym (L'), Argus pointillé (L')</t>
  </si>
  <si>
    <t>770427 - 642546 - 54075 - 645897 - 645887 - 645893 - 920869 - 645891 - 645895 - 645889 - 884193 - 645890 - 645896 - 720141 - 392265 - 774635 - 645894 - 820970</t>
  </si>
  <si>
    <t>Azuré des Cytises (L')</t>
  </si>
  <si>
    <t>392245 - 54111 - 54108 - 645954 - 720143 - 54104 - 820966 - 645938 - 976860 - 775051 - 54105 - 720145 - 645947 - 459096 - 219775 - 645935 - 54110 - 645955 - 645943 - 392244 - 645956 - 54107 - 392246 - 825167 - 645951 - 645939 - 645945 - 775060 - 645953 - 774928 - 645942 - 1001301 - 54109 - 777417 - 770465 - 645937 - 645946</t>
  </si>
  <si>
    <t>Azuré de l'Ajonc (L'), Argus bleu-violet (L'), Argus satiné (L'), Argus (L'), Argus bleu (L')</t>
  </si>
  <si>
    <t>645971 - 720148 - 54128 - 645985 - 645973 - 645977 - 54133 - 219776 - 645976 - 54135 - 54136 - 777418 - 833907 - 54167 - 645969 - 645986 - 54166 - 54132 - 645972 - 833908 - 645984 - 838741 - 54124 - 54126 - 645983 - 774929 - 645974 - 833906 - 778300 - 645975 - 54131 - 54127 - 54134</t>
  </si>
  <si>
    <t>Azuré du Genêt (L'), Argus sagitté (L'), Bleu-violet (Le), Idas (L')</t>
  </si>
  <si>
    <t>645961 - 884210 - 54170 - 720146 - 645963 - 783613 - 392247 - 645965 - 645957 - 645959 - 219778 - 645962 - 54168 - 645960 - 392248</t>
  </si>
  <si>
    <t>Azuré des Coronilles (L'), Azuré porte-arceaux (L'), Argus fléché (L')</t>
  </si>
  <si>
    <t>642473 - 392260 - 642475 - 54180 - 976118 - 54178 - 392263 - 521462 - 392258 - 54176 - 54179 - 219785</t>
  </si>
  <si>
    <t>Argus de l'Hélianthème (L'), Argus marron (L')</t>
  </si>
  <si>
    <t>642501 - 653753 - 642497 - 642507 - 838742 - 54191 - 642500 - 392255 - 642502 - 219783 - 642505 - 642495 - 642503 - 642499 - 820464</t>
  </si>
  <si>
    <t>Argus de le Sanguinaire (L'), Eumédon (L'), Argus noir (L'), Argus capucin (L')</t>
  </si>
  <si>
    <t>392224 - 642540 - 54213 - 820968 - 392225 - 770466 - 642539 - 774931 - 642544 - 713735 - 642545 - 642541 - 54216 - 642543</t>
  </si>
  <si>
    <t>Azuré des Anthyllides (L'), Demi-Argus (Le), Argus violet (L')</t>
  </si>
  <si>
    <t>608318 - 646024 - 646022 - 646019 - 713933 - 646023 - 713935 - 646034 - 774644 - 646036 - 646014 - 783079 - 713940 - 646032 - 646015 - 646028 - 837759 - 713944 - 713937 - 646020 - 774760 - 608317 - 646021 - 646017 - 219769 - 610389 - 713936 - 646035 - 713939 - 646033 - 219768 - 54265 - 646029 - 646016 - 646026 - 646025 - 921242 - 651419 - 713943 - 713941 - 646031 - 921999 - 646027</t>
  </si>
  <si>
    <t>Argus bleu-nacré (L')</t>
  </si>
  <si>
    <t>646008 - 820967 - 646007 - 713918 - 646006 - 774754 - 774752 - 713920 - 646009 - 646013 - 713929 - 713931 - 392235 - 713928 - 646005 - 774753 - 54271 - 219767 - 646011 - 646012</t>
  </si>
  <si>
    <t>Azuré bleu-céleste (L'), Bel-Argus (Le), Argus bleu céleste (L'), Lycène Bel-Argus (Le), Argus bleu ciel (L')</t>
  </si>
  <si>
    <t>774930 - 952208 - 646101 - 646098 - 777479 - 646100 - 54279 - 952437 - 646102 - 952207 - 646099</t>
  </si>
  <si>
    <t>Azuré de la Bugrane (L'), Argus bleu (L'), Azuré d'Icare (L'), Icare (L'), Lycène Icare (Le), Argus Icare (L')</t>
  </si>
  <si>
    <t>777320 - 646137 - 646136 - 54307 - 774926 - 646138 - 952209</t>
  </si>
  <si>
    <t>Thécla de la Ronce (La), Argus vert (L')</t>
  </si>
  <si>
    <t>820962 - 646191 - 988296 - 54319 - 770464 - 918951</t>
  </si>
  <si>
    <t>Thécla du Bouleau (La), Thècle du Bouleau (La), Porte-Queue à bandes fauves (Le)</t>
  </si>
  <si>
    <t>646176 - 646174 - 710501 - 770463 - 774924 - 646175 - 653751 - 54324 - 646177 - 392223 - 219754 - 54325 - 54322</t>
  </si>
  <si>
    <t>Thécla du Chêne (La), Porte-Queue bleu à une bande blanche (Le)</t>
  </si>
  <si>
    <t>837193 - 642180 - 774921 - 642127 - 54339 - 777327</t>
  </si>
  <si>
    <t>Gazé (Le), Piéride de l'Aubépine (La), Piéride gazée (La), Piéride de l'Alisier (La), Piéride de l'Aubergine (La)</t>
  </si>
  <si>
    <t>642128 - 54344 - 54342 - 266014</t>
  </si>
  <si>
    <t>Piéride du Chou (La), Grande Piéride du Chou (La), Papillon du Chou (Le)</t>
  </si>
  <si>
    <t>983981 - 642232 - 642225 - 521463 - 54362</t>
  </si>
  <si>
    <t>Marbré-de-vert (Le), Piéride du Réséda (La), Marbré (Le), Piéride marbrée (La), Piéride du Radis (La)</t>
  </si>
  <si>
    <t>713870 - 713869 - 884775 - 791576 - 713868 - 54376 - 641947 - 774923 - 701927 - 820960 - 976062 - 641943</t>
  </si>
  <si>
    <t>Piéride du Lotier (La), Piéride de la Moutarde (La), Blanc-de-lait (Le)</t>
  </si>
  <si>
    <t>884812 - 54384 - 641657 - 641917</t>
  </si>
  <si>
    <t>Soufré (Le), Piéride soufrée (La), Soufre (Le), Faux Soufré (Le)</t>
  </si>
  <si>
    <t>54400 - 641927</t>
  </si>
  <si>
    <t>Solitaire (Le)</t>
  </si>
  <si>
    <t>Colias palaeno</t>
  </si>
  <si>
    <t>610427 - 641931 - 54403 - 392430</t>
  </si>
  <si>
    <t>645880 - 54417 - 820961 - 645879 - 641939 - 641938</t>
  </si>
  <si>
    <t>Citron (Le), Limon (Le), Piéride du Nerprun (La)</t>
  </si>
  <si>
    <t>544258 - 554671 - 18761</t>
  </si>
  <si>
    <t>Aselle aquatique (L'), Aselle d'eau douce (L'), Aselle ordinaire (L')</t>
  </si>
  <si>
    <t>838671 - 54427 - 783598 - 642114 - 608274 - 774649 - 889554 - 642103 - 54429 - 716845 - 642113 - 976060 - 54433</t>
  </si>
  <si>
    <t>Piéride des Biscutelles (La)</t>
  </si>
  <si>
    <t>240731 - 544397 - 580783</t>
  </si>
  <si>
    <t>657997 - 652085 - 774651 - 820959 - 833160 - 770468 - 642099 - 833161 - 921062 - 54451 - 836527</t>
  </si>
  <si>
    <t>Aurore (L')</t>
  </si>
  <si>
    <t>774920 - 54468 - 984673 - 641661 - 825164</t>
  </si>
  <si>
    <t>Machaon (Le), Grand Porte-Queue (Le)</t>
  </si>
  <si>
    <t>163498 - 54475 - 641655 - 892540 - 952205 - 825163</t>
  </si>
  <si>
    <t>Flambé (Le)</t>
  </si>
  <si>
    <t>54496 - 641665</t>
  </si>
  <si>
    <t>Apollon (L'), Parnassien apollon (Le)</t>
  </si>
  <si>
    <t>Confidentielle sur les petits sites (&lt; 1 ha) et sous les 1000 m.</t>
  </si>
  <si>
    <t>Parnassius apollo</t>
  </si>
  <si>
    <t>918599 - 54526 - 414736 - 989700 - 726512</t>
  </si>
  <si>
    <t>54537 - 647731</t>
  </si>
  <si>
    <t>Hépiale du Houblon (L')</t>
  </si>
  <si>
    <t>647743 - 807589 - 54540 - 784161 - 647742</t>
  </si>
  <si>
    <t>Louvette (La)</t>
  </si>
  <si>
    <t>807602 - 849511 - 988364 - 54548</t>
  </si>
  <si>
    <t>Bucéphale (La), Lunule (La)</t>
  </si>
  <si>
    <t>416488 - 849059 - 822041 - 459029 - 54555</t>
  </si>
  <si>
    <t>Grande Queue-Fourchue (La)</t>
  </si>
  <si>
    <t>54557 - 919059 - 459030 - 983891</t>
  </si>
  <si>
    <t>Hermine (L')</t>
  </si>
  <si>
    <t>924699 - 54567 - 887721</t>
  </si>
  <si>
    <t>Bombyx de la Molène (Le)</t>
  </si>
  <si>
    <t>849510 - 54570 - 827001</t>
  </si>
  <si>
    <t>Ecureuil (L'), Staurope du Hêtre (Le), Bombyx du Hêtre (Le)</t>
  </si>
  <si>
    <t>770381 - 827132 - 54573 - 827129 - 783649 - 920153</t>
  </si>
  <si>
    <t>Timide (La)</t>
  </si>
  <si>
    <t>54578 - 918613</t>
  </si>
  <si>
    <t>Chameau (Le)</t>
  </si>
  <si>
    <t>916012 - 54580 - 988360</t>
  </si>
  <si>
    <t>Demi-Lune grise (La)</t>
  </si>
  <si>
    <t>916887 - 54589 - 54591 - 827140</t>
  </si>
  <si>
    <t>Triple Tache (La)</t>
  </si>
  <si>
    <t>54592 - 827142 - 783641 - 416485 - 917639</t>
  </si>
  <si>
    <t>Demi-Lune noire (La)</t>
  </si>
  <si>
    <t>916888 - 416487 - 54595 - 827141</t>
  </si>
  <si>
    <t>Demi-Lune blanche (La), Druide (Le)</t>
  </si>
  <si>
    <t>917557 - 416483 - 807601 - 54614</t>
  </si>
  <si>
    <t>Porcelaine (La)</t>
  </si>
  <si>
    <t>416484 - 983492 - 789647 - 54617 - 822043</t>
  </si>
  <si>
    <t>Bombyx Dictéoide (Le), Faïence (La)</t>
  </si>
  <si>
    <t>827144 - 54621 - 916892</t>
  </si>
  <si>
    <t>Plumet (Le), Porte-Plume (Le)</t>
  </si>
  <si>
    <t>917558 - 54625 - 807598</t>
  </si>
  <si>
    <t>Museau (Le)</t>
  </si>
  <si>
    <t>459081 - 807600 - 54628 - 459083 - 807599 - 849106 - 952263 - 459082</t>
  </si>
  <si>
    <t>Crête-de-Coq (La)</t>
  </si>
  <si>
    <t>54636 - 838766 - 916889</t>
  </si>
  <si>
    <t>Bombyx bicolore (Le)</t>
  </si>
  <si>
    <t>919061 - 54642</t>
  </si>
  <si>
    <t>Carmélite (La)</t>
  </si>
  <si>
    <t>416481 - 919062 - 54650</t>
  </si>
  <si>
    <t>Crénelée (La)</t>
  </si>
  <si>
    <t>849065 - 783651 - 54657</t>
  </si>
  <si>
    <t>Hausse-Queue blanche (La), Courtaud (Le)</t>
  </si>
  <si>
    <t>54659 - 783652 - 916893</t>
  </si>
  <si>
    <t>Anachorète (L'), Hausse-Queue fourchue (La)</t>
  </si>
  <si>
    <t>54661 - 984113 - 849101</t>
  </si>
  <si>
    <t>Hausse-Queue grise (La)</t>
  </si>
  <si>
    <t>783654 - 54664 - 917641 - 887723 - 822047</t>
  </si>
  <si>
    <t>Hausse-Queue brune (La), Recluse (La)</t>
  </si>
  <si>
    <t>849060 - 805025 - 54671 - 822045</t>
  </si>
  <si>
    <t>Processionnaire du Chêne (La)</t>
  </si>
  <si>
    <t>249019 - 838694 - 54674 - 893510</t>
  </si>
  <si>
    <t>Processionnaire du Pin (La)</t>
  </si>
  <si>
    <t>54684 - 977893 - 849094</t>
  </si>
  <si>
    <t>Double-Omega (Le)</t>
  </si>
  <si>
    <t>918603 - 54695 - 952137 - 777604</t>
  </si>
  <si>
    <t>Servante (La)</t>
  </si>
  <si>
    <t>923055 - 54697 - 777603 - 921107</t>
  </si>
  <si>
    <t>Ménagère (La)</t>
  </si>
  <si>
    <t>826909 - 54701 - 838731 - 779231 - 826912</t>
  </si>
  <si>
    <t>Bombyx des buissons (Le), Brune du Pissenlit (La)</t>
  </si>
  <si>
    <t>939812 - 54713 - 977890 - 952218 - 779225</t>
  </si>
  <si>
    <t>Grand Paon de nuit</t>
  </si>
  <si>
    <t>939781 - 54724 - 779218</t>
  </si>
  <si>
    <t>Hachette (La)</t>
  </si>
  <si>
    <t>779216 - 54728</t>
  </si>
  <si>
    <t>Versicolore (Le)</t>
  </si>
  <si>
    <t>54732 - 807584 - 647829</t>
  </si>
  <si>
    <t>Feuille-Morte du Chêne (La)</t>
  </si>
  <si>
    <t>940445 - 822036 - 647833 - 54734</t>
  </si>
  <si>
    <t>Feuille-Morte du Peuplier</t>
  </si>
  <si>
    <t>984110 - 54737 - 826927 - 783668 - 826930 - 826928 - 647791 - 248365</t>
  </si>
  <si>
    <t>Feuille-Morte de l'Yeuse</t>
  </si>
  <si>
    <t>647822 - 248366 - 54739 - 940461 - 1016326 - 940569 - 932399</t>
  </si>
  <si>
    <t>Petite Feuille-Morte (La), Feuille-Morte du Tremble (La)</t>
  </si>
  <si>
    <t>54744 - 647771 - 807580 - 940872</t>
  </si>
  <si>
    <t>Livrée des arbres (La), Bombyx à livrée (Le)</t>
  </si>
  <si>
    <t>838680 - 248372 - 54749 - 647776</t>
  </si>
  <si>
    <t>Livrée des alpages (La), Alpine (L')</t>
  </si>
  <si>
    <t>647760 - 940976 - 54752 - 253326 - 416077 - 822025 - 647761</t>
  </si>
  <si>
    <t>Bombyx de l'Aubépine (Le)</t>
  </si>
  <si>
    <t>54757 - 838683 - 647765 - 977894</t>
  </si>
  <si>
    <t>54762 - 647770 - 838682 - 807582 - 807581</t>
  </si>
  <si>
    <t>Bombyx Evérie (Le) Laineuse du Prunellier (La)</t>
  </si>
  <si>
    <t>647769 - 940444 - 940442 - 54764</t>
  </si>
  <si>
    <t>Bombyx rimicole (Le), Laineuse du Chêne (La)</t>
  </si>
  <si>
    <t>54766 - 805024 - 647767</t>
  </si>
  <si>
    <t>Laineuse du Cerisier (La), Bombyx laineux (Le)</t>
  </si>
  <si>
    <t>54770 - 647783 - 807583</t>
  </si>
  <si>
    <t>Bombyx du Chêne (Le), Minime à bandes jaunes (Le)</t>
  </si>
  <si>
    <t>647786 - 774737 - 54773 - 1016698</t>
  </si>
  <si>
    <t>Bombyx de la Ronce (Le), Polyphage (La)</t>
  </si>
  <si>
    <t>826922 - 54779 - 647785</t>
  </si>
  <si>
    <t>Bombyx du Pin (Le)</t>
  </si>
  <si>
    <t>647787 - 54782 - 805026</t>
  </si>
  <si>
    <t>Feuille-Morte du Prunier (La)</t>
  </si>
  <si>
    <t>416165 - 416169 - 416163 - 54795 - 416156 - 416161 - 779236 - 416160 - 416158 - 416168 - 416167 - 416166 - 416164 - 783624 - 416159 - 416162 - 774478 - 416157</t>
  </si>
  <si>
    <t>Sphinx du Liseron (Le)</t>
  </si>
  <si>
    <t>820979 - 779238 - 416155 - 54798</t>
  </si>
  <si>
    <t>Sphinx Tête-de-Mort (Le)</t>
  </si>
  <si>
    <t>416170 - 54804 - 965420 - 54801 - 976055 - 416171 - 416177 - 416175 - 416173 - 416174 - 416172 - 416176</t>
  </si>
  <si>
    <t>Sphinx du Troène (Le)</t>
  </si>
  <si>
    <t>416196 - 779233 - 416194 - 783620 - 416195 - 54809</t>
  </si>
  <si>
    <t>Sphinx du Chêne vert (Le)</t>
  </si>
  <si>
    <t>54815 - 779234 - 807141 - 783621 - 416193</t>
  </si>
  <si>
    <t>Sphinx du Tilleul (Le)</t>
  </si>
  <si>
    <t>459064 - 54818 - 779235 - 459065</t>
  </si>
  <si>
    <t>Sphinx du Peuplier (Le)</t>
  </si>
  <si>
    <t>416084 - 416083 - 54821 - 416082 - 821960 - 416080 - 779247 - 783636 - 774039 - 416081 - 416085</t>
  </si>
  <si>
    <t>Sphinx-Bourdon (Le), Sphinx de la Scabieuse (Le)</t>
  </si>
  <si>
    <t>416091 - 807137 - 416087 - 416093 - 416092 - 416089 - 416090 - 820978 - 807136 - 416086 - 416088 - 774040 - 779248 - 54824</t>
  </si>
  <si>
    <t>Sphinx gazé (Le), Sphinx du Chèvrefeuille (Le)</t>
  </si>
  <si>
    <t>416101 - 783635 - 779250 - 54829</t>
  </si>
  <si>
    <t>Moro-Sphinx (Le), Sphinx du Caille-Lait (Le)</t>
  </si>
  <si>
    <t>416099 - 54832 - 779251 - 416100 - 821962</t>
  </si>
  <si>
    <t>Sphinx du Laurier-rose (Le)</t>
  </si>
  <si>
    <t>416096 - 826844 - 779249 - 416094 - 783634 - 416097 - 54837 - 416095 - 416098</t>
  </si>
  <si>
    <t>Sphinx de l'Épilobe (Le), Sphinx de l'Oenothère (Le)</t>
  </si>
  <si>
    <t>779262 - 771323 - 838698 - 54841</t>
  </si>
  <si>
    <t>Cendré (Le), Sphinx Chauve-Souris (Le)</t>
  </si>
  <si>
    <t>774057 - 54843 - 783627 - 779252</t>
  </si>
  <si>
    <t>Sphinx de l'Euphorbe (Le)</t>
  </si>
  <si>
    <t>416137 - 416139 - 416143 - 416144 - 779261 - 54847 - 416141 - 416146 - 416140 - 416145 - 416142 - 416138</t>
  </si>
  <si>
    <t>Sphinx de la Garance (Le)</t>
  </si>
  <si>
    <t>459097 - 809764 - 54854 - 779267 - 783633</t>
  </si>
  <si>
    <t>Grand Sphinx de la Vigne (Le)</t>
  </si>
  <si>
    <t>416121 - 416120 - 779266 - 416118 - 1006714 - 416114 - 416111 - 416112 - 54856 - 416109 - 416110 - 809765 - 416119 - 980628 - 416115 - 416116 - 416117 - 416113</t>
  </si>
  <si>
    <t>Petit Sphinx de la Vigne (Le)</t>
  </si>
  <si>
    <t>821961 - 779268 - 783631 - 416105 - 416103 - 416104 - 416102 - 54859</t>
  </si>
  <si>
    <t>Sphinx Phoenix (Le)</t>
  </si>
  <si>
    <t>901030 - 56502</t>
  </si>
  <si>
    <t>Grande luisantine</t>
  </si>
  <si>
    <t>901036 - 899793 - 899794 - 901034 - 413308 - 56503</t>
  </si>
  <si>
    <t>Petite luisantine</t>
  </si>
  <si>
    <t>56508 - 413610 - 413609 - 779000 - 413611 - 413608</t>
  </si>
  <si>
    <t>928021 - 412609 - 64157 - 928020 - 593042</t>
  </si>
  <si>
    <t>Petite brillante</t>
  </si>
  <si>
    <t>953500 - 593263 - 536018</t>
  </si>
  <si>
    <t>79310 - 953503 - 535753 - 953505 - 953501 - 593264 - 953504 - 65722 - 953502</t>
  </si>
  <si>
    <t>Decticelle bariolée, Dectique brévipenne</t>
  </si>
  <si>
    <t>953410 - 593306 - 65627 - 953409 - 953411 - 953412</t>
  </si>
  <si>
    <t>Barbitiste des bois,  Barbitiste, Barbitiste queue-en-scie</t>
  </si>
  <si>
    <t>66033 - 953172 - 953173 - 593311 - 953174 - 66034</t>
  </si>
  <si>
    <t>Tétrix des carrières, Tétrix des sablières</t>
  </si>
  <si>
    <t>593705 - 810733</t>
  </si>
  <si>
    <t>Lyncée sphérique (Le)</t>
  </si>
  <si>
    <t>240708 - 844784 - 593722</t>
  </si>
  <si>
    <t>593724 - 240665</t>
  </si>
  <si>
    <t>922764 - 601602</t>
  </si>
  <si>
    <t>642059 - 608272</t>
  </si>
  <si>
    <t>Piéride irlandaise (La), Piéride d'Irlande (La)</t>
  </si>
  <si>
    <t>54350 - 884982 - 642131 - 608277 - 642133 - 642129 - 219834</t>
  </si>
  <si>
    <t>Piéride de l'Arabette (La), Piéride de la Bryone (La), Piéride brune (La), Veiné-de-noir (Le)</t>
  </si>
  <si>
    <t>642303 - 832886 - 832887 - 642330 - 642335 - 608279 - 642299</t>
  </si>
  <si>
    <t>Cuivré mauvin (Le)</t>
  </si>
  <si>
    <t>642453 - 642337 - 642343 - 833891 - 642320 - 833885 - 642341 - 642342 - 642338 - 809745 - 642349 - 432545 - 642345 - 838745 - 392218 - 833879 - 774638 - 774672 - 642277 - 608280 - 642347 - 777410 - 833897 - 642325</t>
  </si>
  <si>
    <t>Cuivré flambloyant (Le)</t>
  </si>
  <si>
    <t>392221 - 54004 - 392220 - 720075 - 642375 - 976064 - 833781 - 778245 - 642377 - 608289 - 774748</t>
  </si>
  <si>
    <t>833902 - 642408 - 642411 - 642402 - 833901 - 53987 - 642403 - 608290 - 642407 - 642410 - 836753 - 774750</t>
  </si>
  <si>
    <t>713030 - 392382 - 777335 - 392384 - 646329 - 984677 - 820679 - 53831 - 912805 - 713029 - 608362 - 392383 - 250648</t>
  </si>
  <si>
    <t>Mélitée de Fruhstorfer (La)</t>
  </si>
  <si>
    <t>826780 - 821994 - 646858 - 53739 - 821995 - 608364 - 53736 - 53738</t>
  </si>
  <si>
    <t>Paon-du-jour (Le), Paon de jour (Le), Oeil -de-Paon-du-Jour (Le), Paon (Le), Oeil-de-Paon (L')</t>
  </si>
  <si>
    <t>647184 - 777434 - 647183 - 807132 - 952338 - 775008 - 53691 - 647181 - 608405 - 712403 - 533302 - 807131 - 647185 - 714123</t>
  </si>
  <si>
    <t>Amaryllis (L'), Satyre tithon (Le), Titon (Le)</t>
  </si>
  <si>
    <t>64072 - 412510 - 412506 - 433461 - 412505 - 624722 - 777131 - 412511 - 412508 - 701963 - 433669 - 412507 - 653795 - 61758 - 162895 - 412504 - 930378</t>
  </si>
  <si>
    <t>Physe voyageuse</t>
  </si>
  <si>
    <t>436730 - 61976 - 929873</t>
  </si>
  <si>
    <t>412342 - 780674 - 412341 - 412340 - 61987 - 901428 - 62029</t>
  </si>
  <si>
    <t>412408 - 412405 - 412400 - 412403 - 412399 - 779962 - 162713 - 412406 - 61996 - 930372 - 412404 - 412407 - 61994 - 900217 - 412409</t>
  </si>
  <si>
    <t>Paludine d'Europe</t>
  </si>
  <si>
    <t>62002 - 412491 - 412492</t>
  </si>
  <si>
    <t>Valvée plane</t>
  </si>
  <si>
    <t>333834 - 200236 - 62004 - 412493 - 200237 - 681200</t>
  </si>
  <si>
    <t>Valvée porte-plumet</t>
  </si>
  <si>
    <t>62033 - 853293 - 912200 - 62032 - 777842 - 853292</t>
  </si>
  <si>
    <t>Élégante striée</t>
  </si>
  <si>
    <t>546424 - 930122 - 681203 - 62132 - 573819 - 62131</t>
  </si>
  <si>
    <t>Hydrobie des antipodes</t>
  </si>
  <si>
    <t>62135 - 904332</t>
  </si>
  <si>
    <t>904272 - 62163 - 412456 - 62145</t>
  </si>
  <si>
    <t>Hydrobie du Jura</t>
  </si>
  <si>
    <t>412428 - 412430 - 162838 - 904306 - 62153 - 412446 - 62160 - 412429 - 783204 - 412432 - 412431</t>
  </si>
  <si>
    <t>Bythinelle des moulins</t>
  </si>
  <si>
    <t>1011157 - 783203 - 62154 - 162854 - 412464 - 986074 - 62191 - 162858 - 904307 - 62161 - 412427 - 162853 - 930250</t>
  </si>
  <si>
    <t>Bythinelle de la Couse</t>
  </si>
  <si>
    <t>412449 - 904807 - 62180 - 412450</t>
  </si>
  <si>
    <t>Hydrobie du Danube</t>
  </si>
  <si>
    <t>62188 - 416659 - 412411 - 782668</t>
  </si>
  <si>
    <t>Bithynie commune</t>
  </si>
  <si>
    <t>899729 - 62189</t>
  </si>
  <si>
    <t>Bithynie nordique</t>
  </si>
  <si>
    <t>1015086 - 625202</t>
  </si>
  <si>
    <t>219790 - 54089 - 834120 - 626169 - 774876 - 392269 - 826776 - 645921 - 826777 - 54091 - 608304</t>
  </si>
  <si>
    <t>Azuré des paluds (L')</t>
  </si>
  <si>
    <t>Phengaris nausithous</t>
  </si>
  <si>
    <t>2018-2028 / 2011-2015</t>
  </si>
  <si>
    <t>932843 - 627791 - 248941 - 777824 - 918961</t>
  </si>
  <si>
    <t>Psodos tremblante (La)</t>
  </si>
  <si>
    <t>219414 - 628321 - 997545</t>
  </si>
  <si>
    <t>991692 - 782824 - 219508 - 628327 - 991691</t>
  </si>
  <si>
    <t>991728 - 991725 - 991727 - 991703 - 991730 - 52794 - 219503 - 628329 - 991731 - 991732</t>
  </si>
  <si>
    <t>628335 - 997860 - 997855 - 997859 - 997863 - 997857 - 997866 - 997858 - 997864 - 997862 - 997861</t>
  </si>
  <si>
    <t>782841 - 391992 - 219415 - 628339 - 782898</t>
  </si>
  <si>
    <t>219417 - 219439 - 628343 - 780473 - 219418 - 250591 - 250590 - 780475 - 780474</t>
  </si>
  <si>
    <t>628365 - 264235 - 734543 - 782414 - 219435</t>
  </si>
  <si>
    <t>782860 - 219436 - 628367 - 264233 - 997573 - 997571 - 997574</t>
  </si>
  <si>
    <t>628371 - 219437 - 766771 - 52798</t>
  </si>
  <si>
    <t>997580 - 997575 - 219441 - 997581 - 997579 - 782881 - 628374</t>
  </si>
  <si>
    <t>997588 - 219446 - 997590 - 997586 - 628380 - 997589 - 782413 - 219430 - 219438 - 783150 - 997584 - 766782 - 997582 - 997587 - 997577</t>
  </si>
  <si>
    <t>Fourmi tubéreuse</t>
  </si>
  <si>
    <t>52800 - 997585 - 997596 - 1014892 - 264239 - 997592 - 997594 - 997595 - 997593 - 628381 - 782902 - 997591</t>
  </si>
  <si>
    <t>774796 - 645905 - 774774 - 645909 - 219792 - 647479 - 219791 - 645907 - 54080 - 199775 - 54082 - 645908 - 834121 - 631131 - 712131 - 821975 - 54083 - 645903 - 647478 - 645906</t>
  </si>
  <si>
    <t>Azuré de la Croisette (L'), Argus bleu marine (L')</t>
  </si>
  <si>
    <t>Phengaris alcon</t>
  </si>
  <si>
    <t>837758 - 392267 - 645918 - 645917 - 645920 - 645914 - 716712 - 631133 - 645912 - 774875 - 645911 - 219788 - 392266 - 645919 - 645913 - 645915 - 54085 - 820971</t>
  </si>
  <si>
    <t>Azuré du Serpolet (L'), Azuré d'Arion (L'), Argus à bandes brunes (L'), Arion (L'), Argus Arion (L')</t>
  </si>
  <si>
    <t>Phengaris arion</t>
  </si>
  <si>
    <t>713961 - 645930 - 433698 - 392268 - 713959 - 976139 - 645932 - 631135 - 645929 - 54087 - 608305 - 219789 - 774874 - 645923 - 645933 - 884192 - 645924 - 642563 - 645931 - 713962 - 976140</t>
  </si>
  <si>
    <t>Azuré de la Sanguisorbe (L'), Argus strié (L'), Télégone (Le)</t>
  </si>
  <si>
    <t>Phengaris teleius</t>
  </si>
  <si>
    <t>244690 - 639833 - 698975</t>
  </si>
  <si>
    <t>339885 - 244692 - 698990 - 639835 - 698989</t>
  </si>
  <si>
    <t>639836 - 339883 - 698981 - 12017 - 698983</t>
  </si>
  <si>
    <t>675604 - 639837 - 675601 - 675602 - 675603 - 675605 - 12016</t>
  </si>
  <si>
    <t>639922 - 240653 - 639917 - 639919</t>
  </si>
  <si>
    <t>639936 - 17707</t>
  </si>
  <si>
    <t>927619 - 412565 - 412567 - 412564 - 64035 - 412566 - 412568</t>
  </si>
  <si>
    <t>Auriculette naine</t>
  </si>
  <si>
    <t>412571 - 412569 - 412572 - 64036 - 927927 - 412570</t>
  </si>
  <si>
    <t>Auriculette commune</t>
  </si>
  <si>
    <t>412501 - 412502 - 777749 - 64044 - 433237 - 412503 - 64043</t>
  </si>
  <si>
    <t>Limnée épaulée</t>
  </si>
  <si>
    <t>930379 - 64047 - 777737 - 64049 - 64046 - 64048</t>
  </si>
  <si>
    <t>Limnée des étangs</t>
  </si>
  <si>
    <t>532902 - 899943 - 899944 - 64054</t>
  </si>
  <si>
    <t>Limnée conque</t>
  </si>
  <si>
    <t>899806 - 899804 - 64063</t>
  </si>
  <si>
    <t>Grande limnée</t>
  </si>
  <si>
    <t>64074 - 777129 - 64069 - 777127</t>
  </si>
  <si>
    <t>Physe élancée</t>
  </si>
  <si>
    <t>64071 - 681412 - 777125</t>
  </si>
  <si>
    <t>Physe bulle, Physe des fontaines</t>
  </si>
  <si>
    <t>64081 - 412536 - 64078 - 782466 - 64077 - 412538 - 412537</t>
  </si>
  <si>
    <t>Planorbe commune</t>
  </si>
  <si>
    <t>Planorbe carénée</t>
  </si>
  <si>
    <t>904212 - 64090 - 624702 - 908604</t>
  </si>
  <si>
    <t>Planorbe resserrée</t>
  </si>
  <si>
    <t>64091 - 904209</t>
  </si>
  <si>
    <t>Planorbe des fossés</t>
  </si>
  <si>
    <t>64095 - 64094 - 904213</t>
  </si>
  <si>
    <t>Planorbe de Linné</t>
  </si>
  <si>
    <t>905690 - 64096 - 64097</t>
  </si>
  <si>
    <t>Planorbe tourbillon</t>
  </si>
  <si>
    <t>930377 - 64102 - 64101</t>
  </si>
  <si>
    <t>Planorbe ombiliquée</t>
  </si>
  <si>
    <t>64105 - 64104</t>
  </si>
  <si>
    <t>Planorbine poilue</t>
  </si>
  <si>
    <t>899980 - 899808 - 899979 - 64111 - 162917 - 851538</t>
  </si>
  <si>
    <t>Planorbine à crêtes</t>
  </si>
  <si>
    <t>899977 - 933556 - 64114 - 64083 - 933555 - 899976 - 933554 - 64082 - 929876</t>
  </si>
  <si>
    <t>Planorbine des fontaines</t>
  </si>
  <si>
    <t>64117 - 777848</t>
  </si>
  <si>
    <t>Planorbine cloisonnée</t>
  </si>
  <si>
    <t>162900 - 904918 - 412541 - 64120 - 64121</t>
  </si>
  <si>
    <t>Planorbe des étangs</t>
  </si>
  <si>
    <t>412524 - 412513 - 412518 - 412527 - 412525 - 64124 - 412514 - 933174 - 933175 - 412519 - 412515</t>
  </si>
  <si>
    <t>Patelline des fleuves</t>
  </si>
  <si>
    <t>64126 - 930518 - 64131</t>
  </si>
  <si>
    <t>Patelline d'Europe</t>
  </si>
  <si>
    <t>929869 - 641317</t>
  </si>
  <si>
    <t>641319 - 641318</t>
  </si>
  <si>
    <t>Moule quagga</t>
  </si>
  <si>
    <t>412619 - 901043 - 433250 - 412628 - 412625 - 412626 - 944426 - 412623 - 901045 - 64135 - 412620 - 412621 - 412627</t>
  </si>
  <si>
    <t>Maillot commun</t>
  </si>
  <si>
    <t>908688 - 901020 - 412676 - 412679 - 779164 - 412678 - 928547 - 162966 - 458796 - 928546 - 64137</t>
  </si>
  <si>
    <t>Maillot des mousses</t>
  </si>
  <si>
    <t>413005 - 413008 - 413004 - 413007 - 64140 - 413006 - 413009 - 928550</t>
  </si>
  <si>
    <t>Vertigo étroit</t>
  </si>
  <si>
    <t>412980 - 412978 - 412982 - 768921 - 412984 - 412977 - 412979 - 412981 - 412983 - 64141 - 412985</t>
  </si>
  <si>
    <t>Vertigo de Des Moulins</t>
  </si>
  <si>
    <t>412658 - 412663 - 412664 - 412659 - 412660 - 64144 - 928548 - 777757 - 412662 - 412661</t>
  </si>
  <si>
    <t>Vallonie costulée</t>
  </si>
  <si>
    <t>777798 - 412671 - 412668 - 412672 - 64145 - 412670 - 412669 - 412673 - 412674</t>
  </si>
  <si>
    <t>Vallonie trompette</t>
  </si>
  <si>
    <t>64156 - 944422 - 944423 - 162939 - 777786 - 412613 - 885895 - 412612 - 944424 - 412611</t>
  </si>
  <si>
    <t>Brillante commune</t>
  </si>
  <si>
    <t>928032 - 64158</t>
  </si>
  <si>
    <t>Grande brillante</t>
  </si>
  <si>
    <t>784899 - 64161</t>
  </si>
  <si>
    <t>412601 - 412605 - 412604 - 928109 - 64169</t>
  </si>
  <si>
    <t>Ambrette amphibie</t>
  </si>
  <si>
    <t>779506 - 777801 - 64173</t>
  </si>
  <si>
    <t>897053 - 851006 - 64176</t>
  </si>
  <si>
    <t>929805 - 929806 - 929803 - 929807 - 929804 - 64179 - 413549</t>
  </si>
  <si>
    <t>Loche glandue</t>
  </si>
  <si>
    <t>64180 - 413546 - 64186 - 413545 - 163234 - 413544 - 64178 - 413547 - 929091</t>
  </si>
  <si>
    <t>Loche grisâtre</t>
  </si>
  <si>
    <t>413550 - 64181</t>
  </si>
  <si>
    <t>Loche noire</t>
  </si>
  <si>
    <t>413551 - 413555 - 64182 - 163238 - 929808</t>
  </si>
  <si>
    <t>Loche hérisson</t>
  </si>
  <si>
    <t>64184 - 413541 - 64185 - 851012 - 64177</t>
  </si>
  <si>
    <t>Grande loche</t>
  </si>
  <si>
    <t>64187 - 929836</t>
  </si>
  <si>
    <t>Loche roussâtre</t>
  </si>
  <si>
    <t>64193 - 899779 - 899778 - 901022</t>
  </si>
  <si>
    <t>Luisant aillé</t>
  </si>
  <si>
    <t>64194 - 777756 - 899783</t>
  </si>
  <si>
    <t>Luisant des caves</t>
  </si>
  <si>
    <t>641925 - 641941 - 54414 - 622082 - 778240 - 641921 - 641923 - 219825</t>
  </si>
  <si>
    <t>Souci (Le)</t>
  </si>
  <si>
    <t>928064 - 779399 - 928061 - 928063 - 64195 - 928066 - 413330 - 413325 - 413334 - 928065 - 413328 - 413332 - 928062 - 416677 - 163120 - 413324 - 899986</t>
  </si>
  <si>
    <t>Grand luisant</t>
  </si>
  <si>
    <t>413431 - 928543 - 413432 - 413437 - 413426 - 413439 - 413441 - 413434 - 413428 - 413436 - 64197 - 413435 - 928542 - 413425 - 413440 - 413433 - 413438 - 413430 - 413429 - 777797 - 532906 - 930548 - 413427</t>
  </si>
  <si>
    <t>Semilimace commune</t>
  </si>
  <si>
    <t>777789 - 64201 - 779400</t>
  </si>
  <si>
    <t>Luisantine des marais</t>
  </si>
  <si>
    <t>777725 - 900199 - 413511 - 970057 - 782408 - 413510 - 970058 - 970059 - 64205 - 528639</t>
  </si>
  <si>
    <t>Loche des marais</t>
  </si>
  <si>
    <t>413524 - 777841 - 413521 - 413519 - 413523 - 413522 - 64206</t>
  </si>
  <si>
    <t>Loche laiteuse</t>
  </si>
  <si>
    <t>413486 - 413489 - 64208 - 163179</t>
  </si>
  <si>
    <t>Grande limace</t>
  </si>
  <si>
    <t>64213 - 413492 - 413490 - 413494 - 413496 - 413495 - 413493 - 413491</t>
  </si>
  <si>
    <t>Limace léopard</t>
  </si>
  <si>
    <t>928034 - 64230 - 777763 - 416706</t>
  </si>
  <si>
    <t>Hélicelle trompette, Hélicelle des bruyères, le grand-ruban</t>
  </si>
  <si>
    <t>64239 - 928071</t>
  </si>
  <si>
    <t>Moine globuleux</t>
  </si>
  <si>
    <t>413905 - 779162 - 64245</t>
  </si>
  <si>
    <t>Hélice des bois</t>
  </si>
  <si>
    <t>64247 - 928557 - 413886 - 928556 - 64257</t>
  </si>
  <si>
    <t>Escargot des jardins</t>
  </si>
  <si>
    <t>64258 - 413887 - 413890 - 413889 - 64248 - 413888 - 413891</t>
  </si>
  <si>
    <t>413841 - 413852 - 413854 - 413853 - 413856 - 413859 - 413849 - 413857 - 413850 - 413843 - 413844 - 413851 - 413845 - 413842 - 413858 - 413846 - 413855 - 413848 - 64260 - 413847 - 413840</t>
  </si>
  <si>
    <t>Escargot de Bourgogne</t>
  </si>
  <si>
    <t>799867 - 642642</t>
  </si>
  <si>
    <t>799870 - 642647 - 799871 - 642648</t>
  </si>
  <si>
    <t>799878 - 642654</t>
  </si>
  <si>
    <t>779160 - 416660 - 64266</t>
  </si>
  <si>
    <t>642661 - 799860</t>
  </si>
  <si>
    <t>799859 - 642668</t>
  </si>
  <si>
    <t>642676 - 716274 - 798052</t>
  </si>
  <si>
    <t>777796 - 64268</t>
  </si>
  <si>
    <t>642745 - 894092</t>
  </si>
  <si>
    <t>642751 - 799932 - 974279</t>
  </si>
  <si>
    <t>799937 - 642765 - 798068</t>
  </si>
  <si>
    <t>642773 - 799961</t>
  </si>
  <si>
    <t>642781 - 799929</t>
  </si>
  <si>
    <t>974297 - 642800 - 799965</t>
  </si>
  <si>
    <t>800027 - 642821</t>
  </si>
  <si>
    <t>642822 - 800019</t>
  </si>
  <si>
    <t>642827 - 799972</t>
  </si>
  <si>
    <t>642835 - 799973</t>
  </si>
  <si>
    <t>844729 - 974276 - 974277 - 799953 - 642846</t>
  </si>
  <si>
    <t>642848 - 799967 - 974296</t>
  </si>
  <si>
    <t>799924 - 642853</t>
  </si>
  <si>
    <t>799957 - 642867 - 796982</t>
  </si>
  <si>
    <t>799926 - 642875</t>
  </si>
  <si>
    <t>798063 - 642887 - 799928</t>
  </si>
  <si>
    <t>884259 - 884258 - 642897</t>
  </si>
  <si>
    <t>642926 - 800158</t>
  </si>
  <si>
    <t>800276 - 642930</t>
  </si>
  <si>
    <t>800062 - 642936</t>
  </si>
  <si>
    <t>642939 - 800065 - 974282</t>
  </si>
  <si>
    <t>642948 - 800069</t>
  </si>
  <si>
    <t>800170 - 642956</t>
  </si>
  <si>
    <t>716335 - 800171 - 642957</t>
  </si>
  <si>
    <t>642967 - 800177</t>
  </si>
  <si>
    <t>800202 - 642982</t>
  </si>
  <si>
    <t>798117 - 642983</t>
  </si>
  <si>
    <t>642998 - 800256</t>
  </si>
  <si>
    <t>800204 - 643016</t>
  </si>
  <si>
    <t>800289 - 643020 - 975024</t>
  </si>
  <si>
    <t>643025 - 643026 - 800118 - 797001 - 797002 - 800117 - 9617</t>
  </si>
  <si>
    <t>800225 - 9650 - 643033</t>
  </si>
  <si>
    <t>721751 - 643034</t>
  </si>
  <si>
    <t>800253 - 643057</t>
  </si>
  <si>
    <t>643065 - 9635</t>
  </si>
  <si>
    <t>800304 - 798150 - 643089</t>
  </si>
  <si>
    <t>643110 - 800302</t>
  </si>
  <si>
    <t>800132 - 643128</t>
  </si>
  <si>
    <t>643135 - 800308 - 798160</t>
  </si>
  <si>
    <t>643141 - 800135</t>
  </si>
  <si>
    <t>800145 - 643155</t>
  </si>
  <si>
    <t>643196 - 800227 - 9710</t>
  </si>
  <si>
    <t>9648 - 643200 - 800226</t>
  </si>
  <si>
    <t>643202 - 800307</t>
  </si>
  <si>
    <t>838649 - 643450 - 643452 - 249015</t>
  </si>
  <si>
    <t>Illégitime (L')</t>
  </si>
  <si>
    <t>249016 - 643455 - 643451</t>
  </si>
  <si>
    <t>Bréphode ligérienne (La), Bréphode du Verdiau (La), Bréphine ligérienne (La)</t>
  </si>
  <si>
    <t>18869 - 643985 - 783432</t>
  </si>
  <si>
    <t>217446 - 850461 - 643987</t>
  </si>
  <si>
    <t>64435 - 779996 - 900211 - 163399 - 393384 - 779952 - 163400 - 899984 - 393385 - 930086 - 348283</t>
  </si>
  <si>
    <t>Mulette perlière, Moule perlière</t>
  </si>
  <si>
    <t>Margaritifera margaritifera</t>
  </si>
  <si>
    <t>393424 - 886521 - 163404 - 163406 - 930096 - 779959 - 930097 - 930094 - 250737 - 272086 - 930095 - 163405 - 393425 - 64440 - 930093 - 163413 - 250736 - 393423 - 393426</t>
  </si>
  <si>
    <t>Mulette des peintres</t>
  </si>
  <si>
    <t>930143 - 930142 - 64442</t>
  </si>
  <si>
    <t>Mulette renflée</t>
  </si>
  <si>
    <t>64443 - 64445 - 163423 - 64444 - 250728 - 930133 - 393418</t>
  </si>
  <si>
    <t>64453 - 433694 - 163402 - 393429 - 433693 - 272092 - 779956 - 930090 - 64452 - 393430 - 64449 - 433692 - 433697 - 930088 - 433695 - 930091 - 930089 - 163401 - 930087 - 163403</t>
  </si>
  <si>
    <t>Mulette des rivières</t>
  </si>
  <si>
    <t>779953 - 899954 - 64455 - 163424</t>
  </si>
  <si>
    <t>Anodonte des rivières</t>
  </si>
  <si>
    <t>163425 - 779954 - 64456</t>
  </si>
  <si>
    <t>Anodonte des étangs</t>
  </si>
  <si>
    <t>163431 - 779957 - 64462 - 64460 - 930104 - 163428 - 930102 - 163427 - 393428 - 930103 - 163430 - 163429</t>
  </si>
  <si>
    <t>Anodonte comprimée</t>
  </si>
  <si>
    <t>850457 - 932597 - 645015 - 217431</t>
  </si>
  <si>
    <t>701909 - 701911 - 701907 - 701908 - 645061 - 701910</t>
  </si>
  <si>
    <t>Pyrale du buis</t>
  </si>
  <si>
    <t>12401 - 802396 - 645847</t>
  </si>
  <si>
    <t>65126 - 65125 - 790010 - 645874 - 645873 - 65123</t>
  </si>
  <si>
    <t>Agrion de Vander Linden, Naïade de Vander Linden</t>
  </si>
  <si>
    <t>646236 - 777253 - 53913 - 646235 - 778873</t>
  </si>
  <si>
    <t>Nacré de la Ronce (Le), Nacré lilacé (Le), Nacré lilas (Le), Daphné (Le), Grande Violette (La)</t>
  </si>
  <si>
    <t>571898 - 575233 - 571811 - 61735 - 571892 - 571819 - 64629 - 571816 - 571893 - 571812 - 571901 - 571891 - 571900 - 571817 - 574694 - 571894 - 567936 - 571902 - 681414 - 571895 - 571813 - 571899 - 576163 - 571897 - 568447 - 571815 - 571896 - 571814 - 574689 - 574636 - 574051 - 571818 - 574629</t>
  </si>
  <si>
    <t>64641 - 681415</t>
  </si>
  <si>
    <t>Corbicule striolée</t>
  </si>
  <si>
    <t>899971 - 64646 - 779945</t>
  </si>
  <si>
    <t>Cyclade commune</t>
  </si>
  <si>
    <t>779949 - 64648</t>
  </si>
  <si>
    <t>Cyclade des fleuves</t>
  </si>
  <si>
    <t>64649 - 393388 - 779948 - 393389</t>
  </si>
  <si>
    <t>Grande cyclade</t>
  </si>
  <si>
    <t>393393 - 777849 - 393392 - 64655</t>
  </si>
  <si>
    <t>Pisidie de vase</t>
  </si>
  <si>
    <t>851095 - 397270 - 10506 - 800712 - 647027</t>
  </si>
  <si>
    <t>Petite biche, Petite lucane</t>
  </si>
  <si>
    <t>392349 - 647124 - 53571 - 721350 - 53573 - 833398 - 392348 - 647125 - 976221 - 53572 - 53446 - 833400 - 647127 - 647131 - 647129 - 53569 - 647128 - 392350 - 976220 - 833394 - 392351 - 647130</t>
  </si>
  <si>
    <t>Moiré des Fétuques (Le)</t>
  </si>
  <si>
    <t>Saône-et-Loire (71)</t>
  </si>
  <si>
    <t>245162 - 647735 - 647737 - 1006391 - 939769 - 54542 - 939768 - 939771 - 939770 - 785880</t>
  </si>
  <si>
    <t>Hépiale véléda (L')</t>
  </si>
  <si>
    <t>579483 - 64854 - 400344 - 850997</t>
  </si>
  <si>
    <t>400355 - 1002582 - 808795 - 955530 - 64859</t>
  </si>
  <si>
    <t>400614 - 400612 - 64877 - 400613 - 400616 - 400615</t>
  </si>
  <si>
    <t>220042 - 649725</t>
  </si>
  <si>
    <t>65078 - 199675 - 65076 - 65079</t>
  </si>
  <si>
    <t>Caloptéryx hémorroïdal</t>
  </si>
  <si>
    <t>65080 - 789563 - 714273 - 65082</t>
  </si>
  <si>
    <t>Caloptéryx vierge</t>
  </si>
  <si>
    <t>65085 - 789578 - 789577</t>
  </si>
  <si>
    <t>Caloptéryx vierge méridional, Caloptéryx méridional</t>
  </si>
  <si>
    <t>789604 - 789670 - 65086 - 789669 - 789865 - 789866</t>
  </si>
  <si>
    <t>Caloptéryx vierge septentrional, Caloptéryx vierge</t>
  </si>
  <si>
    <t>650923 - 650912</t>
  </si>
  <si>
    <t>789602 - 65101 - 789720 - 808434 - 816992 - 789583 - 789719</t>
  </si>
  <si>
    <t>Petite nymphe au corps de feu (La)</t>
  </si>
  <si>
    <t>808438 - 65109 - 789565 - 789586 - 789553</t>
  </si>
  <si>
    <t>Agrion élégant</t>
  </si>
  <si>
    <t>65320 - 65113 - 816988</t>
  </si>
  <si>
    <t>Agrion de Gené</t>
  </si>
  <si>
    <t>789556 - 816990 - 789560 - 65115</t>
  </si>
  <si>
    <t>Agrion nain (L')</t>
  </si>
  <si>
    <t>65131 - 789725</t>
  </si>
  <si>
    <t>Agrion mignon (L')</t>
  </si>
  <si>
    <t>65133 - 789724 - 65135</t>
  </si>
  <si>
    <t>Agrion de Mercure</t>
  </si>
  <si>
    <t>Coenagrion mercuriale</t>
  </si>
  <si>
    <t>2020-2030 / 2011-2015</t>
  </si>
  <si>
    <t>816937 - 65139</t>
  </si>
  <si>
    <t>Agrion orné</t>
  </si>
  <si>
    <t>Coenagrion ornatum</t>
  </si>
  <si>
    <t>816987 - 65141 - 789585 - 65186</t>
  </si>
  <si>
    <t>Agrion jouvencelle</t>
  </si>
  <si>
    <t>65145 - 789722 - 789723</t>
  </si>
  <si>
    <t>Agrion joli</t>
  </si>
  <si>
    <t>Coenagrion pulchellum</t>
  </si>
  <si>
    <t>2020-2030</t>
  </si>
  <si>
    <t>65149 - 65147 - 816986</t>
  </si>
  <si>
    <t>Agrion à lunules</t>
  </si>
  <si>
    <t>Coenagrion lunulatum</t>
  </si>
  <si>
    <t>65151 - 816984</t>
  </si>
  <si>
    <t>Agrion à fer de lance, Agrion hasté (L')</t>
  </si>
  <si>
    <t>Coenagrion hastulatum</t>
  </si>
  <si>
    <t>789559 - 808437 - 65155</t>
  </si>
  <si>
    <t>Agrion porte-coupe</t>
  </si>
  <si>
    <t>789562 - 65161 - 808433</t>
  </si>
  <si>
    <t>Naïade aux yeux rouges (La)</t>
  </si>
  <si>
    <t>65165 - 808436</t>
  </si>
  <si>
    <t>Naïade au corps vert (La)</t>
  </si>
  <si>
    <t>816991 - 65174 - 789561</t>
  </si>
  <si>
    <t>Déesse précieuse</t>
  </si>
  <si>
    <t>Nehalennia speciosa</t>
  </si>
  <si>
    <t>Agrion orangé</t>
  </si>
  <si>
    <t>Agrion blanchâtre</t>
  </si>
  <si>
    <t>789715 - 789717 - 789718 - 789716 - 816982 - 65184 - 789599</t>
  </si>
  <si>
    <t>Agrion à larges pattes, Pennipatte bleuâtre</t>
  </si>
  <si>
    <t>65192 - 816981 - 808399</t>
  </si>
  <si>
    <t>Leste brun</t>
  </si>
  <si>
    <t>789711 - 789713 - 789694 - 789582 - 65199</t>
  </si>
  <si>
    <t>Leste sauvage</t>
  </si>
  <si>
    <t>816980 - 65202</t>
  </si>
  <si>
    <t>Leste verdoyant</t>
  </si>
  <si>
    <t>65204 - 789862</t>
  </si>
  <si>
    <t>Leste verdoyant septentrional</t>
  </si>
  <si>
    <t>789603 - 65208 - 789588 - 789598 - 789564</t>
  </si>
  <si>
    <t>Leste fiancé</t>
  </si>
  <si>
    <t>Lestes sponsa</t>
  </si>
  <si>
    <t>976210 - 432547 - 53935 - 652083 - 392399 - 219814 - 777255 - 608343 - 646261 - 608344 - 646268 - 53933</t>
  </si>
  <si>
    <t>Nacré de la Bistorte (Le), Vanesse loyale (La)</t>
  </si>
  <si>
    <t>Boloria eunomia</t>
  </si>
  <si>
    <t>65214 - 789704 - 789706</t>
  </si>
  <si>
    <t>Leste des bois, Leste dryade</t>
  </si>
  <si>
    <t>65220 - 199677 - 789566 - 820370 - 65219</t>
  </si>
  <si>
    <t>Leste vert</t>
  </si>
  <si>
    <t>817002 - 65225</t>
  </si>
  <si>
    <t>Gomphe vulgaire (Le)</t>
  </si>
  <si>
    <t>65227 - 789554</t>
  </si>
  <si>
    <t>Gomphe joli (Le)</t>
  </si>
  <si>
    <t>Gomphe de Graslin (Le), Gomphe à cercoïdes fourchus (Le)</t>
  </si>
  <si>
    <t>Gomphus graslinii</t>
  </si>
  <si>
    <t>789555 - 789504 - 65234 - 65236</t>
  </si>
  <si>
    <t>Gomphe à pattes jaunes (Le)</t>
  </si>
  <si>
    <t>Stylurus flavipes</t>
  </si>
  <si>
    <t>65243 - 406618 - 808392 - 199684 - 65246</t>
  </si>
  <si>
    <t>Gomphe serpentin, Cécile</t>
  </si>
  <si>
    <t>Ophiogomphus cecilia</t>
  </si>
  <si>
    <t>65249 - 817004 - 789486</t>
  </si>
  <si>
    <t>Gomphe à forceps (Le), Gomphe à pinces (Le)</t>
  </si>
  <si>
    <t>817006 - 65254 - 789502 - 789501</t>
  </si>
  <si>
    <t>Gomphe à crochets (Le)</t>
  </si>
  <si>
    <t>65262 - 65264</t>
  </si>
  <si>
    <t>Libellule déprimée (La)</t>
  </si>
  <si>
    <t>65265 - 789678 - 808380 - 65267</t>
  </si>
  <si>
    <t>Libellule fauve (La)</t>
  </si>
  <si>
    <t>789677 - 789674 - 789675 - 65271</t>
  </si>
  <si>
    <t>Libellule quadrimaculée (La), Libellule à quatre taches (La)</t>
  </si>
  <si>
    <t>801338 - 652775 - 222057</t>
  </si>
  <si>
    <t>65278 - 808381</t>
  </si>
  <si>
    <t>Orthétrum réticulé (L')</t>
  </si>
  <si>
    <t>65282 - 817020</t>
  </si>
  <si>
    <t>Orthétrum à stylets blancs (L')</t>
  </si>
  <si>
    <t>808382 - 808383 - 65284 - 65296</t>
  </si>
  <si>
    <t>Orthétrum bleuissant (L')</t>
  </si>
  <si>
    <t>817021 - 904883 - 65290</t>
  </si>
  <si>
    <t>Orthétrum brun (L')</t>
  </si>
  <si>
    <t>808384 - 817015 - 65300</t>
  </si>
  <si>
    <t>Crocothémis écarlate (Le)</t>
  </si>
  <si>
    <t>65308 - 817027</t>
  </si>
  <si>
    <t>Sympétrum du Piémont (Le)</t>
  </si>
  <si>
    <t>Sympetrum pedemontanum</t>
  </si>
  <si>
    <t>65312 - 817023</t>
  </si>
  <si>
    <t>Sympétrum noir (Le)</t>
  </si>
  <si>
    <t>Sympetrum danae</t>
  </si>
  <si>
    <t>65318 - 817024</t>
  </si>
  <si>
    <t>Sympétrum déprimé (Le)</t>
  </si>
  <si>
    <t>Sympetrum depressiusculum</t>
  </si>
  <si>
    <t>808386 - 65322 - 817028 - 789871</t>
  </si>
  <si>
    <t>Sympétrum sanguin (Le), Sympétrum rouge sang (Le)</t>
  </si>
  <si>
    <t>65327 - 808388 - 951549</t>
  </si>
  <si>
    <t>Sympétrum jaune d'or (Le)</t>
  </si>
  <si>
    <t>Sympetrum flaveolum</t>
  </si>
  <si>
    <t>65088 - 653281 - 908834 - 714269 - 65130 - 789597 - 65090 - 199676</t>
  </si>
  <si>
    <t>Caloptéryx éclatant</t>
  </si>
  <si>
    <t>789721 - 65128 - 65169 - 808435 - 653286 - 816983</t>
  </si>
  <si>
    <t>Agrion délicat</t>
  </si>
  <si>
    <t>808393 - 653291 - 65229</t>
  </si>
  <si>
    <t>Gomphe semblable (Le)</t>
  </si>
  <si>
    <t>Sympétrum vulgaire</t>
  </si>
  <si>
    <t>65335 - 65333 - 817025 - 65336</t>
  </si>
  <si>
    <t>Sympétrum de Fonscolombe (Le)</t>
  </si>
  <si>
    <t>65339 - 817026 - 808387</t>
  </si>
  <si>
    <t>Sympétrum méridional (Le)</t>
  </si>
  <si>
    <t>65344 - 817029</t>
  </si>
  <si>
    <t>Sympétrum fascié (Le)</t>
  </si>
  <si>
    <t>808385 - 65348</t>
  </si>
  <si>
    <t>Sympétrum vulgaire (Le)</t>
  </si>
  <si>
    <t>Sympetrum vulgatum</t>
  </si>
  <si>
    <t>817018 - 65352</t>
  </si>
  <si>
    <t>Leucorrhine douteuse (La)</t>
  </si>
  <si>
    <t>Leucorrhinia dubia</t>
  </si>
  <si>
    <t>65356 - 808389</t>
  </si>
  <si>
    <t>Leucorrhine à gros thorax (La)</t>
  </si>
  <si>
    <t>Leucorrhinia pectoralis</t>
  </si>
  <si>
    <t>817019 - 65358</t>
  </si>
  <si>
    <t>Leucorrhine rubiconde (La)</t>
  </si>
  <si>
    <t>Leucorrhinia rubicunda</t>
  </si>
  <si>
    <t>817017 - 65361</t>
  </si>
  <si>
    <t>Leucorrhine à large queue (La)</t>
  </si>
  <si>
    <t>Leucorrhinia caudalis</t>
  </si>
  <si>
    <t>65366 - 817016</t>
  </si>
  <si>
    <t>Leucorrhine à front blanc (La)</t>
  </si>
  <si>
    <t>Leucorrhinia albifrons</t>
  </si>
  <si>
    <t>817010 - 65376</t>
  </si>
  <si>
    <t>Cordulie bronzée (La)</t>
  </si>
  <si>
    <t>653777 - 239644 - 239639 - 407160 - 1000039 - 53112 - 407159 - 816821</t>
  </si>
  <si>
    <t>65379 - 65381 - 808390</t>
  </si>
  <si>
    <t>Cordulie à corps fin (La), Oxycordulie à corps fin (L')</t>
  </si>
  <si>
    <t>Oxygastra curtisii</t>
  </si>
  <si>
    <t>65094 - 789693 - 789864 - 789686 - 789687 - 789861 - 653829</t>
  </si>
  <si>
    <t>65387 - 817011</t>
  </si>
  <si>
    <t>Épithèque bimaculée (L'), Cordulie à deux taches (La)</t>
  </si>
  <si>
    <t>65391 - 817012</t>
  </si>
  <si>
    <t>Cordulie alpestre (La)</t>
  </si>
  <si>
    <t>Somatochlora alpestris</t>
  </si>
  <si>
    <t>65393 - 817014 - 199688</t>
  </si>
  <si>
    <t>Cordulie métallique (La)</t>
  </si>
  <si>
    <t>65395 - 817013</t>
  </si>
  <si>
    <t>Cordulie à taches jaunes (La)</t>
  </si>
  <si>
    <t>65397 - 905002</t>
  </si>
  <si>
    <t>Cordulie arctique (La)</t>
  </si>
  <si>
    <t>Somatochlora arctica</t>
  </si>
  <si>
    <t>789663 - 808398 - 65412</t>
  </si>
  <si>
    <t>Aeschne paisible (L')</t>
  </si>
  <si>
    <t>808379 - 65415 - 65417 - 820828 - 817000</t>
  </si>
  <si>
    <t>Aeschne printanière (L')</t>
  </si>
  <si>
    <t>789499 - 789510 - 65425 - 789500 - 65427 - 816997 - 789495</t>
  </si>
  <si>
    <t>Aeschne des joncs</t>
  </si>
  <si>
    <t>Aeshna juncea</t>
  </si>
  <si>
    <t>Aeshna subarctica</t>
  </si>
  <si>
    <t>65434 - 789513</t>
  </si>
  <si>
    <t>Aeschne subarctique (L')</t>
  </si>
  <si>
    <t>789505 - 789680 - 816994 - 789507 - 808397 - 65440 - 789506</t>
  </si>
  <si>
    <t>Aeschne bleue (L')</t>
  </si>
  <si>
    <t>816995 - 65448 - 65446</t>
  </si>
  <si>
    <t>Grande Aeschne (La)</t>
  </si>
  <si>
    <t>789681 - 65451 - 789508 - 789509</t>
  </si>
  <si>
    <t>Aeschne mixte</t>
  </si>
  <si>
    <t>65454 - 789487 - 65456 - 789494</t>
  </si>
  <si>
    <t>Aeschne affine</t>
  </si>
  <si>
    <t>789497 - 65467 - 817001 - 626161 - 789496</t>
  </si>
  <si>
    <t>Anax porte-selle (L')</t>
  </si>
  <si>
    <t>65473 - 789485 - 789493</t>
  </si>
  <si>
    <t>Anax empereur (L')</t>
  </si>
  <si>
    <t>65477 - 816999</t>
  </si>
  <si>
    <t>Anax napolitain (L')</t>
  </si>
  <si>
    <t>848127 - 65488 - 65487</t>
  </si>
  <si>
    <t>Criquet ensanglanté, Œdipode ensanglantée</t>
  </si>
  <si>
    <t>65497 - 432553 - 65496 - 952991</t>
  </si>
  <si>
    <t>Criquet des Genévriers</t>
  </si>
  <si>
    <t>824236 - 824238 - 65516 - 824239 - 824237</t>
  </si>
  <si>
    <t>65517 - 824241 - 824240 - 824242 - 824243</t>
  </si>
  <si>
    <t>65518 - 824244</t>
  </si>
  <si>
    <t>65520 - 824225</t>
  </si>
  <si>
    <t>824228 - 65521 - 824226</t>
  </si>
  <si>
    <t>824149 - 65534 - 824151 - 824152</t>
  </si>
  <si>
    <t>65535 - 824156 - 824158 - 824157</t>
  </si>
  <si>
    <t>824106 - 65539</t>
  </si>
  <si>
    <t>824118 - 65540 - 65541 - 824112 - 824121 - 824122 - 824127 - 824116 - 824110 - 824114 - 824126 - 824124 - 824120 - 824115 - 824125 - 824117 - 824111</t>
  </si>
  <si>
    <t>65543 - 824140</t>
  </si>
  <si>
    <t>824142 - 824143 - 65544 - 824144 - 824141</t>
  </si>
  <si>
    <t>266698 - 65551</t>
  </si>
  <si>
    <t>65554 - 824374 - 820836 - 824376 - 824378 - 824377 - 824373</t>
  </si>
  <si>
    <t>65555 - 824379 - 655692</t>
  </si>
  <si>
    <t>824386 - 65563 - 824387 - 824385</t>
  </si>
  <si>
    <t>392491 - 65568</t>
  </si>
  <si>
    <t>824182 - 821766 - 824181 - 824179 - 65585 - 821767 - 824178 - 65586</t>
  </si>
  <si>
    <t>824078 - 824073 - 824075 - 824074 - 65589 - 824077 - 824076 - 655707</t>
  </si>
  <si>
    <t>824248 - 65591</t>
  </si>
  <si>
    <t>824256 - 65594</t>
  </si>
  <si>
    <t>824260 - 65595 - 824259 - 824257</t>
  </si>
  <si>
    <t>65596 - 824262</t>
  </si>
  <si>
    <t>65597 - 824263</t>
  </si>
  <si>
    <t>824265 - 65598</t>
  </si>
  <si>
    <t>824268 - 65599 - 824266 - 824267</t>
  </si>
  <si>
    <t>789896 - 789895 - 65602 - 824200 - 824199</t>
  </si>
  <si>
    <t>824212 - 824209 - 824214 - 824210 - 824211 - 824213 - 65607</t>
  </si>
  <si>
    <t>824215 - 65608 - 824216</t>
  </si>
  <si>
    <t>65613 - 953423 - 953424 - 953420 - 953422</t>
  </si>
  <si>
    <t>Phanéroptère commun, Phanéroptère porte-faux, Phanéroptère en faulx,  Phanéroptère en faux</t>
  </si>
  <si>
    <t>65614 - 65615 - 65616</t>
  </si>
  <si>
    <t>Phanéroptère méridional</t>
  </si>
  <si>
    <t>65625 - 953413</t>
  </si>
  <si>
    <t>Barbitiste des Pyrénées</t>
  </si>
  <si>
    <t>953414 - 953416 - 953415 - 65636 - 953417 - 953418</t>
  </si>
  <si>
    <t>Leptophye ponctuée, Sauterelle ponctuée, Barbitiste trèsponctué</t>
  </si>
  <si>
    <t>65642 - 65641 - 65646 - 593284</t>
  </si>
  <si>
    <t>Barbitiste ventru,  Barbitiste queue-dentée</t>
  </si>
  <si>
    <t>848105 - 65687</t>
  </si>
  <si>
    <t>Dectique verrucivore, Sauterelle à sabre, Sauterelle rondue, Dectique commun, Dectique</t>
  </si>
  <si>
    <t>65697 - 65716 - 953490 - 65698</t>
  </si>
  <si>
    <t>Decticelle grisâtre, Dectique gris</t>
  </si>
  <si>
    <t>65700 - 1006370 - 65699 - 65695 - 593348 - 65682</t>
  </si>
  <si>
    <t>Decticelle chagrinée</t>
  </si>
  <si>
    <t>953483 - 953484 - 953485 - 953482 - 65718 - 953487 - 953480</t>
  </si>
  <si>
    <t>Decticelle des bruyères</t>
  </si>
  <si>
    <t>953489 - 65719 - 65691 - 65690 - 65692</t>
  </si>
  <si>
    <t>Decticelle des alpages</t>
  </si>
  <si>
    <t>65739 - 953467 - 953469</t>
  </si>
  <si>
    <t>Decticelle trompeuse</t>
  </si>
  <si>
    <t>888095 - 65740 - 65912 - 65741</t>
  </si>
  <si>
    <t>Decticelle cendrée, Ptérolèpe aptère</t>
  </si>
  <si>
    <t>65765 - 953474</t>
  </si>
  <si>
    <t>Antaxie marbrée, Antaxie commune, Decticelle marbrée</t>
  </si>
  <si>
    <t>953447 - 953456 - 953449 - 953455 - 953454 - 953451 - 65771 - 953450</t>
  </si>
  <si>
    <t>Dectique des brandes</t>
  </si>
  <si>
    <t>848103 - 65775 - 65868 - 65774</t>
  </si>
  <si>
    <t>Grande Sauterelle verte, Sauterelle verte (des prés),  Tettigonie verte, Sauterelle à coutelas</t>
  </si>
  <si>
    <t>Blatte orientale</t>
  </si>
  <si>
    <t>65787 - 847614</t>
  </si>
  <si>
    <t>914786 - 914790 - 914789 - 914784 - 914785 - 914783 - 914787 - 914788 - 65788 - 914782</t>
  </si>
  <si>
    <t>65783 - 65794 - 716346 - 65793 - 973192 - 1013655 - 65795</t>
  </si>
  <si>
    <t>1013657 - 65797</t>
  </si>
  <si>
    <t>65801 - 820810 - 65802</t>
  </si>
  <si>
    <t>Blatte jaune</t>
  </si>
  <si>
    <t>1013666 - 65807</t>
  </si>
  <si>
    <t>65808 - 1013665 - 427020</t>
  </si>
  <si>
    <t>1013668 - 65810 - 716924</t>
  </si>
  <si>
    <t>820811 - 65814</t>
  </si>
  <si>
    <t>Blatte germanique</t>
  </si>
  <si>
    <t>913721 - 65816 - 638471 - 65811</t>
  </si>
  <si>
    <t>970646 - 65818</t>
  </si>
  <si>
    <t>1010092 - 1010089 - 65823 - 1010077</t>
  </si>
  <si>
    <t>65827 - 1010070 - 1010074 - 1010071 - 1010075 - 1010073 - 1010072</t>
  </si>
  <si>
    <t>Empuse commune, Diablotin</t>
  </si>
  <si>
    <t>65832 - 1010065 - 159440 - 65833 - 1010047 - 1010068 - 65831</t>
  </si>
  <si>
    <t>1010037 - 65834</t>
  </si>
  <si>
    <t>Mante décolorée</t>
  </si>
  <si>
    <t>65836 - 1010095 - 1010094</t>
  </si>
  <si>
    <t>Mante tuberculée</t>
  </si>
  <si>
    <t>1010086 - 1010090 - 847618 - 1010087 - 1010069 - 1010088 - 1010085 - 1010083 - 1010084 - 65839</t>
  </si>
  <si>
    <t>Mante religieuse</t>
  </si>
  <si>
    <t>1010081 - 1010082 - 1010076 - 1010079 - 65842 - 847619 - 1010080 - 1010078</t>
  </si>
  <si>
    <t>Mante ocellée</t>
  </si>
  <si>
    <t>397666 - 65851 - 397667 - 579508 - 397669 - 397668 - 397665</t>
  </si>
  <si>
    <t>397664 - 825377 - 65853</t>
  </si>
  <si>
    <t>397657 - 397658 - 397662 - 969794 - 397659 - 397660 - 397656 - 397655 - 397661 - 846069 - 65854 - 397663</t>
  </si>
  <si>
    <t>397691 - 816770 - 281412 - 224195 - 65861 - 816769</t>
  </si>
  <si>
    <t>397699 - 397698 - 397700 - 397697 - 65863 - 825472 - 397701</t>
  </si>
  <si>
    <t>65865 - 916468 - 397690</t>
  </si>
  <si>
    <t>65866 - 397689</t>
  </si>
  <si>
    <t>65870 - 65869 - 792217</t>
  </si>
  <si>
    <t>Sauterelle cymbalière, Sauterelle chanteuse</t>
  </si>
  <si>
    <t>65876 - 953363 - 953360 - 953357 - 953359 - 953361 - 820812 - 65877</t>
  </si>
  <si>
    <t>Conocéphale bigarré, Xiphidion Brun</t>
  </si>
  <si>
    <t>953341 - 65878 - 953343 - 953339 - 953344</t>
  </si>
  <si>
    <t>Conocéphale des Roseaux</t>
  </si>
  <si>
    <t>65883 - 65882 - 953382 - 953383 - 953384 - 953379 - 953385 - 953377 - 65879 - 65884 - 953381 - 953380</t>
  </si>
  <si>
    <t>Conocéphale gracieux, Conocéphale mandibulaire</t>
  </si>
  <si>
    <t>65886 - 65885</t>
  </si>
  <si>
    <t>Conocéphale gracieux</t>
  </si>
  <si>
    <t>65889 - 65890 - 820815 - 888076</t>
  </si>
  <si>
    <t>Méconème tambourinaire, Méconème varié,  Sauterelle des Chênes</t>
  </si>
  <si>
    <t>1015502 - 65891 - 65892</t>
  </si>
  <si>
    <t>Méconème fragile</t>
  </si>
  <si>
    <t>65901 - 848065 - 65900 - 65899</t>
  </si>
  <si>
    <t>Courtilière commune, Courtilière, Taupe-Grillon, Perce-chaussée, Taupette, Avant-taupe, Ecrevisse de terre, Loup de terre</t>
  </si>
  <si>
    <t>Grillon provençal</t>
  </si>
  <si>
    <t>65910 - 950551</t>
  </si>
  <si>
    <t>Grillon champêtre, Grillon des champs, Gril, Riquet, Cricri,Grésillon, Grillon sauvage, Petit Cheval du Bon Dieu, Grill</t>
  </si>
  <si>
    <t>65918 - 820817</t>
  </si>
  <si>
    <t>Grillon domestique, Grillon du foyer, Cri-cri, Grelet, Grillon des maisons, Grillet, Grillot, Crinchon, Guersillon, Petit Cheval du Bon Dieu</t>
  </si>
  <si>
    <t>820818 - 65932 - 953273</t>
  </si>
  <si>
    <t>Grillon des bois, Grillon forestier, Nemobie forestier, Némobie forestière</t>
  </si>
  <si>
    <t>953274 - 65934</t>
  </si>
  <si>
    <t>932642 - 65935 - 536038</t>
  </si>
  <si>
    <t>Grillon des torrents</t>
  </si>
  <si>
    <t>65944 - 973196 - 953256</t>
  </si>
  <si>
    <t>Grillon d'Italie, Oecanthe transparent, Grillon transparent, Vairët</t>
  </si>
  <si>
    <t>953264 - 65951 - 953263</t>
  </si>
  <si>
    <t>Fourmigril commun, Myrmécophile social, Myrmécophile sociale</t>
  </si>
  <si>
    <t>65979 - 997694</t>
  </si>
  <si>
    <t>220013 - 65984 - 1013669 - 65985</t>
  </si>
  <si>
    <t>397675 - 825473 - 397672 - 65991 - 397674 - 397677 - 397681 - 397676 - 397678 - 397680 - 397679</t>
  </si>
  <si>
    <t>Forficule, Pince-oreille, Perce-oreille</t>
  </si>
  <si>
    <t>397684 - 397682 - 65992 - 397683</t>
  </si>
  <si>
    <t>397715 - 397714 - 397731 - 397717 - 397745 - 397727 - 397734 - 397740 - 397722 - 397732 - 397735 - 397723 - 66001 - 397733 - 397721 - 397738 - 397746 - 397730 - 397724 - 397720 - 397716 - 397741 - 397744 - 397728 - 397737 - 397743 - 916478 - 397718 - 397726 - 397710 - 397719 - 397736 - 397725 - 397739 - 397729 - 397742 - 397713 - 397711 - 397712</t>
  </si>
  <si>
    <t>Perce-oreille des plages</t>
  </si>
  <si>
    <t>397704 - 397706 - 397708 - 397707 - 66000 - 397702 - 66003 - 397705 - 397703 - 825354</t>
  </si>
  <si>
    <t>397754 - 66007 - 397753 - 820809</t>
  </si>
  <si>
    <t>Petite forficule</t>
  </si>
  <si>
    <t>397748 - 397752 - 66009 - 397749 - 397747 - 397750 - 638725 - 397751 - 825371</t>
  </si>
  <si>
    <t>825396 - 432554 - 66017</t>
  </si>
  <si>
    <t>Phasme gaulois</t>
  </si>
  <si>
    <t>953168 - 953165 - 953166 - 953167 - 66026 - 953164</t>
  </si>
  <si>
    <t>Tétrix des plages, Tétrix méridional</t>
  </si>
  <si>
    <t>66028 - 847909</t>
  </si>
  <si>
    <t>Tétrix calcicole,  Criquet à capuchon, Tétrix biponctuée, Tétrix des sables</t>
  </si>
  <si>
    <t>Tétrix caucasien, Tétrix des rizières</t>
  </si>
  <si>
    <t>825413 - 66030</t>
  </si>
  <si>
    <t>Tétrix des vasières</t>
  </si>
  <si>
    <t>848063 - 66032</t>
  </si>
  <si>
    <t>Tétrix riverain, Tétrix subulé, Tétrix subulée,  Criquet à corselet allongé</t>
  </si>
  <si>
    <t>837863 - 407261 - 953175 - 66041 - 789482 - 66036</t>
  </si>
  <si>
    <t>Tétrix forestier, Tétrix des clairières, Tétrix commun</t>
  </si>
  <si>
    <t>952977 - 66067 - 952975 - 952978 - 952979 - 952971</t>
  </si>
  <si>
    <t>Arcyptère bariolée, Poupée sibérienne, Criquet bariolé</t>
  </si>
  <si>
    <t>952985 - 66068</t>
  </si>
  <si>
    <t>Arcyptère savoyarde</t>
  </si>
  <si>
    <t>952990 - 66077</t>
  </si>
  <si>
    <t>Criquet des clairières</t>
  </si>
  <si>
    <t>66085 - 953028 - 66097</t>
  </si>
  <si>
    <t>Criquet rouge-queue</t>
  </si>
  <si>
    <t>953029 - 953031 - 66086 - 953030</t>
  </si>
  <si>
    <t>Criquet des friches</t>
  </si>
  <si>
    <t>66084 - 592932 - 66089 - 953034 - 953035 - 783228 - 66088 - 953036 - 953033</t>
  </si>
  <si>
    <t>Criquet noir-ébène</t>
  </si>
  <si>
    <t>66090 - 848121</t>
  </si>
  <si>
    <t>Criquet verdelet, Criquet smaragdin</t>
  </si>
  <si>
    <t>Déterminante sous conditions géographiques</t>
  </si>
  <si>
    <t>Régions naturelles du Haut-Morvan, Bas-Morvan, Bassin houiller, Annexes cristallines du Morvan</t>
  </si>
  <si>
    <t>953037 - 66092 - 407263 - 66091 - 407264</t>
  </si>
  <si>
    <t>Sténobothre catalan</t>
  </si>
  <si>
    <t>66100 - 953043</t>
  </si>
  <si>
    <t>Criquet de la Palène, Sténobothre ligné, Criquet du Brachypode</t>
  </si>
  <si>
    <t>953042 - 66101</t>
  </si>
  <si>
    <t>Sténobothre cigalin, Criquet de Fischer</t>
  </si>
  <si>
    <t>953044 - 66102</t>
  </si>
  <si>
    <t>Sténobothre bourdonneur, Criquet bourdonneur</t>
  </si>
  <si>
    <t>953045 - 66103</t>
  </si>
  <si>
    <t>Sténobothre nain</t>
  </si>
  <si>
    <t>Sténobothre cottien</t>
  </si>
  <si>
    <t>66114 - 66113 - 848125</t>
  </si>
  <si>
    <t>Gomphocère roux, Gomphocère, Gomphocère fauve</t>
  </si>
  <si>
    <t>953027 - 66121</t>
  </si>
  <si>
    <t>Gomphocère tacheté, Gomphocère double-signe</t>
  </si>
  <si>
    <t>66098 - 66129 - 66128 - 953041</t>
  </si>
  <si>
    <t>Criquet jacasseur, Staurodère scalaire</t>
  </si>
  <si>
    <t>952997 - 952996 - 66157 - 888057</t>
  </si>
  <si>
    <t>Criquet marginé</t>
  </si>
  <si>
    <t>952998 - 952999 - 66159</t>
  </si>
  <si>
    <t>Criquet verte-échine</t>
  </si>
  <si>
    <t>953011 - 66173</t>
  </si>
  <si>
    <t>Criquet des mouillères, Criquet des Bromes</t>
  </si>
  <si>
    <t>66178 - 848117 - 820820 - 432559</t>
  </si>
  <si>
    <t>OEdipode stridulante</t>
  </si>
  <si>
    <t>66181 - 820819 - 848109</t>
  </si>
  <si>
    <t>Criquet migrateur, Criquet voyageur, Criquet cendré, Criquet émigrant, Fraterelle de passage, Locuste, Sauterelle de passage, Oedipode voyageuse</t>
  </si>
  <si>
    <t>973193 - 66187 - 953135 - 66186</t>
  </si>
  <si>
    <t>Oedipode soufrée</t>
  </si>
  <si>
    <t>66192 - 66193 - 820821 - 66194 - 848113 - 973197</t>
  </si>
  <si>
    <t>OEdipode turquoise, Criquet à ailes bleues et noires, Criquet bleu, Criquet rubané, OEdipode bleue, Oedipode bleuâtre</t>
  </si>
  <si>
    <t>953140 - 66196 - 953141 - 953142</t>
  </si>
  <si>
    <t>OEdipode rouge, Criquet à ailes rouges,  Criquet rubané, Criquet rouge, Oedipode germanique</t>
  </si>
  <si>
    <t>66200 - 953149</t>
  </si>
  <si>
    <t>Oedipode aigue-marine, Criquet à ailes bleues, Oedipode Azurée</t>
  </si>
  <si>
    <t>Oedipode aigue-marine</t>
  </si>
  <si>
    <t>953099 - 953095 - 66214 - 953100 - 953094 - 953101 - 953098 - 953096</t>
  </si>
  <si>
    <t>Oedipode émeraudine</t>
  </si>
  <si>
    <t>953087 - 953092 - 66215 - 953091</t>
  </si>
  <si>
    <t>OEdipode automnale, Criquet farouche</t>
  </si>
  <si>
    <t>66223 - 953116</t>
  </si>
  <si>
    <t>Criquet tricolore</t>
  </si>
  <si>
    <t>721733 - 972347 - 66243 - 953072 - 66244</t>
  </si>
  <si>
    <t>Miramelle pyrénéenne</t>
  </si>
  <si>
    <t>66250 - 953074 - 66251</t>
  </si>
  <si>
    <t>Miramelle alpestre</t>
  </si>
  <si>
    <t>952894 - 952890 - 952892 - 66262 - 952893 - 952891 - 952889 - 952888</t>
  </si>
  <si>
    <t>Criquet égyptien</t>
  </si>
  <si>
    <t>66268 - 848115</t>
  </si>
  <si>
    <t>Caloptène italien, Criquet italien, Calliptame italique, Criquet italique</t>
  </si>
  <si>
    <t>952883 - 66273 - 66270 - 614802</t>
  </si>
  <si>
    <t>Caloptène ochracé, Criquet de Barbarie</t>
  </si>
  <si>
    <t>688399 - 18390 - 688400 - 688398 - 669412 - 688397</t>
  </si>
  <si>
    <t>Caridine, Crevette d'eau douce</t>
  </si>
  <si>
    <t>675621 - 675622 - 801248 - 432570</t>
  </si>
  <si>
    <t>416219 - 248427 - 810147 - 698323</t>
  </si>
  <si>
    <t>Acidalie maigre (L')</t>
  </si>
  <si>
    <t>698953 - 200606 - 698946 - 10986 - 698956 - 800876 - 698955</t>
  </si>
  <si>
    <t>Trichie gauloise, Trichie de France, Trichie du rosier</t>
  </si>
  <si>
    <t>1011443 - 920685 - 699581</t>
  </si>
  <si>
    <t>Périzome jurassienne (La)</t>
  </si>
  <si>
    <t>415754 - 699871 - 415755 - 247832 - 699869 - 699879 - 699877 - 699878 - 699873 - 415753</t>
  </si>
  <si>
    <t>699882 - 247833 - 415756 - 699881 - 699883</t>
  </si>
  <si>
    <t>699887 - 237021</t>
  </si>
  <si>
    <t>415736 - 699935 - 247817 - 699937</t>
  </si>
  <si>
    <t>247837 - 714797 - 980750 - 701411 - 701412 - 415762</t>
  </si>
  <si>
    <t>701438 - 241092 - 808796 - 789873</t>
  </si>
  <si>
    <t>Cigalette argentée (la)</t>
  </si>
  <si>
    <t>701464 - 415767 - 701463 - 247839 - 701465 - 701462</t>
  </si>
  <si>
    <t>824802 - 701600 - 701599 - 247468</t>
  </si>
  <si>
    <t>247811 - 701622 - 826677 - 701623 - 415729</t>
  </si>
  <si>
    <t>415699 - 701642 - 701643 - 415700 - 415702 - 981212</t>
  </si>
  <si>
    <t>415678 - 701715 - 415676 - 415677 - 415679 - 701713 - 415681 - 247784 - 701716 - 716898 - 415675 - 415680</t>
  </si>
  <si>
    <t>701917 - 248919 - 916677 - 416448 - 777982</t>
  </si>
  <si>
    <t>Phalène honorée (La)</t>
  </si>
  <si>
    <t>701921 - 933980</t>
  </si>
  <si>
    <t>Drosophile à ailes tachetées, Drosophile du cerisier, Moucheron asiatique, Drosophile asiatique, Drosophile japonaise</t>
  </si>
  <si>
    <t>712921 - 820952 - 239580 - 820953 - 712923</t>
  </si>
  <si>
    <t>Abeille maçonne à poils roux</t>
  </si>
  <si>
    <t>403540 - 713056 - 403542 - 403539 - 713055 - 403541 - 234799 - 234803</t>
  </si>
  <si>
    <t>715127 - 715126</t>
  </si>
  <si>
    <t>903992 - 716197 - 1283 - 234101</t>
  </si>
  <si>
    <t>716247 - 716248 - 277153 - 427992 - 716246 - 8651</t>
  </si>
  <si>
    <t>817892 - 817891 - 817890 - 818774 - 716420 - 817889 - 818795 - 52428 - 821054</t>
  </si>
  <si>
    <t>716422 - 821081 - 231902</t>
  </si>
  <si>
    <t>231854 - 716424</t>
  </si>
  <si>
    <t>401323 - 819328 - 401324 - 819062 - 231869 - 716426</t>
  </si>
  <si>
    <t>818647 - 231896 - 818554 - 818557 - 818555 - 818556 - 716428 - 819063</t>
  </si>
  <si>
    <t>Mouche-à-scie à deux bandes jaunes</t>
  </si>
  <si>
    <t>248334 - 977970 - 416046 - 716453 - 924473</t>
  </si>
  <si>
    <t>Eudorée pâle</t>
  </si>
  <si>
    <t>916725 - 822653 - 249692 - 716457</t>
  </si>
  <si>
    <t>Cucullie de la Scrophulaire (La)</t>
  </si>
  <si>
    <t>849543 - 249696 - 716458</t>
  </si>
  <si>
    <t>Brèche (La)</t>
  </si>
  <si>
    <t>249690 - 716460 - 783875</t>
  </si>
  <si>
    <t>Cucullie de la Rue-des-Chiens (La)</t>
  </si>
  <si>
    <t>249695 - 716464</t>
  </si>
  <si>
    <t>Cucullie de la Molène-Lychnis (La), Bréchette (La)</t>
  </si>
  <si>
    <t>777610 - 716691 - 784110 - 811416 - 809710 - 809711 - 249057</t>
  </si>
  <si>
    <t>Ecaille fasciée (L')</t>
  </si>
  <si>
    <t>807142 - 716692 - 887609 - 807143 - 249102 - 917597</t>
  </si>
  <si>
    <t>416982 - 249075 - 984117 - 941045 - 811542 - 887610 - 416491 - 716693 - 774050</t>
  </si>
  <si>
    <t>Deuil (Le), Écaille funèbre (L')</t>
  </si>
  <si>
    <t>887625 - 915519 - 249471 - 716726 - 716725 - 783710</t>
  </si>
  <si>
    <t>Hadène de l'Anarrhine (L')</t>
  </si>
  <si>
    <t>235027 - 404263 - 404265 - 404264 - 252114 - 404262 - 252115 - 306521 - 716729</t>
  </si>
  <si>
    <t>402028 - 718154 - 852124 - 232649 - 402029</t>
  </si>
  <si>
    <t>718162 - 402101 - 232702 - 402123</t>
  </si>
  <si>
    <t>235134 - 718452 - 718453</t>
  </si>
  <si>
    <t>431774 - 324995 - 803718 - 718467 - 431775 - 431773</t>
  </si>
  <si>
    <t>718470 - 11882 - 801452</t>
  </si>
  <si>
    <t>Foreur à peigne</t>
  </si>
  <si>
    <t>718484 - 816789 - 239758 - 996829</t>
  </si>
  <si>
    <t>718487 - 239750</t>
  </si>
  <si>
    <t>998859 - 718500</t>
  </si>
  <si>
    <t>Bourdon cryptique, Bourdon virgule</t>
  </si>
  <si>
    <t>818793 - 820544 - 817882 - 52425 - 718506 - 818674</t>
  </si>
  <si>
    <t>718507 - 820543 - 232237 - 251846</t>
  </si>
  <si>
    <t>223346 - 719587 - 798614</t>
  </si>
  <si>
    <t>520891 - 249795 - 719622 - 779069 - 779070 - 939411 - 917600 - 783727 - 778097 - 939409</t>
  </si>
  <si>
    <t>Bryophile perlée (La)</t>
  </si>
  <si>
    <t>719623 - 249790 - 520900 - 915509</t>
  </si>
  <si>
    <t>Bryophile lupuline (La)</t>
  </si>
  <si>
    <t>939466 - 249792 - 920911 - 520892 - 827226 - 721082 - 887682 - 719632 - 827215 - 916719</t>
  </si>
  <si>
    <t>Bryophile fraisillée (La)</t>
  </si>
  <si>
    <t>719636 - 249302 - 988358</t>
  </si>
  <si>
    <t>Herminie de la Vigne-blanche (L')</t>
  </si>
  <si>
    <t>799853 - 719791 - 9774 - 243890</t>
  </si>
  <si>
    <t>Staphylin noir à corselet lisse &amp; bordé</t>
  </si>
  <si>
    <t>249465 - 719801 - 908746 - 416529</t>
  </si>
  <si>
    <t>Noctuelle des Mélilots (La)</t>
  </si>
  <si>
    <t>402353 - 900138 - 1837 - 719817</t>
  </si>
  <si>
    <t>884994 - 719818 - 233184 - 233175</t>
  </si>
  <si>
    <t>Tégénaire des maisons</t>
  </si>
  <si>
    <t>719839 - 903980 - 234074</t>
  </si>
  <si>
    <t>Théridion au croissant</t>
  </si>
  <si>
    <t>234077 - 903981 - 719840</t>
  </si>
  <si>
    <t>903961 - 719846 - 234142</t>
  </si>
  <si>
    <t>719850 - 1290 - 402480</t>
  </si>
  <si>
    <t>720069 - 813352</t>
  </si>
  <si>
    <t>Punaise diabolique</t>
  </si>
  <si>
    <t>239577 - 721013</t>
  </si>
  <si>
    <t>799253 - 721500 - 223606 - 721499 - 799252</t>
  </si>
  <si>
    <t>937116 - 247970 - 937113 - 937115 - 937112 - 925013 - 721723 - 937114</t>
  </si>
  <si>
    <t>Phycide de l'aubepine</t>
  </si>
  <si>
    <t>977956 - 247974 - 721725 - 937129 - 825738 - 908740 - 908741</t>
  </si>
  <si>
    <t>Phycide marbrée (La)</t>
  </si>
  <si>
    <t>248556 - 783977 - 988365 - 781521 - 721727</t>
  </si>
  <si>
    <t>Corythée pectinée (La)</t>
  </si>
  <si>
    <t>988422 - 248134 - 814278 - 721729</t>
  </si>
  <si>
    <t>249473 - 809821 - 887624 - 821000 - 821001 - 721730 - 721030 - 917607 - 783704 - 827360</t>
  </si>
  <si>
    <t>Noctuelle de l'Ansérine (La)</t>
  </si>
  <si>
    <t>24521 - 945660 - 217369 - 727253</t>
  </si>
  <si>
    <t>217370 - 727254 - 990287 - 24522 - 945662 - 945661 - 839517</t>
  </si>
  <si>
    <t>397960 - 25507 - 727263 - 397959 - 224344</t>
  </si>
  <si>
    <t>727265 - 224345</t>
  </si>
  <si>
    <t>397976 - 25520 - 397971 - 397974 - 397969 - 397968 - 397970 - 397967 - 397973 - 397972 - 397975 - 727269</t>
  </si>
  <si>
    <t>727270 - 224349 - 397979 - 397978 - 397977</t>
  </si>
  <si>
    <t>397983 - 727277 - 25530</t>
  </si>
  <si>
    <t>727278 - 25531</t>
  </si>
  <si>
    <t>397984 - 397985 - 727279 - 224350</t>
  </si>
  <si>
    <t>25599 - 224351 - 25597 - 727281 - 25598</t>
  </si>
  <si>
    <t>727282 - 224352</t>
  </si>
  <si>
    <t>727285 - 224353 - 397986</t>
  </si>
  <si>
    <t>916624 - 415623 - 247706 - 938938 - 938937 - 727319</t>
  </si>
  <si>
    <t>727321 - 916626 - 247705</t>
  </si>
  <si>
    <t>934515 - 727335 - 285196</t>
  </si>
  <si>
    <t>727381 - 225303 - 727380 - 398910 - 23541</t>
  </si>
  <si>
    <t>741 - 904267</t>
  </si>
  <si>
    <t>743295 - 743370 - 743433 - 409103 - 242365 - 803212</t>
  </si>
  <si>
    <t>407249 - 744</t>
  </si>
  <si>
    <t>10729 - 393605 - 393607 - 393602 - 10742 - 10743 - 393608 - 393603 - 800754 - 393604 - 393601 - 10654 - 393606 - 7667</t>
  </si>
  <si>
    <t>219427 - 766778</t>
  </si>
  <si>
    <t>1015116 - 767 - 1015117 - 837796</t>
  </si>
  <si>
    <t>Ver à queue carrée</t>
  </si>
  <si>
    <t>827412 - 770393 - 827414 - 924376 - 249588 - 988336 - 988335</t>
  </si>
  <si>
    <t>Xanthie paillée (La)</t>
  </si>
  <si>
    <t>941008 - 811546 - 774047 - 838691 - 941007 - 778309 - 822759 - 249063</t>
  </si>
  <si>
    <t>Ecaille pourprée (L'), Ecaille mouchetée (L')</t>
  </si>
  <si>
    <t>249458 - 923078 - 838759 - 774052</t>
  </si>
  <si>
    <t>777967 - 52882 - 777968</t>
  </si>
  <si>
    <t>Guêpe poliste</t>
  </si>
  <si>
    <t>777979 - 777980 - 245531 - 926822</t>
  </si>
  <si>
    <t>416532 - 785877 - 785220 - 838752 - 778120 - 249472 - 900082 - 778931 - 416983 - 416531 - 778119</t>
  </si>
  <si>
    <t>Noctuelle marbrée (La)</t>
  </si>
  <si>
    <t>949903 - 778225 - 20128</t>
  </si>
  <si>
    <t>949908 - 778232 - 20130</t>
  </si>
  <si>
    <t>1847 - 233198 - 778564 - 778563</t>
  </si>
  <si>
    <t>932753 - 23125 - 779358 - 217445</t>
  </si>
  <si>
    <t>643397 - 247065 - 780121</t>
  </si>
  <si>
    <t>Procris du Géranium (Le), Turquoise de la Sanguinaire (La)</t>
  </si>
  <si>
    <t>405155 - 405153 - 405145 - 802297 - 307228 - 405158 - 405159 - 780135 - 405144 - 802296 - 405142 - 405154 - 405143 - 405156 - 235379 - 405157 - 405141</t>
  </si>
  <si>
    <t>Anaspe fauve</t>
  </si>
  <si>
    <t>810162 - 248478 - 416257 - 780258</t>
  </si>
  <si>
    <t>Acidalie ombrée (L')</t>
  </si>
  <si>
    <t>780428 - 822252</t>
  </si>
  <si>
    <t>780495 - 836945 - 222881 - 396059</t>
  </si>
  <si>
    <t>886490 - 836946 - 396095 - 251284 - 396065 - 396066 - 780498 - 933078 - 396067 - 396064 - 222887</t>
  </si>
  <si>
    <t>780982 - 248488 - 780979</t>
  </si>
  <si>
    <t>Acidalie de Graslin (L')</t>
  </si>
  <si>
    <t>781518 - 822164 - 249383 - 781519 - 919031</t>
  </si>
  <si>
    <t>781615 - 416042 - 248313 - 917696 - 1013702</t>
  </si>
  <si>
    <t>Crambus des champs</t>
  </si>
  <si>
    <t>827914 - 827915 - 781696</t>
  </si>
  <si>
    <t>Cavernicole lustrée (La), Incertaine de Tautel (L')</t>
  </si>
  <si>
    <t>248961 - 781812 - 810248 - 521542</t>
  </si>
  <si>
    <t>Gnophos ambiguë (La), Gnophos incertaine (La)</t>
  </si>
  <si>
    <t>920791 - 521541 - 928970 - 345101 - 627789 - 781824 - 928971 - 785226 - 781820 - 416466 - 416467 - 781823 - 824858 - 345102 - 248958</t>
  </si>
  <si>
    <t>Gnophos tannée (La)</t>
  </si>
  <si>
    <t>928964 - 918644 - 781842 - 248960 - 1015451</t>
  </si>
  <si>
    <t>Gnophos helvète (La)</t>
  </si>
  <si>
    <t>248956 - 915414 - 716708 - 784074 - 416464 - 416465 - 930112 - 781844 - 416462 - 416463</t>
  </si>
  <si>
    <t>Gnophos moisie (La)</t>
  </si>
  <si>
    <t>822194 - 249306 - 822193 - 781846 - 416510 - 849674 - 825421 - 809782</t>
  </si>
  <si>
    <t>781810 - 784057 - 836774 - 781849 - 781850 - 836775 - 248850 - 836773 - 931597 - 980229 - 808091 - 780139 - 344843 - 781851 - 808092</t>
  </si>
  <si>
    <t>Hibernie hâtive (L')</t>
  </si>
  <si>
    <t>836770 - 781855 - 824854 - 836769 - 820164 - 248849 - 784056 - 808096 - 918258 - 836768 - 781853 - 836771 - 836767 - 781854 - 781852</t>
  </si>
  <si>
    <t>Hibernie orangée (L')</t>
  </si>
  <si>
    <t>781863 - 249664 - 838650 - 825402 - 822186 - 782999 - 822185 - 809660 - 917603</t>
  </si>
  <si>
    <t>Albule (L')</t>
  </si>
  <si>
    <t>781874 - 920143 - 249799</t>
  </si>
  <si>
    <t>Noctuelle conique (La)</t>
  </si>
  <si>
    <t>520889 - 249420 - 781882</t>
  </si>
  <si>
    <t>Caradrine du Sélin</t>
  </si>
  <si>
    <t>Caradrine rouillée</t>
  </si>
  <si>
    <t>781886 - 249414</t>
  </si>
  <si>
    <t>Caradrine terreuse (La)</t>
  </si>
  <si>
    <t>249413 - 781887</t>
  </si>
  <si>
    <t>Caradrine de l'Epervière (La)</t>
  </si>
  <si>
    <t>249611 - 838685 - 827426 - 781897 - 915876</t>
  </si>
  <si>
    <t>781902 - 918493 - 249380 - 520849</t>
  </si>
  <si>
    <t>Nonagrie des Marais (La)</t>
  </si>
  <si>
    <t>918492 - 520894 - 809658 - 721042 - 249364 - 459091 - 781908</t>
  </si>
  <si>
    <t>Nonagrie des Laiches (La)</t>
  </si>
  <si>
    <t>781926 - 915547 - 249290 - 984187</t>
  </si>
  <si>
    <t>827717 - 988374 - 248748 - 827898 - 827716 - 1008251 - 782816</t>
  </si>
  <si>
    <t>Phalène couleur de cerf (La)</t>
  </si>
  <si>
    <t>827720 - 782834 - 827719 - 248747 - 988373 - 822297 - 827892</t>
  </si>
  <si>
    <t>Phalène ondulée (La)</t>
  </si>
  <si>
    <t>Cynips du châtaignier, Chalcide du châtaignier</t>
  </si>
  <si>
    <t>322972 - 802549 - 783809</t>
  </si>
  <si>
    <t>783819 - 887322 - 346020 - 781895</t>
  </si>
  <si>
    <t>808281 - 809773 - 885554 - 809772 - 249846 - 784165 - 849710 - 716455 - 988289</t>
  </si>
  <si>
    <t>Halias du Hêtre (La)</t>
  </si>
  <si>
    <t>807160 - 807161 - 822021 - 784182 - 774710 - 899031 - 249034</t>
  </si>
  <si>
    <t>Cul-doré (Le)</t>
  </si>
  <si>
    <t>459079 - 849091 - 459080 - 345250 - 826905 - 784184 - 249031</t>
  </si>
  <si>
    <t>Bombyx porte-brosses (Le)</t>
  </si>
  <si>
    <t>777617 - 811479 - 941002 - 941003 - 784112 - 249077 - 784209</t>
  </si>
  <si>
    <t>Ecaille maculée (L'),  Écaille tachetée (L')</t>
  </si>
  <si>
    <t>784236 - 647156 - 247140</t>
  </si>
  <si>
    <t>Cossus du Peuplier (Le)</t>
  </si>
  <si>
    <t>784237 - 783777 - 919030 - 249384</t>
  </si>
  <si>
    <t>784239 - 932768 - 249755 - 918997</t>
  </si>
  <si>
    <t>Conjointe (La)</t>
  </si>
  <si>
    <t>924438 - 784263 - 249215</t>
  </si>
  <si>
    <t>Ségétie viridescente (La)</t>
  </si>
  <si>
    <t>232160 - 785079 - 818821 - 1016745</t>
  </si>
  <si>
    <t>935714 - 247180 - 785299</t>
  </si>
  <si>
    <t>917644 - 1008241 - 785321 - 248133 - 825635 - 822385 - 981178 - 822384</t>
  </si>
  <si>
    <t>Botys du sureau, Pyrale du sureau</t>
  </si>
  <si>
    <t>62031 - 199860 - 785578 - 785566 - 886522 - 780662 - 785579</t>
  </si>
  <si>
    <t>Cochlostome montagnard</t>
  </si>
  <si>
    <t>791819 - 785584 - 791824 - 784865 - 199859 - 162683</t>
  </si>
  <si>
    <t>Cochlostome bourguignon</t>
  </si>
  <si>
    <t>785668 - 785665 - 238440</t>
  </si>
  <si>
    <t>252365 - 785666 - 785669 - 51521 - 840433</t>
  </si>
  <si>
    <t>248848 - 988407 - 931580 - 784054 - 785891 - 822251 - 780126 - 916670 - 416413</t>
  </si>
  <si>
    <t>Hibernie messagère (L')</t>
  </si>
  <si>
    <t>7870 - 200568 - 894024</t>
  </si>
  <si>
    <t>78848 - 401844 - 852113 - 401843</t>
  </si>
  <si>
    <t>78861 - 401848 - 401845 - 401846 - 401847</t>
  </si>
  <si>
    <t>78862 - 401849</t>
  </si>
  <si>
    <t>719788 - 401910 - 719789 - 78875 - 232598</t>
  </si>
  <si>
    <t>78893 - 401800 - 852088 - 401802 - 401799 - 401803</t>
  </si>
  <si>
    <t>401822 - 401823 - 401819 - 78910 - 401820 - 401821</t>
  </si>
  <si>
    <t>78911 - 401824</t>
  </si>
  <si>
    <t>401827 - 401828 - 401825 - 78915 - 401826</t>
  </si>
  <si>
    <t>401854 - 852103 - 78934</t>
  </si>
  <si>
    <t>789481 - 247975 - 789478 - 937136</t>
  </si>
  <si>
    <t>Phycide enflée</t>
  </si>
  <si>
    <t>415929 - 789479 - 415928 - 789480 - 247976</t>
  </si>
  <si>
    <t>Phycide répandue (La)</t>
  </si>
  <si>
    <t>401866 - 401867 - 401868 - 78949 - 852035</t>
  </si>
  <si>
    <t>401874 - 401872 - 401875 - 401871 - 401873 - 78953 - 852042</t>
  </si>
  <si>
    <t>401878 - 78961 - 401879</t>
  </si>
  <si>
    <t>852060 - 78963 - 401883 - 401882</t>
  </si>
  <si>
    <t>852061 - 401884 - 401885 - 401886 - 78966</t>
  </si>
  <si>
    <t>78967 - 852062</t>
  </si>
  <si>
    <t>78968 - 852063</t>
  </si>
  <si>
    <t>401892 - 78973 - 401893 - 401894 - 852065</t>
  </si>
  <si>
    <t>401896 - 401903 - 401900 - 852066 - 78981 - 401898 - 401899 - 78978 - 401897 - 401902 - 401901</t>
  </si>
  <si>
    <t>401912 - 401911 - 401915 - 401919 - 401918 - 401914 - 852076 - 78984 - 401917 - 401913 - 401916</t>
  </si>
  <si>
    <t>852058 - 401905 - 401904 - 78987</t>
  </si>
  <si>
    <t>401920 - 401922 - 401921 - 401926 - 401924 - 852080 - 401925 - 401927 - 401923 - 78991</t>
  </si>
  <si>
    <t>401932 - 401931 - 401934 - 401936 - 401935 - 401933 - 401938 - 401939 - 401930 - 401937 - 849784 - 78998</t>
  </si>
  <si>
    <t>822256 - 925888 - 925890 - 405858 - 1017542 - 790 - 925889 - 925891</t>
  </si>
  <si>
    <t>401963 - 401961 - 401966 - 401962 - 852055 - 852056 - 79010 - 401964 - 401965</t>
  </si>
  <si>
    <t>401974 - 401971 - 401978 - 79012 - 401976 - 401975 - 401970 - 401977 - 401973 - 852057 - 401972</t>
  </si>
  <si>
    <t>401979 - 79013</t>
  </si>
  <si>
    <t>79024 - 401980 - 401981</t>
  </si>
  <si>
    <t>401991 - 401993 - 401992 - 79031</t>
  </si>
  <si>
    <t>Grande phrygane</t>
  </si>
  <si>
    <t>886145 - 402305 - 402303 - 79038 - 402304</t>
  </si>
  <si>
    <t>402308 - 820835 - 402307 - 402309 - 402310 - 820841 - 820839 - 79041 - 402306</t>
  </si>
  <si>
    <t>886116 - 849783 - 886118 - 402249 - 402250 - 886119 - 79045 - 886115 - 402248</t>
  </si>
  <si>
    <t>79049 - 886122</t>
  </si>
  <si>
    <t>79053 - 886128</t>
  </si>
  <si>
    <t>886005 - 402041 - 79061</t>
  </si>
  <si>
    <t>852098 - 852099 - 79067</t>
  </si>
  <si>
    <t>885951 - 885950 - 718189 - 79069</t>
  </si>
  <si>
    <t>402043 - 79072 - 402044 - 790099 - 402045 - 402046</t>
  </si>
  <si>
    <t>402205 - 402206 - 79074 - 849785</t>
  </si>
  <si>
    <t>79077 - 789946 - 402207 - 886060</t>
  </si>
  <si>
    <t>79078 - 820844 - 402209 - 232733 - 820834 - 402210 - 885934 - 402211 - 402208</t>
  </si>
  <si>
    <t>402216 - 402215 - 402214 - 79079 - 790139</t>
  </si>
  <si>
    <t>244162 - 790847</t>
  </si>
  <si>
    <t>790858 - 11210</t>
  </si>
  <si>
    <t>79086 - 402047</t>
  </si>
  <si>
    <t>404270 - 404272 - 404273 - 790866</t>
  </si>
  <si>
    <t>79089 - 885948 - 402049</t>
  </si>
  <si>
    <t>402050 - 402052 - 79092 - 402051 - 885921</t>
  </si>
  <si>
    <t>885932 - 79095 - 402056</t>
  </si>
  <si>
    <t>79103 - 885956 - 402073 - 402072</t>
  </si>
  <si>
    <t>886022 - 79106 - 886023</t>
  </si>
  <si>
    <t>885960 - 885959 - 79116</t>
  </si>
  <si>
    <t>402125 - 789945 - 402124 - 402126 - 402127 - 79117</t>
  </si>
  <si>
    <t>402128 - 402130 - 402133 - 402132 - 79118 - 790095 - 402131</t>
  </si>
  <si>
    <t>402138 - 79119 - 402137 - 790097 - 790098 - 885985 - 402136 - 402139</t>
  </si>
  <si>
    <t>899083 - 79120</t>
  </si>
  <si>
    <t>402085 - 402087 - 402084 - 79122 - 790143 - 885957 - 402086</t>
  </si>
  <si>
    <t>885961 - 79124 - 402097 - 402094 - 402099 - 402095 - 402093 - 402098 - 443340 - 402096 - 885962</t>
  </si>
  <si>
    <t>402102 - 885963 - 79125 - 402100</t>
  </si>
  <si>
    <t>790094 - 402108 - 402109 - 885976 - 402106 - 790093 - 79130 - 402107</t>
  </si>
  <si>
    <t>402118 - 79131 - 402120 - 885978 - 402119 - 402116 - 402117 - 402121</t>
  </si>
  <si>
    <t>402144 - 402140 - 402141 - 402148 - 402146 - 79099 - 885988 - 885987 - 402142 - 402145 - 79137 - 402143 - 402147</t>
  </si>
  <si>
    <t>79138 - 402150 - 402151 - 402149</t>
  </si>
  <si>
    <t>885991 - 402158 - 402155 - 402156 - 402154 - 402157 - 79139 - 402153 - 402152</t>
  </si>
  <si>
    <t>79141 - 402160 - 885936 - 402159</t>
  </si>
  <si>
    <t>886033 - 79150 - 886034</t>
  </si>
  <si>
    <t>402177 - 79151 - 79156 - 402173 - 402175 - 402176 - 402174 - 886201</t>
  </si>
  <si>
    <t>798283 - 798285 - 791562 - 252429 - 239073 - 798284</t>
  </si>
  <si>
    <t>791564 - 801831 - 11106</t>
  </si>
  <si>
    <t>791568 - 801836 - 11135 - 406838</t>
  </si>
  <si>
    <t>791574 - 801854 - 11147</t>
  </si>
  <si>
    <t>791598 - 986396</t>
  </si>
  <si>
    <t>402281 - 402277 - 402280 - 886153 - 886151 - 402278 - 79162 - 402279 - 402283 - 402282 - 402276 - 402275</t>
  </si>
  <si>
    <t>806858 - 977971 - 805062 - 791636 - 916124 - 248125</t>
  </si>
  <si>
    <t>Botys safrané</t>
  </si>
  <si>
    <t>791639 - 416001 - 459074 - 808262 - 808263 - 849691 - 248122</t>
  </si>
  <si>
    <t>Botys de l'ortie</t>
  </si>
  <si>
    <t>791640 - 917103 - 248170</t>
  </si>
  <si>
    <t>Botys cendré</t>
  </si>
  <si>
    <t>805061 - 248136 - 917104 - 791641</t>
  </si>
  <si>
    <t>Pyrale de l'Eupatoire (La), Botys lancéolé (Le)</t>
  </si>
  <si>
    <t>916129 - 248135 - 791643 - 928968</t>
  </si>
  <si>
    <t>Botys des marais</t>
  </si>
  <si>
    <t>308300 - 427129 - 427132 - 427139 - 791649</t>
  </si>
  <si>
    <t>427131 - 427140 - 791663 - 427128 - 427138 - 427144 - 427137 - 427135 - 427143 - 427133 - 427127 - 427142 - 427134 - 427141 - 308304 - 427136</t>
  </si>
  <si>
    <t>402012 - 402011 - 402010 - 79167 - 402009 - 820847 - 820838 - 402013 - 402008</t>
  </si>
  <si>
    <t>886146 - 402287 - 79169 - 820849 - 402288</t>
  </si>
  <si>
    <t>402298 - 402294 - 790102 - 402297 - 232771 - 402292 - 790135 - 402296 - 79173 - 402300 - 402299 - 402293 - 402295</t>
  </si>
  <si>
    <t>791747 - 791746 - 1875</t>
  </si>
  <si>
    <t>1876 - 791749</t>
  </si>
  <si>
    <t>402019 - 402018 - 886046 - 79175</t>
  </si>
  <si>
    <t>402060 - 701936 - 79181 - 402062 - 402059 - 402061</t>
  </si>
  <si>
    <t>817675 - 791826 - 819504 - 817673 - 817676 - 819113 - 231761 - 817674</t>
  </si>
  <si>
    <t>817680 - 817678 - 401284 - 401283 - 231762 - 817679 - 818653 - 817681 - 791827</t>
  </si>
  <si>
    <t>852123 - 79185 - 402027</t>
  </si>
  <si>
    <t>401943 - 401942 - 852050 - 401941 - 79187 - 401940</t>
  </si>
  <si>
    <t>886057 - 402201 - 402198 - 402199 - 79189 - 402200</t>
  </si>
  <si>
    <t>402202 - 402204 - 402203 - 79190 - 886058</t>
  </si>
  <si>
    <t>818059 - 819539 - 52557 - 791931 - 928516</t>
  </si>
  <si>
    <t>818062 - 791939 - 52560 - 818061 - 819505 - 818929 - 818060 - 818712</t>
  </si>
  <si>
    <t>818167 - 819367 - 401377 - 818165 - 791906 - 932258 - 818166 - 819513 - 819239 - 818833 - 52563 - 819238 - 791944</t>
  </si>
  <si>
    <t>79218 - 392459 - 392458 - 79202</t>
  </si>
  <si>
    <t>392955 - 79227 - 392958 - 951498 - 392954 - 392956 - 392957</t>
  </si>
  <si>
    <t>Poisson d'argent, Lépisme</t>
  </si>
  <si>
    <t>79239 - 1015014</t>
  </si>
  <si>
    <t>405061 - 792580</t>
  </si>
  <si>
    <t>11554 - 801249 - 404455 - 404453 - 792589 - 404454</t>
  </si>
  <si>
    <t>Drille joyeux, Panache jaune</t>
  </si>
  <si>
    <t>222047 - 792696 - 792697</t>
  </si>
  <si>
    <t>801950 - 792855 - 234629 - 718459</t>
  </si>
  <si>
    <t>792889 - 241653 - 802835</t>
  </si>
  <si>
    <t>910732 - 792890 - 802871 - 407681 - 241620 - 407682</t>
  </si>
  <si>
    <t>242251 - 242258 - 803158 - 792965 - 792966</t>
  </si>
  <si>
    <t>798615 - 794220</t>
  </si>
  <si>
    <t>222963 - 794227 - 798475</t>
  </si>
  <si>
    <t>794231 - 222973</t>
  </si>
  <si>
    <t>222879 - 798512 - 794242</t>
  </si>
  <si>
    <t>8648 - 794244 - 8679</t>
  </si>
  <si>
    <t>251298 - 222912 - 794255</t>
  </si>
  <si>
    <t>251258 - 794259 - 222863</t>
  </si>
  <si>
    <t>8696 - 798675 - 251261 - 794263</t>
  </si>
  <si>
    <t>222918 - 794269</t>
  </si>
  <si>
    <t>396096 - 798684 - 794271 - 222920</t>
  </si>
  <si>
    <t>396105 - 222938 - 798687 - 794277</t>
  </si>
  <si>
    <t>251272 - 396051 - 886437 - 820323 - 396052 - 222871 - 8656 - 794280 - 251271</t>
  </si>
  <si>
    <t>222875 - 794284 - 886469</t>
  </si>
  <si>
    <t>251273 - 251274 - 820324 - 222876 - 794285 - 396053</t>
  </si>
  <si>
    <t>251257 - 222862 - 396045 - 794286</t>
  </si>
  <si>
    <t>798688 - 396057 - 794287 - 8646 - 8676 - 396058</t>
  </si>
  <si>
    <t>222903 - 8587 - 798690 - 794293</t>
  </si>
  <si>
    <t>798691 - 8590 - 8588 - 794294</t>
  </si>
  <si>
    <t>794295 - 8591 - 222904</t>
  </si>
  <si>
    <t>8589 - 794296 - 798692</t>
  </si>
  <si>
    <t>Bupreste à lunules</t>
  </si>
  <si>
    <t>794297 - 222905 - 396086</t>
  </si>
  <si>
    <t>396080 - 794299 - 798693 - 222898</t>
  </si>
  <si>
    <t>222908 - 794300</t>
  </si>
  <si>
    <t>8579 - 798697 - 794306 - 887288</t>
  </si>
  <si>
    <t>396087 - 8577 - 794307 - 798698 - 716207</t>
  </si>
  <si>
    <t>222907 - 798699 - 794309 - 716208 - 396088</t>
  </si>
  <si>
    <t>222804 - 794323 - 798745 - 251238</t>
  </si>
  <si>
    <t>395228 - 798906 - 794346 - 222339</t>
  </si>
  <si>
    <t>Lebia verte</t>
  </si>
  <si>
    <t>240556 - 796835 - 797867 - 796836 - 797868 - 794363</t>
  </si>
  <si>
    <t>240557 - 796837 - 794364</t>
  </si>
  <si>
    <t>796873 - 796727 - 797938 - 794399 - 796872 - 223732 - 797939 - 794395 - 796909</t>
  </si>
  <si>
    <t>410547 - 799509 - 242891 - 794409 - 410549</t>
  </si>
  <si>
    <t>243828 - 794421 - 412151 - 799619 - 412150 - 412149</t>
  </si>
  <si>
    <t>974263 - 794450 - 974262 - 9695 - 799874</t>
  </si>
  <si>
    <t>800242 - 794509 - 9654</t>
  </si>
  <si>
    <t>244083 - 412232 - 794545</t>
  </si>
  <si>
    <t>410930 - 9850 - 800630 - 410931 - 794558</t>
  </si>
  <si>
    <t>Veilleurs de frelons</t>
  </si>
  <si>
    <t>8929 - 8930 - 10702 - 393504 - 10701 - 393505 - 200539 - 794574</t>
  </si>
  <si>
    <t>393783 - 393790 - 393792 - 393785 - 393786 - 393788 - 794578 - 393789 - 393784 - 393793 - 801427 - 221913 - 393791 - 393787 - 393782</t>
  </si>
  <si>
    <t>Vrillette bleuâtre</t>
  </si>
  <si>
    <t>200558 - 800878 - 200552 - 653907 - 10995 - 794580 - 408171 - 820760</t>
  </si>
  <si>
    <t>Grande cétoine verte, Cétoine précieuse, Grande cétoine dorée, Cétoine érugineuse</t>
  </si>
  <si>
    <t>794583 - 224128 - 797035</t>
  </si>
  <si>
    <t>794588 - 281206</t>
  </si>
  <si>
    <t>224131 - 797039 - 794589 - 397631</t>
  </si>
  <si>
    <t>797042 - 794590 - 11527 - 800896</t>
  </si>
  <si>
    <t>397632 - 794592 - 224134</t>
  </si>
  <si>
    <t>224136 - 797043 - 794594 - 800897</t>
  </si>
  <si>
    <t>224137 - 794595</t>
  </si>
  <si>
    <t>281214 - 794596</t>
  </si>
  <si>
    <t>797045 - 800899 - 794599 - 11528</t>
  </si>
  <si>
    <t>281184 - 800911 - 794604 - 820735</t>
  </si>
  <si>
    <t>800989 - 394582 - 394577 - 394574 - 394578 - 912924 - 394575 - 394579 - 394576 - 394581 - 222160 - 394580 - 794609</t>
  </si>
  <si>
    <t>Richard des Médicis</t>
  </si>
  <si>
    <t>794610 - 394618 - 222174</t>
  </si>
  <si>
    <t>240497 - 794616</t>
  </si>
  <si>
    <t>235104 - 11539 - 794625</t>
  </si>
  <si>
    <t>Lyce discret</t>
  </si>
  <si>
    <t>394066 - 222025 - 801379 - 794634</t>
  </si>
  <si>
    <t>239202 - 794648 - 801653</t>
  </si>
  <si>
    <t>794650 - 239210</t>
  </si>
  <si>
    <t>407005 - 239207 - 801655 - 794653 - 407004</t>
  </si>
  <si>
    <t>406861 - 406863 - 9014 - 406858 - 406860 - 794655 - 406859 - 406857 - 406862 - 801657 - 406864</t>
  </si>
  <si>
    <t>794658 - 406891 - 9016 - 406893 - 406892 - 406890</t>
  </si>
  <si>
    <t>239166 - 406920 - 406921 - 794661</t>
  </si>
  <si>
    <t>239214 - 794668 - 407013 - 407015 - 407014 - 407016 - 801658</t>
  </si>
  <si>
    <t>794671 - 239147 - 406873</t>
  </si>
  <si>
    <t>406969 - 406964 - 406965 - 406967 - 239186 - 406968 - 406966 - 406970 - 406971 - 794672</t>
  </si>
  <si>
    <t>239150 - 794682 - 406879</t>
  </si>
  <si>
    <t>406954 - 406955 - 239183 - 794688</t>
  </si>
  <si>
    <t>406978 - 801660 - 406982 - 406979 - 794690 - 239192 - 406983 - 406980 - 406981</t>
  </si>
  <si>
    <t>239201 - 407002 - 407003 - 794692 - 407001 - 801661</t>
  </si>
  <si>
    <t>9017 - 406972 - 794703</t>
  </si>
  <si>
    <t>407011 - 794705 - 239211</t>
  </si>
  <si>
    <t>239142 - 406866 - 794706</t>
  </si>
  <si>
    <t>239139 - 406856 - 794712</t>
  </si>
  <si>
    <t>239160 - 406906 - 406907 - 406905 - 794713</t>
  </si>
  <si>
    <t>239167 - 794716 - 406927</t>
  </si>
  <si>
    <t>235199 - 801675 - 794726 - 801674</t>
  </si>
  <si>
    <t>234992 - 892985 - 794727</t>
  </si>
  <si>
    <t>234994 - 794728</t>
  </si>
  <si>
    <t>794752 - 801876</t>
  </si>
  <si>
    <t>404268 - 794757 - 235026 - 404277 - 404278 - 404274 - 404275 - 404267 - 404276</t>
  </si>
  <si>
    <t>794759 - 234653 - 801951</t>
  </si>
  <si>
    <t>794762 - 234656</t>
  </si>
  <si>
    <t>403181 - 403182 - 234648 - 794763 - 801956 - 403183 - 403180</t>
  </si>
  <si>
    <t>801966 - 794766 - 234658 - 11065</t>
  </si>
  <si>
    <t>802056 - 794771 - 802055 - 12052</t>
  </si>
  <si>
    <t>802254 - 239001 - 794796</t>
  </si>
  <si>
    <t>802333 - 12268 - 223159 - 794808 - 713054</t>
  </si>
  <si>
    <t>Lepture sauvage, Lepture fauve</t>
  </si>
  <si>
    <t>794809 - 223160 - 12272 - 774054</t>
  </si>
  <si>
    <t>794810 - 774055 - 251490 - 12275 - 223161</t>
  </si>
  <si>
    <t>845208 - 802475 - 223063 - 794814</t>
  </si>
  <si>
    <t>797126 - 8305 - 794821 - 802544 - 241900</t>
  </si>
  <si>
    <t>797127 - 794827 - 802603 - 241410 - 844870</t>
  </si>
  <si>
    <t>17512 - 803005 - 17513 - 794855 - 240303 - 803004 - 17511</t>
  </si>
  <si>
    <t>409189 - 16695 - 242442 - 16694 - 794856 - 16697 - 16696 - 803286</t>
  </si>
  <si>
    <t>802964 - 241254 - 794858 - 699687</t>
  </si>
  <si>
    <t>Mange-poison du dompte-venin</t>
  </si>
  <si>
    <t>802971 - 403128 - 794859 - 12908 - 234617 - 403127 - 416818</t>
  </si>
  <si>
    <t>407271 - 240296 - 794865 - 802995 - 17458</t>
  </si>
  <si>
    <t>17575 - 240299 - 794867 - 17576 - 17577 - 803008</t>
  </si>
  <si>
    <t>408873 - 408874 - 829627 - 803126 - 242290 - 794878 - 845121 - 408875 - 408876 - 803125 - 408872</t>
  </si>
  <si>
    <t>242287 - 794879 - 803127 - 408869 - 408868</t>
  </si>
  <si>
    <t>252798 - 252797 - 798397 - 408701 - 794881 - 408700</t>
  </si>
  <si>
    <t>16074 - 242417 - 794891</t>
  </si>
  <si>
    <t>409233 - 409234 - 242462 - 16279 - 16278 - 794896 - 803342 - 409232 - 16281 - 16287 - 409235</t>
  </si>
  <si>
    <t>16418 - 794909 - 16417</t>
  </si>
  <si>
    <t>16425 - 242485 - 242481 - 409284 - 16426 - 16424 - 794911</t>
  </si>
  <si>
    <t>16423 - 794913 - 242491 - 16421 - 16422</t>
  </si>
  <si>
    <t>794919 - 721381 - 13555</t>
  </si>
  <si>
    <t>13778 - 794959 - 803629 - 409332</t>
  </si>
  <si>
    <t>893564 - 794964 - 13003</t>
  </si>
  <si>
    <t>13713 - 803660 - 13714 - 794974</t>
  </si>
  <si>
    <t>408324 - 408326 - 408321 - 408327 - 408328 - 794992 - 242187 - 408320 - 408325 - 14215 - 803712 - 408322 - 408329 - 408323</t>
  </si>
  <si>
    <t>Bruche du trèfle, Charançon des feuilles du trèfle</t>
  </si>
  <si>
    <t>798672 - 222910 - 795215</t>
  </si>
  <si>
    <t>1003422 - 795217 - 8649 - 716206 - 521456 - 8684</t>
  </si>
  <si>
    <t>795218 - 222884</t>
  </si>
  <si>
    <t>844819 - 396810 - 396811 - 223604 - 8032 - 799254 - 795224</t>
  </si>
  <si>
    <t>799512 - 795226 - 410553 - 242901 - 410554</t>
  </si>
  <si>
    <t>200393 - 10709 - 10710 - 795231 - 800751</t>
  </si>
  <si>
    <t>200557 - 795232 - 800880</t>
  </si>
  <si>
    <t>Cétoine marbrée</t>
  </si>
  <si>
    <t>224132 - 795233</t>
  </si>
  <si>
    <t>845194 - 800936 - 222108 - 795237</t>
  </si>
  <si>
    <t>12687 - 795245 - 241423</t>
  </si>
  <si>
    <t>Chrysomèle tremblante</t>
  </si>
  <si>
    <t>12702 - 802605 - 795246</t>
  </si>
  <si>
    <t>17492 - 17493 - 240312 - 795248 - 803000 - 407277 - 407276 - 790144 - 966154</t>
  </si>
  <si>
    <t>803649 - 795250</t>
  </si>
  <si>
    <t>803630 - 13774 - 795253</t>
  </si>
  <si>
    <t>274959 - 795439 - 428708 - 428704 - 222544</t>
  </si>
  <si>
    <t>795452 - 395263 - 250879 - 794352 - 395262 - 395260 - 797827 - 395261 - 250880 - 395264 - 797826</t>
  </si>
  <si>
    <t>408174 - 795538 - 200563 - 800881 - 11004</t>
  </si>
  <si>
    <t>394299 - 416792 - 222106 - 795564 - 797047</t>
  </si>
  <si>
    <t>795611 - 252430 - 239075</t>
  </si>
  <si>
    <t>15263 - 327584 - 431691 - 13270 - 15261 - 795758</t>
  </si>
  <si>
    <t>252845 - 409333 - 795776</t>
  </si>
  <si>
    <t>10930 - 796715</t>
  </si>
  <si>
    <t>796858 - 796860 - 796864 - 796861 - 796863 - 796859 - 796862 - 796719 - 223704 - 799433 - 796866 - 796865</t>
  </si>
  <si>
    <t>796876 - 797941 - 799437 - 796721 - 223710</t>
  </si>
  <si>
    <t>801194 - 796748 - 11421 - 240327</t>
  </si>
  <si>
    <t>Taupin nuageux</t>
  </si>
  <si>
    <t>797171 - 9049 - 801683</t>
  </si>
  <si>
    <t>Petite pelle-à-tarte, Uléiote plat</t>
  </si>
  <si>
    <t>7983 - 798607</t>
  </si>
  <si>
    <t>903469 - 799</t>
  </si>
  <si>
    <t>394297 - 394295 - 394298 - 222105 - 800937 - 394296 - 416996 - 803859 - 527196</t>
  </si>
  <si>
    <t>Richard du Thuya, Richard festif, Bupreste du Genévrier</t>
  </si>
  <si>
    <t>13780 - 699653 - 893546 - 803862</t>
  </si>
  <si>
    <t>902248 - 805</t>
  </si>
  <si>
    <t>902216 - 806845 - 1098 - 457352</t>
  </si>
  <si>
    <t>1097 - 902217 - 806872 - 1104</t>
  </si>
  <si>
    <t>Dictyne cachée</t>
  </si>
  <si>
    <t>903236 - 806878 - 1459 - 233649</t>
  </si>
  <si>
    <t>903252 - 1460 - 806883</t>
  </si>
  <si>
    <t>1006690 - 457302 - 903256 - 1461 - 402410 - 233656 - 806888</t>
  </si>
  <si>
    <t>806889 - 903257 - 233657</t>
  </si>
  <si>
    <t>457345 - 927 - 806894</t>
  </si>
  <si>
    <t>902688 - 806895 - 929</t>
  </si>
  <si>
    <t>902689 - 806896 - 928</t>
  </si>
  <si>
    <t>903922 - 233910 - 806899</t>
  </si>
  <si>
    <t>233950 - 806905</t>
  </si>
  <si>
    <t>808200 - 822391 - 825632 - 808202 - 808201 - 924254</t>
  </si>
  <si>
    <t>996840 - 808464 - 1000621</t>
  </si>
  <si>
    <t>999845 - 815521 - 240098 - 999848 - 1000452 - 808468 - 999849</t>
  </si>
  <si>
    <t>553705 - 311238 - 237133 - 808690</t>
  </si>
  <si>
    <t>783833 - 810102 - 416543 - 827410 - 917638 - 827409 - 249586</t>
  </si>
  <si>
    <t>Xanthie cirée (La)</t>
  </si>
  <si>
    <t>810103 - 249587 - 916884</t>
  </si>
  <si>
    <t>Xanthie cendrée (La)</t>
  </si>
  <si>
    <t>163386 - 762403 - 812086 - 413892</t>
  </si>
  <si>
    <t>Escargot des forêts</t>
  </si>
  <si>
    <t>812237 - 394475 - 394474 - 11371 - 394476</t>
  </si>
  <si>
    <t>813609 - 415925</t>
  </si>
  <si>
    <t>Phycide de Fallou</t>
  </si>
  <si>
    <t>247972 - 415927 - 937128 - 918505 - 415926 - 813610 - 932400</t>
  </si>
  <si>
    <t>Phycide du nerprun</t>
  </si>
  <si>
    <t>1008240 - 925016 - 825737 - 247971 - 813611</t>
  </si>
  <si>
    <t>Phycide du prunellier</t>
  </si>
  <si>
    <t>253304 - 785283 - 415945 - 813863 - 415946 - 247989</t>
  </si>
  <si>
    <t>Phycide de Bruand</t>
  </si>
  <si>
    <t>459075 - 825512 - 813867 - 849731 - 248056</t>
  </si>
  <si>
    <t>Asopie glauque</t>
  </si>
  <si>
    <t>813871 - 921440 - 248081</t>
  </si>
  <si>
    <t>Fausse-teigne des entrpôts</t>
  </si>
  <si>
    <t>981203 - 961781 - 813873 - 248006 - 918503</t>
  </si>
  <si>
    <t>Phycide gracieuse</t>
  </si>
  <si>
    <t>415961 - 938239 - 813877 - 980653 - 415957 - 415959 - 248034 - 415956 - 917107 - 415960 - 415958</t>
  </si>
  <si>
    <t>814171 - 248293 - 814239 - 814170 - 248294 - 814246</t>
  </si>
  <si>
    <t>Crambus des pailles</t>
  </si>
  <si>
    <t>246801 - 822770 - 918531 - 814375</t>
  </si>
  <si>
    <t>239684 - 814747</t>
  </si>
  <si>
    <t>Eucère dorée</t>
  </si>
  <si>
    <t>814874 - 998654 - 239581</t>
  </si>
  <si>
    <t>975910 - 219516 - 774544 - 774545 - 815051</t>
  </si>
  <si>
    <t>240136 - 1000034 - 815150</t>
  </si>
  <si>
    <t>815151 - 239395 - 996822</t>
  </si>
  <si>
    <t>407192 - 239901 - 53153 - 815156 - 815158</t>
  </si>
  <si>
    <t>239931 - 815209 - 815229 - 240174</t>
  </si>
  <si>
    <t>850269 - 816756</t>
  </si>
  <si>
    <t>Osmie rousse</t>
  </si>
  <si>
    <t>239835 - 1000319 - 816832</t>
  </si>
  <si>
    <t>817191 - 821051 - 52426 - 818794 - 817885 - 817883 - 817884 - 817886</t>
  </si>
  <si>
    <t>Mouche-à-scie cordelière</t>
  </si>
  <si>
    <t>817888 - 817193 - 821053 - 819444 - 817887 - 819470 - 818993 - 52427</t>
  </si>
  <si>
    <t>819536 - 819445 - 819212 - 819213 - 818658 - 817893 - 818796 - 817194 - 401468 - 819211 - 232239</t>
  </si>
  <si>
    <t>232240 - 821055 - 817195 - 817895</t>
  </si>
  <si>
    <t>817896 - 817196 - 821056 - 232241 - 818797</t>
  </si>
  <si>
    <t>232242 - 821058 - 817724 - 818893 - 817723 - 817197</t>
  </si>
  <si>
    <t>232023 - 819221 - 791868 - 817986 - 819389 - 232122 - 817985 - 817984 - 817981 - 819005 - 817980 - 817198 - 817983 - 791867 - 818918 - 817982 - 818691 - 818692</t>
  </si>
  <si>
    <t>818185 - 819553 - 401396 - 818948 - 818186 - 818184 - 817222 - 818670 - 232057 - 52543</t>
  </si>
  <si>
    <t>818196 - 818197 - 818837 - 232059 - 819395 - 821074 - 818195 - 818950 - 817223 - 818198 - 818746 - 818838 - 818199 - 818201 - 818202 - 818200 - 819240</t>
  </si>
  <si>
    <t>Tenthrède du groseillier</t>
  </si>
  <si>
    <t>232120 - 819244 - 818852 - 818265 - 818264 - 819512 - 52565 - 817234 - 818263</t>
  </si>
  <si>
    <t>231901 - 817240 - 819436</t>
  </si>
  <si>
    <t>52594 - 818551 - 817243 - 818552 - 818553 - 818804</t>
  </si>
  <si>
    <t>818182 - 819077 - 818181 - 401397 - 818947 - 817246 - 818183 - 232055</t>
  </si>
  <si>
    <t>231764 - 817665 - 821113 - 817249 - 817666 - 817667 - 817668</t>
  </si>
  <si>
    <t>Mouche-à-scie à jambes variées</t>
  </si>
  <si>
    <t>231862 - 716423 - 817251 - 818990</t>
  </si>
  <si>
    <t>817255 - 232011 - 818357 - 401371</t>
  </si>
  <si>
    <t>819229 - 818068 - 401405 - 818069 - 401403 - 52542 - 819230 - 817259 - 401402 - 818066 - 401404 - 818098 - 818067 - 818931</t>
  </si>
  <si>
    <t>818117 - 819090 - 818116 - 818115 - 817281 - 818118 - 232081</t>
  </si>
  <si>
    <t>821072 - 817283 - 1015525 - 232083 - 818726</t>
  </si>
  <si>
    <t>818879 - 819242 - 401381 - 232043 - 818215 - 818214 - 818217 - 818213 - 401385 - 818219 - 401386 - 401382 - 401380 - 819508 - 818842 - 818222 - 818671 - 818220 - 52550 - 818218 - 817294 - 818212 - 819080 - 401384 - 52548 - 401379 - 818221 - 818216 - 401383 - 819396</t>
  </si>
  <si>
    <t>818955 - 818237 - 818233 - 818848 - 817296 - 818240 - 818239 - 818234 - 52551 - 818236 - 819549 - 818235 - 818847 - 818238</t>
  </si>
  <si>
    <t>820475 - 819243 - 818851 - 401415 - 232117 - 817300</t>
  </si>
  <si>
    <t>818888 - 817308 - 909729 - 818807</t>
  </si>
  <si>
    <t>232125 - 817311</t>
  </si>
  <si>
    <t>819233 - 818103 - 818100 - 818102 - 819550 - 232078 - 818721 - 818101 - 817313 - 818099</t>
  </si>
  <si>
    <t>817320 - 818262 - 232119</t>
  </si>
  <si>
    <t>232050 - 817323 - 819576 - 818054</t>
  </si>
  <si>
    <t>928513 - 52558 - 818708 - 817330 - 818047 - 818046 - 232039 - 819567</t>
  </si>
  <si>
    <t>219229 - 391831 - 820173</t>
  </si>
  <si>
    <t>778920 - 952202 - 713696 - 778919 - 392413 - 53892 - 219820 - 820680 - 778921 - 777251 - 53890 - 53893 - 646234</t>
  </si>
  <si>
    <t>Grand Nacré (Le), Aglaé (L'), Moyen-Nacré (Le)</t>
  </si>
  <si>
    <t>222340 - 820698 - 395229 - 798907 - 9405 - 395230</t>
  </si>
  <si>
    <t>Lebia bleue</t>
  </si>
  <si>
    <t>821337 - 821336 - 414969</t>
  </si>
  <si>
    <t>822429 - 246333 - 822425 - 822424 - 415178</t>
  </si>
  <si>
    <t>984192 - 249456 - 809822 - 822895 - 838753 - 915517</t>
  </si>
  <si>
    <t>Hadène des Liondents (L')</t>
  </si>
  <si>
    <t>798905 - 8237 - 809244</t>
  </si>
  <si>
    <t>28953 - 823888</t>
  </si>
  <si>
    <t>9416 - 809243 - 395192 - 8239 - 798901</t>
  </si>
  <si>
    <t>824324 - 824323 - 220101</t>
  </si>
  <si>
    <t>825 - 824884 - 824885</t>
  </si>
  <si>
    <t>8253 - 395428 - 395431 - 395429 - 395430 - 798848</t>
  </si>
  <si>
    <t>8254 - 395432 - 798849</t>
  </si>
  <si>
    <t>826521 - 918602 - 784086 - 908753 - 248982 - 908754</t>
  </si>
  <si>
    <t>Pétrophore narbonnaise (La)</t>
  </si>
  <si>
    <t>916367 - 916366 - 826544 - 246338 - 822501 - 920289 - 415180</t>
  </si>
  <si>
    <t>827153 - 240792 - 827158 - 827161 - 827157 - 827156 - 827160 - 827159</t>
  </si>
  <si>
    <t>251848 - 827683 - 401486 - 232258 - 401487</t>
  </si>
  <si>
    <t>1011586 - 827684 - 1011594 - 232263</t>
  </si>
  <si>
    <t>820770 - 200544 - 820768 - 800713 - 8282</t>
  </si>
  <si>
    <t>Chevrette bleue, Petit Lucane à allure de carabe</t>
  </si>
  <si>
    <t>802590 - 842124 - 8286</t>
  </si>
  <si>
    <t>Chrysomèle à gros ventre</t>
  </si>
  <si>
    <t>802668 - 8288</t>
  </si>
  <si>
    <t>824887 - 829</t>
  </si>
  <si>
    <t>8290 - 802660</t>
  </si>
  <si>
    <t>Doryphore (Le)</t>
  </si>
  <si>
    <t>608353 - 646297 - 392390 - 829898 - 837085</t>
  </si>
  <si>
    <t>8304 - 407704 - 802552</t>
  </si>
  <si>
    <t>8308 - 407707</t>
  </si>
  <si>
    <t>8321 - 899228</t>
  </si>
  <si>
    <t>Cicindèle des champs</t>
  </si>
  <si>
    <t>899227 - 8326</t>
  </si>
  <si>
    <t>Cicindèle hybride</t>
  </si>
  <si>
    <t>951230 - 834</t>
  </si>
  <si>
    <t>834047 - 834048</t>
  </si>
  <si>
    <t>798467 - 396398 - 920297 - 8341</t>
  </si>
  <si>
    <t>Chemin des Dames, Omophron bordé</t>
  </si>
  <si>
    <t>8343 - 798442</t>
  </si>
  <si>
    <t>Petit calosome</t>
  </si>
  <si>
    <t>798443 - 8344</t>
  </si>
  <si>
    <t>Calosome vert</t>
  </si>
  <si>
    <t>798446 - 8347</t>
  </si>
  <si>
    <t>Cychre cristalisé</t>
  </si>
  <si>
    <t>798447 - 8348</t>
  </si>
  <si>
    <t>Cychre fin</t>
  </si>
  <si>
    <t>8356 - 223015 - 251377</t>
  </si>
  <si>
    <t>8360 - 8358 - 8398</t>
  </si>
  <si>
    <t>Carabe doré, Sergent, Vinaigrier, Jardinière</t>
  </si>
  <si>
    <t>836043 - 918824</t>
  </si>
  <si>
    <t>836055 - 233495 - 233490 - 402399 - 903326 - 402398</t>
  </si>
  <si>
    <t>836060 - 903963 - 1301</t>
  </si>
  <si>
    <t>416423 - 248881 - 931903 - 836763 - 917499 - 931902</t>
  </si>
  <si>
    <t>Boarmie maculée (La)</t>
  </si>
  <si>
    <t>8372 - 8369</t>
  </si>
  <si>
    <t>Carabe à reflets dorés, Carabe à reflets d'or (Le), Carabe à reflets cuivrés (Le)</t>
  </si>
  <si>
    <t>837497 - 52514 - 837496</t>
  </si>
  <si>
    <t>837717 - 17704 - 837719</t>
  </si>
  <si>
    <t>837805 - 837806</t>
  </si>
  <si>
    <t>820814 - 65711 - 953506 - 837838</t>
  </si>
  <si>
    <t>Decticelle carroyée, Dectique marqueté</t>
  </si>
  <si>
    <t>953507 - 837839</t>
  </si>
  <si>
    <t>159427 - 837848 - 65655</t>
  </si>
  <si>
    <t>Ephippigère du Vallespir</t>
  </si>
  <si>
    <t>953126 - 837865 - 953122 - 66183 - 953127 - 953123 - 953125 - 953121</t>
  </si>
  <si>
    <t>Criquet cendré</t>
  </si>
  <si>
    <t>837869 - 66161 - 953040 - 407266 - 972350</t>
  </si>
  <si>
    <t>Criquet des pâtures, Oedipode parallèle</t>
  </si>
  <si>
    <t>974978 - 66162 - 974979 - 837870</t>
  </si>
  <si>
    <t>Criquet des pâtures</t>
  </si>
  <si>
    <t>Carabe tressé</t>
  </si>
  <si>
    <t>953039 - 535769 - 66165 - 837913</t>
  </si>
  <si>
    <t>Criquet palustre</t>
  </si>
  <si>
    <t>8381 - 8383</t>
  </si>
  <si>
    <t>Petit carabe enflé</t>
  </si>
  <si>
    <t>Carabe granuleux</t>
  </si>
  <si>
    <t>924954 - 245242 - 838618 - 838401</t>
  </si>
  <si>
    <t>839091 - 239710 - 998074</t>
  </si>
  <si>
    <t>396345 - 396342 - 396352 - 396346 - 396348 - 396351 - 396350 - 396341 - 8395 - 396343 - 396347 - 808537 - 396344 - 396349</t>
  </si>
  <si>
    <t>Carabe des arbres</t>
  </si>
  <si>
    <t>839648 - 246115 - 839649</t>
  </si>
  <si>
    <t>886492 - 8402</t>
  </si>
  <si>
    <t>Carabe perlé</t>
  </si>
  <si>
    <t>840938 - 811484 - 249059 - 826892</t>
  </si>
  <si>
    <t>Ecaille civique (L'),  Petite Ecaille brune (La)</t>
  </si>
  <si>
    <t>840947 - 249072 - 940983 - 811493 - 774735</t>
  </si>
  <si>
    <t>Ecaille du Plantain (L')</t>
  </si>
  <si>
    <t>840949 - 249058 - 811494</t>
  </si>
  <si>
    <t>Matrone (La), Écaille brune (L')</t>
  </si>
  <si>
    <t>8416 - 8413 - 8410 - 8411</t>
  </si>
  <si>
    <t>Carabe des bois</t>
  </si>
  <si>
    <t>699640 - 8428</t>
  </si>
  <si>
    <t>Carabe à probléme</t>
  </si>
  <si>
    <t>Carabe à bordure violette</t>
  </si>
  <si>
    <t>246213 - 726590 - 726591 - 843956 - 979016</t>
  </si>
  <si>
    <t>699557 - 795324 - 795323 - 795283 - 396363 - 795282 - 795284 - 8443 - 795281 - 951411 - 396361 - 795280 - 795276 - 795279 - 795277 - 795325 - 8441 - 795285 - 396362 - 795278 - 845127</t>
  </si>
  <si>
    <t>Carabe purpurin</t>
  </si>
  <si>
    <t>8447 - 809252</t>
  </si>
  <si>
    <t>Carabe chagriné</t>
  </si>
  <si>
    <t>800031 - 798102 - 642790 - 845156</t>
  </si>
  <si>
    <t>Carabe splendide (Le)</t>
  </si>
  <si>
    <t>413453 - 847283 - 413454 - 413456 - 928035 - 413455 - 163165</t>
  </si>
  <si>
    <t>Semilimace alpine</t>
  </si>
  <si>
    <t>923226 - 847310 - 526312 - 847309 - 526311 - 412540 - 162903</t>
  </si>
  <si>
    <t>Patelline fragile</t>
  </si>
  <si>
    <t>847554 - 847553</t>
  </si>
  <si>
    <t>909791 - 848230</t>
  </si>
  <si>
    <t>848448 - 848356 - 848450 - 247081 - 848465 - 848449</t>
  </si>
  <si>
    <t>Sésie du Tremble (La)</t>
  </si>
  <si>
    <t>848742 - 848743</t>
  </si>
  <si>
    <t>808532 - 798448 - 396248 - 8496 - 396249</t>
  </si>
  <si>
    <t>850 - 836239</t>
  </si>
  <si>
    <t>239694 - 850155</t>
  </si>
  <si>
    <t>850163 - 239709</t>
  </si>
  <si>
    <t>850177 - 53150 - 1000118 - 850179</t>
  </si>
  <si>
    <t>1000509 - 53114 - 850197</t>
  </si>
  <si>
    <t>396268 - 8502 - 396267 - 1006184 - 798451</t>
  </si>
  <si>
    <t>798452 - 8503</t>
  </si>
  <si>
    <t>396201 - 396195 - 8506 - 396203 - 396196 - 396197 - 396198 - 396191 - 396199 - 798457 - 396193 - 396202 - 396194 - 396200 - 396192</t>
  </si>
  <si>
    <t>Nébrie à cou bref</t>
  </si>
  <si>
    <t>8515 - 798454</t>
  </si>
  <si>
    <t>396213 - 396212 - 8520 - 396211</t>
  </si>
  <si>
    <t>798462 - 396274 - 8525 - 396275</t>
  </si>
  <si>
    <t>8526 - 809254 - 798463 - 809253</t>
  </si>
  <si>
    <t>798464 - 8528</t>
  </si>
  <si>
    <t>8531 - 809255</t>
  </si>
  <si>
    <t>853111 - 818337 - 897098 - 897099 - 296184 - 819027</t>
  </si>
  <si>
    <t>853409 - 853410 - 24003 - 853411</t>
  </si>
  <si>
    <t>853434 - 248319 - 853435</t>
  </si>
  <si>
    <t>Chilo du roseau</t>
  </si>
  <si>
    <t>Elaphre cuivré</t>
  </si>
  <si>
    <t>8537 - 798466</t>
  </si>
  <si>
    <t>Elaphre des rivages, Elaphre des rives</t>
  </si>
  <si>
    <t>Elaphre des marécages</t>
  </si>
  <si>
    <t>854001 - 853999 - 17646 - 854000 - 18358</t>
  </si>
  <si>
    <t>Écrevisse américaine (L')</t>
  </si>
  <si>
    <t>798468 - 8540</t>
  </si>
  <si>
    <t>Loricère à antennes poilues, Loricera</t>
  </si>
  <si>
    <t>854086 - 854085 - 936650</t>
  </si>
  <si>
    <t>798474 - 8548</t>
  </si>
  <si>
    <t>396121 - 396120 - 899072 - 798473 - 8549</t>
  </si>
  <si>
    <t>798477 - 396142 - 251325 - 8556 - 222969</t>
  </si>
  <si>
    <t>396126 - 222959 - 396124 - 8558 - 798484 - 396125</t>
  </si>
  <si>
    <t>8575 - 396112 - 798488</t>
  </si>
  <si>
    <t>798506 - 8585</t>
  </si>
  <si>
    <t>844827 - 8578 - 8598</t>
  </si>
  <si>
    <t>251303 - 396098 - 222923 - 8614 - 396097</t>
  </si>
  <si>
    <t>Bupreste bronzé à deux points enfoncés</t>
  </si>
  <si>
    <t>8617 - 798666</t>
  </si>
  <si>
    <t>798676 - 8620 - 887287 - 222921 - 8619</t>
  </si>
  <si>
    <t>222932 - 8628 - 798680</t>
  </si>
  <si>
    <t>8633 - 222931 - 396103 - 798679 - 8632</t>
  </si>
  <si>
    <t>222927 - 8639</t>
  </si>
  <si>
    <t>8667 - 798700</t>
  </si>
  <si>
    <t>886459 - 798712 - 222836 - 8700</t>
  </si>
  <si>
    <t>798716 - 8712</t>
  </si>
  <si>
    <t>8719 - 798724</t>
  </si>
  <si>
    <t>798747 - 396016 - 8729 - 952106</t>
  </si>
  <si>
    <t>222735 - 458978 - 251118 - 251119 - 458979 - 8756</t>
  </si>
  <si>
    <t>Aphaenops de Loubens</t>
  </si>
  <si>
    <t>798708 - 8763 - 1000132</t>
  </si>
  <si>
    <t>799036 - 8782</t>
  </si>
  <si>
    <t>8784 - 395277 - 395275 - 395276 - 395278 - 395279 - 799039 - 395280</t>
  </si>
  <si>
    <t>8816 - 395364 - 798934</t>
  </si>
  <si>
    <t>8817 - 798935</t>
  </si>
  <si>
    <t>Agonum à liseré</t>
  </si>
  <si>
    <t>8819 - 798937 - 836954</t>
  </si>
  <si>
    <t>8820 - 395358</t>
  </si>
  <si>
    <t>395369 - 8822 - 798939</t>
  </si>
  <si>
    <t>Agonum des forêts</t>
  </si>
  <si>
    <t>8823 - 8833</t>
  </si>
  <si>
    <t>395365 - 8824</t>
  </si>
  <si>
    <t>395366 - 395367 - 798940 - 8825</t>
  </si>
  <si>
    <t>395373 - 798941 - 820701 - 820700 - 395374 - 395372 - 395371 - 395370 - 8826</t>
  </si>
  <si>
    <t>Agonum des marais</t>
  </si>
  <si>
    <t>222377 - 8838 - 798954 - 809485 - 8811 - 886466 - 395346 - 395347</t>
  </si>
  <si>
    <t>1000359 - 808458 - 883879 - 1000364</t>
  </si>
  <si>
    <t>409272 - 798401 - 16248 - 16247 - 884490 - 409271 - 798400 - 242473 - 16250 - 803343 - 16249</t>
  </si>
  <si>
    <t>884524 - 215995 - 215996 - 884845</t>
  </si>
  <si>
    <t>885038 - 413607 - 927741 - 413605 - 413603 - 413604 - 927742 - 779505 - 413602 - 56507 - 413606</t>
  </si>
  <si>
    <t>Hélicette carénée</t>
  </si>
  <si>
    <t>413583 - 782899 - 199887 - 885674</t>
  </si>
  <si>
    <t>Veloutée alpine</t>
  </si>
  <si>
    <t>885685 - 163290</t>
  </si>
  <si>
    <t>885760 - 163291 - 929086</t>
  </si>
  <si>
    <t>Veloutée spiraline</t>
  </si>
  <si>
    <t>887279 - 798564 - 885913 - 223439</t>
  </si>
  <si>
    <t>9467 - 798663 - 885916</t>
  </si>
  <si>
    <t>Mygales à chaussette</t>
  </si>
  <si>
    <t>8867 - 8868</t>
  </si>
  <si>
    <t>887 - 904016</t>
  </si>
  <si>
    <t>800433 - 8871</t>
  </si>
  <si>
    <t>Staphylin jaune à tête, étuis &amp; anus noirs</t>
  </si>
  <si>
    <t>249656 - 771335 - 887318 - 887319</t>
  </si>
  <si>
    <t>Xanthie sanguine (La)</t>
  </si>
  <si>
    <t>249655 - 887320 - 887321</t>
  </si>
  <si>
    <t>Xanthie viennoise (La)</t>
  </si>
  <si>
    <t>249659 - 783829 - 887324 - 988332 - 887323</t>
  </si>
  <si>
    <t>Xanthie liturée (La)</t>
  </si>
  <si>
    <t>887329 - 805041 - 249657 - 806907 - 849108 - 783826</t>
  </si>
  <si>
    <t>Xanthie rufine (La)</t>
  </si>
  <si>
    <t>887335 - 887334 - 249652</t>
  </si>
  <si>
    <t>Xanthie de Blida (La)</t>
  </si>
  <si>
    <t>783823 - 249651 - 887337 - 887336</t>
  </si>
  <si>
    <t>Xanthie lavée (La)</t>
  </si>
  <si>
    <t>887341 - 783824 - 887340 - 249653 - 988330</t>
  </si>
  <si>
    <t>Xanthie noisette (La)</t>
  </si>
  <si>
    <t>249650 - 887344 - 887343 - 783825 - 822178</t>
  </si>
  <si>
    <t>Xanthie ferruginée (La)</t>
  </si>
  <si>
    <t>249658 - 887347 - 887346</t>
  </si>
  <si>
    <t>Xanthie humble (La)</t>
  </si>
  <si>
    <t>249661 - 887349 - 887348</t>
  </si>
  <si>
    <t>Xanthie rosâtre (La)</t>
  </si>
  <si>
    <t>888464 - 405263 - 405265 - 405264 - 28980</t>
  </si>
  <si>
    <t>403913 - 403916 - 403915 - 403912 - 403914 - 8936 - 403911</t>
  </si>
  <si>
    <t>785771 - 893770 - 893771</t>
  </si>
  <si>
    <t>894335 - 652161 - 894336</t>
  </si>
  <si>
    <t>Écrevisse à pinces bleues</t>
  </si>
  <si>
    <t>403730 - 799137 - 721378 - 403725 - 403726 - 8944 - 403727 - 403728 - 403729 - 8939</t>
  </si>
  <si>
    <t>Hydrophile, Grand hydrophile</t>
  </si>
  <si>
    <t>799139 - 403745 - 8946 - 799140</t>
  </si>
  <si>
    <t>403759 - 403748 - 403760 - 403749 - 403757 - 8949 - 403752 - 403754 - 403753 - 403763 - 403747 - 403756 - 403751 - 403765 - 403755 - 403762 - 403761 - 799138 - 403764 - 403758 - 403750</t>
  </si>
  <si>
    <t>Hydrophile noir strié</t>
  </si>
  <si>
    <t>403895 - 403891 - 799109 - 403893 - 8952 - 403894 - 403896 - 403892</t>
  </si>
  <si>
    <t>403886 - 403890 - 403888 - 403885 - 403883 - 403887 - 403884 - 403889 - 799108 - 8953</t>
  </si>
  <si>
    <t>799112 - 403768 - 403770 - 403766 - 8961 - 403769 - 403767</t>
  </si>
  <si>
    <t>403837 - 8967</t>
  </si>
  <si>
    <t>247890 - 897025 - 253303 - 415856</t>
  </si>
  <si>
    <t>Phycide de Wood</t>
  </si>
  <si>
    <t>897449 - 216354</t>
  </si>
  <si>
    <t>404077 - 404082 - 799141 - 404076 - 404078 - 8977 - 404075 - 404080 - 404083 - 404079 - 404084 - 404081</t>
  </si>
  <si>
    <t>404027 - 404026 - 8981 - 404028 - 799148</t>
  </si>
  <si>
    <t>403988 - 404060 - 403997 - 403986 - 403984 - 403985 - 8982 - 799145 - 403989 - 403983 - 403987 - 403996 - 403982 - 403992 - 403991 - 403994 - 403995 - 403993 - 403990</t>
  </si>
  <si>
    <t>404010 - 799147 - 8983</t>
  </si>
  <si>
    <t>8984 - 538402 - 403980 - 403979</t>
  </si>
  <si>
    <t>898794 - 898793 - 405670 - 898791 - 235849</t>
  </si>
  <si>
    <t>233209 - 901489 - 823107 - 899 - 901496</t>
  </si>
  <si>
    <t>400306 - 400308 - 400305 - 400309 - 24874 - 899012 - 899013 - 400307</t>
  </si>
  <si>
    <t>899722 - 899720 - 899721</t>
  </si>
  <si>
    <t>899803 - 64057 - 907429 - 777742 - 64056</t>
  </si>
  <si>
    <t>407066 - 9010 - 801624</t>
  </si>
  <si>
    <t>406897 - 801663 - 9012 - 406895 - 406896</t>
  </si>
  <si>
    <t>162888 - 901427 - 930519</t>
  </si>
  <si>
    <t>Limnée radis</t>
  </si>
  <si>
    <t>907430 - 901432 - 930529 - 162889 - 899802 - 899801 - 899946 - 899807 - 899947 - 719689</t>
  </si>
  <si>
    <t>Limnée commune</t>
  </si>
  <si>
    <t>9026 - 407104 - 801642</t>
  </si>
  <si>
    <t>851143 - 801643 - 9028 - 407106 - 407107</t>
  </si>
  <si>
    <t>902933 - 1011619 - 234048 - 457413 - 1011618 - 902932</t>
  </si>
  <si>
    <t>902997 - 821014 - 979015 - 984646 - 246569</t>
  </si>
  <si>
    <t>903 - 840726</t>
  </si>
  <si>
    <t>Araignée cannibale</t>
  </si>
  <si>
    <t>801638 - 9030 - 407094 - 407092 - 407093</t>
  </si>
  <si>
    <t>404470 - 404472 - 9038 - 404471 - 404469 - 801672</t>
  </si>
  <si>
    <t>902705 - 904</t>
  </si>
  <si>
    <t>9045 - 801694</t>
  </si>
  <si>
    <t>9057 - 801705</t>
  </si>
  <si>
    <t>233892 - 906427 - 902685 - 906428</t>
  </si>
  <si>
    <t>906463 - 1838</t>
  </si>
  <si>
    <t>799034 - 9066</t>
  </si>
  <si>
    <t>9078 - 799024</t>
  </si>
  <si>
    <t>799012 - 395638 - 9085 - 886481 - 9086 - 395637</t>
  </si>
  <si>
    <t>887240 - 799020 - 9089 - 9090 - 809508 - 845129</t>
  </si>
  <si>
    <t>909211 - 909202</t>
  </si>
  <si>
    <t>909670 - 909669</t>
  </si>
  <si>
    <t>909743 - 909742</t>
  </si>
  <si>
    <t>909752 - 909753</t>
  </si>
  <si>
    <t>909762 - 909761</t>
  </si>
  <si>
    <t>909767 - 909769</t>
  </si>
  <si>
    <t>21887 - 909798</t>
  </si>
  <si>
    <t>799000 - 9099 - 809498</t>
  </si>
  <si>
    <t>395651 - 780123 - 9101 - 395650 - 886497 - 798983 - 9100</t>
  </si>
  <si>
    <t>395643 - 699728 - 395645 - 844711 - 9104 - 395642 - 395641 - 9103 - 395644 - 809512 - 799014</t>
  </si>
  <si>
    <t>217512 - 910380</t>
  </si>
  <si>
    <t>413596 - 413594 - 413597 - 413598 - 413601 - 413600 - 912180 - 413595 - 56506 - 413599 - 56505 - 413593 - 912179 - 413592</t>
  </si>
  <si>
    <t>Hélicette chagrinée</t>
  </si>
  <si>
    <t>798982 - 395633 - 9137 - 9136 - 395634</t>
  </si>
  <si>
    <t>913804 - 848123 - 66141 - 994345</t>
  </si>
  <si>
    <t>Criquet mélodieux, Oedipode bimouchetée</t>
  </si>
  <si>
    <t>914 - 903094</t>
  </si>
  <si>
    <t>Tmarus paresseux</t>
  </si>
  <si>
    <t>809507 - 395669 - 395667 - 395670 - 9141 - 886489 - 799019 - 395668</t>
  </si>
  <si>
    <t>903095 - 915</t>
  </si>
  <si>
    <t>395773 - 798959 - 395772 - 9157 - 395771</t>
  </si>
  <si>
    <t>Abax ovale</t>
  </si>
  <si>
    <t>798961 - 9158</t>
  </si>
  <si>
    <t>Abax inerme</t>
  </si>
  <si>
    <t>9165 - 798965</t>
  </si>
  <si>
    <t>Molops</t>
  </si>
  <si>
    <t>917 - 903096</t>
  </si>
  <si>
    <t>9170 - 798877</t>
  </si>
  <si>
    <t>Bupreste à nœud d'épaule</t>
  </si>
  <si>
    <t>918133 - 822382 - 917866 - 248117 - 1008239</t>
  </si>
  <si>
    <t>Pyrale du Houblon (La)</t>
  </si>
  <si>
    <t>918166 - 248157 - 916020</t>
  </si>
  <si>
    <t>Enychie fasciée</t>
  </si>
  <si>
    <t>822742 - 918584 - 340821 - 918585</t>
  </si>
  <si>
    <t>918877 - 247169 - 920400</t>
  </si>
  <si>
    <t>247177 - 918878 - 247173 - 935425 - 785555</t>
  </si>
  <si>
    <t>247181 - 896802 - 918880 - 923101</t>
  </si>
  <si>
    <t>923723 - 935424 - 415459 - 247175 - 785300 - 923722 - 918881</t>
  </si>
  <si>
    <t>247171 - 918882 - 789605 - 916451</t>
  </si>
  <si>
    <t>917474 - 918883 - 415460 - 935716 - 247176 - 935717</t>
  </si>
  <si>
    <t>789643 - 918885 - 789642 - 247172</t>
  </si>
  <si>
    <t>918887 - 247178 - 789649 - 785302</t>
  </si>
  <si>
    <t>395848 - 9192 - 799056 - 395850 - 395849 - 809523 - 395851</t>
  </si>
  <si>
    <t>Amare bronzée</t>
  </si>
  <si>
    <t>395856 - 395855 - 395859 - 395853 - 395858 - 9193 - 395857 - 799057 - 395854</t>
  </si>
  <si>
    <t>9195 - 9194 - 799065</t>
  </si>
  <si>
    <t>9197 - 799064 - 9198 - 699587 - 395920 - 395919</t>
  </si>
  <si>
    <t>395860 - 9200 - 395861</t>
  </si>
  <si>
    <t>9201 - 395863 - 395862</t>
  </si>
  <si>
    <t>920129 - 920128 - 920126 - 920127</t>
  </si>
  <si>
    <t>920131 - 920133 - 920132</t>
  </si>
  <si>
    <t>395864 - 9203 - 799058 - 395866 - 395865</t>
  </si>
  <si>
    <t>920383 - 920382</t>
  </si>
  <si>
    <t>162787 - 162788 - 930120 - 920402 - 929885 - 920399</t>
  </si>
  <si>
    <t>Bythiospée de la Chartreuse</t>
  </si>
  <si>
    <t>9204 - 799059</t>
  </si>
  <si>
    <t>799083 - 9206 - 395843 - 395842</t>
  </si>
  <si>
    <t>9209 - 9207 - 395844</t>
  </si>
  <si>
    <t>799060 - 395874 - 395873 - 395872 - 9208</t>
  </si>
  <si>
    <t>9212 - 395875 - 395876 - 395877</t>
  </si>
  <si>
    <t>9215 - 395879</t>
  </si>
  <si>
    <t>395880 - 9217 - 395881 - 799061</t>
  </si>
  <si>
    <t>9218 - 799084 - 809521</t>
  </si>
  <si>
    <t>922180 - 922181</t>
  </si>
  <si>
    <t>922206 - 922207</t>
  </si>
  <si>
    <t>922264 - 922265</t>
  </si>
  <si>
    <t>922293 - 922291</t>
  </si>
  <si>
    <t>922588 - 922587</t>
  </si>
  <si>
    <t>922596 - 922594</t>
  </si>
  <si>
    <t>922600 - 922599</t>
  </si>
  <si>
    <t>922649 - 922650</t>
  </si>
  <si>
    <t>922655 - 922654</t>
  </si>
  <si>
    <t>922667 - 922668</t>
  </si>
  <si>
    <t>809522 - 395885 - 799062 - 9231 - 395884</t>
  </si>
  <si>
    <t>798923 - 9233</t>
  </si>
  <si>
    <t>Odacantha</t>
  </si>
  <si>
    <t>223361 - 798637 - 923544</t>
  </si>
  <si>
    <t>809233 - 395154 - 798784 - 9237</t>
  </si>
  <si>
    <t>Drypta</t>
  </si>
  <si>
    <t>924 - 902643</t>
  </si>
  <si>
    <t>Aulonie mains-blanches</t>
  </si>
  <si>
    <t>924569 - 163075 - 928182</t>
  </si>
  <si>
    <t>Clausilie rougeâtre</t>
  </si>
  <si>
    <t>925196 - 925195</t>
  </si>
  <si>
    <t>217045 - 930228 - 389377 - 389378 - 925335</t>
  </si>
  <si>
    <t>9259 - 798833</t>
  </si>
  <si>
    <t>9261 - 798827 - 395550</t>
  </si>
  <si>
    <t>52746 - 926298</t>
  </si>
  <si>
    <t>798822 - 395528 - 9266 - 395529</t>
  </si>
  <si>
    <t>Ophone cordiforme</t>
  </si>
  <si>
    <t>926776 - 245638 - 926773</t>
  </si>
  <si>
    <t>927411 - 927412 - 927413 - 22221</t>
  </si>
  <si>
    <t>395390 - 798791 - 9275</t>
  </si>
  <si>
    <t>9277 - 798491 - 7653</t>
  </si>
  <si>
    <t>7654 - 7655 - 396410 - 9278</t>
  </si>
  <si>
    <t>7658 - 9279</t>
  </si>
  <si>
    <t>396401 - 9280 - 223048 - 396400 - 7661 - 396402</t>
  </si>
  <si>
    <t>1751 - 928312</t>
  </si>
  <si>
    <t>928313 - 402371 - 1750 - 457366 - 836076</t>
  </si>
  <si>
    <t>1668 - 1669 - 457395 - 903105 - 928325</t>
  </si>
  <si>
    <t>9285 - 798492 - 7662 - 396416 - 396415 - 396414 - 396413</t>
  </si>
  <si>
    <t>Bombardier escopette</t>
  </si>
  <si>
    <t>9287 - 798790</t>
  </si>
  <si>
    <t>Diachrome allemand</t>
  </si>
  <si>
    <t>9291 - 395391 - 798787</t>
  </si>
  <si>
    <t>923066 - 245611 - 821277 - 929244</t>
  </si>
  <si>
    <t>798788 - 395392 - 9293</t>
  </si>
  <si>
    <t>824968 - 415393 - 247003 - 770449 - 726435 - 826203 - 929405 - 824967 - 926322</t>
  </si>
  <si>
    <t>929408 - 247002 - 726433 - 415392</t>
  </si>
  <si>
    <t>247001 - 770451 - 929417 - 770452</t>
  </si>
  <si>
    <t>770453 - 247000 - 929418</t>
  </si>
  <si>
    <t>247005 - 770455 - 980596 - 929420</t>
  </si>
  <si>
    <t>929478 - 929477</t>
  </si>
  <si>
    <t>395451 - 9298 - 395452 - 798806</t>
  </si>
  <si>
    <t>809545 - 9299 - 809546</t>
  </si>
  <si>
    <t>809547 - 9300 - 395453 - 395454</t>
  </si>
  <si>
    <t>798807 - 809549 - 395455 - 9301 - 809550</t>
  </si>
  <si>
    <t>834829 - 930261 - 930262 - 248258 - 825727 - 918170</t>
  </si>
  <si>
    <t>Crambus rayé des coteaux</t>
  </si>
  <si>
    <t>798808 - 395466 - 809548 - 9304</t>
  </si>
  <si>
    <t>798809 - 9306</t>
  </si>
  <si>
    <t>395447 - 820713 - 9307 - 798810 - 395446 - 820712</t>
  </si>
  <si>
    <t>798812 - 809551 - 395470 - 395472 - 9309 - 395471 - 395473</t>
  </si>
  <si>
    <t>931 - 902681</t>
  </si>
  <si>
    <t>Pirate commune</t>
  </si>
  <si>
    <t>798817 - 9310</t>
  </si>
  <si>
    <t>Harpale serripède</t>
  </si>
  <si>
    <t>917683 - 777823 - 931026 - 248945 - 932830</t>
  </si>
  <si>
    <t>Psodos horrible (La)</t>
  </si>
  <si>
    <t>798813 - 9311 - 395474</t>
  </si>
  <si>
    <t>798818 - 9312</t>
  </si>
  <si>
    <t>778845 - 931202 - 249810 - 920043</t>
  </si>
  <si>
    <t>Noctuelle veineuse (La)</t>
  </si>
  <si>
    <t>931373 - 931926 - 416455 - 416456 - 248949 - 916682</t>
  </si>
  <si>
    <t>Gnophos claire (La)</t>
  </si>
  <si>
    <t>917528 - 416459 - 248953 - 931935 - 931375</t>
  </si>
  <si>
    <t>Gnophos à bandes (La)</t>
  </si>
  <si>
    <t>931942 - 916683 - 931376 - 248951</t>
  </si>
  <si>
    <t>Gnophos jaunâtre (La)</t>
  </si>
  <si>
    <t>931413 - 781893 - 827400 - 721060 - 783817 - 249516 - 916873</t>
  </si>
  <si>
    <t>395496 - 9316 - 798820 - 892416</t>
  </si>
  <si>
    <t>809552 - 9317</t>
  </si>
  <si>
    <t>395483 - 9327 - 395484 - 798816</t>
  </si>
  <si>
    <t>9335 - 395424 - 798870 - 809555</t>
  </si>
  <si>
    <t>395426 - 9338 - 798871 - 395427 - 809554</t>
  </si>
  <si>
    <t>9342 - 395420 - 809553 - 798864</t>
  </si>
  <si>
    <t>9343 - 395423 - 798866</t>
  </si>
  <si>
    <t>395398 - 798850 - 9346</t>
  </si>
  <si>
    <t>798367 - 934712 - 241338</t>
  </si>
  <si>
    <t>395399 - 9348</t>
  </si>
  <si>
    <t>395403 - 395402 - 9351 - 798852 - 809558</t>
  </si>
  <si>
    <t>798854 - 395405 - 395406 - 9352</t>
  </si>
  <si>
    <t>951607 - 798855 - 809556 - 9353</t>
  </si>
  <si>
    <t>232722 - 935414 - 402186 - 886029</t>
  </si>
  <si>
    <t>402187 - 935419 - 402188 - 232724</t>
  </si>
  <si>
    <t>935420 - 402190 - 232725 - 402189</t>
  </si>
  <si>
    <t>886030 - 935421 - 232726 - 402191 - 402192</t>
  </si>
  <si>
    <t>9357 - 798786</t>
  </si>
  <si>
    <t>9360 - 395572</t>
  </si>
  <si>
    <t>9361 - 721356 - 798917</t>
  </si>
  <si>
    <t>798922 - 395598 - 699560 - 9365 - 222517 - 395597</t>
  </si>
  <si>
    <t>967140 - 250918 - 967139 - 967137 - 9371 - 395599 - 967138 - 798924</t>
  </si>
  <si>
    <t>921738 - 247905 - 415863 - 937109 - 415864</t>
  </si>
  <si>
    <t>Phycide nuageuse</t>
  </si>
  <si>
    <t>970429 - 937302 - 238459 - 699552 - 837602 - 937893</t>
  </si>
  <si>
    <t>395601 - 395602 - 222523 - 9381 - 798771 - 9380</t>
  </si>
  <si>
    <t>Chlaenius à antennes noires</t>
  </si>
  <si>
    <t>405867 - 938016 - 236337 - 790177 - 790180</t>
  </si>
  <si>
    <t>395603 - 395604 - 798772 - 222524 - 395605 - 9382 - 9383</t>
  </si>
  <si>
    <t>892414 - 9384</t>
  </si>
  <si>
    <t>9385 - 222525 - 796814 - 809467 - 395606</t>
  </si>
  <si>
    <t>Chlaenius à liseré</t>
  </si>
  <si>
    <t>809468 - 9388 - 798773 - 395607 - 222527 - 250922</t>
  </si>
  <si>
    <t>Chlaenius noir, Chlénie des vasières</t>
  </si>
  <si>
    <t>395608 - 222528 - 798774 - 9389</t>
  </si>
  <si>
    <t>Chlaenius habillé, Clénie vêtu</t>
  </si>
  <si>
    <t>939151 - 939153</t>
  </si>
  <si>
    <t>939155 - 52993 - 939154</t>
  </si>
  <si>
    <t>939174 - 939175</t>
  </si>
  <si>
    <t>9392 - 798776</t>
  </si>
  <si>
    <t>798769 - 952110 - 9397</t>
  </si>
  <si>
    <t>Beau carabique à lunule</t>
  </si>
  <si>
    <t>940990 - 983893 - 811485 - 939795 - 822008 - 249060 - 822007 - 823135</t>
  </si>
  <si>
    <t>Ecaille des steppes (L')</t>
  </si>
  <si>
    <t>252065 - 902846 - 940</t>
  </si>
  <si>
    <t>Saltique fourmi</t>
  </si>
  <si>
    <t>798909 - 395234 - 809247 - 9406</t>
  </si>
  <si>
    <t>Lebia à cul orange</t>
  </si>
  <si>
    <t>798910 - 809248 - 951611 - 9409 - 395236 - 395235 - 395237</t>
  </si>
  <si>
    <t>9419 - 798893</t>
  </si>
  <si>
    <t>9423 - 395206 - 395207 - 798885</t>
  </si>
  <si>
    <t>798886 - 9426 - 395210</t>
  </si>
  <si>
    <t>395222 - 798882 - 9435</t>
  </si>
  <si>
    <t>395224 - 395226 - 9436 - 798881 - 395225 - 934717</t>
  </si>
  <si>
    <t>249838 - 943799 - 955653</t>
  </si>
  <si>
    <t>9438 - 798573</t>
  </si>
  <si>
    <t>9439 - 798574</t>
  </si>
  <si>
    <t>944140 - 24612</t>
  </si>
  <si>
    <t>396587 - 9442</t>
  </si>
  <si>
    <t>396589 - 798524 - 820715 - 797736 - 820714 - 9444 - 396590</t>
  </si>
  <si>
    <t>396586 - 9445 - 396585</t>
  </si>
  <si>
    <t>886477 - 9446 - 798526</t>
  </si>
  <si>
    <t>9447 - 396588 - 798522</t>
  </si>
  <si>
    <t>396595 - 396596 - 9448</t>
  </si>
  <si>
    <t>798523 - 9450</t>
  </si>
  <si>
    <t>246692 - 825096 - 946860 - 770925</t>
  </si>
  <si>
    <t>946886 - 246693 - 770893</t>
  </si>
  <si>
    <t>798664 - 9469</t>
  </si>
  <si>
    <t>9475 - 798587</t>
  </si>
  <si>
    <t>798590 - 9478</t>
  </si>
  <si>
    <t>9489 - 798616</t>
  </si>
  <si>
    <t>9491 - 798617</t>
  </si>
  <si>
    <t>699785 - 9493</t>
  </si>
  <si>
    <t>9499 - 798622</t>
  </si>
  <si>
    <t>Hydropore des marais</t>
  </si>
  <si>
    <t>399558 - 399559 - 399557 - 399560 - 949925 - 20141</t>
  </si>
  <si>
    <t>798619 - 9501</t>
  </si>
  <si>
    <t>797751 - 798620 - 9502</t>
  </si>
  <si>
    <t>798625 - 9505</t>
  </si>
  <si>
    <t>798626 - 9506</t>
  </si>
  <si>
    <t>9512 - 798603 - 796806</t>
  </si>
  <si>
    <t>397575 - 798528 - 397574 - 397573 - 9515</t>
  </si>
  <si>
    <t>951623 - 797753 - 9519 - 798438</t>
  </si>
  <si>
    <t>9520 - 9521 - 847500</t>
  </si>
  <si>
    <t>9524 - 396582 - 797737 - 798539 - 797738</t>
  </si>
  <si>
    <t>798531 - 9526</t>
  </si>
  <si>
    <t>798542 - 9528</t>
  </si>
  <si>
    <t>798534 - 9529</t>
  </si>
  <si>
    <t>809597 - 163111 - 163109 - 783205 - 928027 - 953002</t>
  </si>
  <si>
    <t>Conule mat</t>
  </si>
  <si>
    <t>798544 - 9532</t>
  </si>
  <si>
    <t>9536 - 798546</t>
  </si>
  <si>
    <t>798536 - 9538</t>
  </si>
  <si>
    <t>9540 - 951621 - 699736 - 798560</t>
  </si>
  <si>
    <t>954090 - 954085 - 954022 - 391589 - 955479 - 219044</t>
  </si>
  <si>
    <t>798549 - 9543</t>
  </si>
  <si>
    <t>798551 - 9544</t>
  </si>
  <si>
    <t>9545 - 798552</t>
  </si>
  <si>
    <t>798557 - 9546 - 396580</t>
  </si>
  <si>
    <t>798553 - 9548</t>
  </si>
  <si>
    <t>396578 - 9558 - 901982 - 535382 - 8199 - 887284 - 798570</t>
  </si>
  <si>
    <t>951145 - 9560 - 798581</t>
  </si>
  <si>
    <t>9562 - 199199 - 798576</t>
  </si>
  <si>
    <t>Graphodère à deux lignes</t>
  </si>
  <si>
    <t>798577 - 9563 - 951144</t>
  </si>
  <si>
    <t>408776 - 242256 - 956572 - 803160</t>
  </si>
  <si>
    <t>803161 - 242257 - 408777 - 956573 - 408778</t>
  </si>
  <si>
    <t>Dytique à accent</t>
  </si>
  <si>
    <t>797741 - 9568 - 797740</t>
  </si>
  <si>
    <t>816871 - 816872 - 816876 - 219749 - 956888 - 641402 - 53302 - 777355 - 773996 - 392206 - 816865 - 647477 - 53300 - 608241 - 641407 - 392205 - 641401 - 716711 - 641403</t>
  </si>
  <si>
    <t>Hespérie du Marrube (L'), Hespérie de la Bétoine (L'), Hespérie du Marrube (L'), Hesperie de la Guimauve (L'), Lisette (La), Hesperie de la Mauve (L'), Spilothyre (Le)</t>
  </si>
  <si>
    <t>809596 - 641405 - 777356 - 777439 - 392204 - 777527 - 816881 - 956889 - 816880 - 773997 - 53294 - 641408 - 641409 - 816870 - 816879</t>
  </si>
  <si>
    <t>Hespérie de l'Épiaire (L'), Hespérie de la Lavatère (L'), Marbré (Le)</t>
  </si>
  <si>
    <t>Grand dytique</t>
  </si>
  <si>
    <t>Dytique bordé</t>
  </si>
  <si>
    <t>9572 - 797742</t>
  </si>
  <si>
    <t>9583 - 798520</t>
  </si>
  <si>
    <t>716347 - 958631</t>
  </si>
  <si>
    <t>9591 - 800293</t>
  </si>
  <si>
    <t>959369 - 959368</t>
  </si>
  <si>
    <t>800309 - 9599</t>
  </si>
  <si>
    <t>960222 - 960223</t>
  </si>
  <si>
    <t>960232 - 960233</t>
  </si>
  <si>
    <t>960246 - 960247 - 960244</t>
  </si>
  <si>
    <t>960251 - 960253 - 960252</t>
  </si>
  <si>
    <t>960328 - 967686 - 960327</t>
  </si>
  <si>
    <t>960329 - 934218 - 25115</t>
  </si>
  <si>
    <t>960331 - 216896</t>
  </si>
  <si>
    <t>774477 - 777826 - 721722 - 807612 - 921076 - 961903 - 721070 - 249796 - 807611 - 923013</t>
  </si>
  <si>
    <t>Bryophile du Lichen (La)</t>
  </si>
  <si>
    <t>962302 - 66145 - 66146 - 66147 - 962301 - 953001</t>
  </si>
  <si>
    <t>Criquet des Ajoncs</t>
  </si>
  <si>
    <t>241251 - 963191 - 777344</t>
  </si>
  <si>
    <t>232664 - 963297 - 528548</t>
  </si>
  <si>
    <t>802500 - 12545 - 963752</t>
  </si>
  <si>
    <t>805076 - 726299 - 917562 - 245971 - 972357 - 726300 - 964264</t>
  </si>
  <si>
    <t>799974 - 642780 - 964501 - 798082</t>
  </si>
  <si>
    <t>964505 - 9679 - 800012</t>
  </si>
  <si>
    <t>794476 - 964509 - 642649 - 800014</t>
  </si>
  <si>
    <t>964522 - 800036 - 9682</t>
  </si>
  <si>
    <t>974269 - 964526 - 800040 - 642854 - 974270</t>
  </si>
  <si>
    <t>642856 - 800041 - 964527</t>
  </si>
  <si>
    <t>9671 - 799939</t>
  </si>
  <si>
    <t>799941 - 796981 - 716287 - 9672</t>
  </si>
  <si>
    <t>967201 - 967202</t>
  </si>
  <si>
    <t>967207 - 967206</t>
  </si>
  <si>
    <t>967225 - 967224</t>
  </si>
  <si>
    <t>967228 - 967226</t>
  </si>
  <si>
    <t>967241 - 967243</t>
  </si>
  <si>
    <t>967245 - 967244</t>
  </si>
  <si>
    <t>967246 - 967247</t>
  </si>
  <si>
    <t>967252 - 967251</t>
  </si>
  <si>
    <t>967257 - 967256</t>
  </si>
  <si>
    <t>967259 - 967258</t>
  </si>
  <si>
    <t>967262 - 967263</t>
  </si>
  <si>
    <t>967268 - 967270</t>
  </si>
  <si>
    <t>967350 - 967351</t>
  </si>
  <si>
    <t>967353 - 967352</t>
  </si>
  <si>
    <t>967355 - 967356</t>
  </si>
  <si>
    <t>967357 - 967359</t>
  </si>
  <si>
    <t>967375 - 967376</t>
  </si>
  <si>
    <t>967385 - 967384</t>
  </si>
  <si>
    <t>967430 - 967429</t>
  </si>
  <si>
    <t>967434 - 967433</t>
  </si>
  <si>
    <t>967441 - 967440</t>
  </si>
  <si>
    <t>967447 - 967446</t>
  </si>
  <si>
    <t>799969 - 796986 - 798078 - 9675 - 796985 - 798077</t>
  </si>
  <si>
    <t>236634 - 229917 - 406511 - 252225 - 406512 - 967656</t>
  </si>
  <si>
    <t>Ichneumon noir à deux bandes sur les ailes</t>
  </si>
  <si>
    <t>967680 - 236637 - 967681 - 406513</t>
  </si>
  <si>
    <t>967684 - 967683</t>
  </si>
  <si>
    <t>849878 - 967688 - 52843 - 236638 - 406514 - 406516 - 406515</t>
  </si>
  <si>
    <t>967693 - 236639</t>
  </si>
  <si>
    <t>25108 - 967695 - 934207 - 839536</t>
  </si>
  <si>
    <t>839535 - 934212 - 25110 - 967697</t>
  </si>
  <si>
    <t>967760 - 967761</t>
  </si>
  <si>
    <t>967767 - 967768</t>
  </si>
  <si>
    <t>967772 - 967771</t>
  </si>
  <si>
    <t>967774 - 967773</t>
  </si>
  <si>
    <t>216936 - 934465 - 967941</t>
  </si>
  <si>
    <t>967951 - 967952</t>
  </si>
  <si>
    <t>967964 - 967963</t>
  </si>
  <si>
    <t>967965 - 967967</t>
  </si>
  <si>
    <t>967973 - 967974</t>
  </si>
  <si>
    <t>967976 - 967978</t>
  </si>
  <si>
    <t>967984 - 967982</t>
  </si>
  <si>
    <t>967990 - 967989</t>
  </si>
  <si>
    <t>942734 - 942738 - 27932 - 942735 - 942736 - 967994 - 942737 - 942739</t>
  </si>
  <si>
    <t>942743 - 942741 - 967995 - 226990 - 942742</t>
  </si>
  <si>
    <t>799921 - 9680</t>
  </si>
  <si>
    <t>968010 - 934213 - 25111 - 968008</t>
  </si>
  <si>
    <t>968040 - 968041</t>
  </si>
  <si>
    <t>968044 - 968045</t>
  </si>
  <si>
    <t>968058 - 968059</t>
  </si>
  <si>
    <t>968069 - 968068</t>
  </si>
  <si>
    <t>9684 - 799950</t>
  </si>
  <si>
    <t>9686 - 799989</t>
  </si>
  <si>
    <t>9688 - 799990</t>
  </si>
  <si>
    <t>800053 - 9690</t>
  </si>
  <si>
    <t>800050 - 9691</t>
  </si>
  <si>
    <t>943272 - 28274 - 969165</t>
  </si>
  <si>
    <t>28072 - 941719 - 941721 - 941720 - 941718 - 941722 - 969336</t>
  </si>
  <si>
    <t>969347 - 941941 - 941937 - 28079 - 941938 - 941942 - 941944 - 941940 - 941939 - 941945 - 941943</t>
  </si>
  <si>
    <t>969490 - 969489</t>
  </si>
  <si>
    <t>969866 - 319847 - 969867 - 904868</t>
  </si>
  <si>
    <t>969927 - 534582 - 969926</t>
  </si>
  <si>
    <t>9700 - 799958 - 798073</t>
  </si>
  <si>
    <t>799915 - 642739 - 9702</t>
  </si>
  <si>
    <t>412273 - 9714 - 412274 - 800156 - 412272</t>
  </si>
  <si>
    <t>884254 - 642898 - 800178 - 9717</t>
  </si>
  <si>
    <t>971768 - 66135 - 66134 - 953010</t>
  </si>
  <si>
    <t>Criquet des Pins</t>
  </si>
  <si>
    <t>971791 - 66138 - 953003</t>
  </si>
  <si>
    <t>Criquet duettiste, Sauteriot</t>
  </si>
  <si>
    <t>66139 - 65908 - 66140 - 971792</t>
  </si>
  <si>
    <t>Criquet duettiste</t>
  </si>
  <si>
    <t>66142 - 971798</t>
  </si>
  <si>
    <t>Criquet mélodieux</t>
  </si>
  <si>
    <t>953006 - 66136 - 971800</t>
  </si>
  <si>
    <t>Criquet des jachères</t>
  </si>
  <si>
    <t>432552 - 971801</t>
  </si>
  <si>
    <t>Criquet des larris</t>
  </si>
  <si>
    <t>1013891 - 1018685 - 229816 - 972970 - 972971</t>
  </si>
  <si>
    <t>973283 - 973281 - 65803 - 1015501</t>
  </si>
  <si>
    <t>800339 - 9733</t>
  </si>
  <si>
    <t>800249 - 9740</t>
  </si>
  <si>
    <t>800250 - 9741</t>
  </si>
  <si>
    <t>975010 - 236611 - 975011</t>
  </si>
  <si>
    <t>9758 - 847546</t>
  </si>
  <si>
    <t>9760 - 799855</t>
  </si>
  <si>
    <t>9761 - 799856</t>
  </si>
  <si>
    <t>976481 - 976482 - 980736 - 813876 - 248008 - 972831</t>
  </si>
  <si>
    <t>9772 - 799854</t>
  </si>
  <si>
    <t>980566 - 771121 - 246912</t>
  </si>
  <si>
    <t>980577 - 246909 - 771114</t>
  </si>
  <si>
    <t>771148 - 246895 - 824674 - 980589</t>
  </si>
  <si>
    <t>800637 - 411015 - 411018 - 411011 - 411014 - 9808 - 411017 - 411013 - 411012 - 411016</t>
  </si>
  <si>
    <t>800644 - 9813</t>
  </si>
  <si>
    <t>411093 - 411092 - 800651 - 9830</t>
  </si>
  <si>
    <t>983165 - 813317 - 813318</t>
  </si>
  <si>
    <t>411042 - 9832</t>
  </si>
  <si>
    <t>52736 - 983235</t>
  </si>
  <si>
    <t>216730 - 983339 - 934341 - 389267 - 389266</t>
  </si>
  <si>
    <t>162666 - 983403</t>
  </si>
  <si>
    <t>800640 - 9835</t>
  </si>
  <si>
    <t>800626 - 9837 - 410934 - 410932 - 410935 - 410933</t>
  </si>
  <si>
    <t>984081 - 52755 - 250489</t>
  </si>
  <si>
    <t>263356 - 984197 - 52392</t>
  </si>
  <si>
    <t>9852 - 800654</t>
  </si>
  <si>
    <t>Staphylin nécrophage, Staphylin noir et cendré</t>
  </si>
  <si>
    <t>411266 - 699718 - 9854</t>
  </si>
  <si>
    <t>Staphylin bourdon</t>
  </si>
  <si>
    <t>411178 - 411180 - 800673 - 411181 - 9856 - 411179</t>
  </si>
  <si>
    <t>Staphylin cuivreux</t>
  </si>
  <si>
    <t>986104 - 28987 - 823975</t>
  </si>
  <si>
    <t>411168 - 411172 - 9862 - 800676 - 411170 - 411171 - 411169</t>
  </si>
  <si>
    <t>986205 - 250549</t>
  </si>
  <si>
    <t>986691 - 221970 - 393962</t>
  </si>
  <si>
    <t>411267 - 9870 - 411165 - 9869 - 411166</t>
  </si>
  <si>
    <t>9873 - 800665</t>
  </si>
  <si>
    <t>Staphylin odorant</t>
  </si>
  <si>
    <t>800666 - 9876</t>
  </si>
  <si>
    <t>Staphylin à élytre bleu</t>
  </si>
  <si>
    <t>220943 - 987704 - 987711 - 954121 - 987702</t>
  </si>
  <si>
    <t>9888 - 820717 - 847545</t>
  </si>
  <si>
    <t>989733 - 916828 - 838636 - 827374 - 249289 - 827376 - 988873</t>
  </si>
  <si>
    <t>410866 - 410865 - 9910 - 410869 - 410872 - 410873 - 410864 - 800572 - 410862 - 410863 - 410861 - 410871 - 410867 - 410870 - 410868</t>
  </si>
  <si>
    <t>410664 - 410661 - 9917 - 410670 - 800590 - 410672 - 410671 - 410665 - 410666 - 410667 - 410669 - 716290 - 410662 - 410663 - 410668</t>
  </si>
  <si>
    <t>410692 - 9921 - 800594</t>
  </si>
  <si>
    <t>9922 - 410694 - 800595 - 410693</t>
  </si>
  <si>
    <t>800596 - 9923 - 410695</t>
  </si>
  <si>
    <t>9928 - 800600 - 410713 - 410712</t>
  </si>
  <si>
    <t>410719 - 410718 - 9931 - 800602 - 410717 - 410720</t>
  </si>
  <si>
    <t>410644 - 800586 - 9933 - 410643</t>
  </si>
  <si>
    <t>410742 - 9934 - 410743</t>
  </si>
  <si>
    <t>216927 - 993426 - 256869</t>
  </si>
  <si>
    <t>800605 - 9935</t>
  </si>
  <si>
    <t>410747 - 800607 - 9937</t>
  </si>
  <si>
    <t>800609 - 9940</t>
  </si>
  <si>
    <t>9942 - 800610</t>
  </si>
  <si>
    <t>800611 - 9943</t>
  </si>
  <si>
    <t>410790 - 410793 - 410792 - 410794 - 800614 - 9946 - 410791</t>
  </si>
  <si>
    <t>9948 - 800615</t>
  </si>
  <si>
    <t>65993 - 916467 - 65859 - 972434 - 994871 - 994877 - 994876 - 994880</t>
  </si>
  <si>
    <t>410807 - 410812 - 410803 - 410808 - 800617 - 329327 - 410811 - 410805 - 410809 - 9949 - 410810 - 410804 - 410802 - 410806</t>
  </si>
  <si>
    <t>9955 - 800542 - 410621 - 410618 - 992549 - 410620 - 410622 - 410623 - 410619</t>
  </si>
  <si>
    <t>Staphylin à étuis marons pointillés</t>
  </si>
  <si>
    <t>794359 - 396804 - 396808 - 396806 - 396809 - 396803 - 223603 - 995814 - 796830 - 10438 - 799251 - 396807 - 396805</t>
  </si>
  <si>
    <t>9960 - 798193</t>
  </si>
  <si>
    <t>800708 - 9963</t>
  </si>
  <si>
    <t>411294 - 411296 - 9965 - 411295 - 411293 - 411292 - 800707</t>
  </si>
  <si>
    <t>990597 - 411530 - 9971 - 411529 - 411528 - 800502</t>
  </si>
  <si>
    <t>998486 - 52488</t>
  </si>
  <si>
    <t>901544 - 219915 - 999817</t>
  </si>
  <si>
    <t>199752 - 911206</t>
  </si>
  <si>
    <t>Furet, Putois domestique</t>
  </si>
  <si>
    <t>60435 - 60437 - 60438 - 60434 - 847351 - 60430 - 60451 - 60436 - 200118 - 60432 - 60433</t>
  </si>
  <si>
    <t>Murin de Daubenton</t>
  </si>
  <si>
    <t>&gt; 20 individus</t>
  </si>
  <si>
    <t>Myotis daubentonii</t>
  </si>
  <si>
    <t>2009-2013 / 1999-2004</t>
  </si>
  <si>
    <t>60025 - 60017 - 60015 - 159433 - 60026 - 60018 - 159432</t>
  </si>
  <si>
    <t>Hérisson d'Europe</t>
  </si>
  <si>
    <t>60051 - 60046 - 60048 - 60049 - 60052 - 60047 - 60053 - 60038 - 60050 - 60044 - 60054 - 60043 - 60042 - 60040 - 60045</t>
  </si>
  <si>
    <t>Musaraigne pygmée</t>
  </si>
  <si>
    <t>60075 - 60081 - 60076 - 60066 - 60095 - 60068 - 60069 - 60094 - 60084 - 60088 - 60091 - 60082 - 60101 - 60090 - 60093 - 60092 - 60065 - 60096 - 60083 - 60100 - 60078 - 60062 - 60079 - 60074 - 60067 - 60070 - 60089 - 60086 - 60077 - 60071 - 60073 - 60064 - 60098 - 60072 - 60087 - 60085 - 60097 - 60099 - 60080</t>
  </si>
  <si>
    <t>Musaraigne carrelet</t>
  </si>
  <si>
    <t>200139 - 60102 - 200138</t>
  </si>
  <si>
    <t>Musaraigne couronnée</t>
  </si>
  <si>
    <t>Musaraigne alpine</t>
  </si>
  <si>
    <t>60121 - 60122 - 60124 - 60125 - 60119 - 60126 - 60123</t>
  </si>
  <si>
    <t>Crossope de Miller, Musaraigne de Miller</t>
  </si>
  <si>
    <t>60127 - 60129 - 60167 - 60164 - 60166 - 60165</t>
  </si>
  <si>
    <t>Crossope aquatique, Musaraigne aquatique, Musaraigne d'eau, Musaraigne porte-rame</t>
  </si>
  <si>
    <t>60180 - 60184 - 60179 - 60176 - 961885 - 60178 - 60181 - 60183</t>
  </si>
  <si>
    <t>Crocidure leucode</t>
  </si>
  <si>
    <t>60227 - 60205 - 961826 - 60224 - 60226 - 60221</t>
  </si>
  <si>
    <t>Crocidure musette</t>
  </si>
  <si>
    <t>60253 - 60265 - 60270 - 60263 - 60262 - 60268 - 60269 - 60257 - 60266 - 60267 - 60249 - 60258 - 60260 - 60256 - 60254 - 60251 - 60259 - 60261 - 60255 - 60264 - 60252</t>
  </si>
  <si>
    <t>Taupe d'Europe</t>
  </si>
  <si>
    <t>961955 - 60312 - 60295</t>
  </si>
  <si>
    <t>Grand rhinolophe</t>
  </si>
  <si>
    <t>Rhinolophus ferrumequinum</t>
  </si>
  <si>
    <t>2016-2025 / 2009-2013 / 1999-2004</t>
  </si>
  <si>
    <t>60309 - 60311 - 60302 - 60298 - 60299 - 60305 - 60301 - 60303 - 60306 - 60308 - 60297 - 60307 - 60310 - 60304 - 60300</t>
  </si>
  <si>
    <t>60323 - 60324 - 60329 - 60322 - 961908 - 961890 - 60321 - 961889 - 60326 - 60316 - 60327 - 60317 - 60325 - 60318 - 60320 - 60319 - 60315 - 60313 - 60328</t>
  </si>
  <si>
    <t>Petit rhinolophe</t>
  </si>
  <si>
    <t>Rhinolophus hipposideros</t>
  </si>
  <si>
    <t>60336 - 60334 - 60333 - 60335 - 60330 - 60332</t>
  </si>
  <si>
    <t>Rhinolophe euryale</t>
  </si>
  <si>
    <t>Rhinolophus euryale</t>
  </si>
  <si>
    <t>Non visible si gîte non protégé</t>
  </si>
  <si>
    <t>60345 - 60347 - 60348</t>
  </si>
  <si>
    <t>Barbastelle d'Europe, Barbastelle</t>
  </si>
  <si>
    <t>Barbastella barbastellus</t>
  </si>
  <si>
    <t>60365 - 60367 - 60370 - 60362 - 60375 - 60373 - 60363 - 60372 - 60369 - 60360 - 60374 - 60366 - 60371 - 60368 - 60364</t>
  </si>
  <si>
    <t>Sérotine commune</t>
  </si>
  <si>
    <t>&gt; 100 individus</t>
  </si>
  <si>
    <t>Eptesicus serotinus</t>
  </si>
  <si>
    <t>60393 - 60383 - 60395 - 60389 - 60394 - 60388 - 60387 - 60385 - 60392 - 1011155 - 60391 - 60390</t>
  </si>
  <si>
    <t>Murin à moustaches, Vespertilion à moustaches</t>
  </si>
  <si>
    <t>Myotis mystacinus</t>
  </si>
  <si>
    <t>60402 - 60405 - 60400 - 60403 - 60406 - 885332 - 60404 - 60407</t>
  </si>
  <si>
    <t>Murin à oreilles échancrées, Vespertilion à oreilles échancrées</t>
  </si>
  <si>
    <t>Myotis emarginatus</t>
  </si>
  <si>
    <t>60408 - 60413 - 60410 - 60412</t>
  </si>
  <si>
    <t>Murin de Natterer, Vespertilion de Natterer</t>
  </si>
  <si>
    <t>Myotis nattereri</t>
  </si>
  <si>
    <t>60424 - 60426 - 60422 - 60425 - 60423 - 60420 - 60421 - 60418</t>
  </si>
  <si>
    <t>Grand Murin</t>
  </si>
  <si>
    <t>Myotis myotis</t>
  </si>
  <si>
    <t>Petit Murin</t>
  </si>
  <si>
    <t>Myotis blythii</t>
  </si>
  <si>
    <t>60449 - 60450 - 60447</t>
  </si>
  <si>
    <t>Murin des marais, Vespertilion des marais</t>
  </si>
  <si>
    <t>Myotis dasycneme</t>
  </si>
  <si>
    <t>60465 - 60464 - 60461 - 962013</t>
  </si>
  <si>
    <t>Noctule de Leisler</t>
  </si>
  <si>
    <t>Nyctalus leisleri</t>
  </si>
  <si>
    <t>60474 - 60477 - 60470 - 60475 - 60471 - 60476 - 60472 - 60468 - 60473</t>
  </si>
  <si>
    <t>Noctule commune</t>
  </si>
  <si>
    <t>Nyctalus noctula</t>
  </si>
  <si>
    <t>60484 - 60482 - 60479 - 60486 - 60485 - 60487 - 60488 - 60483 - 60481</t>
  </si>
  <si>
    <t>Pipistrelle commune</t>
  </si>
  <si>
    <t>&gt; 300 individus</t>
  </si>
  <si>
    <t>Pipistrellus pipistrellus</t>
  </si>
  <si>
    <t>416650 - 60489</t>
  </si>
  <si>
    <t>Pipistrelle pygmée</t>
  </si>
  <si>
    <t>Pipistrellus pygmaeus</t>
  </si>
  <si>
    <t>2009-2013</t>
  </si>
  <si>
    <t>60490 - 60492</t>
  </si>
  <si>
    <t>Pipistrelle de Nathusius</t>
  </si>
  <si>
    <t>Pipistrellus nathusii</t>
  </si>
  <si>
    <t>60512 - 199828 - 199827 - 60507 - 60513 - 60510 - 60506 - 60509 - 60504 - 60516 - 60511 - 60508 - 60514 - 60515</t>
  </si>
  <si>
    <t>Vespère de Savi</t>
  </si>
  <si>
    <t>Hypsugo savii</t>
  </si>
  <si>
    <t>60518 - 961629</t>
  </si>
  <si>
    <t>Oreillard roux, Oreillard septentrional</t>
  </si>
  <si>
    <t>Plecotus auritus</t>
  </si>
  <si>
    <t>60527 - 60530 - 60532 - 60533 - 60531 - 60529</t>
  </si>
  <si>
    <t>Oreillard gris, Oreillard méridional</t>
  </si>
  <si>
    <t>Plecotus austriacus</t>
  </si>
  <si>
    <t>60542 - 60539 - 60541 - 60537 - 60540 - 60544 - 60543</t>
  </si>
  <si>
    <t>Vespertilion bicolore, Sérotine bicolore</t>
  </si>
  <si>
    <t>Vespertilio murinus</t>
  </si>
  <si>
    <t>60564 - 60563 - 60559 - 60560 - 60562 - 60557 - 60561</t>
  </si>
  <si>
    <t>Molosse de Cestoni</t>
  </si>
  <si>
    <t>Tadarida teniotis</t>
  </si>
  <si>
    <t>Loup gris, Loup</t>
  </si>
  <si>
    <t>Canis lupus</t>
  </si>
  <si>
    <t>2018-2023 / 2013-2017 / 2008-2012</t>
  </si>
  <si>
    <t>Chien viverrin</t>
  </si>
  <si>
    <t>60585 - 458790 - 60587</t>
  </si>
  <si>
    <t>Renard roux, Renard, Goupil</t>
  </si>
  <si>
    <t>785473 - 60595 - 416703</t>
  </si>
  <si>
    <t>Chat domestique, Chat haret</t>
  </si>
  <si>
    <t>60599 - 60602 - 60603 - 60600 - 60598</t>
  </si>
  <si>
    <t>Chat sauvage, Chat forestier</t>
  </si>
  <si>
    <t>60614 - 60617 - 60612 - 60618</t>
  </si>
  <si>
    <t>Lynx boréal</t>
  </si>
  <si>
    <t>60634 - 60630 - 60633 - 846507 - 60632</t>
  </si>
  <si>
    <t>Loutre d'Europe, Loutre commune, Loutre</t>
  </si>
  <si>
    <t>Lutra lutra</t>
  </si>
  <si>
    <t>2019-2028 / 2010-2015</t>
  </si>
  <si>
    <t>199987 - 60643 - 60641 - 60642 - 60639 - 60638 - 60647 - 60645 - 60640 - 60644 - 846511 - 60646 - 416711 - 60636</t>
  </si>
  <si>
    <t>Blaireau européen, Blaireau</t>
  </si>
  <si>
    <t>60665 - 60663 - 60669 - 60660 - 60661 - 60666 - 60662 - 60668 - 60670 - 60664 - 60658 - 60667</t>
  </si>
  <si>
    <t>Martre des pins, Martre</t>
  </si>
  <si>
    <t>60682 - 60677 - 60678 - 60681 - 60679 - 60684 - 60683 - 60680 - 60674 - 60676</t>
  </si>
  <si>
    <t>Fouine</t>
  </si>
  <si>
    <t>Hermine</t>
  </si>
  <si>
    <t>60708 - 60704 - 60712 - 60711 - 60706 - 60710 - 60709 - 60715 - 60714 - 784249 - 60707</t>
  </si>
  <si>
    <t>Vison d'Europe, Vison, Petite loutre, Putois d'eau</t>
  </si>
  <si>
    <t>Mustela lutreola</t>
  </si>
  <si>
    <t>2007-2016 / 1999-2003</t>
  </si>
  <si>
    <t>60718 - 60719 - 899271 - 60726 - 60730 - 60725 - 60728 - 60723 - 200109 - 60721 - 60727 - 60716 - 60722 - 60720 - 60729 - 60724</t>
  </si>
  <si>
    <t>Belette d'Europe, Belette</t>
  </si>
  <si>
    <t>60735 - 60738 - 60741 - 60734 - 60742 - 60740 - 60745 - 60733 - 60743 - 200111 - 60744 - 60737 - 60739 - 60731</t>
  </si>
  <si>
    <t>Putois d'Europe, Putois, Furet</t>
  </si>
  <si>
    <t>60746 - 459640</t>
  </si>
  <si>
    <t>Vison d'Amérique, Vison</t>
  </si>
  <si>
    <t>60816 - 60815 - 60818 - 60817 - 60819 - 60811 - 60814</t>
  </si>
  <si>
    <t>Phoque veau-marin, Phoque commun</t>
  </si>
  <si>
    <t>60822 - 961631 - 526300</t>
  </si>
  <si>
    <t>Raton laveur</t>
  </si>
  <si>
    <t>60831 - 961614 - 60841</t>
  </si>
  <si>
    <t>Genette commune, Genette</t>
  </si>
  <si>
    <t>60990 - 60983 - 60987 - 60989 - 60985 - 60986 - 60988 - 60984 - 60981</t>
  </si>
  <si>
    <t>Sanglier</t>
  </si>
  <si>
    <t>61023 - 61004 - 61003 - 61018 - 61017 - 61007 - 61010 - 61014 - 61008 - 61005 - 61015 - 61000 - 61012 - 61006 - 61019 - 61020 - 61009 - 61011 - 61022 - 61013 - 61024 - 61016</t>
  </si>
  <si>
    <t>Cerf élaphe</t>
  </si>
  <si>
    <t>Cerf sika</t>
  </si>
  <si>
    <t>61034 - 61031 - 61036 - 61030 - 61028 - 61035 - 61038 - 61037 - 61032 - 61033</t>
  </si>
  <si>
    <t>Daim européen, Daim</t>
  </si>
  <si>
    <t>61057 - 199975 - 433489</t>
  </si>
  <si>
    <t>Chevreuil européen, Chevreuil, Brocard (mâle), Chevrette (femelle)</t>
  </si>
  <si>
    <t>837817 - 61072 - 61064 - 61073</t>
  </si>
  <si>
    <t>Renne</t>
  </si>
  <si>
    <t>61126 - 416728 - 61127 - 61119 - 846536</t>
  </si>
  <si>
    <t>Chamois des Alpes</t>
  </si>
  <si>
    <t>846525 - 61143</t>
  </si>
  <si>
    <t>Marmotte des Alpes, Marmotte</t>
  </si>
  <si>
    <t>61160 - 61168 - 61166 - 61161 - 61164 - 61167 - 61156 - 61162 - 61157 - 61159 - 61153 - 61163 - 61158 - 61155 - 61165</t>
  </si>
  <si>
    <t>Écureuil roux</t>
  </si>
  <si>
    <t>961637 - 61174</t>
  </si>
  <si>
    <t>Écureuil à ventre rouge</t>
  </si>
  <si>
    <t>61223 - 61221 - 61217 - 61224 - 61214 - 61219 - 61220 - 61212 - 61216 - 61222 - 61215 - 61218 - 61225</t>
  </si>
  <si>
    <t>Castor d'Eurasie, Castor, Castor d'Europe</t>
  </si>
  <si>
    <t>Campagnol amphibie, Rat d'eau</t>
  </si>
  <si>
    <t>61260 - 846528 - 61355 - 61278 - 61271 - 61269 - 61277 - 61276 - 61280 - 61267 - 61268 - 61281 - 61274 - 61266 - 846529 - 199966 - 61275 - 61279 - 61265 - 61263</t>
  </si>
  <si>
    <t>Campagnol fouisseur</t>
  </si>
  <si>
    <t>416702 - 61314 - 61318 - 61315 - 61302 - 61319 - 61321 - 61308 - 61316 - 459639 - 61297 - 61292 - 61320 - 61304 - 61293 - 61323 - 61305 - 61317 - 61299 - 61298 - 61306 - 61307 - 61313 - 61303 - 61295 - 61310 - 61296 - 61290 - 61294 - 61311 - 61300 - 61312 - 61301 - 61309 - 61322</t>
  </si>
  <si>
    <t>Campagnol roussâtre</t>
  </si>
  <si>
    <t>961621 - 61361 - 61366 - 61367 - 61363 - 61365 - 61375 - 61376 - 61371 - 61374 - 61357 - 61362 - 961622 - 199988 - 61360 - 61377 - 61372 - 199989 - 61364 - 61373 - 61359 - 61368 - 61369 - 61370</t>
  </si>
  <si>
    <t>Campagnol agreste</t>
  </si>
  <si>
    <t>458824 - 61382 - 61385 - 852030 - 61379 - 61386 - 961689 - 61388 - 61387</t>
  </si>
  <si>
    <t>Campagnol des champs</t>
  </si>
  <si>
    <t>61392 - 61394 - 458794</t>
  </si>
  <si>
    <t>Campagnol provençal</t>
  </si>
  <si>
    <t>61402 - 61403 - 852028 - 851149 - 59999 - 416652 - 851148 - 852029 - 851147 - 61398 - 61400 - 61401</t>
  </si>
  <si>
    <t>Campagnol des Pyrénées</t>
  </si>
  <si>
    <t>433481 - 61425 - 852031 - 852032 - 61428 - 61427</t>
  </si>
  <si>
    <t>Campagnol souterrain</t>
  </si>
  <si>
    <t>961623 - 61448</t>
  </si>
  <si>
    <t>Rat musqué</t>
  </si>
  <si>
    <t>61494 - 61496</t>
  </si>
  <si>
    <t>Mulot alpestre</t>
  </si>
  <si>
    <t>61502 - 61500 - 61498 - 61503 - 61501 - 1012189 - 61504</t>
  </si>
  <si>
    <t>Mulot à collier</t>
  </si>
  <si>
    <t>61520 - 61510 - 61538 - 61528 - 61513 - 61515 - 61536 - 61537 - 61527 - 61518 - 61514 - 846534 - 61521 - 61534 - 61526 - 61535 - 61532 - 61519 - 61523 - 61524 - 61522 - 61512 - 61531 - 61516 - 61529 - 61533 - 61517 - 433490 - 61530 - 61525</t>
  </si>
  <si>
    <t>Mulot sylvestre</t>
  </si>
  <si>
    <t>61555 - 61554 - 61559 - 61543 - 61558 - 61553 - 61549 - 61551 - 61548 - 61546 - 61556 - 61557 - 61547 - 61550 - 61560 - 61552 - 961676 - 61545</t>
  </si>
  <si>
    <t>Rat des moissons</t>
  </si>
  <si>
    <t>199751 - 61570 - 61568 - 61572</t>
  </si>
  <si>
    <t>Souris grise, Souris domestique</t>
  </si>
  <si>
    <t>932194 - 969810 - 61585</t>
  </si>
  <si>
    <t>Rat surmulot, Surmulot, Rat d’égout</t>
  </si>
  <si>
    <t>61587 - 846531 - 969811</t>
  </si>
  <si>
    <t>Rat noir, Rat commun</t>
  </si>
  <si>
    <t>61621 - 61633 - 61625 - 61634 - 61628 - 61632 - 61626 - 61622 - 961609 - 61624 - 61630 - 61620 - 61618 - 61629 - 61627 - 61631</t>
  </si>
  <si>
    <t>Lérot</t>
  </si>
  <si>
    <t>61636 - 61638 - 61639 - 846532</t>
  </si>
  <si>
    <t>Muscardin</t>
  </si>
  <si>
    <t>199780 - 199784 - 61651 - 961617 - 61650 - 61655 - 61648 - 199783 - 199782 - 61654 - 199781 - 61652 - 61653</t>
  </si>
  <si>
    <t>Loir gris, Loir</t>
  </si>
  <si>
    <t>904873 - 61667</t>
  </si>
  <si>
    <t>Ragondin</t>
  </si>
  <si>
    <t>61682 - 61678 - 61685 - 61686 - 61690 - 61691 - 61684 - 61692 - 61680 - 61681 - 61688 - 61689 - 61683 - 61694 - 61675 - 61693 - 61687</t>
  </si>
  <si>
    <t>Lièvre d'Europe</t>
  </si>
  <si>
    <t>61719 - 61716 - 61714 - 846521 - 61717</t>
  </si>
  <si>
    <t>Lapin de garenne</t>
  </si>
  <si>
    <t>699380 - 61571</t>
  </si>
  <si>
    <t>Murin d'Alcathoe</t>
  </si>
  <si>
    <t>Myotis alcathoe</t>
  </si>
  <si>
    <t>79300 - 847352 - 60396 - 60399 - 60398</t>
  </si>
  <si>
    <t>Murin de Brandt</t>
  </si>
  <si>
    <t>Myotis brandtii</t>
  </si>
  <si>
    <t>79301 - 60414 - 60417 - 60416</t>
  </si>
  <si>
    <t>Murin de Bechstein</t>
  </si>
  <si>
    <t>Myotis bechsteinii</t>
  </si>
  <si>
    <t>79302 - 60358 - 60357 - 60359 - 60355</t>
  </si>
  <si>
    <t>Sérotine de Nilsson</t>
  </si>
  <si>
    <t>Eptesicus nilssonii</t>
  </si>
  <si>
    <t>60497 - 60499 - 60496 - 60498 - 60501 - 60495 - 60493 - 60500 - 847353 - 79303</t>
  </si>
  <si>
    <t>Pipistrelle de Kuhl</t>
  </si>
  <si>
    <t>Pipistrellus kuhlii</t>
  </si>
  <si>
    <t>60549 - 60552 - 60546 - 79305 - 60548 - 60554 - 60551 - 60550 - 60553</t>
  </si>
  <si>
    <t>Minioptère de Schreibers</t>
  </si>
  <si>
    <t>Miniopterus schreibersii</t>
  </si>
  <si>
    <t>60608 - 60596 - 60605 - 60606 - 60607 - 79306</t>
  </si>
  <si>
    <t>Chat forestier, Chat sauvage</t>
  </si>
  <si>
    <t>Taupe d'Aquitaine</t>
  </si>
  <si>
    <t>60202 - 60199 - 60204 - 60203 - 60192 - 60196 - 60201 - 60193 - 60197 - 60195 - 60191 - 899769 - 60198 - 60187 - 60190 - 60200 - 60189 - 899768 - 961639 - 60194 - 60222 - 961640</t>
  </si>
  <si>
    <t>Murin cryptique</t>
  </si>
  <si>
    <t>Canard des Bahamas, Pilet des Bahamas</t>
  </si>
  <si>
    <t>1950 - 1952</t>
  </si>
  <si>
    <t>Canard siffleur</t>
  </si>
  <si>
    <t>Déterminante sous conditions</t>
  </si>
  <si>
    <t>Hivernants / de passage : si hivernage annuel d’au moins 10 ind (type II)</t>
  </si>
  <si>
    <t>Sarcelle d'hiver</t>
  </si>
  <si>
    <t>Déterminante stricte + sous conditions</t>
  </si>
  <si>
    <t>Hivernants / de passage : si hivernage annuel et conséquent d’au moins 50 ind (type II)</t>
  </si>
  <si>
    <t>1966 - 416680</t>
  </si>
  <si>
    <t>Canard colvert</t>
  </si>
  <si>
    <t>1970 - 1972</t>
  </si>
  <si>
    <t>Canard souchet</t>
  </si>
  <si>
    <t>Hivernants / de passage : si hivernage annuel et conséquent d’au moins 10 ind (type II)</t>
  </si>
  <si>
    <t>Canard pilet</t>
  </si>
  <si>
    <t>Hivernants / de passage : si hivernage annuel (type II)</t>
  </si>
  <si>
    <t>1980 - 1982</t>
  </si>
  <si>
    <t>Sarcelle marbrée</t>
  </si>
  <si>
    <t>1986 - 1984</t>
  </si>
  <si>
    <t>Nette rousse</t>
  </si>
  <si>
    <t>Hivernants / de passage : si hivernage annuel et conséquent d’au moins 10 ind. (type II)</t>
  </si>
  <si>
    <t>1988 - 1990</t>
  </si>
  <si>
    <t>Fuligule à bec cerclé, Fuligule à collier, Morillon à collier</t>
  </si>
  <si>
    <t>1994 - 1991 - 1993</t>
  </si>
  <si>
    <t>Fuligule milouin</t>
  </si>
  <si>
    <t>Hivernants / de passage : si hivernage annuel et conséquent d’au moins 40 ind. (type II)</t>
  </si>
  <si>
    <t>2943 - 199294 - 2946 - 2945</t>
  </si>
  <si>
    <t>Gélinotte des bois</t>
  </si>
  <si>
    <t>199305 - 814136</t>
  </si>
  <si>
    <t>Fuligule à tête noire, Petit Fuligule, Petit morillon</t>
  </si>
  <si>
    <t>814137 - 199310</t>
  </si>
  <si>
    <t>Garrot albéole</t>
  </si>
  <si>
    <t>2820 - 813532 - 199311</t>
  </si>
  <si>
    <t>Harle couronné</t>
  </si>
  <si>
    <t>2813 - 2815 - 199312</t>
  </si>
  <si>
    <t>Harle piette</t>
  </si>
  <si>
    <t>Hivernants / de passage : si passage ou hivernage régulier : au moins 5 données depuis 2000 (type II)</t>
  </si>
  <si>
    <t>785409 - 199335 - 790885</t>
  </si>
  <si>
    <t>Flamant rose</t>
  </si>
  <si>
    <t>961148 - 3304 - 3292 - 199374 - 3305</t>
  </si>
  <si>
    <t>Goéland leucophée</t>
  </si>
  <si>
    <t>4459 - 199409</t>
  </si>
  <si>
    <t>Pie-grièche méridionale</t>
  </si>
  <si>
    <t>Lanius meridionalis</t>
  </si>
  <si>
    <t>459524 - 199425 - 4053 - 782303 - 782304 - 4057</t>
  </si>
  <si>
    <t>Tarier pâtre</t>
  </si>
  <si>
    <t>Nicheurs : cortège « forêt et milieux boisés » ou « milieu agricole diversifié »</t>
  </si>
  <si>
    <t>4079 - 4077 - 199428</t>
  </si>
  <si>
    <t>Traquet du désert</t>
  </si>
  <si>
    <t>927779 - 199459</t>
  </si>
  <si>
    <t>Rousserolle isabelle</t>
  </si>
  <si>
    <t>199473 - 928581</t>
  </si>
  <si>
    <t>Pouillot de Hume</t>
  </si>
  <si>
    <t>961210 - 961211 - 199477 - 4283</t>
  </si>
  <si>
    <t>Pouillot ibérique, Pouillot véloce ibérique</t>
  </si>
  <si>
    <t>4528 - 199494 - 912830 - 912831</t>
  </si>
  <si>
    <t>Moineau cisalpin</t>
  </si>
  <si>
    <t>1995 - 1997</t>
  </si>
  <si>
    <t>Fuligule nyroca</t>
  </si>
  <si>
    <t>Hivernants / de passage : si hivernage régulier : au moins 5 données depuis 2000 (type II)</t>
  </si>
  <si>
    <t>928419 - 199519</t>
  </si>
  <si>
    <t>Bruant à gorge blanche</t>
  </si>
  <si>
    <t>4655 - 199522</t>
  </si>
  <si>
    <t>Bruant à calotte blanche</t>
  </si>
  <si>
    <t>Paon</t>
  </si>
  <si>
    <t>416717 - 2000 - 1998</t>
  </si>
  <si>
    <t>Fuligule morillon</t>
  </si>
  <si>
    <t>Hivernants / de passage : si hivernage annuel et conséquent d’au moins 20 ind. (type II)</t>
  </si>
  <si>
    <t>2003 - 2001</t>
  </si>
  <si>
    <t>Fuligule milouinan</t>
  </si>
  <si>
    <t>2007 - 2005</t>
  </si>
  <si>
    <t>Eider à duvet</t>
  </si>
  <si>
    <t>2398 - 927020</t>
  </si>
  <si>
    <t>Dendrocygne fauve</t>
  </si>
  <si>
    <t>2405 - 927842 - 348273</t>
  </si>
  <si>
    <t>Roselin githagine, Bouvreuil githagine</t>
  </si>
  <si>
    <t>952 - 2411 - 951</t>
  </si>
  <si>
    <t>Plongeon catmarin</t>
  </si>
  <si>
    <t>2419 - 2421</t>
  </si>
  <si>
    <t>Pétrel tempête, Océanite tempête</t>
  </si>
  <si>
    <t>2436 - 2437 - 2434</t>
  </si>
  <si>
    <t>Fou de Bassan</t>
  </si>
  <si>
    <t>2445 - 2444 - 2440 - 986536 - 960762</t>
  </si>
  <si>
    <t>Grand Cormoran</t>
  </si>
  <si>
    <t>Grand Cormoran (Atlantique)</t>
  </si>
  <si>
    <t>960621 - 2446</t>
  </si>
  <si>
    <t>Grand Cormoran (continental)</t>
  </si>
  <si>
    <t>2449 - 851158 - 2447</t>
  </si>
  <si>
    <t>Cormoran huppé</t>
  </si>
  <si>
    <t>Pélican blanc</t>
  </si>
  <si>
    <t>Pélican frisé</t>
  </si>
  <si>
    <t>Pélican gris</t>
  </si>
  <si>
    <t>2475 - 2473</t>
  </si>
  <si>
    <t>Butor étoilé</t>
  </si>
  <si>
    <t>Botaurus stellaris</t>
  </si>
  <si>
    <t>2008-2012</t>
  </si>
  <si>
    <t>2479 - 2477</t>
  </si>
  <si>
    <t>Blongios nain, Butor blongios</t>
  </si>
  <si>
    <t>2483 - 2481</t>
  </si>
  <si>
    <t>Bihoreau gris, Héron bihoreau</t>
  </si>
  <si>
    <t>2486 - 929197</t>
  </si>
  <si>
    <t>Crabier chevelu, Héron crabier</t>
  </si>
  <si>
    <t>2489 - 2492 - 645629 - 2491</t>
  </si>
  <si>
    <t>Héron garde-boeufs, Pique bœufs</t>
  </si>
  <si>
    <t>2496 - 2494</t>
  </si>
  <si>
    <t>Aigrette des récifs, Aigrette à gorge blanche</t>
  </si>
  <si>
    <t>2497 - 2499</t>
  </si>
  <si>
    <t>Aigrette garzette</t>
  </si>
  <si>
    <t>2500 - 2502 - 2504</t>
  </si>
  <si>
    <t>Grande Aigrette</t>
  </si>
  <si>
    <t>Hivernants / de passage : si dortoir annuel ou hivernage et conséquent d’au moins 30 ind. (type II)</t>
  </si>
  <si>
    <t>Héron cendré</t>
  </si>
  <si>
    <t>Héron pourpré</t>
  </si>
  <si>
    <t>2514 - 2516</t>
  </si>
  <si>
    <t>Cigogne noire</t>
  </si>
  <si>
    <t>Hivernants / de passage : si passage régulier : au moins 10 données depuis 2000 (type II)</t>
  </si>
  <si>
    <t>Confidentielle si nidification</t>
  </si>
  <si>
    <t>2517 - 2519</t>
  </si>
  <si>
    <t>Cigogne blanche</t>
  </si>
  <si>
    <t>Nicheurs : Si cortège « milieu agricole diversifié »
Hivernants / de passage : si passage ou hivernage régulier : au moins 10 données depuis 2000</t>
  </si>
  <si>
    <t>2522 - 2524</t>
  </si>
  <si>
    <t>Ibis falcinelle</t>
  </si>
  <si>
    <t>Spatule blanche</t>
  </si>
  <si>
    <t>2541 - 2538 - 2540</t>
  </si>
  <si>
    <t>Bécassine sourde</t>
  </si>
  <si>
    <t>Hivernants / de passage : si passage ou hivernage régulier : au moins 10 données depuis 2000 (type II)</t>
  </si>
  <si>
    <t>2403 - 2543 - 2545 - 2546 - 2547 - 2548 - 961216</t>
  </si>
  <si>
    <t>Bécassine des marais</t>
  </si>
  <si>
    <t>Hivernants / de passage : si passage ou hivernage annuel et conséquent d’au moins 10 ind (type II)</t>
  </si>
  <si>
    <t>2552 - 2551 - 2549</t>
  </si>
  <si>
    <t>Bécassine double</t>
  </si>
  <si>
    <t>2556 - 2554</t>
  </si>
  <si>
    <t>Bécassin à long bec, Limnodrome à long bec</t>
  </si>
  <si>
    <t>2561 - 2559</t>
  </si>
  <si>
    <t>Bécasse des bois</t>
  </si>
  <si>
    <t>2565 - 2563</t>
  </si>
  <si>
    <t>Barge à queue noire</t>
  </si>
  <si>
    <t>Hivernants / de passage : si passage régulier : au moins 5 données depuis 2000 (type II)</t>
  </si>
  <si>
    <t>961520 - 2567</t>
  </si>
  <si>
    <t>2568 - 816268 - 549653</t>
  </si>
  <si>
    <t>Barge rousse</t>
  </si>
  <si>
    <t>2573 - 2571</t>
  </si>
  <si>
    <t>Courlis corlieu</t>
  </si>
  <si>
    <t>Courlis à bec grêle</t>
  </si>
  <si>
    <t>846659 - 962076 - 2578 - 2576</t>
  </si>
  <si>
    <t>Courlis cendré</t>
  </si>
  <si>
    <t>2584 - 927293</t>
  </si>
  <si>
    <t>Chevalier arlequin</t>
  </si>
  <si>
    <t>Hivernants / de passage : si passage annuel (type II)</t>
  </si>
  <si>
    <t>2588 - 2586</t>
  </si>
  <si>
    <t>Chevalier gambette</t>
  </si>
  <si>
    <t>2593 - 2591</t>
  </si>
  <si>
    <t>Chevalier stagnatile</t>
  </si>
  <si>
    <t>2594 - 2596</t>
  </si>
  <si>
    <t>Chevalier aboyeur</t>
  </si>
  <si>
    <t>843924 - 2600 - 2602</t>
  </si>
  <si>
    <t>Chevalier à pattes jaunes, Petit Chevalier à pattes jaunes, Pattes jaunes</t>
  </si>
  <si>
    <t>Chevalier culblanc</t>
  </si>
  <si>
    <t>Hivernants / de passage : si hivernage (type II)</t>
  </si>
  <si>
    <t>Chevalier sylvain</t>
  </si>
  <si>
    <t>2614 - 348275 - 2613 - 2610 - 961154 - 961178 - 2612</t>
  </si>
  <si>
    <t>Chevalier bargette, Bargette du Térek</t>
  </si>
  <si>
    <t>2616 - 2618 - 199361</t>
  </si>
  <si>
    <t>Chevalier guignette</t>
  </si>
  <si>
    <t>2623 - 458792 - 2625</t>
  </si>
  <si>
    <t>Buse variable</t>
  </si>
  <si>
    <t>416687 - 2629 - 2627</t>
  </si>
  <si>
    <t>Buse féroce</t>
  </si>
  <si>
    <t>2630 - 2632</t>
  </si>
  <si>
    <t>Buse pattue</t>
  </si>
  <si>
    <t>Hivernants / de passage : si hivernage régulier : au moins 10 données depuis 2000 (type II)</t>
  </si>
  <si>
    <t>Aigle impérial</t>
  </si>
  <si>
    <t>2645 - 2647 - 416681 - 846567</t>
  </si>
  <si>
    <t>Aigle royal</t>
  </si>
  <si>
    <t>2654 - 2651 - 2653</t>
  </si>
  <si>
    <t>Aigle botté</t>
  </si>
  <si>
    <t>2657 - 2655</t>
  </si>
  <si>
    <t>Aigle de Bonelli</t>
  </si>
  <si>
    <t>Aquila fasciata</t>
  </si>
  <si>
    <t>2014-2023 / 2006-2009 / 1999-2003</t>
  </si>
  <si>
    <t>2662 - 2660</t>
  </si>
  <si>
    <t>Balbuzard pêcheur</t>
  </si>
  <si>
    <t>Pandion haliaetus</t>
  </si>
  <si>
    <t>2020-2029 / 2008-2012</t>
  </si>
  <si>
    <t>2666 - 2668</t>
  </si>
  <si>
    <t>Faucon crécerellette</t>
  </si>
  <si>
    <t>Falco naumanni</t>
  </si>
  <si>
    <t>2021-2030 / 2011-2015 / 2002-2006</t>
  </si>
  <si>
    <t>2669 - 2671</t>
  </si>
  <si>
    <t>Faucon crécerelle</t>
  </si>
  <si>
    <t>Faucon sacre</t>
  </si>
  <si>
    <t>Faucon kobez</t>
  </si>
  <si>
    <t>2678 - 961187 - 2676</t>
  </si>
  <si>
    <t>Faucon émerillon</t>
  </si>
  <si>
    <t>Hivernants / de passage : si hivernage régulier : au moins 10 données depuis 2000 (type II)</t>
  </si>
  <si>
    <t>Faucon hobereau</t>
  </si>
  <si>
    <t>Faucon d'Éléonore</t>
  </si>
  <si>
    <t>2685 - 961186 - 2683</t>
  </si>
  <si>
    <t>Faucon lanier</t>
  </si>
  <si>
    <t>2687 - 929267</t>
  </si>
  <si>
    <t>Ibis sacré</t>
  </si>
  <si>
    <t>626892 - 2694</t>
  </si>
  <si>
    <t>Flamant des Caraïbes</t>
  </si>
  <si>
    <t>893718 - 2702</t>
  </si>
  <si>
    <t>Cygne noir</t>
  </si>
  <si>
    <t>2708 - 2706</t>
  </si>
  <si>
    <t>Cygne tuberculé</t>
  </si>
  <si>
    <t>2703 - 2712 - 2711 - 2709 - 2713</t>
  </si>
  <si>
    <t>Cygne de Bewick</t>
  </si>
  <si>
    <t>2705 - 2714</t>
  </si>
  <si>
    <t>2718 - 2715 - 2717</t>
  </si>
  <si>
    <t>Cygne chanteur</t>
  </si>
  <si>
    <t>933830 - 2722 - 2720</t>
  </si>
  <si>
    <t>Oie de taïga, Oie des moissons</t>
  </si>
  <si>
    <t>961385 - 2724</t>
  </si>
  <si>
    <t>927112 - 2725</t>
  </si>
  <si>
    <t>Oie à bec court</t>
  </si>
  <si>
    <t>2730 - 2729 - 2727</t>
  </si>
  <si>
    <t>Oie des neiges</t>
  </si>
  <si>
    <t>2733 - 904221 - 2731</t>
  </si>
  <si>
    <t>Oie à tête barrée</t>
  </si>
  <si>
    <t>2736 - 2734</t>
  </si>
  <si>
    <t>Oie rieuse</t>
  </si>
  <si>
    <t>846642 - 2739</t>
  </si>
  <si>
    <t>Oie naine</t>
  </si>
  <si>
    <t>433478 - 2743 - 2741</t>
  </si>
  <si>
    <t>Oie cendrée</t>
  </si>
  <si>
    <t>Hivernants / de passage : si passage ou hivernage régulier : au moins 10 données depuis 2000 (type II)</t>
  </si>
  <si>
    <t>2749 - 2747</t>
  </si>
  <si>
    <t>Bernache du Canada</t>
  </si>
  <si>
    <t>2752 - 2750</t>
  </si>
  <si>
    <t>Bernache nonnette</t>
  </si>
  <si>
    <t>2756 - 2753 - 2755</t>
  </si>
  <si>
    <t>Bernache à cou roux</t>
  </si>
  <si>
    <t>2757 - 2759</t>
  </si>
  <si>
    <t>Bernache cravant</t>
  </si>
  <si>
    <t>Bernache cravant à ventre sombre</t>
  </si>
  <si>
    <t>2767 - 2769</t>
  </si>
  <si>
    <t>Tadorne de Belon</t>
  </si>
  <si>
    <t>2773 - 2770 - 2772</t>
  </si>
  <si>
    <t>Tadorne casarca, Casarca roux</t>
  </si>
  <si>
    <t>846644 - 2775</t>
  </si>
  <si>
    <t>Canard carolin, Canard branchu</t>
  </si>
  <si>
    <t>2776 - 846643</t>
  </si>
  <si>
    <t>Canard mandarin</t>
  </si>
  <si>
    <t>2788 - 927115</t>
  </si>
  <si>
    <t>Arlequin plongeur, Garrot arlequin</t>
  </si>
  <si>
    <t>2790 - 2792</t>
  </si>
  <si>
    <t>Harelde boréale, Harelde de Miquelon</t>
  </si>
  <si>
    <t>2797 - 2794 - 2796</t>
  </si>
  <si>
    <t>Macreuse noire</t>
  </si>
  <si>
    <t>416718 - 2803 - 2801</t>
  </si>
  <si>
    <t>Macreuse brune</t>
  </si>
  <si>
    <t>2811 - 2808 - 2810</t>
  </si>
  <si>
    <t>Garrot à oeil d'or</t>
  </si>
  <si>
    <t>Harle huppé</t>
  </si>
  <si>
    <t>Harle bièvre</t>
  </si>
  <si>
    <t>2823 - 896683 - 2825</t>
  </si>
  <si>
    <t>Érismature rousse</t>
  </si>
  <si>
    <t>2826 - 2828</t>
  </si>
  <si>
    <t>Érismature à tête blanche</t>
  </si>
  <si>
    <t>2832 - 2834</t>
  </si>
  <si>
    <t>Bondrée apivore</t>
  </si>
  <si>
    <t>2836 - 2838</t>
  </si>
  <si>
    <t>Élanion blanc</t>
  </si>
  <si>
    <t>2840 - 2842 - 2843 - 961183</t>
  </si>
  <si>
    <t>Milan noir</t>
  </si>
  <si>
    <t>2846 - 2844</t>
  </si>
  <si>
    <t>Milan royal</t>
  </si>
  <si>
    <t>Milvus milvus</t>
  </si>
  <si>
    <t>2018-2027 / 2003-2013</t>
  </si>
  <si>
    <t>2848 - 2850</t>
  </si>
  <si>
    <t>Pygargue à queue blanche</t>
  </si>
  <si>
    <t>2852 - 2854</t>
  </si>
  <si>
    <t>Gypaète barbu</t>
  </si>
  <si>
    <t>Gypaetus barbatus</t>
  </si>
  <si>
    <t>2010-2020</t>
  </si>
  <si>
    <t>2856 - 2858</t>
  </si>
  <si>
    <t>Vautour percnoptère</t>
  </si>
  <si>
    <t>Neophron percnopterus</t>
  </si>
  <si>
    <t>2015-2024 / 2002-2007</t>
  </si>
  <si>
    <t>2860 - 2862</t>
  </si>
  <si>
    <t>Vautour fauve</t>
  </si>
  <si>
    <t>Gyps fulvus</t>
  </si>
  <si>
    <t>2016-2025</t>
  </si>
  <si>
    <t>2867 - 2866 - 459634 - 2864</t>
  </si>
  <si>
    <t>Vautour oricou</t>
  </si>
  <si>
    <t>2871 - 2869</t>
  </si>
  <si>
    <t>Vautour moine</t>
  </si>
  <si>
    <t>Aegypius monachus</t>
  </si>
  <si>
    <t>2011-2016 / 2004-2008</t>
  </si>
  <si>
    <t>2873 - 961182 - 2876 - 2875</t>
  </si>
  <si>
    <t>Circaète Jean-le-Blanc</t>
  </si>
  <si>
    <t>2880 - 2878</t>
  </si>
  <si>
    <t>Busard des roseaux</t>
  </si>
  <si>
    <t>2881 - 2883</t>
  </si>
  <si>
    <t>Busard Saint-Martin</t>
  </si>
  <si>
    <t>Hivernants / de passage : si dortoir régulier : au moins 10 données depuis 2000 d’au moins 5 ind. (type II)</t>
  </si>
  <si>
    <t>2886 - 2884</t>
  </si>
  <si>
    <t>Busard pâle</t>
  </si>
  <si>
    <t>2889 - 2887 - 889071</t>
  </si>
  <si>
    <t>Busard cendré</t>
  </si>
  <si>
    <t>2893 - 846569 - 2891 - 416684</t>
  </si>
  <si>
    <t>Autour des palombes</t>
  </si>
  <si>
    <t>Accipiter gentilis</t>
  </si>
  <si>
    <t>2004-2008</t>
  </si>
  <si>
    <t>2895 - 2897 - 961179 - 2898 - 2899</t>
  </si>
  <si>
    <t>Épervier d'Europe</t>
  </si>
  <si>
    <t>2905 - 2903 - 2901 - 2904 - 961214</t>
  </si>
  <si>
    <t>Bécasseau cocorli</t>
  </si>
  <si>
    <t>2909 - 2908 - 2910 - 2906</t>
  </si>
  <si>
    <t>Bécasseau violet</t>
  </si>
  <si>
    <t>2914 - 2911 - 2913 - 2915</t>
  </si>
  <si>
    <t>Bécasseau variable</t>
  </si>
  <si>
    <t>2929 - 814247 - 2927</t>
  </si>
  <si>
    <t>Bécasseau rousset, Bécasseau roussâtre</t>
  </si>
  <si>
    <t>2936 - 2937 - 961092 - 2933 - 961026 - 2935 - 2931</t>
  </si>
  <si>
    <t>Faucon gerfaut</t>
  </si>
  <si>
    <t>534822 - 961191 - 2938</t>
  </si>
  <si>
    <t>Faucon pèlerin</t>
  </si>
  <si>
    <t>Grand Tétras</t>
  </si>
  <si>
    <t>Tetrao urogallus</t>
  </si>
  <si>
    <t>2012-2021</t>
  </si>
  <si>
    <t>2971 - 2974 - 2973</t>
  </si>
  <si>
    <t>Perdrix bartavelle</t>
  </si>
  <si>
    <t>2977 - 416688 - 2975</t>
  </si>
  <si>
    <t>Perdrix rouge</t>
  </si>
  <si>
    <t>Nicheurs : Si cortège « milieu agricole diversifié »</t>
  </si>
  <si>
    <t>2983 - 2981</t>
  </si>
  <si>
    <t>Perdrix chukar, Perdrix choucar</t>
  </si>
  <si>
    <t>2989 - 2991</t>
  </si>
  <si>
    <t>Perdrix grise</t>
  </si>
  <si>
    <t>2996 - 2998</t>
  </si>
  <si>
    <t>Caille des blés</t>
  </si>
  <si>
    <t>927766 - 3000</t>
  </si>
  <si>
    <t>Faisan vénéré, Faisans de Chasse</t>
  </si>
  <si>
    <t>Faisan de Colchide</t>
  </si>
  <si>
    <t>3010 - 3012</t>
  </si>
  <si>
    <t>Faisan doré</t>
  </si>
  <si>
    <t>927675 - 3014</t>
  </si>
  <si>
    <t>Colin de Californie</t>
  </si>
  <si>
    <t>3017 - 846680</t>
  </si>
  <si>
    <t>Colin de Virginie</t>
  </si>
  <si>
    <t>3021 - 3023</t>
  </si>
  <si>
    <t>Pintade de Numidie, Pintade commune</t>
  </si>
  <si>
    <t>Râle d'eau</t>
  </si>
  <si>
    <t>Hivernants / de passage : si hivernage annuel (type II)</t>
  </si>
  <si>
    <t>3041 - 3039</t>
  </si>
  <si>
    <t>Marouette ponctuée</t>
  </si>
  <si>
    <t>3053 - 3055</t>
  </si>
  <si>
    <t>Râle des genêts</t>
  </si>
  <si>
    <t>Crex crex</t>
  </si>
  <si>
    <t>2013-2018 / 2005-2009</t>
  </si>
  <si>
    <t>3059 - 3061 - 3058</t>
  </si>
  <si>
    <t>Gallinule poule-d'eau, Poule-d'eau</t>
  </si>
  <si>
    <t>846679 - 3067</t>
  </si>
  <si>
    <t>Talève sultane, Poule sultane, Porphyrion bleu</t>
  </si>
  <si>
    <t>2407 - 3070</t>
  </si>
  <si>
    <t>Foulque macroule</t>
  </si>
  <si>
    <t>3078 - 3076 - 3079</t>
  </si>
  <si>
    <t>Grue cendrée</t>
  </si>
  <si>
    <t>Hivernants / de passage : si passage ou hivernage annuel (type II)</t>
  </si>
  <si>
    <t>348297 - 3083 - 3081</t>
  </si>
  <si>
    <t>Grue demoiselle</t>
  </si>
  <si>
    <t>3093 - 3092 - 3091 - 3089 - 961340</t>
  </si>
  <si>
    <t>Outarde canepetière</t>
  </si>
  <si>
    <t>Tetrax tetrax</t>
  </si>
  <si>
    <t>2020-2029 / 2011-2015 / 2002-2006</t>
  </si>
  <si>
    <t>Outarde barbue, Grande Outarde</t>
  </si>
  <si>
    <t>3106 - 3108 - 3109</t>
  </si>
  <si>
    <t>Huîtrier pie</t>
  </si>
  <si>
    <t>3112 - 3114</t>
  </si>
  <si>
    <t>Echasse blanche</t>
  </si>
  <si>
    <t>Avocette élégante</t>
  </si>
  <si>
    <t>3122 - 3120</t>
  </si>
  <si>
    <t>Oedicnème criard</t>
  </si>
  <si>
    <t>927246 - 3125 - 3127</t>
  </si>
  <si>
    <t>Courvite isabelle</t>
  </si>
  <si>
    <t>3129 - 3131</t>
  </si>
  <si>
    <t>Glaréole à collier</t>
  </si>
  <si>
    <t>3138 - 3136 - 961015 - 3139</t>
  </si>
  <si>
    <t>Petit Gravelot</t>
  </si>
  <si>
    <t>Grand Gravelot</t>
  </si>
  <si>
    <t>Gravelot à collier interrompu, Gravelot de Kent</t>
  </si>
  <si>
    <t>3153 - 3155</t>
  </si>
  <si>
    <t>Guignard d'Eurasie, Pluvier guignard</t>
  </si>
  <si>
    <t>3158 - 961212 - 3160</t>
  </si>
  <si>
    <t>Pluvier bronzé, Pluvier doré</t>
  </si>
  <si>
    <t>3163 - 3161</t>
  </si>
  <si>
    <t>Pluvier doré</t>
  </si>
  <si>
    <t>Hivernants / de passage : si hivernage annuel d’au moins 50 ind. (type II)</t>
  </si>
  <si>
    <t>3167 - 3168 - 3169 - 3165</t>
  </si>
  <si>
    <t>Pluvier argenté</t>
  </si>
  <si>
    <t>816266 - 3170</t>
  </si>
  <si>
    <t>Pluvier fauve</t>
  </si>
  <si>
    <t>3178 - 3180 - 3181</t>
  </si>
  <si>
    <t>Vanneau sociable</t>
  </si>
  <si>
    <t>986524 - 3187 - 3189</t>
  </si>
  <si>
    <t>Vanneau huppé</t>
  </si>
  <si>
    <t>Hivernants / de passage : si hivernage annuel et conséquent d’au moins 500 ind (type II)</t>
  </si>
  <si>
    <t>3192 - 3194</t>
  </si>
  <si>
    <t>Bécasseau maubèche</t>
  </si>
  <si>
    <t>3195 - 986532 - 3197 - 3198</t>
  </si>
  <si>
    <t>Bécasseau sanderling</t>
  </si>
  <si>
    <t>3208 - 3206 - 986541 - 3209</t>
  </si>
  <si>
    <t>Bécasseau minute</t>
  </si>
  <si>
    <t>Hivernants / de passage : si passage régulier : au moins 10 données depuis 2000 (type II)</t>
  </si>
  <si>
    <t>3210 - 3212 - 3213</t>
  </si>
  <si>
    <t>Bécasseau de Temminck</t>
  </si>
  <si>
    <t>3226 - 3228 - 3229 - 3230</t>
  </si>
  <si>
    <t>Bécasseau tacheté, Bécasseau à poitrine cendrée</t>
  </si>
  <si>
    <t>3231 - 3235 - 3233 - 3234</t>
  </si>
  <si>
    <t>Bécasseau à queue pointue</t>
  </si>
  <si>
    <t>986533 - 3241 - 3239</t>
  </si>
  <si>
    <t>Tournepierre à collier, Pluvier des Salines</t>
  </si>
  <si>
    <t>3243 - 846669 - 3245 - 846668 - 3246</t>
  </si>
  <si>
    <t>Phalarope à bec étroit</t>
  </si>
  <si>
    <t>442208 - 3252 - 3250</t>
  </si>
  <si>
    <t>Phalarope à bec large</t>
  </si>
  <si>
    <t>3255 - 3257</t>
  </si>
  <si>
    <t>Labbe pomarin</t>
  </si>
  <si>
    <t>3258 - 3260</t>
  </si>
  <si>
    <t>Labbe parasite</t>
  </si>
  <si>
    <t>Labbe à longue queue</t>
  </si>
  <si>
    <t>3265 - 3263</t>
  </si>
  <si>
    <t>Grand Labbe</t>
  </si>
  <si>
    <t>Goéland à bec cerclé</t>
  </si>
  <si>
    <t>3291 - 3289 - 3306</t>
  </si>
  <si>
    <t>Goéland pontique</t>
  </si>
  <si>
    <t>3293 - 3295 - 961396 - 3296</t>
  </si>
  <si>
    <t>Goéland cendré</t>
  </si>
  <si>
    <t>Goéland brun</t>
  </si>
  <si>
    <t>961334 - 3300</t>
  </si>
  <si>
    <t>Goéland argenté</t>
  </si>
  <si>
    <t>Goéland à ailes blanches, Goéland arctique</t>
  </si>
  <si>
    <t>Goéland bourgmestre</t>
  </si>
  <si>
    <t>Goéland marin</t>
  </si>
  <si>
    <t>3318 - 3320 - 362282</t>
  </si>
  <si>
    <t>Mouette tridactyle</t>
  </si>
  <si>
    <t>3322 - 3324</t>
  </si>
  <si>
    <t>Mouette blanche, Mouette ivoire, Goéland sénateur</t>
  </si>
  <si>
    <t>3332 - 3334</t>
  </si>
  <si>
    <t>Sterne hansel</t>
  </si>
  <si>
    <t>3340 - 3338 - 3336 - 3339</t>
  </si>
  <si>
    <t>Sterne caspienne</t>
  </si>
  <si>
    <t>Sterne pierregarin</t>
  </si>
  <si>
    <t>3347 - 3345</t>
  </si>
  <si>
    <t>Sterne arctique</t>
  </si>
  <si>
    <t>3352 - 3350</t>
  </si>
  <si>
    <t>Sterne naine</t>
  </si>
  <si>
    <t>3359 - 3361</t>
  </si>
  <si>
    <t>Sterne voyageuse</t>
  </si>
  <si>
    <t>3362 - 3342</t>
  </si>
  <si>
    <t>Sterne caugek</t>
  </si>
  <si>
    <t>Sterne de Dougall</t>
  </si>
  <si>
    <t>3371 - 3373</t>
  </si>
  <si>
    <t>Guifette noire</t>
  </si>
  <si>
    <t>3376 - 3374</t>
  </si>
  <si>
    <t>Guifette leucoptère</t>
  </si>
  <si>
    <t>3404 - 3402</t>
  </si>
  <si>
    <t>Macareux moine</t>
  </si>
  <si>
    <t>Pigeon biset</t>
  </si>
  <si>
    <t>Pigeon colombin</t>
  </si>
  <si>
    <t>Pigeon ramier</t>
  </si>
  <si>
    <t>961155 - 3431 - 3429</t>
  </si>
  <si>
    <t>Tourterelle turque</t>
  </si>
  <si>
    <t>3434 - 3432</t>
  </si>
  <si>
    <t>Tourterelle rieuse</t>
  </si>
  <si>
    <t>3439 - 3441</t>
  </si>
  <si>
    <t>Tourterelle des bois</t>
  </si>
  <si>
    <t>3451 - 3450 - 3448</t>
  </si>
  <si>
    <t>Perruche à collier</t>
  </si>
  <si>
    <t>3461 - 3463</t>
  </si>
  <si>
    <t>Coucou geai</t>
  </si>
  <si>
    <t>3467 - 3465 - 3468</t>
  </si>
  <si>
    <t>Coucou gris</t>
  </si>
  <si>
    <t>961333 - 3485 - 3486 - 3484 - 3482</t>
  </si>
  <si>
    <t>Effraie des clochers, Chouette effraie</t>
  </si>
  <si>
    <t>3491 - 3489</t>
  </si>
  <si>
    <t>Petit-duc scops, Hibou petit-duc</t>
  </si>
  <si>
    <t>3493 - 416686 - 3495 - 3497 - 3496</t>
  </si>
  <si>
    <t>Grand-duc d'Europe</t>
  </si>
  <si>
    <t>3509 - 3507</t>
  </si>
  <si>
    <t>Chevêchette d'Europe, Chouette chevêchette</t>
  </si>
  <si>
    <t>3513 - 3514 - 961332 - 3511</t>
  </si>
  <si>
    <t>Chevêche d'Athéna, Chouette chevêche</t>
  </si>
  <si>
    <t>Athene noctua</t>
  </si>
  <si>
    <t>2001-2007</t>
  </si>
  <si>
    <t>Chouette hulotte</t>
  </si>
  <si>
    <t>3522 - 3524</t>
  </si>
  <si>
    <t>Hibou moyen-duc</t>
  </si>
  <si>
    <t>3525 - 3527 - 416682</t>
  </si>
  <si>
    <t>Hibou des marais</t>
  </si>
  <si>
    <t>3535 - 3533</t>
  </si>
  <si>
    <t>Chouette de Tengmalm, Nyctale de Tengmalm</t>
  </si>
  <si>
    <t>3542 - 3540 - 3543</t>
  </si>
  <si>
    <t>Engoulevent d'Europe</t>
  </si>
  <si>
    <t>3554 - 3551 - 3553</t>
  </si>
  <si>
    <t>Martinet noir</t>
  </si>
  <si>
    <t>3557 - 3555</t>
  </si>
  <si>
    <t>Martinet pâle</t>
  </si>
  <si>
    <t>3561 - 3560 - 3558</t>
  </si>
  <si>
    <t>Martinet à ventre blanc, Martinet alpin</t>
  </si>
  <si>
    <t>3575 - 3571 - 3574 - 846616 - 3573</t>
  </si>
  <si>
    <t>Martin-pêcheur d'Europe</t>
  </si>
  <si>
    <t>Guêpier d'Europe</t>
  </si>
  <si>
    <t>Nicheurs : cortège « cours d’eau »</t>
  </si>
  <si>
    <t>Rollier d'Europe</t>
  </si>
  <si>
    <t>Huppe fasciée</t>
  </si>
  <si>
    <t>Nicheurs : cortège « milieu agricole diversifié »</t>
  </si>
  <si>
    <t>3598 - 3595 - 3597</t>
  </si>
  <si>
    <t>Torcol fourmilier</t>
  </si>
  <si>
    <t>Pic cendré</t>
  </si>
  <si>
    <t>Pic vert, Pivert</t>
  </si>
  <si>
    <t>3608 - 846613</t>
  </si>
  <si>
    <t>Pic noir</t>
  </si>
  <si>
    <t>Nicheurs : cortège « forêt et milieux boisés »</t>
  </si>
  <si>
    <t>3613 - 3618 - 3607 - 3614 - 3617 - 3611 - 960756</t>
  </si>
  <si>
    <t>Pic épeiche</t>
  </si>
  <si>
    <t>3622 - 895906 - 3619 - 3621</t>
  </si>
  <si>
    <t>Pic mar</t>
  </si>
  <si>
    <t>3625 - 3627 - 3629 - 961184 - 3628</t>
  </si>
  <si>
    <t>Pic à dos blanc</t>
  </si>
  <si>
    <t>3635 - 960758 - 3630 - 895907 - 3636 - 3634 - 961185 - 3632 - 3633</t>
  </si>
  <si>
    <t>Pic épeichette</t>
  </si>
  <si>
    <t>3640 - 3638</t>
  </si>
  <si>
    <t>Pic tridactyle</t>
  </si>
  <si>
    <t>3326 - 3328 - 3329 - 364251</t>
  </si>
  <si>
    <t>Mouette de Sabine</t>
  </si>
  <si>
    <t>3644 - 927800</t>
  </si>
  <si>
    <t>Alouette calandre</t>
  </si>
  <si>
    <t>Melanocorypha calandra</t>
  </si>
  <si>
    <t>2012-2016</t>
  </si>
  <si>
    <t>3649 - 3651 - 960989 - 927799</t>
  </si>
  <si>
    <t>Alouette calandrelle</t>
  </si>
  <si>
    <t>3659 - 3660 - 3656 - 3658</t>
  </si>
  <si>
    <t>Cochevis huppé</t>
  </si>
  <si>
    <t>3666 - 3668</t>
  </si>
  <si>
    <t>Sirli de Dupont</t>
  </si>
  <si>
    <t>3670 - 3674 - 3673 - 3672</t>
  </si>
  <si>
    <t>Alouette lulu</t>
  </si>
  <si>
    <t>3676 - 3679 - 3678 - 961320</t>
  </si>
  <si>
    <t>Alouette des champs</t>
  </si>
  <si>
    <t>846684 - 3681 - 3685 - 162676 - 961002 - 3683 - 3684</t>
  </si>
  <si>
    <t>Alouette haussecol</t>
  </si>
  <si>
    <t>3688 - 3690</t>
  </si>
  <si>
    <t>Hirondelle de rivage</t>
  </si>
  <si>
    <t>3694 - 3692</t>
  </si>
  <si>
    <t>Hirondelle de rochers</t>
  </si>
  <si>
    <t>3696 - 3698</t>
  </si>
  <si>
    <t>Hirondelle rustique, Hirondelle de cheminée</t>
  </si>
  <si>
    <t>3699 - 3701</t>
  </si>
  <si>
    <t>Hirondelle rousseline</t>
  </si>
  <si>
    <t>3709 - 3712 - 3710</t>
  </si>
  <si>
    <t>Pipit de Richard</t>
  </si>
  <si>
    <t>3715 - 3713</t>
  </si>
  <si>
    <t>Pipit rousseline</t>
  </si>
  <si>
    <t>3716 - 928365</t>
  </si>
  <si>
    <t>Pipit maritime</t>
  </si>
  <si>
    <t>3725 - 3723</t>
  </si>
  <si>
    <t>Pipit des arbres</t>
  </si>
  <si>
    <t>3728 - 3726</t>
  </si>
  <si>
    <t>Pipit farlouse</t>
  </si>
  <si>
    <t>3729 - 3731 - 3732</t>
  </si>
  <si>
    <t>Pipit à gorge rousse</t>
  </si>
  <si>
    <t>162665 - 3733 - 3735</t>
  </si>
  <si>
    <t>Pipit spioncelle</t>
  </si>
  <si>
    <t>3749 - 3743 - 3741 - 961307</t>
  </si>
  <si>
    <t>Bergeronnette printanière</t>
  </si>
  <si>
    <t>4642 - 928369 - 3745</t>
  </si>
  <si>
    <t>Bergeronnette flavéole</t>
  </si>
  <si>
    <t>3748 - 961308</t>
  </si>
  <si>
    <t>Bergeronnette d’Italie</t>
  </si>
  <si>
    <t>961310 - 3751</t>
  </si>
  <si>
    <t>Bergeronnette nordique</t>
  </si>
  <si>
    <t>961311 - 3752</t>
  </si>
  <si>
    <t>Bergeronnette des Balkans</t>
  </si>
  <si>
    <t>3757 - 3940 - 3755 - 3758 - 961205</t>
  </si>
  <si>
    <t>Bergeronnette des ruisseaux</t>
  </si>
  <si>
    <t>3766 - 3767 - 961324 - 3764</t>
  </si>
  <si>
    <t>Mésange charbonnière</t>
  </si>
  <si>
    <t>3776 - 3774</t>
  </si>
  <si>
    <t>Sittelle torchepot</t>
  </si>
  <si>
    <t>3780 - 928800</t>
  </si>
  <si>
    <t>Tichodrome échelette</t>
  </si>
  <si>
    <t>3788 - 3787 - 3790 - 3789 - 3786 - 3784</t>
  </si>
  <si>
    <t>Grimpereau des bois</t>
  </si>
  <si>
    <t>3795 - 3791 - 960760 - 3793 - 3794</t>
  </si>
  <si>
    <t>Grimpereau des jardins</t>
  </si>
  <si>
    <t>3800 - 960666 - 3798</t>
  </si>
  <si>
    <t>Rémiz penduline, Mésange rémiz</t>
  </si>
  <si>
    <t>Hivernants / de passage : si passage annuel (type II)</t>
  </si>
  <si>
    <t>3803 - 846582</t>
  </si>
  <si>
    <t>Loriot d'Europe, Loriot jaune</t>
  </si>
  <si>
    <t>3807 - 3809</t>
  </si>
  <si>
    <t>Pie-grièche écorcheur</t>
  </si>
  <si>
    <t>Pie-grièche à poitrine rose</t>
  </si>
  <si>
    <t>Lanius minor</t>
  </si>
  <si>
    <t>4458 - 4457 - 3814 - 961198 - 2386 - 3816</t>
  </si>
  <si>
    <t>Pie-grièche grise</t>
  </si>
  <si>
    <t>Hivernants / de passage : si hivernage régulier : au moins 10 ind. Depuis 2000 (type II)</t>
  </si>
  <si>
    <t>Lanius excubitor</t>
  </si>
  <si>
    <t>Bergeronnette grise</t>
  </si>
  <si>
    <t>961306 - 3947 - 3945</t>
  </si>
  <si>
    <t>3955 - 3953</t>
  </si>
  <si>
    <t>Jaseur boréal, Jaseur de Bohème</t>
  </si>
  <si>
    <t>3960 - 3958 - 3961 - 3963 - 3964 - 3962 - 961522</t>
  </si>
  <si>
    <t>Cincle plongeur</t>
  </si>
  <si>
    <t>Nicheurs : Si cortège « cours d’eau »</t>
  </si>
  <si>
    <t>3970 - 3967 - 3969 - 929026</t>
  </si>
  <si>
    <t>Troglodyte mignon</t>
  </si>
  <si>
    <t>3983 - 3982 - 3978 - 3981 - 3980 - 961284</t>
  </si>
  <si>
    <t>Accenteur mouchet</t>
  </si>
  <si>
    <t>3987 - 3986 - 3984</t>
  </si>
  <si>
    <t>Accenteur alpin</t>
  </si>
  <si>
    <t>4008 - 961200 - 4005 - 4004 - 4003 - 4007 - 4001 - 4006</t>
  </si>
  <si>
    <t>Rougegorge familier</t>
  </si>
  <si>
    <t>4013 - 4015 - 4016 - 4017</t>
  </si>
  <si>
    <t>Rossignol philomèle</t>
  </si>
  <si>
    <t>4025 - 4023 - 895985</t>
  </si>
  <si>
    <t>Gorgebleue à miroir</t>
  </si>
  <si>
    <t>4027 - 928372</t>
  </si>
  <si>
    <t>Gorgebleue à miroir blanc</t>
  </si>
  <si>
    <t>4030 - 4032 - 4033</t>
  </si>
  <si>
    <t>Robin à flancs roux, Rossignol à flancs roux</t>
  </si>
  <si>
    <t>961272 - 4039 - 4037 - 4038 - 4035</t>
  </si>
  <si>
    <t>Rougequeue noir</t>
  </si>
  <si>
    <t>4040 - 4042</t>
  </si>
  <si>
    <t>Rougequeue à front blanc</t>
  </si>
  <si>
    <t>4049 - 4051</t>
  </si>
  <si>
    <t>Tarier des prés, Traquet tarier</t>
  </si>
  <si>
    <t>928374 - 4062</t>
  </si>
  <si>
    <t>Traquet isabelle</t>
  </si>
  <si>
    <t>4064 - 4069 - 4066</t>
  </si>
  <si>
    <t>Traquet motteux</t>
  </si>
  <si>
    <t>928375 - 4068</t>
  </si>
  <si>
    <t>4074 - 4076</t>
  </si>
  <si>
    <t>Traquet oreillard</t>
  </si>
  <si>
    <t>4084 - 4086</t>
  </si>
  <si>
    <t>Monticole de roche, Merle de roche</t>
  </si>
  <si>
    <t>4089 - 4087</t>
  </si>
  <si>
    <t>Monticole bleu, Merle bleu</t>
  </si>
  <si>
    <t>4115 - 4112</t>
  </si>
  <si>
    <t>Merle à plastron</t>
  </si>
  <si>
    <t>929033 - 4114</t>
  </si>
  <si>
    <t>Merle noir</t>
  </si>
  <si>
    <t>Grive obscure</t>
  </si>
  <si>
    <t>Grive à ailes rousses, Grive à gorge rousse, Grive à gorge noire</t>
  </si>
  <si>
    <t>Grive litorne</t>
  </si>
  <si>
    <t>4129 - 4132 - 4133 - 4131</t>
  </si>
  <si>
    <t>Grive musicienne</t>
  </si>
  <si>
    <t>4134 - 4136</t>
  </si>
  <si>
    <t>Grive à gorge noire</t>
  </si>
  <si>
    <t>4141 - 4137 - 961279 - 4139 - 4140</t>
  </si>
  <si>
    <t>Grive mauvis</t>
  </si>
  <si>
    <t>4146 - 4144 - 4145 - 4142</t>
  </si>
  <si>
    <t>Grive draine</t>
  </si>
  <si>
    <t>4153 - 4151</t>
  </si>
  <si>
    <t>Bouscarle de Cetti</t>
  </si>
  <si>
    <t>4159 - 927814 - 4155 - 960682 - 4157 - 4158</t>
  </si>
  <si>
    <t>Cisticole des joncs</t>
  </si>
  <si>
    <t>4167 - 4169</t>
  </si>
  <si>
    <t>Locustelle tachetée</t>
  </si>
  <si>
    <t>4170 - 4171</t>
  </si>
  <si>
    <t>Locustelle fluviatile</t>
  </si>
  <si>
    <t>4174 - 4172</t>
  </si>
  <si>
    <t>Locustelle luscinioïde</t>
  </si>
  <si>
    <t>4183 - 4182 - 4180</t>
  </si>
  <si>
    <t>Lusciniole à moustaches</t>
  </si>
  <si>
    <t>4186 - 4184</t>
  </si>
  <si>
    <t>Phragmite aquatique</t>
  </si>
  <si>
    <t>Acrocephalus paludicola</t>
  </si>
  <si>
    <t>2010-2014</t>
  </si>
  <si>
    <t>4187 - 4189</t>
  </si>
  <si>
    <t>Phragmite des joncs</t>
  </si>
  <si>
    <t>Rousserolle des buissons</t>
  </si>
  <si>
    <t>4192 - 4194 - 927793</t>
  </si>
  <si>
    <t>Rousserolle verderolle</t>
  </si>
  <si>
    <t>4195 - 4197 - 4179</t>
  </si>
  <si>
    <t>Rousserolle effarvatte</t>
  </si>
  <si>
    <t>4198 - 4201 - 4200 - 962046</t>
  </si>
  <si>
    <t>Rousserolle turdoïde</t>
  </si>
  <si>
    <t>4214 - 4212</t>
  </si>
  <si>
    <t>Hypolaïs ictérine, Grand contrefaisant</t>
  </si>
  <si>
    <t>4215 - 4217</t>
  </si>
  <si>
    <t>Hypolaïs polyglotte, Petit contrefaisant</t>
  </si>
  <si>
    <t>4219 - 889084</t>
  </si>
  <si>
    <t>Fauvette sarde</t>
  </si>
  <si>
    <t>889083 - 4223 - 4221</t>
  </si>
  <si>
    <t>Fauvette pitchou</t>
  </si>
  <si>
    <t>889081 - 4227</t>
  </si>
  <si>
    <t>Fauvette à lunettes</t>
  </si>
  <si>
    <t>4231 - 961131 - 782307 - 824086 - 824084 - 4229 - 824087</t>
  </si>
  <si>
    <t>Fauvette passerinette</t>
  </si>
  <si>
    <t>4234 - 962070 - 889080 - 4232</t>
  </si>
  <si>
    <t>Fauvette mélanocéphale</t>
  </si>
  <si>
    <t>889079 - 4242 - 4244</t>
  </si>
  <si>
    <t>Fauvette orphée</t>
  </si>
  <si>
    <t>4246 - 4245</t>
  </si>
  <si>
    <t>Fauvette épervière</t>
  </si>
  <si>
    <t>4250 - 889076 - 4251 - 4249 - 4247</t>
  </si>
  <si>
    <t>Fauvette babillarde</t>
  </si>
  <si>
    <t>4252 - 889078</t>
  </si>
  <si>
    <t>Fauvette grisette</t>
  </si>
  <si>
    <t>4254 - 4256</t>
  </si>
  <si>
    <t>Fauvette des jardins</t>
  </si>
  <si>
    <t>4259 - 4257</t>
  </si>
  <si>
    <t>Fauvette à tête noire</t>
  </si>
  <si>
    <t>889086 - 4311 - 4267</t>
  </si>
  <si>
    <t>Pouillot de Schwarz, Pouillot de Pallas, Pouillot roitelet</t>
  </si>
  <si>
    <t>4269 - 889087 - 4271</t>
  </si>
  <si>
    <t>Pouillot de Bonelli</t>
  </si>
  <si>
    <t>4272 - 4274 - 889088</t>
  </si>
  <si>
    <t>Pouillot siffleur</t>
  </si>
  <si>
    <t>4277 - 4279 - 4275 - 4278</t>
  </si>
  <si>
    <t>Pouillot verdâtre</t>
  </si>
  <si>
    <t>4280 - 4282</t>
  </si>
  <si>
    <t>Pouillot véloce</t>
  </si>
  <si>
    <t>961317 - 4288</t>
  </si>
  <si>
    <t>Pouillot de Sibérie</t>
  </si>
  <si>
    <t>4293 - 4289 - 4291 - 961319</t>
  </si>
  <si>
    <t>Pouillot fitis</t>
  </si>
  <si>
    <t>4297 - 4299</t>
  </si>
  <si>
    <t>Pouillot de Pallas, Pouillot à grands sourcils</t>
  </si>
  <si>
    <t>4310 - 4313 - 4308 - 4312</t>
  </si>
  <si>
    <t>Roitelet huppé</t>
  </si>
  <si>
    <t>782543 - 4321 - 4319</t>
  </si>
  <si>
    <t>Gobemouche gris</t>
  </si>
  <si>
    <t>4326 - 4324</t>
  </si>
  <si>
    <t>Gobemouche nain, Gobemouche rougeâtre</t>
  </si>
  <si>
    <t>4329 - 4327</t>
  </si>
  <si>
    <t>Gobemouche à collier</t>
  </si>
  <si>
    <t>4104 - 960834 - 4330</t>
  </si>
  <si>
    <t>Gobemouche noir</t>
  </si>
  <si>
    <t>4338 - 960664</t>
  </si>
  <si>
    <t>Panure à moustaches, Mésange à moustaches</t>
  </si>
  <si>
    <t>804727 - 906642 - 4345 - 4342 - 961315 - 4348 - 4347 - 4344 - 4346</t>
  </si>
  <si>
    <t>Mésange à longue queue, Orite à longue queue</t>
  </si>
  <si>
    <t>441709 - 780301</t>
  </si>
  <si>
    <t>Canard musqué</t>
  </si>
  <si>
    <t>441900 - 780297</t>
  </si>
  <si>
    <t>Ibis rouge</t>
  </si>
  <si>
    <t>888196 - 442064</t>
  </si>
  <si>
    <t>Perruche ondulée</t>
  </si>
  <si>
    <t>Pie-grièche à tête rousse</t>
  </si>
  <si>
    <t>Lanius senator</t>
  </si>
  <si>
    <t>4468 - 4466 - 4470 - 846578 - 4469</t>
  </si>
  <si>
    <t>Geai des chênes</t>
  </si>
  <si>
    <t>961197 - 4477 - 4476 - 4478 - 961195 - 4474 - 846581</t>
  </si>
  <si>
    <t>Pie bavarde</t>
  </si>
  <si>
    <t>4480 - 846580</t>
  </si>
  <si>
    <t>Cassenoix moucheté, Casse-noix</t>
  </si>
  <si>
    <t>Nicheurs : Si cortège « forêt et milieux boisés »</t>
  </si>
  <si>
    <t>960676 - 4487 - 4485</t>
  </si>
  <si>
    <t>Chocard à bec jaune</t>
  </si>
  <si>
    <t>840174 - 4492 - 961059 - 4491 - 4490 - 4488</t>
  </si>
  <si>
    <t>Crave à bec rouge</t>
  </si>
  <si>
    <t>4496 - 416696 - 4494</t>
  </si>
  <si>
    <t>Choucas des tours</t>
  </si>
  <si>
    <t>4498 - 927822</t>
  </si>
  <si>
    <t>Choucas des tours oriental</t>
  </si>
  <si>
    <t>4500 - 4499 - 927821</t>
  </si>
  <si>
    <t>Corbeau freux</t>
  </si>
  <si>
    <t>Corneille noire</t>
  </si>
  <si>
    <t>4505 - 199414</t>
  </si>
  <si>
    <t>Corneille mantelée</t>
  </si>
  <si>
    <t>4510 - 4513 - 4512</t>
  </si>
  <si>
    <t>Grand corbeau</t>
  </si>
  <si>
    <t>Hivernants / de passage : si hivernage annuel et conséquent d’au moins 20 ind. ? (type II)</t>
  </si>
  <si>
    <t>Étourneau sansonnet</t>
  </si>
  <si>
    <t>Étourneau unicolore</t>
  </si>
  <si>
    <t>4522 - 846710 - 4520</t>
  </si>
  <si>
    <t>Étourneau roselin, Martin roselin</t>
  </si>
  <si>
    <t>4525 - 813827</t>
  </si>
  <si>
    <t>Moineau domestique</t>
  </si>
  <si>
    <t>4534 - 4535 - 928423 - 4532</t>
  </si>
  <si>
    <t>Moineau friquet</t>
  </si>
  <si>
    <t>928422 - 4537</t>
  </si>
  <si>
    <t>Niverolle alpine, Niverolle des Alpes</t>
  </si>
  <si>
    <t>4544 - 4542 - 960634 - 4540 - 4543</t>
  </si>
  <si>
    <t>Moineau soulcie</t>
  </si>
  <si>
    <t>4567 - 4564 - 4566</t>
  </si>
  <si>
    <t>Pinson des arbres</t>
  </si>
  <si>
    <t>Pinson du nord, Pinson des Ardennes</t>
  </si>
  <si>
    <t>960677 - 4573 - 4571</t>
  </si>
  <si>
    <t>Serin cini</t>
  </si>
  <si>
    <t>889051 - 4574 - 4576</t>
  </si>
  <si>
    <t>Venturon montagnard</t>
  </si>
  <si>
    <t>4582 - 4580 - 889050</t>
  </si>
  <si>
    <t>Verdier d'Europe</t>
  </si>
  <si>
    <t>4583 - 889049</t>
  </si>
  <si>
    <t>Chardonneret élégant</t>
  </si>
  <si>
    <t>459460 - 2621 - 2619 - 199362</t>
  </si>
  <si>
    <t>Chevalier grivelé</t>
  </si>
  <si>
    <t>3703 - 3705 - 459478</t>
  </si>
  <si>
    <t>Hirondelle de fenêtre</t>
  </si>
  <si>
    <t>459626 - 2763 - 2765</t>
  </si>
  <si>
    <t>Ouette d'Égypte, Oie d'Égypte</t>
  </si>
  <si>
    <t>3370 - 459627 - 3369 - 3367</t>
  </si>
  <si>
    <t>Guifette moustac</t>
  </si>
  <si>
    <t>459629 - 2951 - 2953</t>
  </si>
  <si>
    <t>Lagopède alpin</t>
  </si>
  <si>
    <t>459630 - 3810</t>
  </si>
  <si>
    <t>Pie-grièche isabelle</t>
  </si>
  <si>
    <t>4314 - 4316 - 459638</t>
  </si>
  <si>
    <t>Roitelet à triple bandeau</t>
  </si>
  <si>
    <t>4597 - 886229 - 4595</t>
  </si>
  <si>
    <t>Sizerin flammé</t>
  </si>
  <si>
    <t>4606 - 4605 - 4603</t>
  </si>
  <si>
    <t>Bec-croisé des sapins</t>
  </si>
  <si>
    <t>Bec-croisé perroquet</t>
  </si>
  <si>
    <t>4609 - 961290 - 4611</t>
  </si>
  <si>
    <t>Bec-croisé bifascié</t>
  </si>
  <si>
    <t>4616 - 927841</t>
  </si>
  <si>
    <t>Roselin cramoisi</t>
  </si>
  <si>
    <t>960952 - 4619 - 824093 - 4622</t>
  </si>
  <si>
    <t>Bouvreuil pivoine</t>
  </si>
  <si>
    <t>4627 - 927847 - 4628 - 4625</t>
  </si>
  <si>
    <t>Grosbec casse-noyaux</t>
  </si>
  <si>
    <t>927802 - 4644</t>
  </si>
  <si>
    <t>Bruant lapon</t>
  </si>
  <si>
    <t>4649 - 4652 - 4651 - 927801</t>
  </si>
  <si>
    <t>Bruant des neiges</t>
  </si>
  <si>
    <t>889066 - 4654</t>
  </si>
  <si>
    <t>Bruant à tête rousse</t>
  </si>
  <si>
    <t>Bruant jaune</t>
  </si>
  <si>
    <t>4661 - 4659 - 4662</t>
  </si>
  <si>
    <t>Bruant zizi</t>
  </si>
  <si>
    <t>Bruant fou</t>
  </si>
  <si>
    <t>Bruant ortolan</t>
  </si>
  <si>
    <t>889067 - 4667</t>
  </si>
  <si>
    <t>Bruant nain</t>
  </si>
  <si>
    <t>889043 - 889044 - 4669 - 4672</t>
  </si>
  <si>
    <t>Bruant des roseaux</t>
  </si>
  <si>
    <t>Hivernants / de passage : si hivernage annuel conséquent d’au moins 40 ind (type II)</t>
  </si>
  <si>
    <t>Bruant rustique</t>
  </si>
  <si>
    <t>Bruant auréole</t>
  </si>
  <si>
    <t>4682 - 4680</t>
  </si>
  <si>
    <t>Bruant mélanocéphale</t>
  </si>
  <si>
    <t>4686 - 4688 - 4684 - 4687</t>
  </si>
  <si>
    <t>Bruant proyer</t>
  </si>
  <si>
    <t>3283 - 530157</t>
  </si>
  <si>
    <t>Mouette rieuse</t>
  </si>
  <si>
    <t>Hivernants / de passage : si hivernage annuel et conséquent d’au moins 300 ind. (type II)</t>
  </si>
  <si>
    <t>Inséparable de Fischer</t>
  </si>
  <si>
    <t>534662 - 3285</t>
  </si>
  <si>
    <t>Goéland railleur</t>
  </si>
  <si>
    <t>534742 - 3762 - 3763 - 3760</t>
  </si>
  <si>
    <t>Mésange bleue</t>
  </si>
  <si>
    <t>534743 - 3768</t>
  </si>
  <si>
    <t>Mésange azurée</t>
  </si>
  <si>
    <t>3274 - 534748</t>
  </si>
  <si>
    <t>Mouette pygmée</t>
  </si>
  <si>
    <t>534750 - 4361 - 962107 - 4366 - 4363 - 4364 - 4365</t>
  </si>
  <si>
    <t>Mésange huppée</t>
  </si>
  <si>
    <t>534751 - 4370 - 4369 - 4367</t>
  </si>
  <si>
    <t>Mésange noire</t>
  </si>
  <si>
    <t>4355 - 961130 - 534752</t>
  </si>
  <si>
    <t>Mésange boréale</t>
  </si>
  <si>
    <t>4351 - 4353 - 961329 - 534753 - 4354</t>
  </si>
  <si>
    <t>Mésange nonnette</t>
  </si>
  <si>
    <t>3132 - 626275</t>
  </si>
  <si>
    <t>Glaréole à ailes noires</t>
  </si>
  <si>
    <t>3270 - 627332</t>
  </si>
  <si>
    <t>Mouette atricille</t>
  </si>
  <si>
    <t>627743 - 3287</t>
  </si>
  <si>
    <t>Goéland d'Audouin</t>
  </si>
  <si>
    <t>Larus audouinii</t>
  </si>
  <si>
    <t>2005-2009</t>
  </si>
  <si>
    <t>3272 - 627745</t>
  </si>
  <si>
    <t>Mouette mélanocéphale</t>
  </si>
  <si>
    <t>888192 - 714610</t>
  </si>
  <si>
    <t>Calopsitte élégante</t>
  </si>
  <si>
    <t>2423 - 790986 - 2425</t>
  </si>
  <si>
    <t>Océanite cul-blanc, Pétrel cul-blanc</t>
  </si>
  <si>
    <t>813758 - 813757</t>
  </si>
  <si>
    <t>Canard à collier noir</t>
  </si>
  <si>
    <t>813760 - 813759</t>
  </si>
  <si>
    <t>Nette demi-deuil</t>
  </si>
  <si>
    <t>814245 - 2534 - 2536</t>
  </si>
  <si>
    <t>Combattant varié, Chevalier combattant</t>
  </si>
  <si>
    <t>2922 - 2920 - 828816</t>
  </si>
  <si>
    <t>Bécasseau falcinelle</t>
  </si>
  <si>
    <t>836203 - 1956</t>
  </si>
  <si>
    <t>Canard chipeau</t>
  </si>
  <si>
    <t>Hivernants / de passage : si hivernage annuel et conséquent d’au moins 30 ind (type II)</t>
  </si>
  <si>
    <t>1977 - 1975 - 836222</t>
  </si>
  <si>
    <t>Sarcelle d'été</t>
  </si>
  <si>
    <t>836223 - 1962</t>
  </si>
  <si>
    <t>Sarcelle à ailes bleues</t>
  </si>
  <si>
    <t>3044 - 836245 - 3042</t>
  </si>
  <si>
    <t>Marouette poussin</t>
  </si>
  <si>
    <t>3047 - 3048 - 836246 - 3045 - 961339</t>
  </si>
  <si>
    <t>Marouette de Baillon</t>
  </si>
  <si>
    <t>836345 - 2636</t>
  </si>
  <si>
    <t>Aigle pomarin</t>
  </si>
  <si>
    <t>836346 - 2641</t>
  </si>
  <si>
    <t>Aigle criard</t>
  </si>
  <si>
    <t>886225 - 886224</t>
  </si>
  <si>
    <t>Fauvette des Balkans</t>
  </si>
  <si>
    <t>4598 - 886231 - 886230</t>
  </si>
  <si>
    <t>Sizerin cabaret</t>
  </si>
  <si>
    <t>4600 - 886232</t>
  </si>
  <si>
    <t>Sizerin boréal</t>
  </si>
  <si>
    <t>199503 - 4593 - 895877 - 886233</t>
  </si>
  <si>
    <t>Sizerin blanchâtre</t>
  </si>
  <si>
    <t>895984 - 889042 - 4590</t>
  </si>
  <si>
    <t>Linotte à bec jaune</t>
  </si>
  <si>
    <t>4589 - 889048 - 889047 - 4588</t>
  </si>
  <si>
    <t>Linotte mélodieuse</t>
  </si>
  <si>
    <t>4586 - 889057 - 889056</t>
  </si>
  <si>
    <t>Tarin des aulnes</t>
  </si>
  <si>
    <t>2454 - 895998 - 2456</t>
  </si>
  <si>
    <t>Cormoran pygmée</t>
  </si>
  <si>
    <t>958 - 956</t>
  </si>
  <si>
    <t>Plongeon arctique</t>
  </si>
  <si>
    <t>959 - 961</t>
  </si>
  <si>
    <t>Plongeon imbrin</t>
  </si>
  <si>
    <t>967 - 965 - 380268</t>
  </si>
  <si>
    <t>Grèbe huppé</t>
  </si>
  <si>
    <t>Hivernants / de passage : si hivernage annuel et conséquent d’au moins 50 ind. (type II)</t>
  </si>
  <si>
    <t>380269 - 968 - 970</t>
  </si>
  <si>
    <t>Grèbe jougris</t>
  </si>
  <si>
    <t>971 - 380267 - 973</t>
  </si>
  <si>
    <t>Grèbe esclavon</t>
  </si>
  <si>
    <t>380266 - 974</t>
  </si>
  <si>
    <t>Grèbe à cou noir</t>
  </si>
  <si>
    <t>977 - 980 - 979</t>
  </si>
  <si>
    <t>Grèbe castagneux</t>
  </si>
  <si>
    <t>Plantes, mousses, et algues</t>
  </si>
  <si>
    <t>Géranium argenté, Géranium à feuilles argentées</t>
  </si>
  <si>
    <t>100035 - 100054 - 100033</t>
  </si>
  <si>
    <t>Géranium de Bohême</t>
  </si>
  <si>
    <t>100045 - 100111 - 100051</t>
  </si>
  <si>
    <t>Géranium colombin, Pied-de-pigeon, Géranium des colombes</t>
  </si>
  <si>
    <t>100052 - 100113 - 100078 - 1012784</t>
  </si>
  <si>
    <t>Géranium découpé, Géranium à feuilles découpées</t>
  </si>
  <si>
    <t>160097 - 1000533 - 137858 - 81750</t>
  </si>
  <si>
    <t>Minuartie lâche, Sabline lâche</t>
  </si>
  <si>
    <t>137855 - 1000573</t>
  </si>
  <si>
    <t>Minuartie printanière, Sabline printanière, Alsine printanière, Minuartie du printemps</t>
  </si>
  <si>
    <t>100059 - 938674 - 135061</t>
  </si>
  <si>
    <t>Géranium d'Endress</t>
  </si>
  <si>
    <t>133886 - 94852 - 619266 - 146152 - 1000842 - 94821</t>
  </si>
  <si>
    <t>Œillet superbe, Œillet magnifique, Œillet à plumet</t>
  </si>
  <si>
    <t>117836 - 100074 - 100085 - 100140</t>
  </si>
  <si>
    <t>Géranium luisant</t>
  </si>
  <si>
    <t>21 - 58 - 71</t>
  </si>
  <si>
    <t>100087 - 117837 - 100086</t>
  </si>
  <si>
    <t>Géranium à grosses racines, Géranium à gros rhizome</t>
  </si>
  <si>
    <t>135058 - 100169 - 100084 - 100104 - 100154 - 613525 - 147411 - 100134</t>
  </si>
  <si>
    <t>Géranium mou, Géranium à feuilles molles</t>
  </si>
  <si>
    <t>135059 - 100109 - 100064 - 1012876</t>
  </si>
  <si>
    <t>Géranium noueux</t>
  </si>
  <si>
    <t>100114 - 100057</t>
  </si>
  <si>
    <t>Géranium des marais</t>
  </si>
  <si>
    <t>147412 - 100026 - 100065 - 100125 - 100105 - 147413 - 100116 - 147414 - 147415 - 100158 - 100120 - 1012800 - 100083</t>
  </si>
  <si>
    <t>Géranium brun</t>
  </si>
  <si>
    <t>135062 - 100096 - 100013 - 100028 - 100128 - 614161 - 100145</t>
  </si>
  <si>
    <t>Géranium des prés</t>
  </si>
  <si>
    <t>135064 - 147418 - 1012702 - 1012698 - 1012699 - 1013372 - 100168 - 100101 - 100152 - 100132 - 100079 - 135068 - 100102 - 100099 - 153259 - 147420 - 980077 - 147421 - 147419 - 100151 - 1013374</t>
  </si>
  <si>
    <t>Géranium pourpre</t>
  </si>
  <si>
    <t>58</t>
  </si>
  <si>
    <t>100133 - 100048 - 100131 - 100055 - 100043 - 100094 - 100058 - 1012756 - 100070 - 100135 - 100115</t>
  </si>
  <si>
    <t>Géranium fluet, Géranium grêle, Géranium à tiges grêles</t>
  </si>
  <si>
    <t>Géranium des Pyrénées</t>
  </si>
  <si>
    <t>100142 - 117839 - 117835 - 100068 - 100063 - 100147 - 100112</t>
  </si>
  <si>
    <t>Géranium herbe-à-Robert, Géranium Robert, Herbe tangue</t>
  </si>
  <si>
    <t>100129 - 100091 - 100157 - 100092 - 100124 - 100144 - 100170 - 100046</t>
  </si>
  <si>
    <t>Géranium à feuilles rondes, Mauvette</t>
  </si>
  <si>
    <t>135070 - 147424 - 147423 - 100130 - 100075 - 1012862 - 100149 - 147422</t>
  </si>
  <si>
    <t>Géranium sanguin, Sanguinaire, Herbe à becquet</t>
  </si>
  <si>
    <t>58 - 70 - 71 - 89</t>
  </si>
  <si>
    <t>100018 - 100021 - 100029 - 135074 - 1012885 - 100061 - 135072 - 100160 - 100166 - 135063 - 962596</t>
  </si>
  <si>
    <t>Géranium des bois, Géranium des forêts, Pied-de-perdrix</t>
  </si>
  <si>
    <t>70</t>
  </si>
  <si>
    <t>Géranium d'Oxford</t>
  </si>
  <si>
    <t>1001993 - 143780 - 1001990 - 137824 - 1014787 - 83568 - 81792 - 137823 - 108620 - 137851 - 90864</t>
  </si>
  <si>
    <t>Minuartie à petites feuilles, Sabline à petites feuilles, Alsine à feuilles étroites</t>
  </si>
  <si>
    <t>108585 - 83589 - 131254 - 83569 - 81743 - 984879 - 1001992 - 83619 - 137849 - 1001991 - 83542 - 83680 - 119745 - 137821 - 137857 - 143408</t>
  </si>
  <si>
    <t>Minuartie hybride, Sabline hybride</t>
  </si>
  <si>
    <t>89272 - 85791 - 89274 - 147426 - 89277 - 135077 - 100204 - 85794 - 100209 - 100215</t>
  </si>
  <si>
    <t>Benoîte des ruisseaux</t>
  </si>
  <si>
    <t>21 - 58 - 70 - 71 - 90</t>
  </si>
  <si>
    <t>89279 - 100200 - 100202 - 100219 - 100218 - 147427 - 100193 - 125224 - 89278 - 100217 - 89275 - 147428 - 100225 - 100220 - 100206</t>
  </si>
  <si>
    <t>Benoîte des villes, Benoîte commune, Herbe de saint Benoît</t>
  </si>
  <si>
    <t>100240 - 100235 - 100230 - 100241</t>
  </si>
  <si>
    <t>Benoîte intermédiaire</t>
  </si>
  <si>
    <t>100239 - 619535 - 100007 - 130293 - 100228 - 135078 - 100236 - 100229 - 100226</t>
  </si>
  <si>
    <t>Benoîte des Sudètes, Benoîte des monts Sudètes</t>
  </si>
  <si>
    <t>83059 - 1002564 - 106188 - 137340</t>
  </si>
  <si>
    <t>Linaire maritime</t>
  </si>
  <si>
    <t>100263 - 135084 - 100284 - 100278 - 100280</t>
  </si>
  <si>
    <t>Glaïeul des marais</t>
  </si>
  <si>
    <t>90670 - 135090 - 621083 - 100286 - 100288 - 147436 - 100294 - 100295 - 135089 - 135091 - 90663 - 100297 - 108837 - 90660 - 147434 - 147433 - 100287</t>
  </si>
  <si>
    <t>Glaucier corniculé, Glaucier cornu, Pavot cornu, Glaucienne corniculée, Glaucienne à fruit en forme de corne, Glaucienne en cornet</t>
  </si>
  <si>
    <t>Glaucium corniculatum</t>
  </si>
  <si>
    <t>90665 - 147437 - 90662 - 100290 - 147438 - 100292 - 90664 - 100293 - 100296 - 100291 - 100289</t>
  </si>
  <si>
    <t>Glaucier jaune, Glaucière jaune, Pavot jaune des sables</t>
  </si>
  <si>
    <t>100304 - 91072 - 145528 - 91073 - 90475 - 130496 - 116517 - 107476 - 91051</t>
  </si>
  <si>
    <t>Chrysanthème des moissons, Chrysanthème des blés, Glébionide des moissons</t>
  </si>
  <si>
    <t>Glebionis segetum</t>
  </si>
  <si>
    <t>100315 - 109519 - 772784 - 100312 - 135092 - 100311 - 87342 - 147440 - 147441 - 100316 - 100321 - 772785 - 100314 - 619547 - 90407 - 100307 - 100306 - 109524 - 161378 - 100310 - 90410</t>
  </si>
  <si>
    <t>Gléchome Lierre terrestre, Lierre terrestre, Gléchome lierre</t>
  </si>
  <si>
    <t>135093 - 135094 - 138048 - 100319 - 100313 - 147439</t>
  </si>
  <si>
    <t>Gléchome hérissée, Gléchome hirsute, Lierre terrestre hérissé</t>
  </si>
  <si>
    <t>100323 - 613528 - 100326 - 100330 - 100325 - 1018471 - 100328 - 100324 - 100327 - 87186 - 147443 - 613529 - 147444 - 100329</t>
  </si>
  <si>
    <t>Févier d'Amérique, Févier à épines triples</t>
  </si>
  <si>
    <t>100336 - 153264 - 135103 - 100349 - 100343 - 100338 - 100357 - 135102 - 135101 - 100352 - 135100</t>
  </si>
  <si>
    <t>Globulaire ponctuée, Globulaire de Willkomm, Globulaire de Bisnagar</t>
  </si>
  <si>
    <t>100341 - 100351 - 100346 - 100340</t>
  </si>
  <si>
    <t>Globulaire à feuilles en cœur, Globulaire à feuilles cordées, Veuve-céleste</t>
  </si>
  <si>
    <t>25</t>
  </si>
  <si>
    <t>1003758 - 152401 - 129031 - 142150</t>
  </si>
  <si>
    <t>Véronique à feuilles à trois lobes, Véronique à feuilles trilobées</t>
  </si>
  <si>
    <t>153265 - 135109 - 147468 - 147478 - 135119 - 135118 - 147490 - 147492 - 100382 - 100381 - 147487</t>
  </si>
  <si>
    <t>Glycérie déclinée, Glycérie dentée</t>
  </si>
  <si>
    <t>108721 - 112081 - 112079 - 103125 - 114213 - 115186 - 147469 - 98235 - 100387 - 107860 - 112077</t>
  </si>
  <si>
    <t>Glycérie flottante, Manne de Pologne</t>
  </si>
  <si>
    <t>147446 - 103150 - 100407 - 108723 - 100372 - 114115 - 135106 - 100883 - 103122 - 98068 - 147495 - 147447 - 114106 - 100375 - 147494 - 147448 - 100376 - 100394 - 147496 - 97907 - 135104</t>
  </si>
  <si>
    <t>Glycérie élevée, Grande glycérie, Glycérie aquatique, Glycérie très élevée</t>
  </si>
  <si>
    <t>147489 - 100410 - 147491 - 112082 - 147493 - 147476 - 135112 - 135110 - 100395 - 147488 - 147470 - 100398 - 135115 - 147474 - 135111 - 100400 - 147472</t>
  </si>
  <si>
    <t>Glycérie pliée</t>
  </si>
  <si>
    <t>100424 - 113072 - 100425 - 113066 - 95189 - 124010 - 124011 - 124009 - 87181 - 100422 - 87182 - 100421</t>
  </si>
  <si>
    <t>Soja, Soja élevé</t>
  </si>
  <si>
    <t>100439 - 135128 - 147519 - 135127 - 147518 - 98663 - 147522 - 100517 - 94472 - 100473 - 98664 - 100519 - 147520 - 100488 - 135126 - 101105 - 100502 - 100498 - 987556 - 100492 - 147521</t>
  </si>
  <si>
    <t>Gnaphale des fanges, Gnaphale des lieux humides, Gnaphale des marais, Cotonnière des marais</t>
  </si>
  <si>
    <t>773722 - 100551 - 773221 - 772158 - 95845 - 772829 - 112704 - 773220 - 771036 - 110369 - 120946 - 96475 - 160086 - 772159 - 100550 - 773219 - 619557 - 109508 - 100548</t>
  </si>
  <si>
    <t>Goodyère rampante</t>
  </si>
  <si>
    <t>25 - 39 - 90</t>
  </si>
  <si>
    <t>100576 - 100577</t>
  </si>
  <si>
    <t>Gratiole officinale, Herbe au pauvre homme</t>
  </si>
  <si>
    <t>150011 - 139187 - 139185 - 86843 - 150008 - 150010 - 150009 - 150012 - 115294 - 115312 - 115315 - 115249 - 139186 - 139188 - 115289 - 100584</t>
  </si>
  <si>
    <t>Groenlandie dense, Potamot dense, Groenlandie serrée</t>
  </si>
  <si>
    <t>100597 - 129069 - 116880 - 125947 - 101044 - 116879 - 128775 - 114921 - 100596</t>
  </si>
  <si>
    <t>Guizotie d'Abyssinie</t>
  </si>
  <si>
    <t>100598 - 100600</t>
  </si>
  <si>
    <t>Rhubarbe géante du Brésil, Gunnéra du Brésil</t>
  </si>
  <si>
    <t>1006011 - 95443</t>
  </si>
  <si>
    <t>120935 - 110831 - 619558 - 100619 - 135132 - 100615 - 130257 - 521631 - 110943 - 130230 - 153268 - 110998 - 100607 - 111070 - 972448 - 619559 - 100617 - 130395 - 100606 - 153266 - 135131</t>
  </si>
  <si>
    <t>Gymnadénie moucheron, Orchis moucheron, Orchis moustique</t>
  </si>
  <si>
    <t>100608 - 135133 - 619560 - 110841 - 153267 - 719337</t>
  </si>
  <si>
    <t>Gymnadénie à fleurs denses, Gymnadénie à épi dense, Orchis à fleurs denses</t>
  </si>
  <si>
    <t>120944 - 619561 - 110936 - 109651 - 100613 - 109644 - 993973</t>
  </si>
  <si>
    <t>Gymnadénie noire, Nigritelle noire, Orchis vanille</t>
  </si>
  <si>
    <t>138365 - 120945 - 110939 - 100618 - 100614 - 100610</t>
  </si>
  <si>
    <t>Gymnadénie très odorante, Orchis très odorant, Gymnadénie odorante, Orchis odorant</t>
  </si>
  <si>
    <t>100627 - 100628 - 100631 - 135134 - 100625</t>
  </si>
  <si>
    <t>Gymnadénie intermédiaire</t>
  </si>
  <si>
    <t>126273 - 149952 - 95564 - 976455 - 114955 - 115054 - 89214 - 84404 - 105116 - 114966 - 95573 - 114958 - 115010 - 93595 - 773346 - 114944 - 149951 - 114956 - 95588 - 100635 - 772098 - 109550 - 100636 - 773584 - 1002811 - 773755 - 113080 - 114998</t>
  </si>
  <si>
    <t>Gymnocarpium dryoptéride, Polypode du chêne, Dryoptéris de Linné, Lastrée du chêne, Dryoptéride de Linné, Gymnocarpium du chêne</t>
  </si>
  <si>
    <t>71</t>
  </si>
  <si>
    <t>138695 - 619566 - 159981 - 84437 - 89215 - 139150 - 113085 - 100639 - 148066 - 93596 - 115002 - 138694 - 95568 - 95580 - 100638 - 100637 - 95592 - 114940 - 113078 - 139149 - 100640 - 619565 - 114988 - 109562 - 126279 - 84396</t>
  </si>
  <si>
    <t>Gymnocarpium de Robert, Polypode du calcaire, Gymnocarpium du calcaire</t>
  </si>
  <si>
    <t>21 - 70 - 89</t>
  </si>
  <si>
    <t>1006492 - 1006493 - 1006490 - 1006491 - 1006489 - 727557</t>
  </si>
  <si>
    <t>100686 - 147533 - 100688 - 147532 - 120814 - 123615 - 619568 - 100683 - 100670 - 147531 - 135137 - 100675</t>
  </si>
  <si>
    <t>Gypsophile rampante</t>
  </si>
  <si>
    <t>128332 - 152321 - 991405 - 152318 - 100694 - 970170 - 128336 - 120829 - 152323 - 128329 - 970178 - 120827 - 128335 - 151190 - 128328 - 991444 - 142044 - 128333 - 142045 - 707232 - 106951 - 128331 - 970180 - 152322 - 120828 - 152320 - 120817 - 128334 - 128330 - 152319</t>
  </si>
  <si>
    <t>Vaccaire d'Espagne, Saponaire des vaches, Saponaire d'Espagne, Gypsophile vaccaire</t>
  </si>
  <si>
    <t>21 - 89</t>
  </si>
  <si>
    <t>Vaccaria hispanica</t>
  </si>
  <si>
    <t>1016329 - 100783 - 100787 - 100785 - 100794 - 147538 - 718853 - 613786 - 100789 - 135146 - 135149 - 1016331 - 153270 - 135147 - 981517 - 1016333</t>
  </si>
  <si>
    <t>Lierre grimpant, Herbe de saint Jean, Lierre commun</t>
  </si>
  <si>
    <t>135168 - 91636 - 100972 - 1002087 - 100896 - 135237</t>
  </si>
  <si>
    <t>Hélianthème des Apennins, Hélianthème blanc, Herbe à feuilles de Polium</t>
  </si>
  <si>
    <t>25 - 39 - 70</t>
  </si>
  <si>
    <t>126783 - 134373 - 1009081 - 141778</t>
  </si>
  <si>
    <t>Euphorbe de Tommasini</t>
  </si>
  <si>
    <t>135177 - 147562 - 100925 - 100906 - 135233 - 135245 - 100920 - 100929 - 135181 - 100954 - 161580 - 100919 - 135232 - 135247 - 100977 - 91665 - 91674 - 147616 - 135218 - 100987 - 117652 - 135211 - 100924 - 101012 - 619578 - 91696 - 135216 - 135219 - 100958 - 91666 - 135212 - 135220 - 135248 - 147563 - 135178 - 91737 - 147617 - 91652 - 153282 - 91725 - 100984 - 100956 - 100986 - 153281 - 147615 - 147614 - 91637 - 100928 - 619579 - 135184 - 135180 - 100895 - 91699 - 135176 - 100964 - 135231 - 147619 - 147592 - 100937 - 147613 - 147594 - 147618 - 153284 - 100998 - 135217 - 153283 - 135246 - 100889 - 91719 - 147612 - 135185 - 91669 - 135215 - 135213 - 147593 - 135214 - 135179 - 101003 - 100931 - 135235 - 100899 - 135186 - 135234</t>
  </si>
  <si>
    <t>Hélianthème nummulaire, Hélianthème jaune, Hélianthème commun</t>
  </si>
  <si>
    <t>101026 - 980156</t>
  </si>
  <si>
    <t>Hélianthème soufré</t>
  </si>
  <si>
    <t>633930 - 772409 - 101027 - 101034 - 101048 - 773545 - 101036 - 773546 - 773544 - 101028 - 135249 - 101038 - 101043 - 101030 - 771454 - 101050</t>
  </si>
  <si>
    <t>Tournesol, Soleil, Hélianthe annuel</t>
  </si>
  <si>
    <t>101046 - 101033 - 100752 - 101049 - 101041</t>
  </si>
  <si>
    <t>Hélianthe à fleurs peu nombreuses, Hélianthe raide, Soleil vivace</t>
  </si>
  <si>
    <t>619582 - 101052 - 101055 - 101035 - 101054</t>
  </si>
  <si>
    <t>Hélianthe tubéreux, Topinambour, Patate de Virginie</t>
  </si>
  <si>
    <t>101060 - 101051 - 101059 - 101061 - 101056</t>
  </si>
  <si>
    <t>Hélianthe à fleurs plaisantes, Hélianthe vivace, Soleil vivace</t>
  </si>
  <si>
    <t>135048 - 1010697</t>
  </si>
  <si>
    <t>Gentiane printanière</t>
  </si>
  <si>
    <t>101092 - 619584 - 100510 - 101084 - 101066 - 101090 - 100450 - 101103 - 101081 - 101067 - 101098 - 980221 - 101088 - 101076 - 101071 - 101072 - 101101 - 100452 - 101097 - 101086</t>
  </si>
  <si>
    <t>Hélichryse stoechade, Immortelle stoechade, Immortelle des dunes, Immortelle jaune</t>
  </si>
  <si>
    <t>97307 - 99934 - 97298 - 1011357 - 619058 - 89843 - 89849 - 99916 - 90888 - 89852 - 145377 - 1011340 - 99925 - 97288 - 1011193 - 134343 - 97284 - 146556 - 90887 - 1011346 - 161976 - 1011337 - 97309 - 97310 - 133042 - 146557 - 1011362 - 133044 - 102827 - 133043 - 1011341</t>
  </si>
  <si>
    <t>Érythrée élégante</t>
  </si>
  <si>
    <t>101144 - 619586 - 101140 - 101138 - 101149 - 101143 - 101142 - 135269 - 101157 - 101147 - 101139 - 1013967 - 101152</t>
  </si>
  <si>
    <t>Héliotrope d'Europe</t>
  </si>
  <si>
    <t>101187 - 101159 - 619587 - 101183 - 101188</t>
  </si>
  <si>
    <t>Ellébore fétide, Pied-de-griffon</t>
  </si>
  <si>
    <t>101189 - 101196</t>
  </si>
  <si>
    <t>Rose de Noël, Ellébore noir</t>
  </si>
  <si>
    <t>101191 - 101200 - 147629 - 147632 - 101199 - 147633 - 101160 - 135276 - 101197 - 101202 - 147630 - 101184 - 147631 - 135277</t>
  </si>
  <si>
    <t>Ellébore vert, Herbe de saint Antoine, Herbe à broche</t>
  </si>
  <si>
    <t>153286 - 101209 - 113469 - 135278 - 101210 - 101207 - 101206 - 101205 - 93038</t>
  </si>
  <si>
    <t>Picride fausse vipérine, Helminthothèque fausse vipérine, Picris fausse vipérine</t>
  </si>
  <si>
    <t>108460 - 122353 - 101220 - 123958 - 123781 - 123031 - 103131 - 135279 - 83197 - 101211</t>
  </si>
  <si>
    <t>Ache inondée, Céleri inondé, Hélosciadie inondée</t>
  </si>
  <si>
    <t>123957 - 151876 - 113583 - 160948 - 123978 - 108463 - 143688 - 621431 - 123970 - 101222 - 91194 - 160949 - 123955 - 83205 - 101212 - 126830 - 147634 - 619589 - 143689 - 122368 - 123782 - 105376 - 101221 - 123965 - 123040 - 719339 - 719310 - 123972 - 131511</t>
  </si>
  <si>
    <t>Ache nodiflore, Ache noueuse, Ache faux cresson, Ache à fleurs nodales</t>
  </si>
  <si>
    <t>90</t>
  </si>
  <si>
    <t>135280 - 122394 - 101223 - 131513 - 101213 - 104935 - 83215 - 131512 - 123971</t>
  </si>
  <si>
    <t>Ache rampante, Hélosciadie rampante</t>
  </si>
  <si>
    <t>101237 - 101235 - 637756 - 147635 - 101234</t>
  </si>
  <si>
    <t>Hémérocalle fauve, Lis rouge</t>
  </si>
  <si>
    <t>101239 - 101236 - 619590 - 101240</t>
  </si>
  <si>
    <t>Hémérocalle lys-asphodèle, Hémérocalle jaune</t>
  </si>
  <si>
    <t>143533 - 101253 - 82667 - 101254 - 618761 - 101252 - 82649 - 101251 - 82620 - 101255 - 147640</t>
  </si>
  <si>
    <t>Hépatique à trois lobes, Hépatique noble, Anémone hépatique</t>
  </si>
  <si>
    <t>25 - 39 - 70 - 71 - 90</t>
  </si>
  <si>
    <t>101260 - 101290 - 135296 - 135282 - 101282 - 101275 - 101262 - 124603 - 135292 - 135300</t>
  </si>
  <si>
    <t>Berce du Jura, Berce des Alpes</t>
  </si>
  <si>
    <t>101286 - 101271 - 101279</t>
  </si>
  <si>
    <t>Berce du Caucase, Berce de Mantegazzi</t>
  </si>
  <si>
    <t>619593 - 135305 - 112551 - 101283 - 101278 - 124606 - 135289 - 101267 - 984574 - 153287 - 101299 - 135290</t>
  </si>
  <si>
    <t>Berce de Sibérie, Berce de Lecoq, Grande berce de Lecoq</t>
  </si>
  <si>
    <t>135308 - 101301 - 101300</t>
  </si>
  <si>
    <t>Berce sphondyle, Patte d'ours, Berce commune, Grande Berce</t>
  </si>
  <si>
    <t>719087 - 101311 - 83448 - 120943 - 101313 - 96455 - 110486 - 101315 - 110430</t>
  </si>
  <si>
    <t>Herminium à un seul tubercule, Orchis musc, Herminium clandestin</t>
  </si>
  <si>
    <t>101424 - 112441 - 147654 - 135316 - 135315 - 147651 - 101411 - 101428 - 101399 - 101406 - 101410 - 101415 - 135326 - 101398 - 147655 - 101396 - 135314 - 147656</t>
  </si>
  <si>
    <t>Herniaire glabre, Herniole</t>
  </si>
  <si>
    <t>147658 - 147650 - 101412 - 135327 - 112442</t>
  </si>
  <si>
    <t>Herniaire hirsute, Herniaire velue, Herniaire hérissée</t>
  </si>
  <si>
    <t>101465 - 101460 - 135332 - 147664 - 619596 - 101469 - 101478 - 101434 - 101447 - 101487 - 83100 - 101464 - 135340 - 101450</t>
  </si>
  <si>
    <t>Julienne des dames, Giroflée des dames</t>
  </si>
  <si>
    <t>1015004 - 84495 - 1015003 - 1015002 - 143985 - 143979 - 143981 - 143978 - 618827 - 958540</t>
  </si>
  <si>
    <t>Doradille noire de Silésie, Doradille de Silésie, Doradille de la serpentine</t>
  </si>
  <si>
    <t>101536 - 104495 - 101540 - 104497 - 101544 - 101535 - 104496</t>
  </si>
  <si>
    <t>Ketmie de Syrie</t>
  </si>
  <si>
    <t>127604 - 101547 - 101546 - 104498 - 127605 - 101545 - 101533 - 101537</t>
  </si>
  <si>
    <t>Hibiscus d'Afrique, Ketmie d'Afrique, Fleur-d'une-heure</t>
  </si>
  <si>
    <t>136517 - 136544 - 154806 - 102584 - 102243 - 136540 - 154817 - 101587 - 136535 - 102088 - 136537</t>
  </si>
  <si>
    <t>Épervière acuminée</t>
  </si>
  <si>
    <t>133549 - 145783 - 93459 - 147550 - 100881 - 112997 - 113174 - 100882 - 1015901 - 100887 - 93462 - 129433 - 93464 - 93455 - 145782 - 93460 - 147551 - 112998 - 145786 - 93466 - 619185 - 93456 - 145784 - 100884 - 145785 - 792101</t>
  </si>
  <si>
    <t>Crypside faux vulpin, Crypsis faux vulpin, Fléole faux vulpin, Sporobole faux vulpin</t>
  </si>
  <si>
    <t>135364 - 101674 - 102562 - 101617 - 105577 - 616623 - 162510 - 101688 - 135358 - 102099 - 135365 - 968233 - 101637 - 89368 - 102187</t>
  </si>
  <si>
    <t>Épervière amplexicaule, Épervière à feuilles embrassantes</t>
  </si>
  <si>
    <t>136518 - 135907 - 101788 - 101633 - 135903</t>
  </si>
  <si>
    <t>Épervière proche</t>
  </si>
  <si>
    <t>136519 - 102410 - 102717 - 101627 - 101641 - 154807</t>
  </si>
  <si>
    <t>Épervière de l'argile, Épervière de Lachenal</t>
  </si>
  <si>
    <t>135397 - 135394 - 619608 - 102233 - 101632 - 101646 - 162512 - 136112 - 162514 - 102660 - 135541 - 135399 - 135395 - 135720</t>
  </si>
  <si>
    <t>Épervière fausse armérie, Épervière faux arméria</t>
  </si>
  <si>
    <t>136546 - 154808 - 101658 - 136520</t>
  </si>
  <si>
    <t>Épervière méprisée</t>
  </si>
  <si>
    <t>136339 - 101668</t>
  </si>
  <si>
    <t>Épervière dorée</t>
  </si>
  <si>
    <t>101737 - 136230 - 136233</t>
  </si>
  <si>
    <t>Épervière printanière, Épervière de printemps</t>
  </si>
  <si>
    <t>147691 - 135959 - 101757</t>
  </si>
  <si>
    <t>Épervière bleue, Épervière bleu-vert, Épervière glauque</t>
  </si>
  <si>
    <t>1017676 - 994506</t>
  </si>
  <si>
    <t>Utriculaire de la Brenne, Utriculaire à tiges grêles</t>
  </si>
  <si>
    <t>954107 - 1017934</t>
  </si>
  <si>
    <t>1017984 - 118972 - 119256 - 719138 - 119258</t>
  </si>
  <si>
    <t>Ronce noircissante, Ronce noirâtre, Ronce du Piémont, Ronce de Bellardi</t>
  </si>
  <si>
    <t>101811 - 136525 - 101806 - 154812</t>
  </si>
  <si>
    <t>Épervière à feuilles vertes</t>
  </si>
  <si>
    <t>136559 - 101823 - 136558 - 135976 - 102598 - 135727 - 101796 - 102638 - 136190 - 136192 - 789270 - 135884 - 136197 - 101993 - 102006 - 136005 - 135961 - 101888 - 135728 - 135972 - 136582</t>
  </si>
  <si>
    <t>Épervière cendrée, Épervière de Chabert</t>
  </si>
  <si>
    <t>611909 - 136377 - 136063 - 135917 - 101838 - 153307 - 135638 - 135914 - 135915 - 102648 - 102142 - 619663 - 102349 - 135908</t>
  </si>
  <si>
    <t>Épervière unie</t>
  </si>
  <si>
    <t>136340 - 101804 - 811239 - 101842 - 135833 - 136174</t>
  </si>
  <si>
    <t>Épervière gracieuse</t>
  </si>
  <si>
    <t>101844 - 136198 - 136191 - 102012 - 136194</t>
  </si>
  <si>
    <t>Épervière conjuguée</t>
  </si>
  <si>
    <t>135573 - 135426 - 135811 - 619654 - 101687 - 968245 - 136482 - 162527 - 101864 - 968248 - 135810 - 135575</t>
  </si>
  <si>
    <t>Épervière de Cottet</t>
  </si>
  <si>
    <t>162600 - 162529 - 101875 - 102486</t>
  </si>
  <si>
    <t>Épervière humble velue</t>
  </si>
  <si>
    <t>1018857 - 786615 - 4765 - 787203</t>
  </si>
  <si>
    <t>4767 - 4768 - 787268 - 1018858</t>
  </si>
  <si>
    <t>101901 - 162534</t>
  </si>
  <si>
    <t>Épervière fausse épervière diaphane</t>
  </si>
  <si>
    <t>162535 - 136529 - 135966 - 135911 - 136551 - 101912 - 102651 - 101669</t>
  </si>
  <si>
    <t>Épervière divisée</t>
  </si>
  <si>
    <t>102031 - 136342 - 135477 - 101921 - 101998 - 102442 - 153293 - 136345 - 135479</t>
  </si>
  <si>
    <t>Épervière buissonnante</t>
  </si>
  <si>
    <t>101960 - 135729 - 136193</t>
  </si>
  <si>
    <t>Épervière trompeuse</t>
  </si>
  <si>
    <t>136531 - 154816 - 101967</t>
  </si>
  <si>
    <t>Épervière hâtive</t>
  </si>
  <si>
    <t>135912 - 101968 - 135639</t>
  </si>
  <si>
    <t>Épervière</t>
  </si>
  <si>
    <t>102405 - 619659 - 619658 - 102574 - 135854 - 135832 - 135830 - 135848 - 135853 - 102485 - 102346 - 135837 - 136439 - 101621 - 135857 - 135829 - 135847 - 135844 - 101972 - 102592</t>
  </si>
  <si>
    <t>Épervière rigide, Épervière ferme</t>
  </si>
  <si>
    <t>101895 - 136328 - 135666 - 101975</t>
  </si>
  <si>
    <t>Épervière en fouet</t>
  </si>
  <si>
    <t>102383 - 136195 - 135971 - 135736 - 136220 - 136229 - 136202 - 101987 - 162585 - 136223 - 161373 - 161372 - 136203 - 136207 - 135988 - 135734 - 136216 - 102550 - 135730 - 102226 - 161371</t>
  </si>
  <si>
    <t>Épervière fragile, Épervière précoce</t>
  </si>
  <si>
    <t>102507 - 937981 - 719257 - 102609 - 136343 - 101991 - 611277 - 136356</t>
  </si>
  <si>
    <t>Épervière des buissons</t>
  </si>
  <si>
    <t>Épervière brun cendré</t>
  </si>
  <si>
    <t>102017 - 101837 - 136075 - 101860 - 136225 - 136200 - 789271 - 101726 - 136187 - 136226 - 102228 - 101973 - 136417 - 136380 - 101955 - 136553</t>
  </si>
  <si>
    <t>Épervière verdâtre, Épervière précoce, Épervière bleuâtre</t>
  </si>
  <si>
    <t>102091 - 162546 - 102092 - 102053 - 102024 - 135757 - 102055</t>
  </si>
  <si>
    <t>Épervière humble</t>
  </si>
  <si>
    <t>21</t>
  </si>
  <si>
    <t>102073 - 136330</t>
  </si>
  <si>
    <t>Épervière inhabituelle</t>
  </si>
  <si>
    <t>101928 - 136534 - 619650 - 136539 - 102084</t>
  </si>
  <si>
    <t>Épervière irriguée</t>
  </si>
  <si>
    <t>102106 - 619719 - 136538 - 719024</t>
  </si>
  <si>
    <t>Épervière de Lachenal</t>
  </si>
  <si>
    <t>102468 - 101847 - 135845 - 102193 - 102115 - 101866</t>
  </si>
  <si>
    <t>Épervière lisse</t>
  </si>
  <si>
    <t>102135 - 102654 - 102136 - 135779 - 136257 - 611916</t>
  </si>
  <si>
    <t>Épervière laurier</t>
  </si>
  <si>
    <t>102071 - 102190 - 102189</t>
  </si>
  <si>
    <t>Épervière maculée, épervière tachetée, Épervière tachée</t>
  </si>
  <si>
    <t>136232 - 135888 - 135423 - 101690 - 136566 - 102326 - 136208 - 135973 - 136572 - 136568 - 136228 - 135693 - 136189 - 136583 - 162000 - 811205 - 102516 - 102201 - 136567 - 136578 - 136557 - 135458 - 135969 - 136186 - 136224 - 136071 - 136188 - 162516 - 135726 - 136579 - 101808 - 102149 - 136206 - 101729</t>
  </si>
  <si>
    <t>Épervière moyenne, Épervière intermédiaire</t>
  </si>
  <si>
    <t>102235 - 102549 - 135960 - 136004 - 102557 - 619667 - 102710 - 101744 - 614583 - 135995 - 135996 - 102030 - 135918 - 102508 - 101954 - 162068 - 102548 - 135991 - 135975 - 136009 - 135994 - 135970 - 102231 - 102534 - 619666 - 135989 - 102623</t>
  </si>
  <si>
    <t>Épervière des murs</t>
  </si>
  <si>
    <t>135982 - 102244 - 153322</t>
  </si>
  <si>
    <t>611261 - 102438 - 136277 - 101694 - 102439 - 136281 - 136279 - 102272 - 102049 - 101590</t>
  </si>
  <si>
    <t>Épervière noble</t>
  </si>
  <si>
    <t>102273 - 136349 - 153294 - 135478 - 135878</t>
  </si>
  <si>
    <t>Épervière oblique</t>
  </si>
  <si>
    <t>135954 - 135999 - 102274 - 135974 - 101659 - 135981 - 153323 - 135956 - 611911 - 619668 - 135984 - 619669 - 113534 - 135983 - 135997</t>
  </si>
  <si>
    <t>Épervière oblongue</t>
  </si>
  <si>
    <t>153310 - 136003 - 136209 - 153301 - 102453 - 102294 - 136218 - 719020 - 135735</t>
  </si>
  <si>
    <t>Épervière à feuilles ovales</t>
  </si>
  <si>
    <t>135823 - 136547 - 102299 - 135825</t>
  </si>
  <si>
    <t>Épervière à feuilles pâles</t>
  </si>
  <si>
    <t>619664 - 101892 - 135925 - 154818 - 135633 - 154814 - 136528 - 136541 - 102314 - 136516 - 136533</t>
  </si>
  <si>
    <t>Épervière peu feuillée</t>
  </si>
  <si>
    <t>102321 - 154819 - 136542</t>
  </si>
  <si>
    <t>136213 - 102357 - 136227 - 135733 - 135691 - 162340 - 136212 - 102336</t>
  </si>
  <si>
    <t>Épervière pétiolée</t>
  </si>
  <si>
    <t>619670 - 102279 - 102278 - 968127 - 162577 - 136106 - 102345</t>
  </si>
  <si>
    <t>Épervière fausse picride, Épervière faux picris</t>
  </si>
  <si>
    <t>136290 - 102535 - 135753 - 154803 - 136282 - 102397 - 136457 - 102330 - 102169</t>
  </si>
  <si>
    <t>Épervière de Provence</t>
  </si>
  <si>
    <t>136436 - 102096 - 162550 - 135870 - 136435 - 102342 - 102426</t>
  </si>
  <si>
    <t>968386 - 101835 - 101805 - 136083 - 135891 - 147674 - 135380 - 135379 - 102489 - 101862 - 135564 - 135889 - 102480 - 102431 - 102152 - 135387 - 135386 - 101999 - 102481 - 162595</t>
  </si>
  <si>
    <t>Épervière fausse pulmonaire</t>
  </si>
  <si>
    <t>102639 - 162589 - 102445 - 159702</t>
  </si>
  <si>
    <t>Épervière en grappe</t>
  </si>
  <si>
    <t>135852 - 136353 - 102469 - 162594 - 135851</t>
  </si>
  <si>
    <t>Épervière rigide</t>
  </si>
  <si>
    <t>101558 - 101839 - 102069 - 101715 - 101643 - 102546 - 101897 - 101783 - 102605 - 101931 - 93090 - 102714 - 101574 - 101716 - 101723 - 101680 - 102467 - 102483</t>
  </si>
  <si>
    <t>Épervière de Savoie</t>
  </si>
  <si>
    <t>102515 - 102301 - 136085</t>
  </si>
  <si>
    <t>Épervière de Schmidt</t>
  </si>
  <si>
    <t>102519 - 135535 - 102411 - 135627 - 101978 - 162604 - 102351 - 102558 - 102686 - 619629 - 136498 - 102448 - 135769 - 135701 - 136586 - 135616 - 135490 - 136585 - 135533 - 102404 - 102619 - 136384 - 136382 - 135530 - 136385 - 102559 - 102658 - 135618 - 719014 - 102571 - 136383 - 135700</t>
  </si>
  <si>
    <t>Épervière à feuilles de scorzonère</t>
  </si>
  <si>
    <t>135449 - 135992 - 135987 - 135462 - 136001 - 102524</t>
  </si>
  <si>
    <t>102211 - 135388 - 102563</t>
  </si>
  <si>
    <t>Épervière des cavernes</t>
  </si>
  <si>
    <t>135574 - 968252 - 102570 - 101638 - 135572 - 147682 - 968251</t>
  </si>
  <si>
    <t>136293 - 135754 - 102593</t>
  </si>
  <si>
    <t>Épervière presque hirsute, Épervière presque hérissée</t>
  </si>
  <si>
    <t>135924 - 102348 - 153321 - 135913 - 102647 - 101657 - 102104 - 135906</t>
  </si>
  <si>
    <t>Épervière teinte, Épervière tachée</t>
  </si>
  <si>
    <t>102650 - 82564 - 102331 - 135868</t>
  </si>
  <si>
    <t>Épervière tomenteuse, Épervière laineuse</t>
  </si>
  <si>
    <t>136331 - 135856 - 135855 - 102666 - 136332 - 136360</t>
  </si>
  <si>
    <t>Épervière tridentée</t>
  </si>
  <si>
    <t>93150 - 772078 - 136452 - 102198 - 773446 - 102693 - 772419 - 619711 - 102672 - 101735 - 619712 - 772420 - 102539 - 772412 - 771462 - 102090 - 771455 - 987561 - 771458 - 772413 - 771456 - 771464 - 773547 - 771460 - 102421 - 771457 - 102487 - 619710 - 102545 - 771461 - 102225 - 160992 - 102110 - 101925 - 101580 - 772415 - 102712 - 772417 - 102102 - 102532 - 771465 - 101732 - 772418 - 987560 - 772421 - 102335 - 772411 - 102671 - 771459 - 102109 - 772416 - 136456 - 772414 - 773150 - 771463</t>
  </si>
  <si>
    <t>Épervière en ombelle, Épervière à fleurs en ombelle, Accipitrine</t>
  </si>
  <si>
    <t>102308 - 162622 - 102547 - 619713 - 136006 - 102674</t>
  </si>
  <si>
    <t>Épervière des lieux ombragés</t>
  </si>
  <si>
    <t>102678 - 102246 - 101622 - 136358 - 101873 - 136361 - 136351 - 102604</t>
  </si>
  <si>
    <t>Épervière inconstante</t>
  </si>
  <si>
    <t>102688 - 102418 - 101619 - 102685 - 101976 - 135877 - 135881</t>
  </si>
  <si>
    <t>Épervière de Gascogne, Épervière du Pays basque</t>
  </si>
  <si>
    <t>Épervière de printemps</t>
  </si>
  <si>
    <t>136495 - 136490 - 136496 - 136499 - 162627 - 136491 - 102368 - 101799 - 102318 - 102701 - 717239 - 136492 - 136500 - 102327 - 136502</t>
  </si>
  <si>
    <t>Épervière velue</t>
  </si>
  <si>
    <t>136379 - 102708 - 162339 - 101932 - 136362 - 135480 - 102174 - 136347 - 136352 - 136363 - 153297 - 102529 - 136357 - 102704 - 102466</t>
  </si>
  <si>
    <t>Épervière des broussailles</t>
  </si>
  <si>
    <t>102716 - 101629 - 619718 - 162631 - 136532</t>
  </si>
  <si>
    <t>Épervière commune, Épervière vulgaire</t>
  </si>
  <si>
    <t>126903 - 772138 - 102902 - 85326 - 102891 - 619600 - 114299 - 102791 - 762133 - 120960 - 126904 - 82921 - 102794 - 102795 - 120959 - 102793</t>
  </si>
  <si>
    <t>Hiérochloa odorant, Avoine odorante, Hiérochloée odorante, Herbe à la Vierge</t>
  </si>
  <si>
    <t>619601 - 120941 - 106623 - 154231 - 110879 - 102797 - 136640 - 148413 - 148412 - 619604 - 79820 - 619602 - 619603</t>
  </si>
  <si>
    <t>Himantoglosse bouc, Orchis bouc, Himantoglosse à odeur de bouc</t>
  </si>
  <si>
    <t>147695 - 147697 - 102842 - 136642 - 102849 - 147696 - 147694 - 153339 - 92516 - 102837 - 102855 - 102836 - 102854</t>
  </si>
  <si>
    <t>Hippocrépide chevelue, Hippocrépide fer-à-cheval, Fer-à-cheval, Hippocrépide à toupet, Hippocrépide en ombelle, Hippocrépis chevelu</t>
  </si>
  <si>
    <t>96061 - 102845 - 96060 - 92519 - 92531 - 92517</t>
  </si>
  <si>
    <t>Hippocrépide faux baguenaudier, Séné batard, Coronille faux séné, Hippocrépis faux baguenaudier</t>
  </si>
  <si>
    <t>70 - 90</t>
  </si>
  <si>
    <t>102863 - 117525 - 949251 - 102862 - 83718</t>
  </si>
  <si>
    <t>Argousier faux nerprun, Argousier, Saule épineux</t>
  </si>
  <si>
    <t>106025 - 619607 - 136649 - 102866 - 102868 - 102867 - 102870 - 619606 - 147699 - 616627</t>
  </si>
  <si>
    <t>Pesse commune, Pesse, Pesse d'eau, Hippuris commun</t>
  </si>
  <si>
    <t>86331 - 93365 - 123732 - 102875 - 136650 - 980300 - 125242 - 97067 - 980301 - 117333 - 107832 - 97066 - 102877 - 123737 - 123735 - 86373 - 86378 - 980304 - 97056 - 123736 - 125216 - 97054 - 117386 - 102876 - 123759 - 117337 - 123840 - 123747 - 102872</t>
  </si>
  <si>
    <t>Hirschfeldie blanchie, Roquette bâtarde, Moutarde blanche, Hirschfeldie blanche, Hirschfeldie grisâtre</t>
  </si>
  <si>
    <t>147716 - 147704 - 147714 - 147705 - 147706 - 100257 - 147708 - 136652 - 147718 - 147711 - 136651 - 147717 - 109709 - 147709 - 147710 - 102897 - 147715 - 100255 - 147713 - 85328 - 80891 - 102885 - 136653 - 102900 - 147703 - 85287 - 102887 - 147712 - 147707</t>
  </si>
  <si>
    <t>Houlque laineuse, Blanchard</t>
  </si>
  <si>
    <t>80881 - 136655 - 147732 - 147733 - 147731 - 147727 - 147724 - 147730 - 85306 - 147728 - 147725 - 102901 - 147723 - 147719 - 80900 - 147726 - 85382 - 147721 - 102895 - 147720 - 147722 - 102890 - 100256 - 147729 - 109710 - 619721</t>
  </si>
  <si>
    <t>Houlque molle, Avoine molle</t>
  </si>
  <si>
    <t>Houlque hybride</t>
  </si>
  <si>
    <t>90060 - 136657 - 102916 - 108474 - 83581 - 83675 - 90115 - 125043 - 102921 - 81797</t>
  </si>
  <si>
    <t>Holostée en ombelle</t>
  </si>
  <si>
    <t>25 - 39 - 70 - 90</t>
  </si>
  <si>
    <t>112779 - 128039 - 128056 - 102925</t>
  </si>
  <si>
    <t>Homogyne des Alpes</t>
  </si>
  <si>
    <t>111358 - 86503 - 81017 - 81018 - 108976 - 108975 - 125375 - 102930 - 619723 - 103078 - 111345</t>
  </si>
  <si>
    <t>Honorius penché, Ornithogale penché</t>
  </si>
  <si>
    <t>Ornithogalum nutans</t>
  </si>
  <si>
    <t>95997 - 93664 - 102972 - 98998 - 102948 - 147765 - 127815 - 102954 - 102934 - 102956 - 105747 - 102995 - 96001 - 95994 - 102952</t>
  </si>
  <si>
    <t>Orge des bois, Hordélyme d'Europe</t>
  </si>
  <si>
    <t>718236 - 136663 - 95996 - 93183 - 102964 - 93185 - 96006</t>
  </si>
  <si>
    <t>Orge à crinière, Orge barbue</t>
  </si>
  <si>
    <t>127772 - 102951 - 102945 - 102957 - 130633 - 102974 - 102940 - 93187 - 102973</t>
  </si>
  <si>
    <t>Orge sauvage, Orge queue-de-rat, Orge des rats</t>
  </si>
  <si>
    <t>161632 - 147760 - 147763 - 147755 - 147762 - 147764 - 162644 - 102991 - 147757 - 130634 - 102990 - 102980 - 102987 - 136675 - 147759 - 93188 - 98994 - 102971 - 147758 - 102977 - 147752</t>
  </si>
  <si>
    <t>Orge petit-seigle, Orge faux seigle</t>
  </si>
  <si>
    <t>25 - 90</t>
  </si>
  <si>
    <t>102999 - 98996 - 136678 - 127837 - 98991</t>
  </si>
  <si>
    <t>Orge commune, Escourgeon, Orge d'hiver, Orge à six rangs</t>
  </si>
  <si>
    <t>147770 - 105659 - 126377 - 147769 - 125832 - 87858 - 95346 - 126378 - 93366 - 103019 - 84952 - 103046 - 109390 - 105642 - 109426</t>
  </si>
  <si>
    <t>Hornungie des rochers, Hutchinsie des rochers, Hutchinsie des pierres</t>
  </si>
  <si>
    <t>25 - 39 - 71 - 89</t>
  </si>
  <si>
    <t>86472 - 82479 - 103027</t>
  </si>
  <si>
    <t>Hottonie des marais, Millefeuille aquatique</t>
  </si>
  <si>
    <t>103029 - 106804 - 103031 - 106805 - 106806 - 103033</t>
  </si>
  <si>
    <t>Houblon lupulin, Houblon, Vigne du Nord, Houblon grimpant</t>
  </si>
  <si>
    <t>772244 - 106997 - 773762 - 113794 - 772007 - 107020 - 773400 - 108634 - 113793 - 128258 - 107022 - 103034 - 122311 - 107009 - 107006</t>
  </si>
  <si>
    <t>Huperzie sélagine, Lycopode sélagine, Lycopode dressé</t>
  </si>
  <si>
    <t>96082 - 134098 - 140758 - 80402 - 136703 - 154919 - 121628 - 103058 - 121622 - 128304 - 96086 - 103055 - 96080 - 121632</t>
  </si>
  <si>
    <t>Fausse jacinthe d'Espagne, Jacinthe d'Espagne</t>
  </si>
  <si>
    <t>619726 - 121619 - 96084 - 103080 - 104813 - 121639 - 103064 - 96085 - 136705 - 153107 - 128306 - 121638 - 96081 - 80401 - 134097 - 103092 - 128305 - 103086 - 619727 - 103057</t>
  </si>
  <si>
    <t>Fausse jacinthe des bois, Endymion penché, Jacinthe des bois, Jacinthe sauvage, Scille penchée</t>
  </si>
  <si>
    <t>103087 - 103081 - 153343 - 103059 - 147776 - 147775 - 136706 - 147777 - 147774 - 121611</t>
  </si>
  <si>
    <t>Jacinthe d'Orient, Jacinthe, Muguet bleu</t>
  </si>
  <si>
    <t>103120 - 103118 - 103119 - 103117 - 103116 - 154920</t>
  </si>
  <si>
    <t>Hydrocharide morsure-des-grenouilles, Hydrocharide morène, Hydrocharis morsure-des-grenouilles, Hydrocharis morène, Morène, Petit nénuphar, Hydrocharide</t>
  </si>
  <si>
    <t>25 - 39 - 58 - 71 - 89</t>
  </si>
  <si>
    <t>103127 - 103139 - 103130 - 103128 - 103134 - 103126</t>
  </si>
  <si>
    <t>Hydrocotyle fausse renoncule, Hydrocotyle à feuilles de Renoncule</t>
  </si>
  <si>
    <t>103137 - 103142 - 103136 - 103138 - 136709</t>
  </si>
  <si>
    <t>Hydrocotyle commune, Écuelle d'eau, Herbe aux patagons</t>
  </si>
  <si>
    <t>21 - 39 - 70 - 90</t>
  </si>
  <si>
    <t>153971 - 103164 - 82278 - 122161 - 140899 - 140866 - 136710 - 122282 - 122139 - 103156 - 140892 - 153972 - 619728 - 140893</t>
  </si>
  <si>
    <t>Hylotéléphium  à feuilles de Fève, Orpin à feuilles de Fève</t>
  </si>
  <si>
    <t>82222 - 151419 - 122203 - 82230 - 151404 - 151412 - 151439 - 151413 - 82238 - 140894 - 82235 - 136711 - 619730 - 82220 - 82231 - 1005592 - 151403 - 151421 - 151420 - 122266 - 151416 - 82233 - 122176 - 151408 - 151437 - 1005594 - 82256 - 82223 - 151402 - 82275 - 151435 - 151424 - 82245 - 151389 - 122192 - 82236 - 82254 - 82264 - 151411 - 82228 - 82250 - 1005593 - 82247 - 82246 - 82272 - 103159 - 151427 - 82269</t>
  </si>
  <si>
    <t>Hylotéléphium élevé, Grand hylotéléphium, Grand orpin</t>
  </si>
  <si>
    <t>58 - 71</t>
  </si>
  <si>
    <t>1005469 - 82277 - 151425 - 151417 - 82276 - 619729 - 151422 - 151405 - 151407 - 1005483 - 140897 - 82267 - 82262 - 82252 - 82218 - 82257 - 82271 - 103163 - 151418 - 122121 - 82225 - 82226 - 151438 - 82229 - 122233 - 151426 - 140905 - 82258 - 151432 - 122232 - 122128 - 82244 - 82237 - 151410 - 122272 - 103162 - 82253 - 140896 - 140895 - 1009860 - 1005490 - 82255 - 82270 - 82243 - 151434 - 140898 - 122200 - 122267 - 151423 - 82221 - 82242 - 151430 - 140891 - 151433 - 151436 - 103161 - 82274 - 1009852 - 82241 - 1005479 - 122253 - 153973 - 82248 - 82259 - 1009861 - 1009864 - 619731 - 82265 - 82224 - 151429 - 82249 - 1009868 - 151406 - 619732 - 151428 - 122247 - 82251 - 151431 - 1009855 - 82227 - 1009854 - 1009851 - 82261 - 82234 - 151441 - 151415 - 151409 - 82239 - 151440 - 82260 - 1009866 - 151414 - 103157 - 82268</t>
  </si>
  <si>
    <t>Hylotéléphium téléphium, Orpin téléphium, Orpin reprise, Herbe à la coupure, Herbe de saint Jean</t>
  </si>
  <si>
    <t>153344 - 103184 - 103178 - 103182 - 136719 - 136718 - 103183 - 103191 - 969424 - 147782</t>
  </si>
  <si>
    <t>Jusquiame blanche</t>
  </si>
  <si>
    <t>103187 - 136720 - 103177 - 103193 - 103180 - 103190 - 147785 - 103181 - 153345 - 103194 - 147783 - 103186 - 103189 - 147784 - 136721 - 103188 - 103176 - 103179 - 147786 - 103192 - 103185</t>
  </si>
  <si>
    <t>Jusquiame noire, Herbe à la teigne</t>
  </si>
  <si>
    <t>103245 - 103248 - 82554 - 82556 - 103247 - 103279</t>
  </si>
  <si>
    <t>Millepertuis androsème, Androsème officinale, Toute-bonne</t>
  </si>
  <si>
    <t>39 - 89</t>
  </si>
  <si>
    <t>96649 - 84255 - 109701 - 1014104 - 109702 - 82551 - 84254 - 103254 - 1014099 - 103284</t>
  </si>
  <si>
    <t>Millepertuis calycinal, Millepertuis à calice, Millepertuis à grandes fleurs</t>
  </si>
  <si>
    <t>136764 - 136746 - 980529 - 103267 - 136733</t>
  </si>
  <si>
    <t>Millepertuis de Des Étangs</t>
  </si>
  <si>
    <t>127606 - 160993 - 103272 - 103313 - 95984</t>
  </si>
  <si>
    <t>Millepertuis des marais</t>
  </si>
  <si>
    <t>82553 - 103286</t>
  </si>
  <si>
    <t>Millepertuis bouc, Androsème fétide, Millepertuis à odeur de bouc</t>
  </si>
  <si>
    <t>147796 - 103238 - 103287 - 80176 - 103335</t>
  </si>
  <si>
    <t>Millepertuis hirsute, Millepertuis velu, Millepertuis hérissé</t>
  </si>
  <si>
    <t>136743 - 147797 - 147800 - 103294 - 103264 - 103296 - 147802 - 147799 - 103275 - 147801 - 103288 - 153346</t>
  </si>
  <si>
    <t>Millepertuis couché, Petit millepertuis</t>
  </si>
  <si>
    <t>103292 - 1014153 - 136742 - 136741 - 136745</t>
  </si>
  <si>
    <t>Millepertuis à feuilles de linaire, Millepertuis à feuilles de saule, Millepertuis à feuilles linéaires</t>
  </si>
  <si>
    <t>103298 - 136767 - 1014125 - 159984 - 103322</t>
  </si>
  <si>
    <t>Millepertuis maculé, Millepertuis à quatre angles, Millepertuis tacheté</t>
  </si>
  <si>
    <t>21 - 58 - 71 - 89</t>
  </si>
  <si>
    <t>103251 - 103252 - 103299 - 985188 - 154400</t>
  </si>
  <si>
    <t>Millepertuis élevé, Grand millepertuis</t>
  </si>
  <si>
    <t>103258 - 103271 - 103239 - 80177 - 147804 - 103301</t>
  </si>
  <si>
    <t>Millepertuis des montagnes</t>
  </si>
  <si>
    <t>103315 - 103303 - 103256 - 103285 - 103266 - 147791</t>
  </si>
  <si>
    <t>Millepertuis perfolié, Millepertuis cilié</t>
  </si>
  <si>
    <t>103336 - 103318 - 1014106 - 103337 - 103311 - 103316 - 103312</t>
  </si>
  <si>
    <t>Millepertuis perforé, Herbe de la Saint-Jean</t>
  </si>
  <si>
    <t>147810 - 103320 - 103240 - 80179</t>
  </si>
  <si>
    <t>Millepertuis élégant, Millepertuis joli</t>
  </si>
  <si>
    <t>Millepertuis de Richer</t>
  </si>
  <si>
    <t>103304 - 103243 - 136769 - 136734 - 103241 - 103321 - 147811 - 103329</t>
  </si>
  <si>
    <t>Millepertuis à quatre ailes, Millepertuis à quatre angles</t>
  </si>
  <si>
    <t>103361 - 611084 - 103378 - 103211 - 136781 - 147817 - 103364 - 103380 - 103197 - 103384 - 103370 - 103353 - 105495 - 103209 - 103374 - 103379 - 93725 - 147816 - 103367 - 136782 - 162457</t>
  </si>
  <si>
    <t>Porcelle glabre, Porcelle des sables</t>
  </si>
  <si>
    <t>21 - 70 - 71</t>
  </si>
  <si>
    <t>103359 - 103382 - 103369 - 79983 - 127882 - 115184</t>
  </si>
  <si>
    <t>Porcelle maculée, Porcelle à feuilles tachées, Porcelle tachetée</t>
  </si>
  <si>
    <t>136786 - 105485 - 122896 - 962850 - 103371 - 103375 - 103362 - 103368 - 446973 - 115185 - 136784 - 103357 - 136785 - 79988 - 147821 - 79985 - 103377 - 147818 - 147820 - 136787 - 147819 - 85588 - 103373</t>
  </si>
  <si>
    <t>Porcelle enracinée, Salade-de-porc</t>
  </si>
  <si>
    <t>153351 - 136788 - 103410 - 103406 - 136793 - 126531 - 147824 - 103402 - 103403 - 136792 - 147823 - 103398 - 103399 - 103409 - 136794 - 103408 - 153349 - 103400 - 147825 - 153350 - 136791 - 962851 - 103411 - 103407 - 147822 - 153348 - 103404 - 136790 - 103405 - 103401 - 136789</t>
  </si>
  <si>
    <t>Hysope officinale, Hysope, Herbe sacrée</t>
  </si>
  <si>
    <t>147830 - 103417 - 153355 - 153352 - 103476 - 93367 - 85931 - 615205 - 615065 - 147826 - 103435 - 103432 - 103419 - 103468 - 147831 - 103425 - 85925 - 153356 - 153354 - 103462 - 153358 - 136795 - 103489 - 103490 - 103415 - 103477 - 153353 - 147829 - 136798 - 136825 - 147828 - 147827 - 147833 - 103484 - 85929 - 136799 - 136797 - 103441 - 103466 - 136796 - 103424 - 126328 - 103459 - 103447 - 153359 - 103414 - 103438</t>
  </si>
  <si>
    <t>Ibéride amère, Ibéris amer</t>
  </si>
  <si>
    <t>136833 - 136818 - 103456 - 136817</t>
  </si>
  <si>
    <t>Ibéride intermédiaire, Ibéris intermédiaire</t>
  </si>
  <si>
    <t>103486 - 619747 - 103464 - 103461</t>
  </si>
  <si>
    <t>Ibéride à feuilles de lin, Ibéris à feuilles de lin, Ibéris de Prost</t>
  </si>
  <si>
    <t>103478 - 85930 - 93394 - 153367 - 147832 - 103485 - 136800 - 103472 - 153357 - 126379 - 147839</t>
  </si>
  <si>
    <t>Ibéride pennée, Ibéris penné, Ibéris à feuilles pennatifides</t>
  </si>
  <si>
    <t>Iberis pinnata</t>
  </si>
  <si>
    <t>147840 - 85932 - 147842 - 147841 - 136831 - 103503 - 103510 - 103492 - 103449</t>
  </si>
  <si>
    <t>Ibéride des rochers, Ibéris des rochers, Ibéris saxatile</t>
  </si>
  <si>
    <t>103440 - 103455 - 93413 - 103446 - 103493</t>
  </si>
  <si>
    <t>Ibéride toujours fleurie, Ibéris toujours fleuri</t>
  </si>
  <si>
    <t>103494 - 136830 - 103495 - 103448 - 136832 - 103418 - 85933 - 80345</t>
  </si>
  <si>
    <t>Ibéride toujours verte, Ibéris toujours vert, Thlaspi de Candie</t>
  </si>
  <si>
    <t>103454 - 153372 - 103437 - 103502 - 619749 - 93432 - 160017 - 103482 - 153373 - 126404 - 103416</t>
  </si>
  <si>
    <t>Ibéride en ombelle, Ibéris en ombelle, Tabouret en ombelle</t>
  </si>
  <si>
    <t>83237 - 147843 - 153375 - 103516 - 619751 - 103515 - 103518 - 83236 - 83238 - 103517 - 147845 - 103514 - 153374 - 619750 - 147844</t>
  </si>
  <si>
    <t>Houx commun, Houx</t>
  </si>
  <si>
    <t>92568 - 85780 - 112460 - 103536</t>
  </si>
  <si>
    <t>Illécèbre verticillé</t>
  </si>
  <si>
    <t>103549 - 103543 - 103552</t>
  </si>
  <si>
    <t>Impatiente de Balfour, Balsamine de Balfour, Balsamine des jardins</t>
  </si>
  <si>
    <t>103546 - 85509 - 103551 - 85508 - 103544 - 103545 - 103554</t>
  </si>
  <si>
    <t>Impatiente du Cap, Balsamine du Cap, Balsamine orange</t>
  </si>
  <si>
    <t>85512 - 103547 - 103548 - 103559</t>
  </si>
  <si>
    <t>Impatiente glanduleuse, Balsamine de l'Himalaya, Balsamine géante, Balsamine rouge</t>
  </si>
  <si>
    <t>103550 - 103556 - 103553 - 85510 - 103558 - 103555 - 85511</t>
  </si>
  <si>
    <t>Impatiente ne-me-touchez-pas, Impatiente N'y-touchez-pas, Balsamine des bois</t>
  </si>
  <si>
    <t>71 - 89</t>
  </si>
  <si>
    <t>Impatiente à petites fleurs, Balsamine à petites fleurs</t>
  </si>
  <si>
    <t>112872 - 82722 - 149307 - 613535 - 619753 - 153615 - 619754 - 122351 - 111836 - 103570 - 82725 - 82702 - 160101 - 112857 - 103578 - 149308 - 103575 - 613534 - 103571</t>
  </si>
  <si>
    <t>Impératoire ostruthium, Impératoire, Benjoin</t>
  </si>
  <si>
    <t>100861 - 103634 - 103598 - 100872 - 103654 - 136844 - 92378 - 103607 - 84638 - 84687 - 103617 - 103616 - 103641 - 103637</t>
  </si>
  <si>
    <t>Inule de Grande-Bretagne, Inule britannique, Inule des fleuves, Inule des fleuves, Inule d'Angleterre</t>
  </si>
  <si>
    <t>103623 - 100866 - 92576 - 84662 - 84686 - 103627 - 103591 - 100875 - 136848</t>
  </si>
  <si>
    <t>Inule aunée, Grande aunée, Inule hélénie</t>
  </si>
  <si>
    <t>100879 - 103625 - 103628 - 84728 - 103655 - 103604 - 103647 - 103605</t>
  </si>
  <si>
    <t>Inule de Suisse, Inule de Vaillant</t>
  </si>
  <si>
    <t>100869 - 103630 - 128139 - 116395 - 103993 - 84664 - 103631 - 147846 - 103619 - 103632 - 103638 - 147847</t>
  </si>
  <si>
    <t>Inule hérissée</t>
  </si>
  <si>
    <t>116389 - 103595 - 103639 - 100874 - 84682 - 103593 - 103600 - 103656</t>
  </si>
  <si>
    <t>Inule des montagnes</t>
  </si>
  <si>
    <t>39 - 70 - 71 - 89</t>
  </si>
  <si>
    <t>84702 - 136850 - 987567 - 103635 - 103997 - 92395 - 128140 - 103648 - 116400 - 987570 - 84705 - 103644 - 100878 - 987566 - 103629</t>
  </si>
  <si>
    <t>Inule saulière, Inule à feuilles de saule</t>
  </si>
  <si>
    <t>84640 - 136852 - 103651 - 103599 - 84695 - 103652 - 84715</t>
  </si>
  <si>
    <t>Inule à feuilles de spirée, Inule squarreuse</t>
  </si>
  <si>
    <t>130570 - 130545 - 103734 - 103732 - 103733 - 789080 - 124481</t>
  </si>
  <si>
    <t>Iris fétide, Iris gigot, Iris puant, Glaïeul puant</t>
  </si>
  <si>
    <t>103794 - 103757 - 103796 - 162660 - 103742 - 103707 - 103721 - 103723 - 103753 - 103737 - 103756 - 103724</t>
  </si>
  <si>
    <t>Iris d'Allemagne, Flambe, Iris des jardins</t>
  </si>
  <si>
    <t>103727 - 147853 - 136858 - 153376 - 103749 - 103744 - 136856 - 103770 - 103774 - 103795 - 154921 - 103784 - 103761 - 103716 - 162370 - 147850</t>
  </si>
  <si>
    <t>Iris jaunissant, Iris jaunâtre, Iris nain</t>
  </si>
  <si>
    <t>103748 - 103708 - 103772 - 103699 - 147854 - 136859 - 106017 - 789082 - 103766 - 130572 - 147855 - 130551 - 103767 - 136860 - 116203 - 103722 - 103700</t>
  </si>
  <si>
    <t>Iris faux acore, Iris jaune, Flambe d'eau, Iris des marais</t>
  </si>
  <si>
    <t>86011 - 103771 - 103762 - 130573 - 789083 - 130549 - 103704 - 103752 - 103705 - 103785 - 130552 - 130569 - 103711 - 130550 - 103730 - 103758 - 130544 - 103777</t>
  </si>
  <si>
    <t>Iris de Sibérie, Iris bleu des marais</t>
  </si>
  <si>
    <t>147860 - 103807 - 619759 - 160244 - 153378 - 136866 - 136869 - 103816 - 103811 - 103814 - 153379 - 103810 - 136867 - 147862 - 103804 - 103806 - 103817 - 983116 - 103813 - 103812 - 619758 - 93371 - 103808 - 147861 - 160543 - 153380 - 136868 - 103809</t>
  </si>
  <si>
    <t>Pastel des teinturiers, Herbe de saint Philippe, Guède</t>
  </si>
  <si>
    <t>147863 - 147865 - 771710 - 103834 - 87328 - 136872 - 147864 - 103843 - 87327 - 147866 - 103844 - 103847 - 771711</t>
  </si>
  <si>
    <t>Isoète des lacs</t>
  </si>
  <si>
    <t>95944 - 85477 - 95948 - 121788 - 708429 - 121671 - 708430 - 91839 - 710376 - 93932 - 121714 - 103862 - 95902</t>
  </si>
  <si>
    <t>Isolépide flottante, Éléogiton flottant, Scirpe flottant, Isolépis flottant</t>
  </si>
  <si>
    <t>94016 - 121785 - 103866 - 107376 - 619761 - 121700 - 103898 - 90387</t>
  </si>
  <si>
    <t>Isolépide sétacée, Scirpe sétacé, Isolépis sétacé</t>
  </si>
  <si>
    <t>103917 - 103915 - 98762 - 103916 - 110025 - 126060 - 101201</t>
  </si>
  <si>
    <t>Isopyre faux pigamon</t>
  </si>
  <si>
    <t>21 - 25 - 39 - 71</t>
  </si>
  <si>
    <t>93694 - 97852 - 103924</t>
  </si>
  <si>
    <t>Ive à feuilles de Lampourde</t>
  </si>
  <si>
    <t>122731 - 122550 - 151479 - 151480 - 122539 - 122538 - 103985 - 80210</t>
  </si>
  <si>
    <t>Jacobée à feuilles d'adonis, Séneçon à feuilles d'adonis</t>
  </si>
  <si>
    <t>154550 - 122703 - 122692 - 122597 - 151510 - 122591 - 140961 - 103987 - 159497 - 612501 - 122628 - 159831</t>
  </si>
  <si>
    <t>Jacobée aquatique, Séneçon aquatique</t>
  </si>
  <si>
    <t>122727 - 619763 - 122561 - 140947 - 619762 - 122555 - 122728 - 140964 - 151494 - 122701 - 151497 - 122572 - 103991 - 140966 - 140945 - 151496 - 140946 - 122548 - 103996 - 122743 - 151492 - 151493 - 122596</t>
  </si>
  <si>
    <t>Jacobée à feuilles de roquette, Séneçon à feuilles de roquette</t>
  </si>
  <si>
    <t>122710 - 122553 - 122668 - 122629 - 122698 - 95205 - 103995 - 91250 - 151514 - 91224 - 122560 - 151505 - 122680 - 122733 - 122678 - 122729 - 122704 - 151515</t>
  </si>
  <si>
    <t>Jacobée des marais, Séneçon des marais</t>
  </si>
  <si>
    <t>104024 - 111858 - 104023 - 811052 - 619765 - 811140 - 104018 - 997396 - 136886</t>
  </si>
  <si>
    <t>Jasione lisse, Jasione pérenne, Jasione vivace</t>
  </si>
  <si>
    <t>619766 - 104022 - 147875 - 147873 - 104011 - 104013 - 111856 - 104016 - 147872 - 104025 - 153389 - 104015 - 147874 - 147877 - 136887 - 104026 - 136888 - 136889</t>
  </si>
  <si>
    <t>Jasione des montagnes, Herbe à midi</t>
  </si>
  <si>
    <t>39</t>
  </si>
  <si>
    <t>104043 - 104035 - 104038 - 104036</t>
  </si>
  <si>
    <t>Jasmin arbustif, Jasmin ligneux, Jasmin jaune, Jasmin d'été</t>
  </si>
  <si>
    <t>104032 - 104045 - 104044 - 104041 - 104033</t>
  </si>
  <si>
    <t>Jasmin officinal</t>
  </si>
  <si>
    <t>104074 - 130069</t>
  </si>
  <si>
    <t>Noyer noir, Noyer d'Amérique, Noyer noir d'Amérique</t>
  </si>
  <si>
    <t>147882 - 147885 - 147881 - 104076 - 104072 - 147884</t>
  </si>
  <si>
    <t>Noyer royal, Noyer, Noyer anglais, Noyer commun</t>
  </si>
  <si>
    <t>104101 - 104251 - 104275 - 104167 - 147925 - 153397 - 104327 - 104348 - 104272 - 104120 - 104316 - 619767 - 113310 - 104142</t>
  </si>
  <si>
    <t>Jonc à fleurs aiguës, Jonc à tépales aigus, Jonc acutiflore</t>
  </si>
  <si>
    <t>104113 - 104111</t>
  </si>
  <si>
    <t>Jonc des Alpes</t>
  </si>
  <si>
    <t>104115 - 104131 - 619771 - 147895 - 104129 - 113312</t>
  </si>
  <si>
    <t>Jonc à feuilles aplaties, Jonc à deux faces, Jonc aplati, Jonc à deux tranchants</t>
  </si>
  <si>
    <t>104105 - 104219 - 104298 - 104228 - 104125 - 104276 - 147913 - 136915 - 104309 - 104335 - 113314 - 147915 - 104236 - 147914 - 104190 - 104289 - 619772 - 104126 - 773131 - 773132 - 104229 - 104227 - 127687 - 104286 - 104119 - 104364 - 104206</t>
  </si>
  <si>
    <t>Jonc articulé, Jonc à fruits luisants, Jonc à fruits brillants</t>
  </si>
  <si>
    <t>987582 - 634270 - 771380 - 136921 - 104256 - 104144 - 125869 - 634274 - 153391 - 104224 - 104255 - 104169 - 136925 - 147900 - 104157 - 634271 - 634273 - 634266</t>
  </si>
  <si>
    <t>Jonc des crapauds</t>
  </si>
  <si>
    <t>104145 - 104211 - 136954 - 104373 - 125870</t>
  </si>
  <si>
    <t>Jonc bulbeux, Jonc couché</t>
  </si>
  <si>
    <t>21 - 25</t>
  </si>
  <si>
    <t>121578 - 104148 - 121569 - 104203 - 104358 - 104265 - 104254 - 789085 - 104180 - 104352 - 104086 - 121749</t>
  </si>
  <si>
    <t>Jonc en tête, Jonc à inflorescence globuleuse, Jonc capité, Jonc à têtes</t>
  </si>
  <si>
    <t>104324 - 104290 - 104207 - 104250 - 104141 - 104155</t>
  </si>
  <si>
    <t>Jonc comprimé, Jonc à tiges comprimées</t>
  </si>
  <si>
    <t>147907 - 153392 - 771253 - 147908 - 136929 - 773223 - 136930 - 104248 - 932188 - 104342 - 104160 - 104232 - 773725 - 136934 - 127686 - 104201 - 136935</t>
  </si>
  <si>
    <t>Jonc aggloméré</t>
  </si>
  <si>
    <t>136936 - 773723 - 773140 - 772753 - 708433 - 147905 - 773272 - 773138 - 772755 - 104231 - 136932 - 634263 - 147910 - 104303 - 772108 - 147906 - 773137 - 773726 - 634267 - 136931 - 104173 - 104186 - 619773 - 104154 - 773222 - 772752 - 773273 - 634265 - 773139 - 772160 - 773612 - 708434 - 153393 - 147911 - 773136 - 104284 - 773724 - 772757 - 104202 - 772756</t>
  </si>
  <si>
    <t>Jonc épars</t>
  </si>
  <si>
    <t>104361 - 104139 - 104162 - 104357 - 104183</t>
  </si>
  <si>
    <t>Jonc filiforme</t>
  </si>
  <si>
    <t>773253 - 772759 - 104153 - 773252 - 104146 - 773728 - 104191 - 104174 - 104132 - 773248 - 104187 - 773247 - 773250 - 104138 - 136933 - 136938 - 773249 - 104278 - 772179 - 773251 - 772758 - 125871 - 104196 - 619774 - 771715 - 104161</t>
  </si>
  <si>
    <t>Jonc de Gérard</t>
  </si>
  <si>
    <t>147896 - 136922 - 136924 - 136920 - 104266 - 147901 - 104181 - 104114 - 104215 - 136948 - 104212</t>
  </si>
  <si>
    <t>Jonc hybride, Jonc des grenouilles</t>
  </si>
  <si>
    <t>153394 - 104288 - 104200 - 147912 - 104237 - 104116 - 104287 - 104214 - 104175 - 104166 - 136941 - 104164 - 104350 - 136944 - 104140 - 104375 - 136939 - 136943 - 136940 - 104351 - 104103 - 104165 - 136949 - 104199</t>
  </si>
  <si>
    <t>Jonc glauque, Jonc courbé</t>
  </si>
  <si>
    <t>104267 - 104302 - 147917 - 147918 - 104087 - 104135 - 104253</t>
  </si>
  <si>
    <t>Jonc pygmée, Jonc nain</t>
  </si>
  <si>
    <t>125874 - 104099 - 147928 - 136958 - 136959 - 104329</t>
  </si>
  <si>
    <t>Jonc à fruits ronds, Jonc à fruits globuleux</t>
  </si>
  <si>
    <t>136952 - 104334 - 104333 - 104338 - 125875</t>
  </si>
  <si>
    <t>Jonc squarreux, Jonc rude, Jonc raide, Brossière</t>
  </si>
  <si>
    <t>21 - 39 - 70 - 71 - 89 - 90</t>
  </si>
  <si>
    <t>104280 - 104269 - 104282 - 104340 - 104121 - 104311 - 113315 - 104168 - 104158 - 104283 - 104136 - 104177 - 104347 - 136918</t>
  </si>
  <si>
    <t>Jonc à fleurs obtuses, Jonc à tépales obtus</t>
  </si>
  <si>
    <t>58 - 89</t>
  </si>
  <si>
    <t>147927 - 147926 - 104349 - 104370 - 147929 - 125876</t>
  </si>
  <si>
    <t>Jonc des vasières, Jonc des marécages, Jonc des marais, Jonc des vases</t>
  </si>
  <si>
    <t>634272 - 104197 - 104353 - 104124 - 147931 - 104323 - 104291 - 104233 - 104204 - 104318 - 136960 - 772178 - 634268 - 104198 - 634269 - 773729 - 773135 - 104244 - 772767 - 104369 - 772765 - 772764 - 772766 - 104238 - 104258 - 634264 - 104152</t>
  </si>
  <si>
    <t>Jonc ténu, Jonc grêle, Jonc fin</t>
  </si>
  <si>
    <t>104382 - 136942 - 104379</t>
  </si>
  <si>
    <t>Jonc diffus</t>
  </si>
  <si>
    <t>Genévrier commun, Genièvre, Peteron</t>
  </si>
  <si>
    <t>983883 - 147944 - 119736 - 104413 - 147946 - 147945 - 147943 - 119735</t>
  </si>
  <si>
    <t>Genevrier sabine, sabine, Genévrier fétide</t>
  </si>
  <si>
    <t>104394 - 104422 - 104399</t>
  </si>
  <si>
    <t>Genévrier de Virginie, Cèdre de Virginie</t>
  </si>
  <si>
    <t>81877 - 104487 - 153400 - 104485 - 81939 - 136992 - 619786 - 104484 - 108953 - 81924 - 93373 - 145641 - 109434 - 92059 - 153401 - 104488 - 92039 - 87584 - 100549 - 104482</t>
  </si>
  <si>
    <t>Kernérie des rochers, Kernéra des rochers</t>
  </si>
  <si>
    <t>119164 - 92428 - 104493</t>
  </si>
  <si>
    <t>Kerrie du Japon, Spirée du japon</t>
  </si>
  <si>
    <t>106162 - 95883 - 106176 - 104501 - 162446 - 987947</t>
  </si>
  <si>
    <t>Kickxie variable, Linaire de Grèce, Kickxie de Grèce, Linaire grecque, Linaire changée</t>
  </si>
  <si>
    <t>106214 - 93756 - 104502 - 83022 - 106168 - 83035 - 95884 - 95857</t>
  </si>
  <si>
    <t>Kickxie élatine, Velvote, Linaire élatine</t>
  </si>
  <si>
    <t>143663 - 148225 - 104505 - 104506 - 148227 - 106218 - 95886 - 106151 - 136997 - 106225 - 83050 - 619787 - 148226 - 95869 - 106223 - 83083 - 95875 - 136998 - 93764</t>
  </si>
  <si>
    <t>Kickxie bâtarde, Fausse velvote, Linaire bâtarde</t>
  </si>
  <si>
    <t>137000 - 104536 - 121353 - 104547 - 104542 - 983963 - 104516 - 82759 - 121377 - 121314 - 127133 - 121387 - 613537 - 137007 - 137006 - 125306 - 104555</t>
  </si>
  <si>
    <t>Knautie des champs, Oreille-d'âne</t>
  </si>
  <si>
    <t>104565 - 104538 - 104517 - 811085 - 147960 - 136999 - 718705 - 127134 - 104529 - 619788</t>
  </si>
  <si>
    <t>Knautie d'Auvergne</t>
  </si>
  <si>
    <t>121370 - 137012 - 147967 - 137013 - 137008 - 127140 - 137009 - 147952 - 147963 - 137002 - 121340 - 104528 - 147965 - 104533 - 104545 - 147964 - 104553 - 104559 - 104526 - 104557 - 147968 - 104552 - 984002 - 137011</t>
  </si>
  <si>
    <t>Knautie à feuilles de cardère, Grande knautie, Knautie élevée</t>
  </si>
  <si>
    <t>21 - 71</t>
  </si>
  <si>
    <t>137003 - 104543 - 137004 - 104532</t>
  </si>
  <si>
    <t>Knautie de Godet</t>
  </si>
  <si>
    <t>121355 - 104534 - 104561 - 121320 - 137014 - 121358 - 613538 - 104535 - 121415 - 140730 - 104537</t>
  </si>
  <si>
    <t>Knautie à feuilles entières</t>
  </si>
  <si>
    <t>Knautie de Koehler</t>
  </si>
  <si>
    <t>127143 - 104572 - 104564 - 147966 - 104570</t>
  </si>
  <si>
    <t>Knautie à feuilles de sureau</t>
  </si>
  <si>
    <t>104661 - 155004 - 86315 - 155009 - 104616 - 104625 - 155005 - 80895 - 80863 - 154428 - 154416 - 945966 - 147983 - 154417 - 104624 - 154621 - 137029 - 154409 - 154429 - 104644 - 154427 - 104600 - 104668 - 104657 - 80940 - 159716 - 104631 - 154423</t>
  </si>
  <si>
    <t>Koelérie à grandes fleurs, Koélérie grêle, Koelérie à grosses fleurs</t>
  </si>
  <si>
    <t>154425 - 104633 - 154413 - 104627 - 148000 - 619790 - 154424 - 104623 - 154412 - 104638 - 104646 - 159714 - 154414 - 104651 - 155007 - 137034 - 104640 - 154421 - 154426 - 114348 - 154411 - 619791 - 154404 - 154410 - 104618 - 104665</t>
  </si>
  <si>
    <t>Koelérie pyramidale</t>
  </si>
  <si>
    <t>104671 - 137043 - 619798 - 148017 - 86316 - 148015 - 114319 - 80927 - 104679 - 104639 - 80943 - 123088 - 137042 - 104680 - 104672 - 619797 - 137037 - 137036 - 98552 - 114422 - 104659 - 104675</t>
  </si>
  <si>
    <t>Koelérie du Valais</t>
  </si>
  <si>
    <t>145882 - 94096 - 148023 - 104715 - 94097 - 133641</t>
  </si>
  <si>
    <t>Aubour des Alpes, Cytise des Alpes</t>
  </si>
  <si>
    <t>619799 - 94149 - 94151 - 104716 - 137049 - 104721 - 99772 - 137048 - 94128 - 104718</t>
  </si>
  <si>
    <t>Aubour faux ébénier, Aubour, Cytise faux ébénier, Cytise aubour, Faux ébénier</t>
  </si>
  <si>
    <t>124227 - 124269 - 124274 - 124229 - 124235 - 80380 - 101753 - 124258 - 124236 - 108852 - 91144 - 83454 - 124228 - 104734 - 124263 - 80379</t>
  </si>
  <si>
    <t>Laitue des Alpes, Cicerbite des Alpes, Mulgédie des Alpes</t>
  </si>
  <si>
    <t>99248 - 108854 - 104760 - 108853 - 124255 - 91143 - 108855 - 108851 - 91146 - 91145 - 80381 - 91147</t>
  </si>
  <si>
    <t>Laitue à grandes feuilles, Mulgédie à grandes feuilles, Laitue à grosses feuilles, Cicerbite à grosses feuilles</t>
  </si>
  <si>
    <t>104764 - 137051 - 93665 - 104776 - 148024 - 104746</t>
  </si>
  <si>
    <t>Laitue vivace, Bézègue</t>
  </si>
  <si>
    <t>104743 - 104783 - 104769 - 104770 - 104788 - 90946 - 984009 - 148026 - 104777</t>
  </si>
  <si>
    <t>Laitue à feuilles de saule</t>
  </si>
  <si>
    <t>21 - 71 - 89</t>
  </si>
  <si>
    <t>104753 - 137059 - 104771 - 104748</t>
  </si>
  <si>
    <t>Laitue cultivée, Salade</t>
  </si>
  <si>
    <t>104765 - 104773 - 104779 - 104757 - 148029 - 104775 - 984012 - 104780 - 104749 - 613794 - 104782 - 931554 - 137058 - 104762 - 613793 - 104772 - 104751 - 104738 - 104784 - 984013 - 104763 - 104750 - 160925</t>
  </si>
  <si>
    <t>Laitue scariole, Escarole, Laitue sauvage</t>
  </si>
  <si>
    <t>115816 - 104747 - 90964 - 137050 - 112922 - 90968 - 121460 - 112919 - 112924 - 104786</t>
  </si>
  <si>
    <t>Laitue effilée, laitue des vignes, Laitue osier</t>
  </si>
  <si>
    <t>104733 - 104736 - 137060 - 153409 - 104758 - 148030 - 104787 - 104754 - 101653 - 104756 - 130088 - 984010 - 148031 - 148034</t>
  </si>
  <si>
    <t>Laitue vireuse, Laitue sauvage</t>
  </si>
  <si>
    <t>39 - 70</t>
  </si>
  <si>
    <t>95981 - 104805 - 154430</t>
  </si>
  <si>
    <t>Lagarosiphon majeur</t>
  </si>
  <si>
    <t>148036 - 104838 - 104837 - 104839 - 104836 - 104841 - 104840 - 148035 - 148038</t>
  </si>
  <si>
    <t>Lagure ovale, Lagure queue-de-lièvre, Gros-minet, Queue-de-lièvre</t>
  </si>
  <si>
    <t>104868 - 104861 - 104860 - 104854 - 619801 - 104901</t>
  </si>
  <si>
    <t>Lamier blanc, Ortie blanche, Ortie morte</t>
  </si>
  <si>
    <t>104855 - 104899 - 137068 - 114490 - 99264 - 104851 - 104908 - 104907 - 104904 - 104885 - 104850 - 772786</t>
  </si>
  <si>
    <t>Lamier embrassant</t>
  </si>
  <si>
    <t>88044 - 99267 - 104848 - 105551 - 88042 - 104887 - 99294 - 99269 - 161980 - 114491 - 104876 - 104911 - 99270 - 114493</t>
  </si>
  <si>
    <t>Lamier jaune, Lamier galéobdolon, Ortie jaune</t>
  </si>
  <si>
    <t>137084 - 104880 - 619808 - 104879 - 104867 - 619809 - 619807 - 137082</t>
  </si>
  <si>
    <t>Lamier hybride</t>
  </si>
  <si>
    <t>104894 - 104914 - 619810 - 104913 - 153412 - 104866 - 104906 - 104905 - 104889 - 153413 - 104853 - 104898 - 104893 - 104884 - 104875 - 153411 - 104890 - 148039</t>
  </si>
  <si>
    <t>Lamier maculé, Lamier à feuilles panachées</t>
  </si>
  <si>
    <t>104897 - 104873 - 104862 - 104869 - 104852 - 772787 - 104874 - 104903 - 137069 - 104895</t>
  </si>
  <si>
    <t>Lamier pourpre, Ortie rouge</t>
  </si>
  <si>
    <t>137095 - 146313 - 93823 - 160149 - 109100 - 109039 - 105006 - 134014 - 93833 - 95729 - 105001 - 95732 - 105010 - 105003 - 95728 - 105004 - 117869 - 146314 - 93827 - 146315 - 968102 - 95725</t>
  </si>
  <si>
    <t>Bardanette squarreuse, Bardanette faux myosotis</t>
  </si>
  <si>
    <t>105017 - 161041 - 104843</t>
  </si>
  <si>
    <t>Lampsane commune, Lastron marron, Herbe aux mamelles</t>
  </si>
  <si>
    <t>113670 - 105042 - 79338 - 113672 - 112836 - 105043</t>
  </si>
  <si>
    <t>Mélèze d'Europe, Pin de Briançon, Mélèze décidu</t>
  </si>
  <si>
    <t>105044 - 79336 - 105045 - 79339 - 105046</t>
  </si>
  <si>
    <t>Mélèze du Japon</t>
  </si>
  <si>
    <t>105049 - 105050 - 105048 - 105047</t>
  </si>
  <si>
    <t>Mélèze de Marschlins, Mélèze de Dunkeld</t>
  </si>
  <si>
    <t>105094 - 82739 - 123692 - 82704 - 105057 - 105055 - 123697 - 105060</t>
  </si>
  <si>
    <t>Laser trilobé, Laser à feuilles à trois lobes</t>
  </si>
  <si>
    <t>105093 - 104724 - 148045 - 148046 - 105059 - 105068 - 148048 - 105083 - 123693 - 105071 - 105070</t>
  </si>
  <si>
    <t>Laserpitium de France, Laser de Gaule, Laser de France, Laser odorant</t>
  </si>
  <si>
    <t>148053 - 105064 - 105073 - 104725 - 105095 - 105077 - 105088 - 105076 - 105087 - 105066 - 105067</t>
  </si>
  <si>
    <t>Laserpitium à feuilles larges, Laserpitium à larges feuilles, Laser à feuilles larges, Laser blanc</t>
  </si>
  <si>
    <t>122350 - 104728 - 105086 - 105089 - 148056</t>
  </si>
  <si>
    <t>Laserpitium de Prusse, Laser de Prusse</t>
  </si>
  <si>
    <t>104726 - 137108 - 105079 - 123696 - 105092 - 148057 - 123695</t>
  </si>
  <si>
    <t>Laserpitium siler, Laser siler, Sermontain</t>
  </si>
  <si>
    <t>148068 - 105145 - 91825 - 91827</t>
  </si>
  <si>
    <t>Lathrée clandestine</t>
  </si>
  <si>
    <t>91828 - 124732 - 91826 - 105144 - 105148 - 82364 - 105147</t>
  </si>
  <si>
    <t>Lathrée écailleuse, Clandestine écailleuse</t>
  </si>
  <si>
    <t>105200 - 111715 - 105159 - 105216</t>
  </si>
  <si>
    <t>Gesse anguleuse, Gesse à graines anguleuses</t>
  </si>
  <si>
    <t>105258 - 148071 - 105163 - 148069 - 105246 - 83157 - 129170 - 105249 - 105190 - 105150 - 105191 - 105162 - 148070 - 111718 - 153415 - 148072</t>
  </si>
  <si>
    <t>Gesse aphylle, Gesse sans feuilles</t>
  </si>
  <si>
    <t>137115 - 105186 - 153416 - 108012 - 105168 - 111726 - 137116 - 105229</t>
  </si>
  <si>
    <t>Gesse de Bauhin, Gesse à feuilles en lame d'épée</t>
  </si>
  <si>
    <t>105149 - 105175 - 148074 - 91157 - 91155 - 113777 - 148075 - 105188 - 105253 - 105184</t>
  </si>
  <si>
    <t>Gesse pois-chiche, Gessette, Jarosse</t>
  </si>
  <si>
    <t>148080 - 148107 - 137152 - 113766 - 105199 - 148079</t>
  </si>
  <si>
    <t>Gesse hétérophylle, Gesse à feuilles différentes</t>
  </si>
  <si>
    <t>105201 - 105278 - 105109 - 113767 - 938683</t>
  </si>
  <si>
    <t>Gesse hérissée, Gesse hirsute</t>
  </si>
  <si>
    <t>25 - 58</t>
  </si>
  <si>
    <t>137153 - 105251 - 137154 - 963934 - 105228 - 105209 - 105211 - 105196 - 105153 - 984420 - 105171 - 113769 - 105222</t>
  </si>
  <si>
    <t>Gesse à feuilles larges, Gesse à larges feuilles, Pois vivace</t>
  </si>
  <si>
    <t>137125 - 137131 - 149123 - 111745 - 111725 - 111747 - 137130 - 111756 - 105214 - 113772 - 148088 - 137124 - 105219 - 111737 - 137132 - 105226 - 149125 - 148090 - 111724 - 111748 - 613082 - 160007 - 148089 - 149124 - 111714 - 613130 - 153420 - 111758 - 111732 - 108016</t>
  </si>
  <si>
    <t>Gesse à feuilles de Lin</t>
  </si>
  <si>
    <t>113774 - 111739 - 105230</t>
  </si>
  <si>
    <t>Gesse noire, Orobe noir</t>
  </si>
  <si>
    <t>Gesse de Nissole, Gesse graminée, Gesse sans vrilles</t>
  </si>
  <si>
    <t>21 - 25 - 58 - 70 - 90</t>
  </si>
  <si>
    <t>105236 - 91916 - 105270 - 109791 - 109790 - 109789 - 113775 - 111741 - 113763 - 105182</t>
  </si>
  <si>
    <t>Gesse ochre, Moret d'Espagne</t>
  </si>
  <si>
    <t>105183 - 105237</t>
  </si>
  <si>
    <t>Gesse odorante, Pois fleur, Pois de senteur</t>
  </si>
  <si>
    <t>148097 - 111742 - 772728 - 105281 - 772726 - 772727 - 113776 - 105265 - 772270 - 772269 - 105239</t>
  </si>
  <si>
    <t>Gesse des marais</t>
  </si>
  <si>
    <t>105152 - 161877 - 137143 - 111445 - 105241 - 111743</t>
  </si>
  <si>
    <t>Gesse de Pannonie</t>
  </si>
  <si>
    <t>111746 - 105198 - 105217 - 137146 - 613542 - 137145 - 148099 - 613132 - 148098 - 105259 - 148100 - 105247 - 137144 - 137147</t>
  </si>
  <si>
    <t>Gesse des prés</t>
  </si>
  <si>
    <t>91158 - 91154 - 105155 - 105158 - 113768 - 91156 - 105256 - 137111 - 91153 - 105264</t>
  </si>
  <si>
    <t>Gesse cultivée, Pois carré, Lentille d'Espagne</t>
  </si>
  <si>
    <t>148104 - 148105 - 105193 - 105283 - 111723 - 105157 - 105179 - 111754 - 105261</t>
  </si>
  <si>
    <t>Gesse sphérique, Gesse à fruits ronds, Gesse à graines rondes, Gesse à graines sphériques</t>
  </si>
  <si>
    <t>148106 - 137155 - 137156 - 153422 - 105205 - 137149 - 105254 - 105266 - 137157 - 105170 - 105245 - 105233 - 105160</t>
  </si>
  <si>
    <t>Gesse sylvestre, Gesse des bois, Grande gesse</t>
  </si>
  <si>
    <t>619818 - 105273</t>
  </si>
  <si>
    <t>Gesse tubéreuse, Macusson, Sanard, Gland-de-terre</t>
  </si>
  <si>
    <t>111761 - 111731 - 137160 - 137158 - 619820 - 113783 - 137159 - 956975 - 111730 - 105280 - 138485 - 619819 - 111717 - 153423 - 108017</t>
  </si>
  <si>
    <t>Gesse printanière, Orobe printanier</t>
  </si>
  <si>
    <t>70 - 71</t>
  </si>
  <si>
    <t>105296 - 105295</t>
  </si>
  <si>
    <t>Laurier noble, Laurier-sauce</t>
  </si>
  <si>
    <t>105306 - 105303 - 148114 - 105319 - 148113 - 148110 - 148111 - 105307 - 105322 - 105317 - 105313 - 105297</t>
  </si>
  <si>
    <t>Lavande à feuilles étroites, Lavande officinale, Lavande vraie</t>
  </si>
  <si>
    <t>25 - 39</t>
  </si>
  <si>
    <t>84613 - 84615 - 105399 - 148117 - 105401 - 111791 - 789087 - 105400 - 148116 - 619821 - 148118 - 149126 - 102924 - 111789 - 149127 - 95825 - 113013</t>
  </si>
  <si>
    <t>Leersie faux riz</t>
  </si>
  <si>
    <t>115960 - 124487 - 105407 - 105404 - 87662 - 124486 - 997407 - 115962 - 112671</t>
  </si>
  <si>
    <t>Légousie hybride, Petite spéculaire, Spéculaire hybride, Miroir-de-Vénus hybride</t>
  </si>
  <si>
    <t>Legousia hybrida</t>
  </si>
  <si>
    <t>1016654 - 1016653 - 112672 - 159851 - 105405 - 115964 - 87702 - 87730 - 124489 - 105402 - 115963 - 105410</t>
  </si>
  <si>
    <t>Légousie miroir-de-Vénus, Miroir-de-Vénus, Spéculaire miroir-de-Vénus</t>
  </si>
  <si>
    <t>Legousia speculum-veneris</t>
  </si>
  <si>
    <t>125866 - 105427 - 105462 - 105461 - 105425 - 125865 - 105469</t>
  </si>
  <si>
    <t>Lentille d'eau gibbeuse, Lenticule gibbeuse, Lentille d'eau bossue, Canillée</t>
  </si>
  <si>
    <t>105470 - 105463 - 105464 - 103144 - 105431 - 105468</t>
  </si>
  <si>
    <t>Lentille d'eau mineure, Petite lenticule, Petite lentille d'eau</t>
  </si>
  <si>
    <t>639293 - 619823 - 105432 - 637796 - 639291 - 637797 - 105443 - 105433</t>
  </si>
  <si>
    <t>Lentille d'eau menue, Lenticule minuscule, Lentille d'eau minuscule</t>
  </si>
  <si>
    <t>105439 - 103145 - 105467 - 124951 - 105466 - 105428 - 105426 - 105441</t>
  </si>
  <si>
    <t>Lentille d'eau à trois lobes, Lenticule à trois lobes, Lentille d'eau à trois sillons</t>
  </si>
  <si>
    <t>102065 - 100806 - 968280 - 105515 - 83116 - 148126 - 113476 - 137184 - 129878 - 968278 - 105502 - 83109 - 137199</t>
  </si>
  <si>
    <t>Liondent hispide, Liondent variable</t>
  </si>
  <si>
    <t>126437 - 619833 - 984413 - 619834 - 105521 - 984412</t>
  </si>
  <si>
    <t>Liondent des rochers, Liondent faux pissenlit, Thrincie, Liondent à tige nue</t>
  </si>
  <si>
    <t>21 - 58</t>
  </si>
  <si>
    <t>137213 - 105549 - 105546 - 148132 - 105547 - 88043 - 88045 - 105554 - 105548 - 148133 - 105558 - 105559 - 88046 - 105557 - 105550</t>
  </si>
  <si>
    <t>Agripaume cardiaque, Queue-de-lion</t>
  </si>
  <si>
    <t>148140 - 126412 - 148139 - 103429 - 126341 - 161562 - 105623 - 771524 - 105613 - 148135 - 105607 - 105601 - 148137 - 105608 - 105686 - 93378 - 105568 - 105569 - 105570 - 105571 - 148138 - 148136 - 148134 - 161561 - 126356 - 105593</t>
  </si>
  <si>
    <t>Passerage champêtre, Passerage des champs</t>
  </si>
  <si>
    <t>137220 - 105649 - 105612 - 93322 - 105672 - 105654 - 612506 - 105638 - 105648</t>
  </si>
  <si>
    <t>Passerage à fleurs denses, Passerage à fleurs serrées, Passerage densiflore</t>
  </si>
  <si>
    <t>93414 - 105598 - 92551 - 92550 - 122532 - 92553 - 92554 - 122533 - 92046 - 86014 - 93395 - 109389 - 87888 - 105605 - 614962 - 105599 - 122536 - 122531 - 105666 - 105615</t>
  </si>
  <si>
    <t>Passerage didyme, Sénebière didyme, Corne-de-cerf didyme</t>
  </si>
  <si>
    <t>105621 - 109407 - 88012 - 105620 - 95353 - 88011 - 161566 - 93343 - 92040 - 105603 - 145087 - 88047 - 132578 - 109406 - 105644 - 105669</t>
  </si>
  <si>
    <t>Passerage drave , Pain-blanc</t>
  </si>
  <si>
    <t>105622 - 137221 - 105662 - 105591 - 109414 - 105652 - 105688 - 93361 - 105683 - 148143 - 109382 - 105628 - 105639 - 105592 - 137222 - 148144 - 137223 - 105636 - 103452 - 105624 - 105653 - 126351 - 148141 - 109409 - 148142 - 105678 - 105635</t>
  </si>
  <si>
    <t>Passerage à feuilles de graminée</t>
  </si>
  <si>
    <t>161565 - 148146 - 137219 - 126352 - 148145 - 161564 - 161563 - 109410 - 614190 - 148147 - 126353 - 93377 - 105609 - 105640 - 105602 - 105679 - 137216 - 105630</t>
  </si>
  <si>
    <t>Passerage hétérophylle</t>
  </si>
  <si>
    <t>105631 - 109411 - 137217 - 105572 - 126355</t>
  </si>
  <si>
    <t>Passerage hérissée</t>
  </si>
  <si>
    <t>105641 - 105573 - 109384 - 105594 - 105677 - 93376 - 88013 - 105616 - 109416 - 137227</t>
  </si>
  <si>
    <t>Passerage à feuilles larges, Grande passerage, Passerage à larges feuilles</t>
  </si>
  <si>
    <t>105658 - 93352</t>
  </si>
  <si>
    <t>Passerage perfoliée</t>
  </si>
  <si>
    <t>109432 - 126403 - 105660 - 105682 - 105634 - 105671 - 109385 - 105627 - 126392 - 103488 - 154847 - 105610 - 105667 - 93409 - 105600 - 148149 - 122528 - 109388 - 105597 - 109387</t>
  </si>
  <si>
    <t>Passerage rudérale, Passerage des décombres</t>
  </si>
  <si>
    <t>109433 - 93388 - 148151 - 105575 - 83302 - 126395 - 105656 - 126369 - 88010 - 105673 - 109404 - 137228 - 148150 - 126418</t>
  </si>
  <si>
    <t>Passerage cultivée, Cresson alénois</t>
  </si>
  <si>
    <t>122410 - 109415 - 109405 - 126409 - 105663 - 95004 - 109386 - 105646 - 93435 - 103507 - 95005 - 105614 - 105685 - 126380 - 105661 - 109440 - 105689 - 109418 - 93797 - 105650 - 105637</t>
  </si>
  <si>
    <t>Passerage de Virginie</t>
  </si>
  <si>
    <t>105795 - 137248 - 137261</t>
  </si>
  <si>
    <t>Marguerite d'Irkutsk</t>
  </si>
  <si>
    <t>91057 - 112948 - 811178 - 115102 - 105799 - 152079 - 107461 - 145518 - 137263 - 133273</t>
  </si>
  <si>
    <t>Marguerite élevée, Grande marguerite</t>
  </si>
  <si>
    <t>148175 - 154518 - 145514 - 771468 - 619848 - 125463 - 115107 - 148186 - 115100 - 105774 - 137245 - 91067 - 137244 - 154433 - 105791 - 91084 - 91055 - 105817 - 619849 - 137267 - 619850 - 90464 - 107457 - 91041 - 137270 - 148190 - 116507 - 619847 - 811221 - 145520 - 105812 - 619853 - 91053 - 145507 - 619852</t>
  </si>
  <si>
    <t>Marguerite commune</t>
  </si>
  <si>
    <t>105829 - 137271 - 114508 - 105827 - 109661 - 109663</t>
  </si>
  <si>
    <t>Nivéole d'été</t>
  </si>
  <si>
    <t>96833 - 105840 - 109662 - 105841 - 109664 - 148193</t>
  </si>
  <si>
    <t>Nivéole de printemps, Nivéole printanière</t>
  </si>
  <si>
    <t>105857 - 105933 - 105940 - 102865 - 82717 - 105858 - 82727</t>
  </si>
  <si>
    <t>Livèche officinale, Céleri perpétuel, Ache des montagnes</t>
  </si>
  <si>
    <t>105906 - 122537 - 105908 - 91228 - 151483 - 105905 - 105909 - 122564 - 122652 - 111848 - 91251 - 122565 - 102932 - 122719</t>
  </si>
  <si>
    <t>Ligulaire de Sibérie, Séneçon de Sibérie</t>
  </si>
  <si>
    <t>Troène luisant</t>
  </si>
  <si>
    <t>105961 - 105958 - 105963</t>
  </si>
  <si>
    <t>Troène à feuilles ovales, Troène des haies, Troène du Japon</t>
  </si>
  <si>
    <t>105962 - 110005 - 105959 - 148198 - 619854 - 137280 - 105966</t>
  </si>
  <si>
    <t>Troène commun, Troène, Raisin de chien</t>
  </si>
  <si>
    <t>148201 - 105980 - 105990</t>
  </si>
  <si>
    <t>Lis candide, Lis blanc</t>
  </si>
  <si>
    <t>107411 - 107412 - 137283 - 105981 - 105984 - 105989 - 105999 - 105998</t>
  </si>
  <si>
    <t>Lis martagon, Lis de Catherine</t>
  </si>
  <si>
    <t>70 - 71 - 90</t>
  </si>
  <si>
    <t>105755 - 104059 - 106026 - 159985 - 110787 - 89894</t>
  </si>
  <si>
    <t>Limodore avorté, Limodore sans feuille, Limodore à feuilles avortées</t>
  </si>
  <si>
    <t>25 - 39 - 58 - 70 - 71 - 90</t>
  </si>
  <si>
    <t>113796 - 106130 - 106132 - 106127 - 106128 - 148209 - 987685 - 94409</t>
  </si>
  <si>
    <t>Limoselle aquatique</t>
  </si>
  <si>
    <t>137322 - 137323 - 137321 - 106153 - 137319 - 153432 - 148211 - 106203 - 148212 - 83014 - 106144 - 148213 - 148214</t>
  </si>
  <si>
    <t>Linaire des Alpes</t>
  </si>
  <si>
    <t>106157 - 106150 - 83017</t>
  </si>
  <si>
    <t>Linaire des champs</t>
  </si>
  <si>
    <t>83043 - 148216 - 83092 - 83071 - 106201 - 106160</t>
  </si>
  <si>
    <t>Linaire de Pélissier</t>
  </si>
  <si>
    <t>83076 - 106190 - 106224 - 148222 - 106207 - 160915 - 83062 - 148218 - 148223 - 148229 - 148221 - 83018 - 148217 - 148219 - 148228 - 83039 - 148220 - 106213 - 148231 - 83084 - 106194 - 106167</t>
  </si>
  <si>
    <t>Linaire rampante</t>
  </si>
  <si>
    <t>106219 - 137327 - 106220 - 83070 - 83081</t>
  </si>
  <si>
    <t>Linaire simple</t>
  </si>
  <si>
    <t>148234 - 148232 - 83087 - 106195 - 946639 - 106170 - 106210 - 137342 - 619865 - 83025 - 148233 - 83086 - 83034 - 106228 - 106145 - 106226 - 161947</t>
  </si>
  <si>
    <t>Linaire couchée</t>
  </si>
  <si>
    <t>137349 - 106140 - 161546 - 148237 - 106234 - 106211 - 106181 - 83057 - 83056 - 83041 - 106147 - 106209 - 83065 - 83030</t>
  </si>
  <si>
    <t>Linaire commune</t>
  </si>
  <si>
    <t>137350 - 148241 - 148240 - 137352 - 106244 - 106238 - 106249 - 137339 - 148230 - 106247 - 148242 - 148239 - 106242 - 106235 - 137351</t>
  </si>
  <si>
    <t>Linaire des haies</t>
  </si>
  <si>
    <t>106251 - 671587 - 128509 - 611065 - 137355 - 137353 - 106256 - 851751 - 851750 - 103541 - 1014990 - 718710 - 137354 - 87816 - 106252 - 106254 - 851749 - 100575 - 103542 - 621351 - 103538 - 148243 - 103539 - 106259 - 103540 - 1014991</t>
  </si>
  <si>
    <t>Lindernie douteuse, Lindernie fausse gratiole, Fausse gratiole</t>
  </si>
  <si>
    <t>161978 - 851805 - 851800 - 106253 - 106257 - 106258 - 851803 - 851806 - 82349 - 128508 - 851802</t>
  </si>
  <si>
    <t>Lindernie couchée, Lindernie des marais, Lindernie rampante</t>
  </si>
  <si>
    <t>106303 - 137359 - 137374 - 80174 - 137377 - 1014936 - 137356 - 106304 - 1014924 - 80168 - 106275 - 106336 - 148244 - 106274 - 106323 - 161739 - 80172 - 153435 - 106316 - 148245 - 148246</t>
  </si>
  <si>
    <t>Lin des Alpes, Lin saxicole, Lin d'Ockendon</t>
  </si>
  <si>
    <t>137364 - 137378 - 137367 - 137358 - 106348 - 106280 - 619868 - 148248</t>
  </si>
  <si>
    <t>Lin d'Autriche</t>
  </si>
  <si>
    <t>106288 - 89354 - 89356 - 161742</t>
  </si>
  <si>
    <t>Lin purgatif</t>
  </si>
  <si>
    <t>137373 - 137366 - 106327 - 162111 - 984824 - 137357 - 148251 - 137360 - 106306 - 161740 - 80170</t>
  </si>
  <si>
    <t>Lin de Léon, Lin d'Angleterre</t>
  </si>
  <si>
    <t>108566 - 116869 - 106330 - 116870 - 116872 - 106314 - 106262 - 161743 - 106295 - 106319 - 116871 - 116868</t>
  </si>
  <si>
    <t>Radiole faux lin, Radiole, Faux lin, Petit lin</t>
  </si>
  <si>
    <t>106346 - 89358 - 137369 - 106289 - 105842</t>
  </si>
  <si>
    <t>Lin à feuilles ténues, Lin à feuilles menues, Lin à petites feuilles</t>
  </si>
  <si>
    <t>161734 - 109725 - 106328 - 106279 - 91112 - 106296 - 106347</t>
  </si>
  <si>
    <t>Lin à trois stigmates, Lin de France</t>
  </si>
  <si>
    <t>106349 - 106350 - 137363</t>
  </si>
  <si>
    <t>Lin cultivé, Lin, Lin commun</t>
  </si>
  <si>
    <t>105744 - 160005 - 125239 - 116207 - 110419 - 122811 - 112055 - 106353 - 107172 - 110422 - 110456</t>
  </si>
  <si>
    <t>Liparis de Loesel</t>
  </si>
  <si>
    <t>Liparis loeselii</t>
  </si>
  <si>
    <t>106361 - 106359 - 106360</t>
  </si>
  <si>
    <t>Copalme d'Amérique, Styrax d'Amérique, Liquidambar</t>
  </si>
  <si>
    <t>127972 - 106365 - 148259 - 106364 - 1015226 - 148258</t>
  </si>
  <si>
    <t>Tulipier de Virginie</t>
  </si>
  <si>
    <t>106396 - 107359</t>
  </si>
  <si>
    <t>Grémil officinal, Herbe aux perles</t>
  </si>
  <si>
    <t>106419 - 106414 - 106418 - 113986 - 106413 - 106415 - 106412 - 106417 - 106416 - 106411</t>
  </si>
  <si>
    <t>Littorelle à une fleur, Littorelle des étangs, Littorelle des lacs</t>
  </si>
  <si>
    <t>117410 - 117411 - 106434 - 106429 - 106433 - 106426 - 106427 - 117408</t>
  </si>
  <si>
    <t>Lobélie érine</t>
  </si>
  <si>
    <t>107520 - 117412 - 106435 - 106436 - 106430 - 117413 - 95255</t>
  </si>
  <si>
    <t>Lobélie brûlante, Cardinale des marais</t>
  </si>
  <si>
    <t>81921 - 104696 - 80250 - 109810 - 81917 - 106439 - 91933 - 100370</t>
  </si>
  <si>
    <t>Lobulaire maritime, Alysse maritime, Alysson maritime</t>
  </si>
  <si>
    <t>106446 - 103535 - 106447 - 137396</t>
  </si>
  <si>
    <t>Loeflingie d'Espagne</t>
  </si>
  <si>
    <t>98678 - 106455 - 98677 - 134671 - 98703 - 109990 - 106454 - 153211 - 130537 - 106449 - 100463 - 147085 - 130534</t>
  </si>
  <si>
    <t>Logfie de France, Cotonnière de France</t>
  </si>
  <si>
    <t>100484 - 98692 - 619485 - 106450 - 130536 - 106451 - 130535 - 161857 - 98690 - 98689</t>
  </si>
  <si>
    <t>Logfie minime, Petite logfie, Petite cotonnière, Cotonnière naine, Logfie naine, Gnaphale nain</t>
  </si>
  <si>
    <t>148292 - 148319 - 106458 - 106509 - 148272 - 106510 - 106462 - 106497 - 137399 - 148304 - 137403 - 148277 - 106469 - 106506 - 148282 - 148288 - 148310 - 148323 - 148293 - 137398 - 148286 - 148297 - 148294 - 148278 - 619873 - 148303 - 106511 - 148296 - 148273 - 148322 - 137404 - 148283 - 148289 - 773184 - 148308 - 148287 - 106485 - 773185 - 148379 - 148291 - 148281</t>
  </si>
  <si>
    <t>Ivraie multiflore, Ray-grass d'Italie</t>
  </si>
  <si>
    <t>106499 - 148309 - 148301 - 148313 - 148336 - 137402 - 148321 - 148326 - 106503 - 148327 - 773633 - 148330 - 106518 - 148299 - 148300 - 148314 - 148335 - 148317 - 106480 - 137407 - 148338 - 106505 - 773186 - 148307 - 137405 - 106494 - 106467 - 148311 - 148333 - 137408 - 148312 - 162435 - 148339 - 106522 - 148306 - 106502 - 106483 - 148325 - 106461 - 137401 - 106479 - 148328 - 148316 - 106482 - 148340 - 148320 - 148331 - 148329 - 148334 - 106514 - 148332</t>
  </si>
  <si>
    <t>Ivraie vivace, Ray-grass anglais</t>
  </si>
  <si>
    <t>148384 - 106464 - 106488 - 148341 - 148261 - 106504 - 106468 - 148343 - 612511 - 137421 - 148375 - 148274 - 148275 - 148344 - 148342 - 621652</t>
  </si>
  <si>
    <t>Ivraie du lin, Ivraie à épillets espacés</t>
  </si>
  <si>
    <t>Lolium remotum</t>
  </si>
  <si>
    <t>148295 - 153439 - 148362 - 137406 - 137413 - 106484 - 106493 - 106507 - 106515 - 148269 - 148356</t>
  </si>
  <si>
    <t>Ivraie rigide, Ray-grass rigide, Ivraie à épis serrés</t>
  </si>
  <si>
    <t>148365 - 148371 - 148368 - 148265 - 612162 - 148374 - 148389 - 148267 - 106460 - 137422 - 106521 - 148370 - 148369 - 148367 - 137417 - 148390 - 148380 - 106474 - 137415 - 148378 - 148385 - 137416 - 148376 - 148266 - 148268 - 148373 - 148387 - 148372 - 137418 - 148360 - 148381 - 148386 - 148354 - 148366 - 86780 - 106466 - 106481 - 161313 - 137414 - 106508 - 148263 - 148262 - 148270 - 148383 - 137423 - 148264 - 148382 - 92776 - 106496 - 106490 - 148392 - 106459 - 106513 - 148377 - 106471 - 106495 - 106517 - 106492 - 106465 - 148388 - 148391 - 137420 - 106512</t>
  </si>
  <si>
    <t>Ivraie enivrante</t>
  </si>
  <si>
    <t>Lolium temulentum</t>
  </si>
  <si>
    <t>148276 - 106528 - 106527 - 148324 - 148298 - 137400 - 148280 - 148305 - 789088 - 148318 - 148302 - 148337 - 148284 - 148271 - 106523 - 148279 - 148285</t>
  </si>
  <si>
    <t>Ivraie de Bouché, Ray-grass hybride, Ivraie hybride</t>
  </si>
  <si>
    <t>106537 - 140702 - 121324 - 106532 - 121313 - 121305 - 121386 - 121410 - 121416 - 141984 - 127866 - 121349 - 127870 - 140701 - 121344 - 84751 - 619874 - 84764 - 106533 - 121423</t>
  </si>
  <si>
    <t>Lomélosie argentée, Scabieuse argentée</t>
  </si>
  <si>
    <t>106534 - 121350 - 84752 - 137424 - 125283 - 982298 - 982296 - 84765 - 127867 - 982297 - 84759 - 140727 - 982288</t>
  </si>
  <si>
    <t>Lomélosie à feuilles de graminée, Scabieuse à feuilles de graminée</t>
  </si>
  <si>
    <t>111346 - 111323 - 85802 - 159763 - 111324 - 121636 - 138448 - 111313 - 111365 - 106545 - 111357 - 111325 - 111379 - 112471 - 154918</t>
  </si>
  <si>
    <t>Ornithogale de Narbonne, Loncomélos de Narbonne</t>
  </si>
  <si>
    <t>106546 - 111369 - 111337 - 111370 - 106548 - 111361 - 149082 - 619875 - 85801 - 138447 - 112472 - 111386 - 111380 - 111359 - 121656 - 125057 - 111347</t>
  </si>
  <si>
    <t>Ornithogale des Pyrénées, Loncomélos des Pyrénées, Aspergette, Asperge des bois</t>
  </si>
  <si>
    <t>97413 - 87819 - 106550 - 103824 - 103822 - 87818 - 148393 - 90400</t>
  </si>
  <si>
    <t>Chèvrefeuille des Alpes, Chèvrefeuille alpin</t>
  </si>
  <si>
    <t>97414 - 103823 - 87821 - 130563 - 106555 - 90401</t>
  </si>
  <si>
    <t>Chèvrefeuille bleu, Camérisier bleu</t>
  </si>
  <si>
    <t>106556 - 87842 - 87828 - 106557 - 87826 - 112708 - 112707 - 87833 - 87838 - 106578 - 106587 - 87830 - 87832</t>
  </si>
  <si>
    <t>Chèvrefeuille des jardins</t>
  </si>
  <si>
    <t>153441 - 87831 - 148394 - 109658 - 106571 - 148401 - 708547 - 153443 - 148404 - 106560 - 148399 - 160074 - 153440 - 148406 - 148403 - 148400 - 148402 - 106567 - 106554 - 106566 - 106551 - 148405 - 106563 - 153442</t>
  </si>
  <si>
    <t>Chèvrefeuille du Japon, Clématite du Japon</t>
  </si>
  <si>
    <t>97415 - 106574 - 106558 - 87837 - 90403</t>
  </si>
  <si>
    <t>Chèvrefeuille noire, Camérisier noir</t>
  </si>
  <si>
    <t>148410 - 87827 - 619877 - 87841 - 148409 - 112709 - 87836 - 106568 - 106577 - 153444 - 148407 - 97417 - 106586 - 87839 - 106581 - 87834 - 106579 - 106590 - 87823 - 148408</t>
  </si>
  <si>
    <t>Chèvrefeuille des bois, Chèvrefeuille grimpant, Cranquillier</t>
  </si>
  <si>
    <t>130567 - 87840 - 106588 - 106553 - 130564 - 90405</t>
  </si>
  <si>
    <t>Chèvrefeuille de Tartarie</t>
  </si>
  <si>
    <t>106576 - 87824 - 87843 - 130565 - 90406 - 130568 - 106572 - 97418 - 106564 - 90402 - 106573 - 106595 - 148411</t>
  </si>
  <si>
    <t>Chèvrefeuille des haies, Camérisier des haies, Chèvrefeuille camérisier, Camérisier à balais</t>
  </si>
  <si>
    <t>108862 - 137462 - 106674 - 106695 - 106634 - 148416 - 106693 - 148414 - 106703 - 106647 - 106661 - 148415 - 137463 - 106721 - 137435 - 106633</t>
  </si>
  <si>
    <t>Lotier très étroit, Lotier grêle, Lotier à gousses très étroites, Lotier à fruits très étroits</t>
  </si>
  <si>
    <t>106653 - 106717</t>
  </si>
  <si>
    <t>Lotier corniculé, Pied-de-poule, Sabot-de-la-mariée</t>
  </si>
  <si>
    <t>146217 - 146215 - 613508 - 95265 - 146219 - 95274 - 106662 - 95284 - 107904 - 95283 - 146218 - 108525 - 95271 - 133929 - 133930 - 95261 - 84259 - 106673 - 146213 - 95278 - 95273 - 95270 - 95279 - 146214 - 976335 - 106664 - 95264 - 95266 - 95260</t>
  </si>
  <si>
    <t>Lotier dorycnie, Dorycnie à cinq feuilles, Dorycnie sous-ligneuse, Badasse</t>
  </si>
  <si>
    <t>148429 - 104710 - 106666 - 106692 - 148430</t>
  </si>
  <si>
    <t>Lotus doux, Lotier comestible</t>
  </si>
  <si>
    <t>146210 - 95269 - 148431 - 152844 - 144308 - 86147 - 86150 - 106676 - 106712 - 106677 - 86148 - 144306 - 146211 - 146209 - 144305 - 86146 - 146212 - 146208 - 976356 - 86149 - 144307</t>
  </si>
  <si>
    <t>Lotier hirsute, Lotier hérissé, Bonjeanie hérissée, Dorycnie hérissée</t>
  </si>
  <si>
    <t>106663 - 137437 - 106669 - 106716 - 106678 - 148432 - 106681 - 619879 - 106690 - 106635 - 106715 - 148433 - 137436 - 106714 - 106699 - 148434</t>
  </si>
  <si>
    <t>Lotier hispide</t>
  </si>
  <si>
    <t>160186 - 125937 - 152087 - 106704 - 106713 - 125940 - 137464 - 125942 - 162662 - 125946 - 125939 - 125945 - 106685 - 137465 - 125938</t>
  </si>
  <si>
    <t>Lotier maritime, Lotier à gousses carrées, Tétragonolobe maritime</t>
  </si>
  <si>
    <t>58 - 70 - 71 - 90</t>
  </si>
  <si>
    <t>106727 - 108861 - 106698 - 148439 - 106702 - 148428 - 106723 - 137469 - 106700 - 137467 - 137451 - 106675 - 153445 - 106684 - 153446 - 106689 - 106658</t>
  </si>
  <si>
    <t>Lotier pédonculé, Lotier des marais</t>
  </si>
  <si>
    <t>148426 - 106643 - 106638 - 137442 - 106687 - 148422 - 153447 - 106667 - 106688 - 148427 - 148438 - 106719 - 137450 - 137449 - 106668 - 137448 - 106718 - 106670</t>
  </si>
  <si>
    <t>Lotier ténu, Lotier à feuilles ténues, Lotier glabre, Lotier à feuilles étroites</t>
  </si>
  <si>
    <t>21 - 25 - 39 - 58 - 70 - 89 - 90</t>
  </si>
  <si>
    <t>106745 - 104434 - 106743 - 104438 - 106742 - 136989 - 104439 - 104436 - 80167 - 106750</t>
  </si>
  <si>
    <t>Ludwigie à grandes fleurs, Jussie à grandes fleurs, Jussie de l'Uruguay</t>
  </si>
  <si>
    <t>103828 - 94408 - 103827 - 106749 - 106747 - 116632 - 106746 - 106741</t>
  </si>
  <si>
    <t>Ludwigie des marais, Isnardie des marais</t>
  </si>
  <si>
    <t>21 - 25 - 39 - 70 - 89</t>
  </si>
  <si>
    <t>106748 - 147949 - 104433 - 104437 - 147948</t>
  </si>
  <si>
    <t>Ludwigie faux péplis, Jussie faux péplis, Jussie rampante, Jussie</t>
  </si>
  <si>
    <t>93380 - 148440 - 719046 - 719348 - 106756 - 106754 - 106755 - 106759 - 137470</t>
  </si>
  <si>
    <t>Lunaire annuelle, Monnaie-du-Pape, Herbe aux écus, Médaille de Judas</t>
  </si>
  <si>
    <t>106761 - 106753 - 106758 - 106757 - 106760 - 93403 - 148442 - 95344 - 148441</t>
  </si>
  <si>
    <t>Lunaire vivace, Lunaire odorante</t>
  </si>
  <si>
    <t>106794 - 137472 - 153450 - 106795 - 154898 - 106790 - 154897 - 106765</t>
  </si>
  <si>
    <t>Lupin blanc, Lupin d'Égypte</t>
  </si>
  <si>
    <t>106766 - 137473 - 137480 - 106798 - 106778 - 106777 - 153452 - 137478 - 106787 - 137475 - 137477 - 106770 - 106793 - 153451 - 106796 - 137474 - 137476 - 106776 - 106779</t>
  </si>
  <si>
    <t>Lupin à feuilles étroites, Lupin bleu</t>
  </si>
  <si>
    <t>106792 - 106789 - 106772 - 106782 - 106785 - 106781 - 106783</t>
  </si>
  <si>
    <t>Lupin polyphylle, Lupin vivace, Lupin à folioles nombreuses</t>
  </si>
  <si>
    <t>967117 - 106800</t>
  </si>
  <si>
    <t>Lupin royal, Lupin de Russell</t>
  </si>
  <si>
    <t>143230 - 106807 - 619884 - 95693 - 95978 - 81268 - 619883</t>
  </si>
  <si>
    <t>Flûteau nageant, Plantain-d'eau nageant, Alisme nageant, Alisma nageant</t>
  </si>
  <si>
    <t>Luronium natans</t>
  </si>
  <si>
    <t>2011-2018</t>
  </si>
  <si>
    <t>106819 - 106821 - 619885 - 93888 - 106860 - 106822 - 106865 - 106818 - 137489 - 106817 - 137493 - 106734 - 100641 - 619886 - 104088 - 104147 - 106867</t>
  </si>
  <si>
    <t>Luzule champêtre, Luzule des champs</t>
  </si>
  <si>
    <t>104159 - 137487 - 148449 - 137506 - 137486 - 106823 - 153455 - 106735</t>
  </si>
  <si>
    <t>Luzule ramassée, Luzule à inflorescences denses</t>
  </si>
  <si>
    <t>106736 - 106828 - 104193 - 109490 - 137495 - 106829 - 104089 - 104371 - 137523</t>
  </si>
  <si>
    <t>Luzule de Forster</t>
  </si>
  <si>
    <t>106827 - 162381 - 619887 - 106839 - 160003 - 104091 - 109489 - 104242 - 148447</t>
  </si>
  <si>
    <t>Luzule luzuline, Luzule jaunâtre</t>
  </si>
  <si>
    <t>106840 - 104109 - 104243 - 106811 - 137512</t>
  </si>
  <si>
    <t>Luzule fausse luzule, Luzule blanchâtre, Luzule blanche, Luzule des bosquets</t>
  </si>
  <si>
    <t>147904 - 721713 - 106842 - 773727 - 100642 - 773239 - 772168 - 106848 - 104285 - 772169 - 137490 - 773238 - 773237 - 772167</t>
  </si>
  <si>
    <t>Luzule multiflore, Luzule à nombreuses fleurs, luzule à fleurs nombreuses</t>
  </si>
  <si>
    <t>789090 - 104279 - 106846 - 104093</t>
  </si>
  <si>
    <t>Luzule blanche, Luzule des neiges, Luzule blanc-de-neige</t>
  </si>
  <si>
    <t>789272 - 106850 - 106849 - 148452 - 106851</t>
  </si>
  <si>
    <t>Luzule pâle, Luzule pâlissante, Luzule multiflore pâlissante</t>
  </si>
  <si>
    <t>104163 - 104096 - 104372 - 109491 - 136950 - 106737 - 106854 - 104296 - 104241 - 136951 - 106866</t>
  </si>
  <si>
    <t>Luzule poilue, Luzule de printemps, Luzule printanière</t>
  </si>
  <si>
    <t>106864 - 106859 - 104354 - 100643 - 106738 - 104097 - 104331</t>
  </si>
  <si>
    <t>Luzule en épi</t>
  </si>
  <si>
    <t>106863 - 106841 - 104098 - 104249 - 106740 - 104346</t>
  </si>
  <si>
    <t>Luzule des forêts, Luzule des bois, Grande luzule</t>
  </si>
  <si>
    <t>106904 - 106902 - 80537 - 106921 - 123437</t>
  </si>
  <si>
    <t>Lychnide de Chalcédoine, Lychnis de Chalcédoine, Silène de Chalcédoine, Croix-de-Malte, Croix-de-Jérusalem</t>
  </si>
  <si>
    <t>123451 - 80536 - 106908 - 92504 - 106909 - 92505 - 92508 - 106910 - 80539</t>
  </si>
  <si>
    <t>Lychnide des jardins</t>
  </si>
  <si>
    <t>92023 - 106929 - 106918 - 80543 - 92024 - 80544 - 106912 - 159842 - 106926 - 106905 - 106942 - 148458 - 123464 - 123481 - 107815 - 137525 - 92022 - 80549 - 92506 - 106938 - 106925 - 137526</t>
  </si>
  <si>
    <t>Lychnide fleur-de-coucou, Lychnis fleur-de-coucou, Fleur-de-coucou, Œil-de-perdrix</t>
  </si>
  <si>
    <t>106919 - 148459 - 106950 - 92507 - 521484 - 123514 - 80545 - 106924 - 123482 - 106901</t>
  </si>
  <si>
    <t>Lychnide fleur-de-Jupiter, Lychnis fleur-de-Jupiter, Œil-de-Dieu</t>
  </si>
  <si>
    <t>106984 - 125914 - 106971 - 104029 - 106983 - 106982 - 106965 - 106970</t>
  </si>
  <si>
    <t>Lyciet de Barbarie, Lyciet commun</t>
  </si>
  <si>
    <t>106981 - 106974 - 148460 - 106972 - 148461 - 106980 - 106976 - 106966 - 106977 - 125915 - 137528 - 104031 - 148462</t>
  </si>
  <si>
    <t>Lyciet de Chine</t>
  </si>
  <si>
    <t>106975 - 106969 - 106968 - 106973 - 106978 - 106979</t>
  </si>
  <si>
    <t>Lyciet d'Europe</t>
  </si>
  <si>
    <t>107012 - 105695 - 107018 - 772192 - 105697 - 106993 - 105696</t>
  </si>
  <si>
    <t>Lycopodielle inondée, Lycopode des tourbières, Lycopode inondé</t>
  </si>
  <si>
    <t>708566 - 708570 - 773347 - 708567 - 773048 - 92412 - 161017 - 708571 - 107003 - 707224 - 708565 - 772810 - 708568 - 105694 - 708572 - 770669 - 107017 - 708569 - 107025</t>
  </si>
  <si>
    <t>Lycopode en massue, Éguaire</t>
  </si>
  <si>
    <t>82369 - 131341 - 131342 - 86886 - 137539 - 86888 - 107027</t>
  </si>
  <si>
    <t>Lycopside des champs, Lycopsis des champs, Buglosse des champs</t>
  </si>
  <si>
    <t>Anchusa arvensis</t>
  </si>
  <si>
    <t>107044 - 107036 - 107043 - 107038 - 148469 - 148468 - 718714 - 107042 - 107049 - 153462 - 107048 - 107045 - 137542 - 107037 - 107040 - 137543 - 137541 - 107041 - 107047</t>
  </si>
  <si>
    <t>Lycope d'Europe, Chanvre d'eau, Marrube aquatique, Herbe des Égyptiens</t>
  </si>
  <si>
    <t>107071 - 105760 - 109729 - 100541 - 137544 - 107072 - 96117 - 107070</t>
  </si>
  <si>
    <t>Lysimaque des bois, Mouron jaune</t>
  </si>
  <si>
    <t>107084 - 109727 - 96118 - 109726 - 107080 - 148470 - 107092 - 109728 - 107079 - 107073 - 109457</t>
  </si>
  <si>
    <t>Lysimaque nummulaire, Herbe-aux-écus, Monnoyère</t>
  </si>
  <si>
    <t>107089 - 107078 - 137545 - 107077</t>
  </si>
  <si>
    <t>Lysimaque ponctuée</t>
  </si>
  <si>
    <t>104053 - 82337 - 82345 - 107076 - 82344 - 107085 - 97431 - 104054 - 82346</t>
  </si>
  <si>
    <t>Lysimaque délicate, Mouron délicat</t>
  </si>
  <si>
    <t>107055 - 126608 - 148471 - 107063 - 107086 - 109458 - 107056 - 109456</t>
  </si>
  <si>
    <t>Lysimaque à fleurs en thyrse, Lysimaque à fleurs en épi, Lysimaque thyrsiflore</t>
  </si>
  <si>
    <t>107060 - 107059 - 107091 - 107064 - 107075 - 107090 - 107054 - 107087 - 137546 - 107068 - 107058 - 107067</t>
  </si>
  <si>
    <t>Lysimaque commune, Lysimaque vulgaire, Chasse-bosse</t>
  </si>
  <si>
    <t>138640 - 137549 - 138643 - 988114 - 1015068 - 138642 - 112692 - 107113 - 148476 - 149287 - 82118 - 137547 - 112697 - 138641 - 148475 - 112686 - 107104 - 988113 - 115203 - 1015069 - 112687 - 112688 - 112694 - 107109 - 153463 - 115205 - 112696 - 1015046 - 112689 - 112690 - 107096 - 107097 - 82119 - 155034</t>
  </si>
  <si>
    <t>Salicaire du Borysthène, Salicaire de Boreau, Péplis dressé, Péplis de Boreau, Pourpier d'eau du Dniepr</t>
  </si>
  <si>
    <t>90304 - 148472 - 148473 - 107106 - 107101 - 119868 - 1015037 - 148474 - 1015038</t>
  </si>
  <si>
    <t>Salicaire à feuilles d'hysope</t>
  </si>
  <si>
    <t>138644 - 115204 - 90303 - 987588 - 107115 - 149290 - 112691 - 137550 - 987589 - 137551 - 115202 - 149289 - 149288 - 153610 - 112695 - 112693</t>
  </si>
  <si>
    <t>Salicaire pourpier, Péplis pourpier, Pourpier d'eau</t>
  </si>
  <si>
    <t>1015009 - 107124 - 90306 - 148478 - 1015008 - 1015010 - 773189 - 107114 - 107117 - 107098 - 119869 - 148477 - 119870 - 773198 - 107121 - 773277 - 119873 - 107120</t>
  </si>
  <si>
    <t>Salicaire commune, Salicaire pourpre</t>
  </si>
  <si>
    <t>107125 - 107119 - 107099 - 107118 - 968325 - 1015039</t>
  </si>
  <si>
    <t>Salicaire à trois bractées, Lythrum à trois bractées, Lythrum de Salzmann, Salicaire de Salzmann</t>
  </si>
  <si>
    <t>107140 - 107141 - 148482 - 148480 - 154437 - 148481 - 148479</t>
  </si>
  <si>
    <t>Magnolia à grandes fleurs</t>
  </si>
  <si>
    <t>92288 - 92273 - 121670 - 92276 - 108765 - 107160 - 125245 - 107158 - 107161 - 128222 - 107159 - 107157 - 92289</t>
  </si>
  <si>
    <t>Maïanthème à deux feuilles, Petit muguet à deux fleurs, Petit muguet</t>
  </si>
  <si>
    <t>130101 - 93381 - 90624 - 101459 - 161187 - 107186</t>
  </si>
  <si>
    <t>Malcolmie maritime, Julienne maritime, Giroflée maritime</t>
  </si>
  <si>
    <t>107199 - 107196 - 107297 - 137555 - 137556 - 107197</t>
  </si>
  <si>
    <t>Malope fausse mauve</t>
  </si>
  <si>
    <t>150378 - 107207 - 139550 - 107211 - 1003608 - 1003453 - 107210 - 150381 - 710811 - 1003606 - 619892 - 107204 - 107213 - 116593 - 107206 - 137561 - 150380 - 148487 - 137560 - 116492 - 1003610 - 160183 - 150379 - 139549 - 137562 - 619891 - 116597</t>
  </si>
  <si>
    <t>Pommier nain, Pommier, Pomme, Pommier 'Paradis'</t>
  </si>
  <si>
    <t>116554 - 137557 - 92855 - 137559 - 159941 - 139551 - 153779 - 107217 - 139548 - 116611 - 150382 - 137558 - 107201</t>
  </si>
  <si>
    <t>Pommier sylvestre, Pommier sauvage, Pommier des bois, Boquettier</t>
  </si>
  <si>
    <t>86074 - 148488 - 107226 - 107307 - 153470 - 137565 - 86075 - 107235 - 107222 - 107263 - 153469 - 148491 - 107234 - 148490 - 137563 - 107281 - 148489 - 148495 - 107266 - 148493 - 137564 - 107224 - 137567 - 107252 - 107265 - 107292 - 148492 - 982394 - 153467 - 148494 - 153468 - 161745 - 161744</t>
  </si>
  <si>
    <t>Mauve alcée</t>
  </si>
  <si>
    <t>137572 - 161746 - 86076 - 107256 - 148498 - 137566 - 107282 - 161747 - 1015554 - 107291 - 148497 - 148496 - 86077 - 107264 - 1015555 - 148499</t>
  </si>
  <si>
    <t>Mauve musquée</t>
  </si>
  <si>
    <t>107326 - 107284 - 619893 - 107309</t>
  </si>
  <si>
    <t>Mauve négligée, Petite mauve, Mauve à feuilles rondes</t>
  </si>
  <si>
    <t>107314 - 107240 - 107279 - 107286 - 107251 - 81855</t>
  </si>
  <si>
    <t>Mauve de Nice</t>
  </si>
  <si>
    <t>153471 - 107276 - 107298 - 107295 - 107254 - 107275 - 137575 - 1015463 - 107270 - 107236 - 137574 - 81853 - 107283 - 989378 - 107277 - 154940</t>
  </si>
  <si>
    <t>Mauve à petites fleurs</t>
  </si>
  <si>
    <t>107242 - 107311 - 107296 - 81836 - 107303 - 107287 - 107237</t>
  </si>
  <si>
    <t>Mauve à petites feuilles, Mauve fluette</t>
  </si>
  <si>
    <t>85452 - 81845 - 81844 - 95024 - 107313 - 107260</t>
  </si>
  <si>
    <t>Mauve hérissée, Mauve hirsute, Guimauve hérissée</t>
  </si>
  <si>
    <t>107231 - 1015412 - 107259 - 153472 - 137579 - 148501 - 107304 - 137578 - 107305 - 107288 - 107268 - 137576 - 107327 - 148502 - 137580 - 153473 - 137577 - 107249 - 107312 - 148500 - 107247 - 107322 - 107248 - 107328 - 81849 - 137581 - 107273 - 107299 - 107267 - 161748 - 107318 - 107257 - 107325 - 161749</t>
  </si>
  <si>
    <t>Mauve sylvestre, Grande mauve, Mauve sauvage</t>
  </si>
  <si>
    <t>107244 - 107280 - 107239 - 81861 - 81841 - 107324 - 161383 - 107285 - 137582 - 107278 - 107274</t>
  </si>
  <si>
    <t>Mauve verticillée, Mauve crépue</t>
  </si>
  <si>
    <t>107337 - 107333</t>
  </si>
  <si>
    <t>Mauve intermédiaire</t>
  </si>
  <si>
    <t>107377 - 107390 - 107381 - 107397 - 107386 - 107396 - 160522 - 107391 - 115801 - 148504 - 148505 - 137583 - 107389 - 107378</t>
  </si>
  <si>
    <t>Marrube commun, Marrube vulgaire</t>
  </si>
  <si>
    <t>107407 - 107403 - 130590 - 107410 - 124602 - 116282 - 162433 - 105422 - 130591 - 107408</t>
  </si>
  <si>
    <t>Marsilée à quatre feuilles, Fougère d'eau à quatre feuilles</t>
  </si>
  <si>
    <t>90551 - 137584 - 107442 - 107469 - 107440 - 148507 - 718715 - 148506 - 107471 - 963905 - 107473 - 107456 - 148509 - 91029 - 90558 - 107445 - 148508 - 90557 - 107475 - 107479 - 107472 - 90554</t>
  </si>
  <si>
    <t>Matricaire camomille, Camomille sauvage, Matricaire déchirée</t>
  </si>
  <si>
    <t>973934 - 89505 - 105692 - 125472 - 120803 - 90559 - 772079 - 107446 - 107478 - 81002 - 105590 - 107460</t>
  </si>
  <si>
    <t>Matricaire discoïde, Matricaire fausse camomille</t>
  </si>
  <si>
    <t>110149 - 111819 - 107486 - 125235 - 125236 - 116264</t>
  </si>
  <si>
    <t>Matteuccia struthioptéride, Matteuccia struthioptéris, Fougère à plumes d'autruche, Matteuccie, Fougère allemande</t>
  </si>
  <si>
    <t>137591 - 148512 - 107508 - 137592 - 90619 - 107487 - 619894 - 107494 - 148510 - 90602 - 90617 - 90610 - 107493 - 101432 - 107511 - 101452 - 107495 - 107512 - 148515 - 90640 - 148513 - 105826 - 107490 - 107502 - 148514 - 101448 - 148511 - 90614 - 101491</t>
  </si>
  <si>
    <t>Matthiole blanchie, Matthiole annuelle, giroflée annuelle, giroflée blanche, Matthiole blanche</t>
  </si>
  <si>
    <t>107509 - 161185 - 137590 - 137598 - 137597</t>
  </si>
  <si>
    <t>Matthiole du Valais, Violier du Valais, Giroflée du Valais</t>
  </si>
  <si>
    <t>107727 - 107593 - 107652 - 148578 - 107524 - 107542 - 619897 - 148524 - 107574 - 148554</t>
  </si>
  <si>
    <t>Luzerne d'Arabie, Luzerne maculée, Luzerne tachetée</t>
  </si>
  <si>
    <t>107767 - 137642 - 107747 - 148551 - 137638 - 107702 - 107571 - 127372 - 137639 - 107721 - 107649 - 107541 - 106803 - 107926 - 106802</t>
  </si>
  <si>
    <t>Luzerne lupuline, Minette</t>
  </si>
  <si>
    <t>107534 - 148586 - 148559 - 107659 - 137643 - 124704 - 107622 - 107656 - 107584 - 148558 - 107630 - 148557 - 107698 - 148591 - 137645 - 107609 - 148583 - 107746 - 148560 - 619898 - 107626 - 107714 - 137644 - 107697 - 107658 - 107676 - 107646</t>
  </si>
  <si>
    <t>Luzerne naine, Luzerne minime, Petite luzerne</t>
  </si>
  <si>
    <t>25 - 70</t>
  </si>
  <si>
    <t>614167 - 107718 - 137646 - 844845 - 107715 - 107625 - 107645 - 137601 - 148604 - 107665</t>
  </si>
  <si>
    <t>Luzerne murex</t>
  </si>
  <si>
    <t>107597 - 619899 - 159729 - 107546 - 107653 - 137654 - 107591 - 107581 - 107677 - 153483 - 107573 - 148589 - 107569 - 148575 - 137655</t>
  </si>
  <si>
    <t>Luzerne orbiculaire</t>
  </si>
  <si>
    <t>107641 - 107671 - 159895 - 107562 - 107666 - 148543 - 148579 - 107705 - 148588 - 148570 - 107601 - 619900 - 107730 - 107648 - 148542 - 619903 - 107526 - 137658 - 148538 - 107627 - 107684 - 137616 - 107689 - 107530 - 137617 - 137615 - 107686 - 619902 - 159896 - 107551 - 989402 - 153478 - 989400 - 137614 - 148597 - 137656 - 107687 - 148527 - 159951 - 148536 - 137619 - 148537 - 107564 - 159950 - 148541 - 137649 - 107673 - 107572 - 107612 - 148582 - 107545 - 107547 - 148539 - 137613 - 148526 - 107592 - 137612 - 619901 - 137618 - 107523 - 148590 - 107703 - 107529 - 137630 - 137659 - 148540 - 148577 - 107548 - 137602 - 148568 - 153477 - 148569 - 137657 - 162640</t>
  </si>
  <si>
    <t>Luzerne polymorphe, Luzerne à fruits nombreux</t>
  </si>
  <si>
    <t>789322 - 107663 - 989404 - 148573 - 148525 - 107535 - 107695 - 107732 - 107602 - 137663 - 148592 - 107706 - 107733 - 107565 - 148603 - 789323 - 107668 - 148601 - 137661 - 148598 - 107589 - 148600 - 137610 - 148602 - 107616 - 148587 - 989412 - 107615 - 137662 - 137664 - 107582 - 148599</t>
  </si>
  <si>
    <t>Luzerne rigide, Luzerne de Gérard</t>
  </si>
  <si>
    <t>107711 - 107553 - 107552</t>
  </si>
  <si>
    <t>Luzerne cultivée</t>
  </si>
  <si>
    <t>107712 - 92067 - 107554 - 148593</t>
  </si>
  <si>
    <t>Luzerne en écusson, Luzerne à écussons, Luzerne à écus</t>
  </si>
  <si>
    <t>148595 - 148596 - 107594 - 148612 - 137689 - 107720 - 107742 - 107740</t>
  </si>
  <si>
    <t>Luzerne à tubercules</t>
  </si>
  <si>
    <t>107796 - 137693 - 137692 - 107368 - 107785 - 107786 - 153485 - 107798 - 137694 - 137691 - 964957</t>
  </si>
  <si>
    <t>Mélampyre des champs, Rougeole</t>
  </si>
  <si>
    <t>107799 - 107369 - 107790 - 107797</t>
  </si>
  <si>
    <t>Mélampyre à crête, Mélampyre à crêtes</t>
  </si>
  <si>
    <t>25 - 70 - 71</t>
  </si>
  <si>
    <t>107804 - 107794</t>
  </si>
  <si>
    <t>Mélamryre des bois</t>
  </si>
  <si>
    <t>107805 - 137704 - 619907 - 107792 - 160004 - 619906 - 107807 - 137705 - 107806 - 968887 - 107788 - 989564 - 107370 - 107795 - 137701 - 137703 - 107801 - 107789 - 137706 - 153489</t>
  </si>
  <si>
    <t>Mélampyre des prés</t>
  </si>
  <si>
    <t>137708 - 137707 - 137710 - 137709 - 107783 - 153486 - 137711 - 107800 - 107791 - 107784</t>
  </si>
  <si>
    <t>Mélampyre des forêts, Melampyre sylvatique</t>
  </si>
  <si>
    <t>Mélique très élevée, Mélique élevée</t>
  </si>
  <si>
    <t>94384 - 107851 - 91835 - 989565</t>
  </si>
  <si>
    <t>Mélique ciliée</t>
  </si>
  <si>
    <t>148658 - 107874 - 161056 - 148651 - 148650 - 137730 - 94387 - 137732 - 619911 - 137731 - 148652 - 148659 - 160090 - 107867 - 148660 - 148648 - 107873 - 107844</t>
  </si>
  <si>
    <t>Mélique menue, Petite mélique</t>
  </si>
  <si>
    <t>94386 - 114301 - 80904 - 148655 - 107862 - 107871 - 148656 - 107868 - 619912 - 148657</t>
  </si>
  <si>
    <t>Mélique penchée</t>
  </si>
  <si>
    <t>94385 - 148663 - 137729 - 107865 - 107880 - 114419 - 148664 - 137728 - 107872 - 148662</t>
  </si>
  <si>
    <t>Mélique uniflore</t>
  </si>
  <si>
    <t>107567 - 127214 - 107968 - 107889 - 107932 - 148665 - 107891 - 107923 - 127518 - 788841 - 122973 - 107919 - 107886 - 107961 - 107971 - 137734</t>
  </si>
  <si>
    <t>Mélilot blanc</t>
  </si>
  <si>
    <t>107930 - 107887 - 127422 - 122974 - 148667 - 107929 - 107898 - 1014765 - 127378 - 1014766 - 107970 - 107884 - 148666 - 107943 - 107924 - 127220 - 107939 - 619913 - 153490 - 107946 - 107955 - 788840 - 107948 - 107568 - 107909</t>
  </si>
  <si>
    <t>Mélilot élevé</t>
  </si>
  <si>
    <t>148674 - 107952 - 107941 - 107914 - 107958 - 107949 - 788837 - 107903 - 148673 - 148672 - 122976 - 107897 - 107947 - 107895 - 107682 - 127341 - 107933 - 137735 - 107896 - 107920 - 107969 - 107956 - 148671 - 148676 - 148675 - 107906</t>
  </si>
  <si>
    <t>Mélilot à petites fleurs</t>
  </si>
  <si>
    <t>127434 - 614194 - 148669 - 107942 - 107931 - 107945 - 153491 - 107890 - 107940 - 107918 - 107928 - 107892 - 788839 - 127414 - 153492 - 107674 - 107935 - 148668 - 994563 - 148670 - 107893 - 107951 - 107899 - 122979 - 86245</t>
  </si>
  <si>
    <t>Mélilot officinal, Mélilot jaune</t>
  </si>
  <si>
    <t>137737 - 127381 - 148679 - 107907 - 122980 - 107908 - 148680 - 107902 - 107726 - 148678 - 148682 - 788832 - 107967</t>
  </si>
  <si>
    <t>Mélilot sillonné</t>
  </si>
  <si>
    <t>989568 - 989578 - 108917 - 989573 - 107992 - 126546</t>
  </si>
  <si>
    <t>Mélisse officinale, Mélisse citronnelle, Citronnelle</t>
  </si>
  <si>
    <t>108003 - 107997 - 107999 - 108001 - 108002 - 108000 - 109903</t>
  </si>
  <si>
    <t>Mélitte à feuilles de mélisse</t>
  </si>
  <si>
    <t>159952 - 108027 - 964973 - 108055 - 108036 - 108080 - 108047 - 108057 - 108120 - 137744 - 989581 - 108101 - 108041 - 137746 - 108045 - 108083 - 108102 - 108147 - 108182 - 108141 - 108063 - 108091 - 108022 - 137743 - 108021 - 108196 - 718717 - 108035 - 137745 - 108154</t>
  </si>
  <si>
    <t>Menthe aquatique, Baume d'eau, Baume de rivière, Bonhomme de rivière, Menthe rouge, Riolet, Menthe à grenouilles</t>
  </si>
  <si>
    <t>108135 - 108060 - 108116 - 108079 - 108023 - 108134 - 108139 - 108074 - 108108 - 137756 - 108029 - 108121 - 108084 - 108165 - 108025 - 108030 - 108171 - 108058 - 137751 - 108169 - 987584 - 108122 - 108175 - 108155 - 108069 - 108115 - 137749 - 108026 - 108123 - 159893 - 108038 - 108132 - 108061 - 108065 - 108075 - 108125 - 108189 - 108112 - 108024 - 108137 - 961483 - 989586 - 108133 - 137791 - 108131 - 108176 - 108159 - 108064 - 108105 - 137789 - 108184 - 108096 - 137748 - 108094 - 108086 - 108153 - 108054 - 989585 - 108033 - 137790 - 108066 - 108130 - 108077 - 619915 - 108032 - 108186 - 108124 - 137753 - 137752 - 108090 - 108119</t>
  </si>
  <si>
    <t>Menthe des champs</t>
  </si>
  <si>
    <t>115830 - 108140 - 116379 - 108044</t>
  </si>
  <si>
    <t>Menthe des cerfs</t>
  </si>
  <si>
    <t>108162 - 108059 - 108180 - 108143 - 108190 - 153494 - 108160 - 137758 - 108046 - 108087 - 619917 - 108161 - 137757 - 108040 - 108098 - 108195 - 108173 - 108097 - 108188 - 137776 - 108050 - 108109 - 619918 - 108163 - 108187 - 108037 - 108085 - 108107 - 108067 - 108088 - 619921 - 108129 - 108103 - 619919 - 991123 - 108071 - 991082 - 148692 - 108073 - 137760 - 108082 - 108191 - 148689 - 619920 - 108042 - 108181 - 108126 - 148694 - 108110 - 108152 - 108093 - 108144 - 108092 - 108039 - 108062</t>
  </si>
  <si>
    <t>Menthe à longues feuilles, Menthe à feuilles longues, Menthe des bois</t>
  </si>
  <si>
    <t>137764 - 148687 - 108028 - 108138 - 108179 - 108068 - 116378 - 107994 - 116377 - 116383 - 108031 - 108078 - 116381 - 137765 - 116384 - 137766 - 116382 - 108178 - 116380 - 108051 - 137767</t>
  </si>
  <si>
    <t>Menthe pouliot, Menthe pouillot</t>
  </si>
  <si>
    <t>108172 - 108166 - 148693 - 137763 - 108183 - 108099 - 108193 - 137762 - 108158 - 108149 - 108136 - 137775 - 108049 - 108150 - 108048 - 148691 - 137761</t>
  </si>
  <si>
    <t>Menthe en épi, Menthe verte</t>
  </si>
  <si>
    <t>137788 - 108185 - 108117 - 987586 - 108081 - 108142 - 108168 - 987587 - 108095 - 108151 - 108106 - 991079 - 108104</t>
  </si>
  <si>
    <t>Menthe à feuilles rondes, Menthe sauvage</t>
  </si>
  <si>
    <t>108298 - 108230 - 137778 - 108255 - 108264 - 108177 - 108241 - 108256 - 108323 - 108214 - 137773 - 108334 - 108239 - 108238 - 108220 - 108266</t>
  </si>
  <si>
    <t>Menthe des buissons</t>
  </si>
  <si>
    <t>108232 - 148685 - 108199 - 137750 - 108209 - 108250 - 108247 - 108148 - 108291 - 108301 - 108215 - 108299 - 108302 - 108226</t>
  </si>
  <si>
    <t>Menthe indigène</t>
  </si>
  <si>
    <t>148684 - 137783 - 447268 - 108277 - 108198 - 770955 - 108287 - 445716 - 108295 - 108278 - 108303 - 137784 - 453056 - 108217 - 108231 - 108212 - 108233 - 619922 - 851847 - 108296 - 137785 - 108243 - 108286</t>
  </si>
  <si>
    <t>Menthe poivrée</t>
  </si>
  <si>
    <t>108312 - 108279 - 108311 - 108308 - 989584 - 148690</t>
  </si>
  <si>
    <t>Menthe à feuilles rondes, Menthe du Nil</t>
  </si>
  <si>
    <t>108309 - 148696 - 137779 - 108318 - 108337 - 148697 - 148686</t>
  </si>
  <si>
    <t>Menthe de Smith</t>
  </si>
  <si>
    <t>108271 - 968343 - 108321 - 108306 - 108336 - 108270 - 108202 - 108327 - 108314 - 108225</t>
  </si>
  <si>
    <t>Menthe suave, Menthe parfumée</t>
  </si>
  <si>
    <t>108304 - 137792 - 137747 - 108272 - 108331 - 108203 - 108281 - 108257 - 108292 - 108289 - 108297 - 108234 - 108213 - 108218 - 108313 - 108300 - 108222 - 108208 - 108197 - 108260 - 108273 - 108322 - 108237 - 108320 - 108216 - 137754 - 108329 - 108210 - 108324 - 108207 - 108335 - 108265 - 108310 - 108285 - 108221 - 619925 - 108283 - 108284 - 108316 - 108254 - 108294 - 108290 - 108326 - 108293 - 108211 - 108259 - 108242 - 108288</t>
  </si>
  <si>
    <t>Menthe verticillée</t>
  </si>
  <si>
    <t>148695 - 108276 - 137772 - 108201 - 108244 - 619926 - 108246 - 108305 - 108332 - 148698 - 108325 - 108267 - 137794 - 108245 - 108307 - 108205 - 991080 - 108263 - 108223 - 108280 - 108252 - 108248 - 108317</t>
  </si>
  <si>
    <t>Menthe velue</t>
  </si>
  <si>
    <t>108282 - 108333 - 137777</t>
  </si>
  <si>
    <t>Menthe à nervures velues</t>
  </si>
  <si>
    <t>108346 - 773754 - 772773 - 108347 - 108344 - 772206 - 108345 - 108343 - 1016008</t>
  </si>
  <si>
    <t>Ményanthe trifolié, Trèfle d'eau, Ményanthe, Ményanthe trèfle d'eau</t>
  </si>
  <si>
    <t>1009731 - 137796 - 108362 - 148702 - 148700 - 108359 - 108350</t>
  </si>
  <si>
    <t>Mercuriale ambiguë</t>
  </si>
  <si>
    <t>108351 - 137797 - 108353 - 991124 - 125377</t>
  </si>
  <si>
    <t>Mercuriale annuelle, Vignette</t>
  </si>
  <si>
    <t>108361 - 108360 - 108358 - 108352 - 1009752 - 108365 - 108364 - 108355 - 125378</t>
  </si>
  <si>
    <t>Mercuriale vivace, Mercuriale des montagnes, Mercuriale pérenne</t>
  </si>
  <si>
    <t>108367 - 108363</t>
  </si>
  <si>
    <t>Mercuriale tomenteuse</t>
  </si>
  <si>
    <t>982532 - 80366 - 122359 - 108455 - 108454 - 108462 - 89256 - 614143 - 123036 - 108453 - 105915 - 84972 - 137802 - 108465 - 108473 - 80362 - 105936 - 108349</t>
  </si>
  <si>
    <t>Méum athamante, Fenouil des Alpes, Cistre, Fenouil des montagnes</t>
  </si>
  <si>
    <t>148718 - 90547 - 80674 - 145475 - 148715 - 148717 - 148716 - 789092 - 104512 - 104511 - 125240 - 108478 - 104510 - 108477 - 148719 - 137803 - 108476 - 114286 - 137804</t>
  </si>
  <si>
    <t>Mibore minime, Petite mibore, Mibore de printemps, Mibore naine, Mibora naine, Famine</t>
  </si>
  <si>
    <t>145272 - 145280 - 148877 - 148722 - 619932 - 108519 - 154624 - 109351 - 159732 - 138032 - 86270 - 146917 - 146913 - 144367 - 80491 - 89333 - 152260 - 619934 - 86292 - 146915 - 148721 - 127746 - 109354 - 127784 - 146829 - 98571 - 147040 - 127758 - 145281 - 86308 - 98316 - 138033 - 89340 - 80463 - 98572 - 145269 - 619937 - 153496 - 148881 - 109357 - 146832 - 98225 - 148723 - 148876 - 148874 - 98450 - 145283 - 146920 - 145270 - 619935 - 98265 - 148875 - 146916 - 146830 - 127820 - 98637 - 127742 - 145282 - 146831 - 148882 - 145271 - 109348 - 147041 - 619936 - 127817 - 145273 - 146919 - 127765 - 148873 - 86306 - 98636 - 134546 - 146918 - 146914 - 619933 - 148880</t>
  </si>
  <si>
    <t>Micropyre délicat, Catapode délicat, Catapode des graviers</t>
  </si>
  <si>
    <t>126370 - 612517 - 116319 - 126387 - 116320 - 126376 - 993979 - 126359 - 126390 - 141669 - 136990 - 108522 - 109425 - 141670 - 93392 - 154124 - 126415 - 104452 - 126364</t>
  </si>
  <si>
    <t>Petit-tabouret perfolié, Kandide perfoliée, Tabouret perfolié</t>
  </si>
  <si>
    <t>137810 - 148733 - 108526 - 148728 - 108537 - 148732 - 107858 - 148725 - 148734 - 148726 - 148731 - 80621 - 148724 - 94554 - 108557 - 108552 - 112484 - 148727 - 137811 - 108534 - 148729 - 148730</t>
  </si>
  <si>
    <t>Millet diffus, Millet épars, Millet étalé, Mil diffus</t>
  </si>
  <si>
    <t>81720 - 81777 - 137831 - 131251 - 143406 - 81776 - 83624 - 83618 - 152698 - 137839 - 137819 - 83643 - 108607 - 108613 - 119751 - 612518 - 81768 - 152696 - 148744 - 81761 - 137843 - 137817 - 154288 - 161671 - 81710</t>
  </si>
  <si>
    <t>Minuartie rostrée, Sabline rostrée, Minuartie changeante, Alsine changeante, Minuartie à rostre</t>
  </si>
  <si>
    <t>108593 - 119743 - 81744 - 83590 - 619943 - 81728 - 125035 - 108592 - 137841 - 83572 - 81729 - 143404 - 108614 - 83573 - 159544</t>
  </si>
  <si>
    <t>Minuartie rouge, Minuartie fasciculée, Sabline rouge</t>
  </si>
  <si>
    <t>619945 - 83586 - 81785 - 83654 - 81787 - 108617 - 81727 - 81732</t>
  </si>
  <si>
    <t>Minuartie sétacée, Sabline sétacée, Alsine sétacée</t>
  </si>
  <si>
    <t>111765 - 108645 - 80398 - 83049 - 143662 - 83068 - 83019 - 83075 - 143660</t>
  </si>
  <si>
    <t>Misopates rubicond</t>
  </si>
  <si>
    <t>108686 - 125018 - 83658 - 161672 - 83621 - 83623 - 148750 - 108690 - 148748 - 125231</t>
  </si>
  <si>
    <t>Moehringie mousse, Sabline fausse mousse</t>
  </si>
  <si>
    <t>108698 - 81690 - 161682 - 81816 - 83673 - 125232 - 83625 - 619952 - 148752</t>
  </si>
  <si>
    <t>Moehringie trinervée, Sabline à trois nervures, Moehringie à trois nervures</t>
  </si>
  <si>
    <t>619953 - 107169 - 108704 - 95188 - 90005 - 90078 - 90016 - 137863 - 81807 - 108706 - 161716 - 946130 - 161715 - 613153 - 137864 - 145418 - 137862 - 148753 - 108707 - 90107 - 108703 - 119793</t>
  </si>
  <si>
    <t>Moenchie dressée, Moenchie commune, Céraiste dressé</t>
  </si>
  <si>
    <t>148770 - 137866 - 148757 - 148756 - 146363 - 619958 - 148768 - 148754 - 148626 - 153498 - 96093 - 146352 - 146670 - 148783 - 148771 - 137867 - 108717 - 148758 - 107876 - 108722 - 148773 - 137869 - 108727 - 108715 - 619959 - 148764 - 153500 - 148786 - 619957 - 148789 - 148772 - 148785</t>
  </si>
  <si>
    <t>Molinie roseau, Molinie élevée</t>
  </si>
  <si>
    <t>134100 - 146353 - 146354 - 148759 - 107845 - 82072 - 108729 - 148784 - 148763 - 148762 - 107857 - 137868 - 148629 - 108719 - 108725 - 148775 - 114137 - 146360 - 148778 - 80853 - 146355 - 146364 - 148760 - 96092 - 137871 - 148780 - 146367 - 108718 - 137870 - 84146 - 148781 - 148779 - 148755 - 108728 - 146362 - 148787 - 108720 - 148766 - 146366 - 148761 - 148628 - 146361 - 148765 - 98121 - 146357 - 146359 - 148767 - 153499 - 148776 - 148774 - 146365 - 103123 - 148627 - 107847 - 148782 - 148777 - 108724 - 146358 - 148788 - 93802 - 146356 - 80848 - 148769</t>
  </si>
  <si>
    <t>Molinie bleue</t>
  </si>
  <si>
    <t>773681 - 90876 - 116551 - 109855 - 108755 - 86832 - 108752 - 108753 - 773595 - 109856 - 108754 - 773594 - 109857 - 773064 - 109854</t>
  </si>
  <si>
    <t>Monésès à une fleur, Pyrole uniflore, Pyrole à une fleur</t>
  </si>
  <si>
    <t>108785 - 137887 - 108795 - 108783 - 771878 - 87595 - 137884 - 105143</t>
  </si>
  <si>
    <t>Montie des fontaines</t>
  </si>
  <si>
    <t>148799 - 148800 - 108811 - 108813 - 108827 - 148801 - 148798 - 707226 - 108816 - 993272 - 108810 - 108828 - 108817 - 108814 - 108829 - 108824 - 108818 - 108821 - 710379 - 1016195</t>
  </si>
  <si>
    <t>Mûrier, Mûrier blanc, Mûrier noir</t>
  </si>
  <si>
    <t>108822 - 108820 - 108825</t>
  </si>
  <si>
    <t>Mûrier noir</t>
  </si>
  <si>
    <t>Muscari d'Arménie</t>
  </si>
  <si>
    <t>108887 - 108889 - 618622 - 148804 - 103066 - 108907 - 86205 - 86174 - 108902 - 86175 - 137891 - 137896 - 94192 - 137892 - 108869 - 108885 - 137897 - 162424</t>
  </si>
  <si>
    <t>Muscari fausse botryde, Muscari faux botrys, Muscari botryoïde, Muscari en grappe</t>
  </si>
  <si>
    <t>108881 - 103071 - 105561 - 108886 - 108901 - 103083 - 108871 - 108877 - 108892 - 108875 - 108876 - 108894 - 85709 - 103068 - 85710 - 86203 - 105563 - 85713 - 108873 - 103076 - 137894 - 108882 - 86172 - 92226 - 108910 - 108870 - 108874 - 108872 - 105565 - 137895 - 105564 - 108880 - 105562 - 105560</t>
  </si>
  <si>
    <t>Muscari chevelu, Muscari à toupet, Muscari chevelu, Muscari à toupet</t>
  </si>
  <si>
    <t>25 - 70 - 90</t>
  </si>
  <si>
    <t>108897 - 108893 - 121661 - 108890 - 86177 - 108911 - 103089 - 86178 - 108900 - 86176 - 108868 - 103079 - 108899 - 103074 - 108888 - 619964 - 108898 - 108878 - 619965 - 108884 - 108891 - 108905 - 108895 - 619966 - 86206 - 108906 - 108883 - 86173 - 137898 - 108879 - 108904</t>
  </si>
  <si>
    <t>Muscari négligé, Muscari à grappes, Muscari négligé</t>
  </si>
  <si>
    <t>108923 - 117391 - 108943 - 93386 - 108948 - 971525</t>
  </si>
  <si>
    <t>Myagre perfolié</t>
  </si>
  <si>
    <t>Myagrum perfoliatum</t>
  </si>
  <si>
    <t>109083 - 153509 - 109072 - 108989 - 137900 - 109062 - 109056 - 109069 - 109089 - 619968 - 108987 - 137948 - 108982 - 109026</t>
  </si>
  <si>
    <t>Myosotis alpestre, Myosotis des Alpes</t>
  </si>
  <si>
    <t>109031 - 137936 - 966620 - 719357 - 137901 - 108999 - 109021 - 153502 - 153504 - 148812 - 148811 - 148815 - 109034 - 137902 - 137903 - 109061 - 108996 - 95734 - 153505 - 108990 - 153503 - 638913 - 108998 - 109029</t>
  </si>
  <si>
    <t>Myosotis des champs</t>
  </si>
  <si>
    <t>148830 - 137910 - 109105 - 154833 - 109001 - 148832 - 153512</t>
  </si>
  <si>
    <t>Myosotis de Balbis</t>
  </si>
  <si>
    <t>619972 - 109008 - 109024 - 109023 - 109019 - 108991 - 109110 - 148831 - 137911 - 148833</t>
  </si>
  <si>
    <t>Myosotis discolore, Myosotis bicolore, Myosotis changeant, Myosotis versicolore</t>
  </si>
  <si>
    <t>109020 - 137912</t>
  </si>
  <si>
    <t>Myosotis douteux</t>
  </si>
  <si>
    <t>Myosotis lâche</t>
  </si>
  <si>
    <t>109057 - 109087 - 108995</t>
  </si>
  <si>
    <t>Myosotis à fleurs menues, Myosotis à petites fleurs, Myosotis à fleurs naines</t>
  </si>
  <si>
    <t>137916 - 148824 - 137940 - 137923 - 109048 - 109103 - 109086 - 137927 - 148818 - 137918 - 108984 - 109068</t>
  </si>
  <si>
    <t>Myosotis des bois, Myosotis à poils réfractés</t>
  </si>
  <si>
    <t>109006 - 109009 - 109033 - 109084</t>
  </si>
  <si>
    <t>Myosotis très rameux, Myosotis rameux, Myosotis hérissé</t>
  </si>
  <si>
    <t>148820 - 109075 - 137920 - 137942 - 148816 - 771507 - 137941 - 108983 - 109030 - 148823 - 719263 - 619977 - 619975 - 108993 - 95735 - 719264 - 719068 - 137922 - 619976 - 109032 - 109071 - 109012 - 109044 - 137928 - 109091 - 109063</t>
  </si>
  <si>
    <t>Myosotis faux scorpion, Myosotis des marais</t>
  </si>
  <si>
    <t>137905 - 137925 - 109022 - 109092 - 148817 - 109085 - 137944 - 153508 - 137943</t>
  </si>
  <si>
    <t>Myosotis rampant, Myosotis unilatéral</t>
  </si>
  <si>
    <t>109054 - 108997 - 108994 - 109111 - 109088 - 109102</t>
  </si>
  <si>
    <t>Myosotis raide</t>
  </si>
  <si>
    <t>109076 - 153510 - 109104 - 621088 - 996498 - 109081 - 137954 - 108986 - 109064 - 109051 - 621089 - 153511 - 109017 - 137953 - 109060 - 109040 - 148829 - 811066</t>
  </si>
  <si>
    <t>Myosotis des forêts</t>
  </si>
  <si>
    <t>109126 - 109127 - 930367 - 109125 - 109123 - 109122 - 109128</t>
  </si>
  <si>
    <t>Ratoncule minime, Queue-de-souris naine, Petite ratoncule, Queue-de-souris, Queue-de-rat, Ratoncule naine</t>
  </si>
  <si>
    <t>773279 - 773278 - 109130 - 1016252 - 82700 - 99252 - 1016251 - 99251 - 99250 - 109131 - 99249 - 109133 - 109129</t>
  </si>
  <si>
    <t>Myrique baumier, Piment royal, Bois-sent-bon, Piment aquatique</t>
  </si>
  <si>
    <t>109140 - 773281 - 109139 - 773280 - 137958</t>
  </si>
  <si>
    <t>Myriophylle à fleurs alternes</t>
  </si>
  <si>
    <t>109148 - 109142 - 109141 - 96097</t>
  </si>
  <si>
    <t>Myriophylle du Brésil</t>
  </si>
  <si>
    <t>Myriophylle hétérophylle</t>
  </si>
  <si>
    <t>137960 - 109146 - 109150 - 137957</t>
  </si>
  <si>
    <t>Myriophylle en épi, Myriophylle à épi, Myriophylle à fleurs en épi</t>
  </si>
  <si>
    <t>772293 - 109147 - 137959 - 773473 - 109149 - 109151 - 773770 - 773475 - 773474</t>
  </si>
  <si>
    <t>Myriophylle verticillé, Myriophylle à fleurs verticillées</t>
  </si>
  <si>
    <t>106250 - 109164 - 122363 - 121448 - 109161 - 90345 - 137961</t>
  </si>
  <si>
    <t>Myrrhide odorante, Myrrhis odorant, Cerfeuil musqué, Cerfeuil anisé</t>
  </si>
  <si>
    <t>Naïade marine, Naïade majeure, Grande naïade</t>
  </si>
  <si>
    <t>109205 - 109222 - 103919 - 89432 - 89434 - 109215 - 109209 - 80313</t>
  </si>
  <si>
    <t>Naïade mineure, Petite naïade</t>
  </si>
  <si>
    <t>100855 - 619985 - 137990 - 162344 - 148855 - 161540 - 109269 - 109291 - 161539 - 619984 - 100854 - 614201 - 109283 - 621258 - 109300 - 137992 - 125112 - 153519 - 137993 - 85188</t>
  </si>
  <si>
    <t>Narcisse des poètes</t>
  </si>
  <si>
    <t>21 - 58 - 70 - 89</t>
  </si>
  <si>
    <t>80963 - 109307 - 80971 - 80961 - 109305 - 138008 - 162332 - 162345 - 125109 - 148865 - 109256 - 109267 - 137998 - 109297</t>
  </si>
  <si>
    <t>Narcisse faux narcisse, Jonquille des bois, Jonquille, Narcisse trompette</t>
  </si>
  <si>
    <t>109317 - 116640 - 116639 - 116642 - 80965 - 116641 - 109320 - 116637 - 116643 - 116645 - 109332 - 109328 - 109326 - 109336 - 104064 - 116638 - 109329</t>
  </si>
  <si>
    <t>Narcisse incomparable</t>
  </si>
  <si>
    <t>109338 - 109341 - 109324 - 109335 - 109327 - 109321 - 137991 - 85189 - 125113 - 109292</t>
  </si>
  <si>
    <t>Narcisse bicolore, Narcisse à bouquet</t>
  </si>
  <si>
    <t>148893 - 109366 - 148890 - 148891 - 109454 - 148892</t>
  </si>
  <si>
    <t>Nard raide, Poil-de-bouc</t>
  </si>
  <si>
    <t>109419 - 113738 - 94930 - 154849 - 148897 - 109438 - 117941</t>
  </si>
  <si>
    <t>Cresson à petites feuilles</t>
  </si>
  <si>
    <t>88009 - 87916 - 445597 - 109408 - 123859 - 148896 - 619990 - 148895 - 159809 - 148894 - 109435 - 138039 - 117943 - 148898 - 161157 - 109393 - 109424 - 123800 - 138040 - 148899 - 123827 - 116865 - 85483 - 148900 - 109422 - 93360 - 159741 - 123860</t>
  </si>
  <si>
    <t>Rorippe cresson-d'eau, Cresson</t>
  </si>
  <si>
    <t>111012 - 110952 - 719076 - 110883 - 102799 - 110794 - 110825 - 109501</t>
  </si>
  <si>
    <t>Néotinée brûlée, Orchis brûlé</t>
  </si>
  <si>
    <t>101163 - 95070 - 993862 - 95176 - 106367 - 762390 - 93767 - 114501 - 110374 - 96438 - 109503</t>
  </si>
  <si>
    <t>Néottie cordée, Listère à feuilles cordées, Listère à feuilles en cœur, Listère cordée</t>
  </si>
  <si>
    <t>109506 - 101178 - 95177 - 109509 - 101170 - 96459 - 110441 - 109505 - 109510 - 154442</t>
  </si>
  <si>
    <t>Néottie nid-d'oiseau, Herbe aux vers</t>
  </si>
  <si>
    <t>101171 - 110442 - 993863 - 95178 - 109507 - 109504 - 106371 - 96461 - 95071 - 106370 - 96462 - 114502</t>
  </si>
  <si>
    <t>Néottie ovale, Grande Listère, Double-feuille, Listère à feuilles ovales, Listère ovale</t>
  </si>
  <si>
    <t>109531 - 109515 - 89349 - 109541 - 109532 - 109529 - 109538 - 109530 - 89351 - 109516 - 100308 - 109517</t>
  </si>
  <si>
    <t>Népéta cataire, Herbe-aux-chats, Cataire, Menthe des chats, Cataire commune</t>
  </si>
  <si>
    <t>109523 - 109526 - 89348 - 109518 - 109533 - 109536 - 89345 - 109514 - 100318 - 109521 - 109525 - 138049</t>
  </si>
  <si>
    <t>Népéta petite népéta, Népéta à feuilles lancéolées, Petite népéta</t>
  </si>
  <si>
    <t>160077 - 109542 - 719069</t>
  </si>
  <si>
    <t>Népéta de Faassen</t>
  </si>
  <si>
    <t>811206 - 109587 - 109584 - 109575 - 109574 - 109580 - 445412 - 109586 - 138065 - 452511 - 455159 - 109581 - 109573 - 445413 - 717800 - 109577 - 109579 - 110013 - 109578 - 109582 - 109585 - 109583 - 993154</t>
  </si>
  <si>
    <t>Nérion laurier-rose, Laurier rose, Oléandre</t>
  </si>
  <si>
    <t>161200 - 619992 - 109594 - 108946</t>
  </si>
  <si>
    <t>Neslie paniculée</t>
  </si>
  <si>
    <t>113331 - 85155 - 113323 - 113330 - 716867 - 87550 - 109600</t>
  </si>
  <si>
    <t>Nicandre faux-coqueret, Poc-poc bleu, Gros poc-poc, Poc-poc fleur bleue, Pomme du Pérou</t>
  </si>
  <si>
    <t>109601 - 109612 - 109613</t>
  </si>
  <si>
    <t>Tabac rustique, Tabac cultivé, Nicotiane rustique, Petit tabac</t>
  </si>
  <si>
    <t>Nigelle des champs</t>
  </si>
  <si>
    <t>Nigella arvensis</t>
  </si>
  <si>
    <t>109625 - 109639 - 96875 - 148916 - 109633 - 109622 - 138072 - 109635 - 109621 - 107834 - 109627</t>
  </si>
  <si>
    <t>Nigelle de Damas, Herbe de Capucin</t>
  </si>
  <si>
    <t>Nigelle d'Espagne</t>
  </si>
  <si>
    <t>141661 - 141659 - 126408 - 126362 - 126323 - 154122 - 126405 - 109668 - 141660 - 141671 - 126371 - 126336 - 126393 - 126394 - 126411 - 141651 - 154121</t>
  </si>
  <si>
    <t>Tabouret à pétales courts, Noccée à pétales courts</t>
  </si>
  <si>
    <t>126340 - 161554 - 126410 - 109671 - 161553 - 141676 - 141657 - 93336 - 611919 - 161552 - 126329 - 141681 - 159935 - 161551</t>
  </si>
  <si>
    <t>Tabouret bleuâtre, Noccée bleuissante, Tabouret sylvestre, Tabouret bleuissant</t>
  </si>
  <si>
    <t>93385 - 109676 - 126366</t>
  </si>
  <si>
    <t>Tabouret des montagnes, Tabouret des collines, Noccée des montagnes</t>
  </si>
  <si>
    <t>39 - 71 - 89</t>
  </si>
  <si>
    <t>105670 - 126389 - 93407 - 103051 - 154851 - 138100 - 126386 - 138099 - 103483 - 152124 - 103412 - 103487 - 109680 - 154125</t>
  </si>
  <si>
    <t>Tabouret à feuilles rondes, Noccée à feuilles rondes</t>
  </si>
  <si>
    <t>109739 - 109771 - 148919 - 109732 - 109734 - 109755 - 161241 - 109493 - 109770 - 161242 - 109740</t>
  </si>
  <si>
    <t>Nénuphar jaune, Nénufar jaune</t>
  </si>
  <si>
    <t>109738 - 1016635 - 148921 - 109733 - 109741 - 161243 - 138104 - 109730 - 109735 - 148926 - 109772</t>
  </si>
  <si>
    <t>Nénuphar nain, Petit nénuphar, Nénufar nain</t>
  </si>
  <si>
    <t>109736 - 109742 - 138105 - 109731 - 109744 - 148920 - 984877</t>
  </si>
  <si>
    <t>Nénuphar de Spenner, Nénuphar intermédiaire</t>
  </si>
  <si>
    <t>619996 - 109764 - 89300 - 619997 - 1016602 - 109762 - 138107 - 109767 - 109759 - 109760 - 619998 - 109757 - 105844 - 109765 - 109766 - 148923 - 619995 - 109754 - 109761 - 148922 - 148925 - 109756 - 138106 - 138110 - 1016575 - 613796 - 138111 - 1016578 - 613795 - 109750 - 148924 - 109758 - 138109 - 109753</t>
  </si>
  <si>
    <t>Nymphéa blanc, Nénuphar blanc, Lys des étangs</t>
  </si>
  <si>
    <t>109769 - 129453 - 109768 - 106006 - 106003 - 130068 - 106005 - 1016018 - 108341 - 121598 - 619999 - 108342 - 106002</t>
  </si>
  <si>
    <t>Faux nénuphar pelté, Limnanthème faux nénuphar, Faux nénuphar, Petit nénuphar pelté, Petit nénuphar</t>
  </si>
  <si>
    <t>97825 - 97761 - 109833</t>
  </si>
  <si>
    <t>Odontite de Jaubert, Odontitès de Jaubert</t>
  </si>
  <si>
    <t>153159 - 97767 - 85609 - 111769 - 97769 - 97764 - 109838 - 109835 - 97744</t>
  </si>
  <si>
    <t>Odontite jaune, Euphraise jaune, Odontitès jaune</t>
  </si>
  <si>
    <t>21 - 25 - 58</t>
  </si>
  <si>
    <t>978967 - 138133 - 109845 - 97820 - 138131 - 85619 - 138132</t>
  </si>
  <si>
    <t>Odontite printanier, Odontitès printanier, Odontite rouge, Euphraise rouge</t>
  </si>
  <si>
    <t>113105 - 109873 - 109892 - 109861 - 113103 - 105943 - 113104</t>
  </si>
  <si>
    <t>Œnanthe aquatique, Œnanthe phellandre</t>
  </si>
  <si>
    <t>148939 - 113106 - 109887 - 113107 - 138141 - 109901 - 894562 - 109869</t>
  </si>
  <si>
    <t>Œnanthe fistuleuse</t>
  </si>
  <si>
    <t>25 - 58 - 89 - 90</t>
  </si>
  <si>
    <t>148944 - 109870</t>
  </si>
  <si>
    <t>Œnanthe des rivières, Œnanthe des fleuves, Œnanthe des eaux courantes</t>
  </si>
  <si>
    <t>109881 - 109886 - 148941 - 109894 - 113113 - 122355 - 109876 - 109897 - 148942 - 109879 - 109884 - 109860</t>
  </si>
  <si>
    <t>Œnanthe de Lachenal</t>
  </si>
  <si>
    <t>109900 - 148943 - 153538 - 122386 - 109867 - 109890 - 109862 - 109891 - 138145 - 109895 - 109888 - 109899</t>
  </si>
  <si>
    <t>Œnanthe à feuilles de peucédan</t>
  </si>
  <si>
    <t>109875 - 613553 - 113110 - 109872 - 109863 - 109866 - 109893 - 148945 - 109858 - 109902 - 109889 - 109878</t>
  </si>
  <si>
    <t>Œnanthe faux boucage, Œnanthe fausse pimpinelle</t>
  </si>
  <si>
    <t>104454 - 162444 - 138147 - 620009 - 162427 - 109868 - 109885 - 109882 - 138146 - 138144 - 109880 - 113109 - 109877 - 109898</t>
  </si>
  <si>
    <t>Œnanthe à feuilles de silaüs, Œnanthe intermédiaire</t>
  </si>
  <si>
    <t>Onagre muriquée</t>
  </si>
  <si>
    <t>110079 - 110081 - 110076 - 109918 - 153539 - 86819 - 718727 - 116196 - 109911 - 161032 - 718728</t>
  </si>
  <si>
    <t>Onagre bisannuelle, Herbe-aux-ânes</t>
  </si>
  <si>
    <t>138148 - 109920 - 109910 - 110078 - 109961 - 109929 - 138159 - 109962</t>
  </si>
  <si>
    <t>Onagre déprimée</t>
  </si>
  <si>
    <t>109935 - 109934 - 613798 - 109926 - 109923 - 138153 - 718730 - 109957 - 613797 - 620010 - 718729 - 620011</t>
  </si>
  <si>
    <t>Onagre à sépales rouges</t>
  </si>
  <si>
    <t>109951 - 109937</t>
  </si>
  <si>
    <t>Onagre à longues fleurs, Onagre à fleurs longues</t>
  </si>
  <si>
    <t>109972 - 109943 - 148946 - 110080</t>
  </si>
  <si>
    <t>Onagre d'Oakes, Onagre syrticole</t>
  </si>
  <si>
    <t>109941 - 138155 - 109949 - 138149 - 109946 - 772823 - 109940 - 110077</t>
  </si>
  <si>
    <t>Onagre à petites fleurs, Onagre muriquée, Onagre de Nouvelle-Écosse</t>
  </si>
  <si>
    <t>100754 - 130561 - 100753 - 109956</t>
  </si>
  <si>
    <t>Onagre rose, Onagre rosée</t>
  </si>
  <si>
    <t>109958 - 109939 - 138150 - 148947</t>
  </si>
  <si>
    <t>Onagre à tiges rouges</t>
  </si>
  <si>
    <t>138152 - 138151 - 109970 - 109969</t>
  </si>
  <si>
    <t>Onagre odorante, Onagre parfumée, Onagre à odeur suave</t>
  </si>
  <si>
    <t>109971 - 109963</t>
  </si>
  <si>
    <t>Onagre subterminale, Onagre de Silésie</t>
  </si>
  <si>
    <t>138158 - 109955 - 109974 - 109938 - 719077 - 109915</t>
  </si>
  <si>
    <t>Onagre velue, Onagre à feuilles de saule</t>
  </si>
  <si>
    <t>Onagre de Braun</t>
  </si>
  <si>
    <t>109984 - 109979</t>
  </si>
  <si>
    <t>Onagre de Drawert</t>
  </si>
  <si>
    <t>109980 - 109976 - 109981 - 109978 - 109987</t>
  </si>
  <si>
    <t>Onagre trompeuse</t>
  </si>
  <si>
    <t>125374 - 147507 - 147499 - 100516 - 147512 - 94471 - 100499 - 100520 - 101102 - 147515 - 100460 - 99651 - 98705 - 147511 - 147513 - 110064 - 100497 - 100512 - 147504 - 100434 - 147506 - 100457 - 147510 - 135125 - 147509 - 94190 - 147505 - 100449 - 147500 - 100523</t>
  </si>
  <si>
    <t>Gnaphale des bois, Omalothèque des bois</t>
  </si>
  <si>
    <t>113451 - 1003563 - 93849 - 110067 - 620014 - 110072 - 93841</t>
  </si>
  <si>
    <t>Omphalode printanier, Petite bourrache, Omplalodès printanier</t>
  </si>
  <si>
    <t>620015 - 138173 - 110127 - 148957 - 110135 - 100847 - 110109 - 110108 - 110111 - 110137 - 148956 - 110115 - 110119 - 100822</t>
  </si>
  <si>
    <t>Sainfoin des sables, Esparcette des sables</t>
  </si>
  <si>
    <t>100845 - 84821 - 110141 - 110133 - 110125 - 138175 - 612523 - 110120 - 110116 - 138176 - 110128 - 100831 - 110139</t>
  </si>
  <si>
    <t>Sainfoin à feuilles de vesce, Sainfoin, Esparcette, Sainfoin cultivé, Esparcette cultivée</t>
  </si>
  <si>
    <t>789107 - 789102 - 983617 - 789275 - 789100 - 789325 - 789101 - 110165 - 789327 - 719270 - 789106 - 789108 - 789105 - 789326 - 789276 - 789103 - 789328 - 789104</t>
  </si>
  <si>
    <t>Bugrane des champs</t>
  </si>
  <si>
    <t>110194 - 148960 - 110216 - 138188 - 110189 - 110224 - 138190 - 110156 - 110155 - 110161 - 109452 - 110211 - 110157 - 789117 - 153544 - 148959</t>
  </si>
  <si>
    <t>Bugrane gluante, Bugrane jaune, Bugrane fétide, Coquesigrue</t>
  </si>
  <si>
    <t>39 - 58 - 71 - 90</t>
  </si>
  <si>
    <t>789351 - 789352 - 110197 - 789353 - 110160 - 789119 - 110195 - 110238 - 789118 - 789121 - 110178 - 110180 - 110214 - 789120 - 789350 - 110221 - 110169 - 86139</t>
  </si>
  <si>
    <t>Bugrane fluette, Bugrane naine, Ononis de Colonna, Ononis grêle, Bugrane de Colonna</t>
  </si>
  <si>
    <t>86141 - 110236 - 996191 - 138182 - 148962</t>
  </si>
  <si>
    <t>Bugrane épineuse, Arrête-boeuf</t>
  </si>
  <si>
    <t>789125 - 110228 - 110237 - 110151</t>
  </si>
  <si>
    <t>Bugrane striée</t>
  </si>
  <si>
    <t>138216 - 79715 - 620025 - 110275 - 79714 - 110273 - 110266 - 88057 - 138217 - 110248 - 110244</t>
  </si>
  <si>
    <t>Onoporde acanthe, Onopordon faux acanthe, Chardon aux ânes, Onoporde à feuilles d'acanthe, Pet-d'âne</t>
  </si>
  <si>
    <t>148976 - 708765 - 110312 - 110313 - 620031 - 138245 - 110305 - 148972 - 110303 - 110309 - 110304 - 153555</t>
  </si>
  <si>
    <t>Ophioglosse répandu, Herbe paille-en-queue, Herbe un cœur, Langue de serpent</t>
  </si>
  <si>
    <t>21 - 25 - 58 - 70 - 71 - 89</t>
  </si>
  <si>
    <t>161096 - 110466 - 718738 - 138252 - 149011 - 138256 - 718737 - 138249 - 613554 - 161097 - 148980 - 718736 - 110389 - 161095 - 148984 - 148977 - 110352 - 110370 - 138260 - 718735 - 110416 - 89950 - 161094 - 138258 - 148978 - 83438 - 138261 - 110431 - 110460 - 110487 - 110477 - 110335 - 110463 - 138255 - 110449 - 148981 - 110653 - 138254 - 161093 - 148979 - 110408 - 148983 - 138257 - 718734 - 138253 - 110336 - 110359 - 110412 - 138251 - 110459 - 110339 - 138259 - 148982 - 138302 - 719399 - 110363</t>
  </si>
  <si>
    <t>Ophrys abeille</t>
  </si>
  <si>
    <t>108974 - 138304 - 110496 - 138275 - 138353 - 110390 - 138268 - 110396 - 138267 - 148995 - 138264 - 149008 - 138349 - 138334 - 138329 - 620032 - 138269 - 110391 - 138347 - 138335 - 83444 - 138330 - 83439 - 110345 - 138272 - 138333 - 110378 - 110344 - 138340 - 110453</t>
  </si>
  <si>
    <t>Ophrys araignée, Oiseau-coquet</t>
  </si>
  <si>
    <t>138305 - 110356 - 149006</t>
  </si>
  <si>
    <t>Ophrys d'Aymonin</t>
  </si>
  <si>
    <t>148985 - 161960 - 110859 - 110343 - 110342 - 110691 - 111018 - 110334 - 148996 - 620037 - 83443 - 110713 - 138250 - 148988 - 110405 - 620038 - 110803 - 148997 - 110392 - 110365 - 148987 - 148998 - 138303 - 110340 - 929264 - 148986 - 110860</t>
  </si>
  <si>
    <t>Ophrys bourdon, Ophrys frelon</t>
  </si>
  <si>
    <t>110429 - 148999 - 610975 - 110424 - 110458 - 110388 - 620042 - 110423 - 110448 - 138293 - 83445 - 153558 - 110395</t>
  </si>
  <si>
    <t>Ophrys brun</t>
  </si>
  <si>
    <t>110330 - 110932 - 110393 - 110435 - 110436 - 138308 - 110886 - 110434 - 149002 - 96457 - 110930 - 110437 - 107173 - 83449 - 110438 - 110410 - 110931</t>
  </si>
  <si>
    <t>Ophrys mouche</t>
  </si>
  <si>
    <t>Ophrys faux ophrys miroir</t>
  </si>
  <si>
    <t>138289 - 138310 - 110468</t>
  </si>
  <si>
    <t>Ophrys bécasse</t>
  </si>
  <si>
    <t>110473 - 110474 - 110371 - 159754 - 154948 - 83450 - 154947 - 110492 - 110467</t>
  </si>
  <si>
    <t>Ophrys miroir, Ophrys cilié</t>
  </si>
  <si>
    <t>110629 - 110631 - 110498 - 110548</t>
  </si>
  <si>
    <t>Ophrys d'Albert</t>
  </si>
  <si>
    <t>Ophrys du Dévon</t>
  </si>
  <si>
    <t>110721 - 149012 - 110686 - 110696 - 110626 - 110558</t>
  </si>
  <si>
    <t>Ophrys hybride</t>
  </si>
  <si>
    <t>138337 - 110634 - 110677 - 138338</t>
  </si>
  <si>
    <t>Ophrys de Jeanpert</t>
  </si>
  <si>
    <t>110521 - 110505 - 110643 - 110504 - 110699 - 110667</t>
  </si>
  <si>
    <t>Ophrys obscur</t>
  </si>
  <si>
    <t>87169 - 110766 - 110757 - 110770 - 87175 - 110767 - 110756 - 110761 - 110753 - 635197 - 87177 - 87170 - 635202 - 811072 - 632039 - 110758 - 87167 - 110785</t>
  </si>
  <si>
    <t>Oponce figuier de Barbarie, Figuier de Barbarie, Figuier d'Inde, Opuntia figuier de Barbarie</t>
  </si>
  <si>
    <t>110778 - 110759 - 996907 - 110762 - 110774 - 110765 - 110779 - 138364 - 87172 - 110784</t>
  </si>
  <si>
    <t>Oponce couché, Figuier d'Inde couché, Figuier de Barbarie couché, Raquette couchée, Opuntia couché</t>
  </si>
  <si>
    <t>87171 - 110777 - 87179 - 110763 - 87173 - 635193 - 632038 - 110782 - 110773</t>
  </si>
  <si>
    <t>Oponce de Tuna, Opuntia de Tuna</t>
  </si>
  <si>
    <t>83437 - 102796 - 142523 - 142522 - 110333 - 106622 - 110801 - 106621 - 120933 - 79816 - 110332</t>
  </si>
  <si>
    <t>Orchis homme-pendu, Acéras homme-pendu, Porte-Homme, Pantine, Homme-pendu</t>
  </si>
  <si>
    <t>149042 - 789130 - 110914</t>
  </si>
  <si>
    <t>Orchis mâle, Herbe-à-la-couleuvre, Pentecôte, Satirion</t>
  </si>
  <si>
    <t>110823 - 110864 - 110920 - 138398 - 110922 - 110970 - 110934 - 149040 - 125217 - 110971 - 149039</t>
  </si>
  <si>
    <t>Orchis militaire, Casque militaire, Orchis casqué</t>
  </si>
  <si>
    <t>110945 - 718889 - 111000 - 110964</t>
  </si>
  <si>
    <t>Orchis pâle</t>
  </si>
  <si>
    <t>153566 - 620049 - 110953 - 718890 - 138417</t>
  </si>
  <si>
    <t>Orchis pauciflore, Orchis à fleurs peu nombreuses</t>
  </si>
  <si>
    <t>110891 - 149054 - 149053 - 110961 - 718891 - 110901 - 110840 - 138407 - 138418</t>
  </si>
  <si>
    <t>Orchis de Provence</t>
  </si>
  <si>
    <t>110926 - 110863 - 110861 - 110966 - 138400 - 110862 - 110903 - 149055 - 149056 - 110817 - 110917</t>
  </si>
  <si>
    <t>Orchis pourpre, Grivollée, Orchis casque, Orchis brun</t>
  </si>
  <si>
    <t>110987 - 110921 - 111229 - 138401 - 111004 - 149063</t>
  </si>
  <si>
    <t>Orchis singe</t>
  </si>
  <si>
    <t>718892 - 111016 - 138421 - 110811 - 154967 - 110994</t>
  </si>
  <si>
    <t>Orchis de Spitzel</t>
  </si>
  <si>
    <t>111038 - 111222 - 130349 - 79826 - 79818 - 79825</t>
  </si>
  <si>
    <t>Orchis de Bergon</t>
  </si>
  <si>
    <t>149068 - 149069 - 111102 - 149070 - 111066 - 111056 - 111039</t>
  </si>
  <si>
    <t>Orchis de Beyrich</t>
  </si>
  <si>
    <t>149072 - 111095 - 149071 - 138419 - 111092 - 111093 - 111073 - 149073 - 111128 - 111124</t>
  </si>
  <si>
    <t>Orchis hybride</t>
  </si>
  <si>
    <t>111153 - 111149 - 130352 - 130353</t>
  </si>
  <si>
    <t>Orchis de Meilsheimer</t>
  </si>
  <si>
    <t>111203 - 130357 - 111129 - 130355 - 111046</t>
  </si>
  <si>
    <t>Orchis bâtard</t>
  </si>
  <si>
    <t>147637 - 115059 - 111239 - 959335 - 101241 - 126275 - 147638 - 105126 - 114984 - 101242 - 109557 - 115063 - 959338 - 959336 - 126274 - 84424 - 105123 - 95579 - 114931 - 114990 - 114946 - 147636 - 105129 - 115068 - 114979 - 84421 - 114989 - 95582 - 113082 - 109555 - 84426 - 95572</t>
  </si>
  <si>
    <t>Oréoptéride à sores marginaux, Polystic des montagnes, Fougère des montagnes, Oreoptéris à sores marginaux</t>
  </si>
  <si>
    <t>90276 - 82724 - 84974 - 122371 - 111249 - 112870 - 149306 - 84965 - 84966 - 112871 - 111250</t>
  </si>
  <si>
    <t>Oréosélin noir, Persil des montagnes, Persil de cerf, Peucédan persil des montagnes, Sélin des montagnes noir</t>
  </si>
  <si>
    <t>21 - 25 - 58 - 70 - 89 - 90</t>
  </si>
  <si>
    <t>111282 - 111286 - 111278 - 111266 - 620051 - 620054 - 111265 - 111291 - 111264 - 111276 - 111280 - 138438 - 154926 - 138440 - 111263 - 111283 - 111260 - 111274 - 111267 - 111289 - 111262 - 149079 - 620053 - 111271</t>
  </si>
  <si>
    <t>Origan commun, Marjolaine sauvage</t>
  </si>
  <si>
    <t>114042 - 620055 - 89427 - 122348 - 149080 - 111293 - 109642 - 89384 - 89394 - 111295 - 111297 - 89407 - 94517 - 108850</t>
  </si>
  <si>
    <t>Orlaya à grandes fleurs, Caucalis à grandes fleurs, Caucalide à grandes fleurs</t>
  </si>
  <si>
    <t>Orlaya grandiflora</t>
  </si>
  <si>
    <t>111373 - 111388 - 149086 - 111331 - 111363 - 994531 - 138450 - 138451 - 111322 - 111362 - 111367 - 111334 - 111328 - 1002480 - 138449 - 994523 - 1002475 - 111392 - 153572 - 994517 - 111333 - 111381 - 125056 - 121609 - 994516 - 994525 - 125061 - 790000 - 111332</t>
  </si>
  <si>
    <t>Ornithogale divergent</t>
  </si>
  <si>
    <t>111391 - 149085 - 111311 - 103094 - 159931 - 966512 - 149084</t>
  </si>
  <si>
    <t>Ornithogale en ombelle, Dame-d'onze-heures</t>
  </si>
  <si>
    <t>111406 - 111397 - 111398</t>
  </si>
  <si>
    <t>Ornithope comprimé, Pied-d'oiseau comprimé</t>
  </si>
  <si>
    <t>149088 - 161066 - 111419 - 1002490 - 111400 - 111421 - 111399 - 111405 - 111417 - 149090 - 149089</t>
  </si>
  <si>
    <t>Ornithope délicat, Pied-d'oiseau délicat</t>
  </si>
  <si>
    <t>111409 - 111396 - 111408 - 111420 - 111415 - 111410 - 84092 - 111422 - 111414 - 149087 - 111418 - 111413 - 121927 - 84091</t>
  </si>
  <si>
    <t>Ornithope penné, Pied-d'oiseau penné</t>
  </si>
  <si>
    <t>149097 - 111659 - 111696 - 111503 - 111567 - 111710 - 111690 - 111639 - 111448 - 111691 - 111533 - 149096 - 111697 - 620058 - 111636 - 89365 - 149101 - 111692 - 111658 - 111528 - 153573 - 149099 - 149102 - 111643 - 111689 - 111675 - 111516 - 111554 - 111447 - 149100 - 149098 - 111680 - 111523</t>
  </si>
  <si>
    <t>Orobanche blanche, Orobanche du thym</t>
  </si>
  <si>
    <t>111481 - 138467 - 149095 - 111627 - 111603 - 111500 - 111501 - 161979 - 111452 - 111682</t>
  </si>
  <si>
    <t>Orobanche d'Alsace</t>
  </si>
  <si>
    <t>111454 - 111578 - 111537 - 111535 - 111469 - 138456 - 111536</t>
  </si>
  <si>
    <t>Orobanche améthyste, Orobanche violette, Orobanche du panicaut</t>
  </si>
  <si>
    <t>111474 - 111590 - 111606 - 984970 - 154970</t>
  </si>
  <si>
    <t>Orobanche de Bartling</t>
  </si>
  <si>
    <t>111546 - 111580 - 149092 - 138458 - 1002717 - 111478 - 111602 - 111548 - 111488 - 111494 - 111547 - 111588 - 149094 - 111507 - 111708 - 111616 - 89361 - 149093 - 111591 - 149103 - 111534</t>
  </si>
  <si>
    <t>Orobanche œillet, Orobanche giroflée, Orobanche à odeur d'œillet, Orobanche du gaillet</t>
  </si>
  <si>
    <t>111568 - 149111 - 111542 - 111610 - 111530 - 111532 - 153574 - 138465 - 111604 - 111496 - 111498 - 111531 - 111681</t>
  </si>
  <si>
    <t>Orobanche élevée, Grande Orobanche</t>
  </si>
  <si>
    <t>111581 - 138462 - 149105 - 111551 - 149106 - 111700 - 111521 - 111559 - 111552 - 111679 - 111701 - 149104 - 620062 - 111685 - 951118 - 111556 - 111550 - 111485 - 89359</t>
  </si>
  <si>
    <t>Orobanche grêle, Orobanche à odeur de girofle, Orobanche sanglante</t>
  </si>
  <si>
    <t>111472 - 111566 - 111502 - 111562 - 111471 - 89362 - 111563 - 149107 - 111704 - 111564 - 111553 - 111561</t>
  </si>
  <si>
    <t>Orobanche du lierre</t>
  </si>
  <si>
    <t>58 - 71 - 89</t>
  </si>
  <si>
    <t>998956 - 998952 - 111585 - 998961 - 998965 - 111584</t>
  </si>
  <si>
    <t>Orobanche du laser siler, Orobanche du Sermontain</t>
  </si>
  <si>
    <t>111601 - 111655 - 111612 - 111600 - 111487 - 111451 - 111543 - 111486 - 111633 - 111513 - 149110 - 620068 - 111611</t>
  </si>
  <si>
    <t>Orobanche rougie, Orobanche rouge</t>
  </si>
  <si>
    <t>111657 - 149118 - 1002716 - 138468 - 111577 - 111538 - 138470 - 149117 - 111519 - 111638 - 111642 - 111702 - 111571 - 111586 - 111607 - 149109 - 149114 - 111509 - 111529 - 111660 - 161943 - 111446 - 149115 - 149116 - 111711 - 138469 - 111467 - 111698 - 111459 - 620064 - 111495 - 138457 - 149113 - 111510 - 1002718 - 138472 - 111594 - 149112 - 965007 - 111512 - 111620 - 111589 - 620063 - 111455 - 149119 - 149120 - 111670 - 111593 - 138473 - 111473 - 111656 - 111614 - 111520 - 111456</t>
  </si>
  <si>
    <t>Orobanche à petites fleurs</t>
  </si>
  <si>
    <t>111592 - 111628 - 111629 - 154968 - 149121 - 111623 - 111630 - 111453 - 111569 - 111493 - 111449</t>
  </si>
  <si>
    <t>Orobanche de la picride, Orobanche du picris</t>
  </si>
  <si>
    <t>111622 - 138479 - 111646 - 111475 - 138481 - 111667 - 111595 - 620065 - 620066 - 153575 - 89360 - 111605 - 111647 - 111574</t>
  </si>
  <si>
    <t>Orobanche du genêt</t>
  </si>
  <si>
    <t>21 - 39 - 58 - 70 - 89</t>
  </si>
  <si>
    <t>111674 - 89363 - 138483 - 111635 - 111669 - 111504 - 138474 - 111506 - 612532 - 111671 - 111572 - 111631 - 111632 - 159765 - 111482 - 111527 - 138475 - 111672 - 111492 - 718739 - 111458 - 111650 - 111624 - 111649</t>
  </si>
  <si>
    <t>Orobanche réticulée, Orobanche de la scabieuse</t>
  </si>
  <si>
    <t>111687 - 89364 - 620070 - 111686 - 111468 - 111515 - 1002715 - 620069</t>
  </si>
  <si>
    <t>Orobanche de la germandrée</t>
  </si>
  <si>
    <t>111683 - 89366 - 111558 - 111540 - 138463 - 111703 - 138461 - 111677 - 111526 - 138460 - 111514 - 111676 - 111668</t>
  </si>
  <si>
    <t>Orobanche panachée</t>
  </si>
  <si>
    <t>773065 - 116528 - 772706 - 138486 - 116530 - 111771 - 116538 - 789158 - 116875 - 772705 - 773682 - 111770 - 773596 - 116548 - 116537 - 80142</t>
  </si>
  <si>
    <t>Orthilie unilatérale, Pirole unilatérale, Pyrole unilatérale</t>
  </si>
  <si>
    <t>125237 - 111813 - 708769 - 149136 - 149133 - 708766 - 110308 - 708768 - 153578 - 111815 - 708767 - 149134 - 83173 - 149135</t>
  </si>
  <si>
    <t>Osmonde royale, Fougère fleurie, Fougère royale, Fougère aquatique</t>
  </si>
  <si>
    <t>111860 - 153579 - 111964 - 111933 - 79849 - 149138 - 111908 - 111971 - 111909 - 149137 - 111965 - 111859</t>
  </si>
  <si>
    <t>Oxalide petite-oseille, Pain de coucou, Oxalis petite-oseille, Surelle, Alleluia, Pain-de-coucou, Oseille des bois</t>
  </si>
  <si>
    <t>111968 - 130499 - 111966 - 111914 - 111891 - 149143 - 111970 - 111901 - 991519 - 991524 - 111911 - 455754 - 111923 - 79854 - 991523 - 111876 - 455077 - 111931 - 149144 - 111916 - 130504 - 991522 - 453314 - 111915</t>
  </si>
  <si>
    <t>Trèfle oseille à fleurs jaunes,  fausse oseille</t>
  </si>
  <si>
    <t>991532 - 111861 - 111881 - 111866 - 111906 - 991548 - 130501 - 991534 - 991529 - 111922 - 153581 - 991530 - 138496 - 111969 - 991527</t>
  </si>
  <si>
    <t>Oxalide de Dillenius, Oxalis dressé, Oxalis de Dillenius</t>
  </si>
  <si>
    <t>130506 - 111883 - 111921 - 991556 - 149146 - 130505 - 111898 - 620074 - 991554 - 111878 - 991560 - 138501 - 111886 - 991562 - 991553 - 79856 - 130503 - 138498 - 991557 - 620076 - 991539 - 991555 - 991552 - 130498 - 130500 - 153580 - 79861 - 153582 - 991561 - 991559 - 991558 - 991551 - 130502 - 111870 - 1002724</t>
  </si>
  <si>
    <t>Oxalide droit, Oxalis droit, Oxalide d'Europe, Oxalide des fontaines</t>
  </si>
  <si>
    <t>84854 - 144036 - 138517 - 152799 - 111986 - 620084 - 111989 - 153585 - 112911</t>
  </si>
  <si>
    <t>Oxytropide de Jacquin, Oxytropis de Jacquin, Oxytropis des montagnes</t>
  </si>
  <si>
    <t>149152 - 138529 - 138533 - 112036 - 153588 - 112049 - 112031 - 112038 - 160561 - 149150 - 153587</t>
  </si>
  <si>
    <t>Pivoine mâle</t>
  </si>
  <si>
    <t>112057 - 112060 - 112061 - 112059 - 112058 - 130660 - 112062 - 112056</t>
  </si>
  <si>
    <t>Paliure épine-du-Christ, Épine-du-Christ, Paliure, Porte-chapeau</t>
  </si>
  <si>
    <t>108529 - 112133 - 112100 - 138540 - 149154 - 149157 - 105741 - 789132</t>
  </si>
  <si>
    <t>Panic d'Occident, Panic occidental</t>
  </si>
  <si>
    <t>105742 - 90568 - 112103 - 620091 - 108531 - 112111 - 108554 - 149155 - 149156</t>
  </si>
  <si>
    <t>Panic capillaire, Millet capillaire</t>
  </si>
  <si>
    <t>112147 - 149159 - 149170 - 112113 - 149158 - 112235 - 112092 - 149161 - 149160 - 154485 - 718742 - 112196 - 159773 - 112105 - 112130 - 154486 - 105743 - 149171 - 112200</t>
  </si>
  <si>
    <t>Panic à fleurs dichotomes, Panic dichotome</t>
  </si>
  <si>
    <t>108546 - 112110 - 112096 - 994507 - 108538 - 112129 - 112195 - 112197</t>
  </si>
  <si>
    <t>Panic millet, Panic faux millet, Millet commun, Panic mil</t>
  </si>
  <si>
    <t>90569 - 112259 - 112150 - 108560 - 112117 - 112152 - 112175</t>
  </si>
  <si>
    <t>Panic en baguette, Panic dressé</t>
  </si>
  <si>
    <t>112286 - 112284 - 112346 - 138558</t>
  </si>
  <si>
    <t>Pavot d'Apulie, Coquelicot d'Apulie, Pavot des Pouilles</t>
  </si>
  <si>
    <t>149224 - 89957 - 149226 - 951213 - 112285 - 159953 - 149222 - 138561 - 112334 - 112311 - 112297 - 149223 - 112298 - 112288 - 117874 - 112332</t>
  </si>
  <si>
    <t>Pavot argémone, Coquelicot argémone</t>
  </si>
  <si>
    <t>Papaver argemone</t>
  </si>
  <si>
    <t>83703 - 112277 - 125243 - 112310 - 112278 - 107519 - 112293 - 112329 - 811078 - 89953</t>
  </si>
  <si>
    <t>Pavot du Pays de Galles, Méconopside du Pays de Galles, Méconopsix du Pays de Galles, Pavot jaune</t>
  </si>
  <si>
    <t>153593 - 112282 - 112325 - 112271 - 153592 - 138567 - 89954 - 138565 - 112335 - 162114 - 112344 - 138563 - 112333 - 112331 - 149229 - 149228 - 112312 - 149230 - 112328 - 138581 - 112360 - 112304 - 112338 - 149232 - 153595 - 149231 - 112307 - 112379 - 112299 - 89956 - 162112 - 162115 - 162113 - 112303 - 138568</t>
  </si>
  <si>
    <t>Pavot douteux, Petit coquelicot</t>
  </si>
  <si>
    <t>149233 - 112362 - 138560 - 112319 - 138571 - 89955 - 161246 - 112315</t>
  </si>
  <si>
    <t>Pavot hybride, Pavot hispide</t>
  </si>
  <si>
    <t>Papaver hybridum</t>
  </si>
  <si>
    <t>149251 - 112305 - 112372 - 149240 - 112348 - 112318 - 112357 - 153596 - 968723 - 968726 - 138587 - 149243 - 112371 - 112355 - 149246 - 112308 - 112279 - 112349 - 153600 - 149248 - 112296 - 153599 - 112376 - 149242 - 149245 - 112356 - 138583 - 138586 - 112287 - 149250 - 138582 - 149241 - 112309 - 112367 - 153598 - 112314 - 149244 - 620094 - 149238 - 153597 - 112289 - 112316 - 149247 - 138580 - 112321 - 112295 - 112358 - 161244 - 112359 - 149239 - 112322 - 112323 - 112302 - 112292 - 138584 - 112306 - 112352 - 138585 - 149249 - 112375 - 112272 - 138579 - 162116</t>
  </si>
  <si>
    <t>Coquelicot, Grand coquelicot, Pavot coquelicot</t>
  </si>
  <si>
    <t>Papaver rhoeas</t>
  </si>
  <si>
    <t>138597 - 112341 - 112317 - 149234 - 112336 - 112283 - 138596 - 149253 - 112274 - 153601 - 112320 - 138591 - 112281 - 149254 - 112280 - 112366 - 112364 - 138588 - 138592 - 138593 - 138589 - 138590 - 138594 - 112340</t>
  </si>
  <si>
    <t>Pavot somnifère, Pavot officinal, Œillette</t>
  </si>
  <si>
    <t>112381 - 112383</t>
  </si>
  <si>
    <t>Pavot de Hongrie</t>
  </si>
  <si>
    <t>105107 - 97427 - 112405 - 117637 - 127862 - 85704 - 97792 - 117611 - 97794 - 85621</t>
  </si>
  <si>
    <t>Parentucelle visqueuse, Bartsie visqueuse, Eufragie visqueuse</t>
  </si>
  <si>
    <t>138605 - 138603 - 112406 - 138602 - 112414 - 112415 - 112408 - 112417 - 112410 - 138606</t>
  </si>
  <si>
    <t>Pariétaire de Judée, Pariétaire des murs, Pariétaire diffuse</t>
  </si>
  <si>
    <t>112409 - 138604 - 101229 - 112413</t>
  </si>
  <si>
    <t>Pariétaire officinale, Herbe à bouteille</t>
  </si>
  <si>
    <t>112421 - 112418 - 112422 - 112420 - 112419</t>
  </si>
  <si>
    <t>Parisette à quatre feuilles, Étrangle-loup</t>
  </si>
  <si>
    <t>96089 - 149259 - 149258 - 112425 - 149257 - 112426 - 620101 - 161024</t>
  </si>
  <si>
    <t>Parnassie des marais, Hépatique blanche</t>
  </si>
  <si>
    <t>70 - 89 - 90</t>
  </si>
  <si>
    <t>91618 - 82178 - 112461 - 620104 - 112462 - 112469 - 129950 - 112463 - 112466 - 620103</t>
  </si>
  <si>
    <t>Vigne-vierge commune, Vigne-vierge à cinq folioles, Vigne-vierge insérée</t>
  </si>
  <si>
    <t>162483 - 82177 - 162486 - 162484 - 154488 - 91617 - 112465 - 82180 - 116857 - 82176 - 162488 - 162485 - 162489 - 162487 - 82181 - 112464 - 116190 - 129942 - 162490 - 82179 - 100790 - 82175</t>
  </si>
  <si>
    <t>Vigne-vierge à cinq feuilles, Vigne-vierge, Vigne-vierge vraie, Vigne-vierge de Virginie</t>
  </si>
  <si>
    <t>116191 - 160179 - 129965 - 91620 - 161343 - 82182 - 129949 - 91619 - 112467 - 160180 - 112468 - 129966</t>
  </si>
  <si>
    <t>Vigne-vierge à trois pointes, Vigne-vierge à trois becs, Vigne-vierge tricuspidée</t>
  </si>
  <si>
    <t>112541 - 112542 - 112550 - 122373 - 112543 - 112876 - 101293 - 112539 - 112882 - 101268 - 82694</t>
  </si>
  <si>
    <t>Panais cultivé, Pastinacier</t>
  </si>
  <si>
    <t>112559 - 86004 - 112560</t>
  </si>
  <si>
    <t>Paulownia tomenteux, Paulownia, Arbre d'Anna Paulowna, Paulownia impérial</t>
  </si>
  <si>
    <t>112583 - 112577</t>
  </si>
  <si>
    <t>Pédiculaire feuillée, Pédiculaire feuillue</t>
  </si>
  <si>
    <t>112590 - 112605 - 620111</t>
  </si>
  <si>
    <t>Pédiculaire des marais, Tartarie rouge</t>
  </si>
  <si>
    <t>Pédiculaire des forêts, Pédiculaire des bois, Herbe-aux-poux</t>
  </si>
  <si>
    <t>86887 - 82404 - 86902 - 89271 - 112669</t>
  </si>
  <si>
    <t>Pentaglottide toujours verte, Buglosse toujours verte, Buglosse sempervirente</t>
  </si>
  <si>
    <t>112713 - 112714 - 112712</t>
  </si>
  <si>
    <t>Périploque de Grèce, Bourreau-des-arbres</t>
  </si>
  <si>
    <t>114887 - 114771 - 114888 - 773525 - 771861 - 114874 - 114641 - 112729 - 771859 - 621065 - 114828 - 114644 - 621067 - 762353 - 112737 - 771860 - 112727 - 621066 - 139081 - 114679 - 772917 - 112726 - 772915 - 772916 - 114759 - 773638</t>
  </si>
  <si>
    <t>Persicaire amphibie, Persicaire flottante, Renouée amphibie</t>
  </si>
  <si>
    <t>114893 - 114729 - 139108 - 773072 - 114723 - 114628 - 114737 - 114750 - 114721 - 114725 - 114732 - 114686 - 112893 - 112761 - 114684 - 114840 - 114841 - 112762 - 112724 - 112739 - 114831 - 114813 - 112738 - 114745</t>
  </si>
  <si>
    <t>Persicaire poivre-d'eau, Renouée poivre-d'eau</t>
  </si>
  <si>
    <t>114821 - 138646 - 149947 - 114871 - 149941 - 112894 - 139123 - 773520 - 149936 - 114748 - 773392 - 139111 - 149938 - 114891 - 139128 - 114814 - 149932 - 112742 - 114866 - 114877 - 139127 - 139115 - 114747 - 149935 - 139114 - 95163 - 612539 - 114886 - 114781 - 138647 - 612538 - 114894 - 114755 - 772918 - 114670 - 95162 - 138648 - 114760 - 114699 - 114710 - 139112 - 149931 - 772240 - 114645 - 95027 - 112758 - 114796 - 114812 - 139113 - 139126 - 153679 - 773639 - 139121 - 114889 - 114724 - 621501 - 139122 - 149295 - 112732 - 139118 - 772337 - 149927 - 149929 - 112740 - 773391 - 114761 - 987593 - 139120 - 114800 - 114868 - 149933 - 112760 - 1006297 - 139119 - 149937 - 772239 - 149943 - 149930 - 773761 - 139110 - 149940 - 987592 - 153678 - 139117 - 112741 - 773390 - 139124 - 149939 - 153680 - 114776 - 139125 - 149948 - 149944 - 149928 - 149926 - 139116 - 114768 - 773521 - 621500 - 149942 - 772296 - 149934</t>
  </si>
  <si>
    <t>Persicaire à feuilles de patience, Renouée à feuilles de patience, Renouée gonflée</t>
  </si>
  <si>
    <t>114853 - 112744 - 114845 - 772031 - 112896 - 114822 - 114632 - 139142 - 114765 - 112736 - 114663 - 153682 - 149946 - 112764 - 153683 - 112745 - 114661 - 114846 - 114777 - 139138 - 139139 - 114676 - 773449 - 114730 - 112756 - 771862 - 773073 - 114859 - 112748 - 153681 - 114775 - 771863 - 112753</t>
  </si>
  <si>
    <t>Persicaire maculée, Renouée persicaire, Persicaire</t>
  </si>
  <si>
    <t>114784 - 139131 - 112755 - 139141 - 114842 - 112754 - 674643 - 114648 - 114881 - 114751 - 114744 - 112746 - 112895</t>
  </si>
  <si>
    <t>Persicaire mineure, Petite renouée, Petite persicaire, Renouée fluette, Renouée mineure</t>
  </si>
  <si>
    <t>114857 - 139109 - 112747 - 139140 - 112743 - 139132 - 114785 - 114708 - 114763 - 114669</t>
  </si>
  <si>
    <t>Persicaire douce, Renouée douce</t>
  </si>
  <si>
    <t>114688 - 114639 - 101257 - 112750 - 100545 - 82069 - 114878 - 114805 - 104834 - 114638 - 114827</t>
  </si>
  <si>
    <t>Persicaire d'Orient, Renouée orientale, Renouée d'Orient</t>
  </si>
  <si>
    <t>114900 - 112766 - 114914</t>
  </si>
  <si>
    <t>Persicaire de Braun, Renouée de Braun</t>
  </si>
  <si>
    <t>114901 - 149945 - 112767 - 160318</t>
  </si>
  <si>
    <t>Persicaire condensée, Renouée condensée</t>
  </si>
  <si>
    <t>114915 - 112770 - 114907 - 114705</t>
  </si>
  <si>
    <t>Persicaire hybride, Renouée hybride</t>
  </si>
  <si>
    <t>112771 - 114908</t>
  </si>
  <si>
    <t>Persicaire opposée, Renouée opposée</t>
  </si>
  <si>
    <t>112772 - 114911</t>
  </si>
  <si>
    <t>Persicaire lenticulaire, Renouée lenticulaire</t>
  </si>
  <si>
    <t>112797 - 128051 - 112795 - 128038 - 149296 - 138652 - 128046 - 112791 - 112794 - 128052 - 112778</t>
  </si>
  <si>
    <t>Pétasite blanc</t>
  </si>
  <si>
    <t>112796 - 153612 - 138651 - 112786 - 112781 - 112782 - 112784 - 128049 - 112787 - 128045 - 112792 - 112789 - 112783 - 149298 - 112793 - 1002722 - 128044 - 91241 - 1002788 - 138650 - 128041</t>
  </si>
  <si>
    <t>Pétasite hybride, Herbe aux chapeaux, Pétasite officinal, Herbe aux teigneux, Herbe à la peste</t>
  </si>
  <si>
    <t>128047 - 149297 - 1012273 - 138653 - 128048 - 112788 - 112785</t>
  </si>
  <si>
    <t>Pétasite paradoxal</t>
  </si>
  <si>
    <t>128055 - 109343 - 109344 - 109345 - 112790 - 128050 - 112780 - 128043</t>
  </si>
  <si>
    <t>Pétasite des Pyrénées, Pétasite odorant, Héliotrope d'hiver</t>
  </si>
  <si>
    <t>112808 - 94729 - 95039 - 104690 - 127983 - 521655 - 94797 - 93748 - 123602</t>
  </si>
  <si>
    <t>Pétrorhagie prolifère, Œillet prolifère</t>
  </si>
  <si>
    <t>94736 - 127984 - 103567 - 103566 - 104691 - 112809 - 94819 - 100689</t>
  </si>
  <si>
    <t>Pétrorhagie saxifrage, Œillet saxifrage, Œillet des rochers</t>
  </si>
  <si>
    <t>151387 - 140869 - 151392 - 122194 - 620658 - 140871 - 122157 - 140861 - 122125 - 122274 - 620659 - 140872 - 140880 - 138660 - 112813 - 122162 - 140862</t>
  </si>
  <si>
    <t>Orpin de Forster</t>
  </si>
  <si>
    <t>122211 - 138662 - 140882 - 140868 - 151391 - 140873 - 112814 - 140867 - 140883</t>
  </si>
  <si>
    <t>Orpin des montagnes, Orpin de montagne</t>
  </si>
  <si>
    <t>122173 - 140886 - 140878 - 122235 - 140885 - 122246 - 151398 - 153970 - 140877 - 122123 - 122105 - 159954 - 140870 - 112815 - 151396 - 151393 - 122144 - 151397 - 151399 - 122236 - 138663 - 112816 - 1009857</t>
  </si>
  <si>
    <t>Orpin réfléchi, Orpin des rochers</t>
  </si>
  <si>
    <t>151374 - 122254 - 112817 - 122110 - 122216 - 620660 - 122197 - 151400 - 620661 - 122452 - 122486 - 122164 - 140887 - 122259 - 122156</t>
  </si>
  <si>
    <t>Orpin blanc jaunâtre, Orpin de Nice, Sédum de Nice</t>
  </si>
  <si>
    <t>112824 - 112821 - 112823 - 83191 - 112822 - 130134 - 610003 - 83196 - 83200 - 112828 - 83199 - 112820 - 83227 - 138664 - 112825 - 83216</t>
  </si>
  <si>
    <t>Persil cultivé</t>
  </si>
  <si>
    <t>950694 - 149302 - 112832 - 611599 - 112833 - 950677</t>
  </si>
  <si>
    <t>Pétunia hybride</t>
  </si>
  <si>
    <t>112875 - 112853 - 112866 - 112881</t>
  </si>
  <si>
    <t>Peucédan de France, Peucédan de Paris</t>
  </si>
  <si>
    <t>112915 - 149312 - 149311 - 112916</t>
  </si>
  <si>
    <t>Phacélie à feuilles de tanaisie</t>
  </si>
  <si>
    <t>154491 - 154490 - 620119 - 112982 - 620120 - 620121 - 149322 - 112993 - 112968 - 112984 - 149355 - 138683 - 154489 - 112972 - 113012 - 113034</t>
  </si>
  <si>
    <t>Alpiste aquatique</t>
  </si>
  <si>
    <t>85489 - 128103 - 112965 - 113042 - 112975 - 85488 - 138693 - 112992 - 95003 - 84169 - 113019 - 620122 - 84211 - 113045 - 113003 - 87297</t>
  </si>
  <si>
    <t>Alpiste roseau, Baldingère faux roseau, Fromenteau</t>
  </si>
  <si>
    <t>113011 - 138688 - 112987 - 112980 - 149338 - 149337 - 113023</t>
  </si>
  <si>
    <t>Alpiste à épis courts, Alpiste à épi court, Baldingère à épis courts</t>
  </si>
  <si>
    <t>149339 - 149340 - 113014 - 112988 - 112977</t>
  </si>
  <si>
    <t>Alpiste des Canaries, Baldingère des Canaries</t>
  </si>
  <si>
    <t>620124 - 149323 - 149348 - 112989 - 113000 - 149343 - 113010 - 113006 - 138689 - 149347 - 138690 - 112995 - 149346 - 149344 - 112981 - 149349 - 113007 - 149341 - 149345</t>
  </si>
  <si>
    <t>Alpiste mineur, Petit alpiste</t>
  </si>
  <si>
    <t>113021 - 113016 - 113028 - 149351</t>
  </si>
  <si>
    <t>Alpiste paradoxal</t>
  </si>
  <si>
    <t>113087 - 115015 - 114945 - 114977 - 620126 - 114993 - 113086 - 126277 - 105131 - 84429 - 113084 - 113079 - 95586 - 115071 - 109559</t>
  </si>
  <si>
    <t>Phégoptéride commune, Polypode du hêtre, Phégoptéris à pinnules confluentes, Thélyptéris phégoptéris, Fougère à moustache</t>
  </si>
  <si>
    <t>111511 - 111653 - 113114 - 113090 - 104701 - 111583 - 113130 - 620127 - 111480 - 113091 - 104700 - 111576 - 111462</t>
  </si>
  <si>
    <t>Phélipanche des sables, Phélypée des sables, Orobanche des sables, Orobanche lisse</t>
  </si>
  <si>
    <t>113131 - 111615 - 113097 - 113102 - 138699 - 113094 - 620128 - 111645 - 113117 - 113123 - 137047 - 113095 - 113121 - 111484 - 111575 - 138476 - 113116 - 104703</t>
  </si>
  <si>
    <t>Phélipanche de Mutel, Orobanche de Mutel</t>
  </si>
  <si>
    <t>111641 - 620131 - 113092 - 111489 - 111640 - 104705 - 113128 - 104702 - 1002719 - 113115 - 620130 - 620132 - 113099 - 113126</t>
  </si>
  <si>
    <t>Phélipanche pourpre, Orobanche pourprée, Orobanche pourpre</t>
  </si>
  <si>
    <t>111613 - 104706 - 612242 - 113129 - 620133 - 111644 - 113100 - 138478</t>
  </si>
  <si>
    <t>Phélipanche rameuse, Orobanche rameuse, Orobanche ramifiée</t>
  </si>
  <si>
    <t>113136 - 113134 - 113135 - 113133 - 113138 - 113139 - 125390 - 113137 - 113140</t>
  </si>
  <si>
    <t>Seringat couronné, Seringat commun, Seringat, Seringat en couronne</t>
  </si>
  <si>
    <t>113202 - 149371 - 138716 - 149366 - 113175 - 114001 - 149368 - 153622 - 138707 - 149365 - 149369 - 149367 - 138717 - 113192 - 138708</t>
  </si>
  <si>
    <t>Fléole des Alpes</t>
  </si>
  <si>
    <t>113204 - 149402 - 138728 - 138725 - 138724 - 149412 - 149401 - 113205 - 113212 - 773154 - 149406 - 113227 - 149390 - 113186 - 149400 - 138727 - 113179 - 138723 - 138722 - 149408 - 149411 - 138718 - 149388 - 113214 - 149410 - 113182 - 138721 - 149409 - 153625 - 113208 - 113220</t>
  </si>
  <si>
    <t>Fléole noueuse, Fléole tardive, Fléole de Bertoloni</t>
  </si>
  <si>
    <t>113015 - 90871 - 113177 - 113206 - 112976 - 149373 - 114003 - 138712 - 149392 - 149372 - 113213 - 149391 - 113235 - 113180</t>
  </si>
  <si>
    <t>Fléole paniculée, Fléole rude</t>
  </si>
  <si>
    <t>113200 - 149393 - 149397 - 149384 - 113185 - 138715 - 149380 - 113017 - 90872 - 149396 - 149398 - 149379 - 149387 - 149395 - 149382 - 149383 - 149378 - 113217 - 113183 - 113219 - 113223 - 149386 - 149377 - 149394 - 149381 - 149385 - 149374 - 149375 - 138713 - 113207 - 113218 - 113032 - 113234 - 138714 - 149399 - 114005 - 149376</t>
  </si>
  <si>
    <t>Fléole fausse fléole, Fléole de Boehmer</t>
  </si>
  <si>
    <t>149389 - 113189 - 113190 - 138726 - 149413 - 113228 - 149404 - 124958 - 114006 - 113193 - 113225 - 113187 - 113018 - 149405 - 149407 - 113198 - 113221</t>
  </si>
  <si>
    <t>Fléole des prés</t>
  </si>
  <si>
    <t>113233 - 138709 - 113224 - 138706 - 620134 - 138720</t>
  </si>
  <si>
    <t>Fléole de Rhétie, Fléole rhétique, fléole des Alpes rhétiques</t>
  </si>
  <si>
    <t>113239 - 85753 - 113238 - 113244</t>
  </si>
  <si>
    <t>Phlomide ligneuse, Phlomis ligneux, Sauge de Jérusalem</t>
  </si>
  <si>
    <t>149433 - 84154 - 152782 - 84222 - 138735 - 138746 - 127190 - 635674 - 149419 - 149435 - 149438 - 620138 - 138736 - 138734 - 113277 - 149423 - 149426 - 149440 - 111947 - 113275 - 149430 - 149427 - 113260 - 138743 - 138732 - 122886 - 113268 - 130510 - 635673 - 149439 - 620136 - 149431 - 149424 - 138740 - 617205 - 94194 - 87262 - 113264 - 84226 - 127189 - 1002819 - 113261 - 84194 - 138731 - 143918 - 1002820 - 113269 - 143916 - 614150 - 93813 - 138744 - 113272 - 143922 - 84202 - 113263 - 113276 - 84201 - 631681 - 149437 - 789134 - 149429 - 138739 - 113259 - 138737 - 149428 - 138745 - 149436 - 149417 - 153627 - 113262 - 84203 - 620137 - 149434 - 113274 - 153626 - 153628 - 149422 - 113267 - 149432 - 113266 - 138733 - 113273 - 138742 - 149421 - 149425 - 143919 - 143920 - 113265 - 117427 - 143921 - 149418 - 113270 - 84225 - 84150 - 138738 - 113271 - 149420 - 138741 - 143917 - 89481</t>
  </si>
  <si>
    <t>Phragmite austral, Roseau, Roseau commun, Roseau à balais, Phragmite commun</t>
  </si>
  <si>
    <t>719098 - 113318</t>
  </si>
  <si>
    <t>Phyllostachys faux bambou</t>
  </si>
  <si>
    <t>620290 - 789366 - 789402 - 113319</t>
  </si>
  <si>
    <t>Phyllostachys noir, Bambou noir</t>
  </si>
  <si>
    <t>Coqueret alkékenge, Coqueret, Cerise d'hiver</t>
  </si>
  <si>
    <t>Coqueret du Pérou, Poc poc, Groseille du Cap</t>
  </si>
  <si>
    <t>124659 - 113342 - 113341 - 110741 - 110742</t>
  </si>
  <si>
    <t>Physocarpe à feuilles d'obier, Spirée à feuilles d'obier</t>
  </si>
  <si>
    <t>95412 - 113351 - 95402 - 113352 - 113350 - 115798 - 95399 - 95404 - 95411 - 113349</t>
  </si>
  <si>
    <t>Physostégie de Virginie</t>
  </si>
  <si>
    <t>Raiponce de France</t>
  </si>
  <si>
    <t>138776 - 113391 - 113398 - 160182 - 138753 - 997376 - 138777 - 113388 - 149445 - 113358</t>
  </si>
  <si>
    <t>Raiponce noire</t>
  </si>
  <si>
    <t>113389 - 117399</t>
  </si>
  <si>
    <t>Raiponce orbiculaire</t>
  </si>
  <si>
    <t>113355 - 138772 - 138773 - 138779 - 149454 - 153629 - 138775 - 117404 - 138778 - 149452 - 149453 - 113407 - 620144 - 113354</t>
  </si>
  <si>
    <t>Raiponce en épi</t>
  </si>
  <si>
    <t>113417 - 113421</t>
  </si>
  <si>
    <t>Phytolaque comestible, Phytolaque en grappe de raisin</t>
  </si>
  <si>
    <t>113419 - 113418 - 113424 - 113423</t>
  </si>
  <si>
    <t>Phytolaque d'Amérique, Raisin d'Amérique, Phytolaque américaine, Laque végétale</t>
  </si>
  <si>
    <t>113433 - 113642 - 113660 - 113653 - 113445 - 79321 - 113443 - 138783 - 149455 - 79340 - 79330 - 79326 - 79351 - 113687 - 138782 - 138781 - 113432 - 113710 - 113435 - 79348 - 112834 - 113694 - 620147 - 113688 - 113437</t>
  </si>
  <si>
    <t>Épicéa commun, Sérente</t>
  </si>
  <si>
    <t>113434 - 160523</t>
  </si>
  <si>
    <t>Épicéa d’Engelmann</t>
  </si>
  <si>
    <t>113439 - 620145</t>
  </si>
  <si>
    <t>Épicéa de Serbie</t>
  </si>
  <si>
    <t>113701 - 615206 - 79353 - 79331 - 615067 - 113444 - 113677 - 79341</t>
  </si>
  <si>
    <t>Épicéa de Sitka</t>
  </si>
  <si>
    <t>93058 - 101208 - 83114 - 100804 - 113474</t>
  </si>
  <si>
    <t>Picride fausse épervière, Picride épervière, Herbe-aux-vermisseaux, Picris fausse épervière</t>
  </si>
  <si>
    <t>102050 - 113508 - 135408 - 135407 - 101667 - 102560 - 135410 - 135411 - 135409 - 135405</t>
  </si>
  <si>
    <t>Piloselle orangée, Épervière orangée</t>
  </si>
  <si>
    <t>619624 - 113531 - 136235 - 102391 - 101707 - 619623 - 113513 - 101910 - 101759 - 101833 - 102621 - 619625 - 154801 - 102151</t>
  </si>
  <si>
    <t>Piloselle cespiteuse, Piloselle gazonnante, Épervière des prairies, Épervière cespiteuse</t>
  </si>
  <si>
    <t>135596 - 135597 - 101780 - 135601 - 101885 - 135598 - 135603 - 113532 - 113515 - 135595 - 102261 - 102564</t>
  </si>
  <si>
    <t>Piloselle en cyme, Épervière à fleurs en cyme, Épervière en cyme</t>
  </si>
  <si>
    <t>619638 - 102424 - 619640 - 619642 - 136236 - 102742 - 136121 - 619641 - 619639 - 102477 - 102632 - 113519</t>
  </si>
  <si>
    <t>113523 - 154795 - 939291 - 154800 - 154799 - 154797 - 135813 - 939290 - 619655 - 135817 - 101612 - 113522 - 154798 - 154802 - 929554 - 135820 - 101701 - 619656 - 102203 - 101672 - 154796 - 929537 - 615071 - 102111</t>
  </si>
  <si>
    <t>Piloselle petite-laitue, Épervière petite-laitue, Épervière auriculée</t>
  </si>
  <si>
    <t>136148 - 621363 - 136120 - 136130 - 136134 - 102495 - 136029 - 136149 - 136133 - 612493 - 951833 - 789136 - 136124 - 136144 - 102459 - 136125 - 136117 - 136118 - 136151 - 136155 - 136146 - 136143 - 136131 - 136132 - 136150 - 136126 - 107344 - 113537 - 102629 - 136147 - 113517 - 619676 - 138792 - 951790 - 136145 - 951795 - 138795 - 136139 - 102615 - 717391 - 772410 - 136116 - 951791 - 136122 - 719259 - 136127 - 136152 - 136123 - 719283 - 136154 - 153330 - 136115 - 136140 - 136128 - 138794 - 147687 - 138791 - 136119 - 951788 - 102271 - 717392 - 136141 - 113533 - 136153 - 619677 - 619675 - 102352 - 136030 - 136129 - 136138 - 136424 - 102498 - 113525 - 719284</t>
  </si>
  <si>
    <t>Pilloselle officinale, Épervière piloselle</t>
  </si>
  <si>
    <t>153329 - 113527 - 136137 - 102317 - 136135 - 136136 - 102186</t>
  </si>
  <si>
    <t>Piloselle de Le Peletier, Épervière de Le Peletier</t>
  </si>
  <si>
    <t>619643 - 135684 - 136156 - 136180 - 135689 - 135683 - 113520 - 101982 - 102354 - 136161 - 162539 - 135687 - 135669 - 135686 - 135676 - 135668 - 135681 - 135674 - 135673 - 113529 - 619644 - 135677 - 136157 - 135671 - 135675 - 135688 - 102016 - 612494 - 135678 - 102382 - 135670 - 136165 - 135680 - 135690 - 136164 - 135679 - 136159</t>
  </si>
  <si>
    <t>Piloselle fausse piloselle, Épervière fausse piloselle</t>
  </si>
  <si>
    <t>136635 - 136631 - 135346 - 458858 - 136629 - 136630 - 968450 - 136633 - 136628 - 136625 - 136627 - 101782 - 136626 - 136636 - 136632 - 162634 - 113546 - 136634 - 102774 - 102786</t>
  </si>
  <si>
    <t>Piloselle de Ziz, Épervière de Ziz</t>
  </si>
  <si>
    <t>113550 - 113549 - 87370 - 113547</t>
  </si>
  <si>
    <t>Pilulaire à globules, Boulette d'eau</t>
  </si>
  <si>
    <t>89246 - 113554 - 113555 - 83185 - 123774 - 126986 - 82771 - 82772 - 82770 - 122317</t>
  </si>
  <si>
    <t>Boucage anis, Anis, Anis vert</t>
  </si>
  <si>
    <t>789377 - 127054 - 613799 - 138802 - 149474 - 620150 - 113580 - 138801 - 613122 - 149471 - 113579 - 83210 - 613800 - 113578 - 122382 - 621723 - 89255 - 113593 - 149479 - 149473 - 965534 - 620151 - 113568 - 138808 - 113573 - 613402 - 149472 - 113590 - 113556</t>
  </si>
  <si>
    <t>Boucage élevé, Grand boucage, Grande pimpinelle, Pimpinelle élevée</t>
  </si>
  <si>
    <t>113574 - 127052 - 113591 - 113601 - 127058 - 113561 - 113571 - 113558 - 1002827 - 149475 - 1002828 - 113592 - 83217 - 122381 - 113570 - 127056 - 138809 - 113596 - 83223</t>
  </si>
  <si>
    <t>Boucage saxifrage, Petit boucage, Persil de Bouc, Petite pimpinelle</t>
  </si>
  <si>
    <t>923321 - 153630 - 113623 - 138823 - 621497 - 621499 - 718819 - 613802 - 1014562 - 621498 - 113620 - 113633 - 138815 - 153631 - 613801 - 149486</t>
  </si>
  <si>
    <t>Grassette à grandes fleurs</t>
  </si>
  <si>
    <t>789300 - 789385 - 620158 - 1002829 - 113619 - 620159 - 113629 - 789384 - 789039 - 789386 - 113639 - 113613 - 113611 - 113614</t>
  </si>
  <si>
    <t>Grassette commune, Grassette vulgaire</t>
  </si>
  <si>
    <t>Grassette de Scully</t>
  </si>
  <si>
    <t>83176 - 113651 - 113680</t>
  </si>
  <si>
    <t>Pin cembro, Arole, Pin des Alpes</t>
  </si>
  <si>
    <t>138853 - 113681 - 113686 - 138835 - 138852 - 113682 - 620161 - 113679 - 138838</t>
  </si>
  <si>
    <t>Pin mugho, Pin mugo, Pin de Montagne, Pin couché, Pin rampant</t>
  </si>
  <si>
    <t>112837 - 138845 - 113683 - 138832</t>
  </si>
  <si>
    <t>Pin noir, Pin noir d'Autriche</t>
  </si>
  <si>
    <t>113675 - 138848 - 113663 - 138846 - 113667 - 113674 - 113658 - 138850 - 113704 - 620169 - 113678 - 113689 - 138847 - 149500 - 138849</t>
  </si>
  <si>
    <t>Pin maritime, Pin mésogéen, Pin des Landes</t>
  </si>
  <si>
    <t>113706 - 125230 - 772019 - 113702 - 105846</t>
  </si>
  <si>
    <t>Pin Weymouth, Pin du Lord, Pin blanc</t>
  </si>
  <si>
    <t>620171 - 149504 - 113662 - 113646 - 113669 - 113666 - 149502 - 620172 - 138855 - 149505 - 149503 - 149501 - 113703 - 113697</t>
  </si>
  <si>
    <t>Pin sylvestre</t>
  </si>
  <si>
    <t>113711 - 113659 - 719164 - 113652 - 113664 - 105845 - 985115</t>
  </si>
  <si>
    <t>Pin de Wallich, Pin pleureur de l'Himalaya</t>
  </si>
  <si>
    <t>138863 - 811030 - 105238 - 113778 - 620174</t>
  </si>
  <si>
    <t>Pois cultivé, Petit pois, Pois rond</t>
  </si>
  <si>
    <t>160283 - 113934 - 113851 - 116241 - 113929 - 113860 - 116244 - 113963 - 113935 - 113972 - 113804 - 113968</t>
  </si>
  <si>
    <t>Plantain psyllium, Plantain pucier, Herbe-aux-puces, Pucier</t>
  </si>
  <si>
    <t>113925 - 113974 - 521483 - 113878 - 83879 - 113832 - 138870 - 149516 - 113806 - 149546 - 138905 - 113795</t>
  </si>
  <si>
    <t>Plantain des Alpes</t>
  </si>
  <si>
    <t>138912 - 113944 - 160282 - 113881 - 116239 - 116237 - 113882 - 113936 - 116242 - 113953 - 113809</t>
  </si>
  <si>
    <t>Plantain des sables, Plantain scabre</t>
  </si>
  <si>
    <t>113815 - 154971 - 113952</t>
  </si>
  <si>
    <t>Plantain noirâtre</t>
  </si>
  <si>
    <t>113892 - 113991 - 113911 - 149517 - 113941 - 113816 - 138877 - 104818 - 113873 - 113932</t>
  </si>
  <si>
    <t>Plantain de Bellardi</t>
  </si>
  <si>
    <t>149523 - 113874 - 970416 - 153643 - 149553 - 113825 - 113962 - 113863 - 970409 - 113888 - 138914 - 149554 - 113826 - 113797 - 970405 - 149522 - 149518 - 970417 - 138913 - 113945</t>
  </si>
  <si>
    <t>Plantain holosté, Plantain caréné, Plantain recourbé, Plantain à têtes</t>
  </si>
  <si>
    <t>159783 - 113842 - 92560</t>
  </si>
  <si>
    <t>Plantain corne-de-cerf, Plantain corne-de-bœuf, Pied-de-corbeau</t>
  </si>
  <si>
    <t>113885 - 138893 - 113865 - 113877 - 113858 - 708909 - 1005985 - 113846 - 160920 - 113893 - 1005981 - 113850 - 104821 - 113894 - 113864 - 113983 - 149530 - 113907 - 613564 - 965560 - 138892 - 113837 - 149534 - 113866 - 149533 - 113821 - 83882 - 149535 - 113857 - 149529</t>
  </si>
  <si>
    <t>Plantain lancéolé, Petit plantain, Herbe Caroline, Ti-plantain</t>
  </si>
  <si>
    <t>455176 - 138902 - 635875 - 772849 - 113993 - 113909 - 773389 - 113904 - 113931 - 138904 - 772850</t>
  </si>
  <si>
    <t>Plantain élevé, Plantain majeur, Grand plantain, Plantain à bouquet</t>
  </si>
  <si>
    <t>113799 - 83883 - 113905</t>
  </si>
  <si>
    <t>Plantain maritime</t>
  </si>
  <si>
    <t>149552 - 138910 - 113906 - 113987 - 113913 - 113971 - 113910 - 138911</t>
  </si>
  <si>
    <t>Plantain moyen</t>
  </si>
  <si>
    <t>Plantain ovale</t>
  </si>
  <si>
    <t>116243 - 113845 - 113803 - 113957 - 116240 - 113977 - 116245 - 116246 - 113844 - 116238 - 113861 - 113947 - 113976</t>
  </si>
  <si>
    <t>Plantain toujours vert, Œil-de-chien</t>
  </si>
  <si>
    <t>138922 - 789138 - 100605 - 110808 - 138919 - 149561 - 120934 - 114015 - 620187 - 987590 - 92249 - 110954 - 114011 - 138921 - 110789 - 100696</t>
  </si>
  <si>
    <t>Platanthère à deux feuilles, Platanthère à fleurs blanches</t>
  </si>
  <si>
    <t>114016 - 110820 - 110925 - 114014 - 138920 - 100697 - 110937 - 160006 - 138923 - 114012 - 92248</t>
  </si>
  <si>
    <t>Platanthère à fleurs verdâtres, Orchis vert, Orchis verdâtre, Plalatanthère des montagnes, Platanthère verdâtre</t>
  </si>
  <si>
    <t>Platanthère hybride</t>
  </si>
  <si>
    <t>114025 - 114022 - 149562 - 114030 - 114020 - 149563 - 114033 - 114024 - 114023 - 789023 - 114026 - 620188 - 138924 - 789395 - 789024 - 149564</t>
  </si>
  <si>
    <t>Platane à feuilles d'érable</t>
  </si>
  <si>
    <t>114021 - 114028 - 114031 - 114029 - 138925 - 114027</t>
  </si>
  <si>
    <t>Platane d'Orient</t>
  </si>
  <si>
    <t>117497 - 708913 - 114037 - 126444 - 114038 - 126442 - 93591 - 126450 - 86009</t>
  </si>
  <si>
    <t>Platycladus d'Orient, Thuya d'Orient, Thuya de Chine</t>
  </si>
  <si>
    <t>138938 - 114105 - 114390 - 114395 - 149584 - 149583 - 621381 - 114121 - 114158 - 149574 - 114184 - 149573 - 138933 - 114192 - 149575 - 149585 - 149572 - 138937 - 149579 - 149581 - 114245 - 114132 - 114388 - 621380 - 114300 - 114210 - 138936</t>
  </si>
  <si>
    <t>Pâturin des Alpes</t>
  </si>
  <si>
    <t>149768 - 139003 - 153653 - 114161 - 114110 - 149821 - 139018 - 139004 - 139005 - 138940</t>
  </si>
  <si>
    <t>Pâturin anticipé</t>
  </si>
  <si>
    <t>114114 - 89321 - 80915 - 149592 - 114242</t>
  </si>
  <si>
    <t>Pâturin annuel</t>
  </si>
  <si>
    <t>138930 - 114124 - 138955 - 138931 - 149567 - 149568 - 621403 - 613568 - 149571 - 621405 - 149638 - 621408 - 153645 - 114406 - 149569 - 621410 - 114157 - 621406 - 621411 - 149580 - 149570 - 621409 - 621407 - 107774 - 621404</t>
  </si>
  <si>
    <t>Pâturin de Baden</t>
  </si>
  <si>
    <t>620211 - 620210 - 114146 - 138960 - 114331 - 138962 - 114336 - 114136 - 620209 - 114104 - 620212 - 114166</t>
  </si>
  <si>
    <t>Pâturin bulbeux</t>
  </si>
  <si>
    <t>620224 - 149830 - 620217 - 149829 - 114153 - 149648 - 114261 - 114383 - 149825 - 614970 - 114396 - 114432 - 149649 - 149647 - 620220 - 620222 - 620221 - 114232 - 149645 - 114366 - 620219 - 149824 - 149831 - 114292 - 620218 - 620223 - 149650 - 149826</t>
  </si>
  <si>
    <t>Pâturin de Chaix, Pâturin montagnard</t>
  </si>
  <si>
    <t>89</t>
  </si>
  <si>
    <t>114295 - 149654 - 149665 - 149765 - 149667 - 149656 - 114160 - 149659 - 149657 - 149652 - 149670 - 149651 - 114330 - 114159 - 112072 - 149664 - 149661 - 149655 - 114111 - 149666 - 620225 - 149658 - 620226 - 149663 - 149653 - 1005991 - 620227 - 138971 - 149662</t>
  </si>
  <si>
    <t>Pâturin comprimé, Pâturin à tiges aplaties</t>
  </si>
  <si>
    <t>114243 - 139019 - 149823 - 620232 - 149820 - 138980 - 617030 - 98385 - 149827 - 154498 - 149828 - 149688 - 620231 - 114251 - 149646</t>
  </si>
  <si>
    <t>Pâturin hybride</t>
  </si>
  <si>
    <t>617162 - 159784 - 138984 - 138956 - 620207 - 613657 - 114345 - 138957 - 114164 - 621402 - 149707 - 620206 - 138932 - 620202 - 149708 - 620192 - 620195 - 138934 - 114289 - 620194 - 620197 - 613658 - 114221 - 620200 - 620198 - 149624 - 620201 - 149582 - 620204 - 620199 - 149623 - 149578 - 114361 - 620191 - 620193 - 620205 - 138939 - 718823 - 149675 - 620203 - 154496 - 138935</t>
  </si>
  <si>
    <t>Pâturin de Molineri, Pâturin multiflore</t>
  </si>
  <si>
    <t>149758 - 149738 - 139001 - 149739 - 149732 - 149721 - 620246 - 149715 - 149736 - 114297 - 159881 - 149709 - 149757 - 149755 - 149744 - 149747 - 114099 - 114347 - 138985 - 149729 - 149752 - 149684 - 114244 - 112073 - 114171 - 149735 - 149756 - 149723 - 149753 - 620243 - 114227 - 114260 - 149719 - 138976 - 149725 - 149712 - 114404 - 153648 - 138990 - 138995 - 149711 - 138988 - 149733 - 114375 - 149724 - 149741 - 149754 - 149590 - 80558 - 149748 - 149817 - 114344 - 114255 - 149714 - 80875</t>
  </si>
  <si>
    <t>Pâturin des bois, Pâturin des forêts</t>
  </si>
  <si>
    <t>149819 - 149760 - 149679 - 149745 - 620249 - 149726 - 772145 - 621392 - 114168 - 621390 - 621387 - 149678 - 149677 - 114412 - 621384 - 114119 - 621386 - 149680 - 149761 - 621393 - 149818 - 114413 - 114363 - 114312 - 621395 - 138994 - 620248 - 621396 - 114190 - 621394 - 112075 - 149588 - 149762 - 621388 - 114431 - 114339 - 621389 - 114175 - 621385 - 139002 - 613571 - 114327 - 149763 - 114401 - 114253 - 621391 - 114203 - 114378</t>
  </si>
  <si>
    <t>Pâturin des marais</t>
  </si>
  <si>
    <t>621249 - 114352 - 149786 - 149767 - 112074 - 114332 - 138945 - 114417</t>
  </si>
  <si>
    <t>Pâturin des prés</t>
  </si>
  <si>
    <t>138954 - 138952 - 613572 - 114217 - 114128 - 149832 - 613573 - 114398 - 138953 - 621398 - 139020 - 621397 - 613574 - 114197 - 149615 - 153655 - 789288 - 114421 - 149601 - 138946 - 149619</t>
  </si>
  <si>
    <t>Pâturin couché, Pâturin étalé</t>
  </si>
  <si>
    <t>114427 - 114416</t>
  </si>
  <si>
    <t>Pâturin commun, Gazon d'Angleterre</t>
  </si>
  <si>
    <t>114463 - 121975 - 149874 - 151344 - 121968 - 83452 - 121973 - 121982 - 114469 - 114472 - 121978 - 114471 - 114464 - 1009848 - 121961 - 121984 - 151343 - 114466 - 151346 - 121972 - 620648 - 114467 - 121970 - 121962 - 114468</t>
  </si>
  <si>
    <t>Podosperme lacinié, Scorsonère à feuilles de chausse-trape, Scorsonère laciniée</t>
  </si>
  <si>
    <t>114485 - 114481 - 114486 - 114482 - 139027 - 114480 - 114483 - 114484 - 114487</t>
  </si>
  <si>
    <t>Polémoine bleue, Polémoine, Valériane grecque</t>
  </si>
  <si>
    <t>108735 - 81771 - 106445 - 102920 - 114512 - 114517</t>
  </si>
  <si>
    <t>Polycarpon à quatre feuilles, Polycarpe à quatre feuilles</t>
  </si>
  <si>
    <t>114519 - 1006261 - 118901 - 1007564 - 114521 - 620293 - 139035 - 1007562 - 162373</t>
  </si>
  <si>
    <t>Polycnème des champs, Petit polycnème</t>
  </si>
  <si>
    <t>Polycnemum arvense</t>
  </si>
  <si>
    <t>1007525 - 139036 - 139034 - 1007530 - 153657 - 1007553 - 114520</t>
  </si>
  <si>
    <t>Polycnème élevé, Grand polycnème</t>
  </si>
  <si>
    <t>Polycnemum majus</t>
  </si>
  <si>
    <t>114570 - 114566 - 139055 - 149877 - 114522 - 139039 - 161619 - 153663</t>
  </si>
  <si>
    <t>Polygale alpestre, Polygala alpestre</t>
  </si>
  <si>
    <t>114525 - 114585 - 149881 - 114536 - 149882 - 621294 - 139045 - 114593 - 149888 - 139041 - 114531 - 139040 - 114592 - 114528 - 149879 - 613575 - 139046 - 114549 - 149880 - 162647 - 139043 - 114526 - 139042 - 139044 - 159986</t>
  </si>
  <si>
    <t>Polygale amer, Polygala amer, Polygale d'Autriche</t>
  </si>
  <si>
    <t>58 - 70 - 89</t>
  </si>
  <si>
    <t>149889 - 114559 - 114539 - 114546 - 149886 - 114541 - 149884 - 617031 - 149885 - 153658 - 149890 - 149883</t>
  </si>
  <si>
    <t>Polygale du calcaire, Polygala du calcaire</t>
  </si>
  <si>
    <t>929283 - 139050 - 114562 - 114535 - 139047 - 139048 - 149895 - 114529 - 114580 - 114555 - 149894 - 139071 - 161150 - 153664 - 161620 - 114545 - 114596 - 139053 - 149902 - 139060 - 153666</t>
  </si>
  <si>
    <t>Polygale chevelu, Polygala chevelu, Polygale à toupet</t>
  </si>
  <si>
    <t>114588 - 114551 - 139073 - 114564 - 114532 - 114589 - 114571 - 114578 - 139061 - 114584</t>
  </si>
  <si>
    <t>Polygale à feuilles de serpolet, Polygala à feuilles de serpolet, Polygala couché</t>
  </si>
  <si>
    <t>21 - 25 - 39 - 89</t>
  </si>
  <si>
    <t>153668 - 139058 - 139059 - 114540 - 114527 - 139063 - 139056 - 139062 - 149907 - 153667 - 149901 - 114552 - 149900 - 114553 - 139072 - 114583 - 153671 - 139057 - 114595 - 114550 - 149898 - 149905</t>
  </si>
  <si>
    <t>Polygale commun, Polygala commun, Polygala vulgaire</t>
  </si>
  <si>
    <t>92274 - 114611 - 114606 - 789367 - 114615 - 92284 - 114607 - 139076</t>
  </si>
  <si>
    <t>Sceau-de-Salomon multiflore, Polygonate multiflore</t>
  </si>
  <si>
    <t>114604 - 92287 - 92290 - 114612 - 114614 - 1006282 - 92285 - 114603 - 114617 - 114613 - 92286 - 92272</t>
  </si>
  <si>
    <t>Sceau-de-Salomon odorant, Polygonate officinal, Sceau-de-Salomon officinal</t>
  </si>
  <si>
    <t>127892 - 114609 - 114608 - 127890 - 114616 - 114605 - 92281 - 87775 - 123361 - 92292 - 127891</t>
  </si>
  <si>
    <t>Sceau-de-Salomon verticillé, Muguet verticillé, Polygonate verticillé</t>
  </si>
  <si>
    <t>114621 - 114620 - 114618 - 114619 - 139080</t>
  </si>
  <si>
    <t>Sceau-de-Salomon hybride, Polygonate hybride</t>
  </si>
  <si>
    <t>114697 - 139092 - 114767 - 773500 - 114718 - 139085 - 114762 - 153673 - 149917 - 773499 - 114880 - 114769 - 114810 - 114743 - 89873 - 114633 - 139095 - 114658 - 114791 - 114726 - 114788 - 114735 - 149916 - 966832 - 114746 - 139094 - 114837 - 114650</t>
  </si>
  <si>
    <t>Renouée des oiseaux, Renouée Traînasse, Traînasse</t>
  </si>
  <si>
    <t>114786 - 114754 - 114799 - 114660 - 114896 - 149911 - 114816 - 149924 - 114798 - 114789 - 114848 - 114817 - 89875 - 139087</t>
  </si>
  <si>
    <t>Renouée de Bellardi</t>
  </si>
  <si>
    <t>Polygonum bellardii</t>
  </si>
  <si>
    <t>620299 - 114696 - 114870 - 155018</t>
  </si>
  <si>
    <t>Renouée à balais</t>
  </si>
  <si>
    <t>139148 - 149958 - 149956 - 139151 - 149957 - 114942 - 114936 - 621091 - 149950 - 139154 - 149955 - 115003 - 149953 - 114974 - 149959 - 139155 - 139146</t>
  </si>
  <si>
    <t>Polypode du Pays de Galles, Polypode austral</t>
  </si>
  <si>
    <t>114972 - 149954 - 139153</t>
  </si>
  <si>
    <t>Polypode intermédiaire</t>
  </si>
  <si>
    <t>115016 - 159932 - 114939 - 93479 - 968993 - 114935</t>
  </si>
  <si>
    <t>Polypode commun, Réglisse des bois, Polypode vulgaire</t>
  </si>
  <si>
    <t>115018 - 139152</t>
  </si>
  <si>
    <t>Polypode de Manton</t>
  </si>
  <si>
    <t>115020 - 115019</t>
  </si>
  <si>
    <t>Polypode de Shivas</t>
  </si>
  <si>
    <t>149963 - 81645 - 149969 - 139156 - 139158 - 139159 - 149960 - 120779 - 115025</t>
  </si>
  <si>
    <t>Polypogon maritime</t>
  </si>
  <si>
    <t>143321 - 115021 - 115026 - 142905 - 115028 - 80779 - 81646 - 115027 - 149974 - 115023 - 113194 - 149973 - 115022 - 120781 - 149965 - 149971 - 81655 - 149975 - 80560 - 149962 - 149972 - 620300 - 80604 - 115024 - 113210 - 149977 - 149967 - 120780 - 149970 - 149968 - 93878 - 81618 - 143320 - 149966</t>
  </si>
  <si>
    <t>Polypogon de Montpellier</t>
  </si>
  <si>
    <t>80569 - 142999 - 143003 - 620301 - 130935 - 80570 - 148739 - 115031 - 149978 - 142801 - 142783 - 143002 - 142977 - 80654 - 162054 - 143000 - 80793 - 142826 - 109723 - 80743 - 130934 - 152666 - 80803 - 115029 - 143001 - 142978 - 80611 - 143043 - 80723 - 80566 - 80607 - 142814 - 80655 - 80795 - 113027 - 129452 - 109724</t>
  </si>
  <si>
    <t>Polypogon vert, Polypogon vrai</t>
  </si>
  <si>
    <t>84431 - 143957 - 114922 - 114980 - 620302 - 143960 - 131796 - 114994 - 133967 - 139163 - 84387 - 95545 - 84415 - 133985 - 84417 - 976267 - 84432 - 95575 - 115060 - 115041</t>
  </si>
  <si>
    <t>Polystic à aiguillons, Polystic à frondes munies d'aiguillons</t>
  </si>
  <si>
    <t>95556 - 131795 - 84395 - 115046 - 772676 - 773585</t>
  </si>
  <si>
    <t>Polystic de Braun</t>
  </si>
  <si>
    <t>95576 - 84394 - 84418 - 131797 - 114981 - 115061 - 114934</t>
  </si>
  <si>
    <t>Polystic lonchite, Polystic en fer de lance, Polystic en forme de lance</t>
  </si>
  <si>
    <t>21 - 89 - 90</t>
  </si>
  <si>
    <t>133984 - 115040 - 115004 - 95593 - 84386 - 133966 - 718753 - 143959 - 84414 - 143956 - 84393 - 131794 - 718754 - 131793 - 143958 - 115076 - 139162 - 115044</t>
  </si>
  <si>
    <t>Polystic à soies, Polystic à frondes soyeuses, Fougère des fleuristes, Aspidium à cils raides</t>
  </si>
  <si>
    <t>21 - 58 - 70 - 71</t>
  </si>
  <si>
    <t>84448 - 95604 - 115083</t>
  </si>
  <si>
    <t>Polystic de Bicknell</t>
  </si>
  <si>
    <t>95613 - 115085 - 84449 - 115084 - 84451 - 84454</t>
  </si>
  <si>
    <t>Polystic d'Illyrie</t>
  </si>
  <si>
    <t>115087 - 84455 - 95622 - 84452 - 84456</t>
  </si>
  <si>
    <t>Polystic de Luerssen</t>
  </si>
  <si>
    <t>115095 - 115096 - 128226 - 115098 - 935169 - 128229 - 128231 - 128227 - 128228 - 128225 - 128230 - 128232</t>
  </si>
  <si>
    <t>Pontédérie cordée, Pontédérie à feuilles cordées, Pontédérie à feuilles en forme de cœur, Jacinthe d'eau</t>
  </si>
  <si>
    <t>149988 - 149982 - 115118 - 153684 - 149989 - 115158 - 139166 - 115141 - 115137 - 1006345 - 620303 - 105820 - 115146 - 115126 - 149985 - 115135 - 115129 - 149987 - 115136 - 115132 - 115123 - 160526 - 149984 - 149986 - 115117 - 115161 - 115110</t>
  </si>
  <si>
    <t>Peuplier blanc</t>
  </si>
  <si>
    <t>773006 - 115154 - 115120 - 773008 - 773007 - 773745 - 115113</t>
  </si>
  <si>
    <t>Peuplier baumier</t>
  </si>
  <si>
    <t>115111 - 115122</t>
  </si>
  <si>
    <t>Peuplier deltoïde, Peuplier noir d'Amérique</t>
  </si>
  <si>
    <t>115159 - 115145 - 115128 - 613902 - 115125 - 149995 - 115143 - 115147 - 115138 - 115160</t>
  </si>
  <si>
    <t>Peuplier noir, Peuplier commun noir</t>
  </si>
  <si>
    <t>115130 - 149996 - 115164 - 149998 - 115156 - 149997 - 115112 - 115153 - 115163 - 115140 - 127118 - 115133</t>
  </si>
  <si>
    <t>Peuplier tremble, Tremble</t>
  </si>
  <si>
    <t>115157 - 139168 - 115134</t>
  </si>
  <si>
    <t>Peuplier à fruits chevelus, Peuplier baumier de l'Ouest</t>
  </si>
  <si>
    <t>115167 - 162361 - 115176 - 115170 - 139171 - 115142 - 108756 - 162360</t>
  </si>
  <si>
    <t>Peuplier du Canada, Peuplier hybride euraméricain</t>
  </si>
  <si>
    <t>115172 - 109811 - 160462 - 115175 - 115166 - 115165 - 139167 - 105821 - 115168 - 149983</t>
  </si>
  <si>
    <t>Peuplier grisard, Peuplier gris de l'Oise, Grisard</t>
  </si>
  <si>
    <t>115171 - 115181</t>
  </si>
  <si>
    <t>Peuplier hybride interaméricain, Peuplier noble</t>
  </si>
  <si>
    <t>453407 - 115208 - 115212 - 115213</t>
  </si>
  <si>
    <t>Pourpier à grandes fleurs, Chevalier-d'onze-heures</t>
  </si>
  <si>
    <t>139182 - 115219 - 115211 - 115207 - 453402 - 115217 - 455735 - 769045 - 115216 - 115214 - 635970 - 115209 - 115220 - 139181 - 115215 - 635967 - 139177 - 635969 - 453404 - 985122 - 635968 - 161307 - 115206 - 455823 - 150000</t>
  </si>
  <si>
    <t>Pourpier potager, Pourpier rouge</t>
  </si>
  <si>
    <t>115210 - 139179 - 150001 - 139180 - 115218</t>
  </si>
  <si>
    <t>Pourpier cultivé</t>
  </si>
  <si>
    <t>115226 - 115248</t>
  </si>
  <si>
    <t>Potamot à feuilles aiguës, Potamot à feuilles pointues</t>
  </si>
  <si>
    <t>115285 - 115304 - 115321 - 115287 - 139212 - 115307 - 150047 - 115276 - 115325 - 150050 - 115228 - 150046 - 150003 - 115311 - 115309 - 115284 - 620304 - 150048 - 86850 - 150049 - 115235 - 150002</t>
  </si>
  <si>
    <t>Potamot des Alpes</t>
  </si>
  <si>
    <t>115233 - 620305 - 150042 - 153692 - 115306 - 150043 - 150044</t>
  </si>
  <si>
    <t>Potamot de Berchtold</t>
  </si>
  <si>
    <t>86844 - 139184 - 139209 - 139215 - 150004 - 115237 - 115322 - 115260 - 612551 - 115299 - 150005 - 153695 - 115263 - 115320</t>
  </si>
  <si>
    <t>Potamot coloré, Potamot des tourbières alcalines, Potamot rougeâtre</t>
  </si>
  <si>
    <t>115247 - 115267 - 115239 - 115227 - 115240 - 115386</t>
  </si>
  <si>
    <t>Potamot compressé, Potamot à tige comprimée, Potamot comprimé</t>
  </si>
  <si>
    <t>115316 - 150006 - 86842 - 115245 - 115314 - 115266 - 150007 - 115328 - 115244</t>
  </si>
  <si>
    <t>Potamot crépu, Potamot à feuilles crépues</t>
  </si>
  <si>
    <t>115256 - 115279 - 115288</t>
  </si>
  <si>
    <t>Potamot de Fries, Potamot à feuilles mucronées</t>
  </si>
  <si>
    <t>773087 - 150016 - 115258 - 150017 - 150018 - 150019 - 139211 - 150015 - 115281 - 150039 - 86851 - 115262 - 773292 - 139189 - 773088</t>
  </si>
  <si>
    <t>Potamot graminé, Potamot à feuilles de graminée</t>
  </si>
  <si>
    <t>115242 - 150040 - 115332 - 115225 - 115272 - 150020 - 150021 - 115236 - 115269 - 139195 - 115270 - 86845 - 139194 - 115303</t>
  </si>
  <si>
    <t>Potamot luisant, Potamot brillant</t>
  </si>
  <si>
    <t>115280 - 115319 - 150024 - 115278 - 115375 - 115313 - 115243 - 150023 - 86846 - 139197 - 150022 - 150025</t>
  </si>
  <si>
    <t>Potamot nageant</t>
  </si>
  <si>
    <t>635978 - 115297 - 635979 - 853531 - 614172 - 115230 - 115282 - 115298 - 139202 - 853530 - 706694 - 708965 - 150054 - 139218 - 139201</t>
  </si>
  <si>
    <t>Potamot noueux, Potamot à feuilles flottantes</t>
  </si>
  <si>
    <t>86847 - 115323 - 115286 - 150026</t>
  </si>
  <si>
    <t>Potamot à feuilles obtuses</t>
  </si>
  <si>
    <t>772927 - 115317 - 150030 - 115268 - 115296 - 115234 - 86840</t>
  </si>
  <si>
    <t>Potamot perfolié, Potamot à feuilles perfoliées</t>
  </si>
  <si>
    <t>150033 - 139205 - 115301 - 115293 - 620309 - 139203 - 150031 - 115275 - 115300 - 115283 - 115290 - 150032</t>
  </si>
  <si>
    <t>Potamot à feuilles de renouée</t>
  </si>
  <si>
    <t>150036 - 115254 - 115271 - 150035 - 115302 - 150034 - 150038 - 150037</t>
  </si>
  <si>
    <t>Potamot allongé</t>
  </si>
  <si>
    <t>115324 - 139206 - 150045 - 115292 - 139207 - 620312 - 86849 - 115259 - 115257 - 153694 - 1006349 - 620311 - 620310 - 115305</t>
  </si>
  <si>
    <t>Potamot fluet</t>
  </si>
  <si>
    <t>139213 - 115308 - 139219</t>
  </si>
  <si>
    <t>Potamot des ruisseaux</t>
  </si>
  <si>
    <t>115327 - 150052 - 115326 - 115241 - 115277 - 150051 - 139208</t>
  </si>
  <si>
    <t>Potamot capillaire, Potamot filiforme, Potamot à feuilles capillaires</t>
  </si>
  <si>
    <t>21 - 25 - 39 - 58 - 70 - 71 - 89</t>
  </si>
  <si>
    <t>115343 - 115354 - 139193 - 150041 - 115344 - 139196 - 115384 - 115334</t>
  </si>
  <si>
    <t>Potamot à feuilles étroites, Potamot de Ziz</t>
  </si>
  <si>
    <t>150060 - 115346 - 115342 - 115345</t>
  </si>
  <si>
    <t>Potamot de Cooper</t>
  </si>
  <si>
    <t>139198 - 150056 - 150053 - 139200 - 139217 - 139199 - 115364 - 150055 - 115348 - 115338 - 115377 - 139204 - 150057</t>
  </si>
  <si>
    <t>Potamot flottant</t>
  </si>
  <si>
    <t>771882 - 611463 - 150059 - 139190 - 115246 - 139220 - 115363</t>
  </si>
  <si>
    <t>Potamot brillant, Potamot luisant</t>
  </si>
  <si>
    <t>620314 - 115371 - 115333</t>
  </si>
  <si>
    <t>Potamot à feuilles de saule</t>
  </si>
  <si>
    <t>115681 - 126893 - 150176 - 139327 - 115400 - 115606 - 126894 - 95650 - 98845</t>
  </si>
  <si>
    <t>Potentille d'Angleterre, Potentille couchée</t>
  </si>
  <si>
    <t>139236 - 103213 - 115612 - 115558 - 115406 - 115463 - 139239 - 115523 - 115396 - 139238 - 115428 - 115444 - 103212 - 150070 - 139246 - 987617 - 115407 - 98800 - 115459 - 115674 - 115497 - 139245 - 150068 - 150071 - 115707 - 139240 - 139293 - 115711 - 150069 - 139243 - 139241 - 115642 - 139242 - 150073 - 150179 - 115689 - 150072 - 987614 - 115518 - 115457 - 139251</t>
  </si>
  <si>
    <t>Potentille argentée</t>
  </si>
  <si>
    <t>95640 - 150077 - 115414 - 115471 - 115399 - 150115 - 115564 - 115555 - 150075 - 115506 - 115504 - 150076 - 95644 - 150114 - 98801</t>
  </si>
  <si>
    <t>Potentille dorée</t>
  </si>
  <si>
    <t>98880 - 150081 - 115431 - 127199</t>
  </si>
  <si>
    <t>Potentille caulescente, Potentille à tiges courtes</t>
  </si>
  <si>
    <t>150199 - 115658 - 620323 - 115629 - 150159 - 115440 - 620322 - 1014775 - 115398 - 150078 - 115476 - 115532 - 115633 - 987637 - 150167 - 150187 - 139331 - 115525 - 115626 - 150165 - 115660 - 150100 - 150062 - 115636 - 115700 - 115418 - 115632 - 115419 - 115657 - 139273 - 115423 - 115541 - 115449 - 150163 - 115656 - 150200 - 115696 - 139272 - 139329 - 139271 - 115645 - 139322 - 150201 - 150162 - 139229 - 139270 - 150188 - 98810 - 115605 - 155036 - 150203 - 620320 - 115453 - 115549 - 150064 - 150160 - 115513 - 150166 - 98866 - 95645 - 620321</t>
  </si>
  <si>
    <t>Potentille de Crantz, Potentille de Salzbourg</t>
  </si>
  <si>
    <t>150104 - 126889 - 150174 - 115621 - 115680 - 126890 - 115651 - 150103 - 139275 - 150102 - 126883 - 126898 - 150101 - 115661 - 150172 - 126881 - 126892 - 115676 - 139326 - 126887 - 98862 - 115470 - 126884 - 139328 - 126899 - 153707 - 126897 - 126896 - 139274 - 115465 - 126891 - 620324 - 126885 - 150173 - 115536</t>
  </si>
  <si>
    <t>Potentille dressée, Potentille tormentille, Tormentille</t>
  </si>
  <si>
    <t>139282 - 150112 - 115665 - 115594 - 98821 - 139281 - 150110 - 150111 - 115498</t>
  </si>
  <si>
    <t>Potentille à grandes fleurs</t>
  </si>
  <si>
    <t>150117 - 115535 - 115659 - 115433 - 115448 - 115599 - 103214 - 115415 - 150119 - 115432 - 139310 - 115571 - 139288 - 115683 - 115401 - 150121 - 139289 - 115515</t>
  </si>
  <si>
    <t>Potentille hérissée, Potentille velue</t>
  </si>
  <si>
    <t>115543 - 115500 - 115652 - 115613 - 115505 - 115677 - 115531 - 139268 - 115533 - 115710 - 139337 - 139294 - 139269 - 150095 - 150094 - 115708 - 1014701 - 115709 - 115604 - 139323 - 139237 - 115545 - 139267 - 115638 - 115441 - 139343 - 115456 - 115519 - 115653</t>
  </si>
  <si>
    <t>Potentille de Wissembourg</t>
  </si>
  <si>
    <t>115430 - 150131 - 115392 - 139297 - 115410 - 139247 - 987619 - 150180 - 150080 - 150133 - 150132 - 139295 - 115517 - 115667 - 115553 - 150096 - 115477 - 115412 - 115546 - 150079 - 987618 - 115526 - 139244</t>
  </si>
  <si>
    <t>Potentille inclinée, Potentille grisâtre</t>
  </si>
  <si>
    <t>115527 - 95630 - 95627 - 98848 - 98837 - 95628 - 115706 - 160403 - 98823 - 115460 - 98826 - 95629</t>
  </si>
  <si>
    <t>Potentille des Indes, Fraisier de Duchesne, Fraisier d’Inde, Duchesnée des Indes</t>
  </si>
  <si>
    <t>115507 - 115690 - 115530</t>
  </si>
  <si>
    <t>Potentille intermédiaire</t>
  </si>
  <si>
    <t>98793 - 98828 - 147106 - 139278 - 150170 - 98881 - 98804 - 115590 - 139299 - 115554 - 115589 - 139276 - 115426</t>
  </si>
  <si>
    <t>Potentille à petites fleurs</t>
  </si>
  <si>
    <t>21 - 39 - 70 - 71</t>
  </si>
  <si>
    <t>985121 - 115566 - 150074</t>
  </si>
  <si>
    <t>Potentille négligée</t>
  </si>
  <si>
    <t>772953 - 112680 - 139303 - 139302 - 98840 - 112678 - 773282 - 115502 - 139301 - 115462 - 772952 - 115489 - 115575 - 115559 - 127205 - 115514 - 112679</t>
  </si>
  <si>
    <t>Potentille de Norvège, Potentille norvégienne</t>
  </si>
  <si>
    <t>620335 - 115591 - 115615 - 620333 - 620334 - 115516 - 115635 - 620330 - 620331 - 115595 - 115662 - 139304 - 115648 - 620336 - 153703</t>
  </si>
  <si>
    <t>Potentille de Pennsylvanie</t>
  </si>
  <si>
    <t>115668 - 115511 - 139315 - 150152 - 150127 - 139292 - 139312 - 115512 - 115475 - 115577 - 115641 - 614197 - 115585 - 139313 - 115450 - 150122 - 153702 - 139309 - 139316 - 150120 - 115389 - 115451 - 115413 - 115682 - 150149 - 139308 - 115576 - 150126 - 115390 - 150123 - 139311 - 115620 - 150151 - 115586 - 115464 - 115544 - 115600 - 103215 - 115692 - 139314 - 139317 - 150125 - 115447 - 150150 - 150118 - 115534</t>
  </si>
  <si>
    <t>Potentille droite, Potentille dressée</t>
  </si>
  <si>
    <t>115622 - 115427 - 126895 - 115666 - 150153 - 95651 - 115623 - 98841 - 115624 - 150154</t>
  </si>
  <si>
    <t>Potentille rampante, Quintefeuille</t>
  </si>
  <si>
    <t>98857 - 92216 - 115655 - 115485 - 115501 - 94232 - 115484 - 115699 - 115481 - 126888 - 115483 - 98794 - 115482 - 98883 - 98854 - 115469 - 115610 - 98843 - 115649 - 115480</t>
  </si>
  <si>
    <t>Potentille stérile, Potentille faux fraisier</t>
  </si>
  <si>
    <t>90501 - 115669 - 92218 - 115588 - 92215 - 127206 - 98859</t>
  </si>
  <si>
    <t>Potentille couchée</t>
  </si>
  <si>
    <t>155037 - 115510 - 115435 - 115496 - 115569 - 139286 - 115678 - 159795 - 620337 - 139248 - 139261</t>
  </si>
  <si>
    <t>Potentille de Thuringe</t>
  </si>
  <si>
    <t>150092 - 153700 - 115693 - 139227 - 932922 - 985125 - 717858 - 139228 - 139266</t>
  </si>
  <si>
    <t>Potentille veloutée</t>
  </si>
  <si>
    <t>115394 - 115557 - 115704 - 115640 - 150190 - 115761 - 150184 - 115686 - 150205 - 139335 - 150197 - 150195 - 139333 - 115393 - 150183 - 150181 - 115650 - 95648 - 150182 - 115603 - 987667 - 115429 - 95656 - 150206 - 95652 - 115570 - 150202 - 95642 - 115499 - 95639 - 987666 - 95641 - 987657 - 139332 - 115552 - 115694 - 115670 - 987647 - 139341 - 115454 - 115579 - 115672 - 932951 - 154505 - 115417 - 1006417 - 115434 - 150185 - 95654 - 987677 - 115522 - 139342 - 115550 - 115561 - 115608 - 150193 - 115644 - 115422 - 115639 - 150198 - 139340 - 139325 - 160009 - 620328 - 987649 - 150204 - 987676 - 150140 - 115472</t>
  </si>
  <si>
    <t>Potentille printanière, Potentille de Tabernaemontanus, Potentille de printemps, Potentille de Neumann</t>
  </si>
  <si>
    <t>115734 - 139318 - 115726 - 115739 - 115741</t>
  </si>
  <si>
    <t>Potentille mixte</t>
  </si>
  <si>
    <t>115721 - 115744 - 115754</t>
  </si>
  <si>
    <t>Potentille presque dressée</t>
  </si>
  <si>
    <t>113581 - 115789 - 120753 - 113594 - 115782</t>
  </si>
  <si>
    <t>Potérium sanguisorbe, Pimprenelle à fruits réticulés, Petite sanguisorbe, Petite pimprenelle, Sanguisorbe mineure</t>
  </si>
  <si>
    <t>90962 - 115818 - 139352 - 90966 - 115815 - 150225 - 103153 - 150224 - 115813</t>
  </si>
  <si>
    <t>Prénanthe pourpre, Prénanthès pourpre</t>
  </si>
  <si>
    <t>150239 - 139385 - 115865</t>
  </si>
  <si>
    <t>Primevère élevée, Coucou des bois, Primevère des bois</t>
  </si>
  <si>
    <t>139366 - 82499 - 115878 - 115868 - 81244 - 150229 - 139367 - 150228 - 115899 - 115867 - 150227</t>
  </si>
  <si>
    <t>Primevère farineuse</t>
  </si>
  <si>
    <t>115891 - 85181 - 719119 - 85183 - 115880</t>
  </si>
  <si>
    <t>Primevère jaune</t>
  </si>
  <si>
    <t>115855 - 115918 - 139386 - 115900 - 115897 - 150240 - 115856</t>
  </si>
  <si>
    <t>Primevère vraie, Coucou, Primevère officinale, Brérelle</t>
  </si>
  <si>
    <t>115871 - 115925 - 139355 - 115832 - 150238</t>
  </si>
  <si>
    <t>Primevère commune, Primevère acaule, Primevère à grandes fleurs</t>
  </si>
  <si>
    <t>Primevère d'Angleterre</t>
  </si>
  <si>
    <t>115938 - 115928 - 115950 - 115952 - 150245</t>
  </si>
  <si>
    <t>Primevère hybride</t>
  </si>
  <si>
    <t>115949 - 115936 - 620339 - 620338 - 150246 - 115937</t>
  </si>
  <si>
    <t>Primevère moyenne, Primevère intermédiaire</t>
  </si>
  <si>
    <t>139382 - 139398 - 150244 - 115947 - 115957 - 115941 - 115934 - 115953 - 115935 - 139397 - 139396</t>
  </si>
  <si>
    <t>Primevère à fleurs nombreuses, Primevère variable</t>
  </si>
  <si>
    <t>103063 - 121615 - 115975 - 151294 - 121603 - 82893 - 121620 - 99851 - 125053 - 121623 - 613580 - 111316</t>
  </si>
  <si>
    <t>Scille d'automne, Prospéro d'automne</t>
  </si>
  <si>
    <t>115993 - 139409 - 139403 - 139408 - 139410 - 161941 - 116008 - 115987 - 150247</t>
  </si>
  <si>
    <t>Brunelle à grandes fleurs</t>
  </si>
  <si>
    <t>621369 - 116005 - 150248 - 115992 - 139413 - 116009 - 115984 - 116002 - 139406 - 115998 - 613803 - 621368 - 139412 - 613804 - 139407</t>
  </si>
  <si>
    <t>Brunelle laciniée, Brunelle blanche</t>
  </si>
  <si>
    <t>116010 - 116003 - 115989 - 116004 - 115995 - 708976 - 116007 - 116001 - 115999 - 139414 - 116012 - 115991 - 1006461 - 115997 - 115986 - 115985</t>
  </si>
  <si>
    <t>Herbe Catois</t>
  </si>
  <si>
    <t>116013 - 116017 - 116025 - 116014 - 116021</t>
  </si>
  <si>
    <t>Brunelle découpée</t>
  </si>
  <si>
    <t>116022 - 116024 - 116020</t>
  </si>
  <si>
    <t>Brunelle intermédiaire</t>
  </si>
  <si>
    <t>Brunelle bâtarde</t>
  </si>
  <si>
    <t>116149 - 82201 - 116041 - 83801 - 83802 - 83799 - 116031 - 139417</t>
  </si>
  <si>
    <t>Prunier abricotier, Abricotier</t>
  </si>
  <si>
    <t>90143 - 154516 - 150267 - 155044 - 90167 - 90153 - 1006471 - 95448 - 150264 - 90152 - 116152 - 90142 - 116102 - 90162 - 150286 - 116140 - 154515 - 90173 - 150262 - 150312 - 90149 - 90172 - 116094 - 116046 - 154510 - 145431 - 90174 - 90163 - 116043 - 90159</t>
  </si>
  <si>
    <t>Prunier merisier, Cerisier</t>
  </si>
  <si>
    <t>116099 - 150276 - 150281 - 150257 - 116053 - 116066 - 116098 - 139430 - 139419 - 139418 - 150258</t>
  </si>
  <si>
    <t>Prunier myrobolan, Myrobolan, Prunier porte-cerise, Mirobolan</t>
  </si>
  <si>
    <t>95449 - 116134 - 90145 - 116054 - 90141 - 139424 - 145433 - 145432 - 90161 - 116029 - 145435 - 90151 - 145434 - 90176</t>
  </si>
  <si>
    <t>Cerisier acide, Griottier, Cerisier vrai, Prunier cerisier</t>
  </si>
  <si>
    <t>150271 - 116044 - 139454 - 116067 - 116055 - 139426 - 95453 - 116059 - 150287 - 139451</t>
  </si>
  <si>
    <t>Prunier domestique, Prunier, Prunier commun</t>
  </si>
  <si>
    <t>150249 - 150272 - 82204 - 82202 - 116036 - 143471 - 82209 - 143474 - 116035 - 143475 - 139425 - 82203 - 143469 - 116068 - 620346 - 143470 - 150250 - 116058 - 95447 - 143472 - 150252 - 82205 - 150251 - 620347 - 82214</t>
  </si>
  <si>
    <t>Prunier amandier, Amandier</t>
  </si>
  <si>
    <t>116080 - 934303 - 90157 - 116089 - 105293 - 112019 - 105294</t>
  </si>
  <si>
    <t>Prunier laurier-cerise, Laurier-cerise, Laurier-palme</t>
  </si>
  <si>
    <t>112020 - 95451 - 90160 - 112014 - 90147 - 116104 - 116096</t>
  </si>
  <si>
    <t>Prunier mahaleb, Bois de Sainte-Lucie, Prunier de Sainte-Lucie, Amarel, Cerisier de Sainte-Lucie</t>
  </si>
  <si>
    <t>116122 - 150289 - 90165 - 90166 - 112023 - 620349 - 112017 - 90146 - 95452 - 116109 - 112018 - 90169 - 116120 - 116130 - 112028 - 116047</t>
  </si>
  <si>
    <t>Prunier à grappes, Cerisier à grappes, Merisier à grappes, Putier, Bois puant</t>
  </si>
  <si>
    <t>112721 - 150294 - 139448 - 116112 - 112723 - 82208 - 153611 - 150293 - 116103 - 149294 - 521670 - 143480 - 926348 - 131317 - 112720 - 149293 - 143478 - 131318 - 138645 - 139446 - 150290 - 150291 - 82210 - 82211 - 149291 - 143477 - 82206 - 112719 - 149292 - 139447 - 150292 - 143479 - 112722</t>
  </si>
  <si>
    <t>Pêcher, Prunier de Perse</t>
  </si>
  <si>
    <t>90171 - 116137 - 112025 - 116129 - 112027</t>
  </si>
  <si>
    <t>Prunier tardif, Cerisier tardif, Cerisier noir, Cerisier d'automne</t>
  </si>
  <si>
    <t>150308 - 153722 - 150309 - 153719 - 153726 - 116121 - 153756 - 153759 - 153763 - 153762 - 150306 - 153761 - 116111 - 153723 - 150310 - 153714 - 150301 - 150304 - 116075 - 116079 - 116154 - 116108 - 153760 - 153718 - 116142 - 116092 - 153715 - 116128 - 116038 - 620352 - 620351 - 116110 - 153725 - 150311 - 620355 - 150300 - 116091 - 150284 - 614972 - 153755 - 153754 - 150274 - 139456 - 153764 - 116086 - 116063 - 614989 - 139453 - 95454 - 116143 - 153765 - 139428 - 153766 - 116062 - 153758 - 116026 - 150302 - 116114 - 620354 - 116115 - 150307 - 153757 - 116146 - 116123 - 116116</t>
  </si>
  <si>
    <t>Prunier épineux, Épine noire, Prunellier, Pelossier</t>
  </si>
  <si>
    <t>116072 - 112021 - 116100 - 90148 - 112026 - 112024 - 116090 - 116155 - 90175 - 90164</t>
  </si>
  <si>
    <t>Prunier de Virginie, Cerisier de Virginie</t>
  </si>
  <si>
    <t>100691 - 120820 - 100672 - 100692 - 100677 - 116184 - 116185 - 100685 - 123554 - 100684 - 147530 - 970238 - 116186 - 94918</t>
  </si>
  <si>
    <t>Gypsophile des murailles, Gypsophile des moissons, Gypsophile des murs, Gypsophile des champs</t>
  </si>
  <si>
    <t>116197 - 92592 - 99043 - 87794 - 985131</t>
  </si>
  <si>
    <t>Fausse fumeterre blanche, Corydale jaunâtre, Fumeterre blanche</t>
  </si>
  <si>
    <t>99094 - 116198 - 87792 - 109466 - 99060 - 86160 - 92591 - 161257 - 161258 - 87797</t>
  </si>
  <si>
    <t>Fausse fumeterre jaune, Corydale jaune, Fumeterre jaune</t>
  </si>
  <si>
    <t>105847 - 100695 - 110790 - 85935 - 116206 - 147527 - 100604 - 620358 - 86104 - 120931 - 162359 - 96094 - 100612 - 718279 - 620357 - 110792 - 100698 - 144284</t>
  </si>
  <si>
    <t>Faux orchis blanc, Pseudorchis blanc, Orchis blanc</t>
  </si>
  <si>
    <t>84139 - 130574 - 120877 - 85521 - 116211</t>
  </si>
  <si>
    <t>Faux sasa du Japon, Bambou du Japon</t>
  </si>
  <si>
    <t>116215 - 116214 - 79329 - 79342 - 79352 - 116216 - 116217 - 113656 - 116218 - 79343 - 113705</t>
  </si>
  <si>
    <t>Douglas de Menzies, Sapin de Douglas, Pin de l'Orégon, Douglas, Sapin de Douglas, Pseudotsuga de Menzies</t>
  </si>
  <si>
    <t>98720 - 116270 - 150320 - 98719 - 116266 - 111404 - 114937 - 958806 - 81555 - 116271 - 116277 - 116275 - 91218 - 116265 - 116269 - 84464 - 97853</t>
  </si>
  <si>
    <t>Ptéridion aigle, Fougère à l'aigle, Fougère aigle, Fougère commune, Ptéride aquiline</t>
  </si>
  <si>
    <t>116288 - 1014253 - 1014251 - 104073 - 116289 - 104075 - 116290</t>
  </si>
  <si>
    <t>Ptérocarya à feuilles de frêne, Noyer du Caucase, Pterocaryer à feuilles de frêne, Ptérocaryer du Caucase</t>
  </si>
  <si>
    <t>116339 - 123052 - 97953 - 1006513 - 123973 - 80355 - 89249 - 123005 - 139471 - 614587 - 80363 - 116338 - 108459</t>
  </si>
  <si>
    <t>Ptychotide saxifrage, Ptychotis à feuilles variées, Ptychotide à feuilles de saxifrage</t>
  </si>
  <si>
    <t>95095 - 84649 - 139486 - 161855 - 150333 - 139485 - 116392 - 987415 - 116386 - 103615 - 84725 - 116399 - 103610 - 103618 - 150332</t>
  </si>
  <si>
    <t>Pulicaire dysentérique, Herbe de Saint-Roch, Inule dysentérique</t>
  </si>
  <si>
    <t>116397 - 116391 - 84696 - 116403 - 116405 - 95096 - 116398 - 103642 - 116402 - 116393 - 103646</t>
  </si>
  <si>
    <t>Pulicaire commune, Pulicaire annuelle, Herbe de Saint-Roch</t>
  </si>
  <si>
    <t>116408 - 139506 - 153771 - 116425 - 620364 - 116423 - 139501 - 139487 - 116407</t>
  </si>
  <si>
    <t>Pulmonaire affine, Pulmonaire à larges feuilles, Pulmonaire à feuilles larges</t>
  </si>
  <si>
    <t>116411 - 116412 - 620365 - 952365 - 116413</t>
  </si>
  <si>
    <t>Pulmonaire australe</t>
  </si>
  <si>
    <t>139508 - 139490 - 139502 - 116416 - 150334 - 139489</t>
  </si>
  <si>
    <t>Pulmonaire à feuilles longues, Pulmonaire à longues feuilles</t>
  </si>
  <si>
    <t>116419 - 139491 - 116428</t>
  </si>
  <si>
    <t>Pulmonaire des montagnes</t>
  </si>
  <si>
    <t>116421 - 139504 - 153772</t>
  </si>
  <si>
    <t>Pulmonaire obscure, Pulmonaire sombre, Herbe-de-cœur</t>
  </si>
  <si>
    <t>116431 - 116417 - 116427 - 116422 - 139492 - 116415 - 139503</t>
  </si>
  <si>
    <t>Pulmonaire officinale</t>
  </si>
  <si>
    <t>116434 - 162440 - 139509 - 153774 - 116436</t>
  </si>
  <si>
    <t>Pulmonaire ovale, Pulmonaire à feuilles ovales</t>
  </si>
  <si>
    <t>82603 - 116445 - 115819 - 82596 - 116440</t>
  </si>
  <si>
    <t>Pulsatille des Alpes, Anémone des Alpes</t>
  </si>
  <si>
    <t>155095 - 143550 - 139523 - 1002066 - 161705 - 116456 - 82660 - 131408 - 150351</t>
  </si>
  <si>
    <t>Pulsatille rouge, Anémone rouge</t>
  </si>
  <si>
    <t>162117 - 131404 - 152729 - 139525 - 131407 - 116460 - 82643 - 82625 - 150348 - 82652 - 718640 - 116447 - 718305 - 150349 - 150353</t>
  </si>
  <si>
    <t>Pulsatille commune, Anémone pulsatille</t>
  </si>
  <si>
    <t>161110 - 100656 - 116485 - 108435 - 92696 - 116486 - 92888 - 148713 - 108431 - 126689 - 150355 - 111934</t>
  </si>
  <si>
    <t>Pyracantha écarlate, Buisson ardent, Pyracantha à fleurs peu nombreuses</t>
  </si>
  <si>
    <t>772656 - 126261 - 772655 - 116534 - 116531 - 116552</t>
  </si>
  <si>
    <t>Pyrole à fleurs verdâtres, Pyrole verdâtre</t>
  </si>
  <si>
    <t>116542 - 116533 - 139529 - 82109 - 126264</t>
  </si>
  <si>
    <t>Pyrole moyenne, Pyrole moyenne, Pyrole de taille moyenne, Pyrole intermédiaire</t>
  </si>
  <si>
    <t>97132 - 82110 - 86469 - 116546 - 116543 - 116544</t>
  </si>
  <si>
    <t>Pyrole mineure, Petite pyrole</t>
  </si>
  <si>
    <t>126266 - 116535 - 116540 - 116547</t>
  </si>
  <si>
    <t>Pyrole à feuilles rondes</t>
  </si>
  <si>
    <t>150371 - 116612 - 150372 - 116582 - 124335 - 985143 - 116493 - 116605 - 150377 - 92849 - 150376 - 116574 - 150375 - 139547 - 116568 - 116555</t>
  </si>
  <si>
    <t>Poirier commun, Poirier cultivé, Poirier domestique</t>
  </si>
  <si>
    <t>150367 - 150369 - 139541 - 150384 - 116591 - 150368 - 150366 - 116590 - 139540 - 139535 - 139542 - 150370 - 116576 - 116569 - 150373 - 116577 - 116587 - 116592</t>
  </si>
  <si>
    <t>Poirier cordé, Poirier à feuilles en cœur, Poirasse</t>
  </si>
  <si>
    <t>116604 - 150383 - 139532 - 139546</t>
  </si>
  <si>
    <t>Poirier à feuilles de sauge</t>
  </si>
  <si>
    <t>90271 - 116670 - 116686 - 116679 - 90270 - 90269 - 116746 - 139557 - 139556 - 139558 - 116711 - 116655 - 116786 - 116788 - 116757 - 116690 - 116734 - 116790 - 116756</t>
  </si>
  <si>
    <t>Chêne chevelu, Chêne de Turquie</t>
  </si>
  <si>
    <t>139569 - 116676 - 116767 - 116733 - 150389 - 116732 - 1006534 - 139567 - 116649 - 139568 - 116748 - 116724 - 150393 - 116657 - 116700 - 150394 - 116770 - 116689 - 116701 - 150390 - 139572 - 116715 - 116761 - 150395 - 150392 - 139571 - 150391 - 116704 - 116668 - 116705 - 139570 - 139566 - 116658 - 1010575 - 1006540</t>
  </si>
  <si>
    <t>Chêne vert, yeuse</t>
  </si>
  <si>
    <t>Chêne des marais, Chêne à épingles</t>
  </si>
  <si>
    <t>160268 - 116673 - 116727 - 139598 - 116703 - 116699 - 116662 - 116792 - 116681 - 1010465 - 718281 - 116751 - 116712 - 116794 - 139595 - 116779 - 116654 - 116717 - 116653 - 139565 - 116766 - 116663 - 116680 - 139599 - 1006532 - 1006531 - 116787 - 1010502 - 160099 - 139585 - 1010507 - 116745 - 150400 - 116805 - 116710 - 116650 - 1010411 - 116683 - 1010511 - 116675 - 139564 - 1010416 - 116646 - 116784 - 1010501 - 1010415 - 150388</t>
  </si>
  <si>
    <t>Chêne pubescent, chêne humble</t>
  </si>
  <si>
    <t>116781 - 116735 - 116789 - 116750 - 154647 - 939292 - 1010526 - 154519 - 116754 - 116782 - 116666 - 116772</t>
  </si>
  <si>
    <t>Chêne des Pyrénées, Chêne tauzin, Chêne-brosse</t>
  </si>
  <si>
    <t>116709 - 116697 - 1010342 - 116691 - 150396 - 139592 - 116796 - 116759 - 139593 - 116693 - 150398 - 620385 - 116723 - 718761 - 139588 - 139596 - 161939 - 1010386 - 116684 - 116652 - 1010371 - 150399 - 139591 - 116729 - 116702 - 116771 - 116763 - 116741 - 1010344 - 153780 - 153781 - 1006536 - 116720 - 1010336 - 116718 - 116665 - 139589 - 116694 - 116688 - 1010343 - 116698 - 139590 - 154910 - 116753 - 116780 - 116719 - 116755 - 139594 - 1010341 - 139581 - 116716 - 150397 - 116742</t>
  </si>
  <si>
    <t>Chêne pédonculé, Gravelin, Chêne femelle, Chêne à grappe, Châgne</t>
  </si>
  <si>
    <t>116762 - 952378 - 97321 - 952377 - 116660</t>
  </si>
  <si>
    <t>Chêne rouge, Chêne rouge d'Amérique</t>
  </si>
  <si>
    <t>1010303 - 116799 - 116820 - 116773 - 116783 - 116841</t>
  </si>
  <si>
    <t>Chêne d'Angers</t>
  </si>
  <si>
    <t>116829 - 116828 - 116819 - 116851 - 116830 - 116850 - 116845 - 116835</t>
  </si>
  <si>
    <t>Chêne de Kerner</t>
  </si>
  <si>
    <t>116798 - 116846 - 116804 - 116844 - 116842 - 116824 - 116815 - 116826 - 116803</t>
  </si>
  <si>
    <t>Chêne rosacé, Chêne intermédiaire</t>
  </si>
  <si>
    <t>620387 - 150408 - 116955 - 150406 - 100771 - 117076 - 150403 - 116882 - 117041 - 117126 - 116931 - 150407 - 117114 - 117060 - 153784 - 116902</t>
  </si>
  <si>
    <t>Renoncule à feuilles d'aconit, Bouton-d'argent</t>
  </si>
  <si>
    <t>161231 - 614976 - 150412 - 153788 - 139606 - 161233 - 117158 - 116962 - 117088 - 116899 - 150414 - 116903 - 117131 - 116884 - 153787 - 117197 - 1006586 - 772933 - 772932 - 153786 - 117233 - 117252 - 150413 - 117241 - 150411 - 161232 - 116946 - 161234 - 117212 - 117240 - 116892</t>
  </si>
  <si>
    <t>Renoncule âcre, Bouton-d'or, Pied-de-coq</t>
  </si>
  <si>
    <t>139741 - 153824 - 139721 - 139730 - 139713 - 139760 - 117271 - 139731 - 117089 - 139732 - 116901 - 116907</t>
  </si>
  <si>
    <t>Renoncule crochue, Renoncule de Villars</t>
  </si>
  <si>
    <t>116917 - 100772 - 153791 - 139614 - 150417 - 139615 - 105843 - 161212</t>
  </si>
  <si>
    <t>Renoncule alpestre</t>
  </si>
  <si>
    <t>139820 - 116905 - 117004 - 117042 - 620390 - 117061 - 620391 - 117163 - 153856 - 117053 - 139825 - 117092 - 85656 - 117137 - 161754 - 150531 - 161756 - 116966 - 161755 - 85633 - 161757 - 139693 - 85664 - 117068 - 139620 - 620389 - 116926 - 85674 - 117194 - 150426 - 117161 - 116978 - 116928 - 139628 - 85639 - 153860 - 85658 - 117045 - 139625 - 85669 - 116927 - 150423 - 85655 - 117067 - 150425 - 139634</t>
  </si>
  <si>
    <t>Renoncule aquatique</t>
  </si>
  <si>
    <t>150431 - 101308 - 150430 - 93853 - 117204 - 117261 - 139640 - 150429 - 161222 - 117008 - 117017 - 150428 - 112009 - 116932</t>
  </si>
  <si>
    <t>Renoncule des champs, Chausse-trappe des blés</t>
  </si>
  <si>
    <t>Ranunculus arvensis</t>
  </si>
  <si>
    <t>117266 - 116936 - 139647 - 116945</t>
  </si>
  <si>
    <t>Renoncule tête-d'or, Renoncule à tête d'or</t>
  </si>
  <si>
    <t>117014 - 139742 - 139682 - 153793 - 116898 - 116897 - 150442 - 150446 - 117152 - 139686 - 117265 - 789368 - 620397 - 139679 - 139680 - 117062 - 139684 - 117234 - 150443 - 150449 - 161864 - 117133 - 116887 - 116952 - 139685 - 116906 - 1006570 - 117230 - 139683 - 117082 - 116950 - 117037 - 139681 - 161225 - 153794 - 150441 - 116885 - 620396 - 139677 - 139678 - 116913 - 620398 - 117142 - 150448 - 139676 - 150447 - 153795 - 116888 - 150444 - 139687 - 150445 - 116912 - 117196 - 153796</t>
  </si>
  <si>
    <t>Renoncule bulbeuse, Bouton-d'or bulbeux</t>
  </si>
  <si>
    <t>117267 - 139734 - 116967 - 117091 - 116930 - 150465 - 139735</t>
  </si>
  <si>
    <t>Renoncule de Carinthie</t>
  </si>
  <si>
    <t>116929 - 150421 - 117182 - 117030 - 117215 - 153820 - 85641 - 117031 - 150450 - 620399 - 153819 - 85653 - 116979 - 139619 - 139694 - 117001</t>
  </si>
  <si>
    <t>Renoncule courbée en cercle, Renoncule divariquée, Renoncule en crosse</t>
  </si>
  <si>
    <t>58 - 70 - 71</t>
  </si>
  <si>
    <t>Renoncule flammette, Renoncule flammette, Petite douve, Flammule</t>
  </si>
  <si>
    <t>117167 - 117168 - 139631 - 153818 - 1006585 - 161753 - 117028 - 161752 - 117027 - 85652 - 85672 - 85651 - 150504 - 150463 - 139712</t>
  </si>
  <si>
    <t>Renoncule flottante, Renoncule des rivières</t>
  </si>
  <si>
    <t>130526 - 150471 - 150473 - 613586 - 150474 - 117050 - 150472 - 117049 - 117106</t>
  </si>
  <si>
    <t>Renoncule graminée, Renoncule à feuilles de graminée</t>
  </si>
  <si>
    <t>117154 - 85657 - 117056 - 117057</t>
  </si>
  <si>
    <t>Renoncule lierre, Renoncule à feuilles de lierre</t>
  </si>
  <si>
    <t>117263 - 150479 - 150478 - 117087 - 153827 - 150476 - 116890 - 150477</t>
  </si>
  <si>
    <t>Renoncule laineuse</t>
  </si>
  <si>
    <t>150481 - 117096 - 117100 - 98733</t>
  </si>
  <si>
    <t>Renoncule langue, Grande douve</t>
  </si>
  <si>
    <t>117223 - 161224 - 153835 - 139728 - 139729 - 162070 - 117124 - 116994 - 150487 - 150486 - 153832 - 116911 - 117123 - 117071 - 153836 - 153834 - 150488 - 117102 - 117046 - 150489 - 139727 - 116993 - 150485 - 153831 - 153833 - 620409</t>
  </si>
  <si>
    <t>Renoncule de Montpellier</t>
  </si>
  <si>
    <t>620410 - 132090 - 150496 - 153847 - 153846 - 139830 - 150494 - 117144 - 150495 - 117103 - 85665 - 139757 - 117159</t>
  </si>
  <si>
    <t>Renoncule toute blanche, Renoncule blanche</t>
  </si>
  <si>
    <t>117199 - 153826 - 116983 - 132089 - 85660 - 117112 - 85666 - 139718 - 117093 - 85642 - 150475 - 117145 - 139717</t>
  </si>
  <si>
    <t>Renoncule de Lenormand, Grenouillette de Lenormand</t>
  </si>
  <si>
    <t>150499 - 100364 - 117146 - 150497</t>
  </si>
  <si>
    <t>Renoncule à feuilles d'ophioglosse, Bouton-d'or à feuilles d'ophioglosse</t>
  </si>
  <si>
    <t>153812 - 117022 - 117058 - 117018 - 116973 - 116999 - 153816 - 116974 - 117051 - 154520 - 117151 - 117274 - 117213 - 153811 - 620415 - 161223 - 153809 - 155028 - 155027 - 117216 - 153813 - 116976 - 117072 - 620414 - 116900 - 620413 - 117136 - 117207 - 153815 - 620411 - 153810 - 153814 - 116985 - 620412 - 139701</t>
  </si>
  <si>
    <t>Renoncule des marais, Renoncule à feuilles de cerfeuil</t>
  </si>
  <si>
    <t>117129 - 150506 - 117242 - 117130 - 161220 - 161221 - 117156 - 109721</t>
  </si>
  <si>
    <t>Renoncule à petites fleurs</t>
  </si>
  <si>
    <t>139635 - 139719 - 117206 - 117164 - 153801 - 150424 - 85675 - 153805 - 139629</t>
  </si>
  <si>
    <t>Renoncule peltée</t>
  </si>
  <si>
    <t>85670 - 153802 - 150510 - 139630 - 132096 - 117165</t>
  </si>
  <si>
    <t>Renoncule en pinceau, Renoncule pénicillée</t>
  </si>
  <si>
    <t>116995 - 100775 - 117174 - 150404 - 150405 - 153782 - 150409 - 139604 - 116883 - 153785</t>
  </si>
  <si>
    <t>Renoncule à feuilles de platane</t>
  </si>
  <si>
    <t>139806 - 139749 - 117175 - 150439 - 139781 - 153843 - 139610 - 139750 - 620419</t>
  </si>
  <si>
    <t>Renoncule faux polyanthème, Renoncule à segments étroits</t>
  </si>
  <si>
    <t>116895 - 772938 - 117074 - 117189 - 117143 - 117083 - 161226 - 161228 - 150516 - 153848 - 117101 - 117024 - 773142 - 150519 - 150518 - 150517 - 117201 - 772937 - 116896 - 773143 - 117202 - 139788 - 161227 - 150520</t>
  </si>
  <si>
    <t>Renoncule rampante, Bouton-d'or rampant</t>
  </si>
  <si>
    <t>117185 - 150512 - 139798 - 117077 - 139793 - 139799 - 150526 - 161219 - 161123 - 620423 - 620424 - 150522 - 161217 - 117221 - 117169 - 162320 - 116921 - 117113 - 139796 - 139797 - 117063 - 150513 - 150523 - 139794 - 109722 - 117220 - 117007 - 117181 - 139795 - 620422 - 117162 - 150524 - 139801 - 161218 - 116971</t>
  </si>
  <si>
    <t>Renoncule de Sardaigne, Renoncule sarde, Sardonie, Renoncule des marais</t>
  </si>
  <si>
    <t>100774 - 85680 - 150528 - 100776 - 150529 - 116925 - 150527 - 116924 - 117224</t>
  </si>
  <si>
    <t>Renoncule scélérate, Renoncule à feuilles de céleri</t>
  </si>
  <si>
    <t>116996 - 153844 - 139746 - 117135 - 150491 - 117121 - 116949 - 139751 - 620427 - 153837 - 116893 - 139782 - 117250 - 150492 - 139752 - 117176 - 116934 - 116894 - 139780 - 139808 - 153841 - 139753 - 1006652 - 139747 - 139754 - 117193 - 153845 - 139745 - 153842 - 116991 - 139748 - 1006643 - 116935 - 153840 - 139807 - 117231 - 153839 - 1006611 - 620426 - 139809 - 139743 - 117141 - 117195 - 150438 - 117262 - 139805 - 1006541 - 116891 - 139783</t>
  </si>
  <si>
    <t>Renoncule tubéreuse, Renoncule serpent, Renoncule radicante, Renoncule des bois</t>
  </si>
  <si>
    <t>117254 - 116908 - 117029 - 85668 - 987609 - 85673 - 85681 - 117118 - 139812 - 139827 - 116920 - 153851 - 620425 - 153861 - 139622 - 139823 - 150503 - 85663 - 85650 - 132094 - 139791 - 139705 - 117255 - 85634 - 116964 - 139769 - 116947 - 116972 - 139811 - 153859 - 85667 - 117023 - 117178 - 139617 - 116933 - 117079 - 1006618 - 116939 - 117244 - 153858 - 139824 - 153852 - 85646 - 132100 - 117078 - 139637 - 85678 - 117183 - 117120 - 150420 - 117160 - 116992 - 117094</t>
  </si>
  <si>
    <t>Renoncule à feuilles capillaires, Renoncule de Drouet</t>
  </si>
  <si>
    <t>161759 - 161758 - 85682 - 139724 - 150534 - 139627 - 117258 - 150535 - 139703 - 150537 - 117140 - 161760 - 150532 - 132091 - 139829 - 153828 - 117166 - 150533 - 150536 - 150480</t>
  </si>
  <si>
    <t>Renoncule tripartite</t>
  </si>
  <si>
    <t>117392 - 150538 - 139837 - 117324 - 117315 - 117316 - 117327 - 139843 - 117338 - 95634 - 117317 - 117321 - 139840 - 117322 - 117366 - 93401 - 117357 - 89440 - 117356 - 117341 - 117312 - 153863 - 117334 - 117323 - 117358 - 117345 - 117326 - 117353</t>
  </si>
  <si>
    <t>Radis ravenelle, Ravenelle, Radis sauvage</t>
  </si>
  <si>
    <t>160545 - 117331 - 139842 - 117355 - 117350 - 117359 - 117335 - 117313 - 117349 - 160933 - 117346 - 160544 - 150547 - 117342 - 150546 - 117354 - 117336 - 150545</t>
  </si>
  <si>
    <t>Radis cultivé</t>
  </si>
  <si>
    <t>108947 - 117372 - 117373 - 117374 - 93402 - 87199 - 108930 - 117390 - 86977 - 108929</t>
  </si>
  <si>
    <t>Rapistre vivace</t>
  </si>
  <si>
    <t>161567 - 117377 - 117394 - 108944 - 117385 - 117375 - 117369 - 87191 - 150548 - 117378 - 89441 - 108957 - 93411 - 121592 - 108934 - 117393 - 108951</t>
  </si>
  <si>
    <t>Rapistre rugueux, Ravaniscle</t>
  </si>
  <si>
    <t>117425 - 121987 - 113459 - 113457 - 124267 - 117426 - 117424 - 113458 - 124237 - 113454 - 113456 - 113455 - 121974 - 113453</t>
  </si>
  <si>
    <t>Reichardie fausse picride, Reichardie, Picridion commun</t>
  </si>
  <si>
    <t>125907 - 96654 - 117428</t>
  </si>
  <si>
    <t>Réséda blanc</t>
  </si>
  <si>
    <t>117450 - 139858 - 117492 - 117460 - 117486 - 117478 - 117470 - 117430 - 117472 - 117443 - 117488 - 117477 - 117464 - 117441 - 117468 - 117454 - 117458 - 117444 - 117436 - 117462 - 117467 - 117437 - 117483 - 117463</t>
  </si>
  <si>
    <t>Réséda jaune, Réséda bâtard</t>
  </si>
  <si>
    <t>117459 - 139860 - 139859 - 117438 - 117448 - 117484 - 117445 - 117489 - 139862 - 117431 - 139863 - 117479 - 106810 - 985147 - 985146 - 83798 - 620430 - 139861 - 117474</t>
  </si>
  <si>
    <t>Réséda jaunâtre, Réséda des teinturiers, Mignonette jaunâtre, Gaude, Réséda gaude</t>
  </si>
  <si>
    <t>Réséda odorant</t>
  </si>
  <si>
    <t>117457 - 153868 - 112563 - 117453 - 150560 - 150563 - 117455 - 932583 - 117429 - 139864 - 117485 - 117469 - 718764 - 150561 - 150562 - 139867 - 153869 - 150559 - 117432</t>
  </si>
  <si>
    <t>Réséda raiponce</t>
  </si>
  <si>
    <t>620434 - 772268 - 114876 - 114698 - 772262 - 97964 - 150567 - 117503 - 114060 - 114849 - 114920 - 117502 - 117508 - 126700 - 114058 - 620432</t>
  </si>
  <si>
    <t>Renouée du Japon, Reynoutrie du Japon</t>
  </si>
  <si>
    <t>117506 - 126701 - 114863 - 117501 - 114059 - 620435 - 117505 - 97965</t>
  </si>
  <si>
    <t>Renouée de Sakhaline, Reynoutrie de Sakhaline</t>
  </si>
  <si>
    <t>97966 - 620431 - 117507</t>
  </si>
  <si>
    <t>Renouée de Bohême, Reynoutrie de Bohème</t>
  </si>
  <si>
    <t>117526 - 117531 - 117546 - 117544 - 81004 - 117532 - 117547</t>
  </si>
  <si>
    <t>Nerprun alaterne, Alaterne</t>
  </si>
  <si>
    <t>117528 - 98889 - 111237 - 84953 - 81003 - 138437 - 117537 - 620436</t>
  </si>
  <si>
    <t>Nerprun des Alpes</t>
  </si>
  <si>
    <t>117535 - 90280 - 153870 - 117530 - 150571 - 139875 - 117553 - 117552 - 150570</t>
  </si>
  <si>
    <t>Nerprun purgatif</t>
  </si>
  <si>
    <t>111238 - 98891 - 138436 - 117548 - 117534 - 139874 - 98780 - 117549 - 85169 - 139880 - 117557</t>
  </si>
  <si>
    <t>Nerprun nain</t>
  </si>
  <si>
    <t>90282 - 90281 - 117558 - 139876 - 153871 - 139881 - 90283 - 117536 - 117551 - 718825 - 106377 - 117540 - 139883 - 117538 - 153872 - 117554</t>
  </si>
  <si>
    <t>Nerprun des rochers</t>
  </si>
  <si>
    <t>117582 - 117585 - 117584 - 1006663 - 161412</t>
  </si>
  <si>
    <t>Rhubarbe hybride, Rhubarbe des capucins</t>
  </si>
  <si>
    <t>139891 - 117622 - 139892 - 139885 - 81225 - 117587 - 143224 - 621374 - 131135 - 108577 - 117604 - 81208 - 139886 - 621375 - 150572 - 117609 - 139893 - 117636 - 620437 - 117599 - 139889 - 81221 - 613591 - 81227 - 139888 - 81213 - 81220 - 81214 - 139925 - 613590 - 117594 - 98731 - 81232 - 1006665 - 139887 - 160263 - 139890 - 139924 - 117598</t>
  </si>
  <si>
    <t>Rhinanthe crête-de-coq, Rhinanthe velu, Grand rhinanthe, Rhinanthe hérissé</t>
  </si>
  <si>
    <t>139897 - 81216 - 160185 - 139922 - 131136 - 139923 - 117628 - 143223 - 131137 - 117603 - 81230 - 160184 - 117619 - 143226 - 81223 - 81235 - 139894 - 98732 - 81228 - 117608 - 81207 - 117626 - 139950 - 81240 - 117586 - 117634 - 139921 - 139938 - 139908 - 81202 - 139949 - 117620 - 117592 - 139946 - 117602 - 139948 - 139920 - 139900 - 139919 - 117617 - 150577 - 81218 - 117600 - 81219 - 139927 - 117629 - 139928 - 81198 - 162356 - 620439 - 117590 - 139895 - 162357 - 81199 - 139926 - 81237 - 620438</t>
  </si>
  <si>
    <t>Rhinanthe à feuilles étroites, Rhinanthe à grandes fleurs</t>
  </si>
  <si>
    <t>117601 - 117591 - 139906 - 143220 - 81200 - 139901 - 117606 - 139916</t>
  </si>
  <si>
    <t>Rhinanthe des glaciers</t>
  </si>
  <si>
    <t>150580 - 117596 - 620441 - 773312 - 81226 - 117638 - 139942 - 139944 - 143229 - 117618 - 117631 - 154690 - 117597 - 81229 - 150579 - 139939 - 620442 - 773701 - 139909 - 150574 - 81215 - 117630 - 81238 - 620443 - 150578 - 139937 - 139941 - 159527 - 161945 - 81234 - 143228 - 117621 - 117616 - 117627 - 139912 - 81212 - 139936 - 773147 - 771784 - 81206 - 81231 - 139940 - 139943 - 139910 - 150581 - 117623</t>
  </si>
  <si>
    <t>Rhinanthe mineur, Petit cocriste, Petit rhinanthe, Rhinanthe à petites fleurs</t>
  </si>
  <si>
    <t>90516 - 117679 - 117690 - 139953 - 114068 - 85458</t>
  </si>
  <si>
    <t>Rhododendron ferrugineux, Laurier-rose des Alpes</t>
  </si>
  <si>
    <t>117681 - 85459</t>
  </si>
  <si>
    <t>Rhododendron hirsute, Rhododendron poilu, Rhododendron cilié, Rhododendron hérissé</t>
  </si>
  <si>
    <t>117692 - 139954 - 117689 - 139955 - 85460 - 117695 - 103165 - 117686 - 117677</t>
  </si>
  <si>
    <t>Rhododendron du Pont, Rhododendron des parcs, Rhododendron pontique, Rhododendron de la mer Noire, Rhododendron de Bétique</t>
  </si>
  <si>
    <t>117712 - 117709 - 117721 - 126911</t>
  </si>
  <si>
    <t>Sumac des corroyeurs, Vinaigrier des corroyeurs</t>
  </si>
  <si>
    <t>Sumac glabre, Vinaigrier glabre</t>
  </si>
  <si>
    <t>117716 - 94476 - 620449 - 117723 - 153875 - 126915 - 121535</t>
  </si>
  <si>
    <t>Sumac vinaigrier, Sumac hérissé, Sumac Amarante, Sumac de Virginie, Vinaigrier de Virginie</t>
  </si>
  <si>
    <t>121563 - 112925 - 117731 - 772073 - 121678 - 772071 - 772072</t>
  </si>
  <si>
    <t>Rhynchospore blanc</t>
  </si>
  <si>
    <t>58 - 71 - 90</t>
  </si>
  <si>
    <t>773114 - 121571 - 121584 - 112926 - 117732</t>
  </si>
  <si>
    <t>Rhynchospore brun, Rhynchospore fauve</t>
  </si>
  <si>
    <t>100585 - 117748 - 100587 - 150586 - 117769 - 117797 - 117799 - 130457 - 105901 - 117765 - 117778 - 117758</t>
  </si>
  <si>
    <t>Groseillier des Alpes</t>
  </si>
  <si>
    <t>117768 - 117766 - 86179 - 100588 - 117800</t>
  </si>
  <si>
    <t>Cassis, Cassissier, Groseillier noir</t>
  </si>
  <si>
    <t>117771 - 117754 - 100589 - 117755</t>
  </si>
  <si>
    <t>Groseillier des rochers, Groseillier des rocailles</t>
  </si>
  <si>
    <t>117764 - 117763 - 117747 - 614977 - 117752 - 1013912 - 139961 - 139963 - 1006666 - 117760 - 117776 - 1013900 - 117801 - 1013914 - 1013913 - 117774 - 117789 - 117770</t>
  </si>
  <si>
    <t>Groseillier rouge, Groseillier à grappes</t>
  </si>
  <si>
    <t>139971 - 1013925 - 139968 - 139958 - 117756 - 117773 - 1013929 - 139965 - 1013932 - 1013931 - 100591 - 117788 - 100590 - 139966 - 139964 - 117783 - 139970 - 139969 - 117762 - 1013930 - 111943 - 100586 - 117757 - 117745 - 150589 - 117772 - 117787 - 139967 - 1013928</t>
  </si>
  <si>
    <t>Groseillier épineux, Groseillier à maquereaux</t>
  </si>
  <si>
    <t>89342 - 117807 - 117814 - 117804 - 117815 - 117809 - 117813 - 117805 - 117816 - 117811 - 117806 - 117812 - 117808 - 117810 - 89343</t>
  </si>
  <si>
    <t>Ricin commun, Tantan, Ricin tantan</t>
  </si>
  <si>
    <t>116194 - 117863 - 117857 - 117860 - 117864 - 117849 - 139973 - 620453 - 117856 - 117862 - 117848 - 139972 - 139975 - 620452 - 117859 - 139974 - 117865 - 117853</t>
  </si>
  <si>
    <t>Robinier faux-acacia, Acacia blanc, Robinier, Robinier faux acacia</t>
  </si>
  <si>
    <t>112291 - 100299 - 117879 - 90674 - 968216 - 117880 - 117877 - 117875 - 100298 - 139979 - 117876 - 90667</t>
  </si>
  <si>
    <t>Roemérie hybride, Roemérie intermédiaire, Roemérie violacée</t>
  </si>
  <si>
    <t>Roemeria hybrida</t>
  </si>
  <si>
    <t>139602 - 620458 - 89188 - 150608 - 117933 - 123788 - 87569 - 92028 - 108924 - 123898 - 620459 - 141234 - 139603 - 151854 - 108922 - 93321 - 123801 - 83863 - 109392 - 138038 - 153878 - 117947 - 87573 - 161301 - 109403 - 109430 - 116864 - 86229 - 109437 - 92030 - 87894</t>
  </si>
  <si>
    <t>Rorippe amphibie</t>
  </si>
  <si>
    <t>92034 - 86230 - 117937 - 83864 - 105414 - 93406 - 108936 - 109402 - 108926 - 109397 - 90444</t>
  </si>
  <si>
    <t>Rorippe d'Autriche</t>
  </si>
  <si>
    <t>117942 - 87945 - 621097 - 150612 - 139997 - 87967 - 139996 - 123876 - 123843 - 117940</t>
  </si>
  <si>
    <t>Rorippe d'Islande</t>
  </si>
  <si>
    <t>141235 - 150614 - 109423 - 117944 - 150611 - 86233 - 123839 - 87955 - 123912 - 151855 - 117939 - 108949 - 153879 - 123791 - 150613 - 116866 - 86234 - 123866 - 150610 - 89189 - 86231</t>
  </si>
  <si>
    <t>Rorippe des marais, Rorippe faux cresson, Cresson des marais</t>
  </si>
  <si>
    <t>153881 - 117950 - 123790 - 108950 - 86235 - 117946 - 109428 - 105681 - 123878 - 161331</t>
  </si>
  <si>
    <t>Rorippe des Pyrénées, Cresson des Pyrénées</t>
  </si>
  <si>
    <t>161155 - 123792 - 89190 - 138044 - 109421 - 117948 - 93423 - 1002720 - 148902 - 109429 - 86236 - 138043 - 87977 - 1002721 - 140001 - 109395 - 148903 - 123906 - 148904 - 109436 - 148901 - 109431 - 123793 - 109400 - 117951 - 161156 - 150616 - 116867</t>
  </si>
  <si>
    <t>Rorippe sylvestre, Rorippe des forêts, Rorippe des bois, Cresson des bois</t>
  </si>
  <si>
    <t>123924 - 109446 - 138042 - 148905 - 117969 - 117963 - 117967 - 117955 - 108958 - 109441 - 117952 - 109444 - 109447 - 117959 - 86237</t>
  </si>
  <si>
    <t>Rorippe prostrée, Cresson douteux</t>
  </si>
  <si>
    <t>117961 - 109450 - 117968 - 109442 - 117953 - 117964</t>
  </si>
  <si>
    <t>Rorippe faux raifort</t>
  </si>
  <si>
    <t>109445 - 117954 - 109448 - 109443</t>
  </si>
  <si>
    <t>Rorippe sans style</t>
  </si>
  <si>
    <t>118200 - 161113 - 140092 - 117970 - 140065 - 140044</t>
  </si>
  <si>
    <t>Rosier des sapins, Églantier des sapins</t>
  </si>
  <si>
    <t>620460 - 140017 - 118124 - 150937 - 150712 - 150856 - 150725 - 117975 - 150682 - 150683</t>
  </si>
  <si>
    <t>Rosier d'Achar, Églantier d'Achar</t>
  </si>
  <si>
    <t>150827 - 117986 - 118588 - 140152 - 140108 - 90299 - 90294 - 150691 - 140113 - 620461 - 118233 - 150896 - 150852 - 140079 - 118201 - 118156 - 140122 - 118375 - 118431 - 140081 - 118015 - 118430 - 150857 - 118437 - 118091 - 117972 - 150915 - 140008 - 118326 - 140063 - 118038 - 150858 - 118223 - 118589 - 118049 - 140120 - 117989 - 118496 - 118504 - 150854 - 118584 - 118065 - 150746 - 150822 - 118145</t>
  </si>
  <si>
    <t>Rosier agreste, Rosier des haies, Églantier agreste</t>
  </si>
  <si>
    <t>140013 - 118169 - 118503 - 153884 - 150653 - 140117 - 118539 - 620463 - 150840 - 118389 - 118227 - 118488 - 118016 - 117825 - 150652 - 118400 - 118309 - 150649 - 150655 - 153883 - 118057 - 118222 - 118455 - 118510 - 118106 - 150650</t>
  </si>
  <si>
    <t>Rosier des champs, Rosier rampant</t>
  </si>
  <si>
    <t>140076 - 140066 - 150818 - 140088 - 118063 - 118560 - 150705</t>
  </si>
  <si>
    <t>Rosier du Chablais, Églantier de Chablais</t>
  </si>
  <si>
    <t>150817 - 140164 - 140002 - 140005 - 150663 - 118289 - 118279 - 150933 - 118594 - 118148 - 118086 - 118741 - 118064 - 150925 - 140068 - 118274</t>
  </si>
  <si>
    <t>Rosier glauque, Églantier bleu cendré</t>
  </si>
  <si>
    <t>118369 - 118558 - 118073 - 118098 - 118288 - 150733 - 150664 - 621071 - 150718 - 150676 - 118484 - 90577 - 140163 - 118189 - 118577 - 118554 - 118150 - 118417 - 118599 - 140027 - 118338 - 92987 - 118161 - 118202 - 118385 - 150923 - 118178 - 140033 - 118434 - 118175 - 118516 - 118366 - 118424 - 140020 - 150778 - 92973 - 118273 - 150672 - 118237 - 118382 - 150785 - 118166 - 150976 - 118177 - 150681 - 140035 - 118561 - 118540 - 118526 - 117974 - 118502 - 150707 - 118153 - 140045 - 117979 - 150924 - 117996 - 118033 - 118368 - 118139 - 118361 - 118082 - 150716 - 140046 - 118351 - 117990 - 117978 - 118242 - 118412 - 118126 - 118405 - 118358 - 118259 - 118467 - 118840 - 118188 - 117983 - 150704 - 118523 - 117991 - 118176 - 118346 - 620464 - 118035 - 118095 - 118578 - 92970 - 150648 - 150659 - 150662 - 150742 - 118206 - 140019 - 92974 - 620465 - 117976 - 118307 - 140039 - 118436 - 150781 - 118296 - 118101 - 118470 - 150687 - 118314 - 118422 - 621072 - 150690 - 118541 - 150689 - 118517 - 150922 - 150783 - 140034 - 150727 - 118486 - 118254 - 118449 - 118583 - 140040 - 118306 - 118174 - 150715 - 118519 - 150703 - 118112 - 150677 - 118231 - 118298 - 118318 - 150735 - 117984 - 118501</t>
  </si>
  <si>
    <t>Rosier des chiens, Rosier des haies, Églantier, Églantier des chiens</t>
  </si>
  <si>
    <t>140170 - 118121 - 140161 - 118639 - 92976 - 140026 - 118404 - 117998 - 150973 - 118225 - 92985 - 150711 - 118271</t>
  </si>
  <si>
    <t>Rosier corymbifère, Rosier à fleurs en corymbe</t>
  </si>
  <si>
    <t>150927 - 118012 - 118248 - 118489 - 140167 - 118572 - 118135 - 118562 - 140058 - 118494</t>
  </si>
  <si>
    <t>Rosier de Déséglise, Églantier de Déséglise</t>
  </si>
  <si>
    <t>118158 - 118282 - 118491 - 118054 - 118089 - 118215 - 150773 - 118283 - 118052 - 118569 - 118464 - 150917 - 118515 - 118040 - 140007 - 118303 - 140153 - 153891 - 140080 - 118544 - 150903 - 118036 - 150855 - 140110 - 118428 - 150908 - 118014 - 118017 - 118267</t>
  </si>
  <si>
    <t>Rosier elliptique, Rosier à folioles elliptiques, Rosier inodore</t>
  </si>
  <si>
    <t>150752 - 118444 - 118184 - 150751 - 118304 - 150753 - 150774 - 150776 - 150755 - 118039</t>
  </si>
  <si>
    <t>Rosier fétide, Rosier jaune de Perse, Rosier jaune</t>
  </si>
  <si>
    <t>118479 - 150759 - 150756 - 118252 - 118116 - 153885 - 118118 - 118441 - 118129 - 118228 - 140064 - 153888 - 150760 - 118034 - 118446 - 150758 - 150757 - 118332 - 118333 - 118084 - 118550 - 118334 - 118574 - 118475 - 140062 - 118025 - 118123 - 118538 - 118546 - 118214 - 118018 - 153886 - 118379 - 118020 - 118440 - 153889 - 153887 - 118586 - 118454 - 118420 - 118119 - 118192</t>
  </si>
  <si>
    <t>Rose de France, Rosier de Provence</t>
  </si>
  <si>
    <t>118204 - 118172 - 118207 - 118247 - 118407 - 150788 - 150761 - 118476 - 118471 - 150836 - 150833 - 150829 - 118220 - 118173 - 150835 - 150699 - 150832</t>
  </si>
  <si>
    <t>Rosier des Vosges, Rosier glauque, Rosier à feuilles rouges, Rosier ferrugineux</t>
  </si>
  <si>
    <t>Rosier de Jundzill</t>
  </si>
  <si>
    <t>118327 - 118591 - 150910 - 118372 - 118232 - 118590 - 118246 - 118329 - 150912 - 118482 - 140112 - 118363 - 118383 - 150790 - 150766 - 140086 - 150789 - 118128 - 118093 - 118414 - 118360 - 118163 - 150913 - 118409 - 150897 - 150902 - 150916 - 150909 - 620480 - 155045 - 150824 - 118170 - 118536 - 118371 - 118072 - 140154 - 614174 - 118140 - 620478 - 118399 - 620481 - 118398 - 118570 - 140085 - 118286 - 118354 - 118291 - 118341 - 90296 - 118181 - 150904 - 118293 - 118244 - 118518 - 118506 - 118280 - 118133 - 614173 - 118011 - 118239 - 140142 - 118352 - 118395 - 90297 - 118505 - 118138 - 118423 - 118563 - 140123 - 150823 - 118048 - 118281 - 150906 - 620479 - 118295</t>
  </si>
  <si>
    <t>Rosier à petites fleurs, Églantier à petites fleurs</t>
  </si>
  <si>
    <t>118224 - 140148 - 118581 - 118276 - 150877 - 118339 - 150791 - 140101</t>
  </si>
  <si>
    <t>Rosier mou, Rosier à feuilles molles, Églantier à feuilles molles</t>
  </si>
  <si>
    <t>118545 - 150651 - 118061 - 112006 - 140070 - 150734 - 150743 - 140048 - 118343 - 150700</t>
  </si>
  <si>
    <t>Rosier des montagnes, Églantier des montagnes</t>
  </si>
  <si>
    <t>118596 - 118182 - 150796 - 118081 - 150794 - 118469 - 118044 - 150795 - 118068 - 118411 - 118553 - 616844 - 620482 - 118290 - 118083 - 118195 - 118321 - 118353 - 118565</t>
  </si>
  <si>
    <t>Rosier multiflore, Rosier à nombreuses fleurs, Églantier multiflore</t>
  </si>
  <si>
    <t>620483 - 150685 - 92984 - 140036 - 140169 - 140121 - 150729 - 150686 - 150684 - 118373 - 140138 - 620484 - 150939 - 118490 - 150931</t>
  </si>
  <si>
    <t>Rosier à feuilles obtuses, Rosier à folioles obtuses, Églantier à folioles obtuses</t>
  </si>
  <si>
    <t>150646 - 150643 - 150641 - 140095 - 150635 - 140011 - 150629 - 150627 - 150645 - 117993 - 150625 - 150632 - 150619 - 118396 - 118548 - 118285 - 150644 - 150647 - 150637 - 150628 - 118029 - 118397 - 118342 - 150697 - 118378 - 117981 - 117994 - 150622 - 150633 - 150631 - 150640 - 140010 - 118497 - 118525 - 118478 - 150830 - 118203 - 150620 - 150623 - 150624 - 118245 - 150638 - 117980 - 150626 - 150639 - 118313 - 118099 - 150621 - 112004 - 150630 - 118461 - 118447 - 150618</t>
  </si>
  <si>
    <t>Rosier pendant, Rosier des Alpes, Rosier à fruits pendants</t>
  </si>
  <si>
    <t>150720 - 118330 - 118445 - 140049 - 118078 - 118580 - 118410 - 117973 - 92986 - 118186 - 150661 - 117985 - 140104 - 118004 - 118264 - 150730 - 118416 - 150721 - 140037 - 150814 - 140072 - 118234 - 118037 - 118356 - 118376 - 150736 - 118579 - 150688 - 150745 - 118238 - 150765 - 150813 - 118253 - 150731 - 118115</t>
  </si>
  <si>
    <t>Rosier de Pouzin, Églantier de Pouzin</t>
  </si>
  <si>
    <t>118055 - 150900 - 150825 - 150775 - 140116 - 118277 - 118229 - 118465 - 118154 - 118134 - 118370 - 118466 - 118474 - 118854 - 118109 - 118349 - 150918 - 118185 - 118152 - 789369 - 150901 - 150907 - 118305 - 140109 - 150898 - 90300 - 118530 - 150819 - 118567 - 118278 - 118335 - 118141 - 150820 - 118473 - 118143 - 140155 - 118531 - 150826 - 150914 - 118108 - 150911 - 118007 - 118066 - 140124 - 150828 - 118549 - 150899</t>
  </si>
  <si>
    <t>Rosier rouillé, Rosier rubigineux, Rosier à odeur de pomme</t>
  </si>
  <si>
    <t>118272 - 118171 - 150838 - 150839 - 150837 - 118477 - 118452</t>
  </si>
  <si>
    <t>Rosier rugueux</t>
  </si>
  <si>
    <t>150844 - 150816 - 118023 - 150849 - 150848 - 118263 - 118194 - 118026 - 150850 - 140118 - 150847 - 118323 - 150842 - 118027 - 118498 - 150843 - 153890 - 117826 - 118300 - 140119 - 150654 - 118419 - 150851 - 150841 - 150846 - 118487 - 118021 - 117999 - 150845 - 118160 - 117997</t>
  </si>
  <si>
    <t>Rosier toujours vert, Rosier de tous les mois</t>
  </si>
  <si>
    <t>118564 - 140087 - 118512 - 118458 - 150799 - 118381 - 118199 - 140143 - 140144</t>
  </si>
  <si>
    <t>Rosier de Sherard, Églantier de Sherard</t>
  </si>
  <si>
    <t>92719 - 140129 - 118213 - 118087 - 118468 - 118196 - 150810 - 140128 - 117995 - 118402 - 118415 - 118520 - 118337 - 118547 - 150866 - 118521 - 118492 - 118320</t>
  </si>
  <si>
    <t>Rosier très épineux, Rosier à feuilles de boucage, Rosier à feuilles de pimpinelle</t>
  </si>
  <si>
    <t>92989 - 118042 - 150692 - 150665 - 118208 - 118077 - 118080 - 140022 - 150708 - 118524 - 140032 - 150739 - 150782 - 140021 - 140041 - 150719 - 150779 - 118001 - 150738 - 150668 - 140023 - 150701 - 118367 - 150784 - 140160 - 118365 - 614175 - 150674 - 150678 - 118364</t>
  </si>
  <si>
    <t>Rosier squarreux, Rosier rude, Églantier rude</t>
  </si>
  <si>
    <t>140014 - 150726 - 118312 - 118092 - 150867 - 117827 - 118294 - 150658 - 150874 - 150657 - 118074 - 150722 - 118168 - 140132 - 140131 - 118529 - 150724 - 150693 - 150871 - 118249 - 150656 - 140043 - 140133 - 140042 - 150671 - 140050 - 118240 - 620486 - 118056 - 118481 - 150772 - 150929 - 140134 - 118102 - 118542 - 150737 - 150873 - 150869 - 118067 - 118302 - 150706 - 140136 - 150868</t>
  </si>
  <si>
    <t>Rosier à styles soudés, Rosier à styles unis, rosier à styles longs</t>
  </si>
  <si>
    <t>118050 - 150878 - 118219 - 150694 - 118113 - 140038 - 118142 - 116376 - 118432 - 150696 - 140139 - 118500 - 118557 - 118257 - 150880 - 118426 - 118146 - 116374 - 140141 - 140145 - 118391 - 116375 - 118127 - 118265 - 118340 - 118022 - 118226 - 118418 - 118537 - 118509 - 118328 - 118221 - 1006676 - 118408 - 118235 - 118425 - 118041 - 118149 - 118094 - 118433 - 140140 - 118167 - 118003 - 150749 - 118180 - 140150 - 118287 - 118096 - 118075 - 118032 - 118261 - 118533 - 150894</t>
  </si>
  <si>
    <t>Rosier tomenteux, Églantier tomenteux</t>
  </si>
  <si>
    <t>21 - 58 - 89</t>
  </si>
  <si>
    <t>150767 - 118258 - 118551 - 140061 - 90576 - 150770 - 118164 - 150768 - 118463 - 620487 - 118555 - 118317 - 150771 - 118179 - 118739 - 118210 - 118534 - 118362 - 118684 - 90575 - 118147 - 140083 - 118675 - 118131 - 118218 - 150769 - 118269 - 118528 - 118438 - 118559 - 118459 - 118236 - 140060 - 118297 - 118136</t>
  </si>
  <si>
    <t>Rosier à feuilles scabres, Rosier de Jundzill, Églantier de Jundzill</t>
  </si>
  <si>
    <t>150883 - 140103 - 118155 - 118450 - 150886 - 150885 - 118355 - 118413 - 118457 - 118387 - 118456 - 150882 - 150892 - 118217 - 150891 - 118105 - 118013 - 118122 - 150888 - 140149 - 118582 - 150887 - 118103 - 140102 - 118483 - 140151 - 150890 - 118573 - 150884 - 150895 - 150881 - 118336</t>
  </si>
  <si>
    <t>Rosier velu, Rosier pommier</t>
  </si>
  <si>
    <t>150717 - 140031 - 150792 - 118427 - 150834 - 150762 - 118275 - 118157 - 118250 - 118216 - 118532 - 118019 - 140166 - 118322 - 118576 - 150831 - 112007 - 118260 - 150763 - 150675 - 118165 - 118111 - 140006 - 140047 - 118205 - 118592 - 140162 - 140053 - 140015 - 150754 - 118585 - 140073 - 140057 - 140074 - 118241 - 140090 - 118460 - 117977 - 118319 - 118429 - 118070 - 620488</t>
  </si>
  <si>
    <t>Rosier des Vosges, Rosier glauque, Églantier des Vosges</t>
  </si>
  <si>
    <t>150921 - 118843 - 118603 - 118777 - 118642 - 118738 - 140159</t>
  </si>
  <si>
    <t>Rosier blanc</t>
  </si>
  <si>
    <t>150679 - 118814 - 150673 - 140018 - 150777 - 118793 - 118762 - 118755 - 118797 - 150714 - 150660 - 150680 - 150702 - 118731 - 92971 - 118719 - 118612</t>
  </si>
  <si>
    <t>Rosier d'Angers</t>
  </si>
  <si>
    <t>Rosier de Beaune</t>
  </si>
  <si>
    <t>118749 - 118643 - 118630 - 620466</t>
  </si>
  <si>
    <t>Rosier du Kent</t>
  </si>
  <si>
    <t>150940 - 140096 - 118671 - 118800 - 118644 - 118620</t>
  </si>
  <si>
    <t>Rosier de Chavigny, Églantier de l'Aveyron</t>
  </si>
  <si>
    <t>118732 - 150938 - 118647 - 140024 - 92975 - 118672 - 150930 - 118632 - 150666 - 118453</t>
  </si>
  <si>
    <t>Rosier des collines</t>
  </si>
  <si>
    <t>150723 - 150780 - 118308 - 140052 - 150667 - 140028 - 118660 - 150728 - 118666 - 150787 - 118132</t>
  </si>
  <si>
    <t>Rosier des halliers, Rosier faux rosier des chiens</t>
  </si>
  <si>
    <t>118830 - 140030 - 150928 - 118842 - 140084 - 150821 - 150713 - 118817 - 118771 - 118810 - 150975 - 118787 - 118667 - 118831 - 118633 - 150812 - 150669 - 140029 - 140171 - 150974 - 150875 - 118648 - 118790 - 150670 - 118754</t>
  </si>
  <si>
    <t>Rosier des buissons</t>
  </si>
  <si>
    <t>118735 - 118752 - 118059 - 118377 - 118325 - 118060 - 140168 - 118808 - 118727 - 118728 - 140082</t>
  </si>
  <si>
    <t>Rosier luisant</t>
  </si>
  <si>
    <t>150951 - 118678 - 150950 - 150970 - 150965 - 150932 - 150964 - 118650 - 150962 - 118773 - 118618 - 150966 - 118829 - 118745 - 150968 - 118737 - 150953 - 118805 - 150963 - 150943 - 118833 - 118683 - 118715 - 150948 - 118659 - 118750 - 118623 - 150952 - 150967 - 118827 - 118716 - 614176 - 118725 - 150949 - 150942 - 118622 - 118757 - 118746 - 118789 - 118785 - 150969 - 118844 - 118674</t>
  </si>
  <si>
    <t>Rosier de Pollini</t>
  </si>
  <si>
    <t>118798 - 140135 - 118783 - 118627</t>
  </si>
  <si>
    <t>118685 - 118758 - 150956 - 150636 - 118769 - 118795 - 140130 - 118788 - 118803 - 150642 - 150617 - 118779 - 150957</t>
  </si>
  <si>
    <t>Rosier renversé</t>
  </si>
  <si>
    <t>118673 - 118852 - 118657 - 150876 - 118568 - 118002 - 118600 - 150879 - 118804</t>
  </si>
  <si>
    <t>Rosier scabre</t>
  </si>
  <si>
    <t>140146 - 118818 - 118846</t>
  </si>
  <si>
    <t>Rosier à feuilles épineuse</t>
  </si>
  <si>
    <t>118850 - 150972 - 118819 - 150695 - 118726 - 150786 - 150971 - 150750 - 118845 - 118743</t>
  </si>
  <si>
    <t>Rosier à fleurs verticillées</t>
  </si>
  <si>
    <t>150977 - 620490 - 118848 - 150978 - 620489</t>
  </si>
  <si>
    <t>Rosier de Waitz</t>
  </si>
  <si>
    <t>153894 - 118863 - 150980 - 150981 - 150979 - 118870 - 118864 - 120688 - 118857 - 118867 - 118869 - 636280 - 118860 - 118859 - 118862 - 118868 - 719135 - 118865 - 150982 - 118856 - 118861 - 118866 - 118858</t>
  </si>
  <si>
    <t>Romarin, Romarin officinal</t>
  </si>
  <si>
    <t>86520 - 86581 - 104678 - 104628 - 147991 - 147995 - 86787 - 106600 - 86578 - 127639 - 150984 - 147992 - 150983 - 620491 - 118872 - 104660 - 984007 - 127636 - 127672 - 147990 - 98249 - 106599 - 98169 - 86579 - 106601 - 114323 - 104615 - 104608 - 130103 - 98437 - 121470 - 127658 - 104656 - 86709 - 147993 - 118876 - 147989</t>
  </si>
  <si>
    <t>Rostraire à crête, Fausse fléole, Rostraria à crête, Koelérie fausse fléole, Koelérie à crête</t>
  </si>
  <si>
    <t>112978 - 148021 - 118874 - 104636 - 147997 - 104682 - 147998 - 118877 - 112990 - 620495 - 106602 - 620493 - 80258 - 620494 - 148019 - 104621 - 80259 - 81642 - 80944 - 102886 - 147996 - 106603 - 104605 - 113022 - 147999 - 104681 - 80913 - 148020 - 148022 - 127641 - 104664 - 620492</t>
  </si>
  <si>
    <t>Rostraire du littoral, Koelérie du littoral, Koelérie pubescente</t>
  </si>
  <si>
    <t>Garance voyageuse, Petite garance</t>
  </si>
  <si>
    <t>118913 - 99519 - 140177 - 118920 - 118919</t>
  </si>
  <si>
    <t>Garance des teinturiers</t>
  </si>
  <si>
    <t>118931 - 155049 - 153907</t>
  </si>
  <si>
    <t>Ronce ornée</t>
  </si>
  <si>
    <t>119005 - 119178 - 118933</t>
  </si>
  <si>
    <t>Ronce disséminée</t>
  </si>
  <si>
    <t>140235 - 118938</t>
  </si>
  <si>
    <t>Rose à fleurs blanches</t>
  </si>
  <si>
    <t>Ronce à fleurs alternes</t>
  </si>
  <si>
    <t>Ronce d’Angers</t>
  </si>
  <si>
    <t>140232 - 118956</t>
  </si>
  <si>
    <t>Ronce des lieux ensoleillés</t>
  </si>
  <si>
    <t>118959 - 153918</t>
  </si>
  <si>
    <t>Ronce des Ardennes</t>
  </si>
  <si>
    <t>Ronce argentée</t>
  </si>
  <si>
    <t>Ronce d’Arménie</t>
  </si>
  <si>
    <t>118975 - 118976 - 119249</t>
  </si>
  <si>
    <t>Ronce de Bertram</t>
  </si>
  <si>
    <t>118977 - 150988 - 140192 - 119339 - 119125</t>
  </si>
  <si>
    <t>Ronce à deux faces, Ronce à feuilles discolores, Ronce changeante</t>
  </si>
  <si>
    <t>118979 - 150986</t>
  </si>
  <si>
    <t>Ronce de Bloxam</t>
  </si>
  <si>
    <t>140305 - 118980 - 153905</t>
  </si>
  <si>
    <t>Ronce de Boreau, Ronce de Caflish</t>
  </si>
  <si>
    <t>150999 - 140265 - 119102 - 118983</t>
  </si>
  <si>
    <t>Ronce à bractées, Ronce de Genevier</t>
  </si>
  <si>
    <t>122408 - 140195 - 119303 - 118993 - 119218 - 119190 - 119140</t>
  </si>
  <si>
    <t>Ronce bleue, Ronce bleu-vert, Ronce à fruits bleus, Ronce glauque</t>
  </si>
  <si>
    <t>119018 - 119367 - 140187 - 620505 - 119146 - 620504 - 119003 - 119352 - 620503</t>
  </si>
  <si>
    <t>Ronce blanchissante, Ronce blanchâtre</t>
  </si>
  <si>
    <t>Ronce à feuilles en cœur</t>
  </si>
  <si>
    <t>119009 - 119289 - 140218</t>
  </si>
  <si>
    <t>Ronce</t>
  </si>
  <si>
    <t>119010 - 140276</t>
  </si>
  <si>
    <t>119024 - 160325 - 119324 - 160375 - 140188 - 620508 - 119194 - 119398 - 620507 - 620506 - 119365 - 119351</t>
  </si>
  <si>
    <t>Ronce des collines</t>
  </si>
  <si>
    <t>140306 - 119029</t>
  </si>
  <si>
    <t>Ronce remarquable</t>
  </si>
  <si>
    <t>119033 - 150991</t>
  </si>
  <si>
    <t>Ronce à corymbes</t>
  </si>
  <si>
    <t>119239 - 140245 - 119122 - 620513 - 140255 - 140290 - 119050</t>
  </si>
  <si>
    <t>Ronce divariquée</t>
  </si>
  <si>
    <t>119058 - 119047 - 140263 - 140202 - 140264</t>
  </si>
  <si>
    <t>Ronce hérissée</t>
  </si>
  <si>
    <t>140190 - 119061 - 140294</t>
  </si>
  <si>
    <t>Ronce remarquable, Ronce de Lespinasse</t>
  </si>
  <si>
    <t>151002 - 119196 - 620533 - 119063 - 140277</t>
  </si>
  <si>
    <t>Ronce élégante</t>
  </si>
  <si>
    <t>811060 - 119066 - 811129 - 719290 - 153912</t>
  </si>
  <si>
    <t>Ronce à feuilles allongées</t>
  </si>
  <si>
    <t>119071 - 153899</t>
  </si>
  <si>
    <t>Ronce flexueuse</t>
  </si>
  <si>
    <t>Ronce feuillue, Ronce feuillée</t>
  </si>
  <si>
    <t>119309 - 140253 - 811189 - 119097 - 140254 - 150998 - 119027 - 140256 - 620518 - 119057 - 140244 - 140257 - 161105 - 811141 - 620517</t>
  </si>
  <si>
    <t>Ronce ligneuse, Ronce de Bertram, Ronce commune</t>
  </si>
  <si>
    <t>Ronce noirâtre</t>
  </si>
  <si>
    <t>150990 - 140250 - 119100</t>
  </si>
  <si>
    <t>Ronce brune, Ronce brun-verdâtre</t>
  </si>
  <si>
    <t>Ronce géniculée</t>
  </si>
  <si>
    <t>Ronce glanduleuse, Ronce à poils glanduleux, Ronce glanduleuse, Ronce à tiges glanduleuses</t>
  </si>
  <si>
    <t>140214 - 119110 - 616390 - 119389 - 153897</t>
  </si>
  <si>
    <t>Ronce de Godron</t>
  </si>
  <si>
    <t>119113 - 119361 - 140302 - 140298 - 966524</t>
  </si>
  <si>
    <t>Ronce de Grabowski</t>
  </si>
  <si>
    <t>118967 - 119386 - 151007 - 140194 - 119114</t>
  </si>
  <si>
    <t>Ronce grêle</t>
  </si>
  <si>
    <t>Ronce granulée</t>
  </si>
  <si>
    <t>Ronce gracieuse</t>
  </si>
  <si>
    <t>119118 - 140311</t>
  </si>
  <si>
    <t>Ronce agréable</t>
  </si>
  <si>
    <t>119120 - 140283 - 155048</t>
  </si>
  <si>
    <t>Ronce de Gremli, Ronce de Muller</t>
  </si>
  <si>
    <t>Ronce à tiges poilues</t>
  </si>
  <si>
    <t>Ronce de Henriquez</t>
  </si>
  <si>
    <t>119130 - 140203</t>
  </si>
  <si>
    <t>119138 - 140273</t>
  </si>
  <si>
    <t>140278 - 119142</t>
  </si>
  <si>
    <t>811059 - 811103 - 119149 - 811036 - 811083 - 811082 - 119333 - 811043</t>
  </si>
  <si>
    <t>Ronce framboisier, Framboisier</t>
  </si>
  <si>
    <t>119153 - 140279</t>
  </si>
  <si>
    <t>140249 - 140308 - 119157</t>
  </si>
  <si>
    <t>140222 - 153901 - 717512 - 119158</t>
  </si>
  <si>
    <t>140247 - 119159</t>
  </si>
  <si>
    <t>159929 - 119168 - 140205</t>
  </si>
  <si>
    <t>Ronce de Köhler</t>
  </si>
  <si>
    <t>Ronce laciniée</t>
  </si>
  <si>
    <t>Ronce de Lejeune</t>
  </si>
  <si>
    <t>140317 - 119192</t>
  </si>
  <si>
    <t>Ronce de Lindley</t>
  </si>
  <si>
    <t>Ronces à épines longues</t>
  </si>
  <si>
    <t>151003 - 119198</t>
  </si>
  <si>
    <t>Ronces à sépales longs</t>
  </si>
  <si>
    <t>119266 - 140285 - 119090 - 119201 - 140318 - 140237</t>
  </si>
  <si>
    <t>Ronce à grandes feuilles</t>
  </si>
  <si>
    <t>Ronce à grandes tiges</t>
  </si>
  <si>
    <t>119207 - 140312</t>
  </si>
  <si>
    <t>Ronce à bois noir, Ronce de Schummel</t>
  </si>
  <si>
    <t>140240 - 119208</t>
  </si>
  <si>
    <t>Ronce de Menke</t>
  </si>
  <si>
    <t>Ronce de Mercier</t>
  </si>
  <si>
    <t>118949 - 119349 - 118937 - 119211 - 118955</t>
  </si>
  <si>
    <t>Ronce apiculée</t>
  </si>
  <si>
    <t>Ronce à tiges courtes</t>
  </si>
  <si>
    <t>119209 - 140293 - 119133 - 966537 - 119002 - 119188 - 140299 - 119363 - 966534 - 119353 - 140297 - 119308 - 966538 - 119022 - 119372 - 620528 - 717475 - 119242 - 119262 - 966536 - 140182 - 119220</t>
  </si>
  <si>
    <t>Ronce des montagnes, Ronce en thyrse</t>
  </si>
  <si>
    <t>119222 - 119221 - 119224 - 153896</t>
  </si>
  <si>
    <t>Ronce mucronulée</t>
  </si>
  <si>
    <t>119225 - 153908</t>
  </si>
  <si>
    <t>Ronce de Müller</t>
  </si>
  <si>
    <t>119330 - 140320 - 140234 - 140314 - 119232</t>
  </si>
  <si>
    <t>Ronce des forêts</t>
  </si>
  <si>
    <t>811056 - 929604 - 811097 - 119234</t>
  </si>
  <si>
    <t>Ronce des bois</t>
  </si>
  <si>
    <t>811152 - 119288 - 811159 - 811023 - 811227 - 811177 - 811169 - 140197 - 811187 - 811151 - 811220 - 811079 - 811100 - 811230 - 811168 - 811219 - 119235 - 811042 - 811185 - 811179 - 811119 - 811031 - 811136 - 811147 - 811158 - 811070 - 811094 - 811235 - 811137 - 811032 - 811090 - 811040 - 811190 - 811216 - 811150 - 811242 - 140242 - 811184 - 811099 - 811162 - 811116 - 811208 - 811111 - 119212 - 119350 - 811134 - 811102 - 140199 - 119013 - 811171 - 811086 - 811022 - 811212 - 119084</t>
  </si>
  <si>
    <t>Ronce de Nees</t>
  </si>
  <si>
    <t>153902 - 140226 - 119236</t>
  </si>
  <si>
    <t>119067 - 119240 - 119036</t>
  </si>
  <si>
    <t>Ronce obscure, Ronce sombre</t>
  </si>
  <si>
    <t>140236 - 119251</t>
  </si>
  <si>
    <t>153910 - 119253 - 140201</t>
  </si>
  <si>
    <t>Ronce pâle, Ronce de Bloxam</t>
  </si>
  <si>
    <t>119020 - 153906 - 119257 - 140209</t>
  </si>
  <si>
    <t>Ronce à feuilles pédalées</t>
  </si>
  <si>
    <t>140300 - 119264 - 140296</t>
  </si>
  <si>
    <t>119268 - 119241 - 153911</t>
  </si>
  <si>
    <t>Ronce à fruits poilus</t>
  </si>
  <si>
    <t>119269 - 811191 - 811143 - 811153 - 140248 - 811115 - 140291 - 811198</t>
  </si>
  <si>
    <t>140180 - 119274</t>
  </si>
  <si>
    <t>119276 - 719136 - 140259 - 966706 - 119284 - 119203 - 140217 - 140216 - 150994</t>
  </si>
  <si>
    <t>140230 - 140229 - 119285</t>
  </si>
  <si>
    <t>140309 - 140319 - 140286 - 119294</t>
  </si>
  <si>
    <t>Ronce pyramidale</t>
  </si>
  <si>
    <t>118929 - 140287 - 119083 - 118999 - 119297</t>
  </si>
  <si>
    <t>Ronce de Questier, Ronce de Münter</t>
  </si>
  <si>
    <t>119298 - 118998 - 140262 - 140198</t>
  </si>
  <si>
    <t>Ronce râpeuse</t>
  </si>
  <si>
    <t>119300 - 140301</t>
  </si>
  <si>
    <t>Ronce à feuilles de Nerprun</t>
  </si>
  <si>
    <t>140313 - 119302 - 140288</t>
  </si>
  <si>
    <t>Ronce à feuilles en losange, Ronce à fleurs blanches</t>
  </si>
  <si>
    <t>140281 - 119304</t>
  </si>
  <si>
    <t>Ronce des ruisseaux</t>
  </si>
  <si>
    <t>Ronce rosée</t>
  </si>
  <si>
    <t>Ronce rude</t>
  </si>
  <si>
    <t>122409 - 811122 - 119318</t>
  </si>
  <si>
    <t>Ronce des rochers</t>
  </si>
  <si>
    <t>620530 - 119320 - 140251</t>
  </si>
  <si>
    <t>Ronce scabre, Ronce à tiges rondes</t>
  </si>
  <si>
    <t>119321 - 140238</t>
  </si>
  <si>
    <t>Ronce de Schlechtendal</t>
  </si>
  <si>
    <t>119322 - 140227 - 140206 - 140207</t>
  </si>
  <si>
    <t>Ronce de Schleicher</t>
  </si>
  <si>
    <t>Ronce de Schmidely</t>
  </si>
  <si>
    <t>717498 - 119328 - 811229 - 811240 - 119089</t>
  </si>
  <si>
    <t>Ronce fendue</t>
  </si>
  <si>
    <t>Ronce à feuilles de charme, Ronce tachée de rouge</t>
  </si>
  <si>
    <t>Ronce des forêts, Ronce des bois</t>
  </si>
  <si>
    <t>119231 - 119345</t>
  </si>
  <si>
    <t>Ronce de Sprengel</t>
  </si>
  <si>
    <t>119080 - 118941 - 140292 - 119277 - 119354</t>
  </si>
  <si>
    <t>Ronce sillonnée</t>
  </si>
  <si>
    <t>Ronce à fleurs en thyrse</t>
  </si>
  <si>
    <t>620534 - 119006 - 620544 - 140193 - 119215 - 140303 - 119048 - 119060 - 620542 - 620543 - 119104 - 119131 - 620548 - 119373 - 118934 - 119338 - 620538 - 620540 - 119037 - 620547 - 119329 - 620537 - 620536 - 153923 - 119197 - 985174 - 620549 - 119314 - 118961 - 620541 - 118989 - 620535 - 620546 - 620545 - 119376 - 620539 - 140191</t>
  </si>
  <si>
    <t>Ronce à feuilles d'Orme</t>
  </si>
  <si>
    <t>717504 - 140186 - 140269 - 119375 - 140268</t>
  </si>
  <si>
    <t>Ronce à crochets</t>
  </si>
  <si>
    <t>119381 - 1006752 - 151006</t>
  </si>
  <si>
    <t>Ronce vêtue, Ronce revêtue</t>
  </si>
  <si>
    <t>119384 - 140179 - 118936</t>
  </si>
  <si>
    <t>Ronce vigoureuse</t>
  </si>
  <si>
    <t>119388 - 140316</t>
  </si>
  <si>
    <t>Ronce commune</t>
  </si>
  <si>
    <t>140220 - 119392 - 153898 - 140208 - 140260</t>
  </si>
  <si>
    <t>Ronce de Winter</t>
  </si>
  <si>
    <t>119413 - 119405 - 119408 - 119412 - 119409 - 119404 - 119401 - 101037 - 119415 - 89893 - 119406</t>
  </si>
  <si>
    <t>Rudbeckie hérissée, Rudbeckia hérissé</t>
  </si>
  <si>
    <t>119402 - 119411 - 119407</t>
  </si>
  <si>
    <t>Rudbeckie laciniée, Rudbeckia lacinié, Rudbeckie découpée</t>
  </si>
  <si>
    <t>79830 - 104936 - 104964 - 119418 - 119563 - 79843 - 119491 - 119508 - 140330 - 119432 - 773640 - 119567 - 119423 - 1006934 - 119564 - 119512 - 140339 - 119420 - 79839</t>
  </si>
  <si>
    <t>Patience oseille, Oseille des prés, Rumex oseille, Grande oseille, Oseille commune, Surelle</t>
  </si>
  <si>
    <t>620552 - 119594 - 620553 - 119593 - 104945 - 79827 - 159505 - 130723 - 140338 - 79844 - 154672 - 119572 - 151012 - 79840 - 79850 - 119451 - 709104 - 79863 - 79832 - 119419 - 104937 - 119544 - 613592 - 140367 - 153926 - 773641 - 161830 - 119456 - 709103 - 772919 - 140340 - 161831 - 140342 - 140341 - 773642 - 154671 - 119510 - 79835</t>
  </si>
  <si>
    <t>Patience petite-oseille, Petite oseille, Oseille des brebis, Surelle</t>
  </si>
  <si>
    <t>119520 - 104957 - 119504 - 104944 - 104943 - 140345 - 140357 - 620554 - 119447</t>
  </si>
  <si>
    <t>Patience aquatique, Grande Parelle, Parelle, Parelle aquatique</t>
  </si>
  <si>
    <t>104940 - 119519 - 79831 - 119450 - 119489 - 153928 - 140350 - 119530 - 130719 - 119541 - 119566 - 151013 - 140325 - 159504 - 119440 - 140332 - 79828 - 130720 - 140343 - 140323 - 119434 - 119562 - 620555 - 130718 - 140351 - 140326 - 119465 - 119433 - 119506 - 104939</t>
  </si>
  <si>
    <t>Patience à feuilles de gouet, Rumex alpestre, Oseille à feuilles d'arum, Patience à feuilles d'arum</t>
  </si>
  <si>
    <t>79833 - 119422 - 104948 - 86852 - 119461</t>
  </si>
  <si>
    <t>Patience  tête-de-bœuf, Oseille tête-de-bœuf, Rumex tête-de-boeuf</t>
  </si>
  <si>
    <t>119517 - 119463 - 104949 - 119484 - 119606 - 119428 - 104972 - 631253 - 119571 - 119429 - 119611 - 119471 - 119604 - 119546 - 119497 - 119555 - 119548 - 140360 - 119487</t>
  </si>
  <si>
    <t>Patience agglomérée, Oseille agglomérée, Rumex aggloméré</t>
  </si>
  <si>
    <t>651355 - 651358 - 119473 - 651354 - 651357 - 104950 - 651350</t>
  </si>
  <si>
    <t>Rumex crépu</t>
  </si>
  <si>
    <t>104952 - 119445 - 119446 - 104954 - 119509 - 104963 - 119430 - 119466 - 119531 - 119444 - 119528 - 140347 - 104966 - 119536 - 119459</t>
  </si>
  <si>
    <t>Patience des eaux, Patience d'eau, Grande Parelle</t>
  </si>
  <si>
    <t>140346 - 119438 - 119516 - 140354 - 119525 - 119481 - 119485 - 119505</t>
  </si>
  <si>
    <t>Patience à feuilles longues, Patience à longues feuilles, Oseille à feuilles longues, Oseille à longues feuilles, Rumex à feuilles longues</t>
  </si>
  <si>
    <t>104958 - 104946 - 119427 - 140375 - 104956 - 119552 - 119477 - 119472 - 119454 - 119533 - 119443 - 119559 - 119442 - 119468 - 119486</t>
  </si>
  <si>
    <t>Patience maritime, Oseille maritime</t>
  </si>
  <si>
    <t>119550 - 104961 - 771871 - 771870</t>
  </si>
  <si>
    <t>Patience à feuilles obtuses, Oseille à feuilles obtuses, Patience sauvage, Parelle à feuilles obtuses, Rumex à feuilles obtuses</t>
  </si>
  <si>
    <t>620557 - 119534 - 140376 - 119556 - 104955 - 119602 - 151024 - 119523 - 104962 - 119521</t>
  </si>
  <si>
    <t>Patience des marais, Oseille des marais</t>
  </si>
  <si>
    <t>104953 - 140349 - 119558 - 1006931</t>
  </si>
  <si>
    <t>Patience des jardins, Épinard-oseille, Patience des moines, Oseille-épinard</t>
  </si>
  <si>
    <t>119569 - 104965 - 119592 - 140384</t>
  </si>
  <si>
    <t>Patience élégante, Oseille élégante, Rumex joli, Violon, Patience jolie</t>
  </si>
  <si>
    <t>104973 - 119425 - 129075 - 119492 - 613594 - 119511 - 119540 - 104968 - 140368 - 140389 - 119453 - 119490 - 119452 - 620559 - 119498 - 613593 - 119470 - 119607 - 119585 - 119610</t>
  </si>
  <si>
    <t>Patience sanguine, Sang-de-dragon, Patience des bois</t>
  </si>
  <si>
    <t>119503 - 151034 - 140392 - 119421 - 140391 - 119496 - 119568 - 79842 - 151033 - 151031 - 119620 - 104969 - 119605 - 119532 - 119587 - 140390 - 119583 - 151035 - 151032</t>
  </si>
  <si>
    <t>Patience à bouclier, Oseille ronde, Oseille à écusson, Oseille en écusson</t>
  </si>
  <si>
    <t>70 - 71 - 89</t>
  </si>
  <si>
    <t>140394 - 79845 - 119595 - 140335</t>
  </si>
  <si>
    <t>Patience à fleurs en thyrse, Oseille à oreillettes, Oseille à fleurs en thyrse</t>
  </si>
  <si>
    <t>151028 - 119599 - 119518 - 151029 - 151030 - 119462 - 140388</t>
  </si>
  <si>
    <t>Patience à valves triangulaires, Oseille à valves triangulaires, Rumex à valves triangulaires</t>
  </si>
  <si>
    <t>Patience avortée, Oseille avortée, Rumex avorté</t>
  </si>
  <si>
    <t>119652 - 119681</t>
  </si>
  <si>
    <t>Patience de Knapf, Oseille de Knapf, Rumex de Knapf</t>
  </si>
  <si>
    <t>119674 - 119665</t>
  </si>
  <si>
    <t>Patience à feuilles larges, Patience à larges feuilles, Oseille à feuilles larges, Rumex à feuilles larges</t>
  </si>
  <si>
    <t>119651 - 119431 - 119666</t>
  </si>
  <si>
    <t>Patience des prés, Oseille des champs, Rumex des prés</t>
  </si>
  <si>
    <t>119551 - 119671</t>
  </si>
  <si>
    <t>Patience de Ruhmer, Oseille de Ruhmer, Rumex de Ruhmer</t>
  </si>
  <si>
    <t>Patience de Schultz, Oseille de Schultz, Rumex de Schultz</t>
  </si>
  <si>
    <t>119689 - 773657 - 119687 - 773002 - 773000 - 773003 - 620562 - 153929 - 773656 - 119691 - 159914 - 773658 - 140397 - 773005 - 621254 - 119693 - 119695 - 140399 - 773001 - 613595 - 773004</t>
  </si>
  <si>
    <t>Ruppie maritime</t>
  </si>
  <si>
    <t>111958 - 119698 - 119699 - 119702 - 140401</t>
  </si>
  <si>
    <t>Fragon piquant, Fragon, Petit houx, Buis piquant, Fragon petit houx</t>
  </si>
  <si>
    <t>119716 - 119717 - 119715 - 119706 - 119712 - 140405 - 140406</t>
  </si>
  <si>
    <t>Rue odorante, Rue fétide, Rue des jardins</t>
  </si>
  <si>
    <t>83666 - 119753 - 108597</t>
  </si>
  <si>
    <t>119739 - 161676 - 148746 - 119744 - 108621 - 619946 - 81734 - 81804 - 81737 - 81790 - 131256 - 81812 - 137853 - 1003346 - 119754 - 90865 - 81799 - 83677 - 81723 - 127894 - 108625 - 619947 - 152702 - 108596 - 83549 - 83578 - 81820</t>
  </si>
  <si>
    <t>137852 - 83681 - 131255 - 81801 - 81817 - 137825 - 83629 - 108623 - 108611 - 119756</t>
  </si>
  <si>
    <t>Minuartie visqueuse</t>
  </si>
  <si>
    <t>119780 - 620563 - 81808 - 119799 - 119820 - 81698</t>
  </si>
  <si>
    <t>Sagine apétale, Sagine sans pétales</t>
  </si>
  <si>
    <t>124493 - 83626 - 124507 - 81810 - 119812 - 124518 - 119807 - 113047</t>
  </si>
  <si>
    <t>Sagine noueuse</t>
  </si>
  <si>
    <t>119818 - 119797 - 119810 - 140422 - 81811 - 140425 - 161666 - 151042 - 140421 - 772536 - 161667 - 140423 - 119784 - 140424 - 119789</t>
  </si>
  <si>
    <t>Sagine couchée, Sagine rampante</t>
  </si>
  <si>
    <t>140431 - 151044 - 718855 - 811075 - 140430 - 994505 - 119831 - 124536 - 81815 - 119824 - 151046 - 124498 - 151045 - 151047 - 113049</t>
  </si>
  <si>
    <t>Sagine subulée, Sagine de Revelière</t>
  </si>
  <si>
    <t>119803 - 119781 - 119782 - 83325 - 119802 - 119808 - 140427 - 119827 - 119828 - 119814 - 119826 - 81805 - 81731 - 124516 - 140426 - 83574 - 119795 - 124496 - 119819 - 119815 - 124497 - 81813 - 124533 - 124494 - 124492 - 119813 - 124530 - 113048 - 124491 - 140428 - 119829</t>
  </si>
  <si>
    <t>Sagine fausse sagine, Sagine de Linné</t>
  </si>
  <si>
    <t>620564 - 119862 - 119857 - 119852 - 119849 - 119854 - 119848 - 119847 - 119843</t>
  </si>
  <si>
    <t>Sagittaire à feuilles larges, Sagittaire à larges feuilles, Sagittaire obtuse</t>
  </si>
  <si>
    <t>151049 - 151048 - 119856 - 160161 - 119846 - 128499 - 119853 - 119855 - 119860 - 151050 - 119840 - 119863 - 151051 - 119859 - 151052 - 119851 - 119841 - 119842</t>
  </si>
  <si>
    <t>Sagittaire à feuilles en flèche, Sagittaire à feuilles en cœur, Flèche-d'eau</t>
  </si>
  <si>
    <t>120099 - 151066 - 151069 - 151068 - 140437 - 83717 - 120157 - 120215 - 120226 - 153935 - 120035 - 119915 - 119986</t>
  </si>
  <si>
    <t>Saule blanc, Saule commun, Osier blanc</t>
  </si>
  <si>
    <t>120210 - 87814 - 109474 - 119933 - 120224 - 120004 - 120049 - 151089 - 151090 - 120054 - 620569</t>
  </si>
  <si>
    <t>Saule appendiculé, Saule à grandes feuilles</t>
  </si>
  <si>
    <t>119948 - 120070 - 120205 - 153938 - 120150 - 119982 - 119955 - 119911 - 140447 - 151082 - 119990 - 151083 - 119910 - 140440 - 119996 - 140446</t>
  </si>
  <si>
    <t>Saule  gris cendré foncé, Saule à feuilles d'Olivier, Saule acuminé, Saule roux</t>
  </si>
  <si>
    <t>120206 - 120005 - 120146 - 119923 - 119952 - 120000 - 119993 - 120079 - 151074 - 140443 - 87812 - 120010 - 120060 - 151073 - 120131 - 120241 - 120158 - 120022 - 119976 - 120250 - 128302</t>
  </si>
  <si>
    <t>Saule à oreillettes, Petit marsault</t>
  </si>
  <si>
    <t>153939 - 151076 - 636348 - 151077 - 120117 - 613596 - 613834 - 120162 - 1008601 - 1008606 - 119954 - 622264 - 120080</t>
  </si>
  <si>
    <t>Saule pleureur</t>
  </si>
  <si>
    <t>120249 - 120113 - 119979 - 120171 - 119995 - 119918 - 120243 - 120177 - 151080 - 87815 - 120067 - 119980 - 140445 - 151079 - 119977 - 120225 - 119935 - 120034 - 151075 - 140444 - 109473 - 620570 - 120045 - 120092 - 151081 - 120066</t>
  </si>
  <si>
    <t>Saule marsault, Saule des chèvres, Marsaule, Marsault</t>
  </si>
  <si>
    <t>119991 - 87813 - 120120 - 120240 - 119924 - 119944 - 120026 - 119967 - 119978 - 129455 - 120062 - 120245 - 120110 - 120244 - 119914 - 120220</t>
  </si>
  <si>
    <t>Saule cendré</t>
  </si>
  <si>
    <t>120187 - 119960 - 120009 - 120107 - 120173 - 120086 - 120178</t>
  </si>
  <si>
    <t>Saule faux daphné, Saule pruineux, Saule noir</t>
  </si>
  <si>
    <t>119930 - 140449 - 151095 - 151096 - 987681 - 120237 - 120105 - 140448 - 120029 - 119973 - 120059 - 987684 - 120148 - 120201 - 120069 - 120096 - 120196 - 120095</t>
  </si>
  <si>
    <t>Saule drapé, Saule blanchâtre</t>
  </si>
  <si>
    <t>21 - 71 - 90</t>
  </si>
  <si>
    <t>120165 - 120039 - 151087 - 151085 - 120209 - 120040 - 120012 - 120208 - 140452 - 120266 - 116189 - 120130 - 120480 - 140450 - 151084 - 151086</t>
  </si>
  <si>
    <t>Saule fragile, Saule cassant</t>
  </si>
  <si>
    <t>119984 - 120008 - 120065 - 120109 - 120230 - 620577 - 120166 - 620578 - 120159 - 154534 - 140460 - 120207 - 119922 - 119965 - 620576 - 120176 - 120038 - 620579 - 154535 - 120136 - 155063 - 151120 - 120139 - 154533 - 155062 - 120135 - 120050 - 120155 - 140461 - 119909 - 120204 - 119917 - 120002 - 154528 - 154532 - 154531 - 119928 - 620575 - 120156 - 120142 - 154530</t>
  </si>
  <si>
    <t>Saule noircissant, Saule à feuilles de fenouil sauvage</t>
  </si>
  <si>
    <t>120163 - 120182 - 151097 - 119981 - 120108 - 120041 - 119912 - 106808 - 119947 - 140462 - 82114 - 120114 - 120172 - 120058 - 120094 - 151098 - 120122</t>
  </si>
  <si>
    <t>Saule à cinq étamines, Saule odorant, Saule à feuilles de laurier</t>
  </si>
  <si>
    <t>140470 - 151099 - 119932 - 140471 - 119999 - 120160 - 120153 - 140469 - 129071 - 120087 - 120129 - 140467 - 120028 - 140472 - 129072 - 151104 - 140468 - 109471 - 120271 - 119925 - 151102 - 620580 - 129070 - 151103 - 120018 - 120001 - 120189 - 161425 - 129073 - 120055 - 120179 - 120017 - 120198</t>
  </si>
  <si>
    <t>Saule pourpre, Osier rouge, Osier pourpre</t>
  </si>
  <si>
    <t>120016 - 151108 - 120255 - 119961 - 120192 - 120116 - 120118 - 120126 - 151109 - 120044 - 120257 - 120074 - 86000 - 120197 - 120203 - 119919 - 614978 - 120076 - 120097 - 129459 - 119913 - 120064 - 120013</t>
  </si>
  <si>
    <t>Saule rampant, Saule à feuilles étroites</t>
  </si>
  <si>
    <t>120193 - 120075 - 109475 - 120232 - 120154 - 151114 - 119963 - 120134 - 151115 - 90549 - 120011 - 120014 - 120007 - 119962 - 120124 - 119971 - 120071</t>
  </si>
  <si>
    <t>Saule réticulé, Saule à réseau, Saule à feuilles réticulées</t>
  </si>
  <si>
    <t>151117 - 120078 - 120149 - 120082 - 151116 - 120031 - 120195 - 119957 - 129460 - 153941</t>
  </si>
  <si>
    <t>Saule tronqué, Saule à feuilles émoussées, Saule à feuilles tronquées</t>
  </si>
  <si>
    <t>119929 - 120246 - 151122 - 120019 - 153937 - 119945 - 119926 - 120259 - 120063 - 119951 - 120247 - 120119 - 109596 - 151121 - 120102 - 140485 - 151123 - 140484 - 120256 - 140482 - 620585 - 120238 - 120223 - 140481 - 151072 - 109597 - 140483 - 120252 - 120098 - 119927 - 988624</t>
  </si>
  <si>
    <t>Saule à trois étamines, Osier brun, Saule amandier</t>
  </si>
  <si>
    <t>120260 - 95087 - 120068 - 120261 - 120106 - 120200 - 120227 - 120262 - 120181 - 140486 - 120088 - 119956 - 120104 - 120202 - 120251</t>
  </si>
  <si>
    <t>Saule des vanniers, Osier blanc</t>
  </si>
  <si>
    <t>120537 - 620568 - 120279 - 120548 - 120417</t>
  </si>
  <si>
    <t>Saule faux vulpin</t>
  </si>
  <si>
    <t>120284 - 120536 - 120404 - 120426 - 151124 - 120485 - 120283 - 120565</t>
  </si>
  <si>
    <t>Saule ambigu</t>
  </si>
  <si>
    <t>120294 - 120466 - 120489 - 120538 - 120407 - 120463</t>
  </si>
  <si>
    <t>Saule d'Autriche</t>
  </si>
  <si>
    <t>120288 - 120318</t>
  </si>
  <si>
    <t>Saule des chevreuils</t>
  </si>
  <si>
    <t>Saule de Charrier</t>
  </si>
  <si>
    <t>161067 - 120323 - 151141 - 617262 - 161068</t>
  </si>
  <si>
    <t>Saule pleureur doré</t>
  </si>
  <si>
    <t>140493 - 120335</t>
  </si>
  <si>
    <t>Saule à rameaux poilus</t>
  </si>
  <si>
    <t>620571 - 120354 - 120545</t>
  </si>
  <si>
    <t>Saule à rameaux rouges</t>
  </si>
  <si>
    <t>120374 - 120275</t>
  </si>
  <si>
    <t>Saule acuminé</t>
  </si>
  <si>
    <t>Saule de Guinier</t>
  </si>
  <si>
    <t>120274 - 120419</t>
  </si>
  <si>
    <t>Saule de Krause</t>
  </si>
  <si>
    <t>120352 - 120373 - 120486 - 120334 - 120555 - 120450</t>
  </si>
  <si>
    <t>Saule de Meyer</t>
  </si>
  <si>
    <t>151132 - 120412 - 120458 - 120395 - 120560 - 120475 - 120422 - 151133 - 151130 - 140489 - 151131 - 120416 - 120558 - 120454 - 120424</t>
  </si>
  <si>
    <t>Saule très mou</t>
  </si>
  <si>
    <t>120459 - 120376 - 120436</t>
  </si>
  <si>
    <t>Saule multinervé, Saule à nervures nombreuses</t>
  </si>
  <si>
    <t>120447 - 120316 - 120504 - 120487</t>
  </si>
  <si>
    <t>Saule de Reichardt</t>
  </si>
  <si>
    <t>140439 - 151140 - 119946 - 120568 - 120263 - 109472 - 151138 - 120145 - 120356 - 153936 - 151139 - 151071 - 151070 - 119943 - 151100 - 140438 - 120321 - 153943 - 140453 - 140451 - 120298 - 120474 - 120346 - 120465 - 151067 - 120512 - 119997 - 120371 - 151101 - 153944 - 119950 - 151137</t>
  </si>
  <si>
    <t>Saule rougeâtre</t>
  </si>
  <si>
    <t>120524 - 120369 - 120513 - 119936 - 120540 - 120327 - 120301 - 120448 - 120349 - 140490 - 120455 - 120286 - 140491 - 620581 - 120363 - 120470 - 120151 - 120514</t>
  </si>
  <si>
    <t>Saule rouge</t>
  </si>
  <si>
    <t>120530 - 620582 - 120533</t>
  </si>
  <si>
    <t>Saule soyeux</t>
  </si>
  <si>
    <t>120532 - 620583 - 120531</t>
  </si>
  <si>
    <t>Saule de Seringe</t>
  </si>
  <si>
    <t>120499 - 151146 - 120535 - 120510 - 120490 - 151144 - 120515 - 120516 - 151145</t>
  </si>
  <si>
    <t>Saule sordide, Saule de Richter</t>
  </si>
  <si>
    <t>120547 - 120290 - 153947</t>
  </si>
  <si>
    <t>Saule un peu soyeux</t>
  </si>
  <si>
    <t>120446 - 120573 - 120342 - 120551 - 120542 - 120556</t>
  </si>
  <si>
    <t>Saule de Wimmer</t>
  </si>
  <si>
    <t>104447 - 620586 - 620587 - 120602 - 120592 - 120594 - 120597 - 120606 - 120585 - 120604 - 120584 - 140495 - 140497</t>
  </si>
  <si>
    <t>Soude salsovie, Kali soude, Salsovie</t>
  </si>
  <si>
    <t>120600 - 120605 - 153948 - 151148 - 120617 - 104449 - 151147 - 140499 - 120616 - 994936 - 140498 - 140496 - 140500 - 120610 - 1008652 - 140494</t>
  </si>
  <si>
    <t>Soude-bouc, Kali-bouc, Soude enflée</t>
  </si>
  <si>
    <t>120656 - 121816 - 121813 - 120653 - 120619 - 80354 - 120660</t>
  </si>
  <si>
    <t>Sauge d'Éthiopie</t>
  </si>
  <si>
    <t>95543 - 120643 - 100369 - 120675 - 121815</t>
  </si>
  <si>
    <t>Sauge glutineuse, Ormin gluant</t>
  </si>
  <si>
    <t>120634 - 120678 - 120682 - 140518 - 85826</t>
  </si>
  <si>
    <t>Sauge officinale</t>
  </si>
  <si>
    <t>121817 - 120695 - 969025 - 99634 - 120625 - 120633 - 114053 - 1008686 - 120685 - 1008687 - 120668 - 120689</t>
  </si>
  <si>
    <t>Sauge des prés, Sauge commune</t>
  </si>
  <si>
    <t>80353 - 120621 - 121821 - 120630 - 120681 - 120666 - 120691</t>
  </si>
  <si>
    <t>Sauge sclarée, Orvale, Sclarée, Toute bonne</t>
  </si>
  <si>
    <t>1008688 - 120645 - 120696 - 120676 - 120629 - 140502 - 120690 - 140520 - 140516 - 140503</t>
  </si>
  <si>
    <t>Sauge tomenteuse</t>
  </si>
  <si>
    <t>620590 - 140526 - 121819 - 120702 - 99637 - 98745 - 140534 - 120663 - 120684 - 120669 - 103014 - 99636 - 140532 - 99631 - 969018 - 153949 - 99638 - 140535 - 120672 - 120641 - 120700 - 120647 - 120664 - 99639 - 140530 - 1008665 - 120654 - 140510 - 99632 - 140533 - 120677 - 969019 - 120646 - 140511 - 140512 - 103015 - 969026 - 140528 - 120639 - 121814 - 99635 - 120657 - 120627 - 140531 - 120687 - 99641 - 120671 - 120632 - 99640 - 120680 - 1008661 - 140529 - 120701 - 120628 - 140513</t>
  </si>
  <si>
    <t>Sauge verveine, Sauge fausse verveine</t>
  </si>
  <si>
    <t>103016 - 101248 - 120703 - 120683 - 120699 - 124594 - 92749</t>
  </si>
  <si>
    <t>Sauge verticillée</t>
  </si>
  <si>
    <t>120707 - 120636 - 114054</t>
  </si>
  <si>
    <t>Sauge sylvestre, Sauge des bois</t>
  </si>
  <si>
    <t>120709 - 120708 - 107405</t>
  </si>
  <si>
    <t>Salvinie nageante, Salvinia nageant</t>
  </si>
  <si>
    <t>120712 - 120718 - 120715 - 95660 - 153951 - 162426 - 120714 - 120713 - 140537</t>
  </si>
  <si>
    <t>Sureau yèble, Herbe à l'aveugle, Petit sureau</t>
  </si>
  <si>
    <t>120723 - 718857 - 719402 - 120724 - 151152 - 120725 - 151156 - 1006961 - 151159 - 718856 - 620591 - 151158 - 120717 - 151155 - 120716 - 151153 - 151154</t>
  </si>
  <si>
    <t>Sureau noir, Sampéchier</t>
  </si>
  <si>
    <t>120722 - 120720 - 621118</t>
  </si>
  <si>
    <t>Sureau à grappes, Sureau de montagne, Sureau rouge</t>
  </si>
  <si>
    <t>120732 - 120727 - 120730 - 120728 - 120731 - 120729</t>
  </si>
  <si>
    <t>Samole de Valérand, Mouron d'eau</t>
  </si>
  <si>
    <t>151162 - 151171 - 115766 - 620594 - 120754 - 120740 - 140560 - 151177 - 115786 - 151176 - 151178 - 120748 - 120761 - 120742 - 120750 - 151173 - 120757 - 151174 - 115790 - 153952 - 120758 - 120765 - 151175 - 151179 - 120764 - 120738 - 120766</t>
  </si>
  <si>
    <t>Sanguisorbe officinale, Grande pimprenelle, Sanguisorbe, Pimprenelle officinale</t>
  </si>
  <si>
    <t>120777 - 120773 - 120778 - 84930 - 120774 - 120775 - 120772 - 89381 - 89421 - 120776</t>
  </si>
  <si>
    <t>Sanicle d'Europe, Herbe aux chênes</t>
  </si>
  <si>
    <t>120806 - 120802 - 120805</t>
  </si>
  <si>
    <t>Santoline à feuilles de romarin</t>
  </si>
  <si>
    <t>120816 - 120813</t>
  </si>
  <si>
    <t>Saponaire cespiteuse, Saponaire gazonnante, Saponaire en touffe</t>
  </si>
  <si>
    <t>120823 - 120826 - 123573</t>
  </si>
  <si>
    <t>Saponaire faux basilic, Saponaire de Montpellier</t>
  </si>
  <si>
    <t>123626 - 120832 - 151189 - 120818 - 151188 - 86153 - 120810 - 86152 - 120824 - 1009782 - 106935</t>
  </si>
  <si>
    <t>Saponaire officinale, Savonnière, Herbe à savon</t>
  </si>
  <si>
    <t>120874 - 120835 - 120836 - 120875</t>
  </si>
  <si>
    <t>Sarracénie pourpre, Sarracénia pourpre</t>
  </si>
  <si>
    <t>120910 - 120925 - 126513 - 120894 - 120901 - 120912 - 91905 - 120915 - 120888 - 120921 - 120904 - 120905</t>
  </si>
  <si>
    <t>Sarriette des jardins, Sarriette annuelle</t>
  </si>
  <si>
    <t>120926 - 120916 - 120892 - 120913 - 91909 - 120896 - 120902 - 120911 - 120908 - 120917 - 120918 - 120920 - 120889 - 120927</t>
  </si>
  <si>
    <t>Sarriette des montagnes, Sarriette de montagne</t>
  </si>
  <si>
    <t>151237 - 140645 - 151238 - 121018 - 160374 - 121056 - 151236</t>
  </si>
  <si>
    <t>Saxifrage de Fragoso, Saxifrage continentale</t>
  </si>
  <si>
    <t>151232 - 121178 - 151230 - 121023 - 140637 - 121064 - 151228 - 151231 - 121181 - 121000 - 151233 - 120963 - 613809 - 120970 - 97881 - 121145 - 121170 - 121065 - 140638 - 613808</t>
  </si>
  <si>
    <t>Saxifrage granulée, Herbe à la gravelle, Casse-pierre</t>
  </si>
  <si>
    <t>25 - 39 - 70 - 89 - 90</t>
  </si>
  <si>
    <t>104508 - 121052 - 121129 - 121076 - 105723 - 105722 - 121172 - 120982 - 121137 - 102871</t>
  </si>
  <si>
    <t>Saxifrage œil-de-bouc, Faux Ciste, Saxifrage à fleurs jaunes, Saxifrage dorée</t>
  </si>
  <si>
    <t>Saxifraga hirculus</t>
  </si>
  <si>
    <t>140644 - 97883 - 121185 - 121179 - 140608 - 121153 - 121044 - 121101 - 121083</t>
  </si>
  <si>
    <t>Saxifrage faux hypne, Saxifrage hypnum</t>
  </si>
  <si>
    <t>121140 - 1009785 - 613600 - 140629 - 140625 - 613599 - 140658 - 121122 - 121183 - 121149 - 121164 - 151245 - 140654 - 121208 - 140653 - 108912 - 121198 - 621504 - 121115 - 151244 - 151246 - 620618 - 140659 - 121051 - 121121</t>
  </si>
  <si>
    <t>Saxifrage musquée</t>
  </si>
  <si>
    <t>121188 - 151209 - 121175 - 121142 - 121109 - 121162 - 90984 - 90981 - 121128 - 121300 - 90974 - 121139 - 90995 - 90982 - 90976 - 120967 - 90989 - 121191 - 90971 - 121013 - 90996 - 121008 - 90992 - 120999 - 121195 - 90983 - 90990 - 121088 - 90998 - 121169 - 90991 - 90973 - 90993 - 90997 - 121041 - 151207 - 140670 - 121010 - 90970 - 90978 - 90980 - 90985 - 121021 - 151206 - 90988 - 121027 - 994503 - 90994 - 151205 - 121094 - 151208</t>
  </si>
  <si>
    <t>Saxifrage paniculée, Saxifrage aizoon</t>
  </si>
  <si>
    <t>121136 - 121084 - 140618 - 153957 - 121176 - 121073 - 121079 - 121042 - 140607 - 121068 - 121086 - 121034 - 140606 - 952590</t>
  </si>
  <si>
    <t>Saxifrage rosée, Saxifrage trompeuse, Saxifrage rose</t>
  </si>
  <si>
    <t>121173 - 121177 - 108643 - 100216</t>
  </si>
  <si>
    <t>Saxifrage à feuilles rondes</t>
  </si>
  <si>
    <t>105907 - 121194 - 121103 - 95159 - 122302 - 119685 - 121182 - 121007 - 121032 - 122301 - 121193</t>
  </si>
  <si>
    <t>Saxifrage stolonifère</t>
  </si>
  <si>
    <t>121197 - 120974 - 121040 - 140698 - 121118 - 151259 - 620628 - 127204 - 121049 - 121201</t>
  </si>
  <si>
    <t>Saxifrage à trois doigts, Petite saxifrage</t>
  </si>
  <si>
    <t>121329 - 121405 - 84762 - 140720</t>
  </si>
  <si>
    <t>Scabieuse blanchissante, Scabieuse blanchâtre, Scabieuse odorante</t>
  </si>
  <si>
    <t>151277 - 121388 - 121422 - 121334 - 151270 - 151272 - 121336 - 121402 - 84750 - 121390 - 121310 - 140719 - 121326 - 140724 - 151274 - 121306 - 140723 - 140725 - 140710 - 140715 - 121360 - 121375 - 151283 - 140716 - 151271 - 121330 - 151268 - 151279 - 140721 - 121364 - 121382 - 121356 - 125275 - 121319 - 121412 - 121301 - 151267 - 121383 - 121343 - 620629 - 121420 - 121385 - 121347 - 92194 - 121365 - 151275 - 92191 - 121393 - 1009802 - 92193 - 121397 - 121335</t>
  </si>
  <si>
    <t>Scabieuse colombaire, Œil-de-perdrix</t>
  </si>
  <si>
    <t>151276 - 121367 - 140712</t>
  </si>
  <si>
    <t>Scabieuse luisante</t>
  </si>
  <si>
    <t>151278 - 84753 - 140726 - 121304 - 121373 - 140740 - 121303 - 140728 - 140708 - 125272 - 121361 - 121417 - 121372 - 92192 - 121341 - 121379 - 121351 - 121409 - 140722 - 140729 - 121414 - 718770 - 718769 - 140711 - 121325 - 121328 - 151269 - 151280 - 121366 - 151281</t>
  </si>
  <si>
    <t>Scabieuse à trois étamines, Scabieuse de Gramont</t>
  </si>
  <si>
    <t>121449 - 620631 - 121450 - 121458 - 121427 - 121454 - 121443 - 122374 - 121459 - 121451 - 130137 - 121436 - 112564 - 90347 - 109163</t>
  </si>
  <si>
    <t>Scandix peigne-de-Vénus, Peigne-de-Vénus</t>
  </si>
  <si>
    <t>Scandix pecten-veneris</t>
  </si>
  <si>
    <t>85263 - 95516 - 144532 - 95477 - 95499 - 95476 - 146786 - 144533 - 95485 - 95529 - 144531 - 86768 - 144529 - 146780 - 95496 - 144530 - 95519 - 95515 - 95490 - 95492 - 146783 - 95479 - 95500 - 95505 - 146779 - 95484 - 95521 - 95503 - 95509 - 95535 - 95518 - 86531 - 121471 - 86609 - 95539 - 95486 - 146784 - 95513 - 86859 - 146785 - 95512 - 95473 - 95526 - 95474 - 95494 - 98250 - 146782 - 146781 - 106477 - 98771 - 146778</t>
  </si>
  <si>
    <t>Schédonore géant, Fétuque géante</t>
  </si>
  <si>
    <t>121479 - 106476 - 146744 - 146935 - 146748 - 86860 - 146749 - 146928 - 146764 - 86721 - 114205 - 146927 - 95507 - 772912 - 619453 - 146926 - 106501 - 146747 - 134520 - 146752 - 146936 - 146751 - 98453 - 146929 - 98491 - 773634 - 121481 - 98460 - 146930 - 772123</t>
  </si>
  <si>
    <t>Schédonore des prés, Fétuque des prés</t>
  </si>
  <si>
    <t>112386 - 121500 - 121499</t>
  </si>
  <si>
    <t>Scheuchzérie des marais, Scheuchzérie des tourbières</t>
  </si>
  <si>
    <t>121549 - 95949 - 620633 - 151304 - 620635 - 151303 - 620636 - 121782 - 620634 - 93960 - 140767 - 95945 - 121706 - 121742 - 159501 - 121735</t>
  </si>
  <si>
    <t>Schénoplecte des lacs, Jonc des chaisiers, Jonc des tonneliers, Scirpe des lacs</t>
  </si>
  <si>
    <t>140756 - 773113 - 773719 - 772156 - 773714 - 773580 - 121719 - 104393 - 121793 - 613884 - 620639 - 121802 - 772661 - 140769 - 773578 - 773720 - 617343 - 121718 - 771653 - 140768 - 773721 - 94022 - 772144 - 140755 - 773579 - 95952 - 121555 - 713025 - 773718 - 121747 - 773214</t>
  </si>
  <si>
    <t>Schénoplecte glauque, Jonc des chaisiers glauque, Souchet de Tabernaemontanus, Scirpe glauque, Scirpe de Tabernaemontanus</t>
  </si>
  <si>
    <t>121798 - 94029 - 121752 - 121765 - 95953 - 121556 - 121799</t>
  </si>
  <si>
    <t>Schénoplecte triquètre, Scirpe triquètre, Scirpe à tige trigone, Scirpe à trois angles</t>
  </si>
  <si>
    <t>121570 - 125221 - 90392</t>
  </si>
  <si>
    <t>Choin ferrugineux</t>
  </si>
  <si>
    <t>121583 - 121577 - 93983 - 121585 - 121586 - 121574 - 90393 - 121564 - 93982 - 121581</t>
  </si>
  <si>
    <t>Choin noircissant, Choin noirâtre</t>
  </si>
  <si>
    <t>21 - 25 - 58 - 89</t>
  </si>
  <si>
    <t>1009832 - 121587</t>
  </si>
  <si>
    <t>Choin intermédiaire</t>
  </si>
  <si>
    <t>121614 - 80175 - 82895 - 99852 - 121646 - 121634 - 121662 - 121637 - 121610 - 121669 - 121606 - 111319 - 121668 - 121652 - 121600 - 125054 - 121649 - 121631 - 121613 - 103065 - 121655</t>
  </si>
  <si>
    <t>Scille à deux feuilles, Étoile bleue</t>
  </si>
  <si>
    <t>102910 - 121673 - 121766 - 103880 - 102912 - 161526 - 983134 - 103863 - 121728 - 94000 - 93949 - 103879 - 102908</t>
  </si>
  <si>
    <t>Faux scirpe jonc, Scirpe jonc</t>
  </si>
  <si>
    <t>613602 - 773108 - 121686</t>
  </si>
  <si>
    <t>Scirpe vert foncé, Souchet vert sombre</t>
  </si>
  <si>
    <t>122300 - 121724 - 121792 - 125476 - 121738 - 151315 - 151314 - 94021 - 109486</t>
  </si>
  <si>
    <t>Scirpe des forêts, Scirpe des bois</t>
  </si>
  <si>
    <t>121835 - 1009844 - 121847 - 121823 - 969300 - 121832 - 121827 - 121829 - 104573 - 121848 - 140782</t>
  </si>
  <si>
    <t>Scléranthe annuel, Gnavelle annuelle</t>
  </si>
  <si>
    <t>Scleranthus annuus</t>
  </si>
  <si>
    <t>Scléranthe vivace, Scléranthe pérenne</t>
  </si>
  <si>
    <t>21 - 39 - 70 - 89</t>
  </si>
  <si>
    <t>121837 - 121846 - 121834 - 140789 - 140788 - 121838</t>
  </si>
  <si>
    <t>Scléranthe à crochets, Scléranthe à sépales crochus</t>
  </si>
  <si>
    <t>121853 - 121852</t>
  </si>
  <si>
    <t>Scléranthe intermédiaire</t>
  </si>
  <si>
    <t>114188 - 151319 - 82070 - 92785 - 95960 - 93863 - 98200 - 123078 - 121860</t>
  </si>
  <si>
    <t>Sclérochloa dur, Schlérochloa raide</t>
  </si>
  <si>
    <t>121896 - 612563 - 121901 - 612562 - 121898 - 969298 - 109198 - 109200 - 121904</t>
  </si>
  <si>
    <t>Scolyme d'Espagne, Chardon d'Espagne</t>
  </si>
  <si>
    <t>121918 - 121925 - 121932 - 121915 - 121929 - 121930 - 121924 - 140801 - 140802 - 121920</t>
  </si>
  <si>
    <t>Scorpiure velue, Scorpiure poilue, Chenillette poilue</t>
  </si>
  <si>
    <t>Scorsonère d'Autriche</t>
  </si>
  <si>
    <t>Scorsonère d'Espagne, Salsifis noir, Asperge d'hiver</t>
  </si>
  <si>
    <t>151341 - 121954 - 140812 - 140806 - 121960 - 121985 - 121976 - 121942 - 151342 - 121969 - 121963 - 121944</t>
  </si>
  <si>
    <t>Scorsonère humble, Scorsonère des prés, Petite scorsonère</t>
  </si>
  <si>
    <t>772422 - 100817 - 113464 - 137176 - 160085 - 104739 - 148122 - 719261 - 105496 - 83107 - 129881 - 143664 - 137178 - 148121 - 121988 - 105525 - 149018 - 620649 - 772423 - 149016 - 140814 - 129876 - 102627 - 149020 - 105480 - 718290 - 129880 - 149019 - 83126 - 121940 - 105514 - 149017 - 105486 - 83121 - 110739 - 612564 - 105497 - 100796 - 137177</t>
  </si>
  <si>
    <t>Liondent d'automne, Fausse scorsonère d'automne</t>
  </si>
  <si>
    <t>122051 - 121996 - 122007 - 953966 - 122052 - 121999 - 122000</t>
  </si>
  <si>
    <t>Scrofulaire auriculée, Scrofulaire aquatique, Scrofulaire de Balbis</t>
  </si>
  <si>
    <t>122003 - 126825</t>
  </si>
  <si>
    <t>Scrofulaire des chiens</t>
  </si>
  <si>
    <t>140830 - 122013 - 122050 - 122028 - 122022 - 122015</t>
  </si>
  <si>
    <t>Scrofulaire noueuse</t>
  </si>
  <si>
    <t>122029 - 121994 - 140818</t>
  </si>
  <si>
    <t>Scrofulaire à feuilles oblongues, Scrofulaire des ombrages, Scrofulaire ailée</t>
  </si>
  <si>
    <t>122011 - 122017 - 122032 - 122057 - 122030 - 122048 - 122025</t>
  </si>
  <si>
    <t>Scrofulaire voyageuse</t>
  </si>
  <si>
    <t>122060 - 122020 - 89952 - 128516</t>
  </si>
  <si>
    <t>Scrofulaire printanière, Scrofulaire de printemps</t>
  </si>
  <si>
    <t>122061 - 122067 - 122074</t>
  </si>
  <si>
    <t>Scutellaire blanche, Scutellaire blanchâtre</t>
  </si>
  <si>
    <t>89293 - 140837 - 140836 - 789372 - 122072 - 122062 - 122063 - 122078</t>
  </si>
  <si>
    <t>Scutellaire alpine, Scutellaire des Alpes</t>
  </si>
  <si>
    <t>122066 - 122064 - 122071</t>
  </si>
  <si>
    <t>Scutellaire très élevée, Scutellaire élevée</t>
  </si>
  <si>
    <t>151356 - 89294 - 151355 - 122075 - 122068 - 151357 - 772790 - 89296 - 151358 - 122069</t>
  </si>
  <si>
    <t>Scutellaire à casque, Scutellaire casquée, Grande toque</t>
  </si>
  <si>
    <t>122070 - 89295 - 620653</t>
  </si>
  <si>
    <t>Scutellaire à feuilles hastées, Scutellaire hastée</t>
  </si>
  <si>
    <t>122073 - 89297 - 140839 - 122077</t>
  </si>
  <si>
    <t>Scutellaire mineure, Petite scutellaire, Scutellaire naine, Petite toque</t>
  </si>
  <si>
    <t>122079 - 122081 - 122083 - 122080</t>
  </si>
  <si>
    <t>Scutellaire hybride</t>
  </si>
  <si>
    <t>151362 - 140840 - 127715 - 122085 - 98997 - 151361 - 122084 - 151364 - 127802 - 151360 - 151363 - 151359 - 122089</t>
  </si>
  <si>
    <t>Seigle commun, Seigle, Seigle cultivé</t>
  </si>
  <si>
    <t>151369 - 160401 - 151366 - 160012 - 122166 - 122263 - 772041 - 122101 - 151365 - 140843 - 122191 - 160402 - 151367 - 151368 - 151371</t>
  </si>
  <si>
    <t>Orpin âcre, Poivre de muraille, Vermiculaire, Poivre des murailles</t>
  </si>
  <si>
    <t>122275 - 122143 - 149078 - 111240 - 620654 - 122106 - 140848 - 151372 - 122205 - 122104 - 122279 - 122127 - 122224 - 122277 - 151373 - 140850 - 122278 - 611923 - 105848 - 122172</t>
  </si>
  <si>
    <t>Orpin blanc</t>
  </si>
  <si>
    <t>122250 - 122251 - 122102 - 97393 - 122155 - 122295 - 122116</t>
  </si>
  <si>
    <t>Orpin annuel</t>
  </si>
  <si>
    <t>122177 - 122124</t>
  </si>
  <si>
    <t>Orpin noirâtre</t>
  </si>
  <si>
    <t>122153 - 161625 - 620655 - 115970 - 92789 - 80956 - 122136 - 92808 - 122160 - 122244 - 126684 - 140875 - 92792 - 92798 - 122199</t>
  </si>
  <si>
    <t>Orpin cespiteux, Orpin rougeâtre, Orpin rouge</t>
  </si>
  <si>
    <t>89917 - 151379 - 122260 - 122271 - 122223 - 122165 - 122140 - 122111 - 122280</t>
  </si>
  <si>
    <t>Orpin pourpier, Orpin paniculé</t>
  </si>
  <si>
    <t>151381 - 122168 - 122214 - 140858 - 105849 - 151384 - 151385 - 122231 - 122174 - 151383 - 122167 - 151380 - 122147 - 140859 - 151386 - 140860 - 111243 - 151382 - 122134 - 122150 - 122212</t>
  </si>
  <si>
    <t>Orpin à feuilles poilues, Orpin à feuilles serrées, Orpin à feuilles épaisses</t>
  </si>
  <si>
    <t>111244 - 118878 - 122171 - 151388 - 105850 - 122182</t>
  </si>
  <si>
    <t>Orpin hirsute, Orpin hérissé</t>
  </si>
  <si>
    <t>122122 - 122222 - 122159 - 122283 - 122221 - 122183 - 122196 - 122201 - 122129 - 122178 - 122169 - 122230 - 122185 - 122257</t>
  </si>
  <si>
    <t>Orpin d'Espagne</t>
  </si>
  <si>
    <t>612568 - 122225 - 159955</t>
  </si>
  <si>
    <t>Orpin à cinq étamines</t>
  </si>
  <si>
    <t>92805 - 80957 - 122187 - 151395 - 122243 - 140876 - 115971 - 151394 - 115972</t>
  </si>
  <si>
    <t>Orpin rougi, Orpin rougeâtre, Crassule rougeâtre</t>
  </si>
  <si>
    <t>140890 - 122181 - 140844 - 122256 - 122130 - 122207 - 140845 - 122180 - 151370 - 122252 - 122188 - 140889 - 122208</t>
  </si>
  <si>
    <t>Orpin à six angles, Orpin de Bologne, Orpin doux</t>
  </si>
  <si>
    <t>111246 - 122281 - 140904 - 102881</t>
  </si>
  <si>
    <t>Orpin velu, Orpin pubescent</t>
  </si>
  <si>
    <t>107021 - 122310 - 122309 - 620664 - 107002 - 106995 - 85789 - 122308</t>
  </si>
  <si>
    <t>Sélaginelle fausse sélagine, Selaginelle fausse sélaginelle, Sélaginelle épineuse, Sélaginelle spinuleuse</t>
  </si>
  <si>
    <t>122316 - 84959 - 105917 - 122400 - 122358 - 89268 - 82707 - 122388 - 123009 - 105090 - 122329 - 82708</t>
  </si>
  <si>
    <t>Sélin à feuilles de carvi</t>
  </si>
  <si>
    <t>151446 - 122455 - 151442 - 122500 - 151444 - 122484 - 151445 - 122419 - 140913 - 140909 - 140908 - 613151 - 122120 - 140912 - 140907 - 122466 - 122442 - 122494</t>
  </si>
  <si>
    <t>Joubarbe toile-d'araignée, Joubarbe-araignée, Joubarbe à toiles d'araignée</t>
  </si>
  <si>
    <t>122445 - 140927 - 153974 - 122467 - 151453 - 122210 - 140917</t>
  </si>
  <si>
    <t>Joubarbe des montagnes</t>
  </si>
  <si>
    <t>122433 - 122439 - 122492 - 122493 - 1009863</t>
  </si>
  <si>
    <t>Joubarbe des toits, Grande joubarbe</t>
  </si>
  <si>
    <t>122563 - 151518 - 87156 - 122585 - 151482 - 122673</t>
  </si>
  <si>
    <t>Séneçon cacaliaster, Séneçon fausse cacalie</t>
  </si>
  <si>
    <t>140940 - 95206 - 122571 - 103990 - 122544 - 122705 - 122592 - 122661 - 140939 - 1003571 - 140938</t>
  </si>
  <si>
    <t>Séneçon doria, Herbe dorée</t>
  </si>
  <si>
    <t>151487 - 93194 - 151486 - 124167 - 95229 - 993889 - 151490 - 140941 - 151489 - 122674 - 95227 - 122732 - 151488 - 122665 - 122593 - 122660 - 122557</t>
  </si>
  <si>
    <t>Séneçon doronic</t>
  </si>
  <si>
    <t>122638 - 140984 - 140952 - 140931 - 122671 - 151519 - 620668 - 140978 - 151524 - 620667 - 122625</t>
  </si>
  <si>
    <t>Séneçon hercynien, Séneçon des bois</t>
  </si>
  <si>
    <t>620669 - 122622 - 122742 - 122630</t>
  </si>
  <si>
    <t>Séneçon du Cap, Séneçon à dents inégales, Séneçon sud-africain, Séneçon à feuilles étroites, Séneçon d'Harvey</t>
  </si>
  <si>
    <t>140989 - 122656 - 153986 - 122721 - 122655 - 122605 - 151512 - 122736 - 122654 - 122554 - 122669</t>
  </si>
  <si>
    <t>Séneçon livide</t>
  </si>
  <si>
    <t>140949 - 122599 - 151523 - 122718 - 151484 - 103994 - 122724 - 122675 - 122575 - 151498 - 122712 - 140983 - 122576 - 938021 - 140977 - 103999 - 122609</t>
  </si>
  <si>
    <t>Séneçon ovale, Séneçon de Fuchs</t>
  </si>
  <si>
    <t>122726 - 108710 - 109773 - 122657 - 104001 - 122666 - 122720</t>
  </si>
  <si>
    <t>Séneçon des forêts, Séneçon des bois</t>
  </si>
  <si>
    <t>104000 - 122700 - 122684 - 122598 - 122740 - 122741 - 140974 - 620672</t>
  </si>
  <si>
    <t>Séneçon printanier, Séneçon de printemps</t>
  </si>
  <si>
    <t>109774 - 122566 - 122744 - 122781 - 140993 - 122606 - 104004</t>
  </si>
  <si>
    <t>Séneçon visqueux</t>
  </si>
  <si>
    <t>Séneçon commun, Séneçon vulgaire</t>
  </si>
  <si>
    <t>122784 - 122782 - 100251 - 121596 - 614188 - 125814 - 122785</t>
  </si>
  <si>
    <t>Séquoia toujours vert, Séquoia Redwood, Séquoia sempervirent</t>
  </si>
  <si>
    <t>125815 - 130079 - 122788 - 125812 - 122787 - 122783 - 122786 - 100252</t>
  </si>
  <si>
    <t>Séquoiadendron géant, Séquoia géant</t>
  </si>
  <si>
    <t>141005 - 141002 - 141001 - 110902 - 122810 - 122882 - 122804 - 106543 - 151530 - 151531 - 122827 - 101166 - 101172 - 122798 - 151528</t>
  </si>
  <si>
    <t>Sérapias langue, Sérapias à languette</t>
  </si>
  <si>
    <t>141023 - 122967 - 122957 - 141028 - 151576 - 620678 - 151577 - 151580 - 141027 - 151578 - 141026 - 141024 - 141025 - 122939 - 153994 - 89725 - 122961 - 122971 - 811232 - 88075 - 122972 - 151579 - 88212</t>
  </si>
  <si>
    <t>Serratule des teinturiers, Sarrette</t>
  </si>
  <si>
    <t>934642 - 84943 - 131939 - 84948 - 162285 - 117434 - 122984 - 122981 - 122983 - 141029 - 117475 - 122988</t>
  </si>
  <si>
    <t>Faux sésame pourpré, Faux sésame, Astérocarpe pourpré</t>
  </si>
  <si>
    <t>122336 - 123012 - 123003 - 123049 - 122998 - 151588 - 141035 - 141043 - 151587 - 620680 - 122343 - 123059 - 123940 - 112852 - 105419</t>
  </si>
  <si>
    <t>Séséli annuel, Séséli des steppes, Séséli coloré</t>
  </si>
  <si>
    <t>123024 - 151593 - 123065 - 151597 - 108464 - 151598 - 151594 - 151599 - 141044 - 123026 - 151600 - 111254 - 111255 - 123037 - 122361 - 123002 - 123038 - 141046 - 620681 - 151595 - 107349</t>
  </si>
  <si>
    <t>Séséli des montagnes</t>
  </si>
  <si>
    <t>620684 - 151611 - 151621 - 151609 - 151606 - 141050 - 161042 - 141051 - 93884 - 80928 - 151610 - 151623 - 123071 - 151605 - 151622 - 151603 - 151608 - 151601 - 151602 - 123072 - 123075 - 123068 - 151612 - 93858 - 95160 - 123087</t>
  </si>
  <si>
    <t>Seslérie bleue, Seslérie blanchâtre</t>
  </si>
  <si>
    <t>112241 - 112173 - 141055 - 123129 - 112189 - 123123 - 90370 - 141065 - 112134 - 149179 - 141059 - 151638 - 123122 - 123134 - 141057 - 149182 - 149216 - 145462 - 112172 - 145469 - 112156 - 149180 - 112261 - 103947 - 112652 - 123132 - 151637 - 145471 - 151642 - 145470 - 112188 - 123137 - 141056 - 149183 - 112138 - 151644 - 151641 - 151636 - 112191 - 112655 - 90511 - 151643 - 151671 - 123108 - 151640 - 123147 - 123131 - 123130 - 112659</t>
  </si>
  <si>
    <t>Sétaire d'Italie, Millet des oiseaux</t>
  </si>
  <si>
    <t>707114 - 112154 - 154560 - 154563 - 149175 - 762181 - 149174 - 90508 - 446338 - 620699 - 149173 - 149178 - 154554 - 155088 - 149176 - 123141 - 773527 - 154565 - 123148 - 112187 - 454161 - 154562 - 112141 - 154557 - 151645 - 771856 - 90372 - 154555 - 154326 - 123118 - 112225 - 154556 - 154558</t>
  </si>
  <si>
    <t>Sétaire naine, Sétaire glauque</t>
  </si>
  <si>
    <t>145473 - 634208 - 123159 - 90379 - 141054 - 112097 - 112666 - 123154 - 93877 - 141063 - 112257</t>
  </si>
  <si>
    <t>Sétaire verticillée, Panic verticillé</t>
  </si>
  <si>
    <t>123165 - 151682 - 151683 - 123164 - 101527 - 123168 - 141069 - 84776 - 151684 - 99542 - 123169 - 123163</t>
  </si>
  <si>
    <t>Shérardie des champs, Rubéole des champs, Gratteron fleuri, Shérarde des champs</t>
  </si>
  <si>
    <t>160552 - 151756 - 159840 - 123345 - 151758 - 123346 - 123258 - 151755 - 123243</t>
  </si>
  <si>
    <t>Crapaudine à feuilles d'hysope, Thé des montagnes</t>
  </si>
  <si>
    <t>930991 - 123360</t>
  </si>
  <si>
    <t>Sigesbeckia denté</t>
  </si>
  <si>
    <t>105951 - 123366 - 93192 - 112850 - 119777 - 92013 - 105911 - 620706 - 112885 - 92017 - 123976 - 123370 - 151763 - 108470 - 123367 - 123055 - 123365 - 112879 - 105956 - 123046 - 123372 - 123369</t>
  </si>
  <si>
    <t>Silaüs des prés, Cumin des prés, Silaüs jaunâtre</t>
  </si>
  <si>
    <t>121993 - 93519 - 93500 - 121992 - 106899 - 975113 - 106888 - 93515 - 129885 - 123401 - 106889 - 93487 - 121991 - 123483</t>
  </si>
  <si>
    <t>Cucubale à baies, Cucubale couchée, Coulichon, Cucubale porte-baies</t>
  </si>
  <si>
    <t>21 - 25 - 70</t>
  </si>
  <si>
    <t>141123 - 141127 - 141124 - 141191 - 123445 - 141125 - 141126 - 123408 - 719152 - 123467 - 123412 - 123525</t>
  </si>
  <si>
    <t>Silène coloré</t>
  </si>
  <si>
    <t>93491 - 123375 - 123648 - 123536 - 151774 - 106907 - 123431 - 123441 - 141128 - 92250 - 114047 - 123600 - 123663 - 123506 - 114044 - 123571 - 123476 - 123448 - 123576</t>
  </si>
  <si>
    <t>Silène conique</t>
  </si>
  <si>
    <t>93493 - 123470</t>
  </si>
  <si>
    <t>Silène dichotome, Silène bifurqué, Silène à deux grappes</t>
  </si>
  <si>
    <t>80541 - 1001722 - 107812 - 107813 - 106913 - 123471 - 107823 - 123474 - 137714 - 106915 - 120815 - 154864 - 620709 - 106944</t>
  </si>
  <si>
    <t>Silène dioïque, Compagnon rouge, Robinet rouge, Lychnide des bois, Lychnis des bois</t>
  </si>
  <si>
    <t>123627 - 123484 - 123638 - 123397 - 123666 - 123667</t>
  </si>
  <si>
    <t>Silène brun-verdâtre</t>
  </si>
  <si>
    <t>123547 - 123376 - 151791 - 151793 - 123399 - 141148 - 123413 - 123473 - 151790 - 123461 - 123435 - 123611 - 93522 - 123530 - 123428 - 123535 - 123570 - 151798 - 123653 - 151794 - 969308 - 123527 - 151800 - 123619 - 123635 - 123545 - 160315 - 123436 - 123501 - 141147 - 141145 - 151796 - 151797 - 151789 - 151779 - 93521 - 151799 - 106957 - 141149 - 123377 - 92510 - 123548 - 151792 - 123647 - 123493 - 123584 - 123617 - 161645 - 123515 - 123661 - 110086 - 141167 - 154014 - 151795 - 123490 - 123631 - 123558 - 123613 - 123485 - 123387 - 141146 - 123426</t>
  </si>
  <si>
    <t>Silène de France, Silène d'Angleterre</t>
  </si>
  <si>
    <t>93498 - 129890 - 123579 - 93518 - 123400 - 93514 - 123572 - 129888 - 123592 - 111850 - 93502 - 123404 - 93490 - 997259 - 123587 - 123512</t>
  </si>
  <si>
    <t>Silène d'Italie</t>
  </si>
  <si>
    <t>106952 - 123538 - 107814 - 771567 - 148621 - 141165 - 107818 - 154435 - 106916 - 154866 - 137524 - 620713 - 106898 - 137713 - 148622 - 123479 - 141187 - 107817 - 120830 - 123378 - 106939 - 107820 - 137712 - 141118 - 123522 - 106930 - 123601 - 106893 - 107811 - 106897 - 107809 - 620715 - 154865 - 141166 - 80542 - 159956 - 107810 - 771568 - 620714 - 773680</t>
  </si>
  <si>
    <t>Silène à feuilles larges, Silène à larges feuilles, Compagnon blanc</t>
  </si>
  <si>
    <t>123398 - 123555 - 123420 - 151807 - 141171 - 151806 - 141170 - 620716 - 123453 - 108913 - 141173</t>
  </si>
  <si>
    <t>Silène attrape-mouches</t>
  </si>
  <si>
    <t>Silene muscipula</t>
  </si>
  <si>
    <t>106932 - 123562 - 95977 - 107819 - 93511 - 123585 - 123681 - 120821</t>
  </si>
  <si>
    <t>Silène de nuit, Compagnon de nuit</t>
  </si>
  <si>
    <t>160313 - 123418 - 141175 - 123589 - 123563 - 154015 - 123543 - 123569 - 92511 - 141176 - 123411 - 123508 - 123466 - 161647 - 123391 - 93520 - 154016</t>
  </si>
  <si>
    <t>Silène nocturne</t>
  </si>
  <si>
    <t>111851 - 129892 - 110089 - 123568 - 151819 - 106934</t>
  </si>
  <si>
    <t>Silène penché</t>
  </si>
  <si>
    <t>123504 - 95088 - 129896 - 151825 - 123618 - 93495 - 129893 - 129895 - 93513 - 151826 - 151828 - 106936 - 123546 - 620721 - 138492 - 93494 - 123480 - 111852 - 93512 - 123662 - 620720 - 111849 - 620719 - 123583 - 123582 - 123590 - 123539 - 123534 - 123577</t>
  </si>
  <si>
    <t>Silène otitès, Silène cure-oreille, Silène à oreillettes</t>
  </si>
  <si>
    <t>123588 - 123440 - 123459</t>
  </si>
  <si>
    <t>Silène pendant, Silène à fleurs penchées</t>
  </si>
  <si>
    <t>123574 - 141201 - 123430 - 109777 - 123509 - 106900 - 129886 - 123463 - 85697 - 93488 - 1009995 - 85695 - 123683 - 85694</t>
  </si>
  <si>
    <t>Silène commun, Silène enflé, Tapotte</t>
  </si>
  <si>
    <t>107826 - 123688 - 107827 - 123687 - 107825 - 123686</t>
  </si>
  <si>
    <t>Silène douteux, Silène intermédiaire</t>
  </si>
  <si>
    <t>123700 - 123701 - 123702 - 117493</t>
  </si>
  <si>
    <t>Silphium perfolié</t>
  </si>
  <si>
    <t>88218 - 151838 - 123704 - 88151 - 107361 - 123703 - 123705 - 88150 - 88135 - 107362 - 107363 - 620731 - 89234</t>
  </si>
  <si>
    <t>Silybe de Marie, Chardon marie, Chardon marbré</t>
  </si>
  <si>
    <t>141220 - 86368 - 141219 - 141218 - 123711 - 123730 - 86143 - 86142 - 620734 - 109227 - 620733 - 141217 - 93375 - 86357 - 613722 - 613814 - 105852 - 86374 - 123742 - 613813 - 123725 - 105853 - 97011 - 117564 - 86333 - 86332 - 93351 - 123765</t>
  </si>
  <si>
    <t>Moutarde blanche</t>
  </si>
  <si>
    <t>Sinapis alba</t>
  </si>
  <si>
    <t>86340 - 123766 - 123764 - 93416 - 151842 - 773411 - 141224 - 109226 - 151839 - 151841 - 117328 - 123760 - 86384 - 161272 - 123715 - 117565 - 123741 - 123757 - 123713 - 123734 - 117351 - 141222 - 123746 - 141223 - 86440 - 80534 - 117566 - 123750 - 123755 - 151840 - 86441</t>
  </si>
  <si>
    <t>Moutarde des champs, Raveluche</t>
  </si>
  <si>
    <t>123780 - 123942 - 123778 - 123775 - 123938 - 83198 - 91186 - 122997 - 123773 - 83184 - 123937</t>
  </si>
  <si>
    <t>Sison amome, Sison, Sison aromatique</t>
  </si>
  <si>
    <t>39 - 71</t>
  </si>
  <si>
    <t>123777 - 123974 - 123776 - 108469 - 123054 - 83218 - 82749 - 112826 - 89262 - 123785</t>
  </si>
  <si>
    <t>Sison des moissons, Berle des blés, Persil des moissons</t>
  </si>
  <si>
    <t>123803 - 117935 - 161154 - 123789 - 87898 - 109396 - 117936</t>
  </si>
  <si>
    <t>Sisymbrelle rude, Cresson rude, Sisymbre rude, Rorippe rude</t>
  </si>
  <si>
    <t>123838 - 123894 - 123867 - 123799 - 123895 - 112013 - 93317 - 161162 - 101436 - 109698</t>
  </si>
  <si>
    <t>Sisymbre très élevé, Sisymbre fausse moutarde, Vélar très élevé</t>
  </si>
  <si>
    <t>160417 - 101473 - 151857 - 141233 - 123877 - 141236 - 123833 - 160416 - 154022 - 161158 - 141238 - 141244 - 154023 - 123917 - 123896 - 123817 - 123889 - 151858 - 123812 - 123809 - 123902 - 141253 - 123865 - 123884 - 141242 - 141239 - 159494 - 123823 - 141243 - 123879 - 161160 - 141240 - 151856 - 154024 - 141252 - 123914 - 123873 - 113284 - 154025 - 123846 - 123804 - 141237 - 123811 - 123797 - 151859 - 128507 - 123855 - 123853 - 123752 - 101489 - 97255 - 161159 - 123818 - 123885 - 161161</t>
  </si>
  <si>
    <t>Sisymbre d'Autriche, Sisymbre des Pyrénées, Vélar d'Autriche</t>
  </si>
  <si>
    <t>123901 - 123835 - 101461 - 123841 - 109699 - 101454 - 123881 - 123923 - 123882 - 103698 - 123842 - 94643 - 151866 - 113283 - 141241 - 123822 - 123825 - 123856 - 123847 - 93370 - 123831</t>
  </si>
  <si>
    <t>Sisymbre irio, Vélaret, Vélar irio</t>
  </si>
  <si>
    <t>109417 - 105732 - 123837 - 101458 - 123849 - 105731 - 123834 - 93379 - 128016 - 123891 - 123830</t>
  </si>
  <si>
    <t>Sisymbre de Loesel, Vélar de loesel</t>
  </si>
  <si>
    <t>123848 - 128511 - 151867 - 101466 - 154026 - 101476 - 113290 - 151868 - 620738 - 97236 - 90504 - 128377 - 123863 - 93417 - 162120 - 123887</t>
  </si>
  <si>
    <t>Sisymbre officinal, Herbe aux chantres, Vélar officinal</t>
  </si>
  <si>
    <t>113281 - 93347 - 123810 - 101442 - 101467 - 151861 - 123864 - 112012</t>
  </si>
  <si>
    <t>Sisymbre d'Orient, Vélar d'Orient</t>
  </si>
  <si>
    <t>620740 - 790046 - 123933</t>
  </si>
  <si>
    <t>Sisyrinchium des montagnes, Bermudienne des montagnes, Bermudienne montagnarde</t>
  </si>
  <si>
    <t>122397 - 95429 - 123961 - 91190 - 123771 - 123964 - 123962 - 123967 - 92461 - 123959 - 123960 - 123963</t>
  </si>
  <si>
    <t>Sium à feuilles larges, Sium à larges feuilles, Berle à larges feuilles, Grande berle, Berle à feuilles larges</t>
  </si>
  <si>
    <t>124007 - 123999 - 124003</t>
  </si>
  <si>
    <t>Maceron cultivé, Maceron, Gros persil</t>
  </si>
  <si>
    <t>151879 - 124034 - 106986 - 124112 - 151883 - 151885 - 124016 - 124109 - 124067 - 124110 - 151878 - 151884 - 95633 - 151882 - 151886 - 124102 - 124094 - 151881 - 124101</t>
  </si>
  <si>
    <t>Morelle douce-amère, Douce amère, Bronde</t>
  </si>
  <si>
    <t>106989 - 124051 - 613550 - 106988 - 619889 - 106990 - 721760 - 137529 - 124068 - 718783 - 124115 - 106987 - 621482 - 637807 - 455630 - 106991 - 639066 - 148464 - 82066 - 82067 - 148463 - 124070</t>
  </si>
  <si>
    <t>Tomate, Morelle tomate, Pomme d'amour</t>
  </si>
  <si>
    <t>124121 - 124080</t>
  </si>
  <si>
    <t>Morelle noire</t>
  </si>
  <si>
    <t>124081 - 124089 - 151905 - 151904</t>
  </si>
  <si>
    <t>Morelle à feuilles de coqueret, Morelle à feuilles de physalis</t>
  </si>
  <si>
    <t>985230 - 124106</t>
  </si>
  <si>
    <t>Morelle fausse Saracha</t>
  </si>
  <si>
    <t>124125 - 124056 - 636704 - 124038 - 106992 - 112424</t>
  </si>
  <si>
    <t>Pomme de terre, Morelle tubéreuse</t>
  </si>
  <si>
    <t>141277 - 151902 - 141261 - 141276 - 141262 - 124132 - 141270 - 1010016 - 124099 - 124052 - 124069</t>
  </si>
  <si>
    <t>Morelle velue, Morelle poilue</t>
  </si>
  <si>
    <t>620761 - 620758 - 620763 - 124143 - 124140 - 620766 - 124139 - 620756 - 620760 - 620755 - 620759 - 620757 - 620764 - 124142 - 620765 - 620767 - 620762</t>
  </si>
  <si>
    <t>Soldanelle des Alpes</t>
  </si>
  <si>
    <t>124185 - 762357 - 124174 - 141289 - 151910 - 124160 - 124200 - 636756 - 124164 - 124191 - 141290 - 141293 - 124177 - 84642</t>
  </si>
  <si>
    <t>Tête d'or</t>
  </si>
  <si>
    <t>124197 - 631076 - 124169 - 151911 - 154291 - 141291 - 141292 - 124168</t>
  </si>
  <si>
    <t>151926 - 620774 - 1010051 - 124204 - 82185 - 124202 - 124205 - 124207 - 82187 - 124184 - 84730 - 124208 - 151921 - 95207 - 151923 - 154040 - 124193 - 82186 - 160455 - 124162 - 124180 - 151927 - 151916 - 151925 - 151915 - 151924 - 151922 - 124173</t>
  </si>
  <si>
    <t>Solidage verge-d'or, Herbe des Juifs, Verge-d'or</t>
  </si>
  <si>
    <t>Solidage de Niederer</t>
  </si>
  <si>
    <t>151928 - 141312 - 1010057 - 124232 - 124245 - 124249 - 151934 - 124223 - 124240 - 124270 - 124273 - 124259</t>
  </si>
  <si>
    <t>Laiteron des champs</t>
  </si>
  <si>
    <t>151929 - 124233 - 124234 - 141310</t>
  </si>
  <si>
    <t>Laiteron épineux</t>
  </si>
  <si>
    <t>124239 - 124271 - 151933 - 151932 - 151931 - 124261 - 151930 - 105582 - 124252 - 102286 - 124253</t>
  </si>
  <si>
    <t>Laiteron potager, Laiteron lisse, Laiteron maraîcher</t>
  </si>
  <si>
    <t>124250 - 124272 - 124222 - 124264 - 124225</t>
  </si>
  <si>
    <t>Laiteron des marais</t>
  </si>
  <si>
    <t>Laiteron de Prudhomme</t>
  </si>
  <si>
    <t>124662 - 124301 - 85624 - 124670 - 121515 - 124300 - 124294</t>
  </si>
  <si>
    <t>Sorbaire à feuilles de sorbier, Spirée à feuilles de sorbier</t>
  </si>
  <si>
    <t>85623 - 124293 - 620777 - 124653 - 124299 - 121516 - 620778 - 124302 - 151936</t>
  </si>
  <si>
    <t>Sorbaire tomenteuse, Spirée de Lindley, Spirée tomenteuse</t>
  </si>
  <si>
    <t>124333 - 124324 - 85177 - 771952 - 124315 - 124310 - 124312 - 771951 - 614183 - 771343 - 124321 - 617028 - 162497 - 620798 - 108405 - 124327 - 771950 - 124348 - 116490 - 108404 - 151944 - 620797 - 92821 - 620801 - 614185 - 85176 - 620802 - 620799 - 124308 - 124342 - 116563 - 620800</t>
  </si>
  <si>
    <t>Sorbier des oiseleurs, Sorbier sauvage, Sorbier des oiseaux</t>
  </si>
  <si>
    <t>636768 - 124386 - 151954 - 141328 - 709205 - 709204 - 141329 - 102893 - 124382 - 117569 - 124374 - 636770 - 454084 - 124369 - 141327 - 124383 - 82468 - 82429 - 155015 - 636765 - 112144 - 124387 - 82434 - 636761 - 620839 - 620840 - 82431 - 124377 - 159850 - 636767 - 102889 - 124380 - 124370 - 155014 - 102904 - 637486 - 636769 - 82473 - 789144</t>
  </si>
  <si>
    <t>Sorgho commun, Maïs cafre, Mapimbe</t>
  </si>
  <si>
    <t>82422 - 124376 - 82460 - 151951 - 151948 - 131359 - 82453 - 124385 - 154578 - 82437 - 82452 - 86123 - 124375 - 636766 - 124371 - 82432 - 82440 - 82446 - 124378 - 151950 - 151945 - 620841 - 124372 - 151946 - 124381 - 151947 - 82426 - 124384 - 151952 - 102899 - 82436</t>
  </si>
  <si>
    <t>Sorgho d'Alep, Herbe de Cuba</t>
  </si>
  <si>
    <t>773089 - 141330 - 141331 - 124406 - 124411 - 620842 - 620843 - 773090 - 124404 - 124405</t>
  </si>
  <si>
    <t>Rubanier à feuilles étroites</t>
  </si>
  <si>
    <t>141340 - 151961 - 789145 - 124407 - 773688 - 718415 - 151962 - 124418 - 771978</t>
  </si>
  <si>
    <t>Rubanier émergé, Rubanier simple</t>
  </si>
  <si>
    <t>151958 - 124417 - 124416 - 141332 - 141336 - 151960 - 124408 - 151959 - 789147 - 141339 - 620844</t>
  </si>
  <si>
    <t>Rubanier dressé, Ruban-d'eau, Rubanier rameux</t>
  </si>
  <si>
    <t>161934 - 124413 - 124412 - 124410</t>
  </si>
  <si>
    <t>Rubanier nain, Petit rubanier</t>
  </si>
  <si>
    <t>141338 - 124414 - 141334</t>
  </si>
  <si>
    <t>Rubanier négligé</t>
  </si>
  <si>
    <t>124423 - 124442 - 124459 - 99714 - 124440 - 99791 - 99719 - 99770 - 99762 - 124453 - 94125</t>
  </si>
  <si>
    <t>Spartier jonc, Genêt d'Espagne, Spartier à tiges de jonc, Sparte, Spartion</t>
  </si>
  <si>
    <t>124503 - 161719 - 124973 - 141348 - 151974 - 151975 - 141356 - 161720 - 1010120 - 124539 - 154046 - 141353 - 124543 - 124499 - 83656 - 124523 - 124510 - 124509 - 83540 - 151972 - 141364 - 151973 - 141349 - 124526 - 154045 - 141354 - 966010 - 151971 - 141352 - 124514 - 141351 - 124532 - 124501 - 141350 - 141347</t>
  </si>
  <si>
    <t>Spargoute des champs, Spergule des champs, Espargoute des champs, Spargelle</t>
  </si>
  <si>
    <t>Spergula arvensis</t>
  </si>
  <si>
    <t>124521 - 141357 - 124537 - 124517</t>
  </si>
  <si>
    <t>Spargoute de Morison, Spargoute printanière, Spergule de Morison, Espargoute de printemps, Espargoute de Morison</t>
  </si>
  <si>
    <t>81755 - 81701 - 83610 - 83631 - 81766 - 124519 - 125028 - 124538 - 141358 - 151976 - 125206 - 151977</t>
  </si>
  <si>
    <t>Spargoute à cinq étamines, Espargoute à cinq étamines, Espargoute à cinq étamines</t>
  </si>
  <si>
    <t>124544 - 141373 - 717557 - 124548 - 81703 - 92470 - 124545 - 81758 - 81753 - 160100 - 124500 - 81708 - 126706 - 124508 - 105699 - 141365 - 141359 - 620847</t>
  </si>
  <si>
    <t>Spergulaire de Boccone</t>
  </si>
  <si>
    <t>124512 - 124570 - 124588 - 143771 - 151990 - 83587 - 105704 - 124581 - 92471 - 151982 - 124585 - 161722 - 124556 - 124551 - 161721 - 161723 - 772540 - 124502 - 124586 - 151996 - 105703 - 620849 - 151994 - 92472 - 81756 - 151985 - 83647 - 81780 - 105711 - 141384 - 124505 - 105706 - 151983 - 105702 - 161725 - 124564 - 124561 - 83657 - 124531 - 772539 - 124569 - 771570 - 83604 - 124546 - 105700 - 102918 - 154047 - 126707 - 151995 - 161724 - 151984 - 83585 - 131603 - 124559 - 161805</t>
  </si>
  <si>
    <t>Spergule marine, Spergulaire marine, Spergulaire du sel</t>
  </si>
  <si>
    <t>141385 - 124515 - 107836 - 90056 - 124572 - 124568 - 83609 - 125205 - 160221 - 161727 - 161728 - 151986 - 81754 - 124547 - 141380 - 620850 - 141370 - 141366 - 83602 - 141372 - 141379 - 105705 - 151987 - 141367 - 124571 - 92473 - 83605 - 141369 - 92474 - 83606 - 124575 - 141371 - 124511 - 125204 - 124513 - 151991 - 161806</t>
  </si>
  <si>
    <t>Spergulaire moyenne, Spergulaire marginée, Spargoute moyenne</t>
  </si>
  <si>
    <t>124577 - 141355 - 151992 - 97974 - 141374 - 141382 - 151989 - 151981 - 81778 - 105708 - 124528 - 124578 - 161807 - 125207 - 151988 - 81697 - 105709 - 124542 - 151978 - 151980 - 141360 - 141363 - 83551 - 124552 - 124549 - 151979 - 105715 - 107837 - 83612 - 1010125 - 143770 - 141375 - 86864 - 151993 - 124565 - 83645 - 126708</t>
  </si>
  <si>
    <t>Spergulaire rouge, Sabline rouge</t>
  </si>
  <si>
    <t>124583 - 124534 - 105714 - 124558 - 94561 - 122296 - 81783 - 105713 - 83652 - 124584 - 81798</t>
  </si>
  <si>
    <t>Spergulaire des moissons</t>
  </si>
  <si>
    <t>Spergularia segetalis</t>
  </si>
  <si>
    <t>717558 - 124557 - 717564 - 124590</t>
  </si>
  <si>
    <t>Spergulaire</t>
  </si>
  <si>
    <t>90772 - 141386 - 124618 - 124616 - 141388 - 124615 - 141389 - 124617 - 141387</t>
  </si>
  <si>
    <t>Épinard potager, Épinard, Épinard cultivé</t>
  </si>
  <si>
    <t>124669 - 124631 - 124676 - 124619</t>
  </si>
  <si>
    <t>Spirée blanche</t>
  </si>
  <si>
    <t>124649 - 124647 - 124627 - 124666 - 152000 - 124630</t>
  </si>
  <si>
    <t>Spirée de Canton</t>
  </si>
  <si>
    <t>124675 - 124629 - 124638 - 141391 - 124623 - 141390</t>
  </si>
  <si>
    <t>Spirée à feuilles de petit chêne, Spirée à feuilles de germandrée</t>
  </si>
  <si>
    <t>Spirée de Douglas</t>
  </si>
  <si>
    <t>124624 - 124639 - 124664 - 152001 - 620859 - 124652 - 124646 - 620860 - 620858 - 124625 - 620857 - 152002</t>
  </si>
  <si>
    <t>Spirée du Japon</t>
  </si>
  <si>
    <t>124668 - 124678</t>
  </si>
  <si>
    <t>Spirée à feuilles de saule</t>
  </si>
  <si>
    <t>Spirée tomenteuse</t>
  </si>
  <si>
    <t>Spirée dentelée</t>
  </si>
  <si>
    <t>124682 - 124686 - 124681 - 124692</t>
  </si>
  <si>
    <t>Spirée de Billiard</t>
  </si>
  <si>
    <t>154580 - 124698 - 124697</t>
  </si>
  <si>
    <t>Spirée de Van Houtte</t>
  </si>
  <si>
    <t>110327 - 110326 - 124699</t>
  </si>
  <si>
    <t>Spiranthe d'été</t>
  </si>
  <si>
    <t>152011 - 124700 - 110478 - 993960 - 124701 - 128037 - 120947 - 96479 - 101177 - 122834 - 103512 - 110353 - 162401</t>
  </si>
  <si>
    <t>Spiranthe d'automne, Spiranthe spiralée</t>
  </si>
  <si>
    <t>105435 - 105438 - 124707 - 105430 - 105465 - 105434 - 124706 - 105429 - 105440 - 124705 - 614960</t>
  </si>
  <si>
    <t>Spirodèle à racines nombreuses, Spirodèle à plusieurs racines, Lentille d'eau à racines nombreuses</t>
  </si>
  <si>
    <t>80652 - 124727 - 124720 - 162279 - 85455 - 124722 - 129439 - 124712 - 80601 - 129432 - 124729 - 124719 - 129443 - 129438 - 124710 - 764609 - 764612 - 154581 - 124716 - 764611 - 124721</t>
  </si>
  <si>
    <t>Sporobole des Indes, Sporobole fertile, Sporobole tenace</t>
  </si>
  <si>
    <t>124725 - 124726 - 152012</t>
  </si>
  <si>
    <t>Sporobole négligé</t>
  </si>
  <si>
    <t>124723 - 124730 - 124717 - 93473 - 620861</t>
  </si>
  <si>
    <t>Sporobole à fleurs vaginées, Sporobole engainé, Sporobole à inflorescences engainées</t>
  </si>
  <si>
    <t>124740 - 124758 - 99292</t>
  </si>
  <si>
    <t>Épiaire des Alpes</t>
  </si>
  <si>
    <t>124746 - 124792 - 124787 - 124767 - 124750 - 124803 - 124791 - 124741 - 110056 - 124735 - 141400 - 110055 - 85825</t>
  </si>
  <si>
    <t>Épiaire annuel</t>
  </si>
  <si>
    <t>Stachys annua</t>
  </si>
  <si>
    <t>127854 - 127858 - 124794 - 100305 - 88040 - 100317 - 127857 - 124744 - 127863 - 124790</t>
  </si>
  <si>
    <t>Épiaire des champs</t>
  </si>
  <si>
    <t>141408 - 124756 - 124816 - 620864 - 124783</t>
  </si>
  <si>
    <t>Épiaire de Byzance, Épiaire laineux</t>
  </si>
  <si>
    <t>124752 - 124743 - 124776 - 96868 - 124771 - 124817 - 124782 - 124760 - 85838 - 124800 - 141409 - 124770 - 85834 - 124813 - 124765</t>
  </si>
  <si>
    <t>Épiaire d'Allemagne, Sauge molle</t>
  </si>
  <si>
    <t>124747 - 124748 - 124775 - 124820</t>
  </si>
  <si>
    <t>Épiaire d'Héraclée</t>
  </si>
  <si>
    <t>124796 - 141411 - 99303 - 125955 - 123302 - 124778 - 124769 - 124777 - 124781</t>
  </si>
  <si>
    <t>Épiaire faux basilic, Épiaire hérissé</t>
  </si>
  <si>
    <t>124784 - 124821 - 124742 - 124798 - 124809 - 141414</t>
  </si>
  <si>
    <t>Épiaire des marais, Ortie bourbière</t>
  </si>
  <si>
    <t>124754 - 124799 - 124815 - 124764 - 85830 - 115803 - 85840 - 124734 - 85821 - 124774 - 124804 - 124793 - 124812 - 123247 - 124802 - 124805 - 124810 - 111788</t>
  </si>
  <si>
    <t>Épiaire droit</t>
  </si>
  <si>
    <t>124818 - 124757 - 124772 - 124814</t>
  </si>
  <si>
    <t>Épiaire des forêts, Épiaire des bois, Ortie à crapauds, Ortie puante, Ortie à crapauds</t>
  </si>
  <si>
    <t>124828 - 141413 - 124823</t>
  </si>
  <si>
    <t>Épiaire ambigu</t>
  </si>
  <si>
    <t>124833 - 124822 - 124827 - 124824 - 124834 - 124836 - 124826 - 124829 - 124838</t>
  </si>
  <si>
    <t>Épiaire intermédiaire</t>
  </si>
  <si>
    <t>Épiaire de Medebach</t>
  </si>
  <si>
    <t>124845 - 124846</t>
  </si>
  <si>
    <t>Staphylier penné, Faux pistachier</t>
  </si>
  <si>
    <t>124967 - 125041 - 125010 - 125046 - 124995 - 125044 - 124993 - 161691 - 105034 - 152054 - 81795 - 152053 - 125008 - 105036 - 124964 - 105040 - 161690 - 999926</t>
  </si>
  <si>
    <t>Stellaire alsine, Stellaire des sources, Stellaire des fanges</t>
  </si>
  <si>
    <t>999921 - 124970 - 89994 - 81699 - 148483 - 148484 - 109121 - 89965 - 125022 - 90088 - 105035 - 108981 - 125027 - 125007 - 81796 - 107168</t>
  </si>
  <si>
    <t>Myosoton aquatique, Stellaire aquatique, Céraiste d'eau, Céraiste aquatique, Malaquie aquatique</t>
  </si>
  <si>
    <t>81739 - 124972 - 105037 - 125026 - 105038 - 125001 - 125040 - 152033 - 148043 - 124978 - 125038 - 152034 - 90024 - 125000 - 125086 - 125004</t>
  </si>
  <si>
    <t>Stellaire graminée</t>
  </si>
  <si>
    <t>81726 - 1011457 - 131258 - 124986 - 124969 - 154057 - 81759 - 81818 - 81704 - 124988 - 125087 - 81705 - 102914 - 83682 - 125052 - 141454 - 141444 - 81802 - 81821 - 125016 - 141443 - 124976 - 124965 - 81709 - 772555 - 125003 - 152042 - 125014 - 152049 - 772554 - 161862 - 152041 - 125029 - 141447</t>
  </si>
  <si>
    <t>Stellaire intermédiaire, Mouron, Mouron blanc</t>
  </si>
  <si>
    <t>125045 - 125019 - 141441 - 141453 - 141448 - 124980 - 152043 - 141457 - 81762 - 152046 - 152047 - 161702 - 141446 - 141450 - 161687 - 125002 - 141449 - 154058 - 141455</t>
  </si>
  <si>
    <t>Stellaire négligée, Grande stellaire</t>
  </si>
  <si>
    <t>90062 - 125020 - 103152 - 81763 - 161688 - 125021</t>
  </si>
  <si>
    <t>Stellaire des bois</t>
  </si>
  <si>
    <t>152040 - 124975 - 125023 - 161686 - 141440 - 81765 - 124962 - 141451 - 152045 - 152048 - 81735 - 141439 - 141438 - 162643 - 152044 - 124994 - 141445</t>
  </si>
  <si>
    <t>Stellaire pâle, Mouron pâle, Stellaire sans pétales</t>
  </si>
  <si>
    <t>152035 - 125024 - 125005 - 105039 - 125013 - 152052 - 161689 - 124996 - 124974 - 125015 - 125025 - 81738 - 124990 - 125012</t>
  </si>
  <si>
    <t>Stellaire des marais</t>
  </si>
  <si>
    <t>125146 - 141476 - 141487</t>
  </si>
  <si>
    <t>Stipe de Gaule, Stipe de Paris, Stipe de Lutèce</t>
  </si>
  <si>
    <t>141482 - 125154 - 125173</t>
  </si>
  <si>
    <t>Stipe pennée, Plumet</t>
  </si>
  <si>
    <t>125220 - 125219 - 125218</t>
  </si>
  <si>
    <t>Stratiote faux aloès, Faux aloès, Aloès d'eau, Ananas d'eau</t>
  </si>
  <si>
    <t>125227 - 771580 - 773095 - 125226 - 773559 - 772560 - 773096 - 126905 - 125225 - 772559 - 128327 - 92277 - 773454</t>
  </si>
  <si>
    <t>Streptope amplexicaule, Streptope à feuilles embrassantes, Uvulaire, Uvulaire à feuilles embrassantes, Sceau-de-Salomon rameux</t>
  </si>
  <si>
    <t>106529 - 86095 - 80127 - 124608 - 111806 - 86101 - 106530 - 125238 - 106544 - 111818 - 958796 - 144299 - 80130 - 110148 - 106531</t>
  </si>
  <si>
    <t>Struthioptéride en épi, Struthioptéris en épi, Blechne en épi</t>
  </si>
  <si>
    <t>125280 - 125271 - 152060 - 125293 - 125300 - 121354 - 125294 - 121346 - 125291 - 125267 - 125289 - 125303 - 125284 - 121406 - 620878 - 125269 - 125282 - 125309 - 125307 - 125279 - 141496 - 125290 - 125298 - 125296 - 125308 - 84763 - 125297 - 125295 - 125276 - 125273 - 125305 - 125281 - 125299 - 152062 - 121323 - 125277 - 125278 - 999413 - 125286 - 125266 - 125274 - 1011455 - 125301 - 152061 - 105587 - 125304</t>
  </si>
  <si>
    <t>Succise des prés, Herbe-du-diable, Mors-du-diable</t>
  </si>
  <si>
    <t>99915 - 125319 - 99918 - 86103</t>
  </si>
  <si>
    <t>Swertie vivace, Swertie pérenne</t>
  </si>
  <si>
    <t>128337 - 998295 - 998298 - 998297 - 998294 - 125324 - 129944 - 125325 - 998296</t>
  </si>
  <si>
    <t>Symphorine blanche, Symphorine à fruits blancs, Symphorine à grappes</t>
  </si>
  <si>
    <t>84720 - 125330 - 84633 - 84713 - 84692 - 84658 - 84671</t>
  </si>
  <si>
    <t>Symphyotriche lancéolé, Aster lancéolé</t>
  </si>
  <si>
    <t>95083 - 84684 - 125331 - 84623 - 105052 - 129883</t>
  </si>
  <si>
    <t>Symphyotriche de Nouvelle-Angleterre, Aster de Nouvelle-Angleterre</t>
  </si>
  <si>
    <t>125337 - 84704 - 84733 - 84734</t>
  </si>
  <si>
    <t>Symphyotriche à feuilles de saule, Aster à feuilles de saule</t>
  </si>
  <si>
    <t>125340 - 125341 - 125339</t>
  </si>
  <si>
    <t>Consoude rude, Consoude hérissée</t>
  </si>
  <si>
    <t>125355 - 141498 - 125358 - 152067 - 125352 - 125342 - 125349 - 125345 - 125354 - 152066</t>
  </si>
  <si>
    <t>Consoude officinale, Grande consoude</t>
  </si>
  <si>
    <t>Consoude tubéreuse, Consoude à tubercules</t>
  </si>
  <si>
    <t>719167 - 1011462 - 125369 - 1011461 - 125366</t>
  </si>
  <si>
    <t>Consoude d'Upland, Consoude voyageuse</t>
  </si>
  <si>
    <t>105971 - 105969 - 152068 - 125389 - 152071 - 152072 - 152069 - 152070 - 934202 - 125388 - 125391 - 105970 - 105968</t>
  </si>
  <si>
    <t>Lilas commun, Lilas</t>
  </si>
  <si>
    <t>125392 - 924190</t>
  </si>
  <si>
    <t>Lilas de Perse</t>
  </si>
  <si>
    <t>125405 - 636932</t>
  </si>
  <si>
    <t>Tagète étalé, Œillet d'inde</t>
  </si>
  <si>
    <t>125421 - 125409 - 125438 - 125413 - 125411 - 636938 - 620884 - 125426 - 125434 - 954427 - 141503</t>
  </si>
  <si>
    <t>Tamaris de France, Tamaris commun</t>
  </si>
  <si>
    <t>90451 - 132065 - 91078 - 125457 - 125471 - 91023 - 105773 - 116508 - 125458 - 718419 - 107436 - 85517 - 718418 - 85520 - 116499 - 91024 - 91022 - 116521 - 85519 - 132066</t>
  </si>
  <si>
    <t>Tanaisie balsamite, Menthe-coq, Balsamite, Grande balsamite</t>
  </si>
  <si>
    <t>116520 - 91049 - 116504 - 115101 - 152077 - 150357 - 620885 - 116496 - 139528 - 160986 - 91035 - 152078 - 125460 - 91034 - 107455 - 621241 - 107443 - 620886 - 141505 - 90455 - 150356 - 116503 - 105783 - 116516 - 91015 - 160985 - 160984 - 116522 - 152076 - 116519 - 145504</t>
  </si>
  <si>
    <t>Tanaisie en corymbe, Marguerite en corymbe, Chrysanthème en corymbe</t>
  </si>
  <si>
    <t>107484 - 116515 - 107447 - 94611 - 90471 - 162450 - 150359 - 107467 - 105810 - 116510 - 116514 - 91064 - 148174 - 125469 - 116513 - 105806 - 115104 - 107468 - 125468 - 91066</t>
  </si>
  <si>
    <t>Tanaisie matricaire, Matricaire, Gros camomille, Matrécoeur, Matricoeur</t>
  </si>
  <si>
    <t>125474 - 91083 - 620887 - 963755 - 935126 - 125466 - 125462 - 90477 - 116525</t>
  </si>
  <si>
    <t>Tanaisie commune, Sent-bon, Barbotine</t>
  </si>
  <si>
    <t>125630 - 125481</t>
  </si>
  <si>
    <t>Pissenlit d'Adam</t>
  </si>
  <si>
    <t>125491 - 125751</t>
  </si>
  <si>
    <t>Pissenlit ailé</t>
  </si>
  <si>
    <t>125627 - 125512</t>
  </si>
  <si>
    <t>Pissenlit</t>
  </si>
  <si>
    <t>Pissenlit d'automne</t>
  </si>
  <si>
    <t>125517 - 125494</t>
  </si>
  <si>
    <t>Pissenlit dent-de-lion</t>
  </si>
  <si>
    <t>125544 - 125745 - 125631</t>
  </si>
  <si>
    <t>125585 - 141525 - 125633 - 620891 - 161624 - 162471 - 141526 - 141536 - 811065 - 125643 - 105493</t>
  </si>
  <si>
    <t>Pissenlit à fruits rouges, Pissenlit gracile, Pissenlit à feuilles lisses</t>
  </si>
  <si>
    <t>125602 - 620890 - 125523</t>
  </si>
  <si>
    <t>Pissenlit fauve</t>
  </si>
  <si>
    <t>Pissenlit de Gelert</t>
  </si>
  <si>
    <t>Pissenlit de Hollande</t>
  </si>
  <si>
    <t>125640 - 141516</t>
  </si>
  <si>
    <t>125654 - 719172 - 125507</t>
  </si>
  <si>
    <t>Pissenlit maculé, Pissenlit à têtes noires</t>
  </si>
  <si>
    <t>125670 - 719189</t>
  </si>
  <si>
    <t>Pissenlit de Navarre</t>
  </si>
  <si>
    <t>125674 - 125569 - 125506 - 125609</t>
  </si>
  <si>
    <t>Pissenlit de Nordstedt</t>
  </si>
  <si>
    <t>719180 - 125508 - 125760 - 125729 - 125669 - 125543 - 125629 - 125680</t>
  </si>
  <si>
    <t>Pissenlit d'Oxford</t>
  </si>
  <si>
    <t>141532 - 105513 - 125549 - 125618 - 141511 - 154829 - 105507 - 100809 - 141531 - 154830 - 125686 - 105506 - 154062 - 137209 - 161887 - 125645 - 125685 - 125748 - 154066</t>
  </si>
  <si>
    <t>Pissenlit des marais</t>
  </si>
  <si>
    <t>811145 - 125736 - 125584 - 141518</t>
  </si>
  <si>
    <t>Pissenlit rouge vif</t>
  </si>
  <si>
    <t>Pissenlit à lobes tordus</t>
  </si>
  <si>
    <t>125641 - 125671 - 125576 - 125782 - 125555</t>
  </si>
  <si>
    <t>Pissenlit des lieux humides</t>
  </si>
  <si>
    <t>93581 - 125811 - 121594 - 93569 - 93573</t>
  </si>
  <si>
    <t>Taxodium distique, Cyprès chauve, Cyprès de Louisiane</t>
  </si>
  <si>
    <t>772008 - 773052 - 125816 - 125818 - 772009 - 125817 - 128519 - 613616</t>
  </si>
  <si>
    <t>If à baies, if commun</t>
  </si>
  <si>
    <t>93424 - 125828 - 126383 - 100595 - 125831 - 161550 - 141539 - 98759 - 100593 - 103470 - 105674 - 125829 - 125834</t>
  </si>
  <si>
    <t>Téesdalie à tiges nues</t>
  </si>
  <si>
    <t>103602 - 125837 - 125838 - 108740 - 87011 - 92575 - 125836</t>
  </si>
  <si>
    <t>Télékie remarquable</t>
  </si>
  <si>
    <t>Téléphium d'Impérato</t>
  </si>
  <si>
    <t>122624 - 937850 - 125896 - 125894 - 937842 - 111844 - 91244 - 125902 - 91252 - 122646 - 125901 - 122722</t>
  </si>
  <si>
    <t>Téphroséride hélénitis, Séneçon à feuilles en spatule, Séneçon spatulé, Séneçon hélénitis, Séneçon à feuilles spatulées, Téphroséris à feuilles spatulées</t>
  </si>
  <si>
    <t>620896 - 111845 - 122693 - 122634 - 122568 - 91229 - 140987 - 140932 - 125893 - 91242 - 125895 - 91240</t>
  </si>
  <si>
    <t>Téphroséride à feuilles entières, Séneçon à feuilles entières, Tephroséris à feuilles entières</t>
  </si>
  <si>
    <t>121908 - 108757 - 127855 - 125980 - 86210 - 90423 - 90426 - 125984 - 125976</t>
  </si>
  <si>
    <t>Germandrée botryde, Germandrée en grappe, Germandrée femelle</t>
  </si>
  <si>
    <t>141558 - 108761 - 125991 - 141557 - 126018 - 125981 - 126022 - 154069 - 154070 - 141561 - 141556 - 126043 - 126014 - 141562 - 90432 - 141559 - 141560 - 125965</t>
  </si>
  <si>
    <t>Germandrée petit-chêne, Chênette</t>
  </si>
  <si>
    <t>125994 - 90438 - 90436 - 90424 - 90433 - 141567 - 126004</t>
  </si>
  <si>
    <t>Germandrée jaune</t>
  </si>
  <si>
    <t>126021 - 152095 - 126016 - 126008 - 125967 - 114497 - 114495 - 152096 - 90430 - 126037 - 125998 - 126036</t>
  </si>
  <si>
    <t>Germandrée des montagnes</t>
  </si>
  <si>
    <t>126034 - 141581 - 152100 - 141580 - 90434 - 108759 - 90437 - 121906 - 121905 - 127861 - 126033 - 141582 - 126015 - 125969 - 126017 - 126000</t>
  </si>
  <si>
    <t>Germandrée des marais, Germandrée des marais, Chamaraz, Germandrée d'eau</t>
  </si>
  <si>
    <t>25 - 58 - 70 - 89 - 90</t>
  </si>
  <si>
    <t>141583 - 126035 - 108758 - 126038 - 121913 - 121910 - 121914 - 121912</t>
  </si>
  <si>
    <t>Germandrée scorodoine, Sauge des bois, Germandrée des bois</t>
  </si>
  <si>
    <t>126141 - 126188 - 126181 - 126224 - 126109 - 126067 - 126200 - 127628 - 126144 - 127627 - 126092 - 126078 - 126177</t>
  </si>
  <si>
    <t>Pigamon à feuilles d'ancolie, Colombine plumeuse</t>
  </si>
  <si>
    <t>126214 - 141596 - 126202 - 935458 - 126230 - 154080 - 126124 - 141602 - 126133 - 126204 - 126167 - 141633 - 126097 - 1011644 - 1011603 - 141605 - 141598 - 154078 - 152109 - 154081 - 141603 - 620911 - 1011642 - 126140 - 141599 - 154079 - 126196</t>
  </si>
  <si>
    <t>Pigamon jaune, Pigamon noircissant</t>
  </si>
  <si>
    <t>141592 - 126187 - 935647 - 126073 - 126169 - 141632 - 141600 - 935732 - 126156 - 126170 - 161050 - 141595 - 935457 - 141593 - 126150 - 141601 - 141586 - 141584 - 126120 - 935459 - 935440 - 935478</t>
  </si>
  <si>
    <t>Pigamon luisant, Pigamon méditerranéen</t>
  </si>
  <si>
    <t>126237 - 126208 - 935827 - 126236 - 126136 - 126164 - 126163 - 126077 - 154099 - 126103 - 935986 - 126185 - 935990 - 154113 - 126174 - 126096 - 126126 - 126198 - 126114 - 154116 - 126239 - 935989 - 126212 - 126125 - 141625 - 935997 - 154115 - 126081 - 126159 - 126233 - 154117</t>
  </si>
  <si>
    <t>Pigamon mineur, Petit pigamon</t>
  </si>
  <si>
    <t>126213 - 126172 - 935463 - 935593 - 141588 - 141610 - 141604 - 154091 - 154077 - 936215 - 126155 - 1011637</t>
  </si>
  <si>
    <t>Pigamon simple, Pigamon à tiges simples</t>
  </si>
  <si>
    <t>126215 - 141606 - 126240</t>
  </si>
  <si>
    <t>Pigamon bâtard</t>
  </si>
  <si>
    <t>105130 - 114997 - 84428 - 148914 - 143972 - 985245 - 115008 - 147639 - 95600 - 105139 - 155071 - 115082 - 115049 - 109567 - 84443 - 114991 - 143973 - 126276 - 80131 - 101243</t>
  </si>
  <si>
    <t>Thélyptéride des marais, Fougère des marais, Thélyptéris des marais, Théliptéris des marécages</t>
  </si>
  <si>
    <t>126311 - 106265 - 126306 - 141642 - 126312 - 124957 - 126287 - 130528</t>
  </si>
  <si>
    <t>Thésion des Alpes, Thésium des Alpes</t>
  </si>
  <si>
    <t>21 - 90</t>
  </si>
  <si>
    <t>126298 - 152120 - 106267 - 152119</t>
  </si>
  <si>
    <t>Thésion couché, Thésium couché</t>
  </si>
  <si>
    <t>106269 - 126305 - 141647 - 130530 - 126286 - 106268 - 126301 - 126304</t>
  </si>
  <si>
    <t>Thésion à feuilles de lin, Thésium à feuilles de lin</t>
  </si>
  <si>
    <t>141643 - 126309 - 141649 - 130529 - 126310</t>
  </si>
  <si>
    <t>Thésion des Pyrénées, Thésium des Pyrénées, Thésion des prés</t>
  </si>
  <si>
    <t>93428 - 126375 - 126322 - 105611</t>
  </si>
  <si>
    <t>Tabouret à odeur d'ail, Tabouret alliacé</t>
  </si>
  <si>
    <t>126414 - 93427 - 126413 - 105684 - 126332 - 125920 - 126343</t>
  </si>
  <si>
    <t>Tabouret des champs, Monnoyère, Herbe-aux-écus</t>
  </si>
  <si>
    <t>Thlaspi arvense</t>
  </si>
  <si>
    <t>126448 - 126452 - 126449 - 117496</t>
  </si>
  <si>
    <t>Thuya d'Occident, Thuya du Canada, Thuya occidental</t>
  </si>
  <si>
    <t>126445 - 126447 - 126451 - 126446</t>
  </si>
  <si>
    <t>Thuya plié, Thuya géant, Cèdre de l'Ouest</t>
  </si>
  <si>
    <t>125077 - 90897 - 112535 - 94441 - 105902 - 126474 - 125074 - 112528 - 126459 - 112517 - 112518</t>
  </si>
  <si>
    <t>Thymélée passerine, Passerine annuelle, Langue-de-moineau</t>
  </si>
  <si>
    <t>Thymelaea passerina</t>
  </si>
  <si>
    <t>126515 - 141725 - 141706 - 985246 - 141724 - 141701 - 620924 - 126494 - 141704 - 141700 - 1012167 - 620923</t>
  </si>
  <si>
    <t>Thym de Druce, Serpolet de Druce, Thym de Grande-Bretagne, Serpolet de Grande-Bretagne</t>
  </si>
  <si>
    <t>126536 - 126581 - 141710 - 126577 - 126563 - 141754 - 141702 - 126492 - 126537 - 141749 - 620922 - 126569 - 620925 - 620926 - 154139 - 141723 - 126487 - 141696 - 141708</t>
  </si>
  <si>
    <t>Thym à poils nombreux, Thym à pilosité variable, Serpolet à poils nombreux</t>
  </si>
  <si>
    <t>126495 - 989200 - 126530 - 141738 - 126564 - 141750</t>
  </si>
  <si>
    <t>Thym précoce, Serpolet couché, Serpolet précoce, Thym couché</t>
  </si>
  <si>
    <t>154593 - 126565</t>
  </si>
  <si>
    <t>Thym faux thym petit-chêne, Thym faux petit-chêne, Serpolet faux serpolet petit-chêne</t>
  </si>
  <si>
    <t>789149 - 141745 - 141713 - 789151 - 141719 - 160011 - 126489 - 141714 - 126504 - 141728 - 126575 - 154138 - 126516 - 141747 - 141733 - 126566 - 789150 - 154135 - 122909 - 620929 - 126559 - 141712</t>
  </si>
  <si>
    <t>Thym faux pouliot, Thym commun, Serpolet faux pouliot</t>
  </si>
  <si>
    <t>154134 - 126499 - 122908 - 126490 - 126576 - 141722 - 122911 - 152134 - 141751 - 620931 - 126573 - 111285</t>
  </si>
  <si>
    <t>Thym serpolet, Serpolet à feuilles étroites</t>
  </si>
  <si>
    <t>Thym commun, Thym</t>
  </si>
  <si>
    <t>126603 - 620916 - 126586</t>
  </si>
  <si>
    <t>Thym de Braun</t>
  </si>
  <si>
    <t>112888 - 126617 - 149309 - 126610 - 112873 - 112883 - 126616 - 112858 - 122372 - 122352 - 122405 - 116302 - 84977 - 122356 - 122399 - 126615 - 620932 - 87458</t>
  </si>
  <si>
    <t>Thyssélin des marais, Peucédan des marais, Persil des marais</t>
  </si>
  <si>
    <t>126625 - 126659 - 126663 - 126648 - 155073 - 126641 - 126657 - 126628 - 126658</t>
  </si>
  <si>
    <t>Tilleul cordé, Tilleul à petites feuilles, Tilleul des bois, Tilleul à feuilles en cœur</t>
  </si>
  <si>
    <t>126650 - 141764 - 1012244</t>
  </si>
  <si>
    <t>Tilleul à grandes feuilles, Tilleul à feuilles larges, Tilleul à larges feuilles</t>
  </si>
  <si>
    <t>126662 - 126673 - 617342 - 617242 - 126621 - 126623 - 620933 - 1015821 - 126655 - 126647 - 160287</t>
  </si>
  <si>
    <t>Tilleul tomenteux, Tilleul argenté</t>
  </si>
  <si>
    <t>126632 - 126667</t>
  </si>
  <si>
    <t>Tilleul de Crimée</t>
  </si>
  <si>
    <t>109371 - 121501 - 126800 - 152142 - 126804 - 82908 - 126794 - 109370 - 126807 - 101309 - 141788 - 141789 - 160189 - 100770 - 126796 - 126808 - 109369 - 84334 - 82896 - 160190 - 101310 - 154143 - 93753 - 126798 - 126799 - 100769 - 82897 - 126793</t>
  </si>
  <si>
    <t>Tofieldie à calicule, Tofieldie des marais</t>
  </si>
  <si>
    <t>101576 - 102572 - 90928 - 126821</t>
  </si>
  <si>
    <t>Tolpide à feuilles de statice, Épervière à feuilles de statice, Trépane à feuilles de statice, Tolpis à feuilles de statice</t>
  </si>
  <si>
    <t>126827 - 80826 - 89451 - 125317</t>
  </si>
  <si>
    <t>Toona de Chine, Cédrèle, Cèdre de Chine</t>
  </si>
  <si>
    <t>126837 - 126836 - 89408 - 101303 - 126831 - 126840 - 152146</t>
  </si>
  <si>
    <t>Tordyle élevé, Tordyle majeur, Grand tordyle</t>
  </si>
  <si>
    <t>90352 - 105011 - 90336 - 141794 - 89374 - 126857 - 620937 - 89393 - 84958 - 89399 - 126854 - 89395 - 112008 - 89380 - 126872 - 89371 - 126846 - 126851 - 105012 - 89425 - 89389</t>
  </si>
  <si>
    <t>Torilide des champs, Torilis des champs</t>
  </si>
  <si>
    <t>89373 - 126844 - 126828 - 122401 - 126859 - 89400 - 126843 - 89372 - 89375 - 126873 - 89422 - 82957 - 89376 - 89390 - 126871 - 126866 - 126867 - 126849</t>
  </si>
  <si>
    <t>Torilide du Japon, Torilis du Japon, Torilis faux cerfeuil, Grattau</t>
  </si>
  <si>
    <t>116406 - 620939 - 126880 - 89414 - 89392 - 89397 - 109643 - 89418 - 89428 - 89430 - 94492 - 89403 - 154768 - 94527 - 126861</t>
  </si>
  <si>
    <t>Torilide à feuilles grêles, Torilis à folioles étroites, Torilis à feuilles étroites, Torilis à feuilles grêles</t>
  </si>
  <si>
    <t>Torilis leptophylla</t>
  </si>
  <si>
    <t>89410 - 126865 - 89411 - 94541 - 89426 - 89413 - 126864 - 126839 - 126838 - 89412 - 105014 - 89398</t>
  </si>
  <si>
    <t>Torilide noueuse, Torilis à fleurs glomérulées, Torilis noueuse</t>
  </si>
  <si>
    <t>620943 - 126910 - 117722 - 113167 - 126913 - 117718 - 117710 - 126914 - 117719 - 117717 - 126916 - 126912 - 117714</t>
  </si>
  <si>
    <t>Toxicodendron radicant, Sumac radicant, Lierre toxique, Sumac vénéneux, Sumac à la gale, Sumac à la puce</t>
  </si>
  <si>
    <t>104483 - 126925 - 98007</t>
  </si>
  <si>
    <t>Tozzie des Alpes</t>
  </si>
  <si>
    <t>152152 - 141811 - 141809 - 127006 - 126998 - 127042 - 127000 - 127020 - 141817 - 141810 - 127017 - 127027 - 127005 - 141808</t>
  </si>
  <si>
    <t>Salsifis douteux, Grand salsifis</t>
  </si>
  <si>
    <t>126997 - 141813 - 127001 - 127035 - 612302 - 127019 - 127028</t>
  </si>
  <si>
    <t>Salsifis à feuilles de poireau, Salsifis du Midi</t>
  </si>
  <si>
    <t>Salsifis des prés</t>
  </si>
  <si>
    <t>127070 - 127068 - 127063 - 89487 - 89495 - 127069 - 127064 - 109464 - 127065 - 104999 - 113009 - 127060 - 127067 - 105000 - 127059</t>
  </si>
  <si>
    <t>Bardanette en grappe, Bardanette à grappes, Bardanette rameuse, Trage à grappes</t>
  </si>
  <si>
    <t>127076 - 127084 - 127073 - 127083 - 127080 - 620947 - 127081 - 127082 - 127078 - 1015107 - 127072 - 127085 - 1012251 - 127079 - 127075 - 620948 - 127077 - 1015113 - 620949 - 127074</t>
  </si>
  <si>
    <t>Macre nageante, Châtaigne d'eau</t>
  </si>
  <si>
    <t>110869 - 109649 - 127117 - 110873 - 111230</t>
  </si>
  <si>
    <t>Traunsteinère globuleuse, Orchis globuleux</t>
  </si>
  <si>
    <t>106133 - 96843 - 121729 - 121679 - 85479 - 121797 - 127191 - 773111 - 85475 - 620950 - 105822 - 96841 - 106019</t>
  </si>
  <si>
    <t>Trichophore des Alpes, Scirpe de Hudson, Linaigrette des Alpes, Scirpe des Alpes</t>
  </si>
  <si>
    <t>772667 - 771656 - 127193 - 95896 - 91838 - 121699 - 772666 - 85476</t>
  </si>
  <si>
    <t>Trichophore cespiteux, Scirpe en touffe, Souchet gazonnant, Scirpe cespiteux</t>
  </si>
  <si>
    <t>58 - 70</t>
  </si>
  <si>
    <t>127609 - 127216 - 141831 - 152154 - 152155 - 152156</t>
  </si>
  <si>
    <t>Trèfle alpestre</t>
  </si>
  <si>
    <t>141832 - 127223 - 127607</t>
  </si>
  <si>
    <t>Trèfle à feuilles étroites, Trèfle à folioles étroites, Queue-de-renard</t>
  </si>
  <si>
    <t>127300 - 127441 - 127225 - 152160 - 127230 - 614191 - 127466 - 141829 - 141842 - 152168 - 152164 - 141837 - 127211 - 127358 - 127369 - 154148 - 127261 - 154147 - 620953 - 127252 - 152165 - 141840 - 141830 - 152161 - 127367 - 127356 - 154150</t>
  </si>
  <si>
    <t>Trèfle des champs, Trèfle Pied-de-lièvre, Pied-de-lièvre</t>
  </si>
  <si>
    <t>127480 - 127210 - 127494 - 91086 - 91089 - 127258 - 127236 - 127233 - 127315</t>
  </si>
  <si>
    <t>Trèfle doré, Trèfle agraire</t>
  </si>
  <si>
    <t>141844 - 141843 - 91087 - 82053 - 127484 - 127237 - 127447</t>
  </si>
  <si>
    <t>Trèfle bai, Trèfle brun</t>
  </si>
  <si>
    <t>91088 - 161363 - 127325 - 127504 - 152172 - 127483 - 152219 - 127298 - 141846 - 127360 - 127449 - 152170 - 152171 - 152220 - 127472 - 107885 - 127259 - 127442 - 127301 - 127448 - 152174 - 152173 - 152153 - 152175 - 127390</t>
  </si>
  <si>
    <t>Trèfle champêtre, Trèfle champêtre, Trèfle jaune, Trance</t>
  </si>
  <si>
    <t>82055 - 127303 - 141853 - 141851 - 127308 - 127374 - 91091 - 127391 - 127294 - 127440 - 91090</t>
  </si>
  <si>
    <t>Trèfle douteux, Petit trèfle jaune</t>
  </si>
  <si>
    <t>141855 - 127314 - 127278 - 127345 - 152179 - 130531 - 127455 - 141854 - 127245 - 127398 - 99253</t>
  </si>
  <si>
    <t>Trèfle porte-fraise, Trèfle-fraise, Porte-fraise</t>
  </si>
  <si>
    <t>127337 - 82152 - 141850</t>
  </si>
  <si>
    <t>Trèfle hybride, Trèfle bâtard, Trèfle fistuleux</t>
  </si>
  <si>
    <t>Trèfle incarnat, Farouche</t>
  </si>
  <si>
    <t>152185 - 141873 - 127310 - 127217 - 104819 - 127328 - 127242 - 127221 - 141871 - 127382 - 127309 - 152184 - 127311</t>
  </si>
  <si>
    <t>Trèfle moyen, Trèfle intermédiaire</t>
  </si>
  <si>
    <t>82153 - 127511 - 82154 - 127376 - 152186 - 127386</t>
  </si>
  <si>
    <t>Trèfle de Micheli</t>
  </si>
  <si>
    <t>127387 - 82054 - 152178 - 91093 - 127304 - 107937 - 91092 - 127444 - 141852 - 127290 - 152187 - 107657 - 107888</t>
  </si>
  <si>
    <t>Trèfle à petites fleurs, Trèfle filiforme</t>
  </si>
  <si>
    <t>127395 - 127264 - 104822</t>
  </si>
  <si>
    <t>Trèfle des montagnes</t>
  </si>
  <si>
    <t>152193 - 152192 - 127338 - 127402 - 127513 - 141879 - 620955</t>
  </si>
  <si>
    <t>Trèfle noircissant</t>
  </si>
  <si>
    <t>127420 - 152194 - 154154 - 719295 - 152196 - 127412 - 127267 - 127292 - 127273 - 127515 - 127461 - 152195</t>
  </si>
  <si>
    <t>Trèfle jaunâtre, Trèfle jaune pâle</t>
  </si>
  <si>
    <t>107944 - 127578 - 107679 - 127431 - 125862 - 152252 - 97959 - 127574 - 97957 - 127569 - 83233 - 127416</t>
  </si>
  <si>
    <t>Trèfle faux pied-d'oiseau</t>
  </si>
  <si>
    <t>127423 - 127400 - 141881</t>
  </si>
  <si>
    <t>Trèfle de Pannonie, Trèfle de Hongrie</t>
  </si>
  <si>
    <t>82056 - 127443 - 127234 - 152199 - 127485 - 127481 - 152200 - 91094 - 127429 - 127373 - 127270 - 127426 - 127232</t>
  </si>
  <si>
    <t>Trèfle étalé</t>
  </si>
  <si>
    <t>104823 - 152206 - 127313 - 161444 - 141893 - 127250 - 127610 - 127388 - 127247 - 127478 - 127332 - 127322 - 141885 - 154156 - 152209 - 127439 - 127244</t>
  </si>
  <si>
    <t>Trèfle des prés, Trèfle violet</t>
  </si>
  <si>
    <t>127365 - 127213 - 127454 - 82158 - 141902 - 127335 - 127407 - 127507 - 127492</t>
  </si>
  <si>
    <t>Trèfle rampant, Trèfle blanc, Trèfle de Hollande</t>
  </si>
  <si>
    <t>127312 - 127241 - 130532 - 99254 - 127457</t>
  </si>
  <si>
    <t>Trèfle renversé, Trèfle de Perse</t>
  </si>
  <si>
    <t>104820 - 127612 - 127463</t>
  </si>
  <si>
    <t>Trèfle rougi, Trèfle rougeâtre, Trèfle pourpré, Trèfle queue-de-renard, Queue-de-renard</t>
  </si>
  <si>
    <t>127470 - 127508</t>
  </si>
  <si>
    <t>Trèfle scabre, Trèfle rude</t>
  </si>
  <si>
    <t>141845 - 127482 - 127366 - 91095 - 614193 - 127289 - 82057</t>
  </si>
  <si>
    <t>Trèfle à spadice, Trèfle jaune doré</t>
  </si>
  <si>
    <t>127370 - 127424 - 127490 - 141913 - 127408 - 141869 - 152235 - 127293 - 152234 - 127380</t>
  </si>
  <si>
    <t>Trèfle squarreux, Trèfle raboteux</t>
  </si>
  <si>
    <t>141917 - 127491 - 152238 - 620957 - 141918 - 152237 - 127532 - 141915</t>
  </si>
  <si>
    <t>Trèfle étoilé</t>
  </si>
  <si>
    <t>127339 - 152241 - 127495 - 127353 - 141922 - 127502 - 127471 - 152240 - 620958 - 127285 - 152239 - 141923 - 127280 - 141920</t>
  </si>
  <si>
    <t>Trèfle strié</t>
  </si>
  <si>
    <t>87549 - 127608 - 127498</t>
  </si>
  <si>
    <t>Trèfle souterrain, Trèfle semeur, Trèfle enterreur</t>
  </si>
  <si>
    <t>127330 - 127246 - 127501 - 127479 - 127357 - 127359</t>
  </si>
  <si>
    <t>Trèfle des forêts, Trèfle patte-de-lièvre, Trèfle des bois, Trèfle de Smyrne</t>
  </si>
  <si>
    <t>82149 - 82160 - 127503 - 127256 - 127336</t>
  </si>
  <si>
    <t>Trèfle de Thalius</t>
  </si>
  <si>
    <t>104081 - 79317 - 127540 - 127547 - 127535 - 127543</t>
  </si>
  <si>
    <t>Troscart des marais</t>
  </si>
  <si>
    <t>100571 - 127555 - 125857 - 98760 - 122975 - 127209 - 127254 - 107900 - 615068 - 125856 - 107913</t>
  </si>
  <si>
    <t>Mélilot bleu, Trigonelle bleue, Thé d'Europe</t>
  </si>
  <si>
    <t>86854 - 127561 - 86857 - 98761 - 98758 - 98757 - 125858 - 107613</t>
  </si>
  <si>
    <t>Trigonelle fenugrec, Fenugrec, Sénégrain</t>
  </si>
  <si>
    <t>112864 - 83174 - 112544 - 127594 - 123047 - 152253 - 122402 - 83194 - 1012260 - 113569 - 127597 - 127057 - 123048 - 127592 - 83213 - 116299 - 91202 - 113563 - 127596 - 127598 - 104732 - 127595 - 127591 - 113589 - 123014 - 83175 - 92019 - 152254 - 123027 - 141937</t>
  </si>
  <si>
    <t>Trinie glauque, Trinie commune, Trinie vulgaire</t>
  </si>
  <si>
    <t>94905 - 105779 - 141938 - 90553 - 90463 - 107466 - 90560 - 127613 - 116506 - 150358 - 107458 - 127615 - 137588 - 91048 - 94904 - 90465 - 107481 - 137587 - 127071 - 117736 - 107454 - 107470 - 90556</t>
  </si>
  <si>
    <t>Tripleurosperme inodore, Matricaire inodore, Matricaire perforée</t>
  </si>
  <si>
    <t>113333 - 129990 - 129981 - 129989 - 82996 - 127619</t>
  </si>
  <si>
    <t>Tripodion à quatre feuilles, Anthyllis à quatre feuilles, Anthyllide à quatre feuilles</t>
  </si>
  <si>
    <t>621598 - 84678 - 84689 - 612581 - 613677 - 160938 - 127625 - 84724 - 131899 - 84688 - 613678 - 84679 - 614585 - 131897 - 152255 - 127620 - 131898 - 612580 - 127626 - 97854 - 127622 - 84706</t>
  </si>
  <si>
    <t>Tripolium de Pannonie, Tripolium de Hongrie, Aster maritime, Aster de Hongrie, Aster tripolium</t>
  </si>
  <si>
    <t>127643 - 85242 - 85243 - 141941 - 141943 - 127659 - 80880</t>
  </si>
  <si>
    <t>Trisète à feuilles distiques, Trisète distique, Avoine distique</t>
  </si>
  <si>
    <t>144120 - 117419 - 127675 - 98234 - 86548 - 85370 - 141950 - 144124 - 144125 - 144128 - 127637 - 85255 - 144121 - 144122 - 127660 - 127649</t>
  </si>
  <si>
    <t>Trisète jaunissant, Trisète commun, Avoine dorée, Avoine jaunâtre, Trisète jaunâtre</t>
  </si>
  <si>
    <t>127748 - 127803 - 127798 - 127823 - 127720 - 141981 - 141975 - 127779 - 141959 - 98999 - 127693 - 127749 - 127714 - 141979 - 127836 - 127808 - 141982 - 127777 - 127692 - 127695</t>
  </si>
  <si>
    <t>Blé d'été, Blé tendre, Froment, Blé ordinaire</t>
  </si>
  <si>
    <t>159877 - 789152 - 127771</t>
  </si>
  <si>
    <t>Blé à une graine, Petit épeautre, Blé-riz, Engrain</t>
  </si>
  <si>
    <t>141974 - 127827 - 152258 - 152265 - 152266 - 152256 - 152257 - 127791 - 127719 - 127761 - 152261 - 152267 - 141958 - 141983</t>
  </si>
  <si>
    <t>Blé renflé, Blé poulard</t>
  </si>
  <si>
    <t>83224 - 89269 - 127864 - 89264 - 108457 - 87002 - 113602 - 123981 - 123787</t>
  </si>
  <si>
    <t>Trocdaride verticillée, Carum verticillé, Carvi verticillé, Trocdaris verticillé</t>
  </si>
  <si>
    <t>Trolle d'Europe, Boule-d'or</t>
  </si>
  <si>
    <t>127887 - 127889 - 127888 - 87890 - 127884 - 127885</t>
  </si>
  <si>
    <t>Capucine élevée, Grande capucine, Capucine à grandes fleurs</t>
  </si>
  <si>
    <t>79324 - 127896 - 127895 - 79320 - 79334</t>
  </si>
  <si>
    <t>Pruche hétérophylle, Tsuga de Californie, Pruche de l'Ouest, Hemlock de l'Ouest</t>
  </si>
  <si>
    <t>100988 - 126283 - 152272 - 135192 - 135191 - 100913 - 141989 - 135189 - 127898 - 147573 - 127897 - 620970 - 141992 - 147566 - 100901 - 152268 - 100902 - 152278 - 126284 - 127909 - 147567 - 135187 - 620971 - 152269 - 101002 - 91639 - 141993 - 153275 - 147568 - 135188 - 91667 - 153274 - 153273 - 620969 - 147569 - 127899 - 620972 - 147565 - 141987 - 141641 - 130556 - 127900 - 127901 - 100926 - 152279 - 147564 - 147571</t>
  </si>
  <si>
    <t>Tubéraire tachetée, Hélianthème taché, Grille-midi, Hélianthème tacheté</t>
  </si>
  <si>
    <t>Tulipe sylvestre, Tulipe de Gaule, Tulipe des bois, Tulipe de France</t>
  </si>
  <si>
    <t>127987 - 94551 - 127988 - 122404 - 152291 - 94526 - 126835 - 127989 - 89402</t>
  </si>
  <si>
    <t>Turgénie à feuilles larges, Turgénie à larges feuilles, Tordyle à feuilles larges, Caucalis à feuilles larges, Caucalide à feuilles larges</t>
  </si>
  <si>
    <t>Turgenia latifolia</t>
  </si>
  <si>
    <t>123893 - 128012 - 97210 - 128035 - 116219 - 83368 - 93431 - 83327 - 1012272</t>
  </si>
  <si>
    <t>Tourette glabre, Arabette glabre</t>
  </si>
  <si>
    <t>128054 - 91239 - 128057 - 128042 - 128053</t>
  </si>
  <si>
    <t>Tussilage pas-d'âne, Tussilage, Pas-d'âne, Herbe de Saint-Quirin</t>
  </si>
  <si>
    <t>128064 - 128085 - 128080 - 128070 - 107431 - 128074 - 128062 - 128067</t>
  </si>
  <si>
    <t>Massette à feuilles étroites</t>
  </si>
  <si>
    <t>128065 - 128092 - 128063 - 789153 - 128077 - 128068 - 128059 - 128083 - 128073 - 128090 - 107432 - 128089</t>
  </si>
  <si>
    <t>Massette à feuilles larges, Massette à larges feuilles</t>
  </si>
  <si>
    <t>128084 - 128075 - 142013 - 152293 - 128079 - 128082 - 152292 - 128086 - 142015 - 142016 - 142017 - 128071</t>
  </si>
  <si>
    <t>Massette minime, Petite massette, Massette grêle</t>
  </si>
  <si>
    <t>128099 - 128100</t>
  </si>
  <si>
    <t>Massette glauque, Massette élevée</t>
  </si>
  <si>
    <t>128114 - 1012275 - 99752</t>
  </si>
  <si>
    <t>Ajonc d'Europe, Zépinard des hauts, Genêt</t>
  </si>
  <si>
    <t>154172 - 142024 - 159975 - 128119 - 128109 - 128129 - 128107 - 142021 - 128136 - 719404 - 154169 - 128116 - 128131 - 985248</t>
  </si>
  <si>
    <t>Ajonc de Le Gall</t>
  </si>
  <si>
    <t>152304 - 128132 - 159894 - 128125 - 152303 - 152306 - 128111 - 152307 - 152302 - 152305 - 128123 - 154171 - 152301 - 128108</t>
  </si>
  <si>
    <t>Ajonc mineur, Ajonc nain, Petit ajonc, Petit landin</t>
  </si>
  <si>
    <t>1012274 - 128193 - 994558 - 620981 - 155074 - 152310 - 142030 - 719405 - 128161 - 128169 - 128176 - 620979 - 719378 - 142029 - 128174 - 128165 - 152311 - 719381 - 620980 - 620982</t>
  </si>
  <si>
    <t>Orme glabre, orme des montagnes</t>
  </si>
  <si>
    <t>128189 - 128171 - 128182 - 128164 - 128159</t>
  </si>
  <si>
    <t>Orme lisse, Orme blanc, Orme pédonculé</t>
  </si>
  <si>
    <t>128198 - 159970 - 128151 - 128192 - 128184 - 719202 - 719203 - 154173 - 128156 - 994556 - 719376 - 719380 - 718797 - 159971 - 154598 - 128167 - 159972 - 128155 - 718795 - 128175 - 128196 - 128191 - 128179 - 128163 - 152313 - 159973 - 154599 - 128162 - 128197 - 128187 - 128188 - 128152 - 128200 - 128177 - 128199 - 128173 - 128195 - 128154 - 128186 - 142033 - 128166 - 128185 - 719296 - 719379 - 128201 - 128170 - 128190 - 152314 - 719377 - 128181 - 142032 - 142031 - 128168 - 128178 - 155075 - 718796 - 128150 - 128160 - 128183 - 152312 - 154600 - 160067 - 128180 - 128157 - 128202</t>
  </si>
  <si>
    <t>Orme mineur, Petit orme, Orme cilié, Orme champêtre, Ormeau</t>
  </si>
  <si>
    <t>128204 - 128205 - 718859 - 128207 - 128172 - 152315</t>
  </si>
  <si>
    <t>Orme de Hollande</t>
  </si>
  <si>
    <t>128209 - 155102 - 92732 - 92743 - 128215 - 92742 - 620984 - 92748 - 128213 - 92741 - 154338 - 92738 - 128214 - 128218 - 92737</t>
  </si>
  <si>
    <t>Ombilic rupestre, Nombril-de-Vénus, Oreille-d'abbé, Ombilic des rochers</t>
  </si>
  <si>
    <t>Ortie dioïque, Grande ortie</t>
  </si>
  <si>
    <t>128290 - 128298 - 128281 - 128299 - 128286 - 128289 - 128278 - 128294</t>
  </si>
  <si>
    <t>Ortie brûlante, Ortie grièche, Petite ortie</t>
  </si>
  <si>
    <t>1012276 - 771725 - 128310 - 128311</t>
  </si>
  <si>
    <t>Utriculaire intermédiaire</t>
  </si>
  <si>
    <t>771728 - 128315</t>
  </si>
  <si>
    <t>Utriculaire mineure, Petite utriculaire</t>
  </si>
  <si>
    <t>128312 - 128307 - 154175 - 142043 - 128320 - 620986 - 128309 - 128314 - 620987 - 128319 - 128316</t>
  </si>
  <si>
    <t>Utriculaire australe, Utriculaire citrine, Utriculaire élevée, Grande utriculaire, Utriculaire négligée</t>
  </si>
  <si>
    <t>128318 - 128317 - 611366 - 1014862</t>
  </si>
  <si>
    <t>Utriculaire jaunâtre, Utriculaire d'un vert jaunâtre</t>
  </si>
  <si>
    <t>128322 - 105459</t>
  </si>
  <si>
    <t>Utriculaire commune, Utriculaire vulgaire</t>
  </si>
  <si>
    <t>771381 - 138502 - 142046 - 128343 - 111951 - 138504 - 138503</t>
  </si>
  <si>
    <t>Airelle à petits fruits, Canneberge à petits fruits</t>
  </si>
  <si>
    <t>152324 - 128338 - 109176 - 109175 - 128345 - 129945 - 128344 - 152325</t>
  </si>
  <si>
    <t>Airelle myrtille, Myrtille, Maurette, Brimbelle</t>
  </si>
  <si>
    <t>1008921 - 111953 - 121589 - 128348 - 772716 - 1008911 - 771687 - 111952 - 620990 - 620991 - 772715 - 772711 - 620989 - 772714 - 771688 - 121590 - 773599 - 1008910 - 772713 - 128347 - 773598 - 111954 - 772712</t>
  </si>
  <si>
    <t>Airelle canneberge, Canneberge à gros fruits, Canneberge commune</t>
  </si>
  <si>
    <t>128354 - 109174 - 109177 - 128352</t>
  </si>
  <si>
    <t>Airelle des fanges, Airelle des marais, Myrtille des marais, Orcette</t>
  </si>
  <si>
    <t>109173 - 142050 - 129946 - 620992 - 620993 - 152329 - 128351 - 128342 - 117673 - 117672 - 152326 - 128346 - 128355 - 128350 - 129947 - 128349 - 142049</t>
  </si>
  <si>
    <t>Airelle vigne du mont Ida, Airelle rouge, Vigne du mont Ida, Airelle du mont Ida</t>
  </si>
  <si>
    <t>128368 - 128363 - 128366 - 128367 - 128370 - 84287 - 84288 - 99583</t>
  </si>
  <si>
    <t>Vaillantie des murs</t>
  </si>
  <si>
    <t>128398 - 128442 - 128427 - 128394 - 142053</t>
  </si>
  <si>
    <t>Valériane dioïque</t>
  </si>
  <si>
    <t>128441 - 142074 - 142065 - 142069 - 128405 - 128429 - 142068 - 999273 - 128397 - 142054 - 128425 - 999270 - 142064</t>
  </si>
  <si>
    <t>Valériane un peu hispide, Valériane à poils rudes</t>
  </si>
  <si>
    <t>152337 - 128416 - 142057 - 142056 - 142059 - 142058 - 128437</t>
  </si>
  <si>
    <t>Valériane des montagnes</t>
  </si>
  <si>
    <t>Valériane officinale</t>
  </si>
  <si>
    <t>128424 - 999203 - 142051 - 999210 - 999209 - 999208 - 142067 - 142077</t>
  </si>
  <si>
    <t>Valériane des prés</t>
  </si>
  <si>
    <t>620998 - 128447 - 620997 - 142063 - 718826 - 128438 - 128439 - 142073 - 128392 - 152338 - 128443 - 128413 - 128451 - 998476</t>
  </si>
  <si>
    <t>Valériane à feuilles ténues, Valériane à feuilles étroites</t>
  </si>
  <si>
    <t>142061 - 128380 - 142075 - 128407 - 152343 - 142060 - 128379 - 128403 - 128385 - 128445</t>
  </si>
  <si>
    <t>Valériane triséquée, Valériane à trois folioles</t>
  </si>
  <si>
    <t>128386 - 128415 - 128446</t>
  </si>
  <si>
    <t>Valériane tubéreuse</t>
  </si>
  <si>
    <t>128462 - 97989 - 128465 - 128472 - 152330 - 128393 - 128426 - 98001 - 128458 - 128473 - 718828 - 128489 - 719383 - 128482 - 719382 - 718827 - 106442 - 128474 - 128494 - 98003 - 98002 - 128478</t>
  </si>
  <si>
    <t>Valérianelle couronnée, Mâche couronnée</t>
  </si>
  <si>
    <t>Valerianella coronata</t>
  </si>
  <si>
    <t>128456 - 718830 - 128491 - 128480 - 128475 - 106444 - 128488 - 128466 - 621000 - 142083 - 718829 - 128457 - 107426 - 97984 - 128467 - 97995 - 97990 - 98000 - 621001 - 128481 - 152331 - 107428 - 97996 - 142055 - 128485</t>
  </si>
  <si>
    <t>Valérianelle dentée, Mâche dentée, Doucette dentée</t>
  </si>
  <si>
    <t>Valerianella rimosa</t>
  </si>
  <si>
    <t>97985 - 128470 - 142080 - 97993 - 128477 - 128483 - 789371 - 142081 - 621003 - 128459 - 97997 - 142079 - 128464 - 128495 - 718831</t>
  </si>
  <si>
    <t>Valérianelle à fruits laineux, Mâche à fruits velus, Valérianelle à fruits velus</t>
  </si>
  <si>
    <t>107427 - 128484 - 128461 - 97986 - 152347 - 128412 - 152346 - 128476 - 718832 - 106441 - 128463 - 142082 - 128460 - 128486 - 97999 - 718833 - 152345 - 152333 - 128490 - 97987 - 107429 - 97998</t>
  </si>
  <si>
    <t>Valérianelle potagère, Mache doucette, Mache, Doucette</t>
  </si>
  <si>
    <t>128500 - 128501 - 128503 - 128504 - 128502 - 128498</t>
  </si>
  <si>
    <t>Vallisnérie spiralée, Vallisnérie en spirale, Vallisnérie</t>
  </si>
  <si>
    <t>127168 - 127178 - 127164 - 127166 - 127165 - 127170 - 103171 - 128510 - 127176</t>
  </si>
  <si>
    <t>Vandenboschie remarquable, Trichomanès remarquable</t>
  </si>
  <si>
    <t>127682 - 128517 - 85390 - 107341 - 85251 - 85315 - 1012278 - 98575 - 101505 - 85388 - 85244 - 85384 - 128518 - 99692 - 621004 - 85379 - 101506</t>
  </si>
  <si>
    <t>Venténate douteuse, Fausse avoine, Avoine douteuse</t>
  </si>
  <si>
    <t>128524 - 154177 - 128520 - 142086 - 612583 - 107833 - 128521</t>
  </si>
  <si>
    <t>Vératre blanc, Varaire, Varaire blanc</t>
  </si>
  <si>
    <t>128523 - 128522 - 101214 - 107835</t>
  </si>
  <si>
    <t>Vératre noir</t>
  </si>
  <si>
    <t>86092 - 128600 - 128552 - 128616 - 128637 - 128556 - 128543 - 128597 - 128581 - 126249 - 987687 - 152349 - 142088 - 128643 - 128638 - 128544</t>
  </si>
  <si>
    <t>Molène blattaire, Herbe-aux-mites, Bouillon-mitier</t>
  </si>
  <si>
    <t>128527 - 142099 - 128540 - 128664 - 128567 - 128565 - 128584 - 128573 - 128598 - 152367 - 128560 - 142105 - 128603 - 128658 - 128611 - 142100 - 152368 - 142104 - 128606 - 128654 - 152371</t>
  </si>
  <si>
    <t>Molène à fleurs denses, Molène faux bouillon-blanc, Molène faux thapsus</t>
  </si>
  <si>
    <t>989866 - 128634 - 152356 - 152358 - 128608 - 613819 - 126251 - 128574 - 613818 - 128655 - 128542 - 106958 - 159974 - 142093 - 128602 - 86090 - 128669 - 152357 - 128621 - 128592 - 128548 - 106960 - 128636 - 128657 - 128639 - 128630 - 128529 - 128607 - 128595 - 128640</t>
  </si>
  <si>
    <t>Molène lychnite, Molène lychnide, Bouillon femelle</t>
  </si>
  <si>
    <t>152365 - 128631 - 128533 - 128615 - 128661 - 106961 - 128559 - 152362 - 128626 - 152364 - 126253 - 128588 - 128670 - 128622 - 152361 - 142095 - 128589 - 128531</t>
  </si>
  <si>
    <t>Molène noire, Cierge maudit</t>
  </si>
  <si>
    <t>89461 - 128623 - 89464 - 128570</t>
  </si>
  <si>
    <t>Molène d'Orient</t>
  </si>
  <si>
    <t>128646 - 128538 - 152366 - 128583 - 128652 - 128647 - 128576 - 128549 - 128536 - 128550 - 142106 - 142098 - 142097 - 128614 - 128591 - 126256 - 128645 - 128665 - 128644 - 98747 - 152369 - 128659 - 128662 - 128557 - 152370 - 128627 - 126254 - 154179 - 128562 - 128526</t>
  </si>
  <si>
    <t>Molène fausse phlomide, Molène faux phlomis</t>
  </si>
  <si>
    <t>106962 - 128633 - 128635 - 152354 - 128596 - 152355 - 126250 - 128575 - 128587 - 128525 - 126255 - 128586</t>
  </si>
  <si>
    <t>Molène pulvérulente, Molène floconneuse</t>
  </si>
  <si>
    <t>128641 - 106963 - 128553 - 152372 - 128577 - 128651 - 128648 - 128580</t>
  </si>
  <si>
    <t>Molène sinuée</t>
  </si>
  <si>
    <t>160204 - 128551 - 159976 - 128613 - 128650 - 142109 - 128629 - 128660 - 105418 - 128653 - 128625 - 128649 - 152374 - 128656 - 128566 - 162016 - 128599 - 152373 - 128590 - 128534 - 128528 - 128572 - 128632 - 128539 - 128620 - 152377</t>
  </si>
  <si>
    <t>Molène bouillon-blanc, Herbe-de-saint-Fiacre, Bouillon-blanc</t>
  </si>
  <si>
    <t>152350 - 128585 - 86091 - 128582 - 152352 - 128564 - 128594 - 142087 - 128668 - 128667 - 128545 - 128554 - 128535</t>
  </si>
  <si>
    <t>Molène en baguette, Molène effilée</t>
  </si>
  <si>
    <t>128737 - 128672 - 128671 - 142112</t>
  </si>
  <si>
    <t>Molène ambiguë</t>
  </si>
  <si>
    <t>152378 - 128694 - 128704 - 142116</t>
  </si>
  <si>
    <t>Molène de Godron</t>
  </si>
  <si>
    <t>128715 - 128699 - 128734 - 128695</t>
  </si>
  <si>
    <t>Molène blanchie</t>
  </si>
  <si>
    <t>128703 - 142114 - 128745</t>
  </si>
  <si>
    <t>Molène de Killias</t>
  </si>
  <si>
    <t>128746 - 128714 - 128735 - 142118</t>
  </si>
  <si>
    <t>Molène mixte</t>
  </si>
  <si>
    <t>142119 - 128720 - 128716 - 152379 - 128721</t>
  </si>
  <si>
    <t>Molène croisée</t>
  </si>
  <si>
    <t>128724 - 128717 - 1012285 - 128731</t>
  </si>
  <si>
    <t>Molène fausse blattaire, Fausse blattaire</t>
  </si>
  <si>
    <t>142122 - 128696 - 128727</t>
  </si>
  <si>
    <t>Molène à rameaux</t>
  </si>
  <si>
    <t>142113 - 128675 - 86093 - 152351 - 1012294 - 128723 - 128728</t>
  </si>
  <si>
    <t>Molène très rameuse, Molène de Bastard</t>
  </si>
  <si>
    <t>128719 - 142101 - 142102 - 128729 - 128726 - 128686</t>
  </si>
  <si>
    <t>Molène de Regel</t>
  </si>
  <si>
    <t>128681 - 128742 - 142115 - 128736 - 160913 - 128673</t>
  </si>
  <si>
    <t>Molène blanchâtre, Molène des collines</t>
  </si>
  <si>
    <t>128739 - 128718 - 142120</t>
  </si>
  <si>
    <t>128689 - 128738 - 142123 - 128741 - 128685 - 142124</t>
  </si>
  <si>
    <t>Molène bâtarde</t>
  </si>
  <si>
    <t>128748 - 128756 - 128764 - 128751</t>
  </si>
  <si>
    <t>Verveine de Buenos Aires</t>
  </si>
  <si>
    <t>128759 - 128754 - 128763 - 128761 - 128766</t>
  </si>
  <si>
    <t>Verveine officinale, verveine sauvage</t>
  </si>
  <si>
    <t>128760 - 128765 - 128758</t>
  </si>
  <si>
    <t>Verveine rigide</t>
  </si>
  <si>
    <t>128782 - 128955 - 128838 - 88031 - 80393</t>
  </si>
  <si>
    <t>Véronique à feuilles d'acinos, Véronique à feuilles de calament acinos</t>
  </si>
  <si>
    <t>152380 - 114447 - 92068 - 129035 - 152407 - 128903 - 128978 - 128786 - 1012322 - 88014</t>
  </si>
  <si>
    <t>Véronique agreste</t>
  </si>
  <si>
    <t>142133 - 152384 - 128912 - 88016 - 128948 - 128785 - 128792 - 1012319 - 128913 - 128902 - 128859 - 128943 - 128988 - 152386 - 161315 - 128920</t>
  </si>
  <si>
    <t>Véronique mouron-d'eau, Mouron aquatique, Mouron-d'eau</t>
  </si>
  <si>
    <t>129036 - 128812 - 154182 - 152385 - 128793 - 154180 - 142131 - 128964 - 128837 - 129028 - 128878 - 128981 - 142130 - 88022</t>
  </si>
  <si>
    <t>Véronique faux mouron, Véronique faux mouron-d'eau, Véronique fausse anagallide, Véronique faux anagallis</t>
  </si>
  <si>
    <t>128825 - 963575 - 991808 - 152419 - 142141 - 991809 - 963602 - 128794 - 128807 - 142181</t>
  </si>
  <si>
    <t>128931 - 128877 - 128849 - 129012 - 88017 - 85471 - 128797 - 128909 - 152387</t>
  </si>
  <si>
    <t>Véronique sans feuilles, Véronique à tige nue, Véronique aphylle</t>
  </si>
  <si>
    <t>128801 - 128985 - 128995 - 80394 - 617182 - 128976 - 128850 - 128965 - 142135 - 152389 - 128879 - 128847 - 88018 - 128809</t>
  </si>
  <si>
    <t>Véronique des champs, Velvote sauvage</t>
  </si>
  <si>
    <t>128973 - 142171 - 128896 - 128961 - 128803 - 128967</t>
  </si>
  <si>
    <t>Véronique d'Autriche</t>
  </si>
  <si>
    <t>129020 - 152392 - 128868 - 128905 - 152390 - 128808 - 128991 - 152391 - 152393 - 88019</t>
  </si>
  <si>
    <t>Véronique beccabonga, Cresson de cheval, Véronique des ruisseaux, Salade de chouette</t>
  </si>
  <si>
    <t>128829 - 128798 - 142132 - 142134 - 154181</t>
  </si>
  <si>
    <t>Véronique en chaîne, Véronique aquatique</t>
  </si>
  <si>
    <t>21 - 58 - 70 - 71 - 89</t>
  </si>
  <si>
    <t>128855 - 128858 - 128846 - 128832 - 128874 - 128813 - 128889 - 152396 - 128962 - 128866 - 129064 - 128906 - 128898 - 128881 - 128957 - 128953 - 128979 - 128993 - 152395 - 88020</t>
  </si>
  <si>
    <t>Véronique petit-chêne, Fausse germandrée</t>
  </si>
  <si>
    <t>128854 - 142152</t>
  </si>
  <si>
    <t>Véronique de Dillenius</t>
  </si>
  <si>
    <t>129026 - 128863</t>
  </si>
  <si>
    <t>Véronique filiforme</t>
  </si>
  <si>
    <t>128870 - 128872 - 128994 - 88024 - 152399</t>
  </si>
  <si>
    <t>Véronique ligneuse, Véronique sous-ligneuse, Véronique en buisson, Véronique buissonnante</t>
  </si>
  <si>
    <t>142147 - 128899 - 128880 - 92073 - 142148 - 88035 - 114448 - 92072 - 128821</t>
  </si>
  <si>
    <t>Véronique à feuilles de lierre</t>
  </si>
  <si>
    <t>129008 - 128968 - 128817 - 129037 - 128827 - 128861 - 128895 - 128873 - 128958 - 97859 - 128888 - 128856 - 152402 - 128999 - 128884 - 139459 - 128984 - 128911 - 128867 - 129009 - 128894 - 116204 - 129002 - 128804 - 129025 - 128887 - 128915 - 128815 - 128907 - 128864 - 128926 - 128928 - 128860 - 128784 - 142151 - 128836</t>
  </si>
  <si>
    <t>Véronique à feuilles longues, Véronique à longues feuilles</t>
  </si>
  <si>
    <t>128974 - 92100 - 88026 - 129015 - 129014 - 128924</t>
  </si>
  <si>
    <t>Véronique des montagnes</t>
  </si>
  <si>
    <t>88030 - 129006 - 128938 - 152404 - 128939 - 152405 - 129027 - 772856 - 152406 - 129005 - 152403 - 1012376</t>
  </si>
  <si>
    <t>Véronique officinale, Herbe aux ladres, Thé d'Europe</t>
  </si>
  <si>
    <t>142127 - 128940 - 92071 - 92074</t>
  </si>
  <si>
    <t>Véronique opaque, Véronique à feuilles mates</t>
  </si>
  <si>
    <t>128971 - 142178 - 142175 - 154187 - 991737 - 991759 - 142138 - 154601 - 128831 - 128942 - 991758</t>
  </si>
  <si>
    <t>Véronique d’Orsini, Véronique douteuse</t>
  </si>
  <si>
    <t>128989 - 129060 - 128833 - 128828 - 128914 - 128954 - 128945</t>
  </si>
  <si>
    <t>Véronique voyageuse</t>
  </si>
  <si>
    <t>92069 - 88023 - 128956 - 128820 - 152394 - 128882 - 128823 - 128852 - 128799 - 114449 - 128822</t>
  </si>
  <si>
    <t>Véronique de Perse</t>
  </si>
  <si>
    <t>142126 - 994547 - 142154 - 128851 - 88021 - 128935 - 994540 - 142125 - 128963 - 142153 - 142128 - 128929 - 128790 - 129023 - 114450</t>
  </si>
  <si>
    <t>Véronique luisante, Véronique brillante</t>
  </si>
  <si>
    <t>128970 - 92075 - 110073 - 128869 - 88033 - 128937 - 142182 - 129024</t>
  </si>
  <si>
    <t>Véronique précoce</t>
  </si>
  <si>
    <t>128245 - 963504 - 142156 - 88034 - 128959 - 128975 - 142179</t>
  </si>
  <si>
    <t>Véronique prostrée, Véronique couchée</t>
  </si>
  <si>
    <t>142157 - 985249 - 963532 - 128998 - 128996 - 991745 - 152421</t>
  </si>
  <si>
    <t>Véronique à feuilles de Sarriette, Véronique de Scheerer</t>
  </si>
  <si>
    <t>128839 - 128795 - 152408 - 88036 - 152409 - 106008 - 106009 - 129000 - 152411 - 152410 - 128952</t>
  </si>
  <si>
    <t>Véronique à écus, Véronique à écusson, Véronique à écuelles</t>
  </si>
  <si>
    <t>129038 - 128826 - 129039 - 128910 - 128819 - 128890 - 88027 - 128925 - 128921 - 128992 - 129003 - 128788 - 129063 - 152413 - 152412 - 128972 - 621011</t>
  </si>
  <si>
    <t>Véronique à feuilles de serpolet</t>
  </si>
  <si>
    <t>621013 - 128783 - 621012 - 142169 - 88038 - 97858 - 128918 - 152417 - 142166 - 100853 - 152416 - 128806 - 116205 - 129010 - 128834 - 128885 - 128944 - 128947 - 142167 - 152418 - 128791 - 128802 - 142168 - 128936 - 128950 - 129007 - 129004 - 152415 - 129011</t>
  </si>
  <si>
    <t>Véronique en épi</t>
  </si>
  <si>
    <t>21 - 25 - 71</t>
  </si>
  <si>
    <t>129016 - 152400 - 142149</t>
  </si>
  <si>
    <t>Véronique à feuilles presque lobées, Véronique des bois</t>
  </si>
  <si>
    <t>963599 - 963556 - 128246 - 991768 - 142180 - 991794 - 991799 - 128916 - 129022 - 154188 - 128977 - 142139 - 621009 - 991786 - 128816 - 991793 - 128865 - 88032 - 142140 - 963455 - 142177 - 154186 - 991765 - 991807 - 129021 - 152420 - 128900 - 142176</t>
  </si>
  <si>
    <t>Véronique germandrée, Véronique faux petit-chêne</t>
  </si>
  <si>
    <t>128853 - 128835 - 129032 - 92070 - 110074</t>
  </si>
  <si>
    <t>Véronique trifoliée, Véronique à trois feuilles</t>
  </si>
  <si>
    <t>88025 - 128901 - 128917 - 129033 - 129065</t>
  </si>
  <si>
    <t>Véronique à feuilles d'ortie</t>
  </si>
  <si>
    <t>80395 - 128946 - 154189 - 128966 - 129034 - 128960 - 152422 - 88039 - 142184 - 128811 - 129017</t>
  </si>
  <si>
    <t>Véronique printanière, Véronique du printemps</t>
  </si>
  <si>
    <t>129078 - 129094 - 152424 - 129083 - 129088 - 152423</t>
  </si>
  <si>
    <t>Viorne lantane, Viorne mancienne, Mancienne</t>
  </si>
  <si>
    <t>129081 - 1006991 - 110748 - 110747 - 129087 - 110743 - 1006973 - 129085 - 154190 - 110744 - 152425 - 110746</t>
  </si>
  <si>
    <t>Viorne obier, Viorne obier, Viorne aquatique, Boule-de-neige</t>
  </si>
  <si>
    <t>Viorne à feuilles ridées</t>
  </si>
  <si>
    <t>152426 - 129084 - 1007001 - 129082 - 129092 - 126704 - 126702 - 1007002 - 126703</t>
  </si>
  <si>
    <t>Viorne tin, Fatamot, Laurier tin, Laurentin</t>
  </si>
  <si>
    <t>129274 - 129206 - 129097 - 154905 - 710391 - 129254 - 637273 - 994508 - 142232 - 152469 - 129228 - 154196 - 129332 - 152471 - 152437 - 154908 - 154904 - 129109 - 129189 - 154193 - 994501 - 129295 - 129248 - 129123 - 129224 - 129314 - 129201 - 142229 - 129128 - 152431 - 142226 - 129173 - 97913 - 637272 - 129300 - 154195 - 129154 - 621023 - 129148 - 92770 - 142225</t>
  </si>
  <si>
    <t>Vesce à folioles étroites</t>
  </si>
  <si>
    <t>105169 - 129107 - 83453 - 105274 - 129239 - 129127 - 105276</t>
  </si>
  <si>
    <t>Vesce de Bithynie</t>
  </si>
  <si>
    <t>129178 - 129250 - 129236 - 129174 - 97094 - 92756 - 97083 - 129246 - 129348 - 129096 - 129137 - 129294</t>
  </si>
  <si>
    <t>Vesce de Cassubie, Vesce de Poméranie, Vesce cassubique</t>
  </si>
  <si>
    <t>129121 - 142189 - 129151 - 152441 - 129283 - 129301 - 129313 - 129199 - 129303 - 92773 - 152438 - 1012384 - 129251 - 92762 - 92766 - 129147 - 621014 - 129338 - 142193 - 152440 - 719205</t>
  </si>
  <si>
    <t>Vesce cracca, Jarosse, Vesce à épis</t>
  </si>
  <si>
    <t>142256 - 129179 - 142197 - 142196 - 129336 - 129277 - 129219 - 142253 - 142257 - 133461 - 129153 - 142251 - 92771 - 129286 - 154203 - 129280</t>
  </si>
  <si>
    <t>Vesce à fruits poilus, Vesce à gousses velues, Vesce variée</t>
  </si>
  <si>
    <t>129145 - 92757 - 92758 - 97113 - 129157 - 154199 - 129112 - 152444 - 152445 - 152443 - 129268</t>
  </si>
  <si>
    <t>Vesce à deux graines</t>
  </si>
  <si>
    <t>129155 - 129161 - 129156 - 79313 - 129269 - 129159 - 92759 - 111712</t>
  </si>
  <si>
    <t>Vesce des buissons, Tremblarète</t>
  </si>
  <si>
    <t>111728 - 129171 - 97921 - 97914 - 97916 - 129343 - 129169 - 97915</t>
  </si>
  <si>
    <t>Vesce fève, Fève, Féverole, Féverolle</t>
  </si>
  <si>
    <t>129311 - 129306 - 93561 - 129186 - 129125 - 142203 - 129194</t>
  </si>
  <si>
    <t>Vesce à grandes fleurs</t>
  </si>
  <si>
    <t>129226 - 129312 - 129195 - 142211 - 142205 - 129218 - 129098 - 103220 - 129353</t>
  </si>
  <si>
    <t>Vesce hybride</t>
  </si>
  <si>
    <t>621015 - 142192 - 154198 - 142194 - 142191 - 152439 - 129135 - 129175 - 129197 - 142190 - 92761 - 129198 - 129177</t>
  </si>
  <si>
    <t>Vesce blanchie, Vesce blanchâtre</t>
  </si>
  <si>
    <t>152451 - 142206 - 154202 - 142207 - 129237 - 105156 - 129238 - 129259 - 97120 - 129108 - 129114 - 130094 - 152450 - 129207 - 130092</t>
  </si>
  <si>
    <t>Vesce fausse gesse, Vesce printanière</t>
  </si>
  <si>
    <t>105458 - 105447 - 105471 - 129211 - 105446 - 105455 - 137172 - 97093 - 105450 - 137173 - 105213 - 97097 - 619824 - 97103 - 105212 - 105448 - 148119 - 142209 - 91139 - 91140 - 105444</t>
  </si>
  <si>
    <t>Lentille cultivée, Lentille alimentaire, Lentille</t>
  </si>
  <si>
    <t>Vesce jaune</t>
  </si>
  <si>
    <t>129247 - 152468 - 129227 - 142231</t>
  </si>
  <si>
    <t>Vesce à gros fruits</t>
  </si>
  <si>
    <t>142238 - 86137 - 129252 - 129208 - 1012387 - 97917 - 152456</t>
  </si>
  <si>
    <t>Vesce de Narbonne</t>
  </si>
  <si>
    <t>129117 - 111755 - 97112 - 97086 - 142188 - 129138 - 111719 - 129263 - 129349</t>
  </si>
  <si>
    <t>Vesce orobe, Vesce des Landes</t>
  </si>
  <si>
    <t>129316 - 129352 - 103222 - 129288 - 142222 - 152461 - 142220 - 142221 - 129265 - 129333 - 129256</t>
  </si>
  <si>
    <t>Vesce de Pannonie, Vesce de Hongrie</t>
  </si>
  <si>
    <t>Vicia pannonica subsp. striata</t>
  </si>
  <si>
    <t>129231 - 142223 - 152463 - 129244 - 129271 - 129214 - 152462 - 129136 - 994553 - 621021 - 129183</t>
  </si>
  <si>
    <t>Vesce voyageuse</t>
  </si>
  <si>
    <t>97087 - 129258 - 129275 - 129350 - 92765 - 97114</t>
  </si>
  <si>
    <t>Vesce à forme de pois, Vesce faux pois</t>
  </si>
  <si>
    <t>129327 - 142234 - 1012386 - 129291 - 154906 - 142228 - 152430 - 142236 - 129298 - 129181 - 129100 - 97918 - 152429 - 129200 - 142230 - 129257 - 154197 - 129142 - 152436 - 152434 - 129217 - 142233 - 129289 - 129146</t>
  </si>
  <si>
    <t>Vesce cultivée, Vesce cultivée, Poisette</t>
  </si>
  <si>
    <t>129232 - 129297 - 129149 - 129326 - 152470 - 142235 - 142237 - 152428 - 152472 - 154907 - 152435 - 129302</t>
  </si>
  <si>
    <t>Vesce des moissons</t>
  </si>
  <si>
    <t>129111 - 152474 - 130095 - 129264 - 621024 - 129355 - 97919 - 129296 - 85018 - 621026 - 621025 - 152475 - 129317 - 129305 - 129310 - 129160 - 152473 - 129304</t>
  </si>
  <si>
    <t>Vesce des haies</t>
  </si>
  <si>
    <t>129209 - 129119 - 129131 - 129130 - 152442 - 129261 - 129322 - 142239 - 142241 - 92769 - 142195</t>
  </si>
  <si>
    <t>Vesce à feuilles ténues, Vesce à petites feuilles, Vesce à feuilles étroites</t>
  </si>
  <si>
    <t>97131 - 129281 - 142258 - 129340 - 154204 - 129278 - 142249 - 142247 - 129293 - 129182 - 92772</t>
  </si>
  <si>
    <t>Vesce velue, Vesce des sables</t>
  </si>
  <si>
    <t>Vicia villosa</t>
  </si>
  <si>
    <t>129345 - 129346</t>
  </si>
  <si>
    <t>Vesce de Marchand</t>
  </si>
  <si>
    <t>112775 - 129465 - 142265 - 129468 - 129471</t>
  </si>
  <si>
    <t>Pervenche élevée, Grande pervenche, Pervenche à grandes fleurs</t>
  </si>
  <si>
    <t>129466 - 129467 - 129470 - 446547 - 112776 - 129464</t>
  </si>
  <si>
    <t>Pervenche mineure, Petite pervenche, Violette de serpent, Pervenche humble</t>
  </si>
  <si>
    <t>129474 - 142269 - 152493 - 152488 - 129477 - 133590 - 162089 - 152492 - 129478 - 129475 - 93781 - 718948 - 162090 - 152483 - 152490 - 93778 - 129479 - 84253 - 152491 - 142272 - 1012388 - 129472 - 129483 - 152489 - 83096 - 129484 - 152494 - 152484 - 142268 - 621028 - 142270 - 142267 - 152487 - 129476 - 84252 - 83097 - 152495 - 152485 - 129486 - 129487 - 129482 - 152486 - 84240 - 142271 - 162386 - 162091 - 152482</t>
  </si>
  <si>
    <t>Dompte-venin officinal, Dompte-venin, Asclépiade blanche, Contre-poison</t>
  </si>
  <si>
    <t>129473 - 129480 - 975212 - 129481 - 152481 - 84246</t>
  </si>
  <si>
    <t>Dompte-venin noir, Asclépiade noire</t>
  </si>
  <si>
    <t>142275 - 129516 - 129738 - 142332 - 154206 - 129499 - 129492 - 160285 - 129507 - 161588 - 160274 - 142279 - 160275 - 129688 - 154205 - 152498 - 129551 - 152496 - 161590 - 142360 - 129504 - 152497 - 161589 - 129526 - 129713 - 142274 - 129494 - 142278 - 160279 - 142276 - 142356 - 129552 - 160278 - 160272 - 129737 - 129563</t>
  </si>
  <si>
    <t>Violette blanche</t>
  </si>
  <si>
    <t>70 - 71 - 89 - 90</t>
  </si>
  <si>
    <t>154212 - 771993 - 129506 - 161595 - 152583 - 142407 - 142406 - 129637</t>
  </si>
  <si>
    <t>Violette des champs, Pensée des champs</t>
  </si>
  <si>
    <t>Viola arvensis</t>
  </si>
  <si>
    <t>91101 - 152506 - 129667 - 129520 - 129714 - 129599 - 129615</t>
  </si>
  <si>
    <t>Violette à deux fleurs, Pensée à deux fleurs</t>
  </si>
  <si>
    <t>108655 - 129527</t>
  </si>
  <si>
    <t>Violette à éperons, Pensée éperonnée, Pensée des Alpes, Pensée à éperons</t>
  </si>
  <si>
    <t>621031 - 142387 - 142319 - 152519 - 129659 - 1012406 - 142314 - 152521 - 152520 - 129558 - 129529 - 129611 - 129664 - 152527 - 129565 - 152524 - 129661 - 129489 - 129712 - 129629 - 142310 - 129610 - 129581 - 152516 - 129685</t>
  </si>
  <si>
    <t>Violette des chiens</t>
  </si>
  <si>
    <t>129718 - 129648 - 129539 - 142358 - 142336 - 129549</t>
  </si>
  <si>
    <t>Violette des collines, Violette des coteaux</t>
  </si>
  <si>
    <t>142343 - 154217 - 155077 - 129545</t>
  </si>
  <si>
    <t>Violette de Cry</t>
  </si>
  <si>
    <t>129557 - 161422 - 1001642 - 129561 - 142306 - 161423 - 129701 - 161591 - 129590 - 142323 - 1001645 - 985362 - 129560</t>
  </si>
  <si>
    <t>Violette élevée</t>
  </si>
  <si>
    <t>142337 - 152537 - 152536 - 129510 - 129711 - 987688 - 129512 - 129640 - 142338 - 152534 - 129650 - 129638 - 142333 - 129733 - 142335 - 129586 - 152532 - 152533 - 129585 - 129728 - 152535 - 129571 - 142334 - 129619 - 129528 - 129692 - 142327 - 129575 - 129589 - 142350 - 129568 - 621032</t>
  </si>
  <si>
    <t>Violette hérissée</t>
  </si>
  <si>
    <t>621033 - 129628 - 152595 - 154214 - 142286 - 142413 - 152570 - 142416 - 142287 - 152558 - 129634 - 129715 - 129627 - 142418 - 129570 - 152559 - 152576 - 129582 - 142289 - 152502 - 142285 - 142419 - 161594 - 152581 - 129553 - 142414 - 152503 - 152580 - 142424 - 129633 - 930246 - 142422 - 142411 - 129600 - 152579</t>
  </si>
  <si>
    <t>Violette de Kitaibel, Pensée de Kitaibel</t>
  </si>
  <si>
    <t>621034 - 142415 - 129614</t>
  </si>
  <si>
    <t>Violette jaune, Pensée jaune</t>
  </si>
  <si>
    <t>Violette admirable, Violette étonnante, Violette singulière</t>
  </si>
  <si>
    <t>129740 - 152551 - 160214 - 160277 - 152554 - 129703 - 160385 - 152548 - 142351 - 142365 - 142361 - 152549 - 621035 - 129597 - 613821 - 129593 - 154207 - 160276 - 152556 - 129680 - 613820 - 152553 - 142363 - 129618 - 129700 - 129576 - 129540 - 129716 - 129651 - 129556 - 152552 - 129632 - 152555 - 152550 - 142362 - 129567 - 129704</t>
  </si>
  <si>
    <t>Violette odorante</t>
  </si>
  <si>
    <t>142367 - 129598 - 152557 - 129523 - 129524 - 129639 - 142366 - 129583 - 129683 - 154210 - 142368</t>
  </si>
  <si>
    <t>Violette des marais</t>
  </si>
  <si>
    <t>142324 - 142388 - 142401 - 129666 - 129502 - 129696 - 129695 - 161592 - 129569 - 129515 - 154663 - 129617 - 129710 - 129739 - 152566</t>
  </si>
  <si>
    <t>Violette de Reichenbach, Violette des bois</t>
  </si>
  <si>
    <t>129537 - 773356 - 142372 - 155081 - 152560 - 773037 - 771994 - 129530 - 142374 - 154665 - 154211 - 129531 - 129694 - 142386 - 772214 - 129669 - 129594 - 152563 - 142316 - 987692 - 142402 - 129601 - 142376 - 142389 - 621036</t>
  </si>
  <si>
    <t>Violette de Rivinus, Violette de Rivin</t>
  </si>
  <si>
    <t>129657 - 155080 - 129674 - 129574 - 152562 - 129495 - 129630 - 142280 - 154666 - 152561 - 155079 - 621037 - 129536 - 129541 - 142303 - 142400 - 161593 - 129620 - 142304 - 129501 - 129684 - 142377 - 152547 - 142375</t>
  </si>
  <si>
    <t>Violette rupestre, Violette des sables, Violette des rochers</t>
  </si>
  <si>
    <t>129698 - 152515 - 142321 - 129643 - 129665 - 129644 - 129521 - 142322 - 129676 - 1012389 - 142320 - 154661</t>
  </si>
  <si>
    <t>Violette à feuilles de pêcher, Violette des étangs</t>
  </si>
  <si>
    <t>142359 - 142384 - 129642 - 129547 - 129647 - 129655 - 142393 - 990450 - 142357 - 129691 - 129668 - 129508 - 129693 - 129741 - 154209 - 142382 - 129721 - 152564 - 142399 - 142383 - 142396 - 129656 - 142364 - 142394 - 142295 - 152565 - 129699 - 142391 - 142398 - 142341 - 142277 - 129538 - 142380 - 142395 - 129511 - 154208 - 129722 - 142397 - 142294 - 142381 - 129493 - 129702</t>
  </si>
  <si>
    <t>Violette suave</t>
  </si>
  <si>
    <t>129723 - 103666 - 108664 - 103980</t>
  </si>
  <si>
    <t>Violette tricolore, Pensée sauvage, Pensée tricolore</t>
  </si>
  <si>
    <t>129841 - 152601 - 129849 - 129747 - 152600 - 129838 - 152602 - 129798 - 129848 - 129743 - 129742</t>
  </si>
  <si>
    <t>Violette bâtarde, Violette adultérine</t>
  </si>
  <si>
    <t>129775 - 129796 - 142373 - 1012407 - 621029 - 129750 - 142371 - 129749</t>
  </si>
  <si>
    <t>Violette de Bavière, Violette intermédiaire</t>
  </si>
  <si>
    <t>129842 - 129872 - 1012390 - 129748 - 129797</t>
  </si>
  <si>
    <t>Violette de Weinhart</t>
  </si>
  <si>
    <t>129820 - 129836 - 152603 - 152604 - 129867 - 129835</t>
  </si>
  <si>
    <t>Violette à plusieurs tiges, Violette multicaule</t>
  </si>
  <si>
    <t>142339 - 129833 - 129845 - 129782 - 129807 - 129827 - 129793 - 129773</t>
  </si>
  <si>
    <t>Violette scabre</t>
  </si>
  <si>
    <t>129860 - 129755 - 129853 - 129771 - 129834</t>
  </si>
  <si>
    <t>Violette bâtarde</t>
  </si>
  <si>
    <t>154873 - 990150 - 141202 - 612585 - 1002969 - 1002974 - 106895 - 123680 - 1002970 - 1002963 - 990154 - 161658 - 129901 - 161659 - 1002972 - 129897 - 1002968 - 1002975 - 1002967 - 106931 - 1002962 - 129903 - 1002977 - 1002966 - 1002957 - 125118 - 1002973 - 106954 - 1002976 - 129904</t>
  </si>
  <si>
    <t>Viscaire commune, Silene visqueux, Lychnide visqueuse, Lychnis visqueux</t>
  </si>
  <si>
    <t>Gui blanc, Gui des feuillus, Gui, Bois de la Sainte-Croix</t>
  </si>
  <si>
    <t>123982 - 94524 - 94552 - 129910 - 82124 - 83225 - 82132</t>
  </si>
  <si>
    <t>Visnage fausse carotte, Ammi visnage, Herbe-aux-cure-dents, Herbe-aux-gencives, Ammi cure-dent, Petit ammi</t>
  </si>
  <si>
    <t>129914 - 129913 - 129917 - 129918 - 129915 - 129919 - 129916</t>
  </si>
  <si>
    <t>Vitex gattilier, Gattilier, Poivre sauvage, Agneau chaste, Poivre des moines, Arbre au poivre</t>
  </si>
  <si>
    <t>129940 - 129951 - 129939 - 129927</t>
  </si>
  <si>
    <t>Vigne du Cap, Raisin du Cap</t>
  </si>
  <si>
    <t>Vigne des rives</t>
  </si>
  <si>
    <t>Vigne rupestre, Vigne des rochers</t>
  </si>
  <si>
    <t>Vigne, La Vigne</t>
  </si>
  <si>
    <t>142470 - 98109 - 130009 - 612364 - 86525 - 146662 - 147016 - 146773 - 146667 - 130003 - 98116 - 108968 - 146844 - 146853 - 146843 - 146938 - 142457 - 146854 - 129997 - 142473 - 146847 - 95182 - 152628 - 146664 - 134560 - 98447 - 146661 - 142468 - 86587 - 146774 - 98613 - 130010 - 146687 - 142474 - 130031 - 130038 - 161898 - 98185 - 98531</t>
  </si>
  <si>
    <t>Vulpie queue-d'écureuil, Vulpie faux brome</t>
  </si>
  <si>
    <t>146672 - 129999 - 146673 - 129991 - 98043 - 146846 - 95179 - 146631 - 130001 - 98093 - 98174 - 98144 - 130043 - 98562 - 142458</t>
  </si>
  <si>
    <t>Vulpie ciliée</t>
  </si>
  <si>
    <t>146772 - 142462 - 106616 - 146769 - 147030 - 130049 - 621048 - 98247 - 106615 - 142461 - 86608 - 86765 - 146767 - 146770 - 98149 - 621046 - 129995 - 146775 - 621050 - 130006 - 134527 - 146771 - 86639 - 621047 - 130008 - 134526 - 146768 - 621049 - 621045 - 98152 - 130042</t>
  </si>
  <si>
    <t>Vulpie géniculée, Vulpie genouillée</t>
  </si>
  <si>
    <t>98339 - 144584 - 86638 - 130015 - 621051 - 147032 - 106618 - 147031 - 142464 - 86656</t>
  </si>
  <si>
    <t>Vulpie de Ligurie</t>
  </si>
  <si>
    <t>98350 - 130035 - 98371 - 98044 - 125162 - 98484 - 142466 - 152624 - 129992 - 130022 - 134645 - 130016 - 789155 - 130017</t>
  </si>
  <si>
    <t>Vulpie membraneuse, Vulpie des dunes, Vulpie à longues soies</t>
  </si>
  <si>
    <t>130027 - 146937 - 130018 - 85312 - 146850 - 98469 - 152627 - 146855 - 98153 - 130019 - 130047 - 154220 - 108969 - 621052 - 146666 - 146665 - 152625 - 146852 - 146848 - 98468 - 146857 - 98396 - 147018 - 789040 - 98366 - 130033 - 95181 - 146851 - 130028 - 130026 - 142472 - 130021 - 146849 - 134559 - 130037 - 130036 - 152626 - 147017 - 130032</t>
  </si>
  <si>
    <t>Vulpie queue-de-rat, Vulpie queue-de-souris</t>
  </si>
  <si>
    <t>80465 - 138034 - 109360 - 127704 - 147056 - 146837 - 127818 - 142463 - 86309 - 109358 - 146838 - 148885 - 98360 - 127745 - 109350 - 127819 - 147055 - 127741 - 138037 - 147045 - 127774 - 86284 - 130011 - 148884 - 144368 - 108518 - 148879 - 130046 - 80509 - 130029 - 147053 - 148883 - 147043 - 147044 - 147057 - 127828 - 148878 - 98573 - 115979 - 146836 - 621053 - 109349 - 138035 - 86307 - 147042 - 109347 - 109353 - 138036 - 98593 - 109352 - 148888 - 109359 - 80486 - 86294 - 98315 - 134646 - 148887 - 147054 - 146839 - 98284 - 148886 - 152623 - 148889 - 146840 - 89341 - 109361 - 98383</t>
  </si>
  <si>
    <t>Vulpie unilatérale</t>
  </si>
  <si>
    <t>130115 - 83178 - 113061 - 100423 - 130118</t>
  </si>
  <si>
    <t>Glycine de Chine</t>
  </si>
  <si>
    <t>130122 - 130123 - 105424 - 125864 - 100573 - 130121 - 130120 - 130119 - 86820 - 105460</t>
  </si>
  <si>
    <t>Wolffie sans racines, Lentille d'eau sans racines</t>
  </si>
  <si>
    <t>91465 - 91472 - 130197 - 88252 - 130206</t>
  </si>
  <si>
    <t>Carduocirse de Paris</t>
  </si>
  <si>
    <t>130289 - 147467 - 146763 - 147471 - 98614 - 146931 - 106525 - 114442 - 130462 - 98439 - 148315 - 86861 - 106524 - 147079 - 130285 - 100418 - 146932 - 98622</t>
  </si>
  <si>
    <t>Schédolium ivraie, Festulolium ivraie</t>
  </si>
  <si>
    <t>130463 - 130471</t>
  </si>
  <si>
    <t>Triticale de Rimpau, Triticale</t>
  </si>
  <si>
    <t>142492 - 130484 - 130488 - 130483 - 152633 - 130476</t>
  </si>
  <si>
    <t>Lampourde d'Orient, Lampourde à gros fruits, Lampourde à gros fruits</t>
  </si>
  <si>
    <t>162420 - 162419 - 79718 - 130491 - 811182</t>
  </si>
  <si>
    <t>Lampourde épineuse</t>
  </si>
  <si>
    <t>130482 - 130478 - 152634 - 621596 - 709501 - 130480 - 637361 - 142498 - 152635 - 130479 - 130493 - 637933 - 130487 - 130492 - 152636</t>
  </si>
  <si>
    <t>Lampourde glouteron, Herbe aux écrouelles</t>
  </si>
  <si>
    <t>130497 - 116296 - 122312 - 104055 - 125399 - 112839 - 92009 - 112862</t>
  </si>
  <si>
    <t>Xanthosélin d'Alsace, Peucédan d'Alsace</t>
  </si>
  <si>
    <t>90564 - 130515 - 130518 - 130527</t>
  </si>
  <si>
    <t>Xéranthème cylindracé, Xéranthème fétide, Xéranthème cylindrique</t>
  </si>
  <si>
    <t>152637 - 130512 - 142501 - 130523 - 130521 - 130520 - 130516 - 130517</t>
  </si>
  <si>
    <t>Xéranthème fermé, Immortelle à fleurs fermées</t>
  </si>
  <si>
    <t>130578 - 130580 - 130583 - 130581 - 614195</t>
  </si>
  <si>
    <t>Yucca filamenteux</t>
  </si>
  <si>
    <t>130576 - 935149 - 719385 - 130584 - 130586 - 130587 - 637389 - 152640 - 130579 - 152639</t>
  </si>
  <si>
    <t>Yucca superbe</t>
  </si>
  <si>
    <t>142508 - 130594 - 130596 - 142511 - 1012410 - 130599 - 112641 - 130597 - 142502 - 142503 - 621057 - 130604</t>
  </si>
  <si>
    <t>Zannichellie des marais, Alguette</t>
  </si>
  <si>
    <t>152644 - 130600 - 152643 - 130595 - 152642 - 154228 - 1012411 - 142509 - 130601</t>
  </si>
  <si>
    <t>Zannichellie pédonculée, Zannichellie pédicellée</t>
  </si>
  <si>
    <t>92185 - 87448 - 130605 - 87449 - 1006667 - 111855 - 117802</t>
  </si>
  <si>
    <t>Zantedeschie d'Éthiopie, Arum d'Éthiopie, Calla d'Éthiopie, Richarde</t>
  </si>
  <si>
    <t>126245 - 130627 - 148520 - 117418 - 621058 - 130609 - 130621 - 148522 - 107517 - 130613 - 130616 - 130623 - 130626 - 130615 - 130612 - 130620 - 130610 - 148523 - 130625 - 130619 - 130611 - 130617 - 107516 - 107514 - 130622 - 148521 - 107515 - 130608 - 130618 - 130614 - 130624</t>
  </si>
  <si>
    <t>Maïs cultivé, Maïs</t>
  </si>
  <si>
    <t>130650 - 670749 - 92784</t>
  </si>
  <si>
    <t>Zinnia élégant, Zinnia violacé, Zinnia</t>
  </si>
  <si>
    <t>Érable à feuilles d'obier, Érable opale, Érable d'Italie</t>
  </si>
  <si>
    <t>Achillée noble</t>
  </si>
  <si>
    <t>162462 - 130749 - 142545 - 142544</t>
  </si>
  <si>
    <t>Achillée sternutatoire, Herbe à éternuer, Achillée ptarmique</t>
  </si>
  <si>
    <t>80060 - 80071 - 130776 - 130813 - 142570 - 130808 - 142569 - 130795 - 130796 - 162025 - 80080 - 924265 - 130797 - 80029 - 162027 - 618652 - 80039 - 159991 - 80058 - 130809 - 130779 - 130778 - 80074 - 80021 - 130773 - 618653 - 130772 - 162026 - 618654 - 80049</t>
  </si>
  <si>
    <t>Aconit de Naples</t>
  </si>
  <si>
    <t>618657 - 142564 - 130793 - 80055 - 618658 - 130786 - 130789 - 130790 - 142572 - 130782 - 80008 - 80036 - 130787 - 967548 - 80033 - 80041 - 80056 - 130785 - 967545 - 142573 - 618656</t>
  </si>
  <si>
    <t>Aconit du Portugal</t>
  </si>
  <si>
    <t>618661 - 618662 - 142560 - 80045 - 80013 - 130792 - 80038 - 80012 - 142561 - 130783 - 80025 - 618659 - 80072 - 142565 - 618660 - 618663</t>
  </si>
  <si>
    <t>Aconit commun, Aconit vulgaire</t>
  </si>
  <si>
    <t>80160 - 130822 - 130821 - 130823 - 152650 - 142583 - 130827 - 80161 - 1017098</t>
  </si>
  <si>
    <t>Adénocarpe à petites feuilles, Adénocarpe de Laínz</t>
  </si>
  <si>
    <t>Adénostyle des Alpes, Adénostyle glabre</t>
  </si>
  <si>
    <t>613835 - 142656 - 130875 - 613836 - 621532 - 130873 - 142660 - 80365 - 621534 - 130871 - 621533</t>
  </si>
  <si>
    <t>Petite cigüe, Faux persil, Éthuse ache-des-chiens</t>
  </si>
  <si>
    <t>Aigremoine eupatoire, Francormier</t>
  </si>
  <si>
    <t>130877 - 80411 - 618679</t>
  </si>
  <si>
    <t>Grande aigremoine, Aigremoine géante</t>
  </si>
  <si>
    <t>143034 - 142908 - 142813 - 80713 - 154241 - 142993 - 129449 - 130953 - 94555 - 143033 - 613772 - 143032 - 613770 - 154248</t>
  </si>
  <si>
    <t>Agrostide capillaire, Agrostide commune, Agrostis capillaire</t>
  </si>
  <si>
    <t>Bugle petit-pin, Petite ivette, Bugle jaune</t>
  </si>
  <si>
    <t>Ail à tête ronde</t>
  </si>
  <si>
    <t>Aulne blanchâtre, Aulne des montagnes, Aulne blanc, Aulne blanchi</t>
  </si>
  <si>
    <t>Vulpin des prés</t>
  </si>
  <si>
    <t>131284 - 884176 - 884174 - 884175 - 81987 - 81961 - 131285 - 131301 - 884178 - 1009248 - 884177 - 99626</t>
  </si>
  <si>
    <t>Amarante blette, Amarante livide, Amarante Blite</t>
  </si>
  <si>
    <t>131287 - 884182 - 81965 - 452461 - 81982 - 929816 - 884181 - 884179 - 143437 - 721776 - 131286 - 446775 - 710845 - 159532</t>
  </si>
  <si>
    <t>Brède malabar, Pariétaire</t>
  </si>
  <si>
    <t>82012 - 131292 - 82004 - 82020 - 618731 - 116631 - 618730 - 131283 - 81964 - 618732</t>
  </si>
  <si>
    <t>Amarante des bois, Amarante sylvestre</t>
  </si>
  <si>
    <t>131307 - 957270 - 143454 - 618744 - 131308 - 618742 - 618745 - 618743</t>
  </si>
  <si>
    <t>Amélanchier ovale, Amélanchier commun, Amélanchier à feuilles ovales</t>
  </si>
  <si>
    <t>Anthémide des champs, Anthémis des champs, Camomille sauvage, Fausse camomille, Camomille des champs</t>
  </si>
  <si>
    <t>162037 - 82879 - 154699 - 131432</t>
  </si>
  <si>
    <t>Anthémide des rochers, Anthémis des rochers, Camomille des rochers</t>
  </si>
  <si>
    <t>152738 - 162268 - 131460</t>
  </si>
  <si>
    <t>Anthrisque sylvestre, Cerfeuil des bois, Persil des bois</t>
  </si>
  <si>
    <t>131465 - 143639 - 143640</t>
  </si>
  <si>
    <t>Anthyllide des montagnes, Anthyllis des montagnes, Vulnéraire des montagnes</t>
  </si>
  <si>
    <t>82978 - 82961 - 131469 - 152740 - 82967 - 82997 - 131491 - 82969 - 82964 - 152741 - 618773 - 131467 - 131471 - 143641 - 951926 - 82986 - 82960 - 143648 - 131462 - 618776 - 131487</t>
  </si>
  <si>
    <t>Anthyllide alpestre</t>
  </si>
  <si>
    <t>618778 - 82959 - 131466 - 131486 - 143654 - 131493 - 82998 - 131477 - 131473 - 143645 - 129978 - 82992 - 131480 - 82983 - 131479 - 131470 - 131482 - 160991 - 129988 - 131472 - 131485 - 129983 - 618775 - 143643 - 129984 - 143646 - 82987 - 82968 - 82995 - 143653 - 152745 - 143655 - 82989 - 618777 - 131483 - 82984 - 143652 - 143644 - 82971 - 82970 - 131478 - 82963 - 1014801 - 152743 - 143642 - 618774 - 131492</t>
  </si>
  <si>
    <t>Anthyllide vulnéraire, Anthyllis vulnéraire, Trèfle des sables, Vulnéraire, Thé des Alpes</t>
  </si>
  <si>
    <t>Antinorie fausse agrostide, Canche fausse agrostis, Antinorie faux agrostis, Canche faux agrostis</t>
  </si>
  <si>
    <t>Apère jouet-du-vent, Agrostide jouet-du-vent, Jouet-du-vent</t>
  </si>
  <si>
    <t>Ancolie commune, Ancolie vulgaire, Clochette</t>
  </si>
  <si>
    <t>131553 - 127994 - 131552 - 83393 - 83307 - 131542</t>
  </si>
  <si>
    <t>Arabette rosée</t>
  </si>
  <si>
    <t>Sabline des montagnes</t>
  </si>
  <si>
    <t>957888 - 131636 - 83835 - 131674 - 83848 - 143810 - 131644 - 143806 - 83834 - 131641 - 143807 - 83845 - 83807 - 83854 - 152770</t>
  </si>
  <si>
    <t>Armérie des sables, Armérie faux plantain</t>
  </si>
  <si>
    <t>85319 - 143818 - 144104 - 143832 - 147700 - 144106 - 83919 - 143827 - 143840 - 83910 - 131694 - 143822 - 143826 - 102892 - 143846 - 83927 - 143838 - 143844 - 131982 - 85320 - 144098 - 85393 - 143816 - 131692 - 85342 - 144099 - 147701 - 85213 - 152773 - 144103 - 143839</t>
  </si>
  <si>
    <t>Fromental bulbeux, Avoine bulbeuse, Avoine à chapelets</t>
  </si>
  <si>
    <t>Arrhenatherum elatius subsp. bulbosum</t>
  </si>
  <si>
    <t>772864 - 131693 - 144108 - 143842</t>
  </si>
  <si>
    <t>Fromental élevé, Avoine élevée, Fromental, Fénasse, Ray-grass français</t>
  </si>
  <si>
    <t>83971 - 143891 - 131709 - 618813 - 131728 - 141015 - 152780 - 131729</t>
  </si>
  <si>
    <t>Armoise de France, Armoise bleuâtre de France</t>
  </si>
  <si>
    <t>84266 - 131756 - 131753 - 131755 - 446679 - 143929</t>
  </si>
  <si>
    <t>Asperge officinale, Asperge cultivée</t>
  </si>
  <si>
    <t>Doradille cétérac, Cétérac officinal</t>
  </si>
  <si>
    <t>Doradille des fontaines, Doradille de Haller, Doradille des sources</t>
  </si>
  <si>
    <t>131820 - 84496 - 84474 - 131830 - 84468 - 84520 - 127171 - 143989 - 85008 - 131832 - 143997 - 143987 - 131829</t>
  </si>
  <si>
    <t>Asplenium de Billot, Asplénium lancéolé</t>
  </si>
  <si>
    <t>Doradille rue-des-murailles, Rue-des-murailles</t>
  </si>
  <si>
    <t>Doradille du Nord, Doradille septentrionale</t>
  </si>
  <si>
    <t>131848 - 958780 - 618837</t>
  </si>
  <si>
    <t>Capillaire</t>
  </si>
  <si>
    <t>21 - 70 - 90</t>
  </si>
  <si>
    <t>Doradille de Lovis, Capillaire de Lovis</t>
  </si>
  <si>
    <t>84601 - 84579 - 131854</t>
  </si>
  <si>
    <t>Doradille du Portugal</t>
  </si>
  <si>
    <t>144011 - 84491 - 131858 - 84473 - 144016 - 161303</t>
  </si>
  <si>
    <t>Doradille à rachis épais, Capillaire à rachis épais</t>
  </si>
  <si>
    <t>131859 - 131852</t>
  </si>
  <si>
    <t>Doradille fausse capillaire</t>
  </si>
  <si>
    <t>131861 - 84604</t>
  </si>
  <si>
    <t>Doradille de Stauffer</t>
  </si>
  <si>
    <t>131847 - 131863</t>
  </si>
  <si>
    <t>Doradille des murailles, Capillaire des murailles, Fausse capillaire, Capillaire rouge</t>
  </si>
  <si>
    <t>131866 - 131872 - 84549 - 84570</t>
  </si>
  <si>
    <t>Doradille d'Heufler</t>
  </si>
  <si>
    <t>Doradille à feuilles alternes, Doradille de Breyne, Doradille d’Allemagne, Asplénium de Breyne</t>
  </si>
  <si>
    <t>84935 - 84940 - 621546 - 131931 - 613461 - 613460 - 131932 - 84929 - 621545 - 144044</t>
  </si>
  <si>
    <t>Astrance à involucre, Radiaire à involucre</t>
  </si>
  <si>
    <t>131933 - 613462 - 84941 - 613463</t>
  </si>
  <si>
    <t>Grande astrance, Astrance élevée, Grande radiaire</t>
  </si>
  <si>
    <t>Avoine folle, Folle avoine</t>
  </si>
  <si>
    <t>152810 - 132016 - 144192</t>
  </si>
  <si>
    <t>Avoine cultivée</t>
  </si>
  <si>
    <t>613684 - 132034 - 85389 - 718649 - 132033</t>
  </si>
  <si>
    <t>Avoine stérile</t>
  </si>
  <si>
    <t>Avoine pubescente, Avénule pubescente</t>
  </si>
  <si>
    <t>144228 - 85495 - 85494 - 132061 - 107380 - 144229 - 132060 - 85497</t>
  </si>
  <si>
    <t>Ballote fétide, Ballote du Midi, Ballote méridionale</t>
  </si>
  <si>
    <t>Ballote noire, Marrube noir</t>
  </si>
  <si>
    <t>132119 - 85813 - 132120 - 85814 - 144274 - 85804 - 85812 - 144275 - 85808</t>
  </si>
  <si>
    <t>Bette maritime, Betterave maritime</t>
  </si>
  <si>
    <t>152825 - 85816 - 152823 - 144273 - 994947 - 613469 - 613468 - 621436 - 85817 - 132117 - 132116 - 85806 - 85818 - 132121 - 85809 - 85807 - 152824 - 621438 - 621437 - 85810 - 85815 - 613470</t>
  </si>
  <si>
    <t>Betterave, Betterave à sucre, Betterage fourragère, Betterave rouge, Betterave sucrière</t>
  </si>
  <si>
    <t>85943 - 85962 - 132136 - 161885 - 132135</t>
  </si>
  <si>
    <t>Bident bulleux, Bident à bulles, Bident boursouflé</t>
  </si>
  <si>
    <t>Bident triparti, Bident trifolié, Eupatoire aquatique, Chanvre d'eau</t>
  </si>
  <si>
    <t>718806 - 152841 - 719314 - 86056 - 132144 - 86029 - 132161 - 152843 - 86027 - 719315 - 86030 - 937574 - 719313 - 132159 - 162073 - 86013 - 132146 - 144291 - 86071</t>
  </si>
  <si>
    <t>Biscutelle variée, Lunetière variée, Lunetière variable, Biscutelle d'Alsace</t>
  </si>
  <si>
    <t>Blackstonie perfoliée, Chlorette, Chlore perfoliée</t>
  </si>
  <si>
    <t>Chou allongé</t>
  </si>
  <si>
    <t>132202 - 144376 - 132194 - 86338 - 86410 - 132196</t>
  </si>
  <si>
    <t>Chou allongé à feuilles entières, Chou à feuilles entières</t>
  </si>
  <si>
    <t>161059 - 86405 - 100552 - 132200 - 123724 - 618898 - 86389 - 132199 - 86379 - 618899 - 86404</t>
  </si>
  <si>
    <t>Colza</t>
  </si>
  <si>
    <t>Brize intermédiaire, Amourette commune, Amourette</t>
  </si>
  <si>
    <t>Brome des champs</t>
  </si>
  <si>
    <t>938144 - 938142 - 610813 - 132243 - 618911</t>
  </si>
  <si>
    <t>Brome variable</t>
  </si>
  <si>
    <t>153990 - 144542 - 132258 - 151554 - 144613 - 159890 - 86604 - 144543 - 151549 - 144614 - 151548 - 132257</t>
  </si>
  <si>
    <t>Brome mou, Brome orge</t>
  </si>
  <si>
    <t>159891 - 144635 - 144634 - 144639 - 86784 - 132264 - 151558 - 144638 - 144609 - 144551 - 86534 - 86633 - 86693 - 144627 - 144556 - 960562 - 144610 - 960563 - 144583 - 144644 - 141017 - 132284 - 151552</t>
  </si>
  <si>
    <t>Brome de Thomine-Desmazures</t>
  </si>
  <si>
    <t>Buplèvre à feuilles longues, Buplèvre à longues feuilles, Buplèvre à feuilles allongées</t>
  </si>
  <si>
    <t>Calamagrostide blanchâtre, Calamagrostide lancéolée, Calamagrostide des marais, Calamagrostis lancéolé, Calamagrostis des marais, Calamagrostis blanchâtre</t>
  </si>
  <si>
    <t>132379 - 144897</t>
  </si>
  <si>
    <t>Calamagrostide épigéios, Calamagrostide commune, Roseau des bois, Calamagrostide terrestre, Calamagrostis épigéios</t>
  </si>
  <si>
    <t>Calamagrostide variée, Calamagrostide bigarrée, Calamagrostide des montagnes, Calamagrostis varié</t>
  </si>
  <si>
    <t>132442 - 132443 - 152876</t>
  </si>
  <si>
    <t>Callitriche de l'Ouest, Callitriche d'Occident</t>
  </si>
  <si>
    <t>618979 - 132515 - 87672</t>
  </si>
  <si>
    <t>Campanule à feuilles rondes</t>
  </si>
  <si>
    <t>Campanule gantelée, Gant de Notre-Dame, Ortie bleue</t>
  </si>
  <si>
    <t>Cardamine amère</t>
  </si>
  <si>
    <t>145093 - 91361 - 88141 - 88065 - 132596 - 88159 - 88064 - 88174 - 145092 - 132583 - 145098 - 132582 - 132593 - 132599 - 88156 - 132608 - 145097 - 91946 - 145095 - 145089 - 88097 - 88208 - 91386 - 88144 - 132591 - 110285 - 88213 - 88125 - 88204 - 88074</t>
  </si>
  <si>
    <t>Chardon à pédoncules nus, Chardon décapité, Chardon défloré</t>
  </si>
  <si>
    <t>Chardon penché</t>
  </si>
  <si>
    <t>88161 - 88205 - 132618 - 88122 - 152901</t>
  </si>
  <si>
    <t>Chardon à tête dense, Chardon à capitules denses</t>
  </si>
  <si>
    <t>Laîche élevée</t>
  </si>
  <si>
    <t>145179 - 145183 - 88767 - 145171 - 88535 - 88722 - 145182 - 88401 - 88671 - 88918 - 132800 - 132707 - 145172 - 88357 - 145178 - 88812 - 88339 - 88915</t>
  </si>
  <si>
    <t>Laîche glauque</t>
  </si>
  <si>
    <t>Laîche pied-d'oiseau</t>
  </si>
  <si>
    <t>145221 - 132787 - 132783 - 145220 - 145222 - 132786</t>
  </si>
  <si>
    <t>Laîche paniculée</t>
  </si>
  <si>
    <t>Laîche à pilules</t>
  </si>
  <si>
    <t>88935 - 619028 - 88706 - 88957 - 88334 - 88709 - 88850 - 127096 - 145160 - 88907 - 88505 - 132810</t>
  </si>
  <si>
    <t>Laîche toujours verte</t>
  </si>
  <si>
    <t>132818 - 987581</t>
  </si>
  <si>
    <t>Laîche des forêts</t>
  </si>
  <si>
    <t>89154 - 132844 - 89173 - 89157 - 132842 - 145248 - 89148 - 161611 - 961060 - 161612 - 145249 - 132843 - 89151 - 162463</t>
  </si>
  <si>
    <t>Carline caulescente</t>
  </si>
  <si>
    <t>89519 - 145298 - 132902 - 103963 - 103955 - 89603 - 89535 - 136881 - 145311 - 132868 - 132906</t>
  </si>
  <si>
    <t>Centaurée de Gaudin, Centaurée à bractées</t>
  </si>
  <si>
    <t>132917 - 132872 - 619043 - 89724 - 154771 - 152937 - 619044 - 152944 - 89518</t>
  </si>
  <si>
    <t>Centaurée de Timbal-Lagrave, Centaurée de Timbal</t>
  </si>
  <si>
    <t>80102 - 89689 - 152951 - 80110 - 132971 - 132963 - 132975 - 152952 - 145328 - 89602 - 89539</t>
  </si>
  <si>
    <t>Centaurée en panicule, Centaurée paniculée</t>
  </si>
  <si>
    <t>133002 - 89640 - 89517 - 145344 - 92206 - 162454 - 132999 - 145356 - 161139 - 89738 - 145345 - 89515 - 145354 - 145349 - 106612 - 145357 - 145352 - 145359 - 132998 - 92210 - 133003</t>
  </si>
  <si>
    <t>Centaurée alpestre, Centaurée des Alpes</t>
  </si>
  <si>
    <t>621128 - 133005 - 145360 - 133001</t>
  </si>
  <si>
    <t>Centaurée des monts Grigne</t>
  </si>
  <si>
    <t>145358 - 972597 - 89563 - 89528 - 145351 - 145347 - 92208 - 89512 - 123101 - 133004 - 89541 - 145355 - 152961 - 133000 - 113278 - 89534 - 145346 - 89736 - 93669 - 145353 - 152960 - 92207 - 145348 - 89721 - 145350</t>
  </si>
  <si>
    <t>Centaurée scabieuse</t>
  </si>
  <si>
    <t>1011403 - 619053 - 133055 - 133027 - 133037 - 146550 - 146549 - 133028 - 133048 - 1006117 - 133040</t>
  </si>
  <si>
    <t>Érythrée petite-centaurée</t>
  </si>
  <si>
    <t>Centranthe de Lecoq</t>
  </si>
  <si>
    <t>Centranthe rouge, Valériane rouge, Lilas d'Espagne</t>
  </si>
  <si>
    <t>Céraiste des champs</t>
  </si>
  <si>
    <t>145394 - 90098 - 145400 - 771550 - 772517 - 772513 - 771557 - 771551 - 771545 - 133078 - 133087 - 771542 - 771549 - 771554 - 161711 - 145399 - 133084 - 772515 - 771555 - 771541 - 771552 - 89988 - 145398 - 771547 - 771553 - 772511 - 771539 - 133081 - 772514 - 771556 - 133082 - 619074 - 771548 - 619075 - 771540 - 771544 - 133079 - 771546 - 89973 - 154778 - 772512 - 89900 - 90084 - 771543 - 161710 - 90058</t>
  </si>
  <si>
    <t>Céraiste raide</t>
  </si>
  <si>
    <t>133089 - 133090 - 90099 - 145405 - 133092 - 145404 - 133093 - 90105 - 145403 - 811107 - 90052 - 90051</t>
  </si>
  <si>
    <t>Céraiste à pétales courts</t>
  </si>
  <si>
    <t>159596 - 133106 - 154776 - 133104 - 159594 - 90050 - 154775 - 154782 - 154318 - 133103</t>
  </si>
  <si>
    <t>Céraiste des bois</t>
  </si>
  <si>
    <t>90015 - 619077 - 133096 - 154324 - 133098 - 133107 - 145407 - 133115 - 145428 - 133095 - 452720 - 133112 - 133158 - 154322 - 771559 - 154777 - 133105 - 90123 - 89987 - 133100 - 89981 - 771558 - 154781 - 772518 - 90113 - 161699 - 973474 - 154784 - 90124 - 154783 - 619079 - 133102 - 133154 - 619078 - 619076 - 133113 - 145427 - 133108 - 154780 - 773679 - 133114 - 90029 - 773063 - 161698 - 133101 - 154779</t>
  </si>
  <si>
    <t>Céraiste commun , Mouron d'alouette</t>
  </si>
  <si>
    <t>Céraiste de Ligurie</t>
  </si>
  <si>
    <t>Mélinet glabre, Cérinthe glabre</t>
  </si>
  <si>
    <t>Mélinet mineur, Petit Mélinet, Cérinthe mineur, Petit Cérinthe</t>
  </si>
  <si>
    <t>Petite chénorrhine, Petite linaire, Chénorrhine mineure, Chénorrhine naine</t>
  </si>
  <si>
    <t>Chénopode blanc, Senousse</t>
  </si>
  <si>
    <t>90770 - 90777 - 130057 - 133238 - 90776 - 82791 - 90722 - 133225 - 90859 - 133237 - 133226</t>
  </si>
  <si>
    <t>Chénopode à feuilles d'obier</t>
  </si>
  <si>
    <t>Circée des Alpes</t>
  </si>
  <si>
    <t>145575 - 91359 - 811121 - 152984 - 145570 - 91399 - 145572 - 88164 - 91375 - 145571 - 91408 - 106596 - 133328 - 145569 - 133346 - 133329 - 145573 - 145566 - 133345 - 91428 - 145574 - 88137 - 91431 - 93792 - 133344 - 987550 - 91290 - 91429 - 145568 - 145576 - 133330 - 987547 - 145578</t>
  </si>
  <si>
    <t>Cirse commun, Cirse à feuilles lancéolées, Cirse lancéolé</t>
  </si>
  <si>
    <t>154304 - 97059 - 144374 - 619147 - 151843 - 141226 - 144373 - 123754 - 150584 - 154298 - 133399 - 109230 - 86426 - 103054 - 86465 - 151851 - 86356 - 86428 - 151847 - 154020 - 150583 - 151852 - 86393 - 89436 - 147773 - 154300 - 133398 - 154740 - 151849 - 133401 - 95135 - 123720 - 154305 - 154301 - 86336 - 123719 - 128033 - 151850 - 154296 - 144375 - 97058 - 117728 - 123722 - 151845 - 151846 - 154741 - 132226 - 139957 - 141228 - 123749 - 86366 - 133400 - 86371 - 141227 - 86421 - 144404 - 154302 - 154299 - 154297 - 86352 - 154019 - 144372 - 123828 - 92105 - 151848 - 161863 - 141225 - 961517 - 619148 - 144370 - 93344 - 144402 - 144371 - 147772 - 86411 - 154021 - 144401 - 151853 - 151844 - 144403 - 86435 - 139956 - 97060 - 86351 - 133403 - 144400 - 86417</t>
  </si>
  <si>
    <t>Coincye à fleurs de giroflée, Moutarde giroflée, Chou giroflée, Fausse giroflée</t>
  </si>
  <si>
    <t>Cornouiller sanguin, Sanguine, Cornouiller femelle</t>
  </si>
  <si>
    <t>92535 - 145687 - 133436 - 92518 - 145686</t>
  </si>
  <si>
    <t>Coronille naine, Petite coronille, Coronille mineure</t>
  </si>
  <si>
    <t>133443 - 145693</t>
  </si>
  <si>
    <t>Corrigiole du littoral, Corrigiole des grèves, Corrigiole des rives</t>
  </si>
  <si>
    <t>Crépide dorée</t>
  </si>
  <si>
    <t>85587 - 93067 - 133510 - 152818 - 85597 - 133509 - 93169 - 85586 - 152819 - 85569 - 85575 - 93072 - 122644 - 85572 - 133505 - 93065 - 93012 - 93118 - 93044 - 133503 - 133506 - 133507 - 130083 - 93050 - 973930</t>
  </si>
  <si>
    <t>Crépide fétide, Laitue de porc, Barkhausie fétide, Crépis fétide</t>
  </si>
  <si>
    <t>85571 - 619178 - 133504</t>
  </si>
  <si>
    <t>Crépide glanduleuse, Crépis glanduleux</t>
  </si>
  <si>
    <t>133520 - 987552 - 93128 - 93130 - 104833 - 85580 - 93062 - 93068 - 144246 - 132080 - 619181 - 93074 - 117726 - 133524 - 93107 - 105690 - 144247 - 85573 - 93052 - 133529 - 93142 - 101578 - 144245 - 101560 - 93085 - 93126 - 93111 - 93040 - 85574 - 93121 - 85596 - 85585 - 133522 - 133521 - 85577 - 105691 - 93158 - 994509 - 133531 - 93143 - 85578 - 152820 - 145761 - 93057 - 93141 - 161047 - 93151 - 987554 - 85589 - 104831 - 144248 - 133523 - 101564 - 93053 - 93032</t>
  </si>
  <si>
    <t>Crépide à feuilles de pissenlit, Barkhausie à feuilles de Pissenlit, Crépide de Haenseler, Crépis à feuilles de pissenlit</t>
  </si>
  <si>
    <t>Crépide vésiculeuse, Crépis à vésicules</t>
  </si>
  <si>
    <t>133565 - 153032 - 93638 - 93606 - 93612 - 93636 - 93598 - 619191 - 93628 - 145805 - 93641 - 619190 - 93650</t>
  </si>
  <si>
    <t>Cuscute à petites fleurs</t>
  </si>
  <si>
    <t>145899 - 120858 - 151194 - 145881 - 124444 - 145900 - 133643 - 613781 - 94137 - 120862 - 124450 - 718807 - 145897 - 140571 - 145880 - 124456 - 120850 - 613724 - 99836 - 99755 - 932589 - 120852 - 151196 - 932590 - 99722 - 99720 - 613782 - 145898 - 133646</t>
  </si>
  <si>
    <t>Cytise à balais, Genêt à balais, Sarothamne à balais, Juniesse</t>
  </si>
  <si>
    <t>145921 - 94221 - 145991 - 145911 - 94206 - 106010 - 145980 - 145950 - 145919 - 145978 - 126941 - 145953 - 145938 - 145958 - 145963 - 145974 - 145924 - 145964 - 145973 - 145941 - 145923 - 94199 - 104619 - 145986 - 145962 - 86615 - 619209 - 145947 - 145932 - 145933 - 94210 - 145971 - 145917 - 98260 - 112999 - 133652 - 145990 - 145961 - 145940</t>
  </si>
  <si>
    <t>Dactyle aggloméré, Pied-de-poule</t>
  </si>
  <si>
    <t>145967 - 145994 - 133661 - 145998 - 145996 - 94219 - 145975 - 145916 - 145944 - 145910 - 145942 - 145981 - 145966 - 133651 - 145968 - 94222 - 145937 - 619214 - 145959 - 145989 - 145983 - 145914 - 145988 - 145965 - 619212 - 133655 - 145930 - 145931 - 145954 - 145920 - 145913 - 94200 - 145957 - 619213 - 145943 - 145995 - 145946 - 145952 - 145997 - 145979</t>
  </si>
  <si>
    <t>Dactyle lobé, Dactyle polygame, Dactyle d'Ascherson</t>
  </si>
  <si>
    <t>133675 - 110865 - 719393 - 160530 - 718676 - 149029 - 146005</t>
  </si>
  <si>
    <t>Dactylorhize incarnat, Orchis incarnat, Orchis couleur de chair</t>
  </si>
  <si>
    <t>Danthonie retombante, Sieglingie retombante, Danthonie couchée, Danthonie décombante</t>
  </si>
  <si>
    <t>Carotte sauvage, Carotte commune, Daucus carotte</t>
  </si>
  <si>
    <t>772063 - 773180 - 773179 - 773178 - 133787</t>
  </si>
  <si>
    <t>Canche cespiteuse, Canche des champs</t>
  </si>
  <si>
    <t>146085 - 133796 - 146086 - 146087 - 143114 - 131022 - 94636 - 143113 - 80908 - 133795 - 771237</t>
  </si>
  <si>
    <t>Canche à petites fleurs</t>
  </si>
  <si>
    <t>133824 - 94773 - 146124 - 133823 - 94815 - 146125 - 133826 - 94723 - 146123 - 146122 - 153069 - 146120</t>
  </si>
  <si>
    <t>Œillet des Chartreux</t>
  </si>
  <si>
    <t>Diplotaxe des murs, Roquette des murailles, Roquette des murs, Vélar des murs, Diplotaxis des murs</t>
  </si>
  <si>
    <t>95590 - 84403 - 95587 - 133968 - 133976 - 109549 - 95578</t>
  </si>
  <si>
    <t>Dryoptéride écailleuse, Dryoptéride affine, Dryoptéris écailleux, Fausse fougère mâle</t>
  </si>
  <si>
    <t>146277 - 106604 - 115039 - 1002446 - 155086 - 154882 - 133972 - 95583 - 146276 - 976546 - 133979 - 95598 - 154504 - 105133 - 143965 - 95554 - 133980 - 133969 - 619288 - 133982 - 619287 - 154629 - 133971 - 146274</t>
  </si>
  <si>
    <t>Dryoptéride de Borrer, Dryoptéris de Borrer</t>
  </si>
  <si>
    <t>95557 - 133970</t>
  </si>
  <si>
    <t>Dryoptéride du Pays de Galles, Dryoptéris du Pays de Galles</t>
  </si>
  <si>
    <t>Dryoptéride critique, Dryoptéris critique</t>
  </si>
  <si>
    <t>Dryoptéride complexe, Dryoptéris complexe</t>
  </si>
  <si>
    <t>Momordique élatérium, Concombre d'âne, Momordique, Concombre sauvage</t>
  </si>
  <si>
    <t>134053 - 140770 - 134054 - 95892 - 161630</t>
  </si>
  <si>
    <t>Éléocharide d'Autriche, Scirpe d'Autriche, Souchet d'Autriche, Éléocharis d'Autriche</t>
  </si>
  <si>
    <t>134058 - 134057 - 95903 - 146327 - 121805 - 95894 - 146328 - 134055 - 95898 - 134061 - 95921 - 134059 - 95918 - 95911 - 95913 - 134060 - 95904 - 121716 - 95925 - 95905</t>
  </si>
  <si>
    <t>Éléocharide des marais, Scirpe des marais, Éléocharis des marais</t>
  </si>
  <si>
    <t>Chiendent intermédiaire, Élytrigie intermédiaire</t>
  </si>
  <si>
    <t>159500 - 134093</t>
  </si>
  <si>
    <t>Chiendent rampant, Chiendent commun, Élytrigie rampante</t>
  </si>
  <si>
    <t>Camarine noire</t>
  </si>
  <si>
    <t>134108 - 146390 - 773337 - 762191</t>
  </si>
  <si>
    <t>Épilobe à feuilles étroites, Épilobe en épi, Laurier de Saint-Antoine</t>
  </si>
  <si>
    <t>Épilobe romarin, Épilobe de Dodone, Épilobe à feuilles de romarin</t>
  </si>
  <si>
    <t>Épilobe rosé, Épilobe rose</t>
  </si>
  <si>
    <t>153109 - 96145 - 134129 - 96190 - 96219</t>
  </si>
  <si>
    <t>Épilobe de Lamy</t>
  </si>
  <si>
    <t>134131 - 146392</t>
  </si>
  <si>
    <t>Épilobe à tige carrée, Épilobe à quatre angles, Épilobe tétragone</t>
  </si>
  <si>
    <t>134132 - 96177 - 96273</t>
  </si>
  <si>
    <t>Épilobe de Tournefort</t>
  </si>
  <si>
    <t>719333 - 96474 - 96452 - 146394 - 122828 - 151525 - 134143 - 134150 - 96436 - 134141</t>
  </si>
  <si>
    <t>Épipactide helléborine, Épipactis à larges feuilles, Épipactis à feuilles larges, Elléborine à larges feuilles, Helléborine</t>
  </si>
  <si>
    <t>613668 - 134160 - 621322 - 134159 - 96485 - 613669</t>
  </si>
  <si>
    <t>Épipactide à labelle étroit, Épipactis à labelle étroit</t>
  </si>
  <si>
    <t>976802 - 96934 - 968128 - 100023 - 134249 - 134248 - 96952 - 153127 - 1013277 - 153125 - 96892 - 619410 - 1013211 - 134243 - 96946 - 134238 - 109152 - 976771 - 96935 - 100036 - 96924 - 96929 - 96886</t>
  </si>
  <si>
    <t>Érodium à feuilles de ciguë, Bec-de-grue</t>
  </si>
  <si>
    <t>Érucastre à feuilles de cresson, Fausse roquette à feuilles de cresson</t>
  </si>
  <si>
    <t>Vélar fausse giroflée, Fausse giroflée</t>
  </si>
  <si>
    <t>Eupatoire chanvrine, Eupatoire à feuilles de chanvre, Chanvre d'eau</t>
  </si>
  <si>
    <t>97682 - 134349 - 97561 - 159995 - 97446 - 126779 - 97475 - 162415 - 146560 - 134348 - 1009408 - 1009396</t>
  </si>
  <si>
    <t>Euphorbe faux amandier, Euphorbe des bois, Herbe à la faux</t>
  </si>
  <si>
    <t>97524 - 126722 - 97562 - 134388 - 134413 - 104481 - 126737 - 613515 - 146577 - 126769 - 126770 - 97368 - 97469 - 141786 - 97683 - 1009553 - 126773</t>
  </si>
  <si>
    <t>Euphorbe de Séguier</t>
  </si>
  <si>
    <t>134464 - 97735 - 134462 - 146598 - 97802 - 97793 - 97791 - 134447 - 134441 - 134454 - 134465 - 97774 - 134453 - 134446 - 97766 - 146599 - 97801 - 97780</t>
  </si>
  <si>
    <t>Euphraise de Roskov, Euphraise des champs</t>
  </si>
  <si>
    <t>Fétuque améthyste</t>
  </si>
  <si>
    <t>134554 - 98067 - 146877 - 98049 - 159998 - 98631 - 98352 - 146833 - 98483 - 153193 - 98135 - 134556 - 98542 - 98495 - 146736 - 619463 - 98175 - 98498 - 134555 - 98277 - 134549 - 98047 - 98579 - 98150</t>
  </si>
  <si>
    <t>Fétuque marginée, Fétuque de Timbal-Lagrave</t>
  </si>
  <si>
    <t>962100 - 134585 - 134576 - 619466 - 146883 - 134569 - 619467 - 146713 - 1017958 - 98269 - 98069 - 98420 - 134579 - 134572</t>
  </si>
  <si>
    <t>Fétuque de Westphalie</t>
  </si>
  <si>
    <t>98553 - 98601 - 146633 - 98090 - 146995 - 146863 - 134613 - 146696 - 153206 - 98457 - 134629 - 153200 - 153203 - 98274 - 98181 - 98591 - 146972 - 146976 - 98418 - 134619</t>
  </si>
  <si>
    <t>Fétuque à feuilles de Jonc, Fétuque jonc</t>
  </si>
  <si>
    <t>134631 - 773377</t>
  </si>
  <si>
    <t>Fétuque rouge</t>
  </si>
  <si>
    <t>134666 - 98648 - 134663 - 962168 - 139700 - 134662 - 98649 - 147083 - 162118 - 161236 - 116960 - 117020 - 139699 - 620401 - 161235</t>
  </si>
  <si>
    <t>Ficaire à grandes fleurs</t>
  </si>
  <si>
    <t>Cotonnière jaunissante, Cotonnière jaunâtre</t>
  </si>
  <si>
    <t>613521 - 147101 - 98750 - 619491 - 147099 - 134690 - 147102 - 153213 - 613520 - 147103 - 134695 - 147098 - 134691 - 134696</t>
  </si>
  <si>
    <t>Fenouil commun</t>
  </si>
  <si>
    <t>Fraisier vert</t>
  </si>
  <si>
    <t>Frêne à feuilles étroites</t>
  </si>
  <si>
    <t>979572 - 134714 - 153218 - 98934 - 134725 - 134710 - 134723 - 98941 - 134712 - 98917 - 134709 - 98936</t>
  </si>
  <si>
    <t>Frêne oxyphylle, Frêne à fruits pointus</t>
  </si>
  <si>
    <t>Orne, Frêne à fleurs, Orne d'Europe, Frêne orne</t>
  </si>
  <si>
    <t>Gaillet vrai, Gaillet jaune, Caille-lait jaune</t>
  </si>
  <si>
    <t>99504 - 99591 - 147340 - 619517 - 134956 - 99419 - 134955 - 99439 - 99579 - 134958</t>
  </si>
  <si>
    <t>Gaillet de Wirtgen</t>
  </si>
  <si>
    <t>134984 - 134982 - 99850 - 147366 - 99764 - 789319 - 134983 - 789320 - 153252 - 99809</t>
  </si>
  <si>
    <t>Genêt poilu, Genêt velu, Genette</t>
  </si>
  <si>
    <t>135036 - 789029 - 789030</t>
  </si>
  <si>
    <t>Gentiane jaune, Grande gentiane</t>
  </si>
  <si>
    <t>100162 - 100049 - 162316 - 135065 - 100118</t>
  </si>
  <si>
    <t>100060 - 135066 - 1012694 - 772116 - 147416 - 135069 - 100108</t>
  </si>
  <si>
    <t>Herbe à Robert</t>
  </si>
  <si>
    <t>135169 - 147600 - 147599 - 100947 - 101004 - 147604 - 147602 - 100914 - 100903 - 100932 - 135166 - 135239 - 91671 - 100976 - 147556 - 161581</t>
  </si>
  <si>
    <t>Hélianthème des Apennins, Hélianthème blanc, Herbe à feuilles de polium</t>
  </si>
  <si>
    <t>613791 - 159495 - 101284 - 619594 - 135301 - 613789 - 101302 - 613792 - 135302 - 135297 - 613790 - 135291 - 101266 - 101273 - 613788 - 101276 - 135286 - 101288 - 613422</t>
  </si>
  <si>
    <t>Berce élégante</t>
  </si>
  <si>
    <t>135288 - 619595 - 135293 - 147644 - 147642 - 101305 - 101261 - 124604 - 101274 - 124605 - 101265 - 101285 - 101289 - 135306 - 147646 - 101297 - 124607 - 147643 - 101277 - 101294 - 147648 - 147647 - 101270 - 112552</t>
  </si>
  <si>
    <t>135333 - 101482 - 101453</t>
  </si>
  <si>
    <t>Julienne inodore</t>
  </si>
  <si>
    <t>984504 - 136643 - 984500</t>
  </si>
  <si>
    <t>1007338 - 136646</t>
  </si>
  <si>
    <t>Argousier des fleuves, Argousier des rivières</t>
  </si>
  <si>
    <t>147750 - 136664 - 102960 - 136671 - 102993</t>
  </si>
  <si>
    <t>Orge glauque</t>
  </si>
  <si>
    <t>147742 - 147746 - 147743 - 136673 - 147745</t>
  </si>
  <si>
    <t>103340 - 136747 - 136736</t>
  </si>
  <si>
    <t>Millepertuis de Carinthie</t>
  </si>
  <si>
    <t>103265 - 103257 - 103276 - 136750</t>
  </si>
  <si>
    <t>1014142 - 1014137 - 136751 - 136768 - 136753 - 136765 - 103270 - 136748 - 103310 - 103273 - 102913</t>
  </si>
  <si>
    <t>Millepertuis plutôt obtus, Millepertuis anguleux, Millepertuis douteux</t>
  </si>
  <si>
    <t>1014108 - 136762 - 136759 - 136757 - 1014107 - 613134 - 103293 - 771706 - 147806</t>
  </si>
  <si>
    <t>136760 - 103280 - 136758 - 136756 - 147807 - 136761 - 1014103 - 147809 - 103327 - 147808 - 103300 - 103333 - 147805</t>
  </si>
  <si>
    <t>Millepertuis de Vérone, Millepertuis à feuilles étroites</t>
  </si>
  <si>
    <t>103309 - 136771 - 153347 - 147794 - 103253</t>
  </si>
  <si>
    <t>Millepertuis de Burser</t>
  </si>
  <si>
    <t>103242 - 147793 - 1014160 - 95446 - 103278 - 136772 - 103244</t>
  </si>
  <si>
    <t>136834 - 103465 - 103457 - 103506 - 136835 - 147837 - 136826 - 103504 - 147838 - 136820 - 136810 - 153361 - 153364 - 136808 - 153363 - 103436 - 153366 - 136824 - 613648 - 103442 - 153362 - 103434 - 613646 - 136812 - 103479 - 136814 - 162110 - 613647 - 103480 - 136807 - 613644 - 613645 - 103443 - 136809 - 147836 - 153365</t>
  </si>
  <si>
    <t>Ibéride de Viollet, Ibéris de Viollet</t>
  </si>
  <si>
    <t>104218 - 104149 - 136904 - 104307 - 104247 - 136907 - 136901 - 104106 - 619768 - 104260 - 136900 - 136899 - 104184 - 136908 - 136909 - 113311 - 147894 - 104185 - 104195 - 104368 - 136905</t>
  </si>
  <si>
    <t>619769 - 147893 - 619770 - 136906 - 147892 - 136903 - 984740 - 136902 - 104194</t>
  </si>
  <si>
    <t>Jonc brun-noirâtre</t>
  </si>
  <si>
    <t>621520 - 104360 - 104245 - 104330 - 136916 - 136913 - 613536 - 136945 - 613133</t>
  </si>
  <si>
    <t>104320 - 104182 - 136957 - 104367 - 136955 - 113317 - 104156 - 104359 - 104205 - 104374 - 104343 - 104107 - 104319 - 104345 - 104188 - 147920 - 147919 - 147923 - 136927 - 104277 - 104179 - 104376 - 147924 - 147922 - 104118 - 104366</t>
  </si>
  <si>
    <t>104225 - 136928 - 153396 - 147921 - 136956</t>
  </si>
  <si>
    <t>Jonc de Koch</t>
  </si>
  <si>
    <t>147940 - 136973 - 136969 - 104416 - 126441 - 104395</t>
  </si>
  <si>
    <t>136974 - 147939 - 136968 - 162362 - 147938 - 104407 - 104414 - 136976</t>
  </si>
  <si>
    <t>Genévrier nain, Genévrier des Alpes, Genévrier de Sibérie</t>
  </si>
  <si>
    <t>148012 - 148003 - 148014 - 148009 - 148008 - 148007 - 148011 - 148010 - 154420 - 148016 - 104641 - 137044 - 80942 - 148002 - 148013 - 148005 - 137040 - 148018 - 148001 - 104599</t>
  </si>
  <si>
    <t>104759 - 137061 - 148032 - 104745 - 104740 - 153410</t>
  </si>
  <si>
    <t>Laitue à fleurs de chondrille</t>
  </si>
  <si>
    <t>137066 - 619803 - 137071 - 104847 - 619802 - 99265 - 984744</t>
  </si>
  <si>
    <t>Lamier jaune à feuilles argentées, Lamier argenté</t>
  </si>
  <si>
    <t>619804 - 137072 - 619805</t>
  </si>
  <si>
    <t>104849 - 148040 - 104892 - 134815 - 114492 - 99268 - 137073 - 940893 - 104891 - 153232 - 137067</t>
  </si>
  <si>
    <t>Lamier des montagnes</t>
  </si>
  <si>
    <t>104859 - 104881 - 137079 - 104896 - 104888 - 104883 - 137076 - 104878 - 104886 - 137078 - 137077 - 104909 - 104900 - 137080</t>
  </si>
  <si>
    <t>Lamier de Gargano, Lamier à grandes fleurs</t>
  </si>
  <si>
    <t>984016 - 105023 - 148041 - 105026 - 137096 - 148042 - 105018</t>
  </si>
  <si>
    <t>Lampsane commune, Graceline</t>
  </si>
  <si>
    <t>105025 - 105016 - 105022 - 137097 - 137098 - 105020 - 105029</t>
  </si>
  <si>
    <t>Lampsane intermédiaire</t>
  </si>
  <si>
    <t>111757 - 111744 - 111727 - 108014 - 148093 - 137134 - 148092</t>
  </si>
  <si>
    <t>105489 - 137187 - 131505 - 613544 - 113460 - 105498 - 137198 - 105484 - 621457 - 613543 - 137188 - 137186 - 621456 - 83112 - 148127 - 101887 - 83108 - 137183 - 129877 - 137189 - 105519 - 621455 - 113468 - 83119 - 83113 - 613545</t>
  </si>
  <si>
    <t>982124 - 148130 - 137190 - 105503 - 148128 - 613667 - 613666 - 137191 - 148129</t>
  </si>
  <si>
    <t>Liondent fausse hyoséride, Liondent des éboulis</t>
  </si>
  <si>
    <t>141687 - 126429 - 152127 - 126434 - 105511 - 137208 - 126433 - 126435 - 137205 - 126438 - 126430 - 105526 - 117522 - 137195 - 83115 - 105501 - 92184 - 105505 - 126431 - 103210 - 105510 - 126427 - 141684</t>
  </si>
  <si>
    <t>148247 - 153436 - 106273 - 106300 - 89352 - 106338 - 106276 - 106293 - 80169 - 106311 - 137388 - 106277 - 106329 - 106326 - 106341 - 106283</t>
  </si>
  <si>
    <t>Lin à feuilles étroites, Lin bisannuel</t>
  </si>
  <si>
    <t>148348 - 148351 - 148363 - 148357 - 137412 - 148352 - 148347 - 148346 - 106475 - 148359 - 148345 - 148364 - 148361 - 106473</t>
  </si>
  <si>
    <t>Chèvrefeuille des Alpes</t>
  </si>
  <si>
    <t>Chèvrefeuille bleu</t>
  </si>
  <si>
    <t>Chèvrefeuille des bois, Chèvrefeuille grimpant</t>
  </si>
  <si>
    <t>106709 - 137452 - 106631 - 106640 - 106722 - 137444 - 137440 - 137446 - 1014699 - 106646 - 148418 - 106644 - 148423 - 106726 - 148419 - 137443 - 106680 - 106691 - 106639 - 619880 - 148421 - 106683 - 161447 - 148425 - 106724 - 106728 - 108859</t>
  </si>
  <si>
    <t>148424 - 137441 - 106701 - 106660 - 148420</t>
  </si>
  <si>
    <t>Lotier de Delort</t>
  </si>
  <si>
    <t>137508 - 773240 - 137507 - 148451 - 106844 - 106826 - 104270 - 106834 - 772172 - 104217 - 772173 - 772770 - 137488 - 773241 - 104178 - 160205 - 137511 - 772171</t>
  </si>
  <si>
    <t>137520 - 137518 - 789273 - 619888</t>
  </si>
  <si>
    <t>106857 - 148457 - 137505 - 137521</t>
  </si>
  <si>
    <t>Luzule de Sieber</t>
  </si>
  <si>
    <t>104271 - 104259 - 137522 - 148448 - 104230 - 106835 - 106832</t>
  </si>
  <si>
    <t>107603 - 107650 - 107631 - 137605 - 107618 - 107709 - 107533 - 137660 - 153476 - 107580 - 107610 - 137604 - 137675 - 107700 - 137666 - 107583 - 148531 - 107694 - 107724 - 148534 - 107579 - 107651 - 107558 - 107570</t>
  </si>
  <si>
    <t>Luzerne en faux, Luzerne sauvage</t>
  </si>
  <si>
    <t>107757 - 107761 - 148618 - 137609 - 148530 - 137674 - 107763 - 107764 - 107766 - 107760 - 137665 - 107759 - 148535 - 107758 - 107756 - 107753 - 107754 - 148615 - 137671 - 619904 - 107762 - 148532 - 107749 - 107751 - 107750 - 107752 - 137608 - 107765 - 137669 - 148617</t>
  </si>
  <si>
    <t>Luzerne changeante</t>
  </si>
  <si>
    <t>107655 - 107716 - 107683 - 107539 - 107736 - 107708 - 107637 - 107640 - 137670 - 107678 - 107744 - 107587 - 137673 - 107731 - 107566 - 107642 - 107693 - 107638</t>
  </si>
  <si>
    <t>137719 - 107852 - 107850 - 107861 - 148639 - 137724 - 148654 - 619910 - 128778 - 619909 - 107877 - 137720 - 148630 - 107853 - 148643 - 137721 - 137722 - 619908 - 148638 - 107859 - 85689 - 148637 - 148631 - 107869 - 148640 - 148633 - 148641</t>
  </si>
  <si>
    <t>162319 - 148632 - 148635 - 148653 - 137723 - 148634 - 148647 - 107879 - 148636 - 148645</t>
  </si>
  <si>
    <t>Mélique de Magnol</t>
  </si>
  <si>
    <t>137741 - 107986</t>
  </si>
  <si>
    <t>619924 - 137768 - 108194 - 619923</t>
  </si>
  <si>
    <t>Menthe glabre</t>
  </si>
  <si>
    <t>Menthe odorante, Menthe à feuilles rondes</t>
  </si>
  <si>
    <t>91847 - 148795 - 137881 - 108787 - 108790 - 148796 - 1016111 - 137877 - 137885 - 108789 - 137880</t>
  </si>
  <si>
    <t>Montie de Hall, Montie d'Ampurias, Montie variable</t>
  </si>
  <si>
    <t>137888 - 137879 - 108788 - 772924</t>
  </si>
  <si>
    <t>108782 - 137886 - 108792 - 108798 - 108780 - 137878 - 105142 - 148797 - 137882 - 148794 - 137883</t>
  </si>
  <si>
    <t>Montie naine, Montie à graines cartilagineuses, Montie printanière</t>
  </si>
  <si>
    <t>21 - 39 - 58 - 70 - 89 - 90</t>
  </si>
  <si>
    <t>148822 - 153507 - 148819 - 153506 - 109004 - 137937 - 109109 - 109070 - 137914 - 109038 - 137904 - 148825 - 137921 - 109043 - 109010 - 109047 - 109005</t>
  </si>
  <si>
    <t>Myosotis cespiteux, Myosotis gazonnant</t>
  </si>
  <si>
    <t>109090 - 148814 - 108985 - 109002 - 137933 - 619974 - 137935 - 109028 - 109045 - 811215 - 137913</t>
  </si>
  <si>
    <t>Myosotis de Lebel, Myosotis du Roussillon</t>
  </si>
  <si>
    <t>148842 - 109206 - 109223 - 109218 - 109216 - 137968 - 148843 - 109204 - 137967 - 109211 - 109212 - 109219 - 103920</t>
  </si>
  <si>
    <t>80968 - 104062 - 162333 - 109270 - 964703 - 108838 - 80967 - 109233 - 789094 - 109260 - 148863 - 109298 - 138002 - 80972 - 109273 - 109994 - 148861 - 138005 - 789274 - 162334 - 109268 - 138000 - 109295 - 964712 - 109259 - 148862 - 80969 - 109995 - 109285 - 137996 - 138006 - 109288 - 109272 - 153524 - 109278 - 109271 - 109232 - 80966 - 138001 - 153525 - 104061 - 109299</t>
  </si>
  <si>
    <t>109593 - 138067 - 129971 - 154219 - 109592 - 138066 - 109589 - 129972 - 719207 - 109595 - 109590</t>
  </si>
  <si>
    <t>Neslie de Thrace, Neslie apiculée</t>
  </si>
  <si>
    <t>Neslia paniculata subsp. thracica</t>
  </si>
  <si>
    <t>109626 - 109618 - 109628 - 138069 - 109641 - 109634 - 138068</t>
  </si>
  <si>
    <t>138092 - 154128 - 126374 - 162092 - 159934 - 116321 - 152126 - 154130 - 126350 - 152121 - 141662 - 138093 - 152125 - 126382 - 141677 - 718251 - 141663 - 154852 - 126400 - 138091 - 141678 - 126402 - 141654 - 109674 - 154129 - 141655 - 109667 - 126349 - 161555 - 138090 - 126367 - 138097 - 718250 - 126330 - 109677 - 126325 - 126358</t>
  </si>
  <si>
    <t>161556 - 116322 - 141664 - 141656 - 126407 - 141679 - 154131 - 126333 - 141680 - 138094 - 126368</t>
  </si>
  <si>
    <t>Tabouret verdoyant, Noccée verdoyante</t>
  </si>
  <si>
    <t>154655 - 126363 - 138095 - 126334 - 116316 - 95304 - 126399 - 155083</t>
  </si>
  <si>
    <t>97729 - 153157 - 138125 - 138127 - 146591 - 162399 - 148937</t>
  </si>
  <si>
    <t>109846 - 138129 - 620006 - 109842 - 109829 - 138136 - 620007 - 620005 - 138135 - 153164 - 138130 - 109843 - 620004 - 138139 - 97768 - 620008 - 148938 - 109825</t>
  </si>
  <si>
    <t>Odontite tardif, Odontitès tardif</t>
  </si>
  <si>
    <t>85615 - 109841 - 97779 - 85611 - 762168 - 153163 - 138137 - 138134 - 771782 - 109848 - 97819 - 97803 - 97808 - 771385 - 109840 - 162447</t>
  </si>
  <si>
    <t>138203 - 148966 - 620022 - 1014782 - 153553 - 138192 - 110201 - 110206 - 159488 - 138204 - 110217 - 148967 - 789124 - 138212 - 138193 - 789359 - 148965 - 110170 - 789358 - 148961 - 138181 - 789360 - 719269 - 153552 - 138211 - 110227</t>
  </si>
  <si>
    <t>Bugrane étalée, Bugrane maritime</t>
  </si>
  <si>
    <t>110172 - 789361 - 138205 - 138201 - 110233 - 153550 - 789362 - 138202 - 110174 - 620023 - 153549 - 110204 - 138213 - 138210 - 718733 - 789363 - 138208</t>
  </si>
  <si>
    <t>161544 - 969543 - 138286 - 969542</t>
  </si>
  <si>
    <t>149036 - 138391 - 138393 - 614968 - 138392 - 719088 - 110951 - 111014 - 110995 - 111020 - 138396 - 138389 - 951117 - 149038 - 138397 - 110991 - 110992 - 110928 - 138387</t>
  </si>
  <si>
    <t>138441 - 111261 - 111270 - 154925 - 138442 - 111288 - 620052 - 111268 - 111287 - 111275 - 111259 - 111290 - 153571 - 138443 - 111281 - 138439 - 111284 - 111279</t>
  </si>
  <si>
    <t>Origan vert, Origan d'Héraclée</t>
  </si>
  <si>
    <t>Pivoine mâle, Pivoine coralline</t>
  </si>
  <si>
    <t>149191 - 149192 - 149186 - 149185 - 149189 - 149187 - 149188 - 138542</t>
  </si>
  <si>
    <t>149225 - 138559</t>
  </si>
  <si>
    <t>112294 - 112370 - 112377 - 138562 - 112330 - 153594 - 138546 - 112327 - 984973 - 138566 - 620092 - 112374 - 112300 - 112273 - 149227</t>
  </si>
  <si>
    <t>Pavot de Lecoq, Coquelicot de Lecoq</t>
  </si>
  <si>
    <t>112457 - 138616 - 112458 - 138613 - 103533 - 98011 - 153603</t>
  </si>
  <si>
    <t>Paronyque à feuilles de serpolet</t>
  </si>
  <si>
    <t>138622 - 620105 - 112555 - 620106 - 112554 - 138626 - 112556 - 138625 - 1002777 - 1002776 - 112546</t>
  </si>
  <si>
    <t>Panais brûlant</t>
  </si>
  <si>
    <t>127978 - 127979 - 89281 - 138658 - 127986 - 127975 - 100687 - 100671 - 100676</t>
  </si>
  <si>
    <t>Pétrorhagie saxifrage, Œillet des rochers, Œillet saxifrage</t>
  </si>
  <si>
    <t>149328 - 146190 - 144225 - 149327 - 144890 - 146189 - 149336 - 149321 - 149330 - 149325 - 149334 - 144226 - 149326 - 138682 - 149333 - 87220 - 138686 - 144891 - 149335 - 985713</t>
  </si>
  <si>
    <t>149447 - 138761 - 138764 - 138762 - 113368 - 113383 - 149449 - 149451 - 138759 - 620143 - 113371 - 113374 - 138780 - 113356 - 113375 - 149450 - 113359 - 113396 - 117405 - 149448 - 113385 - 113387 - 149446 - 138763 - 620142</t>
  </si>
  <si>
    <t>138766 - 138765 - 113408 - 138767 - 138749</t>
  </si>
  <si>
    <t>Raiponce tendre, Raiponce délicate</t>
  </si>
  <si>
    <t>149457 - 83122 - 113492 - 620149 - 113479 - 91914 - 113497 - 149467 - 620148 - 993911 - 113478 - 113462 - 113498 - 113484 - 113494 - 105488 - 113504 - 113473 - 149458 - 113502 - 993946 - 138785 - 113486 - 138788</t>
  </si>
  <si>
    <t>149476 - 138800 - 138807 - 138811 - 113566 - 613560 - 149477 - 138806 - 149470 - 113564 - 149478 - 138799 - 621573 - 149480 - 113584 - 149481 - 613559</t>
  </si>
  <si>
    <t>138840 - 153638 - 149493 - 113709 - 620165 - 620163 - 620168 - 138837 - 620166 - 620162 - 113708 - 161959 - 620167 - 620164 - 153639 - 113699</t>
  </si>
  <si>
    <t>Pin à crochets</t>
  </si>
  <si>
    <t>149497 - 138841 - 138827 - 149498 - 621733 - 965143 - 153635 - 113691 - 789290 - 621732 - 613561 - 160008 - 113671 - 613563 - 149499 - 113647</t>
  </si>
  <si>
    <t>Pin laricio, Pin de Corse</t>
  </si>
  <si>
    <t>718751 - 153634 - 138843 - 113645 - 789223 - 113684 - 718752 - 789303 - 138833 - 149494</t>
  </si>
  <si>
    <t>149496 - 968815 - 113654 - 138831 - 113698 - 138834 - 138828 - 153636 - 113695 - 149495 - 138844 - 153637 - 138842 - 138830</t>
  </si>
  <si>
    <t>Pin de Salzmann</t>
  </si>
  <si>
    <t>149510 - 113760 - 138867 - 138862 - 138860 - 149511 - 113765 - 113764 - 138865 - 138866 - 620175 - 113782 - 810910 - 113780</t>
  </si>
  <si>
    <t>Pois à deux fleurs, Pois élevé</t>
  </si>
  <si>
    <t>138869 - 138861 - 620176 - 149514 - 113759 - 149513 - 113779 - 620177 - 138868 - 149515 - 113770 - 113781 - 138864 - 810957 - 149512</t>
  </si>
  <si>
    <t>Pois cultivé</t>
  </si>
  <si>
    <t>138872 - 113942 - 113829 - 138876 - 113915 - 154973 - 138875 - 113965</t>
  </si>
  <si>
    <t>113928 - 84767 - 149519 - 113979 - 138879 - 113949 - 113830 - 113970 - 620179 - 138878 - 113833 - 149521 - 113839 - 149520 - 113887 - 138881 - 113840 - 620178 - 113918</t>
  </si>
  <si>
    <t>113956 - 138901 - 113895 - 113849 - 113819 - 149542 - 149543 - 620182 - 113923 - 113964</t>
  </si>
  <si>
    <t>138900 - 113930 - 620180 - 149545 - 113884 - 138898 - 138903 - 113985 - 113896 - 149539 - 149544 - 149541 - 138899 - 153640 - 113900 - 113927 - 620181 - 113917 - 113835 - 153641 - 149540</t>
  </si>
  <si>
    <t>Plantain à nombreuses graines, Plantain à graines nombreuses, Plantain intermédiaire</t>
  </si>
  <si>
    <t>113869 - 113814 - 138908 - 620183 - 113973 - 113961 - 113817 - 161940 - 113995</t>
  </si>
  <si>
    <t>Plantain de la serpentine</t>
  </si>
  <si>
    <t>113933 - 113982 - 113922 - 83881 - 113879 - 162384 - 113836 - 149549 - 149551 - 149550 - 138909 - 620184 - 153642</t>
  </si>
  <si>
    <t>620244 - 138999 - 114374 - 621418 - 149751 - 138996 - 149710 - 114350 - 138987 - 114208 - 613638 - 620247 - 138993 - 620240 - 613636 - 138998 - 114356 - 149686 - 149742 - 139000 - 153649 - 149746 - 114285 - 149737 - 149720 - 620245 - 114294 - 620241 - 114156 - 153647 - 114250 - 149734 - 149718 - 613637 - 114140 - 149749 - 138989 - 149740 - 149750 - 138992 - 621419 - 138997 - 114314 - 149727 - 114329</t>
  </si>
  <si>
    <t>139013 - 149805 - 149801 - 149781 - 139006 - 620255 - 932208 - 612546 - 114296 - 149782 - 149589 - 149771 - 620256 - 114143 - 718824 - 620257 - 149806 - 153652 - 149773 - 114305 - 114112 - 620253 - 139008 - 620252 - 139016 - 149776 - 114389 - 149778 - 620254 - 149769 - 114237 - 620258 - 612547 - 149807 - 149591 - 114381 - 149779 - 114379 - 114430 - 139007</t>
  </si>
  <si>
    <t>Pâturin à feuilles étroites</t>
  </si>
  <si>
    <t>149794 - 139010 - 149795 - 149785 - 149787 - 114170 - 153654 - 139012 - 149822 - 139009 - 114120 - 138942 - 114357 - 149790 - 114176 - 149789 - 139015 - 149809 - 620260 - 620264 - 620259 - 114249 - 789365 - 149788 - 149808 - 620261 - 149798 - 139017 - 620265 - 149774 - 149793 - 114391 - 114240 - 149770 - 114138 - 149803 - 620263 - 620262 - 149604 - 114241 - 114165 - 149810 - 149775</t>
  </si>
  <si>
    <t>Pâturin humble, Pâturin à feuilles larges, Pâturin arrosé</t>
  </si>
  <si>
    <t>149863 - 620276 - 149840 - 620275 - 114418 - 149848 - 620270 - 114433 - 114373 - 114376 - 620273 - 612549 - 149844 - 149861 - 149857 - 149846 - 149859 - 620267 - 149835 - 149847 - 620269 - 620274 - 149841 - 149851 - 149838 - 149860 - 620271 - 149866 - 149845 - 149858 - 620268 - 149852 - 114254 - 149867 - 149837 - 149854 - 620277 - 621401 - 149864 - 149836 - 621399 - 620272 - 139022 - 114186 - 149842 - 149843 - 149856 - 114386 - 149862 - 139024 - 149849 - 114310 - 149850 - 149853 - 149816 - 114415 - 149855 - 149839 - 621400 - 114141 - 620278 - 612550</t>
  </si>
  <si>
    <t>139033 - 149876</t>
  </si>
  <si>
    <t>114577 - 153661 - 139069 - 139064 - 139074</t>
  </si>
  <si>
    <t>Polygale oxyptère, Polygala des dunes</t>
  </si>
  <si>
    <t>139066 - 114563 - 149904 - 1006271 - 153669 - 114534 - 114544 - 114533 - 114530 - 114557 - 114565 - 149908 - 149903 - 139065 - 149899 - 139075 - 114581 - 139067 - 1006273 - 114560 - 153670</t>
  </si>
  <si>
    <t>139101 - 114681 - 139091 - 1006288 - 149921 - 114740 - 153675 - 149914 - 149923 - 114792 - 139099 - 773069 - 139086 - 139098 - 773448 - 139107 - 771865 - 139090 - 114706 - 114716 - 149922 - 153676 - 773070 - 773684 - 89874 - 1006286 - 114793 - 149915 - 114736 - 1006308 - 1006307</t>
  </si>
  <si>
    <t>114672 - 153674 - 114738 - 149913 - 139089 - 149919 - 139084 - 149912 - 114835 - 139088 - 114843 - 139096 - 89876 - 114836 - 114782 - 114624 - 114630 - 114655</t>
  </si>
  <si>
    <t>Renouée déprimée, Renouée littorale</t>
  </si>
  <si>
    <t>114861 - 114713 - 153677 - 139103 - 89877 - 114651 - 139106 - 114757</t>
  </si>
  <si>
    <t>Renouée des guérets, Renouée des champs</t>
  </si>
  <si>
    <t>149990 - 115115 - 139169</t>
  </si>
  <si>
    <t>Peuplier à feuilles de bouleau</t>
  </si>
  <si>
    <t>115162 - 1006331 - 139173 - 115155</t>
  </si>
  <si>
    <t>Peuplier noir</t>
  </si>
  <si>
    <t>115567 - 115671 - 150175 - 139230</t>
  </si>
  <si>
    <t>98882 - 115596 - 139257 - 127201 - 150087 - 150085 - 150083 - 115597 - 150086 - 139254 - 139258 - 620318 - 153696 - 150082</t>
  </si>
  <si>
    <t>Potentille pétiolulée</t>
  </si>
  <si>
    <t>115861 - 115847 - 115835 - 139364 - 160192 - 160191 - 139363 - 115904 - 115869 - 139362</t>
  </si>
  <si>
    <t>115831 - 150226 - 115886 - 139394 - 139393 - 115912 - 139353 - 139354</t>
  </si>
  <si>
    <t>Primevère rouge</t>
  </si>
  <si>
    <t>115919 - 115839 - 115879 - 115842 - 139392 - 159987 - 115916 - 139395 - 115844 - 115917 - 115913</t>
  </si>
  <si>
    <t>Brunelle commune, Herbe au charpentier</t>
  </si>
  <si>
    <t>Ptéridie aigle, Ptéridium aigle, Fougère aigle, Porte-aigle</t>
  </si>
  <si>
    <t>139476 - 116369</t>
  </si>
  <si>
    <t>Puccinellie distante, Atropis distant, Atropide distante</t>
  </si>
  <si>
    <t>139498 - 620367</t>
  </si>
  <si>
    <t>Pulmonaire du Jura</t>
  </si>
  <si>
    <t>620370 - 82634 - 718207 - 620371 - 131389 - 116449 - 116438 - 139512 - 612554 - 612553 - 131388 - 82631 - 143519 - 150338 - 139515 - 150339 - 621293 - 718208</t>
  </si>
  <si>
    <t>Pulsatille des Alpes, Anémone des Alpes, Anémone blanche</t>
  </si>
  <si>
    <t>116536 - 139531 - 150361 - 116532 - 613125</t>
  </si>
  <si>
    <t>139536 - 139544 - 116570 - 614974 - 139539 - 139545 - 116571 - 116613 - 150374 - 139552 - 116575 - 150364 - 139537 - 116601 - 116600 - 139553 - 153778 - 985145 - 153777 - 116556</t>
  </si>
  <si>
    <t>Poirier sauvage, Aigrin</t>
  </si>
  <si>
    <t>116764 - 1010400 - 1010393 - 116768 - 116769 - 1010337 - 116664 - 139584 - 116777 - 116685 - 139587 - 139597 - 116713 - 139583 - 116726 - 116667</t>
  </si>
  <si>
    <t>Chêne sessile, Chêne rouvre, Chêne à trochets, Chêne des pierriers, Chêne mâle</t>
  </si>
  <si>
    <t>150410 - 153790 - 139609 - 139608 - 139612 - 620388 - 117232 - 117273 - 117033 - 150415 - 117134 - 117086 - 139810 - 139607 - 139611 - 153789 - 150416</t>
  </si>
  <si>
    <t>Renoncule de Fries</t>
  </si>
  <si>
    <t>117069 - 150461 - 150457 - 117084 - 139708 - 150455 - 139706 - 161216 - 150462 - 150459 - 116956 - 150458 - 98734 - 150456</t>
  </si>
  <si>
    <t>139702 - 85662 - 132093 - 150437 - 139726 - 139675 - 117110 - 150435 - 139618 - 116941 - 85644 - 150436 - 85636 - 117034 - 132086 - 139770 - 116987 - 117039 - 85635 - 117080 - 85671 - 139716</t>
  </si>
  <si>
    <t>Renoncule de Baudot</t>
  </si>
  <si>
    <t>139774 - 117064 - 117035 - 117269 - 85654 - 117219 - 139636 - 117214 - 139771 - 139624 - 132087 - 117107 - 85679</t>
  </si>
  <si>
    <t>Renoncule faux fucus, Renoncule blanche</t>
  </si>
  <si>
    <t>153800 - 150451 - 117085 - 117026 - 139638 - 117099 - 139623 - 117006 - 85683 - 117003 - 132085 - 85640 - 150427 - 117011 - 620416 - 150418 - 132095 - 153806 - 117095 - 139772 - 150453 - 150452 - 132084 - 153807 - 116998 - 139621 - 85645</t>
  </si>
  <si>
    <t>116961 - 139626 - 150508 - 139775 - 117148</t>
  </si>
  <si>
    <t>139720 - 117264 - 150507 - 85659 - 139773 - 153803 - 139776 - 139632 - 117184 - 116959 - 153808 - 620417 - 139633 - 620418</t>
  </si>
  <si>
    <t>Fausse renoncule flottante, Renoncule en pinceau fausse renoncule flottante</t>
  </si>
  <si>
    <t>762345 - 139802</t>
  </si>
  <si>
    <t>153854 - 139815 - 161211 - 132097 - 161214 - 139817 - 139816 - 150530 - 85648 - 85647 - 117005 - 139828</t>
  </si>
  <si>
    <t>139841 - 150541 - 150542 - 150543 - 150539 - 161355</t>
  </si>
  <si>
    <t>139846 - 117379 - 1002427 - 92435 - 121593 - 117396 - 117388 - 153865 - 117389 - 117384 - 117371 - 117381 - 117383 - 108945 - 117370 - 150550 - 969008 - 86978 - 139849 - 108940 - 139847 - 150549</t>
  </si>
  <si>
    <t>Rapistre d'Orient</t>
  </si>
  <si>
    <t>161617 - 117490 - 117440 - 150557 - 150558 - 150556 - 139856 - 117487 - 150555 - 150554 - 139857 - 117447</t>
  </si>
  <si>
    <t>Réséda jaune</t>
  </si>
  <si>
    <t>139873 - 984958</t>
  </si>
  <si>
    <t>118918 - 140175 - 118912 - 161804 - 150985 - 118909</t>
  </si>
  <si>
    <t>140321 - 119608 - 153925 - 79848 - 620551 - 965829 - 151011 - 140337 - 140334</t>
  </si>
  <si>
    <t>140362 - 119527 - 140364 - 119524 - 151020 - 119575 - 119574 - 119488 - 119580 - 119539 - 151022</t>
  </si>
  <si>
    <t>Patience crépue, Oseille crépue, Parelle crépue, Rumex crépu</t>
  </si>
  <si>
    <t>140370 - 140369 - 119424 - 119426 - 119586 - 104971 - 119570 - 140344 - 119483 - 104960 - 119573 - 119554 - 140371 - 140373 - 104938 - 119493</t>
  </si>
  <si>
    <t>151036 - 140374 - 151026</t>
  </si>
  <si>
    <t>Patience changeante, Oseille changeante</t>
  </si>
  <si>
    <t>119529 - 140383 - 119577 - 104947 - 119478 - 104970 - 119600</t>
  </si>
  <si>
    <t>119788 - 1014086 - 1014088 - 1014089 - 119783 - 161669 - 1014092 - 1014085 - 119779 - 140411 - 1014082 - 1014084 - 140417 - 1014096 - 119806 - 1014078 - 119834 - 119785 - 119823 - 119801 - 1014091 - 119787 - 119796 - 1014083 - 1014087 - 140415 - 140410 - 119792 - 161668 - 140418 - 119816 - 1014093</t>
  </si>
  <si>
    <t>140414 - 1014079 - 119809 - 999856</t>
  </si>
  <si>
    <t>Sagine dressée</t>
  </si>
  <si>
    <t>151112 - 120112 - 140478 - 120234 - 120021 - 120032</t>
  </si>
  <si>
    <t>Saule rampant</t>
  </si>
  <si>
    <t>120212 - 151110 - 159467 - 120199 - 161312 - 120072 - 120269 - 140479 - 153940</t>
  </si>
  <si>
    <t>Saule à feuilles de romarin</t>
  </si>
  <si>
    <t>120635 - 140501 - 99633 - 151149 - 140527 - 140509</t>
  </si>
  <si>
    <t>Sauge clandestine</t>
  </si>
  <si>
    <t>140539 - 151160</t>
  </si>
  <si>
    <t>140569 - 120831 - 151187 - 120822</t>
  </si>
  <si>
    <t>121048 - 121030 - 140616 - 121087</t>
  </si>
  <si>
    <t>Saxifrage robuste</t>
  </si>
  <si>
    <t>121186 - 140687 - 140619 - 121016 - 151234 - 140686 - 140609 - 121038 - 121148 - 121192 - 140610 - 121165 - 121015 - 140620 - 121095 - 120964</t>
  </si>
  <si>
    <t>Saxifrage de Sternberg, Saxifrage rhénane</t>
  </si>
  <si>
    <t>140780 - 140786 - 620645 - 121822 - 121824 - 121840</t>
  </si>
  <si>
    <t>Scléranthe polycarpe, Scléranthe à fruits nombreux</t>
  </si>
  <si>
    <t>121836 - 121849 - 151317 - 140791 - 121842 - 140783 - 140785 - 140795 - 121845 - 140797 - 140796 - 620647 - 121830 - 620644 - 140790 - 121843 - 620646 - 121844 - 121826 - 140787 - 121828</t>
  </si>
  <si>
    <t>Scléranthe verticillé</t>
  </si>
  <si>
    <t>151318 - 140793 - 121833 - 121831</t>
  </si>
  <si>
    <t>140807 - 151339 - 151338 - 140809 - 121955 - 121938 - 153967</t>
  </si>
  <si>
    <t>Scorsonère fausse asphodèle, Scorsonère à feuilles de guède</t>
  </si>
  <si>
    <t>126826 - 122037 - 122053 - 620650 - 121998 - 122026 - 151350 - 122054 - 122018 - 140822 - 122033</t>
  </si>
  <si>
    <t>122008 - 151349 - 151352 - 140828 - 140824 - 140823 - 122016 - 122014 - 140825</t>
  </si>
  <si>
    <t>Scrofulaire de Hoppe, Scrofulaire du Jura</t>
  </si>
  <si>
    <t>122039 - 140827</t>
  </si>
  <si>
    <t>Scrofulaire très rameuse, Scrophulaire rameuse</t>
  </si>
  <si>
    <t>122058 - 155067 - 140815 - 122035 - 154541 - 122041 - 620651 - 620652 - 122009 - 140831 - 122043 - 140816 - 122059 - 151347 - 121997 - 154651 - 122006 - 122010 - 122040 - 140834 - 140820</t>
  </si>
  <si>
    <t>Scrofulaire des lieux ombragés, Herbe aux écrouelles, scrofulaire ailée</t>
  </si>
  <si>
    <t>122542 - 140979</t>
  </si>
  <si>
    <t>Séneçon alpestre</t>
  </si>
  <si>
    <t>153987 - 122667 - 122717 - 140994</t>
  </si>
  <si>
    <t>Séneçon commun</t>
  </si>
  <si>
    <t>149210 - 151669 - 141067 - 620701 - 112227 - 123116 - 112118 - 151668 - 141058 - 123124 - 112149 - 123144 - 145464 - 149213 - 151667</t>
  </si>
  <si>
    <t>Sétaire dense</t>
  </si>
  <si>
    <t>123309 - 151705 - 123275 - 123200 - 123339 - 123269 - 151720 - 123268 - 98791 - 123245 - 123265 - 151704 - 123314 - 151713 - 123312 - 123279 - 151716 - 123267 - 151718 - 123323 - 123290 - 151714 - 123266 - 151712 - 123242 - 141081 - 123246 - 123300 - 123286 - 141090 - 123324 - 151737 - 123305 - 151723 - 123306 - 123213 - 151715 - 123331 - 151739 - 151738</t>
  </si>
  <si>
    <t>93524 - 151771 - 613811 - 151824 - 621464 - 613812 - 151772 - 151770 - 141179 - 141182 - 123419 - 123510 - 613610 - 93506 - 123622 - 151823 - 151817 - 151818 - 151815 - 141183 - 151814 - 123489</t>
  </si>
  <si>
    <t>141205 - 85696 - 141135 - 109778 - 123447 - 123495 - 138114</t>
  </si>
  <si>
    <t>Silène variable</t>
  </si>
  <si>
    <t>138115 - 110087 - 141138 - 109781 - 123685 - 161642 - 141212 - 151776 - 141119 - 141153 - 141196 - 161643 - 123491 - 141215 - 123540 - 141210 - 141156 - 151781 - 93509 - 141137 - 154010 - 141216 - 154007 - 614155 - 109779 - 141197 - 620724 - 138118 - 141207</t>
  </si>
  <si>
    <t>Silène prostré, Silène couché</t>
  </si>
  <si>
    <t>151802 - 123657 - 154009 - 141136 - 154012 - 154013 - 161640 - 138116 - 113339 - 151803 - 161621 - 620730 - 141208 - 151784 - 141157 - 93503 - 141134 - 123684 - 138113 - 123575 - 93505 - 620726 - 93486 - 123460 - 161638 - 93484 - 161641 - 93501 - 123604 - 123673 - 151780 - 123415 - 151778 - 151782 - 109776 - 620728 - 161636 - 110088 - 161637 - 151837 - 109780 - 154008 - 123421 - 123520 - 620727 - 620729 - 123674 - 141159 - 141214 - 141160 - 123389 - 93485 - 1009985 - 159989 - 141204 - 123388 - 93483</t>
  </si>
  <si>
    <t>109398 - 141230 - 612558 - 141231</t>
  </si>
  <si>
    <t>123815 - 151860 - 123851 - 123900 - 151863 - 123826 - 151864 - 141250 - 123874 - 154027 - 86444 - 151865 - 123814 - 141247 - 151862 - 123918</t>
  </si>
  <si>
    <t>620745 - 620746 - 613612 - 124017 - 151891 - 141274 - 141265 - 124053 - 124083 - 151896 - 124021 - 154029 - 151892 - 141282 - 151901 - 161802 - 124084 - 151890 - 620747 - 141273 - 141267 - 124078 - 620749 - 620752 - 124063 - 124079 - 124033 - 151893 - 124077 - 141266 - 620750 - 141272 - 151903 - 620748 - 124135 - 124117 - 124045 - 935121 - 620751 - 151899 - 141269 - 620753 - 141263 - 151900</t>
  </si>
  <si>
    <t>151898 - 141275 - 124111 - 124029</t>
  </si>
  <si>
    <t>Morelle de Schultes</t>
  </si>
  <si>
    <t>124137 - 141260 - 154028 - 124012 - 141280 - 151887 - 141264 - 124131 - 141281 - 151889 - 124100 - 141271 - 141279 - 124076 - 620754 - 151895 - 141283 - 151888</t>
  </si>
  <si>
    <t>Morelle vermillon, Morelle ailée</t>
  </si>
  <si>
    <t>141268 - 141284 - 159957 - 124130</t>
  </si>
  <si>
    <t>124183 - 151920 - 151918 - 124172 - 154032 - 151913 - 151917 - 151912 - 151914 - 154034 - 124155 - 84680 - 124166 - 154030 - 124161 - 154037 - 124189 - 124163 - 611925 - 124181 - 141296 - 154031 - 124157</t>
  </si>
  <si>
    <t>Solidage très petit, Petite verge-d'or, Verge-d'or alpestre, Solidage alpestre</t>
  </si>
  <si>
    <t>141295 - 151919 - 124195 - 141297 - 141298 - 124178 - 124186 - 124188 - 154039 - 154038 - 141299</t>
  </si>
  <si>
    <t>141303 - 124280</t>
  </si>
  <si>
    <t>Laiteron des fanges, Laiteron des marécages</t>
  </si>
  <si>
    <t>124275 - 124265 - 124262 - 124244 - 124243 - 141304 - 124242 - 124246</t>
  </si>
  <si>
    <t>Laiteron rude, Laiteron piquant</t>
  </si>
  <si>
    <t>160444 - 160442 - 160443 - 141317 - 616639</t>
  </si>
  <si>
    <t>1011423 - 141418 - 613613</t>
  </si>
  <si>
    <t>124998 - 141461 - 141459 - 141458 - 125017 - 152051 - 103151 - 152050</t>
  </si>
  <si>
    <t>Stellaire des montagnes, Stellaire à graines barbues</t>
  </si>
  <si>
    <t>125034 - 141462</t>
  </si>
  <si>
    <t>117414 - 125843 - 141540 - 108382 - 125841</t>
  </si>
  <si>
    <t>141543 - 161062</t>
  </si>
  <si>
    <t>122623 - 91243 - 91233 - 141546 - 122641 - 122551 - 122682 - 122639</t>
  </si>
  <si>
    <t>936003 - 152113 - 154098 - 154109 - 126087 - 935993 - 141627 - 126071 - 126165 - 126116 - 126199 - 141609 - 126151 - 126195 - 935999 - 936151 - 154111 - 936154 - 126207 - 126080 - 154110 - 126158 - 126175 - 126179 - 126178 - 154114 - 141628 - 126205 - 126231 - 126119 - 126128 - 154097 - 935991 - 935825 - 936116 - 141612 - 126160 - 126107 - 936000 - 126122 - 141614 - 154094 - 620908 - 126094 - 154096 - 141615 - 154095 - 141608 - 126216 - 126129 - 126095 - 152112 - 936001 - 126121 - 154107 - 160469 - 154104 - 126220 - 154102 - 719193 - 936161 - 620907 - 141624 - 620905 - 126189 - 935992 - 126102 - 126139 - 141620 - 141611 - 126238 - 126093 - 141626 - 126082 - 126197 - 126226 - 620906 - 126112 - 126115 - 141617 - 141631 - 154112 - 126079 - 154092 - 936002 - 126192 - 141616 - 154108 - 154103 - 126228 - 126182 - 141630 - 126138 - 126234 - 141629</t>
  </si>
  <si>
    <t>Pigamon des rochers, Petit pigamon des rochers, Pigamon du mont Olympe</t>
  </si>
  <si>
    <t>141585 - 152106 - 126130 - 141636 - 152105 - 154076</t>
  </si>
  <si>
    <t>Pigamon faux gaillet</t>
  </si>
  <si>
    <t>154589 - 154654 - 106266 - 126308 - 141645 - 126296 - 126294 - 155064</t>
  </si>
  <si>
    <t>Thésion divariqué, Thésium divariqué</t>
  </si>
  <si>
    <t>126293 - 126290 - 141650 - 126297</t>
  </si>
  <si>
    <t>126468 - 125078 - 620912 - 141688 - 126456 - 141689 - 105903 - 126475</t>
  </si>
  <si>
    <t>Thymélée pubescente, Passerine de Gussone</t>
  </si>
  <si>
    <t>620928 - 141737 - 160188 - 154140 - 141709 - 141729 - 141705 - 141707 - 620927 - 154936</t>
  </si>
  <si>
    <t>620930 - 1012168 - 126520 - 126557 - 122910 - 141741 - 126518 - 141718 - 141740 - 126561 - 141742 - 126521</t>
  </si>
  <si>
    <t>126635 - 126622 - 126642 - 161015 - 141767 - 141763 - 126629 - 620934 - 126624 - 141766 - 126649</t>
  </si>
  <si>
    <t>Tilleul à feuilles cordées</t>
  </si>
  <si>
    <t>141793 - 789284</t>
  </si>
  <si>
    <t>126863 - 141797 - 126858 - 154144 - 126874 - 132864 - 105013 - 122364 - 141798 - 126848 - 620938 - 126852 - 126870</t>
  </si>
  <si>
    <t>Torilide  négligée, Torilis négligé</t>
  </si>
  <si>
    <t>141819 - 162455 - 127022</t>
  </si>
  <si>
    <t>Salsifis mineur, Petit salsifis</t>
  </si>
  <si>
    <t>141818 - 127021 - 620946 - 127015 - 127047 - 154146 - 127024 - 141820 - 127039 - 127030 - 127032 - 127031 - 127023 - 127018 - 127038</t>
  </si>
  <si>
    <t>Salsifis d'Orient</t>
  </si>
  <si>
    <t>141821 - 127016 - 127034 - 127040</t>
  </si>
  <si>
    <t>159933 - 141823 - 151300 - 127192 - 141824</t>
  </si>
  <si>
    <t>141825 - 140763 - 127194 - 121715 - 85478 - 132056</t>
  </si>
  <si>
    <t>Trichophore d'Allemagne, Souchet d'Allemagne, Scirpe d'allemagne</t>
  </si>
  <si>
    <t>141838 - 127249</t>
  </si>
  <si>
    <t>127255 - 141859 - 127240 - 127385 - 141849 - 127344 - 127306 - 141860 - 127305</t>
  </si>
  <si>
    <t>141861 - 141916 - 152181</t>
  </si>
  <si>
    <t>127413 - 141876 - 127465 - 141877 - 152191 - 152189 - 127238</t>
  </si>
  <si>
    <t>141905 - 152228</t>
  </si>
  <si>
    <t>141949 - 144123</t>
  </si>
  <si>
    <t>127734 - 141976 - 127697 - 141977 - 141973 - 124490 - 141957 - 127846 - 127807 - 127724 - 127696</t>
  </si>
  <si>
    <t>Blé épeautre, Épeautre, Grand épeautre</t>
  </si>
  <si>
    <t>127694 - 127731 - 141955 - 127834 - 141978 - 127806 - 127747 - 127702 - 141980 - 127706 - 127790 - 127710 - 127717 - 141956 - 155017 - 127727 - 141972 - 127783</t>
  </si>
  <si>
    <t>Blé dur, Blé d'Afrique</t>
  </si>
  <si>
    <t>127920 - 127955 - 127933 - 620974 - 142006 - 127968 - 142004 - 127969 - 127967 - 142002 - 142005 - 141994 - 127936</t>
  </si>
  <si>
    <t>Tulipa sylvestris subsp. sylvestris</t>
  </si>
  <si>
    <t>128293 - 128275 - 154174 - 128282 - 152317 - 142037 - 128276 - 128284 - 128287 - 142039</t>
  </si>
  <si>
    <t>128260 - 142038 - 128271</t>
  </si>
  <si>
    <t>Ortie à feuilles de galéopsis, Ortie à feuilles de galéopside</t>
  </si>
  <si>
    <t>142047 - 152328 - 128353 - 771689 - 773601 - 152327 - 128341</t>
  </si>
  <si>
    <t>Airelle à petites feuilles</t>
  </si>
  <si>
    <t>128569 - 142110 - 152376 - 128604 - 126252 - 105417 - 152375 - 142108 - 142107 - 128610 - 128561</t>
  </si>
  <si>
    <t>Molène des montagnes</t>
  </si>
  <si>
    <t>142129 - 142162 - 142160 - 142161 - 128883 - 621010 - 142159 - 142158 - 128796 - 154183 - 128805 - 1012372</t>
  </si>
  <si>
    <t>Véronique couchée</t>
  </si>
  <si>
    <t>773318 - 142164</t>
  </si>
  <si>
    <t>142170 - 985141</t>
  </si>
  <si>
    <t>621020 - 129204 - 129285 - 129331 - 130093 - 129354 - 142212 - 152453 - 129229 - 103221 - 129215 - 129193 - 152454 - 129192</t>
  </si>
  <si>
    <t>108659 - 789154 - 152514 - 152513 - 985319 - 621030 - 129550 - 142301 - 152508 - 142300 - 142302 - 129498 - 152511 - 142410 - 152510 - 152509 - 142299 - 129579</t>
  </si>
  <si>
    <t>161009 - 161008 - 142385 - 152517 - 152518 - 129562 - 142305</t>
  </si>
  <si>
    <t>129625 - 129675 - 129488 - 142318 - 152546 - 142354 - 142390 - 129727 - 152522 - 142312 - 152526 - 129686 - 142317</t>
  </si>
  <si>
    <t>Violette de Rupp, Violette des collines, Violette des montagnes</t>
  </si>
  <si>
    <t>152591 - 152572 - 108657 - 142347 - 152594 - 142346 - 616924 - 129708 - 108663 - 142348 - 142345 - 129724</t>
  </si>
  <si>
    <t>129519 - 142431 - 129679 - 142432 - 142379 - 108662 - 152567 - 129616 - 129681 - 129673 - 142421 - 129496 - 142405 - 129564 - 154216 - 154218 - 129606 - 152589 - 142404 - 152582 - 142436 - 142420 - 108654 - 152543 - 152541 - 152568 - 152571 - 129559 - 152544 - 129497 - 129871 - 152578 - 152575 - 129635 - 129626 - 969335</t>
  </si>
  <si>
    <t>Violette des rochers, Pensée des rochers</t>
  </si>
  <si>
    <t>25 - 39 - 58 - 70</t>
  </si>
  <si>
    <t>129605 - 108665 - 129734 - 1012383 - 142433 - 129732 - 152599 - 1012408 - 129518</t>
  </si>
  <si>
    <t>152607 - 142439 - 129905 - 152605 - 152608 - 142446 - 142438 - 152606 - 152613</t>
  </si>
  <si>
    <t>Gui du sapin, Gui des sapins</t>
  </si>
  <si>
    <t>124959 - 152610 - 152612 - 142444 - 142440</t>
  </si>
  <si>
    <t>142451 - 129964</t>
  </si>
  <si>
    <t>Vigne sylvestre, Lambrusque, Vigne sauvage</t>
  </si>
  <si>
    <t>142452 - 129924 - 129935 - 129953 - 129930 - 129931 - 129923 - 129937 - 129936 - 129952 - 142450 - 129922</t>
  </si>
  <si>
    <t>Vigne cultivée, Vigne</t>
  </si>
  <si>
    <t>146630 - 146675 - 146685 - 152618 - 146682 - 152621 - 142460 - 146660 - 146629 - 152620 - 146684</t>
  </si>
  <si>
    <t>142987 - 142907 - 142964 - 80692 - 130982 - 142806</t>
  </si>
  <si>
    <t>Agrostide stolonifère, Traînasse, Agrostis stolonifère</t>
  </si>
  <si>
    <t>Anthrisque caucalide, Anthrisque commun</t>
  </si>
  <si>
    <t>152788 - 143975</t>
  </si>
  <si>
    <t>Doradille noire, Capillaire noir</t>
  </si>
  <si>
    <t>984450 - 132074 - 144242 - 85549 - 152816</t>
  </si>
  <si>
    <t>Barbarée des rivages</t>
  </si>
  <si>
    <t>144238 - 152815 - 132067 - 161178 - 132068 - 85527 - 144243</t>
  </si>
  <si>
    <t>Barbarée commune, Herbe de Sainte-Barbe</t>
  </si>
  <si>
    <t>147969 - 85632 - 132083 - 104585 - 137019 - 618868 - 618867 - 144251 - 144252 - 132082 - 104594</t>
  </si>
  <si>
    <t>Bassie à balais, Bassie à fleurs denses, Kochie à fleurs denses</t>
  </si>
  <si>
    <t>132191 - 86398 - 960533 - 86434 - 144381 - 144382 - 132201 - 144389 - 132198</t>
  </si>
  <si>
    <t>Chou-navet</t>
  </si>
  <si>
    <t>144391 - 613829 - 144384 - 152851 - 446632 - 613828</t>
  </si>
  <si>
    <t>Chou, Chou cabu, Chou pommé, Chou rouge</t>
  </si>
  <si>
    <t>117330 - 86353 - 132193 - 132219 - 97166 - 144395 - 86348 - 144396 - 123890 - 132216 - 132214 - 86397 - 144369 - 86408 - 86449 - 161295</t>
  </si>
  <si>
    <t>Navette d'été</t>
  </si>
  <si>
    <t>Bunium noix de terre</t>
  </si>
  <si>
    <t>144857 - 144859 - 971475 - 144855 - 87055 - 132355 - 144863 - 618937 - 152866 - 132341 - 161456</t>
  </si>
  <si>
    <t>Buplèvre à feuilles de Graminée</t>
  </si>
  <si>
    <t>Petite-centaurée commune, Érythrée petite-centaurée, Petite-centaurée érythrée, Érythrée</t>
  </si>
  <si>
    <t>93899 - 153036 - 93916 - 145855 - 94030 - 93902 - 133604 - 94024 - 94018 - 93972</t>
  </si>
  <si>
    <t>Souchet comestible, Souchet doré</t>
  </si>
  <si>
    <t>93939 - 93941 - 94008 - 93907 - 93996 - 93935 - 145857 - 93945 - 93981</t>
  </si>
  <si>
    <t>Souchet à épi mince</t>
  </si>
  <si>
    <t>Cystoptéride fragile, Cystoptéris fragile, Capillaire blanc</t>
  </si>
  <si>
    <t>146305 - 134006 - 95678 - 112240</t>
  </si>
  <si>
    <t>Échinochloa à petits épis, Panic à petits épis, Échinochloé à petits épis</t>
  </si>
  <si>
    <t>Échinochloa épineux, Panic épineux, Échinochloé épineux</t>
  </si>
  <si>
    <t>147897 - 772750 - 771712</t>
  </si>
  <si>
    <t>137282 - 148200 - 148202 - 162363 - 105982 - 105978 - 137281 - 153430</t>
  </si>
  <si>
    <t>Lis safrané, Lis faux safran</t>
  </si>
  <si>
    <t>148436 - 613618</t>
  </si>
  <si>
    <t>Lotier maritime, Tétragonolobe maritime</t>
  </si>
  <si>
    <t>148552 - 153480 - 137637 - 148550 - 107598</t>
  </si>
  <si>
    <t>Luzerne lupuline</t>
  </si>
  <si>
    <t>148553 - 137641 - 137690</t>
  </si>
  <si>
    <t>Luzerne de Willdenow</t>
  </si>
  <si>
    <t>154438 - 148576</t>
  </si>
  <si>
    <t>113326 - 113325 - 149441 - 81291</t>
  </si>
  <si>
    <t>Coqueret alkékenge</t>
  </si>
  <si>
    <t>149442 - 113324</t>
  </si>
  <si>
    <t>Coqueret de Franchet</t>
  </si>
  <si>
    <t>113852 - 149532 - 138891</t>
  </si>
  <si>
    <t>149536 - 138894 - 113824 - 113966 - 113967</t>
  </si>
  <si>
    <t>113981 - 104824 - 149537</t>
  </si>
  <si>
    <t>149611 - 719115</t>
  </si>
  <si>
    <t>Pâturin annuel rampant</t>
  </si>
  <si>
    <t>149631 - 149632 - 114334 - 114177 - 138964 - 620213</t>
  </si>
  <si>
    <t>Pâturin bulbeux vivipare, Pâturin vivipare</t>
  </si>
  <si>
    <t>149993 - 115150 - 115116 - 139174 - 149992 - 115139 - 115127 - 115124 - 149991 - 115149 - 115151</t>
  </si>
  <si>
    <t>Peuplier noir d’Italie</t>
  </si>
  <si>
    <t>116027 - 139423 - 150261 - 133163 - 139422 - 153711 - 116028 - 153712 - 150263 - 90140 - 133159</t>
  </si>
  <si>
    <t>Cerisier acide</t>
  </si>
  <si>
    <t>150265 - 90144 - 116051</t>
  </si>
  <si>
    <t>Griottier, Cerisier griottier</t>
  </si>
  <si>
    <t>Prunier cerisier, Cerisier vrai</t>
  </si>
  <si>
    <t>116167 - 116160 - 153767 - 150303 - 153770 - 150305 - 153768 - 116168 - 116169 - 116162 - 139455 - 116156 - 153769</t>
  </si>
  <si>
    <t>Prunier arbustif, Prunellier à gros fruits, Épine noire hybride</t>
  </si>
  <si>
    <t>145468 - 149203 - 123110 - 123120 - 123155 - 151627 - 90363 - 141061 - 154553 - 151658 - 141064 - 620700 - 112128 - 123104 - 151646 - 112090 - 123157</t>
  </si>
  <si>
    <t>Sétaire ambiguë</t>
  </si>
  <si>
    <t>151651 - 151648 - 149205 - 151654 - 151653 - 149206 - 151649 - 149207 - 151657 - 149204 - 151652 - 151647 - 149181 - 151650 - 151656</t>
  </si>
  <si>
    <t>Sétaire verticillée</t>
  </si>
  <si>
    <t>160153 - 107824 - 620711 - 151787 - 161661 - 154436 - 148623 - 92509 - 123637 - 620708 - 106943 - 151786 - 620712 - 137716 - 107821 - 141141 - 148624 - 107816 - 137717 - 106949 - 620710 - 161662</t>
  </si>
  <si>
    <t>125327 - 152065 - 125326 - 152064 - 951973 - 998292</t>
  </si>
  <si>
    <t>Symphorine lisse</t>
  </si>
  <si>
    <t>152082 - 937733 - 719373 - 719367 - 719403</t>
  </si>
  <si>
    <t>141644 - 154119 - 152118</t>
  </si>
  <si>
    <t>Thésion à feuilles étroites, Thésion des Alpes à feuilles étroites, Thésium à feuilles étroites</t>
  </si>
  <si>
    <t>141839 - 152166 - 152163 - 152167 - 127327 - 127462 - 154149</t>
  </si>
  <si>
    <t>Trèfle des champs grêle, Trèfle grêle</t>
  </si>
  <si>
    <t>127393 - 127215 - 141919 - 141862 - 154151 - 152180 - 127406 - 152182 - 127493</t>
  </si>
  <si>
    <t>Trèfle de Molineri</t>
  </si>
  <si>
    <t>154157 - 152213 - 141895 - 141894 - 127430 - 127251 - 141909 - 154159 - 152214 - 127467</t>
  </si>
  <si>
    <t>Trèfle violet cultivé, Trèfle des prés tardif, Trèfle des prés cultivé</t>
  </si>
  <si>
    <t>Trèfle des prés</t>
  </si>
  <si>
    <t>127399 - 127445 - 141901 - 154160 - 127446 - 969330 - 82148 - 127377 - 127239 - 141899 - 141897 - 152221</t>
  </si>
  <si>
    <t>Trèfle de Biasoletto, Trèfle rampant de Biasoletto, Trèfle prostré</t>
  </si>
  <si>
    <t>141896 - 152226</t>
  </si>
  <si>
    <t>152243 - 152246 - 141926 - 152247</t>
  </si>
  <si>
    <t>Amaranthe blette émarginée, Amarante émarginée</t>
  </si>
  <si>
    <t>Merisier vrai, Prunier des oiseaux, Cerisier des bois, Merisier, Prunier merisier</t>
  </si>
  <si>
    <t>97229 - 154843 - 97262 - 97194 - 146538 - 153137 - 146539 - 811174 - 97177 - 97188 - 97263 - 97276 - 154841 - 162109 - 134302 - 162108 - 146541 - 146540</t>
  </si>
  <si>
    <t>Vélar du Roussillon, Vélar de Provence</t>
  </si>
  <si>
    <t>124657 - 124645 - 155051 - 954177 - 124655 - 124643 - 124667 - 124633 - 124644 - 124637 - 124642 - 155050</t>
  </si>
  <si>
    <t>Spirée à feuilles obovales, Spirée à feuilles de millepertuis, Petit mai</t>
  </si>
  <si>
    <t>5788 - 787963 - 812016 - 5787 - 159445</t>
  </si>
  <si>
    <t>Hypne brillante</t>
  </si>
  <si>
    <t>159536 - 154284</t>
  </si>
  <si>
    <t>Angélique sylvestre, Angélique des bois, Angélique sauvage</t>
  </si>
  <si>
    <t>719220 - 159542</t>
  </si>
  <si>
    <t>Arabette des forêts</t>
  </si>
  <si>
    <t>87280 - 87290 - 154310 - 94686 - 87255 - 87265 - 143925 - 154308 - 87243 - 154306 - 154748 - 94677 - 84199 - 87272 - 87249 - 87238 - 154747 - 789196 - 159574 - 154309 - 133808 - 84219 - 87246 - 618946 - 87241 - 94674 - 87252 - 143926 - 618945 - 87204</t>
  </si>
  <si>
    <t>Calamagrostide négligée, Calamagrostide raide, Calamagrostis négligé</t>
  </si>
  <si>
    <t>161182 - 90603 - 97179 - 978726 - 159654 - 159652</t>
  </si>
  <si>
    <t>Vélar de la Sierra Nevada</t>
  </si>
  <si>
    <t>619553 - 100396 - 619554 - 788975 - 114256 - 114316 - 619552 - 100397 - 114387 - 159690 - 154465 - 154994 - 159769 - 100403 - 114266 - 772904 - 112084 - 773345 - 86480 - 135105 - 114397 - 619551 - 114298</t>
  </si>
  <si>
    <t>Glycerie striée</t>
  </si>
  <si>
    <t>Spirée à feuilles de millepertuis</t>
  </si>
  <si>
    <t>621251 - 149783 - 149799 - 114425 - 149772 - 114429 - 621248 - 149812 - 114328 - 114278 - 114341 - 114326 - 114113 - 139011 - 114272 - 149804 - 114235 - 114420 - 114311 - 621250 - 114134 - 138941 - 621245 - 114185 - 114313 - 149797 - 621246 - 114393 - 149792 - 159892 - 149802 - 114238 - 149796 - 149800 - 149780 - 114239 - 114122 - 149777 - 621244 - 149811 - 773305 - 149784 - 138944 - 139014 - 149791 - 114293 - 138943 - 114317 - 621247</t>
  </si>
  <si>
    <t>719107 - 159899</t>
  </si>
  <si>
    <t>Pruche du Canada, Tsuga du Canada</t>
  </si>
  <si>
    <t>621343 - 159900 - 621345 - 621346 - 621344</t>
  </si>
  <si>
    <t>Pin de Banks</t>
  </si>
  <si>
    <t>772304 - 961538 - 772305 - 773485 - 772302 - 773772 - 772299 - 961537 - 773487 - 773486 - 773560 - 772310 - 773769 - 772282 - 773488 - 162481 - 161453 - 772306 - 162480 - 161452 - 772291 - 773490 - 772309 - 772301 - 772292 - 159937 - 773561 - 772308 - 92502 - 772300 - 159939 - 772303 - 773489 - 772307</t>
  </si>
  <si>
    <t>Cornouiller soyeux, Cornouiller stolonifère</t>
  </si>
  <si>
    <t>Trèfle d'Alexandrie</t>
  </si>
  <si>
    <t>160249 - 160247 - 160246 - 160248</t>
  </si>
  <si>
    <t>Vernis du Japon</t>
  </si>
  <si>
    <t>Consoude du Caucase</t>
  </si>
  <si>
    <t>107803 - 947750 - 160460 - 947812 - 154623 - 160459 - 137700 - 137699 - 107802</t>
  </si>
  <si>
    <t>Mélampyre de Catalogne, Mélampyre du Pays de Vaud</t>
  </si>
  <si>
    <t>Genévrier à drupes</t>
  </si>
  <si>
    <t>Micocoulier d'Occident</t>
  </si>
  <si>
    <t>Gainier du Canada</t>
  </si>
  <si>
    <t>126666 - 161014 - 141771 - 141770 - 126676 - 126670</t>
  </si>
  <si>
    <t>Tilleul d'Europe, Tilleul commun, Tilleul intermédiaire</t>
  </si>
  <si>
    <t>Morelle douce-amère</t>
  </si>
  <si>
    <t>Centaurée jacée, Tête de moineau, Ambrette</t>
  </si>
  <si>
    <t>161479 - 621256 - 161480</t>
  </si>
  <si>
    <t>Nonnée jaune</t>
  </si>
  <si>
    <t>Chalef à fleurs nombreuses</t>
  </si>
  <si>
    <t>81688 - 81789 - 83663 - 83674 - 161674 - 124535 - 83594 - 108619</t>
  </si>
  <si>
    <t>Minuartie dressée, Sabline dressée, Sabline des marais, Alsine raide</t>
  </si>
  <si>
    <t>162552 - 135806 - 102601 - 136250 - 102323 - 102463 - 102098 - 161684</t>
  </si>
  <si>
    <t>Épervière jurassique</t>
  </si>
  <si>
    <t>121666 - 121607 - 125065 - 121599 - 161785 - 110094 - 121665</t>
  </si>
  <si>
    <t>Tractème printanier, Scille de printemps, Scille printanière</t>
  </si>
  <si>
    <t>Koelreutéria paniculé, Savonnier</t>
  </si>
  <si>
    <t>150347 - 82602 - 82650 - 152727 - 162125 - 150352 - 1006515 - 1002064 - 116442 - 131403 - 718639</t>
  </si>
  <si>
    <t>Pulsatille de Bogenhard, Anémone de Bogenhard</t>
  </si>
  <si>
    <t>85601 - 102798 - 144249 - 85600 - 144250 - 149035 - 110856 - 149034 - 106624 - 79822 - 162131 - 110972 - 110904</t>
  </si>
  <si>
    <t>Himantoglosse de Robert, Barlie de Robert, Orchis de Robert, Orchis géant, Orchis à longues bractées, Barlie</t>
  </si>
  <si>
    <t>138368 - 162132</t>
  </si>
  <si>
    <t>Anacamptide punaise, Orchis punaise, Orchis à odeur de punaise</t>
  </si>
  <si>
    <t>138429 - 162137</t>
  </si>
  <si>
    <t>111022 - 111207 - 162182</t>
  </si>
  <si>
    <t>Anacamptide ailée, Orchis ailé</t>
  </si>
  <si>
    <t>162206 - 110988 - 109500 - 110812 - 138427 - 111013 - 111002 - 719075 - 149064 - 110818 - 111010</t>
  </si>
  <si>
    <t>Néotinée tridentée, Orchis à trois dents, Orchis tridenté</t>
  </si>
  <si>
    <t>111220 - 111156 - 162237</t>
  </si>
  <si>
    <t>Anacamptorchis faux orchis morio</t>
  </si>
  <si>
    <t>162239 - 111045 - 130369</t>
  </si>
  <si>
    <t>Dactylocamptide de Boudier, Dactylocamptis de Boudier</t>
  </si>
  <si>
    <t>1017921 - 162331 - 1017922 - 1017923 - 1017920</t>
  </si>
  <si>
    <t>149613 - 138948 - 114103 - 149600 - 149599 - 138949 - 149609 - 613567 - 149598 - 149607 - 149605 - 149614 - 114130 - 149608 - 114282 - 149618 - 149621 - 114410 - 149617 - 114365 - 149612 - 149622 - 114308 - 162353 - 149593 - 149596 - 114100 - 138950 - 149603 - 149594 - 149597 - 149616 - 620190 - 149620</t>
  </si>
  <si>
    <t>621430 - 162649</t>
  </si>
  <si>
    <t>Amélanchier en épi</t>
  </si>
  <si>
    <t>786689 - 787433 - 3842</t>
  </si>
  <si>
    <t>787423 - 3849 - 435517</t>
  </si>
  <si>
    <t>3851 - 771060</t>
  </si>
  <si>
    <t>3853 - 788252 - 3854 - 788253</t>
  </si>
  <si>
    <t>3856 - 787476</t>
  </si>
  <si>
    <t>787717 - 3858</t>
  </si>
  <si>
    <t>787758 - 3859</t>
  </si>
  <si>
    <t>787761 - 3860 - 435521 - 788346</t>
  </si>
  <si>
    <t>787759 - 3864 - 435538 - 786671 - 433984 - 788660</t>
  </si>
  <si>
    <t>433976 - 3865 - 787718</t>
  </si>
  <si>
    <t>788351 - 713517 - 3867 - 713518</t>
  </si>
  <si>
    <t>433977 - 3870 - 3866 - 787570 - 788522 - 435527</t>
  </si>
  <si>
    <t>21 - 70 - 71 - 90</t>
  </si>
  <si>
    <t>3875 - 787760 - 435535</t>
  </si>
  <si>
    <t>788350 - 3880 - 3879 - 435536</t>
  </si>
  <si>
    <t>3885 - 3886</t>
  </si>
  <si>
    <t>787747 - 788009 - 3888</t>
  </si>
  <si>
    <t>21 - 25 - 39</t>
  </si>
  <si>
    <t>388800 - 388799</t>
  </si>
  <si>
    <t>963110 - 787069 - 3892 - 963111</t>
  </si>
  <si>
    <t>787679 - 3896</t>
  </si>
  <si>
    <t>3899 - 787808</t>
  </si>
  <si>
    <t>4382 - 787830 - 4383 - 4386 - 3905 - 788636</t>
  </si>
  <si>
    <t>4372 - 3908 - 3909</t>
  </si>
  <si>
    <t>788256 - 786917 - 5261 - 3910</t>
  </si>
  <si>
    <t>787077 - 3915 - 786857</t>
  </si>
  <si>
    <t>435522 - 435526 - 433975 - 788619 - 3871 - 435525 - 787719 - 435523 - 788060 - 788348 - 435524 - 445255 - 3862</t>
  </si>
  <si>
    <t>433994 - 4847</t>
  </si>
  <si>
    <t>435558 - 5652 - 435559 - 5653 - 433999 - 5647 - 787915 - 656710</t>
  </si>
  <si>
    <t>434000 - 5654</t>
  </si>
  <si>
    <t>786775 - 5555 - 788198 - 434016 - 788311 - 788312</t>
  </si>
  <si>
    <t>5414 - 898532 - 434017 - 787780 - 435592</t>
  </si>
  <si>
    <t>435605 - 434020 - 898564 - 5569 - 787657 - 787579</t>
  </si>
  <si>
    <t>434028 - 435630 - 435631</t>
  </si>
  <si>
    <t>21 - 70 - 89 - 90</t>
  </si>
  <si>
    <t>787639 - 434036</t>
  </si>
  <si>
    <t>435646 - 434048</t>
  </si>
  <si>
    <t>788242 - 435648 - 434052</t>
  </si>
  <si>
    <t>434551 - 434053 - 5410 - 786774 - 435649 - 435650</t>
  </si>
  <si>
    <t>787929 - 434058</t>
  </si>
  <si>
    <t>5608 - 434074</t>
  </si>
  <si>
    <t>4405 - 787589 - 4404 - 787201 - 434079</t>
  </si>
  <si>
    <t>434083 - 786520</t>
  </si>
  <si>
    <t>4824 - 434090 - 4825</t>
  </si>
  <si>
    <t>435735 - 435734 - 434128 - 435736</t>
  </si>
  <si>
    <t>435817 - 434193 - 5306</t>
  </si>
  <si>
    <t>434198 - 787303</t>
  </si>
  <si>
    <t>3924 - 3919 - 788021 - 3920 - 434260 - 434203</t>
  </si>
  <si>
    <t>3930 - 435844 - 787768 - 435843 - 902013 - 435842 - 434208</t>
  </si>
  <si>
    <t>787766 - 788025 - 435848 - 434209 - 5191 - 435847</t>
  </si>
  <si>
    <t>434210 - 3933</t>
  </si>
  <si>
    <t>434214 - 792023 - 5192 - 788609 - 787030 - 886235 - 435852 - 788235 - 5199</t>
  </si>
  <si>
    <t>435874 - 435873 - 788222 - 788560 - 786703 - 788187 - 434231 - 788561 - 434227 - 435875 - 435876 - 435872</t>
  </si>
  <si>
    <t>5229 - 435896 - 434233 - 5221 - 788681 - 435897 - 435898 - 788682 - 435900 - 435895 - 788395 - 787361 - 435894 - 435899</t>
  </si>
  <si>
    <t>5222 - 434234 - 787965</t>
  </si>
  <si>
    <t>5220 - 434236 - 788670 - 435901 - 435902 - 788541</t>
  </si>
  <si>
    <t>5227 - 788598 - 788562 - 434237</t>
  </si>
  <si>
    <t>5230 - 435905 - 788586 - 787080 - 434238</t>
  </si>
  <si>
    <t>5231 - 5232 - 434240</t>
  </si>
  <si>
    <t>456311 - 5236 - 788624 - 5237 - 434242 - 5239</t>
  </si>
  <si>
    <t>788112 - 788224 - 786704 - 788564 - 5245 - 788563 - 788223 - 786916 - 434245</t>
  </si>
  <si>
    <t>5201 - 791004 - 5200 - 434263 - 788604 - 786716</t>
  </si>
  <si>
    <t>787764 - 434266 - 5202</t>
  </si>
  <si>
    <t>787161 - 4997 - 434313 - 4996</t>
  </si>
  <si>
    <t>436007 - 5718 - 788583 - 897808 - 434325 - 5716 - 436006 - 436005 - 5737 - 787137 - 5717 - 788582</t>
  </si>
  <si>
    <t>788160 - 434377 - 456312 - 787722 - 5483</t>
  </si>
  <si>
    <t>434378 - 5484 - 786820</t>
  </si>
  <si>
    <t>436108 - 434384 - 787418 - 787630 - 5490</t>
  </si>
  <si>
    <t>5442 - 788329 - 788662 - 5441 - 788317 - 434386 - 788314 - 436110 - 788070</t>
  </si>
  <si>
    <t>436111 - 434387 - 786522 - 786507 - 5453</t>
  </si>
  <si>
    <t>436126 - 436127 - 434393 - 786833 - 436128 - 5500</t>
  </si>
  <si>
    <t>25 - 58 - 71</t>
  </si>
  <si>
    <t>434405 - 5518 - 5508 - 787733 - 436134 - 436135</t>
  </si>
  <si>
    <t>771207 - 436136 - 434406 - 788128 - 5517 - 771205 - 771206</t>
  </si>
  <si>
    <t>788138 - 5469 - 434407 - 5470</t>
  </si>
  <si>
    <t>21 - 58 - 71 - 89 - 90</t>
  </si>
  <si>
    <t>5424 - 436170 - 434424 - 436169</t>
  </si>
  <si>
    <t>434436 - 5902 - 434437 - 436189</t>
  </si>
  <si>
    <t>5849 - 788054 - 5850 - 788611 - 788610 - 5851 - 788524 - 434439</t>
  </si>
  <si>
    <t>5866 - 434441 - 788065</t>
  </si>
  <si>
    <t>5861 - 5857 - 434442 - 5858 - 788161 - 5859 - 786852 - 787541 - 5855 - 787627 - 787239 - 5856</t>
  </si>
  <si>
    <t>436194 - 787521 - 5848 - 5842 - 434445</t>
  </si>
  <si>
    <t>434446 - 5815</t>
  </si>
  <si>
    <t>788162 - 434450 - 5822 - 788159 - 787907</t>
  </si>
  <si>
    <t>787825 - 786699 - 5823 - 434451</t>
  </si>
  <si>
    <t>434452 - 5824 - 786884 - 788163</t>
  </si>
  <si>
    <t>434453 - 792583 - 5830</t>
  </si>
  <si>
    <t>787483 - 434456 - 436208 - 792581</t>
  </si>
  <si>
    <t>787803 - 434458 - 786847 - 436210 - 5840 - 5841</t>
  </si>
  <si>
    <t>434655 - 5862 - 788658 - 786636 - 434656 - 434459 - 436213 - 786818</t>
  </si>
  <si>
    <t>434463 - 5820</t>
  </si>
  <si>
    <t>5834 - 434466 - 436219 - 788097 - 787171 - 787517 - 434659 - 788559 - 434658 - 788558 - 436217 - 786848 - 434465</t>
  </si>
  <si>
    <t>788157 - 788087 - 787912 - 434468 - 6059</t>
  </si>
  <si>
    <t>434530 - 6829</t>
  </si>
  <si>
    <t>786954 - 434532</t>
  </si>
  <si>
    <t>434557 - 3906 - 435658</t>
  </si>
  <si>
    <t>434558 - 3902 - 788299 - 3904</t>
  </si>
  <si>
    <t>435677 - 435678 - 435675 - 435676 - 434562</t>
  </si>
  <si>
    <t>5368 - 434582 - 435786</t>
  </si>
  <si>
    <t>434586 - 787594 - 788612</t>
  </si>
  <si>
    <t>435882 - 435885 - 435884 - 435883 - 435881 - 788543 - 434598 - 435879 - 435880</t>
  </si>
  <si>
    <t>788540 - 788599 - 435904 - 434599 - 435903</t>
  </si>
  <si>
    <t>434602 - 788623 - 435915</t>
  </si>
  <si>
    <t>435942 - 434606 - 787535</t>
  </si>
  <si>
    <t>787715 - 434629 - 787436 - 436082</t>
  </si>
  <si>
    <t>434637 - 786765 - 788622</t>
  </si>
  <si>
    <t>788244 - 434642</t>
  </si>
  <si>
    <t>436161 - 436159 - 434643 - 436160 - 786862</t>
  </si>
  <si>
    <t>787673 - 434660</t>
  </si>
  <si>
    <t>434662 - 963448 - 963450</t>
  </si>
  <si>
    <t>963305 - 6036 - 788324 - 436228 - 434664</t>
  </si>
  <si>
    <t>931025 - 931023 - 434666</t>
  </si>
  <si>
    <t>786713 - 434673 - 5976 - 436248</t>
  </si>
  <si>
    <t>435532 - 435533 - 435531</t>
  </si>
  <si>
    <t>5637 - 435565 - 435566</t>
  </si>
  <si>
    <t>434112 - 435705 - 787695 - 787688 - 435704 - 4451 - 4450 - 4449</t>
  </si>
  <si>
    <t>787023 - 4736 - 788617 - 521452 - 788618 - 435710</t>
  </si>
  <si>
    <t>435781 - 434575</t>
  </si>
  <si>
    <t>5253 - 435796</t>
  </si>
  <si>
    <t>435854 - 435856 - 787060 - 788577 - 3932 - 435788 - 435855 - 5373 - 788542 - 788237 - 3931 - 787606</t>
  </si>
  <si>
    <t>435860 - 435859 - 435861 - 434591</t>
  </si>
  <si>
    <t>434592 - 435862 - 786606 - 435863</t>
  </si>
  <si>
    <t>435867 - 3936 - 786591 - 434217 - 787462 - 787887</t>
  </si>
  <si>
    <t>435912 - 5234 - 5235 - 788565 - 435913 - 434601 - 435914</t>
  </si>
  <si>
    <t>435953 - 435952 - 5065</t>
  </si>
  <si>
    <t>788645 - 788646 - 787322 - 788644 - 5711 - 435975</t>
  </si>
  <si>
    <t>5754 - 436027 - 436028</t>
  </si>
  <si>
    <t>5434 - 436093 - 436092 - 788146</t>
  </si>
  <si>
    <t>5795 - 788093 - 436115</t>
  </si>
  <si>
    <t>788678 - 788156 - 788677 - 436120 - 5798</t>
  </si>
  <si>
    <t>5157 - 787148 - 436150 - 786737 - 787187 - 788528 - 788527</t>
  </si>
  <si>
    <t>5158 - 436151</t>
  </si>
  <si>
    <t>5170 - 436157 - 436158</t>
  </si>
  <si>
    <t>963897 - 436226 - 6029</t>
  </si>
  <si>
    <t>788585 - 436308 - 435730 - 4740 - 4739</t>
  </si>
  <si>
    <t>714584 - 436548</t>
  </si>
  <si>
    <t>6664 - 787393 - 436671</t>
  </si>
  <si>
    <t>788300 - 4376 - 435661 - 787832 - 788621 - 786858</t>
  </si>
  <si>
    <t>4379 - 435664 - 434560 - 788620 - 787835</t>
  </si>
  <si>
    <t>435663 - 4392 - 4373</t>
  </si>
  <si>
    <t>788301 - 435657 - 4398 - 435656 - 4399 - 4397</t>
  </si>
  <si>
    <t>435670 - 434561 - 435666 - 787470 - 435665 - 4380 - 435671 - 4401 - 435672 - 435667 - 4384 - 435668 - 435669 - 434679 - 786643 - 787831 - 4400</t>
  </si>
  <si>
    <t>787419 - 4413 - 435748 - 435749 - 435750</t>
  </si>
  <si>
    <t>963285 - 786888 - 4415</t>
  </si>
  <si>
    <t>21 - 25 - 39 - 70 - 89 - 90</t>
  </si>
  <si>
    <t>713176 - 4419 - 713175</t>
  </si>
  <si>
    <t>4421 - 435754</t>
  </si>
  <si>
    <t>814095 - 4420 - 4423</t>
  </si>
  <si>
    <t>4425 - 787475 - 4424 - 713178 - 787421 - 787420 - 963445 - 787422 - 435755</t>
  </si>
  <si>
    <t>4429 - 788602 - 787459 - 788603</t>
  </si>
  <si>
    <t>787208 - 4431 - 786624 - 435700 - 787020 - 787269 - 787501</t>
  </si>
  <si>
    <t>521451 - 787454 - 4433 - 788279 - 787686</t>
  </si>
  <si>
    <t>787480 - 786617 - 4434 - 435701</t>
  </si>
  <si>
    <t>963662 - 435703 - 4437 - 4438</t>
  </si>
  <si>
    <t>787685 - 435706 - 4439 - 435707 - 788280</t>
  </si>
  <si>
    <t>4441 - 787681</t>
  </si>
  <si>
    <t>4445 - 4444</t>
  </si>
  <si>
    <t>788058 - 4446 - 719738</t>
  </si>
  <si>
    <t>435719 - 435720 - 786613 - 4448</t>
  </si>
  <si>
    <t>4453 - 786679 - 4452</t>
  </si>
  <si>
    <t>Impatiente balsamine, Balsamine, Balsamine des bois</t>
  </si>
  <si>
    <t>635113 - 453282 - 447414</t>
  </si>
  <si>
    <t>Lotus sacré, Lotus, Lotus indien</t>
  </si>
  <si>
    <t>710437 - 117708 - 150354 - 447462 - 116471 - 116473 - 100572 - 921731 - 116474</t>
  </si>
  <si>
    <t>Grenadier, Grenadier commun, Grenadier à graines nombreuses</t>
  </si>
  <si>
    <t>635849 - 447733 - 635850</t>
  </si>
  <si>
    <t>Pistie stratiotes, Laitue d'eau</t>
  </si>
  <si>
    <t>1006104 - 92279 - 447838</t>
  </si>
  <si>
    <t>447951 - 80199 - 80203 - 80201 - 80200 - 80206 - 80197 - 967553</t>
  </si>
  <si>
    <t>Capillaire de Montpellier, Cheveux-de-Vénus, Capillaire cheveux-de-Vénus, Adiante cheveux-de-Vénus</t>
  </si>
  <si>
    <t>448138 - 146609 - 146608 - 97899</t>
  </si>
  <si>
    <t>Fusain du Japon</t>
  </si>
  <si>
    <t>84703 - 448410 - 637604 - 84646 - 84655 - 84668 - 84659 - 84670 - 95082</t>
  </si>
  <si>
    <t>Symphyotriche lisse, Aster lisse</t>
  </si>
  <si>
    <t>84639 - 84669 - 131888 - 84673 - 612574 - 956963 - 448412 - 631697 - 84685 - 131887 - 631695 - 131891</t>
  </si>
  <si>
    <t>Symphyotriche de Nouvelle-Belgique, Aster des jardins, Aster de Nouvelle-Belgique, Aster de Virginie</t>
  </si>
  <si>
    <t>788023 - 788029 - 4696 - 786956</t>
  </si>
  <si>
    <t>5294 - 787364 - 788264 - 4709 - 787790</t>
  </si>
  <si>
    <t>4724 - 435721</t>
  </si>
  <si>
    <t>4725 - 435722 - 787682 - 788282 - 788281 - 435723</t>
  </si>
  <si>
    <t>4726 - 4727 - 787544 - 787565 - 4728</t>
  </si>
  <si>
    <t>786680 - 786678 - 435758 - 4731</t>
  </si>
  <si>
    <t>4735 - 787021 - 4734</t>
  </si>
  <si>
    <t>4742 - 436309 - 4741</t>
  </si>
  <si>
    <t>4746 - 787542 - 435741</t>
  </si>
  <si>
    <t>788285 - 4747 - 435731</t>
  </si>
  <si>
    <t>4762 - 4753 - 4752</t>
  </si>
  <si>
    <t>788290 - 788286 - 788287 - 4757 - 4754 - 4755 - 788289 - 771169 - 788288</t>
  </si>
  <si>
    <t>434131 - 4759 - 435742 - 435740</t>
  </si>
  <si>
    <t>Dicrane</t>
  </si>
  <si>
    <t>787543 - 4763</t>
  </si>
  <si>
    <t>787683 - 4770</t>
  </si>
  <si>
    <t>Coussinet des bois</t>
  </si>
  <si>
    <t>4771 - 435762 - 434140</t>
  </si>
  <si>
    <t>4778 - 4779 - 771168</t>
  </si>
  <si>
    <t>4781 - 787684 - 4780</t>
  </si>
  <si>
    <t>435744 - 435743 - 4784 - 787527</t>
  </si>
  <si>
    <t>771171 - 4787</t>
  </si>
  <si>
    <t>21 - 25 - 39 - 58 - 71 - 89</t>
  </si>
  <si>
    <t>435745 - 4788 - 787687</t>
  </si>
  <si>
    <t>435694 - 4790 - 435693</t>
  </si>
  <si>
    <t>786616 - 788271 - 787435 - 656588 - 788270 - 4802</t>
  </si>
  <si>
    <t>788292 - 786656 - 787466 - 435681 - 4808</t>
  </si>
  <si>
    <t>788525 - 4814 - 787752 - 435695 - 4813</t>
  </si>
  <si>
    <t>4817 - 786924 - 786576 - 4816</t>
  </si>
  <si>
    <t>435685 - 4818 - 787387</t>
  </si>
  <si>
    <t>4819 - 787185</t>
  </si>
  <si>
    <t>435689 - 787277 - 787186 - 4820</t>
  </si>
  <si>
    <t>435692 - 787899 - 787608 - 4826 - 787704</t>
  </si>
  <si>
    <t>435717 - 4831 - 4830 - 786902</t>
  </si>
  <si>
    <t>4833 - 786880 - 792565 - 4832</t>
  </si>
  <si>
    <t>21 - 39 - 58</t>
  </si>
  <si>
    <t>4837 - 786919</t>
  </si>
  <si>
    <t>4846 - 787574</t>
  </si>
  <si>
    <t>434535 - 4849</t>
  </si>
  <si>
    <t>4851 - 786734</t>
  </si>
  <si>
    <t>788255 - 787607 - 786545 - 4859</t>
  </si>
  <si>
    <t>4864 - 786951 - 787134</t>
  </si>
  <si>
    <t>787633 - 787299 - 4865 - 435793</t>
  </si>
  <si>
    <t>21 - 25 - 58 - 70 - 71</t>
  </si>
  <si>
    <t>436085 - 4872</t>
  </si>
  <si>
    <t>436074 - 4884 - 787914 - 787014</t>
  </si>
  <si>
    <t>786579 - 787885 - 4887</t>
  </si>
  <si>
    <t>787015 - 787709 - 786879 - 4889</t>
  </si>
  <si>
    <t>788574 - 788576 - 787016 - 788575 - 787017 - 787711 - 788573 - 4890 - 786645</t>
  </si>
  <si>
    <t>4893 - 787714 - 787465 - 436076 - 787713</t>
  </si>
  <si>
    <t>4895 - 787712 - 436079 - 787018</t>
  </si>
  <si>
    <t>787352 - 4899</t>
  </si>
  <si>
    <t>787710 - 436080 - 4900 - 786800 - 786691 - 786684 - 787231</t>
  </si>
  <si>
    <t>788587 - 788004 - 4901 - 788588 - 787232 - 788347</t>
  </si>
  <si>
    <t>788572 - 787708 - 786659 - 787013 - 786799 - 4906 - 436081</t>
  </si>
  <si>
    <t>436065 - 436066 - 4909</t>
  </si>
  <si>
    <t>4910 - 788006 - 436067</t>
  </si>
  <si>
    <t>21 - 58 - 70 - 71 - 89 - 90</t>
  </si>
  <si>
    <t>787560 - 4917 - 4918 - 787401 - 4919</t>
  </si>
  <si>
    <t>4920 - 787568 - 787198</t>
  </si>
  <si>
    <t>787716 - 4924</t>
  </si>
  <si>
    <t>4925 - 787982</t>
  </si>
  <si>
    <t>787323 - 788109 - 4926 - 787569</t>
  </si>
  <si>
    <t>4927 - 787432 - 787275</t>
  </si>
  <si>
    <t>4932 - 4933</t>
  </si>
  <si>
    <t>4934 - 787473</t>
  </si>
  <si>
    <t>4936 - 4937 - 771058</t>
  </si>
  <si>
    <t>787463 - 4938 - 787438</t>
  </si>
  <si>
    <t>4941 - 787431 - 4943</t>
  </si>
  <si>
    <t>787280 - 787456 - 787437 - 4944</t>
  </si>
  <si>
    <t>4946 - 787315 - 4947</t>
  </si>
  <si>
    <t>786690 - 771063 - 4950</t>
  </si>
  <si>
    <t>4940 - 4952 - 771132 - 787279</t>
  </si>
  <si>
    <t>4955 - 787354</t>
  </si>
  <si>
    <t>4958 - 787555 - 4959</t>
  </si>
  <si>
    <t>786732 - 4964</t>
  </si>
  <si>
    <t>921079 - 4965 - 787347 - 786873</t>
  </si>
  <si>
    <t>4966 - 456316 - 787407</t>
  </si>
  <si>
    <t>4976 - 787162</t>
  </si>
  <si>
    <t>4977 - 521453</t>
  </si>
  <si>
    <t>4978 - 788259 - 787910 - 787319 - 788260</t>
  </si>
  <si>
    <t>788343 - 787355 - 787160 - 788344 - 4989</t>
  </si>
  <si>
    <t>435958 - 788345 - 787047 - 4990</t>
  </si>
  <si>
    <t>5001 - 788206</t>
  </si>
  <si>
    <t>788205 - 5003</t>
  </si>
  <si>
    <t>788399 - 5004</t>
  </si>
  <si>
    <t>5011 - 5010 - 5009</t>
  </si>
  <si>
    <t>21 - 39 - 71</t>
  </si>
  <si>
    <t>5017 - 787987</t>
  </si>
  <si>
    <t>787530 - 788073 - 788336 - 788337 - 5020 - 787537 - 788706</t>
  </si>
  <si>
    <t>787531 - 5028 - 787492 - 787212 - 786631 - 435943</t>
  </si>
  <si>
    <t>811797 - 787533 - 5031</t>
  </si>
  <si>
    <t>788338 - 5036</t>
  </si>
  <si>
    <t>Orthotric de Roger</t>
  </si>
  <si>
    <t>5038 - 435944 - 787884</t>
  </si>
  <si>
    <t>787489 - 5043</t>
  </si>
  <si>
    <t>435945 - 5044</t>
  </si>
  <si>
    <t>435946 - 5046</t>
  </si>
  <si>
    <t>5049 - 5018 - 435950</t>
  </si>
  <si>
    <t>787534 - 5050 - 787281</t>
  </si>
  <si>
    <t>787358 - 787202 - 5051 - 5053 - 788409 - 786866</t>
  </si>
  <si>
    <t>5056 - 787211 - 5057</t>
  </si>
  <si>
    <t>787233 - 5063</t>
  </si>
  <si>
    <t>5062 - 435955 - 5060 - 435954 - 788413 - 5061 - 5066</t>
  </si>
  <si>
    <t>5067 - 788411</t>
  </si>
  <si>
    <t>788020 - 5072 - 787957 - 5073 - 434611</t>
  </si>
  <si>
    <t>787623 - 786746 - 5084 - 788303 - 787837 - 788066 - 787581 - 787840 - 787635 - 787838 - 787836 - 788302 - 771044 - 787839</t>
  </si>
  <si>
    <t>5087 - 787728</t>
  </si>
  <si>
    <t>434640 - 787841 - 434639 - 5090 - 434641</t>
  </si>
  <si>
    <t>5093 - 787457 - 5094</t>
  </si>
  <si>
    <t>789589 - 786961 - 788249 - 787451 - 5098 - 788248</t>
  </si>
  <si>
    <t>790968 - 5101 - 5100</t>
  </si>
  <si>
    <t>787193 - 5104 - 434674</t>
  </si>
  <si>
    <t>5118 - 787980</t>
  </si>
  <si>
    <t>5124 - 788200 - 788333</t>
  </si>
  <si>
    <t>788334 - 436276 - 436274 - 5125 - 436277 - 436278 - 436275</t>
  </si>
  <si>
    <t>787479 - 5128 - 787452 - 5127</t>
  </si>
  <si>
    <t>787813 - 5132</t>
  </si>
  <si>
    <t>5149 - 788120</t>
  </si>
  <si>
    <t>5151 - 787188 - 787389 - 787390</t>
  </si>
  <si>
    <t>5155 - 788153 - 788332 - 788331 - 788330</t>
  </si>
  <si>
    <t>787771 - 788353 - 5161</t>
  </si>
  <si>
    <t>436154 - 5163 - 788354 - 5162 - 787189 - 786577</t>
  </si>
  <si>
    <t>5165 - 787192 - 787741 - 786724 - 787622</t>
  </si>
  <si>
    <t>788358 - 788363 - 788357 - 788356 - 788359 - 5167 - 434669 - 521683 - 788355 - 786653 - 788360 - 788362 - 787811 - 434670 - 788361</t>
  </si>
  <si>
    <t>5175 - 788397 - 5173 - 5174 - 436279 - 436280</t>
  </si>
  <si>
    <t>5180 - 930621 - 930620</t>
  </si>
  <si>
    <t>930623 - 930624 - 5182 - 786933</t>
  </si>
  <si>
    <t>5184 - 787478</t>
  </si>
  <si>
    <t>788313 - 788199 - 788364 - 5190</t>
  </si>
  <si>
    <t>435869 - 434221 - 5205 - 786804 - 786673 - 786726 - 788689 - 788365 - 788520 - 788521</t>
  </si>
  <si>
    <t>5210 - 788579 - 787597 - 787502 - 788578 - 788401 - 788402 - 787072 - 786644</t>
  </si>
  <si>
    <t>786905 - 5214</t>
  </si>
  <si>
    <t>5216 - 788189 - 5255</t>
  </si>
  <si>
    <t>103689 - 113055 - 103683 - 521639 - 92294 - 637848 - 113059 - 103680 - 637669 - 159994 - 92293 - 94901 - 92340</t>
  </si>
  <si>
    <t>Ipomée pourpre, Volubilis, Liseron</t>
  </si>
  <si>
    <t>521658 - 116648 - 150401</t>
  </si>
  <si>
    <t>Chêne sessile, Chêne rouvre, Chêne à trochets</t>
  </si>
  <si>
    <t>787076 - 435925 - 5219</t>
  </si>
  <si>
    <t>21 - 25 - 39 - 58 - 70</t>
  </si>
  <si>
    <t>787302 - 435929 - 788192 - 5223</t>
  </si>
  <si>
    <t>787136 - 787738 - 5225</t>
  </si>
  <si>
    <t>788391 - 787075 - 5226 - 788392 - 786907 - 788394</t>
  </si>
  <si>
    <t>788190 - 788405 - 435938 - 435937 - 5243 - 786571 - 786664</t>
  </si>
  <si>
    <t>5268 - 5269</t>
  </si>
  <si>
    <t>788352 - 5271 - 5270</t>
  </si>
  <si>
    <t>5275 - 790955 - 5274 - 5273</t>
  </si>
  <si>
    <t>435815 - 5278 - 787691</t>
  </si>
  <si>
    <t>435816 - 788291 - 5279 - 5280</t>
  </si>
  <si>
    <t>786600 - 787157 - 5282 - 5281</t>
  </si>
  <si>
    <t>435821 - 5284 - 5286 - 5285</t>
  </si>
  <si>
    <t>435823 - 5289 - 5290 - 786763</t>
  </si>
  <si>
    <t>435825 - 5293 - 786927 - 787551 - 787923 - 5292</t>
  </si>
  <si>
    <t>5297 - 5295 - 786932 - 5296</t>
  </si>
  <si>
    <t>435826 - 786921 - 435828 - 435827 - 5299 - 5298 - 435829 - 787081</t>
  </si>
  <si>
    <t>435831 - 5300 - 962065 - 5301 - 787215 - 435832</t>
  </si>
  <si>
    <t>5303 - 5302</t>
  </si>
  <si>
    <t>786837 - 5308</t>
  </si>
  <si>
    <t>5322 - 787795 - 786881 - 787592 - 434566</t>
  </si>
  <si>
    <t>788083 - 788027 - 5324</t>
  </si>
  <si>
    <t>5325 - 786539 - 434150</t>
  </si>
  <si>
    <t>435769 - 788028 - 5328</t>
  </si>
  <si>
    <t>787024 - 788323 - 886318 - 788654 - 788655 - 5330 - 435770 - 788656 - 786803</t>
  </si>
  <si>
    <t>5344 - 786906</t>
  </si>
  <si>
    <t>5345 - 970320 - 787632</t>
  </si>
  <si>
    <t>5347 - 787135 - 434576</t>
  </si>
  <si>
    <t>5349 - 435782</t>
  </si>
  <si>
    <t>434159 - 5351 - 5350 - 435777</t>
  </si>
  <si>
    <t>788406 - 435783 - 787079 - 1018855 - 5355 - 5353</t>
  </si>
  <si>
    <t>963261 - 786864 - 713623 - 786865 - 786922 - 5356</t>
  </si>
  <si>
    <t>786829 - 718834 - 787027 - 788081 - 788024 - 5362 - 5363</t>
  </si>
  <si>
    <t>5365 - 787266 - 787031 - 5364</t>
  </si>
  <si>
    <t>5366 - 5369 - 787580 - 787026 - 727073 - 5367</t>
  </si>
  <si>
    <t>5371 - 787605 - 788113 - 787022 - 5372</t>
  </si>
  <si>
    <t>5374 - 788082</t>
  </si>
  <si>
    <t>5375 - 786651 - 435789</t>
  </si>
  <si>
    <t>787025 - 787548 - 5379</t>
  </si>
  <si>
    <t>435790 - 5380 - 786903 - 5381 - 435791</t>
  </si>
  <si>
    <t>5384 - 786782</t>
  </si>
  <si>
    <t>786930 - 787520 - 5386</t>
  </si>
  <si>
    <t>787486 - 788607 - 787078 - 5387 - 5388 - 787073 - 787600</t>
  </si>
  <si>
    <t>5391 - 5390</t>
  </si>
  <si>
    <t>788515 - 5395 - 435571 - 787928 - 786603</t>
  </si>
  <si>
    <t>5403 - 788201 - 787781 - 5404 - 788197 - 5399 - 787924</t>
  </si>
  <si>
    <t>5400 - 5406 - 787927</t>
  </si>
  <si>
    <t>5402 - 787660</t>
  </si>
  <si>
    <t>5407 - 786787 - 435645 - 788026 - 787665 - 787891 - 786776</t>
  </si>
  <si>
    <t>788630 - 5411 - 788367 - 5409</t>
  </si>
  <si>
    <t>771134 - 5412 - 786788 - 456310</t>
  </si>
  <si>
    <t>5421 - 788084 - 5422</t>
  </si>
  <si>
    <t>786635 - 5423 - 436171 - 788398</t>
  </si>
  <si>
    <t>5426 - 5427 - 788171</t>
  </si>
  <si>
    <t>786843 - 5431 - 786668 - 788150 - 436252</t>
  </si>
  <si>
    <t>5436 - 5438 - 786814 - 5439 - 5437 - 788075</t>
  </si>
  <si>
    <t>788127 - 5444 - 788539 - 787827 - 787739 - 788149 - 5443 - 771056</t>
  </si>
  <si>
    <t>5446 - 5450 - 788167</t>
  </si>
  <si>
    <t>788315 - 788152 - 788151 - 5452 - 787818 - 788148 - 788675 - 788673 - 5451 - 788674</t>
  </si>
  <si>
    <t>5461 - 5459 - 5460 - 5458</t>
  </si>
  <si>
    <t>5465 - 5466 - 5464</t>
  </si>
  <si>
    <t>5476 - 788257 - 5479 - 5478 - 5477 - 5480</t>
  </si>
  <si>
    <t>786834 - 5487 - 5486</t>
  </si>
  <si>
    <t>436098 - 5491 - 436097</t>
  </si>
  <si>
    <t>58 - 70 - 71 - 89 - 90</t>
  </si>
  <si>
    <t>5494 - 436099 - 788169 - 788193 - 788258</t>
  </si>
  <si>
    <t>788272 - 5504 - 788548 - 5502 - 5503 - 787499 - 786687 - 786642 - 787629</t>
  </si>
  <si>
    <t>436105 - 436104 - 788295 - 788085 - 788665 - 788666 - 788296 - 5507 - 436103 - 788667 - 5506 - 963339 - 963287</t>
  </si>
  <si>
    <t>436137 - 788063 - 788124 - 436139 - 436138 - 788519 - 788410 - 787417 - 5513 - 788518 - 5514</t>
  </si>
  <si>
    <t>786795 - 5516 - 434397</t>
  </si>
  <si>
    <t>5521 - 5520</t>
  </si>
  <si>
    <t>5526 - 435573 - 787785</t>
  </si>
  <si>
    <t>839468 - 5530</t>
  </si>
  <si>
    <t>435580 - 898196 - 787932 - 5531 - 5532 - 788686</t>
  </si>
  <si>
    <t>5538 - 5539 - 435589</t>
  </si>
  <si>
    <t>21 - 39 - 58 - 71 - 89</t>
  </si>
  <si>
    <t>5542 - 898531 - 5543 - 5541 - 435591</t>
  </si>
  <si>
    <t>39 - 70 - 89 - 90</t>
  </si>
  <si>
    <t>435594 - 5545 - 435593</t>
  </si>
  <si>
    <t>5547 - 435597</t>
  </si>
  <si>
    <t>786786 - 5550 - 787755 - 787931 - 435598 - 5548</t>
  </si>
  <si>
    <t>5554 - 788298 - 435602 - 435604 - 435603</t>
  </si>
  <si>
    <t>5557 - 435609 - 792551 - 435610 - 435601</t>
  </si>
  <si>
    <t>25 - 39 - 89</t>
  </si>
  <si>
    <t>435613 - 435612 - 5561 - 787658 - 435618 - 788297 - 787659 - 788309 - 5563 - 435617 - 787933 - 435616 - 788310 - 435614</t>
  </si>
  <si>
    <t>435626 - 5572 - 787895 - 786614</t>
  </si>
  <si>
    <t>435627 - 787816 - 5573</t>
  </si>
  <si>
    <t>5574 - 786728 - 435620 - 456308 - 786923 - 788369</t>
  </si>
  <si>
    <t>435624 - 5576 - 5577</t>
  </si>
  <si>
    <t>435622 - 5578 - 435623</t>
  </si>
  <si>
    <t>819647 - 819640 - 5579 - 771129 - 435628</t>
  </si>
  <si>
    <t>788371 - 788059 - 5580 - 435633 - 786925</t>
  </si>
  <si>
    <t>5581 - 5582 - 786931</t>
  </si>
  <si>
    <t>5583 - 435639 - 788372 - 786926</t>
  </si>
  <si>
    <t>788370 - 435642 - 788702 - 788694 - 5586 - 788693 - 788695 - 788701 - 788703 - 435641</t>
  </si>
  <si>
    <t>5596 - 786882 - 787626 - 787814</t>
  </si>
  <si>
    <t>788261 - 787019 - 788262 - 5600</t>
  </si>
  <si>
    <t>435651 - 5613 - 787167</t>
  </si>
  <si>
    <t>788384 - 5615</t>
  </si>
  <si>
    <t>787666 - 5617</t>
  </si>
  <si>
    <t>787029 - 5621 - 788383</t>
  </si>
  <si>
    <t>435655 - 435654 - 788382 - 435653 - 5623</t>
  </si>
  <si>
    <t>5627 - 788039 - 5626 - 787032 - 5628</t>
  </si>
  <si>
    <t>787611 - 5642 - 5649 - 787667</t>
  </si>
  <si>
    <t>435556 - 5643 - 5644</t>
  </si>
  <si>
    <t>787474 - 5650</t>
  </si>
  <si>
    <t>5658 - 521684</t>
  </si>
  <si>
    <t>786715 - 5659</t>
  </si>
  <si>
    <t>963033 - 787442 - 5665 - 963032</t>
  </si>
  <si>
    <t>5670 - 787149</t>
  </si>
  <si>
    <t>788284 - 435766 - 434147 - 5671 - 786700 - 788283 - 435767 - 435768 - 787789</t>
  </si>
  <si>
    <t>970322 - 5681 - 788107</t>
  </si>
  <si>
    <t>435940 - 5689</t>
  </si>
  <si>
    <t>5692 - 788659</t>
  </si>
  <si>
    <t>787960 - 5697</t>
  </si>
  <si>
    <t>435968 - 5707 - 787566 - 787218 - 435970 - 5708 - 786957 - 5705 - 435967 - 435966 - 435969</t>
  </si>
  <si>
    <t>435991 - 435988 - 435990 - 788194 - 435989 - 5715 - 788265 - 435986 - 435987</t>
  </si>
  <si>
    <t>5759 - 5726</t>
  </si>
  <si>
    <t>5744 - 436017</t>
  </si>
  <si>
    <t>792547 - 787317 - 5763 - 787369</t>
  </si>
  <si>
    <t>787320 - 787183 - 5782</t>
  </si>
  <si>
    <t>5523 - 5786 - 788173</t>
  </si>
  <si>
    <t>788635 - 788318 - 788634 - 788320 - 5796 - 786815 - 788322 - 788319 - 788321 - 787824 - 788076 - 436116</t>
  </si>
  <si>
    <t>5802 - 5803</t>
  </si>
  <si>
    <t>5807 - 787168 - 787482 - 5808 - 792579 - 788086</t>
  </si>
  <si>
    <t>5809 - 436202 - 788088 - 787206 - 786883</t>
  </si>
  <si>
    <t>456306 - 5816 - 786572</t>
  </si>
  <si>
    <t>787049 - 5818</t>
  </si>
  <si>
    <t>788166 - 788263 - 5825</t>
  </si>
  <si>
    <t>5827 - 5826 - 788555 - 788007</t>
  </si>
  <si>
    <t>5829 - 787169 - 5828 - 787516 - 787382</t>
  </si>
  <si>
    <t>787050 - 788158 - 5839 - 787800</t>
  </si>
  <si>
    <t>436177 - 436176 - 456317 - 5874 - 5844</t>
  </si>
  <si>
    <t>5847 - 5846</t>
  </si>
  <si>
    <t>5869 - 5870</t>
  </si>
  <si>
    <t>788176 - 788529 - 6083 - 436175 - 5871 - 788530 - 5872</t>
  </si>
  <si>
    <t>5873 - 788061 - 787823 - 787798</t>
  </si>
  <si>
    <t>5878 - 5879 - 5880</t>
  </si>
  <si>
    <t>5881 - 788013</t>
  </si>
  <si>
    <t>5884 - 5883 - 787191 - 5882</t>
  </si>
  <si>
    <t>5889 - 5886 - 5888 - 436294 - 5887 - 788643 - 787819 - 436293 - 5890</t>
  </si>
  <si>
    <t>436296 - 436295 - 5891</t>
  </si>
  <si>
    <t>436300 - 436299 - 436302 - 788631 - 786736 - 788328 - 5892 - 788327 - 436304 - 436301 - 5893 - 436303 - 5894 - 788175 - 787745 - 434677</t>
  </si>
  <si>
    <t>5898 - 436187 - 787796 - 436186 - 5904</t>
  </si>
  <si>
    <t>434645 - 787854 - 787802 - 912975 - 5903</t>
  </si>
  <si>
    <t>5900 - 788090 - 436182 - 787851 - 5845 - 5907 - 787850</t>
  </si>
  <si>
    <t>786739 - 5909 - 5908 - 436183</t>
  </si>
  <si>
    <t>787799 - 788373 - 5910 - 786849</t>
  </si>
  <si>
    <t>5914 - 5911 - 786846 - 787272 - 771039 - 787853</t>
  </si>
  <si>
    <t>786851 - 787801 - 5916</t>
  </si>
  <si>
    <t>436211 - 5918 - 5919</t>
  </si>
  <si>
    <t>5923 - 5921 - 5922</t>
  </si>
  <si>
    <t>787962 - 788380 - 787961 - 788381 - 788095 - 5924 - 787986</t>
  </si>
  <si>
    <t>436172 - 5928 - 5926 - 5927 - 5929</t>
  </si>
  <si>
    <t>786719 - 788038 - 5933 - 5935 - 5934</t>
  </si>
  <si>
    <t>5940 - 787596 - 5939 - 5941</t>
  </si>
  <si>
    <t>787696 - 5948 - 788092 - 787743 - 5949 - 788174</t>
  </si>
  <si>
    <t>5955 - 787151 - 5954 - 787620 - 788116 - 787852</t>
  </si>
  <si>
    <t>5959 - 5958</t>
  </si>
  <si>
    <t>5961 - 436246 - 436247</t>
  </si>
  <si>
    <t>5963 - 5962 - 786599</t>
  </si>
  <si>
    <t>5965 - 788335</t>
  </si>
  <si>
    <t>5966 - 787618</t>
  </si>
  <si>
    <t>787697 - 788170 - 787700 - 5969</t>
  </si>
  <si>
    <t>787619 - 788172 - 786686 - 5971 - 967789 - 967786</t>
  </si>
  <si>
    <t>5981 - 5980 - 436251</t>
  </si>
  <si>
    <t>39 - 58 - 71 - 89</t>
  </si>
  <si>
    <t>786853 - 788168 - 787753 - 786657 - 788062 - 788164 - 788041 - 5984</t>
  </si>
  <si>
    <t>786807 - 5990 - 788094</t>
  </si>
  <si>
    <t>788633 - 788274 - 5999 - 788276 - 788278 - 786831 - 788275 - 788277 - 5998</t>
  </si>
  <si>
    <t>6004 - 788096</t>
  </si>
  <si>
    <t>6008 - 6007 - 786767 - 786816</t>
  </si>
  <si>
    <t>6010 - 788079 - 6011</t>
  </si>
  <si>
    <t>6013 - 6016 - 6015 - 6014 - 788078</t>
  </si>
  <si>
    <t>787742 - 6018 - 6017</t>
  </si>
  <si>
    <t>6020 - 6006 - 786830</t>
  </si>
  <si>
    <t>6026 - 6061 - 436224 - 436223</t>
  </si>
  <si>
    <t>6034 - 788325 - 436227 - 6033</t>
  </si>
  <si>
    <t>6037 - 6038 - 434665</t>
  </si>
  <si>
    <t>6046 - 787731</t>
  </si>
  <si>
    <t>6044 - 6045 - 6043 - 6058</t>
  </si>
  <si>
    <t>152678 - 131128 - 160131 - 81168 - 81067 - 608142</t>
  </si>
  <si>
    <t>Alchémille toute maigre</t>
  </si>
  <si>
    <t>161931 - 608631 - 614993 - 161932</t>
  </si>
  <si>
    <t>Faux thuya à dolabres, Thuyopsis</t>
  </si>
  <si>
    <t>149350 - 149342 - 138691 - 149352 - 149353 - 113038 - 608746 - 112991 - 112985</t>
  </si>
  <si>
    <t>Alpiste bleuissant, Alpiste bleuâtre</t>
  </si>
  <si>
    <t>131540 - 131557 - 127997 - 128032 - 621902 - 83324 - 83406 - 608824</t>
  </si>
  <si>
    <t>Arabette à feuilles de serpolet</t>
  </si>
  <si>
    <t>6092 - 6091</t>
  </si>
  <si>
    <t>619518 - 971470 - 112892 - 123368 - 123371 - 619519 - 123043 - 99659 - 98754 - 609224 - 979522 - 89258 - 87000 - 123947 - 123373 - 789078 - 123063</t>
  </si>
  <si>
    <t>Séséli faux peucédan, Séséli verdâtre, Gasparrinie faux peucédan</t>
  </si>
  <si>
    <t>787529 - 6093</t>
  </si>
  <si>
    <t>436124 - 6096 - 5498 - 5496 - 5499 - 436125 - 5497 - 788342 - 788098</t>
  </si>
  <si>
    <t>5501 - 6097 - 786861 - 788155</t>
  </si>
  <si>
    <t>787810 - 6099</t>
  </si>
  <si>
    <t>97894 - 97901 - 97897 - 97903 - 609982 - 146605 - 97896 - 146607 - 97895</t>
  </si>
  <si>
    <t>Fusain d'Europe, Bonnet-d'évêque</t>
  </si>
  <si>
    <t>97900 - 104451 - 146606 - 609983 - 134474</t>
  </si>
  <si>
    <t>Fusain à feuilles larges</t>
  </si>
  <si>
    <t>6103 - 6101 - 6102</t>
  </si>
  <si>
    <t>6105 - 787732 - 786832</t>
  </si>
  <si>
    <t>84975 - 137276 - 105891 - 105883 - 151590 - 105875 - 122357 - 105889 - 93191 - 161793 - 86835 - 105880 - 84978 - 86834 - 151591 - 105878 - 105930 - 105879 - 84963 - 151592 - 610580 - 105896 - 621711 - 84964 - 123064 - 84970 - 621709 - 123060 - 137275 - 105894 - 123032 - 987791 - 789181 - 84979 - 105882 - 1009938 - 137278 - 105877 - 621708 - 621712 - 621710 - 621705 - 105898 - 105876 - 621706 - 123001 - 105890 - 105886 - 84961 - 621713 - 105885 - 105895</t>
  </si>
  <si>
    <t>Libanotide des Pyrénées, Séséli libanotide, Libanotis des Pyrénées, Séséli libanotis</t>
  </si>
  <si>
    <t>Lysichiton d'Amérique, Faux arum</t>
  </si>
  <si>
    <t>610643 - 91219 - 122574 - 111843 - 91238 - 91246 - 140930 - 104002 - 1009898 - 140935 - 105851</t>
  </si>
  <si>
    <t>Jacobée maritime, Séneçon cinéraire, Cinéraire maritime</t>
  </si>
  <si>
    <t>153984 - 621741 - 610644 - 122595 - 140944 - 154827 - 154828 - 151507 - 811200 - 140963</t>
  </si>
  <si>
    <t>Jacobée à feuilles de barbarée, Séneçon à feuilles de barbarée, Jacobée erratique, Séneçon erratique</t>
  </si>
  <si>
    <t>21 - 25 - 90</t>
  </si>
  <si>
    <t>610646 - 122664 - 140968 - 1009912 - 122672 - 122737 - 104005 - 122607 - 122643 - 151511 - 122636 - 140967 - 122637 - 122618 - 122670 - 122633</t>
  </si>
  <si>
    <t>Jacobée commune, Séneçon jacobée, Herbe de Saint-Jacques</t>
  </si>
  <si>
    <t>137392 - 132325 - 106391 - 610662 - 137393 - 117740</t>
  </si>
  <si>
    <t>Fausse buglosse renflée, Grémil renflé, Grémil à pédoncules renflés</t>
  </si>
  <si>
    <t>Cabomba de Caroline</t>
  </si>
  <si>
    <t>100480 - 100500 - 452611 - 100494 - 100453 - 100518 - 100503 - 116201 - 100466 - 100485 - 100482 - 101073 - 610681 - 98662 - 94468 - 710919 - 446970 - 710920</t>
  </si>
  <si>
    <t>Pseudognaphale blanc-jaunâtre, Immortelle marronne</t>
  </si>
  <si>
    <t>152834 - 86059 - 86068 - 152831 - 86054 - 152835 - 152829 - 162076 - 86066 - 132148 - 610738 - 967590 - 86047 - 610737 - 132154 - 86067 - 152830 - 144294 - 152832 - 132155 - 86060 - 967601 - 86039 - 86044 - 86031 - 86040 - 86061 - 144295 - 132147</t>
  </si>
  <si>
    <t>Biscutella lime, Lunetière lime, Lunetière à feuilles en cornes de cerf, Lunetière de Lamotte, Lunetière de Méditerranée, Lunetière du granite, Lunetière intriquée, Lunetière pinnatifide</t>
  </si>
  <si>
    <t>93325 - 88003 - 83282 - 610746 - 97169 - 126331 - 123802 - 128003</t>
  </si>
  <si>
    <t>Fausse arabette des sables, Fausse cardamine des sables, Arabette des sables, Cholot</t>
  </si>
  <si>
    <t>610791 - 718635 - 613450</t>
  </si>
  <si>
    <t>Agrostide gigantifère, Agrostis gigantifère</t>
  </si>
  <si>
    <t>621426 - 610820</t>
  </si>
  <si>
    <t>Alchémille molle</t>
  </si>
  <si>
    <t>610847 - 160133 - 143453 - 82081 - 82082</t>
  </si>
  <si>
    <t>Ambroisie à épis dégarnis, Ambroisie à feuilles de sénebière</t>
  </si>
  <si>
    <t>122141 - 84779 - 92790 - 122148 - 610868 - 82232 - 122193 - 122264</t>
  </si>
  <si>
    <t>Orpin bâtard, Phédime bâtard</t>
  </si>
  <si>
    <t>787815 - 436238 - 788690 - 787190 - 6109</t>
  </si>
  <si>
    <t>146220 - 133926 - 610901 - 612660 - 106654 - 95280 - 133924 - 95275 - 984830 - 95282 - 133925 - 133928 - 95263 - 95272 - 95268</t>
  </si>
  <si>
    <t>Lotier herbacé, Dorycnie herbacée, Dorycnium herbacé</t>
  </si>
  <si>
    <t>82321 - 610909 - 82343</t>
  </si>
  <si>
    <t>Lysimaque des champs, Mouron, Mouron des champs, Mouron rouge</t>
  </si>
  <si>
    <t>108520 - 610910 - 82326 - 89898 - 89899 - 89902 - 82335 - 82342 - 82319</t>
  </si>
  <si>
    <t>Lysimaque minime, Petit mouron, Centenille, Centenille minime, Centenille naine</t>
  </si>
  <si>
    <t>610911 - 773080 - 771742 - 107088 - 773747 - 773316 - 127208 - 127207 - 81689</t>
  </si>
  <si>
    <t>Lysimaque d'Europe, Trientale d'Europe</t>
  </si>
  <si>
    <t>153556 - 110421 - 610963 - 148992 - 138345 - 937732 - 138274 - 138344 - 149009 - 621442 - 138271 - 138348 - 937777 - 620040 - 138354 - 110484 - 138339 - 620041 - 138273</t>
  </si>
  <si>
    <t>Ophrys verdissant, Ophrys litigieux, Ophrys petite-araignée</t>
  </si>
  <si>
    <t>124268 - 80382 - 108856 - 104792 - 91149 - 104741 - 610994 - 124238 - 102367 - 124226</t>
  </si>
  <si>
    <t>Laitue de Plumier, Cicerbite de Plumier, Laitue des montagnes, Laiteron de Plumier</t>
  </si>
  <si>
    <t>104737 - 104761 - 108961 - 90958 - 108960 - 91148 - 621749 - 104752 - 112923 - 112920 - 115810 - 610995 - 115808</t>
  </si>
  <si>
    <t>Laitue des murs, Mycélide des murs, Mycélis des murs, Pendrille</t>
  </si>
  <si>
    <t>105235 - 137121 - 137138 - 611009 - 105202 - 154463 - 105234 - 108013 - 148082 - 148087 - 612641 - 718245 - 619816 - 105215 - 105218 - 148081 - 951195 - 612640 - 621645 - 161878 - 137128 - 153418 - 137119 - 619817 - 137120 - 137137 - 137127 - 153419</t>
  </si>
  <si>
    <t>Gesse ochracée, Gesse de l'Occident, Gesse jaune, Gesse d'Occident</t>
  </si>
  <si>
    <t>Lespédèza de Thunberg</t>
  </si>
  <si>
    <t>6111 - 6113 - 6112</t>
  </si>
  <si>
    <t>943086 - 611162</t>
  </si>
  <si>
    <t>Doronic élevé</t>
  </si>
  <si>
    <t>611165 - 621483 - 789173</t>
  </si>
  <si>
    <t>Fausse jacinthe de Massart, Fausse jacinthe hybride</t>
  </si>
  <si>
    <t>Hybride entre le Chiendent des champs et le Chiendent intermédiaire</t>
  </si>
  <si>
    <t>611295 - 621571 - 621568 - 116500 - 91032 - 91070 - 113604 - 621569 - 87008 - 90453 - 107441 - 113605 - 621570</t>
  </si>
  <si>
    <t>Chrysanthème à couronne, Chrysanthème couronné, Pinardie couronnée, Chrysanthème des jardins, Glébionide couronnée</t>
  </si>
  <si>
    <t>91535 - 611298 - 91615 - 88286 - 91473 - 91574</t>
  </si>
  <si>
    <t>Cirse moyen, Cirse de Ziz</t>
  </si>
  <si>
    <t>137201 - 105523 - 621594 - 148131 - 611356 - 621593 - 100812 - 100816 - 105517 - 612628 - 105499 - 143665 - 83120 - 612627 - 137202 - 83111</t>
  </si>
  <si>
    <t>Liondent des Pyrénées, Fausse scorsonère des Pyrénées</t>
  </si>
  <si>
    <t>Utriculaire stygienne, Utriculaire du Nord</t>
  </si>
  <si>
    <t>611481 - 115805 - 101553 - 103587 - 105483 - 125531 - 102668 - 93019 - 101745 - 102779 - 80340</t>
  </si>
  <si>
    <t>Laiteron bulbeux, Crépis bulbeux, Crépide bulbeuse, Éthéorhize bulbeuse</t>
  </si>
  <si>
    <t>119031 - 985178 - 811038 - 611499</t>
  </si>
  <si>
    <t>Ronce pruineuse, Ronce à feuilles de noisetier</t>
  </si>
  <si>
    <t>6117 - 6115 - 788374 - 786828 - 436241 - 6116</t>
  </si>
  <si>
    <t>119315 - 719140 - 611507 - 119393 - 160376</t>
  </si>
  <si>
    <t>Ronce à petits crochets</t>
  </si>
  <si>
    <t>120397 - 120398 - 120425 - 120385 - 120569 - 120278 - 120314 - 120423 - 120378 - 120464 - 151129 - 151143 - 120410 - 611558 - 120451 - 120317 - 153942 - 153945 - 151142 - 120361 - 614662 - 153946 - 120128 - 120434</t>
  </si>
  <si>
    <t>Saule de Smith</t>
  </si>
  <si>
    <t>Sauge réfléchie</t>
  </si>
  <si>
    <t>114917 - 621477 - 611642 - 114899</t>
  </si>
  <si>
    <t>Persicaire bicolore, Renouée de Silésie</t>
  </si>
  <si>
    <t>1016618 - 611644</t>
  </si>
  <si>
    <t>Nymphéa de Latour-Marliac</t>
  </si>
  <si>
    <t>621640 - 611652 - 125449 - 152075 - 123993 - 141504 - 125448 - 125451 - 125447 - 125452</t>
  </si>
  <si>
    <t>Dioscorée commune, Tamier commun, Herbe aux femmes battues, Taminier, Sceau-de-Notre-Dame</t>
  </si>
  <si>
    <t>125710 - 125637 - 125655 - 719174 - 719182 - 125482 - 611672 - 125787 - 125796</t>
  </si>
  <si>
    <t>Pissenlit de Wallonie</t>
  </si>
  <si>
    <t>103589 - 96734 - 127579 - 84654 - 125925 - 611688 - 619401</t>
  </si>
  <si>
    <t>Érigéron âcre, Vergerette âcre</t>
  </si>
  <si>
    <t>611690 - 145682 - 96751 - 92384 - 92381 - 92391 - 92394 - 96765 - 95009</t>
  </si>
  <si>
    <t>Érigéron très fleuri, Conyze très fleurie, Vergerette à fleurs nombreuses, Vergerette très fleurie</t>
  </si>
  <si>
    <t>90745 - 611753 - 90689 - 85038 - 82073 - 111778 - 145493 - 90811 - 632436 - 130054 - 90684 - 82078 - 133235 - 86106 - 90829 - 90821 - 86208 - 133249 - 611759</t>
  </si>
  <si>
    <t>Chénopode fausse-ambroisie, Herbe à vers, Herbe amère, Herbe aux vers, Semen-contra, Semencine</t>
  </si>
  <si>
    <t>90700 - 611755 - 109494 - 118896 - 86204 - 85051 - 130055 - 90698 - 90743 - 86209 - 82075 - 125867</t>
  </si>
  <si>
    <t>Chénopode botryde, Chénopode à grappes, Dysphanie botryde</t>
  </si>
  <si>
    <t>82076 - 90823 - 90744 - 90766 - 90782 - 111780 - 85094 - 118897 - 611760</t>
  </si>
  <si>
    <t>Chénopode multifide, Dysphanie multifide</t>
  </si>
  <si>
    <t>611762 - 106456 - 98708 - 98709</t>
  </si>
  <si>
    <t>Cotonnière intermédiaire, Logfie intermédiaire</t>
  </si>
  <si>
    <t>6118 - 786751 - 436243 - 436242</t>
  </si>
  <si>
    <t>618677 - 611902 - 130872 - 80360 - 142657 - 618678 - 618676 - 618675 - 80357 - 142659 - 615211</t>
  </si>
  <si>
    <t>Petite ciguë élevée, Éthuse élevée, Fausse petite ciguë</t>
  </si>
  <si>
    <t>612142 - 147932</t>
  </si>
  <si>
    <t>Jonc ténu, Jonc grêle</t>
  </si>
  <si>
    <t>621724 - 612282 - 138810 - 113582 - 127051</t>
  </si>
  <si>
    <t>Boucage noir, Pimpinelle noire</t>
  </si>
  <si>
    <t>82701 - 612392 - 154281 - 82719 - 131415 - 82713 - 154282 - 621544 - 103576 - 82720</t>
  </si>
  <si>
    <t>Angélique de Bernard, Angélique assez élevée</t>
  </si>
  <si>
    <t>6126 - 788376 - 6124 - 788375 - 6125 - 788080</t>
  </si>
  <si>
    <t>137391 - 612420</t>
  </si>
  <si>
    <t>Fausse buglosse des champs, Grémil des champs</t>
  </si>
  <si>
    <t>135143 - 612436</t>
  </si>
  <si>
    <t>Ciste en ombelle, Hélianthème à bouquets, Hélianthème en ombelle, Halimium en ombelle</t>
  </si>
  <si>
    <t>Ciguë maculée, Grande ciguë, Ciguë tachetée, Ciguë tachée</t>
  </si>
  <si>
    <t>95935 - 612462 - 134063</t>
  </si>
  <si>
    <t>Éléocharide de Walters, Éléocharide commune, Scirpe commun, Souchet commun, Éléocharis de Walters</t>
  </si>
  <si>
    <t>612466 - 97501</t>
  </si>
  <si>
    <t>Euphorbe réveil-matin</t>
  </si>
  <si>
    <t>131886 - 612471</t>
  </si>
  <si>
    <t>Aster linosyris, Linosyris, Linosyris à feuilles de Lin, Aster linosyride, Linosyride commune, Linosyride, Galatelle linosyride</t>
  </si>
  <si>
    <t>719267 - 162148 - 613682 - 612482 - 162150 - 109652 - 138086</t>
  </si>
  <si>
    <t>Gymnadénie de Rhellicanus, Nigritelle de Rhellicanus</t>
  </si>
  <si>
    <t>138080 - 789375 - 621659 - 109646 - 138084 - 612485 - 162145 - 138078 - 719336 - 138085 - 138081</t>
  </si>
  <si>
    <t>Gymnadénie d'Autriche, Nigritelle d'Autriche</t>
  </si>
  <si>
    <t>102975 - 102978 - 136688 - 136684 - 612498 - 102996 - 102997 - 136687 - 102989 - 102979 - 136685 - 153342 - 136677 - 102962</t>
  </si>
  <si>
    <t>Orge commune, Orge à six rangs, Escourgeon, Orge d'hiver, Orge carrée, Orge à quatre rangs</t>
  </si>
  <si>
    <t>105520 - 137203 - 126432 - 811051 - 137207 - 137204 - 612505 - 137206 - 126428 - 141686 - 125222 - 141683</t>
  </si>
  <si>
    <t>Liondent de Roth, Liondent à rostre long, Liondent à bec long</t>
  </si>
  <si>
    <t>1014916 - 148257 - 612510 - 106301 - 106292 - 106317 - 137362 - 137389 - 106332</t>
  </si>
  <si>
    <t>104435 - 945958 - 945959 - 612513 - 106744</t>
  </si>
  <si>
    <t>Ludwigie à six pétales</t>
  </si>
  <si>
    <t>Phélipanche pourpre, Orobanche pourpre</t>
  </si>
  <si>
    <t>Scrofulaire auriculée</t>
  </si>
  <si>
    <t>141613 - 126180 - 621460 - 126193 - 935987 - 154093 - 126190 - 612576 - 929012 - 935988 - 126113 - 154106 - 935995 - 126191 - 154100 - 154101 - 126091</t>
  </si>
  <si>
    <t>Pigamon des prés, Grand pigamon</t>
  </si>
  <si>
    <t>126291 - 154588 - 126295 - 126300 - 612577</t>
  </si>
  <si>
    <t>91697 - 621556 - 100894 - 100985 - 91716 - 147553 - 100725 - 100727 - 612609 - 100726 - 153272 - 100982 - 100720 - 100893 - 135141 - 100959 - 91632</t>
  </si>
  <si>
    <t>Ciste faux alysson, Halimium faux alysson, Hélianthème faux alysson</t>
  </si>
  <si>
    <t>613698 - 613700 - 89259 - 621721 - 149301 - 153614 - 1002794 - 153613 - 122376 - 612611 - 83209 - 613701 - 613699</t>
  </si>
  <si>
    <t>Persil crépu, Persil cultivé</t>
  </si>
  <si>
    <t>127584 - 153116 - 96810 - 96774 - 612619 - 96752 - 96786 - 146467 - 125928 - 96796 - 146468 - 92408 - 127589 - 96791 - 96748</t>
  </si>
  <si>
    <t>612622 - 96808</t>
  </si>
  <si>
    <t>Érigéron tardif, Vergerette tardive</t>
  </si>
  <si>
    <t>142496 - 154831 - 142495 - 142497 - 612629 - 811164 - 617142 - 130481</t>
  </si>
  <si>
    <t>Lampourde d’Italie</t>
  </si>
  <si>
    <t>Lampourde d'Orient, Lampourde à gros fruits</t>
  </si>
  <si>
    <t>105544 - 612632 - 137212 - 100478 - 123710 - 105545 - 82801 - 98702 - 98686</t>
  </si>
  <si>
    <t>Édelweiss des Alpes</t>
  </si>
  <si>
    <t>621627 - 621630 - 131328 - 131335 - 82322 - 82340 - 621629 - 131330 - 621631 - 82341 - 160515 - 721716 - 82324 - 612638 - 82339 - 160514 - 621628 - 82334 - 82330 - 82320 - 621632 - 82325</t>
  </si>
  <si>
    <t>Lysimaque des champs, Mouron rouge, Mouron des champs, Fausse morgeline</t>
  </si>
  <si>
    <t>141040 - 105887 - 123056 - 982192 - 84982 - 789182 - 612645</t>
  </si>
  <si>
    <t>Libanotide intermédiaire, Libanotis intermédiaire</t>
  </si>
  <si>
    <t>137277 - 141039 - 613694 - 612646 - 613695</t>
  </si>
  <si>
    <t>612655 - 140965</t>
  </si>
  <si>
    <t>132575 - 612663 - 88004 - 131531</t>
  </si>
  <si>
    <t>Fausse arabette de Borbás, Fausse cardamine de Borbás, Arabette de Borbás</t>
  </si>
  <si>
    <t>143712 - 83404 - 88008 - 132574 - 83372 - 612664 - 143713 - 621780 - 83354 - 132576</t>
  </si>
  <si>
    <t>139472 - 613124</t>
  </si>
  <si>
    <t>129505 - 108658 - 129631 - 152592 - 142291 - 129554 - 129690 - 129577 - 129720 - 152505 - 142292 - 142281 - 129566 - 108661 - 129689 - 129608 - 129658 - 129707 - 129609 - 129491 - 142429 - 129517 - 129621 - 152590 - 108653 - 142283 - 129677 - 129509 - 129706 - 152504 - 613129 - 142284 - 129490</t>
  </si>
  <si>
    <t>104092 - 104117 - 104273 - 104234 - 137502 - 106843 - 613135 - 106815</t>
  </si>
  <si>
    <t>131322 - 613137</t>
  </si>
  <si>
    <t>Anacamptide pyramidale, Orchis pyramidal, Anacamptide en pyramide</t>
  </si>
  <si>
    <t>Agrostide des chiens, Agrostide canine, Traînasse, Agrostis des chiens</t>
  </si>
  <si>
    <t>145223 - 132824 - 613147</t>
  </si>
  <si>
    <t>Laîche des ombrages, Laîche des lieux ombragés, Laîche à racines nombreuses</t>
  </si>
  <si>
    <t>134032 - 95760 - 134031 - 95794 - 95746 - 153102 - 95753 - 613150 - 146318 - 95759</t>
  </si>
  <si>
    <t>Vipérine commune, Vipérine vulgaire</t>
  </si>
  <si>
    <t>145459 - 613487 - 961361 - 613486 - 133205 - 90325 - 145457</t>
  </si>
  <si>
    <t>Cerfeuil de villard, Chérophylle de Villars</t>
  </si>
  <si>
    <t>147649 - 147645 - 613824 - 613825 - 613827 - 613826 - 613822 - 613823 - 613532</t>
  </si>
  <si>
    <t>Berce sphondyle, Grande berce, Berce commune, Patte-d'ours</t>
  </si>
  <si>
    <t>613556 - 138624 - 112549 - 112553 - 112548 - 149276</t>
  </si>
  <si>
    <t>Panais des champs, Panais sauvage, Panais sylvestre</t>
  </si>
  <si>
    <t>786649 - 6136</t>
  </si>
  <si>
    <t>613607 - 613608</t>
  </si>
  <si>
    <t>Silaüs des prés, Silaüs jaunâtre</t>
  </si>
  <si>
    <t>613609 - 621725</t>
  </si>
  <si>
    <t>Silaüs des prés à feuilles étroites</t>
  </si>
  <si>
    <t>613626 - 108666 - 142288 - 621429 - 129653</t>
  </si>
  <si>
    <t>Violette méprisée, Pensée méprisée</t>
  </si>
  <si>
    <t>130969 - 80640 - 130968 - 80585 - 621657 - 142822 - 142900 - 142812 - 142984 - 152480 - 130922 - 124718 - 130981 - 130932 - 130979 - 130928 - 719305 - 142800 - 719306 - 142821 - 130958 - 80733 - 80636 - 130983 - 80668 - 142985 - 80664 - 142962 - 80761 - 142950 - 142777 - 613631 - 718634 - 130987 - 80571</t>
  </si>
  <si>
    <t>Agrostide stolonifère des sables, Agrostis stolonifère des sables</t>
  </si>
  <si>
    <t>613671 - 140000</t>
  </si>
  <si>
    <t>6137 - 787721</t>
  </si>
  <si>
    <t>613805 - 621473 - 150260 - 150285 - 139420 - 150259 - 116113 - 139421 - 150255 - 150256</t>
  </si>
  <si>
    <t>Myrobolan à feuillage rouge, Prunier de Pissard, Prunier d'ornement, Prunier pourpre noir</t>
  </si>
  <si>
    <t>Prunier porte-cerise, Mirobolan, Prunier myrobolan</t>
  </si>
  <si>
    <t>786665 - 788513 - 788115 - 6141 - 788114 - 788514 - 788125</t>
  </si>
  <si>
    <t>614967 - 109944 - 109945 - 608202</t>
  </si>
  <si>
    <t>Onagre d'Oehlkers</t>
  </si>
  <si>
    <t>786838 - 787070 - 786663 - 6153 - 787776 - 787495 - 714430 - 786639 - 787921</t>
  </si>
  <si>
    <t>787757 - 6159 - 787638 - 787395 - 787146</t>
  </si>
  <si>
    <t>787576 - 6164 - 786810 - 787587 - 786602 - 787057 - 787586 - 787397 - 6163 - 788111</t>
  </si>
  <si>
    <t>787256 - 787267 - 6167 - 787261 - 787575 - 788108 - 786801 - 787368</t>
  </si>
  <si>
    <t>616766 - 134169 - 610502 - 146412 - 146428 - 146408 - 621560 - 134168 - 102835 - 974315</t>
  </si>
  <si>
    <t>Prêle de Mackay, Prêle à dents rudes</t>
  </si>
  <si>
    <t>6182 - 6183</t>
  </si>
  <si>
    <t>82409 - 86898 - 82385 - 86904 - 82386 - 86896 - 86899 - 86901 - 82380 - 82365 - 143489 - 143490 - 143488 - 618756 - 82373 - 82395</t>
  </si>
  <si>
    <t>Buglosse d'Italie, Buglosse azurée</t>
  </si>
  <si>
    <t>89892 - 998491 - 619068 - 89890</t>
  </si>
  <si>
    <t>Centranthe intermédiaire</t>
  </si>
  <si>
    <t>90848 - 619104 - 90840 - 90838</t>
  </si>
  <si>
    <t>Chénopode de Borbás</t>
  </si>
  <si>
    <t>Canche cespiteuse</t>
  </si>
  <si>
    <t>146588 - 97611 - 146589 - 619438 - 97700 - 97639 - 97707 - 154368</t>
  </si>
  <si>
    <t>Euphorbe d'Illyrie, Euphorbe poilue, Euphorbe velue</t>
  </si>
  <si>
    <t>137782 - 108200 - 137786 - 108251 - 108330 - 108262 - 108240 - 619927 - 137774 - 137793</t>
  </si>
  <si>
    <t>Poirier commun</t>
  </si>
  <si>
    <t>787866 - 787865 - 787862 - 787773 - 6204</t>
  </si>
  <si>
    <t>Renoncule flammette élevée</t>
  </si>
  <si>
    <t>611515 - 620515</t>
  </si>
  <si>
    <t>140547 - 140551 - 115771 - 115777 - 140545 - 139345 - 120747 - 115776 - 115768 - 620593 - 151165 - 139346 - 151167 - 120746 - 150209 - 150213 - 120771 - 151182 - 120743 - 120751 - 115796 - 115773 - 151163 - 150215 - 120744 - 151172 - 115780 - 151166 - 115779 - 620592 - 140546 - 150216 - 151169</t>
  </si>
  <si>
    <t>787867 - 787857 - 6206 - 787874 - 787872</t>
  </si>
  <si>
    <t>6208 - 787864 - 786757</t>
  </si>
  <si>
    <t>131316 - 141858 - 127512 - 127296 - 82150 - 620954</t>
  </si>
  <si>
    <t>Trèfle élégant, Trèfle hybride élégant</t>
  </si>
  <si>
    <t>787878 - 6210 - 787868 - 788499 - 787875 - 786648 - 436537</t>
  </si>
  <si>
    <t>613780 - 114504 - 91967 - 110300 - 91286 - 621080 - 91341 - 91960 - 161867 - 145537 - 91309 - 91943 - 88196 - 88061 - 521682 - 613779 - 91279 - 91329</t>
  </si>
  <si>
    <t>Cirse acaule, Cirse sans tige</t>
  </si>
  <si>
    <t>153966 - 621132 - 121734 - 144303 - 86130 - 151307 - 160135 - 621133</t>
  </si>
  <si>
    <t>Bolbochoin à feuilles larges, Bolbochoin à larges feuilles</t>
  </si>
  <si>
    <t>955188 - 160924 - 608823 - 162407 - 621236 - 932299</t>
  </si>
  <si>
    <t>Blé à deux graines, Moyen épeautre, Amidonnier</t>
  </si>
  <si>
    <t>786756 - 6215 - 787869</t>
  </si>
  <si>
    <t>621585 - 621582 - 621586 - 621587 - 621581 - 113693 - 621583 - 621584</t>
  </si>
  <si>
    <t>Pin arrondi, Pin des fanges, Pin des tourbières</t>
  </si>
  <si>
    <t>787877 - 6216 - 786753</t>
  </si>
  <si>
    <t>621718 - 621717</t>
  </si>
  <si>
    <t>Panais des prés</t>
  </si>
  <si>
    <t>621764 - 621765 - 612414</t>
  </si>
  <si>
    <t>Bolbochoin de Yagara</t>
  </si>
  <si>
    <t>6218 - 787656 - 788495 - 786755 - 787873</t>
  </si>
  <si>
    <t>6220 - 787775 - 787774 - 788498 - 6221</t>
  </si>
  <si>
    <t>786655 - 6230 - 786770 - 787624</t>
  </si>
  <si>
    <t>786537 - 788068 - 6235 - 6233 - 793165</t>
  </si>
  <si>
    <t>786772 - 6237 - 787655 - 787860 - 787625</t>
  </si>
  <si>
    <t>787305 - 6242 - 6241</t>
  </si>
  <si>
    <t>713104 - 787904 - 714585 - 6251 - 6252</t>
  </si>
  <si>
    <t>786983 - 6256 - 786760 - 792074 - 786955 - 6255 - 788567 - 788566 - 6254</t>
  </si>
  <si>
    <t>6257 - 787217</t>
  </si>
  <si>
    <t>6258 - 770359</t>
  </si>
  <si>
    <t>6260 - 787879 - 6259 - 787087</t>
  </si>
  <si>
    <t>6261 - 787096 - 6262</t>
  </si>
  <si>
    <t>6267 - 786945</t>
  </si>
  <si>
    <t>77319 - 627047 - 1009758</t>
  </si>
  <si>
    <t>932019 - 693754 - 693755 - 693760 - 693757 - 627092 - 693759 - 693763 - 693758 - 693756 - 693761 - 693762 - 693765 - 693764</t>
  </si>
  <si>
    <t>788697 - 6271</t>
  </si>
  <si>
    <t>694543 - 694550 - 694546 - 694549 - 694548 - 694552 - 694547 - 694553 - 694545 - 694551 - 694544 - 627574</t>
  </si>
  <si>
    <t>694559 - 694558 - 694557 - 694563 - 694561 - 694554 - 627575 - 694560 - 694564 - 694555 - 694562 - 694556</t>
  </si>
  <si>
    <t>694591 - 694589 - 694568 - 694590 - 694569 - 694576 - 694578 - 694570 - 931988 - 694575 - 694577 - 693745 - 694579 - 931989 - 694567 - 694574 - 694582 - 694587 - 694566 - 694581 - 694583 - 694585 - 694584 - 694573 - 694572 - 627577 - 932018 - 931987 - 694588 - 694580 - 694565 - 627657 - 694592 - 694586 - 694571</t>
  </si>
  <si>
    <t>694606 - 694609 - 694608 - 694602 - 694599 - 694594 - 694612 - 694601 - 694596 - 694597 - 694611 - 694593 - 694598 - 694617 - 627578 - 694603 - 694600 - 694613 - 694610 - 694616 - 694615 - 694607 - 694605 - 694595</t>
  </si>
  <si>
    <t>694624 - 694623 - 694625 - 694626 - 694620 - 694622 - 694621 - 74351 - 694619 - 694618 - 627579 - 694627</t>
  </si>
  <si>
    <t>6282 - 786977</t>
  </si>
  <si>
    <t>6289 - 787646</t>
  </si>
  <si>
    <t>787104 - 788444 - 788446 - 6294 - 788443</t>
  </si>
  <si>
    <t>787842 - 788445 - 787046 - 6296</t>
  </si>
  <si>
    <t>787144 - 787111 - 6314 - 6315 - 770420</t>
  </si>
  <si>
    <t>787900 - 786948 - 787252 - 787247 - 786875 - 6317</t>
  </si>
  <si>
    <t>6319 - 787083 - 787993</t>
  </si>
  <si>
    <t>436703 - 787992 - 6326 - 770390</t>
  </si>
  <si>
    <t>6328 - 786835 - 787991</t>
  </si>
  <si>
    <t>786974 - 6334 - 6333</t>
  </si>
  <si>
    <t>787124 - 787248 - 6361 - 788459 - 787250 - 6364 - 788460 - 436700</t>
  </si>
  <si>
    <t>6362 - 788461</t>
  </si>
  <si>
    <t>6367 - 786573 - 788104 - 786997</t>
  </si>
  <si>
    <t>6369 - 6368 - 788103 - 786708</t>
  </si>
  <si>
    <t>6387 - 6388 - 787155 - 788570 - 786805 - 6386 - 788584 - 6389 - 788547 - 963022 - 787445 - 786964 - 787359 - 787150 - 787792</t>
  </si>
  <si>
    <t>620073 - 639585 - 639063 - 149141 - 138497 - 1002723</t>
  </si>
  <si>
    <t>Oxalide corniculée pourpre-noir, Oxalis corniculé pourpre-noir</t>
  </si>
  <si>
    <t>639113 - 448094 - 639114 - 1009230 - 639111 - 639112</t>
  </si>
  <si>
    <t>Euphorbe à feuilles de millepertuis, Jean Belan, Jean Bélan</t>
  </si>
  <si>
    <t>787720 - 787200 - 787670 - 786623 - 6393 - 786813 - 786738 - 786965 - 6390 - 6392 - 6391</t>
  </si>
  <si>
    <t>787064 - 787220 - 787549 - 787668 - 6396 - 786761 - 786593 - 787645 - 788043 - 788048 - 787107 - 770370 - 788049 - 786718 - 787966</t>
  </si>
  <si>
    <t>786610 - 787063 - 787132 - 788033 - 6408 - 787039 - 788047 - 787108 - 6407 - 786949 - 787125</t>
  </si>
  <si>
    <t>786898 - 778930 - 6417 - 787184 - 788556 - 786693</t>
  </si>
  <si>
    <t>770372 - 6418 - 787054</t>
  </si>
  <si>
    <t>787905 - 788144 - 6424 - 6425 - 787348 - 787349</t>
  </si>
  <si>
    <t>787898 - 6446 - 788463 - 790168 - 787328 - 790167 - 787944 - 6449 - 770363 - 788464 - 787782 - 787330 - 6447</t>
  </si>
  <si>
    <t>788640 - 790162 - 6450 - 770364 - 790161</t>
  </si>
  <si>
    <t>436592 - 787947 - 6452 - 6440 - 790171 - 790170 - 787999 - 787945 - 787556 - 787329 - 787227 - 6451</t>
  </si>
  <si>
    <t>790172 - 6454 - 787400 - 787042 - 786561 - 786779 - 787332 - 787399 - 770362</t>
  </si>
  <si>
    <t>786583 - 787950 - 786586 - 787326 - 788466 - 788465 - 787783 - 787946 - 787444 - 6455</t>
  </si>
  <si>
    <t>787090 - 786717 - 6462</t>
  </si>
  <si>
    <t>6466 - 787616 - 787601 - 787008</t>
  </si>
  <si>
    <t>786607 - 6468 - 786938 - 788478</t>
  </si>
  <si>
    <t>788477 - 788056 - 6474 - 788476 - 787102</t>
  </si>
  <si>
    <t>6480 - 6479 - 787095 - 788441</t>
  </si>
  <si>
    <t>787100 - 6483</t>
  </si>
  <si>
    <t>676684 - 648710 - 676685 - 676686 - 932017</t>
  </si>
  <si>
    <t>6493 - 810860 - 790989 - 786628 - 810862 - 810861 - 777524 - 786940 - 787391 - 788424 - 788425 - 787195 - 6491 - 6492 - 788422 - 787197 - 963375 - 788423</t>
  </si>
  <si>
    <t>787196 - 787228 - 6495 - 786567 - 787056</t>
  </si>
  <si>
    <t>6500 - 788426 - 786988 - 728023 - 788421</t>
  </si>
  <si>
    <t>6506 - 787976 - 6505 - 787226 - 787748</t>
  </si>
  <si>
    <t>786697 - 787903 - 786669 - 6507</t>
  </si>
  <si>
    <t>6508 - 787373 - 787749</t>
  </si>
  <si>
    <t>787094 - 788102 - 787750 - 6511 - 6510 - 787723 - 787237</t>
  </si>
  <si>
    <t>787333 - 788178 - 6513</t>
  </si>
  <si>
    <t>21 - 58 - 70 - 90</t>
  </si>
  <si>
    <t>6514 - 786869</t>
  </si>
  <si>
    <t>6517 - 787334</t>
  </si>
  <si>
    <t>787306 - 786985 - 786640 - 6518 - 787340</t>
  </si>
  <si>
    <t>787342 - 787335 - 786609 - 6519 - 787363 - 786989</t>
  </si>
  <si>
    <t>6525 - 787294</t>
  </si>
  <si>
    <t>786793 - 6527 - 787953</t>
  </si>
  <si>
    <t>688475 - 688490 - 688470 - 688483 - 688481 - 688476 - 688468 - 688491 - 688471 - 688494 - 688495 - 688465 - 688492 - 688467 - 688472 - 688484 - 688479 - 688485 - 688482 - 688473 - 652780 - 688469 - 688466 - 688477 - 688488 - 688464 - 688486 - 688489 - 688493 - 688478 - 688474 - 688487</t>
  </si>
  <si>
    <t>788214 - 788119 - 6530 - 6531 - 787338 - 6529 - 787089</t>
  </si>
  <si>
    <t>786871 - 6532 - 786794</t>
  </si>
  <si>
    <t>6536 - 786695 - 786798</t>
  </si>
  <si>
    <t>787404 - 788510 - 6538</t>
  </si>
  <si>
    <t>6539 - 787344 - 787377 - 786634 - 787954</t>
  </si>
  <si>
    <t>787345 - 788507 - 787122 - 788509 - 787341 - 6540 - 787956 - 787955 - 787664 - 787641 - 788508 - 787307</t>
  </si>
  <si>
    <t>787430 - 6550</t>
  </si>
  <si>
    <t>39 - 58</t>
  </si>
  <si>
    <t>786563 - 786877 - 787510 - 787506 - 6554 - 787504 - 787509 - 786562 - 786594</t>
  </si>
  <si>
    <t>786994 - 6555 - 6556</t>
  </si>
  <si>
    <t>956973 - 714384 - 714387 - 788470 - 6246 - 655656 - 714389 - 714383 - 787351 - 788469 - 787288 - 714388</t>
  </si>
  <si>
    <t>787561 - 786709 - 6558 - 787883</t>
  </si>
  <si>
    <t>787109 - 788532 - 787508 - 788533 - 787117 - 786550 - 788219 - 788000 - 6563</t>
  </si>
  <si>
    <t>25 - 39 - 58 - 71</t>
  </si>
  <si>
    <t>810768 - 6574 - 787010 - 6573 - 810809 - 782547 - 786975 - 6576</t>
  </si>
  <si>
    <t>6577 - 788430</t>
  </si>
  <si>
    <t>786899 - 787426 - 786928 - 787222 - 787477 - 6596</t>
  </si>
  <si>
    <t>788641 - 714204 - 788475 - 786993 - 787453 - 788474 - 6598</t>
  </si>
  <si>
    <t>788053 - 436643 - 788473 - 786638 - 6600 - 786895 - 786891 - 786658</t>
  </si>
  <si>
    <t>786944 - 787273 - 788516 - 787048 - 787365 - 786683 - 787164 - 6609</t>
  </si>
  <si>
    <t>787706 - 786588 - 6610 - 786646 - 787346 - 787120</t>
  </si>
  <si>
    <t>787707 - 6611 - 770479 - 787375</t>
  </si>
  <si>
    <t>788117 - 786590 - 6613 - 6615 - 787088 - 787097 - 770475 - 6616 - 6614 - 787311</t>
  </si>
  <si>
    <t>770786 - 6617 - 786839 - 786740</t>
  </si>
  <si>
    <t>6623 - 786647</t>
  </si>
  <si>
    <t>787880 - 786552 - 6628</t>
  </si>
  <si>
    <t>6629 - 786711 - 788012</t>
  </si>
  <si>
    <t>787312 - 6632 - 786980 - 787380 - 770489 - 786592 - 787906 - 787458 - 786998</t>
  </si>
  <si>
    <t>6635 - 787412</t>
  </si>
  <si>
    <t>787553 - 788429 - 6637 - 788011</t>
  </si>
  <si>
    <t>788523 - 788428 - 6638 - 786910 - 788427</t>
  </si>
  <si>
    <t>6640 - 787414 - 787173 - 787381 - 787413</t>
  </si>
  <si>
    <t>6642 - 788653 - 787908 - 787519</t>
  </si>
  <si>
    <t>770361 - 6645</t>
  </si>
  <si>
    <t>787119 - 6650</t>
  </si>
  <si>
    <t>787297 - 787004 - 6653 - 787545 - 786784 - 788458</t>
  </si>
  <si>
    <t>787165 - 6654 - 788457 - 787103</t>
  </si>
  <si>
    <t>786943 - 6657</t>
  </si>
  <si>
    <t>786967 - 718840 - 787296 - 787259 - 6662 - 6663</t>
  </si>
  <si>
    <t>6665 - 786987 - 6666 - 787257 - 787145</t>
  </si>
  <si>
    <t>787260 - 787101 - 6668 - 787225</t>
  </si>
  <si>
    <t>786672 - 6669 - 787394 - 6670 - 787258 - 786710 - 6671 - 787762 - 6672</t>
  </si>
  <si>
    <t>787278 - 787648 - 6677 - 788448 - 788447</t>
  </si>
  <si>
    <t>6678 - 787000</t>
  </si>
  <si>
    <t>788449 - 6680 - 788453</t>
  </si>
  <si>
    <t>788546 - 788531 - 786748 - 6681 - 787647</t>
  </si>
  <si>
    <t>787313 - 786766 - 788637 - 787848 - 787650 - 786533 - 787847 - 6683 - 788452 - 787849 - 788451 - 786750</t>
  </si>
  <si>
    <t>6696 - 6697 - 787909</t>
  </si>
  <si>
    <t>6699 - 787612 - 786575</t>
  </si>
  <si>
    <t>786825 - 787385 - 6709 - 786942 - 6708</t>
  </si>
  <si>
    <t>787468 - 788420 - 787182 - 787176 - 6710</t>
  </si>
  <si>
    <t>6712 - 787967 - 6713</t>
  </si>
  <si>
    <t>831291 - 831290 - 671981 - 700107</t>
  </si>
  <si>
    <t>786824 - 435495 - 788386 - 6720 - 435494</t>
  </si>
  <si>
    <t>6722 - 787676 - 435498</t>
  </si>
  <si>
    <t>6731 - 6728 - 701785 - 435508 - 788387 - 6729 - 701786 - 6730</t>
  </si>
  <si>
    <t>435497 - 6732</t>
  </si>
  <si>
    <t>6734 - 788535 - 963135 - 788534 - 6735</t>
  </si>
  <si>
    <t>6737 - 6736 - 435504</t>
  </si>
  <si>
    <t>787674 - 771161 - 435499 - 6739</t>
  </si>
  <si>
    <t>435505 - 435506 - 6744 - 6742</t>
  </si>
  <si>
    <t>435503 - 788204 - 435502 - 435500 - 6746 - 786823 - 701795 - 701794 - 435501</t>
  </si>
  <si>
    <t>701791 - 788672 - 6749 - 788671 - 6748 - 788243</t>
  </si>
  <si>
    <t>6756 - 6758 - 701790 - 6754 - 6745 - 6755 - 6800 - 6740 - 6767 - 6798 - 6799 - 788657 - 6801 - 6753 - 459099 - 6757 - 6726 - 6743</t>
  </si>
  <si>
    <t>6761 - 6760</t>
  </si>
  <si>
    <t>6762 - 912988</t>
  </si>
  <si>
    <t>6764 - 6763</t>
  </si>
  <si>
    <t>788100 - 787894 - 6770 - 788388 - 6769</t>
  </si>
  <si>
    <t>6775 - 6774 - 788389 - 787675</t>
  </si>
  <si>
    <t>435507 - 6776</t>
  </si>
  <si>
    <t>435510 - 435511 - 6784 - 435509</t>
  </si>
  <si>
    <t>6785 - 6786</t>
  </si>
  <si>
    <t>6790 - 6792 - 788378 - 6791</t>
  </si>
  <si>
    <t>21 - 25 - 70 - 90</t>
  </si>
  <si>
    <t>6741 - 788379 - 788202 - 6794</t>
  </si>
  <si>
    <t>771208 - 6796 - 6795</t>
  </si>
  <si>
    <t>788099 - 770201 - 6797</t>
  </si>
  <si>
    <t>788101 - 6802</t>
  </si>
  <si>
    <t>788228 - 788544 - 787219 - 786960 - 788419 - 6809 - 788545 - 786897</t>
  </si>
  <si>
    <t>788568 - 713110 - 713111 - 653273 - 714418 - 714417 - 713803 - 713107 - 6819 - 713106 - 786959</t>
  </si>
  <si>
    <t>6820 - 786517 - 6816 - 6815</t>
  </si>
  <si>
    <t>787216 - 6833</t>
  </si>
  <si>
    <t>6835 - 6834</t>
  </si>
  <si>
    <t>Dahlia des jardins, Dahlia</t>
  </si>
  <si>
    <t>621633 - 82329 - 612637 - 82323 - 131329 - 706505 - 131331</t>
  </si>
  <si>
    <t>Lysimaque bleue, Mouron femelle, Mouron bleu</t>
  </si>
  <si>
    <t>706201 - 720846 - 720845 - 74211 - 706516 - 707372 - 717631</t>
  </si>
  <si>
    <t>717058 - 717055 - 81029</t>
  </si>
  <si>
    <t>Alchémille douteuse, Alchémille à nervures blanches</t>
  </si>
  <si>
    <t>718877 - 717063 - 718879</t>
  </si>
  <si>
    <t>Alchémille obscure</t>
  </si>
  <si>
    <t>Callitriche florissant</t>
  </si>
  <si>
    <t>112658 - 717122 - 89501 - 112667</t>
  </si>
  <si>
    <t>Cenchrus à soies longues, Pennisétum velu, Pennisétum hérissé</t>
  </si>
  <si>
    <t>635533 - 635532 - 635530 - 637844 - 635531 - 454188 - 446331 - 717123 - 635529</t>
  </si>
  <si>
    <t>Herbe fontaine</t>
  </si>
  <si>
    <t>86758 - 717136 - 90191 - 86562</t>
  </si>
  <si>
    <t>Brome de Sitka</t>
  </si>
  <si>
    <t>90816 - 85076 - 717137 - 82792 - 90742 - 90685 - 130059</t>
  </si>
  <si>
    <t>Chénopode hybride, Chénopodiastre hybride, Chénopode à feuilles de stramoine</t>
  </si>
  <si>
    <t>90725 - 130060 - 717138 - 90719 - 117524 - 90751 - 85095 - 82790 - 90708 - 90693 - 90734 - 90824 - 90767 - 90710 - 619108</t>
  </si>
  <si>
    <t>Chénopodiastre des murs, Chénopode des murs</t>
  </si>
  <si>
    <t>92670 - 993861 - 718945 - 717150</t>
  </si>
  <si>
    <t>Cotonéaster coriace, Cotonéaster laiteux</t>
  </si>
  <si>
    <t>717153 - 942590</t>
  </si>
  <si>
    <t>Cotonéaster à une fleur</t>
  </si>
  <si>
    <t>130219 - 717157</t>
  </si>
  <si>
    <t>Aubépine de Gillot</t>
  </si>
  <si>
    <t>Épipactide de Gévaudan, Épipactis de Gévaudan</t>
  </si>
  <si>
    <t>123905 - 97271 - 161173 - 90507 - 101483 - 717179 - 104499 - 83416 - 991952 - 93422</t>
  </si>
  <si>
    <t>Érucastre couché, Vélar couché, Sisymbre couché, Braya couchée</t>
  </si>
  <si>
    <t>108580 - 108578 - 108581 - 717180 - 108579 - 108582</t>
  </si>
  <si>
    <t>Mimule tacheté, Érythranthe tachetée</t>
  </si>
  <si>
    <t>772348 - 717182 - 108583 - 772278 - 772277</t>
  </si>
  <si>
    <t>Mimule musqué, Érythranthe musquée</t>
  </si>
  <si>
    <t>85430 - 144212 - 144145 - 144155 - 144162 - 144148 - 85199 - 127674 - 144149 - 85421 - 85341 - 131998 - 85424 - 147622 - 144211 - 144215 - 144154 - 147621 - 85401 - 144214 - 83918 - 85438 - 144216 - 127646 - 144142 - 127640 - 717224 - 144159 - 144147 - 144143 - 101108 - 101117 - 101521 - 144141 - 85338 - 144150 - 144156 - 144152 - 144157 - 85373 - 85411 - 131994</t>
  </si>
  <si>
    <t>Hélictochloa des prés, Avénule des prés, Avoine des prés</t>
  </si>
  <si>
    <t>610142 - 101766 - 135740 - 102663 - 717231 - 135580</t>
  </si>
  <si>
    <t>Épervière à belles fleurs</t>
  </si>
  <si>
    <t>968256 - 717241 - 102052 - 135895 - 968261</t>
  </si>
  <si>
    <t>Épervière de Godet, Épervière hispide</t>
  </si>
  <si>
    <t>135640 - 717248 - 153308</t>
  </si>
  <si>
    <t>Épervière à tige lisse</t>
  </si>
  <si>
    <t>717260 - 135489 - 135492 - 101986 - 147679 - 101631</t>
  </si>
  <si>
    <t>Épervière de Schenk</t>
  </si>
  <si>
    <t>717294 - 82785 - 90688 - 110026 - 621446 - 90799 - 90786 - 133239 - 718711 - 106352 - 90773 - 90721 - 613489 - 99652 - 130058 - 133240 - 90759 - 90679 - 613490 - 85109 - 718712 - 90694</t>
  </si>
  <si>
    <t>Lipandra polysperme, Chénopode polysperme, Chénopode à graines nombreuses</t>
  </si>
  <si>
    <t>82348 - 717301 - 82347 - 612639</t>
  </si>
  <si>
    <t>Lysimaque intermédiaire, Mouron intermédiaire</t>
  </si>
  <si>
    <t>105337 - 105361 - 124954 - 717304 - 124955 - 124953 - 105346 - 105371 - 105360 - 105338 - 105358</t>
  </si>
  <si>
    <t>Mauve d'un trimestre, Lavatère d'un trimestre, Lavatère à grandes fleurs</t>
  </si>
  <si>
    <t>121190 - 151258 - 121045 - 620627 - 160377 - 121066 - 140694 - 717310 - 121196 - 120985 - 970390 - 718720 - 103096 - 140693 - 121189 - 140689 - 140692 - 124483</t>
  </si>
  <si>
    <t>Micranthe étoilé, Saxifrage étoilée</t>
  </si>
  <si>
    <t>Miscanthus géant</t>
  </si>
  <si>
    <t>80377 - 111783 - 987434 - 90683 - 90814 - 85064 - 717359 - 90837 - 90732 - 111779 - 90753 - 987433 - 86111</t>
  </si>
  <si>
    <t>Oxybaside glauque, Oxybasis glauque, Chénopode glauque</t>
  </si>
  <si>
    <t>86211 - 90801 - 111781 - 133244 - 619109 - 90741 - 619110 - 85115 - 717361 - 80378 - 90695 - 111785 - 86115 - 86119 - 773526 - 90781 - 86117</t>
  </si>
  <si>
    <t>Oxybaside rouge, Oxybasis rouge, Ansérine rouge, Chénopode rouge</t>
  </si>
  <si>
    <t>90764 - 90717 - 130056 - 82793 - 90712 - 90798 - 85137 - 717362 - 90828</t>
  </si>
  <si>
    <t>Oxybaside des villes, Oxybasis des villes, Chénopode des agglomérations, Chénopode des villages</t>
  </si>
  <si>
    <t>136102 - 102324 - 136103 - 162576 - 717384</t>
  </si>
  <si>
    <t>Piloselle à rosette</t>
  </si>
  <si>
    <t>102748 - 102137 - 162547 - 717396 - 136601 - 136602 - 102749 - 136403</t>
  </si>
  <si>
    <t>Piloselle hybride, Épervière hybride</t>
  </si>
  <si>
    <t>149999 - 717432 - 139175</t>
  </si>
  <si>
    <t>Pourpier</t>
  </si>
  <si>
    <t>719118 - 1018846 - 717436</t>
  </si>
  <si>
    <t>Pourpier à trois tubercules</t>
  </si>
  <si>
    <t>128021 - 97250 - 83421 - 717438 - 143745 - 127995 - 83321 - 83348 - 83342 - 83322 - 83367 - 83396 - 83361 - 143744 - 83420</t>
  </si>
  <si>
    <t>Fausse tourette tourette, Arabette Tourette</t>
  </si>
  <si>
    <t>118183 - 118187 - 118331 - 118439 - 118522 - 118311 - 118100 - 118028 - 150698 - 717451</t>
  </si>
  <si>
    <t>Rosier de mai, Grand églantier</t>
  </si>
  <si>
    <t>719133 - 717453</t>
  </si>
  <si>
    <t>Ronce canaliculée</t>
  </si>
  <si>
    <t>Ronce voisine</t>
  </si>
  <si>
    <t>Ronce cuspidée</t>
  </si>
  <si>
    <t>620502 - 119040 - 140211 - 717467 - 140212</t>
  </si>
  <si>
    <t>119049 - 719401 - 717470 - 140239 - 140266</t>
  </si>
  <si>
    <t>Ronce fasciculée</t>
  </si>
  <si>
    <t>717483 - 719139</t>
  </si>
  <si>
    <t>Ronce de Loehr</t>
  </si>
  <si>
    <t>Ronce du Morvan</t>
  </si>
  <si>
    <t>Ronce de Mougeot</t>
  </si>
  <si>
    <t>119105 - 140213 - 620501 - 717496</t>
  </si>
  <si>
    <t>811045 - 717499</t>
  </si>
  <si>
    <t>811238 - 717506</t>
  </si>
  <si>
    <t>Ronce à feuilles rondes</t>
  </si>
  <si>
    <t>717508 - 811176</t>
  </si>
  <si>
    <t>811196 - 717511</t>
  </si>
  <si>
    <t>Ronce tuberculée</t>
  </si>
  <si>
    <t>146643 - 146740 - 146642 - 95468 - 95524 - 619454 - 95538 - 146755 - 146741 - 146651 - 98329 - 146654 - 146653 - 146646 - 95475 - 95506 - 114191 - 146745 - 146649 - 149676 - 146652 - 146650 - 772110 - 134517 - 98207 - 146640 - 146645 - 146750 - 95471 - 98344 - 86658 - 146648 - 146635 - 95488 - 134484 - 95520 - 146639 - 85361 - 121468 - 773141 - 95536 - 146637 - 106463 - 717533 - 134492 - 772109 - 95534 - 95523 - 121477 - 146657 - 146647 - 134518 - 146742 - 146655 - 95487 - 98078 - 95491</t>
  </si>
  <si>
    <t>Schédonore roseau, Fétuque roseau, Fétuque faux roseau</t>
  </si>
  <si>
    <t>115318 - 115291 - 115273 - 115252 - 115251 - 717572</t>
  </si>
  <si>
    <t>Stuckénie filiforme, Potamot filiforme</t>
  </si>
  <si>
    <t>952030 - 115265 - 115253 - 771883 - 115229 - 115232 - 952026 - 150027 - 1006351 - 92172 - 115331 - 150029 - 115231 - 717574 - 717573 - 115274 - 86848 - 139216 - 620307 - 620308 - 115385 - 115295 - 115238 - 115261 - 115250 - 115329 - 150028</t>
  </si>
  <si>
    <t>Stuckénie pectinée, Potamot pectiné, Stuckénie de Suisse, Potamot de Suisse</t>
  </si>
  <si>
    <t>Symphorine de Chenault</t>
  </si>
  <si>
    <t>717577 - 84691</t>
  </si>
  <si>
    <t>Symphyotriche poilu, Aster poilu</t>
  </si>
  <si>
    <t>717624 - 125713</t>
  </si>
  <si>
    <t>717630 - 125763 - 771496 - 929505 - 772463 - 141510 - 125795 - 100818 - 125677 - 105528</t>
  </si>
  <si>
    <t>Pissenlit officinal, Pissenlit commun</t>
  </si>
  <si>
    <t>719188 - 717641</t>
  </si>
  <si>
    <t>Hybride entre la Vigne des rives et la Vigne des rochers</t>
  </si>
  <si>
    <t>81047 - 81132 - 717721</t>
  </si>
  <si>
    <t>Alchémille pétiolulée</t>
  </si>
  <si>
    <t>93516 - 123518 - 123623 - 110091 - 1002940 - 151833 - 717731 - 151832</t>
  </si>
  <si>
    <t>Silène des rochers, Silène rupestre, Atocion rupestre, Atocion des rochers</t>
  </si>
  <si>
    <t>132938 - 133017 - 89520 - 89633 - 132939 - 717746</t>
  </si>
  <si>
    <t>Bleuet de Lyon, Centaurée de Lyon</t>
  </si>
  <si>
    <t>112838 - 111252 - 89192 - 112878 - 108971 - 89270 - 717749 - 112863 - 112054 - 105927 - 90302 - 122342 - 121534 - 112848 - 103572 - 619720 - 112843 - 1002791 - 102883 - 111247 - 122334 - 116298 - 149304 - 122385 - 112845</t>
  </si>
  <si>
    <t>Peucédan à feuilles de carvi, Holandrée à feuilles de carvi, Dichoropétale à feuilles de carvi</t>
  </si>
  <si>
    <t>58 - 71 - 89 - 90</t>
  </si>
  <si>
    <t>717783 - 620677 - 122951 - 122963 - 141022 - 87406 - 122950 - 122936</t>
  </si>
  <si>
    <t>Serratule à tige nue, Klasée à tiges nues</t>
  </si>
  <si>
    <t>717867 - 789407</t>
  </si>
  <si>
    <t>Scirpe de Hattori</t>
  </si>
  <si>
    <t>Symphorine de Doorenbos</t>
  </si>
  <si>
    <t>718900 - 162651 - 717877</t>
  </si>
  <si>
    <t>Symphyotriche à floraison tardive, Aster étalé</t>
  </si>
  <si>
    <t>Hybride entre la Vigne à feuilles d’érable et la Vigne des rives</t>
  </si>
  <si>
    <t>718211 - 612413 - 621327</t>
  </si>
  <si>
    <t>Baldellie de Cavanilles</t>
  </si>
  <si>
    <t>936853 - 718213 - 85948</t>
  </si>
  <si>
    <t>Bident chevelu</t>
  </si>
  <si>
    <t>619130 - 87333 - 120887 - 132404 - 91901 - 140590 - 87356 - 140581 - 718220 - 719223 - 132413 - 132407</t>
  </si>
  <si>
    <t>Clinopode ascendant, Calament ascendant, Sarriette ascendante</t>
  </si>
  <si>
    <t>962170 - 139697 - 98643 - 620400 - 718231</t>
  </si>
  <si>
    <t>Ficaire fertile</t>
  </si>
  <si>
    <t>147766 - 136683 - 153341 - 612497 - 136682 - 612496 - 147767 - 147768 - 718699 - 102935 - 136676 - 136662 - 619724 - 718237 - 102953 - 718700 - 619725 - 136661 - 102950 - 161895 - 102967 - 130631</t>
  </si>
  <si>
    <t>Orge à deux rangs</t>
  </si>
  <si>
    <t>718238 - 811113</t>
  </si>
  <si>
    <t>Jacobée à feuilles étroites, Séneçon à feuilles étroites</t>
  </si>
  <si>
    <t>82338 - 131333 - 152710 - 131334 - 613840 - 718248 - 621613</t>
  </si>
  <si>
    <t>Lysimaque à petites fleurs, Mouron à petites fleurs</t>
  </si>
  <si>
    <t>136091 - 718271</t>
  </si>
  <si>
    <t>Piloselle de la Loire, Épervière de la Loire</t>
  </si>
  <si>
    <t>101698 - 719282 - 135428 - 135427 - 619612 - 162517 - 718272 - 135425 - 619611 - 135424 - 102195 - 113510</t>
  </si>
  <si>
    <t>Piloselle de Bauhin, Épervière de Bauhin</t>
  </si>
  <si>
    <t>102237 - 135672 - 619681 - 101935 - 135599 - 619683 - 135685 - 101980 - 136181 - 136158 - 101635 - 136160 - 719252 - 102276 - 718273 - 718274 - 102381 - 113530 - 136163 - 619682 - 102199 - 101969 - 101706 - 135682 - 136182</t>
  </si>
  <si>
    <t>Piloselle très élevée, Grande piloselle, Épervière très élevée</t>
  </si>
  <si>
    <t>115795 - 115223 - 115774 - 115784 - 115767 - 140554 - 140553 - 120745 - 115787 - 140543 - 120760 - 150219 - 115788 - 115785 - 139349 - 115763 - 150211 - 150212 - 150218 - 120756 - 718277 - 150220 - 150214 - 150208 - 140544 - 139348 - 120759 - 120768 - 621466 - 139350 - 151170 - 140552 - 621468 - 115765 - 120739 - 612560 - 115775 - 150207 - 150217 - 120763 - 140555 - 621467 - 151164 - 115764 - 151180 - 120762 - 115770</t>
  </si>
  <si>
    <t>Potérium des Baléares, Pimprenelle muriquée, Sanguisorbe polygame, Sanguisorbe des Baléares</t>
  </si>
  <si>
    <t>146636 - 146754 - 146656 - 153176 - 98589 - 121491 - 134493 - 147051 - 718287</t>
  </si>
  <si>
    <t>Schédonore d'Uechtritz, Fétuque d'Uechtritz</t>
  </si>
  <si>
    <t>146933 - 146934 - 98089 - 146923 - 718288 - 134599 - 134515 - 98391 - 146924 - 789215 - 98449 - 146746 - 146922 - 134516 - 98064 - 146739 - 134600 - 146753</t>
  </si>
  <si>
    <t>Schédonore des Apennins, Fétuque des Apennins</t>
  </si>
  <si>
    <t>149218 - 718776 - 149209 - 718292 - 123117 - 151680 - 112228 - 151676 - 141068 - 141066 - 151664 - 151662 - 151677 - 123160 - 149214 - 145463 - 151673 - 149212 - 123145 - 90380 - 149215 - 112178 - 112260 - 151660 - 151674 - 90514 - 151670 - 151659 - 149217 - 149208 - 112102 - 103948 - 112668 - 151661 - 151675 - 455481 - 123109 - 123143 - 151663 - 151666 - 151678 - 145474 - 151665 - 112155 - 123156 - 151679 - 620702 - 149211 - 123112 - 151672 - 112231</t>
  </si>
  <si>
    <t>Sétaire verte</t>
  </si>
  <si>
    <t>718297 - 130490</t>
  </si>
  <si>
    <t>Lampourde saupoudrée, Lampourde sucrée</t>
  </si>
  <si>
    <t>Civette, Ciboulette, Ciboule, Ail civette</t>
  </si>
  <si>
    <t>Vulpin des champs, Queue-de-renard, Vulpin fausse ratoncule, Vulpin faux myosurus, Fausse queue de souris</t>
  </si>
  <si>
    <t>Arabette des collines</t>
  </si>
  <si>
    <t>718314 - 133800</t>
  </si>
  <si>
    <t>Canche flexueuse, Avénelle flexueuse, Foin tortueux</t>
  </si>
  <si>
    <t>718315 - 141412</t>
  </si>
  <si>
    <t>Bétoine officinale, Épiaire officinal</t>
  </si>
  <si>
    <t>86627 - 718318 - 132249</t>
  </si>
  <si>
    <t>Brome érigé, Brome dressé, Faux brome érigé, Faux brome dressé</t>
  </si>
  <si>
    <t>132265 - 718319</t>
  </si>
  <si>
    <t>Brome sans arêtes, Brome inerme, Faux brome inerme</t>
  </si>
  <si>
    <t>718321 - 161311</t>
  </si>
  <si>
    <t>Brome rameux, Brome rude, Brome âpre, Faux brome rameux</t>
  </si>
  <si>
    <t>718331 - 145488 - 90671 - 161254</t>
  </si>
  <si>
    <t>Grande chélidoine, Chélidoine élevée, Herbe à la verrue, Éclaire, Grande éclaire, Chélidoine éclaire</t>
  </si>
  <si>
    <t>Clinopode népéta, Calament népéta, Sarriette népéta</t>
  </si>
  <si>
    <t>Conopode dénudé, Grand conopode, Conopode élevé, Noisette de terre</t>
  </si>
  <si>
    <t>Hybride entre le Dactyle aggloméré et le Dactyle d’Espagne</t>
  </si>
  <si>
    <t>718949 - 718336</t>
  </si>
  <si>
    <t>Dactyle de Slovénie</t>
  </si>
  <si>
    <t>718338 - 133417</t>
  </si>
  <si>
    <t>Dauphinelle consoude, Dauphinelle royale, Pied-d'alouette royal</t>
  </si>
  <si>
    <t>718341 - 619307</t>
  </si>
  <si>
    <t>Chiendent des champs, Élytrigie champêtre</t>
  </si>
  <si>
    <t>718348 - 772641 - 772640 - 773576</t>
  </si>
  <si>
    <t>Linaigrette à feuilles étroites, Linaigrette à épis nombreux</t>
  </si>
  <si>
    <t>98645 - 134664 - 150454 - 139695 - 134665 - 139696 - 718355 - 139698</t>
  </si>
  <si>
    <t>Ficaire printanière, Ficaire à bulbilles</t>
  </si>
  <si>
    <t>Glycérie difforme</t>
  </si>
  <si>
    <t>718359 - 132049</t>
  </si>
  <si>
    <t>Lagure ovale, Queue-de-lièvre, Lagure queue-de-lièvre</t>
  </si>
  <si>
    <t>105062 - 148051 - 105072 - 161842 - 137104 - 137103 - 148052 - 718371</t>
  </si>
  <si>
    <t>773233 - 773228 - 773232 - 773236 - 773229 - 773230 - 772166 - 718377 - 772165 - 773234 - 773235 - 773231</t>
  </si>
  <si>
    <t>718378 - 141144</t>
  </si>
  <si>
    <t>162018 - 149456 - 113493 - 162019 - 105530 - 149461 - 149463 - 113487 - 149466 - 965336 - 149459 - 138789 - 138784 - 718387 - 149465 - 113483 - 149464 - 113482 - 138787 - 612544 - 83128 - 113465 - 149462 - 113471 - 113500 - 138786 - 113467 - 113503 - 965321 - 149460 - 113501</t>
  </si>
  <si>
    <t>Picride de Villars, Picris de Villars, Picride en ombelle</t>
  </si>
  <si>
    <t>135404 - 718388</t>
  </si>
  <si>
    <t>135815 - 718389</t>
  </si>
  <si>
    <t>718390 - 136090 - 136094 - 136092</t>
  </si>
  <si>
    <t>718406 - 134601</t>
  </si>
  <si>
    <t>935706 - 126221 - 141589 - 152107 - 126147 - 126201 - 935614 - 152108 - 154075 - 935613 - 141590 - 718422 - 141591 - 154074 - 126194 - 126225</t>
  </si>
  <si>
    <t>Pigamon de Bauhin, Pigamon à feuilles ténues</t>
  </si>
  <si>
    <t>434188 - 435806 - 788606 - 718537</t>
  </si>
  <si>
    <t>143567 - 718645</t>
  </si>
  <si>
    <t>Anthémide des rochers, Camomille des rochers</t>
  </si>
  <si>
    <t>718664 - 129364 - 88353 - 145213 - 154312 - 145212 - 154607 - 154758</t>
  </si>
  <si>
    <t>Laîche patte-de-lièvre, Laîche à épis ovales, Laîche des lièvres</t>
  </si>
  <si>
    <t>107984 - 132405 - 107982 - 619135 - 140583 - 120890 - 91903 - 132412 - 153953 - 87350 - 984494 - 126523 - 91902 - 120897 - 132403 - 961481 - 132402 - 87339 - 718670 - 87357</t>
  </si>
  <si>
    <t>Clinopode glanduleux</t>
  </si>
  <si>
    <t>Canche cespiteuse pseudalpine, Canche pseudalpine</t>
  </si>
  <si>
    <t>137503 - 613549 - 106855 - 718713 - 137501 - 148453 - 148445 - 137504 - 137483 - 148446 - 148444 - 106824 - 106856 - 719349</t>
  </si>
  <si>
    <t>Luzule à fleurs rouges, Luzule rougeâtre</t>
  </si>
  <si>
    <t>138428 - 718722 - 719398 - 621264 - 162138</t>
  </si>
  <si>
    <t>Néotinée brûlée d’été, Orchis brûlé d’été</t>
  </si>
  <si>
    <t>109827 - 153155 - 718726 - 97730 - 138121</t>
  </si>
  <si>
    <t>Odontite de Jaubert à fleurs dorées, Odontitès de Jaubert à fleurs jaunes</t>
  </si>
  <si>
    <t>90746 - 145494 - 90762 - 133250 - 789197 - 718740 - 152977</t>
  </si>
  <si>
    <t>Oxybaside intermédiaire, Oxybasis intermédiaire, Chénopode intermédiaire</t>
  </si>
  <si>
    <t>718741 - 145495</t>
  </si>
  <si>
    <t>772792 - 718748 - 772791</t>
  </si>
  <si>
    <t>Grassette commune</t>
  </si>
  <si>
    <t>139378 - 139376 - 139387 - 115852 - 139360 - 139384 - 620340 - 139377 - 748150 - 139375 - 115915 - 718756 - 115885 - 139374</t>
  </si>
  <si>
    <t>Primevère de Colonna</t>
  </si>
  <si>
    <t>932370 - 719127 - 718763</t>
  </si>
  <si>
    <t>Renoncule flammette ovale, Renoncule rampante</t>
  </si>
  <si>
    <t>6400 - 788031 - 718798 - 788045 - 787156 - 787011</t>
  </si>
  <si>
    <t>788629 - 788554 - 788627 - 788628 - 788553 - 456313 - 5510 - 788625 - 788551 - 788550 - 788626 - 5512 - 788664 - 788552 - 787571 - 5509 - 718804 - 787730</t>
  </si>
  <si>
    <t>786946 - 786682 - 787061 - 788700 - 788536 - 6403 - 786893 - 788035 - 786821 - 788537 - 787793 - 786641 - 787794 - 787702 - 718838 - 718836 - 787449 - 6412 - 788699</t>
  </si>
  <si>
    <t>786966 - 6394 - 787362 - 787068 - 787672 - 788615 - 786937 - 786860 - 787067 - 787044 - 788616 - 787786 - 788614 - 787036 - 6410 - 718837 - 793274 - 787153</t>
  </si>
  <si>
    <t>787265 - 718842 - 718843</t>
  </si>
  <si>
    <t>152683 - 143237 - 85487 - 132058 - 134011 - 718909 - 81274 - 162434</t>
  </si>
  <si>
    <t>Baldellie rampante, Flûteau rampant, Alisme rampante</t>
  </si>
  <si>
    <t>772807 - 719157 - 105693 - 107000 - 107014</t>
  </si>
  <si>
    <t>Spinulum interrompu, Lycopode interrompu, Lycopode à feuilles de genévrier, Lycopode à rameaux d'un an</t>
  </si>
  <si>
    <t>Anacamptide bouffon, Orchis bouffon</t>
  </si>
  <si>
    <t>963031 - 786914 - 719571 - 719574 - 779762 - 788071 - 779761 - 6279 - 787901 - 1014946 - 1014947</t>
  </si>
  <si>
    <t>436710 - 716991 - 436642 - 726237</t>
  </si>
  <si>
    <t>73532 - 932027 - 73572</t>
  </si>
  <si>
    <t>678996 - 678990 - 569629 - 73535 - 571993 - 73539 - 679005 - 571992 - 678993 - 679006 - 678995 - 678997 - 679008 - 678992 - 73536 - 568575 - 73533 - 678994 - 571991 - 678998 - 679001 - 679002 - 679003 - 678991 - 73538 - 679010 - 679007 - 678999 - 73537 - 679009</t>
  </si>
  <si>
    <t>683098 - 683086 - 683092 - 683090 - 683101 - 683096 - 683085 - 683104 - 683102 - 73542 - 683103 - 683089 - 683099 - 683094 - 683091 - 683083 - 683093 - 683097 - 683082 - 683084 - 683088 - 683087 - 683100 - 683095</t>
  </si>
  <si>
    <t>73546 - 1008133 - 895452 - 895450 - 73561 - 73547 - 676679 - 73575 - 648708 - 895453 - 895451</t>
  </si>
  <si>
    <t>681438 - 683179 - 681430 - 681433 - 683184 - 683181 - 683159 - 681431 - 683182 - 683176 - 683171 - 683175 - 683163 - 683186 - 683170 - 683161 - 681429 - 681432 - 681435 - 683166 - 683167 - 683189 - 683160 - 683169 - 683174 - 683187 - 683178 - 681437 - 683157 - 683164 - 683177 - 681426 - 683165 - 73558 - 683172 - 683168 - 683180 - 681428 - 683162 - 1008180 - 683183 - 681436 - 73556 - 683188 - 683173 - 681427 - 683185 - 681434</t>
  </si>
  <si>
    <t>73566 - 73560 - 73565 - 73568</t>
  </si>
  <si>
    <t>681470 - 681452 - 681473 - 681459 - 681450 - 681456 - 681467 - 681455 - 681443 - 681475 - 681479 - 73554 - 73553 - 681454 - 681476 - 681466 - 681457 - 681451 - 681463 - 681444 - 681446 - 681458 - 681462 - 681477 - 681471 - 681449 - 681445 - 681478 - 681448 - 681447 - 681472 - 676639 - 73574 - 681468 - 676641 - 681464 - 681481 - 681465 - 681453 - 681460 - 681474 - 681469 - 681480 - 681461</t>
  </si>
  <si>
    <t>73577 - 681484 - 681483 - 681482</t>
  </si>
  <si>
    <t>74335 - 784990 - 784991 - 74336</t>
  </si>
  <si>
    <t>74334 - 682127 - 74348 - 682130 - 682120 - 682132 - 682122 - 682128 - 682123 - 74345 - 931985 - 682121 - 74338 - 931984 - 682129 - 682126 - 682119 - 682124 - 682125 - 682131</t>
  </si>
  <si>
    <t>682149 - 682154 - 682133 - 682145 - 682140 - 682148 - 682153 - 74339 - 682144 - 682137 - 682143 - 932023 - 682147 - 682141 - 682136 - 682150 - 931980 - 682139 - 931982 - 682142 - 682134 - 682146 - 682138 - 932020 - 682135 - 682152 - 682151</t>
  </si>
  <si>
    <t>74346 - 784967</t>
  </si>
  <si>
    <t>74353 - 784965</t>
  </si>
  <si>
    <t>74356 - 784963 - 931979 - 74355 - 784968</t>
  </si>
  <si>
    <t>727203 - 75093</t>
  </si>
  <si>
    <t>1008377 - 75095 - 727205</t>
  </si>
  <si>
    <t>682356 - 682351 - 682350 - 682342 - 682346 - 682345 - 682349 - 682352 - 75102 - 682343 - 682355 - 682344 - 682353 - 682354 - 682357 - 682347 - 682341 - 682348</t>
  </si>
  <si>
    <t>114372 - 154397 - 152804 - 116362 - 150327 - 116345 - 147465 - 147458 - 147481 - 98193 - 147459 - 114180 - 116365 - 100391 - 144077 - 147460 - 772263 - 116348 - 121858 - 149701 - 131967 - 116358 - 85160 - 103124 - 114179 - 150324 - 114353 - 147464 - 150325 - 116368 - 113168 - 89318 - 150328 - 620360 - 771851 - 112078 - 100389 - 143049 - 761901 - 114117 - 116360 - 144080 - 100384 - 147452</t>
  </si>
  <si>
    <t>144240 - 93329 - 87757 - 85554 - 85537 - 132078 - 85534 - 90618 - 132077 - 144239 - 771510 - 97013 - 144241 - 85539 - 97168 - 85535 - 85557 - 771509 - 132075 - 85547 - 85552 - 85558 - 97227 - 772462 - 97228 - 85551 - 93324 - 772461 - 761965 - 123806 - 159977 - 97176 - 87760 - 85529 - 773548</t>
  </si>
  <si>
    <t>148793 - 108770 - 772021 - 773593 - 1007828 - 108768 - 108769 - 771673 - 148791 - 137874 - 108767 - 771672 - 1007830 - 103392 - 108766 - 103393 - 1007821 - 103396 - 108772 - 619960 - 619962 - 137875 - 103394 - 762076 - 103391 - 108771 - 773130 - 1007829 - 103395 - 137876 - 771671 - 1007826 - 619961 - 1007825</t>
  </si>
  <si>
    <t>Monotrope sucepin, Sucepin, Hypopitys monotrope</t>
  </si>
  <si>
    <t>160468 - 133896 - 94943 - 146171 - 162396 - 160470 - 762153</t>
  </si>
  <si>
    <t>Digitale pourpre, Gantelée, Gant de Notre-Dame</t>
  </si>
  <si>
    <t>Prêle panachée</t>
  </si>
  <si>
    <t>134170 - 772683 - 96544 - 146429 - 96548 - 762284 - 146413 - 102830 - 96554 - 134171 - 96553</t>
  </si>
  <si>
    <t>786971 - 788177 - 770367 - 6377 - 786936 - 787309 - 787595 - 788001</t>
  </si>
  <si>
    <t>770416 - 786984 - 770412 - 436570 - 770417 - 770408 - 6338</t>
  </si>
  <si>
    <t>787127 - 770423 - 6578 - 786555 - 786908 - 786896 - 780039</t>
  </si>
  <si>
    <t>6583 - 780049 - 786912 - 6582 - 787429 - 770428 - 770426</t>
  </si>
  <si>
    <t>770438 - 770437 - 786553 - 6587 - 770439</t>
  </si>
  <si>
    <t>434398 - 5472 - 770790 - 786841 - 787643 - 5473</t>
  </si>
  <si>
    <t>435974 - 435973 - 5710 - 770927 - 5758 - 787242</t>
  </si>
  <si>
    <t>770929 - 436034 - 787318 - 436043 - 436031 - 5761 - 436032 - 436029 - 788591 - 5760 - 436030 - 788592 - 787402</t>
  </si>
  <si>
    <t>434617 - 770932 - 5762 - 436044</t>
  </si>
  <si>
    <t>788230 - 788589 - 5721 - 787979 - 787989 - 786578 - 770935 - 5730 - 788229 - 787243 - 5722 - 786585</t>
  </si>
  <si>
    <t>788651 - 5727 - 435996 - 788002 - 435994 - 788650 - 770937 - 788647 - 5728 - 788652 - 788648 - 788649 - 435995</t>
  </si>
  <si>
    <t>5445 - 786844 - 771005 - 434376 - 786850 - 436094</t>
  </si>
  <si>
    <t>436096 - 771006 - 5448 - 788147 - 436095 - 784913</t>
  </si>
  <si>
    <t>771007 - 4456 - 4455</t>
  </si>
  <si>
    <t>619029 - 88718 - 145165 - 132771 - 88663 - 132711 - 132715 - 161629 - 132829 - 132768 - 771637 - 88924 - 88463 - 772621 - 773574 - 132772 - 132828 - 145208</t>
  </si>
  <si>
    <t>Laîche modeste, Laîche vert jaunâtre</t>
  </si>
  <si>
    <t>686275 - 77286 - 686277 - 571699 - 686273 - 571700 - 686274 - 686276</t>
  </si>
  <si>
    <t>779733 - 787652 - 788468 - 786947 - 787350</t>
  </si>
  <si>
    <t>5116 - 5115 - 786408</t>
  </si>
  <si>
    <t>436198 - 436197 - 819552 - 786414</t>
  </si>
  <si>
    <t>436024 - 5753 - 786419</t>
  </si>
  <si>
    <t>5336 - 786420 - 786705</t>
  </si>
  <si>
    <t>786421 - 788226 - 787106 - 6373</t>
  </si>
  <si>
    <t>787126 - 787099 - 6585 - 786425</t>
  </si>
  <si>
    <t>6584 - 787129 - 788435 - 786426</t>
  </si>
  <si>
    <t>786427 - 6580 - 787130</t>
  </si>
  <si>
    <t>6579 - 786986 - 786911 - 786430 - 787425</t>
  </si>
  <si>
    <t>786432 - 788595 - 787500 - 6378 - 786859</t>
  </si>
  <si>
    <t>6300 - 786436 - 787291 - 788105</t>
  </si>
  <si>
    <t>786443 - 787253 - 786939 - 6331 - 787829 - 787006 - 787367 - 787244 - 786854 - 787174 - 6332</t>
  </si>
  <si>
    <t>786444 - 6359 - 786762 - 787045 - 6360</t>
  </si>
  <si>
    <t>436572 - 786445 - 787003 - 6346</t>
  </si>
  <si>
    <t>786447 - 6329 - 6330 - 786972</t>
  </si>
  <si>
    <t>5863 - 434440 - 436192 - 436191 - 786448</t>
  </si>
  <si>
    <t>786449 - 809895 - 787497 - 787558</t>
  </si>
  <si>
    <t>5026 - 787736 - 788608 - 788704 - 786450</t>
  </si>
  <si>
    <t>786452 - 787071 - 787092 - 787052 - 6354</t>
  </si>
  <si>
    <t>5106 - 5107 - 786454</t>
  </si>
  <si>
    <t>39 - 70 - 90</t>
  </si>
  <si>
    <t>819542 - 786455</t>
  </si>
  <si>
    <t>786456 - 6350 - 786654</t>
  </si>
  <si>
    <t>786581 - 787298 - 787254 - 6341 - 787007 - 786968 - 786457 - 786707 - 786990</t>
  </si>
  <si>
    <t>787610 - 786459 - 4986 - 435957</t>
  </si>
  <si>
    <t>788601 - 436267 - 521678 - 436266 - 5123 - 786463</t>
  </si>
  <si>
    <t>787033 - 786465 - 4877 - 436064</t>
  </si>
  <si>
    <t>436052 - 786466 - 436053 - 436049 - 436054 - 5772 - 436050 - 436051</t>
  </si>
  <si>
    <t>786467 - 5765</t>
  </si>
  <si>
    <t>5756 - 786468 - 436038 - 436037 - 436040 - 436039 - 787316 - 5741 - 788590</t>
  </si>
  <si>
    <t>5731 - 786469 - 436026 - 5743 - 434332 - 436025</t>
  </si>
  <si>
    <t>436009 - 436010 - 786470 - 5736 - 787968</t>
  </si>
  <si>
    <t>786472 - 436004 - 5734</t>
  </si>
  <si>
    <t>790867 - 5725 - 436001 - 5733 - 788596 - 5724 - 786473</t>
  </si>
  <si>
    <t>786474 - 436056 - 5774</t>
  </si>
  <si>
    <t>5720 - 786475</t>
  </si>
  <si>
    <t>786478 - 787735 - 787035 - 5254 - 786702</t>
  </si>
  <si>
    <t>786483 - 770389 - 788512 - 6348 - 786872 - 788217</t>
  </si>
  <si>
    <t>6316 - 787251 - 786485 - 787523 - 786999</t>
  </si>
  <si>
    <t>787524 - 643509 - 786970 - 788569 - 6307 - 788580 - 786619 - 786486 - 6310 - 6308 - 786878 - 6309</t>
  </si>
  <si>
    <t>786495 - 436262 - 788123 - 787388 - 436264 - 436265 - 5122 - 436263</t>
  </si>
  <si>
    <t>786497 - 5193 - 787644 - 788605 - 434257</t>
  </si>
  <si>
    <t>792015 - 786952 - 792024 - 787591 - 434253 - 786499 - 792020 - 787765 - 5194 - 787028</t>
  </si>
  <si>
    <t>786505 - 786720 - 5672 - 788238</t>
  </si>
  <si>
    <t>434146 - 809676 - 786506</t>
  </si>
  <si>
    <t>786515 - 788462</t>
  </si>
  <si>
    <t>434616 - 786525</t>
  </si>
  <si>
    <t>436033 - 788232 - 786508 - 434618 - 5755 - 786527</t>
  </si>
  <si>
    <t>786528 - 434584</t>
  </si>
  <si>
    <t>787213 - 786530 - 434590 - 435858 - 435857</t>
  </si>
  <si>
    <t>434399 - 786547 - 788010 - 5804</t>
  </si>
  <si>
    <t>788415 - 6302 - 787037 - 788417 - 786836 - 788416</t>
  </si>
  <si>
    <t>6188 - 787396 - 791005 - 787983 - 787588 - 787264 - 787585 - 788132 - 786629 - 787769 - 787058 - 6187</t>
  </si>
  <si>
    <t>788431 - 788208</t>
  </si>
  <si>
    <t>788390 - 788186 - 786511</t>
  </si>
  <si>
    <t>788437 - 788436</t>
  </si>
  <si>
    <t>788438 - 787207</t>
  </si>
  <si>
    <t>108584 - 788786</t>
  </si>
  <si>
    <t>Mimule de Roberts, Érythranthe de Roberts</t>
  </si>
  <si>
    <t>162650 - 82196 - 788797 - 106381 - 96871 - 106383 - 82188 - 82195 - 82190 - 618751 - 106390 - 82197</t>
  </si>
  <si>
    <t>Amsinckie à calice, Amsinckie velue, Amsinckie à petites fleurs</t>
  </si>
  <si>
    <t>Ronce à tiges pâles</t>
  </si>
  <si>
    <t>Laîche de Gray</t>
  </si>
  <si>
    <t>Alchémille de Jaquet</t>
  </si>
  <si>
    <t>1006661 - 788967 - 134702</t>
  </si>
  <si>
    <t>Bourdaine aulne, Bourdaine, Bois noir, Frangule de Dodone, Bourdaine de Dodone</t>
  </si>
  <si>
    <t>91908 - 132406 - 140588 - 97983 - 619131 - 619133 - 140591 - 87359 - 87358 - 132411 - 126496 - 619132 - 718223 - 87347 - 159498 - 788968 - 120907 - 87353</t>
  </si>
  <si>
    <t>Clinopode à feuilles de menthe, Calament à feuilles de menthe, Calament des bois, Sarriette des bois, Sarriette à feuilles de menthe</t>
  </si>
  <si>
    <t>Prêle d'ivoire, Grande prêle</t>
  </si>
  <si>
    <t>Prêle d'hiver, Jonc hollandais</t>
  </si>
  <si>
    <t>Prêle très rameuse, Prêle rameuse</t>
  </si>
  <si>
    <t>144133 - 132027 - 85335 - 788978 - 613686 - 144207 - 152806 - 85298 - 144205 - 144204 - 144203</t>
  </si>
  <si>
    <t>Avoine de Louis, Avoine de Ludovic</t>
  </si>
  <si>
    <t>Salicorne d'Europe</t>
  </si>
  <si>
    <t>148049 - 788987 - 148047 - 137100 - 148044 - 613539 - 105058</t>
  </si>
  <si>
    <t>139388 - 789026</t>
  </si>
  <si>
    <t>102479 - 791817 - 101944 - 162574 - 159920</t>
  </si>
  <si>
    <t>Épervière pâle</t>
  </si>
  <si>
    <t>842476 - 792334</t>
  </si>
  <si>
    <t>788504 - 788698 - 793166</t>
  </si>
  <si>
    <t>113441 - 130692 - 79319 - 79347</t>
  </si>
  <si>
    <t>Sapin blanc, Sapin pectiné</t>
  </si>
  <si>
    <t>79325 - 79322 - 130693 - 79337</t>
  </si>
  <si>
    <t>Sapin de Céphalonie, Sapin de Grèce</t>
  </si>
  <si>
    <t>161822 - 79333 - 79332 - 113436</t>
  </si>
  <si>
    <t>Sapin de Vancouver, Sapin de l'Orégon, Sapin géant</t>
  </si>
  <si>
    <t>113685 - 79345 - 113438 - 130695</t>
  </si>
  <si>
    <t>Sapin de Nordmann, Sapin du Caucase, Sapin de Crimée</t>
  </si>
  <si>
    <t>79335 - 718629 - 79349 - 613444 - 718871</t>
  </si>
  <si>
    <t>Sapin d'Espagne</t>
  </si>
  <si>
    <t>618642 - 79344 - 79350</t>
  </si>
  <si>
    <t>Sapin élevé</t>
  </si>
  <si>
    <t>79680 - 123192 - 79683 - 79684 - 1015601 - 107223 - 123193 - 123184 - 79681</t>
  </si>
  <si>
    <t>Abutilon de Théophraste, Abutilon d'Avicenne, Abutilon à pétales jaunes</t>
  </si>
  <si>
    <t>79724 - 130696 - 79722 - 79719 - 79721 - 79720</t>
  </si>
  <si>
    <t>Acanthe à feuilles molles, Acanthe molle</t>
  </si>
  <si>
    <t>161829 - 79732 - 130700 - 130699 - 955487 - 613445 - 161828 - 79731 - 79792 - 79758 - 79761 - 955484 - 935166 - 142517 - 130698 - 79734 - 130697 - 79797 - 79730 - 142518 - 130701 - 79794 - 79751 - 79762 - 935164 - 79780 - 79781 - 892315 - 79738 - 79802 - 944533 - 1006015 - 79796 - 79728 - 97394 - 79801 - 79793</t>
  </si>
  <si>
    <t>Érable champêtre, Acéraille</t>
  </si>
  <si>
    <t>79791 - 617143 - 79735 - 79756 - 79736 - 142519 - 79740 - 154669 - 79749</t>
  </si>
  <si>
    <t>Érable de Cappadoce</t>
  </si>
  <si>
    <t>130704 - 79739 - 79798 - 130707 - 79753 - 152646 - 79763 - 79809 - 79799 - 79784 - 130706</t>
  </si>
  <si>
    <t>Érable de Montpellier, Agas, Azerou</t>
  </si>
  <si>
    <t>119416 - 79746 - 109479 - 79766 - 109482 - 109481 - 79773 - 109480 - 109477 - 79768 - 119417 - 109478</t>
  </si>
  <si>
    <t>Érable negundo, Érable frêne, Érable à feuilles de frêne, Érable Négondo</t>
  </si>
  <si>
    <t>79752 - 79795 - 130703 - 79771 - 130712 - 79785 - 79754 - 130716 - 130711 - 130713 - 79770</t>
  </si>
  <si>
    <t>79789 - 79786 - 79779 - 97395 - 718848 - 130717 - 718873 - 79778 - 79727 - 79744</t>
  </si>
  <si>
    <t>Érable plane, Plane, Aserau</t>
  </si>
  <si>
    <t>613765 - 79743 - 79782 - 79783 - 613762 - 79790 - 79757 - 621377 - 79760 - 933213 - 79800 - 79764 - 613763 - 613764</t>
  </si>
  <si>
    <t>Érable sycomore, Grand Érable, Érable faux platane</t>
  </si>
  <si>
    <t>83713 - 79747 - 79787 - 79737 - 119775 - 79774 - 79776 - 79745 - 79788 - 79741</t>
  </si>
  <si>
    <t>Érable argenté, Érable de Virginie, Érable à sirop</t>
  </si>
  <si>
    <t>79808 - 79803</t>
  </si>
  <si>
    <t>Érable de Bornmüller</t>
  </si>
  <si>
    <t>79777 - 79805 - 79804 - 79811</t>
  </si>
  <si>
    <t>Érable coriace, Érable de Martin</t>
  </si>
  <si>
    <t>120783 - 79865 - 79942 - 92231</t>
  </si>
  <si>
    <t>Achillée visqueuse, Herbe au charpentier, Achillée agérate</t>
  </si>
  <si>
    <t>6811 - 788418 - 786904 - 787284 - 787133 - 713756 - 963003 - 7990 - 788227 - 714738</t>
  </si>
  <si>
    <t>772317 - 142535 - 142529 - 762389 - 79871 - 82858 - 772318 - 130734 - 773777 - 772320 - 773496 - 773504 - 130732 - 142534 - 773773 - 142539 - 79935 - 130740 - 772315 - 130736 - 772312 - 120795 - 79908 - 772357 - 773497 - 772311 - 773536 - 130731 - 79931 - 773510 - 773493 - 617202 - 612082 - 142531 - 130738 - 79894 - 773495 - 772319 - 773502 - 772343 - 772314 - 772356 - 772321 - 81281 - 79925 - 152647 - 773491 - 773494 - 772316 - 773537 - 79938 - 130739 - 773492 - 773780 - 773774 - 79884 - 130735 - 772313 - 79901 - 773775 - 79916 - 79968 - 142536 - 79881 - 773498 - 152648 - 773506 - 773781 - 79912 - 773776 - 142533 - 142537 - 79909 - 130730 - 79934 - 773508 - 142532</t>
  </si>
  <si>
    <t>Achillée millefeuille, Herbe au charpentier, Sourcils-de-Vénus, Millefeuille, Chiendent rouge</t>
  </si>
  <si>
    <t>79913 - 116260 - 79899</t>
  </si>
  <si>
    <t>Achillée naine, Faux génépi</t>
  </si>
  <si>
    <t>79872 - 108563 - 79932 - 79888 - 79914 - 79882 - 79883 - 142541 - 79876 - 120796</t>
  </si>
  <si>
    <t>79936 - 79921 - 120801 - 116261 - 90473 - 116257 - 116256 - 79892</t>
  </si>
  <si>
    <t>148058 - 105104 - 105102 - 148061 - 80694 - 87210 - 84145 - 87267 - 87236 - 87213 - 125223 - 84153 - 141472 - 141471 - 125133 - 84218 - 87289 - 80572 - 80588 - 79969 - 84182 - 148060 - 148059 - 79970</t>
  </si>
  <si>
    <t>Calamagrostide argentée, Stipe calamagrostide, Achnathère calamagrostide, Calamagrostis argenté</t>
  </si>
  <si>
    <t>142552 - 142556 - 80046 - 142551 - 142553 - 80020 - 142549 - 82912 - 80027 - 80007 - 142550 - 142555 - 142548 - 616763 - 80052 - 80040 - 142554</t>
  </si>
  <si>
    <t>Aconit anthore, Aconit anthora, Anthore, Maclou</t>
  </si>
  <si>
    <t>80034 - 80063 - 80057 - 106985</t>
  </si>
  <si>
    <t>Aconit tue-loup, Coqueluchon jaune</t>
  </si>
  <si>
    <t>142571 - 80069 - 967544 - 109225 - 80037</t>
  </si>
  <si>
    <t>Aconit napel, Casque de Jupiter, Casque</t>
  </si>
  <si>
    <t>58 - 70 - 89 - 90</t>
  </si>
  <si>
    <t>80087 - 80086 - 80089 - 80091 - 80088 - 80090 - 80085 - 87371 - 80084</t>
  </si>
  <si>
    <t>Acore odorant</t>
  </si>
  <si>
    <t>142579 - 91002 - 80136 - 91003 - 80134 - 80137</t>
  </si>
  <si>
    <t>Actée en épi, Herbe aux poux</t>
  </si>
  <si>
    <t>70 - 89</t>
  </si>
  <si>
    <t>130818 - 94110 - 124446 - 80163 - 130826 - 80152 - 80155 - 80153 - 80158 - 130817 - 161835 - 130824 - 80156 - 80154 - 80164 - 94154 - 94147 - 142582 - 142581 - 142584 - 80157 - 130825 - 161836 - 152649</t>
  </si>
  <si>
    <t>Adénocarpe plié, Adénocarpe à feuilles pliées, Adénocarpe changé</t>
  </si>
  <si>
    <t>144869 - 87154 - 130828 - 621069 - 87146 - 80181 - 142585 - 130831 - 87147 - 144870 - 80189 - 80191 - 621070 - 87157 - 144871 - 87151 - 132364 - 80182 - 122626 - 80183 - 130838 - 142586</t>
  </si>
  <si>
    <t>Adenostyle à feuilles d'alliaire, Adénostyle alliaire, Adénostyle à têtes blanches, Cacalie à feuilles d'alliaire</t>
  </si>
  <si>
    <t>87152 - 80187 - 144872 - 87381 - 80184 - 87155 - 132366 - 80193 - 128040 - 87149 - 87148 - 142587</t>
  </si>
  <si>
    <t>80226 - 80220 - 80211 - 80225 - 613766 - 80217 - 80229 - 161121 - 80233 - 162029 - 142588 - 80239 - 613767 - 142589 - 92620 - 130839 - 130842 - 130841 - 932328 - 1006125</t>
  </si>
  <si>
    <t>Adonis d'été, Goutte-de-sang</t>
  </si>
  <si>
    <t>Adonis aestivalis</t>
  </si>
  <si>
    <t>130844 - 80215 - 142593 - 142595 - 80212 - 80236 - 80222 - 80230 - 80231 - 80221 - 130847 - 92621 - 142590 - 142594 - 130843 - 142592 - 80237 - 130849 - 142591 - 80235 - 613138 - 80216 - 130848 - 80234 - 130846 - 130845 - 80218 - 80214</t>
  </si>
  <si>
    <t>Adonis annuel, Adonis d'automne, Goutte-de-sang</t>
  </si>
  <si>
    <t>Adonis annua</t>
  </si>
  <si>
    <t>80219 - 618667 - 161197 - 142596 - 152651 - 162030 - 161196 - 613768 - 80213 - 80224 - 932359 - 613769 - 618668 - 130852</t>
  </si>
  <si>
    <t>Adonis flamme, Adonis couleur de feu, Adonis flammette, Goutte-de-sang</t>
  </si>
  <si>
    <t>Adonis flammea</t>
  </si>
  <si>
    <t>108834 - 108836 - 80241 - 108835 - 108830 - 80243 - 80242 - 80244</t>
  </si>
  <si>
    <t>Herbe musquée, Moscatelline, Moschatelline, Muscatelle, Adoxe musquée, Adoxe moscatelline</t>
  </si>
  <si>
    <t>142615 - 142599 - 80281 - 142619 - 80285 - 141967 - 130858 - 127767 - 80263 - 130855 - 141966 - 142627 - 142620 - 142600 - 127766 - 142598 - 130857 - 80284 - 944673 - 127705 - 142610</t>
  </si>
  <si>
    <t>Égilope à grosses arrêtes, Égilope long de deux pouces</t>
  </si>
  <si>
    <t>80298 - 142602 - 142609 - 154682 - 142605 - 154236 - 93752 - 142604 - 142601 - 142603 - 142606 - 80268 - 142608 - 142607 - 127722 - 141961 - 80270</t>
  </si>
  <si>
    <t>Égilope cylindrique</t>
  </si>
  <si>
    <t>80264 - 142617 - 80292 - 80289 - 80290 - 127778 - 80296 - 142618 - 80278 - 142616 - 130856 - 621113 - 113173 - 130859 - 80273 - 127829 - 80305 - 80271 - 80303 - 142625 - 80291 - 98993 - 142622 - 80276 - 127816 - 80294 - 80287 - 80295 - 80275</t>
  </si>
  <si>
    <t>Égilope ovale, Égilope ovoïde, Égilope géniculé</t>
  </si>
  <si>
    <t>80274 - 142635 - 127825 - 130863 - 80302 - 80260 - 142642 - 142633 - 142645 - 142632 - 80272 - 142637 - 142640 - 142638 - 142634 - 159515 - 80265 - 142641 - 142639 - 142643 - 142636 - 130862 - 618672 - 142644</t>
  </si>
  <si>
    <t>Égilope à trois arêtes, Égilope de trois pouces, Égilope long de trois pouces, Égilope allongé</t>
  </si>
  <si>
    <t>142649 - 142647 - 99671 - 80304 - 618673 - 80277 - 142648 - 142646 - 127832</t>
  </si>
  <si>
    <t>Égilope ventru</t>
  </si>
  <si>
    <t>80317 - 106403 - 987996 - 106394 - 86894 - 117743 - 106393 - 107360 - 106409 - 106400 - 80318 - 106401 - 106402</t>
  </si>
  <si>
    <t>Fausse buglosse pourpre bleu, Grémil pourpre bleu, Thé d'Europe</t>
  </si>
  <si>
    <t>114456 - 123044 - 123783 - 122384 - 114455 - 127050 - 772352 - 105945 - 89260 - 105944 - 122995 - 123968 - 113553 - 80322 - 83211 - 80321 - 80319 - 113587</t>
  </si>
  <si>
    <t>Égopode podagraire, Podagraire, Herbe aux goutteux, Fausse angélique</t>
  </si>
  <si>
    <t>80337 - 80336 - 102824 - 112561 - 102825 - 80334</t>
  </si>
  <si>
    <t>Marronnier d'Inde, Marronnier commun</t>
  </si>
  <si>
    <t>112562 - 80335</t>
  </si>
  <si>
    <t>Marronnier pavier, Pavier rouge, Pavier</t>
  </si>
  <si>
    <t>80339 - 80338</t>
  </si>
  <si>
    <t>Marronnier à fleurs couleur de chair, Marronnier carné, Marronnier rouge</t>
  </si>
  <si>
    <t>80359 - 122341 - 93782 - 142658 - 80358 - 80367 - 618674 - 80356 - 92458 - 91189 - 91188 - 80368 - 973938</t>
  </si>
  <si>
    <t>80408 - 80423 - 80409 - 97438 - 80415 - 80413 - 130879 - 80416 - 80410 - 80422</t>
  </si>
  <si>
    <t>80407 - 80421 - 618680 - 80418 - 80414 - 152653 - 130878 - 80412 - 130880 - 80417</t>
  </si>
  <si>
    <t>Aigremoine élevée, Aigremoine odorante, Aigremoine rampante</t>
  </si>
  <si>
    <t>130915 - 100261 - 142770 - 123488 - 106892 - 80546 - 80547 - 100260 - 106947 - 106922 - 106946 - 100259 - 161660 - 80550</t>
  </si>
  <si>
    <t>Nielle des blés, Lychnis nielle, Lychnide nielle</t>
  </si>
  <si>
    <t>Agrostemma githago</t>
  </si>
  <si>
    <t>127148 - 142859 - 80802 - 84165 - 80691 - 80686 - 142878 - 80590 - 142880 - 127155 - 142845 - 142867 - 142861 - 80638 - 80681 - 80629 - 142879 - 142855 - 142869 - 162036 - 142866 - 80405 - 108530 - 80776 - 80727 - 127150 - 142872 - 80404 - 80807 - 80660 - 142843 - 129442 - 80799 - 130944 - 142874 - 142844 - 80680 - 80555 - 80767 - 142852 - 142848 - 142875 - 143018 - 142853 - 80649 - 127154 - 130947 - 142838 - 142864 - 142870 - 142868</t>
  </si>
  <si>
    <t>143037 - 131004 - 142882 - 142885 - 142886 - 143042 - 80778 - 80648 - 80773 - 142881 - 142913 - 143027 - 142912 - 142906 - 94557 - 80790 - 772338 - 142910 - 80771 - 143007 - 143010 - 142990 - 142997 - 80637 - 142981 - 143038 - 142991 - 80753 - 142989 - 80591 - 130992 - 143015 - 142995 - 142898 - 143030 - 773529 - 80617 - 143041 - 80705 - 142824 - 143036 - 143012 - 159521 - 80805 - 80682 - 143045 - 154247 - 142963 - 130978 - 143023 - 129441 - 80559 - 130937 - 80597 - 80595 - 143020 - 162055 - 80576 - 142820 - 127161 - 143022 - 773169 - 143040 - 80764 - 143024 - 143006 - 130991 - 142996 - 143019 - 80781 - 80765 - 705795 - 143008 - 143011 - 108539 - 142988 - 143029 - 618683 - 789311 - 129437 - 80786 - 80769 - 143028 - 142994 - 143046 - 143009 - 80801 - 143021 - 80800 - 130933</t>
  </si>
  <si>
    <t>130973 - 142921 - 142926 - 142927 - 127160 - 142928 - 84166 - 80746 - 80605 - 80406 - 142925 - 129450 - 142661</t>
  </si>
  <si>
    <t>Agrostide de Curtis, Agrostide à soie, Agrostis à soies</t>
  </si>
  <si>
    <t>618685 - 142810 - 131003 - 80644 - 142932 - 142825 - 130967 - 80609 - 143014 - 80602 - 142786 - 142785 - 80752 - 80639 - 130980 - 80615 - 142773 - 142816 - 142960 - 142958 - 80614 - 80708 - 80719 - 142929 - 80788 - 142787 - 142930 - 142794 - 130920 - 143004 - 142896 - 142931 - 146059 - 613451 - 129436 - 142969 - 80742 - 130923 - 142884 - 142903 - 142970 - 142975 - 142883 - 154602 - 142771 - 142976 - 80667 - 142797 - 142956 - 142778 - 142790 - 80685 - 130952 - 142796 - 142979 - 142992 - 142957 - 129440 - 80732 - 142795 - 142798 - 130966 - 142789 - 80616 - 129445 - 142804 - 143035 - 80656 - 618684 - 143013 - 142959 - 142947 - 143025</t>
  </si>
  <si>
    <t>Agrostide géante, Fiorin, Agrostis géante</t>
  </si>
  <si>
    <t>130939 - 80632 - 142831 - 152661 - 127159 - 80717 - 142830 - 142832 - 142924 - 142828 - 80739 - 80766 - 142833</t>
  </si>
  <si>
    <t>Agrostide de Schleicher</t>
  </si>
  <si>
    <t>80822 - 80565 - 129435 - 130918 - 773405 - 80587 - 80699 - 80554 - 142945 - 129446 - 142967 - 80575 - 148738 - 80750 - 130985 - 142951 - 80697 - 142782 - 142954 - 80612 - 142807 - 80618 - 142899 - 142815 - 83154 - 80738 - 129444 - 80641 - 162052 - 80760 - 130929 - 142968 - 143031 - 130930 - 142904 - 130926 - 142805 - 142953 - 130988 - 130919 - 80679 - 142948 - 142809 - 142811 - 142986 - 80759 - 142775 - 142808 - 80749 - 130984 - 142909 - 142971 - 142901 - 130975 - 142946 - 142819 - 142817 - 80754 - 80613 - 130927 - 152660 - 162035 - 142780 - 130931 - 80608 - 80634 - 142779 - 142972 - 142784 - 142966 - 142791 - 142823 - 80737 - 80720 - 154240 - 142911 - 142799 - 142952 - 130924 - 80557 - 130925 - 142982 - 80669 - 80624 - 130956 - 108542 - 130970 - 129451 - 143039 - 142803 - 142788 - 142980 - 94556 - 142772 - 142961 - 142973 - 80710 - 142955 - 108561 - 130986 - 142983 - 142781 - 142818 - 142974 - 80709 - 142965 - 142792 - 80666 - 80583</t>
  </si>
  <si>
    <t>142835 - 80704 - 130941 - 143044 - 130948 - 80785 - 129434 - 130998 - 142863 - 80768 - 80806 - 130946 - 142851 - 80716 - 130999 - 142873 - 80657 - 142846 - 142841 - 80782 - 142856 - 130942 - 142776 - 127162 - 131002 - 154250 - 142857 - 142877 - 142865 - 618688 - 80563 - 142871 - 80798 - 80763 - 130963 - 142895 - 127156 - 154245 - 80777 - 142839 - 130964 - 131001 - 130962 - 80651 - 142849 - 130949 - 131000 - 80770 - 142842 - 618687 - 130977 - 154249 - 130936 - 130989 - 80598 - 130950 - 142858 - 142850 - 130917 - 142949 - 80670 - 142862 - 80561 - 162053 - 154251 - 80797 - 130951 - 127147 - 80573 - 142902</t>
  </si>
  <si>
    <t>Agrostide des vignes, Agrostide des sables, Agrostis des vignes</t>
  </si>
  <si>
    <t>80815 - 80819</t>
  </si>
  <si>
    <t>Agrostide de Murbeck</t>
  </si>
  <si>
    <t>80831 - 143047 - 80824 - 80827 - 126909 - 115093 - 80829 - 618689 - 117711 - 80825 - 80828 - 80830 - 80832 - 618690</t>
  </si>
  <si>
    <t>Ailante glanduleux, Faux vernis du Japon, Ailante, Ailanthe</t>
  </si>
  <si>
    <t>143082 - 143081 - 143074 - 80909 - 80868 - 143129 - 143086 - 80892 - 143091 - 929324 - 144095 - 80592 - 143072 - 80857 - 143127 - 84617 - 143065 - 80916 - 80882 - 99156 - 143090 - 80869 - 131012 - 143075 - 85224 - 120581 - 80949 - 143087 - 143073 - 143069 - 80865 - 85403 - 162056 - 131010 - 80934 - 143070 - 131016</t>
  </si>
  <si>
    <t>Aïra caryophyllé, Canche caryophyllée</t>
  </si>
  <si>
    <t>147215 - 143059 - 80870 - 85222 - 80860 - 131007 - 144092 - 144093 - 929323 - 143061 - 131026 - 80920 - 144091 - 80933 - 80855 - 80948 - 131006 - 80839 - 143066 - 99155 - 143058 - 80903 - 80871 - 143067 - 154252 - 143140 - 120577 - 84616 - 154686</t>
  </si>
  <si>
    <t>Aïra élégant, Aïra très élégant, Canche élégante</t>
  </si>
  <si>
    <t>143083 - 143078 - 144097 - 143126 - 131017 - 131015 - 144094 - 929330 - 143064 - 120579 - 80910 - 143048 - 143085 - 143077 - 131980 - 144096 - 143080 - 80902 - 131014 - 80835 - 143084 - 85311</t>
  </si>
  <si>
    <t>Aïra à tiges nombreuses, Canche à tiges nombreuses</t>
  </si>
  <si>
    <t>85351 - 80707 - 85410 - 80953 - 80936 - 99157 - 120580 - 127673 - 929326 - 143057 - 84618 - 89280 - 80911 - 85340</t>
  </si>
  <si>
    <t>Aïra précoce, Canche précoce, Canche printanière</t>
  </si>
  <si>
    <t>80978 - 86952 - 86911 - 86912 - 125971 - 125982 - 90502 - 80993 - 90503</t>
  </si>
  <si>
    <t>25 - 58 - 90</t>
  </si>
  <si>
    <t>Ajuga chamaepitys</t>
  </si>
  <si>
    <t>86909 - 80975 - 80974 - 80979 - 80991 - 143141 - 80980 - 86910 - 131043 - 125996 - 86913 - 86916 - 143142 - 80982 - 131039</t>
  </si>
  <si>
    <t>Bugle de Genève</t>
  </si>
  <si>
    <t>143145 - 80976 - 143146 - 80992 - 131048 - 143148 - 80985 - 126031 - 152670 - 80989 - 80977 - 80990 - 131046 - 86917</t>
  </si>
  <si>
    <t>Bugle rampante, Consyre moyenne</t>
  </si>
  <si>
    <t>787172 - 436218 - 434657 - 809935 - 788221</t>
  </si>
  <si>
    <t>131045 - 161001 - 80998 - 131044</t>
  </si>
  <si>
    <t>Bugle hybride</t>
  </si>
  <si>
    <t>107255 - 1015582 - 81839 - 81838 - 81023 - 81859 - 81020 - 107308 - 81858 - 81842 - 81864 - 81840</t>
  </si>
  <si>
    <t>Rose trémière, Passerose, Alcée rose</t>
  </si>
  <si>
    <t>131133 - 131096 - 81124 - 131114 - 81024 - 131100 - 81192 - 718637 - 81094 - 81027 - 924346 - 143210 - 718638 - 131115 - 718881 - 81116</t>
  </si>
  <si>
    <t>Alchémille à lobes aigus, Alchémille grêle</t>
  </si>
  <si>
    <t>81141 - 791185 - 131077 - 81051 - 618692 - 81185 - 131093 - 131066 - 131052 - 924302 - 614943 - 131092 - 81053 - 131067 - 131056 - 81162 - 161111 - 81042 - 143150 - 81050 - 81078 - 81081 - 618693 - 143153 - 131054 - 81032 - 81082 - 81143 - 143171 - 131076 - 924313</t>
  </si>
  <si>
    <t>Alchémille plissée, Alchémille alpigène</t>
  </si>
  <si>
    <t>81191 - 131050 - 81033 - 81048</t>
  </si>
  <si>
    <t>Alchémille des Alpes, Herbe de Saint-Sabin, Satinée</t>
  </si>
  <si>
    <t>81062 - 81052 - 81035</t>
  </si>
  <si>
    <t>Alchémille toute soyeuse, Alchémille de Charbonnel</t>
  </si>
  <si>
    <t>131079 - 143172 - 131078 - 81057 - 131055 - 143152</t>
  </si>
  <si>
    <t>Alchémille à folioles soudées, Alchémille à lobes conjoints</t>
  </si>
  <si>
    <t>924309 - 131101 - 81131 - 131118 - 81043 - 81058 - 162057 - 81025 - 81187 - 717056 - 143193 - 143149 - 131097 - 81169</t>
  </si>
  <si>
    <t>Alchémille à dents conniventes, Alchémille connivente</t>
  </si>
  <si>
    <t>81105 - 143209 - 81167 - 143216 - 131111 - 131127 - 131069 - 131070 - 81030 - 143164 - 143194 - 143166 - 81059 - 81113 - 131102 - 81028</t>
  </si>
  <si>
    <t>Alchémille coriace</t>
  </si>
  <si>
    <t>Alchémille à crinière</t>
  </si>
  <si>
    <t>81149 - 81071</t>
  </si>
  <si>
    <t>Alchémille exiguë, Petite alchémille</t>
  </si>
  <si>
    <t>143180 - 131117 - 131131 - 131104 - 131091 - 770795 - 81157 - 81188 - 131072 - 81136 - 773406 - 143179 - 152672 - 1017122 - 81036 - 131132 - 131090 - 131071 - 143199 - 924293 - 81073</t>
  </si>
  <si>
    <t>Alchemille velue, Alchémille à tiges fines, Alchémille à tiges filiformes</t>
  </si>
  <si>
    <t>81079 - 143169</t>
  </si>
  <si>
    <t>Alchémille à tiges flexibles</t>
  </si>
  <si>
    <t>81069 - 131106 - 81119 - 131112 - 131099 - 143203 - 614602 - 81173 - 81152 - 143192 - 81184 - 81158 - 81031 - 81181 - 81070 - 143198 - 81177 - 81088 - 131120 - 131098 - 81134 - 610824</t>
  </si>
  <si>
    <t>Alchémille glabre</t>
  </si>
  <si>
    <t>961535 - 810895</t>
  </si>
  <si>
    <t>Cornouiller de Hongrie</t>
  </si>
  <si>
    <t>81186 - 143185 - 131086 - 81100 - 81091 - 81129 - 618696 - 143182 - 143205 - 81146 - 81126 - 81174</t>
  </si>
  <si>
    <t>Alchémille glauque, Alchémille bleuâtre, Alchémille glaucescente</t>
  </si>
  <si>
    <t>811211 - 811210 - 811035 - 140243 - 810952 - 985177</t>
  </si>
  <si>
    <t>151005 - 119185 - 810953</t>
  </si>
  <si>
    <t>132580 - 88071 - 132589 - 810968 - 88162 - 132590 - 88216</t>
  </si>
  <si>
    <t>Chardon à fleurs nombreuses, Chardon multiflore</t>
  </si>
  <si>
    <t>143207 - 154271 - 154273 - 81178 - 143200 - 131130 - 81155 - 81097 - 143201 - 131109 - 81077 - 81122</t>
  </si>
  <si>
    <t>Alchémille hétéropode</t>
  </si>
  <si>
    <t>81098 - 618697</t>
  </si>
  <si>
    <t>Alchémille de Hoppe</t>
  </si>
  <si>
    <t>131110 - 143186 - 131089 - 131088 - 143155 - 131123 - 143213 - 81115 - 81101 - 618698 - 618699 - 81147 - 81107 - 143208 - 154272 - 718878 - 81148 - 131068 - 131087 - 81127 - 143211 - 131116</t>
  </si>
  <si>
    <t>Alchémille hybride, Alchémille de Lapeyrouse</t>
  </si>
  <si>
    <t>717907 - 81117</t>
  </si>
  <si>
    <t>Alchémille à tiges grêles</t>
  </si>
  <si>
    <t>811209 - 811241 - 105208 - 105240 - 105165 - 111733 - 137140 - 137141 - 137142 - 111720</t>
  </si>
  <si>
    <t>Gesse fausse asphodèle, Gesse blanchâtre, Gesse blanche</t>
  </si>
  <si>
    <t>81135 - 81138 - 81130 - 131121 - 131126 - 143215 - 81139 - 161112 - 131119 - 772941 - 81093</t>
  </si>
  <si>
    <t>Alchémille des montagnes</t>
  </si>
  <si>
    <t>143174 - 131057 - 131082 - 131081 - 143173 - 143156 - 143175 - 81137</t>
  </si>
  <si>
    <t>Alchémille pâle, Alchémille pâlissante</t>
  </si>
  <si>
    <t>Alchémille à folioles repliées, Alchémille pliée</t>
  </si>
  <si>
    <t>81153 - 81172 - 81103</t>
  </si>
  <si>
    <t>Alchémille à feuilles réniformes, Alchémille en forme de rein, Alchémille à feuilles en forme de rein</t>
  </si>
  <si>
    <t>131058 - 618702 - 81159</t>
  </si>
  <si>
    <t>Alchémille des rochers</t>
  </si>
  <si>
    <t>143190 - 81161 - 152673</t>
  </si>
  <si>
    <t>Alchémille de Schmidely</t>
  </si>
  <si>
    <t>81106 - 81166 - 897220 - 618700</t>
  </si>
  <si>
    <t>Alchémille brillante, Alchémille éclatante</t>
  </si>
  <si>
    <t>811664 - 811663</t>
  </si>
  <si>
    <t>81108 - 81183 - 81170 - 152676 - 81180 - 152677 - 143217 - 81144 - 143218 - 131129</t>
  </si>
  <si>
    <t>Alchémille un peu crénelée</t>
  </si>
  <si>
    <t>131134 - 81145 - 81154 - 143212 - 618707 - 618705 - 81026 - 81195 - 618706 - 618703 - 81109 - 717057 - 131122 - 618704 - 717067 - 143214</t>
  </si>
  <si>
    <t>Alchémille vert jaune, Alchémille commune, Alchémille jaunâtre, Alchémille vert jaunâtre</t>
  </si>
  <si>
    <t>131140 - 143233 - 152681 - 131139 - 81260 - 81266 - 81261 - 143236 - 81265 - 152682 - 143234 - 81254 - 81252 - 81262 - 81269</t>
  </si>
  <si>
    <t>Flûteau à feuilles de graminée, Plantain-d'eau graminé, Alisme graminé, Alisma graminé</t>
  </si>
  <si>
    <t>81263 - 618708 - 131141 - 81276</t>
  </si>
  <si>
    <t>Plantain-d'eau à feuilles lancéolées, Alisme lancéolé, Plantain-d'eau lancéolé</t>
  </si>
  <si>
    <t>81277 - 81270 - 131142 - 81272 - 81251 - 81267 - 81255 - 95695 - 81278 - 81257 - 81264</t>
  </si>
  <si>
    <t>Plantain-d'eau commun, Grand plantain-d'eau, Alisme plantain-d’eau</t>
  </si>
  <si>
    <t>110143 - 161879 - 81286 - 109692 - 618709 - 109686</t>
  </si>
  <si>
    <t>Orcanette jaune, Henné jaune</t>
  </si>
  <si>
    <t>83275 - 123916 - 81295 - 97192 - 93315 - 81293 - 97161 - 123798 - 81292 - 81294 - 97160 - 101435 - 83370</t>
  </si>
  <si>
    <t>Alliaire, Herbe aux aulx, Alliaire pétiolée, Alliaire officinale</t>
  </si>
  <si>
    <t>81313 - 131205 - 143241 - 81432 - 81471 - 81400 - 81533 - 131147 - 81301 - 143239 - 143240 - 131151 - 81331 - 81386 - 131150 - 81535 - 81480 - 81325 - 115187 - 81518 - 81482 - 81327</t>
  </si>
  <si>
    <t>Ail faux poireau, Carambole, Poireau des vignes Poireau d'été, Poireau du levant</t>
  </si>
  <si>
    <t>81406 - 81415 - 81362 - 81296 - 81424 - 81316 - 81540 - 131146 - 89904 - 117646 - 81485 - 130562 - 614144</t>
  </si>
  <si>
    <t>Ail à tiges anguleuses, Ail anguleux</t>
  </si>
  <si>
    <t>81336 - 131153 - 80396 - 92085 - 117362 - 89905</t>
  </si>
  <si>
    <t>Ail caréné, Ail à pétales carénés</t>
  </si>
  <si>
    <t>81370 - 89903 - 81339 - 115189 - 89909 - 81340 - 81320 - 104472 - 81503 - 89911</t>
  </si>
  <si>
    <t>Oignon, Ail oignon</t>
  </si>
  <si>
    <t>131162 - 81487 - 81344 - 131154 - 81347 - 81337 - 81382 - 92091</t>
  </si>
  <si>
    <t>Ail coloré, Ail élégant, Ail joli</t>
  </si>
  <si>
    <t>89915 - 131156 - 81373 - 81306 - 113309</t>
  </si>
  <si>
    <t>Ciboulette</t>
  </si>
  <si>
    <t>81545 - 81364 - 81378 - 924349 - 81380 - 92087 - 81379 - 131155 - 143242 - 143244 - 143245 - 81377</t>
  </si>
  <si>
    <t>Ail fléchi, Ail violacé</t>
  </si>
  <si>
    <t>131145 - 81387 - 81521 - 618712 - 131208 - 143246 - 81423 - 81371 - 81477 - 131158 - 81332 - 618711 - 937901 - 81372 - 131163 - 81314 - 81436 - 131168 - 81476 - 117647</t>
  </si>
  <si>
    <t>Ail du Portugal, Ail des montagnes, Ail douteux, Ail des collines, Ail de Lusitanie</t>
  </si>
  <si>
    <t>117363 - 81304 - 81546 - 81462 - 81547 - 143250 - 131173 - 92084 - 143251 - 131171 - 92089 - 143252 - 115192 - 81352 - 152684 - 81457</t>
  </si>
  <si>
    <t>Ail maraîcher, Ail des endroits cultivés, Ail potager, Ail des champs</t>
  </si>
  <si>
    <t>115193 - 104445 - 92090 - 117365 - 81467 - 89910 - 131181 - 131175</t>
  </si>
  <si>
    <t>Ail en panicule</t>
  </si>
  <si>
    <t>143268 - 115194 - 81481 - 81298 - 81393 - 131193 - 81501 - 131206</t>
  </si>
  <si>
    <t>Ail arrondi, Ail à inflorescences rondes</t>
  </si>
  <si>
    <t>Allium rotundum</t>
  </si>
  <si>
    <t>131198 - 81357 - 143270 - 81458 - 143269 - 81505 - 131197 - 131196 - 115196</t>
  </si>
  <si>
    <t>Ail, Ail commun, Ail cultivé</t>
  </si>
  <si>
    <t>81531 - 81491 - 84238 - 121545 - 81464 - 115197 - 131199 - 121561 - 81488 - 637575 - 131203 - 89912 - 81495 - 81330 - 792117 - 956293 - 89913 - 631402 - 81515 - 131204 - 81305 - 81348 - 143274 - 131202 - 81497 - 121546 - 143271 - 81299 - 81381 - 934266 - 81437 - 719307 - 131200 - 81508 - 143273</t>
  </si>
  <si>
    <t>115188 - 131207 - 81510 - 115198 - 81356 - 84239 - 81447 - 81427 - 81318</t>
  </si>
  <si>
    <t>Ail rocambole</t>
  </si>
  <si>
    <t>81422 - 81542 - 131210 - 81489 - 162059 - 143278 - 115191 - 81520 - 81366 - 143281 - 143280 - 131209 - 81317 - 143279 - 115199 - 81363 - 938626 - 81498</t>
  </si>
  <si>
    <t>108742 - 81475 - 131220 - 89914 - 81541 - 110316 - 80397 - 81448 - 99704 - 103154</t>
  </si>
  <si>
    <t>Ail des ours, Ail à larges feuilles</t>
  </si>
  <si>
    <t>81315 - 82745 - 81494 - 81543 - 81431 - 106547 - 81452 - 81478 - 81420 - 81413 - 99705 - 99703 - 89916</t>
  </si>
  <si>
    <t>Ail victorial, Herbe à neuf chemises, Ail de la victoire, Ail des cerfs</t>
  </si>
  <si>
    <t>956284 - 131222 - 81490 - 143292 - 115201 - 81450 - 131223 - 131225 - 616636 - 81319 - 143291 - 81529 - 143277 - 81418 - 152691 - 143294 - 131221 - 131224 - 81414 - 143295 - 143293 - 81333 - 81409 - 81300 - 81544 - 81435 - 81351 - 618718 - 81322 - 81496 - 143296 - 100188 - 143290 - 81469 - 81526</t>
  </si>
  <si>
    <t>Ail des vignes, Oignon bâtard, Aillet</t>
  </si>
  <si>
    <t>81564 - 618720 - 85911 - 143298 - 81565 - 618719 - 95636 - 81572 - 81573 - 143299 - 95637 - 81579 - 85899 - 95635 - 81563 - 122412 - 143297 - 81562 - 85877</t>
  </si>
  <si>
    <t>Aulne vert</t>
  </si>
  <si>
    <t>81567 - 162412 - 85885 - 161938</t>
  </si>
  <si>
    <t>Aulne cordé, Aulne à feuilles en cœur, Aulne de Corse, Aune cordiforme</t>
  </si>
  <si>
    <t>946082 - 926168 - 85878 - 81569 - 85902 - 81568 - 132129 - 521674 - 81566 - 144277 - 152692 - 618721 - 81580 - 81574</t>
  </si>
  <si>
    <t>Aulne glutineux, Verne, Vergne</t>
  </si>
  <si>
    <t>81571 - 85891 - 144278 - 81577 - 81570</t>
  </si>
  <si>
    <t>81586 - 81582 - 81584 - 81581 - 81585</t>
  </si>
  <si>
    <t>Aulne de Baden, Aulne hybride</t>
  </si>
  <si>
    <t>81665 - 81643 - 131237 - 143342 - 143344 - 143345 - 126920 - 81632 - 143327 - 143339 - 81623 - 143330 - 81639 - 143323 - 81636 - 81619 - 143304 - 131232 - 143341 - 131236 - 143302 - 131233 - 154692 - 81627 - 143305 - 143307 - 131235 - 154275 - 81610 - 81654 - 143306 - 956303 - 81616 - 143331 - 143340 - 143346 - 143328 - 143303 - 143338 - 143337 - 143322 - 143329 - 143332</t>
  </si>
  <si>
    <t>Vulpin roux, Vulpin fauve, Vulpin égal</t>
  </si>
  <si>
    <t>25 - 58 - 89</t>
  </si>
  <si>
    <t>81637 - 612387 - 772863 - 154693 - 81621 - 143349 - 143348 - 772129 - 126921 - 143336 - 143333 - 143343 - 159529 - 81653 - 143334</t>
  </si>
  <si>
    <t>Vulpin genouillé</t>
  </si>
  <si>
    <t>143318 - 143311 - 81657 - 618724 - 143326 - 126919 - 143316 - 81611 - 81613 - 143314 - 81644 - 143310 - 143352 - 81666 - 143312 - 81648 - 143325 - 81609 - 143353 - 143313 - 143309 - 81631 - 81612 - 143308 - 143319 - 143350 - 81640 - 143351 - 143354 - 143315</t>
  </si>
  <si>
    <t>Alopecurus myosuroides</t>
  </si>
  <si>
    <t>143368 - 143379 - 81634 - 143360 - 131243 - 81629 - 143381 - 81641 - 81622 - 143378 - 143382 - 81615 - 126924 - 143393 - 143385 - 143376 - 131241 - 143362 - 143374 - 81656 - 143386 - 143363 - 143380 - 143373 - 143387 - 81652 - 143372 - 143377 - 81667 - 81664 - 143371 - 81662 - 143384 - 143392 - 143375 - 143370 - 143367 - 81651 - 143394 - 81663 - 81661 - 143361 - 81617 - 143365 - 143369 - 131238</t>
  </si>
  <si>
    <t>81658 - 81669 - 143396 - 113036 - 113035 - 143397 - 126923</t>
  </si>
  <si>
    <t>Vulpin de Rendle, Vulpin en outre, Vulpin utriculé, Vulpin renflé</t>
  </si>
  <si>
    <t>25 - 39 - 70 - 89</t>
  </si>
  <si>
    <t>Vulpin d’Haussknecht</t>
  </si>
  <si>
    <t>131259 - 81854 - 81837 - 81846</t>
  </si>
  <si>
    <t>Guimauve faux chanvre, Guimauve chanvrine, Guimauve à feuilles de chanvre</t>
  </si>
  <si>
    <t>946234 - 107289 - 81835 - 81851 - 81856 - 107272 - 81862 - 107228 - 81860</t>
  </si>
  <si>
    <t>Guimauve officinale, Guimauve sauvage</t>
  </si>
  <si>
    <t>93433 - 81948 - 91623 - 108956 - 129068 - 81875</t>
  </si>
  <si>
    <t>Faux alysson renflé, Vésicaire renflée</t>
  </si>
  <si>
    <t>721369 - 143413 - 719897 - 143417 - 81895 - 81878 - 81903 - 81901 - 143419 - 116221 - 93318 - 143415 - 81883 - 91920 - 81949 - 80252 - 81940 - 81888 - 93338 - 143418 - 143416 - 521644 - 81885 - 80246 - 81938 - 81946 - 143414 - 721370</t>
  </si>
  <si>
    <t>Alysson faux alysson, Alysson à calice persistant</t>
  </si>
  <si>
    <t>131273 - 143435 - 93319 - 143427 - 108709 - 81887 - 81894 - 143431 - 81884 - 91936 - 143425 - 81932 - 143434 - 143426 - 1014791 - 81923 - 143433 - 81886 - 80251 - 81947 - 152706 - 81902 - 131275 - 131270 - 152705 - 81899 - 81951</t>
  </si>
  <si>
    <t>Alysson des montagnes, Passerage des montagnes, Alysson des collines, Alysse des montagnes</t>
  </si>
  <si>
    <t>143432 - 81935</t>
  </si>
  <si>
    <t>Alysson du Rhône, Alysse du Rhône</t>
  </si>
  <si>
    <t>81927 - 81893 - 131279 - 81919 - 81879 - 161320 - 81889 - 81918 - 81912 - 721374 - 80253 - 81925 - 81944 - 81937 - 896080</t>
  </si>
  <si>
    <t>Alysson simple, Alysson nain, Alysson champêtre, Alysson des champs</t>
  </si>
  <si>
    <t>819546 - 5054</t>
  </si>
  <si>
    <t>81955 - 99625</t>
  </si>
  <si>
    <t>Amarante blanche</t>
  </si>
  <si>
    <t>143438 - 81963 - 99627 - 81959 - 82032</t>
  </si>
  <si>
    <t>Amarante fausse blette, Fausse amarante</t>
  </si>
  <si>
    <t>82003 - 978977 - 81980 - 86114 - 884173 - 82034 - 884172 - 97865 - 81010 - 81956 - 81005 - 618728 - 86113 - 97869 - 81999 - 81966</t>
  </si>
  <si>
    <t>81998 - 992350 - 97866 - 992349 - 631442 - 81971</t>
  </si>
  <si>
    <t>Queue-de-renard, Brède malabar</t>
  </si>
  <si>
    <t>82019 - 992411 - 452458 - 82010 - 143444 - 131299 - 992402 - 82021 - 81976 - 131295</t>
  </si>
  <si>
    <t>Amarante rouge sang, Amarante rouge, Amarante couleur de sang</t>
  </si>
  <si>
    <t>81009 - 100362 - 81007 - 82016 - 81978 - 99629 - 81953 - 97868</t>
  </si>
  <si>
    <t>Amarante couchée, Amarante étalée, Amarante recourbée</t>
  </si>
  <si>
    <t>131281 - 86112 - 131306 - 81991 - 81958</t>
  </si>
  <si>
    <t>Amarante africaine</t>
  </si>
  <si>
    <t>81985 - 994904 - 613632 - 994906 - 143445 - 707347 - 131298 - 81981 - 81972 - 131304 - 81995 - 81996 - 131296 - 81983 - 99628 - 143442 - 81992 - 143448 - 131300 - 131303 - 82013</t>
  </si>
  <si>
    <t>Amarante hybride, Brède pariétaire</t>
  </si>
  <si>
    <t>143443 - 81977 - 992543 - 992544 - 992556 - 992546 - 131297 - 81994 - 618734 - 81986 - 992558 - 143447 - 992557</t>
  </si>
  <si>
    <t>Amarante hypocondriaque</t>
  </si>
  <si>
    <t>82015 - 143449 - 81993 - 992570 - 618735 - 992560 - 966830 - 143441</t>
  </si>
  <si>
    <t>82036 - 82029 - 82018 - 99630 - 772351 - 772350 - 131302 - 81969 - 116630 - 82026 - 81979 - 82025</t>
  </si>
  <si>
    <t>Amarante réfléchie, Amaranthe à racines rouges, Blé rouge</t>
  </si>
  <si>
    <t>639600 - 100363 - 82000 - 82033 - 90709 - 97871 - 82022 - 81984 - 455756 - 81990 - 81006 - 884197 - 618739</t>
  </si>
  <si>
    <t>Amarante verte, Pariétaire, Amarante, Brède pariétaire, Paillatère</t>
  </si>
  <si>
    <t>618736 - 618737 - 82045</t>
  </si>
  <si>
    <t>Amarante de Rallet</t>
  </si>
  <si>
    <t>82083 - 82080 - 143452 - 143451 - 103923 - 82084 - 82088 - 948051</t>
  </si>
  <si>
    <t>Ambroisie à feuilles d'armoise, Ambroise élevée, Ambroisie annuelle</t>
  </si>
  <si>
    <t>82092 - 82087</t>
  </si>
  <si>
    <t>Ambrosie à feuilles étroites, Armoise, Absinthe bâtarde, Thym marron</t>
  </si>
  <si>
    <t>82089 - 82094 - 82091 - 82085 - 82093 - 82079</t>
  </si>
  <si>
    <t>Ambroisie trifide</t>
  </si>
  <si>
    <t>618740 - 82100 - 618741 - 82098 - 82101</t>
  </si>
  <si>
    <t>Amélanchier de Lamarck, Amélanchier d'Amérique</t>
  </si>
  <si>
    <t>92901 - 82102 - 116488 - 83897 - 108402 - 82107 - 82104 - 92815 - 82106 - 83892 - 116558 - 116034 - 92814 - 124304 - 82105 - 82108 - 82103 - 82099</t>
  </si>
  <si>
    <t>82130 - 82131 - 948394 - 143458 - 82125 - 131311 - 618746 - 143457 - 82126 - 83181 - 143456 - 621543 - 621542 - 82128 - 131310 - 82129 - 143455 - 122313 - 618747 - 129911 - 948392 - 83208 - 613634 - 131312 - 621541 - 82127</t>
  </si>
  <si>
    <t>Ammi élevé, Grand ammi</t>
  </si>
  <si>
    <t>82168 - 82166 - 82162 - 82167 - 82165 - 82164 - 82161 - 82169 - 82163</t>
  </si>
  <si>
    <t>Amorphe arbustive, Indigo du Bush, Amorphe buissonnante, Faux indigo</t>
  </si>
  <si>
    <t>149023 - 110834 - 110822 - 162240 - 138367 - 130370 - 110833 - 82282 - 718990 - 110935 - 82806 - 621272</t>
  </si>
  <si>
    <t>138408 - 719092 - 162135 - 110899 - 110809 - 110815 - 718991 - 110958 - 110849 - 138382 - 82283</t>
  </si>
  <si>
    <t>Anacamptide à fleurs lâches, Orchis à fleurs lâches</t>
  </si>
  <si>
    <t>110927 - 138404 - 82285 - 110940 - 718993 - 149044</t>
  </si>
  <si>
    <t>162139 - 110948 - 110867 - 718884 - 138381 - 149033 - 718994 - 131321 - 110918 - 138384 - 131320 - 149045 - 162122 - 149046 - 110919 - 162136 - 138383 - 138385 - 110973 - 149047 - 719093 - 162140 - 138410 - 110963 - 82286 - 138380 - 110847 - 138409</t>
  </si>
  <si>
    <t>Anacamptide des marais, Orchis des marais</t>
  </si>
  <si>
    <t>82281 - 110839 - 143481 - 110968 - 110829 - 82288 - 79823</t>
  </si>
  <si>
    <t>82822 - 82866 - 82303 - 82888 - 82828 - 82873 - 82852 - 82307 - 82311 - 90462 - 1014792 - 82304 - 82305 - 82886 - 79869 - 82313 - 82316</t>
  </si>
  <si>
    <t>Anacycle en massue, Anacycle tomenteux, Anthémide en massue</t>
  </si>
  <si>
    <t>131325 - 82315 - 618754 - 82314 - 90474 - 82310 - 82302</t>
  </si>
  <si>
    <t>Anacycle radié, Anthémide radié</t>
  </si>
  <si>
    <t>82802 - 143558 - 143485 - 162123 - 82353 - 82355 - 82352 - 100481 - 107354 - 82795 - 82354 - 143484 - 773274 - 100445 - 101085 - 772358 - 131340 - 143483 - 100436 - 772186</t>
  </si>
  <si>
    <t>Anaphale perlée, Immortelle blanche, Anaphale marguerite, Antennaire perlée</t>
  </si>
  <si>
    <t>82356 - 143487 - 123706 - 83024 - 161949 - 82360 - 82359 - 82358 - 106152 - 143486</t>
  </si>
  <si>
    <t>Anarrhine à feuilles de pâquerette, Anarrhinante, Muflier à feuilles de pâquerette</t>
  </si>
  <si>
    <t>86900 - 82401 - 82387 - 82393 - 612390 - 86897 - 82368 - 996801 - 143491 - 82397 - 987579 - 82383 - 131346 - 82391 - 82367 - 82388</t>
  </si>
  <si>
    <t>Buglosse officinale</t>
  </si>
  <si>
    <t>612389 - 131345 - 811029 - 82398</t>
  </si>
  <si>
    <t>Buglosse élevée</t>
  </si>
  <si>
    <t>Andromède à feuilles de polium, Andromède</t>
  </si>
  <si>
    <t>82522 - 82509 - 115887</t>
  </si>
  <si>
    <t>Androsace couleur de lait, Androsace lactée</t>
  </si>
  <si>
    <t>131375 - 82516 - 115895 - 82540 - 82537 - 83695 - 82541</t>
  </si>
  <si>
    <t>Grande androsace, Androsace des champs, Androsace élevée</t>
  </si>
  <si>
    <t>Androsace maxima</t>
  </si>
  <si>
    <t>82562 - 948410 - 82565 - 118882 - 118885 - 618758 - 82574 - 118881 - 131385 - 143517 - 82573 - 82569 - 618759 - 82559 - 82557 - 82581 - 82560 - 82580 - 82575</t>
  </si>
  <si>
    <t>Andryale à feuilles entières, Andryale sinueuse</t>
  </si>
  <si>
    <t>82636 - 82668 - 608022 - 102923 - 116451 - 82627 - 82592 - 618764 - 131400 - 143543 - 82612 - 143544 - 82591 - 82611</t>
  </si>
  <si>
    <t>Anémone à fleurs de narcisse</t>
  </si>
  <si>
    <t>82646 - 161060 - 82589 - 116452 - 143546 - 143548 - 82645 - 143547 - 82686 - 143545 - 82615 - 82586 - 82654 - 82637</t>
  </si>
  <si>
    <t>Anémone des bois, Anémone sylvie</t>
  </si>
  <si>
    <t>82656 - 116455 - 82590 - 957562 - 131410 - 82629 - 82587 - 82655 - 82687 - 131409</t>
  </si>
  <si>
    <t>Anémone fausse renoncule</t>
  </si>
  <si>
    <t>82594 - 111256 - 82665 - 82640</t>
  </si>
  <si>
    <t>Anémone sylvestre, Anémone sauvage</t>
  </si>
  <si>
    <t>122314 - 82696 - 82690 - 82692 - 112856 - 82689 - 98024 - 112538 - 618768 - 618769 - 112840 - 615222 - 618767</t>
  </si>
  <si>
    <t>Anise</t>
  </si>
  <si>
    <t>82731 - 82723 - 83492 - 83491 - 83494 - 83490 - 122320 - 82736 - 82705</t>
  </si>
  <si>
    <t>Angélique archangélique, Angélique officinale, Herbe aux anges, Angélique vraie</t>
  </si>
  <si>
    <t>103568 - 103579 - 82712 - 154283 - 103573 - 112841 - 82718 - 789399 - 82728 - 82741 - 82706 - 82730 - 82714 - 122389 - 122398 - 82716 - 82734 - 82738 - 122315 - 111831 - 82726 - 82743 - 103569 - 82703 - 84983 - 789312</t>
  </si>
  <si>
    <t>Angélique sylvestre, Angélique sauvage, Impératoire sauvage</t>
  </si>
  <si>
    <t>86540 - 86673 - 144812 - 144601 - 86723 - 144683 - 130639 - 144604 - 132319 - 144480 - 144688 - 132317 - 86524 - 132318 - 132295 - 144482 - 86711 - 144603 - 86550 - 132279 - 82750 - 132277 - 86622 - 132294 - 618912 - 144684 - 132278 - 144600 - 86589 - 144687 - 152860 - 132245 - 132292 - 144481 - 144538 - 86667 - 144605 - 144811 - 152861 - 144539</t>
  </si>
  <si>
    <t>Brome à deux étamines, Anisanthe à deux étamines</t>
  </si>
  <si>
    <t>86583 - 86797 - 144606 - 86533 - 144485 - 86740 - 98355 - 86588 - 144588 - 86690 - 86717 - 86605 - 121474 - 144595 - 144599 - 144593 - 144697 - 82753 - 144591 - 86689 - 143554 - 144589 - 99707 - 99708 - 98768 - 86699 - 130641 - 86745 - 86692 - 86668 - 86623 - 144813 - 86798 - 144598 - 144699 - 144483 - 144649 - 86591 - 151289 - 132298 - 144594 - 144770</t>
  </si>
  <si>
    <t>Anisanthe de Madrid, Brome de Madrid</t>
  </si>
  <si>
    <t>144540 - 144771 - 144685 - 144597 - 132320 - 144774 - 132293 - 789261 - 144690 - 132296 - 144602 - 144686 - 152862 - 957568 - 98774 - 86810 - 82755 - 144689 - 86739 - 144487 - 86631 - 144484 - 929334 - 144596 - 99711 - 929337 - 144486 - 86647 - 144695 - 144607 - 132247 - 82752 - 132246 - 86671 - 144592</t>
  </si>
  <si>
    <t>Brome raide, Anisanthe raide, Brome rigide, Brome d'Husnot</t>
  </si>
  <si>
    <t>86738 - 86570 - 86560 - 132276 - 86741 - 144693 - 144696 - 144694 - 82756 - 130643 - 144775 - 144698 - 86700 - 121483 - 86816 - 86730 - 144709 - 144710 - 86718 - 98510</t>
  </si>
  <si>
    <t>Brome rouge, Brome rougi, Brome rougeâtre, Anisanthe rougie</t>
  </si>
  <si>
    <t>86763 - 144765 - 121489 - 82757 - 144769 - 144777 - 144773 - 130644 - 144768 - 144762 - 85375 - 86527 - 144767 - 98769 - 144764 - 86746 - 144766 - 99712 - 86593 - 144772 - 86644 - 86620 - 98555 - 86781 - 144776</t>
  </si>
  <si>
    <t>Brome stérile, Anisanthe stérile</t>
  </si>
  <si>
    <t>144785 - 86663 - 144791 - 86650 - 144798 - 144788 - 86626 - 99713 - 86815 - 144778 - 144787 - 86677 - 144783 - 144784 - 86778 - 82754 - 98763 - 86516 - 144781 - 132316 - 618926 - 121490 - 788772 - 144797 - 144779 - 144799 - 144782 - 144793 - 130645 - 98569 - 144796 - 144780 - 132315 - 144786 - 86777 - 144792 - 86748 - 132314 - 144795 - 86755 - 82758 - 86697 - 144789 - 144790 - 144794</t>
  </si>
  <si>
    <t>Brome des toits, Anisanthe des toits</t>
  </si>
  <si>
    <t>82798 - 143556 - 100479 - 100493 - 143555 - 82799 - 82805 - 94189 - 82804 - 82803 - 90546 - 82796 - 143557 - 107355 - 100456</t>
  </si>
  <si>
    <t>Antennaire dioïque, Patte-de-chat, Pied-de(chat dioïque, Gnaphale dioïque, Hispidule</t>
  </si>
  <si>
    <t>82850 - 82817 - 143560 - 82812 - 90446 - 152731 - 82826 - 90449 - 82878 - 107434 - 82847 - 1014798</t>
  </si>
  <si>
    <t>82833 - 107420 - 131427 - 82872 - 107425 - 107421 - 82834 - 82815 - 82843 - 107444 - 90457 - 90460</t>
  </si>
  <si>
    <t>Anthémide puante, Camomille puante, Anthémis fétide, Anthémis puant, Maroute, Camomille fétide, Anthémide fétide</t>
  </si>
  <si>
    <t>25 - 39 - 58 - 71 - 90</t>
  </si>
  <si>
    <t>82860 - 82835</t>
  </si>
  <si>
    <t>Anthémide de Crète, Anthémis de Crète, Camomille de Crète</t>
  </si>
  <si>
    <t>112959 - 105974 - 111342 - 143571 - 82892 - 82903 - 112955 - 112957 - 105972 - 143572 - 143573</t>
  </si>
  <si>
    <t>Phalangère à fleurs de lis, Phalangère petit-lis, Bâton de Saint Joseph, Anthéricum à fleurs de Lis</t>
  </si>
  <si>
    <t>112777 - 82909 - 112956 - 96075 - 105973 - 112963</t>
  </si>
  <si>
    <t>Phalangère rameuse, Anthéricum ramifié</t>
  </si>
  <si>
    <t>143577 - 771264 - 131446 - 143576 - 82920 - 143587 - 131443 - 143588 - 82914 - 143578 - 143594 - 143586</t>
  </si>
  <si>
    <t>Flouve du Japon</t>
  </si>
  <si>
    <t>82926 - 143595 - 143618 - 951922 - 131452 - 131450 - 82918 - 143598 - 143593 - 143607 - 143575 - 131445 - 131444 - 143580 - 143581 - 143620 - 143600 - 143622 - 143621 - 82917 - 143574 - 131442 - 82919 - 82916 - 82915 - 143612</t>
  </si>
  <si>
    <t>Flouve aristée, Flouve de Puel</t>
  </si>
  <si>
    <t>613453 - 143604 - 143583 - 143616 - 143602 - 143590 - 618770 - 618771 - 143608 - 1014800 - 82927 - 82925 - 131447 - 143596 - 143611 - 143609 - 131451 - 1014799 - 143606 - 143582 - 143591 - 143597 - 613454 - 143613 - 143601 - 143579 - 143617 - 143603 - 143610 - 143585 - 143592 - 143614 - 143615 - 82922 - 143605 - 143589 - 143584 - 143599 - 773294 - 772201</t>
  </si>
  <si>
    <t>Flouve odorante</t>
  </si>
  <si>
    <t>82933 - 83102 - 89424 - 131461 - 89423 - 82951 - 82931 - 90236 - 82958 - 121442 - 82950 - 109169 - 109157 - 90327 - 89370 - 90360 - 122318 - 126860 - 82939 - 90322 - 126845 - 143638 - 121428</t>
  </si>
  <si>
    <t>Anthrisque commun, Cerfeuil sauvage, Persil sauvage</t>
  </si>
  <si>
    <t>90351 - 90333 - 90323 - 121435 - 122331 - 90238 - 82932 - 121457</t>
  </si>
  <si>
    <t>Anthrisque cerfeuil, Cerfeuil cultivé, Cerfeuil commun</t>
  </si>
  <si>
    <t>82928 - 131457 - 90237 - 143631 - 82943 - 82935 - 152735 - 90343 - 152737 - 521656 - 131453 - 131458 - 133193 - 109168 - 122367 - 131459 - 789313 - 162130 - 82929 - 131455 - 618772 - 82937 - 162134 - 133194</t>
  </si>
  <si>
    <t>Anthrisque luisant, Cerfeuil lustré</t>
  </si>
  <si>
    <t>130178 - 82947 - 82941 - 82952 - 90340 - 109165 - 122335 - 90337 - 90239 - 109171 - 82946 - 90361 - 90353 - 91206 - 90324 - 82938</t>
  </si>
  <si>
    <t>957783 - 82985 - 114477 - 129985 - 957782</t>
  </si>
  <si>
    <t>Anthyllide des montagnes, Vulnéraire des montagnes</t>
  </si>
  <si>
    <t>82973 - 82999 - 143650</t>
  </si>
  <si>
    <t>80946 - 80890 - 80836 - 80899 - 143138 - 89314 - 80947 - 114101 - 83001 - 94622 - 143139 - 80945</t>
  </si>
  <si>
    <t>83058 - 83063 - 83044 - 83094 - 125917</t>
  </si>
  <si>
    <t>Muflier à grandes fleurs, Gueule-de-lion, Muflier élevé, Grand muflier, Gueule-de-loup</t>
  </si>
  <si>
    <t>130940 - 143671 - 82584 - 142934 - 130974 - 142939 - 142938 - 131506 - 142937 - 108848 - 143666 - 83152 - 108540 - 80653</t>
  </si>
  <si>
    <t>Apère interrompue, Agrostide interrompue, Agrostis interrompu, Agrostis à panicule interrompue</t>
  </si>
  <si>
    <t>143675 - 80643 - 80755 - 82585 - 83156 - 143674 - 80726 - 80715 - 142933 - 142943 - 142940 - 108849 - 143669 - 142942 - 98549 - 142936 - 142944 - 108555 - 143670 - 83155 - 80567 - 83153 - 143667 - 80791 - 80620 - 142935 - 142941 - 143673 - 143678 - 143672 - 143668 - 143677 - 143676 - 80724</t>
  </si>
  <si>
    <t>Apera spica-venti</t>
  </si>
  <si>
    <t>83163 - 83159 - 161109 - 112705 - 81037 - 81066 - 81041</t>
  </si>
  <si>
    <t>Aphane des champs, Alchémille des champs</t>
  </si>
  <si>
    <t>Aphanes arvensis</t>
  </si>
  <si>
    <t>81125 - 83165 - 83166 - 152671 - 131065 - 83160</t>
  </si>
  <si>
    <t>Aphane australe, Alchémille oubliée, Alchémille à petits fruits, Alchémille australe</t>
  </si>
  <si>
    <t>100420 - 83179 - 83177 - 83180</t>
  </si>
  <si>
    <t>Apios d'Amérique, Haricot pomme de terre, Glycine tubéreuse, Patate en chapelet</t>
  </si>
  <si>
    <t>143685 - 123029 - 131509 - 613455 - 143684 - 131510 - 83214 - 143686 - 123998 - 143682 - 83195 - 143687 - 83204 - 123941 - 83202 - 83189 - 101225 - 83226 - 123784 - 143683 - 101224 - 83206 - 83192 - 123953 - 83193</t>
  </si>
  <si>
    <t>Céleri-branche</t>
  </si>
  <si>
    <t>83243 - 83244 - 143692 - 131521 - 131520</t>
  </si>
  <si>
    <t>Ancolie noirâtre</t>
  </si>
  <si>
    <t>143697 - 83255 - 83248 - 143694 - 152754 - 83257 - 143695 - 83263 - 83265 - 83264 - 83247 - 83267 - 83251 - 618782 - 618789 - 83270 - 143700 - 618786 - 618787 - 152750</t>
  </si>
  <si>
    <t>92257 - 83436 - 97273 - 83356 - 83272 - 101484 - 125103 - 123892 - 93426 - 113282 - 83381 - 113536 - 618793 - 83280 - 123913 - 83385 - 83418 - 83314</t>
  </si>
  <si>
    <t>Fausse arabette de Thalius, Arabette de Thalius, Arabette des dames</t>
  </si>
  <si>
    <t>621094 - 83271 - 131530 - 83343 - 83319 - 143706 - 83373 - 83297 - 128036 - 131528 - 83337 - 143705 - 143703 - 83350 - 83360 - 83339 - 93323 - 143708 - 83316 - 127990 - 83279 - 83400 - 83305 - 83353 - 143704 - 143707 - 83315 - 131527</t>
  </si>
  <si>
    <t>Arabette des Alpes, Corbeille d'argent</t>
  </si>
  <si>
    <t>83405 - 143714 - 83386 - 83391 - 131532 - 83379 - 83317 - 128005 - 127992 - 83407 - 143715 - 83285 - 79316 - 161152 - 83364 - 128022 - 93328 - 83295 - 83349</t>
  </si>
  <si>
    <t>Arabette dressée, Arabette auriculée, Arabette à oreillettes, Arabette droite</t>
  </si>
  <si>
    <t>131529 - 83419 - 83291 - 83274 - 618794 - 83299 - 83278 - 93314 - 83425 - 83323</t>
  </si>
  <si>
    <t>Arabette du Caucase, Corbeille d'argent</t>
  </si>
  <si>
    <t>127991 - 131539 - 143711 - 143720 - 143719 - 83331 - 83303 - 152759 - 83304 - 83277 - 128030 - 97167 - 143718 - 97261 - 128009 - 128008 - 143710 - 143709 - 83414 - 83301 - 83281 - 83312 - 93316 - 143717</t>
  </si>
  <si>
    <t>Arabette ciliée</t>
  </si>
  <si>
    <t>131541 - 83355 - 83306 - 143741 - 143742 - 143740 - 83401 - 83357 - 128018 - 83394</t>
  </si>
  <si>
    <t>Arabette des collines, Arabette des murailles</t>
  </si>
  <si>
    <t>83371 - 143723 - 83351 - 128014 - 131544 - 143721 - 143727 - 143732 - 128026 - 83332 - 83397 - 83310 - 128002 - 128017 - 83308 - 97218 - 143735 - 143726 - 128025 - 128015 - 143733 - 83329 - 83382 - 83377 - 83294 - 143734 - 83336 - 83363 - 162390 - 83333 - 83387 - 83334 - 143725 - 83273 - 128010 - 83358 - 128001 - 161025 - 128013 - 83378 - 1014802</t>
  </si>
  <si>
    <t>Arabette poilue, Arabette hérissée, Arabette hirsute</t>
  </si>
  <si>
    <t>83326 - 128011 - 131549 - 83375 - 143724 - 131556 - 131543 - 154703 - 128024 - 161302 - 131555 - 127999 - 83341 - 83347 - 131550</t>
  </si>
  <si>
    <t>Arabette à fruits aplatis, Arabette des bois, Arabette à siliques planes</t>
  </si>
  <si>
    <t>143731 - 131551 - 161706 - 83398 - 143730 - 83369 - 152760 - 83344 - 83395 - 131545 - 143736 - 143739 - 83392 - 83376 - 143737 - 128031 - 143729</t>
  </si>
  <si>
    <t>Arabette sagittée</t>
  </si>
  <si>
    <t>83402 - 83412 - 161153 - 83311 - 87900 - 83335 - 143743 - 128029 - 83290 - 131561 - 127998 - 131562</t>
  </si>
  <si>
    <t>Arabette dressée, Arabette scabre, Arabette raide</t>
  </si>
  <si>
    <t>83468 - 83465 - 83466 - 83467 - 95191 - 113643 - 639568 - 95190 - 639551</t>
  </si>
  <si>
    <t>Araucaria du Chili, Désespoir-des-singes</t>
  </si>
  <si>
    <t>104976 - 104988 - 137087 - 104975 - 104984 - 951932 - 104977 - 104981 - 771382 - 83499 - 83508 - 83496 - 83504 - 83501 - 104978 - 131563</t>
  </si>
  <si>
    <t>Grande bardane, Bardane commune, Bardane élevée, Bardane à gros capitules, Bardane à grosses têtes</t>
  </si>
  <si>
    <t>131573 - 772386 - 137088 - 137091 - 1014970 - 83502 - 83511 - 131572 - 137092 - 618795 - 104982 - 83495 - 131567 - 161379 - 104986 - 83506 - 131571</t>
  </si>
  <si>
    <t>Petite bardane, Bardane à petites têtes, Bardane à petits capitules</t>
  </si>
  <si>
    <t>104983 - 104979 - 83497 - 131569 - 83500 - 137093 - 83503 - 104980 - 137086 - 131565 - 131564 - 131568 - 131570 - 137090</t>
  </si>
  <si>
    <t>Bardane des bois</t>
  </si>
  <si>
    <t>104987 - 83507 - 137089</t>
  </si>
  <si>
    <t>Bardane tomenteuse, Bardane poilue</t>
  </si>
  <si>
    <t>83509 - 137085 - 104989 - 104991 - 83510</t>
  </si>
  <si>
    <t>Bardane ambiguë</t>
  </si>
  <si>
    <t>83515 - 104992</t>
  </si>
  <si>
    <t>Bardane de Maass</t>
  </si>
  <si>
    <t>612400 - 104994 - 83519 - 612401 - 83524 - 104995 - 83523 - 83522 - 104998 - 104997 - 83514</t>
  </si>
  <si>
    <t>Bardane hybride</t>
  </si>
  <si>
    <t>Bardane de Scanie</t>
  </si>
  <si>
    <t>773589 - 131574 - 772687 - 107163 - 128326 - 773587 - 83528 - 772688 - 772689 - 772690 - 772692 - 772691 - 94459 - 131575 - 83477 - 773588 - 613144 - 128325 - 143754 - 83482 - 773590 - 773591 - 772686 - 83473 - 83526</t>
  </si>
  <si>
    <t>Busserole raisin-d'ours, Raisin-d'ours, Arbousier traînant</t>
  </si>
  <si>
    <t>83565 - 131594 - 161535</t>
  </si>
  <si>
    <t>Sabline douteuse, Sabline des chaumes</t>
  </si>
  <si>
    <t>1000140 - 131609 - 143772 - 131605 - 83667 - 159888 - 83684 - 83596 - 131599 - 131611 - 83613 - 83552</t>
  </si>
  <si>
    <t>Sabline à rameaux grêles, Sabline à parois fines, Sabline grêle</t>
  </si>
  <si>
    <t>83617 - 130113</t>
  </si>
  <si>
    <t>81786 - 143773 - 97860 - 81814 - 131610 - 125039 - 143777 - 83659 - 83653 - 83676 - 131607 - 143774 - 131604 - 83679 - 108695 - 152763 - 143778 - 83683 - 957877 - 161670 - 131606 - 83536 - 83628 - 108608 - 83600 - 143779 - 143776 - 83548</t>
  </si>
  <si>
    <t>Sabline à feuilles de serpolet, Sabline des murs</t>
  </si>
  <si>
    <t>126882 - 620315 - 620317 - 115616 - 150066 - 83714 - 115443 - 150065 - 94463 - 115408 - 620316 - 115703 - 115490 - 150067 - 94229 - 98799 - 83716 - 115402</t>
  </si>
  <si>
    <t>Potentille ansérine, Ansérine, Argentine ansérine, Potentille des oies</t>
  </si>
  <si>
    <t>124330 - 991002 - 124316 - 990996 - 990993 - 107202 - 617029 - 990994 - 617083 - 116583 - 92819 - 105377 - 151943 - 991004 - 124336 - 617206 - 990998 - 124309 - 83737 - 116489 - 92885 - 124305 - 83731 - 990999 - 124341 - 124326 - 151942 - 991003 - 124331 - 990418 - 100706 - 151937 - 620794 - 124303 - 141314 - 990995 - 620788 - 124307 - 620793 - 620789 - 92812 - 620795 - 108403 - 990997 - 124311 - 990413 - 616842 - 116562 - 990451 - 990454 - 124320 - 124306 - 990992 - 620792 - 124347 - 620790 - 990449 - 116561 - 83732 - 151940 - 620791 - 141316 - 990452</t>
  </si>
  <si>
    <t>Alisier blanc, Alisier de Bourgogne, Alouchier, Sorbier des Alpes</t>
  </si>
  <si>
    <t>85238 - 80917 - 94640 - 83756 - 80926 - 94627 - 94638 - 154688 - 143125 - 105758 - 80866 - 94641 - 80918 - 154260 - 85420</t>
  </si>
  <si>
    <t>Canche des marais, Canche sétacée, Aristavène sétacée</t>
  </si>
  <si>
    <t>83777 - 83781</t>
  </si>
  <si>
    <t>Aristoloche clématite, Poison de terre</t>
  </si>
  <si>
    <t>83853 - 131678 - 131677 - 83851 - 131634 - 143789 - 124917 - 83849 - 83806 - 83846 - 83838 - 143787 - 124925 - 83850 - 83839 - 83809 - 131632 - 131631 - 83840 - 131666 - 131675 - 124853 - 143804</t>
  </si>
  <si>
    <t>92058 - 83867 - 83865 - 92061 - 117934 - 92048 - 117311 - 92031 - 109394 - 93326 - 117949 - 83866 - 116863</t>
  </si>
  <si>
    <t>Raifort rustique, Raifort, Cranson rustique, Moutarde des capucins, Grand raifort</t>
  </si>
  <si>
    <t>143814 - 81250 - 83875 - 95208 - 91232 - 143813 - 83872 - 83874 - 95235 - 122549 - 131687 - 95236 - 131688 - 718648</t>
  </si>
  <si>
    <t>Arnica des montagnes, Arnica, Herbe aux prêcheurs</t>
  </si>
  <si>
    <t>103199 - 83890 - 105021 - 105028 - 103204 - 83888 - 105024 - 83891</t>
  </si>
  <si>
    <t>Arnoséride naine, Arnoséris nain, Arnoséride minime, Chicorée des moutons, Petite arnoséride</t>
  </si>
  <si>
    <t>5013 - 839011</t>
  </si>
  <si>
    <t>787536 - 5014 - 839012 - 996283</t>
  </si>
  <si>
    <t>788340 - 788339 - 5037 - 839014 - 787538 - 787490 - 787532 - 786569</t>
  </si>
  <si>
    <t>434291 - 839015</t>
  </si>
  <si>
    <t>839016 - 5041 - 435949 - 787491 - 788341</t>
  </si>
  <si>
    <t>5045 - 839017 - 5024</t>
  </si>
  <si>
    <t>143828 - 83907 - 143823 - 143848 - 85404 - 143819 - 143815 - 143824 - 83922 - 83906 - 143835 - 143845 - 143834 - 143837 - 144101 - 143830 - 85247 - 144105 - 83912 - 83921 - 144102 - 144100 - 102888 - 131690 - 143847 - 144109 - 83908 - 83911 - 143820 - 131689 - 143833 - 143836 - 147702 - 143843 - 85246 - 143821 - 143849 - 143829 - 143831 - 83913 - 143817</t>
  </si>
  <si>
    <t>84028 - 83933 - 84019 - 79677 - 79671 - 772387</t>
  </si>
  <si>
    <t>Armoise absinthe, Absinthe, Herbe aux vers</t>
  </si>
  <si>
    <t>83988 - 143882 - 131698 - 152777 - 143874 - 1018856 - 143880 - 84048 - 131697 - 131701 - 143877 - 143889 - 79365 - 83993 - 143875 - 79360 - 83984 - 131700 - 83955 - 84001 - 143890 - 143876 - 143878 - 79664 - 83934 - 79367 - 152778 - 79356 - 84083 - 79359 - 131699 - 84036 - 79362 - 131722 - 79363 - 79361 - 79358 - 79366 - 79364 - 79357 - 143881 - 143879</t>
  </si>
  <si>
    <t>Armoise blanche, Armoise camphrée</t>
  </si>
  <si>
    <t>Armoise annuelle</t>
  </si>
  <si>
    <t>123654 - 95043 - 839505</t>
  </si>
  <si>
    <t>Œillet sylvestre</t>
  </si>
  <si>
    <t>Armoise bleuissante, Armoise bleuâtre</t>
  </si>
  <si>
    <t>618816 - 110034 - 84006 - 110028 - 84044 - 83940 - 110039 - 143867 - 110049 - 79663 - 618817 - 83967 - 143871 - 143854 - 95413 - 110044 - 143853 - 110038 - 143862 - 110053 - 84050 - 618818 - 110040 - 131717 - 110029 - 110035 - 110037 - 83990 - 143868 - 95420 - 143870 - 143861 - 84004 - 143872 - 110027 - 110050 - 143859 - 110052 - 110032 - 84040 - 131715 - 110031 - 110043 - 143866 - 83953 - 131716 - 110046 - 143856 - 143857 - 110030 - 110051 - 143855 - 110036 - 143858 - 84011 - 143852 - 131721 - 83963</t>
  </si>
  <si>
    <t>Armoise champêtre, Aurone des champs, Armoise rouge</t>
  </si>
  <si>
    <t>83975 - 84042 - 83957 - 84026 - 95415 - 83944 - 131724 - 83991 - 110033 - 84014 - 83964 - 83965</t>
  </si>
  <si>
    <t>Armoise estragon, Estragon, Dragonne</t>
  </si>
  <si>
    <t>84012 - 84021 - 84049 - 83936 - 83947 - 79675</t>
  </si>
  <si>
    <t>Armoise pontique, Armoise du pont, Petite absinthe, Armoise de la mer Noire</t>
  </si>
  <si>
    <t>84057 - 131740 - 84058 - 84039</t>
  </si>
  <si>
    <t>Armoise, Herbe chinois, Marie-Thérèse</t>
  </si>
  <si>
    <t>143897 - 143898 - 84031 - 84051 - 84034 - 84008 - 83989 - 143899 - 83987 - 84017 - 84061 - 79678</t>
  </si>
  <si>
    <t>Armoise commune, Herbe de feu</t>
  </si>
  <si>
    <t>143902 - 143903 - 131744 - 84117 - 143900 - 84094 - 84122 - 84118 - 84113 - 84103 - 143901 - 84101 - 84110 - 131745 - 613140 - 84121 - 84115</t>
  </si>
  <si>
    <t>Gouet d'Italie, Pied-de-veau, Arum d’Italie</t>
  </si>
  <si>
    <t>143905 - 84106 - 84127 - 162307 - 131743 - 84123 - 143906 - 618821 - 83751 - 84128 - 84132 - 84112 - 84126 - 154713 - 84114 - 84107</t>
  </si>
  <si>
    <t>Gouet tacheté, Arum maculé, Arum tacheté, Gouet maculé</t>
  </si>
  <si>
    <t>84134 - 80135 - 84137 - 124661 - 84782 - 124622 - 84133 - 84136 - 84138 - 128141 - 84135</t>
  </si>
  <si>
    <t>Spirée barbe-de-bouc, Barbe-de-bouc, Aruncus dioïque</t>
  </si>
  <si>
    <t>84156 - 84224 - 84173 - 121883 - 95198 - 631680 - 82183 - 93804 - 143908 - 84188 - 143911 - 143909 - 84158 - 84214 - 631683 - 143910 - 95199 - 95193 - 84179 - 121882</t>
  </si>
  <si>
    <t>Canne de Provence, Grand roseau, Roseau de Provence</t>
  </si>
  <si>
    <t>84235 - 84234 - 143928 - 84233 - 84230 - 162335 - 84236 - 84232 - 618823 - 131751 - 131752</t>
  </si>
  <si>
    <t>Asaret d'Europe, Asaret, Cabaret, Oreille-d'homme, Roussin</t>
  </si>
  <si>
    <t>84242 - 84249 - 84245 - 84251 - 84247 - 84248 - 84241 - 84243</t>
  </si>
  <si>
    <t>Asclépiade de Syrie, Asclépiade de Cornut, Herbe à la ouate, Herbe aux perruches</t>
  </si>
  <si>
    <t>84272 - 84268 - 84264 - 84273</t>
  </si>
  <si>
    <t>Asperge à feuilles aiguës, Asperge sauvage</t>
  </si>
  <si>
    <t>84271 - 84281 - 84270 - 84279 - 952846 - 84283 - 84274</t>
  </si>
  <si>
    <t>Asperge officinale, Asperge, Asparagus</t>
  </si>
  <si>
    <t>84285 - 84286</t>
  </si>
  <si>
    <t>Asperge à feuilles ténues, Asperge à feuilles étroites</t>
  </si>
  <si>
    <t>84289 - 84290 - 84292 - 84291</t>
  </si>
  <si>
    <t>Râpette couchée, Râpette, Portefeuille</t>
  </si>
  <si>
    <t>84297 - 84298 - 84303</t>
  </si>
  <si>
    <t>Aspérule des champs</t>
  </si>
  <si>
    <t>Asperula arvensis</t>
  </si>
  <si>
    <t>618824 - 131772 - 84331 - 143935 - 131768 - 84314 - 84306 - 143943 - 84327 - 613459 - 143934 - 143938 - 84294 - 143941 - 84329 - 143936 - 143942 - 143933 - 84295 - 84323 - 84301 - 84304 - 93775</t>
  </si>
  <si>
    <t>Aspérule à l'esquinancie, Herbe à l'esquinancie, Aspérule des sables</t>
  </si>
  <si>
    <t>93776 - 99563 - 84778 - 84330</t>
  </si>
  <si>
    <t>Aspérule des teinturiers, Aspérule tinctoriale</t>
  </si>
  <si>
    <t>637602 - 84338</t>
  </si>
  <si>
    <t>Asphodèle blanc, Bâton royal</t>
  </si>
  <si>
    <t>152785 - 131787 - 84347 - 84343 - 159978 - 143953 - 143952</t>
  </si>
  <si>
    <t>Asphodèle d'Ayard</t>
  </si>
  <si>
    <t>5334 - 954680 - 435775 - 787270 - 843453</t>
  </si>
  <si>
    <t>131803 - 131804 - 84458 - 113297 - 152786 - 143977 - 84512 - 127173 - 131807 - 143976 - 84500 - 131808 - 84510 - 143980 - 84462 - 84465</t>
  </si>
  <si>
    <t>Doradille noire, Capillaire noire</t>
  </si>
  <si>
    <t>84547 - 100654 - 145446 - 86102 - 145445 - 90292 - 84542 - 90293 - 100645 - 100569 - 130184 - 84529 - 121885 - 90291 - 145447 - 84472 - 161073</t>
  </si>
  <si>
    <t>Doradille cétérac, cétérac officinal, Cétérac, Cétérach</t>
  </si>
  <si>
    <t>131821 - 84490 - 85004 - 131822 - 85002 - 719311 - 84410 - 84413 - 143990 - 84498 - 84485 - 143988 - 114963 - 84530</t>
  </si>
  <si>
    <t>143992 - 131825 - 131824 - 152789 - 84511</t>
  </si>
  <si>
    <t>Doradille obovale, Doradille à feuilles ovales, Doradille à feuilles obovales</t>
  </si>
  <si>
    <t>958776 - 144001 - 144000 - 84521 - 144003 - 84509 - 144006 - 80128 - 131839 - 84505 - 958777 - 127177 - 84508 - 125477 - 144002 - 84507 - 152791 - 82115 - 84536 - 131838 - 144005 - 121891 - 144007 - 113299 - 143999 - 144004 - 958775 - 131837 - 131836 - 84502</t>
  </si>
  <si>
    <t>161146 - 84481 - 121890 - 131841 - 113302 - 121887 - 121894 - 121889 - 100365 - 113301 - 86099 - 121888 - 84524</t>
  </si>
  <si>
    <t>Doradille scolopendre, Scolopendre, Scolopendre officinale, Langue-de-cerf</t>
  </si>
  <si>
    <t>82116 - 127174 - 80129 - 84526 - 84467 - 121893 - 85756</t>
  </si>
  <si>
    <t>84499 - 84503 - 113298 - 84537 - 84535 - 127167 - 84534 - 84523 - 144012 - 84460 - 144013 - 84531</t>
  </si>
  <si>
    <t>618839 - 614149 - 84493 - 144015 - 84540 - 161314 - 127180 - 84516 - 144019 - 84504 - 144018 - 131856</t>
  </si>
  <si>
    <t>Doradille verte, Asplénium à pétiole vert</t>
  </si>
  <si>
    <t>84583 - 84552 - 84565 - 84545 - 958703 - 82117 - 84568 - 143998 - 958695 - 618828 - 958713 - 84566 - 958711</t>
  </si>
  <si>
    <t>84606 - 84585</t>
  </si>
  <si>
    <t>Doradille de Murbeck</t>
  </si>
  <si>
    <t>95081 - 131884 - 144024 - 84708 - 144025 - 144023 - 84665 - 84663 - 84622</t>
  </si>
  <si>
    <t>Aster des Alpes</t>
  </si>
  <si>
    <t>84650 - 84719 - 84626 - 84625 - 82112 - 84693 - 104450 - 84644 - 84709</t>
  </si>
  <si>
    <t>Aster amelle, Marguerite de la Saint-Michel, Étoilée, Œil-du-Christ</t>
  </si>
  <si>
    <t>846821 - 846823 - 846825 - 846824</t>
  </si>
  <si>
    <t>436190 - 5838 - 5901 - 788632 - 846822</t>
  </si>
  <si>
    <t>84811 - 100302 - 84817 - 84921 - 84887 - 126969 - 84786 - 84818 - 84872 - 94054</t>
  </si>
  <si>
    <t>Astragale pois-chiche, Chiche sauvage</t>
  </si>
  <si>
    <t>84843 - 614984 - 84894</t>
  </si>
  <si>
    <t>Astragale à feuilles de Réglisse, Réglisse sauvage</t>
  </si>
  <si>
    <t>84938 - 84939 - 84942 - 84936 - 144045 - 84928 - 84932</t>
  </si>
  <si>
    <t>84937 - 84927 - 84931 - 131934</t>
  </si>
  <si>
    <t>Petite Astrance, Sanicle de montagne</t>
  </si>
  <si>
    <t>94509 - 126850 - 123011 - 84967 - 123000 - 144052 - 613464 - 144047 - 112804 - 84981 - 144048 - 84962 - 144049 - 105888 - 105881 - 161792 - 618848 - 105893 - 84971 - 84968 - 105884 - 84957 - 84985 - 144051 - 84956 - 144050 - 84973</t>
  </si>
  <si>
    <t>Athamanthe de Crète</t>
  </si>
  <si>
    <t>84998 - 84461 - 114947 - 84390 - 84995 - 970950 - 113077 - 85011 - 84992 - 113081 - 116193 - 131941 - 114926</t>
  </si>
  <si>
    <t>Fougère alpestre, Athyrium alpestre, Athyrium des Alpes, Athyrium à feuilles distendues</t>
  </si>
  <si>
    <t>144058 - 154501 - 958783 - 152800 - 84519 - 618851 - 84999 - 144061 - 85010 - 975235 - 85014 - 84482 - 114982 - 144056 - 85006 - 114971 - 144059 - 85005 - 144055 - 114975 - 144053 - 144057 - 84416 - 131942 - 115013 - 115000 - 143964 - 113083 - 618850 - 114938 - 144054 - 105119 - 143986 - 144062 - 93688 - 80132 - 85013 - 85009 - 84994 - 84408 - 85000 - 114961 - 85007 - 84399 - 84993 - 144060 - 84439</t>
  </si>
  <si>
    <t>Fougère femelle, Polypode femelle, Athyrium fougère-femelle</t>
  </si>
  <si>
    <t>123396 - 1002935 - 1002932 - 123492 - 123529 - 123409 - 161649 - 123521 - 85017 - 1002926 - 106896 - 1002933 - 1002929 - 1002937 - 151769 - 1002927 - 93497</t>
  </si>
  <si>
    <t>Silène armérie, Silène à bouquets, Atocion armérie</t>
  </si>
  <si>
    <t>131952 - 144063 - 154718 - 85063 - 85047</t>
  </si>
  <si>
    <t>Arroche de Babington</t>
  </si>
  <si>
    <t>85068 - 85122 - 121518 - 85124 - 85043 - 85067 - 85054 - 90735</t>
  </si>
  <si>
    <t>Arroche halime, Halime</t>
  </si>
  <si>
    <t>131946 - 144065 - 85136 - 152801 - 85072 - 85048 - 144066 - 85091 - 144064 - 85075</t>
  </si>
  <si>
    <t>Arroche des jardins, Bonne-Dame</t>
  </si>
  <si>
    <t>121519 - 85131 - 85034 - 85041 - 131965 - 957048 - 131962 - 131966 - 85134 - 85097 - 85088 - 85117 - 131944 - 85056 - 85079</t>
  </si>
  <si>
    <t>Arroche laciniée, Arroche des sables</t>
  </si>
  <si>
    <t>85083 - 154722 - 85086 - 121520 - 85130 - 85120 - 85123 - 90757</t>
  </si>
  <si>
    <t>Arroche du littoral</t>
  </si>
  <si>
    <t>85073 - 85089 - 131945</t>
  </si>
  <si>
    <t>Arroche à petites fleurs</t>
  </si>
  <si>
    <t>152803 - 131953 - 85055 - 85045 - 773397 - 85140 - 85085 - 85053 - 85060 - 144067 - 131956 - 85039 - 121521 - 152802 - 773678 - 85111 - 131954 - 131951 - 83862 - 85102 - 772020 - 957060 - 772558 - 773061 - 957061 - 85121</t>
  </si>
  <si>
    <t>Arroche étalée</t>
  </si>
  <si>
    <t>131958 - 85116 - 131960 - 154292 - 144068 - 85135 - 85118 - 85057 - 85126 - 131955 - 85100 - 131957 - 131949 - 162296 - 162294 - 154724 - 83861 - 162295 - 85105 - 154719 - 154726 - 85069 - 131959 - 154720 - 85101 - 85106 - 154725 - 1002832 - 85090 - 154723 - 109785 - 85070 - 85112 - 154721 - 85066 - 109784 - 957059 - 85080</t>
  </si>
  <si>
    <t>Arroche prostrée, Arroche hastée</t>
  </si>
  <si>
    <t>85061 - 131964 - 131961 - 85114 - 144071 - 85139 - 131963 - 85127 - 90800 - 121522 - 85049 - 85092 - 85037 - 85062 - 85042 - 85108 - 144070 - 85046 - 124614 - 85065</t>
  </si>
  <si>
    <t>Arroche rosée, Arroche rose</t>
  </si>
  <si>
    <t>85151 - 85702 - 85152 - 85153 - 85701 - 85699 - 144074 - 85154 - 1007670</t>
  </si>
  <si>
    <t>Belladone, Bouton-noir, Atrope belladone</t>
  </si>
  <si>
    <t>93327 - 129066 - 85172 - 85171 - 85173 - 81898 - 85170 - 95320</t>
  </si>
  <si>
    <t>Aubriète deltoïde, Aubrietie deltoïde, Aubriétia à delta</t>
  </si>
  <si>
    <t>85175 - 97396 - 933271 - 933269 - 85174</t>
  </si>
  <si>
    <t>Aucuba du Japon, Aucuba Japonais</t>
  </si>
  <si>
    <t>93353 - 80248 - 131268 - 81900 - 85185 - 82778 - 80249 - 129067 - 81930 - 81904 - 947951</t>
  </si>
  <si>
    <t>Alysse des pierriers, Aurinie des pierres</t>
  </si>
  <si>
    <t>85186 - 81941 - 80254 - 81880 - 93412</t>
  </si>
  <si>
    <t>Corbeille-d'or, Alysse des rochers, Aurinie des rochers</t>
  </si>
  <si>
    <t>85196 - 85208 - 131974 - 85235 - 85273 - 131983 - 85272 - 154729 - 85207 - 958289 - 957063 - 144202 - 85275 - 154294 - 85271</t>
  </si>
  <si>
    <t>Avoine barbue</t>
  </si>
  <si>
    <t>154730 - 85394 - 144087 - 154732 - 131992 - 85211 - 958292 - 132007</t>
  </si>
  <si>
    <t>Avoine courte, Avoine à fourrage</t>
  </si>
  <si>
    <t>144115 - 85317 - 85333 - 82362 - 612409 - 85398 - 144111 - 144110 - 85337 - 144119 - 132026 - 144185 - 85250 - 82583</t>
  </si>
  <si>
    <t>Avena fatua</t>
  </si>
  <si>
    <t>899360 - 91896 - 852780</t>
  </si>
  <si>
    <t>Cléome de Hassler, Tarénaya de Hassler, Fleur-araignée, Plante-araignée</t>
  </si>
  <si>
    <t>85327 - 132030 - 131993 - 132009 - 85355 - 772865 - 85330 - 144191 - 131988 - 85269 - 85345 - 144183 - 85316 - 85233 - 85270 - 132008 - 161543 - 144138 - 144139 - 618853 - 144181 - 132031 - 85318 - 132010 - 85254 - 85262 - 958291 - 144137 - 144184 - 132014 - 132011 - 85387 - 85279 - 85240 - 85229 - 132032 - 85231 - 131981 - 144180 - 85239 - 144195 - 85353 - 144182 - 132015 - 958290 - 132006 - 85396 - 85334 - 144188 - 144179 - 85385 - 85357 - 85391 - 85237 - 618854 - 144194 - 144189 - 144193 - 144117 - 85383 - 85259 - 618855 - 144186 - 85228 - 132025 - 85215</t>
  </si>
  <si>
    <t>613685 - 144114 - 85324 - 621670 - 85371 - 612408 - 85195 - 144118 - 144201 - 132028 - 85374 - 85301 - 144206</t>
  </si>
  <si>
    <t>Avoine stérile, Avoine à grosses graines</t>
  </si>
  <si>
    <t>958294 - 154295 - 94406 - 85378 - 154728 - 618857 - 85265 - 132017 - 85274 - 144187 - 612412 - 85193 - 958295 - 85201 - 115804 - 618856 - 718650 - 85258</t>
  </si>
  <si>
    <t>Avoine rude, Avoine maigre</t>
  </si>
  <si>
    <t>120578 - 80874 - 154258 - 153065 - 144219 - 133803 - 146096 - 114459 - 137234 - 144130 - 132038 - 154264 - 976128 - 154268 - 146097 - 154256 - 154266 - 96835 - 154269 - 144131 - 80930 - 132037 - 154254 - 80861 - 94628 - 154687 - 84177 - 154267 - 148162 - 146099 - 80893 - 80844 - 80859 - 94635 - 133802 - 146098 - 105756 - 772898 - 133799 - 154261 - 146095 - 94630 - 80901 - 772899 - 154257 - 80888 - 80906 - 94634 - 80843 - 154253 - 154265 - 144134 - 85419 - 85418 - 144132 - 771825 - 154255 - 154263 - 154262 - 154259 - 85308 - 146094 - 85256 - 105757</t>
  </si>
  <si>
    <t>132039 - 789057 - 85280 - 147671 - 85347 - 144168 - 85439 - 144164 - 144169 - 144178 - 101118 - 144177 - 147673 - 85416 - 132023 - 85209 - 132051 - 85405 - 85412 - 85202 - 85425 - 617203 - 144167 - 144175 - 132001 - 152808 - 83920 - 101519 - 131997 - 85348 - 101522 - 85366 - 144217 - 144218 - 132040 - 135261 - 144170 - 144176</t>
  </si>
  <si>
    <t>618862 - 966816 - 966818 - 162284 - 966817 - 966820 - 966821 - 618863 - 85469</t>
  </si>
  <si>
    <t>Azolle fausse fougère, Azolla fausse fougère, Fougère d'eau, Azolle fausse filicule</t>
  </si>
  <si>
    <t>85474 - 85473</t>
  </si>
  <si>
    <t>Baccharis à feuilles d'Halimium, Baccharide à feuilles d'Halimium, Séneçon en arbre</t>
  </si>
  <si>
    <t>95694 - 81273 - 132057 - 85486 - 143238</t>
  </si>
  <si>
    <t>Baldellie fausse Renoncule, Flûteau fausse renoncule</t>
  </si>
  <si>
    <t>85502 - 107379 - 107392 - 85506 - 85504</t>
  </si>
  <si>
    <t>85548 - 161972 - 152813 - 93384 - 152812 - 144231 - 132069 - 85528 - 132070 - 144233 - 85536 - 144230 - 132073 - 85546 - 144232 - 85544 - 161033 - 132071 - 85543</t>
  </si>
  <si>
    <t>Barbarée intermédiaire</t>
  </si>
  <si>
    <t>87759 - 85541 - 85540 - 132076 - 93419 - 85553</t>
  </si>
  <si>
    <t>Barbarée dressée, Barbarée raide</t>
  </si>
  <si>
    <t>771495 - 161176 - 85545 - 85538 - 93397 - 85556 - 97275 - 87758 - 144235 - 85555 - 85533 - 144236 - 144237 - 85530 - 132072 - 97249 - 85542 - 161177 - 144234 - 97272</t>
  </si>
  <si>
    <t>Barbarée printanière, Barbarée du printemps, Barbarée précoce, Cresson de jardin</t>
  </si>
  <si>
    <t>81248 - 85618 - 85602 - 85612 - 124844 - 117588</t>
  </si>
  <si>
    <t>Bartsie des Alpes</t>
  </si>
  <si>
    <t>87130 - 104596 - 104593 - 85631 - 104589 - 90806</t>
  </si>
  <si>
    <t>Bassie à balais, Kochie à balais</t>
  </si>
  <si>
    <t>95211 - 83869 - 85719 - 85721 - 107353 - 144027 - 86238 - 95210 - 84632 - 144026 - 85720 - 85722</t>
  </si>
  <si>
    <t>Bellidiastre de Michel, Aster fausse pâquerette, Fausse pâquerette, Grande pâquerette des montagnes</t>
  </si>
  <si>
    <t>85737 - 144259 - 85740 - 132104 - 85735 - 85727 - 85729 - 84634 - 144257 - 144258 - 85741 - 144260 - 152822 - 152821 - 85736 - 132105</t>
  </si>
  <si>
    <t>Pâquerette vivace, Pâquerette</t>
  </si>
  <si>
    <t>85763 - 109853 - 455714 - 107155 - 107154 - 995153 - 109852</t>
  </si>
  <si>
    <t>Mahonia à feuilles de houx, Mahonie à feuilles de houx, Faux houx, Épine-vinette à feuilles de houx</t>
  </si>
  <si>
    <t>Épine-vinette de Thunberg</t>
  </si>
  <si>
    <t>144265 - 144267 - 144270 - 144266 - 85766 - 85770 - 144268 - 132110 - 85774 - 85772 - 144269 - 132111 - 144264 - 995170</t>
  </si>
  <si>
    <t>Épine-vinette commune, Épine-vinette, Vinettier commun, Berbéris commun</t>
  </si>
  <si>
    <t>93331 - 144271 - 108705 - 97972 - 143421 - 95306 - 81908 - 85795 - 81950 - 85796 - 132113 - 95305</t>
  </si>
  <si>
    <t>Bertéroa blanchi, Alysson blanchâtre, Alysson blanc, Alysse blanche</t>
  </si>
  <si>
    <t>83186 - 85788 - 85799 - 85798 - 85800 - 123939 - 618869 - 123353 - 83219 - 85797 - 123949 - 123966 - 123943 - 123969 - 122325 - 123952 - 144272 - 1010003</t>
  </si>
  <si>
    <t>Berle dressée, Petite berle, Berle à feuilles étroites, Cresson sauvage</t>
  </si>
  <si>
    <t>Bette à trois stigmates, Betterave à trois stigmates</t>
  </si>
  <si>
    <t>Betterave commune, Bette, Betterave à sucre, Betterage fourragère, Betterave rouge, Betterave sucrière, Poirée</t>
  </si>
  <si>
    <t>161709 - 85865 - 85854 - 85857 - 85851 - 85844 - 85870 - 614950 - 1009948 - 85855 - 132122 - 85858 - 85842 - 85833 - 85861 - 85829 - 85852 - 85871 - 124755 - 1011431 - 124789 - 85869 - 620865 - 85866 - 85859 - 1011430 - 85846 - 85836 - 85862 - 124749 - 85849 - 85824 - 85863 - 620867 - 85850 - 85867 - 85845 - 620866 - 85860 - 85832 - 1011433 - 1011426 - 85828 - 85868 - 85827 - 85835 - 124797 - 85841 - 85848 - 85873 - 85853 - 85831 - 85872</t>
  </si>
  <si>
    <t>81575 - 85897 - 85907 - 90397 - 132125</t>
  </si>
  <si>
    <t>Bouleau nain</t>
  </si>
  <si>
    <t>85883 - 85874 - 85875 - 132128 - 85909 - 132131 - 85895 - 789038 - 144276 - 85903 - 85889 - 85900 - 789043</t>
  </si>
  <si>
    <t>Bouleau pleureur, Bouleau verruqueux, Boulard</t>
  </si>
  <si>
    <t>85882 - 85896 - 936813 - 85880 - 132123 - 132130 - 85893 - 132124 - 132127 - 85888 - 718653 - 132134 - 85876 - 85904 - 957449 - 85884 - 85894 - 144279 - 85910 - 85906 - 132132 - 152826 - 85901 - 132126 - 144281 - 612202 - 132133 - 144280 - 85881 - 85886 - 85905 - 957446 - 85898 - 618871</t>
  </si>
  <si>
    <t>Bouleau pubescent, Bouleau blanc</t>
  </si>
  <si>
    <t>85920 - 85922 - 85917 - 85915 - 85914</t>
  </si>
  <si>
    <t>Bouleau doré</t>
  </si>
  <si>
    <t>85918 - 85921 - 618870 - 85913 - 85923</t>
  </si>
  <si>
    <t>Bouleau intermédiaire</t>
  </si>
  <si>
    <t>95030 - 85940 - 95029 - 929483 - 85938 - 929482 - 95028 - 92440 - 92438 - 85960 - 85968</t>
  </si>
  <si>
    <t>Bident doré</t>
  </si>
  <si>
    <t>85956 - 85964 - 92452 - 85958 - 85970 - 85965 - 160939 - 85967 - 85959 - 85946 - 87007 - 85954 - 144285 - 85975 - 85950</t>
  </si>
  <si>
    <t>Bident penché, Chanvre d'eau penché</t>
  </si>
  <si>
    <t>971193 - 85949 - 85951 - 971192</t>
  </si>
  <si>
    <t>Bident à feuilles connées, Bident soudé, Bident conné</t>
  </si>
  <si>
    <t>144286 - 85969 - 144287 - 85957</t>
  </si>
  <si>
    <t>Bident feuillé, Bident à fruits noirs, Bident feuillu</t>
  </si>
  <si>
    <t>92443 - 85955 - 85978 - 85974</t>
  </si>
  <si>
    <t>Bident radié, Chanvre d'eau</t>
  </si>
  <si>
    <t>21 - 25 - 89</t>
  </si>
  <si>
    <t>618872 - 85980 - 85979 - 85942 - 85945 - 85985 - 85963 - 85976 - 85986 - 85971 - 85982</t>
  </si>
  <si>
    <t>Bident vulgaire</t>
  </si>
  <si>
    <t>Bident de Madiot</t>
  </si>
  <si>
    <t>Bident de Polak</t>
  </si>
  <si>
    <t>132138 - 85997 - 82747 - 122391</t>
  </si>
  <si>
    <t>Bifore rayonnante, Bifora rayonnant, Sudeur</t>
  </si>
  <si>
    <t>Bifora radians</t>
  </si>
  <si>
    <t>85998 - 82746 - 85999 - 85995 - 82748 - 85996 - 92466 - 85033</t>
  </si>
  <si>
    <t>Bifore testiculée, Bifore à deux coques, Bifora testiculé, Bifora à deux coques, Bifora à testicules</t>
  </si>
  <si>
    <t>Bifora testiculata</t>
  </si>
  <si>
    <t>132150 - 86034 - 162072</t>
  </si>
  <si>
    <t>Biscutelle de Dijon, Lunetière de Dijon</t>
  </si>
  <si>
    <t>86045 - 93332 - 971223 - 154736</t>
  </si>
  <si>
    <t>Biscutelle lisse, Lunetière lisse, Biscutelle commmune</t>
  </si>
  <si>
    <t>114640 - 114680 - 114826 - 612537 - 139104 - 86080 - 92189 - 114665 - 86081 - 114664 - 114667 - 114643 - 114712 - 112731</t>
  </si>
  <si>
    <t>Bistorte, Renouée bistorte, Bistorte officinale, Langue-de-bœuf</t>
  </si>
  <si>
    <t>86079 - 772298 - 114668 - 114897 - 114823 - 114666 - 92190 - 114671 - 773528 - 114683 - 86082 - 773484 - 773067 - 112763 - 114649 - 773066 - 773388</t>
  </si>
  <si>
    <t>Bistorte vivipare, Renouée vivipare, Persicaire vivipare</t>
  </si>
  <si>
    <t>116231 - 618879 - 116234 - 116233 - 106627 - 139465 - 95258 - 139464 - 95257 - 117734 - 84261 - 86083 - 117735 - 86010 - 84262 - 116229 - 150319</t>
  </si>
  <si>
    <t>Psoralée à odeur de bitume, Bitumineuse, Trèfle bitumeux, Trèfle bitumineux, Bituminaire bitumineuse</t>
  </si>
  <si>
    <t>122298 - 99921 - 90891 - 86087 - 89850 - 90905 - 90900</t>
  </si>
  <si>
    <t>108808 - 86108 - 132172 - 90705 - 86120 - 86121 - 90713 - 619105</t>
  </si>
  <si>
    <t>Épinard-fraise en tête, Chénopode en tête, Blette en tête, Épinard-fraise à têtes</t>
  </si>
  <si>
    <t>619107 - 994834 - 86122 - 619106 - 90831 - 90696 - 108809 - 90727</t>
  </si>
  <si>
    <t>Épinard-fraise en baguette, Chénopode en baguette, Blette en baguette</t>
  </si>
  <si>
    <t>121704 - 88926 - 618881 - 121696 - 121566 - 109487 - 86124 - 144302 - 83229 - 93950 - 93912 - 121702 - 121695 - 86125 - 121763 - 121708</t>
  </si>
  <si>
    <t>Scirpe comprimé, Souchet comprimé, Blysme comprimé</t>
  </si>
  <si>
    <t>151306 - 121551 - 144304 - 93971 - 86131 - 121746 - 103865</t>
  </si>
  <si>
    <t>Bolbochoin maritime, Scirpe maritime, Rouche</t>
  </si>
  <si>
    <t>86129 - 121672 - 121705 - 121701 - 621763 - 86132 - 121677 - 121767 - 132173 - 121743 - 151305 - 613704 - 121707</t>
  </si>
  <si>
    <t>Bolbochoin à tiges plates</t>
  </si>
  <si>
    <t>98693 - 98685 - 108516 - 108515 - 86136 - 100526</t>
  </si>
  <si>
    <t>Bombycilène dressée, Micrope dressé, Gnaphale dressé, Micrope droit, Micrope érigé, Cotonnière dressée</t>
  </si>
  <si>
    <t>86156 - 86154</t>
  </si>
  <si>
    <t>Bourrache officinale</t>
  </si>
  <si>
    <t>86168 - 154989 - 86167 - 94912 - 82427</t>
  </si>
  <si>
    <t>Bothriochloa à nœuds barbus, Barbon à nœuds barbus</t>
  </si>
  <si>
    <t>82451 - 82472 - 82425 - 143503 - 143505 - 94911 - 94973 - 82424 - 143504 - 144309 - 618882 - 82184 - 103819 - 124396 - 86169 - 143502 - 82438 - 143501</t>
  </si>
  <si>
    <t>Bothriochloa pied-de-poule, Barbon pied-de-poule, Barbon digité, Bothriochloa ischème</t>
  </si>
  <si>
    <t>86190 - 111809 - 86184 - 772243 - 773398 - 111810 - 110310 - 86192 - 86183</t>
  </si>
  <si>
    <t>Botryche lunaire, Botrychium lunaire</t>
  </si>
  <si>
    <t>144314 - 98503 - 86592 - 132178 - 98192 - 86250 - 144324 - 162282 - 86267 - 86568 - 98145 - 144318 - 86259 - 144319 - 144322 - 132176 - 996144 - 144316 - 127716 - 98187 - 144313 - 80448 - 86262 - 127699 - 144321 - 126934 - 132177 - 146690 - 98380 - 86304 - 98381 - 144315 - 86705 - 126937 - 789314 - 144317</t>
  </si>
  <si>
    <t>Brachypode à deux épis, Brachypode à deux épillets</t>
  </si>
  <si>
    <t>127708 - 144662 - 98264 - 144343 - 85285 - 80490 - 86576 - 618887 - 86660 - 144337 - 98445 - 80462 - 86712 - 98237 - 618889 - 86278 - 86289 - 618888 - 127782</t>
  </si>
  <si>
    <t>Brachypode penné</t>
  </si>
  <si>
    <t>144681 - 86734 - 86296 - 86290 - 618890 - 132183 - 144312 - 86253 - 86255 - 86263 - 144353 - 144354 - 146910 - 144348 - 86272 - 98124 - 1012262 - 132184 - 98493 - 86285 - 86297 - 86247 - 86736 - 86257 - 86715</t>
  </si>
  <si>
    <t>Brachypode tronqué, Brachypode rameux</t>
  </si>
  <si>
    <t>86742 - 86246 - 132182 - 618891 - 144338 - 144334 - 86312 - 144341 - 618893 - 618892 - 144350 - 144347 - 144340 - 86301 - 144355 - 618894 - 146911 - 152846 - 86303 - 144344 - 144335</t>
  </si>
  <si>
    <t>Brachypode rupestre, Brachypode des rochers</t>
  </si>
  <si>
    <t>80506 - 132189 - 86269 - 98566 - 86311 - 127821 - 144366 - 86264 - 86619 - 127814 - 86618 - 132188 - 127755 - 159785 - 132190 - 144362 - 144365 - 144364 - 86305 - 98266 - 86771 - 132186 - 86473 - 86773 - 144325 - 144535 - 98376 - 86772 - 86298 - 86273 - 86597 - 98400 - 144363 - 146912 - 127740 - 144405 - 86274 - 144351 - 144360 - 86275 - 86252 - 144342 - 144357 - 144356</t>
  </si>
  <si>
    <t>Brachypode des forêts, Brachypode des bois, Brome des bois</t>
  </si>
  <si>
    <t>86463 - 100592 - 86401 - 86358 - 93354 - 97017</t>
  </si>
  <si>
    <t>Chou allongé, Chou élancé</t>
  </si>
  <si>
    <t>86350 - 636651 - 86381 - 123723 - 117339 - 93372 - 123738 - 86454 - 618896 - 86458 - 86377 - 123739 - 123756 - 86382 - 86341 - 86385 - 123717 - 86337 - 86386 - 86433 - 117567 - 123718 - 123748 - 123740 - 86383</t>
  </si>
  <si>
    <t>Moutarde, Moutarde de Sarepta</t>
  </si>
  <si>
    <t>86399 - 86418 - 117309 - 132224 - 132192 - 132215 - 93387</t>
  </si>
  <si>
    <t>86439 - 93415 - 161276 - 152847 - 123861 - 152848 - 123731 - 86391 - 123745 - 86343 - 123762 - 107831 - 108916 - 97208 - 86345 - 86400 - 123716</t>
  </si>
  <si>
    <t>Chou noir, Moutarde noire</t>
  </si>
  <si>
    <t>86330 - 93333 - 618900 - 86370 - 109228 - 86445 - 86446 - 86329 - 86392 - 86422 - 144386 - 86406 - 86349</t>
  </si>
  <si>
    <t>Chou potager, Chou-fleur, Chou de Bruxelles</t>
  </si>
  <si>
    <t>132225 - 109229 - 86424 - 144397 - 123753 - 93400 - 86423 - 117352</t>
  </si>
  <si>
    <t>Chou navet, Navet, Navet potager</t>
  </si>
  <si>
    <t>144407 - 971416 - 144410 - 86499 - 144412 - 114277 - 86497 - 86491 - 86489 - 144409 - 86494 - 144408 - 144411 - 86486 - 86493 - 86487 - 86483</t>
  </si>
  <si>
    <t>Brize élevée, Grande brize</t>
  </si>
  <si>
    <t>144420 - 144426 - 144418 - 144428 - 86488 - 144430 - 144427 - 86501 - 144423 - 86482 - 144419 - 144425 - 144414 - 132228 - 144424 - 144413 - 132230 - 144429 - 144422 - 144417 - 86490 - 86496 - 144415</t>
  </si>
  <si>
    <t>86484 - 144433 - 86479 - 144434 - 86492 - 144431 - 86502 - 144432</t>
  </si>
  <si>
    <t>Petite amourette, Brize mineure</t>
  </si>
  <si>
    <t>132289 - 130638 - 144464 - 132239 - 618904 - 86546 - 144680 - 132231 - 144461 - 86511 - 121466 - 144465 - 142513</t>
  </si>
  <si>
    <t>Brome de Beneken, Faux brome de Beneken</t>
  </si>
  <si>
    <t>618916 - 151288 - 86786 - 144517 - 86542 - 86682 - 132253 - 144510 - 144493 - 98770 - 144496 - 86551 - 144498 - 98463 - 144512 - 86775 - 618913 - 144523 - 144525 - 144506 - 618915 - 98282 - 86731 - 86722 - 132254 - 132251 - 121469 - 86698 - 997273 - 86629 - 144500 - 144519 - 144497 - 144501 - 144499 - 144515 - 86512 - 86529 - 144505 - 144522 - 144503 - 132252 - 144511 - 98384 - 614151 - 86530 - 144495 - 144490 - 618917 - 86652 - 144502 - 144526 - 144504 - 86613 - 86614 - 144518 - 144516 - 86519 - 86724 - 86561 - 86601 - 130636 - 86708 - 86664 - 98210 - 86624 - 144514 - 618914 - 144520 - 144521 - 86612 - 144491 - 997271 - 144513 - 86536</t>
  </si>
  <si>
    <t>618920 - 132266 - 144563 - 618919 - 144559 - 144557 - 144558 - 86611 - 618918 - 144437 - 86651 - 144436 - 86776 - 772866 - 121472 - 134545 - 98452 - 98454 - 98338 - 130640 - 144435 - 98302 - 98547 - 144561 - 86641 - 144562 - 86513 - 98772 - 86640 - 144564 - 144560</t>
  </si>
  <si>
    <t>98081 - 121465 - 86523 - 144462 - 86725 - 86538 - 130637 - 140753 - 86754 - 121486 - 86774 - 86539 - 130642 - 85314 - 86514 - 86596 - 144463 - 86694 - 132291 - 146659 - 132240 - 86567 - 86628 - 86795 - 86695 - 86683 - 98765 - 132290 - 86733 - 86291 - 144682 - 86510</t>
  </si>
  <si>
    <t>86526 - 144458 - 144457 - 144448 - 144718 - 144445 - 122913 - 144441 - 144460 - 86760 - 144451 - 144452 - 618903 - 86537 - 85203 - 153989 - 144459 - 132238 - 144455 - 144444 - 86655 - 132236 - 86796 - 151541 - 144450 - 86688 - 144447 - 144446 - 86759 - 98764 - 144492 - 144456 - 86665 - 144454 - 144442 - 144443 - 151542 - 144724 - 144440</t>
  </si>
  <si>
    <t>Bromus arvensis</t>
  </si>
  <si>
    <t>144665 - 144612 - 144650 - 144664 - 144472 - 144611 - 86590 - 141019 - 144727 - 132242 - 132287 - 132303 - 132244 - 144477 - 144552 - 144476 - 86756 - 86720 - 144647 - 122915 - 144473 - 146952 - 618909 - 151559 - 98767 - 144469 - 144474 - 86685 - 144653 - 132232 - 144736 - 144668 - 86747 - 144646 - 132288 - 618910 - 144471 - 86571 - 86607 - 144663 - 144669 - 144541 - 144470</t>
  </si>
  <si>
    <t>Brome variable, Brome confondu</t>
  </si>
  <si>
    <t>153993 - 86532 - 132255 - 86714 - 137805 - 108479 - 144726 - 148720 - 144648 - 108480 - 161896 - 144672 - 144723 - 144810 - 144466 - 144734 - 132306 - 132305 - 86541 - 141020 - 618907 - 87517 - 132309 - 151570 - 618908 - 86794 - 144730 - 144468 - 144645 - 86557 - 144467 - 151564 - 144712 - 86598 - 144536 - 105899 - 108481 - 86687 - 80257 - 618905 - 144439 - 86696 - 789032 - 144716 - 618906 - 86621 - 144651 - 151566 - 789263</t>
  </si>
  <si>
    <t>Brome épais, Brome à fleurs nombreuses, Brome volumineux, Brome à gros épillets</t>
  </si>
  <si>
    <t>132262 - 144615 - 144617 - 144632 - 144618 - 86680 - 122925 - 144555 - 98775 - 151553 - 144621 - 144616 - 144642 - 144620 - 122919 - 122928 - 141016 - 132282 - 132261 - 132281 - 144626 - 144637 - 86616 - 144636 - 86634 - 98378 - 144624 - 144622 - 85307 - 146842 - 144550 - 144623 - 144633 - 151550 - 144619 - 144717 - 144548 - 144544 - 144631</t>
  </si>
  <si>
    <t>86681 - 617033 - 144655 - 144654 - 144449 - 144657 - 86704 - 144659 - 144658 - 86706 - 132270 - 144660 - 141018 - 86790 - 144573 - 151555 - 144569 - 98776 - 86517 - 132237 - 151556 - 151557 - 144574 - 86515 - 122927 - 144453 - 144570 - 618921 - 144751 - 144572 - 86580 - 132269 - 144478 - 86646 - 144656 - 144739 - 86643 - 86710</t>
  </si>
  <si>
    <t>Brome du Japon</t>
  </si>
  <si>
    <t>86648 - 144577 - 122917 - 86569 - 144488 - 86726 - 86701 - 86649 - 144586 - 144578 - 86559 - 151547 - 122921 - 98773 - 122923 - 86666 - 144742 - 132275 - 151544 - 144576 - 86789 - 144580 - 144489 - 144585 - 144575 - 144579 - 86594 - 132274 - 144587 - 144815</t>
  </si>
  <si>
    <t>Brome lancéolé</t>
  </si>
  <si>
    <t>144582 - 144630 - 144581 - 132283 - 144534 - 144625 - 86653 - 144553 - 132259 - 86555 - 86617 - 151551</t>
  </si>
  <si>
    <t>Brome gracieux</t>
  </si>
  <si>
    <t>86686 - 122929 - 144678 - 144675 - 960565 - 151560 - 86757 - 144673 - 144667 - 144554 - 144640 - 144679 - 98777 - 86732 - 144674 - 144545 - 144671 - 86535 - 144676 - 144666 - 144677 - 144479 - 960566 - 98490 - 161381 - 86518 - 86779 - 144754</t>
  </si>
  <si>
    <t>Brome en grappe</t>
  </si>
  <si>
    <t>86769 - 132302 - 144720 - 86684 - 98534 - 86600 - 153991 - 144652 - 85360 - 144732 - 98778 - 618925 - 144735 - 132308 - 122932 - 618924 - 144725 - 151562 - 122918 - 132300 - 86599 - 86716 - 151569 - 151568 - 144670 - 86637 - 960567 - 86543 - 86751 - 144729 - 86554 - 144722 - 86752 - 144728 - 144715 - 151563 - 86802 - 132301 - 144711 - 144731 - 86549 - 144714 - 144713 - 86672 - 144641 - 144719 - 151565 - 144733 - 144721 - 151567</t>
  </si>
  <si>
    <t>Brome petit-seigle, Brome faux seigle, Brome Seigle</t>
  </si>
  <si>
    <t>Bromus secalinus</t>
  </si>
  <si>
    <t>144757 - 98779 - 144758 - 122934 - 144740 - 132311 - 86654 - 86804 - 132312 - 141021 - 151574 - 144749 - 144746 - 144737 - 86630 - 86674 - 86544 - 151575 - 144743 - 144756 - 144752 - 144759 - 144738 - 86761 - 144760 - 144741 - 144761 - 86657 - 144748 - 122926 - 144747 - 151573 - 86800 - 144750 - 132313 - 86729 - 144745 - 144753 - 151571 - 132310 - 86799 - 151572</t>
  </si>
  <si>
    <t>Brome squarreux, Brome raboteux</t>
  </si>
  <si>
    <t>108823 - 112388 - 635393 - 86817 - 112387</t>
  </si>
  <si>
    <t>Mûrier à papier, Broussonétia à papier, Broussonétie à papier</t>
  </si>
  <si>
    <t>86827 - 936244 - 86831 - 971466 - 86830 - 154743 - 159572 - 86828</t>
  </si>
  <si>
    <t>Bryone dioïque</t>
  </si>
  <si>
    <t>144820 - 86874 - 144817 - 144822 - 144818 - 144819 - 144821 - 86869</t>
  </si>
  <si>
    <t>Buddleia de David, Buddleia du père David, Arbre-à-papillon, Arbre-aux-papillons</t>
  </si>
  <si>
    <t>86867 - 86870</t>
  </si>
  <si>
    <t>Buddléia globuleux</t>
  </si>
  <si>
    <t>86872 - 86868</t>
  </si>
  <si>
    <t>Buddléia du Japon</t>
  </si>
  <si>
    <t>144824 - 86878 - 86877 - 86879 - 86882 - 86884 - 144823</t>
  </si>
  <si>
    <t>Bufonie paniculée</t>
  </si>
  <si>
    <t>106404 - 117738 - 117741 - 86890 - 106407 - 618927 - 80315 - 107357 - 106379</t>
  </si>
  <si>
    <t>Lithospermum arvense</t>
  </si>
  <si>
    <t>97051 - 144830 - 144828 - 86961 - 97044 - 97053 - 97045 - 144829 - 97050 - 93357 - 108938 - 86960 - 132328 - 86973 - 144831 - 97046 - 86971 - 97049 - 108925 - 132327 - 97048 - 86969 - 86963 - 97052 - 86979 - 97047 - 97043 - 86968 - 108933</t>
  </si>
  <si>
    <t>Bunias fausse roquette, Roquette des champs</t>
  </si>
  <si>
    <t>86975 - 117376 - 86980 - 104804 - 86976 - 108955</t>
  </si>
  <si>
    <t>Bunias d'Orient, Roquette d'Orient</t>
  </si>
  <si>
    <t>144827 - 86993 - 144825 - 122327 - 80320 - 86996 - 89265 - 86983 - 121433 - 123944 - 83187 - 86985 - 86987 - 86931 - 105914 - 86995 - 89248 - 86998 - 113557</t>
  </si>
  <si>
    <t>Bunium noix-de-terre, Noix-de-terre, Marron-de-terre, Châtaigne-de-terre</t>
  </si>
  <si>
    <t>25 - 39 - 58 - 70 - 71</t>
  </si>
  <si>
    <t>Bunium bulbocastanum</t>
  </si>
  <si>
    <t>87005 - 132331 - 132332 - 87009 - 87013</t>
  </si>
  <si>
    <t>Buphthalme à feuilles de saule, Buphtalme œil-de-boeuf, Œil-de-boeuf</t>
  </si>
  <si>
    <t>87027 - 125880 - 87076 - 132334 - 132353 - 87023 - 154744 - 144834 - 132352 - 960571 - 125878 - 132335</t>
  </si>
  <si>
    <t>Buplèvre du mont Baldo, Buplèvre aristé, Buplèvre opaque</t>
  </si>
  <si>
    <t>613474 - 144836 - 87042 - 618930 - 132339 - 132337 - 161797 - 87046 - 613476 - 87094 - 87073 - 87101 - 87097 - 87111 - 132342 - 618931 - 132340 - 87099 - 87081 - 618929 - 87072 - 87044 - 87078 - 87083 - 87061 - 152864 - 87108 - 87077 - 613475 - 618932 - 125881 - 618928 - 152865 - 87075 - 87040 - 144837</t>
  </si>
  <si>
    <t>Buplèvre en faux, Buplèvre à feuilles en faux, Percefeuille</t>
  </si>
  <si>
    <t>125882 - 144839 - 87113 - 87107 - 87048 - 87051 - 132343</t>
  </si>
  <si>
    <t>Buplèvre ligneux, Buplèvre en buisson, Buplèvre buissonnant</t>
  </si>
  <si>
    <t>618933 - 87025 - 103908 - 144841 - 613142 - 144842 - 103909 - 132344 - 132348 - 132346 - 87114 - 144843 - 87014 - 87053</t>
  </si>
  <si>
    <t>Buplèvre de Gérard</t>
  </si>
  <si>
    <t>87068 - 94891</t>
  </si>
  <si>
    <t>Buplèvre à feuilles allongées, Buplèvre à feuilles longues</t>
  </si>
  <si>
    <t>87047 - 125904 - 87039 - 80399 - 109837 - 87074 - 87056</t>
  </si>
  <si>
    <t>Buplèvre odontite, Buplèvre de Desfontaines</t>
  </si>
  <si>
    <t>87092 - 87032 - 144861 - 87103 - 87091 - 125879 - 144860 - 87071 - 122392</t>
  </si>
  <si>
    <t>Buplèvre fausse renoncule</t>
  </si>
  <si>
    <t>87095 - 87019 - 125888 - 94902 - 87079</t>
  </si>
  <si>
    <t>Buplèvre à feuilles rondes, Oreille-de-lièvre</t>
  </si>
  <si>
    <t>Bupleurum rotundifolium</t>
  </si>
  <si>
    <t>132349 - 132359 - 618938 - 144850 - 144847 - 132354 - 132351 - 87110 - 87060 - 87086 - 87067 - 87058 - 144851 - 144848 - 87024 - 144838 - 87064 - 87096 - 87059 - 87035 - 125885 - 87052 - 87102</t>
  </si>
  <si>
    <t>Buplèvre presque ovale, Buplèvre ovale, Buplèvre à ombelles réduites</t>
  </si>
  <si>
    <t>Bupleurum subovatum</t>
  </si>
  <si>
    <t>87106 - 125889 - 614966 - 87105 - 126940 - 80400 - 130648 - 132362 - 87036 - 144866 - 132363 - 132361 - 87084</t>
  </si>
  <si>
    <t>Buplèvre très grêle, Buplèvre grêle, Buplèvre menu, Buplèvre très ténu</t>
  </si>
  <si>
    <t>87136 - 87135 - 87133 - 87134</t>
  </si>
  <si>
    <t>Butome en ombelle, Jonc fleuri, Carélé</t>
  </si>
  <si>
    <t>21 - 58 - 90</t>
  </si>
  <si>
    <t>87141 - 87138</t>
  </si>
  <si>
    <t>Buis des Baléares</t>
  </si>
  <si>
    <t>87142 - 87143 - 87139 - 144868 - 144867 - 87144 - 87145 - 87137 - 87140</t>
  </si>
  <si>
    <t>Buis toujours vert, Buis commun, Buis sempervirent, Bois béni</t>
  </si>
  <si>
    <t>132391 - 87214 - 132374 - 84167 - 84208 - 144889 - 144960 - 87288 - 84209 - 144884 - 132376 - 142834 - 789061 - 144887 - 144888 - 144886 - 87223 - 618941 - 87219 - 94682 - 87281 - 146106 - 87211 - 91254 - 144962 - 94670 - 144885 - 84142 - 87212 - 87285 - 618942 - 162403 - 94685 - 94681 - 87278 - 87256 - 144883 - 84144 - 84991 - 87222 - 87217 - 87263 - 84170 - 87291 - 146105 - 94671 - 84217 - 87258 - 80574</t>
  </si>
  <si>
    <t>Calamagrostide roseau, Calamagrostide faux roseau, Roseau des montagnes, Calamagrostis roseau</t>
  </si>
  <si>
    <t>87218 - 79972 - 144940 - 144932 - 87229 - 144935 - 84190 - 144929 - 84198 - 144937 - 144928 - 144939 - 144943 - 144934 - 84171 - 84210 - 84164 - 144942 - 144938 - 80659 - 84163 - 84162 - 152874 - 94683 - 87283 - 84180 - 144933 - 84990 - 79971 - 144931 - 144930 - 132385 - 87279 - 87245</t>
  </si>
  <si>
    <t>144917 - 144912 - 144900 - 144906 - 144893 - 87273 - 84989 - 144916 - 144918 - 80625 - 144898 - 144909 - 144908 - 143913 - 144913 - 144903 - 144919 - 144892 - 144907 - 144895 - 144927 - 144902 - 84175 - 144905 - 87239 - 84186 - 143912 - 144901 - 87242 - 87295 - 144922 - 132378 - 143914 - 144915 - 144920 - 87227 - 144911 - 144896 - 87250 - 144921 - 87231 - 144910 - 87203 - 144904 - 144914 - 144894 - 87209</t>
  </si>
  <si>
    <t>84223 - 144952 - 144969 - 144961 - 94679 - 87286 - 80676 - 84200 - 84196 - 87296 - 94678 - 87257 - 144971 - 146104 - 84184 - 94684 - 94687 - 144972 - 80789 - 87287 - 94680 - 84197 - 162448 - 84215 - 132375 - 132394</t>
  </si>
  <si>
    <t>81271 - 143231 - 87417 - 81256 - 81259 - 143232 - 789062</t>
  </si>
  <si>
    <t>Caldésie à feuilles de parnassie, Alisme à feuilles de parnassie, Alisma à feuilles de parnassie</t>
  </si>
  <si>
    <t>152875 - 87431 - 132419 - 971566 - 144983 - 87436 - 87527 - 87430 - 132420 - 87420 - 87427 - 971568 - 87418 - 161052 - 132416 - 87424 - 87531 - 132417 - 938352 - 132421 - 87426 - 87419 - 132418 - 971569 - 87539 - 938303 - 938354 - 132422 - 87428</t>
  </si>
  <si>
    <t>Souci des champs, Gauchefer</t>
  </si>
  <si>
    <t>87538 - 87429</t>
  </si>
  <si>
    <t>Souci officinal, Souci des jardins</t>
  </si>
  <si>
    <t>161053 - 87434 - 87435 - 161038</t>
  </si>
  <si>
    <t>Souci étoilé</t>
  </si>
  <si>
    <t>108941 - 108939 - 87441 - 108932 - 87440 - 92033 - 87442 - 92050 - 93348 - 104802 - 86974 - 109591 - 104803 - 92777 - 108942 - 87443 - 92778 - 86967 - 117367 - 86966</t>
  </si>
  <si>
    <t>Calépine irrégulière, Calépine de Corvin, Calépine faux cranson</t>
  </si>
  <si>
    <t>Calepina irregularis</t>
  </si>
  <si>
    <t>115982 - 87450 - 115983 - 87451 - 95423</t>
  </si>
  <si>
    <t>Calla des marais, Arum d'eau, Choucelle, Anguine</t>
  </si>
  <si>
    <t>87479 - 87466 - 87467 - 132429 - 154753 - 132434 - 132437 - 613673</t>
  </si>
  <si>
    <t>Callitriche pédonculé</t>
  </si>
  <si>
    <t>618954 - 87481 - 87468 - 618951 - 618952 - 132438 - 618953</t>
  </si>
  <si>
    <t>Callitriche à fruits obtus</t>
  </si>
  <si>
    <t>125083 - 613672 - 132427 - 154752 - 132435 - 87471 - 87473 - 621537</t>
  </si>
  <si>
    <t>Callitriche à crochets, Callitriche en hameçon</t>
  </si>
  <si>
    <t>21 - 25 - 39 - 70 - 90</t>
  </si>
  <si>
    <t>87476 - 132428 - 132436</t>
  </si>
  <si>
    <t>Callitriche à angles obtus</t>
  </si>
  <si>
    <t>618959 - 87465 - 87472 - 772844 - 87482 - 771788 - 132433 - 87469 - 87478 - 87475 - 771789 - 772843 - 618957 - 618958 - 132440 - 87470 - 618960 - 87487 - 87477 - 87485 - 87488</t>
  </si>
  <si>
    <t>Callitriche des marais, Callitriche de printemps</t>
  </si>
  <si>
    <t>21 - 25 - 39 - 58 - 70 - 71</t>
  </si>
  <si>
    <t>132441 - 618962 - 132430 - 125084 - 618961 - 87480</t>
  </si>
  <si>
    <t>Callitriche à fruits plats, Callitriche à fruits élargis, Callitriche à fruits larges, Callitriche à fruits aplatis</t>
  </si>
  <si>
    <t>132431 - 125085 - 132439 - 87484</t>
  </si>
  <si>
    <t>Callitriche des eaux stagnantes, Callitriche des étangs</t>
  </si>
  <si>
    <t>154750 - 87486 - 154751 - 132432 - 618964 - 618965 - 618963</t>
  </si>
  <si>
    <t>Callitriche tronqué</t>
  </si>
  <si>
    <t>87495 - 1008727 - 146465 - 152877 - 161975 - 144989 - 87490 - 96700 - 1008728 - 87494 - 87496 - 144991 - 144990 - 618967 - 87493 - 618966 - 96727 - 87491 - 144987 - 87499 - 87501 - 87497 - 152878 - 87500 - 144988 - 1008709 - 87498 - 87492</t>
  </si>
  <si>
    <t>Callune commune, Callune, Béruée, Bruyère commune</t>
  </si>
  <si>
    <t>87542 - 132448 - 115109 - 87529 - 87541 - 144997 - 132450 - 144995 - 87524 - 87530 - 87537 - 145001 - 144996 - 144993 - 145000 - 87543 - 144992 - 87536 - 144999 - 87540 - 132449 - 87525 - 132451 - 618969 - 87534 - 132445 - 618968 - 144998 - 132452 - 87533 - 144994 - 132446 - 132447 - 87528 - 87535 - 87526 - 87532 - 145002 - 145003 - 132453</t>
  </si>
  <si>
    <t>Populage des marais, Sarbouillotte, Souci d'eau</t>
  </si>
  <si>
    <t>132460 - 132464 - 152879 - 108937 - 87576 - 108702 - 87568 - 161201 - 108928 - 87579 - 811092 - 87580 - 132463 - 87574 - 87572 - 108921</t>
  </si>
  <si>
    <t>Caméline alysson</t>
  </si>
  <si>
    <t>Camelina alyssum</t>
  </si>
  <si>
    <t>87577 - 132461 - 87570 - 152880 - 132465 - 938370 - 132471 - 132462 - 132466 - 87585 - 87578</t>
  </si>
  <si>
    <t>Caméline à petits fruits</t>
  </si>
  <si>
    <t>Camelina microcarpa</t>
  </si>
  <si>
    <t>106264 - 93339 - 108701 - 935206 - 87582 - 618974 - 87575 - 87583 - 95203 - 132469 - 108708 - 90445 - 108952 - 87571 - 618973 - 132470 - 935207</t>
  </si>
  <si>
    <t>Caméline cultivée, Sésame d'Allemagne</t>
  </si>
  <si>
    <t>Camelina sativa</t>
  </si>
  <si>
    <t>87619 - 87632 - 87633 - 125376 - 87620</t>
  </si>
  <si>
    <t>Campanule cervicaire, Cervicaire, Campanule à fleurs en tête</t>
  </si>
  <si>
    <t>87689 - 87646 - 87737 - 145033 - 145026 - 145030 - 145029 - 971576 - 145027 - 145032 - 132499 - 971578 - 87705 - 87684 - 87653 - 145009 - 87736 - 87661 - 87622 - 145025 - 87701</t>
  </si>
  <si>
    <t>Campanule à feuilles de cranson, Campanule à feuilles de cochléaire, Campanule à feuilles de raifort</t>
  </si>
  <si>
    <t>152882 - 132479 - 87652 - 145010 - 145012 - 87728 - 87623 - 132480 - 87600 - 132482 - 87621 - 87731 - 87651 - 107364 - 87641 - 132483 - 145011 - 152883 - 132478 - 132481</t>
  </si>
  <si>
    <t>Campanule agglomérée</t>
  </si>
  <si>
    <t>87666 - 87637 - 87675 - 126926 - 95465</t>
  </si>
  <si>
    <t>Campanule à larges feuilles</t>
  </si>
  <si>
    <t>107772 - 123364 - 117407 - 87645 - 107367 - 87678</t>
  </si>
  <si>
    <t>Campanule carillon, Fausse raiponce, Campanule moyenne</t>
  </si>
  <si>
    <t>145014 - 87631 - 87748 - 87677 - 87709 - 87690 - 87610 - 117401 - 132493 - 87683 - 618977 - 87626 - 618978 - 145015 - 87644 - 145016 - 718663 - 132492 - 152884 - 87628</t>
  </si>
  <si>
    <t>Campanule étalée</t>
  </si>
  <si>
    <t>132494 - 145022 - 145018 - 87704 - 145020 - 87605 - 145023 - 145024 - 132495 - 87630 - 145019 - 145017 - 145021 - 87629 - 87693 - 87660 - 87734 - 87735 - 117402</t>
  </si>
  <si>
    <t>Campanule à feuilles de pêcher, Bâton-de-Jacob</t>
  </si>
  <si>
    <t>87722 - 87719 - 89502 - 87717 - 95466 - 87681 - 145034 - 87741 - 87624 - 87627 - 87682 - 87718 - 87710 - 87743 - 87673 - 126927 - 87711 - 132500 - 87686</t>
  </si>
  <si>
    <t>Campanule fausse raiponce</t>
  </si>
  <si>
    <t>87635 - 87712 - 132501 - 87749 - 117406 - 87638</t>
  </si>
  <si>
    <t>Campanule raiponce</t>
  </si>
  <si>
    <t>87727 - 87716 - 152885 - 132514</t>
  </si>
  <si>
    <t>Campanule rhomboidale, Campanule à feuilles en losange</t>
  </si>
  <si>
    <t>132511 - 132510 - 87708 - 87612 - 87691 - 960722 - 145042 - 935208 - 87657 - 145035 - 87680 - 145038 - 145041 - 145040 - 132505 - 145043 - 87695 - 145036 - 87738 - 152886 - 132512 - 87720 - 132513 - 87747 - 87679</t>
  </si>
  <si>
    <t>132528 - 87740</t>
  </si>
  <si>
    <t>Campanule en faux thyrse, Campanule en thyrse</t>
  </si>
  <si>
    <t>132530 - 987580 - 87742 - 87745 - 145051 - 95467</t>
  </si>
  <si>
    <t>87784 - 87783 - 87781 - 87782 - 87780 - 707647 - 132532 - 87788 - 87787 - 87786</t>
  </si>
  <si>
    <t>Chanvre cultivé, Zamal, Amale, Gandia, Chanvre</t>
  </si>
  <si>
    <t>87870 - 103428 - 126360 - 87864 - 126346 - 110723 - 132541 - 87124 - 87120 - 87121 - 87852 - 145058 - 105606 - 87865 - 87845 - 87122 - 145061 - 87855 - 87126 - 87868 - 126339 - 87859 - 126357 - 87860 - 126398 - 87849 - 87856 - 971587 - 953670 - 93340 - 118855 - 87848 - 154850 - 87866 - 87867 - 971586 - 87869 - 87125 - 87854 - 87850 - 87123 - 145060 - 87847 - 132543 - 87853 - 126338 - 109401</t>
  </si>
  <si>
    <t>Capselle bourse-à-pasteur, Bourse-de-capucin, Bourse-à-pasteur</t>
  </si>
  <si>
    <t>161557 - 154591 - 145059 - 93408 - 126391 - 132545 - 87862 - 132544 - 87863 - 152891 - 145057</t>
  </si>
  <si>
    <t>Capselle rougeâtre, Bourse-à-pasteur rougeâtre</t>
  </si>
  <si>
    <t>87127 - 154590 - 154754 - 87871 - 132542 - 87872</t>
  </si>
  <si>
    <t>Capselle grêle</t>
  </si>
  <si>
    <t>145062 - 93320 - 87938 - 87974 - 87902 - 145063 - 87907 - 100242 - 87943 - 87985 - 132550 - 87932 - 87892 - 87984 - 87948 - 145064 - 152892 - 87981</t>
  </si>
  <si>
    <t>145066 - 152894 - 87954 - 132566 - 87975 - 87911 - 87921 - 132554 - 87956 - 87918 - 618985 - 132561 - 87917 - 132553 - 132565</t>
  </si>
  <si>
    <t>Cardamine dentée, Cardamine des marais</t>
  </si>
  <si>
    <t>87931 - 87913 - 87914 - 132557 - 145070 - 87934 - 87915 - 132555 - 87929 - 145071 - 100248 - 87976 - 87959 - 154756</t>
  </si>
  <si>
    <t>Cardamine flexueuse, Cardamine des bois</t>
  </si>
  <si>
    <t>87962 - 94616 - 94618 - 93363 - 161319 - 87925 - 87899</t>
  </si>
  <si>
    <t>Cardamine à sept folioles, Dentaire pennée</t>
  </si>
  <si>
    <t>132556 - 87904 - 145069 - 87930 - 87947 - 618988 - 93342 - 100243 - 87983 - 87958 - 87978 - 87944</t>
  </si>
  <si>
    <t>Cardamine hérissée, Cardamine hirsute, Cresson de muraille</t>
  </si>
  <si>
    <t>145077 - 145076 - 145068 - 145074 - 87960 - 100244 - 87933 - 145075 - 145073 - 132558 - 132559 - 145072 - 87896 - 87909 - 93368 - 87895 - 87973</t>
  </si>
  <si>
    <t>Cardamine impatiente, Herbe au diable</t>
  </si>
  <si>
    <t>87957 - 93389</t>
  </si>
  <si>
    <t>Cardamine à petites fleurs</t>
  </si>
  <si>
    <t>87912 - 94615 - 87961 - 94614 - 93391 - 94617</t>
  </si>
  <si>
    <t>Cardamine à cinq feuilles, dentaire digitée, Cresson des bois</t>
  </si>
  <si>
    <t>95396 - 773326 - 951635 - 132568 - 132567 - 145078 - 93398 - 87936 - 87953 - 87964 - 87949 - 87982 - 971901 - 145081 - 145080 - 145082 - 100245 - 87946 - 87926 - 87965 - 162079 - 87950 - 145079</t>
  </si>
  <si>
    <t>Cardamine des prés, Cresson des prés, Cressonnette</t>
  </si>
  <si>
    <t>87928 - 145086 - 87922 - 87970 - 87951 - 87927 - 100247 - 145085 - 145084 - 132572 - 83388 - 93405 - 145083 - 132573 - 87919 - 152896</t>
  </si>
  <si>
    <t>Cardamine à feuilles de réséda</t>
  </si>
  <si>
    <t>618987 - 94620 - 87987 - 94619</t>
  </si>
  <si>
    <t>Cardamine hybride, Dentaire hybride</t>
  </si>
  <si>
    <t>88080 - 88120 - 110283 - 145088 - 132601 - 88103 - 132602 - 88153 - 88170 - 88056 - 89167 - 88059 - 114503 - 132579 - 88085 - 88209 - 88217 - 88184 - 88105</t>
  </si>
  <si>
    <t>Chardon faux acanthe</t>
  </si>
  <si>
    <t>88063 - 132587 - 132613 - 88104 - 114505</t>
  </si>
  <si>
    <t>Chardon crépu</t>
  </si>
  <si>
    <t>91319 - 116287 - 88108</t>
  </si>
  <si>
    <t>88165 - 88202 - 145106 - 145100 - 132604</t>
  </si>
  <si>
    <t>Chardon noircissant, Chardon noirâtre</t>
  </si>
  <si>
    <t>88167 - 110287 - 618991 - 84237 - 145109</t>
  </si>
  <si>
    <t>132614 - 88178 - 88072 - 104985 - 83505</t>
  </si>
  <si>
    <t>Chardon bardane</t>
  </si>
  <si>
    <t>88191 - 110288 - 145113 - 132621</t>
  </si>
  <si>
    <t>145111 - 811025 - 145112 - 88058 - 88200 - 88207 - 132619 - 88149 - 88102 - 132620</t>
  </si>
  <si>
    <t>Chardon à petites fleurs, Chardon à petits capitules, Chardon à capitules étroits, Chardon à fleurs ténues</t>
  </si>
  <si>
    <t>88229 - 88247 - 88260 - 88280 - 88283 - 88235</t>
  </si>
  <si>
    <t>Chardon de Brunner</t>
  </si>
  <si>
    <t>Chardon de Grenier</t>
  </si>
  <si>
    <t>88231 - 88299 - 88275 - 88269 - 88241 - 88289 - 88242 - 88279</t>
  </si>
  <si>
    <t>Chardon de Nägeli</t>
  </si>
  <si>
    <t>88274 - 88186 - 88240 - 88298 - 88282 - 132637 - 88237 - 88244 - 88309</t>
  </si>
  <si>
    <t>Chardon de Stang</t>
  </si>
  <si>
    <t>88849 - 161037 - 132730 - 88844 - 152905 - 88682 - 129391 - 132731 - 88480 - 618994 - 152904 - 88664 - 132694 - 132644 - 145114 - 88917 - 132645 - 618995 - 145189 - 111802 - 88947 - 88314 - 88322 - 88688 - 88919 - 88469 - 132732 - 132642 - 88544 - 145116 - 145188 - 88545 - 132647 - 145117 - 88338 - 88388</t>
  </si>
  <si>
    <t>Laîche aiguë, Laîche grêle</t>
  </si>
  <si>
    <t>95818 - 127105 - 152931 - 613774 - 88639 - 88735 - 145118 - 613773 - 88856 - 88604 - 88750 - 88879 - 88318 - 132780 - 132648 - 88843 - 88751 - 88831</t>
  </si>
  <si>
    <t>Laîche des marais, Laîche fausse laîche aiguë</t>
  </si>
  <si>
    <t>88715 - 88324 - 88352 - 88351</t>
  </si>
  <si>
    <t>Laîche blanche</t>
  </si>
  <si>
    <t>129398 - 89135 - 129362 - 88755 - 88344</t>
  </si>
  <si>
    <t>Laîche à épis rapprochés, Laîche paradoxale</t>
  </si>
  <si>
    <t>88349 - 618996 - 88960 - 145121 - 129363 - 618997 - 88595</t>
  </si>
  <si>
    <t>Laîche des sables, Salsepareille des pauvres</t>
  </si>
  <si>
    <t>614153 - 121498 - 88458 - 89126 - 129366 - 88387</t>
  </si>
  <si>
    <t>Laîche de Bohême, Laîche voyageuse, Laîche souchet</t>
  </si>
  <si>
    <t>21 - 25 - 39 - 71 - 89</t>
  </si>
  <si>
    <t>88633 - 88857 - 88438 - 88912 - 88934 - 88892 - 88389</t>
  </si>
  <si>
    <t>Laîche à épis court, Laîche maigre</t>
  </si>
  <si>
    <t>772025 - 883894 - 114739 - 112765 - 772026 - 112752 - 762391 - 772028 - 772027 - 771864 - 112897 - 963034</t>
  </si>
  <si>
    <t>Koenigie à épis nombreux, Renouée à épis nombreux</t>
  </si>
  <si>
    <t>88537 - 88395 - 129367 - 89123 - 88497</t>
  </si>
  <si>
    <t>Laîche fausse brize</t>
  </si>
  <si>
    <t>88906 - 113335 - 132663 - 88899 - 88781 - 772522 - 132661 - 88573 - 88404</t>
  </si>
  <si>
    <t>Laîche de Buxbaum</t>
  </si>
  <si>
    <t>88396 - 88449 - 88437 - 88610 - 88830 - 88587 - 88428 - 88407 - 88394 - 97927</t>
  </si>
  <si>
    <t>Laîche blanchâtre, Laîche courte, Laîche tronquée</t>
  </si>
  <si>
    <t>88815 - 152910 - 618999 - 88462 - 109996 - 152909 - 88938 - 145124 - 145123 - 132669 - 88592 - 88787 - 88846 - 88900 - 88853 - 145235 - 145126 - 145125 - 88415 - 88532 - 88786 - 145225 - 132668</t>
  </si>
  <si>
    <t>Laîche caryophyllée, Laîche printanière, Laîche du printemps</t>
  </si>
  <si>
    <t>132815 - 109588 - 88841 - 88597 - 88930 - 129357 - 88823 - 88684 - 88888 - 88420 - 129380 - 88712 - 129370 - 88743 - 619000 - 88484 - 88436</t>
  </si>
  <si>
    <t>Laîche cespiteuse, Laîche en touffe, Laîche gazonnante</t>
  </si>
  <si>
    <t>88426 - 773359 - 88524 - 88526 - 129371</t>
  </si>
  <si>
    <t>Laîche à longs rhizomes</t>
  </si>
  <si>
    <t>88432 - 132649 - 88631 - 132650 - 162369 - 88860</t>
  </si>
  <si>
    <t>Laîche de la Loire, Laîche de Colchide</t>
  </si>
  <si>
    <t>132804 - 132658 - 88450 - 132657 - 132793 - 142262 - 132805 - 129372 - 132792 - 619022 - 619021</t>
  </si>
  <si>
    <t>Laîche intermédiaire</t>
  </si>
  <si>
    <t>88813 - 88457 - 145130 - 116247 - 88459 - 88852 - 88475 - 89144 - 132679 - 129374 - 88814 - 88630 - 88870</t>
  </si>
  <si>
    <t>Laîche de Davall</t>
  </si>
  <si>
    <t>88937 - 88465 - 161930 - 88690 - 127093 - 88920</t>
  </si>
  <si>
    <t>Laîche appauvrie, Laîche à épis grêles et peu fournis</t>
  </si>
  <si>
    <t>88913 - 129375 - 88468 - 88378 - 113338 - 89138 - 88490 - 145234 - 129407 - 88808</t>
  </si>
  <si>
    <t>Laîche à deux étamines, Laîche arrondie, Laîche à tige arrondie</t>
  </si>
  <si>
    <t>127094 - 88470 - 88764</t>
  </si>
  <si>
    <t>Laîche digitée</t>
  </si>
  <si>
    <t>129376 - 107513 - 88636 - 116248 - 88609 - 113336 - 89139 - 88474 - 88635 - 971931 - 88472 - 145134</t>
  </si>
  <si>
    <t>Laîche dioïque</t>
  </si>
  <si>
    <t>88647 - 88736 - 88558 - 88476 - 88634</t>
  </si>
  <si>
    <t>Laîche à deux épis, Laîche à longues bractées</t>
  </si>
  <si>
    <t>88711 - 88660 - 88369 - 88873 - 88700 - 132680 - 132681 - 612425 - 88518 - 88356 - 621243 - 145136 - 161012 - 161011 - 88379 - 88477 - 145137 - 145135 - 88869 - 88872 - 88784 - 127095</t>
  </si>
  <si>
    <t>Laîche à épis distants, Laîche distante</t>
  </si>
  <si>
    <t>21 - 70 - 71 - 89 - 90</t>
  </si>
  <si>
    <t>88699 - 132820 - 145139 - 152912 - 129377 - 129388 - 89127 - 132683 - 88478 - 88553 - 88687 - 145138 - 88594</t>
  </si>
  <si>
    <t>Laîche distique</t>
  </si>
  <si>
    <t>88408 - 145147 - 88483 - 132750 - 1006186 - 132752 - 132812 - 129379 - 132689 - 88555 - 145148 - 88897 - 145144 - 88649 - 88770 - 132691 - 132755 - 88946 - 129385 - 152928 - 132751 - 161933 - 132749 - 619004</t>
  </si>
  <si>
    <t>Laîche écartée</t>
  </si>
  <si>
    <t>88489 - 152913 - 88554 - 88623 - 88701 - 129381 - 88889 - 145230 - 88375 - 145229 - 789315 - 145150 - 89137 - 145149 - 132693</t>
  </si>
  <si>
    <t>Laîche étoilée, Laîche-hérisson, Laîche épineuse</t>
  </si>
  <si>
    <t>88579 - 88491 - 132802 - 88891 - 88668 - 94935 - 145232 - 88547 - 88898 - 145233 - 132816 - 88822 - 129359 - 88574 - 145231 - 129406 - 88652</t>
  </si>
  <si>
    <t>Laîche raide, Laîche élevée</t>
  </si>
  <si>
    <t>88697 - 132697 - 88696 - 145151 - 89129 - 129382 - 88533 - 88493 - 88409 - 88479 - 129384 - 152914</t>
  </si>
  <si>
    <t>Laîche allongée</t>
  </si>
  <si>
    <t>88345 - 145152 - 619006 - 145153 - 152915 - 88540 - 89122 - 88692 - 145154 - 132698 - 88499 - 88427</t>
  </si>
  <si>
    <t>Laîche des bruyères, Laîche des landes</t>
  </si>
  <si>
    <t>127099 - 88510 - 88538</t>
  </si>
  <si>
    <t>88513 - 132714 - 88757 - 772582 - 88511 - 132712 - 127098 - 772581 - 88948 - 132709 - 132720 - 772583 - 145162 - 132759 - 145164 - 771611</t>
  </si>
  <si>
    <t>Laîche jaune, Laîche jaunâtre</t>
  </si>
  <si>
    <t>145192 - 88798 - 110057 - 88828 - 88330 - 132735 - 88557 - 88481 - 88329 - 88556 - 88911 - 88560 - 88327</t>
  </si>
  <si>
    <t>Laîche de Haller</t>
  </si>
  <si>
    <t>88413 - 129386 - 88562 - 88661</t>
  </si>
  <si>
    <t>Laîche des marais, Laîche des tourbières, Étoile des marais</t>
  </si>
  <si>
    <t>132738 - 88569 - 88570 - 613776 - 145196 - 132737 - 613775 - 145195 - 88944 - 127100</t>
  </si>
  <si>
    <t>Laîche hérissée</t>
  </si>
  <si>
    <t>88571 - 88875 - 88488 - 88643 - 88615 - 88790 - 145197 - 88824 - 88728 - 132739 - 88317 - 145198</t>
  </si>
  <si>
    <t>Laîche hispide</t>
  </si>
  <si>
    <t>88576 - 88575</t>
  </si>
  <si>
    <t>Laîche à épis d'orge, Laîche fausse Orge</t>
  </si>
  <si>
    <t>88578 - 88577 - 88881 - 619008 - 771614 - 772592 - 88549 - 132740</t>
  </si>
  <si>
    <t>Laîche de Host, Laîche fauve, Laîche blonde</t>
  </si>
  <si>
    <t>88855 - 88583 - 88536 - 127092 - 88429 - 88403 - 88789 - 88582</t>
  </si>
  <si>
    <t>Laîche humble</t>
  </si>
  <si>
    <t>88611 - 129390 - 88641 - 88528 - 129389 - 88625 - 88922 - 88627 - 88606 - 88346 - 88725</t>
  </si>
  <si>
    <t>Laîche de Lachenal</t>
  </si>
  <si>
    <t>95816 - 88563 - 145199 - 88383 - 88859 - 88608 - 88958 - 132736 - 88593 - 127101 - 88760</t>
  </si>
  <si>
    <t>Laîche lisse</t>
  </si>
  <si>
    <t>787602 - 6265 - 886138 - 787285 - 787603</t>
  </si>
  <si>
    <t>88507 - 88614 - 88887</t>
  </si>
  <si>
    <t>Laîche à fruits velus, Laîche filiforme, Laîche à fruits barbus</t>
  </si>
  <si>
    <t>5625 - 886176</t>
  </si>
  <si>
    <t>886218 - 886219</t>
  </si>
  <si>
    <t>132779 - 1006199 - 619005 - 132754 - 1006214 - 88525 - 132670 - 88421 - 1006206 - 132688 - 88621 - 132690 - 145205 - 88620 - 960935 - 1006198 - 152927 - 152926 - 154313 - 88782 - 145145 - 145146 - 88622 - 145215</t>
  </si>
  <si>
    <t>Laîche de Leers</t>
  </si>
  <si>
    <t>773211 - 88638 - 145163 - 88624 - 88807 - 145237 - 152916 - 132826 - 145236 - 773213 - 132710 - 145238 - 132713</t>
  </si>
  <si>
    <t>Laîche écailleuse</t>
  </si>
  <si>
    <t>88626 - 88444 - 154759 - 154760 - 619017 - 771619 - 129396 - 88742 - 89133</t>
  </si>
  <si>
    <t>Laîche patte-de-lièvre, Laîche des lièvres, Laîche à épis ovales</t>
  </si>
  <si>
    <t>786523 - 886265 - 843448 - 787496 - 788185</t>
  </si>
  <si>
    <t>88492 - 127102 - 88632 - 97928 - 88616 - 88539 - 145201 - 88531</t>
  </si>
  <si>
    <t>Laîche des tourbières, Laîche des vases, Laîche des bourbiers</t>
  </si>
  <si>
    <t>88669 - 88619 - 88726 - 88903</t>
  </si>
  <si>
    <t>Laîche à épis noirs</t>
  </si>
  <si>
    <t>88495 - 132746 - 88414 - 145203 - 88433 - 88691 - 619009 - 88546 - 145204 - 88768 - 616631 - 88439</t>
  </si>
  <si>
    <t>Laîche des montagnes</t>
  </si>
  <si>
    <t>89 - 90</t>
  </si>
  <si>
    <t>88702 - 612427 - 612428 - 132778 - 129393</t>
  </si>
  <si>
    <t>Laîche épineuse</t>
  </si>
  <si>
    <t>145184 - 132692 - 88424 - 132764 - 132762 - 773468 - 613778 - 132814 - 773343 - 132641 - 88890 - 132766 - 132765 - 132761 - 88894 - 88529 - 88316 - 88683 - 613777 - 145241 - 88596 - 145185 - 132833 - 88543 - 88780 - 132813 - 772605 - 88720 - 88710 - 145186 - 619013 - 88951 - 132722 - 619014 - 129360 - 155097 - 152923 - 88667 - 773342 - 145115 - 88419 - 773423 - 772606 - 145187 - 88333 - 619011 - 619012 - 132763 - 132723 - 132643 - 132728</t>
  </si>
  <si>
    <t>Laîche noire, Laîche commune, Laîche vulgaire</t>
  </si>
  <si>
    <t>88765 - 132678 - 88737</t>
  </si>
  <si>
    <t>129394 - 129395 - 88714 - 145127 - 88741 - 619001 - 88901 - 88613 - 88448 - 132836 - 88954 - 145242 - 789027 - 145128</t>
  </si>
  <si>
    <t>Laîche cuivrée</t>
  </si>
  <si>
    <t>88945 - 132757 - 88745 - 142260 - 619018 - 88705 - 88402 - 132753 - 132671</t>
  </si>
  <si>
    <t>Laîche de Paira</t>
  </si>
  <si>
    <t>145216 - 773362 - 127104 - 88748 - 619019 - 88679 - 88928 - 145217 - 88423 - 88747 - 773457</t>
  </si>
  <si>
    <t>Laîche pâlissante, Laîche pâle</t>
  </si>
  <si>
    <t>132781 - 127106 - 145218 - 88466 - 88694 - 88752 - 145219 - 88695</t>
  </si>
  <si>
    <t>Laîche panic, Laîche bleuâtre, Laîche millet</t>
  </si>
  <si>
    <t>129397 - 113337 - 89134 - 88753</t>
  </si>
  <si>
    <t>88332 - 88776 - 88756 - 145206 - 95819 - 88851 - 132654 - 88321 - 88719 - 619020 - 132760 - 88384 - 145207</t>
  </si>
  <si>
    <t>Laîche à petites fleurs</t>
  </si>
  <si>
    <t>127107 - 116249 - 88629 - 88758 - 89141 - 105825 - 88762</t>
  </si>
  <si>
    <t>Laîche pauciflore, Laîche à fleurs peu nombreuses</t>
  </si>
  <si>
    <t>88766 - 88707 - 127108 - 88665</t>
  </si>
  <si>
    <t>Laîche à épis pendants, Laîche pendante</t>
  </si>
  <si>
    <t>88713 - 88503 - 88774 - 106733 - 88363 - 88559</t>
  </si>
  <si>
    <t>Laîche poilue, Laîche pileuse</t>
  </si>
  <si>
    <t>25 - 70 - 71 - 90</t>
  </si>
  <si>
    <t>88461 - 127109 - 88775 - 88376</t>
  </si>
  <si>
    <t>127110 - 88817 - 88454 - 132656 - 129400 - 88355 - 129399 - 619023 - 132798 - 972498 - 129404 - 132796 - 132797 - 88397 - 89132 - 88568 - 88788 - 88861 - 109483 - 88910</t>
  </si>
  <si>
    <t>Laîche précoce, Laîche de Schreber</t>
  </si>
  <si>
    <t>88644 - 88826 - 127089 - 88794 - 88827 - 127091</t>
  </si>
  <si>
    <t>Laîche faux souchet</t>
  </si>
  <si>
    <t>116251 - 88797 - 116250 - 88802 - 129401 - 116253 - 89142</t>
  </si>
  <si>
    <t>Laîche puce</t>
  </si>
  <si>
    <t>21 - 70 - 71 - 89</t>
  </si>
  <si>
    <t>121750 - 133612 - 94921 - 619201 - 93973 - 888128</t>
  </si>
  <si>
    <t>Souchet de Michel</t>
  </si>
  <si>
    <t>89136 - 88367 - 129402 - 132801 - 88819 - 94934 - 88366</t>
  </si>
  <si>
    <t>Laîche espacée, Laîche à épis espacés</t>
  </si>
  <si>
    <t>88315 - 88833 - 88778 - 127111 - 88842 - 88501 - 88445</t>
  </si>
  <si>
    <t>Laîche des rives</t>
  </si>
  <si>
    <t>772075 - 88591 - 127086 - 619026 - 88382 - 772076 - 619027 - 773426 - 773425 - 132803 - 88646 - 88342 - 145120 - 88840</t>
  </si>
  <si>
    <t>Laîche rostrée, Laîche à becs, Laîche en ampoule, Laîche à utricules rostrés</t>
  </si>
  <si>
    <t>132756 - 88441 - 88704 - 129405 - 132748 - 88885</t>
  </si>
  <si>
    <t>Laîche en épi</t>
  </si>
  <si>
    <t>88542 - 88628 - 127112 - 88893</t>
  </si>
  <si>
    <t>Laîche maigre, Laîche à épis grêles</t>
  </si>
  <si>
    <t>88759 - 95821 - 88485 - 127113 - 88761 - 88618 - 88796 - 115980 - 88411 - 88588 - 88905 - 88494</t>
  </si>
  <si>
    <t>Laîche des bois</t>
  </si>
  <si>
    <t>88399 - 88405 - 132821 - 88916 - 127114 - 88883 - 88506 - 132822</t>
  </si>
  <si>
    <t>Laîche tomenteuse</t>
  </si>
  <si>
    <t>88783 - 88927 - 132795 - 88645</t>
  </si>
  <si>
    <t>58 - 89 - 90</t>
  </si>
  <si>
    <t>772620 - 88689 - 771636 - 88527 - 773366 - 127116 - 772619 - 88925 - 619025 - 88809 - 88942</t>
  </si>
  <si>
    <t>Laîche vésiculeuse, Laîche à utricules renflés</t>
  </si>
  <si>
    <t>132811 - 132718 - 772623 - 88803 - 145240 - 88740 - 88895 - 132717 - 88949 - 88598 - 88929 - 145239 - 132716 - 145209 - 88731 - 88854 - 771639 - 132830 - 132773 - 132831 - 88800 - 110095 - 145166 - 88605 - 127103 - 132769 - 132719 - 772622 - 152929 - 132832 - 88866 - 88730</t>
  </si>
  <si>
    <t>Laîche tardive, Laîche tardive</t>
  </si>
  <si>
    <t>95822 - 88541 - 129409 - 88952 - 89124 - 88435</t>
  </si>
  <si>
    <t>Laîche des renards</t>
  </si>
  <si>
    <t>772628 - 772625 - 772629 - 88698 - 88956 - 129410 - 88933 - 88678 - 771641 - 772624 - 88955 - 772626 - 772627 - 772630 - 771640</t>
  </si>
  <si>
    <t>Laîche fausse laîche des renards</t>
  </si>
  <si>
    <t>88998 - 88973 - 129420 - 88974 - 89022</t>
  </si>
  <si>
    <t>Laîche de Beckmann</t>
  </si>
  <si>
    <t>88995 - 88982</t>
  </si>
  <si>
    <t>Laîche de Daniel</t>
  </si>
  <si>
    <t>129414 - 89005</t>
  </si>
  <si>
    <t>Laîche d’Emma</t>
  </si>
  <si>
    <t>129415 - 89010</t>
  </si>
  <si>
    <t>Laîche de Figert</t>
  </si>
  <si>
    <t>89053 - 89012 - 88964 - 159979 - 145243 - 88990 - 616971 - 89017 - 88381 - 89054</t>
  </si>
  <si>
    <t>Laîche fauve, Laîche blonde</t>
  </si>
  <si>
    <t>129417 - 88975 - 89019</t>
  </si>
  <si>
    <t>Laîche de Fuss</t>
  </si>
  <si>
    <t>Laîche de Ilse</t>
  </si>
  <si>
    <t>89058 - 132784 - 88987 - 88968 - 132806 - 88979 - 89098</t>
  </si>
  <si>
    <t>Laîche errante</t>
  </si>
  <si>
    <t>89059 - 986401</t>
  </si>
  <si>
    <t>Laîche jaunâtre</t>
  </si>
  <si>
    <t>Laîche de Müller</t>
  </si>
  <si>
    <t>132659 - 89067</t>
  </si>
  <si>
    <t>Laîche de Ohmuller</t>
  </si>
  <si>
    <t>89075 - 89115</t>
  </si>
  <si>
    <t>Laîche de Paul</t>
  </si>
  <si>
    <t>89079 - 129426</t>
  </si>
  <si>
    <t>Laîche de Ploettner</t>
  </si>
  <si>
    <t>129427 - 89087</t>
  </si>
  <si>
    <t>Laîche toute maigre</t>
  </si>
  <si>
    <t>89105 - 89069 - 88967</t>
  </si>
  <si>
    <t>Laîche presque grêle</t>
  </si>
  <si>
    <t>89109 - 972493 - 89112 - 132817 - 89086 - 971936</t>
  </si>
  <si>
    <t>Laîche de la tourbe</t>
  </si>
  <si>
    <t>Laîche à fruits jaunes</t>
  </si>
  <si>
    <t>89147 - 91004 - 972502 - 89165 - 89152</t>
  </si>
  <si>
    <t>Carline sans tige, Carline acaule, Caméléon blanc</t>
  </si>
  <si>
    <t>21 - 70</t>
  </si>
  <si>
    <t>91007 - 89176 - 89174 - 89172 - 145252 - 89171 - 89177 - 132849 - 89178 - 89166 - 89180 - 152933 - 152934 - 132851</t>
  </si>
  <si>
    <t>Carline commune, Chardon doré</t>
  </si>
  <si>
    <t>89207 - 89202 - 145254 - 145253 - 89200 - 89204 - 89203 - 89209 - 89201 - 619031 - 132852 - 972503 - 89206 - 619032 - 89208</t>
  </si>
  <si>
    <t>Charme commun, Charme, Charmille</t>
  </si>
  <si>
    <t>111837 - 154877 - 111838 - 138489 - 89205 - 111839</t>
  </si>
  <si>
    <t>Charme houblon, Bois-de-fer</t>
  </si>
  <si>
    <t>104461 - 104465 - 85025 - 89233 - 89225 - 82301 - 104464 - 132853 - 85024 - 104459 - 85021 - 89226 - 104468 - 104471 - 101259 - 89625 - 89227 - 101258 - 104469 - 85026 - 89238 - 104463 - 102882 - 89242 - 89241 - 89236 - 110098 - 104462 - 88051 - 88136 - 89568 - 104466 - 89232 - 89548 - 110097 - 91957 - 87400 - 113255</t>
  </si>
  <si>
    <t>Carthame laineux, C, Faux safranentaurée laineuse</t>
  </si>
  <si>
    <t>892321 - 892320</t>
  </si>
  <si>
    <t>Cornouiller austral</t>
  </si>
  <si>
    <t>91977 - 89235 - 89230 - 89220 - 88052 - 110099</t>
  </si>
  <si>
    <t>Carthame très doux, Cardoncelle molle, Cardoncelle très douce, Mitine, Petit chardon sans épines</t>
  </si>
  <si>
    <t>89549 - 88211 - 89239</t>
  </si>
  <si>
    <t>Carthame des teinturiers, Centaurée des teinturiers, Safran bâtard</t>
  </si>
  <si>
    <t>145259 - 89247 - 122328 - 86986 - 123007 - 89263 - 83188 - 89257 - 123008 - 89261 - 145258 - 89266 - 89251 - 105916 - 104453 - 89250</t>
  </si>
  <si>
    <t>Cumin des prés, Carvi commun, Carvi, Anis des Vosges, Cumin des Vosges</t>
  </si>
  <si>
    <t>89305 - 97945 - 97944 - 145260 - 89304 - 89306</t>
  </si>
  <si>
    <t>Châtaignier cultivé, Châtaignier, Châtaignier commun</t>
  </si>
  <si>
    <t>772895 - 89322 - 103121 - 114187 - 89320 - 98046 - 132855 - 132854 - 149566 - 94892 - 80842 - 145267 - 132856 - 92188 - 100413 - 100379 - 89317 - 619034 - 114337 - 100371 - 89315 - 145266 - 107843 - 145264 - 145262 - 114360 - 145261 - 114102 - 100374 - 145265 - 143051 - 108716 - 143050 - 145263 - 772896 - 89316 - 143052</t>
  </si>
  <si>
    <t>Catabrose aquatique, Canche aquatique</t>
  </si>
  <si>
    <t>971194 - 89327 - 89323</t>
  </si>
  <si>
    <t>Catalpa fausse bignone, Catalpa, Arbre aux haricots</t>
  </si>
  <si>
    <t>145274 - 114270 - 127764 - 121863 - 86300 - 98346 - 98508 - 89335 - 94647 - 132858 - 146101 - 146102 - 145276 - 98361 - 121473 - 145275 - 89336 - 94649 - 132857 - 94650 - 86277 - 98509 - 94648 - 121873 - 127795</t>
  </si>
  <si>
    <t>Catapode maritime, Scléropoa marin</t>
  </si>
  <si>
    <t>95079 - 151324 - 146954 - 619035 - 151320 - 146957 - 121876 - 121868 - 114167 - 98501 - 114343 - 149814 - 146956 - 94651 - 121879 - 151328 - 146103 - 125372 - 100404 - 132861 - 151326 - 89338 - 145277 - 145278 - 149813 - 132860 - 121866 - 107778 - 149815 - 151322 - 151327 - 121880 - 145279 - 121881 - 114358 - 107780 - 151323 - 121875 - 121877 - 151329</t>
  </si>
  <si>
    <t>Catapode rigide, Pâturin rigide, Desmazérie rigide</t>
  </si>
  <si>
    <t>89401 - 89404 - 89415 - 89377 - 613481 - 89409 - 89379 - 94505 - 154767 - 154315 - 89405 - 94525 - 613482 - 92239 - 89420 - 89387 - 154769 - 94543 - 89385</t>
  </si>
  <si>
    <t>Caucalide à fruits larges, Caucalis à fruits larges, Caucalide à fruits aplatis, Caucalide à feuilles de carotte</t>
  </si>
  <si>
    <t>Caucalis platycarpos</t>
  </si>
  <si>
    <t>132867 - 619036 - 113644 - 113657 - 89452</t>
  </si>
  <si>
    <t>Cèdre de l'Atlas</t>
  </si>
  <si>
    <t>89454 - 145288 - 149492 - 145287 - 113655 - 79328</t>
  </si>
  <si>
    <t>Cèdre de l'Himalaya</t>
  </si>
  <si>
    <t>113650 - 89453 - 89457 - 105041 - 132866 - 619037 - 89456 - 112835 - 621117 - 89455 - 718666</t>
  </si>
  <si>
    <t>Cèdre du Liban, Cèdre du mont Liban</t>
  </si>
  <si>
    <t>89468 - 89469 - 89467 - 89471 - 89470</t>
  </si>
  <si>
    <t>Micocoulier de Provence, Micocoulier austral, Falabreguier</t>
  </si>
  <si>
    <t>162456 - 87388 - 122888 - 91624 - 89525 - 87414</t>
  </si>
  <si>
    <t>Centaurée rude</t>
  </si>
  <si>
    <t>87389 - 89531 - 87399 - 91972 - 88049 - 102790 - 85757 - 87889 - 87390 - 91949</t>
  </si>
  <si>
    <t>Centaurée bénie, Chardon béni, Cnicus béni, Cnicaut béni</t>
  </si>
  <si>
    <t>Cnicus benedictus</t>
  </si>
  <si>
    <t>102864 - 117570 - 123092 - 145303 - 87397 - 619040 - 145306 - 89542 - 132879 - 132878 - 89545 - 619041 - 152939 - 89648 - 87398 - 145307 - 89669 - 87411 - 961082 - 87413 - 145304 - 89636 - 87410 - 619042 - 145305</t>
  </si>
  <si>
    <t>Centaurée chausse-trape, Centaurée chausse-trappe</t>
  </si>
  <si>
    <t>89550 - 87392 - 132884 - 92209 - 123093 - 89551 - 89557</t>
  </si>
  <si>
    <t>Centaurée des collines</t>
  </si>
  <si>
    <t>89617 - 89732 - 89509 - 132990 - 132955 - 113280 - 152948 - 161133 - 621379 - 132915 - 89726 - 89593 - 89621 - 132888 - 103960 - 132985 - 940700 - 89831 - 159993 - 132886 - 132945 - 132901 - 145300 - 103959 - 123096 - 89592 - 89569 - 89739 - 89650 - 152940 - 132991 - 152956 - 89578 - 132887 - 132903 - 132948 - 89591 - 613654 - 132952 - 963727 - 132993 - 613656 - 132986 - 132947 - 89692 - 132910 - 89674 - 963721 - 940704 - 132870 - 89607 - 145313 - 152942 - 132889 - 89624 - 132871 - 89565 - 132987 - 132891 - 114039 - 132950 - 132914 - 132988 - 103956 - 145312 - 89704 - 152955 - 103966 - 89632 - 132907 - 152957 - 152954 - 89644 - 89547 - 132904 - 89762 - 89718 - 89723 - 89562 - 89579 - 132946 - 613651 - 161132 - 132989 - 132890 - 718328 - 132949 - 103967 - 613652 - 145369</t>
  </si>
  <si>
    <t>Centaurée trompeuse , Centaurée décevante, Centaurée de Debeaux, Centaurée des prés, Centaurée du Roussillon, Centaurée des bois, Centaurée d'Endress, Centaurée à appendice étroit</t>
  </si>
  <si>
    <t>89559 - 89672 - 972577 - 987436 - 132908 - 152941 - 132909 - 89619 - 972603 - 117574 - 103961 - 103958 - 1014767 - 123091 - 123095 - 103974 - 972578 - 93671 - 1014768 - 103978</t>
  </si>
  <si>
    <t>87403 - 122889 - 87408 - 127617 - 89706 - 124216 - 87402 - 87393 - 89639 - 89523</t>
  </si>
  <si>
    <t>Centaurée de Malte</t>
  </si>
  <si>
    <t>87404 - 89690 - 93675 - 89649 - 87415 - 122891 - 91626</t>
  </si>
  <si>
    <t>Centaurée à feuilles de Navet</t>
  </si>
  <si>
    <t>113279 - 103969 - 103982 - 161134 - 93676 - 114040 - 123098 - 117571 - 89653 - 132943 - 89657 - 132951 - 132911 - 89526</t>
  </si>
  <si>
    <t>Centaurée noire</t>
  </si>
  <si>
    <t>123099 - 89655 - 132912 - 132992 - 132892 - 103970</t>
  </si>
  <si>
    <t>Centaurée noircissante</t>
  </si>
  <si>
    <t>89659 - 967958 - 80098 - 117575 - 103971 - 89606 - 93677 - 124840</t>
  </si>
  <si>
    <t>119865 - 119864 - 93679 - 89697 - 89715 - 80103 - 92211 - 108020 - 103976</t>
  </si>
  <si>
    <t>89627 - 105762 - 145361 - 89710 - 87401 - 87386 - 89679 - 122887 - 133008 - 145362 - 105763 - 127618 - 124217 - 87409 - 123100 - 93681 - 122893 - 124215 - 133007 - 133006</t>
  </si>
  <si>
    <t>Centaurée du solstice</t>
  </si>
  <si>
    <t>80101 - 619045 - 80097 - 161124 - 132932 - 89664 - 132933 - 89716 - 132969 - 132968 - 89637 - 80104 - 80108 - 967955 - 132967 - 132883 - 89717 - 145315 - 89688 - 80109 - 80112 - 133013 - 80111 - 89645 - 133014 - 161126 - 132930 - 132934 - 161125</t>
  </si>
  <si>
    <t>Centaurée du Rhin, Centaurée rhénane, Centaurée maculée du Rhin, Centaurée maculée rhénane</t>
  </si>
  <si>
    <t>89785 - 89758 - 89761 - 89745 - 89759 - 89765 - 89809</t>
  </si>
  <si>
    <t>Centaurée de Pouzin</t>
  </si>
  <si>
    <t>97320 - 89833 - 89832 - 97289 - 90884 - 99874 - 89844 - 619052 - 105874 - 90885 - 102826 - 89840 - 619050 - 97294 - 89870 - 90892 - 89848 - 619051</t>
  </si>
  <si>
    <t>128414 - 109812 - 89880 - 133060 - 128381</t>
  </si>
  <si>
    <t>Centranthe à feuilles étroites</t>
  </si>
  <si>
    <t>25 - 70 - 71 - 89</t>
  </si>
  <si>
    <t>103095 - 128409 - 89882 - 89887 - 128440 - 161803 - 117832 - 128420 - 133058 - 128421 - 109813 - 89881 - 128430 - 128383 - 128388</t>
  </si>
  <si>
    <t>Centranthe chausse-trappe, Centranthe chausse-trape</t>
  </si>
  <si>
    <t>145380 - 89884 - 152964 - 133056 - 133057</t>
  </si>
  <si>
    <t>89885 - 89888 - 89883 - 128378 - 128432 - 128399 - 109814 - 128387</t>
  </si>
  <si>
    <t>128444 - 109815 - 89889 - 89886</t>
  </si>
  <si>
    <t>Centranthe à trois nervures</t>
  </si>
  <si>
    <t>Centranthus trinervis</t>
  </si>
  <si>
    <t>106028 - 89925 - 122808 - 96460 - 122821 - 96463 - 122790 - 122806 - 976734 - 89918 - 89924 - 122826 - 122795 - 89920 - 89922 - 89923 - 89927 - 619070 - 619069 - 96445 - 122812</t>
  </si>
  <si>
    <t>Céphalanthère à grandes fleurs, Céphalanthère pâle, Céphalanthère blanche, Elléborine blanche</t>
  </si>
  <si>
    <t>89933 - 96444 - 96441 - 122829 - 122880 - 89921 - 122814 - 106030 - 89926 - 151526 - 89919 - 614181</t>
  </si>
  <si>
    <t>Céphalanthère à feuilles longues, Céphalanthère à longues feuilles, Céphalanthère à feuilles en épée</t>
  </si>
  <si>
    <t>21 - 25 - 58 - 70 - 71 - 89 - 90</t>
  </si>
  <si>
    <t>96477 - 95256 - 122801 - 106033 - 101176 - 122832 - 96472 - 89928</t>
  </si>
  <si>
    <t>Céphalanthère rouge, Elléborine rouge</t>
  </si>
  <si>
    <t>89929 - 89931 - 89932</t>
  </si>
  <si>
    <t>Céphalanthère de Schulz</t>
  </si>
  <si>
    <t>121312 - 121407 - 89938 - 1017718 - 1017719 - 89946 - 105588 - 133064 - 121339 - 619073 - 125287 - 121399 - 89944 - 133065</t>
  </si>
  <si>
    <t>Céphalaire de Syrie</t>
  </si>
  <si>
    <t>Cephalaria syriaca</t>
  </si>
  <si>
    <t>125292 - 89945 - 121413 - 89935 - 130539 - 130538 - 1017717 - 614961</t>
  </si>
  <si>
    <t>Céphalaire de Transylvanie</t>
  </si>
  <si>
    <t>772516 - 90063 - 89990 - 105824 - 145395 - 90054 - 124971 - 133077 - 133083 - 90108 - 89968 - 90032 - 90034 - 89989 - 90059 - 159598 - 90057 - 89983 - 90090 - 90009 - 90104 - 89980 - 90003 - 90061 - 89897 - 90028 - 109046 - 90069</t>
  </si>
  <si>
    <t>89979 - 124977 - 90021 - 89972</t>
  </si>
  <si>
    <t>119786 - 133135 - 90020 - 89970 - 154319 - 161714 - 90075 - 97354 - 90118 - 89961 - 133125 - 145426 - 133097 - 125042 - 152969 - 90089 - 90109 - 90093 - 89998 - 90011</t>
  </si>
  <si>
    <t>Céraiste diffus, Céraiste à quatre étamines</t>
  </si>
  <si>
    <t>161701 - 90008 - 161700 - 133155</t>
  </si>
  <si>
    <t>Céraiste des sources</t>
  </si>
  <si>
    <t>124999 - 145408 - 89978 - 154321 - 89964 - 109112 - 145410 - 90027 - 707696 - 90010 - 90068 - 154323 - 125048 - 154325 - 154320 - 90122 - 90017 - 90121 - 145409 - 90067 - 90125</t>
  </si>
  <si>
    <t>Céraiste aggloméré, Oreille de souris</t>
  </si>
  <si>
    <t>133143 - 90103 - 133110 - 152968 - 619080 - 90035 - 145416 - 133128 - 152967 - 133132 - 90070 - 90019 - 1000086</t>
  </si>
  <si>
    <t>Céraiste glutineux, Céraiste pâle</t>
  </si>
  <si>
    <t>21 - 39 - 58 - 71 - 89 - 90</t>
  </si>
  <si>
    <t>89982 - 90045</t>
  </si>
  <si>
    <t>145417 - 133129 - 90133 - 90076 - 125032 - 133109 - 133156 - 90114 - 90025 - 133131 - 90064 - 619082 - 90018 - 90038 - 90047 - 619083 - 90044 - 145411 - 133124 - 133133 - 133130</t>
  </si>
  <si>
    <t>Céraiste nain</t>
  </si>
  <si>
    <t>133157 - 145419 - 145421 - 89996 - 133141 - 90117 - 145423 - 718668 - 89971 - 90073 - 133142 - 90086 - 133145 - 152966 - 89966 - 90091 - 89962 - 90006 - 90120 - 90048 - 133147 - 133139 - 109093 - 89901 - 619084 - 133149 - 90053 - 90126 - 145420 - 619081 - 145422 - 133146 - 90072 - 133127 - 133126 - 133144</t>
  </si>
  <si>
    <t>Céraiste à cinq étami étamines, Céraiste variable</t>
  </si>
  <si>
    <t>133152 - 89991 - 90001 - 90049 - 133153 - 89959 - 90082 - 109037 - 90111</t>
  </si>
  <si>
    <t>Céraiste tomenteux, Barbette, Oreille-de-souris</t>
  </si>
  <si>
    <t>90178 - 99068 - 95170 - 92582 - 87796 - 145694 - 133164</t>
  </si>
  <si>
    <t>Corydale à vrilles, Cératocapnos à vrilles</t>
  </si>
  <si>
    <t>98594 - 98766 - 90189 - 121492 - 144806 - 144802 - 98489 - 144804 - 90200 - 90192 - 86625 - 144805 - 86791 - 144808 - 86558 - 86564 - 144803 - 144814 - 90193 - 86552 - 144809 - 86670 - 130646 - 144701 - 90197 - 86803 - 86792 - 86766 - 90195 - 144700 - 90198 - 86528 - 122935 - 144801 - 144807 - 721635 - 90201 - 86749 - 145436 - 144800</t>
  </si>
  <si>
    <t>Brome cathartique, Cératochloa cathartique, Brome faux uniola, Brome purgatif</t>
  </si>
  <si>
    <t>902032 - 902029 - 902027 - 5674</t>
  </si>
  <si>
    <t>619087 - 90205 - 619086 - 90216 - 90220 - 145438 - 90206 - 94922 - 90223 - 90208 - 145437 - 619088 - 90224 - 133166 - 90207 - 90225</t>
  </si>
  <si>
    <t>Cératophylle nageant, Cératophylle immergé, Cornifle nageant, Cornifle immergé, Cératophylle épineux</t>
  </si>
  <si>
    <t>619089 - 619090 - 133167 - 90221 - 145439 - 90214</t>
  </si>
  <si>
    <t>Cératophylle à épines larges, Cornifle à épines larges</t>
  </si>
  <si>
    <t>90211 - 770523 - 90215 - 90226 - 770524 - 90222 - 90227 - 90218 - 90213 - 133168 - 90212</t>
  </si>
  <si>
    <t>Cératophylle submergé, Cornifle submergé, Cératophylle inerme</t>
  </si>
  <si>
    <t>114082 - 614969 - 90231 - 128505</t>
  </si>
  <si>
    <t>Cératostigma faux plumbago, Dentelaire de lady Larpent</t>
  </si>
  <si>
    <t>123699 - 133169 - 90235 - 90233 - 90234</t>
  </si>
  <si>
    <t>Arbre de Judée, Gainier de Judée, Gainier commun</t>
  </si>
  <si>
    <t>133174 - 90246 - 90262 - 90264 - 90251 - 90261 - 133175 - 133170 - 145440 - 90244</t>
  </si>
  <si>
    <t>90243 - 90257 - 619091 - 90259 - 90250 - 90254</t>
  </si>
  <si>
    <t>149305 - 90278 - 112855 - 112844 - 122333 - 111248 - 84960 - 619092 - 122347 - 90275 - 122332 - 90274 - 90273 - 84969 - 90272 - 105918 - 90277</t>
  </si>
  <si>
    <t>Cervaire de Rivinus, Herbe-aux-cerfs, Peucédan des cerfs, Peucédan herbe-aux-cerfs</t>
  </si>
  <si>
    <t>90307 - 145448 - 145449 - 93728 - 116588 - 93733 - 90309</t>
  </si>
  <si>
    <t>Cognassier du Japon, Pommier du Japon, Chénomèle du Japon</t>
  </si>
  <si>
    <t>152972 - 106192 - 106205 - 90316 - 83060 - 90321 - 145450 - 145451 - 90318 - 106233 - 133185 - 108521 - 137334</t>
  </si>
  <si>
    <t>90328 - 122323 - 85716 - 90355 - 90339 - 109153 - 973504 - 145456 - 121429 - 90342 - 109159 - 82949 - 93290 - 133195</t>
  </si>
  <si>
    <t>Cerfeuil doré, Chérophylle doré</t>
  </si>
  <si>
    <t>109155 - 121434 - 90330 - 90332 - 90341 - 90349 - 114488 - 133197 - 133196 - 619095</t>
  </si>
  <si>
    <t>Cerfeuil bulbeux, Cerfeuil à bulbe</t>
  </si>
  <si>
    <t>123362 - 133199 - 619097 - 145458 - 90346 - 133201 - 145461 - 133202 - 90348 - 85717 - 90338 - 90358 - 613484 - 613485 - 82948 - 109158 - 621693 - 121440 - 619096 - 133203 - 109162 - 117733 - 90334</t>
  </si>
  <si>
    <t>Cerfeuil hérissé, Chérophylle hérissé, Cerfeuil hirsute</t>
  </si>
  <si>
    <t>90356 - 85718 - 121447 - 109167 - 90354 - 121456 - 109166 - 114489</t>
  </si>
  <si>
    <t>Cerfeuil enivrant, Cerfeuil penché, Chérophylle penché, Couquet</t>
  </si>
  <si>
    <t>162442 - 90359 - 133198 - 133204</t>
  </si>
  <si>
    <t>88041 - 105552 - 946309 - 90394 - 90395 - 105553 - 105555</t>
  </si>
  <si>
    <t>Agripaume faux marrube, Chaiture faux marrube</t>
  </si>
  <si>
    <t>93571 - 90411 - 93582 - 93575</t>
  </si>
  <si>
    <t>Chamaecyparis de Lawson, Cyprès de Lawson, Petit-cyprès de Lawson</t>
  </si>
  <si>
    <t>4815 - 787386 - 456307 - 788293 - 786548 - 904181 - 904182</t>
  </si>
  <si>
    <t>435684 - 4812 - 434093 - 435683 - 435682 - 904185 - 904184 - 788414</t>
  </si>
  <si>
    <t>788687 - 436237 - 904305 - 6085 - 787804</t>
  </si>
  <si>
    <t>90555 - 82863 - 111307 - 143565 - 107053 - 90470 - 82864</t>
  </si>
  <si>
    <t>Camomille romaine, Camomille noble, Orménide noble, Chamémèle noble</t>
  </si>
  <si>
    <t>161253 - 90669 - 90666 - 145487 - 961384 - 133218 - 90668 - 90673 - 90675 - 145486 - 145489 - 90672</t>
  </si>
  <si>
    <t>940874 - 145490 - 90756 - 145492 - 133229 - 90832 - 90704 - 90797 - 133233 - 619102 - 773330 - 82787 - 90740 - 90815 - 90788 - 619101 - 90691 - 721642 - 90680 - 90795 - 987118 - 133221 - 90812 - 721641 - 90701 - 133232 - 90752 - 90714 - 90779 - 130053 - 90733 - 90775 - 90749 - 90783 - 90682 - 90765 - 773436 - 90681 - 90729 - 85036 - 90790 - 133230 - 90768 - 619103 - 90860 - 133220 - 90747 - 90834 - 90835 - 133227 - 973512 - 86207 - 90791</t>
  </si>
  <si>
    <t>133223 - 90736 - 90809 - 973514 - 82788 - 90724 - 90826</t>
  </si>
  <si>
    <t>Chénopode à feuilles de figuier, Chénopode tardif</t>
  </si>
  <si>
    <t>145491 - 90755 - 90754</t>
  </si>
  <si>
    <t>Chénopode à feuilles étroites, Chénopode à feuilles grêles</t>
  </si>
  <si>
    <t>82789 - 90836 - 90726 - 130061 - 133251 - 90774 - 85141</t>
  </si>
  <si>
    <t>Chénopode fétide, Chénopode vulvaire, Chénopode puant</t>
  </si>
  <si>
    <t>90921 - 154328 - 116858 - 90912 - 90920 - 791631 - 90910 - 90911 - 90917 - 145501 - 619112 - 90915 - 90918 - 90925</t>
  </si>
  <si>
    <t>Chloris en baguette</t>
  </si>
  <si>
    <t>90947 - 90957 - 160129 - 90951 - 90950 - 90943 - 90955 - 90952 - 133256 - 90969 - 145502 - 90942 - 90953 - 90941 - 90956 - 90967 - 90944 - 133257 - 90948 - 90940 - 90954 - 90949 - 90963</t>
  </si>
  <si>
    <t>Chondrille à tige de jonc, Chondrille effilée, Chondrille jonc, Chondrille jonciforme</t>
  </si>
  <si>
    <t>91119 - 91118</t>
  </si>
  <si>
    <t>Dorine à feuilles alternes, Cresson de rocher, Cresson doré, Hépatique dorée</t>
  </si>
  <si>
    <t>Dorine à feuilles opposées, Hépatique des marais</t>
  </si>
  <si>
    <t>102812 - 97905 - 98905 - 91132 - 99887 - 91134 - 108487</t>
  </si>
  <si>
    <t>Cicendie filiforme</t>
  </si>
  <si>
    <t>91136 - 91138 - 133280 - 129116 - 91141 - 91142 - 109682</t>
  </si>
  <si>
    <t>Pois chiche, Tête-de-bélier</t>
  </si>
  <si>
    <t>96074 - 91167 - 133289 - 91173 - 145531 - 145532 - 91162 - 91171 - 91168 - 91161 - 133291 - 91169 - 91159 - 133290 - 91163 - 91175</t>
  </si>
  <si>
    <t>Chicorée sauvage, Chicorée amère, Barbe-de-capucin</t>
  </si>
  <si>
    <t>91198 - 91201 - 91193 - 92457 - 91199 - 91187 - 91205 - 160106 - 91196</t>
  </si>
  <si>
    <t>Ciguë vireuse, Ciguë aquatique, Ciguë vénéneuse, Cicutaire vireuse</t>
  </si>
  <si>
    <t>91260 - 117422 - 133300 - 91257 - 91256 - 89187</t>
  </si>
  <si>
    <t>117423 - 89186 - 91261 - 1002758 - 91265 - 109792 - 133302 - 133301 - 1002761 - 91262 - 91258 - 91264 - 91259</t>
  </si>
  <si>
    <t>Circée de Paris, Circée commune, Herbe des sorcières, Herbe aux sorcières</t>
  </si>
  <si>
    <t>133299 - 91255 - 91267 - 1002060 - 145535 - 145536 - 91266 - 1002055 - 109793 - 1002061</t>
  </si>
  <si>
    <t>Circée intermédiaire</t>
  </si>
  <si>
    <t>133306 - 617183 - 122968 - 91324 - 91288 - 145541 - 88076 - 91348 - 93794 - 122943 - 91276 - 145547 - 91947 - 145538 - 133305 - 122969 - 145549 - 145542 - 619113 - 145543 - 91355 - 91298 - 133388 - 145551 - 145540 - 122938 - 145548 - 103940 - 91287 - 88201 - 89949 - 91291 - 772392 - 122956 - 145546 - 91347 - 91416 - 772391 - 145545 - 122958 - 145550 - 145539 - 91320 - 145544 - 91991 - 91357 - 145552 - 89948 - 91289 - 91350 - 91411 - 91950 - 91407 - 86471 - 91406</t>
  </si>
  <si>
    <t>Cirse des champs, Chardon des champs, Calcide</t>
  </si>
  <si>
    <t>912989 - 912986</t>
  </si>
  <si>
    <t>133307 - 91391 - 88188 - 88069 - 91322 - 91984 - 91284 - 88109 - 88098 - 133338 - 152986 - 133339</t>
  </si>
  <si>
    <t>Cirse découpé, Cirse des prairies, Cirse anglais, Cirse d'Angleterre</t>
  </si>
  <si>
    <t>145559 - 125959 - 133315 - 619116 - 91389 - 96501 - 91327 - 133312 - 91962 - 145558 - 91381 - 152983 - 93787 - 133321 - 133314 - 145557 - 91405 - 91425 - 91373 - 91372 - 145555 - 133325 - 88114 - 91339 - 619115 - 91326</t>
  </si>
  <si>
    <t>Cirse laineux, Cirse aranéeux</t>
  </si>
  <si>
    <t>619117 - 91959 - 91340 - 161340 - 88115 - 91376 - 91328</t>
  </si>
  <si>
    <t>Cirse érisithale, Cirse glutineux, Cirse érisithalès</t>
  </si>
  <si>
    <t>91985 - 91980 - 122964 - 91414 - 91283 - 91334 - 88055 - 88169 - 88110 - 88123 - 91378 - 93784 - 91426 - 110301</t>
  </si>
  <si>
    <t>Cirse potager, Cirse maraîcher, Cirse des maraîchers, Chardon des potagers</t>
  </si>
  <si>
    <t>91382 - 91973 - 145583 - 91982 - 88095 - 133334 - 88171 - 114506 - 93793 - 110302 - 88134 - 91317 - 91306</t>
  </si>
  <si>
    <t>Cirse des marais, Bâton-du-diable</t>
  </si>
  <si>
    <t>88195 - 91418 - 161869 - 133326 - 88198 - 91402 - 91398 - 88116 - 122966 - 91987 - 91989 - 88214</t>
  </si>
  <si>
    <t>Cirse des ruisseaux, Cirse de Salzbourg</t>
  </si>
  <si>
    <t>133324 - 133323 - 91409 - 133389 - 145561 - 91993</t>
  </si>
  <si>
    <t>Cirse spatulé</t>
  </si>
  <si>
    <t>91285 - 91343 - 91422 - 91997 - 91392 - 88084 - 145585 - 152988 - 91296 - 103942 - 133340 - 88215 - 91396</t>
  </si>
  <si>
    <t>Cirse tubéreux, Cirse bulbeux</t>
  </si>
  <si>
    <t>91362 - 91385 - 88138 - 974338 - 91974 - 88221 - 96840 - 91430 - 91280 - 91356 - 91995 - 91413</t>
  </si>
  <si>
    <t>91436 - 88271</t>
  </si>
  <si>
    <t>Cirse alpestre</t>
  </si>
  <si>
    <t>91446 - 91584 - 91454 - 91520</t>
  </si>
  <si>
    <t>Cirse de Boulay</t>
  </si>
  <si>
    <t>91576 - 91579 - 92001 - 91486</t>
  </si>
  <si>
    <t>Cirse fausse roquette</t>
  </si>
  <si>
    <t>91542 - 91591 - 619118 - 91606 - 92003 - 91496</t>
  </si>
  <si>
    <t>Cirse de Forster</t>
  </si>
  <si>
    <t>Cirse de Galissier</t>
  </si>
  <si>
    <t>145588 - 145589 - 91519 - 91502 - 91547 - 91495 - 91504</t>
  </si>
  <si>
    <t>Cirse de Gerhardt</t>
  </si>
  <si>
    <t>Cirse de Heer</t>
  </si>
  <si>
    <t>91531 - 91517 - 92005 - 91538 - 91481 - 91493 - 91448 - 91530 - 92006 - 91555</t>
  </si>
  <si>
    <t>Cirse hybride</t>
  </si>
  <si>
    <t>91553 - 91518</t>
  </si>
  <si>
    <t>Cirse inerme, Cirse sans épines</t>
  </si>
  <si>
    <t>91325 - 91475 - 91452 - 91561</t>
  </si>
  <si>
    <t>Cirse élégant, Cirse de Csepel</t>
  </si>
  <si>
    <t>91564 - 91583</t>
  </si>
  <si>
    <t>Cirse de Reichenbach</t>
  </si>
  <si>
    <t>91522 - 88292 - 91568 - 91477 - 133347 - 133348</t>
  </si>
  <si>
    <t>Cirse raide</t>
  </si>
  <si>
    <t>91526 - 91578 - 91552 - 91529</t>
  </si>
  <si>
    <t>Cirse à feuilles semidécurrentes</t>
  </si>
  <si>
    <t>Cirse de Sennen</t>
  </si>
  <si>
    <t>133350 - 91593 - 91532 - 91483 - 91613 - 91505 - 133349 - 91559 - 91550 - 91554 - 91570</t>
  </si>
  <si>
    <t>Cirse subalpin</t>
  </si>
  <si>
    <t>91462 - 91598</t>
  </si>
  <si>
    <t>Cirse</t>
  </si>
  <si>
    <t>91506 - 91614 - 88310 - 91595</t>
  </si>
  <si>
    <t>Cirse de Woodward</t>
  </si>
  <si>
    <t>152998 - 145605 - 145603 - 145606 - 152995 - 91649 - 91650 - 105398 - 91715 - 105394 - 145607 - 91661 - 105386 - 145608 - 105392 - 105389 - 152997 - 91690 - 152993 - 105387 - 105395 - 105397 - 152996 - 145604 - 152994 - 152992 - 91701 - 91714 - 105393 - 91673</t>
  </si>
  <si>
    <t>Ciste à feuilles de sauge, Mondré</t>
  </si>
  <si>
    <t>101001 - 91727 - 105897 - 147609 - 100728 - 91634</t>
  </si>
  <si>
    <t>82859 - 111304 - 111306 - 82851 - 90472 - 90468 - 82829 - 107424 - 91819 - 1014784</t>
  </si>
  <si>
    <t>Cladanthe mixte, Orménide mixte, Camomille mixte, Anthémis panaché</t>
  </si>
  <si>
    <t>619124 - 91820 - 619125 - 632521 - 121711 - 91823 - 107373 - 619126 - 91822 - 99216 - 91824 - 619128 - 121568 - 121575</t>
  </si>
  <si>
    <t>Marisque, Cladium des marais, Cladium marisque</t>
  </si>
  <si>
    <t>108794 - 106015 - 91848 - 133375</t>
  </si>
  <si>
    <t>Claytonie perfoliée, Claytonia perfoliée</t>
  </si>
  <si>
    <t>91853 - 85031 - 85029 - 91855 - 145617 - 85028</t>
  </si>
  <si>
    <t>Clématite des Alpes, Atragène des Alpes</t>
  </si>
  <si>
    <t>145628 - 91884 - 145624 - 91860 - 145630 - 145627 - 133379 - 91876 - 91869 - 153000 - 107518 - 91858 - 91867 - 91873 - 91871 - 145625 - 91868 - 91854 - 145626 - 145629 - 153001</t>
  </si>
  <si>
    <t>Clématite flammette, Clématite brûlante, Clématite flamme, Clématite odorante</t>
  </si>
  <si>
    <t>161750 - 91892 - 91880 - 161751 - 91861 - 91866</t>
  </si>
  <si>
    <t>Clématite droite, Clématite dressée</t>
  </si>
  <si>
    <t>91865 - 91864 - 145633 - 91886 - 91863 - 91893 - 91857 - 145635 - 91875 - 91885 - 91881 - 619129 - 91878 - 91883 - 145634</t>
  </si>
  <si>
    <t>Clématite des haies, Clématite vigne blanche, Herbe aux gueux</t>
  </si>
  <si>
    <t>91872 - 91887 - 129920</t>
  </si>
  <si>
    <t>Clématite petite vigne, Clématite fausse vigne, Clématite bleue</t>
  </si>
  <si>
    <t>132410 - 140592 - 619136 - 140587 - 126567 - 132409 - 87355 - 87362 - 107991 - 107993 - 87335 - 140582 - 87360 - 619134 - 87349 - 87354 - 120909 - 132401 - 87351 - 107988 - 140585 - 140586 - 140579 - 140584 - 87338 - 619139 - 132408 - 87334 - 153954 - 87352 - 87344 - 619137 - 97981 - 87346 - 87343 - 91910 - 619138 - 160105 - 1012174 - 97982</t>
  </si>
  <si>
    <t>974463 - 133382 - 120923 - 772779 - 91911 - 772151 - 126507 - 107998 - 772780 - 126574 - 87336 - 107979 - 133380 - 91899 - 91906 - 107983 - 120891 - 133381 - 97979 - 772781 - 91912 - 772778 - 87363 - 140593</t>
  </si>
  <si>
    <t>Clinopode commun, Calament clinopode, Sarriette commune, Grand basilic</t>
  </si>
  <si>
    <t>92095 - 92097 - 120948 - 120939 - 92093 - 114017 - 120940 - 161951 - 111017 - 96095 - 100699 - 111015 - 110805 - 110810 - 133397 - 112718 - 112717 - 92096 - 120932 - 94289</t>
  </si>
  <si>
    <t>Coeloglosse vert, Orchis grenouille, Dactylorhize vert, Orchis vert</t>
  </si>
  <si>
    <t>123854 - 159569 - 159565 - 92106</t>
  </si>
  <si>
    <t>Coincye de Mona, Moutarde giroflée de Mona, Chou giroflée de Mona</t>
  </si>
  <si>
    <t>92133 - 92170 - 92164 - 92157 - 92156 - 92130 - 92168 - 92169 - 92158 - 92135 - 92153 - 153014 - 92127</t>
  </si>
  <si>
    <t>Colchique d'automne, Safran des prés</t>
  </si>
  <si>
    <t>92141 - 619150 - 92149</t>
  </si>
  <si>
    <t>Colchique à fleurs nombreuses</t>
  </si>
  <si>
    <t>145526 - 145527 - 107465 - 92174 - 92175 - 104708 - 91046 - 90469 - 108965 - 108964 - 91061 - 116512 - 108962</t>
  </si>
  <si>
    <t>Coléostèphe de Mykonos, Chrysanthème de Mykonos</t>
  </si>
  <si>
    <t>92178 - 145656 - 92179 - 109461 - 619151 - 145658 - 92180 - 145659 - 153015 - 145657 - 100254</t>
  </si>
  <si>
    <t>Collomie à grandes fleurs, Collomie écarlate</t>
  </si>
  <si>
    <t>133407 - 92200 - 85484 - 92196 - 92202</t>
  </si>
  <si>
    <t>Baguenaudier, Arbre à vessies</t>
  </si>
  <si>
    <t>98839 - 150144 - 115630 - 773649 - 772947 - 112066 - 92217 - 83715 - 773648 - 772946 - 150145 - 92213 - 92219 - 92214 - 115587 - 772948 - 620329 - 98842 - 115442 - 150143</t>
  </si>
  <si>
    <t>Comaret des marais, Potentille des marais</t>
  </si>
  <si>
    <t>91191 - 968033 - 123946 - 92236 - 91192 - 973939 - 92233 - 91195 - 92237 - 92462 - 92240 - 92456 - 92235 - 974647 - 122337 - 91200 - 92238</t>
  </si>
  <si>
    <t>86994 - 133410 - 153017 - 92247 - 109156 - 92242 - 86991 - 92241 - 89252 - 86932 - 86990 - 86984 - 145661 - 113565 - 89267 - 123779</t>
  </si>
  <si>
    <t>86965 - 86409 - 161184 - 97180 - 619153 - 97246 - 83362 - 614953 - 97175 - 92255 - 92253 - 97238 - 97174 - 161183 - 100553 - 92254 - 86452 - 97182 - 619152 - 92252 - 97211 - 86407 - 97247 - 83283 - 92251</t>
  </si>
  <si>
    <t>Conringie d'Orient, Vélar d'Orient, Roquette d'orient</t>
  </si>
  <si>
    <t>Conringia orientalis</t>
  </si>
  <si>
    <t>145662 - 107164 - 92282 - 92291 - 92280 - 114610 - 92283 - 92278 - 92275</t>
  </si>
  <si>
    <t>Muguet de mai, Muguet, Clochette des bois</t>
  </si>
  <si>
    <t>91616 - 92312 - 92302 - 92332 - 125233 - 145668 - 92311 - 92319 - 92338 - 106420 - 92304 - 92298 - 145669 - 92350 - 133421 - 92344 - 145670 - 145671</t>
  </si>
  <si>
    <t>Liseron des champs, Vrillée, Petit liseron</t>
  </si>
  <si>
    <t>92330 - 109492 - 92367 - 92318 - 92310 - 92315 - 92308 - 92333 - 92362</t>
  </si>
  <si>
    <t>Liseron des monts Cantabriques, Liseron de Cantabrie, Herbe de Biscaye</t>
  </si>
  <si>
    <t>132455 - 92316 - 87558 - 132459 - 92314</t>
  </si>
  <si>
    <t>Liseron douteux, Liseron joli</t>
  </si>
  <si>
    <t>92349 - 129975 - 718334 - 145677 - 92346 - 87560 - 145004 - 92328 - 132457 - 132454 - 92353 - 92334 - 145678</t>
  </si>
  <si>
    <t>Liseron des haies, Liset, Calystégie des haies</t>
  </si>
  <si>
    <t>92360 - 132458 - 618970 - 87561 - 92325 - 92357 - 145005 - 87555 - 87554 - 87557 - 87563 - 133425 - 618971 - 129976</t>
  </si>
  <si>
    <t>Liseron des forêts, Liseron des bois</t>
  </si>
  <si>
    <t>143254 - 131178 - 81484 - 92088 - 81486 - 131177 - 1014785 - 81421 - 923594 - 143253 - 789051 - 81365 - 81407</t>
  </si>
  <si>
    <t>Ail à spathe longue, Ail à longue spathe</t>
  </si>
  <si>
    <t>92336 - 92366 - 92364 - 145679 - 106421 - 87755 - 92345</t>
  </si>
  <si>
    <t>Liseron tricolore, Belle-de-jour</t>
  </si>
  <si>
    <t>143993 - 923640 - 131819 - 958647 - 618829 - 958646 - 958651 - 618830 - 958649 - 84470 - 923746 - 131823 - 618831 - 84486 - 131816 - 143991 - 618832 - 958648 - 84487 - 84517 - 958650 - 958652</t>
  </si>
  <si>
    <t>Doradille du Forez</t>
  </si>
  <si>
    <t>135437 - 923809 - 101711 - 135459</t>
  </si>
  <si>
    <t>Épervière bifide</t>
  </si>
  <si>
    <t>772055 - 93766 - 92417 - 92423 - 619158 - 92419 - 773102 - 773103 - 773101 - 773697 - 92420 - 109502 - 521627 - 92416 - 110373 - 92415 - 92421 - 96437 - 92418 - 101162 - 92414 - 92422 - 772774</t>
  </si>
  <si>
    <t>Racine-de-corail, Corallorhize trifide, Coralline</t>
  </si>
  <si>
    <t>92460 - 92463 - 707810 - 92459 - 92464 - 122339 - 92465</t>
  </si>
  <si>
    <t>Coriandre cultivée, Cotomili, Coriandre, Persil arabe</t>
  </si>
  <si>
    <t>92468 - 92467 - 92469</t>
  </si>
  <si>
    <t>Corroyère à feuilles de myrte, Redoul, Herbe-aux-tanneurs</t>
  </si>
  <si>
    <t>116494 - 116608 - 107215 - 116609 - 108417 - 92488 - 92822 - 116141 - 116581 - 124319 - 124343</t>
  </si>
  <si>
    <t>Cormier, Sorbier domestique</t>
  </si>
  <si>
    <t>92503 - 92495 - 92499 - 92500 - 92498 - 92497</t>
  </si>
  <si>
    <t>Cornouiller mâle, Cornouiller sauvage</t>
  </si>
  <si>
    <t>126272 - 92501 - 125320</t>
  </si>
  <si>
    <t>92528 - 92515 - 92545 - 111407 - 619162</t>
  </si>
  <si>
    <t>Coronille couronnée, Coronille des montagnes, Coronille en couronne</t>
  </si>
  <si>
    <t>161876 - 92527 - 92514 - 111416</t>
  </si>
  <si>
    <t>121916 - 111402 - 84093 - 92536 - 111426 - 111403 - 614947 - 121934 - 85448 - 92542 - 111425</t>
  </si>
  <si>
    <t>Coronille scorpion, Coronille faux scorpion, Queue-de-scorpion</t>
  </si>
  <si>
    <t>92543 - 133437</t>
  </si>
  <si>
    <t>Coronille vaginée, Coronille engainée</t>
  </si>
  <si>
    <t>133441 - 974833 - 111428 - 92533 - 87463 - 122098 - 145691 - 92522 - 92532 - 84841 - 140842 - 974824 - 92546</t>
  </si>
  <si>
    <t>Coronille variée, Coronille changeante, Coronille bigarrée, Sécurigère bigarrée, Sécurigère variée</t>
  </si>
  <si>
    <t>145692 - 92566 - 99153 - 114622 - 112449</t>
  </si>
  <si>
    <t>Corrigiole du littoral, Corrigiole des grèves, Courroyette des sables, Corrigiole des rives</t>
  </si>
  <si>
    <t>92569 - 100666 - 619163 - 84216 - 100664 - 92570 - 92572 - 108800 - 92571 - 100665 - 84172</t>
  </si>
  <si>
    <t>Herbe de la pampa, Herbe des pampas</t>
  </si>
  <si>
    <t>113754 - 133451 - 86159 - 99065 - 87795 - 116199 - 92577 - 86919 - 92580 - 147190 - 134756 - 92581 - 619164 - 92595 - 87790 - 86924 - 92598 - 133448 - 86929</t>
  </si>
  <si>
    <t>Corydale creuse, Corydale bulbeuse, Fumeterre creuse</t>
  </si>
  <si>
    <t>613628 - 92594 - 86161 - 86920 - 133452 - 133454 - 92585 - 147192 - 86927 - 92596 - 92583 - 99056 - 87798 - 145695 - 92588 - 621453 - 993866 - 99096 - 613629 - 133453 - 145696 - 145697 - 86928 - 87793 - 92584 - 113758 - 116200 - 113753 - 161058 - 99084 - 87791 - 134758 - 133450 - 161260 - 99103 - 161259 - 133455 - 621452 - 92597 - 92579 - 92590 - 86922</t>
  </si>
  <si>
    <t>Corydale solide</t>
  </si>
  <si>
    <t>92601 - 92599 - 92600</t>
  </si>
  <si>
    <t>Corydale</t>
  </si>
  <si>
    <t>92608 - 92610 - 92606</t>
  </si>
  <si>
    <t>Noisetier commun, Noisetier, Coudrier, Avelinier</t>
  </si>
  <si>
    <t>974838 - 92607</t>
  </si>
  <si>
    <t>Noisetier de Byzance, Coudrier de Byzance</t>
  </si>
  <si>
    <t>145705 - 145703 - 92618 - 143056 - 85220 - 145704 - 145710 - 145706 - 80854 - 145709 - 143054 - 80929 - 145702 - 130078 - 80589 - 92614 - 145708 - 145707 - 143055</t>
  </si>
  <si>
    <t>Corynéphore blanchissant, Corynéphore blanchâtre, Canche des sables, Canche blanchâtre</t>
  </si>
  <si>
    <t>Cosmos bipenné, Cosmos</t>
  </si>
  <si>
    <t>92624 - 632748 - 920092 - 920086 - 920091</t>
  </si>
  <si>
    <t>Cosmos soufré</t>
  </si>
  <si>
    <t>131439 - 131437 - 82837 - 107482 - 612449 - 92629 - 143568 - 90478 - 621689 - 82884 - 612448</t>
  </si>
  <si>
    <t>Anthémide des teinturiers, Camomille des teinturiers, Cota des teinturiers</t>
  </si>
  <si>
    <t>143570 - 82874 - 82840 - 92630 - 90452 - 131438 - 131440 - 90459 - 82841 - 82839 - 82823 - 82887 - 82825 - 131441 - 92626 - 82317 - 90480 - 161865 - 82877</t>
  </si>
  <si>
    <t>Anthémide de Trionfetti, Camomille de Trionfetti, Cota de Trionfetti</t>
  </si>
  <si>
    <t>92631 - 150582 - 117713 - 117720</t>
  </si>
  <si>
    <t>Arbre à perruque, Sumac fustet, Fustet, Fustet des teinturiers</t>
  </si>
  <si>
    <t>92701 - 145714 - 792116 - 718672 - 811123 - 92642 - 145715</t>
  </si>
  <si>
    <t>Cotonéaster boursouflé</t>
  </si>
  <si>
    <t>145717 - 92649 - 993869 - 92664</t>
  </si>
  <si>
    <t>Cotonéaster de Dammer</t>
  </si>
  <si>
    <t>Cotonéaster divariqué</t>
  </si>
  <si>
    <t>92713 - 993858 - 993855 - 145720 - 92707 - 92658 - 145719 - 92636</t>
  </si>
  <si>
    <t>Cotonéaster de Franchet</t>
  </si>
  <si>
    <t>619166 - 92662 - 92693 - 92640 - 717149 - 92663</t>
  </si>
  <si>
    <t>Cotonéaster horizontal</t>
  </si>
  <si>
    <t>92660 - 92686 - 100658 - 111832 - 108412 - 92669 - 92708 - 92712 - 92667 - 116578</t>
  </si>
  <si>
    <t>Cotonéaster commun, Cotonéaster sauvage, Cotonéaster vulgaire</t>
  </si>
  <si>
    <t>97867 - 926940 - 81975 - 81974</t>
  </si>
  <si>
    <t>Amaranthe à feuilles crépues, Amarante crépue</t>
  </si>
  <si>
    <t>621340 - 926965 - 926964</t>
  </si>
  <si>
    <t>942589 - 92698</t>
  </si>
  <si>
    <t>Cotonéaster des Pyrénées</t>
  </si>
  <si>
    <t>718944 - 160109 - 993909 - 993915 - 993908 - 993876 - 993887 - 92704 - 718943 - 92703 - 92657</t>
  </si>
  <si>
    <t>Cotonéaster à feuilles de Saule</t>
  </si>
  <si>
    <t>108437 - 993932 - 92688 - 993942 - 133460 - 92710 - 108434 - 108420 - 111833 - 993934 - 993944 - 100657 - 993945 - 108410 - 92681 - 993943 - 108428</t>
  </si>
  <si>
    <t>Cotonéaster tomenteux</t>
  </si>
  <si>
    <t>Cotonéaster de Suède</t>
  </si>
  <si>
    <t>108383 - 126683 - 92806 - 155104 - 122273 - 92800</t>
  </si>
  <si>
    <t>Crassule tillée,Tillée mousse, Crassule mousse, Mousse fleurie</t>
  </si>
  <si>
    <t>86958 - 126688 - 126686 - 92807 - 86959 - 122133</t>
  </si>
  <si>
    <t>Crassule de Vaillant, Tillée de Vaillant, Bulliarde de Vaillant</t>
  </si>
  <si>
    <t>92840 - 154340 - 92869 - 92884 - 92827 - 92850 - 92832 - 108414 - 92825 - 92852 - 108415 - 154339</t>
  </si>
  <si>
    <t>Aubépine pied-de-coq, Aubépine de Virginie, Ergot-de_Coq, Aubépine ergot-de-coq</t>
  </si>
  <si>
    <t>148707 - 108421 - 108418 - 108442 - 111834 - 108411 - 148704 - 108441 - 148705 - 108408 - 92874 - 92854 - 148706 - 108401 - 108436</t>
  </si>
  <si>
    <t>Néflier d'Allemagne, Néflier</t>
  </si>
  <si>
    <t>145745 - 108425 - 108416 - 974899 - 145740 - 133490 - 92883 - 145746 - 92918 - 92864 - 133470 - 92839 - 133492 - 92882 - 92908 - 108430 - 619173 - 148710 - 111940</t>
  </si>
  <si>
    <t>Aubépine à deux styles, Aubépine lisse, Noble épine</t>
  </si>
  <si>
    <t>108413 - 92872 - 92843 - 148711 - 92846 - 108427 - 145734 - 111935 - 133487 - 92861 - 133480 - 108432 - 619177 - 92876 - 133478 - 92828 - 92831 - 133485 - 133474 - 145736 - 145731 - 961543 - 92845 - 92830 - 145730 - 111936 - 133465 - 92895 - 92867 - 133481 - 133473 - 92880 - 92887 - 92873 - 111941 - 92968 - 92894 - 92865 - 987610 - 92904 - 92858 - 108407 - 145732 - 108422 - 148708 - 108440 - 619176 - 92848 - 133477 - 133475 - 145738 - 133488 - 133486 - 92813 - 108419 - 92890 - 92889 - 145739 - 92810 - 137801 - 92859 - 148709 - 108426 - 92823 - 92817 - 145744 - 92866 - 92809 - 111939 - 92917 - 92905 - 92909</t>
  </si>
  <si>
    <t>Aubépine à un style, Épine noire, Bois de mai, Aubépine monogyne</t>
  </si>
  <si>
    <t>145747 - 153026 - 92897 - 92870 - 145743 - 145733 - 92862 - 111938 - 92912 - 92833 - 162657 - 92875 - 133469 - 133493 - 92913 - 108429 - 92847 - 133467 - 92907 - 92841 - 133494 - 92818 - 92900 - 133479 - 92853 - 92881 - 133468 - 133466 - 111835 - 92826 - 92842 - 92896 - 160013</t>
  </si>
  <si>
    <t>Aubépine rosiforme, Aubépine de Lindman, Aubépine à feuilles en éventail</t>
  </si>
  <si>
    <t>619169 - 108443 - 130220 - 108444 - 92943 - 991126</t>
  </si>
  <si>
    <t>Aubépine lobée</t>
  </si>
  <si>
    <t>92949 - 111945 - 92958 - 145752 - 92921 - 619174 - 108424 - 145741 - 133489 - 92947 - 111942 - 92925 - 92965 - 92942 - 92945 - 92919 - 619175 - 133476 - 92959 - 133471 - 92923 - 133498 - 92956 - 92955 - 92931 - 145749 - 92834 - 92924 - 133497 - 133484 - 145742 - 145753 - 153025 - 145754</t>
  </si>
  <si>
    <t>Aubépine à gros fruits</t>
  </si>
  <si>
    <t>145737 - 92929 - 148712 - 111946 - 92948 - 92938 - 92952</t>
  </si>
  <si>
    <t>Aubépine intermédiaire, Aubépine à feuilles ovales</t>
  </si>
  <si>
    <t>133495 - 92944 - 92961 - 92933 - 92936 - 92927 - 92967 - 92926 - 133483 - 92964 - 92920 - 92957 - 92951 - 145751 - 111944 - 92930 - 92928 - 92934 - 92899 - 92946 - 92941 - 145748 - 133496 - 92960 - 92922 - 92963 - 92954 - 92932 - 92953 - 92966 - 145750 - 92950 - 92937 - 92940 - 92935</t>
  </si>
  <si>
    <t>Aubépine à style bombé</t>
  </si>
  <si>
    <t>87455 - 93070 - 93004 - 101551 - 86241 - 993904 - 101671 - 105479 - 83106 - 100000 - 83455</t>
  </si>
  <si>
    <t>86242 - 106126 - 93131 - 93015 - 133502 - 93022 - 93081 - 85783 - 153027 - 101710 - 145757 - 93049 - 93084 - 93133 - 100797 - 93093</t>
  </si>
  <si>
    <t>Crépide bisannuelle, Crépide des prés, Crépis bisannuel</t>
  </si>
  <si>
    <t>93008 - 85567 - 85565 - 161622 - 101554 - 93020 - 93039</t>
  </si>
  <si>
    <t>Crépide à feuilles de capselle, Crépide à feuilles de roquette, Barkhausie à feuilles de capselle, Crépis à feuilles de capselle</t>
  </si>
  <si>
    <t>93013 - 159946 - 145762 - 93047 - 93035 - 105015 - 93082 - 93159 - 145763 - 93108 - 133534 - 133533 - 93023 - 153028 - 92995 - 145758 - 159492 - 107171 - 93155 - 93105 - 145764</t>
  </si>
  <si>
    <t>Crépide capillaire, Crépide à tiges capillaires, Crépide verdâtre, Crépis capillaire</t>
  </si>
  <si>
    <t>103026 - 117727 - 101559 - 113472 - 85570 - 130082 - 83889 - 85784 - 82760 - 93045 - 112944 - 93041</t>
  </si>
  <si>
    <t>930612 - 787970 - 5179</t>
  </si>
  <si>
    <t>100006 - 101565 - 102579 - 93147 - 102074 - 93088 - 133511 - 101871 - 100001 - 133512 - 110060 - 93059 - 100742 - 93139 - 102220 - 83460 - 93106 - 93066 - 93029 - 101611 - 125311 - 102620</t>
  </si>
  <si>
    <t>Crépide molle, Crépis mou, Crépide à feuilles de succise</t>
  </si>
  <si>
    <t>930948 - 792493</t>
  </si>
  <si>
    <t>93043 - 86244 - 92993 - 85584 - 85787 - 145759 - 93097</t>
  </si>
  <si>
    <t>Crépide de Nice</t>
  </si>
  <si>
    <t>100743 - 83457 - 102303 - 101567 - 93127 - 100003 - 124402 - 93024 - 106024 - 93101</t>
  </si>
  <si>
    <t>Crépide des marais</t>
  </si>
  <si>
    <t>931010 - 150987 - 119395 - 119397</t>
  </si>
  <si>
    <t>Ronce faux framboisier, Faux framboisier</t>
  </si>
  <si>
    <t>931038 - 6056</t>
  </si>
  <si>
    <t>161889 - 103588 - 124403 - 103585 - 101569 - 100005 - 133513 - 93117 - 102384 - 102540 - 93112 - 83458</t>
  </si>
  <si>
    <t>Crépide à rhizome, Crépide en rosette, Crépide rongée, Crépis rongé</t>
  </si>
  <si>
    <t>93078 - 115817 - 133514 - 103513 - 93100 - 105027 - 93114 - 115812 - 130575 - 103586 - 121871 - 93030 - 112918 - 101570 - 93156 - 112917 - 90961 - 115809 - 93060 - 93153 - 93025 - 115811 - 93033 - 93166 - 93113</t>
  </si>
  <si>
    <t>Crépide élégante, Crépide jolie</t>
  </si>
  <si>
    <t>102440 - 145755 - 105583 - 89367 - 100744 - 101718 - 93005 - 93016 - 102140 - 89369 - 93046 - 105580 - 124397 - 93017 - 993888 - 93116 - 100741 - 101572</t>
  </si>
  <si>
    <t>Crépide des Pyrénées, Crépis des Pyrénées</t>
  </si>
  <si>
    <t>6068 - 6069 - 931166</t>
  </si>
  <si>
    <t>6072 - 436235 - 931174 - 6052 - 787678</t>
  </si>
  <si>
    <t>93129 - 104829 - 104832 - 127144 - 961551 - 116308 - 133516 - 116310 - 116304 - 82568 - 961552 - 104827 - 104825 - 116313 - 82567 - 116306 - 116309 - 619179 - 102491 - 93099 - 133517 - 116312 - 104830 - 93071 - 137064 - 116314 - 133518 - 93094 - 619180 - 116311 - 116315 - 116305 - 116307</t>
  </si>
  <si>
    <t>Crépide sacrée, Crépis sacré</t>
  </si>
  <si>
    <t>6121 - 6120 - 931317 - 6122 - 521455</t>
  </si>
  <si>
    <t>93010 - 92994 - 93055 - 130084 - 93054 - 83125 - 93134 - 93037 - 85594 - 93061 - 93119 - 93098 - 80324 - 85576 - 101575</t>
  </si>
  <si>
    <t>Crépide hérissée, Barkhausie à soies, Crépide à soies, Crépis hérissé</t>
  </si>
  <si>
    <t>93137 - 93003 - 93120 - 93026 - 102636 - 145760 - 93144 - 133527 - 93154 - 101579 - 93073 - 85579 - 93091 - 133528 - 93076 - 93042</t>
  </si>
  <si>
    <t>Crépide des toits</t>
  </si>
  <si>
    <t>133526 - 85598 - 93132 - 93092 - 93157 - 101581</t>
  </si>
  <si>
    <t>784966 - 931968 - 73578</t>
  </si>
  <si>
    <t>851073 - 851072 - 851071 - 931974</t>
  </si>
  <si>
    <t>676683 - 676680 - 73569 - 648709 - 931975 - 676681 - 676682</t>
  </si>
  <si>
    <t>682665 - 682674 - 932012 - 682669 - 682673 - 682664 - 682667 - 682671 - 74349 - 682670 - 682666 - 682672 - 682675 - 682676 - 682668 - 682663</t>
  </si>
  <si>
    <t>93204 - 93216 - 93259 - 133537 - 93201 - 93202 - 133542 - 93282 - 93285 - 145767</t>
  </si>
  <si>
    <t>Crocus de printemps, Crocus printanier, Crocus blanc</t>
  </si>
  <si>
    <t>93295 - 118905 - 118902 - 93302 - 93301</t>
  </si>
  <si>
    <t>Crucianelle à feuilles étroites</t>
  </si>
  <si>
    <t>99409 - 83135 - 619184 - 128361 - 118911 - 93308 - 93306</t>
  </si>
  <si>
    <t>Croisette commune, Gaillet croisette</t>
  </si>
  <si>
    <t>93672 - 89722 - 122945 - 145776 - 133547 - 93440 - 93441 - 145777 - 93449 - 89570 - 93446 - 93439 - 153031 - 89507</t>
  </si>
  <si>
    <t>Crupine commune, Crupine vulgaire</t>
  </si>
  <si>
    <t>80121 - 93469 - 116284 - 116273 - 124952 - 113257 - 125234 - 111816 - 81556 - 114949 - 111807 - 86096 - 110146</t>
  </si>
  <si>
    <t>Cryptogramme crépue, Allosore crépu, Cryptogramme crispée, Allosore crispé</t>
  </si>
  <si>
    <t>454240 - 125813 - 121595 - 93470 - 637684 - 93472 - 93471 - 93580 - 637683</t>
  </si>
  <si>
    <t>Cryptomérie du Japon, Cryptoméria, Cryptomère du Japon, Cryptoméria du Japon, Cryptoméria du Japon, Cyprès du Japon</t>
  </si>
  <si>
    <t>93527 - 160102 - 93535 - 93526 - 619186 - 93536 - 93530 - 632876 - 632877 - 108004 - 93534 - 632878 - 93537 - 93531 - 452806 - 455273</t>
  </si>
  <si>
    <t>Melon</t>
  </si>
  <si>
    <t>93550 - 93556 - 112699 - 93542 - 93559</t>
  </si>
  <si>
    <t>Courge potiron, Potiron, Citrouille, Potimarron, Giraumon</t>
  </si>
  <si>
    <t>133552 - 112701 - 93546 - 93560 - 93552 - 639355 - 93538 - 93543 - 93547 - 93555 - 93557 - 112700 - 133551 - 112702 - 93545 - 93554 - 93553</t>
  </si>
  <si>
    <t>Courge pépon, Giraumon, Citrouille du pays, Patisson</t>
  </si>
  <si>
    <t>935804 - 718421</t>
  </si>
  <si>
    <t>Pigamon à feuilles d'ancolie</t>
  </si>
  <si>
    <t>93574 - 93583 - 93572 - 93589 - 145796 - 619188 - 93579 - 93590 - 619189 - 93592 - 145795</t>
  </si>
  <si>
    <t>Cyprès toujours vert, Cyprès d'Italie, Cyprès de Montpellier</t>
  </si>
  <si>
    <t>93607 - 93613 - 93602 - 145797 - 154342 - 93603 - 159617 - 154788 - 100566</t>
  </si>
  <si>
    <t>Vermicelle</t>
  </si>
  <si>
    <t>96120 - 93618 - 93620</t>
  </si>
  <si>
    <t>Cuscute du lin</t>
  </si>
  <si>
    <t>Cuscuta epilinum</t>
  </si>
  <si>
    <t>133568 - 133569 - 125314 - 133560 - 153033 - 961564 - 93599 - 961563 - 105716 - 93653 - 93621 - 145806 - 133561</t>
  </si>
  <si>
    <t>Cuscute du thym, Cuscute à petites fleurs, Petite cuscute</t>
  </si>
  <si>
    <t>89299 - 93634 - 145809 - 93630 - 145807 - 93619 - 93651 - 93624 - 93629 - 93609 - 93646 - 133570 - 93647 - 93623 - 145808 - 93654 - 93656 - 93622 - 93657 - 93635</t>
  </si>
  <si>
    <t>Cuscute d’Europe, Grande cuscute</t>
  </si>
  <si>
    <t>93640 - 133576 - 133567</t>
  </si>
  <si>
    <t>Cuscute à fleurs planes</t>
  </si>
  <si>
    <t>93610 - 100567 - 616630 - 154876 - 619192 - 145798 - 100564 - 93608 - 133559 - 145799 - 619193 - 135129 - 93652 - 133558 - 93605 - 133557 - 93614 - 145812 - 100565 - 133577 - 154787 - 154875 - 93615 - 133574 - 133556 - 93644 - 145811 - 154786 - 133578 - 145800</t>
  </si>
  <si>
    <t>Cuscute volubile, Cuscute australe</t>
  </si>
  <si>
    <t>100568 - 145810 - 96087 - 93631 - 93659 - 93648 - 93616 - 96088</t>
  </si>
  <si>
    <t>Cuscute odorante</t>
  </si>
  <si>
    <t>145321 - 123097 - 145322 - 613675 - 145320 - 89572 - 89521 - 132940 - 145318 - 93673 - 613674 - 93666 - 93674 - 612451 - 103953 - 89609 - 89647</t>
  </si>
  <si>
    <t>Bleuet des montagnes, Centaurée des montagnes</t>
  </si>
  <si>
    <t>89700 - 145310 - 132885 - 93667 - 89574 - 89613 - 89680 - 89576 - 93680 - 89573 - 89729 - 93683 - 123094 - 89626 - 103977</t>
  </si>
  <si>
    <t>Bleuet des moissons, Bleuet, Barbeau</t>
  </si>
  <si>
    <t>Centaurea cyanus</t>
  </si>
  <si>
    <t>93699 - 93714 - 93705 - 93698 - 93702</t>
  </si>
  <si>
    <t>Cyclamen à feuilles de lierre, Cyclamen napolitain, Cyclamen de Naples</t>
  </si>
  <si>
    <t>93696 - 93707 - 93708 - 93716 - 93703 - 93706 - 133581 - 93697</t>
  </si>
  <si>
    <t>Cyclamen pourpré, Cyclamen rouge pourpre, Cyclamen d'Europe, Marron de cochon</t>
  </si>
  <si>
    <t>93727 - 93737 - 92906 - 93738 - 93726 - 93741 - 619197 - 93730 - 116580 - 93734 - 93732 - 93735 - 133585 - 93731 - 93740 - 93739 - 133584</t>
  </si>
  <si>
    <t>Cognassier commun, Coing</t>
  </si>
  <si>
    <t>83046 - 106166 - 621574 - 93759 - 83033 - 93757 - 159949 - 93760 - 789301 - 133588 - 106139 - 93763 - 93765 - 93758 - 93761 - 789037 - 83045 - 613815 - 613723 - 95854</t>
  </si>
  <si>
    <t>Cymbalaire, Ruine de Rome, Cymbalaire des murs, Linaire cymbalaire, Ruine de Rome, Lierre fleuri</t>
  </si>
  <si>
    <t>94990 - 93818 - 93807 - 98639 - 80662 - 147082 - 145825 - 94197 - 112514 - 90913 - 93815 - 93810 - 112157 - 145823 - 112123 - 87844 - 93812 - 93811 - 93809 - 93887 - 145824 - 93806 - 147080 - 94974 - 772131 - 98638 - 145821 - 145820 - 80757 - 94983 - 93805 - 145819 - 145822 - 93821 - 80872 - 112183 - 145826 - 94988 - 112479 - 147081 - 93800 - 93819 - 108536 - 94997 - 93803 - 789316 - 162278 - 93820</t>
  </si>
  <si>
    <t>Cynodon dactyle, Petit-chiendent, Chiendent fil-de-fer, Capriole, Chiendent pied-de-poule</t>
  </si>
  <si>
    <t>93846 - 93828 - 93825 - 93843</t>
  </si>
  <si>
    <t>Cynoglosse de Crète, Cynoglosse peinte, Cynoglosse rayée</t>
  </si>
  <si>
    <t>93837 - 93829 - 93850 - 93848</t>
  </si>
  <si>
    <t>Cynoglosse de Dioscoride</t>
  </si>
  <si>
    <t>93842 - 93847 - 133596 - 93838 - 133594 - 133595 - 93830 - 93839</t>
  </si>
  <si>
    <t>Cynoglosse d'Allemagne, Herbe d'Antal, Cynoglosse des montagnes</t>
  </si>
  <si>
    <t>39 - 58 - 89 - 90</t>
  </si>
  <si>
    <t>93845 - 93851 - 93840 - 93832 - 93831</t>
  </si>
  <si>
    <t>Cynoglosse officinale</t>
  </si>
  <si>
    <t>145834 - 145836 - 145829 - 145835 - 145832 - 93859 - 93874 - 145852 - 145851 - 145833 - 145837 - 145838 - 93872 - 93873 - 113195 - 145830 - 145827 - 145828 - 133598 - 93860</t>
  </si>
  <si>
    <t>Cynosure crételle, Crételle, Crételle commune, Crételle des prés</t>
  </si>
  <si>
    <t>133601 - 93868 - 93864 - 145841 - 93867 - 93870 - 133600 - 91125 - 97969 - 145849 - 91127 - 145839 - 97968 - 145845 - 975223 - 145529 - 145844 - 145843 - 145842 - 619198 - 145846 - 145840</t>
  </si>
  <si>
    <t>Crételle hérissée, Crételle épineuse</t>
  </si>
  <si>
    <t>93881 - 145848 - 154349 - 154985 - 93879 - 145847 - 154346 - 91126 - 154350 - 93866 - 91128 - 154348 - 91129 - 145854 - 154986 - 154351 - 93869 - 155107 - 154987 - 133599 - 154343 - 93882 - 619199 - 93865 - 145831 - 145853 - 154344 - 93875 - 145850 - 154347 - 154345</t>
  </si>
  <si>
    <t>Crételle diffuse</t>
  </si>
  <si>
    <t>94032 - 94015 - 93975 - 90929 - 93968 - 93923 - 93940 - 93911 - 93985 - 93903 - 93999</t>
  </si>
  <si>
    <t>Souchet vigoureux, Souchet robuste, Souchet éragrostide, Souchet éragrostis</t>
  </si>
  <si>
    <t>93992 - 93924 - 632944 - 94023 - 116477 - 133605 - 133602 - 90930 - 632953 - 93897</t>
  </si>
  <si>
    <t>Souchet comestible, Souchet sucré, Souchet doré</t>
  </si>
  <si>
    <t>93928 - 94017 - 93997 - 93942 - 93889 - 94019 - 90931 - 94038 - 93929 - 93933 - 93984 - 93966 - 116478</t>
  </si>
  <si>
    <t>Souchet jaunissant, Pycréus jaunissant, Souchet jaunâtre, Pycréus jaunâtre</t>
  </si>
  <si>
    <t>975234 - 93934 - 94001 - 94035 - 94034 - 93926 - 93910 - 133606 - 93936 - 93917 - 97420 - 145860 - 93904</t>
  </si>
  <si>
    <t>Souchet brun</t>
  </si>
  <si>
    <t>145862 - 93991 - 94028 - 93967 - 93944 - 97421 - 93953 - 93980 - 90934 - 133611 - 94025 - 93998 - 93959 - 153039 - 93964 - 93896 - 93922</t>
  </si>
  <si>
    <t>Souchet long, Souchet odorant, Souchet allongé</t>
  </si>
  <si>
    <t>939840 - 772809 - 137531</t>
  </si>
  <si>
    <t>94039 - 94044 - 145864 - 94043 - 94040 - 94041 - 87385 - 94042 - 87384</t>
  </si>
  <si>
    <t>Cypripède sabot-de-Vénus, Sabot-de-Vénus, Pantoufle-de-Notre-Dame</t>
  </si>
  <si>
    <t>94051 - 145866 - 94071 - 153040 - 619204 - 114952 - 93722 - 114964 - 145868 - 94052 - 94066 - 958983 - 93693 - 93692 - 84411 - 94048 - 93689 - 115007 - 145875 - 84392 - 145869 - 130183 - 93720 - 145865 - 114948 - 145872 - 115011 - 114925 - 94067 - 93690 - 145870 - 84444 - 94064 - 98712 - 133618 - 94065 - 145874 - 84400 - 93685 - 84442 - 84997 - 114995 - 93687 - 94053 - 114951 - 145873 - 114930 - 93686 - 94061 - 114967 - 93721 - 114999 - 145867 - 94070 - 133622 - 114929 - 85012 - 84434</t>
  </si>
  <si>
    <t>94069 - 84422 - 93691 - 94068 - 84420 - 94055 - 114983 - 94049 - 114986</t>
  </si>
  <si>
    <t>Cystoptéride des montagnes, Cystoptéris des montagnes</t>
  </si>
  <si>
    <t>94165 - 94166 - 113304 - 94135 - 99824 - 94118 - 99816 - 94092 - 124477 - 124480 - 104719</t>
  </si>
  <si>
    <t>Cytisophylle à feuilles sessiles, Cytise à feuilles sessiles</t>
  </si>
  <si>
    <t>940856 - 154890 - 133632 - 94087 - 94108 - 94098 - 120851 - 120855 - 120854 - 619206 - 99734 - 133633 - 619205</t>
  </si>
  <si>
    <t>Cytise arboré, Cytise arborescent, Genêt de Catalogne, Cytise de Catalogne</t>
  </si>
  <si>
    <t>151193 - 94086 - 140572 - 120853 - 94106 - 133644 - 120857 - 153253</t>
  </si>
  <si>
    <t>Cytise de Cantabrie, Genêt des Cantabriques</t>
  </si>
  <si>
    <t>99802 - 92562 - 145888 - 94113 - 94111 - 134970 - 124448 - 99743 - 134981 - 99756 - 99739 - 94126 - 94139 - 94155 - 99795 - 145889 - 153251 - 92563 - 120856 - 99771</t>
  </si>
  <si>
    <t>Cytise couché, Cytise pédonculé, Genêt prostré, Cytise rampant, Cytise retombant</t>
  </si>
  <si>
    <t>160505 - 133208 - 90417 - 94161 - 154889 - 94131 - 94109 - 94093 - 979913 - 94169 - 127912 - 160496 - 160497 - 160532 - 94156 - 160489 - 133207 - 90418 - 94132 - 160508 - 99760 - 99822 - 162289 - 145905 - 159622 - 133206 - 94123 - 99733 - 133638 - 90420 - 129076 - 94146 - 94107 - 162646 - 162645 - 133650 - 160503 - 94173 - 94178 - 133635</t>
  </si>
  <si>
    <t>Cytise hirsute, Cytise hérissé</t>
  </si>
  <si>
    <t>94136 - 160531 - 94116 - 145904</t>
  </si>
  <si>
    <t>Cytise faux lotier</t>
  </si>
  <si>
    <t>1010098 - 94094 - 124475 - 124458 - 120849 - 94142 - 120863 - 124479 - 120860 - 120861 - 99717 - 94138 - 94134</t>
  </si>
  <si>
    <t>Cytise multiflore, Cytise blanc, Cytise à fleurs nombreuses</t>
  </si>
  <si>
    <t>94159 - 94145 - 147367 - 133634 - 99806 - 145884 - 619208 - 120865</t>
  </si>
  <si>
    <t>Cytise des montagnes de la Méditerranée, Cytise oroméditerranéen, Genêt oroméditerranéen, Genêt purgatif, Cytise purgatif</t>
  </si>
  <si>
    <t>94164 - 99814 - 99759 - 124467 - 94090 - 120869 - 99835 - 120867</t>
  </si>
  <si>
    <t>133692 - 94265 - 978037 - 110911 - 94275 - 161035 - 110876 - 110858 - 94268 - 133690 - 110941 - 94257 - 718675 - 619221 - 94234 - 154459 - 110905 - 719326 - 978043 - 133671</t>
  </si>
  <si>
    <t>Dactylorhize de Fuchs, Orchis de Fuchs, Orchis tacheté des bois, Orchis de Meyer, Orchis des bois</t>
  </si>
  <si>
    <t>110884 - 110885 - 94235 - 94284 - 154959 - 133680 - 94259 - 154953</t>
  </si>
  <si>
    <t>94253 - 154956 - 110910 - 111005 - 94286 - 619229 - 94248 - 133686 - 130235 - 130261 - 159757 - 110848 - 154958 - 94266 - 110877 - 961828 - 719327 - 110933 - 154965 - 154461 - 133688 - 110814 - 154460 - 619230 - 146009 - 133673 - 154634 - 718224 - 961831 - 133691 - 133687 - 133685 - 961830 - 133689 - 154458 - 146010 - 110797 - 110850 - 110924 - 130401 - 154957 - 110990 - 154457 - 94280 - 138376 - 94236 - 133672 - 94285 - 110835 - 110974 - 718950</t>
  </si>
  <si>
    <t>Dactylorhize maculé, Orchis tacheté, Orchis maculé</t>
  </si>
  <si>
    <t>719230 - 110898 - 719328 - 133670 - 719229 - 612455 - 154952 - 154954 - 154456 - 94250 - 154960 - 110791 - 111011 - 110871 - 611204 - 110912 - 94267 - 111007 - 133683 - 94243 - 94237 - 133669 - 154961 - 133695 - 94255 - 154950 - 110854 - 94242 - 110827 - 110795 - 110897</t>
  </si>
  <si>
    <t>Dactylorhize de mai, Orchis de mai, Dactylorhize fistuleux, Orchis fistuleux</t>
  </si>
  <si>
    <t>149027 - 133702 - 145999 - 133703 - 146011 - 133697 - 94272 - 110950 - 146012 - 94238 - 138416 - 719329 - 154454 - 613493 - 133677 - 94273 - 138378 - 110960 - 133698 - 719394 - 94261 - 133701 - 613494</t>
  </si>
  <si>
    <t>Dactylorhize négligé, Orchis négligé, Orchis oublié</t>
  </si>
  <si>
    <t>153049 - 110946 - 619232 - 110908 - 149059 - 153050 - 110980 - 133684 - 149060 - 110796 - 613844 - 110982 - 612456 - 153048 - 111228 - 154964 - 94264 - 94263 - 94279 - 110981</t>
  </si>
  <si>
    <t>Dactylorhize sureau, Orchis sureau</t>
  </si>
  <si>
    <t>619228 - 133699 - 133705 - 110881 - 110999 - 110846 - 110962 - 1017983 - 619238 - 133708 - 111008 - 133696 - 94256 - 110844 - 719089 - 94262 - 110800 - 110857 - 94281 - 1017982 - 110806 - 94246 - 94288 - 133700 - 619237 - 154455 - 110798 - 138386 - 110807 - 154966 - 111009 - 94274 - 149021 - 133707 - 110889 - 110866 - 133706 - 94240 - 94241 - 94287</t>
  </si>
  <si>
    <t>Dactylorhize de Traunsteiner, Orchis de Traunsteiner</t>
  </si>
  <si>
    <t>111032 - 94293</t>
  </si>
  <si>
    <t>Dactylorhize d'Ascherson, Orchis d'Ascherson</t>
  </si>
  <si>
    <t>94296 - 94297 - 111047</t>
  </si>
  <si>
    <t>Dactylorhize de Braun, Orchis de Braun</t>
  </si>
  <si>
    <t>94304 - 111029 - 111075</t>
  </si>
  <si>
    <t>Dactylorhize de Dufft, Orchis de Dufft</t>
  </si>
  <si>
    <t>94335 - 111133 - 94367 - 111025 - 619226 - 619227 - 94341 - 94306 - 111062 - 94291</t>
  </si>
  <si>
    <t>Dactylorhize des Kerner, Orchis des Kerner</t>
  </si>
  <si>
    <t>111204 - 94361 - 94364</t>
  </si>
  <si>
    <t>Dactylorhize à rameaux courts, Orchis à rameaux courts</t>
  </si>
  <si>
    <t>619236 - 94336 - 94366 - 111214 - 94300</t>
  </si>
  <si>
    <t>Dactylorhize changeant, Orchis changeant</t>
  </si>
  <si>
    <t>111225 - 94372</t>
  </si>
  <si>
    <t>Dactylorhize de Winton, Orchis de Winton</t>
  </si>
  <si>
    <t>161391 - 81258 - 81275 - 133717 - 94391 - 80141 - 94388 - 94393 - 94394 - 944670 - 94390 - 975968</t>
  </si>
  <si>
    <t>Damasonie plantain-d'eau, Étoile d'eau, Damasonie étoilée, Flûteau étoilé</t>
  </si>
  <si>
    <t>127603 - 107855 - 127602 - 86225 - 123352 - 94402 - 114172 - 98178 - 107875 - 146020 - 141107 - 86585 - 107856</t>
  </si>
  <si>
    <t>94411 - 126457 - 126462 - 94421</t>
  </si>
  <si>
    <t>Daphné des Alpes</t>
  </si>
  <si>
    <t>133724 - 94410 - 133725 - 94447 - 94417 - 94423 - 126473 - 94438 - 94430 - 146026 - 146025 - 94436 - 126464 - 94444 - 94416 - 94454 - 153052 - 94422</t>
  </si>
  <si>
    <t>Daphné camélée, Thymélée</t>
  </si>
  <si>
    <t>153053 - 94413 - 126470 - 94434 - 133727 - 94415 - 94442 - 133726 - 94448 - 94431 - 94432 - 94439</t>
  </si>
  <si>
    <t>Daphné lauréole, Laurier des bois</t>
  </si>
  <si>
    <t>146027 - 94435 - 94425 - 108475 - 94446 - 126471 - 146029</t>
  </si>
  <si>
    <t>Daphné bois-joli, Daphné bois-gentil, Bois-joli, Bois-gentil, Daphné mézéréon</t>
  </si>
  <si>
    <t>94464 - 126886 - 112677 - 773650 - 115691 - 138639 - 112676 - 772949 - 115478 - 150109 - 115487 - 115609 - 150108 - 115468 - 115673 - 139280 - 773161 - 94466 - 98817 - 771892</t>
  </si>
  <si>
    <t>Potentille ligneuse, Dasiphore ligneuse, Potentille frutescente</t>
  </si>
  <si>
    <t>133728 - 125214 - 125215 - 807147 - 125212 - 125210 - 619246 - 94488 - 619244 - 94480 - 619245 - 125211 - 94482 - 619243 - 94489 - 125213 - 146035 - 968083 - 133729 - 619247 - 94483 - 94478 - 94486 - 94477 - 146037 - 94490 - 146036 - 807148</t>
  </si>
  <si>
    <t>Datura, stramoine</t>
  </si>
  <si>
    <t>94511 - 94507 - 146055 - 94516 - 94530 - 133746 - 94506 - 94544 - 94513 - 94553 - 94548 - 89388 - 146042 - 94494 - 94550 - 133747 - 146043 - 126705 - 89383 - 94493 - 94512 - 146049 - 146051 - 94549 - 94503 - 94499</t>
  </si>
  <si>
    <t>94582 - 146060 - 92262 - 90228 - 976121 - 92264 - 94602 - 92260 - 721793 - 92259 - 94567 - 94569</t>
  </si>
  <si>
    <t>Dauphinelle d'Ajax, Pied-d'alouette d'Ajax, Dauphinelle des jardins</t>
  </si>
  <si>
    <t>Consolida ajacis</t>
  </si>
  <si>
    <t>94601 - 94572 - 92261 - 90229 - 94576 - 92271 - 133759 - 94607 - 94563 - 92270 - 133414 - 94574</t>
  </si>
  <si>
    <t>Consolida regalis</t>
  </si>
  <si>
    <t>945856 - 92403 - 103988 - 103645 - 92400 - 103609 - 103608 - 103620 - 619755 - 84645 - 100880 - 103658</t>
  </si>
  <si>
    <t>Inule conyze, Inule squarreuse, Herbe aux mouches, Inule commune, Herbe aux punaises</t>
  </si>
  <si>
    <t>143119 - 155087 - 94193 - 85226 - 153061 - 94642 - 80845 - 143093 - 143108 - 143110 - 143095 - 146066 - 146081 - 146068 - 146088 - 143097 - 80925 - 80931 - 146067 - 87761 - 146079 - 143117 - 154689 - 159524 - 146084 - 133797 - 143107 - 143120 - 80837 - 131018 - 143101 - 80838 - 94625 - 146073 - 131019 - 94623 - 146090 - 143115 - 94631 - 85227 - 619258 - 80921 - 146076 - 143112 - 80851 - 146075 - 143105 - 146091 - 133786 - 146072 - 143106 - 131020 - 159629 - 146074 - 80841 - 143096 - 80858 - 94624 - 80840 - 94639 - 80596 - 146077 - 146069 - 143092 - 143094 - 143100 - 619257 - 80850 - 143118 - 145052 - 146082 - 143098 - 146092 - 114458 - 85241 - 143111 - 146080 - 80849 - 143116 - 146071 - 133789 - 94626 - 146083</t>
  </si>
  <si>
    <t>121511 - 143109 - 133794 - 143102 - 80856 - 997252 - 80905 - 94633 - 133793 - 143123 - 80886 - 80919 - 131021 - 133790 - 143124 - 80922 - 80896 - 87762 - 94629</t>
  </si>
  <si>
    <t>Canche moyenne, Canche à feuilles de jonc, Canche intermédiaire</t>
  </si>
  <si>
    <t>101480 - 161163 - 95164 - 124286 - 123909 - 123868 - 123897 - 123795 - 124287 - 151874 - 160546 - 123915 - 94645 - 123910 - 83408 - 113287 - 124288 - 93418</t>
  </si>
  <si>
    <t>Descurainie sagesse, Sagesse des chirurgiens, Herbe de Sainte-Sophie, Sisymbre sagesse, Vélar sagesse</t>
  </si>
  <si>
    <t>94711 - 978339 - 94799 - 94732 - 94693 - 94796 - 146108 - 146107 - 89282 - 95032 - 978335 - 94760 - 133810 - 93746</t>
  </si>
  <si>
    <t>Œillet armérie, Œillet velu, Armoirie, Œillet à bouquet</t>
  </si>
  <si>
    <t>93742 - 95035 - 159462 - 89283 - 123403 - 127974 - 94698</t>
  </si>
  <si>
    <t>Œillet barbu, Œillet des poètes, Œillet de Girardin</t>
  </si>
  <si>
    <t>94809 - 94839 - 94716 - 89284 - 160245 - 94715 - 160142 - 160143 - 160210 - 160141 - 976172 - 123432 - 127976 - 94713 - 94722 - 94845 - 94795 - 95036 - 160195 - 94706 - 154858</t>
  </si>
  <si>
    <t>978364 - 94726 - 123433 - 133827 - 146128 - 133828 - 94717 - 127977 - 94810</t>
  </si>
  <si>
    <t>Œillet caryophyllé, Œillet des fleuristes, Œillet giroflée</t>
  </si>
  <si>
    <t>93744 - 123469 - 89285 - 94728</t>
  </si>
  <si>
    <t>Œillet deltoïde, Œillet couché, Œillet à delta</t>
  </si>
  <si>
    <t>94708 - 94801 - 146141 - 123423 - 153072 - 146138 - 153068 - 94756 - 94752 - 94709 - 94739 - 146119</t>
  </si>
  <si>
    <t>Œillet de Grenoble, Œillet bleuâtre, Œillet mignardise</t>
  </si>
  <si>
    <t>146131 - 94836 - 94758 - 146133 - 133832 - 94789 - 146129 - 94704 - 94770 - 94721 - 94767 - 146132 - 94811 - 94790 - 94724 - 94818 - 146127 - 133891 - 146130 - 1001714 - 146126</t>
  </si>
  <si>
    <t>Œillet saxicole, Pipolet</t>
  </si>
  <si>
    <t>94822 - 123634 - 159630 - 93743</t>
  </si>
  <si>
    <t>Œillet de Séguier</t>
  </si>
  <si>
    <t>133884 - 94833 - 123652 - 95042 - 93747 - 94737 - 89288 - 612460 - 133837</t>
  </si>
  <si>
    <t>Œillet de Bottemer</t>
  </si>
  <si>
    <t>Œillet de Courtois</t>
  </si>
  <si>
    <t>98907 - 94925 - 94928 - 94923 - 98906 - 94924 - 94927 - 94929 - 94926 - 98908</t>
  </si>
  <si>
    <t>Dictame blanc, Fraxinelle blanche</t>
  </si>
  <si>
    <t>94955 - 94939 - 94940 - 146166 - 146165 - 94946 - 94954 - 94949 - 94942</t>
  </si>
  <si>
    <t>Digitale à grandes fleurs</t>
  </si>
  <si>
    <t>133895 - 146169 - 146170 - 146168 - 94957 - 94945 - 94953 - 146167 - 619268 - 94956 - 94937</t>
  </si>
  <si>
    <t>Digitale jaune</t>
  </si>
  <si>
    <t>94964 - 94947</t>
  </si>
  <si>
    <t>Digitale intermédiaire, Digitale moyenne</t>
  </si>
  <si>
    <t>146172 - 94944 - 94959 - 94952 - 94938 - 619269 - 94951 - 94950 - 94958 - 94960</t>
  </si>
  <si>
    <t>94966 - 94961 - 133897 - 94963</t>
  </si>
  <si>
    <t>Digitale sombre, Digitale fardée</t>
  </si>
  <si>
    <t>94967 - 94962</t>
  </si>
  <si>
    <t>Digitale fauve</t>
  </si>
  <si>
    <t>160037 - 454116 - 94972 - 454160 - 707942 - 455522 - 789429 - 633142 - 764287 - 455521 - 455459 - 764487 - 764622 - 707943 - 1002741 - 94968 - 707941</t>
  </si>
  <si>
    <t>Digitaire ciliée</t>
  </si>
  <si>
    <t>112132 - 94984 - 154484 - 146183 - 112493 - 125381 - 146176 - 146179 - 146175 - 146178 - 94982 - 154359 - 639271 - 125380 - 149184 - 94980 - 112171 - 154358 - 94985 - 94987 - 112500 - 112165 - 154357 - 94994 - 619271 - 619272 - 112091 - 112491 - 146177 - 112153 - 133898 - 125382 - 112488 - 120735 - 146181 - 149172 - 154356 - 149196</t>
  </si>
  <si>
    <t>Digitaire ischème, Digitaire glabre, Digitaire filiforme</t>
  </si>
  <si>
    <t>146182 - 146180 - 112184 - 146186 - 94995 - 153076 - 133899 - 125385 - 619270 - 112238 - 149197 - 149198 - 149202 - 619274 - 94996 - 120736 - 146187 - 93816 - 112509 - 94991 - 149201 - 149273 - 932297 - 161572 - 146185 - 94198 - 149200 - 146174 - 161573 - 125384 - 146184</t>
  </si>
  <si>
    <t>Digitaire sanguine, Digitaire commune</t>
  </si>
  <si>
    <t>106998 - 95056 - 95062 - 107005 - 137530 - 137533</t>
  </si>
  <si>
    <t>Lycopode des Alpes, Diphasiastre des Alpes</t>
  </si>
  <si>
    <t>719047 - 95059</t>
  </si>
  <si>
    <t>Lycopode d'Øellgaard, Diphasiastre d'Øellgaard</t>
  </si>
  <si>
    <t>950596 - 446733</t>
  </si>
  <si>
    <t>107024 - 133901 - 137537 - 148467 - 137535 - 153460 - 107001 - 133904 - 95067 - 95060 - 95064</t>
  </si>
  <si>
    <t>Lycopode petit-cyprès, Diphasiastre à trois épis, Lycopode petit-cyprès</t>
  </si>
  <si>
    <t>95069 - 133903 - 107026 - 95061 - 153461</t>
  </si>
  <si>
    <t>Lycopode de Zeiller, Diphasiastre de Zeiller</t>
  </si>
  <si>
    <t>95117 - 95114 - 95120 - 95140 - 97020 - 95133 - 123821 - 95100 - 86363 - 95138 - 97042 - 93358 - 97062 - 97024 - 95109 - 123729 - 95111 - 717735 - 123712 - 95132 - 107178 - 153078 - 133907 - 95125</t>
  </si>
  <si>
    <t>Diplotaxe fausse roquette, Roquette blanche, Diplotaxis fausse roquette</t>
  </si>
  <si>
    <t>95126 - 93350 - 95122 - 95121 - 95129 - 95139 - 146196 - 123819 - 95116 - 154839 - 146197 - 97015 - 86355 - 95119 - 153079 - 146198 - 123857 - 146199 - 95124</t>
  </si>
  <si>
    <t>160154 - 97040 - 97031 - 86361 - 97029 - 95136 - 123908 - 86396 - 86447 - 123761 - 123796 - 93425 - 112557</t>
  </si>
  <si>
    <t>Diplotaxe à feuilles ténues, Diplotaxe à feuilles étroites, Roquette sauvage, Diplotaxe vulgaire, Roquette jaune, Diplotaxis à feuilles ténues</t>
  </si>
  <si>
    <t>95127 - 95113 - 95128 - 95141 - 146201 - 86457 - 146202 - 146200 - 95107 - 123807 - 93434 - 146204 - 95102 - 123920 - 123875 - 83345 - 146203 - 123921</t>
  </si>
  <si>
    <t>Diplotaxe des vignes, Diplotaxis flexible, Diplotaxe effilée, Herbe puante, Diplotaxis des vignes</t>
  </si>
  <si>
    <t>95147 - 133913 - 95144 - 133917</t>
  </si>
  <si>
    <t>Cardère féroce</t>
  </si>
  <si>
    <t>95152 - 95156 - 95150 - 95153 - 619281 - 95149 - 95157 - 133916</t>
  </si>
  <si>
    <t>Cardère à foulon, Cabaret des oiseaux, Cardère sauvage</t>
  </si>
  <si>
    <t>95151 - 133914 - 133919</t>
  </si>
  <si>
    <t>Cardère laciniée, Cardère à feuilles laciniées, Cardère découpée</t>
  </si>
  <si>
    <t>95146 - 129882 - 95143 - 89942 - 95154 - 99256 - 79712</t>
  </si>
  <si>
    <t>Cardère poilue, Verge à pasteur</t>
  </si>
  <si>
    <t>95148 - 133918 - 133915 - 95155 - 146205 - 95145</t>
  </si>
  <si>
    <t>Cardère cultivée</t>
  </si>
  <si>
    <t>160969 - 103624 - 103992 - 124171 - 96766 - 100867 - 92390 - 103597 - 95186 - 93593 - 116394</t>
  </si>
  <si>
    <t>Inule fétide, Inule à forte odeur, Inule odorante, Vergerette odorante, Dittrichie fétide</t>
  </si>
  <si>
    <t>116404 - 104003 - 92389 - 96819 - 103657 - 160970 - 93594 - 95187 - 160971 - 124206</t>
  </si>
  <si>
    <t>Inule visqueuse, Dittrichie visqueuse</t>
  </si>
  <si>
    <t>95238 - 95209 - 95233</t>
  </si>
  <si>
    <t>Doronic d'Autriche</t>
  </si>
  <si>
    <t>620353 - 952124</t>
  </si>
  <si>
    <t>95219 - 95214 - 95223 - 95237</t>
  </si>
  <si>
    <t>Doronic du Caucase</t>
  </si>
  <si>
    <t>83877 - 95234 - 122681 - 95218 - 95220 - 95231 - 95242 - 161854 - 95248 - 95244 - 95232 - 95239</t>
  </si>
  <si>
    <t>Doronic à feuilles cordées, Doronic panthère, Doronic à feuilles en cœur, Doronic mort-aux-panthères, Mort-aux-panthères</t>
  </si>
  <si>
    <t>95240 - 95249 - 153084 - 159947 - 95222 - 122690 - 95241 - 153083 - 619283 - 95224 - 133922 - 976334</t>
  </si>
  <si>
    <t>Doronic plantain, Doronic à feuilles de plantain</t>
  </si>
  <si>
    <t>952514 - 118823 - 620472 - 140056 - 140016 - 140004</t>
  </si>
  <si>
    <t>80958 - 146224 - 133936 - 95354 - 108700 - 81891 - 95363 - 95292 - 153089 - 95289 - 153086 - 133933 - 146221 - 153088 - 146222 - 146225 - 95307 - 95291 - 95302 - 95387 - 93313 - 95288 - 146226 - 95317 - 146223 - 133932</t>
  </si>
  <si>
    <t>Drave faux aizoon</t>
  </si>
  <si>
    <t>95350 - 97028 - 95388 - 95390 - 93341 - 95337</t>
  </si>
  <si>
    <t>Drave des murs, Drave des murailles</t>
  </si>
  <si>
    <t>96962 - 161326 - 146256 - 97008 - 95343 - 976816 - 616629 - 97001 - 96994 - 96978 - 146254 - 146241 - 146268 - 96989 - 146264 - 162078 - 134263 - 146271 - 146253 - 162084 - 97007 - 96981 - 96986 - 162103 - 96976 - 146240 - 159889 - 162107 - 95327 - 133956 - 162083 - 161325 - 134267 - 96973 - 976834 - 153097 - 134271 - 134278 - 162101 - 96991 - 146245 - 162096 - 161327 - 146250 - 95361 - 134273 - 162087 - 146243 - 146238 - 133952 - 96964 - 97006 - 95372 - 134265 - 162100 - 146262 - 134266 - 154611 - 976840 - 99653 - 718682 - 162106 - 162097 - 154612 - 718683 - 976845 - 134268 - 133958 - 161324 - 153096 - 95316 - 96977 - 146261 - 619414 - 133955 - 162102 - 146259 - 97005 - 134270 - 96968 - 146239 - 96971 - 96999 - 146244 - 976836 - 96974 - 161323 - 96998 - 162082 - 146252 - 97000 - 146251 - 133957 - 96992 - 146255 - 96982 - 96997 - 134272 - 96980 - 146266 - 146247 - 133953 - 96983 - 96967 - 162085 - 96993 - 162098 - 96987 - 146265 - 96996 - 134262 - 146257 - 146258 - 146515 - 153095 - 97003 - 95336 - 146267 - 96988 - 153094 - 162095 - 133954 - 96961 - 96963 - 134277 - 146272 - 146516 - 96990 - 134276 - 146270 - 95294 - 95347 - 95392 - 96979 - 976842 - 162099 - 162104 - 96969 - 96966 - 96995 - 96984 - 96965 - 96975 - 161322 - 95300 - 97009 - 134275 - 93355 - 976374 - 162088 - 146269 - 162094 - 95358 - 162081 - 153098 - 718681 - 146248 - 146249 - 134274 - 146260 - 134269 - 96985 - 97004 - 146242 - 96972 - 146263 - 976838 - 146246 - 96970 - 162080 - 162086 - 162093 - 97002 - 162105</t>
  </si>
  <si>
    <t>Drave printanière, Drave de printemps, Érophile printanière</t>
  </si>
  <si>
    <t>95436 - 117931 - 95439</t>
  </si>
  <si>
    <t>Rossolis à feuilles longues, Rossolis à longues feuilles, Rossolis d'Angleterre, Droséra à longues feuilles, Droséra d'Angleterre</t>
  </si>
  <si>
    <t>95435 - 117930 - 95441 - 95437 - 95438 - 773465</t>
  </si>
  <si>
    <t>Rossolis intermédiaire, Droséra intermédiaire</t>
  </si>
  <si>
    <t>118871 - 117932 - 1006014 - 95444 - 95442 - 146273 - 772670 - 613510</t>
  </si>
  <si>
    <t>Rossolis à feuilles rondes, Droséra à feuilles rondes</t>
  </si>
  <si>
    <t>95445 - 133964</t>
  </si>
  <si>
    <t>Rossolis à feuilles obovales, Droséra à feuilles obovales</t>
  </si>
  <si>
    <t>100196 - 95460 - 116334 - 95461 - 95455 - 95456 - 95458 - 95459 - 95457</t>
  </si>
  <si>
    <t>Dryade à huit pétales, Chênette, Thé des alpes, Herbe à plumets</t>
  </si>
  <si>
    <t>98056 - 147021 - 614971 - 146671 - 147024 - 121463 - 95493 - 121475 - 95504 - 98330 - 98176 - 95532 - 98539 - 95470 - 95469 - 95522 - 95478 - 95480 - 95510 - 95501 - 95531 - 98126 - 147022 - 95517 - 95511 - 114384 - 95497 - 95483 - 95463 - 121487 - 95495 - 121467 - 147023</t>
  </si>
  <si>
    <t>Fétuque des bois, Fétuque très élevée, Drymochloa très élevé, Drymochloa des bois</t>
  </si>
  <si>
    <t>109545 - 154443 - 95547</t>
  </si>
  <si>
    <t>148913 - 162283 - 115005 - 961529 - 95569 - 115045 - 105138 - 115077 - 772673 - 115064 - 84440 - 95595 - 772672 - 114943 - 143969 - 771657 - 133975 - 143970 - 109565 - 115048 - 114976 - 149981 - 115079 - 148911 - 95558 - 105137 - 106609 - 154502 - 148912 - 958890</t>
  </si>
  <si>
    <t>Dryoptéride des Chartreux, Dryoptéris des chartreux, Fougère spinuleuse</t>
  </si>
  <si>
    <t>114941 - 115052 - 105112 - 115047 - 109547 - 95561 - 105114 - 84397 - 106605 - 772200 - 114950</t>
  </si>
  <si>
    <t>Dryoptéride à crête, Dryoptéris à crêtes</t>
  </si>
  <si>
    <t>105113 - 105115 - 139164 - 115053 - 133987 - 138060 - 131800 - 105122 - 148907 - 95549 - 115065 - 148906 - 115050 - 105124 - 105140 - 153527 - 133974 - 138057 - 105127 - 106607 - 109570 - 148064 - 958891 - 148063 - 114954 - 114932 - 109548 - 148908 - 84405 - 143961 - 139165 - 115006 - 138061 - 106610 - 95552 - 114985 - 84402 - 133978 - 95563 - 143962 - 143968</t>
  </si>
  <si>
    <t>Dryoptéride dilatée, Dryoptéris dilaté, Fougère dilatée</t>
  </si>
  <si>
    <t>133973 - 148062 - 95577 - 95566 - 105118 - 133986 - 133977 - 619290 - 95551 - 95594 - 146275 - 109551</t>
  </si>
  <si>
    <t>Dryoptéride étalée, Dryoptéris étalé, Dryoptéris élargi</t>
  </si>
  <si>
    <t>109556 - 84401 - 115067 - 84409 - 115072 - 95585 - 115057 - 98721 - 84425 - 95567 - 154444 - 619291 - 84419 - 105120 - 114962 - 114987 - 84407 - 84445 - 95562 - 109552 - 114968 - 84406 - 115012 - 109546 - 109553 - 130182 - 95553</t>
  </si>
  <si>
    <t>Dryoptéride fougère-mâle, Fougère-mâle, Dryoptéris fougère-mâle</t>
  </si>
  <si>
    <t>84441 - 131799 - 95605 - 115081 - 109560 - 84435 - 153529 - 138062 - 95596 - 95589 - 109566 - 105128 - 95570 - 95610 - 143967 - 95555 - 84447 - 115074 - 95623 - 105136 - 619292 - 138063 - 105117 - 95565</t>
  </si>
  <si>
    <t>Dryoptéride espacée, Dryoptéride à divisions espacées, Dryoptéride à pennes espacées, Fougère à pennes espacées, Fougère espacée, Dryoptéris espacé</t>
  </si>
  <si>
    <t>Dryoptéride d'Ambrose, Dryoptéris d'Ambrose</t>
  </si>
  <si>
    <t>95599 - 95608</t>
  </si>
  <si>
    <t>95618 - 95609 - 84450</t>
  </si>
  <si>
    <t>Dryoptéride de Dewèvre, Dryoptéris de Dewèvre</t>
  </si>
  <si>
    <t>106611 - 105141 - 109571 - 95615 - 115089 - 95625 - 143971 - 131798 - 137109 - 148067 - 95624 - 131801</t>
  </si>
  <si>
    <t>Dryoptéride des fanges, Dryoptéris des fanges, Polystic des fanges</t>
  </si>
  <si>
    <t>108746 - 95661 - 108744 - 95662 - 95846 - 95663 - 108745</t>
  </si>
  <si>
    <t>956667 - 436048 - 5752 - 5770 - 792544</t>
  </si>
  <si>
    <t>5771 - 956668</t>
  </si>
  <si>
    <t>95688 - 154477 - 619296 - 154467 - 110725 - 154479 - 146294 - 154449 - 112158 - 154470 - 146293 - 134003 - 146303 - 108535 - 155012 - 154482 - 154471 - 146288 - 133997 - 154468 - 112109 - 154480 - 154642 - 146298 - 146300 - 95680 - 154469 - 111774 - 95685 - 616843 - 154466 - 154450 - 112121 - 154472 - 154478 - 146297 - 95671 - 446297 - 619295 - 146312 - 146286 - 154483 - 146311 - 112159 - 112220 - 146310 - 146307 - 146299 - 112089 - 146287</t>
  </si>
  <si>
    <t>Échinochloa pied-de-coq, Échinochloé Pied-de-coq, Pied-de-coq, Panic pied-de-coq</t>
  </si>
  <si>
    <t>436011 - 436014 - 436015 - 436012 - 5738 - 956735 - 436013</t>
  </si>
  <si>
    <t>956741 - 436046 - 956740 - 5768</t>
  </si>
  <si>
    <t>146301 - 146308 - 95684 - 95679 - 112226 - 112201 - 110728 - 123135 - 146292 - 146304 - 146309 - 134007</t>
  </si>
  <si>
    <t>95704 - 95722 - 95711 - 124596 - 95715 - 95703 - 95698 - 95719 - 95713 - 95706 - 95702</t>
  </si>
  <si>
    <t>Échinops à tête ronde, Boulette à grosse tête</t>
  </si>
  <si>
    <t>95793 - 95763</t>
  </si>
  <si>
    <t>82296 - 161057 - 95823</t>
  </si>
  <si>
    <t>Égérie dense, Élodée dense</t>
  </si>
  <si>
    <t>95835 - 95833 - 95840 - 95836 - 95831 - 1007287 - 146320 - 95838 - 1007272 - 95832 - 1007278 - 160241 - 95834</t>
  </si>
  <si>
    <t>Chalef à feuilles étroites, Olivier de Bohème, Arbre d'argent, Arbre de paradis</t>
  </si>
  <si>
    <t>95859 - 117649 - 81692 - 95880 - 115387 - 95847 - 95879</t>
  </si>
  <si>
    <t>Élatine fausse alsine, Élatine verticillée, Fausse alsine</t>
  </si>
  <si>
    <t>126682 - 95858 - 103148 - 146322 - 95870 - 619303 - 95878 - 134050</t>
  </si>
  <si>
    <t>Élatine à six étamines</t>
  </si>
  <si>
    <t>966613 - 95868 - 1007449 - 1007452</t>
  </si>
  <si>
    <t>95877 - 95849 - 93467 - 1007388 - 95861 - 1007382 - 615062 - 1007386 - 95867 - 103537 - 81691 - 81696</t>
  </si>
  <si>
    <t>Élatine à trois étamines</t>
  </si>
  <si>
    <t>95889 - 90385 - 107371 - 772634 - 103855 - 90388 - 103907 - 90383 - 95897 - 162376 - 103870 - 93890 - 773575 - 772632 - 772633 - 121675 - 106018 - 91836 - 772631 - 90386 - 95947 - 773458</t>
  </si>
  <si>
    <t>Éléocharide épingle, Scirpe épingle, Éléocharis épingle</t>
  </si>
  <si>
    <t>90384 - 121692 - 95895 - 95920 - 121681 - 121789 - 95890</t>
  </si>
  <si>
    <t>Éléocharide de Buenos Aires, Scirpe de Buenos Aires, Souchet de Buenos Aires, Éléocharis de Buenos Aires</t>
  </si>
  <si>
    <t>95914 - 140772 - 121745 - 151310 - 134056</t>
  </si>
  <si>
    <t>Éléocharide à têtons, Scirpe à têtons, Souchet à tétons, Éléocharis à têtons</t>
  </si>
  <si>
    <t>106022 - 121753 - 95916 - 91840 - 93979 - 121754</t>
  </si>
  <si>
    <t>Éléocharide à tiges nombreuses, Scirpe à tiges nombreuses, Souchet à tiges nombreuses, Éléocharis à tiges nombreuses</t>
  </si>
  <si>
    <t>95941 - 121757 - 93989 - 121682 - 95899 - 121801 - 91841 - 162375 - 121703 - 86950 - 146326 - 95931 - 95919 - 121694 - 619304</t>
  </si>
  <si>
    <t>Éléocharide ovale, Éléocharide à épis ovales, Scirpe à épis ovales, Scirpe à inflorescence ovoïde, Éléocharis ovale</t>
  </si>
  <si>
    <t>93993 - 121778 - 771643 - 86951 - 95922 - 773459 - 91842 - 90926 - 121759 - 773307 - 162406</t>
  </si>
  <si>
    <t>95934 - 772638 - 121776 - 91837 - 95927 - 772197 - 106021 - 121726 - 121761 - 95924 - 773461 - 121688 - 106023 - 773462 - 773767 - 121784 - 771644 - 773692 - 95893 - 93995 - 85481 - 773308</t>
  </si>
  <si>
    <t>Éléocharide à cinq fleurs, Scirpe pauciflore, Scirpe à cinq fleurs, Éléocharis à cinq fleurs</t>
  </si>
  <si>
    <t>121803 - 95933 - 140774 - 95907 - 140773 - 95939 - 771645 - 95912 - 121733 - 95932 - 95906 - 95928 - 95929 - 95930 - 91843 - 95901 - 134062 - 772639</t>
  </si>
  <si>
    <t>Éléocharide à une écaille, Scirpe à une écaille, Éléocharis à une écaille</t>
  </si>
  <si>
    <t>95971 - 614158 - 93808 - 146335 - 95958 - 455463 - 631524 - 95962 - 95967 - 95973 - 95961 - 95964 - 95959 - 93871 - 95972 - 146334 - 95963 - 455318 - 95974 - 614159 - 811759 - 95955 - 95965 - 134066 - 455585 - 95968 - 614157 - 146333</t>
  </si>
  <si>
    <t>Éleusine des Indes, Crételle des Indes</t>
  </si>
  <si>
    <t>82295 - 122906 - 82293 - 128105 - 83104 - 95980 - 122905 - 122907</t>
  </si>
  <si>
    <t>Élodée du Canada</t>
  </si>
  <si>
    <t>95983 - 82297</t>
  </si>
  <si>
    <t>Élodée de Nuttall, Élodée à feuilles étroites</t>
  </si>
  <si>
    <t>86319 - 86256 - 80434 - 86318 - 142677 - 80449 - 142679 - 150597 - 142678 - 127711 - 142668 - 130882 - 100560 - 620455 - 142671 - 142666 - 130628 - 142667 - 95998 - 142669 - 620454 - 142675 - 100559 - 117872 - 117873 - 80427 - 117870 - 127804 - 154991 - 142676 - 80440 - 127812 - 139976 - 127703 - 142670 - 130883 - 117871 - 142673 - 142672 - 142674 - 80425 - 127797 - 146346 - 95992 - 98412 - 141960 - 142680 - 80505</t>
  </si>
  <si>
    <t>Chiendent des chiens, Roegnérie des chiens, Élyme des chiens, Froment des haies</t>
  </si>
  <si>
    <t>960102 - 434469 - 436220 - 5482 - 787981</t>
  </si>
  <si>
    <t>789981 - 142709 - 96030 - 155013 - 130892 - 96029 - 134089 - 95991 - 134090 - 134073 - 80439 - 127753 - 80460 - 130904 - 80464 - 141962 - 127709</t>
  </si>
  <si>
    <t>134080 - 142715 - 80431 - 925179 - 142760 - 127835 - 96034 - 127756 - 925181 - 142761 - 142708 - 161843 - 80442 - 142682 - 80474 - 142716 - 142698 - 142681 - 130906 - 130888 - 80508 - 142756 - 80433 - 141963 - 142712 - 152264 - 142718 - 142696 - 127800 - 96005 - 127738 - 130893 - 127754 - 142767 - 80459 - 127723 - 161844 - 80502 - 80489 - 142704 - 142686 - 127799 - 161845 - 619309 - 142689 - 142702 - 80461 - 142769 - 130913 - 789982 - 80432 - 141965 - 142703 - 141969 - 142699 - 142700 - 152657 - 80511 - 80514 - 142694 - 141826 - 142690 - 80507 - 142713 - 80466 - 127744 - 127824 - 127701 - 619310 - 134081 - 127735 - 789267 - 127826 - 134071 - 142692 - 142714 - 619312 - 142691 - 142697 - 130890 - 130895 - 142762 - 142706 - 142701 - 142687 - 96048 - 142745 - 142768 - 141970 - 80469 - 127196 - 161839 - 86320 - 130896 - 142688 - 142717 - 619308 - 142766</t>
  </si>
  <si>
    <t>773166 - 80510 - 80499 - 95999 - 142759 - 142738 - 127830 - 130910 - 773183 - 142757 - 127793 - 127810 - 142746 - 142753 - 80450 - 142751 - 142736 - 80437 - 80478 - 161846 - 142739 - 146351 - 130903 - 773165 - 142743 - 80435 - 127725 - 142758 - 142744 - 127805 - 142737 - 142748 - 146348 - 96011 - 142755 - 130905 - 142752 - 142741 - 98995 - 142754 - 127737 - 127736 - 619316 - 772137 - 130902 - 127726 - 80485 - 80438 - 146350 - 773164 - 80477 - 142740 - 80458 - 80498 - 80501 - 127732 - 127792 - 127760 - 86610 - 80504 - 80451 - 141971 - 146349 - 127698 - 86322 - 80443 - 141968 - 127750 - 96046 - 142742 - 127752 - 80455 - 130912</t>
  </si>
  <si>
    <t>96051 - 80532 - 142693</t>
  </si>
  <si>
    <t>Chiendent de Tallon, Élytrigie de Tallon</t>
  </si>
  <si>
    <t>80518 - 96050 - 96055 - 80519 - 80527 - 80525 - 80517</t>
  </si>
  <si>
    <t>Chiendent mucroné, Élytrigie mucronée</t>
  </si>
  <si>
    <t>90544 - 96069</t>
  </si>
  <si>
    <t>1001711 - 145053 - 132534 - 960750</t>
  </si>
  <si>
    <t>96105 - 90382 - 96101 - 96109 - 134103 - 96107 - 96108 - 96112 - 96115</t>
  </si>
  <si>
    <t>Éphèdre à deux épis, Éphèdre à chatons opposés, Éphèdre de Suisse, Raisin-de-mer</t>
  </si>
  <si>
    <t>122390 - 122354 - 123051 - 111253 - 82732 - 112880 - 108483 - 96119 - 108972</t>
  </si>
  <si>
    <t>Sélin des Pyrénées, Angélique des Pyrénées, Épikéros des Pyrénées</t>
  </si>
  <si>
    <t>146375 - 96127 - 134124 - 96274</t>
  </si>
  <si>
    <t>Épilobe alpestre</t>
  </si>
  <si>
    <t>976690 - 96224 - 96128 - 96135 - 96125 - 614160 - 96288 - 96266 - 96130 - 96268 - 96172 - 96230</t>
  </si>
  <si>
    <t>Épilobe à feuilles d'alsine</t>
  </si>
  <si>
    <t>154941 - 96134 - 96162 - 134110 - 96188 - 96129</t>
  </si>
  <si>
    <t>Épilobe à feuilles de mouron</t>
  </si>
  <si>
    <t>96255 - 90483 - 116527 - 96280 - 96265 - 90517 - 619317 - 96198 - 96136 - 96278 - 96256 - 96174 - 96211 - 96142 - 96253 - 96173 - 96193</t>
  </si>
  <si>
    <t>Épilobe à feuilles étroites, Épilobe en épi, Laurier de saint Antoine</t>
  </si>
  <si>
    <t>96143 - 96227</t>
  </si>
  <si>
    <t>Épilobe à fruits courts, Épilobe en panicule, Épilobe d'automne</t>
  </si>
  <si>
    <t>718687 - 773438 - 96233 - 772259 - 146369 - 134111 - 96175 - 718686 - 96147 - 154360 - 96286 - 134112 - 773440 - 96201 - 96121 - 772821 - 773443 - 772258 - 96199 - 154361 - 96164 - 96156 - 96149 - 96241 - 96123 - 773441 - 96277 - 773442 - 773439 - 96132 - 96151 - 96126 - 619318 - 146368 - 96187</t>
  </si>
  <si>
    <t>Épilobe cilié</t>
  </si>
  <si>
    <t>619319 - 134117 - 96234 - 96243 - 154615 - 96150 - 96217 - 96146</t>
  </si>
  <si>
    <t>Épilobe des collines</t>
  </si>
  <si>
    <t>618733 - 131294 - 961575 - 81968</t>
  </si>
  <si>
    <t>Amarante de Bouchon</t>
  </si>
  <si>
    <t>90486 - 90484 - 96163 - 96235 - 161115 - 90493 - 90518 - 619320 - 96252</t>
  </si>
  <si>
    <t>96122 - 134118 - 96206 - 96207 - 96223 - 96200 - 96165</t>
  </si>
  <si>
    <t>Épilobe de Durieu</t>
  </si>
  <si>
    <t>96184 - 96259 - 96232 - 134115 - 146374 - 96244 - 90487 - 96133 - 96210 - 96203 - 96260 - 96189 - 96176 - 96179 - 96283 - 96138 - 96272 - 96279 - 96180 - 146373 - 90488</t>
  </si>
  <si>
    <t>Épilobe hérissé, Épilobe hirsute</t>
  </si>
  <si>
    <t>96264 - 134120 - 134116 - 96191 - 96212</t>
  </si>
  <si>
    <t>Épilobe lancéolé, Épilobe à feuilles lancéolées</t>
  </si>
  <si>
    <t>96239 - 146379 - 96269 - 96225 - 96261 - 146378 - 96182 - 146377 - 96195 - 90489 - 96154 - 90490 - 134121 - 134119 - 146376 - 96208</t>
  </si>
  <si>
    <t>Épilobe des montagnes</t>
  </si>
  <si>
    <t>786493 - 435800 - 435797 - 962102 - 434585 - 435798 - 435799</t>
  </si>
  <si>
    <t>96167 - 96285 - 90496 - 90491 - 96220 - 96148 - 96131 - 96287 - 96275 - 96196 - 96159 - 96284 - 146391 - 134122 - 134128 - 134133 - 153110 - 96246 - 134130 - 96169</t>
  </si>
  <si>
    <t>Épilobe à feuilles sombres, Épilobe obscur, Épilobe vert foncé, Épilobe foncé</t>
  </si>
  <si>
    <t>962236 - 886236 - 435845 - 435846</t>
  </si>
  <si>
    <t>146380 - 96257 - 96222 - 146382 - 772822 - 96226 - 90492 - 96158 - 96194 - 146384 - 96242 - 96141 - 773444 - 96166 - 96186 - 619323 - 96262 - 772260 - 96263 - 146381 - 96245 - 96197 - 146383</t>
  </si>
  <si>
    <t>Épilobe des marais</t>
  </si>
  <si>
    <t>96209 - 96267 - 96282 - 90494 - 96202 - 96281 - 96153 - 96229 - 96276 - 146386 - 146385 - 96205 - 146388 - 619325 - 96185 - 619324 - 96254 - 146387 - 96247 - 96240 - 96204 - 90495 - 96152</t>
  </si>
  <si>
    <t>Épilobe à petites fleurs</t>
  </si>
  <si>
    <t>96157 - 96237 - 96170 - 96171 - 96251 - 146389 - 96215 - 90497 - 96236</t>
  </si>
  <si>
    <t>96258 - 96124 - 134126 - 96214 - 96140 - 96271 - 134127 - 96160 - 90498 - 96238 - 96192 - 96228</t>
  </si>
  <si>
    <t>Épilobe de Borbás</t>
  </si>
  <si>
    <t>Épilobe à poils courts</t>
  </si>
  <si>
    <t>96330 - 96301</t>
  </si>
  <si>
    <t>Épilobe de Freyn, Épilobe de Beckaus</t>
  </si>
  <si>
    <t>963515 - 5793 - 788676 - 788091 - 5794 - 436114</t>
  </si>
  <si>
    <t>5797 - 963521 - 788154 - 436117</t>
  </si>
  <si>
    <t>770938 - 787241 - 5757 - 787366 - 436041 - 787321 - 787140 - 786584 - 787881 - 788008 - 786868 - 963539 - 787139 - 5729 - 787972 - 436042</t>
  </si>
  <si>
    <t>963550 - 5025</t>
  </si>
  <si>
    <t>436077 - 434345 - 963587</t>
  </si>
  <si>
    <t>434612 - 963689</t>
  </si>
  <si>
    <t>96358 - 96346 - 96302 - 96371</t>
  </si>
  <si>
    <t>Épilobe des bourbiers</t>
  </si>
  <si>
    <t>963720 - 931252 - 434474</t>
  </si>
  <si>
    <t>6053 - 963812 - 436229</t>
  </si>
  <si>
    <t>436016 - 963836 - 5742</t>
  </si>
  <si>
    <t>787554 - 770995 - 434320 - 787141 - 786620 - 5746 - 788003 - 787324 - 435980 - 435982 - 786580 - 435981 - 5747 - 963845</t>
  </si>
  <si>
    <t>5748 - 786743 - 787403 - 436018 - 963846</t>
  </si>
  <si>
    <t>5773 - 963854 - 436055</t>
  </si>
  <si>
    <t>963859 - 5778 - 436060 - 963858</t>
  </si>
  <si>
    <t>Épilobe du Palatinat</t>
  </si>
  <si>
    <t>96391 - 96379 - 96344 - 96385 - 96328 - 96362 - 96418</t>
  </si>
  <si>
    <t>Épilobe à feuilles de pêcher</t>
  </si>
  <si>
    <t>96356 - 96415 - 96402 - 96387 - 96407</t>
  </si>
  <si>
    <t>Épilobe des ruisseaux</t>
  </si>
  <si>
    <t>96320 - 96370 - 96392 - 96312 - 96411 - 96408 - 96373</t>
  </si>
  <si>
    <t>Épilobe de Schmidt</t>
  </si>
  <si>
    <t>96360 - 96355 - 96416</t>
  </si>
  <si>
    <t>Épilobe presque hirsute</t>
  </si>
  <si>
    <t>788440 - 964244</t>
  </si>
  <si>
    <t>Épimède des Alpes</t>
  </si>
  <si>
    <t>146398 - 134149 - 106032 - 134152 - 101175 - 162272 - 96473 - 96432 - 160243 - 134139 - 96484 - 101179 - 96431 - 719368 - 134151 - 96453 - 101161 - 162274</t>
  </si>
  <si>
    <t>Épipactide rouge sombre, Épipactis rouge sombre, Épipactis brun rouge, Épipactis pourpre noirâtre, Helléborine rouge</t>
  </si>
  <si>
    <t>96439 - 719235 - 612464</t>
  </si>
  <si>
    <t>Épipactide distante, Épipactis à feuilles distantes, Épipactis à feuilles écartées</t>
  </si>
  <si>
    <t>122807 - 96447 - 87456 - 122803 - 93768 - 106029 - 101165 - 96448 - 122820</t>
  </si>
  <si>
    <t>153111 - 96434 - 619326 - 146401 - 96440 - 96449 - 96486 - 134157 - 134142 - 134158</t>
  </si>
  <si>
    <t>101169 - 122818 - 96454 - 134153</t>
  </si>
  <si>
    <t>Épipactide à petites feuilles, Épipactis à petites feuilles</t>
  </si>
  <si>
    <t>719094 - 160166 - 96456 - 134144 - 134154</t>
  </si>
  <si>
    <t>Épipactide de Müller, Épipactis de Müller</t>
  </si>
  <si>
    <t>21 - 25 - 58 - 71</t>
  </si>
  <si>
    <t>122813 - 101173 - 122815 - 96465 - 619328 - 101167 - 619327 - 87457 - 84084 - 93769 - 106031 - 151527 - 96450</t>
  </si>
  <si>
    <t>Épipactide des marais, Épipactis des marais</t>
  </si>
  <si>
    <t>116852 - 964676 - 116825 - 116810 - 964685 - 116847 - 116806</t>
  </si>
  <si>
    <t>Chêne de Streimer, Chêne chauve</t>
  </si>
  <si>
    <t>621321 - 96471 - 611289 - 134156 - 617209 - 146397 - 962003 - 134148 - 96483 - 160196 - 96478 - 134155 - 96481</t>
  </si>
  <si>
    <t>Épipactide pourpre, Épipactis pourpre, Épipactis violacé, Épipactide violacée</t>
  </si>
  <si>
    <t>619330 - 96476</t>
  </si>
  <si>
    <t>Épipactide du Rhône</t>
  </si>
  <si>
    <t>Épipactis hétérogame</t>
  </si>
  <si>
    <t>Épipactis de Pupplinger</t>
  </si>
  <si>
    <t>611292 - 96495</t>
  </si>
  <si>
    <t>Épipactide de Schmalhausen, Épipactis de Schmalhausen</t>
  </si>
  <si>
    <t>96496 - 96429</t>
  </si>
  <si>
    <t>Épipactide de Schulze, Épipactis de Schulze</t>
  </si>
  <si>
    <t>96500 - 96499 - 96442 - 120938 - 110802 - 106027</t>
  </si>
  <si>
    <t>Épipogon sans feuilles, Épipogium sans feuilles</t>
  </si>
  <si>
    <t>771658 - 146404 - 146403 - 81558 - 772677 - 970984 - 134163 - 146402 - 146406 - 96508 - 970732 - 96541 - 96506 - 115823 - 772679 - 96512 - 146405 - 134162 - 96509 - 772678</t>
  </si>
  <si>
    <t>Prêle des champs, Queue-de-renard</t>
  </si>
  <si>
    <t>116032 - 153724 - 139452 - 139439 - 153742 - 153745 - 116057 - 116056 - 116030 - 153716 - 116153 - 153746 - 153749 - 153727 - 116088 - 153750 - 116065 - 139440 - 116124 - 139433 - 965160 - 620345 - 116076 - 116095 - 153713 - 153747 - 116150 - 116064 - 153744 - 116042 - 153741 - 153743 - 116083 - 95450 - 116136 - 153751 - 153740 - 620343 - 150279 - 150280 - 620344 - 116069 - 153753 - 116107 - 153748 - 116147 - 150273 - 139427 - 116070 - 139434 - 116166 - 153752 - 153739</t>
  </si>
  <si>
    <t>Prunier hybride, Prunier Crèque, Prunier sauvage, Prunier à greffer</t>
  </si>
  <si>
    <t>139435 - 150278 - 116133 - 153730 - 139450 - 116060 - 116132 - 153720 - 116139 - 153734 - 116106 - 139432 - 116127 - 150275 - 153721 - 116081 - 153728 - 116119 - 116052 - 116033 - 153735 - 153731 - 116131 - 153737 - 116105 - 116118 - 153738 - 153717 - 150288 - 116151 - 116125 - 153732 - 153736 - 153733 - 153729 - 965168 - 150282</t>
  </si>
  <si>
    <t>146415 - 96526 - 96525 - 96536 - 772680 - 96505 - 96529 - 96519 - 96543 - 96521 - 134164 - 96550 - 134172 - 115826</t>
  </si>
  <si>
    <t>Prêle des eaux, Prêle des cours d'eau, Prêle des rivières, Prêle des bourbiers, Prêle des fanges</t>
  </si>
  <si>
    <t>146411 - 619331 - 96523 - 146407 - 96503 - 115825 - 96573 - 102828</t>
  </si>
  <si>
    <t>96549 - 96547 - 146419 - 146418 - 146416 - 619333 - 96507 - 146417 - 96534 - 96532 - 115827</t>
  </si>
  <si>
    <t>Prêle des marais</t>
  </si>
  <si>
    <t>96504 - 96537 - 96514 - 96516 - 81560 - 96552</t>
  </si>
  <si>
    <t>Prêle des prés</t>
  </si>
  <si>
    <t>146421 - 102829 - 153112 - 96531 - 96517 - 153113 - 619335 - 115828 - 96533 - 96524 - 830395 - 153114 - 96542 - 146426 - 134167 - 146420 - 134165 - 710294 - 96511 - 96539 - 619334 - 146422 - 134173 - 96535 - 146425 - 708083 - 134176 - 96513 - 134175 - 146423 - 134174 - 146424 - 96538 - 146414 - 96540 - 162010</t>
  </si>
  <si>
    <t>81561 - 162443 - 115829 - 96551 - 96545 - 772682 - 772681</t>
  </si>
  <si>
    <t>Prêle des bois, Prêle des forêts</t>
  </si>
  <si>
    <t>965458 - 934378 - 131401 - 131402</t>
  </si>
  <si>
    <t>Anémone à fleurs de Narcisse</t>
  </si>
  <si>
    <t>81559 - 619337 - 96527 - 96546 - 115824 - 154362 - 96518 - 619336 - 614955 - 96522</t>
  </si>
  <si>
    <t>Grande prêle, Prêle d'ivoire</t>
  </si>
  <si>
    <t>96560 - 96562 - 96561</t>
  </si>
  <si>
    <t>Prêle du littoral, Prêle littorale</t>
  </si>
  <si>
    <t>958337 - 146427 - 102831 - 96564 - 102833 - 958342 - 96567</t>
  </si>
  <si>
    <t>Prêle du Midi</t>
  </si>
  <si>
    <t>134166 - 146430 - 96566 - 146409 - 146410 - 96570 - 102834 - 619332 - 96568 - 102832</t>
  </si>
  <si>
    <t>Prêle de Moore, Prêle occidentale</t>
  </si>
  <si>
    <t>619368 - 160706 - 146437 - 619371 - 160705 - 149703 - 107776 - 114150 - 146434 - 114306 - 114307 - 96578 - 146431 - 114194 - 160585 - 160587 - 146432 - 146442 - 96610 - 159650 - 160584 - 619374 - 134186 - 114212 - 114154 - 114364 - 160708 - 114280 - 160700 - 96577 - 160583 - 146440 - 619370 - 146454 - 146438 - 96611 - 146433 - 86498 - 86481 - 96622 - 86495 - 144406 - 146458 - 149702 - 160712 - 96604 - 160707 - 160586 - 146439 - 619369 - 146455 - 619372 - 160699 - 96641 - 160701 - 107775 - 160711 - 114149 - 160698 - 96598 - 107777 - 114303 - 160702 - 619373 - 146456 - 160714 - 160710 - 96590 - 160713 - 134183 - 96645 - 87519 - 146441 - 96632 - 160703 - 114320 - 146435 - 107779 - 86485 - 114408 - 160704 - 160786 - 107781 - 146436 - 619375 - 154992 - 149704 - 96585 - 114263 - 134189</t>
  </si>
  <si>
    <t>Éragrostide de Ciliani</t>
  </si>
  <si>
    <t>114281 - 160800 - 134178 - 96612 - 96615 - 96607</t>
  </si>
  <si>
    <t>Éragrostide du Mexique, Éragrostide verdâtre, Éragrostis verdâtre, Éragrostis du Mexique</t>
  </si>
  <si>
    <t>114195 - 721678 - 160787 - 160790 - 160676 - 134187 - 96631 - 134191 - 619378 - 708086 - 160674 - 96613 - 619379 - 96621 - 617082 - 160785 - 134190 - 719237 - 160789 - 979103 - 160788 - 160791</t>
  </si>
  <si>
    <t>Éragrostide mineure</t>
  </si>
  <si>
    <t>160793 - 619383 - 619381 - 146445 - 96633 - 96592 - 160796 - 96626 - 619382 - 146447 - 134184 - 134182 - 160795 - 160799 - 96614 - 160798 - 160794 - 146443 - 160797 - 160792 - 134181 - 96616</t>
  </si>
  <si>
    <t>Éragrostide à tiges nombreuses, Andropogon pied-de-poule, Éragrostis à tiges nombreuses</t>
  </si>
  <si>
    <t>96625 - 619386 - 146449 - 619384 - 114325 - 114403 - 96642 - 160819 - 96624 - 619388 - 96617 - 96581 - 160818 - 619385 - 160820 - 96587 - 114318 - 619387 - 741207 - 114302</t>
  </si>
  <si>
    <t>Éragrostide en peigne, Éragrostis en peigne, Éragrostide pectinée</t>
  </si>
  <si>
    <t>619393 - 764295 - 160829 - 619391 - 114207 - 160822 - 114196 - 96643 - 114324 - 149764 - 614170 - 619390 - 160831 - 114246 - 114377 - 96576 - 160832 - 146448 - 96637 - 134185 - 96579 - 619392 - 96627 - 160826 - 146452 - 96628 - 146444 - 114346 - 160821 - 96596 - 146450 - 146451 - 114267 - 160827 - 764300 - 160828 - 160824 - 93814 - 619389 - 160825 - 146446 - 114424</t>
  </si>
  <si>
    <t>Éragrostide poilue, Éragrostis poilu</t>
  </si>
  <si>
    <t>619397 - 160904 - 619396 - 134179 - 96589 - 96644 - 146457 - 114428 - 619399 - 96600 - 619398</t>
  </si>
  <si>
    <t>Éragrostide verdissante, Éragrostis verdissant</t>
  </si>
  <si>
    <t>117833 - 104687 - 87597 - 87596 - 96648 - 96647 - 101190 - 101180 - 101195</t>
  </si>
  <si>
    <t>Éranthe d'hiver, Ellébore d'hiver</t>
  </si>
  <si>
    <t>119310 - 966540 - 153922</t>
  </si>
  <si>
    <t>Ronce veloutée, Ronce à pétales ronds</t>
  </si>
  <si>
    <t>717476 - 966595</t>
  </si>
  <si>
    <t>717509 - 966601</t>
  </si>
  <si>
    <t>966614 - 121062</t>
  </si>
  <si>
    <t>Saxifrage de Gizia</t>
  </si>
  <si>
    <t>96663 - 96723 - 146460 - 96664 - 96681 - 96677 - 134194 - 96690</t>
  </si>
  <si>
    <t>Bruyère carnée, Bruyère des neiges, Bruyère herbacée</t>
  </si>
  <si>
    <t>96722 - 96685 - 96699 - 96667 - 96650 - 96693</t>
  </si>
  <si>
    <t>Bruyère cendrée, Bucane</t>
  </si>
  <si>
    <t>787115 - 787505 - 6565 - 966763</t>
  </si>
  <si>
    <t>90927 - 96725 - 96691 - 96658</t>
  </si>
  <si>
    <t>Bruyère à balais, Brande</t>
  </si>
  <si>
    <t>96662 - 96651 - 146463 - 96695 - 96676 - 146464 - 96726 - 125960</t>
  </si>
  <si>
    <t>Bruyère à quatre angles, Bruyère quaternée, Bruyère des marais</t>
  </si>
  <si>
    <t>1008701 - 96697 - 100668 - 96672 - 96673 - 96698</t>
  </si>
  <si>
    <t>Bruyère vagabonde, Bruyère voyageuse</t>
  </si>
  <si>
    <t>134363 - 970328 - 970339 - 146567 - 994514 - 134362 - 967227 - 97451 - 97549 - 134351 - 970334 - 97671 - 97497 - 97503 - 97633 - 970330 - 967314 - 141773 - 153146</t>
  </si>
  <si>
    <t>Euphorbe pourprée, Euphorbe négligée</t>
  </si>
  <si>
    <t>96800 - 160981 - 134203 - 146474 - 134207 - 616846 - 96736 - 84700 - 96768 - 96806 - 127581 - 146482 - 125921 - 146480 - 153119 - 125092 - 160980 - 146469 - 96771 - 146476 - 962012 - 146477 - 146481 - 146473 - 134222</t>
  </si>
  <si>
    <t>Érigéron des Alpes, Vergerette des alpes</t>
  </si>
  <si>
    <t>619403 - 96770 - 134213 - 141467 - 772397 - 125100 - 125094 - 96739 - 116388 - 134212 - 619402 - 125093 - 161851 - 112951 - 112952 - 95094 - 95212 - 84628 - 95091 - 116385 - 146488 - 96740 - 138680 - 125095 - 146487 - 91236</t>
  </si>
  <si>
    <t>Érigéron annuel, Vergerette annuelle, Sténactide annuelle</t>
  </si>
  <si>
    <t>967395 - 5751 - 436022 - 967418 - 967410 - 436020 - 436021</t>
  </si>
  <si>
    <t>92393 - 95008 - 96746 - 107401 - 92377 - 452602 - 84624 - 96815 - 96753 - 92388 - 95007 - 96767 - 96780 - 632693 - 632692 - 125924 - 92410 - 105728 - 92372 - 105729 - 96781 - 84637 - 92386 - 96737</t>
  </si>
  <si>
    <t>Érigéron de Buenos Aires, Vergerette d'argentine, Vergerette de Buenos Aires, Conyze de Buenos Aires</t>
  </si>
  <si>
    <t>634420 - 87183 - 96799 - 96792 - 632694 - 773276 - 96809 - 103601 - 772394 - 92379 - 96788 - 772191 - 772395 - 92409 - 87184 - 96804 - 107402 - 125922 - 96749</t>
  </si>
  <si>
    <t>Érigéron du Canada, Conyze du Canada, Vergerette du Canada</t>
  </si>
  <si>
    <t>96785 - 96775 - 96769 - 96776 - 146485 - 129970 - 96779</t>
  </si>
  <si>
    <t>Érigéron de Karwinsky, Vergerette de Karwinsky</t>
  </si>
  <si>
    <t>96803 - 125102 - 125927 - 95243 - 112954 - 125099 - 96797 - 112953 - 141468 - 95084 - 134214 - 125098 - 138681 - 96813 - 96773 - 619404</t>
  </si>
  <si>
    <t>Érigéron maigre, Vergerette maigre</t>
  </si>
  <si>
    <t>96789 - 92370 - 92382 - 96735 - 92401 - 96757 - 92383 - 96787 - 92380 - 92371 - 96814 - 134216 - 92373 - 92392</t>
  </si>
  <si>
    <t>Érigéron de Sumatra, Conyze de Sumatra, Vergerette blanchâtre, Vergerette de Sumatra</t>
  </si>
  <si>
    <t>96834 - 95253 - 146494 - 619407 - 146493</t>
  </si>
  <si>
    <t>Érine des Alpes, Mandeline des Alpes</t>
  </si>
  <si>
    <t>968354 - 719026 - 968360 - 968363</t>
  </si>
  <si>
    <t>96862 - 96854 - 134230 - 96856 - 146500 - 162276 - 162275 - 134226 - 146495 - 146498 - 134225 - 146499 - 114072 - 976754 - 134227 - 146497 - 121787 - 146496 - 96844 - 106134 - 106135 - 96863</t>
  </si>
  <si>
    <t>Linaigrette à feuilles étroites, Linaigrette à épis nombreux</t>
  </si>
  <si>
    <t>96855 - 96851 - 96860 - 772646 - 96848 - 762159 - 121683 - 772645 - 134228</t>
  </si>
  <si>
    <t>Linaigrette grêle</t>
  </si>
  <si>
    <t>96857 - 134229 - 96852 - 114073 - 96849</t>
  </si>
  <si>
    <t>Linaigrette à feuilles larges</t>
  </si>
  <si>
    <t>771647 - 762160 - 114074 - 121712 - 96861 - 96845 - 96850 - 772652 - 106136 - 772651 - 979118 - 121804 - 88328 - 96858</t>
  </si>
  <si>
    <t>Linaigrette vaginée, Linaigrette engainée, Linaigrette à feuilles engainantes</t>
  </si>
  <si>
    <t>134235 - 153121 - 96926 - 134234 - 96913 - 100107 - 100037 - 146506 - 134253 - 153123 - 153122 - 1013167 - 96893 - 96900 - 146505 - 146510 - 146504</t>
  </si>
  <si>
    <t>Érodium de Chios, Bec-de-grue de Chios</t>
  </si>
  <si>
    <t>100039 - 96891 - 96944 - 100038 - 96889 - 162322 - 96956 - 96894 - 96915</t>
  </si>
  <si>
    <t>Érodium bec-de-cigogne, Bec-de-cigogne</t>
  </si>
  <si>
    <t>96931 - 100040 - 100122 - 96896 - 96895</t>
  </si>
  <si>
    <t>96920 - 134255 - 96947 - 146512 - 96919 - 96905 - 96881 - 100089 - 146514 - 146513</t>
  </si>
  <si>
    <t>Érodium fausse mauve, Érodium à feuilles de mauve</t>
  </si>
  <si>
    <t>160407 - 100106 - 100022 - 160391 - 147410 - 96925</t>
  </si>
  <si>
    <t>Érodium musqué, Bec-de-grue musqué</t>
  </si>
  <si>
    <t>116426 - 969894 - 116424 - 969895 - 969896 - 969890</t>
  </si>
  <si>
    <t>Pulmonaire d'Italie, Pulmonaire hérissée, Pulmonaire saupoudrée</t>
  </si>
  <si>
    <t>134284 - 86375 - 97041 - 146522 - 146520 - 146521 - 134285 - 97016 - 134286 - 153133 - 97872 - 146517 - 97022 - 97036 - 86387 - 153134 - 97032 - 97030 - 134283 - 619415 - 134279 - 97025 - 97027 - 134281 - 97035 - 86453 - 134280 - 117332 - 97038 - 146518 - 86451 - 86456 - 97014 - 128514 - 97034 - 128515 - 89437 - 134282 - 86364 - 146523 - 93356 - 86365 - 97033 - 97037 - 86360 - 97026 - 146519 - 97021 - 97023 - 86412 - 123726 - 97010</t>
  </si>
  <si>
    <t>Roquette cultivée, Roquette vésicaire</t>
  </si>
  <si>
    <t>86413 - 123727 - 97064 - 97074 - 93396 - 146191 - 123829 - 97082 - 97057 - 97075 - 86403 - 95103 - 102874 - 86344 - 102880 - 153077 - 97068</t>
  </si>
  <si>
    <t>Érucastre de France, Fausse roquette de France</t>
  </si>
  <si>
    <t>787698 - 434483 - 970669 - 970671 - 786845 - 5946</t>
  </si>
  <si>
    <t>86464 - 97072 - 619417 - 97071 - 86402 - 97019 - 123758 - 134289 - 97039 - 86362 - 123744 - 123728 - 123820 - 123733 - 97069 - 619416 - 92232 - 95110 - 97205 - 89439 - 102873 - 97073 - 102878 - 102879 - 146524 - 97065 - 93374</t>
  </si>
  <si>
    <t>97081 - 86455</t>
  </si>
  <si>
    <t>Érucastre varié, Fausse Roquette, Fausse roquette variée</t>
  </si>
  <si>
    <t>97084 - 129191 - 129267 - 97102 - 152449 - 621018 - 129240 - 92763 - 96072 - 97090 - 142204</t>
  </si>
  <si>
    <t>Vesce hérissée</t>
  </si>
  <si>
    <t>129309 - 92413 - 129118 - 105453 - 105225 - 129158 - 97085 - 97109 - 129249 - 788870 - 97121 - 129140 - 129243 - 92764</t>
  </si>
  <si>
    <t>Ervilier articulé, Ervilier à une fleur, Vesce articulée, Jarousse, Jaroufle, Jarosse d'Auvergne, Lentille d'Auvergne, Lentille d'Aragon</t>
  </si>
  <si>
    <t>Vicia articulata</t>
  </si>
  <si>
    <t>117724 - 97098 - 129166 - 97088 - 97115</t>
  </si>
  <si>
    <t>Ervilier cultivé, Vesce lentille, Vesce ervilier, Ervilier</t>
  </si>
  <si>
    <t>79991 - 87332 - 107976 - 612440 - 933782 - 91898 - 130756 - 97977 - 970967 - 107980 - 126509 - 126483 - 79998 - 120885 - 970955 - 79994 - 126527 - 79996 - 126500 - 87329</t>
  </si>
  <si>
    <t>Ziziphora acinos, Clinopode acinos, Clinopode des champs, Calament acinos, Thym basilic, Sarriette des champs, Petit basilic</t>
  </si>
  <si>
    <t>120899 - 140577 - 132399 - 79995 - 87340 - 970956</t>
  </si>
  <si>
    <t>Ziziphora de Grenade, Clinopode méridional, Calament méridional, Sarriette méridionale, Acinos méridional, Calament du Midi, Clinopode des Pyrénées, Calament des Pyrénées, Sarriette des Pyrénées, Acinos des Pyrénées</t>
  </si>
  <si>
    <t>97978 - 970963 - 126549 - 970964 - 107977 - 87345 - 970970 - 621624 - 130754 - 132396 - 970965 - 132398 - 126488 - 120886 - 612442 - 87331 - 79992 - 161834 - 107990 - 79990 - 130752 - 91900</t>
  </si>
  <si>
    <t>Ziziphora des Alpes, Clinopode des Alpes, Calament des Alpes, Sarriette des Alpes, Acinos des Alpes</t>
  </si>
  <si>
    <t>129321 - 152476 - 154201 - 97108 - 142201 - 129185 - 97107 - 142242 - 97124 - 129323 - 154200 - 97101 - 97125 - 97123 - 97110 - 129210 - 97091 - 129266</t>
  </si>
  <si>
    <t>Ers grêle, Vesce à fleurs lâches, Vesce grêle, Vesce à petites fleurs</t>
  </si>
  <si>
    <t>161310 - 129099 - 129325 - 97128 - 129176 - 97089</t>
  </si>
  <si>
    <t>Ers à quatre graines, Lentillon, Vesce à quatre graines</t>
  </si>
  <si>
    <t>Panicaut des Alpes, Étoile des Alpes, Chardon des Alpes</t>
  </si>
  <si>
    <t>97146 - 97143 - 146527 - 97151 - 97141 - 134293 - 97150 - 97153 - 97139 - 146528 - 97136</t>
  </si>
  <si>
    <t>Panicaut champêtre, Chardon Roland</t>
  </si>
  <si>
    <t>97183 - 146529 - 97240 - 93359 - 97241 - 146530 - 90645 - 90638 - 97242 - 97159 - 92258 - 90604</t>
  </si>
  <si>
    <t>90615 - 161300 - 97187 - 134325 - 90625 - 145485 - 90623 - 90648 - 97269 - 145480 - 145481 - 90642 - 145483 - 134320 - 90643 - 97231 - 97215 - 97251 - 145476 - 93345 - 145478 - 97185 - 152976 - 145477 - 133217 - 90605 - 145479 - 90644 - 145482 - 145484 - 90613</t>
  </si>
  <si>
    <t>Giroflée des murailles, Violier jaune, Violier des murailles, Vélar violier, Vélar giroflée</t>
  </si>
  <si>
    <t>97199 - 621122 - 153142 - 92256 - 97191 - 90608 - 97234 - 161181 - 90628 - 134324 - 134299 - 97219 - 90607 - 153140 - 97170 - 134296 - 134321 - 97195 - 97209 - 153141 - 159655 - 134326</t>
  </si>
  <si>
    <t>Vélar jaune pâle, Vélar jaunâtre</t>
  </si>
  <si>
    <t>90646 - 97204 - 97184 - 97232 - 97186 - 90633 - 154844 - 97266 - 97193 - 97235 - 134314 - 97274 - 97239 - 90609 - 97206 - 134309 - 97270</t>
  </si>
  <si>
    <t>Vélar odorant</t>
  </si>
  <si>
    <t>97244 - 97257 - 97260 - 90649 - 90629 - 93404 - 97189 - 97256</t>
  </si>
  <si>
    <t>Vélar étalé</t>
  </si>
  <si>
    <t>97277 - 97202 - 134313 - 90647 - 134315 - 97197 - 146533 - 134311 - 93364 - 97198 - 134316 - 90652 - 134298 - 97216 - 134310 - 97226 - 97217 - 97163 - 944831 - 153135 - 90650 - 97267 - 97207 - 90616 - 619420 - 97212 - 97268 - 146536 - 97190 - 134312 - 97165 - 134317 - 146535 - 146534 - 97196 - 97245</t>
  </si>
  <si>
    <t>Vélar en baguette, Vélar à feuilles d'épervière</t>
  </si>
  <si>
    <t>97324 - 97329 - 97326 - 97328 - 160242 - 97330 - 97322 - 97327 - 97323 - 97325</t>
  </si>
  <si>
    <t>Érythrone dent-de-chien, Érythronium dent-de-chien, Dent-de-chien</t>
  </si>
  <si>
    <t>140879 - 122118 - 122217 - 122218 - 122276 - 151376 - 112812 - 151375 - 138659 - 151390 - 140884 - 122245 - 151377 - 973446</t>
  </si>
  <si>
    <t>Orpin à pétales droits</t>
  </si>
  <si>
    <t>25 - 71</t>
  </si>
  <si>
    <t>97348 - 97347 - 97346 - 91096 - 97351 - 91097 - 97349 - 97350 - 110066 - 91098 - 97352 - 91100 - 97353 - 91099</t>
  </si>
  <si>
    <t>Pavot de Californie, Eschscholzie de Californie</t>
  </si>
  <si>
    <t>162383 - 97419</t>
  </si>
  <si>
    <t>Euclidium de Syrie</t>
  </si>
  <si>
    <t>106890 - 106940 - 80538 - 97425 - 161655 - 115108 - 106903 - 129900 - 106906 - 97423 - 123444</t>
  </si>
  <si>
    <t>Silène rose-du-ciel, Eudianthe rose-du-ciel</t>
  </si>
  <si>
    <t>97445 - 97434 - 97435 - 97433 - 93567 - 97440 - 97441 - 97442 - 91000</t>
  </si>
  <si>
    <t>90562 - 126712 - 97356 - 97452 - 97589</t>
  </si>
  <si>
    <t>126715 - 97454 - 97590 - 126714 - 1009521 - 134360</t>
  </si>
  <si>
    <t>Euphorbe anguleuse, Euphorbe à tiges anguleuses</t>
  </si>
  <si>
    <t>97560 - 82762 - 126723 - 126752 - 97471 - 146561 - 146563 - 134355 - 90528 - 90543 - 134356 - 97477 - 146562 - 134354 - 130474 - 95185 - 133213 - 97576 - 90535 - 97614 - 133215 - 133214 - 146564</t>
  </si>
  <si>
    <t>Euphorbe petit-figuier, Monnoyère</t>
  </si>
  <si>
    <t>99236 - 126729 - 97490 - 978887 - 126709 - 97360 - 97509 - 97361 - 104473</t>
  </si>
  <si>
    <t>Euphorbe petit-cyprès, Euphorbe faux cyprès, Petite ésule</t>
  </si>
  <si>
    <t>Euphorbe dentée</t>
  </si>
  <si>
    <t>97365 - 126733 - 97481 - 97502</t>
  </si>
  <si>
    <t>Euphorbe douce</t>
  </si>
  <si>
    <t>97654 - 97381 - 97465 - 97587 - 97380 - 619427 - 141775 - 978894 - 97530 - 134368 - 97581 - 97457 - 97528 - 97357 - 97508 - 134367 - 97362 - 97626 - 134370 - 99238 - 141774 - 97613 - 97391 - 126746 - 153147 - 97655 - 1009208 - 126732 - 134371 - 97519 - 126713 - 97554 - 97515 - 938654 - 97453 - 126734 - 97628 - 104474 - 97547</t>
  </si>
  <si>
    <t>Euphorbe ésule, Euphorbe feuillue, Euphorbe âcre</t>
  </si>
  <si>
    <t>134376 - 97511 - 97640 - 146571 - 97690 - 1009442 - 126735 - 146573 - 97364 - 811237 - 1009440 - 97487 - 134377 - 146572 - 1009439 - 97488 - 97388 - 97499 - 97366 - 719240 - 104475</t>
  </si>
  <si>
    <t>Euphorbe fluette, Euphorbe exiguë</t>
  </si>
  <si>
    <t>104476 - 126736 - 97367 - 97582 - 97513 - 126750</t>
  </si>
  <si>
    <t>Euphorbe en faux, Euphorbe à cornes en faucille</t>
  </si>
  <si>
    <t>Euphorbia falcata</t>
  </si>
  <si>
    <t>154886 - 1009657 - 1009656 - 155105 - 97517 - 97516 - 134353 - 126738 - 97618</t>
  </si>
  <si>
    <t>Euphorbe à tête jaune-d'or, Euphorbe à ombelles jaunes, Euphorbe à tête jaune</t>
  </si>
  <si>
    <t>97686 - 126781 - 97533 - 97558 - 97387 - 126740</t>
  </si>
  <si>
    <t>Euphorbe à feuilles de graminée</t>
  </si>
  <si>
    <t>99239 - 153150 - 772224 - 134390 - 126741 - 97537</t>
  </si>
  <si>
    <t>Euphorbe réveil matin, Herbe aux verrues</t>
  </si>
  <si>
    <t>97620 - 97543 - 97627 - 90531 - 82763</t>
  </si>
  <si>
    <t>Euphorbe couchée</t>
  </si>
  <si>
    <t>126743 - 619431 - 97369 - 97544 - 134392</t>
  </si>
  <si>
    <t>Euphorbe d'Irlande</t>
  </si>
  <si>
    <t>92811 - 90482 - 108409 - 116557 - 990516 - 100707 - 975508 - 116491 - 124318 - 116573 - 124313 - 620803 - 105378 - 990486 - 124334 - 620804 - 83894 - 92857 - 124332 - 83727 - 124314 - 92835</t>
  </si>
  <si>
    <t>Sorbier petit néflier, Sorbier nain</t>
  </si>
  <si>
    <t>975515 - 116495 - 83744 - 620838 - 108439 - 126902 - 116614 - 124346 - 108438 - 116606 - 124322 - 92916 - 105381 - 990533 - 126900 - 985247 - 100709 - 83743 - 126901 - 990606</t>
  </si>
  <si>
    <t>Sorbier alisier</t>
  </si>
  <si>
    <t>990702 - 141325 - 620832 - 990704 - 975519 - 124365 - 141324 - 124366 - 611485 - 116627 - 124355 - 116617 - 975518 - 620831 - 990703 - 620833</t>
  </si>
  <si>
    <t>Sorbier de Thuringe</t>
  </si>
  <si>
    <t>99237 - 97556 - 126744 - 97491 - 99240</t>
  </si>
  <si>
    <t>Euphorbe épurge, Euphorbe des jardins, Herbe-aux-taupes</t>
  </si>
  <si>
    <t>141322 - 124339 - 990710 - 100708 - 83736 - 990707 - 620829 - 124329 - 990709 - 620830 - 990708 - 620828 - 154653 - 975567 - 124345</t>
  </si>
  <si>
    <t>Alisier de Mougeot, Sorbier de Mougeot</t>
  </si>
  <si>
    <t>990831 - 620818 - 620814 - 620825 - 620824 - 620826 - 620812 - 124362 - 620811 - 620819 - 620815 - 990737 - 620821 - 975574 - 620817 - 620823 - 620813 - 990741 - 975572 - 620810 - 159849 - 131620 - 620822 - 620816</t>
  </si>
  <si>
    <t>Alisier de Suède</t>
  </si>
  <si>
    <t>124317 - 620837 - 620836 - 620835 - 124368 - 990860 - 975594 - 975598 - 124344 - 162496 - 124338 - 975593 - 620834</t>
  </si>
  <si>
    <t>Sorbier confus, Sorbier hybride</t>
  </si>
  <si>
    <t>620827 - 124325 - 139533 - 975602 - 990951 - 116629 - 141315 - 124356 - 116589 - 990923 - 92868 - 83735 - 990917 - 92844</t>
  </si>
  <si>
    <t>Alisier de Fontainebleau, Élorsier</t>
  </si>
  <si>
    <t>160073 - 97691 - 134375 - 97567 - 146570 - 97510</t>
  </si>
  <si>
    <t>Euphorbe de Lorey, Euphorbe triste</t>
  </si>
  <si>
    <t>97571 - 126747 - 97495 - 97681 - 82764 - 97496 - 97553 - 90533 - 90532 - 90542</t>
  </si>
  <si>
    <t>Euphorbe maculée, Euphorbe tachetée, Euphorbe tachée, Euphorbe de Jovet</t>
  </si>
  <si>
    <t>105567 - 1009062 - 80370 - 97574 - 105566 - 978949</t>
  </si>
  <si>
    <t>Euphorbe marginée, Euphorbe à feuilles marginées</t>
  </si>
  <si>
    <t>97569 - 126751 - 97599 - 97371 - 97665 - 811132 - 1009570 - 97552 - 134395 - 97591 - 97602 - 134394 - 154885 - 134396 - 1009619 - 154884 - 97456 - 97529 - 126749</t>
  </si>
  <si>
    <t>Euphorbe de Nice</t>
  </si>
  <si>
    <t>97594 - 97622 - 126753 - 97638 - 97526 - 90536 - 90539</t>
  </si>
  <si>
    <t>Euphorbe couchée, Euphorbe penchée</t>
  </si>
  <si>
    <t>126754 - 97601 - 97373 - 97697 - 97657 - 97593 - 1009515</t>
  </si>
  <si>
    <t>Euphorbe des marais</t>
  </si>
  <si>
    <t>104477 - 97578 - 104478 - 97646 - 97609 - 97608 - 134397 - 146581 - 97382 - 134398 - 1009436 - 126759 - 146579 - 1009418 - 146580 - 97370 - 97634 - 126768</t>
  </si>
  <si>
    <t>Euphorbe péplus, Euphorbe des jardins, Euphorbe omblette, Ésule ronde</t>
  </si>
  <si>
    <t>103881 - 121736 - 103878 - 121710 - 121791 - 121725 - 103900 - 94020 - 103872 - 976153 - 121786 - 121554 - 121748 - 121573 - 103904 - 103886</t>
  </si>
  <si>
    <t>Schénoplectielle couchée, Schénoplecte couché, Scirpe couché</t>
  </si>
  <si>
    <t>97377 - 126761 - 97479 - 134402 - 97616 - 146582</t>
  </si>
  <si>
    <t>Euphorbe à feuilles larges, Euphorbe à feuilles plates</t>
  </si>
  <si>
    <t>121755 - 121721 - 976160 - 674659 - 121732 - 121751 - 121552</t>
  </si>
  <si>
    <t>Schénoplectielle mucronée, Schénoplecte mucroné, Scirpe mucroné, Scirpe à écailles mucronées</t>
  </si>
  <si>
    <t>97623 - 633586 - 90540 - 82767 - 97470</t>
  </si>
  <si>
    <t>Grande rougette, euphorbe prostrée</t>
  </si>
  <si>
    <t>97719 - 1009090 - 97689 - 619428 - 97715 - 97692 - 97656 - 97702 - 134374 - 134369 - 97464 - 1009087 - 134372 - 134421 - 134420 - 619429 - 97717 - 134422 - 134389 - 97704</t>
  </si>
  <si>
    <t>Euphorbe de Sarato</t>
  </si>
  <si>
    <t>97383 - 104480 - 126772 - 126745 - 1009445 - 97659 - 126725</t>
  </si>
  <si>
    <t>Euphorbe des moissons</t>
  </si>
  <si>
    <t>97660 - 126774</t>
  </si>
  <si>
    <t>708140 - 97572 - 97666 - 97520 - 811155 - 97539 - 633578 - 82768 - 90541 - 766219</t>
  </si>
  <si>
    <t>Euphorbe rampante, Euphorbe serpent</t>
  </si>
  <si>
    <t>97668 - 97676 - 134404 - 126777 - 1009518 - 97577</t>
  </si>
  <si>
    <t>Euphorbe raide</t>
  </si>
  <si>
    <t>97548 - 1009652 - 141777 - 1009654 - 134380 - 126720 - 97699 - 1009650 - 97466 - 134381 - 1009655 - 134387 - 134406 - 153148 - 126718 - 146569 - 97494</t>
  </si>
  <si>
    <t>Euphorbe verruqueuse</t>
  </si>
  <si>
    <t>97703 - 97709 - 97708 - 141779 - 126788 - 126786 - 97390 - 146590 - 97722</t>
  </si>
  <si>
    <t>Euphorbe en baguette, Euphorbe de Waldstein</t>
  </si>
  <si>
    <t>97712 - 97720</t>
  </si>
  <si>
    <t>Euphorbe fausse ésule</t>
  </si>
  <si>
    <t>134434 - 134442 - 97815 - 97757 - 619442 - 97771</t>
  </si>
  <si>
    <t>Euphraise à petites fleurs, Euphraise grêle</t>
  </si>
  <si>
    <t>97749 - 134445 - 134427 - 153160 - 97772 - 97773 - 146593 - 97737 - 619443 - 153161</t>
  </si>
  <si>
    <t>Euphraise minime, Petite euphraise</t>
  </si>
  <si>
    <t>984520 - 97776 - 97777 - 134435 - 134448 - 134449 - 97756 - 134432 - 771780 - 771781 - 146595 - 97747 - 134436 - 619445</t>
  </si>
  <si>
    <t>Euphraise des bois, Euphraise des forêts</t>
  </si>
  <si>
    <t>Euphraise officinale, Casse-lunettes, Petite euphraise</t>
  </si>
  <si>
    <t>97784 - 134451 - 134470 - 97795 - 134444 - 134468 - 97755 - 134439 - 97739 - 97812 - 97770 - 97763 - 162329 - 97797 - 97796 - 97760 - 97818 - 146597 - 97728 - 134438</t>
  </si>
  <si>
    <t>Euphrasia pectinée, Euphraise à feuilles en peigne</t>
  </si>
  <si>
    <t>97810 - 153167 - 134455 - 153166 - 97804 - 97741 - 97782 - 97746 - 134467 - 97748</t>
  </si>
  <si>
    <t>Euphraise de Salzbourg</t>
  </si>
  <si>
    <t>146603 - 718967 - 97814 - 97813 - 97783 - 153169 - 134425 - 97811 - 134456 - 97743 - 619446 - 146600 - 97800 - 134433 - 134469 - 97742 - 97733 - 97798 - 97727 - 97750 - 134457 - 161946 - 146601</t>
  </si>
  <si>
    <t>Euphraise raide</t>
  </si>
  <si>
    <t>978808 - 101475 - 978794 - 101477</t>
  </si>
  <si>
    <t>91133 - 97904 - 91131 - 162387 - 97319 - 108488 - 619447 - 99930 - 146610 - 91135</t>
  </si>
  <si>
    <t>Cicendie naine, Exacule nain, Cicendie fluette, Exacule fluet</t>
  </si>
  <si>
    <t>97941 - 162374 - 104714 - 97938 - 101231 - 114682 - 113088 - 114714 - 97935 - 97942 - 114722</t>
  </si>
  <si>
    <t>Sarrasin cultivé, Blé noir, Sarrasin</t>
  </si>
  <si>
    <t>97937 - 114884 - 97932 - 101233 - 113089 - 97940</t>
  </si>
  <si>
    <t>Sarrasin de Tartarie, Blé noir fourrager</t>
  </si>
  <si>
    <t>718850 - 718851 - 146618 - 97947 - 153172 - 146613 - 613816 - 1010141 - 134475 - 146616 - 146611 - 978980 - 1010139 - 134476 - 1010147 - 153173 - 97946 - 146615 - 146614 - 613516 - 619449 - 1010151 - 613817 - 621488 - 1010152 - 89303 - 146612 - 153174 - 1010144 - 1010146 - 146617 - 1010148 - 1010137 - 1010154 - 1010134 - 153171 - 154616</t>
  </si>
  <si>
    <t>Hêtre des forêts, Hêtre, Fayard, Hêtre commun, Fouteau</t>
  </si>
  <si>
    <t>95428 - 93182 - 97952 - 97950 - 101218 - 115959 - 97949 - 97955 - 123951 - 97956 - 122346 - 97951 - 97954 - 87043 - 115958 - 123019 - 123950 - 95430</t>
  </si>
  <si>
    <t>Falcaire commune, Falcaire de Rivinus, Falcaire des champs</t>
  </si>
  <si>
    <t>86005 - 97960 - 126696 - 97961 - 619450 - 114659 - 945004 - 114657</t>
  </si>
  <si>
    <t>Fallopie de Boukhara, Vrillée de Boukhara, Renouée du Turkestan, Renouée de Boukhara, Vrillée de Bal'dzhuan, Renouée de Bal'dzhuan</t>
  </si>
  <si>
    <t>86006 - 114693 - 772023 - 772914 - 149925 - 114879 - 114749 - 126697 - 114662 - 101228 - 97930 - 97929 - 114695 - 146619 - 146620 - 126698 - 97962 - 114694</t>
  </si>
  <si>
    <t>Fallopie liseron, Vrillée liseron, Renouée liseron, Vrillée sauvage, Vrillée bâtarde, Faux liseron</t>
  </si>
  <si>
    <t>97939 - 126695 - 97936 - 86007 - 97963 - 97934 - 114634 - 101230 - 126699 - 114709</t>
  </si>
  <si>
    <t>Fallopie des haies, Fallopie des buissons, Vrillée des buissons, Renouée des buissons, Renouée des haies, Grande vrillée bâtarde</t>
  </si>
  <si>
    <t>98059 - 146866 - 146817 - 98060 - 147074 - 134574 - 146867</t>
  </si>
  <si>
    <t>98079 - 98165 - 134536 - 98505 - 153182 - 134495 - 134494</t>
  </si>
  <si>
    <t>Fétuque d'Auvergne</t>
  </si>
  <si>
    <t>98464 - 98086</t>
  </si>
  <si>
    <t>Fétuque d'Auquier</t>
  </si>
  <si>
    <t>153194 - 619479 - 619478 - 147050 - 146835 - 98582 - 619480 - 619477 - 146732 - 146738 - 98114 - 134640 - 134513</t>
  </si>
  <si>
    <t>Fétuque durette, Fétuque à poils courts</t>
  </si>
  <si>
    <t>98120 - 98255</t>
  </si>
  <si>
    <t>Fétuque de Bourgogne</t>
  </si>
  <si>
    <t>146791 - 153186 - 153185 - 153183 - 134529 - 146790 - 98147 - 146703 - 98179 - 146881 - 146715</t>
  </si>
  <si>
    <t>Fétuque cendrée</t>
  </si>
  <si>
    <t>100904 - 147587 - 117651 - 117659 - 981677 - 91703 - 91732 - 135228 - 161583 - 147559 - 100949 - 100963 - 100973 - 100950 - 619581 - 100905 - 135172 - 135173 - 147560 - 135175 - 135208 - 718696 - 91640 - 117661 - 117660 - 135230 - 147584 - 147596 - 147591 - 135229 - 135222 - 981676 - 135174 - 135224 - 100966 - 147558 - 101007 - 101008 - 135206</t>
  </si>
  <si>
    <t>Hélianthème blanchi, Hélianthème blanchâtre, Hélianthème blanc, Hélianthème de chiens</t>
  </si>
  <si>
    <t>98130 - 98293 - 98429 - 98567 - 98133 - 98395 - 98211 - 98134 - 619459 - 147046 - 98228 - 146896 - 98432 - 98127 - 98131 - 98159 - 98487 - 134589 - 147048 - 146903 - 98229 - 98103 - 147047 - 619457 - 98098 - 772902 - 98267 - 98574 - 146872 - 619458 - 134590 - 146892 - 98369</t>
  </si>
  <si>
    <t>Fétuque filiforme, Fétuque capillaire</t>
  </si>
  <si>
    <t>146678 - 134578 - 146878 - 98258 - 146711 - 98257</t>
  </si>
  <si>
    <t>Fétuque glauque</t>
  </si>
  <si>
    <t>98462 - 98419 - 98218 - 98580 - 146828 - 146984 - 147000 - 98278 - 134625 - 134615 - 789269 - 146925 - 146970 - 146978 - 98188 - 153201 - 146988 - 146993 - 98446 - 146994 - 146743 - 98367 - 98390 - 146969 - 619472 - 98368 - 134628</t>
  </si>
  <si>
    <t>Fétuque douteuse, Fétuque à feuilles plates</t>
  </si>
  <si>
    <t>153188 - 146885 - 98279</t>
  </si>
  <si>
    <t>Fétuque à feuilles d'épaisseur variable</t>
  </si>
  <si>
    <t>146813 - 146814 - 146812 - 146815 - 134626 - 98347 - 146819 - 98540 - 98105 - 98388 - 146823 - 154371 - 146822 - 146979 - 98041 - 146816 - 98351 - 98535 - 146982 - 134618 - 98398 - 98227 - 146821 - 146967 - 98166 - 98399 - 146811 - 146824 - 146825 - 98336 - 147003 - 98458 - 98163 - 98595 - 98372 - 146820 - 98084 - 98226 - 146714 - 98348 - 146973 - 98280 - 98102</t>
  </si>
  <si>
    <t>Fétuque hétérophylle</t>
  </si>
  <si>
    <t>98526 - 98409 - 98410 - 98170 - 98584 - 98604 - 146871 - 98164 - 134548 - 146701 - 98189 - 98217 - 146676 - 98209 - 146735 - 98353 - 146792 - 146804 - 146731 - 146704 - 98317 - 146725 - 98318 - 134504 - 146720 - 146677 - 98422 - 159491 - 146719 - 98588 - 619461 - 98125 - 134500 - 98313 - 146706 - 146705 - 98319 - 146873 - 134503 - 146801 - 147034 - 146797 - 134497 - 146794 - 134547 - 134499</t>
  </si>
  <si>
    <t>Fétuque lisse</t>
  </si>
  <si>
    <t>146702 - 146980 - 146887 - 98334 - 98583 - 98097 - 98443 - 146721</t>
  </si>
  <si>
    <t>Fétuque de Léman</t>
  </si>
  <si>
    <t>98345 - 146800 - 134583 - 146899 - 134551 - 146724 - 146870 - 146700 - 146723 - 146869 - 146679 - 134528 - 98416 - 98122 - 98349 - 146888 - 146799 - 146889 - 98307 - 134496</t>
  </si>
  <si>
    <t>Fétuque à feuilles longues, Fétuque à longues feuilles</t>
  </si>
  <si>
    <t>134584 - 146908 - 134550 - 98358 - 146737 - 134510</t>
  </si>
  <si>
    <t>98374 - 134624 - 146986 - 134561</t>
  </si>
  <si>
    <t>Fétuque à petites feuilles</t>
  </si>
  <si>
    <t>90731 - 90817 - 983832 - 983817 - 90692 - 133247 - 133245 - 133224 - 90818 - 133231 - 90778 - 90819 - 133236 - 160193 - 90810 - 90763 - 133246</t>
  </si>
  <si>
    <t>Chénopode strié</t>
  </si>
  <si>
    <t>98524 - 98212 - 146862 - 98219 - 153202 - 146961 - 134562 - 134610 - 98096 - 98123 - 98137 - 146963 - 98590 - 98230 - 146962 - 98546 - 146989 - 98404 - 98040 - 98602 - 98379 - 98275 - 146818 - 98470 - 98183 - 98151 - 98215 - 153198 - 134611 - 98328 - 146761 - 98310 - 98055 - 98231 - 146760 - 134616 - 98561 - 98423 - 153199 - 134612 - 98560 - 146965 - 146990 - 98253</t>
  </si>
  <si>
    <t>Fétuque noircissante, Fétuque noirâtre</t>
  </si>
  <si>
    <t>98425 - 134538</t>
  </si>
  <si>
    <t>Fétuque ovine, Fétuque des moutons</t>
  </si>
  <si>
    <t>146728 - 146895 - 134530 - 98426 - 146803 - 134498 - 968150</t>
  </si>
  <si>
    <t>Fétuque pâle</t>
  </si>
  <si>
    <t>134552 - 98433 - 146798 - 146710 - 146793</t>
  </si>
  <si>
    <t>Fétuque de Patzke, Fétuque fausse fétuque de Coste</t>
  </si>
  <si>
    <t>92056 - 86970 - 92547 - 105680 - 92556 - 92549 - 92561 - 93410 - 92558 - 109439 - 984396 - 122529 - 92557 - 122535 - 133442 - 87887 - 92548 - 92037 - 92555 - 92060 - 122530 - 92559 - 108935 - 122534</t>
  </si>
  <si>
    <t>Passerage écailleuse, Sénebière commune, Corne-de-cerf commune, Corne-de-cerf écailleuse, Sénebière corne-de-cerf</t>
  </si>
  <si>
    <t>146729 - 146987 - 98506 - 146999</t>
  </si>
  <si>
    <t>Fétuque des ruisseaux, Fétuque des berges, Fétuque des rives</t>
  </si>
  <si>
    <t>146875 - 98191 - 98327 - 146730 - 98488 - 98314 - 134614 - 98340 - 100561 - 98611 - 98303 - 98504 - 98512 - 98581 - 146897 - 98393 - 98259 - 98466 - 98077 - 98205 - 98182 - 98301 - 98106 - 98414 - 98158 - 98142 - 98243 - 146707 - 98222 - 98578 - 98198 - 146996 - 98186 - 98331 - 85245 - 98428 - 98585 - 98066 - 98320 - 146997 - 154380 - 134609 - 98335 - 98497 - 154372 - 98559 - 147010 - 98195 - 98168 - 98401 - 98270 - 98100 - 146697 - 98053 - 134617 - 98197 - 98496</t>
  </si>
  <si>
    <t>151401 - 985737 - 122220 - 985733 - 985736 - 985735 - 985738</t>
  </si>
  <si>
    <t>Orpin à feuilles opposées, Phédime à feuilles opposées</t>
  </si>
  <si>
    <t>98586 - 147006 - 147007 - 153205 - 147005</t>
  </si>
  <si>
    <t>Fétuque à feuilles capillaires</t>
  </si>
  <si>
    <t>146734 - 98596 - 147039 - 146904 - 147058 - 98296 - 134514 - 146733 - 147037 - 134591 - 146796 - 620285 - 154373 - 146880 - 147038 - 98456 - 134641 - 147059 - 98332 - 146909</t>
  </si>
  <si>
    <t>Fétuque du Valais</t>
  </si>
  <si>
    <t>95308 - 98642 - 81890 - 98641 - 97971 - 619483 - 81892 - 80148 - 98640</t>
  </si>
  <si>
    <t>Fibigie rostrée, Herbe de Jérusalem, Herbe des croisades</t>
  </si>
  <si>
    <t>111027 - 149067 - 111096 - 111223 - 111090 - 986475 - 111174 - 614168 - 111028 - 149065 - 149066</t>
  </si>
  <si>
    <t>Orchis à souche étroite</t>
  </si>
  <si>
    <t>98650 - 117179 - 98651 - 116980 - 98647 - 121990 - 98644 - 117019</t>
  </si>
  <si>
    <t>Ficaire printanière, Renoncule ficaire</t>
  </si>
  <si>
    <t>147084 - 87817 - 98658 - 98652 - 134667 - 98654 - 98659 - 134668 - 98655 - 98653 - 98661 - 98656</t>
  </si>
  <si>
    <t>Figuier d'Europe</t>
  </si>
  <si>
    <t>109991 - 980100 - 98696 - 98684 - 1003561 - 100443 - 938675 - 98669 - 134669 - 100491 - 98667 - 100442 - 109989 - 100474 - 79864 - 106448 - 100504</t>
  </si>
  <si>
    <t>Cotonnière des champs, Immortelle des champs, Logfie des champs</t>
  </si>
  <si>
    <t>100249 - 98700 - 98707 - 134673 - 134681 - 718978 - 98670 - 134683 - 147086 - 100465 - 98672 - 98681 - 147087 - 147088</t>
  </si>
  <si>
    <t>Cotonnière d'Allemagne, Cotonnière commune, Immortelle d'Allemagne</t>
  </si>
  <si>
    <t>98687 - 98668 - 98679 - 979500 - 147095 - 619484 - 134670 - 134685 - 134672 - 134676 - 984526 - 161866</t>
  </si>
  <si>
    <t>98694 - 106452 - 619486 - 100486 - 109992 - 106453</t>
  </si>
  <si>
    <t>Cotonnière négligée, Logfie négligée</t>
  </si>
  <si>
    <t>134677 - 98695 - 134678 - 100464 - 619488 - 147498 - 98680 - 134674 - 100250 - 147090 - 619487 - 134680 - 98683 - 103581 - 98699 - 160001 - 103580 - 147093 - 147092 - 100506 - 98682 - 98675 - 147096 - 147094 - 134679 - 98674 - 98701 - 100496 - 98697</t>
  </si>
  <si>
    <t>Cotonnière pyramidale, Cotonnière spatulée, Cotonnière à feuilles spatulées, Cotonnière en pyramide</t>
  </si>
  <si>
    <t>152004 - 128145 - 98717 - 152005 - 124674 - 152008 - 152009 - 134687 - 134688 - 771893 - 124665 - 124641 - 128146 - 128147 - 619489 - 98713 - 134686 - 613149 - 152007 - 141396 - 124660 - 124658 - 128142 - 128149 - 152006 - 128148 - 613519 - 141394 - 124677 - 124634 - 141395</t>
  </si>
  <si>
    <t>Reine-des-prés, Spirée Ulmaire, Filipendule ulmaire</t>
  </si>
  <si>
    <t>98718 - 124640 - 124679 - 124663 - 98715 - 98714 - 124636 - 124656 - 124673 - 128143 - 128144 - 98716</t>
  </si>
  <si>
    <t>Filipendule commune, Spirée filipendule, Filipendule à six pétales, Filipendule vulgaire</t>
  </si>
  <si>
    <t>98748 - 82691 - 98749 - 708185 - 105931 - 147097 - 134693 - 82697 - 98751 - 108458 - 134692 - 82693 - 98756</t>
  </si>
  <si>
    <t>Fenouil commun, Lani, Anis doux, Fenouil</t>
  </si>
  <si>
    <t>Forsythia intermédiaire, Forsythia de Paris</t>
  </si>
  <si>
    <t>89442 - 127993 - 98787 - 83293 - 97164 - 83292 - 83365 - 93390 - 128006 - 128023 - 83390 - 86334</t>
  </si>
  <si>
    <t>Fourrée des Alpes, Arabette à feuilles de chou, Arabette à fleurs peu nombreuses, Arabette faux chou, Arabette pauciflore</t>
  </si>
  <si>
    <t>147116 - 98816 - 134699 - 98831 - 98833 - 98844 - 147115 - 98824 - 98878 - 619494 - 98830 - 98846 - 115562 - 147139 - 98819 - 147135</t>
  </si>
  <si>
    <t>Fraisier musqué</t>
  </si>
  <si>
    <t>98797 - 147144 - 98798 - 98814 - 147150 - 147147 - 147134 - 98852 - 98869 - 147157 - 147156 - 147154 - 147146 - 98818 - 98834 - 94231 - 147140 - 98847 - 710431 - 147128 - 147133 - 147127 - 98865 - 147138 - 147122 - 98822 - 98829 - 115697 - 98861 - 147117 - 98827 - 98853 - 147121 - 147141 - 98860 - 98838 - 147153 - 147143 - 147130 - 134700 - 98796 - 147155 - 147123 - 147129 - 98815 - 98832 - 147126 - 147151 - 147152 - 147145 - 147142 - 147124 - 147125</t>
  </si>
  <si>
    <t>Fraisier sauvage, Fraisier des bois</t>
  </si>
  <si>
    <t>147110 - 968152 - 94230 - 147108 - 147119 - 147113 - 98813 - 147136 - 98811 - 98807 - 147132 - 147149 - 147111 - 147148 - 115702 - 98808 - 98868 - 147109 - 98820 - 98806 - 98805 - 98836 - 98856 - 147112 - 147118 - 98802 - 147120 - 98850 - 98803 - 98858 - 98809 - 147107 - 98825 - 147114 - 134698 - 98855 - 155032 - 98835</t>
  </si>
  <si>
    <t>154383 - 445918 - 710810 - 98871 - 154384 - 613922 - 938659 - 98873 - 147131 - 154385 - 98870 - 710809 - 154386 - 98872</t>
  </si>
  <si>
    <t>Fraisier cultivé, Fraisier, Fraisier ananas</t>
  </si>
  <si>
    <t>147137 - 134697 - 98877 - 98874</t>
  </si>
  <si>
    <t>Fraisier d'Hagenbach, Fraisier hybride</t>
  </si>
  <si>
    <t>Fraisier intermédiaire</t>
  </si>
  <si>
    <t>98888 - 98892 - 117533 - 117542 - 117550 - 98887 - 98890 - 117527</t>
  </si>
  <si>
    <t>Bourdaine, Bois noir, Frangule de Dodone, Bourdaine de Dodone, Bourdaine aulne, Bourgène</t>
  </si>
  <si>
    <t>971188 - 98909</t>
  </si>
  <si>
    <t xml:space="preserve"> Frêne blanc d'Amérique, Frêne d'Amérique</t>
  </si>
  <si>
    <t>153219 - 134716 - 147160 - 134724 - 98950 - 98946 - 98910 - 134720 - 134711 - 98931 - 98953 - 134721 - 98944 - 147161 - 153215 - 98916 - 98955 - 134722 - 153214 - 98938 - 134715 - 98925</t>
  </si>
  <si>
    <t>21 - 39</t>
  </si>
  <si>
    <t>1018977 - 98915 - 1018955 - 98923 - 153217 - 147164 - 98912 - 619495 - 1018980 - 147167 - 147166 - 98948 - 619496 - 147169 - 147168 - 98949 - 1018960 - 147162 - 98921 - 98932 - 105718 - 1018956 - 98911 - 134713 - 147163 - 153216 - 98928 - 98952 - 98947</t>
  </si>
  <si>
    <t>Frêne élevé, Frêne commun, Frêne, Frêne d'Europe</t>
  </si>
  <si>
    <t>98954 - 98914 - 98929 - 98945 - 147171 - 134717 - 98919 - 98937 - 98933 - 134719 - 111444 - 98927 - 98922 - 147170</t>
  </si>
  <si>
    <t>98939 - 98956 - 98926 - 619497 - 98943 - 160198 - 98930 - 98913 - 147172 - 87547 - 98924 - 147174 - 87546 - 98942 - 87548 - 147173</t>
  </si>
  <si>
    <t>Frêne rouge, Frêne de Pennsylvanie</t>
  </si>
  <si>
    <t>Fritillaire impériale</t>
  </si>
  <si>
    <t>134732 - 98987 - 98977</t>
  </si>
  <si>
    <t>Fritillaire pintade, Fritillaire à damiers</t>
  </si>
  <si>
    <t>99009 - 99003 - 99004 - 99007 - 99002 - 161353 - 153220 - 153221 - 147178 - 147179 - 99008 - 147182 - 126313 - 708191 - 99001 - 99010 - 147180 - 147177 - 99000 - 147181 - 99006 - 99005</t>
  </si>
  <si>
    <t>Fuchsia de Magellan</t>
  </si>
  <si>
    <t>91659 - 99027 - 99028 - 100993 - 99035 - 99026 - 100975 - 100918 - 134746 - 91695</t>
  </si>
  <si>
    <t>Fumana couché, Hélianthème couché, Fumana à tiges retombantes, Fumana commun, Hélianthème nain</t>
  </si>
  <si>
    <t>153229 - 99061 - 99088 - 99045 - 134762 - 99098 - 99051 - 161266 - 99099 - 147205 - 153228 - 147203 - 99138 - 99083 - 99069 - 153230 - 99114 - 99070</t>
  </si>
  <si>
    <t>Fumeterre de Bastard</t>
  </si>
  <si>
    <t>134761 - 134766 - 147194 - 99091 - 99127 - 134767 - 619501 - 99062 - 99044 - 147195 - 147193 - 99115 - 99109 - 147197 - 147196 - 979598</t>
  </si>
  <si>
    <t>Fumeterre grimpante, Fumeterre capréolée, Fumeterre blanche</t>
  </si>
  <si>
    <t>147199 - 99058 - 99093 - 99072 - 99101 - 134768 - 147200 - 134777 - 99107 - 134774</t>
  </si>
  <si>
    <t>Fumeterre à fleurs denses, Fumeterre à fleurs serrées, Fumeterre à petites fleurs</t>
  </si>
  <si>
    <t>99106 - 134765 - 99105 - 161268 - 99097 - 153226 - 153227 - 147204 - 161267 - 99055 - 147201 - 147206 - 134773 - 147202 - 134788 - 134771 - 134772 - 99120 - 134760 - 99125 - 99040</t>
  </si>
  <si>
    <t>Fumeterre des remparts</t>
  </si>
  <si>
    <t>134780 - 147208 - 99064 - 161264 - 99141 - 134764 - 161265 - 99116 - 99133 - 773620 - 99108 - 147207 - 99131 - 134778 - 147209 - 99117 - 134776 - 134779 - 99140 - 99100 - 147210 - 99079 - 134775</t>
  </si>
  <si>
    <t>Fumeterre officinale, Herbe à la veuve</t>
  </si>
  <si>
    <t>99049 - 134791 - 99081 - 147211 - 619502 - 99135 - 134781 - 134782 - 99126 - 99111 - 99102 - 99092 - 99073 - 99134</t>
  </si>
  <si>
    <t>Fumeterre à petites fleurs</t>
  </si>
  <si>
    <t>147213 - 99059 - 161263 - 161262 - 99066 - 99124 - 99067 - 134793 - 147214 - 134790 - 134784 - 99139 - 147212</t>
  </si>
  <si>
    <t>Fumeterre de Vaillant</t>
  </si>
  <si>
    <t>21 - 25 - 39 - 58 - 71</t>
  </si>
  <si>
    <t>Fumeterre d'Albert</t>
  </si>
  <si>
    <t>99185 - 111437 - 134801 - 125059 - 99175 - 124149 - 111352 - 125070 - 111364 - 99203 - 111439 - 111387</t>
  </si>
  <si>
    <t>Gagée jaune, Gagée des bois, Étoile jaune, Ornithogale jaune</t>
  </si>
  <si>
    <t>99207 - 111366 - 134805 - 134804 - 99194 - 134809 - 99201 - 111440 - 99208 - 111442 - 134802 - 111382 - 111390 - 99167</t>
  </si>
  <si>
    <t>Gagée des prés, Gagée à pétales étroits</t>
  </si>
  <si>
    <t>99211 - 155112 - 99160 - 111395 - 619504 - 111443 - 134810 - 111360 - 99166</t>
  </si>
  <si>
    <t>Gagée velue, Gagée des champs</t>
  </si>
  <si>
    <t>Gagea villosa</t>
  </si>
  <si>
    <t>147229 - 134814 - 147227 - 99233 - 99231 - 99232 - 147228 - 90867 - 99226 - 134811 - 147230 - 147231 - 99235 - 134812</t>
  </si>
  <si>
    <t>Perce-neige, Goutte de lait, Clochette d'hiver, Galanthine, Galanthe des neiges, Galanthe perce-neige</t>
  </si>
  <si>
    <t>84675 - 106271 - 91106 - 91109 - 96782 - 91105 - 160922 - 99244 - 93178 - 91107 - 93179 - 84707 - 963663 - 160923</t>
  </si>
  <si>
    <t>99260 - 99258 - 87489 - 99262 - 619506 - 99263 - 99259 - 99257</t>
  </si>
  <si>
    <t>Galéga officinal, Sainfoin d'Espagne, Rue de chèvre</t>
  </si>
  <si>
    <t>Galéga d'Orient</t>
  </si>
  <si>
    <t>153234 - 1017184 - 134820 - 99306 - 134827 - 99275 - 99295 - 134816 - 153235 - 99276 - 99290 - 134826 - 154387 - 99280 - 104796 - 99272 - 99281 - 134819 - 99317 - 134821 - 619507 - 619508 - 134823</t>
  </si>
  <si>
    <t>Galéopsis à feuilles étroites, Filasse bâtarde, Galéopse à feuilles étroites</t>
  </si>
  <si>
    <t>153238 - 99277 - 134834 - 99287 - 134835 - 619510</t>
  </si>
  <si>
    <t>Galéopsis bifide, Galéopse bifide</t>
  </si>
  <si>
    <t>99304 - 619509 - 99305 - 125949 - 99318 - 772782 - 134822 - 99291 - 125958 - 134830 - 134829 - 99299 - 99274 - 99297 - 99273 - 134828 - 99312 - 99328 - 125948 - 104797 - 99311</t>
  </si>
  <si>
    <t>Galéopsis ladanum, Chanvre sauvage, Galéopse ladanum</t>
  </si>
  <si>
    <t>99341 - 99282 - 99333 - 614982 - 99332 - 134841 - 147234 - 99313 - 134842 - 99322 - 99336 - 614958 - 984539 - 125954 - 99296 - 134833</t>
  </si>
  <si>
    <t>Galéopsis pubescent, Galéopse pubescent</t>
  </si>
  <si>
    <t>104798 - 99319 - 147232 - 99301 - 99302 - 99329 - 979620 - 99316 - 99314 - 134832 - 153233 - 99321 - 99307 - 99339 - 99284 - 125950 - 99289 - 104799</t>
  </si>
  <si>
    <t>Galéopsis des moissons, Galéopsis douteux, Galéopsis des champs, Galéopse des moissons, Galéopse velu, Galéopse douteux</t>
  </si>
  <si>
    <t>39 - 70 - 89</t>
  </si>
  <si>
    <t>99288 - 99300 - 147235 - 99340 - 99338 - 99331 - 99309 - 99283 - 134847 - 99279 - 134846</t>
  </si>
  <si>
    <t>Galéopsis remarquable, Galéopsis splendide, Galéopsis orné, Galéopse remarquable, Galéopse versicolore</t>
  </si>
  <si>
    <t>99335 - 99337 - 99310 - 99293 - 134843 - 104800 - 125952 - 125956 - 125953 - 99320 - 979621 - 99271 - 134844 - 99325 - 147233 - 134845 - 134836 - 134838 - 772783 - 99330 - 104910 - 99315 - 99334 - 125951 - 134839</t>
  </si>
  <si>
    <t>Galéopsis tétrahit, Ortie royale, Galéopse tétrahit</t>
  </si>
  <si>
    <t>Galéopsis élégant, Galéopse élégant</t>
  </si>
  <si>
    <t>99346 - 99352 - 99344</t>
  </si>
  <si>
    <t>Galéopsis de Wirtgen, Galéopse de Wirtgen</t>
  </si>
  <si>
    <t>130085 - 147236 - 82881 - 99360 - 979659 - 99358 - 99357 - 129430</t>
  </si>
  <si>
    <t>Galinsoge à petites fleurs, Piquant blanc, Herbe piment, Petit piquant</t>
  </si>
  <si>
    <t>633714 - 631320 - 99356 - 619511 - 99361 - 80256 - 99359 - 134848 - 99354 - 637236 - 99355</t>
  </si>
  <si>
    <t>Galinsoga quadriradié, Galinsoge quadriradiée, Galinsoga cilié, Galinsoge ciliée</t>
  </si>
  <si>
    <t>134887 - 772997 - 147285 - 99508 - 908395 - 147288 - 99571 - 718811 - 99388 - 147289 - 134888 - 99379 - 147281 - 147278 - 772996 - 134873 - 99547 - 99588 - 99394 - 99550 - 99420 - 99366</t>
  </si>
  <si>
    <t>Gaillet blanc, Gaillet dressé</t>
  </si>
  <si>
    <t>134869 - 134912 - 134911 - 134864 - 134928 - 134868 - 134923 - 99369 - 99558 - 99377 - 153241 - 134944 - 99386 - 134925 - 134863 - 99372 - 99503</t>
  </si>
  <si>
    <t>Gaillet à feuilles inégales</t>
  </si>
  <si>
    <t>134862 - 118908 - 99572 - 708209 - 99373 - 128359 - 134855 - 84773 - 83143 - 147245 - 83134 - 83144 - 147246 - 99445</t>
  </si>
  <si>
    <t>Gaillet gratteron, Herbe collante, Gratteron</t>
  </si>
  <si>
    <t>99441 - 99568 - 99490 - 99540 - 118910 - 83132 - 99483 - 147249 - 99390 - 147252 - 83133 - 147250 - 99590 - 147248 - 147251</t>
  </si>
  <si>
    <t>Gaillet boréal, Caille-lait du Nord</t>
  </si>
  <si>
    <t>99405 - 147262 - 134874 - 99410 - 147261 - 99408 - 99404 - 99560 - 134899 - 134898 - 99450</t>
  </si>
  <si>
    <t>Gaillet faible, Gaillet chétif</t>
  </si>
  <si>
    <t>99414 - 99430 - 83146 - 99559 - 134850 - 147238 - 99555 - 134906 - 161850 - 134852 - 134853</t>
  </si>
  <si>
    <t>Gaillet divariqué</t>
  </si>
  <si>
    <t>147294 - 147292 - 134900 - 99418 - 99463 - 147293</t>
  </si>
  <si>
    <t>Gaillet allongé</t>
  </si>
  <si>
    <t>147265 - 134951 - 134876 - 147255 - 147253 - 147275 - 147264 - 147266 - 619512 - 147256 - 99423</t>
  </si>
  <si>
    <t>Gaillet de Fleurot</t>
  </si>
  <si>
    <t>84309 - 99475 - 147268 - 99433 - 147271 - 99393 - 147269 - 154289 - 147270 - 718980 - 147267 - 99363 - 84308 - 154290 - 99429</t>
  </si>
  <si>
    <t>Gaillet glauque, Aspérule glauque, Aspérule faux gaillet</t>
  </si>
  <si>
    <t>99425 - 99517 - 134890 - 99577 - 99506 - 147284 - 99387 - 134889 - 99457 - 984549 - 134892 - 134875 - 99589 - 719242 - 134882 - 719241</t>
  </si>
  <si>
    <t>Gaillet luisant, Gaillet à feuilles luisantes</t>
  </si>
  <si>
    <t>147263 - 99367 - 147279 - 99444 - 134886 - 147286 - 99415 - 134895 - 99473 - 134893 - 99416 - 147287 - 147280 - 99368 - 99422 - 99569 - 134891 - 118914 - 99449 - 147290</t>
  </si>
  <si>
    <t>Gaillet commun, Gaillet Mollugine, Caille-lait blanc</t>
  </si>
  <si>
    <t>90825 - 90802 - 111782 - 90737 - 90723 - 80376 - 82786 - 90697 - 994837 - 90813 - 86116 - 85050 - 86107 - 90803 - 111784</t>
  </si>
  <si>
    <t>Chénopode bon Henri, Épinard sauvage, Blette bon Henri, Chénopode du bon Henri</t>
  </si>
  <si>
    <t>84318 - 84774 - 90936 - 84317 - 99488 - 84777</t>
  </si>
  <si>
    <t>Gaillet odorant, Aspérule odorante, Belle-étoile, Muguet des dames, Thé suisse</t>
  </si>
  <si>
    <t>99516 - 147295 - 99462 - 99576 - 118915 - 134901 - 147296 - 99494 - 979884 - 134902 - 99592</t>
  </si>
  <si>
    <t>Gaillet des marais</t>
  </si>
  <si>
    <t>134849 - 99412 - 134903 - 134910 - 83151 - 147297 - 99456 - 153242 - 99371 - 83137 - 147239 - 147302 - 83149 - 83136 - 99497 - 83147 - 147301 - 134851 - 147241 - 147298 - 134907 - 147242 - 134908 - 619514 - 134904 - 99496 - 99500 - 134905 - 147299 - 134909 - 160447 - 147300 - 83145 - 83148 - 99431 - 99526</t>
  </si>
  <si>
    <t>Gaillet de Paris</t>
  </si>
  <si>
    <t>134917 - 134931 - 134918 - 619515 - 134871 - 147328 - 147308 - 99454 - 134945 - 99398 - 134948 - 99460 - 147309 - 147331 - 99389 - 147332 - 99544 - 161814 - 134924 - 99452 - 99553 - 147329 - 134946 - 147259 - 99511 - 99484 - 160002 - 134913 - 147330 - 134947 - 99476 - 99403 - 99380</t>
  </si>
  <si>
    <t>Gaillet nain, Gaillet couché, Gaillet rude</t>
  </si>
  <si>
    <t>147307 - 134926 - 147310 - 99513 - 153244 - 134919 - 161816 - 134927 - 134950 - 99564 - 147334 - 134915 - 99448 - 99382 - 153243 - 147333</t>
  </si>
  <si>
    <t>Gaillet fluet, Gaillet à l'aspect de mousse, Gaillet à aspect de mousse</t>
  </si>
  <si>
    <t>99518 - 99532 - 83138</t>
  </si>
  <si>
    <t>Gaillet à feuilles rondes</t>
  </si>
  <si>
    <t>99529 - 617025 - 99474 - 134922 - 99498 - 99491 - 617027 - 99437 - 614959 - 99510 - 617026</t>
  </si>
  <si>
    <t>Gaillet des rochers, Gaillet du Harz</t>
  </si>
  <si>
    <t>99375 - 83141 - 99574 - 147237 - 134938 - 147243 - 147321 - 134859 - 83140 - 134854 - 613362 - 613522 - 134939 - 99556 - 99365 - 147244 - 153240 - 99443 - 153239 - 134935 - 134860 - 134856 - 99539 - 147320 - 99557 - 99549 - 99374 - 134857 - 134934 - 83139 - 134861 - 160199 - 154388 - 134937 - 134858</t>
  </si>
  <si>
    <t>Gaillet bâtard, Petit gratteron</t>
  </si>
  <si>
    <t>Galium spurium</t>
  </si>
  <si>
    <t>147327 - 99552 - 147325 - 147324</t>
  </si>
  <si>
    <t>Gaillet des forêts, Gaillet des bois</t>
  </si>
  <si>
    <t>99447 - 147260 - 99531 - 134916 - 99442 - 99400 - 134870 - 134865 - 147258 - 99561 - 99446 - 147254 - 147257</t>
  </si>
  <si>
    <t>Gaillet de Timéroy, Gaillet de Jordan</t>
  </si>
  <si>
    <t>99566 - 708210 - 99565 - 147335</t>
  </si>
  <si>
    <t>Gaillet à trois cornes</t>
  </si>
  <si>
    <t>Galium tricornutum</t>
  </si>
  <si>
    <t>134943 - 99548 - 99570 - 99551 - 147336</t>
  </si>
  <si>
    <t>Gaillet des fanges, Gaillet aquatique, Gaillet fangeux</t>
  </si>
  <si>
    <t>128372 - 99575 - 147338 - 83142 - 99580 - 134952 - 1006260 - 128375 - 118921 - 128358 - 147337 - 134953 - 128374 - 99527</t>
  </si>
  <si>
    <t>Gaillet verruqueux, Gaillet à verrues, Gaillet anisé</t>
  </si>
  <si>
    <t>99426 - 99472 - 99582 - 99459 - 147276 - 147339 - 99468 - 99424 - 84775 - 99489 - 147277 - 979739 - 118922</t>
  </si>
  <si>
    <t>99594 - 99612 - 99616 - 99621 - 99613 - 99600 - 99614 - 979691 - 99620 - 99611 - 979727 - 99623 - 99609 - 134959 - 99622 - 134960</t>
  </si>
  <si>
    <t>Gaillet de Poméranie</t>
  </si>
  <si>
    <t>996279 - 996284 - 5015 - 996285</t>
  </si>
  <si>
    <t>99662 - 147343 - 147347 - 99660 - 80792 - 80693 - 85290 - 80661 - 108541 - 80578 - 134962 - 99669 - 147344 - 143400 - 99661 - 134961 - 81670 - 99668 - 134964 - 162280</t>
  </si>
  <si>
    <t>Gastridie ventrue</t>
  </si>
  <si>
    <t>147354 - 99691 - 99679 - 619520 - 99683 - 147353 - 99686 - 99680 - 147352 - 99675 - 99688 - 99681 - 99682 - 99677 - 99687 - 99685 - 147355 - 147350 - 99684 - 99678 - 99693 - 85257 - 99674 - 147351 - 99676 - 99689 - 99690 - 153245 - 93751</t>
  </si>
  <si>
    <t>Gaudinie fragile</t>
  </si>
  <si>
    <t>121597 - 130065 - 997007 - 90279 - 997020 - 130062 - 997006 - 997014 - 128506 - 87599 - 118899 - 87655 - 997018</t>
  </si>
  <si>
    <t>Walhenbergie à feuilles de lierre, Campanille à feuilles de lierre</t>
  </si>
  <si>
    <t>99783 - 106366 - 619521 - 613523 - 113303 - 99768 - 613342 - 99721 - 125844 - 147360</t>
  </si>
  <si>
    <t>Genêt d'Angleterre, Petit genêt épineux</t>
  </si>
  <si>
    <t>121935 - 99758 - 124464 - 99754 - 129974 - 106368 - 147359 - 94117</t>
  </si>
  <si>
    <t>Genêt d'Allemagne</t>
  </si>
  <si>
    <t>1010109 - 99761 - 106369 - 125846 - 94124</t>
  </si>
  <si>
    <t>Genêt d'Espagne, Petit genêt d'Espagne</t>
  </si>
  <si>
    <t>99798 - 124461 - 90527 - 94152 - 125850</t>
  </si>
  <si>
    <t>998060 - 998062</t>
  </si>
  <si>
    <t>134999 - 124466 - 94162 - 99757 - 120710 - 99845 - 99782 - 90526 - 125852 - 99846 - 99810 - 116303 - 619525 - 125393 - 134989</t>
  </si>
  <si>
    <t>Genêt sagitté, Genêt ailé, Genistrolle</t>
  </si>
  <si>
    <t>998139 - 998125 - 998140 - 90404 - 106575 - 998134</t>
  </si>
  <si>
    <t>Chèvrefeuille du Yunnan</t>
  </si>
  <si>
    <t>124468 - 92564 - 95541 - 147371 - 83702 - 147372 - 147373 - 99811 - 94160 - 99820 - 99807 - 99815 - 124476 - 124463 - 92491</t>
  </si>
  <si>
    <t>Genêt scorpion, Épine fleurie, Genêt épineux</t>
  </si>
  <si>
    <t>99804 - 147375 - 147376 - 99766 - 99834 - 99793 - 99803 - 99729 - 99780 - 619526 - 99797 - 124474 - 134993 - 147380 - 147374 - 134996 - 99745 - 99738 - 147378 - 134994 - 99726 - 134995 - 99825 - 99744 - 99849 - 134992 - 99801 - 99731 - 99781 - 99730 - 99828 - 147379 - 99773 - 99817 - 99740 - 99723 - 99718 - 124471 - 99746 - 134997 - 99765 - 92492 - 99826 - 99715 - 99792 - 789031 - 612474 - 99767 - 99779 - 94172 - 99794 - 147381 - 99847 - 134990 - 99818 - 134991 - 147377 - 613524</t>
  </si>
  <si>
    <t>Genêt des teinturiers</t>
  </si>
  <si>
    <t>128396 - 620996 - 998473 - 128402 - 128418 - 620995 - 998466 - 128417 - 142072 - 128423 - 128452 - 142066 - 998472 - 998474 - 142076 - 152339 - 998468</t>
  </si>
  <si>
    <t>Valériane officinale, Valériane de grande taille</t>
  </si>
  <si>
    <t>152340 - 142071 - 998490 - 999275 - 142070 - 128435</t>
  </si>
  <si>
    <t>Valériane à feuilles de sureau</t>
  </si>
  <si>
    <t>147382 - 105859 - 91214 - 135000 - 619527 - 99854 - 147384 - 114085 - 99895 - 114092 - 99898 - 126455 - 91209 - 99890 - 99885 - 99892 - 147397</t>
  </si>
  <si>
    <t>Gentiane acaule</t>
  </si>
  <si>
    <t>94475 - 94474 - 99862 - 99938 - 99932 - 114089 - 92101 - 114094</t>
  </si>
  <si>
    <t>Gentiane asclépiade, Gentiane à feuilles d'Asclépiade</t>
  </si>
  <si>
    <t>135029 - 99888 - 1010822 - 135030 - 1010819 - 135027 - 99878 - 99956 - 99880 - 91212 - 135004</t>
  </si>
  <si>
    <t>Gentiane pyrénéenne, Gentiane pyrénéenne de L’Écluse, Gentiane de L'Écluse, Gentiane de Coste</t>
  </si>
  <si>
    <t>127119 - 96729 - 135031 - 96714 - 93310 - 99984 - 99881 - 102811</t>
  </si>
  <si>
    <t>Gentiane croisette, Gentiane en croix</t>
  </si>
  <si>
    <t>130780 - 80032 - 618655 - 130810 - 80067 - 142558 - 80061 - 934017 - 142578 - 130774 - 80050 - 130759 - 142575 - 142577 - 934148 - 130769 - 80053 - 142574 - 142576 - 80070 - 130814 - 130768 - 130775 - 80068 - 611926 - 130807 - 80005 - 154233 - 80051 - 142557 - 934018 - 934016 - 80062 - 130811 - 130770 - 130812 - 998925 - 80015 - 80030 - 80024 - 130777</t>
  </si>
  <si>
    <t>Coqueluchon jaune</t>
  </si>
  <si>
    <t>153403 - 999064 - 127141 - 137005 - 104546 - 137016 - 718708 - 137001 - 104514 - 104562 - 147959 - 140703 - 104550 - 998978 - 161818 - 127137 - 151264 - 147958 - 718709 - 161817 - 104523 - 104549 - 104524 - 104563 - 104513 - 121332 - 104548 - 104525 - 147954 - 147957 - 104544</t>
  </si>
  <si>
    <t>Knautie des collines, Knautie pourpre</t>
  </si>
  <si>
    <t>105862 - 99906 - 84736 - 99903</t>
  </si>
  <si>
    <t>99911 - 99901 - 99923 - 105864 - 135039 - 147402 - 99917 - 91217 - 147403 - 99904 - 147401 - 114088 - 91216 - 612476 - 99922 - 962488 - 114097 - 114087 - 980010</t>
  </si>
  <si>
    <t>Gentiane pneumonanthe, Gentiane des marais, Gentiane pulmonaire des marais</t>
  </si>
  <si>
    <t>135011 - 105868 - 117818 - 102823 - 96733 - 102822 - 96708 - 87380 - 153256 - 621096 - 102804 - 99884 - 160475 - 96710 - 135045 - 99856 - 147407 - 96719 - 99953</t>
  </si>
  <si>
    <t>99990 - 99920 - 612477 - 96078 - 97910 - 619530 - 135021 - 82051 - 99894 - 1010995 - 99981 - 105860 - 147406 - 962592 - 619529 - 102807 - 135051 - 1011014 - 135025 - 99987 - 99863 - 97909 - 102809 - 1011010 - 99865 - 135023 - 99982 - 135050 - 99893 - 99872</t>
  </si>
  <si>
    <t>Gentianelle des champs, Gentiane champêtre</t>
  </si>
  <si>
    <t>153255 - 99879 - 980036 - 97911 - 161600 - 154915 - 99986 - 619531 - 99889 - 135035 - 1011060 - 135006 - 135052 - 99944 - 99858 - 99912 - 147396 - 980039 - 99935 - 979976 - 161599</t>
  </si>
  <si>
    <t>Gentianelle d'Allemagne, Gentiane d'Allemagne</t>
  </si>
  <si>
    <t>124979 - 90030 - 81742 - 124983 - 124997 - 125006 - 124985 - 81781 - 999933</t>
  </si>
  <si>
    <t>Stellaire holostée</t>
  </si>
  <si>
    <t>102810 - 99877 - 105861 - 105413 - 93291 - 147395 - 99983 - 99994 - 99985 - 99995</t>
  </si>
  <si>
    <t>Gentianelle ciliée, Gentiane ciliée, Fausse gentiane ciliée</t>
  </si>
  <si>
    <t>70016 - 960489 - 960478 - 960476 - 70014 - 960483 - 960482 - 557505 - 960480 - 960479 - 960488 - 960487 - 1005993 - 1008909 - 960484 - 960485 - 960490</t>
  </si>
  <si>
    <t>561686 - 567800 - 561685 - 200255 - 560492 - 561680 - 564971 - 561879 - 564969 - 546688 - 561880 - 561901 - 564970 - 561687 - 561677 - 67131</t>
  </si>
  <si>
    <t>Aspe</t>
  </si>
  <si>
    <t>958505 - 200259 - 849453 - 958507</t>
  </si>
  <si>
    <t>Épinochette</t>
  </si>
  <si>
    <t>957559 - 957558 - 898745 - 898748 - 347940 - 957560 - 898747 - 853264</t>
  </si>
  <si>
    <t>Brème de Danube</t>
  </si>
  <si>
    <t>goujon occitan, Goujon du Languedoc</t>
  </si>
  <si>
    <t>Bavard, Chabot, Chabot celtique, Chabot fluviatile, Têtard</t>
  </si>
  <si>
    <t>cortège avec Salmo trutta et Lampreta fluviatilis</t>
  </si>
  <si>
    <t>966341 - 566218 - 965011 - 443293</t>
  </si>
  <si>
    <t>Vairon du Languedoc</t>
  </si>
  <si>
    <t>67239 - 458701 - 853282 - 954134 - 954133 - 954135</t>
  </si>
  <si>
    <t>Toxostome, Sofie, Soiffe</t>
  </si>
  <si>
    <t>559423 - 69354 - 459644 - 561963 - 545609 - 559542 - 69356 - 559541 - 579655 - 562106 - 566279 - 566280</t>
  </si>
  <si>
    <t>Grémille</t>
  </si>
  <si>
    <t>558808 - 521597 - 70296 - 558818</t>
  </si>
  <si>
    <t>Gobie demi-lune, Gobie à nez tubulaire</t>
  </si>
  <si>
    <t>563002 - 556915 - 555559 - 555541 - 564535 - 556910 - 555538 - 563825 - 66315 - 556914 - 555540 - 964067 - 556908 - 564057 - 555556 - 564058 - 556912</t>
  </si>
  <si>
    <t>Lamproie marine</t>
  </si>
  <si>
    <t>66330 - 566274 - 555539 - 556911 - 555557 - 66332 - 564056 - 965705 - 555543 - 556909 - 564055 - 555560 - 556913 - 564054 - 555558 - 555542 - 564536</t>
  </si>
  <si>
    <t>Lamproie de rivière, Lamproie fluviatile</t>
  </si>
  <si>
    <t>888610 - 888609 - 888614 - 66333 - 546084 - 888613 - 888615 - 965708 - 888612 - 888608 - 888611</t>
  </si>
  <si>
    <t>Lamproie de Planer, Petite lamproie, Lamproie de ruisseau européenne</t>
  </si>
  <si>
    <t>cortège avec Salmo trutta et Cottus gobio/perifretum</t>
  </si>
  <si>
    <t>963512 - 546102 - 555070 - 555060 - 66832 - 555066 - 555026 - 555044 - 564213 - 584180 - 567702 - 555056 - 555061 - 555023 - 555021 - 963508 - 555029 - 555038 - 567701 - 963516 - 555057 - 963509 - 555030 - 555051 - 963518 - 555137 - 555067 - 555033 - 555043 - 567703 - 555041 - 66834 - 555042 - 555072 - 581019 - 581018 - 555050 - 555073 - 555062 - 555020 - 555361 - 564939 - 555136 - 562715 - 567704 - 555059 - 963517 - 963458 - 555019 - 963463 - 555197 - 555047 - 963510 - 567700 - 546103 - 963511 - 963520 - 555064 - 555035 - 555365</t>
  </si>
  <si>
    <t>Anguille d’Europe, Anguille européenne</t>
  </si>
  <si>
    <t>556122 - 584060 - 66969 - 556127 - 545664 - 556123 - 564421 - 66967</t>
  </si>
  <si>
    <t>Grande alose, Alose vraie</t>
  </si>
  <si>
    <t>66996 - 66998 - 66999 - 554737 - 567601 - 545665 - 556124 - 891956 - 67000 - 564224 - 566277 - 990705</t>
  </si>
  <si>
    <t>Alose feinte atlantique</t>
  </si>
  <si>
    <t>561882 - 561688 - 956931 - 561905 - 561883 - 580342 - 561858 - 565279 - 563281 - 561870 - 561857 - 561692 - 561909 - 561887 - 565281 - 565284 - 67058 - 561902 - 565275 - 561884 - 956917 - 426015 - 565276 - 565282 - 561844 - 565283 - 561898 - 561696 - 956924 - 561706 - 565285 - 561713 - 565280 - 561710 - 561717 - 565274 - 565277 - 561869 - 565278 - 561690 - 567671 - 561881</t>
  </si>
  <si>
    <t>Carpe commune, Carpat, Carpeau, Escarpo, Kerpaille</t>
  </si>
  <si>
    <t>564957 - 561673 - 564956 - 546801 - 957334 - 561667 - 67074 - 1012541 - 561674 - 561668 - 561666 - 561669 - 564954 - 957333 - 561661 - 564955</t>
  </si>
  <si>
    <t>Brème commune</t>
  </si>
  <si>
    <t>560485 - 566268 - 561676 - 561697 - 67104 - 561892 - 561899 - 561693 - 561842 - 560690 - 561662 - 546686 - 561878 - 561885 - 560691</t>
  </si>
  <si>
    <t>Spirlin</t>
  </si>
  <si>
    <t>567395 - 567633 - 579718 - 560481 - 560501 - 561660 - 564961 - 67111 - 560499 - 546685 - 560489 - 560496 - 567390 - 567398 - 560482 - 560491 - 567391 - 560488 - 567396 - 560490 - 567394 - 901387 - 560486 - 560483 - 560494 - 567392 - 560500 - 567393 - 67113 - 560686 - 561675 - 560484 - 560497 - 561682 - 560698 - 567631 - 564958 - 567397</t>
  </si>
  <si>
    <t>Ablette</t>
  </si>
  <si>
    <t>901413 - 901416 - 901411 - 546802 - 67143 - 901414 - 901412 - 901418 - 901415 - 901419 - 901417</t>
  </si>
  <si>
    <t>Barbeau fluviatile</t>
  </si>
  <si>
    <t>Barbeau truité, Barbeau méridional</t>
  </si>
  <si>
    <t>561670 - 561859 - 579723 - 564951 - 564953 - 579721 - 561728 - 546683 - 564952 - 561659 - 423074 - 561663 - 561854 - 561725 - 546684 - 67203 - 561664 - 579722 - 561877 - 561852 - 561853 - 579720 - 561658</t>
  </si>
  <si>
    <t>Brème bordelière</t>
  </si>
  <si>
    <t>564972 - 560508 - 567813 - 956854 - 567801 - 561702 - 560503 - 564973 - 560510 - 560507 - 561862 - 567816 - 567814 - 561864 - 560513 - 561863 - 546690 - 560509 - 567384 - 567812 - 560511 - 67206</t>
  </si>
  <si>
    <t>Carassin doré, Poisson rouge</t>
  </si>
  <si>
    <t>560512 - 560505 - 956819 - 956829 - 561727 - 956847 - 956834 - 564975 - 956831 - 560504 - 956850 - 956825 - 67208 - 956828 - 956841 - 956840 - 956845 - 956842 - 956813 - 956852 - 956821 - 956817 - 956837 - 956827 - 956853 - 956838 - 956814 - 956824 - 956836 - 956826 - 956816 - 956833 - 956818 - 956835 - 956822 - 956848 - 956844 - 956832 - 426012 - 956815 - 956830 - 956851 - 956820 - 703336 - 956843</t>
  </si>
  <si>
    <t>567817 - 566397 - 561726 - 956856 - 560506 - 67210 - 546808 - 560502 - 564974 - 567815</t>
  </si>
  <si>
    <t>Carassin argenté</t>
  </si>
  <si>
    <t>958456 - 958452 - 546820 - 67220 - 958461 - 958460 - 958453 - 958459</t>
  </si>
  <si>
    <t>Nase commun, Hotu, Alonge, Aucon, Chiffe, Fera, Muge, Mulet, Nase, Nez, Seuffre, Tunar, Âme noire, Écrivain</t>
  </si>
  <si>
    <t>853274 - 546696 - 960361 - 423932 - 67246 - 960360 - 960362</t>
  </si>
  <si>
    <t>Amour blanc (L'), Carpe amour, Carpe herbivore, Chinoise</t>
  </si>
  <si>
    <t>957084 - 957073 - 957087 - 957077 - 853275 - 67257 - 957080 - 957090 - 957085 - 957091 - 957074 - 957083 - 957079 - 957089</t>
  </si>
  <si>
    <t>Goujon</t>
  </si>
  <si>
    <t>960367 - 960363 - 546804 - 960364 - 960369 - 67275 - 960368 - 960366 - 960365</t>
  </si>
  <si>
    <t>Carpe argentée</t>
  </si>
  <si>
    <t>560897 - 564324 - 565103 - 563117 - 561718 - 561683 - 560718 - 561874 - 67286 - 562329 - 546807 - 565104 - 561684 - 565106 - 565105</t>
  </si>
  <si>
    <t>L'Able de Heckel</t>
  </si>
  <si>
    <t>67297 - 937448 - 956649 - 67292</t>
  </si>
  <si>
    <t>Vandoise rostrée</t>
  </si>
  <si>
    <t>562331 - 560697 - 560727 - 561900 - 565286 - 567660 - 561851 - 560721 - 562337 - 560723 - 561866 - 565867 - 561712 - 67298 - 561840 - 567663 - 560689 - 567664 - 937447 - 562327 - 561890 - 567666 - 567661 - 566413 - 560722 - 567662 - 561841 - 67295 - 560707 - 561897 - 562330 - 561906 - 567665 - 546805 - 566414 - 67299 - 956648</t>
  </si>
  <si>
    <t>Vandoise</t>
  </si>
  <si>
    <t>546698 - 561861 - 565117 - 566412 - 565866 - 561845 - 579730 - 561848 - 565115 - 560708 - 561871 - 562335 - 566355 - 67306 - 565865 - 565116 - 565863 - 565118 - 67304 - 565864</t>
  </si>
  <si>
    <t>Gardon rouge, Ide mélanote</t>
  </si>
  <si>
    <t>566407 - 561889 - 580343 - 560709 - 560695 - 554886 - 560720 - 561705 - 67310 - 560700 - 67309 - 562326 - 561855 - 561699 - 562336 - 566409 - 560729 - 546697 - 566408 - 566342 - 561891 - 560684 - 561872 - 566424 - 562332 - 533944 - 565108 - 566410 - 562334 - 561849 - 560705 - 560692 - 562328 - 567576 - 565114 - 562333 - 566411 - 579734 - 561689 - 566415 - 567632 - 67307</t>
  </si>
  <si>
    <t>Chevesne commun, Chevaine commun</t>
  </si>
  <si>
    <t>67336 - 67335 - 954179 - 954180 - 67333 - 533949 - 199186 - 67337 - 954178</t>
  </si>
  <si>
    <t>Blageon</t>
  </si>
  <si>
    <t>566286 - 560717 - 565119 - 565121 - 560899 - 561846 - 67404 - 852740 - 560901 - 561886 - 560902 - 561865 - 561724 - 546699 - 561694 - 558682 - 561704</t>
  </si>
  <si>
    <t>Vairon</t>
  </si>
  <si>
    <t>957146 - 957150 - 957148 - 67415 - 853284 - 957143 - 957144 - 957145 - 957152 - 957151 - 957147</t>
  </si>
  <si>
    <t>Pseudorasbora, Goujon asiatique</t>
  </si>
  <si>
    <t>956855 - 901383 - 901382 - 67417 - 67419 - 67420</t>
  </si>
  <si>
    <t>Bouvière</t>
  </si>
  <si>
    <t>67452 - 567834 - 567828 - 565131 - 561722 - 567836 - 560696 - 565127 - 561876 - 565124 - 560712 - 560728 - 565125 - 565132 - 560719 - 67424 - 567830 - 561896 - 561847 - 533933 - 67425 - 564992 - 567634 - 567824 - 567833 - 565129 - 67422 - 567835 - 546700 - 579731 - 564991 - 567825 - 560704 - 561888 - 560715 - 567831 - 67427 - 561090 - 567826 - 566284 - 567829 - 560903 - 565133 - 560706 - 561913 - 564990 - 565126 - 567832 - 560725 - 561089 - 566285</t>
  </si>
  <si>
    <t>Gardon</t>
  </si>
  <si>
    <t>559755 - 564944 - 561708 - 67466 - 561723 - 546702 - 559754 - 561893 - 561698 - 959599 - 561714 - 564942 - 560688 - 67468 - 564940 - 560694 - 579733 - 559753 - 564941 - 579732 - 564943 - 959596</t>
  </si>
  <si>
    <t>Rotengle</t>
  </si>
  <si>
    <t>960358 - 546704 - 561904 - 560907 - 560909 - 566288 - 560904 - 560905 - 67478 - 560908 - 560906 - 566287 - 561903 - 560479 - 565134 - 67477</t>
  </si>
  <si>
    <t>Tanche</t>
  </si>
  <si>
    <t>546888 - 853273 - 901379 - 901380 - 67506</t>
  </si>
  <si>
    <t>Loche de rivière, Loche épineuse</t>
  </si>
  <si>
    <t>89 - 21</t>
  </si>
  <si>
    <t>67534 - 67536</t>
  </si>
  <si>
    <t>Loche d'étang</t>
  </si>
  <si>
    <t>67552 - 779518 - 853265 - 853270 - 853271 - 853269 - 956653 - 777598 - 67550 - 956654</t>
  </si>
  <si>
    <t>Loche franche</t>
  </si>
  <si>
    <t>963434 - 963439 - 963435 - 963437 - 67573 - 963438 - 853263 - 67571 - 963433 - 67575 - 67574</t>
  </si>
  <si>
    <t>Poisson-chat</t>
  </si>
  <si>
    <t>561460 - 565288 - 579737 - 67585</t>
  </si>
  <si>
    <t>Silure glane</t>
  </si>
  <si>
    <t>561468 - 564947 - 564946 - 561464 - 565174 - 561474 - 567513 - 566440 - 567630 - 565171 - 564945 - 566399 - 67606</t>
  </si>
  <si>
    <t>Brochet</t>
  </si>
  <si>
    <t>558677 - 546729 - 561838 - 558697 - 558701 - 561484 - 565139 - 561486 - 561488 - 561485 - 561656 - 565140 - 561487 - 67759 - 561657</t>
  </si>
  <si>
    <t>Ombre commun</t>
  </si>
  <si>
    <t>566423 - 954184 - 558482 - 563404 - 558516 - 954186 - 566111 - 566112 - 954183 - 558679 - 558517 - 566110 - 556893 - 558518 - 566108 - 556895 - 566113 - 954185 - 558691 - 583333 - 558685 - 558480 - 558478 - 558680 - 566109 - 558686 - 67765 - 558481 - 563405</t>
  </si>
  <si>
    <t>Saumon de l'Atlantique, Saumon atlantique</t>
  </si>
  <si>
    <t>566114 - 558474 - 558699 - 564017 - 563400 - 566115 - 558689 - 67774 - 567624 - 67772 - 556887 - 558497 - 558696 - 556886 - 558663 - 567625 - 563402 - 558700 - 563403 - 556894 - 566371 - 963072 - 567626 - 67781 - 563406 - 564021 - 558672 - 954166 - 954167 - 563399 - 562950 - 563408 - 566379 - 566381 - 954175 - 67778 - 566382 - 558470 - 558505 - 563435 - 200257 - 67779 - 558486 - 558664 - 954174 - 558675 - 954173 - 564018 - 558469 - 556904 - 67782 - 954169 - 564019 - 556896 - 199193 - 558506 - 558476 - 558698 - 556892 - 556903 - 566372 - 954165 - 563407</t>
  </si>
  <si>
    <t>Truite de mer, Truite commune, Truite d'Europe</t>
  </si>
  <si>
    <t>cortège avec Cottus gobio/perifretum et Lampreta fluviatilis</t>
  </si>
  <si>
    <t>558509 - 563401 - 961849 - 961852 - 585597 - 961827 - 558485 - 558514 - 558487 - 67806 - 567771 - 556711 - 558678 - 961829 - 558502 - 558681 - 585596 - 558477 - 566025 - 564949 - 567773 - 556712 - 585598 - 567769 - 566107 - 67804 - 67807 - 562951 - 567772 - 558671 - 567770 - 558702 - 961856 - 961853 - 564948 - 961855 - 961854 - 558475</t>
  </si>
  <si>
    <t>Truite arc-en-ciel</t>
  </si>
  <si>
    <t>558473 - 961888 - 67817 - 558708 - 562976 - 961887 - 961886 - 558483 - 564950 - 556897</t>
  </si>
  <si>
    <t>Omble de fontaine, Saumon de fontaine, Truite mouchetée</t>
  </si>
  <si>
    <t>963321 - 67821 - 963328 - 963340 - 963335 - 67819 - 963338 - 963334 - 853288 - 963341 - 963329 - 963322 - 963327</t>
  </si>
  <si>
    <t>Cristivomer, L'Omble du Canada, Truite de lac d'Amérique, Touladi</t>
  </si>
  <si>
    <t>565994 - 556703 - 566098 - 961744 - 961745 - 961743 - 961742 - 961746 - 567621 - 67854 - 558494 - 67862</t>
  </si>
  <si>
    <t>Lavaret</t>
  </si>
  <si>
    <t>580331 - 555131 - 565147 - 566289 - 560920 - 565148 - 555082 - 560926 - 555130 - 560924 - 554987 - 555119 - 565145 - 565146 - 580332 - 546821 - 560929 - 68336 - 565150 - 560921 - 560923 - 560925 - 960433 - 560927 - 565144 - 560919 - 565149 - 555077</t>
  </si>
  <si>
    <t>Lote</t>
  </si>
  <si>
    <t>562600 - 563918 - 562602 - 561756 - 563920 - 68825 - 563919 - 561755 - 565318 - 561914 - 580364 - 563921 - 559782</t>
  </si>
  <si>
    <t>Gambusie</t>
  </si>
  <si>
    <t>555514 - 555525 - 555521 - 555495 - 555501 - 555520 - 565779 - 555487 - 563591 - 555506 - 555490 - 555511 - 69010 - 555528 - 555486 - 555507 - 959540 - 555530 - 577394 - 555484 - 555512 - 555503 - 577393 - 555532 - 546897 - 555481 - 555526 - 555493 - 555496 - 555513 - 565778 - 555531 - 555499 - 69013 - 555502 - 555529 - 555515 - 426026 - 555485 - 561246 - 555482 - 555510 - 555519 - 555533 - 555504 - 565777 - 555483 - 555524 - 555522 - 546896 - 555488</t>
  </si>
  <si>
    <t>Épinoche à trois épines, Arselet, Cordonnier, Crève-valet, Épinart, Épinglet, Estancelin, Étrangle-chat, Écharde, Quatre-épées</t>
  </si>
  <si>
    <t>555509 - 426047 - 565151 - 565301 - 555494 - 555497 - 565299 - 555500 - 555508 - 565298 - 69016 - 555516 - 563592 - 555489 - 565300 - 958506 - 546735 - 69018</t>
  </si>
  <si>
    <t>558868 - 566124 - 970978 - 69189 - 566126 - 566121 - 566122 - 348101 - 69182 - 580359 - 558712 - 566123 - 566127 - 566125</t>
  </si>
  <si>
    <t>Chabot, Chabot commun</t>
  </si>
  <si>
    <t>961701 - 961702 - 961700 - 69336 - 853262 - 961699</t>
  </si>
  <si>
    <t>Crapet de roche</t>
  </si>
  <si>
    <t>961709 - 961708 - 961713 - 961703 - 69338 - 961705 - 961714 - 961706 - 961711 - 545608 - 69340 - 961712</t>
  </si>
  <si>
    <t>Perche-soleil, Boer, Calicoba, Perche arc-en-ciel, Perche argentée, Perche dorée, Poisson tricolore, Poisson-soleil, Crapet-soleil</t>
  </si>
  <si>
    <t>961720 - 961717 - 69344 - 961729 - 961718 - 961722 - 961728 - 961719 - 961723 - 961726 - 961721 - 424843 - 961724 - 961725 - 961727</t>
  </si>
  <si>
    <t>Black-Bass à petite bouche, Achigan à petite bouche</t>
  </si>
  <si>
    <t>961732 - 961731 - 961733 - 961734 - 961730 - 853279 - 69346</t>
  </si>
  <si>
    <t>Achigan à grande bouche, Black-bass à grande bouche, Perche d'Amérique, Perche noire, Perche truite, Perche truitée</t>
  </si>
  <si>
    <t>579656 - 559732 - 567798 - 559569 - 564925 - 564921 - 559567 - 564924 - 564919 - 69350 - 559734 - 564922 - 559733 - 566282 - 564920 - 566283 - 564923</t>
  </si>
  <si>
    <t>Perche</t>
  </si>
  <si>
    <t>961736 - 579653 - 559545 - 545606 - 69369 - 563230 - 545601 - 579652 - 69372 - 69371</t>
  </si>
  <si>
    <t>Sandre, Perche-brochet</t>
  </si>
  <si>
    <t>954074 - 69378 - 954073 - 853290</t>
  </si>
  <si>
    <t>Apron du Rhône</t>
  </si>
  <si>
    <t>Zingel asper</t>
  </si>
  <si>
    <t>70136 - 70183 - 558941 - 558569 - 70156 - 567756 - 556771 - 961519 - 70162 - 556611 - 70160 - 558955 - 556802 - 70161 - 70155 - 992020 - 556637 - 556451 - 565532</t>
  </si>
  <si>
    <t>Gobie à tache noire</t>
  </si>
  <si>
    <t>70173 - 558783 - 70175 - 70174</t>
  </si>
  <si>
    <t>Gobie de Kessler</t>
  </si>
  <si>
    <t>565931 - 69790 - 559993 - 553365 - 69793 - 891948 - 578165 - 69792 - 558428 - 559476 - 545848 - 558410 - 558414 - 69786</t>
  </si>
  <si>
    <t>Mulet porc</t>
  </si>
  <si>
    <t>444446 - 77995 - 77998 - 77997 - 77993 - 77996</t>
  </si>
  <si>
    <t>Couleuvre d'Esculape (La)</t>
  </si>
  <si>
    <t>649841 - 649843</t>
  </si>
  <si>
    <t>809479 - 649877 - 839738</t>
  </si>
  <si>
    <t>Couleuvre à gouttelettes, Serpent des blés</t>
  </si>
  <si>
    <t>699672 - 932683</t>
  </si>
  <si>
    <t>Lézard à deux raies (Le)</t>
  </si>
  <si>
    <t>77392 - 77385 - 77390 - 77391 - 77383 - 77388 - 77386 - 77387 - 77393 - 77394 - 77384 - 77381</t>
  </si>
  <si>
    <t>Cistude d'Europe (La)</t>
  </si>
  <si>
    <t>Emys orbicularis</t>
  </si>
  <si>
    <t>2020-2029 / 2011-2015</t>
  </si>
  <si>
    <t>77417 - 77412 - 77420 - 77418 - 77419 - 77416 - 77422 - 77414 - 77415 - 77421</t>
  </si>
  <si>
    <t>Émyde lépreuse (L')</t>
  </si>
  <si>
    <t>Mauremys leprosa</t>
  </si>
  <si>
    <t>839622 - 77424</t>
  </si>
  <si>
    <t>Trachémyde écrite, Tortue de Floride</t>
  </si>
  <si>
    <t>839623 - 77425</t>
  </si>
  <si>
    <t>Trachémyde à tempes rouges (La), tortue de Floride</t>
  </si>
  <si>
    <t>77428 - 77430</t>
  </si>
  <si>
    <t>Tortue mauresque (La), Tortue grecque</t>
  </si>
  <si>
    <t>77435 - 77433 - 77436</t>
  </si>
  <si>
    <t>Tortue d'Hermann (La)</t>
  </si>
  <si>
    <t>Testudo hermanni</t>
  </si>
  <si>
    <t>2018-2027 / 2009-2014</t>
  </si>
  <si>
    <t>77497 - 77495 - 77496 - 77492 - 77493 - 77490 - 77494</t>
  </si>
  <si>
    <t>Orvet fragile (L')</t>
  </si>
  <si>
    <t>En association avec le lézard des souches</t>
  </si>
  <si>
    <t>1009526 - 987783 - 77572 - 77573 - 987608 - 77570</t>
  </si>
  <si>
    <t>Tarente de Maurétanie (La)</t>
  </si>
  <si>
    <t>77602 - 77600</t>
  </si>
  <si>
    <t>Lézard des souches, Lézard agile</t>
  </si>
  <si>
    <t>77686 - 77691 - 77619 - 77689</t>
  </si>
  <si>
    <t>Lézard à deux raies (Le), Lézard vert occidental</t>
  </si>
  <si>
    <t>852500 - 852499 - 77760 - 77762 - 852502 - 77765 - 699667 - 77756 - 852501 - 77761 - 77767 - 77768 - 77758 - 77759 - 699668</t>
  </si>
  <si>
    <t>Lézard des murailles (Le)</t>
  </si>
  <si>
    <t>77953 - 1013699 - 77949 - 77950 - 77947</t>
  </si>
  <si>
    <t>Couleuvre verte et jaune (La)</t>
  </si>
  <si>
    <t>77958 - 77955 - 77959 - 77957</t>
  </si>
  <si>
    <t>Coronelle lisse (La)</t>
  </si>
  <si>
    <t>78059 - 78061 - 989591 - 78051 - 78052 - 78050 - 78060 - 78056 - 78048 - 78062 - 78053 - 78055 - 78063 - 78058 - 78054 - 78057</t>
  </si>
  <si>
    <t>Couleuvre vipérine (La)</t>
  </si>
  <si>
    <t>78134 - 78132 - 78130 - 78133</t>
  </si>
  <si>
    <t>Vipère aspic (La)</t>
  </si>
  <si>
    <t>78135 - 837704 - 78139</t>
  </si>
  <si>
    <t>78144 - 78147 - 78146 - 78149 - 78143 - 78145 - 78141</t>
  </si>
  <si>
    <t>Vipère péliade (La)</t>
  </si>
  <si>
    <t>77694 - 77701 - 77699 - 77698 - 77697 - 77695 - 77692 - 77696 - 79278 - 820248 - 852520 - 77700 - 77702</t>
  </si>
  <si>
    <t>Lézard vivipare (Le)</t>
  </si>
  <si>
    <t>78066 - 78067 - 851677 - 78064 - 78069 - 78068 - 851674</t>
  </si>
  <si>
    <t>Couleuvre helvétique, Couleuvre à collier</t>
  </si>
  <si>
    <t>933223 - 933224</t>
  </si>
  <si>
    <t>990115 - 990129 - 990143</t>
  </si>
  <si>
    <t>Tortue alligator (La)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</si>
</sst>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font>
      <sz val="11"/>
      <name val="Calibri"/>
    </font>
    <font>
      <sz val="11"/>
      <name val="Calibri"/>
      <family val="2"/>
    </font>
    <font>
      <i/>
      <sz val="11"/>
      <name val="Calibri"/>
      <family val="2"/>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0" fillId="0" borderId="0" xfId="0" applyAlignment="1">
      <alignment horizontal="center" vertical="center"/>
    </xf>
    <xf numFmtId="0" fontId="0" fillId="0" borderId="0" xfId="0" applyAlignment="1">
      <alignment horizontal="center" vertical="center" wrapText="1"/>
    </xf>
    <xf numFmtId="0" fontId="1" fillId="0" borderId="0" xfId="0" applyFont="1" applyAlignment="1">
      <alignment horizontal="center" vertical="center" wrapText="1"/>
    </xf>
    <xf numFmtId="0" fontId="0" fillId="0" borderId="0" xfId="0" applyAlignment="1">
      <alignment vertical="top"/>
    </xf>
    <xf numFmtId="0" fontId="0" fillId="0" borderId="0" xfId="0" applyAlignment="1">
      <alignment vertical="top" wrapText="1"/>
    </xf>
    <xf numFmtId="0" fontId="2" fillId="0" borderId="0" xfId="0" applyFont="1" applyAlignment="1">
      <alignment vertical="top" wrapText="1"/>
    </xf>
    <xf numFmtId="0" fontId="1" fillId="0" borderId="0" xfId="0" applyFont="1" applyAlignment="1">
      <alignment vertical="top"/>
    </xf>
    <xf numFmtId="0" fontId="2" fillId="0" borderId="0" xfId="0" applyFont="1" applyAlignment="1">
      <alignment vertical="top"/>
    </xf>
    <xf numFmtId="0" fontId="0" fillId="0" borderId="0" xfId="0" applyAlignment="1">
      <alignment horizontal="left" vertical="top"/>
    </xf>
    <xf numFmtId="0" fontId="0" fillId="0" borderId="0" xfId="0" applyAlignment="1">
      <alignment wrapText="1"/>
    </xf>
  </cellXfs>
  <cellStyles count="1">
    <cellStyle name="Normal" xfId="0" builtinId="0"/>
  </cellStyles>
  <dxfs count="90">
    <dxf>
      <font>
        <color auto="1"/>
      </font>
      <fill>
        <patternFill>
          <bgColor rgb="FFFFFFFF"/>
        </patternFill>
      </fill>
    </dxf>
    <dxf>
      <font>
        <color auto="1"/>
      </font>
      <fill>
        <patternFill>
          <bgColor rgb="FFFFFFFF"/>
        </patternFill>
      </fill>
    </dxf>
    <dxf>
      <font>
        <color auto="1"/>
      </font>
      <fill>
        <patternFill>
          <bgColor rgb="FFF2F2F2"/>
        </patternFill>
      </fill>
    </dxf>
    <dxf>
      <font>
        <color auto="1"/>
      </font>
      <fill>
        <patternFill>
          <bgColor rgb="FF9AC17D"/>
        </patternFill>
      </fill>
    </dxf>
    <dxf>
      <font>
        <color auto="1"/>
      </font>
      <fill>
        <patternFill>
          <bgColor rgb="FFFAF1D3"/>
        </patternFill>
      </fill>
    </dxf>
    <dxf>
      <font>
        <color auto="1"/>
      </font>
      <fill>
        <patternFill>
          <bgColor rgb="FFFCEF58"/>
        </patternFill>
      </fill>
    </dxf>
    <dxf>
      <font>
        <color auto="1"/>
      </font>
      <fill>
        <patternFill>
          <bgColor rgb="FFF3A447"/>
        </patternFill>
      </fill>
    </dxf>
    <dxf>
      <font>
        <color auto="1"/>
      </font>
      <fill>
        <patternFill>
          <bgColor rgb="FFFF4343"/>
        </patternFill>
      </fill>
    </dxf>
    <dxf>
      <font>
        <color theme="0"/>
      </font>
      <fill>
        <patternFill>
          <bgColor rgb="FF595959"/>
        </patternFill>
      </fill>
    </dxf>
    <dxf>
      <font>
        <color theme="0"/>
      </font>
      <fill>
        <patternFill>
          <bgColor rgb="FFBFBFBF"/>
        </patternFill>
      </fill>
    </dxf>
    <dxf>
      <font>
        <color theme="0"/>
      </font>
      <fill>
        <patternFill>
          <bgColor rgb="FF7252A0"/>
        </patternFill>
      </fill>
    </dxf>
    <dxf>
      <font>
        <color theme="1"/>
      </font>
      <fill>
        <patternFill>
          <bgColor theme="0"/>
        </patternFill>
      </fill>
    </dxf>
    <dxf>
      <font>
        <color theme="1"/>
      </font>
      <fill>
        <patternFill>
          <bgColor theme="0"/>
        </patternFill>
      </fill>
    </dxf>
    <dxf>
      <font>
        <color theme="1"/>
      </font>
      <fill>
        <patternFill>
          <bgColor rgb="FFF2F2F2"/>
        </patternFill>
      </fill>
    </dxf>
    <dxf>
      <font>
        <color theme="1"/>
      </font>
      <fill>
        <patternFill>
          <bgColor rgb="FF9AC17D"/>
        </patternFill>
      </fill>
    </dxf>
    <dxf>
      <font>
        <color theme="1"/>
      </font>
      <fill>
        <patternFill>
          <bgColor rgb="FFFAF1D3"/>
        </patternFill>
      </fill>
    </dxf>
    <dxf>
      <font>
        <color theme="1"/>
      </font>
      <fill>
        <patternFill>
          <bgColor rgb="FFFCEF58"/>
        </patternFill>
      </fill>
    </dxf>
    <dxf>
      <font>
        <color theme="1"/>
      </font>
      <fill>
        <patternFill>
          <bgColor rgb="FFF3A447"/>
        </patternFill>
      </fill>
    </dxf>
    <dxf>
      <font>
        <color theme="1"/>
      </font>
      <fill>
        <patternFill>
          <bgColor rgb="FFFF4343"/>
        </patternFill>
      </fill>
    </dxf>
    <dxf>
      <font>
        <color theme="0"/>
      </font>
      <fill>
        <patternFill>
          <bgColor rgb="FF7252A0"/>
        </patternFill>
      </fill>
    </dxf>
    <dxf>
      <font>
        <color theme="0"/>
      </font>
      <fill>
        <patternFill>
          <bgColor rgb="FFBFBFBF"/>
        </patternFill>
      </fill>
    </dxf>
    <dxf>
      <font>
        <color theme="0"/>
      </font>
      <fill>
        <patternFill>
          <bgColor rgb="FF595959"/>
        </patternFill>
      </fill>
    </dxf>
    <dxf>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indent="0" justifyLastLine="0" shrinkToFit="0" readingOrder="0"/>
    </dxf>
    <dxf>
      <alignment horizontal="general" vertical="top" textRotation="0" wrapText="1" indent="0" justifyLastLine="0" shrinkToFit="0" readingOrder="0"/>
    </dxf>
    <dxf>
      <alignment horizontal="general" vertical="top" textRotation="0" indent="0" justifyLastLine="0" shrinkToFit="0" readingOrder="0"/>
    </dxf>
    <dxf>
      <alignment horizontal="general" vertical="top" textRotation="0" wrapText="1"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font>
        <b val="0"/>
        <i/>
        <strike val="0"/>
        <condense val="0"/>
        <extend val="0"/>
        <outline val="0"/>
        <shadow val="0"/>
        <u val="none"/>
        <vertAlign val="baseline"/>
        <sz val="11"/>
        <color auto="1"/>
        <name val="Calibri"/>
        <family val="2"/>
        <scheme val="none"/>
      </font>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none"/>
      </font>
      <alignment horizontal="general" vertical="top" textRotation="0" wrapText="0" indent="0" justifyLastLine="0" shrinkToFit="0" readingOrder="0"/>
    </dxf>
    <dxf>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auto="1"/>
        <name val="Calibri"/>
        <family val="2"/>
        <scheme val="none"/>
      </font>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1" indent="0" justifyLastLine="0" shrinkToFit="0" readingOrder="0"/>
    </dxf>
    <dxf>
      <font>
        <b val="0"/>
        <i/>
        <strike val="0"/>
        <condense val="0"/>
        <extend val="0"/>
        <outline val="0"/>
        <shadow val="0"/>
        <u val="none"/>
        <vertAlign val="baseline"/>
        <sz val="11"/>
        <color auto="1"/>
        <name val="Calibri"/>
        <family val="2"/>
        <scheme val="none"/>
      </font>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258576</xdr:colOff>
      <xdr:row>52</xdr:row>
      <xdr:rowOff>152400</xdr:rowOff>
    </xdr:to>
    <xdr:pic>
      <xdr:nvPicPr>
        <xdr:cNvPr id="2" name="Image 1">
          <a:extLst>
            <a:ext uri="{FF2B5EF4-FFF2-40B4-BE49-F238E27FC236}">
              <a16:creationId xmlns:a16="http://schemas.microsoft.com/office/drawing/2014/main" id="{8F71EFD9-7A73-466C-809A-02C3D5A020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16576" cy="100584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5B52927-42CD-408B-8171-FD9D0340724D}" name="Tableau1" displayName="Tableau1" ref="A1:AR24864" totalsRowShown="0" headerRowDxfId="89" dataDxfId="88">
  <autoFilter ref="A1:AR24864" xr:uid="{15B52927-42CD-408B-8171-FD9D0340724D}"/>
  <tableColumns count="44">
    <tableColumn id="1" xr3:uid="{F2963885-197A-4B4E-BC0E-A4E1A5D4CA17}" name="groupe_taxonomique" dataDxfId="87"/>
    <tableColumn id="2" xr3:uid="{70081AB8-E049-4377-A1BA-6BE36376A4FF}" name="cd_ref" dataDxfId="86"/>
    <tableColumn id="3" xr3:uid="{672ADB29-E598-4361-A882-42A3833A96DC}" name="fme_cd_ref" dataDxfId="85"/>
    <tableColumn id="4" xr3:uid="{10CB3F1E-FFFB-4015-B21A-B2EFCD19A65C}" name="cd_nom" dataDxfId="84"/>
    <tableColumn id="5" xr3:uid="{D5A3C4AF-E0BE-4A66-A429-97B70200D0F6}" name="nom_scientifique" dataDxfId="83"/>
    <tableColumn id="6" xr3:uid="{B5C9E651-EAD4-4896-8C3E-EE40670D2B8E}" name="nom_vernaculaire" dataDxfId="82"/>
    <tableColumn id="7" xr3:uid="{7FA29A2B-824F-416B-BEDF-F93179236327}" name="cites" dataDxfId="81"/>
    <tableColumn id="8" xr3:uid="{21D26B04-CC26-4C04-87D1-ACB74B2BB475}" name="convention_bonn" dataDxfId="80"/>
    <tableColumn id="9" xr3:uid="{17809021-D48A-4AD2-B172-25ABAB03B20F}" name="convention_berne" dataDxfId="79"/>
    <tableColumn id="10" xr3:uid="{55B35462-840E-4486-B35D-DF91DEEAD6FE}" name="directive_oiseaux" dataDxfId="78"/>
    <tableColumn id="11" xr3:uid="{ACE7B8F5-3893-4E72-BBFD-D144FFF6F5C6}" name="directive_habitat_faune_flore" dataDxfId="77"/>
    <tableColumn id="12" xr3:uid="{361E2BD0-7C0C-414B-82A8-2EE16B971140}" name="protection_france" dataDxfId="76"/>
    <tableColumn id="13" xr3:uid="{167EF10D-C86C-4144-9D84-94523A6D6137}" name="protection_region" dataDxfId="75"/>
    <tableColumn id="14" xr3:uid="{731F85BA-A2C3-47A4-A504-F52BE6788B3E}" name="protection_departement" dataDxfId="74"/>
    <tableColumn id="15" xr3:uid="{FF08BE9A-F987-42A6-A7B9-2D6AC122A901}" name="liste_rouge_internationale" dataDxfId="73"/>
    <tableColumn id="16" xr3:uid="{CFA61879-1036-4E22-BA0B-41CDB6A22147}" name="liste_rouge_europenne" dataDxfId="72"/>
    <tableColumn id="17" xr3:uid="{540F69A1-320D-492A-91CB-7B18C6961D52}" name="liste_rouge_france" dataDxfId="71"/>
    <tableColumn id="18" xr3:uid="{56E0E268-2B08-4CAE-B5CB-55121F9A99DC}" name="liste_rouge_hivernants_france" dataDxfId="70"/>
    <tableColumn id="19" xr3:uid="{3DBC5655-7338-4036-ABD6-E770481FB026}" name="liste_rouge_de_passage_france" dataDxfId="69"/>
    <tableColumn id="20" xr3:uid="{3FF3F8F1-CE31-45FA-BE24-AC25A79B6169}" name="liste_rouge_bourgogne" dataDxfId="68"/>
    <tableColumn id="21" xr3:uid="{C1D02D28-4A00-4B38-8C99-F4153B9C4811}" name="liste_rouge_bourgogne_criteres" dataDxfId="67"/>
    <tableColumn id="22" xr3:uid="{6FC09A59-A276-423C-8F18-A0B0F42A5555}" name="liste_rouge_franche_comte" dataDxfId="66"/>
    <tableColumn id="23" xr3:uid="{AEA2B0F2-DCFB-4A22-9897-873E274CDD75}" name="liste_rouge_franche_comte_criteres" dataDxfId="65"/>
    <tableColumn id="24" xr3:uid="{6AFD256D-BECD-4E8F-8B62-B976C7C71AA8}" name="znieff_determinantes_bfc" dataDxfId="64"/>
    <tableColumn id="25" xr3:uid="{CFD7BFAE-AD33-4B29-AB92-092C5ADAFC31}" name="znieff_conditions" dataDxfId="63"/>
    <tableColumn id="26" xr3:uid="{95625EC3-85A9-48B1-965E-332FBE07697B}" name="znieff_determinantes_fc_fonge" dataDxfId="62"/>
    <tableColumn id="27" xr3:uid="{BAC0BE01-4FFF-42C6-9977-358FF64DB29F}" name="znieff_cotations" dataDxfId="61"/>
    <tableColumn id="28" xr3:uid="{BF9A2600-ECC2-4345-9A36-073AABA4FBD6}" name="znieff_determinantes_dept" dataDxfId="60"/>
    <tableColumn id="29" xr3:uid="{30992244-370A-4CE8-9914-448191F8A8D8}" name="znieff_confidentielles_b" dataDxfId="59"/>
    <tableColumn id="30" xr3:uid="{A35EE80A-AE00-4D21-8EA2-212628C9C24F}" name="znieff_confidentielles_fc" dataDxfId="58"/>
    <tableColumn id="31" xr3:uid="{B0043B81-9414-42EA-86DA-6A40C1669406}" name="scap_nationale" dataDxfId="57"/>
    <tableColumn id="32" xr3:uid="{791F91B5-EB69-4B09-A587-D4A4C290611A}" name="scap_bourgogne" dataDxfId="56"/>
    <tableColumn id="33" xr3:uid="{3AA25928-C20D-4E01-BAA2-7DE27E185F6C}" name="scap_franche_comte" dataDxfId="55"/>
    <tableColumn id="34" xr3:uid="{D12A8770-1BCA-495D-9045-3819B84F32E3}" name="statut_biogeo" dataDxfId="54"/>
    <tableColumn id="35" xr3:uid="{FC658ED7-33C7-4669-A0A5-FDE3AD941222}" name="pna" dataDxfId="53"/>
    <tableColumn id="36" xr3:uid="{6F4A4582-9D7A-4D58-A2EE-3ECCF3C5ABD3}" name="pna_periode" dataDxfId="52"/>
    <tableColumn id="37" xr3:uid="{15643027-CB94-4030-BCD2-932F8FC1FE58}" name="destruction_reglementee" dataDxfId="51"/>
    <tableColumn id="38" xr3:uid="{080C371A-DCB0-420E-A58D-0869ADF4D2A5}" name="eee" dataDxfId="50"/>
    <tableColumn id="39" xr3:uid="{8552BFB1-178D-43BD-9BAA-C205C32F6368}" name="restriction_diff_m10" dataDxfId="49"/>
    <tableColumn id="40" xr3:uid="{D1557451-86BA-4F14-AFED-C5F92B04C7F5}" name="restriction_diff_m5" dataDxfId="48"/>
    <tableColumn id="41" xr3:uid="{8C025B60-94B6-42FF-BC05-549BC35129EF}" name="restriction_diff_com" dataDxfId="47"/>
    <tableColumn id="42" xr3:uid="{9C8BC9F5-6F90-4221-A1AA-182FA7E19AE0}" name="competence" dataDxfId="46"/>
    <tableColumn id="43" xr3:uid="{5B3264A3-F874-42BF-9512-53078B6A4155}" name="especes_ministerielles" dataDxfId="45"/>
    <tableColumn id="44" xr3:uid="{E342C264-63D9-4290-9E59-C6794777C101}" name="validation" dataDxfId="44"/>
  </tableColumns>
  <tableStyleInfo name="TableStyleMedium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F15FEF6-C17C-4326-8489-DF5683AC8153}" name="Tableau2" displayName="Tableau2" ref="A1:B45" totalsRowShown="0">
  <autoFilter ref="A1:B45" xr:uid="{5F15FEF6-C17C-4326-8489-DF5683AC8153}"/>
  <tableColumns count="2">
    <tableColumn id="1" xr3:uid="{AA11D0EA-E15E-4D00-9BB7-9D84F2F0E840}" name="attribut"/>
    <tableColumn id="2" xr3:uid="{8D142355-5937-40C6-8C96-F386591636AC}" name="description"/>
  </tableColumns>
  <tableStyleInfo name="TableStyleMedium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D1DD6CA-3426-4A98-898A-84A951180501}" name="Tableau3" displayName="Tableau3" ref="A1:D105" totalsRowShown="0" headerRowDxfId="43" dataDxfId="42">
  <autoFilter ref="A1:D105" xr:uid="{ED1DD6CA-3426-4A98-898A-84A951180501}"/>
  <tableColumns count="4">
    <tableColumn id="1" xr3:uid="{AFF56BB5-8E3F-4988-8446-D2D154E4E6A6}" name="liste" dataDxfId="41"/>
    <tableColumn id="2" xr3:uid="{9F32060D-EB3A-4843-8CC0-D445EBC13329}" name="groupe_taxonomique" dataDxfId="40"/>
    <tableColumn id="3" xr3:uid="{1BFE5325-D414-4050-BF13-765F4741B90D}" name="reference_biblio" dataDxfId="39"/>
    <tableColumn id="4" xr3:uid="{F6ED2072-72A4-4F5D-AA97-7D207E02FA74}" name="date" dataDxfId="38"/>
  </tableColumns>
  <tableStyleInfo name="TableStyleMedium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CFBC660-E8CA-4158-9129-840216D845DA}" name="Tableau4" displayName="Tableau4" ref="A1:E79" totalsRowShown="0" headerRowDxfId="37" dataDxfId="36">
  <autoFilter ref="A1:E79" xr:uid="{5CFBC660-E8CA-4158-9129-840216D845DA}"/>
  <tableColumns count="5">
    <tableColumn id="1" xr3:uid="{D2178408-48A9-4510-9A30-372C739E1CCC}" name="code" dataDxfId="35"/>
    <tableColumn id="2" xr3:uid="{7BC5DE01-6AF9-481E-9ACE-0A92BE82AE0F}" name="intitule" dataDxfId="34"/>
    <tableColumn id="3" xr3:uid="{A2FBAB8E-3B85-4B40-A3AA-4E180E66B39A}" name="article" dataDxfId="33"/>
    <tableColumn id="4" xr3:uid="{70B7D7C5-1158-4600-B56B-CB4363ECB04A}" name="arrete" dataDxfId="32"/>
    <tableColumn id="5" xr3:uid="{48C62FB9-7C5B-4DE4-BCC2-05BAD4AF93E0}" name="date" dataDxfId="31"/>
  </tableColumns>
  <tableStyleInfo name="TableStyleMedium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CF5F048-4AF5-42F6-BA5D-C2C641E217D6}" name="Tableau5" displayName="Tableau5" ref="A1:E7" totalsRowShown="0" headerRowDxfId="30" dataDxfId="29">
  <autoFilter ref="A1:E7" xr:uid="{6CF5F048-4AF5-42F6-BA5D-C2C641E217D6}"/>
  <tableColumns count="5">
    <tableColumn id="1" xr3:uid="{CF27DC9E-8DAD-4645-B352-3BB4DB4417EE}" name="groupe_taxonomique" dataDxfId="28"/>
    <tableColumn id="2" xr3:uid="{4807C59B-4594-4CD6-A61B-907801274B45}" name="intitule" dataDxfId="27"/>
    <tableColumn id="3" xr3:uid="{CBBFC970-2AF3-47A3-B607-CE3BF65BB532}" name="article" dataDxfId="26"/>
    <tableColumn id="4" xr3:uid="{7042C868-A5C0-47DE-893A-DB2D28C45307}" name="arrete" dataDxfId="25"/>
    <tableColumn id="5" xr3:uid="{7151F62E-14ED-4474-BB48-E34F218AE7A1}" name="date" dataDxfId="24"/>
  </tableColumns>
  <tableStyleInfo name="TableStyleMedium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6FF59E-DD86-4C1E-82CB-F4980EC04D3A}" name="Tableau6" displayName="Tableau6" ref="A1:B10" totalsRowShown="0">
  <autoFilter ref="A1:B10" xr:uid="{006FF59E-DD86-4C1E-82CB-F4980EC04D3A}"/>
  <tableColumns count="2">
    <tableColumn id="1" xr3:uid="{01B8418E-9EA8-48F4-825C-69768787C29F}" name="codification" dataDxfId="23"/>
    <tableColumn id="2" xr3:uid="{F6EC1058-DB51-41AA-AF9E-8991532497E6}" name="description" dataDxfId="22"/>
  </tableColumns>
  <tableStyleInfo name="TableStyleMedium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77BBDE2-E969-4E3E-88CB-24870D0B2AB5}" name="Tableau7" displayName="Tableau7" ref="A1:B16" totalsRowShown="0">
  <autoFilter ref="A1:B16" xr:uid="{B77BBDE2-E969-4E3E-88CB-24870D0B2AB5}"/>
  <tableColumns count="2">
    <tableColumn id="1" xr3:uid="{C372E291-9999-4B44-BA57-249FFA9F9B81}" name="codification"/>
    <tableColumn id="2" xr3:uid="{81018971-ACF9-459A-A8AE-CDCCE1170D3B}" name="description"/>
  </tableColumns>
  <tableStyleInfo name="TableStyleMedium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D8A5DD0-3D4C-407A-ADFE-42D244E9C08C}" name="Tableau8" displayName="Tableau8" ref="A1:B12" totalsRowShown="0">
  <autoFilter ref="A1:B12" xr:uid="{0D8A5DD0-3D4C-407A-ADFE-42D244E9C08C}"/>
  <tableColumns count="2">
    <tableColumn id="1" xr3:uid="{B610091E-7061-4729-AC38-A0E13DC3229F}" name="codification"/>
    <tableColumn id="2" xr3:uid="{AA594D62-FB8D-4AA8-B399-74AEBDB7712A}" name="description"/>
  </tableColumns>
  <tableStyleInfo name="TableStyleMedium3" showFirstColumn="0" showLastColumn="0" showRowStripes="1" showColumnStripes="0"/>
</table>
</file>

<file path=xl/theme/theme1.xml><?xml version="1.0" encoding="utf-8"?>
<a:theme xmlns:a="http://schemas.openxmlformats.org/drawingml/2006/main" name="Thème Office">
  <a:themeElements>
    <a:clrScheme name="Papier">
      <a:dk1>
        <a:sysClr val="windowText" lastClr="000000"/>
      </a:dk1>
      <a:lt1>
        <a:sysClr val="window" lastClr="FFFFFF"/>
      </a:lt1>
      <a:dk2>
        <a:srgbClr val="444D26"/>
      </a:dk2>
      <a:lt2>
        <a:srgbClr val="FEFAC9"/>
      </a:lt2>
      <a:accent1>
        <a:srgbClr val="A5B592"/>
      </a:accent1>
      <a:accent2>
        <a:srgbClr val="F3A447"/>
      </a:accent2>
      <a:accent3>
        <a:srgbClr val="E7BC29"/>
      </a:accent3>
      <a:accent4>
        <a:srgbClr val="D092A7"/>
      </a:accent4>
      <a:accent5>
        <a:srgbClr val="9C85C0"/>
      </a:accent5>
      <a:accent6>
        <a:srgbClr val="809EC2"/>
      </a:accent6>
      <a:hlink>
        <a:srgbClr val="8E58B6"/>
      </a:hlink>
      <a:folHlink>
        <a:srgbClr val="7F6F6F"/>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R24864"/>
  <sheetViews>
    <sheetView tabSelected="1" workbookViewId="0">
      <pane ySplit="1" topLeftCell="A2" activePane="bottomLeft" state="frozen"/>
      <selection pane="bottomLeft" activeCell="A2" sqref="A2"/>
    </sheetView>
  </sheetViews>
  <sheetFormatPr baseColWidth="10" defaultColWidth="9.140625" defaultRowHeight="15"/>
  <cols>
    <col min="1" max="1" width="22.28515625" style="4" customWidth="1"/>
    <col min="2" max="2" width="8.7109375" style="4" customWidth="1"/>
    <col min="3" max="3" width="13.28515625" style="4" customWidth="1"/>
    <col min="4" max="4" width="44.5703125" style="5" customWidth="1"/>
    <col min="5" max="5" width="41.28515625" style="6" customWidth="1"/>
    <col min="6" max="6" width="41.28515625" style="5" customWidth="1"/>
    <col min="7" max="7" width="7.28515625" style="4" customWidth="1"/>
    <col min="8" max="8" width="18.7109375" style="4" customWidth="1"/>
    <col min="9" max="9" width="19.42578125" style="4" customWidth="1"/>
    <col min="10" max="10" width="18.85546875" style="4" customWidth="1"/>
    <col min="11" max="11" width="30.7109375" style="4" customWidth="1"/>
    <col min="12" max="12" width="19" style="4" customWidth="1"/>
    <col min="13" max="13" width="19.140625" style="4" customWidth="1"/>
    <col min="14" max="14" width="25.140625" style="4" customWidth="1"/>
    <col min="15" max="17" width="27.7109375" style="7" customWidth="1"/>
    <col min="18" max="18" width="30.140625" style="7" customWidth="1"/>
    <col min="19" max="19" width="31" style="7" customWidth="1"/>
    <col min="20" max="20" width="27.7109375" style="7" customWidth="1"/>
    <col min="21" max="21" width="31.7109375" style="4" customWidth="1"/>
    <col min="22" max="22" width="27.7109375" style="7" customWidth="1"/>
    <col min="23" max="23" width="35.140625" style="4" customWidth="1"/>
    <col min="24" max="24" width="26.140625" style="5" customWidth="1"/>
    <col min="25" max="25" width="25.7109375" style="5" customWidth="1"/>
    <col min="26" max="26" width="31.140625" style="4" customWidth="1"/>
    <col min="27" max="27" width="25.7109375" style="4" customWidth="1"/>
    <col min="28" max="28" width="27.5703125" style="4" customWidth="1"/>
    <col min="29" max="30" width="25.7109375" style="4" customWidth="1"/>
    <col min="31" max="31" width="16.42578125" style="4" customWidth="1"/>
    <col min="32" max="32" width="17.5703125" style="4" customWidth="1"/>
    <col min="33" max="33" width="21.28515625" style="4" customWidth="1"/>
    <col min="34" max="34" width="15.42578125" style="4" customWidth="1"/>
    <col min="35" max="35" width="20.7109375" style="8" customWidth="1"/>
    <col min="36" max="36" width="14.42578125" style="4" customWidth="1"/>
    <col min="37" max="37" width="25.85546875" style="4" customWidth="1"/>
    <col min="38" max="38" width="23.140625" style="5" customWidth="1"/>
    <col min="39" max="39" width="21.140625" style="4" customWidth="1"/>
    <col min="40" max="40" width="20.140625" style="4" customWidth="1"/>
    <col min="41" max="41" width="21.140625" style="4" customWidth="1"/>
    <col min="42" max="42" width="14.140625" style="4" customWidth="1"/>
    <col min="43" max="43" width="23.5703125" style="4" customWidth="1"/>
    <col min="44" max="44" width="12.7109375" style="4" customWidth="1"/>
    <col min="45" max="16384" width="9.140625" style="4"/>
  </cols>
  <sheetData>
    <row r="1" spans="1:44" s="1" customFormat="1">
      <c r="A1" s="1" t="s">
        <v>0</v>
      </c>
      <c r="B1" s="1" t="s">
        <v>289</v>
      </c>
      <c r="C1" s="1" t="s">
        <v>307</v>
      </c>
      <c r="D1" s="2" t="s">
        <v>287</v>
      </c>
      <c r="E1" s="2" t="s">
        <v>328</v>
      </c>
      <c r="F1" s="2" t="s">
        <v>330</v>
      </c>
      <c r="G1" s="1" t="s">
        <v>291</v>
      </c>
      <c r="H1" s="1" t="s">
        <v>296</v>
      </c>
      <c r="I1" s="1" t="s">
        <v>295</v>
      </c>
      <c r="J1" s="1" t="s">
        <v>301</v>
      </c>
      <c r="K1" s="1" t="s">
        <v>299</v>
      </c>
      <c r="L1" s="1" t="s">
        <v>338</v>
      </c>
      <c r="M1" s="1" t="s">
        <v>340</v>
      </c>
      <c r="N1" s="1" t="s">
        <v>336</v>
      </c>
      <c r="O1" s="3" t="s">
        <v>326</v>
      </c>
      <c r="P1" s="3" t="s">
        <v>316</v>
      </c>
      <c r="Q1" s="3" t="s">
        <v>318</v>
      </c>
      <c r="R1" s="3" t="s">
        <v>324</v>
      </c>
      <c r="S1" s="3" t="s">
        <v>314</v>
      </c>
      <c r="T1" s="3" t="s">
        <v>310</v>
      </c>
      <c r="U1" s="1" t="s">
        <v>312</v>
      </c>
      <c r="V1" s="3" t="s">
        <v>320</v>
      </c>
      <c r="W1" s="1" t="s">
        <v>322</v>
      </c>
      <c r="X1" s="1" t="s">
        <v>366</v>
      </c>
      <c r="Y1" s="1" t="s">
        <v>358</v>
      </c>
      <c r="Z1" s="1" t="s">
        <v>370</v>
      </c>
      <c r="AA1" s="1" t="s">
        <v>364</v>
      </c>
      <c r="AB1" s="1" t="s">
        <v>368</v>
      </c>
      <c r="AC1" s="1" t="s">
        <v>360</v>
      </c>
      <c r="AD1" s="1" t="s">
        <v>362</v>
      </c>
      <c r="AE1" s="1" t="s">
        <v>352</v>
      </c>
      <c r="AF1" s="1" t="s">
        <v>348</v>
      </c>
      <c r="AG1" s="1" t="s">
        <v>350</v>
      </c>
      <c r="AH1" s="1" t="s">
        <v>354</v>
      </c>
      <c r="AI1" s="1" t="s">
        <v>332</v>
      </c>
      <c r="AJ1" s="1" t="s">
        <v>334</v>
      </c>
      <c r="AK1" s="1" t="s">
        <v>297</v>
      </c>
      <c r="AL1" s="1" t="s">
        <v>303</v>
      </c>
      <c r="AM1" s="1" t="s">
        <v>344</v>
      </c>
      <c r="AN1" s="1" t="s">
        <v>346</v>
      </c>
      <c r="AO1" s="1" t="s">
        <v>342</v>
      </c>
      <c r="AP1" s="1" t="s">
        <v>293</v>
      </c>
      <c r="AQ1" s="1" t="s">
        <v>305</v>
      </c>
      <c r="AR1" s="1" t="s">
        <v>356</v>
      </c>
    </row>
    <row r="2" spans="1:44" ht="30">
      <c r="A2" s="4" t="s">
        <v>129</v>
      </c>
      <c r="B2" s="4">
        <v>139</v>
      </c>
      <c r="D2" s="5" t="s">
        <v>372</v>
      </c>
      <c r="E2" s="6" t="str">
        <f>HYPERLINK("https://inpn.mnhn.fr/espece/cd_nom/139","Triturus cristatus (Laurenti, 1768)")</f>
        <v>Triturus cristatus (Laurenti, 1768)</v>
      </c>
      <c r="F2" s="5" t="s">
        <v>373</v>
      </c>
      <c r="I2" s="4" t="str">
        <f>HYPERLINK("#Réglementation!A"&amp;_xlfn.XMATCH("IBE2",Réglementation!A:A,2,1),"IBE2")</f>
        <v>IBE2</v>
      </c>
      <c r="K2" s="4" t="str">
        <f>HYPERLINK("#Réglementation!A"&amp;_xlfn.XMATCH("CDH2",Réglementation!A:A,2,1),"CDH2 - CDH4")</f>
        <v>CDH2 - CDH4</v>
      </c>
      <c r="L2" s="4" t="str">
        <f>HYPERLINK("#Réglementation!A"&amp;_xlfn.XMATCH("FRAR2",Réglementation!A:A,2,1),"FRAR2")</f>
        <v>FRAR2</v>
      </c>
      <c r="O2" s="7" t="str">
        <f>HYPERLINK("#Liste_rouge!A"&amp;_xlfn.XMATCH("LC",Liste_rouge!A:A,2,1),"LC")</f>
        <v>LC</v>
      </c>
      <c r="P2" s="7" t="str">
        <f>HYPERLINK("#Liste_rouge!A"&amp;_xlfn.XMATCH("LC",Liste_rouge!A:A,2,1),"LC")</f>
        <v>LC</v>
      </c>
      <c r="Q2" s="7" t="str">
        <f>HYPERLINK("#Liste_rouge!A"&amp;_xlfn.XMATCH("NT",Liste_rouge!A:A,2,1),"NT")</f>
        <v>NT</v>
      </c>
      <c r="T2" s="7" t="str">
        <f>HYPERLINK("#Liste_rouge!A"&amp;_xlfn.XMATCH("VU",Liste_rouge!A:A,2,1),"VU")</f>
        <v>VU</v>
      </c>
      <c r="U2" s="4" t="str">
        <f>HYPERLINK("#Critères_liste_rouge!A$1","A2c+4c")</f>
        <v>A2c+4c</v>
      </c>
      <c r="V2" s="7" t="str">
        <f>HYPERLINK("#Liste_rouge!A"&amp;_xlfn.XMATCH("VU",Liste_rouge!A:A,2,1),"VU")</f>
        <v>VU</v>
      </c>
      <c r="W2" s="4" t="str">
        <f>HYPERLINK("#Critères_liste_rouge!A$1","B2ab(iii,v)")</f>
        <v>B2ab(iii,v)</v>
      </c>
      <c r="X2" s="5" t="s">
        <v>374</v>
      </c>
      <c r="AE2" s="4" t="str">
        <f>HYPERLINK("#SCAP!A"&amp;_xlfn.XMATCH("A",SCAP!A:A,2,1),"A")</f>
        <v>A</v>
      </c>
      <c r="AF2" s="4" t="str">
        <f>HYPERLINK("#SCAP!A"&amp;_xlfn.XMATCH("A",SCAP!A:A,2,1),"A")</f>
        <v>A</v>
      </c>
      <c r="AH2" s="4" t="str">
        <f>HYPERLINK("#Statut_biogéographique!A"&amp;_xlfn.XMATCH("P",Statut_biogéographique!A:A,2,1),"P")</f>
        <v>P</v>
      </c>
      <c r="AM2" s="4" t="s">
        <v>375</v>
      </c>
      <c r="AN2" s="4" t="s">
        <v>375</v>
      </c>
      <c r="AO2" s="4" t="s">
        <v>375</v>
      </c>
      <c r="AP2" s="4" t="s">
        <v>376</v>
      </c>
      <c r="AR2" s="4" t="s">
        <v>377</v>
      </c>
    </row>
    <row r="3" spans="1:44">
      <c r="A3" s="4" t="s">
        <v>129</v>
      </c>
      <c r="B3" s="4">
        <v>150</v>
      </c>
      <c r="D3" s="5" t="s">
        <v>378</v>
      </c>
      <c r="E3" s="6" t="str">
        <f>HYPERLINK("https://inpn.mnhn.fr/espece/cd_nom/150","Triturus cristatus x T. marmoratus ")</f>
        <v xml:space="preserve">Triturus cristatus x T. marmoratus </v>
      </c>
      <c r="F3" s="5" t="s">
        <v>379</v>
      </c>
      <c r="I3" s="4" t="str">
        <f>HYPERLINK("#Réglementation!A"&amp;_xlfn.XMATCH("IBE3",Réglementation!A:A,2,1),"IBE3")</f>
        <v>IBE3</v>
      </c>
      <c r="L3" s="4" t="str">
        <f>HYPERLINK("#Réglementation!A"&amp;_xlfn.XMATCH("FRAR3",Réglementation!A:A,2,1),"FRAR3")</f>
        <v>FRAR3</v>
      </c>
      <c r="AH3" s="4" t="str">
        <f>HYPERLINK("#Statut_biogéographique!A"&amp;_xlfn.XMATCH("P",Statut_biogéographique!A:A,2,1),"P")</f>
        <v>P</v>
      </c>
      <c r="AP3" s="4" t="s">
        <v>376</v>
      </c>
      <c r="AR3" s="4" t="s">
        <v>377</v>
      </c>
    </row>
    <row r="4" spans="1:44">
      <c r="A4" s="4" t="s">
        <v>129</v>
      </c>
      <c r="B4" s="4">
        <v>163</v>
      </c>
      <c r="D4" s="5" t="s">
        <v>380</v>
      </c>
      <c r="E4" s="6" t="str">
        <f>HYPERLINK("https://inpn.mnhn.fr/espece/cd_nom/163","Triturus marmoratus (Latreille, 1800)")</f>
        <v>Triturus marmoratus (Latreille, 1800)</v>
      </c>
      <c r="F4" s="5" t="s">
        <v>381</v>
      </c>
      <c r="I4" s="4" t="str">
        <f>HYPERLINK("#Réglementation!A"&amp;_xlfn.XMATCH("IBE3",Réglementation!A:A,2,1),"IBE3")</f>
        <v>IBE3</v>
      </c>
      <c r="K4" s="4" t="str">
        <f>HYPERLINK("#Réglementation!A"&amp;_xlfn.XMATCH("CDH4",Réglementation!A:A,2,1),"CDH4")</f>
        <v>CDH4</v>
      </c>
      <c r="L4" s="4" t="str">
        <f>HYPERLINK("#Réglementation!A"&amp;_xlfn.XMATCH("FRAR2",Réglementation!A:A,2,1),"FRAR2")</f>
        <v>FRAR2</v>
      </c>
      <c r="O4" s="7" t="str">
        <f>HYPERLINK("#Liste_rouge!A"&amp;_xlfn.XMATCH("LC",Liste_rouge!A:A,2,1),"LC")</f>
        <v>LC</v>
      </c>
      <c r="P4" s="7" t="str">
        <f>HYPERLINK("#Liste_rouge!A"&amp;_xlfn.XMATCH("LC",Liste_rouge!A:A,2,1),"LC")</f>
        <v>LC</v>
      </c>
      <c r="Q4" s="7" t="str">
        <f>HYPERLINK("#Liste_rouge!A"&amp;_xlfn.XMATCH("NT",Liste_rouge!A:A,2,1),"NT")</f>
        <v>NT</v>
      </c>
      <c r="T4" s="7" t="str">
        <f>HYPERLINK("#Liste_rouge!A"&amp;_xlfn.XMATCH("EN",Liste_rouge!A:A,2,1),"EN")</f>
        <v>EN</v>
      </c>
      <c r="U4" s="4" t="str">
        <f>HYPERLINK("#Critères_liste_rouge!A$1","B(1+2)ab(i,ii,iii,iv,v)")</f>
        <v>B(1+2)ab(i,ii,iii,iv,v)</v>
      </c>
      <c r="X4" s="5" t="s">
        <v>374</v>
      </c>
      <c r="AE4" s="4" t="str">
        <f>HYPERLINK("#SCAP!A"&amp;_xlfn.XMATCH("A",SCAP!A:A,2,1),"A")</f>
        <v>A</v>
      </c>
      <c r="AF4" s="4" t="str">
        <f>HYPERLINK("#SCAP!A"&amp;_xlfn.XMATCH("A",SCAP!A:A,2,1),"A")</f>
        <v>A</v>
      </c>
      <c r="AH4" s="4" t="str">
        <f>HYPERLINK("#Statut_biogéographique!A"&amp;_xlfn.XMATCH("S",Statut_biogéographique!A:A,2,1),"S")</f>
        <v>S</v>
      </c>
      <c r="AM4" s="4" t="s">
        <v>375</v>
      </c>
      <c r="AN4" s="4" t="s">
        <v>382</v>
      </c>
      <c r="AO4" s="4" t="s">
        <v>382</v>
      </c>
      <c r="AP4" s="4" t="s">
        <v>376</v>
      </c>
      <c r="AR4" s="4" t="s">
        <v>377</v>
      </c>
    </row>
    <row r="5" spans="1:44">
      <c r="A5" s="4" t="s">
        <v>129</v>
      </c>
      <c r="B5" s="4">
        <v>197</v>
      </c>
      <c r="D5" s="5" t="s">
        <v>383</v>
      </c>
      <c r="E5" s="6" t="str">
        <f>HYPERLINK("https://inpn.mnhn.fr/espece/cd_nom/197","Alytes obstetricans (Laurenti, 1768)")</f>
        <v>Alytes obstetricans (Laurenti, 1768)</v>
      </c>
      <c r="F5" s="5" t="s">
        <v>384</v>
      </c>
      <c r="I5" s="4" t="str">
        <f>HYPERLINK("#Réglementation!A"&amp;_xlfn.XMATCH("IBE2",Réglementation!A:A,2,1),"IBE2")</f>
        <v>IBE2</v>
      </c>
      <c r="K5" s="4" t="str">
        <f>HYPERLINK("#Réglementation!A"&amp;_xlfn.XMATCH("CDH4",Réglementation!A:A,2,1),"CDH4")</f>
        <v>CDH4</v>
      </c>
      <c r="L5" s="4" t="str">
        <f>HYPERLINK("#Réglementation!A"&amp;_xlfn.XMATCH("FRAR2",Réglementation!A:A,2,1),"FRAR2")</f>
        <v>FRAR2</v>
      </c>
      <c r="O5" s="7" t="str">
        <f>HYPERLINK("#Liste_rouge!A"&amp;_xlfn.XMATCH("LC",Liste_rouge!A:A,2,1),"LC")</f>
        <v>LC</v>
      </c>
      <c r="P5" s="7" t="str">
        <f>HYPERLINK("#Liste_rouge!A"&amp;_xlfn.XMATCH("LC",Liste_rouge!A:A,2,1),"LC")</f>
        <v>LC</v>
      </c>
      <c r="Q5" s="7" t="str">
        <f>HYPERLINK("#Liste_rouge!A"&amp;_xlfn.XMATCH("LC",Liste_rouge!A:A,2,1),"LC")</f>
        <v>LC</v>
      </c>
      <c r="T5" s="7" t="str">
        <f>HYPERLINK("#Liste_rouge!A"&amp;_xlfn.XMATCH("LC",Liste_rouge!A:A,2,1),"LC")</f>
        <v>LC</v>
      </c>
      <c r="V5" s="7" t="str">
        <f>HYPERLINK("#Liste_rouge!A"&amp;_xlfn.XMATCH("NT",Liste_rouge!A:A,2,1),"NT")</f>
        <v>NT</v>
      </c>
      <c r="W5" s="4" t="str">
        <f>HYPERLINK("#Critères_liste_rouge!A$1","pr. B2a")</f>
        <v>pr. B2a</v>
      </c>
      <c r="X5" s="5" t="s">
        <v>374</v>
      </c>
      <c r="AH5" s="4" t="str">
        <f>HYPERLINK("#Statut_biogéographique!A"&amp;_xlfn.XMATCH("P",Statut_biogéographique!A:A,2,1),"P")</f>
        <v>P</v>
      </c>
      <c r="AM5" s="4" t="s">
        <v>375</v>
      </c>
      <c r="AN5" s="4" t="s">
        <v>375</v>
      </c>
      <c r="AO5" s="4" t="s">
        <v>375</v>
      </c>
      <c r="AP5" s="4" t="s">
        <v>376</v>
      </c>
      <c r="AR5" s="4" t="s">
        <v>377</v>
      </c>
    </row>
    <row r="6" spans="1:44">
      <c r="A6" s="4" t="s">
        <v>129</v>
      </c>
      <c r="B6" s="4">
        <v>212</v>
      </c>
      <c r="D6" s="5" t="s">
        <v>385</v>
      </c>
      <c r="E6" s="6" t="str">
        <f>HYPERLINK("https://inpn.mnhn.fr/espece/cd_nom/212","Bombina variegata (Linnaeus, 1758)")</f>
        <v>Bombina variegata (Linnaeus, 1758)</v>
      </c>
      <c r="F6" s="5" t="s">
        <v>386</v>
      </c>
      <c r="I6" s="4" t="str">
        <f>HYPERLINK("#Réglementation!A"&amp;_xlfn.XMATCH("IBE2",Réglementation!A:A,2,1),"IBE2")</f>
        <v>IBE2</v>
      </c>
      <c r="K6" s="4" t="str">
        <f>HYPERLINK("#Réglementation!A"&amp;_xlfn.XMATCH("CDH2",Réglementation!A:A,2,1),"CDH2 - CDH4")</f>
        <v>CDH2 - CDH4</v>
      </c>
      <c r="L6" s="4" t="str">
        <f>HYPERLINK("#Réglementation!A"&amp;_xlfn.XMATCH("FRAR2",Réglementation!A:A,2,1),"FRAR2")</f>
        <v>FRAR2</v>
      </c>
      <c r="P6" s="7" t="str">
        <f>HYPERLINK("#Liste_rouge!A"&amp;_xlfn.XMATCH("LC",Liste_rouge!A:A,2,1),"LC")</f>
        <v>LC</v>
      </c>
      <c r="Q6" s="7" t="str">
        <f>HYPERLINK("#Liste_rouge!A"&amp;_xlfn.XMATCH("VU",Liste_rouge!A:A,2,1),"VU")</f>
        <v>VU</v>
      </c>
      <c r="T6" s="7" t="str">
        <f>HYPERLINK("#Liste_rouge!A"&amp;_xlfn.XMATCH("NT",Liste_rouge!A:A,2,1),"NT")</f>
        <v>NT</v>
      </c>
      <c r="U6" s="4" t="str">
        <f>HYPERLINK("#Critères_liste_rouge!A$1","pr. A2c+4cB2b(i,ii,iii,iv,v)")</f>
        <v>pr. A2c+4cB2b(i,ii,iii,iv,v)</v>
      </c>
      <c r="V6" s="7" t="str">
        <f>HYPERLINK("#Liste_rouge!A"&amp;_xlfn.XMATCH("NT",Liste_rouge!A:A,2,1),"NT")</f>
        <v>NT</v>
      </c>
      <c r="W6" s="4" t="str">
        <f>HYPERLINK("#Critères_liste_rouge!A$1","pr. B2b(ii)")</f>
        <v>pr. B2b(ii)</v>
      </c>
      <c r="X6" s="5" t="s">
        <v>374</v>
      </c>
      <c r="AE6" s="4" t="str">
        <f>HYPERLINK("#SCAP!A"&amp;_xlfn.XMATCH("1+",SCAP!A:A,2,1),"1+")</f>
        <v>1+</v>
      </c>
      <c r="AF6" s="4" t="str">
        <f>HYPERLINK("#SCAP!A"&amp;_xlfn.XMATCH("3",SCAP!A:A,2,1),"3")</f>
        <v>3</v>
      </c>
      <c r="AG6" s="4" t="str">
        <f>HYPERLINK("#SCAP!A"&amp;_xlfn.XMATCH("2+",SCAP!A:A,2,1),"2+")</f>
        <v>2+</v>
      </c>
      <c r="AH6" s="4" t="str">
        <f>HYPERLINK("#Statut_biogéographique!A"&amp;_xlfn.XMATCH("P",Statut_biogéographique!A:A,2,1),"P")</f>
        <v>P</v>
      </c>
      <c r="AI6" s="8" t="s">
        <v>387</v>
      </c>
      <c r="AJ6" s="4" t="s">
        <v>388</v>
      </c>
      <c r="AM6" s="4" t="s">
        <v>375</v>
      </c>
      <c r="AN6" s="4" t="s">
        <v>375</v>
      </c>
      <c r="AO6" s="4" t="s">
        <v>375</v>
      </c>
      <c r="AP6" s="4" t="s">
        <v>389</v>
      </c>
      <c r="AR6" s="4" t="s">
        <v>377</v>
      </c>
    </row>
    <row r="7" spans="1:44">
      <c r="A7" s="4" t="s">
        <v>129</v>
      </c>
      <c r="B7" s="4">
        <v>240</v>
      </c>
      <c r="D7" s="5" t="s">
        <v>390</v>
      </c>
      <c r="E7" s="6" t="str">
        <f>HYPERLINK("https://inpn.mnhn.fr/espece/cd_nom/240","Pelobates fuscus (Laurenti, 1768)")</f>
        <v>Pelobates fuscus (Laurenti, 1768)</v>
      </c>
      <c r="F7" s="5" t="s">
        <v>391</v>
      </c>
      <c r="I7" s="4" t="str">
        <f>HYPERLINK("#Réglementation!A"&amp;_xlfn.XMATCH("IBE2",Réglementation!A:A,2,1),"IBE2")</f>
        <v>IBE2</v>
      </c>
      <c r="K7" s="4" t="str">
        <f>HYPERLINK("#Réglementation!A"&amp;_xlfn.XMATCH("CDH4",Réglementation!A:A,2,1),"CDH4")</f>
        <v>CDH4</v>
      </c>
      <c r="L7" s="4" t="str">
        <f>HYPERLINK("#Réglementation!A"&amp;_xlfn.XMATCH("FRAR2",Réglementation!A:A,2,1),"FRAR2 - NM")</f>
        <v>FRAR2 - NM</v>
      </c>
      <c r="O7" s="7" t="str">
        <f>HYPERLINK("#Liste_rouge!A"&amp;_xlfn.XMATCH("LC",Liste_rouge!A:A,2,1),"LC")</f>
        <v>LC</v>
      </c>
      <c r="P7" s="7" t="str">
        <f>HYPERLINK("#Liste_rouge!A"&amp;_xlfn.XMATCH("LC",Liste_rouge!A:A,2,1),"LC")</f>
        <v>LC</v>
      </c>
      <c r="Q7" s="7" t="str">
        <f>HYPERLINK("#Liste_rouge!A"&amp;_xlfn.XMATCH("EN",Liste_rouge!A:A,2,1),"EN")</f>
        <v>EN</v>
      </c>
      <c r="AE7" s="4" t="str">
        <f>HYPERLINK("#SCAP!A"&amp;_xlfn.XMATCH("3",SCAP!A:A,2,1),"3")</f>
        <v>3</v>
      </c>
      <c r="AH7" s="4" t="str">
        <f>HYPERLINK("#Statut_biogéographique!A"&amp;_xlfn.XMATCH("P",Statut_biogéographique!A:A,2,1),"P")</f>
        <v>P</v>
      </c>
      <c r="AI7" s="8" t="s">
        <v>392</v>
      </c>
      <c r="AJ7" s="4" t="s">
        <v>393</v>
      </c>
      <c r="AP7" s="4" t="s">
        <v>376</v>
      </c>
      <c r="AQ7" s="4" t="s">
        <v>377</v>
      </c>
      <c r="AR7" s="4" t="s">
        <v>377</v>
      </c>
    </row>
    <row r="8" spans="1:44">
      <c r="A8" s="4" t="s">
        <v>129</v>
      </c>
      <c r="B8" s="4">
        <v>252</v>
      </c>
      <c r="D8" s="5" t="s">
        <v>394</v>
      </c>
      <c r="E8" s="6" t="str">
        <f>HYPERLINK("https://inpn.mnhn.fr/espece/cd_nom/252","Pelodytes punctatus (Daudin, 1803)")</f>
        <v>Pelodytes punctatus (Daudin, 1803)</v>
      </c>
      <c r="F8" s="5" t="s">
        <v>395</v>
      </c>
      <c r="I8" s="4" t="str">
        <f>HYPERLINK("#Réglementation!A"&amp;_xlfn.XMATCH("IBE3",Réglementation!A:A,2,1),"IBE3")</f>
        <v>IBE3</v>
      </c>
      <c r="L8" s="4" t="str">
        <f>HYPERLINK("#Réglementation!A"&amp;_xlfn.XMATCH("FRAR2",Réglementation!A:A,2,1),"FRAR2")</f>
        <v>FRAR2</v>
      </c>
      <c r="O8" s="7" t="str">
        <f>HYPERLINK("#Liste_rouge!A"&amp;_xlfn.XMATCH("LC",Liste_rouge!A:A,2,1),"LC")</f>
        <v>LC</v>
      </c>
      <c r="P8" s="7" t="str">
        <f>HYPERLINK("#Liste_rouge!A"&amp;_xlfn.XMATCH("LC",Liste_rouge!A:A,2,1),"LC")</f>
        <v>LC</v>
      </c>
      <c r="Q8" s="7" t="str">
        <f>HYPERLINK("#Liste_rouge!A"&amp;_xlfn.XMATCH("LC",Liste_rouge!A:A,2,1),"LC")</f>
        <v>LC</v>
      </c>
      <c r="T8" s="7" t="str">
        <f>HYPERLINK("#Liste_rouge!A"&amp;_xlfn.XMATCH("VU",Liste_rouge!A:A,2,1),"VU")</f>
        <v>VU</v>
      </c>
      <c r="U8" s="4" t="str">
        <f>HYPERLINK("#Critères_liste_rouge!A$1","B2ab(i,ii,iii,iv,v)")</f>
        <v>B2ab(i,ii,iii,iv,v)</v>
      </c>
      <c r="X8" s="5" t="s">
        <v>374</v>
      </c>
      <c r="AH8" s="4" t="str">
        <f>HYPERLINK("#Statut_biogéographique!A"&amp;_xlfn.XMATCH("P",Statut_biogéographique!A:A,2,1),"P")</f>
        <v>P</v>
      </c>
      <c r="AM8" s="4" t="s">
        <v>375</v>
      </c>
      <c r="AN8" s="4" t="s">
        <v>375</v>
      </c>
      <c r="AO8" s="4" t="s">
        <v>375</v>
      </c>
      <c r="AP8" s="4" t="s">
        <v>376</v>
      </c>
      <c r="AR8" s="4" t="s">
        <v>377</v>
      </c>
    </row>
    <row r="9" spans="1:44">
      <c r="A9" s="4" t="s">
        <v>129</v>
      </c>
      <c r="B9" s="4">
        <v>259</v>
      </c>
      <c r="D9" s="5" t="s">
        <v>396</v>
      </c>
      <c r="E9" s="6" t="str">
        <f>HYPERLINK("https://inpn.mnhn.fr/espece/cd_nom/259","Bufo bufo (Linnaeus, 1758)")</f>
        <v>Bufo bufo (Linnaeus, 1758)</v>
      </c>
      <c r="F9" s="5" t="s">
        <v>397</v>
      </c>
      <c r="I9" s="4" t="str">
        <f>HYPERLINK("#Réglementation!A"&amp;_xlfn.XMATCH("IBE3",Réglementation!A:A,2,1),"IBE3")</f>
        <v>IBE3</v>
      </c>
      <c r="L9" s="4" t="str">
        <f>HYPERLINK("#Réglementation!A"&amp;_xlfn.XMATCH("FRAR3",Réglementation!A:A,2,1),"FRAR3")</f>
        <v>FRAR3</v>
      </c>
      <c r="O9" s="7" t="str">
        <f>HYPERLINK("#Liste_rouge!A"&amp;_xlfn.XMATCH("LC",Liste_rouge!A:A,2,1),"LC")</f>
        <v>LC</v>
      </c>
      <c r="P9" s="7" t="str">
        <f>HYPERLINK("#Liste_rouge!A"&amp;_xlfn.XMATCH("LC",Liste_rouge!A:A,2,1),"LC")</f>
        <v>LC</v>
      </c>
      <c r="Q9" s="7" t="str">
        <f>HYPERLINK("#Liste_rouge!A"&amp;_xlfn.XMATCH("LC",Liste_rouge!A:A,2,1),"LC")</f>
        <v>LC</v>
      </c>
      <c r="T9" s="7" t="str">
        <f>HYPERLINK("#Liste_rouge!A"&amp;_xlfn.XMATCH("LC",Liste_rouge!A:A,2,1),"LC")</f>
        <v>LC</v>
      </c>
      <c r="V9" s="7" t="str">
        <f>HYPERLINK("#Liste_rouge!A"&amp;_xlfn.XMATCH("LC",Liste_rouge!A:A,2,1),"LC")</f>
        <v>LC</v>
      </c>
      <c r="X9" s="5" t="s">
        <v>398</v>
      </c>
      <c r="Y9" s="5" t="s">
        <v>399</v>
      </c>
      <c r="AH9" s="4" t="str">
        <f>HYPERLINK("#Statut_biogéographique!A"&amp;_xlfn.XMATCH("P",Statut_biogéographique!A:A,2,1),"P")</f>
        <v>P</v>
      </c>
      <c r="AM9" s="4" t="s">
        <v>375</v>
      </c>
      <c r="AN9" s="4" t="s">
        <v>375</v>
      </c>
      <c r="AO9" s="4" t="s">
        <v>375</v>
      </c>
      <c r="AP9" s="4" t="s">
        <v>376</v>
      </c>
      <c r="AR9" s="4" t="s">
        <v>377</v>
      </c>
    </row>
    <row r="10" spans="1:44">
      <c r="A10" s="4" t="s">
        <v>129</v>
      </c>
      <c r="B10" s="4">
        <v>281</v>
      </c>
      <c r="D10" s="5" t="s">
        <v>400</v>
      </c>
      <c r="E10" s="6" t="str">
        <f>HYPERLINK("https://inpn.mnhn.fr/espece/cd_nom/281","Hyla arborea (Linnaeus, 1758)")</f>
        <v>Hyla arborea (Linnaeus, 1758)</v>
      </c>
      <c r="F10" s="5" t="s">
        <v>401</v>
      </c>
      <c r="I10" s="4" t="str">
        <f>HYPERLINK("#Réglementation!A"&amp;_xlfn.XMATCH("IBE2",Réglementation!A:A,2,1),"IBE2")</f>
        <v>IBE2</v>
      </c>
      <c r="K10" s="4" t="str">
        <f>HYPERLINK("#Réglementation!A"&amp;_xlfn.XMATCH("CDH4",Réglementation!A:A,2,1),"CDH4")</f>
        <v>CDH4</v>
      </c>
      <c r="L10" s="4" t="str">
        <f>HYPERLINK("#Réglementation!A"&amp;_xlfn.XMATCH("FRAR2",Réglementation!A:A,2,1),"FRAR2")</f>
        <v>FRAR2</v>
      </c>
      <c r="O10" s="7" t="str">
        <f>HYPERLINK("#Liste_rouge!A"&amp;_xlfn.XMATCH("LC",Liste_rouge!A:A,2,1),"LC")</f>
        <v>LC</v>
      </c>
      <c r="P10" s="7" t="str">
        <f>HYPERLINK("#Liste_rouge!A"&amp;_xlfn.XMATCH("LC",Liste_rouge!A:A,2,1),"LC")</f>
        <v>LC</v>
      </c>
      <c r="Q10" s="7" t="str">
        <f>HYPERLINK("#Liste_rouge!A"&amp;_xlfn.XMATCH("NT",Liste_rouge!A:A,2,1),"NT")</f>
        <v>NT</v>
      </c>
      <c r="T10" s="7" t="str">
        <f>HYPERLINK("#Liste_rouge!A"&amp;_xlfn.XMATCH("NT",Liste_rouge!A:A,2,1),"NT")</f>
        <v>NT</v>
      </c>
      <c r="U10" s="4" t="str">
        <f>HYPERLINK("#Critères_liste_rouge!A$1","pr. A2c+4c")</f>
        <v>pr. A2c+4c</v>
      </c>
      <c r="V10" s="7" t="str">
        <f>HYPERLINK("#Liste_rouge!A"&amp;_xlfn.XMATCH("EN",Liste_rouge!A:A,2,1),"EN")</f>
        <v>EN</v>
      </c>
      <c r="W10" s="4" t="str">
        <f>HYPERLINK("#Critères_liste_rouge!A$1","B2ab(ii)")</f>
        <v>B2ab(ii)</v>
      </c>
      <c r="X10" s="5" t="s">
        <v>374</v>
      </c>
      <c r="AH10" s="4" t="str">
        <f>HYPERLINK("#Statut_biogéographique!A"&amp;_xlfn.XMATCH("P",Statut_biogéographique!A:A,2,1),"P")</f>
        <v>P</v>
      </c>
      <c r="AM10" s="4" t="s">
        <v>375</v>
      </c>
      <c r="AN10" s="4" t="s">
        <v>375</v>
      </c>
      <c r="AO10" s="4" t="s">
        <v>375</v>
      </c>
      <c r="AP10" s="4" t="s">
        <v>376</v>
      </c>
      <c r="AR10" s="4" t="s">
        <v>377</v>
      </c>
    </row>
    <row r="11" spans="1:44">
      <c r="A11" s="4" t="s">
        <v>129</v>
      </c>
      <c r="B11" s="4">
        <v>287</v>
      </c>
      <c r="D11" s="5">
        <v>287</v>
      </c>
      <c r="E11" s="6" t="str">
        <f>HYPERLINK("https://inpn.mnhn.fr/espece/cd_nom/287","Hyla arborea arborea (Linnaeus, 1758)")</f>
        <v>Hyla arborea arborea (Linnaeus, 1758)</v>
      </c>
      <c r="F11" s="5" t="s">
        <v>401</v>
      </c>
      <c r="I11" s="4" t="str">
        <f>HYPERLINK("#Réglementation!A"&amp;_xlfn.XMATCH("IBE2",Réglementation!A:A,2,1),"IBE2")</f>
        <v>IBE2</v>
      </c>
      <c r="K11" s="4" t="str">
        <f>HYPERLINK("#Réglementation!A"&amp;_xlfn.XMATCH("CDH4",Réglementation!A:A,2,1),"CDH4")</f>
        <v>CDH4</v>
      </c>
      <c r="L11" s="4" t="str">
        <f>HYPERLINK("#Réglementation!A"&amp;_xlfn.XMATCH("FRAR2",Réglementation!A:A,2,1),"FRAR2")</f>
        <v>FRAR2</v>
      </c>
      <c r="AH11" s="4" t="str">
        <f>HYPERLINK("#Statut_biogéographique!A"&amp;_xlfn.XMATCH("P",Statut_biogéographique!A:A,2,1),"P")</f>
        <v>P</v>
      </c>
      <c r="AP11" s="4" t="s">
        <v>376</v>
      </c>
      <c r="AR11" s="4" t="s">
        <v>377</v>
      </c>
    </row>
    <row r="12" spans="1:44">
      <c r="A12" s="4" t="s">
        <v>129</v>
      </c>
      <c r="B12" s="4">
        <v>292</v>
      </c>
      <c r="D12" s="5" t="s">
        <v>402</v>
      </c>
      <c r="E12" s="6" t="str">
        <f>HYPERLINK("https://inpn.mnhn.fr/espece/cd_nom/292","Hyla meridionalis Böttger, 1874")</f>
        <v>Hyla meridionalis Böttger, 1874</v>
      </c>
      <c r="F12" s="5" t="s">
        <v>403</v>
      </c>
      <c r="I12" s="4" t="str">
        <f>HYPERLINK("#Réglementation!A"&amp;_xlfn.XMATCH("IBE2",Réglementation!A:A,2,1),"IBE2")</f>
        <v>IBE2</v>
      </c>
      <c r="K12" s="4" t="str">
        <f>HYPERLINK("#Réglementation!A"&amp;_xlfn.XMATCH("CDH4",Réglementation!A:A,2,1),"CDH4")</f>
        <v>CDH4</v>
      </c>
      <c r="L12" s="4" t="str">
        <f>HYPERLINK("#Réglementation!A"&amp;_xlfn.XMATCH("FRAR2",Réglementation!A:A,2,1),"FRAR2")</f>
        <v>FRAR2</v>
      </c>
      <c r="O12" s="7" t="str">
        <f>HYPERLINK("#Liste_rouge!A"&amp;_xlfn.XMATCH("LC",Liste_rouge!A:A,2,1),"LC")</f>
        <v>LC</v>
      </c>
      <c r="Q12" s="7" t="str">
        <f>HYPERLINK("#Liste_rouge!A"&amp;_xlfn.XMATCH("LC",Liste_rouge!A:A,2,1),"LC")</f>
        <v>LC</v>
      </c>
      <c r="AH12" s="4" t="str">
        <f>HYPERLINK("#Statut_biogéographique!A"&amp;_xlfn.XMATCH("P",Statut_biogéographique!A:A,2,1),"P")</f>
        <v>P</v>
      </c>
      <c r="AM12" s="4" t="s">
        <v>375</v>
      </c>
      <c r="AN12" s="4" t="s">
        <v>375</v>
      </c>
      <c r="AO12" s="4" t="s">
        <v>375</v>
      </c>
      <c r="AP12" s="4" t="s">
        <v>376</v>
      </c>
      <c r="AR12" s="4" t="s">
        <v>377</v>
      </c>
    </row>
    <row r="13" spans="1:44" ht="30">
      <c r="A13" s="4" t="s">
        <v>129</v>
      </c>
      <c r="B13" s="4">
        <v>299</v>
      </c>
      <c r="D13" s="5" t="s">
        <v>404</v>
      </c>
      <c r="E13" s="6" t="str">
        <f>HYPERLINK("https://inpn.mnhn.fr/espece/cd_nom/299","Rana arvalis Nilsson, 1842")</f>
        <v>Rana arvalis Nilsson, 1842</v>
      </c>
      <c r="F13" s="5" t="s">
        <v>405</v>
      </c>
      <c r="I13" s="4" t="str">
        <f>HYPERLINK("#Réglementation!A"&amp;_xlfn.XMATCH("IBE2",Réglementation!A:A,2,1),"IBE2")</f>
        <v>IBE2</v>
      </c>
      <c r="K13" s="4" t="str">
        <f>HYPERLINK("#Réglementation!A"&amp;_xlfn.XMATCH("CDH4",Réglementation!A:A,2,1),"CDH4")</f>
        <v>CDH4</v>
      </c>
      <c r="L13" s="4" t="str">
        <f>HYPERLINK("#Réglementation!A"&amp;_xlfn.XMATCH("FRAR2",Réglementation!A:A,2,1),"FRAR2 - NM")</f>
        <v>FRAR2 - NM</v>
      </c>
      <c r="O13" s="7" t="str">
        <f>HYPERLINK("#Liste_rouge!A"&amp;_xlfn.XMATCH("LC",Liste_rouge!A:A,2,1),"LC")</f>
        <v>LC</v>
      </c>
      <c r="P13" s="7" t="str">
        <f>HYPERLINK("#Liste_rouge!A"&amp;_xlfn.XMATCH("LC",Liste_rouge!A:A,2,1),"LC")</f>
        <v>LC</v>
      </c>
      <c r="Q13" s="7" t="str">
        <f>HYPERLINK("#Liste_rouge!A"&amp;_xlfn.XMATCH("EN",Liste_rouge!A:A,2,1),"EN")</f>
        <v>EN</v>
      </c>
      <c r="V13" s="7" t="str">
        <f>HYPERLINK("#Liste_rouge!A"&amp;_xlfn.XMATCH("CR",Liste_rouge!A:A,2,1),"CR")</f>
        <v>CR</v>
      </c>
      <c r="W13" s="4" t="str">
        <f>HYPERLINK("#Critères_liste_rouge!A$1","D")</f>
        <v>D</v>
      </c>
      <c r="X13" s="5" t="s">
        <v>374</v>
      </c>
      <c r="AE13" s="4" t="str">
        <f>HYPERLINK("#SCAP!A"&amp;_xlfn.XMATCH("1-",SCAP!A:A,2,1),"1-")</f>
        <v>1-</v>
      </c>
      <c r="AH13" s="4" t="str">
        <f>HYPERLINK("#Statut_biogéographique!A"&amp;_xlfn.XMATCH("P",Statut_biogéographique!A:A,2,1),"P")</f>
        <v>P</v>
      </c>
      <c r="AM13" s="4" t="s">
        <v>375</v>
      </c>
      <c r="AN13" s="4" t="s">
        <v>375</v>
      </c>
      <c r="AO13" s="4" t="s">
        <v>375</v>
      </c>
      <c r="AP13" s="4" t="s">
        <v>376</v>
      </c>
      <c r="AQ13" s="4" t="s">
        <v>377</v>
      </c>
      <c r="AR13" s="4" t="s">
        <v>377</v>
      </c>
    </row>
    <row r="14" spans="1:44">
      <c r="A14" s="4" t="s">
        <v>129</v>
      </c>
      <c r="B14" s="4">
        <v>310</v>
      </c>
      <c r="D14" s="5" t="s">
        <v>406</v>
      </c>
      <c r="E14" s="6" t="str">
        <f>HYPERLINK("https://inpn.mnhn.fr/espece/cd_nom/310","Rana dalmatina Fitzinger in Bonaparte, 1838")</f>
        <v>Rana dalmatina Fitzinger in Bonaparte, 1838</v>
      </c>
      <c r="F14" s="5" t="s">
        <v>407</v>
      </c>
      <c r="I14" s="4" t="str">
        <f>HYPERLINK("#Réglementation!A"&amp;_xlfn.XMATCH("IBE2",Réglementation!A:A,2,1),"IBE2")</f>
        <v>IBE2</v>
      </c>
      <c r="K14" s="4" t="str">
        <f>HYPERLINK("#Réglementation!A"&amp;_xlfn.XMATCH("CDH4",Réglementation!A:A,2,1),"CDH4")</f>
        <v>CDH4</v>
      </c>
      <c r="L14" s="4" t="str">
        <f>HYPERLINK("#Réglementation!A"&amp;_xlfn.XMATCH("FRAR2",Réglementation!A:A,2,1),"FRAR2")</f>
        <v>FRAR2</v>
      </c>
      <c r="O14" s="7" t="str">
        <f>HYPERLINK("#Liste_rouge!A"&amp;_xlfn.XMATCH("LC",Liste_rouge!A:A,2,1),"LC")</f>
        <v>LC</v>
      </c>
      <c r="P14" s="7" t="str">
        <f>HYPERLINK("#Liste_rouge!A"&amp;_xlfn.XMATCH("LC",Liste_rouge!A:A,2,1),"LC")</f>
        <v>LC</v>
      </c>
      <c r="Q14" s="7" t="str">
        <f>HYPERLINK("#Liste_rouge!A"&amp;_xlfn.XMATCH("LC",Liste_rouge!A:A,2,1),"LC")</f>
        <v>LC</v>
      </c>
      <c r="T14" s="7" t="str">
        <f>HYPERLINK("#Liste_rouge!A"&amp;_xlfn.XMATCH("LC",Liste_rouge!A:A,2,1),"LC")</f>
        <v>LC</v>
      </c>
      <c r="V14" s="7" t="str">
        <f>HYPERLINK("#Liste_rouge!A"&amp;_xlfn.XMATCH("NT",Liste_rouge!A:A,2,1),"NT")</f>
        <v>NT</v>
      </c>
      <c r="W14" s="4" t="str">
        <f>HYPERLINK("#Critères_liste_rouge!A$1","pr. B2b(ii)")</f>
        <v>pr. B2b(ii)</v>
      </c>
      <c r="X14" s="5" t="s">
        <v>398</v>
      </c>
      <c r="Y14" s="5" t="s">
        <v>408</v>
      </c>
      <c r="AH14" s="4" t="str">
        <f>HYPERLINK("#Statut_biogéographique!A"&amp;_xlfn.XMATCH("P",Statut_biogéographique!A:A,2,1),"P")</f>
        <v>P</v>
      </c>
      <c r="AM14" s="4" t="s">
        <v>375</v>
      </c>
      <c r="AN14" s="4" t="s">
        <v>375</v>
      </c>
      <c r="AO14" s="4" t="s">
        <v>375</v>
      </c>
      <c r="AP14" s="4" t="s">
        <v>376</v>
      </c>
      <c r="AR14" s="4" t="s">
        <v>377</v>
      </c>
    </row>
    <row r="15" spans="1:44">
      <c r="A15" s="4" t="s">
        <v>129</v>
      </c>
      <c r="B15" s="4">
        <v>351</v>
      </c>
      <c r="D15" s="5" t="s">
        <v>409</v>
      </c>
      <c r="E15" s="6" t="str">
        <f>HYPERLINK("https://inpn.mnhn.fr/espece/cd_nom/351","Rana temporaria Linnaeus, 1758")</f>
        <v>Rana temporaria Linnaeus, 1758</v>
      </c>
      <c r="F15" s="5" t="s">
        <v>410</v>
      </c>
      <c r="I15" s="4" t="str">
        <f>HYPERLINK("#Réglementation!A"&amp;_xlfn.XMATCH("IBE3",Réglementation!A:A,2,1),"IBE3")</f>
        <v>IBE3</v>
      </c>
      <c r="K15" s="4" t="str">
        <f>HYPERLINK("#Réglementation!A"&amp;_xlfn.XMATCH("CDH5",Réglementation!A:A,2,1),"CDH5")</f>
        <v>CDH5</v>
      </c>
      <c r="L15" s="4" t="str">
        <f>HYPERLINK("#Réglementation!A"&amp;_xlfn.XMATCH("FRAR4",Réglementation!A:A,2,1),"FRAR4")</f>
        <v>FRAR4</v>
      </c>
      <c r="O15" s="7" t="str">
        <f>HYPERLINK("#Liste_rouge!A"&amp;_xlfn.XMATCH("LC",Liste_rouge!A:A,2,1),"LC")</f>
        <v>LC</v>
      </c>
      <c r="Q15" s="7" t="str">
        <f>HYPERLINK("#Liste_rouge!A"&amp;_xlfn.XMATCH("LC",Liste_rouge!A:A,2,1),"LC")</f>
        <v>LC</v>
      </c>
      <c r="T15" s="7" t="str">
        <f>HYPERLINK("#Liste_rouge!A"&amp;_xlfn.XMATCH("LC",Liste_rouge!A:A,2,1),"LC")</f>
        <v>LC</v>
      </c>
      <c r="V15" s="7" t="str">
        <f>HYPERLINK("#Liste_rouge!A"&amp;_xlfn.XMATCH("NT",Liste_rouge!A:A,2,1),"NT")</f>
        <v>NT</v>
      </c>
      <c r="W15" s="4" t="str">
        <f>HYPERLINK("#Critères_liste_rouge!A$1","pr. A2c")</f>
        <v>pr. A2c</v>
      </c>
      <c r="X15" s="5" t="s">
        <v>398</v>
      </c>
      <c r="Y15" s="5" t="s">
        <v>399</v>
      </c>
      <c r="AH15" s="4" t="str">
        <f>HYPERLINK("#Statut_biogéographique!A"&amp;_xlfn.XMATCH("P",Statut_biogéographique!A:A,2,1),"P")</f>
        <v>P</v>
      </c>
      <c r="AK15" s="4" t="str">
        <f>HYPERLINK("#Réglementation!A"&amp;_xlfn.XMATCH("PGR",Réglementation!A:A,2,1),"PGR")</f>
        <v>PGR</v>
      </c>
      <c r="AM15" s="4" t="s">
        <v>375</v>
      </c>
      <c r="AN15" s="4" t="s">
        <v>375</v>
      </c>
      <c r="AO15" s="4" t="s">
        <v>375</v>
      </c>
      <c r="AP15" s="4" t="s">
        <v>376</v>
      </c>
      <c r="AR15" s="4" t="s">
        <v>377</v>
      </c>
    </row>
    <row r="16" spans="1:44">
      <c r="A16" s="4" t="s">
        <v>129</v>
      </c>
      <c r="B16" s="4">
        <v>444430</v>
      </c>
      <c r="D16" s="5" t="s">
        <v>411</v>
      </c>
      <c r="E16" s="6" t="str">
        <f>HYPERLINK("https://inpn.mnhn.fr/espece/cd_nom/444430","Ichthyosaura alpestris (Laurenti, 1768)")</f>
        <v>Ichthyosaura alpestris (Laurenti, 1768)</v>
      </c>
      <c r="F16" s="5" t="s">
        <v>412</v>
      </c>
      <c r="I16" s="4" t="str">
        <f>HYPERLINK("#Réglementation!A"&amp;_xlfn.XMATCH("IBE3",Réglementation!A:A,2,1),"IBE3")</f>
        <v>IBE3</v>
      </c>
      <c r="L16" s="4" t="str">
        <f>HYPERLINK("#Réglementation!A"&amp;_xlfn.XMATCH("FRAR3",Réglementation!A:A,2,1),"FRAR3")</f>
        <v>FRAR3</v>
      </c>
      <c r="O16" s="7" t="str">
        <f>HYPERLINK("#Liste_rouge!A"&amp;_xlfn.XMATCH("LC",Liste_rouge!A:A,2,1),"LC")</f>
        <v>LC</v>
      </c>
      <c r="P16" s="7" t="str">
        <f>HYPERLINK("#Liste_rouge!A"&amp;_xlfn.XMATCH("LC",Liste_rouge!A:A,2,1),"LC")</f>
        <v>LC</v>
      </c>
      <c r="Q16" s="7" t="str">
        <f>HYPERLINK("#Liste_rouge!A"&amp;_xlfn.XMATCH("LC",Liste_rouge!A:A,2,1),"LC")</f>
        <v>LC</v>
      </c>
      <c r="T16" s="7" t="str">
        <f>HYPERLINK("#Liste_rouge!A"&amp;_xlfn.XMATCH("LC",Liste_rouge!A:A,2,1),"LC")</f>
        <v>LC</v>
      </c>
      <c r="V16" s="7" t="str">
        <f>HYPERLINK("#Liste_rouge!A"&amp;_xlfn.XMATCH("LC",Liste_rouge!A:A,2,1),"LC")</f>
        <v>LC</v>
      </c>
      <c r="AH16" s="4" t="str">
        <f>HYPERLINK("#Statut_biogéographique!A"&amp;_xlfn.XMATCH("P",Statut_biogéographique!A:A,2,1),"P")</f>
        <v>P</v>
      </c>
      <c r="AM16" s="4" t="s">
        <v>375</v>
      </c>
      <c r="AN16" s="4" t="s">
        <v>375</v>
      </c>
      <c r="AO16" s="4" t="s">
        <v>375</v>
      </c>
      <c r="AP16" s="4" t="s">
        <v>376</v>
      </c>
      <c r="AR16" s="4" t="s">
        <v>377</v>
      </c>
    </row>
    <row r="17" spans="1:44">
      <c r="A17" s="4" t="s">
        <v>129</v>
      </c>
      <c r="B17" s="4">
        <v>444431</v>
      </c>
      <c r="D17" s="5" t="s">
        <v>413</v>
      </c>
      <c r="E17" s="6" t="str">
        <f>HYPERLINK("https://inpn.mnhn.fr/espece/cd_nom/444431","Lissotriton vulgaris (Linnaeus, 1758)")</f>
        <v>Lissotriton vulgaris (Linnaeus, 1758)</v>
      </c>
      <c r="F17" s="5" t="s">
        <v>414</v>
      </c>
      <c r="I17" s="4" t="str">
        <f>HYPERLINK("#Réglementation!A"&amp;_xlfn.XMATCH("IBE3",Réglementation!A:A,2,1),"IBE3")</f>
        <v>IBE3</v>
      </c>
      <c r="L17" s="4" t="str">
        <f>HYPERLINK("#Réglementation!A"&amp;_xlfn.XMATCH("FRAR3",Réglementation!A:A,2,1),"FRAR3")</f>
        <v>FRAR3</v>
      </c>
      <c r="P17" s="7" t="str">
        <f>HYPERLINK("#Liste_rouge!A"&amp;_xlfn.XMATCH("LC",Liste_rouge!A:A,2,1),"LC")</f>
        <v>LC</v>
      </c>
      <c r="Q17" s="7" t="str">
        <f>HYPERLINK("#Liste_rouge!A"&amp;_xlfn.XMATCH("NT",Liste_rouge!A:A,2,1),"NT")</f>
        <v>NT</v>
      </c>
      <c r="T17" s="7" t="str">
        <f>HYPERLINK("#Liste_rouge!A"&amp;_xlfn.XMATCH("EN",Liste_rouge!A:A,2,1),"EN")</f>
        <v>EN</v>
      </c>
      <c r="U17" s="4" t="str">
        <f>HYPERLINK("#Critères_liste_rouge!A$1","B2ab(i,ii,iii,iv,v)")</f>
        <v>B2ab(i,ii,iii,iv,v)</v>
      </c>
      <c r="V17" s="7" t="str">
        <f>HYPERLINK("#Liste_rouge!A"&amp;_xlfn.XMATCH("VU",Liste_rouge!A:A,2,1),"VU")</f>
        <v>VU</v>
      </c>
      <c r="W17" s="4" t="str">
        <f>HYPERLINK("#Critères_liste_rouge!A$1","B2ab(iii,v)")</f>
        <v>B2ab(iii,v)</v>
      </c>
      <c r="X17" s="5" t="s">
        <v>374</v>
      </c>
      <c r="AH17" s="4" t="str">
        <f>HYPERLINK("#Statut_biogéographique!A"&amp;_xlfn.XMATCH("P",Statut_biogéographique!A:A,2,1),"P")</f>
        <v>P</v>
      </c>
      <c r="AM17" s="4" t="s">
        <v>375</v>
      </c>
      <c r="AN17" s="4" t="s">
        <v>375</v>
      </c>
      <c r="AO17" s="4" t="s">
        <v>375</v>
      </c>
      <c r="AP17" s="4" t="s">
        <v>376</v>
      </c>
      <c r="AR17" s="4" t="s">
        <v>377</v>
      </c>
    </row>
    <row r="18" spans="1:44">
      <c r="A18" s="4" t="s">
        <v>129</v>
      </c>
      <c r="B18" s="4">
        <v>444432</v>
      </c>
      <c r="D18" s="5" t="s">
        <v>415</v>
      </c>
      <c r="E18" s="6" t="str">
        <f>HYPERLINK("https://inpn.mnhn.fr/espece/cd_nom/444432","Lissotriton helveticus (Razoumowsky, 1789)")</f>
        <v>Lissotriton helveticus (Razoumowsky, 1789)</v>
      </c>
      <c r="F18" s="5" t="s">
        <v>416</v>
      </c>
      <c r="I18" s="4" t="str">
        <f>HYPERLINK("#Réglementation!A"&amp;_xlfn.XMATCH("IBE3",Réglementation!A:A,2,1),"IBE3")</f>
        <v>IBE3</v>
      </c>
      <c r="L18" s="4" t="str">
        <f>HYPERLINK("#Réglementation!A"&amp;_xlfn.XMATCH("FRAR3",Réglementation!A:A,2,1),"FRAR3")</f>
        <v>FRAR3</v>
      </c>
      <c r="O18" s="7" t="str">
        <f>HYPERLINK("#Liste_rouge!A"&amp;_xlfn.XMATCH("LC",Liste_rouge!A:A,2,1),"LC")</f>
        <v>LC</v>
      </c>
      <c r="P18" s="7" t="str">
        <f>HYPERLINK("#Liste_rouge!A"&amp;_xlfn.XMATCH("LC",Liste_rouge!A:A,2,1),"LC")</f>
        <v>LC</v>
      </c>
      <c r="Q18" s="7" t="str">
        <f>HYPERLINK("#Liste_rouge!A"&amp;_xlfn.XMATCH("LC",Liste_rouge!A:A,2,1),"LC")</f>
        <v>LC</v>
      </c>
      <c r="T18" s="7" t="str">
        <f>HYPERLINK("#Liste_rouge!A"&amp;_xlfn.XMATCH("LC",Liste_rouge!A:A,2,1),"LC")</f>
        <v>LC</v>
      </c>
      <c r="V18" s="7" t="str">
        <f>HYPERLINK("#Liste_rouge!A"&amp;_xlfn.XMATCH("LC",Liste_rouge!A:A,2,1),"LC")</f>
        <v>LC</v>
      </c>
      <c r="AH18" s="4" t="str">
        <f>HYPERLINK("#Statut_biogéographique!A"&amp;_xlfn.XMATCH("P",Statut_biogéographique!A:A,2,1),"P")</f>
        <v>P</v>
      </c>
      <c r="AM18" s="4" t="s">
        <v>375</v>
      </c>
      <c r="AN18" s="4" t="s">
        <v>375</v>
      </c>
      <c r="AO18" s="4" t="s">
        <v>375</v>
      </c>
      <c r="AP18" s="4" t="s">
        <v>376</v>
      </c>
      <c r="AR18" s="4" t="s">
        <v>377</v>
      </c>
    </row>
    <row r="19" spans="1:44" ht="30">
      <c r="A19" s="4" t="s">
        <v>129</v>
      </c>
      <c r="B19" s="4">
        <v>444440</v>
      </c>
      <c r="D19" s="5" t="s">
        <v>417</v>
      </c>
      <c r="E19" s="6" t="str">
        <f>HYPERLINK("https://inpn.mnhn.fr/espece/cd_nom/444440","Pelophylax kl. esculentus (Linnaeus, 1758)")</f>
        <v>Pelophylax kl. esculentus (Linnaeus, 1758)</v>
      </c>
      <c r="F19" s="5" t="s">
        <v>418</v>
      </c>
      <c r="I19" s="4" t="str">
        <f>HYPERLINK("#Réglementation!A"&amp;_xlfn.XMATCH("IBE3",Réglementation!A:A,2,1),"IBE3")</f>
        <v>IBE3</v>
      </c>
      <c r="K19" s="4" t="str">
        <f>HYPERLINK("#Réglementation!A"&amp;_xlfn.XMATCH("CDH5",Réglementation!A:A,2,1),"CDH5")</f>
        <v>CDH5</v>
      </c>
      <c r="L19" s="4" t="str">
        <f>HYPERLINK("#Réglementation!A"&amp;_xlfn.XMATCH("FRAR4",Réglementation!A:A,2,1),"FRAR4")</f>
        <v>FRAR4</v>
      </c>
      <c r="Q19" s="7" t="str">
        <f>HYPERLINK("#Liste_rouge!A"&amp;_xlfn.XMATCH("NT",Liste_rouge!A:A,2,1),"NT")</f>
        <v>NT</v>
      </c>
      <c r="T19" s="7" t="str">
        <f>HYPERLINK("#Liste_rouge!A"&amp;_xlfn.XMATCH("LC",Liste_rouge!A:A,2,1),"LC")</f>
        <v>LC</v>
      </c>
      <c r="V19" s="7" t="str">
        <f>HYPERLINK("#Liste_rouge!A"&amp;_xlfn.XMATCH("DD",Liste_rouge!A:A,2,1),"DD")</f>
        <v>DD</v>
      </c>
      <c r="AH19" s="4" t="str">
        <f>HYPERLINK("#Statut_biogéographique!A"&amp;_xlfn.XMATCH("P",Statut_biogéographique!A:A,2,1),"P")</f>
        <v>P</v>
      </c>
      <c r="AM19" s="4" t="s">
        <v>375</v>
      </c>
      <c r="AN19" s="4" t="s">
        <v>375</v>
      </c>
      <c r="AO19" s="4" t="s">
        <v>375</v>
      </c>
      <c r="AP19" s="4" t="s">
        <v>376</v>
      </c>
      <c r="AR19" s="4" t="s">
        <v>377</v>
      </c>
    </row>
    <row r="20" spans="1:44">
      <c r="A20" s="4" t="s">
        <v>129</v>
      </c>
      <c r="B20" s="4">
        <v>444441</v>
      </c>
      <c r="D20" s="5" t="s">
        <v>419</v>
      </c>
      <c r="E20" s="6" t="str">
        <f>HYPERLINK("https://inpn.mnhn.fr/espece/cd_nom/444441","Pelophylax lessonae (Camerano, 1882)")</f>
        <v>Pelophylax lessonae (Camerano, 1882)</v>
      </c>
      <c r="F20" s="5" t="s">
        <v>420</v>
      </c>
      <c r="I20" s="4" t="str">
        <f>HYPERLINK("#Réglementation!A"&amp;_xlfn.XMATCH("IBE3",Réglementation!A:A,2,1),"IBE3")</f>
        <v>IBE3</v>
      </c>
      <c r="K20" s="4" t="str">
        <f>HYPERLINK("#Réglementation!A"&amp;_xlfn.XMATCH("CDH4",Réglementation!A:A,2,1),"CDH4")</f>
        <v>CDH4</v>
      </c>
      <c r="L20" s="4" t="str">
        <f>HYPERLINK("#Réglementation!A"&amp;_xlfn.XMATCH("FRAR2",Réglementation!A:A,2,1),"FRAR2")</f>
        <v>FRAR2</v>
      </c>
      <c r="O20" s="7" t="str">
        <f>HYPERLINK("#Liste_rouge!A"&amp;_xlfn.XMATCH("LC",Liste_rouge!A:A,2,1),"LC")</f>
        <v>LC</v>
      </c>
      <c r="P20" s="7" t="str">
        <f>HYPERLINK("#Liste_rouge!A"&amp;_xlfn.XMATCH("LC",Liste_rouge!A:A,2,1),"LC")</f>
        <v>LC</v>
      </c>
      <c r="Q20" s="7" t="str">
        <f>HYPERLINK("#Liste_rouge!A"&amp;_xlfn.XMATCH("NT",Liste_rouge!A:A,2,1),"NT")</f>
        <v>NT</v>
      </c>
      <c r="T20" s="7" t="str">
        <f>HYPERLINK("#Liste_rouge!A"&amp;_xlfn.XMATCH("DD",Liste_rouge!A:A,2,1),"DD")</f>
        <v>DD</v>
      </c>
      <c r="V20" s="7" t="str">
        <f>HYPERLINK("#Liste_rouge!A"&amp;_xlfn.XMATCH("DD",Liste_rouge!A:A,2,1),"DD")</f>
        <v>DD</v>
      </c>
      <c r="X20" s="5" t="s">
        <v>374</v>
      </c>
      <c r="AE20" s="4" t="str">
        <f>HYPERLINK("#SCAP!A"&amp;_xlfn.XMATCH("1-",SCAP!A:A,2,1),"1-")</f>
        <v>1-</v>
      </c>
      <c r="AF20" s="4" t="str">
        <f>HYPERLINK("#SCAP!A"&amp;_xlfn.XMATCH("1-",SCAP!A:A,2,1),"1-")</f>
        <v>1-</v>
      </c>
      <c r="AG20" s="4" t="str">
        <f>HYPERLINK("#SCAP!A"&amp;_xlfn.XMATCH("1-",SCAP!A:A,2,1),"1-")</f>
        <v>1-</v>
      </c>
      <c r="AH20" s="4" t="str">
        <f>HYPERLINK("#Statut_biogéographique!A"&amp;_xlfn.XMATCH("P",Statut_biogéographique!A:A,2,1),"P")</f>
        <v>P</v>
      </c>
      <c r="AM20" s="4" t="s">
        <v>375</v>
      </c>
      <c r="AN20" s="4" t="s">
        <v>375</v>
      </c>
      <c r="AO20" s="4" t="s">
        <v>375</v>
      </c>
      <c r="AP20" s="4" t="s">
        <v>376</v>
      </c>
      <c r="AR20" s="4" t="s">
        <v>377</v>
      </c>
    </row>
    <row r="21" spans="1:44">
      <c r="A21" s="4" t="s">
        <v>129</v>
      </c>
      <c r="B21" s="4">
        <v>444443</v>
      </c>
      <c r="D21" s="5" t="s">
        <v>421</v>
      </c>
      <c r="E21" s="6" t="str">
        <f>HYPERLINK("https://inpn.mnhn.fr/espece/cd_nom/444443","Pelophylax ridibundus (Pallas, 1771)")</f>
        <v>Pelophylax ridibundus (Pallas, 1771)</v>
      </c>
      <c r="F21" s="5" t="s">
        <v>422</v>
      </c>
      <c r="I21" s="4" t="str">
        <f>HYPERLINK("#Réglementation!A"&amp;_xlfn.XMATCH("IBE3",Réglementation!A:A,2,1),"IBE3")</f>
        <v>IBE3</v>
      </c>
      <c r="K21" s="4" t="str">
        <f>HYPERLINK("#Réglementation!A"&amp;_xlfn.XMATCH("CDH5",Réglementation!A:A,2,1),"CDH5")</f>
        <v>CDH5</v>
      </c>
      <c r="L21" s="4" t="str">
        <f>HYPERLINK("#Réglementation!A"&amp;_xlfn.XMATCH("FRAR3",Réglementation!A:A,2,1),"FRAR3")</f>
        <v>FRAR3</v>
      </c>
      <c r="O21" s="7" t="str">
        <f>HYPERLINK("#Liste_rouge!A"&amp;_xlfn.XMATCH("LC",Liste_rouge!A:A,2,1),"LC")</f>
        <v>LC</v>
      </c>
      <c r="P21" s="7" t="str">
        <f>HYPERLINK("#Liste_rouge!A"&amp;_xlfn.XMATCH("LC",Liste_rouge!A:A,2,1),"LC")</f>
        <v>LC</v>
      </c>
      <c r="Q21" s="7" t="str">
        <f>HYPERLINK("#Liste_rouge!A"&amp;_xlfn.XMATCH("LC",Liste_rouge!A:A,2,1),"LC")</f>
        <v>LC</v>
      </c>
      <c r="T21" s="7" t="str">
        <f>HYPERLINK("#Liste_rouge!A"&amp;_xlfn.XMATCH("NA",Liste_rouge!A:A,2,1),"NA")</f>
        <v>NA</v>
      </c>
      <c r="V21" s="7" t="str">
        <f>HYPERLINK("#Liste_rouge!A"&amp;_xlfn.XMATCH("DD",Liste_rouge!A:A,2,1),"DD")</f>
        <v>DD</v>
      </c>
      <c r="AH21" s="4" t="str">
        <f>HYPERLINK("#Statut_biogéographique!A"&amp;_xlfn.XMATCH("P",Statut_biogéographique!A:A,2,1),"P")</f>
        <v>P</v>
      </c>
      <c r="AM21" s="4" t="s">
        <v>375</v>
      </c>
      <c r="AN21" s="4" t="s">
        <v>375</v>
      </c>
      <c r="AO21" s="4" t="s">
        <v>375</v>
      </c>
      <c r="AP21" s="4" t="s">
        <v>376</v>
      </c>
      <c r="AR21" s="4" t="s">
        <v>377</v>
      </c>
    </row>
    <row r="22" spans="1:44" ht="30">
      <c r="A22" s="4" t="s">
        <v>129</v>
      </c>
      <c r="B22" s="4">
        <v>459618</v>
      </c>
      <c r="D22" s="5" t="s">
        <v>423</v>
      </c>
      <c r="E22" s="6" t="str">
        <f>HYPERLINK("https://inpn.mnhn.fr/espece/cd_nom/459618","Lithobates catesbeianus (Shaw, 1802)")</f>
        <v>Lithobates catesbeianus (Shaw, 1802)</v>
      </c>
      <c r="F22" s="5" t="s">
        <v>424</v>
      </c>
      <c r="G22" s="4" t="str">
        <f>HYPERLINK("[#Réglementation!A"&amp;_xlfn.XMATCH("CCB",Réglementation!A:A,2,1),"CCB")</f>
        <v>CCB</v>
      </c>
      <c r="I22" s="4" t="str">
        <f>HYPERLINK("#Réglementation!A"&amp;_xlfn.XMATCH("IBE3",Réglementation!A:A,2,1),"IBE3")</f>
        <v>IBE3</v>
      </c>
      <c r="O22" s="7" t="str">
        <f>HYPERLINK("#Liste_rouge!A"&amp;_xlfn.XMATCH("LC",Liste_rouge!A:A,2,1),"LC")</f>
        <v>LC</v>
      </c>
      <c r="Q22" s="7" t="str">
        <f>HYPERLINK("#Liste_rouge!A"&amp;_xlfn.XMATCH("NA",Liste_rouge!A:A,2,1),"NA")</f>
        <v>NA</v>
      </c>
      <c r="AH22" s="4" t="str">
        <f>HYPERLINK("#Statut_biogéographique!A"&amp;_xlfn.XMATCH("J",Statut_biogéographique!A:A,2,1),"J")</f>
        <v>J</v>
      </c>
      <c r="AL22" s="5" t="str">
        <f>HYPERLINK("#Réglementation!A"&amp;_xlfn.XMATCH("FRnoEEEA2",Réglementation!A:A,2,1),"FRnoEEEA2 - UEintro - EEEUE")</f>
        <v>FRnoEEEA2 - UEintro - EEEUE</v>
      </c>
      <c r="AP22" s="4" t="s">
        <v>376</v>
      </c>
      <c r="AR22" s="4" t="s">
        <v>377</v>
      </c>
    </row>
    <row r="23" spans="1:44" ht="30">
      <c r="A23" s="4" t="s">
        <v>129</v>
      </c>
      <c r="B23" s="4">
        <v>459628</v>
      </c>
      <c r="D23" s="5" t="s">
        <v>425</v>
      </c>
      <c r="E23" s="6" t="str">
        <f>HYPERLINK("https://inpn.mnhn.fr/espece/cd_nom/459628","Epidalea calamita (Laurenti, 1768)")</f>
        <v>Epidalea calamita (Laurenti, 1768)</v>
      </c>
      <c r="F23" s="5" t="s">
        <v>426</v>
      </c>
      <c r="I23" s="4" t="str">
        <f>HYPERLINK("#Réglementation!A"&amp;_xlfn.XMATCH("IBE2",Réglementation!A:A,2,1),"IBE2")</f>
        <v>IBE2</v>
      </c>
      <c r="K23" s="4" t="str">
        <f>HYPERLINK("#Réglementation!A"&amp;_xlfn.XMATCH("CDH4",Réglementation!A:A,2,1),"CDH4")</f>
        <v>CDH4</v>
      </c>
      <c r="L23" s="4" t="str">
        <f>HYPERLINK("#Réglementation!A"&amp;_xlfn.XMATCH("FRAR2",Réglementation!A:A,2,1),"FRAR2")</f>
        <v>FRAR2</v>
      </c>
      <c r="O23" s="7" t="str">
        <f>HYPERLINK("#Liste_rouge!A"&amp;_xlfn.XMATCH("LC",Liste_rouge!A:A,2,1),"LC")</f>
        <v>LC</v>
      </c>
      <c r="P23" s="7" t="str">
        <f>HYPERLINK("#Liste_rouge!A"&amp;_xlfn.XMATCH("LC",Liste_rouge!A:A,2,1),"LC")</f>
        <v>LC</v>
      </c>
      <c r="Q23" s="7" t="str">
        <f>HYPERLINK("#Liste_rouge!A"&amp;_xlfn.XMATCH("LC",Liste_rouge!A:A,2,1),"LC")</f>
        <v>LC</v>
      </c>
      <c r="T23" s="7" t="str">
        <f>HYPERLINK("#Liste_rouge!A"&amp;_xlfn.XMATCH("NT",Liste_rouge!A:A,2,1),"NT")</f>
        <v>NT</v>
      </c>
      <c r="U23" s="4" t="str">
        <f>HYPERLINK("#Critères_liste_rouge!A$1","pr. B2b(iii)")</f>
        <v>pr. B2b(iii)</v>
      </c>
      <c r="V23" s="7" t="str">
        <f>HYPERLINK("#Liste_rouge!A"&amp;_xlfn.XMATCH("EN",Liste_rouge!A:A,2,1),"EN")</f>
        <v>EN</v>
      </c>
      <c r="W23" s="4" t="str">
        <f>HYPERLINK("#Critères_liste_rouge!A$1","B2ab(v)")</f>
        <v>B2ab(v)</v>
      </c>
      <c r="X23" s="5" t="s">
        <v>374</v>
      </c>
      <c r="AH23" s="4" t="str">
        <f>HYPERLINK("#Statut_biogéographique!A"&amp;_xlfn.XMATCH("P",Statut_biogéographique!A:A,2,1),"P")</f>
        <v>P</v>
      </c>
      <c r="AM23" s="4" t="s">
        <v>375</v>
      </c>
      <c r="AN23" s="4" t="s">
        <v>375</v>
      </c>
      <c r="AO23" s="4" t="s">
        <v>375</v>
      </c>
      <c r="AP23" s="4" t="s">
        <v>376</v>
      </c>
      <c r="AR23" s="4" t="s">
        <v>377</v>
      </c>
    </row>
    <row r="24" spans="1:44">
      <c r="A24" s="4" t="s">
        <v>129</v>
      </c>
      <c r="B24" s="4">
        <v>699564</v>
      </c>
      <c r="D24" s="5" t="s">
        <v>427</v>
      </c>
      <c r="E24" s="6" t="str">
        <f>HYPERLINK("https://inpn.mnhn.fr/espece/cd_nom/699564","Lissotriton vulgaris vulgaris (Linnaeus, 1758)")</f>
        <v>Lissotriton vulgaris vulgaris (Linnaeus, 1758)</v>
      </c>
      <c r="F24" s="5" t="s">
        <v>414</v>
      </c>
      <c r="I24" s="4" t="str">
        <f>HYPERLINK("#Réglementation!A"&amp;_xlfn.XMATCH("IBE3",Réglementation!A:A,2,1),"IBE3")</f>
        <v>IBE3</v>
      </c>
      <c r="L24" s="4" t="str">
        <f>HYPERLINK("#Réglementation!A"&amp;_xlfn.XMATCH("FRAR3",Réglementation!A:A,2,1),"FRAR3")</f>
        <v>FRAR3</v>
      </c>
      <c r="AH24" s="4" t="str">
        <f>HYPERLINK("#Statut_biogéographique!A"&amp;_xlfn.XMATCH("P",Statut_biogéographique!A:A,2,1),"P")</f>
        <v>P</v>
      </c>
      <c r="AP24" s="4" t="s">
        <v>376</v>
      </c>
      <c r="AR24" s="4" t="s">
        <v>377</v>
      </c>
    </row>
    <row r="25" spans="1:44" ht="30">
      <c r="A25" s="4" t="s">
        <v>129</v>
      </c>
      <c r="B25" s="4">
        <v>699691</v>
      </c>
      <c r="D25" s="5" t="s">
        <v>428</v>
      </c>
      <c r="E25" s="6" t="str">
        <f>HYPERLINK("https://inpn.mnhn.fr/espece/cd_nom/699691","Lissotriton helveticus helveticus (Razoumowsky, 1789)")</f>
        <v>Lissotriton helveticus helveticus (Razoumowsky, 1789)</v>
      </c>
      <c r="F25" s="5" t="s">
        <v>416</v>
      </c>
      <c r="I25" s="4" t="str">
        <f>HYPERLINK("#Réglementation!A"&amp;_xlfn.XMATCH("IBE3",Réglementation!A:A,2,1),"IBE3")</f>
        <v>IBE3</v>
      </c>
      <c r="L25" s="4" t="str">
        <f>HYPERLINK("#Réglementation!A"&amp;_xlfn.XMATCH("FRAR3",Réglementation!A:A,2,1),"FRAR3")</f>
        <v>FRAR3</v>
      </c>
      <c r="AH25" s="4" t="str">
        <f>HYPERLINK("#Statut_biogéographique!A"&amp;_xlfn.XMATCH("P",Statut_biogéographique!A:A,2,1),"P")</f>
        <v>P</v>
      </c>
      <c r="AP25" s="4" t="s">
        <v>376</v>
      </c>
      <c r="AR25" s="4" t="s">
        <v>377</v>
      </c>
    </row>
    <row r="26" spans="1:44">
      <c r="A26" s="4" t="s">
        <v>129</v>
      </c>
      <c r="B26" s="4">
        <v>79251</v>
      </c>
      <c r="D26" s="5" t="s">
        <v>429</v>
      </c>
      <c r="E26" s="6" t="str">
        <f>HYPERLINK("https://inpn.mnhn.fr/espece/cd_nom/79251","Speleomantes strinatii (Aellen, 1958)")</f>
        <v>Speleomantes strinatii (Aellen, 1958)</v>
      </c>
      <c r="F26" s="5" t="s">
        <v>430</v>
      </c>
      <c r="I26" s="4" t="str">
        <f>HYPERLINK("#Réglementation!A"&amp;_xlfn.XMATCH("IBE3",Réglementation!A:A,2,1),"IBE3")</f>
        <v>IBE3</v>
      </c>
      <c r="K26" s="4" t="str">
        <f>HYPERLINK("#Réglementation!A"&amp;_xlfn.XMATCH("CDH2",Réglementation!A:A,2,1),"CDH2 - CDH4")</f>
        <v>CDH2 - CDH4</v>
      </c>
      <c r="L26" s="4" t="str">
        <f>HYPERLINK("#Réglementation!A"&amp;_xlfn.XMATCH("FRAR2",Réglementation!A:A,2,1),"FRAR2")</f>
        <v>FRAR2</v>
      </c>
      <c r="O26" s="7" t="str">
        <f>HYPERLINK("#Liste_rouge!A"&amp;_xlfn.XMATCH("EN",Liste_rouge!A:A,2,1),"EN")</f>
        <v>EN</v>
      </c>
      <c r="P26" s="7" t="str">
        <f>HYPERLINK("#Liste_rouge!A"&amp;_xlfn.XMATCH("EN",Liste_rouge!A:A,2,1),"EN")</f>
        <v>EN</v>
      </c>
      <c r="Q26" s="7" t="str">
        <f>HYPERLINK("#Liste_rouge!A"&amp;_xlfn.XMATCH("LC",Liste_rouge!A:A,2,1),"LC")</f>
        <v>LC</v>
      </c>
      <c r="AE26" s="4" t="str">
        <f>HYPERLINK("#SCAP!A"&amp;_xlfn.XMATCH("1+",SCAP!A:A,2,1),"1+")</f>
        <v>1+</v>
      </c>
      <c r="AH26" s="4" t="str">
        <f>HYPERLINK("#Statut_biogéographique!A"&amp;_xlfn.XMATCH("S",Statut_biogéographique!A:A,2,1),"S")</f>
        <v>S</v>
      </c>
      <c r="AP26" s="4" t="s">
        <v>376</v>
      </c>
      <c r="AR26" s="4" t="s">
        <v>377</v>
      </c>
    </row>
    <row r="27" spans="1:44">
      <c r="A27" s="4" t="s">
        <v>129</v>
      </c>
      <c r="B27" s="4">
        <v>819822</v>
      </c>
      <c r="D27" s="5" t="s">
        <v>431</v>
      </c>
      <c r="E27" s="6" t="str">
        <f>HYPERLINK("https://inpn.mnhn.fr/espece/cd_nom/819822","Bufotes viridis (Laurenti, 1768)")</f>
        <v>Bufotes viridis (Laurenti, 1768)</v>
      </c>
      <c r="F27" s="5" t="s">
        <v>432</v>
      </c>
      <c r="I27" s="4" t="str">
        <f>HYPERLINK("#Réglementation!A"&amp;_xlfn.XMATCH("IBE2",Réglementation!A:A,2,1),"IBE2")</f>
        <v>IBE2</v>
      </c>
      <c r="K27" s="4" t="str">
        <f>HYPERLINK("#Réglementation!A"&amp;_xlfn.XMATCH("CDH4",Réglementation!A:A,2,1),"CDH4")</f>
        <v>CDH4</v>
      </c>
      <c r="L27" s="4" t="str">
        <f>HYPERLINK("#Réglementation!A"&amp;_xlfn.XMATCH("FRAR2",Réglementation!A:A,2,1),"FRAR2 - NM")</f>
        <v>FRAR2 - NM</v>
      </c>
      <c r="O27" s="7" t="str">
        <f>HYPERLINK("#Liste_rouge!A"&amp;_xlfn.XMATCH("LC",Liste_rouge!A:A,2,1),"LC")</f>
        <v>LC</v>
      </c>
      <c r="P27" s="7" t="str">
        <f>HYPERLINK("#Liste_rouge!A"&amp;_xlfn.XMATCH("LC",Liste_rouge!A:A,2,1),"LC")</f>
        <v>LC</v>
      </c>
      <c r="Q27" s="7" t="str">
        <f>HYPERLINK("#Liste_rouge!A"&amp;_xlfn.XMATCH("NT",Liste_rouge!A:A,2,1),"NT")</f>
        <v>NT</v>
      </c>
      <c r="V27" s="7" t="str">
        <f>HYPERLINK("#Liste_rouge!A"&amp;_xlfn.XMATCH("NA",Liste_rouge!A:A,2,1),"NA")</f>
        <v>NA</v>
      </c>
      <c r="AE27" s="4" t="str">
        <f>HYPERLINK("#SCAP!A"&amp;_xlfn.XMATCH("2+",SCAP!A:A,2,1),"2+")</f>
        <v>2+</v>
      </c>
      <c r="AH27" s="4" t="str">
        <f>HYPERLINK("#Statut_biogéographique!A"&amp;_xlfn.XMATCH("P",Statut_biogéographique!A:A,2,1),"P")</f>
        <v>P</v>
      </c>
      <c r="AI27" s="8" t="s">
        <v>433</v>
      </c>
      <c r="AJ27" s="4" t="s">
        <v>393</v>
      </c>
      <c r="AM27" s="4" t="s">
        <v>375</v>
      </c>
      <c r="AN27" s="4" t="s">
        <v>382</v>
      </c>
      <c r="AO27" s="4" t="s">
        <v>382</v>
      </c>
      <c r="AP27" s="4" t="s">
        <v>376</v>
      </c>
      <c r="AQ27" s="4" t="s">
        <v>377</v>
      </c>
      <c r="AR27" s="4" t="s">
        <v>377</v>
      </c>
    </row>
    <row r="28" spans="1:44">
      <c r="A28" s="4" t="s">
        <v>129</v>
      </c>
      <c r="B28" s="4">
        <v>92</v>
      </c>
      <c r="D28" s="5" t="s">
        <v>434</v>
      </c>
      <c r="E28" s="6" t="str">
        <f>HYPERLINK("https://inpn.mnhn.fr/espece/cd_nom/92","Salamandra salamandra (Linnaeus, 1758)")</f>
        <v>Salamandra salamandra (Linnaeus, 1758)</v>
      </c>
      <c r="F28" s="5" t="s">
        <v>435</v>
      </c>
      <c r="I28" s="4" t="str">
        <f>HYPERLINK("#Réglementation!A"&amp;_xlfn.XMATCH("IBE3",Réglementation!A:A,2,1),"IBE3")</f>
        <v>IBE3</v>
      </c>
      <c r="L28" s="4" t="str">
        <f>HYPERLINK("#Réglementation!A"&amp;_xlfn.XMATCH("FRAR3",Réglementation!A:A,2,1),"FRAR3")</f>
        <v>FRAR3</v>
      </c>
      <c r="O28" s="7" t="str">
        <f>HYPERLINK("#Liste_rouge!A"&amp;_xlfn.XMATCH("LC",Liste_rouge!A:A,2,1),"LC")</f>
        <v>LC</v>
      </c>
      <c r="P28" s="7" t="str">
        <f>HYPERLINK("#Liste_rouge!A"&amp;_xlfn.XMATCH("LC",Liste_rouge!A:A,2,1),"LC")</f>
        <v>LC</v>
      </c>
      <c r="Q28" s="7" t="str">
        <f>HYPERLINK("#Liste_rouge!A"&amp;_xlfn.XMATCH("LC",Liste_rouge!A:A,2,1),"LC")</f>
        <v>LC</v>
      </c>
      <c r="T28" s="7" t="str">
        <f>HYPERLINK("#Liste_rouge!A"&amp;_xlfn.XMATCH("LC",Liste_rouge!A:A,2,1),"LC")</f>
        <v>LC</v>
      </c>
      <c r="V28" s="7" t="str">
        <f>HYPERLINK("#Liste_rouge!A"&amp;_xlfn.XMATCH("LC",Liste_rouge!A:A,2,1),"LC")</f>
        <v>LC</v>
      </c>
      <c r="AH28" s="4" t="str">
        <f>HYPERLINK("#Statut_biogéographique!A"&amp;_xlfn.XMATCH("P",Statut_biogéographique!A:A,2,1),"P")</f>
        <v>P</v>
      </c>
      <c r="AM28" s="4" t="s">
        <v>375</v>
      </c>
      <c r="AN28" s="4" t="s">
        <v>375</v>
      </c>
      <c r="AO28" s="4" t="s">
        <v>375</v>
      </c>
      <c r="AP28" s="4" t="s">
        <v>376</v>
      </c>
      <c r="AR28" s="4" t="s">
        <v>377</v>
      </c>
    </row>
    <row r="29" spans="1:44">
      <c r="A29" s="4" t="s">
        <v>436</v>
      </c>
      <c r="B29" s="4">
        <v>221594</v>
      </c>
      <c r="D29" s="5" t="s">
        <v>437</v>
      </c>
      <c r="E29" s="6" t="str">
        <f>HYPERLINK("https://inpn.mnhn.fr/espece/cd_nom/221594","Pectinatella magnifica (Leidy, 1851)")</f>
        <v>Pectinatella magnifica (Leidy, 1851)</v>
      </c>
      <c r="F29" s="5" t="s">
        <v>438</v>
      </c>
      <c r="AH29" s="4" t="str">
        <f>HYPERLINK("#Statut_biogéographique!A"&amp;_xlfn.XMATCH("I",Statut_biogéographique!A:A,2,1),"I")</f>
        <v>I</v>
      </c>
      <c r="AP29" s="4" t="s">
        <v>376</v>
      </c>
      <c r="AR29" s="4" t="s">
        <v>377</v>
      </c>
    </row>
    <row r="30" spans="1:44">
      <c r="A30" s="4" t="s">
        <v>5</v>
      </c>
      <c r="C30" s="4">
        <v>4476</v>
      </c>
      <c r="D30" s="5" t="s">
        <v>93</v>
      </c>
      <c r="E30" s="6" t="s">
        <v>439</v>
      </c>
      <c r="F30" s="5" t="s">
        <v>440</v>
      </c>
      <c r="AP30" s="4" t="s">
        <v>376</v>
      </c>
      <c r="AR30" s="4" t="s">
        <v>377</v>
      </c>
    </row>
    <row r="31" spans="1:44">
      <c r="A31" s="4" t="s">
        <v>5</v>
      </c>
      <c r="C31" s="4">
        <v>4551</v>
      </c>
      <c r="D31" s="5" t="s">
        <v>93</v>
      </c>
      <c r="E31" s="6" t="s">
        <v>441</v>
      </c>
      <c r="F31" s="5" t="s">
        <v>442</v>
      </c>
      <c r="Z31" s="4" t="s">
        <v>443</v>
      </c>
      <c r="AA31" s="4" t="s">
        <v>444</v>
      </c>
      <c r="AP31" s="4" t="s">
        <v>376</v>
      </c>
      <c r="AR31" s="4" t="s">
        <v>377</v>
      </c>
    </row>
    <row r="32" spans="1:44">
      <c r="A32" s="4" t="s">
        <v>5</v>
      </c>
      <c r="C32" s="4">
        <v>1390</v>
      </c>
      <c r="D32" s="5" t="s">
        <v>93</v>
      </c>
      <c r="E32" s="6" t="s">
        <v>445</v>
      </c>
      <c r="F32" s="5" t="s">
        <v>446</v>
      </c>
      <c r="Z32" s="4" t="s">
        <v>447</v>
      </c>
      <c r="AA32" s="4" t="s">
        <v>448</v>
      </c>
      <c r="AP32" s="4" t="s">
        <v>376</v>
      </c>
      <c r="AR32" s="4" t="s">
        <v>377</v>
      </c>
    </row>
    <row r="33" spans="1:44">
      <c r="A33" s="4" t="s">
        <v>5</v>
      </c>
      <c r="C33" s="4">
        <v>1953</v>
      </c>
      <c r="D33" s="5" t="s">
        <v>93</v>
      </c>
      <c r="E33" s="6" t="s">
        <v>449</v>
      </c>
      <c r="F33" s="5" t="s">
        <v>450</v>
      </c>
      <c r="AP33" s="4" t="s">
        <v>376</v>
      </c>
      <c r="AR33" s="4" t="s">
        <v>377</v>
      </c>
    </row>
    <row r="34" spans="1:44" ht="30">
      <c r="A34" s="4" t="s">
        <v>5</v>
      </c>
      <c r="C34" s="4">
        <v>2439</v>
      </c>
      <c r="D34" s="5" t="s">
        <v>93</v>
      </c>
      <c r="E34" s="6" t="s">
        <v>451</v>
      </c>
      <c r="AP34" s="4" t="s">
        <v>376</v>
      </c>
      <c r="AR34" s="4" t="s">
        <v>377</v>
      </c>
    </row>
    <row r="35" spans="1:44" ht="30">
      <c r="A35" s="4" t="s">
        <v>5</v>
      </c>
      <c r="C35" s="4">
        <v>2607</v>
      </c>
      <c r="D35" s="5" t="s">
        <v>93</v>
      </c>
      <c r="E35" s="6" t="s">
        <v>452</v>
      </c>
      <c r="AP35" s="4" t="s">
        <v>376</v>
      </c>
      <c r="AR35" s="4" t="s">
        <v>377</v>
      </c>
    </row>
    <row r="36" spans="1:44">
      <c r="A36" s="4" t="s">
        <v>5</v>
      </c>
      <c r="C36" s="4">
        <v>5918</v>
      </c>
      <c r="D36" s="5" t="s">
        <v>93</v>
      </c>
      <c r="E36" s="6" t="s">
        <v>453</v>
      </c>
      <c r="AP36" s="4" t="s">
        <v>376</v>
      </c>
      <c r="AR36" s="4" t="s">
        <v>377</v>
      </c>
    </row>
    <row r="37" spans="1:44">
      <c r="A37" s="4" t="s">
        <v>5</v>
      </c>
      <c r="C37" s="4">
        <v>534</v>
      </c>
      <c r="D37" s="5" t="s">
        <v>93</v>
      </c>
      <c r="E37" s="6" t="s">
        <v>454</v>
      </c>
      <c r="F37" s="5" t="s">
        <v>455</v>
      </c>
      <c r="AP37" s="4" t="s">
        <v>376</v>
      </c>
      <c r="AR37" s="4" t="s">
        <v>377</v>
      </c>
    </row>
    <row r="38" spans="1:44">
      <c r="A38" s="4" t="s">
        <v>5</v>
      </c>
      <c r="C38" s="4">
        <v>4680</v>
      </c>
      <c r="D38" s="5" t="s">
        <v>93</v>
      </c>
      <c r="E38" s="6" t="s">
        <v>456</v>
      </c>
      <c r="AP38" s="4" t="s">
        <v>376</v>
      </c>
      <c r="AR38" s="4" t="s">
        <v>377</v>
      </c>
    </row>
    <row r="39" spans="1:44" ht="30">
      <c r="A39" s="4" t="s">
        <v>5</v>
      </c>
      <c r="C39" s="4">
        <v>4409</v>
      </c>
      <c r="D39" s="5" t="s">
        <v>93</v>
      </c>
      <c r="E39" s="6" t="s">
        <v>457</v>
      </c>
      <c r="AP39" s="4" t="s">
        <v>376</v>
      </c>
      <c r="AR39" s="4" t="s">
        <v>377</v>
      </c>
    </row>
    <row r="40" spans="1:44" ht="30">
      <c r="A40" s="4" t="s">
        <v>5</v>
      </c>
      <c r="C40" s="4">
        <v>6147</v>
      </c>
      <c r="D40" s="5" t="s">
        <v>93</v>
      </c>
      <c r="E40" s="6" t="s">
        <v>458</v>
      </c>
      <c r="AP40" s="4" t="s">
        <v>376</v>
      </c>
      <c r="AR40" s="4" t="s">
        <v>377</v>
      </c>
    </row>
    <row r="41" spans="1:44" ht="30">
      <c r="A41" s="4" t="s">
        <v>5</v>
      </c>
      <c r="C41" s="4">
        <v>926</v>
      </c>
      <c r="D41" s="5" t="s">
        <v>93</v>
      </c>
      <c r="E41" s="6" t="s">
        <v>459</v>
      </c>
      <c r="F41" s="5" t="s">
        <v>460</v>
      </c>
      <c r="AP41" s="4" t="s">
        <v>376</v>
      </c>
      <c r="AR41" s="4" t="s">
        <v>377</v>
      </c>
    </row>
    <row r="42" spans="1:44">
      <c r="A42" s="4" t="s">
        <v>5</v>
      </c>
      <c r="C42" s="4">
        <v>1178</v>
      </c>
      <c r="D42" s="5" t="s">
        <v>93</v>
      </c>
      <c r="E42" s="6" t="s">
        <v>461</v>
      </c>
      <c r="AP42" s="4" t="s">
        <v>376</v>
      </c>
      <c r="AR42" s="4" t="s">
        <v>377</v>
      </c>
    </row>
    <row r="43" spans="1:44">
      <c r="A43" s="4" t="s">
        <v>5</v>
      </c>
      <c r="C43" s="4">
        <v>6009</v>
      </c>
      <c r="D43" s="5" t="s">
        <v>93</v>
      </c>
      <c r="E43" s="6" t="s">
        <v>462</v>
      </c>
      <c r="AP43" s="4" t="s">
        <v>376</v>
      </c>
      <c r="AR43" s="4" t="s">
        <v>377</v>
      </c>
    </row>
    <row r="44" spans="1:44" ht="30">
      <c r="A44" s="4" t="s">
        <v>5</v>
      </c>
      <c r="C44" s="4">
        <v>6207</v>
      </c>
      <c r="D44" s="5" t="s">
        <v>93</v>
      </c>
      <c r="E44" s="6" t="s">
        <v>463</v>
      </c>
      <c r="AP44" s="4" t="s">
        <v>376</v>
      </c>
      <c r="AR44" s="4" t="s">
        <v>377</v>
      </c>
    </row>
    <row r="45" spans="1:44">
      <c r="A45" s="4" t="s">
        <v>5</v>
      </c>
      <c r="C45" s="4">
        <v>3988</v>
      </c>
      <c r="D45" s="5" t="s">
        <v>93</v>
      </c>
      <c r="E45" s="6" t="s">
        <v>464</v>
      </c>
      <c r="AP45" s="4" t="s">
        <v>376</v>
      </c>
      <c r="AR45" s="4" t="s">
        <v>377</v>
      </c>
    </row>
    <row r="46" spans="1:44">
      <c r="A46" s="4" t="s">
        <v>5</v>
      </c>
      <c r="C46" s="4">
        <v>3769</v>
      </c>
      <c r="D46" s="5" t="s">
        <v>93</v>
      </c>
      <c r="E46" s="6" t="s">
        <v>465</v>
      </c>
      <c r="F46" s="5" t="s">
        <v>466</v>
      </c>
      <c r="AP46" s="4" t="s">
        <v>376</v>
      </c>
      <c r="AR46" s="4" t="s">
        <v>377</v>
      </c>
    </row>
    <row r="47" spans="1:44">
      <c r="A47" s="4" t="s">
        <v>5</v>
      </c>
      <c r="C47" s="4">
        <v>6016</v>
      </c>
      <c r="D47" s="5" t="s">
        <v>93</v>
      </c>
      <c r="E47" s="6" t="s">
        <v>467</v>
      </c>
      <c r="F47" s="5" t="s">
        <v>468</v>
      </c>
      <c r="AP47" s="4" t="s">
        <v>376</v>
      </c>
      <c r="AR47" s="4" t="s">
        <v>377</v>
      </c>
    </row>
    <row r="48" spans="1:44">
      <c r="A48" s="4" t="s">
        <v>5</v>
      </c>
      <c r="C48" s="4">
        <v>2871</v>
      </c>
      <c r="D48" s="5" t="s">
        <v>93</v>
      </c>
      <c r="E48" s="6" t="s">
        <v>469</v>
      </c>
      <c r="F48" s="5" t="s">
        <v>470</v>
      </c>
      <c r="Z48" s="4" t="s">
        <v>443</v>
      </c>
      <c r="AA48" s="4" t="s">
        <v>444</v>
      </c>
      <c r="AP48" s="4" t="s">
        <v>376</v>
      </c>
      <c r="AR48" s="4" t="s">
        <v>377</v>
      </c>
    </row>
    <row r="49" spans="1:44">
      <c r="A49" s="4" t="s">
        <v>5</v>
      </c>
      <c r="C49" s="4">
        <v>6461</v>
      </c>
      <c r="D49" s="5" t="s">
        <v>93</v>
      </c>
      <c r="E49" s="6" t="s">
        <v>471</v>
      </c>
      <c r="AP49" s="4" t="s">
        <v>376</v>
      </c>
      <c r="AR49" s="4" t="s">
        <v>377</v>
      </c>
    </row>
    <row r="50" spans="1:44">
      <c r="A50" s="4" t="s">
        <v>5</v>
      </c>
      <c r="C50" s="4">
        <v>1378</v>
      </c>
      <c r="D50" s="5" t="s">
        <v>93</v>
      </c>
      <c r="E50" s="6" t="s">
        <v>472</v>
      </c>
      <c r="F50" s="5" t="s">
        <v>473</v>
      </c>
      <c r="AP50" s="4" t="s">
        <v>376</v>
      </c>
      <c r="AR50" s="4" t="s">
        <v>377</v>
      </c>
    </row>
    <row r="51" spans="1:44" ht="30">
      <c r="A51" s="4" t="s">
        <v>5</v>
      </c>
      <c r="C51" s="4">
        <v>782</v>
      </c>
      <c r="D51" s="5" t="s">
        <v>93</v>
      </c>
      <c r="E51" s="6" t="s">
        <v>474</v>
      </c>
      <c r="F51" s="5" t="s">
        <v>475</v>
      </c>
      <c r="AP51" s="4" t="s">
        <v>376</v>
      </c>
      <c r="AR51" s="4" t="s">
        <v>377</v>
      </c>
    </row>
    <row r="52" spans="1:44">
      <c r="A52" s="4" t="s">
        <v>5</v>
      </c>
      <c r="C52" s="4">
        <v>5735</v>
      </c>
      <c r="D52" s="5" t="s">
        <v>93</v>
      </c>
      <c r="E52" s="6" t="s">
        <v>476</v>
      </c>
      <c r="Z52" s="4" t="s">
        <v>447</v>
      </c>
      <c r="AA52" s="4" t="s">
        <v>448</v>
      </c>
      <c r="AP52" s="4" t="s">
        <v>376</v>
      </c>
      <c r="AR52" s="4" t="s">
        <v>377</v>
      </c>
    </row>
    <row r="53" spans="1:44">
      <c r="A53" s="4" t="s">
        <v>5</v>
      </c>
      <c r="C53" s="4">
        <v>3889</v>
      </c>
      <c r="D53" s="5" t="s">
        <v>93</v>
      </c>
      <c r="E53" s="6" t="s">
        <v>477</v>
      </c>
      <c r="F53" s="5" t="s">
        <v>478</v>
      </c>
      <c r="Z53" s="4" t="s">
        <v>447</v>
      </c>
      <c r="AA53" s="4" t="s">
        <v>448</v>
      </c>
      <c r="AP53" s="4" t="s">
        <v>376</v>
      </c>
      <c r="AR53" s="4" t="s">
        <v>377</v>
      </c>
    </row>
    <row r="54" spans="1:44">
      <c r="A54" s="4" t="s">
        <v>5</v>
      </c>
      <c r="C54" s="4">
        <v>5715</v>
      </c>
      <c r="D54" s="5" t="s">
        <v>93</v>
      </c>
      <c r="E54" s="6" t="s">
        <v>479</v>
      </c>
      <c r="F54" s="5" t="s">
        <v>480</v>
      </c>
      <c r="Z54" s="4" t="s">
        <v>443</v>
      </c>
      <c r="AA54" s="4" t="s">
        <v>444</v>
      </c>
      <c r="AP54" s="4" t="s">
        <v>376</v>
      </c>
      <c r="AR54" s="4" t="s">
        <v>377</v>
      </c>
    </row>
    <row r="55" spans="1:44">
      <c r="A55" s="4" t="s">
        <v>5</v>
      </c>
      <c r="C55" s="4">
        <v>4281</v>
      </c>
      <c r="D55" s="5" t="s">
        <v>93</v>
      </c>
      <c r="E55" s="6" t="s">
        <v>481</v>
      </c>
      <c r="AP55" s="4" t="s">
        <v>376</v>
      </c>
      <c r="AR55" s="4" t="s">
        <v>377</v>
      </c>
    </row>
    <row r="56" spans="1:44">
      <c r="A56" s="4" t="s">
        <v>5</v>
      </c>
      <c r="C56" s="4">
        <v>3602</v>
      </c>
      <c r="D56" s="5" t="s">
        <v>93</v>
      </c>
      <c r="E56" s="6" t="s">
        <v>482</v>
      </c>
      <c r="F56" s="5" t="s">
        <v>483</v>
      </c>
      <c r="AP56" s="4" t="s">
        <v>376</v>
      </c>
      <c r="AR56" s="4" t="s">
        <v>377</v>
      </c>
    </row>
    <row r="57" spans="1:44">
      <c r="A57" s="4" t="s">
        <v>5</v>
      </c>
      <c r="C57" s="4">
        <v>6209</v>
      </c>
      <c r="D57" s="5" t="s">
        <v>93</v>
      </c>
      <c r="E57" s="6" t="s">
        <v>484</v>
      </c>
      <c r="AP57" s="4" t="s">
        <v>376</v>
      </c>
      <c r="AR57" s="4" t="s">
        <v>377</v>
      </c>
    </row>
    <row r="58" spans="1:44">
      <c r="A58" s="4" t="s">
        <v>5</v>
      </c>
      <c r="C58" s="4">
        <v>55</v>
      </c>
      <c r="D58" s="5" t="s">
        <v>93</v>
      </c>
      <c r="E58" s="6" t="s">
        <v>485</v>
      </c>
      <c r="F58" s="5" t="s">
        <v>486</v>
      </c>
      <c r="AP58" s="4" t="s">
        <v>376</v>
      </c>
      <c r="AR58" s="4" t="s">
        <v>377</v>
      </c>
    </row>
    <row r="59" spans="1:44">
      <c r="A59" s="4" t="s">
        <v>5</v>
      </c>
      <c r="C59" s="4">
        <v>4387</v>
      </c>
      <c r="D59" s="5" t="s">
        <v>93</v>
      </c>
      <c r="E59" s="6" t="s">
        <v>487</v>
      </c>
      <c r="AP59" s="4" t="s">
        <v>376</v>
      </c>
      <c r="AR59" s="4" t="s">
        <v>377</v>
      </c>
    </row>
    <row r="60" spans="1:44">
      <c r="A60" s="4" t="s">
        <v>5</v>
      </c>
      <c r="C60" s="4">
        <v>1301</v>
      </c>
      <c r="D60" s="5" t="s">
        <v>93</v>
      </c>
      <c r="E60" s="6" t="s">
        <v>488</v>
      </c>
      <c r="Z60" s="4" t="s">
        <v>447</v>
      </c>
      <c r="AA60" s="4" t="s">
        <v>448</v>
      </c>
      <c r="AP60" s="4" t="s">
        <v>376</v>
      </c>
      <c r="AR60" s="4" t="s">
        <v>377</v>
      </c>
    </row>
    <row r="61" spans="1:44" ht="30">
      <c r="A61" s="4" t="s">
        <v>5</v>
      </c>
      <c r="C61" s="4">
        <v>1562</v>
      </c>
      <c r="D61" s="5" t="s">
        <v>93</v>
      </c>
      <c r="E61" s="6" t="s">
        <v>489</v>
      </c>
      <c r="F61" s="5" t="s">
        <v>490</v>
      </c>
      <c r="Z61" s="4" t="s">
        <v>443</v>
      </c>
      <c r="AA61" s="4" t="s">
        <v>444</v>
      </c>
      <c r="AP61" s="4" t="s">
        <v>376</v>
      </c>
      <c r="AR61" s="4" t="s">
        <v>377</v>
      </c>
    </row>
    <row r="62" spans="1:44">
      <c r="A62" s="4" t="s">
        <v>5</v>
      </c>
      <c r="C62" s="4">
        <v>213</v>
      </c>
      <c r="D62" s="5" t="s">
        <v>93</v>
      </c>
      <c r="E62" s="6" t="s">
        <v>491</v>
      </c>
      <c r="F62" s="5" t="s">
        <v>492</v>
      </c>
      <c r="AP62" s="4" t="s">
        <v>376</v>
      </c>
      <c r="AR62" s="4" t="s">
        <v>377</v>
      </c>
    </row>
    <row r="63" spans="1:44">
      <c r="A63" s="4" t="s">
        <v>5</v>
      </c>
      <c r="C63" s="4">
        <v>6801</v>
      </c>
      <c r="D63" s="5" t="s">
        <v>93</v>
      </c>
      <c r="E63" s="6" t="s">
        <v>493</v>
      </c>
      <c r="F63" s="5" t="s">
        <v>494</v>
      </c>
      <c r="AP63" s="4" t="s">
        <v>376</v>
      </c>
      <c r="AR63" s="4" t="s">
        <v>377</v>
      </c>
    </row>
    <row r="64" spans="1:44" ht="30">
      <c r="A64" s="4" t="s">
        <v>5</v>
      </c>
      <c r="C64" s="4">
        <v>4089</v>
      </c>
      <c r="D64" s="5" t="s">
        <v>93</v>
      </c>
      <c r="E64" s="6" t="s">
        <v>495</v>
      </c>
      <c r="F64" s="5" t="s">
        <v>496</v>
      </c>
      <c r="AP64" s="4" t="s">
        <v>376</v>
      </c>
      <c r="AR64" s="4" t="s">
        <v>377</v>
      </c>
    </row>
    <row r="65" spans="1:44">
      <c r="A65" s="4" t="s">
        <v>5</v>
      </c>
      <c r="C65" s="4">
        <v>4061</v>
      </c>
      <c r="D65" s="5" t="s">
        <v>93</v>
      </c>
      <c r="E65" s="6" t="s">
        <v>497</v>
      </c>
      <c r="F65" s="5" t="s">
        <v>498</v>
      </c>
      <c r="Z65" s="4" t="s">
        <v>447</v>
      </c>
      <c r="AA65" s="4" t="s">
        <v>448</v>
      </c>
      <c r="AP65" s="4" t="s">
        <v>376</v>
      </c>
      <c r="AR65" s="4" t="s">
        <v>377</v>
      </c>
    </row>
    <row r="66" spans="1:44" ht="30">
      <c r="A66" s="4" t="s">
        <v>5</v>
      </c>
      <c r="C66" s="4">
        <v>249</v>
      </c>
      <c r="D66" s="5" t="s">
        <v>93</v>
      </c>
      <c r="E66" s="6" t="s">
        <v>499</v>
      </c>
      <c r="F66" s="5" t="s">
        <v>500</v>
      </c>
      <c r="Z66" s="4" t="s">
        <v>447</v>
      </c>
      <c r="AA66" s="4" t="s">
        <v>448</v>
      </c>
      <c r="AP66" s="4" t="s">
        <v>376</v>
      </c>
      <c r="AR66" s="4" t="s">
        <v>377</v>
      </c>
    </row>
    <row r="67" spans="1:44">
      <c r="A67" s="4" t="s">
        <v>5</v>
      </c>
      <c r="C67" s="4">
        <v>3798</v>
      </c>
      <c r="D67" s="5" t="s">
        <v>93</v>
      </c>
      <c r="E67" s="6" t="s">
        <v>501</v>
      </c>
      <c r="F67" s="5" t="s">
        <v>502</v>
      </c>
      <c r="Z67" s="4" t="s">
        <v>443</v>
      </c>
      <c r="AA67" s="4" t="s">
        <v>444</v>
      </c>
      <c r="AP67" s="4" t="s">
        <v>376</v>
      </c>
      <c r="AR67" s="4" t="s">
        <v>377</v>
      </c>
    </row>
    <row r="68" spans="1:44">
      <c r="A68" s="4" t="s">
        <v>5</v>
      </c>
      <c r="C68" s="4">
        <v>2170</v>
      </c>
      <c r="D68" s="5" t="s">
        <v>93</v>
      </c>
      <c r="E68" s="6" t="s">
        <v>503</v>
      </c>
      <c r="AP68" s="4" t="s">
        <v>376</v>
      </c>
      <c r="AR68" s="4" t="s">
        <v>377</v>
      </c>
    </row>
    <row r="69" spans="1:44">
      <c r="A69" s="4" t="s">
        <v>5</v>
      </c>
      <c r="C69" s="4">
        <v>393</v>
      </c>
      <c r="D69" s="5" t="s">
        <v>93</v>
      </c>
      <c r="E69" s="6" t="s">
        <v>504</v>
      </c>
      <c r="F69" s="5" t="s">
        <v>505</v>
      </c>
      <c r="AP69" s="4" t="s">
        <v>376</v>
      </c>
      <c r="AR69" s="4" t="s">
        <v>377</v>
      </c>
    </row>
    <row r="70" spans="1:44">
      <c r="A70" s="4" t="s">
        <v>5</v>
      </c>
      <c r="C70" s="4">
        <v>6041</v>
      </c>
      <c r="D70" s="5" t="s">
        <v>93</v>
      </c>
      <c r="E70" s="6" t="s">
        <v>506</v>
      </c>
      <c r="F70" s="5" t="s">
        <v>507</v>
      </c>
      <c r="AP70" s="4" t="s">
        <v>376</v>
      </c>
      <c r="AR70" s="4" t="s">
        <v>377</v>
      </c>
    </row>
    <row r="71" spans="1:44">
      <c r="A71" s="4" t="s">
        <v>5</v>
      </c>
      <c r="C71" s="4">
        <v>538</v>
      </c>
      <c r="D71" s="5" t="s">
        <v>93</v>
      </c>
      <c r="E71" s="6" t="s">
        <v>508</v>
      </c>
      <c r="F71" s="5" t="s">
        <v>509</v>
      </c>
      <c r="AP71" s="4" t="s">
        <v>376</v>
      </c>
      <c r="AR71" s="4" t="s">
        <v>377</v>
      </c>
    </row>
    <row r="72" spans="1:44">
      <c r="A72" s="4" t="s">
        <v>5</v>
      </c>
      <c r="C72" s="4">
        <v>5647</v>
      </c>
      <c r="D72" s="5" t="s">
        <v>93</v>
      </c>
      <c r="E72" s="6" t="s">
        <v>510</v>
      </c>
      <c r="F72" s="5" t="s">
        <v>511</v>
      </c>
      <c r="Z72" s="4" t="s">
        <v>512</v>
      </c>
      <c r="AA72" s="4" t="s">
        <v>513</v>
      </c>
      <c r="AP72" s="4" t="s">
        <v>376</v>
      </c>
      <c r="AR72" s="4" t="s">
        <v>377</v>
      </c>
    </row>
    <row r="73" spans="1:44">
      <c r="A73" s="4" t="s">
        <v>5</v>
      </c>
      <c r="C73" s="4">
        <v>666</v>
      </c>
      <c r="D73" s="5" t="s">
        <v>93</v>
      </c>
      <c r="E73" s="6" t="s">
        <v>514</v>
      </c>
      <c r="AP73" s="4" t="s">
        <v>376</v>
      </c>
      <c r="AR73" s="4" t="s">
        <v>377</v>
      </c>
    </row>
    <row r="74" spans="1:44">
      <c r="A74" s="4" t="s">
        <v>5</v>
      </c>
      <c r="C74" s="4">
        <v>3148</v>
      </c>
      <c r="D74" s="5" t="s">
        <v>93</v>
      </c>
      <c r="E74" s="6" t="s">
        <v>515</v>
      </c>
      <c r="F74" s="5" t="s">
        <v>516</v>
      </c>
      <c r="AP74" s="4" t="s">
        <v>376</v>
      </c>
      <c r="AR74" s="4" t="s">
        <v>377</v>
      </c>
    </row>
    <row r="75" spans="1:44" ht="30">
      <c r="A75" s="4" t="s">
        <v>5</v>
      </c>
      <c r="C75" s="4">
        <v>6529</v>
      </c>
      <c r="D75" s="5" t="s">
        <v>93</v>
      </c>
      <c r="E75" s="6" t="s">
        <v>517</v>
      </c>
      <c r="AP75" s="4" t="s">
        <v>376</v>
      </c>
      <c r="AR75" s="4" t="s">
        <v>377</v>
      </c>
    </row>
    <row r="76" spans="1:44">
      <c r="A76" s="4" t="s">
        <v>5</v>
      </c>
      <c r="C76" s="4">
        <v>2888</v>
      </c>
      <c r="D76" s="5" t="s">
        <v>93</v>
      </c>
      <c r="E76" s="6" t="s">
        <v>518</v>
      </c>
      <c r="F76" s="5" t="s">
        <v>519</v>
      </c>
      <c r="AP76" s="4" t="s">
        <v>376</v>
      </c>
      <c r="AR76" s="4" t="s">
        <v>377</v>
      </c>
    </row>
    <row r="77" spans="1:44">
      <c r="A77" s="4" t="s">
        <v>5</v>
      </c>
      <c r="C77" s="4">
        <v>3125</v>
      </c>
      <c r="D77" s="5" t="s">
        <v>93</v>
      </c>
      <c r="E77" s="6" t="s">
        <v>520</v>
      </c>
      <c r="AP77" s="4" t="s">
        <v>376</v>
      </c>
      <c r="AR77" s="4" t="s">
        <v>377</v>
      </c>
    </row>
    <row r="78" spans="1:44">
      <c r="A78" s="4" t="s">
        <v>5</v>
      </c>
      <c r="C78" s="4">
        <v>4251</v>
      </c>
      <c r="D78" s="5" t="s">
        <v>93</v>
      </c>
      <c r="E78" s="6" t="s">
        <v>521</v>
      </c>
      <c r="F78" s="5" t="s">
        <v>522</v>
      </c>
      <c r="AP78" s="4" t="s">
        <v>376</v>
      </c>
      <c r="AR78" s="4" t="s">
        <v>377</v>
      </c>
    </row>
    <row r="79" spans="1:44">
      <c r="A79" s="4" t="s">
        <v>5</v>
      </c>
      <c r="C79" s="4">
        <v>2663</v>
      </c>
      <c r="D79" s="5" t="s">
        <v>93</v>
      </c>
      <c r="E79" s="6" t="s">
        <v>523</v>
      </c>
      <c r="F79" s="5" t="s">
        <v>524</v>
      </c>
      <c r="Z79" s="4" t="s">
        <v>443</v>
      </c>
      <c r="AA79" s="4" t="s">
        <v>444</v>
      </c>
      <c r="AP79" s="4" t="s">
        <v>376</v>
      </c>
      <c r="AR79" s="4" t="s">
        <v>377</v>
      </c>
    </row>
    <row r="80" spans="1:44">
      <c r="A80" s="4" t="s">
        <v>5</v>
      </c>
      <c r="C80" s="4">
        <v>3729</v>
      </c>
      <c r="D80" s="5" t="s">
        <v>93</v>
      </c>
      <c r="E80" s="6" t="s">
        <v>525</v>
      </c>
      <c r="F80" s="5" t="s">
        <v>526</v>
      </c>
      <c r="Z80" s="4" t="s">
        <v>447</v>
      </c>
      <c r="AA80" s="4" t="s">
        <v>448</v>
      </c>
      <c r="AP80" s="4" t="s">
        <v>376</v>
      </c>
      <c r="AR80" s="4" t="s">
        <v>377</v>
      </c>
    </row>
    <row r="81" spans="1:44">
      <c r="A81" s="4" t="s">
        <v>5</v>
      </c>
      <c r="C81" s="4">
        <v>768</v>
      </c>
      <c r="D81" s="5" t="s">
        <v>93</v>
      </c>
      <c r="E81" s="6" t="s">
        <v>527</v>
      </c>
      <c r="F81" s="5" t="s">
        <v>528</v>
      </c>
      <c r="AP81" s="4" t="s">
        <v>376</v>
      </c>
      <c r="AR81" s="4" t="s">
        <v>377</v>
      </c>
    </row>
    <row r="82" spans="1:44">
      <c r="A82" s="4" t="s">
        <v>5</v>
      </c>
      <c r="C82" s="4">
        <v>2285</v>
      </c>
      <c r="D82" s="5" t="s">
        <v>93</v>
      </c>
      <c r="E82" s="6" t="s">
        <v>529</v>
      </c>
      <c r="AP82" s="4" t="s">
        <v>376</v>
      </c>
      <c r="AR82" s="4" t="s">
        <v>377</v>
      </c>
    </row>
    <row r="83" spans="1:44">
      <c r="A83" s="4" t="s">
        <v>5</v>
      </c>
      <c r="C83" s="4">
        <v>4837</v>
      </c>
      <c r="D83" s="5" t="s">
        <v>93</v>
      </c>
      <c r="E83" s="6" t="s">
        <v>530</v>
      </c>
      <c r="AP83" s="4" t="s">
        <v>376</v>
      </c>
      <c r="AR83" s="4" t="s">
        <v>377</v>
      </c>
    </row>
    <row r="84" spans="1:44">
      <c r="A84" s="4" t="s">
        <v>5</v>
      </c>
      <c r="C84" s="4">
        <v>728</v>
      </c>
      <c r="D84" s="5" t="s">
        <v>93</v>
      </c>
      <c r="E84" s="6" t="s">
        <v>531</v>
      </c>
      <c r="F84" s="5" t="s">
        <v>532</v>
      </c>
      <c r="AP84" s="4" t="s">
        <v>376</v>
      </c>
      <c r="AR84" s="4" t="s">
        <v>377</v>
      </c>
    </row>
    <row r="85" spans="1:44">
      <c r="A85" s="4" t="s">
        <v>5</v>
      </c>
      <c r="C85" s="4">
        <v>5952</v>
      </c>
      <c r="D85" s="5" t="s">
        <v>93</v>
      </c>
      <c r="E85" s="6" t="s">
        <v>533</v>
      </c>
      <c r="AP85" s="4" t="s">
        <v>376</v>
      </c>
      <c r="AR85" s="4" t="s">
        <v>377</v>
      </c>
    </row>
    <row r="86" spans="1:44">
      <c r="A86" s="4" t="s">
        <v>5</v>
      </c>
      <c r="C86" s="4">
        <v>1441</v>
      </c>
      <c r="D86" s="5" t="s">
        <v>93</v>
      </c>
      <c r="E86" s="6" t="s">
        <v>534</v>
      </c>
      <c r="Z86" s="4" t="s">
        <v>443</v>
      </c>
      <c r="AA86" s="4" t="s">
        <v>444</v>
      </c>
      <c r="AP86" s="4" t="s">
        <v>376</v>
      </c>
      <c r="AR86" s="4" t="s">
        <v>377</v>
      </c>
    </row>
    <row r="87" spans="1:44">
      <c r="A87" s="4" t="s">
        <v>5</v>
      </c>
      <c r="C87" s="4">
        <v>6401</v>
      </c>
      <c r="D87" s="5" t="s">
        <v>93</v>
      </c>
      <c r="E87" s="6" t="s">
        <v>535</v>
      </c>
      <c r="AP87" s="4" t="s">
        <v>376</v>
      </c>
      <c r="AR87" s="4" t="s">
        <v>377</v>
      </c>
    </row>
    <row r="88" spans="1:44">
      <c r="A88" s="4" t="s">
        <v>5</v>
      </c>
      <c r="C88" s="4">
        <v>5710</v>
      </c>
      <c r="D88" s="5" t="s">
        <v>93</v>
      </c>
      <c r="E88" s="6" t="s">
        <v>536</v>
      </c>
      <c r="Z88" s="4" t="s">
        <v>443</v>
      </c>
      <c r="AA88" s="4" t="s">
        <v>444</v>
      </c>
      <c r="AP88" s="4" t="s">
        <v>376</v>
      </c>
      <c r="AR88" s="4" t="s">
        <v>377</v>
      </c>
    </row>
    <row r="89" spans="1:44">
      <c r="A89" s="4" t="s">
        <v>5</v>
      </c>
      <c r="C89" s="4">
        <v>2306</v>
      </c>
      <c r="D89" s="5" t="s">
        <v>93</v>
      </c>
      <c r="E89" s="6" t="s">
        <v>537</v>
      </c>
      <c r="F89" s="5" t="s">
        <v>538</v>
      </c>
      <c r="AP89" s="4" t="s">
        <v>376</v>
      </c>
      <c r="AR89" s="4" t="s">
        <v>377</v>
      </c>
    </row>
    <row r="90" spans="1:44">
      <c r="A90" s="4" t="s">
        <v>5</v>
      </c>
      <c r="C90" s="4">
        <v>1565</v>
      </c>
      <c r="D90" s="5" t="s">
        <v>93</v>
      </c>
      <c r="E90" s="6" t="s">
        <v>539</v>
      </c>
      <c r="AP90" s="4" t="s">
        <v>376</v>
      </c>
      <c r="AR90" s="4" t="s">
        <v>377</v>
      </c>
    </row>
    <row r="91" spans="1:44">
      <c r="A91" s="4" t="s">
        <v>5</v>
      </c>
      <c r="C91" s="4">
        <v>4647</v>
      </c>
      <c r="D91" s="5" t="s">
        <v>93</v>
      </c>
      <c r="E91" s="6" t="s">
        <v>540</v>
      </c>
      <c r="AP91" s="4" t="s">
        <v>376</v>
      </c>
      <c r="AR91" s="4" t="s">
        <v>377</v>
      </c>
    </row>
    <row r="92" spans="1:44">
      <c r="A92" s="4" t="s">
        <v>5</v>
      </c>
      <c r="C92" s="4">
        <v>3159</v>
      </c>
      <c r="D92" s="5" t="s">
        <v>93</v>
      </c>
      <c r="E92" s="6" t="s">
        <v>541</v>
      </c>
      <c r="F92" s="5" t="s">
        <v>542</v>
      </c>
      <c r="AP92" s="4" t="s">
        <v>376</v>
      </c>
      <c r="AR92" s="4" t="s">
        <v>377</v>
      </c>
    </row>
    <row r="93" spans="1:44">
      <c r="A93" s="4" t="s">
        <v>5</v>
      </c>
      <c r="C93" s="4">
        <v>3985</v>
      </c>
      <c r="D93" s="5" t="s">
        <v>93</v>
      </c>
      <c r="E93" s="6" t="s">
        <v>543</v>
      </c>
      <c r="AP93" s="4" t="s">
        <v>376</v>
      </c>
      <c r="AR93" s="4" t="s">
        <v>377</v>
      </c>
    </row>
    <row r="94" spans="1:44">
      <c r="A94" s="4" t="s">
        <v>5</v>
      </c>
      <c r="C94" s="4">
        <v>2101</v>
      </c>
      <c r="D94" s="5" t="s">
        <v>93</v>
      </c>
      <c r="E94" s="6" t="s">
        <v>544</v>
      </c>
      <c r="AP94" s="4" t="s">
        <v>376</v>
      </c>
      <c r="AR94" s="4" t="s">
        <v>377</v>
      </c>
    </row>
    <row r="95" spans="1:44">
      <c r="A95" s="4" t="s">
        <v>5</v>
      </c>
      <c r="C95" s="4">
        <v>6999</v>
      </c>
      <c r="D95" s="5" t="s">
        <v>93</v>
      </c>
      <c r="E95" s="6" t="s">
        <v>545</v>
      </c>
      <c r="AP95" s="4" t="s">
        <v>376</v>
      </c>
      <c r="AR95" s="4" t="s">
        <v>377</v>
      </c>
    </row>
    <row r="96" spans="1:44">
      <c r="A96" s="4" t="s">
        <v>5</v>
      </c>
      <c r="C96" s="4">
        <v>3382</v>
      </c>
      <c r="D96" s="5" t="s">
        <v>93</v>
      </c>
      <c r="E96" s="6" t="s">
        <v>546</v>
      </c>
      <c r="AP96" s="4" t="s">
        <v>376</v>
      </c>
      <c r="AR96" s="4" t="s">
        <v>377</v>
      </c>
    </row>
    <row r="97" spans="1:44" ht="30">
      <c r="A97" s="4" t="s">
        <v>5</v>
      </c>
      <c r="C97" s="4">
        <v>3269</v>
      </c>
      <c r="D97" s="5" t="s">
        <v>93</v>
      </c>
      <c r="E97" s="6" t="s">
        <v>547</v>
      </c>
      <c r="F97" s="5" t="s">
        <v>548</v>
      </c>
      <c r="Z97" s="4" t="s">
        <v>447</v>
      </c>
      <c r="AA97" s="4" t="s">
        <v>448</v>
      </c>
      <c r="AP97" s="4" t="s">
        <v>376</v>
      </c>
      <c r="AR97" s="4" t="s">
        <v>377</v>
      </c>
    </row>
    <row r="98" spans="1:44">
      <c r="A98" s="4" t="s">
        <v>5</v>
      </c>
      <c r="C98" s="4">
        <v>4219</v>
      </c>
      <c r="D98" s="5" t="s">
        <v>93</v>
      </c>
      <c r="E98" s="6" t="s">
        <v>549</v>
      </c>
      <c r="AP98" s="4" t="s">
        <v>376</v>
      </c>
      <c r="AR98" s="4" t="s">
        <v>377</v>
      </c>
    </row>
    <row r="99" spans="1:44">
      <c r="A99" s="4" t="s">
        <v>5</v>
      </c>
      <c r="C99" s="4">
        <v>1732</v>
      </c>
      <c r="D99" s="5" t="s">
        <v>93</v>
      </c>
      <c r="E99" s="6" t="s">
        <v>550</v>
      </c>
      <c r="F99" s="5" t="s">
        <v>551</v>
      </c>
      <c r="AP99" s="4" t="s">
        <v>376</v>
      </c>
      <c r="AR99" s="4" t="s">
        <v>377</v>
      </c>
    </row>
    <row r="100" spans="1:44">
      <c r="A100" s="4" t="s">
        <v>5</v>
      </c>
      <c r="C100" s="4">
        <v>1148</v>
      </c>
      <c r="D100" s="5" t="s">
        <v>93</v>
      </c>
      <c r="E100" s="6" t="s">
        <v>552</v>
      </c>
      <c r="F100" s="5" t="s">
        <v>553</v>
      </c>
      <c r="AP100" s="4" t="s">
        <v>376</v>
      </c>
      <c r="AR100" s="4" t="s">
        <v>377</v>
      </c>
    </row>
    <row r="101" spans="1:44">
      <c r="A101" s="4" t="s">
        <v>5</v>
      </c>
      <c r="C101" s="4">
        <v>1033</v>
      </c>
      <c r="D101" s="5" t="s">
        <v>93</v>
      </c>
      <c r="E101" s="6" t="s">
        <v>554</v>
      </c>
      <c r="AP101" s="4" t="s">
        <v>376</v>
      </c>
      <c r="AR101" s="4" t="s">
        <v>377</v>
      </c>
    </row>
    <row r="102" spans="1:44" ht="30">
      <c r="A102" s="4" t="s">
        <v>5</v>
      </c>
      <c r="C102" s="4">
        <v>6073</v>
      </c>
      <c r="D102" s="5" t="s">
        <v>93</v>
      </c>
      <c r="E102" s="6" t="s">
        <v>555</v>
      </c>
      <c r="F102" s="5" t="s">
        <v>556</v>
      </c>
      <c r="Z102" s="4" t="s">
        <v>447</v>
      </c>
      <c r="AA102" s="4" t="s">
        <v>448</v>
      </c>
      <c r="AP102" s="4" t="s">
        <v>376</v>
      </c>
      <c r="AR102" s="4" t="s">
        <v>377</v>
      </c>
    </row>
    <row r="103" spans="1:44">
      <c r="A103" s="4" t="s">
        <v>5</v>
      </c>
      <c r="C103" s="4">
        <v>4280</v>
      </c>
      <c r="D103" s="5" t="s">
        <v>93</v>
      </c>
      <c r="E103" s="6" t="s">
        <v>557</v>
      </c>
      <c r="AP103" s="4" t="s">
        <v>376</v>
      </c>
      <c r="AR103" s="4" t="s">
        <v>377</v>
      </c>
    </row>
    <row r="104" spans="1:44">
      <c r="A104" s="4" t="s">
        <v>5</v>
      </c>
      <c r="C104" s="4">
        <v>2870</v>
      </c>
      <c r="D104" s="5" t="s">
        <v>93</v>
      </c>
      <c r="E104" s="6" t="s">
        <v>558</v>
      </c>
      <c r="F104" s="5" t="s">
        <v>559</v>
      </c>
      <c r="Z104" s="4" t="s">
        <v>447</v>
      </c>
      <c r="AA104" s="4" t="s">
        <v>448</v>
      </c>
      <c r="AP104" s="4" t="s">
        <v>376</v>
      </c>
      <c r="AR104" s="4" t="s">
        <v>377</v>
      </c>
    </row>
    <row r="105" spans="1:44">
      <c r="A105" s="4" t="s">
        <v>5</v>
      </c>
      <c r="C105" s="4">
        <v>3638</v>
      </c>
      <c r="D105" s="5" t="s">
        <v>93</v>
      </c>
      <c r="E105" s="6" t="s">
        <v>560</v>
      </c>
      <c r="AP105" s="4" t="s">
        <v>376</v>
      </c>
      <c r="AR105" s="4" t="s">
        <v>377</v>
      </c>
    </row>
    <row r="106" spans="1:44" ht="30">
      <c r="A106" s="4" t="s">
        <v>5</v>
      </c>
      <c r="C106" s="4">
        <v>4563</v>
      </c>
      <c r="D106" s="5" t="s">
        <v>93</v>
      </c>
      <c r="E106" s="6" t="s">
        <v>561</v>
      </c>
      <c r="F106" s="5" t="s">
        <v>562</v>
      </c>
      <c r="AP106" s="4" t="s">
        <v>376</v>
      </c>
      <c r="AR106" s="4" t="s">
        <v>377</v>
      </c>
    </row>
    <row r="107" spans="1:44">
      <c r="A107" s="4" t="s">
        <v>5</v>
      </c>
      <c r="C107" s="4">
        <v>2754</v>
      </c>
      <c r="D107" s="5" t="s">
        <v>93</v>
      </c>
      <c r="E107" s="6" t="s">
        <v>563</v>
      </c>
      <c r="F107" s="5" t="s">
        <v>564</v>
      </c>
      <c r="AP107" s="4" t="s">
        <v>376</v>
      </c>
      <c r="AR107" s="4" t="s">
        <v>377</v>
      </c>
    </row>
    <row r="108" spans="1:44">
      <c r="A108" s="4" t="s">
        <v>5</v>
      </c>
      <c r="C108" s="4">
        <v>384</v>
      </c>
      <c r="D108" s="5" t="s">
        <v>93</v>
      </c>
      <c r="E108" s="6" t="s">
        <v>565</v>
      </c>
      <c r="F108" s="5" t="s">
        <v>566</v>
      </c>
      <c r="Z108" s="4" t="s">
        <v>443</v>
      </c>
      <c r="AA108" s="4" t="s">
        <v>444</v>
      </c>
      <c r="AP108" s="4" t="s">
        <v>376</v>
      </c>
      <c r="AR108" s="4" t="s">
        <v>377</v>
      </c>
    </row>
    <row r="109" spans="1:44">
      <c r="A109" s="4" t="s">
        <v>5</v>
      </c>
      <c r="C109" s="4">
        <v>5446</v>
      </c>
      <c r="D109" s="5" t="s">
        <v>93</v>
      </c>
      <c r="E109" s="6" t="s">
        <v>567</v>
      </c>
      <c r="Z109" s="4" t="s">
        <v>447</v>
      </c>
      <c r="AA109" s="4" t="s">
        <v>448</v>
      </c>
      <c r="AP109" s="4" t="s">
        <v>376</v>
      </c>
      <c r="AR109" s="4" t="s">
        <v>377</v>
      </c>
    </row>
    <row r="110" spans="1:44">
      <c r="A110" s="4" t="s">
        <v>5</v>
      </c>
      <c r="C110" s="4">
        <v>2433</v>
      </c>
      <c r="D110" s="5" t="s">
        <v>93</v>
      </c>
      <c r="E110" s="6" t="s">
        <v>568</v>
      </c>
      <c r="AP110" s="4" t="s">
        <v>376</v>
      </c>
      <c r="AR110" s="4" t="s">
        <v>377</v>
      </c>
    </row>
    <row r="111" spans="1:44">
      <c r="A111" s="4" t="s">
        <v>5</v>
      </c>
      <c r="C111" s="4">
        <v>7400</v>
      </c>
      <c r="D111" s="5" t="s">
        <v>93</v>
      </c>
      <c r="E111" s="6" t="s">
        <v>569</v>
      </c>
      <c r="AP111" s="4" t="s">
        <v>376</v>
      </c>
      <c r="AR111" s="4" t="s">
        <v>377</v>
      </c>
    </row>
    <row r="112" spans="1:44">
      <c r="A112" s="4" t="s">
        <v>5</v>
      </c>
      <c r="C112" s="4">
        <v>2326</v>
      </c>
      <c r="D112" s="5" t="s">
        <v>93</v>
      </c>
      <c r="E112" s="6" t="s">
        <v>570</v>
      </c>
      <c r="F112" s="5" t="s">
        <v>571</v>
      </c>
      <c r="Z112" s="4" t="s">
        <v>443</v>
      </c>
      <c r="AA112" s="4" t="s">
        <v>444</v>
      </c>
      <c r="AP112" s="4" t="s">
        <v>376</v>
      </c>
      <c r="AR112" s="4" t="s">
        <v>377</v>
      </c>
    </row>
    <row r="113" spans="1:44">
      <c r="A113" s="4" t="s">
        <v>5</v>
      </c>
      <c r="C113" s="4">
        <v>4953</v>
      </c>
      <c r="D113" s="5" t="s">
        <v>93</v>
      </c>
      <c r="E113" s="6" t="s">
        <v>572</v>
      </c>
      <c r="AP113" s="4" t="s">
        <v>376</v>
      </c>
      <c r="AR113" s="4" t="s">
        <v>377</v>
      </c>
    </row>
    <row r="114" spans="1:44">
      <c r="A114" s="4" t="s">
        <v>5</v>
      </c>
      <c r="C114" s="4">
        <v>4730</v>
      </c>
      <c r="D114" s="5" t="s">
        <v>93</v>
      </c>
      <c r="E114" s="6" t="s">
        <v>573</v>
      </c>
      <c r="AP114" s="4" t="s">
        <v>376</v>
      </c>
      <c r="AR114" s="4" t="s">
        <v>377</v>
      </c>
    </row>
    <row r="115" spans="1:44">
      <c r="A115" s="4" t="s">
        <v>5</v>
      </c>
      <c r="C115" s="4">
        <v>1338</v>
      </c>
      <c r="D115" s="5" t="s">
        <v>93</v>
      </c>
      <c r="E115" s="6" t="s">
        <v>574</v>
      </c>
      <c r="AP115" s="4" t="s">
        <v>376</v>
      </c>
      <c r="AR115" s="4" t="s">
        <v>377</v>
      </c>
    </row>
    <row r="116" spans="1:44">
      <c r="A116" s="4" t="s">
        <v>5</v>
      </c>
      <c r="C116" s="4">
        <v>1987</v>
      </c>
      <c r="D116" s="5" t="s">
        <v>93</v>
      </c>
      <c r="E116" s="6" t="s">
        <v>575</v>
      </c>
      <c r="F116" s="5" t="s">
        <v>576</v>
      </c>
      <c r="AP116" s="4" t="s">
        <v>376</v>
      </c>
      <c r="AR116" s="4" t="s">
        <v>377</v>
      </c>
    </row>
    <row r="117" spans="1:44">
      <c r="A117" s="4" t="s">
        <v>5</v>
      </c>
      <c r="C117" s="4">
        <v>1130</v>
      </c>
      <c r="D117" s="5" t="s">
        <v>93</v>
      </c>
      <c r="E117" s="6" t="s">
        <v>577</v>
      </c>
      <c r="F117" s="5" t="s">
        <v>578</v>
      </c>
      <c r="AP117" s="4" t="s">
        <v>376</v>
      </c>
      <c r="AR117" s="4" t="s">
        <v>377</v>
      </c>
    </row>
    <row r="118" spans="1:44" ht="30">
      <c r="A118" s="4" t="s">
        <v>5</v>
      </c>
      <c r="C118" s="4">
        <v>4189</v>
      </c>
      <c r="D118" s="5" t="s">
        <v>93</v>
      </c>
      <c r="E118" s="6" t="s">
        <v>579</v>
      </c>
      <c r="AP118" s="4" t="s">
        <v>376</v>
      </c>
      <c r="AR118" s="4" t="s">
        <v>377</v>
      </c>
    </row>
    <row r="119" spans="1:44">
      <c r="A119" s="4" t="s">
        <v>5</v>
      </c>
      <c r="C119" s="4">
        <v>3479</v>
      </c>
      <c r="D119" s="5" t="s">
        <v>93</v>
      </c>
      <c r="E119" s="6" t="s">
        <v>580</v>
      </c>
      <c r="Z119" s="4" t="s">
        <v>443</v>
      </c>
      <c r="AA119" s="4" t="s">
        <v>444</v>
      </c>
      <c r="AP119" s="4" t="s">
        <v>376</v>
      </c>
      <c r="AR119" s="4" t="s">
        <v>377</v>
      </c>
    </row>
    <row r="120" spans="1:44" ht="30">
      <c r="A120" s="4" t="s">
        <v>5</v>
      </c>
      <c r="C120" s="4">
        <v>5296</v>
      </c>
      <c r="D120" s="5" t="s">
        <v>93</v>
      </c>
      <c r="E120" s="6" t="s">
        <v>581</v>
      </c>
      <c r="AP120" s="4" t="s">
        <v>376</v>
      </c>
      <c r="AR120" s="4" t="s">
        <v>377</v>
      </c>
    </row>
    <row r="121" spans="1:44">
      <c r="A121" s="4" t="s">
        <v>5</v>
      </c>
      <c r="C121" s="4">
        <v>1238</v>
      </c>
      <c r="D121" s="5" t="s">
        <v>93</v>
      </c>
      <c r="E121" s="6" t="s">
        <v>582</v>
      </c>
      <c r="F121" s="5" t="s">
        <v>583</v>
      </c>
      <c r="AP121" s="4" t="s">
        <v>376</v>
      </c>
      <c r="AR121" s="4" t="s">
        <v>377</v>
      </c>
    </row>
    <row r="122" spans="1:44" ht="30">
      <c r="A122" s="4" t="s">
        <v>5</v>
      </c>
      <c r="C122" s="4">
        <v>810</v>
      </c>
      <c r="D122" s="5" t="s">
        <v>93</v>
      </c>
      <c r="E122" s="6" t="s">
        <v>584</v>
      </c>
      <c r="F122" s="5" t="s">
        <v>585</v>
      </c>
      <c r="AP122" s="4" t="s">
        <v>376</v>
      </c>
      <c r="AR122" s="4" t="s">
        <v>377</v>
      </c>
    </row>
    <row r="123" spans="1:44">
      <c r="A123" s="4" t="s">
        <v>5</v>
      </c>
      <c r="C123" s="4">
        <v>5995</v>
      </c>
      <c r="D123" s="5" t="s">
        <v>93</v>
      </c>
      <c r="E123" s="6" t="s">
        <v>586</v>
      </c>
      <c r="AP123" s="4" t="s">
        <v>376</v>
      </c>
      <c r="AR123" s="4" t="s">
        <v>377</v>
      </c>
    </row>
    <row r="124" spans="1:44">
      <c r="A124" s="4" t="s">
        <v>5</v>
      </c>
      <c r="C124" s="4">
        <v>4196</v>
      </c>
      <c r="D124" s="5" t="s">
        <v>93</v>
      </c>
      <c r="E124" s="6" t="s">
        <v>587</v>
      </c>
      <c r="AP124" s="4" t="s">
        <v>376</v>
      </c>
      <c r="AR124" s="4" t="s">
        <v>377</v>
      </c>
    </row>
    <row r="125" spans="1:44">
      <c r="A125" s="4" t="s">
        <v>5</v>
      </c>
      <c r="C125" s="4">
        <v>3337</v>
      </c>
      <c r="D125" s="5" t="s">
        <v>93</v>
      </c>
      <c r="E125" s="6" t="s">
        <v>588</v>
      </c>
      <c r="F125" s="5" t="s">
        <v>589</v>
      </c>
      <c r="Z125" s="4" t="s">
        <v>443</v>
      </c>
      <c r="AA125" s="4" t="s">
        <v>444</v>
      </c>
      <c r="AP125" s="4" t="s">
        <v>376</v>
      </c>
      <c r="AR125" s="4" t="s">
        <v>377</v>
      </c>
    </row>
    <row r="126" spans="1:44">
      <c r="A126" s="4" t="s">
        <v>5</v>
      </c>
      <c r="C126" s="4">
        <v>3277</v>
      </c>
      <c r="D126" s="5" t="s">
        <v>93</v>
      </c>
      <c r="E126" s="6" t="s">
        <v>590</v>
      </c>
      <c r="F126" s="5" t="s">
        <v>591</v>
      </c>
      <c r="Z126" s="4" t="s">
        <v>443</v>
      </c>
      <c r="AA126" s="4" t="s">
        <v>444</v>
      </c>
      <c r="AP126" s="4" t="s">
        <v>376</v>
      </c>
      <c r="AR126" s="4" t="s">
        <v>377</v>
      </c>
    </row>
    <row r="127" spans="1:44">
      <c r="A127" s="4" t="s">
        <v>5</v>
      </c>
      <c r="C127" s="4">
        <v>4022</v>
      </c>
      <c r="D127" s="5" t="s">
        <v>93</v>
      </c>
      <c r="E127" s="6" t="s">
        <v>592</v>
      </c>
      <c r="AP127" s="4" t="s">
        <v>376</v>
      </c>
      <c r="AR127" s="4" t="s">
        <v>377</v>
      </c>
    </row>
    <row r="128" spans="1:44">
      <c r="A128" s="4" t="s">
        <v>5</v>
      </c>
      <c r="C128" s="4">
        <v>4339</v>
      </c>
      <c r="D128" s="5" t="s">
        <v>93</v>
      </c>
      <c r="E128" s="6" t="s">
        <v>593</v>
      </c>
      <c r="F128" s="5" t="s">
        <v>594</v>
      </c>
      <c r="AP128" s="4" t="s">
        <v>376</v>
      </c>
      <c r="AR128" s="4" t="s">
        <v>377</v>
      </c>
    </row>
    <row r="129" spans="1:44">
      <c r="A129" s="4" t="s">
        <v>5</v>
      </c>
      <c r="C129" s="4">
        <v>541</v>
      </c>
      <c r="D129" s="5" t="s">
        <v>93</v>
      </c>
      <c r="E129" s="6" t="s">
        <v>595</v>
      </c>
      <c r="F129" s="5" t="s">
        <v>596</v>
      </c>
      <c r="AP129" s="4" t="s">
        <v>376</v>
      </c>
      <c r="AR129" s="4" t="s">
        <v>377</v>
      </c>
    </row>
    <row r="130" spans="1:44">
      <c r="A130" s="4" t="s">
        <v>5</v>
      </c>
      <c r="C130" s="4">
        <v>5428</v>
      </c>
      <c r="D130" s="5" t="s">
        <v>93</v>
      </c>
      <c r="E130" s="6" t="s">
        <v>597</v>
      </c>
      <c r="AP130" s="4" t="s">
        <v>376</v>
      </c>
      <c r="AR130" s="4" t="s">
        <v>377</v>
      </c>
    </row>
    <row r="131" spans="1:44">
      <c r="A131" s="4" t="s">
        <v>5</v>
      </c>
      <c r="C131" s="4">
        <v>1190</v>
      </c>
      <c r="D131" s="5" t="s">
        <v>93</v>
      </c>
      <c r="E131" s="6" t="s">
        <v>598</v>
      </c>
      <c r="AP131" s="4" t="s">
        <v>376</v>
      </c>
      <c r="AR131" s="4" t="s">
        <v>377</v>
      </c>
    </row>
    <row r="132" spans="1:44">
      <c r="A132" s="4" t="s">
        <v>5</v>
      </c>
      <c r="C132" s="4">
        <v>6362</v>
      </c>
      <c r="D132" s="5" t="s">
        <v>93</v>
      </c>
      <c r="E132" s="6" t="s">
        <v>599</v>
      </c>
      <c r="AP132" s="4" t="s">
        <v>376</v>
      </c>
      <c r="AR132" s="4" t="s">
        <v>377</v>
      </c>
    </row>
    <row r="133" spans="1:44">
      <c r="A133" s="4" t="s">
        <v>5</v>
      </c>
      <c r="C133" s="4">
        <v>2093</v>
      </c>
      <c r="D133" s="5" t="s">
        <v>93</v>
      </c>
      <c r="E133" s="6" t="s">
        <v>600</v>
      </c>
      <c r="AP133" s="4" t="s">
        <v>376</v>
      </c>
      <c r="AR133" s="4" t="s">
        <v>377</v>
      </c>
    </row>
    <row r="134" spans="1:44">
      <c r="A134" s="4" t="s">
        <v>5</v>
      </c>
      <c r="C134" s="4">
        <v>6382</v>
      </c>
      <c r="D134" s="5" t="s">
        <v>93</v>
      </c>
      <c r="E134" s="6" t="s">
        <v>601</v>
      </c>
      <c r="AP134" s="4" t="s">
        <v>376</v>
      </c>
      <c r="AR134" s="4" t="s">
        <v>377</v>
      </c>
    </row>
    <row r="135" spans="1:44">
      <c r="A135" s="4" t="s">
        <v>5</v>
      </c>
      <c r="C135" s="4">
        <v>4389</v>
      </c>
      <c r="D135" s="5" t="s">
        <v>93</v>
      </c>
      <c r="E135" s="6" t="s">
        <v>602</v>
      </c>
      <c r="F135" s="5" t="s">
        <v>603</v>
      </c>
      <c r="AP135" s="4" t="s">
        <v>376</v>
      </c>
      <c r="AR135" s="4" t="s">
        <v>377</v>
      </c>
    </row>
    <row r="136" spans="1:44">
      <c r="A136" s="4" t="s">
        <v>5</v>
      </c>
      <c r="C136" s="4">
        <v>378</v>
      </c>
      <c r="D136" s="5" t="s">
        <v>93</v>
      </c>
      <c r="E136" s="6" t="s">
        <v>604</v>
      </c>
      <c r="F136" s="5" t="s">
        <v>605</v>
      </c>
      <c r="AP136" s="4" t="s">
        <v>376</v>
      </c>
      <c r="AR136" s="4" t="s">
        <v>377</v>
      </c>
    </row>
    <row r="137" spans="1:44">
      <c r="A137" s="4" t="s">
        <v>5</v>
      </c>
      <c r="C137" s="4">
        <v>5205</v>
      </c>
      <c r="D137" s="5" t="s">
        <v>93</v>
      </c>
      <c r="E137" s="6" t="s">
        <v>606</v>
      </c>
      <c r="F137" s="5" t="s">
        <v>607</v>
      </c>
      <c r="AP137" s="4" t="s">
        <v>376</v>
      </c>
      <c r="AR137" s="4" t="s">
        <v>377</v>
      </c>
    </row>
    <row r="138" spans="1:44" ht="30">
      <c r="A138" s="4" t="s">
        <v>5</v>
      </c>
      <c r="C138" s="4">
        <v>5908</v>
      </c>
      <c r="D138" s="5" t="s">
        <v>93</v>
      </c>
      <c r="E138" s="6" t="s">
        <v>608</v>
      </c>
      <c r="AP138" s="4" t="s">
        <v>376</v>
      </c>
      <c r="AR138" s="4" t="s">
        <v>377</v>
      </c>
    </row>
    <row r="139" spans="1:44">
      <c r="A139" s="4" t="s">
        <v>5</v>
      </c>
      <c r="C139" s="4">
        <v>3689</v>
      </c>
      <c r="D139" s="5" t="s">
        <v>93</v>
      </c>
      <c r="E139" s="6" t="s">
        <v>609</v>
      </c>
      <c r="F139" s="5" t="s">
        <v>610</v>
      </c>
      <c r="Z139" s="4" t="s">
        <v>447</v>
      </c>
      <c r="AA139" s="4" t="s">
        <v>448</v>
      </c>
      <c r="AP139" s="4" t="s">
        <v>376</v>
      </c>
      <c r="AR139" s="4" t="s">
        <v>377</v>
      </c>
    </row>
    <row r="140" spans="1:44">
      <c r="A140" s="4" t="s">
        <v>5</v>
      </c>
      <c r="C140" s="4">
        <v>6903</v>
      </c>
      <c r="D140" s="5" t="s">
        <v>93</v>
      </c>
      <c r="E140" s="6" t="s">
        <v>611</v>
      </c>
      <c r="AP140" s="4" t="s">
        <v>376</v>
      </c>
      <c r="AR140" s="4" t="s">
        <v>377</v>
      </c>
    </row>
    <row r="141" spans="1:44">
      <c r="A141" s="4" t="s">
        <v>5</v>
      </c>
      <c r="C141" s="4">
        <v>2297</v>
      </c>
      <c r="D141" s="5" t="s">
        <v>93</v>
      </c>
      <c r="E141" s="6" t="s">
        <v>612</v>
      </c>
      <c r="AP141" s="4" t="s">
        <v>376</v>
      </c>
      <c r="AR141" s="4" t="s">
        <v>377</v>
      </c>
    </row>
    <row r="142" spans="1:44">
      <c r="A142" s="4" t="s">
        <v>5</v>
      </c>
      <c r="C142" s="4">
        <v>246</v>
      </c>
      <c r="D142" s="5" t="s">
        <v>93</v>
      </c>
      <c r="E142" s="6" t="s">
        <v>613</v>
      </c>
      <c r="F142" s="5" t="s">
        <v>614</v>
      </c>
      <c r="AP142" s="4" t="s">
        <v>376</v>
      </c>
      <c r="AR142" s="4" t="s">
        <v>377</v>
      </c>
    </row>
    <row r="143" spans="1:44">
      <c r="A143" s="4" t="s">
        <v>5</v>
      </c>
      <c r="C143" s="4">
        <v>4330</v>
      </c>
      <c r="D143" s="5" t="s">
        <v>93</v>
      </c>
      <c r="E143" s="6" t="s">
        <v>615</v>
      </c>
      <c r="AP143" s="4" t="s">
        <v>376</v>
      </c>
      <c r="AR143" s="4" t="s">
        <v>377</v>
      </c>
    </row>
    <row r="144" spans="1:44">
      <c r="A144" s="4" t="s">
        <v>5</v>
      </c>
      <c r="C144" s="4">
        <v>2450</v>
      </c>
      <c r="D144" s="5" t="s">
        <v>93</v>
      </c>
      <c r="E144" s="6" t="s">
        <v>616</v>
      </c>
      <c r="F144" s="5" t="s">
        <v>617</v>
      </c>
      <c r="AP144" s="4" t="s">
        <v>376</v>
      </c>
      <c r="AR144" s="4" t="s">
        <v>377</v>
      </c>
    </row>
    <row r="145" spans="1:44">
      <c r="A145" s="4" t="s">
        <v>5</v>
      </c>
      <c r="C145" s="4">
        <v>5777</v>
      </c>
      <c r="D145" s="5" t="s">
        <v>93</v>
      </c>
      <c r="E145" s="6" t="s">
        <v>618</v>
      </c>
      <c r="AP145" s="4" t="s">
        <v>376</v>
      </c>
      <c r="AR145" s="4" t="s">
        <v>377</v>
      </c>
    </row>
    <row r="146" spans="1:44">
      <c r="A146" s="4" t="s">
        <v>5</v>
      </c>
      <c r="C146" s="4">
        <v>2485</v>
      </c>
      <c r="D146" s="5" t="s">
        <v>93</v>
      </c>
      <c r="E146" s="6" t="s">
        <v>619</v>
      </c>
      <c r="AP146" s="4" t="s">
        <v>376</v>
      </c>
      <c r="AR146" s="4" t="s">
        <v>377</v>
      </c>
    </row>
    <row r="147" spans="1:44">
      <c r="A147" s="4" t="s">
        <v>5</v>
      </c>
      <c r="C147" s="4">
        <v>3439</v>
      </c>
      <c r="D147" s="5" t="s">
        <v>93</v>
      </c>
      <c r="E147" s="6" t="s">
        <v>620</v>
      </c>
      <c r="AP147" s="4" t="s">
        <v>376</v>
      </c>
      <c r="AR147" s="4" t="s">
        <v>377</v>
      </c>
    </row>
    <row r="148" spans="1:44">
      <c r="A148" s="4" t="s">
        <v>5</v>
      </c>
      <c r="C148" s="4">
        <v>2745</v>
      </c>
      <c r="D148" s="5" t="s">
        <v>93</v>
      </c>
      <c r="E148" s="6" t="s">
        <v>621</v>
      </c>
      <c r="AP148" s="4" t="s">
        <v>376</v>
      </c>
      <c r="AR148" s="4" t="s">
        <v>377</v>
      </c>
    </row>
    <row r="149" spans="1:44">
      <c r="A149" s="4" t="s">
        <v>5</v>
      </c>
      <c r="C149" s="4">
        <v>6942</v>
      </c>
      <c r="D149" s="5" t="s">
        <v>93</v>
      </c>
      <c r="E149" s="6" t="s">
        <v>622</v>
      </c>
      <c r="AP149" s="4" t="s">
        <v>376</v>
      </c>
      <c r="AR149" s="4" t="s">
        <v>377</v>
      </c>
    </row>
    <row r="150" spans="1:44">
      <c r="A150" s="4" t="s">
        <v>5</v>
      </c>
      <c r="C150" s="4">
        <v>2365</v>
      </c>
      <c r="D150" s="5" t="s">
        <v>93</v>
      </c>
      <c r="E150" s="6" t="s">
        <v>623</v>
      </c>
      <c r="Z150" s="4" t="s">
        <v>443</v>
      </c>
      <c r="AA150" s="4" t="s">
        <v>444</v>
      </c>
      <c r="AP150" s="4" t="s">
        <v>376</v>
      </c>
      <c r="AR150" s="4" t="s">
        <v>377</v>
      </c>
    </row>
    <row r="151" spans="1:44">
      <c r="A151" s="4" t="s">
        <v>5</v>
      </c>
      <c r="C151" s="4">
        <v>1345</v>
      </c>
      <c r="D151" s="5" t="s">
        <v>93</v>
      </c>
      <c r="E151" s="6" t="s">
        <v>624</v>
      </c>
      <c r="AP151" s="4" t="s">
        <v>376</v>
      </c>
      <c r="AR151" s="4" t="s">
        <v>377</v>
      </c>
    </row>
    <row r="152" spans="1:44">
      <c r="A152" s="4" t="s">
        <v>5</v>
      </c>
      <c r="C152" s="4">
        <v>4126</v>
      </c>
      <c r="D152" s="5" t="s">
        <v>93</v>
      </c>
      <c r="E152" s="6" t="s">
        <v>625</v>
      </c>
      <c r="AP152" s="4" t="s">
        <v>376</v>
      </c>
      <c r="AR152" s="4" t="s">
        <v>377</v>
      </c>
    </row>
    <row r="153" spans="1:44">
      <c r="A153" s="4" t="s">
        <v>5</v>
      </c>
      <c r="C153" s="4">
        <v>2772</v>
      </c>
      <c r="D153" s="5" t="s">
        <v>93</v>
      </c>
      <c r="E153" s="6" t="s">
        <v>626</v>
      </c>
      <c r="F153" s="5" t="s">
        <v>627</v>
      </c>
      <c r="AP153" s="4" t="s">
        <v>376</v>
      </c>
      <c r="AR153" s="4" t="s">
        <v>377</v>
      </c>
    </row>
    <row r="154" spans="1:44" ht="30">
      <c r="A154" s="4" t="s">
        <v>5</v>
      </c>
      <c r="C154" s="4">
        <v>884</v>
      </c>
      <c r="D154" s="5" t="s">
        <v>93</v>
      </c>
      <c r="E154" s="6" t="s">
        <v>628</v>
      </c>
      <c r="F154" s="5" t="s">
        <v>629</v>
      </c>
      <c r="AP154" s="4" t="s">
        <v>376</v>
      </c>
      <c r="AR154" s="4" t="s">
        <v>377</v>
      </c>
    </row>
    <row r="155" spans="1:44">
      <c r="A155" s="4" t="s">
        <v>5</v>
      </c>
      <c r="C155" s="4">
        <v>1352</v>
      </c>
      <c r="D155" s="5" t="s">
        <v>93</v>
      </c>
      <c r="E155" s="6" t="s">
        <v>630</v>
      </c>
      <c r="AP155" s="4" t="s">
        <v>376</v>
      </c>
      <c r="AR155" s="4" t="s">
        <v>377</v>
      </c>
    </row>
    <row r="156" spans="1:44" ht="30">
      <c r="A156" s="4" t="s">
        <v>5</v>
      </c>
      <c r="C156" s="4">
        <v>498</v>
      </c>
      <c r="D156" s="5" t="s">
        <v>93</v>
      </c>
      <c r="E156" s="6" t="s">
        <v>631</v>
      </c>
      <c r="F156" s="5" t="s">
        <v>632</v>
      </c>
      <c r="AP156" s="4" t="s">
        <v>376</v>
      </c>
      <c r="AR156" s="4" t="s">
        <v>377</v>
      </c>
    </row>
    <row r="157" spans="1:44">
      <c r="A157" s="4" t="s">
        <v>5</v>
      </c>
      <c r="C157" s="4">
        <v>6669</v>
      </c>
      <c r="D157" s="5" t="s">
        <v>93</v>
      </c>
      <c r="E157" s="6" t="s">
        <v>633</v>
      </c>
      <c r="AP157" s="4" t="s">
        <v>376</v>
      </c>
      <c r="AR157" s="4" t="s">
        <v>377</v>
      </c>
    </row>
    <row r="158" spans="1:44">
      <c r="A158" s="4" t="s">
        <v>5</v>
      </c>
      <c r="C158" s="4">
        <v>2293</v>
      </c>
      <c r="D158" s="5" t="s">
        <v>93</v>
      </c>
      <c r="E158" s="6" t="s">
        <v>634</v>
      </c>
      <c r="AP158" s="4" t="s">
        <v>376</v>
      </c>
      <c r="AR158" s="4" t="s">
        <v>377</v>
      </c>
    </row>
    <row r="159" spans="1:44">
      <c r="A159" s="4" t="s">
        <v>5</v>
      </c>
      <c r="C159" s="4">
        <v>4520</v>
      </c>
      <c r="D159" s="5" t="s">
        <v>93</v>
      </c>
      <c r="E159" s="6" t="s">
        <v>635</v>
      </c>
      <c r="F159" s="5" t="s">
        <v>636</v>
      </c>
      <c r="Z159" s="4" t="s">
        <v>447</v>
      </c>
      <c r="AA159" s="4" t="s">
        <v>448</v>
      </c>
      <c r="AP159" s="4" t="s">
        <v>376</v>
      </c>
      <c r="AR159" s="4" t="s">
        <v>377</v>
      </c>
    </row>
    <row r="160" spans="1:44">
      <c r="A160" s="4" t="s">
        <v>5</v>
      </c>
      <c r="C160" s="4">
        <v>2657</v>
      </c>
      <c r="D160" s="5" t="s">
        <v>93</v>
      </c>
      <c r="E160" s="6" t="s">
        <v>637</v>
      </c>
      <c r="F160" s="5" t="s">
        <v>638</v>
      </c>
      <c r="Z160" s="4" t="s">
        <v>447</v>
      </c>
      <c r="AA160" s="4" t="s">
        <v>448</v>
      </c>
      <c r="AP160" s="4" t="s">
        <v>376</v>
      </c>
      <c r="AR160" s="4" t="s">
        <v>377</v>
      </c>
    </row>
    <row r="161" spans="1:44">
      <c r="A161" s="4" t="s">
        <v>5</v>
      </c>
      <c r="C161" s="4">
        <v>1127</v>
      </c>
      <c r="D161" s="5" t="s">
        <v>93</v>
      </c>
      <c r="E161" s="6" t="s">
        <v>639</v>
      </c>
      <c r="F161" s="5" t="s">
        <v>640</v>
      </c>
      <c r="AP161" s="4" t="s">
        <v>376</v>
      </c>
      <c r="AR161" s="4" t="s">
        <v>377</v>
      </c>
    </row>
    <row r="162" spans="1:44">
      <c r="A162" s="4" t="s">
        <v>5</v>
      </c>
      <c r="C162" s="4">
        <v>2197</v>
      </c>
      <c r="D162" s="5" t="s">
        <v>93</v>
      </c>
      <c r="E162" s="6" t="s">
        <v>641</v>
      </c>
      <c r="F162" s="5" t="s">
        <v>642</v>
      </c>
      <c r="AP162" s="4" t="s">
        <v>376</v>
      </c>
      <c r="AR162" s="4" t="s">
        <v>377</v>
      </c>
    </row>
    <row r="163" spans="1:44">
      <c r="A163" s="4" t="s">
        <v>5</v>
      </c>
      <c r="C163" s="4">
        <v>1013</v>
      </c>
      <c r="D163" s="5" t="s">
        <v>93</v>
      </c>
      <c r="E163" s="6" t="s">
        <v>643</v>
      </c>
      <c r="F163" s="5" t="s">
        <v>644</v>
      </c>
      <c r="AP163" s="4" t="s">
        <v>376</v>
      </c>
      <c r="AR163" s="4" t="s">
        <v>377</v>
      </c>
    </row>
    <row r="164" spans="1:44" ht="30">
      <c r="A164" s="4" t="s">
        <v>5</v>
      </c>
      <c r="C164" s="4">
        <v>955</v>
      </c>
      <c r="D164" s="5" t="s">
        <v>93</v>
      </c>
      <c r="E164" s="6" t="s">
        <v>645</v>
      </c>
      <c r="F164" s="5" t="s">
        <v>646</v>
      </c>
      <c r="AP164" s="4" t="s">
        <v>376</v>
      </c>
      <c r="AR164" s="4" t="s">
        <v>377</v>
      </c>
    </row>
    <row r="165" spans="1:44">
      <c r="A165" s="4" t="s">
        <v>5</v>
      </c>
      <c r="C165" s="4">
        <v>5835</v>
      </c>
      <c r="D165" s="5" t="s">
        <v>93</v>
      </c>
      <c r="E165" s="6" t="s">
        <v>647</v>
      </c>
      <c r="AP165" s="4" t="s">
        <v>376</v>
      </c>
      <c r="AR165" s="4" t="s">
        <v>377</v>
      </c>
    </row>
    <row r="166" spans="1:44">
      <c r="A166" s="4" t="s">
        <v>5</v>
      </c>
      <c r="C166" s="4">
        <v>5100</v>
      </c>
      <c r="D166" s="5" t="s">
        <v>93</v>
      </c>
      <c r="E166" s="6" t="s">
        <v>648</v>
      </c>
      <c r="AP166" s="4" t="s">
        <v>376</v>
      </c>
      <c r="AR166" s="4" t="s">
        <v>377</v>
      </c>
    </row>
    <row r="167" spans="1:44" ht="30">
      <c r="A167" s="4" t="s">
        <v>5</v>
      </c>
      <c r="C167" s="4">
        <v>3936</v>
      </c>
      <c r="D167" s="5" t="s">
        <v>93</v>
      </c>
      <c r="E167" s="6" t="s">
        <v>649</v>
      </c>
      <c r="AP167" s="4" t="s">
        <v>376</v>
      </c>
      <c r="AR167" s="4" t="s">
        <v>377</v>
      </c>
    </row>
    <row r="168" spans="1:44">
      <c r="A168" s="4" t="s">
        <v>5</v>
      </c>
      <c r="C168" s="4">
        <v>1651</v>
      </c>
      <c r="D168" s="5" t="s">
        <v>93</v>
      </c>
      <c r="E168" s="6" t="s">
        <v>650</v>
      </c>
      <c r="AP168" s="4" t="s">
        <v>376</v>
      </c>
      <c r="AR168" s="4" t="s">
        <v>377</v>
      </c>
    </row>
    <row r="169" spans="1:44">
      <c r="A169" s="4" t="s">
        <v>5</v>
      </c>
      <c r="C169" s="4">
        <v>4000</v>
      </c>
      <c r="D169" s="5" t="s">
        <v>93</v>
      </c>
      <c r="E169" s="6" t="s">
        <v>651</v>
      </c>
      <c r="F169" s="5" t="s">
        <v>652</v>
      </c>
      <c r="AP169" s="4" t="s">
        <v>376</v>
      </c>
      <c r="AR169" s="4" t="s">
        <v>377</v>
      </c>
    </row>
    <row r="170" spans="1:44">
      <c r="A170" s="4" t="s">
        <v>5</v>
      </c>
      <c r="C170" s="4">
        <v>1412</v>
      </c>
      <c r="D170" s="5" t="s">
        <v>93</v>
      </c>
      <c r="E170" s="6" t="s">
        <v>653</v>
      </c>
      <c r="F170" s="5" t="s">
        <v>654</v>
      </c>
      <c r="Z170" s="4" t="s">
        <v>447</v>
      </c>
      <c r="AA170" s="4" t="s">
        <v>448</v>
      </c>
      <c r="AP170" s="4" t="s">
        <v>376</v>
      </c>
      <c r="AR170" s="4" t="s">
        <v>377</v>
      </c>
    </row>
    <row r="171" spans="1:44">
      <c r="A171" s="4" t="s">
        <v>5</v>
      </c>
      <c r="C171" s="4">
        <v>5948</v>
      </c>
      <c r="D171" s="5" t="s">
        <v>93</v>
      </c>
      <c r="E171" s="6" t="s">
        <v>655</v>
      </c>
      <c r="AP171" s="4" t="s">
        <v>376</v>
      </c>
      <c r="AR171" s="4" t="s">
        <v>377</v>
      </c>
    </row>
    <row r="172" spans="1:44">
      <c r="A172" s="4" t="s">
        <v>5</v>
      </c>
      <c r="C172" s="4">
        <v>5061</v>
      </c>
      <c r="D172" s="5" t="s">
        <v>93</v>
      </c>
      <c r="E172" s="6" t="s">
        <v>656</v>
      </c>
      <c r="AP172" s="4" t="s">
        <v>376</v>
      </c>
      <c r="AR172" s="4" t="s">
        <v>377</v>
      </c>
    </row>
    <row r="173" spans="1:44">
      <c r="A173" s="4" t="s">
        <v>5</v>
      </c>
      <c r="C173" s="4">
        <v>1311</v>
      </c>
      <c r="D173" s="5" t="s">
        <v>93</v>
      </c>
      <c r="E173" s="6" t="s">
        <v>657</v>
      </c>
      <c r="AP173" s="4" t="s">
        <v>376</v>
      </c>
      <c r="AR173" s="4" t="s">
        <v>377</v>
      </c>
    </row>
    <row r="174" spans="1:44" ht="30">
      <c r="A174" s="4" t="s">
        <v>5</v>
      </c>
      <c r="C174" s="4">
        <v>4566</v>
      </c>
      <c r="D174" s="5" t="s">
        <v>93</v>
      </c>
      <c r="E174" s="6" t="s">
        <v>658</v>
      </c>
      <c r="AP174" s="4" t="s">
        <v>376</v>
      </c>
      <c r="AR174" s="4" t="s">
        <v>377</v>
      </c>
    </row>
    <row r="175" spans="1:44">
      <c r="A175" s="4" t="s">
        <v>5</v>
      </c>
      <c r="C175" s="4">
        <v>6110</v>
      </c>
      <c r="D175" s="5" t="s">
        <v>93</v>
      </c>
      <c r="E175" s="6" t="s">
        <v>659</v>
      </c>
      <c r="Z175" s="4" t="s">
        <v>447</v>
      </c>
      <c r="AA175" s="4" t="s">
        <v>448</v>
      </c>
      <c r="AP175" s="4" t="s">
        <v>376</v>
      </c>
      <c r="AR175" s="4" t="s">
        <v>377</v>
      </c>
    </row>
    <row r="176" spans="1:44">
      <c r="A176" s="4" t="s">
        <v>5</v>
      </c>
      <c r="C176" s="4">
        <v>502</v>
      </c>
      <c r="D176" s="5" t="s">
        <v>93</v>
      </c>
      <c r="E176" s="6" t="s">
        <v>660</v>
      </c>
      <c r="F176" s="5" t="s">
        <v>661</v>
      </c>
      <c r="AP176" s="4" t="s">
        <v>376</v>
      </c>
      <c r="AR176" s="4" t="s">
        <v>377</v>
      </c>
    </row>
    <row r="177" spans="1:44">
      <c r="A177" s="4" t="s">
        <v>5</v>
      </c>
      <c r="C177" s="4">
        <v>449</v>
      </c>
      <c r="D177" s="5" t="s">
        <v>93</v>
      </c>
      <c r="E177" s="6" t="s">
        <v>662</v>
      </c>
      <c r="F177" s="5" t="s">
        <v>663</v>
      </c>
      <c r="AP177" s="4" t="s">
        <v>376</v>
      </c>
      <c r="AR177" s="4" t="s">
        <v>377</v>
      </c>
    </row>
    <row r="178" spans="1:44">
      <c r="A178" s="4" t="s">
        <v>5</v>
      </c>
      <c r="C178" s="4">
        <v>174</v>
      </c>
      <c r="D178" s="5" t="s">
        <v>93</v>
      </c>
      <c r="E178" s="6" t="s">
        <v>664</v>
      </c>
      <c r="F178" s="5" t="s">
        <v>665</v>
      </c>
      <c r="Z178" s="4" t="s">
        <v>443</v>
      </c>
      <c r="AA178" s="4" t="s">
        <v>444</v>
      </c>
      <c r="AP178" s="4" t="s">
        <v>376</v>
      </c>
      <c r="AR178" s="4" t="s">
        <v>377</v>
      </c>
    </row>
    <row r="179" spans="1:44">
      <c r="A179" s="4" t="s">
        <v>5</v>
      </c>
      <c r="C179" s="4">
        <v>6560</v>
      </c>
      <c r="D179" s="5" t="s">
        <v>93</v>
      </c>
      <c r="E179" s="6" t="s">
        <v>666</v>
      </c>
      <c r="AP179" s="4" t="s">
        <v>376</v>
      </c>
      <c r="AR179" s="4" t="s">
        <v>377</v>
      </c>
    </row>
    <row r="180" spans="1:44" ht="30">
      <c r="A180" s="4" t="s">
        <v>5</v>
      </c>
      <c r="C180" s="4">
        <v>3415</v>
      </c>
      <c r="D180" s="5" t="s">
        <v>93</v>
      </c>
      <c r="E180" s="6" t="s">
        <v>667</v>
      </c>
      <c r="F180" s="5" t="s">
        <v>668</v>
      </c>
      <c r="AP180" s="4" t="s">
        <v>376</v>
      </c>
      <c r="AR180" s="4" t="s">
        <v>377</v>
      </c>
    </row>
    <row r="181" spans="1:44">
      <c r="A181" s="4" t="s">
        <v>5</v>
      </c>
      <c r="C181" s="4">
        <v>4113</v>
      </c>
      <c r="D181" s="5" t="s">
        <v>93</v>
      </c>
      <c r="E181" s="6" t="s">
        <v>669</v>
      </c>
      <c r="AP181" s="4" t="s">
        <v>376</v>
      </c>
      <c r="AR181" s="4" t="s">
        <v>377</v>
      </c>
    </row>
    <row r="182" spans="1:44">
      <c r="A182" s="4" t="s">
        <v>5</v>
      </c>
      <c r="C182" s="4">
        <v>1552</v>
      </c>
      <c r="D182" s="5" t="s">
        <v>93</v>
      </c>
      <c r="E182" s="6" t="s">
        <v>670</v>
      </c>
      <c r="F182" s="5" t="s">
        <v>671</v>
      </c>
      <c r="Z182" s="4" t="s">
        <v>443</v>
      </c>
      <c r="AA182" s="4" t="s">
        <v>444</v>
      </c>
      <c r="AP182" s="4" t="s">
        <v>376</v>
      </c>
      <c r="AR182" s="4" t="s">
        <v>377</v>
      </c>
    </row>
    <row r="183" spans="1:44">
      <c r="A183" s="4" t="s">
        <v>5</v>
      </c>
      <c r="C183" s="4">
        <v>2324</v>
      </c>
      <c r="D183" s="5" t="s">
        <v>93</v>
      </c>
      <c r="E183" s="6" t="s">
        <v>672</v>
      </c>
      <c r="F183" s="5" t="s">
        <v>673</v>
      </c>
      <c r="AP183" s="4" t="s">
        <v>376</v>
      </c>
      <c r="AR183" s="4" t="s">
        <v>377</v>
      </c>
    </row>
    <row r="184" spans="1:44">
      <c r="A184" s="4" t="s">
        <v>5</v>
      </c>
      <c r="C184" s="4">
        <v>6985</v>
      </c>
      <c r="D184" s="5" t="s">
        <v>93</v>
      </c>
      <c r="E184" s="6" t="s">
        <v>674</v>
      </c>
      <c r="AP184" s="4" t="s">
        <v>376</v>
      </c>
      <c r="AR184" s="4" t="s">
        <v>377</v>
      </c>
    </row>
    <row r="185" spans="1:44">
      <c r="A185" s="4" t="s">
        <v>5</v>
      </c>
      <c r="C185" s="4">
        <v>1944</v>
      </c>
      <c r="D185" s="5" t="s">
        <v>93</v>
      </c>
      <c r="E185" s="6" t="s">
        <v>675</v>
      </c>
      <c r="F185" s="5" t="s">
        <v>676</v>
      </c>
      <c r="AP185" s="4" t="s">
        <v>376</v>
      </c>
      <c r="AR185" s="4" t="s">
        <v>377</v>
      </c>
    </row>
    <row r="186" spans="1:44">
      <c r="A186" s="4" t="s">
        <v>5</v>
      </c>
      <c r="C186" s="4">
        <v>2993</v>
      </c>
      <c r="D186" s="5" t="s">
        <v>93</v>
      </c>
      <c r="E186" s="6" t="s">
        <v>677</v>
      </c>
      <c r="F186" s="5" t="s">
        <v>678</v>
      </c>
      <c r="Z186" s="4" t="s">
        <v>443</v>
      </c>
      <c r="AA186" s="4" t="s">
        <v>444</v>
      </c>
      <c r="AP186" s="4" t="s">
        <v>376</v>
      </c>
      <c r="AR186" s="4" t="s">
        <v>377</v>
      </c>
    </row>
    <row r="187" spans="1:44">
      <c r="A187" s="4" t="s">
        <v>5</v>
      </c>
      <c r="C187" s="4">
        <v>4301</v>
      </c>
      <c r="D187" s="5" t="s">
        <v>93</v>
      </c>
      <c r="E187" s="6" t="s">
        <v>679</v>
      </c>
      <c r="AP187" s="4" t="s">
        <v>376</v>
      </c>
      <c r="AR187" s="4" t="s">
        <v>377</v>
      </c>
    </row>
    <row r="188" spans="1:44">
      <c r="A188" s="4" t="s">
        <v>5</v>
      </c>
      <c r="C188" s="4">
        <v>1093</v>
      </c>
      <c r="D188" s="5" t="s">
        <v>93</v>
      </c>
      <c r="E188" s="6" t="s">
        <v>680</v>
      </c>
      <c r="AP188" s="4" t="s">
        <v>376</v>
      </c>
      <c r="AR188" s="4" t="s">
        <v>377</v>
      </c>
    </row>
    <row r="189" spans="1:44">
      <c r="A189" s="4" t="s">
        <v>5</v>
      </c>
      <c r="C189" s="4">
        <v>3135</v>
      </c>
      <c r="D189" s="5" t="s">
        <v>93</v>
      </c>
      <c r="E189" s="6" t="s">
        <v>681</v>
      </c>
      <c r="Z189" s="4" t="s">
        <v>443</v>
      </c>
      <c r="AA189" s="4" t="s">
        <v>444</v>
      </c>
      <c r="AP189" s="4" t="s">
        <v>376</v>
      </c>
      <c r="AR189" s="4" t="s">
        <v>377</v>
      </c>
    </row>
    <row r="190" spans="1:44">
      <c r="A190" s="4" t="s">
        <v>5</v>
      </c>
      <c r="C190" s="4">
        <v>5538</v>
      </c>
      <c r="D190" s="5" t="s">
        <v>93</v>
      </c>
      <c r="E190" s="6" t="s">
        <v>682</v>
      </c>
      <c r="AP190" s="4" t="s">
        <v>376</v>
      </c>
      <c r="AR190" s="4" t="s">
        <v>377</v>
      </c>
    </row>
    <row r="191" spans="1:44" ht="30">
      <c r="A191" s="4" t="s">
        <v>5</v>
      </c>
      <c r="C191" s="4">
        <v>2606</v>
      </c>
      <c r="D191" s="5" t="s">
        <v>93</v>
      </c>
      <c r="E191" s="6" t="s">
        <v>683</v>
      </c>
      <c r="F191" s="5" t="s">
        <v>684</v>
      </c>
      <c r="AP191" s="4" t="s">
        <v>376</v>
      </c>
      <c r="AR191" s="4" t="s">
        <v>377</v>
      </c>
    </row>
    <row r="192" spans="1:44">
      <c r="A192" s="4" t="s">
        <v>5</v>
      </c>
      <c r="C192" s="4">
        <v>6390</v>
      </c>
      <c r="D192" s="5" t="s">
        <v>93</v>
      </c>
      <c r="E192" s="6" t="s">
        <v>685</v>
      </c>
      <c r="AP192" s="4" t="s">
        <v>376</v>
      </c>
      <c r="AR192" s="4" t="s">
        <v>377</v>
      </c>
    </row>
    <row r="193" spans="1:44">
      <c r="A193" s="4" t="s">
        <v>5</v>
      </c>
      <c r="C193" s="4">
        <v>4509</v>
      </c>
      <c r="D193" s="5" t="s">
        <v>93</v>
      </c>
      <c r="E193" s="6" t="s">
        <v>686</v>
      </c>
      <c r="AP193" s="4" t="s">
        <v>376</v>
      </c>
      <c r="AR193" s="4" t="s">
        <v>377</v>
      </c>
    </row>
    <row r="194" spans="1:44">
      <c r="A194" s="4" t="s">
        <v>5</v>
      </c>
      <c r="C194" s="4">
        <v>3343</v>
      </c>
      <c r="D194" s="5" t="s">
        <v>93</v>
      </c>
      <c r="E194" s="6" t="s">
        <v>687</v>
      </c>
      <c r="F194" s="5" t="s">
        <v>688</v>
      </c>
      <c r="Z194" s="4" t="s">
        <v>443</v>
      </c>
      <c r="AA194" s="4" t="s">
        <v>444</v>
      </c>
      <c r="AP194" s="4" t="s">
        <v>376</v>
      </c>
      <c r="AR194" s="4" t="s">
        <v>377</v>
      </c>
    </row>
    <row r="195" spans="1:44">
      <c r="A195" s="4" t="s">
        <v>5</v>
      </c>
      <c r="C195" s="4">
        <v>6197</v>
      </c>
      <c r="D195" s="5" t="s">
        <v>93</v>
      </c>
      <c r="E195" s="6" t="s">
        <v>689</v>
      </c>
      <c r="F195" s="5" t="s">
        <v>690</v>
      </c>
      <c r="AP195" s="4" t="s">
        <v>376</v>
      </c>
      <c r="AR195" s="4" t="s">
        <v>377</v>
      </c>
    </row>
    <row r="196" spans="1:44">
      <c r="A196" s="4" t="s">
        <v>5</v>
      </c>
      <c r="C196" s="4">
        <v>5808</v>
      </c>
      <c r="D196" s="5" t="s">
        <v>93</v>
      </c>
      <c r="E196" s="6" t="s">
        <v>691</v>
      </c>
      <c r="F196" s="5" t="s">
        <v>692</v>
      </c>
      <c r="AP196" s="4" t="s">
        <v>376</v>
      </c>
      <c r="AR196" s="4" t="s">
        <v>377</v>
      </c>
    </row>
    <row r="197" spans="1:44">
      <c r="A197" s="4" t="s">
        <v>5</v>
      </c>
      <c r="C197" s="4">
        <v>2596</v>
      </c>
      <c r="D197" s="5" t="s">
        <v>93</v>
      </c>
      <c r="E197" s="6" t="s">
        <v>693</v>
      </c>
      <c r="F197" s="5" t="s">
        <v>694</v>
      </c>
      <c r="Z197" s="4" t="s">
        <v>695</v>
      </c>
      <c r="AA197" s="4" t="s">
        <v>696</v>
      </c>
      <c r="AP197" s="4" t="s">
        <v>376</v>
      </c>
      <c r="AR197" s="4" t="s">
        <v>377</v>
      </c>
    </row>
    <row r="198" spans="1:44">
      <c r="A198" s="4" t="s">
        <v>5</v>
      </c>
      <c r="C198" s="4">
        <v>4192</v>
      </c>
      <c r="D198" s="5" t="s">
        <v>93</v>
      </c>
      <c r="E198" s="6" t="s">
        <v>697</v>
      </c>
      <c r="AP198" s="4" t="s">
        <v>376</v>
      </c>
      <c r="AR198" s="4" t="s">
        <v>377</v>
      </c>
    </row>
    <row r="199" spans="1:44">
      <c r="A199" s="4" t="s">
        <v>5</v>
      </c>
      <c r="C199" s="4">
        <v>251</v>
      </c>
      <c r="D199" s="5" t="s">
        <v>93</v>
      </c>
      <c r="E199" s="6" t="s">
        <v>698</v>
      </c>
      <c r="F199" s="5" t="s">
        <v>699</v>
      </c>
      <c r="AP199" s="4" t="s">
        <v>376</v>
      </c>
      <c r="AR199" s="4" t="s">
        <v>377</v>
      </c>
    </row>
    <row r="200" spans="1:44">
      <c r="A200" s="4" t="s">
        <v>5</v>
      </c>
      <c r="C200" s="4">
        <v>4420</v>
      </c>
      <c r="D200" s="5" t="s">
        <v>93</v>
      </c>
      <c r="E200" s="6" t="s">
        <v>700</v>
      </c>
      <c r="AP200" s="4" t="s">
        <v>376</v>
      </c>
      <c r="AR200" s="4" t="s">
        <v>377</v>
      </c>
    </row>
    <row r="201" spans="1:44">
      <c r="A201" s="4" t="s">
        <v>5</v>
      </c>
      <c r="C201" s="4">
        <v>800</v>
      </c>
      <c r="D201" s="5" t="s">
        <v>93</v>
      </c>
      <c r="E201" s="6" t="s">
        <v>701</v>
      </c>
      <c r="F201" s="5" t="s">
        <v>702</v>
      </c>
      <c r="AP201" s="4" t="s">
        <v>376</v>
      </c>
      <c r="AR201" s="4" t="s">
        <v>377</v>
      </c>
    </row>
    <row r="202" spans="1:44">
      <c r="A202" s="4" t="s">
        <v>5</v>
      </c>
      <c r="C202" s="4">
        <v>5463</v>
      </c>
      <c r="D202" s="5" t="s">
        <v>93</v>
      </c>
      <c r="E202" s="6" t="s">
        <v>703</v>
      </c>
      <c r="AP202" s="4" t="s">
        <v>376</v>
      </c>
      <c r="AR202" s="4" t="s">
        <v>377</v>
      </c>
    </row>
    <row r="203" spans="1:44">
      <c r="A203" s="4" t="s">
        <v>5</v>
      </c>
      <c r="C203" s="4">
        <v>75</v>
      </c>
      <c r="D203" s="5" t="s">
        <v>93</v>
      </c>
      <c r="E203" s="6" t="s">
        <v>704</v>
      </c>
      <c r="F203" s="5" t="s">
        <v>705</v>
      </c>
      <c r="AP203" s="4" t="s">
        <v>376</v>
      </c>
      <c r="AR203" s="4" t="s">
        <v>377</v>
      </c>
    </row>
    <row r="204" spans="1:44">
      <c r="A204" s="4" t="s">
        <v>5</v>
      </c>
      <c r="C204" s="4">
        <v>1255</v>
      </c>
      <c r="D204" s="5" t="s">
        <v>93</v>
      </c>
      <c r="E204" s="6" t="s">
        <v>706</v>
      </c>
      <c r="F204" s="5" t="s">
        <v>707</v>
      </c>
      <c r="AP204" s="4" t="s">
        <v>376</v>
      </c>
      <c r="AR204" s="4" t="s">
        <v>377</v>
      </c>
    </row>
    <row r="205" spans="1:44">
      <c r="A205" s="4" t="s">
        <v>5</v>
      </c>
      <c r="C205" s="4">
        <v>4046</v>
      </c>
      <c r="D205" s="5" t="s">
        <v>93</v>
      </c>
      <c r="E205" s="6" t="s">
        <v>708</v>
      </c>
      <c r="AP205" s="4" t="s">
        <v>376</v>
      </c>
      <c r="AR205" s="4" t="s">
        <v>377</v>
      </c>
    </row>
    <row r="206" spans="1:44">
      <c r="A206" s="4" t="s">
        <v>5</v>
      </c>
      <c r="C206" s="4">
        <v>6679</v>
      </c>
      <c r="D206" s="5" t="s">
        <v>93</v>
      </c>
      <c r="E206" s="6" t="s">
        <v>709</v>
      </c>
      <c r="AP206" s="4" t="s">
        <v>376</v>
      </c>
      <c r="AR206" s="4" t="s">
        <v>377</v>
      </c>
    </row>
    <row r="207" spans="1:44">
      <c r="A207" s="4" t="s">
        <v>5</v>
      </c>
      <c r="C207" s="4">
        <v>2543</v>
      </c>
      <c r="D207" s="5" t="s">
        <v>93</v>
      </c>
      <c r="E207" s="6" t="s">
        <v>710</v>
      </c>
      <c r="AP207" s="4" t="s">
        <v>376</v>
      </c>
      <c r="AR207" s="4" t="s">
        <v>377</v>
      </c>
    </row>
    <row r="208" spans="1:44">
      <c r="A208" s="4" t="s">
        <v>5</v>
      </c>
      <c r="C208" s="4">
        <v>1633</v>
      </c>
      <c r="D208" s="5" t="s">
        <v>93</v>
      </c>
      <c r="E208" s="6" t="s">
        <v>711</v>
      </c>
      <c r="AP208" s="4" t="s">
        <v>376</v>
      </c>
      <c r="AR208" s="4" t="s">
        <v>377</v>
      </c>
    </row>
    <row r="209" spans="1:44">
      <c r="A209" s="4" t="s">
        <v>5</v>
      </c>
      <c r="C209" s="4">
        <v>2392</v>
      </c>
      <c r="D209" s="5" t="s">
        <v>93</v>
      </c>
      <c r="E209" s="6" t="s">
        <v>712</v>
      </c>
      <c r="F209" s="5" t="s">
        <v>713</v>
      </c>
      <c r="AP209" s="4" t="s">
        <v>376</v>
      </c>
      <c r="AR209" s="4" t="s">
        <v>377</v>
      </c>
    </row>
    <row r="210" spans="1:44">
      <c r="A210" s="4" t="s">
        <v>5</v>
      </c>
      <c r="C210" s="4">
        <v>1952</v>
      </c>
      <c r="D210" s="5" t="s">
        <v>93</v>
      </c>
      <c r="E210" s="6" t="s">
        <v>714</v>
      </c>
      <c r="F210" s="5" t="s">
        <v>715</v>
      </c>
      <c r="Z210" s="4" t="s">
        <v>443</v>
      </c>
      <c r="AA210" s="4" t="s">
        <v>444</v>
      </c>
      <c r="AP210" s="4" t="s">
        <v>376</v>
      </c>
      <c r="AR210" s="4" t="s">
        <v>377</v>
      </c>
    </row>
    <row r="211" spans="1:44" ht="30">
      <c r="A211" s="4" t="s">
        <v>5</v>
      </c>
      <c r="C211" s="4">
        <v>6058</v>
      </c>
      <c r="D211" s="5" t="s">
        <v>93</v>
      </c>
      <c r="E211" s="6" t="s">
        <v>716</v>
      </c>
      <c r="AP211" s="4" t="s">
        <v>376</v>
      </c>
      <c r="AR211" s="4" t="s">
        <v>377</v>
      </c>
    </row>
    <row r="212" spans="1:44">
      <c r="A212" s="4" t="s">
        <v>5</v>
      </c>
      <c r="C212" s="4">
        <v>1788</v>
      </c>
      <c r="D212" s="5" t="s">
        <v>93</v>
      </c>
      <c r="E212" s="6" t="s">
        <v>717</v>
      </c>
      <c r="AP212" s="4" t="s">
        <v>376</v>
      </c>
      <c r="AR212" s="4" t="s">
        <v>377</v>
      </c>
    </row>
    <row r="213" spans="1:44">
      <c r="A213" s="4" t="s">
        <v>5</v>
      </c>
      <c r="C213" s="4">
        <v>2045</v>
      </c>
      <c r="D213" s="5" t="s">
        <v>93</v>
      </c>
      <c r="E213" s="6" t="s">
        <v>718</v>
      </c>
      <c r="AP213" s="4" t="s">
        <v>376</v>
      </c>
      <c r="AR213" s="4" t="s">
        <v>377</v>
      </c>
    </row>
    <row r="214" spans="1:44">
      <c r="A214" s="4" t="s">
        <v>5</v>
      </c>
      <c r="C214" s="4">
        <v>2631</v>
      </c>
      <c r="D214" s="5" t="s">
        <v>93</v>
      </c>
      <c r="E214" s="6" t="s">
        <v>719</v>
      </c>
      <c r="F214" s="5" t="s">
        <v>720</v>
      </c>
      <c r="AP214" s="4" t="s">
        <v>376</v>
      </c>
      <c r="AR214" s="4" t="s">
        <v>377</v>
      </c>
    </row>
    <row r="215" spans="1:44">
      <c r="A215" s="4" t="s">
        <v>5</v>
      </c>
      <c r="C215" s="4">
        <v>6487</v>
      </c>
      <c r="D215" s="5" t="s">
        <v>93</v>
      </c>
      <c r="E215" s="6" t="s">
        <v>721</v>
      </c>
      <c r="AP215" s="4" t="s">
        <v>376</v>
      </c>
      <c r="AR215" s="4" t="s">
        <v>377</v>
      </c>
    </row>
    <row r="216" spans="1:44">
      <c r="A216" s="4" t="s">
        <v>5</v>
      </c>
      <c r="C216" s="4">
        <v>6256</v>
      </c>
      <c r="D216" s="5" t="s">
        <v>93</v>
      </c>
      <c r="E216" s="6" t="s">
        <v>722</v>
      </c>
      <c r="AP216" s="4" t="s">
        <v>376</v>
      </c>
      <c r="AR216" s="4" t="s">
        <v>377</v>
      </c>
    </row>
    <row r="217" spans="1:44" ht="30">
      <c r="A217" s="4" t="s">
        <v>5</v>
      </c>
      <c r="C217" s="4">
        <v>6429</v>
      </c>
      <c r="D217" s="5" t="s">
        <v>93</v>
      </c>
      <c r="E217" s="6" t="s">
        <v>723</v>
      </c>
      <c r="AP217" s="4" t="s">
        <v>376</v>
      </c>
      <c r="AR217" s="4" t="s">
        <v>377</v>
      </c>
    </row>
    <row r="218" spans="1:44" ht="30">
      <c r="A218" s="4" t="s">
        <v>5</v>
      </c>
      <c r="C218" s="4">
        <v>4344</v>
      </c>
      <c r="D218" s="5" t="s">
        <v>93</v>
      </c>
      <c r="E218" s="6" t="s">
        <v>724</v>
      </c>
      <c r="AP218" s="4" t="s">
        <v>376</v>
      </c>
      <c r="AR218" s="4" t="s">
        <v>377</v>
      </c>
    </row>
    <row r="219" spans="1:44">
      <c r="A219" s="4" t="s">
        <v>5</v>
      </c>
      <c r="C219" s="4">
        <v>2905</v>
      </c>
      <c r="D219" s="5" t="s">
        <v>93</v>
      </c>
      <c r="E219" s="6" t="s">
        <v>725</v>
      </c>
      <c r="AP219" s="4" t="s">
        <v>376</v>
      </c>
      <c r="AR219" s="4" t="s">
        <v>377</v>
      </c>
    </row>
    <row r="220" spans="1:44">
      <c r="A220" s="4" t="s">
        <v>5</v>
      </c>
      <c r="C220" s="4">
        <v>6751</v>
      </c>
      <c r="D220" s="5" t="s">
        <v>93</v>
      </c>
      <c r="E220" s="6" t="s">
        <v>726</v>
      </c>
      <c r="AP220" s="4" t="s">
        <v>376</v>
      </c>
      <c r="AR220" s="4" t="s">
        <v>377</v>
      </c>
    </row>
    <row r="221" spans="1:44">
      <c r="A221" s="4" t="s">
        <v>5</v>
      </c>
      <c r="C221" s="4">
        <v>5840</v>
      </c>
      <c r="D221" s="5" t="s">
        <v>93</v>
      </c>
      <c r="E221" s="6" t="s">
        <v>727</v>
      </c>
      <c r="AP221" s="4" t="s">
        <v>376</v>
      </c>
      <c r="AR221" s="4" t="s">
        <v>377</v>
      </c>
    </row>
    <row r="222" spans="1:44">
      <c r="A222" s="4" t="s">
        <v>5</v>
      </c>
      <c r="C222" s="4">
        <v>2399</v>
      </c>
      <c r="D222" s="5" t="s">
        <v>93</v>
      </c>
      <c r="E222" s="6" t="s">
        <v>728</v>
      </c>
      <c r="AP222" s="4" t="s">
        <v>376</v>
      </c>
      <c r="AR222" s="4" t="s">
        <v>377</v>
      </c>
    </row>
    <row r="223" spans="1:44">
      <c r="A223" s="4" t="s">
        <v>5</v>
      </c>
      <c r="C223" s="4">
        <v>2526</v>
      </c>
      <c r="D223" s="5" t="s">
        <v>93</v>
      </c>
      <c r="E223" s="6" t="s">
        <v>729</v>
      </c>
      <c r="F223" s="5" t="s">
        <v>730</v>
      </c>
      <c r="AP223" s="4" t="s">
        <v>376</v>
      </c>
      <c r="AR223" s="4" t="s">
        <v>377</v>
      </c>
    </row>
    <row r="224" spans="1:44">
      <c r="A224" s="4" t="s">
        <v>5</v>
      </c>
      <c r="C224" s="4">
        <v>929</v>
      </c>
      <c r="D224" s="5" t="s">
        <v>93</v>
      </c>
      <c r="E224" s="6" t="s">
        <v>731</v>
      </c>
      <c r="F224" s="5" t="s">
        <v>732</v>
      </c>
      <c r="AP224" s="4" t="s">
        <v>376</v>
      </c>
      <c r="AR224" s="4" t="s">
        <v>377</v>
      </c>
    </row>
    <row r="225" spans="1:44">
      <c r="A225" s="4" t="s">
        <v>5</v>
      </c>
      <c r="C225" s="4">
        <v>2336</v>
      </c>
      <c r="D225" s="5" t="s">
        <v>93</v>
      </c>
      <c r="E225" s="6" t="s">
        <v>733</v>
      </c>
      <c r="F225" s="5" t="s">
        <v>734</v>
      </c>
      <c r="AP225" s="4" t="s">
        <v>376</v>
      </c>
      <c r="AR225" s="4" t="s">
        <v>377</v>
      </c>
    </row>
    <row r="226" spans="1:44">
      <c r="A226" s="4" t="s">
        <v>5</v>
      </c>
      <c r="C226" s="4">
        <v>3641</v>
      </c>
      <c r="D226" s="5" t="s">
        <v>93</v>
      </c>
      <c r="E226" s="6" t="s">
        <v>735</v>
      </c>
      <c r="AP226" s="4" t="s">
        <v>376</v>
      </c>
      <c r="AR226" s="4" t="s">
        <v>377</v>
      </c>
    </row>
    <row r="227" spans="1:44">
      <c r="A227" s="4" t="s">
        <v>5</v>
      </c>
      <c r="C227" s="4">
        <v>1589</v>
      </c>
      <c r="D227" s="5" t="s">
        <v>93</v>
      </c>
      <c r="E227" s="6" t="s">
        <v>736</v>
      </c>
      <c r="AP227" s="4" t="s">
        <v>376</v>
      </c>
      <c r="AR227" s="4" t="s">
        <v>377</v>
      </c>
    </row>
    <row r="228" spans="1:44">
      <c r="A228" s="4" t="s">
        <v>5</v>
      </c>
      <c r="C228" s="4">
        <v>1286</v>
      </c>
      <c r="D228" s="5" t="s">
        <v>93</v>
      </c>
      <c r="E228" s="6" t="s">
        <v>737</v>
      </c>
      <c r="AP228" s="4" t="s">
        <v>376</v>
      </c>
      <c r="AR228" s="4" t="s">
        <v>377</v>
      </c>
    </row>
    <row r="229" spans="1:44">
      <c r="A229" s="4" t="s">
        <v>5</v>
      </c>
      <c r="C229" s="4">
        <v>3154</v>
      </c>
      <c r="D229" s="5" t="s">
        <v>93</v>
      </c>
      <c r="E229" s="6" t="s">
        <v>738</v>
      </c>
      <c r="Z229" s="4" t="s">
        <v>443</v>
      </c>
      <c r="AA229" s="4" t="s">
        <v>444</v>
      </c>
      <c r="AP229" s="4" t="s">
        <v>376</v>
      </c>
      <c r="AR229" s="4" t="s">
        <v>377</v>
      </c>
    </row>
    <row r="230" spans="1:44">
      <c r="A230" s="4" t="s">
        <v>5</v>
      </c>
      <c r="C230" s="4">
        <v>2323</v>
      </c>
      <c r="D230" s="5" t="s">
        <v>93</v>
      </c>
      <c r="E230" s="6" t="s">
        <v>739</v>
      </c>
      <c r="F230" s="5" t="s">
        <v>740</v>
      </c>
      <c r="Z230" s="4" t="s">
        <v>695</v>
      </c>
      <c r="AA230" s="4" t="s">
        <v>696</v>
      </c>
      <c r="AP230" s="4" t="s">
        <v>376</v>
      </c>
      <c r="AR230" s="4" t="s">
        <v>377</v>
      </c>
    </row>
    <row r="231" spans="1:44">
      <c r="A231" s="4" t="s">
        <v>5</v>
      </c>
      <c r="C231" s="4">
        <v>1986</v>
      </c>
      <c r="D231" s="5" t="s">
        <v>93</v>
      </c>
      <c r="E231" s="6" t="s">
        <v>741</v>
      </c>
      <c r="F231" s="5" t="s">
        <v>742</v>
      </c>
      <c r="AP231" s="4" t="s">
        <v>376</v>
      </c>
      <c r="AR231" s="4" t="s">
        <v>377</v>
      </c>
    </row>
    <row r="232" spans="1:44" ht="30">
      <c r="A232" s="4" t="s">
        <v>5</v>
      </c>
      <c r="C232" s="4">
        <v>4324</v>
      </c>
      <c r="D232" s="5" t="s">
        <v>93</v>
      </c>
      <c r="E232" s="6" t="s">
        <v>743</v>
      </c>
      <c r="AP232" s="4" t="s">
        <v>376</v>
      </c>
      <c r="AR232" s="4" t="s">
        <v>377</v>
      </c>
    </row>
    <row r="233" spans="1:44">
      <c r="A233" s="4" t="s">
        <v>5</v>
      </c>
      <c r="C233" s="4">
        <v>2010</v>
      </c>
      <c r="D233" s="5" t="s">
        <v>93</v>
      </c>
      <c r="E233" s="6" t="s">
        <v>744</v>
      </c>
      <c r="F233" s="5" t="s">
        <v>745</v>
      </c>
      <c r="AP233" s="4" t="s">
        <v>376</v>
      </c>
      <c r="AR233" s="4" t="s">
        <v>377</v>
      </c>
    </row>
    <row r="234" spans="1:44">
      <c r="A234" s="4" t="s">
        <v>5</v>
      </c>
      <c r="C234" s="4">
        <v>5763</v>
      </c>
      <c r="D234" s="5" t="s">
        <v>93</v>
      </c>
      <c r="E234" s="6" t="s">
        <v>746</v>
      </c>
      <c r="AP234" s="4" t="s">
        <v>376</v>
      </c>
      <c r="AR234" s="4" t="s">
        <v>377</v>
      </c>
    </row>
    <row r="235" spans="1:44">
      <c r="A235" s="4" t="s">
        <v>5</v>
      </c>
      <c r="C235" s="4">
        <v>1817</v>
      </c>
      <c r="D235" s="5" t="s">
        <v>93</v>
      </c>
      <c r="E235" s="6" t="s">
        <v>747</v>
      </c>
      <c r="AP235" s="4" t="s">
        <v>376</v>
      </c>
      <c r="AR235" s="4" t="s">
        <v>377</v>
      </c>
    </row>
    <row r="236" spans="1:44" ht="30">
      <c r="A236" s="4" t="s">
        <v>5</v>
      </c>
      <c r="C236" s="4">
        <v>6000</v>
      </c>
      <c r="D236" s="5" t="s">
        <v>93</v>
      </c>
      <c r="E236" s="6" t="s">
        <v>748</v>
      </c>
      <c r="AP236" s="4" t="s">
        <v>376</v>
      </c>
      <c r="AR236" s="4" t="s">
        <v>377</v>
      </c>
    </row>
    <row r="237" spans="1:44">
      <c r="A237" s="4" t="s">
        <v>5</v>
      </c>
      <c r="C237" s="4">
        <v>5096</v>
      </c>
      <c r="D237" s="5" t="s">
        <v>93</v>
      </c>
      <c r="E237" s="6" t="s">
        <v>749</v>
      </c>
      <c r="AP237" s="4" t="s">
        <v>376</v>
      </c>
      <c r="AR237" s="4" t="s">
        <v>377</v>
      </c>
    </row>
    <row r="238" spans="1:44">
      <c r="A238" s="4" t="s">
        <v>5</v>
      </c>
      <c r="C238" s="4">
        <v>2755</v>
      </c>
      <c r="D238" s="5" t="s">
        <v>93</v>
      </c>
      <c r="E238" s="6" t="s">
        <v>750</v>
      </c>
      <c r="F238" s="5" t="s">
        <v>751</v>
      </c>
      <c r="Z238" s="4" t="s">
        <v>695</v>
      </c>
      <c r="AA238" s="4" t="s">
        <v>696</v>
      </c>
      <c r="AP238" s="4" t="s">
        <v>376</v>
      </c>
      <c r="AR238" s="4" t="s">
        <v>377</v>
      </c>
    </row>
    <row r="239" spans="1:44">
      <c r="A239" s="4" t="s">
        <v>5</v>
      </c>
      <c r="C239" s="4">
        <v>6856</v>
      </c>
      <c r="D239" s="5" t="s">
        <v>93</v>
      </c>
      <c r="E239" s="6" t="s">
        <v>752</v>
      </c>
      <c r="AP239" s="4" t="s">
        <v>376</v>
      </c>
      <c r="AR239" s="4" t="s">
        <v>377</v>
      </c>
    </row>
    <row r="240" spans="1:44">
      <c r="A240" s="4" t="s">
        <v>5</v>
      </c>
      <c r="C240" s="4">
        <v>445</v>
      </c>
      <c r="D240" s="5" t="s">
        <v>93</v>
      </c>
      <c r="E240" s="6" t="s">
        <v>753</v>
      </c>
      <c r="F240" s="5" t="s">
        <v>754</v>
      </c>
      <c r="Z240" s="4" t="s">
        <v>447</v>
      </c>
      <c r="AA240" s="4" t="s">
        <v>448</v>
      </c>
      <c r="AP240" s="4" t="s">
        <v>376</v>
      </c>
      <c r="AR240" s="4" t="s">
        <v>377</v>
      </c>
    </row>
    <row r="241" spans="1:44">
      <c r="A241" s="4" t="s">
        <v>5</v>
      </c>
      <c r="C241" s="4">
        <v>2965</v>
      </c>
      <c r="D241" s="5" t="s">
        <v>93</v>
      </c>
      <c r="E241" s="6" t="s">
        <v>755</v>
      </c>
      <c r="F241" s="5" t="s">
        <v>756</v>
      </c>
      <c r="Z241" s="4" t="s">
        <v>447</v>
      </c>
      <c r="AA241" s="4" t="s">
        <v>448</v>
      </c>
      <c r="AP241" s="4" t="s">
        <v>376</v>
      </c>
      <c r="AR241" s="4" t="s">
        <v>377</v>
      </c>
    </row>
    <row r="242" spans="1:44" ht="30">
      <c r="A242" s="4" t="s">
        <v>5</v>
      </c>
      <c r="C242" s="4">
        <v>5368</v>
      </c>
      <c r="D242" s="5" t="s">
        <v>93</v>
      </c>
      <c r="E242" s="6" t="s">
        <v>757</v>
      </c>
      <c r="AP242" s="4" t="s">
        <v>376</v>
      </c>
      <c r="AR242" s="4" t="s">
        <v>377</v>
      </c>
    </row>
    <row r="243" spans="1:44">
      <c r="A243" s="4" t="s">
        <v>5</v>
      </c>
      <c r="C243" s="4">
        <v>2270</v>
      </c>
      <c r="D243" s="5" t="s">
        <v>93</v>
      </c>
      <c r="E243" s="6" t="s">
        <v>758</v>
      </c>
      <c r="F243" s="5" t="s">
        <v>759</v>
      </c>
      <c r="Z243" s="4" t="s">
        <v>443</v>
      </c>
      <c r="AA243" s="4" t="s">
        <v>444</v>
      </c>
      <c r="AP243" s="4" t="s">
        <v>376</v>
      </c>
      <c r="AR243" s="4" t="s">
        <v>377</v>
      </c>
    </row>
    <row r="244" spans="1:44">
      <c r="A244" s="4" t="s">
        <v>5</v>
      </c>
      <c r="C244" s="4">
        <v>6072</v>
      </c>
      <c r="D244" s="5" t="s">
        <v>93</v>
      </c>
      <c r="E244" s="6" t="s">
        <v>760</v>
      </c>
      <c r="F244" s="5" t="s">
        <v>761</v>
      </c>
      <c r="Z244" s="4" t="s">
        <v>447</v>
      </c>
      <c r="AA244" s="4" t="s">
        <v>448</v>
      </c>
      <c r="AP244" s="4" t="s">
        <v>376</v>
      </c>
      <c r="AR244" s="4" t="s">
        <v>377</v>
      </c>
    </row>
    <row r="245" spans="1:44">
      <c r="A245" s="4" t="s">
        <v>5</v>
      </c>
      <c r="C245" s="4">
        <v>2566</v>
      </c>
      <c r="D245" s="5" t="s">
        <v>93</v>
      </c>
      <c r="E245" s="6" t="s">
        <v>762</v>
      </c>
      <c r="AP245" s="4" t="s">
        <v>376</v>
      </c>
      <c r="AR245" s="4" t="s">
        <v>377</v>
      </c>
    </row>
    <row r="246" spans="1:44">
      <c r="A246" s="4" t="s">
        <v>5</v>
      </c>
      <c r="C246" s="4">
        <v>1317</v>
      </c>
      <c r="D246" s="5" t="s">
        <v>93</v>
      </c>
      <c r="E246" s="6" t="s">
        <v>763</v>
      </c>
      <c r="AP246" s="4" t="s">
        <v>376</v>
      </c>
      <c r="AR246" s="4" t="s">
        <v>377</v>
      </c>
    </row>
    <row r="247" spans="1:44" ht="30">
      <c r="A247" s="4" t="s">
        <v>5</v>
      </c>
      <c r="C247" s="4">
        <v>5744</v>
      </c>
      <c r="D247" s="5" t="s">
        <v>93</v>
      </c>
      <c r="E247" s="6" t="s">
        <v>764</v>
      </c>
      <c r="AP247" s="4" t="s">
        <v>376</v>
      </c>
      <c r="AR247" s="4" t="s">
        <v>377</v>
      </c>
    </row>
    <row r="248" spans="1:44">
      <c r="A248" s="4" t="s">
        <v>5</v>
      </c>
      <c r="C248" s="4">
        <v>233</v>
      </c>
      <c r="D248" s="5" t="s">
        <v>93</v>
      </c>
      <c r="E248" s="6" t="s">
        <v>765</v>
      </c>
      <c r="F248" s="5" t="s">
        <v>766</v>
      </c>
      <c r="AP248" s="4" t="s">
        <v>376</v>
      </c>
      <c r="AR248" s="4" t="s">
        <v>377</v>
      </c>
    </row>
    <row r="249" spans="1:44" ht="30">
      <c r="A249" s="4" t="s">
        <v>5</v>
      </c>
      <c r="C249" s="4">
        <v>5820</v>
      </c>
      <c r="D249" s="5" t="s">
        <v>93</v>
      </c>
      <c r="E249" s="6" t="s">
        <v>767</v>
      </c>
      <c r="AP249" s="4" t="s">
        <v>376</v>
      </c>
      <c r="AR249" s="4" t="s">
        <v>377</v>
      </c>
    </row>
    <row r="250" spans="1:44" ht="30">
      <c r="A250" s="4" t="s">
        <v>5</v>
      </c>
      <c r="C250" s="4">
        <v>5250</v>
      </c>
      <c r="D250" s="5" t="s">
        <v>93</v>
      </c>
      <c r="E250" s="6" t="s">
        <v>768</v>
      </c>
      <c r="AP250" s="4" t="s">
        <v>376</v>
      </c>
      <c r="AR250" s="4" t="s">
        <v>377</v>
      </c>
    </row>
    <row r="251" spans="1:44">
      <c r="A251" s="4" t="s">
        <v>5</v>
      </c>
      <c r="C251" s="4">
        <v>1771</v>
      </c>
      <c r="D251" s="5" t="s">
        <v>93</v>
      </c>
      <c r="E251" s="6" t="s">
        <v>769</v>
      </c>
      <c r="AP251" s="4" t="s">
        <v>376</v>
      </c>
      <c r="AR251" s="4" t="s">
        <v>377</v>
      </c>
    </row>
    <row r="252" spans="1:44" ht="30">
      <c r="A252" s="4" t="s">
        <v>5</v>
      </c>
      <c r="C252" s="4">
        <v>1554</v>
      </c>
      <c r="D252" s="5" t="s">
        <v>93</v>
      </c>
      <c r="E252" s="6" t="s">
        <v>770</v>
      </c>
      <c r="F252" s="5" t="s">
        <v>771</v>
      </c>
      <c r="AP252" s="4" t="s">
        <v>376</v>
      </c>
      <c r="AR252" s="4" t="s">
        <v>377</v>
      </c>
    </row>
    <row r="253" spans="1:44">
      <c r="A253" s="4" t="s">
        <v>5</v>
      </c>
      <c r="C253" s="4">
        <v>5536</v>
      </c>
      <c r="D253" s="5" t="s">
        <v>93</v>
      </c>
      <c r="E253" s="6" t="s">
        <v>772</v>
      </c>
      <c r="AP253" s="4" t="s">
        <v>376</v>
      </c>
      <c r="AR253" s="4" t="s">
        <v>377</v>
      </c>
    </row>
    <row r="254" spans="1:44">
      <c r="A254" s="4" t="s">
        <v>5</v>
      </c>
      <c r="C254" s="4">
        <v>1250</v>
      </c>
      <c r="D254" s="5" t="s">
        <v>93</v>
      </c>
      <c r="E254" s="6" t="s">
        <v>773</v>
      </c>
      <c r="AP254" s="4" t="s">
        <v>376</v>
      </c>
      <c r="AR254" s="4" t="s">
        <v>377</v>
      </c>
    </row>
    <row r="255" spans="1:44">
      <c r="A255" s="4" t="s">
        <v>5</v>
      </c>
      <c r="C255" s="4">
        <v>337</v>
      </c>
      <c r="D255" s="5" t="s">
        <v>93</v>
      </c>
      <c r="E255" s="6" t="s">
        <v>774</v>
      </c>
      <c r="F255" s="5" t="s">
        <v>775</v>
      </c>
      <c r="AP255" s="4" t="s">
        <v>376</v>
      </c>
      <c r="AR255" s="4" t="s">
        <v>377</v>
      </c>
    </row>
    <row r="256" spans="1:44">
      <c r="A256" s="4" t="s">
        <v>5</v>
      </c>
      <c r="C256" s="4">
        <v>500</v>
      </c>
      <c r="D256" s="5" t="s">
        <v>93</v>
      </c>
      <c r="E256" s="6" t="s">
        <v>776</v>
      </c>
      <c r="F256" s="5" t="s">
        <v>777</v>
      </c>
      <c r="AP256" s="4" t="s">
        <v>376</v>
      </c>
      <c r="AR256" s="4" t="s">
        <v>377</v>
      </c>
    </row>
    <row r="257" spans="1:44">
      <c r="A257" s="4" t="s">
        <v>5</v>
      </c>
      <c r="C257" s="4">
        <v>6096</v>
      </c>
      <c r="D257" s="5" t="s">
        <v>93</v>
      </c>
      <c r="E257" s="6" t="s">
        <v>778</v>
      </c>
      <c r="AP257" s="4" t="s">
        <v>376</v>
      </c>
      <c r="AR257" s="4" t="s">
        <v>377</v>
      </c>
    </row>
    <row r="258" spans="1:44" ht="30">
      <c r="A258" s="4" t="s">
        <v>5</v>
      </c>
      <c r="C258" s="4">
        <v>633</v>
      </c>
      <c r="D258" s="5" t="s">
        <v>93</v>
      </c>
      <c r="E258" s="6" t="s">
        <v>779</v>
      </c>
      <c r="F258" s="5" t="s">
        <v>780</v>
      </c>
      <c r="AP258" s="4" t="s">
        <v>376</v>
      </c>
      <c r="AR258" s="4" t="s">
        <v>377</v>
      </c>
    </row>
    <row r="259" spans="1:44" ht="30">
      <c r="A259" s="4" t="s">
        <v>5</v>
      </c>
      <c r="C259" s="4">
        <v>3668</v>
      </c>
      <c r="D259" s="5" t="s">
        <v>93</v>
      </c>
      <c r="E259" s="6" t="s">
        <v>781</v>
      </c>
      <c r="AP259" s="4" t="s">
        <v>376</v>
      </c>
      <c r="AR259" s="4" t="s">
        <v>377</v>
      </c>
    </row>
    <row r="260" spans="1:44">
      <c r="A260" s="4" t="s">
        <v>5</v>
      </c>
      <c r="C260" s="4">
        <v>4524</v>
      </c>
      <c r="D260" s="5" t="s">
        <v>93</v>
      </c>
      <c r="E260" s="6" t="s">
        <v>782</v>
      </c>
      <c r="Z260" s="4" t="s">
        <v>447</v>
      </c>
      <c r="AA260" s="4" t="s">
        <v>448</v>
      </c>
      <c r="AP260" s="4" t="s">
        <v>376</v>
      </c>
      <c r="AR260" s="4" t="s">
        <v>377</v>
      </c>
    </row>
    <row r="261" spans="1:44">
      <c r="A261" s="4" t="s">
        <v>5</v>
      </c>
      <c r="C261" s="4">
        <v>6476</v>
      </c>
      <c r="D261" s="5" t="s">
        <v>93</v>
      </c>
      <c r="E261" s="6" t="s">
        <v>783</v>
      </c>
      <c r="AP261" s="4" t="s">
        <v>376</v>
      </c>
      <c r="AR261" s="4" t="s">
        <v>377</v>
      </c>
    </row>
    <row r="262" spans="1:44">
      <c r="A262" s="4" t="s">
        <v>5</v>
      </c>
      <c r="C262" s="4">
        <v>864</v>
      </c>
      <c r="D262" s="5" t="s">
        <v>93</v>
      </c>
      <c r="E262" s="6" t="s">
        <v>784</v>
      </c>
      <c r="F262" s="5" t="s">
        <v>785</v>
      </c>
      <c r="AP262" s="4" t="s">
        <v>376</v>
      </c>
      <c r="AR262" s="4" t="s">
        <v>377</v>
      </c>
    </row>
    <row r="263" spans="1:44">
      <c r="A263" s="4" t="s">
        <v>5</v>
      </c>
      <c r="C263" s="4">
        <v>4906</v>
      </c>
      <c r="D263" s="5" t="s">
        <v>93</v>
      </c>
      <c r="E263" s="6" t="s">
        <v>786</v>
      </c>
      <c r="AP263" s="4" t="s">
        <v>376</v>
      </c>
      <c r="AR263" s="4" t="s">
        <v>377</v>
      </c>
    </row>
    <row r="264" spans="1:44">
      <c r="A264" s="4" t="s">
        <v>5</v>
      </c>
      <c r="C264" s="4">
        <v>7011</v>
      </c>
      <c r="D264" s="5" t="s">
        <v>93</v>
      </c>
      <c r="E264" s="6" t="s">
        <v>787</v>
      </c>
      <c r="F264" s="5" t="s">
        <v>788</v>
      </c>
      <c r="AP264" s="4" t="s">
        <v>376</v>
      </c>
      <c r="AR264" s="4" t="s">
        <v>377</v>
      </c>
    </row>
    <row r="265" spans="1:44">
      <c r="A265" s="4" t="s">
        <v>5</v>
      </c>
      <c r="C265" s="4">
        <v>4589</v>
      </c>
      <c r="D265" s="5" t="s">
        <v>93</v>
      </c>
      <c r="E265" s="6" t="s">
        <v>789</v>
      </c>
      <c r="AP265" s="4" t="s">
        <v>376</v>
      </c>
      <c r="AR265" s="4" t="s">
        <v>377</v>
      </c>
    </row>
    <row r="266" spans="1:44">
      <c r="A266" s="4" t="s">
        <v>5</v>
      </c>
      <c r="C266" s="4">
        <v>286</v>
      </c>
      <c r="D266" s="5" t="s">
        <v>93</v>
      </c>
      <c r="E266" s="6" t="s">
        <v>790</v>
      </c>
      <c r="F266" s="5" t="s">
        <v>791</v>
      </c>
      <c r="AP266" s="4" t="s">
        <v>376</v>
      </c>
      <c r="AR266" s="4" t="s">
        <v>377</v>
      </c>
    </row>
    <row r="267" spans="1:44">
      <c r="A267" s="4" t="s">
        <v>5</v>
      </c>
      <c r="C267" s="4">
        <v>557</v>
      </c>
      <c r="D267" s="5" t="s">
        <v>93</v>
      </c>
      <c r="E267" s="6" t="s">
        <v>792</v>
      </c>
      <c r="F267" s="5" t="s">
        <v>793</v>
      </c>
      <c r="AP267" s="4" t="s">
        <v>376</v>
      </c>
      <c r="AR267" s="4" t="s">
        <v>377</v>
      </c>
    </row>
    <row r="268" spans="1:44">
      <c r="A268" s="4" t="s">
        <v>5</v>
      </c>
      <c r="C268" s="4">
        <v>2958</v>
      </c>
      <c r="D268" s="5" t="s">
        <v>93</v>
      </c>
      <c r="E268" s="6" t="s">
        <v>794</v>
      </c>
      <c r="AP268" s="4" t="s">
        <v>376</v>
      </c>
      <c r="AR268" s="4" t="s">
        <v>377</v>
      </c>
    </row>
    <row r="269" spans="1:44">
      <c r="A269" s="4" t="s">
        <v>5</v>
      </c>
      <c r="C269" s="4">
        <v>2486</v>
      </c>
      <c r="D269" s="5" t="s">
        <v>93</v>
      </c>
      <c r="E269" s="6" t="s">
        <v>795</v>
      </c>
      <c r="F269" s="5" t="s">
        <v>796</v>
      </c>
      <c r="AP269" s="4" t="s">
        <v>376</v>
      </c>
      <c r="AR269" s="4" t="s">
        <v>377</v>
      </c>
    </row>
    <row r="270" spans="1:44">
      <c r="A270" s="4" t="s">
        <v>5</v>
      </c>
      <c r="C270" s="4">
        <v>1600</v>
      </c>
      <c r="D270" s="5" t="s">
        <v>93</v>
      </c>
      <c r="E270" s="6" t="s">
        <v>797</v>
      </c>
      <c r="F270" s="5" t="s">
        <v>798</v>
      </c>
      <c r="AP270" s="4" t="s">
        <v>376</v>
      </c>
      <c r="AR270" s="4" t="s">
        <v>377</v>
      </c>
    </row>
    <row r="271" spans="1:44">
      <c r="A271" s="4" t="s">
        <v>5</v>
      </c>
      <c r="C271" s="4">
        <v>6080</v>
      </c>
      <c r="D271" s="5" t="s">
        <v>93</v>
      </c>
      <c r="E271" s="6" t="s">
        <v>799</v>
      </c>
      <c r="AP271" s="4" t="s">
        <v>376</v>
      </c>
      <c r="AR271" s="4" t="s">
        <v>377</v>
      </c>
    </row>
    <row r="272" spans="1:44" ht="30">
      <c r="A272" s="4" t="s">
        <v>5</v>
      </c>
      <c r="C272" s="4">
        <v>2711</v>
      </c>
      <c r="D272" s="5" t="s">
        <v>93</v>
      </c>
      <c r="E272" s="6" t="s">
        <v>800</v>
      </c>
      <c r="F272" s="5" t="s">
        <v>801</v>
      </c>
      <c r="AP272" s="4" t="s">
        <v>376</v>
      </c>
      <c r="AR272" s="4" t="s">
        <v>377</v>
      </c>
    </row>
    <row r="273" spans="1:44">
      <c r="A273" s="4" t="s">
        <v>5</v>
      </c>
      <c r="C273" s="4">
        <v>6271</v>
      </c>
      <c r="D273" s="5" t="s">
        <v>93</v>
      </c>
      <c r="E273" s="6" t="s">
        <v>802</v>
      </c>
      <c r="AP273" s="4" t="s">
        <v>376</v>
      </c>
      <c r="AR273" s="4" t="s">
        <v>377</v>
      </c>
    </row>
    <row r="274" spans="1:44">
      <c r="A274" s="4" t="s">
        <v>5</v>
      </c>
      <c r="C274" s="4">
        <v>238</v>
      </c>
      <c r="D274" s="5" t="s">
        <v>93</v>
      </c>
      <c r="E274" s="6" t="s">
        <v>803</v>
      </c>
      <c r="F274" s="5" t="s">
        <v>804</v>
      </c>
      <c r="AP274" s="4" t="s">
        <v>376</v>
      </c>
      <c r="AR274" s="4" t="s">
        <v>377</v>
      </c>
    </row>
    <row r="275" spans="1:44">
      <c r="A275" s="4" t="s">
        <v>5</v>
      </c>
      <c r="C275" s="4">
        <v>2531</v>
      </c>
      <c r="D275" s="5" t="s">
        <v>93</v>
      </c>
      <c r="E275" s="6" t="s">
        <v>805</v>
      </c>
      <c r="AP275" s="4" t="s">
        <v>376</v>
      </c>
      <c r="AR275" s="4" t="s">
        <v>377</v>
      </c>
    </row>
    <row r="276" spans="1:44">
      <c r="A276" s="4" t="s">
        <v>5</v>
      </c>
      <c r="C276" s="4">
        <v>4385</v>
      </c>
      <c r="D276" s="5" t="s">
        <v>93</v>
      </c>
      <c r="E276" s="6" t="s">
        <v>806</v>
      </c>
      <c r="AP276" s="4" t="s">
        <v>376</v>
      </c>
      <c r="AR276" s="4" t="s">
        <v>377</v>
      </c>
    </row>
    <row r="277" spans="1:44" ht="30">
      <c r="A277" s="4" t="s">
        <v>5</v>
      </c>
      <c r="C277" s="4">
        <v>3814</v>
      </c>
      <c r="D277" s="5" t="s">
        <v>93</v>
      </c>
      <c r="E277" s="6" t="s">
        <v>807</v>
      </c>
      <c r="AP277" s="4" t="s">
        <v>376</v>
      </c>
      <c r="AR277" s="4" t="s">
        <v>377</v>
      </c>
    </row>
    <row r="278" spans="1:44">
      <c r="A278" s="4" t="s">
        <v>5</v>
      </c>
      <c r="C278" s="4">
        <v>3487</v>
      </c>
      <c r="D278" s="5" t="s">
        <v>93</v>
      </c>
      <c r="E278" s="6" t="s">
        <v>808</v>
      </c>
      <c r="F278" s="5" t="s">
        <v>809</v>
      </c>
      <c r="AP278" s="4" t="s">
        <v>376</v>
      </c>
      <c r="AR278" s="4" t="s">
        <v>377</v>
      </c>
    </row>
    <row r="279" spans="1:44" ht="30">
      <c r="A279" s="4" t="s">
        <v>5</v>
      </c>
      <c r="C279" s="4">
        <v>3685</v>
      </c>
      <c r="D279" s="5" t="s">
        <v>93</v>
      </c>
      <c r="E279" s="6" t="s">
        <v>810</v>
      </c>
      <c r="F279" s="5" t="s">
        <v>811</v>
      </c>
      <c r="AP279" s="4" t="s">
        <v>376</v>
      </c>
      <c r="AR279" s="4" t="s">
        <v>377</v>
      </c>
    </row>
    <row r="280" spans="1:44">
      <c r="A280" s="4" t="s">
        <v>5</v>
      </c>
      <c r="C280" s="4">
        <v>147</v>
      </c>
      <c r="D280" s="5" t="s">
        <v>93</v>
      </c>
      <c r="E280" s="6" t="s">
        <v>812</v>
      </c>
      <c r="F280" s="5" t="s">
        <v>813</v>
      </c>
      <c r="Z280" s="4" t="s">
        <v>447</v>
      </c>
      <c r="AA280" s="4" t="s">
        <v>448</v>
      </c>
      <c r="AP280" s="4" t="s">
        <v>376</v>
      </c>
      <c r="AR280" s="4" t="s">
        <v>377</v>
      </c>
    </row>
    <row r="281" spans="1:44">
      <c r="A281" s="4" t="s">
        <v>5</v>
      </c>
      <c r="C281" s="4">
        <v>558</v>
      </c>
      <c r="D281" s="5" t="s">
        <v>93</v>
      </c>
      <c r="E281" s="6" t="s">
        <v>814</v>
      </c>
      <c r="F281" s="5" t="s">
        <v>815</v>
      </c>
      <c r="AP281" s="4" t="s">
        <v>376</v>
      </c>
      <c r="AR281" s="4" t="s">
        <v>377</v>
      </c>
    </row>
    <row r="282" spans="1:44">
      <c r="A282" s="4" t="s">
        <v>5</v>
      </c>
      <c r="C282" s="4">
        <v>3664</v>
      </c>
      <c r="D282" s="5" t="s">
        <v>93</v>
      </c>
      <c r="E282" s="6" t="s">
        <v>816</v>
      </c>
      <c r="AP282" s="4" t="s">
        <v>376</v>
      </c>
      <c r="AR282" s="4" t="s">
        <v>377</v>
      </c>
    </row>
    <row r="283" spans="1:44">
      <c r="A283" s="4" t="s">
        <v>5</v>
      </c>
      <c r="C283" s="4">
        <v>5043</v>
      </c>
      <c r="D283" s="5" t="s">
        <v>93</v>
      </c>
      <c r="E283" s="6" t="s">
        <v>817</v>
      </c>
      <c r="AP283" s="4" t="s">
        <v>376</v>
      </c>
      <c r="AR283" s="4" t="s">
        <v>377</v>
      </c>
    </row>
    <row r="284" spans="1:44">
      <c r="A284" s="4" t="s">
        <v>5</v>
      </c>
      <c r="C284" s="4">
        <v>2332</v>
      </c>
      <c r="D284" s="5" t="s">
        <v>93</v>
      </c>
      <c r="E284" s="6" t="s">
        <v>818</v>
      </c>
      <c r="Z284" s="4" t="s">
        <v>447</v>
      </c>
      <c r="AA284" s="4" t="s">
        <v>448</v>
      </c>
      <c r="AP284" s="4" t="s">
        <v>376</v>
      </c>
      <c r="AR284" s="4" t="s">
        <v>377</v>
      </c>
    </row>
    <row r="285" spans="1:44">
      <c r="A285" s="4" t="s">
        <v>5</v>
      </c>
      <c r="C285" s="4">
        <v>3742</v>
      </c>
      <c r="D285" s="5" t="s">
        <v>93</v>
      </c>
      <c r="E285" s="6" t="s">
        <v>819</v>
      </c>
      <c r="AP285" s="4" t="s">
        <v>376</v>
      </c>
      <c r="AR285" s="4" t="s">
        <v>377</v>
      </c>
    </row>
    <row r="286" spans="1:44" ht="30">
      <c r="A286" s="4" t="s">
        <v>5</v>
      </c>
      <c r="C286" s="4">
        <v>3132</v>
      </c>
      <c r="D286" s="5" t="s">
        <v>93</v>
      </c>
      <c r="E286" s="6" t="s">
        <v>820</v>
      </c>
      <c r="F286" s="5" t="s">
        <v>821</v>
      </c>
      <c r="AP286" s="4" t="s">
        <v>376</v>
      </c>
      <c r="AR286" s="4" t="s">
        <v>377</v>
      </c>
    </row>
    <row r="287" spans="1:44">
      <c r="A287" s="4" t="s">
        <v>5</v>
      </c>
      <c r="C287" s="4">
        <v>862</v>
      </c>
      <c r="D287" s="5" t="s">
        <v>93</v>
      </c>
      <c r="E287" s="6" t="s">
        <v>822</v>
      </c>
      <c r="F287" s="5" t="s">
        <v>823</v>
      </c>
      <c r="AP287" s="4" t="s">
        <v>376</v>
      </c>
      <c r="AR287" s="4" t="s">
        <v>377</v>
      </c>
    </row>
    <row r="288" spans="1:44" ht="30">
      <c r="A288" s="4" t="s">
        <v>5</v>
      </c>
      <c r="C288" s="4">
        <v>6594</v>
      </c>
      <c r="D288" s="5" t="s">
        <v>93</v>
      </c>
      <c r="E288" s="6" t="s">
        <v>824</v>
      </c>
      <c r="AP288" s="4" t="s">
        <v>376</v>
      </c>
      <c r="AR288" s="4" t="s">
        <v>377</v>
      </c>
    </row>
    <row r="289" spans="1:44">
      <c r="A289" s="4" t="s">
        <v>5</v>
      </c>
      <c r="C289" s="4">
        <v>4831</v>
      </c>
      <c r="D289" s="5" t="s">
        <v>93</v>
      </c>
      <c r="E289" s="6" t="s">
        <v>825</v>
      </c>
      <c r="AP289" s="4" t="s">
        <v>376</v>
      </c>
      <c r="AR289" s="4" t="s">
        <v>377</v>
      </c>
    </row>
    <row r="290" spans="1:44">
      <c r="A290" s="4" t="s">
        <v>5</v>
      </c>
      <c r="C290" s="4">
        <v>192</v>
      </c>
      <c r="D290" s="5" t="s">
        <v>93</v>
      </c>
      <c r="E290" s="6" t="s">
        <v>826</v>
      </c>
      <c r="F290" s="5" t="s">
        <v>827</v>
      </c>
      <c r="AP290" s="4" t="s">
        <v>376</v>
      </c>
      <c r="AR290" s="4" t="s">
        <v>377</v>
      </c>
    </row>
    <row r="291" spans="1:44">
      <c r="A291" s="4" t="s">
        <v>5</v>
      </c>
      <c r="C291" s="4">
        <v>4284</v>
      </c>
      <c r="D291" s="5" t="s">
        <v>93</v>
      </c>
      <c r="E291" s="6" t="s">
        <v>828</v>
      </c>
      <c r="AP291" s="4" t="s">
        <v>376</v>
      </c>
      <c r="AR291" s="4" t="s">
        <v>377</v>
      </c>
    </row>
    <row r="292" spans="1:44">
      <c r="A292" s="4" t="s">
        <v>5</v>
      </c>
      <c r="C292" s="4">
        <v>2552</v>
      </c>
      <c r="D292" s="5" t="s">
        <v>93</v>
      </c>
      <c r="E292" s="6" t="s">
        <v>829</v>
      </c>
      <c r="AP292" s="4" t="s">
        <v>376</v>
      </c>
      <c r="AR292" s="4" t="s">
        <v>377</v>
      </c>
    </row>
    <row r="293" spans="1:44">
      <c r="A293" s="4" t="s">
        <v>5</v>
      </c>
      <c r="C293" s="4">
        <v>4986</v>
      </c>
      <c r="D293" s="5" t="s">
        <v>93</v>
      </c>
      <c r="E293" s="6" t="s">
        <v>830</v>
      </c>
      <c r="AP293" s="4" t="s">
        <v>376</v>
      </c>
      <c r="AR293" s="4" t="s">
        <v>377</v>
      </c>
    </row>
    <row r="294" spans="1:44" ht="30">
      <c r="A294" s="4" t="s">
        <v>5</v>
      </c>
      <c r="C294" s="4">
        <v>594</v>
      </c>
      <c r="D294" s="5" t="s">
        <v>93</v>
      </c>
      <c r="E294" s="6" t="s">
        <v>831</v>
      </c>
      <c r="F294" s="5" t="s">
        <v>832</v>
      </c>
      <c r="AP294" s="4" t="s">
        <v>376</v>
      </c>
      <c r="AR294" s="4" t="s">
        <v>377</v>
      </c>
    </row>
    <row r="295" spans="1:44">
      <c r="A295" s="4" t="s">
        <v>5</v>
      </c>
      <c r="C295" s="4">
        <v>1819</v>
      </c>
      <c r="D295" s="5" t="s">
        <v>93</v>
      </c>
      <c r="E295" s="6" t="s">
        <v>833</v>
      </c>
      <c r="Z295" s="4" t="s">
        <v>447</v>
      </c>
      <c r="AA295" s="4" t="s">
        <v>448</v>
      </c>
      <c r="AP295" s="4" t="s">
        <v>376</v>
      </c>
      <c r="AR295" s="4" t="s">
        <v>377</v>
      </c>
    </row>
    <row r="296" spans="1:44">
      <c r="A296" s="4" t="s">
        <v>5</v>
      </c>
      <c r="C296" s="4">
        <v>6431</v>
      </c>
      <c r="D296" s="5" t="s">
        <v>93</v>
      </c>
      <c r="E296" s="6" t="s">
        <v>834</v>
      </c>
      <c r="AP296" s="4" t="s">
        <v>376</v>
      </c>
      <c r="AR296" s="4" t="s">
        <v>377</v>
      </c>
    </row>
    <row r="297" spans="1:44">
      <c r="A297" s="4" t="s">
        <v>5</v>
      </c>
      <c r="C297" s="4">
        <v>1154</v>
      </c>
      <c r="D297" s="5" t="s">
        <v>93</v>
      </c>
      <c r="E297" s="6" t="s">
        <v>835</v>
      </c>
      <c r="AP297" s="4" t="s">
        <v>376</v>
      </c>
      <c r="AR297" s="4" t="s">
        <v>377</v>
      </c>
    </row>
    <row r="298" spans="1:44">
      <c r="A298" s="4" t="s">
        <v>5</v>
      </c>
      <c r="C298" s="4">
        <v>5967</v>
      </c>
      <c r="D298" s="5" t="s">
        <v>93</v>
      </c>
      <c r="E298" s="6" t="s">
        <v>836</v>
      </c>
      <c r="AP298" s="4" t="s">
        <v>376</v>
      </c>
      <c r="AR298" s="4" t="s">
        <v>377</v>
      </c>
    </row>
    <row r="299" spans="1:44">
      <c r="A299" s="4" t="s">
        <v>5</v>
      </c>
      <c r="C299" s="4">
        <v>1157</v>
      </c>
      <c r="D299" s="5" t="s">
        <v>93</v>
      </c>
      <c r="E299" s="6" t="s">
        <v>837</v>
      </c>
      <c r="F299" s="5" t="s">
        <v>838</v>
      </c>
      <c r="AP299" s="4" t="s">
        <v>376</v>
      </c>
      <c r="AR299" s="4" t="s">
        <v>377</v>
      </c>
    </row>
    <row r="300" spans="1:44" ht="30">
      <c r="A300" s="4" t="s">
        <v>5</v>
      </c>
      <c r="C300" s="4">
        <v>4728</v>
      </c>
      <c r="D300" s="5" t="s">
        <v>93</v>
      </c>
      <c r="E300" s="6" t="s">
        <v>839</v>
      </c>
      <c r="F300" s="5" t="s">
        <v>840</v>
      </c>
      <c r="Z300" s="4" t="s">
        <v>695</v>
      </c>
      <c r="AA300" s="4" t="s">
        <v>696</v>
      </c>
      <c r="AP300" s="4" t="s">
        <v>376</v>
      </c>
      <c r="AR300" s="4" t="s">
        <v>377</v>
      </c>
    </row>
    <row r="301" spans="1:44">
      <c r="A301" s="4" t="s">
        <v>5</v>
      </c>
      <c r="C301" s="4">
        <v>1598</v>
      </c>
      <c r="D301" s="5" t="s">
        <v>93</v>
      </c>
      <c r="E301" s="6" t="s">
        <v>841</v>
      </c>
      <c r="AP301" s="4" t="s">
        <v>376</v>
      </c>
      <c r="AR301" s="4" t="s">
        <v>377</v>
      </c>
    </row>
    <row r="302" spans="1:44">
      <c r="A302" s="4" t="s">
        <v>5</v>
      </c>
      <c r="C302" s="4">
        <v>2740</v>
      </c>
      <c r="D302" s="5" t="s">
        <v>93</v>
      </c>
      <c r="E302" s="6" t="s">
        <v>842</v>
      </c>
      <c r="F302" s="5" t="s">
        <v>843</v>
      </c>
      <c r="Z302" s="4" t="s">
        <v>447</v>
      </c>
      <c r="AA302" s="4" t="s">
        <v>448</v>
      </c>
      <c r="AP302" s="4" t="s">
        <v>376</v>
      </c>
      <c r="AR302" s="4" t="s">
        <v>377</v>
      </c>
    </row>
    <row r="303" spans="1:44">
      <c r="A303" s="4" t="s">
        <v>5</v>
      </c>
      <c r="C303" s="4">
        <v>4995</v>
      </c>
      <c r="D303" s="5" t="s">
        <v>93</v>
      </c>
      <c r="E303" s="6" t="s">
        <v>844</v>
      </c>
      <c r="AP303" s="4" t="s">
        <v>376</v>
      </c>
      <c r="AR303" s="4" t="s">
        <v>377</v>
      </c>
    </row>
    <row r="304" spans="1:44">
      <c r="A304" s="4" t="s">
        <v>5</v>
      </c>
      <c r="C304" s="4">
        <v>5966</v>
      </c>
      <c r="D304" s="5" t="s">
        <v>93</v>
      </c>
      <c r="E304" s="6" t="s">
        <v>845</v>
      </c>
      <c r="AP304" s="4" t="s">
        <v>376</v>
      </c>
      <c r="AR304" s="4" t="s">
        <v>377</v>
      </c>
    </row>
    <row r="305" spans="1:44">
      <c r="A305" s="4" t="s">
        <v>5</v>
      </c>
      <c r="C305" s="4">
        <v>4221</v>
      </c>
      <c r="D305" s="5" t="s">
        <v>93</v>
      </c>
      <c r="E305" s="6" t="s">
        <v>846</v>
      </c>
      <c r="AP305" s="4" t="s">
        <v>376</v>
      </c>
      <c r="AR305" s="4" t="s">
        <v>377</v>
      </c>
    </row>
    <row r="306" spans="1:44">
      <c r="A306" s="4" t="s">
        <v>5</v>
      </c>
      <c r="C306" s="4">
        <v>2157</v>
      </c>
      <c r="D306" s="5" t="s">
        <v>93</v>
      </c>
      <c r="E306" s="6" t="s">
        <v>847</v>
      </c>
      <c r="F306" s="5" t="s">
        <v>848</v>
      </c>
      <c r="AP306" s="4" t="s">
        <v>376</v>
      </c>
      <c r="AR306" s="4" t="s">
        <v>377</v>
      </c>
    </row>
    <row r="307" spans="1:44" ht="30">
      <c r="A307" s="4" t="s">
        <v>5</v>
      </c>
      <c r="C307" s="4">
        <v>446</v>
      </c>
      <c r="D307" s="5" t="s">
        <v>93</v>
      </c>
      <c r="E307" s="6" t="s">
        <v>849</v>
      </c>
      <c r="F307" s="5" t="s">
        <v>850</v>
      </c>
      <c r="AP307" s="4" t="s">
        <v>376</v>
      </c>
      <c r="AR307" s="4" t="s">
        <v>377</v>
      </c>
    </row>
    <row r="308" spans="1:44" ht="30">
      <c r="A308" s="4" t="s">
        <v>5</v>
      </c>
      <c r="C308" s="4">
        <v>620</v>
      </c>
      <c r="D308" s="5" t="s">
        <v>93</v>
      </c>
      <c r="E308" s="6" t="s">
        <v>851</v>
      </c>
      <c r="F308" s="5" t="s">
        <v>852</v>
      </c>
      <c r="AP308" s="4" t="s">
        <v>376</v>
      </c>
      <c r="AR308" s="4" t="s">
        <v>377</v>
      </c>
    </row>
    <row r="309" spans="1:44">
      <c r="A309" s="4" t="s">
        <v>5</v>
      </c>
      <c r="C309" s="4">
        <v>5834</v>
      </c>
      <c r="D309" s="5" t="s">
        <v>93</v>
      </c>
      <c r="E309" s="6" t="s">
        <v>853</v>
      </c>
      <c r="AP309" s="4" t="s">
        <v>376</v>
      </c>
      <c r="AR309" s="4" t="s">
        <v>377</v>
      </c>
    </row>
    <row r="310" spans="1:44">
      <c r="A310" s="4" t="s">
        <v>5</v>
      </c>
      <c r="C310" s="4">
        <v>5989</v>
      </c>
      <c r="D310" s="5" t="s">
        <v>93</v>
      </c>
      <c r="E310" s="6" t="s">
        <v>854</v>
      </c>
      <c r="Z310" s="4" t="s">
        <v>443</v>
      </c>
      <c r="AA310" s="4" t="s">
        <v>444</v>
      </c>
      <c r="AP310" s="4" t="s">
        <v>376</v>
      </c>
      <c r="AR310" s="4" t="s">
        <v>377</v>
      </c>
    </row>
    <row r="311" spans="1:44">
      <c r="A311" s="4" t="s">
        <v>5</v>
      </c>
      <c r="C311" s="4">
        <v>4949</v>
      </c>
      <c r="D311" s="5" t="s">
        <v>93</v>
      </c>
      <c r="E311" s="6" t="s">
        <v>855</v>
      </c>
      <c r="AP311" s="4" t="s">
        <v>376</v>
      </c>
      <c r="AR311" s="4" t="s">
        <v>377</v>
      </c>
    </row>
    <row r="312" spans="1:44" ht="30">
      <c r="A312" s="4" t="s">
        <v>5</v>
      </c>
      <c r="C312" s="4">
        <v>6882</v>
      </c>
      <c r="D312" s="5" t="s">
        <v>93</v>
      </c>
      <c r="E312" s="6" t="s">
        <v>856</v>
      </c>
      <c r="AP312" s="4" t="s">
        <v>376</v>
      </c>
      <c r="AR312" s="4" t="s">
        <v>377</v>
      </c>
    </row>
    <row r="313" spans="1:44">
      <c r="A313" s="4" t="s">
        <v>5</v>
      </c>
      <c r="C313" s="4">
        <v>5129</v>
      </c>
      <c r="D313" s="5" t="s">
        <v>93</v>
      </c>
      <c r="E313" s="6" t="s">
        <v>857</v>
      </c>
      <c r="Z313" s="4" t="s">
        <v>447</v>
      </c>
      <c r="AA313" s="4" t="s">
        <v>448</v>
      </c>
      <c r="AP313" s="4" t="s">
        <v>376</v>
      </c>
      <c r="AR313" s="4" t="s">
        <v>377</v>
      </c>
    </row>
    <row r="314" spans="1:44">
      <c r="A314" s="4" t="s">
        <v>5</v>
      </c>
      <c r="C314" s="4">
        <v>5884</v>
      </c>
      <c r="D314" s="5" t="s">
        <v>93</v>
      </c>
      <c r="E314" s="6" t="s">
        <v>858</v>
      </c>
      <c r="AP314" s="4" t="s">
        <v>376</v>
      </c>
      <c r="AR314" s="4" t="s">
        <v>377</v>
      </c>
    </row>
    <row r="315" spans="1:44">
      <c r="A315" s="4" t="s">
        <v>5</v>
      </c>
      <c r="C315" s="4">
        <v>2473</v>
      </c>
      <c r="D315" s="5" t="s">
        <v>93</v>
      </c>
      <c r="E315" s="6" t="s">
        <v>859</v>
      </c>
      <c r="Z315" s="4" t="s">
        <v>695</v>
      </c>
      <c r="AA315" s="4" t="s">
        <v>696</v>
      </c>
      <c r="AP315" s="4" t="s">
        <v>376</v>
      </c>
      <c r="AR315" s="4" t="s">
        <v>377</v>
      </c>
    </row>
    <row r="316" spans="1:44" ht="30">
      <c r="A316" s="4" t="s">
        <v>5</v>
      </c>
      <c r="C316" s="4">
        <v>4299</v>
      </c>
      <c r="D316" s="5" t="s">
        <v>93</v>
      </c>
      <c r="E316" s="6" t="s">
        <v>860</v>
      </c>
      <c r="AP316" s="4" t="s">
        <v>376</v>
      </c>
      <c r="AR316" s="4" t="s">
        <v>377</v>
      </c>
    </row>
    <row r="317" spans="1:44">
      <c r="A317" s="4" t="s">
        <v>5</v>
      </c>
      <c r="C317" s="4">
        <v>2354</v>
      </c>
      <c r="D317" s="5" t="s">
        <v>93</v>
      </c>
      <c r="E317" s="6" t="s">
        <v>861</v>
      </c>
      <c r="AP317" s="4" t="s">
        <v>376</v>
      </c>
      <c r="AR317" s="4" t="s">
        <v>377</v>
      </c>
    </row>
    <row r="318" spans="1:44">
      <c r="A318" s="4" t="s">
        <v>5</v>
      </c>
      <c r="C318" s="4">
        <v>198</v>
      </c>
      <c r="D318" s="5" t="s">
        <v>93</v>
      </c>
      <c r="E318" s="6" t="s">
        <v>862</v>
      </c>
      <c r="F318" s="5" t="s">
        <v>863</v>
      </c>
      <c r="AP318" s="4" t="s">
        <v>376</v>
      </c>
      <c r="AR318" s="4" t="s">
        <v>377</v>
      </c>
    </row>
    <row r="319" spans="1:44">
      <c r="A319" s="4" t="s">
        <v>5</v>
      </c>
      <c r="C319" s="4">
        <v>6601</v>
      </c>
      <c r="D319" s="5" t="s">
        <v>93</v>
      </c>
      <c r="E319" s="6" t="s">
        <v>864</v>
      </c>
      <c r="F319" s="5" t="s">
        <v>865</v>
      </c>
      <c r="AP319" s="4" t="s">
        <v>376</v>
      </c>
      <c r="AR319" s="4" t="s">
        <v>377</v>
      </c>
    </row>
    <row r="320" spans="1:44">
      <c r="A320" s="4" t="s">
        <v>5</v>
      </c>
      <c r="C320" s="4">
        <v>2797</v>
      </c>
      <c r="D320" s="5" t="s">
        <v>93</v>
      </c>
      <c r="E320" s="6" t="s">
        <v>866</v>
      </c>
      <c r="F320" s="5" t="s">
        <v>867</v>
      </c>
      <c r="AP320" s="4" t="s">
        <v>376</v>
      </c>
      <c r="AR320" s="4" t="s">
        <v>377</v>
      </c>
    </row>
    <row r="321" spans="1:44">
      <c r="A321" s="4" t="s">
        <v>5</v>
      </c>
      <c r="C321" s="4">
        <v>2948</v>
      </c>
      <c r="D321" s="5" t="s">
        <v>93</v>
      </c>
      <c r="E321" s="6" t="s">
        <v>868</v>
      </c>
      <c r="F321" s="5" t="s">
        <v>869</v>
      </c>
      <c r="AP321" s="4" t="s">
        <v>376</v>
      </c>
      <c r="AR321" s="4" t="s">
        <v>377</v>
      </c>
    </row>
    <row r="322" spans="1:44">
      <c r="A322" s="4" t="s">
        <v>5</v>
      </c>
      <c r="C322" s="4">
        <v>3624</v>
      </c>
      <c r="D322" s="5" t="s">
        <v>93</v>
      </c>
      <c r="E322" s="6" t="s">
        <v>870</v>
      </c>
      <c r="AP322" s="4" t="s">
        <v>376</v>
      </c>
      <c r="AR322" s="4" t="s">
        <v>377</v>
      </c>
    </row>
    <row r="323" spans="1:44">
      <c r="A323" s="4" t="s">
        <v>5</v>
      </c>
      <c r="C323" s="4">
        <v>6945</v>
      </c>
      <c r="D323" s="5" t="s">
        <v>93</v>
      </c>
      <c r="E323" s="6" t="s">
        <v>871</v>
      </c>
      <c r="AP323" s="4" t="s">
        <v>376</v>
      </c>
      <c r="AR323" s="4" t="s">
        <v>377</v>
      </c>
    </row>
    <row r="324" spans="1:44">
      <c r="A324" s="4" t="s">
        <v>5</v>
      </c>
      <c r="C324" s="4">
        <v>6352</v>
      </c>
      <c r="D324" s="5" t="s">
        <v>93</v>
      </c>
      <c r="E324" s="6" t="s">
        <v>872</v>
      </c>
      <c r="AP324" s="4" t="s">
        <v>376</v>
      </c>
      <c r="AR324" s="4" t="s">
        <v>377</v>
      </c>
    </row>
    <row r="325" spans="1:44" ht="30">
      <c r="A325" s="4" t="s">
        <v>5</v>
      </c>
      <c r="C325" s="4">
        <v>668</v>
      </c>
      <c r="D325" s="5" t="s">
        <v>93</v>
      </c>
      <c r="E325" s="6" t="s">
        <v>873</v>
      </c>
      <c r="F325" s="5" t="s">
        <v>874</v>
      </c>
      <c r="AP325" s="4" t="s">
        <v>376</v>
      </c>
      <c r="AR325" s="4" t="s">
        <v>377</v>
      </c>
    </row>
    <row r="326" spans="1:44">
      <c r="A326" s="4" t="s">
        <v>5</v>
      </c>
      <c r="C326" s="4">
        <v>1784</v>
      </c>
      <c r="D326" s="5" t="s">
        <v>93</v>
      </c>
      <c r="E326" s="6" t="s">
        <v>875</v>
      </c>
      <c r="AP326" s="4" t="s">
        <v>376</v>
      </c>
      <c r="AR326" s="4" t="s">
        <v>377</v>
      </c>
    </row>
    <row r="327" spans="1:44">
      <c r="A327" s="4" t="s">
        <v>5</v>
      </c>
      <c r="C327" s="4">
        <v>2994</v>
      </c>
      <c r="D327" s="5" t="s">
        <v>93</v>
      </c>
      <c r="E327" s="6" t="s">
        <v>876</v>
      </c>
      <c r="F327" s="5" t="s">
        <v>877</v>
      </c>
      <c r="Z327" s="4" t="s">
        <v>447</v>
      </c>
      <c r="AA327" s="4" t="s">
        <v>448</v>
      </c>
      <c r="AP327" s="4" t="s">
        <v>376</v>
      </c>
      <c r="AR327" s="4" t="s">
        <v>377</v>
      </c>
    </row>
    <row r="328" spans="1:44">
      <c r="A328" s="4" t="s">
        <v>5</v>
      </c>
      <c r="C328" s="4">
        <v>6003</v>
      </c>
      <c r="D328" s="5" t="s">
        <v>93</v>
      </c>
      <c r="E328" s="6" t="s">
        <v>878</v>
      </c>
      <c r="AP328" s="4" t="s">
        <v>376</v>
      </c>
      <c r="AR328" s="4" t="s">
        <v>377</v>
      </c>
    </row>
    <row r="329" spans="1:44">
      <c r="A329" s="4" t="s">
        <v>5</v>
      </c>
      <c r="C329" s="4">
        <v>1688</v>
      </c>
      <c r="D329" s="5" t="s">
        <v>93</v>
      </c>
      <c r="E329" s="6" t="s">
        <v>879</v>
      </c>
      <c r="F329" s="5" t="s">
        <v>880</v>
      </c>
      <c r="AP329" s="4" t="s">
        <v>376</v>
      </c>
      <c r="AR329" s="4" t="s">
        <v>377</v>
      </c>
    </row>
    <row r="330" spans="1:44" ht="30">
      <c r="A330" s="4" t="s">
        <v>5</v>
      </c>
      <c r="C330" s="4">
        <v>5426</v>
      </c>
      <c r="D330" s="5" t="s">
        <v>93</v>
      </c>
      <c r="E330" s="6" t="s">
        <v>881</v>
      </c>
      <c r="F330" s="5" t="s">
        <v>882</v>
      </c>
      <c r="AP330" s="4" t="s">
        <v>376</v>
      </c>
      <c r="AR330" s="4" t="s">
        <v>377</v>
      </c>
    </row>
    <row r="331" spans="1:44">
      <c r="A331" s="4" t="s">
        <v>5</v>
      </c>
      <c r="C331" s="4">
        <v>5526</v>
      </c>
      <c r="D331" s="5" t="s">
        <v>93</v>
      </c>
      <c r="E331" s="6" t="s">
        <v>883</v>
      </c>
      <c r="AP331" s="4" t="s">
        <v>376</v>
      </c>
      <c r="AR331" s="4" t="s">
        <v>377</v>
      </c>
    </row>
    <row r="332" spans="1:44" ht="30">
      <c r="A332" s="4" t="s">
        <v>5</v>
      </c>
      <c r="C332" s="4">
        <v>3445</v>
      </c>
      <c r="D332" s="5" t="s">
        <v>93</v>
      </c>
      <c r="E332" s="6" t="s">
        <v>884</v>
      </c>
      <c r="AP332" s="4" t="s">
        <v>376</v>
      </c>
      <c r="AR332" s="4" t="s">
        <v>377</v>
      </c>
    </row>
    <row r="333" spans="1:44">
      <c r="A333" s="4" t="s">
        <v>5</v>
      </c>
      <c r="C333" s="4">
        <v>1024</v>
      </c>
      <c r="D333" s="5" t="s">
        <v>93</v>
      </c>
      <c r="E333" s="6" t="s">
        <v>885</v>
      </c>
      <c r="F333" s="5" t="s">
        <v>886</v>
      </c>
      <c r="AP333" s="4" t="s">
        <v>376</v>
      </c>
      <c r="AR333" s="4" t="s">
        <v>377</v>
      </c>
    </row>
    <row r="334" spans="1:44">
      <c r="A334" s="4" t="s">
        <v>5</v>
      </c>
      <c r="C334" s="4">
        <v>3805</v>
      </c>
      <c r="D334" s="5" t="s">
        <v>93</v>
      </c>
      <c r="E334" s="6" t="s">
        <v>887</v>
      </c>
      <c r="F334" s="5" t="s">
        <v>888</v>
      </c>
      <c r="Z334" s="4" t="s">
        <v>695</v>
      </c>
      <c r="AA334" s="4" t="s">
        <v>696</v>
      </c>
      <c r="AP334" s="4" t="s">
        <v>376</v>
      </c>
      <c r="AR334" s="4" t="s">
        <v>377</v>
      </c>
    </row>
    <row r="335" spans="1:44">
      <c r="A335" s="4" t="s">
        <v>5</v>
      </c>
      <c r="C335" s="4">
        <v>3174</v>
      </c>
      <c r="D335" s="5" t="s">
        <v>93</v>
      </c>
      <c r="E335" s="6" t="s">
        <v>889</v>
      </c>
      <c r="AP335" s="4" t="s">
        <v>376</v>
      </c>
      <c r="AR335" s="4" t="s">
        <v>377</v>
      </c>
    </row>
    <row r="336" spans="1:44" ht="30">
      <c r="A336" s="4" t="s">
        <v>5</v>
      </c>
      <c r="C336" s="4">
        <v>5551</v>
      </c>
      <c r="D336" s="5" t="s">
        <v>93</v>
      </c>
      <c r="E336" s="6" t="s">
        <v>890</v>
      </c>
      <c r="AP336" s="4" t="s">
        <v>376</v>
      </c>
      <c r="AR336" s="4" t="s">
        <v>377</v>
      </c>
    </row>
    <row r="337" spans="1:44">
      <c r="A337" s="4" t="s">
        <v>5</v>
      </c>
      <c r="C337" s="4">
        <v>4350</v>
      </c>
      <c r="D337" s="5" t="s">
        <v>93</v>
      </c>
      <c r="E337" s="6" t="s">
        <v>891</v>
      </c>
      <c r="AP337" s="4" t="s">
        <v>376</v>
      </c>
      <c r="AR337" s="4" t="s">
        <v>377</v>
      </c>
    </row>
    <row r="338" spans="1:44">
      <c r="A338" s="4" t="s">
        <v>5</v>
      </c>
      <c r="C338" s="4">
        <v>4101</v>
      </c>
      <c r="D338" s="5" t="s">
        <v>93</v>
      </c>
      <c r="E338" s="6" t="s">
        <v>892</v>
      </c>
      <c r="AP338" s="4" t="s">
        <v>376</v>
      </c>
      <c r="AR338" s="4" t="s">
        <v>377</v>
      </c>
    </row>
    <row r="339" spans="1:44">
      <c r="A339" s="4" t="s">
        <v>5</v>
      </c>
      <c r="C339" s="4">
        <v>4970</v>
      </c>
      <c r="D339" s="5" t="s">
        <v>93</v>
      </c>
      <c r="E339" s="6" t="s">
        <v>893</v>
      </c>
      <c r="F339" s="5" t="s">
        <v>894</v>
      </c>
      <c r="AP339" s="4" t="s">
        <v>376</v>
      </c>
      <c r="AR339" s="4" t="s">
        <v>377</v>
      </c>
    </row>
    <row r="340" spans="1:44">
      <c r="A340" s="4" t="s">
        <v>5</v>
      </c>
      <c r="C340" s="4">
        <v>4912</v>
      </c>
      <c r="D340" s="5" t="s">
        <v>93</v>
      </c>
      <c r="E340" s="6" t="s">
        <v>895</v>
      </c>
      <c r="AP340" s="4" t="s">
        <v>376</v>
      </c>
      <c r="AR340" s="4" t="s">
        <v>377</v>
      </c>
    </row>
    <row r="341" spans="1:44">
      <c r="A341" s="4" t="s">
        <v>5</v>
      </c>
      <c r="C341" s="4">
        <v>5139</v>
      </c>
      <c r="D341" s="5" t="s">
        <v>93</v>
      </c>
      <c r="E341" s="6" t="s">
        <v>896</v>
      </c>
      <c r="F341" s="5" t="s">
        <v>897</v>
      </c>
      <c r="AP341" s="4" t="s">
        <v>376</v>
      </c>
      <c r="AR341" s="4" t="s">
        <v>377</v>
      </c>
    </row>
    <row r="342" spans="1:44" ht="30">
      <c r="A342" s="4" t="s">
        <v>5</v>
      </c>
      <c r="C342" s="4">
        <v>1325</v>
      </c>
      <c r="D342" s="5" t="s">
        <v>93</v>
      </c>
      <c r="E342" s="6" t="s">
        <v>898</v>
      </c>
      <c r="AP342" s="4" t="s">
        <v>376</v>
      </c>
      <c r="AR342" s="4" t="s">
        <v>377</v>
      </c>
    </row>
    <row r="343" spans="1:44">
      <c r="A343" s="4" t="s">
        <v>5</v>
      </c>
      <c r="C343" s="4">
        <v>2515</v>
      </c>
      <c r="D343" s="5" t="s">
        <v>93</v>
      </c>
      <c r="E343" s="6" t="s">
        <v>899</v>
      </c>
      <c r="F343" s="5" t="s">
        <v>900</v>
      </c>
      <c r="AP343" s="4" t="s">
        <v>376</v>
      </c>
      <c r="AR343" s="4" t="s">
        <v>377</v>
      </c>
    </row>
    <row r="344" spans="1:44">
      <c r="A344" s="4" t="s">
        <v>5</v>
      </c>
      <c r="C344" s="4">
        <v>5859</v>
      </c>
      <c r="D344" s="5" t="s">
        <v>93</v>
      </c>
      <c r="E344" s="6" t="s">
        <v>901</v>
      </c>
      <c r="AP344" s="4" t="s">
        <v>376</v>
      </c>
      <c r="AR344" s="4" t="s">
        <v>377</v>
      </c>
    </row>
    <row r="345" spans="1:44">
      <c r="A345" s="4" t="s">
        <v>5</v>
      </c>
      <c r="C345" s="4">
        <v>1706</v>
      </c>
      <c r="D345" s="5" t="s">
        <v>93</v>
      </c>
      <c r="E345" s="6" t="s">
        <v>902</v>
      </c>
      <c r="AP345" s="4" t="s">
        <v>376</v>
      </c>
      <c r="AR345" s="4" t="s">
        <v>377</v>
      </c>
    </row>
    <row r="346" spans="1:44">
      <c r="A346" s="4" t="s">
        <v>5</v>
      </c>
      <c r="C346" s="4">
        <v>4007</v>
      </c>
      <c r="D346" s="5" t="s">
        <v>93</v>
      </c>
      <c r="E346" s="6" t="s">
        <v>903</v>
      </c>
      <c r="AP346" s="4" t="s">
        <v>376</v>
      </c>
      <c r="AR346" s="4" t="s">
        <v>377</v>
      </c>
    </row>
    <row r="347" spans="1:44">
      <c r="A347" s="4" t="s">
        <v>5</v>
      </c>
      <c r="C347" s="4">
        <v>3986</v>
      </c>
      <c r="D347" s="5" t="s">
        <v>93</v>
      </c>
      <c r="E347" s="6" t="s">
        <v>904</v>
      </c>
      <c r="Z347" s="4" t="s">
        <v>443</v>
      </c>
      <c r="AA347" s="4" t="s">
        <v>444</v>
      </c>
      <c r="AP347" s="4" t="s">
        <v>376</v>
      </c>
      <c r="AR347" s="4" t="s">
        <v>377</v>
      </c>
    </row>
    <row r="348" spans="1:44">
      <c r="A348" s="4" t="s">
        <v>5</v>
      </c>
      <c r="C348" s="4">
        <v>1187</v>
      </c>
      <c r="D348" s="5" t="s">
        <v>93</v>
      </c>
      <c r="E348" s="6" t="s">
        <v>905</v>
      </c>
      <c r="AP348" s="4" t="s">
        <v>376</v>
      </c>
      <c r="AR348" s="4" t="s">
        <v>377</v>
      </c>
    </row>
    <row r="349" spans="1:44">
      <c r="A349" s="4" t="s">
        <v>5</v>
      </c>
      <c r="C349" s="4">
        <v>1416</v>
      </c>
      <c r="D349" s="5" t="s">
        <v>93</v>
      </c>
      <c r="E349" s="6" t="s">
        <v>906</v>
      </c>
      <c r="AP349" s="4" t="s">
        <v>376</v>
      </c>
      <c r="AR349" s="4" t="s">
        <v>377</v>
      </c>
    </row>
    <row r="350" spans="1:44">
      <c r="A350" s="4" t="s">
        <v>5</v>
      </c>
      <c r="C350" s="4">
        <v>6334</v>
      </c>
      <c r="D350" s="5" t="s">
        <v>93</v>
      </c>
      <c r="E350" s="6" t="s">
        <v>907</v>
      </c>
      <c r="AP350" s="4" t="s">
        <v>376</v>
      </c>
      <c r="AR350" s="4" t="s">
        <v>377</v>
      </c>
    </row>
    <row r="351" spans="1:44">
      <c r="A351" s="4" t="s">
        <v>5</v>
      </c>
      <c r="C351" s="4">
        <v>6393</v>
      </c>
      <c r="D351" s="5" t="s">
        <v>93</v>
      </c>
      <c r="E351" s="6" t="s">
        <v>908</v>
      </c>
      <c r="AP351" s="4" t="s">
        <v>376</v>
      </c>
      <c r="AR351" s="4" t="s">
        <v>377</v>
      </c>
    </row>
    <row r="352" spans="1:44">
      <c r="A352" s="4" t="s">
        <v>5</v>
      </c>
      <c r="C352" s="4">
        <v>6275</v>
      </c>
      <c r="D352" s="5" t="s">
        <v>93</v>
      </c>
      <c r="E352" s="6" t="s">
        <v>909</v>
      </c>
      <c r="AP352" s="4" t="s">
        <v>376</v>
      </c>
      <c r="AR352" s="4" t="s">
        <v>377</v>
      </c>
    </row>
    <row r="353" spans="1:44">
      <c r="A353" s="4" t="s">
        <v>5</v>
      </c>
      <c r="C353" s="4">
        <v>4558</v>
      </c>
      <c r="D353" s="5" t="s">
        <v>93</v>
      </c>
      <c r="E353" s="6" t="s">
        <v>910</v>
      </c>
      <c r="Z353" s="4" t="s">
        <v>443</v>
      </c>
      <c r="AA353" s="4" t="s">
        <v>444</v>
      </c>
      <c r="AP353" s="4" t="s">
        <v>376</v>
      </c>
      <c r="AR353" s="4" t="s">
        <v>377</v>
      </c>
    </row>
    <row r="354" spans="1:44">
      <c r="A354" s="4" t="s">
        <v>5</v>
      </c>
      <c r="C354" s="4">
        <v>775</v>
      </c>
      <c r="D354" s="5" t="s">
        <v>93</v>
      </c>
      <c r="E354" s="6" t="s">
        <v>911</v>
      </c>
      <c r="AP354" s="4" t="s">
        <v>376</v>
      </c>
      <c r="AR354" s="4" t="s">
        <v>377</v>
      </c>
    </row>
    <row r="355" spans="1:44" ht="30">
      <c r="A355" s="4" t="s">
        <v>5</v>
      </c>
      <c r="C355" s="4">
        <v>6802</v>
      </c>
      <c r="D355" s="5" t="s">
        <v>93</v>
      </c>
      <c r="E355" s="6" t="s">
        <v>912</v>
      </c>
      <c r="AP355" s="4" t="s">
        <v>376</v>
      </c>
      <c r="AR355" s="4" t="s">
        <v>377</v>
      </c>
    </row>
    <row r="356" spans="1:44">
      <c r="A356" s="4" t="s">
        <v>5</v>
      </c>
      <c r="C356" s="4">
        <v>1094</v>
      </c>
      <c r="D356" s="5" t="s">
        <v>93</v>
      </c>
      <c r="E356" s="6" t="s">
        <v>913</v>
      </c>
      <c r="AP356" s="4" t="s">
        <v>376</v>
      </c>
      <c r="AR356" s="4" t="s">
        <v>377</v>
      </c>
    </row>
    <row r="357" spans="1:44">
      <c r="A357" s="4" t="s">
        <v>5</v>
      </c>
      <c r="C357" s="4">
        <v>3807</v>
      </c>
      <c r="D357" s="5" t="s">
        <v>93</v>
      </c>
      <c r="E357" s="6" t="s">
        <v>914</v>
      </c>
      <c r="AP357" s="4" t="s">
        <v>376</v>
      </c>
      <c r="AR357" s="4" t="s">
        <v>377</v>
      </c>
    </row>
    <row r="358" spans="1:44">
      <c r="A358" s="4" t="s">
        <v>5</v>
      </c>
      <c r="C358" s="4">
        <v>5370</v>
      </c>
      <c r="D358" s="5" t="s">
        <v>93</v>
      </c>
      <c r="E358" s="6" t="s">
        <v>915</v>
      </c>
      <c r="AP358" s="4" t="s">
        <v>376</v>
      </c>
      <c r="AR358" s="4" t="s">
        <v>377</v>
      </c>
    </row>
    <row r="359" spans="1:44">
      <c r="A359" s="4" t="s">
        <v>5</v>
      </c>
      <c r="C359" s="4">
        <v>5701</v>
      </c>
      <c r="D359" s="5" t="s">
        <v>93</v>
      </c>
      <c r="E359" s="6" t="s">
        <v>916</v>
      </c>
      <c r="AP359" s="4" t="s">
        <v>376</v>
      </c>
      <c r="AR359" s="4" t="s">
        <v>377</v>
      </c>
    </row>
    <row r="360" spans="1:44">
      <c r="A360" s="4" t="s">
        <v>5</v>
      </c>
      <c r="C360" s="4">
        <v>3480</v>
      </c>
      <c r="D360" s="5" t="s">
        <v>93</v>
      </c>
      <c r="E360" s="6" t="s">
        <v>917</v>
      </c>
      <c r="F360" s="5" t="s">
        <v>918</v>
      </c>
      <c r="Z360" s="4" t="s">
        <v>695</v>
      </c>
      <c r="AA360" s="4" t="s">
        <v>696</v>
      </c>
      <c r="AP360" s="4" t="s">
        <v>376</v>
      </c>
      <c r="AR360" s="4" t="s">
        <v>377</v>
      </c>
    </row>
    <row r="361" spans="1:44">
      <c r="A361" s="4" t="s">
        <v>5</v>
      </c>
      <c r="C361" s="4">
        <v>4833</v>
      </c>
      <c r="D361" s="5" t="s">
        <v>93</v>
      </c>
      <c r="E361" s="6" t="s">
        <v>919</v>
      </c>
      <c r="AP361" s="4" t="s">
        <v>376</v>
      </c>
      <c r="AR361" s="4" t="s">
        <v>377</v>
      </c>
    </row>
    <row r="362" spans="1:44">
      <c r="A362" s="4" t="s">
        <v>5</v>
      </c>
      <c r="C362" s="4">
        <v>4395</v>
      </c>
      <c r="D362" s="5" t="s">
        <v>93</v>
      </c>
      <c r="E362" s="6" t="s">
        <v>920</v>
      </c>
      <c r="AP362" s="4" t="s">
        <v>376</v>
      </c>
      <c r="AR362" s="4" t="s">
        <v>377</v>
      </c>
    </row>
    <row r="363" spans="1:44">
      <c r="A363" s="4" t="s">
        <v>5</v>
      </c>
      <c r="C363" s="4">
        <v>5904</v>
      </c>
      <c r="D363" s="5" t="s">
        <v>93</v>
      </c>
      <c r="E363" s="6" t="s">
        <v>921</v>
      </c>
      <c r="F363" s="5" t="s">
        <v>922</v>
      </c>
      <c r="AP363" s="4" t="s">
        <v>376</v>
      </c>
      <c r="AR363" s="4" t="s">
        <v>377</v>
      </c>
    </row>
    <row r="364" spans="1:44" ht="30">
      <c r="A364" s="4" t="s">
        <v>5</v>
      </c>
      <c r="C364" s="4">
        <v>549</v>
      </c>
      <c r="D364" s="5" t="s">
        <v>93</v>
      </c>
      <c r="E364" s="6" t="s">
        <v>923</v>
      </c>
      <c r="F364" s="5" t="s">
        <v>924</v>
      </c>
      <c r="AP364" s="4" t="s">
        <v>376</v>
      </c>
      <c r="AR364" s="4" t="s">
        <v>377</v>
      </c>
    </row>
    <row r="365" spans="1:44">
      <c r="A365" s="4" t="s">
        <v>5</v>
      </c>
      <c r="C365" s="4">
        <v>3389</v>
      </c>
      <c r="D365" s="5" t="s">
        <v>93</v>
      </c>
      <c r="E365" s="6" t="s">
        <v>925</v>
      </c>
      <c r="AP365" s="4" t="s">
        <v>376</v>
      </c>
      <c r="AR365" s="4" t="s">
        <v>377</v>
      </c>
    </row>
    <row r="366" spans="1:44">
      <c r="A366" s="4" t="s">
        <v>5</v>
      </c>
      <c r="C366" s="4">
        <v>4928</v>
      </c>
      <c r="D366" s="5" t="s">
        <v>93</v>
      </c>
      <c r="E366" s="6" t="s">
        <v>926</v>
      </c>
      <c r="Z366" s="4" t="s">
        <v>447</v>
      </c>
      <c r="AA366" s="4" t="s">
        <v>448</v>
      </c>
      <c r="AP366" s="4" t="s">
        <v>376</v>
      </c>
      <c r="AR366" s="4" t="s">
        <v>377</v>
      </c>
    </row>
    <row r="367" spans="1:44">
      <c r="A367" s="4" t="s">
        <v>5</v>
      </c>
      <c r="C367" s="4">
        <v>1399</v>
      </c>
      <c r="D367" s="5" t="s">
        <v>93</v>
      </c>
      <c r="E367" s="6" t="s">
        <v>927</v>
      </c>
      <c r="AP367" s="4" t="s">
        <v>376</v>
      </c>
      <c r="AR367" s="4" t="s">
        <v>377</v>
      </c>
    </row>
    <row r="368" spans="1:44">
      <c r="A368" s="4" t="s">
        <v>5</v>
      </c>
      <c r="C368" s="4">
        <v>2046</v>
      </c>
      <c r="D368" s="5" t="s">
        <v>93</v>
      </c>
      <c r="E368" s="6" t="s">
        <v>928</v>
      </c>
      <c r="AP368" s="4" t="s">
        <v>376</v>
      </c>
      <c r="AR368" s="4" t="s">
        <v>377</v>
      </c>
    </row>
    <row r="369" spans="1:44">
      <c r="A369" s="4" t="s">
        <v>5</v>
      </c>
      <c r="C369" s="4">
        <v>4253</v>
      </c>
      <c r="D369" s="5" t="s">
        <v>93</v>
      </c>
      <c r="E369" s="6" t="s">
        <v>929</v>
      </c>
      <c r="AP369" s="4" t="s">
        <v>376</v>
      </c>
      <c r="AR369" s="4" t="s">
        <v>377</v>
      </c>
    </row>
    <row r="370" spans="1:44">
      <c r="A370" s="4" t="s">
        <v>5</v>
      </c>
      <c r="C370" s="4">
        <v>1201</v>
      </c>
      <c r="D370" s="5" t="s">
        <v>93</v>
      </c>
      <c r="E370" s="6" t="s">
        <v>930</v>
      </c>
      <c r="AP370" s="4" t="s">
        <v>376</v>
      </c>
      <c r="AR370" s="4" t="s">
        <v>377</v>
      </c>
    </row>
    <row r="371" spans="1:44">
      <c r="A371" s="4" t="s">
        <v>5</v>
      </c>
      <c r="C371" s="4">
        <v>652</v>
      </c>
      <c r="D371" s="5" t="s">
        <v>93</v>
      </c>
      <c r="E371" s="6" t="s">
        <v>931</v>
      </c>
      <c r="F371" s="5" t="s">
        <v>932</v>
      </c>
      <c r="AP371" s="4" t="s">
        <v>376</v>
      </c>
      <c r="AR371" s="4" t="s">
        <v>377</v>
      </c>
    </row>
    <row r="372" spans="1:44">
      <c r="A372" s="4" t="s">
        <v>5</v>
      </c>
      <c r="C372" s="4">
        <v>1595</v>
      </c>
      <c r="D372" s="5" t="s">
        <v>93</v>
      </c>
      <c r="E372" s="6" t="s">
        <v>933</v>
      </c>
      <c r="AP372" s="4" t="s">
        <v>376</v>
      </c>
      <c r="AR372" s="4" t="s">
        <v>377</v>
      </c>
    </row>
    <row r="373" spans="1:44">
      <c r="A373" s="4" t="s">
        <v>5</v>
      </c>
      <c r="C373" s="4">
        <v>1758</v>
      </c>
      <c r="D373" s="5" t="s">
        <v>93</v>
      </c>
      <c r="E373" s="6" t="s">
        <v>934</v>
      </c>
      <c r="F373" s="5" t="s">
        <v>935</v>
      </c>
      <c r="AP373" s="4" t="s">
        <v>376</v>
      </c>
      <c r="AR373" s="4" t="s">
        <v>377</v>
      </c>
    </row>
    <row r="374" spans="1:44" ht="30">
      <c r="A374" s="4" t="s">
        <v>5</v>
      </c>
      <c r="C374" s="4">
        <v>6360</v>
      </c>
      <c r="D374" s="5" t="s">
        <v>93</v>
      </c>
      <c r="E374" s="6" t="s">
        <v>936</v>
      </c>
      <c r="AP374" s="4" t="s">
        <v>376</v>
      </c>
      <c r="AR374" s="4" t="s">
        <v>377</v>
      </c>
    </row>
    <row r="375" spans="1:44">
      <c r="A375" s="4" t="s">
        <v>5</v>
      </c>
      <c r="C375" s="4">
        <v>6328</v>
      </c>
      <c r="D375" s="5" t="s">
        <v>93</v>
      </c>
      <c r="E375" s="6" t="s">
        <v>937</v>
      </c>
      <c r="AP375" s="4" t="s">
        <v>376</v>
      </c>
      <c r="AR375" s="4" t="s">
        <v>377</v>
      </c>
    </row>
    <row r="376" spans="1:44">
      <c r="A376" s="4" t="s">
        <v>5</v>
      </c>
      <c r="C376" s="4">
        <v>2282</v>
      </c>
      <c r="D376" s="5" t="s">
        <v>93</v>
      </c>
      <c r="E376" s="6" t="s">
        <v>938</v>
      </c>
      <c r="AP376" s="4" t="s">
        <v>376</v>
      </c>
      <c r="AR376" s="4" t="s">
        <v>377</v>
      </c>
    </row>
    <row r="377" spans="1:44">
      <c r="A377" s="4" t="s">
        <v>5</v>
      </c>
      <c r="C377" s="4">
        <v>5036</v>
      </c>
      <c r="D377" s="5" t="s">
        <v>93</v>
      </c>
      <c r="E377" s="6" t="s">
        <v>939</v>
      </c>
      <c r="AP377" s="4" t="s">
        <v>376</v>
      </c>
      <c r="AR377" s="4" t="s">
        <v>377</v>
      </c>
    </row>
    <row r="378" spans="1:44">
      <c r="A378" s="4" t="s">
        <v>5</v>
      </c>
      <c r="C378" s="4">
        <v>6995</v>
      </c>
      <c r="D378" s="5" t="s">
        <v>93</v>
      </c>
      <c r="E378" s="6" t="s">
        <v>940</v>
      </c>
      <c r="AP378" s="4" t="s">
        <v>376</v>
      </c>
      <c r="AR378" s="4" t="s">
        <v>377</v>
      </c>
    </row>
    <row r="379" spans="1:44">
      <c r="A379" s="4" t="s">
        <v>5</v>
      </c>
      <c r="C379" s="4">
        <v>5699</v>
      </c>
      <c r="D379" s="5" t="s">
        <v>93</v>
      </c>
      <c r="E379" s="6" t="s">
        <v>941</v>
      </c>
      <c r="AP379" s="4" t="s">
        <v>376</v>
      </c>
      <c r="AR379" s="4" t="s">
        <v>377</v>
      </c>
    </row>
    <row r="380" spans="1:44">
      <c r="A380" s="4" t="s">
        <v>5</v>
      </c>
      <c r="C380" s="4">
        <v>4329</v>
      </c>
      <c r="D380" s="5" t="s">
        <v>93</v>
      </c>
      <c r="E380" s="6" t="s">
        <v>942</v>
      </c>
      <c r="AP380" s="4" t="s">
        <v>376</v>
      </c>
      <c r="AR380" s="4" t="s">
        <v>377</v>
      </c>
    </row>
    <row r="381" spans="1:44">
      <c r="A381" s="4" t="s">
        <v>5</v>
      </c>
      <c r="C381" s="4">
        <v>4307</v>
      </c>
      <c r="D381" s="5" t="s">
        <v>93</v>
      </c>
      <c r="E381" s="6" t="s">
        <v>943</v>
      </c>
      <c r="Z381" s="4" t="s">
        <v>443</v>
      </c>
      <c r="AA381" s="4" t="s">
        <v>444</v>
      </c>
      <c r="AP381" s="4" t="s">
        <v>376</v>
      </c>
      <c r="AR381" s="4" t="s">
        <v>377</v>
      </c>
    </row>
    <row r="382" spans="1:44" ht="30">
      <c r="A382" s="4" t="s">
        <v>5</v>
      </c>
      <c r="C382" s="4">
        <v>3267</v>
      </c>
      <c r="D382" s="5" t="s">
        <v>93</v>
      </c>
      <c r="E382" s="6" t="s">
        <v>944</v>
      </c>
      <c r="F382" s="5" t="s">
        <v>945</v>
      </c>
      <c r="AP382" s="4" t="s">
        <v>376</v>
      </c>
      <c r="AR382" s="4" t="s">
        <v>377</v>
      </c>
    </row>
    <row r="383" spans="1:44">
      <c r="A383" s="4" t="s">
        <v>5</v>
      </c>
      <c r="C383" s="4">
        <v>2259</v>
      </c>
      <c r="D383" s="5" t="s">
        <v>93</v>
      </c>
      <c r="E383" s="6" t="s">
        <v>946</v>
      </c>
      <c r="F383" s="5" t="s">
        <v>947</v>
      </c>
      <c r="AP383" s="4" t="s">
        <v>376</v>
      </c>
      <c r="AR383" s="4" t="s">
        <v>377</v>
      </c>
    </row>
    <row r="384" spans="1:44">
      <c r="A384" s="4" t="s">
        <v>5</v>
      </c>
      <c r="C384" s="4">
        <v>5414</v>
      </c>
      <c r="D384" s="5" t="s">
        <v>93</v>
      </c>
      <c r="E384" s="6" t="s">
        <v>948</v>
      </c>
      <c r="AP384" s="4" t="s">
        <v>376</v>
      </c>
      <c r="AR384" s="4" t="s">
        <v>377</v>
      </c>
    </row>
    <row r="385" spans="1:44">
      <c r="A385" s="4" t="s">
        <v>5</v>
      </c>
      <c r="C385" s="4">
        <v>5903</v>
      </c>
      <c r="D385" s="5" t="s">
        <v>93</v>
      </c>
      <c r="E385" s="6" t="s">
        <v>949</v>
      </c>
      <c r="AP385" s="4" t="s">
        <v>376</v>
      </c>
      <c r="AR385" s="4" t="s">
        <v>377</v>
      </c>
    </row>
    <row r="386" spans="1:44">
      <c r="A386" s="4" t="s">
        <v>5</v>
      </c>
      <c r="C386" s="4">
        <v>2337</v>
      </c>
      <c r="D386" s="5" t="s">
        <v>93</v>
      </c>
      <c r="E386" s="6" t="s">
        <v>950</v>
      </c>
      <c r="F386" s="5" t="s">
        <v>951</v>
      </c>
      <c r="Z386" s="4" t="s">
        <v>447</v>
      </c>
      <c r="AA386" s="4" t="s">
        <v>448</v>
      </c>
      <c r="AP386" s="4" t="s">
        <v>376</v>
      </c>
      <c r="AR386" s="4" t="s">
        <v>377</v>
      </c>
    </row>
    <row r="387" spans="1:44">
      <c r="A387" s="4" t="s">
        <v>5</v>
      </c>
      <c r="C387" s="4">
        <v>54</v>
      </c>
      <c r="D387" s="5" t="s">
        <v>93</v>
      </c>
      <c r="E387" s="6" t="s">
        <v>952</v>
      </c>
      <c r="F387" s="5" t="s">
        <v>953</v>
      </c>
      <c r="Z387" s="4" t="s">
        <v>447</v>
      </c>
      <c r="AA387" s="4" t="s">
        <v>448</v>
      </c>
      <c r="AP387" s="4" t="s">
        <v>376</v>
      </c>
      <c r="AR387" s="4" t="s">
        <v>377</v>
      </c>
    </row>
    <row r="388" spans="1:44" ht="30">
      <c r="A388" s="4" t="s">
        <v>5</v>
      </c>
      <c r="C388" s="4">
        <v>3608</v>
      </c>
      <c r="D388" s="5" t="s">
        <v>93</v>
      </c>
      <c r="E388" s="6" t="s">
        <v>954</v>
      </c>
      <c r="AP388" s="4" t="s">
        <v>376</v>
      </c>
      <c r="AR388" s="4" t="s">
        <v>377</v>
      </c>
    </row>
    <row r="389" spans="1:44">
      <c r="A389" s="4" t="s">
        <v>5</v>
      </c>
      <c r="C389" s="4">
        <v>350</v>
      </c>
      <c r="D389" s="5" t="s">
        <v>93</v>
      </c>
      <c r="E389" s="6" t="s">
        <v>955</v>
      </c>
      <c r="F389" s="5" t="s">
        <v>956</v>
      </c>
      <c r="AP389" s="4" t="s">
        <v>376</v>
      </c>
      <c r="AR389" s="4" t="s">
        <v>377</v>
      </c>
    </row>
    <row r="390" spans="1:44" ht="30">
      <c r="A390" s="4" t="s">
        <v>5</v>
      </c>
      <c r="C390" s="4">
        <v>6622</v>
      </c>
      <c r="D390" s="5" t="s">
        <v>93</v>
      </c>
      <c r="E390" s="6" t="s">
        <v>957</v>
      </c>
      <c r="AP390" s="4" t="s">
        <v>376</v>
      </c>
      <c r="AR390" s="4" t="s">
        <v>377</v>
      </c>
    </row>
    <row r="391" spans="1:44">
      <c r="A391" s="4" t="s">
        <v>5</v>
      </c>
      <c r="C391" s="4">
        <v>5998</v>
      </c>
      <c r="D391" s="5" t="s">
        <v>93</v>
      </c>
      <c r="E391" s="6" t="s">
        <v>958</v>
      </c>
      <c r="AP391" s="4" t="s">
        <v>376</v>
      </c>
      <c r="AR391" s="4" t="s">
        <v>377</v>
      </c>
    </row>
    <row r="392" spans="1:44">
      <c r="A392" s="4" t="s">
        <v>5</v>
      </c>
      <c r="C392" s="4">
        <v>1041</v>
      </c>
      <c r="D392" s="5" t="s">
        <v>93</v>
      </c>
      <c r="E392" s="6" t="s">
        <v>959</v>
      </c>
      <c r="AP392" s="4" t="s">
        <v>376</v>
      </c>
      <c r="AR392" s="4" t="s">
        <v>377</v>
      </c>
    </row>
    <row r="393" spans="1:44">
      <c r="A393" s="4" t="s">
        <v>5</v>
      </c>
      <c r="C393" s="4">
        <v>6754</v>
      </c>
      <c r="D393" s="5" t="s">
        <v>93</v>
      </c>
      <c r="E393" s="6" t="s">
        <v>960</v>
      </c>
      <c r="AP393" s="4" t="s">
        <v>376</v>
      </c>
      <c r="AR393" s="4" t="s">
        <v>377</v>
      </c>
    </row>
    <row r="394" spans="1:44" ht="30">
      <c r="A394" s="4" t="s">
        <v>5</v>
      </c>
      <c r="C394" s="4">
        <v>528</v>
      </c>
      <c r="D394" s="5" t="s">
        <v>93</v>
      </c>
      <c r="E394" s="6" t="s">
        <v>961</v>
      </c>
      <c r="F394" s="5" t="s">
        <v>962</v>
      </c>
      <c r="AP394" s="4" t="s">
        <v>376</v>
      </c>
      <c r="AR394" s="4" t="s">
        <v>377</v>
      </c>
    </row>
    <row r="395" spans="1:44">
      <c r="A395" s="4" t="s">
        <v>5</v>
      </c>
      <c r="C395" s="4">
        <v>5648</v>
      </c>
      <c r="D395" s="5" t="s">
        <v>93</v>
      </c>
      <c r="E395" s="6" t="s">
        <v>963</v>
      </c>
      <c r="AP395" s="4" t="s">
        <v>376</v>
      </c>
      <c r="AR395" s="4" t="s">
        <v>377</v>
      </c>
    </row>
    <row r="396" spans="1:44">
      <c r="A396" s="4" t="s">
        <v>5</v>
      </c>
      <c r="C396" s="4">
        <v>6549</v>
      </c>
      <c r="D396" s="5" t="s">
        <v>93</v>
      </c>
      <c r="E396" s="6" t="s">
        <v>964</v>
      </c>
      <c r="AP396" s="4" t="s">
        <v>376</v>
      </c>
      <c r="AR396" s="4" t="s">
        <v>377</v>
      </c>
    </row>
    <row r="397" spans="1:44" ht="30">
      <c r="A397" s="4" t="s">
        <v>5</v>
      </c>
      <c r="C397" s="4">
        <v>4549</v>
      </c>
      <c r="D397" s="5" t="s">
        <v>93</v>
      </c>
      <c r="E397" s="6" t="s">
        <v>965</v>
      </c>
      <c r="F397" s="5" t="s">
        <v>966</v>
      </c>
      <c r="Z397" s="4" t="s">
        <v>443</v>
      </c>
      <c r="AA397" s="4" t="s">
        <v>444</v>
      </c>
      <c r="AP397" s="4" t="s">
        <v>376</v>
      </c>
      <c r="AR397" s="4" t="s">
        <v>377</v>
      </c>
    </row>
    <row r="398" spans="1:44">
      <c r="A398" s="4" t="s">
        <v>5</v>
      </c>
      <c r="C398" s="4">
        <v>6290</v>
      </c>
      <c r="D398" s="5" t="s">
        <v>93</v>
      </c>
      <c r="E398" s="6" t="s">
        <v>967</v>
      </c>
      <c r="AP398" s="4" t="s">
        <v>376</v>
      </c>
      <c r="AR398" s="4" t="s">
        <v>377</v>
      </c>
    </row>
    <row r="399" spans="1:44" ht="30">
      <c r="A399" s="4" t="s">
        <v>5</v>
      </c>
      <c r="C399" s="4">
        <v>272</v>
      </c>
      <c r="D399" s="5" t="s">
        <v>93</v>
      </c>
      <c r="E399" s="6" t="s">
        <v>968</v>
      </c>
      <c r="F399" s="5" t="s">
        <v>969</v>
      </c>
      <c r="AP399" s="4" t="s">
        <v>376</v>
      </c>
      <c r="AR399" s="4" t="s">
        <v>377</v>
      </c>
    </row>
    <row r="400" spans="1:44">
      <c r="A400" s="4" t="s">
        <v>5</v>
      </c>
      <c r="C400" s="4">
        <v>1045</v>
      </c>
      <c r="D400" s="5" t="s">
        <v>93</v>
      </c>
      <c r="E400" s="6" t="s">
        <v>970</v>
      </c>
      <c r="AP400" s="4" t="s">
        <v>376</v>
      </c>
      <c r="AR400" s="4" t="s">
        <v>377</v>
      </c>
    </row>
    <row r="401" spans="1:44">
      <c r="A401" s="4" t="s">
        <v>5</v>
      </c>
      <c r="C401" s="4">
        <v>4981</v>
      </c>
      <c r="D401" s="5" t="s">
        <v>93</v>
      </c>
      <c r="E401" s="6" t="s">
        <v>971</v>
      </c>
      <c r="AP401" s="4" t="s">
        <v>376</v>
      </c>
      <c r="AR401" s="4" t="s">
        <v>377</v>
      </c>
    </row>
    <row r="402" spans="1:44">
      <c r="A402" s="4" t="s">
        <v>5</v>
      </c>
      <c r="C402" s="4">
        <v>3833</v>
      </c>
      <c r="D402" s="5" t="s">
        <v>93</v>
      </c>
      <c r="E402" s="6" t="s">
        <v>972</v>
      </c>
      <c r="F402" s="5" t="s">
        <v>973</v>
      </c>
      <c r="Z402" s="4" t="s">
        <v>443</v>
      </c>
      <c r="AA402" s="4" t="s">
        <v>444</v>
      </c>
      <c r="AP402" s="4" t="s">
        <v>376</v>
      </c>
      <c r="AR402" s="4" t="s">
        <v>377</v>
      </c>
    </row>
    <row r="403" spans="1:44">
      <c r="A403" s="4" t="s">
        <v>5</v>
      </c>
      <c r="C403" s="4">
        <v>6254</v>
      </c>
      <c r="D403" s="5" t="s">
        <v>93</v>
      </c>
      <c r="E403" s="6" t="s">
        <v>974</v>
      </c>
      <c r="AP403" s="4" t="s">
        <v>376</v>
      </c>
      <c r="AR403" s="4" t="s">
        <v>377</v>
      </c>
    </row>
    <row r="404" spans="1:44">
      <c r="A404" s="4" t="s">
        <v>5</v>
      </c>
      <c r="C404" s="4">
        <v>5077</v>
      </c>
      <c r="D404" s="5" t="s">
        <v>93</v>
      </c>
      <c r="E404" s="6" t="s">
        <v>975</v>
      </c>
      <c r="AP404" s="4" t="s">
        <v>376</v>
      </c>
      <c r="AR404" s="4" t="s">
        <v>377</v>
      </c>
    </row>
    <row r="405" spans="1:44">
      <c r="A405" s="4" t="s">
        <v>5</v>
      </c>
      <c r="C405" s="4">
        <v>2733</v>
      </c>
      <c r="D405" s="5" t="s">
        <v>93</v>
      </c>
      <c r="E405" s="6" t="s">
        <v>976</v>
      </c>
      <c r="F405" s="5" t="s">
        <v>977</v>
      </c>
      <c r="Z405" s="4" t="s">
        <v>447</v>
      </c>
      <c r="AA405" s="4" t="s">
        <v>448</v>
      </c>
      <c r="AP405" s="4" t="s">
        <v>376</v>
      </c>
      <c r="AR405" s="4" t="s">
        <v>377</v>
      </c>
    </row>
    <row r="406" spans="1:44">
      <c r="A406" s="4" t="s">
        <v>5</v>
      </c>
      <c r="C406" s="4">
        <v>2621</v>
      </c>
      <c r="D406" s="5" t="s">
        <v>93</v>
      </c>
      <c r="E406" s="6" t="s">
        <v>978</v>
      </c>
      <c r="F406" s="5" t="s">
        <v>979</v>
      </c>
      <c r="AP406" s="4" t="s">
        <v>376</v>
      </c>
      <c r="AR406" s="4" t="s">
        <v>377</v>
      </c>
    </row>
    <row r="407" spans="1:44" ht="30">
      <c r="A407" s="4" t="s">
        <v>5</v>
      </c>
      <c r="C407" s="4">
        <v>3186</v>
      </c>
      <c r="D407" s="5" t="s">
        <v>93</v>
      </c>
      <c r="E407" s="6" t="s">
        <v>980</v>
      </c>
      <c r="F407" s="5" t="s">
        <v>981</v>
      </c>
      <c r="AP407" s="4" t="s">
        <v>376</v>
      </c>
      <c r="AR407" s="4" t="s">
        <v>377</v>
      </c>
    </row>
    <row r="408" spans="1:44" ht="30">
      <c r="A408" s="4" t="s">
        <v>5</v>
      </c>
      <c r="C408" s="4">
        <v>4018</v>
      </c>
      <c r="D408" s="5" t="s">
        <v>93</v>
      </c>
      <c r="E408" s="6" t="s">
        <v>982</v>
      </c>
      <c r="AP408" s="4" t="s">
        <v>376</v>
      </c>
      <c r="AR408" s="4" t="s">
        <v>377</v>
      </c>
    </row>
    <row r="409" spans="1:44">
      <c r="A409" s="4" t="s">
        <v>5</v>
      </c>
      <c r="C409" s="4">
        <v>172</v>
      </c>
      <c r="D409" s="5" t="s">
        <v>93</v>
      </c>
      <c r="E409" s="6" t="s">
        <v>983</v>
      </c>
      <c r="F409" s="5" t="s">
        <v>984</v>
      </c>
      <c r="AP409" s="4" t="s">
        <v>376</v>
      </c>
      <c r="AR409" s="4" t="s">
        <v>377</v>
      </c>
    </row>
    <row r="410" spans="1:44">
      <c r="A410" s="4" t="s">
        <v>5</v>
      </c>
      <c r="C410" s="4">
        <v>5098</v>
      </c>
      <c r="D410" s="5" t="s">
        <v>93</v>
      </c>
      <c r="E410" s="6" t="s">
        <v>985</v>
      </c>
      <c r="AP410" s="4" t="s">
        <v>376</v>
      </c>
      <c r="AR410" s="4" t="s">
        <v>377</v>
      </c>
    </row>
    <row r="411" spans="1:44">
      <c r="A411" s="4" t="s">
        <v>5</v>
      </c>
      <c r="C411" s="4">
        <v>3254</v>
      </c>
      <c r="D411" s="5" t="s">
        <v>93</v>
      </c>
      <c r="E411" s="6" t="s">
        <v>986</v>
      </c>
      <c r="AP411" s="4" t="s">
        <v>376</v>
      </c>
      <c r="AR411" s="4" t="s">
        <v>377</v>
      </c>
    </row>
    <row r="412" spans="1:44">
      <c r="A412" s="4" t="s">
        <v>5</v>
      </c>
      <c r="C412" s="4">
        <v>1061</v>
      </c>
      <c r="D412" s="5" t="s">
        <v>93</v>
      </c>
      <c r="E412" s="6" t="s">
        <v>987</v>
      </c>
      <c r="AP412" s="4" t="s">
        <v>376</v>
      </c>
      <c r="AR412" s="4" t="s">
        <v>377</v>
      </c>
    </row>
    <row r="413" spans="1:44">
      <c r="A413" s="4" t="s">
        <v>5</v>
      </c>
      <c r="C413" s="4">
        <v>1231</v>
      </c>
      <c r="D413" s="5" t="s">
        <v>93</v>
      </c>
      <c r="E413" s="6" t="s">
        <v>988</v>
      </c>
      <c r="AP413" s="4" t="s">
        <v>376</v>
      </c>
      <c r="AR413" s="4" t="s">
        <v>377</v>
      </c>
    </row>
    <row r="414" spans="1:44">
      <c r="A414" s="4" t="s">
        <v>5</v>
      </c>
      <c r="C414" s="4">
        <v>2416</v>
      </c>
      <c r="D414" s="5" t="s">
        <v>93</v>
      </c>
      <c r="E414" s="6" t="s">
        <v>989</v>
      </c>
      <c r="F414" s="5" t="s">
        <v>990</v>
      </c>
      <c r="Z414" s="4" t="s">
        <v>443</v>
      </c>
      <c r="AA414" s="4" t="s">
        <v>444</v>
      </c>
      <c r="AP414" s="4" t="s">
        <v>376</v>
      </c>
      <c r="AR414" s="4" t="s">
        <v>377</v>
      </c>
    </row>
    <row r="415" spans="1:44">
      <c r="A415" s="4" t="s">
        <v>5</v>
      </c>
      <c r="C415" s="4">
        <v>1653</v>
      </c>
      <c r="D415" s="5" t="s">
        <v>93</v>
      </c>
      <c r="E415" s="6" t="s">
        <v>991</v>
      </c>
      <c r="F415" s="5" t="s">
        <v>992</v>
      </c>
      <c r="Z415" s="4" t="s">
        <v>443</v>
      </c>
      <c r="AA415" s="4" t="s">
        <v>444</v>
      </c>
      <c r="AP415" s="4" t="s">
        <v>376</v>
      </c>
      <c r="AR415" s="4" t="s">
        <v>377</v>
      </c>
    </row>
    <row r="416" spans="1:44">
      <c r="A416" s="4" t="s">
        <v>5</v>
      </c>
      <c r="C416" s="4">
        <v>2792</v>
      </c>
      <c r="D416" s="5" t="s">
        <v>93</v>
      </c>
      <c r="E416" s="6" t="s">
        <v>993</v>
      </c>
      <c r="AP416" s="4" t="s">
        <v>376</v>
      </c>
      <c r="AR416" s="4" t="s">
        <v>377</v>
      </c>
    </row>
    <row r="417" spans="1:44">
      <c r="A417" s="4" t="s">
        <v>5</v>
      </c>
      <c r="C417" s="4">
        <v>5319</v>
      </c>
      <c r="D417" s="5" t="s">
        <v>93</v>
      </c>
      <c r="E417" s="6" t="s">
        <v>994</v>
      </c>
      <c r="AP417" s="4" t="s">
        <v>376</v>
      </c>
      <c r="AR417" s="4" t="s">
        <v>377</v>
      </c>
    </row>
    <row r="418" spans="1:44">
      <c r="A418" s="4" t="s">
        <v>5</v>
      </c>
      <c r="C418" s="4">
        <v>3811</v>
      </c>
      <c r="D418" s="5" t="s">
        <v>93</v>
      </c>
      <c r="E418" s="6" t="s">
        <v>995</v>
      </c>
      <c r="AP418" s="4" t="s">
        <v>376</v>
      </c>
      <c r="AR418" s="4" t="s">
        <v>377</v>
      </c>
    </row>
    <row r="419" spans="1:44">
      <c r="A419" s="4" t="s">
        <v>5</v>
      </c>
      <c r="C419" s="4">
        <v>5985</v>
      </c>
      <c r="D419" s="5" t="s">
        <v>93</v>
      </c>
      <c r="E419" s="6" t="s">
        <v>996</v>
      </c>
      <c r="AP419" s="4" t="s">
        <v>376</v>
      </c>
      <c r="AR419" s="4" t="s">
        <v>377</v>
      </c>
    </row>
    <row r="420" spans="1:44">
      <c r="A420" s="4" t="s">
        <v>5</v>
      </c>
      <c r="C420" s="4">
        <v>6676</v>
      </c>
      <c r="D420" s="5" t="s">
        <v>93</v>
      </c>
      <c r="E420" s="6" t="s">
        <v>997</v>
      </c>
      <c r="AP420" s="4" t="s">
        <v>376</v>
      </c>
      <c r="AR420" s="4" t="s">
        <v>377</v>
      </c>
    </row>
    <row r="421" spans="1:44" ht="30">
      <c r="A421" s="4" t="s">
        <v>5</v>
      </c>
      <c r="C421" s="4">
        <v>1795</v>
      </c>
      <c r="D421" s="5" t="s">
        <v>93</v>
      </c>
      <c r="E421" s="6" t="s">
        <v>998</v>
      </c>
      <c r="F421" s="5" t="s">
        <v>999</v>
      </c>
      <c r="AP421" s="4" t="s">
        <v>376</v>
      </c>
      <c r="AR421" s="4" t="s">
        <v>377</v>
      </c>
    </row>
    <row r="422" spans="1:44">
      <c r="A422" s="4" t="s">
        <v>5</v>
      </c>
      <c r="C422" s="4">
        <v>1592</v>
      </c>
      <c r="D422" s="5" t="s">
        <v>93</v>
      </c>
      <c r="E422" s="6" t="s">
        <v>1000</v>
      </c>
      <c r="AP422" s="4" t="s">
        <v>376</v>
      </c>
      <c r="AR422" s="4" t="s">
        <v>377</v>
      </c>
    </row>
    <row r="423" spans="1:44">
      <c r="A423" s="4" t="s">
        <v>5</v>
      </c>
      <c r="C423" s="4">
        <v>905</v>
      </c>
      <c r="D423" s="5" t="s">
        <v>93</v>
      </c>
      <c r="E423" s="6" t="s">
        <v>1001</v>
      </c>
      <c r="F423" s="5" t="s">
        <v>1002</v>
      </c>
      <c r="AP423" s="4" t="s">
        <v>376</v>
      </c>
      <c r="AR423" s="4" t="s">
        <v>377</v>
      </c>
    </row>
    <row r="424" spans="1:44">
      <c r="A424" s="4" t="s">
        <v>5</v>
      </c>
      <c r="C424" s="4">
        <v>6011</v>
      </c>
      <c r="D424" s="5" t="s">
        <v>93</v>
      </c>
      <c r="E424" s="6" t="s">
        <v>1003</v>
      </c>
      <c r="AP424" s="4" t="s">
        <v>376</v>
      </c>
      <c r="AR424" s="4" t="s">
        <v>377</v>
      </c>
    </row>
    <row r="425" spans="1:44" ht="30">
      <c r="A425" s="4" t="s">
        <v>5</v>
      </c>
      <c r="C425" s="4">
        <v>6296</v>
      </c>
      <c r="D425" s="5" t="s">
        <v>93</v>
      </c>
      <c r="E425" s="6" t="s">
        <v>1004</v>
      </c>
      <c r="AP425" s="4" t="s">
        <v>376</v>
      </c>
      <c r="AR425" s="4" t="s">
        <v>377</v>
      </c>
    </row>
    <row r="426" spans="1:44">
      <c r="A426" s="4" t="s">
        <v>5</v>
      </c>
      <c r="C426" s="4">
        <v>3397</v>
      </c>
      <c r="D426" s="5" t="s">
        <v>93</v>
      </c>
      <c r="E426" s="6" t="s">
        <v>1005</v>
      </c>
      <c r="AP426" s="4" t="s">
        <v>376</v>
      </c>
      <c r="AR426" s="4" t="s">
        <v>377</v>
      </c>
    </row>
    <row r="427" spans="1:44" ht="30">
      <c r="A427" s="4" t="s">
        <v>5</v>
      </c>
      <c r="C427" s="4">
        <v>5766</v>
      </c>
      <c r="D427" s="5" t="s">
        <v>93</v>
      </c>
      <c r="E427" s="6" t="s">
        <v>1006</v>
      </c>
      <c r="AP427" s="4" t="s">
        <v>376</v>
      </c>
      <c r="AR427" s="4" t="s">
        <v>377</v>
      </c>
    </row>
    <row r="428" spans="1:44" ht="30">
      <c r="A428" s="4" t="s">
        <v>5</v>
      </c>
      <c r="C428" s="4">
        <v>4225</v>
      </c>
      <c r="D428" s="5" t="s">
        <v>93</v>
      </c>
      <c r="E428" s="6" t="s">
        <v>1007</v>
      </c>
      <c r="AP428" s="4" t="s">
        <v>376</v>
      </c>
      <c r="AR428" s="4" t="s">
        <v>377</v>
      </c>
    </row>
    <row r="429" spans="1:44">
      <c r="A429" s="4" t="s">
        <v>5</v>
      </c>
      <c r="C429" s="4">
        <v>4675</v>
      </c>
      <c r="D429" s="5" t="s">
        <v>93</v>
      </c>
      <c r="E429" s="6" t="s">
        <v>1008</v>
      </c>
      <c r="AP429" s="4" t="s">
        <v>376</v>
      </c>
      <c r="AR429" s="4" t="s">
        <v>377</v>
      </c>
    </row>
    <row r="430" spans="1:44" ht="30">
      <c r="A430" s="4" t="s">
        <v>5</v>
      </c>
      <c r="C430" s="4">
        <v>2856</v>
      </c>
      <c r="D430" s="5" t="s">
        <v>93</v>
      </c>
      <c r="E430" s="6" t="s">
        <v>1009</v>
      </c>
      <c r="AP430" s="4" t="s">
        <v>376</v>
      </c>
      <c r="AR430" s="4" t="s">
        <v>377</v>
      </c>
    </row>
    <row r="431" spans="1:44" ht="30">
      <c r="A431" s="4" t="s">
        <v>5</v>
      </c>
      <c r="C431" s="4">
        <v>2682</v>
      </c>
      <c r="D431" s="5" t="s">
        <v>93</v>
      </c>
      <c r="E431" s="6" t="s">
        <v>1010</v>
      </c>
      <c r="AP431" s="4" t="s">
        <v>376</v>
      </c>
      <c r="AR431" s="4" t="s">
        <v>377</v>
      </c>
    </row>
    <row r="432" spans="1:44">
      <c r="A432" s="4" t="s">
        <v>5</v>
      </c>
      <c r="C432" s="4">
        <v>4814</v>
      </c>
      <c r="D432" s="5" t="s">
        <v>93</v>
      </c>
      <c r="E432" s="6" t="s">
        <v>1011</v>
      </c>
      <c r="AP432" s="4" t="s">
        <v>376</v>
      </c>
      <c r="AR432" s="4" t="s">
        <v>377</v>
      </c>
    </row>
    <row r="433" spans="1:44">
      <c r="A433" s="4" t="s">
        <v>5</v>
      </c>
      <c r="C433" s="4">
        <v>2645</v>
      </c>
      <c r="D433" s="5" t="s">
        <v>93</v>
      </c>
      <c r="E433" s="6" t="s">
        <v>1012</v>
      </c>
      <c r="F433" s="5" t="s">
        <v>1013</v>
      </c>
      <c r="Z433" s="4" t="s">
        <v>447</v>
      </c>
      <c r="AA433" s="4" t="s">
        <v>448</v>
      </c>
      <c r="AP433" s="4" t="s">
        <v>376</v>
      </c>
      <c r="AR433" s="4" t="s">
        <v>377</v>
      </c>
    </row>
    <row r="434" spans="1:44">
      <c r="A434" s="4" t="s">
        <v>5</v>
      </c>
      <c r="C434" s="4">
        <v>5342</v>
      </c>
      <c r="D434" s="5" t="s">
        <v>93</v>
      </c>
      <c r="E434" s="6" t="s">
        <v>1014</v>
      </c>
      <c r="AP434" s="4" t="s">
        <v>376</v>
      </c>
      <c r="AR434" s="4" t="s">
        <v>377</v>
      </c>
    </row>
    <row r="435" spans="1:44">
      <c r="A435" s="4" t="s">
        <v>5</v>
      </c>
      <c r="C435" s="4">
        <v>3737</v>
      </c>
      <c r="D435" s="5" t="s">
        <v>93</v>
      </c>
      <c r="E435" s="6" t="s">
        <v>1015</v>
      </c>
      <c r="Z435" s="4" t="s">
        <v>447</v>
      </c>
      <c r="AA435" s="4" t="s">
        <v>448</v>
      </c>
      <c r="AP435" s="4" t="s">
        <v>376</v>
      </c>
      <c r="AR435" s="4" t="s">
        <v>377</v>
      </c>
    </row>
    <row r="436" spans="1:44">
      <c r="A436" s="4" t="s">
        <v>5</v>
      </c>
      <c r="C436" s="4">
        <v>5986</v>
      </c>
      <c r="D436" s="5" t="s">
        <v>93</v>
      </c>
      <c r="E436" s="6" t="s">
        <v>1016</v>
      </c>
      <c r="AP436" s="4" t="s">
        <v>376</v>
      </c>
      <c r="AR436" s="4" t="s">
        <v>377</v>
      </c>
    </row>
    <row r="437" spans="1:44">
      <c r="A437" s="4" t="s">
        <v>5</v>
      </c>
      <c r="C437" s="4">
        <v>5793</v>
      </c>
      <c r="D437" s="5" t="s">
        <v>93</v>
      </c>
      <c r="E437" s="6" t="s">
        <v>1017</v>
      </c>
      <c r="AP437" s="4" t="s">
        <v>376</v>
      </c>
      <c r="AR437" s="4" t="s">
        <v>377</v>
      </c>
    </row>
    <row r="438" spans="1:44">
      <c r="A438" s="4" t="s">
        <v>5</v>
      </c>
      <c r="C438" s="4">
        <v>3626</v>
      </c>
      <c r="D438" s="5" t="s">
        <v>93</v>
      </c>
      <c r="E438" s="6" t="s">
        <v>1018</v>
      </c>
      <c r="AP438" s="4" t="s">
        <v>376</v>
      </c>
      <c r="AR438" s="4" t="s">
        <v>377</v>
      </c>
    </row>
    <row r="439" spans="1:44">
      <c r="A439" s="4" t="s">
        <v>5</v>
      </c>
      <c r="C439" s="4">
        <v>6182</v>
      </c>
      <c r="D439" s="5" t="s">
        <v>93</v>
      </c>
      <c r="E439" s="6" t="s">
        <v>1019</v>
      </c>
      <c r="F439" s="5" t="s">
        <v>1020</v>
      </c>
      <c r="AP439" s="4" t="s">
        <v>376</v>
      </c>
      <c r="AR439" s="4" t="s">
        <v>377</v>
      </c>
    </row>
    <row r="440" spans="1:44">
      <c r="A440" s="4" t="s">
        <v>5</v>
      </c>
      <c r="C440" s="4">
        <v>6731</v>
      </c>
      <c r="D440" s="5" t="s">
        <v>93</v>
      </c>
      <c r="E440" s="6" t="s">
        <v>1021</v>
      </c>
      <c r="AP440" s="4" t="s">
        <v>376</v>
      </c>
      <c r="AR440" s="4" t="s">
        <v>377</v>
      </c>
    </row>
    <row r="441" spans="1:44">
      <c r="A441" s="4" t="s">
        <v>5</v>
      </c>
      <c r="C441" s="4">
        <v>992</v>
      </c>
      <c r="D441" s="5" t="s">
        <v>93</v>
      </c>
      <c r="E441" s="6" t="s">
        <v>1022</v>
      </c>
      <c r="F441" s="5" t="s">
        <v>1023</v>
      </c>
      <c r="AP441" s="4" t="s">
        <v>376</v>
      </c>
      <c r="AR441" s="4" t="s">
        <v>377</v>
      </c>
    </row>
    <row r="442" spans="1:44">
      <c r="A442" s="4" t="s">
        <v>5</v>
      </c>
      <c r="C442" s="4">
        <v>4950</v>
      </c>
      <c r="D442" s="5" t="s">
        <v>93</v>
      </c>
      <c r="E442" s="6" t="s">
        <v>1024</v>
      </c>
      <c r="AP442" s="4" t="s">
        <v>376</v>
      </c>
      <c r="AR442" s="4" t="s">
        <v>377</v>
      </c>
    </row>
    <row r="443" spans="1:44">
      <c r="A443" s="4" t="s">
        <v>5</v>
      </c>
      <c r="C443" s="4">
        <v>315</v>
      </c>
      <c r="D443" s="5" t="s">
        <v>93</v>
      </c>
      <c r="E443" s="6" t="s">
        <v>1025</v>
      </c>
      <c r="F443" s="5" t="s">
        <v>1026</v>
      </c>
      <c r="AP443" s="4" t="s">
        <v>376</v>
      </c>
      <c r="AR443" s="4" t="s">
        <v>377</v>
      </c>
    </row>
    <row r="444" spans="1:44">
      <c r="A444" s="4" t="s">
        <v>5</v>
      </c>
      <c r="C444" s="4">
        <v>2478</v>
      </c>
      <c r="D444" s="5" t="s">
        <v>93</v>
      </c>
      <c r="E444" s="6" t="s">
        <v>1027</v>
      </c>
      <c r="AP444" s="4" t="s">
        <v>376</v>
      </c>
      <c r="AR444" s="4" t="s">
        <v>377</v>
      </c>
    </row>
    <row r="445" spans="1:44">
      <c r="A445" s="4" t="s">
        <v>5</v>
      </c>
      <c r="C445" s="4">
        <v>3721</v>
      </c>
      <c r="D445" s="5" t="s">
        <v>93</v>
      </c>
      <c r="E445" s="6" t="s">
        <v>1028</v>
      </c>
      <c r="F445" s="5" t="s">
        <v>1029</v>
      </c>
      <c r="Z445" s="4" t="s">
        <v>447</v>
      </c>
      <c r="AA445" s="4" t="s">
        <v>448</v>
      </c>
      <c r="AP445" s="4" t="s">
        <v>376</v>
      </c>
      <c r="AR445" s="4" t="s">
        <v>377</v>
      </c>
    </row>
    <row r="446" spans="1:44">
      <c r="A446" s="4" t="s">
        <v>5</v>
      </c>
      <c r="C446" s="4">
        <v>462</v>
      </c>
      <c r="D446" s="5" t="s">
        <v>93</v>
      </c>
      <c r="E446" s="6" t="s">
        <v>1030</v>
      </c>
      <c r="Z446" s="4" t="s">
        <v>443</v>
      </c>
      <c r="AA446" s="4" t="s">
        <v>444</v>
      </c>
      <c r="AP446" s="4" t="s">
        <v>376</v>
      </c>
      <c r="AR446" s="4" t="s">
        <v>377</v>
      </c>
    </row>
    <row r="447" spans="1:44">
      <c r="A447" s="4" t="s">
        <v>5</v>
      </c>
      <c r="C447" s="4">
        <v>4756</v>
      </c>
      <c r="D447" s="5" t="s">
        <v>93</v>
      </c>
      <c r="E447" s="6" t="s">
        <v>1031</v>
      </c>
      <c r="AP447" s="4" t="s">
        <v>376</v>
      </c>
      <c r="AR447" s="4" t="s">
        <v>377</v>
      </c>
    </row>
    <row r="448" spans="1:44">
      <c r="A448" s="4" t="s">
        <v>5</v>
      </c>
      <c r="C448" s="4">
        <v>5039</v>
      </c>
      <c r="D448" s="5" t="s">
        <v>93</v>
      </c>
      <c r="E448" s="6" t="s">
        <v>1032</v>
      </c>
      <c r="AP448" s="4" t="s">
        <v>376</v>
      </c>
      <c r="AR448" s="4" t="s">
        <v>377</v>
      </c>
    </row>
    <row r="449" spans="1:44" ht="30">
      <c r="A449" s="4" t="s">
        <v>5</v>
      </c>
      <c r="C449" s="4">
        <v>3632</v>
      </c>
      <c r="D449" s="5" t="s">
        <v>93</v>
      </c>
      <c r="E449" s="6" t="s">
        <v>1033</v>
      </c>
      <c r="AP449" s="4" t="s">
        <v>376</v>
      </c>
      <c r="AR449" s="4" t="s">
        <v>377</v>
      </c>
    </row>
    <row r="450" spans="1:44">
      <c r="A450" s="4" t="s">
        <v>5</v>
      </c>
      <c r="C450" s="4">
        <v>1954</v>
      </c>
      <c r="D450" s="5" t="s">
        <v>93</v>
      </c>
      <c r="E450" s="6" t="s">
        <v>1034</v>
      </c>
      <c r="F450" s="5" t="s">
        <v>1035</v>
      </c>
      <c r="AP450" s="4" t="s">
        <v>376</v>
      </c>
      <c r="AR450" s="4" t="s">
        <v>377</v>
      </c>
    </row>
    <row r="451" spans="1:44">
      <c r="A451" s="4" t="s">
        <v>5</v>
      </c>
      <c r="C451" s="4">
        <v>3775</v>
      </c>
      <c r="D451" s="5" t="s">
        <v>93</v>
      </c>
      <c r="E451" s="6" t="s">
        <v>1036</v>
      </c>
      <c r="F451" s="5" t="s">
        <v>1037</v>
      </c>
      <c r="Z451" s="4" t="s">
        <v>695</v>
      </c>
      <c r="AA451" s="4" t="s">
        <v>696</v>
      </c>
      <c r="AP451" s="4" t="s">
        <v>376</v>
      </c>
      <c r="AR451" s="4" t="s">
        <v>377</v>
      </c>
    </row>
    <row r="452" spans="1:44" ht="30">
      <c r="A452" s="4" t="s">
        <v>5</v>
      </c>
      <c r="C452" s="4">
        <v>6083</v>
      </c>
      <c r="D452" s="5" t="s">
        <v>93</v>
      </c>
      <c r="E452" s="6" t="s">
        <v>1038</v>
      </c>
      <c r="F452" s="5" t="s">
        <v>1039</v>
      </c>
      <c r="AP452" s="4" t="s">
        <v>376</v>
      </c>
      <c r="AR452" s="4" t="s">
        <v>377</v>
      </c>
    </row>
    <row r="453" spans="1:44">
      <c r="A453" s="4" t="s">
        <v>5</v>
      </c>
      <c r="C453" s="4">
        <v>5390</v>
      </c>
      <c r="D453" s="5" t="s">
        <v>93</v>
      </c>
      <c r="E453" s="6" t="s">
        <v>1040</v>
      </c>
      <c r="AP453" s="4" t="s">
        <v>376</v>
      </c>
      <c r="AR453" s="4" t="s">
        <v>377</v>
      </c>
    </row>
    <row r="454" spans="1:44">
      <c r="A454" s="4" t="s">
        <v>5</v>
      </c>
      <c r="C454" s="4">
        <v>4510</v>
      </c>
      <c r="D454" s="5" t="s">
        <v>93</v>
      </c>
      <c r="E454" s="6" t="s">
        <v>1041</v>
      </c>
      <c r="F454" s="5" t="s">
        <v>1042</v>
      </c>
      <c r="AP454" s="4" t="s">
        <v>376</v>
      </c>
      <c r="AR454" s="4" t="s">
        <v>377</v>
      </c>
    </row>
    <row r="455" spans="1:44">
      <c r="A455" s="4" t="s">
        <v>5</v>
      </c>
      <c r="C455" s="4">
        <v>2219</v>
      </c>
      <c r="D455" s="5" t="s">
        <v>93</v>
      </c>
      <c r="E455" s="6" t="s">
        <v>1043</v>
      </c>
      <c r="F455" s="5" t="s">
        <v>1044</v>
      </c>
      <c r="Z455" s="4" t="s">
        <v>443</v>
      </c>
      <c r="AA455" s="4" t="s">
        <v>444</v>
      </c>
      <c r="AP455" s="4" t="s">
        <v>376</v>
      </c>
      <c r="AR455" s="4" t="s">
        <v>377</v>
      </c>
    </row>
    <row r="456" spans="1:44">
      <c r="A456" s="4" t="s">
        <v>5</v>
      </c>
      <c r="C456" s="4">
        <v>1618</v>
      </c>
      <c r="D456" s="5" t="s">
        <v>93</v>
      </c>
      <c r="E456" s="6" t="s">
        <v>1045</v>
      </c>
      <c r="AP456" s="4" t="s">
        <v>376</v>
      </c>
      <c r="AR456" s="4" t="s">
        <v>377</v>
      </c>
    </row>
    <row r="457" spans="1:44">
      <c r="A457" s="4" t="s">
        <v>5</v>
      </c>
      <c r="C457" s="4">
        <v>2497</v>
      </c>
      <c r="D457" s="5" t="s">
        <v>93</v>
      </c>
      <c r="E457" s="6" t="s">
        <v>1046</v>
      </c>
      <c r="AP457" s="4" t="s">
        <v>376</v>
      </c>
      <c r="AR457" s="4" t="s">
        <v>377</v>
      </c>
    </row>
    <row r="458" spans="1:44" ht="30">
      <c r="A458" s="4" t="s">
        <v>5</v>
      </c>
      <c r="C458" s="4">
        <v>4403</v>
      </c>
      <c r="D458" s="5" t="s">
        <v>93</v>
      </c>
      <c r="E458" s="6" t="s">
        <v>1047</v>
      </c>
      <c r="AP458" s="4" t="s">
        <v>376</v>
      </c>
      <c r="AR458" s="4" t="s">
        <v>377</v>
      </c>
    </row>
    <row r="459" spans="1:44">
      <c r="A459" s="4" t="s">
        <v>5</v>
      </c>
      <c r="C459" s="4">
        <v>62</v>
      </c>
      <c r="D459" s="5" t="s">
        <v>93</v>
      </c>
      <c r="E459" s="6" t="s">
        <v>1048</v>
      </c>
      <c r="F459" s="5" t="s">
        <v>1049</v>
      </c>
      <c r="Z459" s="4" t="s">
        <v>443</v>
      </c>
      <c r="AA459" s="4" t="s">
        <v>444</v>
      </c>
      <c r="AP459" s="4" t="s">
        <v>376</v>
      </c>
      <c r="AR459" s="4" t="s">
        <v>377</v>
      </c>
    </row>
    <row r="460" spans="1:44">
      <c r="A460" s="4" t="s">
        <v>5</v>
      </c>
      <c r="C460" s="4">
        <v>5312</v>
      </c>
      <c r="D460" s="5" t="s">
        <v>93</v>
      </c>
      <c r="E460" s="6" t="s">
        <v>1050</v>
      </c>
      <c r="AP460" s="4" t="s">
        <v>376</v>
      </c>
      <c r="AR460" s="4" t="s">
        <v>377</v>
      </c>
    </row>
    <row r="461" spans="1:44" ht="30">
      <c r="A461" s="4" t="s">
        <v>5</v>
      </c>
      <c r="C461" s="4">
        <v>6821</v>
      </c>
      <c r="D461" s="5" t="s">
        <v>93</v>
      </c>
      <c r="E461" s="6" t="s">
        <v>1051</v>
      </c>
      <c r="F461" s="5" t="s">
        <v>1052</v>
      </c>
      <c r="AP461" s="4" t="s">
        <v>376</v>
      </c>
      <c r="AR461" s="4" t="s">
        <v>377</v>
      </c>
    </row>
    <row r="462" spans="1:44">
      <c r="A462" s="4" t="s">
        <v>5</v>
      </c>
      <c r="C462" s="4">
        <v>435</v>
      </c>
      <c r="D462" s="5" t="s">
        <v>93</v>
      </c>
      <c r="E462" s="6" t="s">
        <v>1053</v>
      </c>
      <c r="F462" s="5" t="s">
        <v>1054</v>
      </c>
      <c r="AP462" s="4" t="s">
        <v>376</v>
      </c>
      <c r="AR462" s="4" t="s">
        <v>377</v>
      </c>
    </row>
    <row r="463" spans="1:44">
      <c r="A463" s="4" t="s">
        <v>5</v>
      </c>
      <c r="C463" s="4">
        <v>5649</v>
      </c>
      <c r="D463" s="5" t="s">
        <v>93</v>
      </c>
      <c r="E463" s="6" t="s">
        <v>1055</v>
      </c>
      <c r="AP463" s="4" t="s">
        <v>376</v>
      </c>
      <c r="AR463" s="4" t="s">
        <v>377</v>
      </c>
    </row>
    <row r="464" spans="1:44" ht="30">
      <c r="A464" s="4" t="s">
        <v>5</v>
      </c>
      <c r="C464" s="4">
        <v>2858</v>
      </c>
      <c r="D464" s="5" t="s">
        <v>93</v>
      </c>
      <c r="E464" s="6" t="s">
        <v>1056</v>
      </c>
      <c r="Z464" s="4" t="s">
        <v>443</v>
      </c>
      <c r="AA464" s="4" t="s">
        <v>444</v>
      </c>
      <c r="AP464" s="4" t="s">
        <v>376</v>
      </c>
      <c r="AR464" s="4" t="s">
        <v>377</v>
      </c>
    </row>
    <row r="465" spans="1:44" ht="30">
      <c r="A465" s="4" t="s">
        <v>5</v>
      </c>
      <c r="C465" s="4">
        <v>2012</v>
      </c>
      <c r="D465" s="5" t="s">
        <v>93</v>
      </c>
      <c r="E465" s="6" t="s">
        <v>1057</v>
      </c>
      <c r="F465" s="5" t="s">
        <v>1058</v>
      </c>
      <c r="AP465" s="4" t="s">
        <v>376</v>
      </c>
      <c r="AR465" s="4" t="s">
        <v>377</v>
      </c>
    </row>
    <row r="466" spans="1:44" ht="30">
      <c r="A466" s="4" t="s">
        <v>5</v>
      </c>
      <c r="C466" s="4">
        <v>6725</v>
      </c>
      <c r="D466" s="5" t="s">
        <v>93</v>
      </c>
      <c r="E466" s="6" t="s">
        <v>1059</v>
      </c>
      <c r="AP466" s="4" t="s">
        <v>376</v>
      </c>
      <c r="AR466" s="4" t="s">
        <v>377</v>
      </c>
    </row>
    <row r="467" spans="1:44">
      <c r="A467" s="4" t="s">
        <v>5</v>
      </c>
      <c r="C467" s="4">
        <v>2396</v>
      </c>
      <c r="D467" s="5" t="s">
        <v>93</v>
      </c>
      <c r="E467" s="6" t="s">
        <v>1060</v>
      </c>
      <c r="F467" s="5" t="s">
        <v>1061</v>
      </c>
      <c r="Z467" s="4" t="s">
        <v>695</v>
      </c>
      <c r="AA467" s="4" t="s">
        <v>696</v>
      </c>
      <c r="AP467" s="4" t="s">
        <v>376</v>
      </c>
      <c r="AR467" s="4" t="s">
        <v>377</v>
      </c>
    </row>
    <row r="468" spans="1:44" ht="30">
      <c r="A468" s="4" t="s">
        <v>5</v>
      </c>
      <c r="C468" s="4">
        <v>4119</v>
      </c>
      <c r="D468" s="5" t="s">
        <v>93</v>
      </c>
      <c r="E468" s="6" t="s">
        <v>1062</v>
      </c>
      <c r="F468" s="5" t="s">
        <v>1063</v>
      </c>
      <c r="AP468" s="4" t="s">
        <v>376</v>
      </c>
      <c r="AR468" s="4" t="s">
        <v>377</v>
      </c>
    </row>
    <row r="469" spans="1:44" ht="30">
      <c r="A469" s="4" t="s">
        <v>5</v>
      </c>
      <c r="C469" s="4">
        <v>6467</v>
      </c>
      <c r="D469" s="5" t="s">
        <v>93</v>
      </c>
      <c r="E469" s="6" t="s">
        <v>1064</v>
      </c>
      <c r="AP469" s="4" t="s">
        <v>376</v>
      </c>
      <c r="AR469" s="4" t="s">
        <v>377</v>
      </c>
    </row>
    <row r="470" spans="1:44">
      <c r="A470" s="4" t="s">
        <v>5</v>
      </c>
      <c r="C470" s="4">
        <v>901</v>
      </c>
      <c r="D470" s="5" t="s">
        <v>93</v>
      </c>
      <c r="E470" s="6" t="s">
        <v>1065</v>
      </c>
      <c r="F470" s="5" t="s">
        <v>1066</v>
      </c>
      <c r="AP470" s="4" t="s">
        <v>376</v>
      </c>
      <c r="AR470" s="4" t="s">
        <v>377</v>
      </c>
    </row>
    <row r="471" spans="1:44">
      <c r="A471" s="4" t="s">
        <v>5</v>
      </c>
      <c r="C471" s="4">
        <v>6626</v>
      </c>
      <c r="D471" s="5" t="s">
        <v>93</v>
      </c>
      <c r="E471" s="6" t="s">
        <v>1067</v>
      </c>
      <c r="AP471" s="4" t="s">
        <v>376</v>
      </c>
      <c r="AR471" s="4" t="s">
        <v>377</v>
      </c>
    </row>
    <row r="472" spans="1:44">
      <c r="A472" s="4" t="s">
        <v>5</v>
      </c>
      <c r="C472" s="4">
        <v>5099</v>
      </c>
      <c r="D472" s="5" t="s">
        <v>93</v>
      </c>
      <c r="E472" s="6" t="s">
        <v>1068</v>
      </c>
      <c r="AP472" s="4" t="s">
        <v>376</v>
      </c>
      <c r="AR472" s="4" t="s">
        <v>377</v>
      </c>
    </row>
    <row r="473" spans="1:44">
      <c r="A473" s="4" t="s">
        <v>5</v>
      </c>
      <c r="C473" s="4">
        <v>4332</v>
      </c>
      <c r="D473" s="5" t="s">
        <v>93</v>
      </c>
      <c r="E473" s="6" t="s">
        <v>1069</v>
      </c>
      <c r="AP473" s="4" t="s">
        <v>376</v>
      </c>
      <c r="AR473" s="4" t="s">
        <v>377</v>
      </c>
    </row>
    <row r="474" spans="1:44" ht="30">
      <c r="A474" s="4" t="s">
        <v>5</v>
      </c>
      <c r="C474" s="4">
        <v>2091</v>
      </c>
      <c r="D474" s="5" t="s">
        <v>93</v>
      </c>
      <c r="E474" s="6" t="s">
        <v>1070</v>
      </c>
      <c r="AP474" s="4" t="s">
        <v>376</v>
      </c>
      <c r="AR474" s="4" t="s">
        <v>377</v>
      </c>
    </row>
    <row r="475" spans="1:44">
      <c r="A475" s="4" t="s">
        <v>5</v>
      </c>
      <c r="C475" s="4">
        <v>3821</v>
      </c>
      <c r="D475" s="5" t="s">
        <v>93</v>
      </c>
      <c r="E475" s="6" t="s">
        <v>1071</v>
      </c>
      <c r="AP475" s="4" t="s">
        <v>376</v>
      </c>
      <c r="AR475" s="4" t="s">
        <v>377</v>
      </c>
    </row>
    <row r="476" spans="1:44">
      <c r="A476" s="4" t="s">
        <v>5</v>
      </c>
      <c r="C476" s="4">
        <v>1809</v>
      </c>
      <c r="D476" s="5" t="s">
        <v>93</v>
      </c>
      <c r="E476" s="6" t="s">
        <v>1072</v>
      </c>
      <c r="AP476" s="4" t="s">
        <v>376</v>
      </c>
      <c r="AR476" s="4" t="s">
        <v>377</v>
      </c>
    </row>
    <row r="477" spans="1:44">
      <c r="A477" s="4" t="s">
        <v>5</v>
      </c>
      <c r="C477" s="4">
        <v>6353</v>
      </c>
      <c r="D477" s="5" t="s">
        <v>93</v>
      </c>
      <c r="E477" s="6" t="s">
        <v>1073</v>
      </c>
      <c r="AP477" s="4" t="s">
        <v>376</v>
      </c>
      <c r="AR477" s="4" t="s">
        <v>377</v>
      </c>
    </row>
    <row r="478" spans="1:44">
      <c r="A478" s="4" t="s">
        <v>5</v>
      </c>
      <c r="C478" s="4">
        <v>1502</v>
      </c>
      <c r="D478" s="5" t="s">
        <v>93</v>
      </c>
      <c r="E478" s="6" t="s">
        <v>1074</v>
      </c>
      <c r="AP478" s="4" t="s">
        <v>376</v>
      </c>
      <c r="AR478" s="4" t="s">
        <v>377</v>
      </c>
    </row>
    <row r="479" spans="1:44">
      <c r="A479" s="4" t="s">
        <v>5</v>
      </c>
      <c r="C479" s="4">
        <v>6377</v>
      </c>
      <c r="D479" s="5" t="s">
        <v>93</v>
      </c>
      <c r="E479" s="6" t="s">
        <v>1075</v>
      </c>
      <c r="AP479" s="4" t="s">
        <v>376</v>
      </c>
      <c r="AR479" s="4" t="s">
        <v>377</v>
      </c>
    </row>
    <row r="480" spans="1:44">
      <c r="A480" s="4" t="s">
        <v>5</v>
      </c>
      <c r="C480" s="4">
        <v>2274</v>
      </c>
      <c r="D480" s="5" t="s">
        <v>93</v>
      </c>
      <c r="E480" s="6" t="s">
        <v>1076</v>
      </c>
      <c r="Z480" s="4" t="s">
        <v>447</v>
      </c>
      <c r="AA480" s="4" t="s">
        <v>448</v>
      </c>
      <c r="AP480" s="4" t="s">
        <v>376</v>
      </c>
      <c r="AR480" s="4" t="s">
        <v>377</v>
      </c>
    </row>
    <row r="481" spans="1:44">
      <c r="A481" s="4" t="s">
        <v>5</v>
      </c>
      <c r="C481" s="4">
        <v>2667</v>
      </c>
      <c r="D481" s="5" t="s">
        <v>93</v>
      </c>
      <c r="E481" s="6" t="s">
        <v>1077</v>
      </c>
      <c r="F481" s="5" t="s">
        <v>1078</v>
      </c>
      <c r="AP481" s="4" t="s">
        <v>376</v>
      </c>
      <c r="AR481" s="4" t="s">
        <v>377</v>
      </c>
    </row>
    <row r="482" spans="1:44">
      <c r="A482" s="4" t="s">
        <v>5</v>
      </c>
      <c r="C482" s="4">
        <v>5354</v>
      </c>
      <c r="D482" s="5" t="s">
        <v>93</v>
      </c>
      <c r="E482" s="6" t="s">
        <v>1079</v>
      </c>
      <c r="AP482" s="4" t="s">
        <v>376</v>
      </c>
      <c r="AR482" s="4" t="s">
        <v>377</v>
      </c>
    </row>
    <row r="483" spans="1:44">
      <c r="A483" s="4" t="s">
        <v>5</v>
      </c>
      <c r="C483" s="4">
        <v>1264</v>
      </c>
      <c r="D483" s="5" t="s">
        <v>93</v>
      </c>
      <c r="E483" s="6" t="s">
        <v>1080</v>
      </c>
      <c r="F483" s="5" t="s">
        <v>1081</v>
      </c>
      <c r="AP483" s="4" t="s">
        <v>376</v>
      </c>
      <c r="AR483" s="4" t="s">
        <v>377</v>
      </c>
    </row>
    <row r="484" spans="1:44">
      <c r="A484" s="4" t="s">
        <v>5</v>
      </c>
      <c r="C484" s="4">
        <v>4496</v>
      </c>
      <c r="D484" s="5" t="s">
        <v>93</v>
      </c>
      <c r="E484" s="6" t="s">
        <v>1082</v>
      </c>
      <c r="AP484" s="4" t="s">
        <v>376</v>
      </c>
      <c r="AR484" s="4" t="s">
        <v>377</v>
      </c>
    </row>
    <row r="485" spans="1:44">
      <c r="A485" s="4" t="s">
        <v>5</v>
      </c>
      <c r="C485" s="4">
        <v>4805</v>
      </c>
      <c r="D485" s="5" t="s">
        <v>93</v>
      </c>
      <c r="E485" s="6" t="s">
        <v>1083</v>
      </c>
      <c r="F485" s="5" t="s">
        <v>1084</v>
      </c>
      <c r="AP485" s="4" t="s">
        <v>376</v>
      </c>
      <c r="AR485" s="4" t="s">
        <v>377</v>
      </c>
    </row>
    <row r="486" spans="1:44">
      <c r="A486" s="4" t="s">
        <v>5</v>
      </c>
      <c r="C486" s="4">
        <v>4588</v>
      </c>
      <c r="D486" s="5" t="s">
        <v>93</v>
      </c>
      <c r="E486" s="6" t="s">
        <v>1085</v>
      </c>
      <c r="AP486" s="4" t="s">
        <v>376</v>
      </c>
      <c r="AR486" s="4" t="s">
        <v>377</v>
      </c>
    </row>
    <row r="487" spans="1:44">
      <c r="A487" s="4" t="s">
        <v>5</v>
      </c>
      <c r="C487" s="4">
        <v>6627</v>
      </c>
      <c r="D487" s="5" t="s">
        <v>93</v>
      </c>
      <c r="E487" s="6" t="s">
        <v>1086</v>
      </c>
      <c r="AP487" s="4" t="s">
        <v>376</v>
      </c>
      <c r="AR487" s="4" t="s">
        <v>377</v>
      </c>
    </row>
    <row r="488" spans="1:44">
      <c r="A488" s="4" t="s">
        <v>5</v>
      </c>
      <c r="C488" s="4">
        <v>2681</v>
      </c>
      <c r="D488" s="5" t="s">
        <v>93</v>
      </c>
      <c r="E488" s="6" t="s">
        <v>1087</v>
      </c>
      <c r="F488" s="5" t="s">
        <v>1088</v>
      </c>
      <c r="AP488" s="4" t="s">
        <v>376</v>
      </c>
      <c r="AR488" s="4" t="s">
        <v>377</v>
      </c>
    </row>
    <row r="489" spans="1:44" ht="30">
      <c r="A489" s="4" t="s">
        <v>5</v>
      </c>
      <c r="C489" s="4">
        <v>6901</v>
      </c>
      <c r="D489" s="5" t="s">
        <v>93</v>
      </c>
      <c r="E489" s="6" t="s">
        <v>1089</v>
      </c>
      <c r="F489" s="5" t="s">
        <v>1090</v>
      </c>
      <c r="AP489" s="4" t="s">
        <v>376</v>
      </c>
      <c r="AR489" s="4" t="s">
        <v>377</v>
      </c>
    </row>
    <row r="490" spans="1:44" ht="30">
      <c r="A490" s="4" t="s">
        <v>5</v>
      </c>
      <c r="C490" s="4">
        <v>6250</v>
      </c>
      <c r="D490" s="5" t="s">
        <v>93</v>
      </c>
      <c r="E490" s="6" t="s">
        <v>1091</v>
      </c>
      <c r="AP490" s="4" t="s">
        <v>376</v>
      </c>
      <c r="AR490" s="4" t="s">
        <v>377</v>
      </c>
    </row>
    <row r="491" spans="1:44">
      <c r="A491" s="4" t="s">
        <v>5</v>
      </c>
      <c r="C491" s="4">
        <v>3931</v>
      </c>
      <c r="D491" s="5" t="s">
        <v>93</v>
      </c>
      <c r="E491" s="6" t="s">
        <v>1092</v>
      </c>
      <c r="F491" s="5" t="s">
        <v>1093</v>
      </c>
      <c r="AP491" s="4" t="s">
        <v>376</v>
      </c>
      <c r="AR491" s="4" t="s">
        <v>377</v>
      </c>
    </row>
    <row r="492" spans="1:44">
      <c r="A492" s="4" t="s">
        <v>5</v>
      </c>
      <c r="C492" s="4">
        <v>939</v>
      </c>
      <c r="D492" s="5" t="s">
        <v>93</v>
      </c>
      <c r="E492" s="6" t="s">
        <v>1094</v>
      </c>
      <c r="F492" s="5" t="s">
        <v>1095</v>
      </c>
      <c r="AP492" s="4" t="s">
        <v>376</v>
      </c>
      <c r="AR492" s="4" t="s">
        <v>377</v>
      </c>
    </row>
    <row r="493" spans="1:44">
      <c r="A493" s="4" t="s">
        <v>5</v>
      </c>
      <c r="C493" s="4">
        <v>6010</v>
      </c>
      <c r="D493" s="5" t="s">
        <v>93</v>
      </c>
      <c r="E493" s="6" t="s">
        <v>1096</v>
      </c>
      <c r="AP493" s="4" t="s">
        <v>376</v>
      </c>
      <c r="AR493" s="4" t="s">
        <v>377</v>
      </c>
    </row>
    <row r="494" spans="1:44" ht="30">
      <c r="A494" s="4" t="s">
        <v>5</v>
      </c>
      <c r="C494" s="4">
        <v>6955</v>
      </c>
      <c r="D494" s="5" t="s">
        <v>93</v>
      </c>
      <c r="E494" s="6" t="s">
        <v>1097</v>
      </c>
      <c r="AP494" s="4" t="s">
        <v>376</v>
      </c>
      <c r="AR494" s="4" t="s">
        <v>377</v>
      </c>
    </row>
    <row r="495" spans="1:44">
      <c r="A495" s="4" t="s">
        <v>5</v>
      </c>
      <c r="C495" s="4">
        <v>444</v>
      </c>
      <c r="D495" s="5" t="s">
        <v>93</v>
      </c>
      <c r="E495" s="6" t="s">
        <v>1098</v>
      </c>
      <c r="F495" s="5" t="s">
        <v>1099</v>
      </c>
      <c r="Z495" s="4" t="s">
        <v>447</v>
      </c>
      <c r="AA495" s="4" t="s">
        <v>448</v>
      </c>
      <c r="AP495" s="4" t="s">
        <v>376</v>
      </c>
      <c r="AR495" s="4" t="s">
        <v>377</v>
      </c>
    </row>
    <row r="496" spans="1:44">
      <c r="A496" s="4" t="s">
        <v>5</v>
      </c>
      <c r="C496" s="4">
        <v>2636</v>
      </c>
      <c r="D496" s="5" t="s">
        <v>93</v>
      </c>
      <c r="E496" s="6" t="s">
        <v>1100</v>
      </c>
      <c r="F496" s="5" t="s">
        <v>1101</v>
      </c>
      <c r="AP496" s="4" t="s">
        <v>376</v>
      </c>
      <c r="AR496" s="4" t="s">
        <v>377</v>
      </c>
    </row>
    <row r="497" spans="1:44">
      <c r="A497" s="4" t="s">
        <v>5</v>
      </c>
      <c r="C497" s="4">
        <v>5578</v>
      </c>
      <c r="D497" s="5" t="s">
        <v>93</v>
      </c>
      <c r="E497" s="6" t="s">
        <v>1102</v>
      </c>
      <c r="AP497" s="4" t="s">
        <v>376</v>
      </c>
      <c r="AR497" s="4" t="s">
        <v>377</v>
      </c>
    </row>
    <row r="498" spans="1:44">
      <c r="A498" s="4" t="s">
        <v>5</v>
      </c>
      <c r="C498" s="4">
        <v>2920</v>
      </c>
      <c r="D498" s="5" t="s">
        <v>93</v>
      </c>
      <c r="E498" s="6" t="s">
        <v>1103</v>
      </c>
      <c r="AP498" s="4" t="s">
        <v>376</v>
      </c>
      <c r="AR498" s="4" t="s">
        <v>377</v>
      </c>
    </row>
    <row r="499" spans="1:44">
      <c r="A499" s="4" t="s">
        <v>5</v>
      </c>
      <c r="C499" s="4">
        <v>2027</v>
      </c>
      <c r="D499" s="5" t="s">
        <v>93</v>
      </c>
      <c r="E499" s="6" t="s">
        <v>1104</v>
      </c>
      <c r="AP499" s="4" t="s">
        <v>376</v>
      </c>
      <c r="AR499" s="4" t="s">
        <v>377</v>
      </c>
    </row>
    <row r="500" spans="1:44">
      <c r="A500" s="4" t="s">
        <v>5</v>
      </c>
      <c r="C500" s="4">
        <v>5166</v>
      </c>
      <c r="D500" s="5" t="s">
        <v>93</v>
      </c>
      <c r="E500" s="6" t="s">
        <v>1105</v>
      </c>
      <c r="F500" s="5" t="s">
        <v>1106</v>
      </c>
      <c r="AP500" s="4" t="s">
        <v>376</v>
      </c>
      <c r="AR500" s="4" t="s">
        <v>377</v>
      </c>
    </row>
    <row r="501" spans="1:44">
      <c r="A501" s="4" t="s">
        <v>5</v>
      </c>
      <c r="C501" s="4">
        <v>6883</v>
      </c>
      <c r="D501" s="5" t="s">
        <v>93</v>
      </c>
      <c r="E501" s="6" t="s">
        <v>1107</v>
      </c>
      <c r="AP501" s="4" t="s">
        <v>376</v>
      </c>
      <c r="AR501" s="4" t="s">
        <v>377</v>
      </c>
    </row>
    <row r="502" spans="1:44">
      <c r="A502" s="4" t="s">
        <v>5</v>
      </c>
      <c r="C502" s="4">
        <v>4770</v>
      </c>
      <c r="D502" s="5" t="s">
        <v>93</v>
      </c>
      <c r="E502" s="6" t="s">
        <v>1108</v>
      </c>
      <c r="AP502" s="4" t="s">
        <v>376</v>
      </c>
      <c r="AR502" s="4" t="s">
        <v>377</v>
      </c>
    </row>
    <row r="503" spans="1:44" ht="30">
      <c r="A503" s="4" t="s">
        <v>5</v>
      </c>
      <c r="C503" s="4">
        <v>2136</v>
      </c>
      <c r="D503" s="5" t="s">
        <v>93</v>
      </c>
      <c r="E503" s="6" t="s">
        <v>1109</v>
      </c>
      <c r="AP503" s="4" t="s">
        <v>376</v>
      </c>
      <c r="AR503" s="4" t="s">
        <v>377</v>
      </c>
    </row>
    <row r="504" spans="1:44">
      <c r="A504" s="4" t="s">
        <v>5</v>
      </c>
      <c r="C504" s="4">
        <v>1348</v>
      </c>
      <c r="D504" s="5" t="s">
        <v>93</v>
      </c>
      <c r="E504" s="6" t="s">
        <v>1110</v>
      </c>
      <c r="AP504" s="4" t="s">
        <v>376</v>
      </c>
      <c r="AR504" s="4" t="s">
        <v>377</v>
      </c>
    </row>
    <row r="505" spans="1:44">
      <c r="A505" s="4" t="s">
        <v>5</v>
      </c>
      <c r="C505" s="4">
        <v>2635</v>
      </c>
      <c r="D505" s="5" t="s">
        <v>93</v>
      </c>
      <c r="E505" s="6" t="s">
        <v>1111</v>
      </c>
      <c r="F505" s="5" t="s">
        <v>1112</v>
      </c>
      <c r="AP505" s="4" t="s">
        <v>376</v>
      </c>
      <c r="AR505" s="4" t="s">
        <v>377</v>
      </c>
    </row>
    <row r="506" spans="1:44">
      <c r="A506" s="4" t="s">
        <v>5</v>
      </c>
      <c r="C506" s="4">
        <v>875</v>
      </c>
      <c r="D506" s="5" t="s">
        <v>93</v>
      </c>
      <c r="E506" s="6" t="s">
        <v>1113</v>
      </c>
      <c r="F506" s="5" t="s">
        <v>1114</v>
      </c>
      <c r="AP506" s="4" t="s">
        <v>376</v>
      </c>
      <c r="AR506" s="4" t="s">
        <v>377</v>
      </c>
    </row>
    <row r="507" spans="1:44" ht="30">
      <c r="A507" s="4" t="s">
        <v>5</v>
      </c>
      <c r="C507" s="4">
        <v>3078</v>
      </c>
      <c r="D507" s="5" t="s">
        <v>93</v>
      </c>
      <c r="E507" s="6" t="s">
        <v>1115</v>
      </c>
      <c r="F507" s="5" t="s">
        <v>1116</v>
      </c>
      <c r="AP507" s="4" t="s">
        <v>376</v>
      </c>
      <c r="AR507" s="4" t="s">
        <v>377</v>
      </c>
    </row>
    <row r="508" spans="1:44">
      <c r="A508" s="4" t="s">
        <v>5</v>
      </c>
      <c r="C508" s="4">
        <v>2935</v>
      </c>
      <c r="D508" s="5" t="s">
        <v>93</v>
      </c>
      <c r="E508" s="6" t="s">
        <v>1117</v>
      </c>
      <c r="AP508" s="4" t="s">
        <v>376</v>
      </c>
      <c r="AR508" s="4" t="s">
        <v>377</v>
      </c>
    </row>
    <row r="509" spans="1:44">
      <c r="A509" s="4" t="s">
        <v>5</v>
      </c>
      <c r="C509" s="4">
        <v>1695</v>
      </c>
      <c r="D509" s="5" t="s">
        <v>93</v>
      </c>
      <c r="E509" s="6" t="s">
        <v>1118</v>
      </c>
      <c r="AP509" s="4" t="s">
        <v>376</v>
      </c>
      <c r="AR509" s="4" t="s">
        <v>377</v>
      </c>
    </row>
    <row r="510" spans="1:44">
      <c r="A510" s="4" t="s">
        <v>5</v>
      </c>
      <c r="C510" s="4">
        <v>5502</v>
      </c>
      <c r="D510" s="5" t="s">
        <v>93</v>
      </c>
      <c r="E510" s="6" t="s">
        <v>1119</v>
      </c>
      <c r="F510" s="5" t="s">
        <v>1120</v>
      </c>
      <c r="Z510" s="4" t="s">
        <v>447</v>
      </c>
      <c r="AA510" s="4" t="s">
        <v>448</v>
      </c>
      <c r="AP510" s="4" t="s">
        <v>376</v>
      </c>
      <c r="AR510" s="4" t="s">
        <v>377</v>
      </c>
    </row>
    <row r="511" spans="1:44">
      <c r="A511" s="4" t="s">
        <v>5</v>
      </c>
      <c r="C511" s="4">
        <v>6383</v>
      </c>
      <c r="D511" s="5" t="s">
        <v>93</v>
      </c>
      <c r="E511" s="6" t="s">
        <v>1121</v>
      </c>
      <c r="AP511" s="4" t="s">
        <v>376</v>
      </c>
      <c r="AR511" s="4" t="s">
        <v>377</v>
      </c>
    </row>
    <row r="512" spans="1:44">
      <c r="A512" s="4" t="s">
        <v>5</v>
      </c>
      <c r="C512" s="4">
        <v>3401</v>
      </c>
      <c r="D512" s="5" t="s">
        <v>93</v>
      </c>
      <c r="E512" s="6" t="s">
        <v>1122</v>
      </c>
      <c r="F512" s="5" t="s">
        <v>1123</v>
      </c>
      <c r="AP512" s="4" t="s">
        <v>376</v>
      </c>
      <c r="AR512" s="4" t="s">
        <v>377</v>
      </c>
    </row>
    <row r="513" spans="1:44" ht="30">
      <c r="A513" s="4" t="s">
        <v>5</v>
      </c>
      <c r="C513" s="4">
        <v>2126</v>
      </c>
      <c r="D513" s="5" t="s">
        <v>93</v>
      </c>
      <c r="E513" s="6" t="s">
        <v>1124</v>
      </c>
      <c r="AP513" s="4" t="s">
        <v>376</v>
      </c>
      <c r="AR513" s="4" t="s">
        <v>377</v>
      </c>
    </row>
    <row r="514" spans="1:44">
      <c r="A514" s="4" t="s">
        <v>5</v>
      </c>
      <c r="C514" s="4">
        <v>5627</v>
      </c>
      <c r="D514" s="5" t="s">
        <v>93</v>
      </c>
      <c r="E514" s="6" t="s">
        <v>1125</v>
      </c>
      <c r="AP514" s="4" t="s">
        <v>376</v>
      </c>
      <c r="AR514" s="4" t="s">
        <v>377</v>
      </c>
    </row>
    <row r="515" spans="1:44">
      <c r="A515" s="4" t="s">
        <v>5</v>
      </c>
      <c r="C515" s="4">
        <v>5171</v>
      </c>
      <c r="D515" s="5" t="s">
        <v>93</v>
      </c>
      <c r="E515" s="6" t="s">
        <v>1126</v>
      </c>
      <c r="AP515" s="4" t="s">
        <v>376</v>
      </c>
      <c r="AR515" s="4" t="s">
        <v>377</v>
      </c>
    </row>
    <row r="516" spans="1:44">
      <c r="A516" s="4" t="s">
        <v>5</v>
      </c>
      <c r="C516" s="4">
        <v>5097</v>
      </c>
      <c r="D516" s="5" t="s">
        <v>93</v>
      </c>
      <c r="E516" s="6" t="s">
        <v>1127</v>
      </c>
      <c r="AP516" s="4" t="s">
        <v>376</v>
      </c>
      <c r="AR516" s="4" t="s">
        <v>377</v>
      </c>
    </row>
    <row r="517" spans="1:44">
      <c r="A517" s="4" t="s">
        <v>5</v>
      </c>
      <c r="C517" s="4">
        <v>860</v>
      </c>
      <c r="D517" s="5" t="s">
        <v>93</v>
      </c>
      <c r="E517" s="6" t="s">
        <v>1128</v>
      </c>
      <c r="F517" s="5" t="s">
        <v>1129</v>
      </c>
      <c r="Z517" s="4" t="s">
        <v>443</v>
      </c>
      <c r="AA517" s="4" t="s">
        <v>444</v>
      </c>
      <c r="AP517" s="4" t="s">
        <v>376</v>
      </c>
      <c r="AR517" s="4" t="s">
        <v>377</v>
      </c>
    </row>
    <row r="518" spans="1:44">
      <c r="A518" s="4" t="s">
        <v>5</v>
      </c>
      <c r="C518" s="4">
        <v>5957</v>
      </c>
      <c r="D518" s="5" t="s">
        <v>93</v>
      </c>
      <c r="E518" s="6" t="s">
        <v>1130</v>
      </c>
      <c r="AP518" s="4" t="s">
        <v>376</v>
      </c>
      <c r="AR518" s="4" t="s">
        <v>377</v>
      </c>
    </row>
    <row r="519" spans="1:44">
      <c r="A519" s="4" t="s">
        <v>5</v>
      </c>
      <c r="C519" s="4">
        <v>828</v>
      </c>
      <c r="D519" s="5" t="s">
        <v>93</v>
      </c>
      <c r="E519" s="6" t="s">
        <v>1131</v>
      </c>
      <c r="F519" s="5" t="s">
        <v>1132</v>
      </c>
      <c r="AP519" s="4" t="s">
        <v>376</v>
      </c>
      <c r="AR519" s="4" t="s">
        <v>377</v>
      </c>
    </row>
    <row r="520" spans="1:44" ht="30">
      <c r="A520" s="4" t="s">
        <v>5</v>
      </c>
      <c r="C520" s="4">
        <v>4285</v>
      </c>
      <c r="D520" s="5" t="s">
        <v>93</v>
      </c>
      <c r="E520" s="6" t="s">
        <v>1133</v>
      </c>
      <c r="AP520" s="4" t="s">
        <v>376</v>
      </c>
      <c r="AR520" s="4" t="s">
        <v>377</v>
      </c>
    </row>
    <row r="521" spans="1:44" ht="30">
      <c r="A521" s="4" t="s">
        <v>5</v>
      </c>
      <c r="C521" s="4">
        <v>4483</v>
      </c>
      <c r="D521" s="5" t="s">
        <v>93</v>
      </c>
      <c r="E521" s="6" t="s">
        <v>1134</v>
      </c>
      <c r="AP521" s="4" t="s">
        <v>376</v>
      </c>
      <c r="AR521" s="4" t="s">
        <v>377</v>
      </c>
    </row>
    <row r="522" spans="1:44">
      <c r="A522" s="4" t="s">
        <v>5</v>
      </c>
      <c r="C522" s="4">
        <v>6283</v>
      </c>
      <c r="D522" s="5" t="s">
        <v>93</v>
      </c>
      <c r="E522" s="6" t="s">
        <v>1135</v>
      </c>
      <c r="F522" s="5" t="s">
        <v>1136</v>
      </c>
      <c r="AP522" s="4" t="s">
        <v>376</v>
      </c>
      <c r="AR522" s="4" t="s">
        <v>377</v>
      </c>
    </row>
    <row r="523" spans="1:44" ht="30">
      <c r="A523" s="4" t="s">
        <v>5</v>
      </c>
      <c r="C523" s="4">
        <v>6878</v>
      </c>
      <c r="D523" s="5" t="s">
        <v>93</v>
      </c>
      <c r="E523" s="6" t="s">
        <v>1137</v>
      </c>
      <c r="F523" s="5" t="s">
        <v>1138</v>
      </c>
      <c r="AP523" s="4" t="s">
        <v>376</v>
      </c>
      <c r="AR523" s="4" t="s">
        <v>377</v>
      </c>
    </row>
    <row r="524" spans="1:44">
      <c r="A524" s="4" t="s">
        <v>5</v>
      </c>
      <c r="C524" s="4">
        <v>1177</v>
      </c>
      <c r="D524" s="5" t="s">
        <v>93</v>
      </c>
      <c r="E524" s="6" t="s">
        <v>1139</v>
      </c>
      <c r="AP524" s="4" t="s">
        <v>376</v>
      </c>
      <c r="AR524" s="4" t="s">
        <v>377</v>
      </c>
    </row>
    <row r="525" spans="1:44">
      <c r="A525" s="4" t="s">
        <v>5</v>
      </c>
      <c r="C525" s="4">
        <v>4767</v>
      </c>
      <c r="D525" s="5" t="s">
        <v>93</v>
      </c>
      <c r="E525" s="6" t="s">
        <v>1140</v>
      </c>
      <c r="AP525" s="4" t="s">
        <v>376</v>
      </c>
      <c r="AR525" s="4" t="s">
        <v>377</v>
      </c>
    </row>
    <row r="526" spans="1:44">
      <c r="A526" s="4" t="s">
        <v>5</v>
      </c>
      <c r="C526" s="4">
        <v>4962</v>
      </c>
      <c r="D526" s="5" t="s">
        <v>93</v>
      </c>
      <c r="E526" s="6" t="s">
        <v>1141</v>
      </c>
      <c r="AP526" s="4" t="s">
        <v>376</v>
      </c>
      <c r="AR526" s="4" t="s">
        <v>377</v>
      </c>
    </row>
    <row r="527" spans="1:44">
      <c r="A527" s="4" t="s">
        <v>5</v>
      </c>
      <c r="C527" s="4">
        <v>5930</v>
      </c>
      <c r="D527" s="5" t="s">
        <v>93</v>
      </c>
      <c r="E527" s="6" t="s">
        <v>1142</v>
      </c>
      <c r="Z527" s="4" t="s">
        <v>447</v>
      </c>
      <c r="AA527" s="4" t="s">
        <v>448</v>
      </c>
      <c r="AP527" s="4" t="s">
        <v>376</v>
      </c>
      <c r="AR527" s="4" t="s">
        <v>377</v>
      </c>
    </row>
    <row r="528" spans="1:44">
      <c r="A528" s="4" t="s">
        <v>5</v>
      </c>
      <c r="C528" s="4">
        <v>3874</v>
      </c>
      <c r="D528" s="5" t="s">
        <v>93</v>
      </c>
      <c r="E528" s="6" t="s">
        <v>1143</v>
      </c>
      <c r="F528" s="5" t="s">
        <v>1144</v>
      </c>
      <c r="Z528" s="4" t="s">
        <v>447</v>
      </c>
      <c r="AA528" s="4" t="s">
        <v>448</v>
      </c>
      <c r="AP528" s="4" t="s">
        <v>376</v>
      </c>
      <c r="AR528" s="4" t="s">
        <v>377</v>
      </c>
    </row>
    <row r="529" spans="1:44">
      <c r="A529" s="4" t="s">
        <v>5</v>
      </c>
      <c r="C529" s="4">
        <v>1257</v>
      </c>
      <c r="D529" s="5" t="s">
        <v>93</v>
      </c>
      <c r="E529" s="6" t="s">
        <v>1145</v>
      </c>
      <c r="AP529" s="4" t="s">
        <v>376</v>
      </c>
      <c r="AR529" s="4" t="s">
        <v>377</v>
      </c>
    </row>
    <row r="530" spans="1:44">
      <c r="A530" s="4" t="s">
        <v>5</v>
      </c>
      <c r="C530" s="4">
        <v>3440</v>
      </c>
      <c r="D530" s="5" t="s">
        <v>93</v>
      </c>
      <c r="E530" s="6" t="s">
        <v>1146</v>
      </c>
      <c r="F530" s="5" t="s">
        <v>1147</v>
      </c>
      <c r="AP530" s="4" t="s">
        <v>376</v>
      </c>
      <c r="AR530" s="4" t="s">
        <v>377</v>
      </c>
    </row>
    <row r="531" spans="1:44">
      <c r="A531" s="4" t="s">
        <v>5</v>
      </c>
      <c r="C531" s="4">
        <v>129</v>
      </c>
      <c r="D531" s="5" t="s">
        <v>93</v>
      </c>
      <c r="E531" s="6" t="s">
        <v>1148</v>
      </c>
      <c r="F531" s="5" t="s">
        <v>1149</v>
      </c>
      <c r="AP531" s="4" t="s">
        <v>376</v>
      </c>
      <c r="AR531" s="4" t="s">
        <v>377</v>
      </c>
    </row>
    <row r="532" spans="1:44">
      <c r="A532" s="4" t="s">
        <v>5</v>
      </c>
      <c r="C532" s="4">
        <v>4129</v>
      </c>
      <c r="D532" s="5" t="s">
        <v>93</v>
      </c>
      <c r="E532" s="6" t="s">
        <v>1150</v>
      </c>
      <c r="AP532" s="4" t="s">
        <v>376</v>
      </c>
      <c r="AR532" s="4" t="s">
        <v>377</v>
      </c>
    </row>
    <row r="533" spans="1:44">
      <c r="A533" s="4" t="s">
        <v>5</v>
      </c>
      <c r="C533" s="4">
        <v>3630</v>
      </c>
      <c r="D533" s="5" t="s">
        <v>93</v>
      </c>
      <c r="E533" s="6" t="s">
        <v>1151</v>
      </c>
      <c r="F533" s="5" t="s">
        <v>1152</v>
      </c>
      <c r="AP533" s="4" t="s">
        <v>376</v>
      </c>
      <c r="AR533" s="4" t="s">
        <v>377</v>
      </c>
    </row>
    <row r="534" spans="1:44" ht="30">
      <c r="A534" s="4" t="s">
        <v>5</v>
      </c>
      <c r="C534" s="4">
        <v>4466</v>
      </c>
      <c r="D534" s="5" t="s">
        <v>93</v>
      </c>
      <c r="E534" s="6" t="s">
        <v>1153</v>
      </c>
      <c r="AP534" s="4" t="s">
        <v>376</v>
      </c>
      <c r="AR534" s="4" t="s">
        <v>377</v>
      </c>
    </row>
    <row r="535" spans="1:44">
      <c r="A535" s="4" t="s">
        <v>5</v>
      </c>
      <c r="C535" s="4">
        <v>89</v>
      </c>
      <c r="D535" s="5" t="s">
        <v>93</v>
      </c>
      <c r="E535" s="6" t="s">
        <v>1154</v>
      </c>
      <c r="F535" s="5" t="s">
        <v>1155</v>
      </c>
      <c r="AP535" s="4" t="s">
        <v>376</v>
      </c>
      <c r="AR535" s="4" t="s">
        <v>377</v>
      </c>
    </row>
    <row r="536" spans="1:44">
      <c r="A536" s="4" t="s">
        <v>5</v>
      </c>
      <c r="C536" s="4">
        <v>6927</v>
      </c>
      <c r="D536" s="5" t="s">
        <v>93</v>
      </c>
      <c r="E536" s="6" t="s">
        <v>1156</v>
      </c>
      <c r="AP536" s="4" t="s">
        <v>376</v>
      </c>
      <c r="AR536" s="4" t="s">
        <v>377</v>
      </c>
    </row>
    <row r="537" spans="1:44">
      <c r="A537" s="4" t="s">
        <v>5</v>
      </c>
      <c r="C537" s="4">
        <v>4436</v>
      </c>
      <c r="D537" s="5" t="s">
        <v>93</v>
      </c>
      <c r="E537" s="6" t="s">
        <v>1157</v>
      </c>
      <c r="AP537" s="4" t="s">
        <v>376</v>
      </c>
      <c r="AR537" s="4" t="s">
        <v>377</v>
      </c>
    </row>
    <row r="538" spans="1:44" ht="30">
      <c r="A538" s="4" t="s">
        <v>5</v>
      </c>
      <c r="C538" s="4">
        <v>5461</v>
      </c>
      <c r="D538" s="5" t="s">
        <v>93</v>
      </c>
      <c r="E538" s="6" t="s">
        <v>1158</v>
      </c>
      <c r="AP538" s="4" t="s">
        <v>376</v>
      </c>
      <c r="AR538" s="4" t="s">
        <v>377</v>
      </c>
    </row>
    <row r="539" spans="1:44">
      <c r="A539" s="4" t="s">
        <v>5</v>
      </c>
      <c r="C539" s="4">
        <v>4996</v>
      </c>
      <c r="D539" s="5" t="s">
        <v>93</v>
      </c>
      <c r="E539" s="6" t="s">
        <v>1159</v>
      </c>
      <c r="AP539" s="4" t="s">
        <v>376</v>
      </c>
      <c r="AR539" s="4" t="s">
        <v>377</v>
      </c>
    </row>
    <row r="540" spans="1:44">
      <c r="A540" s="4" t="s">
        <v>5</v>
      </c>
      <c r="C540" s="4">
        <v>3341</v>
      </c>
      <c r="D540" s="5" t="s">
        <v>93</v>
      </c>
      <c r="E540" s="6" t="s">
        <v>1160</v>
      </c>
      <c r="F540" s="5" t="s">
        <v>1161</v>
      </c>
      <c r="AP540" s="4" t="s">
        <v>376</v>
      </c>
      <c r="AR540" s="4" t="s">
        <v>377</v>
      </c>
    </row>
    <row r="541" spans="1:44">
      <c r="A541" s="4" t="s">
        <v>5</v>
      </c>
      <c r="C541" s="4">
        <v>4568</v>
      </c>
      <c r="D541" s="5" t="s">
        <v>93</v>
      </c>
      <c r="E541" s="6" t="s">
        <v>1162</v>
      </c>
      <c r="AP541" s="4" t="s">
        <v>376</v>
      </c>
      <c r="AR541" s="4" t="s">
        <v>377</v>
      </c>
    </row>
    <row r="542" spans="1:44">
      <c r="A542" s="4" t="s">
        <v>5</v>
      </c>
      <c r="C542" s="4">
        <v>4391</v>
      </c>
      <c r="D542" s="5" t="s">
        <v>93</v>
      </c>
      <c r="E542" s="6" t="s">
        <v>1163</v>
      </c>
      <c r="F542" s="5" t="s">
        <v>1164</v>
      </c>
      <c r="AP542" s="4" t="s">
        <v>376</v>
      </c>
      <c r="AR542" s="4" t="s">
        <v>377</v>
      </c>
    </row>
    <row r="543" spans="1:44">
      <c r="A543" s="4" t="s">
        <v>5</v>
      </c>
      <c r="C543" s="4">
        <v>373</v>
      </c>
      <c r="D543" s="5" t="s">
        <v>93</v>
      </c>
      <c r="E543" s="6" t="s">
        <v>1165</v>
      </c>
      <c r="F543" s="5" t="s">
        <v>1166</v>
      </c>
      <c r="AP543" s="4" t="s">
        <v>376</v>
      </c>
      <c r="AR543" s="4" t="s">
        <v>377</v>
      </c>
    </row>
    <row r="544" spans="1:44">
      <c r="A544" s="4" t="s">
        <v>5</v>
      </c>
      <c r="C544" s="4">
        <v>6855</v>
      </c>
      <c r="D544" s="5" t="s">
        <v>93</v>
      </c>
      <c r="E544" s="6" t="s">
        <v>1167</v>
      </c>
      <c r="F544" s="5" t="s">
        <v>1168</v>
      </c>
      <c r="AP544" s="4" t="s">
        <v>376</v>
      </c>
      <c r="AR544" s="4" t="s">
        <v>377</v>
      </c>
    </row>
    <row r="545" spans="1:44">
      <c r="A545" s="4" t="s">
        <v>5</v>
      </c>
      <c r="C545" s="4">
        <v>4693</v>
      </c>
      <c r="D545" s="5" t="s">
        <v>93</v>
      </c>
      <c r="E545" s="6" t="s">
        <v>1169</v>
      </c>
      <c r="F545" s="5" t="s">
        <v>1170</v>
      </c>
      <c r="Z545" s="4" t="s">
        <v>695</v>
      </c>
      <c r="AA545" s="4" t="s">
        <v>696</v>
      </c>
      <c r="AP545" s="4" t="s">
        <v>376</v>
      </c>
      <c r="AR545" s="4" t="s">
        <v>377</v>
      </c>
    </row>
    <row r="546" spans="1:44">
      <c r="A546" s="4" t="s">
        <v>5</v>
      </c>
      <c r="C546" s="4">
        <v>2226</v>
      </c>
      <c r="D546" s="5" t="s">
        <v>93</v>
      </c>
      <c r="E546" s="6" t="s">
        <v>1171</v>
      </c>
      <c r="F546" s="5" t="s">
        <v>1172</v>
      </c>
      <c r="AP546" s="4" t="s">
        <v>376</v>
      </c>
      <c r="AR546" s="4" t="s">
        <v>377</v>
      </c>
    </row>
    <row r="547" spans="1:44">
      <c r="A547" s="4" t="s">
        <v>5</v>
      </c>
      <c r="C547" s="4">
        <v>5073</v>
      </c>
      <c r="D547" s="5" t="s">
        <v>93</v>
      </c>
      <c r="E547" s="6" t="s">
        <v>1173</v>
      </c>
      <c r="AP547" s="4" t="s">
        <v>376</v>
      </c>
      <c r="AR547" s="4" t="s">
        <v>377</v>
      </c>
    </row>
    <row r="548" spans="1:44">
      <c r="A548" s="4" t="s">
        <v>5</v>
      </c>
      <c r="C548" s="4">
        <v>1186</v>
      </c>
      <c r="D548" s="5" t="s">
        <v>93</v>
      </c>
      <c r="E548" s="6" t="s">
        <v>1174</v>
      </c>
      <c r="AP548" s="4" t="s">
        <v>376</v>
      </c>
      <c r="AR548" s="4" t="s">
        <v>377</v>
      </c>
    </row>
    <row r="549" spans="1:44" ht="30">
      <c r="A549" s="4" t="s">
        <v>5</v>
      </c>
      <c r="C549" s="4">
        <v>4486</v>
      </c>
      <c r="D549" s="5" t="s">
        <v>93</v>
      </c>
      <c r="E549" s="6" t="s">
        <v>1175</v>
      </c>
      <c r="AP549" s="4" t="s">
        <v>376</v>
      </c>
      <c r="AR549" s="4" t="s">
        <v>377</v>
      </c>
    </row>
    <row r="550" spans="1:44">
      <c r="A550" s="4" t="s">
        <v>5</v>
      </c>
      <c r="C550" s="4">
        <v>6482</v>
      </c>
      <c r="D550" s="5" t="s">
        <v>93</v>
      </c>
      <c r="E550" s="6" t="s">
        <v>1176</v>
      </c>
      <c r="AP550" s="4" t="s">
        <v>376</v>
      </c>
      <c r="AR550" s="4" t="s">
        <v>377</v>
      </c>
    </row>
    <row r="551" spans="1:44">
      <c r="A551" s="4" t="s">
        <v>5</v>
      </c>
      <c r="C551" s="4">
        <v>3933</v>
      </c>
      <c r="D551" s="5" t="s">
        <v>93</v>
      </c>
      <c r="E551" s="6" t="s">
        <v>1177</v>
      </c>
      <c r="F551" s="5" t="s">
        <v>1178</v>
      </c>
      <c r="Z551" s="4" t="s">
        <v>447</v>
      </c>
      <c r="AA551" s="4" t="s">
        <v>448</v>
      </c>
      <c r="AP551" s="4" t="s">
        <v>376</v>
      </c>
      <c r="AR551" s="4" t="s">
        <v>377</v>
      </c>
    </row>
    <row r="552" spans="1:44">
      <c r="A552" s="4" t="s">
        <v>5</v>
      </c>
      <c r="C552" s="4">
        <v>416</v>
      </c>
      <c r="D552" s="5" t="s">
        <v>93</v>
      </c>
      <c r="E552" s="6" t="s">
        <v>1179</v>
      </c>
      <c r="F552" s="5" t="s">
        <v>1180</v>
      </c>
      <c r="AP552" s="4" t="s">
        <v>376</v>
      </c>
      <c r="AR552" s="4" t="s">
        <v>377</v>
      </c>
    </row>
    <row r="553" spans="1:44" ht="30">
      <c r="A553" s="4" t="s">
        <v>5</v>
      </c>
      <c r="C553" s="4">
        <v>540</v>
      </c>
      <c r="D553" s="5" t="s">
        <v>93</v>
      </c>
      <c r="E553" s="6" t="s">
        <v>1181</v>
      </c>
      <c r="F553" s="5" t="s">
        <v>1182</v>
      </c>
      <c r="Z553" s="4" t="s">
        <v>447</v>
      </c>
      <c r="AA553" s="4" t="s">
        <v>448</v>
      </c>
      <c r="AP553" s="4" t="s">
        <v>376</v>
      </c>
      <c r="AR553" s="4" t="s">
        <v>377</v>
      </c>
    </row>
    <row r="554" spans="1:44">
      <c r="A554" s="4" t="s">
        <v>5</v>
      </c>
      <c r="C554" s="4">
        <v>6423</v>
      </c>
      <c r="D554" s="5" t="s">
        <v>93</v>
      </c>
      <c r="E554" s="6" t="s">
        <v>1183</v>
      </c>
      <c r="AP554" s="4" t="s">
        <v>376</v>
      </c>
      <c r="AR554" s="4" t="s">
        <v>377</v>
      </c>
    </row>
    <row r="555" spans="1:44">
      <c r="A555" s="4" t="s">
        <v>5</v>
      </c>
      <c r="C555" s="4">
        <v>2385</v>
      </c>
      <c r="D555" s="5" t="s">
        <v>93</v>
      </c>
      <c r="E555" s="6" t="s">
        <v>1184</v>
      </c>
      <c r="AP555" s="4" t="s">
        <v>376</v>
      </c>
      <c r="AR555" s="4" t="s">
        <v>377</v>
      </c>
    </row>
    <row r="556" spans="1:44">
      <c r="A556" s="4" t="s">
        <v>5</v>
      </c>
      <c r="C556" s="4">
        <v>3502</v>
      </c>
      <c r="D556" s="5" t="s">
        <v>93</v>
      </c>
      <c r="E556" s="6" t="s">
        <v>1185</v>
      </c>
      <c r="F556" s="5" t="s">
        <v>1186</v>
      </c>
      <c r="AP556" s="4" t="s">
        <v>376</v>
      </c>
      <c r="AR556" s="4" t="s">
        <v>377</v>
      </c>
    </row>
    <row r="557" spans="1:44" ht="30">
      <c r="A557" s="4" t="s">
        <v>5</v>
      </c>
      <c r="C557" s="4">
        <v>4002</v>
      </c>
      <c r="D557" s="5" t="s">
        <v>93</v>
      </c>
      <c r="E557" s="6" t="s">
        <v>1187</v>
      </c>
      <c r="AP557" s="4" t="s">
        <v>376</v>
      </c>
      <c r="AR557" s="4" t="s">
        <v>377</v>
      </c>
    </row>
    <row r="558" spans="1:44">
      <c r="A558" s="4" t="s">
        <v>5</v>
      </c>
      <c r="C558" s="4">
        <v>3934</v>
      </c>
      <c r="D558" s="5" t="s">
        <v>93</v>
      </c>
      <c r="E558" s="6" t="s">
        <v>1188</v>
      </c>
      <c r="AP558" s="4" t="s">
        <v>376</v>
      </c>
      <c r="AR558" s="4" t="s">
        <v>377</v>
      </c>
    </row>
    <row r="559" spans="1:44">
      <c r="A559" s="4" t="s">
        <v>5</v>
      </c>
      <c r="C559" s="4">
        <v>2130</v>
      </c>
      <c r="D559" s="5" t="s">
        <v>93</v>
      </c>
      <c r="E559" s="6" t="s">
        <v>1189</v>
      </c>
      <c r="AP559" s="4" t="s">
        <v>376</v>
      </c>
      <c r="AR559" s="4" t="s">
        <v>377</v>
      </c>
    </row>
    <row r="560" spans="1:44">
      <c r="A560" s="4" t="s">
        <v>5</v>
      </c>
      <c r="C560" s="4">
        <v>1174</v>
      </c>
      <c r="D560" s="5" t="s">
        <v>93</v>
      </c>
      <c r="E560" s="6" t="s">
        <v>1190</v>
      </c>
      <c r="AP560" s="4" t="s">
        <v>376</v>
      </c>
      <c r="AR560" s="4" t="s">
        <v>377</v>
      </c>
    </row>
    <row r="561" spans="1:44" ht="30">
      <c r="A561" s="4" t="s">
        <v>5</v>
      </c>
      <c r="C561" s="4">
        <v>3167</v>
      </c>
      <c r="D561" s="5" t="s">
        <v>93</v>
      </c>
      <c r="E561" s="6" t="s">
        <v>1191</v>
      </c>
      <c r="AP561" s="4" t="s">
        <v>376</v>
      </c>
      <c r="AR561" s="4" t="s">
        <v>377</v>
      </c>
    </row>
    <row r="562" spans="1:44">
      <c r="A562" s="4" t="s">
        <v>5</v>
      </c>
      <c r="C562" s="4">
        <v>2718</v>
      </c>
      <c r="D562" s="5" t="s">
        <v>93</v>
      </c>
      <c r="E562" s="6" t="s">
        <v>1192</v>
      </c>
      <c r="AP562" s="4" t="s">
        <v>376</v>
      </c>
      <c r="AR562" s="4" t="s">
        <v>377</v>
      </c>
    </row>
    <row r="563" spans="1:44">
      <c r="A563" s="4" t="s">
        <v>5</v>
      </c>
      <c r="C563" s="4">
        <v>5339</v>
      </c>
      <c r="D563" s="5" t="s">
        <v>93</v>
      </c>
      <c r="E563" s="6" t="s">
        <v>1193</v>
      </c>
      <c r="AP563" s="4" t="s">
        <v>376</v>
      </c>
      <c r="AR563" s="4" t="s">
        <v>377</v>
      </c>
    </row>
    <row r="564" spans="1:44">
      <c r="A564" s="4" t="s">
        <v>5</v>
      </c>
      <c r="C564" s="4">
        <v>3902</v>
      </c>
      <c r="D564" s="5" t="s">
        <v>93</v>
      </c>
      <c r="E564" s="6" t="s">
        <v>1194</v>
      </c>
      <c r="F564" s="5" t="s">
        <v>1195</v>
      </c>
      <c r="Z564" s="4" t="s">
        <v>695</v>
      </c>
      <c r="AA564" s="4" t="s">
        <v>696</v>
      </c>
      <c r="AP564" s="4" t="s">
        <v>376</v>
      </c>
      <c r="AR564" s="4" t="s">
        <v>377</v>
      </c>
    </row>
    <row r="565" spans="1:44">
      <c r="A565" s="4" t="s">
        <v>5</v>
      </c>
      <c r="C565" s="4">
        <v>2749</v>
      </c>
      <c r="D565" s="5" t="s">
        <v>93</v>
      </c>
      <c r="E565" s="6" t="s">
        <v>1196</v>
      </c>
      <c r="AP565" s="4" t="s">
        <v>376</v>
      </c>
      <c r="AR565" s="4" t="s">
        <v>377</v>
      </c>
    </row>
    <row r="566" spans="1:44">
      <c r="A566" s="4" t="s">
        <v>5</v>
      </c>
      <c r="C566" s="4">
        <v>5226</v>
      </c>
      <c r="D566" s="5" t="s">
        <v>93</v>
      </c>
      <c r="E566" s="6" t="s">
        <v>1197</v>
      </c>
      <c r="AP566" s="4" t="s">
        <v>376</v>
      </c>
      <c r="AR566" s="4" t="s">
        <v>377</v>
      </c>
    </row>
    <row r="567" spans="1:44">
      <c r="A567" s="4" t="s">
        <v>5</v>
      </c>
      <c r="C567" s="4">
        <v>1277</v>
      </c>
      <c r="D567" s="5" t="s">
        <v>93</v>
      </c>
      <c r="E567" s="6" t="s">
        <v>1198</v>
      </c>
      <c r="F567" s="5" t="s">
        <v>1199</v>
      </c>
      <c r="AP567" s="4" t="s">
        <v>376</v>
      </c>
      <c r="AR567" s="4" t="s">
        <v>377</v>
      </c>
    </row>
    <row r="568" spans="1:44">
      <c r="A568" s="4" t="s">
        <v>5</v>
      </c>
      <c r="C568" s="4">
        <v>3226</v>
      </c>
      <c r="D568" s="5" t="s">
        <v>93</v>
      </c>
      <c r="E568" s="6" t="s">
        <v>1200</v>
      </c>
      <c r="Z568" s="4" t="s">
        <v>447</v>
      </c>
      <c r="AA568" s="4" t="s">
        <v>448</v>
      </c>
      <c r="AP568" s="4" t="s">
        <v>376</v>
      </c>
      <c r="AR568" s="4" t="s">
        <v>377</v>
      </c>
    </row>
    <row r="569" spans="1:44">
      <c r="A569" s="4" t="s">
        <v>5</v>
      </c>
      <c r="C569" s="4">
        <v>3001</v>
      </c>
      <c r="D569" s="5" t="s">
        <v>93</v>
      </c>
      <c r="E569" s="6" t="s">
        <v>1201</v>
      </c>
      <c r="Z569" s="4" t="s">
        <v>447</v>
      </c>
      <c r="AA569" s="4" t="s">
        <v>448</v>
      </c>
      <c r="AP569" s="4" t="s">
        <v>376</v>
      </c>
      <c r="AR569" s="4" t="s">
        <v>377</v>
      </c>
    </row>
    <row r="570" spans="1:44" ht="30">
      <c r="A570" s="4" t="s">
        <v>5</v>
      </c>
      <c r="C570" s="4">
        <v>6592</v>
      </c>
      <c r="D570" s="5" t="s">
        <v>93</v>
      </c>
      <c r="E570" s="6" t="s">
        <v>1202</v>
      </c>
      <c r="AP570" s="4" t="s">
        <v>376</v>
      </c>
      <c r="AR570" s="4" t="s">
        <v>377</v>
      </c>
    </row>
    <row r="571" spans="1:44">
      <c r="A571" s="4" t="s">
        <v>5</v>
      </c>
      <c r="C571" s="4">
        <v>4465</v>
      </c>
      <c r="D571" s="5" t="s">
        <v>93</v>
      </c>
      <c r="E571" s="6" t="s">
        <v>1203</v>
      </c>
      <c r="F571" s="5" t="s">
        <v>1204</v>
      </c>
      <c r="AP571" s="4" t="s">
        <v>376</v>
      </c>
      <c r="AR571" s="4" t="s">
        <v>377</v>
      </c>
    </row>
    <row r="572" spans="1:44">
      <c r="A572" s="4" t="s">
        <v>5</v>
      </c>
      <c r="C572" s="4">
        <v>2854</v>
      </c>
      <c r="D572" s="5" t="s">
        <v>93</v>
      </c>
      <c r="E572" s="6" t="s">
        <v>1205</v>
      </c>
      <c r="F572" s="5" t="s">
        <v>1206</v>
      </c>
      <c r="AP572" s="4" t="s">
        <v>376</v>
      </c>
      <c r="AR572" s="4" t="s">
        <v>377</v>
      </c>
    </row>
    <row r="573" spans="1:44">
      <c r="A573" s="4" t="s">
        <v>5</v>
      </c>
      <c r="C573" s="4">
        <v>6372</v>
      </c>
      <c r="D573" s="5" t="s">
        <v>93</v>
      </c>
      <c r="E573" s="6" t="s">
        <v>1207</v>
      </c>
      <c r="AP573" s="4" t="s">
        <v>376</v>
      </c>
      <c r="AR573" s="4" t="s">
        <v>377</v>
      </c>
    </row>
    <row r="574" spans="1:44">
      <c r="A574" s="4" t="s">
        <v>5</v>
      </c>
      <c r="C574" s="4">
        <v>2903</v>
      </c>
      <c r="D574" s="5" t="s">
        <v>93</v>
      </c>
      <c r="E574" s="6" t="s">
        <v>1208</v>
      </c>
      <c r="AP574" s="4" t="s">
        <v>376</v>
      </c>
      <c r="AR574" s="4" t="s">
        <v>377</v>
      </c>
    </row>
    <row r="575" spans="1:44">
      <c r="A575" s="4" t="s">
        <v>5</v>
      </c>
      <c r="C575" s="4">
        <v>3104</v>
      </c>
      <c r="D575" s="5" t="s">
        <v>93</v>
      </c>
      <c r="E575" s="6" t="s">
        <v>1209</v>
      </c>
      <c r="Z575" s="4" t="s">
        <v>443</v>
      </c>
      <c r="AA575" s="4" t="s">
        <v>444</v>
      </c>
      <c r="AP575" s="4" t="s">
        <v>376</v>
      </c>
      <c r="AR575" s="4" t="s">
        <v>377</v>
      </c>
    </row>
    <row r="576" spans="1:44">
      <c r="A576" s="4" t="s">
        <v>5</v>
      </c>
      <c r="C576" s="4">
        <v>2032</v>
      </c>
      <c r="D576" s="5" t="s">
        <v>93</v>
      </c>
      <c r="E576" s="6" t="s">
        <v>1210</v>
      </c>
      <c r="AP576" s="4" t="s">
        <v>376</v>
      </c>
      <c r="AR576" s="4" t="s">
        <v>377</v>
      </c>
    </row>
    <row r="577" spans="1:44">
      <c r="A577" s="4" t="s">
        <v>5</v>
      </c>
      <c r="C577" s="4">
        <v>2741</v>
      </c>
      <c r="D577" s="5" t="s">
        <v>93</v>
      </c>
      <c r="E577" s="6" t="s">
        <v>1211</v>
      </c>
      <c r="F577" s="5" t="s">
        <v>1212</v>
      </c>
      <c r="Z577" s="4" t="s">
        <v>443</v>
      </c>
      <c r="AA577" s="4" t="s">
        <v>444</v>
      </c>
      <c r="AP577" s="4" t="s">
        <v>376</v>
      </c>
      <c r="AR577" s="4" t="s">
        <v>377</v>
      </c>
    </row>
    <row r="578" spans="1:44">
      <c r="A578" s="4" t="s">
        <v>5</v>
      </c>
      <c r="C578" s="4">
        <v>1507</v>
      </c>
      <c r="D578" s="5" t="s">
        <v>93</v>
      </c>
      <c r="E578" s="6" t="s">
        <v>1213</v>
      </c>
      <c r="AP578" s="4" t="s">
        <v>376</v>
      </c>
      <c r="AR578" s="4" t="s">
        <v>377</v>
      </c>
    </row>
    <row r="579" spans="1:44">
      <c r="A579" s="4" t="s">
        <v>5</v>
      </c>
      <c r="C579" s="4">
        <v>3412</v>
      </c>
      <c r="D579" s="5" t="s">
        <v>93</v>
      </c>
      <c r="E579" s="6" t="s">
        <v>1214</v>
      </c>
      <c r="AP579" s="4" t="s">
        <v>376</v>
      </c>
      <c r="AR579" s="4" t="s">
        <v>377</v>
      </c>
    </row>
    <row r="580" spans="1:44">
      <c r="A580" s="4" t="s">
        <v>5</v>
      </c>
      <c r="C580" s="4">
        <v>991</v>
      </c>
      <c r="D580" s="5" t="s">
        <v>93</v>
      </c>
      <c r="E580" s="6" t="s">
        <v>1215</v>
      </c>
      <c r="F580" s="5" t="s">
        <v>1216</v>
      </c>
      <c r="Z580" s="4" t="s">
        <v>443</v>
      </c>
      <c r="AA580" s="4" t="s">
        <v>444</v>
      </c>
      <c r="AP580" s="4" t="s">
        <v>376</v>
      </c>
      <c r="AR580" s="4" t="s">
        <v>377</v>
      </c>
    </row>
    <row r="581" spans="1:44">
      <c r="A581" s="4" t="s">
        <v>5</v>
      </c>
      <c r="C581" s="4">
        <v>6251</v>
      </c>
      <c r="D581" s="5" t="s">
        <v>93</v>
      </c>
      <c r="E581" s="6" t="s">
        <v>1217</v>
      </c>
      <c r="AP581" s="4" t="s">
        <v>376</v>
      </c>
      <c r="AR581" s="4" t="s">
        <v>377</v>
      </c>
    </row>
    <row r="582" spans="1:44">
      <c r="A582" s="4" t="s">
        <v>5</v>
      </c>
      <c r="C582" s="4">
        <v>580</v>
      </c>
      <c r="D582" s="5" t="s">
        <v>93</v>
      </c>
      <c r="E582" s="6" t="s">
        <v>1218</v>
      </c>
      <c r="F582" s="5" t="s">
        <v>1219</v>
      </c>
      <c r="AP582" s="4" t="s">
        <v>376</v>
      </c>
      <c r="AR582" s="4" t="s">
        <v>377</v>
      </c>
    </row>
    <row r="583" spans="1:44" ht="30">
      <c r="A583" s="4" t="s">
        <v>5</v>
      </c>
      <c r="C583" s="4">
        <v>2879</v>
      </c>
      <c r="D583" s="5" t="s">
        <v>93</v>
      </c>
      <c r="E583" s="6" t="s">
        <v>1220</v>
      </c>
      <c r="F583" s="5" t="s">
        <v>1221</v>
      </c>
      <c r="AP583" s="4" t="s">
        <v>376</v>
      </c>
      <c r="AR583" s="4" t="s">
        <v>377</v>
      </c>
    </row>
    <row r="584" spans="1:44">
      <c r="A584" s="4" t="s">
        <v>5</v>
      </c>
      <c r="C584" s="4">
        <v>6846</v>
      </c>
      <c r="D584" s="5" t="s">
        <v>93</v>
      </c>
      <c r="E584" s="6" t="s">
        <v>1222</v>
      </c>
      <c r="AP584" s="4" t="s">
        <v>376</v>
      </c>
      <c r="AR584" s="4" t="s">
        <v>377</v>
      </c>
    </row>
    <row r="585" spans="1:44">
      <c r="A585" s="4" t="s">
        <v>5</v>
      </c>
      <c r="C585" s="4">
        <v>2100</v>
      </c>
      <c r="D585" s="5" t="s">
        <v>93</v>
      </c>
      <c r="E585" s="6" t="s">
        <v>1223</v>
      </c>
      <c r="AP585" s="4" t="s">
        <v>376</v>
      </c>
      <c r="AR585" s="4" t="s">
        <v>377</v>
      </c>
    </row>
    <row r="586" spans="1:44">
      <c r="A586" s="4" t="s">
        <v>5</v>
      </c>
      <c r="C586" s="4">
        <v>2716</v>
      </c>
      <c r="D586" s="5" t="s">
        <v>93</v>
      </c>
      <c r="E586" s="6" t="s">
        <v>1224</v>
      </c>
      <c r="AP586" s="4" t="s">
        <v>376</v>
      </c>
      <c r="AR586" s="4" t="s">
        <v>377</v>
      </c>
    </row>
    <row r="587" spans="1:44">
      <c r="A587" s="4" t="s">
        <v>5</v>
      </c>
      <c r="C587" s="4">
        <v>4475</v>
      </c>
      <c r="D587" s="5" t="s">
        <v>93</v>
      </c>
      <c r="E587" s="6" t="s">
        <v>1225</v>
      </c>
      <c r="AP587" s="4" t="s">
        <v>376</v>
      </c>
      <c r="AR587" s="4" t="s">
        <v>377</v>
      </c>
    </row>
    <row r="588" spans="1:44">
      <c r="A588" s="4" t="s">
        <v>5</v>
      </c>
      <c r="C588" s="4">
        <v>2670</v>
      </c>
      <c r="D588" s="5" t="s">
        <v>93</v>
      </c>
      <c r="E588" s="6" t="s">
        <v>1226</v>
      </c>
      <c r="F588" s="5" t="s">
        <v>1227</v>
      </c>
      <c r="Z588" s="4" t="s">
        <v>447</v>
      </c>
      <c r="AA588" s="4" t="s">
        <v>448</v>
      </c>
      <c r="AP588" s="4" t="s">
        <v>376</v>
      </c>
      <c r="AR588" s="4" t="s">
        <v>377</v>
      </c>
    </row>
    <row r="589" spans="1:44" ht="30">
      <c r="A589" s="4" t="s">
        <v>5</v>
      </c>
      <c r="C589" s="4">
        <v>6539</v>
      </c>
      <c r="D589" s="5" t="s">
        <v>93</v>
      </c>
      <c r="E589" s="6" t="s">
        <v>1228</v>
      </c>
      <c r="AP589" s="4" t="s">
        <v>376</v>
      </c>
      <c r="AR589" s="4" t="s">
        <v>377</v>
      </c>
    </row>
    <row r="590" spans="1:44">
      <c r="A590" s="4" t="s">
        <v>5</v>
      </c>
      <c r="C590" s="4">
        <v>5310</v>
      </c>
      <c r="D590" s="5" t="s">
        <v>93</v>
      </c>
      <c r="E590" s="6" t="s">
        <v>1229</v>
      </c>
      <c r="AP590" s="4" t="s">
        <v>376</v>
      </c>
      <c r="AR590" s="4" t="s">
        <v>377</v>
      </c>
    </row>
    <row r="591" spans="1:44">
      <c r="A591" s="4" t="s">
        <v>5</v>
      </c>
      <c r="C591" s="4">
        <v>438</v>
      </c>
      <c r="D591" s="5" t="s">
        <v>93</v>
      </c>
      <c r="E591" s="6" t="s">
        <v>1230</v>
      </c>
      <c r="AP591" s="4" t="s">
        <v>376</v>
      </c>
      <c r="AR591" s="4" t="s">
        <v>377</v>
      </c>
    </row>
    <row r="592" spans="1:44">
      <c r="A592" s="4" t="s">
        <v>5</v>
      </c>
      <c r="C592" s="4">
        <v>6538</v>
      </c>
      <c r="D592" s="5" t="s">
        <v>93</v>
      </c>
      <c r="E592" s="6" t="s">
        <v>1231</v>
      </c>
      <c r="AP592" s="4" t="s">
        <v>376</v>
      </c>
      <c r="AR592" s="4" t="s">
        <v>377</v>
      </c>
    </row>
    <row r="593" spans="1:44" ht="30">
      <c r="A593" s="4" t="s">
        <v>5</v>
      </c>
      <c r="C593" s="4">
        <v>4116</v>
      </c>
      <c r="D593" s="5" t="s">
        <v>93</v>
      </c>
      <c r="E593" s="6" t="s">
        <v>1232</v>
      </c>
      <c r="AP593" s="4" t="s">
        <v>376</v>
      </c>
      <c r="AR593" s="4" t="s">
        <v>377</v>
      </c>
    </row>
    <row r="594" spans="1:44">
      <c r="A594" s="4" t="s">
        <v>5</v>
      </c>
      <c r="C594" s="4">
        <v>5449</v>
      </c>
      <c r="D594" s="5" t="s">
        <v>93</v>
      </c>
      <c r="E594" s="6" t="s">
        <v>1233</v>
      </c>
      <c r="AP594" s="4" t="s">
        <v>376</v>
      </c>
      <c r="AR594" s="4" t="s">
        <v>377</v>
      </c>
    </row>
    <row r="595" spans="1:44">
      <c r="A595" s="4" t="s">
        <v>5</v>
      </c>
      <c r="C595" s="4">
        <v>6411</v>
      </c>
      <c r="D595" s="5" t="s">
        <v>93</v>
      </c>
      <c r="E595" s="6" t="s">
        <v>1234</v>
      </c>
      <c r="F595" s="5" t="s">
        <v>1235</v>
      </c>
      <c r="AP595" s="4" t="s">
        <v>376</v>
      </c>
      <c r="AR595" s="4" t="s">
        <v>377</v>
      </c>
    </row>
    <row r="596" spans="1:44">
      <c r="A596" s="4" t="s">
        <v>5</v>
      </c>
      <c r="C596" s="4">
        <v>3107</v>
      </c>
      <c r="D596" s="5" t="s">
        <v>93</v>
      </c>
      <c r="E596" s="6" t="s">
        <v>1236</v>
      </c>
      <c r="F596" s="5" t="s">
        <v>1237</v>
      </c>
      <c r="AP596" s="4" t="s">
        <v>376</v>
      </c>
      <c r="AR596" s="4" t="s">
        <v>377</v>
      </c>
    </row>
    <row r="597" spans="1:44" ht="30">
      <c r="A597" s="4" t="s">
        <v>5</v>
      </c>
      <c r="C597" s="4">
        <v>4368</v>
      </c>
      <c r="D597" s="5" t="s">
        <v>93</v>
      </c>
      <c r="E597" s="6" t="s">
        <v>1238</v>
      </c>
      <c r="AP597" s="4" t="s">
        <v>376</v>
      </c>
      <c r="AR597" s="4" t="s">
        <v>377</v>
      </c>
    </row>
    <row r="598" spans="1:44">
      <c r="A598" s="4" t="s">
        <v>5</v>
      </c>
      <c r="C598" s="4">
        <v>6505</v>
      </c>
      <c r="D598" s="5" t="s">
        <v>93</v>
      </c>
      <c r="E598" s="6" t="s">
        <v>1239</v>
      </c>
      <c r="AP598" s="4" t="s">
        <v>376</v>
      </c>
      <c r="AR598" s="4" t="s">
        <v>377</v>
      </c>
    </row>
    <row r="599" spans="1:44" ht="30">
      <c r="A599" s="4" t="s">
        <v>5</v>
      </c>
      <c r="C599" s="4">
        <v>2729</v>
      </c>
      <c r="D599" s="5" t="s">
        <v>93</v>
      </c>
      <c r="E599" s="6" t="s">
        <v>1240</v>
      </c>
      <c r="AP599" s="4" t="s">
        <v>376</v>
      </c>
      <c r="AR599" s="4" t="s">
        <v>377</v>
      </c>
    </row>
    <row r="600" spans="1:44">
      <c r="A600" s="4" t="s">
        <v>5</v>
      </c>
      <c r="C600" s="4">
        <v>231</v>
      </c>
      <c r="D600" s="5" t="s">
        <v>93</v>
      </c>
      <c r="E600" s="6" t="s">
        <v>1241</v>
      </c>
      <c r="F600" s="5" t="s">
        <v>1242</v>
      </c>
      <c r="AP600" s="4" t="s">
        <v>376</v>
      </c>
      <c r="AR600" s="4" t="s">
        <v>377</v>
      </c>
    </row>
    <row r="601" spans="1:44">
      <c r="A601" s="4" t="s">
        <v>5</v>
      </c>
      <c r="C601" s="4">
        <v>5081</v>
      </c>
      <c r="D601" s="5" t="s">
        <v>93</v>
      </c>
      <c r="E601" s="6" t="s">
        <v>1243</v>
      </c>
      <c r="AP601" s="4" t="s">
        <v>376</v>
      </c>
      <c r="AR601" s="4" t="s">
        <v>377</v>
      </c>
    </row>
    <row r="602" spans="1:44" ht="30">
      <c r="A602" s="4" t="s">
        <v>5</v>
      </c>
      <c r="C602" s="4">
        <v>6385</v>
      </c>
      <c r="D602" s="5" t="s">
        <v>93</v>
      </c>
      <c r="E602" s="6" t="s">
        <v>1244</v>
      </c>
      <c r="AP602" s="4" t="s">
        <v>376</v>
      </c>
      <c r="AR602" s="4" t="s">
        <v>377</v>
      </c>
    </row>
    <row r="603" spans="1:44">
      <c r="A603" s="4" t="s">
        <v>5</v>
      </c>
      <c r="C603" s="4">
        <v>2038</v>
      </c>
      <c r="D603" s="5" t="s">
        <v>93</v>
      </c>
      <c r="E603" s="6" t="s">
        <v>1245</v>
      </c>
      <c r="AP603" s="4" t="s">
        <v>376</v>
      </c>
      <c r="AR603" s="4" t="s">
        <v>377</v>
      </c>
    </row>
    <row r="604" spans="1:44" ht="30">
      <c r="A604" s="4" t="s">
        <v>5</v>
      </c>
      <c r="C604" s="4">
        <v>4407</v>
      </c>
      <c r="D604" s="5" t="s">
        <v>93</v>
      </c>
      <c r="E604" s="6" t="s">
        <v>1246</v>
      </c>
      <c r="AP604" s="4" t="s">
        <v>376</v>
      </c>
      <c r="AR604" s="4" t="s">
        <v>377</v>
      </c>
    </row>
    <row r="605" spans="1:44" ht="30">
      <c r="A605" s="4" t="s">
        <v>5</v>
      </c>
      <c r="C605" s="4">
        <v>4292</v>
      </c>
      <c r="D605" s="5" t="s">
        <v>93</v>
      </c>
      <c r="E605" s="6" t="s">
        <v>1247</v>
      </c>
      <c r="AP605" s="4" t="s">
        <v>376</v>
      </c>
      <c r="AR605" s="4" t="s">
        <v>377</v>
      </c>
    </row>
    <row r="606" spans="1:44" ht="30">
      <c r="A606" s="4" t="s">
        <v>5</v>
      </c>
      <c r="C606" s="4">
        <v>4062</v>
      </c>
      <c r="D606" s="5" t="s">
        <v>93</v>
      </c>
      <c r="E606" s="6" t="s">
        <v>1248</v>
      </c>
      <c r="Z606" s="4" t="s">
        <v>443</v>
      </c>
      <c r="AA606" s="4" t="s">
        <v>444</v>
      </c>
      <c r="AP606" s="4" t="s">
        <v>376</v>
      </c>
      <c r="AR606" s="4" t="s">
        <v>377</v>
      </c>
    </row>
    <row r="607" spans="1:44" ht="30">
      <c r="A607" s="4" t="s">
        <v>5</v>
      </c>
      <c r="C607" s="4">
        <v>351</v>
      </c>
      <c r="D607" s="5" t="s">
        <v>93</v>
      </c>
      <c r="E607" s="6" t="s">
        <v>1249</v>
      </c>
      <c r="AP607" s="4" t="s">
        <v>376</v>
      </c>
      <c r="AR607" s="4" t="s">
        <v>377</v>
      </c>
    </row>
    <row r="608" spans="1:44">
      <c r="A608" s="4" t="s">
        <v>5</v>
      </c>
      <c r="C608" s="4">
        <v>570</v>
      </c>
      <c r="D608" s="5" t="s">
        <v>93</v>
      </c>
      <c r="E608" s="6" t="s">
        <v>1250</v>
      </c>
      <c r="F608" s="5" t="s">
        <v>1251</v>
      </c>
      <c r="AP608" s="4" t="s">
        <v>376</v>
      </c>
      <c r="AR608" s="4" t="s">
        <v>377</v>
      </c>
    </row>
    <row r="609" spans="1:44">
      <c r="A609" s="4" t="s">
        <v>5</v>
      </c>
      <c r="C609" s="4">
        <v>2407</v>
      </c>
      <c r="D609" s="5" t="s">
        <v>93</v>
      </c>
      <c r="E609" s="6" t="s">
        <v>1252</v>
      </c>
      <c r="F609" s="5" t="s">
        <v>1253</v>
      </c>
      <c r="Z609" s="4" t="s">
        <v>443</v>
      </c>
      <c r="AA609" s="4" t="s">
        <v>444</v>
      </c>
      <c r="AP609" s="4" t="s">
        <v>376</v>
      </c>
      <c r="AR609" s="4" t="s">
        <v>377</v>
      </c>
    </row>
    <row r="610" spans="1:44">
      <c r="A610" s="4" t="s">
        <v>5</v>
      </c>
      <c r="C610" s="4">
        <v>5292</v>
      </c>
      <c r="D610" s="5" t="s">
        <v>93</v>
      </c>
      <c r="E610" s="6" t="s">
        <v>1254</v>
      </c>
      <c r="AP610" s="4" t="s">
        <v>376</v>
      </c>
      <c r="AR610" s="4" t="s">
        <v>377</v>
      </c>
    </row>
    <row r="611" spans="1:44">
      <c r="A611" s="4" t="s">
        <v>5</v>
      </c>
      <c r="C611" s="4">
        <v>5611</v>
      </c>
      <c r="D611" s="5" t="s">
        <v>93</v>
      </c>
      <c r="E611" s="6" t="s">
        <v>1255</v>
      </c>
      <c r="AP611" s="4" t="s">
        <v>376</v>
      </c>
      <c r="AR611" s="4" t="s">
        <v>377</v>
      </c>
    </row>
    <row r="612" spans="1:44">
      <c r="A612" s="4" t="s">
        <v>5</v>
      </c>
      <c r="C612" s="4">
        <v>1007</v>
      </c>
      <c r="D612" s="5" t="s">
        <v>93</v>
      </c>
      <c r="E612" s="6" t="s">
        <v>1256</v>
      </c>
      <c r="F612" s="5" t="s">
        <v>1257</v>
      </c>
      <c r="AP612" s="4" t="s">
        <v>376</v>
      </c>
      <c r="AR612" s="4" t="s">
        <v>377</v>
      </c>
    </row>
    <row r="613" spans="1:44" ht="30">
      <c r="A613" s="4" t="s">
        <v>5</v>
      </c>
      <c r="C613" s="4">
        <v>6681</v>
      </c>
      <c r="D613" s="5" t="s">
        <v>93</v>
      </c>
      <c r="E613" s="6" t="s">
        <v>1258</v>
      </c>
      <c r="AP613" s="4" t="s">
        <v>376</v>
      </c>
      <c r="AR613" s="4" t="s">
        <v>377</v>
      </c>
    </row>
    <row r="614" spans="1:44" ht="30">
      <c r="A614" s="4" t="s">
        <v>5</v>
      </c>
      <c r="C614" s="4">
        <v>5510</v>
      </c>
      <c r="D614" s="5" t="s">
        <v>93</v>
      </c>
      <c r="E614" s="6" t="s">
        <v>1259</v>
      </c>
      <c r="AP614" s="4" t="s">
        <v>376</v>
      </c>
      <c r="AR614" s="4" t="s">
        <v>377</v>
      </c>
    </row>
    <row r="615" spans="1:44">
      <c r="A615" s="4" t="s">
        <v>5</v>
      </c>
      <c r="C615" s="4">
        <v>1027</v>
      </c>
      <c r="D615" s="5" t="s">
        <v>93</v>
      </c>
      <c r="E615" s="6" t="s">
        <v>1260</v>
      </c>
      <c r="AP615" s="4" t="s">
        <v>376</v>
      </c>
      <c r="AR615" s="4" t="s">
        <v>377</v>
      </c>
    </row>
    <row r="616" spans="1:44">
      <c r="A616" s="4" t="s">
        <v>5</v>
      </c>
      <c r="C616" s="4">
        <v>4779</v>
      </c>
      <c r="D616" s="5" t="s">
        <v>93</v>
      </c>
      <c r="E616" s="6" t="s">
        <v>1261</v>
      </c>
      <c r="AP616" s="4" t="s">
        <v>376</v>
      </c>
      <c r="AR616" s="4" t="s">
        <v>377</v>
      </c>
    </row>
    <row r="617" spans="1:44">
      <c r="A617" s="4" t="s">
        <v>5</v>
      </c>
      <c r="C617" s="4">
        <v>6247</v>
      </c>
      <c r="D617" s="5" t="s">
        <v>93</v>
      </c>
      <c r="E617" s="6" t="s">
        <v>1262</v>
      </c>
      <c r="AP617" s="4" t="s">
        <v>376</v>
      </c>
      <c r="AR617" s="4" t="s">
        <v>377</v>
      </c>
    </row>
    <row r="618" spans="1:44">
      <c r="A618" s="4" t="s">
        <v>5</v>
      </c>
      <c r="C618" s="4">
        <v>6399</v>
      </c>
      <c r="D618" s="5" t="s">
        <v>93</v>
      </c>
      <c r="E618" s="6" t="s">
        <v>1263</v>
      </c>
      <c r="AP618" s="4" t="s">
        <v>376</v>
      </c>
      <c r="AR618" s="4" t="s">
        <v>377</v>
      </c>
    </row>
    <row r="619" spans="1:44" ht="30">
      <c r="A619" s="4" t="s">
        <v>5</v>
      </c>
      <c r="C619" s="4">
        <v>2669</v>
      </c>
      <c r="D619" s="5" t="s">
        <v>93</v>
      </c>
      <c r="E619" s="6" t="s">
        <v>1264</v>
      </c>
      <c r="Z619" s="4" t="s">
        <v>443</v>
      </c>
      <c r="AA619" s="4" t="s">
        <v>444</v>
      </c>
      <c r="AP619" s="4" t="s">
        <v>376</v>
      </c>
      <c r="AR619" s="4" t="s">
        <v>377</v>
      </c>
    </row>
    <row r="620" spans="1:44" ht="30">
      <c r="A620" s="4" t="s">
        <v>5</v>
      </c>
      <c r="C620" s="4">
        <v>3538</v>
      </c>
      <c r="D620" s="5" t="s">
        <v>93</v>
      </c>
      <c r="E620" s="6" t="s">
        <v>1265</v>
      </c>
      <c r="AP620" s="4" t="s">
        <v>376</v>
      </c>
      <c r="AR620" s="4" t="s">
        <v>377</v>
      </c>
    </row>
    <row r="621" spans="1:44">
      <c r="A621" s="4" t="s">
        <v>5</v>
      </c>
      <c r="C621" s="4">
        <v>1559</v>
      </c>
      <c r="D621" s="5" t="s">
        <v>93</v>
      </c>
      <c r="E621" s="6" t="s">
        <v>1266</v>
      </c>
      <c r="F621" s="5" t="s">
        <v>1267</v>
      </c>
      <c r="Z621" s="4" t="s">
        <v>447</v>
      </c>
      <c r="AA621" s="4" t="s">
        <v>448</v>
      </c>
      <c r="AP621" s="4" t="s">
        <v>376</v>
      </c>
      <c r="AR621" s="4" t="s">
        <v>377</v>
      </c>
    </row>
    <row r="622" spans="1:44">
      <c r="A622" s="4" t="s">
        <v>5</v>
      </c>
      <c r="C622" s="4">
        <v>943</v>
      </c>
      <c r="D622" s="5" t="s">
        <v>93</v>
      </c>
      <c r="E622" s="6" t="s">
        <v>1268</v>
      </c>
      <c r="AP622" s="4" t="s">
        <v>376</v>
      </c>
      <c r="AR622" s="4" t="s">
        <v>377</v>
      </c>
    </row>
    <row r="623" spans="1:44">
      <c r="A623" s="4" t="s">
        <v>5</v>
      </c>
      <c r="C623" s="4">
        <v>554</v>
      </c>
      <c r="D623" s="5" t="s">
        <v>93</v>
      </c>
      <c r="E623" s="6" t="s">
        <v>1269</v>
      </c>
      <c r="F623" s="5" t="s">
        <v>1270</v>
      </c>
      <c r="AP623" s="4" t="s">
        <v>376</v>
      </c>
      <c r="AR623" s="4" t="s">
        <v>377</v>
      </c>
    </row>
    <row r="624" spans="1:44" ht="30">
      <c r="A624" s="4" t="s">
        <v>5</v>
      </c>
      <c r="C624" s="4">
        <v>1800</v>
      </c>
      <c r="D624" s="5" t="s">
        <v>93</v>
      </c>
      <c r="E624" s="6" t="s">
        <v>1271</v>
      </c>
      <c r="AP624" s="4" t="s">
        <v>376</v>
      </c>
      <c r="AR624" s="4" t="s">
        <v>377</v>
      </c>
    </row>
    <row r="625" spans="1:44">
      <c r="A625" s="4" t="s">
        <v>5</v>
      </c>
      <c r="C625" s="4">
        <v>1665</v>
      </c>
      <c r="D625" s="5" t="s">
        <v>93</v>
      </c>
      <c r="E625" s="6" t="s">
        <v>1272</v>
      </c>
      <c r="F625" s="5" t="s">
        <v>1273</v>
      </c>
      <c r="AP625" s="4" t="s">
        <v>376</v>
      </c>
      <c r="AR625" s="4" t="s">
        <v>377</v>
      </c>
    </row>
    <row r="626" spans="1:44" ht="30">
      <c r="A626" s="4" t="s">
        <v>5</v>
      </c>
      <c r="C626" s="4">
        <v>4690</v>
      </c>
      <c r="D626" s="5" t="s">
        <v>93</v>
      </c>
      <c r="E626" s="6" t="s">
        <v>1274</v>
      </c>
      <c r="AP626" s="4" t="s">
        <v>376</v>
      </c>
      <c r="AR626" s="4" t="s">
        <v>377</v>
      </c>
    </row>
    <row r="627" spans="1:44">
      <c r="A627" s="4" t="s">
        <v>5</v>
      </c>
      <c r="C627" s="4">
        <v>5357</v>
      </c>
      <c r="D627" s="5" t="s">
        <v>93</v>
      </c>
      <c r="E627" s="6" t="s">
        <v>1275</v>
      </c>
      <c r="AP627" s="4" t="s">
        <v>376</v>
      </c>
      <c r="AR627" s="4" t="s">
        <v>377</v>
      </c>
    </row>
    <row r="628" spans="1:44" ht="30">
      <c r="A628" s="4" t="s">
        <v>5</v>
      </c>
      <c r="C628" s="4">
        <v>6723</v>
      </c>
      <c r="D628" s="5" t="s">
        <v>93</v>
      </c>
      <c r="E628" s="6" t="s">
        <v>1276</v>
      </c>
      <c r="AP628" s="4" t="s">
        <v>376</v>
      </c>
      <c r="AR628" s="4" t="s">
        <v>377</v>
      </c>
    </row>
    <row r="629" spans="1:44" ht="30">
      <c r="A629" s="4" t="s">
        <v>5</v>
      </c>
      <c r="C629" s="4">
        <v>5199</v>
      </c>
      <c r="D629" s="5" t="s">
        <v>93</v>
      </c>
      <c r="E629" s="6" t="s">
        <v>1277</v>
      </c>
      <c r="AP629" s="4" t="s">
        <v>376</v>
      </c>
      <c r="AR629" s="4" t="s">
        <v>377</v>
      </c>
    </row>
    <row r="630" spans="1:44">
      <c r="A630" s="4" t="s">
        <v>5</v>
      </c>
      <c r="C630" s="4">
        <v>6997</v>
      </c>
      <c r="D630" s="5" t="s">
        <v>93</v>
      </c>
      <c r="E630" s="6" t="s">
        <v>1278</v>
      </c>
      <c r="AP630" s="4" t="s">
        <v>376</v>
      </c>
      <c r="AR630" s="4" t="s">
        <v>377</v>
      </c>
    </row>
    <row r="631" spans="1:44">
      <c r="A631" s="4" t="s">
        <v>5</v>
      </c>
      <c r="C631" s="4">
        <v>4782</v>
      </c>
      <c r="D631" s="5" t="s">
        <v>93</v>
      </c>
      <c r="E631" s="6" t="s">
        <v>1279</v>
      </c>
      <c r="AP631" s="4" t="s">
        <v>376</v>
      </c>
      <c r="AR631" s="4" t="s">
        <v>377</v>
      </c>
    </row>
    <row r="632" spans="1:44">
      <c r="A632" s="4" t="s">
        <v>5</v>
      </c>
      <c r="C632" s="4">
        <v>749</v>
      </c>
      <c r="D632" s="5" t="s">
        <v>93</v>
      </c>
      <c r="E632" s="6" t="s">
        <v>1280</v>
      </c>
      <c r="F632" s="5" t="s">
        <v>1281</v>
      </c>
      <c r="AP632" s="4" t="s">
        <v>376</v>
      </c>
      <c r="AR632" s="4" t="s">
        <v>377</v>
      </c>
    </row>
    <row r="633" spans="1:44" ht="30">
      <c r="A633" s="4" t="s">
        <v>5</v>
      </c>
      <c r="C633" s="4">
        <v>3766</v>
      </c>
      <c r="D633" s="5" t="s">
        <v>93</v>
      </c>
      <c r="E633" s="6" t="s">
        <v>1282</v>
      </c>
      <c r="F633" s="5" t="s">
        <v>1283</v>
      </c>
      <c r="AP633" s="4" t="s">
        <v>376</v>
      </c>
      <c r="AR633" s="4" t="s">
        <v>377</v>
      </c>
    </row>
    <row r="634" spans="1:44">
      <c r="A634" s="4" t="s">
        <v>5</v>
      </c>
      <c r="C634" s="4">
        <v>4984</v>
      </c>
      <c r="D634" s="5" t="s">
        <v>93</v>
      </c>
      <c r="E634" s="6" t="s">
        <v>1284</v>
      </c>
      <c r="AP634" s="4" t="s">
        <v>376</v>
      </c>
      <c r="AR634" s="4" t="s">
        <v>377</v>
      </c>
    </row>
    <row r="635" spans="1:44">
      <c r="A635" s="4" t="s">
        <v>5</v>
      </c>
      <c r="C635" s="4">
        <v>6495</v>
      </c>
      <c r="D635" s="5" t="s">
        <v>93</v>
      </c>
      <c r="E635" s="6" t="s">
        <v>1285</v>
      </c>
      <c r="AP635" s="4" t="s">
        <v>376</v>
      </c>
      <c r="AR635" s="4" t="s">
        <v>377</v>
      </c>
    </row>
    <row r="636" spans="1:44">
      <c r="A636" s="4" t="s">
        <v>5</v>
      </c>
      <c r="C636" s="4">
        <v>4226</v>
      </c>
      <c r="D636" s="5" t="s">
        <v>93</v>
      </c>
      <c r="E636" s="6" t="s">
        <v>1286</v>
      </c>
      <c r="AP636" s="4" t="s">
        <v>376</v>
      </c>
      <c r="AR636" s="4" t="s">
        <v>377</v>
      </c>
    </row>
    <row r="637" spans="1:44">
      <c r="A637" s="4" t="s">
        <v>5</v>
      </c>
      <c r="C637" s="4">
        <v>4989</v>
      </c>
      <c r="D637" s="5" t="s">
        <v>93</v>
      </c>
      <c r="E637" s="6" t="s">
        <v>1287</v>
      </c>
      <c r="AP637" s="4" t="s">
        <v>376</v>
      </c>
      <c r="AR637" s="4" t="s">
        <v>377</v>
      </c>
    </row>
    <row r="638" spans="1:44">
      <c r="A638" s="4" t="s">
        <v>5</v>
      </c>
      <c r="C638" s="4">
        <v>6922</v>
      </c>
      <c r="D638" s="5" t="s">
        <v>93</v>
      </c>
      <c r="E638" s="6" t="s">
        <v>1288</v>
      </c>
      <c r="AP638" s="4" t="s">
        <v>376</v>
      </c>
      <c r="AR638" s="4" t="s">
        <v>377</v>
      </c>
    </row>
    <row r="639" spans="1:44">
      <c r="A639" s="4" t="s">
        <v>5</v>
      </c>
      <c r="C639" s="4">
        <v>257</v>
      </c>
      <c r="D639" s="5" t="s">
        <v>93</v>
      </c>
      <c r="E639" s="6" t="s">
        <v>1289</v>
      </c>
      <c r="F639" s="5" t="s">
        <v>1290</v>
      </c>
      <c r="AP639" s="4" t="s">
        <v>376</v>
      </c>
      <c r="AR639" s="4" t="s">
        <v>377</v>
      </c>
    </row>
    <row r="640" spans="1:44">
      <c r="A640" s="4" t="s">
        <v>5</v>
      </c>
      <c r="C640" s="4">
        <v>6102</v>
      </c>
      <c r="D640" s="5" t="s">
        <v>93</v>
      </c>
      <c r="E640" s="6" t="s">
        <v>1291</v>
      </c>
      <c r="AP640" s="4" t="s">
        <v>376</v>
      </c>
      <c r="AR640" s="4" t="s">
        <v>377</v>
      </c>
    </row>
    <row r="641" spans="1:44">
      <c r="A641" s="4" t="s">
        <v>5</v>
      </c>
      <c r="C641" s="4">
        <v>279</v>
      </c>
      <c r="D641" s="5" t="s">
        <v>93</v>
      </c>
      <c r="E641" s="6" t="s">
        <v>1292</v>
      </c>
      <c r="F641" s="5" t="s">
        <v>1293</v>
      </c>
      <c r="Z641" s="4" t="s">
        <v>443</v>
      </c>
      <c r="AA641" s="4" t="s">
        <v>444</v>
      </c>
      <c r="AP641" s="4" t="s">
        <v>376</v>
      </c>
      <c r="AR641" s="4" t="s">
        <v>377</v>
      </c>
    </row>
    <row r="642" spans="1:44" ht="30">
      <c r="A642" s="4" t="s">
        <v>5</v>
      </c>
      <c r="C642" s="4">
        <v>5056</v>
      </c>
      <c r="D642" s="5" t="s">
        <v>93</v>
      </c>
      <c r="E642" s="6" t="s">
        <v>1294</v>
      </c>
      <c r="AP642" s="4" t="s">
        <v>376</v>
      </c>
      <c r="AR642" s="4" t="s">
        <v>377</v>
      </c>
    </row>
    <row r="643" spans="1:44">
      <c r="A643" s="4" t="s">
        <v>5</v>
      </c>
      <c r="C643" s="4">
        <v>2049</v>
      </c>
      <c r="D643" s="5" t="s">
        <v>93</v>
      </c>
      <c r="E643" s="6" t="s">
        <v>1295</v>
      </c>
      <c r="AP643" s="4" t="s">
        <v>376</v>
      </c>
      <c r="AR643" s="4" t="s">
        <v>377</v>
      </c>
    </row>
    <row r="644" spans="1:44">
      <c r="A644" s="4" t="s">
        <v>5</v>
      </c>
      <c r="C644" s="4">
        <v>6106</v>
      </c>
      <c r="D644" s="5" t="s">
        <v>93</v>
      </c>
      <c r="E644" s="6" t="s">
        <v>1296</v>
      </c>
      <c r="AP644" s="4" t="s">
        <v>376</v>
      </c>
      <c r="AR644" s="4" t="s">
        <v>377</v>
      </c>
    </row>
    <row r="645" spans="1:44" ht="30">
      <c r="A645" s="4" t="s">
        <v>5</v>
      </c>
      <c r="C645" s="4">
        <v>1263</v>
      </c>
      <c r="D645" s="5" t="s">
        <v>93</v>
      </c>
      <c r="E645" s="6" t="s">
        <v>1297</v>
      </c>
      <c r="F645" s="5" t="s">
        <v>1298</v>
      </c>
      <c r="Z645" s="4" t="s">
        <v>447</v>
      </c>
      <c r="AA645" s="4" t="s">
        <v>448</v>
      </c>
      <c r="AP645" s="4" t="s">
        <v>376</v>
      </c>
      <c r="AR645" s="4" t="s">
        <v>377</v>
      </c>
    </row>
    <row r="646" spans="1:44">
      <c r="A646" s="4" t="s">
        <v>5</v>
      </c>
      <c r="C646" s="4">
        <v>2883</v>
      </c>
      <c r="D646" s="5" t="s">
        <v>93</v>
      </c>
      <c r="E646" s="6" t="s">
        <v>1299</v>
      </c>
      <c r="F646" s="5" t="s">
        <v>1300</v>
      </c>
      <c r="Z646" s="4" t="s">
        <v>447</v>
      </c>
      <c r="AA646" s="4" t="s">
        <v>448</v>
      </c>
      <c r="AP646" s="4" t="s">
        <v>376</v>
      </c>
      <c r="AR646" s="4" t="s">
        <v>377</v>
      </c>
    </row>
    <row r="647" spans="1:44">
      <c r="A647" s="4" t="s">
        <v>5</v>
      </c>
      <c r="C647" s="4">
        <v>4085</v>
      </c>
      <c r="D647" s="5" t="s">
        <v>93</v>
      </c>
      <c r="E647" s="6" t="s">
        <v>1301</v>
      </c>
      <c r="AP647" s="4" t="s">
        <v>376</v>
      </c>
      <c r="AR647" s="4" t="s">
        <v>377</v>
      </c>
    </row>
    <row r="648" spans="1:44">
      <c r="A648" s="4" t="s">
        <v>5</v>
      </c>
      <c r="C648" s="4">
        <v>6002</v>
      </c>
      <c r="D648" s="5" t="s">
        <v>93</v>
      </c>
      <c r="E648" s="6" t="s">
        <v>1302</v>
      </c>
      <c r="AP648" s="4" t="s">
        <v>376</v>
      </c>
      <c r="AR648" s="4" t="s">
        <v>377</v>
      </c>
    </row>
    <row r="649" spans="1:44">
      <c r="A649" s="4" t="s">
        <v>5</v>
      </c>
      <c r="C649" s="4">
        <v>6936</v>
      </c>
      <c r="D649" s="5" t="s">
        <v>93</v>
      </c>
      <c r="E649" s="6" t="s">
        <v>1303</v>
      </c>
      <c r="F649" s="5" t="s">
        <v>1304</v>
      </c>
      <c r="AP649" s="4" t="s">
        <v>376</v>
      </c>
      <c r="AR649" s="4" t="s">
        <v>377</v>
      </c>
    </row>
    <row r="650" spans="1:44">
      <c r="A650" s="4" t="s">
        <v>5</v>
      </c>
      <c r="C650" s="4">
        <v>4978</v>
      </c>
      <c r="D650" s="5" t="s">
        <v>93</v>
      </c>
      <c r="E650" s="6" t="s">
        <v>1305</v>
      </c>
      <c r="AP650" s="4" t="s">
        <v>376</v>
      </c>
      <c r="AR650" s="4" t="s">
        <v>377</v>
      </c>
    </row>
    <row r="651" spans="1:44" ht="30">
      <c r="A651" s="4" t="s">
        <v>5</v>
      </c>
      <c r="C651" s="4">
        <v>5658</v>
      </c>
      <c r="D651" s="5" t="s">
        <v>93</v>
      </c>
      <c r="E651" s="6" t="s">
        <v>1306</v>
      </c>
      <c r="Z651" s="4" t="s">
        <v>447</v>
      </c>
      <c r="AA651" s="4" t="s">
        <v>448</v>
      </c>
      <c r="AP651" s="4" t="s">
        <v>376</v>
      </c>
      <c r="AR651" s="4" t="s">
        <v>377</v>
      </c>
    </row>
    <row r="652" spans="1:44" ht="30">
      <c r="A652" s="4" t="s">
        <v>5</v>
      </c>
      <c r="C652" s="4">
        <v>1464</v>
      </c>
      <c r="D652" s="5" t="s">
        <v>93</v>
      </c>
      <c r="E652" s="6" t="s">
        <v>1307</v>
      </c>
      <c r="F652" s="5" t="s">
        <v>1308</v>
      </c>
      <c r="AP652" s="4" t="s">
        <v>376</v>
      </c>
      <c r="AR652" s="4" t="s">
        <v>377</v>
      </c>
    </row>
    <row r="653" spans="1:44">
      <c r="A653" s="4" t="s">
        <v>5</v>
      </c>
      <c r="C653" s="4">
        <v>328</v>
      </c>
      <c r="D653" s="5" t="s">
        <v>93</v>
      </c>
      <c r="E653" s="6" t="s">
        <v>1309</v>
      </c>
      <c r="F653" s="5" t="s">
        <v>1310</v>
      </c>
      <c r="AP653" s="4" t="s">
        <v>376</v>
      </c>
      <c r="AR653" s="4" t="s">
        <v>377</v>
      </c>
    </row>
    <row r="654" spans="1:44" ht="30">
      <c r="A654" s="4" t="s">
        <v>5</v>
      </c>
      <c r="C654" s="4">
        <v>161</v>
      </c>
      <c r="D654" s="5" t="s">
        <v>93</v>
      </c>
      <c r="E654" s="6" t="s">
        <v>1311</v>
      </c>
      <c r="F654" s="5" t="s">
        <v>1312</v>
      </c>
      <c r="AP654" s="4" t="s">
        <v>376</v>
      </c>
      <c r="AR654" s="4" t="s">
        <v>377</v>
      </c>
    </row>
    <row r="655" spans="1:44" ht="30">
      <c r="A655" s="4" t="s">
        <v>5</v>
      </c>
      <c r="C655" s="4">
        <v>3594</v>
      </c>
      <c r="D655" s="5" t="s">
        <v>93</v>
      </c>
      <c r="E655" s="6" t="s">
        <v>1313</v>
      </c>
      <c r="AP655" s="4" t="s">
        <v>376</v>
      </c>
      <c r="AR655" s="4" t="s">
        <v>377</v>
      </c>
    </row>
    <row r="656" spans="1:44" ht="30">
      <c r="A656" s="4" t="s">
        <v>5</v>
      </c>
      <c r="C656" s="4">
        <v>6462</v>
      </c>
      <c r="D656" s="5" t="s">
        <v>93</v>
      </c>
      <c r="E656" s="6" t="s">
        <v>1314</v>
      </c>
      <c r="AP656" s="4" t="s">
        <v>376</v>
      </c>
      <c r="AR656" s="4" t="s">
        <v>377</v>
      </c>
    </row>
    <row r="657" spans="1:44">
      <c r="A657" s="4" t="s">
        <v>5</v>
      </c>
      <c r="C657" s="4">
        <v>4775</v>
      </c>
      <c r="D657" s="5" t="s">
        <v>93</v>
      </c>
      <c r="E657" s="6" t="s">
        <v>1315</v>
      </c>
      <c r="AP657" s="4" t="s">
        <v>376</v>
      </c>
      <c r="AR657" s="4" t="s">
        <v>377</v>
      </c>
    </row>
    <row r="658" spans="1:44" ht="30">
      <c r="A658" s="4" t="s">
        <v>5</v>
      </c>
      <c r="C658" s="4">
        <v>6874</v>
      </c>
      <c r="D658" s="5" t="s">
        <v>93</v>
      </c>
      <c r="E658" s="6" t="s">
        <v>1316</v>
      </c>
      <c r="AP658" s="4" t="s">
        <v>376</v>
      </c>
      <c r="AR658" s="4" t="s">
        <v>377</v>
      </c>
    </row>
    <row r="659" spans="1:44">
      <c r="A659" s="4" t="s">
        <v>5</v>
      </c>
      <c r="C659" s="4">
        <v>872</v>
      </c>
      <c r="D659" s="5" t="s">
        <v>93</v>
      </c>
      <c r="E659" s="6" t="s">
        <v>1317</v>
      </c>
      <c r="AP659" s="4" t="s">
        <v>376</v>
      </c>
      <c r="AR659" s="4" t="s">
        <v>377</v>
      </c>
    </row>
    <row r="660" spans="1:44">
      <c r="A660" s="4" t="s">
        <v>5</v>
      </c>
      <c r="C660" s="4">
        <v>1006</v>
      </c>
      <c r="D660" s="5" t="s">
        <v>93</v>
      </c>
      <c r="E660" s="6" t="s">
        <v>1318</v>
      </c>
      <c r="AP660" s="4" t="s">
        <v>376</v>
      </c>
      <c r="AR660" s="4" t="s">
        <v>377</v>
      </c>
    </row>
    <row r="661" spans="1:44">
      <c r="A661" s="4" t="s">
        <v>5</v>
      </c>
      <c r="C661" s="4">
        <v>6215</v>
      </c>
      <c r="D661" s="5" t="s">
        <v>93</v>
      </c>
      <c r="E661" s="6" t="s">
        <v>1319</v>
      </c>
      <c r="AP661" s="4" t="s">
        <v>376</v>
      </c>
      <c r="AR661" s="4" t="s">
        <v>377</v>
      </c>
    </row>
    <row r="662" spans="1:44">
      <c r="A662" s="4" t="s">
        <v>5</v>
      </c>
      <c r="C662" s="4">
        <v>5994</v>
      </c>
      <c r="D662" s="5" t="s">
        <v>93</v>
      </c>
      <c r="E662" s="6" t="s">
        <v>1320</v>
      </c>
      <c r="AP662" s="4" t="s">
        <v>376</v>
      </c>
      <c r="AR662" s="4" t="s">
        <v>377</v>
      </c>
    </row>
    <row r="663" spans="1:44">
      <c r="A663" s="4" t="s">
        <v>5</v>
      </c>
      <c r="C663" s="4">
        <v>3427</v>
      </c>
      <c r="D663" s="5" t="s">
        <v>93</v>
      </c>
      <c r="E663" s="6" t="s">
        <v>1321</v>
      </c>
      <c r="AP663" s="4" t="s">
        <v>376</v>
      </c>
      <c r="AR663" s="4" t="s">
        <v>377</v>
      </c>
    </row>
    <row r="664" spans="1:44">
      <c r="A664" s="4" t="s">
        <v>5</v>
      </c>
      <c r="C664" s="4">
        <v>4242</v>
      </c>
      <c r="D664" s="5" t="s">
        <v>93</v>
      </c>
      <c r="E664" s="6" t="s">
        <v>1322</v>
      </c>
      <c r="AP664" s="4" t="s">
        <v>376</v>
      </c>
      <c r="AR664" s="4" t="s">
        <v>377</v>
      </c>
    </row>
    <row r="665" spans="1:44">
      <c r="A665" s="4" t="s">
        <v>5</v>
      </c>
      <c r="C665" s="4">
        <v>4472</v>
      </c>
      <c r="D665" s="5" t="s">
        <v>93</v>
      </c>
      <c r="E665" s="6" t="s">
        <v>1323</v>
      </c>
      <c r="F665" s="5" t="s">
        <v>1324</v>
      </c>
      <c r="AP665" s="4" t="s">
        <v>376</v>
      </c>
      <c r="AR665" s="4" t="s">
        <v>377</v>
      </c>
    </row>
    <row r="666" spans="1:44" ht="30">
      <c r="A666" s="4" t="s">
        <v>5</v>
      </c>
      <c r="C666" s="4">
        <v>1442</v>
      </c>
      <c r="D666" s="5" t="s">
        <v>93</v>
      </c>
      <c r="E666" s="6" t="s">
        <v>1325</v>
      </c>
      <c r="AP666" s="4" t="s">
        <v>376</v>
      </c>
      <c r="AR666" s="4" t="s">
        <v>377</v>
      </c>
    </row>
    <row r="667" spans="1:44" ht="30">
      <c r="A667" s="4" t="s">
        <v>5</v>
      </c>
      <c r="C667" s="4">
        <v>5106</v>
      </c>
      <c r="D667" s="5" t="s">
        <v>93</v>
      </c>
      <c r="E667" s="6" t="s">
        <v>1326</v>
      </c>
      <c r="AP667" s="4" t="s">
        <v>376</v>
      </c>
      <c r="AR667" s="4" t="s">
        <v>377</v>
      </c>
    </row>
    <row r="668" spans="1:44">
      <c r="A668" s="4" t="s">
        <v>5</v>
      </c>
      <c r="C668" s="4">
        <v>6620</v>
      </c>
      <c r="D668" s="5" t="s">
        <v>93</v>
      </c>
      <c r="E668" s="6" t="s">
        <v>1327</v>
      </c>
      <c r="F668" s="5" t="s">
        <v>1328</v>
      </c>
      <c r="AP668" s="4" t="s">
        <v>376</v>
      </c>
      <c r="AR668" s="4" t="s">
        <v>377</v>
      </c>
    </row>
    <row r="669" spans="1:44">
      <c r="A669" s="4" t="s">
        <v>5</v>
      </c>
      <c r="C669" s="4">
        <v>2467</v>
      </c>
      <c r="D669" s="5" t="s">
        <v>93</v>
      </c>
      <c r="E669" s="6" t="s">
        <v>1329</v>
      </c>
      <c r="Z669" s="4" t="s">
        <v>443</v>
      </c>
      <c r="AA669" s="4" t="s">
        <v>444</v>
      </c>
      <c r="AP669" s="4" t="s">
        <v>376</v>
      </c>
      <c r="AR669" s="4" t="s">
        <v>377</v>
      </c>
    </row>
    <row r="670" spans="1:44">
      <c r="A670" s="4" t="s">
        <v>5</v>
      </c>
      <c r="C670" s="4">
        <v>4571</v>
      </c>
      <c r="D670" s="5" t="s">
        <v>93</v>
      </c>
      <c r="E670" s="6" t="s">
        <v>1330</v>
      </c>
      <c r="AP670" s="4" t="s">
        <v>376</v>
      </c>
      <c r="AR670" s="4" t="s">
        <v>377</v>
      </c>
    </row>
    <row r="671" spans="1:44" ht="30">
      <c r="A671" s="4" t="s">
        <v>5</v>
      </c>
      <c r="C671" s="4">
        <v>839</v>
      </c>
      <c r="D671" s="5" t="s">
        <v>93</v>
      </c>
      <c r="E671" s="6" t="s">
        <v>1331</v>
      </c>
      <c r="F671" s="5" t="s">
        <v>1332</v>
      </c>
      <c r="AP671" s="4" t="s">
        <v>376</v>
      </c>
      <c r="AR671" s="4" t="s">
        <v>377</v>
      </c>
    </row>
    <row r="672" spans="1:44">
      <c r="A672" s="4" t="s">
        <v>5</v>
      </c>
      <c r="C672" s="4">
        <v>6623</v>
      </c>
      <c r="D672" s="5" t="s">
        <v>93</v>
      </c>
      <c r="E672" s="6" t="s">
        <v>1333</v>
      </c>
      <c r="AP672" s="4" t="s">
        <v>376</v>
      </c>
      <c r="AR672" s="4" t="s">
        <v>377</v>
      </c>
    </row>
    <row r="673" spans="1:44" ht="30">
      <c r="A673" s="4" t="s">
        <v>5</v>
      </c>
      <c r="C673" s="4">
        <v>6013</v>
      </c>
      <c r="D673" s="5" t="s">
        <v>93</v>
      </c>
      <c r="E673" s="6" t="s">
        <v>1334</v>
      </c>
      <c r="AP673" s="4" t="s">
        <v>376</v>
      </c>
      <c r="AR673" s="4" t="s">
        <v>377</v>
      </c>
    </row>
    <row r="674" spans="1:44" ht="30">
      <c r="A674" s="4" t="s">
        <v>5</v>
      </c>
      <c r="C674" s="4">
        <v>492</v>
      </c>
      <c r="D674" s="5" t="s">
        <v>93</v>
      </c>
      <c r="E674" s="6" t="s">
        <v>1335</v>
      </c>
      <c r="F674" s="5" t="s">
        <v>1336</v>
      </c>
      <c r="AP674" s="4" t="s">
        <v>376</v>
      </c>
      <c r="AR674" s="4" t="s">
        <v>377</v>
      </c>
    </row>
    <row r="675" spans="1:44">
      <c r="A675" s="4" t="s">
        <v>5</v>
      </c>
      <c r="C675" s="4">
        <v>3804</v>
      </c>
      <c r="D675" s="5" t="s">
        <v>93</v>
      </c>
      <c r="E675" s="6" t="s">
        <v>1337</v>
      </c>
      <c r="F675" s="5" t="s">
        <v>1338</v>
      </c>
      <c r="Z675" s="4" t="s">
        <v>443</v>
      </c>
      <c r="AA675" s="4" t="s">
        <v>444</v>
      </c>
      <c r="AP675" s="4" t="s">
        <v>376</v>
      </c>
      <c r="AR675" s="4" t="s">
        <v>377</v>
      </c>
    </row>
    <row r="676" spans="1:44" ht="30">
      <c r="A676" s="4" t="s">
        <v>5</v>
      </c>
      <c r="C676" s="4">
        <v>3772</v>
      </c>
      <c r="D676" s="5" t="s">
        <v>93</v>
      </c>
      <c r="E676" s="6" t="s">
        <v>1339</v>
      </c>
      <c r="F676" s="5" t="s">
        <v>1340</v>
      </c>
      <c r="Z676" s="4" t="s">
        <v>443</v>
      </c>
      <c r="AA676" s="4" t="s">
        <v>444</v>
      </c>
      <c r="AP676" s="4" t="s">
        <v>376</v>
      </c>
      <c r="AR676" s="4" t="s">
        <v>377</v>
      </c>
    </row>
    <row r="677" spans="1:44">
      <c r="A677" s="4" t="s">
        <v>5</v>
      </c>
      <c r="C677" s="4">
        <v>4892</v>
      </c>
      <c r="D677" s="5" t="s">
        <v>93</v>
      </c>
      <c r="E677" s="6" t="s">
        <v>1341</v>
      </c>
      <c r="AP677" s="4" t="s">
        <v>376</v>
      </c>
      <c r="AR677" s="4" t="s">
        <v>377</v>
      </c>
    </row>
    <row r="678" spans="1:44" ht="30">
      <c r="A678" s="4" t="s">
        <v>5</v>
      </c>
      <c r="C678" s="4">
        <v>2630</v>
      </c>
      <c r="D678" s="5" t="s">
        <v>93</v>
      </c>
      <c r="E678" s="6" t="s">
        <v>1342</v>
      </c>
      <c r="Z678" s="4" t="s">
        <v>695</v>
      </c>
      <c r="AA678" s="4" t="s">
        <v>696</v>
      </c>
      <c r="AP678" s="4" t="s">
        <v>376</v>
      </c>
      <c r="AR678" s="4" t="s">
        <v>377</v>
      </c>
    </row>
    <row r="679" spans="1:44">
      <c r="A679" s="4" t="s">
        <v>5</v>
      </c>
      <c r="C679" s="4">
        <v>1026</v>
      </c>
      <c r="D679" s="5" t="s">
        <v>93</v>
      </c>
      <c r="E679" s="6" t="s">
        <v>1343</v>
      </c>
      <c r="AP679" s="4" t="s">
        <v>376</v>
      </c>
      <c r="AR679" s="4" t="s">
        <v>377</v>
      </c>
    </row>
    <row r="680" spans="1:44">
      <c r="A680" s="4" t="s">
        <v>5</v>
      </c>
      <c r="C680" s="4">
        <v>1014</v>
      </c>
      <c r="D680" s="5" t="s">
        <v>93</v>
      </c>
      <c r="E680" s="6" t="s">
        <v>1344</v>
      </c>
      <c r="F680" s="5" t="s">
        <v>1345</v>
      </c>
      <c r="AP680" s="4" t="s">
        <v>376</v>
      </c>
      <c r="AR680" s="4" t="s">
        <v>377</v>
      </c>
    </row>
    <row r="681" spans="1:44">
      <c r="A681" s="4" t="s">
        <v>5</v>
      </c>
      <c r="C681" s="4">
        <v>57</v>
      </c>
      <c r="D681" s="5" t="s">
        <v>93</v>
      </c>
      <c r="E681" s="6" t="s">
        <v>1346</v>
      </c>
      <c r="F681" s="5" t="s">
        <v>1347</v>
      </c>
      <c r="Z681" s="4" t="s">
        <v>447</v>
      </c>
      <c r="AA681" s="4" t="s">
        <v>448</v>
      </c>
      <c r="AP681" s="4" t="s">
        <v>376</v>
      </c>
      <c r="AR681" s="4" t="s">
        <v>377</v>
      </c>
    </row>
    <row r="682" spans="1:44" ht="30">
      <c r="A682" s="4" t="s">
        <v>5</v>
      </c>
      <c r="C682" s="4">
        <v>6424</v>
      </c>
      <c r="D682" s="5" t="s">
        <v>93</v>
      </c>
      <c r="E682" s="6" t="s">
        <v>1348</v>
      </c>
      <c r="AP682" s="4" t="s">
        <v>376</v>
      </c>
      <c r="AR682" s="4" t="s">
        <v>377</v>
      </c>
    </row>
    <row r="683" spans="1:44">
      <c r="A683" s="4" t="s">
        <v>5</v>
      </c>
      <c r="C683" s="4">
        <v>4999</v>
      </c>
      <c r="D683" s="5" t="s">
        <v>93</v>
      </c>
      <c r="E683" s="6" t="s">
        <v>1349</v>
      </c>
      <c r="AP683" s="4" t="s">
        <v>376</v>
      </c>
      <c r="AR683" s="4" t="s">
        <v>377</v>
      </c>
    </row>
    <row r="684" spans="1:44">
      <c r="A684" s="4" t="s">
        <v>5</v>
      </c>
      <c r="C684" s="4">
        <v>5945</v>
      </c>
      <c r="D684" s="5" t="s">
        <v>93</v>
      </c>
      <c r="E684" s="6" t="s">
        <v>1350</v>
      </c>
      <c r="AP684" s="4" t="s">
        <v>376</v>
      </c>
      <c r="AR684" s="4" t="s">
        <v>377</v>
      </c>
    </row>
    <row r="685" spans="1:44">
      <c r="A685" s="4" t="s">
        <v>5</v>
      </c>
      <c r="C685" s="4">
        <v>420</v>
      </c>
      <c r="D685" s="5" t="s">
        <v>93</v>
      </c>
      <c r="E685" s="6" t="s">
        <v>1351</v>
      </c>
      <c r="F685" s="5" t="s">
        <v>1352</v>
      </c>
      <c r="AP685" s="4" t="s">
        <v>376</v>
      </c>
      <c r="AR685" s="4" t="s">
        <v>377</v>
      </c>
    </row>
    <row r="686" spans="1:44">
      <c r="A686" s="4" t="s">
        <v>5</v>
      </c>
      <c r="C686" s="4">
        <v>1945</v>
      </c>
      <c r="D686" s="5" t="s">
        <v>93</v>
      </c>
      <c r="E686" s="6" t="s">
        <v>1353</v>
      </c>
      <c r="F686" s="5" t="s">
        <v>1354</v>
      </c>
      <c r="AP686" s="4" t="s">
        <v>376</v>
      </c>
      <c r="AR686" s="4" t="s">
        <v>377</v>
      </c>
    </row>
    <row r="687" spans="1:44">
      <c r="A687" s="4" t="s">
        <v>5</v>
      </c>
      <c r="C687" s="4">
        <v>4954</v>
      </c>
      <c r="D687" s="5" t="s">
        <v>93</v>
      </c>
      <c r="E687" s="6" t="s">
        <v>1355</v>
      </c>
      <c r="F687" s="5" t="s">
        <v>1356</v>
      </c>
      <c r="AP687" s="4" t="s">
        <v>376</v>
      </c>
      <c r="AR687" s="4" t="s">
        <v>377</v>
      </c>
    </row>
    <row r="688" spans="1:44" ht="30">
      <c r="A688" s="4" t="s">
        <v>5</v>
      </c>
      <c r="C688" s="4">
        <v>2850</v>
      </c>
      <c r="D688" s="5" t="s">
        <v>93</v>
      </c>
      <c r="E688" s="6" t="s">
        <v>1357</v>
      </c>
      <c r="AP688" s="4" t="s">
        <v>376</v>
      </c>
      <c r="AR688" s="4" t="s">
        <v>377</v>
      </c>
    </row>
    <row r="689" spans="1:44" ht="30">
      <c r="A689" s="4" t="s">
        <v>5</v>
      </c>
      <c r="C689" s="4">
        <v>6563</v>
      </c>
      <c r="D689" s="5" t="s">
        <v>93</v>
      </c>
      <c r="E689" s="6" t="s">
        <v>1358</v>
      </c>
      <c r="AP689" s="4" t="s">
        <v>376</v>
      </c>
      <c r="AR689" s="4" t="s">
        <v>377</v>
      </c>
    </row>
    <row r="690" spans="1:44">
      <c r="A690" s="4" t="s">
        <v>5</v>
      </c>
      <c r="C690" s="4">
        <v>6822</v>
      </c>
      <c r="D690" s="5" t="s">
        <v>93</v>
      </c>
      <c r="E690" s="6" t="s">
        <v>1359</v>
      </c>
      <c r="AP690" s="4" t="s">
        <v>376</v>
      </c>
      <c r="AR690" s="4" t="s">
        <v>377</v>
      </c>
    </row>
    <row r="691" spans="1:44" ht="30">
      <c r="A691" s="4" t="s">
        <v>5</v>
      </c>
      <c r="C691" s="4">
        <v>3421</v>
      </c>
      <c r="D691" s="5" t="s">
        <v>93</v>
      </c>
      <c r="E691" s="6" t="s">
        <v>1360</v>
      </c>
      <c r="F691" s="5" t="s">
        <v>1361</v>
      </c>
      <c r="AP691" s="4" t="s">
        <v>376</v>
      </c>
      <c r="AR691" s="4" t="s">
        <v>377</v>
      </c>
    </row>
    <row r="692" spans="1:44" ht="30">
      <c r="A692" s="4" t="s">
        <v>5</v>
      </c>
      <c r="C692" s="4">
        <v>6192</v>
      </c>
      <c r="D692" s="5" t="s">
        <v>93</v>
      </c>
      <c r="E692" s="6" t="s">
        <v>1362</v>
      </c>
      <c r="AP692" s="4" t="s">
        <v>376</v>
      </c>
      <c r="AR692" s="4" t="s">
        <v>377</v>
      </c>
    </row>
    <row r="693" spans="1:44">
      <c r="A693" s="4" t="s">
        <v>5</v>
      </c>
      <c r="C693" s="4">
        <v>2804</v>
      </c>
      <c r="D693" s="5" t="s">
        <v>93</v>
      </c>
      <c r="E693" s="6" t="s">
        <v>1363</v>
      </c>
      <c r="F693" s="5" t="s">
        <v>1364</v>
      </c>
      <c r="Z693" s="4" t="s">
        <v>447</v>
      </c>
      <c r="AA693" s="4" t="s">
        <v>448</v>
      </c>
      <c r="AP693" s="4" t="s">
        <v>376</v>
      </c>
      <c r="AR693" s="4" t="s">
        <v>377</v>
      </c>
    </row>
    <row r="694" spans="1:44">
      <c r="A694" s="4" t="s">
        <v>5</v>
      </c>
      <c r="C694" s="4">
        <v>2974</v>
      </c>
      <c r="D694" s="5" t="s">
        <v>93</v>
      </c>
      <c r="E694" s="6" t="s">
        <v>1365</v>
      </c>
      <c r="F694" s="5" t="s">
        <v>1366</v>
      </c>
      <c r="Z694" s="4" t="s">
        <v>447</v>
      </c>
      <c r="AA694" s="4" t="s">
        <v>448</v>
      </c>
      <c r="AP694" s="4" t="s">
        <v>376</v>
      </c>
      <c r="AR694" s="4" t="s">
        <v>377</v>
      </c>
    </row>
    <row r="695" spans="1:44" ht="30">
      <c r="A695" s="4" t="s">
        <v>5</v>
      </c>
      <c r="C695" s="4">
        <v>1679</v>
      </c>
      <c r="D695" s="5" t="s">
        <v>93</v>
      </c>
      <c r="E695" s="6" t="s">
        <v>1367</v>
      </c>
      <c r="AP695" s="4" t="s">
        <v>376</v>
      </c>
      <c r="AR695" s="4" t="s">
        <v>377</v>
      </c>
    </row>
    <row r="696" spans="1:44">
      <c r="A696" s="4" t="s">
        <v>5</v>
      </c>
      <c r="C696" s="4">
        <v>3077</v>
      </c>
      <c r="D696" s="5" t="s">
        <v>93</v>
      </c>
      <c r="E696" s="6" t="s">
        <v>1368</v>
      </c>
      <c r="F696" s="5" t="s">
        <v>1369</v>
      </c>
      <c r="AP696" s="4" t="s">
        <v>376</v>
      </c>
      <c r="AR696" s="4" t="s">
        <v>377</v>
      </c>
    </row>
    <row r="697" spans="1:44">
      <c r="A697" s="4" t="s">
        <v>5</v>
      </c>
      <c r="C697" s="4">
        <v>4835</v>
      </c>
      <c r="D697" s="5" t="s">
        <v>93</v>
      </c>
      <c r="E697" s="6" t="s">
        <v>1370</v>
      </c>
      <c r="AP697" s="4" t="s">
        <v>376</v>
      </c>
      <c r="AR697" s="4" t="s">
        <v>377</v>
      </c>
    </row>
    <row r="698" spans="1:44">
      <c r="A698" s="4" t="s">
        <v>5</v>
      </c>
      <c r="C698" s="4">
        <v>6841</v>
      </c>
      <c r="D698" s="5" t="s">
        <v>93</v>
      </c>
      <c r="E698" s="6" t="s">
        <v>1371</v>
      </c>
      <c r="AP698" s="4" t="s">
        <v>376</v>
      </c>
      <c r="AR698" s="4" t="s">
        <v>377</v>
      </c>
    </row>
    <row r="699" spans="1:44">
      <c r="A699" s="4" t="s">
        <v>5</v>
      </c>
      <c r="C699" s="4">
        <v>4691</v>
      </c>
      <c r="D699" s="5" t="s">
        <v>93</v>
      </c>
      <c r="E699" s="6" t="s">
        <v>1372</v>
      </c>
      <c r="F699" s="5" t="s">
        <v>1373</v>
      </c>
      <c r="AP699" s="4" t="s">
        <v>376</v>
      </c>
      <c r="AR699" s="4" t="s">
        <v>377</v>
      </c>
    </row>
    <row r="700" spans="1:44">
      <c r="A700" s="4" t="s">
        <v>5</v>
      </c>
      <c r="C700" s="4">
        <v>3403</v>
      </c>
      <c r="D700" s="5" t="s">
        <v>93</v>
      </c>
      <c r="E700" s="6" t="s">
        <v>1374</v>
      </c>
      <c r="AP700" s="4" t="s">
        <v>376</v>
      </c>
      <c r="AR700" s="4" t="s">
        <v>377</v>
      </c>
    </row>
    <row r="701" spans="1:44">
      <c r="A701" s="4" t="s">
        <v>5</v>
      </c>
      <c r="C701" s="4">
        <v>6644</v>
      </c>
      <c r="D701" s="5" t="s">
        <v>93</v>
      </c>
      <c r="E701" s="6" t="s">
        <v>1375</v>
      </c>
      <c r="AP701" s="4" t="s">
        <v>376</v>
      </c>
      <c r="AR701" s="4" t="s">
        <v>377</v>
      </c>
    </row>
    <row r="702" spans="1:44">
      <c r="A702" s="4" t="s">
        <v>5</v>
      </c>
      <c r="C702" s="4">
        <v>5721</v>
      </c>
      <c r="D702" s="5" t="s">
        <v>93</v>
      </c>
      <c r="E702" s="6" t="s">
        <v>1376</v>
      </c>
      <c r="AP702" s="4" t="s">
        <v>376</v>
      </c>
      <c r="AR702" s="4" t="s">
        <v>377</v>
      </c>
    </row>
    <row r="703" spans="1:44">
      <c r="A703" s="4" t="s">
        <v>5</v>
      </c>
      <c r="C703" s="4">
        <v>4933</v>
      </c>
      <c r="D703" s="5" t="s">
        <v>93</v>
      </c>
      <c r="E703" s="6" t="s">
        <v>1377</v>
      </c>
      <c r="AP703" s="4" t="s">
        <v>376</v>
      </c>
      <c r="AR703" s="4" t="s">
        <v>377</v>
      </c>
    </row>
    <row r="704" spans="1:44">
      <c r="A704" s="4" t="s">
        <v>5</v>
      </c>
      <c r="C704" s="4">
        <v>4717</v>
      </c>
      <c r="D704" s="5" t="s">
        <v>93</v>
      </c>
      <c r="E704" s="6" t="s">
        <v>1378</v>
      </c>
      <c r="AP704" s="4" t="s">
        <v>376</v>
      </c>
      <c r="AR704" s="4" t="s">
        <v>377</v>
      </c>
    </row>
    <row r="705" spans="1:44">
      <c r="A705" s="4" t="s">
        <v>5</v>
      </c>
      <c r="C705" s="4">
        <v>4721</v>
      </c>
      <c r="D705" s="5" t="s">
        <v>93</v>
      </c>
      <c r="E705" s="6" t="s">
        <v>1379</v>
      </c>
      <c r="AP705" s="4" t="s">
        <v>376</v>
      </c>
      <c r="AR705" s="4" t="s">
        <v>377</v>
      </c>
    </row>
    <row r="706" spans="1:44">
      <c r="A706" s="4" t="s">
        <v>5</v>
      </c>
      <c r="C706" s="4">
        <v>4143</v>
      </c>
      <c r="D706" s="5" t="s">
        <v>93</v>
      </c>
      <c r="E706" s="6" t="s">
        <v>1380</v>
      </c>
      <c r="AP706" s="4" t="s">
        <v>376</v>
      </c>
      <c r="AR706" s="4" t="s">
        <v>377</v>
      </c>
    </row>
    <row r="707" spans="1:44" ht="30">
      <c r="A707" s="4" t="s">
        <v>5</v>
      </c>
      <c r="C707" s="4">
        <v>4025</v>
      </c>
      <c r="D707" s="5" t="s">
        <v>93</v>
      </c>
      <c r="E707" s="6" t="s">
        <v>1381</v>
      </c>
      <c r="AP707" s="4" t="s">
        <v>376</v>
      </c>
      <c r="AR707" s="4" t="s">
        <v>377</v>
      </c>
    </row>
    <row r="708" spans="1:44">
      <c r="A708" s="4" t="s">
        <v>5</v>
      </c>
      <c r="C708" s="4">
        <v>4904</v>
      </c>
      <c r="D708" s="5" t="s">
        <v>93</v>
      </c>
      <c r="E708" s="6" t="s">
        <v>1382</v>
      </c>
      <c r="AP708" s="4" t="s">
        <v>376</v>
      </c>
      <c r="AR708" s="4" t="s">
        <v>377</v>
      </c>
    </row>
    <row r="709" spans="1:44">
      <c r="A709" s="4" t="s">
        <v>5</v>
      </c>
      <c r="C709" s="4">
        <v>1821</v>
      </c>
      <c r="D709" s="5" t="s">
        <v>93</v>
      </c>
      <c r="E709" s="6" t="s">
        <v>1383</v>
      </c>
      <c r="F709" s="5" t="s">
        <v>1384</v>
      </c>
      <c r="AP709" s="4" t="s">
        <v>376</v>
      </c>
      <c r="AR709" s="4" t="s">
        <v>377</v>
      </c>
    </row>
    <row r="710" spans="1:44">
      <c r="A710" s="4" t="s">
        <v>5</v>
      </c>
      <c r="C710" s="4">
        <v>2629</v>
      </c>
      <c r="D710" s="5" t="s">
        <v>93</v>
      </c>
      <c r="E710" s="6" t="s">
        <v>1385</v>
      </c>
      <c r="AP710" s="4" t="s">
        <v>376</v>
      </c>
      <c r="AR710" s="4" t="s">
        <v>377</v>
      </c>
    </row>
    <row r="711" spans="1:44">
      <c r="A711" s="4" t="s">
        <v>5</v>
      </c>
      <c r="C711" s="4">
        <v>2408</v>
      </c>
      <c r="D711" s="5" t="s">
        <v>93</v>
      </c>
      <c r="E711" s="6" t="s">
        <v>1386</v>
      </c>
      <c r="Z711" s="4" t="s">
        <v>443</v>
      </c>
      <c r="AA711" s="4" t="s">
        <v>444</v>
      </c>
      <c r="AP711" s="4" t="s">
        <v>376</v>
      </c>
      <c r="AR711" s="4" t="s">
        <v>377</v>
      </c>
    </row>
    <row r="712" spans="1:44">
      <c r="A712" s="4" t="s">
        <v>5</v>
      </c>
      <c r="C712" s="4">
        <v>1669</v>
      </c>
      <c r="D712" s="5" t="s">
        <v>93</v>
      </c>
      <c r="E712" s="6" t="s">
        <v>1387</v>
      </c>
      <c r="F712" s="5" t="s">
        <v>1388</v>
      </c>
      <c r="Z712" s="4" t="s">
        <v>443</v>
      </c>
      <c r="AA712" s="4" t="s">
        <v>444</v>
      </c>
      <c r="AP712" s="4" t="s">
        <v>376</v>
      </c>
      <c r="AR712" s="4" t="s">
        <v>377</v>
      </c>
    </row>
    <row r="713" spans="1:44">
      <c r="A713" s="4" t="s">
        <v>5</v>
      </c>
      <c r="C713" s="4">
        <v>3113</v>
      </c>
      <c r="D713" s="5" t="s">
        <v>93</v>
      </c>
      <c r="E713" s="6" t="s">
        <v>1389</v>
      </c>
      <c r="AP713" s="4" t="s">
        <v>376</v>
      </c>
      <c r="AR713" s="4" t="s">
        <v>377</v>
      </c>
    </row>
    <row r="714" spans="1:44">
      <c r="A714" s="4" t="s">
        <v>5</v>
      </c>
      <c r="C714" s="4">
        <v>3491</v>
      </c>
      <c r="D714" s="5" t="s">
        <v>93</v>
      </c>
      <c r="E714" s="6" t="s">
        <v>1390</v>
      </c>
      <c r="Z714" s="4" t="s">
        <v>447</v>
      </c>
      <c r="AA714" s="4" t="s">
        <v>448</v>
      </c>
      <c r="AP714" s="4" t="s">
        <v>376</v>
      </c>
      <c r="AR714" s="4" t="s">
        <v>377</v>
      </c>
    </row>
    <row r="715" spans="1:44">
      <c r="A715" s="4" t="s">
        <v>5</v>
      </c>
      <c r="C715" s="4">
        <v>5364</v>
      </c>
      <c r="D715" s="5" t="s">
        <v>93</v>
      </c>
      <c r="E715" s="6" t="s">
        <v>1391</v>
      </c>
      <c r="AP715" s="4" t="s">
        <v>376</v>
      </c>
      <c r="AR715" s="4" t="s">
        <v>377</v>
      </c>
    </row>
    <row r="716" spans="1:44">
      <c r="A716" s="4" t="s">
        <v>5</v>
      </c>
      <c r="C716" s="4">
        <v>6172</v>
      </c>
      <c r="D716" s="5" t="s">
        <v>93</v>
      </c>
      <c r="E716" s="6" t="s">
        <v>1392</v>
      </c>
      <c r="AP716" s="4" t="s">
        <v>376</v>
      </c>
      <c r="AR716" s="4" t="s">
        <v>377</v>
      </c>
    </row>
    <row r="717" spans="1:44">
      <c r="A717" s="4" t="s">
        <v>5</v>
      </c>
      <c r="C717" s="4">
        <v>6287</v>
      </c>
      <c r="D717" s="5" t="s">
        <v>93</v>
      </c>
      <c r="E717" s="6" t="s">
        <v>1393</v>
      </c>
      <c r="F717" s="5" t="s">
        <v>1394</v>
      </c>
      <c r="AP717" s="4" t="s">
        <v>376</v>
      </c>
      <c r="AR717" s="4" t="s">
        <v>377</v>
      </c>
    </row>
    <row r="718" spans="1:44">
      <c r="A718" s="4" t="s">
        <v>5</v>
      </c>
      <c r="C718" s="4">
        <v>4159</v>
      </c>
      <c r="D718" s="5" t="s">
        <v>93</v>
      </c>
      <c r="E718" s="6" t="s">
        <v>1395</v>
      </c>
      <c r="AP718" s="4" t="s">
        <v>376</v>
      </c>
      <c r="AR718" s="4" t="s">
        <v>377</v>
      </c>
    </row>
    <row r="719" spans="1:44">
      <c r="A719" s="4" t="s">
        <v>5</v>
      </c>
      <c r="C719" s="4">
        <v>2537</v>
      </c>
      <c r="D719" s="5" t="s">
        <v>93</v>
      </c>
      <c r="E719" s="6" t="s">
        <v>1396</v>
      </c>
      <c r="AP719" s="4" t="s">
        <v>376</v>
      </c>
      <c r="AR719" s="4" t="s">
        <v>377</v>
      </c>
    </row>
    <row r="720" spans="1:44">
      <c r="A720" s="4" t="s">
        <v>5</v>
      </c>
      <c r="C720" s="4">
        <v>2873</v>
      </c>
      <c r="D720" s="5" t="s">
        <v>93</v>
      </c>
      <c r="E720" s="6" t="s">
        <v>1397</v>
      </c>
      <c r="F720" s="5" t="s">
        <v>1398</v>
      </c>
      <c r="AP720" s="4" t="s">
        <v>376</v>
      </c>
      <c r="AR720" s="4" t="s">
        <v>377</v>
      </c>
    </row>
    <row r="721" spans="1:44" ht="30">
      <c r="A721" s="4" t="s">
        <v>5</v>
      </c>
      <c r="C721" s="4">
        <v>314</v>
      </c>
      <c r="D721" s="5" t="s">
        <v>93</v>
      </c>
      <c r="E721" s="6" t="s">
        <v>1399</v>
      </c>
      <c r="F721" s="5" t="s">
        <v>1400</v>
      </c>
      <c r="AP721" s="4" t="s">
        <v>376</v>
      </c>
      <c r="AR721" s="4" t="s">
        <v>377</v>
      </c>
    </row>
    <row r="722" spans="1:44" ht="30">
      <c r="A722" s="4" t="s">
        <v>5</v>
      </c>
      <c r="C722" s="4">
        <v>917</v>
      </c>
      <c r="D722" s="5" t="s">
        <v>93</v>
      </c>
      <c r="E722" s="6" t="s">
        <v>1401</v>
      </c>
      <c r="AP722" s="4" t="s">
        <v>376</v>
      </c>
      <c r="AR722" s="4" t="s">
        <v>377</v>
      </c>
    </row>
    <row r="723" spans="1:44" ht="30">
      <c r="A723" s="4" t="s">
        <v>5</v>
      </c>
      <c r="C723" s="4">
        <v>5065</v>
      </c>
      <c r="D723" s="5" t="s">
        <v>93</v>
      </c>
      <c r="E723" s="6" t="s">
        <v>1402</v>
      </c>
      <c r="AP723" s="4" t="s">
        <v>376</v>
      </c>
      <c r="AR723" s="4" t="s">
        <v>377</v>
      </c>
    </row>
    <row r="724" spans="1:44">
      <c r="A724" s="4" t="s">
        <v>5</v>
      </c>
      <c r="C724" s="4">
        <v>401</v>
      </c>
      <c r="D724" s="5" t="s">
        <v>93</v>
      </c>
      <c r="E724" s="6" t="s">
        <v>1403</v>
      </c>
      <c r="F724" s="5" t="s">
        <v>1404</v>
      </c>
      <c r="AP724" s="4" t="s">
        <v>376</v>
      </c>
      <c r="AR724" s="4" t="s">
        <v>377</v>
      </c>
    </row>
    <row r="725" spans="1:44">
      <c r="A725" s="4" t="s">
        <v>5</v>
      </c>
      <c r="C725" s="4">
        <v>703</v>
      </c>
      <c r="D725" s="5" t="s">
        <v>93</v>
      </c>
      <c r="E725" s="6" t="s">
        <v>1405</v>
      </c>
      <c r="F725" s="5" t="s">
        <v>1406</v>
      </c>
      <c r="AP725" s="4" t="s">
        <v>376</v>
      </c>
      <c r="AR725" s="4" t="s">
        <v>377</v>
      </c>
    </row>
    <row r="726" spans="1:44">
      <c r="A726" s="4" t="s">
        <v>5</v>
      </c>
      <c r="C726" s="4">
        <v>51</v>
      </c>
      <c r="D726" s="5" t="s">
        <v>93</v>
      </c>
      <c r="E726" s="6" t="s">
        <v>1407</v>
      </c>
      <c r="F726" s="5" t="s">
        <v>1408</v>
      </c>
      <c r="AP726" s="4" t="s">
        <v>376</v>
      </c>
      <c r="AR726" s="4" t="s">
        <v>377</v>
      </c>
    </row>
    <row r="727" spans="1:44">
      <c r="A727" s="4" t="s">
        <v>5</v>
      </c>
      <c r="C727" s="4">
        <v>219</v>
      </c>
      <c r="D727" s="5" t="s">
        <v>93</v>
      </c>
      <c r="E727" s="6" t="s">
        <v>1409</v>
      </c>
      <c r="F727" s="5" t="s">
        <v>1410</v>
      </c>
      <c r="AP727" s="4" t="s">
        <v>376</v>
      </c>
      <c r="AR727" s="4" t="s">
        <v>377</v>
      </c>
    </row>
    <row r="728" spans="1:44">
      <c r="A728" s="4" t="s">
        <v>5</v>
      </c>
      <c r="C728" s="4">
        <v>400</v>
      </c>
      <c r="D728" s="5" t="s">
        <v>93</v>
      </c>
      <c r="E728" s="6" t="s">
        <v>1411</v>
      </c>
      <c r="F728" s="5" t="s">
        <v>1412</v>
      </c>
      <c r="AP728" s="4" t="s">
        <v>376</v>
      </c>
      <c r="AR728" s="4" t="s">
        <v>377</v>
      </c>
    </row>
    <row r="729" spans="1:44">
      <c r="A729" s="4" t="s">
        <v>5</v>
      </c>
      <c r="C729" s="4">
        <v>6301</v>
      </c>
      <c r="D729" s="5" t="s">
        <v>93</v>
      </c>
      <c r="E729" s="6" t="s">
        <v>1413</v>
      </c>
      <c r="AP729" s="4" t="s">
        <v>376</v>
      </c>
      <c r="AR729" s="4" t="s">
        <v>377</v>
      </c>
    </row>
    <row r="730" spans="1:44">
      <c r="A730" s="4" t="s">
        <v>5</v>
      </c>
      <c r="C730" s="4">
        <v>3006</v>
      </c>
      <c r="D730" s="5" t="s">
        <v>93</v>
      </c>
      <c r="E730" s="6" t="s">
        <v>1414</v>
      </c>
      <c r="AP730" s="4" t="s">
        <v>376</v>
      </c>
      <c r="AR730" s="4" t="s">
        <v>377</v>
      </c>
    </row>
    <row r="731" spans="1:44">
      <c r="A731" s="4" t="s">
        <v>5</v>
      </c>
      <c r="C731" s="4">
        <v>4098</v>
      </c>
      <c r="D731" s="5" t="s">
        <v>93</v>
      </c>
      <c r="E731" s="6" t="s">
        <v>1415</v>
      </c>
      <c r="F731" s="5" t="s">
        <v>1416</v>
      </c>
      <c r="AP731" s="4" t="s">
        <v>376</v>
      </c>
      <c r="AR731" s="4" t="s">
        <v>377</v>
      </c>
    </row>
    <row r="732" spans="1:44" ht="30">
      <c r="A732" s="4" t="s">
        <v>5</v>
      </c>
      <c r="C732" s="4">
        <v>1471</v>
      </c>
      <c r="D732" s="5" t="s">
        <v>93</v>
      </c>
      <c r="E732" s="6" t="s">
        <v>1417</v>
      </c>
      <c r="AP732" s="4" t="s">
        <v>376</v>
      </c>
      <c r="AR732" s="4" t="s">
        <v>377</v>
      </c>
    </row>
    <row r="733" spans="1:44">
      <c r="A733" s="4" t="s">
        <v>5</v>
      </c>
      <c r="C733" s="4">
        <v>6350</v>
      </c>
      <c r="D733" s="5" t="s">
        <v>93</v>
      </c>
      <c r="E733" s="6" t="s">
        <v>1418</v>
      </c>
      <c r="AP733" s="4" t="s">
        <v>376</v>
      </c>
      <c r="AR733" s="4" t="s">
        <v>377</v>
      </c>
    </row>
    <row r="734" spans="1:44">
      <c r="A734" s="4" t="s">
        <v>5</v>
      </c>
      <c r="C734" s="4">
        <v>5358</v>
      </c>
      <c r="D734" s="5" t="s">
        <v>93</v>
      </c>
      <c r="E734" s="6" t="s">
        <v>1419</v>
      </c>
      <c r="AP734" s="4" t="s">
        <v>376</v>
      </c>
      <c r="AR734" s="4" t="s">
        <v>377</v>
      </c>
    </row>
    <row r="735" spans="1:44">
      <c r="A735" s="4" t="s">
        <v>5</v>
      </c>
      <c r="C735" s="4">
        <v>2375</v>
      </c>
      <c r="D735" s="5" t="s">
        <v>93</v>
      </c>
      <c r="E735" s="6" t="s">
        <v>1420</v>
      </c>
      <c r="F735" s="5" t="s">
        <v>1421</v>
      </c>
      <c r="AP735" s="4" t="s">
        <v>376</v>
      </c>
      <c r="AR735" s="4" t="s">
        <v>377</v>
      </c>
    </row>
    <row r="736" spans="1:44">
      <c r="A736" s="4" t="s">
        <v>5</v>
      </c>
      <c r="C736" s="4">
        <v>6668</v>
      </c>
      <c r="D736" s="5" t="s">
        <v>93</v>
      </c>
      <c r="E736" s="6" t="s">
        <v>1422</v>
      </c>
      <c r="AP736" s="4" t="s">
        <v>376</v>
      </c>
      <c r="AR736" s="4" t="s">
        <v>377</v>
      </c>
    </row>
    <row r="737" spans="1:44" ht="30">
      <c r="A737" s="4" t="s">
        <v>5</v>
      </c>
      <c r="C737" s="4">
        <v>4704</v>
      </c>
      <c r="D737" s="5" t="s">
        <v>93</v>
      </c>
      <c r="E737" s="6" t="s">
        <v>1423</v>
      </c>
      <c r="AP737" s="4" t="s">
        <v>376</v>
      </c>
      <c r="AR737" s="4" t="s">
        <v>377</v>
      </c>
    </row>
    <row r="738" spans="1:44">
      <c r="A738" s="4" t="s">
        <v>5</v>
      </c>
      <c r="C738" s="4">
        <v>5507</v>
      </c>
      <c r="D738" s="5" t="s">
        <v>93</v>
      </c>
      <c r="E738" s="6" t="s">
        <v>1424</v>
      </c>
      <c r="AP738" s="4" t="s">
        <v>376</v>
      </c>
      <c r="AR738" s="4" t="s">
        <v>377</v>
      </c>
    </row>
    <row r="739" spans="1:44">
      <c r="A739" s="4" t="s">
        <v>5</v>
      </c>
      <c r="C739" s="4">
        <v>5323</v>
      </c>
      <c r="D739" s="5" t="s">
        <v>93</v>
      </c>
      <c r="E739" s="6" t="s">
        <v>1425</v>
      </c>
      <c r="Z739" s="4" t="s">
        <v>447</v>
      </c>
      <c r="AA739" s="4" t="s">
        <v>448</v>
      </c>
      <c r="AP739" s="4" t="s">
        <v>376</v>
      </c>
      <c r="AR739" s="4" t="s">
        <v>377</v>
      </c>
    </row>
    <row r="740" spans="1:44">
      <c r="A740" s="4" t="s">
        <v>5</v>
      </c>
      <c r="C740" s="4">
        <v>904</v>
      </c>
      <c r="D740" s="5" t="s">
        <v>93</v>
      </c>
      <c r="E740" s="6" t="s">
        <v>1426</v>
      </c>
      <c r="AP740" s="4" t="s">
        <v>376</v>
      </c>
      <c r="AR740" s="4" t="s">
        <v>377</v>
      </c>
    </row>
    <row r="741" spans="1:44">
      <c r="A741" s="4" t="s">
        <v>5</v>
      </c>
      <c r="C741" s="4">
        <v>342</v>
      </c>
      <c r="D741" s="5" t="s">
        <v>93</v>
      </c>
      <c r="E741" s="6" t="s">
        <v>1427</v>
      </c>
      <c r="F741" s="5" t="s">
        <v>1428</v>
      </c>
      <c r="AP741" s="4" t="s">
        <v>376</v>
      </c>
      <c r="AR741" s="4" t="s">
        <v>377</v>
      </c>
    </row>
    <row r="742" spans="1:44" ht="30">
      <c r="A742" s="4" t="s">
        <v>5</v>
      </c>
      <c r="C742" s="4">
        <v>803</v>
      </c>
      <c r="D742" s="5" t="s">
        <v>93</v>
      </c>
      <c r="E742" s="6" t="s">
        <v>1429</v>
      </c>
      <c r="F742" s="5" t="s">
        <v>1430</v>
      </c>
      <c r="AP742" s="4" t="s">
        <v>376</v>
      </c>
      <c r="AR742" s="4" t="s">
        <v>377</v>
      </c>
    </row>
    <row r="743" spans="1:44">
      <c r="A743" s="4" t="s">
        <v>5</v>
      </c>
      <c r="C743" s="4">
        <v>2747</v>
      </c>
      <c r="D743" s="5" t="s">
        <v>93</v>
      </c>
      <c r="E743" s="6" t="s">
        <v>1431</v>
      </c>
      <c r="Z743" s="4" t="s">
        <v>443</v>
      </c>
      <c r="AA743" s="4" t="s">
        <v>444</v>
      </c>
      <c r="AP743" s="4" t="s">
        <v>376</v>
      </c>
      <c r="AR743" s="4" t="s">
        <v>377</v>
      </c>
    </row>
    <row r="744" spans="1:44">
      <c r="A744" s="4" t="s">
        <v>5</v>
      </c>
      <c r="C744" s="4">
        <v>3332</v>
      </c>
      <c r="D744" s="5" t="s">
        <v>93</v>
      </c>
      <c r="E744" s="6" t="s">
        <v>1432</v>
      </c>
      <c r="F744" s="5" t="s">
        <v>1433</v>
      </c>
      <c r="Z744" s="4" t="s">
        <v>443</v>
      </c>
      <c r="AA744" s="4" t="s">
        <v>444</v>
      </c>
      <c r="AP744" s="4" t="s">
        <v>376</v>
      </c>
      <c r="AR744" s="4" t="s">
        <v>377</v>
      </c>
    </row>
    <row r="745" spans="1:44">
      <c r="A745" s="4" t="s">
        <v>5</v>
      </c>
      <c r="C745" s="4">
        <v>5533</v>
      </c>
      <c r="D745" s="5" t="s">
        <v>93</v>
      </c>
      <c r="E745" s="6" t="s">
        <v>1434</v>
      </c>
      <c r="F745" s="5" t="s">
        <v>1435</v>
      </c>
      <c r="AP745" s="4" t="s">
        <v>376</v>
      </c>
      <c r="AR745" s="4" t="s">
        <v>377</v>
      </c>
    </row>
    <row r="746" spans="1:44">
      <c r="A746" s="4" t="s">
        <v>5</v>
      </c>
      <c r="C746" s="4">
        <v>3022</v>
      </c>
      <c r="D746" s="5" t="s">
        <v>93</v>
      </c>
      <c r="E746" s="6" t="s">
        <v>1436</v>
      </c>
      <c r="AP746" s="4" t="s">
        <v>376</v>
      </c>
      <c r="AR746" s="4" t="s">
        <v>377</v>
      </c>
    </row>
    <row r="747" spans="1:44">
      <c r="A747" s="4" t="s">
        <v>5</v>
      </c>
      <c r="C747" s="4">
        <v>2865</v>
      </c>
      <c r="D747" s="5" t="s">
        <v>93</v>
      </c>
      <c r="E747" s="6" t="s">
        <v>1437</v>
      </c>
      <c r="F747" s="5" t="s">
        <v>1438</v>
      </c>
      <c r="AP747" s="4" t="s">
        <v>376</v>
      </c>
      <c r="AR747" s="4" t="s">
        <v>377</v>
      </c>
    </row>
    <row r="748" spans="1:44">
      <c r="A748" s="4" t="s">
        <v>5</v>
      </c>
      <c r="C748" s="4">
        <v>359</v>
      </c>
      <c r="D748" s="5" t="s">
        <v>93</v>
      </c>
      <c r="E748" s="6" t="s">
        <v>1439</v>
      </c>
      <c r="F748" s="5" t="s">
        <v>1440</v>
      </c>
      <c r="AP748" s="4" t="s">
        <v>376</v>
      </c>
      <c r="AR748" s="4" t="s">
        <v>377</v>
      </c>
    </row>
    <row r="749" spans="1:44">
      <c r="A749" s="4" t="s">
        <v>5</v>
      </c>
      <c r="C749" s="4">
        <v>2872</v>
      </c>
      <c r="D749" s="5" t="s">
        <v>93</v>
      </c>
      <c r="E749" s="6" t="s">
        <v>1441</v>
      </c>
      <c r="F749" s="5" t="s">
        <v>1442</v>
      </c>
      <c r="AP749" s="4" t="s">
        <v>376</v>
      </c>
      <c r="AR749" s="4" t="s">
        <v>377</v>
      </c>
    </row>
    <row r="750" spans="1:44">
      <c r="A750" s="4" t="s">
        <v>5</v>
      </c>
      <c r="C750" s="4">
        <v>220</v>
      </c>
      <c r="D750" s="5" t="s">
        <v>93</v>
      </c>
      <c r="E750" s="6" t="s">
        <v>1443</v>
      </c>
      <c r="F750" s="5" t="s">
        <v>1444</v>
      </c>
      <c r="AP750" s="4" t="s">
        <v>376</v>
      </c>
      <c r="AR750" s="4" t="s">
        <v>377</v>
      </c>
    </row>
    <row r="751" spans="1:44">
      <c r="A751" s="4" t="s">
        <v>5</v>
      </c>
      <c r="C751" s="4">
        <v>1818</v>
      </c>
      <c r="D751" s="5" t="s">
        <v>93</v>
      </c>
      <c r="E751" s="6" t="s">
        <v>1445</v>
      </c>
      <c r="AP751" s="4" t="s">
        <v>376</v>
      </c>
      <c r="AR751" s="4" t="s">
        <v>377</v>
      </c>
    </row>
    <row r="752" spans="1:44">
      <c r="A752" s="4" t="s">
        <v>5</v>
      </c>
      <c r="C752" s="4">
        <v>1957</v>
      </c>
      <c r="D752" s="5" t="s">
        <v>93</v>
      </c>
      <c r="E752" s="6" t="s">
        <v>1446</v>
      </c>
      <c r="F752" s="5" t="s">
        <v>1447</v>
      </c>
      <c r="Z752" s="4" t="s">
        <v>443</v>
      </c>
      <c r="AA752" s="4" t="s">
        <v>444</v>
      </c>
      <c r="AP752" s="4" t="s">
        <v>376</v>
      </c>
      <c r="AR752" s="4" t="s">
        <v>377</v>
      </c>
    </row>
    <row r="753" spans="1:44">
      <c r="A753" s="4" t="s">
        <v>5</v>
      </c>
      <c r="C753" s="4">
        <v>1296</v>
      </c>
      <c r="D753" s="5" t="s">
        <v>93</v>
      </c>
      <c r="E753" s="6" t="s">
        <v>1448</v>
      </c>
      <c r="F753" s="5" t="s">
        <v>1449</v>
      </c>
      <c r="AP753" s="4" t="s">
        <v>376</v>
      </c>
      <c r="AR753" s="4" t="s">
        <v>377</v>
      </c>
    </row>
    <row r="754" spans="1:44">
      <c r="A754" s="4" t="s">
        <v>5</v>
      </c>
      <c r="C754" s="4">
        <v>1794</v>
      </c>
      <c r="D754" s="5" t="s">
        <v>93</v>
      </c>
      <c r="E754" s="6" t="s">
        <v>1450</v>
      </c>
      <c r="AP754" s="4" t="s">
        <v>376</v>
      </c>
      <c r="AR754" s="4" t="s">
        <v>377</v>
      </c>
    </row>
    <row r="755" spans="1:44" ht="30">
      <c r="A755" s="4" t="s">
        <v>5</v>
      </c>
      <c r="C755" s="4">
        <v>5635</v>
      </c>
      <c r="D755" s="5" t="s">
        <v>93</v>
      </c>
      <c r="E755" s="6" t="s">
        <v>1451</v>
      </c>
      <c r="F755" s="5" t="s">
        <v>1452</v>
      </c>
      <c r="AP755" s="4" t="s">
        <v>376</v>
      </c>
      <c r="AR755" s="4" t="s">
        <v>377</v>
      </c>
    </row>
    <row r="756" spans="1:44">
      <c r="A756" s="4" t="s">
        <v>5</v>
      </c>
      <c r="C756" s="4">
        <v>5059</v>
      </c>
      <c r="D756" s="5" t="s">
        <v>93</v>
      </c>
      <c r="E756" s="6" t="s">
        <v>1453</v>
      </c>
      <c r="AP756" s="4" t="s">
        <v>376</v>
      </c>
      <c r="AR756" s="4" t="s">
        <v>377</v>
      </c>
    </row>
    <row r="757" spans="1:44">
      <c r="A757" s="4" t="s">
        <v>5</v>
      </c>
      <c r="C757" s="4">
        <v>6811</v>
      </c>
      <c r="D757" s="5" t="s">
        <v>93</v>
      </c>
      <c r="E757" s="6" t="s">
        <v>1454</v>
      </c>
      <c r="AP757" s="4" t="s">
        <v>376</v>
      </c>
      <c r="AR757" s="4" t="s">
        <v>377</v>
      </c>
    </row>
    <row r="758" spans="1:44">
      <c r="A758" s="4" t="s">
        <v>5</v>
      </c>
      <c r="C758" s="4">
        <v>3447</v>
      </c>
      <c r="D758" s="5" t="s">
        <v>93</v>
      </c>
      <c r="E758" s="6" t="s">
        <v>1455</v>
      </c>
      <c r="AP758" s="4" t="s">
        <v>376</v>
      </c>
      <c r="AR758" s="4" t="s">
        <v>377</v>
      </c>
    </row>
    <row r="759" spans="1:44" ht="30">
      <c r="A759" s="4" t="s">
        <v>5</v>
      </c>
      <c r="C759" s="4">
        <v>6776</v>
      </c>
      <c r="D759" s="5" t="s">
        <v>93</v>
      </c>
      <c r="E759" s="6" t="s">
        <v>1456</v>
      </c>
      <c r="AP759" s="4" t="s">
        <v>376</v>
      </c>
      <c r="AR759" s="4" t="s">
        <v>377</v>
      </c>
    </row>
    <row r="760" spans="1:44" ht="30">
      <c r="A760" s="4" t="s">
        <v>5</v>
      </c>
      <c r="C760" s="4">
        <v>6877</v>
      </c>
      <c r="D760" s="5" t="s">
        <v>93</v>
      </c>
      <c r="E760" s="6" t="s">
        <v>1457</v>
      </c>
      <c r="AP760" s="4" t="s">
        <v>376</v>
      </c>
      <c r="AR760" s="4" t="s">
        <v>377</v>
      </c>
    </row>
    <row r="761" spans="1:44" ht="30">
      <c r="A761" s="4" t="s">
        <v>5</v>
      </c>
      <c r="C761" s="4">
        <v>6190</v>
      </c>
      <c r="D761" s="5" t="s">
        <v>93</v>
      </c>
      <c r="E761" s="6" t="s">
        <v>1458</v>
      </c>
      <c r="F761" s="5" t="s">
        <v>1459</v>
      </c>
      <c r="AP761" s="4" t="s">
        <v>376</v>
      </c>
      <c r="AR761" s="4" t="s">
        <v>377</v>
      </c>
    </row>
    <row r="762" spans="1:44">
      <c r="A762" s="4" t="s">
        <v>5</v>
      </c>
      <c r="C762" s="4">
        <v>4355</v>
      </c>
      <c r="D762" s="5" t="s">
        <v>93</v>
      </c>
      <c r="E762" s="6" t="s">
        <v>1460</v>
      </c>
      <c r="F762" s="5" t="s">
        <v>1461</v>
      </c>
      <c r="AP762" s="4" t="s">
        <v>376</v>
      </c>
      <c r="AR762" s="4" t="s">
        <v>377</v>
      </c>
    </row>
    <row r="763" spans="1:44" ht="30">
      <c r="A763" s="4" t="s">
        <v>5</v>
      </c>
      <c r="C763" s="4">
        <v>1966</v>
      </c>
      <c r="D763" s="5" t="s">
        <v>93</v>
      </c>
      <c r="E763" s="6" t="s">
        <v>1462</v>
      </c>
      <c r="F763" s="5" t="s">
        <v>1463</v>
      </c>
      <c r="AP763" s="4" t="s">
        <v>376</v>
      </c>
      <c r="AR763" s="4" t="s">
        <v>377</v>
      </c>
    </row>
    <row r="764" spans="1:44" ht="30">
      <c r="A764" s="4" t="s">
        <v>5</v>
      </c>
      <c r="C764" s="4">
        <v>5513</v>
      </c>
      <c r="D764" s="5" t="s">
        <v>93</v>
      </c>
      <c r="E764" s="6" t="s">
        <v>1464</v>
      </c>
      <c r="F764" s="5" t="s">
        <v>1465</v>
      </c>
      <c r="AP764" s="4" t="s">
        <v>376</v>
      </c>
      <c r="AR764" s="4" t="s">
        <v>377</v>
      </c>
    </row>
    <row r="765" spans="1:44">
      <c r="A765" s="4" t="s">
        <v>5</v>
      </c>
      <c r="C765" s="4">
        <v>2808</v>
      </c>
      <c r="D765" s="5" t="s">
        <v>93</v>
      </c>
      <c r="E765" s="6" t="s">
        <v>1466</v>
      </c>
      <c r="F765" s="5" t="s">
        <v>1467</v>
      </c>
      <c r="AP765" s="4" t="s">
        <v>376</v>
      </c>
      <c r="AR765" s="4" t="s">
        <v>377</v>
      </c>
    </row>
    <row r="766" spans="1:44">
      <c r="A766" s="4" t="s">
        <v>5</v>
      </c>
      <c r="C766" s="4">
        <v>4948</v>
      </c>
      <c r="D766" s="5" t="s">
        <v>93</v>
      </c>
      <c r="E766" s="6" t="s">
        <v>1468</v>
      </c>
      <c r="AP766" s="4" t="s">
        <v>376</v>
      </c>
      <c r="AR766" s="4" t="s">
        <v>377</v>
      </c>
    </row>
    <row r="767" spans="1:44">
      <c r="A767" s="4" t="s">
        <v>5</v>
      </c>
      <c r="C767" s="4">
        <v>5959</v>
      </c>
      <c r="D767" s="5" t="s">
        <v>93</v>
      </c>
      <c r="E767" s="6" t="s">
        <v>1469</v>
      </c>
      <c r="AP767" s="4" t="s">
        <v>376</v>
      </c>
      <c r="AR767" s="4" t="s">
        <v>377</v>
      </c>
    </row>
    <row r="768" spans="1:44">
      <c r="A768" s="4" t="s">
        <v>5</v>
      </c>
      <c r="C768" s="4">
        <v>4832</v>
      </c>
      <c r="D768" s="5" t="s">
        <v>93</v>
      </c>
      <c r="E768" s="6" t="s">
        <v>1470</v>
      </c>
      <c r="AP768" s="4" t="s">
        <v>376</v>
      </c>
      <c r="AR768" s="4" t="s">
        <v>377</v>
      </c>
    </row>
    <row r="769" spans="1:44">
      <c r="A769" s="4" t="s">
        <v>5</v>
      </c>
      <c r="C769" s="4">
        <v>2591</v>
      </c>
      <c r="D769" s="5" t="s">
        <v>93</v>
      </c>
      <c r="E769" s="6" t="s">
        <v>1471</v>
      </c>
      <c r="AP769" s="4" t="s">
        <v>376</v>
      </c>
      <c r="AR769" s="4" t="s">
        <v>377</v>
      </c>
    </row>
    <row r="770" spans="1:44">
      <c r="A770" s="4" t="s">
        <v>5</v>
      </c>
      <c r="C770" s="4">
        <v>1719</v>
      </c>
      <c r="D770" s="5" t="s">
        <v>93</v>
      </c>
      <c r="E770" s="6" t="s">
        <v>1472</v>
      </c>
      <c r="AP770" s="4" t="s">
        <v>376</v>
      </c>
      <c r="AR770" s="4" t="s">
        <v>377</v>
      </c>
    </row>
    <row r="771" spans="1:44">
      <c r="A771" s="4" t="s">
        <v>5</v>
      </c>
      <c r="C771" s="4">
        <v>842</v>
      </c>
      <c r="D771" s="5" t="s">
        <v>93</v>
      </c>
      <c r="E771" s="6" t="s">
        <v>1473</v>
      </c>
      <c r="F771" s="5" t="s">
        <v>1474</v>
      </c>
      <c r="AP771" s="4" t="s">
        <v>376</v>
      </c>
      <c r="AR771" s="4" t="s">
        <v>377</v>
      </c>
    </row>
    <row r="772" spans="1:44">
      <c r="A772" s="4" t="s">
        <v>5</v>
      </c>
      <c r="C772" s="4">
        <v>2067</v>
      </c>
      <c r="D772" s="5" t="s">
        <v>93</v>
      </c>
      <c r="E772" s="6" t="s">
        <v>1475</v>
      </c>
      <c r="AP772" s="4" t="s">
        <v>376</v>
      </c>
      <c r="AR772" s="4" t="s">
        <v>377</v>
      </c>
    </row>
    <row r="773" spans="1:44">
      <c r="A773" s="4" t="s">
        <v>5</v>
      </c>
      <c r="C773" s="4">
        <v>1411</v>
      </c>
      <c r="D773" s="5" t="s">
        <v>93</v>
      </c>
      <c r="E773" s="6" t="s">
        <v>1476</v>
      </c>
      <c r="F773" s="5" t="s">
        <v>1477</v>
      </c>
      <c r="AP773" s="4" t="s">
        <v>376</v>
      </c>
      <c r="AR773" s="4" t="s">
        <v>377</v>
      </c>
    </row>
    <row r="774" spans="1:44">
      <c r="A774" s="4" t="s">
        <v>5</v>
      </c>
      <c r="C774" s="4">
        <v>5157</v>
      </c>
      <c r="D774" s="5" t="s">
        <v>93</v>
      </c>
      <c r="E774" s="6" t="s">
        <v>1478</v>
      </c>
      <c r="F774" s="5" t="s">
        <v>1479</v>
      </c>
      <c r="AP774" s="4" t="s">
        <v>376</v>
      </c>
      <c r="AR774" s="4" t="s">
        <v>377</v>
      </c>
    </row>
    <row r="775" spans="1:44" ht="30">
      <c r="A775" s="4" t="s">
        <v>5</v>
      </c>
      <c r="C775" s="4">
        <v>6589</v>
      </c>
      <c r="D775" s="5" t="s">
        <v>93</v>
      </c>
      <c r="E775" s="6" t="s">
        <v>1480</v>
      </c>
      <c r="AP775" s="4" t="s">
        <v>376</v>
      </c>
      <c r="AR775" s="4" t="s">
        <v>377</v>
      </c>
    </row>
    <row r="776" spans="1:44">
      <c r="A776" s="4" t="s">
        <v>5</v>
      </c>
      <c r="C776" s="4">
        <v>2548</v>
      </c>
      <c r="D776" s="5" t="s">
        <v>93</v>
      </c>
      <c r="E776" s="6" t="s">
        <v>1481</v>
      </c>
      <c r="AP776" s="4" t="s">
        <v>376</v>
      </c>
      <c r="AR776" s="4" t="s">
        <v>377</v>
      </c>
    </row>
    <row r="777" spans="1:44">
      <c r="A777" s="4" t="s">
        <v>5</v>
      </c>
      <c r="C777" s="4">
        <v>6870</v>
      </c>
      <c r="D777" s="5" t="s">
        <v>93</v>
      </c>
      <c r="E777" s="6" t="s">
        <v>1482</v>
      </c>
      <c r="AP777" s="4" t="s">
        <v>376</v>
      </c>
      <c r="AR777" s="4" t="s">
        <v>377</v>
      </c>
    </row>
    <row r="778" spans="1:44">
      <c r="A778" s="4" t="s">
        <v>5</v>
      </c>
      <c r="C778" s="4">
        <v>3027</v>
      </c>
      <c r="D778" s="5" t="s">
        <v>93</v>
      </c>
      <c r="E778" s="6" t="s">
        <v>1483</v>
      </c>
      <c r="Z778" s="4" t="s">
        <v>447</v>
      </c>
      <c r="AA778" s="4" t="s">
        <v>448</v>
      </c>
      <c r="AP778" s="4" t="s">
        <v>376</v>
      </c>
      <c r="AR778" s="4" t="s">
        <v>377</v>
      </c>
    </row>
    <row r="779" spans="1:44" ht="30">
      <c r="A779" s="4" t="s">
        <v>5</v>
      </c>
      <c r="C779" s="4">
        <v>2191</v>
      </c>
      <c r="D779" s="5" t="s">
        <v>93</v>
      </c>
      <c r="E779" s="6" t="s">
        <v>1484</v>
      </c>
      <c r="AP779" s="4" t="s">
        <v>376</v>
      </c>
      <c r="AR779" s="4" t="s">
        <v>377</v>
      </c>
    </row>
    <row r="780" spans="1:44">
      <c r="A780" s="4" t="s">
        <v>5</v>
      </c>
      <c r="C780" s="4">
        <v>266</v>
      </c>
      <c r="D780" s="5" t="s">
        <v>93</v>
      </c>
      <c r="E780" s="6" t="s">
        <v>1485</v>
      </c>
      <c r="F780" s="5" t="s">
        <v>1486</v>
      </c>
      <c r="AP780" s="4" t="s">
        <v>376</v>
      </c>
      <c r="AR780" s="4" t="s">
        <v>377</v>
      </c>
    </row>
    <row r="781" spans="1:44">
      <c r="A781" s="4" t="s">
        <v>5</v>
      </c>
      <c r="C781" s="4">
        <v>6286</v>
      </c>
      <c r="D781" s="5" t="s">
        <v>93</v>
      </c>
      <c r="E781" s="6" t="s">
        <v>1487</v>
      </c>
      <c r="AP781" s="4" t="s">
        <v>376</v>
      </c>
      <c r="AR781" s="4" t="s">
        <v>377</v>
      </c>
    </row>
    <row r="782" spans="1:44">
      <c r="A782" s="4" t="s">
        <v>5</v>
      </c>
      <c r="C782" s="4">
        <v>5145</v>
      </c>
      <c r="D782" s="5" t="s">
        <v>93</v>
      </c>
      <c r="E782" s="6" t="s">
        <v>1488</v>
      </c>
      <c r="AP782" s="4" t="s">
        <v>376</v>
      </c>
      <c r="AR782" s="4" t="s">
        <v>377</v>
      </c>
    </row>
    <row r="783" spans="1:44" ht="30">
      <c r="A783" s="4" t="s">
        <v>5</v>
      </c>
      <c r="C783" s="4">
        <v>383</v>
      </c>
      <c r="D783" s="5" t="s">
        <v>93</v>
      </c>
      <c r="E783" s="6" t="s">
        <v>1489</v>
      </c>
      <c r="F783" s="5" t="s">
        <v>1490</v>
      </c>
      <c r="AP783" s="4" t="s">
        <v>376</v>
      </c>
      <c r="AR783" s="4" t="s">
        <v>377</v>
      </c>
    </row>
    <row r="784" spans="1:44">
      <c r="A784" s="4" t="s">
        <v>5</v>
      </c>
      <c r="C784" s="4">
        <v>421</v>
      </c>
      <c r="D784" s="5" t="s">
        <v>93</v>
      </c>
      <c r="E784" s="6" t="s">
        <v>1491</v>
      </c>
      <c r="F784" s="5" t="s">
        <v>1492</v>
      </c>
      <c r="AP784" s="4" t="s">
        <v>376</v>
      </c>
      <c r="AR784" s="4" t="s">
        <v>377</v>
      </c>
    </row>
    <row r="785" spans="1:44">
      <c r="A785" s="4" t="s">
        <v>5</v>
      </c>
      <c r="C785" s="4">
        <v>819</v>
      </c>
      <c r="D785" s="5" t="s">
        <v>93</v>
      </c>
      <c r="E785" s="6" t="s">
        <v>1493</v>
      </c>
      <c r="F785" s="5" t="s">
        <v>1494</v>
      </c>
      <c r="Z785" s="4" t="s">
        <v>695</v>
      </c>
      <c r="AA785" s="4" t="s">
        <v>696</v>
      </c>
      <c r="AP785" s="4" t="s">
        <v>376</v>
      </c>
      <c r="AR785" s="4" t="s">
        <v>377</v>
      </c>
    </row>
    <row r="786" spans="1:44">
      <c r="A786" s="4" t="s">
        <v>5</v>
      </c>
      <c r="C786" s="4">
        <v>747</v>
      </c>
      <c r="D786" s="5" t="s">
        <v>93</v>
      </c>
      <c r="E786" s="6" t="s">
        <v>1495</v>
      </c>
      <c r="AP786" s="4" t="s">
        <v>376</v>
      </c>
      <c r="AR786" s="4" t="s">
        <v>377</v>
      </c>
    </row>
    <row r="787" spans="1:44" ht="30">
      <c r="A787" s="4" t="s">
        <v>5</v>
      </c>
      <c r="C787" s="4">
        <v>1077</v>
      </c>
      <c r="D787" s="5" t="s">
        <v>93</v>
      </c>
      <c r="E787" s="6" t="s">
        <v>1496</v>
      </c>
      <c r="F787" s="5" t="s">
        <v>1497</v>
      </c>
      <c r="AP787" s="4" t="s">
        <v>376</v>
      </c>
      <c r="AR787" s="4" t="s">
        <v>377</v>
      </c>
    </row>
    <row r="788" spans="1:44">
      <c r="A788" s="4" t="s">
        <v>5</v>
      </c>
      <c r="C788" s="4">
        <v>4961</v>
      </c>
      <c r="D788" s="5" t="s">
        <v>93</v>
      </c>
      <c r="E788" s="6" t="s">
        <v>1498</v>
      </c>
      <c r="AP788" s="4" t="s">
        <v>376</v>
      </c>
      <c r="AR788" s="4" t="s">
        <v>377</v>
      </c>
    </row>
    <row r="789" spans="1:44">
      <c r="A789" s="4" t="s">
        <v>5</v>
      </c>
      <c r="C789" s="4">
        <v>2164</v>
      </c>
      <c r="D789" s="5" t="s">
        <v>93</v>
      </c>
      <c r="E789" s="6" t="s">
        <v>1499</v>
      </c>
      <c r="Z789" s="4" t="s">
        <v>443</v>
      </c>
      <c r="AA789" s="4" t="s">
        <v>444</v>
      </c>
      <c r="AP789" s="4" t="s">
        <v>376</v>
      </c>
      <c r="AR789" s="4" t="s">
        <v>377</v>
      </c>
    </row>
    <row r="790" spans="1:44">
      <c r="A790" s="4" t="s">
        <v>5</v>
      </c>
      <c r="C790" s="4">
        <v>6510</v>
      </c>
      <c r="D790" s="5" t="s">
        <v>93</v>
      </c>
      <c r="E790" s="6" t="s">
        <v>1500</v>
      </c>
      <c r="AP790" s="4" t="s">
        <v>376</v>
      </c>
      <c r="AR790" s="4" t="s">
        <v>377</v>
      </c>
    </row>
    <row r="791" spans="1:44" ht="30">
      <c r="A791" s="4" t="s">
        <v>5</v>
      </c>
      <c r="C791" s="4">
        <v>3722</v>
      </c>
      <c r="D791" s="5" t="s">
        <v>93</v>
      </c>
      <c r="E791" s="6" t="s">
        <v>1501</v>
      </c>
      <c r="F791" s="5" t="s">
        <v>1502</v>
      </c>
      <c r="AP791" s="4" t="s">
        <v>376</v>
      </c>
      <c r="AR791" s="4" t="s">
        <v>377</v>
      </c>
    </row>
    <row r="792" spans="1:44">
      <c r="A792" s="4" t="s">
        <v>5</v>
      </c>
      <c r="C792" s="4">
        <v>513</v>
      </c>
      <c r="D792" s="5" t="s">
        <v>93</v>
      </c>
      <c r="E792" s="6" t="s">
        <v>1503</v>
      </c>
      <c r="AP792" s="4" t="s">
        <v>376</v>
      </c>
      <c r="AR792" s="4" t="s">
        <v>377</v>
      </c>
    </row>
    <row r="793" spans="1:44">
      <c r="A793" s="4" t="s">
        <v>5</v>
      </c>
      <c r="C793" s="4">
        <v>2569</v>
      </c>
      <c r="D793" s="5" t="s">
        <v>93</v>
      </c>
      <c r="E793" s="6" t="s">
        <v>1504</v>
      </c>
      <c r="AP793" s="4" t="s">
        <v>376</v>
      </c>
      <c r="AR793" s="4" t="s">
        <v>377</v>
      </c>
    </row>
    <row r="794" spans="1:44">
      <c r="A794" s="4" t="s">
        <v>5</v>
      </c>
      <c r="C794" s="4">
        <v>4997</v>
      </c>
      <c r="D794" s="5" t="s">
        <v>93</v>
      </c>
      <c r="E794" s="6" t="s">
        <v>1505</v>
      </c>
      <c r="AP794" s="4" t="s">
        <v>376</v>
      </c>
      <c r="AR794" s="4" t="s">
        <v>377</v>
      </c>
    </row>
    <row r="795" spans="1:44">
      <c r="A795" s="4" t="s">
        <v>5</v>
      </c>
      <c r="C795" s="4">
        <v>5841</v>
      </c>
      <c r="D795" s="5" t="s">
        <v>93</v>
      </c>
      <c r="E795" s="6" t="s">
        <v>1506</v>
      </c>
      <c r="F795" s="5" t="s">
        <v>1507</v>
      </c>
      <c r="Z795" s="4" t="s">
        <v>443</v>
      </c>
      <c r="AA795" s="4" t="s">
        <v>444</v>
      </c>
      <c r="AP795" s="4" t="s">
        <v>376</v>
      </c>
      <c r="AR795" s="4" t="s">
        <v>377</v>
      </c>
    </row>
    <row r="796" spans="1:44">
      <c r="A796" s="4" t="s">
        <v>5</v>
      </c>
      <c r="C796" s="4">
        <v>2595</v>
      </c>
      <c r="D796" s="5" t="s">
        <v>93</v>
      </c>
      <c r="E796" s="6" t="s">
        <v>1508</v>
      </c>
      <c r="F796" s="5" t="s">
        <v>1509</v>
      </c>
      <c r="Z796" s="4" t="s">
        <v>447</v>
      </c>
      <c r="AA796" s="4" t="s">
        <v>448</v>
      </c>
      <c r="AP796" s="4" t="s">
        <v>376</v>
      </c>
      <c r="AR796" s="4" t="s">
        <v>377</v>
      </c>
    </row>
    <row r="797" spans="1:44">
      <c r="A797" s="4" t="s">
        <v>5</v>
      </c>
      <c r="C797" s="4">
        <v>1168</v>
      </c>
      <c r="D797" s="5" t="s">
        <v>93</v>
      </c>
      <c r="E797" s="6" t="s">
        <v>1510</v>
      </c>
      <c r="AP797" s="4" t="s">
        <v>376</v>
      </c>
      <c r="AR797" s="4" t="s">
        <v>377</v>
      </c>
    </row>
    <row r="798" spans="1:44">
      <c r="A798" s="4" t="s">
        <v>5</v>
      </c>
      <c r="C798" s="4">
        <v>5824</v>
      </c>
      <c r="D798" s="5" t="s">
        <v>93</v>
      </c>
      <c r="E798" s="6" t="s">
        <v>1511</v>
      </c>
      <c r="AP798" s="4" t="s">
        <v>376</v>
      </c>
      <c r="AR798" s="4" t="s">
        <v>377</v>
      </c>
    </row>
    <row r="799" spans="1:44">
      <c r="A799" s="4" t="s">
        <v>5</v>
      </c>
      <c r="C799" s="4">
        <v>2115</v>
      </c>
      <c r="D799" s="5" t="s">
        <v>93</v>
      </c>
      <c r="E799" s="6" t="s">
        <v>1512</v>
      </c>
      <c r="AP799" s="4" t="s">
        <v>376</v>
      </c>
      <c r="AR799" s="4" t="s">
        <v>377</v>
      </c>
    </row>
    <row r="800" spans="1:44">
      <c r="A800" s="4" t="s">
        <v>5</v>
      </c>
      <c r="C800" s="4">
        <v>2172</v>
      </c>
      <c r="D800" s="5" t="s">
        <v>93</v>
      </c>
      <c r="E800" s="6" t="s">
        <v>1513</v>
      </c>
      <c r="AP800" s="4" t="s">
        <v>376</v>
      </c>
      <c r="AR800" s="4" t="s">
        <v>377</v>
      </c>
    </row>
    <row r="801" spans="1:44">
      <c r="A801" s="4" t="s">
        <v>5</v>
      </c>
      <c r="C801" s="4">
        <v>551</v>
      </c>
      <c r="D801" s="5" t="s">
        <v>93</v>
      </c>
      <c r="E801" s="6" t="s">
        <v>1514</v>
      </c>
      <c r="F801" s="5" t="s">
        <v>1515</v>
      </c>
      <c r="Z801" s="4" t="s">
        <v>447</v>
      </c>
      <c r="AA801" s="4" t="s">
        <v>448</v>
      </c>
      <c r="AP801" s="4" t="s">
        <v>376</v>
      </c>
      <c r="AR801" s="4" t="s">
        <v>377</v>
      </c>
    </row>
    <row r="802" spans="1:44">
      <c r="A802" s="4" t="s">
        <v>5</v>
      </c>
      <c r="C802" s="4">
        <v>6499</v>
      </c>
      <c r="D802" s="5" t="s">
        <v>93</v>
      </c>
      <c r="E802" s="6" t="s">
        <v>1516</v>
      </c>
      <c r="AP802" s="4" t="s">
        <v>376</v>
      </c>
      <c r="AR802" s="4" t="s">
        <v>377</v>
      </c>
    </row>
    <row r="803" spans="1:44">
      <c r="A803" s="4" t="s">
        <v>5</v>
      </c>
      <c r="C803" s="4">
        <v>2187</v>
      </c>
      <c r="D803" s="5" t="s">
        <v>93</v>
      </c>
      <c r="E803" s="6" t="s">
        <v>1517</v>
      </c>
      <c r="F803" s="5" t="s">
        <v>1518</v>
      </c>
      <c r="Z803" s="4" t="s">
        <v>695</v>
      </c>
      <c r="AA803" s="4" t="s">
        <v>696</v>
      </c>
      <c r="AP803" s="4" t="s">
        <v>376</v>
      </c>
      <c r="AR803" s="4" t="s">
        <v>377</v>
      </c>
    </row>
    <row r="804" spans="1:44">
      <c r="A804" s="4" t="s">
        <v>5</v>
      </c>
      <c r="C804" s="4">
        <v>3639</v>
      </c>
      <c r="D804" s="5" t="s">
        <v>93</v>
      </c>
      <c r="E804" s="6" t="s">
        <v>1519</v>
      </c>
      <c r="AP804" s="4" t="s">
        <v>376</v>
      </c>
      <c r="AR804" s="4" t="s">
        <v>377</v>
      </c>
    </row>
    <row r="805" spans="1:44">
      <c r="A805" s="4" t="s">
        <v>5</v>
      </c>
      <c r="C805" s="4">
        <v>417</v>
      </c>
      <c r="D805" s="5" t="s">
        <v>93</v>
      </c>
      <c r="E805" s="6" t="s">
        <v>1520</v>
      </c>
      <c r="F805" s="5" t="s">
        <v>1521</v>
      </c>
      <c r="AP805" s="4" t="s">
        <v>376</v>
      </c>
      <c r="AR805" s="4" t="s">
        <v>377</v>
      </c>
    </row>
    <row r="806" spans="1:44">
      <c r="A806" s="4" t="s">
        <v>5</v>
      </c>
      <c r="C806" s="4">
        <v>6833</v>
      </c>
      <c r="D806" s="5" t="s">
        <v>93</v>
      </c>
      <c r="E806" s="6" t="s">
        <v>1522</v>
      </c>
      <c r="AP806" s="4" t="s">
        <v>376</v>
      </c>
      <c r="AR806" s="4" t="s">
        <v>377</v>
      </c>
    </row>
    <row r="807" spans="1:44">
      <c r="A807" s="4" t="s">
        <v>5</v>
      </c>
      <c r="C807" s="4">
        <v>3512</v>
      </c>
      <c r="D807" s="5" t="s">
        <v>93</v>
      </c>
      <c r="E807" s="6" t="s">
        <v>1523</v>
      </c>
      <c r="Z807" s="4" t="s">
        <v>447</v>
      </c>
      <c r="AA807" s="4" t="s">
        <v>448</v>
      </c>
      <c r="AP807" s="4" t="s">
        <v>376</v>
      </c>
      <c r="AR807" s="4" t="s">
        <v>377</v>
      </c>
    </row>
    <row r="808" spans="1:44">
      <c r="A808" s="4" t="s">
        <v>5</v>
      </c>
      <c r="C808" s="4">
        <v>1443</v>
      </c>
      <c r="D808" s="5" t="s">
        <v>93</v>
      </c>
      <c r="E808" s="6" t="s">
        <v>1524</v>
      </c>
      <c r="F808" s="5" t="s">
        <v>1525</v>
      </c>
      <c r="AP808" s="4" t="s">
        <v>376</v>
      </c>
      <c r="AR808" s="4" t="s">
        <v>377</v>
      </c>
    </row>
    <row r="809" spans="1:44" ht="30">
      <c r="A809" s="4" t="s">
        <v>5</v>
      </c>
      <c r="C809" s="4">
        <v>726</v>
      </c>
      <c r="D809" s="5" t="s">
        <v>93</v>
      </c>
      <c r="E809" s="6" t="s">
        <v>1526</v>
      </c>
      <c r="F809" s="5" t="s">
        <v>1527</v>
      </c>
      <c r="AP809" s="4" t="s">
        <v>376</v>
      </c>
      <c r="AR809" s="4" t="s">
        <v>377</v>
      </c>
    </row>
    <row r="810" spans="1:44">
      <c r="A810" s="4" t="s">
        <v>5</v>
      </c>
      <c r="C810" s="4">
        <v>2973</v>
      </c>
      <c r="D810" s="5" t="s">
        <v>93</v>
      </c>
      <c r="E810" s="6" t="s">
        <v>1528</v>
      </c>
      <c r="F810" s="5" t="s">
        <v>1529</v>
      </c>
      <c r="Z810" s="4" t="s">
        <v>443</v>
      </c>
      <c r="AA810" s="4" t="s">
        <v>444</v>
      </c>
      <c r="AP810" s="4" t="s">
        <v>376</v>
      </c>
      <c r="AR810" s="4" t="s">
        <v>377</v>
      </c>
    </row>
    <row r="811" spans="1:44" ht="30">
      <c r="A811" s="4" t="s">
        <v>5</v>
      </c>
      <c r="C811" s="4">
        <v>6624</v>
      </c>
      <c r="D811" s="5" t="s">
        <v>93</v>
      </c>
      <c r="E811" s="6" t="s">
        <v>1530</v>
      </c>
      <c r="AP811" s="4" t="s">
        <v>376</v>
      </c>
      <c r="AR811" s="4" t="s">
        <v>377</v>
      </c>
    </row>
    <row r="812" spans="1:44">
      <c r="A812" s="4" t="s">
        <v>5</v>
      </c>
      <c r="C812" s="4">
        <v>5248</v>
      </c>
      <c r="D812" s="5" t="s">
        <v>93</v>
      </c>
      <c r="E812" s="6" t="s">
        <v>1531</v>
      </c>
      <c r="AP812" s="4" t="s">
        <v>376</v>
      </c>
      <c r="AR812" s="4" t="s">
        <v>377</v>
      </c>
    </row>
    <row r="813" spans="1:44" ht="30">
      <c r="A813" s="4" t="s">
        <v>5</v>
      </c>
      <c r="C813" s="4">
        <v>5382</v>
      </c>
      <c r="D813" s="5" t="s">
        <v>93</v>
      </c>
      <c r="E813" s="6" t="s">
        <v>1532</v>
      </c>
      <c r="AP813" s="4" t="s">
        <v>376</v>
      </c>
      <c r="AR813" s="4" t="s">
        <v>377</v>
      </c>
    </row>
    <row r="814" spans="1:44">
      <c r="A814" s="4" t="s">
        <v>5</v>
      </c>
      <c r="C814" s="4">
        <v>1807</v>
      </c>
      <c r="D814" s="5" t="s">
        <v>93</v>
      </c>
      <c r="E814" s="6" t="s">
        <v>1533</v>
      </c>
      <c r="AP814" s="4" t="s">
        <v>376</v>
      </c>
      <c r="AR814" s="4" t="s">
        <v>377</v>
      </c>
    </row>
    <row r="815" spans="1:44">
      <c r="A815" s="4" t="s">
        <v>5</v>
      </c>
      <c r="C815" s="4">
        <v>6113</v>
      </c>
      <c r="D815" s="5" t="s">
        <v>93</v>
      </c>
      <c r="E815" s="6" t="s">
        <v>1534</v>
      </c>
      <c r="AP815" s="4" t="s">
        <v>376</v>
      </c>
      <c r="AR815" s="4" t="s">
        <v>377</v>
      </c>
    </row>
    <row r="816" spans="1:44">
      <c r="A816" s="4" t="s">
        <v>5</v>
      </c>
      <c r="C816" s="4">
        <v>5645</v>
      </c>
      <c r="D816" s="5" t="s">
        <v>93</v>
      </c>
      <c r="E816" s="6" t="s">
        <v>1535</v>
      </c>
      <c r="Z816" s="4" t="s">
        <v>695</v>
      </c>
      <c r="AA816" s="4" t="s">
        <v>696</v>
      </c>
      <c r="AP816" s="4" t="s">
        <v>376</v>
      </c>
      <c r="AR816" s="4" t="s">
        <v>377</v>
      </c>
    </row>
    <row r="817" spans="1:44">
      <c r="A817" s="4" t="s">
        <v>5</v>
      </c>
      <c r="C817" s="4">
        <v>5534</v>
      </c>
      <c r="D817" s="5" t="s">
        <v>93</v>
      </c>
      <c r="E817" s="6" t="s">
        <v>1536</v>
      </c>
      <c r="AP817" s="4" t="s">
        <v>376</v>
      </c>
      <c r="AR817" s="4" t="s">
        <v>377</v>
      </c>
    </row>
    <row r="818" spans="1:44">
      <c r="A818" s="4" t="s">
        <v>5</v>
      </c>
      <c r="C818" s="4">
        <v>3111</v>
      </c>
      <c r="D818" s="5" t="s">
        <v>93</v>
      </c>
      <c r="E818" s="6" t="s">
        <v>1537</v>
      </c>
      <c r="Z818" s="4" t="s">
        <v>447</v>
      </c>
      <c r="AA818" s="4" t="s">
        <v>448</v>
      </c>
      <c r="AP818" s="4" t="s">
        <v>376</v>
      </c>
      <c r="AR818" s="4" t="s">
        <v>377</v>
      </c>
    </row>
    <row r="819" spans="1:44">
      <c r="A819" s="4" t="s">
        <v>5</v>
      </c>
      <c r="C819" s="4">
        <v>37</v>
      </c>
      <c r="D819" s="5" t="s">
        <v>93</v>
      </c>
      <c r="E819" s="6" t="s">
        <v>1538</v>
      </c>
      <c r="AP819" s="4" t="s">
        <v>376</v>
      </c>
      <c r="AR819" s="4" t="s">
        <v>377</v>
      </c>
    </row>
    <row r="820" spans="1:44">
      <c r="A820" s="4" t="s">
        <v>5</v>
      </c>
      <c r="C820" s="4">
        <v>4951</v>
      </c>
      <c r="D820" s="5" t="s">
        <v>93</v>
      </c>
      <c r="E820" s="6" t="s">
        <v>1539</v>
      </c>
      <c r="AP820" s="4" t="s">
        <v>376</v>
      </c>
      <c r="AR820" s="4" t="s">
        <v>377</v>
      </c>
    </row>
    <row r="821" spans="1:44">
      <c r="A821" s="4" t="s">
        <v>5</v>
      </c>
      <c r="C821" s="4">
        <v>6402</v>
      </c>
      <c r="D821" s="5" t="s">
        <v>93</v>
      </c>
      <c r="E821" s="6" t="s">
        <v>1540</v>
      </c>
      <c r="F821" s="5" t="s">
        <v>1541</v>
      </c>
      <c r="AP821" s="4" t="s">
        <v>376</v>
      </c>
      <c r="AR821" s="4" t="s">
        <v>377</v>
      </c>
    </row>
    <row r="822" spans="1:44">
      <c r="A822" s="4" t="s">
        <v>5</v>
      </c>
      <c r="C822" s="4">
        <v>5377</v>
      </c>
      <c r="D822" s="5" t="s">
        <v>93</v>
      </c>
      <c r="E822" s="6" t="s">
        <v>1542</v>
      </c>
      <c r="AP822" s="4" t="s">
        <v>376</v>
      </c>
      <c r="AR822" s="4" t="s">
        <v>377</v>
      </c>
    </row>
    <row r="823" spans="1:44">
      <c r="A823" s="4" t="s">
        <v>5</v>
      </c>
      <c r="C823" s="4">
        <v>1082</v>
      </c>
      <c r="D823" s="5" t="s">
        <v>93</v>
      </c>
      <c r="E823" s="6" t="s">
        <v>1543</v>
      </c>
      <c r="AP823" s="4" t="s">
        <v>376</v>
      </c>
      <c r="AR823" s="4" t="s">
        <v>377</v>
      </c>
    </row>
    <row r="824" spans="1:44">
      <c r="A824" s="4" t="s">
        <v>5</v>
      </c>
      <c r="C824" s="4">
        <v>1776</v>
      </c>
      <c r="D824" s="5" t="s">
        <v>93</v>
      </c>
      <c r="E824" s="6" t="s">
        <v>1544</v>
      </c>
      <c r="F824" s="5" t="s">
        <v>1545</v>
      </c>
      <c r="AP824" s="4" t="s">
        <v>376</v>
      </c>
      <c r="AR824" s="4" t="s">
        <v>377</v>
      </c>
    </row>
    <row r="825" spans="1:44">
      <c r="A825" s="4" t="s">
        <v>5</v>
      </c>
      <c r="C825" s="4">
        <v>5305</v>
      </c>
      <c r="D825" s="5" t="s">
        <v>93</v>
      </c>
      <c r="E825" s="6" t="s">
        <v>1546</v>
      </c>
      <c r="F825" s="5" t="s">
        <v>1547</v>
      </c>
      <c r="AP825" s="4" t="s">
        <v>376</v>
      </c>
      <c r="AR825" s="4" t="s">
        <v>377</v>
      </c>
    </row>
    <row r="826" spans="1:44" ht="30">
      <c r="A826" s="4" t="s">
        <v>5</v>
      </c>
      <c r="C826" s="4">
        <v>5124</v>
      </c>
      <c r="D826" s="5" t="s">
        <v>93</v>
      </c>
      <c r="E826" s="6" t="s">
        <v>1548</v>
      </c>
      <c r="F826" s="5" t="s">
        <v>1549</v>
      </c>
      <c r="Z826" s="4" t="s">
        <v>447</v>
      </c>
      <c r="AA826" s="4" t="s">
        <v>448</v>
      </c>
      <c r="AP826" s="4" t="s">
        <v>376</v>
      </c>
      <c r="AR826" s="4" t="s">
        <v>377</v>
      </c>
    </row>
    <row r="827" spans="1:44">
      <c r="A827" s="4" t="s">
        <v>5</v>
      </c>
      <c r="C827" s="4">
        <v>3546</v>
      </c>
      <c r="D827" s="5" t="s">
        <v>93</v>
      </c>
      <c r="E827" s="6" t="s">
        <v>1550</v>
      </c>
      <c r="Z827" s="4" t="s">
        <v>443</v>
      </c>
      <c r="AA827" s="4" t="s">
        <v>444</v>
      </c>
      <c r="AP827" s="4" t="s">
        <v>376</v>
      </c>
      <c r="AR827" s="4" t="s">
        <v>377</v>
      </c>
    </row>
    <row r="828" spans="1:44">
      <c r="A828" s="4" t="s">
        <v>5</v>
      </c>
      <c r="C828" s="4">
        <v>5550</v>
      </c>
      <c r="D828" s="5" t="s">
        <v>93</v>
      </c>
      <c r="E828" s="6" t="s">
        <v>1551</v>
      </c>
      <c r="Z828" s="4" t="s">
        <v>695</v>
      </c>
      <c r="AA828" s="4" t="s">
        <v>696</v>
      </c>
      <c r="AP828" s="4" t="s">
        <v>376</v>
      </c>
      <c r="AR828" s="4" t="s">
        <v>377</v>
      </c>
    </row>
    <row r="829" spans="1:44">
      <c r="A829" s="4" t="s">
        <v>5</v>
      </c>
      <c r="C829" s="4">
        <v>6022</v>
      </c>
      <c r="D829" s="5" t="s">
        <v>93</v>
      </c>
      <c r="E829" s="6" t="s">
        <v>1552</v>
      </c>
      <c r="AP829" s="4" t="s">
        <v>376</v>
      </c>
      <c r="AR829" s="4" t="s">
        <v>377</v>
      </c>
    </row>
    <row r="830" spans="1:44">
      <c r="A830" s="4" t="s">
        <v>5</v>
      </c>
      <c r="C830" s="4">
        <v>5838</v>
      </c>
      <c r="D830" s="5" t="s">
        <v>93</v>
      </c>
      <c r="E830" s="6" t="s">
        <v>1553</v>
      </c>
      <c r="AP830" s="4" t="s">
        <v>376</v>
      </c>
      <c r="AR830" s="4" t="s">
        <v>377</v>
      </c>
    </row>
    <row r="831" spans="1:44">
      <c r="A831" s="4" t="s">
        <v>5</v>
      </c>
      <c r="C831" s="4">
        <v>3408</v>
      </c>
      <c r="D831" s="5" t="s">
        <v>93</v>
      </c>
      <c r="E831" s="6" t="s">
        <v>1554</v>
      </c>
      <c r="AP831" s="4" t="s">
        <v>376</v>
      </c>
      <c r="AR831" s="4" t="s">
        <v>377</v>
      </c>
    </row>
    <row r="832" spans="1:44" ht="30">
      <c r="A832" s="4" t="s">
        <v>5</v>
      </c>
      <c r="C832" s="4">
        <v>6865</v>
      </c>
      <c r="D832" s="5" t="s">
        <v>93</v>
      </c>
      <c r="E832" s="6" t="s">
        <v>1555</v>
      </c>
      <c r="AP832" s="4" t="s">
        <v>376</v>
      </c>
      <c r="AR832" s="4" t="s">
        <v>377</v>
      </c>
    </row>
    <row r="833" spans="1:44">
      <c r="A833" s="4" t="s">
        <v>5</v>
      </c>
      <c r="C833" s="4">
        <v>562</v>
      </c>
      <c r="D833" s="5" t="s">
        <v>93</v>
      </c>
      <c r="E833" s="6" t="s">
        <v>1556</v>
      </c>
      <c r="F833" s="5" t="s">
        <v>1557</v>
      </c>
      <c r="Z833" s="4" t="s">
        <v>443</v>
      </c>
      <c r="AA833" s="4" t="s">
        <v>444</v>
      </c>
      <c r="AP833" s="4" t="s">
        <v>376</v>
      </c>
      <c r="AR833" s="4" t="s">
        <v>377</v>
      </c>
    </row>
    <row r="834" spans="1:44">
      <c r="A834" s="4" t="s">
        <v>5</v>
      </c>
      <c r="C834" s="4">
        <v>1112</v>
      </c>
      <c r="D834" s="5" t="s">
        <v>93</v>
      </c>
      <c r="E834" s="6" t="s">
        <v>1558</v>
      </c>
      <c r="F834" s="5" t="s">
        <v>1559</v>
      </c>
      <c r="AP834" s="4" t="s">
        <v>376</v>
      </c>
      <c r="AR834" s="4" t="s">
        <v>377</v>
      </c>
    </row>
    <row r="835" spans="1:44">
      <c r="A835" s="4" t="s">
        <v>5</v>
      </c>
      <c r="C835" s="4">
        <v>3872</v>
      </c>
      <c r="D835" s="5" t="s">
        <v>93</v>
      </c>
      <c r="E835" s="6" t="s">
        <v>1560</v>
      </c>
      <c r="AP835" s="4" t="s">
        <v>376</v>
      </c>
      <c r="AR835" s="4" t="s">
        <v>377</v>
      </c>
    </row>
    <row r="836" spans="1:44">
      <c r="A836" s="4" t="s">
        <v>5</v>
      </c>
      <c r="C836" s="4">
        <v>6542</v>
      </c>
      <c r="D836" s="5" t="s">
        <v>93</v>
      </c>
      <c r="E836" s="6" t="s">
        <v>1561</v>
      </c>
      <c r="AP836" s="4" t="s">
        <v>376</v>
      </c>
      <c r="AR836" s="4" t="s">
        <v>377</v>
      </c>
    </row>
    <row r="837" spans="1:44">
      <c r="A837" s="4" t="s">
        <v>5</v>
      </c>
      <c r="C837" s="4">
        <v>649</v>
      </c>
      <c r="D837" s="5" t="s">
        <v>93</v>
      </c>
      <c r="E837" s="6" t="s">
        <v>1562</v>
      </c>
      <c r="F837" s="5" t="s">
        <v>1563</v>
      </c>
      <c r="AP837" s="4" t="s">
        <v>376</v>
      </c>
      <c r="AR837" s="4" t="s">
        <v>377</v>
      </c>
    </row>
    <row r="838" spans="1:44">
      <c r="A838" s="4" t="s">
        <v>5</v>
      </c>
      <c r="C838" s="4">
        <v>6478</v>
      </c>
      <c r="D838" s="5" t="s">
        <v>93</v>
      </c>
      <c r="E838" s="6" t="s">
        <v>1564</v>
      </c>
      <c r="AP838" s="4" t="s">
        <v>376</v>
      </c>
      <c r="AR838" s="4" t="s">
        <v>377</v>
      </c>
    </row>
    <row r="839" spans="1:44" ht="30">
      <c r="A839" s="4" t="s">
        <v>5</v>
      </c>
      <c r="C839" s="4">
        <v>5385</v>
      </c>
      <c r="D839" s="5" t="s">
        <v>93</v>
      </c>
      <c r="E839" s="6" t="s">
        <v>1565</v>
      </c>
      <c r="AP839" s="4" t="s">
        <v>376</v>
      </c>
      <c r="AR839" s="4" t="s">
        <v>377</v>
      </c>
    </row>
    <row r="840" spans="1:44" ht="30">
      <c r="A840" s="4" t="s">
        <v>5</v>
      </c>
      <c r="C840" s="4">
        <v>4218</v>
      </c>
      <c r="D840" s="5" t="s">
        <v>93</v>
      </c>
      <c r="E840" s="6" t="s">
        <v>1566</v>
      </c>
      <c r="AP840" s="4" t="s">
        <v>376</v>
      </c>
      <c r="AR840" s="4" t="s">
        <v>377</v>
      </c>
    </row>
    <row r="841" spans="1:44">
      <c r="A841" s="4" t="s">
        <v>5</v>
      </c>
      <c r="C841" s="4">
        <v>4286</v>
      </c>
      <c r="D841" s="5" t="s">
        <v>93</v>
      </c>
      <c r="E841" s="6" t="s">
        <v>1567</v>
      </c>
      <c r="AP841" s="4" t="s">
        <v>376</v>
      </c>
      <c r="AR841" s="4" t="s">
        <v>377</v>
      </c>
    </row>
    <row r="842" spans="1:44" ht="30">
      <c r="A842" s="4" t="s">
        <v>5</v>
      </c>
      <c r="C842" s="4">
        <v>6057</v>
      </c>
      <c r="D842" s="5" t="s">
        <v>93</v>
      </c>
      <c r="E842" s="6" t="s">
        <v>1568</v>
      </c>
      <c r="AP842" s="4" t="s">
        <v>376</v>
      </c>
      <c r="AR842" s="4" t="s">
        <v>377</v>
      </c>
    </row>
    <row r="843" spans="1:44">
      <c r="A843" s="4" t="s">
        <v>5</v>
      </c>
      <c r="C843" s="4">
        <v>1047</v>
      </c>
      <c r="D843" s="5" t="s">
        <v>93</v>
      </c>
      <c r="E843" s="6" t="s">
        <v>1569</v>
      </c>
      <c r="AP843" s="4" t="s">
        <v>376</v>
      </c>
      <c r="AR843" s="4" t="s">
        <v>377</v>
      </c>
    </row>
    <row r="844" spans="1:44" ht="30">
      <c r="A844" s="4" t="s">
        <v>5</v>
      </c>
      <c r="C844" s="4">
        <v>1172</v>
      </c>
      <c r="D844" s="5" t="s">
        <v>93</v>
      </c>
      <c r="E844" s="6" t="s">
        <v>1570</v>
      </c>
      <c r="AP844" s="4" t="s">
        <v>376</v>
      </c>
      <c r="AR844" s="4" t="s">
        <v>377</v>
      </c>
    </row>
    <row r="845" spans="1:44">
      <c r="A845" s="4" t="s">
        <v>5</v>
      </c>
      <c r="C845" s="4">
        <v>4625</v>
      </c>
      <c r="D845" s="5" t="s">
        <v>93</v>
      </c>
      <c r="E845" s="6" t="s">
        <v>1571</v>
      </c>
      <c r="AP845" s="4" t="s">
        <v>376</v>
      </c>
      <c r="AR845" s="4" t="s">
        <v>377</v>
      </c>
    </row>
    <row r="846" spans="1:44">
      <c r="A846" s="4" t="s">
        <v>5</v>
      </c>
      <c r="C846" s="4">
        <v>2677</v>
      </c>
      <c r="D846" s="5" t="s">
        <v>93</v>
      </c>
      <c r="E846" s="6" t="s">
        <v>1572</v>
      </c>
      <c r="AP846" s="4" t="s">
        <v>376</v>
      </c>
      <c r="AR846" s="4" t="s">
        <v>377</v>
      </c>
    </row>
    <row r="847" spans="1:44">
      <c r="A847" s="4" t="s">
        <v>5</v>
      </c>
      <c r="C847" s="4">
        <v>5047</v>
      </c>
      <c r="D847" s="5" t="s">
        <v>93</v>
      </c>
      <c r="E847" s="6" t="s">
        <v>1573</v>
      </c>
      <c r="AP847" s="4" t="s">
        <v>376</v>
      </c>
      <c r="AR847" s="4" t="s">
        <v>377</v>
      </c>
    </row>
    <row r="848" spans="1:44">
      <c r="A848" s="4" t="s">
        <v>5</v>
      </c>
      <c r="C848" s="4">
        <v>6852</v>
      </c>
      <c r="D848" s="5" t="s">
        <v>93</v>
      </c>
      <c r="E848" s="6" t="s">
        <v>1574</v>
      </c>
      <c r="F848" s="5" t="s">
        <v>1575</v>
      </c>
      <c r="AP848" s="4" t="s">
        <v>376</v>
      </c>
      <c r="AR848" s="4" t="s">
        <v>377</v>
      </c>
    </row>
    <row r="849" spans="1:44">
      <c r="A849" s="4" t="s">
        <v>5</v>
      </c>
      <c r="C849" s="4">
        <v>2618</v>
      </c>
      <c r="D849" s="5" t="s">
        <v>93</v>
      </c>
      <c r="E849" s="6" t="s">
        <v>1576</v>
      </c>
      <c r="F849" s="5" t="s">
        <v>1577</v>
      </c>
      <c r="Z849" s="4" t="s">
        <v>447</v>
      </c>
      <c r="AA849" s="4" t="s">
        <v>448</v>
      </c>
      <c r="AP849" s="4" t="s">
        <v>376</v>
      </c>
      <c r="AR849" s="4" t="s">
        <v>377</v>
      </c>
    </row>
    <row r="850" spans="1:44">
      <c r="A850" s="4" t="s">
        <v>5</v>
      </c>
      <c r="C850" s="4">
        <v>4394</v>
      </c>
      <c r="D850" s="5" t="s">
        <v>93</v>
      </c>
      <c r="E850" s="6" t="s">
        <v>1578</v>
      </c>
      <c r="AP850" s="4" t="s">
        <v>376</v>
      </c>
      <c r="AR850" s="4" t="s">
        <v>377</v>
      </c>
    </row>
    <row r="851" spans="1:44" ht="30">
      <c r="A851" s="4" t="s">
        <v>5</v>
      </c>
      <c r="C851" s="4">
        <v>6724</v>
      </c>
      <c r="D851" s="5" t="s">
        <v>93</v>
      </c>
      <c r="E851" s="6" t="s">
        <v>1579</v>
      </c>
      <c r="AP851" s="4" t="s">
        <v>376</v>
      </c>
      <c r="AR851" s="4" t="s">
        <v>377</v>
      </c>
    </row>
    <row r="852" spans="1:44">
      <c r="A852" s="4" t="s">
        <v>5</v>
      </c>
      <c r="C852" s="4">
        <v>5851</v>
      </c>
      <c r="D852" s="5" t="s">
        <v>93</v>
      </c>
      <c r="E852" s="6" t="s">
        <v>1580</v>
      </c>
      <c r="AP852" s="4" t="s">
        <v>376</v>
      </c>
      <c r="AR852" s="4" t="s">
        <v>377</v>
      </c>
    </row>
    <row r="853" spans="1:44">
      <c r="A853" s="4" t="s">
        <v>5</v>
      </c>
      <c r="C853" s="4">
        <v>6647</v>
      </c>
      <c r="D853" s="5" t="s">
        <v>93</v>
      </c>
      <c r="E853" s="6" t="s">
        <v>1581</v>
      </c>
      <c r="AP853" s="4" t="s">
        <v>376</v>
      </c>
      <c r="AR853" s="4" t="s">
        <v>377</v>
      </c>
    </row>
    <row r="854" spans="1:44" ht="30">
      <c r="A854" s="4" t="s">
        <v>5</v>
      </c>
      <c r="C854" s="4">
        <v>3666</v>
      </c>
      <c r="D854" s="5" t="s">
        <v>93</v>
      </c>
      <c r="E854" s="6" t="s">
        <v>1582</v>
      </c>
      <c r="AP854" s="4" t="s">
        <v>376</v>
      </c>
      <c r="AR854" s="4" t="s">
        <v>377</v>
      </c>
    </row>
    <row r="855" spans="1:44">
      <c r="A855" s="4" t="s">
        <v>5</v>
      </c>
      <c r="C855" s="4">
        <v>1609</v>
      </c>
      <c r="D855" s="5" t="s">
        <v>93</v>
      </c>
      <c r="E855" s="6" t="s">
        <v>1583</v>
      </c>
      <c r="AP855" s="4" t="s">
        <v>376</v>
      </c>
      <c r="AR855" s="4" t="s">
        <v>377</v>
      </c>
    </row>
    <row r="856" spans="1:44" ht="30">
      <c r="A856" s="4" t="s">
        <v>5</v>
      </c>
      <c r="C856" s="4">
        <v>6961</v>
      </c>
      <c r="D856" s="5" t="s">
        <v>93</v>
      </c>
      <c r="E856" s="6" t="s">
        <v>1584</v>
      </c>
      <c r="AP856" s="4" t="s">
        <v>376</v>
      </c>
      <c r="AR856" s="4" t="s">
        <v>377</v>
      </c>
    </row>
    <row r="857" spans="1:44">
      <c r="A857" s="4" t="s">
        <v>5</v>
      </c>
      <c r="C857" s="4">
        <v>2455</v>
      </c>
      <c r="D857" s="5" t="s">
        <v>93</v>
      </c>
      <c r="E857" s="6" t="s">
        <v>1585</v>
      </c>
      <c r="F857" s="5" t="s">
        <v>1586</v>
      </c>
      <c r="AP857" s="4" t="s">
        <v>376</v>
      </c>
      <c r="AR857" s="4" t="s">
        <v>377</v>
      </c>
    </row>
    <row r="858" spans="1:44">
      <c r="A858" s="4" t="s">
        <v>5</v>
      </c>
      <c r="C858" s="4">
        <v>2</v>
      </c>
      <c r="D858" s="5" t="s">
        <v>93</v>
      </c>
      <c r="E858" s="6" t="s">
        <v>1587</v>
      </c>
      <c r="F858" s="5" t="s">
        <v>1588</v>
      </c>
      <c r="AP858" s="4" t="s">
        <v>376</v>
      </c>
      <c r="AR858" s="4" t="s">
        <v>377</v>
      </c>
    </row>
    <row r="859" spans="1:44">
      <c r="A859" s="4" t="s">
        <v>5</v>
      </c>
      <c r="C859" s="4">
        <v>3627</v>
      </c>
      <c r="D859" s="5" t="s">
        <v>93</v>
      </c>
      <c r="E859" s="6" t="s">
        <v>1589</v>
      </c>
      <c r="F859" s="5" t="s">
        <v>1590</v>
      </c>
      <c r="Z859" s="4" t="s">
        <v>447</v>
      </c>
      <c r="AA859" s="4" t="s">
        <v>448</v>
      </c>
      <c r="AP859" s="4" t="s">
        <v>376</v>
      </c>
      <c r="AR859" s="4" t="s">
        <v>377</v>
      </c>
    </row>
    <row r="860" spans="1:44" ht="30">
      <c r="A860" s="4" t="s">
        <v>5</v>
      </c>
      <c r="C860" s="4">
        <v>5956</v>
      </c>
      <c r="D860" s="5" t="s">
        <v>93</v>
      </c>
      <c r="E860" s="6" t="s">
        <v>1591</v>
      </c>
      <c r="AP860" s="4" t="s">
        <v>376</v>
      </c>
      <c r="AR860" s="4" t="s">
        <v>377</v>
      </c>
    </row>
    <row r="861" spans="1:44">
      <c r="A861" s="4" t="s">
        <v>5</v>
      </c>
      <c r="C861" s="4">
        <v>5356</v>
      </c>
      <c r="D861" s="5" t="s">
        <v>93</v>
      </c>
      <c r="E861" s="6" t="s">
        <v>1592</v>
      </c>
      <c r="AP861" s="4" t="s">
        <v>376</v>
      </c>
      <c r="AR861" s="4" t="s">
        <v>377</v>
      </c>
    </row>
    <row r="862" spans="1:44">
      <c r="A862" s="4" t="s">
        <v>5</v>
      </c>
      <c r="C862" s="4">
        <v>6040</v>
      </c>
      <c r="D862" s="5" t="s">
        <v>93</v>
      </c>
      <c r="E862" s="6" t="s">
        <v>1593</v>
      </c>
      <c r="AP862" s="4" t="s">
        <v>376</v>
      </c>
      <c r="AR862" s="4" t="s">
        <v>377</v>
      </c>
    </row>
    <row r="863" spans="1:44">
      <c r="A863" s="4" t="s">
        <v>5</v>
      </c>
      <c r="C863" s="4">
        <v>3909</v>
      </c>
      <c r="D863" s="5" t="s">
        <v>93</v>
      </c>
      <c r="E863" s="6" t="s">
        <v>1594</v>
      </c>
      <c r="AP863" s="4" t="s">
        <v>376</v>
      </c>
      <c r="AR863" s="4" t="s">
        <v>377</v>
      </c>
    </row>
    <row r="864" spans="1:44">
      <c r="A864" s="4" t="s">
        <v>5</v>
      </c>
      <c r="C864" s="4">
        <v>4975</v>
      </c>
      <c r="D864" s="5" t="s">
        <v>93</v>
      </c>
      <c r="E864" s="6" t="s">
        <v>1595</v>
      </c>
      <c r="AP864" s="4" t="s">
        <v>376</v>
      </c>
      <c r="AR864" s="4" t="s">
        <v>377</v>
      </c>
    </row>
    <row r="865" spans="1:44">
      <c r="A865" s="4" t="s">
        <v>5</v>
      </c>
      <c r="C865" s="4">
        <v>1387</v>
      </c>
      <c r="D865" s="5" t="s">
        <v>93</v>
      </c>
      <c r="E865" s="6" t="s">
        <v>1596</v>
      </c>
      <c r="F865" s="5" t="s">
        <v>1597</v>
      </c>
      <c r="AP865" s="4" t="s">
        <v>376</v>
      </c>
      <c r="AR865" s="4" t="s">
        <v>377</v>
      </c>
    </row>
    <row r="866" spans="1:44" ht="30">
      <c r="A866" s="4" t="s">
        <v>5</v>
      </c>
      <c r="C866" s="4">
        <v>679</v>
      </c>
      <c r="D866" s="5" t="s">
        <v>93</v>
      </c>
      <c r="E866" s="6" t="s">
        <v>1598</v>
      </c>
      <c r="Z866" s="4" t="s">
        <v>447</v>
      </c>
      <c r="AA866" s="4" t="s">
        <v>448</v>
      </c>
      <c r="AP866" s="4" t="s">
        <v>376</v>
      </c>
      <c r="AR866" s="4" t="s">
        <v>377</v>
      </c>
    </row>
    <row r="867" spans="1:44">
      <c r="A867" s="4" t="s">
        <v>5</v>
      </c>
      <c r="C867" s="4">
        <v>640</v>
      </c>
      <c r="D867" s="5" t="s">
        <v>93</v>
      </c>
      <c r="E867" s="6" t="s">
        <v>1599</v>
      </c>
      <c r="F867" s="5" t="s">
        <v>1600</v>
      </c>
      <c r="Z867" s="4" t="s">
        <v>443</v>
      </c>
      <c r="AA867" s="4" t="s">
        <v>444</v>
      </c>
      <c r="AP867" s="4" t="s">
        <v>376</v>
      </c>
      <c r="AR867" s="4" t="s">
        <v>377</v>
      </c>
    </row>
    <row r="868" spans="1:44">
      <c r="A868" s="4" t="s">
        <v>5</v>
      </c>
      <c r="C868" s="4">
        <v>287</v>
      </c>
      <c r="D868" s="5" t="s">
        <v>93</v>
      </c>
      <c r="E868" s="6" t="s">
        <v>1601</v>
      </c>
      <c r="F868" s="5" t="s">
        <v>1602</v>
      </c>
      <c r="Z868" s="4" t="s">
        <v>443</v>
      </c>
      <c r="AA868" s="4" t="s">
        <v>444</v>
      </c>
      <c r="AP868" s="4" t="s">
        <v>376</v>
      </c>
      <c r="AR868" s="4" t="s">
        <v>377</v>
      </c>
    </row>
    <row r="869" spans="1:44">
      <c r="A869" s="4" t="s">
        <v>5</v>
      </c>
      <c r="C869" s="4">
        <v>5322</v>
      </c>
      <c r="D869" s="5" t="s">
        <v>93</v>
      </c>
      <c r="E869" s="6" t="s">
        <v>1603</v>
      </c>
      <c r="AP869" s="4" t="s">
        <v>376</v>
      </c>
      <c r="AR869" s="4" t="s">
        <v>377</v>
      </c>
    </row>
    <row r="870" spans="1:44">
      <c r="A870" s="4" t="s">
        <v>5</v>
      </c>
      <c r="C870" s="4">
        <v>5560</v>
      </c>
      <c r="D870" s="5" t="s">
        <v>93</v>
      </c>
      <c r="E870" s="6" t="s">
        <v>1604</v>
      </c>
      <c r="AP870" s="4" t="s">
        <v>376</v>
      </c>
      <c r="AR870" s="4" t="s">
        <v>377</v>
      </c>
    </row>
    <row r="871" spans="1:44" ht="30">
      <c r="A871" s="4" t="s">
        <v>5</v>
      </c>
      <c r="C871" s="4">
        <v>4205</v>
      </c>
      <c r="D871" s="5" t="s">
        <v>93</v>
      </c>
      <c r="E871" s="6" t="s">
        <v>1605</v>
      </c>
      <c r="AP871" s="4" t="s">
        <v>376</v>
      </c>
      <c r="AR871" s="4" t="s">
        <v>377</v>
      </c>
    </row>
    <row r="872" spans="1:44">
      <c r="A872" s="4" t="s">
        <v>5</v>
      </c>
      <c r="C872" s="4">
        <v>5351</v>
      </c>
      <c r="D872" s="5" t="s">
        <v>93</v>
      </c>
      <c r="E872" s="6" t="s">
        <v>1606</v>
      </c>
      <c r="AP872" s="4" t="s">
        <v>376</v>
      </c>
      <c r="AR872" s="4" t="s">
        <v>377</v>
      </c>
    </row>
    <row r="873" spans="1:44">
      <c r="A873" s="4" t="s">
        <v>5</v>
      </c>
      <c r="C873" s="4">
        <v>667</v>
      </c>
      <c r="D873" s="5" t="s">
        <v>93</v>
      </c>
      <c r="E873" s="6" t="s">
        <v>1607</v>
      </c>
      <c r="F873" s="5" t="s">
        <v>1608</v>
      </c>
      <c r="AP873" s="4" t="s">
        <v>376</v>
      </c>
      <c r="AR873" s="4" t="s">
        <v>377</v>
      </c>
    </row>
    <row r="874" spans="1:44">
      <c r="A874" s="4" t="s">
        <v>5</v>
      </c>
      <c r="C874" s="4">
        <v>2949</v>
      </c>
      <c r="D874" s="5" t="s">
        <v>93</v>
      </c>
      <c r="E874" s="6" t="s">
        <v>1609</v>
      </c>
      <c r="F874" s="5" t="s">
        <v>1610</v>
      </c>
      <c r="AP874" s="4" t="s">
        <v>376</v>
      </c>
      <c r="AR874" s="4" t="s">
        <v>377</v>
      </c>
    </row>
    <row r="875" spans="1:44">
      <c r="A875" s="4" t="s">
        <v>5</v>
      </c>
      <c r="C875" s="4">
        <v>2554</v>
      </c>
      <c r="D875" s="5" t="s">
        <v>93</v>
      </c>
      <c r="E875" s="6" t="s">
        <v>1611</v>
      </c>
      <c r="AP875" s="4" t="s">
        <v>376</v>
      </c>
      <c r="AR875" s="4" t="s">
        <v>377</v>
      </c>
    </row>
    <row r="876" spans="1:44">
      <c r="A876" s="4" t="s">
        <v>5</v>
      </c>
      <c r="C876" s="4">
        <v>2341</v>
      </c>
      <c r="D876" s="5" t="s">
        <v>93</v>
      </c>
      <c r="E876" s="6" t="s">
        <v>1612</v>
      </c>
      <c r="AP876" s="4" t="s">
        <v>376</v>
      </c>
      <c r="AR876" s="4" t="s">
        <v>377</v>
      </c>
    </row>
    <row r="877" spans="1:44">
      <c r="A877" s="4" t="s">
        <v>5</v>
      </c>
      <c r="C877" s="4">
        <v>4898</v>
      </c>
      <c r="D877" s="5" t="s">
        <v>93</v>
      </c>
      <c r="E877" s="6" t="s">
        <v>1613</v>
      </c>
      <c r="AP877" s="4" t="s">
        <v>376</v>
      </c>
      <c r="AR877" s="4" t="s">
        <v>377</v>
      </c>
    </row>
    <row r="878" spans="1:44">
      <c r="A878" s="4" t="s">
        <v>5</v>
      </c>
      <c r="C878" s="4">
        <v>711</v>
      </c>
      <c r="D878" s="5" t="s">
        <v>93</v>
      </c>
      <c r="E878" s="6" t="s">
        <v>1614</v>
      </c>
      <c r="F878" s="5" t="s">
        <v>1615</v>
      </c>
      <c r="AP878" s="4" t="s">
        <v>376</v>
      </c>
      <c r="AR878" s="4" t="s">
        <v>377</v>
      </c>
    </row>
    <row r="879" spans="1:44" ht="30">
      <c r="A879" s="4" t="s">
        <v>5</v>
      </c>
      <c r="C879" s="4">
        <v>3009</v>
      </c>
      <c r="D879" s="5" t="s">
        <v>93</v>
      </c>
      <c r="E879" s="6" t="s">
        <v>1616</v>
      </c>
      <c r="F879" s="5" t="s">
        <v>1617</v>
      </c>
      <c r="AP879" s="4" t="s">
        <v>376</v>
      </c>
      <c r="AR879" s="4" t="s">
        <v>377</v>
      </c>
    </row>
    <row r="880" spans="1:44" ht="30">
      <c r="A880" s="4" t="s">
        <v>5</v>
      </c>
      <c r="C880" s="4">
        <v>2857</v>
      </c>
      <c r="D880" s="5" t="s">
        <v>93</v>
      </c>
      <c r="E880" s="6" t="s">
        <v>1618</v>
      </c>
      <c r="AP880" s="4" t="s">
        <v>376</v>
      </c>
      <c r="AR880" s="4" t="s">
        <v>377</v>
      </c>
    </row>
    <row r="881" spans="1:44">
      <c r="A881" s="4" t="s">
        <v>5</v>
      </c>
      <c r="C881" s="4">
        <v>4386</v>
      </c>
      <c r="D881" s="5" t="s">
        <v>93</v>
      </c>
      <c r="E881" s="6" t="s">
        <v>1619</v>
      </c>
      <c r="AP881" s="4" t="s">
        <v>376</v>
      </c>
      <c r="AR881" s="4" t="s">
        <v>377</v>
      </c>
    </row>
    <row r="882" spans="1:44" ht="30">
      <c r="A882" s="4" t="s">
        <v>5</v>
      </c>
      <c r="C882" s="4">
        <v>792</v>
      </c>
      <c r="D882" s="5" t="s">
        <v>93</v>
      </c>
      <c r="E882" s="6" t="s">
        <v>1620</v>
      </c>
      <c r="AP882" s="4" t="s">
        <v>376</v>
      </c>
      <c r="AR882" s="4" t="s">
        <v>377</v>
      </c>
    </row>
    <row r="883" spans="1:44">
      <c r="A883" s="4" t="s">
        <v>5</v>
      </c>
      <c r="C883" s="4">
        <v>1607</v>
      </c>
      <c r="D883" s="5" t="s">
        <v>93</v>
      </c>
      <c r="E883" s="6" t="s">
        <v>1621</v>
      </c>
      <c r="AP883" s="4" t="s">
        <v>376</v>
      </c>
      <c r="AR883" s="4" t="s">
        <v>377</v>
      </c>
    </row>
    <row r="884" spans="1:44">
      <c r="A884" s="4" t="s">
        <v>5</v>
      </c>
      <c r="C884" s="4">
        <v>1543</v>
      </c>
      <c r="D884" s="5" t="s">
        <v>93</v>
      </c>
      <c r="E884" s="6" t="s">
        <v>1622</v>
      </c>
      <c r="AP884" s="4" t="s">
        <v>376</v>
      </c>
      <c r="AR884" s="4" t="s">
        <v>377</v>
      </c>
    </row>
    <row r="885" spans="1:44">
      <c r="A885" s="4" t="s">
        <v>5</v>
      </c>
      <c r="C885" s="4">
        <v>2742</v>
      </c>
      <c r="D885" s="5" t="s">
        <v>93</v>
      </c>
      <c r="E885" s="6" t="s">
        <v>1623</v>
      </c>
      <c r="AP885" s="4" t="s">
        <v>376</v>
      </c>
      <c r="AR885" s="4" t="s">
        <v>377</v>
      </c>
    </row>
    <row r="886" spans="1:44">
      <c r="A886" s="4" t="s">
        <v>5</v>
      </c>
      <c r="C886" s="4">
        <v>6488</v>
      </c>
      <c r="D886" s="5" t="s">
        <v>93</v>
      </c>
      <c r="E886" s="6" t="s">
        <v>1624</v>
      </c>
      <c r="AP886" s="4" t="s">
        <v>376</v>
      </c>
      <c r="AR886" s="4" t="s">
        <v>377</v>
      </c>
    </row>
    <row r="887" spans="1:44">
      <c r="A887" s="4" t="s">
        <v>5</v>
      </c>
      <c r="C887" s="4">
        <v>5630</v>
      </c>
      <c r="D887" s="5" t="s">
        <v>93</v>
      </c>
      <c r="E887" s="6" t="s">
        <v>1625</v>
      </c>
      <c r="F887" s="5" t="s">
        <v>1626</v>
      </c>
      <c r="AP887" s="4" t="s">
        <v>376</v>
      </c>
      <c r="AR887" s="4" t="s">
        <v>377</v>
      </c>
    </row>
    <row r="888" spans="1:44">
      <c r="A888" s="4" t="s">
        <v>5</v>
      </c>
      <c r="C888" s="4">
        <v>5714</v>
      </c>
      <c r="D888" s="5" t="s">
        <v>93</v>
      </c>
      <c r="E888" s="6" t="s">
        <v>1627</v>
      </c>
      <c r="AP888" s="4" t="s">
        <v>376</v>
      </c>
      <c r="AR888" s="4" t="s">
        <v>377</v>
      </c>
    </row>
    <row r="889" spans="1:44">
      <c r="A889" s="4" t="s">
        <v>5</v>
      </c>
      <c r="C889" s="4">
        <v>990</v>
      </c>
      <c r="D889" s="5" t="s">
        <v>93</v>
      </c>
      <c r="E889" s="6" t="s">
        <v>1628</v>
      </c>
      <c r="AP889" s="4" t="s">
        <v>376</v>
      </c>
      <c r="AR889" s="4" t="s">
        <v>377</v>
      </c>
    </row>
    <row r="890" spans="1:44">
      <c r="A890" s="4" t="s">
        <v>5</v>
      </c>
      <c r="C890" s="4">
        <v>6534</v>
      </c>
      <c r="D890" s="5" t="s">
        <v>93</v>
      </c>
      <c r="E890" s="6" t="s">
        <v>1629</v>
      </c>
      <c r="AP890" s="4" t="s">
        <v>376</v>
      </c>
      <c r="AR890" s="4" t="s">
        <v>377</v>
      </c>
    </row>
    <row r="891" spans="1:44">
      <c r="A891" s="4" t="s">
        <v>5</v>
      </c>
      <c r="C891" s="4">
        <v>5608</v>
      </c>
      <c r="D891" s="5" t="s">
        <v>93</v>
      </c>
      <c r="E891" s="6" t="s">
        <v>1630</v>
      </c>
      <c r="AP891" s="4" t="s">
        <v>376</v>
      </c>
      <c r="AR891" s="4" t="s">
        <v>377</v>
      </c>
    </row>
    <row r="892" spans="1:44">
      <c r="A892" s="4" t="s">
        <v>5</v>
      </c>
      <c r="C892" s="4">
        <v>418</v>
      </c>
      <c r="D892" s="5" t="s">
        <v>93</v>
      </c>
      <c r="E892" s="6" t="s">
        <v>1631</v>
      </c>
      <c r="F892" s="5" t="s">
        <v>1632</v>
      </c>
      <c r="AP892" s="4" t="s">
        <v>376</v>
      </c>
      <c r="AR892" s="4" t="s">
        <v>377</v>
      </c>
    </row>
    <row r="893" spans="1:44">
      <c r="A893" s="4" t="s">
        <v>5</v>
      </c>
      <c r="C893" s="4">
        <v>6564</v>
      </c>
      <c r="D893" s="5" t="s">
        <v>93</v>
      </c>
      <c r="E893" s="6" t="s">
        <v>1633</v>
      </c>
      <c r="AP893" s="4" t="s">
        <v>376</v>
      </c>
      <c r="AR893" s="4" t="s">
        <v>377</v>
      </c>
    </row>
    <row r="894" spans="1:44">
      <c r="A894" s="4" t="s">
        <v>5</v>
      </c>
      <c r="C894" s="4">
        <v>6315</v>
      </c>
      <c r="D894" s="5" t="s">
        <v>93</v>
      </c>
      <c r="E894" s="6" t="s">
        <v>1634</v>
      </c>
      <c r="AP894" s="4" t="s">
        <v>376</v>
      </c>
      <c r="AR894" s="4" t="s">
        <v>377</v>
      </c>
    </row>
    <row r="895" spans="1:44">
      <c r="A895" s="4" t="s">
        <v>5</v>
      </c>
      <c r="C895" s="4">
        <v>978</v>
      </c>
      <c r="D895" s="5" t="s">
        <v>93</v>
      </c>
      <c r="E895" s="6" t="s">
        <v>1635</v>
      </c>
      <c r="F895" s="5" t="s">
        <v>1636</v>
      </c>
      <c r="Z895" s="4" t="s">
        <v>443</v>
      </c>
      <c r="AA895" s="4" t="s">
        <v>444</v>
      </c>
      <c r="AP895" s="4" t="s">
        <v>376</v>
      </c>
      <c r="AR895" s="4" t="s">
        <v>377</v>
      </c>
    </row>
    <row r="896" spans="1:44" ht="30">
      <c r="A896" s="4" t="s">
        <v>5</v>
      </c>
      <c r="C896" s="4">
        <v>259</v>
      </c>
      <c r="D896" s="5" t="s">
        <v>93</v>
      </c>
      <c r="E896" s="6" t="s">
        <v>1637</v>
      </c>
      <c r="F896" s="5" t="s">
        <v>1638</v>
      </c>
      <c r="AP896" s="4" t="s">
        <v>376</v>
      </c>
      <c r="AR896" s="4" t="s">
        <v>377</v>
      </c>
    </row>
    <row r="897" spans="1:44">
      <c r="A897" s="4" t="s">
        <v>5</v>
      </c>
      <c r="C897" s="4">
        <v>5362</v>
      </c>
      <c r="D897" s="5" t="s">
        <v>93</v>
      </c>
      <c r="E897" s="6" t="s">
        <v>1639</v>
      </c>
      <c r="AP897" s="4" t="s">
        <v>376</v>
      </c>
      <c r="AR897" s="4" t="s">
        <v>377</v>
      </c>
    </row>
    <row r="898" spans="1:44" ht="30">
      <c r="A898" s="4" t="s">
        <v>5</v>
      </c>
      <c r="C898" s="4">
        <v>4783</v>
      </c>
      <c r="D898" s="5" t="s">
        <v>93</v>
      </c>
      <c r="E898" s="6" t="s">
        <v>1640</v>
      </c>
      <c r="AP898" s="4" t="s">
        <v>376</v>
      </c>
      <c r="AR898" s="4" t="s">
        <v>377</v>
      </c>
    </row>
    <row r="899" spans="1:44">
      <c r="A899" s="4" t="s">
        <v>5</v>
      </c>
      <c r="C899" s="4">
        <v>1551</v>
      </c>
      <c r="D899" s="5" t="s">
        <v>93</v>
      </c>
      <c r="E899" s="6" t="s">
        <v>1641</v>
      </c>
      <c r="F899" s="5" t="s">
        <v>1642</v>
      </c>
      <c r="Z899" s="4" t="s">
        <v>447</v>
      </c>
      <c r="AA899" s="4" t="s">
        <v>448</v>
      </c>
      <c r="AP899" s="4" t="s">
        <v>376</v>
      </c>
      <c r="AR899" s="4" t="s">
        <v>377</v>
      </c>
    </row>
    <row r="900" spans="1:44">
      <c r="A900" s="4" t="s">
        <v>5</v>
      </c>
      <c r="C900" s="4">
        <v>4661</v>
      </c>
      <c r="D900" s="5" t="s">
        <v>93</v>
      </c>
      <c r="E900" s="6" t="s">
        <v>1643</v>
      </c>
      <c r="AP900" s="4" t="s">
        <v>376</v>
      </c>
      <c r="AR900" s="4" t="s">
        <v>377</v>
      </c>
    </row>
    <row r="901" spans="1:44">
      <c r="A901" s="4" t="s">
        <v>5</v>
      </c>
      <c r="C901" s="4">
        <v>4963</v>
      </c>
      <c r="D901" s="5" t="s">
        <v>93</v>
      </c>
      <c r="E901" s="6" t="s">
        <v>1644</v>
      </c>
      <c r="AP901" s="4" t="s">
        <v>376</v>
      </c>
      <c r="AR901" s="4" t="s">
        <v>377</v>
      </c>
    </row>
    <row r="902" spans="1:44">
      <c r="A902" s="4" t="s">
        <v>5</v>
      </c>
      <c r="C902" s="4">
        <v>339</v>
      </c>
      <c r="D902" s="5" t="s">
        <v>93</v>
      </c>
      <c r="E902" s="6" t="s">
        <v>1645</v>
      </c>
      <c r="F902" s="5" t="s">
        <v>1646</v>
      </c>
      <c r="AP902" s="4" t="s">
        <v>376</v>
      </c>
      <c r="AR902" s="4" t="s">
        <v>377</v>
      </c>
    </row>
    <row r="903" spans="1:44" ht="30">
      <c r="A903" s="4" t="s">
        <v>5</v>
      </c>
      <c r="C903" s="4">
        <v>3679</v>
      </c>
      <c r="D903" s="5" t="s">
        <v>93</v>
      </c>
      <c r="E903" s="6" t="s">
        <v>1647</v>
      </c>
      <c r="AP903" s="4" t="s">
        <v>376</v>
      </c>
      <c r="AR903" s="4" t="s">
        <v>377</v>
      </c>
    </row>
    <row r="904" spans="1:44">
      <c r="A904" s="4" t="s">
        <v>5</v>
      </c>
      <c r="C904" s="4">
        <v>802</v>
      </c>
      <c r="D904" s="5" t="s">
        <v>93</v>
      </c>
      <c r="E904" s="6" t="s">
        <v>1648</v>
      </c>
      <c r="F904" s="5" t="s">
        <v>1649</v>
      </c>
      <c r="AP904" s="4" t="s">
        <v>376</v>
      </c>
      <c r="AR904" s="4" t="s">
        <v>377</v>
      </c>
    </row>
    <row r="905" spans="1:44">
      <c r="A905" s="4" t="s">
        <v>5</v>
      </c>
      <c r="C905" s="4">
        <v>5734</v>
      </c>
      <c r="D905" s="5" t="s">
        <v>93</v>
      </c>
      <c r="E905" s="6" t="s">
        <v>1650</v>
      </c>
      <c r="F905" s="5" t="s">
        <v>1651</v>
      </c>
      <c r="Z905" s="4" t="s">
        <v>443</v>
      </c>
      <c r="AA905" s="4" t="s">
        <v>444</v>
      </c>
      <c r="AP905" s="4" t="s">
        <v>376</v>
      </c>
      <c r="AR905" s="4" t="s">
        <v>377</v>
      </c>
    </row>
    <row r="906" spans="1:44">
      <c r="A906" s="4" t="s">
        <v>5</v>
      </c>
      <c r="C906" s="4">
        <v>1285</v>
      </c>
      <c r="D906" s="5" t="s">
        <v>93</v>
      </c>
      <c r="E906" s="6" t="s">
        <v>1652</v>
      </c>
      <c r="Z906" s="4" t="s">
        <v>443</v>
      </c>
      <c r="AA906" s="4" t="s">
        <v>444</v>
      </c>
      <c r="AP906" s="4" t="s">
        <v>376</v>
      </c>
      <c r="AR906" s="4" t="s">
        <v>377</v>
      </c>
    </row>
    <row r="907" spans="1:44" ht="30">
      <c r="A907" s="4" t="s">
        <v>5</v>
      </c>
      <c r="C907" s="4">
        <v>128</v>
      </c>
      <c r="D907" s="5" t="s">
        <v>93</v>
      </c>
      <c r="E907" s="6" t="s">
        <v>1653</v>
      </c>
      <c r="F907" s="5" t="s">
        <v>1654</v>
      </c>
      <c r="AP907" s="4" t="s">
        <v>376</v>
      </c>
      <c r="AR907" s="4" t="s">
        <v>377</v>
      </c>
    </row>
    <row r="908" spans="1:44" ht="30">
      <c r="A908" s="4" t="s">
        <v>5</v>
      </c>
      <c r="C908" s="4">
        <v>989</v>
      </c>
      <c r="D908" s="5" t="s">
        <v>93</v>
      </c>
      <c r="E908" s="6" t="s">
        <v>1655</v>
      </c>
      <c r="AP908" s="4" t="s">
        <v>376</v>
      </c>
      <c r="AR908" s="4" t="s">
        <v>377</v>
      </c>
    </row>
    <row r="909" spans="1:44">
      <c r="A909" s="4" t="s">
        <v>5</v>
      </c>
      <c r="C909" s="4">
        <v>6379</v>
      </c>
      <c r="D909" s="5" t="s">
        <v>93</v>
      </c>
      <c r="E909" s="6" t="s">
        <v>1656</v>
      </c>
      <c r="AP909" s="4" t="s">
        <v>376</v>
      </c>
      <c r="AR909" s="4" t="s">
        <v>377</v>
      </c>
    </row>
    <row r="910" spans="1:44">
      <c r="A910" s="4" t="s">
        <v>5</v>
      </c>
      <c r="C910" s="4">
        <v>4053</v>
      </c>
      <c r="D910" s="5" t="s">
        <v>93</v>
      </c>
      <c r="E910" s="6" t="s">
        <v>1657</v>
      </c>
      <c r="AP910" s="4" t="s">
        <v>376</v>
      </c>
      <c r="AR910" s="4" t="s">
        <v>377</v>
      </c>
    </row>
    <row r="911" spans="1:44">
      <c r="A911" s="4" t="s">
        <v>5</v>
      </c>
      <c r="C911" s="4">
        <v>6376</v>
      </c>
      <c r="D911" s="5" t="s">
        <v>93</v>
      </c>
      <c r="E911" s="6" t="s">
        <v>1658</v>
      </c>
      <c r="AP911" s="4" t="s">
        <v>376</v>
      </c>
      <c r="AR911" s="4" t="s">
        <v>377</v>
      </c>
    </row>
    <row r="912" spans="1:44">
      <c r="A912" s="4" t="s">
        <v>5</v>
      </c>
      <c r="C912" s="4">
        <v>1648</v>
      </c>
      <c r="D912" s="5" t="s">
        <v>93</v>
      </c>
      <c r="E912" s="6" t="s">
        <v>1659</v>
      </c>
      <c r="Z912" s="4" t="s">
        <v>443</v>
      </c>
      <c r="AA912" s="4" t="s">
        <v>444</v>
      </c>
      <c r="AP912" s="4" t="s">
        <v>376</v>
      </c>
      <c r="AR912" s="4" t="s">
        <v>377</v>
      </c>
    </row>
    <row r="913" spans="1:44">
      <c r="A913" s="4" t="s">
        <v>5</v>
      </c>
      <c r="C913" s="4">
        <v>1943</v>
      </c>
      <c r="D913" s="5" t="s">
        <v>93</v>
      </c>
      <c r="E913" s="6" t="s">
        <v>1660</v>
      </c>
      <c r="F913" s="5" t="s">
        <v>1661</v>
      </c>
      <c r="AP913" s="4" t="s">
        <v>376</v>
      </c>
      <c r="AR913" s="4" t="s">
        <v>377</v>
      </c>
    </row>
    <row r="914" spans="1:44">
      <c r="A914" s="4" t="s">
        <v>5</v>
      </c>
      <c r="C914" s="4">
        <v>3728</v>
      </c>
      <c r="D914" s="5" t="s">
        <v>93</v>
      </c>
      <c r="E914" s="6" t="s">
        <v>1662</v>
      </c>
      <c r="F914" s="5" t="s">
        <v>1663</v>
      </c>
      <c r="Z914" s="4" t="s">
        <v>447</v>
      </c>
      <c r="AA914" s="4" t="s">
        <v>448</v>
      </c>
      <c r="AP914" s="4" t="s">
        <v>376</v>
      </c>
      <c r="AR914" s="4" t="s">
        <v>377</v>
      </c>
    </row>
    <row r="915" spans="1:44" ht="30">
      <c r="A915" s="4" t="s">
        <v>5</v>
      </c>
      <c r="C915" s="4">
        <v>6663</v>
      </c>
      <c r="D915" s="5" t="s">
        <v>93</v>
      </c>
      <c r="E915" s="6" t="s">
        <v>1664</v>
      </c>
      <c r="AP915" s="4" t="s">
        <v>376</v>
      </c>
      <c r="AR915" s="4" t="s">
        <v>377</v>
      </c>
    </row>
    <row r="916" spans="1:44">
      <c r="A916" s="4" t="s">
        <v>5</v>
      </c>
      <c r="C916" s="4">
        <v>3848</v>
      </c>
      <c r="D916" s="5" t="s">
        <v>93</v>
      </c>
      <c r="E916" s="6" t="s">
        <v>1665</v>
      </c>
      <c r="F916" s="5" t="s">
        <v>1666</v>
      </c>
      <c r="Z916" s="4" t="s">
        <v>512</v>
      </c>
      <c r="AA916" s="4" t="s">
        <v>513</v>
      </c>
      <c r="AP916" s="4" t="s">
        <v>376</v>
      </c>
      <c r="AR916" s="4" t="s">
        <v>377</v>
      </c>
    </row>
    <row r="917" spans="1:44">
      <c r="A917" s="4" t="s">
        <v>5</v>
      </c>
      <c r="C917" s="4">
        <v>2035</v>
      </c>
      <c r="D917" s="5" t="s">
        <v>93</v>
      </c>
      <c r="E917" s="6" t="s">
        <v>1667</v>
      </c>
      <c r="F917" s="5" t="s">
        <v>1668</v>
      </c>
      <c r="AP917" s="4" t="s">
        <v>376</v>
      </c>
      <c r="AR917" s="4" t="s">
        <v>377</v>
      </c>
    </row>
    <row r="918" spans="1:44" ht="30">
      <c r="A918" s="4" t="s">
        <v>5</v>
      </c>
      <c r="C918" s="4">
        <v>6652</v>
      </c>
      <c r="D918" s="5" t="s">
        <v>93</v>
      </c>
      <c r="E918" s="6" t="s">
        <v>1669</v>
      </c>
      <c r="F918" s="5" t="s">
        <v>1670</v>
      </c>
      <c r="AP918" s="4" t="s">
        <v>376</v>
      </c>
      <c r="AR918" s="4" t="s">
        <v>377</v>
      </c>
    </row>
    <row r="919" spans="1:44">
      <c r="A919" s="4" t="s">
        <v>5</v>
      </c>
      <c r="C919" s="4">
        <v>2103</v>
      </c>
      <c r="D919" s="5" t="s">
        <v>93</v>
      </c>
      <c r="E919" s="6" t="s">
        <v>1671</v>
      </c>
      <c r="AP919" s="4" t="s">
        <v>376</v>
      </c>
      <c r="AR919" s="4" t="s">
        <v>377</v>
      </c>
    </row>
    <row r="920" spans="1:44">
      <c r="A920" s="4" t="s">
        <v>5</v>
      </c>
      <c r="C920" s="4">
        <v>5646</v>
      </c>
      <c r="D920" s="5" t="s">
        <v>93</v>
      </c>
      <c r="E920" s="6" t="s">
        <v>1672</v>
      </c>
      <c r="F920" s="5" t="s">
        <v>1673</v>
      </c>
      <c r="Z920" s="4" t="s">
        <v>447</v>
      </c>
      <c r="AA920" s="4" t="s">
        <v>448</v>
      </c>
      <c r="AP920" s="4" t="s">
        <v>376</v>
      </c>
      <c r="AR920" s="4" t="s">
        <v>377</v>
      </c>
    </row>
    <row r="921" spans="1:44">
      <c r="A921" s="4" t="s">
        <v>5</v>
      </c>
      <c r="C921" s="4">
        <v>5845</v>
      </c>
      <c r="D921" s="5" t="s">
        <v>93</v>
      </c>
      <c r="E921" s="6" t="s">
        <v>1674</v>
      </c>
      <c r="AP921" s="4" t="s">
        <v>376</v>
      </c>
      <c r="AR921" s="4" t="s">
        <v>377</v>
      </c>
    </row>
    <row r="922" spans="1:44" ht="30">
      <c r="A922" s="4" t="s">
        <v>5</v>
      </c>
      <c r="C922" s="4">
        <v>986</v>
      </c>
      <c r="D922" s="5" t="s">
        <v>93</v>
      </c>
      <c r="E922" s="6" t="s">
        <v>1675</v>
      </c>
      <c r="F922" s="5" t="s">
        <v>1676</v>
      </c>
      <c r="AP922" s="4" t="s">
        <v>376</v>
      </c>
      <c r="AR922" s="4" t="s">
        <v>377</v>
      </c>
    </row>
    <row r="923" spans="1:44">
      <c r="A923" s="4" t="s">
        <v>5</v>
      </c>
      <c r="C923" s="4">
        <v>2442</v>
      </c>
      <c r="D923" s="5" t="s">
        <v>93</v>
      </c>
      <c r="E923" s="6" t="s">
        <v>1677</v>
      </c>
      <c r="F923" s="5" t="s">
        <v>1678</v>
      </c>
      <c r="Z923" s="4" t="s">
        <v>447</v>
      </c>
      <c r="AA923" s="4" t="s">
        <v>448</v>
      </c>
      <c r="AP923" s="4" t="s">
        <v>376</v>
      </c>
      <c r="AR923" s="4" t="s">
        <v>377</v>
      </c>
    </row>
    <row r="924" spans="1:44" ht="30">
      <c r="A924" s="4" t="s">
        <v>5</v>
      </c>
      <c r="C924" s="4">
        <v>1445</v>
      </c>
      <c r="D924" s="5" t="s">
        <v>93</v>
      </c>
      <c r="E924" s="6" t="s">
        <v>1679</v>
      </c>
      <c r="F924" s="5" t="s">
        <v>1680</v>
      </c>
      <c r="Z924" s="4" t="s">
        <v>447</v>
      </c>
      <c r="AA924" s="4" t="s">
        <v>448</v>
      </c>
      <c r="AP924" s="4" t="s">
        <v>376</v>
      </c>
      <c r="AR924" s="4" t="s">
        <v>377</v>
      </c>
    </row>
    <row r="925" spans="1:44">
      <c r="A925" s="4" t="s">
        <v>5</v>
      </c>
      <c r="C925" s="4">
        <v>2651</v>
      </c>
      <c r="D925" s="5" t="s">
        <v>93</v>
      </c>
      <c r="E925" s="6" t="s">
        <v>1681</v>
      </c>
      <c r="F925" s="5" t="s">
        <v>1682</v>
      </c>
      <c r="AP925" s="4" t="s">
        <v>376</v>
      </c>
      <c r="AR925" s="4" t="s">
        <v>377</v>
      </c>
    </row>
    <row r="926" spans="1:44">
      <c r="A926" s="4" t="s">
        <v>5</v>
      </c>
      <c r="C926" s="4">
        <v>4144</v>
      </c>
      <c r="D926" s="5" t="s">
        <v>93</v>
      </c>
      <c r="E926" s="6" t="s">
        <v>1683</v>
      </c>
      <c r="AP926" s="4" t="s">
        <v>376</v>
      </c>
      <c r="AR926" s="4" t="s">
        <v>377</v>
      </c>
    </row>
    <row r="927" spans="1:44">
      <c r="A927" s="4" t="s">
        <v>5</v>
      </c>
      <c r="C927" s="4">
        <v>3102</v>
      </c>
      <c r="D927" s="5" t="s">
        <v>93</v>
      </c>
      <c r="E927" s="6" t="s">
        <v>1684</v>
      </c>
      <c r="F927" s="5" t="s">
        <v>1685</v>
      </c>
      <c r="AP927" s="4" t="s">
        <v>376</v>
      </c>
      <c r="AR927" s="4" t="s">
        <v>377</v>
      </c>
    </row>
    <row r="928" spans="1:44">
      <c r="A928" s="4" t="s">
        <v>5</v>
      </c>
      <c r="C928" s="4">
        <v>364</v>
      </c>
      <c r="D928" s="5" t="s">
        <v>93</v>
      </c>
      <c r="E928" s="6" t="s">
        <v>1686</v>
      </c>
      <c r="F928" s="5" t="s">
        <v>1687</v>
      </c>
      <c r="Z928" s="4" t="s">
        <v>447</v>
      </c>
      <c r="AA928" s="4" t="s">
        <v>448</v>
      </c>
      <c r="AP928" s="4" t="s">
        <v>376</v>
      </c>
      <c r="AR928" s="4" t="s">
        <v>377</v>
      </c>
    </row>
    <row r="929" spans="1:44">
      <c r="A929" s="4" t="s">
        <v>5</v>
      </c>
      <c r="C929" s="4">
        <v>278</v>
      </c>
      <c r="D929" s="5" t="s">
        <v>93</v>
      </c>
      <c r="E929" s="6" t="s">
        <v>1688</v>
      </c>
      <c r="F929" s="5" t="s">
        <v>1689</v>
      </c>
      <c r="AP929" s="4" t="s">
        <v>376</v>
      </c>
      <c r="AR929" s="4" t="s">
        <v>377</v>
      </c>
    </row>
    <row r="930" spans="1:44" ht="30">
      <c r="A930" s="4" t="s">
        <v>5</v>
      </c>
      <c r="C930" s="4">
        <v>4369</v>
      </c>
      <c r="D930" s="5" t="s">
        <v>93</v>
      </c>
      <c r="E930" s="6" t="s">
        <v>1690</v>
      </c>
      <c r="F930" s="5" t="s">
        <v>1691</v>
      </c>
      <c r="AP930" s="4" t="s">
        <v>376</v>
      </c>
      <c r="AR930" s="4" t="s">
        <v>377</v>
      </c>
    </row>
    <row r="931" spans="1:44">
      <c r="A931" s="4" t="s">
        <v>5</v>
      </c>
      <c r="C931" s="4">
        <v>4037</v>
      </c>
      <c r="D931" s="5" t="s">
        <v>93</v>
      </c>
      <c r="E931" s="6" t="s">
        <v>1692</v>
      </c>
      <c r="AP931" s="4" t="s">
        <v>376</v>
      </c>
      <c r="AR931" s="4" t="s">
        <v>377</v>
      </c>
    </row>
    <row r="932" spans="1:44">
      <c r="A932" s="4" t="s">
        <v>5</v>
      </c>
      <c r="C932" s="4">
        <v>4769</v>
      </c>
      <c r="D932" s="5" t="s">
        <v>93</v>
      </c>
      <c r="E932" s="6" t="s">
        <v>1693</v>
      </c>
      <c r="AP932" s="4" t="s">
        <v>376</v>
      </c>
      <c r="AR932" s="4" t="s">
        <v>377</v>
      </c>
    </row>
    <row r="933" spans="1:44">
      <c r="A933" s="4" t="s">
        <v>5</v>
      </c>
      <c r="C933" s="4">
        <v>6146</v>
      </c>
      <c r="D933" s="5" t="s">
        <v>93</v>
      </c>
      <c r="E933" s="6" t="s">
        <v>1694</v>
      </c>
      <c r="F933" s="5" t="s">
        <v>1695</v>
      </c>
      <c r="AP933" s="4" t="s">
        <v>376</v>
      </c>
      <c r="AR933" s="4" t="s">
        <v>377</v>
      </c>
    </row>
    <row r="934" spans="1:44">
      <c r="A934" s="4" t="s">
        <v>5</v>
      </c>
      <c r="C934" s="4">
        <v>4875</v>
      </c>
      <c r="D934" s="5" t="s">
        <v>93</v>
      </c>
      <c r="E934" s="6" t="s">
        <v>1696</v>
      </c>
      <c r="AP934" s="4" t="s">
        <v>376</v>
      </c>
      <c r="AR934" s="4" t="s">
        <v>377</v>
      </c>
    </row>
    <row r="935" spans="1:44">
      <c r="A935" s="4" t="s">
        <v>5</v>
      </c>
      <c r="C935" s="4">
        <v>431</v>
      </c>
      <c r="D935" s="5" t="s">
        <v>93</v>
      </c>
      <c r="E935" s="6" t="s">
        <v>1697</v>
      </c>
      <c r="F935" s="5" t="s">
        <v>1698</v>
      </c>
      <c r="AP935" s="4" t="s">
        <v>376</v>
      </c>
      <c r="AR935" s="4" t="s">
        <v>377</v>
      </c>
    </row>
    <row r="936" spans="1:44">
      <c r="A936" s="4" t="s">
        <v>5</v>
      </c>
      <c r="C936" s="4">
        <v>2793</v>
      </c>
      <c r="D936" s="5" t="s">
        <v>93</v>
      </c>
      <c r="E936" s="6" t="s">
        <v>1699</v>
      </c>
      <c r="AP936" s="4" t="s">
        <v>376</v>
      </c>
      <c r="AR936" s="4" t="s">
        <v>377</v>
      </c>
    </row>
    <row r="937" spans="1:44">
      <c r="A937" s="4" t="s">
        <v>5</v>
      </c>
      <c r="C937" s="4">
        <v>1764</v>
      </c>
      <c r="D937" s="5" t="s">
        <v>93</v>
      </c>
      <c r="E937" s="6" t="s">
        <v>1700</v>
      </c>
      <c r="AP937" s="4" t="s">
        <v>376</v>
      </c>
      <c r="AR937" s="4" t="s">
        <v>377</v>
      </c>
    </row>
    <row r="938" spans="1:44">
      <c r="A938" s="4" t="s">
        <v>5</v>
      </c>
      <c r="C938" s="4">
        <v>1209</v>
      </c>
      <c r="D938" s="5" t="s">
        <v>93</v>
      </c>
      <c r="E938" s="6" t="s">
        <v>1701</v>
      </c>
      <c r="F938" s="5" t="s">
        <v>1702</v>
      </c>
      <c r="AP938" s="4" t="s">
        <v>376</v>
      </c>
      <c r="AR938" s="4" t="s">
        <v>377</v>
      </c>
    </row>
    <row r="939" spans="1:44">
      <c r="A939" s="4" t="s">
        <v>5</v>
      </c>
      <c r="C939" s="4">
        <v>162</v>
      </c>
      <c r="D939" s="5" t="s">
        <v>93</v>
      </c>
      <c r="E939" s="6" t="s">
        <v>1703</v>
      </c>
      <c r="AP939" s="4" t="s">
        <v>376</v>
      </c>
      <c r="AR939" s="4" t="s">
        <v>377</v>
      </c>
    </row>
    <row r="940" spans="1:44" ht="30">
      <c r="A940" s="4" t="s">
        <v>5</v>
      </c>
      <c r="C940" s="4">
        <v>672</v>
      </c>
      <c r="D940" s="5" t="s">
        <v>93</v>
      </c>
      <c r="E940" s="6" t="s">
        <v>1704</v>
      </c>
      <c r="F940" s="5" t="s">
        <v>1705</v>
      </c>
      <c r="AP940" s="4" t="s">
        <v>376</v>
      </c>
      <c r="AR940" s="4" t="s">
        <v>377</v>
      </c>
    </row>
    <row r="941" spans="1:44" ht="30">
      <c r="A941" s="4" t="s">
        <v>5</v>
      </c>
      <c r="C941" s="4">
        <v>4327</v>
      </c>
      <c r="D941" s="5" t="s">
        <v>93</v>
      </c>
      <c r="E941" s="6" t="s">
        <v>1706</v>
      </c>
      <c r="AP941" s="4" t="s">
        <v>376</v>
      </c>
      <c r="AR941" s="4" t="s">
        <v>377</v>
      </c>
    </row>
    <row r="942" spans="1:44">
      <c r="A942" s="4" t="s">
        <v>5</v>
      </c>
      <c r="C942" s="4">
        <v>592</v>
      </c>
      <c r="D942" s="5" t="s">
        <v>93</v>
      </c>
      <c r="E942" s="6" t="s">
        <v>1707</v>
      </c>
      <c r="F942" s="5" t="s">
        <v>1708</v>
      </c>
      <c r="AP942" s="4" t="s">
        <v>376</v>
      </c>
      <c r="AR942" s="4" t="s">
        <v>377</v>
      </c>
    </row>
    <row r="943" spans="1:44">
      <c r="A943" s="4" t="s">
        <v>5</v>
      </c>
      <c r="C943" s="4">
        <v>5741</v>
      </c>
      <c r="D943" s="5" t="s">
        <v>93</v>
      </c>
      <c r="E943" s="6" t="s">
        <v>1709</v>
      </c>
      <c r="AP943" s="4" t="s">
        <v>376</v>
      </c>
      <c r="AR943" s="4" t="s">
        <v>377</v>
      </c>
    </row>
    <row r="944" spans="1:44">
      <c r="A944" s="4" t="s">
        <v>5</v>
      </c>
      <c r="C944" s="4">
        <v>1205</v>
      </c>
      <c r="D944" s="5" t="s">
        <v>93</v>
      </c>
      <c r="E944" s="6" t="s">
        <v>1710</v>
      </c>
      <c r="AP944" s="4" t="s">
        <v>376</v>
      </c>
      <c r="AR944" s="4" t="s">
        <v>377</v>
      </c>
    </row>
    <row r="945" spans="1:44">
      <c r="A945" s="4" t="s">
        <v>5</v>
      </c>
      <c r="C945" s="4">
        <v>2520</v>
      </c>
      <c r="D945" s="5" t="s">
        <v>93</v>
      </c>
      <c r="E945" s="6" t="s">
        <v>1711</v>
      </c>
      <c r="AP945" s="4" t="s">
        <v>376</v>
      </c>
      <c r="AR945" s="4" t="s">
        <v>377</v>
      </c>
    </row>
    <row r="946" spans="1:44">
      <c r="A946" s="4" t="s">
        <v>5</v>
      </c>
      <c r="C946" s="4">
        <v>4932</v>
      </c>
      <c r="D946" s="5" t="s">
        <v>93</v>
      </c>
      <c r="E946" s="6" t="s">
        <v>1712</v>
      </c>
      <c r="F946" s="5" t="s">
        <v>1713</v>
      </c>
      <c r="AP946" s="4" t="s">
        <v>376</v>
      </c>
      <c r="AR946" s="4" t="s">
        <v>377</v>
      </c>
    </row>
    <row r="947" spans="1:44">
      <c r="A947" s="4" t="s">
        <v>5</v>
      </c>
      <c r="C947" s="4">
        <v>5309</v>
      </c>
      <c r="D947" s="5" t="s">
        <v>93</v>
      </c>
      <c r="E947" s="6" t="s">
        <v>1714</v>
      </c>
      <c r="AP947" s="4" t="s">
        <v>376</v>
      </c>
      <c r="AR947" s="4" t="s">
        <v>377</v>
      </c>
    </row>
    <row r="948" spans="1:44">
      <c r="A948" s="4" t="s">
        <v>5</v>
      </c>
      <c r="C948" s="4">
        <v>3612</v>
      </c>
      <c r="D948" s="5" t="s">
        <v>93</v>
      </c>
      <c r="E948" s="6" t="s">
        <v>1715</v>
      </c>
      <c r="AP948" s="4" t="s">
        <v>376</v>
      </c>
      <c r="AR948" s="4" t="s">
        <v>377</v>
      </c>
    </row>
    <row r="949" spans="1:44">
      <c r="A949" s="4" t="s">
        <v>5</v>
      </c>
      <c r="C949" s="4">
        <v>1798</v>
      </c>
      <c r="D949" s="5" t="s">
        <v>93</v>
      </c>
      <c r="E949" s="6" t="s">
        <v>1716</v>
      </c>
      <c r="AP949" s="4" t="s">
        <v>376</v>
      </c>
      <c r="AR949" s="4" t="s">
        <v>377</v>
      </c>
    </row>
    <row r="950" spans="1:44">
      <c r="A950" s="4" t="s">
        <v>5</v>
      </c>
      <c r="C950" s="4">
        <v>4544</v>
      </c>
      <c r="D950" s="5" t="s">
        <v>93</v>
      </c>
      <c r="E950" s="6" t="s">
        <v>1717</v>
      </c>
      <c r="F950" s="5" t="s">
        <v>1718</v>
      </c>
      <c r="AP950" s="4" t="s">
        <v>376</v>
      </c>
      <c r="AR950" s="4" t="s">
        <v>377</v>
      </c>
    </row>
    <row r="951" spans="1:44">
      <c r="A951" s="4" t="s">
        <v>5</v>
      </c>
      <c r="C951" s="4">
        <v>2335</v>
      </c>
      <c r="D951" s="5" t="s">
        <v>93</v>
      </c>
      <c r="E951" s="6" t="s">
        <v>1719</v>
      </c>
      <c r="Z951" s="4" t="s">
        <v>447</v>
      </c>
      <c r="AA951" s="4" t="s">
        <v>448</v>
      </c>
      <c r="AP951" s="4" t="s">
        <v>376</v>
      </c>
      <c r="AR951" s="4" t="s">
        <v>377</v>
      </c>
    </row>
    <row r="952" spans="1:44">
      <c r="A952" s="4" t="s">
        <v>5</v>
      </c>
      <c r="C952" s="4">
        <v>6337</v>
      </c>
      <c r="D952" s="5" t="s">
        <v>93</v>
      </c>
      <c r="E952" s="6" t="s">
        <v>1720</v>
      </c>
      <c r="AP952" s="4" t="s">
        <v>376</v>
      </c>
      <c r="AR952" s="4" t="s">
        <v>377</v>
      </c>
    </row>
    <row r="953" spans="1:44">
      <c r="A953" s="4" t="s">
        <v>5</v>
      </c>
      <c r="C953" s="4">
        <v>4194</v>
      </c>
      <c r="D953" s="5" t="s">
        <v>93</v>
      </c>
      <c r="E953" s="6" t="s">
        <v>1721</v>
      </c>
      <c r="AP953" s="4" t="s">
        <v>376</v>
      </c>
      <c r="AR953" s="4" t="s">
        <v>377</v>
      </c>
    </row>
    <row r="954" spans="1:44">
      <c r="A954" s="4" t="s">
        <v>5</v>
      </c>
      <c r="C954" s="4">
        <v>4851</v>
      </c>
      <c r="D954" s="5" t="s">
        <v>93</v>
      </c>
      <c r="E954" s="6" t="s">
        <v>1722</v>
      </c>
      <c r="F954" s="5" t="s">
        <v>1723</v>
      </c>
      <c r="AP954" s="4" t="s">
        <v>376</v>
      </c>
      <c r="AR954" s="4" t="s">
        <v>377</v>
      </c>
    </row>
    <row r="955" spans="1:44">
      <c r="A955" s="4" t="s">
        <v>5</v>
      </c>
      <c r="C955" s="4">
        <v>2288</v>
      </c>
      <c r="D955" s="5" t="s">
        <v>93</v>
      </c>
      <c r="E955" s="6" t="s">
        <v>1724</v>
      </c>
      <c r="AP955" s="4" t="s">
        <v>376</v>
      </c>
      <c r="AR955" s="4" t="s">
        <v>377</v>
      </c>
    </row>
    <row r="956" spans="1:44" ht="30">
      <c r="A956" s="4" t="s">
        <v>5</v>
      </c>
      <c r="C956" s="4">
        <v>4032</v>
      </c>
      <c r="D956" s="5" t="s">
        <v>93</v>
      </c>
      <c r="E956" s="6" t="s">
        <v>1725</v>
      </c>
      <c r="AP956" s="4" t="s">
        <v>376</v>
      </c>
      <c r="AR956" s="4" t="s">
        <v>377</v>
      </c>
    </row>
    <row r="957" spans="1:44" ht="30">
      <c r="A957" s="4" t="s">
        <v>5</v>
      </c>
      <c r="C957" s="4">
        <v>604</v>
      </c>
      <c r="D957" s="5" t="s">
        <v>93</v>
      </c>
      <c r="E957" s="6" t="s">
        <v>1726</v>
      </c>
      <c r="F957" s="5" t="s">
        <v>1727</v>
      </c>
      <c r="Z957" s="4" t="s">
        <v>447</v>
      </c>
      <c r="AA957" s="4" t="s">
        <v>448</v>
      </c>
      <c r="AP957" s="4" t="s">
        <v>376</v>
      </c>
      <c r="AR957" s="4" t="s">
        <v>377</v>
      </c>
    </row>
    <row r="958" spans="1:44" ht="30">
      <c r="A958" s="4" t="s">
        <v>5</v>
      </c>
      <c r="C958" s="4">
        <v>3604</v>
      </c>
      <c r="D958" s="5" t="s">
        <v>93</v>
      </c>
      <c r="E958" s="6" t="s">
        <v>1728</v>
      </c>
      <c r="AP958" s="4" t="s">
        <v>376</v>
      </c>
      <c r="AR958" s="4" t="s">
        <v>377</v>
      </c>
    </row>
    <row r="959" spans="1:44">
      <c r="A959" s="4" t="s">
        <v>5</v>
      </c>
      <c r="C959" s="4">
        <v>4318</v>
      </c>
      <c r="D959" s="5" t="s">
        <v>93</v>
      </c>
      <c r="E959" s="6" t="s">
        <v>1729</v>
      </c>
      <c r="F959" s="5" t="s">
        <v>1730</v>
      </c>
      <c r="AP959" s="4" t="s">
        <v>376</v>
      </c>
      <c r="AR959" s="4" t="s">
        <v>377</v>
      </c>
    </row>
    <row r="960" spans="1:44" ht="30">
      <c r="A960" s="4" t="s">
        <v>5</v>
      </c>
      <c r="C960" s="4">
        <v>865</v>
      </c>
      <c r="D960" s="5" t="s">
        <v>93</v>
      </c>
      <c r="E960" s="6" t="s">
        <v>1731</v>
      </c>
      <c r="F960" s="5" t="s">
        <v>1732</v>
      </c>
      <c r="Z960" s="4" t="s">
        <v>443</v>
      </c>
      <c r="AA960" s="4" t="s">
        <v>444</v>
      </c>
      <c r="AP960" s="4" t="s">
        <v>376</v>
      </c>
      <c r="AR960" s="4" t="s">
        <v>377</v>
      </c>
    </row>
    <row r="961" spans="1:44">
      <c r="A961" s="4" t="s">
        <v>5</v>
      </c>
      <c r="C961" s="4">
        <v>6670</v>
      </c>
      <c r="D961" s="5" t="s">
        <v>93</v>
      </c>
      <c r="E961" s="6" t="s">
        <v>1733</v>
      </c>
      <c r="AP961" s="4" t="s">
        <v>376</v>
      </c>
      <c r="AR961" s="4" t="s">
        <v>377</v>
      </c>
    </row>
    <row r="962" spans="1:44">
      <c r="A962" s="4" t="s">
        <v>5</v>
      </c>
      <c r="C962" s="4">
        <v>4682</v>
      </c>
      <c r="D962" s="5" t="s">
        <v>93</v>
      </c>
      <c r="E962" s="6" t="s">
        <v>1734</v>
      </c>
      <c r="F962" s="5" t="s">
        <v>1735</v>
      </c>
      <c r="Z962" s="4" t="s">
        <v>443</v>
      </c>
      <c r="AA962" s="4" t="s">
        <v>444</v>
      </c>
      <c r="AP962" s="4" t="s">
        <v>376</v>
      </c>
      <c r="AR962" s="4" t="s">
        <v>377</v>
      </c>
    </row>
    <row r="963" spans="1:44">
      <c r="A963" s="4" t="s">
        <v>5</v>
      </c>
      <c r="C963" s="4">
        <v>1555</v>
      </c>
      <c r="D963" s="5" t="s">
        <v>93</v>
      </c>
      <c r="E963" s="6" t="s">
        <v>1736</v>
      </c>
      <c r="F963" s="5" t="s">
        <v>1737</v>
      </c>
      <c r="Z963" s="4" t="s">
        <v>443</v>
      </c>
      <c r="AA963" s="4" t="s">
        <v>444</v>
      </c>
      <c r="AP963" s="4" t="s">
        <v>376</v>
      </c>
      <c r="AR963" s="4" t="s">
        <v>377</v>
      </c>
    </row>
    <row r="964" spans="1:44">
      <c r="A964" s="4" t="s">
        <v>5</v>
      </c>
      <c r="C964" s="4">
        <v>6043</v>
      </c>
      <c r="D964" s="5" t="s">
        <v>93</v>
      </c>
      <c r="E964" s="6" t="s">
        <v>1738</v>
      </c>
      <c r="AP964" s="4" t="s">
        <v>376</v>
      </c>
      <c r="AR964" s="4" t="s">
        <v>377</v>
      </c>
    </row>
    <row r="965" spans="1:44">
      <c r="A965" s="4" t="s">
        <v>5</v>
      </c>
      <c r="C965" s="4">
        <v>4127</v>
      </c>
      <c r="D965" s="5" t="s">
        <v>93</v>
      </c>
      <c r="E965" s="6" t="s">
        <v>1739</v>
      </c>
      <c r="AP965" s="4" t="s">
        <v>376</v>
      </c>
      <c r="AR965" s="4" t="s">
        <v>377</v>
      </c>
    </row>
    <row r="966" spans="1:44" ht="30">
      <c r="A966" s="4" t="s">
        <v>5</v>
      </c>
      <c r="C966" s="4">
        <v>885</v>
      </c>
      <c r="D966" s="5" t="s">
        <v>93</v>
      </c>
      <c r="E966" s="6" t="s">
        <v>1740</v>
      </c>
      <c r="AP966" s="4" t="s">
        <v>376</v>
      </c>
      <c r="AR966" s="4" t="s">
        <v>377</v>
      </c>
    </row>
    <row r="967" spans="1:44" ht="30">
      <c r="A967" s="4" t="s">
        <v>5</v>
      </c>
      <c r="C967" s="4">
        <v>2463</v>
      </c>
      <c r="D967" s="5" t="s">
        <v>93</v>
      </c>
      <c r="E967" s="6" t="s">
        <v>1741</v>
      </c>
      <c r="AP967" s="4" t="s">
        <v>376</v>
      </c>
      <c r="AR967" s="4" t="s">
        <v>377</v>
      </c>
    </row>
    <row r="968" spans="1:44">
      <c r="A968" s="4" t="s">
        <v>5</v>
      </c>
      <c r="C968" s="4">
        <v>2109</v>
      </c>
      <c r="D968" s="5" t="s">
        <v>93</v>
      </c>
      <c r="E968" s="6" t="s">
        <v>1742</v>
      </c>
      <c r="AP968" s="4" t="s">
        <v>376</v>
      </c>
      <c r="AR968" s="4" t="s">
        <v>377</v>
      </c>
    </row>
    <row r="969" spans="1:44" ht="30">
      <c r="A969" s="4" t="s">
        <v>5</v>
      </c>
      <c r="C969" s="4">
        <v>6674</v>
      </c>
      <c r="D969" s="5" t="s">
        <v>93</v>
      </c>
      <c r="E969" s="6" t="s">
        <v>1743</v>
      </c>
      <c r="AP969" s="4" t="s">
        <v>376</v>
      </c>
      <c r="AR969" s="4" t="s">
        <v>377</v>
      </c>
    </row>
    <row r="970" spans="1:44">
      <c r="A970" s="4" t="s">
        <v>5</v>
      </c>
      <c r="C970" s="4">
        <v>4977</v>
      </c>
      <c r="D970" s="5" t="s">
        <v>93</v>
      </c>
      <c r="E970" s="6" t="s">
        <v>1744</v>
      </c>
      <c r="AP970" s="4" t="s">
        <v>376</v>
      </c>
      <c r="AR970" s="4" t="s">
        <v>377</v>
      </c>
    </row>
    <row r="971" spans="1:44">
      <c r="A971" s="4" t="s">
        <v>5</v>
      </c>
      <c r="C971" s="4">
        <v>6991</v>
      </c>
      <c r="D971" s="5" t="s">
        <v>93</v>
      </c>
      <c r="E971" s="6" t="s">
        <v>1745</v>
      </c>
      <c r="AP971" s="4" t="s">
        <v>376</v>
      </c>
      <c r="AR971" s="4" t="s">
        <v>377</v>
      </c>
    </row>
    <row r="972" spans="1:44" ht="30">
      <c r="A972" s="4" t="s">
        <v>5</v>
      </c>
      <c r="C972" s="4">
        <v>1328</v>
      </c>
      <c r="D972" s="5" t="s">
        <v>93</v>
      </c>
      <c r="E972" s="6" t="s">
        <v>1746</v>
      </c>
      <c r="AP972" s="4" t="s">
        <v>376</v>
      </c>
      <c r="AR972" s="4" t="s">
        <v>377</v>
      </c>
    </row>
    <row r="973" spans="1:44">
      <c r="A973" s="4" t="s">
        <v>5</v>
      </c>
      <c r="C973" s="4">
        <v>5567</v>
      </c>
      <c r="D973" s="5" t="s">
        <v>93</v>
      </c>
      <c r="E973" s="6" t="s">
        <v>1747</v>
      </c>
      <c r="F973" s="5" t="s">
        <v>1748</v>
      </c>
      <c r="AP973" s="4" t="s">
        <v>376</v>
      </c>
      <c r="AR973" s="4" t="s">
        <v>377</v>
      </c>
    </row>
    <row r="974" spans="1:44">
      <c r="A974" s="4" t="s">
        <v>5</v>
      </c>
      <c r="C974" s="4">
        <v>5122</v>
      </c>
      <c r="D974" s="5" t="s">
        <v>93</v>
      </c>
      <c r="E974" s="6" t="s">
        <v>1749</v>
      </c>
      <c r="F974" s="5" t="s">
        <v>1750</v>
      </c>
      <c r="AP974" s="4" t="s">
        <v>376</v>
      </c>
      <c r="AR974" s="4" t="s">
        <v>377</v>
      </c>
    </row>
    <row r="975" spans="1:44">
      <c r="A975" s="4" t="s">
        <v>5</v>
      </c>
      <c r="C975" s="4">
        <v>5543</v>
      </c>
      <c r="D975" s="5" t="s">
        <v>93</v>
      </c>
      <c r="E975" s="6" t="s">
        <v>1751</v>
      </c>
      <c r="AP975" s="4" t="s">
        <v>376</v>
      </c>
      <c r="AR975" s="4" t="s">
        <v>377</v>
      </c>
    </row>
    <row r="976" spans="1:44" ht="30">
      <c r="A976" s="4" t="s">
        <v>5</v>
      </c>
      <c r="C976" s="4">
        <v>5120</v>
      </c>
      <c r="D976" s="5" t="s">
        <v>93</v>
      </c>
      <c r="E976" s="6" t="s">
        <v>1752</v>
      </c>
      <c r="Z976" s="4" t="s">
        <v>443</v>
      </c>
      <c r="AA976" s="4" t="s">
        <v>444</v>
      </c>
      <c r="AP976" s="4" t="s">
        <v>376</v>
      </c>
      <c r="AR976" s="4" t="s">
        <v>377</v>
      </c>
    </row>
    <row r="977" spans="1:44">
      <c r="A977" s="4" t="s">
        <v>5</v>
      </c>
      <c r="C977" s="4">
        <v>5767</v>
      </c>
      <c r="D977" s="5" t="s">
        <v>93</v>
      </c>
      <c r="E977" s="6" t="s">
        <v>1753</v>
      </c>
      <c r="AP977" s="4" t="s">
        <v>376</v>
      </c>
      <c r="AR977" s="4" t="s">
        <v>377</v>
      </c>
    </row>
    <row r="978" spans="1:44">
      <c r="A978" s="4" t="s">
        <v>5</v>
      </c>
      <c r="C978" s="4">
        <v>4043</v>
      </c>
      <c r="D978" s="5" t="s">
        <v>93</v>
      </c>
      <c r="E978" s="6" t="s">
        <v>1754</v>
      </c>
      <c r="AP978" s="4" t="s">
        <v>376</v>
      </c>
      <c r="AR978" s="4" t="s">
        <v>377</v>
      </c>
    </row>
    <row r="979" spans="1:44">
      <c r="A979" s="4" t="s">
        <v>5</v>
      </c>
      <c r="C979" s="4">
        <v>1779</v>
      </c>
      <c r="D979" s="5" t="s">
        <v>93</v>
      </c>
      <c r="E979" s="6" t="s">
        <v>1755</v>
      </c>
      <c r="AP979" s="4" t="s">
        <v>376</v>
      </c>
      <c r="AR979" s="4" t="s">
        <v>377</v>
      </c>
    </row>
    <row r="980" spans="1:44">
      <c r="A980" s="4" t="s">
        <v>5</v>
      </c>
      <c r="C980" s="4">
        <v>575</v>
      </c>
      <c r="D980" s="5" t="s">
        <v>93</v>
      </c>
      <c r="E980" s="6" t="s">
        <v>1756</v>
      </c>
      <c r="F980" s="5" t="s">
        <v>1757</v>
      </c>
      <c r="AP980" s="4" t="s">
        <v>376</v>
      </c>
      <c r="AR980" s="4" t="s">
        <v>377</v>
      </c>
    </row>
    <row r="981" spans="1:44">
      <c r="A981" s="4" t="s">
        <v>5</v>
      </c>
      <c r="C981" s="4">
        <v>4142</v>
      </c>
      <c r="D981" s="5" t="s">
        <v>93</v>
      </c>
      <c r="E981" s="6" t="s">
        <v>1758</v>
      </c>
      <c r="AP981" s="4" t="s">
        <v>376</v>
      </c>
      <c r="AR981" s="4" t="s">
        <v>377</v>
      </c>
    </row>
    <row r="982" spans="1:44">
      <c r="A982" s="4" t="s">
        <v>5</v>
      </c>
      <c r="C982" s="4">
        <v>1823</v>
      </c>
      <c r="D982" s="5" t="s">
        <v>93</v>
      </c>
      <c r="E982" s="6" t="s">
        <v>1759</v>
      </c>
      <c r="F982" s="5" t="s">
        <v>1760</v>
      </c>
      <c r="AP982" s="4" t="s">
        <v>376</v>
      </c>
      <c r="AR982" s="4" t="s">
        <v>377</v>
      </c>
    </row>
    <row r="983" spans="1:44">
      <c r="A983" s="4" t="s">
        <v>5</v>
      </c>
      <c r="C983" s="4">
        <v>6844</v>
      </c>
      <c r="D983" s="5" t="s">
        <v>93</v>
      </c>
      <c r="E983" s="6" t="s">
        <v>1761</v>
      </c>
      <c r="AP983" s="4" t="s">
        <v>376</v>
      </c>
      <c r="AR983" s="4" t="s">
        <v>377</v>
      </c>
    </row>
    <row r="984" spans="1:44" ht="30">
      <c r="A984" s="4" t="s">
        <v>5</v>
      </c>
      <c r="C984" s="4">
        <v>5158</v>
      </c>
      <c r="D984" s="5" t="s">
        <v>93</v>
      </c>
      <c r="E984" s="6" t="s">
        <v>1762</v>
      </c>
      <c r="AP984" s="4" t="s">
        <v>376</v>
      </c>
      <c r="AR984" s="4" t="s">
        <v>377</v>
      </c>
    </row>
    <row r="985" spans="1:44">
      <c r="A985" s="4" t="s">
        <v>5</v>
      </c>
      <c r="C985" s="4">
        <v>3646</v>
      </c>
      <c r="D985" s="5" t="s">
        <v>93</v>
      </c>
      <c r="E985" s="6" t="s">
        <v>1763</v>
      </c>
      <c r="F985" s="5" t="s">
        <v>1764</v>
      </c>
      <c r="AP985" s="4" t="s">
        <v>376</v>
      </c>
      <c r="AR985" s="4" t="s">
        <v>377</v>
      </c>
    </row>
    <row r="986" spans="1:44">
      <c r="A986" s="4" t="s">
        <v>5</v>
      </c>
      <c r="C986" s="4">
        <v>1503</v>
      </c>
      <c r="D986" s="5" t="s">
        <v>93</v>
      </c>
      <c r="E986" s="6" t="s">
        <v>1765</v>
      </c>
      <c r="AP986" s="4" t="s">
        <v>376</v>
      </c>
      <c r="AR986" s="4" t="s">
        <v>377</v>
      </c>
    </row>
    <row r="987" spans="1:44">
      <c r="A987" s="4" t="s">
        <v>5</v>
      </c>
      <c r="C987" s="4">
        <v>1677</v>
      </c>
      <c r="D987" s="5" t="s">
        <v>93</v>
      </c>
      <c r="E987" s="6" t="s">
        <v>1766</v>
      </c>
      <c r="F987" s="5" t="s">
        <v>1767</v>
      </c>
      <c r="AP987" s="4" t="s">
        <v>376</v>
      </c>
      <c r="AR987" s="4" t="s">
        <v>377</v>
      </c>
    </row>
    <row r="988" spans="1:44">
      <c r="A988" s="4" t="s">
        <v>5</v>
      </c>
      <c r="C988" s="4">
        <v>2923</v>
      </c>
      <c r="D988" s="5" t="s">
        <v>93</v>
      </c>
      <c r="E988" s="6" t="s">
        <v>1768</v>
      </c>
      <c r="AP988" s="4" t="s">
        <v>376</v>
      </c>
      <c r="AR988" s="4" t="s">
        <v>377</v>
      </c>
    </row>
    <row r="989" spans="1:44" ht="30">
      <c r="A989" s="4" t="s">
        <v>5</v>
      </c>
      <c r="C989" s="4">
        <v>1337</v>
      </c>
      <c r="D989" s="5" t="s">
        <v>93</v>
      </c>
      <c r="E989" s="6" t="s">
        <v>1769</v>
      </c>
      <c r="AP989" s="4" t="s">
        <v>376</v>
      </c>
      <c r="AR989" s="4" t="s">
        <v>377</v>
      </c>
    </row>
    <row r="990" spans="1:44">
      <c r="A990" s="4" t="s">
        <v>5</v>
      </c>
      <c r="C990" s="4">
        <v>568</v>
      </c>
      <c r="D990" s="5" t="s">
        <v>93</v>
      </c>
      <c r="E990" s="6" t="s">
        <v>1770</v>
      </c>
      <c r="F990" s="5" t="s">
        <v>1771</v>
      </c>
      <c r="Z990" s="4" t="s">
        <v>443</v>
      </c>
      <c r="AA990" s="4" t="s">
        <v>444</v>
      </c>
      <c r="AP990" s="4" t="s">
        <v>376</v>
      </c>
      <c r="AR990" s="4" t="s">
        <v>377</v>
      </c>
    </row>
    <row r="991" spans="1:44">
      <c r="A991" s="4" t="s">
        <v>5</v>
      </c>
      <c r="C991" s="4">
        <v>4798</v>
      </c>
      <c r="D991" s="5" t="s">
        <v>93</v>
      </c>
      <c r="E991" s="6" t="s">
        <v>1772</v>
      </c>
      <c r="F991" s="5" t="s">
        <v>1773</v>
      </c>
      <c r="Z991" s="4" t="s">
        <v>447</v>
      </c>
      <c r="AA991" s="4" t="s">
        <v>448</v>
      </c>
      <c r="AP991" s="4" t="s">
        <v>376</v>
      </c>
      <c r="AR991" s="4" t="s">
        <v>377</v>
      </c>
    </row>
    <row r="992" spans="1:44" ht="30">
      <c r="A992" s="4" t="s">
        <v>5</v>
      </c>
      <c r="C992" s="4">
        <v>3422</v>
      </c>
      <c r="D992" s="5" t="s">
        <v>93</v>
      </c>
      <c r="E992" s="6" t="s">
        <v>1774</v>
      </c>
      <c r="F992" s="5" t="s">
        <v>1775</v>
      </c>
      <c r="AP992" s="4" t="s">
        <v>376</v>
      </c>
      <c r="AR992" s="4" t="s">
        <v>377</v>
      </c>
    </row>
    <row r="993" spans="1:44">
      <c r="A993" s="4" t="s">
        <v>5</v>
      </c>
      <c r="C993" s="4">
        <v>5946</v>
      </c>
      <c r="D993" s="5" t="s">
        <v>93</v>
      </c>
      <c r="E993" s="6" t="s">
        <v>1776</v>
      </c>
      <c r="AP993" s="4" t="s">
        <v>376</v>
      </c>
      <c r="AR993" s="4" t="s">
        <v>377</v>
      </c>
    </row>
    <row r="994" spans="1:44">
      <c r="A994" s="4" t="s">
        <v>5</v>
      </c>
      <c r="C994" s="4">
        <v>4445</v>
      </c>
      <c r="D994" s="5" t="s">
        <v>93</v>
      </c>
      <c r="E994" s="6" t="s">
        <v>1777</v>
      </c>
      <c r="AP994" s="4" t="s">
        <v>376</v>
      </c>
      <c r="AR994" s="4" t="s">
        <v>377</v>
      </c>
    </row>
    <row r="995" spans="1:44">
      <c r="A995" s="4" t="s">
        <v>5</v>
      </c>
      <c r="C995" s="4">
        <v>6881</v>
      </c>
      <c r="D995" s="5" t="s">
        <v>93</v>
      </c>
      <c r="E995" s="6" t="s">
        <v>1778</v>
      </c>
      <c r="F995" s="5" t="s">
        <v>1779</v>
      </c>
      <c r="AP995" s="4" t="s">
        <v>376</v>
      </c>
      <c r="AR995" s="4" t="s">
        <v>377</v>
      </c>
    </row>
    <row r="996" spans="1:44">
      <c r="A996" s="4" t="s">
        <v>5</v>
      </c>
      <c r="C996" s="4">
        <v>453</v>
      </c>
      <c r="D996" s="5" t="s">
        <v>93</v>
      </c>
      <c r="E996" s="6" t="s">
        <v>1780</v>
      </c>
      <c r="F996" s="5" t="s">
        <v>1781</v>
      </c>
      <c r="Z996" s="4" t="s">
        <v>443</v>
      </c>
      <c r="AA996" s="4" t="s">
        <v>444</v>
      </c>
      <c r="AP996" s="4" t="s">
        <v>376</v>
      </c>
      <c r="AR996" s="4" t="s">
        <v>377</v>
      </c>
    </row>
    <row r="997" spans="1:44">
      <c r="A997" s="4" t="s">
        <v>5</v>
      </c>
      <c r="C997" s="4">
        <v>77</v>
      </c>
      <c r="D997" s="5" t="s">
        <v>93</v>
      </c>
      <c r="E997" s="6" t="s">
        <v>1782</v>
      </c>
      <c r="F997" s="5" t="s">
        <v>1783</v>
      </c>
      <c r="AP997" s="4" t="s">
        <v>376</v>
      </c>
      <c r="AR997" s="4" t="s">
        <v>377</v>
      </c>
    </row>
    <row r="998" spans="1:44">
      <c r="A998" s="4" t="s">
        <v>5</v>
      </c>
      <c r="C998" s="4">
        <v>2547</v>
      </c>
      <c r="D998" s="5" t="s">
        <v>93</v>
      </c>
      <c r="E998" s="6" t="s">
        <v>1784</v>
      </c>
      <c r="AP998" s="4" t="s">
        <v>376</v>
      </c>
      <c r="AR998" s="4" t="s">
        <v>377</v>
      </c>
    </row>
    <row r="999" spans="1:44">
      <c r="A999" s="4" t="s">
        <v>5</v>
      </c>
      <c r="C999" s="4">
        <v>247</v>
      </c>
      <c r="D999" s="5" t="s">
        <v>93</v>
      </c>
      <c r="E999" s="6" t="s">
        <v>1785</v>
      </c>
      <c r="F999" s="5" t="s">
        <v>1786</v>
      </c>
      <c r="Z999" s="4" t="s">
        <v>695</v>
      </c>
      <c r="AA999" s="4" t="s">
        <v>696</v>
      </c>
      <c r="AP999" s="4" t="s">
        <v>376</v>
      </c>
      <c r="AR999" s="4" t="s">
        <v>377</v>
      </c>
    </row>
    <row r="1000" spans="1:44" ht="30">
      <c r="A1000" s="4" t="s">
        <v>5</v>
      </c>
      <c r="C1000" s="4">
        <v>4766</v>
      </c>
      <c r="D1000" s="5" t="s">
        <v>93</v>
      </c>
      <c r="E1000" s="6" t="s">
        <v>1787</v>
      </c>
      <c r="AP1000" s="4" t="s">
        <v>376</v>
      </c>
      <c r="AR1000" s="4" t="s">
        <v>377</v>
      </c>
    </row>
    <row r="1001" spans="1:44" ht="30">
      <c r="A1001" s="4" t="s">
        <v>5</v>
      </c>
      <c r="C1001" s="4">
        <v>1709</v>
      </c>
      <c r="D1001" s="5" t="s">
        <v>93</v>
      </c>
      <c r="E1001" s="6" t="s">
        <v>1788</v>
      </c>
      <c r="F1001" s="5" t="s">
        <v>1789</v>
      </c>
      <c r="Z1001" s="4" t="s">
        <v>447</v>
      </c>
      <c r="AA1001" s="4" t="s">
        <v>448</v>
      </c>
      <c r="AP1001" s="4" t="s">
        <v>376</v>
      </c>
      <c r="AR1001" s="4" t="s">
        <v>377</v>
      </c>
    </row>
    <row r="1002" spans="1:44">
      <c r="A1002" s="4" t="s">
        <v>5</v>
      </c>
      <c r="C1002" s="4">
        <v>2737</v>
      </c>
      <c r="D1002" s="5" t="s">
        <v>93</v>
      </c>
      <c r="E1002" s="6" t="s">
        <v>1790</v>
      </c>
      <c r="AP1002" s="4" t="s">
        <v>376</v>
      </c>
      <c r="AR1002" s="4" t="s">
        <v>377</v>
      </c>
    </row>
    <row r="1003" spans="1:44" ht="30">
      <c r="A1003" s="4" t="s">
        <v>5</v>
      </c>
      <c r="C1003" s="4">
        <v>5583</v>
      </c>
      <c r="D1003" s="5" t="s">
        <v>93</v>
      </c>
      <c r="E1003" s="6" t="s">
        <v>1791</v>
      </c>
      <c r="AP1003" s="4" t="s">
        <v>376</v>
      </c>
      <c r="AR1003" s="4" t="s">
        <v>377</v>
      </c>
    </row>
    <row r="1004" spans="1:44">
      <c r="A1004" s="4" t="s">
        <v>5</v>
      </c>
      <c r="C1004" s="4">
        <v>5391</v>
      </c>
      <c r="D1004" s="5" t="s">
        <v>93</v>
      </c>
      <c r="E1004" s="6" t="s">
        <v>1792</v>
      </c>
      <c r="AP1004" s="4" t="s">
        <v>376</v>
      </c>
      <c r="AR1004" s="4" t="s">
        <v>377</v>
      </c>
    </row>
    <row r="1005" spans="1:44">
      <c r="A1005" s="4" t="s">
        <v>5</v>
      </c>
      <c r="C1005" s="4">
        <v>902</v>
      </c>
      <c r="D1005" s="5" t="s">
        <v>93</v>
      </c>
      <c r="E1005" s="6" t="s">
        <v>1793</v>
      </c>
      <c r="F1005" s="5" t="s">
        <v>1794</v>
      </c>
      <c r="AP1005" s="4" t="s">
        <v>376</v>
      </c>
      <c r="AR1005" s="4" t="s">
        <v>377</v>
      </c>
    </row>
    <row r="1006" spans="1:44">
      <c r="A1006" s="4" t="s">
        <v>5</v>
      </c>
      <c r="C1006" s="4">
        <v>1408</v>
      </c>
      <c r="D1006" s="5" t="s">
        <v>93</v>
      </c>
      <c r="E1006" s="6" t="s">
        <v>1795</v>
      </c>
      <c r="AP1006" s="4" t="s">
        <v>376</v>
      </c>
      <c r="AR1006" s="4" t="s">
        <v>377</v>
      </c>
    </row>
    <row r="1007" spans="1:44">
      <c r="A1007" s="4" t="s">
        <v>5</v>
      </c>
      <c r="C1007" s="4">
        <v>1314</v>
      </c>
      <c r="D1007" s="5" t="s">
        <v>93</v>
      </c>
      <c r="E1007" s="6" t="s">
        <v>1796</v>
      </c>
      <c r="AP1007" s="4" t="s">
        <v>376</v>
      </c>
      <c r="AR1007" s="4" t="s">
        <v>377</v>
      </c>
    </row>
    <row r="1008" spans="1:44">
      <c r="A1008" s="4" t="s">
        <v>5</v>
      </c>
      <c r="C1008" s="4">
        <v>4972</v>
      </c>
      <c r="D1008" s="5" t="s">
        <v>93</v>
      </c>
      <c r="E1008" s="6" t="s">
        <v>1797</v>
      </c>
      <c r="AP1008" s="4" t="s">
        <v>376</v>
      </c>
      <c r="AR1008" s="4" t="s">
        <v>377</v>
      </c>
    </row>
    <row r="1009" spans="1:44" ht="30">
      <c r="A1009" s="4" t="s">
        <v>5</v>
      </c>
      <c r="C1009" s="4">
        <v>4233</v>
      </c>
      <c r="D1009" s="5" t="s">
        <v>93</v>
      </c>
      <c r="E1009" s="6" t="s">
        <v>1798</v>
      </c>
      <c r="AP1009" s="4" t="s">
        <v>376</v>
      </c>
      <c r="AR1009" s="4" t="s">
        <v>377</v>
      </c>
    </row>
    <row r="1010" spans="1:44">
      <c r="A1010" s="4" t="s">
        <v>5</v>
      </c>
      <c r="C1010" s="4">
        <v>897</v>
      </c>
      <c r="D1010" s="5" t="s">
        <v>93</v>
      </c>
      <c r="E1010" s="6" t="s">
        <v>1799</v>
      </c>
      <c r="AP1010" s="4" t="s">
        <v>376</v>
      </c>
      <c r="AR1010" s="4" t="s">
        <v>377</v>
      </c>
    </row>
    <row r="1011" spans="1:44">
      <c r="A1011" s="4" t="s">
        <v>5</v>
      </c>
      <c r="C1011" s="4">
        <v>1938</v>
      </c>
      <c r="D1011" s="5" t="s">
        <v>93</v>
      </c>
      <c r="E1011" s="6" t="s">
        <v>1800</v>
      </c>
      <c r="Z1011" s="4" t="s">
        <v>443</v>
      </c>
      <c r="AA1011" s="4" t="s">
        <v>444</v>
      </c>
      <c r="AP1011" s="4" t="s">
        <v>376</v>
      </c>
      <c r="AR1011" s="4" t="s">
        <v>377</v>
      </c>
    </row>
    <row r="1012" spans="1:44" ht="30">
      <c r="A1012" s="4" t="s">
        <v>5</v>
      </c>
      <c r="C1012" s="4">
        <v>2643</v>
      </c>
      <c r="D1012" s="5" t="s">
        <v>93</v>
      </c>
      <c r="E1012" s="6" t="s">
        <v>1801</v>
      </c>
      <c r="F1012" s="5" t="s">
        <v>1802</v>
      </c>
      <c r="Z1012" s="4" t="s">
        <v>447</v>
      </c>
      <c r="AA1012" s="4" t="s">
        <v>448</v>
      </c>
      <c r="AP1012" s="4" t="s">
        <v>376</v>
      </c>
      <c r="AR1012" s="4" t="s">
        <v>377</v>
      </c>
    </row>
    <row r="1013" spans="1:44" ht="30">
      <c r="A1013" s="4" t="s">
        <v>5</v>
      </c>
      <c r="C1013" s="4">
        <v>5173</v>
      </c>
      <c r="D1013" s="5" t="s">
        <v>93</v>
      </c>
      <c r="E1013" s="6" t="s">
        <v>1803</v>
      </c>
      <c r="Z1013" s="4" t="s">
        <v>695</v>
      </c>
      <c r="AA1013" s="4" t="s">
        <v>696</v>
      </c>
      <c r="AP1013" s="4" t="s">
        <v>376</v>
      </c>
      <c r="AR1013" s="4" t="s">
        <v>377</v>
      </c>
    </row>
    <row r="1014" spans="1:44">
      <c r="A1014" s="4" t="s">
        <v>5</v>
      </c>
      <c r="C1014" s="4">
        <v>4815</v>
      </c>
      <c r="D1014" s="5" t="s">
        <v>93</v>
      </c>
      <c r="E1014" s="6" t="s">
        <v>1804</v>
      </c>
      <c r="AP1014" s="4" t="s">
        <v>376</v>
      </c>
      <c r="AR1014" s="4" t="s">
        <v>377</v>
      </c>
    </row>
    <row r="1015" spans="1:44">
      <c r="A1015" s="4" t="s">
        <v>5</v>
      </c>
      <c r="C1015" s="4">
        <v>6990</v>
      </c>
      <c r="D1015" s="5" t="s">
        <v>93</v>
      </c>
      <c r="E1015" s="6" t="s">
        <v>1805</v>
      </c>
      <c r="AP1015" s="4" t="s">
        <v>376</v>
      </c>
      <c r="AR1015" s="4" t="s">
        <v>377</v>
      </c>
    </row>
    <row r="1016" spans="1:44">
      <c r="A1016" s="4" t="s">
        <v>5</v>
      </c>
      <c r="C1016" s="4">
        <v>2907</v>
      </c>
      <c r="D1016" s="5" t="s">
        <v>93</v>
      </c>
      <c r="E1016" s="6" t="s">
        <v>1806</v>
      </c>
      <c r="F1016" s="5" t="s">
        <v>1807</v>
      </c>
      <c r="Z1016" s="4" t="s">
        <v>447</v>
      </c>
      <c r="AA1016" s="4" t="s">
        <v>448</v>
      </c>
      <c r="AP1016" s="4" t="s">
        <v>376</v>
      </c>
      <c r="AR1016" s="4" t="s">
        <v>377</v>
      </c>
    </row>
    <row r="1017" spans="1:44" ht="30">
      <c r="A1017" s="4" t="s">
        <v>5</v>
      </c>
      <c r="C1017" s="4">
        <v>6952</v>
      </c>
      <c r="D1017" s="5" t="s">
        <v>93</v>
      </c>
      <c r="E1017" s="6" t="s">
        <v>1808</v>
      </c>
      <c r="F1017" s="5" t="s">
        <v>1809</v>
      </c>
      <c r="AP1017" s="4" t="s">
        <v>376</v>
      </c>
      <c r="AR1017" s="4" t="s">
        <v>377</v>
      </c>
    </row>
    <row r="1018" spans="1:44">
      <c r="A1018" s="4" t="s">
        <v>5</v>
      </c>
      <c r="C1018" s="4">
        <v>4553</v>
      </c>
      <c r="D1018" s="5" t="s">
        <v>93</v>
      </c>
      <c r="E1018" s="6" t="s">
        <v>1810</v>
      </c>
      <c r="AP1018" s="4" t="s">
        <v>376</v>
      </c>
      <c r="AR1018" s="4" t="s">
        <v>377</v>
      </c>
    </row>
    <row r="1019" spans="1:44">
      <c r="A1019" s="4" t="s">
        <v>5</v>
      </c>
      <c r="C1019" s="4">
        <v>331</v>
      </c>
      <c r="D1019" s="5" t="s">
        <v>93</v>
      </c>
      <c r="E1019" s="6" t="s">
        <v>1811</v>
      </c>
      <c r="F1019" s="5" t="s">
        <v>1812</v>
      </c>
      <c r="AP1019" s="4" t="s">
        <v>376</v>
      </c>
      <c r="AR1019" s="4" t="s">
        <v>377</v>
      </c>
    </row>
    <row r="1020" spans="1:44">
      <c r="A1020" s="4" t="s">
        <v>5</v>
      </c>
      <c r="C1020" s="4">
        <v>2562</v>
      </c>
      <c r="D1020" s="5" t="s">
        <v>93</v>
      </c>
      <c r="E1020" s="6" t="s">
        <v>1813</v>
      </c>
      <c r="AP1020" s="4" t="s">
        <v>376</v>
      </c>
      <c r="AR1020" s="4" t="s">
        <v>377</v>
      </c>
    </row>
    <row r="1021" spans="1:44">
      <c r="A1021" s="4" t="s">
        <v>5</v>
      </c>
      <c r="C1021" s="4">
        <v>1233</v>
      </c>
      <c r="D1021" s="5" t="s">
        <v>93</v>
      </c>
      <c r="E1021" s="6" t="s">
        <v>1814</v>
      </c>
      <c r="F1021" s="5" t="s">
        <v>1815</v>
      </c>
      <c r="AP1021" s="4" t="s">
        <v>376</v>
      </c>
      <c r="AR1021" s="4" t="s">
        <v>377</v>
      </c>
    </row>
    <row r="1022" spans="1:44">
      <c r="A1022" s="4" t="s">
        <v>5</v>
      </c>
      <c r="C1022" s="4">
        <v>5430</v>
      </c>
      <c r="D1022" s="5" t="s">
        <v>93</v>
      </c>
      <c r="E1022" s="6" t="s">
        <v>1816</v>
      </c>
      <c r="AP1022" s="4" t="s">
        <v>376</v>
      </c>
      <c r="AR1022" s="4" t="s">
        <v>377</v>
      </c>
    </row>
    <row r="1023" spans="1:44">
      <c r="A1023" s="4" t="s">
        <v>5</v>
      </c>
      <c r="C1023" s="4">
        <v>3759</v>
      </c>
      <c r="D1023" s="5" t="s">
        <v>93</v>
      </c>
      <c r="E1023" s="6" t="s">
        <v>1817</v>
      </c>
      <c r="F1023" s="5" t="s">
        <v>1818</v>
      </c>
      <c r="AP1023" s="4" t="s">
        <v>376</v>
      </c>
      <c r="AR1023" s="4" t="s">
        <v>377</v>
      </c>
    </row>
    <row r="1024" spans="1:44">
      <c r="A1024" s="4" t="s">
        <v>5</v>
      </c>
      <c r="C1024" s="4">
        <v>3665</v>
      </c>
      <c r="D1024" s="5" t="s">
        <v>93</v>
      </c>
      <c r="E1024" s="6" t="s">
        <v>1819</v>
      </c>
      <c r="AP1024" s="4" t="s">
        <v>376</v>
      </c>
      <c r="AR1024" s="4" t="s">
        <v>377</v>
      </c>
    </row>
    <row r="1025" spans="1:44" ht="30">
      <c r="A1025" s="4" t="s">
        <v>5</v>
      </c>
      <c r="C1025" s="4">
        <v>6558</v>
      </c>
      <c r="D1025" s="5" t="s">
        <v>93</v>
      </c>
      <c r="E1025" s="6" t="s">
        <v>1820</v>
      </c>
      <c r="AP1025" s="4" t="s">
        <v>376</v>
      </c>
      <c r="AR1025" s="4" t="s">
        <v>377</v>
      </c>
    </row>
    <row r="1026" spans="1:44">
      <c r="A1026" s="4" t="s">
        <v>5</v>
      </c>
      <c r="C1026" s="4">
        <v>6672</v>
      </c>
      <c r="D1026" s="5" t="s">
        <v>93</v>
      </c>
      <c r="E1026" s="6" t="s">
        <v>1821</v>
      </c>
      <c r="AP1026" s="4" t="s">
        <v>376</v>
      </c>
      <c r="AR1026" s="4" t="s">
        <v>377</v>
      </c>
    </row>
    <row r="1027" spans="1:44">
      <c r="A1027" s="4" t="s">
        <v>5</v>
      </c>
      <c r="C1027" s="4">
        <v>1275</v>
      </c>
      <c r="D1027" s="5" t="s">
        <v>93</v>
      </c>
      <c r="E1027" s="6" t="s">
        <v>1822</v>
      </c>
      <c r="F1027" s="5" t="s">
        <v>1823</v>
      </c>
      <c r="Z1027" s="4" t="s">
        <v>447</v>
      </c>
      <c r="AA1027" s="4" t="s">
        <v>448</v>
      </c>
      <c r="AP1027" s="4" t="s">
        <v>376</v>
      </c>
      <c r="AR1027" s="4" t="s">
        <v>377</v>
      </c>
    </row>
    <row r="1028" spans="1:44">
      <c r="A1028" s="4" t="s">
        <v>5</v>
      </c>
      <c r="C1028" s="4">
        <v>6598</v>
      </c>
      <c r="D1028" s="5" t="s">
        <v>93</v>
      </c>
      <c r="E1028" s="6" t="s">
        <v>1824</v>
      </c>
      <c r="AP1028" s="4" t="s">
        <v>376</v>
      </c>
      <c r="AR1028" s="4" t="s">
        <v>377</v>
      </c>
    </row>
    <row r="1029" spans="1:44">
      <c r="A1029" s="4" t="s">
        <v>5</v>
      </c>
      <c r="C1029" s="4">
        <v>1829</v>
      </c>
      <c r="D1029" s="5" t="s">
        <v>93</v>
      </c>
      <c r="E1029" s="6" t="s">
        <v>1825</v>
      </c>
      <c r="Z1029" s="4" t="s">
        <v>443</v>
      </c>
      <c r="AA1029" s="4" t="s">
        <v>444</v>
      </c>
      <c r="AP1029" s="4" t="s">
        <v>376</v>
      </c>
      <c r="AR1029" s="4" t="s">
        <v>377</v>
      </c>
    </row>
    <row r="1030" spans="1:44">
      <c r="A1030" s="4" t="s">
        <v>5</v>
      </c>
      <c r="C1030" s="4">
        <v>1121</v>
      </c>
      <c r="D1030" s="5" t="s">
        <v>93</v>
      </c>
      <c r="E1030" s="6" t="s">
        <v>1826</v>
      </c>
      <c r="AP1030" s="4" t="s">
        <v>376</v>
      </c>
      <c r="AR1030" s="4" t="s">
        <v>377</v>
      </c>
    </row>
    <row r="1031" spans="1:44">
      <c r="A1031" s="4" t="s">
        <v>5</v>
      </c>
      <c r="C1031" s="4">
        <v>344</v>
      </c>
      <c r="D1031" s="5" t="s">
        <v>93</v>
      </c>
      <c r="E1031" s="6" t="s">
        <v>1827</v>
      </c>
      <c r="F1031" s="5" t="s">
        <v>1828</v>
      </c>
      <c r="AP1031" s="4" t="s">
        <v>376</v>
      </c>
      <c r="AR1031" s="4" t="s">
        <v>377</v>
      </c>
    </row>
    <row r="1032" spans="1:44">
      <c r="A1032" s="4" t="s">
        <v>5</v>
      </c>
      <c r="C1032" s="4">
        <v>3667</v>
      </c>
      <c r="D1032" s="5" t="s">
        <v>93</v>
      </c>
      <c r="E1032" s="6" t="s">
        <v>1829</v>
      </c>
      <c r="AP1032" s="4" t="s">
        <v>376</v>
      </c>
      <c r="AR1032" s="4" t="s">
        <v>377</v>
      </c>
    </row>
    <row r="1033" spans="1:44">
      <c r="A1033" s="4" t="s">
        <v>5</v>
      </c>
      <c r="C1033" s="4">
        <v>6891</v>
      </c>
      <c r="D1033" s="5" t="s">
        <v>93</v>
      </c>
      <c r="E1033" s="6" t="s">
        <v>1830</v>
      </c>
      <c r="AP1033" s="4" t="s">
        <v>376</v>
      </c>
      <c r="AR1033" s="4" t="s">
        <v>377</v>
      </c>
    </row>
    <row r="1034" spans="1:44">
      <c r="A1034" s="4" t="s">
        <v>5</v>
      </c>
      <c r="C1034" s="4">
        <v>6464</v>
      </c>
      <c r="D1034" s="5" t="s">
        <v>93</v>
      </c>
      <c r="E1034" s="6" t="s">
        <v>1831</v>
      </c>
      <c r="F1034" s="5" t="s">
        <v>1832</v>
      </c>
      <c r="AP1034" s="4" t="s">
        <v>376</v>
      </c>
      <c r="AR1034" s="4" t="s">
        <v>377</v>
      </c>
    </row>
    <row r="1035" spans="1:44" ht="30">
      <c r="A1035" s="4" t="s">
        <v>5</v>
      </c>
      <c r="C1035" s="4">
        <v>5938</v>
      </c>
      <c r="D1035" s="5" t="s">
        <v>93</v>
      </c>
      <c r="E1035" s="6" t="s">
        <v>1833</v>
      </c>
      <c r="AP1035" s="4" t="s">
        <v>376</v>
      </c>
      <c r="AR1035" s="4" t="s">
        <v>377</v>
      </c>
    </row>
    <row r="1036" spans="1:44">
      <c r="A1036" s="4" t="s">
        <v>5</v>
      </c>
      <c r="C1036" s="4">
        <v>1761</v>
      </c>
      <c r="D1036" s="5" t="s">
        <v>93</v>
      </c>
      <c r="E1036" s="6" t="s">
        <v>1834</v>
      </c>
      <c r="F1036" s="5" t="s">
        <v>1835</v>
      </c>
      <c r="AP1036" s="4" t="s">
        <v>376</v>
      </c>
      <c r="AR1036" s="4" t="s">
        <v>377</v>
      </c>
    </row>
    <row r="1037" spans="1:44">
      <c r="A1037" s="4" t="s">
        <v>5</v>
      </c>
      <c r="C1037" s="4">
        <v>6472</v>
      </c>
      <c r="D1037" s="5" t="s">
        <v>93</v>
      </c>
      <c r="E1037" s="6" t="s">
        <v>1836</v>
      </c>
      <c r="F1037" s="5" t="s">
        <v>1837</v>
      </c>
      <c r="AP1037" s="4" t="s">
        <v>376</v>
      </c>
      <c r="AR1037" s="4" t="s">
        <v>377</v>
      </c>
    </row>
    <row r="1038" spans="1:44">
      <c r="A1038" s="4" t="s">
        <v>5</v>
      </c>
      <c r="C1038" s="4">
        <v>2571</v>
      </c>
      <c r="D1038" s="5" t="s">
        <v>93</v>
      </c>
      <c r="E1038" s="6" t="s">
        <v>1838</v>
      </c>
      <c r="AP1038" s="4" t="s">
        <v>376</v>
      </c>
      <c r="AR1038" s="4" t="s">
        <v>377</v>
      </c>
    </row>
    <row r="1039" spans="1:44">
      <c r="A1039" s="4" t="s">
        <v>5</v>
      </c>
      <c r="C1039" s="4">
        <v>2178</v>
      </c>
      <c r="D1039" s="5" t="s">
        <v>93</v>
      </c>
      <c r="E1039" s="6" t="s">
        <v>1839</v>
      </c>
      <c r="F1039" s="5" t="s">
        <v>1840</v>
      </c>
      <c r="Z1039" s="4" t="s">
        <v>512</v>
      </c>
      <c r="AA1039" s="4" t="s">
        <v>513</v>
      </c>
      <c r="AP1039" s="4" t="s">
        <v>376</v>
      </c>
      <c r="AR1039" s="4" t="s">
        <v>377</v>
      </c>
    </row>
    <row r="1040" spans="1:44">
      <c r="A1040" s="4" t="s">
        <v>5</v>
      </c>
      <c r="C1040" s="4">
        <v>6205</v>
      </c>
      <c r="D1040" s="5" t="s">
        <v>93</v>
      </c>
      <c r="E1040" s="6" t="s">
        <v>1841</v>
      </c>
      <c r="AP1040" s="4" t="s">
        <v>376</v>
      </c>
      <c r="AR1040" s="4" t="s">
        <v>377</v>
      </c>
    </row>
    <row r="1041" spans="1:44">
      <c r="A1041" s="4" t="s">
        <v>5</v>
      </c>
      <c r="C1041" s="4">
        <v>1528</v>
      </c>
      <c r="D1041" s="5" t="s">
        <v>93</v>
      </c>
      <c r="E1041" s="6" t="s">
        <v>1842</v>
      </c>
      <c r="F1041" s="5" t="s">
        <v>1843</v>
      </c>
      <c r="AP1041" s="4" t="s">
        <v>376</v>
      </c>
      <c r="AR1041" s="4" t="s">
        <v>377</v>
      </c>
    </row>
    <row r="1042" spans="1:44">
      <c r="A1042" s="4" t="s">
        <v>5</v>
      </c>
      <c r="C1042" s="4">
        <v>6438</v>
      </c>
      <c r="D1042" s="5" t="s">
        <v>93</v>
      </c>
      <c r="E1042" s="6" t="s">
        <v>1844</v>
      </c>
      <c r="AP1042" s="4" t="s">
        <v>376</v>
      </c>
      <c r="AR1042" s="4" t="s">
        <v>377</v>
      </c>
    </row>
    <row r="1043" spans="1:44">
      <c r="A1043" s="4" t="s">
        <v>5</v>
      </c>
      <c r="C1043" s="4">
        <v>5504</v>
      </c>
      <c r="D1043" s="5" t="s">
        <v>93</v>
      </c>
      <c r="E1043" s="6" t="s">
        <v>1845</v>
      </c>
      <c r="AP1043" s="4" t="s">
        <v>376</v>
      </c>
      <c r="AR1043" s="4" t="s">
        <v>377</v>
      </c>
    </row>
    <row r="1044" spans="1:44">
      <c r="A1044" s="4" t="s">
        <v>5</v>
      </c>
      <c r="C1044" s="4">
        <v>1494</v>
      </c>
      <c r="D1044" s="5" t="s">
        <v>93</v>
      </c>
      <c r="E1044" s="6" t="s">
        <v>1846</v>
      </c>
      <c r="AP1044" s="4" t="s">
        <v>376</v>
      </c>
      <c r="AR1044" s="4" t="s">
        <v>377</v>
      </c>
    </row>
    <row r="1045" spans="1:44" ht="30">
      <c r="A1045" s="4" t="s">
        <v>5</v>
      </c>
      <c r="C1045" s="4">
        <v>1743</v>
      </c>
      <c r="D1045" s="5" t="s">
        <v>93</v>
      </c>
      <c r="E1045" s="6" t="s">
        <v>1847</v>
      </c>
      <c r="F1045" s="5" t="s">
        <v>1848</v>
      </c>
      <c r="AP1045" s="4" t="s">
        <v>376</v>
      </c>
      <c r="AR1045" s="4" t="s">
        <v>377</v>
      </c>
    </row>
    <row r="1046" spans="1:44" ht="30">
      <c r="A1046" s="4" t="s">
        <v>5</v>
      </c>
      <c r="C1046" s="4">
        <v>1294</v>
      </c>
      <c r="D1046" s="5" t="s">
        <v>93</v>
      </c>
      <c r="E1046" s="6" t="s">
        <v>1849</v>
      </c>
      <c r="F1046" s="5" t="s">
        <v>1850</v>
      </c>
      <c r="Z1046" s="4" t="s">
        <v>443</v>
      </c>
      <c r="AA1046" s="4" t="s">
        <v>444</v>
      </c>
      <c r="AP1046" s="4" t="s">
        <v>376</v>
      </c>
      <c r="AR1046" s="4" t="s">
        <v>377</v>
      </c>
    </row>
    <row r="1047" spans="1:44">
      <c r="A1047" s="4" t="s">
        <v>5</v>
      </c>
      <c r="C1047" s="4">
        <v>5460</v>
      </c>
      <c r="D1047" s="5" t="s">
        <v>93</v>
      </c>
      <c r="E1047" s="6" t="s">
        <v>1851</v>
      </c>
      <c r="AP1047" s="4" t="s">
        <v>376</v>
      </c>
      <c r="AR1047" s="4" t="s">
        <v>377</v>
      </c>
    </row>
    <row r="1048" spans="1:44">
      <c r="A1048" s="4" t="s">
        <v>5</v>
      </c>
      <c r="C1048" s="4">
        <v>4745</v>
      </c>
      <c r="D1048" s="5" t="s">
        <v>93</v>
      </c>
      <c r="E1048" s="6" t="s">
        <v>1852</v>
      </c>
      <c r="AP1048" s="4" t="s">
        <v>376</v>
      </c>
      <c r="AR1048" s="4" t="s">
        <v>377</v>
      </c>
    </row>
    <row r="1049" spans="1:44">
      <c r="A1049" s="4" t="s">
        <v>5</v>
      </c>
      <c r="C1049" s="4">
        <v>5190</v>
      </c>
      <c r="D1049" s="5" t="s">
        <v>93</v>
      </c>
      <c r="E1049" s="6" t="s">
        <v>1853</v>
      </c>
      <c r="AP1049" s="4" t="s">
        <v>376</v>
      </c>
      <c r="AR1049" s="4" t="s">
        <v>377</v>
      </c>
    </row>
    <row r="1050" spans="1:44">
      <c r="A1050" s="4" t="s">
        <v>5</v>
      </c>
      <c r="C1050" s="4">
        <v>5150</v>
      </c>
      <c r="D1050" s="5" t="s">
        <v>93</v>
      </c>
      <c r="E1050" s="6" t="s">
        <v>1854</v>
      </c>
      <c r="F1050" s="5" t="s">
        <v>1855</v>
      </c>
      <c r="AP1050" s="4" t="s">
        <v>376</v>
      </c>
      <c r="AR1050" s="4" t="s">
        <v>377</v>
      </c>
    </row>
    <row r="1051" spans="1:44" ht="30">
      <c r="A1051" s="4" t="s">
        <v>5</v>
      </c>
      <c r="C1051" s="4">
        <v>5923</v>
      </c>
      <c r="D1051" s="5" t="s">
        <v>93</v>
      </c>
      <c r="E1051" s="6" t="s">
        <v>1856</v>
      </c>
      <c r="AP1051" s="4" t="s">
        <v>376</v>
      </c>
      <c r="AR1051" s="4" t="s">
        <v>377</v>
      </c>
    </row>
    <row r="1052" spans="1:44">
      <c r="A1052" s="4" t="s">
        <v>5</v>
      </c>
      <c r="C1052" s="4">
        <v>1326</v>
      </c>
      <c r="D1052" s="5" t="s">
        <v>93</v>
      </c>
      <c r="E1052" s="6" t="s">
        <v>1857</v>
      </c>
      <c r="AP1052" s="4" t="s">
        <v>376</v>
      </c>
      <c r="AR1052" s="4" t="s">
        <v>377</v>
      </c>
    </row>
    <row r="1053" spans="1:44">
      <c r="A1053" s="4" t="s">
        <v>5</v>
      </c>
      <c r="C1053" s="4">
        <v>5052</v>
      </c>
      <c r="D1053" s="5" t="s">
        <v>93</v>
      </c>
      <c r="E1053" s="6" t="s">
        <v>1858</v>
      </c>
      <c r="AP1053" s="4" t="s">
        <v>376</v>
      </c>
      <c r="AR1053" s="4" t="s">
        <v>377</v>
      </c>
    </row>
    <row r="1054" spans="1:44">
      <c r="A1054" s="4" t="s">
        <v>5</v>
      </c>
      <c r="C1054" s="4">
        <v>4519</v>
      </c>
      <c r="D1054" s="5" t="s">
        <v>93</v>
      </c>
      <c r="E1054" s="6" t="s">
        <v>1859</v>
      </c>
      <c r="Z1054" s="4" t="s">
        <v>447</v>
      </c>
      <c r="AA1054" s="4" t="s">
        <v>448</v>
      </c>
      <c r="AP1054" s="4" t="s">
        <v>376</v>
      </c>
      <c r="AR1054" s="4" t="s">
        <v>377</v>
      </c>
    </row>
    <row r="1055" spans="1:44">
      <c r="A1055" s="4" t="s">
        <v>5</v>
      </c>
      <c r="C1055" s="4">
        <v>4546</v>
      </c>
      <c r="D1055" s="5" t="s">
        <v>93</v>
      </c>
      <c r="E1055" s="6" t="s">
        <v>1860</v>
      </c>
      <c r="F1055" s="5" t="s">
        <v>1861</v>
      </c>
      <c r="AP1055" s="4" t="s">
        <v>376</v>
      </c>
      <c r="AR1055" s="4" t="s">
        <v>377</v>
      </c>
    </row>
    <row r="1056" spans="1:44">
      <c r="A1056" s="4" t="s">
        <v>5</v>
      </c>
      <c r="C1056" s="4">
        <v>5121</v>
      </c>
      <c r="D1056" s="5" t="s">
        <v>93</v>
      </c>
      <c r="E1056" s="6" t="s">
        <v>1862</v>
      </c>
      <c r="F1056" s="5" t="s">
        <v>1863</v>
      </c>
      <c r="Z1056" s="4" t="s">
        <v>443</v>
      </c>
      <c r="AA1056" s="4" t="s">
        <v>444</v>
      </c>
      <c r="AP1056" s="4" t="s">
        <v>376</v>
      </c>
      <c r="AR1056" s="4" t="s">
        <v>377</v>
      </c>
    </row>
    <row r="1057" spans="1:44">
      <c r="A1057" s="4" t="s">
        <v>5</v>
      </c>
      <c r="C1057" s="4">
        <v>4497</v>
      </c>
      <c r="D1057" s="5" t="s">
        <v>93</v>
      </c>
      <c r="E1057" s="6" t="s">
        <v>1864</v>
      </c>
      <c r="AP1057" s="4" t="s">
        <v>376</v>
      </c>
      <c r="AR1057" s="4" t="s">
        <v>377</v>
      </c>
    </row>
    <row r="1058" spans="1:44">
      <c r="A1058" s="4" t="s">
        <v>5</v>
      </c>
      <c r="C1058" s="4">
        <v>4241</v>
      </c>
      <c r="D1058" s="5" t="s">
        <v>93</v>
      </c>
      <c r="E1058" s="6" t="s">
        <v>1865</v>
      </c>
      <c r="AP1058" s="4" t="s">
        <v>376</v>
      </c>
      <c r="AR1058" s="4" t="s">
        <v>377</v>
      </c>
    </row>
    <row r="1059" spans="1:44">
      <c r="A1059" s="4" t="s">
        <v>5</v>
      </c>
      <c r="C1059" s="4">
        <v>6929</v>
      </c>
      <c r="D1059" s="5" t="s">
        <v>93</v>
      </c>
      <c r="E1059" s="6" t="s">
        <v>1866</v>
      </c>
      <c r="AP1059" s="4" t="s">
        <v>376</v>
      </c>
      <c r="AR1059" s="4" t="s">
        <v>377</v>
      </c>
    </row>
    <row r="1060" spans="1:44">
      <c r="A1060" s="4" t="s">
        <v>5</v>
      </c>
      <c r="C1060" s="4">
        <v>3732</v>
      </c>
      <c r="D1060" s="5" t="s">
        <v>93</v>
      </c>
      <c r="E1060" s="6" t="s">
        <v>1867</v>
      </c>
      <c r="Z1060" s="4" t="s">
        <v>447</v>
      </c>
      <c r="AA1060" s="4" t="s">
        <v>448</v>
      </c>
      <c r="AP1060" s="4" t="s">
        <v>376</v>
      </c>
      <c r="AR1060" s="4" t="s">
        <v>377</v>
      </c>
    </row>
    <row r="1061" spans="1:44">
      <c r="A1061" s="4" t="s">
        <v>5</v>
      </c>
      <c r="C1061" s="4">
        <v>6797</v>
      </c>
      <c r="D1061" s="5" t="s">
        <v>93</v>
      </c>
      <c r="E1061" s="6" t="s">
        <v>1868</v>
      </c>
      <c r="AP1061" s="4" t="s">
        <v>376</v>
      </c>
      <c r="AR1061" s="4" t="s">
        <v>377</v>
      </c>
    </row>
    <row r="1062" spans="1:44" ht="30">
      <c r="A1062" s="4" t="s">
        <v>5</v>
      </c>
      <c r="C1062" s="4">
        <v>4615</v>
      </c>
      <c r="D1062" s="5" t="s">
        <v>93</v>
      </c>
      <c r="E1062" s="6" t="s">
        <v>1869</v>
      </c>
      <c r="AP1062" s="4" t="s">
        <v>376</v>
      </c>
      <c r="AR1062" s="4" t="s">
        <v>377</v>
      </c>
    </row>
    <row r="1063" spans="1:44" ht="30">
      <c r="A1063" s="4" t="s">
        <v>5</v>
      </c>
      <c r="C1063" s="4">
        <v>6972</v>
      </c>
      <c r="D1063" s="5" t="s">
        <v>93</v>
      </c>
      <c r="E1063" s="6" t="s">
        <v>1870</v>
      </c>
      <c r="AP1063" s="4" t="s">
        <v>376</v>
      </c>
      <c r="AR1063" s="4" t="s">
        <v>377</v>
      </c>
    </row>
    <row r="1064" spans="1:44">
      <c r="A1064" s="4" t="s">
        <v>5</v>
      </c>
      <c r="C1064" s="4">
        <v>1707</v>
      </c>
      <c r="D1064" s="5" t="s">
        <v>93</v>
      </c>
      <c r="E1064" s="6" t="s">
        <v>1871</v>
      </c>
      <c r="AP1064" s="4" t="s">
        <v>376</v>
      </c>
      <c r="AR1064" s="4" t="s">
        <v>377</v>
      </c>
    </row>
    <row r="1065" spans="1:44" ht="30">
      <c r="A1065" s="4" t="s">
        <v>5</v>
      </c>
      <c r="C1065" s="4">
        <v>5440</v>
      </c>
      <c r="D1065" s="5" t="s">
        <v>93</v>
      </c>
      <c r="E1065" s="6" t="s">
        <v>1872</v>
      </c>
      <c r="AP1065" s="4" t="s">
        <v>376</v>
      </c>
      <c r="AR1065" s="4" t="s">
        <v>377</v>
      </c>
    </row>
    <row r="1066" spans="1:44">
      <c r="A1066" s="4" t="s">
        <v>5</v>
      </c>
      <c r="C1066" s="4">
        <v>4454</v>
      </c>
      <c r="D1066" s="5" t="s">
        <v>93</v>
      </c>
      <c r="E1066" s="6" t="s">
        <v>1873</v>
      </c>
      <c r="AP1066" s="4" t="s">
        <v>376</v>
      </c>
      <c r="AR1066" s="4" t="s">
        <v>377</v>
      </c>
    </row>
    <row r="1067" spans="1:44">
      <c r="A1067" s="4" t="s">
        <v>5</v>
      </c>
      <c r="C1067" s="4">
        <v>2781</v>
      </c>
      <c r="D1067" s="5" t="s">
        <v>93</v>
      </c>
      <c r="E1067" s="6" t="s">
        <v>1874</v>
      </c>
      <c r="AP1067" s="4" t="s">
        <v>376</v>
      </c>
      <c r="AR1067" s="4" t="s">
        <v>377</v>
      </c>
    </row>
    <row r="1068" spans="1:44">
      <c r="A1068" s="4" t="s">
        <v>5</v>
      </c>
      <c r="C1068" s="4">
        <v>210</v>
      </c>
      <c r="D1068" s="5" t="s">
        <v>93</v>
      </c>
      <c r="E1068" s="6" t="s">
        <v>1875</v>
      </c>
      <c r="F1068" s="5" t="s">
        <v>1876</v>
      </c>
      <c r="AP1068" s="4" t="s">
        <v>376</v>
      </c>
      <c r="AR1068" s="4" t="s">
        <v>377</v>
      </c>
    </row>
    <row r="1069" spans="1:44">
      <c r="A1069" s="4" t="s">
        <v>5</v>
      </c>
      <c r="C1069" s="4">
        <v>6303</v>
      </c>
      <c r="D1069" s="5" t="s">
        <v>93</v>
      </c>
      <c r="E1069" s="6" t="s">
        <v>1877</v>
      </c>
      <c r="AP1069" s="4" t="s">
        <v>376</v>
      </c>
      <c r="AR1069" s="4" t="s">
        <v>377</v>
      </c>
    </row>
    <row r="1070" spans="1:44">
      <c r="A1070" s="4" t="s">
        <v>5</v>
      </c>
      <c r="C1070" s="4">
        <v>4377</v>
      </c>
      <c r="D1070" s="5" t="s">
        <v>93</v>
      </c>
      <c r="E1070" s="6" t="s">
        <v>1878</v>
      </c>
      <c r="AP1070" s="4" t="s">
        <v>376</v>
      </c>
      <c r="AR1070" s="4" t="s">
        <v>377</v>
      </c>
    </row>
    <row r="1071" spans="1:44" ht="30">
      <c r="A1071" s="4" t="s">
        <v>5</v>
      </c>
      <c r="C1071" s="4">
        <v>1068</v>
      </c>
      <c r="D1071" s="5" t="s">
        <v>93</v>
      </c>
      <c r="E1071" s="6" t="s">
        <v>1879</v>
      </c>
      <c r="F1071" s="5" t="s">
        <v>1880</v>
      </c>
      <c r="AP1071" s="4" t="s">
        <v>376</v>
      </c>
      <c r="AR1071" s="4" t="s">
        <v>377</v>
      </c>
    </row>
    <row r="1072" spans="1:44" ht="30">
      <c r="A1072" s="4" t="s">
        <v>5</v>
      </c>
      <c r="C1072" s="4">
        <v>2072</v>
      </c>
      <c r="D1072" s="5" t="s">
        <v>93</v>
      </c>
      <c r="E1072" s="6" t="s">
        <v>1881</v>
      </c>
      <c r="AP1072" s="4" t="s">
        <v>376</v>
      </c>
      <c r="AR1072" s="4" t="s">
        <v>377</v>
      </c>
    </row>
    <row r="1073" spans="1:44">
      <c r="A1073" s="4" t="s">
        <v>5</v>
      </c>
      <c r="C1073" s="4">
        <v>3628</v>
      </c>
      <c r="D1073" s="5" t="s">
        <v>93</v>
      </c>
      <c r="E1073" s="6" t="s">
        <v>1882</v>
      </c>
      <c r="F1073" s="5" t="s">
        <v>1883</v>
      </c>
      <c r="AP1073" s="4" t="s">
        <v>376</v>
      </c>
      <c r="AR1073" s="4" t="s">
        <v>377</v>
      </c>
    </row>
    <row r="1074" spans="1:44">
      <c r="A1074" s="4" t="s">
        <v>5</v>
      </c>
      <c r="C1074" s="4">
        <v>4521</v>
      </c>
      <c r="D1074" s="5" t="s">
        <v>93</v>
      </c>
      <c r="E1074" s="6" t="s">
        <v>1884</v>
      </c>
      <c r="AP1074" s="4" t="s">
        <v>376</v>
      </c>
      <c r="AR1074" s="4" t="s">
        <v>377</v>
      </c>
    </row>
    <row r="1075" spans="1:44">
      <c r="A1075" s="4" t="s">
        <v>5</v>
      </c>
      <c r="C1075" s="4">
        <v>3929</v>
      </c>
      <c r="D1075" s="5" t="s">
        <v>93</v>
      </c>
      <c r="E1075" s="6" t="s">
        <v>1885</v>
      </c>
      <c r="F1075" s="5" t="s">
        <v>1886</v>
      </c>
      <c r="Z1075" s="4" t="s">
        <v>443</v>
      </c>
      <c r="AA1075" s="4" t="s">
        <v>444</v>
      </c>
      <c r="AP1075" s="4" t="s">
        <v>376</v>
      </c>
      <c r="AR1075" s="4" t="s">
        <v>377</v>
      </c>
    </row>
    <row r="1076" spans="1:44">
      <c r="A1076" s="4" t="s">
        <v>5</v>
      </c>
      <c r="C1076" s="4">
        <v>2360</v>
      </c>
      <c r="D1076" s="5" t="s">
        <v>93</v>
      </c>
      <c r="E1076" s="6" t="s">
        <v>1887</v>
      </c>
      <c r="F1076" s="5" t="s">
        <v>1888</v>
      </c>
      <c r="AP1076" s="4" t="s">
        <v>376</v>
      </c>
      <c r="AR1076" s="4" t="s">
        <v>377</v>
      </c>
    </row>
    <row r="1077" spans="1:44">
      <c r="A1077" s="4" t="s">
        <v>5</v>
      </c>
      <c r="C1077" s="4">
        <v>222</v>
      </c>
      <c r="D1077" s="5" t="s">
        <v>93</v>
      </c>
      <c r="E1077" s="6" t="s">
        <v>1889</v>
      </c>
      <c r="F1077" s="5" t="s">
        <v>1890</v>
      </c>
      <c r="AP1077" s="4" t="s">
        <v>376</v>
      </c>
      <c r="AR1077" s="4" t="s">
        <v>377</v>
      </c>
    </row>
    <row r="1078" spans="1:44">
      <c r="A1078" s="4" t="s">
        <v>5</v>
      </c>
      <c r="C1078" s="4">
        <v>1812</v>
      </c>
      <c r="D1078" s="5" t="s">
        <v>93</v>
      </c>
      <c r="E1078" s="6" t="s">
        <v>1891</v>
      </c>
      <c r="F1078" s="5" t="s">
        <v>1892</v>
      </c>
      <c r="AP1078" s="4" t="s">
        <v>376</v>
      </c>
      <c r="AR1078" s="4" t="s">
        <v>377</v>
      </c>
    </row>
    <row r="1079" spans="1:44" ht="30">
      <c r="A1079" s="4" t="s">
        <v>5</v>
      </c>
      <c r="C1079" s="4">
        <v>6872</v>
      </c>
      <c r="D1079" s="5" t="s">
        <v>93</v>
      </c>
      <c r="E1079" s="6" t="s">
        <v>1893</v>
      </c>
      <c r="F1079" s="5" t="s">
        <v>1894</v>
      </c>
      <c r="AP1079" s="4" t="s">
        <v>376</v>
      </c>
      <c r="AR1079" s="4" t="s">
        <v>377</v>
      </c>
    </row>
    <row r="1080" spans="1:44">
      <c r="A1080" s="4" t="s">
        <v>5</v>
      </c>
      <c r="C1080" s="4">
        <v>206</v>
      </c>
      <c r="D1080" s="5" t="s">
        <v>93</v>
      </c>
      <c r="E1080" s="6" t="s">
        <v>1895</v>
      </c>
      <c r="F1080" s="5" t="s">
        <v>1896</v>
      </c>
      <c r="AP1080" s="4" t="s">
        <v>376</v>
      </c>
      <c r="AR1080" s="4" t="s">
        <v>377</v>
      </c>
    </row>
    <row r="1081" spans="1:44">
      <c r="A1081" s="4" t="s">
        <v>5</v>
      </c>
      <c r="C1081" s="4">
        <v>1556</v>
      </c>
      <c r="D1081" s="5" t="s">
        <v>93</v>
      </c>
      <c r="E1081" s="6" t="s">
        <v>1897</v>
      </c>
      <c r="F1081" s="5" t="s">
        <v>1898</v>
      </c>
      <c r="Z1081" s="4" t="s">
        <v>695</v>
      </c>
      <c r="AA1081" s="4" t="s">
        <v>696</v>
      </c>
      <c r="AP1081" s="4" t="s">
        <v>376</v>
      </c>
      <c r="AR1081" s="4" t="s">
        <v>377</v>
      </c>
    </row>
    <row r="1082" spans="1:44">
      <c r="A1082" s="4" t="s">
        <v>5</v>
      </c>
      <c r="C1082" s="4">
        <v>2289</v>
      </c>
      <c r="D1082" s="5" t="s">
        <v>93</v>
      </c>
      <c r="E1082" s="6" t="s">
        <v>1899</v>
      </c>
      <c r="AP1082" s="4" t="s">
        <v>376</v>
      </c>
      <c r="AR1082" s="4" t="s">
        <v>377</v>
      </c>
    </row>
    <row r="1083" spans="1:44">
      <c r="A1083" s="4" t="s">
        <v>5</v>
      </c>
      <c r="C1083" s="4">
        <v>1396</v>
      </c>
      <c r="D1083" s="5" t="s">
        <v>93</v>
      </c>
      <c r="E1083" s="6" t="s">
        <v>1900</v>
      </c>
      <c r="AP1083" s="4" t="s">
        <v>376</v>
      </c>
      <c r="AR1083" s="4" t="s">
        <v>377</v>
      </c>
    </row>
    <row r="1084" spans="1:44" ht="30">
      <c r="A1084" s="4" t="s">
        <v>5</v>
      </c>
      <c r="C1084" s="4">
        <v>5542</v>
      </c>
      <c r="D1084" s="5" t="s">
        <v>93</v>
      </c>
      <c r="E1084" s="6" t="s">
        <v>1901</v>
      </c>
      <c r="AP1084" s="4" t="s">
        <v>376</v>
      </c>
      <c r="AR1084" s="4" t="s">
        <v>377</v>
      </c>
    </row>
    <row r="1085" spans="1:44">
      <c r="A1085" s="4" t="s">
        <v>5</v>
      </c>
      <c r="C1085" s="4">
        <v>2283</v>
      </c>
      <c r="D1085" s="5" t="s">
        <v>93</v>
      </c>
      <c r="E1085" s="6" t="s">
        <v>1902</v>
      </c>
      <c r="AP1085" s="4" t="s">
        <v>376</v>
      </c>
      <c r="AR1085" s="4" t="s">
        <v>377</v>
      </c>
    </row>
    <row r="1086" spans="1:44">
      <c r="A1086" s="4" t="s">
        <v>5</v>
      </c>
      <c r="C1086" s="4">
        <v>7008</v>
      </c>
      <c r="D1086" s="5" t="s">
        <v>93</v>
      </c>
      <c r="E1086" s="6" t="s">
        <v>1903</v>
      </c>
      <c r="AP1086" s="4" t="s">
        <v>376</v>
      </c>
      <c r="AR1086" s="4" t="s">
        <v>377</v>
      </c>
    </row>
    <row r="1087" spans="1:44">
      <c r="A1087" s="4" t="s">
        <v>5</v>
      </c>
      <c r="C1087" s="4">
        <v>413</v>
      </c>
      <c r="D1087" s="5" t="s">
        <v>93</v>
      </c>
      <c r="E1087" s="6" t="s">
        <v>1904</v>
      </c>
      <c r="F1087" s="5" t="s">
        <v>1905</v>
      </c>
      <c r="AP1087" s="4" t="s">
        <v>376</v>
      </c>
      <c r="AR1087" s="4" t="s">
        <v>377</v>
      </c>
    </row>
    <row r="1088" spans="1:44">
      <c r="A1088" s="4" t="s">
        <v>5</v>
      </c>
      <c r="C1088" s="4">
        <v>6958</v>
      </c>
      <c r="D1088" s="5" t="s">
        <v>93</v>
      </c>
      <c r="E1088" s="6" t="s">
        <v>1906</v>
      </c>
      <c r="F1088" s="5" t="s">
        <v>1907</v>
      </c>
      <c r="AP1088" s="4" t="s">
        <v>376</v>
      </c>
      <c r="AR1088" s="4" t="s">
        <v>377</v>
      </c>
    </row>
    <row r="1089" spans="1:44">
      <c r="A1089" s="4" t="s">
        <v>5</v>
      </c>
      <c r="C1089" s="4">
        <v>4753</v>
      </c>
      <c r="D1089" s="5" t="s">
        <v>93</v>
      </c>
      <c r="E1089" s="6" t="s">
        <v>1908</v>
      </c>
      <c r="AP1089" s="4" t="s">
        <v>376</v>
      </c>
      <c r="AR1089" s="4" t="s">
        <v>377</v>
      </c>
    </row>
    <row r="1090" spans="1:44">
      <c r="A1090" s="4" t="s">
        <v>5</v>
      </c>
      <c r="C1090" s="4">
        <v>4427</v>
      </c>
      <c r="D1090" s="5" t="s">
        <v>93</v>
      </c>
      <c r="E1090" s="6" t="s">
        <v>1909</v>
      </c>
      <c r="AP1090" s="4" t="s">
        <v>376</v>
      </c>
      <c r="AR1090" s="4" t="s">
        <v>377</v>
      </c>
    </row>
    <row r="1091" spans="1:44" ht="30">
      <c r="A1091" s="4" t="s">
        <v>5</v>
      </c>
      <c r="C1091" s="4">
        <v>4451</v>
      </c>
      <c r="D1091" s="5" t="s">
        <v>93</v>
      </c>
      <c r="E1091" s="6" t="s">
        <v>1910</v>
      </c>
      <c r="F1091" s="5" t="s">
        <v>1911</v>
      </c>
      <c r="Z1091" s="4" t="s">
        <v>447</v>
      </c>
      <c r="AA1091" s="4" t="s">
        <v>448</v>
      </c>
      <c r="AP1091" s="4" t="s">
        <v>376</v>
      </c>
      <c r="AR1091" s="4" t="s">
        <v>377</v>
      </c>
    </row>
    <row r="1092" spans="1:44">
      <c r="A1092" s="4" t="s">
        <v>5</v>
      </c>
      <c r="C1092" s="4">
        <v>5532</v>
      </c>
      <c r="D1092" s="5" t="s">
        <v>93</v>
      </c>
      <c r="E1092" s="6" t="s">
        <v>1912</v>
      </c>
      <c r="F1092" s="5" t="s">
        <v>1913</v>
      </c>
      <c r="AP1092" s="4" t="s">
        <v>376</v>
      </c>
      <c r="AR1092" s="4" t="s">
        <v>377</v>
      </c>
    </row>
    <row r="1093" spans="1:44">
      <c r="A1093" s="4" t="s">
        <v>5</v>
      </c>
      <c r="C1093" s="4">
        <v>6396</v>
      </c>
      <c r="D1093" s="5" t="s">
        <v>93</v>
      </c>
      <c r="E1093" s="6" t="s">
        <v>1914</v>
      </c>
      <c r="AP1093" s="4" t="s">
        <v>376</v>
      </c>
      <c r="AR1093" s="4" t="s">
        <v>377</v>
      </c>
    </row>
    <row r="1094" spans="1:44">
      <c r="A1094" s="4" t="s">
        <v>5</v>
      </c>
      <c r="C1094" s="4">
        <v>622</v>
      </c>
      <c r="D1094" s="5" t="s">
        <v>93</v>
      </c>
      <c r="E1094" s="6" t="s">
        <v>1915</v>
      </c>
      <c r="F1094" s="5" t="s">
        <v>1916</v>
      </c>
      <c r="AP1094" s="4" t="s">
        <v>376</v>
      </c>
      <c r="AR1094" s="4" t="s">
        <v>377</v>
      </c>
    </row>
    <row r="1095" spans="1:44">
      <c r="A1095" s="4" t="s">
        <v>5</v>
      </c>
      <c r="C1095" s="4">
        <v>4495</v>
      </c>
      <c r="D1095" s="5" t="s">
        <v>93</v>
      </c>
      <c r="E1095" s="6" t="s">
        <v>1917</v>
      </c>
      <c r="Z1095" s="4" t="s">
        <v>443</v>
      </c>
      <c r="AA1095" s="4" t="s">
        <v>444</v>
      </c>
      <c r="AP1095" s="4" t="s">
        <v>376</v>
      </c>
      <c r="AR1095" s="4" t="s">
        <v>377</v>
      </c>
    </row>
    <row r="1096" spans="1:44">
      <c r="A1096" s="4" t="s">
        <v>5</v>
      </c>
      <c r="C1096" s="4">
        <v>760</v>
      </c>
      <c r="D1096" s="5" t="s">
        <v>93</v>
      </c>
      <c r="E1096" s="6" t="s">
        <v>1918</v>
      </c>
      <c r="F1096" s="5" t="s">
        <v>1919</v>
      </c>
      <c r="AP1096" s="4" t="s">
        <v>376</v>
      </c>
      <c r="AR1096" s="4" t="s">
        <v>377</v>
      </c>
    </row>
    <row r="1097" spans="1:44">
      <c r="A1097" s="4" t="s">
        <v>5</v>
      </c>
      <c r="C1097" s="4">
        <v>1768</v>
      </c>
      <c r="D1097" s="5" t="s">
        <v>93</v>
      </c>
      <c r="E1097" s="6" t="s">
        <v>1920</v>
      </c>
      <c r="AP1097" s="4" t="s">
        <v>376</v>
      </c>
      <c r="AR1097" s="4" t="s">
        <v>377</v>
      </c>
    </row>
    <row r="1098" spans="1:44" ht="30">
      <c r="A1098" s="4" t="s">
        <v>5</v>
      </c>
      <c r="C1098" s="4">
        <v>419</v>
      </c>
      <c r="D1098" s="5" t="s">
        <v>93</v>
      </c>
      <c r="E1098" s="6" t="s">
        <v>1921</v>
      </c>
      <c r="F1098" s="5" t="s">
        <v>1922</v>
      </c>
      <c r="AP1098" s="4" t="s">
        <v>376</v>
      </c>
      <c r="AR1098" s="4" t="s">
        <v>377</v>
      </c>
    </row>
    <row r="1099" spans="1:44">
      <c r="A1099" s="4" t="s">
        <v>5</v>
      </c>
      <c r="C1099" s="4">
        <v>2272</v>
      </c>
      <c r="D1099" s="5" t="s">
        <v>93</v>
      </c>
      <c r="E1099" s="6" t="s">
        <v>1923</v>
      </c>
      <c r="Z1099" s="4" t="s">
        <v>695</v>
      </c>
      <c r="AA1099" s="4" t="s">
        <v>696</v>
      </c>
      <c r="AP1099" s="4" t="s">
        <v>376</v>
      </c>
      <c r="AR1099" s="4" t="s">
        <v>377</v>
      </c>
    </row>
    <row r="1100" spans="1:44" ht="30">
      <c r="A1100" s="4" t="s">
        <v>5</v>
      </c>
      <c r="C1100" s="4">
        <v>1690</v>
      </c>
      <c r="D1100" s="5" t="s">
        <v>93</v>
      </c>
      <c r="E1100" s="6" t="s">
        <v>1924</v>
      </c>
      <c r="AP1100" s="4" t="s">
        <v>376</v>
      </c>
      <c r="AR1100" s="4" t="s">
        <v>377</v>
      </c>
    </row>
    <row r="1101" spans="1:44">
      <c r="A1101" s="4" t="s">
        <v>5</v>
      </c>
      <c r="C1101" s="4">
        <v>1473</v>
      </c>
      <c r="D1101" s="5" t="s">
        <v>93</v>
      </c>
      <c r="E1101" s="6" t="s">
        <v>1925</v>
      </c>
      <c r="F1101" s="5" t="s">
        <v>1926</v>
      </c>
      <c r="Z1101" s="4" t="s">
        <v>447</v>
      </c>
      <c r="AA1101" s="4" t="s">
        <v>448</v>
      </c>
      <c r="AP1101" s="4" t="s">
        <v>376</v>
      </c>
      <c r="AR1101" s="4" t="s">
        <v>377</v>
      </c>
    </row>
    <row r="1102" spans="1:44">
      <c r="A1102" s="4" t="s">
        <v>5</v>
      </c>
      <c r="C1102" s="4">
        <v>394</v>
      </c>
      <c r="D1102" s="5" t="s">
        <v>93</v>
      </c>
      <c r="E1102" s="6" t="s">
        <v>1927</v>
      </c>
      <c r="F1102" s="5" t="s">
        <v>1928</v>
      </c>
      <c r="AP1102" s="4" t="s">
        <v>376</v>
      </c>
      <c r="AR1102" s="4" t="s">
        <v>377</v>
      </c>
    </row>
    <row r="1103" spans="1:44">
      <c r="A1103" s="4" t="s">
        <v>5</v>
      </c>
      <c r="C1103" s="4">
        <v>5355</v>
      </c>
      <c r="D1103" s="5" t="s">
        <v>93</v>
      </c>
      <c r="E1103" s="6" t="s">
        <v>1929</v>
      </c>
      <c r="AP1103" s="4" t="s">
        <v>376</v>
      </c>
      <c r="AR1103" s="4" t="s">
        <v>377</v>
      </c>
    </row>
    <row r="1104" spans="1:44">
      <c r="A1104" s="4" t="s">
        <v>5</v>
      </c>
      <c r="C1104" s="4">
        <v>4431</v>
      </c>
      <c r="D1104" s="5" t="s">
        <v>93</v>
      </c>
      <c r="E1104" s="6" t="s">
        <v>1930</v>
      </c>
      <c r="AP1104" s="4" t="s">
        <v>376</v>
      </c>
      <c r="AR1104" s="4" t="s">
        <v>377</v>
      </c>
    </row>
    <row r="1105" spans="1:44">
      <c r="A1105" s="4" t="s">
        <v>5</v>
      </c>
      <c r="C1105" s="4">
        <v>4331</v>
      </c>
      <c r="D1105" s="5" t="s">
        <v>93</v>
      </c>
      <c r="E1105" s="6" t="s">
        <v>1931</v>
      </c>
      <c r="AP1105" s="4" t="s">
        <v>376</v>
      </c>
      <c r="AR1105" s="4" t="s">
        <v>377</v>
      </c>
    </row>
    <row r="1106" spans="1:44" ht="30">
      <c r="A1106" s="4" t="s">
        <v>5</v>
      </c>
      <c r="C1106" s="4">
        <v>6591</v>
      </c>
      <c r="D1106" s="5" t="s">
        <v>93</v>
      </c>
      <c r="E1106" s="6" t="s">
        <v>1932</v>
      </c>
      <c r="AP1106" s="4" t="s">
        <v>376</v>
      </c>
      <c r="AR1106" s="4" t="s">
        <v>377</v>
      </c>
    </row>
    <row r="1107" spans="1:44">
      <c r="A1107" s="4" t="s">
        <v>5</v>
      </c>
      <c r="C1107" s="4">
        <v>5776</v>
      </c>
      <c r="D1107" s="5" t="s">
        <v>93</v>
      </c>
      <c r="E1107" s="6" t="s">
        <v>1933</v>
      </c>
      <c r="AP1107" s="4" t="s">
        <v>376</v>
      </c>
      <c r="AR1107" s="4" t="s">
        <v>377</v>
      </c>
    </row>
    <row r="1108" spans="1:44">
      <c r="A1108" s="4" t="s">
        <v>5</v>
      </c>
      <c r="C1108" s="4">
        <v>2786</v>
      </c>
      <c r="D1108" s="5" t="s">
        <v>93</v>
      </c>
      <c r="E1108" s="6" t="s">
        <v>1934</v>
      </c>
      <c r="F1108" s="5" t="s">
        <v>1935</v>
      </c>
      <c r="AP1108" s="4" t="s">
        <v>376</v>
      </c>
      <c r="AR1108" s="4" t="s">
        <v>377</v>
      </c>
    </row>
    <row r="1109" spans="1:44">
      <c r="A1109" s="4" t="s">
        <v>5</v>
      </c>
      <c r="C1109" s="4">
        <v>2079</v>
      </c>
      <c r="D1109" s="5" t="s">
        <v>93</v>
      </c>
      <c r="E1109" s="6" t="s">
        <v>1936</v>
      </c>
      <c r="AP1109" s="4" t="s">
        <v>376</v>
      </c>
      <c r="AR1109" s="4" t="s">
        <v>377</v>
      </c>
    </row>
    <row r="1110" spans="1:44">
      <c r="A1110" s="4" t="s">
        <v>5</v>
      </c>
      <c r="C1110" s="4">
        <v>6252</v>
      </c>
      <c r="D1110" s="5" t="s">
        <v>93</v>
      </c>
      <c r="E1110" s="6" t="s">
        <v>1937</v>
      </c>
      <c r="AP1110" s="4" t="s">
        <v>376</v>
      </c>
      <c r="AR1110" s="4" t="s">
        <v>377</v>
      </c>
    </row>
    <row r="1111" spans="1:44" ht="30">
      <c r="A1111" s="4" t="s">
        <v>5</v>
      </c>
      <c r="C1111" s="4">
        <v>2189</v>
      </c>
      <c r="D1111" s="5" t="s">
        <v>93</v>
      </c>
      <c r="E1111" s="6" t="s">
        <v>1938</v>
      </c>
      <c r="AP1111" s="4" t="s">
        <v>376</v>
      </c>
      <c r="AR1111" s="4" t="s">
        <v>377</v>
      </c>
    </row>
    <row r="1112" spans="1:44" ht="30">
      <c r="A1112" s="4" t="s">
        <v>5</v>
      </c>
      <c r="C1112" s="4">
        <v>2666</v>
      </c>
      <c r="D1112" s="5" t="s">
        <v>93</v>
      </c>
      <c r="E1112" s="6" t="s">
        <v>1939</v>
      </c>
      <c r="F1112" s="5" t="s">
        <v>1940</v>
      </c>
      <c r="AP1112" s="4" t="s">
        <v>376</v>
      </c>
      <c r="AR1112" s="4" t="s">
        <v>377</v>
      </c>
    </row>
    <row r="1113" spans="1:44">
      <c r="A1113" s="4" t="s">
        <v>5</v>
      </c>
      <c r="C1113" s="4">
        <v>5223</v>
      </c>
      <c r="D1113" s="5" t="s">
        <v>93</v>
      </c>
      <c r="E1113" s="6" t="s">
        <v>1941</v>
      </c>
      <c r="F1113" s="5" t="s">
        <v>1942</v>
      </c>
      <c r="AP1113" s="4" t="s">
        <v>376</v>
      </c>
      <c r="AR1113" s="4" t="s">
        <v>377</v>
      </c>
    </row>
    <row r="1114" spans="1:44">
      <c r="A1114" s="4" t="s">
        <v>5</v>
      </c>
      <c r="C1114" s="4">
        <v>1540</v>
      </c>
      <c r="D1114" s="5" t="s">
        <v>93</v>
      </c>
      <c r="E1114" s="6" t="s">
        <v>1943</v>
      </c>
      <c r="F1114" s="5" t="s">
        <v>1944</v>
      </c>
      <c r="AP1114" s="4" t="s">
        <v>376</v>
      </c>
      <c r="AR1114" s="4" t="s">
        <v>377</v>
      </c>
    </row>
    <row r="1115" spans="1:44">
      <c r="A1115" s="4" t="s">
        <v>5</v>
      </c>
      <c r="C1115" s="4">
        <v>324</v>
      </c>
      <c r="D1115" s="5" t="s">
        <v>93</v>
      </c>
      <c r="E1115" s="6" t="s">
        <v>1945</v>
      </c>
      <c r="F1115" s="5" t="s">
        <v>1946</v>
      </c>
      <c r="AP1115" s="4" t="s">
        <v>376</v>
      </c>
      <c r="AR1115" s="4" t="s">
        <v>377</v>
      </c>
    </row>
    <row r="1116" spans="1:44">
      <c r="A1116" s="4" t="s">
        <v>5</v>
      </c>
      <c r="C1116" s="4">
        <v>3674</v>
      </c>
      <c r="D1116" s="5" t="s">
        <v>93</v>
      </c>
      <c r="E1116" s="6" t="s">
        <v>1947</v>
      </c>
      <c r="F1116" s="5" t="s">
        <v>1948</v>
      </c>
      <c r="Z1116" s="4" t="s">
        <v>443</v>
      </c>
      <c r="AA1116" s="4" t="s">
        <v>444</v>
      </c>
      <c r="AP1116" s="4" t="s">
        <v>376</v>
      </c>
      <c r="AR1116" s="4" t="s">
        <v>377</v>
      </c>
    </row>
    <row r="1117" spans="1:44">
      <c r="A1117" s="4" t="s">
        <v>5</v>
      </c>
      <c r="C1117" s="4">
        <v>5941</v>
      </c>
      <c r="D1117" s="5" t="s">
        <v>93</v>
      </c>
      <c r="E1117" s="6" t="s">
        <v>1949</v>
      </c>
      <c r="AP1117" s="4" t="s">
        <v>376</v>
      </c>
      <c r="AR1117" s="4" t="s">
        <v>377</v>
      </c>
    </row>
    <row r="1118" spans="1:44">
      <c r="A1118" s="4" t="s">
        <v>5</v>
      </c>
      <c r="C1118" s="4">
        <v>323</v>
      </c>
      <c r="D1118" s="5" t="s">
        <v>93</v>
      </c>
      <c r="E1118" s="6" t="s">
        <v>1950</v>
      </c>
      <c r="F1118" s="5" t="s">
        <v>1951</v>
      </c>
      <c r="AP1118" s="4" t="s">
        <v>376</v>
      </c>
      <c r="AR1118" s="4" t="s">
        <v>377</v>
      </c>
    </row>
    <row r="1119" spans="1:44" ht="30">
      <c r="A1119" s="4" t="s">
        <v>5</v>
      </c>
      <c r="C1119" s="4">
        <v>2900</v>
      </c>
      <c r="D1119" s="5" t="s">
        <v>93</v>
      </c>
      <c r="E1119" s="6" t="s">
        <v>1952</v>
      </c>
      <c r="AP1119" s="4" t="s">
        <v>376</v>
      </c>
      <c r="AR1119" s="4" t="s">
        <v>377</v>
      </c>
    </row>
    <row r="1120" spans="1:44" ht="30">
      <c r="A1120" s="4" t="s">
        <v>5</v>
      </c>
      <c r="C1120" s="4">
        <v>4761</v>
      </c>
      <c r="D1120" s="5" t="s">
        <v>93</v>
      </c>
      <c r="E1120" s="6" t="s">
        <v>1953</v>
      </c>
      <c r="AP1120" s="4" t="s">
        <v>376</v>
      </c>
      <c r="AR1120" s="4" t="s">
        <v>377</v>
      </c>
    </row>
    <row r="1121" spans="1:44" ht="30">
      <c r="A1121" s="4" t="s">
        <v>5</v>
      </c>
      <c r="C1121" s="4">
        <v>6583</v>
      </c>
      <c r="D1121" s="5" t="s">
        <v>93</v>
      </c>
      <c r="E1121" s="6" t="s">
        <v>1954</v>
      </c>
      <c r="AP1121" s="4" t="s">
        <v>376</v>
      </c>
      <c r="AR1121" s="4" t="s">
        <v>377</v>
      </c>
    </row>
    <row r="1122" spans="1:44">
      <c r="A1122" s="4" t="s">
        <v>5</v>
      </c>
      <c r="C1122" s="4">
        <v>6803</v>
      </c>
      <c r="D1122" s="5" t="s">
        <v>93</v>
      </c>
      <c r="E1122" s="6" t="s">
        <v>1955</v>
      </c>
      <c r="AP1122" s="4" t="s">
        <v>376</v>
      </c>
      <c r="AR1122" s="4" t="s">
        <v>377</v>
      </c>
    </row>
    <row r="1123" spans="1:44" ht="30">
      <c r="A1123" s="4" t="s">
        <v>5</v>
      </c>
      <c r="C1123" s="4">
        <v>3622</v>
      </c>
      <c r="D1123" s="5" t="s">
        <v>93</v>
      </c>
      <c r="E1123" s="6" t="s">
        <v>1956</v>
      </c>
      <c r="F1123" s="5" t="s">
        <v>1957</v>
      </c>
      <c r="AP1123" s="4" t="s">
        <v>376</v>
      </c>
      <c r="AR1123" s="4" t="s">
        <v>377</v>
      </c>
    </row>
    <row r="1124" spans="1:44" ht="30">
      <c r="A1124" s="4" t="s">
        <v>5</v>
      </c>
      <c r="C1124" s="4">
        <v>719</v>
      </c>
      <c r="D1124" s="5" t="s">
        <v>93</v>
      </c>
      <c r="E1124" s="6" t="s">
        <v>1958</v>
      </c>
      <c r="F1124" s="5" t="s">
        <v>1959</v>
      </c>
      <c r="AP1124" s="4" t="s">
        <v>376</v>
      </c>
      <c r="AR1124" s="4" t="s">
        <v>377</v>
      </c>
    </row>
    <row r="1125" spans="1:44">
      <c r="A1125" s="4" t="s">
        <v>5</v>
      </c>
      <c r="C1125" s="4">
        <v>1426</v>
      </c>
      <c r="D1125" s="5" t="s">
        <v>93</v>
      </c>
      <c r="E1125" s="6" t="s">
        <v>1960</v>
      </c>
      <c r="F1125" s="5" t="s">
        <v>1961</v>
      </c>
      <c r="AP1125" s="4" t="s">
        <v>376</v>
      </c>
      <c r="AR1125" s="4" t="s">
        <v>377</v>
      </c>
    </row>
    <row r="1126" spans="1:44">
      <c r="A1126" s="4" t="s">
        <v>5</v>
      </c>
      <c r="C1126" s="4">
        <v>1235</v>
      </c>
      <c r="D1126" s="5" t="s">
        <v>93</v>
      </c>
      <c r="E1126" s="6" t="s">
        <v>1962</v>
      </c>
      <c r="AP1126" s="4" t="s">
        <v>376</v>
      </c>
      <c r="AR1126" s="4" t="s">
        <v>377</v>
      </c>
    </row>
    <row r="1127" spans="1:44" ht="30">
      <c r="A1127" s="4" t="s">
        <v>5</v>
      </c>
      <c r="C1127" s="4">
        <v>6971</v>
      </c>
      <c r="D1127" s="5" t="s">
        <v>93</v>
      </c>
      <c r="E1127" s="6" t="s">
        <v>1963</v>
      </c>
      <c r="AP1127" s="4" t="s">
        <v>376</v>
      </c>
      <c r="AR1127" s="4" t="s">
        <v>377</v>
      </c>
    </row>
    <row r="1128" spans="1:44">
      <c r="A1128" s="4" t="s">
        <v>5</v>
      </c>
      <c r="C1128" s="4">
        <v>4187</v>
      </c>
      <c r="D1128" s="5" t="s">
        <v>93</v>
      </c>
      <c r="E1128" s="6" t="s">
        <v>1964</v>
      </c>
      <c r="AP1128" s="4" t="s">
        <v>376</v>
      </c>
      <c r="AR1128" s="4" t="s">
        <v>377</v>
      </c>
    </row>
    <row r="1129" spans="1:44">
      <c r="A1129" s="4" t="s">
        <v>5</v>
      </c>
      <c r="C1129" s="4">
        <v>3255</v>
      </c>
      <c r="D1129" s="5" t="s">
        <v>93</v>
      </c>
      <c r="E1129" s="6" t="s">
        <v>1965</v>
      </c>
      <c r="F1129" s="5" t="s">
        <v>1966</v>
      </c>
      <c r="Z1129" s="4" t="s">
        <v>447</v>
      </c>
      <c r="AA1129" s="4" t="s">
        <v>448</v>
      </c>
      <c r="AP1129" s="4" t="s">
        <v>376</v>
      </c>
      <c r="AR1129" s="4" t="s">
        <v>377</v>
      </c>
    </row>
    <row r="1130" spans="1:44" ht="30">
      <c r="A1130" s="4" t="s">
        <v>5</v>
      </c>
      <c r="C1130" s="4">
        <v>133</v>
      </c>
      <c r="D1130" s="5" t="s">
        <v>93</v>
      </c>
      <c r="E1130" s="6" t="s">
        <v>1967</v>
      </c>
      <c r="F1130" s="5" t="s">
        <v>1968</v>
      </c>
      <c r="Z1130" s="4" t="s">
        <v>512</v>
      </c>
      <c r="AA1130" s="4" t="s">
        <v>513</v>
      </c>
      <c r="AP1130" s="4" t="s">
        <v>376</v>
      </c>
      <c r="AR1130" s="4" t="s">
        <v>377</v>
      </c>
    </row>
    <row r="1131" spans="1:44">
      <c r="A1131" s="4" t="s">
        <v>5</v>
      </c>
      <c r="C1131" s="4">
        <v>6270</v>
      </c>
      <c r="D1131" s="5" t="s">
        <v>93</v>
      </c>
      <c r="E1131" s="6" t="s">
        <v>1969</v>
      </c>
      <c r="AP1131" s="4" t="s">
        <v>376</v>
      </c>
      <c r="AR1131" s="4" t="s">
        <v>377</v>
      </c>
    </row>
    <row r="1132" spans="1:44" ht="30">
      <c r="A1132" s="4" t="s">
        <v>5</v>
      </c>
      <c r="C1132" s="4">
        <v>3336</v>
      </c>
      <c r="D1132" s="5" t="s">
        <v>93</v>
      </c>
      <c r="E1132" s="6" t="s">
        <v>1970</v>
      </c>
      <c r="Z1132" s="4" t="s">
        <v>443</v>
      </c>
      <c r="AA1132" s="4" t="s">
        <v>444</v>
      </c>
      <c r="AP1132" s="4" t="s">
        <v>376</v>
      </c>
      <c r="AR1132" s="4" t="s">
        <v>377</v>
      </c>
    </row>
    <row r="1133" spans="1:44">
      <c r="A1133" s="4" t="s">
        <v>5</v>
      </c>
      <c r="C1133" s="4">
        <v>1512</v>
      </c>
      <c r="D1133" s="5" t="s">
        <v>93</v>
      </c>
      <c r="E1133" s="6" t="s">
        <v>1971</v>
      </c>
      <c r="AP1133" s="4" t="s">
        <v>376</v>
      </c>
      <c r="AR1133" s="4" t="s">
        <v>377</v>
      </c>
    </row>
    <row r="1134" spans="1:44">
      <c r="A1134" s="4" t="s">
        <v>5</v>
      </c>
      <c r="C1134" s="4">
        <v>757</v>
      </c>
      <c r="D1134" s="5" t="s">
        <v>93</v>
      </c>
      <c r="E1134" s="6" t="s">
        <v>1972</v>
      </c>
      <c r="AP1134" s="4" t="s">
        <v>376</v>
      </c>
      <c r="AR1134" s="4" t="s">
        <v>377</v>
      </c>
    </row>
    <row r="1135" spans="1:44">
      <c r="A1135" s="4" t="s">
        <v>5</v>
      </c>
      <c r="C1135" s="4">
        <v>4401</v>
      </c>
      <c r="D1135" s="5" t="s">
        <v>93</v>
      </c>
      <c r="E1135" s="6" t="s">
        <v>1973</v>
      </c>
      <c r="AP1135" s="4" t="s">
        <v>376</v>
      </c>
      <c r="AR1135" s="4" t="s">
        <v>377</v>
      </c>
    </row>
    <row r="1136" spans="1:44">
      <c r="A1136" s="4" t="s">
        <v>5</v>
      </c>
      <c r="C1136" s="4">
        <v>441</v>
      </c>
      <c r="D1136" s="5" t="s">
        <v>93</v>
      </c>
      <c r="E1136" s="6" t="s">
        <v>1974</v>
      </c>
      <c r="F1136" s="5" t="s">
        <v>1975</v>
      </c>
      <c r="AP1136" s="4" t="s">
        <v>376</v>
      </c>
      <c r="AR1136" s="4" t="s">
        <v>377</v>
      </c>
    </row>
    <row r="1137" spans="1:44" ht="30">
      <c r="A1137" s="4" t="s">
        <v>5</v>
      </c>
      <c r="C1137" s="4">
        <v>752</v>
      </c>
      <c r="D1137" s="5" t="s">
        <v>93</v>
      </c>
      <c r="E1137" s="6" t="s">
        <v>1976</v>
      </c>
      <c r="F1137" s="5" t="s">
        <v>1977</v>
      </c>
      <c r="Z1137" s="4" t="s">
        <v>695</v>
      </c>
      <c r="AA1137" s="4" t="s">
        <v>696</v>
      </c>
      <c r="AP1137" s="4" t="s">
        <v>376</v>
      </c>
      <c r="AR1137" s="4" t="s">
        <v>377</v>
      </c>
    </row>
    <row r="1138" spans="1:44">
      <c r="A1138" s="4" t="s">
        <v>5</v>
      </c>
      <c r="C1138" s="4">
        <v>5308</v>
      </c>
      <c r="D1138" s="5" t="s">
        <v>93</v>
      </c>
      <c r="E1138" s="6" t="s">
        <v>1978</v>
      </c>
      <c r="F1138" s="5" t="s">
        <v>1979</v>
      </c>
      <c r="Z1138" s="4" t="s">
        <v>512</v>
      </c>
      <c r="AA1138" s="4" t="s">
        <v>513</v>
      </c>
      <c r="AP1138" s="4" t="s">
        <v>376</v>
      </c>
      <c r="AR1138" s="4" t="s">
        <v>377</v>
      </c>
    </row>
    <row r="1139" spans="1:44" ht="60">
      <c r="A1139" s="4" t="s">
        <v>5</v>
      </c>
      <c r="C1139" s="4">
        <v>5613</v>
      </c>
      <c r="D1139" s="5" t="s">
        <v>93</v>
      </c>
      <c r="E1139" s="6" t="s">
        <v>1980</v>
      </c>
      <c r="F1139" s="5" t="s">
        <v>1981</v>
      </c>
      <c r="Z1139" s="4" t="s">
        <v>447</v>
      </c>
      <c r="AA1139" s="4" t="s">
        <v>448</v>
      </c>
      <c r="AP1139" s="4" t="s">
        <v>376</v>
      </c>
      <c r="AR1139" s="4" t="s">
        <v>377</v>
      </c>
    </row>
    <row r="1140" spans="1:44" ht="30">
      <c r="A1140" s="4" t="s">
        <v>5</v>
      </c>
      <c r="C1140" s="4">
        <v>3914</v>
      </c>
      <c r="D1140" s="5" t="s">
        <v>93</v>
      </c>
      <c r="E1140" s="6" t="s">
        <v>1982</v>
      </c>
      <c r="F1140" s="5" t="s">
        <v>1983</v>
      </c>
      <c r="Z1140" s="4" t="s">
        <v>447</v>
      </c>
      <c r="AA1140" s="4" t="s">
        <v>448</v>
      </c>
      <c r="AP1140" s="4" t="s">
        <v>376</v>
      </c>
      <c r="AR1140" s="4" t="s">
        <v>377</v>
      </c>
    </row>
    <row r="1141" spans="1:44">
      <c r="A1141" s="4" t="s">
        <v>5</v>
      </c>
      <c r="C1141" s="4">
        <v>2021</v>
      </c>
      <c r="D1141" s="5" t="s">
        <v>93</v>
      </c>
      <c r="E1141" s="6" t="s">
        <v>1984</v>
      </c>
      <c r="F1141" s="5" t="s">
        <v>1985</v>
      </c>
      <c r="Z1141" s="4" t="s">
        <v>447</v>
      </c>
      <c r="AA1141" s="4" t="s">
        <v>448</v>
      </c>
      <c r="AP1141" s="4" t="s">
        <v>376</v>
      </c>
      <c r="AR1141" s="4" t="s">
        <v>377</v>
      </c>
    </row>
    <row r="1142" spans="1:44" ht="30">
      <c r="A1142" s="4" t="s">
        <v>5</v>
      </c>
      <c r="C1142" s="4">
        <v>167</v>
      </c>
      <c r="D1142" s="5" t="s">
        <v>93</v>
      </c>
      <c r="E1142" s="6" t="s">
        <v>1986</v>
      </c>
      <c r="F1142" s="5" t="s">
        <v>1987</v>
      </c>
      <c r="AP1142" s="4" t="s">
        <v>376</v>
      </c>
      <c r="AR1142" s="4" t="s">
        <v>377</v>
      </c>
    </row>
    <row r="1143" spans="1:44">
      <c r="A1143" s="4" t="s">
        <v>5</v>
      </c>
      <c r="C1143" s="4">
        <v>1490</v>
      </c>
      <c r="D1143" s="5" t="s">
        <v>93</v>
      </c>
      <c r="E1143" s="6" t="s">
        <v>1988</v>
      </c>
      <c r="AP1143" s="4" t="s">
        <v>376</v>
      </c>
      <c r="AR1143" s="4" t="s">
        <v>377</v>
      </c>
    </row>
    <row r="1144" spans="1:44" ht="30">
      <c r="A1144" s="4" t="s">
        <v>5</v>
      </c>
      <c r="C1144" s="4">
        <v>6501</v>
      </c>
      <c r="D1144" s="5" t="s">
        <v>93</v>
      </c>
      <c r="E1144" s="6" t="s">
        <v>1989</v>
      </c>
      <c r="AP1144" s="4" t="s">
        <v>376</v>
      </c>
      <c r="AR1144" s="4" t="s">
        <v>377</v>
      </c>
    </row>
    <row r="1145" spans="1:44">
      <c r="A1145" s="4" t="s">
        <v>5</v>
      </c>
      <c r="C1145" s="4">
        <v>3511</v>
      </c>
      <c r="D1145" s="5" t="s">
        <v>93</v>
      </c>
      <c r="E1145" s="6" t="s">
        <v>1990</v>
      </c>
      <c r="AP1145" s="4" t="s">
        <v>376</v>
      </c>
      <c r="AR1145" s="4" t="s">
        <v>377</v>
      </c>
    </row>
    <row r="1146" spans="1:44">
      <c r="A1146" s="4" t="s">
        <v>5</v>
      </c>
      <c r="C1146" s="4">
        <v>2768</v>
      </c>
      <c r="D1146" s="5" t="s">
        <v>93</v>
      </c>
      <c r="E1146" s="6" t="s">
        <v>1991</v>
      </c>
      <c r="AP1146" s="4" t="s">
        <v>376</v>
      </c>
      <c r="AR1146" s="4" t="s">
        <v>377</v>
      </c>
    </row>
    <row r="1147" spans="1:44">
      <c r="A1147" s="4" t="s">
        <v>5</v>
      </c>
      <c r="C1147" s="4">
        <v>6708</v>
      </c>
      <c r="D1147" s="5" t="s">
        <v>93</v>
      </c>
      <c r="E1147" s="6" t="s">
        <v>1992</v>
      </c>
      <c r="AP1147" s="4" t="s">
        <v>376</v>
      </c>
      <c r="AR1147" s="4" t="s">
        <v>377</v>
      </c>
    </row>
    <row r="1148" spans="1:44">
      <c r="A1148" s="4" t="s">
        <v>5</v>
      </c>
      <c r="C1148" s="4">
        <v>2540</v>
      </c>
      <c r="D1148" s="5" t="s">
        <v>93</v>
      </c>
      <c r="E1148" s="6" t="s">
        <v>1993</v>
      </c>
      <c r="AP1148" s="4" t="s">
        <v>376</v>
      </c>
      <c r="AR1148" s="4" t="s">
        <v>377</v>
      </c>
    </row>
    <row r="1149" spans="1:44">
      <c r="A1149" s="4" t="s">
        <v>5</v>
      </c>
      <c r="C1149" s="4">
        <v>1684</v>
      </c>
      <c r="D1149" s="5" t="s">
        <v>93</v>
      </c>
      <c r="E1149" s="6" t="s">
        <v>1994</v>
      </c>
      <c r="AP1149" s="4" t="s">
        <v>376</v>
      </c>
      <c r="AR1149" s="4" t="s">
        <v>377</v>
      </c>
    </row>
    <row r="1150" spans="1:44">
      <c r="A1150" s="4" t="s">
        <v>5</v>
      </c>
      <c r="C1150" s="4">
        <v>1268</v>
      </c>
      <c r="D1150" s="5" t="s">
        <v>93</v>
      </c>
      <c r="E1150" s="6" t="s">
        <v>1995</v>
      </c>
      <c r="F1150" s="5" t="s">
        <v>1996</v>
      </c>
      <c r="AP1150" s="4" t="s">
        <v>376</v>
      </c>
      <c r="AR1150" s="4" t="s">
        <v>377</v>
      </c>
    </row>
    <row r="1151" spans="1:44">
      <c r="A1151" s="4" t="s">
        <v>5</v>
      </c>
      <c r="C1151" s="4">
        <v>5057</v>
      </c>
      <c r="D1151" s="5" t="s">
        <v>93</v>
      </c>
      <c r="E1151" s="6" t="s">
        <v>1997</v>
      </c>
      <c r="AP1151" s="4" t="s">
        <v>376</v>
      </c>
      <c r="AR1151" s="4" t="s">
        <v>377</v>
      </c>
    </row>
    <row r="1152" spans="1:44" ht="30">
      <c r="A1152" s="4" t="s">
        <v>5</v>
      </c>
      <c r="C1152" s="4">
        <v>5863</v>
      </c>
      <c r="D1152" s="5" t="s">
        <v>93</v>
      </c>
      <c r="E1152" s="6" t="s">
        <v>1998</v>
      </c>
      <c r="Z1152" s="4" t="s">
        <v>447</v>
      </c>
      <c r="AA1152" s="4" t="s">
        <v>448</v>
      </c>
      <c r="AP1152" s="4" t="s">
        <v>376</v>
      </c>
      <c r="AR1152" s="4" t="s">
        <v>377</v>
      </c>
    </row>
    <row r="1153" spans="1:44">
      <c r="A1153" s="4" t="s">
        <v>5</v>
      </c>
      <c r="C1153" s="4">
        <v>2992</v>
      </c>
      <c r="D1153" s="5" t="s">
        <v>93</v>
      </c>
      <c r="E1153" s="6" t="s">
        <v>1999</v>
      </c>
      <c r="F1153" s="5" t="s">
        <v>2000</v>
      </c>
      <c r="Z1153" s="4" t="s">
        <v>443</v>
      </c>
      <c r="AA1153" s="4" t="s">
        <v>444</v>
      </c>
      <c r="AP1153" s="4" t="s">
        <v>376</v>
      </c>
      <c r="AR1153" s="4" t="s">
        <v>377</v>
      </c>
    </row>
    <row r="1154" spans="1:44" ht="30">
      <c r="A1154" s="4" t="s">
        <v>5</v>
      </c>
      <c r="C1154" s="4">
        <v>2393</v>
      </c>
      <c r="D1154" s="5" t="s">
        <v>93</v>
      </c>
      <c r="E1154" s="6" t="s">
        <v>2001</v>
      </c>
      <c r="F1154" s="5" t="s">
        <v>2002</v>
      </c>
      <c r="AP1154" s="4" t="s">
        <v>376</v>
      </c>
      <c r="AR1154" s="4" t="s">
        <v>377</v>
      </c>
    </row>
    <row r="1155" spans="1:44">
      <c r="A1155" s="4" t="s">
        <v>5</v>
      </c>
      <c r="C1155" s="4">
        <v>2678</v>
      </c>
      <c r="D1155" s="5" t="s">
        <v>93</v>
      </c>
      <c r="E1155" s="6" t="s">
        <v>2003</v>
      </c>
      <c r="Z1155" s="4" t="s">
        <v>443</v>
      </c>
      <c r="AA1155" s="4" t="s">
        <v>444</v>
      </c>
      <c r="AP1155" s="4" t="s">
        <v>376</v>
      </c>
      <c r="AR1155" s="4" t="s">
        <v>377</v>
      </c>
    </row>
    <row r="1156" spans="1:44" ht="30">
      <c r="A1156" s="4" t="s">
        <v>5</v>
      </c>
      <c r="C1156" s="4">
        <v>3096</v>
      </c>
      <c r="D1156" s="5" t="s">
        <v>93</v>
      </c>
      <c r="E1156" s="6" t="s">
        <v>2004</v>
      </c>
      <c r="AP1156" s="4" t="s">
        <v>376</v>
      </c>
      <c r="AR1156" s="4" t="s">
        <v>377</v>
      </c>
    </row>
    <row r="1157" spans="1:44">
      <c r="A1157" s="4" t="s">
        <v>5</v>
      </c>
      <c r="C1157" s="4">
        <v>5781</v>
      </c>
      <c r="D1157" s="5" t="s">
        <v>93</v>
      </c>
      <c r="E1157" s="6" t="s">
        <v>2005</v>
      </c>
      <c r="AP1157" s="4" t="s">
        <v>376</v>
      </c>
      <c r="AR1157" s="4" t="s">
        <v>377</v>
      </c>
    </row>
    <row r="1158" spans="1:44">
      <c r="A1158" s="4" t="s">
        <v>5</v>
      </c>
      <c r="C1158" s="4">
        <v>6565</v>
      </c>
      <c r="D1158" s="5" t="s">
        <v>93</v>
      </c>
      <c r="E1158" s="6" t="s">
        <v>2006</v>
      </c>
      <c r="F1158" s="5" t="s">
        <v>2007</v>
      </c>
      <c r="AP1158" s="4" t="s">
        <v>376</v>
      </c>
      <c r="AR1158" s="4" t="s">
        <v>377</v>
      </c>
    </row>
    <row r="1159" spans="1:44" ht="30">
      <c r="A1159" s="4" t="s">
        <v>5</v>
      </c>
      <c r="C1159" s="4">
        <v>578</v>
      </c>
      <c r="D1159" s="5" t="s">
        <v>93</v>
      </c>
      <c r="E1159" s="6" t="s">
        <v>2008</v>
      </c>
      <c r="F1159" s="5" t="s">
        <v>2009</v>
      </c>
      <c r="AP1159" s="4" t="s">
        <v>376</v>
      </c>
      <c r="AR1159" s="4" t="s">
        <v>377</v>
      </c>
    </row>
    <row r="1160" spans="1:44" ht="30">
      <c r="A1160" s="4" t="s">
        <v>5</v>
      </c>
      <c r="C1160" s="4">
        <v>1383</v>
      </c>
      <c r="D1160" s="5" t="s">
        <v>93</v>
      </c>
      <c r="E1160" s="6" t="s">
        <v>2010</v>
      </c>
      <c r="F1160" s="5" t="s">
        <v>2011</v>
      </c>
      <c r="Z1160" s="4" t="s">
        <v>695</v>
      </c>
      <c r="AA1160" s="4" t="s">
        <v>696</v>
      </c>
      <c r="AP1160" s="4" t="s">
        <v>376</v>
      </c>
      <c r="AR1160" s="4" t="s">
        <v>377</v>
      </c>
    </row>
    <row r="1161" spans="1:44">
      <c r="A1161" s="4" t="s">
        <v>5</v>
      </c>
      <c r="C1161" s="4">
        <v>2633</v>
      </c>
      <c r="D1161" s="5" t="s">
        <v>93</v>
      </c>
      <c r="E1161" s="6" t="s">
        <v>2012</v>
      </c>
      <c r="F1161" s="5" t="s">
        <v>2013</v>
      </c>
      <c r="AP1161" s="4" t="s">
        <v>376</v>
      </c>
      <c r="AR1161" s="4" t="s">
        <v>377</v>
      </c>
    </row>
    <row r="1162" spans="1:44" ht="30">
      <c r="A1162" s="4" t="s">
        <v>5</v>
      </c>
      <c r="C1162" s="4">
        <v>4215</v>
      </c>
      <c r="D1162" s="5" t="s">
        <v>93</v>
      </c>
      <c r="E1162" s="6" t="s">
        <v>2014</v>
      </c>
      <c r="AP1162" s="4" t="s">
        <v>376</v>
      </c>
      <c r="AR1162" s="4" t="s">
        <v>377</v>
      </c>
    </row>
    <row r="1163" spans="1:44">
      <c r="A1163" s="4" t="s">
        <v>5</v>
      </c>
      <c r="C1163" s="4">
        <v>6825</v>
      </c>
      <c r="D1163" s="5" t="s">
        <v>93</v>
      </c>
      <c r="E1163" s="6" t="s">
        <v>2015</v>
      </c>
      <c r="AP1163" s="4" t="s">
        <v>376</v>
      </c>
      <c r="AR1163" s="4" t="s">
        <v>377</v>
      </c>
    </row>
    <row r="1164" spans="1:44">
      <c r="A1164" s="4" t="s">
        <v>5</v>
      </c>
      <c r="C1164" s="4">
        <v>1156</v>
      </c>
      <c r="D1164" s="5" t="s">
        <v>93</v>
      </c>
      <c r="E1164" s="6" t="s">
        <v>2016</v>
      </c>
      <c r="F1164" s="5" t="s">
        <v>2017</v>
      </c>
      <c r="Z1164" s="4" t="s">
        <v>447</v>
      </c>
      <c r="AA1164" s="4" t="s">
        <v>448</v>
      </c>
      <c r="AP1164" s="4" t="s">
        <v>376</v>
      </c>
      <c r="AR1164" s="4" t="s">
        <v>377</v>
      </c>
    </row>
    <row r="1165" spans="1:44">
      <c r="A1165" s="4" t="s">
        <v>5</v>
      </c>
      <c r="C1165" s="4">
        <v>3272</v>
      </c>
      <c r="D1165" s="5" t="s">
        <v>93</v>
      </c>
      <c r="E1165" s="6" t="s">
        <v>2018</v>
      </c>
      <c r="F1165" s="5" t="s">
        <v>2019</v>
      </c>
      <c r="Z1165" s="4" t="s">
        <v>443</v>
      </c>
      <c r="AA1165" s="4" t="s">
        <v>444</v>
      </c>
      <c r="AP1165" s="4" t="s">
        <v>376</v>
      </c>
      <c r="AR1165" s="4" t="s">
        <v>377</v>
      </c>
    </row>
    <row r="1166" spans="1:44" ht="30">
      <c r="A1166" s="4" t="s">
        <v>5</v>
      </c>
      <c r="C1166" s="4">
        <v>6689</v>
      </c>
      <c r="D1166" s="5" t="s">
        <v>93</v>
      </c>
      <c r="E1166" s="6" t="s">
        <v>2020</v>
      </c>
      <c r="AP1166" s="4" t="s">
        <v>376</v>
      </c>
      <c r="AR1166" s="4" t="s">
        <v>377</v>
      </c>
    </row>
    <row r="1167" spans="1:44">
      <c r="A1167" s="4" t="s">
        <v>5</v>
      </c>
      <c r="C1167" s="4">
        <v>1582</v>
      </c>
      <c r="D1167" s="5" t="s">
        <v>93</v>
      </c>
      <c r="E1167" s="6" t="s">
        <v>2021</v>
      </c>
      <c r="AP1167" s="4" t="s">
        <v>376</v>
      </c>
      <c r="AR1167" s="4" t="s">
        <v>377</v>
      </c>
    </row>
    <row r="1168" spans="1:44" ht="30">
      <c r="A1168" s="4" t="s">
        <v>5</v>
      </c>
      <c r="C1168" s="4">
        <v>1274</v>
      </c>
      <c r="D1168" s="5" t="s">
        <v>93</v>
      </c>
      <c r="E1168" s="6" t="s">
        <v>2022</v>
      </c>
      <c r="F1168" s="5" t="s">
        <v>2023</v>
      </c>
      <c r="Z1168" s="4" t="s">
        <v>447</v>
      </c>
      <c r="AA1168" s="4" t="s">
        <v>448</v>
      </c>
      <c r="AP1168" s="4" t="s">
        <v>376</v>
      </c>
      <c r="AR1168" s="4" t="s">
        <v>377</v>
      </c>
    </row>
    <row r="1169" spans="1:44">
      <c r="A1169" s="4" t="s">
        <v>5</v>
      </c>
      <c r="C1169" s="4">
        <v>3977</v>
      </c>
      <c r="D1169" s="5" t="s">
        <v>93</v>
      </c>
      <c r="E1169" s="6" t="s">
        <v>2024</v>
      </c>
      <c r="AP1169" s="4" t="s">
        <v>376</v>
      </c>
      <c r="AR1169" s="4" t="s">
        <v>377</v>
      </c>
    </row>
    <row r="1170" spans="1:44">
      <c r="A1170" s="4" t="s">
        <v>5</v>
      </c>
      <c r="C1170" s="4">
        <v>4458</v>
      </c>
      <c r="D1170" s="5" t="s">
        <v>93</v>
      </c>
      <c r="E1170" s="6" t="s">
        <v>2025</v>
      </c>
      <c r="F1170" s="5" t="s">
        <v>2026</v>
      </c>
      <c r="AP1170" s="4" t="s">
        <v>376</v>
      </c>
      <c r="AR1170" s="4" t="s">
        <v>377</v>
      </c>
    </row>
    <row r="1171" spans="1:44">
      <c r="A1171" s="4" t="s">
        <v>5</v>
      </c>
      <c r="C1171" s="4">
        <v>910</v>
      </c>
      <c r="D1171" s="5" t="s">
        <v>93</v>
      </c>
      <c r="E1171" s="6" t="s">
        <v>2027</v>
      </c>
      <c r="AP1171" s="4" t="s">
        <v>376</v>
      </c>
      <c r="AR1171" s="4" t="s">
        <v>377</v>
      </c>
    </row>
    <row r="1172" spans="1:44">
      <c r="A1172" s="4" t="s">
        <v>5</v>
      </c>
      <c r="C1172" s="4">
        <v>4012</v>
      </c>
      <c r="D1172" s="5" t="s">
        <v>93</v>
      </c>
      <c r="E1172" s="6" t="s">
        <v>2028</v>
      </c>
      <c r="AP1172" s="4" t="s">
        <v>376</v>
      </c>
      <c r="AR1172" s="4" t="s">
        <v>377</v>
      </c>
    </row>
    <row r="1173" spans="1:44">
      <c r="A1173" s="4" t="s">
        <v>5</v>
      </c>
      <c r="C1173" s="4">
        <v>6965</v>
      </c>
      <c r="D1173" s="5" t="s">
        <v>93</v>
      </c>
      <c r="E1173" s="6" t="s">
        <v>2029</v>
      </c>
      <c r="AP1173" s="4" t="s">
        <v>376</v>
      </c>
      <c r="AR1173" s="4" t="s">
        <v>377</v>
      </c>
    </row>
    <row r="1174" spans="1:44">
      <c r="A1174" s="4" t="s">
        <v>5</v>
      </c>
      <c r="C1174" s="4">
        <v>682</v>
      </c>
      <c r="D1174" s="5" t="s">
        <v>93</v>
      </c>
      <c r="E1174" s="6" t="s">
        <v>2030</v>
      </c>
      <c r="F1174" s="5" t="s">
        <v>2031</v>
      </c>
      <c r="Z1174" s="4" t="s">
        <v>695</v>
      </c>
      <c r="AA1174" s="4" t="s">
        <v>696</v>
      </c>
      <c r="AP1174" s="4" t="s">
        <v>376</v>
      </c>
      <c r="AR1174" s="4" t="s">
        <v>377</v>
      </c>
    </row>
    <row r="1175" spans="1:44" ht="30">
      <c r="A1175" s="4" t="s">
        <v>5</v>
      </c>
      <c r="C1175" s="4">
        <v>6059</v>
      </c>
      <c r="D1175" s="5" t="s">
        <v>93</v>
      </c>
      <c r="E1175" s="6" t="s">
        <v>2032</v>
      </c>
      <c r="AP1175" s="4" t="s">
        <v>376</v>
      </c>
      <c r="AR1175" s="4" t="s">
        <v>377</v>
      </c>
    </row>
    <row r="1176" spans="1:44">
      <c r="A1176" s="4" t="s">
        <v>5</v>
      </c>
      <c r="C1176" s="4">
        <v>4934</v>
      </c>
      <c r="D1176" s="5" t="s">
        <v>93</v>
      </c>
      <c r="E1176" s="6" t="s">
        <v>2033</v>
      </c>
      <c r="AP1176" s="4" t="s">
        <v>376</v>
      </c>
      <c r="AR1176" s="4" t="s">
        <v>377</v>
      </c>
    </row>
    <row r="1177" spans="1:44">
      <c r="A1177" s="4" t="s">
        <v>5</v>
      </c>
      <c r="C1177" s="4">
        <v>3399</v>
      </c>
      <c r="D1177" s="5" t="s">
        <v>93</v>
      </c>
      <c r="E1177" s="6" t="s">
        <v>2034</v>
      </c>
      <c r="AP1177" s="4" t="s">
        <v>376</v>
      </c>
      <c r="AR1177" s="4" t="s">
        <v>377</v>
      </c>
    </row>
    <row r="1178" spans="1:44">
      <c r="A1178" s="4" t="s">
        <v>5</v>
      </c>
      <c r="C1178" s="4">
        <v>6615</v>
      </c>
      <c r="D1178" s="5" t="s">
        <v>93</v>
      </c>
      <c r="E1178" s="6" t="s">
        <v>2035</v>
      </c>
      <c r="AP1178" s="4" t="s">
        <v>376</v>
      </c>
      <c r="AR1178" s="4" t="s">
        <v>377</v>
      </c>
    </row>
    <row r="1179" spans="1:44">
      <c r="A1179" s="4" t="s">
        <v>5</v>
      </c>
      <c r="C1179" s="4">
        <v>1538</v>
      </c>
      <c r="D1179" s="5" t="s">
        <v>93</v>
      </c>
      <c r="E1179" s="6" t="s">
        <v>2036</v>
      </c>
      <c r="F1179" s="5" t="s">
        <v>2037</v>
      </c>
      <c r="AP1179" s="4" t="s">
        <v>376</v>
      </c>
      <c r="AR1179" s="4" t="s">
        <v>377</v>
      </c>
    </row>
    <row r="1180" spans="1:44" ht="30">
      <c r="A1180" s="4" t="s">
        <v>5</v>
      </c>
      <c r="C1180" s="4">
        <v>3481</v>
      </c>
      <c r="D1180" s="5" t="s">
        <v>93</v>
      </c>
      <c r="E1180" s="6" t="s">
        <v>2038</v>
      </c>
      <c r="Z1180" s="4" t="s">
        <v>443</v>
      </c>
      <c r="AA1180" s="4" t="s">
        <v>444</v>
      </c>
      <c r="AP1180" s="4" t="s">
        <v>376</v>
      </c>
      <c r="AR1180" s="4" t="s">
        <v>377</v>
      </c>
    </row>
    <row r="1181" spans="1:44">
      <c r="A1181" s="4" t="s">
        <v>5</v>
      </c>
      <c r="C1181" s="4">
        <v>5283</v>
      </c>
      <c r="D1181" s="5" t="s">
        <v>93</v>
      </c>
      <c r="E1181" s="6" t="s">
        <v>2039</v>
      </c>
      <c r="AP1181" s="4" t="s">
        <v>376</v>
      </c>
      <c r="AR1181" s="4" t="s">
        <v>377</v>
      </c>
    </row>
    <row r="1182" spans="1:44" ht="30">
      <c r="A1182" s="4" t="s">
        <v>5</v>
      </c>
      <c r="C1182" s="4">
        <v>4634</v>
      </c>
      <c r="D1182" s="5" t="s">
        <v>93</v>
      </c>
      <c r="E1182" s="6" t="s">
        <v>2040</v>
      </c>
      <c r="AP1182" s="4" t="s">
        <v>376</v>
      </c>
      <c r="AR1182" s="4" t="s">
        <v>377</v>
      </c>
    </row>
    <row r="1183" spans="1:44">
      <c r="A1183" s="4" t="s">
        <v>5</v>
      </c>
      <c r="C1183" s="4">
        <v>2031</v>
      </c>
      <c r="D1183" s="5" t="s">
        <v>93</v>
      </c>
      <c r="E1183" s="6" t="s">
        <v>2041</v>
      </c>
      <c r="AP1183" s="4" t="s">
        <v>376</v>
      </c>
      <c r="AR1183" s="4" t="s">
        <v>377</v>
      </c>
    </row>
    <row r="1184" spans="1:44">
      <c r="A1184" s="4" t="s">
        <v>5</v>
      </c>
      <c r="C1184" s="4">
        <v>6266</v>
      </c>
      <c r="D1184" s="5" t="s">
        <v>93</v>
      </c>
      <c r="E1184" s="6" t="s">
        <v>2042</v>
      </c>
      <c r="AP1184" s="4" t="s">
        <v>376</v>
      </c>
      <c r="AR1184" s="4" t="s">
        <v>377</v>
      </c>
    </row>
    <row r="1185" spans="1:44" ht="30">
      <c r="A1185" s="4" t="s">
        <v>5</v>
      </c>
      <c r="C1185" s="4">
        <v>3391</v>
      </c>
      <c r="D1185" s="5" t="s">
        <v>93</v>
      </c>
      <c r="E1185" s="6" t="s">
        <v>2043</v>
      </c>
      <c r="F1185" s="5" t="s">
        <v>2044</v>
      </c>
      <c r="Z1185" s="4" t="s">
        <v>443</v>
      </c>
      <c r="AA1185" s="4" t="s">
        <v>444</v>
      </c>
      <c r="AP1185" s="4" t="s">
        <v>376</v>
      </c>
      <c r="AR1185" s="4" t="s">
        <v>377</v>
      </c>
    </row>
    <row r="1186" spans="1:44">
      <c r="A1186" s="4" t="s">
        <v>5</v>
      </c>
      <c r="C1186" s="4">
        <v>2040</v>
      </c>
      <c r="D1186" s="5" t="s">
        <v>93</v>
      </c>
      <c r="E1186" s="6" t="s">
        <v>2045</v>
      </c>
      <c r="AP1186" s="4" t="s">
        <v>376</v>
      </c>
      <c r="AR1186" s="4" t="s">
        <v>377</v>
      </c>
    </row>
    <row r="1187" spans="1:44">
      <c r="A1187" s="4" t="s">
        <v>5</v>
      </c>
      <c r="C1187" s="4">
        <v>6177</v>
      </c>
      <c r="D1187" s="5" t="s">
        <v>93</v>
      </c>
      <c r="E1187" s="6" t="s">
        <v>2046</v>
      </c>
      <c r="AP1187" s="4" t="s">
        <v>376</v>
      </c>
      <c r="AR1187" s="4" t="s">
        <v>377</v>
      </c>
    </row>
    <row r="1188" spans="1:44">
      <c r="A1188" s="4" t="s">
        <v>5</v>
      </c>
      <c r="C1188" s="4">
        <v>2731</v>
      </c>
      <c r="D1188" s="5" t="s">
        <v>93</v>
      </c>
      <c r="E1188" s="6" t="s">
        <v>2047</v>
      </c>
      <c r="AP1188" s="4" t="s">
        <v>376</v>
      </c>
      <c r="AR1188" s="4" t="s">
        <v>377</v>
      </c>
    </row>
    <row r="1189" spans="1:44">
      <c r="A1189" s="4" t="s">
        <v>5</v>
      </c>
      <c r="C1189" s="4">
        <v>1143</v>
      </c>
      <c r="D1189" s="5" t="s">
        <v>93</v>
      </c>
      <c r="E1189" s="6" t="s">
        <v>2048</v>
      </c>
      <c r="AP1189" s="4" t="s">
        <v>376</v>
      </c>
      <c r="AR1189" s="4" t="s">
        <v>377</v>
      </c>
    </row>
    <row r="1190" spans="1:44" ht="30">
      <c r="A1190" s="4" t="s">
        <v>5</v>
      </c>
      <c r="C1190" s="4">
        <v>2581</v>
      </c>
      <c r="D1190" s="5" t="s">
        <v>93</v>
      </c>
      <c r="E1190" s="6" t="s">
        <v>2049</v>
      </c>
      <c r="F1190" s="5" t="s">
        <v>2050</v>
      </c>
      <c r="AP1190" s="4" t="s">
        <v>376</v>
      </c>
      <c r="AR1190" s="4" t="s">
        <v>377</v>
      </c>
    </row>
    <row r="1191" spans="1:44">
      <c r="A1191" s="4" t="s">
        <v>5</v>
      </c>
      <c r="C1191" s="4">
        <v>4188</v>
      </c>
      <c r="D1191" s="5" t="s">
        <v>93</v>
      </c>
      <c r="E1191" s="6" t="s">
        <v>2051</v>
      </c>
      <c r="AP1191" s="4" t="s">
        <v>376</v>
      </c>
      <c r="AR1191" s="4" t="s">
        <v>377</v>
      </c>
    </row>
    <row r="1192" spans="1:44">
      <c r="A1192" s="4" t="s">
        <v>5</v>
      </c>
      <c r="C1192" s="4">
        <v>993</v>
      </c>
      <c r="D1192" s="5" t="s">
        <v>93</v>
      </c>
      <c r="E1192" s="6" t="s">
        <v>2052</v>
      </c>
      <c r="AP1192" s="4" t="s">
        <v>376</v>
      </c>
      <c r="AR1192" s="4" t="s">
        <v>377</v>
      </c>
    </row>
    <row r="1193" spans="1:44">
      <c r="A1193" s="4" t="s">
        <v>5</v>
      </c>
      <c r="C1193" s="4">
        <v>1735</v>
      </c>
      <c r="D1193" s="5" t="s">
        <v>93</v>
      </c>
      <c r="E1193" s="6" t="s">
        <v>2053</v>
      </c>
      <c r="F1193" s="5" t="s">
        <v>2054</v>
      </c>
      <c r="AP1193" s="4" t="s">
        <v>376</v>
      </c>
      <c r="AR1193" s="4" t="s">
        <v>377</v>
      </c>
    </row>
    <row r="1194" spans="1:44">
      <c r="A1194" s="4" t="s">
        <v>5</v>
      </c>
      <c r="C1194" s="4">
        <v>1071</v>
      </c>
      <c r="D1194" s="5" t="s">
        <v>93</v>
      </c>
      <c r="E1194" s="6" t="s">
        <v>2055</v>
      </c>
      <c r="AP1194" s="4" t="s">
        <v>376</v>
      </c>
      <c r="AR1194" s="4" t="s">
        <v>377</v>
      </c>
    </row>
    <row r="1195" spans="1:44">
      <c r="A1195" s="4" t="s">
        <v>5</v>
      </c>
      <c r="C1195" s="4">
        <v>2936</v>
      </c>
      <c r="D1195" s="5" t="s">
        <v>93</v>
      </c>
      <c r="E1195" s="6" t="s">
        <v>2056</v>
      </c>
      <c r="AP1195" s="4" t="s">
        <v>376</v>
      </c>
      <c r="AR1195" s="4" t="s">
        <v>377</v>
      </c>
    </row>
    <row r="1196" spans="1:44">
      <c r="A1196" s="4" t="s">
        <v>5</v>
      </c>
      <c r="C1196" s="4">
        <v>1099</v>
      </c>
      <c r="D1196" s="5" t="s">
        <v>93</v>
      </c>
      <c r="E1196" s="6" t="s">
        <v>2057</v>
      </c>
      <c r="F1196" s="5" t="s">
        <v>2058</v>
      </c>
      <c r="AP1196" s="4" t="s">
        <v>376</v>
      </c>
      <c r="AR1196" s="4" t="s">
        <v>377</v>
      </c>
    </row>
    <row r="1197" spans="1:44">
      <c r="A1197" s="4" t="s">
        <v>5</v>
      </c>
      <c r="C1197" s="4">
        <v>5553</v>
      </c>
      <c r="D1197" s="5" t="s">
        <v>93</v>
      </c>
      <c r="E1197" s="6" t="s">
        <v>2059</v>
      </c>
      <c r="F1197" s="5" t="s">
        <v>2060</v>
      </c>
      <c r="Z1197" s="4" t="s">
        <v>447</v>
      </c>
      <c r="AA1197" s="4" t="s">
        <v>448</v>
      </c>
      <c r="AP1197" s="4" t="s">
        <v>376</v>
      </c>
      <c r="AR1197" s="4" t="s">
        <v>377</v>
      </c>
    </row>
    <row r="1198" spans="1:44">
      <c r="A1198" s="4" t="s">
        <v>5</v>
      </c>
      <c r="C1198" s="4">
        <v>376</v>
      </c>
      <c r="D1198" s="5" t="s">
        <v>93</v>
      </c>
      <c r="E1198" s="6" t="s">
        <v>2061</v>
      </c>
      <c r="AP1198" s="4" t="s">
        <v>376</v>
      </c>
      <c r="AR1198" s="4" t="s">
        <v>377</v>
      </c>
    </row>
    <row r="1199" spans="1:44" ht="30">
      <c r="A1199" s="4" t="s">
        <v>5</v>
      </c>
      <c r="C1199" s="4">
        <v>3330</v>
      </c>
      <c r="D1199" s="5" t="s">
        <v>93</v>
      </c>
      <c r="E1199" s="6" t="s">
        <v>2062</v>
      </c>
      <c r="F1199" s="5" t="s">
        <v>2063</v>
      </c>
      <c r="AP1199" s="4" t="s">
        <v>376</v>
      </c>
      <c r="AR1199" s="4" t="s">
        <v>377</v>
      </c>
    </row>
    <row r="1200" spans="1:44">
      <c r="A1200" s="4" t="s">
        <v>5</v>
      </c>
      <c r="C1200" s="4">
        <v>5943</v>
      </c>
      <c r="D1200" s="5" t="s">
        <v>93</v>
      </c>
      <c r="E1200" s="6" t="s">
        <v>2064</v>
      </c>
      <c r="AP1200" s="4" t="s">
        <v>376</v>
      </c>
      <c r="AR1200" s="4" t="s">
        <v>377</v>
      </c>
    </row>
    <row r="1201" spans="1:44">
      <c r="A1201" s="4" t="s">
        <v>5</v>
      </c>
      <c r="C1201" s="4">
        <v>3595</v>
      </c>
      <c r="D1201" s="5" t="s">
        <v>93</v>
      </c>
      <c r="E1201" s="6" t="s">
        <v>2065</v>
      </c>
      <c r="F1201" s="5" t="s">
        <v>2066</v>
      </c>
      <c r="AP1201" s="4" t="s">
        <v>376</v>
      </c>
      <c r="AR1201" s="4" t="s">
        <v>377</v>
      </c>
    </row>
    <row r="1202" spans="1:44" ht="30">
      <c r="A1202" s="4" t="s">
        <v>5</v>
      </c>
      <c r="C1202" s="4">
        <v>6229</v>
      </c>
      <c r="D1202" s="5" t="s">
        <v>93</v>
      </c>
      <c r="E1202" s="6" t="s">
        <v>2067</v>
      </c>
      <c r="F1202" s="5" t="s">
        <v>2068</v>
      </c>
      <c r="AP1202" s="4" t="s">
        <v>376</v>
      </c>
      <c r="AR1202" s="4" t="s">
        <v>377</v>
      </c>
    </row>
    <row r="1203" spans="1:44">
      <c r="A1203" s="4" t="s">
        <v>5</v>
      </c>
      <c r="C1203" s="4">
        <v>4656</v>
      </c>
      <c r="D1203" s="5" t="s">
        <v>93</v>
      </c>
      <c r="E1203" s="6" t="s">
        <v>2069</v>
      </c>
      <c r="AP1203" s="4" t="s">
        <v>376</v>
      </c>
      <c r="AR1203" s="4" t="s">
        <v>377</v>
      </c>
    </row>
    <row r="1204" spans="1:44">
      <c r="A1204" s="4" t="s">
        <v>5</v>
      </c>
      <c r="C1204" s="4">
        <v>5916</v>
      </c>
      <c r="D1204" s="5" t="s">
        <v>93</v>
      </c>
      <c r="E1204" s="6" t="s">
        <v>2070</v>
      </c>
      <c r="AP1204" s="4" t="s">
        <v>376</v>
      </c>
      <c r="AR1204" s="4" t="s">
        <v>377</v>
      </c>
    </row>
    <row r="1205" spans="1:44">
      <c r="A1205" s="4" t="s">
        <v>5</v>
      </c>
      <c r="C1205" s="4">
        <v>6830</v>
      </c>
      <c r="D1205" s="5" t="s">
        <v>93</v>
      </c>
      <c r="E1205" s="6" t="s">
        <v>2071</v>
      </c>
      <c r="AP1205" s="4" t="s">
        <v>376</v>
      </c>
      <c r="AR1205" s="4" t="s">
        <v>377</v>
      </c>
    </row>
    <row r="1206" spans="1:44">
      <c r="A1206" s="4" t="s">
        <v>5</v>
      </c>
      <c r="C1206" s="4">
        <v>5775</v>
      </c>
      <c r="D1206" s="5" t="s">
        <v>93</v>
      </c>
      <c r="E1206" s="6" t="s">
        <v>2072</v>
      </c>
      <c r="AP1206" s="4" t="s">
        <v>376</v>
      </c>
      <c r="AR1206" s="4" t="s">
        <v>377</v>
      </c>
    </row>
    <row r="1207" spans="1:44" ht="30">
      <c r="A1207" s="4" t="s">
        <v>5</v>
      </c>
      <c r="C1207" s="4">
        <v>4227</v>
      </c>
      <c r="D1207" s="5" t="s">
        <v>93</v>
      </c>
      <c r="E1207" s="6" t="s">
        <v>2073</v>
      </c>
      <c r="AP1207" s="4" t="s">
        <v>376</v>
      </c>
      <c r="AR1207" s="4" t="s">
        <v>377</v>
      </c>
    </row>
    <row r="1208" spans="1:44" ht="30">
      <c r="A1208" s="4" t="s">
        <v>5</v>
      </c>
      <c r="C1208" s="4">
        <v>3390</v>
      </c>
      <c r="D1208" s="5" t="s">
        <v>93</v>
      </c>
      <c r="E1208" s="6" t="s">
        <v>2074</v>
      </c>
      <c r="F1208" s="5" t="s">
        <v>2075</v>
      </c>
      <c r="AP1208" s="4" t="s">
        <v>376</v>
      </c>
      <c r="AR1208" s="4" t="s">
        <v>377</v>
      </c>
    </row>
    <row r="1209" spans="1:44">
      <c r="A1209" s="4" t="s">
        <v>5</v>
      </c>
      <c r="C1209" s="4">
        <v>6193</v>
      </c>
      <c r="D1209" s="5" t="s">
        <v>93</v>
      </c>
      <c r="E1209" s="6" t="s">
        <v>2076</v>
      </c>
      <c r="AP1209" s="4" t="s">
        <v>376</v>
      </c>
      <c r="AR1209" s="4" t="s">
        <v>377</v>
      </c>
    </row>
    <row r="1210" spans="1:44">
      <c r="A1210" s="4" t="s">
        <v>5</v>
      </c>
      <c r="C1210" s="4">
        <v>6297</v>
      </c>
      <c r="D1210" s="5" t="s">
        <v>93</v>
      </c>
      <c r="E1210" s="6" t="s">
        <v>2077</v>
      </c>
      <c r="AP1210" s="4" t="s">
        <v>376</v>
      </c>
      <c r="AR1210" s="4" t="s">
        <v>377</v>
      </c>
    </row>
    <row r="1211" spans="1:44">
      <c r="A1211" s="4" t="s">
        <v>5</v>
      </c>
      <c r="C1211" s="4">
        <v>5713</v>
      </c>
      <c r="D1211" s="5" t="s">
        <v>93</v>
      </c>
      <c r="E1211" s="6" t="s">
        <v>2078</v>
      </c>
      <c r="AP1211" s="4" t="s">
        <v>376</v>
      </c>
      <c r="AR1211" s="4" t="s">
        <v>377</v>
      </c>
    </row>
    <row r="1212" spans="1:44">
      <c r="A1212" s="4" t="s">
        <v>5</v>
      </c>
      <c r="C1212" s="4">
        <v>2601</v>
      </c>
      <c r="D1212" s="5" t="s">
        <v>93</v>
      </c>
      <c r="E1212" s="6" t="s">
        <v>2079</v>
      </c>
      <c r="F1212" s="5" t="s">
        <v>2080</v>
      </c>
      <c r="Z1212" s="4" t="s">
        <v>443</v>
      </c>
      <c r="AA1212" s="4" t="s">
        <v>444</v>
      </c>
      <c r="AP1212" s="4" t="s">
        <v>376</v>
      </c>
      <c r="AR1212" s="4" t="s">
        <v>377</v>
      </c>
    </row>
    <row r="1213" spans="1:44">
      <c r="A1213" s="4" t="s">
        <v>5</v>
      </c>
      <c r="C1213" s="4">
        <v>1984</v>
      </c>
      <c r="D1213" s="5" t="s">
        <v>93</v>
      </c>
      <c r="E1213" s="6" t="s">
        <v>2081</v>
      </c>
      <c r="F1213" s="5" t="s">
        <v>2082</v>
      </c>
      <c r="AP1213" s="4" t="s">
        <v>376</v>
      </c>
      <c r="AR1213" s="4" t="s">
        <v>377</v>
      </c>
    </row>
    <row r="1214" spans="1:44">
      <c r="A1214" s="4" t="s">
        <v>5</v>
      </c>
      <c r="C1214" s="4">
        <v>7370</v>
      </c>
      <c r="D1214" s="5" t="s">
        <v>93</v>
      </c>
      <c r="E1214" s="6" t="s">
        <v>2083</v>
      </c>
      <c r="F1214" s="5" t="s">
        <v>2084</v>
      </c>
      <c r="AP1214" s="4" t="s">
        <v>376</v>
      </c>
      <c r="AR1214" s="4" t="s">
        <v>377</v>
      </c>
    </row>
    <row r="1215" spans="1:44" ht="30">
      <c r="A1215" s="4" t="s">
        <v>5</v>
      </c>
      <c r="C1215" s="4">
        <v>5569</v>
      </c>
      <c r="D1215" s="5" t="s">
        <v>93</v>
      </c>
      <c r="E1215" s="6" t="s">
        <v>2085</v>
      </c>
      <c r="F1215" s="5" t="s">
        <v>2086</v>
      </c>
      <c r="Z1215" s="4" t="s">
        <v>512</v>
      </c>
      <c r="AA1215" s="4" t="s">
        <v>513</v>
      </c>
      <c r="AP1215" s="4" t="s">
        <v>376</v>
      </c>
      <c r="AR1215" s="4" t="s">
        <v>377</v>
      </c>
    </row>
    <row r="1216" spans="1:44">
      <c r="A1216" s="4" t="s">
        <v>5</v>
      </c>
      <c r="C1216" s="4">
        <v>4587</v>
      </c>
      <c r="D1216" s="5" t="s">
        <v>93</v>
      </c>
      <c r="E1216" s="6" t="s">
        <v>2087</v>
      </c>
      <c r="AP1216" s="4" t="s">
        <v>376</v>
      </c>
      <c r="AR1216" s="4" t="s">
        <v>377</v>
      </c>
    </row>
    <row r="1217" spans="1:44">
      <c r="A1217" s="4" t="s">
        <v>5</v>
      </c>
      <c r="C1217" s="4">
        <v>1342</v>
      </c>
      <c r="D1217" s="5" t="s">
        <v>93</v>
      </c>
      <c r="E1217" s="6" t="s">
        <v>2088</v>
      </c>
      <c r="AP1217" s="4" t="s">
        <v>376</v>
      </c>
      <c r="AR1217" s="4" t="s">
        <v>377</v>
      </c>
    </row>
    <row r="1218" spans="1:44">
      <c r="A1218" s="4" t="s">
        <v>5</v>
      </c>
      <c r="C1218" s="4">
        <v>5979</v>
      </c>
      <c r="D1218" s="5" t="s">
        <v>93</v>
      </c>
      <c r="E1218" s="6" t="s">
        <v>2089</v>
      </c>
      <c r="AP1218" s="4" t="s">
        <v>376</v>
      </c>
      <c r="AR1218" s="4" t="s">
        <v>377</v>
      </c>
    </row>
    <row r="1219" spans="1:44">
      <c r="A1219" s="4" t="s">
        <v>5</v>
      </c>
      <c r="C1219" s="4">
        <v>5796</v>
      </c>
      <c r="D1219" s="5" t="s">
        <v>93</v>
      </c>
      <c r="E1219" s="6" t="s">
        <v>2090</v>
      </c>
      <c r="AP1219" s="4" t="s">
        <v>376</v>
      </c>
      <c r="AR1219" s="4" t="s">
        <v>377</v>
      </c>
    </row>
    <row r="1220" spans="1:44">
      <c r="A1220" s="4" t="s">
        <v>5</v>
      </c>
      <c r="C1220" s="4">
        <v>4751</v>
      </c>
      <c r="D1220" s="5" t="s">
        <v>93</v>
      </c>
      <c r="E1220" s="6" t="s">
        <v>2091</v>
      </c>
      <c r="AP1220" s="4" t="s">
        <v>376</v>
      </c>
      <c r="AR1220" s="4" t="s">
        <v>377</v>
      </c>
    </row>
    <row r="1221" spans="1:44">
      <c r="A1221" s="4" t="s">
        <v>5</v>
      </c>
      <c r="C1221" s="4">
        <v>5256</v>
      </c>
      <c r="D1221" s="5" t="s">
        <v>93</v>
      </c>
      <c r="E1221" s="6" t="s">
        <v>2092</v>
      </c>
      <c r="AP1221" s="4" t="s">
        <v>376</v>
      </c>
      <c r="AR1221" s="4" t="s">
        <v>377</v>
      </c>
    </row>
    <row r="1222" spans="1:44">
      <c r="A1222" s="4" t="s">
        <v>5</v>
      </c>
      <c r="C1222" s="4">
        <v>4366</v>
      </c>
      <c r="D1222" s="5" t="s">
        <v>93</v>
      </c>
      <c r="E1222" s="6" t="s">
        <v>2093</v>
      </c>
      <c r="AP1222" s="4" t="s">
        <v>376</v>
      </c>
      <c r="AR1222" s="4" t="s">
        <v>377</v>
      </c>
    </row>
    <row r="1223" spans="1:44">
      <c r="A1223" s="4" t="s">
        <v>5</v>
      </c>
      <c r="C1223" s="4">
        <v>4125</v>
      </c>
      <c r="D1223" s="5" t="s">
        <v>93</v>
      </c>
      <c r="E1223" s="6" t="s">
        <v>2094</v>
      </c>
      <c r="AP1223" s="4" t="s">
        <v>376</v>
      </c>
      <c r="AR1223" s="4" t="s">
        <v>377</v>
      </c>
    </row>
    <row r="1224" spans="1:44">
      <c r="A1224" s="4" t="s">
        <v>5</v>
      </c>
      <c r="C1224" s="4">
        <v>5607</v>
      </c>
      <c r="D1224" s="5" t="s">
        <v>93</v>
      </c>
      <c r="E1224" s="6" t="s">
        <v>2095</v>
      </c>
      <c r="AP1224" s="4" t="s">
        <v>376</v>
      </c>
      <c r="AR1224" s="4" t="s">
        <v>377</v>
      </c>
    </row>
    <row r="1225" spans="1:44" ht="30">
      <c r="A1225" s="4" t="s">
        <v>5</v>
      </c>
      <c r="C1225" s="4">
        <v>4267</v>
      </c>
      <c r="D1225" s="5" t="s">
        <v>93</v>
      </c>
      <c r="E1225" s="6" t="s">
        <v>2096</v>
      </c>
      <c r="AP1225" s="4" t="s">
        <v>376</v>
      </c>
      <c r="AR1225" s="4" t="s">
        <v>377</v>
      </c>
    </row>
    <row r="1226" spans="1:44">
      <c r="A1226" s="4" t="s">
        <v>5</v>
      </c>
      <c r="C1226" s="4">
        <v>7</v>
      </c>
      <c r="D1226" s="5" t="s">
        <v>93</v>
      </c>
      <c r="E1226" s="6" t="s">
        <v>2097</v>
      </c>
      <c r="F1226" s="5" t="s">
        <v>2098</v>
      </c>
      <c r="AP1226" s="4" t="s">
        <v>376</v>
      </c>
      <c r="AR1226" s="4" t="s">
        <v>377</v>
      </c>
    </row>
    <row r="1227" spans="1:44">
      <c r="A1227" s="4" t="s">
        <v>5</v>
      </c>
      <c r="C1227" s="4">
        <v>1030</v>
      </c>
      <c r="D1227" s="5" t="s">
        <v>93</v>
      </c>
      <c r="E1227" s="6" t="s">
        <v>2099</v>
      </c>
      <c r="F1227" s="5" t="s">
        <v>2100</v>
      </c>
      <c r="AP1227" s="4" t="s">
        <v>376</v>
      </c>
      <c r="AR1227" s="4" t="s">
        <v>377</v>
      </c>
    </row>
    <row r="1228" spans="1:44">
      <c r="A1228" s="4" t="s">
        <v>5</v>
      </c>
      <c r="C1228" s="4">
        <v>697</v>
      </c>
      <c r="D1228" s="5" t="s">
        <v>93</v>
      </c>
      <c r="E1228" s="6" t="s">
        <v>2101</v>
      </c>
      <c r="F1228" s="5" t="s">
        <v>2102</v>
      </c>
      <c r="AP1228" s="4" t="s">
        <v>376</v>
      </c>
      <c r="AR1228" s="4" t="s">
        <v>377</v>
      </c>
    </row>
    <row r="1229" spans="1:44" ht="30">
      <c r="A1229" s="4" t="s">
        <v>5</v>
      </c>
      <c r="C1229" s="4">
        <v>5792</v>
      </c>
      <c r="D1229" s="5" t="s">
        <v>93</v>
      </c>
      <c r="E1229" s="6" t="s">
        <v>2103</v>
      </c>
      <c r="AP1229" s="4" t="s">
        <v>376</v>
      </c>
      <c r="AR1229" s="4" t="s">
        <v>377</v>
      </c>
    </row>
    <row r="1230" spans="1:44">
      <c r="A1230" s="4" t="s">
        <v>5</v>
      </c>
      <c r="C1230" s="4">
        <v>2564</v>
      </c>
      <c r="D1230" s="5" t="s">
        <v>93</v>
      </c>
      <c r="E1230" s="6" t="s">
        <v>2104</v>
      </c>
      <c r="AP1230" s="4" t="s">
        <v>376</v>
      </c>
      <c r="AR1230" s="4" t="s">
        <v>377</v>
      </c>
    </row>
    <row r="1231" spans="1:44">
      <c r="A1231" s="4" t="s">
        <v>5</v>
      </c>
      <c r="C1231" s="4">
        <v>6974</v>
      </c>
      <c r="D1231" s="5" t="s">
        <v>93</v>
      </c>
      <c r="E1231" s="6" t="s">
        <v>2105</v>
      </c>
      <c r="AP1231" s="4" t="s">
        <v>376</v>
      </c>
      <c r="AR1231" s="4" t="s">
        <v>377</v>
      </c>
    </row>
    <row r="1232" spans="1:44" ht="30">
      <c r="A1232" s="4" t="s">
        <v>5</v>
      </c>
      <c r="C1232" s="4">
        <v>6635</v>
      </c>
      <c r="D1232" s="5" t="s">
        <v>93</v>
      </c>
      <c r="E1232" s="6" t="s">
        <v>2106</v>
      </c>
      <c r="AP1232" s="4" t="s">
        <v>376</v>
      </c>
      <c r="AR1232" s="4" t="s">
        <v>377</v>
      </c>
    </row>
    <row r="1233" spans="1:44">
      <c r="A1233" s="4" t="s">
        <v>5</v>
      </c>
      <c r="C1233" s="4">
        <v>2247</v>
      </c>
      <c r="D1233" s="5" t="s">
        <v>93</v>
      </c>
      <c r="E1233" s="6" t="s">
        <v>2107</v>
      </c>
      <c r="Z1233" s="4" t="s">
        <v>443</v>
      </c>
      <c r="AA1233" s="4" t="s">
        <v>444</v>
      </c>
      <c r="AP1233" s="4" t="s">
        <v>376</v>
      </c>
      <c r="AR1233" s="4" t="s">
        <v>377</v>
      </c>
    </row>
    <row r="1234" spans="1:44">
      <c r="A1234" s="4" t="s">
        <v>5</v>
      </c>
      <c r="C1234" s="4">
        <v>2239</v>
      </c>
      <c r="D1234" s="5" t="s">
        <v>93</v>
      </c>
      <c r="E1234" s="6" t="s">
        <v>2108</v>
      </c>
      <c r="Z1234" s="4" t="s">
        <v>695</v>
      </c>
      <c r="AA1234" s="4" t="s">
        <v>696</v>
      </c>
      <c r="AP1234" s="4" t="s">
        <v>376</v>
      </c>
      <c r="AR1234" s="4" t="s">
        <v>377</v>
      </c>
    </row>
    <row r="1235" spans="1:44">
      <c r="A1235" s="4" t="s">
        <v>5</v>
      </c>
      <c r="C1235" s="4">
        <v>1017</v>
      </c>
      <c r="D1235" s="5" t="s">
        <v>93</v>
      </c>
      <c r="E1235" s="6" t="s">
        <v>2109</v>
      </c>
      <c r="Z1235" s="4" t="s">
        <v>447</v>
      </c>
      <c r="AA1235" s="4" t="s">
        <v>448</v>
      </c>
      <c r="AP1235" s="4" t="s">
        <v>376</v>
      </c>
      <c r="AR1235" s="4" t="s">
        <v>377</v>
      </c>
    </row>
    <row r="1236" spans="1:44">
      <c r="A1236" s="4" t="s">
        <v>5</v>
      </c>
      <c r="C1236" s="4">
        <v>2523</v>
      </c>
      <c r="D1236" s="5" t="s">
        <v>93</v>
      </c>
      <c r="E1236" s="6" t="s">
        <v>2110</v>
      </c>
      <c r="AP1236" s="4" t="s">
        <v>376</v>
      </c>
      <c r="AR1236" s="4" t="s">
        <v>377</v>
      </c>
    </row>
    <row r="1237" spans="1:44" ht="30">
      <c r="A1237" s="4" t="s">
        <v>5</v>
      </c>
      <c r="C1237" s="4">
        <v>59</v>
      </c>
      <c r="D1237" s="5" t="s">
        <v>93</v>
      </c>
      <c r="E1237" s="6" t="s">
        <v>2111</v>
      </c>
      <c r="F1237" s="5" t="s">
        <v>2112</v>
      </c>
      <c r="AP1237" s="4" t="s">
        <v>376</v>
      </c>
      <c r="AR1237" s="4" t="s">
        <v>377</v>
      </c>
    </row>
    <row r="1238" spans="1:44">
      <c r="A1238" s="4" t="s">
        <v>5</v>
      </c>
      <c r="C1238" s="4">
        <v>2934</v>
      </c>
      <c r="D1238" s="5" t="s">
        <v>93</v>
      </c>
      <c r="E1238" s="6" t="s">
        <v>2113</v>
      </c>
      <c r="AP1238" s="4" t="s">
        <v>376</v>
      </c>
      <c r="AR1238" s="4" t="s">
        <v>377</v>
      </c>
    </row>
    <row r="1239" spans="1:44">
      <c r="A1239" s="4" t="s">
        <v>5</v>
      </c>
      <c r="C1239" s="4">
        <v>2550</v>
      </c>
      <c r="D1239" s="5" t="s">
        <v>93</v>
      </c>
      <c r="E1239" s="6" t="s">
        <v>2114</v>
      </c>
      <c r="AP1239" s="4" t="s">
        <v>376</v>
      </c>
      <c r="AR1239" s="4" t="s">
        <v>377</v>
      </c>
    </row>
    <row r="1240" spans="1:44" ht="30">
      <c r="A1240" s="4" t="s">
        <v>5</v>
      </c>
      <c r="C1240" s="4">
        <v>6900</v>
      </c>
      <c r="D1240" s="5" t="s">
        <v>93</v>
      </c>
      <c r="E1240" s="6" t="s">
        <v>2115</v>
      </c>
      <c r="F1240" s="5" t="s">
        <v>2116</v>
      </c>
      <c r="AP1240" s="4" t="s">
        <v>376</v>
      </c>
      <c r="AR1240" s="4" t="s">
        <v>377</v>
      </c>
    </row>
    <row r="1241" spans="1:44">
      <c r="A1241" s="4" t="s">
        <v>5</v>
      </c>
      <c r="C1241" s="4">
        <v>5963</v>
      </c>
      <c r="D1241" s="5" t="s">
        <v>93</v>
      </c>
      <c r="E1241" s="6" t="s">
        <v>2117</v>
      </c>
      <c r="AP1241" s="4" t="s">
        <v>376</v>
      </c>
      <c r="AR1241" s="4" t="s">
        <v>377</v>
      </c>
    </row>
    <row r="1242" spans="1:44">
      <c r="A1242" s="4" t="s">
        <v>5</v>
      </c>
      <c r="C1242" s="4">
        <v>3761</v>
      </c>
      <c r="D1242" s="5" t="s">
        <v>93</v>
      </c>
      <c r="E1242" s="6" t="s">
        <v>2118</v>
      </c>
      <c r="Z1242" s="4" t="s">
        <v>443</v>
      </c>
      <c r="AA1242" s="4" t="s">
        <v>444</v>
      </c>
      <c r="AP1242" s="4" t="s">
        <v>376</v>
      </c>
      <c r="AR1242" s="4" t="s">
        <v>377</v>
      </c>
    </row>
    <row r="1243" spans="1:44">
      <c r="A1243" s="4" t="s">
        <v>5</v>
      </c>
      <c r="C1243" s="4">
        <v>5755</v>
      </c>
      <c r="D1243" s="5" t="s">
        <v>93</v>
      </c>
      <c r="E1243" s="6" t="s">
        <v>2119</v>
      </c>
      <c r="AP1243" s="4" t="s">
        <v>376</v>
      </c>
      <c r="AR1243" s="4" t="s">
        <v>377</v>
      </c>
    </row>
    <row r="1244" spans="1:44">
      <c r="A1244" s="4" t="s">
        <v>5</v>
      </c>
      <c r="C1244" s="4">
        <v>6105</v>
      </c>
      <c r="D1244" s="5" t="s">
        <v>93</v>
      </c>
      <c r="E1244" s="6" t="s">
        <v>2120</v>
      </c>
      <c r="F1244" s="5" t="s">
        <v>2121</v>
      </c>
      <c r="Z1244" s="4" t="s">
        <v>695</v>
      </c>
      <c r="AA1244" s="4" t="s">
        <v>696</v>
      </c>
      <c r="AP1244" s="4" t="s">
        <v>376</v>
      </c>
      <c r="AR1244" s="4" t="s">
        <v>377</v>
      </c>
    </row>
    <row r="1245" spans="1:44">
      <c r="A1245" s="4" t="s">
        <v>5</v>
      </c>
      <c r="C1245" s="4">
        <v>295</v>
      </c>
      <c r="D1245" s="5" t="s">
        <v>93</v>
      </c>
      <c r="E1245" s="6" t="s">
        <v>2122</v>
      </c>
      <c r="F1245" s="5" t="s">
        <v>2123</v>
      </c>
      <c r="AP1245" s="4" t="s">
        <v>376</v>
      </c>
      <c r="AR1245" s="4" t="s">
        <v>377</v>
      </c>
    </row>
    <row r="1246" spans="1:44">
      <c r="A1246" s="4" t="s">
        <v>5</v>
      </c>
      <c r="C1246" s="4">
        <v>1495</v>
      </c>
      <c r="D1246" s="5" t="s">
        <v>93</v>
      </c>
      <c r="E1246" s="6" t="s">
        <v>2124</v>
      </c>
      <c r="F1246" s="5" t="s">
        <v>2125</v>
      </c>
      <c r="AP1246" s="4" t="s">
        <v>376</v>
      </c>
      <c r="AR1246" s="4" t="s">
        <v>377</v>
      </c>
    </row>
    <row r="1247" spans="1:44">
      <c r="A1247" s="4" t="s">
        <v>5</v>
      </c>
      <c r="C1247" s="4">
        <v>4644</v>
      </c>
      <c r="D1247" s="5" t="s">
        <v>93</v>
      </c>
      <c r="E1247" s="6" t="s">
        <v>2126</v>
      </c>
      <c r="AP1247" s="4" t="s">
        <v>376</v>
      </c>
      <c r="AR1247" s="4" t="s">
        <v>377</v>
      </c>
    </row>
    <row r="1248" spans="1:44" ht="30">
      <c r="A1248" s="4" t="s">
        <v>5</v>
      </c>
      <c r="C1248" s="4">
        <v>1385</v>
      </c>
      <c r="D1248" s="5" t="s">
        <v>93</v>
      </c>
      <c r="E1248" s="6" t="s">
        <v>2127</v>
      </c>
      <c r="AP1248" s="4" t="s">
        <v>376</v>
      </c>
      <c r="AR1248" s="4" t="s">
        <v>377</v>
      </c>
    </row>
    <row r="1249" spans="1:44">
      <c r="A1249" s="4" t="s">
        <v>5</v>
      </c>
      <c r="C1249" s="4">
        <v>4763</v>
      </c>
      <c r="D1249" s="5" t="s">
        <v>93</v>
      </c>
      <c r="E1249" s="6" t="s">
        <v>2128</v>
      </c>
      <c r="AP1249" s="4" t="s">
        <v>376</v>
      </c>
      <c r="AR1249" s="4" t="s">
        <v>377</v>
      </c>
    </row>
    <row r="1250" spans="1:44">
      <c r="A1250" s="4" t="s">
        <v>5</v>
      </c>
      <c r="C1250" s="4">
        <v>6422</v>
      </c>
      <c r="D1250" s="5" t="s">
        <v>93</v>
      </c>
      <c r="E1250" s="6" t="s">
        <v>2129</v>
      </c>
      <c r="F1250" s="5" t="s">
        <v>2130</v>
      </c>
      <c r="AP1250" s="4" t="s">
        <v>376</v>
      </c>
      <c r="AR1250" s="4" t="s">
        <v>377</v>
      </c>
    </row>
    <row r="1251" spans="1:44">
      <c r="A1251" s="4" t="s">
        <v>5</v>
      </c>
      <c r="C1251" s="4">
        <v>6918</v>
      </c>
      <c r="D1251" s="5" t="s">
        <v>93</v>
      </c>
      <c r="E1251" s="6" t="s">
        <v>2131</v>
      </c>
      <c r="AP1251" s="4" t="s">
        <v>376</v>
      </c>
      <c r="AR1251" s="4" t="s">
        <v>377</v>
      </c>
    </row>
    <row r="1252" spans="1:44">
      <c r="A1252" s="4" t="s">
        <v>5</v>
      </c>
      <c r="C1252" s="4">
        <v>366</v>
      </c>
      <c r="D1252" s="5" t="s">
        <v>93</v>
      </c>
      <c r="E1252" s="6" t="s">
        <v>2132</v>
      </c>
      <c r="AP1252" s="4" t="s">
        <v>376</v>
      </c>
      <c r="AR1252" s="4" t="s">
        <v>377</v>
      </c>
    </row>
    <row r="1253" spans="1:44">
      <c r="A1253" s="4" t="s">
        <v>5</v>
      </c>
      <c r="C1253" s="4">
        <v>2094</v>
      </c>
      <c r="D1253" s="5" t="s">
        <v>93</v>
      </c>
      <c r="E1253" s="6" t="s">
        <v>2133</v>
      </c>
      <c r="AP1253" s="4" t="s">
        <v>376</v>
      </c>
      <c r="AR1253" s="4" t="s">
        <v>377</v>
      </c>
    </row>
    <row r="1254" spans="1:44">
      <c r="A1254" s="4" t="s">
        <v>5</v>
      </c>
      <c r="C1254" s="4">
        <v>1171</v>
      </c>
      <c r="D1254" s="5" t="s">
        <v>93</v>
      </c>
      <c r="E1254" s="6" t="s">
        <v>2134</v>
      </c>
      <c r="AP1254" s="4" t="s">
        <v>376</v>
      </c>
      <c r="AR1254" s="4" t="s">
        <v>377</v>
      </c>
    </row>
    <row r="1255" spans="1:44">
      <c r="A1255" s="4" t="s">
        <v>5</v>
      </c>
      <c r="C1255" s="4">
        <v>909</v>
      </c>
      <c r="D1255" s="5" t="s">
        <v>93</v>
      </c>
      <c r="E1255" s="6" t="s">
        <v>2135</v>
      </c>
      <c r="AP1255" s="4" t="s">
        <v>376</v>
      </c>
      <c r="AR1255" s="4" t="s">
        <v>377</v>
      </c>
    </row>
    <row r="1256" spans="1:44">
      <c r="A1256" s="4" t="s">
        <v>5</v>
      </c>
      <c r="C1256" s="4">
        <v>6428</v>
      </c>
      <c r="D1256" s="5" t="s">
        <v>93</v>
      </c>
      <c r="E1256" s="6" t="s">
        <v>2136</v>
      </c>
      <c r="AP1256" s="4" t="s">
        <v>376</v>
      </c>
      <c r="AR1256" s="4" t="s">
        <v>377</v>
      </c>
    </row>
    <row r="1257" spans="1:44">
      <c r="A1257" s="4" t="s">
        <v>5</v>
      </c>
      <c r="C1257" s="4">
        <v>6370</v>
      </c>
      <c r="D1257" s="5" t="s">
        <v>93</v>
      </c>
      <c r="E1257" s="6" t="s">
        <v>2137</v>
      </c>
      <c r="AP1257" s="4" t="s">
        <v>376</v>
      </c>
      <c r="AR1257" s="4" t="s">
        <v>377</v>
      </c>
    </row>
    <row r="1258" spans="1:44" ht="30">
      <c r="A1258" s="4" t="s">
        <v>5</v>
      </c>
      <c r="C1258" s="4">
        <v>2405</v>
      </c>
      <c r="D1258" s="5" t="s">
        <v>93</v>
      </c>
      <c r="E1258" s="6" t="s">
        <v>2138</v>
      </c>
      <c r="F1258" s="5" t="s">
        <v>2139</v>
      </c>
      <c r="Z1258" s="4" t="s">
        <v>695</v>
      </c>
      <c r="AA1258" s="4" t="s">
        <v>696</v>
      </c>
      <c r="AP1258" s="4" t="s">
        <v>376</v>
      </c>
      <c r="AR1258" s="4" t="s">
        <v>377</v>
      </c>
    </row>
    <row r="1259" spans="1:44">
      <c r="A1259" s="4" t="s">
        <v>5</v>
      </c>
      <c r="C1259" s="4">
        <v>6660</v>
      </c>
      <c r="D1259" s="5" t="s">
        <v>93</v>
      </c>
      <c r="E1259" s="6" t="s">
        <v>2140</v>
      </c>
      <c r="AP1259" s="4" t="s">
        <v>376</v>
      </c>
      <c r="AR1259" s="4" t="s">
        <v>377</v>
      </c>
    </row>
    <row r="1260" spans="1:44" ht="30">
      <c r="A1260" s="4" t="s">
        <v>5</v>
      </c>
      <c r="C1260" s="4">
        <v>6987</v>
      </c>
      <c r="D1260" s="5" t="s">
        <v>93</v>
      </c>
      <c r="E1260" s="6" t="s">
        <v>2141</v>
      </c>
      <c r="AP1260" s="4" t="s">
        <v>376</v>
      </c>
      <c r="AR1260" s="4" t="s">
        <v>377</v>
      </c>
    </row>
    <row r="1261" spans="1:44">
      <c r="A1261" s="4" t="s">
        <v>5</v>
      </c>
      <c r="C1261" s="4">
        <v>1308</v>
      </c>
      <c r="D1261" s="5" t="s">
        <v>93</v>
      </c>
      <c r="E1261" s="6" t="s">
        <v>2142</v>
      </c>
      <c r="AP1261" s="4" t="s">
        <v>376</v>
      </c>
      <c r="AR1261" s="4" t="s">
        <v>377</v>
      </c>
    </row>
    <row r="1262" spans="1:44">
      <c r="A1262" s="4" t="s">
        <v>5</v>
      </c>
      <c r="C1262" s="4">
        <v>731</v>
      </c>
      <c r="D1262" s="5" t="s">
        <v>93</v>
      </c>
      <c r="E1262" s="6" t="s">
        <v>2143</v>
      </c>
      <c r="F1262" s="5" t="s">
        <v>2144</v>
      </c>
      <c r="AP1262" s="4" t="s">
        <v>376</v>
      </c>
      <c r="AR1262" s="4" t="s">
        <v>377</v>
      </c>
    </row>
    <row r="1263" spans="1:44">
      <c r="A1263" s="4" t="s">
        <v>5</v>
      </c>
      <c r="C1263" s="4">
        <v>3383</v>
      </c>
      <c r="D1263" s="5" t="s">
        <v>93</v>
      </c>
      <c r="E1263" s="6" t="s">
        <v>2145</v>
      </c>
      <c r="F1263" s="5" t="s">
        <v>2146</v>
      </c>
      <c r="Z1263" s="4" t="s">
        <v>695</v>
      </c>
      <c r="AA1263" s="4" t="s">
        <v>696</v>
      </c>
      <c r="AP1263" s="4" t="s">
        <v>376</v>
      </c>
      <c r="AR1263" s="4" t="s">
        <v>377</v>
      </c>
    </row>
    <row r="1264" spans="1:44">
      <c r="A1264" s="4" t="s">
        <v>5</v>
      </c>
      <c r="C1264" s="4">
        <v>2940</v>
      </c>
      <c r="D1264" s="5" t="s">
        <v>93</v>
      </c>
      <c r="E1264" s="6" t="s">
        <v>2147</v>
      </c>
      <c r="F1264" s="5" t="s">
        <v>2148</v>
      </c>
      <c r="AP1264" s="4" t="s">
        <v>376</v>
      </c>
      <c r="AR1264" s="4" t="s">
        <v>377</v>
      </c>
    </row>
    <row r="1265" spans="1:44">
      <c r="A1265" s="4" t="s">
        <v>5</v>
      </c>
      <c r="C1265" s="4">
        <v>3937</v>
      </c>
      <c r="D1265" s="5" t="s">
        <v>93</v>
      </c>
      <c r="E1265" s="6" t="s">
        <v>2149</v>
      </c>
      <c r="AP1265" s="4" t="s">
        <v>376</v>
      </c>
      <c r="AR1265" s="4" t="s">
        <v>377</v>
      </c>
    </row>
    <row r="1266" spans="1:44">
      <c r="A1266" s="4" t="s">
        <v>5</v>
      </c>
      <c r="C1266" s="4">
        <v>6946</v>
      </c>
      <c r="D1266" s="5" t="s">
        <v>93</v>
      </c>
      <c r="E1266" s="6" t="s">
        <v>2150</v>
      </c>
      <c r="AP1266" s="4" t="s">
        <v>376</v>
      </c>
      <c r="AR1266" s="4" t="s">
        <v>377</v>
      </c>
    </row>
    <row r="1267" spans="1:44">
      <c r="A1267" s="4" t="s">
        <v>5</v>
      </c>
      <c r="C1267" s="4">
        <v>3621</v>
      </c>
      <c r="D1267" s="5" t="s">
        <v>93</v>
      </c>
      <c r="E1267" s="6" t="s">
        <v>2151</v>
      </c>
      <c r="F1267" s="5" t="s">
        <v>2152</v>
      </c>
      <c r="AP1267" s="4" t="s">
        <v>376</v>
      </c>
      <c r="AR1267" s="4" t="s">
        <v>377</v>
      </c>
    </row>
    <row r="1268" spans="1:44">
      <c r="A1268" s="4" t="s">
        <v>5</v>
      </c>
      <c r="C1268" s="4">
        <v>1189</v>
      </c>
      <c r="D1268" s="5" t="s">
        <v>93</v>
      </c>
      <c r="E1268" s="6" t="s">
        <v>2153</v>
      </c>
      <c r="AP1268" s="4" t="s">
        <v>376</v>
      </c>
      <c r="AR1268" s="4" t="s">
        <v>377</v>
      </c>
    </row>
    <row r="1269" spans="1:44">
      <c r="A1269" s="4" t="s">
        <v>5</v>
      </c>
      <c r="C1269" s="4">
        <v>2555</v>
      </c>
      <c r="D1269" s="5" t="s">
        <v>93</v>
      </c>
      <c r="E1269" s="6" t="s">
        <v>2154</v>
      </c>
      <c r="AP1269" s="4" t="s">
        <v>376</v>
      </c>
      <c r="AR1269" s="4" t="s">
        <v>377</v>
      </c>
    </row>
    <row r="1270" spans="1:44">
      <c r="A1270" s="4" t="s">
        <v>5</v>
      </c>
      <c r="C1270" s="4">
        <v>483</v>
      </c>
      <c r="D1270" s="5" t="s">
        <v>93</v>
      </c>
      <c r="E1270" s="6" t="s">
        <v>2155</v>
      </c>
      <c r="F1270" s="5" t="s">
        <v>2156</v>
      </c>
      <c r="AP1270" s="4" t="s">
        <v>376</v>
      </c>
      <c r="AR1270" s="4" t="s">
        <v>377</v>
      </c>
    </row>
    <row r="1271" spans="1:44">
      <c r="A1271" s="4" t="s">
        <v>5</v>
      </c>
      <c r="C1271" s="4">
        <v>1402</v>
      </c>
      <c r="D1271" s="5" t="s">
        <v>93</v>
      </c>
      <c r="E1271" s="6" t="s">
        <v>2157</v>
      </c>
      <c r="F1271" s="5" t="s">
        <v>2158</v>
      </c>
      <c r="AP1271" s="4" t="s">
        <v>376</v>
      </c>
      <c r="AR1271" s="4" t="s">
        <v>377</v>
      </c>
    </row>
    <row r="1272" spans="1:44">
      <c r="A1272" s="4" t="s">
        <v>5</v>
      </c>
      <c r="C1272" s="4">
        <v>2267</v>
      </c>
      <c r="D1272" s="5" t="s">
        <v>93</v>
      </c>
      <c r="E1272" s="6" t="s">
        <v>2159</v>
      </c>
      <c r="F1272" s="5" t="s">
        <v>2160</v>
      </c>
      <c r="Z1272" s="4" t="s">
        <v>443</v>
      </c>
      <c r="AA1272" s="4" t="s">
        <v>444</v>
      </c>
      <c r="AP1272" s="4" t="s">
        <v>376</v>
      </c>
      <c r="AR1272" s="4" t="s">
        <v>377</v>
      </c>
    </row>
    <row r="1273" spans="1:44">
      <c r="A1273" s="4" t="s">
        <v>5</v>
      </c>
      <c r="C1273" s="4">
        <v>1074</v>
      </c>
      <c r="D1273" s="5" t="s">
        <v>93</v>
      </c>
      <c r="E1273" s="6" t="s">
        <v>2161</v>
      </c>
      <c r="AP1273" s="4" t="s">
        <v>376</v>
      </c>
      <c r="AR1273" s="4" t="s">
        <v>377</v>
      </c>
    </row>
    <row r="1274" spans="1:44" ht="30">
      <c r="A1274" s="4" t="s">
        <v>5</v>
      </c>
      <c r="C1274" s="4">
        <v>5511</v>
      </c>
      <c r="D1274" s="5" t="s">
        <v>93</v>
      </c>
      <c r="E1274" s="6" t="s">
        <v>2162</v>
      </c>
      <c r="F1274" s="5" t="s">
        <v>2163</v>
      </c>
      <c r="AP1274" s="4" t="s">
        <v>376</v>
      </c>
      <c r="AR1274" s="4" t="s">
        <v>377</v>
      </c>
    </row>
    <row r="1275" spans="1:44">
      <c r="A1275" s="4" t="s">
        <v>5</v>
      </c>
      <c r="C1275" s="4">
        <v>1654</v>
      </c>
      <c r="D1275" s="5" t="s">
        <v>93</v>
      </c>
      <c r="E1275" s="6" t="s">
        <v>2164</v>
      </c>
      <c r="F1275" s="5" t="s">
        <v>2165</v>
      </c>
      <c r="AP1275" s="4" t="s">
        <v>376</v>
      </c>
      <c r="AR1275" s="4" t="s">
        <v>377</v>
      </c>
    </row>
    <row r="1276" spans="1:44">
      <c r="A1276" s="4" t="s">
        <v>5</v>
      </c>
      <c r="C1276" s="4">
        <v>1323</v>
      </c>
      <c r="D1276" s="5" t="s">
        <v>93</v>
      </c>
      <c r="E1276" s="6" t="s">
        <v>2166</v>
      </c>
      <c r="AP1276" s="4" t="s">
        <v>376</v>
      </c>
      <c r="AR1276" s="4" t="s">
        <v>377</v>
      </c>
    </row>
    <row r="1277" spans="1:44">
      <c r="A1277" s="4" t="s">
        <v>5</v>
      </c>
      <c r="C1277" s="4">
        <v>3426</v>
      </c>
      <c r="D1277" s="5" t="s">
        <v>93</v>
      </c>
      <c r="E1277" s="6" t="s">
        <v>2167</v>
      </c>
      <c r="AP1277" s="4" t="s">
        <v>376</v>
      </c>
      <c r="AR1277" s="4" t="s">
        <v>377</v>
      </c>
    </row>
    <row r="1278" spans="1:44">
      <c r="A1278" s="4" t="s">
        <v>5</v>
      </c>
      <c r="C1278" s="4">
        <v>6835</v>
      </c>
      <c r="D1278" s="5" t="s">
        <v>93</v>
      </c>
      <c r="E1278" s="6" t="s">
        <v>2168</v>
      </c>
      <c r="AP1278" s="4" t="s">
        <v>376</v>
      </c>
      <c r="AR1278" s="4" t="s">
        <v>377</v>
      </c>
    </row>
    <row r="1279" spans="1:44">
      <c r="A1279" s="4" t="s">
        <v>5</v>
      </c>
      <c r="C1279" s="4">
        <v>6300</v>
      </c>
      <c r="D1279" s="5" t="s">
        <v>93</v>
      </c>
      <c r="E1279" s="6" t="s">
        <v>2169</v>
      </c>
      <c r="AP1279" s="4" t="s">
        <v>376</v>
      </c>
      <c r="AR1279" s="4" t="s">
        <v>377</v>
      </c>
    </row>
    <row r="1280" spans="1:44">
      <c r="A1280" s="4" t="s">
        <v>5</v>
      </c>
      <c r="C1280" s="4">
        <v>6436</v>
      </c>
      <c r="D1280" s="5" t="s">
        <v>93</v>
      </c>
      <c r="E1280" s="6" t="s">
        <v>2170</v>
      </c>
      <c r="AP1280" s="4" t="s">
        <v>376</v>
      </c>
      <c r="AR1280" s="4" t="s">
        <v>377</v>
      </c>
    </row>
    <row r="1281" spans="1:44">
      <c r="A1281" s="4" t="s">
        <v>5</v>
      </c>
      <c r="C1281" s="4">
        <v>6843</v>
      </c>
      <c r="D1281" s="5" t="s">
        <v>93</v>
      </c>
      <c r="E1281" s="6" t="s">
        <v>2171</v>
      </c>
      <c r="AP1281" s="4" t="s">
        <v>376</v>
      </c>
      <c r="AR1281" s="4" t="s">
        <v>377</v>
      </c>
    </row>
    <row r="1282" spans="1:44">
      <c r="A1282" s="4" t="s">
        <v>5</v>
      </c>
      <c r="C1282" s="4">
        <v>5785</v>
      </c>
      <c r="D1282" s="5" t="s">
        <v>93</v>
      </c>
      <c r="E1282" s="6" t="s">
        <v>2172</v>
      </c>
      <c r="AP1282" s="4" t="s">
        <v>376</v>
      </c>
      <c r="AR1282" s="4" t="s">
        <v>377</v>
      </c>
    </row>
    <row r="1283" spans="1:44">
      <c r="A1283" s="4" t="s">
        <v>5</v>
      </c>
      <c r="C1283" s="4">
        <v>4074</v>
      </c>
      <c r="D1283" s="5" t="s">
        <v>93</v>
      </c>
      <c r="E1283" s="6" t="s">
        <v>2173</v>
      </c>
      <c r="AP1283" s="4" t="s">
        <v>376</v>
      </c>
      <c r="AR1283" s="4" t="s">
        <v>377</v>
      </c>
    </row>
    <row r="1284" spans="1:44">
      <c r="A1284" s="4" t="s">
        <v>5</v>
      </c>
      <c r="C1284" s="4">
        <v>4643</v>
      </c>
      <c r="D1284" s="5" t="s">
        <v>93</v>
      </c>
      <c r="E1284" s="6" t="s">
        <v>2174</v>
      </c>
      <c r="AP1284" s="4" t="s">
        <v>376</v>
      </c>
      <c r="AR1284" s="4" t="s">
        <v>377</v>
      </c>
    </row>
    <row r="1285" spans="1:44">
      <c r="A1285" s="4" t="s">
        <v>5</v>
      </c>
      <c r="C1285" s="4">
        <v>892</v>
      </c>
      <c r="D1285" s="5" t="s">
        <v>93</v>
      </c>
      <c r="E1285" s="6" t="s">
        <v>2175</v>
      </c>
      <c r="AP1285" s="4" t="s">
        <v>376</v>
      </c>
      <c r="AR1285" s="4" t="s">
        <v>377</v>
      </c>
    </row>
    <row r="1286" spans="1:44">
      <c r="A1286" s="4" t="s">
        <v>5</v>
      </c>
      <c r="C1286" s="4">
        <v>2333</v>
      </c>
      <c r="D1286" s="5" t="s">
        <v>93</v>
      </c>
      <c r="E1286" s="6" t="s">
        <v>2176</v>
      </c>
      <c r="Z1286" s="4" t="s">
        <v>447</v>
      </c>
      <c r="AA1286" s="4" t="s">
        <v>448</v>
      </c>
      <c r="AP1286" s="4" t="s">
        <v>376</v>
      </c>
      <c r="AR1286" s="4" t="s">
        <v>377</v>
      </c>
    </row>
    <row r="1287" spans="1:44">
      <c r="A1287" s="4" t="s">
        <v>5</v>
      </c>
      <c r="C1287" s="4">
        <v>1064</v>
      </c>
      <c r="D1287" s="5" t="s">
        <v>93</v>
      </c>
      <c r="E1287" s="6" t="s">
        <v>2177</v>
      </c>
      <c r="AP1287" s="4" t="s">
        <v>376</v>
      </c>
      <c r="AR1287" s="4" t="s">
        <v>377</v>
      </c>
    </row>
    <row r="1288" spans="1:44">
      <c r="A1288" s="4" t="s">
        <v>5</v>
      </c>
      <c r="C1288" s="4">
        <v>6273</v>
      </c>
      <c r="D1288" s="5" t="s">
        <v>93</v>
      </c>
      <c r="E1288" s="6" t="s">
        <v>2178</v>
      </c>
      <c r="AP1288" s="4" t="s">
        <v>376</v>
      </c>
      <c r="AR1288" s="4" t="s">
        <v>377</v>
      </c>
    </row>
    <row r="1289" spans="1:44" ht="30">
      <c r="A1289" s="4" t="s">
        <v>5</v>
      </c>
      <c r="C1289" s="4">
        <v>3380</v>
      </c>
      <c r="D1289" s="5" t="s">
        <v>93</v>
      </c>
      <c r="E1289" s="6" t="s">
        <v>2179</v>
      </c>
      <c r="AP1289" s="4" t="s">
        <v>376</v>
      </c>
      <c r="AR1289" s="4" t="s">
        <v>377</v>
      </c>
    </row>
    <row r="1290" spans="1:44">
      <c r="A1290" s="4" t="s">
        <v>5</v>
      </c>
      <c r="C1290" s="4">
        <v>155</v>
      </c>
      <c r="D1290" s="5" t="s">
        <v>93</v>
      </c>
      <c r="E1290" s="6" t="s">
        <v>2180</v>
      </c>
      <c r="F1290" s="5" t="s">
        <v>2181</v>
      </c>
      <c r="AP1290" s="4" t="s">
        <v>376</v>
      </c>
      <c r="AR1290" s="4" t="s">
        <v>377</v>
      </c>
    </row>
    <row r="1291" spans="1:44">
      <c r="A1291" s="4" t="s">
        <v>5</v>
      </c>
      <c r="C1291" s="4">
        <v>1351</v>
      </c>
      <c r="D1291" s="5" t="s">
        <v>93</v>
      </c>
      <c r="E1291" s="6" t="s">
        <v>2182</v>
      </c>
      <c r="AP1291" s="4" t="s">
        <v>376</v>
      </c>
      <c r="AR1291" s="4" t="s">
        <v>377</v>
      </c>
    </row>
    <row r="1292" spans="1:44" ht="30">
      <c r="A1292" s="4" t="s">
        <v>5</v>
      </c>
      <c r="C1292" s="4">
        <v>2066</v>
      </c>
      <c r="D1292" s="5" t="s">
        <v>93</v>
      </c>
      <c r="E1292" s="6" t="s">
        <v>2183</v>
      </c>
      <c r="AP1292" s="4" t="s">
        <v>376</v>
      </c>
      <c r="AR1292" s="4" t="s">
        <v>377</v>
      </c>
    </row>
    <row r="1293" spans="1:44">
      <c r="A1293" s="4" t="s">
        <v>5</v>
      </c>
      <c r="C1293" s="4">
        <v>5512</v>
      </c>
      <c r="D1293" s="5" t="s">
        <v>93</v>
      </c>
      <c r="E1293" s="6" t="s">
        <v>2184</v>
      </c>
      <c r="AP1293" s="4" t="s">
        <v>376</v>
      </c>
      <c r="AR1293" s="4" t="s">
        <v>377</v>
      </c>
    </row>
    <row r="1294" spans="1:44">
      <c r="A1294" s="4" t="s">
        <v>5</v>
      </c>
      <c r="C1294" s="4">
        <v>1289</v>
      </c>
      <c r="D1294" s="5" t="s">
        <v>93</v>
      </c>
      <c r="E1294" s="6" t="s">
        <v>2185</v>
      </c>
      <c r="F1294" s="5" t="s">
        <v>2186</v>
      </c>
      <c r="Z1294" s="4" t="s">
        <v>447</v>
      </c>
      <c r="AA1294" s="4" t="s">
        <v>448</v>
      </c>
      <c r="AP1294" s="4" t="s">
        <v>376</v>
      </c>
      <c r="AR1294" s="4" t="s">
        <v>377</v>
      </c>
    </row>
    <row r="1295" spans="1:44">
      <c r="A1295" s="4" t="s">
        <v>5</v>
      </c>
      <c r="C1295" s="4">
        <v>5450</v>
      </c>
      <c r="D1295" s="5" t="s">
        <v>93</v>
      </c>
      <c r="E1295" s="6" t="s">
        <v>2187</v>
      </c>
      <c r="F1295" s="5" t="s">
        <v>2188</v>
      </c>
      <c r="AP1295" s="4" t="s">
        <v>376</v>
      </c>
      <c r="AR1295" s="4" t="s">
        <v>377</v>
      </c>
    </row>
    <row r="1296" spans="1:44">
      <c r="A1296" s="4" t="s">
        <v>5</v>
      </c>
      <c r="C1296" s="4">
        <v>4114</v>
      </c>
      <c r="D1296" s="5" t="s">
        <v>93</v>
      </c>
      <c r="E1296" s="6" t="s">
        <v>2189</v>
      </c>
      <c r="AP1296" s="4" t="s">
        <v>376</v>
      </c>
      <c r="AR1296" s="4" t="s">
        <v>377</v>
      </c>
    </row>
    <row r="1297" spans="1:44">
      <c r="A1297" s="4" t="s">
        <v>5</v>
      </c>
      <c r="C1297" s="4">
        <v>2739</v>
      </c>
      <c r="D1297" s="5" t="s">
        <v>93</v>
      </c>
      <c r="E1297" s="6" t="s">
        <v>2190</v>
      </c>
      <c r="AP1297" s="4" t="s">
        <v>376</v>
      </c>
      <c r="AR1297" s="4" t="s">
        <v>377</v>
      </c>
    </row>
    <row r="1298" spans="1:44">
      <c r="A1298" s="4" t="s">
        <v>5</v>
      </c>
      <c r="C1298" s="4">
        <v>4979</v>
      </c>
      <c r="D1298" s="5" t="s">
        <v>93</v>
      </c>
      <c r="E1298" s="6" t="s">
        <v>2191</v>
      </c>
      <c r="AP1298" s="4" t="s">
        <v>376</v>
      </c>
      <c r="AR1298" s="4" t="s">
        <v>377</v>
      </c>
    </row>
    <row r="1299" spans="1:44">
      <c r="A1299" s="4" t="s">
        <v>5</v>
      </c>
      <c r="C1299" s="4">
        <v>783</v>
      </c>
      <c r="D1299" s="5" t="s">
        <v>93</v>
      </c>
      <c r="E1299" s="6" t="s">
        <v>2192</v>
      </c>
      <c r="AP1299" s="4" t="s">
        <v>376</v>
      </c>
      <c r="AR1299" s="4" t="s">
        <v>377</v>
      </c>
    </row>
    <row r="1300" spans="1:44">
      <c r="A1300" s="4" t="s">
        <v>5</v>
      </c>
      <c r="C1300" s="4">
        <v>3227</v>
      </c>
      <c r="D1300" s="5" t="s">
        <v>93</v>
      </c>
      <c r="E1300" s="6" t="s">
        <v>2193</v>
      </c>
      <c r="Z1300" s="4" t="s">
        <v>447</v>
      </c>
      <c r="AA1300" s="4" t="s">
        <v>448</v>
      </c>
      <c r="AP1300" s="4" t="s">
        <v>376</v>
      </c>
      <c r="AR1300" s="4" t="s">
        <v>377</v>
      </c>
    </row>
    <row r="1301" spans="1:44">
      <c r="A1301" s="4" t="s">
        <v>5</v>
      </c>
      <c r="C1301" s="4">
        <v>7000</v>
      </c>
      <c r="D1301" s="5" t="s">
        <v>93</v>
      </c>
      <c r="E1301" s="6" t="s">
        <v>2194</v>
      </c>
      <c r="AP1301" s="4" t="s">
        <v>376</v>
      </c>
      <c r="AR1301" s="4" t="s">
        <v>377</v>
      </c>
    </row>
    <row r="1302" spans="1:44" ht="30">
      <c r="A1302" s="4" t="s">
        <v>5</v>
      </c>
      <c r="C1302" s="4">
        <v>4863</v>
      </c>
      <c r="D1302" s="5" t="s">
        <v>93</v>
      </c>
      <c r="E1302" s="6" t="s">
        <v>2195</v>
      </c>
      <c r="F1302" s="5" t="s">
        <v>2196</v>
      </c>
      <c r="AP1302" s="4" t="s">
        <v>376</v>
      </c>
      <c r="AR1302" s="4" t="s">
        <v>377</v>
      </c>
    </row>
    <row r="1303" spans="1:44">
      <c r="A1303" s="4" t="s">
        <v>5</v>
      </c>
      <c r="C1303" s="4">
        <v>807</v>
      </c>
      <c r="D1303" s="5" t="s">
        <v>93</v>
      </c>
      <c r="E1303" s="6" t="s">
        <v>2197</v>
      </c>
      <c r="F1303" s="5" t="s">
        <v>2198</v>
      </c>
      <c r="AP1303" s="4" t="s">
        <v>376</v>
      </c>
      <c r="AR1303" s="4" t="s">
        <v>377</v>
      </c>
    </row>
    <row r="1304" spans="1:44" ht="30">
      <c r="A1304" s="4" t="s">
        <v>5</v>
      </c>
      <c r="C1304" s="4">
        <v>4418</v>
      </c>
      <c r="D1304" s="5" t="s">
        <v>93</v>
      </c>
      <c r="E1304" s="6" t="s">
        <v>2199</v>
      </c>
      <c r="AP1304" s="4" t="s">
        <v>376</v>
      </c>
      <c r="AR1304" s="4" t="s">
        <v>377</v>
      </c>
    </row>
    <row r="1305" spans="1:44">
      <c r="A1305" s="4" t="s">
        <v>5</v>
      </c>
      <c r="C1305" s="4">
        <v>6133</v>
      </c>
      <c r="D1305" s="5" t="s">
        <v>93</v>
      </c>
      <c r="E1305" s="6" t="s">
        <v>2200</v>
      </c>
      <c r="F1305" s="5" t="s">
        <v>2201</v>
      </c>
      <c r="AP1305" s="4" t="s">
        <v>376</v>
      </c>
      <c r="AR1305" s="4" t="s">
        <v>377</v>
      </c>
    </row>
    <row r="1306" spans="1:44">
      <c r="A1306" s="4" t="s">
        <v>5</v>
      </c>
      <c r="C1306" s="4">
        <v>5787</v>
      </c>
      <c r="D1306" s="5" t="s">
        <v>93</v>
      </c>
      <c r="E1306" s="6" t="s">
        <v>2202</v>
      </c>
      <c r="AP1306" s="4" t="s">
        <v>376</v>
      </c>
      <c r="AR1306" s="4" t="s">
        <v>377</v>
      </c>
    </row>
    <row r="1307" spans="1:44" ht="30">
      <c r="A1307" s="4" t="s">
        <v>5</v>
      </c>
      <c r="C1307" s="4">
        <v>6753</v>
      </c>
      <c r="D1307" s="5" t="s">
        <v>93</v>
      </c>
      <c r="E1307" s="6" t="s">
        <v>2203</v>
      </c>
      <c r="AP1307" s="4" t="s">
        <v>376</v>
      </c>
      <c r="AR1307" s="4" t="s">
        <v>377</v>
      </c>
    </row>
    <row r="1308" spans="1:44">
      <c r="A1308" s="4" t="s">
        <v>5</v>
      </c>
      <c r="C1308" s="4">
        <v>1055</v>
      </c>
      <c r="D1308" s="5" t="s">
        <v>93</v>
      </c>
      <c r="E1308" s="6" t="s">
        <v>2204</v>
      </c>
      <c r="F1308" s="5" t="s">
        <v>2205</v>
      </c>
      <c r="AP1308" s="4" t="s">
        <v>376</v>
      </c>
      <c r="AR1308" s="4" t="s">
        <v>377</v>
      </c>
    </row>
    <row r="1309" spans="1:44">
      <c r="A1309" s="4" t="s">
        <v>5</v>
      </c>
      <c r="C1309" s="4">
        <v>6124</v>
      </c>
      <c r="D1309" s="5" t="s">
        <v>93</v>
      </c>
      <c r="E1309" s="6" t="s">
        <v>2206</v>
      </c>
      <c r="AP1309" s="4" t="s">
        <v>376</v>
      </c>
      <c r="AR1309" s="4" t="s">
        <v>377</v>
      </c>
    </row>
    <row r="1310" spans="1:44">
      <c r="A1310" s="4" t="s">
        <v>5</v>
      </c>
      <c r="C1310" s="4">
        <v>3145</v>
      </c>
      <c r="D1310" s="5" t="s">
        <v>93</v>
      </c>
      <c r="E1310" s="6" t="s">
        <v>2207</v>
      </c>
      <c r="F1310" s="5" t="s">
        <v>2208</v>
      </c>
      <c r="Z1310" s="4" t="s">
        <v>443</v>
      </c>
      <c r="AA1310" s="4" t="s">
        <v>444</v>
      </c>
      <c r="AP1310" s="4" t="s">
        <v>376</v>
      </c>
      <c r="AR1310" s="4" t="s">
        <v>377</v>
      </c>
    </row>
    <row r="1311" spans="1:44">
      <c r="A1311" s="4" t="s">
        <v>5</v>
      </c>
      <c r="C1311" s="4">
        <v>60</v>
      </c>
      <c r="D1311" s="5" t="s">
        <v>93</v>
      </c>
      <c r="E1311" s="6" t="s">
        <v>2209</v>
      </c>
      <c r="F1311" s="5" t="s">
        <v>2210</v>
      </c>
      <c r="AP1311" s="4" t="s">
        <v>376</v>
      </c>
      <c r="AR1311" s="4" t="s">
        <v>377</v>
      </c>
    </row>
    <row r="1312" spans="1:44">
      <c r="A1312" s="4" t="s">
        <v>5</v>
      </c>
      <c r="C1312" s="4">
        <v>3605</v>
      </c>
      <c r="D1312" s="5" t="s">
        <v>93</v>
      </c>
      <c r="E1312" s="6" t="s">
        <v>2211</v>
      </c>
      <c r="F1312" s="5" t="s">
        <v>2212</v>
      </c>
      <c r="Z1312" s="4" t="s">
        <v>695</v>
      </c>
      <c r="AA1312" s="4" t="s">
        <v>696</v>
      </c>
      <c r="AP1312" s="4" t="s">
        <v>376</v>
      </c>
      <c r="AR1312" s="4" t="s">
        <v>377</v>
      </c>
    </row>
    <row r="1313" spans="1:44" ht="30">
      <c r="A1313" s="4" t="s">
        <v>5</v>
      </c>
      <c r="C1313" s="4">
        <v>4754</v>
      </c>
      <c r="D1313" s="5" t="s">
        <v>93</v>
      </c>
      <c r="E1313" s="6" t="s">
        <v>2213</v>
      </c>
      <c r="AP1313" s="4" t="s">
        <v>376</v>
      </c>
      <c r="AR1313" s="4" t="s">
        <v>377</v>
      </c>
    </row>
    <row r="1314" spans="1:44">
      <c r="A1314" s="4" t="s">
        <v>5</v>
      </c>
      <c r="C1314" s="4">
        <v>5360</v>
      </c>
      <c r="D1314" s="5" t="s">
        <v>93</v>
      </c>
      <c r="E1314" s="6" t="s">
        <v>2214</v>
      </c>
      <c r="AP1314" s="4" t="s">
        <v>376</v>
      </c>
      <c r="AR1314" s="4" t="s">
        <v>377</v>
      </c>
    </row>
    <row r="1315" spans="1:44" ht="30">
      <c r="A1315" s="4" t="s">
        <v>5</v>
      </c>
      <c r="C1315" s="4">
        <v>5862</v>
      </c>
      <c r="D1315" s="5" t="s">
        <v>93</v>
      </c>
      <c r="E1315" s="6" t="s">
        <v>2215</v>
      </c>
      <c r="F1315" s="5" t="s">
        <v>2216</v>
      </c>
      <c r="Z1315" s="4" t="s">
        <v>447</v>
      </c>
      <c r="AA1315" s="4" t="s">
        <v>448</v>
      </c>
      <c r="AP1315" s="4" t="s">
        <v>376</v>
      </c>
      <c r="AR1315" s="4" t="s">
        <v>377</v>
      </c>
    </row>
    <row r="1316" spans="1:44">
      <c r="A1316" s="4" t="s">
        <v>5</v>
      </c>
      <c r="C1316" s="4">
        <v>4050</v>
      </c>
      <c r="D1316" s="5" t="s">
        <v>93</v>
      </c>
      <c r="E1316" s="6" t="s">
        <v>2217</v>
      </c>
      <c r="F1316" s="5" t="s">
        <v>2218</v>
      </c>
      <c r="Z1316" s="4" t="s">
        <v>443</v>
      </c>
      <c r="AA1316" s="4" t="s">
        <v>444</v>
      </c>
      <c r="AP1316" s="4" t="s">
        <v>376</v>
      </c>
      <c r="AR1316" s="4" t="s">
        <v>377</v>
      </c>
    </row>
    <row r="1317" spans="1:44">
      <c r="A1317" s="4" t="s">
        <v>5</v>
      </c>
      <c r="C1317" s="4">
        <v>3518</v>
      </c>
      <c r="D1317" s="5" t="s">
        <v>93</v>
      </c>
      <c r="E1317" s="6" t="s">
        <v>2219</v>
      </c>
      <c r="AP1317" s="4" t="s">
        <v>376</v>
      </c>
      <c r="AR1317" s="4" t="s">
        <v>377</v>
      </c>
    </row>
    <row r="1318" spans="1:44">
      <c r="A1318" s="4" t="s">
        <v>5</v>
      </c>
      <c r="C1318" s="4">
        <v>1435</v>
      </c>
      <c r="D1318" s="5" t="s">
        <v>93</v>
      </c>
      <c r="E1318" s="6" t="s">
        <v>2220</v>
      </c>
      <c r="F1318" s="5" t="s">
        <v>2221</v>
      </c>
      <c r="AP1318" s="4" t="s">
        <v>376</v>
      </c>
      <c r="AR1318" s="4" t="s">
        <v>377</v>
      </c>
    </row>
    <row r="1319" spans="1:44">
      <c r="A1319" s="4" t="s">
        <v>5</v>
      </c>
      <c r="C1319" s="4">
        <v>3448</v>
      </c>
      <c r="D1319" s="5" t="s">
        <v>93</v>
      </c>
      <c r="E1319" s="6" t="s">
        <v>2222</v>
      </c>
      <c r="AP1319" s="4" t="s">
        <v>376</v>
      </c>
      <c r="AR1319" s="4" t="s">
        <v>377</v>
      </c>
    </row>
    <row r="1320" spans="1:44">
      <c r="A1320" s="4" t="s">
        <v>5</v>
      </c>
      <c r="C1320" s="4">
        <v>2534</v>
      </c>
      <c r="D1320" s="5" t="s">
        <v>93</v>
      </c>
      <c r="E1320" s="6" t="s">
        <v>2223</v>
      </c>
      <c r="AP1320" s="4" t="s">
        <v>376</v>
      </c>
      <c r="AR1320" s="4" t="s">
        <v>377</v>
      </c>
    </row>
    <row r="1321" spans="1:44">
      <c r="A1321" s="4" t="s">
        <v>5</v>
      </c>
      <c r="C1321" s="4">
        <v>5810</v>
      </c>
      <c r="D1321" s="5" t="s">
        <v>93</v>
      </c>
      <c r="E1321" s="6" t="s">
        <v>2224</v>
      </c>
      <c r="Z1321" s="4" t="s">
        <v>447</v>
      </c>
      <c r="AA1321" s="4" t="s">
        <v>448</v>
      </c>
      <c r="AP1321" s="4" t="s">
        <v>376</v>
      </c>
      <c r="AR1321" s="4" t="s">
        <v>377</v>
      </c>
    </row>
    <row r="1322" spans="1:44">
      <c r="A1322" s="4" t="s">
        <v>5</v>
      </c>
      <c r="C1322" s="4">
        <v>6798</v>
      </c>
      <c r="D1322" s="5" t="s">
        <v>93</v>
      </c>
      <c r="E1322" s="6" t="s">
        <v>2225</v>
      </c>
      <c r="AP1322" s="4" t="s">
        <v>376</v>
      </c>
      <c r="AR1322" s="4" t="s">
        <v>377</v>
      </c>
    </row>
    <row r="1323" spans="1:44" ht="30">
      <c r="A1323" s="4" t="s">
        <v>5</v>
      </c>
      <c r="C1323" s="4">
        <v>997</v>
      </c>
      <c r="D1323" s="5" t="s">
        <v>93</v>
      </c>
      <c r="E1323" s="6" t="s">
        <v>2226</v>
      </c>
      <c r="AP1323" s="4" t="s">
        <v>376</v>
      </c>
      <c r="AR1323" s="4" t="s">
        <v>377</v>
      </c>
    </row>
    <row r="1324" spans="1:44">
      <c r="A1324" s="4" t="s">
        <v>5</v>
      </c>
      <c r="C1324" s="4">
        <v>4456</v>
      </c>
      <c r="D1324" s="5" t="s">
        <v>93</v>
      </c>
      <c r="E1324" s="6" t="s">
        <v>2227</v>
      </c>
      <c r="F1324" s="5" t="s">
        <v>2228</v>
      </c>
      <c r="AP1324" s="4" t="s">
        <v>376</v>
      </c>
      <c r="AR1324" s="4" t="s">
        <v>377</v>
      </c>
    </row>
    <row r="1325" spans="1:44">
      <c r="A1325" s="4" t="s">
        <v>5</v>
      </c>
      <c r="C1325" s="4">
        <v>1327</v>
      </c>
      <c r="D1325" s="5" t="s">
        <v>93</v>
      </c>
      <c r="E1325" s="6" t="s">
        <v>2229</v>
      </c>
      <c r="F1325" s="5" t="s">
        <v>2230</v>
      </c>
      <c r="AP1325" s="4" t="s">
        <v>376</v>
      </c>
      <c r="AR1325" s="4" t="s">
        <v>377</v>
      </c>
    </row>
    <row r="1326" spans="1:44">
      <c r="A1326" s="4" t="s">
        <v>5</v>
      </c>
      <c r="C1326" s="4">
        <v>1163</v>
      </c>
      <c r="D1326" s="5" t="s">
        <v>93</v>
      </c>
      <c r="E1326" s="6" t="s">
        <v>2231</v>
      </c>
      <c r="AP1326" s="4" t="s">
        <v>376</v>
      </c>
      <c r="AR1326" s="4" t="s">
        <v>377</v>
      </c>
    </row>
    <row r="1327" spans="1:44">
      <c r="A1327" s="4" t="s">
        <v>5</v>
      </c>
      <c r="C1327" s="4">
        <v>772</v>
      </c>
      <c r="D1327" s="5" t="s">
        <v>93</v>
      </c>
      <c r="E1327" s="6" t="s">
        <v>2232</v>
      </c>
      <c r="F1327" s="5" t="s">
        <v>2233</v>
      </c>
      <c r="AP1327" s="4" t="s">
        <v>376</v>
      </c>
      <c r="AR1327" s="4" t="s">
        <v>377</v>
      </c>
    </row>
    <row r="1328" spans="1:44">
      <c r="A1328" s="4" t="s">
        <v>5</v>
      </c>
      <c r="C1328" s="4">
        <v>3940</v>
      </c>
      <c r="D1328" s="5" t="s">
        <v>93</v>
      </c>
      <c r="E1328" s="6" t="s">
        <v>2234</v>
      </c>
      <c r="AP1328" s="4" t="s">
        <v>376</v>
      </c>
      <c r="AR1328" s="4" t="s">
        <v>377</v>
      </c>
    </row>
    <row r="1329" spans="1:44" ht="30">
      <c r="A1329" s="4" t="s">
        <v>5</v>
      </c>
      <c r="C1329" s="4">
        <v>5257</v>
      </c>
      <c r="D1329" s="5" t="s">
        <v>93</v>
      </c>
      <c r="E1329" s="6" t="s">
        <v>2235</v>
      </c>
      <c r="AP1329" s="4" t="s">
        <v>376</v>
      </c>
      <c r="AR1329" s="4" t="s">
        <v>377</v>
      </c>
    </row>
    <row r="1330" spans="1:44" ht="30">
      <c r="A1330" s="4" t="s">
        <v>5</v>
      </c>
      <c r="C1330" s="4">
        <v>3653</v>
      </c>
      <c r="D1330" s="5" t="s">
        <v>93</v>
      </c>
      <c r="E1330" s="6" t="s">
        <v>2236</v>
      </c>
      <c r="F1330" s="5" t="s">
        <v>2237</v>
      </c>
      <c r="AP1330" s="4" t="s">
        <v>376</v>
      </c>
      <c r="AR1330" s="4" t="s">
        <v>377</v>
      </c>
    </row>
    <row r="1331" spans="1:44">
      <c r="A1331" s="4" t="s">
        <v>5</v>
      </c>
      <c r="C1331" s="4">
        <v>3862</v>
      </c>
      <c r="D1331" s="5" t="s">
        <v>93</v>
      </c>
      <c r="E1331" s="6" t="s">
        <v>2238</v>
      </c>
      <c r="AP1331" s="4" t="s">
        <v>376</v>
      </c>
      <c r="AR1331" s="4" t="s">
        <v>377</v>
      </c>
    </row>
    <row r="1332" spans="1:44" ht="30">
      <c r="A1332" s="4" t="s">
        <v>5</v>
      </c>
      <c r="C1332" s="4">
        <v>6280</v>
      </c>
      <c r="D1332" s="5" t="s">
        <v>93</v>
      </c>
      <c r="E1332" s="6" t="s">
        <v>2239</v>
      </c>
      <c r="F1332" s="5" t="s">
        <v>2240</v>
      </c>
      <c r="AP1332" s="4" t="s">
        <v>376</v>
      </c>
      <c r="AR1332" s="4" t="s">
        <v>377</v>
      </c>
    </row>
    <row r="1333" spans="1:44">
      <c r="A1333" s="4" t="s">
        <v>5</v>
      </c>
      <c r="C1333" s="4">
        <v>5083</v>
      </c>
      <c r="D1333" s="5" t="s">
        <v>93</v>
      </c>
      <c r="E1333" s="6" t="s">
        <v>2241</v>
      </c>
      <c r="AP1333" s="4" t="s">
        <v>376</v>
      </c>
      <c r="AR1333" s="4" t="s">
        <v>377</v>
      </c>
    </row>
    <row r="1334" spans="1:44">
      <c r="A1334" s="4" t="s">
        <v>5</v>
      </c>
      <c r="C1334" s="4">
        <v>2192</v>
      </c>
      <c r="D1334" s="5" t="s">
        <v>93</v>
      </c>
      <c r="E1334" s="6" t="s">
        <v>2242</v>
      </c>
      <c r="AP1334" s="4" t="s">
        <v>376</v>
      </c>
      <c r="AR1334" s="4" t="s">
        <v>377</v>
      </c>
    </row>
    <row r="1335" spans="1:44">
      <c r="A1335" s="4" t="s">
        <v>5</v>
      </c>
      <c r="C1335" s="4">
        <v>1207</v>
      </c>
      <c r="D1335" s="5" t="s">
        <v>93</v>
      </c>
      <c r="E1335" s="6" t="s">
        <v>2243</v>
      </c>
      <c r="AP1335" s="4" t="s">
        <v>376</v>
      </c>
      <c r="AR1335" s="4" t="s">
        <v>377</v>
      </c>
    </row>
    <row r="1336" spans="1:44">
      <c r="A1336" s="4" t="s">
        <v>5</v>
      </c>
      <c r="C1336" s="4">
        <v>4067</v>
      </c>
      <c r="D1336" s="5" t="s">
        <v>93</v>
      </c>
      <c r="E1336" s="6" t="s">
        <v>2244</v>
      </c>
      <c r="AP1336" s="4" t="s">
        <v>376</v>
      </c>
      <c r="AR1336" s="4" t="s">
        <v>377</v>
      </c>
    </row>
    <row r="1337" spans="1:44">
      <c r="A1337" s="4" t="s">
        <v>5</v>
      </c>
      <c r="C1337" s="4">
        <v>116</v>
      </c>
      <c r="D1337" s="5" t="s">
        <v>93</v>
      </c>
      <c r="E1337" s="6" t="s">
        <v>2245</v>
      </c>
      <c r="F1337" s="5" t="s">
        <v>2246</v>
      </c>
      <c r="AP1337" s="4" t="s">
        <v>376</v>
      </c>
      <c r="AR1337" s="4" t="s">
        <v>377</v>
      </c>
    </row>
    <row r="1338" spans="1:44">
      <c r="A1338" s="4" t="s">
        <v>5</v>
      </c>
      <c r="C1338" s="4">
        <v>5058</v>
      </c>
      <c r="D1338" s="5" t="s">
        <v>93</v>
      </c>
      <c r="E1338" s="6" t="s">
        <v>2247</v>
      </c>
      <c r="AP1338" s="4" t="s">
        <v>376</v>
      </c>
      <c r="AR1338" s="4" t="s">
        <v>377</v>
      </c>
    </row>
    <row r="1339" spans="1:44" ht="30">
      <c r="A1339" s="4" t="s">
        <v>5</v>
      </c>
      <c r="C1339" s="4">
        <v>1035</v>
      </c>
      <c r="D1339" s="5" t="s">
        <v>93</v>
      </c>
      <c r="E1339" s="6" t="s">
        <v>2248</v>
      </c>
      <c r="Z1339" s="4" t="s">
        <v>443</v>
      </c>
      <c r="AA1339" s="4" t="s">
        <v>444</v>
      </c>
      <c r="AP1339" s="4" t="s">
        <v>376</v>
      </c>
      <c r="AR1339" s="4" t="s">
        <v>377</v>
      </c>
    </row>
    <row r="1340" spans="1:44">
      <c r="A1340" s="4" t="s">
        <v>5</v>
      </c>
      <c r="C1340" s="4">
        <v>1827</v>
      </c>
      <c r="D1340" s="5" t="s">
        <v>93</v>
      </c>
      <c r="E1340" s="6" t="s">
        <v>2249</v>
      </c>
      <c r="AP1340" s="4" t="s">
        <v>376</v>
      </c>
      <c r="AR1340" s="4" t="s">
        <v>377</v>
      </c>
    </row>
    <row r="1341" spans="1:44" ht="30">
      <c r="A1341" s="4" t="s">
        <v>5</v>
      </c>
      <c r="C1341" s="4">
        <v>2492</v>
      </c>
      <c r="D1341" s="5" t="s">
        <v>93</v>
      </c>
      <c r="E1341" s="6" t="s">
        <v>2250</v>
      </c>
      <c r="F1341" s="5" t="s">
        <v>2251</v>
      </c>
      <c r="AP1341" s="4" t="s">
        <v>376</v>
      </c>
      <c r="AR1341" s="4" t="s">
        <v>377</v>
      </c>
    </row>
    <row r="1342" spans="1:44" ht="30">
      <c r="A1342" s="4" t="s">
        <v>5</v>
      </c>
      <c r="C1342" s="4">
        <v>4402</v>
      </c>
      <c r="D1342" s="5" t="s">
        <v>93</v>
      </c>
      <c r="E1342" s="6" t="s">
        <v>2252</v>
      </c>
      <c r="AP1342" s="4" t="s">
        <v>376</v>
      </c>
      <c r="AR1342" s="4" t="s">
        <v>377</v>
      </c>
    </row>
    <row r="1343" spans="1:44">
      <c r="A1343" s="4" t="s">
        <v>5</v>
      </c>
      <c r="C1343" s="4">
        <v>2292</v>
      </c>
      <c r="D1343" s="5" t="s">
        <v>93</v>
      </c>
      <c r="E1343" s="6" t="s">
        <v>2253</v>
      </c>
      <c r="AP1343" s="4" t="s">
        <v>376</v>
      </c>
      <c r="AR1343" s="4" t="s">
        <v>377</v>
      </c>
    </row>
    <row r="1344" spans="1:44">
      <c r="A1344" s="4" t="s">
        <v>5</v>
      </c>
      <c r="C1344" s="4">
        <v>1403</v>
      </c>
      <c r="D1344" s="5" t="s">
        <v>93</v>
      </c>
      <c r="E1344" s="6" t="s">
        <v>2254</v>
      </c>
      <c r="AP1344" s="4" t="s">
        <v>376</v>
      </c>
      <c r="AR1344" s="4" t="s">
        <v>377</v>
      </c>
    </row>
    <row r="1345" spans="1:44">
      <c r="A1345" s="4" t="s">
        <v>5</v>
      </c>
      <c r="C1345" s="4">
        <v>132</v>
      </c>
      <c r="D1345" s="5" t="s">
        <v>93</v>
      </c>
      <c r="E1345" s="6" t="s">
        <v>2255</v>
      </c>
      <c r="F1345" s="5" t="s">
        <v>2256</v>
      </c>
      <c r="AP1345" s="4" t="s">
        <v>376</v>
      </c>
      <c r="AR1345" s="4" t="s">
        <v>377</v>
      </c>
    </row>
    <row r="1346" spans="1:44">
      <c r="A1346" s="4" t="s">
        <v>5</v>
      </c>
      <c r="C1346" s="4">
        <v>3753</v>
      </c>
      <c r="D1346" s="5" t="s">
        <v>93</v>
      </c>
      <c r="E1346" s="6" t="s">
        <v>2257</v>
      </c>
      <c r="F1346" s="5" t="s">
        <v>2258</v>
      </c>
      <c r="Z1346" s="4" t="s">
        <v>443</v>
      </c>
      <c r="AA1346" s="4" t="s">
        <v>444</v>
      </c>
      <c r="AP1346" s="4" t="s">
        <v>376</v>
      </c>
      <c r="AR1346" s="4" t="s">
        <v>377</v>
      </c>
    </row>
    <row r="1347" spans="1:44">
      <c r="A1347" s="4" t="s">
        <v>5</v>
      </c>
      <c r="C1347" s="4">
        <v>3734</v>
      </c>
      <c r="D1347" s="5" t="s">
        <v>93</v>
      </c>
      <c r="E1347" s="6" t="s">
        <v>2259</v>
      </c>
      <c r="AP1347" s="4" t="s">
        <v>376</v>
      </c>
      <c r="AR1347" s="4" t="s">
        <v>377</v>
      </c>
    </row>
    <row r="1348" spans="1:44" ht="30">
      <c r="A1348" s="4" t="s">
        <v>5</v>
      </c>
      <c r="C1348" s="4">
        <v>6475</v>
      </c>
      <c r="D1348" s="5" t="s">
        <v>93</v>
      </c>
      <c r="E1348" s="6" t="s">
        <v>2260</v>
      </c>
      <c r="AP1348" s="4" t="s">
        <v>376</v>
      </c>
      <c r="AR1348" s="4" t="s">
        <v>377</v>
      </c>
    </row>
    <row r="1349" spans="1:44">
      <c r="A1349" s="4" t="s">
        <v>5</v>
      </c>
      <c r="C1349" s="4">
        <v>5782</v>
      </c>
      <c r="D1349" s="5" t="s">
        <v>93</v>
      </c>
      <c r="E1349" s="6" t="s">
        <v>2261</v>
      </c>
      <c r="AP1349" s="4" t="s">
        <v>376</v>
      </c>
      <c r="AR1349" s="4" t="s">
        <v>377</v>
      </c>
    </row>
    <row r="1350" spans="1:44" ht="30">
      <c r="A1350" s="4" t="s">
        <v>5</v>
      </c>
      <c r="C1350" s="4">
        <v>2914</v>
      </c>
      <c r="D1350" s="5" t="s">
        <v>93</v>
      </c>
      <c r="E1350" s="6" t="s">
        <v>2262</v>
      </c>
      <c r="AP1350" s="4" t="s">
        <v>376</v>
      </c>
      <c r="AR1350" s="4" t="s">
        <v>377</v>
      </c>
    </row>
    <row r="1351" spans="1:44" ht="30">
      <c r="A1351" s="4" t="s">
        <v>5</v>
      </c>
      <c r="C1351" s="4">
        <v>4003</v>
      </c>
      <c r="D1351" s="5" t="s">
        <v>93</v>
      </c>
      <c r="E1351" s="6" t="s">
        <v>2263</v>
      </c>
      <c r="AP1351" s="4" t="s">
        <v>376</v>
      </c>
      <c r="AR1351" s="4" t="s">
        <v>377</v>
      </c>
    </row>
    <row r="1352" spans="1:44" ht="30">
      <c r="A1352" s="4" t="s">
        <v>5</v>
      </c>
      <c r="C1352" s="4">
        <v>4072</v>
      </c>
      <c r="D1352" s="5" t="s">
        <v>93</v>
      </c>
      <c r="E1352" s="6" t="s">
        <v>2264</v>
      </c>
      <c r="F1352" s="5" t="s">
        <v>2265</v>
      </c>
      <c r="AP1352" s="4" t="s">
        <v>376</v>
      </c>
      <c r="AR1352" s="4" t="s">
        <v>377</v>
      </c>
    </row>
    <row r="1353" spans="1:44">
      <c r="A1353" s="4" t="s">
        <v>5</v>
      </c>
      <c r="C1353" s="4">
        <v>6930</v>
      </c>
      <c r="D1353" s="5" t="s">
        <v>93</v>
      </c>
      <c r="E1353" s="6" t="s">
        <v>2266</v>
      </c>
      <c r="AP1353" s="4" t="s">
        <v>376</v>
      </c>
      <c r="AR1353" s="4" t="s">
        <v>377</v>
      </c>
    </row>
    <row r="1354" spans="1:44">
      <c r="A1354" s="4" t="s">
        <v>5</v>
      </c>
      <c r="C1354" s="4">
        <v>1603</v>
      </c>
      <c r="D1354" s="5" t="s">
        <v>93</v>
      </c>
      <c r="E1354" s="6" t="s">
        <v>2267</v>
      </c>
      <c r="AP1354" s="4" t="s">
        <v>376</v>
      </c>
      <c r="AR1354" s="4" t="s">
        <v>377</v>
      </c>
    </row>
    <row r="1355" spans="1:44">
      <c r="A1355" s="4" t="s">
        <v>5</v>
      </c>
      <c r="C1355" s="4">
        <v>6969</v>
      </c>
      <c r="D1355" s="5" t="s">
        <v>93</v>
      </c>
      <c r="E1355" s="6" t="s">
        <v>2268</v>
      </c>
      <c r="AP1355" s="4" t="s">
        <v>376</v>
      </c>
      <c r="AR1355" s="4" t="s">
        <v>377</v>
      </c>
    </row>
    <row r="1356" spans="1:44">
      <c r="A1356" s="4" t="s">
        <v>5</v>
      </c>
      <c r="C1356" s="4">
        <v>1019</v>
      </c>
      <c r="D1356" s="5" t="s">
        <v>93</v>
      </c>
      <c r="E1356" s="6" t="s">
        <v>2269</v>
      </c>
      <c r="AP1356" s="4" t="s">
        <v>376</v>
      </c>
      <c r="AR1356" s="4" t="s">
        <v>377</v>
      </c>
    </row>
    <row r="1357" spans="1:44" ht="30">
      <c r="A1357" s="4" t="s">
        <v>5</v>
      </c>
      <c r="C1357" s="4">
        <v>555</v>
      </c>
      <c r="D1357" s="5" t="s">
        <v>93</v>
      </c>
      <c r="E1357" s="6" t="s">
        <v>2270</v>
      </c>
      <c r="F1357" s="5" t="s">
        <v>2271</v>
      </c>
      <c r="AP1357" s="4" t="s">
        <v>376</v>
      </c>
      <c r="AR1357" s="4" t="s">
        <v>377</v>
      </c>
    </row>
    <row r="1358" spans="1:44" ht="30">
      <c r="A1358" s="4" t="s">
        <v>5</v>
      </c>
      <c r="C1358" s="4">
        <v>2762</v>
      </c>
      <c r="D1358" s="5" t="s">
        <v>93</v>
      </c>
      <c r="E1358" s="6" t="s">
        <v>2272</v>
      </c>
      <c r="AP1358" s="4" t="s">
        <v>376</v>
      </c>
      <c r="AR1358" s="4" t="s">
        <v>377</v>
      </c>
    </row>
    <row r="1359" spans="1:44">
      <c r="A1359" s="4" t="s">
        <v>5</v>
      </c>
      <c r="C1359" s="4">
        <v>329</v>
      </c>
      <c r="D1359" s="5" t="s">
        <v>93</v>
      </c>
      <c r="E1359" s="6" t="s">
        <v>2273</v>
      </c>
      <c r="F1359" s="5" t="s">
        <v>2274</v>
      </c>
      <c r="AP1359" s="4" t="s">
        <v>376</v>
      </c>
      <c r="AR1359" s="4" t="s">
        <v>377</v>
      </c>
    </row>
    <row r="1360" spans="1:44">
      <c r="A1360" s="4" t="s">
        <v>5</v>
      </c>
      <c r="C1360" s="4">
        <v>2391</v>
      </c>
      <c r="D1360" s="5" t="s">
        <v>93</v>
      </c>
      <c r="E1360" s="6" t="s">
        <v>2275</v>
      </c>
      <c r="F1360" s="5" t="s">
        <v>2276</v>
      </c>
      <c r="AP1360" s="4" t="s">
        <v>376</v>
      </c>
      <c r="AR1360" s="4" t="s">
        <v>377</v>
      </c>
    </row>
    <row r="1361" spans="1:44">
      <c r="A1361" s="4" t="s">
        <v>5</v>
      </c>
      <c r="C1361" s="4">
        <v>5141</v>
      </c>
      <c r="D1361" s="5" t="s">
        <v>93</v>
      </c>
      <c r="E1361" s="6" t="s">
        <v>2277</v>
      </c>
      <c r="F1361" s="5" t="s">
        <v>2278</v>
      </c>
      <c r="AP1361" s="4" t="s">
        <v>376</v>
      </c>
      <c r="AR1361" s="4" t="s">
        <v>377</v>
      </c>
    </row>
    <row r="1362" spans="1:44">
      <c r="A1362" s="4" t="s">
        <v>5</v>
      </c>
      <c r="C1362" s="4">
        <v>5040</v>
      </c>
      <c r="D1362" s="5" t="s">
        <v>93</v>
      </c>
      <c r="E1362" s="6" t="s">
        <v>2279</v>
      </c>
      <c r="AP1362" s="4" t="s">
        <v>376</v>
      </c>
      <c r="AR1362" s="4" t="s">
        <v>377</v>
      </c>
    </row>
    <row r="1363" spans="1:44">
      <c r="A1363" s="4" t="s">
        <v>5</v>
      </c>
      <c r="C1363" s="4">
        <v>46</v>
      </c>
      <c r="D1363" s="5" t="s">
        <v>93</v>
      </c>
      <c r="E1363" s="6" t="s">
        <v>2280</v>
      </c>
      <c r="F1363" s="5" t="s">
        <v>2281</v>
      </c>
      <c r="AP1363" s="4" t="s">
        <v>376</v>
      </c>
      <c r="AR1363" s="4" t="s">
        <v>377</v>
      </c>
    </row>
    <row r="1364" spans="1:44" ht="30">
      <c r="A1364" s="4" t="s">
        <v>5</v>
      </c>
      <c r="C1364" s="4">
        <v>3392</v>
      </c>
      <c r="D1364" s="5" t="s">
        <v>93</v>
      </c>
      <c r="E1364" s="6" t="s">
        <v>2282</v>
      </c>
      <c r="AP1364" s="4" t="s">
        <v>376</v>
      </c>
      <c r="AR1364" s="4" t="s">
        <v>377</v>
      </c>
    </row>
    <row r="1365" spans="1:44">
      <c r="A1365" s="4" t="s">
        <v>5</v>
      </c>
      <c r="C1365" s="4">
        <v>4849</v>
      </c>
      <c r="D1365" s="5" t="s">
        <v>93</v>
      </c>
      <c r="E1365" s="6" t="s">
        <v>2283</v>
      </c>
      <c r="Z1365" s="4" t="s">
        <v>443</v>
      </c>
      <c r="AA1365" s="4" t="s">
        <v>444</v>
      </c>
      <c r="AP1365" s="4" t="s">
        <v>376</v>
      </c>
      <c r="AR1365" s="4" t="s">
        <v>377</v>
      </c>
    </row>
    <row r="1366" spans="1:44">
      <c r="A1366" s="4" t="s">
        <v>5</v>
      </c>
      <c r="C1366" s="4">
        <v>3586</v>
      </c>
      <c r="D1366" s="5" t="s">
        <v>93</v>
      </c>
      <c r="E1366" s="6" t="s">
        <v>2284</v>
      </c>
      <c r="F1366" s="5" t="s">
        <v>2285</v>
      </c>
      <c r="AP1366" s="4" t="s">
        <v>376</v>
      </c>
      <c r="AR1366" s="4" t="s">
        <v>377</v>
      </c>
    </row>
    <row r="1367" spans="1:44">
      <c r="A1367" s="4" t="s">
        <v>5</v>
      </c>
      <c r="C1367" s="4">
        <v>5101</v>
      </c>
      <c r="D1367" s="5" t="s">
        <v>93</v>
      </c>
      <c r="E1367" s="6" t="s">
        <v>2286</v>
      </c>
      <c r="AP1367" s="4" t="s">
        <v>376</v>
      </c>
      <c r="AR1367" s="4" t="s">
        <v>377</v>
      </c>
    </row>
    <row r="1368" spans="1:44">
      <c r="A1368" s="4" t="s">
        <v>5</v>
      </c>
      <c r="C1368" s="4">
        <v>2919</v>
      </c>
      <c r="D1368" s="5" t="s">
        <v>93</v>
      </c>
      <c r="E1368" s="6" t="s">
        <v>2287</v>
      </c>
      <c r="AP1368" s="4" t="s">
        <v>376</v>
      </c>
      <c r="AR1368" s="4" t="s">
        <v>377</v>
      </c>
    </row>
    <row r="1369" spans="1:44">
      <c r="A1369" s="4" t="s">
        <v>5</v>
      </c>
      <c r="C1369" s="4">
        <v>3978</v>
      </c>
      <c r="D1369" s="5" t="s">
        <v>93</v>
      </c>
      <c r="E1369" s="6" t="s">
        <v>2288</v>
      </c>
      <c r="AP1369" s="4" t="s">
        <v>376</v>
      </c>
      <c r="AR1369" s="4" t="s">
        <v>377</v>
      </c>
    </row>
    <row r="1370" spans="1:44">
      <c r="A1370" s="4" t="s">
        <v>5</v>
      </c>
      <c r="C1370" s="4">
        <v>6850</v>
      </c>
      <c r="D1370" s="5" t="s">
        <v>93</v>
      </c>
      <c r="E1370" s="6" t="s">
        <v>2289</v>
      </c>
      <c r="F1370" s="5" t="s">
        <v>2290</v>
      </c>
      <c r="AP1370" s="4" t="s">
        <v>376</v>
      </c>
      <c r="AR1370" s="4" t="s">
        <v>377</v>
      </c>
    </row>
    <row r="1371" spans="1:44">
      <c r="A1371" s="4" t="s">
        <v>5</v>
      </c>
      <c r="C1371" s="4">
        <v>5135</v>
      </c>
      <c r="D1371" s="5" t="s">
        <v>93</v>
      </c>
      <c r="E1371" s="6" t="s">
        <v>2291</v>
      </c>
      <c r="AP1371" s="4" t="s">
        <v>376</v>
      </c>
      <c r="AR1371" s="4" t="s">
        <v>377</v>
      </c>
    </row>
    <row r="1372" spans="1:44">
      <c r="A1372" s="4" t="s">
        <v>5</v>
      </c>
      <c r="C1372" s="4">
        <v>5849</v>
      </c>
      <c r="D1372" s="5" t="s">
        <v>93</v>
      </c>
      <c r="E1372" s="6" t="s">
        <v>2292</v>
      </c>
      <c r="AP1372" s="4" t="s">
        <v>376</v>
      </c>
      <c r="AR1372" s="4" t="s">
        <v>377</v>
      </c>
    </row>
    <row r="1373" spans="1:44">
      <c r="A1373" s="4" t="s">
        <v>5</v>
      </c>
      <c r="C1373" s="4">
        <v>6678</v>
      </c>
      <c r="D1373" s="5" t="s">
        <v>93</v>
      </c>
      <c r="E1373" s="6" t="s">
        <v>2293</v>
      </c>
      <c r="AP1373" s="4" t="s">
        <v>376</v>
      </c>
      <c r="AR1373" s="4" t="s">
        <v>377</v>
      </c>
    </row>
    <row r="1374" spans="1:44" ht="30">
      <c r="A1374" s="4" t="s">
        <v>5</v>
      </c>
      <c r="C1374" s="4">
        <v>970</v>
      </c>
      <c r="D1374" s="5" t="s">
        <v>93</v>
      </c>
      <c r="E1374" s="6" t="s">
        <v>2294</v>
      </c>
      <c r="AP1374" s="4" t="s">
        <v>376</v>
      </c>
      <c r="AR1374" s="4" t="s">
        <v>377</v>
      </c>
    </row>
    <row r="1375" spans="1:44">
      <c r="A1375" s="4" t="s">
        <v>5</v>
      </c>
      <c r="C1375" s="4">
        <v>5896</v>
      </c>
      <c r="D1375" s="5" t="s">
        <v>93</v>
      </c>
      <c r="E1375" s="6" t="s">
        <v>2295</v>
      </c>
      <c r="AP1375" s="4" t="s">
        <v>376</v>
      </c>
      <c r="AR1375" s="4" t="s">
        <v>377</v>
      </c>
    </row>
    <row r="1376" spans="1:44">
      <c r="A1376" s="4" t="s">
        <v>5</v>
      </c>
      <c r="C1376" s="4">
        <v>6962</v>
      </c>
      <c r="D1376" s="5" t="s">
        <v>93</v>
      </c>
      <c r="E1376" s="6" t="s">
        <v>2296</v>
      </c>
      <c r="AP1376" s="4" t="s">
        <v>376</v>
      </c>
      <c r="AR1376" s="4" t="s">
        <v>377</v>
      </c>
    </row>
    <row r="1377" spans="1:44">
      <c r="A1377" s="4" t="s">
        <v>5</v>
      </c>
      <c r="C1377" s="4">
        <v>4554</v>
      </c>
      <c r="D1377" s="5" t="s">
        <v>93</v>
      </c>
      <c r="E1377" s="6" t="s">
        <v>2297</v>
      </c>
      <c r="AP1377" s="4" t="s">
        <v>376</v>
      </c>
      <c r="AR1377" s="4" t="s">
        <v>377</v>
      </c>
    </row>
    <row r="1378" spans="1:44">
      <c r="A1378" s="4" t="s">
        <v>5</v>
      </c>
      <c r="C1378" s="4">
        <v>5790</v>
      </c>
      <c r="D1378" s="5" t="s">
        <v>93</v>
      </c>
      <c r="E1378" s="6" t="s">
        <v>2298</v>
      </c>
      <c r="AP1378" s="4" t="s">
        <v>376</v>
      </c>
      <c r="AR1378" s="4" t="s">
        <v>377</v>
      </c>
    </row>
    <row r="1379" spans="1:44">
      <c r="A1379" s="4" t="s">
        <v>5</v>
      </c>
      <c r="C1379" s="4">
        <v>4808</v>
      </c>
      <c r="D1379" s="5" t="s">
        <v>93</v>
      </c>
      <c r="E1379" s="6" t="s">
        <v>2299</v>
      </c>
      <c r="F1379" s="5" t="s">
        <v>2300</v>
      </c>
      <c r="AP1379" s="4" t="s">
        <v>376</v>
      </c>
      <c r="AR1379" s="4" t="s">
        <v>377</v>
      </c>
    </row>
    <row r="1380" spans="1:44" ht="30">
      <c r="A1380" s="4" t="s">
        <v>5</v>
      </c>
      <c r="C1380" s="4">
        <v>3688</v>
      </c>
      <c r="D1380" s="5" t="s">
        <v>93</v>
      </c>
      <c r="E1380" s="6" t="s">
        <v>2301</v>
      </c>
      <c r="AP1380" s="4" t="s">
        <v>376</v>
      </c>
      <c r="AR1380" s="4" t="s">
        <v>377</v>
      </c>
    </row>
    <row r="1381" spans="1:44">
      <c r="A1381" s="4" t="s">
        <v>5</v>
      </c>
      <c r="C1381" s="4">
        <v>2676</v>
      </c>
      <c r="D1381" s="5" t="s">
        <v>93</v>
      </c>
      <c r="E1381" s="6" t="s">
        <v>2302</v>
      </c>
      <c r="AP1381" s="4" t="s">
        <v>376</v>
      </c>
      <c r="AR1381" s="4" t="s">
        <v>377</v>
      </c>
    </row>
    <row r="1382" spans="1:44" ht="30">
      <c r="A1382" s="4" t="s">
        <v>5</v>
      </c>
      <c r="C1382" s="4">
        <v>3110</v>
      </c>
      <c r="D1382" s="5" t="s">
        <v>93</v>
      </c>
      <c r="E1382" s="6" t="s">
        <v>2303</v>
      </c>
      <c r="F1382" s="5" t="s">
        <v>2304</v>
      </c>
      <c r="Z1382" s="4" t="s">
        <v>447</v>
      </c>
      <c r="AA1382" s="4" t="s">
        <v>448</v>
      </c>
      <c r="AP1382" s="4" t="s">
        <v>376</v>
      </c>
      <c r="AR1382" s="4" t="s">
        <v>377</v>
      </c>
    </row>
    <row r="1383" spans="1:44">
      <c r="A1383" s="4" t="s">
        <v>5</v>
      </c>
      <c r="C1383" s="4">
        <v>4695</v>
      </c>
      <c r="D1383" s="5" t="s">
        <v>93</v>
      </c>
      <c r="E1383" s="6" t="s">
        <v>2305</v>
      </c>
      <c r="F1383" s="5" t="s">
        <v>2306</v>
      </c>
      <c r="AP1383" s="4" t="s">
        <v>376</v>
      </c>
      <c r="AR1383" s="4" t="s">
        <v>377</v>
      </c>
    </row>
    <row r="1384" spans="1:44">
      <c r="A1384" s="4" t="s">
        <v>5</v>
      </c>
      <c r="C1384" s="4">
        <v>6101</v>
      </c>
      <c r="D1384" s="5" t="s">
        <v>93</v>
      </c>
      <c r="E1384" s="6" t="s">
        <v>2307</v>
      </c>
      <c r="AP1384" s="4" t="s">
        <v>376</v>
      </c>
      <c r="AR1384" s="4" t="s">
        <v>377</v>
      </c>
    </row>
    <row r="1385" spans="1:44" ht="30">
      <c r="A1385" s="4" t="s">
        <v>5</v>
      </c>
      <c r="C1385" s="4">
        <v>2418</v>
      </c>
      <c r="D1385" s="5" t="s">
        <v>93</v>
      </c>
      <c r="E1385" s="6" t="s">
        <v>2308</v>
      </c>
      <c r="F1385" s="5" t="s">
        <v>2309</v>
      </c>
      <c r="AP1385" s="4" t="s">
        <v>376</v>
      </c>
      <c r="AR1385" s="4" t="s">
        <v>377</v>
      </c>
    </row>
    <row r="1386" spans="1:44" ht="30">
      <c r="A1386" s="4" t="s">
        <v>5</v>
      </c>
      <c r="C1386" s="4">
        <v>6920</v>
      </c>
      <c r="D1386" s="5" t="s">
        <v>93</v>
      </c>
      <c r="E1386" s="6" t="s">
        <v>2310</v>
      </c>
      <c r="AP1386" s="4" t="s">
        <v>376</v>
      </c>
      <c r="AR1386" s="4" t="s">
        <v>377</v>
      </c>
    </row>
    <row r="1387" spans="1:44" ht="30">
      <c r="A1387" s="4" t="s">
        <v>5</v>
      </c>
      <c r="C1387" s="4">
        <v>6453</v>
      </c>
      <c r="D1387" s="5" t="s">
        <v>93</v>
      </c>
      <c r="E1387" s="6" t="s">
        <v>2311</v>
      </c>
      <c r="AP1387" s="4" t="s">
        <v>376</v>
      </c>
      <c r="AR1387" s="4" t="s">
        <v>377</v>
      </c>
    </row>
    <row r="1388" spans="1:44" ht="30">
      <c r="A1388" s="4" t="s">
        <v>5</v>
      </c>
      <c r="C1388" s="4">
        <v>473</v>
      </c>
      <c r="D1388" s="5" t="s">
        <v>93</v>
      </c>
      <c r="E1388" s="6" t="s">
        <v>2312</v>
      </c>
      <c r="F1388" s="5" t="s">
        <v>2313</v>
      </c>
      <c r="AP1388" s="4" t="s">
        <v>376</v>
      </c>
      <c r="AR1388" s="4" t="s">
        <v>377</v>
      </c>
    </row>
    <row r="1389" spans="1:44">
      <c r="A1389" s="4" t="s">
        <v>5</v>
      </c>
      <c r="C1389" s="4">
        <v>5589</v>
      </c>
      <c r="D1389" s="5" t="s">
        <v>93</v>
      </c>
      <c r="E1389" s="6" t="s">
        <v>2314</v>
      </c>
      <c r="AP1389" s="4" t="s">
        <v>376</v>
      </c>
      <c r="AR1389" s="4" t="s">
        <v>377</v>
      </c>
    </row>
    <row r="1390" spans="1:44">
      <c r="A1390" s="4" t="s">
        <v>5</v>
      </c>
      <c r="C1390" s="4">
        <v>4104</v>
      </c>
      <c r="D1390" s="5" t="s">
        <v>93</v>
      </c>
      <c r="E1390" s="6" t="s">
        <v>2315</v>
      </c>
      <c r="AP1390" s="4" t="s">
        <v>376</v>
      </c>
      <c r="AR1390" s="4" t="s">
        <v>377</v>
      </c>
    </row>
    <row r="1391" spans="1:44">
      <c r="A1391" s="4" t="s">
        <v>5</v>
      </c>
      <c r="C1391" s="4">
        <v>5350</v>
      </c>
      <c r="D1391" s="5" t="s">
        <v>93</v>
      </c>
      <c r="E1391" s="6" t="s">
        <v>2316</v>
      </c>
      <c r="AP1391" s="4" t="s">
        <v>376</v>
      </c>
      <c r="AR1391" s="4" t="s">
        <v>377</v>
      </c>
    </row>
    <row r="1392" spans="1:44">
      <c r="A1392" s="4" t="s">
        <v>5</v>
      </c>
      <c r="C1392" s="4">
        <v>4687</v>
      </c>
      <c r="D1392" s="5" t="s">
        <v>93</v>
      </c>
      <c r="E1392" s="6" t="s">
        <v>2317</v>
      </c>
      <c r="F1392" s="5" t="s">
        <v>2318</v>
      </c>
      <c r="Z1392" s="4" t="s">
        <v>443</v>
      </c>
      <c r="AA1392" s="4" t="s">
        <v>444</v>
      </c>
      <c r="AP1392" s="4" t="s">
        <v>376</v>
      </c>
      <c r="AR1392" s="4" t="s">
        <v>377</v>
      </c>
    </row>
    <row r="1393" spans="1:44">
      <c r="A1393" s="4" t="s">
        <v>5</v>
      </c>
      <c r="C1393" s="4">
        <v>3896</v>
      </c>
      <c r="D1393" s="5" t="s">
        <v>93</v>
      </c>
      <c r="E1393" s="6" t="s">
        <v>2319</v>
      </c>
      <c r="AP1393" s="4" t="s">
        <v>376</v>
      </c>
      <c r="AR1393" s="4" t="s">
        <v>377</v>
      </c>
    </row>
    <row r="1394" spans="1:44" ht="30">
      <c r="A1394" s="4" t="s">
        <v>5</v>
      </c>
      <c r="C1394" s="4">
        <v>3156</v>
      </c>
      <c r="D1394" s="5" t="s">
        <v>93</v>
      </c>
      <c r="E1394" s="6" t="s">
        <v>2320</v>
      </c>
      <c r="F1394" s="5" t="s">
        <v>2321</v>
      </c>
      <c r="AP1394" s="4" t="s">
        <v>376</v>
      </c>
      <c r="AR1394" s="4" t="s">
        <v>377</v>
      </c>
    </row>
    <row r="1395" spans="1:44">
      <c r="A1395" s="4" t="s">
        <v>5</v>
      </c>
      <c r="C1395" s="4">
        <v>3029</v>
      </c>
      <c r="D1395" s="5" t="s">
        <v>93</v>
      </c>
      <c r="E1395" s="6" t="s">
        <v>2322</v>
      </c>
      <c r="F1395" s="5" t="s">
        <v>2323</v>
      </c>
      <c r="AP1395" s="4" t="s">
        <v>376</v>
      </c>
      <c r="AR1395" s="4" t="s">
        <v>377</v>
      </c>
    </row>
    <row r="1396" spans="1:44">
      <c r="A1396" s="4" t="s">
        <v>5</v>
      </c>
      <c r="C1396" s="4">
        <v>6392</v>
      </c>
      <c r="D1396" s="5" t="s">
        <v>93</v>
      </c>
      <c r="E1396" s="6" t="s">
        <v>2324</v>
      </c>
      <c r="AP1396" s="4" t="s">
        <v>376</v>
      </c>
      <c r="AR1396" s="4" t="s">
        <v>377</v>
      </c>
    </row>
    <row r="1397" spans="1:44">
      <c r="A1397" s="4" t="s">
        <v>5</v>
      </c>
      <c r="C1397" s="4">
        <v>958</v>
      </c>
      <c r="D1397" s="5" t="s">
        <v>93</v>
      </c>
      <c r="E1397" s="6" t="s">
        <v>2325</v>
      </c>
      <c r="AP1397" s="4" t="s">
        <v>376</v>
      </c>
      <c r="AR1397" s="4" t="s">
        <v>377</v>
      </c>
    </row>
    <row r="1398" spans="1:44">
      <c r="A1398" s="4" t="s">
        <v>5</v>
      </c>
      <c r="C1398" s="4">
        <v>4760</v>
      </c>
      <c r="D1398" s="5" t="s">
        <v>93</v>
      </c>
      <c r="E1398" s="6" t="s">
        <v>2326</v>
      </c>
      <c r="AP1398" s="4" t="s">
        <v>376</v>
      </c>
      <c r="AR1398" s="4" t="s">
        <v>377</v>
      </c>
    </row>
    <row r="1399" spans="1:44">
      <c r="A1399" s="4" t="s">
        <v>5</v>
      </c>
      <c r="C1399" s="4">
        <v>5680</v>
      </c>
      <c r="D1399" s="5" t="s">
        <v>93</v>
      </c>
      <c r="E1399" s="6" t="s">
        <v>2327</v>
      </c>
      <c r="AP1399" s="4" t="s">
        <v>376</v>
      </c>
      <c r="AR1399" s="4" t="s">
        <v>377</v>
      </c>
    </row>
    <row r="1400" spans="1:44" ht="30">
      <c r="A1400" s="4" t="s">
        <v>5</v>
      </c>
      <c r="C1400" s="4">
        <v>2598</v>
      </c>
      <c r="D1400" s="5" t="s">
        <v>93</v>
      </c>
      <c r="E1400" s="6" t="s">
        <v>2328</v>
      </c>
      <c r="AP1400" s="4" t="s">
        <v>376</v>
      </c>
      <c r="AR1400" s="4" t="s">
        <v>377</v>
      </c>
    </row>
    <row r="1401" spans="1:44">
      <c r="A1401" s="4" t="s">
        <v>5</v>
      </c>
      <c r="C1401" s="4">
        <v>6198</v>
      </c>
      <c r="D1401" s="5" t="s">
        <v>93</v>
      </c>
      <c r="E1401" s="6" t="s">
        <v>2329</v>
      </c>
      <c r="AP1401" s="4" t="s">
        <v>376</v>
      </c>
      <c r="AR1401" s="4" t="s">
        <v>377</v>
      </c>
    </row>
    <row r="1402" spans="1:44">
      <c r="A1402" s="4" t="s">
        <v>5</v>
      </c>
      <c r="C1402" s="4">
        <v>6953</v>
      </c>
      <c r="D1402" s="5" t="s">
        <v>93</v>
      </c>
      <c r="E1402" s="6" t="s">
        <v>2330</v>
      </c>
      <c r="AP1402" s="4" t="s">
        <v>376</v>
      </c>
      <c r="AR1402" s="4" t="s">
        <v>377</v>
      </c>
    </row>
    <row r="1403" spans="1:44">
      <c r="A1403" s="4" t="s">
        <v>5</v>
      </c>
      <c r="C1403" s="4">
        <v>4570</v>
      </c>
      <c r="D1403" s="5" t="s">
        <v>93</v>
      </c>
      <c r="E1403" s="6" t="s">
        <v>2331</v>
      </c>
      <c r="AP1403" s="4" t="s">
        <v>376</v>
      </c>
      <c r="AR1403" s="4" t="s">
        <v>377</v>
      </c>
    </row>
    <row r="1404" spans="1:44">
      <c r="A1404" s="4" t="s">
        <v>5</v>
      </c>
      <c r="C1404" s="4">
        <v>2230</v>
      </c>
      <c r="D1404" s="5" t="s">
        <v>93</v>
      </c>
      <c r="E1404" s="6" t="s">
        <v>2332</v>
      </c>
      <c r="F1404" s="5" t="s">
        <v>2333</v>
      </c>
      <c r="AP1404" s="4" t="s">
        <v>376</v>
      </c>
      <c r="AR1404" s="4" t="s">
        <v>377</v>
      </c>
    </row>
    <row r="1405" spans="1:44">
      <c r="A1405" s="4" t="s">
        <v>5</v>
      </c>
      <c r="C1405" s="4">
        <v>4698</v>
      </c>
      <c r="D1405" s="5" t="s">
        <v>93</v>
      </c>
      <c r="E1405" s="6" t="s">
        <v>2334</v>
      </c>
      <c r="Z1405" s="4" t="s">
        <v>443</v>
      </c>
      <c r="AA1405" s="4" t="s">
        <v>444</v>
      </c>
      <c r="AP1405" s="4" t="s">
        <v>376</v>
      </c>
      <c r="AR1405" s="4" t="s">
        <v>377</v>
      </c>
    </row>
    <row r="1406" spans="1:44" ht="30">
      <c r="A1406" s="4" t="s">
        <v>5</v>
      </c>
      <c r="C1406" s="4">
        <v>6868</v>
      </c>
      <c r="D1406" s="5" t="s">
        <v>93</v>
      </c>
      <c r="E1406" s="6" t="s">
        <v>2335</v>
      </c>
      <c r="AP1406" s="4" t="s">
        <v>376</v>
      </c>
      <c r="AR1406" s="4" t="s">
        <v>377</v>
      </c>
    </row>
    <row r="1407" spans="1:44" ht="30">
      <c r="A1407" s="4" t="s">
        <v>5</v>
      </c>
      <c r="C1407" s="4">
        <v>3597</v>
      </c>
      <c r="D1407" s="5" t="s">
        <v>93</v>
      </c>
      <c r="E1407" s="6" t="s">
        <v>2336</v>
      </c>
      <c r="F1407" s="5" t="s">
        <v>2337</v>
      </c>
      <c r="AP1407" s="4" t="s">
        <v>376</v>
      </c>
      <c r="AR1407" s="4" t="s">
        <v>377</v>
      </c>
    </row>
    <row r="1408" spans="1:44">
      <c r="A1408" s="4" t="s">
        <v>5</v>
      </c>
      <c r="C1408" s="4">
        <v>3930</v>
      </c>
      <c r="D1408" s="5" t="s">
        <v>93</v>
      </c>
      <c r="E1408" s="6" t="s">
        <v>2338</v>
      </c>
      <c r="F1408" s="5" t="s">
        <v>2339</v>
      </c>
      <c r="Z1408" s="4" t="s">
        <v>447</v>
      </c>
      <c r="AA1408" s="4" t="s">
        <v>448</v>
      </c>
      <c r="AP1408" s="4" t="s">
        <v>376</v>
      </c>
      <c r="AR1408" s="4" t="s">
        <v>377</v>
      </c>
    </row>
    <row r="1409" spans="1:44">
      <c r="A1409" s="4" t="s">
        <v>5</v>
      </c>
      <c r="C1409" s="4">
        <v>4145</v>
      </c>
      <c r="D1409" s="5" t="s">
        <v>93</v>
      </c>
      <c r="E1409" s="6" t="s">
        <v>2340</v>
      </c>
      <c r="AP1409" s="4" t="s">
        <v>376</v>
      </c>
      <c r="AR1409" s="4" t="s">
        <v>377</v>
      </c>
    </row>
    <row r="1410" spans="1:44">
      <c r="A1410" s="4" t="s">
        <v>5</v>
      </c>
      <c r="C1410" s="4">
        <v>5813</v>
      </c>
      <c r="D1410" s="5" t="s">
        <v>93</v>
      </c>
      <c r="E1410" s="6" t="s">
        <v>2341</v>
      </c>
      <c r="AP1410" s="4" t="s">
        <v>376</v>
      </c>
      <c r="AR1410" s="4" t="s">
        <v>377</v>
      </c>
    </row>
    <row r="1411" spans="1:44" ht="30">
      <c r="A1411" s="4" t="s">
        <v>5</v>
      </c>
      <c r="C1411" s="4">
        <v>5321</v>
      </c>
      <c r="D1411" s="5" t="s">
        <v>93</v>
      </c>
      <c r="E1411" s="6" t="s">
        <v>2342</v>
      </c>
      <c r="AP1411" s="4" t="s">
        <v>376</v>
      </c>
      <c r="AR1411" s="4" t="s">
        <v>377</v>
      </c>
    </row>
    <row r="1412" spans="1:44" ht="30">
      <c r="A1412" s="4" t="s">
        <v>5</v>
      </c>
      <c r="C1412" s="4">
        <v>4102</v>
      </c>
      <c r="D1412" s="5" t="s">
        <v>93</v>
      </c>
      <c r="E1412" s="6" t="s">
        <v>2343</v>
      </c>
      <c r="AP1412" s="4" t="s">
        <v>376</v>
      </c>
      <c r="AR1412" s="4" t="s">
        <v>377</v>
      </c>
    </row>
    <row r="1413" spans="1:44" ht="30">
      <c r="A1413" s="4" t="s">
        <v>5</v>
      </c>
      <c r="C1413" s="4">
        <v>6885</v>
      </c>
      <c r="D1413" s="5" t="s">
        <v>93</v>
      </c>
      <c r="E1413" s="6" t="s">
        <v>2344</v>
      </c>
      <c r="AP1413" s="4" t="s">
        <v>376</v>
      </c>
      <c r="AR1413" s="4" t="s">
        <v>377</v>
      </c>
    </row>
    <row r="1414" spans="1:44">
      <c r="A1414" s="4" t="s">
        <v>5</v>
      </c>
      <c r="C1414" s="4">
        <v>1959</v>
      </c>
      <c r="D1414" s="5" t="s">
        <v>93</v>
      </c>
      <c r="E1414" s="6" t="s">
        <v>2345</v>
      </c>
      <c r="F1414" s="5" t="s">
        <v>2346</v>
      </c>
      <c r="AP1414" s="4" t="s">
        <v>376</v>
      </c>
      <c r="AR1414" s="4" t="s">
        <v>377</v>
      </c>
    </row>
    <row r="1415" spans="1:44">
      <c r="A1415" s="4" t="s">
        <v>5</v>
      </c>
      <c r="C1415" s="4">
        <v>5571</v>
      </c>
      <c r="D1415" s="5" t="s">
        <v>93</v>
      </c>
      <c r="E1415" s="6" t="s">
        <v>2347</v>
      </c>
      <c r="AP1415" s="4" t="s">
        <v>376</v>
      </c>
      <c r="AR1415" s="4" t="s">
        <v>377</v>
      </c>
    </row>
    <row r="1416" spans="1:44" ht="30">
      <c r="A1416" s="4" t="s">
        <v>5</v>
      </c>
      <c r="C1416" s="4">
        <v>5318</v>
      </c>
      <c r="D1416" s="5" t="s">
        <v>93</v>
      </c>
      <c r="E1416" s="6" t="s">
        <v>2348</v>
      </c>
      <c r="AP1416" s="4" t="s">
        <v>376</v>
      </c>
      <c r="AR1416" s="4" t="s">
        <v>377</v>
      </c>
    </row>
    <row r="1417" spans="1:44">
      <c r="A1417" s="4" t="s">
        <v>5</v>
      </c>
      <c r="C1417" s="4">
        <v>6819</v>
      </c>
      <c r="D1417" s="5" t="s">
        <v>93</v>
      </c>
      <c r="E1417" s="6" t="s">
        <v>2349</v>
      </c>
      <c r="AP1417" s="4" t="s">
        <v>376</v>
      </c>
      <c r="AR1417" s="4" t="s">
        <v>377</v>
      </c>
    </row>
    <row r="1418" spans="1:44">
      <c r="A1418" s="4" t="s">
        <v>5</v>
      </c>
      <c r="C1418" s="4">
        <v>3271</v>
      </c>
      <c r="D1418" s="5" t="s">
        <v>93</v>
      </c>
      <c r="E1418" s="6" t="s">
        <v>2350</v>
      </c>
      <c r="AP1418" s="4" t="s">
        <v>376</v>
      </c>
      <c r="AR1418" s="4" t="s">
        <v>377</v>
      </c>
    </row>
    <row r="1419" spans="1:44">
      <c r="A1419" s="4" t="s">
        <v>5</v>
      </c>
      <c r="C1419" s="4">
        <v>2353</v>
      </c>
      <c r="D1419" s="5" t="s">
        <v>93</v>
      </c>
      <c r="E1419" s="6" t="s">
        <v>2351</v>
      </c>
      <c r="AP1419" s="4" t="s">
        <v>376</v>
      </c>
      <c r="AR1419" s="4" t="s">
        <v>377</v>
      </c>
    </row>
    <row r="1420" spans="1:44">
      <c r="A1420" s="4" t="s">
        <v>5</v>
      </c>
      <c r="C1420" s="4">
        <v>5779</v>
      </c>
      <c r="D1420" s="5" t="s">
        <v>93</v>
      </c>
      <c r="E1420" s="6" t="s">
        <v>2352</v>
      </c>
      <c r="AP1420" s="4" t="s">
        <v>376</v>
      </c>
      <c r="AR1420" s="4" t="s">
        <v>377</v>
      </c>
    </row>
    <row r="1421" spans="1:44" ht="30">
      <c r="A1421" s="4" t="s">
        <v>5</v>
      </c>
      <c r="C1421" s="4">
        <v>2367</v>
      </c>
      <c r="D1421" s="5" t="s">
        <v>93</v>
      </c>
      <c r="E1421" s="6" t="s">
        <v>2353</v>
      </c>
      <c r="F1421" s="5" t="s">
        <v>2354</v>
      </c>
      <c r="AP1421" s="4" t="s">
        <v>376</v>
      </c>
      <c r="AR1421" s="4" t="s">
        <v>377</v>
      </c>
    </row>
    <row r="1422" spans="1:44">
      <c r="A1422" s="4" t="s">
        <v>5</v>
      </c>
      <c r="C1422" s="4">
        <v>3657</v>
      </c>
      <c r="D1422" s="5" t="s">
        <v>93</v>
      </c>
      <c r="E1422" s="6" t="s">
        <v>2355</v>
      </c>
      <c r="F1422" s="5" t="s">
        <v>2356</v>
      </c>
      <c r="AP1422" s="4" t="s">
        <v>376</v>
      </c>
      <c r="AR1422" s="4" t="s">
        <v>377</v>
      </c>
    </row>
    <row r="1423" spans="1:44">
      <c r="A1423" s="4" t="s">
        <v>5</v>
      </c>
      <c r="C1423" s="4">
        <v>3086</v>
      </c>
      <c r="D1423" s="5" t="s">
        <v>93</v>
      </c>
      <c r="E1423" s="6" t="s">
        <v>2357</v>
      </c>
      <c r="F1423" s="5" t="s">
        <v>2358</v>
      </c>
      <c r="AP1423" s="4" t="s">
        <v>376</v>
      </c>
      <c r="AR1423" s="4" t="s">
        <v>377</v>
      </c>
    </row>
    <row r="1424" spans="1:44">
      <c r="A1424" s="4" t="s">
        <v>5</v>
      </c>
      <c r="C1424" s="4">
        <v>694</v>
      </c>
      <c r="D1424" s="5" t="s">
        <v>93</v>
      </c>
      <c r="E1424" s="6" t="s">
        <v>2359</v>
      </c>
      <c r="AP1424" s="4" t="s">
        <v>376</v>
      </c>
      <c r="AR1424" s="4" t="s">
        <v>377</v>
      </c>
    </row>
    <row r="1425" spans="1:44" ht="30">
      <c r="A1425" s="4" t="s">
        <v>5</v>
      </c>
      <c r="C1425" s="4">
        <v>5562</v>
      </c>
      <c r="D1425" s="5" t="s">
        <v>93</v>
      </c>
      <c r="E1425" s="6" t="s">
        <v>2360</v>
      </c>
      <c r="AP1425" s="4" t="s">
        <v>376</v>
      </c>
      <c r="AR1425" s="4" t="s">
        <v>377</v>
      </c>
    </row>
    <row r="1426" spans="1:44">
      <c r="A1426" s="4" t="s">
        <v>5</v>
      </c>
      <c r="C1426" s="4">
        <v>3643</v>
      </c>
      <c r="D1426" s="5" t="s">
        <v>93</v>
      </c>
      <c r="E1426" s="6" t="s">
        <v>2361</v>
      </c>
      <c r="F1426" s="5" t="s">
        <v>2362</v>
      </c>
      <c r="Z1426" s="4" t="s">
        <v>443</v>
      </c>
      <c r="AA1426" s="4" t="s">
        <v>444</v>
      </c>
      <c r="AP1426" s="4" t="s">
        <v>376</v>
      </c>
      <c r="AR1426" s="4" t="s">
        <v>377</v>
      </c>
    </row>
    <row r="1427" spans="1:44" ht="30">
      <c r="A1427" s="4" t="s">
        <v>5</v>
      </c>
      <c r="C1427" s="4">
        <v>5028</v>
      </c>
      <c r="D1427" s="5" t="s">
        <v>93</v>
      </c>
      <c r="E1427" s="6" t="s">
        <v>2363</v>
      </c>
      <c r="Z1427" s="4" t="s">
        <v>695</v>
      </c>
      <c r="AA1427" s="4" t="s">
        <v>696</v>
      </c>
      <c r="AP1427" s="4" t="s">
        <v>376</v>
      </c>
      <c r="AR1427" s="4" t="s">
        <v>377</v>
      </c>
    </row>
    <row r="1428" spans="1:44">
      <c r="A1428" s="4" t="s">
        <v>5</v>
      </c>
      <c r="C1428" s="4">
        <v>4865</v>
      </c>
      <c r="D1428" s="5" t="s">
        <v>93</v>
      </c>
      <c r="E1428" s="6" t="s">
        <v>2364</v>
      </c>
      <c r="AP1428" s="4" t="s">
        <v>376</v>
      </c>
      <c r="AR1428" s="4" t="s">
        <v>377</v>
      </c>
    </row>
    <row r="1429" spans="1:44">
      <c r="A1429" s="4" t="s">
        <v>5</v>
      </c>
      <c r="C1429" s="4">
        <v>852</v>
      </c>
      <c r="D1429" s="5" t="s">
        <v>93</v>
      </c>
      <c r="E1429" s="6" t="s">
        <v>2365</v>
      </c>
      <c r="F1429" s="5" t="s">
        <v>2366</v>
      </c>
      <c r="AP1429" s="4" t="s">
        <v>376</v>
      </c>
      <c r="AR1429" s="4" t="s">
        <v>377</v>
      </c>
    </row>
    <row r="1430" spans="1:44">
      <c r="A1430" s="4" t="s">
        <v>5</v>
      </c>
      <c r="C1430" s="4">
        <v>6179</v>
      </c>
      <c r="D1430" s="5" t="s">
        <v>93</v>
      </c>
      <c r="E1430" s="6" t="s">
        <v>2367</v>
      </c>
      <c r="F1430" s="5" t="s">
        <v>2368</v>
      </c>
      <c r="AP1430" s="4" t="s">
        <v>376</v>
      </c>
      <c r="AR1430" s="4" t="s">
        <v>377</v>
      </c>
    </row>
    <row r="1431" spans="1:44">
      <c r="A1431" s="4" t="s">
        <v>5</v>
      </c>
      <c r="C1431" s="4">
        <v>2620</v>
      </c>
      <c r="D1431" s="5" t="s">
        <v>93</v>
      </c>
      <c r="E1431" s="6" t="s">
        <v>2369</v>
      </c>
      <c r="AP1431" s="4" t="s">
        <v>376</v>
      </c>
      <c r="AR1431" s="4" t="s">
        <v>377</v>
      </c>
    </row>
    <row r="1432" spans="1:44" ht="30">
      <c r="A1432" s="4" t="s">
        <v>5</v>
      </c>
      <c r="C1432" s="4">
        <v>3763</v>
      </c>
      <c r="D1432" s="5" t="s">
        <v>93</v>
      </c>
      <c r="E1432" s="6" t="s">
        <v>2370</v>
      </c>
      <c r="F1432" s="5" t="s">
        <v>2371</v>
      </c>
      <c r="Z1432" s="4" t="s">
        <v>447</v>
      </c>
      <c r="AA1432" s="4" t="s">
        <v>448</v>
      </c>
      <c r="AP1432" s="4" t="s">
        <v>376</v>
      </c>
      <c r="AR1432" s="4" t="s">
        <v>377</v>
      </c>
    </row>
    <row r="1433" spans="1:44" ht="30">
      <c r="A1433" s="4" t="s">
        <v>5</v>
      </c>
      <c r="C1433" s="4">
        <v>3437</v>
      </c>
      <c r="D1433" s="5" t="s">
        <v>93</v>
      </c>
      <c r="E1433" s="6" t="s">
        <v>2372</v>
      </c>
      <c r="AP1433" s="4" t="s">
        <v>376</v>
      </c>
      <c r="AR1433" s="4" t="s">
        <v>377</v>
      </c>
    </row>
    <row r="1434" spans="1:44">
      <c r="A1434" s="4" t="s">
        <v>5</v>
      </c>
      <c r="C1434" s="4">
        <v>5042</v>
      </c>
      <c r="D1434" s="5" t="s">
        <v>93</v>
      </c>
      <c r="E1434" s="6" t="s">
        <v>2373</v>
      </c>
      <c r="AP1434" s="4" t="s">
        <v>376</v>
      </c>
      <c r="AR1434" s="4" t="s">
        <v>377</v>
      </c>
    </row>
    <row r="1435" spans="1:44" ht="30">
      <c r="A1435" s="4" t="s">
        <v>5</v>
      </c>
      <c r="C1435" s="4">
        <v>5403</v>
      </c>
      <c r="D1435" s="5" t="s">
        <v>93</v>
      </c>
      <c r="E1435" s="6" t="s">
        <v>2374</v>
      </c>
      <c r="AP1435" s="4" t="s">
        <v>376</v>
      </c>
      <c r="AR1435" s="4" t="s">
        <v>377</v>
      </c>
    </row>
    <row r="1436" spans="1:44">
      <c r="A1436" s="4" t="s">
        <v>5</v>
      </c>
      <c r="C1436" s="4">
        <v>6570</v>
      </c>
      <c r="D1436" s="5" t="s">
        <v>93</v>
      </c>
      <c r="E1436" s="6" t="s">
        <v>2375</v>
      </c>
      <c r="F1436" s="5" t="s">
        <v>2376</v>
      </c>
      <c r="AP1436" s="4" t="s">
        <v>376</v>
      </c>
      <c r="AR1436" s="4" t="s">
        <v>377</v>
      </c>
    </row>
    <row r="1437" spans="1:44" ht="30">
      <c r="A1437" s="4" t="s">
        <v>5</v>
      </c>
      <c r="C1437" s="4">
        <v>2451</v>
      </c>
      <c r="D1437" s="5" t="s">
        <v>93</v>
      </c>
      <c r="E1437" s="6" t="s">
        <v>2377</v>
      </c>
      <c r="F1437" s="5" t="s">
        <v>2378</v>
      </c>
      <c r="AP1437" s="4" t="s">
        <v>376</v>
      </c>
      <c r="AR1437" s="4" t="s">
        <v>377</v>
      </c>
    </row>
    <row r="1438" spans="1:44" ht="30">
      <c r="A1438" s="4" t="s">
        <v>5</v>
      </c>
      <c r="C1438" s="4">
        <v>6736</v>
      </c>
      <c r="D1438" s="5" t="s">
        <v>93</v>
      </c>
      <c r="E1438" s="6" t="s">
        <v>2379</v>
      </c>
      <c r="AP1438" s="4" t="s">
        <v>376</v>
      </c>
      <c r="AR1438" s="4" t="s">
        <v>377</v>
      </c>
    </row>
    <row r="1439" spans="1:44">
      <c r="A1439" s="4" t="s">
        <v>5</v>
      </c>
      <c r="C1439" s="4">
        <v>5330</v>
      </c>
      <c r="D1439" s="5" t="s">
        <v>93</v>
      </c>
      <c r="E1439" s="6" t="s">
        <v>2380</v>
      </c>
      <c r="AP1439" s="4" t="s">
        <v>376</v>
      </c>
      <c r="AR1439" s="4" t="s">
        <v>377</v>
      </c>
    </row>
    <row r="1440" spans="1:44">
      <c r="A1440" s="4" t="s">
        <v>5</v>
      </c>
      <c r="C1440" s="4">
        <v>4603</v>
      </c>
      <c r="D1440" s="5" t="s">
        <v>93</v>
      </c>
      <c r="E1440" s="6" t="s">
        <v>2381</v>
      </c>
      <c r="AP1440" s="4" t="s">
        <v>376</v>
      </c>
      <c r="AR1440" s="4" t="s">
        <v>377</v>
      </c>
    </row>
    <row r="1441" spans="1:44">
      <c r="A1441" s="4" t="s">
        <v>5</v>
      </c>
      <c r="C1441" s="4">
        <v>4250</v>
      </c>
      <c r="D1441" s="5" t="s">
        <v>93</v>
      </c>
      <c r="E1441" s="6" t="s">
        <v>2382</v>
      </c>
      <c r="F1441" s="5" t="s">
        <v>2383</v>
      </c>
      <c r="AP1441" s="4" t="s">
        <v>376</v>
      </c>
      <c r="AR1441" s="4" t="s">
        <v>377</v>
      </c>
    </row>
    <row r="1442" spans="1:44">
      <c r="A1442" s="4" t="s">
        <v>5</v>
      </c>
      <c r="C1442" s="4">
        <v>276</v>
      </c>
      <c r="D1442" s="5" t="s">
        <v>93</v>
      </c>
      <c r="E1442" s="6" t="s">
        <v>2384</v>
      </c>
      <c r="F1442" s="5" t="s">
        <v>2385</v>
      </c>
      <c r="AP1442" s="4" t="s">
        <v>376</v>
      </c>
      <c r="AR1442" s="4" t="s">
        <v>377</v>
      </c>
    </row>
    <row r="1443" spans="1:44">
      <c r="A1443" s="4" t="s">
        <v>5</v>
      </c>
      <c r="C1443" s="4">
        <v>5262</v>
      </c>
      <c r="D1443" s="5" t="s">
        <v>93</v>
      </c>
      <c r="E1443" s="6" t="s">
        <v>2386</v>
      </c>
      <c r="AP1443" s="4" t="s">
        <v>376</v>
      </c>
      <c r="AR1443" s="4" t="s">
        <v>377</v>
      </c>
    </row>
    <row r="1444" spans="1:44">
      <c r="A1444" s="4" t="s">
        <v>5</v>
      </c>
      <c r="C1444" s="4">
        <v>1023</v>
      </c>
      <c r="D1444" s="5" t="s">
        <v>93</v>
      </c>
      <c r="E1444" s="6" t="s">
        <v>2387</v>
      </c>
      <c r="AP1444" s="4" t="s">
        <v>376</v>
      </c>
      <c r="AR1444" s="4" t="s">
        <v>377</v>
      </c>
    </row>
    <row r="1445" spans="1:44">
      <c r="A1445" s="4" t="s">
        <v>5</v>
      </c>
      <c r="C1445" s="4">
        <v>3631</v>
      </c>
      <c r="D1445" s="5" t="s">
        <v>93</v>
      </c>
      <c r="E1445" s="6" t="s">
        <v>2388</v>
      </c>
      <c r="AP1445" s="4" t="s">
        <v>376</v>
      </c>
      <c r="AR1445" s="4" t="s">
        <v>377</v>
      </c>
    </row>
    <row r="1446" spans="1:44">
      <c r="A1446" s="4" t="s">
        <v>5</v>
      </c>
      <c r="C1446" s="4">
        <v>6174</v>
      </c>
      <c r="D1446" s="5" t="s">
        <v>93</v>
      </c>
      <c r="E1446" s="6" t="s">
        <v>2389</v>
      </c>
      <c r="AP1446" s="4" t="s">
        <v>376</v>
      </c>
      <c r="AR1446" s="4" t="s">
        <v>377</v>
      </c>
    </row>
    <row r="1447" spans="1:44">
      <c r="A1447" s="4" t="s">
        <v>5</v>
      </c>
      <c r="C1447" s="4">
        <v>838</v>
      </c>
      <c r="D1447" s="5" t="s">
        <v>93</v>
      </c>
      <c r="E1447" s="6" t="s">
        <v>2390</v>
      </c>
      <c r="F1447" s="5" t="s">
        <v>2391</v>
      </c>
      <c r="AP1447" s="4" t="s">
        <v>376</v>
      </c>
      <c r="AR1447" s="4" t="s">
        <v>377</v>
      </c>
    </row>
    <row r="1448" spans="1:44">
      <c r="A1448" s="4" t="s">
        <v>5</v>
      </c>
      <c r="C1448" s="4">
        <v>355</v>
      </c>
      <c r="D1448" s="5" t="s">
        <v>93</v>
      </c>
      <c r="E1448" s="6" t="s">
        <v>2392</v>
      </c>
      <c r="F1448" s="5" t="s">
        <v>2393</v>
      </c>
      <c r="AP1448" s="4" t="s">
        <v>376</v>
      </c>
      <c r="AR1448" s="4" t="s">
        <v>377</v>
      </c>
    </row>
    <row r="1449" spans="1:44">
      <c r="A1449" s="4" t="s">
        <v>5</v>
      </c>
      <c r="C1449" s="4">
        <v>1797</v>
      </c>
      <c r="D1449" s="5" t="s">
        <v>93</v>
      </c>
      <c r="E1449" s="6" t="s">
        <v>2394</v>
      </c>
      <c r="AP1449" s="4" t="s">
        <v>376</v>
      </c>
      <c r="AR1449" s="4" t="s">
        <v>377</v>
      </c>
    </row>
    <row r="1450" spans="1:44">
      <c r="A1450" s="4" t="s">
        <v>5</v>
      </c>
      <c r="C1450" s="4">
        <v>4813</v>
      </c>
      <c r="D1450" s="5" t="s">
        <v>93</v>
      </c>
      <c r="E1450" s="6" t="s">
        <v>2395</v>
      </c>
      <c r="F1450" s="5" t="s">
        <v>2396</v>
      </c>
      <c r="AP1450" s="4" t="s">
        <v>376</v>
      </c>
      <c r="AR1450" s="4" t="s">
        <v>377</v>
      </c>
    </row>
    <row r="1451" spans="1:44" ht="30">
      <c r="A1451" s="4" t="s">
        <v>5</v>
      </c>
      <c r="C1451" s="4">
        <v>281</v>
      </c>
      <c r="D1451" s="5" t="s">
        <v>93</v>
      </c>
      <c r="E1451" s="6" t="s">
        <v>2397</v>
      </c>
      <c r="F1451" s="5" t="s">
        <v>2398</v>
      </c>
      <c r="AP1451" s="4" t="s">
        <v>376</v>
      </c>
      <c r="AR1451" s="4" t="s">
        <v>377</v>
      </c>
    </row>
    <row r="1452" spans="1:44" ht="30">
      <c r="A1452" s="4" t="s">
        <v>5</v>
      </c>
      <c r="C1452" s="4">
        <v>6371</v>
      </c>
      <c r="D1452" s="5" t="s">
        <v>93</v>
      </c>
      <c r="E1452" s="6" t="s">
        <v>2399</v>
      </c>
      <c r="AP1452" s="4" t="s">
        <v>376</v>
      </c>
      <c r="AR1452" s="4" t="s">
        <v>377</v>
      </c>
    </row>
    <row r="1453" spans="1:44">
      <c r="A1453" s="4" t="s">
        <v>5</v>
      </c>
      <c r="C1453" s="4">
        <v>746</v>
      </c>
      <c r="D1453" s="5" t="s">
        <v>93</v>
      </c>
      <c r="E1453" s="6" t="s">
        <v>2400</v>
      </c>
      <c r="AP1453" s="4" t="s">
        <v>376</v>
      </c>
      <c r="AR1453" s="4" t="s">
        <v>377</v>
      </c>
    </row>
    <row r="1454" spans="1:44">
      <c r="A1454" s="4" t="s">
        <v>5</v>
      </c>
      <c r="C1454" s="4">
        <v>924</v>
      </c>
      <c r="D1454" s="5" t="s">
        <v>93</v>
      </c>
      <c r="E1454" s="6" t="s">
        <v>2401</v>
      </c>
      <c r="AP1454" s="4" t="s">
        <v>376</v>
      </c>
      <c r="AR1454" s="4" t="s">
        <v>377</v>
      </c>
    </row>
    <row r="1455" spans="1:44" ht="30">
      <c r="A1455" s="4" t="s">
        <v>5</v>
      </c>
      <c r="C1455" s="4">
        <v>2424</v>
      </c>
      <c r="D1455" s="5" t="s">
        <v>93</v>
      </c>
      <c r="E1455" s="6" t="s">
        <v>2402</v>
      </c>
      <c r="F1455" s="5" t="s">
        <v>2403</v>
      </c>
      <c r="AP1455" s="4" t="s">
        <v>376</v>
      </c>
      <c r="AR1455" s="4" t="s">
        <v>377</v>
      </c>
    </row>
    <row r="1456" spans="1:44" ht="30">
      <c r="A1456" s="4" t="s">
        <v>5</v>
      </c>
      <c r="C1456" s="4">
        <v>6219</v>
      </c>
      <c r="D1456" s="5" t="s">
        <v>93</v>
      </c>
      <c r="E1456" s="6" t="s">
        <v>2404</v>
      </c>
      <c r="AP1456" s="4" t="s">
        <v>376</v>
      </c>
      <c r="AR1456" s="4" t="s">
        <v>377</v>
      </c>
    </row>
    <row r="1457" spans="1:44">
      <c r="A1457" s="4" t="s">
        <v>5</v>
      </c>
      <c r="C1457" s="4">
        <v>5681</v>
      </c>
      <c r="D1457" s="5" t="s">
        <v>93</v>
      </c>
      <c r="E1457" s="6" t="s">
        <v>2405</v>
      </c>
      <c r="AP1457" s="4" t="s">
        <v>376</v>
      </c>
      <c r="AR1457" s="4" t="s">
        <v>377</v>
      </c>
    </row>
    <row r="1458" spans="1:44" ht="30">
      <c r="A1458" s="4" t="s">
        <v>5</v>
      </c>
      <c r="C1458" s="4">
        <v>5539</v>
      </c>
      <c r="D1458" s="5" t="s">
        <v>93</v>
      </c>
      <c r="E1458" s="6" t="s">
        <v>2406</v>
      </c>
      <c r="AP1458" s="4" t="s">
        <v>376</v>
      </c>
      <c r="AR1458" s="4" t="s">
        <v>377</v>
      </c>
    </row>
    <row r="1459" spans="1:44">
      <c r="A1459" s="4" t="s">
        <v>5</v>
      </c>
      <c r="C1459" s="4">
        <v>487</v>
      </c>
      <c r="D1459" s="5" t="s">
        <v>93</v>
      </c>
      <c r="E1459" s="6" t="s">
        <v>2407</v>
      </c>
      <c r="F1459" s="5" t="s">
        <v>2408</v>
      </c>
      <c r="AP1459" s="4" t="s">
        <v>376</v>
      </c>
      <c r="AR1459" s="4" t="s">
        <v>377</v>
      </c>
    </row>
    <row r="1460" spans="1:44">
      <c r="A1460" s="4" t="s">
        <v>5</v>
      </c>
      <c r="C1460" s="4">
        <v>4650</v>
      </c>
      <c r="D1460" s="5" t="s">
        <v>93</v>
      </c>
      <c r="E1460" s="6" t="s">
        <v>2409</v>
      </c>
      <c r="AP1460" s="4" t="s">
        <v>376</v>
      </c>
      <c r="AR1460" s="4" t="s">
        <v>377</v>
      </c>
    </row>
    <row r="1461" spans="1:44">
      <c r="A1461" s="4" t="s">
        <v>5</v>
      </c>
      <c r="C1461" s="4">
        <v>2081</v>
      </c>
      <c r="D1461" s="5" t="s">
        <v>93</v>
      </c>
      <c r="E1461" s="6" t="s">
        <v>2410</v>
      </c>
      <c r="AP1461" s="4" t="s">
        <v>376</v>
      </c>
      <c r="AR1461" s="4" t="s">
        <v>377</v>
      </c>
    </row>
    <row r="1462" spans="1:44">
      <c r="A1462" s="4" t="s">
        <v>5</v>
      </c>
      <c r="C1462" s="4">
        <v>6405</v>
      </c>
      <c r="D1462" s="5" t="s">
        <v>93</v>
      </c>
      <c r="E1462" s="6" t="s">
        <v>2411</v>
      </c>
      <c r="F1462" s="5" t="s">
        <v>2412</v>
      </c>
      <c r="AP1462" s="4" t="s">
        <v>376</v>
      </c>
      <c r="AR1462" s="4" t="s">
        <v>377</v>
      </c>
    </row>
    <row r="1463" spans="1:44">
      <c r="A1463" s="4" t="s">
        <v>5</v>
      </c>
      <c r="C1463" s="4">
        <v>5361</v>
      </c>
      <c r="D1463" s="5" t="s">
        <v>93</v>
      </c>
      <c r="E1463" s="6" t="s">
        <v>2413</v>
      </c>
      <c r="AP1463" s="4" t="s">
        <v>376</v>
      </c>
      <c r="AR1463" s="4" t="s">
        <v>377</v>
      </c>
    </row>
    <row r="1464" spans="1:44">
      <c r="A1464" s="4" t="s">
        <v>5</v>
      </c>
      <c r="C1464" s="4">
        <v>2334</v>
      </c>
      <c r="D1464" s="5" t="s">
        <v>93</v>
      </c>
      <c r="E1464" s="6" t="s">
        <v>2414</v>
      </c>
      <c r="F1464" s="5" t="s">
        <v>2415</v>
      </c>
      <c r="Z1464" s="4" t="s">
        <v>447</v>
      </c>
      <c r="AA1464" s="4" t="s">
        <v>448</v>
      </c>
      <c r="AP1464" s="4" t="s">
        <v>376</v>
      </c>
      <c r="AR1464" s="4" t="s">
        <v>377</v>
      </c>
    </row>
    <row r="1465" spans="1:44">
      <c r="A1465" s="4" t="s">
        <v>5</v>
      </c>
      <c r="C1465" s="4">
        <v>2055</v>
      </c>
      <c r="D1465" s="5" t="s">
        <v>93</v>
      </c>
      <c r="E1465" s="6" t="s">
        <v>2416</v>
      </c>
      <c r="AP1465" s="4" t="s">
        <v>376</v>
      </c>
      <c r="AR1465" s="4" t="s">
        <v>377</v>
      </c>
    </row>
    <row r="1466" spans="1:44">
      <c r="A1466" s="4" t="s">
        <v>5</v>
      </c>
      <c r="C1466" s="4">
        <v>3010</v>
      </c>
      <c r="D1466" s="5" t="s">
        <v>93</v>
      </c>
      <c r="E1466" s="6" t="s">
        <v>2417</v>
      </c>
      <c r="F1466" s="5" t="s">
        <v>2418</v>
      </c>
      <c r="AP1466" s="4" t="s">
        <v>376</v>
      </c>
      <c r="AR1466" s="4" t="s">
        <v>377</v>
      </c>
    </row>
    <row r="1467" spans="1:44" ht="30">
      <c r="A1467" s="4" t="s">
        <v>5</v>
      </c>
      <c r="C1467" s="4">
        <v>3449</v>
      </c>
      <c r="D1467" s="5" t="s">
        <v>93</v>
      </c>
      <c r="E1467" s="6" t="s">
        <v>2419</v>
      </c>
      <c r="F1467" s="5" t="s">
        <v>2420</v>
      </c>
      <c r="AP1467" s="4" t="s">
        <v>376</v>
      </c>
      <c r="AR1467" s="4" t="s">
        <v>377</v>
      </c>
    </row>
    <row r="1468" spans="1:44" ht="30">
      <c r="A1468" s="4" t="s">
        <v>5</v>
      </c>
      <c r="C1468" s="4">
        <v>4586</v>
      </c>
      <c r="D1468" s="5" t="s">
        <v>93</v>
      </c>
      <c r="E1468" s="6" t="s">
        <v>2421</v>
      </c>
      <c r="AP1468" s="4" t="s">
        <v>376</v>
      </c>
      <c r="AR1468" s="4" t="s">
        <v>377</v>
      </c>
    </row>
    <row r="1469" spans="1:44">
      <c r="A1469" s="4" t="s">
        <v>5</v>
      </c>
      <c r="C1469" s="4">
        <v>681</v>
      </c>
      <c r="D1469" s="5" t="s">
        <v>93</v>
      </c>
      <c r="E1469" s="6" t="s">
        <v>2422</v>
      </c>
      <c r="F1469" s="5" t="s">
        <v>2423</v>
      </c>
      <c r="Z1469" s="4" t="s">
        <v>695</v>
      </c>
      <c r="AA1469" s="4" t="s">
        <v>696</v>
      </c>
      <c r="AP1469" s="4" t="s">
        <v>376</v>
      </c>
      <c r="AR1469" s="4" t="s">
        <v>377</v>
      </c>
    </row>
    <row r="1470" spans="1:44">
      <c r="A1470" s="4" t="s">
        <v>5</v>
      </c>
      <c r="C1470" s="4">
        <v>2057</v>
      </c>
      <c r="D1470" s="5" t="s">
        <v>93</v>
      </c>
      <c r="E1470" s="6" t="s">
        <v>2424</v>
      </c>
      <c r="AP1470" s="4" t="s">
        <v>376</v>
      </c>
      <c r="AR1470" s="4" t="s">
        <v>377</v>
      </c>
    </row>
    <row r="1471" spans="1:44">
      <c r="A1471" s="4" t="s">
        <v>5</v>
      </c>
      <c r="C1471" s="4">
        <v>1728</v>
      </c>
      <c r="D1471" s="5" t="s">
        <v>93</v>
      </c>
      <c r="E1471" s="6" t="s">
        <v>2425</v>
      </c>
      <c r="AP1471" s="4" t="s">
        <v>376</v>
      </c>
      <c r="AR1471" s="4" t="s">
        <v>377</v>
      </c>
    </row>
    <row r="1472" spans="1:44">
      <c r="A1472" s="4" t="s">
        <v>5</v>
      </c>
      <c r="C1472" s="4">
        <v>2327</v>
      </c>
      <c r="D1472" s="5" t="s">
        <v>93</v>
      </c>
      <c r="E1472" s="6" t="s">
        <v>2426</v>
      </c>
      <c r="AP1472" s="4" t="s">
        <v>376</v>
      </c>
      <c r="AR1472" s="4" t="s">
        <v>377</v>
      </c>
    </row>
    <row r="1473" spans="1:44" ht="30">
      <c r="A1473" s="4" t="s">
        <v>5</v>
      </c>
      <c r="C1473" s="4">
        <v>4031</v>
      </c>
      <c r="D1473" s="5" t="s">
        <v>93</v>
      </c>
      <c r="E1473" s="6" t="s">
        <v>2427</v>
      </c>
      <c r="AP1473" s="4" t="s">
        <v>376</v>
      </c>
      <c r="AR1473" s="4" t="s">
        <v>377</v>
      </c>
    </row>
    <row r="1474" spans="1:44">
      <c r="A1474" s="4" t="s">
        <v>5</v>
      </c>
      <c r="C1474" s="4">
        <v>2751</v>
      </c>
      <c r="D1474" s="5" t="s">
        <v>93</v>
      </c>
      <c r="E1474" s="6" t="s">
        <v>2428</v>
      </c>
      <c r="AP1474" s="4" t="s">
        <v>376</v>
      </c>
      <c r="AR1474" s="4" t="s">
        <v>377</v>
      </c>
    </row>
    <row r="1475" spans="1:44">
      <c r="A1475" s="4" t="s">
        <v>5</v>
      </c>
      <c r="C1475" s="4">
        <v>1358</v>
      </c>
      <c r="D1475" s="5" t="s">
        <v>93</v>
      </c>
      <c r="E1475" s="6" t="s">
        <v>2429</v>
      </c>
      <c r="AP1475" s="4" t="s">
        <v>376</v>
      </c>
      <c r="AR1475" s="4" t="s">
        <v>377</v>
      </c>
    </row>
    <row r="1476" spans="1:44">
      <c r="A1476" s="4" t="s">
        <v>5</v>
      </c>
      <c r="C1476" s="4">
        <v>6648</v>
      </c>
      <c r="D1476" s="5" t="s">
        <v>93</v>
      </c>
      <c r="E1476" s="6" t="s">
        <v>2430</v>
      </c>
      <c r="AP1476" s="4" t="s">
        <v>376</v>
      </c>
      <c r="AR1476" s="4" t="s">
        <v>377</v>
      </c>
    </row>
    <row r="1477" spans="1:44">
      <c r="A1477" s="4" t="s">
        <v>5</v>
      </c>
      <c r="C1477" s="4">
        <v>6943</v>
      </c>
      <c r="D1477" s="5" t="s">
        <v>93</v>
      </c>
      <c r="E1477" s="6" t="s">
        <v>2431</v>
      </c>
      <c r="AP1477" s="4" t="s">
        <v>376</v>
      </c>
      <c r="AR1477" s="4" t="s">
        <v>377</v>
      </c>
    </row>
    <row r="1478" spans="1:44" ht="30">
      <c r="A1478" s="4" t="s">
        <v>5</v>
      </c>
      <c r="C1478" s="4">
        <v>2379</v>
      </c>
      <c r="D1478" s="5" t="s">
        <v>93</v>
      </c>
      <c r="E1478" s="6" t="s">
        <v>2432</v>
      </c>
      <c r="Z1478" s="4" t="s">
        <v>447</v>
      </c>
      <c r="AA1478" s="4" t="s">
        <v>448</v>
      </c>
      <c r="AP1478" s="4" t="s">
        <v>376</v>
      </c>
      <c r="AR1478" s="4" t="s">
        <v>377</v>
      </c>
    </row>
    <row r="1479" spans="1:44">
      <c r="A1479" s="4" t="s">
        <v>5</v>
      </c>
      <c r="C1479" s="4">
        <v>2522</v>
      </c>
      <c r="D1479" s="5" t="s">
        <v>93</v>
      </c>
      <c r="E1479" s="6" t="s">
        <v>2433</v>
      </c>
      <c r="AP1479" s="4" t="s">
        <v>376</v>
      </c>
      <c r="AR1479" s="4" t="s">
        <v>377</v>
      </c>
    </row>
    <row r="1480" spans="1:44">
      <c r="A1480" s="4" t="s">
        <v>5</v>
      </c>
      <c r="C1480" s="4">
        <v>2764</v>
      </c>
      <c r="D1480" s="5" t="s">
        <v>93</v>
      </c>
      <c r="E1480" s="6" t="s">
        <v>2434</v>
      </c>
      <c r="F1480" s="5" t="s">
        <v>2435</v>
      </c>
      <c r="Z1480" s="4" t="s">
        <v>443</v>
      </c>
      <c r="AA1480" s="4" t="s">
        <v>444</v>
      </c>
      <c r="AP1480" s="4" t="s">
        <v>376</v>
      </c>
      <c r="AR1480" s="4" t="s">
        <v>377</v>
      </c>
    </row>
    <row r="1481" spans="1:44">
      <c r="A1481" s="4" t="s">
        <v>5</v>
      </c>
      <c r="C1481" s="4">
        <v>511</v>
      </c>
      <c r="D1481" s="5" t="s">
        <v>93</v>
      </c>
      <c r="E1481" s="6" t="s">
        <v>2436</v>
      </c>
      <c r="F1481" s="5" t="s">
        <v>2437</v>
      </c>
      <c r="AP1481" s="4" t="s">
        <v>376</v>
      </c>
      <c r="AR1481" s="4" t="s">
        <v>377</v>
      </c>
    </row>
    <row r="1482" spans="1:44">
      <c r="A1482" s="4" t="s">
        <v>5</v>
      </c>
      <c r="C1482" s="4">
        <v>471</v>
      </c>
      <c r="D1482" s="5" t="s">
        <v>93</v>
      </c>
      <c r="E1482" s="6" t="s">
        <v>2438</v>
      </c>
      <c r="F1482" s="5" t="s">
        <v>2439</v>
      </c>
      <c r="AP1482" s="4" t="s">
        <v>376</v>
      </c>
      <c r="AR1482" s="4" t="s">
        <v>377</v>
      </c>
    </row>
    <row r="1483" spans="1:44">
      <c r="A1483" s="4" t="s">
        <v>5</v>
      </c>
      <c r="C1483" s="4">
        <v>3424</v>
      </c>
      <c r="D1483" s="5" t="s">
        <v>93</v>
      </c>
      <c r="E1483" s="6" t="s">
        <v>2440</v>
      </c>
      <c r="F1483" s="5" t="s">
        <v>2441</v>
      </c>
      <c r="AP1483" s="4" t="s">
        <v>376</v>
      </c>
      <c r="AR1483" s="4" t="s">
        <v>377</v>
      </c>
    </row>
    <row r="1484" spans="1:44">
      <c r="A1484" s="4" t="s">
        <v>5</v>
      </c>
      <c r="C1484" s="4">
        <v>5060</v>
      </c>
      <c r="D1484" s="5" t="s">
        <v>93</v>
      </c>
      <c r="E1484" s="6" t="s">
        <v>2442</v>
      </c>
      <c r="AP1484" s="4" t="s">
        <v>376</v>
      </c>
      <c r="AR1484" s="4" t="s">
        <v>377</v>
      </c>
    </row>
    <row r="1485" spans="1:44">
      <c r="A1485" s="4" t="s">
        <v>5</v>
      </c>
      <c r="C1485" s="4">
        <v>1537</v>
      </c>
      <c r="D1485" s="5" t="s">
        <v>93</v>
      </c>
      <c r="E1485" s="6" t="s">
        <v>2443</v>
      </c>
      <c r="F1485" s="5" t="s">
        <v>2444</v>
      </c>
      <c r="Z1485" s="4" t="s">
        <v>447</v>
      </c>
      <c r="AA1485" s="4" t="s">
        <v>448</v>
      </c>
      <c r="AP1485" s="4" t="s">
        <v>376</v>
      </c>
      <c r="AR1485" s="4" t="s">
        <v>377</v>
      </c>
    </row>
    <row r="1486" spans="1:44">
      <c r="A1486" s="4" t="s">
        <v>5</v>
      </c>
      <c r="C1486" s="4">
        <v>1418</v>
      </c>
      <c r="D1486" s="5" t="s">
        <v>93</v>
      </c>
      <c r="E1486" s="6" t="s">
        <v>2445</v>
      </c>
      <c r="AP1486" s="4" t="s">
        <v>376</v>
      </c>
      <c r="AR1486" s="4" t="s">
        <v>377</v>
      </c>
    </row>
    <row r="1487" spans="1:44">
      <c r="A1487" s="4" t="s">
        <v>5</v>
      </c>
      <c r="C1487" s="4">
        <v>5950</v>
      </c>
      <c r="D1487" s="5" t="s">
        <v>93</v>
      </c>
      <c r="E1487" s="6" t="s">
        <v>2446</v>
      </c>
      <c r="AP1487" s="4" t="s">
        <v>376</v>
      </c>
      <c r="AR1487" s="4" t="s">
        <v>377</v>
      </c>
    </row>
    <row r="1488" spans="1:44">
      <c r="A1488" s="4" t="s">
        <v>5</v>
      </c>
      <c r="C1488" s="4">
        <v>3714</v>
      </c>
      <c r="D1488" s="5" t="s">
        <v>93</v>
      </c>
      <c r="E1488" s="6" t="s">
        <v>2447</v>
      </c>
      <c r="F1488" s="5" t="s">
        <v>2448</v>
      </c>
      <c r="Z1488" s="4" t="s">
        <v>695</v>
      </c>
      <c r="AA1488" s="4" t="s">
        <v>696</v>
      </c>
      <c r="AP1488" s="4" t="s">
        <v>376</v>
      </c>
      <c r="AR1488" s="4" t="s">
        <v>377</v>
      </c>
    </row>
    <row r="1489" spans="1:44">
      <c r="A1489" s="4" t="s">
        <v>5</v>
      </c>
      <c r="C1489" s="4">
        <v>6666</v>
      </c>
      <c r="D1489" s="5" t="s">
        <v>93</v>
      </c>
      <c r="E1489" s="6" t="s">
        <v>2449</v>
      </c>
      <c r="AP1489" s="4" t="s">
        <v>376</v>
      </c>
      <c r="AR1489" s="4" t="s">
        <v>377</v>
      </c>
    </row>
    <row r="1490" spans="1:44">
      <c r="A1490" s="4" t="s">
        <v>5</v>
      </c>
      <c r="C1490" s="4">
        <v>3877</v>
      </c>
      <c r="D1490" s="5" t="s">
        <v>93</v>
      </c>
      <c r="E1490" s="6" t="s">
        <v>2450</v>
      </c>
      <c r="AP1490" s="4" t="s">
        <v>376</v>
      </c>
      <c r="AR1490" s="4" t="s">
        <v>377</v>
      </c>
    </row>
    <row r="1491" spans="1:44">
      <c r="A1491" s="4" t="s">
        <v>5</v>
      </c>
      <c r="C1491" s="4">
        <v>1062</v>
      </c>
      <c r="D1491" s="5" t="s">
        <v>93</v>
      </c>
      <c r="E1491" s="6" t="s">
        <v>2451</v>
      </c>
      <c r="AP1491" s="4" t="s">
        <v>376</v>
      </c>
      <c r="AR1491" s="4" t="s">
        <v>377</v>
      </c>
    </row>
    <row r="1492" spans="1:44">
      <c r="A1492" s="4" t="s">
        <v>5</v>
      </c>
      <c r="C1492" s="4">
        <v>2947</v>
      </c>
      <c r="D1492" s="5" t="s">
        <v>93</v>
      </c>
      <c r="E1492" s="6" t="s">
        <v>2452</v>
      </c>
      <c r="AP1492" s="4" t="s">
        <v>376</v>
      </c>
      <c r="AR1492" s="4" t="s">
        <v>377</v>
      </c>
    </row>
    <row r="1493" spans="1:44">
      <c r="A1493" s="4" t="s">
        <v>5</v>
      </c>
      <c r="C1493" s="4">
        <v>3655</v>
      </c>
      <c r="D1493" s="5" t="s">
        <v>93</v>
      </c>
      <c r="E1493" s="6" t="s">
        <v>2453</v>
      </c>
      <c r="F1493" s="5" t="s">
        <v>2454</v>
      </c>
      <c r="AP1493" s="4" t="s">
        <v>376</v>
      </c>
      <c r="AR1493" s="4" t="s">
        <v>377</v>
      </c>
    </row>
    <row r="1494" spans="1:44">
      <c r="A1494" s="4" t="s">
        <v>5</v>
      </c>
      <c r="C1494" s="4">
        <v>1309</v>
      </c>
      <c r="D1494" s="5" t="s">
        <v>93</v>
      </c>
      <c r="E1494" s="6" t="s">
        <v>2455</v>
      </c>
      <c r="AP1494" s="4" t="s">
        <v>376</v>
      </c>
      <c r="AR1494" s="4" t="s">
        <v>377</v>
      </c>
    </row>
    <row r="1495" spans="1:44">
      <c r="A1495" s="4" t="s">
        <v>5</v>
      </c>
      <c r="C1495" s="4">
        <v>284</v>
      </c>
      <c r="D1495" s="5" t="s">
        <v>93</v>
      </c>
      <c r="E1495" s="6" t="s">
        <v>2456</v>
      </c>
      <c r="F1495" s="5" t="s">
        <v>2457</v>
      </c>
      <c r="AP1495" s="4" t="s">
        <v>376</v>
      </c>
      <c r="AR1495" s="4" t="s">
        <v>377</v>
      </c>
    </row>
    <row r="1496" spans="1:44">
      <c r="A1496" s="4" t="s">
        <v>5</v>
      </c>
      <c r="C1496" s="4">
        <v>1366</v>
      </c>
      <c r="D1496" s="5" t="s">
        <v>93</v>
      </c>
      <c r="E1496" s="6" t="s">
        <v>2458</v>
      </c>
      <c r="F1496" s="5" t="s">
        <v>2459</v>
      </c>
      <c r="AP1496" s="4" t="s">
        <v>376</v>
      </c>
      <c r="AR1496" s="4" t="s">
        <v>377</v>
      </c>
    </row>
    <row r="1497" spans="1:44">
      <c r="A1497" s="4" t="s">
        <v>5</v>
      </c>
      <c r="C1497" s="4">
        <v>2950</v>
      </c>
      <c r="D1497" s="5" t="s">
        <v>93</v>
      </c>
      <c r="E1497" s="6" t="s">
        <v>2460</v>
      </c>
      <c r="F1497" s="5" t="s">
        <v>2461</v>
      </c>
      <c r="Z1497" s="4" t="s">
        <v>443</v>
      </c>
      <c r="AA1497" s="4" t="s">
        <v>444</v>
      </c>
      <c r="AP1497" s="4" t="s">
        <v>376</v>
      </c>
      <c r="AR1497" s="4" t="s">
        <v>377</v>
      </c>
    </row>
    <row r="1498" spans="1:44">
      <c r="A1498" s="4" t="s">
        <v>5</v>
      </c>
      <c r="C1498" s="4">
        <v>1500</v>
      </c>
      <c r="D1498" s="5" t="s">
        <v>93</v>
      </c>
      <c r="E1498" s="6" t="s">
        <v>2462</v>
      </c>
      <c r="AP1498" s="4" t="s">
        <v>376</v>
      </c>
      <c r="AR1498" s="4" t="s">
        <v>377</v>
      </c>
    </row>
    <row r="1499" spans="1:44">
      <c r="A1499" s="4" t="s">
        <v>5</v>
      </c>
      <c r="C1499" s="4">
        <v>4854</v>
      </c>
      <c r="D1499" s="5" t="s">
        <v>93</v>
      </c>
      <c r="E1499" s="6" t="s">
        <v>2463</v>
      </c>
      <c r="F1499" s="5" t="s">
        <v>2464</v>
      </c>
      <c r="AP1499" s="4" t="s">
        <v>376</v>
      </c>
      <c r="AR1499" s="4" t="s">
        <v>377</v>
      </c>
    </row>
    <row r="1500" spans="1:44">
      <c r="A1500" s="4" t="s">
        <v>5</v>
      </c>
      <c r="C1500" s="4">
        <v>71</v>
      </c>
      <c r="D1500" s="5" t="s">
        <v>93</v>
      </c>
      <c r="E1500" s="6" t="s">
        <v>2465</v>
      </c>
      <c r="F1500" s="5" t="s">
        <v>2466</v>
      </c>
      <c r="AP1500" s="4" t="s">
        <v>376</v>
      </c>
      <c r="AR1500" s="4" t="s">
        <v>377</v>
      </c>
    </row>
    <row r="1501" spans="1:44" ht="30">
      <c r="A1501" s="4" t="s">
        <v>5</v>
      </c>
      <c r="C1501" s="4">
        <v>6186</v>
      </c>
      <c r="D1501" s="5" t="s">
        <v>93</v>
      </c>
      <c r="E1501" s="6" t="s">
        <v>2467</v>
      </c>
      <c r="F1501" s="5" t="s">
        <v>2468</v>
      </c>
      <c r="AP1501" s="4" t="s">
        <v>376</v>
      </c>
      <c r="AR1501" s="4" t="s">
        <v>377</v>
      </c>
    </row>
    <row r="1502" spans="1:44">
      <c r="A1502" s="4" t="s">
        <v>5</v>
      </c>
      <c r="C1502" s="4">
        <v>5055</v>
      </c>
      <c r="D1502" s="5" t="s">
        <v>93</v>
      </c>
      <c r="E1502" s="6" t="s">
        <v>2469</v>
      </c>
      <c r="AP1502" s="4" t="s">
        <v>376</v>
      </c>
      <c r="AR1502" s="4" t="s">
        <v>377</v>
      </c>
    </row>
    <row r="1503" spans="1:44">
      <c r="A1503" s="4" t="s">
        <v>5</v>
      </c>
      <c r="C1503" s="4">
        <v>4228</v>
      </c>
      <c r="D1503" s="5" t="s">
        <v>93</v>
      </c>
      <c r="E1503" s="6" t="s">
        <v>2470</v>
      </c>
      <c r="AP1503" s="4" t="s">
        <v>376</v>
      </c>
      <c r="AR1503" s="4" t="s">
        <v>377</v>
      </c>
    </row>
    <row r="1504" spans="1:44">
      <c r="A1504" s="4" t="s">
        <v>5</v>
      </c>
      <c r="C1504" s="4">
        <v>485</v>
      </c>
      <c r="D1504" s="5" t="s">
        <v>93</v>
      </c>
      <c r="E1504" s="6" t="s">
        <v>2471</v>
      </c>
      <c r="F1504" s="5" t="s">
        <v>2472</v>
      </c>
      <c r="AP1504" s="4" t="s">
        <v>376</v>
      </c>
      <c r="AR1504" s="4" t="s">
        <v>377</v>
      </c>
    </row>
    <row r="1505" spans="1:44" ht="30">
      <c r="A1505" s="4" t="s">
        <v>5</v>
      </c>
      <c r="C1505" s="4">
        <v>5529</v>
      </c>
      <c r="D1505" s="5" t="s">
        <v>93</v>
      </c>
      <c r="E1505" s="6" t="s">
        <v>2473</v>
      </c>
      <c r="AP1505" s="4" t="s">
        <v>376</v>
      </c>
      <c r="AR1505" s="4" t="s">
        <v>377</v>
      </c>
    </row>
    <row r="1506" spans="1:44">
      <c r="A1506" s="4" t="s">
        <v>5</v>
      </c>
      <c r="C1506" s="4">
        <v>6355</v>
      </c>
      <c r="D1506" s="5" t="s">
        <v>93</v>
      </c>
      <c r="E1506" s="6" t="s">
        <v>2474</v>
      </c>
      <c r="AP1506" s="4" t="s">
        <v>376</v>
      </c>
      <c r="AR1506" s="4" t="s">
        <v>377</v>
      </c>
    </row>
    <row r="1507" spans="1:44">
      <c r="A1507" s="4" t="s">
        <v>5</v>
      </c>
      <c r="C1507" s="4">
        <v>5935</v>
      </c>
      <c r="D1507" s="5" t="s">
        <v>93</v>
      </c>
      <c r="E1507" s="6" t="s">
        <v>2475</v>
      </c>
      <c r="AP1507" s="4" t="s">
        <v>376</v>
      </c>
      <c r="AR1507" s="4" t="s">
        <v>377</v>
      </c>
    </row>
    <row r="1508" spans="1:44" ht="45">
      <c r="A1508" s="4" t="s">
        <v>5</v>
      </c>
      <c r="C1508" s="4">
        <v>3553</v>
      </c>
      <c r="D1508" s="5" t="s">
        <v>93</v>
      </c>
      <c r="E1508" s="6" t="s">
        <v>2476</v>
      </c>
      <c r="AP1508" s="4" t="s">
        <v>376</v>
      </c>
      <c r="AR1508" s="4" t="s">
        <v>377</v>
      </c>
    </row>
    <row r="1509" spans="1:44">
      <c r="A1509" s="4" t="s">
        <v>5</v>
      </c>
      <c r="C1509" s="4">
        <v>4853</v>
      </c>
      <c r="D1509" s="5" t="s">
        <v>93</v>
      </c>
      <c r="E1509" s="6" t="s">
        <v>2477</v>
      </c>
      <c r="Z1509" s="4" t="s">
        <v>447</v>
      </c>
      <c r="AA1509" s="4" t="s">
        <v>448</v>
      </c>
      <c r="AP1509" s="4" t="s">
        <v>376</v>
      </c>
      <c r="AR1509" s="4" t="s">
        <v>377</v>
      </c>
    </row>
    <row r="1510" spans="1:44" ht="30">
      <c r="A1510" s="4" t="s">
        <v>5</v>
      </c>
      <c r="C1510" s="4">
        <v>4333</v>
      </c>
      <c r="D1510" s="5" t="s">
        <v>93</v>
      </c>
      <c r="E1510" s="6" t="s">
        <v>2478</v>
      </c>
      <c r="AP1510" s="4" t="s">
        <v>376</v>
      </c>
      <c r="AR1510" s="4" t="s">
        <v>377</v>
      </c>
    </row>
    <row r="1511" spans="1:44">
      <c r="A1511" s="4" t="s">
        <v>5</v>
      </c>
      <c r="C1511" s="4">
        <v>381</v>
      </c>
      <c r="D1511" s="5" t="s">
        <v>93</v>
      </c>
      <c r="E1511" s="6" t="s">
        <v>2479</v>
      </c>
      <c r="F1511" s="5" t="s">
        <v>2480</v>
      </c>
      <c r="AP1511" s="4" t="s">
        <v>376</v>
      </c>
      <c r="AR1511" s="4" t="s">
        <v>377</v>
      </c>
    </row>
    <row r="1512" spans="1:44">
      <c r="A1512" s="4" t="s">
        <v>5</v>
      </c>
      <c r="C1512" s="4">
        <v>1243</v>
      </c>
      <c r="D1512" s="5" t="s">
        <v>93</v>
      </c>
      <c r="E1512" s="6" t="s">
        <v>2481</v>
      </c>
      <c r="F1512" s="5" t="s">
        <v>2482</v>
      </c>
      <c r="AP1512" s="4" t="s">
        <v>376</v>
      </c>
      <c r="AR1512" s="4" t="s">
        <v>377</v>
      </c>
    </row>
    <row r="1513" spans="1:44">
      <c r="A1513" s="4" t="s">
        <v>5</v>
      </c>
      <c r="C1513" s="4">
        <v>88</v>
      </c>
      <c r="D1513" s="5" t="s">
        <v>93</v>
      </c>
      <c r="E1513" s="6" t="s">
        <v>2483</v>
      </c>
      <c r="F1513" s="5" t="s">
        <v>2484</v>
      </c>
      <c r="AP1513" s="4" t="s">
        <v>376</v>
      </c>
      <c r="AR1513" s="4" t="s">
        <v>377</v>
      </c>
    </row>
    <row r="1514" spans="1:44">
      <c r="A1514" s="4" t="s">
        <v>5</v>
      </c>
      <c r="C1514" s="4">
        <v>1683</v>
      </c>
      <c r="D1514" s="5" t="s">
        <v>93</v>
      </c>
      <c r="E1514" s="6" t="s">
        <v>2485</v>
      </c>
      <c r="F1514" s="5" t="s">
        <v>2486</v>
      </c>
      <c r="AP1514" s="4" t="s">
        <v>376</v>
      </c>
      <c r="AR1514" s="4" t="s">
        <v>377</v>
      </c>
    </row>
    <row r="1515" spans="1:44">
      <c r="A1515" s="4" t="s">
        <v>5</v>
      </c>
      <c r="C1515" s="4">
        <v>646</v>
      </c>
      <c r="D1515" s="5" t="s">
        <v>93</v>
      </c>
      <c r="E1515" s="6" t="s">
        <v>2487</v>
      </c>
      <c r="F1515" s="5" t="s">
        <v>2488</v>
      </c>
      <c r="AP1515" s="4" t="s">
        <v>376</v>
      </c>
      <c r="AR1515" s="4" t="s">
        <v>377</v>
      </c>
    </row>
    <row r="1516" spans="1:44">
      <c r="A1516" s="4" t="s">
        <v>5</v>
      </c>
      <c r="C1516" s="4">
        <v>2003</v>
      </c>
      <c r="D1516" s="5" t="s">
        <v>93</v>
      </c>
      <c r="E1516" s="6" t="s">
        <v>2489</v>
      </c>
      <c r="F1516" s="5" t="s">
        <v>2490</v>
      </c>
      <c r="AP1516" s="4" t="s">
        <v>376</v>
      </c>
      <c r="AR1516" s="4" t="s">
        <v>377</v>
      </c>
    </row>
    <row r="1517" spans="1:44">
      <c r="A1517" s="4" t="s">
        <v>5</v>
      </c>
      <c r="C1517" s="4">
        <v>6749</v>
      </c>
      <c r="D1517" s="5" t="s">
        <v>93</v>
      </c>
      <c r="E1517" s="6" t="s">
        <v>2491</v>
      </c>
      <c r="AP1517" s="4" t="s">
        <v>376</v>
      </c>
      <c r="AR1517" s="4" t="s">
        <v>377</v>
      </c>
    </row>
    <row r="1518" spans="1:44">
      <c r="A1518" s="4" t="s">
        <v>5</v>
      </c>
      <c r="C1518" s="4">
        <v>2225</v>
      </c>
      <c r="D1518" s="5" t="s">
        <v>93</v>
      </c>
      <c r="E1518" s="6" t="s">
        <v>2492</v>
      </c>
      <c r="F1518" s="5" t="s">
        <v>2493</v>
      </c>
      <c r="AP1518" s="4" t="s">
        <v>376</v>
      </c>
      <c r="AR1518" s="4" t="s">
        <v>377</v>
      </c>
    </row>
    <row r="1519" spans="1:44">
      <c r="A1519" s="4" t="s">
        <v>5</v>
      </c>
      <c r="C1519" s="4">
        <v>131</v>
      </c>
      <c r="D1519" s="5" t="s">
        <v>93</v>
      </c>
      <c r="E1519" s="6" t="s">
        <v>2494</v>
      </c>
      <c r="F1519" s="5" t="s">
        <v>2495</v>
      </c>
      <c r="AP1519" s="4" t="s">
        <v>376</v>
      </c>
      <c r="AR1519" s="4" t="s">
        <v>377</v>
      </c>
    </row>
    <row r="1520" spans="1:44" ht="30">
      <c r="A1520" s="4" t="s">
        <v>5</v>
      </c>
      <c r="C1520" s="4">
        <v>2728</v>
      </c>
      <c r="D1520" s="5" t="s">
        <v>93</v>
      </c>
      <c r="E1520" s="6" t="s">
        <v>2496</v>
      </c>
      <c r="F1520" s="5" t="s">
        <v>2497</v>
      </c>
      <c r="Z1520" s="4" t="s">
        <v>443</v>
      </c>
      <c r="AA1520" s="4" t="s">
        <v>444</v>
      </c>
      <c r="AP1520" s="4" t="s">
        <v>376</v>
      </c>
      <c r="AR1520" s="4" t="s">
        <v>377</v>
      </c>
    </row>
    <row r="1521" spans="1:44">
      <c r="A1521" s="4" t="s">
        <v>5</v>
      </c>
      <c r="C1521" s="4">
        <v>589</v>
      </c>
      <c r="D1521" s="5" t="s">
        <v>93</v>
      </c>
      <c r="E1521" s="6" t="s">
        <v>2498</v>
      </c>
      <c r="F1521" s="5" t="s">
        <v>2499</v>
      </c>
      <c r="AP1521" s="4" t="s">
        <v>376</v>
      </c>
      <c r="AR1521" s="4" t="s">
        <v>377</v>
      </c>
    </row>
    <row r="1522" spans="1:44">
      <c r="A1522" s="4" t="s">
        <v>5</v>
      </c>
      <c r="C1522" s="4">
        <v>273</v>
      </c>
      <c r="D1522" s="5" t="s">
        <v>93</v>
      </c>
      <c r="E1522" s="6" t="s">
        <v>2500</v>
      </c>
      <c r="F1522" s="5" t="s">
        <v>2501</v>
      </c>
      <c r="AP1522" s="4" t="s">
        <v>376</v>
      </c>
      <c r="AR1522" s="4" t="s">
        <v>377</v>
      </c>
    </row>
    <row r="1523" spans="1:44">
      <c r="A1523" s="4" t="s">
        <v>5</v>
      </c>
      <c r="C1523" s="4">
        <v>5352</v>
      </c>
      <c r="D1523" s="5" t="s">
        <v>93</v>
      </c>
      <c r="E1523" s="6" t="s">
        <v>2502</v>
      </c>
      <c r="AP1523" s="4" t="s">
        <v>376</v>
      </c>
      <c r="AR1523" s="4" t="s">
        <v>377</v>
      </c>
    </row>
    <row r="1524" spans="1:44">
      <c r="A1524" s="4" t="s">
        <v>5</v>
      </c>
      <c r="C1524" s="4">
        <v>3871</v>
      </c>
      <c r="D1524" s="5" t="s">
        <v>93</v>
      </c>
      <c r="E1524" s="6" t="s">
        <v>2503</v>
      </c>
      <c r="AP1524" s="4" t="s">
        <v>376</v>
      </c>
      <c r="AR1524" s="4" t="s">
        <v>377</v>
      </c>
    </row>
    <row r="1525" spans="1:44" ht="30">
      <c r="A1525" s="4" t="s">
        <v>5</v>
      </c>
      <c r="C1525" s="4">
        <v>6954</v>
      </c>
      <c r="D1525" s="5" t="s">
        <v>93</v>
      </c>
      <c r="E1525" s="6" t="s">
        <v>2504</v>
      </c>
      <c r="AP1525" s="4" t="s">
        <v>376</v>
      </c>
      <c r="AR1525" s="4" t="s">
        <v>377</v>
      </c>
    </row>
    <row r="1526" spans="1:44">
      <c r="A1526" s="4" t="s">
        <v>5</v>
      </c>
      <c r="C1526" s="4">
        <v>6981</v>
      </c>
      <c r="D1526" s="5" t="s">
        <v>93</v>
      </c>
      <c r="E1526" s="6" t="s">
        <v>2505</v>
      </c>
      <c r="AP1526" s="4" t="s">
        <v>376</v>
      </c>
      <c r="AR1526" s="4" t="s">
        <v>377</v>
      </c>
    </row>
    <row r="1527" spans="1:44">
      <c r="A1527" s="4" t="s">
        <v>5</v>
      </c>
      <c r="C1527" s="4">
        <v>5561</v>
      </c>
      <c r="D1527" s="5" t="s">
        <v>93</v>
      </c>
      <c r="E1527" s="6" t="s">
        <v>2506</v>
      </c>
      <c r="AP1527" s="4" t="s">
        <v>376</v>
      </c>
      <c r="AR1527" s="4" t="s">
        <v>377</v>
      </c>
    </row>
    <row r="1528" spans="1:44">
      <c r="A1528" s="4" t="s">
        <v>5</v>
      </c>
      <c r="C1528" s="4">
        <v>2809</v>
      </c>
      <c r="D1528" s="5" t="s">
        <v>93</v>
      </c>
      <c r="E1528" s="6" t="s">
        <v>2507</v>
      </c>
      <c r="F1528" s="5" t="s">
        <v>2508</v>
      </c>
      <c r="AP1528" s="4" t="s">
        <v>376</v>
      </c>
      <c r="AR1528" s="4" t="s">
        <v>377</v>
      </c>
    </row>
    <row r="1529" spans="1:44">
      <c r="A1529" s="4" t="s">
        <v>5</v>
      </c>
      <c r="C1529" s="4">
        <v>4992</v>
      </c>
      <c r="D1529" s="5" t="s">
        <v>93</v>
      </c>
      <c r="E1529" s="6" t="s">
        <v>2509</v>
      </c>
      <c r="AP1529" s="4" t="s">
        <v>376</v>
      </c>
      <c r="AR1529" s="4" t="s">
        <v>377</v>
      </c>
    </row>
    <row r="1530" spans="1:44">
      <c r="A1530" s="4" t="s">
        <v>5</v>
      </c>
      <c r="C1530" s="4">
        <v>6838</v>
      </c>
      <c r="D1530" s="5" t="s">
        <v>93</v>
      </c>
      <c r="E1530" s="6" t="s">
        <v>2510</v>
      </c>
      <c r="F1530" s="5" t="s">
        <v>2511</v>
      </c>
      <c r="AP1530" s="4" t="s">
        <v>376</v>
      </c>
      <c r="AR1530" s="4" t="s">
        <v>377</v>
      </c>
    </row>
    <row r="1531" spans="1:44">
      <c r="A1531" s="4" t="s">
        <v>5</v>
      </c>
      <c r="C1531" s="4">
        <v>3723</v>
      </c>
      <c r="D1531" s="5" t="s">
        <v>93</v>
      </c>
      <c r="E1531" s="6" t="s">
        <v>2512</v>
      </c>
      <c r="Z1531" s="4" t="s">
        <v>443</v>
      </c>
      <c r="AA1531" s="4" t="s">
        <v>444</v>
      </c>
      <c r="AP1531" s="4" t="s">
        <v>376</v>
      </c>
      <c r="AR1531" s="4" t="s">
        <v>377</v>
      </c>
    </row>
    <row r="1532" spans="1:44">
      <c r="A1532" s="4" t="s">
        <v>5</v>
      </c>
      <c r="C1532" s="4">
        <v>4655</v>
      </c>
      <c r="D1532" s="5" t="s">
        <v>93</v>
      </c>
      <c r="E1532" s="6" t="s">
        <v>2513</v>
      </c>
      <c r="AP1532" s="4" t="s">
        <v>376</v>
      </c>
      <c r="AR1532" s="4" t="s">
        <v>377</v>
      </c>
    </row>
    <row r="1533" spans="1:44">
      <c r="A1533" s="4" t="s">
        <v>5</v>
      </c>
      <c r="C1533" s="4">
        <v>4884</v>
      </c>
      <c r="D1533" s="5" t="s">
        <v>93</v>
      </c>
      <c r="E1533" s="6" t="s">
        <v>2514</v>
      </c>
      <c r="Z1533" s="4" t="s">
        <v>443</v>
      </c>
      <c r="AA1533" s="4" t="s">
        <v>444</v>
      </c>
      <c r="AP1533" s="4" t="s">
        <v>376</v>
      </c>
      <c r="AR1533" s="4" t="s">
        <v>377</v>
      </c>
    </row>
    <row r="1534" spans="1:44" ht="30">
      <c r="A1534" s="4" t="s">
        <v>5</v>
      </c>
      <c r="C1534" s="4">
        <v>2030</v>
      </c>
      <c r="D1534" s="5" t="s">
        <v>93</v>
      </c>
      <c r="E1534" s="6" t="s">
        <v>2515</v>
      </c>
      <c r="AP1534" s="4" t="s">
        <v>376</v>
      </c>
      <c r="AR1534" s="4" t="s">
        <v>377</v>
      </c>
    </row>
    <row r="1535" spans="1:44">
      <c r="A1535" s="4" t="s">
        <v>5</v>
      </c>
      <c r="C1535" s="4">
        <v>6237</v>
      </c>
      <c r="D1535" s="5" t="s">
        <v>93</v>
      </c>
      <c r="E1535" s="6" t="s">
        <v>2516</v>
      </c>
      <c r="AP1535" s="4" t="s">
        <v>376</v>
      </c>
      <c r="AR1535" s="4" t="s">
        <v>377</v>
      </c>
    </row>
    <row r="1536" spans="1:44">
      <c r="A1536" s="4" t="s">
        <v>5</v>
      </c>
      <c r="C1536" s="4">
        <v>2664</v>
      </c>
      <c r="D1536" s="5" t="s">
        <v>93</v>
      </c>
      <c r="E1536" s="6" t="s">
        <v>2517</v>
      </c>
      <c r="F1536" s="5" t="s">
        <v>2518</v>
      </c>
      <c r="AP1536" s="4" t="s">
        <v>376</v>
      </c>
      <c r="AR1536" s="4" t="s">
        <v>377</v>
      </c>
    </row>
    <row r="1537" spans="1:44" ht="30">
      <c r="A1537" s="4" t="s">
        <v>5</v>
      </c>
      <c r="C1537" s="4">
        <v>4172</v>
      </c>
      <c r="D1537" s="5" t="s">
        <v>93</v>
      </c>
      <c r="E1537" s="6" t="s">
        <v>2519</v>
      </c>
      <c r="AP1537" s="4" t="s">
        <v>376</v>
      </c>
      <c r="AR1537" s="4" t="s">
        <v>377</v>
      </c>
    </row>
    <row r="1538" spans="1:44" ht="30">
      <c r="A1538" s="4" t="s">
        <v>5</v>
      </c>
      <c r="C1538" s="4">
        <v>5736</v>
      </c>
      <c r="D1538" s="5" t="s">
        <v>93</v>
      </c>
      <c r="E1538" s="6" t="s">
        <v>2520</v>
      </c>
      <c r="AP1538" s="4" t="s">
        <v>376</v>
      </c>
      <c r="AR1538" s="4" t="s">
        <v>377</v>
      </c>
    </row>
    <row r="1539" spans="1:44" ht="30">
      <c r="A1539" s="4" t="s">
        <v>5</v>
      </c>
      <c r="C1539" s="4">
        <v>6888</v>
      </c>
      <c r="D1539" s="5" t="s">
        <v>93</v>
      </c>
      <c r="E1539" s="6" t="s">
        <v>2521</v>
      </c>
      <c r="AP1539" s="4" t="s">
        <v>376</v>
      </c>
      <c r="AR1539" s="4" t="s">
        <v>377</v>
      </c>
    </row>
    <row r="1540" spans="1:44">
      <c r="A1540" s="4" t="s">
        <v>5</v>
      </c>
      <c r="C1540" s="4">
        <v>242</v>
      </c>
      <c r="D1540" s="5" t="s">
        <v>93</v>
      </c>
      <c r="E1540" s="6" t="s">
        <v>2522</v>
      </c>
      <c r="F1540" s="5" t="s">
        <v>2523</v>
      </c>
      <c r="AP1540" s="4" t="s">
        <v>376</v>
      </c>
      <c r="AR1540" s="4" t="s">
        <v>377</v>
      </c>
    </row>
    <row r="1541" spans="1:44">
      <c r="A1541" s="4" t="s">
        <v>5</v>
      </c>
      <c r="C1541" s="4">
        <v>4742</v>
      </c>
      <c r="D1541" s="5" t="s">
        <v>93</v>
      </c>
      <c r="E1541" s="6" t="s">
        <v>2524</v>
      </c>
      <c r="AP1541" s="4" t="s">
        <v>376</v>
      </c>
      <c r="AR1541" s="4" t="s">
        <v>377</v>
      </c>
    </row>
    <row r="1542" spans="1:44">
      <c r="A1542" s="4" t="s">
        <v>5</v>
      </c>
      <c r="C1542" s="4">
        <v>4148</v>
      </c>
      <c r="D1542" s="5" t="s">
        <v>93</v>
      </c>
      <c r="E1542" s="6" t="s">
        <v>2525</v>
      </c>
      <c r="AP1542" s="4" t="s">
        <v>376</v>
      </c>
      <c r="AR1542" s="4" t="s">
        <v>377</v>
      </c>
    </row>
    <row r="1543" spans="1:44" ht="30">
      <c r="A1543" s="4" t="s">
        <v>5</v>
      </c>
      <c r="C1543" s="4">
        <v>1141</v>
      </c>
      <c r="D1543" s="5" t="s">
        <v>93</v>
      </c>
      <c r="E1543" s="6" t="s">
        <v>2526</v>
      </c>
      <c r="F1543" s="5" t="s">
        <v>2527</v>
      </c>
      <c r="AP1543" s="4" t="s">
        <v>376</v>
      </c>
      <c r="AR1543" s="4" t="s">
        <v>377</v>
      </c>
    </row>
    <row r="1544" spans="1:44">
      <c r="A1544" s="4" t="s">
        <v>5</v>
      </c>
      <c r="C1544" s="4">
        <v>1718</v>
      </c>
      <c r="D1544" s="5" t="s">
        <v>93</v>
      </c>
      <c r="E1544" s="6" t="s">
        <v>2528</v>
      </c>
      <c r="AP1544" s="4" t="s">
        <v>376</v>
      </c>
      <c r="AR1544" s="4" t="s">
        <v>377</v>
      </c>
    </row>
    <row r="1545" spans="1:44" ht="30">
      <c r="A1545" s="4" t="s">
        <v>5</v>
      </c>
      <c r="C1545" s="4">
        <v>6493</v>
      </c>
      <c r="D1545" s="5" t="s">
        <v>93</v>
      </c>
      <c r="E1545" s="6" t="s">
        <v>2529</v>
      </c>
      <c r="AP1545" s="4" t="s">
        <v>376</v>
      </c>
      <c r="AR1545" s="4" t="s">
        <v>377</v>
      </c>
    </row>
    <row r="1546" spans="1:44">
      <c r="A1546" s="4" t="s">
        <v>5</v>
      </c>
      <c r="C1546" s="4">
        <v>6388</v>
      </c>
      <c r="D1546" s="5" t="s">
        <v>93</v>
      </c>
      <c r="E1546" s="6" t="s">
        <v>2530</v>
      </c>
      <c r="AP1546" s="4" t="s">
        <v>376</v>
      </c>
      <c r="AR1546" s="4" t="s">
        <v>377</v>
      </c>
    </row>
    <row r="1547" spans="1:44" ht="30">
      <c r="A1547" s="4" t="s">
        <v>5</v>
      </c>
      <c r="C1547" s="4">
        <v>6253</v>
      </c>
      <c r="D1547" s="5" t="s">
        <v>93</v>
      </c>
      <c r="E1547" s="6" t="s">
        <v>2531</v>
      </c>
      <c r="AP1547" s="4" t="s">
        <v>376</v>
      </c>
      <c r="AR1547" s="4" t="s">
        <v>377</v>
      </c>
    </row>
    <row r="1548" spans="1:44">
      <c r="A1548" s="4" t="s">
        <v>5</v>
      </c>
      <c r="C1548" s="4">
        <v>2290</v>
      </c>
      <c r="D1548" s="5" t="s">
        <v>93</v>
      </c>
      <c r="E1548" s="6" t="s">
        <v>2532</v>
      </c>
      <c r="AP1548" s="4" t="s">
        <v>376</v>
      </c>
      <c r="AR1548" s="4" t="s">
        <v>377</v>
      </c>
    </row>
    <row r="1549" spans="1:44">
      <c r="A1549" s="4" t="s">
        <v>5</v>
      </c>
      <c r="C1549" s="4">
        <v>814</v>
      </c>
      <c r="D1549" s="5" t="s">
        <v>93</v>
      </c>
      <c r="E1549" s="6" t="s">
        <v>2533</v>
      </c>
      <c r="F1549" s="5" t="s">
        <v>2534</v>
      </c>
      <c r="AP1549" s="4" t="s">
        <v>376</v>
      </c>
      <c r="AR1549" s="4" t="s">
        <v>377</v>
      </c>
    </row>
    <row r="1550" spans="1:44">
      <c r="A1550" s="4" t="s">
        <v>5</v>
      </c>
      <c r="C1550" s="4">
        <v>3678</v>
      </c>
      <c r="D1550" s="5" t="s">
        <v>93</v>
      </c>
      <c r="E1550" s="6" t="s">
        <v>2535</v>
      </c>
      <c r="F1550" s="5" t="s">
        <v>2536</v>
      </c>
      <c r="AP1550" s="4" t="s">
        <v>376</v>
      </c>
      <c r="AR1550" s="4" t="s">
        <v>377</v>
      </c>
    </row>
    <row r="1551" spans="1:44">
      <c r="A1551" s="4" t="s">
        <v>5</v>
      </c>
      <c r="C1551" s="4">
        <v>2082</v>
      </c>
      <c r="D1551" s="5" t="s">
        <v>93</v>
      </c>
      <c r="E1551" s="6" t="s">
        <v>2537</v>
      </c>
      <c r="AP1551" s="4" t="s">
        <v>376</v>
      </c>
      <c r="AR1551" s="4" t="s">
        <v>377</v>
      </c>
    </row>
    <row r="1552" spans="1:44">
      <c r="A1552" s="4" t="s">
        <v>5</v>
      </c>
      <c r="C1552" s="4">
        <v>4861</v>
      </c>
      <c r="D1552" s="5" t="s">
        <v>93</v>
      </c>
      <c r="E1552" s="6" t="s">
        <v>2538</v>
      </c>
      <c r="AP1552" s="4" t="s">
        <v>376</v>
      </c>
      <c r="AR1552" s="4" t="s">
        <v>377</v>
      </c>
    </row>
    <row r="1553" spans="1:44">
      <c r="A1553" s="4" t="s">
        <v>5</v>
      </c>
      <c r="C1553" s="4">
        <v>5528</v>
      </c>
      <c r="D1553" s="5" t="s">
        <v>93</v>
      </c>
      <c r="E1553" s="6" t="s">
        <v>2539</v>
      </c>
      <c r="AP1553" s="4" t="s">
        <v>376</v>
      </c>
      <c r="AR1553" s="4" t="s">
        <v>377</v>
      </c>
    </row>
    <row r="1554" spans="1:44">
      <c r="A1554" s="4" t="s">
        <v>5</v>
      </c>
      <c r="C1554" s="4">
        <v>3724</v>
      </c>
      <c r="D1554" s="5" t="s">
        <v>93</v>
      </c>
      <c r="E1554" s="6" t="s">
        <v>2540</v>
      </c>
      <c r="AP1554" s="4" t="s">
        <v>376</v>
      </c>
      <c r="AR1554" s="4" t="s">
        <v>377</v>
      </c>
    </row>
    <row r="1555" spans="1:44">
      <c r="A1555" s="4" t="s">
        <v>5</v>
      </c>
      <c r="C1555" s="4">
        <v>6530</v>
      </c>
      <c r="D1555" s="5" t="s">
        <v>93</v>
      </c>
      <c r="E1555" s="6" t="s">
        <v>2541</v>
      </c>
      <c r="AP1555" s="4" t="s">
        <v>376</v>
      </c>
      <c r="AR1555" s="4" t="s">
        <v>377</v>
      </c>
    </row>
    <row r="1556" spans="1:44">
      <c r="A1556" s="4" t="s">
        <v>5</v>
      </c>
      <c r="C1556" s="4">
        <v>1484</v>
      </c>
      <c r="D1556" s="5" t="s">
        <v>93</v>
      </c>
      <c r="E1556" s="6" t="s">
        <v>2542</v>
      </c>
      <c r="F1556" s="5" t="s">
        <v>2543</v>
      </c>
      <c r="AP1556" s="4" t="s">
        <v>376</v>
      </c>
      <c r="AR1556" s="4" t="s">
        <v>377</v>
      </c>
    </row>
    <row r="1557" spans="1:44" ht="30">
      <c r="A1557" s="4" t="s">
        <v>5</v>
      </c>
      <c r="C1557" s="4">
        <v>1232</v>
      </c>
      <c r="D1557" s="5" t="s">
        <v>93</v>
      </c>
      <c r="E1557" s="6" t="s">
        <v>2544</v>
      </c>
      <c r="F1557" s="5" t="s">
        <v>2545</v>
      </c>
      <c r="AP1557" s="4" t="s">
        <v>376</v>
      </c>
      <c r="AR1557" s="4" t="s">
        <v>377</v>
      </c>
    </row>
    <row r="1558" spans="1:44">
      <c r="A1558" s="4" t="s">
        <v>5</v>
      </c>
      <c r="C1558" s="4">
        <v>1158</v>
      </c>
      <c r="D1558" s="5" t="s">
        <v>93</v>
      </c>
      <c r="E1558" s="6" t="s">
        <v>2546</v>
      </c>
      <c r="AP1558" s="4" t="s">
        <v>376</v>
      </c>
      <c r="AR1558" s="4" t="s">
        <v>377</v>
      </c>
    </row>
    <row r="1559" spans="1:44">
      <c r="A1559" s="4" t="s">
        <v>5</v>
      </c>
      <c r="C1559" s="4">
        <v>536</v>
      </c>
      <c r="D1559" s="5" t="s">
        <v>93</v>
      </c>
      <c r="E1559" s="6" t="s">
        <v>2547</v>
      </c>
      <c r="F1559" s="5" t="s">
        <v>2548</v>
      </c>
      <c r="AP1559" s="4" t="s">
        <v>376</v>
      </c>
      <c r="AR1559" s="4" t="s">
        <v>377</v>
      </c>
    </row>
    <row r="1560" spans="1:44">
      <c r="A1560" s="4" t="s">
        <v>5</v>
      </c>
      <c r="C1560" s="4">
        <v>6298</v>
      </c>
      <c r="D1560" s="5" t="s">
        <v>93</v>
      </c>
      <c r="E1560" s="6" t="s">
        <v>2549</v>
      </c>
      <c r="AP1560" s="4" t="s">
        <v>376</v>
      </c>
      <c r="AR1560" s="4" t="s">
        <v>377</v>
      </c>
    </row>
    <row r="1561" spans="1:44">
      <c r="A1561" s="4" t="s">
        <v>5</v>
      </c>
      <c r="C1561" s="4">
        <v>6244</v>
      </c>
      <c r="D1561" s="5" t="s">
        <v>93</v>
      </c>
      <c r="E1561" s="6" t="s">
        <v>2550</v>
      </c>
      <c r="AP1561" s="4" t="s">
        <v>376</v>
      </c>
      <c r="AR1561" s="4" t="s">
        <v>377</v>
      </c>
    </row>
    <row r="1562" spans="1:44">
      <c r="A1562" s="4" t="s">
        <v>5</v>
      </c>
      <c r="C1562" s="4">
        <v>6938</v>
      </c>
      <c r="D1562" s="5" t="s">
        <v>93</v>
      </c>
      <c r="E1562" s="6" t="s">
        <v>2551</v>
      </c>
      <c r="AP1562" s="4" t="s">
        <v>376</v>
      </c>
      <c r="AR1562" s="4" t="s">
        <v>377</v>
      </c>
    </row>
    <row r="1563" spans="1:44" ht="30">
      <c r="A1563" s="4" t="s">
        <v>5</v>
      </c>
      <c r="C1563" s="4">
        <v>5983</v>
      </c>
      <c r="D1563" s="5" t="s">
        <v>93</v>
      </c>
      <c r="E1563" s="6" t="s">
        <v>2552</v>
      </c>
      <c r="AP1563" s="4" t="s">
        <v>376</v>
      </c>
      <c r="AR1563" s="4" t="s">
        <v>377</v>
      </c>
    </row>
    <row r="1564" spans="1:44">
      <c r="A1564" s="4" t="s">
        <v>5</v>
      </c>
      <c r="C1564" s="4">
        <v>5717</v>
      </c>
      <c r="D1564" s="5" t="s">
        <v>93</v>
      </c>
      <c r="E1564" s="6" t="s">
        <v>2553</v>
      </c>
      <c r="AP1564" s="4" t="s">
        <v>376</v>
      </c>
      <c r="AR1564" s="4" t="s">
        <v>377</v>
      </c>
    </row>
    <row r="1565" spans="1:44">
      <c r="A1565" s="4" t="s">
        <v>5</v>
      </c>
      <c r="C1565" s="4">
        <v>434</v>
      </c>
      <c r="D1565" s="5" t="s">
        <v>93</v>
      </c>
      <c r="E1565" s="6" t="s">
        <v>2554</v>
      </c>
      <c r="F1565" s="5" t="s">
        <v>2555</v>
      </c>
      <c r="AP1565" s="4" t="s">
        <v>376</v>
      </c>
      <c r="AR1565" s="4" t="s">
        <v>377</v>
      </c>
    </row>
    <row r="1566" spans="1:44">
      <c r="A1566" s="4" t="s">
        <v>5</v>
      </c>
      <c r="C1566" s="4">
        <v>6176</v>
      </c>
      <c r="D1566" s="5" t="s">
        <v>93</v>
      </c>
      <c r="E1566" s="6" t="s">
        <v>2556</v>
      </c>
      <c r="AP1566" s="4" t="s">
        <v>376</v>
      </c>
      <c r="AR1566" s="4" t="s">
        <v>377</v>
      </c>
    </row>
    <row r="1567" spans="1:44">
      <c r="A1567" s="4" t="s">
        <v>5</v>
      </c>
      <c r="C1567" s="4">
        <v>5783</v>
      </c>
      <c r="D1567" s="5" t="s">
        <v>93</v>
      </c>
      <c r="E1567" s="6" t="s">
        <v>2557</v>
      </c>
      <c r="AP1567" s="4" t="s">
        <v>376</v>
      </c>
      <c r="AR1567" s="4" t="s">
        <v>377</v>
      </c>
    </row>
    <row r="1568" spans="1:44">
      <c r="A1568" s="4" t="s">
        <v>5</v>
      </c>
      <c r="C1568" s="4">
        <v>6628</v>
      </c>
      <c r="D1568" s="5" t="s">
        <v>93</v>
      </c>
      <c r="E1568" s="6" t="s">
        <v>2558</v>
      </c>
      <c r="F1568" s="5" t="s">
        <v>2559</v>
      </c>
      <c r="AP1568" s="4" t="s">
        <v>376</v>
      </c>
      <c r="AR1568" s="4" t="s">
        <v>377</v>
      </c>
    </row>
    <row r="1569" spans="1:44">
      <c r="A1569" s="4" t="s">
        <v>5</v>
      </c>
      <c r="C1569" s="4">
        <v>6473</v>
      </c>
      <c r="D1569" s="5" t="s">
        <v>93</v>
      </c>
      <c r="E1569" s="6" t="s">
        <v>2560</v>
      </c>
      <c r="AP1569" s="4" t="s">
        <v>376</v>
      </c>
      <c r="AR1569" s="4" t="s">
        <v>377</v>
      </c>
    </row>
    <row r="1570" spans="1:44">
      <c r="A1570" s="4" t="s">
        <v>5</v>
      </c>
      <c r="C1570" s="4">
        <v>1680</v>
      </c>
      <c r="D1570" s="5" t="s">
        <v>93</v>
      </c>
      <c r="E1570" s="6" t="s">
        <v>2561</v>
      </c>
      <c r="F1570" s="5" t="s">
        <v>2562</v>
      </c>
      <c r="Z1570" s="4" t="s">
        <v>443</v>
      </c>
      <c r="AA1570" s="4" t="s">
        <v>444</v>
      </c>
      <c r="AP1570" s="4" t="s">
        <v>376</v>
      </c>
      <c r="AR1570" s="4" t="s">
        <v>377</v>
      </c>
    </row>
    <row r="1571" spans="1:44">
      <c r="A1571" s="4" t="s">
        <v>5</v>
      </c>
      <c r="C1571" s="4">
        <v>3451</v>
      </c>
      <c r="D1571" s="5" t="s">
        <v>93</v>
      </c>
      <c r="E1571" s="6" t="s">
        <v>2563</v>
      </c>
      <c r="AP1571" s="4" t="s">
        <v>376</v>
      </c>
      <c r="AR1571" s="4" t="s">
        <v>377</v>
      </c>
    </row>
    <row r="1572" spans="1:44">
      <c r="A1572" s="4" t="s">
        <v>5</v>
      </c>
      <c r="C1572" s="4">
        <v>461</v>
      </c>
      <c r="D1572" s="5" t="s">
        <v>93</v>
      </c>
      <c r="E1572" s="6" t="s">
        <v>2564</v>
      </c>
      <c r="F1572" s="5" t="s">
        <v>2565</v>
      </c>
      <c r="AP1572" s="4" t="s">
        <v>376</v>
      </c>
      <c r="AR1572" s="4" t="s">
        <v>377</v>
      </c>
    </row>
    <row r="1573" spans="1:44">
      <c r="A1573" s="4" t="s">
        <v>5</v>
      </c>
      <c r="C1573" s="4">
        <v>3758</v>
      </c>
      <c r="D1573" s="5" t="s">
        <v>93</v>
      </c>
      <c r="E1573" s="6" t="s">
        <v>2566</v>
      </c>
      <c r="AP1573" s="4" t="s">
        <v>376</v>
      </c>
      <c r="AR1573" s="4" t="s">
        <v>377</v>
      </c>
    </row>
    <row r="1574" spans="1:44" ht="30">
      <c r="A1574" s="4" t="s">
        <v>5</v>
      </c>
      <c r="C1574" s="4">
        <v>3489</v>
      </c>
      <c r="D1574" s="5" t="s">
        <v>93</v>
      </c>
      <c r="E1574" s="6" t="s">
        <v>2567</v>
      </c>
      <c r="F1574" s="5" t="s">
        <v>2568</v>
      </c>
      <c r="Z1574" s="4" t="s">
        <v>447</v>
      </c>
      <c r="AA1574" s="4" t="s">
        <v>448</v>
      </c>
      <c r="AP1574" s="4" t="s">
        <v>376</v>
      </c>
      <c r="AR1574" s="4" t="s">
        <v>377</v>
      </c>
    </row>
    <row r="1575" spans="1:44" ht="30">
      <c r="A1575" s="4" t="s">
        <v>5</v>
      </c>
      <c r="C1575" s="4">
        <v>3652</v>
      </c>
      <c r="D1575" s="5" t="s">
        <v>93</v>
      </c>
      <c r="E1575" s="6" t="s">
        <v>2569</v>
      </c>
      <c r="F1575" s="5" t="s">
        <v>2570</v>
      </c>
      <c r="AP1575" s="4" t="s">
        <v>376</v>
      </c>
      <c r="AR1575" s="4" t="s">
        <v>377</v>
      </c>
    </row>
    <row r="1576" spans="1:44">
      <c r="A1576" s="4" t="s">
        <v>5</v>
      </c>
      <c r="C1576" s="4">
        <v>798</v>
      </c>
      <c r="D1576" s="5" t="s">
        <v>93</v>
      </c>
      <c r="E1576" s="6" t="s">
        <v>2571</v>
      </c>
      <c r="F1576" s="5" t="s">
        <v>2572</v>
      </c>
      <c r="AP1576" s="4" t="s">
        <v>376</v>
      </c>
      <c r="AR1576" s="4" t="s">
        <v>377</v>
      </c>
    </row>
    <row r="1577" spans="1:44">
      <c r="A1577" s="4" t="s">
        <v>5</v>
      </c>
      <c r="C1577" s="4">
        <v>469</v>
      </c>
      <c r="D1577" s="5" t="s">
        <v>93</v>
      </c>
      <c r="E1577" s="6" t="s">
        <v>2573</v>
      </c>
      <c r="F1577" s="5" t="s">
        <v>2574</v>
      </c>
      <c r="AP1577" s="4" t="s">
        <v>376</v>
      </c>
      <c r="AR1577" s="4" t="s">
        <v>377</v>
      </c>
    </row>
    <row r="1578" spans="1:44">
      <c r="A1578" s="4" t="s">
        <v>5</v>
      </c>
      <c r="C1578" s="4">
        <v>1241</v>
      </c>
      <c r="D1578" s="5" t="s">
        <v>93</v>
      </c>
      <c r="E1578" s="6" t="s">
        <v>2575</v>
      </c>
      <c r="AP1578" s="4" t="s">
        <v>376</v>
      </c>
      <c r="AR1578" s="4" t="s">
        <v>377</v>
      </c>
    </row>
    <row r="1579" spans="1:44">
      <c r="A1579" s="4" t="s">
        <v>5</v>
      </c>
      <c r="C1579" s="4">
        <v>5134</v>
      </c>
      <c r="D1579" s="5" t="s">
        <v>93</v>
      </c>
      <c r="E1579" s="6" t="s">
        <v>2576</v>
      </c>
      <c r="AP1579" s="4" t="s">
        <v>376</v>
      </c>
      <c r="AR1579" s="4" t="s">
        <v>377</v>
      </c>
    </row>
    <row r="1580" spans="1:44">
      <c r="A1580" s="4" t="s">
        <v>5</v>
      </c>
      <c r="C1580" s="4">
        <v>3756</v>
      </c>
      <c r="D1580" s="5" t="s">
        <v>93</v>
      </c>
      <c r="E1580" s="6" t="s">
        <v>2577</v>
      </c>
      <c r="F1580" s="5" t="s">
        <v>2578</v>
      </c>
      <c r="Z1580" s="4" t="s">
        <v>695</v>
      </c>
      <c r="AA1580" s="4" t="s">
        <v>696</v>
      </c>
      <c r="AP1580" s="4" t="s">
        <v>376</v>
      </c>
      <c r="AR1580" s="4" t="s">
        <v>377</v>
      </c>
    </row>
    <row r="1581" spans="1:44">
      <c r="A1581" s="4" t="s">
        <v>5</v>
      </c>
      <c r="C1581" s="4">
        <v>2563</v>
      </c>
      <c r="D1581" s="5" t="s">
        <v>93</v>
      </c>
      <c r="E1581" s="6" t="s">
        <v>2579</v>
      </c>
      <c r="AP1581" s="4" t="s">
        <v>376</v>
      </c>
      <c r="AR1581" s="4" t="s">
        <v>377</v>
      </c>
    </row>
    <row r="1582" spans="1:44">
      <c r="A1582" s="4" t="s">
        <v>5</v>
      </c>
      <c r="C1582" s="4">
        <v>2815</v>
      </c>
      <c r="D1582" s="5" t="s">
        <v>93</v>
      </c>
      <c r="E1582" s="6" t="s">
        <v>2580</v>
      </c>
      <c r="AP1582" s="4" t="s">
        <v>376</v>
      </c>
      <c r="AR1582" s="4" t="s">
        <v>377</v>
      </c>
    </row>
    <row r="1583" spans="1:44">
      <c r="A1583" s="4" t="s">
        <v>5</v>
      </c>
      <c r="C1583" s="4">
        <v>583</v>
      </c>
      <c r="D1583" s="5" t="s">
        <v>93</v>
      </c>
      <c r="E1583" s="6" t="s">
        <v>2581</v>
      </c>
      <c r="F1583" s="5" t="s">
        <v>2582</v>
      </c>
      <c r="AP1583" s="4" t="s">
        <v>376</v>
      </c>
      <c r="AR1583" s="4" t="s">
        <v>377</v>
      </c>
    </row>
    <row r="1584" spans="1:44">
      <c r="A1584" s="4" t="s">
        <v>5</v>
      </c>
      <c r="C1584" s="4">
        <v>771</v>
      </c>
      <c r="D1584" s="5" t="s">
        <v>93</v>
      </c>
      <c r="E1584" s="6" t="s">
        <v>2583</v>
      </c>
      <c r="F1584" s="5" t="s">
        <v>2584</v>
      </c>
      <c r="Z1584" s="4" t="s">
        <v>447</v>
      </c>
      <c r="AA1584" s="4" t="s">
        <v>448</v>
      </c>
      <c r="AP1584" s="4" t="s">
        <v>376</v>
      </c>
      <c r="AR1584" s="4" t="s">
        <v>377</v>
      </c>
    </row>
    <row r="1585" spans="1:44">
      <c r="A1585" s="4" t="s">
        <v>5</v>
      </c>
      <c r="C1585" s="4">
        <v>5773</v>
      </c>
      <c r="D1585" s="5" t="s">
        <v>93</v>
      </c>
      <c r="E1585" s="6" t="s">
        <v>2585</v>
      </c>
      <c r="AP1585" s="4" t="s">
        <v>376</v>
      </c>
      <c r="AR1585" s="4" t="s">
        <v>377</v>
      </c>
    </row>
    <row r="1586" spans="1:44" ht="30">
      <c r="A1586" s="4" t="s">
        <v>5</v>
      </c>
      <c r="C1586" s="4">
        <v>2951</v>
      </c>
      <c r="D1586" s="5" t="s">
        <v>93</v>
      </c>
      <c r="E1586" s="6" t="s">
        <v>2586</v>
      </c>
      <c r="AP1586" s="4" t="s">
        <v>376</v>
      </c>
      <c r="AR1586" s="4" t="s">
        <v>377</v>
      </c>
    </row>
    <row r="1587" spans="1:44">
      <c r="A1587" s="4" t="s">
        <v>5</v>
      </c>
      <c r="C1587" s="4">
        <v>427</v>
      </c>
      <c r="D1587" s="5" t="s">
        <v>93</v>
      </c>
      <c r="E1587" s="6" t="s">
        <v>2587</v>
      </c>
      <c r="Z1587" s="4" t="s">
        <v>443</v>
      </c>
      <c r="AA1587" s="4" t="s">
        <v>444</v>
      </c>
      <c r="AP1587" s="4" t="s">
        <v>376</v>
      </c>
      <c r="AR1587" s="4" t="s">
        <v>377</v>
      </c>
    </row>
    <row r="1588" spans="1:44">
      <c r="A1588" s="4" t="s">
        <v>5</v>
      </c>
      <c r="C1588" s="4">
        <v>6682</v>
      </c>
      <c r="D1588" s="5" t="s">
        <v>93</v>
      </c>
      <c r="E1588" s="6" t="s">
        <v>2588</v>
      </c>
      <c r="AP1588" s="4" t="s">
        <v>376</v>
      </c>
      <c r="AR1588" s="4" t="s">
        <v>377</v>
      </c>
    </row>
    <row r="1589" spans="1:44" ht="30">
      <c r="A1589" s="4" t="s">
        <v>5</v>
      </c>
      <c r="C1589" s="4">
        <v>1613</v>
      </c>
      <c r="D1589" s="5" t="s">
        <v>93</v>
      </c>
      <c r="E1589" s="6" t="s">
        <v>2589</v>
      </c>
      <c r="AP1589" s="4" t="s">
        <v>376</v>
      </c>
      <c r="AR1589" s="4" t="s">
        <v>377</v>
      </c>
    </row>
    <row r="1590" spans="1:44">
      <c r="A1590" s="4" t="s">
        <v>5</v>
      </c>
      <c r="C1590" s="4">
        <v>5050</v>
      </c>
      <c r="D1590" s="5" t="s">
        <v>93</v>
      </c>
      <c r="E1590" s="6" t="s">
        <v>2590</v>
      </c>
      <c r="AP1590" s="4" t="s">
        <v>376</v>
      </c>
      <c r="AR1590" s="4" t="s">
        <v>377</v>
      </c>
    </row>
    <row r="1591" spans="1:44">
      <c r="A1591" s="4" t="s">
        <v>5</v>
      </c>
      <c r="C1591" s="4">
        <v>2603</v>
      </c>
      <c r="D1591" s="5" t="s">
        <v>93</v>
      </c>
      <c r="E1591" s="6" t="s">
        <v>2591</v>
      </c>
      <c r="F1591" s="5" t="s">
        <v>2592</v>
      </c>
      <c r="Z1591" s="4" t="s">
        <v>695</v>
      </c>
      <c r="AA1591" s="4" t="s">
        <v>696</v>
      </c>
      <c r="AP1591" s="4" t="s">
        <v>376</v>
      </c>
      <c r="AR1591" s="4" t="s">
        <v>377</v>
      </c>
    </row>
    <row r="1592" spans="1:44">
      <c r="A1592" s="4" t="s">
        <v>5</v>
      </c>
      <c r="C1592" s="4">
        <v>6599</v>
      </c>
      <c r="D1592" s="5" t="s">
        <v>93</v>
      </c>
      <c r="E1592" s="6" t="s">
        <v>2593</v>
      </c>
      <c r="F1592" s="5" t="s">
        <v>2594</v>
      </c>
      <c r="AP1592" s="4" t="s">
        <v>376</v>
      </c>
      <c r="AR1592" s="4" t="s">
        <v>377</v>
      </c>
    </row>
    <row r="1593" spans="1:44" ht="30">
      <c r="A1593" s="4" t="s">
        <v>5</v>
      </c>
      <c r="C1593" s="4">
        <v>3379</v>
      </c>
      <c r="D1593" s="5" t="s">
        <v>93</v>
      </c>
      <c r="E1593" s="6" t="s">
        <v>2595</v>
      </c>
      <c r="AP1593" s="4" t="s">
        <v>376</v>
      </c>
      <c r="AR1593" s="4" t="s">
        <v>377</v>
      </c>
    </row>
    <row r="1594" spans="1:44">
      <c r="A1594" s="4" t="s">
        <v>5</v>
      </c>
      <c r="C1594" s="4">
        <v>2514</v>
      </c>
      <c r="D1594" s="5" t="s">
        <v>93</v>
      </c>
      <c r="E1594" s="6" t="s">
        <v>2596</v>
      </c>
      <c r="AP1594" s="4" t="s">
        <v>376</v>
      </c>
      <c r="AR1594" s="4" t="s">
        <v>377</v>
      </c>
    </row>
    <row r="1595" spans="1:44" ht="30">
      <c r="A1595" s="4" t="s">
        <v>5</v>
      </c>
      <c r="C1595" s="4">
        <v>6989</v>
      </c>
      <c r="D1595" s="5" t="s">
        <v>93</v>
      </c>
      <c r="E1595" s="6" t="s">
        <v>2597</v>
      </c>
      <c r="AP1595" s="4" t="s">
        <v>376</v>
      </c>
      <c r="AR1595" s="4" t="s">
        <v>377</v>
      </c>
    </row>
    <row r="1596" spans="1:44">
      <c r="A1596" s="4" t="s">
        <v>5</v>
      </c>
      <c r="C1596" s="4">
        <v>4579</v>
      </c>
      <c r="D1596" s="5" t="s">
        <v>93</v>
      </c>
      <c r="E1596" s="6" t="s">
        <v>2598</v>
      </c>
      <c r="AP1596" s="4" t="s">
        <v>376</v>
      </c>
      <c r="AR1596" s="4" t="s">
        <v>377</v>
      </c>
    </row>
    <row r="1597" spans="1:44">
      <c r="A1597" s="4" t="s">
        <v>5</v>
      </c>
      <c r="C1597" s="4">
        <v>3031</v>
      </c>
      <c r="D1597" s="5" t="s">
        <v>93</v>
      </c>
      <c r="E1597" s="6" t="s">
        <v>2599</v>
      </c>
      <c r="F1597" s="5" t="s">
        <v>2600</v>
      </c>
      <c r="Z1597" s="4" t="s">
        <v>447</v>
      </c>
      <c r="AA1597" s="4" t="s">
        <v>448</v>
      </c>
      <c r="AP1597" s="4" t="s">
        <v>376</v>
      </c>
      <c r="AR1597" s="4" t="s">
        <v>377</v>
      </c>
    </row>
    <row r="1598" spans="1:44">
      <c r="A1598" s="4" t="s">
        <v>5</v>
      </c>
      <c r="C1598" s="4">
        <v>699</v>
      </c>
      <c r="D1598" s="5" t="s">
        <v>93</v>
      </c>
      <c r="E1598" s="6" t="s">
        <v>2601</v>
      </c>
      <c r="F1598" s="5" t="s">
        <v>2602</v>
      </c>
      <c r="AP1598" s="4" t="s">
        <v>376</v>
      </c>
      <c r="AR1598" s="4" t="s">
        <v>377</v>
      </c>
    </row>
    <row r="1599" spans="1:44" ht="30">
      <c r="A1599" s="4" t="s">
        <v>5</v>
      </c>
      <c r="C1599" s="4">
        <v>3471</v>
      </c>
      <c r="D1599" s="5" t="s">
        <v>93</v>
      </c>
      <c r="E1599" s="6" t="s">
        <v>2603</v>
      </c>
      <c r="Z1599" s="4" t="s">
        <v>447</v>
      </c>
      <c r="AA1599" s="4" t="s">
        <v>448</v>
      </c>
      <c r="AP1599" s="4" t="s">
        <v>376</v>
      </c>
      <c r="AR1599" s="4" t="s">
        <v>377</v>
      </c>
    </row>
    <row r="1600" spans="1:44">
      <c r="A1600" s="4" t="s">
        <v>5</v>
      </c>
      <c r="C1600" s="4">
        <v>4774</v>
      </c>
      <c r="D1600" s="5" t="s">
        <v>93</v>
      </c>
      <c r="E1600" s="6" t="s">
        <v>2604</v>
      </c>
      <c r="AP1600" s="4" t="s">
        <v>376</v>
      </c>
      <c r="AR1600" s="4" t="s">
        <v>377</v>
      </c>
    </row>
    <row r="1601" spans="1:44">
      <c r="A1601" s="4" t="s">
        <v>5</v>
      </c>
      <c r="C1601" s="4">
        <v>1961</v>
      </c>
      <c r="D1601" s="5" t="s">
        <v>93</v>
      </c>
      <c r="E1601" s="6" t="s">
        <v>2605</v>
      </c>
      <c r="F1601" s="5" t="s">
        <v>2606</v>
      </c>
      <c r="AP1601" s="4" t="s">
        <v>376</v>
      </c>
      <c r="AR1601" s="4" t="s">
        <v>377</v>
      </c>
    </row>
    <row r="1602" spans="1:44" ht="30">
      <c r="A1602" s="4" t="s">
        <v>5</v>
      </c>
      <c r="C1602" s="4">
        <v>52</v>
      </c>
      <c r="D1602" s="5" t="s">
        <v>93</v>
      </c>
      <c r="E1602" s="6" t="s">
        <v>2607</v>
      </c>
      <c r="F1602" s="5" t="s">
        <v>2608</v>
      </c>
      <c r="AP1602" s="4" t="s">
        <v>376</v>
      </c>
      <c r="AR1602" s="4" t="s">
        <v>377</v>
      </c>
    </row>
    <row r="1603" spans="1:44" ht="30">
      <c r="A1603" s="4" t="s">
        <v>5</v>
      </c>
      <c r="C1603" s="4">
        <v>6366</v>
      </c>
      <c r="D1603" s="5" t="s">
        <v>93</v>
      </c>
      <c r="E1603" s="6" t="s">
        <v>2609</v>
      </c>
      <c r="AP1603" s="4" t="s">
        <v>376</v>
      </c>
      <c r="AR1603" s="4" t="s">
        <v>377</v>
      </c>
    </row>
    <row r="1604" spans="1:44">
      <c r="A1604" s="4" t="s">
        <v>5</v>
      </c>
      <c r="C1604" s="4">
        <v>1129</v>
      </c>
      <c r="D1604" s="5" t="s">
        <v>93</v>
      </c>
      <c r="E1604" s="6" t="s">
        <v>2610</v>
      </c>
      <c r="AP1604" s="4" t="s">
        <v>376</v>
      </c>
      <c r="AR1604" s="4" t="s">
        <v>377</v>
      </c>
    </row>
    <row r="1605" spans="1:44">
      <c r="A1605" s="4" t="s">
        <v>5</v>
      </c>
      <c r="C1605" s="4">
        <v>5237</v>
      </c>
      <c r="D1605" s="5" t="s">
        <v>93</v>
      </c>
      <c r="E1605" s="6" t="s">
        <v>2611</v>
      </c>
      <c r="AP1605" s="4" t="s">
        <v>376</v>
      </c>
      <c r="AR1605" s="4" t="s">
        <v>377</v>
      </c>
    </row>
    <row r="1606" spans="1:44">
      <c r="A1606" s="4" t="s">
        <v>5</v>
      </c>
      <c r="C1606" s="4">
        <v>3613</v>
      </c>
      <c r="D1606" s="5" t="s">
        <v>93</v>
      </c>
      <c r="E1606" s="6" t="s">
        <v>2612</v>
      </c>
      <c r="AP1606" s="4" t="s">
        <v>376</v>
      </c>
      <c r="AR1606" s="4" t="s">
        <v>377</v>
      </c>
    </row>
    <row r="1607" spans="1:44">
      <c r="A1607" s="4" t="s">
        <v>5</v>
      </c>
      <c r="C1607" s="4">
        <v>2071</v>
      </c>
      <c r="D1607" s="5" t="s">
        <v>93</v>
      </c>
      <c r="E1607" s="6" t="s">
        <v>2613</v>
      </c>
      <c r="AP1607" s="4" t="s">
        <v>376</v>
      </c>
      <c r="AR1607" s="4" t="s">
        <v>377</v>
      </c>
    </row>
    <row r="1608" spans="1:44">
      <c r="A1608" s="4" t="s">
        <v>5</v>
      </c>
      <c r="C1608" s="4">
        <v>6351</v>
      </c>
      <c r="D1608" s="5" t="s">
        <v>93</v>
      </c>
      <c r="E1608" s="6" t="s">
        <v>2614</v>
      </c>
      <c r="AP1608" s="4" t="s">
        <v>376</v>
      </c>
      <c r="AR1608" s="4" t="s">
        <v>377</v>
      </c>
    </row>
    <row r="1609" spans="1:44" ht="30">
      <c r="A1609" s="4" t="s">
        <v>5</v>
      </c>
      <c r="C1609" s="4">
        <v>2420</v>
      </c>
      <c r="D1609" s="5" t="s">
        <v>93</v>
      </c>
      <c r="E1609" s="6" t="s">
        <v>2615</v>
      </c>
      <c r="F1609" s="5" t="s">
        <v>2616</v>
      </c>
      <c r="AP1609" s="4" t="s">
        <v>376</v>
      </c>
      <c r="AR1609" s="4" t="s">
        <v>377</v>
      </c>
    </row>
    <row r="1610" spans="1:44">
      <c r="A1610" s="4" t="s">
        <v>5</v>
      </c>
      <c r="C1610" s="4">
        <v>2127</v>
      </c>
      <c r="D1610" s="5" t="s">
        <v>93</v>
      </c>
      <c r="E1610" s="6" t="s">
        <v>2617</v>
      </c>
      <c r="F1610" s="5" t="s">
        <v>2618</v>
      </c>
      <c r="AP1610" s="4" t="s">
        <v>376</v>
      </c>
      <c r="AR1610" s="4" t="s">
        <v>377</v>
      </c>
    </row>
    <row r="1611" spans="1:44">
      <c r="A1611" s="4" t="s">
        <v>5</v>
      </c>
      <c r="C1611" s="4">
        <v>2836</v>
      </c>
      <c r="D1611" s="5" t="s">
        <v>93</v>
      </c>
      <c r="E1611" s="6" t="s">
        <v>2619</v>
      </c>
      <c r="F1611" s="5" t="s">
        <v>2620</v>
      </c>
      <c r="AP1611" s="4" t="s">
        <v>376</v>
      </c>
      <c r="AR1611" s="4" t="s">
        <v>377</v>
      </c>
    </row>
    <row r="1612" spans="1:44" ht="30">
      <c r="A1612" s="4" t="s">
        <v>5</v>
      </c>
      <c r="C1612" s="4">
        <v>6194</v>
      </c>
      <c r="D1612" s="5" t="s">
        <v>93</v>
      </c>
      <c r="E1612" s="6" t="s">
        <v>2621</v>
      </c>
      <c r="AP1612" s="4" t="s">
        <v>376</v>
      </c>
      <c r="AR1612" s="4" t="s">
        <v>377</v>
      </c>
    </row>
    <row r="1613" spans="1:44">
      <c r="A1613" s="4" t="s">
        <v>5</v>
      </c>
      <c r="C1613" s="4">
        <v>7001</v>
      </c>
      <c r="D1613" s="5" t="s">
        <v>93</v>
      </c>
      <c r="E1613" s="6" t="s">
        <v>2622</v>
      </c>
      <c r="AP1613" s="4" t="s">
        <v>376</v>
      </c>
      <c r="AR1613" s="4" t="s">
        <v>377</v>
      </c>
    </row>
    <row r="1614" spans="1:44">
      <c r="A1614" s="4" t="s">
        <v>5</v>
      </c>
      <c r="C1614" s="4">
        <v>2525</v>
      </c>
      <c r="D1614" s="5" t="s">
        <v>93</v>
      </c>
      <c r="E1614" s="6" t="s">
        <v>2623</v>
      </c>
      <c r="AP1614" s="4" t="s">
        <v>376</v>
      </c>
      <c r="AR1614" s="4" t="s">
        <v>377</v>
      </c>
    </row>
    <row r="1615" spans="1:44" ht="30">
      <c r="A1615" s="4" t="s">
        <v>5</v>
      </c>
      <c r="C1615" s="4">
        <v>3633</v>
      </c>
      <c r="D1615" s="5" t="s">
        <v>93</v>
      </c>
      <c r="E1615" s="6" t="s">
        <v>2624</v>
      </c>
      <c r="AP1615" s="4" t="s">
        <v>376</v>
      </c>
      <c r="AR1615" s="4" t="s">
        <v>377</v>
      </c>
    </row>
    <row r="1616" spans="1:44">
      <c r="A1616" s="4" t="s">
        <v>5</v>
      </c>
      <c r="C1616" s="4">
        <v>6432</v>
      </c>
      <c r="D1616" s="5" t="s">
        <v>93</v>
      </c>
      <c r="E1616" s="6" t="s">
        <v>2625</v>
      </c>
      <c r="AP1616" s="4" t="s">
        <v>376</v>
      </c>
      <c r="AR1616" s="4" t="s">
        <v>377</v>
      </c>
    </row>
    <row r="1617" spans="1:44" ht="30">
      <c r="A1617" s="4" t="s">
        <v>5</v>
      </c>
      <c r="C1617" s="4">
        <v>634</v>
      </c>
      <c r="D1617" s="5" t="s">
        <v>93</v>
      </c>
      <c r="E1617" s="6" t="s">
        <v>2626</v>
      </c>
      <c r="F1617" s="5" t="s">
        <v>2627</v>
      </c>
      <c r="AP1617" s="4" t="s">
        <v>376</v>
      </c>
      <c r="AR1617" s="4" t="s">
        <v>377</v>
      </c>
    </row>
    <row r="1618" spans="1:44">
      <c r="A1618" s="4" t="s">
        <v>5</v>
      </c>
      <c r="C1618" s="4">
        <v>6907</v>
      </c>
      <c r="D1618" s="5" t="s">
        <v>93</v>
      </c>
      <c r="E1618" s="6" t="s">
        <v>2628</v>
      </c>
      <c r="AP1618" s="4" t="s">
        <v>376</v>
      </c>
      <c r="AR1618" s="4" t="s">
        <v>377</v>
      </c>
    </row>
    <row r="1619" spans="1:44" ht="30">
      <c r="A1619" s="4" t="s">
        <v>5</v>
      </c>
      <c r="C1619" s="4">
        <v>2910</v>
      </c>
      <c r="D1619" s="5" t="s">
        <v>93</v>
      </c>
      <c r="E1619" s="6" t="s">
        <v>2629</v>
      </c>
      <c r="AP1619" s="4" t="s">
        <v>376</v>
      </c>
      <c r="AR1619" s="4" t="s">
        <v>377</v>
      </c>
    </row>
    <row r="1620" spans="1:44">
      <c r="A1620" s="4" t="s">
        <v>5</v>
      </c>
      <c r="C1620" s="4">
        <v>2483</v>
      </c>
      <c r="D1620" s="5" t="s">
        <v>93</v>
      </c>
      <c r="E1620" s="6" t="s">
        <v>2630</v>
      </c>
      <c r="F1620" s="5" t="s">
        <v>2631</v>
      </c>
      <c r="AP1620" s="4" t="s">
        <v>376</v>
      </c>
      <c r="AR1620" s="4" t="s">
        <v>377</v>
      </c>
    </row>
    <row r="1621" spans="1:44">
      <c r="A1621" s="4" t="s">
        <v>5</v>
      </c>
      <c r="C1621" s="4">
        <v>2726</v>
      </c>
      <c r="D1621" s="5" t="s">
        <v>93</v>
      </c>
      <c r="E1621" s="6" t="s">
        <v>2632</v>
      </c>
      <c r="F1621" s="5" t="s">
        <v>2633</v>
      </c>
      <c r="Z1621" s="4" t="s">
        <v>695</v>
      </c>
      <c r="AA1621" s="4" t="s">
        <v>696</v>
      </c>
      <c r="AP1621" s="4" t="s">
        <v>376</v>
      </c>
      <c r="AR1621" s="4" t="s">
        <v>377</v>
      </c>
    </row>
    <row r="1622" spans="1:44">
      <c r="A1622" s="4" t="s">
        <v>5</v>
      </c>
      <c r="C1622" s="4">
        <v>1215</v>
      </c>
      <c r="D1622" s="5" t="s">
        <v>93</v>
      </c>
      <c r="E1622" s="6" t="s">
        <v>2634</v>
      </c>
      <c r="AP1622" s="4" t="s">
        <v>376</v>
      </c>
      <c r="AR1622" s="4" t="s">
        <v>377</v>
      </c>
    </row>
    <row r="1623" spans="1:44">
      <c r="A1623" s="4" t="s">
        <v>5</v>
      </c>
      <c r="C1623" s="4">
        <v>6697</v>
      </c>
      <c r="D1623" s="5" t="s">
        <v>93</v>
      </c>
      <c r="E1623" s="6" t="s">
        <v>2635</v>
      </c>
      <c r="F1623" s="5" t="s">
        <v>2636</v>
      </c>
      <c r="AP1623" s="4" t="s">
        <v>376</v>
      </c>
      <c r="AR1623" s="4" t="s">
        <v>377</v>
      </c>
    </row>
    <row r="1624" spans="1:44">
      <c r="A1624" s="4" t="s">
        <v>5</v>
      </c>
      <c r="C1624" s="4">
        <v>3201</v>
      </c>
      <c r="D1624" s="5" t="s">
        <v>93</v>
      </c>
      <c r="E1624" s="6" t="s">
        <v>2637</v>
      </c>
      <c r="F1624" s="5" t="s">
        <v>2638</v>
      </c>
      <c r="Z1624" s="4" t="s">
        <v>695</v>
      </c>
      <c r="AA1624" s="4" t="s">
        <v>696</v>
      </c>
      <c r="AP1624" s="4" t="s">
        <v>376</v>
      </c>
      <c r="AR1624" s="4" t="s">
        <v>377</v>
      </c>
    </row>
    <row r="1625" spans="1:44">
      <c r="A1625" s="4" t="s">
        <v>5</v>
      </c>
      <c r="C1625" s="4">
        <v>1741</v>
      </c>
      <c r="D1625" s="5" t="s">
        <v>93</v>
      </c>
      <c r="E1625" s="6" t="s">
        <v>2639</v>
      </c>
      <c r="AP1625" s="4" t="s">
        <v>376</v>
      </c>
      <c r="AR1625" s="4" t="s">
        <v>377</v>
      </c>
    </row>
    <row r="1626" spans="1:44" ht="30">
      <c r="A1626" s="4" t="s">
        <v>5</v>
      </c>
      <c r="C1626" s="4">
        <v>1346</v>
      </c>
      <c r="D1626" s="5" t="s">
        <v>93</v>
      </c>
      <c r="E1626" s="6" t="s">
        <v>2640</v>
      </c>
      <c r="AP1626" s="4" t="s">
        <v>376</v>
      </c>
      <c r="AR1626" s="4" t="s">
        <v>377</v>
      </c>
    </row>
    <row r="1627" spans="1:44" ht="30">
      <c r="A1627" s="4" t="s">
        <v>5</v>
      </c>
      <c r="C1627" s="4">
        <v>4985</v>
      </c>
      <c r="D1627" s="5" t="s">
        <v>93</v>
      </c>
      <c r="E1627" s="6" t="s">
        <v>2641</v>
      </c>
      <c r="AP1627" s="4" t="s">
        <v>376</v>
      </c>
      <c r="AR1627" s="4" t="s">
        <v>377</v>
      </c>
    </row>
    <row r="1628" spans="1:44">
      <c r="A1628" s="4" t="s">
        <v>5</v>
      </c>
      <c r="C1628" s="4">
        <v>1990</v>
      </c>
      <c r="D1628" s="5" t="s">
        <v>93</v>
      </c>
      <c r="E1628" s="6" t="s">
        <v>2642</v>
      </c>
      <c r="F1628" s="5" t="s">
        <v>2643</v>
      </c>
      <c r="Z1628" s="4" t="s">
        <v>443</v>
      </c>
      <c r="AA1628" s="4" t="s">
        <v>444</v>
      </c>
      <c r="AP1628" s="4" t="s">
        <v>376</v>
      </c>
      <c r="AR1628" s="4" t="s">
        <v>377</v>
      </c>
    </row>
    <row r="1629" spans="1:44">
      <c r="A1629" s="4" t="s">
        <v>5</v>
      </c>
      <c r="C1629" s="4">
        <v>1884</v>
      </c>
      <c r="D1629" s="5" t="s">
        <v>93</v>
      </c>
      <c r="E1629" s="6" t="s">
        <v>2644</v>
      </c>
      <c r="AP1629" s="4" t="s">
        <v>376</v>
      </c>
      <c r="AR1629" s="4" t="s">
        <v>377</v>
      </c>
    </row>
    <row r="1630" spans="1:44">
      <c r="A1630" s="4" t="s">
        <v>5</v>
      </c>
      <c r="C1630" s="4">
        <v>2604</v>
      </c>
      <c r="D1630" s="5" t="s">
        <v>93</v>
      </c>
      <c r="E1630" s="6" t="s">
        <v>2645</v>
      </c>
      <c r="Z1630" s="4" t="s">
        <v>447</v>
      </c>
      <c r="AA1630" s="4" t="s">
        <v>448</v>
      </c>
      <c r="AP1630" s="4" t="s">
        <v>376</v>
      </c>
      <c r="AR1630" s="4" t="s">
        <v>377</v>
      </c>
    </row>
    <row r="1631" spans="1:44">
      <c r="A1631" s="4" t="s">
        <v>5</v>
      </c>
      <c r="C1631" s="4">
        <v>2614</v>
      </c>
      <c r="D1631" s="5" t="s">
        <v>93</v>
      </c>
      <c r="E1631" s="6" t="s">
        <v>2646</v>
      </c>
      <c r="F1631" s="5" t="s">
        <v>2647</v>
      </c>
      <c r="AP1631" s="4" t="s">
        <v>376</v>
      </c>
      <c r="AR1631" s="4" t="s">
        <v>377</v>
      </c>
    </row>
    <row r="1632" spans="1:44" ht="30">
      <c r="A1632" s="4" t="s">
        <v>5</v>
      </c>
      <c r="C1632" s="4">
        <v>2998</v>
      </c>
      <c r="D1632" s="5" t="s">
        <v>93</v>
      </c>
      <c r="E1632" s="6" t="s">
        <v>2648</v>
      </c>
      <c r="F1632" s="5" t="s">
        <v>2649</v>
      </c>
      <c r="Z1632" s="4" t="s">
        <v>695</v>
      </c>
      <c r="AA1632" s="4" t="s">
        <v>696</v>
      </c>
      <c r="AP1632" s="4" t="s">
        <v>376</v>
      </c>
      <c r="AR1632" s="4" t="s">
        <v>377</v>
      </c>
    </row>
    <row r="1633" spans="1:44">
      <c r="A1633" s="4" t="s">
        <v>5</v>
      </c>
      <c r="C1633" s="4">
        <v>2179</v>
      </c>
      <c r="D1633" s="5" t="s">
        <v>93</v>
      </c>
      <c r="E1633" s="6" t="s">
        <v>2650</v>
      </c>
      <c r="AP1633" s="4" t="s">
        <v>376</v>
      </c>
      <c r="AR1633" s="4" t="s">
        <v>377</v>
      </c>
    </row>
    <row r="1634" spans="1:44">
      <c r="A1634" s="4" t="s">
        <v>5</v>
      </c>
      <c r="C1634" s="4">
        <v>2218</v>
      </c>
      <c r="D1634" s="5" t="s">
        <v>93</v>
      </c>
      <c r="E1634" s="6" t="s">
        <v>2651</v>
      </c>
      <c r="F1634" s="5" t="s">
        <v>2652</v>
      </c>
      <c r="AP1634" s="4" t="s">
        <v>376</v>
      </c>
      <c r="AR1634" s="4" t="s">
        <v>377</v>
      </c>
    </row>
    <row r="1635" spans="1:44">
      <c r="A1635" s="4" t="s">
        <v>5</v>
      </c>
      <c r="C1635" s="4">
        <v>1822</v>
      </c>
      <c r="D1635" s="5" t="s">
        <v>93</v>
      </c>
      <c r="E1635" s="6" t="s">
        <v>2653</v>
      </c>
      <c r="F1635" s="5" t="s">
        <v>2654</v>
      </c>
      <c r="AP1635" s="4" t="s">
        <v>376</v>
      </c>
      <c r="AR1635" s="4" t="s">
        <v>377</v>
      </c>
    </row>
    <row r="1636" spans="1:44" ht="30">
      <c r="A1636" s="4" t="s">
        <v>5</v>
      </c>
      <c r="C1636" s="4">
        <v>1079</v>
      </c>
      <c r="D1636" s="5" t="s">
        <v>93</v>
      </c>
      <c r="E1636" s="6" t="s">
        <v>2655</v>
      </c>
      <c r="AP1636" s="4" t="s">
        <v>376</v>
      </c>
      <c r="AR1636" s="4" t="s">
        <v>377</v>
      </c>
    </row>
    <row r="1637" spans="1:44">
      <c r="A1637" s="4" t="s">
        <v>5</v>
      </c>
      <c r="C1637" s="4">
        <v>4840</v>
      </c>
      <c r="D1637" s="5" t="s">
        <v>93</v>
      </c>
      <c r="E1637" s="6" t="s">
        <v>2656</v>
      </c>
      <c r="AP1637" s="4" t="s">
        <v>376</v>
      </c>
      <c r="AR1637" s="4" t="s">
        <v>377</v>
      </c>
    </row>
    <row r="1638" spans="1:44">
      <c r="A1638" s="4" t="s">
        <v>5</v>
      </c>
      <c r="C1638" s="4">
        <v>6810</v>
      </c>
      <c r="D1638" s="5" t="s">
        <v>93</v>
      </c>
      <c r="E1638" s="6" t="s">
        <v>2657</v>
      </c>
      <c r="AP1638" s="4" t="s">
        <v>376</v>
      </c>
      <c r="AR1638" s="4" t="s">
        <v>377</v>
      </c>
    </row>
    <row r="1639" spans="1:44">
      <c r="A1639" s="4" t="s">
        <v>5</v>
      </c>
      <c r="C1639" s="4">
        <v>2735</v>
      </c>
      <c r="D1639" s="5" t="s">
        <v>93</v>
      </c>
      <c r="E1639" s="6" t="s">
        <v>2658</v>
      </c>
      <c r="AP1639" s="4" t="s">
        <v>376</v>
      </c>
      <c r="AR1639" s="4" t="s">
        <v>377</v>
      </c>
    </row>
    <row r="1640" spans="1:44">
      <c r="A1640" s="4" t="s">
        <v>5</v>
      </c>
      <c r="C1640" s="4">
        <v>1483</v>
      </c>
      <c r="D1640" s="5" t="s">
        <v>93</v>
      </c>
      <c r="E1640" s="6" t="s">
        <v>2659</v>
      </c>
      <c r="AP1640" s="4" t="s">
        <v>376</v>
      </c>
      <c r="AR1640" s="4" t="s">
        <v>377</v>
      </c>
    </row>
    <row r="1641" spans="1:44">
      <c r="A1641" s="4" t="s">
        <v>5</v>
      </c>
      <c r="C1641" s="4">
        <v>2060</v>
      </c>
      <c r="D1641" s="5" t="s">
        <v>93</v>
      </c>
      <c r="E1641" s="6" t="s">
        <v>2660</v>
      </c>
      <c r="AP1641" s="4" t="s">
        <v>376</v>
      </c>
      <c r="AR1641" s="4" t="s">
        <v>377</v>
      </c>
    </row>
    <row r="1642" spans="1:44">
      <c r="A1642" s="4" t="s">
        <v>5</v>
      </c>
      <c r="C1642" s="4">
        <v>4611</v>
      </c>
      <c r="D1642" s="5" t="s">
        <v>93</v>
      </c>
      <c r="E1642" s="6" t="s">
        <v>2661</v>
      </c>
      <c r="AP1642" s="4" t="s">
        <v>376</v>
      </c>
      <c r="AR1642" s="4" t="s">
        <v>377</v>
      </c>
    </row>
    <row r="1643" spans="1:44">
      <c r="A1643" s="4" t="s">
        <v>5</v>
      </c>
      <c r="C1643" s="4">
        <v>1096</v>
      </c>
      <c r="D1643" s="5" t="s">
        <v>93</v>
      </c>
      <c r="E1643" s="6" t="s">
        <v>2662</v>
      </c>
      <c r="F1643" s="5" t="s">
        <v>2663</v>
      </c>
      <c r="AP1643" s="4" t="s">
        <v>376</v>
      </c>
      <c r="AR1643" s="4" t="s">
        <v>377</v>
      </c>
    </row>
    <row r="1644" spans="1:44">
      <c r="A1644" s="4" t="s">
        <v>5</v>
      </c>
      <c r="C1644" s="4">
        <v>145</v>
      </c>
      <c r="D1644" s="5" t="s">
        <v>93</v>
      </c>
      <c r="E1644" s="6" t="s">
        <v>2664</v>
      </c>
      <c r="F1644" s="5" t="s">
        <v>2665</v>
      </c>
      <c r="AP1644" s="4" t="s">
        <v>376</v>
      </c>
      <c r="AR1644" s="4" t="s">
        <v>377</v>
      </c>
    </row>
    <row r="1645" spans="1:44">
      <c r="A1645" s="4" t="s">
        <v>5</v>
      </c>
      <c r="C1645" s="4">
        <v>4590</v>
      </c>
      <c r="D1645" s="5" t="s">
        <v>93</v>
      </c>
      <c r="E1645" s="6" t="s">
        <v>2666</v>
      </c>
      <c r="AP1645" s="4" t="s">
        <v>376</v>
      </c>
      <c r="AR1645" s="4" t="s">
        <v>377</v>
      </c>
    </row>
    <row r="1646" spans="1:44">
      <c r="A1646" s="4" t="s">
        <v>5</v>
      </c>
      <c r="C1646" s="4">
        <v>4834</v>
      </c>
      <c r="D1646" s="5" t="s">
        <v>93</v>
      </c>
      <c r="E1646" s="6" t="s">
        <v>2667</v>
      </c>
      <c r="AP1646" s="4" t="s">
        <v>376</v>
      </c>
      <c r="AR1646" s="4" t="s">
        <v>377</v>
      </c>
    </row>
    <row r="1647" spans="1:44" ht="30">
      <c r="A1647" s="4" t="s">
        <v>5</v>
      </c>
      <c r="C1647" s="4">
        <v>2817</v>
      </c>
      <c r="D1647" s="5" t="s">
        <v>93</v>
      </c>
      <c r="E1647" s="6" t="s">
        <v>2668</v>
      </c>
      <c r="F1647" s="5" t="s">
        <v>2669</v>
      </c>
      <c r="Z1647" s="4" t="s">
        <v>447</v>
      </c>
      <c r="AA1647" s="4" t="s">
        <v>448</v>
      </c>
      <c r="AP1647" s="4" t="s">
        <v>376</v>
      </c>
      <c r="AR1647" s="4" t="s">
        <v>377</v>
      </c>
    </row>
    <row r="1648" spans="1:44">
      <c r="A1648" s="4" t="s">
        <v>5</v>
      </c>
      <c r="C1648" s="4">
        <v>3969</v>
      </c>
      <c r="D1648" s="5" t="s">
        <v>93</v>
      </c>
      <c r="E1648" s="6" t="s">
        <v>2670</v>
      </c>
      <c r="AP1648" s="4" t="s">
        <v>376</v>
      </c>
      <c r="AR1648" s="4" t="s">
        <v>377</v>
      </c>
    </row>
    <row r="1649" spans="1:44">
      <c r="A1649" s="4" t="s">
        <v>5</v>
      </c>
      <c r="C1649" s="4">
        <v>4584</v>
      </c>
      <c r="D1649" s="5" t="s">
        <v>93</v>
      </c>
      <c r="E1649" s="6" t="s">
        <v>2671</v>
      </c>
      <c r="AP1649" s="4" t="s">
        <v>376</v>
      </c>
      <c r="AR1649" s="4" t="s">
        <v>377</v>
      </c>
    </row>
    <row r="1650" spans="1:44" ht="30">
      <c r="A1650" s="4" t="s">
        <v>5</v>
      </c>
      <c r="C1650" s="4">
        <v>1149</v>
      </c>
      <c r="D1650" s="5" t="s">
        <v>93</v>
      </c>
      <c r="E1650" s="6" t="s">
        <v>2672</v>
      </c>
      <c r="F1650" s="5" t="s">
        <v>2673</v>
      </c>
      <c r="AP1650" s="4" t="s">
        <v>376</v>
      </c>
      <c r="AR1650" s="4" t="s">
        <v>377</v>
      </c>
    </row>
    <row r="1651" spans="1:44">
      <c r="A1651" s="4" t="s">
        <v>5</v>
      </c>
      <c r="C1651" s="4">
        <v>1615</v>
      </c>
      <c r="D1651" s="5" t="s">
        <v>93</v>
      </c>
      <c r="E1651" s="6" t="s">
        <v>2674</v>
      </c>
      <c r="AP1651" s="4" t="s">
        <v>376</v>
      </c>
      <c r="AR1651" s="4" t="s">
        <v>377</v>
      </c>
    </row>
    <row r="1652" spans="1:44">
      <c r="A1652" s="4" t="s">
        <v>5</v>
      </c>
      <c r="C1652" s="4">
        <v>6299</v>
      </c>
      <c r="D1652" s="5" t="s">
        <v>93</v>
      </c>
      <c r="E1652" s="6" t="s">
        <v>2675</v>
      </c>
      <c r="AP1652" s="4" t="s">
        <v>376</v>
      </c>
      <c r="AR1652" s="4" t="s">
        <v>377</v>
      </c>
    </row>
    <row r="1653" spans="1:44" ht="30">
      <c r="A1653" s="4" t="s">
        <v>5</v>
      </c>
      <c r="C1653" s="4">
        <v>3153</v>
      </c>
      <c r="D1653" s="5" t="s">
        <v>93</v>
      </c>
      <c r="E1653" s="6" t="s">
        <v>2676</v>
      </c>
      <c r="F1653" s="5" t="s">
        <v>2677</v>
      </c>
      <c r="Z1653" s="4" t="s">
        <v>447</v>
      </c>
      <c r="AA1653" s="4" t="s">
        <v>448</v>
      </c>
      <c r="AP1653" s="4" t="s">
        <v>376</v>
      </c>
      <c r="AR1653" s="4" t="s">
        <v>377</v>
      </c>
    </row>
    <row r="1654" spans="1:44">
      <c r="A1654" s="4" t="s">
        <v>5</v>
      </c>
      <c r="C1654" s="4">
        <v>4610</v>
      </c>
      <c r="D1654" s="5" t="s">
        <v>93</v>
      </c>
      <c r="E1654" s="6" t="s">
        <v>2678</v>
      </c>
      <c r="F1654" s="5" t="s">
        <v>2679</v>
      </c>
      <c r="AP1654" s="4" t="s">
        <v>376</v>
      </c>
      <c r="AR1654" s="4" t="s">
        <v>377</v>
      </c>
    </row>
    <row r="1655" spans="1:44">
      <c r="A1655" s="4" t="s">
        <v>5</v>
      </c>
      <c r="C1655" s="4">
        <v>3012</v>
      </c>
      <c r="D1655" s="5" t="s">
        <v>93</v>
      </c>
      <c r="E1655" s="6" t="s">
        <v>2680</v>
      </c>
      <c r="F1655" s="5" t="s">
        <v>2681</v>
      </c>
      <c r="AP1655" s="4" t="s">
        <v>376</v>
      </c>
      <c r="AR1655" s="4" t="s">
        <v>377</v>
      </c>
    </row>
    <row r="1656" spans="1:44">
      <c r="A1656" s="4" t="s">
        <v>5</v>
      </c>
      <c r="C1656" s="4">
        <v>1260</v>
      </c>
      <c r="D1656" s="5" t="s">
        <v>93</v>
      </c>
      <c r="E1656" s="6" t="s">
        <v>2682</v>
      </c>
      <c r="F1656" s="5" t="s">
        <v>2683</v>
      </c>
      <c r="Z1656" s="4" t="s">
        <v>447</v>
      </c>
      <c r="AA1656" s="4" t="s">
        <v>448</v>
      </c>
      <c r="AP1656" s="4" t="s">
        <v>376</v>
      </c>
      <c r="AR1656" s="4" t="s">
        <v>377</v>
      </c>
    </row>
    <row r="1657" spans="1:44" ht="30">
      <c r="A1657" s="4" t="s">
        <v>5</v>
      </c>
      <c r="C1657" s="4">
        <v>6590</v>
      </c>
      <c r="D1657" s="5" t="s">
        <v>93</v>
      </c>
      <c r="E1657" s="6" t="s">
        <v>2684</v>
      </c>
      <c r="AP1657" s="4" t="s">
        <v>376</v>
      </c>
      <c r="AR1657" s="4" t="s">
        <v>377</v>
      </c>
    </row>
    <row r="1658" spans="1:44">
      <c r="A1658" s="4" t="s">
        <v>5</v>
      </c>
      <c r="C1658" s="4">
        <v>5559</v>
      </c>
      <c r="D1658" s="5" t="s">
        <v>93</v>
      </c>
      <c r="E1658" s="6" t="s">
        <v>2685</v>
      </c>
      <c r="AP1658" s="4" t="s">
        <v>376</v>
      </c>
      <c r="AR1658" s="4" t="s">
        <v>377</v>
      </c>
    </row>
    <row r="1659" spans="1:44">
      <c r="A1659" s="4" t="s">
        <v>5</v>
      </c>
      <c r="C1659" s="4">
        <v>3016</v>
      </c>
      <c r="D1659" s="5" t="s">
        <v>93</v>
      </c>
      <c r="E1659" s="6" t="s">
        <v>2686</v>
      </c>
      <c r="F1659" s="5" t="s">
        <v>2687</v>
      </c>
      <c r="Z1659" s="4" t="s">
        <v>443</v>
      </c>
      <c r="AA1659" s="4" t="s">
        <v>444</v>
      </c>
      <c r="AP1659" s="4" t="s">
        <v>376</v>
      </c>
      <c r="AR1659" s="4" t="s">
        <v>377</v>
      </c>
    </row>
    <row r="1660" spans="1:44" ht="30">
      <c r="A1660" s="4" t="s">
        <v>5</v>
      </c>
      <c r="C1660" s="4">
        <v>6982</v>
      </c>
      <c r="D1660" s="5" t="s">
        <v>93</v>
      </c>
      <c r="E1660" s="6" t="s">
        <v>2688</v>
      </c>
      <c r="AP1660" s="4" t="s">
        <v>376</v>
      </c>
      <c r="AR1660" s="4" t="s">
        <v>377</v>
      </c>
    </row>
    <row r="1661" spans="1:44">
      <c r="A1661" s="4" t="s">
        <v>5</v>
      </c>
      <c r="C1661" s="4">
        <v>6559</v>
      </c>
      <c r="D1661" s="5" t="s">
        <v>93</v>
      </c>
      <c r="E1661" s="6" t="s">
        <v>2689</v>
      </c>
      <c r="AP1661" s="4" t="s">
        <v>376</v>
      </c>
      <c r="AR1661" s="4" t="s">
        <v>377</v>
      </c>
    </row>
    <row r="1662" spans="1:44">
      <c r="A1662" s="4" t="s">
        <v>5</v>
      </c>
      <c r="C1662" s="4">
        <v>2312</v>
      </c>
      <c r="D1662" s="5" t="s">
        <v>93</v>
      </c>
      <c r="E1662" s="6" t="s">
        <v>2690</v>
      </c>
      <c r="F1662" s="5" t="s">
        <v>2691</v>
      </c>
      <c r="Z1662" s="4" t="s">
        <v>443</v>
      </c>
      <c r="AA1662" s="4" t="s">
        <v>444</v>
      </c>
      <c r="AP1662" s="4" t="s">
        <v>376</v>
      </c>
      <c r="AR1662" s="4" t="s">
        <v>377</v>
      </c>
    </row>
    <row r="1663" spans="1:44">
      <c r="A1663" s="4" t="s">
        <v>5</v>
      </c>
      <c r="C1663" s="4">
        <v>5048</v>
      </c>
      <c r="D1663" s="5" t="s">
        <v>93</v>
      </c>
      <c r="E1663" s="6" t="s">
        <v>2692</v>
      </c>
      <c r="AP1663" s="4" t="s">
        <v>376</v>
      </c>
      <c r="AR1663" s="4" t="s">
        <v>377</v>
      </c>
    </row>
    <row r="1664" spans="1:44">
      <c r="A1664" s="4" t="s">
        <v>5</v>
      </c>
      <c r="C1664" s="4">
        <v>4651</v>
      </c>
      <c r="D1664" s="5" t="s">
        <v>93</v>
      </c>
      <c r="E1664" s="6" t="s">
        <v>2693</v>
      </c>
      <c r="AP1664" s="4" t="s">
        <v>376</v>
      </c>
      <c r="AR1664" s="4" t="s">
        <v>377</v>
      </c>
    </row>
    <row r="1665" spans="1:44">
      <c r="A1665" s="4" t="s">
        <v>5</v>
      </c>
      <c r="C1665" s="4">
        <v>5742</v>
      </c>
      <c r="D1665" s="5" t="s">
        <v>93</v>
      </c>
      <c r="E1665" s="6" t="s">
        <v>2694</v>
      </c>
      <c r="AP1665" s="4" t="s">
        <v>376</v>
      </c>
      <c r="AR1665" s="4" t="s">
        <v>377</v>
      </c>
    </row>
    <row r="1666" spans="1:44">
      <c r="A1666" s="4" t="s">
        <v>5</v>
      </c>
      <c r="C1666" s="4">
        <v>4259</v>
      </c>
      <c r="D1666" s="5" t="s">
        <v>93</v>
      </c>
      <c r="E1666" s="6" t="s">
        <v>2695</v>
      </c>
      <c r="AP1666" s="4" t="s">
        <v>376</v>
      </c>
      <c r="AR1666" s="4" t="s">
        <v>377</v>
      </c>
    </row>
    <row r="1667" spans="1:44">
      <c r="A1667" s="4" t="s">
        <v>5</v>
      </c>
      <c r="C1667" s="4">
        <v>6719</v>
      </c>
      <c r="D1667" s="5" t="s">
        <v>93</v>
      </c>
      <c r="E1667" s="6" t="s">
        <v>2696</v>
      </c>
      <c r="AP1667" s="4" t="s">
        <v>376</v>
      </c>
      <c r="AR1667" s="4" t="s">
        <v>377</v>
      </c>
    </row>
    <row r="1668" spans="1:44">
      <c r="A1668" s="4" t="s">
        <v>5</v>
      </c>
      <c r="C1668" s="4">
        <v>6384</v>
      </c>
      <c r="D1668" s="5" t="s">
        <v>93</v>
      </c>
      <c r="E1668" s="6" t="s">
        <v>2697</v>
      </c>
      <c r="AP1668" s="4" t="s">
        <v>376</v>
      </c>
      <c r="AR1668" s="4" t="s">
        <v>377</v>
      </c>
    </row>
    <row r="1669" spans="1:44">
      <c r="A1669" s="4" t="s">
        <v>5</v>
      </c>
      <c r="C1669" s="4">
        <v>6596</v>
      </c>
      <c r="D1669" s="5" t="s">
        <v>93</v>
      </c>
      <c r="E1669" s="6" t="s">
        <v>2698</v>
      </c>
      <c r="AP1669" s="4" t="s">
        <v>376</v>
      </c>
      <c r="AR1669" s="4" t="s">
        <v>377</v>
      </c>
    </row>
    <row r="1670" spans="1:44">
      <c r="A1670" s="4" t="s">
        <v>5</v>
      </c>
      <c r="C1670" s="4">
        <v>3611</v>
      </c>
      <c r="D1670" s="5" t="s">
        <v>93</v>
      </c>
      <c r="E1670" s="6" t="s">
        <v>2699</v>
      </c>
      <c r="F1670" s="5" t="s">
        <v>2700</v>
      </c>
      <c r="AP1670" s="4" t="s">
        <v>376</v>
      </c>
      <c r="AR1670" s="4" t="s">
        <v>377</v>
      </c>
    </row>
    <row r="1671" spans="1:44">
      <c r="A1671" s="4" t="s">
        <v>5</v>
      </c>
      <c r="C1671" s="4">
        <v>6308</v>
      </c>
      <c r="D1671" s="5" t="s">
        <v>93</v>
      </c>
      <c r="E1671" s="6" t="s">
        <v>2701</v>
      </c>
      <c r="AP1671" s="4" t="s">
        <v>376</v>
      </c>
      <c r="AR1671" s="4" t="s">
        <v>377</v>
      </c>
    </row>
    <row r="1672" spans="1:44">
      <c r="A1672" s="4" t="s">
        <v>5</v>
      </c>
      <c r="C1672" s="4">
        <v>5227</v>
      </c>
      <c r="D1672" s="5" t="s">
        <v>93</v>
      </c>
      <c r="E1672" s="6" t="s">
        <v>2702</v>
      </c>
      <c r="F1672" s="5" t="s">
        <v>2703</v>
      </c>
      <c r="Z1672" s="4" t="s">
        <v>447</v>
      </c>
      <c r="AA1672" s="4" t="s">
        <v>448</v>
      </c>
      <c r="AP1672" s="4" t="s">
        <v>376</v>
      </c>
      <c r="AR1672" s="4" t="s">
        <v>377</v>
      </c>
    </row>
    <row r="1673" spans="1:44">
      <c r="A1673" s="4" t="s">
        <v>5</v>
      </c>
      <c r="C1673" s="4">
        <v>3599</v>
      </c>
      <c r="D1673" s="5" t="s">
        <v>93</v>
      </c>
      <c r="E1673" s="6" t="s">
        <v>2704</v>
      </c>
      <c r="AP1673" s="4" t="s">
        <v>376</v>
      </c>
      <c r="AR1673" s="4" t="s">
        <v>377</v>
      </c>
    </row>
    <row r="1674" spans="1:44">
      <c r="A1674" s="4" t="s">
        <v>5</v>
      </c>
      <c r="C1674" s="4">
        <v>658</v>
      </c>
      <c r="D1674" s="5" t="s">
        <v>93</v>
      </c>
      <c r="E1674" s="6" t="s">
        <v>2705</v>
      </c>
      <c r="F1674" s="5" t="s">
        <v>2706</v>
      </c>
      <c r="AP1674" s="4" t="s">
        <v>376</v>
      </c>
      <c r="AR1674" s="4" t="s">
        <v>377</v>
      </c>
    </row>
    <row r="1675" spans="1:44">
      <c r="A1675" s="4" t="s">
        <v>5</v>
      </c>
      <c r="C1675" s="4">
        <v>1018</v>
      </c>
      <c r="D1675" s="5" t="s">
        <v>93</v>
      </c>
      <c r="E1675" s="6" t="s">
        <v>2707</v>
      </c>
      <c r="F1675" s="5" t="s">
        <v>2708</v>
      </c>
      <c r="Z1675" s="4" t="s">
        <v>447</v>
      </c>
      <c r="AA1675" s="4" t="s">
        <v>448</v>
      </c>
      <c r="AP1675" s="4" t="s">
        <v>376</v>
      </c>
      <c r="AR1675" s="4" t="s">
        <v>377</v>
      </c>
    </row>
    <row r="1676" spans="1:44">
      <c r="A1676" s="4" t="s">
        <v>5</v>
      </c>
      <c r="C1676" s="4">
        <v>1647</v>
      </c>
      <c r="D1676" s="5" t="s">
        <v>93</v>
      </c>
      <c r="E1676" s="6" t="s">
        <v>2709</v>
      </c>
      <c r="AP1676" s="4" t="s">
        <v>376</v>
      </c>
      <c r="AR1676" s="4" t="s">
        <v>377</v>
      </c>
    </row>
    <row r="1677" spans="1:44">
      <c r="A1677" s="4" t="s">
        <v>5</v>
      </c>
      <c r="C1677" s="4">
        <v>2116</v>
      </c>
      <c r="D1677" s="5" t="s">
        <v>93</v>
      </c>
      <c r="E1677" s="6" t="s">
        <v>2710</v>
      </c>
      <c r="AP1677" s="4" t="s">
        <v>376</v>
      </c>
      <c r="AR1677" s="4" t="s">
        <v>377</v>
      </c>
    </row>
    <row r="1678" spans="1:44" ht="30">
      <c r="A1678" s="4" t="s">
        <v>5</v>
      </c>
      <c r="C1678" s="4">
        <v>6470</v>
      </c>
      <c r="D1678" s="5" t="s">
        <v>93</v>
      </c>
      <c r="E1678" s="6" t="s">
        <v>2711</v>
      </c>
      <c r="AP1678" s="4" t="s">
        <v>376</v>
      </c>
      <c r="AR1678" s="4" t="s">
        <v>377</v>
      </c>
    </row>
    <row r="1679" spans="1:44">
      <c r="A1679" s="4" t="s">
        <v>5</v>
      </c>
      <c r="C1679" s="4">
        <v>793</v>
      </c>
      <c r="D1679" s="5" t="s">
        <v>93</v>
      </c>
      <c r="E1679" s="6" t="s">
        <v>2712</v>
      </c>
      <c r="F1679" s="5" t="s">
        <v>2713</v>
      </c>
      <c r="AP1679" s="4" t="s">
        <v>376</v>
      </c>
      <c r="AR1679" s="4" t="s">
        <v>377</v>
      </c>
    </row>
    <row r="1680" spans="1:44" ht="30">
      <c r="A1680" s="4" t="s">
        <v>5</v>
      </c>
      <c r="C1680" s="4">
        <v>1599</v>
      </c>
      <c r="D1680" s="5" t="s">
        <v>93</v>
      </c>
      <c r="E1680" s="6" t="s">
        <v>2714</v>
      </c>
      <c r="AP1680" s="4" t="s">
        <v>376</v>
      </c>
      <c r="AR1680" s="4" t="s">
        <v>377</v>
      </c>
    </row>
    <row r="1681" spans="1:44" ht="30">
      <c r="A1681" s="4" t="s">
        <v>5</v>
      </c>
      <c r="C1681" s="4">
        <v>6051</v>
      </c>
      <c r="D1681" s="5" t="s">
        <v>93</v>
      </c>
      <c r="E1681" s="6" t="s">
        <v>2715</v>
      </c>
      <c r="AP1681" s="4" t="s">
        <v>376</v>
      </c>
      <c r="AR1681" s="4" t="s">
        <v>377</v>
      </c>
    </row>
    <row r="1682" spans="1:44">
      <c r="A1682" s="4" t="s">
        <v>5</v>
      </c>
      <c r="C1682" s="4">
        <v>1361</v>
      </c>
      <c r="D1682" s="5" t="s">
        <v>93</v>
      </c>
      <c r="E1682" s="6" t="s">
        <v>2716</v>
      </c>
      <c r="F1682" s="5" t="s">
        <v>2717</v>
      </c>
      <c r="AP1682" s="4" t="s">
        <v>376</v>
      </c>
      <c r="AR1682" s="4" t="s">
        <v>377</v>
      </c>
    </row>
    <row r="1683" spans="1:44">
      <c r="A1683" s="4" t="s">
        <v>5</v>
      </c>
      <c r="C1683" s="4">
        <v>4374</v>
      </c>
      <c r="D1683" s="5" t="s">
        <v>93</v>
      </c>
      <c r="E1683" s="6" t="s">
        <v>2718</v>
      </c>
      <c r="AP1683" s="4" t="s">
        <v>376</v>
      </c>
      <c r="AR1683" s="4" t="s">
        <v>377</v>
      </c>
    </row>
    <row r="1684" spans="1:44">
      <c r="A1684" s="4" t="s">
        <v>5</v>
      </c>
      <c r="C1684" s="4">
        <v>3395</v>
      </c>
      <c r="D1684" s="5" t="s">
        <v>93</v>
      </c>
      <c r="E1684" s="6" t="s">
        <v>2719</v>
      </c>
      <c r="AP1684" s="4" t="s">
        <v>376</v>
      </c>
      <c r="AR1684" s="4" t="s">
        <v>377</v>
      </c>
    </row>
    <row r="1685" spans="1:44" ht="30">
      <c r="A1685" s="4" t="s">
        <v>5</v>
      </c>
      <c r="C1685" s="4">
        <v>3169</v>
      </c>
      <c r="D1685" s="5" t="s">
        <v>93</v>
      </c>
      <c r="E1685" s="6" t="s">
        <v>2720</v>
      </c>
      <c r="F1685" s="5" t="s">
        <v>2721</v>
      </c>
      <c r="AP1685" s="4" t="s">
        <v>376</v>
      </c>
      <c r="AR1685" s="4" t="s">
        <v>377</v>
      </c>
    </row>
    <row r="1686" spans="1:44">
      <c r="A1686" s="4" t="s">
        <v>5</v>
      </c>
      <c r="C1686" s="4">
        <v>2280</v>
      </c>
      <c r="D1686" s="5" t="s">
        <v>93</v>
      </c>
      <c r="E1686" s="6" t="s">
        <v>2722</v>
      </c>
      <c r="AP1686" s="4" t="s">
        <v>376</v>
      </c>
      <c r="AR1686" s="4" t="s">
        <v>377</v>
      </c>
    </row>
    <row r="1687" spans="1:44">
      <c r="A1687" s="4" t="s">
        <v>5</v>
      </c>
      <c r="C1687" s="4">
        <v>4034</v>
      </c>
      <c r="D1687" s="5" t="s">
        <v>93</v>
      </c>
      <c r="E1687" s="6" t="s">
        <v>2723</v>
      </c>
      <c r="AP1687" s="4" t="s">
        <v>376</v>
      </c>
      <c r="AR1687" s="4" t="s">
        <v>377</v>
      </c>
    </row>
    <row r="1688" spans="1:44" ht="30">
      <c r="A1688" s="4" t="s">
        <v>5</v>
      </c>
      <c r="C1688" s="4">
        <v>1767</v>
      </c>
      <c r="D1688" s="5" t="s">
        <v>93</v>
      </c>
      <c r="E1688" s="6" t="s">
        <v>2724</v>
      </c>
      <c r="AP1688" s="4" t="s">
        <v>376</v>
      </c>
      <c r="AR1688" s="4" t="s">
        <v>377</v>
      </c>
    </row>
    <row r="1689" spans="1:44" ht="30">
      <c r="A1689" s="4" t="s">
        <v>5</v>
      </c>
      <c r="C1689" s="4">
        <v>4353</v>
      </c>
      <c r="D1689" s="5" t="s">
        <v>93</v>
      </c>
      <c r="E1689" s="6" t="s">
        <v>2725</v>
      </c>
      <c r="F1689" s="5" t="s">
        <v>2726</v>
      </c>
      <c r="AP1689" s="4" t="s">
        <v>376</v>
      </c>
      <c r="AR1689" s="4" t="s">
        <v>377</v>
      </c>
    </row>
    <row r="1690" spans="1:44">
      <c r="A1690" s="4" t="s">
        <v>5</v>
      </c>
      <c r="C1690" s="4">
        <v>2532</v>
      </c>
      <c r="D1690" s="5" t="s">
        <v>93</v>
      </c>
      <c r="E1690" s="6" t="s">
        <v>2727</v>
      </c>
      <c r="AP1690" s="4" t="s">
        <v>376</v>
      </c>
      <c r="AR1690" s="4" t="s">
        <v>377</v>
      </c>
    </row>
    <row r="1691" spans="1:44">
      <c r="A1691" s="4" t="s">
        <v>5</v>
      </c>
      <c r="C1691" s="4">
        <v>195</v>
      </c>
      <c r="D1691" s="5" t="s">
        <v>93</v>
      </c>
      <c r="E1691" s="6" t="s">
        <v>2728</v>
      </c>
      <c r="F1691" s="5" t="s">
        <v>2729</v>
      </c>
      <c r="AP1691" s="4" t="s">
        <v>376</v>
      </c>
      <c r="AR1691" s="4" t="s">
        <v>377</v>
      </c>
    </row>
    <row r="1692" spans="1:44">
      <c r="A1692" s="4" t="s">
        <v>5</v>
      </c>
      <c r="C1692" s="4">
        <v>2847</v>
      </c>
      <c r="D1692" s="5" t="s">
        <v>93</v>
      </c>
      <c r="E1692" s="6" t="s">
        <v>2730</v>
      </c>
      <c r="F1692" s="5" t="s">
        <v>2731</v>
      </c>
      <c r="Z1692" s="4" t="s">
        <v>447</v>
      </c>
      <c r="AA1692" s="4" t="s">
        <v>448</v>
      </c>
      <c r="AP1692" s="4" t="s">
        <v>376</v>
      </c>
      <c r="AR1692" s="4" t="s">
        <v>377</v>
      </c>
    </row>
    <row r="1693" spans="1:44">
      <c r="A1693" s="4" t="s">
        <v>5</v>
      </c>
      <c r="C1693" s="4">
        <v>6427</v>
      </c>
      <c r="D1693" s="5" t="s">
        <v>93</v>
      </c>
      <c r="E1693" s="6" t="s">
        <v>2732</v>
      </c>
      <c r="AP1693" s="4" t="s">
        <v>376</v>
      </c>
      <c r="AR1693" s="4" t="s">
        <v>377</v>
      </c>
    </row>
    <row r="1694" spans="1:44" ht="30">
      <c r="A1694" s="4" t="s">
        <v>5</v>
      </c>
      <c r="C1694" s="4">
        <v>4367</v>
      </c>
      <c r="D1694" s="5" t="s">
        <v>93</v>
      </c>
      <c r="E1694" s="6" t="s">
        <v>2733</v>
      </c>
      <c r="F1694" s="5" t="s">
        <v>2734</v>
      </c>
      <c r="AP1694" s="4" t="s">
        <v>376</v>
      </c>
      <c r="AR1694" s="4" t="s">
        <v>377</v>
      </c>
    </row>
    <row r="1695" spans="1:44">
      <c r="A1695" s="4" t="s">
        <v>5</v>
      </c>
      <c r="C1695" s="4">
        <v>5907</v>
      </c>
      <c r="D1695" s="5" t="s">
        <v>93</v>
      </c>
      <c r="E1695" s="6" t="s">
        <v>2735</v>
      </c>
      <c r="AP1695" s="4" t="s">
        <v>376</v>
      </c>
      <c r="AR1695" s="4" t="s">
        <v>377</v>
      </c>
    </row>
    <row r="1696" spans="1:44">
      <c r="A1696" s="4" t="s">
        <v>5</v>
      </c>
      <c r="C1696" s="4">
        <v>2928</v>
      </c>
      <c r="D1696" s="5" t="s">
        <v>93</v>
      </c>
      <c r="E1696" s="6" t="s">
        <v>2736</v>
      </c>
      <c r="AP1696" s="4" t="s">
        <v>376</v>
      </c>
      <c r="AR1696" s="4" t="s">
        <v>377</v>
      </c>
    </row>
    <row r="1697" spans="1:44">
      <c r="A1697" s="4" t="s">
        <v>5</v>
      </c>
      <c r="C1697" s="4">
        <v>4088</v>
      </c>
      <c r="D1697" s="5" t="s">
        <v>93</v>
      </c>
      <c r="E1697" s="6" t="s">
        <v>2737</v>
      </c>
      <c r="F1697" s="5" t="s">
        <v>2738</v>
      </c>
      <c r="AP1697" s="4" t="s">
        <v>376</v>
      </c>
      <c r="AR1697" s="4" t="s">
        <v>377</v>
      </c>
    </row>
    <row r="1698" spans="1:44" ht="30">
      <c r="A1698" s="4" t="s">
        <v>5</v>
      </c>
      <c r="C1698" s="4">
        <v>5203</v>
      </c>
      <c r="D1698" s="5" t="s">
        <v>93</v>
      </c>
      <c r="E1698" s="6" t="s">
        <v>2739</v>
      </c>
      <c r="AP1698" s="4" t="s">
        <v>376</v>
      </c>
      <c r="AR1698" s="4" t="s">
        <v>377</v>
      </c>
    </row>
    <row r="1699" spans="1:44">
      <c r="A1699" s="4" t="s">
        <v>5</v>
      </c>
      <c r="C1699" s="4">
        <v>4752</v>
      </c>
      <c r="D1699" s="5" t="s">
        <v>93</v>
      </c>
      <c r="E1699" s="6" t="s">
        <v>2740</v>
      </c>
      <c r="AP1699" s="4" t="s">
        <v>376</v>
      </c>
      <c r="AR1699" s="4" t="s">
        <v>377</v>
      </c>
    </row>
    <row r="1700" spans="1:44" ht="30">
      <c r="A1700" s="4" t="s">
        <v>5</v>
      </c>
      <c r="C1700" s="4">
        <v>2499</v>
      </c>
      <c r="D1700" s="5" t="s">
        <v>93</v>
      </c>
      <c r="E1700" s="6" t="s">
        <v>2741</v>
      </c>
      <c r="F1700" s="5" t="s">
        <v>2742</v>
      </c>
      <c r="AP1700" s="4" t="s">
        <v>376</v>
      </c>
      <c r="AR1700" s="4" t="s">
        <v>377</v>
      </c>
    </row>
    <row r="1701" spans="1:44">
      <c r="A1701" s="4" t="s">
        <v>5</v>
      </c>
      <c r="C1701" s="4">
        <v>135</v>
      </c>
      <c r="D1701" s="5" t="s">
        <v>93</v>
      </c>
      <c r="E1701" s="6" t="s">
        <v>2743</v>
      </c>
      <c r="F1701" s="5" t="s">
        <v>2744</v>
      </c>
      <c r="AP1701" s="4" t="s">
        <v>376</v>
      </c>
      <c r="AR1701" s="4" t="s">
        <v>377</v>
      </c>
    </row>
    <row r="1702" spans="1:44">
      <c r="A1702" s="4" t="s">
        <v>5</v>
      </c>
      <c r="C1702" s="4">
        <v>4719</v>
      </c>
      <c r="D1702" s="5" t="s">
        <v>93</v>
      </c>
      <c r="E1702" s="6" t="s">
        <v>2745</v>
      </c>
      <c r="AP1702" s="4" t="s">
        <v>376</v>
      </c>
      <c r="AR1702" s="4" t="s">
        <v>377</v>
      </c>
    </row>
    <row r="1703" spans="1:44">
      <c r="A1703" s="4" t="s">
        <v>5</v>
      </c>
      <c r="C1703" s="4">
        <v>1137</v>
      </c>
      <c r="D1703" s="5" t="s">
        <v>93</v>
      </c>
      <c r="E1703" s="6" t="s">
        <v>2746</v>
      </c>
      <c r="Z1703" s="4" t="s">
        <v>512</v>
      </c>
      <c r="AA1703" s="4" t="s">
        <v>513</v>
      </c>
      <c r="AP1703" s="4" t="s">
        <v>376</v>
      </c>
      <c r="AR1703" s="4" t="s">
        <v>377</v>
      </c>
    </row>
    <row r="1704" spans="1:44">
      <c r="A1704" s="4" t="s">
        <v>5</v>
      </c>
      <c r="C1704" s="4">
        <v>3831</v>
      </c>
      <c r="D1704" s="5" t="s">
        <v>93</v>
      </c>
      <c r="E1704" s="6" t="s">
        <v>2747</v>
      </c>
      <c r="Z1704" s="4" t="s">
        <v>443</v>
      </c>
      <c r="AA1704" s="4" t="s">
        <v>444</v>
      </c>
      <c r="AP1704" s="4" t="s">
        <v>376</v>
      </c>
      <c r="AR1704" s="4" t="s">
        <v>377</v>
      </c>
    </row>
    <row r="1705" spans="1:44">
      <c r="A1705" s="4" t="s">
        <v>5</v>
      </c>
      <c r="C1705" s="4">
        <v>1224</v>
      </c>
      <c r="D1705" s="5" t="s">
        <v>93</v>
      </c>
      <c r="E1705" s="6" t="s">
        <v>2748</v>
      </c>
      <c r="AP1705" s="4" t="s">
        <v>376</v>
      </c>
      <c r="AR1705" s="4" t="s">
        <v>377</v>
      </c>
    </row>
    <row r="1706" spans="1:44">
      <c r="A1706" s="4" t="s">
        <v>5</v>
      </c>
      <c r="C1706" s="4">
        <v>2080</v>
      </c>
      <c r="D1706" s="5" t="s">
        <v>93</v>
      </c>
      <c r="E1706" s="6" t="s">
        <v>2749</v>
      </c>
      <c r="AP1706" s="4" t="s">
        <v>376</v>
      </c>
      <c r="AR1706" s="4" t="s">
        <v>377</v>
      </c>
    </row>
    <row r="1707" spans="1:44">
      <c r="A1707" s="4" t="s">
        <v>5</v>
      </c>
      <c r="C1707" s="4">
        <v>2743</v>
      </c>
      <c r="D1707" s="5" t="s">
        <v>93</v>
      </c>
      <c r="E1707" s="6" t="s">
        <v>2750</v>
      </c>
      <c r="F1707" s="5" t="s">
        <v>2751</v>
      </c>
      <c r="AP1707" s="4" t="s">
        <v>376</v>
      </c>
      <c r="AR1707" s="4" t="s">
        <v>377</v>
      </c>
    </row>
    <row r="1708" spans="1:44">
      <c r="A1708" s="4" t="s">
        <v>5</v>
      </c>
      <c r="C1708" s="4">
        <v>1964</v>
      </c>
      <c r="D1708" s="5" t="s">
        <v>93</v>
      </c>
      <c r="E1708" s="6" t="s">
        <v>2752</v>
      </c>
      <c r="F1708" s="5" t="s">
        <v>2753</v>
      </c>
      <c r="AP1708" s="4" t="s">
        <v>376</v>
      </c>
      <c r="AR1708" s="4" t="s">
        <v>377</v>
      </c>
    </row>
    <row r="1709" spans="1:44">
      <c r="A1709" s="4" t="s">
        <v>5</v>
      </c>
      <c r="C1709" s="4">
        <v>3816</v>
      </c>
      <c r="D1709" s="5" t="s">
        <v>93</v>
      </c>
      <c r="E1709" s="6" t="s">
        <v>2754</v>
      </c>
      <c r="AP1709" s="4" t="s">
        <v>376</v>
      </c>
      <c r="AR1709" s="4" t="s">
        <v>377</v>
      </c>
    </row>
    <row r="1710" spans="1:44" ht="30">
      <c r="A1710" s="4" t="s">
        <v>5</v>
      </c>
      <c r="C1710" s="4">
        <v>6847</v>
      </c>
      <c r="D1710" s="5" t="s">
        <v>93</v>
      </c>
      <c r="E1710" s="6" t="s">
        <v>2755</v>
      </c>
      <c r="AP1710" s="4" t="s">
        <v>376</v>
      </c>
      <c r="AR1710" s="4" t="s">
        <v>377</v>
      </c>
    </row>
    <row r="1711" spans="1:44">
      <c r="A1711" s="4" t="s">
        <v>5</v>
      </c>
      <c r="C1711" s="4">
        <v>1566</v>
      </c>
      <c r="D1711" s="5" t="s">
        <v>93</v>
      </c>
      <c r="E1711" s="6" t="s">
        <v>2756</v>
      </c>
      <c r="AP1711" s="4" t="s">
        <v>376</v>
      </c>
      <c r="AR1711" s="4" t="s">
        <v>377</v>
      </c>
    </row>
    <row r="1712" spans="1:44">
      <c r="A1712" s="4" t="s">
        <v>5</v>
      </c>
      <c r="C1712" s="4">
        <v>1510</v>
      </c>
      <c r="D1712" s="5" t="s">
        <v>93</v>
      </c>
      <c r="E1712" s="6" t="s">
        <v>2757</v>
      </c>
      <c r="AP1712" s="4" t="s">
        <v>376</v>
      </c>
      <c r="AR1712" s="4" t="s">
        <v>377</v>
      </c>
    </row>
    <row r="1713" spans="1:44">
      <c r="A1713" s="4" t="s">
        <v>5</v>
      </c>
      <c r="C1713" s="4">
        <v>6358</v>
      </c>
      <c r="D1713" s="5" t="s">
        <v>93</v>
      </c>
      <c r="E1713" s="6" t="s">
        <v>2758</v>
      </c>
      <c r="AP1713" s="4" t="s">
        <v>376</v>
      </c>
      <c r="AR1713" s="4" t="s">
        <v>377</v>
      </c>
    </row>
    <row r="1714" spans="1:44" ht="30">
      <c r="A1714" s="4" t="s">
        <v>5</v>
      </c>
      <c r="C1714" s="4">
        <v>6187</v>
      </c>
      <c r="D1714" s="5" t="s">
        <v>93</v>
      </c>
      <c r="E1714" s="6" t="s">
        <v>2759</v>
      </c>
      <c r="AP1714" s="4" t="s">
        <v>376</v>
      </c>
      <c r="AR1714" s="4" t="s">
        <v>377</v>
      </c>
    </row>
    <row r="1715" spans="1:44">
      <c r="A1715" s="4" t="s">
        <v>5</v>
      </c>
      <c r="C1715" s="4">
        <v>4087</v>
      </c>
      <c r="D1715" s="5" t="s">
        <v>93</v>
      </c>
      <c r="E1715" s="6" t="s">
        <v>2760</v>
      </c>
      <c r="F1715" s="5" t="s">
        <v>2761</v>
      </c>
      <c r="AP1715" s="4" t="s">
        <v>376</v>
      </c>
      <c r="AR1715" s="4" t="s">
        <v>377</v>
      </c>
    </row>
    <row r="1716" spans="1:44" ht="30">
      <c r="A1716" s="4" t="s">
        <v>5</v>
      </c>
      <c r="C1716" s="4">
        <v>6435</v>
      </c>
      <c r="D1716" s="5" t="s">
        <v>93</v>
      </c>
      <c r="E1716" s="6" t="s">
        <v>2762</v>
      </c>
      <c r="AP1716" s="4" t="s">
        <v>376</v>
      </c>
      <c r="AR1716" s="4" t="s">
        <v>377</v>
      </c>
    </row>
    <row r="1717" spans="1:44">
      <c r="A1717" s="4" t="s">
        <v>5</v>
      </c>
      <c r="C1717" s="4">
        <v>5247</v>
      </c>
      <c r="D1717" s="5" t="s">
        <v>93</v>
      </c>
      <c r="E1717" s="6" t="s">
        <v>2763</v>
      </c>
      <c r="AP1717" s="4" t="s">
        <v>376</v>
      </c>
      <c r="AR1717" s="4" t="s">
        <v>377</v>
      </c>
    </row>
    <row r="1718" spans="1:44" ht="30">
      <c r="A1718" s="4" t="s">
        <v>5</v>
      </c>
      <c r="C1718" s="4">
        <v>4322</v>
      </c>
      <c r="D1718" s="5" t="s">
        <v>93</v>
      </c>
      <c r="E1718" s="6" t="s">
        <v>2764</v>
      </c>
      <c r="F1718" s="5" t="s">
        <v>2765</v>
      </c>
      <c r="AP1718" s="4" t="s">
        <v>376</v>
      </c>
      <c r="AR1718" s="4" t="s">
        <v>377</v>
      </c>
    </row>
    <row r="1719" spans="1:44">
      <c r="A1719" s="4" t="s">
        <v>5</v>
      </c>
      <c r="C1719" s="4">
        <v>6807</v>
      </c>
      <c r="D1719" s="5" t="s">
        <v>93</v>
      </c>
      <c r="E1719" s="6" t="s">
        <v>2766</v>
      </c>
      <c r="AP1719" s="4" t="s">
        <v>376</v>
      </c>
      <c r="AR1719" s="4" t="s">
        <v>377</v>
      </c>
    </row>
    <row r="1720" spans="1:44">
      <c r="A1720" s="4" t="s">
        <v>5</v>
      </c>
      <c r="C1720" s="4">
        <v>1293</v>
      </c>
      <c r="D1720" s="5" t="s">
        <v>93</v>
      </c>
      <c r="E1720" s="6" t="s">
        <v>2767</v>
      </c>
      <c r="F1720" s="5" t="s">
        <v>2768</v>
      </c>
      <c r="AP1720" s="4" t="s">
        <v>376</v>
      </c>
      <c r="AR1720" s="4" t="s">
        <v>377</v>
      </c>
    </row>
    <row r="1721" spans="1:44" ht="30">
      <c r="A1721" s="4" t="s">
        <v>5</v>
      </c>
      <c r="C1721" s="4">
        <v>4502</v>
      </c>
      <c r="D1721" s="5" t="s">
        <v>93</v>
      </c>
      <c r="E1721" s="6" t="s">
        <v>2769</v>
      </c>
      <c r="F1721" s="5" t="s">
        <v>2770</v>
      </c>
      <c r="Z1721" s="4" t="s">
        <v>443</v>
      </c>
      <c r="AA1721" s="4" t="s">
        <v>444</v>
      </c>
      <c r="AP1721" s="4" t="s">
        <v>376</v>
      </c>
      <c r="AR1721" s="4" t="s">
        <v>377</v>
      </c>
    </row>
    <row r="1722" spans="1:44">
      <c r="A1722" s="4" t="s">
        <v>5</v>
      </c>
      <c r="C1722" s="4">
        <v>745</v>
      </c>
      <c r="D1722" s="5" t="s">
        <v>93</v>
      </c>
      <c r="E1722" s="6" t="s">
        <v>2771</v>
      </c>
      <c r="F1722" s="5" t="s">
        <v>2772</v>
      </c>
      <c r="AP1722" s="4" t="s">
        <v>376</v>
      </c>
      <c r="AR1722" s="4" t="s">
        <v>377</v>
      </c>
    </row>
    <row r="1723" spans="1:44">
      <c r="A1723" s="4" t="s">
        <v>5</v>
      </c>
      <c r="C1723" s="4">
        <v>4060</v>
      </c>
      <c r="D1723" s="5" t="s">
        <v>93</v>
      </c>
      <c r="E1723" s="6" t="s">
        <v>2773</v>
      </c>
      <c r="F1723" s="5" t="s">
        <v>2774</v>
      </c>
      <c r="Z1723" s="4" t="s">
        <v>447</v>
      </c>
      <c r="AA1723" s="4" t="s">
        <v>448</v>
      </c>
      <c r="AP1723" s="4" t="s">
        <v>376</v>
      </c>
      <c r="AR1723" s="4" t="s">
        <v>377</v>
      </c>
    </row>
    <row r="1724" spans="1:44">
      <c r="A1724" s="4" t="s">
        <v>5</v>
      </c>
      <c r="C1724" s="4">
        <v>1791</v>
      </c>
      <c r="D1724" s="5" t="s">
        <v>93</v>
      </c>
      <c r="E1724" s="6" t="s">
        <v>2775</v>
      </c>
      <c r="F1724" s="5" t="s">
        <v>2776</v>
      </c>
      <c r="AP1724" s="4" t="s">
        <v>376</v>
      </c>
      <c r="AR1724" s="4" t="s">
        <v>377</v>
      </c>
    </row>
    <row r="1725" spans="1:44">
      <c r="A1725" s="4" t="s">
        <v>5</v>
      </c>
      <c r="C1725" s="4">
        <v>2504</v>
      </c>
      <c r="D1725" s="5" t="s">
        <v>93</v>
      </c>
      <c r="E1725" s="6" t="s">
        <v>2777</v>
      </c>
      <c r="AP1725" s="4" t="s">
        <v>376</v>
      </c>
      <c r="AR1725" s="4" t="s">
        <v>377</v>
      </c>
    </row>
    <row r="1726" spans="1:44">
      <c r="A1726" s="4" t="s">
        <v>5</v>
      </c>
      <c r="C1726" s="4">
        <v>114</v>
      </c>
      <c r="D1726" s="5" t="s">
        <v>93</v>
      </c>
      <c r="E1726" s="6" t="s">
        <v>2778</v>
      </c>
      <c r="F1726" s="5" t="s">
        <v>2779</v>
      </c>
      <c r="AP1726" s="4" t="s">
        <v>376</v>
      </c>
      <c r="AR1726" s="4" t="s">
        <v>377</v>
      </c>
    </row>
    <row r="1727" spans="1:44" ht="30">
      <c r="A1727" s="4" t="s">
        <v>5</v>
      </c>
      <c r="C1727" s="4">
        <v>4734</v>
      </c>
      <c r="D1727" s="5" t="s">
        <v>93</v>
      </c>
      <c r="E1727" s="6" t="s">
        <v>2780</v>
      </c>
      <c r="AP1727" s="4" t="s">
        <v>376</v>
      </c>
      <c r="AR1727" s="4" t="s">
        <v>377</v>
      </c>
    </row>
    <row r="1728" spans="1:44">
      <c r="A1728" s="4" t="s">
        <v>5</v>
      </c>
      <c r="C1728" s="4">
        <v>6527</v>
      </c>
      <c r="D1728" s="5" t="s">
        <v>93</v>
      </c>
      <c r="E1728" s="6" t="s">
        <v>2781</v>
      </c>
      <c r="F1728" s="5" t="s">
        <v>2782</v>
      </c>
      <c r="AP1728" s="4" t="s">
        <v>376</v>
      </c>
      <c r="AR1728" s="4" t="s">
        <v>377</v>
      </c>
    </row>
    <row r="1729" spans="1:44">
      <c r="A1729" s="4" t="s">
        <v>5</v>
      </c>
      <c r="C1729" s="4">
        <v>4229</v>
      </c>
      <c r="D1729" s="5" t="s">
        <v>93</v>
      </c>
      <c r="E1729" s="6" t="s">
        <v>2783</v>
      </c>
      <c r="F1729" s="5" t="s">
        <v>2784</v>
      </c>
      <c r="Z1729" s="4" t="s">
        <v>447</v>
      </c>
      <c r="AA1729" s="4" t="s">
        <v>448</v>
      </c>
      <c r="AP1729" s="4" t="s">
        <v>376</v>
      </c>
      <c r="AR1729" s="4" t="s">
        <v>377</v>
      </c>
    </row>
    <row r="1730" spans="1:44" ht="30">
      <c r="A1730" s="4" t="s">
        <v>5</v>
      </c>
      <c r="C1730" s="4">
        <v>4960</v>
      </c>
      <c r="D1730" s="5" t="s">
        <v>93</v>
      </c>
      <c r="E1730" s="6" t="s">
        <v>2785</v>
      </c>
      <c r="AP1730" s="4" t="s">
        <v>376</v>
      </c>
      <c r="AR1730" s="4" t="s">
        <v>377</v>
      </c>
    </row>
    <row r="1731" spans="1:44">
      <c r="A1731" s="4" t="s">
        <v>5</v>
      </c>
      <c r="C1731" s="4">
        <v>4896</v>
      </c>
      <c r="D1731" s="5" t="s">
        <v>93</v>
      </c>
      <c r="E1731" s="6" t="s">
        <v>2786</v>
      </c>
      <c r="AP1731" s="4" t="s">
        <v>376</v>
      </c>
      <c r="AR1731" s="4" t="s">
        <v>377</v>
      </c>
    </row>
    <row r="1732" spans="1:44">
      <c r="A1732" s="4" t="s">
        <v>5</v>
      </c>
      <c r="C1732" s="4">
        <v>2047</v>
      </c>
      <c r="D1732" s="5" t="s">
        <v>93</v>
      </c>
      <c r="E1732" s="6" t="s">
        <v>2787</v>
      </c>
      <c r="AP1732" s="4" t="s">
        <v>376</v>
      </c>
      <c r="AR1732" s="4" t="s">
        <v>377</v>
      </c>
    </row>
    <row r="1733" spans="1:44">
      <c r="A1733" s="4" t="s">
        <v>5</v>
      </c>
      <c r="C1733" s="4">
        <v>4039</v>
      </c>
      <c r="D1733" s="5" t="s">
        <v>93</v>
      </c>
      <c r="E1733" s="6" t="s">
        <v>2788</v>
      </c>
      <c r="AP1733" s="4" t="s">
        <v>376</v>
      </c>
      <c r="AR1733" s="4" t="s">
        <v>377</v>
      </c>
    </row>
    <row r="1734" spans="1:44">
      <c r="A1734" s="4" t="s">
        <v>5</v>
      </c>
      <c r="C1734" s="4">
        <v>4231</v>
      </c>
      <c r="D1734" s="5" t="s">
        <v>93</v>
      </c>
      <c r="E1734" s="6" t="s">
        <v>2789</v>
      </c>
      <c r="AP1734" s="4" t="s">
        <v>376</v>
      </c>
      <c r="AR1734" s="4" t="s">
        <v>377</v>
      </c>
    </row>
    <row r="1735" spans="1:44" ht="30">
      <c r="A1735" s="4" t="s">
        <v>5</v>
      </c>
      <c r="C1735" s="4">
        <v>4739</v>
      </c>
      <c r="D1735" s="5" t="s">
        <v>93</v>
      </c>
      <c r="E1735" s="6" t="s">
        <v>2790</v>
      </c>
      <c r="AP1735" s="4" t="s">
        <v>376</v>
      </c>
      <c r="AR1735" s="4" t="s">
        <v>377</v>
      </c>
    </row>
    <row r="1736" spans="1:44">
      <c r="A1736" s="4" t="s">
        <v>5</v>
      </c>
      <c r="C1736" s="4">
        <v>5833</v>
      </c>
      <c r="D1736" s="5" t="s">
        <v>93</v>
      </c>
      <c r="E1736" s="6" t="s">
        <v>2791</v>
      </c>
      <c r="AP1736" s="4" t="s">
        <v>376</v>
      </c>
      <c r="AR1736" s="4" t="s">
        <v>377</v>
      </c>
    </row>
    <row r="1737" spans="1:44">
      <c r="A1737" s="4" t="s">
        <v>5</v>
      </c>
      <c r="C1737" s="4">
        <v>269</v>
      </c>
      <c r="D1737" s="5" t="s">
        <v>93</v>
      </c>
      <c r="E1737" s="6" t="s">
        <v>2792</v>
      </c>
      <c r="F1737" s="5" t="s">
        <v>2793</v>
      </c>
      <c r="AP1737" s="4" t="s">
        <v>376</v>
      </c>
      <c r="AR1737" s="4" t="s">
        <v>377</v>
      </c>
    </row>
    <row r="1738" spans="1:44">
      <c r="A1738" s="4" t="s">
        <v>5</v>
      </c>
      <c r="C1738" s="4">
        <v>477</v>
      </c>
      <c r="D1738" s="5" t="s">
        <v>93</v>
      </c>
      <c r="E1738" s="6" t="s">
        <v>2794</v>
      </c>
      <c r="Z1738" s="4" t="s">
        <v>443</v>
      </c>
      <c r="AA1738" s="4" t="s">
        <v>444</v>
      </c>
      <c r="AP1738" s="4" t="s">
        <v>376</v>
      </c>
      <c r="AR1738" s="4" t="s">
        <v>377</v>
      </c>
    </row>
    <row r="1739" spans="1:44">
      <c r="A1739" s="4" t="s">
        <v>5</v>
      </c>
      <c r="C1739" s="4">
        <v>3503</v>
      </c>
      <c r="D1739" s="5" t="s">
        <v>93</v>
      </c>
      <c r="E1739" s="6" t="s">
        <v>2795</v>
      </c>
      <c r="F1739" s="5" t="s">
        <v>2796</v>
      </c>
      <c r="Z1739" s="4" t="s">
        <v>447</v>
      </c>
      <c r="AA1739" s="4" t="s">
        <v>448</v>
      </c>
      <c r="AP1739" s="4" t="s">
        <v>376</v>
      </c>
      <c r="AR1739" s="4" t="s">
        <v>377</v>
      </c>
    </row>
    <row r="1740" spans="1:44">
      <c r="A1740" s="4" t="s">
        <v>5</v>
      </c>
      <c r="C1740" s="4">
        <v>482</v>
      </c>
      <c r="D1740" s="5" t="s">
        <v>93</v>
      </c>
      <c r="E1740" s="6" t="s">
        <v>2797</v>
      </c>
      <c r="F1740" s="5" t="s">
        <v>2798</v>
      </c>
      <c r="AP1740" s="4" t="s">
        <v>376</v>
      </c>
      <c r="AR1740" s="4" t="s">
        <v>377</v>
      </c>
    </row>
    <row r="1741" spans="1:44" ht="30">
      <c r="A1741" s="4" t="s">
        <v>5</v>
      </c>
      <c r="C1741" s="4">
        <v>1691</v>
      </c>
      <c r="D1741" s="5" t="s">
        <v>93</v>
      </c>
      <c r="E1741" s="6" t="s">
        <v>2799</v>
      </c>
      <c r="AP1741" s="4" t="s">
        <v>376</v>
      </c>
      <c r="AR1741" s="4" t="s">
        <v>377</v>
      </c>
    </row>
    <row r="1742" spans="1:44">
      <c r="A1742" s="4" t="s">
        <v>5</v>
      </c>
      <c r="C1742" s="4">
        <v>1454</v>
      </c>
      <c r="D1742" s="5" t="s">
        <v>93</v>
      </c>
      <c r="E1742" s="6" t="s">
        <v>2800</v>
      </c>
      <c r="F1742" s="5" t="s">
        <v>2801</v>
      </c>
      <c r="AP1742" s="4" t="s">
        <v>376</v>
      </c>
      <c r="AR1742" s="4" t="s">
        <v>377</v>
      </c>
    </row>
    <row r="1743" spans="1:44">
      <c r="A1743" s="4" t="s">
        <v>5</v>
      </c>
      <c r="C1743" s="4">
        <v>6671</v>
      </c>
      <c r="D1743" s="5" t="s">
        <v>93</v>
      </c>
      <c r="E1743" s="6" t="s">
        <v>2802</v>
      </c>
      <c r="AP1743" s="4" t="s">
        <v>376</v>
      </c>
      <c r="AR1743" s="4" t="s">
        <v>377</v>
      </c>
    </row>
    <row r="1744" spans="1:44">
      <c r="A1744" s="4" t="s">
        <v>5</v>
      </c>
      <c r="C1744" s="4">
        <v>5969</v>
      </c>
      <c r="D1744" s="5" t="s">
        <v>93</v>
      </c>
      <c r="E1744" s="6" t="s">
        <v>2803</v>
      </c>
      <c r="AP1744" s="4" t="s">
        <v>376</v>
      </c>
      <c r="AR1744" s="4" t="s">
        <v>377</v>
      </c>
    </row>
    <row r="1745" spans="1:44">
      <c r="A1745" s="4" t="s">
        <v>5</v>
      </c>
      <c r="C1745" s="4">
        <v>6782</v>
      </c>
      <c r="D1745" s="5" t="s">
        <v>93</v>
      </c>
      <c r="E1745" s="6" t="s">
        <v>2804</v>
      </c>
      <c r="AP1745" s="4" t="s">
        <v>376</v>
      </c>
      <c r="AR1745" s="4" t="s">
        <v>377</v>
      </c>
    </row>
    <row r="1746" spans="1:44">
      <c r="A1746" s="4" t="s">
        <v>5</v>
      </c>
      <c r="C1746" s="4">
        <v>191</v>
      </c>
      <c r="D1746" s="5" t="s">
        <v>93</v>
      </c>
      <c r="E1746" s="6" t="s">
        <v>2805</v>
      </c>
      <c r="F1746" s="5" t="s">
        <v>2806</v>
      </c>
      <c r="AP1746" s="4" t="s">
        <v>376</v>
      </c>
      <c r="AR1746" s="4" t="s">
        <v>377</v>
      </c>
    </row>
    <row r="1747" spans="1:44">
      <c r="A1747" s="4" t="s">
        <v>5</v>
      </c>
      <c r="C1747" s="4">
        <v>6320</v>
      </c>
      <c r="D1747" s="5" t="s">
        <v>93</v>
      </c>
      <c r="E1747" s="6" t="s">
        <v>2807</v>
      </c>
      <c r="AP1747" s="4" t="s">
        <v>376</v>
      </c>
      <c r="AR1747" s="4" t="s">
        <v>377</v>
      </c>
    </row>
    <row r="1748" spans="1:44">
      <c r="A1748" s="4" t="s">
        <v>5</v>
      </c>
      <c r="C1748" s="4">
        <v>841</v>
      </c>
      <c r="D1748" s="5" t="s">
        <v>93</v>
      </c>
      <c r="E1748" s="6" t="s">
        <v>2808</v>
      </c>
      <c r="F1748" s="5" t="s">
        <v>2809</v>
      </c>
      <c r="AP1748" s="4" t="s">
        <v>376</v>
      </c>
      <c r="AR1748" s="4" t="s">
        <v>377</v>
      </c>
    </row>
    <row r="1749" spans="1:44">
      <c r="A1749" s="4" t="s">
        <v>5</v>
      </c>
      <c r="C1749" s="4">
        <v>1629</v>
      </c>
      <c r="D1749" s="5" t="s">
        <v>93</v>
      </c>
      <c r="E1749" s="6" t="s">
        <v>2810</v>
      </c>
      <c r="F1749" s="5" t="s">
        <v>2811</v>
      </c>
      <c r="AP1749" s="4" t="s">
        <v>376</v>
      </c>
      <c r="AR1749" s="4" t="s">
        <v>377</v>
      </c>
    </row>
    <row r="1750" spans="1:44">
      <c r="A1750" s="4" t="s">
        <v>5</v>
      </c>
      <c r="C1750" s="4">
        <v>6804</v>
      </c>
      <c r="D1750" s="5" t="s">
        <v>93</v>
      </c>
      <c r="E1750" s="6" t="s">
        <v>2812</v>
      </c>
      <c r="AP1750" s="4" t="s">
        <v>376</v>
      </c>
      <c r="AR1750" s="4" t="s">
        <v>377</v>
      </c>
    </row>
    <row r="1751" spans="1:44" ht="30">
      <c r="A1751" s="4" t="s">
        <v>5</v>
      </c>
      <c r="C1751" s="4">
        <v>5062</v>
      </c>
      <c r="D1751" s="5" t="s">
        <v>93</v>
      </c>
      <c r="E1751" s="6" t="s">
        <v>2813</v>
      </c>
      <c r="AP1751" s="4" t="s">
        <v>376</v>
      </c>
      <c r="AR1751" s="4" t="s">
        <v>377</v>
      </c>
    </row>
    <row r="1752" spans="1:44" ht="30">
      <c r="A1752" s="4" t="s">
        <v>5</v>
      </c>
      <c r="C1752" s="4">
        <v>6745</v>
      </c>
      <c r="D1752" s="5" t="s">
        <v>93</v>
      </c>
      <c r="E1752" s="6" t="s">
        <v>2814</v>
      </c>
      <c r="AP1752" s="4" t="s">
        <v>376</v>
      </c>
      <c r="AR1752" s="4" t="s">
        <v>377</v>
      </c>
    </row>
    <row r="1753" spans="1:44">
      <c r="A1753" s="4" t="s">
        <v>5</v>
      </c>
      <c r="C1753" s="4">
        <v>6456</v>
      </c>
      <c r="D1753" s="5" t="s">
        <v>93</v>
      </c>
      <c r="E1753" s="6" t="s">
        <v>2815</v>
      </c>
      <c r="AP1753" s="4" t="s">
        <v>376</v>
      </c>
      <c r="AR1753" s="4" t="s">
        <v>377</v>
      </c>
    </row>
    <row r="1754" spans="1:44" ht="30">
      <c r="A1754" s="4" t="s">
        <v>5</v>
      </c>
      <c r="C1754" s="4">
        <v>2908</v>
      </c>
      <c r="D1754" s="5" t="s">
        <v>93</v>
      </c>
      <c r="E1754" s="6" t="s">
        <v>2816</v>
      </c>
      <c r="F1754" s="5" t="s">
        <v>2817</v>
      </c>
      <c r="Z1754" s="4" t="s">
        <v>695</v>
      </c>
      <c r="AA1754" s="4" t="s">
        <v>696</v>
      </c>
      <c r="AP1754" s="4" t="s">
        <v>376</v>
      </c>
      <c r="AR1754" s="4" t="s">
        <v>377</v>
      </c>
    </row>
    <row r="1755" spans="1:44">
      <c r="A1755" s="4" t="s">
        <v>5</v>
      </c>
      <c r="C1755" s="4">
        <v>3617</v>
      </c>
      <c r="D1755" s="5" t="s">
        <v>93</v>
      </c>
      <c r="E1755" s="6" t="s">
        <v>2818</v>
      </c>
      <c r="F1755" s="5" t="s">
        <v>2819</v>
      </c>
      <c r="AP1755" s="4" t="s">
        <v>376</v>
      </c>
      <c r="AR1755" s="4" t="s">
        <v>377</v>
      </c>
    </row>
    <row r="1756" spans="1:44">
      <c r="A1756" s="4" t="s">
        <v>5</v>
      </c>
      <c r="C1756" s="4">
        <v>3000</v>
      </c>
      <c r="D1756" s="5" t="s">
        <v>93</v>
      </c>
      <c r="E1756" s="6" t="s">
        <v>2820</v>
      </c>
      <c r="Z1756" s="4" t="s">
        <v>443</v>
      </c>
      <c r="AA1756" s="4" t="s">
        <v>444</v>
      </c>
      <c r="AP1756" s="4" t="s">
        <v>376</v>
      </c>
      <c r="AR1756" s="4" t="s">
        <v>377</v>
      </c>
    </row>
    <row r="1757" spans="1:44">
      <c r="A1757" s="4" t="s">
        <v>5</v>
      </c>
      <c r="C1757" s="4">
        <v>175</v>
      </c>
      <c r="D1757" s="5" t="s">
        <v>93</v>
      </c>
      <c r="E1757" s="6" t="s">
        <v>2821</v>
      </c>
      <c r="F1757" s="5" t="s">
        <v>2822</v>
      </c>
      <c r="AP1757" s="4" t="s">
        <v>376</v>
      </c>
      <c r="AR1757" s="4" t="s">
        <v>377</v>
      </c>
    </row>
    <row r="1758" spans="1:44" ht="30">
      <c r="A1758" s="4" t="s">
        <v>5</v>
      </c>
      <c r="C1758" s="4">
        <v>5708</v>
      </c>
      <c r="D1758" s="5" t="s">
        <v>93</v>
      </c>
      <c r="E1758" s="6" t="s">
        <v>2823</v>
      </c>
      <c r="AP1758" s="4" t="s">
        <v>376</v>
      </c>
      <c r="AR1758" s="4" t="s">
        <v>377</v>
      </c>
    </row>
    <row r="1759" spans="1:44" ht="30">
      <c r="A1759" s="4" t="s">
        <v>5</v>
      </c>
      <c r="C1759" s="4">
        <v>3410</v>
      </c>
      <c r="D1759" s="5" t="s">
        <v>93</v>
      </c>
      <c r="E1759" s="6" t="s">
        <v>2824</v>
      </c>
      <c r="F1759" s="5" t="s">
        <v>2825</v>
      </c>
      <c r="Z1759" s="4" t="s">
        <v>695</v>
      </c>
      <c r="AA1759" s="4" t="s">
        <v>696</v>
      </c>
      <c r="AP1759" s="4" t="s">
        <v>376</v>
      </c>
      <c r="AR1759" s="4" t="s">
        <v>377</v>
      </c>
    </row>
    <row r="1760" spans="1:44">
      <c r="A1760" s="4" t="s">
        <v>5</v>
      </c>
      <c r="C1760" s="4">
        <v>3433</v>
      </c>
      <c r="D1760" s="5" t="s">
        <v>93</v>
      </c>
      <c r="E1760" s="6" t="s">
        <v>2826</v>
      </c>
      <c r="AP1760" s="4" t="s">
        <v>376</v>
      </c>
      <c r="AR1760" s="4" t="s">
        <v>377</v>
      </c>
    </row>
    <row r="1761" spans="1:44">
      <c r="A1761" s="4" t="s">
        <v>5</v>
      </c>
      <c r="C1761" s="4">
        <v>6485</v>
      </c>
      <c r="D1761" s="5" t="s">
        <v>93</v>
      </c>
      <c r="E1761" s="6" t="s">
        <v>2827</v>
      </c>
      <c r="AP1761" s="4" t="s">
        <v>376</v>
      </c>
      <c r="AR1761" s="4" t="s">
        <v>377</v>
      </c>
    </row>
    <row r="1762" spans="1:44">
      <c r="A1762" s="4" t="s">
        <v>5</v>
      </c>
      <c r="C1762" s="4">
        <v>6831</v>
      </c>
      <c r="D1762" s="5" t="s">
        <v>93</v>
      </c>
      <c r="E1762" s="6" t="s">
        <v>2828</v>
      </c>
      <c r="AP1762" s="4" t="s">
        <v>376</v>
      </c>
      <c r="AR1762" s="4" t="s">
        <v>377</v>
      </c>
    </row>
    <row r="1763" spans="1:44" ht="30">
      <c r="A1763" s="4" t="s">
        <v>5</v>
      </c>
      <c r="C1763" s="4">
        <v>3959</v>
      </c>
      <c r="D1763" s="5" t="s">
        <v>93</v>
      </c>
      <c r="E1763" s="6" t="s">
        <v>2829</v>
      </c>
      <c r="AP1763" s="4" t="s">
        <v>376</v>
      </c>
      <c r="AR1763" s="4" t="s">
        <v>377</v>
      </c>
    </row>
    <row r="1764" spans="1:44">
      <c r="A1764" s="4" t="s">
        <v>5</v>
      </c>
      <c r="C1764" s="4">
        <v>5720</v>
      </c>
      <c r="D1764" s="5" t="s">
        <v>93</v>
      </c>
      <c r="E1764" s="6" t="s">
        <v>2830</v>
      </c>
      <c r="AP1764" s="4" t="s">
        <v>376</v>
      </c>
      <c r="AR1764" s="4" t="s">
        <v>377</v>
      </c>
    </row>
    <row r="1765" spans="1:44" ht="30">
      <c r="A1765" s="4" t="s">
        <v>5</v>
      </c>
      <c r="C1765" s="4">
        <v>3619</v>
      </c>
      <c r="D1765" s="5" t="s">
        <v>93</v>
      </c>
      <c r="E1765" s="6" t="s">
        <v>2831</v>
      </c>
      <c r="AP1765" s="4" t="s">
        <v>376</v>
      </c>
      <c r="AR1765" s="4" t="s">
        <v>377</v>
      </c>
    </row>
    <row r="1766" spans="1:44">
      <c r="A1766" s="4" t="s">
        <v>5</v>
      </c>
      <c r="C1766" s="4">
        <v>2770</v>
      </c>
      <c r="D1766" s="5" t="s">
        <v>93</v>
      </c>
      <c r="E1766" s="6" t="s">
        <v>2832</v>
      </c>
      <c r="AP1766" s="4" t="s">
        <v>376</v>
      </c>
      <c r="AR1766" s="4" t="s">
        <v>377</v>
      </c>
    </row>
    <row r="1767" spans="1:44" ht="30">
      <c r="A1767" s="4" t="s">
        <v>5</v>
      </c>
      <c r="C1767" s="4">
        <v>1453</v>
      </c>
      <c r="D1767" s="5" t="s">
        <v>93</v>
      </c>
      <c r="E1767" s="6" t="s">
        <v>2833</v>
      </c>
      <c r="F1767" s="5" t="s">
        <v>2834</v>
      </c>
      <c r="AP1767" s="4" t="s">
        <v>376</v>
      </c>
      <c r="AR1767" s="4" t="s">
        <v>377</v>
      </c>
    </row>
    <row r="1768" spans="1:44">
      <c r="A1768" s="4" t="s">
        <v>5</v>
      </c>
      <c r="C1768" s="4">
        <v>5182</v>
      </c>
      <c r="D1768" s="5" t="s">
        <v>93</v>
      </c>
      <c r="E1768" s="6" t="s">
        <v>2835</v>
      </c>
      <c r="AP1768" s="4" t="s">
        <v>376</v>
      </c>
      <c r="AR1768" s="4" t="s">
        <v>377</v>
      </c>
    </row>
    <row r="1769" spans="1:44">
      <c r="A1769" s="4" t="s">
        <v>5</v>
      </c>
      <c r="C1769" s="4">
        <v>2124</v>
      </c>
      <c r="D1769" s="5" t="s">
        <v>93</v>
      </c>
      <c r="E1769" s="6" t="s">
        <v>2836</v>
      </c>
      <c r="F1769" s="5" t="s">
        <v>2837</v>
      </c>
      <c r="AP1769" s="4" t="s">
        <v>376</v>
      </c>
      <c r="AR1769" s="4" t="s">
        <v>377</v>
      </c>
    </row>
    <row r="1770" spans="1:44">
      <c r="A1770" s="4" t="s">
        <v>5</v>
      </c>
      <c r="C1770" s="4">
        <v>6208</v>
      </c>
      <c r="D1770" s="5" t="s">
        <v>93</v>
      </c>
      <c r="E1770" s="6" t="s">
        <v>2838</v>
      </c>
      <c r="AP1770" s="4" t="s">
        <v>376</v>
      </c>
      <c r="AR1770" s="4" t="s">
        <v>377</v>
      </c>
    </row>
    <row r="1771" spans="1:44">
      <c r="A1771" s="4" t="s">
        <v>5</v>
      </c>
      <c r="C1771" s="4">
        <v>375</v>
      </c>
      <c r="D1771" s="5" t="s">
        <v>93</v>
      </c>
      <c r="E1771" s="6" t="s">
        <v>2839</v>
      </c>
      <c r="F1771" s="5" t="s">
        <v>2840</v>
      </c>
      <c r="AP1771" s="4" t="s">
        <v>376</v>
      </c>
      <c r="AR1771" s="4" t="s">
        <v>377</v>
      </c>
    </row>
    <row r="1772" spans="1:44">
      <c r="A1772" s="4" t="s">
        <v>5</v>
      </c>
      <c r="C1772" s="4">
        <v>764</v>
      </c>
      <c r="D1772" s="5" t="s">
        <v>93</v>
      </c>
      <c r="E1772" s="6" t="s">
        <v>2841</v>
      </c>
      <c r="AP1772" s="4" t="s">
        <v>376</v>
      </c>
      <c r="AR1772" s="4" t="s">
        <v>377</v>
      </c>
    </row>
    <row r="1773" spans="1:44">
      <c r="A1773" s="4" t="s">
        <v>5</v>
      </c>
      <c r="C1773" s="4">
        <v>26</v>
      </c>
      <c r="D1773" s="5" t="s">
        <v>93</v>
      </c>
      <c r="E1773" s="6" t="s">
        <v>2842</v>
      </c>
      <c r="F1773" s="5" t="s">
        <v>2843</v>
      </c>
      <c r="AP1773" s="4" t="s">
        <v>376</v>
      </c>
      <c r="AR1773" s="4" t="s">
        <v>377</v>
      </c>
    </row>
    <row r="1774" spans="1:44">
      <c r="A1774" s="4" t="s">
        <v>5</v>
      </c>
      <c r="C1774" s="4">
        <v>1942</v>
      </c>
      <c r="D1774" s="5" t="s">
        <v>93</v>
      </c>
      <c r="E1774" s="6" t="s">
        <v>2844</v>
      </c>
      <c r="F1774" s="5" t="s">
        <v>2845</v>
      </c>
      <c r="AP1774" s="4" t="s">
        <v>376</v>
      </c>
      <c r="AR1774" s="4" t="s">
        <v>377</v>
      </c>
    </row>
    <row r="1775" spans="1:44">
      <c r="A1775" s="4" t="s">
        <v>5</v>
      </c>
      <c r="C1775" s="4">
        <v>3832</v>
      </c>
      <c r="D1775" s="5" t="s">
        <v>93</v>
      </c>
      <c r="E1775" s="6" t="s">
        <v>2846</v>
      </c>
      <c r="F1775" s="5" t="s">
        <v>2847</v>
      </c>
      <c r="Z1775" s="4" t="s">
        <v>443</v>
      </c>
      <c r="AA1775" s="4" t="s">
        <v>444</v>
      </c>
      <c r="AP1775" s="4" t="s">
        <v>376</v>
      </c>
      <c r="AR1775" s="4" t="s">
        <v>377</v>
      </c>
    </row>
    <row r="1776" spans="1:44">
      <c r="A1776" s="4" t="s">
        <v>5</v>
      </c>
      <c r="C1776" s="4">
        <v>3381</v>
      </c>
      <c r="D1776" s="5" t="s">
        <v>93</v>
      </c>
      <c r="E1776" s="6" t="s">
        <v>2848</v>
      </c>
      <c r="AP1776" s="4" t="s">
        <v>376</v>
      </c>
      <c r="AR1776" s="4" t="s">
        <v>377</v>
      </c>
    </row>
    <row r="1777" spans="1:44" ht="30">
      <c r="A1777" s="4" t="s">
        <v>5</v>
      </c>
      <c r="C1777" s="4">
        <v>4033</v>
      </c>
      <c r="D1777" s="5" t="s">
        <v>93</v>
      </c>
      <c r="E1777" s="6" t="s">
        <v>2849</v>
      </c>
      <c r="AP1777" s="4" t="s">
        <v>376</v>
      </c>
      <c r="AR1777" s="4" t="s">
        <v>377</v>
      </c>
    </row>
    <row r="1778" spans="1:44">
      <c r="A1778" s="4" t="s">
        <v>5</v>
      </c>
      <c r="C1778" s="4">
        <v>2162</v>
      </c>
      <c r="D1778" s="5" t="s">
        <v>93</v>
      </c>
      <c r="E1778" s="6" t="s">
        <v>2850</v>
      </c>
      <c r="F1778" s="5" t="s">
        <v>2851</v>
      </c>
      <c r="Z1778" s="4" t="s">
        <v>447</v>
      </c>
      <c r="AA1778" s="4" t="s">
        <v>448</v>
      </c>
      <c r="AP1778" s="4" t="s">
        <v>376</v>
      </c>
      <c r="AR1778" s="4" t="s">
        <v>377</v>
      </c>
    </row>
    <row r="1779" spans="1:44">
      <c r="A1779" s="4" t="s">
        <v>5</v>
      </c>
      <c r="C1779" s="4">
        <v>2438</v>
      </c>
      <c r="D1779" s="5" t="s">
        <v>93</v>
      </c>
      <c r="E1779" s="6" t="s">
        <v>2852</v>
      </c>
      <c r="F1779" s="5" t="s">
        <v>2853</v>
      </c>
      <c r="AP1779" s="4" t="s">
        <v>376</v>
      </c>
      <c r="AR1779" s="4" t="s">
        <v>377</v>
      </c>
    </row>
    <row r="1780" spans="1:44">
      <c r="A1780" s="4" t="s">
        <v>5</v>
      </c>
      <c r="C1780" s="4">
        <v>808</v>
      </c>
      <c r="D1780" s="5" t="s">
        <v>93</v>
      </c>
      <c r="E1780" s="6" t="s">
        <v>2854</v>
      </c>
      <c r="AP1780" s="4" t="s">
        <v>376</v>
      </c>
      <c r="AR1780" s="4" t="s">
        <v>377</v>
      </c>
    </row>
    <row r="1781" spans="1:44">
      <c r="A1781" s="4" t="s">
        <v>5</v>
      </c>
      <c r="C1781" s="4">
        <v>399</v>
      </c>
      <c r="D1781" s="5" t="s">
        <v>93</v>
      </c>
      <c r="E1781" s="6" t="s">
        <v>2855</v>
      </c>
      <c r="AP1781" s="4" t="s">
        <v>376</v>
      </c>
      <c r="AR1781" s="4" t="s">
        <v>377</v>
      </c>
    </row>
    <row r="1782" spans="1:44" ht="30">
      <c r="A1782" s="4" t="s">
        <v>5</v>
      </c>
      <c r="C1782" s="4">
        <v>5503</v>
      </c>
      <c r="D1782" s="5" t="s">
        <v>93</v>
      </c>
      <c r="E1782" s="6" t="s">
        <v>2856</v>
      </c>
      <c r="F1782" s="5" t="s">
        <v>2857</v>
      </c>
      <c r="Z1782" s="4" t="s">
        <v>443</v>
      </c>
      <c r="AA1782" s="4" t="s">
        <v>444</v>
      </c>
      <c r="AP1782" s="4" t="s">
        <v>376</v>
      </c>
      <c r="AR1782" s="4" t="s">
        <v>377</v>
      </c>
    </row>
    <row r="1783" spans="1:44">
      <c r="A1783" s="4" t="s">
        <v>5</v>
      </c>
      <c r="C1783" s="4">
        <v>2068</v>
      </c>
      <c r="D1783" s="5" t="s">
        <v>93</v>
      </c>
      <c r="E1783" s="6" t="s">
        <v>2858</v>
      </c>
      <c r="AP1783" s="4" t="s">
        <v>376</v>
      </c>
      <c r="AR1783" s="4" t="s">
        <v>377</v>
      </c>
    </row>
    <row r="1784" spans="1:44">
      <c r="A1784" s="4" t="s">
        <v>5</v>
      </c>
      <c r="C1784" s="4">
        <v>1630</v>
      </c>
      <c r="D1784" s="5" t="s">
        <v>93</v>
      </c>
      <c r="E1784" s="6" t="s">
        <v>2859</v>
      </c>
      <c r="F1784" s="5" t="s">
        <v>2860</v>
      </c>
      <c r="AP1784" s="4" t="s">
        <v>376</v>
      </c>
      <c r="AR1784" s="4" t="s">
        <v>377</v>
      </c>
    </row>
    <row r="1785" spans="1:44">
      <c r="A1785" s="4" t="s">
        <v>5</v>
      </c>
      <c r="C1785" s="4">
        <v>1245</v>
      </c>
      <c r="D1785" s="5" t="s">
        <v>93</v>
      </c>
      <c r="E1785" s="6" t="s">
        <v>2861</v>
      </c>
      <c r="F1785" s="5" t="s">
        <v>2862</v>
      </c>
      <c r="Z1785" s="4" t="s">
        <v>695</v>
      </c>
      <c r="AA1785" s="4" t="s">
        <v>696</v>
      </c>
      <c r="AP1785" s="4" t="s">
        <v>376</v>
      </c>
      <c r="AR1785" s="4" t="s">
        <v>377</v>
      </c>
    </row>
    <row r="1786" spans="1:44">
      <c r="A1786" s="4" t="s">
        <v>5</v>
      </c>
      <c r="C1786" s="4">
        <v>6061</v>
      </c>
      <c r="D1786" s="5" t="s">
        <v>93</v>
      </c>
      <c r="E1786" s="6" t="s">
        <v>2863</v>
      </c>
      <c r="AP1786" s="4" t="s">
        <v>376</v>
      </c>
      <c r="AR1786" s="4" t="s">
        <v>377</v>
      </c>
    </row>
    <row r="1787" spans="1:44">
      <c r="A1787" s="4" t="s">
        <v>5</v>
      </c>
      <c r="C1787" s="4">
        <v>2448</v>
      </c>
      <c r="D1787" s="5" t="s">
        <v>93</v>
      </c>
      <c r="E1787" s="6" t="s">
        <v>2864</v>
      </c>
      <c r="AP1787" s="4" t="s">
        <v>376</v>
      </c>
      <c r="AR1787" s="4" t="s">
        <v>377</v>
      </c>
    </row>
    <row r="1788" spans="1:44">
      <c r="A1788" s="4" t="s">
        <v>5</v>
      </c>
      <c r="C1788" s="4">
        <v>3755</v>
      </c>
      <c r="D1788" s="5" t="s">
        <v>93</v>
      </c>
      <c r="E1788" s="6" t="s">
        <v>2865</v>
      </c>
      <c r="Z1788" s="4" t="s">
        <v>512</v>
      </c>
      <c r="AA1788" s="4" t="s">
        <v>513</v>
      </c>
      <c r="AP1788" s="4" t="s">
        <v>376</v>
      </c>
      <c r="AR1788" s="4" t="s">
        <v>377</v>
      </c>
    </row>
    <row r="1789" spans="1:44">
      <c r="A1789" s="4" t="s">
        <v>5</v>
      </c>
      <c r="C1789" s="4">
        <v>115</v>
      </c>
      <c r="D1789" s="5" t="s">
        <v>93</v>
      </c>
      <c r="E1789" s="6" t="s">
        <v>2866</v>
      </c>
      <c r="F1789" s="5" t="s">
        <v>2867</v>
      </c>
      <c r="AP1789" s="4" t="s">
        <v>376</v>
      </c>
      <c r="AR1789" s="4" t="s">
        <v>377</v>
      </c>
    </row>
    <row r="1790" spans="1:44">
      <c r="A1790" s="4" t="s">
        <v>5</v>
      </c>
      <c r="C1790" s="4">
        <v>6770</v>
      </c>
      <c r="D1790" s="5" t="s">
        <v>93</v>
      </c>
      <c r="E1790" s="6" t="s">
        <v>2868</v>
      </c>
      <c r="AP1790" s="4" t="s">
        <v>376</v>
      </c>
      <c r="AR1790" s="4" t="s">
        <v>377</v>
      </c>
    </row>
    <row r="1791" spans="1:44" ht="30">
      <c r="A1791" s="4" t="s">
        <v>5</v>
      </c>
      <c r="C1791" s="4">
        <v>2493</v>
      </c>
      <c r="D1791" s="5" t="s">
        <v>93</v>
      </c>
      <c r="E1791" s="6" t="s">
        <v>2869</v>
      </c>
      <c r="F1791" s="5" t="s">
        <v>2870</v>
      </c>
      <c r="AP1791" s="4" t="s">
        <v>376</v>
      </c>
      <c r="AR1791" s="4" t="s">
        <v>377</v>
      </c>
    </row>
    <row r="1792" spans="1:44">
      <c r="A1792" s="4" t="s">
        <v>5</v>
      </c>
      <c r="C1792" s="4">
        <v>3852</v>
      </c>
      <c r="D1792" s="5" t="s">
        <v>93</v>
      </c>
      <c r="E1792" s="6" t="s">
        <v>2871</v>
      </c>
      <c r="F1792" s="5" t="s">
        <v>2872</v>
      </c>
      <c r="Z1792" s="4" t="s">
        <v>447</v>
      </c>
      <c r="AA1792" s="4" t="s">
        <v>448</v>
      </c>
      <c r="AP1792" s="4" t="s">
        <v>376</v>
      </c>
      <c r="AR1792" s="4" t="s">
        <v>377</v>
      </c>
    </row>
    <row r="1793" spans="1:44">
      <c r="A1793" s="4" t="s">
        <v>5</v>
      </c>
      <c r="C1793" s="4">
        <v>1657</v>
      </c>
      <c r="D1793" s="5" t="s">
        <v>93</v>
      </c>
      <c r="E1793" s="6" t="s">
        <v>2873</v>
      </c>
      <c r="F1793" s="5" t="s">
        <v>2874</v>
      </c>
      <c r="Z1793" s="4" t="s">
        <v>443</v>
      </c>
      <c r="AA1793" s="4" t="s">
        <v>444</v>
      </c>
      <c r="AP1793" s="4" t="s">
        <v>376</v>
      </c>
      <c r="AR1793" s="4" t="s">
        <v>377</v>
      </c>
    </row>
    <row r="1794" spans="1:44">
      <c r="A1794" s="4" t="s">
        <v>5</v>
      </c>
      <c r="C1794" s="4">
        <v>4150</v>
      </c>
      <c r="D1794" s="5" t="s">
        <v>93</v>
      </c>
      <c r="E1794" s="6" t="s">
        <v>2875</v>
      </c>
      <c r="AP1794" s="4" t="s">
        <v>376</v>
      </c>
      <c r="AR1794" s="4" t="s">
        <v>377</v>
      </c>
    </row>
    <row r="1795" spans="1:44">
      <c r="A1795" s="4" t="s">
        <v>5</v>
      </c>
      <c r="C1795" s="4">
        <v>6894</v>
      </c>
      <c r="D1795" s="5" t="s">
        <v>93</v>
      </c>
      <c r="E1795" s="6" t="s">
        <v>2876</v>
      </c>
      <c r="AP1795" s="4" t="s">
        <v>376</v>
      </c>
      <c r="AR1795" s="4" t="s">
        <v>377</v>
      </c>
    </row>
    <row r="1796" spans="1:44">
      <c r="A1796" s="4" t="s">
        <v>5</v>
      </c>
      <c r="C1796" s="4">
        <v>2533</v>
      </c>
      <c r="D1796" s="5" t="s">
        <v>93</v>
      </c>
      <c r="E1796" s="6" t="s">
        <v>2877</v>
      </c>
      <c r="AP1796" s="4" t="s">
        <v>376</v>
      </c>
      <c r="AR1796" s="4" t="s">
        <v>377</v>
      </c>
    </row>
    <row r="1797" spans="1:44" ht="30">
      <c r="A1797" s="4" t="s">
        <v>5</v>
      </c>
      <c r="C1797" s="4">
        <v>1343</v>
      </c>
      <c r="D1797" s="5" t="s">
        <v>93</v>
      </c>
      <c r="E1797" s="6" t="s">
        <v>2878</v>
      </c>
      <c r="AP1797" s="4" t="s">
        <v>376</v>
      </c>
      <c r="AR1797" s="4" t="s">
        <v>377</v>
      </c>
    </row>
    <row r="1798" spans="1:44">
      <c r="A1798" s="4" t="s">
        <v>5</v>
      </c>
      <c r="C1798" s="4">
        <v>5079</v>
      </c>
      <c r="D1798" s="5" t="s">
        <v>93</v>
      </c>
      <c r="E1798" s="6" t="s">
        <v>2879</v>
      </c>
      <c r="AP1798" s="4" t="s">
        <v>376</v>
      </c>
      <c r="AR1798" s="4" t="s">
        <v>377</v>
      </c>
    </row>
    <row r="1799" spans="1:44">
      <c r="A1799" s="4" t="s">
        <v>5</v>
      </c>
      <c r="C1799" s="4">
        <v>4372</v>
      </c>
      <c r="D1799" s="5" t="s">
        <v>93</v>
      </c>
      <c r="E1799" s="6" t="s">
        <v>2880</v>
      </c>
      <c r="AP1799" s="4" t="s">
        <v>376</v>
      </c>
      <c r="AR1799" s="4" t="s">
        <v>377</v>
      </c>
    </row>
    <row r="1800" spans="1:44" ht="30">
      <c r="A1800" s="4" t="s">
        <v>5</v>
      </c>
      <c r="C1800" s="4">
        <v>3406</v>
      </c>
      <c r="D1800" s="5" t="s">
        <v>93</v>
      </c>
      <c r="E1800" s="6" t="s">
        <v>2881</v>
      </c>
      <c r="AP1800" s="4" t="s">
        <v>376</v>
      </c>
      <c r="AR1800" s="4" t="s">
        <v>377</v>
      </c>
    </row>
    <row r="1801" spans="1:44">
      <c r="A1801" s="4" t="s">
        <v>5</v>
      </c>
      <c r="C1801" s="4">
        <v>6006</v>
      </c>
      <c r="D1801" s="5" t="s">
        <v>93</v>
      </c>
      <c r="E1801" s="6" t="s">
        <v>2882</v>
      </c>
      <c r="AP1801" s="4" t="s">
        <v>376</v>
      </c>
      <c r="AR1801" s="4" t="s">
        <v>377</v>
      </c>
    </row>
    <row r="1802" spans="1:44">
      <c r="A1802" s="4" t="s">
        <v>5</v>
      </c>
      <c r="C1802" s="4">
        <v>6098</v>
      </c>
      <c r="D1802" s="5" t="s">
        <v>93</v>
      </c>
      <c r="E1802" s="6" t="s">
        <v>2883</v>
      </c>
      <c r="AP1802" s="4" t="s">
        <v>376</v>
      </c>
      <c r="AR1802" s="4" t="s">
        <v>377</v>
      </c>
    </row>
    <row r="1803" spans="1:44">
      <c r="A1803" s="4" t="s">
        <v>5</v>
      </c>
      <c r="C1803" s="4">
        <v>5885</v>
      </c>
      <c r="D1803" s="5" t="s">
        <v>93</v>
      </c>
      <c r="E1803" s="6" t="s">
        <v>2884</v>
      </c>
      <c r="AP1803" s="4" t="s">
        <v>376</v>
      </c>
      <c r="AR1803" s="4" t="s">
        <v>377</v>
      </c>
    </row>
    <row r="1804" spans="1:44" ht="30">
      <c r="A1804" s="4" t="s">
        <v>5</v>
      </c>
      <c r="C1804" s="4">
        <v>3319</v>
      </c>
      <c r="D1804" s="5" t="s">
        <v>93</v>
      </c>
      <c r="E1804" s="6" t="s">
        <v>2885</v>
      </c>
      <c r="AP1804" s="4" t="s">
        <v>376</v>
      </c>
      <c r="AR1804" s="4" t="s">
        <v>377</v>
      </c>
    </row>
    <row r="1805" spans="1:44">
      <c r="A1805" s="4" t="s">
        <v>5</v>
      </c>
      <c r="C1805" s="4">
        <v>2220</v>
      </c>
      <c r="D1805" s="5" t="s">
        <v>93</v>
      </c>
      <c r="E1805" s="6" t="s">
        <v>2886</v>
      </c>
      <c r="F1805" s="5" t="s">
        <v>2887</v>
      </c>
      <c r="AP1805" s="4" t="s">
        <v>376</v>
      </c>
      <c r="AR1805" s="4" t="s">
        <v>377</v>
      </c>
    </row>
    <row r="1806" spans="1:44">
      <c r="A1806" s="4" t="s">
        <v>5</v>
      </c>
      <c r="C1806" s="4">
        <v>3719</v>
      </c>
      <c r="D1806" s="5" t="s">
        <v>93</v>
      </c>
      <c r="E1806" s="6" t="s">
        <v>2888</v>
      </c>
      <c r="AP1806" s="4" t="s">
        <v>376</v>
      </c>
      <c r="AR1806" s="4" t="s">
        <v>377</v>
      </c>
    </row>
    <row r="1807" spans="1:44">
      <c r="A1807" s="4" t="s">
        <v>5</v>
      </c>
      <c r="C1807" s="4">
        <v>4070</v>
      </c>
      <c r="D1807" s="5" t="s">
        <v>93</v>
      </c>
      <c r="E1807" s="6" t="s">
        <v>2889</v>
      </c>
      <c r="AP1807" s="4" t="s">
        <v>376</v>
      </c>
      <c r="AR1807" s="4" t="s">
        <v>377</v>
      </c>
    </row>
    <row r="1808" spans="1:44">
      <c r="A1808" s="4" t="s">
        <v>5</v>
      </c>
      <c r="C1808" s="4">
        <v>4857</v>
      </c>
      <c r="D1808" s="5" t="s">
        <v>93</v>
      </c>
      <c r="E1808" s="6" t="s">
        <v>2890</v>
      </c>
      <c r="AP1808" s="4" t="s">
        <v>376</v>
      </c>
      <c r="AR1808" s="4" t="s">
        <v>377</v>
      </c>
    </row>
    <row r="1809" spans="1:44">
      <c r="A1809" s="4" t="s">
        <v>5</v>
      </c>
      <c r="C1809" s="4">
        <v>6959</v>
      </c>
      <c r="D1809" s="5" t="s">
        <v>93</v>
      </c>
      <c r="E1809" s="6" t="s">
        <v>2891</v>
      </c>
      <c r="AP1809" s="4" t="s">
        <v>376</v>
      </c>
      <c r="AR1809" s="4" t="s">
        <v>377</v>
      </c>
    </row>
    <row r="1810" spans="1:44" ht="30">
      <c r="A1810" s="4" t="s">
        <v>5</v>
      </c>
      <c r="C1810" s="4">
        <v>5937</v>
      </c>
      <c r="D1810" s="5" t="s">
        <v>93</v>
      </c>
      <c r="E1810" s="6" t="s">
        <v>2892</v>
      </c>
      <c r="Z1810" s="4" t="s">
        <v>447</v>
      </c>
      <c r="AA1810" s="4" t="s">
        <v>448</v>
      </c>
      <c r="AP1810" s="4" t="s">
        <v>376</v>
      </c>
      <c r="AR1810" s="4" t="s">
        <v>377</v>
      </c>
    </row>
    <row r="1811" spans="1:44" ht="30">
      <c r="A1811" s="4" t="s">
        <v>5</v>
      </c>
      <c r="C1811" s="4">
        <v>3975</v>
      </c>
      <c r="D1811" s="5" t="s">
        <v>93</v>
      </c>
      <c r="E1811" s="6" t="s">
        <v>2893</v>
      </c>
      <c r="AP1811" s="4" t="s">
        <v>376</v>
      </c>
      <c r="AR1811" s="4" t="s">
        <v>377</v>
      </c>
    </row>
    <row r="1812" spans="1:44">
      <c r="A1812" s="4" t="s">
        <v>5</v>
      </c>
      <c r="C1812" s="4">
        <v>2073</v>
      </c>
      <c r="D1812" s="5" t="s">
        <v>93</v>
      </c>
      <c r="E1812" s="6" t="s">
        <v>2894</v>
      </c>
      <c r="AP1812" s="4" t="s">
        <v>376</v>
      </c>
      <c r="AR1812" s="4" t="s">
        <v>377</v>
      </c>
    </row>
    <row r="1813" spans="1:44" ht="30">
      <c r="A1813" s="4" t="s">
        <v>5</v>
      </c>
      <c r="C1813" s="4">
        <v>3486</v>
      </c>
      <c r="D1813" s="5" t="s">
        <v>93</v>
      </c>
      <c r="E1813" s="6" t="s">
        <v>2895</v>
      </c>
      <c r="F1813" s="5" t="s">
        <v>2896</v>
      </c>
      <c r="Z1813" s="4" t="s">
        <v>447</v>
      </c>
      <c r="AA1813" s="4" t="s">
        <v>448</v>
      </c>
      <c r="AP1813" s="4" t="s">
        <v>376</v>
      </c>
      <c r="AR1813" s="4" t="s">
        <v>377</v>
      </c>
    </row>
    <row r="1814" spans="1:44">
      <c r="A1814" s="4" t="s">
        <v>5</v>
      </c>
      <c r="C1814" s="4">
        <v>2679</v>
      </c>
      <c r="D1814" s="5" t="s">
        <v>93</v>
      </c>
      <c r="E1814" s="6" t="s">
        <v>2897</v>
      </c>
      <c r="F1814" s="5" t="s">
        <v>2898</v>
      </c>
      <c r="AP1814" s="4" t="s">
        <v>376</v>
      </c>
      <c r="AR1814" s="4" t="s">
        <v>377</v>
      </c>
    </row>
    <row r="1815" spans="1:44">
      <c r="A1815" s="4" t="s">
        <v>5</v>
      </c>
      <c r="C1815" s="4">
        <v>6018</v>
      </c>
      <c r="D1815" s="5" t="s">
        <v>93</v>
      </c>
      <c r="E1815" s="6" t="s">
        <v>2899</v>
      </c>
      <c r="Z1815" s="4" t="s">
        <v>443</v>
      </c>
      <c r="AA1815" s="4" t="s">
        <v>444</v>
      </c>
      <c r="AP1815" s="4" t="s">
        <v>376</v>
      </c>
      <c r="AR1815" s="4" t="s">
        <v>377</v>
      </c>
    </row>
    <row r="1816" spans="1:44" ht="30">
      <c r="A1816" s="4" t="s">
        <v>5</v>
      </c>
      <c r="C1816" s="4">
        <v>6175</v>
      </c>
      <c r="D1816" s="5" t="s">
        <v>93</v>
      </c>
      <c r="E1816" s="6" t="s">
        <v>2900</v>
      </c>
      <c r="AP1816" s="4" t="s">
        <v>376</v>
      </c>
      <c r="AR1816" s="4" t="s">
        <v>377</v>
      </c>
    </row>
    <row r="1817" spans="1:44">
      <c r="A1817" s="4" t="s">
        <v>5</v>
      </c>
      <c r="C1817" s="4">
        <v>883</v>
      </c>
      <c r="D1817" s="5" t="s">
        <v>93</v>
      </c>
      <c r="E1817" s="6" t="s">
        <v>2901</v>
      </c>
      <c r="F1817" s="5" t="s">
        <v>2902</v>
      </c>
      <c r="AP1817" s="4" t="s">
        <v>376</v>
      </c>
      <c r="AR1817" s="4" t="s">
        <v>377</v>
      </c>
    </row>
    <row r="1818" spans="1:44" ht="30">
      <c r="A1818" s="4" t="s">
        <v>5</v>
      </c>
      <c r="C1818" s="4">
        <v>776</v>
      </c>
      <c r="D1818" s="5" t="s">
        <v>93</v>
      </c>
      <c r="E1818" s="6" t="s">
        <v>2903</v>
      </c>
      <c r="AP1818" s="4" t="s">
        <v>376</v>
      </c>
      <c r="AR1818" s="4" t="s">
        <v>377</v>
      </c>
    </row>
    <row r="1819" spans="1:44">
      <c r="A1819" s="4" t="s">
        <v>5</v>
      </c>
      <c r="C1819" s="4">
        <v>1710</v>
      </c>
      <c r="D1819" s="5" t="s">
        <v>93</v>
      </c>
      <c r="E1819" s="6" t="s">
        <v>2904</v>
      </c>
      <c r="AP1819" s="4" t="s">
        <v>376</v>
      </c>
      <c r="AR1819" s="4" t="s">
        <v>377</v>
      </c>
    </row>
    <row r="1820" spans="1:44" ht="30">
      <c r="A1820" s="4" t="s">
        <v>5</v>
      </c>
      <c r="C1820" s="4">
        <v>4408</v>
      </c>
      <c r="D1820" s="5" t="s">
        <v>93</v>
      </c>
      <c r="E1820" s="6" t="s">
        <v>2905</v>
      </c>
      <c r="AP1820" s="4" t="s">
        <v>376</v>
      </c>
      <c r="AR1820" s="4" t="s">
        <v>377</v>
      </c>
    </row>
    <row r="1821" spans="1:44">
      <c r="A1821" s="4" t="s">
        <v>5</v>
      </c>
      <c r="C1821" s="4">
        <v>4762</v>
      </c>
      <c r="D1821" s="5" t="s">
        <v>93</v>
      </c>
      <c r="E1821" s="6" t="s">
        <v>2906</v>
      </c>
      <c r="AP1821" s="4" t="s">
        <v>376</v>
      </c>
      <c r="AR1821" s="4" t="s">
        <v>377</v>
      </c>
    </row>
    <row r="1822" spans="1:44">
      <c r="A1822" s="4" t="s">
        <v>5</v>
      </c>
      <c r="C1822" s="4">
        <v>1101</v>
      </c>
      <c r="D1822" s="5" t="s">
        <v>93</v>
      </c>
      <c r="E1822" s="6" t="s">
        <v>2907</v>
      </c>
      <c r="AP1822" s="4" t="s">
        <v>376</v>
      </c>
      <c r="AR1822" s="4" t="s">
        <v>377</v>
      </c>
    </row>
    <row r="1823" spans="1:44" ht="30">
      <c r="A1823" s="4" t="s">
        <v>5</v>
      </c>
      <c r="C1823" s="4">
        <v>5289</v>
      </c>
      <c r="D1823" s="5" t="s">
        <v>93</v>
      </c>
      <c r="E1823" s="6" t="s">
        <v>2908</v>
      </c>
      <c r="AP1823" s="4" t="s">
        <v>376</v>
      </c>
      <c r="AR1823" s="4" t="s">
        <v>377</v>
      </c>
    </row>
    <row r="1824" spans="1:44">
      <c r="A1824" s="4" t="s">
        <v>5</v>
      </c>
      <c r="C1824" s="4">
        <v>984</v>
      </c>
      <c r="D1824" s="5" t="s">
        <v>93</v>
      </c>
      <c r="E1824" s="6" t="s">
        <v>2909</v>
      </c>
      <c r="F1824" s="5" t="s">
        <v>2910</v>
      </c>
      <c r="AP1824" s="4" t="s">
        <v>376</v>
      </c>
      <c r="AR1824" s="4" t="s">
        <v>377</v>
      </c>
    </row>
    <row r="1825" spans="1:44" ht="30">
      <c r="A1825" s="4" t="s">
        <v>5</v>
      </c>
      <c r="C1825" s="4">
        <v>6978</v>
      </c>
      <c r="D1825" s="5" t="s">
        <v>93</v>
      </c>
      <c r="E1825" s="6" t="s">
        <v>2911</v>
      </c>
      <c r="AP1825" s="4" t="s">
        <v>376</v>
      </c>
      <c r="AR1825" s="4" t="s">
        <v>377</v>
      </c>
    </row>
    <row r="1826" spans="1:44">
      <c r="A1826" s="4" t="s">
        <v>5</v>
      </c>
      <c r="C1826" s="4">
        <v>5644</v>
      </c>
      <c r="D1826" s="5" t="s">
        <v>93</v>
      </c>
      <c r="E1826" s="6" t="s">
        <v>2912</v>
      </c>
      <c r="Z1826" s="4" t="s">
        <v>695</v>
      </c>
      <c r="AA1826" s="4" t="s">
        <v>696</v>
      </c>
      <c r="AP1826" s="4" t="s">
        <v>376</v>
      </c>
      <c r="AR1826" s="4" t="s">
        <v>377</v>
      </c>
    </row>
    <row r="1827" spans="1:44">
      <c r="A1827" s="4" t="s">
        <v>5</v>
      </c>
      <c r="C1827" s="4">
        <v>4658</v>
      </c>
      <c r="D1827" s="5" t="s">
        <v>93</v>
      </c>
      <c r="E1827" s="6" t="s">
        <v>2913</v>
      </c>
      <c r="AP1827" s="4" t="s">
        <v>376</v>
      </c>
      <c r="AR1827" s="4" t="s">
        <v>377</v>
      </c>
    </row>
    <row r="1828" spans="1:44" ht="30">
      <c r="A1828" s="4" t="s">
        <v>5</v>
      </c>
      <c r="C1828" s="4">
        <v>3409</v>
      </c>
      <c r="D1828" s="5" t="s">
        <v>93</v>
      </c>
      <c r="E1828" s="6" t="s">
        <v>2914</v>
      </c>
      <c r="AP1828" s="4" t="s">
        <v>376</v>
      </c>
      <c r="AR1828" s="4" t="s">
        <v>377</v>
      </c>
    </row>
    <row r="1829" spans="1:44" ht="30">
      <c r="A1829" s="4" t="s">
        <v>5</v>
      </c>
      <c r="C1829" s="4">
        <v>6240</v>
      </c>
      <c r="D1829" s="5" t="s">
        <v>93</v>
      </c>
      <c r="E1829" s="6" t="s">
        <v>2915</v>
      </c>
      <c r="AP1829" s="4" t="s">
        <v>376</v>
      </c>
      <c r="AR1829" s="4" t="s">
        <v>377</v>
      </c>
    </row>
    <row r="1830" spans="1:44" ht="30">
      <c r="A1830" s="4" t="s">
        <v>5</v>
      </c>
      <c r="C1830" s="4">
        <v>1504</v>
      </c>
      <c r="D1830" s="5" t="s">
        <v>93</v>
      </c>
      <c r="E1830" s="6" t="s">
        <v>2916</v>
      </c>
      <c r="AP1830" s="4" t="s">
        <v>376</v>
      </c>
      <c r="AR1830" s="4" t="s">
        <v>377</v>
      </c>
    </row>
    <row r="1831" spans="1:44">
      <c r="A1831" s="4" t="s">
        <v>5</v>
      </c>
      <c r="C1831" s="4">
        <v>2567</v>
      </c>
      <c r="D1831" s="5" t="s">
        <v>93</v>
      </c>
      <c r="E1831" s="6" t="s">
        <v>2917</v>
      </c>
      <c r="AP1831" s="4" t="s">
        <v>376</v>
      </c>
      <c r="AR1831" s="4" t="s">
        <v>377</v>
      </c>
    </row>
    <row r="1832" spans="1:44" ht="30">
      <c r="A1832" s="4" t="s">
        <v>5</v>
      </c>
      <c r="C1832" s="4">
        <v>1220</v>
      </c>
      <c r="D1832" s="5" t="s">
        <v>93</v>
      </c>
      <c r="E1832" s="6" t="s">
        <v>2918</v>
      </c>
      <c r="AP1832" s="4" t="s">
        <v>376</v>
      </c>
      <c r="AR1832" s="4" t="s">
        <v>377</v>
      </c>
    </row>
    <row r="1833" spans="1:44">
      <c r="A1833" s="4" t="s">
        <v>5</v>
      </c>
      <c r="C1833" s="4">
        <v>4809</v>
      </c>
      <c r="D1833" s="5" t="s">
        <v>93</v>
      </c>
      <c r="E1833" s="6" t="s">
        <v>2919</v>
      </c>
      <c r="F1833" s="5" t="s">
        <v>2920</v>
      </c>
      <c r="AP1833" s="4" t="s">
        <v>376</v>
      </c>
      <c r="AR1833" s="4" t="s">
        <v>377</v>
      </c>
    </row>
    <row r="1834" spans="1:44">
      <c r="A1834" s="4" t="s">
        <v>5</v>
      </c>
      <c r="C1834" s="4">
        <v>5817</v>
      </c>
      <c r="D1834" s="5" t="s">
        <v>93</v>
      </c>
      <c r="E1834" s="6" t="s">
        <v>2921</v>
      </c>
      <c r="AP1834" s="4" t="s">
        <v>376</v>
      </c>
      <c r="AR1834" s="4" t="s">
        <v>377</v>
      </c>
    </row>
    <row r="1835" spans="1:44">
      <c r="A1835" s="4" t="s">
        <v>5</v>
      </c>
      <c r="C1835" s="4">
        <v>2837</v>
      </c>
      <c r="D1835" s="5" t="s">
        <v>93</v>
      </c>
      <c r="E1835" s="6" t="s">
        <v>2922</v>
      </c>
      <c r="F1835" s="5" t="s">
        <v>2923</v>
      </c>
      <c r="Z1835" s="4" t="s">
        <v>447</v>
      </c>
      <c r="AA1835" s="4" t="s">
        <v>448</v>
      </c>
      <c r="AP1835" s="4" t="s">
        <v>376</v>
      </c>
      <c r="AR1835" s="4" t="s">
        <v>377</v>
      </c>
    </row>
    <row r="1836" spans="1:44">
      <c r="A1836" s="4" t="s">
        <v>5</v>
      </c>
      <c r="C1836" s="4">
        <v>2098</v>
      </c>
      <c r="D1836" s="5" t="s">
        <v>93</v>
      </c>
      <c r="E1836" s="6" t="s">
        <v>2924</v>
      </c>
      <c r="AP1836" s="4" t="s">
        <v>376</v>
      </c>
      <c r="AR1836" s="4" t="s">
        <v>377</v>
      </c>
    </row>
    <row r="1837" spans="1:44" ht="30">
      <c r="A1837" s="4" t="s">
        <v>5</v>
      </c>
      <c r="C1837" s="4">
        <v>1032</v>
      </c>
      <c r="D1837" s="5" t="s">
        <v>93</v>
      </c>
      <c r="E1837" s="6" t="s">
        <v>2925</v>
      </c>
      <c r="F1837" s="5" t="s">
        <v>2926</v>
      </c>
      <c r="AP1837" s="4" t="s">
        <v>376</v>
      </c>
      <c r="AR1837" s="4" t="s">
        <v>377</v>
      </c>
    </row>
    <row r="1838" spans="1:44">
      <c r="A1838" s="4" t="s">
        <v>5</v>
      </c>
      <c r="C1838" s="4">
        <v>6595</v>
      </c>
      <c r="D1838" s="5" t="s">
        <v>93</v>
      </c>
      <c r="E1838" s="6" t="s">
        <v>2927</v>
      </c>
      <c r="AP1838" s="4" t="s">
        <v>376</v>
      </c>
      <c r="AR1838" s="4" t="s">
        <v>377</v>
      </c>
    </row>
    <row r="1839" spans="1:44">
      <c r="A1839" s="4" t="s">
        <v>5</v>
      </c>
      <c r="C1839" s="4">
        <v>4240</v>
      </c>
      <c r="D1839" s="5" t="s">
        <v>93</v>
      </c>
      <c r="E1839" s="6" t="s">
        <v>2928</v>
      </c>
      <c r="AP1839" s="4" t="s">
        <v>376</v>
      </c>
      <c r="AR1839" s="4" t="s">
        <v>377</v>
      </c>
    </row>
    <row r="1840" spans="1:44">
      <c r="A1840" s="4" t="s">
        <v>5</v>
      </c>
      <c r="C1840" s="4">
        <v>1070</v>
      </c>
      <c r="D1840" s="5" t="s">
        <v>93</v>
      </c>
      <c r="E1840" s="6" t="s">
        <v>2929</v>
      </c>
      <c r="F1840" s="5" t="s">
        <v>2930</v>
      </c>
      <c r="Z1840" s="4" t="s">
        <v>447</v>
      </c>
      <c r="AA1840" s="4" t="s">
        <v>448</v>
      </c>
      <c r="AP1840" s="4" t="s">
        <v>376</v>
      </c>
      <c r="AR1840" s="4" t="s">
        <v>377</v>
      </c>
    </row>
    <row r="1841" spans="1:44">
      <c r="A1841" s="4" t="s">
        <v>5</v>
      </c>
      <c r="C1841" s="4">
        <v>2750</v>
      </c>
      <c r="D1841" s="5" t="s">
        <v>93</v>
      </c>
      <c r="E1841" s="6" t="s">
        <v>2931</v>
      </c>
      <c r="AP1841" s="4" t="s">
        <v>376</v>
      </c>
      <c r="AR1841" s="4" t="s">
        <v>377</v>
      </c>
    </row>
    <row r="1842" spans="1:44">
      <c r="A1842" s="4" t="s">
        <v>5</v>
      </c>
      <c r="C1842" s="4">
        <v>5245</v>
      </c>
      <c r="D1842" s="5" t="s">
        <v>93</v>
      </c>
      <c r="E1842" s="6" t="s">
        <v>2932</v>
      </c>
      <c r="AP1842" s="4" t="s">
        <v>376</v>
      </c>
      <c r="AR1842" s="4" t="s">
        <v>377</v>
      </c>
    </row>
    <row r="1843" spans="1:44" ht="30">
      <c r="A1843" s="4" t="s">
        <v>5</v>
      </c>
      <c r="C1843" s="4">
        <v>1553</v>
      </c>
      <c r="D1843" s="5" t="s">
        <v>93</v>
      </c>
      <c r="E1843" s="6" t="s">
        <v>2933</v>
      </c>
      <c r="Z1843" s="4" t="s">
        <v>447</v>
      </c>
      <c r="AA1843" s="4" t="s">
        <v>448</v>
      </c>
      <c r="AP1843" s="4" t="s">
        <v>376</v>
      </c>
      <c r="AR1843" s="4" t="s">
        <v>377</v>
      </c>
    </row>
    <row r="1844" spans="1:44">
      <c r="A1844" s="4" t="s">
        <v>5</v>
      </c>
      <c r="C1844" s="4">
        <v>4413</v>
      </c>
      <c r="D1844" s="5" t="s">
        <v>93</v>
      </c>
      <c r="E1844" s="6" t="s">
        <v>2934</v>
      </c>
      <c r="AP1844" s="4" t="s">
        <v>376</v>
      </c>
      <c r="AR1844" s="4" t="s">
        <v>377</v>
      </c>
    </row>
    <row r="1845" spans="1:44">
      <c r="A1845" s="4" t="s">
        <v>5</v>
      </c>
      <c r="C1845" s="4">
        <v>4393</v>
      </c>
      <c r="D1845" s="5" t="s">
        <v>93</v>
      </c>
      <c r="E1845" s="6" t="s">
        <v>2935</v>
      </c>
      <c r="F1845" s="5" t="s">
        <v>2936</v>
      </c>
      <c r="AP1845" s="4" t="s">
        <v>376</v>
      </c>
      <c r="AR1845" s="4" t="s">
        <v>377</v>
      </c>
    </row>
    <row r="1846" spans="1:44">
      <c r="A1846" s="4" t="s">
        <v>5</v>
      </c>
      <c r="C1846" s="4">
        <v>6381</v>
      </c>
      <c r="D1846" s="5" t="s">
        <v>93</v>
      </c>
      <c r="E1846" s="6" t="s">
        <v>2937</v>
      </c>
      <c r="AP1846" s="4" t="s">
        <v>376</v>
      </c>
      <c r="AR1846" s="4" t="s">
        <v>377</v>
      </c>
    </row>
    <row r="1847" spans="1:44">
      <c r="A1847" s="4" t="s">
        <v>5</v>
      </c>
      <c r="C1847" s="4">
        <v>5549</v>
      </c>
      <c r="D1847" s="5" t="s">
        <v>93</v>
      </c>
      <c r="E1847" s="6" t="s">
        <v>2938</v>
      </c>
      <c r="AP1847" s="4" t="s">
        <v>376</v>
      </c>
      <c r="AR1847" s="4" t="s">
        <v>377</v>
      </c>
    </row>
    <row r="1848" spans="1:44">
      <c r="A1848" s="4" t="s">
        <v>5</v>
      </c>
      <c r="C1848" s="4">
        <v>6677</v>
      </c>
      <c r="D1848" s="5" t="s">
        <v>93</v>
      </c>
      <c r="E1848" s="6" t="s">
        <v>2939</v>
      </c>
      <c r="AP1848" s="4" t="s">
        <v>376</v>
      </c>
      <c r="AR1848" s="4" t="s">
        <v>377</v>
      </c>
    </row>
    <row r="1849" spans="1:44">
      <c r="A1849" s="4" t="s">
        <v>5</v>
      </c>
      <c r="C1849" s="4">
        <v>185</v>
      </c>
      <c r="D1849" s="5" t="s">
        <v>93</v>
      </c>
      <c r="E1849" s="6" t="s">
        <v>2940</v>
      </c>
      <c r="AP1849" s="4" t="s">
        <v>376</v>
      </c>
      <c r="AR1849" s="4" t="s">
        <v>377</v>
      </c>
    </row>
    <row r="1850" spans="1:44">
      <c r="A1850" s="4" t="s">
        <v>5</v>
      </c>
      <c r="C1850" s="4">
        <v>127</v>
      </c>
      <c r="D1850" s="5" t="s">
        <v>93</v>
      </c>
      <c r="E1850" s="6" t="s">
        <v>2941</v>
      </c>
      <c r="F1850" s="5" t="s">
        <v>2942</v>
      </c>
      <c r="AP1850" s="4" t="s">
        <v>376</v>
      </c>
      <c r="AR1850" s="4" t="s">
        <v>377</v>
      </c>
    </row>
    <row r="1851" spans="1:44">
      <c r="A1851" s="4" t="s">
        <v>5</v>
      </c>
      <c r="C1851" s="4">
        <v>1561</v>
      </c>
      <c r="D1851" s="5" t="s">
        <v>93</v>
      </c>
      <c r="E1851" s="6" t="s">
        <v>2943</v>
      </c>
      <c r="F1851" s="5" t="s">
        <v>2944</v>
      </c>
      <c r="Z1851" s="4" t="s">
        <v>695</v>
      </c>
      <c r="AA1851" s="4" t="s">
        <v>696</v>
      </c>
      <c r="AP1851" s="4" t="s">
        <v>376</v>
      </c>
      <c r="AR1851" s="4" t="s">
        <v>377</v>
      </c>
    </row>
    <row r="1852" spans="1:44">
      <c r="A1852" s="4" t="s">
        <v>5</v>
      </c>
      <c r="C1852" s="4">
        <v>687</v>
      </c>
      <c r="D1852" s="5" t="s">
        <v>93</v>
      </c>
      <c r="E1852" s="6" t="s">
        <v>2945</v>
      </c>
      <c r="F1852" s="5" t="s">
        <v>2946</v>
      </c>
      <c r="AP1852" s="4" t="s">
        <v>376</v>
      </c>
      <c r="AR1852" s="4" t="s">
        <v>377</v>
      </c>
    </row>
    <row r="1853" spans="1:44">
      <c r="A1853" s="4" t="s">
        <v>5</v>
      </c>
      <c r="C1853" s="4">
        <v>2570</v>
      </c>
      <c r="D1853" s="5" t="s">
        <v>93</v>
      </c>
      <c r="E1853" s="6" t="s">
        <v>2947</v>
      </c>
      <c r="AP1853" s="4" t="s">
        <v>376</v>
      </c>
      <c r="AR1853" s="4" t="s">
        <v>377</v>
      </c>
    </row>
    <row r="1854" spans="1:44">
      <c r="A1854" s="4" t="s">
        <v>5</v>
      </c>
      <c r="C1854" s="4">
        <v>937</v>
      </c>
      <c r="D1854" s="5" t="s">
        <v>93</v>
      </c>
      <c r="E1854" s="6" t="s">
        <v>2948</v>
      </c>
      <c r="AP1854" s="4" t="s">
        <v>376</v>
      </c>
      <c r="AR1854" s="4" t="s">
        <v>377</v>
      </c>
    </row>
    <row r="1855" spans="1:44" ht="30">
      <c r="A1855" s="4" t="s">
        <v>5</v>
      </c>
      <c r="C1855" s="4">
        <v>6069</v>
      </c>
      <c r="D1855" s="5" t="s">
        <v>93</v>
      </c>
      <c r="E1855" s="6" t="s">
        <v>2949</v>
      </c>
      <c r="AP1855" s="4" t="s">
        <v>376</v>
      </c>
      <c r="AR1855" s="4" t="s">
        <v>377</v>
      </c>
    </row>
    <row r="1856" spans="1:44">
      <c r="A1856" s="4" t="s">
        <v>5</v>
      </c>
      <c r="C1856" s="4">
        <v>3662</v>
      </c>
      <c r="D1856" s="5" t="s">
        <v>93</v>
      </c>
      <c r="E1856" s="6" t="s">
        <v>2950</v>
      </c>
      <c r="F1856" s="5" t="s">
        <v>2951</v>
      </c>
      <c r="Z1856" s="4" t="s">
        <v>695</v>
      </c>
      <c r="AA1856" s="4" t="s">
        <v>696</v>
      </c>
      <c r="AP1856" s="4" t="s">
        <v>376</v>
      </c>
      <c r="AR1856" s="4" t="s">
        <v>377</v>
      </c>
    </row>
    <row r="1857" spans="1:44">
      <c r="A1857" s="4" t="s">
        <v>5</v>
      </c>
      <c r="C1857" s="4">
        <v>2078</v>
      </c>
      <c r="D1857" s="5" t="s">
        <v>93</v>
      </c>
      <c r="E1857" s="6" t="s">
        <v>2952</v>
      </c>
      <c r="AP1857" s="4" t="s">
        <v>376</v>
      </c>
      <c r="AR1857" s="4" t="s">
        <v>377</v>
      </c>
    </row>
    <row r="1858" spans="1:44">
      <c r="A1858" s="4" t="s">
        <v>5</v>
      </c>
      <c r="C1858" s="4">
        <v>2512</v>
      </c>
      <c r="D1858" s="5" t="s">
        <v>93</v>
      </c>
      <c r="E1858" s="6" t="s">
        <v>2953</v>
      </c>
      <c r="AP1858" s="4" t="s">
        <v>376</v>
      </c>
      <c r="AR1858" s="4" t="s">
        <v>377</v>
      </c>
    </row>
    <row r="1859" spans="1:44">
      <c r="A1859" s="4" t="s">
        <v>5</v>
      </c>
      <c r="C1859" s="4">
        <v>1050</v>
      </c>
      <c r="D1859" s="5" t="s">
        <v>93</v>
      </c>
      <c r="E1859" s="6" t="s">
        <v>2954</v>
      </c>
      <c r="AP1859" s="4" t="s">
        <v>376</v>
      </c>
      <c r="AR1859" s="4" t="s">
        <v>377</v>
      </c>
    </row>
    <row r="1860" spans="1:44">
      <c r="A1860" s="4" t="s">
        <v>5</v>
      </c>
      <c r="C1860" s="4">
        <v>1126</v>
      </c>
      <c r="D1860" s="5" t="s">
        <v>93</v>
      </c>
      <c r="E1860" s="6" t="s">
        <v>2955</v>
      </c>
      <c r="F1860" s="5" t="s">
        <v>2956</v>
      </c>
      <c r="Z1860" s="4" t="s">
        <v>443</v>
      </c>
      <c r="AA1860" s="4" t="s">
        <v>444</v>
      </c>
      <c r="AP1860" s="4" t="s">
        <v>376</v>
      </c>
      <c r="AR1860" s="4" t="s">
        <v>377</v>
      </c>
    </row>
    <row r="1861" spans="1:44">
      <c r="A1861" s="4" t="s">
        <v>5</v>
      </c>
      <c r="C1861" s="4">
        <v>1133</v>
      </c>
      <c r="D1861" s="5" t="s">
        <v>93</v>
      </c>
      <c r="E1861" s="6" t="s">
        <v>2957</v>
      </c>
      <c r="F1861" s="5" t="s">
        <v>2958</v>
      </c>
      <c r="AP1861" s="4" t="s">
        <v>376</v>
      </c>
      <c r="AR1861" s="4" t="s">
        <v>377</v>
      </c>
    </row>
    <row r="1862" spans="1:44">
      <c r="A1862" s="4" t="s">
        <v>5</v>
      </c>
      <c r="C1862" s="4">
        <v>5152</v>
      </c>
      <c r="D1862" s="5" t="s">
        <v>93</v>
      </c>
      <c r="E1862" s="6" t="s">
        <v>2959</v>
      </c>
      <c r="AP1862" s="4" t="s">
        <v>376</v>
      </c>
      <c r="AR1862" s="4" t="s">
        <v>377</v>
      </c>
    </row>
    <row r="1863" spans="1:44" ht="30">
      <c r="A1863" s="4" t="s">
        <v>5</v>
      </c>
      <c r="C1863" s="4">
        <v>6528</v>
      </c>
      <c r="D1863" s="5" t="s">
        <v>93</v>
      </c>
      <c r="E1863" s="6" t="s">
        <v>2960</v>
      </c>
      <c r="AP1863" s="4" t="s">
        <v>376</v>
      </c>
      <c r="AR1863" s="4" t="s">
        <v>377</v>
      </c>
    </row>
    <row r="1864" spans="1:44" ht="30">
      <c r="A1864" s="4" t="s">
        <v>5</v>
      </c>
      <c r="C1864" s="4">
        <v>2509</v>
      </c>
      <c r="D1864" s="5" t="s">
        <v>93</v>
      </c>
      <c r="E1864" s="6" t="s">
        <v>2961</v>
      </c>
      <c r="AP1864" s="4" t="s">
        <v>376</v>
      </c>
      <c r="AR1864" s="4" t="s">
        <v>377</v>
      </c>
    </row>
    <row r="1865" spans="1:44">
      <c r="A1865" s="4" t="s">
        <v>5</v>
      </c>
      <c r="C1865" s="4">
        <v>1757</v>
      </c>
      <c r="D1865" s="5" t="s">
        <v>93</v>
      </c>
      <c r="E1865" s="6" t="s">
        <v>2962</v>
      </c>
      <c r="F1865" s="5" t="s">
        <v>2963</v>
      </c>
      <c r="AP1865" s="4" t="s">
        <v>376</v>
      </c>
      <c r="AR1865" s="4" t="s">
        <v>377</v>
      </c>
    </row>
    <row r="1866" spans="1:44" ht="30">
      <c r="A1866" s="4" t="s">
        <v>5</v>
      </c>
      <c r="C1866" s="4">
        <v>3796</v>
      </c>
      <c r="D1866" s="5" t="s">
        <v>93</v>
      </c>
      <c r="E1866" s="6" t="s">
        <v>2964</v>
      </c>
      <c r="F1866" s="5" t="s">
        <v>2965</v>
      </c>
      <c r="AP1866" s="4" t="s">
        <v>376</v>
      </c>
      <c r="AR1866" s="4" t="s">
        <v>377</v>
      </c>
    </row>
    <row r="1867" spans="1:44">
      <c r="A1867" s="4" t="s">
        <v>5</v>
      </c>
      <c r="C1867" s="4">
        <v>3575</v>
      </c>
      <c r="D1867" s="5" t="s">
        <v>93</v>
      </c>
      <c r="E1867" s="6" t="s">
        <v>2966</v>
      </c>
      <c r="F1867" s="5" t="s">
        <v>2967</v>
      </c>
      <c r="AP1867" s="4" t="s">
        <v>376</v>
      </c>
      <c r="AR1867" s="4" t="s">
        <v>377</v>
      </c>
    </row>
    <row r="1868" spans="1:44">
      <c r="A1868" s="4" t="s">
        <v>5</v>
      </c>
      <c r="C1868" s="4">
        <v>4609</v>
      </c>
      <c r="D1868" s="5" t="s">
        <v>93</v>
      </c>
      <c r="E1868" s="6" t="s">
        <v>2968</v>
      </c>
      <c r="AP1868" s="4" t="s">
        <v>376</v>
      </c>
      <c r="AR1868" s="4" t="s">
        <v>377</v>
      </c>
    </row>
    <row r="1869" spans="1:44" ht="30">
      <c r="A1869" s="4" t="s">
        <v>5</v>
      </c>
      <c r="C1869" s="4">
        <v>4441</v>
      </c>
      <c r="D1869" s="5" t="s">
        <v>93</v>
      </c>
      <c r="E1869" s="6" t="s">
        <v>2969</v>
      </c>
      <c r="AP1869" s="4" t="s">
        <v>376</v>
      </c>
      <c r="AR1869" s="4" t="s">
        <v>377</v>
      </c>
    </row>
    <row r="1870" spans="1:44">
      <c r="A1870" s="4" t="s">
        <v>5</v>
      </c>
      <c r="C1870" s="4">
        <v>1089</v>
      </c>
      <c r="D1870" s="5" t="s">
        <v>93</v>
      </c>
      <c r="E1870" s="6" t="s">
        <v>2970</v>
      </c>
      <c r="AP1870" s="4" t="s">
        <v>376</v>
      </c>
      <c r="AR1870" s="4" t="s">
        <v>377</v>
      </c>
    </row>
    <row r="1871" spans="1:44">
      <c r="A1871" s="4" t="s">
        <v>5</v>
      </c>
      <c r="C1871" s="4">
        <v>522</v>
      </c>
      <c r="D1871" s="5" t="s">
        <v>93</v>
      </c>
      <c r="E1871" s="6" t="s">
        <v>2971</v>
      </c>
      <c r="F1871" s="5" t="s">
        <v>2972</v>
      </c>
      <c r="AP1871" s="4" t="s">
        <v>376</v>
      </c>
      <c r="AR1871" s="4" t="s">
        <v>377</v>
      </c>
    </row>
    <row r="1872" spans="1:44">
      <c r="A1872" s="4" t="s">
        <v>5</v>
      </c>
      <c r="C1872" s="4">
        <v>4014</v>
      </c>
      <c r="D1872" s="5" t="s">
        <v>93</v>
      </c>
      <c r="E1872" s="6" t="s">
        <v>2973</v>
      </c>
      <c r="AP1872" s="4" t="s">
        <v>376</v>
      </c>
      <c r="AR1872" s="4" t="s">
        <v>377</v>
      </c>
    </row>
    <row r="1873" spans="1:44">
      <c r="A1873" s="4" t="s">
        <v>5</v>
      </c>
      <c r="C1873" s="4">
        <v>5984</v>
      </c>
      <c r="D1873" s="5" t="s">
        <v>93</v>
      </c>
      <c r="E1873" s="6" t="s">
        <v>2974</v>
      </c>
      <c r="AP1873" s="4" t="s">
        <v>376</v>
      </c>
      <c r="AR1873" s="4" t="s">
        <v>377</v>
      </c>
    </row>
    <row r="1874" spans="1:44" ht="30">
      <c r="A1874" s="4" t="s">
        <v>5</v>
      </c>
      <c r="C1874" s="4">
        <v>963</v>
      </c>
      <c r="D1874" s="5" t="s">
        <v>93</v>
      </c>
      <c r="E1874" s="6" t="s">
        <v>2975</v>
      </c>
      <c r="F1874" s="5" t="s">
        <v>2976</v>
      </c>
      <c r="AP1874" s="4" t="s">
        <v>376</v>
      </c>
      <c r="AR1874" s="4" t="s">
        <v>377</v>
      </c>
    </row>
    <row r="1875" spans="1:44" ht="30">
      <c r="A1875" s="4" t="s">
        <v>5</v>
      </c>
      <c r="C1875" s="4">
        <v>111</v>
      </c>
      <c r="D1875" s="5" t="s">
        <v>93</v>
      </c>
      <c r="E1875" s="6" t="s">
        <v>2977</v>
      </c>
      <c r="F1875" s="5" t="s">
        <v>2978</v>
      </c>
      <c r="AP1875" s="4" t="s">
        <v>376</v>
      </c>
      <c r="AR1875" s="4" t="s">
        <v>377</v>
      </c>
    </row>
    <row r="1876" spans="1:44" ht="30">
      <c r="A1876" s="4" t="s">
        <v>5</v>
      </c>
      <c r="C1876" s="4">
        <v>1789</v>
      </c>
      <c r="D1876" s="5" t="s">
        <v>93</v>
      </c>
      <c r="E1876" s="6" t="s">
        <v>2979</v>
      </c>
      <c r="F1876" s="5" t="s">
        <v>2980</v>
      </c>
      <c r="AP1876" s="4" t="s">
        <v>376</v>
      </c>
      <c r="AR1876" s="4" t="s">
        <v>377</v>
      </c>
    </row>
    <row r="1877" spans="1:44">
      <c r="A1877" s="4" t="s">
        <v>5</v>
      </c>
      <c r="C1877" s="4">
        <v>692</v>
      </c>
      <c r="D1877" s="5" t="s">
        <v>93</v>
      </c>
      <c r="E1877" s="6" t="s">
        <v>2981</v>
      </c>
      <c r="F1877" s="5" t="s">
        <v>2982</v>
      </c>
      <c r="AP1877" s="4" t="s">
        <v>376</v>
      </c>
      <c r="AR1877" s="4" t="s">
        <v>377</v>
      </c>
    </row>
    <row r="1878" spans="1:44">
      <c r="A1878" s="4" t="s">
        <v>5</v>
      </c>
      <c r="C1878" s="4">
        <v>6851</v>
      </c>
      <c r="D1878" s="5" t="s">
        <v>93</v>
      </c>
      <c r="E1878" s="6" t="s">
        <v>2983</v>
      </c>
      <c r="F1878" s="5" t="s">
        <v>2984</v>
      </c>
      <c r="AP1878" s="4" t="s">
        <v>376</v>
      </c>
      <c r="AR1878" s="4" t="s">
        <v>377</v>
      </c>
    </row>
    <row r="1879" spans="1:44">
      <c r="A1879" s="4" t="s">
        <v>5</v>
      </c>
      <c r="C1879" s="4">
        <v>1804</v>
      </c>
      <c r="D1879" s="5" t="s">
        <v>93</v>
      </c>
      <c r="E1879" s="6" t="s">
        <v>2985</v>
      </c>
      <c r="AP1879" s="4" t="s">
        <v>376</v>
      </c>
      <c r="AR1879" s="4" t="s">
        <v>377</v>
      </c>
    </row>
    <row r="1880" spans="1:44">
      <c r="A1880" s="4" t="s">
        <v>5</v>
      </c>
      <c r="C1880" s="4">
        <v>1312</v>
      </c>
      <c r="D1880" s="5" t="s">
        <v>93</v>
      </c>
      <c r="E1880" s="6" t="s">
        <v>2986</v>
      </c>
      <c r="AP1880" s="4" t="s">
        <v>376</v>
      </c>
      <c r="AR1880" s="4" t="s">
        <v>377</v>
      </c>
    </row>
    <row r="1881" spans="1:44">
      <c r="A1881" s="4" t="s">
        <v>5</v>
      </c>
      <c r="C1881" s="4">
        <v>882</v>
      </c>
      <c r="D1881" s="5" t="s">
        <v>93</v>
      </c>
      <c r="E1881" s="6" t="s">
        <v>2987</v>
      </c>
      <c r="AP1881" s="4" t="s">
        <v>376</v>
      </c>
      <c r="AR1881" s="4" t="s">
        <v>377</v>
      </c>
    </row>
    <row r="1882" spans="1:44">
      <c r="A1882" s="4" t="s">
        <v>5</v>
      </c>
      <c r="C1882" s="4">
        <v>765</v>
      </c>
      <c r="D1882" s="5" t="s">
        <v>93</v>
      </c>
      <c r="E1882" s="6" t="s">
        <v>2988</v>
      </c>
      <c r="F1882" s="5" t="s">
        <v>2989</v>
      </c>
      <c r="AP1882" s="4" t="s">
        <v>376</v>
      </c>
      <c r="AR1882" s="4" t="s">
        <v>377</v>
      </c>
    </row>
    <row r="1883" spans="1:44">
      <c r="A1883" s="4" t="s">
        <v>5</v>
      </c>
      <c r="C1883" s="4">
        <v>5965</v>
      </c>
      <c r="D1883" s="5" t="s">
        <v>93</v>
      </c>
      <c r="E1883" s="6" t="s">
        <v>2990</v>
      </c>
      <c r="AP1883" s="4" t="s">
        <v>376</v>
      </c>
      <c r="AR1883" s="4" t="s">
        <v>377</v>
      </c>
    </row>
    <row r="1884" spans="1:44" ht="30">
      <c r="A1884" s="4" t="s">
        <v>5</v>
      </c>
      <c r="C1884" s="4">
        <v>3813</v>
      </c>
      <c r="D1884" s="5" t="s">
        <v>93</v>
      </c>
      <c r="E1884" s="6" t="s">
        <v>2991</v>
      </c>
      <c r="AP1884" s="4" t="s">
        <v>376</v>
      </c>
      <c r="AR1884" s="4" t="s">
        <v>377</v>
      </c>
    </row>
    <row r="1885" spans="1:44">
      <c r="A1885" s="4" t="s">
        <v>5</v>
      </c>
      <c r="C1885" s="4">
        <v>2228</v>
      </c>
      <c r="D1885" s="5" t="s">
        <v>93</v>
      </c>
      <c r="E1885" s="6" t="s">
        <v>2992</v>
      </c>
      <c r="F1885" s="5" t="s">
        <v>2993</v>
      </c>
      <c r="Z1885" s="4" t="s">
        <v>443</v>
      </c>
      <c r="AA1885" s="4" t="s">
        <v>444</v>
      </c>
      <c r="AP1885" s="4" t="s">
        <v>376</v>
      </c>
      <c r="AR1885" s="4" t="s">
        <v>377</v>
      </c>
    </row>
    <row r="1886" spans="1:44">
      <c r="A1886" s="4" t="s">
        <v>5</v>
      </c>
      <c r="C1886" s="4">
        <v>3717</v>
      </c>
      <c r="D1886" s="5" t="s">
        <v>93</v>
      </c>
      <c r="E1886" s="6" t="s">
        <v>2994</v>
      </c>
      <c r="F1886" s="5" t="s">
        <v>2995</v>
      </c>
      <c r="AP1886" s="4" t="s">
        <v>376</v>
      </c>
      <c r="AR1886" s="4" t="s">
        <v>377</v>
      </c>
    </row>
    <row r="1887" spans="1:44" ht="30">
      <c r="A1887" s="4" t="s">
        <v>5</v>
      </c>
      <c r="C1887" s="4">
        <v>1392</v>
      </c>
      <c r="D1887" s="5" t="s">
        <v>93</v>
      </c>
      <c r="E1887" s="6" t="s">
        <v>2996</v>
      </c>
      <c r="AP1887" s="4" t="s">
        <v>376</v>
      </c>
      <c r="AR1887" s="4" t="s">
        <v>377</v>
      </c>
    </row>
    <row r="1888" spans="1:44">
      <c r="A1888" s="4" t="s">
        <v>5</v>
      </c>
      <c r="C1888" s="4">
        <v>221</v>
      </c>
      <c r="D1888" s="5" t="s">
        <v>93</v>
      </c>
      <c r="E1888" s="6" t="s">
        <v>2997</v>
      </c>
      <c r="F1888" s="5" t="s">
        <v>2998</v>
      </c>
      <c r="AP1888" s="4" t="s">
        <v>376</v>
      </c>
      <c r="AR1888" s="4" t="s">
        <v>377</v>
      </c>
    </row>
    <row r="1889" spans="1:44">
      <c r="A1889" s="4" t="s">
        <v>5</v>
      </c>
      <c r="C1889" s="4">
        <v>4757</v>
      </c>
      <c r="D1889" s="5" t="s">
        <v>93</v>
      </c>
      <c r="E1889" s="6" t="s">
        <v>2999</v>
      </c>
      <c r="AP1889" s="4" t="s">
        <v>376</v>
      </c>
      <c r="AR1889" s="4" t="s">
        <v>377</v>
      </c>
    </row>
    <row r="1890" spans="1:44">
      <c r="A1890" s="4" t="s">
        <v>5</v>
      </c>
      <c r="C1890" s="4">
        <v>467</v>
      </c>
      <c r="D1890" s="5" t="s">
        <v>93</v>
      </c>
      <c r="E1890" s="6" t="s">
        <v>3000</v>
      </c>
      <c r="F1890" s="5" t="s">
        <v>3001</v>
      </c>
      <c r="AP1890" s="4" t="s">
        <v>376</v>
      </c>
      <c r="AR1890" s="4" t="s">
        <v>377</v>
      </c>
    </row>
    <row r="1891" spans="1:44">
      <c r="A1891" s="4" t="s">
        <v>5</v>
      </c>
      <c r="C1891" s="4">
        <v>5380</v>
      </c>
      <c r="D1891" s="5" t="s">
        <v>93</v>
      </c>
      <c r="E1891" s="6" t="s">
        <v>3002</v>
      </c>
      <c r="AP1891" s="4" t="s">
        <v>376</v>
      </c>
      <c r="AR1891" s="4" t="s">
        <v>377</v>
      </c>
    </row>
    <row r="1892" spans="1:44">
      <c r="A1892" s="4" t="s">
        <v>5</v>
      </c>
      <c r="C1892" s="4">
        <v>4264</v>
      </c>
      <c r="D1892" s="5" t="s">
        <v>93</v>
      </c>
      <c r="E1892" s="6" t="s">
        <v>3003</v>
      </c>
      <c r="F1892" s="5" t="s">
        <v>3004</v>
      </c>
      <c r="AP1892" s="4" t="s">
        <v>376</v>
      </c>
      <c r="AR1892" s="4" t="s">
        <v>377</v>
      </c>
    </row>
    <row r="1893" spans="1:44">
      <c r="A1893" s="4" t="s">
        <v>5</v>
      </c>
      <c r="C1893" s="4">
        <v>2536</v>
      </c>
      <c r="D1893" s="5" t="s">
        <v>93</v>
      </c>
      <c r="E1893" s="6" t="s">
        <v>3005</v>
      </c>
      <c r="AP1893" s="4" t="s">
        <v>376</v>
      </c>
      <c r="AR1893" s="4" t="s">
        <v>377</v>
      </c>
    </row>
    <row r="1894" spans="1:44">
      <c r="A1894" s="4" t="s">
        <v>5</v>
      </c>
      <c r="C1894" s="4">
        <v>4223</v>
      </c>
      <c r="D1894" s="5" t="s">
        <v>93</v>
      </c>
      <c r="E1894" s="6" t="s">
        <v>3006</v>
      </c>
      <c r="AP1894" s="4" t="s">
        <v>376</v>
      </c>
      <c r="AR1894" s="4" t="s">
        <v>377</v>
      </c>
    </row>
    <row r="1895" spans="1:44" ht="30">
      <c r="A1895" s="4" t="s">
        <v>5</v>
      </c>
      <c r="C1895" s="4">
        <v>6387</v>
      </c>
      <c r="D1895" s="5" t="s">
        <v>93</v>
      </c>
      <c r="E1895" s="6" t="s">
        <v>3007</v>
      </c>
      <c r="AP1895" s="4" t="s">
        <v>376</v>
      </c>
      <c r="AR1895" s="4" t="s">
        <v>377</v>
      </c>
    </row>
    <row r="1896" spans="1:44">
      <c r="A1896" s="4" t="s">
        <v>5</v>
      </c>
      <c r="C1896" s="4">
        <v>5044</v>
      </c>
      <c r="D1896" s="5" t="s">
        <v>93</v>
      </c>
      <c r="E1896" s="6" t="s">
        <v>3008</v>
      </c>
      <c r="AP1896" s="4" t="s">
        <v>376</v>
      </c>
      <c r="AR1896" s="4" t="s">
        <v>377</v>
      </c>
    </row>
    <row r="1897" spans="1:44">
      <c r="A1897" s="4" t="s">
        <v>5</v>
      </c>
      <c r="C1897" s="4">
        <v>2110</v>
      </c>
      <c r="D1897" s="5" t="s">
        <v>93</v>
      </c>
      <c r="E1897" s="6" t="s">
        <v>3009</v>
      </c>
      <c r="F1897" s="5" t="s">
        <v>3010</v>
      </c>
      <c r="AP1897" s="4" t="s">
        <v>376</v>
      </c>
      <c r="AR1897" s="4" t="s">
        <v>377</v>
      </c>
    </row>
    <row r="1898" spans="1:44">
      <c r="A1898" s="4" t="s">
        <v>5</v>
      </c>
      <c r="C1898" s="4">
        <v>514</v>
      </c>
      <c r="D1898" s="5" t="s">
        <v>93</v>
      </c>
      <c r="E1898" s="6" t="s">
        <v>3011</v>
      </c>
      <c r="AP1898" s="4" t="s">
        <v>376</v>
      </c>
      <c r="AR1898" s="4" t="s">
        <v>377</v>
      </c>
    </row>
    <row r="1899" spans="1:44" ht="30">
      <c r="A1899" s="4" t="s">
        <v>5</v>
      </c>
      <c r="C1899" s="4">
        <v>979</v>
      </c>
      <c r="D1899" s="5" t="s">
        <v>93</v>
      </c>
      <c r="E1899" s="6" t="s">
        <v>3012</v>
      </c>
      <c r="AP1899" s="4" t="s">
        <v>376</v>
      </c>
      <c r="AR1899" s="4" t="s">
        <v>377</v>
      </c>
    </row>
    <row r="1900" spans="1:44">
      <c r="A1900" s="4" t="s">
        <v>5</v>
      </c>
      <c r="C1900" s="4">
        <v>4467</v>
      </c>
      <c r="D1900" s="5" t="s">
        <v>93</v>
      </c>
      <c r="E1900" s="6" t="s">
        <v>3013</v>
      </c>
      <c r="F1900" s="5" t="s">
        <v>3014</v>
      </c>
      <c r="AP1900" s="4" t="s">
        <v>376</v>
      </c>
      <c r="AR1900" s="4" t="s">
        <v>377</v>
      </c>
    </row>
    <row r="1901" spans="1:44">
      <c r="A1901" s="4" t="s">
        <v>5</v>
      </c>
      <c r="C1901" s="4">
        <v>4019</v>
      </c>
      <c r="D1901" s="5" t="s">
        <v>93</v>
      </c>
      <c r="E1901" s="6" t="s">
        <v>3015</v>
      </c>
      <c r="AP1901" s="4" t="s">
        <v>376</v>
      </c>
      <c r="AR1901" s="4" t="s">
        <v>377</v>
      </c>
    </row>
    <row r="1902" spans="1:44">
      <c r="A1902" s="4" t="s">
        <v>5</v>
      </c>
      <c r="C1902" s="4">
        <v>3402</v>
      </c>
      <c r="D1902" s="5" t="s">
        <v>93</v>
      </c>
      <c r="E1902" s="6" t="s">
        <v>3016</v>
      </c>
      <c r="AP1902" s="4" t="s">
        <v>376</v>
      </c>
      <c r="AR1902" s="4" t="s">
        <v>377</v>
      </c>
    </row>
    <row r="1903" spans="1:44">
      <c r="A1903" s="4" t="s">
        <v>5</v>
      </c>
      <c r="C1903" s="4">
        <v>4468</v>
      </c>
      <c r="D1903" s="5" t="s">
        <v>93</v>
      </c>
      <c r="E1903" s="6" t="s">
        <v>3017</v>
      </c>
      <c r="AP1903" s="4" t="s">
        <v>376</v>
      </c>
      <c r="AR1903" s="4" t="s">
        <v>377</v>
      </c>
    </row>
    <row r="1904" spans="1:44">
      <c r="A1904" s="4" t="s">
        <v>5</v>
      </c>
      <c r="C1904" s="4">
        <v>691</v>
      </c>
      <c r="D1904" s="5" t="s">
        <v>93</v>
      </c>
      <c r="E1904" s="6" t="s">
        <v>3018</v>
      </c>
      <c r="F1904" s="5" t="s">
        <v>3019</v>
      </c>
      <c r="AP1904" s="4" t="s">
        <v>376</v>
      </c>
      <c r="AR1904" s="4" t="s">
        <v>377</v>
      </c>
    </row>
    <row r="1905" spans="1:44">
      <c r="A1905" s="4" t="s">
        <v>5</v>
      </c>
      <c r="C1905" s="4">
        <v>333</v>
      </c>
      <c r="D1905" s="5" t="s">
        <v>93</v>
      </c>
      <c r="E1905" s="6" t="s">
        <v>3020</v>
      </c>
      <c r="F1905" s="5" t="s">
        <v>3021</v>
      </c>
      <c r="AP1905" s="4" t="s">
        <v>376</v>
      </c>
      <c r="AR1905" s="4" t="s">
        <v>377</v>
      </c>
    </row>
    <row r="1906" spans="1:44">
      <c r="A1906" s="4" t="s">
        <v>5</v>
      </c>
      <c r="C1906" s="4">
        <v>903</v>
      </c>
      <c r="D1906" s="5" t="s">
        <v>93</v>
      </c>
      <c r="E1906" s="6" t="s">
        <v>3022</v>
      </c>
      <c r="AP1906" s="4" t="s">
        <v>376</v>
      </c>
      <c r="AR1906" s="4" t="s">
        <v>377</v>
      </c>
    </row>
    <row r="1907" spans="1:44">
      <c r="A1907" s="4" t="s">
        <v>5</v>
      </c>
      <c r="C1907" s="4">
        <v>2748</v>
      </c>
      <c r="D1907" s="5" t="s">
        <v>93</v>
      </c>
      <c r="E1907" s="6" t="s">
        <v>3023</v>
      </c>
      <c r="F1907" s="5" t="s">
        <v>3024</v>
      </c>
      <c r="AP1907" s="4" t="s">
        <v>376</v>
      </c>
      <c r="AR1907" s="4" t="s">
        <v>377</v>
      </c>
    </row>
    <row r="1908" spans="1:44">
      <c r="A1908" s="4" t="s">
        <v>5</v>
      </c>
      <c r="C1908" s="4">
        <v>5401</v>
      </c>
      <c r="D1908" s="5" t="s">
        <v>93</v>
      </c>
      <c r="E1908" s="6" t="s">
        <v>3025</v>
      </c>
      <c r="F1908" s="5" t="s">
        <v>3026</v>
      </c>
      <c r="AP1908" s="4" t="s">
        <v>376</v>
      </c>
      <c r="AR1908" s="4" t="s">
        <v>377</v>
      </c>
    </row>
    <row r="1909" spans="1:44">
      <c r="A1909" s="4" t="s">
        <v>5</v>
      </c>
      <c r="C1909" s="4">
        <v>3436</v>
      </c>
      <c r="D1909" s="5" t="s">
        <v>93</v>
      </c>
      <c r="E1909" s="6" t="s">
        <v>3027</v>
      </c>
      <c r="F1909" s="5" t="s">
        <v>3028</v>
      </c>
      <c r="Z1909" s="4" t="s">
        <v>695</v>
      </c>
      <c r="AA1909" s="4" t="s">
        <v>696</v>
      </c>
      <c r="AP1909" s="4" t="s">
        <v>376</v>
      </c>
      <c r="AR1909" s="4" t="s">
        <v>377</v>
      </c>
    </row>
    <row r="1910" spans="1:44" ht="30">
      <c r="A1910" s="4" t="s">
        <v>5</v>
      </c>
      <c r="C1910" s="4">
        <v>2968</v>
      </c>
      <c r="D1910" s="5" t="s">
        <v>93</v>
      </c>
      <c r="E1910" s="6" t="s">
        <v>3029</v>
      </c>
      <c r="F1910" s="5" t="s">
        <v>3030</v>
      </c>
      <c r="AP1910" s="4" t="s">
        <v>376</v>
      </c>
      <c r="AR1910" s="4" t="s">
        <v>377</v>
      </c>
    </row>
    <row r="1911" spans="1:44">
      <c r="A1911" s="4" t="s">
        <v>5</v>
      </c>
      <c r="C1911" s="4">
        <v>5320</v>
      </c>
      <c r="D1911" s="5" t="s">
        <v>93</v>
      </c>
      <c r="E1911" s="6" t="s">
        <v>3031</v>
      </c>
      <c r="AP1911" s="4" t="s">
        <v>376</v>
      </c>
      <c r="AR1911" s="4" t="s">
        <v>377</v>
      </c>
    </row>
    <row r="1912" spans="1:44">
      <c r="A1912" s="4" t="s">
        <v>5</v>
      </c>
      <c r="C1912" s="4">
        <v>4052</v>
      </c>
      <c r="D1912" s="5" t="s">
        <v>93</v>
      </c>
      <c r="E1912" s="6" t="s">
        <v>3032</v>
      </c>
      <c r="F1912" s="5" t="s">
        <v>3033</v>
      </c>
      <c r="Z1912" s="4" t="s">
        <v>443</v>
      </c>
      <c r="AA1912" s="4" t="s">
        <v>444</v>
      </c>
      <c r="AP1912" s="4" t="s">
        <v>376</v>
      </c>
      <c r="AR1912" s="4" t="s">
        <v>377</v>
      </c>
    </row>
    <row r="1913" spans="1:44">
      <c r="A1913" s="4" t="s">
        <v>5</v>
      </c>
      <c r="C1913" s="4">
        <v>6307</v>
      </c>
      <c r="D1913" s="5" t="s">
        <v>93</v>
      </c>
      <c r="E1913" s="6" t="s">
        <v>3034</v>
      </c>
      <c r="AP1913" s="4" t="s">
        <v>376</v>
      </c>
      <c r="AR1913" s="4" t="s">
        <v>377</v>
      </c>
    </row>
    <row r="1914" spans="1:44">
      <c r="A1914" s="4" t="s">
        <v>5</v>
      </c>
      <c r="C1914" s="4">
        <v>5372</v>
      </c>
      <c r="D1914" s="5" t="s">
        <v>93</v>
      </c>
      <c r="E1914" s="6" t="s">
        <v>3035</v>
      </c>
      <c r="AP1914" s="4" t="s">
        <v>376</v>
      </c>
      <c r="AR1914" s="4" t="s">
        <v>377</v>
      </c>
    </row>
    <row r="1915" spans="1:44" ht="30">
      <c r="A1915" s="4" t="s">
        <v>5</v>
      </c>
      <c r="C1915" s="4">
        <v>3459</v>
      </c>
      <c r="D1915" s="5" t="s">
        <v>93</v>
      </c>
      <c r="E1915" s="6" t="s">
        <v>3036</v>
      </c>
      <c r="AP1915" s="4" t="s">
        <v>376</v>
      </c>
      <c r="AR1915" s="4" t="s">
        <v>377</v>
      </c>
    </row>
    <row r="1916" spans="1:44">
      <c r="A1916" s="4" t="s">
        <v>5</v>
      </c>
      <c r="C1916" s="4">
        <v>6313</v>
      </c>
      <c r="D1916" s="5" t="s">
        <v>93</v>
      </c>
      <c r="E1916" s="6" t="s">
        <v>3037</v>
      </c>
      <c r="AP1916" s="4" t="s">
        <v>376</v>
      </c>
      <c r="AR1916" s="4" t="s">
        <v>377</v>
      </c>
    </row>
    <row r="1917" spans="1:44">
      <c r="A1917" s="4" t="s">
        <v>5</v>
      </c>
      <c r="C1917" s="4">
        <v>4758</v>
      </c>
      <c r="D1917" s="5" t="s">
        <v>93</v>
      </c>
      <c r="E1917" s="6" t="s">
        <v>3038</v>
      </c>
      <c r="AP1917" s="4" t="s">
        <v>376</v>
      </c>
      <c r="AR1917" s="4" t="s">
        <v>377</v>
      </c>
    </row>
    <row r="1918" spans="1:44">
      <c r="A1918" s="4" t="s">
        <v>5</v>
      </c>
      <c r="C1918" s="4">
        <v>4594</v>
      </c>
      <c r="D1918" s="5" t="s">
        <v>93</v>
      </c>
      <c r="E1918" s="6" t="s">
        <v>3039</v>
      </c>
      <c r="AP1918" s="4" t="s">
        <v>376</v>
      </c>
      <c r="AR1918" s="4" t="s">
        <v>377</v>
      </c>
    </row>
    <row r="1919" spans="1:44" ht="30">
      <c r="A1919" s="4" t="s">
        <v>5</v>
      </c>
      <c r="C1919" s="4">
        <v>6191</v>
      </c>
      <c r="D1919" s="5" t="s">
        <v>93</v>
      </c>
      <c r="E1919" s="6" t="s">
        <v>3040</v>
      </c>
      <c r="AP1919" s="4" t="s">
        <v>376</v>
      </c>
      <c r="AR1919" s="4" t="s">
        <v>377</v>
      </c>
    </row>
    <row r="1920" spans="1:44">
      <c r="A1920" s="4" t="s">
        <v>5</v>
      </c>
      <c r="C1920" s="4">
        <v>1803</v>
      </c>
      <c r="D1920" s="5" t="s">
        <v>93</v>
      </c>
      <c r="E1920" s="6" t="s">
        <v>3041</v>
      </c>
      <c r="AP1920" s="4" t="s">
        <v>376</v>
      </c>
      <c r="AR1920" s="4" t="s">
        <v>377</v>
      </c>
    </row>
    <row r="1921" spans="1:44" ht="30">
      <c r="A1921" s="4" t="s">
        <v>5</v>
      </c>
      <c r="C1921" s="4">
        <v>1685</v>
      </c>
      <c r="D1921" s="5" t="s">
        <v>93</v>
      </c>
      <c r="E1921" s="6" t="s">
        <v>3042</v>
      </c>
      <c r="F1921" s="5" t="s">
        <v>3043</v>
      </c>
      <c r="AP1921" s="4" t="s">
        <v>376</v>
      </c>
      <c r="AR1921" s="4" t="s">
        <v>377</v>
      </c>
    </row>
    <row r="1922" spans="1:44">
      <c r="A1922" s="4" t="s">
        <v>5</v>
      </c>
      <c r="C1922" s="4">
        <v>372</v>
      </c>
      <c r="D1922" s="5" t="s">
        <v>93</v>
      </c>
      <c r="E1922" s="6" t="s">
        <v>3044</v>
      </c>
      <c r="F1922" s="5" t="s">
        <v>3045</v>
      </c>
      <c r="AP1922" s="4" t="s">
        <v>376</v>
      </c>
      <c r="AR1922" s="4" t="s">
        <v>377</v>
      </c>
    </row>
    <row r="1923" spans="1:44">
      <c r="A1923" s="4" t="s">
        <v>5</v>
      </c>
      <c r="C1923" s="4">
        <v>2785</v>
      </c>
      <c r="D1923" s="5" t="s">
        <v>93</v>
      </c>
      <c r="E1923" s="6" t="s">
        <v>3046</v>
      </c>
      <c r="AP1923" s="4" t="s">
        <v>376</v>
      </c>
      <c r="AR1923" s="4" t="s">
        <v>377</v>
      </c>
    </row>
    <row r="1924" spans="1:44">
      <c r="A1924" s="4" t="s">
        <v>5</v>
      </c>
      <c r="C1924" s="4">
        <v>6779</v>
      </c>
      <c r="D1924" s="5" t="s">
        <v>93</v>
      </c>
      <c r="E1924" s="6" t="s">
        <v>3047</v>
      </c>
      <c r="AP1924" s="4" t="s">
        <v>376</v>
      </c>
      <c r="AR1924" s="4" t="s">
        <v>377</v>
      </c>
    </row>
    <row r="1925" spans="1:44">
      <c r="A1925" s="4" t="s">
        <v>5</v>
      </c>
      <c r="C1925" s="4">
        <v>6939</v>
      </c>
      <c r="D1925" s="5" t="s">
        <v>93</v>
      </c>
      <c r="E1925" s="6" t="s">
        <v>3048</v>
      </c>
      <c r="AP1925" s="4" t="s">
        <v>376</v>
      </c>
      <c r="AR1925" s="4" t="s">
        <v>377</v>
      </c>
    </row>
    <row r="1926" spans="1:44">
      <c r="A1926" s="4" t="s">
        <v>5</v>
      </c>
      <c r="C1926" s="4">
        <v>4624</v>
      </c>
      <c r="D1926" s="5" t="s">
        <v>93</v>
      </c>
      <c r="E1926" s="6" t="s">
        <v>3049</v>
      </c>
      <c r="F1926" s="5" t="s">
        <v>3050</v>
      </c>
      <c r="AP1926" s="4" t="s">
        <v>376</v>
      </c>
      <c r="AR1926" s="4" t="s">
        <v>377</v>
      </c>
    </row>
    <row r="1927" spans="1:44">
      <c r="A1927" s="4" t="s">
        <v>5</v>
      </c>
      <c r="C1927" s="4">
        <v>2933</v>
      </c>
      <c r="D1927" s="5" t="s">
        <v>93</v>
      </c>
      <c r="E1927" s="6" t="s">
        <v>3051</v>
      </c>
      <c r="AP1927" s="4" t="s">
        <v>376</v>
      </c>
      <c r="AR1927" s="4" t="s">
        <v>377</v>
      </c>
    </row>
    <row r="1928" spans="1:44">
      <c r="A1928" s="4" t="s">
        <v>5</v>
      </c>
      <c r="C1928" s="4">
        <v>7399</v>
      </c>
      <c r="D1928" s="5" t="s">
        <v>93</v>
      </c>
      <c r="E1928" s="6" t="s">
        <v>3052</v>
      </c>
      <c r="F1928" s="5" t="s">
        <v>3053</v>
      </c>
      <c r="AP1928" s="4" t="s">
        <v>376</v>
      </c>
      <c r="AR1928" s="4" t="s">
        <v>377</v>
      </c>
    </row>
    <row r="1929" spans="1:44">
      <c r="A1929" s="4" t="s">
        <v>5</v>
      </c>
      <c r="C1929" s="4">
        <v>465</v>
      </c>
      <c r="D1929" s="5" t="s">
        <v>93</v>
      </c>
      <c r="E1929" s="6" t="s">
        <v>3054</v>
      </c>
      <c r="F1929" s="5" t="s">
        <v>3055</v>
      </c>
      <c r="AP1929" s="4" t="s">
        <v>376</v>
      </c>
      <c r="AR1929" s="4" t="s">
        <v>377</v>
      </c>
    </row>
    <row r="1930" spans="1:44">
      <c r="A1930" s="4" t="s">
        <v>5</v>
      </c>
      <c r="C1930" s="4">
        <v>6185</v>
      </c>
      <c r="D1930" s="5" t="s">
        <v>93</v>
      </c>
      <c r="E1930" s="6" t="s">
        <v>3056</v>
      </c>
      <c r="AP1930" s="4" t="s">
        <v>376</v>
      </c>
      <c r="AR1930" s="4" t="s">
        <v>377</v>
      </c>
    </row>
    <row r="1931" spans="1:44">
      <c r="A1931" s="4" t="s">
        <v>5</v>
      </c>
      <c r="C1931" s="4">
        <v>6223</v>
      </c>
      <c r="D1931" s="5" t="s">
        <v>93</v>
      </c>
      <c r="E1931" s="6" t="s">
        <v>3057</v>
      </c>
      <c r="F1931" s="5" t="s">
        <v>3050</v>
      </c>
      <c r="AP1931" s="4" t="s">
        <v>376</v>
      </c>
      <c r="AR1931" s="4" t="s">
        <v>377</v>
      </c>
    </row>
    <row r="1932" spans="1:44">
      <c r="A1932" s="4" t="s">
        <v>5</v>
      </c>
      <c r="C1932" s="4">
        <v>5374</v>
      </c>
      <c r="D1932" s="5" t="s">
        <v>93</v>
      </c>
      <c r="E1932" s="6" t="s">
        <v>3058</v>
      </c>
      <c r="AP1932" s="4" t="s">
        <v>376</v>
      </c>
      <c r="AR1932" s="4" t="s">
        <v>377</v>
      </c>
    </row>
    <row r="1933" spans="1:44">
      <c r="A1933" s="4" t="s">
        <v>5</v>
      </c>
      <c r="C1933" s="4">
        <v>624</v>
      </c>
      <c r="D1933" s="5" t="s">
        <v>93</v>
      </c>
      <c r="E1933" s="6" t="s">
        <v>3059</v>
      </c>
      <c r="F1933" s="5" t="s">
        <v>3060</v>
      </c>
      <c r="AP1933" s="4" t="s">
        <v>376</v>
      </c>
      <c r="AR1933" s="4" t="s">
        <v>377</v>
      </c>
    </row>
    <row r="1934" spans="1:44">
      <c r="A1934" s="4" t="s">
        <v>5</v>
      </c>
      <c r="C1934" s="4">
        <v>4983</v>
      </c>
      <c r="D1934" s="5" t="s">
        <v>93</v>
      </c>
      <c r="E1934" s="6" t="s">
        <v>3061</v>
      </c>
      <c r="AP1934" s="4" t="s">
        <v>376</v>
      </c>
      <c r="AR1934" s="4" t="s">
        <v>377</v>
      </c>
    </row>
    <row r="1935" spans="1:44" ht="30">
      <c r="A1935" s="4" t="s">
        <v>5</v>
      </c>
      <c r="C1935" s="4">
        <v>3450</v>
      </c>
      <c r="D1935" s="5" t="s">
        <v>93</v>
      </c>
      <c r="E1935" s="6" t="s">
        <v>3062</v>
      </c>
      <c r="AP1935" s="4" t="s">
        <v>376</v>
      </c>
      <c r="AR1935" s="4" t="s">
        <v>377</v>
      </c>
    </row>
    <row r="1936" spans="1:44" ht="30">
      <c r="A1936" s="4" t="s">
        <v>5</v>
      </c>
      <c r="C1936" s="4">
        <v>1424</v>
      </c>
      <c r="D1936" s="5" t="s">
        <v>93</v>
      </c>
      <c r="E1936" s="6" t="s">
        <v>3063</v>
      </c>
      <c r="F1936" s="5" t="s">
        <v>3064</v>
      </c>
      <c r="Z1936" s="4" t="s">
        <v>443</v>
      </c>
      <c r="AA1936" s="4" t="s">
        <v>444</v>
      </c>
      <c r="AP1936" s="4" t="s">
        <v>376</v>
      </c>
      <c r="AR1936" s="4" t="s">
        <v>377</v>
      </c>
    </row>
    <row r="1937" spans="1:44" ht="30">
      <c r="A1937" s="4" t="s">
        <v>5</v>
      </c>
      <c r="C1937" s="4">
        <v>6278</v>
      </c>
      <c r="D1937" s="5" t="s">
        <v>93</v>
      </c>
      <c r="E1937" s="6" t="s">
        <v>3065</v>
      </c>
      <c r="F1937" s="5" t="s">
        <v>3066</v>
      </c>
      <c r="AP1937" s="4" t="s">
        <v>376</v>
      </c>
      <c r="AR1937" s="4" t="s">
        <v>377</v>
      </c>
    </row>
    <row r="1938" spans="1:44">
      <c r="A1938" s="4" t="s">
        <v>5</v>
      </c>
      <c r="C1938" s="4">
        <v>3419</v>
      </c>
      <c r="D1938" s="5" t="s">
        <v>93</v>
      </c>
      <c r="E1938" s="6" t="s">
        <v>3067</v>
      </c>
      <c r="F1938" s="5" t="s">
        <v>3068</v>
      </c>
      <c r="AP1938" s="4" t="s">
        <v>376</v>
      </c>
      <c r="AR1938" s="4" t="s">
        <v>377</v>
      </c>
    </row>
    <row r="1939" spans="1:44">
      <c r="A1939" s="4" t="s">
        <v>5</v>
      </c>
      <c r="C1939" s="4">
        <v>2971</v>
      </c>
      <c r="D1939" s="5" t="s">
        <v>93</v>
      </c>
      <c r="E1939" s="6" t="s">
        <v>3069</v>
      </c>
      <c r="F1939" s="5" t="s">
        <v>3070</v>
      </c>
      <c r="Z1939" s="4" t="s">
        <v>447</v>
      </c>
      <c r="AA1939" s="4" t="s">
        <v>448</v>
      </c>
      <c r="AP1939" s="4" t="s">
        <v>376</v>
      </c>
      <c r="AR1939" s="4" t="s">
        <v>377</v>
      </c>
    </row>
    <row r="1940" spans="1:44">
      <c r="A1940" s="4" t="s">
        <v>5</v>
      </c>
      <c r="C1940" s="4">
        <v>3984</v>
      </c>
      <c r="D1940" s="5" t="s">
        <v>93</v>
      </c>
      <c r="E1940" s="6" t="s">
        <v>3071</v>
      </c>
      <c r="AP1940" s="4" t="s">
        <v>376</v>
      </c>
      <c r="AR1940" s="4" t="s">
        <v>377</v>
      </c>
    </row>
    <row r="1941" spans="1:44">
      <c r="A1941" s="4" t="s">
        <v>5</v>
      </c>
      <c r="C1941" s="4">
        <v>5423</v>
      </c>
      <c r="D1941" s="5" t="s">
        <v>93</v>
      </c>
      <c r="E1941" s="6" t="s">
        <v>3072</v>
      </c>
      <c r="AP1941" s="4" t="s">
        <v>376</v>
      </c>
      <c r="AR1941" s="4" t="s">
        <v>377</v>
      </c>
    </row>
    <row r="1942" spans="1:44">
      <c r="A1942" s="4" t="s">
        <v>5</v>
      </c>
      <c r="C1942" s="4">
        <v>5051</v>
      </c>
      <c r="D1942" s="5" t="s">
        <v>93</v>
      </c>
      <c r="E1942" s="6" t="s">
        <v>3073</v>
      </c>
      <c r="F1942" s="5" t="s">
        <v>3074</v>
      </c>
      <c r="AP1942" s="4" t="s">
        <v>376</v>
      </c>
      <c r="AR1942" s="4" t="s">
        <v>377</v>
      </c>
    </row>
    <row r="1943" spans="1:44">
      <c r="A1943" s="4" t="s">
        <v>5</v>
      </c>
      <c r="C1943" s="4">
        <v>3025</v>
      </c>
      <c r="D1943" s="5" t="s">
        <v>93</v>
      </c>
      <c r="E1943" s="6" t="s">
        <v>3075</v>
      </c>
      <c r="F1943" s="5" t="s">
        <v>3076</v>
      </c>
      <c r="Z1943" s="4" t="s">
        <v>695</v>
      </c>
      <c r="AA1943" s="4" t="s">
        <v>696</v>
      </c>
      <c r="AP1943" s="4" t="s">
        <v>376</v>
      </c>
      <c r="AR1943" s="4" t="s">
        <v>377</v>
      </c>
    </row>
    <row r="1944" spans="1:44">
      <c r="A1944" s="4" t="s">
        <v>5</v>
      </c>
      <c r="C1944" s="4">
        <v>2855</v>
      </c>
      <c r="D1944" s="5" t="s">
        <v>93</v>
      </c>
      <c r="E1944" s="6" t="s">
        <v>3077</v>
      </c>
      <c r="AP1944" s="4" t="s">
        <v>376</v>
      </c>
      <c r="AR1944" s="4" t="s">
        <v>377</v>
      </c>
    </row>
    <row r="1945" spans="1:44">
      <c r="A1945" s="4" t="s">
        <v>5</v>
      </c>
      <c r="C1945" s="4">
        <v>6514</v>
      </c>
      <c r="D1945" s="5" t="s">
        <v>93</v>
      </c>
      <c r="E1945" s="6" t="s">
        <v>3078</v>
      </c>
      <c r="F1945" s="5" t="s">
        <v>3079</v>
      </c>
      <c r="AP1945" s="4" t="s">
        <v>376</v>
      </c>
      <c r="AR1945" s="4" t="s">
        <v>377</v>
      </c>
    </row>
    <row r="1946" spans="1:44">
      <c r="A1946" s="4" t="s">
        <v>5</v>
      </c>
      <c r="C1946" s="4">
        <v>4578</v>
      </c>
      <c r="D1946" s="5" t="s">
        <v>93</v>
      </c>
      <c r="E1946" s="6" t="s">
        <v>3080</v>
      </c>
      <c r="AP1946" s="4" t="s">
        <v>376</v>
      </c>
      <c r="AR1946" s="4" t="s">
        <v>377</v>
      </c>
    </row>
    <row r="1947" spans="1:44" ht="30">
      <c r="A1947" s="4" t="s">
        <v>5</v>
      </c>
      <c r="C1947" s="4">
        <v>5037</v>
      </c>
      <c r="D1947" s="5" t="s">
        <v>93</v>
      </c>
      <c r="E1947" s="6" t="s">
        <v>3081</v>
      </c>
      <c r="F1947" s="5" t="s">
        <v>3082</v>
      </c>
      <c r="AP1947" s="4" t="s">
        <v>376</v>
      </c>
      <c r="AR1947" s="4" t="s">
        <v>377</v>
      </c>
    </row>
    <row r="1948" spans="1:44">
      <c r="A1948" s="4" t="s">
        <v>5</v>
      </c>
      <c r="C1948" s="4">
        <v>1509</v>
      </c>
      <c r="D1948" s="5" t="s">
        <v>93</v>
      </c>
      <c r="E1948" s="6" t="s">
        <v>3083</v>
      </c>
      <c r="AP1948" s="4" t="s">
        <v>376</v>
      </c>
      <c r="AR1948" s="4" t="s">
        <v>377</v>
      </c>
    </row>
    <row r="1949" spans="1:44">
      <c r="A1949" s="4" t="s">
        <v>5</v>
      </c>
      <c r="C1949" s="4">
        <v>5725</v>
      </c>
      <c r="D1949" s="5" t="s">
        <v>93</v>
      </c>
      <c r="E1949" s="6" t="s">
        <v>3084</v>
      </c>
      <c r="AP1949" s="4" t="s">
        <v>376</v>
      </c>
      <c r="AR1949" s="4" t="s">
        <v>377</v>
      </c>
    </row>
    <row r="1950" spans="1:44">
      <c r="A1950" s="4" t="s">
        <v>5</v>
      </c>
      <c r="C1950" s="4">
        <v>701</v>
      </c>
      <c r="D1950" s="5" t="s">
        <v>93</v>
      </c>
      <c r="E1950" s="6" t="s">
        <v>3085</v>
      </c>
      <c r="F1950" s="5" t="s">
        <v>3086</v>
      </c>
      <c r="Z1950" s="4" t="s">
        <v>443</v>
      </c>
      <c r="AA1950" s="4" t="s">
        <v>444</v>
      </c>
      <c r="AP1950" s="4" t="s">
        <v>376</v>
      </c>
      <c r="AR1950" s="4" t="s">
        <v>377</v>
      </c>
    </row>
    <row r="1951" spans="1:44">
      <c r="A1951" s="4" t="s">
        <v>5</v>
      </c>
      <c r="C1951" s="4">
        <v>1631</v>
      </c>
      <c r="D1951" s="5" t="s">
        <v>93</v>
      </c>
      <c r="E1951" s="6" t="s">
        <v>3087</v>
      </c>
      <c r="F1951" s="5" t="s">
        <v>3088</v>
      </c>
      <c r="AP1951" s="4" t="s">
        <v>376</v>
      </c>
      <c r="AR1951" s="4" t="s">
        <v>377</v>
      </c>
    </row>
    <row r="1952" spans="1:44">
      <c r="A1952" s="4" t="s">
        <v>5</v>
      </c>
      <c r="C1952" s="4">
        <v>4895</v>
      </c>
      <c r="D1952" s="5" t="s">
        <v>93</v>
      </c>
      <c r="E1952" s="6" t="s">
        <v>3089</v>
      </c>
      <c r="AP1952" s="4" t="s">
        <v>376</v>
      </c>
      <c r="AR1952" s="4" t="s">
        <v>377</v>
      </c>
    </row>
    <row r="1953" spans="1:44">
      <c r="A1953" s="4" t="s">
        <v>5</v>
      </c>
      <c r="C1953" s="4">
        <v>4010</v>
      </c>
      <c r="D1953" s="5" t="s">
        <v>93</v>
      </c>
      <c r="E1953" s="6" t="s">
        <v>3090</v>
      </c>
      <c r="AP1953" s="4" t="s">
        <v>376</v>
      </c>
      <c r="AR1953" s="4" t="s">
        <v>377</v>
      </c>
    </row>
    <row r="1954" spans="1:44" ht="30">
      <c r="A1954" s="4" t="s">
        <v>5</v>
      </c>
      <c r="C1954" s="4">
        <v>3609</v>
      </c>
      <c r="D1954" s="5" t="s">
        <v>93</v>
      </c>
      <c r="E1954" s="6" t="s">
        <v>3091</v>
      </c>
      <c r="AP1954" s="4" t="s">
        <v>376</v>
      </c>
      <c r="AR1954" s="4" t="s">
        <v>377</v>
      </c>
    </row>
    <row r="1955" spans="1:44">
      <c r="A1955" s="4" t="s">
        <v>5</v>
      </c>
      <c r="C1955" s="4">
        <v>5768</v>
      </c>
      <c r="D1955" s="5" t="s">
        <v>93</v>
      </c>
      <c r="E1955" s="6" t="s">
        <v>3092</v>
      </c>
      <c r="AP1955" s="4" t="s">
        <v>376</v>
      </c>
      <c r="AR1955" s="4" t="s">
        <v>377</v>
      </c>
    </row>
    <row r="1956" spans="1:44">
      <c r="A1956" s="4" t="s">
        <v>5</v>
      </c>
      <c r="C1956" s="4">
        <v>2798</v>
      </c>
      <c r="D1956" s="5" t="s">
        <v>93</v>
      </c>
      <c r="E1956" s="6" t="s">
        <v>3093</v>
      </c>
      <c r="AP1956" s="4" t="s">
        <v>376</v>
      </c>
      <c r="AR1956" s="4" t="s">
        <v>377</v>
      </c>
    </row>
    <row r="1957" spans="1:44">
      <c r="A1957" s="4" t="s">
        <v>5</v>
      </c>
      <c r="C1957" s="4">
        <v>1113</v>
      </c>
      <c r="D1957" s="5" t="s">
        <v>93</v>
      </c>
      <c r="E1957" s="6" t="s">
        <v>3094</v>
      </c>
      <c r="F1957" s="5" t="s">
        <v>3095</v>
      </c>
      <c r="AP1957" s="4" t="s">
        <v>376</v>
      </c>
      <c r="AR1957" s="4" t="s">
        <v>377</v>
      </c>
    </row>
    <row r="1958" spans="1:44">
      <c r="A1958" s="4" t="s">
        <v>5</v>
      </c>
      <c r="C1958" s="4">
        <v>5590</v>
      </c>
      <c r="D1958" s="5" t="s">
        <v>93</v>
      </c>
      <c r="E1958" s="6" t="s">
        <v>3096</v>
      </c>
      <c r="AP1958" s="4" t="s">
        <v>376</v>
      </c>
      <c r="AR1958" s="4" t="s">
        <v>377</v>
      </c>
    </row>
    <row r="1959" spans="1:44" ht="30">
      <c r="A1959" s="4" t="s">
        <v>5</v>
      </c>
      <c r="C1959" s="4">
        <v>484</v>
      </c>
      <c r="D1959" s="5" t="s">
        <v>93</v>
      </c>
      <c r="E1959" s="6" t="s">
        <v>3097</v>
      </c>
      <c r="F1959" s="5" t="s">
        <v>3098</v>
      </c>
      <c r="AP1959" s="4" t="s">
        <v>376</v>
      </c>
      <c r="AR1959" s="4" t="s">
        <v>377</v>
      </c>
    </row>
    <row r="1960" spans="1:44">
      <c r="A1960" s="4" t="s">
        <v>5</v>
      </c>
      <c r="C1960" s="4">
        <v>3904</v>
      </c>
      <c r="D1960" s="5" t="s">
        <v>93</v>
      </c>
      <c r="E1960" s="6" t="s">
        <v>3099</v>
      </c>
      <c r="AP1960" s="4" t="s">
        <v>376</v>
      </c>
      <c r="AR1960" s="4" t="s">
        <v>377</v>
      </c>
    </row>
    <row r="1961" spans="1:44">
      <c r="A1961" s="4" t="s">
        <v>5</v>
      </c>
      <c r="C1961" s="4">
        <v>1995</v>
      </c>
      <c r="D1961" s="5" t="s">
        <v>93</v>
      </c>
      <c r="E1961" s="6" t="s">
        <v>3100</v>
      </c>
      <c r="F1961" s="5" t="s">
        <v>3101</v>
      </c>
      <c r="AP1961" s="4" t="s">
        <v>376</v>
      </c>
      <c r="AR1961" s="4" t="s">
        <v>377</v>
      </c>
    </row>
    <row r="1962" spans="1:44">
      <c r="A1962" s="4" t="s">
        <v>5</v>
      </c>
      <c r="C1962" s="4">
        <v>6306</v>
      </c>
      <c r="D1962" s="5" t="s">
        <v>93</v>
      </c>
      <c r="E1962" s="6" t="s">
        <v>3102</v>
      </c>
      <c r="AP1962" s="4" t="s">
        <v>376</v>
      </c>
      <c r="AR1962" s="4" t="s">
        <v>377</v>
      </c>
    </row>
    <row r="1963" spans="1:44">
      <c r="A1963" s="4" t="s">
        <v>5</v>
      </c>
      <c r="C1963" s="4">
        <v>788</v>
      </c>
      <c r="D1963" s="5" t="s">
        <v>93</v>
      </c>
      <c r="E1963" s="6" t="s">
        <v>3103</v>
      </c>
      <c r="F1963" s="5" t="s">
        <v>3104</v>
      </c>
      <c r="AP1963" s="4" t="s">
        <v>376</v>
      </c>
      <c r="AR1963" s="4" t="s">
        <v>377</v>
      </c>
    </row>
    <row r="1964" spans="1:44">
      <c r="A1964" s="4" t="s">
        <v>5</v>
      </c>
      <c r="C1964" s="4">
        <v>3442</v>
      </c>
      <c r="D1964" s="5" t="s">
        <v>93</v>
      </c>
      <c r="E1964" s="6" t="s">
        <v>3105</v>
      </c>
      <c r="AP1964" s="4" t="s">
        <v>376</v>
      </c>
      <c r="AR1964" s="4" t="s">
        <v>377</v>
      </c>
    </row>
    <row r="1965" spans="1:44" ht="30">
      <c r="A1965" s="4" t="s">
        <v>5</v>
      </c>
      <c r="C1965" s="4">
        <v>6970</v>
      </c>
      <c r="D1965" s="5" t="s">
        <v>93</v>
      </c>
      <c r="E1965" s="6" t="s">
        <v>3106</v>
      </c>
      <c r="AP1965" s="4" t="s">
        <v>376</v>
      </c>
      <c r="AR1965" s="4" t="s">
        <v>377</v>
      </c>
    </row>
    <row r="1966" spans="1:44">
      <c r="A1966" s="4" t="s">
        <v>5</v>
      </c>
      <c r="C1966" s="4">
        <v>2034</v>
      </c>
      <c r="D1966" s="5" t="s">
        <v>93</v>
      </c>
      <c r="E1966" s="6" t="s">
        <v>3107</v>
      </c>
      <c r="AP1966" s="4" t="s">
        <v>376</v>
      </c>
      <c r="AR1966" s="4" t="s">
        <v>377</v>
      </c>
    </row>
    <row r="1967" spans="1:44">
      <c r="A1967" s="4" t="s">
        <v>5</v>
      </c>
      <c r="C1967" s="4">
        <v>1712</v>
      </c>
      <c r="D1967" s="5" t="s">
        <v>93</v>
      </c>
      <c r="E1967" s="6" t="s">
        <v>3108</v>
      </c>
      <c r="AP1967" s="4" t="s">
        <v>376</v>
      </c>
      <c r="AR1967" s="4" t="s">
        <v>377</v>
      </c>
    </row>
    <row r="1968" spans="1:44">
      <c r="A1968" s="4" t="s">
        <v>5</v>
      </c>
      <c r="C1968" s="4">
        <v>4118</v>
      </c>
      <c r="D1968" s="5" t="s">
        <v>93</v>
      </c>
      <c r="E1968" s="6" t="s">
        <v>3109</v>
      </c>
      <c r="AP1968" s="4" t="s">
        <v>376</v>
      </c>
      <c r="AR1968" s="4" t="s">
        <v>377</v>
      </c>
    </row>
    <row r="1969" spans="1:44">
      <c r="A1969" s="4" t="s">
        <v>5</v>
      </c>
      <c r="C1969" s="4">
        <v>4816</v>
      </c>
      <c r="D1969" s="5" t="s">
        <v>93</v>
      </c>
      <c r="E1969" s="6" t="s">
        <v>3110</v>
      </c>
      <c r="AP1969" s="4" t="s">
        <v>376</v>
      </c>
      <c r="AR1969" s="4" t="s">
        <v>377</v>
      </c>
    </row>
    <row r="1970" spans="1:44">
      <c r="A1970" s="4" t="s">
        <v>5</v>
      </c>
      <c r="C1970" s="4">
        <v>4556</v>
      </c>
      <c r="D1970" s="5" t="s">
        <v>93</v>
      </c>
      <c r="E1970" s="6" t="s">
        <v>3111</v>
      </c>
      <c r="AP1970" s="4" t="s">
        <v>376</v>
      </c>
      <c r="AR1970" s="4" t="s">
        <v>377</v>
      </c>
    </row>
    <row r="1971" spans="1:44">
      <c r="A1971" s="4" t="s">
        <v>5</v>
      </c>
      <c r="C1971" s="4">
        <v>7009</v>
      </c>
      <c r="D1971" s="5" t="s">
        <v>93</v>
      </c>
      <c r="E1971" s="6" t="s">
        <v>3112</v>
      </c>
      <c r="AP1971" s="4" t="s">
        <v>376</v>
      </c>
      <c r="AR1971" s="4" t="s">
        <v>377</v>
      </c>
    </row>
    <row r="1972" spans="1:44" ht="30">
      <c r="A1972" s="4" t="s">
        <v>5</v>
      </c>
      <c r="C1972" s="4">
        <v>4054</v>
      </c>
      <c r="D1972" s="5" t="s">
        <v>93</v>
      </c>
      <c r="E1972" s="6" t="s">
        <v>3113</v>
      </c>
      <c r="F1972" s="5" t="s">
        <v>3114</v>
      </c>
      <c r="Z1972" s="4" t="s">
        <v>443</v>
      </c>
      <c r="AA1972" s="4" t="s">
        <v>444</v>
      </c>
      <c r="AP1972" s="4" t="s">
        <v>376</v>
      </c>
      <c r="AR1972" s="4" t="s">
        <v>377</v>
      </c>
    </row>
    <row r="1973" spans="1:44">
      <c r="A1973" s="4" t="s">
        <v>5</v>
      </c>
      <c r="C1973" s="4">
        <v>2546</v>
      </c>
      <c r="D1973" s="5" t="s">
        <v>93</v>
      </c>
      <c r="E1973" s="6" t="s">
        <v>3115</v>
      </c>
      <c r="AP1973" s="4" t="s">
        <v>376</v>
      </c>
      <c r="AR1973" s="4" t="s">
        <v>377</v>
      </c>
    </row>
    <row r="1974" spans="1:44">
      <c r="A1974" s="4" t="s">
        <v>5</v>
      </c>
      <c r="C1974" s="4">
        <v>4990</v>
      </c>
      <c r="D1974" s="5" t="s">
        <v>93</v>
      </c>
      <c r="E1974" s="6" t="s">
        <v>3116</v>
      </c>
      <c r="AP1974" s="4" t="s">
        <v>376</v>
      </c>
      <c r="AR1974" s="4" t="s">
        <v>377</v>
      </c>
    </row>
    <row r="1975" spans="1:44">
      <c r="A1975" s="4" t="s">
        <v>5</v>
      </c>
      <c r="C1975" s="4">
        <v>591</v>
      </c>
      <c r="D1975" s="5" t="s">
        <v>93</v>
      </c>
      <c r="E1975" s="6" t="s">
        <v>3117</v>
      </c>
      <c r="F1975" s="5" t="s">
        <v>3118</v>
      </c>
      <c r="AP1975" s="4" t="s">
        <v>376</v>
      </c>
      <c r="AR1975" s="4" t="s">
        <v>377</v>
      </c>
    </row>
    <row r="1976" spans="1:44">
      <c r="A1976" s="4" t="s">
        <v>5</v>
      </c>
      <c r="C1976" s="4">
        <v>271</v>
      </c>
      <c r="D1976" s="5" t="s">
        <v>93</v>
      </c>
      <c r="E1976" s="6" t="s">
        <v>3119</v>
      </c>
      <c r="F1976" s="5" t="s">
        <v>3120</v>
      </c>
      <c r="AP1976" s="4" t="s">
        <v>376</v>
      </c>
      <c r="AR1976" s="4" t="s">
        <v>377</v>
      </c>
    </row>
    <row r="1977" spans="1:44">
      <c r="A1977" s="4" t="s">
        <v>5</v>
      </c>
      <c r="C1977" s="4">
        <v>1088</v>
      </c>
      <c r="D1977" s="5" t="s">
        <v>93</v>
      </c>
      <c r="E1977" s="6" t="s">
        <v>3121</v>
      </c>
      <c r="AP1977" s="4" t="s">
        <v>376</v>
      </c>
      <c r="AR1977" s="4" t="s">
        <v>377</v>
      </c>
    </row>
    <row r="1978" spans="1:44" ht="30">
      <c r="A1978" s="4" t="s">
        <v>5</v>
      </c>
      <c r="C1978" s="4">
        <v>6171</v>
      </c>
      <c r="D1978" s="5" t="s">
        <v>93</v>
      </c>
      <c r="E1978" s="6" t="s">
        <v>3122</v>
      </c>
      <c r="AP1978" s="4" t="s">
        <v>376</v>
      </c>
      <c r="AR1978" s="4" t="s">
        <v>377</v>
      </c>
    </row>
    <row r="1979" spans="1:44">
      <c r="A1979" s="4" t="s">
        <v>5</v>
      </c>
      <c r="C1979" s="4">
        <v>3998</v>
      </c>
      <c r="D1979" s="5" t="s">
        <v>93</v>
      </c>
      <c r="E1979" s="6" t="s">
        <v>3123</v>
      </c>
      <c r="AP1979" s="4" t="s">
        <v>376</v>
      </c>
      <c r="AR1979" s="4" t="s">
        <v>377</v>
      </c>
    </row>
    <row r="1980" spans="1:44">
      <c r="A1980" s="4" t="s">
        <v>5</v>
      </c>
      <c r="C1980" s="4">
        <v>6014</v>
      </c>
      <c r="D1980" s="5" t="s">
        <v>93</v>
      </c>
      <c r="E1980" s="6" t="s">
        <v>3124</v>
      </c>
      <c r="AP1980" s="4" t="s">
        <v>376</v>
      </c>
      <c r="AR1980" s="4" t="s">
        <v>377</v>
      </c>
    </row>
    <row r="1981" spans="1:44">
      <c r="A1981" s="4" t="s">
        <v>5</v>
      </c>
      <c r="C1981" s="4">
        <v>1365</v>
      </c>
      <c r="D1981" s="5" t="s">
        <v>93</v>
      </c>
      <c r="E1981" s="6" t="s">
        <v>3125</v>
      </c>
      <c r="F1981" s="5" t="s">
        <v>3126</v>
      </c>
      <c r="AP1981" s="4" t="s">
        <v>376</v>
      </c>
      <c r="AR1981" s="4" t="s">
        <v>377</v>
      </c>
    </row>
    <row r="1982" spans="1:44">
      <c r="A1982" s="4" t="s">
        <v>5</v>
      </c>
      <c r="C1982" s="4">
        <v>5381</v>
      </c>
      <c r="D1982" s="5" t="s">
        <v>93</v>
      </c>
      <c r="E1982" s="6" t="s">
        <v>3127</v>
      </c>
      <c r="AP1982" s="4" t="s">
        <v>376</v>
      </c>
      <c r="AR1982" s="4" t="s">
        <v>377</v>
      </c>
    </row>
    <row r="1983" spans="1:44">
      <c r="A1983" s="4" t="s">
        <v>5</v>
      </c>
      <c r="C1983" s="4">
        <v>3425</v>
      </c>
      <c r="D1983" s="5" t="s">
        <v>93</v>
      </c>
      <c r="E1983" s="6" t="s">
        <v>3128</v>
      </c>
      <c r="AP1983" s="4" t="s">
        <v>376</v>
      </c>
      <c r="AR1983" s="4" t="s">
        <v>377</v>
      </c>
    </row>
    <row r="1984" spans="1:44">
      <c r="A1984" s="4" t="s">
        <v>5</v>
      </c>
      <c r="C1984" s="4">
        <v>4326</v>
      </c>
      <c r="D1984" s="5" t="s">
        <v>93</v>
      </c>
      <c r="E1984" s="6" t="s">
        <v>3129</v>
      </c>
      <c r="Z1984" s="4" t="s">
        <v>443</v>
      </c>
      <c r="AA1984" s="4" t="s">
        <v>444</v>
      </c>
      <c r="AP1984" s="4" t="s">
        <v>376</v>
      </c>
      <c r="AR1984" s="4" t="s">
        <v>377</v>
      </c>
    </row>
    <row r="1985" spans="1:44">
      <c r="A1985" s="4" t="s">
        <v>5</v>
      </c>
      <c r="C1985" s="4">
        <v>4024</v>
      </c>
      <c r="D1985" s="5" t="s">
        <v>93</v>
      </c>
      <c r="E1985" s="6" t="s">
        <v>3130</v>
      </c>
      <c r="AP1985" s="4" t="s">
        <v>376</v>
      </c>
      <c r="AR1985" s="4" t="s">
        <v>377</v>
      </c>
    </row>
    <row r="1986" spans="1:44">
      <c r="A1986" s="4" t="s">
        <v>5</v>
      </c>
      <c r="C1986" s="4">
        <v>6526</v>
      </c>
      <c r="D1986" s="5" t="s">
        <v>93</v>
      </c>
      <c r="E1986" s="6" t="s">
        <v>3131</v>
      </c>
      <c r="AP1986" s="4" t="s">
        <v>376</v>
      </c>
      <c r="AR1986" s="4" t="s">
        <v>377</v>
      </c>
    </row>
    <row r="1987" spans="1:44">
      <c r="A1987" s="4" t="s">
        <v>5</v>
      </c>
      <c r="C1987" s="4">
        <v>5655</v>
      </c>
      <c r="D1987" s="5" t="s">
        <v>93</v>
      </c>
      <c r="E1987" s="6" t="s">
        <v>3132</v>
      </c>
      <c r="AP1987" s="4" t="s">
        <v>376</v>
      </c>
      <c r="AR1987" s="4" t="s">
        <v>377</v>
      </c>
    </row>
    <row r="1988" spans="1:44" ht="30">
      <c r="A1988" s="4" t="s">
        <v>5</v>
      </c>
      <c r="C1988" s="4">
        <v>3509</v>
      </c>
      <c r="D1988" s="5" t="s">
        <v>93</v>
      </c>
      <c r="E1988" s="6" t="s">
        <v>3133</v>
      </c>
      <c r="F1988" s="5" t="s">
        <v>3134</v>
      </c>
      <c r="AP1988" s="4" t="s">
        <v>376</v>
      </c>
      <c r="AR1988" s="4" t="s">
        <v>377</v>
      </c>
    </row>
    <row r="1989" spans="1:44" ht="30">
      <c r="A1989" s="4" t="s">
        <v>5</v>
      </c>
      <c r="C1989" s="4">
        <v>2002</v>
      </c>
      <c r="D1989" s="5" t="s">
        <v>93</v>
      </c>
      <c r="E1989" s="6" t="s">
        <v>3135</v>
      </c>
      <c r="F1989" s="5" t="s">
        <v>3136</v>
      </c>
      <c r="Z1989" s="4" t="s">
        <v>447</v>
      </c>
      <c r="AA1989" s="4" t="s">
        <v>448</v>
      </c>
      <c r="AP1989" s="4" t="s">
        <v>376</v>
      </c>
      <c r="AR1989" s="4" t="s">
        <v>377</v>
      </c>
    </row>
    <row r="1990" spans="1:44">
      <c r="A1990" s="4" t="s">
        <v>5</v>
      </c>
      <c r="C1990" s="4">
        <v>1628</v>
      </c>
      <c r="D1990" s="5" t="s">
        <v>93</v>
      </c>
      <c r="E1990" s="6" t="s">
        <v>3137</v>
      </c>
      <c r="F1990" s="5" t="s">
        <v>3138</v>
      </c>
      <c r="AP1990" s="4" t="s">
        <v>376</v>
      </c>
      <c r="AR1990" s="4" t="s">
        <v>377</v>
      </c>
    </row>
    <row r="1991" spans="1:44">
      <c r="A1991" s="4" t="s">
        <v>5</v>
      </c>
      <c r="C1991" s="4">
        <v>3166</v>
      </c>
      <c r="D1991" s="5" t="s">
        <v>93</v>
      </c>
      <c r="E1991" s="6" t="s">
        <v>3139</v>
      </c>
      <c r="AP1991" s="4" t="s">
        <v>376</v>
      </c>
      <c r="AR1991" s="4" t="s">
        <v>377</v>
      </c>
    </row>
    <row r="1992" spans="1:44">
      <c r="A1992" s="4" t="s">
        <v>5</v>
      </c>
      <c r="C1992" s="4">
        <v>3414</v>
      </c>
      <c r="D1992" s="5" t="s">
        <v>93</v>
      </c>
      <c r="E1992" s="6" t="s">
        <v>3140</v>
      </c>
      <c r="AP1992" s="4" t="s">
        <v>376</v>
      </c>
      <c r="AR1992" s="4" t="s">
        <v>377</v>
      </c>
    </row>
    <row r="1993" spans="1:44">
      <c r="A1993" s="4" t="s">
        <v>5</v>
      </c>
      <c r="C1993" s="4">
        <v>6268</v>
      </c>
      <c r="D1993" s="5" t="s">
        <v>93</v>
      </c>
      <c r="E1993" s="6" t="s">
        <v>3141</v>
      </c>
      <c r="AP1993" s="4" t="s">
        <v>376</v>
      </c>
      <c r="AR1993" s="4" t="s">
        <v>377</v>
      </c>
    </row>
    <row r="1994" spans="1:44">
      <c r="A1994" s="4" t="s">
        <v>5</v>
      </c>
      <c r="C1994" s="4">
        <v>913</v>
      </c>
      <c r="D1994" s="5" t="s">
        <v>93</v>
      </c>
      <c r="E1994" s="6" t="s">
        <v>3142</v>
      </c>
      <c r="AP1994" s="4" t="s">
        <v>376</v>
      </c>
      <c r="AR1994" s="4" t="s">
        <v>377</v>
      </c>
    </row>
    <row r="1995" spans="1:44" ht="30">
      <c r="A1995" s="4" t="s">
        <v>5</v>
      </c>
      <c r="C1995" s="4">
        <v>1574</v>
      </c>
      <c r="D1995" s="5" t="s">
        <v>93</v>
      </c>
      <c r="E1995" s="6" t="s">
        <v>3143</v>
      </c>
      <c r="Z1995" s="4" t="s">
        <v>447</v>
      </c>
      <c r="AA1995" s="4" t="s">
        <v>448</v>
      </c>
      <c r="AP1995" s="4" t="s">
        <v>376</v>
      </c>
      <c r="AR1995" s="4" t="s">
        <v>377</v>
      </c>
    </row>
    <row r="1996" spans="1:44" ht="30">
      <c r="A1996" s="4" t="s">
        <v>5</v>
      </c>
      <c r="C1996" s="4">
        <v>4015</v>
      </c>
      <c r="D1996" s="5" t="s">
        <v>93</v>
      </c>
      <c r="E1996" s="6" t="s">
        <v>3144</v>
      </c>
      <c r="AP1996" s="4" t="s">
        <v>376</v>
      </c>
      <c r="AR1996" s="4" t="s">
        <v>377</v>
      </c>
    </row>
    <row r="1997" spans="1:44">
      <c r="A1997" s="4" t="s">
        <v>5</v>
      </c>
      <c r="C1997" s="4">
        <v>4373</v>
      </c>
      <c r="D1997" s="5" t="s">
        <v>93</v>
      </c>
      <c r="E1997" s="6" t="s">
        <v>3145</v>
      </c>
      <c r="AP1997" s="4" t="s">
        <v>376</v>
      </c>
      <c r="AR1997" s="4" t="s">
        <v>377</v>
      </c>
    </row>
    <row r="1998" spans="1:44" ht="30">
      <c r="A1998" s="4" t="s">
        <v>5</v>
      </c>
      <c r="C1998" s="4">
        <v>4955</v>
      </c>
      <c r="D1998" s="5" t="s">
        <v>93</v>
      </c>
      <c r="E1998" s="6" t="s">
        <v>3146</v>
      </c>
      <c r="F1998" s="5" t="s">
        <v>3147</v>
      </c>
      <c r="Z1998" s="4" t="s">
        <v>447</v>
      </c>
      <c r="AA1998" s="4" t="s">
        <v>448</v>
      </c>
      <c r="AP1998" s="4" t="s">
        <v>376</v>
      </c>
      <c r="AR1998" s="4" t="s">
        <v>377</v>
      </c>
    </row>
    <row r="1999" spans="1:44">
      <c r="A1999" s="4" t="s">
        <v>5</v>
      </c>
      <c r="C1999" s="4">
        <v>4415</v>
      </c>
      <c r="D1999" s="5" t="s">
        <v>93</v>
      </c>
      <c r="E1999" s="6" t="s">
        <v>3148</v>
      </c>
      <c r="AP1999" s="4" t="s">
        <v>376</v>
      </c>
      <c r="AR1999" s="4" t="s">
        <v>377</v>
      </c>
    </row>
    <row r="2000" spans="1:44">
      <c r="A2000" s="4" t="s">
        <v>5</v>
      </c>
      <c r="C2000" s="4">
        <v>2345</v>
      </c>
      <c r="D2000" s="5" t="s">
        <v>93</v>
      </c>
      <c r="E2000" s="6" t="s">
        <v>3149</v>
      </c>
      <c r="F2000" s="5" t="s">
        <v>3150</v>
      </c>
      <c r="AP2000" s="4" t="s">
        <v>376</v>
      </c>
      <c r="AR2000" s="4" t="s">
        <v>377</v>
      </c>
    </row>
    <row r="2001" spans="1:44">
      <c r="A2001" s="4" t="s">
        <v>5</v>
      </c>
      <c r="C2001" s="4">
        <v>3738</v>
      </c>
      <c r="D2001" s="5" t="s">
        <v>93</v>
      </c>
      <c r="E2001" s="6" t="s">
        <v>3151</v>
      </c>
      <c r="AP2001" s="4" t="s">
        <v>376</v>
      </c>
      <c r="AR2001" s="4" t="s">
        <v>377</v>
      </c>
    </row>
    <row r="2002" spans="1:44">
      <c r="A2002" s="4" t="s">
        <v>5</v>
      </c>
      <c r="C2002" s="4">
        <v>6409</v>
      </c>
      <c r="D2002" s="5" t="s">
        <v>93</v>
      </c>
      <c r="E2002" s="6" t="s">
        <v>3152</v>
      </c>
      <c r="AP2002" s="4" t="s">
        <v>376</v>
      </c>
      <c r="AR2002" s="4" t="s">
        <v>377</v>
      </c>
    </row>
    <row r="2003" spans="1:44" ht="30">
      <c r="A2003" s="4" t="s">
        <v>5</v>
      </c>
      <c r="C2003" s="4">
        <v>4202</v>
      </c>
      <c r="D2003" s="5" t="s">
        <v>93</v>
      </c>
      <c r="E2003" s="6" t="s">
        <v>3153</v>
      </c>
      <c r="AP2003" s="4" t="s">
        <v>376</v>
      </c>
      <c r="AR2003" s="4" t="s">
        <v>377</v>
      </c>
    </row>
    <row r="2004" spans="1:44">
      <c r="A2004" s="4" t="s">
        <v>5</v>
      </c>
      <c r="C2004" s="4">
        <v>5973</v>
      </c>
      <c r="D2004" s="5" t="s">
        <v>93</v>
      </c>
      <c r="E2004" s="6" t="s">
        <v>3154</v>
      </c>
      <c r="AP2004" s="4" t="s">
        <v>376</v>
      </c>
      <c r="AR2004" s="4" t="s">
        <v>377</v>
      </c>
    </row>
    <row r="2005" spans="1:44">
      <c r="A2005" s="4" t="s">
        <v>5</v>
      </c>
      <c r="C2005" s="4">
        <v>3681</v>
      </c>
      <c r="D2005" s="5" t="s">
        <v>93</v>
      </c>
      <c r="E2005" s="6" t="s">
        <v>3155</v>
      </c>
      <c r="AP2005" s="4" t="s">
        <v>376</v>
      </c>
      <c r="AR2005" s="4" t="s">
        <v>377</v>
      </c>
    </row>
    <row r="2006" spans="1:44">
      <c r="A2006" s="4" t="s">
        <v>5</v>
      </c>
      <c r="C2006" s="4">
        <v>1948</v>
      </c>
      <c r="D2006" s="5" t="s">
        <v>93</v>
      </c>
      <c r="E2006" s="6" t="s">
        <v>3156</v>
      </c>
      <c r="F2006" s="5" t="s">
        <v>3157</v>
      </c>
      <c r="AP2006" s="4" t="s">
        <v>376</v>
      </c>
      <c r="AR2006" s="4" t="s">
        <v>377</v>
      </c>
    </row>
    <row r="2007" spans="1:44">
      <c r="A2007" s="4" t="s">
        <v>5</v>
      </c>
      <c r="C2007" s="4">
        <v>2083</v>
      </c>
      <c r="D2007" s="5" t="s">
        <v>93</v>
      </c>
      <c r="E2007" s="6" t="s">
        <v>3158</v>
      </c>
      <c r="AP2007" s="4" t="s">
        <v>376</v>
      </c>
      <c r="AR2007" s="4" t="s">
        <v>377</v>
      </c>
    </row>
    <row r="2008" spans="1:44" ht="30">
      <c r="A2008" s="4" t="s">
        <v>5</v>
      </c>
      <c r="C2008" s="4">
        <v>2941</v>
      </c>
      <c r="D2008" s="5" t="s">
        <v>93</v>
      </c>
      <c r="E2008" s="6" t="s">
        <v>3159</v>
      </c>
      <c r="AP2008" s="4" t="s">
        <v>376</v>
      </c>
      <c r="AR2008" s="4" t="s">
        <v>377</v>
      </c>
    </row>
    <row r="2009" spans="1:44">
      <c r="A2009" s="4" t="s">
        <v>5</v>
      </c>
      <c r="C2009" s="4">
        <v>1388</v>
      </c>
      <c r="D2009" s="5" t="s">
        <v>93</v>
      </c>
      <c r="E2009" s="6" t="s">
        <v>3160</v>
      </c>
      <c r="F2009" s="5" t="s">
        <v>3161</v>
      </c>
      <c r="Z2009" s="4" t="s">
        <v>447</v>
      </c>
      <c r="AA2009" s="4" t="s">
        <v>448</v>
      </c>
      <c r="AP2009" s="4" t="s">
        <v>376</v>
      </c>
      <c r="AR2009" s="4" t="s">
        <v>377</v>
      </c>
    </row>
    <row r="2010" spans="1:44">
      <c r="A2010" s="4" t="s">
        <v>5</v>
      </c>
      <c r="C2010" s="4">
        <v>4083</v>
      </c>
      <c r="D2010" s="5" t="s">
        <v>93</v>
      </c>
      <c r="E2010" s="6" t="s">
        <v>3162</v>
      </c>
      <c r="AP2010" s="4" t="s">
        <v>376</v>
      </c>
      <c r="AR2010" s="4" t="s">
        <v>377</v>
      </c>
    </row>
    <row r="2011" spans="1:44" ht="30">
      <c r="A2011" s="4" t="s">
        <v>5</v>
      </c>
      <c r="C2011" s="4">
        <v>6568</v>
      </c>
      <c r="D2011" s="5" t="s">
        <v>93</v>
      </c>
      <c r="E2011" s="6" t="s">
        <v>3163</v>
      </c>
      <c r="AP2011" s="4" t="s">
        <v>376</v>
      </c>
      <c r="AR2011" s="4" t="s">
        <v>377</v>
      </c>
    </row>
    <row r="2012" spans="1:44" ht="30">
      <c r="A2012" s="4" t="s">
        <v>5</v>
      </c>
      <c r="C2012" s="4">
        <v>1140</v>
      </c>
      <c r="D2012" s="5" t="s">
        <v>93</v>
      </c>
      <c r="E2012" s="6" t="s">
        <v>3164</v>
      </c>
      <c r="F2012" s="5" t="s">
        <v>3165</v>
      </c>
      <c r="Z2012" s="4" t="s">
        <v>512</v>
      </c>
      <c r="AA2012" s="4" t="s">
        <v>513</v>
      </c>
      <c r="AP2012" s="4" t="s">
        <v>376</v>
      </c>
      <c r="AR2012" s="4" t="s">
        <v>377</v>
      </c>
    </row>
    <row r="2013" spans="1:44">
      <c r="A2013" s="4" t="s">
        <v>5</v>
      </c>
      <c r="C2013" s="4">
        <v>3377</v>
      </c>
      <c r="D2013" s="5" t="s">
        <v>93</v>
      </c>
      <c r="E2013" s="6" t="s">
        <v>3166</v>
      </c>
      <c r="AP2013" s="4" t="s">
        <v>376</v>
      </c>
      <c r="AR2013" s="4" t="s">
        <v>377</v>
      </c>
    </row>
    <row r="2014" spans="1:44" ht="30">
      <c r="A2014" s="4" t="s">
        <v>5</v>
      </c>
      <c r="C2014" s="4">
        <v>4294</v>
      </c>
      <c r="D2014" s="5" t="s">
        <v>93</v>
      </c>
      <c r="E2014" s="6" t="s">
        <v>3167</v>
      </c>
      <c r="AP2014" s="4" t="s">
        <v>376</v>
      </c>
      <c r="AR2014" s="4" t="s">
        <v>377</v>
      </c>
    </row>
    <row r="2015" spans="1:44">
      <c r="A2015" s="4" t="s">
        <v>5</v>
      </c>
      <c r="C2015" s="4">
        <v>4947</v>
      </c>
      <c r="D2015" s="5" t="s">
        <v>93</v>
      </c>
      <c r="E2015" s="6" t="s">
        <v>3168</v>
      </c>
      <c r="AP2015" s="4" t="s">
        <v>376</v>
      </c>
      <c r="AR2015" s="4" t="s">
        <v>377</v>
      </c>
    </row>
    <row r="2016" spans="1:44">
      <c r="A2016" s="4" t="s">
        <v>5</v>
      </c>
      <c r="C2016" s="4">
        <v>107</v>
      </c>
      <c r="D2016" s="5" t="s">
        <v>93</v>
      </c>
      <c r="E2016" s="6" t="s">
        <v>3169</v>
      </c>
      <c r="F2016" s="5" t="s">
        <v>3170</v>
      </c>
      <c r="AP2016" s="4" t="s">
        <v>376</v>
      </c>
      <c r="AR2016" s="4" t="s">
        <v>377</v>
      </c>
    </row>
    <row r="2017" spans="1:44">
      <c r="A2017" s="4" t="s">
        <v>5</v>
      </c>
      <c r="C2017" s="4">
        <v>2265</v>
      </c>
      <c r="D2017" s="5" t="s">
        <v>93</v>
      </c>
      <c r="E2017" s="6" t="s">
        <v>3171</v>
      </c>
      <c r="F2017" s="5" t="s">
        <v>3172</v>
      </c>
      <c r="Z2017" s="4" t="s">
        <v>443</v>
      </c>
      <c r="AA2017" s="4" t="s">
        <v>444</v>
      </c>
      <c r="AP2017" s="4" t="s">
        <v>376</v>
      </c>
      <c r="AR2017" s="4" t="s">
        <v>377</v>
      </c>
    </row>
    <row r="2018" spans="1:44">
      <c r="A2018" s="4" t="s">
        <v>5</v>
      </c>
      <c r="C2018" s="4">
        <v>2545</v>
      </c>
      <c r="D2018" s="5" t="s">
        <v>93</v>
      </c>
      <c r="E2018" s="6" t="s">
        <v>3173</v>
      </c>
      <c r="AP2018" s="4" t="s">
        <v>376</v>
      </c>
      <c r="AR2018" s="4" t="s">
        <v>377</v>
      </c>
    </row>
    <row r="2019" spans="1:44">
      <c r="A2019" s="4" t="s">
        <v>5</v>
      </c>
      <c r="C2019" s="4">
        <v>2015</v>
      </c>
      <c r="D2019" s="5" t="s">
        <v>93</v>
      </c>
      <c r="E2019" s="6" t="s">
        <v>3174</v>
      </c>
      <c r="Z2019" s="4" t="s">
        <v>447</v>
      </c>
      <c r="AA2019" s="4" t="s">
        <v>448</v>
      </c>
      <c r="AP2019" s="4" t="s">
        <v>376</v>
      </c>
      <c r="AR2019" s="4" t="s">
        <v>377</v>
      </c>
    </row>
    <row r="2020" spans="1:44">
      <c r="A2020" s="4" t="s">
        <v>5</v>
      </c>
      <c r="C2020" s="4">
        <v>2095</v>
      </c>
      <c r="D2020" s="5" t="s">
        <v>93</v>
      </c>
      <c r="E2020" s="6" t="s">
        <v>3175</v>
      </c>
      <c r="AP2020" s="4" t="s">
        <v>376</v>
      </c>
      <c r="AR2020" s="4" t="s">
        <v>377</v>
      </c>
    </row>
    <row r="2021" spans="1:44" ht="30">
      <c r="A2021" s="4" t="s">
        <v>5</v>
      </c>
      <c r="C2021" s="4">
        <v>680</v>
      </c>
      <c r="D2021" s="5" t="s">
        <v>93</v>
      </c>
      <c r="E2021" s="6" t="s">
        <v>3176</v>
      </c>
      <c r="AP2021" s="4" t="s">
        <v>376</v>
      </c>
      <c r="AR2021" s="4" t="s">
        <v>377</v>
      </c>
    </row>
    <row r="2022" spans="1:44">
      <c r="A2022" s="4" t="s">
        <v>5</v>
      </c>
      <c r="C2022" s="4">
        <v>5046</v>
      </c>
      <c r="D2022" s="5" t="s">
        <v>93</v>
      </c>
      <c r="E2022" s="6" t="s">
        <v>3177</v>
      </c>
      <c r="F2022" s="5" t="s">
        <v>3178</v>
      </c>
      <c r="AP2022" s="4" t="s">
        <v>376</v>
      </c>
      <c r="AR2022" s="4" t="s">
        <v>377</v>
      </c>
    </row>
    <row r="2023" spans="1:44">
      <c r="A2023" s="4" t="s">
        <v>5</v>
      </c>
      <c r="C2023" s="4">
        <v>463</v>
      </c>
      <c r="D2023" s="5" t="s">
        <v>93</v>
      </c>
      <c r="E2023" s="6" t="s">
        <v>3179</v>
      </c>
      <c r="F2023" s="5" t="s">
        <v>3180</v>
      </c>
      <c r="AP2023" s="4" t="s">
        <v>376</v>
      </c>
      <c r="AR2023" s="4" t="s">
        <v>377</v>
      </c>
    </row>
    <row r="2024" spans="1:44">
      <c r="A2024" s="4" t="s">
        <v>5</v>
      </c>
      <c r="C2024" s="4">
        <v>243</v>
      </c>
      <c r="D2024" s="5" t="s">
        <v>93</v>
      </c>
      <c r="E2024" s="6" t="s">
        <v>3181</v>
      </c>
      <c r="F2024" s="5" t="s">
        <v>3182</v>
      </c>
      <c r="AP2024" s="4" t="s">
        <v>376</v>
      </c>
      <c r="AR2024" s="4" t="s">
        <v>377</v>
      </c>
    </row>
    <row r="2025" spans="1:44">
      <c r="A2025" s="4" t="s">
        <v>5</v>
      </c>
      <c r="C2025" s="4">
        <v>5167</v>
      </c>
      <c r="D2025" s="5" t="s">
        <v>93</v>
      </c>
      <c r="E2025" s="6" t="s">
        <v>3183</v>
      </c>
      <c r="AP2025" s="4" t="s">
        <v>376</v>
      </c>
      <c r="AR2025" s="4" t="s">
        <v>377</v>
      </c>
    </row>
    <row r="2026" spans="1:44">
      <c r="A2026" s="4" t="s">
        <v>5</v>
      </c>
      <c r="C2026" s="4">
        <v>6049</v>
      </c>
      <c r="D2026" s="5" t="s">
        <v>93</v>
      </c>
      <c r="E2026" s="6" t="s">
        <v>3184</v>
      </c>
      <c r="AP2026" s="4" t="s">
        <v>376</v>
      </c>
      <c r="AR2026" s="4" t="s">
        <v>377</v>
      </c>
    </row>
    <row r="2027" spans="1:44" ht="30">
      <c r="A2027" s="4" t="s">
        <v>5</v>
      </c>
      <c r="C2027" s="4">
        <v>2077</v>
      </c>
      <c r="D2027" s="5" t="s">
        <v>93</v>
      </c>
      <c r="E2027" s="6" t="s">
        <v>3185</v>
      </c>
      <c r="F2027" s="5" t="s">
        <v>3186</v>
      </c>
      <c r="AP2027" s="4" t="s">
        <v>376</v>
      </c>
      <c r="AR2027" s="4" t="s">
        <v>377</v>
      </c>
    </row>
    <row r="2028" spans="1:44">
      <c r="A2028" s="4" t="s">
        <v>5</v>
      </c>
      <c r="C2028" s="4">
        <v>5054</v>
      </c>
      <c r="D2028" s="5" t="s">
        <v>93</v>
      </c>
      <c r="E2028" s="6" t="s">
        <v>3187</v>
      </c>
      <c r="AP2028" s="4" t="s">
        <v>376</v>
      </c>
      <c r="AR2028" s="4" t="s">
        <v>377</v>
      </c>
    </row>
    <row r="2029" spans="1:44" ht="30">
      <c r="A2029" s="4" t="s">
        <v>5</v>
      </c>
      <c r="C2029" s="4">
        <v>1252</v>
      </c>
      <c r="D2029" s="5" t="s">
        <v>93</v>
      </c>
      <c r="E2029" s="6" t="s">
        <v>3188</v>
      </c>
      <c r="AP2029" s="4" t="s">
        <v>376</v>
      </c>
      <c r="AR2029" s="4" t="s">
        <v>377</v>
      </c>
    </row>
    <row r="2030" spans="1:44">
      <c r="A2030" s="4" t="s">
        <v>5</v>
      </c>
      <c r="C2030" s="4">
        <v>2223</v>
      </c>
      <c r="D2030" s="5" t="s">
        <v>93</v>
      </c>
      <c r="E2030" s="6" t="s">
        <v>3189</v>
      </c>
      <c r="Z2030" s="4" t="s">
        <v>443</v>
      </c>
      <c r="AA2030" s="4" t="s">
        <v>444</v>
      </c>
      <c r="AP2030" s="4" t="s">
        <v>376</v>
      </c>
      <c r="AR2030" s="4" t="s">
        <v>377</v>
      </c>
    </row>
    <row r="2031" spans="1:44" ht="30">
      <c r="A2031" s="4" t="s">
        <v>5</v>
      </c>
      <c r="C2031" s="4">
        <v>1826</v>
      </c>
      <c r="D2031" s="5" t="s">
        <v>93</v>
      </c>
      <c r="E2031" s="6" t="s">
        <v>3190</v>
      </c>
      <c r="F2031" s="5" t="s">
        <v>3191</v>
      </c>
      <c r="Z2031" s="4" t="s">
        <v>695</v>
      </c>
      <c r="AA2031" s="4" t="s">
        <v>696</v>
      </c>
      <c r="AP2031" s="4" t="s">
        <v>376</v>
      </c>
      <c r="AR2031" s="4" t="s">
        <v>377</v>
      </c>
    </row>
    <row r="2032" spans="1:44">
      <c r="A2032" s="4" t="s">
        <v>5</v>
      </c>
      <c r="C2032" s="4">
        <v>4336</v>
      </c>
      <c r="D2032" s="5" t="s">
        <v>93</v>
      </c>
      <c r="E2032" s="6" t="s">
        <v>3192</v>
      </c>
      <c r="F2032" s="5" t="s">
        <v>3193</v>
      </c>
      <c r="Z2032" s="4" t="s">
        <v>443</v>
      </c>
      <c r="AA2032" s="4" t="s">
        <v>444</v>
      </c>
      <c r="AP2032" s="4" t="s">
        <v>376</v>
      </c>
      <c r="AR2032" s="4" t="s">
        <v>377</v>
      </c>
    </row>
    <row r="2033" spans="1:44">
      <c r="A2033" s="4" t="s">
        <v>5</v>
      </c>
      <c r="C2033" s="4">
        <v>3623</v>
      </c>
      <c r="D2033" s="5" t="s">
        <v>93</v>
      </c>
      <c r="E2033" s="6" t="s">
        <v>3194</v>
      </c>
      <c r="AP2033" s="4" t="s">
        <v>376</v>
      </c>
      <c r="AR2033" s="4" t="s">
        <v>377</v>
      </c>
    </row>
    <row r="2034" spans="1:44">
      <c r="A2034" s="4" t="s">
        <v>5</v>
      </c>
      <c r="C2034" s="4">
        <v>952</v>
      </c>
      <c r="D2034" s="5" t="s">
        <v>93</v>
      </c>
      <c r="E2034" s="6" t="s">
        <v>3195</v>
      </c>
      <c r="AP2034" s="4" t="s">
        <v>376</v>
      </c>
      <c r="AR2034" s="4" t="s">
        <v>377</v>
      </c>
    </row>
    <row r="2035" spans="1:44">
      <c r="A2035" s="4" t="s">
        <v>5</v>
      </c>
      <c r="C2035" s="4">
        <v>6415</v>
      </c>
      <c r="D2035" s="5" t="s">
        <v>93</v>
      </c>
      <c r="E2035" s="6" t="s">
        <v>3196</v>
      </c>
      <c r="F2035" s="5" t="s">
        <v>3197</v>
      </c>
      <c r="AP2035" s="4" t="s">
        <v>376</v>
      </c>
      <c r="AR2035" s="4" t="s">
        <v>377</v>
      </c>
    </row>
    <row r="2036" spans="1:44" ht="30">
      <c r="A2036" s="4" t="s">
        <v>5</v>
      </c>
      <c r="C2036" s="4">
        <v>4725</v>
      </c>
      <c r="D2036" s="5" t="s">
        <v>93</v>
      </c>
      <c r="E2036" s="6" t="s">
        <v>3198</v>
      </c>
      <c r="AP2036" s="4" t="s">
        <v>376</v>
      </c>
      <c r="AR2036" s="4" t="s">
        <v>377</v>
      </c>
    </row>
    <row r="2037" spans="1:44">
      <c r="A2037" s="4" t="s">
        <v>5</v>
      </c>
      <c r="C2037" s="4">
        <v>4908</v>
      </c>
      <c r="D2037" s="5" t="s">
        <v>93</v>
      </c>
      <c r="E2037" s="6" t="s">
        <v>3199</v>
      </c>
      <c r="AP2037" s="4" t="s">
        <v>376</v>
      </c>
      <c r="AR2037" s="4" t="s">
        <v>377</v>
      </c>
    </row>
    <row r="2038" spans="1:44" ht="30">
      <c r="A2038" s="4" t="s">
        <v>5</v>
      </c>
      <c r="C2038" s="4">
        <v>1409</v>
      </c>
      <c r="D2038" s="5" t="s">
        <v>93</v>
      </c>
      <c r="E2038" s="6" t="s">
        <v>3200</v>
      </c>
      <c r="AP2038" s="4" t="s">
        <v>376</v>
      </c>
      <c r="AR2038" s="4" t="s">
        <v>377</v>
      </c>
    </row>
    <row r="2039" spans="1:44" ht="30">
      <c r="A2039" s="4" t="s">
        <v>5</v>
      </c>
      <c r="C2039" s="4">
        <v>4411</v>
      </c>
      <c r="D2039" s="5" t="s">
        <v>93</v>
      </c>
      <c r="E2039" s="6" t="s">
        <v>3201</v>
      </c>
      <c r="AP2039" s="4" t="s">
        <v>376</v>
      </c>
      <c r="AR2039" s="4" t="s">
        <v>377</v>
      </c>
    </row>
    <row r="2040" spans="1:44">
      <c r="A2040" s="4" t="s">
        <v>5</v>
      </c>
      <c r="C2040" s="4">
        <v>5180</v>
      </c>
      <c r="D2040" s="5" t="s">
        <v>93</v>
      </c>
      <c r="E2040" s="6" t="s">
        <v>3202</v>
      </c>
      <c r="AP2040" s="4" t="s">
        <v>376</v>
      </c>
      <c r="AR2040" s="4" t="s">
        <v>377</v>
      </c>
    </row>
    <row r="2041" spans="1:44">
      <c r="A2041" s="4" t="s">
        <v>5</v>
      </c>
      <c r="C2041" s="4">
        <v>3257</v>
      </c>
      <c r="D2041" s="5" t="s">
        <v>93</v>
      </c>
      <c r="E2041" s="6" t="s">
        <v>3203</v>
      </c>
      <c r="AP2041" s="4" t="s">
        <v>376</v>
      </c>
      <c r="AR2041" s="4" t="s">
        <v>377</v>
      </c>
    </row>
    <row r="2042" spans="1:44">
      <c r="A2042" s="4" t="s">
        <v>5</v>
      </c>
      <c r="C2042" s="4">
        <v>1782</v>
      </c>
      <c r="D2042" s="5" t="s">
        <v>93</v>
      </c>
      <c r="E2042" s="6" t="s">
        <v>3204</v>
      </c>
      <c r="AP2042" s="4" t="s">
        <v>376</v>
      </c>
      <c r="AR2042" s="4" t="s">
        <v>377</v>
      </c>
    </row>
    <row r="2043" spans="1:44" ht="30">
      <c r="A2043" s="4" t="s">
        <v>5</v>
      </c>
      <c r="C2043" s="4">
        <v>944</v>
      </c>
      <c r="D2043" s="5" t="s">
        <v>93</v>
      </c>
      <c r="E2043" s="6" t="s">
        <v>3205</v>
      </c>
      <c r="AP2043" s="4" t="s">
        <v>376</v>
      </c>
      <c r="AR2043" s="4" t="s">
        <v>377</v>
      </c>
    </row>
    <row r="2044" spans="1:44">
      <c r="A2044" s="4" t="s">
        <v>5</v>
      </c>
      <c r="C2044" s="4">
        <v>2229</v>
      </c>
      <c r="D2044" s="5" t="s">
        <v>93</v>
      </c>
      <c r="E2044" s="6" t="s">
        <v>3206</v>
      </c>
      <c r="F2044" s="5" t="s">
        <v>3207</v>
      </c>
      <c r="AP2044" s="4" t="s">
        <v>376</v>
      </c>
      <c r="AR2044" s="4" t="s">
        <v>377</v>
      </c>
    </row>
    <row r="2045" spans="1:44">
      <c r="A2045" s="4" t="s">
        <v>5</v>
      </c>
      <c r="C2045" s="4">
        <v>3005</v>
      </c>
      <c r="D2045" s="5" t="s">
        <v>93</v>
      </c>
      <c r="E2045" s="6" t="s">
        <v>3208</v>
      </c>
      <c r="F2045" s="5" t="s">
        <v>3209</v>
      </c>
      <c r="Z2045" s="4" t="s">
        <v>443</v>
      </c>
      <c r="AA2045" s="4" t="s">
        <v>444</v>
      </c>
      <c r="AP2045" s="4" t="s">
        <v>376</v>
      </c>
      <c r="AR2045" s="4" t="s">
        <v>377</v>
      </c>
    </row>
    <row r="2046" spans="1:44" ht="30">
      <c r="A2046" s="4" t="s">
        <v>5</v>
      </c>
      <c r="C2046" s="4">
        <v>4893</v>
      </c>
      <c r="D2046" s="5" t="s">
        <v>93</v>
      </c>
      <c r="E2046" s="6" t="s">
        <v>3210</v>
      </c>
      <c r="F2046" s="5" t="s">
        <v>3211</v>
      </c>
      <c r="AP2046" s="4" t="s">
        <v>376</v>
      </c>
      <c r="AR2046" s="4" t="s">
        <v>377</v>
      </c>
    </row>
    <row r="2047" spans="1:44">
      <c r="A2047" s="4" t="s">
        <v>5</v>
      </c>
      <c r="C2047" s="4">
        <v>2826</v>
      </c>
      <c r="D2047" s="5" t="s">
        <v>93</v>
      </c>
      <c r="E2047" s="6" t="s">
        <v>3212</v>
      </c>
      <c r="F2047" s="5" t="s">
        <v>3213</v>
      </c>
      <c r="AP2047" s="4" t="s">
        <v>376</v>
      </c>
      <c r="AR2047" s="4" t="s">
        <v>377</v>
      </c>
    </row>
    <row r="2048" spans="1:44" ht="30">
      <c r="A2048" s="4" t="s">
        <v>5</v>
      </c>
      <c r="C2048" s="4">
        <v>3972</v>
      </c>
      <c r="D2048" s="5" t="s">
        <v>93</v>
      </c>
      <c r="E2048" s="6" t="s">
        <v>3214</v>
      </c>
      <c r="AP2048" s="4" t="s">
        <v>376</v>
      </c>
      <c r="AR2048" s="4" t="s">
        <v>377</v>
      </c>
    </row>
    <row r="2049" spans="1:44" ht="30">
      <c r="A2049" s="4" t="s">
        <v>5</v>
      </c>
      <c r="C2049" s="4">
        <v>2453</v>
      </c>
      <c r="D2049" s="5" t="s">
        <v>93</v>
      </c>
      <c r="E2049" s="6" t="s">
        <v>3215</v>
      </c>
      <c r="F2049" s="5" t="s">
        <v>3216</v>
      </c>
      <c r="Z2049" s="4" t="s">
        <v>443</v>
      </c>
      <c r="AA2049" s="4" t="s">
        <v>444</v>
      </c>
      <c r="AP2049" s="4" t="s">
        <v>376</v>
      </c>
      <c r="AR2049" s="4" t="s">
        <v>377</v>
      </c>
    </row>
    <row r="2050" spans="1:44">
      <c r="A2050" s="4" t="s">
        <v>5</v>
      </c>
      <c r="C2050" s="4">
        <v>6288</v>
      </c>
      <c r="D2050" s="5" t="s">
        <v>93</v>
      </c>
      <c r="E2050" s="6" t="s">
        <v>3217</v>
      </c>
      <c r="F2050" s="5" t="s">
        <v>3218</v>
      </c>
      <c r="AP2050" s="4" t="s">
        <v>376</v>
      </c>
      <c r="AR2050" s="4" t="s">
        <v>377</v>
      </c>
    </row>
    <row r="2051" spans="1:44">
      <c r="A2051" s="4" t="s">
        <v>5</v>
      </c>
      <c r="C2051" s="4">
        <v>6720</v>
      </c>
      <c r="D2051" s="5" t="s">
        <v>93</v>
      </c>
      <c r="E2051" s="6" t="s">
        <v>3219</v>
      </c>
      <c r="AP2051" s="4" t="s">
        <v>376</v>
      </c>
      <c r="AR2051" s="4" t="s">
        <v>377</v>
      </c>
    </row>
    <row r="2052" spans="1:44">
      <c r="A2052" s="4" t="s">
        <v>5</v>
      </c>
      <c r="C2052" s="4">
        <v>715</v>
      </c>
      <c r="D2052" s="5" t="s">
        <v>93</v>
      </c>
      <c r="E2052" s="6" t="s">
        <v>3220</v>
      </c>
      <c r="F2052" s="5" t="s">
        <v>3221</v>
      </c>
      <c r="AP2052" s="4" t="s">
        <v>376</v>
      </c>
      <c r="AR2052" s="4" t="s">
        <v>377</v>
      </c>
    </row>
    <row r="2053" spans="1:44">
      <c r="A2053" s="4" t="s">
        <v>5</v>
      </c>
      <c r="C2053" s="4">
        <v>4341</v>
      </c>
      <c r="D2053" s="5" t="s">
        <v>93</v>
      </c>
      <c r="E2053" s="6" t="s">
        <v>3222</v>
      </c>
      <c r="AP2053" s="4" t="s">
        <v>376</v>
      </c>
      <c r="AR2053" s="4" t="s">
        <v>377</v>
      </c>
    </row>
    <row r="2054" spans="1:44">
      <c r="A2054" s="4" t="s">
        <v>5</v>
      </c>
      <c r="C2054" s="4">
        <v>4919</v>
      </c>
      <c r="D2054" s="5" t="s">
        <v>93</v>
      </c>
      <c r="E2054" s="6" t="s">
        <v>3223</v>
      </c>
      <c r="F2054" s="5" t="s">
        <v>3224</v>
      </c>
      <c r="AP2054" s="4" t="s">
        <v>376</v>
      </c>
      <c r="AR2054" s="4" t="s">
        <v>377</v>
      </c>
    </row>
    <row r="2055" spans="1:44">
      <c r="A2055" s="4" t="s">
        <v>5</v>
      </c>
      <c r="C2055" s="4">
        <v>4879</v>
      </c>
      <c r="D2055" s="5" t="s">
        <v>93</v>
      </c>
      <c r="E2055" s="6" t="s">
        <v>3225</v>
      </c>
      <c r="AP2055" s="4" t="s">
        <v>376</v>
      </c>
      <c r="AR2055" s="4" t="s">
        <v>377</v>
      </c>
    </row>
    <row r="2056" spans="1:44">
      <c r="A2056" s="4" t="s">
        <v>5</v>
      </c>
      <c r="C2056" s="4">
        <v>6787</v>
      </c>
      <c r="D2056" s="5" t="s">
        <v>93</v>
      </c>
      <c r="E2056" s="6" t="s">
        <v>3226</v>
      </c>
      <c r="AP2056" s="4" t="s">
        <v>376</v>
      </c>
      <c r="AR2056" s="4" t="s">
        <v>377</v>
      </c>
    </row>
    <row r="2057" spans="1:44">
      <c r="A2057" s="4" t="s">
        <v>5</v>
      </c>
      <c r="C2057" s="4">
        <v>4593</v>
      </c>
      <c r="D2057" s="5" t="s">
        <v>93</v>
      </c>
      <c r="E2057" s="6" t="s">
        <v>3227</v>
      </c>
      <c r="AP2057" s="4" t="s">
        <v>376</v>
      </c>
      <c r="AR2057" s="4" t="s">
        <v>377</v>
      </c>
    </row>
    <row r="2058" spans="1:44">
      <c r="A2058" s="4" t="s">
        <v>5</v>
      </c>
      <c r="C2058" s="4">
        <v>2831</v>
      </c>
      <c r="D2058" s="5" t="s">
        <v>93</v>
      </c>
      <c r="E2058" s="6" t="s">
        <v>3228</v>
      </c>
      <c r="AP2058" s="4" t="s">
        <v>376</v>
      </c>
      <c r="AR2058" s="4" t="s">
        <v>377</v>
      </c>
    </row>
    <row r="2059" spans="1:44">
      <c r="A2059" s="4" t="s">
        <v>5</v>
      </c>
      <c r="C2059" s="4">
        <v>689</v>
      </c>
      <c r="D2059" s="5" t="s">
        <v>93</v>
      </c>
      <c r="E2059" s="6" t="s">
        <v>3229</v>
      </c>
      <c r="F2059" s="5" t="s">
        <v>3230</v>
      </c>
      <c r="AP2059" s="4" t="s">
        <v>376</v>
      </c>
      <c r="AR2059" s="4" t="s">
        <v>377</v>
      </c>
    </row>
    <row r="2060" spans="1:44">
      <c r="A2060" s="4" t="s">
        <v>5</v>
      </c>
      <c r="C2060" s="4">
        <v>5795</v>
      </c>
      <c r="D2060" s="5" t="s">
        <v>93</v>
      </c>
      <c r="E2060" s="6" t="s">
        <v>3231</v>
      </c>
      <c r="AP2060" s="4" t="s">
        <v>376</v>
      </c>
      <c r="AR2060" s="4" t="s">
        <v>377</v>
      </c>
    </row>
    <row r="2061" spans="1:44" ht="30">
      <c r="A2061" s="4" t="s">
        <v>5</v>
      </c>
      <c r="C2061" s="4">
        <v>204</v>
      </c>
      <c r="D2061" s="5" t="s">
        <v>93</v>
      </c>
      <c r="E2061" s="6" t="s">
        <v>3232</v>
      </c>
      <c r="F2061" s="5" t="s">
        <v>3233</v>
      </c>
      <c r="AP2061" s="4" t="s">
        <v>376</v>
      </c>
      <c r="AR2061" s="4" t="s">
        <v>377</v>
      </c>
    </row>
    <row r="2062" spans="1:44">
      <c r="A2062" s="4" t="s">
        <v>5</v>
      </c>
      <c r="C2062" s="4">
        <v>5584</v>
      </c>
      <c r="D2062" s="5" t="s">
        <v>93</v>
      </c>
      <c r="E2062" s="6" t="s">
        <v>3234</v>
      </c>
      <c r="AP2062" s="4" t="s">
        <v>376</v>
      </c>
      <c r="AR2062" s="4" t="s">
        <v>377</v>
      </c>
    </row>
    <row r="2063" spans="1:44" ht="30">
      <c r="A2063" s="4" t="s">
        <v>5</v>
      </c>
      <c r="C2063" s="4">
        <v>5451</v>
      </c>
      <c r="D2063" s="5" t="s">
        <v>93</v>
      </c>
      <c r="E2063" s="6" t="s">
        <v>3235</v>
      </c>
      <c r="AP2063" s="4" t="s">
        <v>376</v>
      </c>
      <c r="AR2063" s="4" t="s">
        <v>377</v>
      </c>
    </row>
    <row r="2064" spans="1:44">
      <c r="A2064" s="4" t="s">
        <v>5</v>
      </c>
      <c r="C2064" s="4">
        <v>4255</v>
      </c>
      <c r="D2064" s="5" t="s">
        <v>93</v>
      </c>
      <c r="E2064" s="6" t="s">
        <v>3236</v>
      </c>
      <c r="AP2064" s="4" t="s">
        <v>376</v>
      </c>
      <c r="AR2064" s="4" t="s">
        <v>377</v>
      </c>
    </row>
    <row r="2065" spans="1:44" ht="30">
      <c r="A2065" s="4" t="s">
        <v>5</v>
      </c>
      <c r="C2065" s="4">
        <v>4092</v>
      </c>
      <c r="D2065" s="5" t="s">
        <v>93</v>
      </c>
      <c r="E2065" s="6" t="s">
        <v>3237</v>
      </c>
      <c r="AP2065" s="4" t="s">
        <v>376</v>
      </c>
      <c r="AR2065" s="4" t="s">
        <v>377</v>
      </c>
    </row>
    <row r="2066" spans="1:44" ht="30">
      <c r="A2066" s="4" t="s">
        <v>5</v>
      </c>
      <c r="C2066" s="4">
        <v>2462</v>
      </c>
      <c r="D2066" s="5" t="s">
        <v>93</v>
      </c>
      <c r="E2066" s="6" t="s">
        <v>3238</v>
      </c>
      <c r="AP2066" s="4" t="s">
        <v>376</v>
      </c>
      <c r="AR2066" s="4" t="s">
        <v>377</v>
      </c>
    </row>
    <row r="2067" spans="1:44" ht="30">
      <c r="A2067" s="4" t="s">
        <v>5</v>
      </c>
      <c r="C2067" s="4">
        <v>4213</v>
      </c>
      <c r="D2067" s="5" t="s">
        <v>93</v>
      </c>
      <c r="E2067" s="6" t="s">
        <v>3239</v>
      </c>
      <c r="AP2067" s="4" t="s">
        <v>376</v>
      </c>
      <c r="AR2067" s="4" t="s">
        <v>377</v>
      </c>
    </row>
    <row r="2068" spans="1:44">
      <c r="A2068" s="4" t="s">
        <v>5</v>
      </c>
      <c r="C2068" s="4">
        <v>5412</v>
      </c>
      <c r="D2068" s="5" t="s">
        <v>93</v>
      </c>
      <c r="E2068" s="6" t="s">
        <v>3240</v>
      </c>
      <c r="F2068" s="5" t="s">
        <v>3241</v>
      </c>
      <c r="Z2068" s="4" t="s">
        <v>447</v>
      </c>
      <c r="AA2068" s="4" t="s">
        <v>448</v>
      </c>
      <c r="AP2068" s="4" t="s">
        <v>376</v>
      </c>
      <c r="AR2068" s="4" t="s">
        <v>377</v>
      </c>
    </row>
    <row r="2069" spans="1:44" ht="30">
      <c r="A2069" s="4" t="s">
        <v>5</v>
      </c>
      <c r="C2069" s="4">
        <v>3152</v>
      </c>
      <c r="D2069" s="5" t="s">
        <v>93</v>
      </c>
      <c r="E2069" s="6" t="s">
        <v>3242</v>
      </c>
      <c r="F2069" s="5" t="s">
        <v>3243</v>
      </c>
      <c r="AP2069" s="4" t="s">
        <v>376</v>
      </c>
      <c r="AR2069" s="4" t="s">
        <v>377</v>
      </c>
    </row>
    <row r="2070" spans="1:44">
      <c r="A2070" s="4" t="s">
        <v>5</v>
      </c>
      <c r="C2070" s="4">
        <v>1639</v>
      </c>
      <c r="D2070" s="5" t="s">
        <v>93</v>
      </c>
      <c r="E2070" s="6" t="s">
        <v>3244</v>
      </c>
      <c r="F2070" s="5" t="s">
        <v>3245</v>
      </c>
      <c r="Z2070" s="4" t="s">
        <v>447</v>
      </c>
      <c r="AA2070" s="4" t="s">
        <v>448</v>
      </c>
      <c r="AP2070" s="4" t="s">
        <v>376</v>
      </c>
      <c r="AR2070" s="4" t="s">
        <v>377</v>
      </c>
    </row>
    <row r="2071" spans="1:44" ht="30">
      <c r="A2071" s="4" t="s">
        <v>5</v>
      </c>
      <c r="C2071" s="4">
        <v>2331</v>
      </c>
      <c r="D2071" s="5" t="s">
        <v>93</v>
      </c>
      <c r="E2071" s="6" t="s">
        <v>3246</v>
      </c>
      <c r="F2071" s="5" t="s">
        <v>3247</v>
      </c>
      <c r="AP2071" s="4" t="s">
        <v>376</v>
      </c>
      <c r="AR2071" s="4" t="s">
        <v>377</v>
      </c>
    </row>
    <row r="2072" spans="1:44">
      <c r="A2072" s="4" t="s">
        <v>5</v>
      </c>
      <c r="C2072" s="4">
        <v>2775</v>
      </c>
      <c r="D2072" s="5" t="s">
        <v>93</v>
      </c>
      <c r="E2072" s="6" t="s">
        <v>3248</v>
      </c>
      <c r="F2072" s="5" t="s">
        <v>3249</v>
      </c>
      <c r="AP2072" s="4" t="s">
        <v>376</v>
      </c>
      <c r="AR2072" s="4" t="s">
        <v>377</v>
      </c>
    </row>
    <row r="2073" spans="1:44" ht="30">
      <c r="A2073" s="4" t="s">
        <v>5</v>
      </c>
      <c r="C2073" s="4">
        <v>5192</v>
      </c>
      <c r="D2073" s="5" t="s">
        <v>93</v>
      </c>
      <c r="E2073" s="6" t="s">
        <v>3250</v>
      </c>
      <c r="F2073" s="5" t="s">
        <v>3251</v>
      </c>
      <c r="Z2073" s="4" t="s">
        <v>443</v>
      </c>
      <c r="AA2073" s="4" t="s">
        <v>444</v>
      </c>
      <c r="AP2073" s="4" t="s">
        <v>376</v>
      </c>
      <c r="AR2073" s="4" t="s">
        <v>377</v>
      </c>
    </row>
    <row r="2074" spans="1:44">
      <c r="A2074" s="4" t="s">
        <v>5</v>
      </c>
      <c r="C2074" s="4">
        <v>3690</v>
      </c>
      <c r="D2074" s="5" t="s">
        <v>93</v>
      </c>
      <c r="E2074" s="6" t="s">
        <v>3252</v>
      </c>
      <c r="Z2074" s="4" t="s">
        <v>447</v>
      </c>
      <c r="AA2074" s="4" t="s">
        <v>448</v>
      </c>
      <c r="AP2074" s="4" t="s">
        <v>376</v>
      </c>
      <c r="AR2074" s="4" t="s">
        <v>377</v>
      </c>
    </row>
    <row r="2075" spans="1:44">
      <c r="A2075" s="4" t="s">
        <v>5</v>
      </c>
      <c r="C2075" s="4">
        <v>5780</v>
      </c>
      <c r="D2075" s="5" t="s">
        <v>93</v>
      </c>
      <c r="E2075" s="6" t="s">
        <v>3253</v>
      </c>
      <c r="AP2075" s="4" t="s">
        <v>376</v>
      </c>
      <c r="AR2075" s="4" t="s">
        <v>377</v>
      </c>
    </row>
    <row r="2076" spans="1:44">
      <c r="A2076" s="4" t="s">
        <v>5</v>
      </c>
      <c r="C2076" s="4">
        <v>4530</v>
      </c>
      <c r="D2076" s="5" t="s">
        <v>93</v>
      </c>
      <c r="E2076" s="6" t="s">
        <v>3254</v>
      </c>
      <c r="AP2076" s="4" t="s">
        <v>376</v>
      </c>
      <c r="AR2076" s="4" t="s">
        <v>377</v>
      </c>
    </row>
    <row r="2077" spans="1:44">
      <c r="A2077" s="4" t="s">
        <v>5</v>
      </c>
      <c r="C2077" s="4">
        <v>97</v>
      </c>
      <c r="D2077" s="5" t="s">
        <v>93</v>
      </c>
      <c r="E2077" s="6" t="s">
        <v>3255</v>
      </c>
      <c r="F2077" s="5" t="s">
        <v>3256</v>
      </c>
      <c r="AP2077" s="4" t="s">
        <v>376</v>
      </c>
      <c r="AR2077" s="4" t="s">
        <v>377</v>
      </c>
    </row>
    <row r="2078" spans="1:44">
      <c r="A2078" s="4" t="s">
        <v>5</v>
      </c>
      <c r="C2078" s="4">
        <v>4689</v>
      </c>
      <c r="D2078" s="5" t="s">
        <v>93</v>
      </c>
      <c r="E2078" s="6" t="s">
        <v>3257</v>
      </c>
      <c r="Z2078" s="4" t="s">
        <v>443</v>
      </c>
      <c r="AA2078" s="4" t="s">
        <v>444</v>
      </c>
      <c r="AP2078" s="4" t="s">
        <v>376</v>
      </c>
      <c r="AR2078" s="4" t="s">
        <v>377</v>
      </c>
    </row>
    <row r="2079" spans="1:44">
      <c r="A2079" s="4" t="s">
        <v>5</v>
      </c>
      <c r="C2079" s="4">
        <v>1619</v>
      </c>
      <c r="D2079" s="5" t="s">
        <v>93</v>
      </c>
      <c r="E2079" s="6" t="s">
        <v>3258</v>
      </c>
      <c r="AP2079" s="4" t="s">
        <v>376</v>
      </c>
      <c r="AR2079" s="4" t="s">
        <v>377</v>
      </c>
    </row>
    <row r="2080" spans="1:44">
      <c r="A2080" s="4" t="s">
        <v>5</v>
      </c>
      <c r="C2080" s="4">
        <v>196</v>
      </c>
      <c r="D2080" s="5" t="s">
        <v>93</v>
      </c>
      <c r="E2080" s="6" t="s">
        <v>3259</v>
      </c>
      <c r="F2080" s="5" t="s">
        <v>3260</v>
      </c>
      <c r="AP2080" s="4" t="s">
        <v>376</v>
      </c>
      <c r="AR2080" s="4" t="s">
        <v>377</v>
      </c>
    </row>
    <row r="2081" spans="1:44" ht="30">
      <c r="A2081" s="4" t="s">
        <v>5</v>
      </c>
      <c r="C2081" s="4">
        <v>688</v>
      </c>
      <c r="D2081" s="5" t="s">
        <v>93</v>
      </c>
      <c r="E2081" s="6" t="s">
        <v>3261</v>
      </c>
      <c r="F2081" s="5" t="s">
        <v>3262</v>
      </c>
      <c r="Z2081" s="4" t="s">
        <v>443</v>
      </c>
      <c r="AA2081" s="4" t="s">
        <v>444</v>
      </c>
      <c r="AP2081" s="4" t="s">
        <v>376</v>
      </c>
      <c r="AR2081" s="4" t="s">
        <v>377</v>
      </c>
    </row>
    <row r="2082" spans="1:44">
      <c r="A2082" s="4" t="s">
        <v>5</v>
      </c>
      <c r="C2082" s="4">
        <v>1384</v>
      </c>
      <c r="D2082" s="5" t="s">
        <v>93</v>
      </c>
      <c r="E2082" s="6" t="s">
        <v>3263</v>
      </c>
      <c r="F2082" s="5" t="s">
        <v>3264</v>
      </c>
      <c r="Z2082" s="4" t="s">
        <v>512</v>
      </c>
      <c r="AA2082" s="4" t="s">
        <v>513</v>
      </c>
      <c r="AP2082" s="4" t="s">
        <v>376</v>
      </c>
      <c r="AR2082" s="4" t="s">
        <v>377</v>
      </c>
    </row>
    <row r="2083" spans="1:44">
      <c r="A2083" s="4" t="s">
        <v>5</v>
      </c>
      <c r="C2083" s="4">
        <v>63</v>
      </c>
      <c r="D2083" s="5" t="s">
        <v>93</v>
      </c>
      <c r="E2083" s="6" t="s">
        <v>3265</v>
      </c>
      <c r="F2083" s="5" t="s">
        <v>3266</v>
      </c>
      <c r="AP2083" s="4" t="s">
        <v>376</v>
      </c>
      <c r="AR2083" s="4" t="s">
        <v>377</v>
      </c>
    </row>
    <row r="2084" spans="1:44" ht="30">
      <c r="A2084" s="4" t="s">
        <v>5</v>
      </c>
      <c r="C2084" s="4">
        <v>5153</v>
      </c>
      <c r="D2084" s="5" t="s">
        <v>93</v>
      </c>
      <c r="E2084" s="6" t="s">
        <v>3267</v>
      </c>
      <c r="Z2084" s="4" t="s">
        <v>695</v>
      </c>
      <c r="AA2084" s="4" t="s">
        <v>696</v>
      </c>
      <c r="AP2084" s="4" t="s">
        <v>376</v>
      </c>
      <c r="AR2084" s="4" t="s">
        <v>377</v>
      </c>
    </row>
    <row r="2085" spans="1:44">
      <c r="A2085" s="4" t="s">
        <v>5</v>
      </c>
      <c r="C2085" s="4">
        <v>4974</v>
      </c>
      <c r="D2085" s="5" t="s">
        <v>93</v>
      </c>
      <c r="E2085" s="6" t="s">
        <v>3268</v>
      </c>
      <c r="AP2085" s="4" t="s">
        <v>376</v>
      </c>
      <c r="AR2085" s="4" t="s">
        <v>377</v>
      </c>
    </row>
    <row r="2086" spans="1:44">
      <c r="A2086" s="4" t="s">
        <v>5</v>
      </c>
      <c r="C2086" s="4">
        <v>4308</v>
      </c>
      <c r="D2086" s="5" t="s">
        <v>93</v>
      </c>
      <c r="E2086" s="6" t="s">
        <v>3269</v>
      </c>
      <c r="AP2086" s="4" t="s">
        <v>376</v>
      </c>
      <c r="AR2086" s="4" t="s">
        <v>377</v>
      </c>
    </row>
    <row r="2087" spans="1:44" ht="30">
      <c r="A2087" s="4" t="s">
        <v>5</v>
      </c>
      <c r="C2087" s="4">
        <v>5558</v>
      </c>
      <c r="D2087" s="5" t="s">
        <v>93</v>
      </c>
      <c r="E2087" s="6" t="s">
        <v>3270</v>
      </c>
      <c r="AP2087" s="4" t="s">
        <v>376</v>
      </c>
      <c r="AR2087" s="4" t="s">
        <v>377</v>
      </c>
    </row>
    <row r="2088" spans="1:44">
      <c r="A2088" s="4" t="s">
        <v>5</v>
      </c>
      <c r="C2088" s="4">
        <v>146</v>
      </c>
      <c r="D2088" s="5" t="s">
        <v>93</v>
      </c>
      <c r="E2088" s="6" t="s">
        <v>3271</v>
      </c>
      <c r="F2088" s="5" t="s">
        <v>3272</v>
      </c>
      <c r="AP2088" s="4" t="s">
        <v>376</v>
      </c>
      <c r="AR2088" s="4" t="s">
        <v>377</v>
      </c>
    </row>
    <row r="2089" spans="1:44" ht="30">
      <c r="A2089" s="4" t="s">
        <v>5</v>
      </c>
      <c r="C2089" s="4">
        <v>4877</v>
      </c>
      <c r="D2089" s="5" t="s">
        <v>93</v>
      </c>
      <c r="E2089" s="6" t="s">
        <v>3273</v>
      </c>
      <c r="AP2089" s="4" t="s">
        <v>376</v>
      </c>
      <c r="AR2089" s="4" t="s">
        <v>377</v>
      </c>
    </row>
    <row r="2090" spans="1:44">
      <c r="A2090" s="4" t="s">
        <v>5</v>
      </c>
      <c r="C2090" s="4">
        <v>3637</v>
      </c>
      <c r="D2090" s="5" t="s">
        <v>93</v>
      </c>
      <c r="E2090" s="6" t="s">
        <v>3274</v>
      </c>
      <c r="F2090" s="5" t="s">
        <v>3275</v>
      </c>
      <c r="Z2090" s="4" t="s">
        <v>447</v>
      </c>
      <c r="AA2090" s="4" t="s">
        <v>448</v>
      </c>
      <c r="AP2090" s="4" t="s">
        <v>376</v>
      </c>
      <c r="AR2090" s="4" t="s">
        <v>377</v>
      </c>
    </row>
    <row r="2091" spans="1:44">
      <c r="A2091" s="4" t="s">
        <v>5</v>
      </c>
      <c r="C2091" s="4">
        <v>6241</v>
      </c>
      <c r="D2091" s="5" t="s">
        <v>93</v>
      </c>
      <c r="E2091" s="6" t="s">
        <v>3276</v>
      </c>
      <c r="AP2091" s="4" t="s">
        <v>376</v>
      </c>
      <c r="AR2091" s="4" t="s">
        <v>377</v>
      </c>
    </row>
    <row r="2092" spans="1:44">
      <c r="A2092" s="4" t="s">
        <v>5</v>
      </c>
      <c r="C2092" s="4">
        <v>3616</v>
      </c>
      <c r="D2092" s="5" t="s">
        <v>93</v>
      </c>
      <c r="E2092" s="6" t="s">
        <v>3277</v>
      </c>
      <c r="AP2092" s="4" t="s">
        <v>376</v>
      </c>
      <c r="AR2092" s="4" t="s">
        <v>377</v>
      </c>
    </row>
    <row r="2093" spans="1:44">
      <c r="A2093" s="4" t="s">
        <v>5</v>
      </c>
      <c r="C2093" s="4">
        <v>2425</v>
      </c>
      <c r="D2093" s="5" t="s">
        <v>93</v>
      </c>
      <c r="E2093" s="6" t="s">
        <v>3278</v>
      </c>
      <c r="F2093" s="5" t="s">
        <v>3279</v>
      </c>
      <c r="Z2093" s="4" t="s">
        <v>695</v>
      </c>
      <c r="AA2093" s="4" t="s">
        <v>696</v>
      </c>
      <c r="AP2093" s="4" t="s">
        <v>376</v>
      </c>
      <c r="AR2093" s="4" t="s">
        <v>377</v>
      </c>
    </row>
    <row r="2094" spans="1:44">
      <c r="A2094" s="4" t="s">
        <v>5</v>
      </c>
      <c r="C2094" s="4">
        <v>6917</v>
      </c>
      <c r="D2094" s="5" t="s">
        <v>93</v>
      </c>
      <c r="E2094" s="6" t="s">
        <v>3280</v>
      </c>
      <c r="F2094" s="5" t="s">
        <v>3281</v>
      </c>
      <c r="AP2094" s="4" t="s">
        <v>376</v>
      </c>
      <c r="AR2094" s="4" t="s">
        <v>377</v>
      </c>
    </row>
    <row r="2095" spans="1:44">
      <c r="A2095" s="4" t="s">
        <v>5</v>
      </c>
      <c r="C2095" s="4">
        <v>2507</v>
      </c>
      <c r="D2095" s="5" t="s">
        <v>93</v>
      </c>
      <c r="E2095" s="6" t="s">
        <v>3282</v>
      </c>
      <c r="AP2095" s="4" t="s">
        <v>376</v>
      </c>
      <c r="AR2095" s="4" t="s">
        <v>377</v>
      </c>
    </row>
    <row r="2096" spans="1:44">
      <c r="A2096" s="4" t="s">
        <v>5</v>
      </c>
      <c r="C2096" s="4">
        <v>1511</v>
      </c>
      <c r="D2096" s="5" t="s">
        <v>93</v>
      </c>
      <c r="E2096" s="6" t="s">
        <v>3283</v>
      </c>
      <c r="AP2096" s="4" t="s">
        <v>376</v>
      </c>
      <c r="AR2096" s="4" t="s">
        <v>377</v>
      </c>
    </row>
    <row r="2097" spans="1:44">
      <c r="A2097" s="4" t="s">
        <v>5</v>
      </c>
      <c r="C2097" s="4">
        <v>5991</v>
      </c>
      <c r="D2097" s="5" t="s">
        <v>93</v>
      </c>
      <c r="E2097" s="6" t="s">
        <v>3284</v>
      </c>
      <c r="AP2097" s="4" t="s">
        <v>376</v>
      </c>
      <c r="AR2097" s="4" t="s">
        <v>377</v>
      </c>
    </row>
    <row r="2098" spans="1:44">
      <c r="A2098" s="4" t="s">
        <v>5</v>
      </c>
      <c r="C2098" s="4">
        <v>1248</v>
      </c>
      <c r="D2098" s="5" t="s">
        <v>93</v>
      </c>
      <c r="E2098" s="6" t="s">
        <v>3285</v>
      </c>
      <c r="AP2098" s="4" t="s">
        <v>376</v>
      </c>
      <c r="AR2098" s="4" t="s">
        <v>377</v>
      </c>
    </row>
    <row r="2099" spans="1:44">
      <c r="A2099" s="4" t="s">
        <v>5</v>
      </c>
      <c r="C2099" s="4">
        <v>4404</v>
      </c>
      <c r="D2099" s="5" t="s">
        <v>93</v>
      </c>
      <c r="E2099" s="6" t="s">
        <v>3286</v>
      </c>
      <c r="AP2099" s="4" t="s">
        <v>376</v>
      </c>
      <c r="AR2099" s="4" t="s">
        <v>377</v>
      </c>
    </row>
    <row r="2100" spans="1:44" ht="30">
      <c r="A2100" s="4" t="s">
        <v>5</v>
      </c>
      <c r="C2100" s="4">
        <v>4976</v>
      </c>
      <c r="D2100" s="5" t="s">
        <v>93</v>
      </c>
      <c r="E2100" s="6" t="s">
        <v>3287</v>
      </c>
      <c r="AP2100" s="4" t="s">
        <v>376</v>
      </c>
      <c r="AR2100" s="4" t="s">
        <v>377</v>
      </c>
    </row>
    <row r="2101" spans="1:44">
      <c r="A2101" s="4" t="s">
        <v>5</v>
      </c>
      <c r="C2101" s="4">
        <v>2714</v>
      </c>
      <c r="D2101" s="5" t="s">
        <v>93</v>
      </c>
      <c r="E2101" s="6" t="s">
        <v>3288</v>
      </c>
      <c r="AP2101" s="4" t="s">
        <v>376</v>
      </c>
      <c r="AR2101" s="4" t="s">
        <v>377</v>
      </c>
    </row>
    <row r="2102" spans="1:44">
      <c r="A2102" s="4" t="s">
        <v>5</v>
      </c>
      <c r="C2102" s="4">
        <v>2724</v>
      </c>
      <c r="D2102" s="5" t="s">
        <v>93</v>
      </c>
      <c r="E2102" s="6" t="s">
        <v>3289</v>
      </c>
      <c r="F2102" s="5" t="s">
        <v>3290</v>
      </c>
      <c r="Z2102" s="4" t="s">
        <v>695</v>
      </c>
      <c r="AA2102" s="4" t="s">
        <v>696</v>
      </c>
      <c r="AP2102" s="4" t="s">
        <v>376</v>
      </c>
      <c r="AR2102" s="4" t="s">
        <v>377</v>
      </c>
    </row>
    <row r="2103" spans="1:44" ht="30">
      <c r="A2103" s="4" t="s">
        <v>5</v>
      </c>
      <c r="C2103" s="4">
        <v>1166</v>
      </c>
      <c r="D2103" s="5" t="s">
        <v>93</v>
      </c>
      <c r="E2103" s="6" t="s">
        <v>3291</v>
      </c>
      <c r="AP2103" s="4" t="s">
        <v>376</v>
      </c>
      <c r="AR2103" s="4" t="s">
        <v>377</v>
      </c>
    </row>
    <row r="2104" spans="1:44" ht="30">
      <c r="A2104" s="4" t="s">
        <v>5</v>
      </c>
      <c r="C2104" s="4">
        <v>5996</v>
      </c>
      <c r="D2104" s="5" t="s">
        <v>93</v>
      </c>
      <c r="E2104" s="6" t="s">
        <v>3292</v>
      </c>
      <c r="AP2104" s="4" t="s">
        <v>376</v>
      </c>
      <c r="AR2104" s="4" t="s">
        <v>377</v>
      </c>
    </row>
    <row r="2105" spans="1:44">
      <c r="A2105" s="4" t="s">
        <v>5</v>
      </c>
      <c r="C2105" s="4">
        <v>5786</v>
      </c>
      <c r="D2105" s="5" t="s">
        <v>93</v>
      </c>
      <c r="E2105" s="6" t="s">
        <v>3293</v>
      </c>
      <c r="AP2105" s="4" t="s">
        <v>376</v>
      </c>
      <c r="AR2105" s="4" t="s">
        <v>377</v>
      </c>
    </row>
    <row r="2106" spans="1:44">
      <c r="A2106" s="4" t="s">
        <v>5</v>
      </c>
      <c r="C2106" s="4">
        <v>3024</v>
      </c>
      <c r="D2106" s="5" t="s">
        <v>93</v>
      </c>
      <c r="E2106" s="6" t="s">
        <v>3294</v>
      </c>
      <c r="F2106" s="5" t="s">
        <v>3295</v>
      </c>
      <c r="Z2106" s="4" t="s">
        <v>447</v>
      </c>
      <c r="AA2106" s="4" t="s">
        <v>448</v>
      </c>
      <c r="AP2106" s="4" t="s">
        <v>376</v>
      </c>
      <c r="AR2106" s="4" t="s">
        <v>377</v>
      </c>
    </row>
    <row r="2107" spans="1:44">
      <c r="A2107" s="4" t="s">
        <v>5</v>
      </c>
      <c r="C2107" s="4">
        <v>61</v>
      </c>
      <c r="D2107" s="5" t="s">
        <v>93</v>
      </c>
      <c r="E2107" s="6" t="s">
        <v>3296</v>
      </c>
      <c r="F2107" s="5" t="s">
        <v>3297</v>
      </c>
      <c r="AP2107" s="4" t="s">
        <v>376</v>
      </c>
      <c r="AR2107" s="4" t="s">
        <v>377</v>
      </c>
    </row>
    <row r="2108" spans="1:44" ht="30">
      <c r="A2108" s="4" t="s">
        <v>5</v>
      </c>
      <c r="C2108" s="4">
        <v>660</v>
      </c>
      <c r="D2108" s="5" t="s">
        <v>93</v>
      </c>
      <c r="E2108" s="6" t="s">
        <v>3298</v>
      </c>
      <c r="F2108" s="5" t="s">
        <v>3299</v>
      </c>
      <c r="AP2108" s="4" t="s">
        <v>376</v>
      </c>
      <c r="AR2108" s="4" t="s">
        <v>377</v>
      </c>
    </row>
    <row r="2109" spans="1:44">
      <c r="A2109" s="4" t="s">
        <v>5</v>
      </c>
      <c r="C2109" s="4">
        <v>1596</v>
      </c>
      <c r="D2109" s="5" t="s">
        <v>93</v>
      </c>
      <c r="E2109" s="6" t="s">
        <v>3300</v>
      </c>
      <c r="AP2109" s="4" t="s">
        <v>376</v>
      </c>
      <c r="AR2109" s="4" t="s">
        <v>377</v>
      </c>
    </row>
    <row r="2110" spans="1:44">
      <c r="A2110" s="4" t="s">
        <v>5</v>
      </c>
      <c r="C2110" s="4">
        <v>4274</v>
      </c>
      <c r="D2110" s="5" t="s">
        <v>93</v>
      </c>
      <c r="E2110" s="6" t="s">
        <v>3301</v>
      </c>
      <c r="AP2110" s="4" t="s">
        <v>376</v>
      </c>
      <c r="AR2110" s="4" t="s">
        <v>377</v>
      </c>
    </row>
    <row r="2111" spans="1:44">
      <c r="A2111" s="4" t="s">
        <v>5</v>
      </c>
      <c r="C2111" s="4">
        <v>3928</v>
      </c>
      <c r="D2111" s="5" t="s">
        <v>93</v>
      </c>
      <c r="E2111" s="6" t="s">
        <v>3302</v>
      </c>
      <c r="F2111" s="5" t="s">
        <v>3303</v>
      </c>
      <c r="AP2111" s="4" t="s">
        <v>376</v>
      </c>
      <c r="AR2111" s="4" t="s">
        <v>377</v>
      </c>
    </row>
    <row r="2112" spans="1:44" ht="30">
      <c r="A2112" s="4" t="s">
        <v>5</v>
      </c>
      <c r="C2112" s="4">
        <v>6107</v>
      </c>
      <c r="D2112" s="5" t="s">
        <v>93</v>
      </c>
      <c r="E2112" s="6" t="s">
        <v>3304</v>
      </c>
      <c r="F2112" s="5" t="s">
        <v>3305</v>
      </c>
      <c r="AP2112" s="4" t="s">
        <v>376</v>
      </c>
      <c r="AR2112" s="4" t="s">
        <v>377</v>
      </c>
    </row>
    <row r="2113" spans="1:44">
      <c r="A2113" s="4" t="s">
        <v>5</v>
      </c>
      <c r="C2113" s="4">
        <v>4845</v>
      </c>
      <c r="D2113" s="5" t="s">
        <v>93</v>
      </c>
      <c r="E2113" s="6" t="s">
        <v>3306</v>
      </c>
      <c r="AP2113" s="4" t="s">
        <v>376</v>
      </c>
      <c r="AR2113" s="4" t="s">
        <v>377</v>
      </c>
    </row>
    <row r="2114" spans="1:44">
      <c r="A2114" s="4" t="s">
        <v>5</v>
      </c>
      <c r="C2114" s="4">
        <v>3404</v>
      </c>
      <c r="D2114" s="5" t="s">
        <v>93</v>
      </c>
      <c r="E2114" s="6" t="s">
        <v>3307</v>
      </c>
      <c r="AP2114" s="4" t="s">
        <v>376</v>
      </c>
      <c r="AR2114" s="4" t="s">
        <v>377</v>
      </c>
    </row>
    <row r="2115" spans="1:44">
      <c r="A2115" s="4" t="s">
        <v>5</v>
      </c>
      <c r="C2115" s="4">
        <v>2102</v>
      </c>
      <c r="D2115" s="5" t="s">
        <v>93</v>
      </c>
      <c r="E2115" s="6" t="s">
        <v>3308</v>
      </c>
      <c r="F2115" s="5" t="s">
        <v>3309</v>
      </c>
      <c r="AP2115" s="4" t="s">
        <v>376</v>
      </c>
      <c r="AR2115" s="4" t="s">
        <v>377</v>
      </c>
    </row>
    <row r="2116" spans="1:44">
      <c r="A2116" s="4" t="s">
        <v>5</v>
      </c>
      <c r="C2116" s="4">
        <v>22</v>
      </c>
      <c r="D2116" s="5" t="s">
        <v>93</v>
      </c>
      <c r="E2116" s="6" t="s">
        <v>3310</v>
      </c>
      <c r="F2116" s="5" t="s">
        <v>3311</v>
      </c>
      <c r="AP2116" s="4" t="s">
        <v>376</v>
      </c>
      <c r="AR2116" s="4" t="s">
        <v>377</v>
      </c>
    </row>
    <row r="2117" spans="1:44">
      <c r="A2117" s="4" t="s">
        <v>5</v>
      </c>
      <c r="C2117" s="4">
        <v>5286</v>
      </c>
      <c r="D2117" s="5" t="s">
        <v>93</v>
      </c>
      <c r="E2117" s="6" t="s">
        <v>3312</v>
      </c>
      <c r="F2117" s="5" t="s">
        <v>3313</v>
      </c>
      <c r="AP2117" s="4" t="s">
        <v>376</v>
      </c>
      <c r="AR2117" s="4" t="s">
        <v>377</v>
      </c>
    </row>
    <row r="2118" spans="1:44">
      <c r="A2118" s="4" t="s">
        <v>5</v>
      </c>
      <c r="C2118" s="4">
        <v>5457</v>
      </c>
      <c r="D2118" s="5" t="s">
        <v>93</v>
      </c>
      <c r="E2118" s="6" t="s">
        <v>3314</v>
      </c>
      <c r="AP2118" s="4" t="s">
        <v>376</v>
      </c>
      <c r="AR2118" s="4" t="s">
        <v>377</v>
      </c>
    </row>
    <row r="2119" spans="1:44">
      <c r="A2119" s="4" t="s">
        <v>5</v>
      </c>
      <c r="C2119" s="4">
        <v>5837</v>
      </c>
      <c r="D2119" s="5" t="s">
        <v>93</v>
      </c>
      <c r="E2119" s="6" t="s">
        <v>3315</v>
      </c>
      <c r="AP2119" s="4" t="s">
        <v>376</v>
      </c>
      <c r="AR2119" s="4" t="s">
        <v>377</v>
      </c>
    </row>
    <row r="2120" spans="1:44">
      <c r="A2120" s="4" t="s">
        <v>5</v>
      </c>
      <c r="C2120" s="4">
        <v>3158</v>
      </c>
      <c r="D2120" s="5" t="s">
        <v>93</v>
      </c>
      <c r="E2120" s="6" t="s">
        <v>3316</v>
      </c>
      <c r="Z2120" s="4" t="s">
        <v>447</v>
      </c>
      <c r="AA2120" s="4" t="s">
        <v>448</v>
      </c>
      <c r="AP2120" s="4" t="s">
        <v>376</v>
      </c>
      <c r="AR2120" s="4" t="s">
        <v>377</v>
      </c>
    </row>
    <row r="2121" spans="1:44">
      <c r="A2121" s="4" t="s">
        <v>5</v>
      </c>
      <c r="C2121" s="4">
        <v>1360</v>
      </c>
      <c r="D2121" s="5" t="s">
        <v>93</v>
      </c>
      <c r="E2121" s="6" t="s">
        <v>3317</v>
      </c>
      <c r="F2121" s="5" t="s">
        <v>3318</v>
      </c>
      <c r="AP2121" s="4" t="s">
        <v>376</v>
      </c>
      <c r="AR2121" s="4" t="s">
        <v>377</v>
      </c>
    </row>
    <row r="2122" spans="1:44">
      <c r="A2122" s="4" t="s">
        <v>5</v>
      </c>
      <c r="C2122" s="4">
        <v>1302</v>
      </c>
      <c r="D2122" s="5" t="s">
        <v>93</v>
      </c>
      <c r="E2122" s="6" t="s">
        <v>3319</v>
      </c>
      <c r="AP2122" s="4" t="s">
        <v>376</v>
      </c>
      <c r="AR2122" s="4" t="s">
        <v>377</v>
      </c>
    </row>
    <row r="2123" spans="1:44">
      <c r="A2123" s="4" t="s">
        <v>5</v>
      </c>
      <c r="C2123" s="4">
        <v>1321</v>
      </c>
      <c r="D2123" s="5" t="s">
        <v>93</v>
      </c>
      <c r="E2123" s="6" t="s">
        <v>3320</v>
      </c>
      <c r="AP2123" s="4" t="s">
        <v>376</v>
      </c>
      <c r="AR2123" s="4" t="s">
        <v>377</v>
      </c>
    </row>
    <row r="2124" spans="1:44" ht="30">
      <c r="A2124" s="4" t="s">
        <v>5</v>
      </c>
      <c r="C2124" s="4">
        <v>4469</v>
      </c>
      <c r="D2124" s="5" t="s">
        <v>93</v>
      </c>
      <c r="E2124" s="6" t="s">
        <v>3321</v>
      </c>
      <c r="AP2124" s="4" t="s">
        <v>376</v>
      </c>
      <c r="AR2124" s="4" t="s">
        <v>377</v>
      </c>
    </row>
    <row r="2125" spans="1:44">
      <c r="A2125" s="4" t="s">
        <v>5</v>
      </c>
      <c r="C2125" s="4">
        <v>6756</v>
      </c>
      <c r="D2125" s="5" t="s">
        <v>93</v>
      </c>
      <c r="E2125" s="6" t="s">
        <v>3322</v>
      </c>
      <c r="AP2125" s="4" t="s">
        <v>376</v>
      </c>
      <c r="AR2125" s="4" t="s">
        <v>377</v>
      </c>
    </row>
    <row r="2126" spans="1:44" ht="30">
      <c r="A2126" s="4" t="s">
        <v>5</v>
      </c>
      <c r="C2126" s="4">
        <v>1202</v>
      </c>
      <c r="D2126" s="5" t="s">
        <v>93</v>
      </c>
      <c r="E2126" s="6" t="s">
        <v>3323</v>
      </c>
      <c r="AP2126" s="4" t="s">
        <v>376</v>
      </c>
      <c r="AR2126" s="4" t="s">
        <v>377</v>
      </c>
    </row>
    <row r="2127" spans="1:44" ht="30">
      <c r="A2127" s="4" t="s">
        <v>5</v>
      </c>
      <c r="C2127" s="4">
        <v>6249</v>
      </c>
      <c r="D2127" s="5" t="s">
        <v>93</v>
      </c>
      <c r="E2127" s="6" t="s">
        <v>3324</v>
      </c>
      <c r="AP2127" s="4" t="s">
        <v>376</v>
      </c>
      <c r="AR2127" s="4" t="s">
        <v>377</v>
      </c>
    </row>
    <row r="2128" spans="1:44">
      <c r="A2128" s="4" t="s">
        <v>5</v>
      </c>
      <c r="C2128" s="4">
        <v>1973</v>
      </c>
      <c r="D2128" s="5" t="s">
        <v>93</v>
      </c>
      <c r="E2128" s="6" t="s">
        <v>3325</v>
      </c>
      <c r="F2128" s="5" t="s">
        <v>3326</v>
      </c>
      <c r="Z2128" s="4" t="s">
        <v>447</v>
      </c>
      <c r="AA2128" s="4" t="s">
        <v>448</v>
      </c>
      <c r="AP2128" s="4" t="s">
        <v>376</v>
      </c>
      <c r="AR2128" s="4" t="s">
        <v>377</v>
      </c>
    </row>
    <row r="2129" spans="1:44">
      <c r="A2129" s="4" t="s">
        <v>5</v>
      </c>
      <c r="C2129" s="4">
        <v>2508</v>
      </c>
      <c r="D2129" s="5" t="s">
        <v>93</v>
      </c>
      <c r="E2129" s="6" t="s">
        <v>3327</v>
      </c>
      <c r="AP2129" s="4" t="s">
        <v>376</v>
      </c>
      <c r="AR2129" s="4" t="s">
        <v>377</v>
      </c>
    </row>
    <row r="2130" spans="1:44">
      <c r="A2130" s="4" t="s">
        <v>5</v>
      </c>
      <c r="C2130" s="4">
        <v>5929</v>
      </c>
      <c r="D2130" s="5" t="s">
        <v>93</v>
      </c>
      <c r="E2130" s="6" t="s">
        <v>3328</v>
      </c>
      <c r="AP2130" s="4" t="s">
        <v>376</v>
      </c>
      <c r="AR2130" s="4" t="s">
        <v>377</v>
      </c>
    </row>
    <row r="2131" spans="1:44">
      <c r="A2131" s="4" t="s">
        <v>5</v>
      </c>
      <c r="C2131" s="4">
        <v>3268</v>
      </c>
      <c r="D2131" s="5" t="s">
        <v>93</v>
      </c>
      <c r="E2131" s="6" t="s">
        <v>3329</v>
      </c>
      <c r="F2131" s="5" t="s">
        <v>3330</v>
      </c>
      <c r="Z2131" s="4" t="s">
        <v>695</v>
      </c>
      <c r="AA2131" s="4" t="s">
        <v>696</v>
      </c>
      <c r="AP2131" s="4" t="s">
        <v>376</v>
      </c>
      <c r="AR2131" s="4" t="s">
        <v>377</v>
      </c>
    </row>
    <row r="2132" spans="1:44" ht="30">
      <c r="A2132" s="4" t="s">
        <v>5</v>
      </c>
      <c r="C2132" s="4">
        <v>4708</v>
      </c>
      <c r="D2132" s="5" t="s">
        <v>93</v>
      </c>
      <c r="E2132" s="6" t="s">
        <v>3331</v>
      </c>
      <c r="AP2132" s="4" t="s">
        <v>376</v>
      </c>
      <c r="AR2132" s="4" t="s">
        <v>377</v>
      </c>
    </row>
    <row r="2133" spans="1:44">
      <c r="A2133" s="4" t="s">
        <v>5</v>
      </c>
      <c r="C2133" s="4">
        <v>6621</v>
      </c>
      <c r="D2133" s="5" t="s">
        <v>93</v>
      </c>
      <c r="E2133" s="6" t="s">
        <v>3332</v>
      </c>
      <c r="F2133" s="5" t="s">
        <v>3333</v>
      </c>
      <c r="AP2133" s="4" t="s">
        <v>376</v>
      </c>
      <c r="AR2133" s="4" t="s">
        <v>377</v>
      </c>
    </row>
    <row r="2134" spans="1:44">
      <c r="A2134" s="4" t="s">
        <v>5</v>
      </c>
      <c r="C2134" s="4">
        <v>4470</v>
      </c>
      <c r="D2134" s="5" t="s">
        <v>93</v>
      </c>
      <c r="E2134" s="6" t="s">
        <v>3334</v>
      </c>
      <c r="AP2134" s="4" t="s">
        <v>376</v>
      </c>
      <c r="AR2134" s="4" t="s">
        <v>377</v>
      </c>
    </row>
    <row r="2135" spans="1:44">
      <c r="A2135" s="4" t="s">
        <v>5</v>
      </c>
      <c r="C2135" s="4">
        <v>2325</v>
      </c>
      <c r="D2135" s="5" t="s">
        <v>93</v>
      </c>
      <c r="E2135" s="6" t="s">
        <v>3335</v>
      </c>
      <c r="F2135" s="5" t="s">
        <v>3336</v>
      </c>
      <c r="Z2135" s="4" t="s">
        <v>443</v>
      </c>
      <c r="AA2135" s="4" t="s">
        <v>444</v>
      </c>
      <c r="AP2135" s="4" t="s">
        <v>376</v>
      </c>
      <c r="AR2135" s="4" t="s">
        <v>377</v>
      </c>
    </row>
    <row r="2136" spans="1:44">
      <c r="A2136" s="4" t="s">
        <v>5</v>
      </c>
      <c r="C2136" s="4">
        <v>1204</v>
      </c>
      <c r="D2136" s="5" t="s">
        <v>93</v>
      </c>
      <c r="E2136" s="6" t="s">
        <v>3337</v>
      </c>
      <c r="AP2136" s="4" t="s">
        <v>376</v>
      </c>
      <c r="AR2136" s="4" t="s">
        <v>377</v>
      </c>
    </row>
    <row r="2137" spans="1:44">
      <c r="A2137" s="4" t="s">
        <v>5</v>
      </c>
      <c r="C2137" s="4">
        <v>1736</v>
      </c>
      <c r="D2137" s="5" t="s">
        <v>93</v>
      </c>
      <c r="E2137" s="6" t="s">
        <v>3338</v>
      </c>
      <c r="F2137" s="5" t="s">
        <v>3339</v>
      </c>
      <c r="AP2137" s="4" t="s">
        <v>376</v>
      </c>
      <c r="AR2137" s="4" t="s">
        <v>377</v>
      </c>
    </row>
    <row r="2138" spans="1:44">
      <c r="A2138" s="4" t="s">
        <v>5</v>
      </c>
      <c r="C2138" s="4">
        <v>4957</v>
      </c>
      <c r="D2138" s="5" t="s">
        <v>93</v>
      </c>
      <c r="E2138" s="6" t="s">
        <v>3340</v>
      </c>
      <c r="AP2138" s="4" t="s">
        <v>376</v>
      </c>
      <c r="AR2138" s="4" t="s">
        <v>377</v>
      </c>
    </row>
    <row r="2139" spans="1:44">
      <c r="A2139" s="4" t="s">
        <v>5</v>
      </c>
      <c r="C2139" s="4">
        <v>4764</v>
      </c>
      <c r="D2139" s="5" t="s">
        <v>93</v>
      </c>
      <c r="E2139" s="6" t="s">
        <v>3341</v>
      </c>
      <c r="AP2139" s="4" t="s">
        <v>376</v>
      </c>
      <c r="AR2139" s="4" t="s">
        <v>377</v>
      </c>
    </row>
    <row r="2140" spans="1:44">
      <c r="A2140" s="4" t="s">
        <v>5</v>
      </c>
      <c r="C2140" s="4">
        <v>2734</v>
      </c>
      <c r="D2140" s="5" t="s">
        <v>93</v>
      </c>
      <c r="E2140" s="6" t="s">
        <v>3342</v>
      </c>
      <c r="F2140" s="5" t="s">
        <v>3343</v>
      </c>
      <c r="AP2140" s="4" t="s">
        <v>376</v>
      </c>
      <c r="AR2140" s="4" t="s">
        <v>377</v>
      </c>
    </row>
    <row r="2141" spans="1:44">
      <c r="A2141" s="4" t="s">
        <v>5</v>
      </c>
      <c r="C2141" s="4">
        <v>5116</v>
      </c>
      <c r="D2141" s="5" t="s">
        <v>93</v>
      </c>
      <c r="E2141" s="6" t="s">
        <v>3344</v>
      </c>
      <c r="AP2141" s="4" t="s">
        <v>376</v>
      </c>
      <c r="AR2141" s="4" t="s">
        <v>377</v>
      </c>
    </row>
    <row r="2142" spans="1:44" ht="30">
      <c r="A2142" s="4" t="s">
        <v>5</v>
      </c>
      <c r="C2142" s="4">
        <v>6412</v>
      </c>
      <c r="D2142" s="5" t="s">
        <v>93</v>
      </c>
      <c r="E2142" s="6" t="s">
        <v>3345</v>
      </c>
      <c r="AP2142" s="4" t="s">
        <v>376</v>
      </c>
      <c r="AR2142" s="4" t="s">
        <v>377</v>
      </c>
    </row>
    <row r="2143" spans="1:44">
      <c r="A2143" s="4" t="s">
        <v>5</v>
      </c>
      <c r="C2143" s="4">
        <v>4907</v>
      </c>
      <c r="D2143" s="5" t="s">
        <v>93</v>
      </c>
      <c r="E2143" s="6" t="s">
        <v>3346</v>
      </c>
      <c r="AP2143" s="4" t="s">
        <v>376</v>
      </c>
      <c r="AR2143" s="4" t="s">
        <v>377</v>
      </c>
    </row>
    <row r="2144" spans="1:44" ht="30">
      <c r="A2144" s="4" t="s">
        <v>5</v>
      </c>
      <c r="C2144" s="4">
        <v>6078</v>
      </c>
      <c r="D2144" s="5" t="s">
        <v>93</v>
      </c>
      <c r="E2144" s="6" t="s">
        <v>3347</v>
      </c>
      <c r="F2144" s="5" t="s">
        <v>3348</v>
      </c>
      <c r="Z2144" s="4" t="s">
        <v>443</v>
      </c>
      <c r="AA2144" s="4" t="s">
        <v>444</v>
      </c>
      <c r="AP2144" s="4" t="s">
        <v>376</v>
      </c>
      <c r="AR2144" s="4" t="s">
        <v>377</v>
      </c>
    </row>
    <row r="2145" spans="1:44">
      <c r="A2145" s="4" t="s">
        <v>5</v>
      </c>
      <c r="C2145" s="4">
        <v>4026</v>
      </c>
      <c r="D2145" s="5" t="s">
        <v>93</v>
      </c>
      <c r="E2145" s="6" t="s">
        <v>3349</v>
      </c>
      <c r="AP2145" s="4" t="s">
        <v>376</v>
      </c>
      <c r="AR2145" s="4" t="s">
        <v>377</v>
      </c>
    </row>
    <row r="2146" spans="1:44">
      <c r="A2146" s="4" t="s">
        <v>5</v>
      </c>
      <c r="C2146" s="4">
        <v>2050</v>
      </c>
      <c r="D2146" s="5" t="s">
        <v>93</v>
      </c>
      <c r="E2146" s="6" t="s">
        <v>3350</v>
      </c>
      <c r="AP2146" s="4" t="s">
        <v>376</v>
      </c>
      <c r="AR2146" s="4" t="s">
        <v>377</v>
      </c>
    </row>
    <row r="2147" spans="1:44" ht="30">
      <c r="A2147" s="4" t="s">
        <v>5</v>
      </c>
      <c r="C2147" s="4">
        <v>3903</v>
      </c>
      <c r="D2147" s="5" t="s">
        <v>93</v>
      </c>
      <c r="E2147" s="6" t="s">
        <v>3351</v>
      </c>
      <c r="AP2147" s="4" t="s">
        <v>376</v>
      </c>
      <c r="AR2147" s="4" t="s">
        <v>377</v>
      </c>
    </row>
    <row r="2148" spans="1:44">
      <c r="A2148" s="4" t="s">
        <v>5</v>
      </c>
      <c r="C2148" s="4">
        <v>4744</v>
      </c>
      <c r="D2148" s="5" t="s">
        <v>93</v>
      </c>
      <c r="E2148" s="6" t="s">
        <v>3352</v>
      </c>
      <c r="AP2148" s="4" t="s">
        <v>376</v>
      </c>
      <c r="AR2148" s="4" t="s">
        <v>377</v>
      </c>
    </row>
    <row r="2149" spans="1:44">
      <c r="A2149" s="4" t="s">
        <v>5</v>
      </c>
      <c r="C2149" s="4">
        <v>4771</v>
      </c>
      <c r="D2149" s="5" t="s">
        <v>93</v>
      </c>
      <c r="E2149" s="6" t="s">
        <v>3353</v>
      </c>
      <c r="AP2149" s="4" t="s">
        <v>376</v>
      </c>
      <c r="AR2149" s="4" t="s">
        <v>377</v>
      </c>
    </row>
    <row r="2150" spans="1:44">
      <c r="A2150" s="4" t="s">
        <v>5</v>
      </c>
      <c r="C2150" s="4">
        <v>635</v>
      </c>
      <c r="D2150" s="5" t="s">
        <v>93</v>
      </c>
      <c r="E2150" s="6" t="s">
        <v>3354</v>
      </c>
      <c r="F2150" s="5" t="s">
        <v>3355</v>
      </c>
      <c r="AP2150" s="4" t="s">
        <v>376</v>
      </c>
      <c r="AR2150" s="4" t="s">
        <v>377</v>
      </c>
    </row>
    <row r="2151" spans="1:44">
      <c r="A2151" s="4" t="s">
        <v>5</v>
      </c>
      <c r="C2151" s="4">
        <v>6688</v>
      </c>
      <c r="D2151" s="5" t="s">
        <v>93</v>
      </c>
      <c r="E2151" s="6" t="s">
        <v>3356</v>
      </c>
      <c r="AP2151" s="4" t="s">
        <v>376</v>
      </c>
      <c r="AR2151" s="4" t="s">
        <v>377</v>
      </c>
    </row>
    <row r="2152" spans="1:44">
      <c r="A2152" s="4" t="s">
        <v>5</v>
      </c>
      <c r="C2152" s="4">
        <v>5103</v>
      </c>
      <c r="D2152" s="5" t="s">
        <v>93</v>
      </c>
      <c r="E2152" s="6" t="s">
        <v>3357</v>
      </c>
      <c r="AP2152" s="4" t="s">
        <v>376</v>
      </c>
      <c r="AR2152" s="4" t="s">
        <v>377</v>
      </c>
    </row>
    <row r="2153" spans="1:44">
      <c r="A2153" s="4" t="s">
        <v>5</v>
      </c>
      <c r="C2153" s="4">
        <v>3398</v>
      </c>
      <c r="D2153" s="5" t="s">
        <v>93</v>
      </c>
      <c r="E2153" s="6" t="s">
        <v>3358</v>
      </c>
      <c r="AP2153" s="4" t="s">
        <v>376</v>
      </c>
      <c r="AR2153" s="4" t="s">
        <v>377</v>
      </c>
    </row>
    <row r="2154" spans="1:44">
      <c r="A2154" s="4" t="s">
        <v>5</v>
      </c>
      <c r="C2154" s="4">
        <v>5576</v>
      </c>
      <c r="D2154" s="5" t="s">
        <v>93</v>
      </c>
      <c r="E2154" s="6" t="s">
        <v>3359</v>
      </c>
      <c r="AP2154" s="4" t="s">
        <v>376</v>
      </c>
      <c r="AR2154" s="4" t="s">
        <v>377</v>
      </c>
    </row>
    <row r="2155" spans="1:44">
      <c r="A2155" s="4" t="s">
        <v>5</v>
      </c>
      <c r="C2155" s="4">
        <v>5117</v>
      </c>
      <c r="D2155" s="5" t="s">
        <v>93</v>
      </c>
      <c r="E2155" s="6" t="s">
        <v>3360</v>
      </c>
      <c r="AP2155" s="4" t="s">
        <v>376</v>
      </c>
      <c r="AR2155" s="4" t="s">
        <v>377</v>
      </c>
    </row>
    <row r="2156" spans="1:44">
      <c r="A2156" s="4" t="s">
        <v>5</v>
      </c>
      <c r="C2156" s="4">
        <v>6553</v>
      </c>
      <c r="D2156" s="5" t="s">
        <v>93</v>
      </c>
      <c r="E2156" s="6" t="s">
        <v>3361</v>
      </c>
      <c r="F2156" s="5" t="s">
        <v>3362</v>
      </c>
      <c r="AP2156" s="4" t="s">
        <v>376</v>
      </c>
      <c r="AR2156" s="4" t="s">
        <v>377</v>
      </c>
    </row>
    <row r="2157" spans="1:44">
      <c r="A2157" s="4" t="s">
        <v>5</v>
      </c>
      <c r="C2157" s="4">
        <v>1549</v>
      </c>
      <c r="D2157" s="5" t="s">
        <v>93</v>
      </c>
      <c r="E2157" s="6" t="s">
        <v>3363</v>
      </c>
      <c r="Z2157" s="4" t="s">
        <v>447</v>
      </c>
      <c r="AA2157" s="4" t="s">
        <v>448</v>
      </c>
      <c r="AP2157" s="4" t="s">
        <v>376</v>
      </c>
      <c r="AR2157" s="4" t="s">
        <v>377</v>
      </c>
    </row>
    <row r="2158" spans="1:44" ht="30">
      <c r="A2158" s="4" t="s">
        <v>5</v>
      </c>
      <c r="C2158" s="4">
        <v>3446</v>
      </c>
      <c r="D2158" s="5" t="s">
        <v>93</v>
      </c>
      <c r="E2158" s="6" t="s">
        <v>3364</v>
      </c>
      <c r="AP2158" s="4" t="s">
        <v>376</v>
      </c>
      <c r="AR2158" s="4" t="s">
        <v>377</v>
      </c>
    </row>
    <row r="2159" spans="1:44">
      <c r="A2159" s="4" t="s">
        <v>5</v>
      </c>
      <c r="C2159" s="4">
        <v>1491</v>
      </c>
      <c r="D2159" s="5" t="s">
        <v>93</v>
      </c>
      <c r="E2159" s="6" t="s">
        <v>3365</v>
      </c>
      <c r="AP2159" s="4" t="s">
        <v>376</v>
      </c>
      <c r="AR2159" s="4" t="s">
        <v>377</v>
      </c>
    </row>
    <row r="2160" spans="1:44">
      <c r="A2160" s="4" t="s">
        <v>5</v>
      </c>
      <c r="C2160" s="4">
        <v>5261</v>
      </c>
      <c r="D2160" s="5" t="s">
        <v>93</v>
      </c>
      <c r="E2160" s="6" t="s">
        <v>3366</v>
      </c>
      <c r="F2160" s="5" t="s">
        <v>3367</v>
      </c>
      <c r="AP2160" s="4" t="s">
        <v>376</v>
      </c>
      <c r="AR2160" s="4" t="s">
        <v>377</v>
      </c>
    </row>
    <row r="2161" spans="1:44">
      <c r="A2161" s="4" t="s">
        <v>5</v>
      </c>
      <c r="C2161" s="4">
        <v>4384</v>
      </c>
      <c r="D2161" s="5" t="s">
        <v>93</v>
      </c>
      <c r="E2161" s="6" t="s">
        <v>3368</v>
      </c>
      <c r="AP2161" s="4" t="s">
        <v>376</v>
      </c>
      <c r="AR2161" s="4" t="s">
        <v>377</v>
      </c>
    </row>
    <row r="2162" spans="1:44">
      <c r="A2162" s="4" t="s">
        <v>5</v>
      </c>
      <c r="C2162" s="4">
        <v>4846</v>
      </c>
      <c r="D2162" s="5" t="s">
        <v>93</v>
      </c>
      <c r="E2162" s="6" t="s">
        <v>3369</v>
      </c>
      <c r="AP2162" s="4" t="s">
        <v>376</v>
      </c>
      <c r="AR2162" s="4" t="s">
        <v>377</v>
      </c>
    </row>
    <row r="2163" spans="1:44">
      <c r="A2163" s="4" t="s">
        <v>5</v>
      </c>
      <c r="C2163" s="4">
        <v>1724</v>
      </c>
      <c r="D2163" s="5" t="s">
        <v>93</v>
      </c>
      <c r="E2163" s="6" t="s">
        <v>3370</v>
      </c>
      <c r="AP2163" s="4" t="s">
        <v>376</v>
      </c>
      <c r="AR2163" s="4" t="s">
        <v>377</v>
      </c>
    </row>
    <row r="2164" spans="1:44">
      <c r="A2164" s="4" t="s">
        <v>5</v>
      </c>
      <c r="C2164" s="4">
        <v>2553</v>
      </c>
      <c r="D2164" s="5" t="s">
        <v>93</v>
      </c>
      <c r="E2164" s="6" t="s">
        <v>3371</v>
      </c>
      <c r="AP2164" s="4" t="s">
        <v>376</v>
      </c>
      <c r="AR2164" s="4" t="s">
        <v>377</v>
      </c>
    </row>
    <row r="2165" spans="1:44" ht="30">
      <c r="A2165" s="4" t="s">
        <v>5</v>
      </c>
      <c r="C2165" s="4">
        <v>4616</v>
      </c>
      <c r="D2165" s="5" t="s">
        <v>93</v>
      </c>
      <c r="E2165" s="6" t="s">
        <v>3372</v>
      </c>
      <c r="F2165" s="5" t="s">
        <v>3373</v>
      </c>
      <c r="Z2165" s="4" t="s">
        <v>447</v>
      </c>
      <c r="AA2165" s="4" t="s">
        <v>448</v>
      </c>
      <c r="AP2165" s="4" t="s">
        <v>376</v>
      </c>
      <c r="AR2165" s="4" t="s">
        <v>377</v>
      </c>
    </row>
    <row r="2166" spans="1:44">
      <c r="A2166" s="4" t="s">
        <v>5</v>
      </c>
      <c r="C2166" s="4">
        <v>5844</v>
      </c>
      <c r="D2166" s="5" t="s">
        <v>93</v>
      </c>
      <c r="E2166" s="6" t="s">
        <v>3374</v>
      </c>
      <c r="AP2166" s="4" t="s">
        <v>376</v>
      </c>
      <c r="AR2166" s="4" t="s">
        <v>377</v>
      </c>
    </row>
    <row r="2167" spans="1:44" ht="30">
      <c r="A2167" s="4" t="s">
        <v>5</v>
      </c>
      <c r="C2167" s="4">
        <v>1997</v>
      </c>
      <c r="D2167" s="5" t="s">
        <v>93</v>
      </c>
      <c r="E2167" s="6" t="s">
        <v>3375</v>
      </c>
      <c r="F2167" s="5" t="s">
        <v>3376</v>
      </c>
      <c r="AP2167" s="4" t="s">
        <v>376</v>
      </c>
      <c r="AR2167" s="4" t="s">
        <v>377</v>
      </c>
    </row>
    <row r="2168" spans="1:44">
      <c r="A2168" s="4" t="s">
        <v>5</v>
      </c>
      <c r="C2168" s="4">
        <v>3669</v>
      </c>
      <c r="D2168" s="5" t="s">
        <v>93</v>
      </c>
      <c r="E2168" s="6" t="s">
        <v>3377</v>
      </c>
      <c r="F2168" s="5" t="s">
        <v>3378</v>
      </c>
      <c r="AP2168" s="4" t="s">
        <v>376</v>
      </c>
      <c r="AR2168" s="4" t="s">
        <v>377</v>
      </c>
    </row>
    <row r="2169" spans="1:44">
      <c r="A2169" s="4" t="s">
        <v>5</v>
      </c>
      <c r="C2169" s="4">
        <v>2880</v>
      </c>
      <c r="D2169" s="5" t="s">
        <v>93</v>
      </c>
      <c r="E2169" s="6" t="s">
        <v>3379</v>
      </c>
      <c r="F2169" s="5" t="s">
        <v>3380</v>
      </c>
      <c r="Z2169" s="4" t="s">
        <v>443</v>
      </c>
      <c r="AA2169" s="4" t="s">
        <v>444</v>
      </c>
      <c r="AP2169" s="4" t="s">
        <v>376</v>
      </c>
      <c r="AR2169" s="4" t="s">
        <v>377</v>
      </c>
    </row>
    <row r="2170" spans="1:44">
      <c r="A2170" s="4" t="s">
        <v>5</v>
      </c>
      <c r="C2170" s="4">
        <v>1181</v>
      </c>
      <c r="D2170" s="5" t="s">
        <v>93</v>
      </c>
      <c r="E2170" s="6" t="s">
        <v>3381</v>
      </c>
      <c r="F2170" s="5" t="s">
        <v>3382</v>
      </c>
      <c r="AP2170" s="4" t="s">
        <v>376</v>
      </c>
      <c r="AR2170" s="4" t="s">
        <v>377</v>
      </c>
    </row>
    <row r="2171" spans="1:44">
      <c r="A2171" s="4" t="s">
        <v>5</v>
      </c>
      <c r="C2171" s="4">
        <v>4298</v>
      </c>
      <c r="D2171" s="5" t="s">
        <v>93</v>
      </c>
      <c r="E2171" s="6" t="s">
        <v>3383</v>
      </c>
      <c r="AP2171" s="4" t="s">
        <v>376</v>
      </c>
      <c r="AR2171" s="4" t="s">
        <v>377</v>
      </c>
    </row>
    <row r="2172" spans="1:44">
      <c r="A2172" s="4" t="s">
        <v>5</v>
      </c>
      <c r="C2172" s="4">
        <v>6820</v>
      </c>
      <c r="D2172" s="5" t="s">
        <v>93</v>
      </c>
      <c r="E2172" s="6" t="s">
        <v>3384</v>
      </c>
      <c r="F2172" s="5" t="s">
        <v>3385</v>
      </c>
      <c r="AP2172" s="4" t="s">
        <v>376</v>
      </c>
      <c r="AR2172" s="4" t="s">
        <v>377</v>
      </c>
    </row>
    <row r="2173" spans="1:44">
      <c r="A2173" s="4" t="s">
        <v>5</v>
      </c>
      <c r="C2173" s="4">
        <v>415</v>
      </c>
      <c r="D2173" s="5" t="s">
        <v>93</v>
      </c>
      <c r="E2173" s="6" t="s">
        <v>3386</v>
      </c>
      <c r="F2173" s="5" t="s">
        <v>3387</v>
      </c>
      <c r="AP2173" s="4" t="s">
        <v>376</v>
      </c>
      <c r="AR2173" s="4" t="s">
        <v>377</v>
      </c>
    </row>
    <row r="2174" spans="1:44">
      <c r="A2174" s="4" t="s">
        <v>5</v>
      </c>
      <c r="C2174" s="4">
        <v>2813</v>
      </c>
      <c r="D2174" s="5" t="s">
        <v>93</v>
      </c>
      <c r="E2174" s="6" t="s">
        <v>3388</v>
      </c>
      <c r="F2174" s="5" t="s">
        <v>3389</v>
      </c>
      <c r="Z2174" s="4" t="s">
        <v>443</v>
      </c>
      <c r="AA2174" s="4" t="s">
        <v>444</v>
      </c>
      <c r="AP2174" s="4" t="s">
        <v>376</v>
      </c>
      <c r="AR2174" s="4" t="s">
        <v>377</v>
      </c>
    </row>
    <row r="2175" spans="1:44">
      <c r="A2175" s="4" t="s">
        <v>5</v>
      </c>
      <c r="C2175" s="4">
        <v>1429</v>
      </c>
      <c r="D2175" s="5" t="s">
        <v>93</v>
      </c>
      <c r="E2175" s="6" t="s">
        <v>3390</v>
      </c>
      <c r="F2175" s="5" t="s">
        <v>3391</v>
      </c>
      <c r="AP2175" s="4" t="s">
        <v>376</v>
      </c>
      <c r="AR2175" s="4" t="s">
        <v>377</v>
      </c>
    </row>
    <row r="2176" spans="1:44" ht="30">
      <c r="A2176" s="4" t="s">
        <v>5</v>
      </c>
      <c r="C2176" s="4">
        <v>2673</v>
      </c>
      <c r="D2176" s="5" t="s">
        <v>93</v>
      </c>
      <c r="E2176" s="6" t="s">
        <v>3392</v>
      </c>
      <c r="AP2176" s="4" t="s">
        <v>376</v>
      </c>
      <c r="AR2176" s="4" t="s">
        <v>377</v>
      </c>
    </row>
    <row r="2177" spans="1:44">
      <c r="A2177" s="4" t="s">
        <v>5</v>
      </c>
      <c r="C2177" s="4">
        <v>876</v>
      </c>
      <c r="D2177" s="5" t="s">
        <v>93</v>
      </c>
      <c r="E2177" s="6" t="s">
        <v>3393</v>
      </c>
      <c r="AP2177" s="4" t="s">
        <v>376</v>
      </c>
      <c r="AR2177" s="4" t="s">
        <v>377</v>
      </c>
    </row>
    <row r="2178" spans="1:44">
      <c r="A2178" s="4" t="s">
        <v>5</v>
      </c>
      <c r="C2178" s="4">
        <v>6498</v>
      </c>
      <c r="D2178" s="5" t="s">
        <v>93</v>
      </c>
      <c r="E2178" s="6" t="s">
        <v>3394</v>
      </c>
      <c r="AP2178" s="4" t="s">
        <v>376</v>
      </c>
      <c r="AR2178" s="4" t="s">
        <v>377</v>
      </c>
    </row>
    <row r="2179" spans="1:44">
      <c r="A2179" s="4" t="s">
        <v>5</v>
      </c>
      <c r="C2179" s="4">
        <v>5912</v>
      </c>
      <c r="D2179" s="5" t="s">
        <v>93</v>
      </c>
      <c r="E2179" s="6" t="s">
        <v>3395</v>
      </c>
      <c r="AP2179" s="4" t="s">
        <v>376</v>
      </c>
      <c r="AR2179" s="4" t="s">
        <v>377</v>
      </c>
    </row>
    <row r="2180" spans="1:44">
      <c r="A2180" s="4" t="s">
        <v>5</v>
      </c>
      <c r="C2180" s="4">
        <v>3224</v>
      </c>
      <c r="D2180" s="5" t="s">
        <v>93</v>
      </c>
      <c r="E2180" s="6" t="s">
        <v>3396</v>
      </c>
      <c r="Z2180" s="4" t="s">
        <v>447</v>
      </c>
      <c r="AA2180" s="4" t="s">
        <v>448</v>
      </c>
      <c r="AP2180" s="4" t="s">
        <v>376</v>
      </c>
      <c r="AR2180" s="4" t="s">
        <v>377</v>
      </c>
    </row>
    <row r="2181" spans="1:44">
      <c r="A2181" s="4" t="s">
        <v>5</v>
      </c>
      <c r="C2181" s="4">
        <v>6211</v>
      </c>
      <c r="D2181" s="5" t="s">
        <v>93</v>
      </c>
      <c r="E2181" s="6" t="s">
        <v>3397</v>
      </c>
      <c r="AP2181" s="4" t="s">
        <v>376</v>
      </c>
      <c r="AR2181" s="4" t="s">
        <v>377</v>
      </c>
    </row>
    <row r="2182" spans="1:44" ht="30">
      <c r="A2182" s="4" t="s">
        <v>5</v>
      </c>
      <c r="C2182" s="4">
        <v>2217</v>
      </c>
      <c r="D2182" s="5" t="s">
        <v>93</v>
      </c>
      <c r="E2182" s="6" t="s">
        <v>3398</v>
      </c>
      <c r="Z2182" s="4" t="s">
        <v>447</v>
      </c>
      <c r="AA2182" s="4" t="s">
        <v>448</v>
      </c>
      <c r="AP2182" s="4" t="s">
        <v>376</v>
      </c>
      <c r="AR2182" s="4" t="s">
        <v>377</v>
      </c>
    </row>
    <row r="2183" spans="1:44">
      <c r="A2183" s="4" t="s">
        <v>5</v>
      </c>
      <c r="C2183" s="4">
        <v>1118</v>
      </c>
      <c r="D2183" s="5" t="s">
        <v>93</v>
      </c>
      <c r="E2183" s="6" t="s">
        <v>3399</v>
      </c>
      <c r="F2183" s="5" t="s">
        <v>3400</v>
      </c>
      <c r="Z2183" s="4" t="s">
        <v>695</v>
      </c>
      <c r="AA2183" s="4" t="s">
        <v>696</v>
      </c>
      <c r="AP2183" s="4" t="s">
        <v>376</v>
      </c>
      <c r="AR2183" s="4" t="s">
        <v>377</v>
      </c>
    </row>
    <row r="2184" spans="1:44">
      <c r="A2184" s="4" t="s">
        <v>5</v>
      </c>
      <c r="C2184" s="4">
        <v>5142</v>
      </c>
      <c r="D2184" s="5" t="s">
        <v>93</v>
      </c>
      <c r="E2184" s="6" t="s">
        <v>3401</v>
      </c>
      <c r="F2184" s="5" t="s">
        <v>3402</v>
      </c>
      <c r="AP2184" s="4" t="s">
        <v>376</v>
      </c>
      <c r="AR2184" s="4" t="s">
        <v>377</v>
      </c>
    </row>
    <row r="2185" spans="1:44">
      <c r="A2185" s="4" t="s">
        <v>5</v>
      </c>
      <c r="C2185" s="4">
        <v>1406</v>
      </c>
      <c r="D2185" s="5" t="s">
        <v>93</v>
      </c>
      <c r="E2185" s="6" t="s">
        <v>3403</v>
      </c>
      <c r="AP2185" s="4" t="s">
        <v>376</v>
      </c>
      <c r="AR2185" s="4" t="s">
        <v>377</v>
      </c>
    </row>
    <row r="2186" spans="1:44">
      <c r="A2186" s="4" t="s">
        <v>5</v>
      </c>
      <c r="C2186" s="4">
        <v>1480</v>
      </c>
      <c r="D2186" s="5" t="s">
        <v>93</v>
      </c>
      <c r="E2186" s="6" t="s">
        <v>3404</v>
      </c>
      <c r="AP2186" s="4" t="s">
        <v>376</v>
      </c>
      <c r="AR2186" s="4" t="s">
        <v>377</v>
      </c>
    </row>
    <row r="2187" spans="1:44">
      <c r="A2187" s="4" t="s">
        <v>5</v>
      </c>
      <c r="C2187" s="4">
        <v>5902</v>
      </c>
      <c r="D2187" s="5" t="s">
        <v>93</v>
      </c>
      <c r="E2187" s="6" t="s">
        <v>3405</v>
      </c>
      <c r="AP2187" s="4" t="s">
        <v>376</v>
      </c>
      <c r="AR2187" s="4" t="s">
        <v>377</v>
      </c>
    </row>
    <row r="2188" spans="1:44" ht="30">
      <c r="A2188" s="4" t="s">
        <v>5</v>
      </c>
      <c r="C2188" s="4">
        <v>2752</v>
      </c>
      <c r="D2188" s="5" t="s">
        <v>93</v>
      </c>
      <c r="E2188" s="6" t="s">
        <v>3406</v>
      </c>
      <c r="AP2188" s="4" t="s">
        <v>376</v>
      </c>
      <c r="AR2188" s="4" t="s">
        <v>377</v>
      </c>
    </row>
    <row r="2189" spans="1:44" ht="30">
      <c r="A2189" s="4" t="s">
        <v>5</v>
      </c>
      <c r="C2189" s="4">
        <v>3375</v>
      </c>
      <c r="D2189" s="5" t="s">
        <v>93</v>
      </c>
      <c r="E2189" s="6" t="s">
        <v>3407</v>
      </c>
      <c r="AP2189" s="4" t="s">
        <v>376</v>
      </c>
      <c r="AR2189" s="4" t="s">
        <v>377</v>
      </c>
    </row>
    <row r="2190" spans="1:44">
      <c r="A2190" s="4" t="s">
        <v>5</v>
      </c>
      <c r="C2190" s="4">
        <v>2861</v>
      </c>
      <c r="D2190" s="5" t="s">
        <v>93</v>
      </c>
      <c r="E2190" s="6" t="s">
        <v>3408</v>
      </c>
      <c r="AP2190" s="4" t="s">
        <v>376</v>
      </c>
      <c r="AR2190" s="4" t="s">
        <v>377</v>
      </c>
    </row>
    <row r="2191" spans="1:44">
      <c r="A2191" s="4" t="s">
        <v>5</v>
      </c>
      <c r="C2191" s="4">
        <v>12</v>
      </c>
      <c r="D2191" s="5" t="s">
        <v>93</v>
      </c>
      <c r="E2191" s="6" t="s">
        <v>3409</v>
      </c>
      <c r="F2191" s="5" t="s">
        <v>3410</v>
      </c>
      <c r="AP2191" s="4" t="s">
        <v>376</v>
      </c>
      <c r="AR2191" s="4" t="s">
        <v>377</v>
      </c>
    </row>
    <row r="2192" spans="1:44" ht="30">
      <c r="A2192" s="4" t="s">
        <v>5</v>
      </c>
      <c r="C2192" s="4">
        <v>6008</v>
      </c>
      <c r="D2192" s="5" t="s">
        <v>93</v>
      </c>
      <c r="E2192" s="6" t="s">
        <v>3411</v>
      </c>
      <c r="AP2192" s="4" t="s">
        <v>376</v>
      </c>
      <c r="AR2192" s="4" t="s">
        <v>377</v>
      </c>
    </row>
    <row r="2193" spans="1:44">
      <c r="A2193" s="4" t="s">
        <v>5</v>
      </c>
      <c r="C2193" s="4">
        <v>4841</v>
      </c>
      <c r="D2193" s="5" t="s">
        <v>93</v>
      </c>
      <c r="E2193" s="6" t="s">
        <v>3412</v>
      </c>
      <c r="F2193" s="5" t="s">
        <v>3413</v>
      </c>
      <c r="Z2193" s="4" t="s">
        <v>443</v>
      </c>
      <c r="AA2193" s="4" t="s">
        <v>444</v>
      </c>
      <c r="AP2193" s="4" t="s">
        <v>376</v>
      </c>
      <c r="AR2193" s="4" t="s">
        <v>377</v>
      </c>
    </row>
    <row r="2194" spans="1:44">
      <c r="A2194" s="4" t="s">
        <v>5</v>
      </c>
      <c r="C2194" s="4">
        <v>5064</v>
      </c>
      <c r="D2194" s="5" t="s">
        <v>93</v>
      </c>
      <c r="E2194" s="6" t="s">
        <v>3414</v>
      </c>
      <c r="AP2194" s="4" t="s">
        <v>376</v>
      </c>
      <c r="AR2194" s="4" t="s">
        <v>377</v>
      </c>
    </row>
    <row r="2195" spans="1:44" ht="30">
      <c r="A2195" s="4" t="s">
        <v>5</v>
      </c>
      <c r="C2195" s="4">
        <v>2612</v>
      </c>
      <c r="D2195" s="5" t="s">
        <v>93</v>
      </c>
      <c r="E2195" s="6" t="s">
        <v>3415</v>
      </c>
      <c r="Z2195" s="4" t="s">
        <v>447</v>
      </c>
      <c r="AA2195" s="4" t="s">
        <v>448</v>
      </c>
      <c r="AP2195" s="4" t="s">
        <v>376</v>
      </c>
      <c r="AR2195" s="4" t="s">
        <v>377</v>
      </c>
    </row>
    <row r="2196" spans="1:44" ht="30">
      <c r="A2196" s="4" t="s">
        <v>5</v>
      </c>
      <c r="C2196" s="4">
        <v>386</v>
      </c>
      <c r="D2196" s="5" t="s">
        <v>93</v>
      </c>
      <c r="E2196" s="6" t="s">
        <v>3416</v>
      </c>
      <c r="F2196" s="5" t="s">
        <v>3417</v>
      </c>
      <c r="AP2196" s="4" t="s">
        <v>376</v>
      </c>
      <c r="AR2196" s="4" t="s">
        <v>377</v>
      </c>
    </row>
    <row r="2197" spans="1:44">
      <c r="A2197" s="4" t="s">
        <v>5</v>
      </c>
      <c r="C2197" s="4">
        <v>1452</v>
      </c>
      <c r="D2197" s="5" t="s">
        <v>93</v>
      </c>
      <c r="E2197" s="6" t="s">
        <v>3418</v>
      </c>
      <c r="F2197" s="5" t="s">
        <v>3419</v>
      </c>
      <c r="AP2197" s="4" t="s">
        <v>376</v>
      </c>
      <c r="AR2197" s="4" t="s">
        <v>377</v>
      </c>
    </row>
    <row r="2198" spans="1:44">
      <c r="A2198" s="4" t="s">
        <v>5</v>
      </c>
      <c r="C2198" s="4">
        <v>2506</v>
      </c>
      <c r="D2198" s="5" t="s">
        <v>93</v>
      </c>
      <c r="E2198" s="6" t="s">
        <v>3420</v>
      </c>
      <c r="AP2198" s="4" t="s">
        <v>376</v>
      </c>
      <c r="AR2198" s="4" t="s">
        <v>377</v>
      </c>
    </row>
    <row r="2199" spans="1:44" ht="30">
      <c r="A2199" s="4" t="s">
        <v>5</v>
      </c>
      <c r="C2199" s="4">
        <v>6809</v>
      </c>
      <c r="D2199" s="5" t="s">
        <v>93</v>
      </c>
      <c r="E2199" s="6" t="s">
        <v>3421</v>
      </c>
      <c r="AP2199" s="4" t="s">
        <v>376</v>
      </c>
      <c r="AR2199" s="4" t="s">
        <v>377</v>
      </c>
    </row>
    <row r="2200" spans="1:44" ht="30">
      <c r="A2200" s="4" t="s">
        <v>5</v>
      </c>
      <c r="C2200" s="4">
        <v>2863</v>
      </c>
      <c r="D2200" s="5" t="s">
        <v>93</v>
      </c>
      <c r="E2200" s="6" t="s">
        <v>3422</v>
      </c>
      <c r="F2200" s="5" t="s">
        <v>3423</v>
      </c>
      <c r="AP2200" s="4" t="s">
        <v>376</v>
      </c>
      <c r="AR2200" s="4" t="s">
        <v>377</v>
      </c>
    </row>
    <row r="2201" spans="1:44">
      <c r="A2201" s="4" t="s">
        <v>5</v>
      </c>
      <c r="C2201" s="4">
        <v>3840</v>
      </c>
      <c r="D2201" s="5" t="s">
        <v>93</v>
      </c>
      <c r="E2201" s="6" t="s">
        <v>3424</v>
      </c>
      <c r="F2201" s="5" t="s">
        <v>3425</v>
      </c>
      <c r="Z2201" s="4" t="s">
        <v>443</v>
      </c>
      <c r="AA2201" s="4" t="s">
        <v>444</v>
      </c>
      <c r="AP2201" s="4" t="s">
        <v>376</v>
      </c>
      <c r="AR2201" s="4" t="s">
        <v>377</v>
      </c>
    </row>
    <row r="2202" spans="1:44">
      <c r="A2202" s="4" t="s">
        <v>5</v>
      </c>
      <c r="C2202" s="4">
        <v>5593</v>
      </c>
      <c r="D2202" s="5" t="s">
        <v>93</v>
      </c>
      <c r="E2202" s="6" t="s">
        <v>3426</v>
      </c>
      <c r="AP2202" s="4" t="s">
        <v>376</v>
      </c>
      <c r="AR2202" s="4" t="s">
        <v>377</v>
      </c>
    </row>
    <row r="2203" spans="1:44">
      <c r="A2203" s="4" t="s">
        <v>5</v>
      </c>
      <c r="C2203" s="4">
        <v>13</v>
      </c>
      <c r="D2203" s="5" t="s">
        <v>93</v>
      </c>
      <c r="E2203" s="6" t="s">
        <v>3427</v>
      </c>
      <c r="F2203" s="5" t="s">
        <v>3428</v>
      </c>
      <c r="AP2203" s="4" t="s">
        <v>376</v>
      </c>
      <c r="AR2203" s="4" t="s">
        <v>377</v>
      </c>
    </row>
    <row r="2204" spans="1:44">
      <c r="A2204" s="4" t="s">
        <v>5</v>
      </c>
      <c r="C2204" s="4">
        <v>4041</v>
      </c>
      <c r="D2204" s="5" t="s">
        <v>93</v>
      </c>
      <c r="E2204" s="6" t="s">
        <v>3429</v>
      </c>
      <c r="AP2204" s="4" t="s">
        <v>376</v>
      </c>
      <c r="AR2204" s="4" t="s">
        <v>377</v>
      </c>
    </row>
    <row r="2205" spans="1:44">
      <c r="A2205" s="4" t="s">
        <v>5</v>
      </c>
      <c r="C2205" s="4">
        <v>4471</v>
      </c>
      <c r="D2205" s="5" t="s">
        <v>93</v>
      </c>
      <c r="E2205" s="6" t="s">
        <v>3430</v>
      </c>
      <c r="F2205" s="5" t="s">
        <v>3431</v>
      </c>
      <c r="AP2205" s="4" t="s">
        <v>376</v>
      </c>
      <c r="AR2205" s="4" t="s">
        <v>377</v>
      </c>
    </row>
    <row r="2206" spans="1:44">
      <c r="A2206" s="4" t="s">
        <v>5</v>
      </c>
      <c r="C2206" s="4">
        <v>4343</v>
      </c>
      <c r="D2206" s="5" t="s">
        <v>93</v>
      </c>
      <c r="E2206" s="6" t="s">
        <v>3432</v>
      </c>
      <c r="AP2206" s="4" t="s">
        <v>376</v>
      </c>
      <c r="AR2206" s="4" t="s">
        <v>377</v>
      </c>
    </row>
    <row r="2207" spans="1:44" ht="30">
      <c r="A2207" s="4" t="s">
        <v>5</v>
      </c>
      <c r="C2207" s="4">
        <v>2496</v>
      </c>
      <c r="D2207" s="5" t="s">
        <v>93</v>
      </c>
      <c r="E2207" s="6" t="s">
        <v>3433</v>
      </c>
      <c r="AP2207" s="4" t="s">
        <v>376</v>
      </c>
      <c r="AR2207" s="4" t="s">
        <v>377</v>
      </c>
    </row>
    <row r="2208" spans="1:44">
      <c r="A2208" s="4" t="s">
        <v>5</v>
      </c>
      <c r="C2208" s="4">
        <v>1544</v>
      </c>
      <c r="D2208" s="5" t="s">
        <v>93</v>
      </c>
      <c r="E2208" s="6" t="s">
        <v>3434</v>
      </c>
      <c r="AP2208" s="4" t="s">
        <v>376</v>
      </c>
      <c r="AR2208" s="4" t="s">
        <v>377</v>
      </c>
    </row>
    <row r="2209" spans="1:44">
      <c r="A2209" s="4" t="s">
        <v>5</v>
      </c>
      <c r="C2209" s="4">
        <v>1465</v>
      </c>
      <c r="D2209" s="5" t="s">
        <v>93</v>
      </c>
      <c r="E2209" s="6" t="s">
        <v>3435</v>
      </c>
      <c r="F2209" s="5" t="s">
        <v>3436</v>
      </c>
      <c r="AP2209" s="4" t="s">
        <v>376</v>
      </c>
      <c r="AR2209" s="4" t="s">
        <v>377</v>
      </c>
    </row>
    <row r="2210" spans="1:44">
      <c r="A2210" s="4" t="s">
        <v>5</v>
      </c>
      <c r="C2210" s="4">
        <v>2641</v>
      </c>
      <c r="D2210" s="5" t="s">
        <v>93</v>
      </c>
      <c r="E2210" s="6" t="s">
        <v>3437</v>
      </c>
      <c r="F2210" s="5" t="s">
        <v>3438</v>
      </c>
      <c r="AP2210" s="4" t="s">
        <v>376</v>
      </c>
      <c r="AR2210" s="4" t="s">
        <v>377</v>
      </c>
    </row>
    <row r="2211" spans="1:44">
      <c r="A2211" s="4" t="s">
        <v>5</v>
      </c>
      <c r="C2211" s="4">
        <v>6127</v>
      </c>
      <c r="D2211" s="5" t="s">
        <v>93</v>
      </c>
      <c r="E2211" s="6" t="s">
        <v>3439</v>
      </c>
      <c r="AP2211" s="4" t="s">
        <v>376</v>
      </c>
      <c r="AR2211" s="4" t="s">
        <v>377</v>
      </c>
    </row>
    <row r="2212" spans="1:44" ht="30">
      <c r="A2212" s="4" t="s">
        <v>5</v>
      </c>
      <c r="C2212" s="4">
        <v>4428</v>
      </c>
      <c r="D2212" s="5" t="s">
        <v>93</v>
      </c>
      <c r="E2212" s="6" t="s">
        <v>3440</v>
      </c>
      <c r="AP2212" s="4" t="s">
        <v>376</v>
      </c>
      <c r="AR2212" s="4" t="s">
        <v>377</v>
      </c>
    </row>
    <row r="2213" spans="1:44" ht="30">
      <c r="A2213" s="4" t="s">
        <v>5</v>
      </c>
      <c r="C2213" s="4">
        <v>1977</v>
      </c>
      <c r="D2213" s="5" t="s">
        <v>93</v>
      </c>
      <c r="E2213" s="6" t="s">
        <v>3441</v>
      </c>
      <c r="F2213" s="5" t="s">
        <v>3442</v>
      </c>
      <c r="AP2213" s="4" t="s">
        <v>376</v>
      </c>
      <c r="AR2213" s="4" t="s">
        <v>377</v>
      </c>
    </row>
    <row r="2214" spans="1:44">
      <c r="A2214" s="4" t="s">
        <v>5</v>
      </c>
      <c r="C2214" s="4">
        <v>1364</v>
      </c>
      <c r="D2214" s="5" t="s">
        <v>93</v>
      </c>
      <c r="E2214" s="6" t="s">
        <v>3443</v>
      </c>
      <c r="F2214" s="5" t="s">
        <v>3444</v>
      </c>
      <c r="AP2214" s="4" t="s">
        <v>376</v>
      </c>
      <c r="AR2214" s="4" t="s">
        <v>377</v>
      </c>
    </row>
    <row r="2215" spans="1:44">
      <c r="A2215" s="4" t="s">
        <v>5</v>
      </c>
      <c r="C2215" s="4">
        <v>5703</v>
      </c>
      <c r="D2215" s="5" t="s">
        <v>93</v>
      </c>
      <c r="E2215" s="6" t="s">
        <v>3445</v>
      </c>
      <c r="F2215" s="5" t="s">
        <v>3446</v>
      </c>
      <c r="Z2215" s="4" t="s">
        <v>447</v>
      </c>
      <c r="AA2215" s="4" t="s">
        <v>448</v>
      </c>
      <c r="AP2215" s="4" t="s">
        <v>376</v>
      </c>
      <c r="AR2215" s="4" t="s">
        <v>377</v>
      </c>
    </row>
    <row r="2216" spans="1:44">
      <c r="A2216" s="4" t="s">
        <v>5</v>
      </c>
      <c r="C2216" s="4">
        <v>2458</v>
      </c>
      <c r="D2216" s="5" t="s">
        <v>93</v>
      </c>
      <c r="E2216" s="6" t="s">
        <v>3447</v>
      </c>
      <c r="F2216" s="5" t="s">
        <v>3448</v>
      </c>
      <c r="AP2216" s="4" t="s">
        <v>376</v>
      </c>
      <c r="AR2216" s="4" t="s">
        <v>377</v>
      </c>
    </row>
    <row r="2217" spans="1:44" ht="30">
      <c r="A2217" s="4" t="s">
        <v>5</v>
      </c>
      <c r="C2217" s="4">
        <v>6217</v>
      </c>
      <c r="D2217" s="5" t="s">
        <v>93</v>
      </c>
      <c r="E2217" s="6" t="s">
        <v>3449</v>
      </c>
      <c r="AP2217" s="4" t="s">
        <v>376</v>
      </c>
      <c r="AR2217" s="4" t="s">
        <v>377</v>
      </c>
    </row>
    <row r="2218" spans="1:44">
      <c r="A2218" s="4" t="s">
        <v>5</v>
      </c>
      <c r="C2218" s="4">
        <v>4378</v>
      </c>
      <c r="D2218" s="5" t="s">
        <v>93</v>
      </c>
      <c r="E2218" s="6" t="s">
        <v>3450</v>
      </c>
      <c r="AP2218" s="4" t="s">
        <v>376</v>
      </c>
      <c r="AR2218" s="4" t="s">
        <v>377</v>
      </c>
    </row>
    <row r="2219" spans="1:44" ht="30">
      <c r="A2219" s="4" t="s">
        <v>5</v>
      </c>
      <c r="C2219" s="4">
        <v>5825</v>
      </c>
      <c r="D2219" s="5" t="s">
        <v>93</v>
      </c>
      <c r="E2219" s="6" t="s">
        <v>3451</v>
      </c>
      <c r="AP2219" s="4" t="s">
        <v>376</v>
      </c>
      <c r="AR2219" s="4" t="s">
        <v>377</v>
      </c>
    </row>
    <row r="2220" spans="1:44" ht="30">
      <c r="A2220" s="4" t="s">
        <v>5</v>
      </c>
      <c r="C2220" s="4">
        <v>3130</v>
      </c>
      <c r="D2220" s="5" t="s">
        <v>93</v>
      </c>
      <c r="E2220" s="6" t="s">
        <v>3452</v>
      </c>
      <c r="AP2220" s="4" t="s">
        <v>376</v>
      </c>
      <c r="AR2220" s="4" t="s">
        <v>377</v>
      </c>
    </row>
    <row r="2221" spans="1:44">
      <c r="A2221" s="4" t="s">
        <v>5</v>
      </c>
      <c r="C2221" s="4">
        <v>3444</v>
      </c>
      <c r="D2221" s="5" t="s">
        <v>93</v>
      </c>
      <c r="E2221" s="6" t="s">
        <v>3453</v>
      </c>
      <c r="F2221" s="5" t="s">
        <v>3454</v>
      </c>
      <c r="AP2221" s="4" t="s">
        <v>376</v>
      </c>
      <c r="AR2221" s="4" t="s">
        <v>377</v>
      </c>
    </row>
    <row r="2222" spans="1:44">
      <c r="A2222" s="4" t="s">
        <v>5</v>
      </c>
      <c r="C2222" s="4">
        <v>723</v>
      </c>
      <c r="D2222" s="5" t="s">
        <v>93</v>
      </c>
      <c r="E2222" s="6" t="s">
        <v>3455</v>
      </c>
      <c r="AP2222" s="4" t="s">
        <v>376</v>
      </c>
      <c r="AR2222" s="4" t="s">
        <v>377</v>
      </c>
    </row>
    <row r="2223" spans="1:44">
      <c r="A2223" s="4" t="s">
        <v>5</v>
      </c>
      <c r="C2223" s="4">
        <v>6075</v>
      </c>
      <c r="D2223" s="5" t="s">
        <v>93</v>
      </c>
      <c r="E2223" s="6" t="s">
        <v>3456</v>
      </c>
      <c r="F2223" s="5" t="s">
        <v>3457</v>
      </c>
      <c r="Z2223" s="4" t="s">
        <v>447</v>
      </c>
      <c r="AA2223" s="4" t="s">
        <v>448</v>
      </c>
      <c r="AP2223" s="4" t="s">
        <v>376</v>
      </c>
      <c r="AR2223" s="4" t="s">
        <v>377</v>
      </c>
    </row>
    <row r="2224" spans="1:44">
      <c r="A2224" s="4" t="s">
        <v>5</v>
      </c>
      <c r="C2224" s="4">
        <v>4335</v>
      </c>
      <c r="D2224" s="5" t="s">
        <v>93</v>
      </c>
      <c r="E2224" s="6" t="s">
        <v>3458</v>
      </c>
      <c r="Z2224" s="4" t="s">
        <v>443</v>
      </c>
      <c r="AA2224" s="4" t="s">
        <v>444</v>
      </c>
      <c r="AP2224" s="4" t="s">
        <v>376</v>
      </c>
      <c r="AR2224" s="4" t="s">
        <v>377</v>
      </c>
    </row>
    <row r="2225" spans="1:44">
      <c r="A2225" s="4" t="s">
        <v>5</v>
      </c>
      <c r="C2225" s="4">
        <v>6706</v>
      </c>
      <c r="D2225" s="5" t="s">
        <v>93</v>
      </c>
      <c r="E2225" s="6" t="s">
        <v>3459</v>
      </c>
      <c r="F2225" s="5" t="s">
        <v>3460</v>
      </c>
      <c r="AP2225" s="4" t="s">
        <v>376</v>
      </c>
      <c r="AR2225" s="4" t="s">
        <v>377</v>
      </c>
    </row>
    <row r="2226" spans="1:44">
      <c r="A2226" s="4" t="s">
        <v>5</v>
      </c>
      <c r="C2226" s="4">
        <v>1225</v>
      </c>
      <c r="D2226" s="5" t="s">
        <v>93</v>
      </c>
      <c r="E2226" s="6" t="s">
        <v>3461</v>
      </c>
      <c r="F2226" s="5" t="s">
        <v>3462</v>
      </c>
      <c r="Z2226" s="4" t="s">
        <v>447</v>
      </c>
      <c r="AA2226" s="4" t="s">
        <v>448</v>
      </c>
      <c r="AP2226" s="4" t="s">
        <v>376</v>
      </c>
      <c r="AR2226" s="4" t="s">
        <v>377</v>
      </c>
    </row>
    <row r="2227" spans="1:44">
      <c r="A2227" s="4" t="s">
        <v>5</v>
      </c>
      <c r="C2227" s="4">
        <v>6262</v>
      </c>
      <c r="D2227" s="5" t="s">
        <v>93</v>
      </c>
      <c r="E2227" s="6" t="s">
        <v>3463</v>
      </c>
      <c r="AP2227" s="4" t="s">
        <v>376</v>
      </c>
      <c r="AR2227" s="4" t="s">
        <v>377</v>
      </c>
    </row>
    <row r="2228" spans="1:44" ht="30">
      <c r="A2228" s="4" t="s">
        <v>5</v>
      </c>
      <c r="C2228" s="4">
        <v>2111</v>
      </c>
      <c r="D2228" s="5" t="s">
        <v>93</v>
      </c>
      <c r="E2228" s="6" t="s">
        <v>3464</v>
      </c>
      <c r="F2228" s="5" t="s">
        <v>3465</v>
      </c>
      <c r="Z2228" s="4" t="s">
        <v>695</v>
      </c>
      <c r="AA2228" s="4" t="s">
        <v>696</v>
      </c>
      <c r="AP2228" s="4" t="s">
        <v>376</v>
      </c>
      <c r="AR2228" s="4" t="s">
        <v>377</v>
      </c>
    </row>
    <row r="2229" spans="1:44">
      <c r="A2229" s="4" t="s">
        <v>5</v>
      </c>
      <c r="C2229" s="4">
        <v>6805</v>
      </c>
      <c r="D2229" s="5" t="s">
        <v>93</v>
      </c>
      <c r="E2229" s="6" t="s">
        <v>3466</v>
      </c>
      <c r="AP2229" s="4" t="s">
        <v>376</v>
      </c>
      <c r="AR2229" s="4" t="s">
        <v>377</v>
      </c>
    </row>
    <row r="2230" spans="1:44">
      <c r="A2230" s="4" t="s">
        <v>5</v>
      </c>
      <c r="C2230" s="4">
        <v>3614</v>
      </c>
      <c r="D2230" s="5" t="s">
        <v>93</v>
      </c>
      <c r="E2230" s="6" t="s">
        <v>3467</v>
      </c>
      <c r="F2230" s="5" t="s">
        <v>3468</v>
      </c>
      <c r="Z2230" s="4" t="s">
        <v>447</v>
      </c>
      <c r="AA2230" s="4" t="s">
        <v>448</v>
      </c>
      <c r="AP2230" s="4" t="s">
        <v>376</v>
      </c>
      <c r="AR2230" s="4" t="s">
        <v>377</v>
      </c>
    </row>
    <row r="2231" spans="1:44">
      <c r="A2231" s="4" t="s">
        <v>5</v>
      </c>
      <c r="C2231" s="4">
        <v>4106</v>
      </c>
      <c r="D2231" s="5" t="s">
        <v>93</v>
      </c>
      <c r="E2231" s="6" t="s">
        <v>3469</v>
      </c>
      <c r="AP2231" s="4" t="s">
        <v>376</v>
      </c>
      <c r="AR2231" s="4" t="s">
        <v>377</v>
      </c>
    </row>
    <row r="2232" spans="1:44" ht="30">
      <c r="A2232" s="4" t="s">
        <v>5</v>
      </c>
      <c r="C2232" s="4">
        <v>2963</v>
      </c>
      <c r="D2232" s="5" t="s">
        <v>93</v>
      </c>
      <c r="E2232" s="6" t="s">
        <v>3470</v>
      </c>
      <c r="F2232" s="5" t="s">
        <v>3471</v>
      </c>
      <c r="Z2232" s="4" t="s">
        <v>447</v>
      </c>
      <c r="AA2232" s="4" t="s">
        <v>448</v>
      </c>
      <c r="AP2232" s="4" t="s">
        <v>376</v>
      </c>
      <c r="AR2232" s="4" t="s">
        <v>377</v>
      </c>
    </row>
    <row r="2233" spans="1:44">
      <c r="A2233" s="4" t="s">
        <v>5</v>
      </c>
      <c r="C2233" s="4">
        <v>3119</v>
      </c>
      <c r="D2233" s="5" t="s">
        <v>93</v>
      </c>
      <c r="E2233" s="6" t="s">
        <v>3472</v>
      </c>
      <c r="F2233" s="5" t="s">
        <v>3473</v>
      </c>
      <c r="AP2233" s="4" t="s">
        <v>376</v>
      </c>
      <c r="AR2233" s="4" t="s">
        <v>377</v>
      </c>
    </row>
    <row r="2234" spans="1:44">
      <c r="A2234" s="4" t="s">
        <v>5</v>
      </c>
      <c r="C2234" s="4">
        <v>6326</v>
      </c>
      <c r="D2234" s="5" t="s">
        <v>93</v>
      </c>
      <c r="E2234" s="6" t="s">
        <v>3474</v>
      </c>
      <c r="AP2234" s="4" t="s">
        <v>376</v>
      </c>
      <c r="AR2234" s="4" t="s">
        <v>377</v>
      </c>
    </row>
    <row r="2235" spans="1:44" ht="30">
      <c r="A2235" s="4" t="s">
        <v>5</v>
      </c>
      <c r="C2235" s="4">
        <v>3393</v>
      </c>
      <c r="D2235" s="5" t="s">
        <v>93</v>
      </c>
      <c r="E2235" s="6" t="s">
        <v>3475</v>
      </c>
      <c r="F2235" s="5" t="s">
        <v>3476</v>
      </c>
      <c r="AP2235" s="4" t="s">
        <v>376</v>
      </c>
      <c r="AR2235" s="4" t="s">
        <v>377</v>
      </c>
    </row>
    <row r="2236" spans="1:44">
      <c r="A2236" s="4" t="s">
        <v>5</v>
      </c>
      <c r="C2236" s="4">
        <v>596</v>
      </c>
      <c r="D2236" s="5" t="s">
        <v>93</v>
      </c>
      <c r="E2236" s="6" t="s">
        <v>3477</v>
      </c>
      <c r="F2236" s="5" t="s">
        <v>3478</v>
      </c>
      <c r="Z2236" s="4" t="s">
        <v>447</v>
      </c>
      <c r="AA2236" s="4" t="s">
        <v>448</v>
      </c>
      <c r="AP2236" s="4" t="s">
        <v>376</v>
      </c>
      <c r="AR2236" s="4" t="s">
        <v>377</v>
      </c>
    </row>
    <row r="2237" spans="1:44" ht="30">
      <c r="A2237" s="4" t="s">
        <v>5</v>
      </c>
      <c r="C2237" s="4">
        <v>2133</v>
      </c>
      <c r="D2237" s="5" t="s">
        <v>93</v>
      </c>
      <c r="E2237" s="6" t="s">
        <v>3479</v>
      </c>
      <c r="AP2237" s="4" t="s">
        <v>376</v>
      </c>
      <c r="AR2237" s="4" t="s">
        <v>377</v>
      </c>
    </row>
    <row r="2238" spans="1:44">
      <c r="A2238" s="4" t="s">
        <v>5</v>
      </c>
      <c r="C2238" s="4">
        <v>5078</v>
      </c>
      <c r="D2238" s="5" t="s">
        <v>93</v>
      </c>
      <c r="E2238" s="6" t="s">
        <v>3480</v>
      </c>
      <c r="AP2238" s="4" t="s">
        <v>376</v>
      </c>
      <c r="AR2238" s="4" t="s">
        <v>377</v>
      </c>
    </row>
    <row r="2239" spans="1:44">
      <c r="A2239" s="4" t="s">
        <v>5</v>
      </c>
      <c r="C2239" s="4">
        <v>4866</v>
      </c>
      <c r="D2239" s="5" t="s">
        <v>93</v>
      </c>
      <c r="E2239" s="6" t="s">
        <v>3481</v>
      </c>
      <c r="AP2239" s="4" t="s">
        <v>376</v>
      </c>
      <c r="AR2239" s="4" t="s">
        <v>377</v>
      </c>
    </row>
    <row r="2240" spans="1:44">
      <c r="A2240" s="4" t="s">
        <v>5</v>
      </c>
      <c r="C2240" s="4">
        <v>1475</v>
      </c>
      <c r="D2240" s="5" t="s">
        <v>93</v>
      </c>
      <c r="E2240" s="6" t="s">
        <v>3482</v>
      </c>
      <c r="F2240" s="5" t="s">
        <v>3483</v>
      </c>
      <c r="AP2240" s="4" t="s">
        <v>376</v>
      </c>
      <c r="AR2240" s="4" t="s">
        <v>377</v>
      </c>
    </row>
    <row r="2241" spans="1:44">
      <c r="A2241" s="4" t="s">
        <v>5</v>
      </c>
      <c r="C2241" s="4">
        <v>1714</v>
      </c>
      <c r="D2241" s="5" t="s">
        <v>93</v>
      </c>
      <c r="E2241" s="6" t="s">
        <v>3484</v>
      </c>
      <c r="AP2241" s="4" t="s">
        <v>376</v>
      </c>
      <c r="AR2241" s="4" t="s">
        <v>377</v>
      </c>
    </row>
    <row r="2242" spans="1:44">
      <c r="A2242" s="4" t="s">
        <v>5</v>
      </c>
      <c r="C2242" s="4">
        <v>3497</v>
      </c>
      <c r="D2242" s="5" t="s">
        <v>93</v>
      </c>
      <c r="E2242" s="6" t="s">
        <v>3485</v>
      </c>
      <c r="F2242" s="5" t="s">
        <v>3486</v>
      </c>
      <c r="AP2242" s="4" t="s">
        <v>376</v>
      </c>
      <c r="AR2242" s="4" t="s">
        <v>377</v>
      </c>
    </row>
    <row r="2243" spans="1:44" ht="30">
      <c r="A2243" s="4" t="s">
        <v>5</v>
      </c>
      <c r="C2243" s="4">
        <v>5942</v>
      </c>
      <c r="D2243" s="5" t="s">
        <v>93</v>
      </c>
      <c r="E2243" s="6" t="s">
        <v>3487</v>
      </c>
      <c r="AP2243" s="4" t="s">
        <v>376</v>
      </c>
      <c r="AR2243" s="4" t="s">
        <v>377</v>
      </c>
    </row>
    <row r="2244" spans="1:44">
      <c r="A2244" s="4" t="s">
        <v>5</v>
      </c>
      <c r="C2244" s="4">
        <v>6845</v>
      </c>
      <c r="D2244" s="5" t="s">
        <v>93</v>
      </c>
      <c r="E2244" s="6" t="s">
        <v>3488</v>
      </c>
      <c r="AP2244" s="4" t="s">
        <v>376</v>
      </c>
      <c r="AR2244" s="4" t="s">
        <v>377</v>
      </c>
    </row>
    <row r="2245" spans="1:44">
      <c r="A2245" s="4" t="s">
        <v>5</v>
      </c>
      <c r="C2245" s="4">
        <v>6132</v>
      </c>
      <c r="D2245" s="5" t="s">
        <v>93</v>
      </c>
      <c r="E2245" s="6" t="s">
        <v>3489</v>
      </c>
      <c r="F2245" s="5" t="s">
        <v>3490</v>
      </c>
      <c r="AP2245" s="4" t="s">
        <v>376</v>
      </c>
      <c r="AR2245" s="4" t="s">
        <v>377</v>
      </c>
    </row>
    <row r="2246" spans="1:44" ht="30">
      <c r="A2246" s="4" t="s">
        <v>5</v>
      </c>
      <c r="C2246" s="4">
        <v>1666</v>
      </c>
      <c r="D2246" s="5" t="s">
        <v>93</v>
      </c>
      <c r="E2246" s="6" t="s">
        <v>3491</v>
      </c>
      <c r="AP2246" s="4" t="s">
        <v>376</v>
      </c>
      <c r="AR2246" s="4" t="s">
        <v>377</v>
      </c>
    </row>
    <row r="2247" spans="1:44" ht="30">
      <c r="A2247" s="4" t="s">
        <v>5</v>
      </c>
      <c r="C2247" s="4">
        <v>2573</v>
      </c>
      <c r="D2247" s="5" t="s">
        <v>93</v>
      </c>
      <c r="E2247" s="6" t="s">
        <v>3492</v>
      </c>
      <c r="AP2247" s="4" t="s">
        <v>376</v>
      </c>
      <c r="AR2247" s="4" t="s">
        <v>377</v>
      </c>
    </row>
    <row r="2248" spans="1:44">
      <c r="A2248" s="4" t="s">
        <v>5</v>
      </c>
      <c r="C2248" s="4">
        <v>5386</v>
      </c>
      <c r="D2248" s="5" t="s">
        <v>93</v>
      </c>
      <c r="E2248" s="6" t="s">
        <v>3493</v>
      </c>
      <c r="AP2248" s="4" t="s">
        <v>376</v>
      </c>
      <c r="AR2248" s="4" t="s">
        <v>377</v>
      </c>
    </row>
    <row r="2249" spans="1:44" ht="30">
      <c r="A2249" s="4" t="s">
        <v>5</v>
      </c>
      <c r="C2249" s="4">
        <v>5947</v>
      </c>
      <c r="D2249" s="5" t="s">
        <v>93</v>
      </c>
      <c r="E2249" s="6" t="s">
        <v>3494</v>
      </c>
      <c r="AP2249" s="4" t="s">
        <v>376</v>
      </c>
      <c r="AR2249" s="4" t="s">
        <v>377</v>
      </c>
    </row>
    <row r="2250" spans="1:44">
      <c r="A2250" s="4" t="s">
        <v>5</v>
      </c>
      <c r="C2250" s="4">
        <v>3839</v>
      </c>
      <c r="D2250" s="5" t="s">
        <v>93</v>
      </c>
      <c r="E2250" s="6" t="s">
        <v>3495</v>
      </c>
      <c r="AP2250" s="4" t="s">
        <v>376</v>
      </c>
      <c r="AR2250" s="4" t="s">
        <v>377</v>
      </c>
    </row>
    <row r="2251" spans="1:44">
      <c r="A2251" s="4" t="s">
        <v>5</v>
      </c>
      <c r="C2251" s="4">
        <v>1386</v>
      </c>
      <c r="D2251" s="5" t="s">
        <v>93</v>
      </c>
      <c r="E2251" s="6" t="s">
        <v>3496</v>
      </c>
      <c r="AP2251" s="4" t="s">
        <v>376</v>
      </c>
      <c r="AR2251" s="4" t="s">
        <v>377</v>
      </c>
    </row>
    <row r="2252" spans="1:44">
      <c r="A2252" s="4" t="s">
        <v>5</v>
      </c>
      <c r="C2252" s="4">
        <v>2028</v>
      </c>
      <c r="D2252" s="5" t="s">
        <v>93</v>
      </c>
      <c r="E2252" s="6" t="s">
        <v>3497</v>
      </c>
      <c r="AP2252" s="4" t="s">
        <v>376</v>
      </c>
      <c r="AR2252" s="4" t="s">
        <v>377</v>
      </c>
    </row>
    <row r="2253" spans="1:44">
      <c r="A2253" s="4" t="s">
        <v>5</v>
      </c>
      <c r="C2253" s="4">
        <v>397</v>
      </c>
      <c r="D2253" s="5" t="s">
        <v>93</v>
      </c>
      <c r="E2253" s="6" t="s">
        <v>3498</v>
      </c>
      <c r="F2253" s="5" t="s">
        <v>3499</v>
      </c>
      <c r="AP2253" s="4" t="s">
        <v>376</v>
      </c>
      <c r="AR2253" s="4" t="s">
        <v>377</v>
      </c>
    </row>
    <row r="2254" spans="1:44">
      <c r="A2254" s="4" t="s">
        <v>5</v>
      </c>
      <c r="C2254" s="4">
        <v>6112</v>
      </c>
      <c r="D2254" s="5" t="s">
        <v>93</v>
      </c>
      <c r="E2254" s="6" t="s">
        <v>3500</v>
      </c>
      <c r="AP2254" s="4" t="s">
        <v>376</v>
      </c>
      <c r="AR2254" s="4" t="s">
        <v>377</v>
      </c>
    </row>
    <row r="2255" spans="1:44">
      <c r="A2255" s="4" t="s">
        <v>5</v>
      </c>
      <c r="C2255" s="4">
        <v>6976</v>
      </c>
      <c r="D2255" s="5" t="s">
        <v>93</v>
      </c>
      <c r="E2255" s="6" t="s">
        <v>3501</v>
      </c>
      <c r="AP2255" s="4" t="s">
        <v>376</v>
      </c>
      <c r="AR2255" s="4" t="s">
        <v>377</v>
      </c>
    </row>
    <row r="2256" spans="1:44" ht="30">
      <c r="A2256" s="4" t="s">
        <v>5</v>
      </c>
      <c r="C2256" s="4">
        <v>1404</v>
      </c>
      <c r="D2256" s="5" t="s">
        <v>93</v>
      </c>
      <c r="E2256" s="6" t="s">
        <v>3502</v>
      </c>
      <c r="AP2256" s="4" t="s">
        <v>376</v>
      </c>
      <c r="AR2256" s="4" t="s">
        <v>377</v>
      </c>
    </row>
    <row r="2257" spans="1:44">
      <c r="A2257" s="4" t="s">
        <v>5</v>
      </c>
      <c r="C2257" s="4">
        <v>6785</v>
      </c>
      <c r="D2257" s="5" t="s">
        <v>93</v>
      </c>
      <c r="E2257" s="6" t="s">
        <v>3503</v>
      </c>
      <c r="AP2257" s="4" t="s">
        <v>376</v>
      </c>
      <c r="AR2257" s="4" t="s">
        <v>377</v>
      </c>
    </row>
    <row r="2258" spans="1:44">
      <c r="A2258" s="4" t="s">
        <v>5</v>
      </c>
      <c r="C2258" s="4">
        <v>248</v>
      </c>
      <c r="D2258" s="5" t="s">
        <v>93</v>
      </c>
      <c r="E2258" s="6" t="s">
        <v>3504</v>
      </c>
      <c r="F2258" s="5" t="s">
        <v>3505</v>
      </c>
      <c r="AP2258" s="4" t="s">
        <v>376</v>
      </c>
      <c r="AR2258" s="4" t="s">
        <v>377</v>
      </c>
    </row>
    <row r="2259" spans="1:44">
      <c r="A2259" s="4" t="s">
        <v>5</v>
      </c>
      <c r="C2259" s="4">
        <v>5527</v>
      </c>
      <c r="D2259" s="5" t="s">
        <v>93</v>
      </c>
      <c r="E2259" s="6" t="s">
        <v>3506</v>
      </c>
      <c r="AP2259" s="4" t="s">
        <v>376</v>
      </c>
      <c r="AR2259" s="4" t="s">
        <v>377</v>
      </c>
    </row>
    <row r="2260" spans="1:44">
      <c r="A2260" s="4" t="s">
        <v>5</v>
      </c>
      <c r="C2260" s="4">
        <v>5920</v>
      </c>
      <c r="D2260" s="5" t="s">
        <v>93</v>
      </c>
      <c r="E2260" s="6" t="s">
        <v>3507</v>
      </c>
      <c r="AP2260" s="4" t="s">
        <v>376</v>
      </c>
      <c r="AR2260" s="4" t="s">
        <v>377</v>
      </c>
    </row>
    <row r="2261" spans="1:44">
      <c r="A2261" s="4" t="s">
        <v>5</v>
      </c>
      <c r="C2261" s="4">
        <v>1271</v>
      </c>
      <c r="D2261" s="5" t="s">
        <v>93</v>
      </c>
      <c r="E2261" s="6" t="s">
        <v>3508</v>
      </c>
      <c r="F2261" s="5" t="s">
        <v>3509</v>
      </c>
      <c r="Z2261" s="4" t="s">
        <v>443</v>
      </c>
      <c r="AA2261" s="4" t="s">
        <v>444</v>
      </c>
      <c r="AP2261" s="4" t="s">
        <v>376</v>
      </c>
      <c r="AR2261" s="4" t="s">
        <v>377</v>
      </c>
    </row>
    <row r="2262" spans="1:44">
      <c r="A2262" s="4" t="s">
        <v>5</v>
      </c>
      <c r="C2262" s="4">
        <v>5900</v>
      </c>
      <c r="D2262" s="5" t="s">
        <v>93</v>
      </c>
      <c r="E2262" s="6" t="s">
        <v>3510</v>
      </c>
      <c r="F2262" s="5" t="s">
        <v>3511</v>
      </c>
      <c r="AP2262" s="4" t="s">
        <v>376</v>
      </c>
      <c r="AR2262" s="4" t="s">
        <v>377</v>
      </c>
    </row>
    <row r="2263" spans="1:44" ht="30">
      <c r="A2263" s="4" t="s">
        <v>5</v>
      </c>
      <c r="C2263" s="4">
        <v>499</v>
      </c>
      <c r="D2263" s="5" t="s">
        <v>93</v>
      </c>
      <c r="E2263" s="6" t="s">
        <v>3512</v>
      </c>
      <c r="F2263" s="5" t="s">
        <v>3513</v>
      </c>
      <c r="AP2263" s="4" t="s">
        <v>376</v>
      </c>
      <c r="AR2263" s="4" t="s">
        <v>377</v>
      </c>
    </row>
    <row r="2264" spans="1:44">
      <c r="A2264" s="4" t="s">
        <v>5</v>
      </c>
      <c r="C2264" s="4">
        <v>4735</v>
      </c>
      <c r="D2264" s="5" t="s">
        <v>93</v>
      </c>
      <c r="E2264" s="6" t="s">
        <v>3514</v>
      </c>
      <c r="Z2264" s="4" t="s">
        <v>443</v>
      </c>
      <c r="AA2264" s="4" t="s">
        <v>444</v>
      </c>
      <c r="AP2264" s="4" t="s">
        <v>376</v>
      </c>
      <c r="AR2264" s="4" t="s">
        <v>377</v>
      </c>
    </row>
    <row r="2265" spans="1:44">
      <c r="A2265" s="4" t="s">
        <v>5</v>
      </c>
      <c r="C2265" s="4">
        <v>4086</v>
      </c>
      <c r="D2265" s="5" t="s">
        <v>93</v>
      </c>
      <c r="E2265" s="6" t="s">
        <v>3515</v>
      </c>
      <c r="F2265" s="5" t="s">
        <v>3516</v>
      </c>
      <c r="Z2265" s="4" t="s">
        <v>443</v>
      </c>
      <c r="AA2265" s="4" t="s">
        <v>444</v>
      </c>
      <c r="AP2265" s="4" t="s">
        <v>376</v>
      </c>
      <c r="AR2265" s="4" t="s">
        <v>377</v>
      </c>
    </row>
    <row r="2266" spans="1:44">
      <c r="A2266" s="4" t="s">
        <v>5</v>
      </c>
      <c r="C2266" s="4">
        <v>124</v>
      </c>
      <c r="D2266" s="5" t="s">
        <v>93</v>
      </c>
      <c r="E2266" s="6" t="s">
        <v>3517</v>
      </c>
      <c r="F2266" s="5" t="s">
        <v>3518</v>
      </c>
      <c r="Z2266" s="4" t="s">
        <v>443</v>
      </c>
      <c r="AA2266" s="4" t="s">
        <v>444</v>
      </c>
      <c r="AP2266" s="4" t="s">
        <v>376</v>
      </c>
      <c r="AR2266" s="4" t="s">
        <v>377</v>
      </c>
    </row>
    <row r="2267" spans="1:44" ht="30">
      <c r="A2267" s="4" t="s">
        <v>5</v>
      </c>
      <c r="C2267" s="4">
        <v>2834</v>
      </c>
      <c r="D2267" s="5" t="s">
        <v>93</v>
      </c>
      <c r="E2267" s="6" t="s">
        <v>3519</v>
      </c>
      <c r="Z2267" s="4" t="s">
        <v>695</v>
      </c>
      <c r="AA2267" s="4" t="s">
        <v>696</v>
      </c>
      <c r="AP2267" s="4" t="s">
        <v>376</v>
      </c>
      <c r="AR2267" s="4" t="s">
        <v>377</v>
      </c>
    </row>
    <row r="2268" spans="1:44" ht="30">
      <c r="A2268" s="4" t="s">
        <v>5</v>
      </c>
      <c r="C2268" s="4">
        <v>2637</v>
      </c>
      <c r="D2268" s="5" t="s">
        <v>93</v>
      </c>
      <c r="E2268" s="6" t="s">
        <v>3520</v>
      </c>
      <c r="AP2268" s="4" t="s">
        <v>376</v>
      </c>
      <c r="AR2268" s="4" t="s">
        <v>377</v>
      </c>
    </row>
    <row r="2269" spans="1:44">
      <c r="A2269" s="4" t="s">
        <v>5</v>
      </c>
      <c r="C2269" s="4">
        <v>4252</v>
      </c>
      <c r="D2269" s="5" t="s">
        <v>93</v>
      </c>
      <c r="E2269" s="6" t="s">
        <v>3521</v>
      </c>
      <c r="AP2269" s="4" t="s">
        <v>376</v>
      </c>
      <c r="AR2269" s="4" t="s">
        <v>377</v>
      </c>
    </row>
    <row r="2270" spans="1:44" ht="30">
      <c r="A2270" s="4" t="s">
        <v>5</v>
      </c>
      <c r="C2270" s="4">
        <v>6311</v>
      </c>
      <c r="D2270" s="5" t="s">
        <v>93</v>
      </c>
      <c r="E2270" s="6" t="s">
        <v>3522</v>
      </c>
      <c r="AP2270" s="4" t="s">
        <v>376</v>
      </c>
      <c r="AR2270" s="4" t="s">
        <v>377</v>
      </c>
    </row>
    <row r="2271" spans="1:44">
      <c r="A2271" s="4" t="s">
        <v>5</v>
      </c>
      <c r="C2271" s="4">
        <v>6340</v>
      </c>
      <c r="D2271" s="5" t="s">
        <v>93</v>
      </c>
      <c r="E2271" s="6" t="s">
        <v>3523</v>
      </c>
      <c r="AP2271" s="4" t="s">
        <v>376</v>
      </c>
      <c r="AR2271" s="4" t="s">
        <v>377</v>
      </c>
    </row>
    <row r="2272" spans="1:44">
      <c r="A2272" s="4" t="s">
        <v>5</v>
      </c>
      <c r="C2272" s="4">
        <v>4608</v>
      </c>
      <c r="D2272" s="5" t="s">
        <v>93</v>
      </c>
      <c r="E2272" s="6" t="s">
        <v>3524</v>
      </c>
      <c r="AP2272" s="4" t="s">
        <v>376</v>
      </c>
      <c r="AR2272" s="4" t="s">
        <v>377</v>
      </c>
    </row>
    <row r="2273" spans="1:44">
      <c r="A2273" s="4" t="s">
        <v>5</v>
      </c>
      <c r="C2273" s="4">
        <v>117</v>
      </c>
      <c r="D2273" s="5" t="s">
        <v>93</v>
      </c>
      <c r="E2273" s="6" t="s">
        <v>3525</v>
      </c>
      <c r="F2273" s="5" t="s">
        <v>3526</v>
      </c>
      <c r="AP2273" s="4" t="s">
        <v>376</v>
      </c>
      <c r="AR2273" s="4" t="s">
        <v>377</v>
      </c>
    </row>
    <row r="2274" spans="1:44">
      <c r="A2274" s="4" t="s">
        <v>5</v>
      </c>
      <c r="C2274" s="4">
        <v>6911</v>
      </c>
      <c r="D2274" s="5" t="s">
        <v>93</v>
      </c>
      <c r="E2274" s="6" t="s">
        <v>3527</v>
      </c>
      <c r="AP2274" s="4" t="s">
        <v>376</v>
      </c>
      <c r="AR2274" s="4" t="s">
        <v>377</v>
      </c>
    </row>
    <row r="2275" spans="1:44">
      <c r="A2275" s="4" t="s">
        <v>5</v>
      </c>
      <c r="C2275" s="4">
        <v>1781</v>
      </c>
      <c r="D2275" s="5" t="s">
        <v>93</v>
      </c>
      <c r="E2275" s="6" t="s">
        <v>3528</v>
      </c>
      <c r="AP2275" s="4" t="s">
        <v>376</v>
      </c>
      <c r="AR2275" s="4" t="s">
        <v>377</v>
      </c>
    </row>
    <row r="2276" spans="1:44" ht="30">
      <c r="A2276" s="4" t="s">
        <v>5</v>
      </c>
      <c r="C2276" s="4">
        <v>6330</v>
      </c>
      <c r="D2276" s="5" t="s">
        <v>93</v>
      </c>
      <c r="E2276" s="6" t="s">
        <v>3529</v>
      </c>
      <c r="AP2276" s="4" t="s">
        <v>376</v>
      </c>
      <c r="AR2276" s="4" t="s">
        <v>377</v>
      </c>
    </row>
    <row r="2277" spans="1:44" ht="30">
      <c r="A2277" s="4" t="s">
        <v>5</v>
      </c>
      <c r="C2277" s="4">
        <v>2328</v>
      </c>
      <c r="D2277" s="5" t="s">
        <v>93</v>
      </c>
      <c r="E2277" s="6" t="s">
        <v>3530</v>
      </c>
      <c r="F2277" s="5" t="s">
        <v>3531</v>
      </c>
      <c r="AP2277" s="4" t="s">
        <v>376</v>
      </c>
      <c r="AR2277" s="4" t="s">
        <v>377</v>
      </c>
    </row>
    <row r="2278" spans="1:44">
      <c r="A2278" s="4" t="s">
        <v>5</v>
      </c>
      <c r="C2278" s="4">
        <v>1297</v>
      </c>
      <c r="D2278" s="5" t="s">
        <v>93</v>
      </c>
      <c r="E2278" s="6" t="s">
        <v>3532</v>
      </c>
      <c r="F2278" s="5" t="s">
        <v>3533</v>
      </c>
      <c r="AP2278" s="4" t="s">
        <v>376</v>
      </c>
      <c r="AR2278" s="4" t="s">
        <v>377</v>
      </c>
    </row>
    <row r="2279" spans="1:44">
      <c r="A2279" s="4" t="s">
        <v>5</v>
      </c>
      <c r="C2279" s="4">
        <v>504</v>
      </c>
      <c r="D2279" s="5" t="s">
        <v>93</v>
      </c>
      <c r="E2279" s="6" t="s">
        <v>3534</v>
      </c>
      <c r="AP2279" s="4" t="s">
        <v>376</v>
      </c>
      <c r="AR2279" s="4" t="s">
        <v>377</v>
      </c>
    </row>
    <row r="2280" spans="1:44" ht="30">
      <c r="A2280" s="4" t="s">
        <v>5</v>
      </c>
      <c r="C2280" s="4">
        <v>5002</v>
      </c>
      <c r="D2280" s="5" t="s">
        <v>93</v>
      </c>
      <c r="E2280" s="6" t="s">
        <v>3535</v>
      </c>
      <c r="AP2280" s="4" t="s">
        <v>376</v>
      </c>
      <c r="AR2280" s="4" t="s">
        <v>377</v>
      </c>
    </row>
    <row r="2281" spans="1:44" ht="30">
      <c r="A2281" s="4" t="s">
        <v>5</v>
      </c>
      <c r="C2281" s="4">
        <v>5878</v>
      </c>
      <c r="D2281" s="5" t="s">
        <v>93</v>
      </c>
      <c r="E2281" s="6" t="s">
        <v>3536</v>
      </c>
      <c r="AP2281" s="4" t="s">
        <v>376</v>
      </c>
      <c r="AR2281" s="4" t="s">
        <v>377</v>
      </c>
    </row>
    <row r="2282" spans="1:44">
      <c r="A2282" s="4" t="s">
        <v>5</v>
      </c>
      <c r="C2282" s="4">
        <v>2760</v>
      </c>
      <c r="D2282" s="5" t="s">
        <v>93</v>
      </c>
      <c r="E2282" s="6" t="s">
        <v>3537</v>
      </c>
      <c r="F2282" s="5" t="s">
        <v>3538</v>
      </c>
      <c r="AP2282" s="4" t="s">
        <v>376</v>
      </c>
      <c r="AR2282" s="4" t="s">
        <v>377</v>
      </c>
    </row>
    <row r="2283" spans="1:44" ht="30">
      <c r="A2283" s="4" t="s">
        <v>5</v>
      </c>
      <c r="C2283" s="4">
        <v>3248</v>
      </c>
      <c r="D2283" s="5" t="s">
        <v>93</v>
      </c>
      <c r="E2283" s="6" t="s">
        <v>3539</v>
      </c>
      <c r="AP2283" s="4" t="s">
        <v>376</v>
      </c>
      <c r="AR2283" s="4" t="s">
        <v>377</v>
      </c>
    </row>
    <row r="2284" spans="1:44" ht="30">
      <c r="A2284" s="4" t="s">
        <v>5</v>
      </c>
      <c r="C2284" s="4">
        <v>1550</v>
      </c>
      <c r="D2284" s="5" t="s">
        <v>93</v>
      </c>
      <c r="E2284" s="6" t="s">
        <v>3540</v>
      </c>
      <c r="F2284" s="5" t="s">
        <v>3541</v>
      </c>
      <c r="AP2284" s="4" t="s">
        <v>376</v>
      </c>
      <c r="AR2284" s="4" t="s">
        <v>377</v>
      </c>
    </row>
    <row r="2285" spans="1:44" ht="30">
      <c r="A2285" s="4" t="s">
        <v>5</v>
      </c>
      <c r="C2285" s="4">
        <v>2193</v>
      </c>
      <c r="D2285" s="5" t="s">
        <v>93</v>
      </c>
      <c r="E2285" s="6" t="s">
        <v>3542</v>
      </c>
      <c r="AP2285" s="4" t="s">
        <v>376</v>
      </c>
      <c r="AR2285" s="4" t="s">
        <v>377</v>
      </c>
    </row>
    <row r="2286" spans="1:44" ht="30">
      <c r="A2286" s="4" t="s">
        <v>5</v>
      </c>
      <c r="C2286" s="4">
        <v>674</v>
      </c>
      <c r="D2286" s="5" t="s">
        <v>93</v>
      </c>
      <c r="E2286" s="6" t="s">
        <v>3543</v>
      </c>
      <c r="F2286" s="5" t="s">
        <v>3544</v>
      </c>
      <c r="AP2286" s="4" t="s">
        <v>376</v>
      </c>
      <c r="AR2286" s="4" t="s">
        <v>377</v>
      </c>
    </row>
    <row r="2287" spans="1:44">
      <c r="A2287" s="4" t="s">
        <v>5</v>
      </c>
      <c r="C2287" s="4">
        <v>6243</v>
      </c>
      <c r="D2287" s="5" t="s">
        <v>93</v>
      </c>
      <c r="E2287" s="6" t="s">
        <v>3545</v>
      </c>
      <c r="F2287" s="5" t="s">
        <v>3546</v>
      </c>
      <c r="AP2287" s="4" t="s">
        <v>376</v>
      </c>
      <c r="AR2287" s="4" t="s">
        <v>377</v>
      </c>
    </row>
    <row r="2288" spans="1:44">
      <c r="A2288" s="4" t="s">
        <v>5</v>
      </c>
      <c r="C2288" s="4">
        <v>481</v>
      </c>
      <c r="D2288" s="5" t="s">
        <v>93</v>
      </c>
      <c r="E2288" s="6" t="s">
        <v>3547</v>
      </c>
      <c r="F2288" s="5" t="s">
        <v>3548</v>
      </c>
      <c r="AP2288" s="4" t="s">
        <v>376</v>
      </c>
      <c r="AR2288" s="4" t="s">
        <v>377</v>
      </c>
    </row>
    <row r="2289" spans="1:44">
      <c r="A2289" s="4" t="s">
        <v>5</v>
      </c>
      <c r="C2289" s="4">
        <v>1505</v>
      </c>
      <c r="D2289" s="5" t="s">
        <v>93</v>
      </c>
      <c r="E2289" s="6" t="s">
        <v>3549</v>
      </c>
      <c r="F2289" s="5" t="s">
        <v>3550</v>
      </c>
      <c r="AP2289" s="4" t="s">
        <v>376</v>
      </c>
      <c r="AR2289" s="4" t="s">
        <v>377</v>
      </c>
    </row>
    <row r="2290" spans="1:44">
      <c r="A2290" s="4" t="s">
        <v>5</v>
      </c>
      <c r="C2290" s="4">
        <v>30</v>
      </c>
      <c r="D2290" s="5" t="s">
        <v>93</v>
      </c>
      <c r="E2290" s="6" t="s">
        <v>3551</v>
      </c>
      <c r="F2290" s="5" t="s">
        <v>3552</v>
      </c>
      <c r="AP2290" s="4" t="s">
        <v>376</v>
      </c>
      <c r="AR2290" s="4" t="s">
        <v>377</v>
      </c>
    </row>
    <row r="2291" spans="1:44">
      <c r="A2291" s="4" t="s">
        <v>5</v>
      </c>
      <c r="C2291" s="4">
        <v>2388</v>
      </c>
      <c r="D2291" s="5" t="s">
        <v>93</v>
      </c>
      <c r="E2291" s="6" t="s">
        <v>3553</v>
      </c>
      <c r="F2291" s="5" t="s">
        <v>3554</v>
      </c>
      <c r="AP2291" s="4" t="s">
        <v>376</v>
      </c>
      <c r="AR2291" s="4" t="s">
        <v>377</v>
      </c>
    </row>
    <row r="2292" spans="1:44" ht="30">
      <c r="A2292" s="4" t="s">
        <v>5</v>
      </c>
      <c r="C2292" s="4">
        <v>6815</v>
      </c>
      <c r="D2292" s="5" t="s">
        <v>93</v>
      </c>
      <c r="E2292" s="6" t="s">
        <v>3555</v>
      </c>
      <c r="AP2292" s="4" t="s">
        <v>376</v>
      </c>
      <c r="AR2292" s="4" t="s">
        <v>377</v>
      </c>
    </row>
    <row r="2293" spans="1:44" ht="30">
      <c r="A2293" s="4" t="s">
        <v>5</v>
      </c>
      <c r="C2293" s="4">
        <v>5146</v>
      </c>
      <c r="D2293" s="5" t="s">
        <v>93</v>
      </c>
      <c r="E2293" s="6" t="s">
        <v>3556</v>
      </c>
      <c r="AP2293" s="4" t="s">
        <v>376</v>
      </c>
      <c r="AR2293" s="4" t="s">
        <v>377</v>
      </c>
    </row>
    <row r="2294" spans="1:44" ht="30">
      <c r="A2294" s="4" t="s">
        <v>5</v>
      </c>
      <c r="C2294" s="4">
        <v>6410</v>
      </c>
      <c r="D2294" s="5" t="s">
        <v>93</v>
      </c>
      <c r="E2294" s="6" t="s">
        <v>3557</v>
      </c>
      <c r="AP2294" s="4" t="s">
        <v>376</v>
      </c>
      <c r="AR2294" s="4" t="s">
        <v>377</v>
      </c>
    </row>
    <row r="2295" spans="1:44">
      <c r="A2295" s="4" t="s">
        <v>5</v>
      </c>
      <c r="C2295" s="4">
        <v>5280</v>
      </c>
      <c r="D2295" s="5" t="s">
        <v>93</v>
      </c>
      <c r="E2295" s="6" t="s">
        <v>3558</v>
      </c>
      <c r="AP2295" s="4" t="s">
        <v>376</v>
      </c>
      <c r="AR2295" s="4" t="s">
        <v>377</v>
      </c>
    </row>
    <row r="2296" spans="1:44">
      <c r="A2296" s="4" t="s">
        <v>5</v>
      </c>
      <c r="C2296" s="4">
        <v>2350</v>
      </c>
      <c r="D2296" s="5" t="s">
        <v>93</v>
      </c>
      <c r="E2296" s="6" t="s">
        <v>3559</v>
      </c>
      <c r="F2296" s="5" t="s">
        <v>3560</v>
      </c>
      <c r="AP2296" s="4" t="s">
        <v>376</v>
      </c>
      <c r="AR2296" s="4" t="s">
        <v>377</v>
      </c>
    </row>
    <row r="2297" spans="1:44">
      <c r="A2297" s="4" t="s">
        <v>5</v>
      </c>
      <c r="C2297" s="4">
        <v>1084</v>
      </c>
      <c r="D2297" s="5" t="s">
        <v>93</v>
      </c>
      <c r="E2297" s="6" t="s">
        <v>3561</v>
      </c>
      <c r="AP2297" s="4" t="s">
        <v>376</v>
      </c>
      <c r="AR2297" s="4" t="s">
        <v>377</v>
      </c>
    </row>
    <row r="2298" spans="1:44">
      <c r="A2298" s="4" t="s">
        <v>5</v>
      </c>
      <c r="C2298" s="4">
        <v>283</v>
      </c>
      <c r="D2298" s="5" t="s">
        <v>93</v>
      </c>
      <c r="E2298" s="6" t="s">
        <v>3562</v>
      </c>
      <c r="F2298" s="5" t="s">
        <v>3563</v>
      </c>
      <c r="AP2298" s="4" t="s">
        <v>376</v>
      </c>
      <c r="AR2298" s="4" t="s">
        <v>377</v>
      </c>
    </row>
    <row r="2299" spans="1:44">
      <c r="A2299" s="4" t="s">
        <v>5</v>
      </c>
      <c r="C2299" s="4">
        <v>5917</v>
      </c>
      <c r="D2299" s="5" t="s">
        <v>93</v>
      </c>
      <c r="E2299" s="6" t="s">
        <v>3564</v>
      </c>
      <c r="AP2299" s="4" t="s">
        <v>376</v>
      </c>
      <c r="AR2299" s="4" t="s">
        <v>377</v>
      </c>
    </row>
    <row r="2300" spans="1:44">
      <c r="A2300" s="4" t="s">
        <v>5</v>
      </c>
      <c r="C2300" s="4">
        <v>3019</v>
      </c>
      <c r="D2300" s="5" t="s">
        <v>93</v>
      </c>
      <c r="E2300" s="6" t="s">
        <v>3565</v>
      </c>
      <c r="F2300" s="5" t="s">
        <v>3566</v>
      </c>
      <c r="AP2300" s="4" t="s">
        <v>376</v>
      </c>
      <c r="AR2300" s="4" t="s">
        <v>377</v>
      </c>
    </row>
    <row r="2301" spans="1:44">
      <c r="A2301" s="4" t="s">
        <v>5</v>
      </c>
      <c r="C2301" s="4">
        <v>92</v>
      </c>
      <c r="D2301" s="5" t="s">
        <v>93</v>
      </c>
      <c r="E2301" s="6" t="s">
        <v>3567</v>
      </c>
      <c r="F2301" s="5" t="s">
        <v>3568</v>
      </c>
      <c r="AP2301" s="4" t="s">
        <v>376</v>
      </c>
      <c r="AR2301" s="4" t="s">
        <v>377</v>
      </c>
    </row>
    <row r="2302" spans="1:44">
      <c r="A2302" s="4" t="s">
        <v>5</v>
      </c>
      <c r="C2302" s="4">
        <v>5778</v>
      </c>
      <c r="D2302" s="5" t="s">
        <v>93</v>
      </c>
      <c r="E2302" s="6" t="s">
        <v>3569</v>
      </c>
      <c r="AP2302" s="4" t="s">
        <v>376</v>
      </c>
      <c r="AR2302" s="4" t="s">
        <v>377</v>
      </c>
    </row>
    <row r="2303" spans="1:44">
      <c r="A2303" s="4" t="s">
        <v>5</v>
      </c>
      <c r="C2303" s="4">
        <v>3510</v>
      </c>
      <c r="D2303" s="5" t="s">
        <v>93</v>
      </c>
      <c r="E2303" s="6" t="s">
        <v>3570</v>
      </c>
      <c r="AP2303" s="4" t="s">
        <v>376</v>
      </c>
      <c r="AR2303" s="4" t="s">
        <v>377</v>
      </c>
    </row>
    <row r="2304" spans="1:44">
      <c r="A2304" s="4" t="s">
        <v>5</v>
      </c>
      <c r="C2304" s="4">
        <v>6483</v>
      </c>
      <c r="D2304" s="5" t="s">
        <v>93</v>
      </c>
      <c r="E2304" s="6" t="s">
        <v>3571</v>
      </c>
      <c r="AP2304" s="4" t="s">
        <v>376</v>
      </c>
      <c r="AR2304" s="4" t="s">
        <v>377</v>
      </c>
    </row>
    <row r="2305" spans="1:44" ht="30">
      <c r="A2305" s="4" t="s">
        <v>5</v>
      </c>
      <c r="C2305" s="4">
        <v>6926</v>
      </c>
      <c r="D2305" s="5" t="s">
        <v>93</v>
      </c>
      <c r="E2305" s="6" t="s">
        <v>3572</v>
      </c>
      <c r="F2305" s="5" t="s">
        <v>3573</v>
      </c>
      <c r="AP2305" s="4" t="s">
        <v>376</v>
      </c>
      <c r="AR2305" s="4" t="s">
        <v>377</v>
      </c>
    </row>
    <row r="2306" spans="1:44" ht="30">
      <c r="A2306" s="4" t="s">
        <v>5</v>
      </c>
      <c r="C2306" s="4">
        <v>6310</v>
      </c>
      <c r="D2306" s="5" t="s">
        <v>93</v>
      </c>
      <c r="E2306" s="6" t="s">
        <v>3574</v>
      </c>
      <c r="AP2306" s="4" t="s">
        <v>376</v>
      </c>
      <c r="AR2306" s="4" t="s">
        <v>377</v>
      </c>
    </row>
    <row r="2307" spans="1:44">
      <c r="A2307" s="4" t="s">
        <v>5</v>
      </c>
      <c r="C2307" s="4">
        <v>4328</v>
      </c>
      <c r="D2307" s="5" t="s">
        <v>93</v>
      </c>
      <c r="E2307" s="6" t="s">
        <v>3575</v>
      </c>
      <c r="AP2307" s="4" t="s">
        <v>376</v>
      </c>
      <c r="AR2307" s="4" t="s">
        <v>377</v>
      </c>
    </row>
    <row r="2308" spans="1:44">
      <c r="A2308" s="4" t="s">
        <v>5</v>
      </c>
      <c r="C2308" s="4">
        <v>1941</v>
      </c>
      <c r="D2308" s="5" t="s">
        <v>93</v>
      </c>
      <c r="E2308" s="6" t="s">
        <v>3576</v>
      </c>
      <c r="F2308" s="5" t="s">
        <v>3577</v>
      </c>
      <c r="AP2308" s="4" t="s">
        <v>376</v>
      </c>
      <c r="AR2308" s="4" t="s">
        <v>377</v>
      </c>
    </row>
    <row r="2309" spans="1:44">
      <c r="A2309" s="4" t="s">
        <v>5</v>
      </c>
      <c r="C2309" s="4">
        <v>6646</v>
      </c>
      <c r="D2309" s="5" t="s">
        <v>93</v>
      </c>
      <c r="E2309" s="6" t="s">
        <v>3578</v>
      </c>
      <c r="AP2309" s="4" t="s">
        <v>376</v>
      </c>
      <c r="AR2309" s="4" t="s">
        <v>377</v>
      </c>
    </row>
    <row r="2310" spans="1:44">
      <c r="A2310" s="4" t="s">
        <v>5</v>
      </c>
      <c r="C2310" s="4">
        <v>784</v>
      </c>
      <c r="D2310" s="5" t="s">
        <v>93</v>
      </c>
      <c r="E2310" s="6" t="s">
        <v>3579</v>
      </c>
      <c r="F2310" s="5" t="s">
        <v>3580</v>
      </c>
      <c r="AP2310" s="4" t="s">
        <v>376</v>
      </c>
      <c r="AR2310" s="4" t="s">
        <v>377</v>
      </c>
    </row>
    <row r="2311" spans="1:44">
      <c r="A2311" s="4" t="s">
        <v>5</v>
      </c>
      <c r="C2311" s="4">
        <v>6109</v>
      </c>
      <c r="D2311" s="5" t="s">
        <v>93</v>
      </c>
      <c r="E2311" s="6" t="s">
        <v>3581</v>
      </c>
      <c r="AP2311" s="4" t="s">
        <v>376</v>
      </c>
      <c r="AR2311" s="4" t="s">
        <v>377</v>
      </c>
    </row>
    <row r="2312" spans="1:44">
      <c r="A2312" s="4" t="s">
        <v>5</v>
      </c>
      <c r="C2312" s="4">
        <v>3910</v>
      </c>
      <c r="D2312" s="5" t="s">
        <v>93</v>
      </c>
      <c r="E2312" s="6" t="s">
        <v>3582</v>
      </c>
      <c r="AP2312" s="4" t="s">
        <v>376</v>
      </c>
      <c r="AR2312" s="4" t="s">
        <v>377</v>
      </c>
    </row>
    <row r="2313" spans="1:44">
      <c r="A2313" s="4" t="s">
        <v>5</v>
      </c>
      <c r="C2313" s="4">
        <v>1606</v>
      </c>
      <c r="D2313" s="5" t="s">
        <v>93</v>
      </c>
      <c r="E2313" s="6" t="s">
        <v>3583</v>
      </c>
      <c r="AP2313" s="4" t="s">
        <v>376</v>
      </c>
      <c r="AR2313" s="4" t="s">
        <v>377</v>
      </c>
    </row>
    <row r="2314" spans="1:44">
      <c r="A2314" s="4" t="s">
        <v>5</v>
      </c>
      <c r="C2314" s="4">
        <v>70</v>
      </c>
      <c r="D2314" s="5" t="s">
        <v>93</v>
      </c>
      <c r="E2314" s="6" t="s">
        <v>3584</v>
      </c>
      <c r="F2314" s="5" t="s">
        <v>3585</v>
      </c>
      <c r="AP2314" s="4" t="s">
        <v>376</v>
      </c>
      <c r="AR2314" s="4" t="s">
        <v>377</v>
      </c>
    </row>
    <row r="2315" spans="1:44">
      <c r="A2315" s="4" t="s">
        <v>5</v>
      </c>
      <c r="C2315" s="4">
        <v>1221</v>
      </c>
      <c r="D2315" s="5" t="s">
        <v>93</v>
      </c>
      <c r="E2315" s="6" t="s">
        <v>3586</v>
      </c>
      <c r="F2315" s="5" t="s">
        <v>3587</v>
      </c>
      <c r="AP2315" s="4" t="s">
        <v>376</v>
      </c>
      <c r="AR2315" s="4" t="s">
        <v>377</v>
      </c>
    </row>
    <row r="2316" spans="1:44">
      <c r="A2316" s="4" t="s">
        <v>5</v>
      </c>
      <c r="C2316" s="4">
        <v>3647</v>
      </c>
      <c r="D2316" s="5" t="s">
        <v>93</v>
      </c>
      <c r="E2316" s="6" t="s">
        <v>3588</v>
      </c>
      <c r="F2316" s="5" t="s">
        <v>3589</v>
      </c>
      <c r="AP2316" s="4" t="s">
        <v>376</v>
      </c>
      <c r="AR2316" s="4" t="s">
        <v>377</v>
      </c>
    </row>
    <row r="2317" spans="1:44">
      <c r="A2317" s="4" t="s">
        <v>5</v>
      </c>
      <c r="C2317" s="4">
        <v>4493</v>
      </c>
      <c r="D2317" s="5" t="s">
        <v>93</v>
      </c>
      <c r="E2317" s="6" t="s">
        <v>3590</v>
      </c>
      <c r="AP2317" s="4" t="s">
        <v>376</v>
      </c>
      <c r="AR2317" s="4" t="s">
        <v>377</v>
      </c>
    </row>
    <row r="2318" spans="1:44">
      <c r="A2318" s="4" t="s">
        <v>5</v>
      </c>
      <c r="C2318" s="4">
        <v>5601</v>
      </c>
      <c r="D2318" s="5" t="s">
        <v>93</v>
      </c>
      <c r="E2318" s="6" t="s">
        <v>3591</v>
      </c>
      <c r="AP2318" s="4" t="s">
        <v>376</v>
      </c>
      <c r="AR2318" s="4" t="s">
        <v>377</v>
      </c>
    </row>
    <row r="2319" spans="1:44">
      <c r="A2319" s="4" t="s">
        <v>5</v>
      </c>
      <c r="C2319" s="4">
        <v>3932</v>
      </c>
      <c r="D2319" s="5" t="s">
        <v>93</v>
      </c>
      <c r="E2319" s="6" t="s">
        <v>3592</v>
      </c>
      <c r="F2319" s="5" t="s">
        <v>3593</v>
      </c>
      <c r="AP2319" s="4" t="s">
        <v>376</v>
      </c>
      <c r="AR2319" s="4" t="s">
        <v>377</v>
      </c>
    </row>
    <row r="2320" spans="1:44">
      <c r="A2320" s="4" t="s">
        <v>5</v>
      </c>
      <c r="C2320" s="4">
        <v>3456</v>
      </c>
      <c r="D2320" s="5" t="s">
        <v>93</v>
      </c>
      <c r="E2320" s="6" t="s">
        <v>3594</v>
      </c>
      <c r="AP2320" s="4" t="s">
        <v>376</v>
      </c>
      <c r="AR2320" s="4" t="s">
        <v>377</v>
      </c>
    </row>
    <row r="2321" spans="1:44">
      <c r="A2321" s="4" t="s">
        <v>5</v>
      </c>
      <c r="C2321" s="4">
        <v>5501</v>
      </c>
      <c r="D2321" s="5" t="s">
        <v>93</v>
      </c>
      <c r="E2321" s="6" t="s">
        <v>3595</v>
      </c>
      <c r="F2321" s="5" t="s">
        <v>3596</v>
      </c>
      <c r="AP2321" s="4" t="s">
        <v>376</v>
      </c>
      <c r="AR2321" s="4" t="s">
        <v>377</v>
      </c>
    </row>
    <row r="2322" spans="1:44">
      <c r="A2322" s="4" t="s">
        <v>5</v>
      </c>
      <c r="C2322" s="4">
        <v>1329</v>
      </c>
      <c r="D2322" s="5" t="s">
        <v>93</v>
      </c>
      <c r="E2322" s="6" t="s">
        <v>3597</v>
      </c>
      <c r="AP2322" s="4" t="s">
        <v>376</v>
      </c>
      <c r="AR2322" s="4" t="s">
        <v>377</v>
      </c>
    </row>
    <row r="2323" spans="1:44">
      <c r="A2323" s="4" t="s">
        <v>5</v>
      </c>
      <c r="C2323" s="4">
        <v>867</v>
      </c>
      <c r="D2323" s="5" t="s">
        <v>93</v>
      </c>
      <c r="E2323" s="6" t="s">
        <v>3598</v>
      </c>
      <c r="AP2323" s="4" t="s">
        <v>376</v>
      </c>
      <c r="AR2323" s="4" t="s">
        <v>377</v>
      </c>
    </row>
    <row r="2324" spans="1:44">
      <c r="A2324" s="4" t="s">
        <v>5</v>
      </c>
      <c r="C2324" s="4">
        <v>5770</v>
      </c>
      <c r="D2324" s="5" t="s">
        <v>93</v>
      </c>
      <c r="E2324" s="6" t="s">
        <v>3599</v>
      </c>
      <c r="AP2324" s="4" t="s">
        <v>376</v>
      </c>
      <c r="AR2324" s="4" t="s">
        <v>377</v>
      </c>
    </row>
    <row r="2325" spans="1:44">
      <c r="A2325" s="4" t="s">
        <v>5</v>
      </c>
      <c r="C2325" s="4">
        <v>5816</v>
      </c>
      <c r="D2325" s="5" t="s">
        <v>93</v>
      </c>
      <c r="E2325" s="6" t="s">
        <v>3600</v>
      </c>
      <c r="Z2325" s="4" t="s">
        <v>443</v>
      </c>
      <c r="AA2325" s="4" t="s">
        <v>444</v>
      </c>
      <c r="AP2325" s="4" t="s">
        <v>376</v>
      </c>
      <c r="AR2325" s="4" t="s">
        <v>377</v>
      </c>
    </row>
    <row r="2326" spans="1:44" ht="30">
      <c r="A2326" s="4" t="s">
        <v>5</v>
      </c>
      <c r="C2326" s="4">
        <v>6861</v>
      </c>
      <c r="D2326" s="5" t="s">
        <v>93</v>
      </c>
      <c r="E2326" s="6" t="s">
        <v>3601</v>
      </c>
      <c r="AP2326" s="4" t="s">
        <v>376</v>
      </c>
      <c r="AR2326" s="4" t="s">
        <v>377</v>
      </c>
    </row>
    <row r="2327" spans="1:44">
      <c r="A2327" s="4" t="s">
        <v>5</v>
      </c>
      <c r="C2327" s="4">
        <v>6260</v>
      </c>
      <c r="D2327" s="5" t="s">
        <v>93</v>
      </c>
      <c r="E2327" s="6" t="s">
        <v>3602</v>
      </c>
      <c r="F2327" s="5" t="s">
        <v>2333</v>
      </c>
      <c r="AP2327" s="4" t="s">
        <v>376</v>
      </c>
      <c r="AR2327" s="4" t="s">
        <v>377</v>
      </c>
    </row>
    <row r="2328" spans="1:44" ht="30">
      <c r="A2328" s="4" t="s">
        <v>5</v>
      </c>
      <c r="C2328" s="4">
        <v>2084</v>
      </c>
      <c r="D2328" s="5" t="s">
        <v>93</v>
      </c>
      <c r="E2328" s="6" t="s">
        <v>3603</v>
      </c>
      <c r="AP2328" s="4" t="s">
        <v>376</v>
      </c>
      <c r="AR2328" s="4" t="s">
        <v>377</v>
      </c>
    </row>
    <row r="2329" spans="1:44">
      <c r="A2329" s="4" t="s">
        <v>5</v>
      </c>
      <c r="C2329" s="4">
        <v>4516</v>
      </c>
      <c r="D2329" s="5" t="s">
        <v>93</v>
      </c>
      <c r="E2329" s="6" t="s">
        <v>3604</v>
      </c>
      <c r="F2329" s="5" t="s">
        <v>3605</v>
      </c>
      <c r="AP2329" s="4" t="s">
        <v>376</v>
      </c>
      <c r="AR2329" s="4" t="s">
        <v>377</v>
      </c>
    </row>
    <row r="2330" spans="1:44">
      <c r="A2330" s="4" t="s">
        <v>5</v>
      </c>
      <c r="C2330" s="4">
        <v>6515</v>
      </c>
      <c r="D2330" s="5" t="s">
        <v>93</v>
      </c>
      <c r="E2330" s="6" t="s">
        <v>3606</v>
      </c>
      <c r="AP2330" s="4" t="s">
        <v>376</v>
      </c>
      <c r="AR2330" s="4" t="s">
        <v>377</v>
      </c>
    </row>
    <row r="2331" spans="1:44">
      <c r="A2331" s="4" t="s">
        <v>5</v>
      </c>
      <c r="C2331" s="4">
        <v>6497</v>
      </c>
      <c r="D2331" s="5" t="s">
        <v>93</v>
      </c>
      <c r="E2331" s="6" t="s">
        <v>3607</v>
      </c>
      <c r="AP2331" s="4" t="s">
        <v>376</v>
      </c>
      <c r="AR2331" s="4" t="s">
        <v>377</v>
      </c>
    </row>
    <row r="2332" spans="1:44">
      <c r="A2332" s="4" t="s">
        <v>5</v>
      </c>
      <c r="C2332" s="4">
        <v>470</v>
      </c>
      <c r="D2332" s="5" t="s">
        <v>93</v>
      </c>
      <c r="E2332" s="6" t="s">
        <v>3608</v>
      </c>
      <c r="F2332" s="5" t="s">
        <v>3609</v>
      </c>
      <c r="AP2332" s="4" t="s">
        <v>376</v>
      </c>
      <c r="AR2332" s="4" t="s">
        <v>377</v>
      </c>
    </row>
    <row r="2333" spans="1:44">
      <c r="A2333" s="4" t="s">
        <v>5</v>
      </c>
      <c r="C2333" s="4">
        <v>1816</v>
      </c>
      <c r="D2333" s="5" t="s">
        <v>93</v>
      </c>
      <c r="E2333" s="6" t="s">
        <v>3610</v>
      </c>
      <c r="AP2333" s="4" t="s">
        <v>376</v>
      </c>
      <c r="AR2333" s="4" t="s">
        <v>377</v>
      </c>
    </row>
    <row r="2334" spans="1:44">
      <c r="A2334" s="4" t="s">
        <v>5</v>
      </c>
      <c r="C2334" s="4">
        <v>6656</v>
      </c>
      <c r="D2334" s="5" t="s">
        <v>93</v>
      </c>
      <c r="E2334" s="6" t="s">
        <v>3611</v>
      </c>
      <c r="AP2334" s="4" t="s">
        <v>376</v>
      </c>
      <c r="AR2334" s="4" t="s">
        <v>377</v>
      </c>
    </row>
    <row r="2335" spans="1:44">
      <c r="A2335" s="4" t="s">
        <v>5</v>
      </c>
      <c r="C2335" s="4">
        <v>6915</v>
      </c>
      <c r="D2335" s="5" t="s">
        <v>93</v>
      </c>
      <c r="E2335" s="6" t="s">
        <v>3612</v>
      </c>
      <c r="AP2335" s="4" t="s">
        <v>376</v>
      </c>
      <c r="AR2335" s="4" t="s">
        <v>377</v>
      </c>
    </row>
    <row r="2336" spans="1:44" ht="30">
      <c r="A2336" s="4" t="s">
        <v>5</v>
      </c>
      <c r="C2336" s="4">
        <v>1434</v>
      </c>
      <c r="D2336" s="5" t="s">
        <v>93</v>
      </c>
      <c r="E2336" s="6" t="s">
        <v>3613</v>
      </c>
      <c r="F2336" s="5" t="s">
        <v>3614</v>
      </c>
      <c r="AP2336" s="4" t="s">
        <v>376</v>
      </c>
      <c r="AR2336" s="4" t="s">
        <v>377</v>
      </c>
    </row>
    <row r="2337" spans="1:44" ht="30">
      <c r="A2337" s="4" t="s">
        <v>5</v>
      </c>
      <c r="C2337" s="4">
        <v>1689</v>
      </c>
      <c r="D2337" s="5" t="s">
        <v>93</v>
      </c>
      <c r="E2337" s="6" t="s">
        <v>3615</v>
      </c>
      <c r="F2337" s="5" t="s">
        <v>3616</v>
      </c>
      <c r="AP2337" s="4" t="s">
        <v>376</v>
      </c>
      <c r="AR2337" s="4" t="s">
        <v>377</v>
      </c>
    </row>
    <row r="2338" spans="1:44">
      <c r="A2338" s="4" t="s">
        <v>5</v>
      </c>
      <c r="C2338" s="4">
        <v>928</v>
      </c>
      <c r="D2338" s="5" t="s">
        <v>93</v>
      </c>
      <c r="E2338" s="6" t="s">
        <v>3617</v>
      </c>
      <c r="F2338" s="5" t="s">
        <v>3618</v>
      </c>
      <c r="Z2338" s="4" t="s">
        <v>443</v>
      </c>
      <c r="AA2338" s="4" t="s">
        <v>444</v>
      </c>
      <c r="AP2338" s="4" t="s">
        <v>376</v>
      </c>
      <c r="AR2338" s="4" t="s">
        <v>377</v>
      </c>
    </row>
    <row r="2339" spans="1:44">
      <c r="A2339" s="4" t="s">
        <v>5</v>
      </c>
      <c r="C2339" s="4">
        <v>5815</v>
      </c>
      <c r="D2339" s="5" t="s">
        <v>93</v>
      </c>
      <c r="E2339" s="6" t="s">
        <v>3619</v>
      </c>
      <c r="AP2339" s="4" t="s">
        <v>376</v>
      </c>
      <c r="AR2339" s="4" t="s">
        <v>377</v>
      </c>
    </row>
    <row r="2340" spans="1:44">
      <c r="A2340" s="4" t="s">
        <v>5</v>
      </c>
      <c r="C2340" s="4">
        <v>1588</v>
      </c>
      <c r="D2340" s="5" t="s">
        <v>93</v>
      </c>
      <c r="E2340" s="6" t="s">
        <v>3620</v>
      </c>
      <c r="AP2340" s="4" t="s">
        <v>376</v>
      </c>
      <c r="AR2340" s="4" t="s">
        <v>377</v>
      </c>
    </row>
    <row r="2341" spans="1:44" ht="30">
      <c r="A2341" s="4" t="s">
        <v>5</v>
      </c>
      <c r="C2341" s="4">
        <v>5264</v>
      </c>
      <c r="D2341" s="5" t="s">
        <v>93</v>
      </c>
      <c r="E2341" s="6" t="s">
        <v>3621</v>
      </c>
      <c r="AP2341" s="4" t="s">
        <v>376</v>
      </c>
      <c r="AR2341" s="4" t="s">
        <v>377</v>
      </c>
    </row>
    <row r="2342" spans="1:44">
      <c r="A2342" s="4" t="s">
        <v>5</v>
      </c>
      <c r="C2342" s="4">
        <v>2016</v>
      </c>
      <c r="D2342" s="5" t="s">
        <v>93</v>
      </c>
      <c r="E2342" s="6" t="s">
        <v>3622</v>
      </c>
      <c r="Z2342" s="4" t="s">
        <v>443</v>
      </c>
      <c r="AA2342" s="4" t="s">
        <v>444</v>
      </c>
      <c r="AP2342" s="4" t="s">
        <v>376</v>
      </c>
      <c r="AR2342" s="4" t="s">
        <v>377</v>
      </c>
    </row>
    <row r="2343" spans="1:44" ht="30">
      <c r="A2343" s="4" t="s">
        <v>5</v>
      </c>
      <c r="C2343" s="4">
        <v>4692</v>
      </c>
      <c r="D2343" s="5" t="s">
        <v>93</v>
      </c>
      <c r="E2343" s="6" t="s">
        <v>3623</v>
      </c>
      <c r="F2343" s="5" t="s">
        <v>3624</v>
      </c>
      <c r="AP2343" s="4" t="s">
        <v>376</v>
      </c>
      <c r="AR2343" s="4" t="s">
        <v>377</v>
      </c>
    </row>
    <row r="2344" spans="1:44">
      <c r="A2344" s="4" t="s">
        <v>5</v>
      </c>
      <c r="C2344" s="4">
        <v>4357</v>
      </c>
      <c r="D2344" s="5" t="s">
        <v>93</v>
      </c>
      <c r="E2344" s="6" t="s">
        <v>3625</v>
      </c>
      <c r="Z2344" s="4" t="s">
        <v>447</v>
      </c>
      <c r="AA2344" s="4" t="s">
        <v>448</v>
      </c>
      <c r="AP2344" s="4" t="s">
        <v>376</v>
      </c>
      <c r="AR2344" s="4" t="s">
        <v>377</v>
      </c>
    </row>
    <row r="2345" spans="1:44">
      <c r="A2345" s="4" t="s">
        <v>5</v>
      </c>
      <c r="C2345" s="4">
        <v>5133</v>
      </c>
      <c r="D2345" s="5" t="s">
        <v>93</v>
      </c>
      <c r="E2345" s="6" t="s">
        <v>3626</v>
      </c>
      <c r="F2345" s="5" t="s">
        <v>3627</v>
      </c>
      <c r="AP2345" s="4" t="s">
        <v>376</v>
      </c>
      <c r="AR2345" s="4" t="s">
        <v>377</v>
      </c>
    </row>
    <row r="2346" spans="1:44">
      <c r="A2346" s="4" t="s">
        <v>5</v>
      </c>
      <c r="C2346" s="4">
        <v>27</v>
      </c>
      <c r="D2346" s="5" t="s">
        <v>93</v>
      </c>
      <c r="E2346" s="6" t="s">
        <v>3628</v>
      </c>
      <c r="F2346" s="5" t="s">
        <v>3629</v>
      </c>
      <c r="AP2346" s="4" t="s">
        <v>376</v>
      </c>
      <c r="AR2346" s="4" t="s">
        <v>377</v>
      </c>
    </row>
    <row r="2347" spans="1:44" ht="30">
      <c r="A2347" s="4" t="s">
        <v>5</v>
      </c>
      <c r="C2347" s="4">
        <v>4741</v>
      </c>
      <c r="D2347" s="5" t="s">
        <v>93</v>
      </c>
      <c r="E2347" s="6" t="s">
        <v>3630</v>
      </c>
      <c r="AP2347" s="4" t="s">
        <v>376</v>
      </c>
      <c r="AR2347" s="4" t="s">
        <v>377</v>
      </c>
    </row>
    <row r="2348" spans="1:44" ht="30">
      <c r="A2348" s="4" t="s">
        <v>5</v>
      </c>
      <c r="C2348" s="4">
        <v>1570</v>
      </c>
      <c r="D2348" s="5" t="s">
        <v>93</v>
      </c>
      <c r="E2348" s="6" t="s">
        <v>3631</v>
      </c>
      <c r="AP2348" s="4" t="s">
        <v>376</v>
      </c>
      <c r="AR2348" s="4" t="s">
        <v>377</v>
      </c>
    </row>
    <row r="2349" spans="1:44">
      <c r="A2349" s="4" t="s">
        <v>5</v>
      </c>
      <c r="C2349" s="4">
        <v>68</v>
      </c>
      <c r="D2349" s="5" t="s">
        <v>93</v>
      </c>
      <c r="E2349" s="6" t="s">
        <v>3632</v>
      </c>
      <c r="F2349" s="5" t="s">
        <v>3633</v>
      </c>
      <c r="AP2349" s="4" t="s">
        <v>376</v>
      </c>
      <c r="AR2349" s="4" t="s">
        <v>377</v>
      </c>
    </row>
    <row r="2350" spans="1:44">
      <c r="A2350" s="4" t="s">
        <v>5</v>
      </c>
      <c r="C2350" s="4">
        <v>2611</v>
      </c>
      <c r="D2350" s="5" t="s">
        <v>93</v>
      </c>
      <c r="E2350" s="6" t="s">
        <v>3634</v>
      </c>
      <c r="F2350" s="5" t="s">
        <v>3635</v>
      </c>
      <c r="AP2350" s="4" t="s">
        <v>376</v>
      </c>
      <c r="AR2350" s="4" t="s">
        <v>377</v>
      </c>
    </row>
    <row r="2351" spans="1:44" ht="30">
      <c r="A2351" s="4" t="s">
        <v>5</v>
      </c>
      <c r="C2351" s="4">
        <v>5660</v>
      </c>
      <c r="D2351" s="5" t="s">
        <v>93</v>
      </c>
      <c r="E2351" s="6" t="s">
        <v>3636</v>
      </c>
      <c r="Z2351" s="4" t="s">
        <v>447</v>
      </c>
      <c r="AA2351" s="4" t="s">
        <v>448</v>
      </c>
      <c r="AP2351" s="4" t="s">
        <v>376</v>
      </c>
      <c r="AR2351" s="4" t="s">
        <v>377</v>
      </c>
    </row>
    <row r="2352" spans="1:44">
      <c r="A2352" s="4" t="s">
        <v>5</v>
      </c>
      <c r="C2352" s="4">
        <v>1802</v>
      </c>
      <c r="D2352" s="5" t="s">
        <v>93</v>
      </c>
      <c r="E2352" s="6" t="s">
        <v>3637</v>
      </c>
      <c r="AP2352" s="4" t="s">
        <v>376</v>
      </c>
      <c r="AR2352" s="4" t="s">
        <v>377</v>
      </c>
    </row>
    <row r="2353" spans="1:44">
      <c r="A2353" s="4" t="s">
        <v>5</v>
      </c>
      <c r="C2353" s="4">
        <v>3394</v>
      </c>
      <c r="D2353" s="5" t="s">
        <v>93</v>
      </c>
      <c r="E2353" s="6" t="s">
        <v>3638</v>
      </c>
      <c r="AP2353" s="4" t="s">
        <v>376</v>
      </c>
      <c r="AR2353" s="4" t="s">
        <v>377</v>
      </c>
    </row>
    <row r="2354" spans="1:44">
      <c r="A2354" s="4" t="s">
        <v>5</v>
      </c>
      <c r="C2354" s="4">
        <v>2070</v>
      </c>
      <c r="D2354" s="5" t="s">
        <v>93</v>
      </c>
      <c r="E2354" s="6" t="s">
        <v>3639</v>
      </c>
      <c r="AP2354" s="4" t="s">
        <v>376</v>
      </c>
      <c r="AR2354" s="4" t="s">
        <v>377</v>
      </c>
    </row>
    <row r="2355" spans="1:44">
      <c r="A2355" s="4" t="s">
        <v>5</v>
      </c>
      <c r="C2355" s="4">
        <v>3259</v>
      </c>
      <c r="D2355" s="5" t="s">
        <v>93</v>
      </c>
      <c r="E2355" s="6" t="s">
        <v>3640</v>
      </c>
      <c r="F2355" s="5" t="s">
        <v>3641</v>
      </c>
      <c r="AP2355" s="4" t="s">
        <v>376</v>
      </c>
      <c r="AR2355" s="4" t="s">
        <v>377</v>
      </c>
    </row>
    <row r="2356" spans="1:44">
      <c r="A2356" s="4" t="s">
        <v>5</v>
      </c>
      <c r="C2356" s="4">
        <v>3671</v>
      </c>
      <c r="D2356" s="5" t="s">
        <v>93</v>
      </c>
      <c r="E2356" s="6" t="s">
        <v>3642</v>
      </c>
      <c r="Z2356" s="4" t="s">
        <v>443</v>
      </c>
      <c r="AA2356" s="4" t="s">
        <v>444</v>
      </c>
      <c r="AP2356" s="4" t="s">
        <v>376</v>
      </c>
      <c r="AR2356" s="4" t="s">
        <v>377</v>
      </c>
    </row>
    <row r="2357" spans="1:44">
      <c r="A2357" s="4" t="s">
        <v>5</v>
      </c>
      <c r="C2357" s="4">
        <v>3258</v>
      </c>
      <c r="D2357" s="5" t="s">
        <v>93</v>
      </c>
      <c r="E2357" s="6" t="s">
        <v>3643</v>
      </c>
      <c r="Z2357" s="4" t="s">
        <v>443</v>
      </c>
      <c r="AA2357" s="4" t="s">
        <v>444</v>
      </c>
      <c r="AP2357" s="4" t="s">
        <v>376</v>
      </c>
      <c r="AR2357" s="4" t="s">
        <v>377</v>
      </c>
    </row>
    <row r="2358" spans="1:44" ht="30">
      <c r="A2358" s="4" t="s">
        <v>5</v>
      </c>
      <c r="C2358" s="4">
        <v>6531</v>
      </c>
      <c r="D2358" s="5" t="s">
        <v>93</v>
      </c>
      <c r="E2358" s="6" t="s">
        <v>3644</v>
      </c>
      <c r="AP2358" s="4" t="s">
        <v>376</v>
      </c>
      <c r="AR2358" s="4" t="s">
        <v>377</v>
      </c>
    </row>
    <row r="2359" spans="1:44" ht="30">
      <c r="A2359" s="4" t="s">
        <v>5</v>
      </c>
      <c r="C2359" s="4">
        <v>4354</v>
      </c>
      <c r="D2359" s="5" t="s">
        <v>93</v>
      </c>
      <c r="E2359" s="6" t="s">
        <v>3645</v>
      </c>
      <c r="AP2359" s="4" t="s">
        <v>376</v>
      </c>
      <c r="AR2359" s="4" t="s">
        <v>377</v>
      </c>
    </row>
    <row r="2360" spans="1:44">
      <c r="A2360" s="4" t="s">
        <v>5</v>
      </c>
      <c r="C2360" s="4">
        <v>5244</v>
      </c>
      <c r="D2360" s="5" t="s">
        <v>93</v>
      </c>
      <c r="E2360" s="6" t="s">
        <v>3646</v>
      </c>
      <c r="AP2360" s="4" t="s">
        <v>376</v>
      </c>
      <c r="AR2360" s="4" t="s">
        <v>377</v>
      </c>
    </row>
    <row r="2361" spans="1:44">
      <c r="A2361" s="4" t="s">
        <v>5</v>
      </c>
      <c r="C2361" s="4">
        <v>6933</v>
      </c>
      <c r="D2361" s="5" t="s">
        <v>93</v>
      </c>
      <c r="E2361" s="6" t="s">
        <v>3647</v>
      </c>
      <c r="AP2361" s="4" t="s">
        <v>376</v>
      </c>
      <c r="AR2361" s="4" t="s">
        <v>377</v>
      </c>
    </row>
    <row r="2362" spans="1:44">
      <c r="A2362" s="4" t="s">
        <v>5</v>
      </c>
      <c r="C2362" s="4">
        <v>5334</v>
      </c>
      <c r="D2362" s="5" t="s">
        <v>93</v>
      </c>
      <c r="E2362" s="6" t="s">
        <v>3648</v>
      </c>
      <c r="F2362" s="5" t="s">
        <v>3649</v>
      </c>
      <c r="AP2362" s="4" t="s">
        <v>376</v>
      </c>
      <c r="AR2362" s="4" t="s">
        <v>377</v>
      </c>
    </row>
    <row r="2363" spans="1:44">
      <c r="A2363" s="4" t="s">
        <v>5</v>
      </c>
      <c r="C2363" s="4">
        <v>4759</v>
      </c>
      <c r="D2363" s="5" t="s">
        <v>93</v>
      </c>
      <c r="E2363" s="6" t="s">
        <v>3650</v>
      </c>
      <c r="AP2363" s="4" t="s">
        <v>376</v>
      </c>
      <c r="AR2363" s="4" t="s">
        <v>377</v>
      </c>
    </row>
    <row r="2364" spans="1:44">
      <c r="A2364" s="4" t="s">
        <v>5</v>
      </c>
      <c r="C2364" s="4">
        <v>212</v>
      </c>
      <c r="D2364" s="5" t="s">
        <v>93</v>
      </c>
      <c r="E2364" s="6" t="s">
        <v>3651</v>
      </c>
      <c r="F2364" s="5" t="s">
        <v>3652</v>
      </c>
      <c r="AP2364" s="4" t="s">
        <v>376</v>
      </c>
      <c r="AR2364" s="4" t="s">
        <v>377</v>
      </c>
    </row>
    <row r="2365" spans="1:44">
      <c r="A2365" s="4" t="s">
        <v>5</v>
      </c>
      <c r="C2365" s="4">
        <v>1381</v>
      </c>
      <c r="D2365" s="5" t="s">
        <v>93</v>
      </c>
      <c r="E2365" s="6" t="s">
        <v>3653</v>
      </c>
      <c r="F2365" s="5" t="s">
        <v>3654</v>
      </c>
      <c r="AP2365" s="4" t="s">
        <v>376</v>
      </c>
      <c r="AR2365" s="4" t="s">
        <v>377</v>
      </c>
    </row>
    <row r="2366" spans="1:44">
      <c r="A2366" s="4" t="s">
        <v>5</v>
      </c>
      <c r="C2366" s="4">
        <v>5080</v>
      </c>
      <c r="D2366" s="5" t="s">
        <v>93</v>
      </c>
      <c r="E2366" s="6" t="s">
        <v>3655</v>
      </c>
      <c r="F2366" s="5" t="s">
        <v>3656</v>
      </c>
      <c r="AP2366" s="4" t="s">
        <v>376</v>
      </c>
      <c r="AR2366" s="4" t="s">
        <v>377</v>
      </c>
    </row>
    <row r="2367" spans="1:44">
      <c r="A2367" s="4" t="s">
        <v>5</v>
      </c>
      <c r="C2367" s="4">
        <v>4040</v>
      </c>
      <c r="D2367" s="5" t="s">
        <v>93</v>
      </c>
      <c r="E2367" s="6" t="s">
        <v>3657</v>
      </c>
      <c r="AP2367" s="4" t="s">
        <v>376</v>
      </c>
      <c r="AR2367" s="4" t="s">
        <v>377</v>
      </c>
    </row>
    <row r="2368" spans="1:44" ht="30">
      <c r="A2368" s="4" t="s">
        <v>5</v>
      </c>
      <c r="C2368" s="4">
        <v>1159</v>
      </c>
      <c r="D2368" s="5" t="s">
        <v>93</v>
      </c>
      <c r="E2368" s="6" t="s">
        <v>3658</v>
      </c>
      <c r="AP2368" s="4" t="s">
        <v>376</v>
      </c>
      <c r="AR2368" s="4" t="s">
        <v>377</v>
      </c>
    </row>
    <row r="2369" spans="1:44">
      <c r="A2369" s="4" t="s">
        <v>5</v>
      </c>
      <c r="C2369" s="4">
        <v>4555</v>
      </c>
      <c r="D2369" s="5" t="s">
        <v>93</v>
      </c>
      <c r="E2369" s="6" t="s">
        <v>3659</v>
      </c>
      <c r="AP2369" s="4" t="s">
        <v>376</v>
      </c>
      <c r="AR2369" s="4" t="s">
        <v>377</v>
      </c>
    </row>
    <row r="2370" spans="1:44" ht="30">
      <c r="A2370" s="4" t="s">
        <v>5</v>
      </c>
      <c r="C2370" s="4">
        <v>6491</v>
      </c>
      <c r="D2370" s="5" t="s">
        <v>93</v>
      </c>
      <c r="E2370" s="6" t="s">
        <v>3660</v>
      </c>
      <c r="AP2370" s="4" t="s">
        <v>376</v>
      </c>
      <c r="AR2370" s="4" t="s">
        <v>377</v>
      </c>
    </row>
    <row r="2371" spans="1:44">
      <c r="A2371" s="4" t="s">
        <v>5</v>
      </c>
      <c r="C2371" s="4">
        <v>1698</v>
      </c>
      <c r="D2371" s="5" t="s">
        <v>93</v>
      </c>
      <c r="E2371" s="6" t="s">
        <v>3661</v>
      </c>
      <c r="AP2371" s="4" t="s">
        <v>376</v>
      </c>
      <c r="AR2371" s="4" t="s">
        <v>377</v>
      </c>
    </row>
    <row r="2372" spans="1:44">
      <c r="A2372" s="4" t="s">
        <v>5</v>
      </c>
      <c r="C2372" s="4">
        <v>168</v>
      </c>
      <c r="D2372" s="5" t="s">
        <v>93</v>
      </c>
      <c r="E2372" s="6" t="s">
        <v>3662</v>
      </c>
      <c r="F2372" s="5" t="s">
        <v>3663</v>
      </c>
      <c r="AP2372" s="4" t="s">
        <v>376</v>
      </c>
      <c r="AR2372" s="4" t="s">
        <v>377</v>
      </c>
    </row>
    <row r="2373" spans="1:44">
      <c r="A2373" s="4" t="s">
        <v>5</v>
      </c>
      <c r="C2373" s="4">
        <v>1339</v>
      </c>
      <c r="D2373" s="5" t="s">
        <v>93</v>
      </c>
      <c r="E2373" s="6" t="s">
        <v>3664</v>
      </c>
      <c r="AP2373" s="4" t="s">
        <v>376</v>
      </c>
      <c r="AR2373" s="4" t="s">
        <v>377</v>
      </c>
    </row>
    <row r="2374" spans="1:44">
      <c r="A2374" s="4" t="s">
        <v>5</v>
      </c>
      <c r="C2374" s="4">
        <v>1316</v>
      </c>
      <c r="D2374" s="5" t="s">
        <v>93</v>
      </c>
      <c r="E2374" s="6" t="s">
        <v>3665</v>
      </c>
      <c r="AP2374" s="4" t="s">
        <v>376</v>
      </c>
      <c r="AR2374" s="4" t="s">
        <v>377</v>
      </c>
    </row>
    <row r="2375" spans="1:44">
      <c r="A2375" s="4" t="s">
        <v>5</v>
      </c>
      <c r="C2375" s="4">
        <v>1640</v>
      </c>
      <c r="D2375" s="5" t="s">
        <v>93</v>
      </c>
      <c r="E2375" s="6" t="s">
        <v>3666</v>
      </c>
      <c r="F2375" s="5" t="s">
        <v>3667</v>
      </c>
      <c r="AP2375" s="4" t="s">
        <v>376</v>
      </c>
      <c r="AR2375" s="4" t="s">
        <v>377</v>
      </c>
    </row>
    <row r="2376" spans="1:44">
      <c r="A2376" s="4" t="s">
        <v>5</v>
      </c>
      <c r="C2376" s="4">
        <v>6808</v>
      </c>
      <c r="D2376" s="5" t="s">
        <v>93</v>
      </c>
      <c r="E2376" s="6" t="s">
        <v>3668</v>
      </c>
      <c r="AP2376" s="4" t="s">
        <v>376</v>
      </c>
      <c r="AR2376" s="4" t="s">
        <v>377</v>
      </c>
    </row>
    <row r="2377" spans="1:44">
      <c r="A2377" s="4" t="s">
        <v>5</v>
      </c>
      <c r="C2377" s="4">
        <v>5905</v>
      </c>
      <c r="D2377" s="5" t="s">
        <v>93</v>
      </c>
      <c r="E2377" s="6" t="s">
        <v>3669</v>
      </c>
      <c r="AP2377" s="4" t="s">
        <v>376</v>
      </c>
      <c r="AR2377" s="4" t="s">
        <v>377</v>
      </c>
    </row>
    <row r="2378" spans="1:44">
      <c r="A2378" s="4" t="s">
        <v>5</v>
      </c>
      <c r="C2378" s="4">
        <v>6645</v>
      </c>
      <c r="D2378" s="5" t="s">
        <v>93</v>
      </c>
      <c r="E2378" s="6" t="s">
        <v>3670</v>
      </c>
      <c r="AP2378" s="4" t="s">
        <v>376</v>
      </c>
      <c r="AR2378" s="4" t="s">
        <v>377</v>
      </c>
    </row>
    <row r="2379" spans="1:44">
      <c r="A2379" s="4" t="s">
        <v>5</v>
      </c>
      <c r="C2379" s="4">
        <v>6998</v>
      </c>
      <c r="D2379" s="5" t="s">
        <v>93</v>
      </c>
      <c r="E2379" s="6" t="s">
        <v>3671</v>
      </c>
      <c r="AP2379" s="4" t="s">
        <v>376</v>
      </c>
      <c r="AR2379" s="4" t="s">
        <v>377</v>
      </c>
    </row>
    <row r="2380" spans="1:44">
      <c r="A2380" s="4" t="s">
        <v>5</v>
      </c>
      <c r="C2380" s="4">
        <v>2132</v>
      </c>
      <c r="D2380" s="5" t="s">
        <v>93</v>
      </c>
      <c r="E2380" s="6" t="s">
        <v>3672</v>
      </c>
      <c r="AP2380" s="4" t="s">
        <v>376</v>
      </c>
      <c r="AR2380" s="4" t="s">
        <v>377</v>
      </c>
    </row>
    <row r="2381" spans="1:44">
      <c r="A2381" s="4" t="s">
        <v>5</v>
      </c>
      <c r="C2381" s="4">
        <v>250</v>
      </c>
      <c r="D2381" s="5" t="s">
        <v>93</v>
      </c>
      <c r="E2381" s="6" t="s">
        <v>3673</v>
      </c>
      <c r="F2381" s="5" t="s">
        <v>3674</v>
      </c>
      <c r="AP2381" s="4" t="s">
        <v>376</v>
      </c>
      <c r="AR2381" s="4" t="s">
        <v>377</v>
      </c>
    </row>
    <row r="2382" spans="1:44">
      <c r="A2382" s="4" t="s">
        <v>5</v>
      </c>
      <c r="C2382" s="4">
        <v>74</v>
      </c>
      <c r="D2382" s="5" t="s">
        <v>93</v>
      </c>
      <c r="E2382" s="6" t="s">
        <v>3675</v>
      </c>
      <c r="F2382" s="5" t="s">
        <v>3676</v>
      </c>
      <c r="AP2382" s="4" t="s">
        <v>376</v>
      </c>
      <c r="AR2382" s="4" t="s">
        <v>377</v>
      </c>
    </row>
    <row r="2383" spans="1:44">
      <c r="A2383" s="4" t="s">
        <v>5</v>
      </c>
      <c r="C2383" s="4">
        <v>4946</v>
      </c>
      <c r="D2383" s="5" t="s">
        <v>93</v>
      </c>
      <c r="E2383" s="6" t="s">
        <v>3677</v>
      </c>
      <c r="AP2383" s="4" t="s">
        <v>376</v>
      </c>
      <c r="AR2383" s="4" t="s">
        <v>377</v>
      </c>
    </row>
    <row r="2384" spans="1:44" ht="30">
      <c r="A2384" s="4" t="s">
        <v>5</v>
      </c>
      <c r="C2384" s="4">
        <v>704</v>
      </c>
      <c r="D2384" s="5" t="s">
        <v>93</v>
      </c>
      <c r="E2384" s="6" t="s">
        <v>3678</v>
      </c>
      <c r="F2384" s="5" t="s">
        <v>3679</v>
      </c>
      <c r="AP2384" s="4" t="s">
        <v>376</v>
      </c>
      <c r="AR2384" s="4" t="s">
        <v>377</v>
      </c>
    </row>
    <row r="2385" spans="1:44" ht="30">
      <c r="A2385" s="4" t="s">
        <v>5</v>
      </c>
      <c r="C2385" s="4">
        <v>5651</v>
      </c>
      <c r="D2385" s="5" t="s">
        <v>93</v>
      </c>
      <c r="E2385" s="6" t="s">
        <v>3680</v>
      </c>
      <c r="AP2385" s="4" t="s">
        <v>376</v>
      </c>
      <c r="AR2385" s="4" t="s">
        <v>377</v>
      </c>
    </row>
    <row r="2386" spans="1:44">
      <c r="A2386" s="4" t="s">
        <v>5</v>
      </c>
      <c r="C2386" s="4">
        <v>5596</v>
      </c>
      <c r="D2386" s="5" t="s">
        <v>93</v>
      </c>
      <c r="E2386" s="6" t="s">
        <v>3681</v>
      </c>
      <c r="AP2386" s="4" t="s">
        <v>376</v>
      </c>
      <c r="AR2386" s="4" t="s">
        <v>377</v>
      </c>
    </row>
    <row r="2387" spans="1:44">
      <c r="A2387" s="4" t="s">
        <v>5</v>
      </c>
      <c r="C2387" s="4">
        <v>6033</v>
      </c>
      <c r="D2387" s="5" t="s">
        <v>93</v>
      </c>
      <c r="E2387" s="6" t="s">
        <v>3682</v>
      </c>
      <c r="AP2387" s="4" t="s">
        <v>376</v>
      </c>
      <c r="AR2387" s="4" t="s">
        <v>377</v>
      </c>
    </row>
    <row r="2388" spans="1:44">
      <c r="A2388" s="4" t="s">
        <v>5</v>
      </c>
      <c r="C2388" s="4">
        <v>4383</v>
      </c>
      <c r="D2388" s="5" t="s">
        <v>93</v>
      </c>
      <c r="E2388" s="6" t="s">
        <v>3683</v>
      </c>
      <c r="AP2388" s="4" t="s">
        <v>376</v>
      </c>
      <c r="AR2388" s="4" t="s">
        <v>377</v>
      </c>
    </row>
    <row r="2389" spans="1:44">
      <c r="A2389" s="4" t="s">
        <v>5</v>
      </c>
      <c r="C2389" s="4">
        <v>4396</v>
      </c>
      <c r="D2389" s="5" t="s">
        <v>93</v>
      </c>
      <c r="E2389" s="6" t="s">
        <v>3684</v>
      </c>
      <c r="AP2389" s="4" t="s">
        <v>376</v>
      </c>
      <c r="AR2389" s="4" t="s">
        <v>377</v>
      </c>
    </row>
    <row r="2390" spans="1:44" ht="30">
      <c r="A2390" s="4" t="s">
        <v>5</v>
      </c>
      <c r="C2390" s="4">
        <v>3682</v>
      </c>
      <c r="D2390" s="5" t="s">
        <v>93</v>
      </c>
      <c r="E2390" s="6" t="s">
        <v>3685</v>
      </c>
      <c r="F2390" s="5" t="s">
        <v>3686</v>
      </c>
      <c r="AP2390" s="4" t="s">
        <v>376</v>
      </c>
      <c r="AR2390" s="4" t="s">
        <v>377</v>
      </c>
    </row>
    <row r="2391" spans="1:44">
      <c r="A2391" s="4" t="s">
        <v>5</v>
      </c>
      <c r="C2391" s="4">
        <v>5771</v>
      </c>
      <c r="D2391" s="5" t="s">
        <v>93</v>
      </c>
      <c r="E2391" s="6" t="s">
        <v>3687</v>
      </c>
      <c r="AP2391" s="4" t="s">
        <v>376</v>
      </c>
      <c r="AR2391" s="4" t="s">
        <v>377</v>
      </c>
    </row>
    <row r="2392" spans="1:44" ht="30">
      <c r="A2392" s="4" t="s">
        <v>5</v>
      </c>
      <c r="C2392" s="4">
        <v>6305</v>
      </c>
      <c r="D2392" s="5" t="s">
        <v>93</v>
      </c>
      <c r="E2392" s="6" t="s">
        <v>3688</v>
      </c>
      <c r="AP2392" s="4" t="s">
        <v>376</v>
      </c>
      <c r="AR2392" s="4" t="s">
        <v>377</v>
      </c>
    </row>
    <row r="2393" spans="1:44">
      <c r="A2393" s="4" t="s">
        <v>5</v>
      </c>
      <c r="C2393" s="4">
        <v>6673</v>
      </c>
      <c r="D2393" s="5" t="s">
        <v>93</v>
      </c>
      <c r="E2393" s="6" t="s">
        <v>3689</v>
      </c>
      <c r="AP2393" s="4" t="s">
        <v>376</v>
      </c>
      <c r="AR2393" s="4" t="s">
        <v>377</v>
      </c>
    </row>
    <row r="2394" spans="1:44">
      <c r="A2394" s="4" t="s">
        <v>5</v>
      </c>
      <c r="C2394" s="4">
        <v>6853</v>
      </c>
      <c r="D2394" s="5" t="s">
        <v>93</v>
      </c>
      <c r="E2394" s="6" t="s">
        <v>3690</v>
      </c>
      <c r="F2394" s="5" t="s">
        <v>3691</v>
      </c>
      <c r="AP2394" s="4" t="s">
        <v>376</v>
      </c>
      <c r="AR2394" s="4" t="s">
        <v>377</v>
      </c>
    </row>
    <row r="2395" spans="1:44">
      <c r="A2395" s="4" t="s">
        <v>5</v>
      </c>
      <c r="C2395" s="4">
        <v>5789</v>
      </c>
      <c r="D2395" s="5" t="s">
        <v>93</v>
      </c>
      <c r="E2395" s="6" t="s">
        <v>3692</v>
      </c>
      <c r="AP2395" s="4" t="s">
        <v>376</v>
      </c>
      <c r="AR2395" s="4" t="s">
        <v>377</v>
      </c>
    </row>
    <row r="2396" spans="1:44" ht="30">
      <c r="A2396" s="4" t="s">
        <v>5</v>
      </c>
      <c r="C2396" s="4">
        <v>3661</v>
      </c>
      <c r="D2396" s="5" t="s">
        <v>93</v>
      </c>
      <c r="E2396" s="6" t="s">
        <v>3693</v>
      </c>
      <c r="Z2396" s="4" t="s">
        <v>443</v>
      </c>
      <c r="AA2396" s="4" t="s">
        <v>444</v>
      </c>
      <c r="AP2396" s="4" t="s">
        <v>376</v>
      </c>
      <c r="AR2396" s="4" t="s">
        <v>377</v>
      </c>
    </row>
    <row r="2397" spans="1:44">
      <c r="A2397" s="4" t="s">
        <v>5</v>
      </c>
      <c r="C2397" s="4">
        <v>1246</v>
      </c>
      <c r="D2397" s="5" t="s">
        <v>93</v>
      </c>
      <c r="E2397" s="6" t="s">
        <v>3694</v>
      </c>
      <c r="AP2397" s="4" t="s">
        <v>376</v>
      </c>
      <c r="AR2397" s="4" t="s">
        <v>377</v>
      </c>
    </row>
    <row r="2398" spans="1:44">
      <c r="A2398" s="4" t="s">
        <v>5</v>
      </c>
      <c r="C2398" s="4">
        <v>3873</v>
      </c>
      <c r="D2398" s="5" t="s">
        <v>93</v>
      </c>
      <c r="E2398" s="6" t="s">
        <v>3695</v>
      </c>
      <c r="Z2398" s="4" t="s">
        <v>443</v>
      </c>
      <c r="AA2398" s="4" t="s">
        <v>444</v>
      </c>
      <c r="AP2398" s="4" t="s">
        <v>376</v>
      </c>
      <c r="AR2398" s="4" t="s">
        <v>377</v>
      </c>
    </row>
    <row r="2399" spans="1:44">
      <c r="A2399" s="4" t="s">
        <v>5</v>
      </c>
      <c r="C2399" s="4">
        <v>6913</v>
      </c>
      <c r="D2399" s="5" t="s">
        <v>93</v>
      </c>
      <c r="E2399" s="6" t="s">
        <v>3696</v>
      </c>
      <c r="F2399" s="5" t="s">
        <v>3697</v>
      </c>
      <c r="AP2399" s="4" t="s">
        <v>376</v>
      </c>
      <c r="AR2399" s="4" t="s">
        <v>377</v>
      </c>
    </row>
    <row r="2400" spans="1:44">
      <c r="A2400" s="4" t="s">
        <v>5</v>
      </c>
      <c r="C2400" s="4">
        <v>2802</v>
      </c>
      <c r="D2400" s="5" t="s">
        <v>93</v>
      </c>
      <c r="E2400" s="6" t="s">
        <v>3698</v>
      </c>
      <c r="F2400" s="5" t="s">
        <v>3699</v>
      </c>
      <c r="Z2400" s="4" t="s">
        <v>443</v>
      </c>
      <c r="AA2400" s="4" t="s">
        <v>444</v>
      </c>
      <c r="AP2400" s="4" t="s">
        <v>376</v>
      </c>
      <c r="AR2400" s="4" t="s">
        <v>377</v>
      </c>
    </row>
    <row r="2401" spans="1:44">
      <c r="A2401" s="4" t="s">
        <v>5</v>
      </c>
      <c r="C2401" s="4">
        <v>1765</v>
      </c>
      <c r="D2401" s="5" t="s">
        <v>93</v>
      </c>
      <c r="E2401" s="6" t="s">
        <v>3700</v>
      </c>
      <c r="AP2401" s="4" t="s">
        <v>376</v>
      </c>
      <c r="AR2401" s="4" t="s">
        <v>377</v>
      </c>
    </row>
    <row r="2402" spans="1:44">
      <c r="A2402" s="4" t="s">
        <v>5</v>
      </c>
      <c r="C2402" s="4">
        <v>982</v>
      </c>
      <c r="D2402" s="5" t="s">
        <v>93</v>
      </c>
      <c r="E2402" s="6" t="s">
        <v>3701</v>
      </c>
      <c r="F2402" s="5" t="s">
        <v>3702</v>
      </c>
      <c r="Z2402" s="4" t="s">
        <v>443</v>
      </c>
      <c r="AA2402" s="4" t="s">
        <v>444</v>
      </c>
      <c r="AP2402" s="4" t="s">
        <v>376</v>
      </c>
      <c r="AR2402" s="4" t="s">
        <v>377</v>
      </c>
    </row>
    <row r="2403" spans="1:44">
      <c r="A2403" s="4" t="s">
        <v>5</v>
      </c>
      <c r="C2403" s="4">
        <v>4714</v>
      </c>
      <c r="D2403" s="5" t="s">
        <v>93</v>
      </c>
      <c r="E2403" s="6" t="s">
        <v>3703</v>
      </c>
      <c r="AP2403" s="4" t="s">
        <v>376</v>
      </c>
      <c r="AR2403" s="4" t="s">
        <v>377</v>
      </c>
    </row>
    <row r="2404" spans="1:44" ht="30">
      <c r="A2404" s="4" t="s">
        <v>5</v>
      </c>
      <c r="C2404" s="4">
        <v>5003</v>
      </c>
      <c r="D2404" s="5" t="s">
        <v>93</v>
      </c>
      <c r="E2404" s="6" t="s">
        <v>3704</v>
      </c>
      <c r="AP2404" s="4" t="s">
        <v>376</v>
      </c>
      <c r="AR2404" s="4" t="s">
        <v>377</v>
      </c>
    </row>
    <row r="2405" spans="1:44">
      <c r="A2405" s="4" t="s">
        <v>5</v>
      </c>
      <c r="C2405" s="4">
        <v>4005</v>
      </c>
      <c r="D2405" s="5" t="s">
        <v>93</v>
      </c>
      <c r="E2405" s="6" t="s">
        <v>3705</v>
      </c>
      <c r="F2405" s="5" t="s">
        <v>3706</v>
      </c>
      <c r="AP2405" s="4" t="s">
        <v>376</v>
      </c>
      <c r="AR2405" s="4" t="s">
        <v>377</v>
      </c>
    </row>
    <row r="2406" spans="1:44">
      <c r="A2406" s="4" t="s">
        <v>5</v>
      </c>
      <c r="C2406" s="4">
        <v>1400</v>
      </c>
      <c r="D2406" s="5" t="s">
        <v>93</v>
      </c>
      <c r="E2406" s="6" t="s">
        <v>3707</v>
      </c>
      <c r="AP2406" s="4" t="s">
        <v>376</v>
      </c>
      <c r="AR2406" s="4" t="s">
        <v>377</v>
      </c>
    </row>
    <row r="2407" spans="1:44" ht="30">
      <c r="A2407" s="4" t="s">
        <v>5</v>
      </c>
      <c r="C2407" s="4">
        <v>6777</v>
      </c>
      <c r="D2407" s="5" t="s">
        <v>93</v>
      </c>
      <c r="E2407" s="6" t="s">
        <v>3708</v>
      </c>
      <c r="AP2407" s="4" t="s">
        <v>376</v>
      </c>
      <c r="AR2407" s="4" t="s">
        <v>377</v>
      </c>
    </row>
    <row r="2408" spans="1:44">
      <c r="A2408" s="4" t="s">
        <v>5</v>
      </c>
      <c r="C2408" s="4">
        <v>5102</v>
      </c>
      <c r="D2408" s="5" t="s">
        <v>93</v>
      </c>
      <c r="E2408" s="6" t="s">
        <v>3709</v>
      </c>
      <c r="AP2408" s="4" t="s">
        <v>376</v>
      </c>
      <c r="AR2408" s="4" t="s">
        <v>377</v>
      </c>
    </row>
    <row r="2409" spans="1:44">
      <c r="A2409" s="4" t="s">
        <v>5</v>
      </c>
      <c r="C2409" s="4">
        <v>6975</v>
      </c>
      <c r="D2409" s="5" t="s">
        <v>93</v>
      </c>
      <c r="E2409" s="6" t="s">
        <v>3710</v>
      </c>
      <c r="AP2409" s="4" t="s">
        <v>376</v>
      </c>
      <c r="AR2409" s="4" t="s">
        <v>377</v>
      </c>
    </row>
    <row r="2410" spans="1:44">
      <c r="A2410" s="4" t="s">
        <v>5</v>
      </c>
      <c r="C2410" s="4">
        <v>5063</v>
      </c>
      <c r="D2410" s="5" t="s">
        <v>93</v>
      </c>
      <c r="E2410" s="6" t="s">
        <v>3711</v>
      </c>
      <c r="F2410" s="5" t="s">
        <v>3712</v>
      </c>
      <c r="AP2410" s="4" t="s">
        <v>376</v>
      </c>
      <c r="AR2410" s="4" t="s">
        <v>377</v>
      </c>
    </row>
    <row r="2411" spans="1:44">
      <c r="A2411" s="4" t="s">
        <v>5</v>
      </c>
      <c r="C2411" s="4">
        <v>2597</v>
      </c>
      <c r="D2411" s="5" t="s">
        <v>93</v>
      </c>
      <c r="E2411" s="6" t="s">
        <v>3713</v>
      </c>
      <c r="F2411" s="5" t="s">
        <v>3714</v>
      </c>
      <c r="Z2411" s="4" t="s">
        <v>447</v>
      </c>
      <c r="AA2411" s="4" t="s">
        <v>448</v>
      </c>
      <c r="AP2411" s="4" t="s">
        <v>376</v>
      </c>
      <c r="AR2411" s="4" t="s">
        <v>377</v>
      </c>
    </row>
    <row r="2412" spans="1:44">
      <c r="A2412" s="4" t="s">
        <v>5</v>
      </c>
      <c r="C2412" s="4">
        <v>1576</v>
      </c>
      <c r="D2412" s="5" t="s">
        <v>93</v>
      </c>
      <c r="E2412" s="6" t="s">
        <v>3715</v>
      </c>
      <c r="AP2412" s="4" t="s">
        <v>376</v>
      </c>
      <c r="AR2412" s="4" t="s">
        <v>377</v>
      </c>
    </row>
    <row r="2413" spans="1:44" ht="30">
      <c r="A2413" s="4" t="s">
        <v>5</v>
      </c>
      <c r="C2413" s="4">
        <v>6348</v>
      </c>
      <c r="D2413" s="5" t="s">
        <v>93</v>
      </c>
      <c r="E2413" s="6" t="s">
        <v>3716</v>
      </c>
      <c r="AP2413" s="4" t="s">
        <v>376</v>
      </c>
      <c r="AR2413" s="4" t="s">
        <v>377</v>
      </c>
    </row>
    <row r="2414" spans="1:44">
      <c r="A2414" s="4" t="s">
        <v>5</v>
      </c>
      <c r="C2414" s="4">
        <v>2125</v>
      </c>
      <c r="D2414" s="5" t="s">
        <v>93</v>
      </c>
      <c r="E2414" s="6" t="s">
        <v>3717</v>
      </c>
      <c r="F2414" s="5" t="s">
        <v>3718</v>
      </c>
      <c r="Z2414" s="4" t="s">
        <v>443</v>
      </c>
      <c r="AA2414" s="4" t="s">
        <v>444</v>
      </c>
      <c r="AP2414" s="4" t="s">
        <v>376</v>
      </c>
      <c r="AR2414" s="4" t="s">
        <v>377</v>
      </c>
    </row>
    <row r="2415" spans="1:44">
      <c r="A2415" s="4" t="s">
        <v>5</v>
      </c>
      <c r="C2415" s="4">
        <v>4013</v>
      </c>
      <c r="D2415" s="5" t="s">
        <v>93</v>
      </c>
      <c r="E2415" s="6" t="s">
        <v>3719</v>
      </c>
      <c r="AP2415" s="4" t="s">
        <v>376</v>
      </c>
      <c r="AR2415" s="4" t="s">
        <v>377</v>
      </c>
    </row>
    <row r="2416" spans="1:44">
      <c r="A2416" s="4" t="s">
        <v>5</v>
      </c>
      <c r="C2416" s="4">
        <v>6465</v>
      </c>
      <c r="D2416" s="5" t="s">
        <v>93</v>
      </c>
      <c r="E2416" s="6" t="s">
        <v>3720</v>
      </c>
      <c r="AP2416" s="4" t="s">
        <v>376</v>
      </c>
      <c r="AR2416" s="4" t="s">
        <v>377</v>
      </c>
    </row>
    <row r="2417" spans="1:44">
      <c r="A2417" s="4" t="s">
        <v>5</v>
      </c>
      <c r="C2417" s="4">
        <v>3264</v>
      </c>
      <c r="D2417" s="5" t="s">
        <v>93</v>
      </c>
      <c r="E2417" s="6" t="s">
        <v>3721</v>
      </c>
      <c r="Z2417" s="4" t="s">
        <v>447</v>
      </c>
      <c r="AA2417" s="4" t="s">
        <v>448</v>
      </c>
      <c r="AP2417" s="4" t="s">
        <v>376</v>
      </c>
      <c r="AR2417" s="4" t="s">
        <v>377</v>
      </c>
    </row>
    <row r="2418" spans="1:44">
      <c r="A2418" s="4" t="s">
        <v>5</v>
      </c>
      <c r="C2418" s="4">
        <v>6295</v>
      </c>
      <c r="D2418" s="5" t="s">
        <v>93</v>
      </c>
      <c r="E2418" s="6" t="s">
        <v>3722</v>
      </c>
      <c r="AP2418" s="4" t="s">
        <v>376</v>
      </c>
      <c r="AR2418" s="4" t="s">
        <v>377</v>
      </c>
    </row>
    <row r="2419" spans="1:44" ht="30">
      <c r="A2419" s="4" t="s">
        <v>5</v>
      </c>
      <c r="C2419" s="4">
        <v>6258</v>
      </c>
      <c r="D2419" s="5" t="s">
        <v>93</v>
      </c>
      <c r="E2419" s="6" t="s">
        <v>3723</v>
      </c>
      <c r="F2419" s="5" t="s">
        <v>3724</v>
      </c>
      <c r="AP2419" s="4" t="s">
        <v>376</v>
      </c>
      <c r="AR2419" s="4" t="s">
        <v>377</v>
      </c>
    </row>
    <row r="2420" spans="1:44" ht="30">
      <c r="A2420" s="4" t="s">
        <v>5</v>
      </c>
      <c r="C2420" s="4">
        <v>586</v>
      </c>
      <c r="D2420" s="5" t="s">
        <v>93</v>
      </c>
      <c r="E2420" s="6" t="s">
        <v>3725</v>
      </c>
      <c r="F2420" s="5" t="s">
        <v>3726</v>
      </c>
      <c r="AP2420" s="4" t="s">
        <v>376</v>
      </c>
      <c r="AR2420" s="4" t="s">
        <v>377</v>
      </c>
    </row>
    <row r="2421" spans="1:44">
      <c r="A2421" s="4" t="s">
        <v>5</v>
      </c>
      <c r="C2421" s="4">
        <v>4220</v>
      </c>
      <c r="D2421" s="5" t="s">
        <v>93</v>
      </c>
      <c r="E2421" s="6" t="s">
        <v>3727</v>
      </c>
      <c r="AP2421" s="4" t="s">
        <v>376</v>
      </c>
      <c r="AR2421" s="4" t="s">
        <v>377</v>
      </c>
    </row>
    <row r="2422" spans="1:44">
      <c r="A2422" s="4" t="s">
        <v>5</v>
      </c>
      <c r="C2422" s="4">
        <v>1125</v>
      </c>
      <c r="D2422" s="5" t="s">
        <v>93</v>
      </c>
      <c r="E2422" s="6" t="s">
        <v>3728</v>
      </c>
      <c r="F2422" s="5" t="s">
        <v>3729</v>
      </c>
      <c r="AP2422" s="4" t="s">
        <v>376</v>
      </c>
      <c r="AR2422" s="4" t="s">
        <v>377</v>
      </c>
    </row>
    <row r="2423" spans="1:44">
      <c r="A2423" s="4" t="s">
        <v>5</v>
      </c>
      <c r="C2423" s="4">
        <v>1304</v>
      </c>
      <c r="D2423" s="5" t="s">
        <v>93</v>
      </c>
      <c r="E2423" s="6" t="s">
        <v>3730</v>
      </c>
      <c r="AP2423" s="4" t="s">
        <v>376</v>
      </c>
      <c r="AR2423" s="4" t="s">
        <v>377</v>
      </c>
    </row>
    <row r="2424" spans="1:44">
      <c r="A2424" s="4" t="s">
        <v>5</v>
      </c>
      <c r="C2424" s="4">
        <v>2659</v>
      </c>
      <c r="D2424" s="5" t="s">
        <v>93</v>
      </c>
      <c r="E2424" s="6" t="s">
        <v>3731</v>
      </c>
      <c r="F2424" s="5" t="s">
        <v>3732</v>
      </c>
      <c r="Z2424" s="4" t="s">
        <v>443</v>
      </c>
      <c r="AA2424" s="4" t="s">
        <v>444</v>
      </c>
      <c r="AP2424" s="4" t="s">
        <v>376</v>
      </c>
      <c r="AR2424" s="4" t="s">
        <v>377</v>
      </c>
    </row>
    <row r="2425" spans="1:44">
      <c r="A2425" s="4" t="s">
        <v>5</v>
      </c>
      <c r="C2425" s="4">
        <v>157</v>
      </c>
      <c r="D2425" s="5" t="s">
        <v>93</v>
      </c>
      <c r="E2425" s="6" t="s">
        <v>3733</v>
      </c>
      <c r="F2425" s="5" t="s">
        <v>3734</v>
      </c>
      <c r="AP2425" s="4" t="s">
        <v>376</v>
      </c>
      <c r="AR2425" s="4" t="s">
        <v>377</v>
      </c>
    </row>
    <row r="2426" spans="1:44">
      <c r="A2426" s="4" t="s">
        <v>5</v>
      </c>
      <c r="C2426" s="4">
        <v>4191</v>
      </c>
      <c r="D2426" s="5" t="s">
        <v>93</v>
      </c>
      <c r="E2426" s="6" t="s">
        <v>3735</v>
      </c>
      <c r="AP2426" s="4" t="s">
        <v>376</v>
      </c>
      <c r="AR2426" s="4" t="s">
        <v>377</v>
      </c>
    </row>
    <row r="2427" spans="1:44">
      <c r="A2427" s="4" t="s">
        <v>5</v>
      </c>
      <c r="C2427" s="4">
        <v>1820</v>
      </c>
      <c r="D2427" s="5" t="s">
        <v>93</v>
      </c>
      <c r="E2427" s="6" t="s">
        <v>3736</v>
      </c>
      <c r="F2427" s="5" t="s">
        <v>3737</v>
      </c>
      <c r="Z2427" s="4" t="s">
        <v>695</v>
      </c>
      <c r="AA2427" s="4" t="s">
        <v>696</v>
      </c>
      <c r="AP2427" s="4" t="s">
        <v>376</v>
      </c>
      <c r="AR2427" s="4" t="s">
        <v>377</v>
      </c>
    </row>
    <row r="2428" spans="1:44">
      <c r="A2428" s="4" t="s">
        <v>5</v>
      </c>
      <c r="C2428" s="4">
        <v>4347</v>
      </c>
      <c r="D2428" s="5" t="s">
        <v>93</v>
      </c>
      <c r="E2428" s="6" t="s">
        <v>3738</v>
      </c>
      <c r="AP2428" s="4" t="s">
        <v>376</v>
      </c>
      <c r="AR2428" s="4" t="s">
        <v>377</v>
      </c>
    </row>
    <row r="2429" spans="1:44" ht="30">
      <c r="A2429" s="4" t="s">
        <v>5</v>
      </c>
      <c r="C2429" s="4">
        <v>1217</v>
      </c>
      <c r="D2429" s="5" t="s">
        <v>93</v>
      </c>
      <c r="E2429" s="6" t="s">
        <v>3739</v>
      </c>
      <c r="F2429" s="5" t="s">
        <v>3740</v>
      </c>
      <c r="AP2429" s="4" t="s">
        <v>376</v>
      </c>
      <c r="AR2429" s="4" t="s">
        <v>377</v>
      </c>
    </row>
    <row r="2430" spans="1:44" ht="30">
      <c r="A2430" s="4" t="s">
        <v>5</v>
      </c>
      <c r="C2430" s="4">
        <v>1699</v>
      </c>
      <c r="D2430" s="5" t="s">
        <v>93</v>
      </c>
      <c r="E2430" s="6" t="s">
        <v>3741</v>
      </c>
      <c r="AP2430" s="4" t="s">
        <v>376</v>
      </c>
      <c r="AR2430" s="4" t="s">
        <v>377</v>
      </c>
    </row>
    <row r="2431" spans="1:44" ht="30">
      <c r="A2431" s="4" t="s">
        <v>5</v>
      </c>
      <c r="C2431" s="4">
        <v>6773</v>
      </c>
      <c r="D2431" s="5" t="s">
        <v>93</v>
      </c>
      <c r="E2431" s="6" t="s">
        <v>3742</v>
      </c>
      <c r="AP2431" s="4" t="s">
        <v>376</v>
      </c>
      <c r="AR2431" s="4" t="s">
        <v>377</v>
      </c>
    </row>
    <row r="2432" spans="1:44">
      <c r="A2432" s="4" t="s">
        <v>5</v>
      </c>
      <c r="C2432" s="4">
        <v>4257</v>
      </c>
      <c r="D2432" s="5" t="s">
        <v>93</v>
      </c>
      <c r="E2432" s="6" t="s">
        <v>3743</v>
      </c>
      <c r="AP2432" s="4" t="s">
        <v>376</v>
      </c>
      <c r="AR2432" s="4" t="s">
        <v>377</v>
      </c>
    </row>
    <row r="2433" spans="1:44">
      <c r="A2433" s="4" t="s">
        <v>5</v>
      </c>
      <c r="C2433" s="4">
        <v>6079</v>
      </c>
      <c r="D2433" s="5" t="s">
        <v>93</v>
      </c>
      <c r="E2433" s="6" t="s">
        <v>3744</v>
      </c>
      <c r="F2433" s="5" t="s">
        <v>3745</v>
      </c>
      <c r="AP2433" s="4" t="s">
        <v>376</v>
      </c>
      <c r="AR2433" s="4" t="s">
        <v>377</v>
      </c>
    </row>
    <row r="2434" spans="1:44">
      <c r="A2434" s="4" t="s">
        <v>5</v>
      </c>
      <c r="C2434" s="4">
        <v>6884</v>
      </c>
      <c r="D2434" s="5" t="s">
        <v>93</v>
      </c>
      <c r="E2434" s="6" t="s">
        <v>3746</v>
      </c>
      <c r="AP2434" s="4" t="s">
        <v>376</v>
      </c>
      <c r="AR2434" s="4" t="s">
        <v>377</v>
      </c>
    </row>
    <row r="2435" spans="1:44">
      <c r="A2435" s="4" t="s">
        <v>5</v>
      </c>
      <c r="C2435" s="4">
        <v>920</v>
      </c>
      <c r="D2435" s="5" t="s">
        <v>93</v>
      </c>
      <c r="E2435" s="6" t="s">
        <v>3747</v>
      </c>
      <c r="AP2435" s="4" t="s">
        <v>376</v>
      </c>
      <c r="AR2435" s="4" t="s">
        <v>377</v>
      </c>
    </row>
    <row r="2436" spans="1:44">
      <c r="A2436" s="4" t="s">
        <v>5</v>
      </c>
      <c r="C2436" s="4">
        <v>767</v>
      </c>
      <c r="D2436" s="5" t="s">
        <v>93</v>
      </c>
      <c r="E2436" s="6" t="s">
        <v>3748</v>
      </c>
      <c r="Z2436" s="4" t="s">
        <v>443</v>
      </c>
      <c r="AA2436" s="4" t="s">
        <v>444</v>
      </c>
      <c r="AP2436" s="4" t="s">
        <v>376</v>
      </c>
      <c r="AR2436" s="4" t="s">
        <v>377</v>
      </c>
    </row>
    <row r="2437" spans="1:44" ht="30">
      <c r="A2437" s="4" t="s">
        <v>5</v>
      </c>
      <c r="C2437" s="4">
        <v>4342</v>
      </c>
      <c r="D2437" s="5" t="s">
        <v>93</v>
      </c>
      <c r="E2437" s="6" t="s">
        <v>3749</v>
      </c>
      <c r="AP2437" s="4" t="s">
        <v>376</v>
      </c>
      <c r="AR2437" s="4" t="s">
        <v>377</v>
      </c>
    </row>
    <row r="2438" spans="1:44">
      <c r="A2438" s="4" t="s">
        <v>5</v>
      </c>
      <c r="C2438" s="4">
        <v>6414</v>
      </c>
      <c r="D2438" s="5" t="s">
        <v>93</v>
      </c>
      <c r="E2438" s="6" t="s">
        <v>3750</v>
      </c>
      <c r="AP2438" s="4" t="s">
        <v>376</v>
      </c>
      <c r="AR2438" s="4" t="s">
        <v>377</v>
      </c>
    </row>
    <row r="2439" spans="1:44">
      <c r="A2439" s="4" t="s">
        <v>5</v>
      </c>
      <c r="C2439" s="4">
        <v>4256</v>
      </c>
      <c r="D2439" s="5" t="s">
        <v>93</v>
      </c>
      <c r="E2439" s="6" t="s">
        <v>3751</v>
      </c>
      <c r="AP2439" s="4" t="s">
        <v>376</v>
      </c>
      <c r="AR2439" s="4" t="s">
        <v>377</v>
      </c>
    </row>
    <row r="2440" spans="1:44">
      <c r="A2440" s="4" t="s">
        <v>5</v>
      </c>
      <c r="C2440" s="4">
        <v>2513</v>
      </c>
      <c r="D2440" s="5" t="s">
        <v>93</v>
      </c>
      <c r="E2440" s="6" t="s">
        <v>3752</v>
      </c>
      <c r="AP2440" s="4" t="s">
        <v>376</v>
      </c>
      <c r="AR2440" s="4" t="s">
        <v>377</v>
      </c>
    </row>
    <row r="2441" spans="1:44">
      <c r="A2441" s="4" t="s">
        <v>5</v>
      </c>
      <c r="C2441" s="4">
        <v>4648</v>
      </c>
      <c r="D2441" s="5" t="s">
        <v>93</v>
      </c>
      <c r="E2441" s="6" t="s">
        <v>3753</v>
      </c>
      <c r="AP2441" s="4" t="s">
        <v>376</v>
      </c>
      <c r="AR2441" s="4" t="s">
        <v>377</v>
      </c>
    </row>
    <row r="2442" spans="1:44">
      <c r="A2442" s="4" t="s">
        <v>5</v>
      </c>
      <c r="C2442" s="4">
        <v>2089</v>
      </c>
      <c r="D2442" s="5" t="s">
        <v>93</v>
      </c>
      <c r="E2442" s="6" t="s">
        <v>3754</v>
      </c>
      <c r="AP2442" s="4" t="s">
        <v>376</v>
      </c>
      <c r="AR2442" s="4" t="s">
        <v>377</v>
      </c>
    </row>
    <row r="2443" spans="1:44">
      <c r="A2443" s="4" t="s">
        <v>5</v>
      </c>
      <c r="C2443" s="4">
        <v>636</v>
      </c>
      <c r="D2443" s="5" t="s">
        <v>93</v>
      </c>
      <c r="E2443" s="6" t="s">
        <v>3755</v>
      </c>
      <c r="AP2443" s="4" t="s">
        <v>376</v>
      </c>
      <c r="AR2443" s="4" t="s">
        <v>377</v>
      </c>
    </row>
    <row r="2444" spans="1:44">
      <c r="A2444" s="4" t="s">
        <v>5</v>
      </c>
      <c r="C2444" s="4">
        <v>1766</v>
      </c>
      <c r="D2444" s="5" t="s">
        <v>93</v>
      </c>
      <c r="E2444" s="6" t="s">
        <v>3756</v>
      </c>
      <c r="AP2444" s="4" t="s">
        <v>376</v>
      </c>
      <c r="AR2444" s="4" t="s">
        <v>377</v>
      </c>
    </row>
    <row r="2445" spans="1:44" ht="30">
      <c r="A2445" s="4" t="s">
        <v>5</v>
      </c>
      <c r="C2445" s="4">
        <v>2895</v>
      </c>
      <c r="D2445" s="5" t="s">
        <v>93</v>
      </c>
      <c r="E2445" s="6" t="s">
        <v>3757</v>
      </c>
      <c r="AP2445" s="4" t="s">
        <v>376</v>
      </c>
      <c r="AR2445" s="4" t="s">
        <v>377</v>
      </c>
    </row>
    <row r="2446" spans="1:44">
      <c r="A2446" s="4" t="s">
        <v>5</v>
      </c>
      <c r="C2446" s="4">
        <v>2812</v>
      </c>
      <c r="D2446" s="5" t="s">
        <v>93</v>
      </c>
      <c r="E2446" s="6" t="s">
        <v>3758</v>
      </c>
      <c r="F2446" s="5" t="s">
        <v>3759</v>
      </c>
      <c r="AP2446" s="4" t="s">
        <v>376</v>
      </c>
      <c r="AR2446" s="4" t="s">
        <v>377</v>
      </c>
    </row>
    <row r="2447" spans="1:44">
      <c r="A2447" s="4" t="s">
        <v>5</v>
      </c>
      <c r="C2447" s="4">
        <v>2787</v>
      </c>
      <c r="D2447" s="5" t="s">
        <v>93</v>
      </c>
      <c r="E2447" s="6" t="s">
        <v>3760</v>
      </c>
      <c r="AP2447" s="4" t="s">
        <v>376</v>
      </c>
      <c r="AR2447" s="4" t="s">
        <v>377</v>
      </c>
    </row>
    <row r="2448" spans="1:44">
      <c r="A2448" s="4" t="s">
        <v>5</v>
      </c>
      <c r="C2448" s="4">
        <v>3205</v>
      </c>
      <c r="D2448" s="5" t="s">
        <v>93</v>
      </c>
      <c r="E2448" s="6" t="s">
        <v>3761</v>
      </c>
      <c r="F2448" s="5" t="s">
        <v>3762</v>
      </c>
      <c r="AP2448" s="4" t="s">
        <v>376</v>
      </c>
      <c r="AR2448" s="4" t="s">
        <v>377</v>
      </c>
    </row>
    <row r="2449" spans="1:44">
      <c r="A2449" s="4" t="s">
        <v>5</v>
      </c>
      <c r="C2449" s="4">
        <v>2703</v>
      </c>
      <c r="D2449" s="5" t="s">
        <v>93</v>
      </c>
      <c r="E2449" s="6" t="s">
        <v>3763</v>
      </c>
      <c r="AP2449" s="4" t="s">
        <v>376</v>
      </c>
      <c r="AR2449" s="4" t="s">
        <v>377</v>
      </c>
    </row>
    <row r="2450" spans="1:44">
      <c r="A2450" s="4" t="s">
        <v>5</v>
      </c>
      <c r="C2450" s="4">
        <v>6748</v>
      </c>
      <c r="D2450" s="5" t="s">
        <v>93</v>
      </c>
      <c r="E2450" s="6" t="s">
        <v>3764</v>
      </c>
      <c r="AP2450" s="4" t="s">
        <v>376</v>
      </c>
      <c r="AR2450" s="4" t="s">
        <v>377</v>
      </c>
    </row>
    <row r="2451" spans="1:44">
      <c r="A2451" s="4" t="s">
        <v>5</v>
      </c>
      <c r="C2451" s="4">
        <v>3642</v>
      </c>
      <c r="D2451" s="5" t="s">
        <v>93</v>
      </c>
      <c r="E2451" s="6" t="s">
        <v>3765</v>
      </c>
      <c r="Z2451" s="4" t="s">
        <v>447</v>
      </c>
      <c r="AA2451" s="4" t="s">
        <v>448</v>
      </c>
      <c r="AP2451" s="4" t="s">
        <v>376</v>
      </c>
      <c r="AR2451" s="4" t="s">
        <v>377</v>
      </c>
    </row>
    <row r="2452" spans="1:44">
      <c r="A2452" s="4" t="s">
        <v>5</v>
      </c>
      <c r="C2452" s="4">
        <v>2268</v>
      </c>
      <c r="D2452" s="5" t="s">
        <v>93</v>
      </c>
      <c r="E2452" s="6" t="s">
        <v>3766</v>
      </c>
      <c r="F2452" s="5" t="s">
        <v>3767</v>
      </c>
      <c r="Z2452" s="4" t="s">
        <v>447</v>
      </c>
      <c r="AA2452" s="4" t="s">
        <v>448</v>
      </c>
      <c r="AP2452" s="4" t="s">
        <v>376</v>
      </c>
      <c r="AR2452" s="4" t="s">
        <v>377</v>
      </c>
    </row>
    <row r="2453" spans="1:44">
      <c r="A2453" s="4" t="s">
        <v>5</v>
      </c>
      <c r="C2453" s="4">
        <v>2177</v>
      </c>
      <c r="D2453" s="5" t="s">
        <v>93</v>
      </c>
      <c r="E2453" s="6" t="s">
        <v>3768</v>
      </c>
      <c r="F2453" s="5" t="s">
        <v>3769</v>
      </c>
      <c r="Z2453" s="4" t="s">
        <v>443</v>
      </c>
      <c r="AA2453" s="4" t="s">
        <v>444</v>
      </c>
      <c r="AP2453" s="4" t="s">
        <v>376</v>
      </c>
      <c r="AR2453" s="4" t="s">
        <v>377</v>
      </c>
    </row>
    <row r="2454" spans="1:44">
      <c r="A2454" s="4" t="s">
        <v>5</v>
      </c>
      <c r="C2454" s="4">
        <v>4338</v>
      </c>
      <c r="D2454" s="5" t="s">
        <v>93</v>
      </c>
      <c r="E2454" s="6" t="s">
        <v>3770</v>
      </c>
      <c r="F2454" s="5" t="s">
        <v>3771</v>
      </c>
      <c r="AP2454" s="4" t="s">
        <v>376</v>
      </c>
      <c r="AR2454" s="4" t="s">
        <v>377</v>
      </c>
    </row>
    <row r="2455" spans="1:44">
      <c r="A2455" s="4" t="s">
        <v>5</v>
      </c>
      <c r="C2455" s="4">
        <v>6727</v>
      </c>
      <c r="D2455" s="5" t="s">
        <v>93</v>
      </c>
      <c r="E2455" s="6" t="s">
        <v>3772</v>
      </c>
      <c r="F2455" s="5" t="s">
        <v>3773</v>
      </c>
      <c r="AP2455" s="4" t="s">
        <v>376</v>
      </c>
      <c r="AR2455" s="4" t="s">
        <v>377</v>
      </c>
    </row>
    <row r="2456" spans="1:44">
      <c r="A2456" s="4" t="s">
        <v>5</v>
      </c>
      <c r="C2456" s="4">
        <v>1583</v>
      </c>
      <c r="D2456" s="5" t="s">
        <v>93</v>
      </c>
      <c r="E2456" s="6" t="s">
        <v>3774</v>
      </c>
      <c r="AP2456" s="4" t="s">
        <v>376</v>
      </c>
      <c r="AR2456" s="4" t="s">
        <v>377</v>
      </c>
    </row>
    <row r="2457" spans="1:44">
      <c r="A2457" s="4" t="s">
        <v>5</v>
      </c>
      <c r="C2457" s="4">
        <v>5163</v>
      </c>
      <c r="D2457" s="5" t="s">
        <v>93</v>
      </c>
      <c r="E2457" s="6" t="s">
        <v>3775</v>
      </c>
      <c r="AP2457" s="4" t="s">
        <v>376</v>
      </c>
      <c r="AR2457" s="4" t="s">
        <v>377</v>
      </c>
    </row>
    <row r="2458" spans="1:44">
      <c r="A2458" s="4" t="s">
        <v>5</v>
      </c>
      <c r="C2458" s="4">
        <v>1397</v>
      </c>
      <c r="D2458" s="5" t="s">
        <v>93</v>
      </c>
      <c r="E2458" s="6" t="s">
        <v>3776</v>
      </c>
      <c r="AP2458" s="4" t="s">
        <v>376</v>
      </c>
      <c r="AR2458" s="4" t="s">
        <v>377</v>
      </c>
    </row>
    <row r="2459" spans="1:44">
      <c r="A2459" s="4" t="s">
        <v>5</v>
      </c>
      <c r="C2459" s="4">
        <v>3405</v>
      </c>
      <c r="D2459" s="5" t="s">
        <v>93</v>
      </c>
      <c r="E2459" s="6" t="s">
        <v>3777</v>
      </c>
      <c r="AP2459" s="4" t="s">
        <v>376</v>
      </c>
      <c r="AR2459" s="4" t="s">
        <v>377</v>
      </c>
    </row>
    <row r="2460" spans="1:44">
      <c r="A2460" s="4" t="s">
        <v>5</v>
      </c>
      <c r="C2460" s="4">
        <v>2911</v>
      </c>
      <c r="D2460" s="5" t="s">
        <v>93</v>
      </c>
      <c r="E2460" s="6" t="s">
        <v>3778</v>
      </c>
      <c r="AP2460" s="4" t="s">
        <v>376</v>
      </c>
      <c r="AR2460" s="4" t="s">
        <v>377</v>
      </c>
    </row>
    <row r="2461" spans="1:44">
      <c r="A2461" s="4" t="s">
        <v>5</v>
      </c>
      <c r="C2461" s="4">
        <v>1949</v>
      </c>
      <c r="D2461" s="5" t="s">
        <v>93</v>
      </c>
      <c r="E2461" s="6" t="s">
        <v>3779</v>
      </c>
      <c r="F2461" s="5" t="s">
        <v>3780</v>
      </c>
      <c r="AP2461" s="4" t="s">
        <v>376</v>
      </c>
      <c r="AR2461" s="4" t="s">
        <v>377</v>
      </c>
    </row>
    <row r="2462" spans="1:44" ht="30">
      <c r="A2462" s="4" t="s">
        <v>5</v>
      </c>
      <c r="C2462" s="4">
        <v>6859</v>
      </c>
      <c r="D2462" s="5" t="s">
        <v>93</v>
      </c>
      <c r="E2462" s="6" t="s">
        <v>3781</v>
      </c>
      <c r="AP2462" s="4" t="s">
        <v>376</v>
      </c>
      <c r="AR2462" s="4" t="s">
        <v>377</v>
      </c>
    </row>
    <row r="2463" spans="1:44">
      <c r="A2463" s="4" t="s">
        <v>5</v>
      </c>
      <c r="C2463" s="4">
        <v>3971</v>
      </c>
      <c r="D2463" s="5" t="s">
        <v>93</v>
      </c>
      <c r="E2463" s="6" t="s">
        <v>3782</v>
      </c>
      <c r="AP2463" s="4" t="s">
        <v>376</v>
      </c>
      <c r="AR2463" s="4" t="s">
        <v>377</v>
      </c>
    </row>
    <row r="2464" spans="1:44">
      <c r="A2464" s="4" t="s">
        <v>5</v>
      </c>
      <c r="C2464" s="4">
        <v>4313</v>
      </c>
      <c r="D2464" s="5" t="s">
        <v>93</v>
      </c>
      <c r="E2464" s="6" t="s">
        <v>3783</v>
      </c>
      <c r="Z2464" s="4" t="s">
        <v>443</v>
      </c>
      <c r="AA2464" s="4" t="s">
        <v>444</v>
      </c>
      <c r="AP2464" s="4" t="s">
        <v>376</v>
      </c>
      <c r="AR2464" s="4" t="s">
        <v>377</v>
      </c>
    </row>
    <row r="2465" spans="1:44">
      <c r="A2465" s="4" t="s">
        <v>5</v>
      </c>
      <c r="C2465" s="4">
        <v>4346</v>
      </c>
      <c r="D2465" s="5" t="s">
        <v>93</v>
      </c>
      <c r="E2465" s="6" t="s">
        <v>3784</v>
      </c>
      <c r="AP2465" s="4" t="s">
        <v>376</v>
      </c>
      <c r="AR2465" s="4" t="s">
        <v>377</v>
      </c>
    </row>
    <row r="2466" spans="1:44" ht="30">
      <c r="A2466" s="4" t="s">
        <v>5</v>
      </c>
      <c r="C2466" s="4">
        <v>5149</v>
      </c>
      <c r="D2466" s="5" t="s">
        <v>93</v>
      </c>
      <c r="E2466" s="6" t="s">
        <v>3785</v>
      </c>
      <c r="AP2466" s="4" t="s">
        <v>376</v>
      </c>
      <c r="AR2466" s="4" t="s">
        <v>377</v>
      </c>
    </row>
    <row r="2467" spans="1:44" ht="30">
      <c r="A2467" s="4" t="s">
        <v>5</v>
      </c>
      <c r="C2467" s="4">
        <v>5210</v>
      </c>
      <c r="D2467" s="5" t="s">
        <v>93</v>
      </c>
      <c r="E2467" s="6" t="s">
        <v>3786</v>
      </c>
      <c r="F2467" s="5" t="s">
        <v>3787</v>
      </c>
      <c r="AP2467" s="4" t="s">
        <v>376</v>
      </c>
      <c r="AR2467" s="4" t="s">
        <v>377</v>
      </c>
    </row>
    <row r="2468" spans="1:44">
      <c r="A2468" s="4" t="s">
        <v>5</v>
      </c>
      <c r="C2468" s="4">
        <v>2036</v>
      </c>
      <c r="D2468" s="5" t="s">
        <v>93</v>
      </c>
      <c r="E2468" s="6" t="s">
        <v>3788</v>
      </c>
      <c r="AP2468" s="4" t="s">
        <v>376</v>
      </c>
      <c r="AR2468" s="4" t="s">
        <v>377</v>
      </c>
    </row>
    <row r="2469" spans="1:44">
      <c r="A2469" s="4" t="s">
        <v>5</v>
      </c>
      <c r="C2469" s="4">
        <v>6345</v>
      </c>
      <c r="D2469" s="5" t="s">
        <v>93</v>
      </c>
      <c r="E2469" s="6" t="s">
        <v>3789</v>
      </c>
      <c r="F2469" s="5" t="s">
        <v>3790</v>
      </c>
      <c r="AP2469" s="4" t="s">
        <v>376</v>
      </c>
      <c r="AR2469" s="4" t="s">
        <v>377</v>
      </c>
    </row>
    <row r="2470" spans="1:44">
      <c r="A2470" s="4" t="s">
        <v>5</v>
      </c>
      <c r="C2470" s="4">
        <v>5161</v>
      </c>
      <c r="D2470" s="5" t="s">
        <v>93</v>
      </c>
      <c r="E2470" s="6" t="s">
        <v>3791</v>
      </c>
      <c r="AP2470" s="4" t="s">
        <v>376</v>
      </c>
      <c r="AR2470" s="4" t="s">
        <v>377</v>
      </c>
    </row>
    <row r="2471" spans="1:44">
      <c r="A2471" s="4" t="s">
        <v>5</v>
      </c>
      <c r="C2471" s="4">
        <v>95</v>
      </c>
      <c r="D2471" s="5" t="s">
        <v>93</v>
      </c>
      <c r="E2471" s="6" t="s">
        <v>3792</v>
      </c>
      <c r="F2471" s="5" t="s">
        <v>3793</v>
      </c>
      <c r="AP2471" s="4" t="s">
        <v>376</v>
      </c>
      <c r="AR2471" s="4" t="s">
        <v>377</v>
      </c>
    </row>
    <row r="2472" spans="1:44">
      <c r="A2472" s="4" t="s">
        <v>5</v>
      </c>
      <c r="C2472" s="4">
        <v>2445</v>
      </c>
      <c r="D2472" s="5" t="s">
        <v>93</v>
      </c>
      <c r="E2472" s="6" t="s">
        <v>3794</v>
      </c>
      <c r="Z2472" s="4" t="s">
        <v>447</v>
      </c>
      <c r="AA2472" s="4" t="s">
        <v>448</v>
      </c>
      <c r="AP2472" s="4" t="s">
        <v>376</v>
      </c>
      <c r="AR2472" s="4" t="s">
        <v>377</v>
      </c>
    </row>
    <row r="2473" spans="1:44">
      <c r="A2473" s="4" t="s">
        <v>5</v>
      </c>
      <c r="C2473" s="4">
        <v>5730</v>
      </c>
      <c r="D2473" s="5" t="s">
        <v>93</v>
      </c>
      <c r="E2473" s="6" t="s">
        <v>3795</v>
      </c>
      <c r="AP2473" s="4" t="s">
        <v>376</v>
      </c>
      <c r="AR2473" s="4" t="s">
        <v>377</v>
      </c>
    </row>
    <row r="2474" spans="1:44">
      <c r="A2474" s="4" t="s">
        <v>5</v>
      </c>
      <c r="C2474" s="4">
        <v>1097</v>
      </c>
      <c r="D2474" s="5" t="s">
        <v>93</v>
      </c>
      <c r="E2474" s="6" t="s">
        <v>3796</v>
      </c>
      <c r="AP2474" s="4" t="s">
        <v>376</v>
      </c>
      <c r="AR2474" s="4" t="s">
        <v>377</v>
      </c>
    </row>
    <row r="2475" spans="1:44" ht="30">
      <c r="A2475" s="4" t="s">
        <v>5</v>
      </c>
      <c r="C2475" s="4">
        <v>5716</v>
      </c>
      <c r="D2475" s="5" t="s">
        <v>93</v>
      </c>
      <c r="E2475" s="6" t="s">
        <v>3797</v>
      </c>
      <c r="AP2475" s="4" t="s">
        <v>376</v>
      </c>
      <c r="AR2475" s="4" t="s">
        <v>377</v>
      </c>
    </row>
    <row r="2476" spans="1:44">
      <c r="A2476" s="4" t="s">
        <v>5</v>
      </c>
      <c r="C2476" s="4">
        <v>6434</v>
      </c>
      <c r="D2476" s="5" t="s">
        <v>93</v>
      </c>
      <c r="E2476" s="6" t="s">
        <v>3798</v>
      </c>
      <c r="AP2476" s="4" t="s">
        <v>376</v>
      </c>
      <c r="AR2476" s="4" t="s">
        <v>377</v>
      </c>
    </row>
    <row r="2477" spans="1:44" ht="30">
      <c r="A2477" s="4" t="s">
        <v>5</v>
      </c>
      <c r="C2477" s="4">
        <v>4681</v>
      </c>
      <c r="D2477" s="5" t="s">
        <v>93</v>
      </c>
      <c r="E2477" s="6" t="s">
        <v>3799</v>
      </c>
      <c r="Z2477" s="4" t="s">
        <v>443</v>
      </c>
      <c r="AA2477" s="4" t="s">
        <v>444</v>
      </c>
      <c r="AP2477" s="4" t="s">
        <v>376</v>
      </c>
      <c r="AR2477" s="4" t="s">
        <v>377</v>
      </c>
    </row>
    <row r="2478" spans="1:44" ht="30">
      <c r="A2478" s="4" t="s">
        <v>5</v>
      </c>
      <c r="C2478" s="4">
        <v>4836</v>
      </c>
      <c r="D2478" s="5" t="s">
        <v>93</v>
      </c>
      <c r="E2478" s="6" t="s">
        <v>3800</v>
      </c>
      <c r="AP2478" s="4" t="s">
        <v>376</v>
      </c>
      <c r="AR2478" s="4" t="s">
        <v>377</v>
      </c>
    </row>
    <row r="2479" spans="1:44">
      <c r="A2479" s="4" t="s">
        <v>5</v>
      </c>
      <c r="C2479" s="4">
        <v>6625</v>
      </c>
      <c r="D2479" s="5" t="s">
        <v>93</v>
      </c>
      <c r="E2479" s="6" t="s">
        <v>3801</v>
      </c>
      <c r="AP2479" s="4" t="s">
        <v>376</v>
      </c>
      <c r="AR2479" s="4" t="s">
        <v>377</v>
      </c>
    </row>
    <row r="2480" spans="1:44">
      <c r="A2480" s="4" t="s">
        <v>5</v>
      </c>
      <c r="C2480" s="4">
        <v>6404</v>
      </c>
      <c r="D2480" s="5" t="s">
        <v>93</v>
      </c>
      <c r="E2480" s="6" t="s">
        <v>3802</v>
      </c>
      <c r="F2480" s="5" t="s">
        <v>3803</v>
      </c>
      <c r="AP2480" s="4" t="s">
        <v>376</v>
      </c>
      <c r="AR2480" s="4" t="s">
        <v>377</v>
      </c>
    </row>
    <row r="2481" spans="1:44" ht="30">
      <c r="A2481" s="4" t="s">
        <v>5</v>
      </c>
      <c r="C2481" s="4">
        <v>2756</v>
      </c>
      <c r="D2481" s="5" t="s">
        <v>93</v>
      </c>
      <c r="E2481" s="6" t="s">
        <v>3804</v>
      </c>
      <c r="AP2481" s="4" t="s">
        <v>376</v>
      </c>
      <c r="AR2481" s="4" t="s">
        <v>377</v>
      </c>
    </row>
    <row r="2482" spans="1:44" ht="30">
      <c r="A2482" s="4" t="s">
        <v>5</v>
      </c>
      <c r="C2482" s="4">
        <v>5394</v>
      </c>
      <c r="D2482" s="5" t="s">
        <v>93</v>
      </c>
      <c r="E2482" s="6" t="s">
        <v>3805</v>
      </c>
      <c r="AP2482" s="4" t="s">
        <v>376</v>
      </c>
      <c r="AR2482" s="4" t="s">
        <v>377</v>
      </c>
    </row>
    <row r="2483" spans="1:44" ht="30">
      <c r="A2483" s="4" t="s">
        <v>5</v>
      </c>
      <c r="C2483" s="4">
        <v>3340</v>
      </c>
      <c r="D2483" s="5" t="s">
        <v>93</v>
      </c>
      <c r="E2483" s="6" t="s">
        <v>3806</v>
      </c>
      <c r="F2483" s="5" t="s">
        <v>3807</v>
      </c>
      <c r="AP2483" s="4" t="s">
        <v>376</v>
      </c>
      <c r="AR2483" s="4" t="s">
        <v>377</v>
      </c>
    </row>
    <row r="2484" spans="1:44">
      <c r="A2484" s="4" t="s">
        <v>5</v>
      </c>
      <c r="C2484" s="4">
        <v>590</v>
      </c>
      <c r="D2484" s="5" t="s">
        <v>93</v>
      </c>
      <c r="E2484" s="6" t="s">
        <v>3808</v>
      </c>
      <c r="F2484" s="5" t="s">
        <v>3809</v>
      </c>
      <c r="Z2484" s="4" t="s">
        <v>443</v>
      </c>
      <c r="AA2484" s="4" t="s">
        <v>444</v>
      </c>
      <c r="AP2484" s="4" t="s">
        <v>376</v>
      </c>
      <c r="AR2484" s="4" t="s">
        <v>377</v>
      </c>
    </row>
    <row r="2485" spans="1:44">
      <c r="A2485" s="4" t="s">
        <v>5</v>
      </c>
      <c r="C2485" s="4">
        <v>6506</v>
      </c>
      <c r="D2485" s="5" t="s">
        <v>93</v>
      </c>
      <c r="E2485" s="6" t="s">
        <v>3810</v>
      </c>
      <c r="AP2485" s="4" t="s">
        <v>376</v>
      </c>
      <c r="AR2485" s="4" t="s">
        <v>377</v>
      </c>
    </row>
    <row r="2486" spans="1:44">
      <c r="A2486" s="4" t="s">
        <v>5</v>
      </c>
      <c r="C2486" s="4">
        <v>690</v>
      </c>
      <c r="D2486" s="5" t="s">
        <v>93</v>
      </c>
      <c r="E2486" s="6" t="s">
        <v>3811</v>
      </c>
      <c r="AP2486" s="4" t="s">
        <v>376</v>
      </c>
      <c r="AR2486" s="4" t="s">
        <v>377</v>
      </c>
    </row>
    <row r="2487" spans="1:44">
      <c r="A2487" s="4" t="s">
        <v>5</v>
      </c>
      <c r="C2487" s="4">
        <v>2415</v>
      </c>
      <c r="D2487" s="5" t="s">
        <v>93</v>
      </c>
      <c r="E2487" s="6" t="s">
        <v>3812</v>
      </c>
      <c r="F2487" s="5" t="s">
        <v>3813</v>
      </c>
      <c r="Z2487" s="4" t="s">
        <v>695</v>
      </c>
      <c r="AA2487" s="4" t="s">
        <v>696</v>
      </c>
      <c r="AP2487" s="4" t="s">
        <v>376</v>
      </c>
      <c r="AR2487" s="4" t="s">
        <v>377</v>
      </c>
    </row>
    <row r="2488" spans="1:44">
      <c r="A2488" s="4" t="s">
        <v>5</v>
      </c>
      <c r="C2488" s="4">
        <v>1139</v>
      </c>
      <c r="D2488" s="5" t="s">
        <v>93</v>
      </c>
      <c r="E2488" s="6" t="s">
        <v>3814</v>
      </c>
      <c r="AP2488" s="4" t="s">
        <v>376</v>
      </c>
      <c r="AR2488" s="4" t="s">
        <v>377</v>
      </c>
    </row>
    <row r="2489" spans="1:44">
      <c r="A2489" s="4" t="s">
        <v>5</v>
      </c>
      <c r="C2489" s="4">
        <v>2291</v>
      </c>
      <c r="D2489" s="5" t="s">
        <v>93</v>
      </c>
      <c r="E2489" s="6" t="s">
        <v>3815</v>
      </c>
      <c r="AP2489" s="4" t="s">
        <v>376</v>
      </c>
      <c r="AR2489" s="4" t="s">
        <v>377</v>
      </c>
    </row>
    <row r="2490" spans="1:44" ht="30">
      <c r="A2490" s="4" t="s">
        <v>5</v>
      </c>
      <c r="C2490" s="4">
        <v>6914</v>
      </c>
      <c r="D2490" s="5" t="s">
        <v>93</v>
      </c>
      <c r="E2490" s="6" t="s">
        <v>3816</v>
      </c>
      <c r="AP2490" s="4" t="s">
        <v>376</v>
      </c>
      <c r="AR2490" s="4" t="s">
        <v>377</v>
      </c>
    </row>
    <row r="2491" spans="1:44">
      <c r="A2491" s="4" t="s">
        <v>5</v>
      </c>
      <c r="C2491" s="4">
        <v>5999</v>
      </c>
      <c r="D2491" s="5" t="s">
        <v>93</v>
      </c>
      <c r="E2491" s="6" t="s">
        <v>3817</v>
      </c>
      <c r="AP2491" s="4" t="s">
        <v>376</v>
      </c>
      <c r="AR2491" s="4" t="s">
        <v>377</v>
      </c>
    </row>
    <row r="2492" spans="1:44">
      <c r="A2492" s="4" t="s">
        <v>5</v>
      </c>
      <c r="C2492" s="4">
        <v>3942</v>
      </c>
      <c r="D2492" s="5" t="s">
        <v>93</v>
      </c>
      <c r="E2492" s="6" t="s">
        <v>3818</v>
      </c>
      <c r="AP2492" s="4" t="s">
        <v>376</v>
      </c>
      <c r="AR2492" s="4" t="s">
        <v>377</v>
      </c>
    </row>
    <row r="2493" spans="1:44">
      <c r="A2493" s="4" t="s">
        <v>5</v>
      </c>
      <c r="C2493" s="4">
        <v>1792</v>
      </c>
      <c r="D2493" s="5" t="s">
        <v>93</v>
      </c>
      <c r="E2493" s="6" t="s">
        <v>3819</v>
      </c>
      <c r="F2493" s="5" t="s">
        <v>3820</v>
      </c>
      <c r="AP2493" s="4" t="s">
        <v>376</v>
      </c>
      <c r="AR2493" s="4" t="s">
        <v>377</v>
      </c>
    </row>
    <row r="2494" spans="1:44">
      <c r="A2494" s="4" t="s">
        <v>5</v>
      </c>
      <c r="C2494" s="4">
        <v>5004</v>
      </c>
      <c r="D2494" s="5" t="s">
        <v>93</v>
      </c>
      <c r="E2494" s="6" t="s">
        <v>3821</v>
      </c>
      <c r="F2494" s="5" t="s">
        <v>3822</v>
      </c>
      <c r="AP2494" s="4" t="s">
        <v>376</v>
      </c>
      <c r="AR2494" s="4" t="s">
        <v>377</v>
      </c>
    </row>
    <row r="2495" spans="1:44" ht="30">
      <c r="A2495" s="4" t="s">
        <v>5</v>
      </c>
      <c r="C2495" s="4">
        <v>1253</v>
      </c>
      <c r="D2495" s="5" t="s">
        <v>93</v>
      </c>
      <c r="E2495" s="6" t="s">
        <v>3823</v>
      </c>
      <c r="AP2495" s="4" t="s">
        <v>376</v>
      </c>
      <c r="AR2495" s="4" t="s">
        <v>377</v>
      </c>
    </row>
    <row r="2496" spans="1:44">
      <c r="A2496" s="4" t="s">
        <v>5</v>
      </c>
      <c r="C2496" s="4">
        <v>5274</v>
      </c>
      <c r="D2496" s="5" t="s">
        <v>93</v>
      </c>
      <c r="E2496" s="6" t="s">
        <v>3824</v>
      </c>
      <c r="AP2496" s="4" t="s">
        <v>376</v>
      </c>
      <c r="AR2496" s="4" t="s">
        <v>377</v>
      </c>
    </row>
    <row r="2497" spans="1:44" ht="30">
      <c r="A2497" s="4" t="s">
        <v>5</v>
      </c>
      <c r="C2497" s="4">
        <v>854</v>
      </c>
      <c r="D2497" s="5" t="s">
        <v>93</v>
      </c>
      <c r="E2497" s="6" t="s">
        <v>3825</v>
      </c>
      <c r="F2497" s="5" t="s">
        <v>3826</v>
      </c>
      <c r="AP2497" s="4" t="s">
        <v>376</v>
      </c>
      <c r="AR2497" s="4" t="s">
        <v>377</v>
      </c>
    </row>
    <row r="2498" spans="1:44">
      <c r="A2498" s="4" t="s">
        <v>5</v>
      </c>
      <c r="C2498" s="4">
        <v>1923</v>
      </c>
      <c r="D2498" s="5" t="s">
        <v>93</v>
      </c>
      <c r="E2498" s="6" t="s">
        <v>3827</v>
      </c>
      <c r="AP2498" s="4" t="s">
        <v>376</v>
      </c>
      <c r="AR2498" s="4" t="s">
        <v>377</v>
      </c>
    </row>
    <row r="2499" spans="1:44" ht="30">
      <c r="A2499" s="4" t="s">
        <v>5</v>
      </c>
      <c r="C2499" s="4">
        <v>6099</v>
      </c>
      <c r="D2499" s="5" t="s">
        <v>93</v>
      </c>
      <c r="E2499" s="6" t="s">
        <v>3828</v>
      </c>
      <c r="F2499" s="5" t="s">
        <v>3829</v>
      </c>
      <c r="AP2499" s="4" t="s">
        <v>376</v>
      </c>
      <c r="AR2499" s="4" t="s">
        <v>377</v>
      </c>
    </row>
    <row r="2500" spans="1:44">
      <c r="A2500" s="4" t="s">
        <v>5</v>
      </c>
      <c r="C2500" s="4">
        <v>173</v>
      </c>
      <c r="D2500" s="5" t="s">
        <v>93</v>
      </c>
      <c r="E2500" s="6" t="s">
        <v>3830</v>
      </c>
      <c r="F2500" s="5" t="s">
        <v>3831</v>
      </c>
      <c r="AP2500" s="4" t="s">
        <v>376</v>
      </c>
      <c r="AR2500" s="4" t="s">
        <v>377</v>
      </c>
    </row>
    <row r="2501" spans="1:44">
      <c r="A2501" s="4" t="s">
        <v>5</v>
      </c>
      <c r="C2501" s="4">
        <v>6667</v>
      </c>
      <c r="D2501" s="5" t="s">
        <v>93</v>
      </c>
      <c r="E2501" s="6" t="s">
        <v>3832</v>
      </c>
      <c r="AP2501" s="4" t="s">
        <v>376</v>
      </c>
      <c r="AR2501" s="4" t="s">
        <v>377</v>
      </c>
    </row>
    <row r="2502" spans="1:44">
      <c r="A2502" s="4" t="s">
        <v>5</v>
      </c>
      <c r="C2502" s="4">
        <v>3013</v>
      </c>
      <c r="D2502" s="5" t="s">
        <v>93</v>
      </c>
      <c r="E2502" s="6" t="s">
        <v>3833</v>
      </c>
      <c r="F2502" s="5" t="s">
        <v>3834</v>
      </c>
      <c r="Z2502" s="4" t="s">
        <v>447</v>
      </c>
      <c r="AA2502" s="4" t="s">
        <v>448</v>
      </c>
      <c r="AP2502" s="4" t="s">
        <v>376</v>
      </c>
      <c r="AR2502" s="4" t="s">
        <v>377</v>
      </c>
    </row>
    <row r="2503" spans="1:44">
      <c r="A2503" s="4" t="s">
        <v>5</v>
      </c>
      <c r="C2503" s="4">
        <v>6780</v>
      </c>
      <c r="D2503" s="5" t="s">
        <v>93</v>
      </c>
      <c r="E2503" s="6" t="s">
        <v>3835</v>
      </c>
      <c r="AP2503" s="4" t="s">
        <v>376</v>
      </c>
      <c r="AR2503" s="4" t="s">
        <v>377</v>
      </c>
    </row>
    <row r="2504" spans="1:44">
      <c r="A2504" s="4" t="s">
        <v>5</v>
      </c>
      <c r="C2504" s="4">
        <v>5876</v>
      </c>
      <c r="D2504" s="5" t="s">
        <v>93</v>
      </c>
      <c r="E2504" s="6" t="s">
        <v>3836</v>
      </c>
      <c r="AP2504" s="4" t="s">
        <v>376</v>
      </c>
      <c r="AR2504" s="4" t="s">
        <v>377</v>
      </c>
    </row>
    <row r="2505" spans="1:44" ht="30">
      <c r="A2505" s="4" t="s">
        <v>5</v>
      </c>
      <c r="C2505" s="4">
        <v>3192</v>
      </c>
      <c r="D2505" s="5" t="s">
        <v>93</v>
      </c>
      <c r="E2505" s="6" t="s">
        <v>3837</v>
      </c>
      <c r="Z2505" s="4" t="s">
        <v>447</v>
      </c>
      <c r="AA2505" s="4" t="s">
        <v>448</v>
      </c>
      <c r="AP2505" s="4" t="s">
        <v>376</v>
      </c>
      <c r="AR2505" s="4" t="s">
        <v>377</v>
      </c>
    </row>
    <row r="2506" spans="1:44">
      <c r="A2506" s="4" t="s">
        <v>5</v>
      </c>
      <c r="C2506" s="4">
        <v>148</v>
      </c>
      <c r="D2506" s="5" t="s">
        <v>93</v>
      </c>
      <c r="E2506" s="6" t="s">
        <v>3838</v>
      </c>
      <c r="F2506" s="5" t="s">
        <v>3839</v>
      </c>
      <c r="AP2506" s="4" t="s">
        <v>376</v>
      </c>
      <c r="AR2506" s="4" t="s">
        <v>377</v>
      </c>
    </row>
    <row r="2507" spans="1:44">
      <c r="A2507" s="4" t="s">
        <v>5</v>
      </c>
      <c r="C2507" s="4">
        <v>6512</v>
      </c>
      <c r="D2507" s="5" t="s">
        <v>93</v>
      </c>
      <c r="E2507" s="6" t="s">
        <v>3840</v>
      </c>
      <c r="F2507" s="5" t="s">
        <v>3841</v>
      </c>
      <c r="AP2507" s="4" t="s">
        <v>376</v>
      </c>
      <c r="AR2507" s="4" t="s">
        <v>377</v>
      </c>
    </row>
    <row r="2508" spans="1:44">
      <c r="A2508" s="4" t="s">
        <v>5</v>
      </c>
      <c r="C2508" s="4">
        <v>1626</v>
      </c>
      <c r="D2508" s="5" t="s">
        <v>93</v>
      </c>
      <c r="E2508" s="6" t="s">
        <v>3842</v>
      </c>
      <c r="AP2508" s="4" t="s">
        <v>376</v>
      </c>
      <c r="AR2508" s="4" t="s">
        <v>377</v>
      </c>
    </row>
    <row r="2509" spans="1:44" ht="30">
      <c r="A2509" s="4" t="s">
        <v>5</v>
      </c>
      <c r="C2509" s="4">
        <v>4380</v>
      </c>
      <c r="D2509" s="5" t="s">
        <v>93</v>
      </c>
      <c r="E2509" s="6" t="s">
        <v>3843</v>
      </c>
      <c r="AP2509" s="4" t="s">
        <v>376</v>
      </c>
      <c r="AR2509" s="4" t="s">
        <v>377</v>
      </c>
    </row>
    <row r="2510" spans="1:44">
      <c r="A2510" s="4" t="s">
        <v>5</v>
      </c>
      <c r="C2510" s="4">
        <v>1620</v>
      </c>
      <c r="D2510" s="5" t="s">
        <v>93</v>
      </c>
      <c r="E2510" s="6" t="s">
        <v>3844</v>
      </c>
      <c r="AP2510" s="4" t="s">
        <v>376</v>
      </c>
      <c r="AR2510" s="4" t="s">
        <v>377</v>
      </c>
    </row>
    <row r="2511" spans="1:44" ht="30">
      <c r="A2511" s="4" t="s">
        <v>5</v>
      </c>
      <c r="C2511" s="4">
        <v>4795</v>
      </c>
      <c r="D2511" s="5" t="s">
        <v>93</v>
      </c>
      <c r="E2511" s="6" t="s">
        <v>3845</v>
      </c>
      <c r="AP2511" s="4" t="s">
        <v>376</v>
      </c>
      <c r="AR2511" s="4" t="s">
        <v>377</v>
      </c>
    </row>
    <row r="2512" spans="1:44">
      <c r="A2512" s="4" t="s">
        <v>5</v>
      </c>
      <c r="C2512" s="4">
        <v>2491</v>
      </c>
      <c r="D2512" s="5" t="s">
        <v>93</v>
      </c>
      <c r="E2512" s="6" t="s">
        <v>3846</v>
      </c>
      <c r="F2512" s="5" t="s">
        <v>3847</v>
      </c>
      <c r="Z2512" s="4" t="s">
        <v>447</v>
      </c>
      <c r="AA2512" s="4" t="s">
        <v>448</v>
      </c>
      <c r="AP2512" s="4" t="s">
        <v>376</v>
      </c>
      <c r="AR2512" s="4" t="s">
        <v>377</v>
      </c>
    </row>
    <row r="2513" spans="1:44">
      <c r="A2513" s="4" t="s">
        <v>5</v>
      </c>
      <c r="C2513" s="4">
        <v>9</v>
      </c>
      <c r="D2513" s="5" t="s">
        <v>93</v>
      </c>
      <c r="E2513" s="6" t="s">
        <v>3848</v>
      </c>
      <c r="F2513" s="5" t="s">
        <v>3849</v>
      </c>
      <c r="AP2513" s="4" t="s">
        <v>376</v>
      </c>
      <c r="AR2513" s="4" t="s">
        <v>377</v>
      </c>
    </row>
    <row r="2514" spans="1:44" ht="30">
      <c r="A2514" s="4" t="s">
        <v>5</v>
      </c>
      <c r="C2514" s="4">
        <v>1173</v>
      </c>
      <c r="D2514" s="5" t="s">
        <v>93</v>
      </c>
      <c r="E2514" s="6" t="s">
        <v>3850</v>
      </c>
      <c r="AP2514" s="4" t="s">
        <v>376</v>
      </c>
      <c r="AR2514" s="4" t="s">
        <v>377</v>
      </c>
    </row>
    <row r="2515" spans="1:44" ht="30">
      <c r="A2515" s="4" t="s">
        <v>5</v>
      </c>
      <c r="C2515" s="4">
        <v>3232</v>
      </c>
      <c r="D2515" s="5" t="s">
        <v>93</v>
      </c>
      <c r="E2515" s="6" t="s">
        <v>3851</v>
      </c>
      <c r="F2515" s="5" t="s">
        <v>3852</v>
      </c>
      <c r="AP2515" s="4" t="s">
        <v>376</v>
      </c>
      <c r="AR2515" s="4" t="s">
        <v>377</v>
      </c>
    </row>
    <row r="2516" spans="1:44">
      <c r="A2516" s="4" t="s">
        <v>5</v>
      </c>
      <c r="C2516" s="4">
        <v>6755</v>
      </c>
      <c r="D2516" s="5" t="s">
        <v>93</v>
      </c>
      <c r="E2516" s="6" t="s">
        <v>3853</v>
      </c>
      <c r="AP2516" s="4" t="s">
        <v>376</v>
      </c>
      <c r="AR2516" s="4" t="s">
        <v>377</v>
      </c>
    </row>
    <row r="2517" spans="1:44" ht="30">
      <c r="A2517" s="4" t="s">
        <v>5</v>
      </c>
      <c r="C2517" s="4">
        <v>3385</v>
      </c>
      <c r="D2517" s="5" t="s">
        <v>93</v>
      </c>
      <c r="E2517" s="6" t="s">
        <v>3854</v>
      </c>
      <c r="AP2517" s="4" t="s">
        <v>376</v>
      </c>
      <c r="AR2517" s="4" t="s">
        <v>377</v>
      </c>
    </row>
    <row r="2518" spans="1:44" ht="30">
      <c r="A2518" s="4" t="s">
        <v>5</v>
      </c>
      <c r="C2518" s="4">
        <v>3600</v>
      </c>
      <c r="D2518" s="5" t="s">
        <v>93</v>
      </c>
      <c r="E2518" s="6" t="s">
        <v>3855</v>
      </c>
      <c r="AP2518" s="4" t="s">
        <v>376</v>
      </c>
      <c r="AR2518" s="4" t="s">
        <v>377</v>
      </c>
    </row>
    <row r="2519" spans="1:44" ht="30">
      <c r="A2519" s="4" t="s">
        <v>5</v>
      </c>
      <c r="C2519" s="4">
        <v>6507</v>
      </c>
      <c r="D2519" s="5" t="s">
        <v>93</v>
      </c>
      <c r="E2519" s="6" t="s">
        <v>3856</v>
      </c>
      <c r="F2519" s="5" t="s">
        <v>3857</v>
      </c>
      <c r="AP2519" s="4" t="s">
        <v>376</v>
      </c>
      <c r="AR2519" s="4" t="s">
        <v>377</v>
      </c>
    </row>
    <row r="2520" spans="1:44">
      <c r="A2520" s="4" t="s">
        <v>5</v>
      </c>
      <c r="C2520" s="4">
        <v>6437</v>
      </c>
      <c r="D2520" s="5" t="s">
        <v>93</v>
      </c>
      <c r="E2520" s="6" t="s">
        <v>3858</v>
      </c>
      <c r="AP2520" s="4" t="s">
        <v>376</v>
      </c>
      <c r="AR2520" s="4" t="s">
        <v>377</v>
      </c>
    </row>
    <row r="2521" spans="1:44">
      <c r="A2521" s="4" t="s">
        <v>5</v>
      </c>
      <c r="C2521" s="4">
        <v>94</v>
      </c>
      <c r="D2521" s="5" t="s">
        <v>93</v>
      </c>
      <c r="E2521" s="6" t="s">
        <v>3859</v>
      </c>
      <c r="F2521" s="5" t="s">
        <v>3860</v>
      </c>
      <c r="AP2521" s="4" t="s">
        <v>376</v>
      </c>
      <c r="AR2521" s="4" t="s">
        <v>377</v>
      </c>
    </row>
    <row r="2522" spans="1:44">
      <c r="A2522" s="4" t="s">
        <v>5</v>
      </c>
      <c r="C2522" s="4">
        <v>4006</v>
      </c>
      <c r="D2522" s="5" t="s">
        <v>93</v>
      </c>
      <c r="E2522" s="6" t="s">
        <v>3861</v>
      </c>
      <c r="AP2522" s="4" t="s">
        <v>376</v>
      </c>
      <c r="AR2522" s="4" t="s">
        <v>377</v>
      </c>
    </row>
    <row r="2523" spans="1:44">
      <c r="A2523" s="4" t="s">
        <v>5</v>
      </c>
      <c r="C2523" s="4">
        <v>3606</v>
      </c>
      <c r="D2523" s="5" t="s">
        <v>93</v>
      </c>
      <c r="E2523" s="6" t="s">
        <v>3862</v>
      </c>
      <c r="Z2523" s="4" t="s">
        <v>447</v>
      </c>
      <c r="AA2523" s="4" t="s">
        <v>448</v>
      </c>
      <c r="AP2523" s="4" t="s">
        <v>376</v>
      </c>
      <c r="AR2523" s="4" t="s">
        <v>377</v>
      </c>
    </row>
    <row r="2524" spans="1:44" ht="30">
      <c r="A2524" s="4" t="s">
        <v>5</v>
      </c>
      <c r="C2524" s="4">
        <v>5517</v>
      </c>
      <c r="D2524" s="5" t="s">
        <v>93</v>
      </c>
      <c r="E2524" s="6" t="s">
        <v>3863</v>
      </c>
      <c r="AP2524" s="4" t="s">
        <v>376</v>
      </c>
      <c r="AR2524" s="4" t="s">
        <v>377</v>
      </c>
    </row>
    <row r="2525" spans="1:44">
      <c r="A2525" s="4" t="s">
        <v>5</v>
      </c>
      <c r="C2525" s="4">
        <v>443</v>
      </c>
      <c r="D2525" s="5" t="s">
        <v>93</v>
      </c>
      <c r="E2525" s="6" t="s">
        <v>3864</v>
      </c>
      <c r="F2525" s="5" t="s">
        <v>3865</v>
      </c>
      <c r="AP2525" s="4" t="s">
        <v>376</v>
      </c>
      <c r="AR2525" s="4" t="s">
        <v>377</v>
      </c>
    </row>
    <row r="2526" spans="1:44">
      <c r="A2526" s="4" t="s">
        <v>5</v>
      </c>
      <c r="C2526" s="4">
        <v>4021</v>
      </c>
      <c r="D2526" s="5" t="s">
        <v>93</v>
      </c>
      <c r="E2526" s="6" t="s">
        <v>3866</v>
      </c>
      <c r="AP2526" s="4" t="s">
        <v>376</v>
      </c>
      <c r="AR2526" s="4" t="s">
        <v>377</v>
      </c>
    </row>
    <row r="2527" spans="1:44">
      <c r="A2527" s="4" t="s">
        <v>5</v>
      </c>
      <c r="C2527" s="4">
        <v>6471</v>
      </c>
      <c r="D2527" s="5" t="s">
        <v>93</v>
      </c>
      <c r="E2527" s="6" t="s">
        <v>3867</v>
      </c>
      <c r="AP2527" s="4" t="s">
        <v>376</v>
      </c>
      <c r="AR2527" s="4" t="s">
        <v>377</v>
      </c>
    </row>
    <row r="2528" spans="1:44" ht="30">
      <c r="A2528" s="4" t="s">
        <v>5</v>
      </c>
      <c r="C2528" s="4">
        <v>4543</v>
      </c>
      <c r="D2528" s="5" t="s">
        <v>93</v>
      </c>
      <c r="E2528" s="6" t="s">
        <v>3868</v>
      </c>
      <c r="F2528" s="5" t="s">
        <v>3869</v>
      </c>
      <c r="Z2528" s="4" t="s">
        <v>447</v>
      </c>
      <c r="AA2528" s="4" t="s">
        <v>448</v>
      </c>
      <c r="AP2528" s="4" t="s">
        <v>376</v>
      </c>
      <c r="AR2528" s="4" t="s">
        <v>377</v>
      </c>
    </row>
    <row r="2529" spans="1:44">
      <c r="A2529" s="4" t="s">
        <v>5</v>
      </c>
      <c r="C2529" s="4">
        <v>2746</v>
      </c>
      <c r="D2529" s="5" t="s">
        <v>93</v>
      </c>
      <c r="E2529" s="6" t="s">
        <v>3870</v>
      </c>
      <c r="Z2529" s="4" t="s">
        <v>443</v>
      </c>
      <c r="AA2529" s="4" t="s">
        <v>444</v>
      </c>
      <c r="AP2529" s="4" t="s">
        <v>376</v>
      </c>
      <c r="AR2529" s="4" t="s">
        <v>377</v>
      </c>
    </row>
    <row r="2530" spans="1:44">
      <c r="A2530" s="4" t="s">
        <v>5</v>
      </c>
      <c r="C2530" s="4">
        <v>3128</v>
      </c>
      <c r="D2530" s="5" t="s">
        <v>93</v>
      </c>
      <c r="E2530" s="6" t="s">
        <v>3871</v>
      </c>
      <c r="F2530" s="5" t="s">
        <v>3872</v>
      </c>
      <c r="AP2530" s="4" t="s">
        <v>376</v>
      </c>
      <c r="AR2530" s="4" t="s">
        <v>377</v>
      </c>
    </row>
    <row r="2531" spans="1:44">
      <c r="A2531" s="4" t="s">
        <v>5</v>
      </c>
      <c r="C2531" s="4">
        <v>2042</v>
      </c>
      <c r="D2531" s="5" t="s">
        <v>93</v>
      </c>
      <c r="E2531" s="6" t="s">
        <v>3873</v>
      </c>
      <c r="AP2531" s="4" t="s">
        <v>376</v>
      </c>
      <c r="AR2531" s="4" t="s">
        <v>377</v>
      </c>
    </row>
    <row r="2532" spans="1:44">
      <c r="A2532" s="4" t="s">
        <v>5</v>
      </c>
      <c r="C2532" s="4">
        <v>3629</v>
      </c>
      <c r="D2532" s="5" t="s">
        <v>93</v>
      </c>
      <c r="E2532" s="6" t="s">
        <v>3874</v>
      </c>
      <c r="F2532" s="5" t="s">
        <v>3875</v>
      </c>
      <c r="AP2532" s="4" t="s">
        <v>376</v>
      </c>
      <c r="AR2532" s="4" t="s">
        <v>377</v>
      </c>
    </row>
    <row r="2533" spans="1:44" ht="30">
      <c r="A2533" s="4" t="s">
        <v>5</v>
      </c>
      <c r="C2533" s="4">
        <v>3860</v>
      </c>
      <c r="D2533" s="5" t="s">
        <v>93</v>
      </c>
      <c r="E2533" s="6" t="s">
        <v>3876</v>
      </c>
      <c r="AP2533" s="4" t="s">
        <v>376</v>
      </c>
      <c r="AR2533" s="4" t="s">
        <v>377</v>
      </c>
    </row>
    <row r="2534" spans="1:44">
      <c r="A2534" s="4" t="s">
        <v>5</v>
      </c>
      <c r="C2534" s="4">
        <v>4412</v>
      </c>
      <c r="D2534" s="5" t="s">
        <v>93</v>
      </c>
      <c r="E2534" s="6" t="s">
        <v>3877</v>
      </c>
      <c r="AP2534" s="4" t="s">
        <v>376</v>
      </c>
      <c r="AR2534" s="4" t="s">
        <v>377</v>
      </c>
    </row>
    <row r="2535" spans="1:44">
      <c r="A2535" s="4" t="s">
        <v>5</v>
      </c>
      <c r="C2535" s="4">
        <v>3023</v>
      </c>
      <c r="D2535" s="5" t="s">
        <v>93</v>
      </c>
      <c r="E2535" s="6" t="s">
        <v>3878</v>
      </c>
      <c r="AP2535" s="4" t="s">
        <v>376</v>
      </c>
      <c r="AR2535" s="4" t="s">
        <v>377</v>
      </c>
    </row>
    <row r="2536" spans="1:44">
      <c r="A2536" s="4" t="s">
        <v>5</v>
      </c>
      <c r="C2536" s="4">
        <v>1572</v>
      </c>
      <c r="D2536" s="5" t="s">
        <v>93</v>
      </c>
      <c r="E2536" s="6" t="s">
        <v>3879</v>
      </c>
      <c r="AP2536" s="4" t="s">
        <v>376</v>
      </c>
      <c r="AR2536" s="4" t="s">
        <v>377</v>
      </c>
    </row>
    <row r="2537" spans="1:44">
      <c r="A2537" s="4" t="s">
        <v>5</v>
      </c>
      <c r="C2537" s="4">
        <v>6575</v>
      </c>
      <c r="D2537" s="5" t="s">
        <v>93</v>
      </c>
      <c r="E2537" s="6" t="s">
        <v>3880</v>
      </c>
      <c r="AP2537" s="4" t="s">
        <v>376</v>
      </c>
      <c r="AR2537" s="4" t="s">
        <v>377</v>
      </c>
    </row>
    <row r="2538" spans="1:44">
      <c r="A2538" s="4" t="s">
        <v>5</v>
      </c>
      <c r="C2538" s="4">
        <v>5115</v>
      </c>
      <c r="D2538" s="5" t="s">
        <v>93</v>
      </c>
      <c r="E2538" s="6" t="s">
        <v>3881</v>
      </c>
      <c r="AP2538" s="4" t="s">
        <v>376</v>
      </c>
      <c r="AR2538" s="4" t="s">
        <v>377</v>
      </c>
    </row>
    <row r="2539" spans="1:44" ht="30">
      <c r="A2539" s="4" t="s">
        <v>5</v>
      </c>
      <c r="C2539" s="4">
        <v>1206</v>
      </c>
      <c r="D2539" s="5" t="s">
        <v>93</v>
      </c>
      <c r="E2539" s="6" t="s">
        <v>3882</v>
      </c>
      <c r="AP2539" s="4" t="s">
        <v>376</v>
      </c>
      <c r="AR2539" s="4" t="s">
        <v>377</v>
      </c>
    </row>
    <row r="2540" spans="1:44">
      <c r="A2540" s="4" t="s">
        <v>5</v>
      </c>
      <c r="C2540" s="4">
        <v>1637</v>
      </c>
      <c r="D2540" s="5" t="s">
        <v>93</v>
      </c>
      <c r="E2540" s="6" t="s">
        <v>3883</v>
      </c>
      <c r="F2540" s="5" t="s">
        <v>3884</v>
      </c>
      <c r="AP2540" s="4" t="s">
        <v>376</v>
      </c>
      <c r="AR2540" s="4" t="s">
        <v>377</v>
      </c>
    </row>
    <row r="2541" spans="1:44">
      <c r="A2541" s="4" t="s">
        <v>5</v>
      </c>
      <c r="C2541" s="4">
        <v>184</v>
      </c>
      <c r="D2541" s="5" t="s">
        <v>93</v>
      </c>
      <c r="E2541" s="6" t="s">
        <v>3885</v>
      </c>
      <c r="F2541" s="5" t="s">
        <v>3886</v>
      </c>
      <c r="AP2541" s="4" t="s">
        <v>376</v>
      </c>
      <c r="AR2541" s="4" t="s">
        <v>377</v>
      </c>
    </row>
    <row r="2542" spans="1:44">
      <c r="A2542" s="4" t="s">
        <v>5</v>
      </c>
      <c r="C2542" s="4">
        <v>505</v>
      </c>
      <c r="D2542" s="5" t="s">
        <v>93</v>
      </c>
      <c r="E2542" s="6" t="s">
        <v>3887</v>
      </c>
      <c r="F2542" s="5" t="s">
        <v>3888</v>
      </c>
      <c r="AP2542" s="4" t="s">
        <v>376</v>
      </c>
      <c r="AR2542" s="4" t="s">
        <v>377</v>
      </c>
    </row>
    <row r="2543" spans="1:44" ht="30">
      <c r="A2543" s="4" t="s">
        <v>5</v>
      </c>
      <c r="C2543" s="4">
        <v>202</v>
      </c>
      <c r="D2543" s="5" t="s">
        <v>93</v>
      </c>
      <c r="E2543" s="6" t="s">
        <v>3889</v>
      </c>
      <c r="F2543" s="5" t="s">
        <v>3890</v>
      </c>
      <c r="AP2543" s="4" t="s">
        <v>376</v>
      </c>
      <c r="AR2543" s="4" t="s">
        <v>377</v>
      </c>
    </row>
    <row r="2544" spans="1:44" ht="30">
      <c r="A2544" s="4" t="s">
        <v>5</v>
      </c>
      <c r="C2544" s="4">
        <v>6543</v>
      </c>
      <c r="D2544" s="5" t="s">
        <v>93</v>
      </c>
      <c r="E2544" s="6" t="s">
        <v>3891</v>
      </c>
      <c r="AP2544" s="4" t="s">
        <v>376</v>
      </c>
      <c r="AR2544" s="4" t="s">
        <v>377</v>
      </c>
    </row>
    <row r="2545" spans="1:44" ht="30">
      <c r="A2545" s="4" t="s">
        <v>5</v>
      </c>
      <c r="C2545" s="4">
        <v>5118</v>
      </c>
      <c r="D2545" s="5" t="s">
        <v>93</v>
      </c>
      <c r="E2545" s="6" t="s">
        <v>3892</v>
      </c>
      <c r="AP2545" s="4" t="s">
        <v>376</v>
      </c>
      <c r="AR2545" s="4" t="s">
        <v>377</v>
      </c>
    </row>
    <row r="2546" spans="1:44">
      <c r="A2546" s="4" t="s">
        <v>5</v>
      </c>
      <c r="C2546" s="4">
        <v>6533</v>
      </c>
      <c r="D2546" s="5" t="s">
        <v>93</v>
      </c>
      <c r="E2546" s="6" t="s">
        <v>3893</v>
      </c>
      <c r="AP2546" s="4" t="s">
        <v>376</v>
      </c>
      <c r="AR2546" s="4" t="s">
        <v>377</v>
      </c>
    </row>
    <row r="2547" spans="1:44" ht="30">
      <c r="A2547" s="4" t="s">
        <v>5</v>
      </c>
      <c r="C2547" s="4">
        <v>1237</v>
      </c>
      <c r="D2547" s="5" t="s">
        <v>93</v>
      </c>
      <c r="E2547" s="6" t="s">
        <v>3894</v>
      </c>
      <c r="AP2547" s="4" t="s">
        <v>376</v>
      </c>
      <c r="AR2547" s="4" t="s">
        <v>377</v>
      </c>
    </row>
    <row r="2548" spans="1:44" ht="30">
      <c r="A2548" s="4" t="s">
        <v>5</v>
      </c>
      <c r="C2548" s="4">
        <v>3976</v>
      </c>
      <c r="D2548" s="5" t="s">
        <v>93</v>
      </c>
      <c r="E2548" s="6" t="s">
        <v>3895</v>
      </c>
      <c r="AP2548" s="4" t="s">
        <v>376</v>
      </c>
      <c r="AR2548" s="4" t="s">
        <v>377</v>
      </c>
    </row>
    <row r="2549" spans="1:44">
      <c r="A2549" s="4" t="s">
        <v>5</v>
      </c>
      <c r="C2549" s="4">
        <v>3803</v>
      </c>
      <c r="D2549" s="5" t="s">
        <v>93</v>
      </c>
      <c r="E2549" s="6" t="s">
        <v>3896</v>
      </c>
      <c r="F2549" s="5" t="s">
        <v>3897</v>
      </c>
      <c r="Z2549" s="4" t="s">
        <v>443</v>
      </c>
      <c r="AA2549" s="4" t="s">
        <v>444</v>
      </c>
      <c r="AP2549" s="4" t="s">
        <v>376</v>
      </c>
      <c r="AR2549" s="4" t="s">
        <v>377</v>
      </c>
    </row>
    <row r="2550" spans="1:44" ht="30">
      <c r="A2550" s="4" t="s">
        <v>5</v>
      </c>
      <c r="C2550" s="4">
        <v>4410</v>
      </c>
      <c r="D2550" s="5" t="s">
        <v>93</v>
      </c>
      <c r="E2550" s="6" t="s">
        <v>3898</v>
      </c>
      <c r="AP2550" s="4" t="s">
        <v>376</v>
      </c>
      <c r="AR2550" s="4" t="s">
        <v>377</v>
      </c>
    </row>
    <row r="2551" spans="1:44">
      <c r="A2551" s="4" t="s">
        <v>5</v>
      </c>
      <c r="C2551" s="4">
        <v>5505</v>
      </c>
      <c r="D2551" s="5" t="s">
        <v>93</v>
      </c>
      <c r="E2551" s="6" t="s">
        <v>3899</v>
      </c>
      <c r="AP2551" s="4" t="s">
        <v>376</v>
      </c>
      <c r="AR2551" s="4" t="s">
        <v>377</v>
      </c>
    </row>
    <row r="2552" spans="1:44" ht="30">
      <c r="A2552" s="4" t="s">
        <v>5</v>
      </c>
      <c r="C2552" s="4">
        <v>4406</v>
      </c>
      <c r="D2552" s="5" t="s">
        <v>93</v>
      </c>
      <c r="E2552" s="6" t="s">
        <v>3900</v>
      </c>
      <c r="AP2552" s="4" t="s">
        <v>376</v>
      </c>
      <c r="AR2552" s="4" t="s">
        <v>377</v>
      </c>
    </row>
    <row r="2553" spans="1:44">
      <c r="A2553" s="4" t="s">
        <v>5</v>
      </c>
      <c r="C2553" s="4">
        <v>1708</v>
      </c>
      <c r="D2553" s="5" t="s">
        <v>93</v>
      </c>
      <c r="E2553" s="6" t="s">
        <v>3901</v>
      </c>
      <c r="AP2553" s="4" t="s">
        <v>376</v>
      </c>
      <c r="AR2553" s="4" t="s">
        <v>377</v>
      </c>
    </row>
    <row r="2554" spans="1:44">
      <c r="A2554" s="4" t="s">
        <v>5</v>
      </c>
      <c r="C2554" s="4">
        <v>961</v>
      </c>
      <c r="D2554" s="5" t="s">
        <v>93</v>
      </c>
      <c r="E2554" s="6" t="s">
        <v>3902</v>
      </c>
      <c r="F2554" s="5" t="s">
        <v>3903</v>
      </c>
      <c r="Z2554" s="4" t="s">
        <v>443</v>
      </c>
      <c r="AA2554" s="4" t="s">
        <v>444</v>
      </c>
      <c r="AP2554" s="4" t="s">
        <v>376</v>
      </c>
      <c r="AR2554" s="4" t="s">
        <v>377</v>
      </c>
    </row>
    <row r="2555" spans="1:44">
      <c r="A2555" s="4" t="s">
        <v>5</v>
      </c>
      <c r="C2555" s="4">
        <v>1458</v>
      </c>
      <c r="D2555" s="5" t="s">
        <v>93</v>
      </c>
      <c r="E2555" s="6" t="s">
        <v>3904</v>
      </c>
      <c r="F2555" s="5" t="s">
        <v>3905</v>
      </c>
      <c r="AP2555" s="4" t="s">
        <v>376</v>
      </c>
      <c r="AR2555" s="4" t="s">
        <v>377</v>
      </c>
    </row>
    <row r="2556" spans="1:44">
      <c r="A2556" s="4" t="s">
        <v>5</v>
      </c>
      <c r="C2556" s="4">
        <v>4911</v>
      </c>
      <c r="D2556" s="5" t="s">
        <v>93</v>
      </c>
      <c r="E2556" s="6" t="s">
        <v>3906</v>
      </c>
      <c r="AP2556" s="4" t="s">
        <v>376</v>
      </c>
      <c r="AR2556" s="4" t="s">
        <v>377</v>
      </c>
    </row>
    <row r="2557" spans="1:44">
      <c r="A2557" s="4" t="s">
        <v>5</v>
      </c>
      <c r="C2557" s="4">
        <v>4200</v>
      </c>
      <c r="D2557" s="5" t="s">
        <v>93</v>
      </c>
      <c r="E2557" s="6" t="s">
        <v>3907</v>
      </c>
      <c r="AP2557" s="4" t="s">
        <v>376</v>
      </c>
      <c r="AR2557" s="4" t="s">
        <v>377</v>
      </c>
    </row>
    <row r="2558" spans="1:44" ht="30">
      <c r="A2558" s="4" t="s">
        <v>5</v>
      </c>
      <c r="C2558" s="4">
        <v>1493</v>
      </c>
      <c r="D2558" s="5" t="s">
        <v>93</v>
      </c>
      <c r="E2558" s="6" t="s">
        <v>3908</v>
      </c>
      <c r="AP2558" s="4" t="s">
        <v>376</v>
      </c>
      <c r="AR2558" s="4" t="s">
        <v>377</v>
      </c>
    </row>
    <row r="2559" spans="1:44">
      <c r="A2559" s="4" t="s">
        <v>5</v>
      </c>
      <c r="C2559" s="4">
        <v>1280</v>
      </c>
      <c r="D2559" s="5" t="s">
        <v>93</v>
      </c>
      <c r="E2559" s="6" t="s">
        <v>3909</v>
      </c>
      <c r="F2559" s="5" t="s">
        <v>3910</v>
      </c>
      <c r="AP2559" s="4" t="s">
        <v>376</v>
      </c>
      <c r="AR2559" s="4" t="s">
        <v>377</v>
      </c>
    </row>
    <row r="2560" spans="1:44" ht="30">
      <c r="A2560" s="4" t="s">
        <v>5</v>
      </c>
      <c r="C2560" s="4">
        <v>5955</v>
      </c>
      <c r="D2560" s="5" t="s">
        <v>93</v>
      </c>
      <c r="E2560" s="6" t="s">
        <v>3911</v>
      </c>
      <c r="AP2560" s="4" t="s">
        <v>376</v>
      </c>
      <c r="AR2560" s="4" t="s">
        <v>377</v>
      </c>
    </row>
    <row r="2561" spans="1:44">
      <c r="A2561" s="4" t="s">
        <v>5</v>
      </c>
      <c r="C2561" s="4">
        <v>2137</v>
      </c>
      <c r="D2561" s="5" t="s">
        <v>93</v>
      </c>
      <c r="E2561" s="6" t="s">
        <v>3912</v>
      </c>
      <c r="AP2561" s="4" t="s">
        <v>376</v>
      </c>
      <c r="AR2561" s="4" t="s">
        <v>377</v>
      </c>
    </row>
    <row r="2562" spans="1:44">
      <c r="A2562" s="4" t="s">
        <v>5</v>
      </c>
      <c r="C2562" s="4">
        <v>1407</v>
      </c>
      <c r="D2562" s="5" t="s">
        <v>93</v>
      </c>
      <c r="E2562" s="6" t="s">
        <v>3913</v>
      </c>
      <c r="AP2562" s="4" t="s">
        <v>376</v>
      </c>
      <c r="AR2562" s="4" t="s">
        <v>377</v>
      </c>
    </row>
    <row r="2563" spans="1:44">
      <c r="A2563" s="4" t="s">
        <v>5</v>
      </c>
      <c r="C2563" s="4">
        <v>3830</v>
      </c>
      <c r="D2563" s="5" t="s">
        <v>93</v>
      </c>
      <c r="E2563" s="6" t="s">
        <v>3914</v>
      </c>
      <c r="AP2563" s="4" t="s">
        <v>376</v>
      </c>
      <c r="AR2563" s="4" t="s">
        <v>377</v>
      </c>
    </row>
    <row r="2564" spans="1:44">
      <c r="A2564" s="4" t="s">
        <v>5</v>
      </c>
      <c r="C2564" s="4">
        <v>4423</v>
      </c>
      <c r="D2564" s="5" t="s">
        <v>93</v>
      </c>
      <c r="E2564" s="6" t="s">
        <v>3915</v>
      </c>
      <c r="AP2564" s="4" t="s">
        <v>376</v>
      </c>
      <c r="AR2564" s="4" t="s">
        <v>377</v>
      </c>
    </row>
    <row r="2565" spans="1:44">
      <c r="A2565" s="4" t="s">
        <v>5</v>
      </c>
      <c r="C2565" s="4">
        <v>7004</v>
      </c>
      <c r="D2565" s="5" t="s">
        <v>93</v>
      </c>
      <c r="E2565" s="6" t="s">
        <v>3916</v>
      </c>
      <c r="AP2565" s="4" t="s">
        <v>376</v>
      </c>
      <c r="AR2565" s="4" t="s">
        <v>377</v>
      </c>
    </row>
    <row r="2566" spans="1:44">
      <c r="A2566" s="4" t="s">
        <v>5</v>
      </c>
      <c r="C2566" s="4">
        <v>178</v>
      </c>
      <c r="D2566" s="5" t="s">
        <v>93</v>
      </c>
      <c r="E2566" s="6" t="s">
        <v>3917</v>
      </c>
      <c r="F2566" s="5" t="s">
        <v>3918</v>
      </c>
      <c r="AP2566" s="4" t="s">
        <v>376</v>
      </c>
      <c r="AR2566" s="4" t="s">
        <v>377</v>
      </c>
    </row>
    <row r="2567" spans="1:44">
      <c r="A2567" s="4" t="s">
        <v>5</v>
      </c>
      <c r="C2567" s="4">
        <v>2296</v>
      </c>
      <c r="D2567" s="5" t="s">
        <v>93</v>
      </c>
      <c r="E2567" s="6" t="s">
        <v>3919</v>
      </c>
      <c r="AP2567" s="4" t="s">
        <v>376</v>
      </c>
      <c r="AR2567" s="4" t="s">
        <v>377</v>
      </c>
    </row>
    <row r="2568" spans="1:44">
      <c r="A2568" s="4" t="s">
        <v>5</v>
      </c>
      <c r="C2568" s="4">
        <v>949</v>
      </c>
      <c r="D2568" s="5" t="s">
        <v>93</v>
      </c>
      <c r="E2568" s="6" t="s">
        <v>3920</v>
      </c>
      <c r="AP2568" s="4" t="s">
        <v>376</v>
      </c>
      <c r="AR2568" s="4" t="s">
        <v>377</v>
      </c>
    </row>
    <row r="2569" spans="1:44">
      <c r="A2569" s="4" t="s">
        <v>5</v>
      </c>
      <c r="C2569" s="4">
        <v>2957</v>
      </c>
      <c r="D2569" s="5" t="s">
        <v>93</v>
      </c>
      <c r="E2569" s="6" t="s">
        <v>3921</v>
      </c>
      <c r="F2569" s="5" t="s">
        <v>3922</v>
      </c>
      <c r="AP2569" s="4" t="s">
        <v>376</v>
      </c>
      <c r="AR2569" s="4" t="s">
        <v>377</v>
      </c>
    </row>
    <row r="2570" spans="1:44">
      <c r="A2570" s="4" t="s">
        <v>5</v>
      </c>
      <c r="C2570" s="4">
        <v>5177</v>
      </c>
      <c r="D2570" s="5" t="s">
        <v>93</v>
      </c>
      <c r="E2570" s="6" t="s">
        <v>3923</v>
      </c>
      <c r="F2570" s="5" t="s">
        <v>3924</v>
      </c>
      <c r="AP2570" s="4" t="s">
        <v>376</v>
      </c>
      <c r="AR2570" s="4" t="s">
        <v>377</v>
      </c>
    </row>
    <row r="2571" spans="1:44">
      <c r="A2571" s="4" t="s">
        <v>5</v>
      </c>
      <c r="C2571" s="4">
        <v>4944</v>
      </c>
      <c r="D2571" s="5" t="s">
        <v>93</v>
      </c>
      <c r="E2571" s="6" t="s">
        <v>3925</v>
      </c>
      <c r="AP2571" s="4" t="s">
        <v>376</v>
      </c>
      <c r="AR2571" s="4" t="s">
        <v>377</v>
      </c>
    </row>
    <row r="2572" spans="1:44">
      <c r="A2572" s="4" t="s">
        <v>5</v>
      </c>
      <c r="C2572" s="4">
        <v>3228</v>
      </c>
      <c r="D2572" s="5" t="s">
        <v>93</v>
      </c>
      <c r="E2572" s="6" t="s">
        <v>3926</v>
      </c>
      <c r="F2572" s="5" t="s">
        <v>3927</v>
      </c>
      <c r="AP2572" s="4" t="s">
        <v>376</v>
      </c>
      <c r="AR2572" s="4" t="s">
        <v>377</v>
      </c>
    </row>
    <row r="2573" spans="1:44">
      <c r="A2573" s="4" t="s">
        <v>5</v>
      </c>
      <c r="C2573" s="4">
        <v>3943</v>
      </c>
      <c r="D2573" s="5" t="s">
        <v>93</v>
      </c>
      <c r="E2573" s="6" t="s">
        <v>3928</v>
      </c>
      <c r="F2573" s="5" t="s">
        <v>3929</v>
      </c>
      <c r="AP2573" s="4" t="s">
        <v>376</v>
      </c>
      <c r="AR2573" s="4" t="s">
        <v>377</v>
      </c>
    </row>
    <row r="2574" spans="1:44">
      <c r="A2574" s="4" t="s">
        <v>5</v>
      </c>
      <c r="C2574" s="4">
        <v>6212</v>
      </c>
      <c r="D2574" s="5" t="s">
        <v>93</v>
      </c>
      <c r="E2574" s="6" t="s">
        <v>3930</v>
      </c>
      <c r="AP2574" s="4" t="s">
        <v>376</v>
      </c>
      <c r="AR2574" s="4" t="s">
        <v>377</v>
      </c>
    </row>
    <row r="2575" spans="1:44" ht="30">
      <c r="A2575" s="4" t="s">
        <v>5</v>
      </c>
      <c r="C2575" s="4">
        <v>4305</v>
      </c>
      <c r="D2575" s="5" t="s">
        <v>93</v>
      </c>
      <c r="E2575" s="6" t="s">
        <v>3931</v>
      </c>
      <c r="F2575" s="5" t="s">
        <v>3932</v>
      </c>
      <c r="AP2575" s="4" t="s">
        <v>376</v>
      </c>
      <c r="AR2575" s="4" t="s">
        <v>377</v>
      </c>
    </row>
    <row r="2576" spans="1:44" ht="30">
      <c r="A2576" s="4" t="s">
        <v>5</v>
      </c>
      <c r="C2576" s="4">
        <v>5581</v>
      </c>
      <c r="D2576" s="5" t="s">
        <v>93</v>
      </c>
      <c r="E2576" s="6" t="s">
        <v>3933</v>
      </c>
      <c r="F2576" s="5" t="s">
        <v>3934</v>
      </c>
      <c r="AP2576" s="4" t="s">
        <v>376</v>
      </c>
      <c r="AR2576" s="4" t="s">
        <v>377</v>
      </c>
    </row>
    <row r="2577" spans="1:44">
      <c r="A2577" s="4" t="s">
        <v>5</v>
      </c>
      <c r="C2577" s="4">
        <v>3204</v>
      </c>
      <c r="D2577" s="5" t="s">
        <v>93</v>
      </c>
      <c r="E2577" s="6" t="s">
        <v>3935</v>
      </c>
      <c r="Z2577" s="4" t="s">
        <v>443</v>
      </c>
      <c r="AA2577" s="4" t="s">
        <v>444</v>
      </c>
      <c r="AP2577" s="4" t="s">
        <v>376</v>
      </c>
      <c r="AR2577" s="4" t="s">
        <v>377</v>
      </c>
    </row>
    <row r="2578" spans="1:44">
      <c r="A2578" s="4" t="s">
        <v>5</v>
      </c>
      <c r="C2578" s="4">
        <v>215</v>
      </c>
      <c r="D2578" s="5" t="s">
        <v>93</v>
      </c>
      <c r="E2578" s="6" t="s">
        <v>3936</v>
      </c>
      <c r="F2578" s="5" t="s">
        <v>3937</v>
      </c>
      <c r="AP2578" s="4" t="s">
        <v>376</v>
      </c>
      <c r="AR2578" s="4" t="s">
        <v>377</v>
      </c>
    </row>
    <row r="2579" spans="1:44" ht="30">
      <c r="A2579" s="4" t="s">
        <v>5</v>
      </c>
      <c r="C2579" s="4">
        <v>3634</v>
      </c>
      <c r="D2579" s="5" t="s">
        <v>93</v>
      </c>
      <c r="E2579" s="6" t="s">
        <v>3938</v>
      </c>
      <c r="AP2579" s="4" t="s">
        <v>376</v>
      </c>
      <c r="AR2579" s="4" t="s">
        <v>377</v>
      </c>
    </row>
    <row r="2580" spans="1:44">
      <c r="A2580" s="4" t="s">
        <v>5</v>
      </c>
      <c r="C2580" s="4">
        <v>6123</v>
      </c>
      <c r="D2580" s="5" t="s">
        <v>93</v>
      </c>
      <c r="E2580" s="6" t="s">
        <v>3939</v>
      </c>
      <c r="AP2580" s="4" t="s">
        <v>376</v>
      </c>
      <c r="AR2580" s="4" t="s">
        <v>377</v>
      </c>
    </row>
    <row r="2581" spans="1:44">
      <c r="A2581" s="4" t="s">
        <v>5</v>
      </c>
      <c r="C2581" s="4">
        <v>2117</v>
      </c>
      <c r="D2581" s="5" t="s">
        <v>93</v>
      </c>
      <c r="E2581" s="6" t="s">
        <v>3940</v>
      </c>
      <c r="AP2581" s="4" t="s">
        <v>376</v>
      </c>
      <c r="AR2581" s="4" t="s">
        <v>377</v>
      </c>
    </row>
    <row r="2582" spans="1:44">
      <c r="A2582" s="4" t="s">
        <v>5</v>
      </c>
      <c r="C2582" s="4">
        <v>2627</v>
      </c>
      <c r="D2582" s="5" t="s">
        <v>93</v>
      </c>
      <c r="E2582" s="6" t="s">
        <v>3941</v>
      </c>
      <c r="F2582" s="5" t="s">
        <v>3942</v>
      </c>
      <c r="AP2582" s="4" t="s">
        <v>376</v>
      </c>
      <c r="AR2582" s="4" t="s">
        <v>377</v>
      </c>
    </row>
    <row r="2583" spans="1:44">
      <c r="A2583" s="4" t="s">
        <v>5</v>
      </c>
      <c r="C2583" s="4">
        <v>737</v>
      </c>
      <c r="D2583" s="5" t="s">
        <v>93</v>
      </c>
      <c r="E2583" s="6" t="s">
        <v>3943</v>
      </c>
      <c r="F2583" s="5" t="s">
        <v>3944</v>
      </c>
      <c r="AP2583" s="4" t="s">
        <v>376</v>
      </c>
      <c r="AR2583" s="4" t="s">
        <v>377</v>
      </c>
    </row>
    <row r="2584" spans="1:44">
      <c r="A2584" s="4" t="s">
        <v>5</v>
      </c>
      <c r="C2584" s="4">
        <v>2406</v>
      </c>
      <c r="D2584" s="5" t="s">
        <v>93</v>
      </c>
      <c r="E2584" s="6" t="s">
        <v>3945</v>
      </c>
      <c r="F2584" s="5" t="s">
        <v>3946</v>
      </c>
      <c r="AP2584" s="4" t="s">
        <v>376</v>
      </c>
      <c r="AR2584" s="4" t="s">
        <v>377</v>
      </c>
    </row>
    <row r="2585" spans="1:44">
      <c r="A2585" s="4" t="s">
        <v>5</v>
      </c>
      <c r="C2585" s="4">
        <v>564</v>
      </c>
      <c r="D2585" s="5" t="s">
        <v>93</v>
      </c>
      <c r="E2585" s="6" t="s">
        <v>3947</v>
      </c>
      <c r="F2585" s="5" t="s">
        <v>3948</v>
      </c>
      <c r="Z2585" s="4" t="s">
        <v>443</v>
      </c>
      <c r="AA2585" s="4" t="s">
        <v>444</v>
      </c>
      <c r="AP2585" s="4" t="s">
        <v>376</v>
      </c>
      <c r="AR2585" s="4" t="s">
        <v>377</v>
      </c>
    </row>
    <row r="2586" spans="1:44" ht="30">
      <c r="A2586" s="4" t="s">
        <v>5</v>
      </c>
      <c r="C2586" s="4">
        <v>4023</v>
      </c>
      <c r="D2586" s="5" t="s">
        <v>93</v>
      </c>
      <c r="E2586" s="6" t="s">
        <v>3949</v>
      </c>
      <c r="AP2586" s="4" t="s">
        <v>376</v>
      </c>
      <c r="AR2586" s="4" t="s">
        <v>377</v>
      </c>
    </row>
    <row r="2587" spans="1:44">
      <c r="A2587" s="4" t="s">
        <v>5</v>
      </c>
      <c r="C2587" s="4">
        <v>546</v>
      </c>
      <c r="D2587" s="5" t="s">
        <v>93</v>
      </c>
      <c r="E2587" s="6" t="s">
        <v>3950</v>
      </c>
      <c r="F2587" s="5" t="s">
        <v>3951</v>
      </c>
      <c r="Z2587" s="4" t="s">
        <v>443</v>
      </c>
      <c r="AA2587" s="4" t="s">
        <v>444</v>
      </c>
      <c r="AP2587" s="4" t="s">
        <v>376</v>
      </c>
      <c r="AR2587" s="4" t="s">
        <v>377</v>
      </c>
    </row>
    <row r="2588" spans="1:44">
      <c r="A2588" s="4" t="s">
        <v>5</v>
      </c>
      <c r="C2588" s="4">
        <v>5313</v>
      </c>
      <c r="D2588" s="5" t="s">
        <v>93</v>
      </c>
      <c r="E2588" s="6" t="s">
        <v>3952</v>
      </c>
      <c r="AP2588" s="4" t="s">
        <v>376</v>
      </c>
      <c r="AR2588" s="4" t="s">
        <v>377</v>
      </c>
    </row>
    <row r="2589" spans="1:44">
      <c r="A2589" s="4" t="s">
        <v>5</v>
      </c>
      <c r="C2589" s="4">
        <v>1675</v>
      </c>
      <c r="D2589" s="5" t="s">
        <v>93</v>
      </c>
      <c r="E2589" s="6" t="s">
        <v>3953</v>
      </c>
      <c r="AP2589" s="4" t="s">
        <v>376</v>
      </c>
      <c r="AR2589" s="4" t="s">
        <v>377</v>
      </c>
    </row>
    <row r="2590" spans="1:44">
      <c r="A2590" s="4" t="s">
        <v>5</v>
      </c>
      <c r="C2590" s="4">
        <v>4149</v>
      </c>
      <c r="D2590" s="5" t="s">
        <v>93</v>
      </c>
      <c r="E2590" s="6" t="s">
        <v>3954</v>
      </c>
      <c r="AP2590" s="4" t="s">
        <v>376</v>
      </c>
      <c r="AR2590" s="4" t="s">
        <v>377</v>
      </c>
    </row>
    <row r="2591" spans="1:44">
      <c r="A2591" s="4" t="s">
        <v>5</v>
      </c>
      <c r="C2591" s="4">
        <v>1319</v>
      </c>
      <c r="D2591" s="5" t="s">
        <v>93</v>
      </c>
      <c r="E2591" s="6" t="s">
        <v>3955</v>
      </c>
      <c r="AP2591" s="4" t="s">
        <v>376</v>
      </c>
      <c r="AR2591" s="4" t="s">
        <v>377</v>
      </c>
    </row>
    <row r="2592" spans="1:44" ht="30">
      <c r="A2592" s="4" t="s">
        <v>5</v>
      </c>
      <c r="C2592" s="4">
        <v>4435</v>
      </c>
      <c r="D2592" s="5" t="s">
        <v>93</v>
      </c>
      <c r="E2592" s="6" t="s">
        <v>3956</v>
      </c>
      <c r="AP2592" s="4" t="s">
        <v>376</v>
      </c>
      <c r="AR2592" s="4" t="s">
        <v>377</v>
      </c>
    </row>
    <row r="2593" spans="1:44">
      <c r="A2593" s="4" t="s">
        <v>5</v>
      </c>
      <c r="C2593" s="4">
        <v>5232</v>
      </c>
      <c r="D2593" s="5" t="s">
        <v>93</v>
      </c>
      <c r="E2593" s="6" t="s">
        <v>3957</v>
      </c>
      <c r="AP2593" s="4" t="s">
        <v>376</v>
      </c>
      <c r="AR2593" s="4" t="s">
        <v>377</v>
      </c>
    </row>
    <row r="2594" spans="1:44" ht="30">
      <c r="A2594" s="4" t="s">
        <v>5</v>
      </c>
      <c r="C2594" s="4">
        <v>2634</v>
      </c>
      <c r="D2594" s="5" t="s">
        <v>93</v>
      </c>
      <c r="E2594" s="6" t="s">
        <v>3958</v>
      </c>
      <c r="F2594" s="5" t="s">
        <v>3959</v>
      </c>
      <c r="AP2594" s="4" t="s">
        <v>376</v>
      </c>
      <c r="AR2594" s="4" t="s">
        <v>377</v>
      </c>
    </row>
    <row r="2595" spans="1:44">
      <c r="A2595" s="4" t="s">
        <v>5</v>
      </c>
      <c r="C2595" s="4">
        <v>4035</v>
      </c>
      <c r="D2595" s="5" t="s">
        <v>93</v>
      </c>
      <c r="E2595" s="6" t="s">
        <v>3960</v>
      </c>
      <c r="AP2595" s="4" t="s">
        <v>376</v>
      </c>
      <c r="AR2595" s="4" t="s">
        <v>377</v>
      </c>
    </row>
    <row r="2596" spans="1:44" ht="30">
      <c r="A2596" s="4" t="s">
        <v>5</v>
      </c>
      <c r="C2596" s="4">
        <v>6030</v>
      </c>
      <c r="D2596" s="5" t="s">
        <v>93</v>
      </c>
      <c r="E2596" s="6" t="s">
        <v>3961</v>
      </c>
      <c r="F2596" s="5" t="s">
        <v>3962</v>
      </c>
      <c r="AP2596" s="4" t="s">
        <v>376</v>
      </c>
      <c r="AR2596" s="4" t="s">
        <v>377</v>
      </c>
    </row>
    <row r="2597" spans="1:44">
      <c r="A2597" s="4" t="s">
        <v>5</v>
      </c>
      <c r="C2597" s="4">
        <v>4193</v>
      </c>
      <c r="D2597" s="5" t="s">
        <v>93</v>
      </c>
      <c r="E2597" s="6" t="s">
        <v>3963</v>
      </c>
      <c r="AP2597" s="4" t="s">
        <v>376</v>
      </c>
      <c r="AR2597" s="4" t="s">
        <v>377</v>
      </c>
    </row>
    <row r="2598" spans="1:44">
      <c r="A2598" s="4" t="s">
        <v>5</v>
      </c>
      <c r="C2598" s="4">
        <v>3801</v>
      </c>
      <c r="D2598" s="5" t="s">
        <v>93</v>
      </c>
      <c r="E2598" s="6" t="s">
        <v>3964</v>
      </c>
      <c r="F2598" s="5" t="s">
        <v>3965</v>
      </c>
      <c r="Z2598" s="4" t="s">
        <v>447</v>
      </c>
      <c r="AA2598" s="4" t="s">
        <v>448</v>
      </c>
      <c r="AP2598" s="4" t="s">
        <v>376</v>
      </c>
      <c r="AR2598" s="4" t="s">
        <v>377</v>
      </c>
    </row>
    <row r="2599" spans="1:44">
      <c r="A2599" s="4" t="s">
        <v>5</v>
      </c>
      <c r="C2599" s="4">
        <v>3788</v>
      </c>
      <c r="D2599" s="5" t="s">
        <v>93</v>
      </c>
      <c r="E2599" s="6" t="s">
        <v>3966</v>
      </c>
      <c r="F2599" s="5" t="s">
        <v>3967</v>
      </c>
      <c r="AP2599" s="4" t="s">
        <v>376</v>
      </c>
      <c r="AR2599" s="4" t="s">
        <v>377</v>
      </c>
    </row>
    <row r="2600" spans="1:44">
      <c r="A2600" s="4" t="s">
        <v>5</v>
      </c>
      <c r="C2600" s="4">
        <v>4201</v>
      </c>
      <c r="D2600" s="5" t="s">
        <v>93</v>
      </c>
      <c r="E2600" s="6" t="s">
        <v>3968</v>
      </c>
      <c r="AP2600" s="4" t="s">
        <v>376</v>
      </c>
      <c r="AR2600" s="4" t="s">
        <v>377</v>
      </c>
    </row>
    <row r="2601" spans="1:44">
      <c r="A2601" s="4" t="s">
        <v>5</v>
      </c>
      <c r="C2601" s="4">
        <v>2122</v>
      </c>
      <c r="D2601" s="5" t="s">
        <v>93</v>
      </c>
      <c r="E2601" s="6" t="s">
        <v>3969</v>
      </c>
      <c r="F2601" s="5" t="s">
        <v>3970</v>
      </c>
      <c r="Z2601" s="4" t="s">
        <v>447</v>
      </c>
      <c r="AA2601" s="4" t="s">
        <v>448</v>
      </c>
      <c r="AP2601" s="4" t="s">
        <v>376</v>
      </c>
      <c r="AR2601" s="4" t="s">
        <v>377</v>
      </c>
    </row>
    <row r="2602" spans="1:44">
      <c r="A2602" s="4" t="s">
        <v>5</v>
      </c>
      <c r="C2602" s="4">
        <v>3644</v>
      </c>
      <c r="D2602" s="5" t="s">
        <v>93</v>
      </c>
      <c r="E2602" s="6" t="s">
        <v>3971</v>
      </c>
      <c r="F2602" s="5" t="s">
        <v>3972</v>
      </c>
      <c r="AP2602" s="4" t="s">
        <v>376</v>
      </c>
      <c r="AR2602" s="4" t="s">
        <v>377</v>
      </c>
    </row>
    <row r="2603" spans="1:44">
      <c r="A2603" s="4" t="s">
        <v>5</v>
      </c>
      <c r="C2603" s="4">
        <v>1372</v>
      </c>
      <c r="D2603" s="5" t="s">
        <v>93</v>
      </c>
      <c r="E2603" s="6" t="s">
        <v>3973</v>
      </c>
      <c r="AP2603" s="4" t="s">
        <v>376</v>
      </c>
      <c r="AR2603" s="4" t="s">
        <v>377</v>
      </c>
    </row>
    <row r="2604" spans="1:44">
      <c r="A2604" s="4" t="s">
        <v>5</v>
      </c>
      <c r="C2604" s="4">
        <v>6170</v>
      </c>
      <c r="D2604" s="5" t="s">
        <v>93</v>
      </c>
      <c r="E2604" s="6" t="s">
        <v>3974</v>
      </c>
      <c r="F2604" s="5" t="s">
        <v>3975</v>
      </c>
      <c r="AP2604" s="4" t="s">
        <v>376</v>
      </c>
      <c r="AR2604" s="4" t="s">
        <v>377</v>
      </c>
    </row>
    <row r="2605" spans="1:44">
      <c r="A2605" s="4" t="s">
        <v>5</v>
      </c>
      <c r="C2605" s="4">
        <v>3411</v>
      </c>
      <c r="D2605" s="5" t="s">
        <v>93</v>
      </c>
      <c r="E2605" s="6" t="s">
        <v>3976</v>
      </c>
      <c r="F2605" s="5" t="s">
        <v>3977</v>
      </c>
      <c r="AP2605" s="4" t="s">
        <v>376</v>
      </c>
      <c r="AR2605" s="4" t="s">
        <v>377</v>
      </c>
    </row>
    <row r="2606" spans="1:44">
      <c r="A2606" s="4" t="s">
        <v>5</v>
      </c>
      <c r="C2606" s="4">
        <v>5288</v>
      </c>
      <c r="D2606" s="5" t="s">
        <v>93</v>
      </c>
      <c r="E2606" s="6" t="s">
        <v>3978</v>
      </c>
      <c r="F2606" s="5" t="s">
        <v>3979</v>
      </c>
      <c r="AP2606" s="4" t="s">
        <v>376</v>
      </c>
      <c r="AR2606" s="4" t="s">
        <v>377</v>
      </c>
    </row>
    <row r="2607" spans="1:44" ht="30">
      <c r="A2607" s="4" t="s">
        <v>5</v>
      </c>
      <c r="C2607" s="4">
        <v>2061</v>
      </c>
      <c r="D2607" s="5" t="s">
        <v>93</v>
      </c>
      <c r="E2607" s="6" t="s">
        <v>3980</v>
      </c>
      <c r="AP2607" s="4" t="s">
        <v>376</v>
      </c>
      <c r="AR2607" s="4" t="s">
        <v>377</v>
      </c>
    </row>
    <row r="2608" spans="1:44">
      <c r="A2608" s="4" t="s">
        <v>5</v>
      </c>
      <c r="C2608" s="4">
        <v>976</v>
      </c>
      <c r="D2608" s="5" t="s">
        <v>93</v>
      </c>
      <c r="E2608" s="6" t="s">
        <v>3981</v>
      </c>
      <c r="F2608" s="5" t="s">
        <v>3982</v>
      </c>
      <c r="AP2608" s="4" t="s">
        <v>376</v>
      </c>
      <c r="AR2608" s="4" t="s">
        <v>377</v>
      </c>
    </row>
    <row r="2609" spans="1:44">
      <c r="A2609" s="4" t="s">
        <v>5</v>
      </c>
      <c r="C2609" s="4">
        <v>2069</v>
      </c>
      <c r="D2609" s="5" t="s">
        <v>93</v>
      </c>
      <c r="E2609" s="6" t="s">
        <v>3983</v>
      </c>
      <c r="AP2609" s="4" t="s">
        <v>376</v>
      </c>
      <c r="AR2609" s="4" t="s">
        <v>377</v>
      </c>
    </row>
    <row r="2610" spans="1:44">
      <c r="A2610" s="4" t="s">
        <v>5</v>
      </c>
      <c r="C2610" s="4">
        <v>5901</v>
      </c>
      <c r="D2610" s="5" t="s">
        <v>93</v>
      </c>
      <c r="E2610" s="6" t="s">
        <v>3984</v>
      </c>
      <c r="Z2610" s="4" t="s">
        <v>443</v>
      </c>
      <c r="AA2610" s="4" t="s">
        <v>444</v>
      </c>
      <c r="AP2610" s="4" t="s">
        <v>376</v>
      </c>
      <c r="AR2610" s="4" t="s">
        <v>377</v>
      </c>
    </row>
    <row r="2611" spans="1:44">
      <c r="A2611" s="4" t="s">
        <v>5</v>
      </c>
      <c r="C2611" s="4">
        <v>4500</v>
      </c>
      <c r="D2611" s="5" t="s">
        <v>93</v>
      </c>
      <c r="E2611" s="6" t="s">
        <v>3985</v>
      </c>
      <c r="AP2611" s="4" t="s">
        <v>376</v>
      </c>
      <c r="AR2611" s="4" t="s">
        <v>377</v>
      </c>
    </row>
    <row r="2612" spans="1:44" ht="30">
      <c r="A2612" s="4" t="s">
        <v>5</v>
      </c>
      <c r="C2612" s="4">
        <v>5137</v>
      </c>
      <c r="D2612" s="5" t="s">
        <v>93</v>
      </c>
      <c r="E2612" s="6" t="s">
        <v>3986</v>
      </c>
      <c r="AP2612" s="4" t="s">
        <v>376</v>
      </c>
      <c r="AR2612" s="4" t="s">
        <v>377</v>
      </c>
    </row>
    <row r="2613" spans="1:44" ht="30">
      <c r="A2613" s="4" t="s">
        <v>5</v>
      </c>
      <c r="C2613" s="4">
        <v>4302</v>
      </c>
      <c r="D2613" s="5" t="s">
        <v>93</v>
      </c>
      <c r="E2613" s="6" t="s">
        <v>3987</v>
      </c>
      <c r="AP2613" s="4" t="s">
        <v>376</v>
      </c>
      <c r="AR2613" s="4" t="s">
        <v>377</v>
      </c>
    </row>
    <row r="2614" spans="1:44">
      <c r="A2614" s="4" t="s">
        <v>5</v>
      </c>
      <c r="C2614" s="4">
        <v>4601</v>
      </c>
      <c r="D2614" s="5" t="s">
        <v>93</v>
      </c>
      <c r="E2614" s="6" t="s">
        <v>3988</v>
      </c>
      <c r="Z2614" s="4" t="s">
        <v>443</v>
      </c>
      <c r="AA2614" s="4" t="s">
        <v>444</v>
      </c>
      <c r="AP2614" s="4" t="s">
        <v>376</v>
      </c>
      <c r="AR2614" s="4" t="s">
        <v>377</v>
      </c>
    </row>
    <row r="2615" spans="1:44">
      <c r="A2615" s="4" t="s">
        <v>5</v>
      </c>
      <c r="C2615" s="4">
        <v>1376</v>
      </c>
      <c r="D2615" s="5" t="s">
        <v>93</v>
      </c>
      <c r="E2615" s="6" t="s">
        <v>3989</v>
      </c>
      <c r="AP2615" s="4" t="s">
        <v>376</v>
      </c>
      <c r="AR2615" s="4" t="s">
        <v>377</v>
      </c>
    </row>
    <row r="2616" spans="1:44">
      <c r="A2616" s="4" t="s">
        <v>5</v>
      </c>
      <c r="C2616" s="4">
        <v>1720</v>
      </c>
      <c r="D2616" s="5" t="s">
        <v>93</v>
      </c>
      <c r="E2616" s="6" t="s">
        <v>3990</v>
      </c>
      <c r="AP2616" s="4" t="s">
        <v>376</v>
      </c>
      <c r="AR2616" s="4" t="s">
        <v>377</v>
      </c>
    </row>
    <row r="2617" spans="1:44">
      <c r="A2617" s="4" t="s">
        <v>5</v>
      </c>
      <c r="C2617" s="4">
        <v>2498</v>
      </c>
      <c r="D2617" s="5" t="s">
        <v>93</v>
      </c>
      <c r="E2617" s="6" t="s">
        <v>3991</v>
      </c>
      <c r="AP2617" s="4" t="s">
        <v>376</v>
      </c>
      <c r="AR2617" s="4" t="s">
        <v>377</v>
      </c>
    </row>
    <row r="2618" spans="1:44">
      <c r="A2618" s="4" t="s">
        <v>5</v>
      </c>
      <c r="C2618" s="4">
        <v>79</v>
      </c>
      <c r="D2618" s="5" t="s">
        <v>93</v>
      </c>
      <c r="E2618" s="6" t="s">
        <v>3992</v>
      </c>
      <c r="F2618" s="5" t="s">
        <v>3993</v>
      </c>
      <c r="AP2618" s="4" t="s">
        <v>376</v>
      </c>
      <c r="AR2618" s="4" t="s">
        <v>377</v>
      </c>
    </row>
    <row r="2619" spans="1:44">
      <c r="A2619" s="4" t="s">
        <v>5</v>
      </c>
      <c r="C2619" s="4">
        <v>5038</v>
      </c>
      <c r="D2619" s="5" t="s">
        <v>93</v>
      </c>
      <c r="E2619" s="6" t="s">
        <v>3994</v>
      </c>
      <c r="AP2619" s="4" t="s">
        <v>376</v>
      </c>
      <c r="AR2619" s="4" t="s">
        <v>377</v>
      </c>
    </row>
    <row r="2620" spans="1:44">
      <c r="A2620" s="4" t="s">
        <v>5</v>
      </c>
      <c r="C2620" s="4">
        <v>6034</v>
      </c>
      <c r="D2620" s="5" t="s">
        <v>93</v>
      </c>
      <c r="E2620" s="6" t="s">
        <v>3995</v>
      </c>
      <c r="AP2620" s="4" t="s">
        <v>376</v>
      </c>
      <c r="AR2620" s="4" t="s">
        <v>377</v>
      </c>
    </row>
    <row r="2621" spans="1:44">
      <c r="A2621" s="4" t="s">
        <v>5</v>
      </c>
      <c r="C2621" s="4">
        <v>1731</v>
      </c>
      <c r="D2621" s="5" t="s">
        <v>93</v>
      </c>
      <c r="E2621" s="6" t="s">
        <v>3996</v>
      </c>
      <c r="F2621" s="5" t="s">
        <v>3997</v>
      </c>
      <c r="AP2621" s="4" t="s">
        <v>376</v>
      </c>
      <c r="AR2621" s="4" t="s">
        <v>377</v>
      </c>
    </row>
    <row r="2622" spans="1:44" ht="30">
      <c r="A2622" s="4" t="s">
        <v>5</v>
      </c>
      <c r="C2622" s="4">
        <v>4198</v>
      </c>
      <c r="D2622" s="5" t="s">
        <v>93</v>
      </c>
      <c r="E2622" s="6" t="s">
        <v>3998</v>
      </c>
      <c r="AP2622" s="4" t="s">
        <v>376</v>
      </c>
      <c r="AR2622" s="4" t="s">
        <v>377</v>
      </c>
    </row>
    <row r="2623" spans="1:44">
      <c r="A2623" s="4" t="s">
        <v>5</v>
      </c>
      <c r="C2623" s="4">
        <v>2054</v>
      </c>
      <c r="D2623" s="5" t="s">
        <v>93</v>
      </c>
      <c r="E2623" s="6" t="s">
        <v>3999</v>
      </c>
      <c r="AP2623" s="4" t="s">
        <v>376</v>
      </c>
      <c r="AR2623" s="4" t="s">
        <v>377</v>
      </c>
    </row>
    <row r="2624" spans="1:44">
      <c r="A2624" s="4" t="s">
        <v>5</v>
      </c>
      <c r="C2624" s="4">
        <v>2849</v>
      </c>
      <c r="D2624" s="5" t="s">
        <v>93</v>
      </c>
      <c r="E2624" s="6" t="s">
        <v>4000</v>
      </c>
      <c r="AP2624" s="4" t="s">
        <v>376</v>
      </c>
      <c r="AR2624" s="4" t="s">
        <v>377</v>
      </c>
    </row>
    <row r="2625" spans="1:44" ht="30">
      <c r="A2625" s="4" t="s">
        <v>5</v>
      </c>
      <c r="C2625" s="4">
        <v>388</v>
      </c>
      <c r="D2625" s="5" t="s">
        <v>93</v>
      </c>
      <c r="E2625" s="6" t="s">
        <v>4001</v>
      </c>
      <c r="AP2625" s="4" t="s">
        <v>376</v>
      </c>
      <c r="AR2625" s="4" t="s">
        <v>377</v>
      </c>
    </row>
    <row r="2626" spans="1:44">
      <c r="A2626" s="4" t="s">
        <v>5</v>
      </c>
      <c r="C2626" s="4">
        <v>4958</v>
      </c>
      <c r="D2626" s="5" t="s">
        <v>93</v>
      </c>
      <c r="E2626" s="6" t="s">
        <v>4002</v>
      </c>
      <c r="AP2626" s="4" t="s">
        <v>376</v>
      </c>
      <c r="AR2626" s="4" t="s">
        <v>377</v>
      </c>
    </row>
    <row r="2627" spans="1:44">
      <c r="A2627" s="4" t="s">
        <v>5</v>
      </c>
      <c r="C2627" s="4">
        <v>6523</v>
      </c>
      <c r="D2627" s="5" t="s">
        <v>93</v>
      </c>
      <c r="E2627" s="6" t="s">
        <v>4003</v>
      </c>
      <c r="AP2627" s="4" t="s">
        <v>376</v>
      </c>
      <c r="AR2627" s="4" t="s">
        <v>377</v>
      </c>
    </row>
    <row r="2628" spans="1:44">
      <c r="A2628" s="4" t="s">
        <v>5</v>
      </c>
      <c r="C2628" s="4">
        <v>2423</v>
      </c>
      <c r="D2628" s="5" t="s">
        <v>93</v>
      </c>
      <c r="E2628" s="6" t="s">
        <v>4004</v>
      </c>
      <c r="F2628" s="5" t="s">
        <v>4005</v>
      </c>
      <c r="Z2628" s="4" t="s">
        <v>443</v>
      </c>
      <c r="AA2628" s="4" t="s">
        <v>444</v>
      </c>
      <c r="AP2628" s="4" t="s">
        <v>376</v>
      </c>
      <c r="AR2628" s="4" t="s">
        <v>377</v>
      </c>
    </row>
    <row r="2629" spans="1:44">
      <c r="A2629" s="4" t="s">
        <v>5</v>
      </c>
      <c r="C2629" s="4">
        <v>312</v>
      </c>
      <c r="D2629" s="5" t="s">
        <v>93</v>
      </c>
      <c r="E2629" s="6" t="s">
        <v>4006</v>
      </c>
      <c r="F2629" s="5" t="s">
        <v>4007</v>
      </c>
      <c r="AP2629" s="4" t="s">
        <v>376</v>
      </c>
      <c r="AR2629" s="4" t="s">
        <v>377</v>
      </c>
    </row>
    <row r="2630" spans="1:44">
      <c r="A2630" s="4" t="s">
        <v>5</v>
      </c>
      <c r="C2630" s="4">
        <v>4503</v>
      </c>
      <c r="D2630" s="5" t="s">
        <v>93</v>
      </c>
      <c r="E2630" s="6" t="s">
        <v>4008</v>
      </c>
      <c r="AP2630" s="4" t="s">
        <v>376</v>
      </c>
      <c r="AR2630" s="4" t="s">
        <v>377</v>
      </c>
    </row>
    <row r="2631" spans="1:44" ht="30">
      <c r="A2631" s="4" t="s">
        <v>5</v>
      </c>
      <c r="C2631" s="4">
        <v>524</v>
      </c>
      <c r="D2631" s="5" t="s">
        <v>93</v>
      </c>
      <c r="E2631" s="6" t="s">
        <v>4009</v>
      </c>
      <c r="F2631" s="5" t="s">
        <v>4010</v>
      </c>
      <c r="AP2631" s="4" t="s">
        <v>376</v>
      </c>
      <c r="AR2631" s="4" t="s">
        <v>377</v>
      </c>
    </row>
    <row r="2632" spans="1:44">
      <c r="A2632" s="4" t="s">
        <v>5</v>
      </c>
      <c r="C2632" s="4">
        <v>4293</v>
      </c>
      <c r="D2632" s="5" t="s">
        <v>93</v>
      </c>
      <c r="E2632" s="6" t="s">
        <v>4011</v>
      </c>
      <c r="AP2632" s="4" t="s">
        <v>376</v>
      </c>
      <c r="AR2632" s="4" t="s">
        <v>377</v>
      </c>
    </row>
    <row r="2633" spans="1:44">
      <c r="A2633" s="4" t="s">
        <v>5</v>
      </c>
      <c r="C2633" s="4">
        <v>264</v>
      </c>
      <c r="D2633" s="5" t="s">
        <v>93</v>
      </c>
      <c r="E2633" s="6" t="s">
        <v>4012</v>
      </c>
      <c r="F2633" s="5" t="s">
        <v>4013</v>
      </c>
      <c r="AP2633" s="4" t="s">
        <v>376</v>
      </c>
      <c r="AR2633" s="4" t="s">
        <v>377</v>
      </c>
    </row>
    <row r="2634" spans="1:44">
      <c r="A2634" s="4" t="s">
        <v>5</v>
      </c>
      <c r="C2634" s="4">
        <v>3203</v>
      </c>
      <c r="D2634" s="5" t="s">
        <v>93</v>
      </c>
      <c r="E2634" s="6" t="s">
        <v>4014</v>
      </c>
      <c r="AP2634" s="4" t="s">
        <v>376</v>
      </c>
      <c r="AR2634" s="4" t="s">
        <v>377</v>
      </c>
    </row>
    <row r="2635" spans="1:44">
      <c r="A2635" s="4" t="s">
        <v>5</v>
      </c>
      <c r="C2635" s="4">
        <v>5765</v>
      </c>
      <c r="D2635" s="5" t="s">
        <v>93</v>
      </c>
      <c r="E2635" s="6" t="s">
        <v>4015</v>
      </c>
      <c r="AP2635" s="4" t="s">
        <v>376</v>
      </c>
      <c r="AR2635" s="4" t="s">
        <v>377</v>
      </c>
    </row>
    <row r="2636" spans="1:44" ht="30">
      <c r="A2636" s="4" t="s">
        <v>5</v>
      </c>
      <c r="C2636" s="4">
        <v>501</v>
      </c>
      <c r="D2636" s="5" t="s">
        <v>93</v>
      </c>
      <c r="E2636" s="6" t="s">
        <v>4016</v>
      </c>
      <c r="F2636" s="5" t="s">
        <v>4017</v>
      </c>
      <c r="AP2636" s="4" t="s">
        <v>376</v>
      </c>
      <c r="AR2636" s="4" t="s">
        <v>377</v>
      </c>
    </row>
    <row r="2637" spans="1:44">
      <c r="A2637" s="4" t="s">
        <v>5</v>
      </c>
      <c r="C2637" s="4">
        <v>4545</v>
      </c>
      <c r="D2637" s="5" t="s">
        <v>93</v>
      </c>
      <c r="E2637" s="6" t="s">
        <v>4018</v>
      </c>
      <c r="F2637" s="5" t="s">
        <v>4019</v>
      </c>
      <c r="AP2637" s="4" t="s">
        <v>376</v>
      </c>
      <c r="AR2637" s="4" t="s">
        <v>377</v>
      </c>
    </row>
    <row r="2638" spans="1:44">
      <c r="A2638" s="4" t="s">
        <v>5</v>
      </c>
      <c r="C2638" s="4">
        <v>4994</v>
      </c>
      <c r="D2638" s="5" t="s">
        <v>93</v>
      </c>
      <c r="E2638" s="6" t="s">
        <v>4020</v>
      </c>
      <c r="AP2638" s="4" t="s">
        <v>376</v>
      </c>
      <c r="AR2638" s="4" t="s">
        <v>377</v>
      </c>
    </row>
    <row r="2639" spans="1:44">
      <c r="A2639" s="4" t="s">
        <v>5</v>
      </c>
      <c r="C2639" s="4">
        <v>3261</v>
      </c>
      <c r="D2639" s="5" t="s">
        <v>93</v>
      </c>
      <c r="E2639" s="6" t="s">
        <v>4021</v>
      </c>
      <c r="F2639" s="5" t="s">
        <v>4022</v>
      </c>
      <c r="AP2639" s="4" t="s">
        <v>376</v>
      </c>
      <c r="AR2639" s="4" t="s">
        <v>377</v>
      </c>
    </row>
    <row r="2640" spans="1:44" ht="30">
      <c r="A2640" s="4" t="s">
        <v>5</v>
      </c>
      <c r="C2640" s="4">
        <v>2419</v>
      </c>
      <c r="D2640" s="5" t="s">
        <v>93</v>
      </c>
      <c r="E2640" s="6" t="s">
        <v>4023</v>
      </c>
      <c r="F2640" s="5" t="s">
        <v>4024</v>
      </c>
      <c r="AP2640" s="4" t="s">
        <v>376</v>
      </c>
      <c r="AR2640" s="4" t="s">
        <v>377</v>
      </c>
    </row>
    <row r="2641" spans="1:44" ht="30">
      <c r="A2641" s="4" t="s">
        <v>5</v>
      </c>
      <c r="C2641" s="4">
        <v>5402</v>
      </c>
      <c r="D2641" s="5" t="s">
        <v>93</v>
      </c>
      <c r="E2641" s="6" t="s">
        <v>4025</v>
      </c>
      <c r="F2641" s="5" t="s">
        <v>4026</v>
      </c>
      <c r="AP2641" s="4" t="s">
        <v>376</v>
      </c>
      <c r="AR2641" s="4" t="s">
        <v>377</v>
      </c>
    </row>
    <row r="2642" spans="1:44" ht="30">
      <c r="A2642" s="4" t="s">
        <v>5</v>
      </c>
      <c r="C2642" s="4">
        <v>3494</v>
      </c>
      <c r="D2642" s="5" t="s">
        <v>93</v>
      </c>
      <c r="E2642" s="6" t="s">
        <v>4027</v>
      </c>
      <c r="F2642" s="5" t="s">
        <v>4028</v>
      </c>
      <c r="AP2642" s="4" t="s">
        <v>376</v>
      </c>
      <c r="AR2642" s="4" t="s">
        <v>377</v>
      </c>
    </row>
    <row r="2643" spans="1:44">
      <c r="A2643" s="4" t="s">
        <v>5</v>
      </c>
      <c r="C2643" s="4">
        <v>180</v>
      </c>
      <c r="D2643" s="5" t="s">
        <v>93</v>
      </c>
      <c r="E2643" s="6" t="s">
        <v>4029</v>
      </c>
      <c r="F2643" s="5" t="s">
        <v>4030</v>
      </c>
      <c r="AP2643" s="4" t="s">
        <v>376</v>
      </c>
      <c r="AR2643" s="4" t="s">
        <v>377</v>
      </c>
    </row>
    <row r="2644" spans="1:44" ht="30">
      <c r="A2644" s="4" t="s">
        <v>5</v>
      </c>
      <c r="C2644" s="4">
        <v>6304</v>
      </c>
      <c r="D2644" s="5" t="s">
        <v>93</v>
      </c>
      <c r="E2644" s="6" t="s">
        <v>4031</v>
      </c>
      <c r="AP2644" s="4" t="s">
        <v>376</v>
      </c>
      <c r="AR2644" s="4" t="s">
        <v>377</v>
      </c>
    </row>
    <row r="2645" spans="1:44" ht="30">
      <c r="A2645" s="4" t="s">
        <v>5</v>
      </c>
      <c r="C2645" s="4">
        <v>5418</v>
      </c>
      <c r="D2645" s="5" t="s">
        <v>93</v>
      </c>
      <c r="E2645" s="6" t="s">
        <v>4032</v>
      </c>
      <c r="F2645" s="5" t="s">
        <v>4033</v>
      </c>
      <c r="AP2645" s="4" t="s">
        <v>376</v>
      </c>
      <c r="AR2645" s="4" t="s">
        <v>377</v>
      </c>
    </row>
    <row r="2646" spans="1:44">
      <c r="A2646" s="4" t="s">
        <v>5</v>
      </c>
      <c r="C2646" s="4">
        <v>3810</v>
      </c>
      <c r="D2646" s="5" t="s">
        <v>93</v>
      </c>
      <c r="E2646" s="6" t="s">
        <v>4034</v>
      </c>
      <c r="AP2646" s="4" t="s">
        <v>376</v>
      </c>
      <c r="AR2646" s="4" t="s">
        <v>377</v>
      </c>
    </row>
    <row r="2647" spans="1:44">
      <c r="A2647" s="4" t="s">
        <v>5</v>
      </c>
      <c r="C2647" s="4">
        <v>1420</v>
      </c>
      <c r="D2647" s="5" t="s">
        <v>93</v>
      </c>
      <c r="E2647" s="6" t="s">
        <v>4035</v>
      </c>
      <c r="Z2647" s="4" t="s">
        <v>443</v>
      </c>
      <c r="AA2647" s="4" t="s">
        <v>444</v>
      </c>
      <c r="AP2647" s="4" t="s">
        <v>376</v>
      </c>
      <c r="AR2647" s="4" t="s">
        <v>377</v>
      </c>
    </row>
    <row r="2648" spans="1:44">
      <c r="A2648" s="4" t="s">
        <v>5</v>
      </c>
      <c r="C2648" s="4">
        <v>5737</v>
      </c>
      <c r="D2648" s="5" t="s">
        <v>93</v>
      </c>
      <c r="E2648" s="6" t="s">
        <v>4036</v>
      </c>
      <c r="AP2648" s="4" t="s">
        <v>376</v>
      </c>
      <c r="AR2648" s="4" t="s">
        <v>377</v>
      </c>
    </row>
    <row r="2649" spans="1:44">
      <c r="A2649" s="4" t="s">
        <v>5</v>
      </c>
      <c r="C2649" s="4">
        <v>6100</v>
      </c>
      <c r="D2649" s="5" t="s">
        <v>93</v>
      </c>
      <c r="E2649" s="6" t="s">
        <v>4037</v>
      </c>
      <c r="AP2649" s="4" t="s">
        <v>376</v>
      </c>
      <c r="AR2649" s="4" t="s">
        <v>377</v>
      </c>
    </row>
    <row r="2650" spans="1:44">
      <c r="A2650" s="4" t="s">
        <v>5</v>
      </c>
      <c r="C2650" s="4">
        <v>1975</v>
      </c>
      <c r="D2650" s="5" t="s">
        <v>93</v>
      </c>
      <c r="E2650" s="6" t="s">
        <v>4038</v>
      </c>
      <c r="F2650" s="5" t="s">
        <v>4039</v>
      </c>
      <c r="AP2650" s="4" t="s">
        <v>376</v>
      </c>
      <c r="AR2650" s="4" t="s">
        <v>377</v>
      </c>
    </row>
    <row r="2651" spans="1:44">
      <c r="A2651" s="4" t="s">
        <v>5</v>
      </c>
      <c r="C2651" s="4">
        <v>6832</v>
      </c>
      <c r="D2651" s="5" t="s">
        <v>93</v>
      </c>
      <c r="E2651" s="6" t="s">
        <v>4040</v>
      </c>
      <c r="AP2651" s="4" t="s">
        <v>376</v>
      </c>
      <c r="AR2651" s="4" t="s">
        <v>377</v>
      </c>
    </row>
    <row r="2652" spans="1:44">
      <c r="A2652" s="4" t="s">
        <v>5</v>
      </c>
      <c r="C2652" s="4">
        <v>6380</v>
      </c>
      <c r="D2652" s="5" t="s">
        <v>93</v>
      </c>
      <c r="E2652" s="6" t="s">
        <v>4041</v>
      </c>
      <c r="AP2652" s="4" t="s">
        <v>376</v>
      </c>
      <c r="AR2652" s="4" t="s">
        <v>377</v>
      </c>
    </row>
    <row r="2653" spans="1:44">
      <c r="A2653" s="4" t="s">
        <v>5</v>
      </c>
      <c r="C2653" s="4">
        <v>5233</v>
      </c>
      <c r="D2653" s="5" t="s">
        <v>93</v>
      </c>
      <c r="E2653" s="6" t="s">
        <v>4042</v>
      </c>
      <c r="AP2653" s="4" t="s">
        <v>376</v>
      </c>
      <c r="AR2653" s="4" t="s">
        <v>377</v>
      </c>
    </row>
    <row r="2654" spans="1:44">
      <c r="A2654" s="4" t="s">
        <v>5</v>
      </c>
      <c r="C2654" s="4">
        <v>6255</v>
      </c>
      <c r="D2654" s="5" t="s">
        <v>93</v>
      </c>
      <c r="E2654" s="6" t="s">
        <v>4043</v>
      </c>
      <c r="AP2654" s="4" t="s">
        <v>376</v>
      </c>
      <c r="AR2654" s="4" t="s">
        <v>377</v>
      </c>
    </row>
    <row r="2655" spans="1:44" ht="30">
      <c r="A2655" s="4" t="s">
        <v>5</v>
      </c>
      <c r="C2655" s="4">
        <v>1349</v>
      </c>
      <c r="D2655" s="5" t="s">
        <v>93</v>
      </c>
      <c r="E2655" s="6" t="s">
        <v>4044</v>
      </c>
      <c r="AP2655" s="4" t="s">
        <v>376</v>
      </c>
      <c r="AR2655" s="4" t="s">
        <v>377</v>
      </c>
    </row>
    <row r="2656" spans="1:44" ht="30">
      <c r="A2656" s="4" t="s">
        <v>5</v>
      </c>
      <c r="C2656" s="4">
        <v>3720</v>
      </c>
      <c r="D2656" s="5" t="s">
        <v>93</v>
      </c>
      <c r="E2656" s="6" t="s">
        <v>4045</v>
      </c>
      <c r="F2656" s="5" t="s">
        <v>4046</v>
      </c>
      <c r="Z2656" s="4" t="s">
        <v>447</v>
      </c>
      <c r="AA2656" s="4" t="s">
        <v>448</v>
      </c>
      <c r="AP2656" s="4" t="s">
        <v>376</v>
      </c>
      <c r="AR2656" s="4" t="s">
        <v>377</v>
      </c>
    </row>
    <row r="2657" spans="1:44" ht="30">
      <c r="A2657" s="4" t="s">
        <v>5</v>
      </c>
      <c r="C2657" s="4">
        <v>5254</v>
      </c>
      <c r="D2657" s="5" t="s">
        <v>93</v>
      </c>
      <c r="E2657" s="6" t="s">
        <v>4047</v>
      </c>
      <c r="Z2657" s="4" t="s">
        <v>443</v>
      </c>
      <c r="AA2657" s="4" t="s">
        <v>444</v>
      </c>
      <c r="AP2657" s="4" t="s">
        <v>376</v>
      </c>
      <c r="AR2657" s="4" t="s">
        <v>377</v>
      </c>
    </row>
    <row r="2658" spans="1:44">
      <c r="A2658" s="4" t="s">
        <v>5</v>
      </c>
      <c r="C2658" s="4">
        <v>4750</v>
      </c>
      <c r="D2658" s="5" t="s">
        <v>93</v>
      </c>
      <c r="E2658" s="6" t="s">
        <v>4048</v>
      </c>
      <c r="Z2658" s="4" t="s">
        <v>695</v>
      </c>
      <c r="AA2658" s="4" t="s">
        <v>696</v>
      </c>
      <c r="AP2658" s="4" t="s">
        <v>376</v>
      </c>
      <c r="AR2658" s="4" t="s">
        <v>377</v>
      </c>
    </row>
    <row r="2659" spans="1:44">
      <c r="A2659" s="4" t="s">
        <v>5</v>
      </c>
      <c r="C2659" s="4">
        <v>1012</v>
      </c>
      <c r="D2659" s="5" t="s">
        <v>93</v>
      </c>
      <c r="E2659" s="6" t="s">
        <v>4049</v>
      </c>
      <c r="F2659" s="5" t="s">
        <v>4050</v>
      </c>
      <c r="AP2659" s="4" t="s">
        <v>376</v>
      </c>
      <c r="AR2659" s="4" t="s">
        <v>377</v>
      </c>
    </row>
    <row r="2660" spans="1:44">
      <c r="A2660" s="4" t="s">
        <v>5</v>
      </c>
      <c r="C2660" s="4">
        <v>1805</v>
      </c>
      <c r="D2660" s="5" t="s">
        <v>93</v>
      </c>
      <c r="E2660" s="6" t="s">
        <v>4051</v>
      </c>
      <c r="AP2660" s="4" t="s">
        <v>376</v>
      </c>
      <c r="AR2660" s="4" t="s">
        <v>377</v>
      </c>
    </row>
    <row r="2661" spans="1:44">
      <c r="A2661" s="4" t="s">
        <v>5</v>
      </c>
      <c r="C2661" s="4">
        <v>4686</v>
      </c>
      <c r="D2661" s="5" t="s">
        <v>93</v>
      </c>
      <c r="E2661" s="6" t="s">
        <v>4052</v>
      </c>
      <c r="AP2661" s="4" t="s">
        <v>376</v>
      </c>
      <c r="AR2661" s="4" t="s">
        <v>377</v>
      </c>
    </row>
    <row r="2662" spans="1:44">
      <c r="A2662" s="4" t="s">
        <v>5</v>
      </c>
      <c r="C2662" s="4">
        <v>113</v>
      </c>
      <c r="D2662" s="5" t="s">
        <v>93</v>
      </c>
      <c r="E2662" s="6" t="s">
        <v>4053</v>
      </c>
      <c r="F2662" s="5" t="s">
        <v>4054</v>
      </c>
      <c r="AP2662" s="4" t="s">
        <v>376</v>
      </c>
      <c r="AR2662" s="4" t="s">
        <v>377</v>
      </c>
    </row>
    <row r="2663" spans="1:44" ht="30">
      <c r="A2663" s="4" t="s">
        <v>5</v>
      </c>
      <c r="C2663" s="4">
        <v>4722</v>
      </c>
      <c r="D2663" s="5" t="s">
        <v>93</v>
      </c>
      <c r="E2663" s="6" t="s">
        <v>4055</v>
      </c>
      <c r="AP2663" s="4" t="s">
        <v>376</v>
      </c>
      <c r="AR2663" s="4" t="s">
        <v>377</v>
      </c>
    </row>
    <row r="2664" spans="1:44">
      <c r="A2664" s="4" t="s">
        <v>5</v>
      </c>
      <c r="C2664" s="4">
        <v>475</v>
      </c>
      <c r="D2664" s="5" t="s">
        <v>93</v>
      </c>
      <c r="E2664" s="6" t="s">
        <v>4056</v>
      </c>
      <c r="F2664" s="5" t="s">
        <v>4057</v>
      </c>
      <c r="AP2664" s="4" t="s">
        <v>376</v>
      </c>
      <c r="AR2664" s="4" t="s">
        <v>377</v>
      </c>
    </row>
    <row r="2665" spans="1:44">
      <c r="A2665" s="4" t="s">
        <v>5</v>
      </c>
      <c r="C2665" s="4">
        <v>2771</v>
      </c>
      <c r="D2665" s="5" t="s">
        <v>93</v>
      </c>
      <c r="E2665" s="6" t="s">
        <v>4058</v>
      </c>
      <c r="F2665" s="5" t="s">
        <v>4059</v>
      </c>
      <c r="AP2665" s="4" t="s">
        <v>376</v>
      </c>
      <c r="AR2665" s="4" t="s">
        <v>377</v>
      </c>
    </row>
    <row r="2666" spans="1:44">
      <c r="A2666" s="4" t="s">
        <v>5</v>
      </c>
      <c r="C2666" s="4">
        <v>188</v>
      </c>
      <c r="D2666" s="5" t="s">
        <v>93</v>
      </c>
      <c r="E2666" s="6" t="s">
        <v>4060</v>
      </c>
      <c r="AP2666" s="4" t="s">
        <v>376</v>
      </c>
      <c r="AR2666" s="4" t="s">
        <v>377</v>
      </c>
    </row>
    <row r="2667" spans="1:44">
      <c r="A2667" s="4" t="s">
        <v>5</v>
      </c>
      <c r="C2667" s="4">
        <v>1196</v>
      </c>
      <c r="D2667" s="5" t="s">
        <v>93</v>
      </c>
      <c r="E2667" s="6" t="s">
        <v>4061</v>
      </c>
      <c r="AP2667" s="4" t="s">
        <v>376</v>
      </c>
      <c r="AR2667" s="4" t="s">
        <v>377</v>
      </c>
    </row>
    <row r="2668" spans="1:44">
      <c r="A2668" s="4" t="s">
        <v>5</v>
      </c>
      <c r="C2668" s="4">
        <v>2565</v>
      </c>
      <c r="D2668" s="5" t="s">
        <v>93</v>
      </c>
      <c r="E2668" s="6" t="s">
        <v>4062</v>
      </c>
      <c r="AP2668" s="4" t="s">
        <v>376</v>
      </c>
      <c r="AR2668" s="4" t="s">
        <v>377</v>
      </c>
    </row>
    <row r="2669" spans="1:44">
      <c r="A2669" s="4" t="s">
        <v>5</v>
      </c>
      <c r="C2669" s="4">
        <v>5555</v>
      </c>
      <c r="D2669" s="5" t="s">
        <v>93</v>
      </c>
      <c r="E2669" s="6" t="s">
        <v>4063</v>
      </c>
      <c r="F2669" s="5" t="s">
        <v>4064</v>
      </c>
      <c r="Z2669" s="4" t="s">
        <v>443</v>
      </c>
      <c r="AA2669" s="4" t="s">
        <v>444</v>
      </c>
      <c r="AP2669" s="4" t="s">
        <v>376</v>
      </c>
      <c r="AR2669" s="4" t="s">
        <v>377</v>
      </c>
    </row>
    <row r="2670" spans="1:44">
      <c r="A2670" s="4" t="s">
        <v>5</v>
      </c>
      <c r="C2670" s="4">
        <v>1752</v>
      </c>
      <c r="D2670" s="5" t="s">
        <v>93</v>
      </c>
      <c r="E2670" s="6" t="s">
        <v>4065</v>
      </c>
      <c r="F2670" s="5" t="s">
        <v>4066</v>
      </c>
      <c r="AP2670" s="4" t="s">
        <v>376</v>
      </c>
      <c r="AR2670" s="4" t="s">
        <v>377</v>
      </c>
    </row>
    <row r="2671" spans="1:44">
      <c r="A2671" s="4" t="s">
        <v>5</v>
      </c>
      <c r="C2671" s="4">
        <v>1211</v>
      </c>
      <c r="D2671" s="5" t="s">
        <v>93</v>
      </c>
      <c r="E2671" s="6" t="s">
        <v>4067</v>
      </c>
      <c r="AP2671" s="4" t="s">
        <v>376</v>
      </c>
      <c r="AR2671" s="4" t="s">
        <v>377</v>
      </c>
    </row>
    <row r="2672" spans="1:44" ht="30">
      <c r="A2672" s="4" t="s">
        <v>5</v>
      </c>
      <c r="C2672" s="4">
        <v>309</v>
      </c>
      <c r="D2672" s="5" t="s">
        <v>93</v>
      </c>
      <c r="E2672" s="6" t="s">
        <v>4068</v>
      </c>
      <c r="F2672" s="5" t="s">
        <v>4069</v>
      </c>
      <c r="AP2672" s="4" t="s">
        <v>376</v>
      </c>
      <c r="AR2672" s="4" t="s">
        <v>377</v>
      </c>
    </row>
    <row r="2673" spans="1:44">
      <c r="A2673" s="4" t="s">
        <v>5</v>
      </c>
      <c r="C2673" s="4">
        <v>3470</v>
      </c>
      <c r="D2673" s="5" t="s">
        <v>93</v>
      </c>
      <c r="E2673" s="6" t="s">
        <v>4070</v>
      </c>
      <c r="Z2673" s="4" t="s">
        <v>443</v>
      </c>
      <c r="AA2673" s="4" t="s">
        <v>444</v>
      </c>
      <c r="AP2673" s="4" t="s">
        <v>376</v>
      </c>
      <c r="AR2673" s="4" t="s">
        <v>377</v>
      </c>
    </row>
    <row r="2674" spans="1:44">
      <c r="A2674" s="4" t="s">
        <v>5</v>
      </c>
      <c r="C2674" s="4">
        <v>2338</v>
      </c>
      <c r="D2674" s="5" t="s">
        <v>93</v>
      </c>
      <c r="E2674" s="6" t="s">
        <v>4071</v>
      </c>
      <c r="F2674" s="5" t="s">
        <v>4072</v>
      </c>
      <c r="AP2674" s="4" t="s">
        <v>376</v>
      </c>
      <c r="AR2674" s="4" t="s">
        <v>377</v>
      </c>
    </row>
    <row r="2675" spans="1:44" ht="30">
      <c r="A2675" s="4" t="s">
        <v>5</v>
      </c>
      <c r="C2675" s="4">
        <v>2882</v>
      </c>
      <c r="D2675" s="5" t="s">
        <v>93</v>
      </c>
      <c r="E2675" s="6" t="s">
        <v>4073</v>
      </c>
      <c r="F2675" s="5" t="s">
        <v>4074</v>
      </c>
      <c r="AP2675" s="4" t="s">
        <v>376</v>
      </c>
      <c r="AR2675" s="4" t="s">
        <v>377</v>
      </c>
    </row>
    <row r="2676" spans="1:44">
      <c r="A2676" s="4" t="s">
        <v>5</v>
      </c>
      <c r="C2676" s="4">
        <v>5695</v>
      </c>
      <c r="D2676" s="5" t="s">
        <v>93</v>
      </c>
      <c r="E2676" s="6" t="s">
        <v>4075</v>
      </c>
      <c r="AP2676" s="4" t="s">
        <v>376</v>
      </c>
      <c r="AR2676" s="4" t="s">
        <v>377</v>
      </c>
    </row>
    <row r="2677" spans="1:44">
      <c r="A2677" s="4" t="s">
        <v>5</v>
      </c>
      <c r="C2677" s="4">
        <v>5909</v>
      </c>
      <c r="D2677" s="5" t="s">
        <v>93</v>
      </c>
      <c r="E2677" s="6" t="s">
        <v>4076</v>
      </c>
      <c r="AP2677" s="4" t="s">
        <v>376</v>
      </c>
      <c r="AR2677" s="4" t="s">
        <v>377</v>
      </c>
    </row>
    <row r="2678" spans="1:44" ht="30">
      <c r="A2678" s="4" t="s">
        <v>5</v>
      </c>
      <c r="C2678" s="4">
        <v>2304</v>
      </c>
      <c r="D2678" s="5" t="s">
        <v>93</v>
      </c>
      <c r="E2678" s="6" t="s">
        <v>4077</v>
      </c>
      <c r="F2678" s="5" t="s">
        <v>4078</v>
      </c>
      <c r="AP2678" s="4" t="s">
        <v>376</v>
      </c>
      <c r="AR2678" s="4" t="s">
        <v>377</v>
      </c>
    </row>
    <row r="2679" spans="1:44" ht="30">
      <c r="A2679" s="4" t="s">
        <v>5</v>
      </c>
      <c r="C2679" s="4">
        <v>6131</v>
      </c>
      <c r="D2679" s="5" t="s">
        <v>93</v>
      </c>
      <c r="E2679" s="6" t="s">
        <v>4079</v>
      </c>
      <c r="F2679" s="5" t="s">
        <v>4080</v>
      </c>
      <c r="Z2679" s="4" t="s">
        <v>447</v>
      </c>
      <c r="AA2679" s="4" t="s">
        <v>448</v>
      </c>
      <c r="AP2679" s="4" t="s">
        <v>376</v>
      </c>
      <c r="AR2679" s="4" t="s">
        <v>377</v>
      </c>
    </row>
    <row r="2680" spans="1:44">
      <c r="A2680" s="4" t="s">
        <v>5</v>
      </c>
      <c r="C2680" s="4">
        <v>4397</v>
      </c>
      <c r="D2680" s="5" t="s">
        <v>93</v>
      </c>
      <c r="E2680" s="6" t="s">
        <v>4081</v>
      </c>
      <c r="AP2680" s="4" t="s">
        <v>376</v>
      </c>
      <c r="AR2680" s="4" t="s">
        <v>377</v>
      </c>
    </row>
    <row r="2681" spans="1:44">
      <c r="A2681" s="4" t="s">
        <v>5</v>
      </c>
      <c r="C2681" s="4">
        <v>5263</v>
      </c>
      <c r="D2681" s="5" t="s">
        <v>93</v>
      </c>
      <c r="E2681" s="6" t="s">
        <v>4082</v>
      </c>
      <c r="AP2681" s="4" t="s">
        <v>376</v>
      </c>
      <c r="AR2681" s="4" t="s">
        <v>377</v>
      </c>
    </row>
    <row r="2682" spans="1:44" ht="30">
      <c r="A2682" s="4" t="s">
        <v>5</v>
      </c>
      <c r="C2682" s="4">
        <v>4786</v>
      </c>
      <c r="D2682" s="5" t="s">
        <v>93</v>
      </c>
      <c r="E2682" s="6" t="s">
        <v>4083</v>
      </c>
      <c r="AP2682" s="4" t="s">
        <v>376</v>
      </c>
      <c r="AR2682" s="4" t="s">
        <v>377</v>
      </c>
    </row>
    <row r="2683" spans="1:44">
      <c r="A2683" s="4" t="s">
        <v>5</v>
      </c>
      <c r="C2683" s="4">
        <v>3460</v>
      </c>
      <c r="D2683" s="5" t="s">
        <v>93</v>
      </c>
      <c r="E2683" s="6" t="s">
        <v>4084</v>
      </c>
      <c r="F2683" s="5" t="s">
        <v>4085</v>
      </c>
      <c r="AP2683" s="4" t="s">
        <v>376</v>
      </c>
      <c r="AR2683" s="4" t="s">
        <v>377</v>
      </c>
    </row>
    <row r="2684" spans="1:44">
      <c r="A2684" s="4" t="s">
        <v>5</v>
      </c>
      <c r="C2684" s="4">
        <v>2688</v>
      </c>
      <c r="D2684" s="5" t="s">
        <v>93</v>
      </c>
      <c r="E2684" s="6" t="s">
        <v>4086</v>
      </c>
      <c r="F2684" s="5" t="s">
        <v>4087</v>
      </c>
      <c r="AP2684" s="4" t="s">
        <v>376</v>
      </c>
      <c r="AR2684" s="4" t="s">
        <v>377</v>
      </c>
    </row>
    <row r="2685" spans="1:44">
      <c r="A2685" s="4" t="s">
        <v>5</v>
      </c>
      <c r="C2685" s="4">
        <v>3384</v>
      </c>
      <c r="D2685" s="5" t="s">
        <v>93</v>
      </c>
      <c r="E2685" s="6" t="s">
        <v>4088</v>
      </c>
      <c r="F2685" s="5" t="s">
        <v>4089</v>
      </c>
      <c r="AP2685" s="4" t="s">
        <v>376</v>
      </c>
      <c r="AR2685" s="4" t="s">
        <v>377</v>
      </c>
    </row>
    <row r="2686" spans="1:44">
      <c r="A2686" s="4" t="s">
        <v>5</v>
      </c>
      <c r="C2686" s="4">
        <v>2161</v>
      </c>
      <c r="D2686" s="5" t="s">
        <v>93</v>
      </c>
      <c r="E2686" s="6" t="s">
        <v>4090</v>
      </c>
      <c r="AP2686" s="4" t="s">
        <v>376</v>
      </c>
      <c r="AR2686" s="4" t="s">
        <v>377</v>
      </c>
    </row>
    <row r="2687" spans="1:44" ht="30">
      <c r="A2687" s="4" t="s">
        <v>5</v>
      </c>
      <c r="C2687" s="4">
        <v>6659</v>
      </c>
      <c r="D2687" s="5" t="s">
        <v>93</v>
      </c>
      <c r="E2687" s="6" t="s">
        <v>4091</v>
      </c>
      <c r="AP2687" s="4" t="s">
        <v>376</v>
      </c>
      <c r="AR2687" s="4" t="s">
        <v>377</v>
      </c>
    </row>
    <row r="2688" spans="1:44">
      <c r="A2688" s="4" t="s">
        <v>5</v>
      </c>
      <c r="C2688" s="4">
        <v>5762</v>
      </c>
      <c r="D2688" s="5" t="s">
        <v>93</v>
      </c>
      <c r="E2688" s="6" t="s">
        <v>4092</v>
      </c>
      <c r="F2688" s="5" t="s">
        <v>4093</v>
      </c>
      <c r="AP2688" s="4" t="s">
        <v>376</v>
      </c>
      <c r="AR2688" s="4" t="s">
        <v>377</v>
      </c>
    </row>
    <row r="2689" spans="1:44">
      <c r="A2689" s="4" t="s">
        <v>5</v>
      </c>
      <c r="C2689" s="4">
        <v>2063</v>
      </c>
      <c r="D2689" s="5" t="s">
        <v>93</v>
      </c>
      <c r="E2689" s="6" t="s">
        <v>4094</v>
      </c>
      <c r="AP2689" s="4" t="s">
        <v>376</v>
      </c>
      <c r="AR2689" s="4" t="s">
        <v>377</v>
      </c>
    </row>
    <row r="2690" spans="1:44" ht="30">
      <c r="A2690" s="4" t="s">
        <v>5</v>
      </c>
      <c r="C2690" s="4">
        <v>5187</v>
      </c>
      <c r="D2690" s="5" t="s">
        <v>93</v>
      </c>
      <c r="E2690" s="6" t="s">
        <v>4095</v>
      </c>
      <c r="Z2690" s="4" t="s">
        <v>695</v>
      </c>
      <c r="AA2690" s="4" t="s">
        <v>696</v>
      </c>
      <c r="AP2690" s="4" t="s">
        <v>376</v>
      </c>
      <c r="AR2690" s="4" t="s">
        <v>377</v>
      </c>
    </row>
    <row r="2691" spans="1:44">
      <c r="A2691" s="4" t="s">
        <v>5</v>
      </c>
      <c r="C2691" s="4">
        <v>3778</v>
      </c>
      <c r="D2691" s="5" t="s">
        <v>93</v>
      </c>
      <c r="E2691" s="6" t="s">
        <v>4096</v>
      </c>
      <c r="F2691" s="5" t="s">
        <v>4097</v>
      </c>
      <c r="AP2691" s="4" t="s">
        <v>376</v>
      </c>
      <c r="AR2691" s="4" t="s">
        <v>377</v>
      </c>
    </row>
    <row r="2692" spans="1:44" ht="30">
      <c r="A2692" s="4" t="s">
        <v>5</v>
      </c>
      <c r="C2692" s="4">
        <v>3615</v>
      </c>
      <c r="D2692" s="5" t="s">
        <v>93</v>
      </c>
      <c r="E2692" s="6" t="s">
        <v>4098</v>
      </c>
      <c r="AP2692" s="4" t="s">
        <v>376</v>
      </c>
      <c r="AR2692" s="4" t="s">
        <v>377</v>
      </c>
    </row>
    <row r="2693" spans="1:44">
      <c r="A2693" s="4" t="s">
        <v>5</v>
      </c>
      <c r="C2693" s="4">
        <v>3407</v>
      </c>
      <c r="D2693" s="5" t="s">
        <v>93</v>
      </c>
      <c r="E2693" s="6" t="s">
        <v>4099</v>
      </c>
      <c r="AP2693" s="4" t="s">
        <v>376</v>
      </c>
      <c r="AR2693" s="4" t="s">
        <v>377</v>
      </c>
    </row>
    <row r="2694" spans="1:44">
      <c r="A2694" s="4" t="s">
        <v>5</v>
      </c>
      <c r="C2694" s="4">
        <v>1460</v>
      </c>
      <c r="D2694" s="5" t="s">
        <v>93</v>
      </c>
      <c r="E2694" s="6" t="s">
        <v>4100</v>
      </c>
      <c r="F2694" s="5" t="s">
        <v>4101</v>
      </c>
      <c r="AP2694" s="4" t="s">
        <v>376</v>
      </c>
      <c r="AR2694" s="4" t="s">
        <v>377</v>
      </c>
    </row>
    <row r="2695" spans="1:44">
      <c r="A2695" s="4" t="s">
        <v>5</v>
      </c>
      <c r="C2695" s="4">
        <v>6986</v>
      </c>
      <c r="D2695" s="5" t="s">
        <v>93</v>
      </c>
      <c r="E2695" s="6" t="s">
        <v>4102</v>
      </c>
      <c r="F2695" s="5" t="s">
        <v>4103</v>
      </c>
      <c r="AP2695" s="4" t="s">
        <v>376</v>
      </c>
      <c r="AR2695" s="4" t="s">
        <v>377</v>
      </c>
    </row>
    <row r="2696" spans="1:44">
      <c r="A2696" s="4" t="s">
        <v>5</v>
      </c>
      <c r="C2696" s="4">
        <v>1377</v>
      </c>
      <c r="D2696" s="5" t="s">
        <v>93</v>
      </c>
      <c r="E2696" s="6" t="s">
        <v>4104</v>
      </c>
      <c r="F2696" s="5" t="s">
        <v>4105</v>
      </c>
      <c r="AP2696" s="4" t="s">
        <v>376</v>
      </c>
      <c r="AR2696" s="4" t="s">
        <v>377</v>
      </c>
    </row>
    <row r="2697" spans="1:44">
      <c r="A2697" s="4" t="s">
        <v>5</v>
      </c>
      <c r="C2697" s="4">
        <v>6019</v>
      </c>
      <c r="D2697" s="5" t="s">
        <v>93</v>
      </c>
      <c r="E2697" s="6" t="s">
        <v>4106</v>
      </c>
      <c r="AP2697" s="4" t="s">
        <v>376</v>
      </c>
      <c r="AR2697" s="4" t="s">
        <v>377</v>
      </c>
    </row>
    <row r="2698" spans="1:44">
      <c r="A2698" s="4" t="s">
        <v>5</v>
      </c>
      <c r="C2698" s="4">
        <v>6848</v>
      </c>
      <c r="D2698" s="5" t="s">
        <v>93</v>
      </c>
      <c r="E2698" s="6" t="s">
        <v>4107</v>
      </c>
      <c r="F2698" s="5" t="s">
        <v>4108</v>
      </c>
      <c r="AP2698" s="4" t="s">
        <v>376</v>
      </c>
      <c r="AR2698" s="4" t="s">
        <v>377</v>
      </c>
    </row>
    <row r="2699" spans="1:44">
      <c r="A2699" s="4" t="s">
        <v>5</v>
      </c>
      <c r="C2699" s="4">
        <v>6391</v>
      </c>
      <c r="D2699" s="5" t="s">
        <v>93</v>
      </c>
      <c r="E2699" s="6" t="s">
        <v>4109</v>
      </c>
      <c r="AP2699" s="4" t="s">
        <v>376</v>
      </c>
      <c r="AR2699" s="4" t="s">
        <v>377</v>
      </c>
    </row>
    <row r="2700" spans="1:44">
      <c r="A2700" s="4" t="s">
        <v>5</v>
      </c>
      <c r="C2700" s="4">
        <v>5582</v>
      </c>
      <c r="D2700" s="5" t="s">
        <v>93</v>
      </c>
      <c r="E2700" s="6" t="s">
        <v>4110</v>
      </c>
      <c r="AP2700" s="4" t="s">
        <v>376</v>
      </c>
      <c r="AR2700" s="4" t="s">
        <v>377</v>
      </c>
    </row>
    <row r="2701" spans="1:44">
      <c r="A2701" s="4" t="s">
        <v>5</v>
      </c>
      <c r="C2701" s="4">
        <v>2654</v>
      </c>
      <c r="D2701" s="5" t="s">
        <v>93</v>
      </c>
      <c r="E2701" s="6" t="s">
        <v>4111</v>
      </c>
      <c r="F2701" s="5" t="s">
        <v>4112</v>
      </c>
      <c r="AP2701" s="4" t="s">
        <v>376</v>
      </c>
      <c r="AR2701" s="4" t="s">
        <v>377</v>
      </c>
    </row>
    <row r="2702" spans="1:44">
      <c r="A2702" s="4" t="s">
        <v>5</v>
      </c>
      <c r="C2702" s="4">
        <v>2295</v>
      </c>
      <c r="D2702" s="5" t="s">
        <v>93</v>
      </c>
      <c r="E2702" s="6" t="s">
        <v>4113</v>
      </c>
      <c r="AP2702" s="4" t="s">
        <v>376</v>
      </c>
      <c r="AR2702" s="4" t="s">
        <v>377</v>
      </c>
    </row>
    <row r="2703" spans="1:44">
      <c r="A2703" s="4" t="s">
        <v>5</v>
      </c>
      <c r="C2703" s="4">
        <v>1982</v>
      </c>
      <c r="D2703" s="5" t="s">
        <v>93</v>
      </c>
      <c r="E2703" s="6" t="s">
        <v>4114</v>
      </c>
      <c r="F2703" s="5" t="s">
        <v>4115</v>
      </c>
      <c r="AP2703" s="4" t="s">
        <v>376</v>
      </c>
      <c r="AR2703" s="4" t="s">
        <v>377</v>
      </c>
    </row>
    <row r="2704" spans="1:44">
      <c r="A2704" s="4" t="s">
        <v>5</v>
      </c>
      <c r="C2704" s="4">
        <v>4646</v>
      </c>
      <c r="D2704" s="5" t="s">
        <v>93</v>
      </c>
      <c r="E2704" s="6" t="s">
        <v>4116</v>
      </c>
      <c r="AP2704" s="4" t="s">
        <v>376</v>
      </c>
      <c r="AR2704" s="4" t="s">
        <v>377</v>
      </c>
    </row>
    <row r="2705" spans="1:44">
      <c r="A2705" s="4" t="s">
        <v>5</v>
      </c>
      <c r="C2705" s="4">
        <v>3396</v>
      </c>
      <c r="D2705" s="5" t="s">
        <v>93</v>
      </c>
      <c r="E2705" s="6" t="s">
        <v>4117</v>
      </c>
      <c r="AP2705" s="4" t="s">
        <v>376</v>
      </c>
      <c r="AR2705" s="4" t="s">
        <v>377</v>
      </c>
    </row>
    <row r="2706" spans="1:44" ht="30">
      <c r="A2706" s="4" t="s">
        <v>5</v>
      </c>
      <c r="C2706" s="4">
        <v>2727</v>
      </c>
      <c r="D2706" s="5" t="s">
        <v>93</v>
      </c>
      <c r="E2706" s="6" t="s">
        <v>4118</v>
      </c>
      <c r="Z2706" s="4" t="s">
        <v>443</v>
      </c>
      <c r="AA2706" s="4" t="s">
        <v>444</v>
      </c>
      <c r="AP2706" s="4" t="s">
        <v>376</v>
      </c>
      <c r="AR2706" s="4" t="s">
        <v>377</v>
      </c>
    </row>
    <row r="2707" spans="1:44">
      <c r="A2707" s="4" t="s">
        <v>5</v>
      </c>
      <c r="C2707" s="4">
        <v>214</v>
      </c>
      <c r="D2707" s="5" t="s">
        <v>93</v>
      </c>
      <c r="E2707" s="6" t="s">
        <v>4119</v>
      </c>
      <c r="F2707" s="5" t="s">
        <v>4120</v>
      </c>
      <c r="AP2707" s="4" t="s">
        <v>376</v>
      </c>
      <c r="AR2707" s="4" t="s">
        <v>377</v>
      </c>
    </row>
    <row r="2708" spans="1:44">
      <c r="A2708" s="4" t="s">
        <v>5</v>
      </c>
      <c r="C2708" s="4">
        <v>2725</v>
      </c>
      <c r="D2708" s="5" t="s">
        <v>93</v>
      </c>
      <c r="E2708" s="6" t="s">
        <v>4121</v>
      </c>
      <c r="F2708" s="5" t="s">
        <v>4122</v>
      </c>
      <c r="AP2708" s="4" t="s">
        <v>376</v>
      </c>
      <c r="AR2708" s="4" t="s">
        <v>377</v>
      </c>
    </row>
    <row r="2709" spans="1:44" ht="30">
      <c r="A2709" s="4" t="s">
        <v>5</v>
      </c>
      <c r="C2709" s="4">
        <v>5429</v>
      </c>
      <c r="D2709" s="5" t="s">
        <v>93</v>
      </c>
      <c r="E2709" s="6" t="s">
        <v>4123</v>
      </c>
      <c r="AP2709" s="4" t="s">
        <v>376</v>
      </c>
      <c r="AR2709" s="4" t="s">
        <v>377</v>
      </c>
    </row>
    <row r="2710" spans="1:44">
      <c r="A2710" s="4" t="s">
        <v>5</v>
      </c>
      <c r="C2710" s="4">
        <v>1279</v>
      </c>
      <c r="D2710" s="5" t="s">
        <v>93</v>
      </c>
      <c r="E2710" s="6" t="s">
        <v>4124</v>
      </c>
      <c r="F2710" s="5" t="s">
        <v>4125</v>
      </c>
      <c r="AP2710" s="4" t="s">
        <v>376</v>
      </c>
      <c r="AR2710" s="4" t="s">
        <v>377</v>
      </c>
    </row>
    <row r="2711" spans="1:44" ht="30">
      <c r="A2711" s="4" t="s">
        <v>5</v>
      </c>
      <c r="C2711" s="4">
        <v>942</v>
      </c>
      <c r="D2711" s="5" t="s">
        <v>93</v>
      </c>
      <c r="E2711" s="6" t="s">
        <v>4126</v>
      </c>
      <c r="F2711" s="5" t="s">
        <v>4127</v>
      </c>
      <c r="AP2711" s="4" t="s">
        <v>376</v>
      </c>
      <c r="AR2711" s="4" t="s">
        <v>377</v>
      </c>
    </row>
    <row r="2712" spans="1:44">
      <c r="A2712" s="4" t="s">
        <v>5</v>
      </c>
      <c r="C2712" s="4">
        <v>6675</v>
      </c>
      <c r="D2712" s="5" t="s">
        <v>93</v>
      </c>
      <c r="E2712" s="6" t="s">
        <v>4128</v>
      </c>
      <c r="AP2712" s="4" t="s">
        <v>376</v>
      </c>
      <c r="AR2712" s="4" t="s">
        <v>377</v>
      </c>
    </row>
    <row r="2713" spans="1:44">
      <c r="A2713" s="4" t="s">
        <v>5</v>
      </c>
      <c r="C2713" s="4">
        <v>4935</v>
      </c>
      <c r="D2713" s="5" t="s">
        <v>93</v>
      </c>
      <c r="E2713" s="6" t="s">
        <v>4129</v>
      </c>
      <c r="AP2713" s="4" t="s">
        <v>376</v>
      </c>
      <c r="AR2713" s="4" t="s">
        <v>377</v>
      </c>
    </row>
    <row r="2714" spans="1:44">
      <c r="A2714" s="4" t="s">
        <v>5</v>
      </c>
      <c r="C2714" s="4">
        <v>4272</v>
      </c>
      <c r="D2714" s="5" t="s">
        <v>93</v>
      </c>
      <c r="E2714" s="6" t="s">
        <v>4130</v>
      </c>
      <c r="AP2714" s="4" t="s">
        <v>376</v>
      </c>
      <c r="AR2714" s="4" t="s">
        <v>377</v>
      </c>
    </row>
    <row r="2715" spans="1:44">
      <c r="A2715" s="4" t="s">
        <v>5</v>
      </c>
      <c r="C2715" s="4">
        <v>3964</v>
      </c>
      <c r="D2715" s="5" t="s">
        <v>93</v>
      </c>
      <c r="E2715" s="6" t="s">
        <v>4131</v>
      </c>
      <c r="AP2715" s="4" t="s">
        <v>376</v>
      </c>
      <c r="AR2715" s="4" t="s">
        <v>377</v>
      </c>
    </row>
    <row r="2716" spans="1:44">
      <c r="A2716" s="4" t="s">
        <v>5</v>
      </c>
      <c r="C2716" s="4">
        <v>1786</v>
      </c>
      <c r="D2716" s="5" t="s">
        <v>93</v>
      </c>
      <c r="E2716" s="6" t="s">
        <v>4132</v>
      </c>
      <c r="AP2716" s="4" t="s">
        <v>376</v>
      </c>
      <c r="AR2716" s="4" t="s">
        <v>377</v>
      </c>
    </row>
    <row r="2717" spans="1:44">
      <c r="A2717" s="4" t="s">
        <v>5</v>
      </c>
      <c r="C2717" s="4">
        <v>3266</v>
      </c>
      <c r="D2717" s="5" t="s">
        <v>93</v>
      </c>
      <c r="E2717" s="6" t="s">
        <v>4133</v>
      </c>
      <c r="F2717" s="5" t="s">
        <v>4134</v>
      </c>
      <c r="AP2717" s="4" t="s">
        <v>376</v>
      </c>
      <c r="AR2717" s="4" t="s">
        <v>377</v>
      </c>
    </row>
    <row r="2718" spans="1:44" ht="30">
      <c r="A2718" s="4" t="s">
        <v>5</v>
      </c>
      <c r="C2718" s="4">
        <v>2551</v>
      </c>
      <c r="D2718" s="5" t="s">
        <v>93</v>
      </c>
      <c r="E2718" s="6" t="s">
        <v>4135</v>
      </c>
      <c r="AP2718" s="4" t="s">
        <v>376</v>
      </c>
      <c r="AR2718" s="4" t="s">
        <v>377</v>
      </c>
    </row>
    <row r="2719" spans="1:44">
      <c r="A2719" s="4" t="s">
        <v>5</v>
      </c>
      <c r="C2719" s="4">
        <v>1350</v>
      </c>
      <c r="D2719" s="5" t="s">
        <v>93</v>
      </c>
      <c r="E2719" s="6" t="s">
        <v>4136</v>
      </c>
      <c r="AP2719" s="4" t="s">
        <v>376</v>
      </c>
      <c r="AR2719" s="4" t="s">
        <v>377</v>
      </c>
    </row>
    <row r="2720" spans="1:44">
      <c r="A2720" s="4" t="s">
        <v>5</v>
      </c>
      <c r="C2720" s="4">
        <v>4580</v>
      </c>
      <c r="D2720" s="5" t="s">
        <v>93</v>
      </c>
      <c r="E2720" s="6" t="s">
        <v>4137</v>
      </c>
      <c r="AP2720" s="4" t="s">
        <v>376</v>
      </c>
      <c r="AR2720" s="4" t="s">
        <v>377</v>
      </c>
    </row>
    <row r="2721" spans="1:44">
      <c r="A2721" s="4" t="s">
        <v>5</v>
      </c>
      <c r="C2721" s="4">
        <v>4283</v>
      </c>
      <c r="D2721" s="5" t="s">
        <v>93</v>
      </c>
      <c r="E2721" s="6" t="s">
        <v>4138</v>
      </c>
      <c r="AP2721" s="4" t="s">
        <v>376</v>
      </c>
      <c r="AR2721" s="4" t="s">
        <v>377</v>
      </c>
    </row>
    <row r="2722" spans="1:44">
      <c r="A2722" s="4" t="s">
        <v>5</v>
      </c>
      <c r="C2722" s="4">
        <v>6486</v>
      </c>
      <c r="D2722" s="5" t="s">
        <v>93</v>
      </c>
      <c r="E2722" s="6" t="s">
        <v>4139</v>
      </c>
      <c r="AP2722" s="4" t="s">
        <v>376</v>
      </c>
      <c r="AR2722" s="4" t="s">
        <v>377</v>
      </c>
    </row>
    <row r="2723" spans="1:44">
      <c r="A2723" s="4" t="s">
        <v>5</v>
      </c>
      <c r="C2723" s="4">
        <v>3105</v>
      </c>
      <c r="D2723" s="5" t="s">
        <v>93</v>
      </c>
      <c r="E2723" s="6" t="s">
        <v>4140</v>
      </c>
      <c r="F2723" s="5" t="s">
        <v>4141</v>
      </c>
      <c r="Z2723" s="4" t="s">
        <v>443</v>
      </c>
      <c r="AA2723" s="4" t="s">
        <v>444</v>
      </c>
      <c r="AP2723" s="4" t="s">
        <v>376</v>
      </c>
      <c r="AR2723" s="4" t="s">
        <v>377</v>
      </c>
    </row>
    <row r="2724" spans="1:44">
      <c r="A2724" s="4" t="s">
        <v>5</v>
      </c>
      <c r="C2724" s="4">
        <v>5329</v>
      </c>
      <c r="D2724" s="5" t="s">
        <v>93</v>
      </c>
      <c r="E2724" s="6" t="s">
        <v>4142</v>
      </c>
      <c r="AP2724" s="4" t="s">
        <v>376</v>
      </c>
      <c r="AR2724" s="4" t="s">
        <v>377</v>
      </c>
    </row>
    <row r="2725" spans="1:44" ht="30">
      <c r="A2725" s="4" t="s">
        <v>5</v>
      </c>
      <c r="C2725" s="4">
        <v>795</v>
      </c>
      <c r="D2725" s="5" t="s">
        <v>93</v>
      </c>
      <c r="E2725" s="6" t="s">
        <v>4143</v>
      </c>
      <c r="AP2725" s="4" t="s">
        <v>376</v>
      </c>
      <c r="AR2725" s="4" t="s">
        <v>377</v>
      </c>
    </row>
    <row r="2726" spans="1:44">
      <c r="A2726" s="4" t="s">
        <v>5</v>
      </c>
      <c r="C2726" s="4">
        <v>6984</v>
      </c>
      <c r="D2726" s="5" t="s">
        <v>93</v>
      </c>
      <c r="E2726" s="6" t="s">
        <v>4144</v>
      </c>
      <c r="AP2726" s="4" t="s">
        <v>376</v>
      </c>
      <c r="AR2726" s="4" t="s">
        <v>377</v>
      </c>
    </row>
    <row r="2727" spans="1:44">
      <c r="A2727" s="4" t="s">
        <v>5</v>
      </c>
      <c r="C2727" s="4">
        <v>1046</v>
      </c>
      <c r="D2727" s="5" t="s">
        <v>93</v>
      </c>
      <c r="E2727" s="6" t="s">
        <v>4145</v>
      </c>
      <c r="F2727" s="5" t="s">
        <v>4146</v>
      </c>
      <c r="AP2727" s="4" t="s">
        <v>376</v>
      </c>
      <c r="AR2727" s="4" t="s">
        <v>377</v>
      </c>
    </row>
    <row r="2728" spans="1:44">
      <c r="A2728" s="4" t="s">
        <v>5</v>
      </c>
      <c r="C2728" s="4">
        <v>6477</v>
      </c>
      <c r="D2728" s="5" t="s">
        <v>93</v>
      </c>
      <c r="E2728" s="6" t="s">
        <v>4147</v>
      </c>
      <c r="F2728" s="5" t="s">
        <v>4148</v>
      </c>
      <c r="AP2728" s="4" t="s">
        <v>376</v>
      </c>
      <c r="AR2728" s="4" t="s">
        <v>377</v>
      </c>
    </row>
    <row r="2729" spans="1:44" ht="30">
      <c r="A2729" s="4" t="s">
        <v>5</v>
      </c>
      <c r="C2729" s="4">
        <v>1968</v>
      </c>
      <c r="D2729" s="5" t="s">
        <v>93</v>
      </c>
      <c r="E2729" s="6" t="s">
        <v>4149</v>
      </c>
      <c r="F2729" s="5" t="s">
        <v>4150</v>
      </c>
      <c r="AP2729" s="4" t="s">
        <v>376</v>
      </c>
      <c r="AR2729" s="4" t="s">
        <v>377</v>
      </c>
    </row>
    <row r="2730" spans="1:44">
      <c r="A2730" s="4" t="s">
        <v>5</v>
      </c>
      <c r="C2730" s="4">
        <v>517</v>
      </c>
      <c r="D2730" s="5" t="s">
        <v>93</v>
      </c>
      <c r="E2730" s="6" t="s">
        <v>4151</v>
      </c>
      <c r="F2730" s="5" t="s">
        <v>4152</v>
      </c>
      <c r="AP2730" s="4" t="s">
        <v>376</v>
      </c>
      <c r="AR2730" s="4" t="s">
        <v>377</v>
      </c>
    </row>
    <row r="2731" spans="1:44">
      <c r="A2731" s="4" t="s">
        <v>5</v>
      </c>
      <c r="C2731" s="4">
        <v>5702</v>
      </c>
      <c r="D2731" s="5" t="s">
        <v>93</v>
      </c>
      <c r="E2731" s="6" t="s">
        <v>4153</v>
      </c>
      <c r="Z2731" s="4" t="s">
        <v>443</v>
      </c>
      <c r="AA2731" s="4" t="s">
        <v>444</v>
      </c>
      <c r="AP2731" s="4" t="s">
        <v>376</v>
      </c>
      <c r="AR2731" s="4" t="s">
        <v>377</v>
      </c>
    </row>
    <row r="2732" spans="1:44">
      <c r="A2732" s="4" t="s">
        <v>5</v>
      </c>
      <c r="C2732" s="4">
        <v>1558</v>
      </c>
      <c r="D2732" s="5" t="s">
        <v>93</v>
      </c>
      <c r="E2732" s="6" t="s">
        <v>4154</v>
      </c>
      <c r="F2732" s="5" t="s">
        <v>4155</v>
      </c>
      <c r="Z2732" s="4" t="s">
        <v>447</v>
      </c>
      <c r="AA2732" s="4" t="s">
        <v>448</v>
      </c>
      <c r="AP2732" s="4" t="s">
        <v>376</v>
      </c>
      <c r="AR2732" s="4" t="s">
        <v>377</v>
      </c>
    </row>
    <row r="2733" spans="1:44">
      <c r="A2733" s="4" t="s">
        <v>5</v>
      </c>
      <c r="C2733" s="4">
        <v>705</v>
      </c>
      <c r="D2733" s="5" t="s">
        <v>93</v>
      </c>
      <c r="E2733" s="6" t="s">
        <v>4156</v>
      </c>
      <c r="F2733" s="5" t="s">
        <v>4157</v>
      </c>
      <c r="AP2733" s="4" t="s">
        <v>376</v>
      </c>
      <c r="AR2733" s="4" t="s">
        <v>377</v>
      </c>
    </row>
    <row r="2734" spans="1:44">
      <c r="A2734" s="4" t="s">
        <v>5</v>
      </c>
      <c r="C2734" s="4">
        <v>6979</v>
      </c>
      <c r="D2734" s="5" t="s">
        <v>93</v>
      </c>
      <c r="E2734" s="6" t="s">
        <v>4158</v>
      </c>
      <c r="AP2734" s="4" t="s">
        <v>376</v>
      </c>
      <c r="AR2734" s="4" t="s">
        <v>377</v>
      </c>
    </row>
    <row r="2735" spans="1:44">
      <c r="A2735" s="4" t="s">
        <v>5</v>
      </c>
      <c r="C2735" s="4">
        <v>1423</v>
      </c>
      <c r="D2735" s="5" t="s">
        <v>93</v>
      </c>
      <c r="E2735" s="6" t="s">
        <v>4159</v>
      </c>
      <c r="F2735" s="5" t="s">
        <v>4160</v>
      </c>
      <c r="AP2735" s="4" t="s">
        <v>376</v>
      </c>
      <c r="AR2735" s="4" t="s">
        <v>377</v>
      </c>
    </row>
    <row r="2736" spans="1:44" ht="30">
      <c r="A2736" s="4" t="s">
        <v>5</v>
      </c>
      <c r="C2736" s="4">
        <v>6289</v>
      </c>
      <c r="D2736" s="5" t="s">
        <v>93</v>
      </c>
      <c r="E2736" s="6" t="s">
        <v>4161</v>
      </c>
      <c r="AP2736" s="4" t="s">
        <v>376</v>
      </c>
      <c r="AR2736" s="4" t="s">
        <v>377</v>
      </c>
    </row>
    <row r="2737" spans="1:44" ht="30">
      <c r="A2737" s="4" t="s">
        <v>5</v>
      </c>
      <c r="C2737" s="4">
        <v>6042</v>
      </c>
      <c r="D2737" s="5" t="s">
        <v>93</v>
      </c>
      <c r="E2737" s="6" t="s">
        <v>4162</v>
      </c>
      <c r="AP2737" s="4" t="s">
        <v>376</v>
      </c>
      <c r="AR2737" s="4" t="s">
        <v>377</v>
      </c>
    </row>
    <row r="2738" spans="1:44">
      <c r="A2738" s="4" t="s">
        <v>5</v>
      </c>
      <c r="C2738" s="4">
        <v>3465</v>
      </c>
      <c r="D2738" s="5" t="s">
        <v>93</v>
      </c>
      <c r="E2738" s="6" t="s">
        <v>4163</v>
      </c>
      <c r="AP2738" s="4" t="s">
        <v>376</v>
      </c>
      <c r="AR2738" s="4" t="s">
        <v>377</v>
      </c>
    </row>
    <row r="2739" spans="1:44">
      <c r="A2739" s="4" t="s">
        <v>5</v>
      </c>
      <c r="C2739" s="4">
        <v>1104</v>
      </c>
      <c r="D2739" s="5" t="s">
        <v>93</v>
      </c>
      <c r="E2739" s="6" t="s">
        <v>4164</v>
      </c>
      <c r="AP2739" s="4" t="s">
        <v>376</v>
      </c>
      <c r="AR2739" s="4" t="s">
        <v>377</v>
      </c>
    </row>
    <row r="2740" spans="1:44">
      <c r="A2740" s="4" t="s">
        <v>5</v>
      </c>
      <c r="C2740" s="4">
        <v>1254</v>
      </c>
      <c r="D2740" s="5" t="s">
        <v>93</v>
      </c>
      <c r="E2740" s="6" t="s">
        <v>4165</v>
      </c>
      <c r="AP2740" s="4" t="s">
        <v>376</v>
      </c>
      <c r="AR2740" s="4" t="s">
        <v>377</v>
      </c>
    </row>
    <row r="2741" spans="1:44">
      <c r="A2741" s="4" t="s">
        <v>5</v>
      </c>
      <c r="C2741" s="4">
        <v>5281</v>
      </c>
      <c r="D2741" s="5" t="s">
        <v>93</v>
      </c>
      <c r="E2741" s="6" t="s">
        <v>4166</v>
      </c>
      <c r="AP2741" s="4" t="s">
        <v>376</v>
      </c>
      <c r="AR2741" s="4" t="s">
        <v>377</v>
      </c>
    </row>
    <row r="2742" spans="1:44">
      <c r="A2742" s="4" t="s">
        <v>5</v>
      </c>
      <c r="C2742" s="4">
        <v>2680</v>
      </c>
      <c r="D2742" s="5" t="s">
        <v>93</v>
      </c>
      <c r="E2742" s="6" t="s">
        <v>4167</v>
      </c>
      <c r="AP2742" s="4" t="s">
        <v>376</v>
      </c>
      <c r="AR2742" s="4" t="s">
        <v>377</v>
      </c>
    </row>
    <row r="2743" spans="1:44">
      <c r="A2743" s="4" t="s">
        <v>5</v>
      </c>
      <c r="C2743" s="4">
        <v>2064</v>
      </c>
      <c r="D2743" s="5" t="s">
        <v>93</v>
      </c>
      <c r="E2743" s="6" t="s">
        <v>4168</v>
      </c>
      <c r="AP2743" s="4" t="s">
        <v>376</v>
      </c>
      <c r="AR2743" s="4" t="s">
        <v>377</v>
      </c>
    </row>
    <row r="2744" spans="1:44">
      <c r="A2744" s="4" t="s">
        <v>5</v>
      </c>
      <c r="C2744" s="4">
        <v>5554</v>
      </c>
      <c r="D2744" s="5" t="s">
        <v>93</v>
      </c>
      <c r="E2744" s="6" t="s">
        <v>4169</v>
      </c>
      <c r="F2744" s="5" t="s">
        <v>4170</v>
      </c>
      <c r="Z2744" s="4" t="s">
        <v>512</v>
      </c>
      <c r="AA2744" s="4" t="s">
        <v>513</v>
      </c>
      <c r="AP2744" s="4" t="s">
        <v>376</v>
      </c>
      <c r="AR2744" s="4" t="s">
        <v>377</v>
      </c>
    </row>
    <row r="2745" spans="1:44" ht="30">
      <c r="A2745" s="4" t="s">
        <v>5</v>
      </c>
      <c r="C2745" s="4">
        <v>6924</v>
      </c>
      <c r="D2745" s="5" t="s">
        <v>93</v>
      </c>
      <c r="E2745" s="6" t="s">
        <v>4171</v>
      </c>
      <c r="AP2745" s="4" t="s">
        <v>376</v>
      </c>
      <c r="AR2745" s="4" t="s">
        <v>377</v>
      </c>
    </row>
    <row r="2746" spans="1:44">
      <c r="A2746" s="4" t="s">
        <v>5</v>
      </c>
      <c r="C2746" s="4">
        <v>3820</v>
      </c>
      <c r="D2746" s="5" t="s">
        <v>93</v>
      </c>
      <c r="E2746" s="6" t="s">
        <v>4172</v>
      </c>
      <c r="AP2746" s="4" t="s">
        <v>376</v>
      </c>
      <c r="AR2746" s="4" t="s">
        <v>377</v>
      </c>
    </row>
    <row r="2747" spans="1:44">
      <c r="A2747" s="4" t="s">
        <v>5</v>
      </c>
      <c r="C2747" s="4">
        <v>2113</v>
      </c>
      <c r="D2747" s="5" t="s">
        <v>93</v>
      </c>
      <c r="E2747" s="6" t="s">
        <v>4173</v>
      </c>
      <c r="AP2747" s="4" t="s">
        <v>376</v>
      </c>
      <c r="AR2747" s="4" t="s">
        <v>377</v>
      </c>
    </row>
    <row r="2748" spans="1:44" ht="30">
      <c r="A2748" s="4" t="s">
        <v>5</v>
      </c>
      <c r="C2748" s="4">
        <v>313</v>
      </c>
      <c r="D2748" s="5" t="s">
        <v>93</v>
      </c>
      <c r="E2748" s="6" t="s">
        <v>4174</v>
      </c>
      <c r="F2748" s="5" t="s">
        <v>4175</v>
      </c>
      <c r="AP2748" s="4" t="s">
        <v>376</v>
      </c>
      <c r="AR2748" s="4" t="s">
        <v>377</v>
      </c>
    </row>
    <row r="2749" spans="1:44">
      <c r="A2749" s="4" t="s">
        <v>5</v>
      </c>
      <c r="C2749" s="4">
        <v>6788</v>
      </c>
      <c r="D2749" s="5" t="s">
        <v>93</v>
      </c>
      <c r="E2749" s="6" t="s">
        <v>4176</v>
      </c>
      <c r="AP2749" s="4" t="s">
        <v>376</v>
      </c>
      <c r="AR2749" s="4" t="s">
        <v>377</v>
      </c>
    </row>
    <row r="2750" spans="1:44">
      <c r="A2750" s="4" t="s">
        <v>5</v>
      </c>
      <c r="C2750" s="4">
        <v>6292</v>
      </c>
      <c r="D2750" s="5" t="s">
        <v>93</v>
      </c>
      <c r="E2750" s="6" t="s">
        <v>4177</v>
      </c>
      <c r="AP2750" s="4" t="s">
        <v>376</v>
      </c>
      <c r="AR2750" s="4" t="s">
        <v>377</v>
      </c>
    </row>
    <row r="2751" spans="1:44">
      <c r="A2751" s="4" t="s">
        <v>5</v>
      </c>
      <c r="C2751" s="4">
        <v>1539</v>
      </c>
      <c r="D2751" s="5" t="s">
        <v>93</v>
      </c>
      <c r="E2751" s="6" t="s">
        <v>4178</v>
      </c>
      <c r="F2751" s="5" t="s">
        <v>4179</v>
      </c>
      <c r="Z2751" s="4" t="s">
        <v>695</v>
      </c>
      <c r="AA2751" s="4" t="s">
        <v>696</v>
      </c>
      <c r="AP2751" s="4" t="s">
        <v>376</v>
      </c>
      <c r="AR2751" s="4" t="s">
        <v>377</v>
      </c>
    </row>
    <row r="2752" spans="1:44">
      <c r="A2752" s="4" t="s">
        <v>5</v>
      </c>
      <c r="C2752" s="4">
        <v>5179</v>
      </c>
      <c r="D2752" s="5" t="s">
        <v>93</v>
      </c>
      <c r="E2752" s="6" t="s">
        <v>4180</v>
      </c>
      <c r="F2752" s="5" t="s">
        <v>4181</v>
      </c>
      <c r="Z2752" s="4" t="s">
        <v>447</v>
      </c>
      <c r="AA2752" s="4" t="s">
        <v>448</v>
      </c>
      <c r="AP2752" s="4" t="s">
        <v>376</v>
      </c>
      <c r="AR2752" s="4" t="s">
        <v>377</v>
      </c>
    </row>
    <row r="2753" spans="1:44">
      <c r="A2753" s="4" t="s">
        <v>5</v>
      </c>
      <c r="C2753" s="4">
        <v>3342</v>
      </c>
      <c r="D2753" s="5" t="s">
        <v>93</v>
      </c>
      <c r="E2753" s="6" t="s">
        <v>4182</v>
      </c>
      <c r="AP2753" s="4" t="s">
        <v>376</v>
      </c>
      <c r="AR2753" s="4" t="s">
        <v>377</v>
      </c>
    </row>
    <row r="2754" spans="1:44">
      <c r="A2754" s="4" t="s">
        <v>5</v>
      </c>
      <c r="C2754" s="4">
        <v>1150</v>
      </c>
      <c r="D2754" s="5" t="s">
        <v>93</v>
      </c>
      <c r="E2754" s="6" t="s">
        <v>4183</v>
      </c>
      <c r="F2754" s="5" t="s">
        <v>4184</v>
      </c>
      <c r="AP2754" s="4" t="s">
        <v>376</v>
      </c>
      <c r="AR2754" s="4" t="s">
        <v>377</v>
      </c>
    </row>
    <row r="2755" spans="1:44">
      <c r="A2755" s="4" t="s">
        <v>5</v>
      </c>
      <c r="C2755" s="4">
        <v>3800</v>
      </c>
      <c r="D2755" s="5" t="s">
        <v>93</v>
      </c>
      <c r="E2755" s="6" t="s">
        <v>4185</v>
      </c>
      <c r="F2755" s="5" t="s">
        <v>4186</v>
      </c>
      <c r="Z2755" s="4" t="s">
        <v>695</v>
      </c>
      <c r="AA2755" s="4" t="s">
        <v>696</v>
      </c>
      <c r="AP2755" s="4" t="s">
        <v>376</v>
      </c>
      <c r="AR2755" s="4" t="s">
        <v>377</v>
      </c>
    </row>
    <row r="2756" spans="1:44" ht="30">
      <c r="A2756" s="4" t="s">
        <v>5</v>
      </c>
      <c r="C2756" s="4">
        <v>6940</v>
      </c>
      <c r="D2756" s="5" t="s">
        <v>93</v>
      </c>
      <c r="E2756" s="6" t="s">
        <v>4187</v>
      </c>
      <c r="AP2756" s="4" t="s">
        <v>376</v>
      </c>
      <c r="AR2756" s="4" t="s">
        <v>377</v>
      </c>
    </row>
    <row r="2757" spans="1:44">
      <c r="A2757" s="4" t="s">
        <v>5</v>
      </c>
      <c r="C2757" s="4">
        <v>2835</v>
      </c>
      <c r="D2757" s="5" t="s">
        <v>93</v>
      </c>
      <c r="E2757" s="6" t="s">
        <v>4188</v>
      </c>
      <c r="AP2757" s="4" t="s">
        <v>376</v>
      </c>
      <c r="AR2757" s="4" t="s">
        <v>377</v>
      </c>
    </row>
    <row r="2758" spans="1:44">
      <c r="A2758" s="4" t="s">
        <v>5</v>
      </c>
      <c r="C2758" s="4">
        <v>4988</v>
      </c>
      <c r="D2758" s="5" t="s">
        <v>93</v>
      </c>
      <c r="E2758" s="6" t="s">
        <v>4189</v>
      </c>
      <c r="AP2758" s="4" t="s">
        <v>376</v>
      </c>
      <c r="AR2758" s="4" t="s">
        <v>377</v>
      </c>
    </row>
    <row r="2759" spans="1:44" ht="30">
      <c r="A2759" s="4" t="s">
        <v>5</v>
      </c>
      <c r="C2759" s="4">
        <v>4405</v>
      </c>
      <c r="D2759" s="5" t="s">
        <v>93</v>
      </c>
      <c r="E2759" s="6" t="s">
        <v>4190</v>
      </c>
      <c r="AP2759" s="4" t="s">
        <v>376</v>
      </c>
      <c r="AR2759" s="4" t="s">
        <v>377</v>
      </c>
    </row>
    <row r="2760" spans="1:44">
      <c r="A2760" s="4" t="s">
        <v>5</v>
      </c>
      <c r="C2760" s="4">
        <v>714</v>
      </c>
      <c r="D2760" s="5" t="s">
        <v>93</v>
      </c>
      <c r="E2760" s="6" t="s">
        <v>4191</v>
      </c>
      <c r="F2760" s="5" t="s">
        <v>4192</v>
      </c>
      <c r="AP2760" s="4" t="s">
        <v>376</v>
      </c>
      <c r="AR2760" s="4" t="s">
        <v>377</v>
      </c>
    </row>
    <row r="2761" spans="1:44">
      <c r="A2761" s="4" t="s">
        <v>5</v>
      </c>
      <c r="C2761" s="4">
        <v>5746</v>
      </c>
      <c r="D2761" s="5" t="s">
        <v>93</v>
      </c>
      <c r="E2761" s="6" t="s">
        <v>4193</v>
      </c>
      <c r="AP2761" s="4" t="s">
        <v>376</v>
      </c>
      <c r="AR2761" s="4" t="s">
        <v>377</v>
      </c>
    </row>
    <row r="2762" spans="1:44" ht="30">
      <c r="A2762" s="4" t="s">
        <v>5</v>
      </c>
      <c r="C2762" s="4">
        <v>5867</v>
      </c>
      <c r="D2762" s="5" t="s">
        <v>93</v>
      </c>
      <c r="E2762" s="6" t="s">
        <v>4194</v>
      </c>
      <c r="AP2762" s="4" t="s">
        <v>376</v>
      </c>
      <c r="AR2762" s="4" t="s">
        <v>377</v>
      </c>
    </row>
    <row r="2763" spans="1:44">
      <c r="A2763" s="4" t="s">
        <v>5</v>
      </c>
      <c r="C2763" s="4">
        <v>280</v>
      </c>
      <c r="D2763" s="5" t="s">
        <v>93</v>
      </c>
      <c r="E2763" s="6" t="s">
        <v>4195</v>
      </c>
      <c r="AP2763" s="4" t="s">
        <v>376</v>
      </c>
      <c r="AR2763" s="4" t="s">
        <v>377</v>
      </c>
    </row>
    <row r="2764" spans="1:44">
      <c r="A2764" s="4" t="s">
        <v>5</v>
      </c>
      <c r="C2764" s="4">
        <v>3438</v>
      </c>
      <c r="D2764" s="5" t="s">
        <v>93</v>
      </c>
      <c r="E2764" s="6" t="s">
        <v>4196</v>
      </c>
      <c r="F2764" s="5" t="s">
        <v>4197</v>
      </c>
      <c r="AP2764" s="4" t="s">
        <v>376</v>
      </c>
      <c r="AR2764" s="4" t="s">
        <v>377</v>
      </c>
    </row>
    <row r="2765" spans="1:44" ht="30">
      <c r="A2765" s="4" t="s">
        <v>5</v>
      </c>
      <c r="C2765" s="4">
        <v>2487</v>
      </c>
      <c r="D2765" s="5" t="s">
        <v>93</v>
      </c>
      <c r="E2765" s="6" t="s">
        <v>4198</v>
      </c>
      <c r="AP2765" s="4" t="s">
        <v>376</v>
      </c>
      <c r="AR2765" s="4" t="s">
        <v>377</v>
      </c>
    </row>
    <row r="2766" spans="1:44" ht="30">
      <c r="A2766" s="4" t="s">
        <v>5</v>
      </c>
      <c r="C2766" s="4">
        <v>2922</v>
      </c>
      <c r="D2766" s="5" t="s">
        <v>93</v>
      </c>
      <c r="E2766" s="6" t="s">
        <v>4199</v>
      </c>
      <c r="AP2766" s="4" t="s">
        <v>376</v>
      </c>
      <c r="AR2766" s="4" t="s">
        <v>377</v>
      </c>
    </row>
    <row r="2767" spans="1:44">
      <c r="A2767" s="4" t="s">
        <v>5</v>
      </c>
      <c r="C2767" s="4">
        <v>1560</v>
      </c>
      <c r="D2767" s="5" t="s">
        <v>93</v>
      </c>
      <c r="E2767" s="6" t="s">
        <v>4200</v>
      </c>
      <c r="Z2767" s="4" t="s">
        <v>695</v>
      </c>
      <c r="AA2767" s="4" t="s">
        <v>696</v>
      </c>
      <c r="AP2767" s="4" t="s">
        <v>376</v>
      </c>
      <c r="AR2767" s="4" t="s">
        <v>377</v>
      </c>
    </row>
    <row r="2768" spans="1:44">
      <c r="A2768" s="4" t="s">
        <v>5</v>
      </c>
      <c r="C2768" s="4">
        <v>4008</v>
      </c>
      <c r="D2768" s="5" t="s">
        <v>93</v>
      </c>
      <c r="E2768" s="6" t="s">
        <v>4201</v>
      </c>
      <c r="AP2768" s="4" t="s">
        <v>376</v>
      </c>
      <c r="AR2768" s="4" t="s">
        <v>377</v>
      </c>
    </row>
    <row r="2769" spans="1:44">
      <c r="A2769" s="4" t="s">
        <v>5</v>
      </c>
      <c r="C2769" s="4">
        <v>5189</v>
      </c>
      <c r="D2769" s="5" t="s">
        <v>93</v>
      </c>
      <c r="E2769" s="6" t="s">
        <v>4202</v>
      </c>
      <c r="Z2769" s="4" t="s">
        <v>695</v>
      </c>
      <c r="AA2769" s="4" t="s">
        <v>696</v>
      </c>
      <c r="AP2769" s="4" t="s">
        <v>376</v>
      </c>
      <c r="AR2769" s="4" t="s">
        <v>377</v>
      </c>
    </row>
    <row r="2770" spans="1:44" ht="30">
      <c r="A2770" s="4" t="s">
        <v>5</v>
      </c>
      <c r="C2770" s="4">
        <v>1476</v>
      </c>
      <c r="D2770" s="5" t="s">
        <v>93</v>
      </c>
      <c r="E2770" s="6" t="s">
        <v>4203</v>
      </c>
      <c r="F2770" s="5" t="s">
        <v>4204</v>
      </c>
      <c r="AP2770" s="4" t="s">
        <v>376</v>
      </c>
      <c r="AR2770" s="4" t="s">
        <v>377</v>
      </c>
    </row>
    <row r="2771" spans="1:44">
      <c r="A2771" s="4" t="s">
        <v>5</v>
      </c>
      <c r="C2771" s="4">
        <v>5508</v>
      </c>
      <c r="D2771" s="5" t="s">
        <v>93</v>
      </c>
      <c r="E2771" s="6" t="s">
        <v>4205</v>
      </c>
      <c r="F2771" s="5" t="s">
        <v>4206</v>
      </c>
      <c r="AP2771" s="4" t="s">
        <v>376</v>
      </c>
      <c r="AR2771" s="4" t="s">
        <v>377</v>
      </c>
    </row>
    <row r="2772" spans="1:44">
      <c r="A2772" s="4" t="s">
        <v>5</v>
      </c>
      <c r="C2772" s="4">
        <v>6552</v>
      </c>
      <c r="D2772" s="5" t="s">
        <v>93</v>
      </c>
      <c r="E2772" s="6" t="s">
        <v>4207</v>
      </c>
      <c r="AP2772" s="4" t="s">
        <v>376</v>
      </c>
      <c r="AR2772" s="4" t="s">
        <v>377</v>
      </c>
    </row>
    <row r="2773" spans="1:44">
      <c r="A2773" s="4" t="s">
        <v>5</v>
      </c>
      <c r="C2773" s="4">
        <v>4029</v>
      </c>
      <c r="D2773" s="5" t="s">
        <v>93</v>
      </c>
      <c r="E2773" s="6" t="s">
        <v>4208</v>
      </c>
      <c r="AP2773" s="4" t="s">
        <v>376</v>
      </c>
      <c r="AR2773" s="4" t="s">
        <v>377</v>
      </c>
    </row>
    <row r="2774" spans="1:44">
      <c r="A2774" s="4" t="s">
        <v>5</v>
      </c>
      <c r="C2774" s="4">
        <v>6339</v>
      </c>
      <c r="D2774" s="5" t="s">
        <v>93</v>
      </c>
      <c r="E2774" s="6" t="s">
        <v>4209</v>
      </c>
      <c r="AP2774" s="4" t="s">
        <v>376</v>
      </c>
      <c r="AR2774" s="4" t="s">
        <v>377</v>
      </c>
    </row>
    <row r="2775" spans="1:44">
      <c r="A2775" s="4" t="s">
        <v>5</v>
      </c>
      <c r="C2775" s="4">
        <v>3645</v>
      </c>
      <c r="D2775" s="5" t="s">
        <v>93</v>
      </c>
      <c r="E2775" s="6" t="s">
        <v>4210</v>
      </c>
      <c r="AP2775" s="4" t="s">
        <v>376</v>
      </c>
      <c r="AR2775" s="4" t="s">
        <v>377</v>
      </c>
    </row>
    <row r="2776" spans="1:44">
      <c r="A2776" s="4" t="s">
        <v>5</v>
      </c>
      <c r="C2776" s="4">
        <v>6347</v>
      </c>
      <c r="D2776" s="5" t="s">
        <v>93</v>
      </c>
      <c r="E2776" s="6" t="s">
        <v>4211</v>
      </c>
      <c r="AP2776" s="4" t="s">
        <v>376</v>
      </c>
      <c r="AR2776" s="4" t="s">
        <v>377</v>
      </c>
    </row>
    <row r="2777" spans="1:44" ht="30">
      <c r="A2777" s="4" t="s">
        <v>5</v>
      </c>
      <c r="C2777" s="4">
        <v>6912</v>
      </c>
      <c r="D2777" s="5" t="s">
        <v>93</v>
      </c>
      <c r="E2777" s="6" t="s">
        <v>4212</v>
      </c>
      <c r="AP2777" s="4" t="s">
        <v>376</v>
      </c>
      <c r="AR2777" s="4" t="s">
        <v>377</v>
      </c>
    </row>
    <row r="2778" spans="1:44">
      <c r="A2778" s="4" t="s">
        <v>5</v>
      </c>
      <c r="C2778" s="4">
        <v>3242</v>
      </c>
      <c r="D2778" s="5" t="s">
        <v>93</v>
      </c>
      <c r="E2778" s="6" t="s">
        <v>4213</v>
      </c>
      <c r="AP2778" s="4" t="s">
        <v>376</v>
      </c>
      <c r="AR2778" s="4" t="s">
        <v>377</v>
      </c>
    </row>
    <row r="2779" spans="1:44">
      <c r="A2779" s="4" t="s">
        <v>5</v>
      </c>
      <c r="C2779" s="4">
        <v>4290</v>
      </c>
      <c r="D2779" s="5" t="s">
        <v>93</v>
      </c>
      <c r="E2779" s="6" t="s">
        <v>4214</v>
      </c>
      <c r="AP2779" s="4" t="s">
        <v>376</v>
      </c>
      <c r="AR2779" s="4" t="s">
        <v>377</v>
      </c>
    </row>
    <row r="2780" spans="1:44">
      <c r="A2780" s="4" t="s">
        <v>5</v>
      </c>
      <c r="C2780" s="4">
        <v>6840</v>
      </c>
      <c r="D2780" s="5" t="s">
        <v>93</v>
      </c>
      <c r="E2780" s="6" t="s">
        <v>4215</v>
      </c>
      <c r="F2780" s="5" t="s">
        <v>4216</v>
      </c>
      <c r="AP2780" s="4" t="s">
        <v>376</v>
      </c>
      <c r="AR2780" s="4" t="s">
        <v>377</v>
      </c>
    </row>
    <row r="2781" spans="1:44">
      <c r="A2781" s="4" t="s">
        <v>5</v>
      </c>
      <c r="C2781" s="4">
        <v>4105</v>
      </c>
      <c r="D2781" s="5" t="s">
        <v>93</v>
      </c>
      <c r="E2781" s="6" t="s">
        <v>4217</v>
      </c>
      <c r="AP2781" s="4" t="s">
        <v>376</v>
      </c>
      <c r="AR2781" s="4" t="s">
        <v>377</v>
      </c>
    </row>
    <row r="2782" spans="1:44">
      <c r="A2782" s="4" t="s">
        <v>5</v>
      </c>
      <c r="C2782" s="4">
        <v>6494</v>
      </c>
      <c r="D2782" s="5" t="s">
        <v>93</v>
      </c>
      <c r="E2782" s="6" t="s">
        <v>4218</v>
      </c>
      <c r="AP2782" s="4" t="s">
        <v>376</v>
      </c>
      <c r="AR2782" s="4" t="s">
        <v>377</v>
      </c>
    </row>
    <row r="2783" spans="1:44">
      <c r="A2783" s="4" t="s">
        <v>5</v>
      </c>
      <c r="C2783" s="4">
        <v>6272</v>
      </c>
      <c r="D2783" s="5" t="s">
        <v>93</v>
      </c>
      <c r="E2783" s="6" t="s">
        <v>4219</v>
      </c>
      <c r="AP2783" s="4" t="s">
        <v>376</v>
      </c>
      <c r="AR2783" s="4" t="s">
        <v>377</v>
      </c>
    </row>
    <row r="2784" spans="1:44">
      <c r="A2784" s="4" t="s">
        <v>5</v>
      </c>
      <c r="C2784" s="4">
        <v>6400</v>
      </c>
      <c r="D2784" s="5" t="s">
        <v>93</v>
      </c>
      <c r="E2784" s="6" t="s">
        <v>4220</v>
      </c>
      <c r="AP2784" s="4" t="s">
        <v>376</v>
      </c>
      <c r="AR2784" s="4" t="s">
        <v>377</v>
      </c>
    </row>
    <row r="2785" spans="1:44">
      <c r="A2785" s="4" t="s">
        <v>5</v>
      </c>
      <c r="C2785" s="4">
        <v>4701</v>
      </c>
      <c r="D2785" s="5" t="s">
        <v>93</v>
      </c>
      <c r="E2785" s="6" t="s">
        <v>4221</v>
      </c>
      <c r="Z2785" s="4" t="s">
        <v>447</v>
      </c>
      <c r="AA2785" s="4" t="s">
        <v>448</v>
      </c>
      <c r="AP2785" s="4" t="s">
        <v>376</v>
      </c>
      <c r="AR2785" s="4" t="s">
        <v>377</v>
      </c>
    </row>
    <row r="2786" spans="1:44" ht="30">
      <c r="A2786" s="4" t="s">
        <v>5</v>
      </c>
      <c r="C2786" s="4">
        <v>5694</v>
      </c>
      <c r="D2786" s="5" t="s">
        <v>93</v>
      </c>
      <c r="E2786" s="6" t="s">
        <v>4222</v>
      </c>
      <c r="F2786" s="5" t="s">
        <v>4223</v>
      </c>
      <c r="AP2786" s="4" t="s">
        <v>376</v>
      </c>
      <c r="AR2786" s="4" t="s">
        <v>377</v>
      </c>
    </row>
    <row r="2787" spans="1:44" ht="30">
      <c r="A2787" s="4" t="s">
        <v>5</v>
      </c>
      <c r="C2787" s="4">
        <v>3457</v>
      </c>
      <c r="D2787" s="5" t="s">
        <v>93</v>
      </c>
      <c r="E2787" s="6" t="s">
        <v>4224</v>
      </c>
      <c r="F2787" s="5" t="s">
        <v>4225</v>
      </c>
      <c r="Z2787" s="4" t="s">
        <v>512</v>
      </c>
      <c r="AA2787" s="4" t="s">
        <v>513</v>
      </c>
      <c r="AP2787" s="4" t="s">
        <v>376</v>
      </c>
      <c r="AR2787" s="4" t="s">
        <v>377</v>
      </c>
    </row>
    <row r="2788" spans="1:44" ht="30">
      <c r="A2788" s="4" t="s">
        <v>5</v>
      </c>
      <c r="C2788" s="4">
        <v>4078</v>
      </c>
      <c r="D2788" s="5" t="s">
        <v>93</v>
      </c>
      <c r="E2788" s="6" t="s">
        <v>4226</v>
      </c>
      <c r="AP2788" s="4" t="s">
        <v>376</v>
      </c>
      <c r="AR2788" s="4" t="s">
        <v>377</v>
      </c>
    </row>
    <row r="2789" spans="1:44">
      <c r="A2789" s="4" t="s">
        <v>5</v>
      </c>
      <c r="C2789" s="4">
        <v>6309</v>
      </c>
      <c r="D2789" s="5" t="s">
        <v>93</v>
      </c>
      <c r="E2789" s="6" t="s">
        <v>4227</v>
      </c>
      <c r="AP2789" s="4" t="s">
        <v>376</v>
      </c>
      <c r="AR2789" s="4" t="s">
        <v>377</v>
      </c>
    </row>
    <row r="2790" spans="1:44">
      <c r="A2790" s="4" t="s">
        <v>5</v>
      </c>
      <c r="C2790" s="4">
        <v>96</v>
      </c>
      <c r="D2790" s="5" t="s">
        <v>93</v>
      </c>
      <c r="E2790" s="6" t="s">
        <v>4228</v>
      </c>
      <c r="F2790" s="5" t="s">
        <v>4229</v>
      </c>
      <c r="AP2790" s="4" t="s">
        <v>376</v>
      </c>
      <c r="AR2790" s="4" t="s">
        <v>377</v>
      </c>
    </row>
    <row r="2791" spans="1:44">
      <c r="A2791" s="4" t="s">
        <v>5</v>
      </c>
      <c r="C2791" s="4">
        <v>1980</v>
      </c>
      <c r="D2791" s="5" t="s">
        <v>93</v>
      </c>
      <c r="E2791" s="6" t="s">
        <v>4230</v>
      </c>
      <c r="F2791" s="5" t="s">
        <v>4231</v>
      </c>
      <c r="AP2791" s="4" t="s">
        <v>376</v>
      </c>
      <c r="AR2791" s="4" t="s">
        <v>377</v>
      </c>
    </row>
    <row r="2792" spans="1:44">
      <c r="A2792" s="4" t="s">
        <v>5</v>
      </c>
      <c r="C2792" s="4">
        <v>1200</v>
      </c>
      <c r="D2792" s="5" t="s">
        <v>93</v>
      </c>
      <c r="E2792" s="6" t="s">
        <v>4232</v>
      </c>
      <c r="AP2792" s="4" t="s">
        <v>376</v>
      </c>
      <c r="AR2792" s="4" t="s">
        <v>377</v>
      </c>
    </row>
    <row r="2793" spans="1:44">
      <c r="A2793" s="4" t="s">
        <v>5</v>
      </c>
      <c r="C2793" s="4">
        <v>4224</v>
      </c>
      <c r="D2793" s="5" t="s">
        <v>93</v>
      </c>
      <c r="E2793" s="6" t="s">
        <v>4233</v>
      </c>
      <c r="AP2793" s="4" t="s">
        <v>376</v>
      </c>
      <c r="AR2793" s="4" t="s">
        <v>377</v>
      </c>
    </row>
    <row r="2794" spans="1:44">
      <c r="A2794" s="4" t="s">
        <v>5</v>
      </c>
      <c r="C2794" s="4">
        <v>2590</v>
      </c>
      <c r="D2794" s="5" t="s">
        <v>93</v>
      </c>
      <c r="E2794" s="6" t="s">
        <v>4234</v>
      </c>
      <c r="AP2794" s="4" t="s">
        <v>376</v>
      </c>
      <c r="AR2794" s="4" t="s">
        <v>377</v>
      </c>
    </row>
    <row r="2795" spans="1:44" ht="30">
      <c r="A2795" s="4" t="s">
        <v>5</v>
      </c>
      <c r="C2795" s="4">
        <v>6638</v>
      </c>
      <c r="D2795" s="5" t="s">
        <v>93</v>
      </c>
      <c r="E2795" s="6" t="s">
        <v>4235</v>
      </c>
      <c r="F2795" s="5" t="s">
        <v>4236</v>
      </c>
      <c r="AP2795" s="4" t="s">
        <v>376</v>
      </c>
      <c r="AR2795" s="4" t="s">
        <v>377</v>
      </c>
    </row>
    <row r="2796" spans="1:44" ht="30">
      <c r="A2796" s="4" t="s">
        <v>5</v>
      </c>
      <c r="C2796" s="4">
        <v>3430</v>
      </c>
      <c r="D2796" s="5" t="s">
        <v>93</v>
      </c>
      <c r="E2796" s="6" t="s">
        <v>4237</v>
      </c>
      <c r="AP2796" s="4" t="s">
        <v>376</v>
      </c>
      <c r="AR2796" s="4" t="s">
        <v>377</v>
      </c>
    </row>
    <row r="2797" spans="1:44">
      <c r="A2797" s="4" t="s">
        <v>5</v>
      </c>
      <c r="C2797" s="4">
        <v>4121</v>
      </c>
      <c r="D2797" s="5" t="s">
        <v>93</v>
      </c>
      <c r="E2797" s="6" t="s">
        <v>4238</v>
      </c>
      <c r="AP2797" s="4" t="s">
        <v>376</v>
      </c>
      <c r="AR2797" s="4" t="s">
        <v>377</v>
      </c>
    </row>
    <row r="2798" spans="1:44">
      <c r="A2798" s="4" t="s">
        <v>5</v>
      </c>
      <c r="C2798" s="4">
        <v>1313</v>
      </c>
      <c r="D2798" s="5" t="s">
        <v>93</v>
      </c>
      <c r="E2798" s="6" t="s">
        <v>4239</v>
      </c>
      <c r="AP2798" s="4" t="s">
        <v>376</v>
      </c>
      <c r="AR2798" s="4" t="s">
        <v>377</v>
      </c>
    </row>
    <row r="2799" spans="1:44" ht="30">
      <c r="A2799" s="4" t="s">
        <v>5</v>
      </c>
      <c r="C2799" s="4">
        <v>6097</v>
      </c>
      <c r="D2799" s="5" t="s">
        <v>93</v>
      </c>
      <c r="E2799" s="6" t="s">
        <v>4240</v>
      </c>
      <c r="F2799" s="5" t="s">
        <v>4241</v>
      </c>
      <c r="AP2799" s="4" t="s">
        <v>376</v>
      </c>
      <c r="AR2799" s="4" t="s">
        <v>377</v>
      </c>
    </row>
    <row r="2800" spans="1:44" ht="30">
      <c r="A2800" s="4" t="s">
        <v>5</v>
      </c>
      <c r="C2800" s="4">
        <v>2256</v>
      </c>
      <c r="D2800" s="5" t="s">
        <v>93</v>
      </c>
      <c r="E2800" s="6" t="s">
        <v>4242</v>
      </c>
      <c r="F2800" s="5" t="s">
        <v>4243</v>
      </c>
      <c r="Z2800" s="4" t="s">
        <v>447</v>
      </c>
      <c r="AA2800" s="4" t="s">
        <v>448</v>
      </c>
      <c r="AP2800" s="4" t="s">
        <v>376</v>
      </c>
      <c r="AR2800" s="4" t="s">
        <v>377</v>
      </c>
    </row>
    <row r="2801" spans="1:44" ht="30">
      <c r="A2801" s="4" t="s">
        <v>5</v>
      </c>
      <c r="C2801" s="4">
        <v>2454</v>
      </c>
      <c r="D2801" s="5" t="s">
        <v>93</v>
      </c>
      <c r="E2801" s="6" t="s">
        <v>4244</v>
      </c>
      <c r="Z2801" s="4" t="s">
        <v>443</v>
      </c>
      <c r="AA2801" s="4" t="s">
        <v>444</v>
      </c>
      <c r="AP2801" s="4" t="s">
        <v>376</v>
      </c>
      <c r="AR2801" s="4" t="s">
        <v>377</v>
      </c>
    </row>
    <row r="2802" spans="1:44">
      <c r="A2802" s="4" t="s">
        <v>5</v>
      </c>
      <c r="C2802" s="4">
        <v>2647</v>
      </c>
      <c r="D2802" s="5" t="s">
        <v>93</v>
      </c>
      <c r="E2802" s="6" t="s">
        <v>4245</v>
      </c>
      <c r="F2802" s="5" t="s">
        <v>4246</v>
      </c>
      <c r="AP2802" s="4" t="s">
        <v>376</v>
      </c>
      <c r="AR2802" s="4" t="s">
        <v>377</v>
      </c>
    </row>
    <row r="2803" spans="1:44">
      <c r="A2803" s="4" t="s">
        <v>5</v>
      </c>
      <c r="C2803" s="4">
        <v>2471</v>
      </c>
      <c r="D2803" s="5" t="s">
        <v>93</v>
      </c>
      <c r="E2803" s="6" t="s">
        <v>4247</v>
      </c>
      <c r="F2803" s="5" t="s">
        <v>4248</v>
      </c>
      <c r="AP2803" s="4" t="s">
        <v>376</v>
      </c>
      <c r="AR2803" s="4" t="s">
        <v>377</v>
      </c>
    </row>
    <row r="2804" spans="1:44">
      <c r="A2804" s="4" t="s">
        <v>5</v>
      </c>
      <c r="C2804" s="4">
        <v>1783</v>
      </c>
      <c r="D2804" s="5" t="s">
        <v>93</v>
      </c>
      <c r="E2804" s="6" t="s">
        <v>4249</v>
      </c>
      <c r="F2804" s="5" t="s">
        <v>4250</v>
      </c>
      <c r="AP2804" s="4" t="s">
        <v>376</v>
      </c>
      <c r="AR2804" s="4" t="s">
        <v>377</v>
      </c>
    </row>
    <row r="2805" spans="1:44">
      <c r="A2805" s="4" t="s">
        <v>5</v>
      </c>
      <c r="C2805" s="4">
        <v>6956</v>
      </c>
      <c r="D2805" s="5" t="s">
        <v>93</v>
      </c>
      <c r="E2805" s="6" t="s">
        <v>4251</v>
      </c>
      <c r="AP2805" s="4" t="s">
        <v>376</v>
      </c>
      <c r="AR2805" s="4" t="s">
        <v>377</v>
      </c>
    </row>
    <row r="2806" spans="1:44" ht="30">
      <c r="A2806" s="4" t="s">
        <v>5</v>
      </c>
      <c r="C2806" s="4">
        <v>5830</v>
      </c>
      <c r="D2806" s="5" t="s">
        <v>93</v>
      </c>
      <c r="E2806" s="6" t="s">
        <v>4252</v>
      </c>
      <c r="AP2806" s="4" t="s">
        <v>376</v>
      </c>
      <c r="AR2806" s="4" t="s">
        <v>377</v>
      </c>
    </row>
    <row r="2807" spans="1:44">
      <c r="A2807" s="4" t="s">
        <v>5</v>
      </c>
      <c r="C2807" s="4">
        <v>6973</v>
      </c>
      <c r="D2807" s="5" t="s">
        <v>93</v>
      </c>
      <c r="E2807" s="6" t="s">
        <v>4253</v>
      </c>
      <c r="AP2807" s="4" t="s">
        <v>376</v>
      </c>
      <c r="AR2807" s="4" t="s">
        <v>377</v>
      </c>
    </row>
    <row r="2808" spans="1:44">
      <c r="A2808" s="4" t="s">
        <v>5</v>
      </c>
      <c r="C2808" s="4">
        <v>5631</v>
      </c>
      <c r="D2808" s="5" t="s">
        <v>93</v>
      </c>
      <c r="E2808" s="6" t="s">
        <v>4254</v>
      </c>
      <c r="F2808" s="5" t="s">
        <v>4255</v>
      </c>
      <c r="AP2808" s="4" t="s">
        <v>376</v>
      </c>
      <c r="AR2808" s="4" t="s">
        <v>377</v>
      </c>
    </row>
    <row r="2809" spans="1:44">
      <c r="A2809" s="4" t="s">
        <v>5</v>
      </c>
      <c r="C2809" s="4">
        <v>1175</v>
      </c>
      <c r="D2809" s="5" t="s">
        <v>93</v>
      </c>
      <c r="E2809" s="6" t="s">
        <v>4256</v>
      </c>
      <c r="AP2809" s="4" t="s">
        <v>376</v>
      </c>
      <c r="AR2809" s="4" t="s">
        <v>377</v>
      </c>
    </row>
    <row r="2810" spans="1:44">
      <c r="A2810" s="4" t="s">
        <v>5</v>
      </c>
      <c r="C2810" s="4">
        <v>6312</v>
      </c>
      <c r="D2810" s="5" t="s">
        <v>93</v>
      </c>
      <c r="E2810" s="6" t="s">
        <v>4257</v>
      </c>
      <c r="AP2810" s="4" t="s">
        <v>376</v>
      </c>
      <c r="AR2810" s="4" t="s">
        <v>377</v>
      </c>
    </row>
    <row r="2811" spans="1:44">
      <c r="A2811" s="4" t="s">
        <v>5</v>
      </c>
      <c r="C2811" s="4">
        <v>1081</v>
      </c>
      <c r="D2811" s="5" t="s">
        <v>93</v>
      </c>
      <c r="E2811" s="6" t="s">
        <v>4258</v>
      </c>
      <c r="AP2811" s="4" t="s">
        <v>376</v>
      </c>
      <c r="AR2811" s="4" t="s">
        <v>377</v>
      </c>
    </row>
    <row r="2812" spans="1:44">
      <c r="A2812" s="4" t="s">
        <v>5</v>
      </c>
      <c r="C2812" s="4">
        <v>2422</v>
      </c>
      <c r="D2812" s="5" t="s">
        <v>93</v>
      </c>
      <c r="E2812" s="6" t="s">
        <v>4259</v>
      </c>
      <c r="F2812" s="5" t="s">
        <v>4260</v>
      </c>
      <c r="AP2812" s="4" t="s">
        <v>376</v>
      </c>
      <c r="AR2812" s="4" t="s">
        <v>377</v>
      </c>
    </row>
    <row r="2813" spans="1:44">
      <c r="A2813" s="4" t="s">
        <v>5</v>
      </c>
      <c r="C2813" s="4">
        <v>4702</v>
      </c>
      <c r="D2813" s="5" t="s">
        <v>93</v>
      </c>
      <c r="E2813" s="6" t="s">
        <v>4261</v>
      </c>
      <c r="F2813" s="5" t="s">
        <v>4262</v>
      </c>
      <c r="AP2813" s="4" t="s">
        <v>376</v>
      </c>
      <c r="AR2813" s="4" t="s">
        <v>377</v>
      </c>
    </row>
    <row r="2814" spans="1:44">
      <c r="A2814" s="4" t="s">
        <v>5</v>
      </c>
      <c r="C2814" s="4">
        <v>781</v>
      </c>
      <c r="D2814" s="5" t="s">
        <v>93</v>
      </c>
      <c r="E2814" s="6" t="s">
        <v>4263</v>
      </c>
      <c r="F2814" s="5" t="s">
        <v>4264</v>
      </c>
      <c r="AP2814" s="4" t="s">
        <v>376</v>
      </c>
      <c r="AR2814" s="4" t="s">
        <v>377</v>
      </c>
    </row>
    <row r="2815" spans="1:44">
      <c r="A2815" s="4" t="s">
        <v>5</v>
      </c>
      <c r="C2815" s="4">
        <v>1446</v>
      </c>
      <c r="D2815" s="5" t="s">
        <v>93</v>
      </c>
      <c r="E2815" s="6" t="s">
        <v>4265</v>
      </c>
      <c r="Z2815" s="4" t="s">
        <v>447</v>
      </c>
      <c r="AA2815" s="4" t="s">
        <v>448</v>
      </c>
      <c r="AP2815" s="4" t="s">
        <v>376</v>
      </c>
      <c r="AR2815" s="4" t="s">
        <v>377</v>
      </c>
    </row>
    <row r="2816" spans="1:44">
      <c r="A2816" s="4" t="s">
        <v>5</v>
      </c>
      <c r="C2816" s="4">
        <v>3253</v>
      </c>
      <c r="D2816" s="5" t="s">
        <v>93</v>
      </c>
      <c r="E2816" s="6" t="s">
        <v>4266</v>
      </c>
      <c r="AP2816" s="4" t="s">
        <v>376</v>
      </c>
      <c r="AR2816" s="4" t="s">
        <v>377</v>
      </c>
    </row>
    <row r="2817" spans="1:44">
      <c r="A2817" s="4" t="s">
        <v>5</v>
      </c>
      <c r="C2817" s="4">
        <v>1753</v>
      </c>
      <c r="D2817" s="5" t="s">
        <v>93</v>
      </c>
      <c r="E2817" s="6" t="s">
        <v>4267</v>
      </c>
      <c r="F2817" s="5" t="s">
        <v>4268</v>
      </c>
      <c r="Z2817" s="4" t="s">
        <v>447</v>
      </c>
      <c r="AA2817" s="4" t="s">
        <v>448</v>
      </c>
      <c r="AP2817" s="4" t="s">
        <v>376</v>
      </c>
      <c r="AR2817" s="4" t="s">
        <v>377</v>
      </c>
    </row>
    <row r="2818" spans="1:44" ht="30">
      <c r="A2818" s="4" t="s">
        <v>5</v>
      </c>
      <c r="C2818" s="4">
        <v>2056</v>
      </c>
      <c r="D2818" s="5" t="s">
        <v>93</v>
      </c>
      <c r="E2818" s="6" t="s">
        <v>4269</v>
      </c>
      <c r="AP2818" s="4" t="s">
        <v>376</v>
      </c>
      <c r="AR2818" s="4" t="s">
        <v>377</v>
      </c>
    </row>
    <row r="2819" spans="1:44">
      <c r="A2819" s="4" t="s">
        <v>5</v>
      </c>
      <c r="C2819" s="4">
        <v>4340</v>
      </c>
      <c r="D2819" s="5" t="s">
        <v>93</v>
      </c>
      <c r="E2819" s="6" t="s">
        <v>4270</v>
      </c>
      <c r="AP2819" s="4" t="s">
        <v>376</v>
      </c>
      <c r="AR2819" s="4" t="s">
        <v>377</v>
      </c>
    </row>
    <row r="2820" spans="1:44">
      <c r="A2820" s="4" t="s">
        <v>5</v>
      </c>
      <c r="C2820" s="4">
        <v>6556</v>
      </c>
      <c r="D2820" s="5" t="s">
        <v>93</v>
      </c>
      <c r="E2820" s="6" t="s">
        <v>4271</v>
      </c>
      <c r="AP2820" s="4" t="s">
        <v>376</v>
      </c>
      <c r="AR2820" s="4" t="s">
        <v>377</v>
      </c>
    </row>
    <row r="2821" spans="1:44" ht="30">
      <c r="A2821" s="4" t="s">
        <v>5</v>
      </c>
      <c r="C2821" s="4">
        <v>1191</v>
      </c>
      <c r="D2821" s="5" t="s">
        <v>93</v>
      </c>
      <c r="E2821" s="6" t="s">
        <v>4272</v>
      </c>
      <c r="AP2821" s="4" t="s">
        <v>376</v>
      </c>
      <c r="AR2821" s="4" t="s">
        <v>377</v>
      </c>
    </row>
    <row r="2822" spans="1:44" ht="30">
      <c r="A2822" s="4" t="s">
        <v>5</v>
      </c>
      <c r="C2822" s="4">
        <v>5953</v>
      </c>
      <c r="D2822" s="5" t="s">
        <v>93</v>
      </c>
      <c r="E2822" s="6" t="s">
        <v>4273</v>
      </c>
      <c r="AP2822" s="4" t="s">
        <v>376</v>
      </c>
      <c r="AR2822" s="4" t="s">
        <v>377</v>
      </c>
    </row>
    <row r="2823" spans="1:44">
      <c r="A2823" s="4" t="s">
        <v>5</v>
      </c>
      <c r="C2823" s="4">
        <v>4871</v>
      </c>
      <c r="D2823" s="5" t="s">
        <v>93</v>
      </c>
      <c r="E2823" s="6" t="s">
        <v>4274</v>
      </c>
      <c r="AP2823" s="4" t="s">
        <v>376</v>
      </c>
      <c r="AR2823" s="4" t="s">
        <v>377</v>
      </c>
    </row>
    <row r="2824" spans="1:44">
      <c r="A2824" s="4" t="s">
        <v>5</v>
      </c>
      <c r="C2824" s="4">
        <v>824</v>
      </c>
      <c r="D2824" s="5" t="s">
        <v>93</v>
      </c>
      <c r="E2824" s="6" t="s">
        <v>4275</v>
      </c>
      <c r="F2824" s="5" t="s">
        <v>4276</v>
      </c>
      <c r="AP2824" s="4" t="s">
        <v>376</v>
      </c>
      <c r="AR2824" s="4" t="s">
        <v>377</v>
      </c>
    </row>
    <row r="2825" spans="1:44">
      <c r="A2825" s="4" t="s">
        <v>5</v>
      </c>
      <c r="C2825" s="4">
        <v>4780</v>
      </c>
      <c r="D2825" s="5" t="s">
        <v>93</v>
      </c>
      <c r="E2825" s="6" t="s">
        <v>4277</v>
      </c>
      <c r="AP2825" s="4" t="s">
        <v>376</v>
      </c>
      <c r="AR2825" s="4" t="s">
        <v>377</v>
      </c>
    </row>
    <row r="2826" spans="1:44">
      <c r="A2826" s="4" t="s">
        <v>5</v>
      </c>
      <c r="C2826" s="4">
        <v>3143</v>
      </c>
      <c r="D2826" s="5" t="s">
        <v>93</v>
      </c>
      <c r="E2826" s="6" t="s">
        <v>4278</v>
      </c>
      <c r="F2826" s="5" t="s">
        <v>4279</v>
      </c>
      <c r="Z2826" s="4" t="s">
        <v>447</v>
      </c>
      <c r="AA2826" s="4" t="s">
        <v>448</v>
      </c>
      <c r="AP2826" s="4" t="s">
        <v>376</v>
      </c>
      <c r="AR2826" s="4" t="s">
        <v>377</v>
      </c>
    </row>
    <row r="2827" spans="1:44">
      <c r="A2827" s="4" t="s">
        <v>5</v>
      </c>
      <c r="C2827" s="4">
        <v>156</v>
      </c>
      <c r="D2827" s="5" t="s">
        <v>93</v>
      </c>
      <c r="E2827" s="6" t="s">
        <v>4280</v>
      </c>
      <c r="F2827" s="5" t="s">
        <v>4281</v>
      </c>
      <c r="AP2827" s="4" t="s">
        <v>376</v>
      </c>
      <c r="AR2827" s="4" t="s">
        <v>377</v>
      </c>
    </row>
    <row r="2828" spans="1:44" ht="30">
      <c r="A2828" s="4" t="s">
        <v>5</v>
      </c>
      <c r="C2828" s="4">
        <v>6921</v>
      </c>
      <c r="D2828" s="5" t="s">
        <v>93</v>
      </c>
      <c r="E2828" s="6" t="s">
        <v>4282</v>
      </c>
      <c r="AP2828" s="4" t="s">
        <v>376</v>
      </c>
      <c r="AR2828" s="4" t="s">
        <v>377</v>
      </c>
    </row>
    <row r="2829" spans="1:44">
      <c r="A2829" s="4" t="s">
        <v>5</v>
      </c>
      <c r="C2829" s="4">
        <v>490</v>
      </c>
      <c r="D2829" s="5" t="s">
        <v>93</v>
      </c>
      <c r="E2829" s="6" t="s">
        <v>4283</v>
      </c>
      <c r="AP2829" s="4" t="s">
        <v>376</v>
      </c>
      <c r="AR2829" s="4" t="s">
        <v>377</v>
      </c>
    </row>
    <row r="2830" spans="1:44">
      <c r="A2830" s="4" t="s">
        <v>5</v>
      </c>
      <c r="C2830" s="4">
        <v>1124</v>
      </c>
      <c r="D2830" s="5" t="s">
        <v>93</v>
      </c>
      <c r="E2830" s="6" t="s">
        <v>4284</v>
      </c>
      <c r="F2830" s="5" t="s">
        <v>4285</v>
      </c>
      <c r="AP2830" s="4" t="s">
        <v>376</v>
      </c>
      <c r="AR2830" s="4" t="s">
        <v>377</v>
      </c>
    </row>
    <row r="2831" spans="1:44">
      <c r="A2831" s="4" t="s">
        <v>5</v>
      </c>
      <c r="C2831" s="4">
        <v>4195</v>
      </c>
      <c r="D2831" s="5" t="s">
        <v>93</v>
      </c>
      <c r="E2831" s="6" t="s">
        <v>4286</v>
      </c>
      <c r="AP2831" s="4" t="s">
        <v>376</v>
      </c>
      <c r="AR2831" s="4" t="s">
        <v>377</v>
      </c>
    </row>
    <row r="2832" spans="1:44">
      <c r="A2832" s="4" t="s">
        <v>5</v>
      </c>
      <c r="C2832" s="4">
        <v>1069</v>
      </c>
      <c r="D2832" s="5" t="s">
        <v>93</v>
      </c>
      <c r="E2832" s="6" t="s">
        <v>4287</v>
      </c>
      <c r="F2832" s="5" t="s">
        <v>4288</v>
      </c>
      <c r="AP2832" s="4" t="s">
        <v>376</v>
      </c>
      <c r="AR2832" s="4" t="s">
        <v>377</v>
      </c>
    </row>
    <row r="2833" spans="1:44">
      <c r="A2833" s="4" t="s">
        <v>5</v>
      </c>
      <c r="C2833" s="4">
        <v>1090</v>
      </c>
      <c r="D2833" s="5" t="s">
        <v>93</v>
      </c>
      <c r="E2833" s="6" t="s">
        <v>4289</v>
      </c>
      <c r="AP2833" s="4" t="s">
        <v>376</v>
      </c>
      <c r="AR2833" s="4" t="s">
        <v>377</v>
      </c>
    </row>
    <row r="2834" spans="1:44" ht="30">
      <c r="A2834" s="4" t="s">
        <v>5</v>
      </c>
      <c r="C2834" s="4">
        <v>4079</v>
      </c>
      <c r="D2834" s="5" t="s">
        <v>93</v>
      </c>
      <c r="E2834" s="6" t="s">
        <v>4290</v>
      </c>
      <c r="AP2834" s="4" t="s">
        <v>376</v>
      </c>
      <c r="AR2834" s="4" t="s">
        <v>377</v>
      </c>
    </row>
    <row r="2835" spans="1:44">
      <c r="A2835" s="4" t="s">
        <v>5</v>
      </c>
      <c r="C2835" s="4">
        <v>4819</v>
      </c>
      <c r="D2835" s="5" t="s">
        <v>93</v>
      </c>
      <c r="E2835" s="6" t="s">
        <v>4291</v>
      </c>
      <c r="AP2835" s="4" t="s">
        <v>376</v>
      </c>
      <c r="AR2835" s="4" t="s">
        <v>377</v>
      </c>
    </row>
    <row r="2836" spans="1:44">
      <c r="A2836" s="4" t="s">
        <v>5</v>
      </c>
      <c r="C2836" s="4">
        <v>6508</v>
      </c>
      <c r="D2836" s="5" t="s">
        <v>93</v>
      </c>
      <c r="E2836" s="6" t="s">
        <v>4292</v>
      </c>
      <c r="AP2836" s="4" t="s">
        <v>376</v>
      </c>
      <c r="AR2836" s="4" t="s">
        <v>377</v>
      </c>
    </row>
    <row r="2837" spans="1:44">
      <c r="A2837" s="4" t="s">
        <v>5</v>
      </c>
      <c r="C2837" s="4">
        <v>550</v>
      </c>
      <c r="D2837" s="5" t="s">
        <v>93</v>
      </c>
      <c r="E2837" s="6" t="s">
        <v>4293</v>
      </c>
      <c r="F2837" s="5" t="s">
        <v>4294</v>
      </c>
      <c r="AP2837" s="4" t="s">
        <v>376</v>
      </c>
      <c r="AR2837" s="4" t="s">
        <v>377</v>
      </c>
    </row>
    <row r="2838" spans="1:44">
      <c r="A2838" s="4" t="s">
        <v>5</v>
      </c>
      <c r="C2838" s="4">
        <v>4038</v>
      </c>
      <c r="D2838" s="5" t="s">
        <v>93</v>
      </c>
      <c r="E2838" s="6" t="s">
        <v>4295</v>
      </c>
      <c r="AP2838" s="4" t="s">
        <v>376</v>
      </c>
      <c r="AR2838" s="4" t="s">
        <v>377</v>
      </c>
    </row>
    <row r="2839" spans="1:44">
      <c r="A2839" s="4" t="s">
        <v>5</v>
      </c>
      <c r="C2839" s="4">
        <v>5552</v>
      </c>
      <c r="D2839" s="5" t="s">
        <v>93</v>
      </c>
      <c r="E2839" s="6" t="s">
        <v>4296</v>
      </c>
      <c r="F2839" s="5" t="s">
        <v>4297</v>
      </c>
      <c r="AP2839" s="4" t="s">
        <v>376</v>
      </c>
      <c r="AR2839" s="4" t="s">
        <v>377</v>
      </c>
    </row>
    <row r="2840" spans="1:44">
      <c r="A2840" s="4" t="s">
        <v>5</v>
      </c>
      <c r="C2840" s="4">
        <v>3888</v>
      </c>
      <c r="D2840" s="5" t="s">
        <v>93</v>
      </c>
      <c r="E2840" s="6" t="s">
        <v>4298</v>
      </c>
      <c r="AP2840" s="4" t="s">
        <v>376</v>
      </c>
      <c r="AR2840" s="4" t="s">
        <v>377</v>
      </c>
    </row>
    <row r="2841" spans="1:44">
      <c r="A2841" s="4" t="s">
        <v>5</v>
      </c>
      <c r="C2841" s="4">
        <v>6274</v>
      </c>
      <c r="D2841" s="5" t="s">
        <v>93</v>
      </c>
      <c r="E2841" s="6" t="s">
        <v>4299</v>
      </c>
      <c r="F2841" s="5" t="s">
        <v>4300</v>
      </c>
      <c r="AP2841" s="4" t="s">
        <v>376</v>
      </c>
      <c r="AR2841" s="4" t="s">
        <v>377</v>
      </c>
    </row>
    <row r="2842" spans="1:44">
      <c r="A2842" s="4" t="s">
        <v>5</v>
      </c>
      <c r="C2842" s="4">
        <v>3129</v>
      </c>
      <c r="D2842" s="5" t="s">
        <v>93</v>
      </c>
      <c r="E2842" s="6" t="s">
        <v>4301</v>
      </c>
      <c r="F2842" s="5" t="s">
        <v>4302</v>
      </c>
      <c r="AP2842" s="4" t="s">
        <v>376</v>
      </c>
      <c r="AR2842" s="4" t="s">
        <v>377</v>
      </c>
    </row>
    <row r="2843" spans="1:44">
      <c r="A2843" s="4" t="s">
        <v>5</v>
      </c>
      <c r="C2843" s="4">
        <v>931</v>
      </c>
      <c r="D2843" s="5" t="s">
        <v>93</v>
      </c>
      <c r="E2843" s="6" t="s">
        <v>4303</v>
      </c>
      <c r="AP2843" s="4" t="s">
        <v>376</v>
      </c>
      <c r="AR2843" s="4" t="s">
        <v>377</v>
      </c>
    </row>
    <row r="2844" spans="1:44">
      <c r="A2844" s="4" t="s">
        <v>5</v>
      </c>
      <c r="C2844" s="4">
        <v>2561</v>
      </c>
      <c r="D2844" s="5" t="s">
        <v>93</v>
      </c>
      <c r="E2844" s="6" t="s">
        <v>4304</v>
      </c>
      <c r="AP2844" s="4" t="s">
        <v>376</v>
      </c>
      <c r="AR2844" s="4" t="s">
        <v>377</v>
      </c>
    </row>
    <row r="2845" spans="1:44">
      <c r="A2845" s="4" t="s">
        <v>5</v>
      </c>
      <c r="C2845" s="4">
        <v>4688</v>
      </c>
      <c r="D2845" s="5" t="s">
        <v>93</v>
      </c>
      <c r="E2845" s="6" t="s">
        <v>4305</v>
      </c>
      <c r="F2845" s="5" t="s">
        <v>4306</v>
      </c>
      <c r="Z2845" s="4" t="s">
        <v>443</v>
      </c>
      <c r="AA2845" s="4" t="s">
        <v>444</v>
      </c>
      <c r="AP2845" s="4" t="s">
        <v>376</v>
      </c>
      <c r="AR2845" s="4" t="s">
        <v>377</v>
      </c>
    </row>
    <row r="2846" spans="1:44" ht="30">
      <c r="A2846" s="4" t="s">
        <v>5</v>
      </c>
      <c r="C2846" s="4">
        <v>3598</v>
      </c>
      <c r="D2846" s="5" t="s">
        <v>93</v>
      </c>
      <c r="E2846" s="6" t="s">
        <v>4307</v>
      </c>
      <c r="AP2846" s="4" t="s">
        <v>376</v>
      </c>
      <c r="AR2846" s="4" t="s">
        <v>377</v>
      </c>
    </row>
    <row r="2847" spans="1:44">
      <c r="A2847" s="4" t="s">
        <v>5</v>
      </c>
      <c r="C2847" s="4">
        <v>2642</v>
      </c>
      <c r="D2847" s="5" t="s">
        <v>93</v>
      </c>
      <c r="E2847" s="6" t="s">
        <v>4308</v>
      </c>
      <c r="F2847" s="5" t="s">
        <v>4309</v>
      </c>
      <c r="AP2847" s="4" t="s">
        <v>376</v>
      </c>
      <c r="AR2847" s="4" t="s">
        <v>377</v>
      </c>
    </row>
    <row r="2848" spans="1:44">
      <c r="A2848" s="4" t="s">
        <v>5</v>
      </c>
      <c r="C2848" s="4">
        <v>194</v>
      </c>
      <c r="D2848" s="5" t="s">
        <v>93</v>
      </c>
      <c r="E2848" s="6" t="s">
        <v>4310</v>
      </c>
      <c r="F2848" s="5" t="s">
        <v>4311</v>
      </c>
      <c r="AP2848" s="4" t="s">
        <v>376</v>
      </c>
      <c r="AR2848" s="4" t="s">
        <v>377</v>
      </c>
    </row>
    <row r="2849" spans="1:44">
      <c r="A2849" s="4" t="s">
        <v>5</v>
      </c>
      <c r="C2849" s="4">
        <v>4785</v>
      </c>
      <c r="D2849" s="5" t="s">
        <v>93</v>
      </c>
      <c r="E2849" s="6" t="s">
        <v>4312</v>
      </c>
      <c r="AP2849" s="4" t="s">
        <v>376</v>
      </c>
      <c r="AR2849" s="4" t="s">
        <v>377</v>
      </c>
    </row>
    <row r="2850" spans="1:44">
      <c r="A2850" s="4" t="s">
        <v>5</v>
      </c>
      <c r="C2850" s="4">
        <v>6369</v>
      </c>
      <c r="D2850" s="5" t="s">
        <v>93</v>
      </c>
      <c r="E2850" s="6" t="s">
        <v>4313</v>
      </c>
      <c r="AP2850" s="4" t="s">
        <v>376</v>
      </c>
      <c r="AR2850" s="4" t="s">
        <v>377</v>
      </c>
    </row>
    <row r="2851" spans="1:44">
      <c r="A2851" s="4" t="s">
        <v>5</v>
      </c>
      <c r="C2851" s="4">
        <v>968</v>
      </c>
      <c r="D2851" s="5" t="s">
        <v>93</v>
      </c>
      <c r="E2851" s="6" t="s">
        <v>4314</v>
      </c>
      <c r="F2851" s="5" t="s">
        <v>4315</v>
      </c>
      <c r="AP2851" s="4" t="s">
        <v>376</v>
      </c>
      <c r="AR2851" s="4" t="s">
        <v>377</v>
      </c>
    </row>
    <row r="2852" spans="1:44">
      <c r="A2852" s="4" t="s">
        <v>5</v>
      </c>
      <c r="C2852" s="4">
        <v>1357</v>
      </c>
      <c r="D2852" s="5" t="s">
        <v>93</v>
      </c>
      <c r="E2852" s="6" t="s">
        <v>4316</v>
      </c>
      <c r="AP2852" s="4" t="s">
        <v>376</v>
      </c>
      <c r="AR2852" s="4" t="s">
        <v>377</v>
      </c>
    </row>
    <row r="2853" spans="1:44" ht="30">
      <c r="A2853" s="4" t="s">
        <v>5</v>
      </c>
      <c r="C2853" s="4">
        <v>3</v>
      </c>
      <c r="D2853" s="5" t="s">
        <v>93</v>
      </c>
      <c r="E2853" s="6" t="s">
        <v>4317</v>
      </c>
      <c r="F2853" s="5" t="s">
        <v>4318</v>
      </c>
      <c r="AP2853" s="4" t="s">
        <v>376</v>
      </c>
      <c r="AR2853" s="4" t="s">
        <v>377</v>
      </c>
    </row>
    <row r="2854" spans="1:44">
      <c r="A2854" s="4" t="s">
        <v>5</v>
      </c>
      <c r="C2854" s="4">
        <v>5271</v>
      </c>
      <c r="D2854" s="5" t="s">
        <v>93</v>
      </c>
      <c r="E2854" s="6" t="s">
        <v>4319</v>
      </c>
      <c r="AP2854" s="4" t="s">
        <v>376</v>
      </c>
      <c r="AR2854" s="4" t="s">
        <v>377</v>
      </c>
    </row>
    <row r="2855" spans="1:44">
      <c r="A2855" s="4" t="s">
        <v>5</v>
      </c>
      <c r="C2855" s="4">
        <v>4133</v>
      </c>
      <c r="D2855" s="5" t="s">
        <v>93</v>
      </c>
      <c r="E2855" s="6" t="s">
        <v>4320</v>
      </c>
      <c r="AP2855" s="4" t="s">
        <v>376</v>
      </c>
      <c r="AR2855" s="4" t="s">
        <v>377</v>
      </c>
    </row>
    <row r="2856" spans="1:44" ht="30">
      <c r="A2856" s="4" t="s">
        <v>5</v>
      </c>
      <c r="C2856" s="4">
        <v>6053</v>
      </c>
      <c r="D2856" s="5" t="s">
        <v>93</v>
      </c>
      <c r="E2856" s="6" t="s">
        <v>4321</v>
      </c>
      <c r="AP2856" s="4" t="s">
        <v>376</v>
      </c>
      <c r="AR2856" s="4" t="s">
        <v>377</v>
      </c>
    </row>
    <row r="2857" spans="1:44">
      <c r="A2857" s="4" t="s">
        <v>5</v>
      </c>
      <c r="C2857" s="4">
        <v>5639</v>
      </c>
      <c r="D2857" s="5" t="s">
        <v>93</v>
      </c>
      <c r="E2857" s="6" t="s">
        <v>4322</v>
      </c>
      <c r="Z2857" s="4" t="s">
        <v>447</v>
      </c>
      <c r="AA2857" s="4" t="s">
        <v>448</v>
      </c>
      <c r="AP2857" s="4" t="s">
        <v>376</v>
      </c>
      <c r="AR2857" s="4" t="s">
        <v>377</v>
      </c>
    </row>
    <row r="2858" spans="1:44">
      <c r="A2858" s="4" t="s">
        <v>5</v>
      </c>
      <c r="C2858" s="4">
        <v>1770</v>
      </c>
      <c r="D2858" s="5" t="s">
        <v>93</v>
      </c>
      <c r="E2858" s="6" t="s">
        <v>4323</v>
      </c>
      <c r="AP2858" s="4" t="s">
        <v>376</v>
      </c>
      <c r="AR2858" s="4" t="s">
        <v>377</v>
      </c>
    </row>
    <row r="2859" spans="1:44">
      <c r="A2859" s="4" t="s">
        <v>5</v>
      </c>
      <c r="C2859" s="4">
        <v>1322</v>
      </c>
      <c r="D2859" s="5" t="s">
        <v>93</v>
      </c>
      <c r="E2859" s="6" t="s">
        <v>4324</v>
      </c>
      <c r="AP2859" s="4" t="s">
        <v>376</v>
      </c>
      <c r="AR2859" s="4" t="s">
        <v>377</v>
      </c>
    </row>
    <row r="2860" spans="1:44">
      <c r="A2860" s="4" t="s">
        <v>5</v>
      </c>
      <c r="C2860" s="4">
        <v>2527</v>
      </c>
      <c r="D2860" s="5" t="s">
        <v>93</v>
      </c>
      <c r="E2860" s="6" t="s">
        <v>4325</v>
      </c>
      <c r="AP2860" s="4" t="s">
        <v>376</v>
      </c>
      <c r="AR2860" s="4" t="s">
        <v>377</v>
      </c>
    </row>
    <row r="2861" spans="1:44">
      <c r="A2861" s="4" t="s">
        <v>5</v>
      </c>
      <c r="C2861" s="4">
        <v>6130</v>
      </c>
      <c r="D2861" s="5" t="s">
        <v>93</v>
      </c>
      <c r="E2861" s="6" t="s">
        <v>4326</v>
      </c>
      <c r="F2861" s="5" t="s">
        <v>4327</v>
      </c>
      <c r="AP2861" s="4" t="s">
        <v>376</v>
      </c>
      <c r="AR2861" s="4" t="s">
        <v>377</v>
      </c>
    </row>
    <row r="2862" spans="1:44">
      <c r="A2862" s="4" t="s">
        <v>5</v>
      </c>
      <c r="C2862" s="4">
        <v>5218</v>
      </c>
      <c r="D2862" s="5" t="s">
        <v>93</v>
      </c>
      <c r="E2862" s="6" t="s">
        <v>4328</v>
      </c>
      <c r="F2862" s="5" t="s">
        <v>4329</v>
      </c>
      <c r="Z2862" s="4" t="s">
        <v>447</v>
      </c>
      <c r="AA2862" s="4" t="s">
        <v>448</v>
      </c>
      <c r="AP2862" s="4" t="s">
        <v>376</v>
      </c>
      <c r="AR2862" s="4" t="s">
        <v>377</v>
      </c>
    </row>
    <row r="2863" spans="1:44" ht="30">
      <c r="A2863" s="4" t="s">
        <v>5</v>
      </c>
      <c r="C2863" s="4">
        <v>1083</v>
      </c>
      <c r="D2863" s="5" t="s">
        <v>93</v>
      </c>
      <c r="E2863" s="6" t="s">
        <v>4330</v>
      </c>
      <c r="F2863" s="5" t="s">
        <v>4331</v>
      </c>
      <c r="Z2863" s="4" t="s">
        <v>447</v>
      </c>
      <c r="AA2863" s="4" t="s">
        <v>448</v>
      </c>
      <c r="AP2863" s="4" t="s">
        <v>376</v>
      </c>
      <c r="AR2863" s="4" t="s">
        <v>377</v>
      </c>
    </row>
    <row r="2864" spans="1:44">
      <c r="A2864" s="4" t="s">
        <v>5</v>
      </c>
      <c r="C2864" s="4">
        <v>2887</v>
      </c>
      <c r="D2864" s="5" t="s">
        <v>93</v>
      </c>
      <c r="E2864" s="6" t="s">
        <v>4332</v>
      </c>
      <c r="F2864" s="5" t="s">
        <v>4333</v>
      </c>
      <c r="AP2864" s="4" t="s">
        <v>376</v>
      </c>
      <c r="AR2864" s="4" t="s">
        <v>377</v>
      </c>
    </row>
    <row r="2865" spans="1:44">
      <c r="A2865" s="4" t="s">
        <v>5</v>
      </c>
      <c r="C2865" s="4">
        <v>6154</v>
      </c>
      <c r="D2865" s="5" t="s">
        <v>93</v>
      </c>
      <c r="E2865" s="6" t="s">
        <v>4334</v>
      </c>
      <c r="AP2865" s="4" t="s">
        <v>376</v>
      </c>
      <c r="AR2865" s="4" t="s">
        <v>377</v>
      </c>
    </row>
    <row r="2866" spans="1:44">
      <c r="A2866" s="4" t="s">
        <v>5</v>
      </c>
      <c r="C2866" s="4">
        <v>1288</v>
      </c>
      <c r="D2866" s="5" t="s">
        <v>93</v>
      </c>
      <c r="E2866" s="6" t="s">
        <v>4335</v>
      </c>
      <c r="F2866" s="5" t="s">
        <v>4336</v>
      </c>
      <c r="Z2866" s="4" t="s">
        <v>447</v>
      </c>
      <c r="AA2866" s="4" t="s">
        <v>448</v>
      </c>
      <c r="AP2866" s="4" t="s">
        <v>376</v>
      </c>
      <c r="AR2866" s="4" t="s">
        <v>377</v>
      </c>
    </row>
    <row r="2867" spans="1:44">
      <c r="A2867" s="4" t="s">
        <v>5</v>
      </c>
      <c r="C2867" s="4">
        <v>1824</v>
      </c>
      <c r="D2867" s="5" t="s">
        <v>93</v>
      </c>
      <c r="E2867" s="6" t="s">
        <v>4337</v>
      </c>
      <c r="AP2867" s="4" t="s">
        <v>376</v>
      </c>
      <c r="AR2867" s="4" t="s">
        <v>377</v>
      </c>
    </row>
    <row r="2868" spans="1:44">
      <c r="A2868" s="4" t="s">
        <v>5</v>
      </c>
      <c r="C2868" s="4">
        <v>2874</v>
      </c>
      <c r="D2868" s="5" t="s">
        <v>93</v>
      </c>
      <c r="E2868" s="6" t="s">
        <v>4338</v>
      </c>
      <c r="F2868" s="5" t="s">
        <v>4339</v>
      </c>
      <c r="Z2868" s="4" t="s">
        <v>443</v>
      </c>
      <c r="AA2868" s="4" t="s">
        <v>444</v>
      </c>
      <c r="AP2868" s="4" t="s">
        <v>376</v>
      </c>
      <c r="AR2868" s="4" t="s">
        <v>377</v>
      </c>
    </row>
    <row r="2869" spans="1:44">
      <c r="A2869" s="4" t="s">
        <v>5</v>
      </c>
      <c r="C2869" s="4">
        <v>496</v>
      </c>
      <c r="D2869" s="5" t="s">
        <v>93</v>
      </c>
      <c r="E2869" s="6" t="s">
        <v>4340</v>
      </c>
      <c r="F2869" s="5" t="s">
        <v>4341</v>
      </c>
      <c r="AP2869" s="4" t="s">
        <v>376</v>
      </c>
      <c r="AR2869" s="4" t="s">
        <v>377</v>
      </c>
    </row>
    <row r="2870" spans="1:44">
      <c r="A2870" s="4" t="s">
        <v>5</v>
      </c>
      <c r="C2870" s="4">
        <v>2088</v>
      </c>
      <c r="D2870" s="5" t="s">
        <v>93</v>
      </c>
      <c r="E2870" s="6" t="s">
        <v>4342</v>
      </c>
      <c r="AP2870" s="4" t="s">
        <v>376</v>
      </c>
      <c r="AR2870" s="4" t="s">
        <v>377</v>
      </c>
    </row>
    <row r="2871" spans="1:44">
      <c r="A2871" s="4" t="s">
        <v>5</v>
      </c>
      <c r="C2871" s="4">
        <v>2058</v>
      </c>
      <c r="D2871" s="5" t="s">
        <v>93</v>
      </c>
      <c r="E2871" s="6" t="s">
        <v>4343</v>
      </c>
      <c r="AP2871" s="4" t="s">
        <v>376</v>
      </c>
      <c r="AR2871" s="4" t="s">
        <v>377</v>
      </c>
    </row>
    <row r="2872" spans="1:44">
      <c r="A2872" s="4" t="s">
        <v>5</v>
      </c>
      <c r="C2872" s="4">
        <v>2411</v>
      </c>
      <c r="D2872" s="5" t="s">
        <v>93</v>
      </c>
      <c r="E2872" s="6" t="s">
        <v>4344</v>
      </c>
      <c r="F2872" s="5" t="s">
        <v>4345</v>
      </c>
      <c r="AP2872" s="4" t="s">
        <v>376</v>
      </c>
      <c r="AR2872" s="4" t="s">
        <v>377</v>
      </c>
    </row>
    <row r="2873" spans="1:44" ht="30">
      <c r="A2873" s="4" t="s">
        <v>5</v>
      </c>
      <c r="C2873" s="4">
        <v>430</v>
      </c>
      <c r="D2873" s="5" t="s">
        <v>93</v>
      </c>
      <c r="E2873" s="6" t="s">
        <v>4346</v>
      </c>
      <c r="F2873" s="5" t="s">
        <v>4347</v>
      </c>
      <c r="Z2873" s="4" t="s">
        <v>447</v>
      </c>
      <c r="AA2873" s="4" t="s">
        <v>448</v>
      </c>
      <c r="AP2873" s="4" t="s">
        <v>376</v>
      </c>
      <c r="AR2873" s="4" t="s">
        <v>377</v>
      </c>
    </row>
    <row r="2874" spans="1:44">
      <c r="A2874" s="4" t="s">
        <v>5</v>
      </c>
      <c r="C2874" s="4">
        <v>3640</v>
      </c>
      <c r="D2874" s="5" t="s">
        <v>93</v>
      </c>
      <c r="E2874" s="6" t="s">
        <v>4348</v>
      </c>
      <c r="AP2874" s="4" t="s">
        <v>376</v>
      </c>
      <c r="AR2874" s="4" t="s">
        <v>377</v>
      </c>
    </row>
    <row r="2875" spans="1:44">
      <c r="A2875" s="4" t="s">
        <v>5</v>
      </c>
      <c r="C2875" s="4">
        <v>1025</v>
      </c>
      <c r="D2875" s="5" t="s">
        <v>93</v>
      </c>
      <c r="E2875" s="6" t="s">
        <v>4349</v>
      </c>
      <c r="Z2875" s="4" t="s">
        <v>695</v>
      </c>
      <c r="AA2875" s="4" t="s">
        <v>696</v>
      </c>
      <c r="AP2875" s="4" t="s">
        <v>376</v>
      </c>
      <c r="AR2875" s="4" t="s">
        <v>377</v>
      </c>
    </row>
    <row r="2876" spans="1:44">
      <c r="A2876" s="4" t="s">
        <v>5</v>
      </c>
      <c r="C2876" s="4">
        <v>510</v>
      </c>
      <c r="D2876" s="5" t="s">
        <v>93</v>
      </c>
      <c r="E2876" s="6" t="s">
        <v>4350</v>
      </c>
      <c r="F2876" s="5" t="s">
        <v>4351</v>
      </c>
      <c r="AP2876" s="4" t="s">
        <v>376</v>
      </c>
      <c r="AR2876" s="4" t="s">
        <v>377</v>
      </c>
    </row>
    <row r="2877" spans="1:44" ht="30">
      <c r="A2877" s="4" t="s">
        <v>5</v>
      </c>
      <c r="C2877" s="4">
        <v>5915</v>
      </c>
      <c r="D2877" s="5" t="s">
        <v>93</v>
      </c>
      <c r="E2877" s="6" t="s">
        <v>4352</v>
      </c>
      <c r="AP2877" s="4" t="s">
        <v>376</v>
      </c>
      <c r="AR2877" s="4" t="s">
        <v>377</v>
      </c>
    </row>
    <row r="2878" spans="1:44">
      <c r="A2878" s="4" t="s">
        <v>5</v>
      </c>
      <c r="C2878" s="4">
        <v>2616</v>
      </c>
      <c r="D2878" s="5" t="s">
        <v>93</v>
      </c>
      <c r="E2878" s="6" t="s">
        <v>4353</v>
      </c>
      <c r="Z2878" s="4" t="s">
        <v>695</v>
      </c>
      <c r="AA2878" s="4" t="s">
        <v>696</v>
      </c>
      <c r="AP2878" s="4" t="s">
        <v>376</v>
      </c>
      <c r="AR2878" s="4" t="s">
        <v>377</v>
      </c>
    </row>
    <row r="2879" spans="1:44">
      <c r="A2879" s="4" t="s">
        <v>5</v>
      </c>
      <c r="C2879" s="4">
        <v>3418</v>
      </c>
      <c r="D2879" s="5" t="s">
        <v>93</v>
      </c>
      <c r="E2879" s="6" t="s">
        <v>4354</v>
      </c>
      <c r="AP2879" s="4" t="s">
        <v>376</v>
      </c>
      <c r="AR2879" s="4" t="s">
        <v>377</v>
      </c>
    </row>
    <row r="2880" spans="1:44" ht="30">
      <c r="A2880" s="4" t="s">
        <v>5</v>
      </c>
      <c r="C2880" s="4">
        <v>3413</v>
      </c>
      <c r="D2880" s="5" t="s">
        <v>93</v>
      </c>
      <c r="E2880" s="6" t="s">
        <v>4355</v>
      </c>
      <c r="AP2880" s="4" t="s">
        <v>376</v>
      </c>
      <c r="AR2880" s="4" t="s">
        <v>377</v>
      </c>
    </row>
    <row r="2881" spans="1:44">
      <c r="A2881" s="4" t="s">
        <v>5</v>
      </c>
      <c r="C2881" s="4">
        <v>4736</v>
      </c>
      <c r="D2881" s="5" t="s">
        <v>93</v>
      </c>
      <c r="E2881" s="6" t="s">
        <v>4356</v>
      </c>
      <c r="AP2881" s="4" t="s">
        <v>376</v>
      </c>
      <c r="AR2881" s="4" t="s">
        <v>377</v>
      </c>
    </row>
    <row r="2882" spans="1:44" ht="30">
      <c r="A2882" s="4" t="s">
        <v>5</v>
      </c>
      <c r="C2882" s="4">
        <v>4206</v>
      </c>
      <c r="D2882" s="5" t="s">
        <v>93</v>
      </c>
      <c r="E2882" s="6" t="s">
        <v>4357</v>
      </c>
      <c r="AP2882" s="4" t="s">
        <v>376</v>
      </c>
      <c r="AR2882" s="4" t="s">
        <v>377</v>
      </c>
    </row>
    <row r="2883" spans="1:44">
      <c r="A2883" s="4" t="s">
        <v>5</v>
      </c>
      <c r="C2883" s="4">
        <v>4772</v>
      </c>
      <c r="D2883" s="5" t="s">
        <v>93</v>
      </c>
      <c r="E2883" s="6" t="s">
        <v>4358</v>
      </c>
      <c r="AP2883" s="4" t="s">
        <v>376</v>
      </c>
      <c r="AR2883" s="4" t="s">
        <v>377</v>
      </c>
    </row>
    <row r="2884" spans="1:44">
      <c r="A2884" s="4" t="s">
        <v>5</v>
      </c>
      <c r="C2884" s="4">
        <v>4282</v>
      </c>
      <c r="D2884" s="5" t="s">
        <v>93</v>
      </c>
      <c r="E2884" s="6" t="s">
        <v>4359</v>
      </c>
      <c r="AP2884" s="4" t="s">
        <v>376</v>
      </c>
      <c r="AR2884" s="4" t="s">
        <v>377</v>
      </c>
    </row>
    <row r="2885" spans="1:44">
      <c r="A2885" s="4" t="s">
        <v>5</v>
      </c>
      <c r="C2885" s="4">
        <v>4913</v>
      </c>
      <c r="D2885" s="5" t="s">
        <v>93</v>
      </c>
      <c r="E2885" s="6" t="s">
        <v>4360</v>
      </c>
      <c r="AP2885" s="4" t="s">
        <v>376</v>
      </c>
      <c r="AR2885" s="4" t="s">
        <v>377</v>
      </c>
    </row>
    <row r="2886" spans="1:44" ht="30">
      <c r="A2886" s="4" t="s">
        <v>5</v>
      </c>
      <c r="C2886" s="4">
        <v>5910</v>
      </c>
      <c r="D2886" s="5" t="s">
        <v>93</v>
      </c>
      <c r="E2886" s="6" t="s">
        <v>4361</v>
      </c>
      <c r="AP2886" s="4" t="s">
        <v>376</v>
      </c>
      <c r="AR2886" s="4" t="s">
        <v>377</v>
      </c>
    </row>
    <row r="2887" spans="1:44" ht="30">
      <c r="A2887" s="4" t="s">
        <v>5</v>
      </c>
      <c r="C2887" s="4">
        <v>6341</v>
      </c>
      <c r="D2887" s="5" t="s">
        <v>93</v>
      </c>
      <c r="E2887" s="6" t="s">
        <v>4362</v>
      </c>
      <c r="AP2887" s="4" t="s">
        <v>376</v>
      </c>
      <c r="AR2887" s="4" t="s">
        <v>377</v>
      </c>
    </row>
    <row r="2888" spans="1:44" ht="30">
      <c r="A2888" s="4" t="s">
        <v>5</v>
      </c>
      <c r="C2888" s="4">
        <v>5525</v>
      </c>
      <c r="D2888" s="5" t="s">
        <v>93</v>
      </c>
      <c r="E2888" s="6" t="s">
        <v>4363</v>
      </c>
      <c r="AP2888" s="4" t="s">
        <v>376</v>
      </c>
      <c r="AR2888" s="4" t="s">
        <v>377</v>
      </c>
    </row>
    <row r="2889" spans="1:44">
      <c r="A2889" s="4" t="s">
        <v>5</v>
      </c>
      <c r="C2889" s="4">
        <v>6593</v>
      </c>
      <c r="D2889" s="5" t="s">
        <v>93</v>
      </c>
      <c r="E2889" s="6" t="s">
        <v>4364</v>
      </c>
      <c r="AP2889" s="4" t="s">
        <v>376</v>
      </c>
      <c r="AR2889" s="4" t="s">
        <v>377</v>
      </c>
    </row>
    <row r="2890" spans="1:44">
      <c r="A2890" s="4" t="s">
        <v>5</v>
      </c>
      <c r="C2890" s="4">
        <v>2048</v>
      </c>
      <c r="D2890" s="5" t="s">
        <v>93</v>
      </c>
      <c r="E2890" s="6" t="s">
        <v>4365</v>
      </c>
      <c r="AP2890" s="4" t="s">
        <v>376</v>
      </c>
      <c r="AR2890" s="4" t="s">
        <v>377</v>
      </c>
    </row>
    <row r="2891" spans="1:44">
      <c r="A2891" s="4" t="s">
        <v>5</v>
      </c>
      <c r="C2891" s="4">
        <v>5827</v>
      </c>
      <c r="D2891" s="5" t="s">
        <v>93</v>
      </c>
      <c r="E2891" s="6" t="s">
        <v>4366</v>
      </c>
      <c r="F2891" s="5" t="s">
        <v>4367</v>
      </c>
      <c r="AP2891" s="4" t="s">
        <v>376</v>
      </c>
      <c r="AR2891" s="4" t="s">
        <v>377</v>
      </c>
    </row>
    <row r="2892" spans="1:44">
      <c r="A2892" s="4" t="s">
        <v>5</v>
      </c>
      <c r="C2892" s="4">
        <v>6395</v>
      </c>
      <c r="D2892" s="5" t="s">
        <v>93</v>
      </c>
      <c r="E2892" s="6" t="s">
        <v>4368</v>
      </c>
      <c r="AP2892" s="4" t="s">
        <v>376</v>
      </c>
      <c r="AR2892" s="4" t="s">
        <v>377</v>
      </c>
    </row>
    <row r="2893" spans="1:44">
      <c r="A2893" s="4" t="s">
        <v>5</v>
      </c>
      <c r="C2893" s="4">
        <v>5324</v>
      </c>
      <c r="D2893" s="5" t="s">
        <v>93</v>
      </c>
      <c r="E2893" s="6" t="s">
        <v>4369</v>
      </c>
      <c r="AP2893" s="4" t="s">
        <v>376</v>
      </c>
      <c r="AR2893" s="4" t="s">
        <v>377</v>
      </c>
    </row>
    <row r="2894" spans="1:44" ht="30">
      <c r="A2894" s="4" t="s">
        <v>5</v>
      </c>
      <c r="C2894" s="4">
        <v>3660</v>
      </c>
      <c r="D2894" s="5" t="s">
        <v>93</v>
      </c>
      <c r="E2894" s="6" t="s">
        <v>4370</v>
      </c>
      <c r="AP2894" s="4" t="s">
        <v>376</v>
      </c>
      <c r="AR2894" s="4" t="s">
        <v>377</v>
      </c>
    </row>
    <row r="2895" spans="1:44">
      <c r="A2895" s="4" t="s">
        <v>5</v>
      </c>
      <c r="C2895" s="4">
        <v>1222</v>
      </c>
      <c r="D2895" s="5" t="s">
        <v>93</v>
      </c>
      <c r="E2895" s="6" t="s">
        <v>4371</v>
      </c>
      <c r="AP2895" s="4" t="s">
        <v>376</v>
      </c>
      <c r="AR2895" s="4" t="s">
        <v>377</v>
      </c>
    </row>
    <row r="2896" spans="1:44" ht="30">
      <c r="A2896" s="4" t="s">
        <v>5</v>
      </c>
      <c r="C2896" s="4">
        <v>4777</v>
      </c>
      <c r="D2896" s="5" t="s">
        <v>93</v>
      </c>
      <c r="E2896" s="6" t="s">
        <v>4372</v>
      </c>
      <c r="AP2896" s="4" t="s">
        <v>376</v>
      </c>
      <c r="AR2896" s="4" t="s">
        <v>377</v>
      </c>
    </row>
    <row r="2897" spans="1:44" ht="45">
      <c r="A2897" s="4" t="s">
        <v>5</v>
      </c>
      <c r="C2897" s="4">
        <v>4273</v>
      </c>
      <c r="D2897" s="5" t="s">
        <v>93</v>
      </c>
      <c r="E2897" s="6" t="s">
        <v>4373</v>
      </c>
      <c r="AP2897" s="4" t="s">
        <v>376</v>
      </c>
      <c r="AR2897" s="4" t="s">
        <v>377</v>
      </c>
    </row>
    <row r="2898" spans="1:44" ht="30">
      <c r="A2898" s="4" t="s">
        <v>5</v>
      </c>
      <c r="C2898" s="4">
        <v>4069</v>
      </c>
      <c r="D2898" s="5" t="s">
        <v>93</v>
      </c>
      <c r="E2898" s="6" t="s">
        <v>4374</v>
      </c>
      <c r="F2898" s="5" t="s">
        <v>4375</v>
      </c>
      <c r="AP2898" s="4" t="s">
        <v>376</v>
      </c>
      <c r="AR2898" s="4" t="s">
        <v>377</v>
      </c>
    </row>
    <row r="2899" spans="1:44">
      <c r="A2899" s="4" t="s">
        <v>5</v>
      </c>
      <c r="C2899" s="4">
        <v>4315</v>
      </c>
      <c r="D2899" s="5" t="s">
        <v>93</v>
      </c>
      <c r="E2899" s="6" t="s">
        <v>4376</v>
      </c>
      <c r="AP2899" s="4" t="s">
        <v>376</v>
      </c>
      <c r="AR2899" s="4" t="s">
        <v>377</v>
      </c>
    </row>
    <row r="2900" spans="1:44" ht="30">
      <c r="A2900" s="4" t="s">
        <v>5</v>
      </c>
      <c r="C2900" s="4">
        <v>1569</v>
      </c>
      <c r="D2900" s="5" t="s">
        <v>93</v>
      </c>
      <c r="E2900" s="6" t="s">
        <v>4377</v>
      </c>
      <c r="AP2900" s="4" t="s">
        <v>376</v>
      </c>
      <c r="AR2900" s="4" t="s">
        <v>377</v>
      </c>
    </row>
    <row r="2901" spans="1:44">
      <c r="A2901" s="4" t="s">
        <v>5</v>
      </c>
      <c r="C2901" s="4">
        <v>491</v>
      </c>
      <c r="D2901" s="5" t="s">
        <v>93</v>
      </c>
      <c r="E2901" s="6" t="s">
        <v>4378</v>
      </c>
      <c r="F2901" s="5" t="s">
        <v>4379</v>
      </c>
      <c r="AP2901" s="4" t="s">
        <v>376</v>
      </c>
      <c r="AR2901" s="4" t="s">
        <v>377</v>
      </c>
    </row>
    <row r="2902" spans="1:44" ht="30">
      <c r="A2902" s="4" t="s">
        <v>5</v>
      </c>
      <c r="C2902" s="4">
        <v>5359</v>
      </c>
      <c r="D2902" s="5" t="s">
        <v>93</v>
      </c>
      <c r="E2902" s="6" t="s">
        <v>4380</v>
      </c>
      <c r="AP2902" s="4" t="s">
        <v>376</v>
      </c>
      <c r="AR2902" s="4" t="s">
        <v>377</v>
      </c>
    </row>
    <row r="2903" spans="1:44">
      <c r="A2903" s="4" t="s">
        <v>5</v>
      </c>
      <c r="C2903" s="4">
        <v>2321</v>
      </c>
      <c r="D2903" s="5" t="s">
        <v>93</v>
      </c>
      <c r="E2903" s="6" t="s">
        <v>4381</v>
      </c>
      <c r="F2903" s="5" t="s">
        <v>4382</v>
      </c>
      <c r="AP2903" s="4" t="s">
        <v>376</v>
      </c>
      <c r="AR2903" s="4" t="s">
        <v>377</v>
      </c>
    </row>
    <row r="2904" spans="1:44">
      <c r="A2904" s="4" t="s">
        <v>5</v>
      </c>
      <c r="C2904" s="4">
        <v>5294</v>
      </c>
      <c r="D2904" s="5" t="s">
        <v>93</v>
      </c>
      <c r="E2904" s="6" t="s">
        <v>4383</v>
      </c>
      <c r="AP2904" s="4" t="s">
        <v>376</v>
      </c>
      <c r="AR2904" s="4" t="s">
        <v>377</v>
      </c>
    </row>
    <row r="2905" spans="1:44">
      <c r="A2905" s="4" t="s">
        <v>5</v>
      </c>
      <c r="C2905" s="4">
        <v>1499</v>
      </c>
      <c r="D2905" s="5" t="s">
        <v>93</v>
      </c>
      <c r="E2905" s="6" t="s">
        <v>4384</v>
      </c>
      <c r="AP2905" s="4" t="s">
        <v>376</v>
      </c>
      <c r="AR2905" s="4" t="s">
        <v>377</v>
      </c>
    </row>
    <row r="2906" spans="1:44">
      <c r="A2906" s="4" t="s">
        <v>5</v>
      </c>
      <c r="C2906" s="4">
        <v>3500</v>
      </c>
      <c r="D2906" s="5" t="s">
        <v>93</v>
      </c>
      <c r="E2906" s="6" t="s">
        <v>4385</v>
      </c>
      <c r="F2906" s="5" t="s">
        <v>4386</v>
      </c>
      <c r="AP2906" s="4" t="s">
        <v>376</v>
      </c>
      <c r="AR2906" s="4" t="s">
        <v>377</v>
      </c>
    </row>
    <row r="2907" spans="1:44">
      <c r="A2907" s="4" t="s">
        <v>5</v>
      </c>
      <c r="C2907" s="4">
        <v>6824</v>
      </c>
      <c r="D2907" s="5" t="s">
        <v>93</v>
      </c>
      <c r="E2907" s="6" t="s">
        <v>4387</v>
      </c>
      <c r="AP2907" s="4" t="s">
        <v>376</v>
      </c>
      <c r="AR2907" s="4" t="s">
        <v>377</v>
      </c>
    </row>
    <row r="2908" spans="1:44">
      <c r="A2908" s="4" t="s">
        <v>5</v>
      </c>
      <c r="C2908" s="4">
        <v>1608</v>
      </c>
      <c r="D2908" s="5" t="s">
        <v>93</v>
      </c>
      <c r="E2908" s="6" t="s">
        <v>4388</v>
      </c>
      <c r="AP2908" s="4" t="s">
        <v>376</v>
      </c>
      <c r="AR2908" s="4" t="s">
        <v>377</v>
      </c>
    </row>
    <row r="2909" spans="1:44">
      <c r="A2909" s="4" t="s">
        <v>5</v>
      </c>
      <c r="C2909" s="4">
        <v>3434</v>
      </c>
      <c r="D2909" s="5" t="s">
        <v>93</v>
      </c>
      <c r="E2909" s="6" t="s">
        <v>4389</v>
      </c>
      <c r="Z2909" s="4" t="s">
        <v>447</v>
      </c>
      <c r="AA2909" s="4" t="s">
        <v>448</v>
      </c>
      <c r="AP2909" s="4" t="s">
        <v>376</v>
      </c>
      <c r="AR2909" s="4" t="s">
        <v>377</v>
      </c>
    </row>
    <row r="2910" spans="1:44">
      <c r="A2910" s="4" t="s">
        <v>5</v>
      </c>
      <c r="C2910" s="4">
        <v>5272</v>
      </c>
      <c r="D2910" s="5" t="s">
        <v>93</v>
      </c>
      <c r="E2910" s="6" t="s">
        <v>4390</v>
      </c>
      <c r="AP2910" s="4" t="s">
        <v>376</v>
      </c>
      <c r="AR2910" s="4" t="s">
        <v>377</v>
      </c>
    </row>
    <row r="2911" spans="1:44">
      <c r="A2911" s="4" t="s">
        <v>5</v>
      </c>
      <c r="C2911" s="4">
        <v>6378</v>
      </c>
      <c r="D2911" s="5" t="s">
        <v>93</v>
      </c>
      <c r="E2911" s="6" t="s">
        <v>4391</v>
      </c>
      <c r="F2911" s="5" t="s">
        <v>4392</v>
      </c>
      <c r="AP2911" s="4" t="s">
        <v>376</v>
      </c>
      <c r="AR2911" s="4" t="s">
        <v>377</v>
      </c>
    </row>
    <row r="2912" spans="1:44" ht="30">
      <c r="A2912" s="4" t="s">
        <v>5</v>
      </c>
      <c r="C2912" s="4">
        <v>3144</v>
      </c>
      <c r="D2912" s="5" t="s">
        <v>93</v>
      </c>
      <c r="E2912" s="6" t="s">
        <v>4393</v>
      </c>
      <c r="F2912" s="5" t="s">
        <v>4394</v>
      </c>
      <c r="AP2912" s="4" t="s">
        <v>376</v>
      </c>
      <c r="AR2912" s="4" t="s">
        <v>377</v>
      </c>
    </row>
    <row r="2913" spans="1:44">
      <c r="A2913" s="4" t="s">
        <v>5</v>
      </c>
      <c r="C2913" s="4">
        <v>5246</v>
      </c>
      <c r="D2913" s="5" t="s">
        <v>93</v>
      </c>
      <c r="E2913" s="6" t="s">
        <v>4395</v>
      </c>
      <c r="AP2913" s="4" t="s">
        <v>376</v>
      </c>
      <c r="AR2913" s="4" t="s">
        <v>377</v>
      </c>
    </row>
    <row r="2914" spans="1:44" ht="30">
      <c r="A2914" s="4" t="s">
        <v>5</v>
      </c>
      <c r="C2914" s="4">
        <v>4564</v>
      </c>
      <c r="D2914" s="5" t="s">
        <v>93</v>
      </c>
      <c r="E2914" s="6" t="s">
        <v>4396</v>
      </c>
      <c r="AP2914" s="4" t="s">
        <v>376</v>
      </c>
      <c r="AR2914" s="4" t="s">
        <v>377</v>
      </c>
    </row>
    <row r="2915" spans="1:44">
      <c r="A2915" s="4" t="s">
        <v>5</v>
      </c>
      <c r="C2915" s="4">
        <v>2128</v>
      </c>
      <c r="D2915" s="5" t="s">
        <v>93</v>
      </c>
      <c r="E2915" s="6" t="s">
        <v>4397</v>
      </c>
      <c r="AP2915" s="4" t="s">
        <v>376</v>
      </c>
      <c r="AR2915" s="4" t="s">
        <v>377</v>
      </c>
    </row>
    <row r="2916" spans="1:44">
      <c r="A2916" s="4" t="s">
        <v>5</v>
      </c>
      <c r="C2916" s="4">
        <v>611</v>
      </c>
      <c r="D2916" s="5" t="s">
        <v>93</v>
      </c>
      <c r="E2916" s="6" t="s">
        <v>4398</v>
      </c>
      <c r="F2916" s="5" t="s">
        <v>4399</v>
      </c>
      <c r="AP2916" s="4" t="s">
        <v>376</v>
      </c>
      <c r="AR2916" s="4" t="s">
        <v>377</v>
      </c>
    </row>
    <row r="2917" spans="1:44">
      <c r="A2917" s="4" t="s">
        <v>5</v>
      </c>
      <c r="C2917" s="4">
        <v>3887</v>
      </c>
      <c r="D2917" s="5" t="s">
        <v>93</v>
      </c>
      <c r="E2917" s="6" t="s">
        <v>4400</v>
      </c>
      <c r="AP2917" s="4" t="s">
        <v>376</v>
      </c>
      <c r="AR2917" s="4" t="s">
        <v>377</v>
      </c>
    </row>
    <row r="2918" spans="1:44">
      <c r="A2918" s="4" t="s">
        <v>5</v>
      </c>
      <c r="C2918" s="4">
        <v>2730</v>
      </c>
      <c r="D2918" s="5" t="s">
        <v>93</v>
      </c>
      <c r="E2918" s="6" t="s">
        <v>4401</v>
      </c>
      <c r="AP2918" s="4" t="s">
        <v>376</v>
      </c>
      <c r="AR2918" s="4" t="s">
        <v>377</v>
      </c>
    </row>
    <row r="2919" spans="1:44" ht="30">
      <c r="A2919" s="4" t="s">
        <v>5</v>
      </c>
      <c r="C2919" s="4">
        <v>3311</v>
      </c>
      <c r="D2919" s="5" t="s">
        <v>93</v>
      </c>
      <c r="E2919" s="6" t="s">
        <v>4402</v>
      </c>
      <c r="AP2919" s="4" t="s">
        <v>376</v>
      </c>
      <c r="AR2919" s="4" t="s">
        <v>377</v>
      </c>
    </row>
    <row r="2920" spans="1:44">
      <c r="A2920" s="4" t="s">
        <v>5</v>
      </c>
      <c r="C2920" s="4">
        <v>1052</v>
      </c>
      <c r="D2920" s="5" t="s">
        <v>93</v>
      </c>
      <c r="E2920" s="6" t="s">
        <v>4403</v>
      </c>
      <c r="AP2920" s="4" t="s">
        <v>376</v>
      </c>
      <c r="AR2920" s="4" t="s">
        <v>377</v>
      </c>
    </row>
    <row r="2921" spans="1:44" ht="30">
      <c r="A2921" s="4" t="s">
        <v>5</v>
      </c>
      <c r="C2921" s="4">
        <v>1439</v>
      </c>
      <c r="D2921" s="5" t="s">
        <v>93</v>
      </c>
      <c r="E2921" s="6" t="s">
        <v>4404</v>
      </c>
      <c r="F2921" s="5" t="s">
        <v>4405</v>
      </c>
      <c r="AP2921" s="4" t="s">
        <v>376</v>
      </c>
      <c r="AR2921" s="4" t="s">
        <v>377</v>
      </c>
    </row>
    <row r="2922" spans="1:44">
      <c r="A2922" s="4" t="s">
        <v>5</v>
      </c>
      <c r="C2922" s="4">
        <v>4980</v>
      </c>
      <c r="D2922" s="5" t="s">
        <v>93</v>
      </c>
      <c r="E2922" s="6" t="s">
        <v>4406</v>
      </c>
      <c r="AP2922" s="4" t="s">
        <v>376</v>
      </c>
      <c r="AR2922" s="4" t="s">
        <v>377</v>
      </c>
    </row>
    <row r="2923" spans="1:44">
      <c r="A2923" s="4" t="s">
        <v>5</v>
      </c>
      <c r="C2923" s="4">
        <v>6221</v>
      </c>
      <c r="D2923" s="5" t="s">
        <v>93</v>
      </c>
      <c r="E2923" s="6" t="s">
        <v>4407</v>
      </c>
      <c r="AP2923" s="4" t="s">
        <v>376</v>
      </c>
      <c r="AR2923" s="4" t="s">
        <v>377</v>
      </c>
    </row>
    <row r="2924" spans="1:44">
      <c r="A2924" s="4" t="s">
        <v>5</v>
      </c>
      <c r="C2924" s="4">
        <v>1197</v>
      </c>
      <c r="D2924" s="5" t="s">
        <v>93</v>
      </c>
      <c r="E2924" s="6" t="s">
        <v>4408</v>
      </c>
      <c r="F2924" s="5" t="s">
        <v>4409</v>
      </c>
      <c r="AP2924" s="4" t="s">
        <v>376</v>
      </c>
      <c r="AR2924" s="4" t="s">
        <v>377</v>
      </c>
    </row>
    <row r="2925" spans="1:44" ht="30">
      <c r="A2925" s="4" t="s">
        <v>5</v>
      </c>
      <c r="C2925" s="4">
        <v>3727</v>
      </c>
      <c r="D2925" s="5" t="s">
        <v>93</v>
      </c>
      <c r="E2925" s="6" t="s">
        <v>4410</v>
      </c>
      <c r="F2925" s="5" t="s">
        <v>4411</v>
      </c>
      <c r="Z2925" s="4" t="s">
        <v>443</v>
      </c>
      <c r="AA2925" s="4" t="s">
        <v>444</v>
      </c>
      <c r="AP2925" s="4" t="s">
        <v>376</v>
      </c>
      <c r="AR2925" s="4" t="s">
        <v>377</v>
      </c>
    </row>
    <row r="2926" spans="1:44">
      <c r="A2926" s="4" t="s">
        <v>5</v>
      </c>
      <c r="C2926" s="4">
        <v>6744</v>
      </c>
      <c r="D2926" s="5" t="s">
        <v>93</v>
      </c>
      <c r="E2926" s="6" t="s">
        <v>4412</v>
      </c>
      <c r="AP2926" s="4" t="s">
        <v>376</v>
      </c>
      <c r="AR2926" s="4" t="s">
        <v>377</v>
      </c>
    </row>
    <row r="2927" spans="1:44">
      <c r="A2927" s="4" t="s">
        <v>5</v>
      </c>
      <c r="C2927" s="4">
        <v>4042</v>
      </c>
      <c r="D2927" s="5" t="s">
        <v>93</v>
      </c>
      <c r="E2927" s="6" t="s">
        <v>4413</v>
      </c>
      <c r="AP2927" s="4" t="s">
        <v>376</v>
      </c>
      <c r="AR2927" s="4" t="s">
        <v>377</v>
      </c>
    </row>
    <row r="2928" spans="1:44" ht="30">
      <c r="A2928" s="4" t="s">
        <v>5</v>
      </c>
      <c r="C2928" s="4">
        <v>3989</v>
      </c>
      <c r="D2928" s="5" t="s">
        <v>93</v>
      </c>
      <c r="E2928" s="6" t="s">
        <v>4414</v>
      </c>
      <c r="AP2928" s="4" t="s">
        <v>376</v>
      </c>
      <c r="AR2928" s="4" t="s">
        <v>377</v>
      </c>
    </row>
    <row r="2929" spans="1:44" ht="30">
      <c r="A2929" s="4" t="s">
        <v>5</v>
      </c>
      <c r="C2929" s="4">
        <v>6722</v>
      </c>
      <c r="D2929" s="5" t="s">
        <v>93</v>
      </c>
      <c r="E2929" s="6" t="s">
        <v>4415</v>
      </c>
      <c r="AP2929" s="4" t="s">
        <v>376</v>
      </c>
      <c r="AR2929" s="4" t="s">
        <v>377</v>
      </c>
    </row>
    <row r="2930" spans="1:44">
      <c r="A2930" s="4" t="s">
        <v>5</v>
      </c>
      <c r="C2930" s="4">
        <v>577</v>
      </c>
      <c r="D2930" s="5" t="s">
        <v>93</v>
      </c>
      <c r="E2930" s="6" t="s">
        <v>4416</v>
      </c>
      <c r="F2930" s="5" t="s">
        <v>4417</v>
      </c>
      <c r="Z2930" s="4" t="s">
        <v>443</v>
      </c>
      <c r="AA2930" s="4" t="s">
        <v>444</v>
      </c>
      <c r="AP2930" s="4" t="s">
        <v>376</v>
      </c>
      <c r="AR2930" s="4" t="s">
        <v>377</v>
      </c>
    </row>
    <row r="2931" spans="1:44">
      <c r="A2931" s="4" t="s">
        <v>5</v>
      </c>
      <c r="C2931" s="4">
        <v>4713</v>
      </c>
      <c r="D2931" s="5" t="s">
        <v>93</v>
      </c>
      <c r="E2931" s="6" t="s">
        <v>4418</v>
      </c>
      <c r="AP2931" s="4" t="s">
        <v>376</v>
      </c>
      <c r="AR2931" s="4" t="s">
        <v>377</v>
      </c>
    </row>
    <row r="2932" spans="1:44">
      <c r="A2932" s="4" t="s">
        <v>5</v>
      </c>
      <c r="C2932" s="4">
        <v>5911</v>
      </c>
      <c r="D2932" s="5" t="s">
        <v>93</v>
      </c>
      <c r="E2932" s="6" t="s">
        <v>4419</v>
      </c>
      <c r="AP2932" s="4" t="s">
        <v>376</v>
      </c>
      <c r="AR2932" s="4" t="s">
        <v>377</v>
      </c>
    </row>
    <row r="2933" spans="1:44">
      <c r="A2933" s="4" t="s">
        <v>5</v>
      </c>
      <c r="C2933" s="4">
        <v>5353</v>
      </c>
      <c r="D2933" s="5" t="s">
        <v>93</v>
      </c>
      <c r="E2933" s="6" t="s">
        <v>4420</v>
      </c>
      <c r="AP2933" s="4" t="s">
        <v>376</v>
      </c>
      <c r="AR2933" s="4" t="s">
        <v>377</v>
      </c>
    </row>
    <row r="2934" spans="1:44">
      <c r="A2934" s="4" t="s">
        <v>5</v>
      </c>
      <c r="C2934" s="4">
        <v>1347</v>
      </c>
      <c r="D2934" s="5" t="s">
        <v>93</v>
      </c>
      <c r="E2934" s="6" t="s">
        <v>4421</v>
      </c>
      <c r="AP2934" s="4" t="s">
        <v>376</v>
      </c>
      <c r="AR2934" s="4" t="s">
        <v>377</v>
      </c>
    </row>
    <row r="2935" spans="1:44">
      <c r="A2935" s="4" t="s">
        <v>5</v>
      </c>
      <c r="C2935" s="4">
        <v>4424</v>
      </c>
      <c r="D2935" s="5" t="s">
        <v>93</v>
      </c>
      <c r="E2935" s="6" t="s">
        <v>4422</v>
      </c>
      <c r="AP2935" s="4" t="s">
        <v>376</v>
      </c>
      <c r="AR2935" s="4" t="s">
        <v>377</v>
      </c>
    </row>
    <row r="2936" spans="1:44">
      <c r="A2936" s="4" t="s">
        <v>5</v>
      </c>
      <c r="C2936" s="4">
        <v>5302</v>
      </c>
      <c r="D2936" s="5" t="s">
        <v>93</v>
      </c>
      <c r="E2936" s="6" t="s">
        <v>4423</v>
      </c>
      <c r="AP2936" s="4" t="s">
        <v>376</v>
      </c>
      <c r="AR2936" s="4" t="s">
        <v>377</v>
      </c>
    </row>
    <row r="2937" spans="1:44">
      <c r="A2937" s="4" t="s">
        <v>5</v>
      </c>
      <c r="C2937" s="4">
        <v>3878</v>
      </c>
      <c r="D2937" s="5" t="s">
        <v>93</v>
      </c>
      <c r="E2937" s="6" t="s">
        <v>4424</v>
      </c>
      <c r="AP2937" s="4" t="s">
        <v>376</v>
      </c>
      <c r="AR2937" s="4" t="s">
        <v>377</v>
      </c>
    </row>
    <row r="2938" spans="1:44" ht="30">
      <c r="A2938" s="4" t="s">
        <v>5</v>
      </c>
      <c r="C2938" s="4">
        <v>1577</v>
      </c>
      <c r="D2938" s="5" t="s">
        <v>93</v>
      </c>
      <c r="E2938" s="6" t="s">
        <v>4425</v>
      </c>
      <c r="Z2938" s="4" t="s">
        <v>443</v>
      </c>
      <c r="AA2938" s="4" t="s">
        <v>444</v>
      </c>
      <c r="AP2938" s="4" t="s">
        <v>376</v>
      </c>
      <c r="AR2938" s="4" t="s">
        <v>377</v>
      </c>
    </row>
    <row r="2939" spans="1:44">
      <c r="A2939" s="4" t="s">
        <v>5</v>
      </c>
      <c r="C2939" s="4">
        <v>1759</v>
      </c>
      <c r="D2939" s="5" t="s">
        <v>93</v>
      </c>
      <c r="E2939" s="6" t="s">
        <v>4426</v>
      </c>
      <c r="F2939" s="5" t="s">
        <v>4427</v>
      </c>
      <c r="AP2939" s="4" t="s">
        <v>376</v>
      </c>
      <c r="AR2939" s="4" t="s">
        <v>377</v>
      </c>
    </row>
    <row r="2940" spans="1:44" ht="30">
      <c r="A2940" s="4" t="s">
        <v>5</v>
      </c>
      <c r="C2940" s="4">
        <v>4507</v>
      </c>
      <c r="D2940" s="5" t="s">
        <v>93</v>
      </c>
      <c r="E2940" s="6" t="s">
        <v>4428</v>
      </c>
      <c r="AP2940" s="4" t="s">
        <v>376</v>
      </c>
      <c r="AR2940" s="4" t="s">
        <v>377</v>
      </c>
    </row>
    <row r="2941" spans="1:44">
      <c r="A2941" s="4" t="s">
        <v>5</v>
      </c>
      <c r="C2941" s="4">
        <v>1401</v>
      </c>
      <c r="D2941" s="5" t="s">
        <v>93</v>
      </c>
      <c r="E2941" s="6" t="s">
        <v>4429</v>
      </c>
      <c r="AP2941" s="4" t="s">
        <v>376</v>
      </c>
      <c r="AR2941" s="4" t="s">
        <v>377</v>
      </c>
    </row>
    <row r="2942" spans="1:44">
      <c r="A2942" s="4" t="s">
        <v>5</v>
      </c>
      <c r="C2942" s="4">
        <v>5689</v>
      </c>
      <c r="D2942" s="5" t="s">
        <v>93</v>
      </c>
      <c r="E2942" s="6" t="s">
        <v>4430</v>
      </c>
      <c r="AP2942" s="4" t="s">
        <v>376</v>
      </c>
      <c r="AR2942" s="4" t="s">
        <v>377</v>
      </c>
    </row>
    <row r="2943" spans="1:44">
      <c r="A2943" s="4" t="s">
        <v>5</v>
      </c>
      <c r="C2943" s="4">
        <v>5794</v>
      </c>
      <c r="D2943" s="5" t="s">
        <v>93</v>
      </c>
      <c r="E2943" s="6" t="s">
        <v>4431</v>
      </c>
      <c r="AP2943" s="4" t="s">
        <v>376</v>
      </c>
      <c r="AR2943" s="4" t="s">
        <v>377</v>
      </c>
    </row>
    <row r="2944" spans="1:44">
      <c r="A2944" s="4" t="s">
        <v>5</v>
      </c>
      <c r="C2944" s="4">
        <v>5650</v>
      </c>
      <c r="D2944" s="5" t="s">
        <v>93</v>
      </c>
      <c r="E2944" s="6" t="s">
        <v>4432</v>
      </c>
      <c r="AP2944" s="4" t="s">
        <v>376</v>
      </c>
      <c r="AR2944" s="4" t="s">
        <v>377</v>
      </c>
    </row>
    <row r="2945" spans="1:44">
      <c r="A2945" s="4" t="s">
        <v>5</v>
      </c>
      <c r="C2945" s="4">
        <v>4800</v>
      </c>
      <c r="D2945" s="5" t="s">
        <v>93</v>
      </c>
      <c r="E2945" s="6" t="s">
        <v>4433</v>
      </c>
      <c r="F2945" s="5" t="s">
        <v>4434</v>
      </c>
      <c r="AP2945" s="4" t="s">
        <v>376</v>
      </c>
      <c r="AR2945" s="4" t="s">
        <v>377</v>
      </c>
    </row>
    <row r="2946" spans="1:44" ht="30">
      <c r="A2946" s="4" t="s">
        <v>5</v>
      </c>
      <c r="C2946" s="4">
        <v>6814</v>
      </c>
      <c r="D2946" s="5" t="s">
        <v>93</v>
      </c>
      <c r="E2946" s="6" t="s">
        <v>4435</v>
      </c>
      <c r="AP2946" s="4" t="s">
        <v>376</v>
      </c>
      <c r="AR2946" s="4" t="s">
        <v>377</v>
      </c>
    </row>
    <row r="2947" spans="1:44">
      <c r="A2947" s="4" t="s">
        <v>5</v>
      </c>
      <c r="C2947" s="4">
        <v>4419</v>
      </c>
      <c r="D2947" s="5" t="s">
        <v>93</v>
      </c>
      <c r="E2947" s="6" t="s">
        <v>4436</v>
      </c>
      <c r="AP2947" s="4" t="s">
        <v>376</v>
      </c>
      <c r="AR2947" s="4" t="s">
        <v>377</v>
      </c>
    </row>
    <row r="2948" spans="1:44" ht="30">
      <c r="A2948" s="4" t="s">
        <v>5</v>
      </c>
      <c r="C2948" s="4">
        <v>2955</v>
      </c>
      <c r="D2948" s="5" t="s">
        <v>93</v>
      </c>
      <c r="E2948" s="6" t="s">
        <v>4437</v>
      </c>
      <c r="Z2948" s="4" t="s">
        <v>447</v>
      </c>
      <c r="AA2948" s="4" t="s">
        <v>448</v>
      </c>
      <c r="AP2948" s="4" t="s">
        <v>376</v>
      </c>
      <c r="AR2948" s="4" t="s">
        <v>377</v>
      </c>
    </row>
    <row r="2949" spans="1:44">
      <c r="A2949" s="4" t="s">
        <v>5</v>
      </c>
      <c r="C2949" s="4">
        <v>2286</v>
      </c>
      <c r="D2949" s="5" t="s">
        <v>93</v>
      </c>
      <c r="E2949" s="6" t="s">
        <v>4438</v>
      </c>
      <c r="AP2949" s="4" t="s">
        <v>376</v>
      </c>
      <c r="AR2949" s="4" t="s">
        <v>377</v>
      </c>
    </row>
    <row r="2950" spans="1:44">
      <c r="A2950" s="4" t="s">
        <v>5</v>
      </c>
      <c r="C2950" s="4">
        <v>2767</v>
      </c>
      <c r="D2950" s="5" t="s">
        <v>93</v>
      </c>
      <c r="E2950" s="6" t="s">
        <v>4439</v>
      </c>
      <c r="AP2950" s="4" t="s">
        <v>376</v>
      </c>
      <c r="AR2950" s="4" t="s">
        <v>377</v>
      </c>
    </row>
    <row r="2951" spans="1:44" ht="30">
      <c r="A2951" s="4" t="s">
        <v>5</v>
      </c>
      <c r="C2951" s="4">
        <v>3431</v>
      </c>
      <c r="D2951" s="5" t="s">
        <v>93</v>
      </c>
      <c r="E2951" s="6" t="s">
        <v>4440</v>
      </c>
      <c r="F2951" s="5" t="s">
        <v>4441</v>
      </c>
      <c r="AP2951" s="4" t="s">
        <v>376</v>
      </c>
      <c r="AR2951" s="4" t="s">
        <v>377</v>
      </c>
    </row>
    <row r="2952" spans="1:44" ht="30">
      <c r="A2952" s="4" t="s">
        <v>5</v>
      </c>
      <c r="C2952" s="4">
        <v>5268</v>
      </c>
      <c r="D2952" s="5" t="s">
        <v>93</v>
      </c>
      <c r="E2952" s="6" t="s">
        <v>4442</v>
      </c>
      <c r="F2952" s="5" t="s">
        <v>4443</v>
      </c>
      <c r="AP2952" s="4" t="s">
        <v>376</v>
      </c>
      <c r="AR2952" s="4" t="s">
        <v>377</v>
      </c>
    </row>
    <row r="2953" spans="1:44">
      <c r="A2953" s="4" t="s">
        <v>5</v>
      </c>
      <c r="C2953" s="4">
        <v>2019</v>
      </c>
      <c r="D2953" s="5" t="s">
        <v>93</v>
      </c>
      <c r="E2953" s="6" t="s">
        <v>4444</v>
      </c>
      <c r="AP2953" s="4" t="s">
        <v>376</v>
      </c>
      <c r="AR2953" s="4" t="s">
        <v>377</v>
      </c>
    </row>
    <row r="2954" spans="1:44" ht="30">
      <c r="A2954" s="4" t="s">
        <v>5</v>
      </c>
      <c r="C2954" s="4">
        <v>1733</v>
      </c>
      <c r="D2954" s="5" t="s">
        <v>93</v>
      </c>
      <c r="E2954" s="6" t="s">
        <v>4445</v>
      </c>
      <c r="F2954" s="5" t="s">
        <v>4446</v>
      </c>
      <c r="AP2954" s="4" t="s">
        <v>376</v>
      </c>
      <c r="AR2954" s="4" t="s">
        <v>377</v>
      </c>
    </row>
    <row r="2955" spans="1:44">
      <c r="A2955" s="4" t="s">
        <v>5</v>
      </c>
      <c r="C2955" s="4">
        <v>3995</v>
      </c>
      <c r="D2955" s="5" t="s">
        <v>93</v>
      </c>
      <c r="E2955" s="6" t="s">
        <v>4447</v>
      </c>
      <c r="AP2955" s="4" t="s">
        <v>376</v>
      </c>
      <c r="AR2955" s="4" t="s">
        <v>377</v>
      </c>
    </row>
    <row r="2956" spans="1:44">
      <c r="A2956" s="4" t="s">
        <v>5</v>
      </c>
      <c r="C2956" s="4">
        <v>5662</v>
      </c>
      <c r="D2956" s="5" t="s">
        <v>93</v>
      </c>
      <c r="E2956" s="6" t="s">
        <v>4448</v>
      </c>
      <c r="AP2956" s="4" t="s">
        <v>376</v>
      </c>
      <c r="AR2956" s="4" t="s">
        <v>377</v>
      </c>
    </row>
    <row r="2957" spans="1:44" ht="30">
      <c r="A2957" s="4" t="s">
        <v>5</v>
      </c>
      <c r="C2957" s="4">
        <v>3416</v>
      </c>
      <c r="D2957" s="5" t="s">
        <v>93</v>
      </c>
      <c r="E2957" s="6" t="s">
        <v>4449</v>
      </c>
      <c r="F2957" s="5" t="s">
        <v>4450</v>
      </c>
      <c r="AP2957" s="4" t="s">
        <v>376</v>
      </c>
      <c r="AR2957" s="4" t="s">
        <v>377</v>
      </c>
    </row>
    <row r="2958" spans="1:44">
      <c r="A2958" s="4" t="s">
        <v>5</v>
      </c>
      <c r="C2958" s="4">
        <v>2221</v>
      </c>
      <c r="D2958" s="5" t="s">
        <v>93</v>
      </c>
      <c r="E2958" s="6" t="s">
        <v>4451</v>
      </c>
      <c r="F2958" s="5" t="s">
        <v>4452</v>
      </c>
      <c r="AP2958" s="4" t="s">
        <v>376</v>
      </c>
      <c r="AR2958" s="4" t="s">
        <v>377</v>
      </c>
    </row>
    <row r="2959" spans="1:44">
      <c r="A2959" s="4" t="s">
        <v>5</v>
      </c>
      <c r="C2959" s="4">
        <v>64</v>
      </c>
      <c r="D2959" s="5" t="s">
        <v>93</v>
      </c>
      <c r="E2959" s="6" t="s">
        <v>4453</v>
      </c>
      <c r="F2959" s="5" t="s">
        <v>4454</v>
      </c>
      <c r="AP2959" s="4" t="s">
        <v>376</v>
      </c>
      <c r="AR2959" s="4" t="s">
        <v>377</v>
      </c>
    </row>
    <row r="2960" spans="1:44">
      <c r="A2960" s="4" t="s">
        <v>5</v>
      </c>
      <c r="C2960" s="4">
        <v>6206</v>
      </c>
      <c r="D2960" s="5" t="s">
        <v>93</v>
      </c>
      <c r="E2960" s="6" t="s">
        <v>4455</v>
      </c>
      <c r="AP2960" s="4" t="s">
        <v>376</v>
      </c>
      <c r="AR2960" s="4" t="s">
        <v>377</v>
      </c>
    </row>
    <row r="2961" spans="1:44" ht="30">
      <c r="A2961" s="4" t="s">
        <v>5</v>
      </c>
      <c r="C2961" s="4">
        <v>4684</v>
      </c>
      <c r="D2961" s="5" t="s">
        <v>93</v>
      </c>
      <c r="E2961" s="6" t="s">
        <v>4456</v>
      </c>
      <c r="F2961" s="5" t="s">
        <v>4457</v>
      </c>
      <c r="AP2961" s="4" t="s">
        <v>376</v>
      </c>
      <c r="AR2961" s="4" t="s">
        <v>377</v>
      </c>
    </row>
    <row r="2962" spans="1:44" ht="30">
      <c r="A2962" s="4" t="s">
        <v>5</v>
      </c>
      <c r="C2962" s="4">
        <v>4565</v>
      </c>
      <c r="D2962" s="5" t="s">
        <v>93</v>
      </c>
      <c r="E2962" s="6" t="s">
        <v>4458</v>
      </c>
      <c r="AP2962" s="4" t="s">
        <v>376</v>
      </c>
      <c r="AR2962" s="4" t="s">
        <v>377</v>
      </c>
    </row>
    <row r="2963" spans="1:44">
      <c r="A2963" s="4" t="s">
        <v>5</v>
      </c>
      <c r="C2963" s="4">
        <v>6709</v>
      </c>
      <c r="D2963" s="5" t="s">
        <v>93</v>
      </c>
      <c r="E2963" s="6" t="s">
        <v>4459</v>
      </c>
      <c r="AP2963" s="4" t="s">
        <v>376</v>
      </c>
      <c r="AR2963" s="4" t="s">
        <v>377</v>
      </c>
    </row>
    <row r="2964" spans="1:44">
      <c r="A2964" s="4" t="s">
        <v>5</v>
      </c>
      <c r="C2964" s="4">
        <v>2287</v>
      </c>
      <c r="D2964" s="5" t="s">
        <v>93</v>
      </c>
      <c r="E2964" s="6" t="s">
        <v>4460</v>
      </c>
      <c r="AP2964" s="4" t="s">
        <v>376</v>
      </c>
      <c r="AR2964" s="4" t="s">
        <v>377</v>
      </c>
    </row>
    <row r="2965" spans="1:44">
      <c r="A2965" s="4" t="s">
        <v>5</v>
      </c>
      <c r="C2965" s="4">
        <v>2783</v>
      </c>
      <c r="D2965" s="5" t="s">
        <v>93</v>
      </c>
      <c r="E2965" s="6" t="s">
        <v>4461</v>
      </c>
      <c r="F2965" s="5" t="s">
        <v>4462</v>
      </c>
      <c r="AP2965" s="4" t="s">
        <v>376</v>
      </c>
      <c r="AR2965" s="4" t="s">
        <v>377</v>
      </c>
    </row>
    <row r="2966" spans="1:44">
      <c r="A2966" s="4" t="s">
        <v>5</v>
      </c>
      <c r="C2966" s="4">
        <v>1208</v>
      </c>
      <c r="D2966" s="5" t="s">
        <v>93</v>
      </c>
      <c r="E2966" s="6" t="s">
        <v>4463</v>
      </c>
      <c r="F2966" s="5" t="s">
        <v>4464</v>
      </c>
      <c r="Z2966" s="4" t="s">
        <v>443</v>
      </c>
      <c r="AA2966" s="4" t="s">
        <v>444</v>
      </c>
      <c r="AP2966" s="4" t="s">
        <v>376</v>
      </c>
      <c r="AR2966" s="4" t="s">
        <v>377</v>
      </c>
    </row>
    <row r="2967" spans="1:44">
      <c r="A2967" s="4" t="s">
        <v>5</v>
      </c>
      <c r="C2967" s="4">
        <v>4839</v>
      </c>
      <c r="D2967" s="5" t="s">
        <v>93</v>
      </c>
      <c r="E2967" s="6" t="s">
        <v>4465</v>
      </c>
      <c r="AP2967" s="4" t="s">
        <v>376</v>
      </c>
      <c r="AR2967" s="4" t="s">
        <v>377</v>
      </c>
    </row>
    <row r="2968" spans="1:44">
      <c r="A2968" s="4" t="s">
        <v>5</v>
      </c>
      <c r="C2968" s="4">
        <v>6196</v>
      </c>
      <c r="D2968" s="5" t="s">
        <v>93</v>
      </c>
      <c r="E2968" s="6" t="s">
        <v>4466</v>
      </c>
      <c r="AP2968" s="4" t="s">
        <v>376</v>
      </c>
      <c r="AR2968" s="4" t="s">
        <v>377</v>
      </c>
    </row>
    <row r="2969" spans="1:44">
      <c r="A2969" s="4" t="s">
        <v>5</v>
      </c>
      <c r="C2969" s="4">
        <v>6541</v>
      </c>
      <c r="D2969" s="5" t="s">
        <v>93</v>
      </c>
      <c r="E2969" s="6" t="s">
        <v>4467</v>
      </c>
      <c r="AP2969" s="4" t="s">
        <v>376</v>
      </c>
      <c r="AR2969" s="4" t="s">
        <v>377</v>
      </c>
    </row>
    <row r="2970" spans="1:44">
      <c r="A2970" s="4" t="s">
        <v>5</v>
      </c>
      <c r="C2970" s="4">
        <v>1354</v>
      </c>
      <c r="D2970" s="5" t="s">
        <v>93</v>
      </c>
      <c r="E2970" s="6" t="s">
        <v>4468</v>
      </c>
      <c r="AP2970" s="4" t="s">
        <v>376</v>
      </c>
      <c r="AR2970" s="4" t="s">
        <v>377</v>
      </c>
    </row>
    <row r="2971" spans="1:44">
      <c r="A2971" s="4" t="s">
        <v>5</v>
      </c>
      <c r="C2971" s="4">
        <v>4230</v>
      </c>
      <c r="D2971" s="5" t="s">
        <v>93</v>
      </c>
      <c r="E2971" s="6" t="s">
        <v>4469</v>
      </c>
      <c r="AP2971" s="4" t="s">
        <v>376</v>
      </c>
      <c r="AR2971" s="4" t="s">
        <v>377</v>
      </c>
    </row>
    <row r="2972" spans="1:44" ht="30">
      <c r="A2972" s="4" t="s">
        <v>5</v>
      </c>
      <c r="C2972" s="4">
        <v>4363</v>
      </c>
      <c r="D2972" s="5" t="s">
        <v>93</v>
      </c>
      <c r="E2972" s="6" t="s">
        <v>4470</v>
      </c>
      <c r="AP2972" s="4" t="s">
        <v>376</v>
      </c>
      <c r="AR2972" s="4" t="s">
        <v>377</v>
      </c>
    </row>
    <row r="2973" spans="1:44">
      <c r="A2973" s="4" t="s">
        <v>5</v>
      </c>
      <c r="C2973" s="4">
        <v>5921</v>
      </c>
      <c r="D2973" s="5" t="s">
        <v>93</v>
      </c>
      <c r="E2973" s="6" t="s">
        <v>4471</v>
      </c>
      <c r="AP2973" s="4" t="s">
        <v>376</v>
      </c>
      <c r="AR2973" s="4" t="s">
        <v>377</v>
      </c>
    </row>
    <row r="2974" spans="1:44" ht="30">
      <c r="A2974" s="4" t="s">
        <v>5</v>
      </c>
      <c r="C2974" s="4">
        <v>2362</v>
      </c>
      <c r="D2974" s="5" t="s">
        <v>93</v>
      </c>
      <c r="E2974" s="6" t="s">
        <v>4472</v>
      </c>
      <c r="F2974" s="5" t="s">
        <v>4473</v>
      </c>
      <c r="AP2974" s="4" t="s">
        <v>376</v>
      </c>
      <c r="AR2974" s="4" t="s">
        <v>377</v>
      </c>
    </row>
    <row r="2975" spans="1:44" ht="30">
      <c r="A2975" s="4" t="s">
        <v>5</v>
      </c>
      <c r="C2975" s="4">
        <v>6259</v>
      </c>
      <c r="D2975" s="5" t="s">
        <v>93</v>
      </c>
      <c r="E2975" s="6" t="s">
        <v>4474</v>
      </c>
      <c r="F2975" s="5" t="s">
        <v>4475</v>
      </c>
      <c r="AP2975" s="4" t="s">
        <v>376</v>
      </c>
      <c r="AR2975" s="4" t="s">
        <v>377</v>
      </c>
    </row>
    <row r="2976" spans="1:44">
      <c r="A2976" s="4" t="s">
        <v>5</v>
      </c>
      <c r="C2976" s="4">
        <v>1808</v>
      </c>
      <c r="D2976" s="5" t="s">
        <v>93</v>
      </c>
      <c r="E2976" s="6" t="s">
        <v>4476</v>
      </c>
      <c r="AP2976" s="4" t="s">
        <v>376</v>
      </c>
      <c r="AR2976" s="4" t="s">
        <v>377</v>
      </c>
    </row>
    <row r="2977" spans="1:44">
      <c r="A2977" s="4" t="s">
        <v>5</v>
      </c>
      <c r="C2977" s="4">
        <v>6535</v>
      </c>
      <c r="D2977" s="5" t="s">
        <v>93</v>
      </c>
      <c r="E2977" s="6" t="s">
        <v>4477</v>
      </c>
      <c r="AP2977" s="4" t="s">
        <v>376</v>
      </c>
      <c r="AR2977" s="4" t="s">
        <v>377</v>
      </c>
    </row>
    <row r="2978" spans="1:44">
      <c r="A2978" s="4" t="s">
        <v>5</v>
      </c>
      <c r="C2978" s="4">
        <v>3819</v>
      </c>
      <c r="D2978" s="5" t="s">
        <v>93</v>
      </c>
      <c r="E2978" s="6" t="s">
        <v>4478</v>
      </c>
      <c r="F2978" s="5" t="s">
        <v>4479</v>
      </c>
      <c r="AP2978" s="4" t="s">
        <v>376</v>
      </c>
      <c r="AR2978" s="4" t="s">
        <v>377</v>
      </c>
    </row>
    <row r="2979" spans="1:44" ht="30">
      <c r="A2979" s="4" t="s">
        <v>5</v>
      </c>
      <c r="C2979" s="4">
        <v>6757</v>
      </c>
      <c r="D2979" s="5" t="s">
        <v>93</v>
      </c>
      <c r="E2979" s="6" t="s">
        <v>4480</v>
      </c>
      <c r="F2979" s="5" t="s">
        <v>4481</v>
      </c>
      <c r="AP2979" s="4" t="s">
        <v>376</v>
      </c>
      <c r="AR2979" s="4" t="s">
        <v>377</v>
      </c>
    </row>
    <row r="2980" spans="1:44" ht="30">
      <c r="A2980" s="4" t="s">
        <v>5</v>
      </c>
      <c r="C2980" s="4">
        <v>3999</v>
      </c>
      <c r="D2980" s="5" t="s">
        <v>93</v>
      </c>
      <c r="E2980" s="6" t="s">
        <v>4482</v>
      </c>
      <c r="AP2980" s="4" t="s">
        <v>376</v>
      </c>
      <c r="AR2980" s="4" t="s">
        <v>377</v>
      </c>
    </row>
    <row r="2981" spans="1:44" ht="30">
      <c r="A2981" s="4" t="s">
        <v>5</v>
      </c>
      <c r="C2981" s="4">
        <v>3098</v>
      </c>
      <c r="D2981" s="5" t="s">
        <v>93</v>
      </c>
      <c r="E2981" s="6" t="s">
        <v>4483</v>
      </c>
      <c r="AP2981" s="4" t="s">
        <v>376</v>
      </c>
      <c r="AR2981" s="4" t="s">
        <v>377</v>
      </c>
    </row>
    <row r="2982" spans="1:44">
      <c r="A2982" s="4" t="s">
        <v>5</v>
      </c>
      <c r="C2982" s="4">
        <v>2685</v>
      </c>
      <c r="D2982" s="5" t="s">
        <v>93</v>
      </c>
      <c r="E2982" s="6" t="s">
        <v>4484</v>
      </c>
      <c r="F2982" s="5" t="s">
        <v>4485</v>
      </c>
      <c r="Z2982" s="4" t="s">
        <v>447</v>
      </c>
      <c r="AA2982" s="4" t="s">
        <v>448</v>
      </c>
      <c r="AP2982" s="4" t="s">
        <v>376</v>
      </c>
      <c r="AR2982" s="4" t="s">
        <v>377</v>
      </c>
    </row>
    <row r="2983" spans="1:44">
      <c r="A2983" s="4" t="s">
        <v>5</v>
      </c>
      <c r="C2983" s="4">
        <v>5804</v>
      </c>
      <c r="D2983" s="5" t="s">
        <v>93</v>
      </c>
      <c r="E2983" s="6" t="s">
        <v>4486</v>
      </c>
      <c r="AP2983" s="4" t="s">
        <v>376</v>
      </c>
      <c r="AR2983" s="4" t="s">
        <v>377</v>
      </c>
    </row>
    <row r="2984" spans="1:44">
      <c r="A2984" s="4" t="s">
        <v>5</v>
      </c>
      <c r="C2984" s="4">
        <v>5053</v>
      </c>
      <c r="D2984" s="5" t="s">
        <v>93</v>
      </c>
      <c r="E2984" s="6" t="s">
        <v>4487</v>
      </c>
      <c r="AP2984" s="4" t="s">
        <v>376</v>
      </c>
      <c r="AR2984" s="4" t="s">
        <v>377</v>
      </c>
    </row>
    <row r="2985" spans="1:44">
      <c r="A2985" s="4" t="s">
        <v>5</v>
      </c>
      <c r="C2985" s="4">
        <v>5839</v>
      </c>
      <c r="D2985" s="5" t="s">
        <v>93</v>
      </c>
      <c r="E2985" s="6" t="s">
        <v>4488</v>
      </c>
      <c r="F2985" s="5" t="s">
        <v>4489</v>
      </c>
      <c r="AP2985" s="4" t="s">
        <v>376</v>
      </c>
      <c r="AR2985" s="4" t="s">
        <v>377</v>
      </c>
    </row>
    <row r="2986" spans="1:44">
      <c r="A2986" s="4" t="s">
        <v>5</v>
      </c>
      <c r="C2986" s="4">
        <v>5415</v>
      </c>
      <c r="D2986" s="5" t="s">
        <v>93</v>
      </c>
      <c r="E2986" s="6" t="s">
        <v>4490</v>
      </c>
      <c r="AP2986" s="4" t="s">
        <v>376</v>
      </c>
      <c r="AR2986" s="4" t="s">
        <v>377</v>
      </c>
    </row>
    <row r="2987" spans="1:44">
      <c r="A2987" s="4" t="s">
        <v>5</v>
      </c>
      <c r="C2987" s="4">
        <v>5371</v>
      </c>
      <c r="D2987" s="5" t="s">
        <v>93</v>
      </c>
      <c r="E2987" s="6" t="s">
        <v>4491</v>
      </c>
      <c r="AP2987" s="4" t="s">
        <v>376</v>
      </c>
      <c r="AR2987" s="4" t="s">
        <v>377</v>
      </c>
    </row>
    <row r="2988" spans="1:44">
      <c r="A2988" s="4" t="s">
        <v>5</v>
      </c>
      <c r="C2988" s="4">
        <v>1305</v>
      </c>
      <c r="D2988" s="5" t="s">
        <v>93</v>
      </c>
      <c r="E2988" s="6" t="s">
        <v>4492</v>
      </c>
      <c r="AP2988" s="4" t="s">
        <v>376</v>
      </c>
      <c r="AR2988" s="4" t="s">
        <v>377</v>
      </c>
    </row>
    <row r="2989" spans="1:44">
      <c r="A2989" s="4" t="s">
        <v>5</v>
      </c>
      <c r="C2989" s="4">
        <v>5949</v>
      </c>
      <c r="D2989" s="5" t="s">
        <v>93</v>
      </c>
      <c r="E2989" s="6" t="s">
        <v>4493</v>
      </c>
      <c r="AP2989" s="4" t="s">
        <v>376</v>
      </c>
      <c r="AR2989" s="4" t="s">
        <v>377</v>
      </c>
    </row>
    <row r="2990" spans="1:44" ht="30">
      <c r="A2990" s="4" t="s">
        <v>5</v>
      </c>
      <c r="C2990" s="4">
        <v>5865</v>
      </c>
      <c r="D2990" s="5" t="s">
        <v>93</v>
      </c>
      <c r="E2990" s="6" t="s">
        <v>4494</v>
      </c>
      <c r="Z2990" s="4" t="s">
        <v>447</v>
      </c>
      <c r="AA2990" s="4" t="s">
        <v>448</v>
      </c>
      <c r="AP2990" s="4" t="s">
        <v>376</v>
      </c>
      <c r="AR2990" s="4" t="s">
        <v>377</v>
      </c>
    </row>
    <row r="2991" spans="1:44">
      <c r="A2991" s="4" t="s">
        <v>5</v>
      </c>
      <c r="C2991" s="4">
        <v>2539</v>
      </c>
      <c r="D2991" s="5" t="s">
        <v>93</v>
      </c>
      <c r="E2991" s="6" t="s">
        <v>4495</v>
      </c>
      <c r="AP2991" s="4" t="s">
        <v>376</v>
      </c>
      <c r="AR2991" s="4" t="s">
        <v>377</v>
      </c>
    </row>
    <row r="2992" spans="1:44">
      <c r="A2992" s="4" t="s">
        <v>5</v>
      </c>
      <c r="C2992" s="4">
        <v>721</v>
      </c>
      <c r="D2992" s="5" t="s">
        <v>93</v>
      </c>
      <c r="E2992" s="6" t="s">
        <v>4496</v>
      </c>
      <c r="F2992" s="5" t="s">
        <v>4497</v>
      </c>
      <c r="AP2992" s="4" t="s">
        <v>376</v>
      </c>
      <c r="AR2992" s="4" t="s">
        <v>377</v>
      </c>
    </row>
    <row r="2993" spans="1:44" ht="30">
      <c r="A2993" s="4" t="s">
        <v>5</v>
      </c>
      <c r="C2993" s="4">
        <v>466</v>
      </c>
      <c r="D2993" s="5" t="s">
        <v>93</v>
      </c>
      <c r="E2993" s="6" t="s">
        <v>4498</v>
      </c>
      <c r="F2993" s="5" t="s">
        <v>4499</v>
      </c>
      <c r="AP2993" s="4" t="s">
        <v>376</v>
      </c>
      <c r="AR2993" s="4" t="s">
        <v>377</v>
      </c>
    </row>
    <row r="2994" spans="1:44" ht="30">
      <c r="A2994" s="4" t="s">
        <v>5</v>
      </c>
      <c r="C2994" s="4">
        <v>5738</v>
      </c>
      <c r="D2994" s="5" t="s">
        <v>93</v>
      </c>
      <c r="E2994" s="6" t="s">
        <v>4500</v>
      </c>
      <c r="Z2994" s="4" t="s">
        <v>447</v>
      </c>
      <c r="AA2994" s="4" t="s">
        <v>448</v>
      </c>
      <c r="AP2994" s="4" t="s">
        <v>376</v>
      </c>
      <c r="AR2994" s="4" t="s">
        <v>377</v>
      </c>
    </row>
    <row r="2995" spans="1:44">
      <c r="A2995" s="4" t="s">
        <v>5</v>
      </c>
      <c r="C2995" s="4">
        <v>6516</v>
      </c>
      <c r="D2995" s="5" t="s">
        <v>93</v>
      </c>
      <c r="E2995" s="6" t="s">
        <v>4501</v>
      </c>
      <c r="AP2995" s="4" t="s">
        <v>376</v>
      </c>
      <c r="AR2995" s="4" t="s">
        <v>377</v>
      </c>
    </row>
    <row r="2996" spans="1:44">
      <c r="A2996" s="4" t="s">
        <v>5</v>
      </c>
      <c r="C2996" s="4">
        <v>6711</v>
      </c>
      <c r="D2996" s="5" t="s">
        <v>93</v>
      </c>
      <c r="E2996" s="6" t="s">
        <v>4502</v>
      </c>
      <c r="AP2996" s="4" t="s">
        <v>376</v>
      </c>
      <c r="AR2996" s="4" t="s">
        <v>377</v>
      </c>
    </row>
    <row r="2997" spans="1:44">
      <c r="A2997" s="4" t="s">
        <v>5</v>
      </c>
      <c r="C2997" s="4">
        <v>2544</v>
      </c>
      <c r="D2997" s="5" t="s">
        <v>93</v>
      </c>
      <c r="E2997" s="6" t="s">
        <v>4503</v>
      </c>
      <c r="AP2997" s="4" t="s">
        <v>376</v>
      </c>
      <c r="AR2997" s="4" t="s">
        <v>377</v>
      </c>
    </row>
    <row r="2998" spans="1:44">
      <c r="A2998" s="4" t="s">
        <v>5</v>
      </c>
      <c r="C2998" s="4">
        <v>4030</v>
      </c>
      <c r="D2998" s="5" t="s">
        <v>93</v>
      </c>
      <c r="E2998" s="6" t="s">
        <v>4504</v>
      </c>
      <c r="AP2998" s="4" t="s">
        <v>376</v>
      </c>
      <c r="AR2998" s="4" t="s">
        <v>377</v>
      </c>
    </row>
    <row r="2999" spans="1:44">
      <c r="A2999" s="4" t="s">
        <v>5</v>
      </c>
      <c r="C2999" s="4">
        <v>4506</v>
      </c>
      <c r="D2999" s="5" t="s">
        <v>93</v>
      </c>
      <c r="E2999" s="6" t="s">
        <v>4505</v>
      </c>
      <c r="AP2999" s="4" t="s">
        <v>376</v>
      </c>
      <c r="AR2999" s="4" t="s">
        <v>377</v>
      </c>
    </row>
    <row r="3000" spans="1:44">
      <c r="A3000" s="4" t="s">
        <v>5</v>
      </c>
      <c r="C3000" s="4">
        <v>1996</v>
      </c>
      <c r="D3000" s="5" t="s">
        <v>93</v>
      </c>
      <c r="E3000" s="6" t="s">
        <v>4506</v>
      </c>
      <c r="F3000" s="5" t="s">
        <v>4507</v>
      </c>
      <c r="AP3000" s="4" t="s">
        <v>376</v>
      </c>
      <c r="AR3000" s="4" t="s">
        <v>377</v>
      </c>
    </row>
    <row r="3001" spans="1:44">
      <c r="A3001" s="4" t="s">
        <v>5</v>
      </c>
      <c r="C3001" s="4">
        <v>1815</v>
      </c>
      <c r="D3001" s="5" t="s">
        <v>93</v>
      </c>
      <c r="E3001" s="6" t="s">
        <v>4508</v>
      </c>
      <c r="AP3001" s="4" t="s">
        <v>376</v>
      </c>
      <c r="AR3001" s="4" t="s">
        <v>377</v>
      </c>
    </row>
    <row r="3002" spans="1:44" ht="30">
      <c r="A3002" s="4" t="s">
        <v>5</v>
      </c>
      <c r="C3002" s="4">
        <v>1270</v>
      </c>
      <c r="D3002" s="5" t="s">
        <v>93</v>
      </c>
      <c r="E3002" s="6" t="s">
        <v>4509</v>
      </c>
      <c r="F3002" s="5" t="s">
        <v>4510</v>
      </c>
      <c r="AP3002" s="4" t="s">
        <v>376</v>
      </c>
      <c r="AR3002" s="4" t="s">
        <v>377</v>
      </c>
    </row>
    <row r="3003" spans="1:44">
      <c r="A3003" s="4" t="s">
        <v>5</v>
      </c>
      <c r="C3003" s="4">
        <v>2377</v>
      </c>
      <c r="D3003" s="5" t="s">
        <v>93</v>
      </c>
      <c r="E3003" s="6" t="s">
        <v>4511</v>
      </c>
      <c r="F3003" s="5" t="s">
        <v>4512</v>
      </c>
      <c r="AP3003" s="4" t="s">
        <v>376</v>
      </c>
      <c r="AR3003" s="4" t="s">
        <v>377</v>
      </c>
    </row>
    <row r="3004" spans="1:44" ht="30">
      <c r="A3004" s="4" t="s">
        <v>5</v>
      </c>
      <c r="C3004" s="4">
        <v>4356</v>
      </c>
      <c r="D3004" s="5" t="s">
        <v>93</v>
      </c>
      <c r="E3004" s="6" t="s">
        <v>4513</v>
      </c>
      <c r="F3004" s="5" t="s">
        <v>4514</v>
      </c>
      <c r="AP3004" s="4" t="s">
        <v>376</v>
      </c>
      <c r="AR3004" s="4" t="s">
        <v>377</v>
      </c>
    </row>
    <row r="3005" spans="1:44">
      <c r="A3005" s="4" t="s">
        <v>5</v>
      </c>
      <c r="C3005" s="4">
        <v>4802</v>
      </c>
      <c r="D3005" s="5" t="s">
        <v>93</v>
      </c>
      <c r="E3005" s="6" t="s">
        <v>4515</v>
      </c>
      <c r="F3005" s="5" t="s">
        <v>4516</v>
      </c>
      <c r="Z3005" s="4" t="s">
        <v>443</v>
      </c>
      <c r="AA3005" s="4" t="s">
        <v>444</v>
      </c>
      <c r="AP3005" s="4" t="s">
        <v>376</v>
      </c>
      <c r="AR3005" s="4" t="s">
        <v>377</v>
      </c>
    </row>
    <row r="3006" spans="1:44">
      <c r="A3006" s="4" t="s">
        <v>5</v>
      </c>
      <c r="C3006" s="4">
        <v>4111</v>
      </c>
      <c r="D3006" s="5" t="s">
        <v>93</v>
      </c>
      <c r="E3006" s="6" t="s">
        <v>4517</v>
      </c>
      <c r="AP3006" s="4" t="s">
        <v>376</v>
      </c>
      <c r="AR3006" s="4" t="s">
        <v>377</v>
      </c>
    </row>
    <row r="3007" spans="1:44" ht="30">
      <c r="A3007" s="4" t="s">
        <v>5</v>
      </c>
      <c r="C3007" s="4">
        <v>3443</v>
      </c>
      <c r="D3007" s="5" t="s">
        <v>93</v>
      </c>
      <c r="E3007" s="6" t="s">
        <v>4518</v>
      </c>
      <c r="F3007" s="5" t="s">
        <v>4519</v>
      </c>
      <c r="AP3007" s="4" t="s">
        <v>376</v>
      </c>
      <c r="AR3007" s="4" t="s">
        <v>377</v>
      </c>
    </row>
    <row r="3008" spans="1:44" ht="30">
      <c r="A3008" s="4" t="s">
        <v>5</v>
      </c>
      <c r="C3008" s="4">
        <v>149</v>
      </c>
      <c r="D3008" s="5" t="s">
        <v>93</v>
      </c>
      <c r="E3008" s="6" t="s">
        <v>4520</v>
      </c>
      <c r="F3008" s="5" t="s">
        <v>4521</v>
      </c>
      <c r="AP3008" s="4" t="s">
        <v>376</v>
      </c>
      <c r="AR3008" s="4" t="s">
        <v>377</v>
      </c>
    </row>
    <row r="3009" spans="1:44">
      <c r="A3009" s="4" t="s">
        <v>5</v>
      </c>
      <c r="C3009" s="4">
        <v>1591</v>
      </c>
      <c r="D3009" s="5" t="s">
        <v>93</v>
      </c>
      <c r="E3009" s="6" t="s">
        <v>4522</v>
      </c>
      <c r="F3009" s="5" t="s">
        <v>4523</v>
      </c>
      <c r="AP3009" s="4" t="s">
        <v>376</v>
      </c>
      <c r="AR3009" s="4" t="s">
        <v>377</v>
      </c>
    </row>
    <row r="3010" spans="1:44">
      <c r="A3010" s="4" t="s">
        <v>5</v>
      </c>
      <c r="C3010" s="4">
        <v>6152</v>
      </c>
      <c r="D3010" s="5" t="s">
        <v>93</v>
      </c>
      <c r="E3010" s="6" t="s">
        <v>4524</v>
      </c>
      <c r="F3010" s="5" t="s">
        <v>4525</v>
      </c>
      <c r="AP3010" s="4" t="s">
        <v>376</v>
      </c>
      <c r="AR3010" s="4" t="s">
        <v>377</v>
      </c>
    </row>
    <row r="3011" spans="1:44" ht="30">
      <c r="A3011" s="4" t="s">
        <v>5</v>
      </c>
      <c r="C3011" s="4">
        <v>2524</v>
      </c>
      <c r="D3011" s="5" t="s">
        <v>93</v>
      </c>
      <c r="E3011" s="6" t="s">
        <v>4526</v>
      </c>
      <c r="F3011" s="5" t="s">
        <v>4527</v>
      </c>
      <c r="Z3011" s="4" t="s">
        <v>447</v>
      </c>
      <c r="AA3011" s="4" t="s">
        <v>448</v>
      </c>
      <c r="AP3011" s="4" t="s">
        <v>376</v>
      </c>
      <c r="AR3011" s="4" t="s">
        <v>377</v>
      </c>
    </row>
    <row r="3012" spans="1:44">
      <c r="A3012" s="4" t="s">
        <v>5</v>
      </c>
      <c r="C3012" s="4">
        <v>2541</v>
      </c>
      <c r="D3012" s="5" t="s">
        <v>93</v>
      </c>
      <c r="E3012" s="6" t="s">
        <v>4528</v>
      </c>
      <c r="AP3012" s="4" t="s">
        <v>376</v>
      </c>
      <c r="AR3012" s="4" t="s">
        <v>377</v>
      </c>
    </row>
    <row r="3013" spans="1:44">
      <c r="A3013" s="4" t="s">
        <v>5</v>
      </c>
      <c r="C3013" s="4">
        <v>4430</v>
      </c>
      <c r="D3013" s="5" t="s">
        <v>93</v>
      </c>
      <c r="E3013" s="6" t="s">
        <v>4529</v>
      </c>
      <c r="AP3013" s="4" t="s">
        <v>376</v>
      </c>
      <c r="AR3013" s="4" t="s">
        <v>377</v>
      </c>
    </row>
    <row r="3014" spans="1:44">
      <c r="A3014" s="4" t="s">
        <v>5</v>
      </c>
      <c r="C3014" s="4">
        <v>3951</v>
      </c>
      <c r="D3014" s="5" t="s">
        <v>93</v>
      </c>
      <c r="E3014" s="6" t="s">
        <v>4530</v>
      </c>
      <c r="F3014" s="5" t="s">
        <v>4531</v>
      </c>
      <c r="AP3014" s="4" t="s">
        <v>376</v>
      </c>
      <c r="AR3014" s="4" t="s">
        <v>377</v>
      </c>
    </row>
    <row r="3015" spans="1:44">
      <c r="A3015" s="4" t="s">
        <v>5</v>
      </c>
      <c r="C3015" s="4">
        <v>1636</v>
      </c>
      <c r="D3015" s="5" t="s">
        <v>93</v>
      </c>
      <c r="E3015" s="6" t="s">
        <v>4532</v>
      </c>
      <c r="F3015" s="5" t="s">
        <v>4533</v>
      </c>
      <c r="Z3015" s="4" t="s">
        <v>447</v>
      </c>
      <c r="AA3015" s="4" t="s">
        <v>448</v>
      </c>
      <c r="AP3015" s="4" t="s">
        <v>376</v>
      </c>
      <c r="AR3015" s="4" t="s">
        <v>377</v>
      </c>
    </row>
    <row r="3016" spans="1:44">
      <c r="A3016" s="4" t="s">
        <v>5</v>
      </c>
      <c r="C3016" s="4">
        <v>5722</v>
      </c>
      <c r="D3016" s="5" t="s">
        <v>93</v>
      </c>
      <c r="E3016" s="6" t="s">
        <v>4534</v>
      </c>
      <c r="F3016" s="5" t="s">
        <v>4535</v>
      </c>
      <c r="AP3016" s="4" t="s">
        <v>376</v>
      </c>
      <c r="AR3016" s="4" t="s">
        <v>377</v>
      </c>
    </row>
    <row r="3017" spans="1:44">
      <c r="A3017" s="4" t="s">
        <v>5</v>
      </c>
      <c r="C3017" s="4">
        <v>4548</v>
      </c>
      <c r="D3017" s="5" t="s">
        <v>93</v>
      </c>
      <c r="E3017" s="6" t="s">
        <v>4536</v>
      </c>
      <c r="AP3017" s="4" t="s">
        <v>376</v>
      </c>
      <c r="AR3017" s="4" t="s">
        <v>377</v>
      </c>
    </row>
    <row r="3018" spans="1:44">
      <c r="A3018" s="4" t="s">
        <v>5</v>
      </c>
      <c r="C3018" s="4">
        <v>452</v>
      </c>
      <c r="D3018" s="5" t="s">
        <v>93</v>
      </c>
      <c r="E3018" s="6" t="s">
        <v>4537</v>
      </c>
      <c r="AP3018" s="4" t="s">
        <v>376</v>
      </c>
      <c r="AR3018" s="4" t="s">
        <v>377</v>
      </c>
    </row>
    <row r="3019" spans="1:44">
      <c r="A3019" s="4" t="s">
        <v>5</v>
      </c>
      <c r="C3019" s="4">
        <v>2190</v>
      </c>
      <c r="D3019" s="5" t="s">
        <v>93</v>
      </c>
      <c r="E3019" s="6" t="s">
        <v>4538</v>
      </c>
      <c r="AP3019" s="4" t="s">
        <v>376</v>
      </c>
      <c r="AR3019" s="4" t="s">
        <v>377</v>
      </c>
    </row>
    <row r="3020" spans="1:44" ht="30">
      <c r="A3020" s="4" t="s">
        <v>5</v>
      </c>
      <c r="C3020" s="4">
        <v>1210</v>
      </c>
      <c r="D3020" s="5" t="s">
        <v>93</v>
      </c>
      <c r="E3020" s="6" t="s">
        <v>4539</v>
      </c>
      <c r="F3020" s="5" t="s">
        <v>4540</v>
      </c>
      <c r="Z3020" s="4" t="s">
        <v>443</v>
      </c>
      <c r="AA3020" s="4" t="s">
        <v>444</v>
      </c>
      <c r="AP3020" s="4" t="s">
        <v>376</v>
      </c>
      <c r="AR3020" s="4" t="s">
        <v>377</v>
      </c>
    </row>
    <row r="3021" spans="1:44">
      <c r="A3021" s="4" t="s">
        <v>5</v>
      </c>
      <c r="C3021" s="4">
        <v>5972</v>
      </c>
      <c r="D3021" s="5" t="s">
        <v>93</v>
      </c>
      <c r="E3021" s="6" t="s">
        <v>4541</v>
      </c>
      <c r="AP3021" s="4" t="s">
        <v>376</v>
      </c>
      <c r="AR3021" s="4" t="s">
        <v>377</v>
      </c>
    </row>
    <row r="3022" spans="1:44" ht="30">
      <c r="A3022" s="4" t="s">
        <v>5</v>
      </c>
      <c r="C3022" s="4">
        <v>5514</v>
      </c>
      <c r="D3022" s="5" t="s">
        <v>93</v>
      </c>
      <c r="E3022" s="6" t="s">
        <v>4542</v>
      </c>
      <c r="AP3022" s="4" t="s">
        <v>376</v>
      </c>
      <c r="AR3022" s="4" t="s">
        <v>377</v>
      </c>
    </row>
    <row r="3023" spans="1:44">
      <c r="A3023" s="4" t="s">
        <v>5</v>
      </c>
      <c r="C3023" s="4">
        <v>3222</v>
      </c>
      <c r="D3023" s="5" t="s">
        <v>93</v>
      </c>
      <c r="E3023" s="6" t="s">
        <v>4543</v>
      </c>
      <c r="AP3023" s="4" t="s">
        <v>376</v>
      </c>
      <c r="AR3023" s="4" t="s">
        <v>377</v>
      </c>
    </row>
    <row r="3024" spans="1:44">
      <c r="A3024" s="4" t="s">
        <v>5</v>
      </c>
      <c r="C3024" s="4">
        <v>3033</v>
      </c>
      <c r="D3024" s="5" t="s">
        <v>93</v>
      </c>
      <c r="E3024" s="6" t="s">
        <v>4544</v>
      </c>
      <c r="F3024" s="5" t="s">
        <v>4545</v>
      </c>
      <c r="Z3024" s="4" t="s">
        <v>443</v>
      </c>
      <c r="AA3024" s="4" t="s">
        <v>444</v>
      </c>
      <c r="AP3024" s="4" t="s">
        <v>376</v>
      </c>
      <c r="AR3024" s="4" t="s">
        <v>377</v>
      </c>
    </row>
    <row r="3025" spans="1:44">
      <c r="A3025" s="4" t="s">
        <v>5</v>
      </c>
      <c r="C3025" s="4">
        <v>3452</v>
      </c>
      <c r="D3025" s="5" t="s">
        <v>93</v>
      </c>
      <c r="E3025" s="6" t="s">
        <v>4546</v>
      </c>
      <c r="AP3025" s="4" t="s">
        <v>376</v>
      </c>
      <c r="AR3025" s="4" t="s">
        <v>377</v>
      </c>
    </row>
    <row r="3026" spans="1:44">
      <c r="A3026" s="4" t="s">
        <v>5</v>
      </c>
      <c r="C3026" s="4">
        <v>2717</v>
      </c>
      <c r="D3026" s="5" t="s">
        <v>93</v>
      </c>
      <c r="E3026" s="6" t="s">
        <v>4547</v>
      </c>
      <c r="AP3026" s="4" t="s">
        <v>376</v>
      </c>
      <c r="AR3026" s="4" t="s">
        <v>377</v>
      </c>
    </row>
    <row r="3027" spans="1:44">
      <c r="A3027" s="4" t="s">
        <v>5</v>
      </c>
      <c r="C3027" s="4">
        <v>4768</v>
      </c>
      <c r="D3027" s="5" t="s">
        <v>93</v>
      </c>
      <c r="E3027" s="6" t="s">
        <v>4548</v>
      </c>
      <c r="AP3027" s="4" t="s">
        <v>376</v>
      </c>
      <c r="AR3027" s="4" t="s">
        <v>377</v>
      </c>
    </row>
    <row r="3028" spans="1:44">
      <c r="A3028" s="4" t="s">
        <v>5</v>
      </c>
      <c r="C3028" s="4">
        <v>4852</v>
      </c>
      <c r="D3028" s="5" t="s">
        <v>93</v>
      </c>
      <c r="E3028" s="6" t="s">
        <v>4549</v>
      </c>
      <c r="F3028" s="5" t="s">
        <v>4550</v>
      </c>
      <c r="AP3028" s="4" t="s">
        <v>376</v>
      </c>
      <c r="AR3028" s="4" t="s">
        <v>377</v>
      </c>
    </row>
    <row r="3029" spans="1:44">
      <c r="A3029" s="4" t="s">
        <v>5</v>
      </c>
      <c r="C3029" s="4">
        <v>1999</v>
      </c>
      <c r="D3029" s="5" t="s">
        <v>93</v>
      </c>
      <c r="E3029" s="6" t="s">
        <v>4551</v>
      </c>
      <c r="F3029" s="5" t="s">
        <v>4552</v>
      </c>
      <c r="AP3029" s="4" t="s">
        <v>376</v>
      </c>
      <c r="AR3029" s="4" t="s">
        <v>377</v>
      </c>
    </row>
    <row r="3030" spans="1:44">
      <c r="A3030" s="4" t="s">
        <v>5</v>
      </c>
      <c r="C3030" s="4">
        <v>2092</v>
      </c>
      <c r="D3030" s="5" t="s">
        <v>93</v>
      </c>
      <c r="E3030" s="6" t="s">
        <v>4553</v>
      </c>
      <c r="AP3030" s="4" t="s">
        <v>376</v>
      </c>
      <c r="AR3030" s="4" t="s">
        <v>377</v>
      </c>
    </row>
    <row r="3031" spans="1:44">
      <c r="A3031" s="4" t="s">
        <v>5</v>
      </c>
      <c r="C3031" s="4">
        <v>5976</v>
      </c>
      <c r="D3031" s="5" t="s">
        <v>93</v>
      </c>
      <c r="E3031" s="6" t="s">
        <v>4554</v>
      </c>
      <c r="F3031" s="5" t="s">
        <v>4555</v>
      </c>
      <c r="AP3031" s="4" t="s">
        <v>376</v>
      </c>
      <c r="AR3031" s="4" t="s">
        <v>377</v>
      </c>
    </row>
    <row r="3032" spans="1:44" ht="30">
      <c r="A3032" s="4" t="s">
        <v>5</v>
      </c>
      <c r="C3032" s="4">
        <v>6183</v>
      </c>
      <c r="D3032" s="5" t="s">
        <v>93</v>
      </c>
      <c r="E3032" s="6" t="s">
        <v>4556</v>
      </c>
      <c r="AP3032" s="4" t="s">
        <v>376</v>
      </c>
      <c r="AR3032" s="4" t="s">
        <v>377</v>
      </c>
    </row>
    <row r="3033" spans="1:44">
      <c r="A3033" s="4" t="s">
        <v>5</v>
      </c>
      <c r="C3033" s="4">
        <v>2720</v>
      </c>
      <c r="D3033" s="5" t="s">
        <v>93</v>
      </c>
      <c r="E3033" s="6" t="s">
        <v>4557</v>
      </c>
      <c r="F3033" s="5" t="s">
        <v>4558</v>
      </c>
      <c r="Z3033" s="4" t="s">
        <v>447</v>
      </c>
      <c r="AA3033" s="4" t="s">
        <v>448</v>
      </c>
      <c r="AP3033" s="4" t="s">
        <v>376</v>
      </c>
      <c r="AR3033" s="4" t="s">
        <v>377</v>
      </c>
    </row>
    <row r="3034" spans="1:44">
      <c r="A3034" s="4" t="s">
        <v>5</v>
      </c>
      <c r="C3034" s="4">
        <v>6039</v>
      </c>
      <c r="D3034" s="5" t="s">
        <v>93</v>
      </c>
      <c r="E3034" s="6" t="s">
        <v>4559</v>
      </c>
      <c r="F3034" s="5" t="s">
        <v>4560</v>
      </c>
      <c r="AP3034" s="4" t="s">
        <v>376</v>
      </c>
      <c r="AR3034" s="4" t="s">
        <v>377</v>
      </c>
    </row>
    <row r="3035" spans="1:44">
      <c r="A3035" s="4" t="s">
        <v>5</v>
      </c>
      <c r="C3035" s="4">
        <v>6386</v>
      </c>
      <c r="D3035" s="5" t="s">
        <v>93</v>
      </c>
      <c r="E3035" s="6" t="s">
        <v>4561</v>
      </c>
      <c r="AP3035" s="4" t="s">
        <v>376</v>
      </c>
      <c r="AR3035" s="4" t="s">
        <v>377</v>
      </c>
    </row>
    <row r="3036" spans="1:44">
      <c r="A3036" s="4" t="s">
        <v>5</v>
      </c>
      <c r="C3036" s="4">
        <v>152</v>
      </c>
      <c r="D3036" s="5" t="s">
        <v>93</v>
      </c>
      <c r="E3036" s="6" t="s">
        <v>4562</v>
      </c>
      <c r="F3036" s="5" t="s">
        <v>4563</v>
      </c>
      <c r="AP3036" s="4" t="s">
        <v>376</v>
      </c>
      <c r="AR3036" s="4" t="s">
        <v>377</v>
      </c>
    </row>
    <row r="3037" spans="1:44" ht="30">
      <c r="A3037" s="4" t="s">
        <v>5</v>
      </c>
      <c r="C3037" s="4">
        <v>4498</v>
      </c>
      <c r="D3037" s="5" t="s">
        <v>93</v>
      </c>
      <c r="E3037" s="6" t="s">
        <v>4564</v>
      </c>
      <c r="AP3037" s="4" t="s">
        <v>376</v>
      </c>
      <c r="AR3037" s="4" t="s">
        <v>377</v>
      </c>
    </row>
    <row r="3038" spans="1:44">
      <c r="A3038" s="4" t="s">
        <v>5</v>
      </c>
      <c r="C3038" s="4">
        <v>2897</v>
      </c>
      <c r="D3038" s="5" t="s">
        <v>93</v>
      </c>
      <c r="E3038" s="6" t="s">
        <v>4565</v>
      </c>
      <c r="F3038" s="5" t="s">
        <v>4566</v>
      </c>
      <c r="AP3038" s="4" t="s">
        <v>376</v>
      </c>
      <c r="AR3038" s="4" t="s">
        <v>377</v>
      </c>
    </row>
    <row r="3039" spans="1:44" ht="30">
      <c r="A3039" s="4" t="s">
        <v>5</v>
      </c>
      <c r="C3039" s="4">
        <v>5653</v>
      </c>
      <c r="D3039" s="5" t="s">
        <v>93</v>
      </c>
      <c r="E3039" s="6" t="s">
        <v>4567</v>
      </c>
      <c r="AP3039" s="4" t="s">
        <v>376</v>
      </c>
      <c r="AR3039" s="4" t="s">
        <v>377</v>
      </c>
    </row>
    <row r="3040" spans="1:44">
      <c r="A3040" s="4" t="s">
        <v>5</v>
      </c>
      <c r="C3040" s="4">
        <v>5964</v>
      </c>
      <c r="D3040" s="5" t="s">
        <v>93</v>
      </c>
      <c r="E3040" s="6" t="s">
        <v>4568</v>
      </c>
      <c r="AP3040" s="4" t="s">
        <v>376</v>
      </c>
      <c r="AR3040" s="4" t="s">
        <v>377</v>
      </c>
    </row>
    <row r="3041" spans="1:44">
      <c r="A3041" s="4" t="s">
        <v>5</v>
      </c>
      <c r="C3041" s="4">
        <v>553</v>
      </c>
      <c r="D3041" s="5" t="s">
        <v>93</v>
      </c>
      <c r="E3041" s="6" t="s">
        <v>4569</v>
      </c>
      <c r="F3041" s="5" t="s">
        <v>4570</v>
      </c>
      <c r="AP3041" s="4" t="s">
        <v>376</v>
      </c>
      <c r="AR3041" s="4" t="s">
        <v>377</v>
      </c>
    </row>
    <row r="3042" spans="1:44" ht="30">
      <c r="A3042" s="4" t="s">
        <v>5</v>
      </c>
      <c r="C3042" s="4">
        <v>5869</v>
      </c>
      <c r="D3042" s="5" t="s">
        <v>93</v>
      </c>
      <c r="E3042" s="6" t="s">
        <v>4571</v>
      </c>
      <c r="AP3042" s="4" t="s">
        <v>376</v>
      </c>
      <c r="AR3042" s="4" t="s">
        <v>377</v>
      </c>
    </row>
    <row r="3043" spans="1:44" ht="30">
      <c r="A3043" s="4" t="s">
        <v>5</v>
      </c>
      <c r="C3043" s="4">
        <v>230</v>
      </c>
      <c r="D3043" s="5" t="s">
        <v>93</v>
      </c>
      <c r="E3043" s="6" t="s">
        <v>4572</v>
      </c>
      <c r="F3043" s="5" t="s">
        <v>4573</v>
      </c>
      <c r="AP3043" s="4" t="s">
        <v>376</v>
      </c>
      <c r="AR3043" s="4" t="s">
        <v>377</v>
      </c>
    </row>
    <row r="3044" spans="1:44">
      <c r="A3044" s="4" t="s">
        <v>5</v>
      </c>
      <c r="C3044" s="4">
        <v>2912</v>
      </c>
      <c r="D3044" s="5" t="s">
        <v>93</v>
      </c>
      <c r="E3044" s="6" t="s">
        <v>4574</v>
      </c>
      <c r="AP3044" s="4" t="s">
        <v>376</v>
      </c>
      <c r="AR3044" s="4" t="s">
        <v>377</v>
      </c>
    </row>
    <row r="3045" spans="1:44">
      <c r="A3045" s="4" t="s">
        <v>5</v>
      </c>
      <c r="C3045" s="4">
        <v>4552</v>
      </c>
      <c r="D3045" s="5" t="s">
        <v>93</v>
      </c>
      <c r="E3045" s="6" t="s">
        <v>4575</v>
      </c>
      <c r="AP3045" s="4" t="s">
        <v>376</v>
      </c>
      <c r="AR3045" s="4" t="s">
        <v>377</v>
      </c>
    </row>
    <row r="3046" spans="1:44" ht="30">
      <c r="A3046" s="4" t="s">
        <v>5</v>
      </c>
      <c r="C3046" s="4">
        <v>1450</v>
      </c>
      <c r="D3046" s="5" t="s">
        <v>93</v>
      </c>
      <c r="E3046" s="6" t="s">
        <v>4576</v>
      </c>
      <c r="F3046" s="5" t="s">
        <v>4577</v>
      </c>
      <c r="Z3046" s="4" t="s">
        <v>447</v>
      </c>
      <c r="AA3046" s="4" t="s">
        <v>448</v>
      </c>
      <c r="AP3046" s="4" t="s">
        <v>376</v>
      </c>
      <c r="AR3046" s="4" t="s">
        <v>377</v>
      </c>
    </row>
    <row r="3047" spans="1:44">
      <c r="A3047" s="4" t="s">
        <v>5</v>
      </c>
      <c r="C3047" s="4">
        <v>4517</v>
      </c>
      <c r="D3047" s="5" t="s">
        <v>93</v>
      </c>
      <c r="E3047" s="6" t="s">
        <v>4578</v>
      </c>
      <c r="AP3047" s="4" t="s">
        <v>376</v>
      </c>
      <c r="AR3047" s="4" t="s">
        <v>377</v>
      </c>
    </row>
    <row r="3048" spans="1:44">
      <c r="A3048" s="4" t="s">
        <v>5</v>
      </c>
      <c r="C3048" s="4">
        <v>1115</v>
      </c>
      <c r="D3048" s="5" t="s">
        <v>93</v>
      </c>
      <c r="E3048" s="6" t="s">
        <v>4579</v>
      </c>
      <c r="AP3048" s="4" t="s">
        <v>376</v>
      </c>
      <c r="AR3048" s="4" t="s">
        <v>377</v>
      </c>
    </row>
    <row r="3049" spans="1:44">
      <c r="A3049" s="4" t="s">
        <v>5</v>
      </c>
      <c r="C3049" s="4">
        <v>2410</v>
      </c>
      <c r="D3049" s="5" t="s">
        <v>93</v>
      </c>
      <c r="E3049" s="6" t="s">
        <v>4580</v>
      </c>
      <c r="F3049" s="5" t="s">
        <v>4581</v>
      </c>
      <c r="Z3049" s="4" t="s">
        <v>447</v>
      </c>
      <c r="AA3049" s="4" t="s">
        <v>448</v>
      </c>
      <c r="AP3049" s="4" t="s">
        <v>376</v>
      </c>
      <c r="AR3049" s="4" t="s">
        <v>377</v>
      </c>
    </row>
    <row r="3050" spans="1:44">
      <c r="A3050" s="4" t="s">
        <v>5</v>
      </c>
      <c r="C3050" s="4">
        <v>4090</v>
      </c>
      <c r="D3050" s="5" t="s">
        <v>93</v>
      </c>
      <c r="E3050" s="6" t="s">
        <v>4582</v>
      </c>
      <c r="F3050" s="5" t="s">
        <v>4583</v>
      </c>
      <c r="AP3050" s="4" t="s">
        <v>376</v>
      </c>
      <c r="AR3050" s="4" t="s">
        <v>377</v>
      </c>
    </row>
    <row r="3051" spans="1:44">
      <c r="A3051" s="4" t="s">
        <v>5</v>
      </c>
      <c r="C3051" s="4">
        <v>4248</v>
      </c>
      <c r="D3051" s="5" t="s">
        <v>93</v>
      </c>
      <c r="E3051" s="6" t="s">
        <v>4584</v>
      </c>
      <c r="F3051" s="5" t="s">
        <v>4585</v>
      </c>
      <c r="AP3051" s="4" t="s">
        <v>376</v>
      </c>
      <c r="AR3051" s="4" t="s">
        <v>377</v>
      </c>
    </row>
    <row r="3052" spans="1:44">
      <c r="A3052" s="4" t="s">
        <v>5</v>
      </c>
      <c r="C3052" s="4">
        <v>4337</v>
      </c>
      <c r="D3052" s="5" t="s">
        <v>93</v>
      </c>
      <c r="E3052" s="6" t="s">
        <v>4586</v>
      </c>
      <c r="AP3052" s="4" t="s">
        <v>376</v>
      </c>
      <c r="AR3052" s="4" t="s">
        <v>377</v>
      </c>
    </row>
    <row r="3053" spans="1:44">
      <c r="A3053" s="4" t="s">
        <v>5</v>
      </c>
      <c r="C3053" s="4">
        <v>6963</v>
      </c>
      <c r="D3053" s="5" t="s">
        <v>93</v>
      </c>
      <c r="E3053" s="6" t="s">
        <v>4587</v>
      </c>
      <c r="AP3053" s="4" t="s">
        <v>376</v>
      </c>
      <c r="AR3053" s="4" t="s">
        <v>377</v>
      </c>
    </row>
    <row r="3054" spans="1:44" ht="30">
      <c r="A3054" s="4" t="s">
        <v>5</v>
      </c>
      <c r="C3054" s="4">
        <v>6052</v>
      </c>
      <c r="D3054" s="5" t="s">
        <v>93</v>
      </c>
      <c r="E3054" s="6" t="s">
        <v>4588</v>
      </c>
      <c r="AP3054" s="4" t="s">
        <v>376</v>
      </c>
      <c r="AR3054" s="4" t="s">
        <v>377</v>
      </c>
    </row>
    <row r="3055" spans="1:44">
      <c r="A3055" s="4" t="s">
        <v>5</v>
      </c>
      <c r="C3055" s="4">
        <v>6054</v>
      </c>
      <c r="D3055" s="5" t="s">
        <v>93</v>
      </c>
      <c r="E3055" s="6" t="s">
        <v>4589</v>
      </c>
      <c r="AP3055" s="4" t="s">
        <v>376</v>
      </c>
      <c r="AR3055" s="4" t="s">
        <v>377</v>
      </c>
    </row>
    <row r="3056" spans="1:44">
      <c r="A3056" s="4" t="s">
        <v>5</v>
      </c>
      <c r="C3056" s="4">
        <v>1472</v>
      </c>
      <c r="D3056" s="5" t="s">
        <v>93</v>
      </c>
      <c r="E3056" s="6" t="s">
        <v>4590</v>
      </c>
      <c r="F3056" s="5" t="s">
        <v>4591</v>
      </c>
      <c r="AP3056" s="4" t="s">
        <v>376</v>
      </c>
      <c r="AR3056" s="4" t="s">
        <v>377</v>
      </c>
    </row>
    <row r="3057" spans="1:44">
      <c r="A3057" s="4" t="s">
        <v>5</v>
      </c>
      <c r="C3057" s="4">
        <v>2062</v>
      </c>
      <c r="D3057" s="5" t="s">
        <v>93</v>
      </c>
      <c r="E3057" s="6" t="s">
        <v>4592</v>
      </c>
      <c r="AP3057" s="4" t="s">
        <v>376</v>
      </c>
      <c r="AR3057" s="4" t="s">
        <v>377</v>
      </c>
    </row>
    <row r="3058" spans="1:44">
      <c r="A3058" s="4" t="s">
        <v>5</v>
      </c>
      <c r="C3058" s="4">
        <v>1702</v>
      </c>
      <c r="D3058" s="5" t="s">
        <v>93</v>
      </c>
      <c r="E3058" s="6" t="s">
        <v>4593</v>
      </c>
      <c r="AP3058" s="4" t="s">
        <v>376</v>
      </c>
      <c r="AR3058" s="4" t="s">
        <v>377</v>
      </c>
    </row>
    <row r="3059" spans="1:44" ht="30">
      <c r="A3059" s="4" t="s">
        <v>5</v>
      </c>
      <c r="C3059" s="4">
        <v>1138</v>
      </c>
      <c r="D3059" s="5" t="s">
        <v>93</v>
      </c>
      <c r="E3059" s="6" t="s">
        <v>4594</v>
      </c>
      <c r="AP3059" s="4" t="s">
        <v>376</v>
      </c>
      <c r="AR3059" s="4" t="s">
        <v>377</v>
      </c>
    </row>
    <row r="3060" spans="1:44">
      <c r="A3060" s="4" t="s">
        <v>5</v>
      </c>
      <c r="C3060" s="4">
        <v>6781</v>
      </c>
      <c r="D3060" s="5" t="s">
        <v>93</v>
      </c>
      <c r="E3060" s="6" t="s">
        <v>4595</v>
      </c>
      <c r="AP3060" s="4" t="s">
        <v>376</v>
      </c>
      <c r="AR3060" s="4" t="s">
        <v>377</v>
      </c>
    </row>
    <row r="3061" spans="1:44">
      <c r="A3061" s="4" t="s">
        <v>5</v>
      </c>
      <c r="C3061" s="4">
        <v>5515</v>
      </c>
      <c r="D3061" s="5" t="s">
        <v>93</v>
      </c>
      <c r="E3061" s="6" t="s">
        <v>4596</v>
      </c>
      <c r="AP3061" s="4" t="s">
        <v>376</v>
      </c>
      <c r="AR3061" s="4" t="s">
        <v>377</v>
      </c>
    </row>
    <row r="3062" spans="1:44">
      <c r="A3062" s="4" t="s">
        <v>5</v>
      </c>
      <c r="C3062" s="4">
        <v>5462</v>
      </c>
      <c r="D3062" s="5" t="s">
        <v>93</v>
      </c>
      <c r="E3062" s="6" t="s">
        <v>4597</v>
      </c>
      <c r="AP3062" s="4" t="s">
        <v>376</v>
      </c>
      <c r="AR3062" s="4" t="s">
        <v>377</v>
      </c>
    </row>
    <row r="3063" spans="1:44">
      <c r="A3063" s="4" t="s">
        <v>5</v>
      </c>
      <c r="C3063" s="4">
        <v>4987</v>
      </c>
      <c r="D3063" s="5" t="s">
        <v>93</v>
      </c>
      <c r="E3063" s="6" t="s">
        <v>4598</v>
      </c>
      <c r="AP3063" s="4" t="s">
        <v>376</v>
      </c>
      <c r="AR3063" s="4" t="s">
        <v>377</v>
      </c>
    </row>
    <row r="3064" spans="1:44">
      <c r="A3064" s="4" t="s">
        <v>5</v>
      </c>
      <c r="C3064" s="4">
        <v>1039</v>
      </c>
      <c r="D3064" s="5" t="s">
        <v>93</v>
      </c>
      <c r="E3064" s="6" t="s">
        <v>4599</v>
      </c>
      <c r="F3064" s="5" t="s">
        <v>4600</v>
      </c>
      <c r="AP3064" s="4" t="s">
        <v>376</v>
      </c>
      <c r="AR3064" s="4" t="s">
        <v>377</v>
      </c>
    </row>
    <row r="3065" spans="1:44">
      <c r="A3065" s="4" t="s">
        <v>5</v>
      </c>
      <c r="C3065" s="4">
        <v>4432</v>
      </c>
      <c r="D3065" s="5" t="s">
        <v>93</v>
      </c>
      <c r="E3065" s="6" t="s">
        <v>4601</v>
      </c>
      <c r="AP3065" s="4" t="s">
        <v>376</v>
      </c>
      <c r="AR3065" s="4" t="s">
        <v>377</v>
      </c>
    </row>
    <row r="3066" spans="1:44">
      <c r="A3066" s="4" t="s">
        <v>5</v>
      </c>
      <c r="C3066" s="4">
        <v>2639</v>
      </c>
      <c r="D3066" s="5" t="s">
        <v>93</v>
      </c>
      <c r="E3066" s="6" t="s">
        <v>4602</v>
      </c>
      <c r="F3066" s="5" t="s">
        <v>4603</v>
      </c>
      <c r="AP3066" s="4" t="s">
        <v>376</v>
      </c>
      <c r="AR3066" s="4" t="s">
        <v>377</v>
      </c>
    </row>
    <row r="3067" spans="1:44">
      <c r="A3067" s="4" t="s">
        <v>5</v>
      </c>
      <c r="C3067" s="4">
        <v>2769</v>
      </c>
      <c r="D3067" s="5" t="s">
        <v>93</v>
      </c>
      <c r="E3067" s="6" t="s">
        <v>4604</v>
      </c>
      <c r="AP3067" s="4" t="s">
        <v>376</v>
      </c>
      <c r="AR3067" s="4" t="s">
        <v>377</v>
      </c>
    </row>
    <row r="3068" spans="1:44">
      <c r="A3068" s="4" t="s">
        <v>5</v>
      </c>
      <c r="C3068" s="4">
        <v>2356</v>
      </c>
      <c r="D3068" s="5" t="s">
        <v>93</v>
      </c>
      <c r="E3068" s="6" t="s">
        <v>4605</v>
      </c>
      <c r="AP3068" s="4" t="s">
        <v>376</v>
      </c>
      <c r="AR3068" s="4" t="s">
        <v>377</v>
      </c>
    </row>
    <row r="3069" spans="1:44">
      <c r="A3069" s="4" t="s">
        <v>5</v>
      </c>
      <c r="C3069" s="4">
        <v>5828</v>
      </c>
      <c r="D3069" s="5" t="s">
        <v>93</v>
      </c>
      <c r="E3069" s="6" t="s">
        <v>4606</v>
      </c>
      <c r="AP3069" s="4" t="s">
        <v>376</v>
      </c>
      <c r="AR3069" s="4" t="s">
        <v>377</v>
      </c>
    </row>
    <row r="3070" spans="1:44">
      <c r="A3070" s="4" t="s">
        <v>5</v>
      </c>
      <c r="C3070" s="4">
        <v>4334</v>
      </c>
      <c r="D3070" s="5" t="s">
        <v>93</v>
      </c>
      <c r="E3070" s="6" t="s">
        <v>4607</v>
      </c>
      <c r="AP3070" s="4" t="s">
        <v>376</v>
      </c>
      <c r="AR3070" s="4" t="s">
        <v>377</v>
      </c>
    </row>
    <row r="3071" spans="1:44">
      <c r="A3071" s="4" t="s">
        <v>5</v>
      </c>
      <c r="C3071" s="4">
        <v>2753</v>
      </c>
      <c r="D3071" s="5" t="s">
        <v>93</v>
      </c>
      <c r="E3071" s="6" t="s">
        <v>4608</v>
      </c>
      <c r="AP3071" s="4" t="s">
        <v>376</v>
      </c>
      <c r="AR3071" s="4" t="s">
        <v>377</v>
      </c>
    </row>
    <row r="3072" spans="1:44">
      <c r="A3072" s="4" t="s">
        <v>5</v>
      </c>
      <c r="C3072" s="4">
        <v>3658</v>
      </c>
      <c r="D3072" s="5" t="s">
        <v>93</v>
      </c>
      <c r="E3072" s="6" t="s">
        <v>4609</v>
      </c>
      <c r="F3072" s="5" t="s">
        <v>4610</v>
      </c>
      <c r="AP3072" s="4" t="s">
        <v>376</v>
      </c>
      <c r="AR3072" s="4" t="s">
        <v>377</v>
      </c>
    </row>
    <row r="3073" spans="1:44" ht="30">
      <c r="A3073" s="4" t="s">
        <v>5</v>
      </c>
      <c r="C3073" s="4">
        <v>5410</v>
      </c>
      <c r="D3073" s="5" t="s">
        <v>93</v>
      </c>
      <c r="E3073" s="6" t="s">
        <v>4611</v>
      </c>
      <c r="AP3073" s="4" t="s">
        <v>376</v>
      </c>
      <c r="AR3073" s="4" t="s">
        <v>377</v>
      </c>
    </row>
    <row r="3074" spans="1:44" ht="30">
      <c r="A3074" s="4" t="s">
        <v>5</v>
      </c>
      <c r="C3074" s="4">
        <v>3850</v>
      </c>
      <c r="D3074" s="5" t="s">
        <v>93</v>
      </c>
      <c r="E3074" s="6" t="s">
        <v>4612</v>
      </c>
      <c r="Z3074" s="4" t="s">
        <v>443</v>
      </c>
      <c r="AA3074" s="4" t="s">
        <v>444</v>
      </c>
      <c r="AP3074" s="4" t="s">
        <v>376</v>
      </c>
      <c r="AR3074" s="4" t="s">
        <v>377</v>
      </c>
    </row>
    <row r="3075" spans="1:44">
      <c r="A3075" s="4" t="s">
        <v>5</v>
      </c>
      <c r="C3075" s="4">
        <v>4117</v>
      </c>
      <c r="D3075" s="5" t="s">
        <v>93</v>
      </c>
      <c r="E3075" s="6" t="s">
        <v>4613</v>
      </c>
      <c r="AP3075" s="4" t="s">
        <v>376</v>
      </c>
      <c r="AR3075" s="4" t="s">
        <v>377</v>
      </c>
    </row>
    <row r="3076" spans="1:44">
      <c r="A3076" s="4" t="s">
        <v>5</v>
      </c>
      <c r="C3076" s="4">
        <v>252</v>
      </c>
      <c r="D3076" s="5" t="s">
        <v>93</v>
      </c>
      <c r="E3076" s="6" t="s">
        <v>4614</v>
      </c>
      <c r="F3076" s="5" t="s">
        <v>4615</v>
      </c>
      <c r="AP3076" s="4" t="s">
        <v>376</v>
      </c>
      <c r="AR3076" s="4" t="s">
        <v>377</v>
      </c>
    </row>
    <row r="3077" spans="1:44">
      <c r="A3077" s="4" t="s">
        <v>5</v>
      </c>
      <c r="C3077" s="4">
        <v>3469</v>
      </c>
      <c r="D3077" s="5" t="s">
        <v>93</v>
      </c>
      <c r="E3077" s="6" t="s">
        <v>4616</v>
      </c>
      <c r="F3077" s="5" t="s">
        <v>4617</v>
      </c>
      <c r="Z3077" s="4" t="s">
        <v>512</v>
      </c>
      <c r="AA3077" s="4" t="s">
        <v>513</v>
      </c>
      <c r="AP3077" s="4" t="s">
        <v>376</v>
      </c>
      <c r="AR3077" s="4" t="s">
        <v>377</v>
      </c>
    </row>
    <row r="3078" spans="1:44">
      <c r="A3078" s="4" t="s">
        <v>5</v>
      </c>
      <c r="C3078" s="4">
        <v>476</v>
      </c>
      <c r="D3078" s="5" t="s">
        <v>93</v>
      </c>
      <c r="E3078" s="6" t="s">
        <v>4618</v>
      </c>
      <c r="F3078" s="5" t="s">
        <v>4619</v>
      </c>
      <c r="AP3078" s="4" t="s">
        <v>376</v>
      </c>
      <c r="AR3078" s="4" t="s">
        <v>377</v>
      </c>
    </row>
    <row r="3079" spans="1:44" ht="30">
      <c r="A3079" s="4" t="s">
        <v>5</v>
      </c>
      <c r="C3079" s="4">
        <v>5509</v>
      </c>
      <c r="D3079" s="5" t="s">
        <v>93</v>
      </c>
      <c r="E3079" s="6" t="s">
        <v>4620</v>
      </c>
      <c r="AP3079" s="4" t="s">
        <v>376</v>
      </c>
      <c r="AR3079" s="4" t="s">
        <v>377</v>
      </c>
    </row>
    <row r="3080" spans="1:44">
      <c r="A3080" s="4" t="s">
        <v>5</v>
      </c>
      <c r="C3080" s="4">
        <v>5369</v>
      </c>
      <c r="D3080" s="5" t="s">
        <v>93</v>
      </c>
      <c r="E3080" s="6" t="s">
        <v>4621</v>
      </c>
      <c r="AP3080" s="4" t="s">
        <v>376</v>
      </c>
      <c r="AR3080" s="4" t="s">
        <v>377</v>
      </c>
    </row>
    <row r="3081" spans="1:44">
      <c r="A3081" s="4" t="s">
        <v>5</v>
      </c>
      <c r="C3081" s="4">
        <v>176</v>
      </c>
      <c r="D3081" s="5" t="s">
        <v>93</v>
      </c>
      <c r="E3081" s="6" t="s">
        <v>4622</v>
      </c>
      <c r="F3081" s="5" t="s">
        <v>4623</v>
      </c>
      <c r="AP3081" s="4" t="s">
        <v>376</v>
      </c>
      <c r="AR3081" s="4" t="s">
        <v>377</v>
      </c>
    </row>
    <row r="3082" spans="1:44">
      <c r="A3082" s="4" t="s">
        <v>5</v>
      </c>
      <c r="C3082" s="4">
        <v>5883</v>
      </c>
      <c r="D3082" s="5" t="s">
        <v>93</v>
      </c>
      <c r="E3082" s="6" t="s">
        <v>4624</v>
      </c>
      <c r="AP3082" s="4" t="s">
        <v>376</v>
      </c>
      <c r="AR3082" s="4" t="s">
        <v>377</v>
      </c>
    </row>
    <row r="3083" spans="1:44">
      <c r="A3083" s="4" t="s">
        <v>5</v>
      </c>
      <c r="C3083" s="4">
        <v>3429</v>
      </c>
      <c r="D3083" s="5" t="s">
        <v>93</v>
      </c>
      <c r="E3083" s="6" t="s">
        <v>4625</v>
      </c>
      <c r="AP3083" s="4" t="s">
        <v>376</v>
      </c>
      <c r="AR3083" s="4" t="s">
        <v>377</v>
      </c>
    </row>
    <row r="3084" spans="1:44">
      <c r="A3084" s="4" t="s">
        <v>5</v>
      </c>
      <c r="C3084" s="4">
        <v>906</v>
      </c>
      <c r="D3084" s="5" t="s">
        <v>93</v>
      </c>
      <c r="E3084" s="6" t="s">
        <v>4626</v>
      </c>
      <c r="AP3084" s="4" t="s">
        <v>376</v>
      </c>
      <c r="AR3084" s="4" t="s">
        <v>377</v>
      </c>
    </row>
    <row r="3085" spans="1:44">
      <c r="A3085" s="4" t="s">
        <v>5</v>
      </c>
      <c r="C3085" s="4">
        <v>143</v>
      </c>
      <c r="D3085" s="5" t="s">
        <v>93</v>
      </c>
      <c r="E3085" s="6" t="s">
        <v>4627</v>
      </c>
      <c r="F3085" s="5" t="s">
        <v>4628</v>
      </c>
      <c r="Z3085" s="4" t="s">
        <v>447</v>
      </c>
      <c r="AA3085" s="4" t="s">
        <v>448</v>
      </c>
      <c r="AP3085" s="4" t="s">
        <v>376</v>
      </c>
      <c r="AR3085" s="4" t="s">
        <v>377</v>
      </c>
    </row>
    <row r="3086" spans="1:44">
      <c r="A3086" s="4" t="s">
        <v>5</v>
      </c>
      <c r="C3086" s="4">
        <v>6730</v>
      </c>
      <c r="D3086" s="5" t="s">
        <v>93</v>
      </c>
      <c r="E3086" s="6" t="s">
        <v>4629</v>
      </c>
      <c r="AP3086" s="4" t="s">
        <v>376</v>
      </c>
      <c r="AR3086" s="4" t="s">
        <v>377</v>
      </c>
    </row>
    <row r="3087" spans="1:44">
      <c r="A3087" s="4" t="s">
        <v>5</v>
      </c>
      <c r="C3087" s="4">
        <v>4619</v>
      </c>
      <c r="D3087" s="5" t="s">
        <v>93</v>
      </c>
      <c r="E3087" s="6" t="s">
        <v>4630</v>
      </c>
      <c r="AP3087" s="4" t="s">
        <v>376</v>
      </c>
      <c r="AR3087" s="4" t="s">
        <v>377</v>
      </c>
    </row>
    <row r="3088" spans="1:44" ht="30">
      <c r="A3088" s="4" t="s">
        <v>5</v>
      </c>
      <c r="C3088" s="4">
        <v>2894</v>
      </c>
      <c r="D3088" s="5" t="s">
        <v>93</v>
      </c>
      <c r="E3088" s="6" t="s">
        <v>4631</v>
      </c>
      <c r="F3088" s="5" t="s">
        <v>4632</v>
      </c>
      <c r="AP3088" s="4" t="s">
        <v>376</v>
      </c>
      <c r="AR3088" s="4" t="s">
        <v>377</v>
      </c>
    </row>
    <row r="3089" spans="1:44" ht="30">
      <c r="A3089" s="4" t="s">
        <v>5</v>
      </c>
      <c r="C3089" s="4">
        <v>618</v>
      </c>
      <c r="D3089" s="5" t="s">
        <v>93</v>
      </c>
      <c r="E3089" s="6" t="s">
        <v>4633</v>
      </c>
      <c r="F3089" s="5" t="s">
        <v>4634</v>
      </c>
      <c r="AP3089" s="4" t="s">
        <v>376</v>
      </c>
      <c r="AR3089" s="4" t="s">
        <v>377</v>
      </c>
    </row>
    <row r="3090" spans="1:44">
      <c r="A3090" s="4" t="s">
        <v>5</v>
      </c>
      <c r="C3090" s="4">
        <v>6890</v>
      </c>
      <c r="D3090" s="5" t="s">
        <v>93</v>
      </c>
      <c r="E3090" s="6" t="s">
        <v>4635</v>
      </c>
      <c r="AP3090" s="4" t="s">
        <v>376</v>
      </c>
      <c r="AR3090" s="4" t="s">
        <v>377</v>
      </c>
    </row>
    <row r="3091" spans="1:44">
      <c r="A3091" s="4" t="s">
        <v>5</v>
      </c>
      <c r="C3091" s="4">
        <v>3603</v>
      </c>
      <c r="D3091" s="5" t="s">
        <v>93</v>
      </c>
      <c r="E3091" s="6" t="s">
        <v>4636</v>
      </c>
      <c r="F3091" s="5" t="s">
        <v>4637</v>
      </c>
      <c r="AP3091" s="4" t="s">
        <v>376</v>
      </c>
      <c r="AR3091" s="4" t="s">
        <v>377</v>
      </c>
    </row>
    <row r="3092" spans="1:44">
      <c r="A3092" s="4" t="s">
        <v>5</v>
      </c>
      <c r="C3092" s="4">
        <v>532</v>
      </c>
      <c r="D3092" s="5" t="s">
        <v>93</v>
      </c>
      <c r="E3092" s="6" t="s">
        <v>4638</v>
      </c>
      <c r="F3092" s="5" t="s">
        <v>4639</v>
      </c>
      <c r="AP3092" s="4" t="s">
        <v>376</v>
      </c>
      <c r="AR3092" s="4" t="s">
        <v>377</v>
      </c>
    </row>
    <row r="3093" spans="1:44">
      <c r="A3093" s="4" t="s">
        <v>5</v>
      </c>
      <c r="C3093" s="4">
        <v>5325</v>
      </c>
      <c r="D3093" s="5" t="s">
        <v>93</v>
      </c>
      <c r="E3093" s="6" t="s">
        <v>4640</v>
      </c>
      <c r="AP3093" s="4" t="s">
        <v>376</v>
      </c>
      <c r="AR3093" s="4" t="s">
        <v>377</v>
      </c>
    </row>
    <row r="3094" spans="1:44">
      <c r="A3094" s="4" t="s">
        <v>5</v>
      </c>
      <c r="C3094" s="4">
        <v>5814</v>
      </c>
      <c r="D3094" s="5" t="s">
        <v>93</v>
      </c>
      <c r="E3094" s="6" t="s">
        <v>4641</v>
      </c>
      <c r="AP3094" s="4" t="s">
        <v>376</v>
      </c>
      <c r="AR3094" s="4" t="s">
        <v>377</v>
      </c>
    </row>
    <row r="3095" spans="1:44">
      <c r="A3095" s="4" t="s">
        <v>5</v>
      </c>
      <c r="C3095" s="4">
        <v>7003</v>
      </c>
      <c r="D3095" s="5" t="s">
        <v>93</v>
      </c>
      <c r="E3095" s="6" t="s">
        <v>4642</v>
      </c>
      <c r="AP3095" s="4" t="s">
        <v>376</v>
      </c>
      <c r="AR3095" s="4" t="s">
        <v>377</v>
      </c>
    </row>
    <row r="3096" spans="1:44">
      <c r="A3096" s="4" t="s">
        <v>5</v>
      </c>
      <c r="C3096" s="4">
        <v>2503</v>
      </c>
      <c r="D3096" s="5" t="s">
        <v>93</v>
      </c>
      <c r="E3096" s="6" t="s">
        <v>4643</v>
      </c>
      <c r="AP3096" s="4" t="s">
        <v>376</v>
      </c>
      <c r="AR3096" s="4" t="s">
        <v>377</v>
      </c>
    </row>
    <row r="3097" spans="1:44">
      <c r="A3097" s="4" t="s">
        <v>5</v>
      </c>
      <c r="C3097" s="4">
        <v>451</v>
      </c>
      <c r="D3097" s="5" t="s">
        <v>93</v>
      </c>
      <c r="E3097" s="6" t="s">
        <v>4644</v>
      </c>
      <c r="F3097" s="5" t="s">
        <v>4645</v>
      </c>
      <c r="AP3097" s="4" t="s">
        <v>376</v>
      </c>
      <c r="AR3097" s="4" t="s">
        <v>377</v>
      </c>
    </row>
    <row r="3098" spans="1:44">
      <c r="A3098" s="4" t="s">
        <v>5</v>
      </c>
      <c r="C3098" s="4">
        <v>3338</v>
      </c>
      <c r="D3098" s="5" t="s">
        <v>93</v>
      </c>
      <c r="E3098" s="6" t="s">
        <v>4646</v>
      </c>
      <c r="F3098" s="5" t="s">
        <v>4647</v>
      </c>
      <c r="AP3098" s="4" t="s">
        <v>376</v>
      </c>
      <c r="AR3098" s="4" t="s">
        <v>377</v>
      </c>
    </row>
    <row r="3099" spans="1:44">
      <c r="A3099" s="4" t="s">
        <v>5</v>
      </c>
      <c r="C3099" s="4">
        <v>5791</v>
      </c>
      <c r="D3099" s="5" t="s">
        <v>93</v>
      </c>
      <c r="E3099" s="6" t="s">
        <v>4648</v>
      </c>
      <c r="AP3099" s="4" t="s">
        <v>376</v>
      </c>
      <c r="AR3099" s="4" t="s">
        <v>377</v>
      </c>
    </row>
    <row r="3100" spans="1:44">
      <c r="A3100" s="4" t="s">
        <v>5</v>
      </c>
      <c r="C3100" s="4">
        <v>4028</v>
      </c>
      <c r="D3100" s="5" t="s">
        <v>93</v>
      </c>
      <c r="E3100" s="6" t="s">
        <v>4649</v>
      </c>
      <c r="AP3100" s="4" t="s">
        <v>376</v>
      </c>
      <c r="AR3100" s="4" t="s">
        <v>377</v>
      </c>
    </row>
    <row r="3101" spans="1:44">
      <c r="A3101" s="4" t="s">
        <v>5</v>
      </c>
      <c r="C3101" s="4">
        <v>1587</v>
      </c>
      <c r="D3101" s="5" t="s">
        <v>93</v>
      </c>
      <c r="E3101" s="6" t="s">
        <v>4650</v>
      </c>
      <c r="F3101" s="5" t="s">
        <v>4651</v>
      </c>
      <c r="AP3101" s="4" t="s">
        <v>376</v>
      </c>
      <c r="AR3101" s="4" t="s">
        <v>377</v>
      </c>
    </row>
    <row r="3102" spans="1:44" ht="30">
      <c r="A3102" s="4" t="s">
        <v>5</v>
      </c>
      <c r="C3102" s="4">
        <v>6293</v>
      </c>
      <c r="D3102" s="5" t="s">
        <v>93</v>
      </c>
      <c r="E3102" s="6" t="s">
        <v>4652</v>
      </c>
      <c r="AP3102" s="4" t="s">
        <v>376</v>
      </c>
      <c r="AR3102" s="4" t="s">
        <v>377</v>
      </c>
    </row>
    <row r="3103" spans="1:44">
      <c r="A3103" s="4" t="s">
        <v>5</v>
      </c>
      <c r="C3103" s="4">
        <v>1487</v>
      </c>
      <c r="D3103" s="5" t="s">
        <v>93</v>
      </c>
      <c r="E3103" s="6" t="s">
        <v>4653</v>
      </c>
      <c r="F3103" s="5" t="s">
        <v>4654</v>
      </c>
      <c r="AP3103" s="4" t="s">
        <v>376</v>
      </c>
      <c r="AR3103" s="4" t="s">
        <v>377</v>
      </c>
    </row>
    <row r="3104" spans="1:44">
      <c r="A3104" s="4" t="s">
        <v>5</v>
      </c>
      <c r="C3104" s="4">
        <v>1265</v>
      </c>
      <c r="D3104" s="5" t="s">
        <v>93</v>
      </c>
      <c r="E3104" s="6" t="s">
        <v>4655</v>
      </c>
      <c r="F3104" s="5" t="s">
        <v>4656</v>
      </c>
      <c r="AP3104" s="4" t="s">
        <v>376</v>
      </c>
      <c r="AR3104" s="4" t="s">
        <v>377</v>
      </c>
    </row>
    <row r="3105" spans="1:44" ht="30">
      <c r="A3105" s="4" t="s">
        <v>5</v>
      </c>
      <c r="C3105" s="4">
        <v>1003</v>
      </c>
      <c r="D3105" s="5" t="s">
        <v>93</v>
      </c>
      <c r="E3105" s="6" t="s">
        <v>4657</v>
      </c>
      <c r="F3105" s="5" t="s">
        <v>4658</v>
      </c>
      <c r="Z3105" s="4" t="s">
        <v>447</v>
      </c>
      <c r="AA3105" s="4" t="s">
        <v>448</v>
      </c>
      <c r="AP3105" s="4" t="s">
        <v>376</v>
      </c>
      <c r="AR3105" s="4" t="s">
        <v>377</v>
      </c>
    </row>
    <row r="3106" spans="1:44">
      <c r="A3106" s="4" t="s">
        <v>5</v>
      </c>
      <c r="C3106" s="4">
        <v>1022</v>
      </c>
      <c r="D3106" s="5" t="s">
        <v>93</v>
      </c>
      <c r="E3106" s="6" t="s">
        <v>4659</v>
      </c>
      <c r="F3106" s="5" t="s">
        <v>4660</v>
      </c>
      <c r="AP3106" s="4" t="s">
        <v>376</v>
      </c>
      <c r="AR3106" s="4" t="s">
        <v>377</v>
      </c>
    </row>
    <row r="3107" spans="1:44">
      <c r="A3107" s="4" t="s">
        <v>5</v>
      </c>
      <c r="C3107" s="4">
        <v>6786</v>
      </c>
      <c r="D3107" s="5" t="s">
        <v>93</v>
      </c>
      <c r="E3107" s="6" t="s">
        <v>4661</v>
      </c>
      <c r="AP3107" s="4" t="s">
        <v>376</v>
      </c>
      <c r="AR3107" s="4" t="s">
        <v>377</v>
      </c>
    </row>
    <row r="3108" spans="1:44">
      <c r="A3108" s="4" t="s">
        <v>5</v>
      </c>
      <c r="C3108" s="4">
        <v>2800</v>
      </c>
      <c r="D3108" s="5" t="s">
        <v>93</v>
      </c>
      <c r="E3108" s="6" t="s">
        <v>4662</v>
      </c>
      <c r="AP3108" s="4" t="s">
        <v>376</v>
      </c>
      <c r="AR3108" s="4" t="s">
        <v>377</v>
      </c>
    </row>
    <row r="3109" spans="1:44" ht="30">
      <c r="A3109" s="4" t="s">
        <v>5</v>
      </c>
      <c r="C3109" s="4">
        <v>2384</v>
      </c>
      <c r="D3109" s="5" t="s">
        <v>93</v>
      </c>
      <c r="E3109" s="6" t="s">
        <v>4663</v>
      </c>
      <c r="AP3109" s="4" t="s">
        <v>376</v>
      </c>
      <c r="AR3109" s="4" t="s">
        <v>377</v>
      </c>
    </row>
    <row r="3110" spans="1:44" ht="30">
      <c r="A3110" s="4" t="s">
        <v>5</v>
      </c>
      <c r="C3110" s="4">
        <v>2972</v>
      </c>
      <c r="D3110" s="5" t="s">
        <v>93</v>
      </c>
      <c r="E3110" s="6" t="s">
        <v>4664</v>
      </c>
      <c r="F3110" s="5" t="s">
        <v>4665</v>
      </c>
      <c r="Z3110" s="4" t="s">
        <v>447</v>
      </c>
      <c r="AA3110" s="4" t="s">
        <v>448</v>
      </c>
      <c r="AP3110" s="4" t="s">
        <v>376</v>
      </c>
      <c r="AR3110" s="4" t="s">
        <v>377</v>
      </c>
    </row>
    <row r="3111" spans="1:44">
      <c r="A3111" s="4" t="s">
        <v>5</v>
      </c>
      <c r="C3111" s="4">
        <v>6314</v>
      </c>
      <c r="D3111" s="5" t="s">
        <v>93</v>
      </c>
      <c r="E3111" s="6" t="s">
        <v>4666</v>
      </c>
      <c r="AP3111" s="4" t="s">
        <v>376</v>
      </c>
      <c r="AR3111" s="4" t="s">
        <v>377</v>
      </c>
    </row>
    <row r="3112" spans="1:44">
      <c r="A3112" s="4" t="s">
        <v>5</v>
      </c>
      <c r="C3112" s="4">
        <v>4045</v>
      </c>
      <c r="D3112" s="5" t="s">
        <v>93</v>
      </c>
      <c r="E3112" s="6" t="s">
        <v>4667</v>
      </c>
      <c r="AP3112" s="4" t="s">
        <v>376</v>
      </c>
      <c r="AR3112" s="4" t="s">
        <v>377</v>
      </c>
    </row>
    <row r="3113" spans="1:44">
      <c r="A3113" s="4" t="s">
        <v>5</v>
      </c>
      <c r="C3113" s="4">
        <v>4959</v>
      </c>
      <c r="D3113" s="5" t="s">
        <v>93</v>
      </c>
      <c r="E3113" s="6" t="s">
        <v>4668</v>
      </c>
      <c r="F3113" s="5" t="s">
        <v>4669</v>
      </c>
      <c r="AP3113" s="4" t="s">
        <v>376</v>
      </c>
      <c r="AR3113" s="4" t="s">
        <v>377</v>
      </c>
    </row>
    <row r="3114" spans="1:44">
      <c r="A3114" s="4" t="s">
        <v>5</v>
      </c>
      <c r="C3114" s="4">
        <v>2278</v>
      </c>
      <c r="D3114" s="5" t="s">
        <v>93</v>
      </c>
      <c r="E3114" s="6" t="s">
        <v>4670</v>
      </c>
      <c r="AP3114" s="4" t="s">
        <v>376</v>
      </c>
      <c r="AR3114" s="4" t="s">
        <v>377</v>
      </c>
    </row>
    <row r="3115" spans="1:44" ht="30">
      <c r="A3115" s="4" t="s">
        <v>5</v>
      </c>
      <c r="C3115" s="4">
        <v>6173</v>
      </c>
      <c r="D3115" s="5" t="s">
        <v>93</v>
      </c>
      <c r="E3115" s="6" t="s">
        <v>4671</v>
      </c>
      <c r="AP3115" s="4" t="s">
        <v>376</v>
      </c>
      <c r="AR3115" s="4" t="s">
        <v>377</v>
      </c>
    </row>
    <row r="3116" spans="1:44" ht="30">
      <c r="A3116" s="4" t="s">
        <v>5</v>
      </c>
      <c r="C3116" s="4">
        <v>3876</v>
      </c>
      <c r="D3116" s="5" t="s">
        <v>93</v>
      </c>
      <c r="E3116" s="6" t="s">
        <v>4672</v>
      </c>
      <c r="F3116" s="5" t="s">
        <v>4673</v>
      </c>
      <c r="AP3116" s="4" t="s">
        <v>376</v>
      </c>
      <c r="AR3116" s="4" t="s">
        <v>377</v>
      </c>
    </row>
    <row r="3117" spans="1:44">
      <c r="A3117" s="4" t="s">
        <v>5</v>
      </c>
      <c r="C3117" s="4">
        <v>4249</v>
      </c>
      <c r="D3117" s="5" t="s">
        <v>93</v>
      </c>
      <c r="E3117" s="6" t="s">
        <v>4674</v>
      </c>
      <c r="AP3117" s="4" t="s">
        <v>376</v>
      </c>
      <c r="AR3117" s="4" t="s">
        <v>377</v>
      </c>
    </row>
    <row r="3118" spans="1:44">
      <c r="A3118" s="4" t="s">
        <v>5</v>
      </c>
      <c r="C3118" s="4">
        <v>4755</v>
      </c>
      <c r="D3118" s="5" t="s">
        <v>93</v>
      </c>
      <c r="E3118" s="6" t="s">
        <v>4675</v>
      </c>
      <c r="AP3118" s="4" t="s">
        <v>376</v>
      </c>
      <c r="AR3118" s="4" t="s">
        <v>377</v>
      </c>
    </row>
    <row r="3119" spans="1:44">
      <c r="A3119" s="4" t="s">
        <v>5</v>
      </c>
      <c r="C3119" s="4">
        <v>1370</v>
      </c>
      <c r="D3119" s="5" t="s">
        <v>93</v>
      </c>
      <c r="E3119" s="6" t="s">
        <v>4676</v>
      </c>
      <c r="F3119" s="5" t="s">
        <v>4677</v>
      </c>
      <c r="Z3119" s="4" t="s">
        <v>443</v>
      </c>
      <c r="AA3119" s="4" t="s">
        <v>444</v>
      </c>
      <c r="AP3119" s="4" t="s">
        <v>376</v>
      </c>
      <c r="AR3119" s="4" t="s">
        <v>377</v>
      </c>
    </row>
    <row r="3120" spans="1:44">
      <c r="A3120" s="4" t="s">
        <v>5</v>
      </c>
      <c r="C3120" s="4">
        <v>2457</v>
      </c>
      <c r="D3120" s="5" t="s">
        <v>93</v>
      </c>
      <c r="E3120" s="6" t="s">
        <v>4678</v>
      </c>
      <c r="F3120" s="5" t="s">
        <v>4679</v>
      </c>
      <c r="Z3120" s="4" t="s">
        <v>447</v>
      </c>
      <c r="AA3120" s="4" t="s">
        <v>448</v>
      </c>
      <c r="AP3120" s="4" t="s">
        <v>376</v>
      </c>
      <c r="AR3120" s="4" t="s">
        <v>377</v>
      </c>
    </row>
    <row r="3121" spans="1:44" ht="30">
      <c r="A3121" s="4" t="s">
        <v>5</v>
      </c>
      <c r="C3121" s="4">
        <v>584</v>
      </c>
      <c r="D3121" s="5" t="s">
        <v>93</v>
      </c>
      <c r="E3121" s="6" t="s">
        <v>4680</v>
      </c>
      <c r="AP3121" s="4" t="s">
        <v>376</v>
      </c>
      <c r="AR3121" s="4" t="s">
        <v>377</v>
      </c>
    </row>
    <row r="3122" spans="1:44" ht="30">
      <c r="A3122" s="4" t="s">
        <v>5</v>
      </c>
      <c r="C3122" s="4">
        <v>2881</v>
      </c>
      <c r="D3122" s="5" t="s">
        <v>93</v>
      </c>
      <c r="E3122" s="6" t="s">
        <v>4681</v>
      </c>
      <c r="F3122" s="5" t="s">
        <v>4682</v>
      </c>
      <c r="Z3122" s="4" t="s">
        <v>443</v>
      </c>
      <c r="AA3122" s="4" t="s">
        <v>444</v>
      </c>
      <c r="AP3122" s="4" t="s">
        <v>376</v>
      </c>
      <c r="AR3122" s="4" t="s">
        <v>377</v>
      </c>
    </row>
    <row r="3123" spans="1:44">
      <c r="A3123" s="4" t="s">
        <v>5</v>
      </c>
      <c r="C3123" s="4">
        <v>73</v>
      </c>
      <c r="D3123" s="5" t="s">
        <v>93</v>
      </c>
      <c r="E3123" s="6" t="s">
        <v>4683</v>
      </c>
      <c r="F3123" s="5" t="s">
        <v>4684</v>
      </c>
      <c r="AP3123" s="4" t="s">
        <v>376</v>
      </c>
      <c r="AR3123" s="4" t="s">
        <v>377</v>
      </c>
    </row>
    <row r="3124" spans="1:44">
      <c r="A3124" s="4" t="s">
        <v>5</v>
      </c>
      <c r="C3124" s="4">
        <v>2885</v>
      </c>
      <c r="D3124" s="5" t="s">
        <v>93</v>
      </c>
      <c r="E3124" s="6" t="s">
        <v>4685</v>
      </c>
      <c r="F3124" s="5" t="s">
        <v>4686</v>
      </c>
      <c r="AP3124" s="4" t="s">
        <v>376</v>
      </c>
      <c r="AR3124" s="4" t="s">
        <v>377</v>
      </c>
    </row>
    <row r="3125" spans="1:44">
      <c r="A3125" s="4" t="s">
        <v>5</v>
      </c>
      <c r="C3125" s="4">
        <v>5531</v>
      </c>
      <c r="D3125" s="5" t="s">
        <v>93</v>
      </c>
      <c r="E3125" s="6" t="s">
        <v>4687</v>
      </c>
      <c r="AP3125" s="4" t="s">
        <v>376</v>
      </c>
      <c r="AR3125" s="4" t="s">
        <v>377</v>
      </c>
    </row>
    <row r="3126" spans="1:44" ht="30">
      <c r="A3126" s="4" t="s">
        <v>5</v>
      </c>
      <c r="C3126" s="4">
        <v>4703</v>
      </c>
      <c r="D3126" s="5" t="s">
        <v>93</v>
      </c>
      <c r="E3126" s="6" t="s">
        <v>4688</v>
      </c>
      <c r="Z3126" s="4" t="s">
        <v>447</v>
      </c>
      <c r="AA3126" s="4" t="s">
        <v>448</v>
      </c>
      <c r="AP3126" s="4" t="s">
        <v>376</v>
      </c>
      <c r="AR3126" s="4" t="s">
        <v>377</v>
      </c>
    </row>
    <row r="3127" spans="1:44">
      <c r="A3127" s="4" t="s">
        <v>5</v>
      </c>
      <c r="C3127" s="4">
        <v>2307</v>
      </c>
      <c r="D3127" s="5" t="s">
        <v>93</v>
      </c>
      <c r="E3127" s="6" t="s">
        <v>4689</v>
      </c>
      <c r="F3127" s="5" t="s">
        <v>4690</v>
      </c>
      <c r="Z3127" s="4" t="s">
        <v>447</v>
      </c>
      <c r="AA3127" s="4" t="s">
        <v>448</v>
      </c>
      <c r="AP3127" s="4" t="s">
        <v>376</v>
      </c>
      <c r="AR3127" s="4" t="s">
        <v>377</v>
      </c>
    </row>
    <row r="3128" spans="1:44">
      <c r="A3128" s="4" t="s">
        <v>5</v>
      </c>
      <c r="C3128" s="4">
        <v>2610</v>
      </c>
      <c r="D3128" s="5" t="s">
        <v>93</v>
      </c>
      <c r="E3128" s="6" t="s">
        <v>4691</v>
      </c>
      <c r="F3128" s="5" t="s">
        <v>4692</v>
      </c>
      <c r="Z3128" s="4" t="s">
        <v>447</v>
      </c>
      <c r="AA3128" s="4" t="s">
        <v>448</v>
      </c>
      <c r="AP3128" s="4" t="s">
        <v>376</v>
      </c>
      <c r="AR3128" s="4" t="s">
        <v>377</v>
      </c>
    </row>
    <row r="3129" spans="1:44">
      <c r="A3129" s="4" t="s">
        <v>5</v>
      </c>
      <c r="C3129" s="4">
        <v>1991</v>
      </c>
      <c r="D3129" s="5" t="s">
        <v>93</v>
      </c>
      <c r="E3129" s="6" t="s">
        <v>4693</v>
      </c>
      <c r="F3129" s="5" t="s">
        <v>4694</v>
      </c>
      <c r="AP3129" s="4" t="s">
        <v>376</v>
      </c>
      <c r="AR3129" s="4" t="s">
        <v>377</v>
      </c>
    </row>
    <row r="3130" spans="1:44">
      <c r="A3130" s="4" t="s">
        <v>5</v>
      </c>
      <c r="C3130" s="4">
        <v>559</v>
      </c>
      <c r="D3130" s="5" t="s">
        <v>93</v>
      </c>
      <c r="E3130" s="6" t="s">
        <v>4695</v>
      </c>
      <c r="F3130" s="5" t="s">
        <v>4696</v>
      </c>
      <c r="AP3130" s="4" t="s">
        <v>376</v>
      </c>
      <c r="AR3130" s="4" t="s">
        <v>377</v>
      </c>
    </row>
    <row r="3131" spans="1:44">
      <c r="A3131" s="4" t="s">
        <v>5</v>
      </c>
      <c r="C3131" s="4">
        <v>4633</v>
      </c>
      <c r="D3131" s="5" t="s">
        <v>93</v>
      </c>
      <c r="E3131" s="6" t="s">
        <v>4697</v>
      </c>
      <c r="F3131" s="5" t="s">
        <v>4698</v>
      </c>
      <c r="AP3131" s="4" t="s">
        <v>376</v>
      </c>
      <c r="AR3131" s="4" t="s">
        <v>377</v>
      </c>
    </row>
    <row r="3132" spans="1:44">
      <c r="A3132" s="4" t="s">
        <v>5</v>
      </c>
      <c r="C3132" s="4">
        <v>4921</v>
      </c>
      <c r="D3132" s="5" t="s">
        <v>93</v>
      </c>
      <c r="E3132" s="6" t="s">
        <v>4699</v>
      </c>
      <c r="AP3132" s="4" t="s">
        <v>376</v>
      </c>
      <c r="AR3132" s="4" t="s">
        <v>377</v>
      </c>
    </row>
    <row r="3133" spans="1:44">
      <c r="A3133" s="4" t="s">
        <v>5</v>
      </c>
      <c r="C3133" s="4">
        <v>6181</v>
      </c>
      <c r="D3133" s="5" t="s">
        <v>93</v>
      </c>
      <c r="E3133" s="6" t="s">
        <v>4700</v>
      </c>
      <c r="AP3133" s="4" t="s">
        <v>376</v>
      </c>
      <c r="AR3133" s="4" t="s">
        <v>377</v>
      </c>
    </row>
    <row r="3134" spans="1:44">
      <c r="A3134" s="4" t="s">
        <v>5</v>
      </c>
      <c r="C3134" s="4">
        <v>4575</v>
      </c>
      <c r="D3134" s="5" t="s">
        <v>93</v>
      </c>
      <c r="E3134" s="6" t="s">
        <v>4701</v>
      </c>
      <c r="AP3134" s="4" t="s">
        <v>376</v>
      </c>
      <c r="AR3134" s="4" t="s">
        <v>377</v>
      </c>
    </row>
    <row r="3135" spans="1:44" ht="30">
      <c r="A3135" s="4" t="s">
        <v>5</v>
      </c>
      <c r="C3135" s="4">
        <v>1799</v>
      </c>
      <c r="D3135" s="5" t="s">
        <v>93</v>
      </c>
      <c r="E3135" s="6" t="s">
        <v>4702</v>
      </c>
      <c r="F3135" s="5" t="s">
        <v>4703</v>
      </c>
      <c r="Z3135" s="4" t="s">
        <v>443</v>
      </c>
      <c r="AA3135" s="4" t="s">
        <v>444</v>
      </c>
      <c r="AP3135" s="4" t="s">
        <v>376</v>
      </c>
      <c r="AR3135" s="4" t="s">
        <v>377</v>
      </c>
    </row>
    <row r="3136" spans="1:44">
      <c r="A3136" s="4" t="s">
        <v>5</v>
      </c>
      <c r="C3136" s="4">
        <v>6489</v>
      </c>
      <c r="D3136" s="5" t="s">
        <v>93</v>
      </c>
      <c r="E3136" s="6" t="s">
        <v>4704</v>
      </c>
      <c r="AP3136" s="4" t="s">
        <v>376</v>
      </c>
      <c r="AR3136" s="4" t="s">
        <v>377</v>
      </c>
    </row>
    <row r="3137" spans="1:44">
      <c r="A3137" s="4" t="s">
        <v>5</v>
      </c>
      <c r="C3137" s="4">
        <v>7302</v>
      </c>
      <c r="D3137" s="5" t="s">
        <v>93</v>
      </c>
      <c r="E3137" s="6" t="s">
        <v>4705</v>
      </c>
      <c r="F3137" s="5" t="s">
        <v>4706</v>
      </c>
      <c r="Z3137" s="4" t="s">
        <v>447</v>
      </c>
      <c r="AA3137" s="4" t="s">
        <v>448</v>
      </c>
      <c r="AP3137" s="4" t="s">
        <v>376</v>
      </c>
      <c r="AR3137" s="4" t="s">
        <v>377</v>
      </c>
    </row>
    <row r="3138" spans="1:44">
      <c r="A3138" s="4" t="s">
        <v>5</v>
      </c>
      <c r="C3138" s="4">
        <v>796</v>
      </c>
      <c r="D3138" s="5" t="s">
        <v>93</v>
      </c>
      <c r="E3138" s="6" t="s">
        <v>4707</v>
      </c>
      <c r="AP3138" s="4" t="s">
        <v>376</v>
      </c>
      <c r="AR3138" s="4" t="s">
        <v>377</v>
      </c>
    </row>
    <row r="3139" spans="1:44">
      <c r="A3139" s="4" t="s">
        <v>5</v>
      </c>
      <c r="C3139" s="4">
        <v>4598</v>
      </c>
      <c r="D3139" s="5" t="s">
        <v>93</v>
      </c>
      <c r="E3139" s="6" t="s">
        <v>4708</v>
      </c>
      <c r="AP3139" s="4" t="s">
        <v>376</v>
      </c>
      <c r="AR3139" s="4" t="s">
        <v>377</v>
      </c>
    </row>
    <row r="3140" spans="1:44">
      <c r="A3140" s="4" t="s">
        <v>5</v>
      </c>
      <c r="C3140" s="4">
        <v>6188</v>
      </c>
      <c r="D3140" s="5" t="s">
        <v>93</v>
      </c>
      <c r="E3140" s="6" t="s">
        <v>4709</v>
      </c>
      <c r="AP3140" s="4" t="s">
        <v>376</v>
      </c>
      <c r="AR3140" s="4" t="s">
        <v>377</v>
      </c>
    </row>
    <row r="3141" spans="1:44">
      <c r="A3141" s="4" t="s">
        <v>5</v>
      </c>
      <c r="C3141" s="4">
        <v>5997</v>
      </c>
      <c r="D3141" s="5" t="s">
        <v>93</v>
      </c>
      <c r="E3141" s="6" t="s">
        <v>4710</v>
      </c>
      <c r="AP3141" s="4" t="s">
        <v>376</v>
      </c>
      <c r="AR3141" s="4" t="s">
        <v>377</v>
      </c>
    </row>
    <row r="3142" spans="1:44">
      <c r="A3142" s="4" t="s">
        <v>5</v>
      </c>
      <c r="C3142" s="4">
        <v>4390</v>
      </c>
      <c r="D3142" s="5" t="s">
        <v>93</v>
      </c>
      <c r="E3142" s="6" t="s">
        <v>4711</v>
      </c>
      <c r="AP3142" s="4" t="s">
        <v>376</v>
      </c>
      <c r="AR3142" s="4" t="s">
        <v>377</v>
      </c>
    </row>
    <row r="3143" spans="1:44" ht="30">
      <c r="A3143" s="4" t="s">
        <v>5</v>
      </c>
      <c r="C3143" s="4">
        <v>4743</v>
      </c>
      <c r="D3143" s="5" t="s">
        <v>93</v>
      </c>
      <c r="E3143" s="6" t="s">
        <v>4712</v>
      </c>
      <c r="AP3143" s="4" t="s">
        <v>376</v>
      </c>
      <c r="AR3143" s="4" t="s">
        <v>377</v>
      </c>
    </row>
    <row r="3144" spans="1:44">
      <c r="A3144" s="4" t="s">
        <v>5</v>
      </c>
      <c r="C3144" s="4">
        <v>6842</v>
      </c>
      <c r="D3144" s="5" t="s">
        <v>93</v>
      </c>
      <c r="E3144" s="6" t="s">
        <v>4713</v>
      </c>
      <c r="AP3144" s="4" t="s">
        <v>376</v>
      </c>
      <c r="AR3144" s="4" t="s">
        <v>377</v>
      </c>
    </row>
    <row r="3145" spans="1:44">
      <c r="A3145" s="4" t="s">
        <v>5</v>
      </c>
      <c r="C3145" s="4">
        <v>940</v>
      </c>
      <c r="D3145" s="5" t="s">
        <v>93</v>
      </c>
      <c r="E3145" s="6" t="s">
        <v>4714</v>
      </c>
      <c r="AP3145" s="4" t="s">
        <v>376</v>
      </c>
      <c r="AR3145" s="4" t="s">
        <v>377</v>
      </c>
    </row>
    <row r="3146" spans="1:44">
      <c r="A3146" s="4" t="s">
        <v>5</v>
      </c>
      <c r="C3146" s="4">
        <v>6285</v>
      </c>
      <c r="D3146" s="5" t="s">
        <v>93</v>
      </c>
      <c r="E3146" s="6" t="s">
        <v>4715</v>
      </c>
      <c r="F3146" s="5" t="s">
        <v>4716</v>
      </c>
      <c r="AP3146" s="4" t="s">
        <v>376</v>
      </c>
      <c r="AR3146" s="4" t="s">
        <v>377</v>
      </c>
    </row>
    <row r="3147" spans="1:44" ht="30">
      <c r="A3147" s="4" t="s">
        <v>5</v>
      </c>
      <c r="C3147" s="4">
        <v>4718</v>
      </c>
      <c r="D3147" s="5" t="s">
        <v>93</v>
      </c>
      <c r="E3147" s="6" t="s">
        <v>4717</v>
      </c>
      <c r="AP3147" s="4" t="s">
        <v>376</v>
      </c>
      <c r="AR3147" s="4" t="s">
        <v>377</v>
      </c>
    </row>
    <row r="3148" spans="1:44" ht="30">
      <c r="A3148" s="4" t="s">
        <v>5</v>
      </c>
      <c r="C3148" s="4">
        <v>4316</v>
      </c>
      <c r="D3148" s="5" t="s">
        <v>93</v>
      </c>
      <c r="E3148" s="6" t="s">
        <v>4718</v>
      </c>
      <c r="AP3148" s="4" t="s">
        <v>376</v>
      </c>
      <c r="AR3148" s="4" t="s">
        <v>377</v>
      </c>
    </row>
    <row r="3149" spans="1:44">
      <c r="A3149" s="4" t="s">
        <v>5</v>
      </c>
      <c r="C3149" s="4">
        <v>5556</v>
      </c>
      <c r="D3149" s="5" t="s">
        <v>93</v>
      </c>
      <c r="E3149" s="6" t="s">
        <v>4719</v>
      </c>
      <c r="Z3149" s="4" t="s">
        <v>443</v>
      </c>
      <c r="AA3149" s="4" t="s">
        <v>444</v>
      </c>
      <c r="AP3149" s="4" t="s">
        <v>376</v>
      </c>
      <c r="AR3149" s="4" t="s">
        <v>377</v>
      </c>
    </row>
    <row r="3150" spans="1:44">
      <c r="A3150" s="4" t="s">
        <v>5</v>
      </c>
      <c r="C3150" s="4">
        <v>5383</v>
      </c>
      <c r="D3150" s="5" t="s">
        <v>93</v>
      </c>
      <c r="E3150" s="6" t="s">
        <v>4720</v>
      </c>
      <c r="AP3150" s="4" t="s">
        <v>376</v>
      </c>
      <c r="AR3150" s="4" t="s">
        <v>377</v>
      </c>
    </row>
    <row r="3151" spans="1:44">
      <c r="A3151" s="4" t="s">
        <v>5</v>
      </c>
      <c r="C3151" s="4">
        <v>4886</v>
      </c>
      <c r="D3151" s="5" t="s">
        <v>93</v>
      </c>
      <c r="E3151" s="6" t="s">
        <v>4721</v>
      </c>
      <c r="AP3151" s="4" t="s">
        <v>376</v>
      </c>
      <c r="AR3151" s="4" t="s">
        <v>377</v>
      </c>
    </row>
    <row r="3152" spans="1:44">
      <c r="A3152" s="4" t="s">
        <v>5</v>
      </c>
      <c r="C3152" s="4">
        <v>6225</v>
      </c>
      <c r="D3152" s="5" t="s">
        <v>93</v>
      </c>
      <c r="E3152" s="6" t="s">
        <v>4722</v>
      </c>
      <c r="AP3152" s="4" t="s">
        <v>376</v>
      </c>
      <c r="AR3152" s="4" t="s">
        <v>377</v>
      </c>
    </row>
    <row r="3153" spans="1:44" ht="30">
      <c r="A3153" s="4" t="s">
        <v>5</v>
      </c>
      <c r="C3153" s="4">
        <v>6321</v>
      </c>
      <c r="D3153" s="5" t="s">
        <v>93</v>
      </c>
      <c r="E3153" s="6" t="s">
        <v>4723</v>
      </c>
      <c r="AP3153" s="4" t="s">
        <v>376</v>
      </c>
      <c r="AR3153" s="4" t="s">
        <v>377</v>
      </c>
    </row>
    <row r="3154" spans="1:44" ht="30">
      <c r="A3154" s="4" t="s">
        <v>5</v>
      </c>
      <c r="C3154" s="4">
        <v>2076</v>
      </c>
      <c r="D3154" s="5" t="s">
        <v>93</v>
      </c>
      <c r="E3154" s="6" t="s">
        <v>4724</v>
      </c>
      <c r="AP3154" s="4" t="s">
        <v>376</v>
      </c>
      <c r="AR3154" s="4" t="s">
        <v>377</v>
      </c>
    </row>
    <row r="3155" spans="1:44">
      <c r="A3155" s="4" t="s">
        <v>5</v>
      </c>
      <c r="C3155" s="4">
        <v>6908</v>
      </c>
      <c r="D3155" s="5" t="s">
        <v>93</v>
      </c>
      <c r="E3155" s="6" t="s">
        <v>4725</v>
      </c>
      <c r="AP3155" s="4" t="s">
        <v>376</v>
      </c>
      <c r="AR3155" s="4" t="s">
        <v>377</v>
      </c>
    </row>
    <row r="3156" spans="1:44">
      <c r="A3156" s="4" t="s">
        <v>5</v>
      </c>
      <c r="C3156" s="4">
        <v>6224</v>
      </c>
      <c r="D3156" s="5" t="s">
        <v>93</v>
      </c>
      <c r="E3156" s="6" t="s">
        <v>4726</v>
      </c>
      <c r="AP3156" s="4" t="s">
        <v>376</v>
      </c>
      <c r="AR3156" s="4" t="s">
        <v>377</v>
      </c>
    </row>
    <row r="3157" spans="1:44">
      <c r="A3157" s="4" t="s">
        <v>5</v>
      </c>
      <c r="C3157" s="4">
        <v>5448</v>
      </c>
      <c r="D3157" s="5" t="s">
        <v>93</v>
      </c>
      <c r="E3157" s="6" t="s">
        <v>4727</v>
      </c>
      <c r="F3157" s="5" t="s">
        <v>4728</v>
      </c>
      <c r="AP3157" s="4" t="s">
        <v>376</v>
      </c>
      <c r="AR3157" s="4" t="s">
        <v>377</v>
      </c>
    </row>
    <row r="3158" spans="1:44">
      <c r="A3158" s="4" t="s">
        <v>5</v>
      </c>
      <c r="C3158" s="4">
        <v>4778</v>
      </c>
      <c r="D3158" s="5" t="s">
        <v>93</v>
      </c>
      <c r="E3158" s="6" t="s">
        <v>4729</v>
      </c>
      <c r="AP3158" s="4" t="s">
        <v>376</v>
      </c>
      <c r="AR3158" s="4" t="s">
        <v>377</v>
      </c>
    </row>
    <row r="3159" spans="1:44">
      <c r="A3159" s="4" t="s">
        <v>5</v>
      </c>
      <c r="C3159" s="4">
        <v>2120</v>
      </c>
      <c r="D3159" s="5" t="s">
        <v>93</v>
      </c>
      <c r="E3159" s="6" t="s">
        <v>4730</v>
      </c>
      <c r="F3159" s="5" t="s">
        <v>4731</v>
      </c>
      <c r="AP3159" s="4" t="s">
        <v>376</v>
      </c>
      <c r="AR3159" s="4" t="s">
        <v>377</v>
      </c>
    </row>
    <row r="3160" spans="1:44">
      <c r="A3160" s="4" t="s">
        <v>5</v>
      </c>
      <c r="C3160" s="4">
        <v>5944</v>
      </c>
      <c r="D3160" s="5" t="s">
        <v>93</v>
      </c>
      <c r="E3160" s="6" t="s">
        <v>4732</v>
      </c>
      <c r="AP3160" s="4" t="s">
        <v>376</v>
      </c>
      <c r="AR3160" s="4" t="s">
        <v>377</v>
      </c>
    </row>
    <row r="3161" spans="1:44">
      <c r="A3161" s="4" t="s">
        <v>5</v>
      </c>
      <c r="C3161" s="4">
        <v>5328</v>
      </c>
      <c r="D3161" s="5" t="s">
        <v>93</v>
      </c>
      <c r="E3161" s="6" t="s">
        <v>4733</v>
      </c>
      <c r="AP3161" s="4" t="s">
        <v>376</v>
      </c>
      <c r="AR3161" s="4" t="s">
        <v>377</v>
      </c>
    </row>
    <row r="3162" spans="1:44" ht="30">
      <c r="A3162" s="4" t="s">
        <v>5</v>
      </c>
      <c r="C3162" s="4">
        <v>4607</v>
      </c>
      <c r="D3162" s="5" t="s">
        <v>93</v>
      </c>
      <c r="E3162" s="6" t="s">
        <v>4734</v>
      </c>
      <c r="AP3162" s="4" t="s">
        <v>376</v>
      </c>
      <c r="AR3162" s="4" t="s">
        <v>377</v>
      </c>
    </row>
    <row r="3163" spans="1:44">
      <c r="A3163" s="4" t="s">
        <v>5</v>
      </c>
      <c r="C3163" s="4">
        <v>4437</v>
      </c>
      <c r="D3163" s="5" t="s">
        <v>93</v>
      </c>
      <c r="E3163" s="6" t="s">
        <v>4735</v>
      </c>
      <c r="AP3163" s="4" t="s">
        <v>376</v>
      </c>
      <c r="AR3163" s="4" t="s">
        <v>377</v>
      </c>
    </row>
    <row r="3164" spans="1:44">
      <c r="A3164" s="4" t="s">
        <v>5</v>
      </c>
      <c r="C3164" s="4">
        <v>343</v>
      </c>
      <c r="D3164" s="5" t="s">
        <v>93</v>
      </c>
      <c r="E3164" s="6" t="s">
        <v>4736</v>
      </c>
      <c r="F3164" s="5" t="s">
        <v>4737</v>
      </c>
      <c r="AP3164" s="4" t="s">
        <v>376</v>
      </c>
      <c r="AR3164" s="4" t="s">
        <v>377</v>
      </c>
    </row>
    <row r="3165" spans="1:44">
      <c r="A3165" s="4" t="s">
        <v>5</v>
      </c>
      <c r="C3165" s="4">
        <v>6886</v>
      </c>
      <c r="D3165" s="5" t="s">
        <v>93</v>
      </c>
      <c r="E3165" s="6" t="s">
        <v>4738</v>
      </c>
      <c r="AP3165" s="4" t="s">
        <v>376</v>
      </c>
      <c r="AR3165" s="4" t="s">
        <v>377</v>
      </c>
    </row>
    <row r="3166" spans="1:44">
      <c r="A3166" s="4" t="s">
        <v>5</v>
      </c>
      <c r="C3166" s="4">
        <v>5974</v>
      </c>
      <c r="D3166" s="5" t="s">
        <v>93</v>
      </c>
      <c r="E3166" s="6" t="s">
        <v>4739</v>
      </c>
      <c r="AP3166" s="4" t="s">
        <v>376</v>
      </c>
      <c r="AR3166" s="4" t="s">
        <v>377</v>
      </c>
    </row>
    <row r="3167" spans="1:44" ht="30">
      <c r="A3167" s="4" t="s">
        <v>5</v>
      </c>
      <c r="C3167" s="4">
        <v>6937</v>
      </c>
      <c r="D3167" s="5" t="s">
        <v>93</v>
      </c>
      <c r="E3167" s="6" t="s">
        <v>4740</v>
      </c>
      <c r="AP3167" s="4" t="s">
        <v>376</v>
      </c>
      <c r="AR3167" s="4" t="s">
        <v>377</v>
      </c>
    </row>
    <row r="3168" spans="1:44">
      <c r="A3168" s="4" t="s">
        <v>5</v>
      </c>
      <c r="C3168" s="4">
        <v>5988</v>
      </c>
      <c r="D3168" s="5" t="s">
        <v>93</v>
      </c>
      <c r="E3168" s="6" t="s">
        <v>4741</v>
      </c>
      <c r="F3168" s="5" t="s">
        <v>4285</v>
      </c>
      <c r="AP3168" s="4" t="s">
        <v>376</v>
      </c>
      <c r="AR3168" s="4" t="s">
        <v>377</v>
      </c>
    </row>
    <row r="3169" spans="1:44">
      <c r="A3169" s="4" t="s">
        <v>5</v>
      </c>
      <c r="C3169" s="4">
        <v>930</v>
      </c>
      <c r="D3169" s="5" t="s">
        <v>93</v>
      </c>
      <c r="E3169" s="6" t="s">
        <v>4742</v>
      </c>
      <c r="AP3169" s="4" t="s">
        <v>376</v>
      </c>
      <c r="AR3169" s="4" t="s">
        <v>377</v>
      </c>
    </row>
    <row r="3170" spans="1:44" ht="30">
      <c r="A3170" s="4" t="s">
        <v>5</v>
      </c>
      <c r="C3170" s="4">
        <v>6151</v>
      </c>
      <c r="D3170" s="5" t="s">
        <v>93</v>
      </c>
      <c r="E3170" s="6" t="s">
        <v>4743</v>
      </c>
      <c r="AP3170" s="4" t="s">
        <v>376</v>
      </c>
      <c r="AR3170" s="4" t="s">
        <v>377</v>
      </c>
    </row>
    <row r="3171" spans="1:44">
      <c r="A3171" s="4" t="s">
        <v>5</v>
      </c>
      <c r="C3171" s="4">
        <v>1790</v>
      </c>
      <c r="D3171" s="5" t="s">
        <v>93</v>
      </c>
      <c r="E3171" s="6" t="s">
        <v>4744</v>
      </c>
      <c r="AP3171" s="4" t="s">
        <v>376</v>
      </c>
      <c r="AR3171" s="4" t="s">
        <v>377</v>
      </c>
    </row>
    <row r="3172" spans="1:44">
      <c r="A3172" s="4" t="s">
        <v>5</v>
      </c>
      <c r="C3172" s="4">
        <v>3994</v>
      </c>
      <c r="D3172" s="5" t="s">
        <v>93</v>
      </c>
      <c r="E3172" s="6" t="s">
        <v>4745</v>
      </c>
      <c r="AP3172" s="4" t="s">
        <v>376</v>
      </c>
      <c r="AR3172" s="4" t="s">
        <v>377</v>
      </c>
    </row>
    <row r="3173" spans="1:44">
      <c r="A3173" s="4" t="s">
        <v>5</v>
      </c>
      <c r="C3173" s="4">
        <v>1492</v>
      </c>
      <c r="D3173" s="5" t="s">
        <v>93</v>
      </c>
      <c r="E3173" s="6" t="s">
        <v>4746</v>
      </c>
      <c r="AP3173" s="4" t="s">
        <v>376</v>
      </c>
      <c r="AR3173" s="4" t="s">
        <v>377</v>
      </c>
    </row>
    <row r="3174" spans="1:44">
      <c r="A3174" s="4" t="s">
        <v>5</v>
      </c>
      <c r="C3174" s="4">
        <v>158</v>
      </c>
      <c r="D3174" s="5" t="s">
        <v>93</v>
      </c>
      <c r="E3174" s="6" t="s">
        <v>4747</v>
      </c>
      <c r="F3174" s="5" t="s">
        <v>4748</v>
      </c>
      <c r="AP3174" s="4" t="s">
        <v>376</v>
      </c>
      <c r="AR3174" s="4" t="s">
        <v>377</v>
      </c>
    </row>
    <row r="3175" spans="1:44">
      <c r="A3175" s="4" t="s">
        <v>5</v>
      </c>
      <c r="C3175" s="4">
        <v>1801</v>
      </c>
      <c r="D3175" s="5" t="s">
        <v>93</v>
      </c>
      <c r="E3175" s="6" t="s">
        <v>4749</v>
      </c>
      <c r="AP3175" s="4" t="s">
        <v>376</v>
      </c>
      <c r="AR3175" s="4" t="s">
        <v>377</v>
      </c>
    </row>
    <row r="3176" spans="1:44">
      <c r="A3176" s="4" t="s">
        <v>5</v>
      </c>
      <c r="C3176" s="4">
        <v>6718</v>
      </c>
      <c r="D3176" s="5" t="s">
        <v>93</v>
      </c>
      <c r="E3176" s="6" t="s">
        <v>4750</v>
      </c>
      <c r="AP3176" s="4" t="s">
        <v>376</v>
      </c>
      <c r="AR3176" s="4" t="s">
        <v>377</v>
      </c>
    </row>
    <row r="3177" spans="1:44">
      <c r="A3177" s="4" t="s">
        <v>5</v>
      </c>
      <c r="C3177" s="4">
        <v>6836</v>
      </c>
      <c r="D3177" s="5" t="s">
        <v>93</v>
      </c>
      <c r="E3177" s="6" t="s">
        <v>4751</v>
      </c>
      <c r="AP3177" s="4" t="s">
        <v>376</v>
      </c>
      <c r="AR3177" s="4" t="s">
        <v>377</v>
      </c>
    </row>
    <row r="3178" spans="1:44">
      <c r="A3178" s="4" t="s">
        <v>5</v>
      </c>
      <c r="C3178" s="4">
        <v>3776</v>
      </c>
      <c r="D3178" s="5" t="s">
        <v>93</v>
      </c>
      <c r="E3178" s="6" t="s">
        <v>4752</v>
      </c>
      <c r="AP3178" s="4" t="s">
        <v>376</v>
      </c>
      <c r="AR3178" s="4" t="s">
        <v>377</v>
      </c>
    </row>
    <row r="3179" spans="1:44">
      <c r="A3179" s="4" t="s">
        <v>5</v>
      </c>
      <c r="C3179" s="4">
        <v>678</v>
      </c>
      <c r="D3179" s="5" t="s">
        <v>93</v>
      </c>
      <c r="E3179" s="6" t="s">
        <v>4753</v>
      </c>
      <c r="F3179" s="5" t="s">
        <v>4754</v>
      </c>
      <c r="AP3179" s="4" t="s">
        <v>376</v>
      </c>
      <c r="AR3179" s="4" t="s">
        <v>377</v>
      </c>
    </row>
    <row r="3180" spans="1:44">
      <c r="A3180" s="4" t="s">
        <v>5</v>
      </c>
      <c r="C3180" s="4">
        <v>5610</v>
      </c>
      <c r="D3180" s="5" t="s">
        <v>93</v>
      </c>
      <c r="E3180" s="6" t="s">
        <v>4755</v>
      </c>
      <c r="AP3180" s="4" t="s">
        <v>376</v>
      </c>
      <c r="AR3180" s="4" t="s">
        <v>377</v>
      </c>
    </row>
    <row r="3181" spans="1:44">
      <c r="A3181" s="4" t="s">
        <v>5</v>
      </c>
      <c r="C3181" s="4">
        <v>2409</v>
      </c>
      <c r="D3181" s="5" t="s">
        <v>93</v>
      </c>
      <c r="E3181" s="6" t="s">
        <v>4756</v>
      </c>
      <c r="F3181" s="5" t="s">
        <v>4757</v>
      </c>
      <c r="Z3181" s="4" t="s">
        <v>443</v>
      </c>
      <c r="AA3181" s="4" t="s">
        <v>444</v>
      </c>
      <c r="AP3181" s="4" t="s">
        <v>376</v>
      </c>
      <c r="AR3181" s="4" t="s">
        <v>377</v>
      </c>
    </row>
    <row r="3182" spans="1:44">
      <c r="A3182" s="4" t="s">
        <v>5</v>
      </c>
      <c r="C3182" s="4">
        <v>460</v>
      </c>
      <c r="D3182" s="5" t="s">
        <v>93</v>
      </c>
      <c r="E3182" s="6" t="s">
        <v>4758</v>
      </c>
      <c r="F3182" s="5" t="s">
        <v>4759</v>
      </c>
      <c r="AP3182" s="4" t="s">
        <v>376</v>
      </c>
      <c r="AR3182" s="4" t="s">
        <v>377</v>
      </c>
    </row>
    <row r="3183" spans="1:44">
      <c r="A3183" s="4" t="s">
        <v>5</v>
      </c>
      <c r="C3183" s="4">
        <v>6463</v>
      </c>
      <c r="D3183" s="5" t="s">
        <v>93</v>
      </c>
      <c r="E3183" s="6" t="s">
        <v>4760</v>
      </c>
      <c r="AP3183" s="4" t="s">
        <v>376</v>
      </c>
      <c r="AR3183" s="4" t="s">
        <v>377</v>
      </c>
    </row>
    <row r="3184" spans="1:44">
      <c r="A3184" s="4" t="s">
        <v>5</v>
      </c>
      <c r="C3184" s="4">
        <v>1278</v>
      </c>
      <c r="D3184" s="5" t="s">
        <v>93</v>
      </c>
      <c r="E3184" s="6" t="s">
        <v>4761</v>
      </c>
      <c r="F3184" s="5" t="s">
        <v>4762</v>
      </c>
      <c r="AP3184" s="4" t="s">
        <v>376</v>
      </c>
      <c r="AR3184" s="4" t="s">
        <v>377</v>
      </c>
    </row>
    <row r="3185" spans="1:44">
      <c r="A3185" s="4" t="s">
        <v>5</v>
      </c>
      <c r="C3185" s="4">
        <v>2044</v>
      </c>
      <c r="D3185" s="5" t="s">
        <v>93</v>
      </c>
      <c r="E3185" s="6" t="s">
        <v>4763</v>
      </c>
      <c r="AP3185" s="4" t="s">
        <v>376</v>
      </c>
      <c r="AR3185" s="4" t="s">
        <v>377</v>
      </c>
    </row>
    <row r="3186" spans="1:44" ht="30">
      <c r="A3186" s="4" t="s">
        <v>5</v>
      </c>
      <c r="C3186" s="4">
        <v>2387</v>
      </c>
      <c r="D3186" s="5" t="s">
        <v>93</v>
      </c>
      <c r="E3186" s="6" t="s">
        <v>4764</v>
      </c>
      <c r="Z3186" s="4" t="s">
        <v>447</v>
      </c>
      <c r="AA3186" s="4" t="s">
        <v>448</v>
      </c>
      <c r="AP3186" s="4" t="s">
        <v>376</v>
      </c>
      <c r="AR3186" s="4" t="s">
        <v>377</v>
      </c>
    </row>
    <row r="3187" spans="1:44">
      <c r="A3187" s="4" t="s">
        <v>5</v>
      </c>
      <c r="C3187" s="4">
        <v>2311</v>
      </c>
      <c r="D3187" s="5" t="s">
        <v>93</v>
      </c>
      <c r="E3187" s="6" t="s">
        <v>4765</v>
      </c>
      <c r="F3187" s="5" t="s">
        <v>4766</v>
      </c>
      <c r="AP3187" s="4" t="s">
        <v>376</v>
      </c>
      <c r="AR3187" s="4" t="s">
        <v>377</v>
      </c>
    </row>
    <row r="3188" spans="1:44">
      <c r="A3188" s="4" t="s">
        <v>5</v>
      </c>
      <c r="C3188" s="4">
        <v>2397</v>
      </c>
      <c r="D3188" s="5" t="s">
        <v>93</v>
      </c>
      <c r="E3188" s="6" t="s">
        <v>4767</v>
      </c>
      <c r="F3188" s="5" t="s">
        <v>4768</v>
      </c>
      <c r="AP3188" s="4" t="s">
        <v>376</v>
      </c>
      <c r="AR3188" s="4" t="s">
        <v>377</v>
      </c>
    </row>
    <row r="3189" spans="1:44">
      <c r="A3189" s="4" t="s">
        <v>5</v>
      </c>
      <c r="C3189" s="4">
        <v>268</v>
      </c>
      <c r="D3189" s="5" t="s">
        <v>93</v>
      </c>
      <c r="E3189" s="6" t="s">
        <v>4769</v>
      </c>
      <c r="F3189" s="5" t="s">
        <v>4770</v>
      </c>
      <c r="Z3189" s="4" t="s">
        <v>447</v>
      </c>
      <c r="AA3189" s="4" t="s">
        <v>448</v>
      </c>
      <c r="AP3189" s="4" t="s">
        <v>376</v>
      </c>
      <c r="AR3189" s="4" t="s">
        <v>377</v>
      </c>
    </row>
    <row r="3190" spans="1:44">
      <c r="A3190" s="4" t="s">
        <v>5</v>
      </c>
      <c r="C3190" s="4">
        <v>6037</v>
      </c>
      <c r="D3190" s="5" t="s">
        <v>93</v>
      </c>
      <c r="E3190" s="6" t="s">
        <v>4771</v>
      </c>
      <c r="F3190" s="5" t="s">
        <v>4772</v>
      </c>
      <c r="AP3190" s="4" t="s">
        <v>376</v>
      </c>
      <c r="AR3190" s="4" t="s">
        <v>377</v>
      </c>
    </row>
    <row r="3191" spans="1:44">
      <c r="A3191" s="4" t="s">
        <v>5</v>
      </c>
      <c r="C3191" s="4">
        <v>4945</v>
      </c>
      <c r="D3191" s="5" t="s">
        <v>93</v>
      </c>
      <c r="E3191" s="6" t="s">
        <v>4773</v>
      </c>
      <c r="AP3191" s="4" t="s">
        <v>376</v>
      </c>
      <c r="AR3191" s="4" t="s">
        <v>377</v>
      </c>
    </row>
    <row r="3192" spans="1:44">
      <c r="A3192" s="4" t="s">
        <v>5</v>
      </c>
      <c r="C3192" s="4">
        <v>3387</v>
      </c>
      <c r="D3192" s="5" t="s">
        <v>93</v>
      </c>
      <c r="E3192" s="6" t="s">
        <v>4774</v>
      </c>
      <c r="F3192" s="5" t="s">
        <v>4775</v>
      </c>
      <c r="Z3192" s="4" t="s">
        <v>447</v>
      </c>
      <c r="AA3192" s="4" t="s">
        <v>448</v>
      </c>
      <c r="AP3192" s="4" t="s">
        <v>376</v>
      </c>
      <c r="AR3192" s="4" t="s">
        <v>377</v>
      </c>
    </row>
    <row r="3193" spans="1:44">
      <c r="A3193" s="4" t="s">
        <v>5</v>
      </c>
      <c r="C3193" s="4">
        <v>4051</v>
      </c>
      <c r="D3193" s="5" t="s">
        <v>93</v>
      </c>
      <c r="E3193" s="6" t="s">
        <v>4776</v>
      </c>
      <c r="AP3193" s="4" t="s">
        <v>376</v>
      </c>
      <c r="AR3193" s="4" t="s">
        <v>377</v>
      </c>
    </row>
    <row r="3194" spans="1:44">
      <c r="A3194" s="4" t="s">
        <v>5</v>
      </c>
      <c r="C3194" s="4">
        <v>5284</v>
      </c>
      <c r="D3194" s="5" t="s">
        <v>93</v>
      </c>
      <c r="E3194" s="6" t="s">
        <v>4777</v>
      </c>
      <c r="AP3194" s="4" t="s">
        <v>376</v>
      </c>
      <c r="AR3194" s="4" t="s">
        <v>377</v>
      </c>
    </row>
    <row r="3195" spans="1:44" ht="30">
      <c r="A3195" s="4" t="s">
        <v>5</v>
      </c>
      <c r="C3195" s="4">
        <v>5376</v>
      </c>
      <c r="D3195" s="5" t="s">
        <v>93</v>
      </c>
      <c r="E3195" s="6" t="s">
        <v>4778</v>
      </c>
      <c r="AP3195" s="4" t="s">
        <v>376</v>
      </c>
      <c r="AR3195" s="4" t="s">
        <v>377</v>
      </c>
    </row>
    <row r="3196" spans="1:44">
      <c r="A3196" s="4" t="s">
        <v>5</v>
      </c>
      <c r="C3196" s="4">
        <v>6866</v>
      </c>
      <c r="D3196" s="5" t="s">
        <v>93</v>
      </c>
      <c r="E3196" s="6" t="s">
        <v>4779</v>
      </c>
      <c r="AP3196" s="4" t="s">
        <v>376</v>
      </c>
      <c r="AR3196" s="4" t="s">
        <v>377</v>
      </c>
    </row>
    <row r="3197" spans="1:44" ht="30">
      <c r="A3197" s="4" t="s">
        <v>5</v>
      </c>
      <c r="C3197" s="4">
        <v>2085</v>
      </c>
      <c r="D3197" s="5" t="s">
        <v>93</v>
      </c>
      <c r="E3197" s="6" t="s">
        <v>4780</v>
      </c>
      <c r="AP3197" s="4" t="s">
        <v>376</v>
      </c>
      <c r="AR3197" s="4" t="s">
        <v>377</v>
      </c>
    </row>
    <row r="3198" spans="1:44">
      <c r="A3198" s="4" t="s">
        <v>5</v>
      </c>
      <c r="C3198" s="4">
        <v>5882</v>
      </c>
      <c r="D3198" s="5" t="s">
        <v>93</v>
      </c>
      <c r="E3198" s="6" t="s">
        <v>4781</v>
      </c>
      <c r="AP3198" s="4" t="s">
        <v>376</v>
      </c>
      <c r="AR3198" s="4" t="s">
        <v>377</v>
      </c>
    </row>
    <row r="3199" spans="1:44">
      <c r="A3199" s="4" t="s">
        <v>5</v>
      </c>
      <c r="C3199" s="4">
        <v>1670</v>
      </c>
      <c r="D3199" s="5" t="s">
        <v>93</v>
      </c>
      <c r="E3199" s="6" t="s">
        <v>4782</v>
      </c>
      <c r="F3199" s="5" t="s">
        <v>4783</v>
      </c>
      <c r="Z3199" s="4" t="s">
        <v>443</v>
      </c>
      <c r="AA3199" s="4" t="s">
        <v>444</v>
      </c>
      <c r="AP3199" s="4" t="s">
        <v>376</v>
      </c>
      <c r="AR3199" s="4" t="s">
        <v>377</v>
      </c>
    </row>
    <row r="3200" spans="1:44">
      <c r="A3200" s="4" t="s">
        <v>5</v>
      </c>
      <c r="C3200" s="4">
        <v>603</v>
      </c>
      <c r="D3200" s="5" t="s">
        <v>93</v>
      </c>
      <c r="E3200" s="6" t="s">
        <v>4784</v>
      </c>
      <c r="F3200" s="5" t="s">
        <v>4785</v>
      </c>
      <c r="AP3200" s="4" t="s">
        <v>376</v>
      </c>
      <c r="AR3200" s="4" t="s">
        <v>377</v>
      </c>
    </row>
    <row r="3201" spans="1:44">
      <c r="A3201" s="4" t="s">
        <v>5</v>
      </c>
      <c r="C3201" s="4">
        <v>2927</v>
      </c>
      <c r="D3201" s="5" t="s">
        <v>93</v>
      </c>
      <c r="E3201" s="6" t="s">
        <v>4786</v>
      </c>
      <c r="AP3201" s="4" t="s">
        <v>376</v>
      </c>
      <c r="AR3201" s="4" t="s">
        <v>377</v>
      </c>
    </row>
    <row r="3202" spans="1:44" ht="30">
      <c r="A3202" s="4" t="s">
        <v>5</v>
      </c>
      <c r="C3202" s="4">
        <v>5348</v>
      </c>
      <c r="D3202" s="5" t="s">
        <v>93</v>
      </c>
      <c r="E3202" s="6" t="s">
        <v>4787</v>
      </c>
      <c r="AP3202" s="4" t="s">
        <v>376</v>
      </c>
      <c r="AR3202" s="4" t="s">
        <v>377</v>
      </c>
    </row>
    <row r="3203" spans="1:44" ht="30">
      <c r="A3203" s="4" t="s">
        <v>5</v>
      </c>
      <c r="C3203" s="4">
        <v>6650</v>
      </c>
      <c r="D3203" s="5" t="s">
        <v>93</v>
      </c>
      <c r="E3203" s="6" t="s">
        <v>4788</v>
      </c>
      <c r="F3203" s="5" t="s">
        <v>4789</v>
      </c>
      <c r="AP3203" s="4" t="s">
        <v>376</v>
      </c>
      <c r="AR3203" s="4" t="s">
        <v>377</v>
      </c>
    </row>
    <row r="3204" spans="1:44">
      <c r="A3204" s="4" t="s">
        <v>5</v>
      </c>
      <c r="C3204" s="4">
        <v>4787</v>
      </c>
      <c r="D3204" s="5" t="s">
        <v>93</v>
      </c>
      <c r="E3204" s="6" t="s">
        <v>4790</v>
      </c>
      <c r="AP3204" s="4" t="s">
        <v>376</v>
      </c>
      <c r="AR3204" s="4" t="s">
        <v>377</v>
      </c>
    </row>
    <row r="3205" spans="1:44">
      <c r="A3205" s="4" t="s">
        <v>5</v>
      </c>
      <c r="C3205" s="4">
        <v>1774</v>
      </c>
      <c r="D3205" s="5" t="s">
        <v>93</v>
      </c>
      <c r="E3205" s="6" t="s">
        <v>4791</v>
      </c>
      <c r="AP3205" s="4" t="s">
        <v>376</v>
      </c>
      <c r="AR3205" s="4" t="s">
        <v>377</v>
      </c>
    </row>
    <row r="3206" spans="1:44">
      <c r="A3206" s="4" t="s">
        <v>5</v>
      </c>
      <c r="C3206" s="4">
        <v>2732</v>
      </c>
      <c r="D3206" s="5" t="s">
        <v>93</v>
      </c>
      <c r="E3206" s="6" t="s">
        <v>4792</v>
      </c>
      <c r="F3206" s="5" t="s">
        <v>4793</v>
      </c>
      <c r="AP3206" s="4" t="s">
        <v>376</v>
      </c>
      <c r="AR3206" s="4" t="s">
        <v>377</v>
      </c>
    </row>
    <row r="3207" spans="1:44">
      <c r="A3207" s="4" t="s">
        <v>5</v>
      </c>
      <c r="C3207" s="4">
        <v>4512</v>
      </c>
      <c r="D3207" s="5" t="s">
        <v>93</v>
      </c>
      <c r="E3207" s="6" t="s">
        <v>4794</v>
      </c>
      <c r="AP3207" s="4" t="s">
        <v>376</v>
      </c>
      <c r="AR3207" s="4" t="s">
        <v>377</v>
      </c>
    </row>
    <row r="3208" spans="1:44">
      <c r="A3208" s="4" t="s">
        <v>5</v>
      </c>
      <c r="C3208" s="4">
        <v>1117</v>
      </c>
      <c r="D3208" s="5" t="s">
        <v>93</v>
      </c>
      <c r="E3208" s="6" t="s">
        <v>4795</v>
      </c>
      <c r="Z3208" s="4" t="s">
        <v>443</v>
      </c>
      <c r="AA3208" s="4" t="s">
        <v>444</v>
      </c>
      <c r="AP3208" s="4" t="s">
        <v>376</v>
      </c>
      <c r="AR3208" s="4" t="s">
        <v>377</v>
      </c>
    </row>
    <row r="3209" spans="1:44">
      <c r="A3209" s="4" t="s">
        <v>5</v>
      </c>
      <c r="C3209" s="4">
        <v>5090</v>
      </c>
      <c r="D3209" s="5" t="s">
        <v>93</v>
      </c>
      <c r="E3209" s="6" t="s">
        <v>4796</v>
      </c>
      <c r="F3209" s="5" t="s">
        <v>4797</v>
      </c>
      <c r="AP3209" s="4" t="s">
        <v>376</v>
      </c>
      <c r="AR3209" s="4" t="s">
        <v>377</v>
      </c>
    </row>
    <row r="3210" spans="1:44">
      <c r="A3210" s="4" t="s">
        <v>5</v>
      </c>
      <c r="C3210" s="4">
        <v>6665</v>
      </c>
      <c r="D3210" s="5" t="s">
        <v>93</v>
      </c>
      <c r="E3210" s="6" t="s">
        <v>4798</v>
      </c>
      <c r="AP3210" s="4" t="s">
        <v>376</v>
      </c>
      <c r="AR3210" s="4" t="s">
        <v>377</v>
      </c>
    </row>
    <row r="3211" spans="1:44">
      <c r="A3211" s="4" t="s">
        <v>5</v>
      </c>
      <c r="C3211" s="4">
        <v>1131</v>
      </c>
      <c r="D3211" s="5" t="s">
        <v>93</v>
      </c>
      <c r="E3211" s="6" t="s">
        <v>4799</v>
      </c>
      <c r="F3211" s="5" t="s">
        <v>4800</v>
      </c>
      <c r="AP3211" s="4" t="s">
        <v>376</v>
      </c>
      <c r="AR3211" s="4" t="s">
        <v>377</v>
      </c>
    </row>
    <row r="3212" spans="1:44">
      <c r="A3212" s="4" t="s">
        <v>5</v>
      </c>
      <c r="C3212" s="4">
        <v>2549</v>
      </c>
      <c r="D3212" s="5" t="s">
        <v>93</v>
      </c>
      <c r="E3212" s="6" t="s">
        <v>4801</v>
      </c>
      <c r="AP3212" s="4" t="s">
        <v>376</v>
      </c>
      <c r="AR3212" s="4" t="s">
        <v>377</v>
      </c>
    </row>
    <row r="3213" spans="1:44">
      <c r="A3213" s="4" t="s">
        <v>5</v>
      </c>
      <c r="C3213" s="4">
        <v>459</v>
      </c>
      <c r="D3213" s="5" t="s">
        <v>93</v>
      </c>
      <c r="E3213" s="6" t="s">
        <v>4802</v>
      </c>
      <c r="F3213" s="5" t="s">
        <v>4803</v>
      </c>
      <c r="AP3213" s="4" t="s">
        <v>376</v>
      </c>
      <c r="AR3213" s="4" t="s">
        <v>377</v>
      </c>
    </row>
    <row r="3214" spans="1:44">
      <c r="A3214" s="4" t="s">
        <v>5</v>
      </c>
      <c r="C3214" s="4">
        <v>981</v>
      </c>
      <c r="D3214" s="5" t="s">
        <v>93</v>
      </c>
      <c r="E3214" s="6" t="s">
        <v>4804</v>
      </c>
      <c r="AP3214" s="4" t="s">
        <v>376</v>
      </c>
      <c r="AR3214" s="4" t="s">
        <v>377</v>
      </c>
    </row>
    <row r="3215" spans="1:44">
      <c r="A3215" s="4" t="s">
        <v>5</v>
      </c>
      <c r="C3215" s="4">
        <v>1715</v>
      </c>
      <c r="D3215" s="5" t="s">
        <v>93</v>
      </c>
      <c r="E3215" s="6" t="s">
        <v>4805</v>
      </c>
      <c r="AP3215" s="4" t="s">
        <v>376</v>
      </c>
      <c r="AR3215" s="4" t="s">
        <v>377</v>
      </c>
    </row>
    <row r="3216" spans="1:44">
      <c r="A3216" s="4" t="s">
        <v>5</v>
      </c>
      <c r="C3216" s="4">
        <v>6750</v>
      </c>
      <c r="D3216" s="5" t="s">
        <v>93</v>
      </c>
      <c r="E3216" s="6" t="s">
        <v>4806</v>
      </c>
      <c r="AP3216" s="4" t="s">
        <v>376</v>
      </c>
      <c r="AR3216" s="4" t="s">
        <v>377</v>
      </c>
    </row>
    <row r="3217" spans="1:44">
      <c r="A3217" s="4" t="s">
        <v>5</v>
      </c>
      <c r="C3217" s="4">
        <v>916</v>
      </c>
      <c r="D3217" s="5" t="s">
        <v>93</v>
      </c>
      <c r="E3217" s="6" t="s">
        <v>4807</v>
      </c>
      <c r="AP3217" s="4" t="s">
        <v>376</v>
      </c>
      <c r="AR3217" s="4" t="s">
        <v>377</v>
      </c>
    </row>
    <row r="3218" spans="1:44">
      <c r="A3218" s="4" t="s">
        <v>5</v>
      </c>
      <c r="C3218" s="4">
        <v>1602</v>
      </c>
      <c r="D3218" s="5" t="s">
        <v>93</v>
      </c>
      <c r="E3218" s="6" t="s">
        <v>4808</v>
      </c>
      <c r="Z3218" s="4" t="s">
        <v>447</v>
      </c>
      <c r="AA3218" s="4" t="s">
        <v>448</v>
      </c>
      <c r="AP3218" s="4" t="s">
        <v>376</v>
      </c>
      <c r="AR3218" s="4" t="s">
        <v>377</v>
      </c>
    </row>
    <row r="3219" spans="1:44" ht="30">
      <c r="A3219" s="4" t="s">
        <v>5</v>
      </c>
      <c r="C3219" s="4">
        <v>609</v>
      </c>
      <c r="D3219" s="5" t="s">
        <v>93</v>
      </c>
      <c r="E3219" s="6" t="s">
        <v>4809</v>
      </c>
      <c r="F3219" s="5" t="s">
        <v>4810</v>
      </c>
      <c r="AP3219" s="4" t="s">
        <v>376</v>
      </c>
      <c r="AR3219" s="4" t="s">
        <v>377</v>
      </c>
    </row>
    <row r="3220" spans="1:44">
      <c r="A3220" s="4" t="s">
        <v>5</v>
      </c>
      <c r="C3220" s="4">
        <v>144</v>
      </c>
      <c r="D3220" s="5" t="s">
        <v>93</v>
      </c>
      <c r="E3220" s="6" t="s">
        <v>4811</v>
      </c>
      <c r="F3220" s="5" t="s">
        <v>4812</v>
      </c>
      <c r="AP3220" s="4" t="s">
        <v>376</v>
      </c>
      <c r="AR3220" s="4" t="s">
        <v>377</v>
      </c>
    </row>
    <row r="3221" spans="1:44">
      <c r="A3221" s="4" t="s">
        <v>5</v>
      </c>
      <c r="C3221" s="4">
        <v>3715</v>
      </c>
      <c r="D3221" s="5" t="s">
        <v>93</v>
      </c>
      <c r="E3221" s="6" t="s">
        <v>4813</v>
      </c>
      <c r="F3221" s="5" t="s">
        <v>4814</v>
      </c>
      <c r="Z3221" s="4" t="s">
        <v>447</v>
      </c>
      <c r="AA3221" s="4" t="s">
        <v>448</v>
      </c>
      <c r="AP3221" s="4" t="s">
        <v>376</v>
      </c>
      <c r="AR3221" s="4" t="s">
        <v>377</v>
      </c>
    </row>
    <row r="3222" spans="1:44">
      <c r="A3222" s="4" t="s">
        <v>5</v>
      </c>
      <c r="C3222" s="4">
        <v>4874</v>
      </c>
      <c r="D3222" s="5" t="s">
        <v>93</v>
      </c>
      <c r="E3222" s="6" t="s">
        <v>4815</v>
      </c>
      <c r="AP3222" s="4" t="s">
        <v>376</v>
      </c>
      <c r="AR3222" s="4" t="s">
        <v>377</v>
      </c>
    </row>
    <row r="3223" spans="1:44">
      <c r="A3223" s="4" t="s">
        <v>5</v>
      </c>
      <c r="C3223" s="4">
        <v>4784</v>
      </c>
      <c r="D3223" s="5" t="s">
        <v>93</v>
      </c>
      <c r="E3223" s="6" t="s">
        <v>4816</v>
      </c>
      <c r="AP3223" s="4" t="s">
        <v>376</v>
      </c>
      <c r="AR3223" s="4" t="s">
        <v>377</v>
      </c>
    </row>
    <row r="3224" spans="1:44">
      <c r="A3224" s="4" t="s">
        <v>5</v>
      </c>
      <c r="C3224" s="4">
        <v>912</v>
      </c>
      <c r="D3224" s="5" t="s">
        <v>93</v>
      </c>
      <c r="E3224" s="6" t="s">
        <v>4817</v>
      </c>
      <c r="AP3224" s="4" t="s">
        <v>376</v>
      </c>
      <c r="AR3224" s="4" t="s">
        <v>377</v>
      </c>
    </row>
    <row r="3225" spans="1:44">
      <c r="A3225" s="4" t="s">
        <v>5</v>
      </c>
      <c r="C3225" s="4">
        <v>6502</v>
      </c>
      <c r="D3225" s="5" t="s">
        <v>93</v>
      </c>
      <c r="E3225" s="6" t="s">
        <v>4818</v>
      </c>
      <c r="F3225" s="5" t="s">
        <v>4819</v>
      </c>
      <c r="AP3225" s="4" t="s">
        <v>376</v>
      </c>
      <c r="AR3225" s="4" t="s">
        <v>377</v>
      </c>
    </row>
    <row r="3226" spans="1:44" ht="30">
      <c r="A3226" s="4" t="s">
        <v>5</v>
      </c>
      <c r="C3226" s="4">
        <v>2761</v>
      </c>
      <c r="D3226" s="5" t="s">
        <v>93</v>
      </c>
      <c r="E3226" s="6" t="s">
        <v>4820</v>
      </c>
      <c r="AP3226" s="4" t="s">
        <v>376</v>
      </c>
      <c r="AR3226" s="4" t="s">
        <v>377</v>
      </c>
    </row>
    <row r="3227" spans="1:44">
      <c r="A3227" s="4" t="s">
        <v>5</v>
      </c>
      <c r="C3227" s="4">
        <v>3812</v>
      </c>
      <c r="D3227" s="5" t="s">
        <v>93</v>
      </c>
      <c r="E3227" s="6" t="s">
        <v>4821</v>
      </c>
      <c r="F3227" s="5" t="s">
        <v>4822</v>
      </c>
      <c r="AP3227" s="4" t="s">
        <v>376</v>
      </c>
      <c r="AR3227" s="4" t="s">
        <v>377</v>
      </c>
    </row>
    <row r="3228" spans="1:44" ht="30">
      <c r="A3228" s="4" t="s">
        <v>5</v>
      </c>
      <c r="C3228" s="4">
        <v>227</v>
      </c>
      <c r="D3228" s="5" t="s">
        <v>93</v>
      </c>
      <c r="E3228" s="6" t="s">
        <v>4823</v>
      </c>
      <c r="F3228" s="5" t="s">
        <v>4824</v>
      </c>
      <c r="AP3228" s="4" t="s">
        <v>376</v>
      </c>
      <c r="AR3228" s="4" t="s">
        <v>377</v>
      </c>
    </row>
    <row r="3229" spans="1:44">
      <c r="A3229" s="4" t="s">
        <v>5</v>
      </c>
      <c r="C3229" s="4">
        <v>387</v>
      </c>
      <c r="D3229" s="5" t="s">
        <v>93</v>
      </c>
      <c r="E3229" s="6" t="s">
        <v>4825</v>
      </c>
      <c r="F3229" s="5" t="s">
        <v>4826</v>
      </c>
      <c r="AP3229" s="4" t="s">
        <v>376</v>
      </c>
      <c r="AR3229" s="4" t="s">
        <v>377</v>
      </c>
    </row>
    <row r="3230" spans="1:44">
      <c r="A3230" s="4" t="s">
        <v>5</v>
      </c>
      <c r="C3230" s="4">
        <v>3420</v>
      </c>
      <c r="D3230" s="5" t="s">
        <v>93</v>
      </c>
      <c r="E3230" s="6" t="s">
        <v>4827</v>
      </c>
      <c r="F3230" s="5" t="s">
        <v>4828</v>
      </c>
      <c r="AP3230" s="4" t="s">
        <v>376</v>
      </c>
      <c r="AR3230" s="4" t="s">
        <v>377</v>
      </c>
    </row>
    <row r="3231" spans="1:44">
      <c r="A3231" s="4" t="s">
        <v>5</v>
      </c>
      <c r="C3231" s="4">
        <v>1072</v>
      </c>
      <c r="D3231" s="5" t="s">
        <v>93</v>
      </c>
      <c r="E3231" s="6" t="s">
        <v>4829</v>
      </c>
      <c r="F3231" s="5" t="s">
        <v>4830</v>
      </c>
      <c r="Z3231" s="4" t="s">
        <v>447</v>
      </c>
      <c r="AA3231" s="4" t="s">
        <v>448</v>
      </c>
      <c r="AP3231" s="4" t="s">
        <v>376</v>
      </c>
      <c r="AR3231" s="4" t="s">
        <v>377</v>
      </c>
    </row>
    <row r="3232" spans="1:44">
      <c r="A3232" s="4" t="s">
        <v>5</v>
      </c>
      <c r="C3232" s="4">
        <v>3625</v>
      </c>
      <c r="D3232" s="5" t="s">
        <v>93</v>
      </c>
      <c r="E3232" s="6" t="s">
        <v>4831</v>
      </c>
      <c r="F3232" s="5" t="s">
        <v>4832</v>
      </c>
      <c r="AP3232" s="4" t="s">
        <v>376</v>
      </c>
      <c r="AR3232" s="4" t="s">
        <v>377</v>
      </c>
    </row>
    <row r="3233" spans="1:44">
      <c r="A3233" s="4" t="s">
        <v>5</v>
      </c>
      <c r="C3233" s="4">
        <v>6466</v>
      </c>
      <c r="D3233" s="5" t="s">
        <v>93</v>
      </c>
      <c r="E3233" s="6" t="s">
        <v>4833</v>
      </c>
      <c r="AP3233" s="4" t="s">
        <v>376</v>
      </c>
      <c r="AR3233" s="4" t="s">
        <v>377</v>
      </c>
    </row>
    <row r="3234" spans="1:44">
      <c r="A3234" s="4" t="s">
        <v>5</v>
      </c>
      <c r="C3234" s="4">
        <v>2421</v>
      </c>
      <c r="D3234" s="5" t="s">
        <v>93</v>
      </c>
      <c r="E3234" s="6" t="s">
        <v>4834</v>
      </c>
      <c r="F3234" s="5" t="s">
        <v>4835</v>
      </c>
      <c r="AP3234" s="4" t="s">
        <v>376</v>
      </c>
      <c r="AR3234" s="4" t="s">
        <v>377</v>
      </c>
    </row>
    <row r="3235" spans="1:44">
      <c r="A3235" s="4" t="s">
        <v>5</v>
      </c>
      <c r="C3235" s="4">
        <v>4400</v>
      </c>
      <c r="D3235" s="5" t="s">
        <v>93</v>
      </c>
      <c r="E3235" s="6" t="s">
        <v>4836</v>
      </c>
      <c r="F3235" s="5" t="s">
        <v>4837</v>
      </c>
      <c r="AP3235" s="4" t="s">
        <v>376</v>
      </c>
      <c r="AR3235" s="4" t="s">
        <v>377</v>
      </c>
    </row>
    <row r="3236" spans="1:44">
      <c r="A3236" s="4" t="s">
        <v>5</v>
      </c>
      <c r="C3236" s="4">
        <v>326</v>
      </c>
      <c r="D3236" s="5" t="s">
        <v>93</v>
      </c>
      <c r="E3236" s="6" t="s">
        <v>4838</v>
      </c>
      <c r="F3236" s="5" t="s">
        <v>607</v>
      </c>
      <c r="AP3236" s="4" t="s">
        <v>376</v>
      </c>
      <c r="AR3236" s="4" t="s">
        <v>377</v>
      </c>
    </row>
    <row r="3237" spans="1:44">
      <c r="A3237" s="4" t="s">
        <v>5</v>
      </c>
      <c r="C3237" s="4">
        <v>1320</v>
      </c>
      <c r="D3237" s="5" t="s">
        <v>93</v>
      </c>
      <c r="E3237" s="6" t="s">
        <v>4839</v>
      </c>
      <c r="AP3237" s="4" t="s">
        <v>376</v>
      </c>
      <c r="AR3237" s="4" t="s">
        <v>377</v>
      </c>
    </row>
    <row r="3238" spans="1:44" ht="30">
      <c r="A3238" s="4" t="s">
        <v>5</v>
      </c>
      <c r="C3238" s="4">
        <v>843</v>
      </c>
      <c r="D3238" s="5" t="s">
        <v>93</v>
      </c>
      <c r="E3238" s="6" t="s">
        <v>4840</v>
      </c>
      <c r="F3238" s="5" t="s">
        <v>4841</v>
      </c>
      <c r="Z3238" s="4" t="s">
        <v>695</v>
      </c>
      <c r="AA3238" s="4" t="s">
        <v>696</v>
      </c>
      <c r="AP3238" s="4" t="s">
        <v>376</v>
      </c>
      <c r="AR3238" s="4" t="s">
        <v>377</v>
      </c>
    </row>
    <row r="3239" spans="1:44">
      <c r="A3239" s="4" t="s">
        <v>5</v>
      </c>
      <c r="C3239" s="4">
        <v>4017</v>
      </c>
      <c r="D3239" s="5" t="s">
        <v>93</v>
      </c>
      <c r="E3239" s="6" t="s">
        <v>4842</v>
      </c>
      <c r="AP3239" s="4" t="s">
        <v>376</v>
      </c>
      <c r="AR3239" s="4" t="s">
        <v>377</v>
      </c>
    </row>
    <row r="3240" spans="1:44">
      <c r="A3240" s="4" t="s">
        <v>5</v>
      </c>
      <c r="C3240" s="4">
        <v>3106</v>
      </c>
      <c r="D3240" s="5" t="s">
        <v>93</v>
      </c>
      <c r="E3240" s="6" t="s">
        <v>4843</v>
      </c>
      <c r="F3240" s="5" t="s">
        <v>4844</v>
      </c>
      <c r="Z3240" s="4" t="s">
        <v>447</v>
      </c>
      <c r="AA3240" s="4" t="s">
        <v>448</v>
      </c>
      <c r="AP3240" s="4" t="s">
        <v>376</v>
      </c>
      <c r="AR3240" s="4" t="s">
        <v>377</v>
      </c>
    </row>
    <row r="3241" spans="1:44">
      <c r="A3241" s="4" t="s">
        <v>5</v>
      </c>
      <c r="C3241" s="4">
        <v>6916</v>
      </c>
      <c r="D3241" s="5" t="s">
        <v>93</v>
      </c>
      <c r="E3241" s="6" t="s">
        <v>4845</v>
      </c>
      <c r="AP3241" s="4" t="s">
        <v>376</v>
      </c>
      <c r="AR3241" s="4" t="s">
        <v>377</v>
      </c>
    </row>
    <row r="3242" spans="1:44">
      <c r="A3242" s="4" t="s">
        <v>5</v>
      </c>
      <c r="C3242" s="4">
        <v>6655</v>
      </c>
      <c r="D3242" s="5" t="s">
        <v>93</v>
      </c>
      <c r="E3242" s="6" t="s">
        <v>4846</v>
      </c>
      <c r="AP3242" s="4" t="s">
        <v>376</v>
      </c>
      <c r="AR3242" s="4" t="s">
        <v>377</v>
      </c>
    </row>
    <row r="3243" spans="1:44" ht="30">
      <c r="A3243" s="4" t="s">
        <v>5</v>
      </c>
      <c r="C3243" s="4">
        <v>3993</v>
      </c>
      <c r="D3243" s="5" t="s">
        <v>93</v>
      </c>
      <c r="E3243" s="6" t="s">
        <v>4847</v>
      </c>
      <c r="AP3243" s="4" t="s">
        <v>376</v>
      </c>
      <c r="AR3243" s="4" t="s">
        <v>377</v>
      </c>
    </row>
    <row r="3244" spans="1:44">
      <c r="A3244" s="4" t="s">
        <v>5</v>
      </c>
      <c r="C3244" s="4">
        <v>6651</v>
      </c>
      <c r="D3244" s="5" t="s">
        <v>93</v>
      </c>
      <c r="E3244" s="6" t="s">
        <v>4848</v>
      </c>
      <c r="F3244" s="5" t="s">
        <v>4849</v>
      </c>
      <c r="AP3244" s="4" t="s">
        <v>376</v>
      </c>
      <c r="AR3244" s="4" t="s">
        <v>377</v>
      </c>
    </row>
    <row r="3245" spans="1:44">
      <c r="A3245" s="4" t="s">
        <v>5</v>
      </c>
      <c r="C3245" s="4">
        <v>3428</v>
      </c>
      <c r="D3245" s="5" t="s">
        <v>93</v>
      </c>
      <c r="E3245" s="6" t="s">
        <v>4850</v>
      </c>
      <c r="AP3245" s="4" t="s">
        <v>376</v>
      </c>
      <c r="AR3245" s="4" t="s">
        <v>377</v>
      </c>
    </row>
    <row r="3246" spans="1:44">
      <c r="A3246" s="4" t="s">
        <v>5</v>
      </c>
      <c r="C3246" s="4">
        <v>5506</v>
      </c>
      <c r="D3246" s="5" t="s">
        <v>93</v>
      </c>
      <c r="E3246" s="6" t="s">
        <v>4851</v>
      </c>
      <c r="F3246" s="5" t="s">
        <v>4852</v>
      </c>
      <c r="AP3246" s="4" t="s">
        <v>376</v>
      </c>
      <c r="AR3246" s="4" t="s">
        <v>377</v>
      </c>
    </row>
    <row r="3247" spans="1:44">
      <c r="A3247" s="4" t="s">
        <v>5</v>
      </c>
      <c r="C3247" s="4">
        <v>6747</v>
      </c>
      <c r="D3247" s="5" t="s">
        <v>93</v>
      </c>
      <c r="E3247" s="6" t="s">
        <v>4853</v>
      </c>
      <c r="AP3247" s="4" t="s">
        <v>376</v>
      </c>
      <c r="AR3247" s="4" t="s">
        <v>377</v>
      </c>
    </row>
    <row r="3248" spans="1:44">
      <c r="A3248" s="4" t="s">
        <v>5</v>
      </c>
      <c r="C3248" s="4">
        <v>352</v>
      </c>
      <c r="D3248" s="5" t="s">
        <v>93</v>
      </c>
      <c r="E3248" s="6" t="s">
        <v>4854</v>
      </c>
      <c r="F3248" s="5" t="s">
        <v>4855</v>
      </c>
      <c r="AP3248" s="4" t="s">
        <v>376</v>
      </c>
      <c r="AR3248" s="4" t="s">
        <v>377</v>
      </c>
    </row>
    <row r="3249" spans="1:44">
      <c r="A3249" s="4" t="s">
        <v>5</v>
      </c>
      <c r="C3249" s="4">
        <v>2818</v>
      </c>
      <c r="D3249" s="5" t="s">
        <v>93</v>
      </c>
      <c r="E3249" s="6" t="s">
        <v>4856</v>
      </c>
      <c r="AP3249" s="4" t="s">
        <v>376</v>
      </c>
      <c r="AR3249" s="4" t="s">
        <v>377</v>
      </c>
    </row>
    <row r="3250" spans="1:44">
      <c r="A3250" s="4" t="s">
        <v>5</v>
      </c>
      <c r="C3250" s="4">
        <v>4740</v>
      </c>
      <c r="D3250" s="5" t="s">
        <v>93</v>
      </c>
      <c r="E3250" s="6" t="s">
        <v>4857</v>
      </c>
      <c r="Z3250" s="4" t="s">
        <v>443</v>
      </c>
      <c r="AA3250" s="4" t="s">
        <v>444</v>
      </c>
      <c r="AP3250" s="4" t="s">
        <v>376</v>
      </c>
      <c r="AR3250" s="4" t="s">
        <v>377</v>
      </c>
    </row>
    <row r="3251" spans="1:44">
      <c r="A3251" s="4" t="s">
        <v>5</v>
      </c>
      <c r="C3251" s="4">
        <v>3134</v>
      </c>
      <c r="D3251" s="5" t="s">
        <v>93</v>
      </c>
      <c r="E3251" s="6" t="s">
        <v>4858</v>
      </c>
      <c r="Z3251" s="4" t="s">
        <v>443</v>
      </c>
      <c r="AA3251" s="4" t="s">
        <v>444</v>
      </c>
      <c r="AP3251" s="4" t="s">
        <v>376</v>
      </c>
      <c r="AR3251" s="4" t="s">
        <v>377</v>
      </c>
    </row>
    <row r="3252" spans="1:44">
      <c r="A3252" s="4" t="s">
        <v>5</v>
      </c>
      <c r="C3252" s="4">
        <v>6474</v>
      </c>
      <c r="D3252" s="5" t="s">
        <v>93</v>
      </c>
      <c r="E3252" s="6" t="s">
        <v>4859</v>
      </c>
      <c r="AP3252" s="4" t="s">
        <v>376</v>
      </c>
      <c r="AR3252" s="4" t="s">
        <v>377</v>
      </c>
    </row>
    <row r="3253" spans="1:44">
      <c r="A3253" s="4" t="s">
        <v>5</v>
      </c>
      <c r="C3253" s="4">
        <v>3256</v>
      </c>
      <c r="D3253" s="5" t="s">
        <v>93</v>
      </c>
      <c r="E3253" s="6" t="s">
        <v>4860</v>
      </c>
      <c r="F3253" s="5" t="s">
        <v>4861</v>
      </c>
      <c r="AP3253" s="4" t="s">
        <v>376</v>
      </c>
      <c r="AR3253" s="4" t="s">
        <v>377</v>
      </c>
    </row>
    <row r="3254" spans="1:44" ht="30">
      <c r="A3254" s="4" t="s">
        <v>5</v>
      </c>
      <c r="C3254" s="4">
        <v>1704</v>
      </c>
      <c r="D3254" s="5" t="s">
        <v>93</v>
      </c>
      <c r="E3254" s="6" t="s">
        <v>4862</v>
      </c>
      <c r="F3254" s="5" t="s">
        <v>4863</v>
      </c>
      <c r="Z3254" s="4" t="s">
        <v>447</v>
      </c>
      <c r="AA3254" s="4" t="s">
        <v>448</v>
      </c>
      <c r="AP3254" s="4" t="s">
        <v>376</v>
      </c>
      <c r="AR3254" s="4" t="s">
        <v>377</v>
      </c>
    </row>
    <row r="3255" spans="1:44">
      <c r="A3255" s="4" t="s">
        <v>5</v>
      </c>
      <c r="C3255" s="4">
        <v>6425</v>
      </c>
      <c r="D3255" s="5" t="s">
        <v>93</v>
      </c>
      <c r="E3255" s="6" t="s">
        <v>4864</v>
      </c>
      <c r="AP3255" s="4" t="s">
        <v>376</v>
      </c>
      <c r="AR3255" s="4" t="s">
        <v>377</v>
      </c>
    </row>
    <row r="3256" spans="1:44" ht="30">
      <c r="A3256" s="4" t="s">
        <v>5</v>
      </c>
      <c r="C3256" s="4">
        <v>3082</v>
      </c>
      <c r="D3256" s="5" t="s">
        <v>93</v>
      </c>
      <c r="E3256" s="6" t="s">
        <v>4865</v>
      </c>
      <c r="Z3256" s="4" t="s">
        <v>443</v>
      </c>
      <c r="AA3256" s="4" t="s">
        <v>444</v>
      </c>
      <c r="AP3256" s="4" t="s">
        <v>376</v>
      </c>
      <c r="AR3256" s="4" t="s">
        <v>377</v>
      </c>
    </row>
    <row r="3257" spans="1:44" ht="30">
      <c r="A3257" s="4" t="s">
        <v>5</v>
      </c>
      <c r="C3257" s="4">
        <v>3687</v>
      </c>
      <c r="D3257" s="5" t="s">
        <v>93</v>
      </c>
      <c r="E3257" s="6" t="s">
        <v>4866</v>
      </c>
      <c r="F3257" s="5" t="s">
        <v>4867</v>
      </c>
      <c r="AP3257" s="4" t="s">
        <v>376</v>
      </c>
      <c r="AR3257" s="4" t="s">
        <v>377</v>
      </c>
    </row>
    <row r="3258" spans="1:44" ht="30">
      <c r="A3258" s="4" t="s">
        <v>5</v>
      </c>
      <c r="C3258" s="4">
        <v>2675</v>
      </c>
      <c r="D3258" s="5" t="s">
        <v>93</v>
      </c>
      <c r="E3258" s="6" t="s">
        <v>4868</v>
      </c>
      <c r="AP3258" s="4" t="s">
        <v>376</v>
      </c>
      <c r="AR3258" s="4" t="s">
        <v>377</v>
      </c>
    </row>
    <row r="3259" spans="1:44">
      <c r="A3259" s="4" t="s">
        <v>5</v>
      </c>
      <c r="C3259" s="4">
        <v>5136</v>
      </c>
      <c r="D3259" s="5" t="s">
        <v>93</v>
      </c>
      <c r="E3259" s="6" t="s">
        <v>4869</v>
      </c>
      <c r="AP3259" s="4" t="s">
        <v>376</v>
      </c>
      <c r="AR3259" s="4" t="s">
        <v>377</v>
      </c>
    </row>
    <row r="3260" spans="1:44" ht="30">
      <c r="A3260" s="4" t="s">
        <v>5</v>
      </c>
      <c r="C3260" s="4">
        <v>6343</v>
      </c>
      <c r="D3260" s="5" t="s">
        <v>93</v>
      </c>
      <c r="E3260" s="6" t="s">
        <v>4870</v>
      </c>
      <c r="AP3260" s="4" t="s">
        <v>376</v>
      </c>
      <c r="AR3260" s="4" t="s">
        <v>377</v>
      </c>
    </row>
    <row r="3261" spans="1:44">
      <c r="A3261" s="4" t="s">
        <v>5</v>
      </c>
      <c r="C3261" s="4">
        <v>5871</v>
      </c>
      <c r="D3261" s="5" t="s">
        <v>93</v>
      </c>
      <c r="E3261" s="6" t="s">
        <v>4871</v>
      </c>
      <c r="F3261" s="5" t="s">
        <v>4872</v>
      </c>
      <c r="Z3261" s="4" t="s">
        <v>443</v>
      </c>
      <c r="AA3261" s="4" t="s">
        <v>444</v>
      </c>
      <c r="AP3261" s="4" t="s">
        <v>376</v>
      </c>
      <c r="AR3261" s="4" t="s">
        <v>377</v>
      </c>
    </row>
    <row r="3262" spans="1:44">
      <c r="A3262" s="4" t="s">
        <v>5</v>
      </c>
      <c r="C3262" s="4">
        <v>6705</v>
      </c>
      <c r="D3262" s="5" t="s">
        <v>93</v>
      </c>
      <c r="E3262" s="6" t="s">
        <v>4873</v>
      </c>
      <c r="AP3262" s="4" t="s">
        <v>376</v>
      </c>
      <c r="AR3262" s="4" t="s">
        <v>377</v>
      </c>
    </row>
    <row r="3263" spans="1:44">
      <c r="A3263" s="4" t="s">
        <v>5</v>
      </c>
      <c r="C3263" s="4">
        <v>6540</v>
      </c>
      <c r="D3263" s="5" t="s">
        <v>93</v>
      </c>
      <c r="E3263" s="6" t="s">
        <v>4874</v>
      </c>
      <c r="AP3263" s="4" t="s">
        <v>376</v>
      </c>
      <c r="AR3263" s="4" t="s">
        <v>377</v>
      </c>
    </row>
    <row r="3264" spans="1:44">
      <c r="A3264" s="4" t="s">
        <v>5</v>
      </c>
      <c r="C3264" s="4">
        <v>5049</v>
      </c>
      <c r="D3264" s="5" t="s">
        <v>93</v>
      </c>
      <c r="E3264" s="6" t="s">
        <v>4875</v>
      </c>
      <c r="AP3264" s="4" t="s">
        <v>376</v>
      </c>
      <c r="AR3264" s="4" t="s">
        <v>377</v>
      </c>
    </row>
    <row r="3265" spans="1:44">
      <c r="A3265" s="4" t="s">
        <v>5</v>
      </c>
      <c r="C3265" s="4">
        <v>4421</v>
      </c>
      <c r="D3265" s="5" t="s">
        <v>93</v>
      </c>
      <c r="E3265" s="6" t="s">
        <v>4876</v>
      </c>
      <c r="AP3265" s="4" t="s">
        <v>376</v>
      </c>
      <c r="AR3265" s="4" t="s">
        <v>377</v>
      </c>
    </row>
    <row r="3266" spans="1:44">
      <c r="A3266" s="4" t="s">
        <v>5</v>
      </c>
      <c r="C3266" s="4">
        <v>1593</v>
      </c>
      <c r="D3266" s="5" t="s">
        <v>93</v>
      </c>
      <c r="E3266" s="6" t="s">
        <v>4877</v>
      </c>
      <c r="AP3266" s="4" t="s">
        <v>376</v>
      </c>
      <c r="AR3266" s="4" t="s">
        <v>377</v>
      </c>
    </row>
    <row r="3267" spans="1:44">
      <c r="A3267" s="4" t="s">
        <v>5</v>
      </c>
      <c r="C3267" s="4">
        <v>5788</v>
      </c>
      <c r="D3267" s="5" t="s">
        <v>93</v>
      </c>
      <c r="E3267" s="6" t="s">
        <v>4878</v>
      </c>
      <c r="AP3267" s="4" t="s">
        <v>376</v>
      </c>
      <c r="AR3267" s="4" t="s">
        <v>377</v>
      </c>
    </row>
    <row r="3268" spans="1:44">
      <c r="A3268" s="4" t="s">
        <v>5</v>
      </c>
      <c r="C3268" s="4">
        <v>523</v>
      </c>
      <c r="D3268" s="5" t="s">
        <v>93</v>
      </c>
      <c r="E3268" s="6" t="s">
        <v>4879</v>
      </c>
      <c r="F3268" s="5" t="s">
        <v>4880</v>
      </c>
      <c r="Z3268" s="4" t="s">
        <v>443</v>
      </c>
      <c r="AA3268" s="4" t="s">
        <v>444</v>
      </c>
      <c r="AP3268" s="4" t="s">
        <v>376</v>
      </c>
      <c r="AR3268" s="4" t="s">
        <v>377</v>
      </c>
    </row>
    <row r="3269" spans="1:44" ht="30">
      <c r="A3269" s="4" t="s">
        <v>5</v>
      </c>
      <c r="C3269" s="4">
        <v>3322</v>
      </c>
      <c r="D3269" s="5" t="s">
        <v>93</v>
      </c>
      <c r="E3269" s="6" t="s">
        <v>4881</v>
      </c>
      <c r="F3269" s="5" t="s">
        <v>4882</v>
      </c>
      <c r="AP3269" s="4" t="s">
        <v>376</v>
      </c>
      <c r="AR3269" s="4" t="s">
        <v>377</v>
      </c>
    </row>
    <row r="3270" spans="1:44" ht="30">
      <c r="A3270" s="4" t="s">
        <v>5</v>
      </c>
      <c r="C3270" s="4">
        <v>4388</v>
      </c>
      <c r="D3270" s="5" t="s">
        <v>93</v>
      </c>
      <c r="E3270" s="6" t="s">
        <v>4883</v>
      </c>
      <c r="AP3270" s="4" t="s">
        <v>376</v>
      </c>
      <c r="AR3270" s="4" t="s">
        <v>377</v>
      </c>
    </row>
    <row r="3271" spans="1:44" ht="30">
      <c r="A3271" s="4" t="s">
        <v>5</v>
      </c>
      <c r="C3271" s="4">
        <v>5870</v>
      </c>
      <c r="D3271" s="5" t="s">
        <v>93</v>
      </c>
      <c r="E3271" s="6" t="s">
        <v>4884</v>
      </c>
      <c r="F3271" s="5" t="s">
        <v>4885</v>
      </c>
      <c r="AP3271" s="4" t="s">
        <v>376</v>
      </c>
      <c r="AR3271" s="4" t="s">
        <v>377</v>
      </c>
    </row>
    <row r="3272" spans="1:44">
      <c r="A3272" s="4" t="s">
        <v>5</v>
      </c>
      <c r="C3272" s="4">
        <v>5138</v>
      </c>
      <c r="D3272" s="5" t="s">
        <v>93</v>
      </c>
      <c r="E3272" s="6" t="s">
        <v>4886</v>
      </c>
      <c r="AP3272" s="4" t="s">
        <v>376</v>
      </c>
      <c r="AR3272" s="4" t="s">
        <v>377</v>
      </c>
    </row>
    <row r="3273" spans="1:44">
      <c r="A3273" s="4" t="s">
        <v>5</v>
      </c>
      <c r="C3273" s="4">
        <v>5602</v>
      </c>
      <c r="D3273" s="5" t="s">
        <v>93</v>
      </c>
      <c r="E3273" s="6" t="s">
        <v>4887</v>
      </c>
      <c r="AP3273" s="4" t="s">
        <v>376</v>
      </c>
      <c r="AR3273" s="4" t="s">
        <v>377</v>
      </c>
    </row>
    <row r="3274" spans="1:44">
      <c r="A3274" s="4" t="s">
        <v>5</v>
      </c>
      <c r="C3274" s="4">
        <v>6640</v>
      </c>
      <c r="D3274" s="5" t="s">
        <v>93</v>
      </c>
      <c r="E3274" s="6" t="s">
        <v>4888</v>
      </c>
      <c r="AP3274" s="4" t="s">
        <v>376</v>
      </c>
      <c r="AR3274" s="4" t="s">
        <v>377</v>
      </c>
    </row>
    <row r="3275" spans="1:44">
      <c r="A3275" s="4" t="s">
        <v>5</v>
      </c>
      <c r="C3275" s="4">
        <v>6316</v>
      </c>
      <c r="D3275" s="5" t="s">
        <v>93</v>
      </c>
      <c r="E3275" s="6" t="s">
        <v>4889</v>
      </c>
      <c r="AP3275" s="4" t="s">
        <v>376</v>
      </c>
      <c r="AR3275" s="4" t="s">
        <v>377</v>
      </c>
    </row>
    <row r="3276" spans="1:44">
      <c r="A3276" s="4" t="s">
        <v>5</v>
      </c>
      <c r="C3276" s="4">
        <v>733</v>
      </c>
      <c r="D3276" s="5" t="s">
        <v>93</v>
      </c>
      <c r="E3276" s="6" t="s">
        <v>4890</v>
      </c>
      <c r="F3276" s="5" t="s">
        <v>4891</v>
      </c>
      <c r="AP3276" s="4" t="s">
        <v>376</v>
      </c>
      <c r="AR3276" s="4" t="s">
        <v>377</v>
      </c>
    </row>
    <row r="3277" spans="1:44">
      <c r="A3277" s="4" t="s">
        <v>5</v>
      </c>
      <c r="C3277" s="4">
        <v>5165</v>
      </c>
      <c r="D3277" s="5" t="s">
        <v>93</v>
      </c>
      <c r="E3277" s="6" t="s">
        <v>4892</v>
      </c>
      <c r="AP3277" s="4" t="s">
        <v>376</v>
      </c>
      <c r="AR3277" s="4" t="s">
        <v>377</v>
      </c>
    </row>
    <row r="3278" spans="1:44">
      <c r="A3278" s="4" t="s">
        <v>5</v>
      </c>
      <c r="C3278" s="4">
        <v>4110</v>
      </c>
      <c r="D3278" s="5" t="s">
        <v>93</v>
      </c>
      <c r="E3278" s="6" t="s">
        <v>4893</v>
      </c>
      <c r="AP3278" s="4" t="s">
        <v>376</v>
      </c>
      <c r="AR3278" s="4" t="s">
        <v>377</v>
      </c>
    </row>
    <row r="3279" spans="1:44">
      <c r="A3279" s="4" t="s">
        <v>5</v>
      </c>
      <c r="C3279" s="4">
        <v>1122</v>
      </c>
      <c r="D3279" s="5" t="s">
        <v>93</v>
      </c>
      <c r="E3279" s="6" t="s">
        <v>4894</v>
      </c>
      <c r="AP3279" s="4" t="s">
        <v>376</v>
      </c>
      <c r="AR3279" s="4" t="s">
        <v>377</v>
      </c>
    </row>
    <row r="3280" spans="1:44">
      <c r="A3280" s="4" t="s">
        <v>5</v>
      </c>
      <c r="C3280" s="4">
        <v>560</v>
      </c>
      <c r="D3280" s="5" t="s">
        <v>93</v>
      </c>
      <c r="E3280" s="6" t="s">
        <v>4895</v>
      </c>
      <c r="F3280" s="5" t="s">
        <v>4896</v>
      </c>
      <c r="AP3280" s="4" t="s">
        <v>376</v>
      </c>
      <c r="AR3280" s="4" t="s">
        <v>377</v>
      </c>
    </row>
    <row r="3281" spans="1:44">
      <c r="A3281" s="4" t="s">
        <v>5</v>
      </c>
      <c r="C3281" s="4">
        <v>6895</v>
      </c>
      <c r="D3281" s="5" t="s">
        <v>93</v>
      </c>
      <c r="E3281" s="6" t="s">
        <v>4897</v>
      </c>
      <c r="AP3281" s="4" t="s">
        <v>376</v>
      </c>
      <c r="AR3281" s="4" t="s">
        <v>377</v>
      </c>
    </row>
    <row r="3282" spans="1:44">
      <c r="A3282" s="4" t="s">
        <v>5</v>
      </c>
      <c r="C3282" s="4">
        <v>3765</v>
      </c>
      <c r="D3282" s="5" t="s">
        <v>93</v>
      </c>
      <c r="E3282" s="6" t="s">
        <v>4898</v>
      </c>
      <c r="F3282" s="5" t="s">
        <v>4899</v>
      </c>
      <c r="Z3282" s="4" t="s">
        <v>447</v>
      </c>
      <c r="AA3282" s="4" t="s">
        <v>448</v>
      </c>
      <c r="AP3282" s="4" t="s">
        <v>376</v>
      </c>
      <c r="AR3282" s="4" t="s">
        <v>377</v>
      </c>
    </row>
    <row r="3283" spans="1:44">
      <c r="A3283" s="4" t="s">
        <v>5</v>
      </c>
      <c r="C3283" s="4">
        <v>6284</v>
      </c>
      <c r="D3283" s="5" t="s">
        <v>93</v>
      </c>
      <c r="E3283" s="6" t="s">
        <v>4900</v>
      </c>
      <c r="AP3283" s="4" t="s">
        <v>376</v>
      </c>
      <c r="AR3283" s="4" t="s">
        <v>377</v>
      </c>
    </row>
    <row r="3284" spans="1:44">
      <c r="A3284" s="4" t="s">
        <v>5</v>
      </c>
      <c r="C3284" s="4">
        <v>2901</v>
      </c>
      <c r="D3284" s="5" t="s">
        <v>93</v>
      </c>
      <c r="E3284" s="6" t="s">
        <v>4901</v>
      </c>
      <c r="AP3284" s="4" t="s">
        <v>376</v>
      </c>
      <c r="AR3284" s="4" t="s">
        <v>377</v>
      </c>
    </row>
    <row r="3285" spans="1:44">
      <c r="A3285" s="4" t="s">
        <v>5</v>
      </c>
      <c r="C3285" s="4">
        <v>5140</v>
      </c>
      <c r="D3285" s="5" t="s">
        <v>93</v>
      </c>
      <c r="E3285" s="6" t="s">
        <v>4902</v>
      </c>
      <c r="AP3285" s="4" t="s">
        <v>376</v>
      </c>
      <c r="AR3285" s="4" t="s">
        <v>377</v>
      </c>
    </row>
    <row r="3286" spans="1:44">
      <c r="A3286" s="4" t="s">
        <v>5</v>
      </c>
      <c r="C3286" s="4">
        <v>1256</v>
      </c>
      <c r="D3286" s="5" t="s">
        <v>93</v>
      </c>
      <c r="E3286" s="6" t="s">
        <v>4903</v>
      </c>
      <c r="AP3286" s="4" t="s">
        <v>376</v>
      </c>
      <c r="AR3286" s="4" t="s">
        <v>377</v>
      </c>
    </row>
    <row r="3287" spans="1:44">
      <c r="A3287" s="4" t="s">
        <v>5</v>
      </c>
      <c r="C3287" s="4">
        <v>1363</v>
      </c>
      <c r="D3287" s="5" t="s">
        <v>93</v>
      </c>
      <c r="E3287" s="6" t="s">
        <v>4904</v>
      </c>
      <c r="F3287" s="5" t="s">
        <v>4905</v>
      </c>
      <c r="AP3287" s="4" t="s">
        <v>376</v>
      </c>
      <c r="AR3287" s="4" t="s">
        <v>377</v>
      </c>
    </row>
    <row r="3288" spans="1:44">
      <c r="A3288" s="4" t="s">
        <v>5</v>
      </c>
      <c r="C3288" s="4">
        <v>5367</v>
      </c>
      <c r="D3288" s="5" t="s">
        <v>93</v>
      </c>
      <c r="E3288" s="6" t="s">
        <v>4906</v>
      </c>
      <c r="AP3288" s="4" t="s">
        <v>376</v>
      </c>
      <c r="AR3288" s="4" t="s">
        <v>377</v>
      </c>
    </row>
    <row r="3289" spans="1:44">
      <c r="A3289" s="4" t="s">
        <v>5</v>
      </c>
      <c r="C3289" s="4">
        <v>5832</v>
      </c>
      <c r="D3289" s="5" t="s">
        <v>93</v>
      </c>
      <c r="E3289" s="6" t="s">
        <v>4907</v>
      </c>
      <c r="AP3289" s="4" t="s">
        <v>376</v>
      </c>
      <c r="AR3289" s="4" t="s">
        <v>377</v>
      </c>
    </row>
    <row r="3290" spans="1:44">
      <c r="A3290" s="4" t="s">
        <v>5</v>
      </c>
      <c r="C3290" s="4">
        <v>4737</v>
      </c>
      <c r="D3290" s="5" t="s">
        <v>93</v>
      </c>
      <c r="E3290" s="6" t="s">
        <v>4908</v>
      </c>
      <c r="AP3290" s="4" t="s">
        <v>376</v>
      </c>
      <c r="AR3290" s="4" t="s">
        <v>377</v>
      </c>
    </row>
    <row r="3291" spans="1:44">
      <c r="A3291" s="4" t="s">
        <v>5</v>
      </c>
      <c r="C3291" s="4">
        <v>5603</v>
      </c>
      <c r="D3291" s="5" t="s">
        <v>93</v>
      </c>
      <c r="E3291" s="6" t="s">
        <v>4909</v>
      </c>
      <c r="AP3291" s="4" t="s">
        <v>376</v>
      </c>
      <c r="AR3291" s="4" t="s">
        <v>377</v>
      </c>
    </row>
    <row r="3292" spans="1:44">
      <c r="A3292" s="4" t="s">
        <v>5</v>
      </c>
      <c r="C3292" s="4">
        <v>5764</v>
      </c>
      <c r="D3292" s="5" t="s">
        <v>93</v>
      </c>
      <c r="E3292" s="6" t="s">
        <v>4910</v>
      </c>
      <c r="AP3292" s="4" t="s">
        <v>376</v>
      </c>
      <c r="AR3292" s="4" t="s">
        <v>377</v>
      </c>
    </row>
    <row r="3293" spans="1:44" ht="30">
      <c r="A3293" s="4" t="s">
        <v>5</v>
      </c>
      <c r="C3293" s="4">
        <v>5363</v>
      </c>
      <c r="D3293" s="5" t="s">
        <v>93</v>
      </c>
      <c r="E3293" s="6" t="s">
        <v>4911</v>
      </c>
      <c r="AP3293" s="4" t="s">
        <v>376</v>
      </c>
      <c r="AR3293" s="4" t="s">
        <v>377</v>
      </c>
    </row>
    <row r="3294" spans="1:44" ht="30">
      <c r="A3294" s="4" t="s">
        <v>5</v>
      </c>
      <c r="C3294" s="4">
        <v>2576</v>
      </c>
      <c r="D3294" s="5" t="s">
        <v>93</v>
      </c>
      <c r="E3294" s="6" t="s">
        <v>4912</v>
      </c>
      <c r="F3294" s="5" t="s">
        <v>4913</v>
      </c>
      <c r="Z3294" s="4" t="s">
        <v>447</v>
      </c>
      <c r="AA3294" s="4" t="s">
        <v>448</v>
      </c>
      <c r="AP3294" s="4" t="s">
        <v>376</v>
      </c>
      <c r="AR3294" s="4" t="s">
        <v>377</v>
      </c>
    </row>
    <row r="3295" spans="1:44" ht="30">
      <c r="A3295" s="4" t="s">
        <v>5</v>
      </c>
      <c r="C3295" s="4">
        <v>3736</v>
      </c>
      <c r="D3295" s="5" t="s">
        <v>93</v>
      </c>
      <c r="E3295" s="6" t="s">
        <v>4914</v>
      </c>
      <c r="AP3295" s="4" t="s">
        <v>376</v>
      </c>
      <c r="AR3295" s="4" t="s">
        <v>377</v>
      </c>
    </row>
    <row r="3296" spans="1:44">
      <c r="A3296" s="4" t="s">
        <v>5</v>
      </c>
      <c r="C3296" s="4">
        <v>5447</v>
      </c>
      <c r="D3296" s="5" t="s">
        <v>93</v>
      </c>
      <c r="E3296" s="6" t="s">
        <v>4915</v>
      </c>
      <c r="F3296" s="5" t="s">
        <v>4916</v>
      </c>
      <c r="Z3296" s="4" t="s">
        <v>443</v>
      </c>
      <c r="AA3296" s="4" t="s">
        <v>444</v>
      </c>
      <c r="AP3296" s="4" t="s">
        <v>376</v>
      </c>
      <c r="AR3296" s="4" t="s">
        <v>377</v>
      </c>
    </row>
    <row r="3297" spans="1:44">
      <c r="A3297" s="4" t="s">
        <v>5</v>
      </c>
      <c r="C3297" s="4">
        <v>1422</v>
      </c>
      <c r="D3297" s="5" t="s">
        <v>93</v>
      </c>
      <c r="E3297" s="6" t="s">
        <v>4917</v>
      </c>
      <c r="F3297" s="5" t="s">
        <v>4918</v>
      </c>
      <c r="AP3297" s="4" t="s">
        <v>376</v>
      </c>
      <c r="AR3297" s="4" t="s">
        <v>377</v>
      </c>
    </row>
    <row r="3298" spans="1:44">
      <c r="A3298" s="4" t="s">
        <v>5</v>
      </c>
      <c r="C3298" s="4">
        <v>4197</v>
      </c>
      <c r="D3298" s="5" t="s">
        <v>93</v>
      </c>
      <c r="E3298" s="6" t="s">
        <v>4919</v>
      </c>
      <c r="AP3298" s="4" t="s">
        <v>376</v>
      </c>
      <c r="AR3298" s="4" t="s">
        <v>377</v>
      </c>
    </row>
    <row r="3299" spans="1:44">
      <c r="A3299" s="4" t="s">
        <v>5</v>
      </c>
      <c r="C3299" s="4">
        <v>3043</v>
      </c>
      <c r="D3299" s="5" t="s">
        <v>93</v>
      </c>
      <c r="E3299" s="6" t="s">
        <v>4920</v>
      </c>
      <c r="F3299" s="5" t="s">
        <v>4921</v>
      </c>
      <c r="AP3299" s="4" t="s">
        <v>376</v>
      </c>
      <c r="AR3299" s="4" t="s">
        <v>377</v>
      </c>
    </row>
    <row r="3300" spans="1:44">
      <c r="A3300" s="4" t="s">
        <v>5</v>
      </c>
      <c r="C3300" s="4">
        <v>3020</v>
      </c>
      <c r="D3300" s="5" t="s">
        <v>93</v>
      </c>
      <c r="E3300" s="6" t="s">
        <v>4922</v>
      </c>
      <c r="AP3300" s="4" t="s">
        <v>376</v>
      </c>
      <c r="AR3300" s="4" t="s">
        <v>377</v>
      </c>
    </row>
    <row r="3301" spans="1:44">
      <c r="A3301" s="4" t="s">
        <v>5</v>
      </c>
      <c r="C3301" s="4">
        <v>404</v>
      </c>
      <c r="D3301" s="5" t="s">
        <v>93</v>
      </c>
      <c r="E3301" s="6" t="s">
        <v>4923</v>
      </c>
      <c r="F3301" s="5" t="s">
        <v>4924</v>
      </c>
      <c r="AP3301" s="4" t="s">
        <v>376</v>
      </c>
      <c r="AR3301" s="4" t="s">
        <v>377</v>
      </c>
    </row>
    <row r="3302" spans="1:44">
      <c r="A3302" s="4" t="s">
        <v>5</v>
      </c>
      <c r="C3302" s="4">
        <v>3400</v>
      </c>
      <c r="D3302" s="5" t="s">
        <v>93</v>
      </c>
      <c r="E3302" s="6" t="s">
        <v>4925</v>
      </c>
      <c r="F3302" s="5" t="s">
        <v>4926</v>
      </c>
      <c r="AP3302" s="4" t="s">
        <v>376</v>
      </c>
      <c r="AR3302" s="4" t="s">
        <v>377</v>
      </c>
    </row>
    <row r="3303" spans="1:44" ht="30">
      <c r="A3303" s="4" t="s">
        <v>5</v>
      </c>
      <c r="C3303" s="4">
        <v>5906</v>
      </c>
      <c r="D3303" s="5" t="s">
        <v>93</v>
      </c>
      <c r="E3303" s="6" t="s">
        <v>4927</v>
      </c>
      <c r="AP3303" s="4" t="s">
        <v>376</v>
      </c>
      <c r="AR3303" s="4" t="s">
        <v>377</v>
      </c>
    </row>
    <row r="3304" spans="1:44">
      <c r="A3304" s="4" t="s">
        <v>5</v>
      </c>
      <c r="C3304" s="4">
        <v>3968</v>
      </c>
      <c r="D3304" s="5" t="s">
        <v>93</v>
      </c>
      <c r="E3304" s="6" t="s">
        <v>4928</v>
      </c>
      <c r="AP3304" s="4" t="s">
        <v>376</v>
      </c>
      <c r="AR3304" s="4" t="s">
        <v>377</v>
      </c>
    </row>
    <row r="3305" spans="1:44">
      <c r="A3305" s="4" t="s">
        <v>5</v>
      </c>
      <c r="C3305" s="4">
        <v>2037</v>
      </c>
      <c r="D3305" s="5" t="s">
        <v>93</v>
      </c>
      <c r="E3305" s="6" t="s">
        <v>4929</v>
      </c>
      <c r="AP3305" s="4" t="s">
        <v>376</v>
      </c>
      <c r="AR3305" s="4" t="s">
        <v>377</v>
      </c>
    </row>
    <row r="3306" spans="1:44" ht="30">
      <c r="A3306" s="4" t="s">
        <v>5</v>
      </c>
      <c r="C3306" s="4">
        <v>1988</v>
      </c>
      <c r="D3306" s="5" t="s">
        <v>93</v>
      </c>
      <c r="E3306" s="6" t="s">
        <v>4930</v>
      </c>
      <c r="F3306" s="5" t="s">
        <v>4931</v>
      </c>
      <c r="Z3306" s="4" t="s">
        <v>447</v>
      </c>
      <c r="AA3306" s="4" t="s">
        <v>448</v>
      </c>
      <c r="AP3306" s="4" t="s">
        <v>376</v>
      </c>
      <c r="AR3306" s="4" t="s">
        <v>377</v>
      </c>
    </row>
    <row r="3307" spans="1:44">
      <c r="A3307" s="4" t="s">
        <v>5</v>
      </c>
      <c r="C3307" s="4">
        <v>1697</v>
      </c>
      <c r="D3307" s="5" t="s">
        <v>93</v>
      </c>
      <c r="E3307" s="6" t="s">
        <v>4932</v>
      </c>
      <c r="AP3307" s="4" t="s">
        <v>376</v>
      </c>
      <c r="AR3307" s="4" t="s">
        <v>377</v>
      </c>
    </row>
    <row r="3308" spans="1:44" ht="30">
      <c r="A3308" s="4" t="s">
        <v>5</v>
      </c>
      <c r="C3308" s="4">
        <v>6784</v>
      </c>
      <c r="D3308" s="5" t="s">
        <v>93</v>
      </c>
      <c r="E3308" s="6" t="s">
        <v>4933</v>
      </c>
      <c r="AP3308" s="4" t="s">
        <v>376</v>
      </c>
      <c r="AR3308" s="4" t="s">
        <v>377</v>
      </c>
    </row>
    <row r="3309" spans="1:44">
      <c r="A3309" s="4" t="s">
        <v>5</v>
      </c>
      <c r="C3309" s="4">
        <v>425</v>
      </c>
      <c r="D3309" s="5" t="s">
        <v>93</v>
      </c>
      <c r="E3309" s="6" t="s">
        <v>4934</v>
      </c>
      <c r="F3309" s="5" t="s">
        <v>4935</v>
      </c>
      <c r="AP3309" s="4" t="s">
        <v>376</v>
      </c>
      <c r="AR3309" s="4" t="s">
        <v>377</v>
      </c>
    </row>
    <row r="3310" spans="1:44">
      <c r="A3310" s="4" t="s">
        <v>5</v>
      </c>
      <c r="C3310" s="4">
        <v>6291</v>
      </c>
      <c r="D3310" s="5" t="s">
        <v>93</v>
      </c>
      <c r="E3310" s="6" t="s">
        <v>4936</v>
      </c>
      <c r="F3310" s="5" t="s">
        <v>4937</v>
      </c>
      <c r="AP3310" s="4" t="s">
        <v>376</v>
      </c>
      <c r="AR3310" s="4" t="s">
        <v>377</v>
      </c>
    </row>
    <row r="3311" spans="1:44">
      <c r="A3311" s="4" t="s">
        <v>5</v>
      </c>
      <c r="C3311" s="4">
        <v>1034</v>
      </c>
      <c r="D3311" s="5" t="s">
        <v>93</v>
      </c>
      <c r="E3311" s="6" t="s">
        <v>4938</v>
      </c>
      <c r="AP3311" s="4" t="s">
        <v>376</v>
      </c>
      <c r="AR3311" s="4" t="s">
        <v>377</v>
      </c>
    </row>
    <row r="3312" spans="1:44">
      <c r="A3312" s="4" t="s">
        <v>5</v>
      </c>
      <c r="C3312" s="4">
        <v>1627</v>
      </c>
      <c r="D3312" s="5" t="s">
        <v>93</v>
      </c>
      <c r="E3312" s="6" t="s">
        <v>4939</v>
      </c>
      <c r="AP3312" s="4" t="s">
        <v>376</v>
      </c>
      <c r="AR3312" s="4" t="s">
        <v>377</v>
      </c>
    </row>
    <row r="3313" spans="1:44">
      <c r="A3313" s="4" t="s">
        <v>5</v>
      </c>
      <c r="C3313" s="4">
        <v>4794</v>
      </c>
      <c r="D3313" s="5" t="s">
        <v>93</v>
      </c>
      <c r="E3313" s="6" t="s">
        <v>4940</v>
      </c>
      <c r="F3313" s="5" t="s">
        <v>4941</v>
      </c>
      <c r="AP3313" s="4" t="s">
        <v>376</v>
      </c>
      <c r="AR3313" s="4" t="s">
        <v>377</v>
      </c>
    </row>
    <row r="3314" spans="1:44" ht="30">
      <c r="A3314" s="4" t="s">
        <v>5</v>
      </c>
      <c r="C3314" s="4">
        <v>4222</v>
      </c>
      <c r="D3314" s="5" t="s">
        <v>93</v>
      </c>
      <c r="E3314" s="6" t="s">
        <v>4942</v>
      </c>
      <c r="AP3314" s="4" t="s">
        <v>376</v>
      </c>
      <c r="AR3314" s="4" t="s">
        <v>377</v>
      </c>
    </row>
    <row r="3315" spans="1:44" ht="30">
      <c r="A3315" s="4" t="s">
        <v>5</v>
      </c>
      <c r="C3315" s="4">
        <v>5797</v>
      </c>
      <c r="D3315" s="5" t="s">
        <v>93</v>
      </c>
      <c r="E3315" s="6" t="s">
        <v>4943</v>
      </c>
      <c r="AP3315" s="4" t="s">
        <v>376</v>
      </c>
      <c r="AR3315" s="4" t="s">
        <v>377</v>
      </c>
    </row>
    <row r="3316" spans="1:44">
      <c r="A3316" s="4" t="s">
        <v>5</v>
      </c>
      <c r="C3316" s="4">
        <v>2943</v>
      </c>
      <c r="D3316" s="5" t="s">
        <v>93</v>
      </c>
      <c r="E3316" s="6" t="s">
        <v>4944</v>
      </c>
      <c r="AP3316" s="4" t="s">
        <v>376</v>
      </c>
      <c r="AR3316" s="4" t="s">
        <v>377</v>
      </c>
    </row>
    <row r="3317" spans="1:44" ht="30">
      <c r="A3317" s="4" t="s">
        <v>5</v>
      </c>
      <c r="C3317" s="4">
        <v>6457</v>
      </c>
      <c r="D3317" s="5" t="s">
        <v>93</v>
      </c>
      <c r="E3317" s="6" t="s">
        <v>4945</v>
      </c>
      <c r="AP3317" s="4" t="s">
        <v>376</v>
      </c>
      <c r="AR3317" s="4" t="s">
        <v>377</v>
      </c>
    </row>
    <row r="3318" spans="1:44">
      <c r="A3318" s="4" t="s">
        <v>5</v>
      </c>
      <c r="C3318" s="4">
        <v>4120</v>
      </c>
      <c r="D3318" s="5" t="s">
        <v>93</v>
      </c>
      <c r="E3318" s="6" t="s">
        <v>4946</v>
      </c>
      <c r="AP3318" s="4" t="s">
        <v>376</v>
      </c>
      <c r="AR3318" s="4" t="s">
        <v>377</v>
      </c>
    </row>
    <row r="3319" spans="1:44" ht="30">
      <c r="A3319" s="4" t="s">
        <v>5</v>
      </c>
      <c r="C3319" s="4">
        <v>5740</v>
      </c>
      <c r="D3319" s="5" t="s">
        <v>93</v>
      </c>
      <c r="E3319" s="6" t="s">
        <v>4947</v>
      </c>
      <c r="AP3319" s="4" t="s">
        <v>376</v>
      </c>
      <c r="AR3319" s="4" t="s">
        <v>377</v>
      </c>
    </row>
    <row r="3320" spans="1:44" ht="30">
      <c r="A3320" s="4" t="s">
        <v>5</v>
      </c>
      <c r="C3320" s="4">
        <v>5427</v>
      </c>
      <c r="D3320" s="5" t="s">
        <v>93</v>
      </c>
      <c r="E3320" s="6" t="s">
        <v>4948</v>
      </c>
      <c r="F3320" s="5" t="s">
        <v>4949</v>
      </c>
      <c r="AP3320" s="4" t="s">
        <v>376</v>
      </c>
      <c r="AR3320" s="4" t="s">
        <v>377</v>
      </c>
    </row>
    <row r="3321" spans="1:44">
      <c r="A3321" s="4" t="s">
        <v>5</v>
      </c>
      <c r="C3321" s="4">
        <v>6317</v>
      </c>
      <c r="D3321" s="5" t="s">
        <v>93</v>
      </c>
      <c r="E3321" s="6" t="s">
        <v>4950</v>
      </c>
      <c r="AP3321" s="4" t="s">
        <v>376</v>
      </c>
      <c r="AR3321" s="4" t="s">
        <v>377</v>
      </c>
    </row>
    <row r="3322" spans="1:44">
      <c r="A3322" s="4" t="s">
        <v>5</v>
      </c>
      <c r="C3322" s="4">
        <v>5216</v>
      </c>
      <c r="D3322" s="5" t="s">
        <v>93</v>
      </c>
      <c r="E3322" s="6" t="s">
        <v>4951</v>
      </c>
      <c r="F3322" s="5" t="s">
        <v>4952</v>
      </c>
      <c r="AP3322" s="4" t="s">
        <v>376</v>
      </c>
      <c r="AR3322" s="4" t="s">
        <v>377</v>
      </c>
    </row>
    <row r="3323" spans="1:44">
      <c r="A3323" s="4" t="s">
        <v>5</v>
      </c>
      <c r="C3323" s="4">
        <v>3423</v>
      </c>
      <c r="D3323" s="5" t="s">
        <v>93</v>
      </c>
      <c r="E3323" s="6" t="s">
        <v>4953</v>
      </c>
      <c r="F3323" s="5" t="s">
        <v>4954</v>
      </c>
      <c r="AP3323" s="4" t="s">
        <v>376</v>
      </c>
      <c r="AR3323" s="4" t="s">
        <v>377</v>
      </c>
    </row>
    <row r="3324" spans="1:44">
      <c r="A3324" s="4" t="s">
        <v>5</v>
      </c>
      <c r="C3324" s="4">
        <v>4020</v>
      </c>
      <c r="D3324" s="5" t="s">
        <v>93</v>
      </c>
      <c r="E3324" s="6" t="s">
        <v>4955</v>
      </c>
      <c r="AP3324" s="4" t="s">
        <v>376</v>
      </c>
      <c r="AR3324" s="4" t="s">
        <v>377</v>
      </c>
    </row>
    <row r="3325" spans="1:44">
      <c r="A3325" s="4" t="s">
        <v>5</v>
      </c>
      <c r="C3325" s="4">
        <v>3339</v>
      </c>
      <c r="D3325" s="5" t="s">
        <v>93</v>
      </c>
      <c r="E3325" s="6" t="s">
        <v>4956</v>
      </c>
      <c r="F3325" s="5" t="s">
        <v>4957</v>
      </c>
      <c r="Z3325" s="4" t="s">
        <v>443</v>
      </c>
      <c r="AA3325" s="4" t="s">
        <v>444</v>
      </c>
      <c r="AP3325" s="4" t="s">
        <v>376</v>
      </c>
      <c r="AR3325" s="4" t="s">
        <v>377</v>
      </c>
    </row>
    <row r="3326" spans="1:44">
      <c r="A3326" s="4" t="s">
        <v>5</v>
      </c>
      <c r="C3326" s="4">
        <v>1508</v>
      </c>
      <c r="D3326" s="5" t="s">
        <v>93</v>
      </c>
      <c r="E3326" s="6" t="s">
        <v>4958</v>
      </c>
      <c r="F3326" s="5" t="s">
        <v>4959</v>
      </c>
      <c r="AP3326" s="4" t="s">
        <v>376</v>
      </c>
      <c r="AR3326" s="4" t="s">
        <v>377</v>
      </c>
    </row>
    <row r="3327" spans="1:44">
      <c r="A3327" s="4" t="s">
        <v>5</v>
      </c>
      <c r="C3327" s="4">
        <v>5843</v>
      </c>
      <c r="D3327" s="5" t="s">
        <v>93</v>
      </c>
      <c r="E3327" s="6" t="s">
        <v>4960</v>
      </c>
      <c r="F3327" s="5" t="s">
        <v>4961</v>
      </c>
      <c r="AP3327" s="4" t="s">
        <v>376</v>
      </c>
      <c r="AR3327" s="4" t="s">
        <v>377</v>
      </c>
    </row>
    <row r="3328" spans="1:44">
      <c r="A3328" s="4" t="s">
        <v>5</v>
      </c>
      <c r="C3328" s="4">
        <v>1164</v>
      </c>
      <c r="D3328" s="5" t="s">
        <v>93</v>
      </c>
      <c r="E3328" s="6" t="s">
        <v>4962</v>
      </c>
      <c r="AP3328" s="4" t="s">
        <v>376</v>
      </c>
      <c r="AR3328" s="4" t="s">
        <v>377</v>
      </c>
    </row>
    <row r="3329" spans="1:44">
      <c r="A3329" s="4" t="s">
        <v>5</v>
      </c>
      <c r="C3329" s="4">
        <v>850</v>
      </c>
      <c r="D3329" s="5" t="s">
        <v>93</v>
      </c>
      <c r="E3329" s="6" t="s">
        <v>4963</v>
      </c>
      <c r="Z3329" s="4" t="s">
        <v>447</v>
      </c>
      <c r="AA3329" s="4" t="s">
        <v>448</v>
      </c>
      <c r="AP3329" s="4" t="s">
        <v>376</v>
      </c>
      <c r="AR3329" s="4" t="s">
        <v>377</v>
      </c>
    </row>
    <row r="3330" spans="1:44" ht="30">
      <c r="A3330" s="4" t="s">
        <v>5</v>
      </c>
      <c r="C3330" s="4">
        <v>3378</v>
      </c>
      <c r="D3330" s="5" t="s">
        <v>93</v>
      </c>
      <c r="E3330" s="6" t="s">
        <v>4964</v>
      </c>
      <c r="F3330" s="5" t="s">
        <v>4965</v>
      </c>
      <c r="AP3330" s="4" t="s">
        <v>376</v>
      </c>
      <c r="AR3330" s="4" t="s">
        <v>377</v>
      </c>
    </row>
    <row r="3331" spans="1:44">
      <c r="A3331" s="4" t="s">
        <v>5</v>
      </c>
      <c r="C3331" s="4">
        <v>1573</v>
      </c>
      <c r="D3331" s="5" t="s">
        <v>93</v>
      </c>
      <c r="E3331" s="6" t="s">
        <v>4966</v>
      </c>
      <c r="AP3331" s="4" t="s">
        <v>376</v>
      </c>
      <c r="AR3331" s="4" t="s">
        <v>377</v>
      </c>
    </row>
    <row r="3332" spans="1:44" ht="30">
      <c r="A3332" s="4" t="s">
        <v>5</v>
      </c>
      <c r="C3332" s="4">
        <v>6230</v>
      </c>
      <c r="D3332" s="5" t="s">
        <v>93</v>
      </c>
      <c r="E3332" s="6" t="s">
        <v>4967</v>
      </c>
      <c r="AP3332" s="4" t="s">
        <v>376</v>
      </c>
      <c r="AR3332" s="4" t="s">
        <v>377</v>
      </c>
    </row>
    <row r="3333" spans="1:44" ht="30">
      <c r="A3333" s="4" t="s">
        <v>5</v>
      </c>
      <c r="C3333" s="4">
        <v>3376</v>
      </c>
      <c r="D3333" s="5" t="s">
        <v>93</v>
      </c>
      <c r="E3333" s="6" t="s">
        <v>4968</v>
      </c>
      <c r="AP3333" s="4" t="s">
        <v>376</v>
      </c>
      <c r="AR3333" s="4" t="s">
        <v>377</v>
      </c>
    </row>
    <row r="3334" spans="1:44" ht="30">
      <c r="A3334" s="4" t="s">
        <v>5</v>
      </c>
      <c r="C3334" s="4">
        <v>2343</v>
      </c>
      <c r="D3334" s="5" t="s">
        <v>93</v>
      </c>
      <c r="E3334" s="6" t="s">
        <v>4969</v>
      </c>
      <c r="AP3334" s="4" t="s">
        <v>376</v>
      </c>
      <c r="AR3334" s="4" t="s">
        <v>377</v>
      </c>
    </row>
    <row r="3335" spans="1:44" ht="30">
      <c r="A3335" s="4" t="s">
        <v>5</v>
      </c>
      <c r="C3335" s="4">
        <v>163</v>
      </c>
      <c r="D3335" s="5" t="s">
        <v>93</v>
      </c>
      <c r="E3335" s="6" t="s">
        <v>4970</v>
      </c>
      <c r="F3335" s="5" t="s">
        <v>4971</v>
      </c>
      <c r="AP3335" s="4" t="s">
        <v>376</v>
      </c>
      <c r="AR3335" s="4" t="s">
        <v>377</v>
      </c>
    </row>
    <row r="3336" spans="1:44">
      <c r="A3336" s="4" t="s">
        <v>5</v>
      </c>
      <c r="C3336" s="4">
        <v>3954</v>
      </c>
      <c r="D3336" s="5" t="s">
        <v>93</v>
      </c>
      <c r="E3336" s="6" t="s">
        <v>4972</v>
      </c>
      <c r="AP3336" s="4" t="s">
        <v>376</v>
      </c>
      <c r="AR3336" s="4" t="s">
        <v>377</v>
      </c>
    </row>
    <row r="3337" spans="1:44">
      <c r="A3337" s="4" t="s">
        <v>5</v>
      </c>
      <c r="C3337" s="4">
        <v>5968</v>
      </c>
      <c r="D3337" s="5" t="s">
        <v>93</v>
      </c>
      <c r="E3337" s="6" t="s">
        <v>4973</v>
      </c>
      <c r="AP3337" s="4" t="s">
        <v>376</v>
      </c>
      <c r="AR3337" s="4" t="s">
        <v>377</v>
      </c>
    </row>
    <row r="3338" spans="1:44">
      <c r="A3338" s="4" t="s">
        <v>5</v>
      </c>
      <c r="C3338" s="4">
        <v>2188</v>
      </c>
      <c r="D3338" s="5" t="s">
        <v>93</v>
      </c>
      <c r="E3338" s="6" t="s">
        <v>4974</v>
      </c>
      <c r="F3338" s="5" t="s">
        <v>4975</v>
      </c>
      <c r="AP3338" s="4" t="s">
        <v>376</v>
      </c>
      <c r="AR3338" s="4" t="s">
        <v>377</v>
      </c>
    </row>
    <row r="3339" spans="1:44">
      <c r="A3339" s="4" t="s">
        <v>5</v>
      </c>
      <c r="C3339" s="4">
        <v>3335</v>
      </c>
      <c r="D3339" s="5" t="s">
        <v>93</v>
      </c>
      <c r="E3339" s="6" t="s">
        <v>4976</v>
      </c>
      <c r="Z3339" s="4" t="s">
        <v>443</v>
      </c>
      <c r="AA3339" s="4" t="s">
        <v>444</v>
      </c>
      <c r="AP3339" s="4" t="s">
        <v>376</v>
      </c>
      <c r="AR3339" s="4" t="s">
        <v>377</v>
      </c>
    </row>
    <row r="3340" spans="1:44" ht="30">
      <c r="A3340" s="4" t="s">
        <v>5</v>
      </c>
      <c r="C3340" s="4">
        <v>6178</v>
      </c>
      <c r="D3340" s="5" t="s">
        <v>93</v>
      </c>
      <c r="E3340" s="6" t="s">
        <v>4977</v>
      </c>
      <c r="AP3340" s="4" t="s">
        <v>376</v>
      </c>
      <c r="AR3340" s="4" t="s">
        <v>377</v>
      </c>
    </row>
    <row r="3341" spans="1:44">
      <c r="A3341" s="4" t="s">
        <v>5</v>
      </c>
      <c r="C3341" s="4">
        <v>2706</v>
      </c>
      <c r="D3341" s="5" t="s">
        <v>93</v>
      </c>
      <c r="E3341" s="6" t="s">
        <v>4978</v>
      </c>
      <c r="F3341" s="5" t="s">
        <v>4979</v>
      </c>
      <c r="AP3341" s="4" t="s">
        <v>376</v>
      </c>
      <c r="AR3341" s="4" t="s">
        <v>377</v>
      </c>
    </row>
    <row r="3342" spans="1:44" ht="45">
      <c r="A3342" s="4" t="s">
        <v>5</v>
      </c>
      <c r="C3342" s="4">
        <v>6746</v>
      </c>
      <c r="D3342" s="5" t="s">
        <v>93</v>
      </c>
      <c r="E3342" s="6" t="s">
        <v>4980</v>
      </c>
      <c r="AP3342" s="4" t="s">
        <v>376</v>
      </c>
      <c r="AR3342" s="4" t="s">
        <v>377</v>
      </c>
    </row>
    <row r="3343" spans="1:44">
      <c r="A3343" s="4" t="s">
        <v>5</v>
      </c>
      <c r="C3343" s="4">
        <v>5344</v>
      </c>
      <c r="D3343" s="5" t="s">
        <v>93</v>
      </c>
      <c r="E3343" s="6" t="s">
        <v>4981</v>
      </c>
      <c r="AP3343" s="4" t="s">
        <v>376</v>
      </c>
      <c r="AR3343" s="4" t="s">
        <v>377</v>
      </c>
    </row>
    <row r="3344" spans="1:44" ht="30">
      <c r="A3344" s="4" t="s">
        <v>5</v>
      </c>
      <c r="C3344" s="4">
        <v>3252</v>
      </c>
      <c r="D3344" s="5" t="s">
        <v>93</v>
      </c>
      <c r="E3344" s="6" t="s">
        <v>4982</v>
      </c>
      <c r="F3344" s="5" t="s">
        <v>4983</v>
      </c>
      <c r="Z3344" s="4" t="s">
        <v>447</v>
      </c>
      <c r="AA3344" s="4" t="s">
        <v>448</v>
      </c>
      <c r="AP3344" s="4" t="s">
        <v>376</v>
      </c>
      <c r="AR3344" s="4" t="s">
        <v>377</v>
      </c>
    </row>
    <row r="3345" spans="1:44">
      <c r="A3345" s="4" t="s">
        <v>5</v>
      </c>
      <c r="C3345" s="4">
        <v>2195</v>
      </c>
      <c r="D3345" s="5" t="s">
        <v>93</v>
      </c>
      <c r="E3345" s="6" t="s">
        <v>4984</v>
      </c>
      <c r="F3345" s="5" t="s">
        <v>4985</v>
      </c>
      <c r="AP3345" s="4" t="s">
        <v>376</v>
      </c>
      <c r="AR3345" s="4" t="s">
        <v>377</v>
      </c>
    </row>
    <row r="3346" spans="1:44">
      <c r="A3346" s="4" t="s">
        <v>5</v>
      </c>
      <c r="C3346" s="4">
        <v>4550</v>
      </c>
      <c r="D3346" s="5" t="s">
        <v>93</v>
      </c>
      <c r="E3346" s="6" t="s">
        <v>4986</v>
      </c>
      <c r="F3346" s="5" t="s">
        <v>4987</v>
      </c>
      <c r="AP3346" s="4" t="s">
        <v>376</v>
      </c>
      <c r="AR3346" s="4" t="s">
        <v>377</v>
      </c>
    </row>
    <row r="3347" spans="1:44">
      <c r="A3347" s="4" t="s">
        <v>5</v>
      </c>
      <c r="C3347" s="4">
        <v>4694</v>
      </c>
      <c r="D3347" s="5" t="s">
        <v>93</v>
      </c>
      <c r="E3347" s="6" t="s">
        <v>4988</v>
      </c>
      <c r="F3347" s="5" t="s">
        <v>4989</v>
      </c>
      <c r="Z3347" s="4" t="s">
        <v>443</v>
      </c>
      <c r="AA3347" s="4" t="s">
        <v>444</v>
      </c>
      <c r="AP3347" s="4" t="s">
        <v>376</v>
      </c>
      <c r="AR3347" s="4" t="s">
        <v>377</v>
      </c>
    </row>
    <row r="3348" spans="1:44">
      <c r="A3348" s="4" t="s">
        <v>5</v>
      </c>
      <c r="C3348" s="4">
        <v>6318</v>
      </c>
      <c r="D3348" s="5" t="s">
        <v>93</v>
      </c>
      <c r="E3348" s="6" t="s">
        <v>4990</v>
      </c>
      <c r="AP3348" s="4" t="s">
        <v>376</v>
      </c>
      <c r="AR3348" s="4" t="s">
        <v>377</v>
      </c>
    </row>
    <row r="3349" spans="1:44">
      <c r="A3349" s="4" t="s">
        <v>5</v>
      </c>
      <c r="C3349" s="4">
        <v>5458</v>
      </c>
      <c r="D3349" s="5" t="s">
        <v>93</v>
      </c>
      <c r="E3349" s="6" t="s">
        <v>4991</v>
      </c>
      <c r="AP3349" s="4" t="s">
        <v>376</v>
      </c>
      <c r="AR3349" s="4" t="s">
        <v>377</v>
      </c>
    </row>
    <row r="3350" spans="1:44">
      <c r="A3350" s="4" t="s">
        <v>5</v>
      </c>
      <c r="C3350" s="4">
        <v>2619</v>
      </c>
      <c r="D3350" s="5" t="s">
        <v>93</v>
      </c>
      <c r="E3350" s="6" t="s">
        <v>4992</v>
      </c>
      <c r="F3350" s="5" t="s">
        <v>1518</v>
      </c>
      <c r="AP3350" s="4" t="s">
        <v>376</v>
      </c>
      <c r="AR3350" s="4" t="s">
        <v>377</v>
      </c>
    </row>
    <row r="3351" spans="1:44" ht="30">
      <c r="A3351" s="4" t="s">
        <v>5</v>
      </c>
      <c r="C3351" s="4">
        <v>1306</v>
      </c>
      <c r="D3351" s="5" t="s">
        <v>93</v>
      </c>
      <c r="E3351" s="6" t="s">
        <v>4993</v>
      </c>
      <c r="AP3351" s="4" t="s">
        <v>376</v>
      </c>
      <c r="AR3351" s="4" t="s">
        <v>377</v>
      </c>
    </row>
    <row r="3352" spans="1:44">
      <c r="A3352" s="4" t="s">
        <v>5</v>
      </c>
      <c r="C3352" s="4">
        <v>1303</v>
      </c>
      <c r="D3352" s="5" t="s">
        <v>93</v>
      </c>
      <c r="E3352" s="6" t="s">
        <v>4994</v>
      </c>
      <c r="AP3352" s="4" t="s">
        <v>376</v>
      </c>
      <c r="AR3352" s="4" t="s">
        <v>377</v>
      </c>
    </row>
    <row r="3353" spans="1:44">
      <c r="A3353" s="4" t="s">
        <v>5</v>
      </c>
      <c r="B3353" s="4">
        <v>1001789</v>
      </c>
      <c r="D3353" s="5" t="s">
        <v>4995</v>
      </c>
      <c r="E3353" s="6" t="str">
        <f>HYPERLINK("https://inpn.mnhn.fr/espece/cd_nom/1001789","Tricholoma sulphurescens Bres., 1905")</f>
        <v>Tricholoma sulphurescens Bres., 1905</v>
      </c>
      <c r="V3353" s="7" t="str">
        <f>HYPERLINK("#Liste_rouge!A"&amp;_xlfn.XMATCH("EN",Liste_rouge!A:A,2,1),"EN")</f>
        <v>EN</v>
      </c>
      <c r="W3353" s="4" t="str">
        <f>HYPERLINK("#Critères_liste_rouge!A$1","A2c")</f>
        <v>A2c</v>
      </c>
      <c r="AH3353" s="4" t="str">
        <f>HYPERLINK("#Statut_biogéographique!A"&amp;_xlfn.XMATCH("P",Statut_biogéographique!A:A,2,1),"P")</f>
        <v>P</v>
      </c>
      <c r="AP3353" s="4" t="s">
        <v>376</v>
      </c>
      <c r="AR3353" s="4" t="s">
        <v>377</v>
      </c>
    </row>
    <row r="3354" spans="1:44" ht="30">
      <c r="A3354" s="4" t="s">
        <v>5</v>
      </c>
      <c r="B3354" s="4">
        <v>1001853</v>
      </c>
      <c r="D3354" s="5" t="s">
        <v>4996</v>
      </c>
      <c r="E3354" s="6" t="str">
        <f>HYPERLINK("https://inpn.mnhn.fr/espece/cd_nom/1001853","Skeletocutis semipileata (Peck) Miettinen &amp; A.Korhonen, 2018")</f>
        <v>Skeletocutis semipileata (Peck) Miettinen &amp; A.Korhonen, 2018</v>
      </c>
      <c r="AH3354" s="4" t="str">
        <f>HYPERLINK("#Statut_biogéographique!A"&amp;_xlfn.XMATCH("P",Statut_biogéographique!A:A,2,1),"P")</f>
        <v>P</v>
      </c>
      <c r="AP3354" s="4" t="s">
        <v>376</v>
      </c>
      <c r="AR3354" s="4" t="s">
        <v>377</v>
      </c>
    </row>
    <row r="3355" spans="1:44" ht="30">
      <c r="A3355" s="4" t="s">
        <v>5</v>
      </c>
      <c r="B3355" s="4">
        <v>1002050</v>
      </c>
      <c r="C3355" s="4">
        <v>5417</v>
      </c>
      <c r="D3355" s="5" t="s">
        <v>4997</v>
      </c>
      <c r="E3355" s="6" t="str">
        <f>HYPERLINK("https://inpn.mnhn.fr/espece/cd_nom/1002050","Cortinarius globovosporus (Chevassut &amp; Rob.Henry) G.Garnier, 1991")</f>
        <v>Cortinarius globovosporus (Chevassut &amp; Rob.Henry) G.Garnier, 1991</v>
      </c>
      <c r="V3355" s="7" t="str">
        <f>HYPERLINK("#Liste_rouge!A"&amp;_xlfn.XMATCH("DD",Liste_rouge!A:A,2,1),"DD")</f>
        <v>DD</v>
      </c>
      <c r="Z3355" s="4" t="s">
        <v>443</v>
      </c>
      <c r="AA3355" s="4" t="s">
        <v>444</v>
      </c>
      <c r="AH3355" s="4" t="str">
        <f>HYPERLINK("#Statut_biogéographique!A"&amp;_xlfn.XMATCH("P",Statut_biogéographique!A:A,2,1),"P")</f>
        <v>P</v>
      </c>
      <c r="AP3355" s="4" t="s">
        <v>376</v>
      </c>
      <c r="AR3355" s="4" t="s">
        <v>377</v>
      </c>
    </row>
    <row r="3356" spans="1:44" ht="30">
      <c r="A3356" s="4" t="s">
        <v>5</v>
      </c>
      <c r="B3356" s="4">
        <v>1002350</v>
      </c>
      <c r="C3356" s="4">
        <v>2902</v>
      </c>
      <c r="D3356" s="5" t="s">
        <v>4998</v>
      </c>
      <c r="E3356" s="6" t="str">
        <f>HYPERLINK("https://inpn.mnhn.fr/espece/cd_nom/1002350","Muscinupta laevis (Fr.) Redhead, Lücking &amp; Lawrey, 2009")</f>
        <v>Muscinupta laevis (Fr.) Redhead, Lücking &amp; Lawrey, 2009</v>
      </c>
      <c r="F3356" s="5" t="s">
        <v>4999</v>
      </c>
      <c r="V3356" s="7" t="str">
        <f>HYPERLINK("#Liste_rouge!A"&amp;_xlfn.XMATCH("LC",Liste_rouge!A:A,2,1),"LC")</f>
        <v>LC</v>
      </c>
      <c r="AH3356" s="4" t="str">
        <f>HYPERLINK("#Statut_biogéographique!A"&amp;_xlfn.XMATCH("P",Statut_biogéographique!A:A,2,1),"P")</f>
        <v>P</v>
      </c>
      <c r="AP3356" s="4" t="s">
        <v>376</v>
      </c>
      <c r="AR3356" s="4" t="s">
        <v>377</v>
      </c>
    </row>
    <row r="3357" spans="1:44" ht="30">
      <c r="A3357" s="4" t="s">
        <v>5</v>
      </c>
      <c r="B3357" s="4">
        <v>1002365</v>
      </c>
      <c r="D3357" s="5" t="s">
        <v>5000</v>
      </c>
      <c r="E3357" s="6" t="str">
        <f>HYPERLINK("https://inpn.mnhn.fr/espece/cd_nom/1002365","Atheniella adonis (Bull.) Redhead, Moncalvo, Vilgalys, Desjardin &amp; B.A.Perry, 2012")</f>
        <v>Atheniella adonis (Bull.) Redhead, Moncalvo, Vilgalys, Desjardin &amp; B.A.Perry, 2012</v>
      </c>
      <c r="F3357" s="5" t="s">
        <v>5001</v>
      </c>
      <c r="V3357" s="7" t="str">
        <f>HYPERLINK("#Liste_rouge!A"&amp;_xlfn.XMATCH("EN",Liste_rouge!A:A,2,1),"EN")</f>
        <v>EN</v>
      </c>
      <c r="W3357" s="4" t="str">
        <f>HYPERLINK("#Critères_liste_rouge!A$1","A2c")</f>
        <v>A2c</v>
      </c>
      <c r="AH3357" s="4" t="str">
        <f>HYPERLINK("#Statut_biogéographique!A"&amp;_xlfn.XMATCH("P",Statut_biogéographique!A:A,2,1),"P")</f>
        <v>P</v>
      </c>
      <c r="AP3357" s="4" t="s">
        <v>376</v>
      </c>
      <c r="AR3357" s="4" t="s">
        <v>377</v>
      </c>
    </row>
    <row r="3358" spans="1:44" ht="30">
      <c r="A3358" s="4" t="s">
        <v>5</v>
      </c>
      <c r="B3358" s="4">
        <v>1002420</v>
      </c>
      <c r="D3358" s="5" t="s">
        <v>5002</v>
      </c>
      <c r="E3358" s="6" t="str">
        <f>HYPERLINK("https://inpn.mnhn.fr/espece/cd_nom/1002420","Geoscypha ampelina (Gillet) Van Vooren &amp; Dougoud, 2020")</f>
        <v>Geoscypha ampelina (Gillet) Van Vooren &amp; Dougoud, 2020</v>
      </c>
      <c r="V3358" s="7" t="str">
        <f>HYPERLINK("#Liste_rouge!A"&amp;_xlfn.XMATCH("NT",Liste_rouge!A:A,2,1),"NT")</f>
        <v>NT</v>
      </c>
      <c r="W3358" s="4" t="str">
        <f>HYPERLINK("#Critères_liste_rouge!A$1","pr. B2abiii")</f>
        <v>pr. B2abiii</v>
      </c>
      <c r="AH3358" s="4" t="str">
        <f>HYPERLINK("#Statut_biogéographique!A"&amp;_xlfn.XMATCH("P",Statut_biogéographique!A:A,2,1),"P")</f>
        <v>P</v>
      </c>
      <c r="AP3358" s="4" t="s">
        <v>376</v>
      </c>
      <c r="AR3358" s="4" t="s">
        <v>377</v>
      </c>
    </row>
    <row r="3359" spans="1:44">
      <c r="A3359" s="4" t="s">
        <v>5</v>
      </c>
      <c r="B3359" s="4">
        <v>1002421</v>
      </c>
      <c r="D3359" s="5" t="s">
        <v>5003</v>
      </c>
      <c r="E3359" s="6" t="str">
        <f>HYPERLINK("https://inpn.mnhn.fr/espece/cd_nom/1002421","Ionopezia gerardii (Cooke) Van Vooren, 2020")</f>
        <v>Ionopezia gerardii (Cooke) Van Vooren, 2020</v>
      </c>
      <c r="V3359" s="7" t="str">
        <f>HYPERLINK("#Liste_rouge!A"&amp;_xlfn.XMATCH("EN",Liste_rouge!A:A,2,1),"EN")</f>
        <v>EN</v>
      </c>
      <c r="W3359" s="4" t="str">
        <f>HYPERLINK("#Critères_liste_rouge!A$1","B2abiii")</f>
        <v>B2abiii</v>
      </c>
      <c r="AH3359" s="4" t="str">
        <f>HYPERLINK("#Statut_biogéographique!A"&amp;_xlfn.XMATCH("P",Statut_biogéographique!A:A,2,1),"P")</f>
        <v>P</v>
      </c>
      <c r="AP3359" s="4" t="s">
        <v>376</v>
      </c>
      <c r="AR3359" s="4" t="s">
        <v>377</v>
      </c>
    </row>
    <row r="3360" spans="1:44" ht="30">
      <c r="A3360" s="4" t="s">
        <v>5</v>
      </c>
      <c r="B3360" s="4">
        <v>1002425</v>
      </c>
      <c r="D3360" s="5" t="s">
        <v>5004</v>
      </c>
      <c r="E3360" s="6" t="str">
        <f>HYPERLINK("https://inpn.mnhn.fr/espece/cd_nom/1002425","Purpureodiscus subisabellinus (Le Gal) Van Vooren, 2020")</f>
        <v>Purpureodiscus subisabellinus (Le Gal) Van Vooren, 2020</v>
      </c>
      <c r="AH3360" s="4" t="str">
        <f>HYPERLINK("#Statut_biogéographique!A"&amp;_xlfn.XMATCH("P",Statut_biogéographique!A:A,2,1),"P")</f>
        <v>P</v>
      </c>
      <c r="AP3360" s="4" t="s">
        <v>376</v>
      </c>
      <c r="AR3360" s="4" t="s">
        <v>377</v>
      </c>
    </row>
    <row r="3361" spans="1:44" ht="30">
      <c r="A3361" s="4" t="s">
        <v>5</v>
      </c>
      <c r="B3361" s="4">
        <v>1003483</v>
      </c>
      <c r="C3361" s="4">
        <v>2118</v>
      </c>
      <c r="D3361" s="5" t="s">
        <v>5005</v>
      </c>
      <c r="E3361" s="6" t="str">
        <f>HYPERLINK("https://inpn.mnhn.fr/espece/cd_nom/1003483","Botryobasidium capitatum (Link) Rossman &amp; W.C.Allen, 2016")</f>
        <v>Botryobasidium capitatum (Link) Rossman &amp; W.C.Allen, 2016</v>
      </c>
      <c r="V3361" s="7" t="str">
        <f>HYPERLINK("#Liste_rouge!A"&amp;_xlfn.XMATCH("DD",Liste_rouge!A:A,2,1),"DD")</f>
        <v>DD</v>
      </c>
      <c r="AH3361" s="4" t="str">
        <f>HYPERLINK("#Statut_biogéographique!A"&amp;_xlfn.XMATCH("P",Statut_biogéographique!A:A,2,1),"P")</f>
        <v>P</v>
      </c>
      <c r="AP3361" s="4" t="s">
        <v>376</v>
      </c>
      <c r="AR3361" s="4" t="s">
        <v>377</v>
      </c>
    </row>
    <row r="3362" spans="1:44" ht="60">
      <c r="A3362" s="4" t="s">
        <v>5</v>
      </c>
      <c r="B3362" s="4">
        <v>1003493</v>
      </c>
      <c r="D3362" s="5" t="s">
        <v>5006</v>
      </c>
      <c r="E3362" s="6" t="str">
        <f>HYPERLINK("https://inpn.mnhn.fr/espece/cd_nom/1003493","Deconica horizontalis (Bull.) Noordel., 2009")</f>
        <v>Deconica horizontalis (Bull.) Noordel., 2009</v>
      </c>
      <c r="V3362" s="7" t="str">
        <f>HYPERLINK("#Liste_rouge!A"&amp;_xlfn.XMATCH("DD",Liste_rouge!A:A,2,1),"DD")</f>
        <v>DD</v>
      </c>
      <c r="AH3362" s="4" t="str">
        <f>HYPERLINK("#Statut_biogéographique!A"&amp;_xlfn.XMATCH("P",Statut_biogéographique!A:A,2,1),"P")</f>
        <v>P</v>
      </c>
      <c r="AP3362" s="4" t="s">
        <v>376</v>
      </c>
      <c r="AR3362" s="4" t="s">
        <v>377</v>
      </c>
    </row>
    <row r="3363" spans="1:44" ht="30">
      <c r="A3363" s="4" t="s">
        <v>5</v>
      </c>
      <c r="B3363" s="4">
        <v>1003495</v>
      </c>
      <c r="D3363" s="5" t="s">
        <v>5007</v>
      </c>
      <c r="E3363" s="6" t="str">
        <f>HYPERLINK("https://inpn.mnhn.fr/espece/cd_nom/1003495","Rhizomarasmius setosus (Sowerby) Antonín &amp; A.Urb., 2015")</f>
        <v>Rhizomarasmius setosus (Sowerby) Antonín &amp; A.Urb., 2015</v>
      </c>
      <c r="V3363" s="7" t="str">
        <f>HYPERLINK("#Liste_rouge!A"&amp;_xlfn.XMATCH("LC",Liste_rouge!A:A,2,1),"LC")</f>
        <v>LC</v>
      </c>
      <c r="AH3363" s="4" t="str">
        <f>HYPERLINK("#Statut_biogéographique!A"&amp;_xlfn.XMATCH("P",Statut_biogéographique!A:A,2,1),"P")</f>
        <v>P</v>
      </c>
      <c r="AP3363" s="4" t="s">
        <v>376</v>
      </c>
      <c r="AR3363" s="4" t="s">
        <v>377</v>
      </c>
    </row>
    <row r="3364" spans="1:44" ht="30">
      <c r="A3364" s="4" t="s">
        <v>5</v>
      </c>
      <c r="B3364" s="4">
        <v>1003497</v>
      </c>
      <c r="D3364" s="5" t="s">
        <v>5008</v>
      </c>
      <c r="E3364" s="6" t="str">
        <f>HYPERLINK("https://inpn.mnhn.fr/espece/cd_nom/1003497","Rhizocybe pruinosa (P.Kumm.) Vizzini, P.Alvarado &amp; G.Moreno, 2015")</f>
        <v>Rhizocybe pruinosa (P.Kumm.) Vizzini, P.Alvarado &amp; G.Moreno, 2015</v>
      </c>
      <c r="V3364" s="7" t="str">
        <f>HYPERLINK("#Liste_rouge!A"&amp;_xlfn.XMATCH("EN",Liste_rouge!A:A,2,1),"EN")</f>
        <v>EN</v>
      </c>
      <c r="W3364" s="4" t="str">
        <f>HYPERLINK("#Critères_liste_rouge!A$1","B2abiii")</f>
        <v>B2abiii</v>
      </c>
      <c r="AH3364" s="4" t="str">
        <f>HYPERLINK("#Statut_biogéographique!A"&amp;_xlfn.XMATCH("P",Statut_biogéographique!A:A,2,1),"P")</f>
        <v>P</v>
      </c>
      <c r="AP3364" s="4" t="s">
        <v>376</v>
      </c>
      <c r="AR3364" s="4" t="s">
        <v>377</v>
      </c>
    </row>
    <row r="3365" spans="1:44" ht="30">
      <c r="A3365" s="4" t="s">
        <v>5</v>
      </c>
      <c r="B3365" s="4">
        <v>1003530</v>
      </c>
      <c r="C3365" s="4">
        <v>3970</v>
      </c>
      <c r="D3365" s="5" t="s">
        <v>5009</v>
      </c>
      <c r="E3365" s="6" t="str">
        <f>HYPERLINK("https://inpn.mnhn.fr/espece/cd_nom/1003530","Natantiella ligneola (Berk. &amp; Broome) Réblová, 2009")</f>
        <v>Natantiella ligneola (Berk. &amp; Broome) Réblová, 2009</v>
      </c>
      <c r="AH3365" s="4" t="str">
        <f>HYPERLINK("#Statut_biogéographique!A"&amp;_xlfn.XMATCH("P",Statut_biogéographique!A:A,2,1),"P")</f>
        <v>P</v>
      </c>
      <c r="AP3365" s="4" t="s">
        <v>376</v>
      </c>
      <c r="AR3365" s="4" t="s">
        <v>377</v>
      </c>
    </row>
    <row r="3366" spans="1:44" ht="30">
      <c r="A3366" s="4" t="s">
        <v>5</v>
      </c>
      <c r="B3366" s="4">
        <v>1005957</v>
      </c>
      <c r="C3366" s="4">
        <v>4542</v>
      </c>
      <c r="D3366" s="5" t="s">
        <v>5010</v>
      </c>
      <c r="E3366" s="6" t="str">
        <f>HYPERLINK("https://inpn.mnhn.fr/espece/cd_nom/1005957","Lyomyces juniperi (Bourdot &amp; Galzin) Riebesehl &amp; Langer, 2017")</f>
        <v>Lyomyces juniperi (Bourdot &amp; Galzin) Riebesehl &amp; Langer, 2017</v>
      </c>
      <c r="V3366" s="7" t="str">
        <f>HYPERLINK("#Liste_rouge!A"&amp;_xlfn.XMATCH("DD",Liste_rouge!A:A,2,1),"DD")</f>
        <v>DD</v>
      </c>
      <c r="AH3366" s="4" t="str">
        <f>HYPERLINK("#Statut_biogéographique!A"&amp;_xlfn.XMATCH("P",Statut_biogéographique!A:A,2,1),"P")</f>
        <v>P</v>
      </c>
      <c r="AP3366" s="4" t="s">
        <v>376</v>
      </c>
      <c r="AR3366" s="4" t="s">
        <v>377</v>
      </c>
    </row>
    <row r="3367" spans="1:44" ht="30">
      <c r="A3367" s="4" t="s">
        <v>5</v>
      </c>
      <c r="B3367" s="4">
        <v>1005958</v>
      </c>
      <c r="D3367" s="5" t="s">
        <v>5011</v>
      </c>
      <c r="E3367" s="6" t="str">
        <f>HYPERLINK("https://inpn.mnhn.fr/espece/cd_nom/1005958","Cabalodontia subcretacea (Litsch.) Piątek, 2004")</f>
        <v>Cabalodontia subcretacea (Litsch.) Piątek, 2004</v>
      </c>
      <c r="V3367" s="7" t="str">
        <f>HYPERLINK("#Liste_rouge!A"&amp;_xlfn.XMATCH("DD",Liste_rouge!A:A,2,1),"DD")</f>
        <v>DD</v>
      </c>
      <c r="AH3367" s="4" t="str">
        <f>HYPERLINK("#Statut_biogéographique!A"&amp;_xlfn.XMATCH("P",Statut_biogéographique!A:A,2,1),"P")</f>
        <v>P</v>
      </c>
      <c r="AP3367" s="4" t="s">
        <v>376</v>
      </c>
      <c r="AR3367" s="4" t="s">
        <v>377</v>
      </c>
    </row>
    <row r="3368" spans="1:44" ht="30">
      <c r="A3368" s="4" t="s">
        <v>5</v>
      </c>
      <c r="B3368" s="4">
        <v>1005959</v>
      </c>
      <c r="C3368" s="4">
        <v>6459</v>
      </c>
      <c r="D3368" s="5" t="s">
        <v>5012</v>
      </c>
      <c r="E3368" s="6" t="str">
        <f>HYPERLINK("https://inpn.mnhn.fr/espece/cd_nom/1005959","Narcissea cordispora (T.Gibbs) D.Wächt. &amp; A.Melzer, 2020")</f>
        <v>Narcissea cordispora (T.Gibbs) D.Wächt. &amp; A.Melzer, 2020</v>
      </c>
      <c r="F3368" s="5" t="s">
        <v>5013</v>
      </c>
      <c r="AH3368" s="4" t="str">
        <f>HYPERLINK("#Statut_biogéographique!A"&amp;_xlfn.XMATCH("P",Statut_biogéographique!A:A,2,1),"P")</f>
        <v>P</v>
      </c>
      <c r="AP3368" s="4" t="s">
        <v>376</v>
      </c>
      <c r="AR3368" s="4" t="s">
        <v>377</v>
      </c>
    </row>
    <row r="3369" spans="1:44" ht="30">
      <c r="A3369" s="4" t="s">
        <v>5</v>
      </c>
      <c r="B3369" s="4">
        <v>1005961</v>
      </c>
      <c r="C3369" s="4">
        <v>2851</v>
      </c>
      <c r="D3369" s="5" t="s">
        <v>5014</v>
      </c>
      <c r="E3369" s="6" t="str">
        <f>HYPERLINK("https://inpn.mnhn.fr/espece/cd_nom/1005961","Narcissea patouillardii (Quél.) D.Wächt. &amp; A.Melzer, 2020")</f>
        <v>Narcissea patouillardii (Quél.) D.Wächt. &amp; A.Melzer, 2020</v>
      </c>
      <c r="F3369" s="5" t="s">
        <v>5015</v>
      </c>
      <c r="V3369" s="7" t="str">
        <f>HYPERLINK("#Liste_rouge!A"&amp;_xlfn.XMATCH("DD",Liste_rouge!A:A,2,1),"DD")</f>
        <v>DD</v>
      </c>
      <c r="AH3369" s="4" t="str">
        <f>HYPERLINK("#Statut_biogéographique!A"&amp;_xlfn.XMATCH("P",Statut_biogéographique!A:A,2,1),"P")</f>
        <v>P</v>
      </c>
      <c r="AP3369" s="4" t="s">
        <v>376</v>
      </c>
      <c r="AR3369" s="4" t="s">
        <v>377</v>
      </c>
    </row>
    <row r="3370" spans="1:44" ht="30">
      <c r="A3370" s="4" t="s">
        <v>5</v>
      </c>
      <c r="B3370" s="4">
        <v>1006020</v>
      </c>
      <c r="C3370" s="4">
        <v>6867</v>
      </c>
      <c r="D3370" s="5" t="s">
        <v>5016</v>
      </c>
      <c r="E3370" s="6" t="str">
        <f>HYPERLINK("https://inpn.mnhn.fr/espece/cd_nom/1006020","Botryobasidium rubiginosum (Fr.) Rossman &amp; W.C.Allen, 2016")</f>
        <v>Botryobasidium rubiginosum (Fr.) Rossman &amp; W.C.Allen, 2016</v>
      </c>
      <c r="AH3370" s="4" t="str">
        <f>HYPERLINK("#Statut_biogéographique!A"&amp;_xlfn.XMATCH("P",Statut_biogéographique!A:A,2,1),"P")</f>
        <v>P</v>
      </c>
      <c r="AP3370" s="4" t="s">
        <v>376</v>
      </c>
      <c r="AR3370" s="4" t="s">
        <v>377</v>
      </c>
    </row>
    <row r="3371" spans="1:44" ht="30">
      <c r="A3371" s="4" t="s">
        <v>5</v>
      </c>
      <c r="B3371" s="4">
        <v>1006145</v>
      </c>
      <c r="D3371" s="5" t="s">
        <v>5017</v>
      </c>
      <c r="E3371" s="6" t="str">
        <f>HYPERLINK("https://inpn.mnhn.fr/espece/cd_nom/1006145","Coprinopsis canoceps (Kauffman) Örstadius &amp; E.Larss., 2015")</f>
        <v>Coprinopsis canoceps (Kauffman) Örstadius &amp; E.Larss., 2015</v>
      </c>
      <c r="AH3371" s="4" t="str">
        <f>HYPERLINK("#Statut_biogéographique!A"&amp;_xlfn.XMATCH("P",Statut_biogéographique!A:A,2,1),"P")</f>
        <v>P</v>
      </c>
      <c r="AP3371" s="4" t="s">
        <v>376</v>
      </c>
      <c r="AR3371" s="4" t="s">
        <v>377</v>
      </c>
    </row>
    <row r="3372" spans="1:44">
      <c r="A3372" s="4" t="s">
        <v>5</v>
      </c>
      <c r="B3372" s="4">
        <v>1006350</v>
      </c>
      <c r="D3372" s="5" t="s">
        <v>5018</v>
      </c>
      <c r="E3372" s="6" t="str">
        <f>HYPERLINK("https://inpn.mnhn.fr/espece/cd_nom/1006350","Phaeoclavulina macrospora Brinkmann, 1897")</f>
        <v>Phaeoclavulina macrospora Brinkmann, 1897</v>
      </c>
      <c r="F3372" s="5" t="s">
        <v>5019</v>
      </c>
      <c r="V3372" s="7" t="str">
        <f>HYPERLINK("#Liste_rouge!A"&amp;_xlfn.XMATCH("EN",Liste_rouge!A:A,2,1),"EN")</f>
        <v>EN</v>
      </c>
      <c r="W3372" s="4" t="str">
        <f>HYPERLINK("#Critères_liste_rouge!A$1","A2c")</f>
        <v>A2c</v>
      </c>
      <c r="AH3372" s="4" t="str">
        <f>HYPERLINK("#Statut_biogéographique!A"&amp;_xlfn.XMATCH("P",Statut_biogéographique!A:A,2,1),"P")</f>
        <v>P</v>
      </c>
      <c r="AP3372" s="4" t="s">
        <v>376</v>
      </c>
      <c r="AR3372" s="4" t="s">
        <v>377</v>
      </c>
    </row>
    <row r="3373" spans="1:44">
      <c r="A3373" s="4" t="s">
        <v>5</v>
      </c>
      <c r="B3373" s="4">
        <v>1006504</v>
      </c>
      <c r="C3373" s="4">
        <v>6408</v>
      </c>
      <c r="D3373" s="5" t="s">
        <v>5020</v>
      </c>
      <c r="E3373" s="6" t="str">
        <f>HYPERLINK("https://inpn.mnhn.fr/espece/cd_nom/1006504","Cortinarius nigrocuspidatus Kauffman, 1921")</f>
        <v>Cortinarius nigrocuspidatus Kauffman, 1921</v>
      </c>
      <c r="AH3373" s="4" t="str">
        <f>HYPERLINK("#Statut_biogéographique!A"&amp;_xlfn.XMATCH("P",Statut_biogéographique!A:A,2,1),"P")</f>
        <v>P</v>
      </c>
      <c r="AP3373" s="4" t="s">
        <v>376</v>
      </c>
      <c r="AR3373" s="4" t="s">
        <v>377</v>
      </c>
    </row>
    <row r="3374" spans="1:44" ht="45">
      <c r="A3374" s="4" t="s">
        <v>5</v>
      </c>
      <c r="B3374" s="4">
        <v>1009703</v>
      </c>
      <c r="C3374" s="4">
        <v>186</v>
      </c>
      <c r="D3374" s="5" t="s">
        <v>5021</v>
      </c>
      <c r="E3374" s="6" t="str">
        <f>HYPERLINK("https://inpn.mnhn.fr/espece/cd_nom/1009703","Xanthoporia radiata (Sowerby) Ţura, Zmitr., Wasser, Raats &amp; Nevo, 2011")</f>
        <v>Xanthoporia radiata (Sowerby) Ţura, Zmitr., Wasser, Raats &amp; Nevo, 2011</v>
      </c>
      <c r="F3374" s="5" t="s">
        <v>5022</v>
      </c>
      <c r="V3374" s="7" t="str">
        <f>HYPERLINK("#Liste_rouge!A"&amp;_xlfn.XMATCH("LC",Liste_rouge!A:A,2,1),"LC")</f>
        <v>LC</v>
      </c>
      <c r="AH3374" s="4" t="str">
        <f>HYPERLINK("#Statut_biogéographique!A"&amp;_xlfn.XMATCH("P",Statut_biogéographique!A:A,2,1),"P")</f>
        <v>P</v>
      </c>
      <c r="AP3374" s="4" t="s">
        <v>376</v>
      </c>
      <c r="AR3374" s="4" t="s">
        <v>377</v>
      </c>
    </row>
    <row r="3375" spans="1:44" ht="30">
      <c r="A3375" s="4" t="s">
        <v>5</v>
      </c>
      <c r="B3375" s="4">
        <v>1010516</v>
      </c>
      <c r="C3375" s="4">
        <v>6108</v>
      </c>
      <c r="D3375" s="5" t="s">
        <v>5023</v>
      </c>
      <c r="E3375" s="6" t="str">
        <f>HYPERLINK("https://inpn.mnhn.fr/espece/cd_nom/1010516","Cordyceps farinosa (Holmsk.) Kepler, B.Shrestha &amp; Spatafora, 2017")</f>
        <v>Cordyceps farinosa (Holmsk.) Kepler, B.Shrestha &amp; Spatafora, 2017</v>
      </c>
      <c r="AH3375" s="4" t="str">
        <f>HYPERLINK("#Statut_biogéographique!A"&amp;_xlfn.XMATCH("P",Statut_biogéographique!A:A,2,1),"P")</f>
        <v>P</v>
      </c>
      <c r="AP3375" s="4" t="s">
        <v>376</v>
      </c>
      <c r="AR3375" s="4" t="s">
        <v>377</v>
      </c>
    </row>
    <row r="3376" spans="1:44" ht="30">
      <c r="A3376" s="4" t="s">
        <v>5</v>
      </c>
      <c r="B3376" s="4">
        <v>1010518</v>
      </c>
      <c r="C3376" s="4">
        <v>4901</v>
      </c>
      <c r="D3376" s="5" t="s">
        <v>5024</v>
      </c>
      <c r="E3376" s="6" t="str">
        <f>HYPERLINK("https://inpn.mnhn.fr/espece/cd_nom/1010518","Pseudocosmospora vilior (Starbäck) C.S.Herrera &amp; P.Chaverri, 2013")</f>
        <v>Pseudocosmospora vilior (Starbäck) C.S.Herrera &amp; P.Chaverri, 2013</v>
      </c>
      <c r="AH3376" s="4" t="str">
        <f>HYPERLINK("#Statut_biogéographique!A"&amp;_xlfn.XMATCH("P",Statut_biogéographique!A:A,2,1),"P")</f>
        <v>P</v>
      </c>
      <c r="AP3376" s="4" t="s">
        <v>376</v>
      </c>
      <c r="AR3376" s="4" t="s">
        <v>377</v>
      </c>
    </row>
    <row r="3377" spans="1:44">
      <c r="A3377" s="4" t="s">
        <v>5</v>
      </c>
      <c r="B3377" s="4">
        <v>1010537</v>
      </c>
      <c r="C3377" s="4">
        <v>4973</v>
      </c>
      <c r="D3377" s="5" t="s">
        <v>5025</v>
      </c>
      <c r="E3377" s="6" t="str">
        <f>HYPERLINK("https://inpn.mnhn.fr/espece/cd_nom/1010537","Asteromella huubii Ruszk.-Mich., 2016")</f>
        <v>Asteromella huubii Ruszk.-Mich., 2016</v>
      </c>
      <c r="AH3377" s="4" t="str">
        <f>HYPERLINK("#Statut_biogéographique!A"&amp;_xlfn.XMATCH("P",Statut_biogéographique!A:A,2,1),"P")</f>
        <v>P</v>
      </c>
      <c r="AP3377" s="4" t="s">
        <v>376</v>
      </c>
      <c r="AR3377" s="4" t="s">
        <v>377</v>
      </c>
    </row>
    <row r="3378" spans="1:44" ht="30">
      <c r="A3378" s="4" t="s">
        <v>5</v>
      </c>
      <c r="B3378" s="4">
        <v>1010998</v>
      </c>
      <c r="C3378" s="4">
        <v>2979</v>
      </c>
      <c r="D3378" s="5" t="s">
        <v>5026</v>
      </c>
      <c r="E3378" s="6" t="str">
        <f>HYPERLINK("https://inpn.mnhn.fr/espece/cd_nom/1010998","Phlegmacium fraudulosum (Britzelm.) Niskanen &amp; Liimat., 2022")</f>
        <v>Phlegmacium fraudulosum (Britzelm.) Niskanen &amp; Liimat., 2022</v>
      </c>
      <c r="V3378" s="7" t="str">
        <f>HYPERLINK("#Liste_rouge!A"&amp;_xlfn.XMATCH("DD",Liste_rouge!A:A,2,1),"DD")</f>
        <v>DD</v>
      </c>
      <c r="AH3378" s="4" t="str">
        <f>HYPERLINK("#Statut_biogéographique!A"&amp;_xlfn.XMATCH("P",Statut_biogéographique!A:A,2,1),"P")</f>
        <v>P</v>
      </c>
      <c r="AP3378" s="4" t="s">
        <v>376</v>
      </c>
      <c r="AR3378" s="4" t="s">
        <v>377</v>
      </c>
    </row>
    <row r="3379" spans="1:44" ht="45">
      <c r="A3379" s="4" t="s">
        <v>5</v>
      </c>
      <c r="B3379" s="4">
        <v>1010999</v>
      </c>
      <c r="C3379" s="4">
        <v>2810</v>
      </c>
      <c r="D3379" s="5" t="s">
        <v>5027</v>
      </c>
      <c r="E3379" s="6" t="str">
        <f>HYPERLINK("https://inpn.mnhn.fr/espece/cd_nom/1010999","Phlegmacium argutum (Fr.) Niskanen &amp; Liimat., 2022")</f>
        <v>Phlegmacium argutum (Fr.) Niskanen &amp; Liimat., 2022</v>
      </c>
      <c r="F3379" s="5" t="s">
        <v>5028</v>
      </c>
      <c r="V3379" s="7" t="str">
        <f>HYPERLINK("#Liste_rouge!A"&amp;_xlfn.XMATCH("EN",Liste_rouge!A:A,2,1),"EN")</f>
        <v>EN</v>
      </c>
      <c r="W3379" s="4" t="str">
        <f>HYPERLINK("#Critères_liste_rouge!A$1","B2abiii")</f>
        <v>B2abiii</v>
      </c>
      <c r="Z3379" s="4" t="s">
        <v>447</v>
      </c>
      <c r="AA3379" s="4" t="s">
        <v>448</v>
      </c>
      <c r="AH3379" s="4" t="str">
        <f>HYPERLINK("#Statut_biogéographique!A"&amp;_xlfn.XMATCH("P",Statut_biogéographique!A:A,2,1),"P")</f>
        <v>P</v>
      </c>
      <c r="AP3379" s="4" t="s">
        <v>376</v>
      </c>
      <c r="AR3379" s="4" t="s">
        <v>377</v>
      </c>
    </row>
    <row r="3380" spans="1:44" ht="30">
      <c r="A3380" s="4" t="s">
        <v>5</v>
      </c>
      <c r="B3380" s="4">
        <v>1011000</v>
      </c>
      <c r="C3380" s="4">
        <v>3060</v>
      </c>
      <c r="D3380" s="5">
        <v>35287</v>
      </c>
      <c r="E3380" s="6" t="str">
        <f>HYPERLINK("https://inpn.mnhn.fr/espece/cd_nom/1011000","Calonarius odorifer (Britzelm.) Niskanen &amp; Liimat., 2022")</f>
        <v>Calonarius odorifer (Britzelm.) Niskanen &amp; Liimat., 2022</v>
      </c>
      <c r="F3380" s="5" t="s">
        <v>5029</v>
      </c>
      <c r="V3380" s="7" t="str">
        <f>HYPERLINK("#Liste_rouge!A"&amp;_xlfn.XMATCH("DD",Liste_rouge!A:A,2,1),"DD")</f>
        <v>DD</v>
      </c>
      <c r="AH3380" s="4" t="str">
        <f>HYPERLINK("#Statut_biogéographique!A"&amp;_xlfn.XMATCH("P",Statut_biogéographique!A:A,2,1),"P")</f>
        <v>P</v>
      </c>
      <c r="AP3380" s="4" t="s">
        <v>376</v>
      </c>
      <c r="AR3380" s="4" t="s">
        <v>377</v>
      </c>
    </row>
    <row r="3381" spans="1:44" ht="60">
      <c r="A3381" s="4" t="s">
        <v>5</v>
      </c>
      <c r="B3381" s="4">
        <v>1011004</v>
      </c>
      <c r="C3381" s="4">
        <v>1777</v>
      </c>
      <c r="D3381" s="5" t="s">
        <v>5030</v>
      </c>
      <c r="E3381" s="6" t="str">
        <f>HYPERLINK("https://inpn.mnhn.fr/espece/cd_nom/1011004","Calonarius rufo-olivaceus (Pers.) Niskanen &amp; Liimat., 2022")</f>
        <v>Calonarius rufo-olivaceus (Pers.) Niskanen &amp; Liimat., 2022</v>
      </c>
      <c r="F3381" s="5" t="s">
        <v>5031</v>
      </c>
      <c r="V3381" s="7" t="str">
        <f>HYPERLINK("#Liste_rouge!A"&amp;_xlfn.XMATCH("LC",Liste_rouge!A:A,2,1),"LC")</f>
        <v>LC</v>
      </c>
      <c r="Z3381" s="4" t="s">
        <v>443</v>
      </c>
      <c r="AA3381" s="4" t="s">
        <v>444</v>
      </c>
      <c r="AH3381" s="4" t="str">
        <f>HYPERLINK("#Statut_biogéographique!A"&amp;_xlfn.XMATCH("P",Statut_biogéographique!A:A,2,1),"P")</f>
        <v>P</v>
      </c>
      <c r="AP3381" s="4" t="s">
        <v>376</v>
      </c>
      <c r="AR3381" s="4" t="s">
        <v>377</v>
      </c>
    </row>
    <row r="3382" spans="1:44" ht="30">
      <c r="A3382" s="4" t="s">
        <v>5</v>
      </c>
      <c r="B3382" s="4">
        <v>1011397</v>
      </c>
      <c r="C3382" s="4">
        <v>1846</v>
      </c>
      <c r="D3382" s="5">
        <v>35587</v>
      </c>
      <c r="E3382" s="6" t="str">
        <f>HYPERLINK("https://inpn.mnhn.fr/espece/cd_nom/1011397","Thaxterogaster scaurus (Fr.) Niskanen &amp; Liimat., 2022")</f>
        <v>Thaxterogaster scaurus (Fr.) Niskanen &amp; Liimat., 2022</v>
      </c>
      <c r="F3382" s="5" t="s">
        <v>5032</v>
      </c>
      <c r="V3382" s="7" t="str">
        <f>HYPERLINK("#Liste_rouge!A"&amp;_xlfn.XMATCH("LC",Liste_rouge!A:A,2,1),"LC")</f>
        <v>LC</v>
      </c>
      <c r="Z3382" s="4" t="s">
        <v>447</v>
      </c>
      <c r="AA3382" s="4" t="s">
        <v>448</v>
      </c>
      <c r="AH3382" s="4" t="str">
        <f>HYPERLINK("#Statut_biogéographique!A"&amp;_xlfn.XMATCH("P",Statut_biogéographique!A:A,2,1),"P")</f>
        <v>P</v>
      </c>
      <c r="AP3382" s="4" t="s">
        <v>376</v>
      </c>
      <c r="AR3382" s="4" t="s">
        <v>377</v>
      </c>
    </row>
    <row r="3383" spans="1:44" ht="30">
      <c r="A3383" s="4" t="s">
        <v>5</v>
      </c>
      <c r="B3383" s="4">
        <v>1011402</v>
      </c>
      <c r="C3383" s="4">
        <v>1879</v>
      </c>
      <c r="D3383" s="5" t="s">
        <v>5033</v>
      </c>
      <c r="E3383" s="6" t="str">
        <f>HYPERLINK("https://inpn.mnhn.fr/espece/cd_nom/1011402","Thaxterogaster herpeticus (Fr.) Niskanen &amp; Liimat., 2022")</f>
        <v>Thaxterogaster herpeticus (Fr.) Niskanen &amp; Liimat., 2022</v>
      </c>
      <c r="V3383" s="7" t="str">
        <f>HYPERLINK("#Liste_rouge!A"&amp;_xlfn.XMATCH("NT",Liste_rouge!A:A,2,1),"NT")</f>
        <v>NT</v>
      </c>
      <c r="W3383" s="4" t="str">
        <f>HYPERLINK("#Critères_liste_rouge!A$1","pr. B2abiii")</f>
        <v>pr. B2abiii</v>
      </c>
      <c r="Z3383" s="4" t="s">
        <v>443</v>
      </c>
      <c r="AA3383" s="4" t="s">
        <v>444</v>
      </c>
      <c r="AH3383" s="4" t="str">
        <f>HYPERLINK("#Statut_biogéographique!A"&amp;_xlfn.XMATCH("P",Statut_biogéographique!A:A,2,1),"P")</f>
        <v>P</v>
      </c>
      <c r="AP3383" s="4" t="s">
        <v>376</v>
      </c>
      <c r="AR3383" s="4" t="s">
        <v>377</v>
      </c>
    </row>
    <row r="3384" spans="1:44" ht="30">
      <c r="A3384" s="4" t="s">
        <v>5</v>
      </c>
      <c r="B3384" s="4">
        <v>1011406</v>
      </c>
      <c r="C3384" s="4">
        <v>5855</v>
      </c>
      <c r="D3384" s="5" t="s">
        <v>5034</v>
      </c>
      <c r="E3384" s="6" t="str">
        <f>HYPERLINK("https://inpn.mnhn.fr/espece/cd_nom/1011406","Thaxterogaster violaceonitens (Rob.Henry) Niskanen &amp; Liimat., 2022")</f>
        <v>Thaxterogaster violaceonitens (Rob.Henry) Niskanen &amp; Liimat., 2022</v>
      </c>
      <c r="Z3384" s="4" t="s">
        <v>443</v>
      </c>
      <c r="AA3384" s="4" t="s">
        <v>444</v>
      </c>
      <c r="AH3384" s="4" t="str">
        <f>HYPERLINK("#Statut_biogéographique!A"&amp;_xlfn.XMATCH("P",Statut_biogéographique!A:A,2,1),"P")</f>
        <v>P</v>
      </c>
      <c r="AP3384" s="4" t="s">
        <v>376</v>
      </c>
      <c r="AR3384" s="4" t="s">
        <v>377</v>
      </c>
    </row>
    <row r="3385" spans="1:44">
      <c r="A3385" s="4" t="s">
        <v>5</v>
      </c>
      <c r="B3385" s="4">
        <v>1012396</v>
      </c>
      <c r="C3385" s="4">
        <v>4182</v>
      </c>
      <c r="D3385" s="5" t="s">
        <v>5035</v>
      </c>
      <c r="E3385" s="6" t="str">
        <f>HYPERLINK("https://inpn.mnhn.fr/espece/cd_nom/1012396","Erysiphe circaeae L.Junell, 1967")</f>
        <v>Erysiphe circaeae L.Junell, 1967</v>
      </c>
      <c r="AH3385" s="4" t="str">
        <f>HYPERLINK("#Statut_biogéographique!A"&amp;_xlfn.XMATCH("P",Statut_biogéographique!A:A,2,1),"P")</f>
        <v>P</v>
      </c>
      <c r="AP3385" s="4" t="s">
        <v>376</v>
      </c>
      <c r="AR3385" s="4" t="s">
        <v>377</v>
      </c>
    </row>
    <row r="3386" spans="1:44" ht="30">
      <c r="A3386" s="4" t="s">
        <v>5</v>
      </c>
      <c r="B3386" s="4">
        <v>1013462</v>
      </c>
      <c r="C3386" s="4">
        <v>3961</v>
      </c>
      <c r="D3386" s="5" t="s">
        <v>5036</v>
      </c>
      <c r="E3386" s="6" t="str">
        <f>HYPERLINK("https://inpn.mnhn.fr/espece/cd_nom/1013462","Phlegmacium viridocoeruleum (Chevassut &amp; Rob.Henry) Niskanen &amp; Liimat., 2022")</f>
        <v>Phlegmacium viridocoeruleum (Chevassut &amp; Rob.Henry) Niskanen &amp; Liimat., 2022</v>
      </c>
      <c r="F3386" s="5" t="s">
        <v>5037</v>
      </c>
      <c r="V3386" s="7" t="str">
        <f>HYPERLINK("#Liste_rouge!A"&amp;_xlfn.XMATCH("DD",Liste_rouge!A:A,2,1),"DD")</f>
        <v>DD</v>
      </c>
      <c r="AH3386" s="4" t="str">
        <f>HYPERLINK("#Statut_biogéographique!A"&amp;_xlfn.XMATCH("P",Statut_biogéographique!A:A,2,1),"P")</f>
        <v>P</v>
      </c>
      <c r="AP3386" s="4" t="s">
        <v>376</v>
      </c>
      <c r="AR3386" s="4" t="s">
        <v>377</v>
      </c>
    </row>
    <row r="3387" spans="1:44" ht="30">
      <c r="A3387" s="4" t="s">
        <v>5</v>
      </c>
      <c r="B3387" s="4">
        <v>1013575</v>
      </c>
      <c r="D3387" s="5" t="s">
        <v>5038</v>
      </c>
      <c r="E3387" s="6" t="str">
        <f>HYPERLINK("https://inpn.mnhn.fr/espece/cd_nom/1013575","Tapinella panuoides f. ionipus (Quél.) Šutara, 1992")</f>
        <v>Tapinella panuoides f. ionipus (Quél.) Šutara, 1992</v>
      </c>
      <c r="AH3387" s="4" t="str">
        <f>HYPERLINK("#Statut_biogéographique!A"&amp;_xlfn.XMATCH("P",Statut_biogéographique!A:A,2,1),"P")</f>
        <v>P</v>
      </c>
      <c r="AP3387" s="4" t="s">
        <v>376</v>
      </c>
      <c r="AR3387" s="4" t="s">
        <v>377</v>
      </c>
    </row>
    <row r="3388" spans="1:44" ht="45">
      <c r="A3388" s="4" t="s">
        <v>5</v>
      </c>
      <c r="B3388" s="4">
        <v>1015036</v>
      </c>
      <c r="C3388" s="4">
        <v>529</v>
      </c>
      <c r="D3388" s="5" t="s">
        <v>5039</v>
      </c>
      <c r="E3388" s="6" t="str">
        <f>HYPERLINK("https://inpn.mnhn.fr/espece/cd_nom/1015036","Gymnopus foetidus (Sowerby) P.M.Kirk, 2014")</f>
        <v>Gymnopus foetidus (Sowerby) P.M.Kirk, 2014</v>
      </c>
      <c r="F3388" s="5" t="s">
        <v>5040</v>
      </c>
      <c r="V3388" s="7" t="str">
        <f>HYPERLINK("#Liste_rouge!A"&amp;_xlfn.XMATCH("LC",Liste_rouge!A:A,2,1),"LC")</f>
        <v>LC</v>
      </c>
      <c r="AH3388" s="4" t="str">
        <f>HYPERLINK("#Statut_biogéographique!A"&amp;_xlfn.XMATCH("P",Statut_biogéographique!A:A,2,1),"P")</f>
        <v>P</v>
      </c>
      <c r="AP3388" s="4" t="s">
        <v>376</v>
      </c>
      <c r="AR3388" s="4" t="s">
        <v>377</v>
      </c>
    </row>
    <row r="3389" spans="1:44" ht="30">
      <c r="A3389" s="4" t="s">
        <v>5</v>
      </c>
      <c r="B3389" s="4">
        <v>1015042</v>
      </c>
      <c r="C3389" s="4">
        <v>4349</v>
      </c>
      <c r="D3389" s="5" t="s">
        <v>5041</v>
      </c>
      <c r="E3389" s="6" t="str">
        <f>HYPERLINK("https://inpn.mnhn.fr/espece/cd_nom/1015042","Rossmanomyces pyrolae (Rostr.) Aime &amp; McTaggart, 2020")</f>
        <v>Rossmanomyces pyrolae (Rostr.) Aime &amp; McTaggart, 2020</v>
      </c>
      <c r="V3389" s="7" t="str">
        <f>HYPERLINK("#Liste_rouge!A"&amp;_xlfn.XMATCH("DD",Liste_rouge!A:A,2,1),"DD")</f>
        <v>DD</v>
      </c>
      <c r="AH3389" s="4" t="str">
        <f>HYPERLINK("#Statut_biogéographique!A"&amp;_xlfn.XMATCH("P",Statut_biogéographique!A:A,2,1),"P")</f>
        <v>P</v>
      </c>
      <c r="AP3389" s="4" t="s">
        <v>376</v>
      </c>
      <c r="AR3389" s="4" t="s">
        <v>377</v>
      </c>
    </row>
    <row r="3390" spans="1:44" ht="30">
      <c r="A3390" s="4" t="s">
        <v>5</v>
      </c>
      <c r="B3390" s="4">
        <v>1015126</v>
      </c>
      <c r="C3390" s="4">
        <v>6582</v>
      </c>
      <c r="D3390" s="5" t="s">
        <v>5042</v>
      </c>
      <c r="E3390" s="6" t="str">
        <f>HYPERLINK("https://inpn.mnhn.fr/espece/cd_nom/1015126","Kuettlingeria erythrocarpa (Pers.) I.V.Frolov, Vondrák &amp; Arup, 2020")</f>
        <v>Kuettlingeria erythrocarpa (Pers.) I.V.Frolov, Vondrák &amp; Arup, 2020</v>
      </c>
      <c r="AH3390" s="4" t="str">
        <f>HYPERLINK("#Statut_biogéographique!A"&amp;_xlfn.XMATCH("P",Statut_biogéographique!A:A,2,1),"P")</f>
        <v>P</v>
      </c>
      <c r="AP3390" s="4" t="s">
        <v>376</v>
      </c>
      <c r="AR3390" s="4" t="s">
        <v>377</v>
      </c>
    </row>
    <row r="3391" spans="1:44">
      <c r="A3391" s="4" t="s">
        <v>5</v>
      </c>
      <c r="B3391" s="4">
        <v>1016588</v>
      </c>
      <c r="D3391" s="5" t="s">
        <v>5043</v>
      </c>
      <c r="E3391" s="6" t="str">
        <f>HYPERLINK("https://inpn.mnhn.fr/espece/cd_nom/1016588","Daleomyces petersii (Berk.) Van Vooren, 2020")</f>
        <v>Daleomyces petersii (Berk.) Van Vooren, 2020</v>
      </c>
      <c r="AH3391" s="4" t="str">
        <f>HYPERLINK("#Statut_biogéographique!A"&amp;_xlfn.XMATCH("P",Statut_biogéographique!A:A,2,1),"P")</f>
        <v>P</v>
      </c>
      <c r="AP3391" s="4" t="s">
        <v>376</v>
      </c>
      <c r="AR3391" s="4" t="s">
        <v>377</v>
      </c>
    </row>
    <row r="3392" spans="1:44" ht="30">
      <c r="A3392" s="4" t="s">
        <v>5</v>
      </c>
      <c r="B3392" s="4">
        <v>1017721</v>
      </c>
      <c r="C3392" s="4">
        <v>748</v>
      </c>
      <c r="D3392" s="5" t="s">
        <v>5044</v>
      </c>
      <c r="E3392" s="6" t="str">
        <f>HYPERLINK("https://inpn.mnhn.fr/espece/cd_nom/1017721","Xylodon radula (Fr.) Ţura, Zmitr., Wasser &amp; Spirin, 2011")</f>
        <v>Xylodon radula (Fr.) Ţura, Zmitr., Wasser &amp; Spirin, 2011</v>
      </c>
      <c r="V3392" s="7" t="str">
        <f>HYPERLINK("#Liste_rouge!A"&amp;_xlfn.XMATCH("LC",Liste_rouge!A:A,2,1),"LC")</f>
        <v>LC</v>
      </c>
      <c r="AH3392" s="4" t="str">
        <f>HYPERLINK("#Statut_biogéographique!A"&amp;_xlfn.XMATCH("P",Statut_biogéographique!A:A,2,1),"P")</f>
        <v>P</v>
      </c>
      <c r="AP3392" s="4" t="s">
        <v>376</v>
      </c>
      <c r="AR3392" s="4" t="s">
        <v>377</v>
      </c>
    </row>
    <row r="3393" spans="1:44" ht="30">
      <c r="A3393" s="4" t="s">
        <v>5</v>
      </c>
      <c r="B3393" s="4">
        <v>17783</v>
      </c>
      <c r="C3393" s="4">
        <v>3532</v>
      </c>
      <c r="D3393" s="5" t="s">
        <v>5045</v>
      </c>
      <c r="E3393" s="6" t="str">
        <f>HYPERLINK("https://inpn.mnhn.fr/espece/cd_nom/17783","Athelia teutoburgensis (Brinkmann) Jülich, 1973")</f>
        <v>Athelia teutoburgensis (Brinkmann) Jülich, 1973</v>
      </c>
      <c r="V3393" s="7" t="str">
        <f>HYPERLINK("#Liste_rouge!A"&amp;_xlfn.XMATCH("DD",Liste_rouge!A:A,2,1),"DD")</f>
        <v>DD</v>
      </c>
      <c r="AH3393" s="4" t="str">
        <f>HYPERLINK("#Statut_biogéographique!A"&amp;_xlfn.XMATCH("P",Statut_biogéographique!A:A,2,1),"P")</f>
        <v>P</v>
      </c>
      <c r="AP3393" s="4" t="s">
        <v>376</v>
      </c>
      <c r="AR3393" s="4" t="s">
        <v>377</v>
      </c>
    </row>
    <row r="3394" spans="1:44" ht="30">
      <c r="A3394" s="4" t="s">
        <v>5</v>
      </c>
      <c r="B3394" s="4">
        <v>29120</v>
      </c>
      <c r="D3394" s="5" t="s">
        <v>5046</v>
      </c>
      <c r="E3394" s="6" t="str">
        <f>HYPERLINK("https://inpn.mnhn.fr/espece/cd_nom/29120","Ossicaulis lignatilis (Pers.) Redhead &amp; Ginns, 1985")</f>
        <v>Ossicaulis lignatilis (Pers.) Redhead &amp; Ginns, 1985</v>
      </c>
      <c r="F3394" s="5" t="s">
        <v>5047</v>
      </c>
      <c r="V3394" s="7" t="str">
        <f>HYPERLINK("#Liste_rouge!A"&amp;_xlfn.XMATCH("DD",Liste_rouge!A:A,2,1),"DD")</f>
        <v>DD</v>
      </c>
      <c r="AH3394" s="4" t="str">
        <f>HYPERLINK("#Statut_biogéographique!A"&amp;_xlfn.XMATCH("P",Statut_biogéographique!A:A,2,1),"P")</f>
        <v>P</v>
      </c>
      <c r="AP3394" s="4" t="s">
        <v>376</v>
      </c>
      <c r="AR3394" s="4" t="s">
        <v>377</v>
      </c>
    </row>
    <row r="3395" spans="1:44" ht="30">
      <c r="A3395" s="4" t="s">
        <v>5</v>
      </c>
      <c r="B3395" s="4">
        <v>29227</v>
      </c>
      <c r="D3395" s="5" t="s">
        <v>5048</v>
      </c>
      <c r="E3395" s="6" t="str">
        <f>HYPERLINK("https://inpn.mnhn.fr/espece/cd_nom/29227","Phragmidium fragariae (DC.) G.Winter, 1881")</f>
        <v>Phragmidium fragariae (DC.) G.Winter, 1881</v>
      </c>
      <c r="AH3395" s="4" t="str">
        <f>HYPERLINK("#Statut_biogéographique!A"&amp;_xlfn.XMATCH("P",Statut_biogéographique!A:A,2,1),"P")</f>
        <v>P</v>
      </c>
      <c r="AP3395" s="4" t="s">
        <v>376</v>
      </c>
      <c r="AR3395" s="4" t="s">
        <v>377</v>
      </c>
    </row>
    <row r="3396" spans="1:44" ht="30">
      <c r="A3396" s="4" t="s">
        <v>5</v>
      </c>
      <c r="B3396" s="4">
        <v>29256</v>
      </c>
      <c r="D3396" s="5">
        <v>29256</v>
      </c>
      <c r="E3396" s="6" t="str">
        <f>HYPERLINK("https://inpn.mnhn.fr/espece/cd_nom/29256","Puccinia malvacearum Bertero ex Mont., 1852")</f>
        <v>Puccinia malvacearum Bertero ex Mont., 1852</v>
      </c>
      <c r="AH3396" s="4" t="str">
        <f>HYPERLINK("#Statut_biogéographique!A"&amp;_xlfn.XMATCH("P",Statut_biogéographique!A:A,2,1),"P")</f>
        <v>P</v>
      </c>
      <c r="AP3396" s="4" t="s">
        <v>376</v>
      </c>
      <c r="AR3396" s="4" t="s">
        <v>377</v>
      </c>
    </row>
    <row r="3397" spans="1:44" ht="30">
      <c r="A3397" s="4" t="s">
        <v>5</v>
      </c>
      <c r="B3397" s="4">
        <v>29257</v>
      </c>
      <c r="D3397" s="5" t="s">
        <v>5049</v>
      </c>
      <c r="E3397" s="6" t="str">
        <f>HYPERLINK("https://inpn.mnhn.fr/espece/cd_nom/29257","Puccinia menthae Pers., 1801")</f>
        <v>Puccinia menthae Pers., 1801</v>
      </c>
      <c r="AH3397" s="4" t="str">
        <f>HYPERLINK("#Statut_biogéographique!A"&amp;_xlfn.XMATCH("P",Statut_biogéographique!A:A,2,1),"P")</f>
        <v>P</v>
      </c>
      <c r="AP3397" s="4" t="s">
        <v>376</v>
      </c>
      <c r="AR3397" s="4" t="s">
        <v>377</v>
      </c>
    </row>
    <row r="3398" spans="1:44" ht="30">
      <c r="A3398" s="4" t="s">
        <v>5</v>
      </c>
      <c r="B3398" s="4">
        <v>29258</v>
      </c>
      <c r="D3398" s="5" t="s">
        <v>5050</v>
      </c>
      <c r="E3398" s="6" t="str">
        <f>HYPERLINK("https://inpn.mnhn.fr/espece/cd_nom/29258","Puccinia poarum Nielsen, 1877")</f>
        <v>Puccinia poarum Nielsen, 1877</v>
      </c>
      <c r="AH3398" s="4" t="str">
        <f>HYPERLINK("#Statut_biogéographique!A"&amp;_xlfn.XMATCH("P",Statut_biogéographique!A:A,2,1),"P")</f>
        <v>P</v>
      </c>
      <c r="AP3398" s="4" t="s">
        <v>376</v>
      </c>
      <c r="AR3398" s="4" t="s">
        <v>377</v>
      </c>
    </row>
    <row r="3399" spans="1:44">
      <c r="A3399" s="4" t="s">
        <v>5</v>
      </c>
      <c r="B3399" s="4">
        <v>29279</v>
      </c>
      <c r="D3399" s="5" t="s">
        <v>5051</v>
      </c>
      <c r="E3399" s="6" t="str">
        <f>HYPERLINK("https://inpn.mnhn.fr/espece/cd_nom/29279","Melanoleuca rasilis (Fr.) Singer, 1939")</f>
        <v>Melanoleuca rasilis (Fr.) Singer, 1939</v>
      </c>
      <c r="V3399" s="7" t="str">
        <f>HYPERLINK("#Liste_rouge!A"&amp;_xlfn.XMATCH("DD",Liste_rouge!A:A,2,1),"DD")</f>
        <v>DD</v>
      </c>
      <c r="AH3399" s="4" t="str">
        <f>HYPERLINK("#Statut_biogéographique!A"&amp;_xlfn.XMATCH("P",Statut_biogéographique!A:A,2,1),"P")</f>
        <v>P</v>
      </c>
      <c r="AP3399" s="4" t="s">
        <v>376</v>
      </c>
      <c r="AR3399" s="4" t="s">
        <v>377</v>
      </c>
    </row>
    <row r="3400" spans="1:44">
      <c r="A3400" s="4" t="s">
        <v>5</v>
      </c>
      <c r="B3400" s="4">
        <v>29291</v>
      </c>
      <c r="D3400" s="5" t="s">
        <v>5052</v>
      </c>
      <c r="E3400" s="6" t="str">
        <f>HYPERLINK("https://inpn.mnhn.fr/espece/cd_nom/29291","Melanoleuca stridula (Fr.) Singer, 1943")</f>
        <v>Melanoleuca stridula (Fr.) Singer, 1943</v>
      </c>
      <c r="V3400" s="7" t="str">
        <f>HYPERLINK("#Liste_rouge!A"&amp;_xlfn.XMATCH("EN",Liste_rouge!A:A,2,1),"EN")</f>
        <v>EN</v>
      </c>
      <c r="W3400" s="4" t="str">
        <f>HYPERLINK("#Critères_liste_rouge!A$1","A2c")</f>
        <v>A2c</v>
      </c>
      <c r="AH3400" s="4" t="str">
        <f>HYPERLINK("#Statut_biogéographique!A"&amp;_xlfn.XMATCH("P",Statut_biogéographique!A:A,2,1),"P")</f>
        <v>P</v>
      </c>
      <c r="AP3400" s="4" t="s">
        <v>376</v>
      </c>
      <c r="AR3400" s="4" t="s">
        <v>377</v>
      </c>
    </row>
    <row r="3401" spans="1:44">
      <c r="A3401" s="4" t="s">
        <v>5</v>
      </c>
      <c r="B3401" s="4">
        <v>29299</v>
      </c>
      <c r="D3401" s="5" t="s">
        <v>5053</v>
      </c>
      <c r="E3401" s="6" t="str">
        <f>HYPERLINK("https://inpn.mnhn.fr/espece/cd_nom/29299","Melanoleuca subbrevipes Métrod, 1942")</f>
        <v>Melanoleuca subbrevipes Métrod, 1942</v>
      </c>
      <c r="V3401" s="7" t="str">
        <f>HYPERLINK("#Liste_rouge!A"&amp;_xlfn.XMATCH("LC",Liste_rouge!A:A,2,1),"LC")</f>
        <v>LC</v>
      </c>
      <c r="AH3401" s="4" t="str">
        <f>HYPERLINK("#Statut_biogéographique!A"&amp;_xlfn.XMATCH("P",Statut_biogéographique!A:A,2,1),"P")</f>
        <v>P</v>
      </c>
      <c r="AP3401" s="4" t="s">
        <v>376</v>
      </c>
      <c r="AR3401" s="4" t="s">
        <v>377</v>
      </c>
    </row>
    <row r="3402" spans="1:44">
      <c r="A3402" s="4" t="s">
        <v>5</v>
      </c>
      <c r="B3402" s="4">
        <v>29322</v>
      </c>
      <c r="D3402" s="5" t="s">
        <v>5054</v>
      </c>
      <c r="E3402" s="6" t="str">
        <f>HYPERLINK("https://inpn.mnhn.fr/espece/cd_nom/29322","Uromyces ficariae (Schumach.) Lév., 1860")</f>
        <v>Uromyces ficariae (Schumach.) Lév., 1860</v>
      </c>
      <c r="AH3402" s="4" t="str">
        <f>HYPERLINK("#Statut_biogéographique!A"&amp;_xlfn.XMATCH("P",Statut_biogéographique!A:A,2,1),"P")</f>
        <v>P</v>
      </c>
      <c r="AP3402" s="4" t="s">
        <v>376</v>
      </c>
      <c r="AR3402" s="4" t="s">
        <v>377</v>
      </c>
    </row>
    <row r="3403" spans="1:44" ht="45">
      <c r="A3403" s="4" t="s">
        <v>5</v>
      </c>
      <c r="B3403" s="4">
        <v>29336</v>
      </c>
      <c r="C3403" s="4">
        <v>631</v>
      </c>
      <c r="D3403" s="5" t="s">
        <v>5055</v>
      </c>
      <c r="E3403" s="6" t="str">
        <f>HYPERLINK("https://inpn.mnhn.fr/espece/cd_nom/29336","Aureoboletus gentilis (Quél.) Pouzar, 1957")</f>
        <v>Aureoboletus gentilis (Quél.) Pouzar, 1957</v>
      </c>
      <c r="F3403" s="5" t="s">
        <v>5056</v>
      </c>
      <c r="V3403" s="7" t="str">
        <f>HYPERLINK("#Liste_rouge!A"&amp;_xlfn.XMATCH("LC",Liste_rouge!A:A,2,1),"LC")</f>
        <v>LC</v>
      </c>
      <c r="AH3403" s="4" t="str">
        <f>HYPERLINK("#Statut_biogéographique!A"&amp;_xlfn.XMATCH("P",Statut_biogéographique!A:A,2,1),"P")</f>
        <v>P</v>
      </c>
      <c r="AP3403" s="4" t="s">
        <v>376</v>
      </c>
      <c r="AR3403" s="4" t="s">
        <v>377</v>
      </c>
    </row>
    <row r="3404" spans="1:44" ht="30">
      <c r="A3404" s="4" t="s">
        <v>5</v>
      </c>
      <c r="B3404" s="4">
        <v>29347</v>
      </c>
      <c r="C3404" s="4">
        <v>1955</v>
      </c>
      <c r="D3404" s="5" t="s">
        <v>5057</v>
      </c>
      <c r="E3404" s="6" t="str">
        <f>HYPERLINK("https://inpn.mnhn.fr/espece/cd_nom/29347","Boletinus cavipes f. aureus (Rolland) Singer, 1938")</f>
        <v>Boletinus cavipes f. aureus (Rolland) Singer, 1938</v>
      </c>
      <c r="F3404" s="5" t="s">
        <v>5058</v>
      </c>
      <c r="AH3404" s="4" t="str">
        <f>HYPERLINK("#Statut_biogéographique!A"&amp;_xlfn.XMATCH("P",Statut_biogéographique!A:A,2,1),"P")</f>
        <v>P</v>
      </c>
      <c r="AP3404" s="4" t="s">
        <v>376</v>
      </c>
      <c r="AR3404" s="4" t="s">
        <v>377</v>
      </c>
    </row>
    <row r="3405" spans="1:44" ht="30">
      <c r="A3405" s="4" t="s">
        <v>5</v>
      </c>
      <c r="B3405" s="4">
        <v>29357</v>
      </c>
      <c r="C3405" s="4">
        <v>119</v>
      </c>
      <c r="D3405" s="5" t="s">
        <v>5059</v>
      </c>
      <c r="E3405" s="6" t="str">
        <f>HYPERLINK("https://inpn.mnhn.fr/espece/cd_nom/29357","Boletus aereus Bull., 1789")</f>
        <v>Boletus aereus Bull., 1789</v>
      </c>
      <c r="F3405" s="5" t="s">
        <v>5060</v>
      </c>
      <c r="V3405" s="7" t="str">
        <f>HYPERLINK("#Liste_rouge!A"&amp;_xlfn.XMATCH("NT",Liste_rouge!A:A,2,1),"NT")</f>
        <v>NT</v>
      </c>
      <c r="W3405" s="4" t="str">
        <f>HYPERLINK("#Critères_liste_rouge!A$1","pr. A2c")</f>
        <v>pr. A2c</v>
      </c>
      <c r="AH3405" s="4" t="str">
        <f>HYPERLINK("#Statut_biogéographique!A"&amp;_xlfn.XMATCH("P",Statut_biogéographique!A:A,2,1),"P")</f>
        <v>P</v>
      </c>
      <c r="AP3405" s="4" t="s">
        <v>376</v>
      </c>
      <c r="AR3405" s="4" t="s">
        <v>377</v>
      </c>
    </row>
    <row r="3406" spans="1:44" ht="30">
      <c r="A3406" s="4" t="s">
        <v>5</v>
      </c>
      <c r="B3406" s="4">
        <v>29362</v>
      </c>
      <c r="C3406" s="4">
        <v>15</v>
      </c>
      <c r="D3406" s="5" t="s">
        <v>5061</v>
      </c>
      <c r="E3406" s="6" t="str">
        <f>HYPERLINK("https://inpn.mnhn.fr/espece/cd_nom/29362","Boletus reticulatus Schaeff., 1774")</f>
        <v>Boletus reticulatus Schaeff., 1774</v>
      </c>
      <c r="F3406" s="5" t="s">
        <v>5062</v>
      </c>
      <c r="O3406" s="7" t="str">
        <f>HYPERLINK("#Liste_rouge!A"&amp;_xlfn.XMATCH("LC",Liste_rouge!A:A,2,1),"LC")</f>
        <v>LC</v>
      </c>
      <c r="V3406" s="7" t="str">
        <f>HYPERLINK("#Liste_rouge!A"&amp;_xlfn.XMATCH("LC",Liste_rouge!A:A,2,1),"LC")</f>
        <v>LC</v>
      </c>
      <c r="AH3406" s="4" t="str">
        <f>HYPERLINK("#Statut_biogéographique!A"&amp;_xlfn.XMATCH("P",Statut_biogéographique!A:A,2,1),"P")</f>
        <v>P</v>
      </c>
      <c r="AP3406" s="4" t="s">
        <v>376</v>
      </c>
      <c r="AR3406" s="4" t="s">
        <v>377</v>
      </c>
    </row>
    <row r="3407" spans="1:44" ht="60">
      <c r="A3407" s="4" t="s">
        <v>5</v>
      </c>
      <c r="B3407" s="4">
        <v>29388</v>
      </c>
      <c r="C3407" s="4">
        <v>29</v>
      </c>
      <c r="D3407" s="5" t="s">
        <v>5063</v>
      </c>
      <c r="E3407" s="6" t="str">
        <f>HYPERLINK("https://inpn.mnhn.fr/espece/cd_nom/29388","Boletus edulis Bull., 1782")</f>
        <v>Boletus edulis Bull., 1782</v>
      </c>
      <c r="F3407" s="5" t="s">
        <v>5064</v>
      </c>
      <c r="O3407" s="7" t="str">
        <f>HYPERLINK("#Liste_rouge!A"&amp;_xlfn.XMATCH("LC",Liste_rouge!A:A,2,1),"LC")</f>
        <v>LC</v>
      </c>
      <c r="V3407" s="7" t="str">
        <f>HYPERLINK("#Liste_rouge!A"&amp;_xlfn.XMATCH("LC",Liste_rouge!A:A,2,1),"LC")</f>
        <v>LC</v>
      </c>
      <c r="Z3407" s="4" t="s">
        <v>443</v>
      </c>
      <c r="AA3407" s="4" t="s">
        <v>444</v>
      </c>
      <c r="AH3407" s="4" t="str">
        <f>HYPERLINK("#Statut_biogéographique!A"&amp;_xlfn.XMATCH("P",Statut_biogéographique!A:A,2,1),"P")</f>
        <v>P</v>
      </c>
      <c r="AP3407" s="4" t="s">
        <v>376</v>
      </c>
      <c r="AR3407" s="4" t="s">
        <v>377</v>
      </c>
    </row>
    <row r="3408" spans="1:44" ht="30">
      <c r="A3408" s="4" t="s">
        <v>5</v>
      </c>
      <c r="B3408" s="4">
        <v>29435</v>
      </c>
      <c r="C3408" s="4">
        <v>2112</v>
      </c>
      <c r="D3408" s="5" t="s">
        <v>5065</v>
      </c>
      <c r="E3408" s="6" t="str">
        <f>HYPERLINK("https://inpn.mnhn.fr/espece/cd_nom/29435","Boletus edulis var. albus (Pers.) E.-J.Gilbert, 1931")</f>
        <v>Boletus edulis var. albus (Pers.) E.-J.Gilbert, 1931</v>
      </c>
      <c r="F3408" s="5" t="s">
        <v>5066</v>
      </c>
      <c r="V3408" s="7" t="str">
        <f>HYPERLINK("#Liste_rouge!A"&amp;_xlfn.XMATCH("EN",Liste_rouge!A:A,2,1),"EN")</f>
        <v>EN</v>
      </c>
      <c r="W3408" s="4" t="str">
        <f>HYPERLINK("#Critères_liste_rouge!A$1","B2abiii")</f>
        <v>B2abiii</v>
      </c>
      <c r="Z3408" s="4" t="s">
        <v>447</v>
      </c>
      <c r="AA3408" s="4" t="s">
        <v>448</v>
      </c>
      <c r="AH3408" s="4" t="str">
        <f>HYPERLINK("#Statut_biogéographique!A"&amp;_xlfn.XMATCH("P",Statut_biogéographique!A:A,2,1),"P")</f>
        <v>P</v>
      </c>
      <c r="AP3408" s="4" t="s">
        <v>376</v>
      </c>
      <c r="AR3408" s="4" t="s">
        <v>377</v>
      </c>
    </row>
    <row r="3409" spans="1:44">
      <c r="A3409" s="4" t="s">
        <v>5</v>
      </c>
      <c r="B3409" s="4">
        <v>29436</v>
      </c>
      <c r="C3409" s="4">
        <v>83</v>
      </c>
      <c r="D3409" s="5" t="s">
        <v>5067</v>
      </c>
      <c r="E3409" s="6" t="str">
        <f>HYPERLINK("https://inpn.mnhn.fr/espece/cd_nom/29436","Boletus pinophilus Pilát &amp; Dermek, 1973")</f>
        <v>Boletus pinophilus Pilát &amp; Dermek, 1973</v>
      </c>
      <c r="F3409" s="5" t="s">
        <v>5068</v>
      </c>
      <c r="O3409" s="7" t="str">
        <f>HYPERLINK("#Liste_rouge!A"&amp;_xlfn.XMATCH("LC",Liste_rouge!A:A,2,1),"LC")</f>
        <v>LC</v>
      </c>
      <c r="V3409" s="7" t="str">
        <f>HYPERLINK("#Liste_rouge!A"&amp;_xlfn.XMATCH("VU",Liste_rouge!A:A,2,1),"VU")</f>
        <v>VU</v>
      </c>
      <c r="W3409" s="4" t="str">
        <f>HYPERLINK("#Critères_liste_rouge!A$1","A2c")</f>
        <v>A2c</v>
      </c>
      <c r="Z3409" s="4" t="s">
        <v>443</v>
      </c>
      <c r="AA3409" s="4" t="s">
        <v>444</v>
      </c>
      <c r="AH3409" s="4" t="str">
        <f>HYPERLINK("#Statut_biogéographique!A"&amp;_xlfn.XMATCH("P",Statut_biogéographique!A:A,2,1),"P")</f>
        <v>P</v>
      </c>
      <c r="AP3409" s="4" t="s">
        <v>376</v>
      </c>
      <c r="AR3409" s="4" t="s">
        <v>377</v>
      </c>
    </row>
    <row r="3410" spans="1:44" ht="45">
      <c r="A3410" s="4" t="s">
        <v>5</v>
      </c>
      <c r="B3410" s="4">
        <v>29503</v>
      </c>
      <c r="C3410" s="4">
        <v>2876</v>
      </c>
      <c r="D3410" s="5" t="s">
        <v>5069</v>
      </c>
      <c r="E3410" s="6" t="str">
        <f>HYPERLINK("https://inpn.mnhn.fr/espece/cd_nom/29503","Chalciporus amarellus (Quél.) Bataille, 1908")</f>
        <v>Chalciporus amarellus (Quél.) Bataille, 1908</v>
      </c>
      <c r="F3410" s="5" t="s">
        <v>5070</v>
      </c>
      <c r="V3410" s="7" t="str">
        <f>HYPERLINK("#Liste_rouge!A"&amp;_xlfn.XMATCH("LC",Liste_rouge!A:A,2,1),"LC")</f>
        <v>LC</v>
      </c>
      <c r="Z3410" s="4" t="s">
        <v>447</v>
      </c>
      <c r="AA3410" s="4" t="s">
        <v>448</v>
      </c>
      <c r="AH3410" s="4" t="str">
        <f>HYPERLINK("#Statut_biogéographique!A"&amp;_xlfn.XMATCH("P",Statut_biogéographique!A:A,2,1),"P")</f>
        <v>P</v>
      </c>
      <c r="AP3410" s="4" t="s">
        <v>376</v>
      </c>
      <c r="AR3410" s="4" t="s">
        <v>377</v>
      </c>
    </row>
    <row r="3411" spans="1:44" ht="30">
      <c r="A3411" s="4" t="s">
        <v>5</v>
      </c>
      <c r="B3411" s="4">
        <v>29512</v>
      </c>
      <c r="C3411" s="4">
        <v>641</v>
      </c>
      <c r="D3411" s="5" t="s">
        <v>5071</v>
      </c>
      <c r="E3411" s="6" t="str">
        <f>HYPERLINK("https://inpn.mnhn.fr/espece/cd_nom/29512","Chalciporus piperatus (Bull.) Bataille, 1908")</f>
        <v>Chalciporus piperatus (Bull.) Bataille, 1908</v>
      </c>
      <c r="F3411" s="5" t="s">
        <v>5072</v>
      </c>
      <c r="V3411" s="7" t="str">
        <f>HYPERLINK("#Liste_rouge!A"&amp;_xlfn.XMATCH("LC",Liste_rouge!A:A,2,1),"LC")</f>
        <v>LC</v>
      </c>
      <c r="AH3411" s="4" t="str">
        <f>HYPERLINK("#Statut_biogéographique!A"&amp;_xlfn.XMATCH("P",Statut_biogéographique!A:A,2,1),"P")</f>
        <v>P</v>
      </c>
      <c r="AP3411" s="4" t="s">
        <v>376</v>
      </c>
      <c r="AR3411" s="4" t="s">
        <v>377</v>
      </c>
    </row>
    <row r="3412" spans="1:44" ht="30">
      <c r="A3412" s="4" t="s">
        <v>5</v>
      </c>
      <c r="B3412" s="4">
        <v>29523</v>
      </c>
      <c r="C3412" s="4">
        <v>1658</v>
      </c>
      <c r="D3412" s="5" t="s">
        <v>5073</v>
      </c>
      <c r="E3412" s="6" t="str">
        <f>HYPERLINK("https://inpn.mnhn.fr/espece/cd_nom/29523","Gyrodon lividus (Bull.) Sacc., 1888")</f>
        <v>Gyrodon lividus (Bull.) Sacc., 1888</v>
      </c>
      <c r="F3412" s="5" t="s">
        <v>5074</v>
      </c>
      <c r="V3412" s="7" t="str">
        <f>HYPERLINK("#Liste_rouge!A"&amp;_xlfn.XMATCH("LC",Liste_rouge!A:A,2,1),"LC")</f>
        <v>LC</v>
      </c>
      <c r="Z3412" s="4" t="s">
        <v>447</v>
      </c>
      <c r="AA3412" s="4" t="s">
        <v>448</v>
      </c>
      <c r="AH3412" s="4" t="str">
        <f>HYPERLINK("#Statut_biogéographique!A"&amp;_xlfn.XMATCH("P",Statut_biogéographique!A:A,2,1),"P")</f>
        <v>P</v>
      </c>
      <c r="AP3412" s="4" t="s">
        <v>376</v>
      </c>
      <c r="AR3412" s="4" t="s">
        <v>377</v>
      </c>
    </row>
    <row r="3413" spans="1:44" ht="30">
      <c r="A3413" s="4" t="s">
        <v>5</v>
      </c>
      <c r="B3413" s="4">
        <v>29528</v>
      </c>
      <c r="C3413" s="4">
        <v>126</v>
      </c>
      <c r="D3413" s="5" t="s">
        <v>5075</v>
      </c>
      <c r="E3413" s="6" t="str">
        <f>HYPERLINK("https://inpn.mnhn.fr/espece/cd_nom/29528","Gyroporus castaneus (Bull.) Quél., 1886")</f>
        <v>Gyroporus castaneus (Bull.) Quél., 1886</v>
      </c>
      <c r="F3413" s="5" t="s">
        <v>5076</v>
      </c>
      <c r="V3413" s="7" t="str">
        <f>HYPERLINK("#Liste_rouge!A"&amp;_xlfn.XMATCH("LC",Liste_rouge!A:A,2,1),"LC")</f>
        <v>LC</v>
      </c>
      <c r="AH3413" s="4" t="str">
        <f>HYPERLINK("#Statut_biogéographique!A"&amp;_xlfn.XMATCH("P",Statut_biogéographique!A:A,2,1),"P")</f>
        <v>P</v>
      </c>
      <c r="AP3413" s="4" t="s">
        <v>376</v>
      </c>
      <c r="AR3413" s="4" t="s">
        <v>377</v>
      </c>
    </row>
    <row r="3414" spans="1:44" ht="30">
      <c r="A3414" s="4" t="s">
        <v>5</v>
      </c>
      <c r="B3414" s="4">
        <v>29541</v>
      </c>
      <c r="C3414" s="4">
        <v>232</v>
      </c>
      <c r="D3414" s="5" t="s">
        <v>5077</v>
      </c>
      <c r="E3414" s="6" t="str">
        <f>HYPERLINK("https://inpn.mnhn.fr/espece/cd_nom/29541","Leccinum aerugineum (Fr.) Lannoy &amp; Estadès, 1991")</f>
        <v>Leccinum aerugineum (Fr.) Lannoy &amp; Estadès, 1991</v>
      </c>
      <c r="F3414" s="5" t="s">
        <v>5078</v>
      </c>
      <c r="V3414" s="7" t="str">
        <f>HYPERLINK("#Liste_rouge!A"&amp;_xlfn.XMATCH("VU",Liste_rouge!A:A,2,1),"VU")</f>
        <v>VU</v>
      </c>
      <c r="W3414" s="4" t="str">
        <f>HYPERLINK("#Critères_liste_rouge!A$1","A2c + B2ab(iii)")</f>
        <v>A2c + B2ab(iii)</v>
      </c>
      <c r="Z3414" s="4" t="s">
        <v>447</v>
      </c>
      <c r="AA3414" s="4" t="s">
        <v>448</v>
      </c>
      <c r="AH3414" s="4" t="str">
        <f>HYPERLINK("#Statut_biogéographique!A"&amp;_xlfn.XMATCH("P",Statut_biogéographique!A:A,2,1),"P")</f>
        <v>P</v>
      </c>
      <c r="AP3414" s="4" t="s">
        <v>376</v>
      </c>
      <c r="AR3414" s="4" t="s">
        <v>377</v>
      </c>
    </row>
    <row r="3415" spans="1:44" ht="60">
      <c r="A3415" s="4" t="s">
        <v>5</v>
      </c>
      <c r="B3415" s="4">
        <v>29545</v>
      </c>
      <c r="C3415" s="4">
        <v>654</v>
      </c>
      <c r="D3415" s="5" t="s">
        <v>5079</v>
      </c>
      <c r="E3415" s="6" t="str">
        <f>HYPERLINK("https://inpn.mnhn.fr/espece/cd_nom/29545","Leccinum aurantiacum (Bull.) Gray, 1821")</f>
        <v>Leccinum aurantiacum (Bull.) Gray, 1821</v>
      </c>
      <c r="F3415" s="5" t="s">
        <v>5080</v>
      </c>
      <c r="V3415" s="7" t="str">
        <f>HYPERLINK("#Liste_rouge!A"&amp;_xlfn.XMATCH("LC",Liste_rouge!A:A,2,1),"LC")</f>
        <v>LC</v>
      </c>
      <c r="AH3415" s="4" t="str">
        <f>HYPERLINK("#Statut_biogéographique!A"&amp;_xlfn.XMATCH("P",Statut_biogéographique!A:A,2,1),"P")</f>
        <v>P</v>
      </c>
      <c r="AP3415" s="4" t="s">
        <v>376</v>
      </c>
      <c r="AR3415" s="4" t="s">
        <v>377</v>
      </c>
    </row>
    <row r="3416" spans="1:44" ht="30">
      <c r="A3416" s="4" t="s">
        <v>5</v>
      </c>
      <c r="B3416" s="4">
        <v>29552</v>
      </c>
      <c r="C3416" s="4">
        <v>3771</v>
      </c>
      <c r="D3416" s="5" t="s">
        <v>5081</v>
      </c>
      <c r="E3416" s="6" t="str">
        <f>HYPERLINK("https://inpn.mnhn.fr/espece/cd_nom/29552","Leccinum brunneogriseolum Lannoy &amp; Estadès, 1991")</f>
        <v>Leccinum brunneogriseolum Lannoy &amp; Estadès, 1991</v>
      </c>
      <c r="F3416" s="5" t="s">
        <v>5082</v>
      </c>
      <c r="V3416" s="7" t="str">
        <f>HYPERLINK("#Liste_rouge!A"&amp;_xlfn.XMATCH("LC",Liste_rouge!A:A,2,1),"LC")</f>
        <v>LC</v>
      </c>
      <c r="W3416" s="4" t="str">
        <f>HYPERLINK("#Critères_liste_rouge!A$1","A2c")</f>
        <v>A2c</v>
      </c>
      <c r="Z3416" s="4" t="s">
        <v>447</v>
      </c>
      <c r="AA3416" s="4" t="s">
        <v>448</v>
      </c>
      <c r="AH3416" s="4" t="str">
        <f>HYPERLINK("#Statut_biogéographique!A"&amp;_xlfn.XMATCH("P",Statut_biogéographique!A:A,2,1),"P")</f>
        <v>P</v>
      </c>
      <c r="AP3416" s="4" t="s">
        <v>376</v>
      </c>
      <c r="AR3416" s="4" t="s">
        <v>377</v>
      </c>
    </row>
    <row r="3417" spans="1:44" ht="30">
      <c r="A3417" s="4" t="s">
        <v>5</v>
      </c>
      <c r="B3417" s="4">
        <v>29553</v>
      </c>
      <c r="C3417" s="4">
        <v>3771</v>
      </c>
      <c r="D3417" s="5">
        <v>29553</v>
      </c>
      <c r="E3417" s="6" t="str">
        <f>HYPERLINK("https://inpn.mnhn.fr/espece/cd_nom/29553","Leccinum brunneogriseolum var. pubescentium Lannoy &amp; Estadès, 1991")</f>
        <v>Leccinum brunneogriseolum var. pubescentium Lannoy &amp; Estadès, 1991</v>
      </c>
      <c r="F3417" s="5" t="s">
        <v>5083</v>
      </c>
      <c r="V3417" s="7" t="str">
        <f>HYPERLINK("#Liste_rouge!A"&amp;_xlfn.XMATCH("LC",Liste_rouge!A:A,2,1),"LC")</f>
        <v>LC</v>
      </c>
      <c r="W3417" s="4" t="str">
        <f>HYPERLINK("#Critères_liste_rouge!A$1","A2c")</f>
        <v>A2c</v>
      </c>
      <c r="Z3417" s="4" t="s">
        <v>447</v>
      </c>
      <c r="AA3417" s="4" t="s">
        <v>448</v>
      </c>
      <c r="AH3417" s="4" t="str">
        <f>HYPERLINK("#Statut_biogéographique!A"&amp;_xlfn.XMATCH("P",Statut_biogéographique!A:A,2,1),"P")</f>
        <v>P</v>
      </c>
      <c r="AP3417" s="4" t="s">
        <v>376</v>
      </c>
      <c r="AR3417" s="4" t="s">
        <v>377</v>
      </c>
    </row>
    <row r="3418" spans="1:44" ht="30">
      <c r="A3418" s="4" t="s">
        <v>5</v>
      </c>
      <c r="B3418" s="4">
        <v>29554</v>
      </c>
      <c r="C3418" s="4">
        <v>3771</v>
      </c>
      <c r="D3418" s="5" t="s">
        <v>5084</v>
      </c>
      <c r="E3418" s="6" t="str">
        <f>HYPERLINK("https://inpn.mnhn.fr/espece/cd_nom/29554","Leccinum brunneogriseolum var. pubescentium Lannoy &amp; Estadès, 1991")</f>
        <v>Leccinum brunneogriseolum var. pubescentium Lannoy &amp; Estadès, 1991</v>
      </c>
      <c r="F3418" s="5" t="s">
        <v>5085</v>
      </c>
      <c r="V3418" s="7" t="str">
        <f>HYPERLINK("#Liste_rouge!A"&amp;_xlfn.XMATCH("LC",Liste_rouge!A:A,2,1),"LC")</f>
        <v>LC</v>
      </c>
      <c r="W3418" s="4" t="str">
        <f>HYPERLINK("#Critères_liste_rouge!A$1","A2c")</f>
        <v>A2c</v>
      </c>
      <c r="Z3418" s="4" t="s">
        <v>447</v>
      </c>
      <c r="AA3418" s="4" t="s">
        <v>448</v>
      </c>
      <c r="AH3418" s="4" t="str">
        <f>HYPERLINK("#Statut_biogéographique!A"&amp;_xlfn.XMATCH("P",Statut_biogéographique!A:A,2,1),"P")</f>
        <v>P</v>
      </c>
      <c r="AP3418" s="4" t="s">
        <v>376</v>
      </c>
      <c r="AR3418" s="4" t="s">
        <v>377</v>
      </c>
    </row>
    <row r="3419" spans="1:44" ht="60">
      <c r="A3419" s="4" t="s">
        <v>5</v>
      </c>
      <c r="B3419" s="4">
        <v>29569</v>
      </c>
      <c r="C3419" s="4">
        <v>954</v>
      </c>
      <c r="D3419" s="5" t="s">
        <v>5086</v>
      </c>
      <c r="E3419" s="6" t="str">
        <f>HYPERLINK("https://inpn.mnhn.fr/espece/cd_nom/29569","Leccinum crocipodium (Letell.) Watling, 1961")</f>
        <v>Leccinum crocipodium (Letell.) Watling, 1961</v>
      </c>
      <c r="F3419" s="5" t="s">
        <v>5087</v>
      </c>
      <c r="V3419" s="7" t="str">
        <f>HYPERLINK("#Liste_rouge!A"&amp;_xlfn.XMATCH("LC",Liste_rouge!A:A,2,1),"LC")</f>
        <v>LC</v>
      </c>
      <c r="AH3419" s="4" t="str">
        <f>HYPERLINK("#Statut_biogéographique!A"&amp;_xlfn.XMATCH("P",Statut_biogéographique!A:A,2,1),"P")</f>
        <v>P</v>
      </c>
      <c r="AP3419" s="4" t="s">
        <v>376</v>
      </c>
      <c r="AR3419" s="4" t="s">
        <v>377</v>
      </c>
    </row>
    <row r="3420" spans="1:44" ht="30">
      <c r="A3420" s="4" t="s">
        <v>5</v>
      </c>
      <c r="B3420" s="4">
        <v>29574</v>
      </c>
      <c r="C3420" s="4">
        <v>3771</v>
      </c>
      <c r="D3420" s="5">
        <v>29574</v>
      </c>
      <c r="E3420" s="6" t="str">
        <f>HYPERLINK("https://inpn.mnhn.fr/espece/cd_nom/29574","Leccinum brunneogriseolum var. pubescentium Lannoy &amp; Estadès, 1991")</f>
        <v>Leccinum brunneogriseolum var. pubescentium Lannoy &amp; Estadès, 1991</v>
      </c>
      <c r="F3420" s="5" t="s">
        <v>5088</v>
      </c>
      <c r="V3420" s="7" t="str">
        <f>HYPERLINK("#Liste_rouge!A"&amp;_xlfn.XMATCH("LC",Liste_rouge!A:A,2,1),"LC")</f>
        <v>LC</v>
      </c>
      <c r="W3420" s="4" t="str">
        <f>HYPERLINK("#Critères_liste_rouge!A$1","A2c")</f>
        <v>A2c</v>
      </c>
      <c r="Z3420" s="4" t="s">
        <v>447</v>
      </c>
      <c r="AA3420" s="4" t="s">
        <v>448</v>
      </c>
      <c r="AH3420" s="4" t="str">
        <f>HYPERLINK("#Statut_biogéographique!A"&amp;_xlfn.XMATCH("P",Statut_biogéographique!A:A,2,1),"P")</f>
        <v>P</v>
      </c>
      <c r="AP3420" s="4" t="s">
        <v>376</v>
      </c>
      <c r="AR3420" s="4" t="s">
        <v>377</v>
      </c>
    </row>
    <row r="3421" spans="1:44" ht="30">
      <c r="A3421" s="4" t="s">
        <v>5</v>
      </c>
      <c r="B3421" s="4">
        <v>29577</v>
      </c>
      <c r="C3421" s="4">
        <v>78</v>
      </c>
      <c r="D3421" s="5" t="s">
        <v>5089</v>
      </c>
      <c r="E3421" s="6" t="str">
        <f>HYPERLINK("https://inpn.mnhn.fr/espece/cd_nom/29577","Leccinum duriusculum (Schulzer ex Kalchbr.) Singer, 1947")</f>
        <v>Leccinum duriusculum (Schulzer ex Kalchbr.) Singer, 1947</v>
      </c>
      <c r="F3421" s="5" t="s">
        <v>5090</v>
      </c>
      <c r="V3421" s="7" t="str">
        <f>HYPERLINK("#Liste_rouge!A"&amp;_xlfn.XMATCH("LC",Liste_rouge!A:A,2,1),"LC")</f>
        <v>LC</v>
      </c>
      <c r="AH3421" s="4" t="str">
        <f>HYPERLINK("#Statut_biogéographique!A"&amp;_xlfn.XMATCH("P",Statut_biogéographique!A:A,2,1),"P")</f>
        <v>P</v>
      </c>
      <c r="AP3421" s="4" t="s">
        <v>376</v>
      </c>
      <c r="AR3421" s="4" t="s">
        <v>377</v>
      </c>
    </row>
    <row r="3422" spans="1:44" ht="30">
      <c r="A3422" s="4" t="s">
        <v>5</v>
      </c>
      <c r="B3422" s="4">
        <v>29583</v>
      </c>
      <c r="D3422" s="5" t="s">
        <v>5091</v>
      </c>
      <c r="E3422" s="6" t="str">
        <f>HYPERLINK("https://inpn.mnhn.fr/espece/cd_nom/29583","Leccinum holopus (Rostk.) Watling, 1960")</f>
        <v>Leccinum holopus (Rostk.) Watling, 1960</v>
      </c>
      <c r="F3422" s="5" t="s">
        <v>5092</v>
      </c>
      <c r="V3422" s="7" t="str">
        <f>HYPERLINK("#Liste_rouge!A"&amp;_xlfn.XMATCH("EN",Liste_rouge!A:A,2,1),"EN")</f>
        <v>EN</v>
      </c>
      <c r="W3422" s="4" t="str">
        <f>HYPERLINK("#Critères_liste_rouge!A$1","A2c")</f>
        <v>A2c</v>
      </c>
      <c r="AH3422" s="4" t="str">
        <f>HYPERLINK("#Statut_biogéographique!A"&amp;_xlfn.XMATCH("P",Statut_biogéographique!A:A,2,1),"P")</f>
        <v>P</v>
      </c>
      <c r="AP3422" s="4" t="s">
        <v>376</v>
      </c>
      <c r="AR3422" s="4" t="s">
        <v>377</v>
      </c>
    </row>
    <row r="3423" spans="1:44">
      <c r="A3423" s="4" t="s">
        <v>5</v>
      </c>
      <c r="B3423" s="4">
        <v>29595</v>
      </c>
      <c r="D3423" s="5" t="s">
        <v>5093</v>
      </c>
      <c r="E3423" s="6" t="str">
        <f>HYPERLINK("https://inpn.mnhn.fr/espece/cd_nom/29595","Leccinum molle (Bon) Bon, 1989")</f>
        <v>Leccinum molle (Bon) Bon, 1989</v>
      </c>
      <c r="F3423" s="5" t="s">
        <v>1944</v>
      </c>
      <c r="V3423" s="7" t="str">
        <f>HYPERLINK("#Liste_rouge!A"&amp;_xlfn.XMATCH("LC",Liste_rouge!A:A,2,1),"LC")</f>
        <v>LC</v>
      </c>
      <c r="AH3423" s="4" t="str">
        <f>HYPERLINK("#Statut_biogéographique!A"&amp;_xlfn.XMATCH("P",Statut_biogéographique!A:A,2,1),"P")</f>
        <v>P</v>
      </c>
      <c r="AP3423" s="4" t="s">
        <v>376</v>
      </c>
      <c r="AR3423" s="4" t="s">
        <v>377</v>
      </c>
    </row>
    <row r="3424" spans="1:44">
      <c r="A3424" s="4" t="s">
        <v>5</v>
      </c>
      <c r="B3424" s="4">
        <v>29600</v>
      </c>
      <c r="D3424" s="5">
        <v>29600</v>
      </c>
      <c r="E3424" s="6" t="str">
        <f>HYPERLINK("https://inpn.mnhn.fr/espece/cd_nom/29600","Leccinum nucatum Lannoy &amp; Estadès, 1993")</f>
        <v>Leccinum nucatum Lannoy &amp; Estadès, 1993</v>
      </c>
      <c r="F3424" s="5" t="s">
        <v>5094</v>
      </c>
      <c r="V3424" s="7" t="str">
        <f>HYPERLINK("#Liste_rouge!A"&amp;_xlfn.XMATCH("NT",Liste_rouge!A:A,2,1),"NT")</f>
        <v>NT</v>
      </c>
      <c r="W3424" s="4" t="str">
        <f>HYPERLINK("#Critères_liste_rouge!A$1","pr. B2a")</f>
        <v>pr. B2a</v>
      </c>
      <c r="AH3424" s="4" t="str">
        <f>HYPERLINK("#Statut_biogéographique!A"&amp;_xlfn.XMATCH("P",Statut_biogéographique!A:A,2,1),"P")</f>
        <v>P</v>
      </c>
      <c r="AP3424" s="4" t="s">
        <v>376</v>
      </c>
      <c r="AR3424" s="4" t="s">
        <v>377</v>
      </c>
    </row>
    <row r="3425" spans="1:44">
      <c r="A3425" s="4" t="s">
        <v>5</v>
      </c>
      <c r="B3425" s="4">
        <v>29616</v>
      </c>
      <c r="D3425" s="5">
        <v>29616</v>
      </c>
      <c r="E3425" s="6" t="str">
        <f>HYPERLINK("https://inpn.mnhn.fr/espece/cd_nom/29616","Leccinum rigidipes P.D.Orton, 1988")</f>
        <v>Leccinum rigidipes P.D.Orton, 1988</v>
      </c>
      <c r="V3425" s="7" t="str">
        <f>HYPERLINK("#Liste_rouge!A"&amp;_xlfn.XMATCH("DD",Liste_rouge!A:A,2,1),"DD")</f>
        <v>DD</v>
      </c>
      <c r="AH3425" s="4" t="str">
        <f>HYPERLINK("#Statut_biogéographique!A"&amp;_xlfn.XMATCH("P",Statut_biogéographique!A:A,2,1),"P")</f>
        <v>P</v>
      </c>
      <c r="AP3425" s="4" t="s">
        <v>376</v>
      </c>
      <c r="AR3425" s="4" t="s">
        <v>377</v>
      </c>
    </row>
    <row r="3426" spans="1:44">
      <c r="A3426" s="4" t="s">
        <v>5</v>
      </c>
      <c r="B3426" s="4">
        <v>29617</v>
      </c>
      <c r="D3426" s="5" t="s">
        <v>5095</v>
      </c>
      <c r="E3426" s="6" t="str">
        <f>HYPERLINK("https://inpn.mnhn.fr/espece/cd_nom/29617","Leccinum roseofractum Watling, 1968")</f>
        <v>Leccinum roseofractum Watling, 1968</v>
      </c>
      <c r="F3426" s="5" t="s">
        <v>5096</v>
      </c>
      <c r="V3426" s="7" t="str">
        <f>HYPERLINK("#Liste_rouge!A"&amp;_xlfn.XMATCH("VU",Liste_rouge!A:A,2,1),"VU")</f>
        <v>VU</v>
      </c>
      <c r="W3426" s="4" t="str">
        <f>HYPERLINK("#Critères_liste_rouge!A$1","A2c")</f>
        <v>A2c</v>
      </c>
      <c r="AH3426" s="4" t="str">
        <f>HYPERLINK("#Statut_biogéographique!A"&amp;_xlfn.XMATCH("P",Statut_biogéographique!A:A,2,1),"P")</f>
        <v>P</v>
      </c>
      <c r="AP3426" s="4" t="s">
        <v>376</v>
      </c>
      <c r="AR3426" s="4" t="s">
        <v>377</v>
      </c>
    </row>
    <row r="3427" spans="1:44" ht="30">
      <c r="A3427" s="4" t="s">
        <v>5</v>
      </c>
      <c r="B3427" s="4">
        <v>29628</v>
      </c>
      <c r="D3427" s="5" t="s">
        <v>5097</v>
      </c>
      <c r="E3427" s="6" t="str">
        <f>HYPERLINK("https://inpn.mnhn.fr/espece/cd_nom/29628","Leccinum scabrum (Bull.) Gray, 1821")</f>
        <v>Leccinum scabrum (Bull.) Gray, 1821</v>
      </c>
      <c r="F3427" s="5" t="s">
        <v>5098</v>
      </c>
      <c r="V3427" s="7" t="str">
        <f>HYPERLINK("#Liste_rouge!A"&amp;_xlfn.XMATCH("LC",Liste_rouge!A:A,2,1),"LC")</f>
        <v>LC</v>
      </c>
      <c r="AH3427" s="4" t="str">
        <f>HYPERLINK("#Statut_biogéographique!A"&amp;_xlfn.XMATCH("P",Statut_biogéographique!A:A,2,1),"P")</f>
        <v>P</v>
      </c>
      <c r="AP3427" s="4" t="s">
        <v>376</v>
      </c>
      <c r="AR3427" s="4" t="s">
        <v>377</v>
      </c>
    </row>
    <row r="3428" spans="1:44" ht="30">
      <c r="A3428" s="4" t="s">
        <v>5</v>
      </c>
      <c r="B3428" s="4">
        <v>29660</v>
      </c>
      <c r="D3428" s="5" t="s">
        <v>5099</v>
      </c>
      <c r="E3428" s="6" t="str">
        <f>HYPERLINK("https://inpn.mnhn.fr/espece/cd_nom/29660","Porphyrellus porphyrosporus (Fr. &amp; Hök) E.-J.Gilbert, 1931")</f>
        <v>Porphyrellus porphyrosporus (Fr. &amp; Hök) E.-J.Gilbert, 1931</v>
      </c>
      <c r="F3428" s="5" t="s">
        <v>5100</v>
      </c>
      <c r="V3428" s="7" t="str">
        <f>HYPERLINK("#Liste_rouge!A"&amp;_xlfn.XMATCH("LC",Liste_rouge!A:A,2,1),"LC")</f>
        <v>LC</v>
      </c>
      <c r="AH3428" s="4" t="str">
        <f>HYPERLINK("#Statut_biogéographique!A"&amp;_xlfn.XMATCH("P",Statut_biogéographique!A:A,2,1),"P")</f>
        <v>P</v>
      </c>
      <c r="AP3428" s="4" t="s">
        <v>376</v>
      </c>
      <c r="AR3428" s="4" t="s">
        <v>377</v>
      </c>
    </row>
    <row r="3429" spans="1:44" ht="30">
      <c r="A3429" s="4" t="s">
        <v>5</v>
      </c>
      <c r="B3429" s="4">
        <v>29679</v>
      </c>
      <c r="D3429" s="5" t="s">
        <v>5101</v>
      </c>
      <c r="E3429" s="6" t="str">
        <f>HYPERLINK("https://inpn.mnhn.fr/espece/cd_nom/29679","Strobilomyces strobilaceus (Scop.) Berk., 1851")</f>
        <v>Strobilomyces strobilaceus (Scop.) Berk., 1851</v>
      </c>
      <c r="F3429" s="5" t="s">
        <v>705</v>
      </c>
      <c r="V3429" s="7" t="str">
        <f>HYPERLINK("#Liste_rouge!A"&amp;_xlfn.XMATCH("LC",Liste_rouge!A:A,2,1),"LC")</f>
        <v>LC</v>
      </c>
      <c r="AH3429" s="4" t="str">
        <f>HYPERLINK("#Statut_biogéographique!A"&amp;_xlfn.XMATCH("P",Statut_biogéographique!A:A,2,1),"P")</f>
        <v>P</v>
      </c>
      <c r="AP3429" s="4" t="s">
        <v>376</v>
      </c>
      <c r="AR3429" s="4" t="s">
        <v>377</v>
      </c>
    </row>
    <row r="3430" spans="1:44" ht="30">
      <c r="A3430" s="4" t="s">
        <v>5</v>
      </c>
      <c r="B3430" s="4">
        <v>29704</v>
      </c>
      <c r="D3430" s="5" t="s">
        <v>5102</v>
      </c>
      <c r="E3430" s="6" t="str">
        <f>HYPERLINK("https://inpn.mnhn.fr/espece/cd_nom/29704","Suillus collinitus (Fr.) Kuntze, 1898")</f>
        <v>Suillus collinitus (Fr.) Kuntze, 1898</v>
      </c>
      <c r="F3430" s="5" t="s">
        <v>2946</v>
      </c>
      <c r="V3430" s="7" t="str">
        <f>HYPERLINK("#Liste_rouge!A"&amp;_xlfn.XMATCH("LC",Liste_rouge!A:A,2,1),"LC")</f>
        <v>LC</v>
      </c>
      <c r="AH3430" s="4" t="str">
        <f>HYPERLINK("#Statut_biogéographique!A"&amp;_xlfn.XMATCH("P",Statut_biogéographique!A:A,2,1),"P")</f>
        <v>P</v>
      </c>
      <c r="AP3430" s="4" t="s">
        <v>376</v>
      </c>
      <c r="AR3430" s="4" t="s">
        <v>377</v>
      </c>
    </row>
    <row r="3431" spans="1:44" ht="30">
      <c r="A3431" s="4" t="s">
        <v>5</v>
      </c>
      <c r="B3431" s="4">
        <v>29708</v>
      </c>
      <c r="D3431" s="5" t="s">
        <v>5103</v>
      </c>
      <c r="E3431" s="6" t="str">
        <f>HYPERLINK("https://inpn.mnhn.fr/espece/cd_nom/29708","Suillus flavidus (Fr.) J.Presl, 1846")</f>
        <v>Suillus flavidus (Fr.) J.Presl, 1846</v>
      </c>
      <c r="F3431" s="5" t="s">
        <v>2862</v>
      </c>
      <c r="V3431" s="7" t="str">
        <f>HYPERLINK("#Liste_rouge!A"&amp;_xlfn.XMATCH("CR",Liste_rouge!A:A,2,1),"CR")</f>
        <v>CR</v>
      </c>
      <c r="W3431" s="4" t="str">
        <f>HYPERLINK("#Critères_liste_rouge!A$1","B2abiii")</f>
        <v>B2abiii</v>
      </c>
      <c r="AH3431" s="4" t="str">
        <f>HYPERLINK("#Statut_biogéographique!A"&amp;_xlfn.XMATCH("P",Statut_biogéographique!A:A,2,1),"P")</f>
        <v>P</v>
      </c>
      <c r="AP3431" s="4" t="s">
        <v>376</v>
      </c>
      <c r="AR3431" s="4" t="s">
        <v>377</v>
      </c>
    </row>
    <row r="3432" spans="1:44" ht="45">
      <c r="A3432" s="4" t="s">
        <v>5</v>
      </c>
      <c r="B3432" s="4">
        <v>29712</v>
      </c>
      <c r="D3432" s="5" t="s">
        <v>5104</v>
      </c>
      <c r="E3432" s="6" t="str">
        <f>HYPERLINK("https://inpn.mnhn.fr/espece/cd_nom/29712","Suillus granulatus (L.) Roussel, 1796")</f>
        <v>Suillus granulatus (L.) Roussel, 1796</v>
      </c>
      <c r="F3432" s="5" t="s">
        <v>5105</v>
      </c>
      <c r="O3432" s="7" t="str">
        <f>HYPERLINK("#Liste_rouge!A"&amp;_xlfn.XMATCH("LC",Liste_rouge!A:A,2,1),"LC")</f>
        <v>LC</v>
      </c>
      <c r="V3432" s="7" t="str">
        <f>HYPERLINK("#Liste_rouge!A"&amp;_xlfn.XMATCH("LC",Liste_rouge!A:A,2,1),"LC")</f>
        <v>LC</v>
      </c>
      <c r="AH3432" s="4" t="str">
        <f>HYPERLINK("#Statut_biogéographique!A"&amp;_xlfn.XMATCH("P",Statut_biogéographique!A:A,2,1),"P")</f>
        <v>P</v>
      </c>
      <c r="AP3432" s="4" t="s">
        <v>376</v>
      </c>
      <c r="AR3432" s="4" t="s">
        <v>377</v>
      </c>
    </row>
    <row r="3433" spans="1:44" ht="45">
      <c r="A3433" s="4" t="s">
        <v>5</v>
      </c>
      <c r="B3433" s="4">
        <v>29720</v>
      </c>
      <c r="D3433" s="5" t="s">
        <v>5106</v>
      </c>
      <c r="E3433" s="6" t="str">
        <f>HYPERLINK("https://inpn.mnhn.fr/espece/cd_nom/29720","Suillus grevillei (Klotzsch) Singer, 1945")</f>
        <v>Suillus grevillei (Klotzsch) Singer, 1945</v>
      </c>
      <c r="F3433" s="5" t="s">
        <v>2565</v>
      </c>
      <c r="O3433" s="7" t="str">
        <f>HYPERLINK("#Liste_rouge!A"&amp;_xlfn.XMATCH("LC",Liste_rouge!A:A,2,1),"LC")</f>
        <v>LC</v>
      </c>
      <c r="AH3433" s="4" t="str">
        <f>HYPERLINK("#Statut_biogéographique!A"&amp;_xlfn.XMATCH("P",Statut_biogéographique!A:A,2,1),"P")</f>
        <v>P</v>
      </c>
      <c r="AP3433" s="4" t="s">
        <v>376</v>
      </c>
      <c r="AR3433" s="4" t="s">
        <v>377</v>
      </c>
    </row>
    <row r="3434" spans="1:44">
      <c r="A3434" s="4" t="s">
        <v>5</v>
      </c>
      <c r="B3434" s="4">
        <v>29729</v>
      </c>
      <c r="D3434" s="5" t="s">
        <v>5107</v>
      </c>
      <c r="E3434" s="6" t="str">
        <f>HYPERLINK("https://inpn.mnhn.fr/espece/cd_nom/29729","Suillus luteus (L.) Roussel, 1796")</f>
        <v>Suillus luteus (L.) Roussel, 1796</v>
      </c>
      <c r="F3434" s="5" t="s">
        <v>1408</v>
      </c>
      <c r="O3434" s="7" t="str">
        <f>HYPERLINK("#Liste_rouge!A"&amp;_xlfn.XMATCH("LC",Liste_rouge!A:A,2,1),"LC")</f>
        <v>LC</v>
      </c>
      <c r="V3434" s="7" t="str">
        <f>HYPERLINK("#Liste_rouge!A"&amp;_xlfn.XMATCH("LC",Liste_rouge!A:A,2,1),"LC")</f>
        <v>LC</v>
      </c>
      <c r="AH3434" s="4" t="str">
        <f>HYPERLINK("#Statut_biogéographique!A"&amp;_xlfn.XMATCH("P",Statut_biogéographique!A:A,2,1),"P")</f>
        <v>P</v>
      </c>
      <c r="AP3434" s="4" t="s">
        <v>376</v>
      </c>
      <c r="AR3434" s="4" t="s">
        <v>377</v>
      </c>
    </row>
    <row r="3435" spans="1:44" ht="45">
      <c r="A3435" s="4" t="s">
        <v>5</v>
      </c>
      <c r="B3435" s="4">
        <v>29739</v>
      </c>
      <c r="D3435" s="5" t="s">
        <v>5108</v>
      </c>
      <c r="E3435" s="6" t="str">
        <f>HYPERLINK("https://inpn.mnhn.fr/espece/cd_nom/29739","Suillus placidus (Bonord.) Singer, 1945")</f>
        <v>Suillus placidus (Bonord.) Singer, 1945</v>
      </c>
      <c r="F3435" s="5" t="s">
        <v>5109</v>
      </c>
      <c r="AH3435" s="4" t="str">
        <f>HYPERLINK("#Statut_biogéographique!A"&amp;_xlfn.XMATCH("P",Statut_biogéographique!A:A,2,1),"P")</f>
        <v>P</v>
      </c>
      <c r="AP3435" s="4" t="s">
        <v>376</v>
      </c>
      <c r="AR3435" s="4" t="s">
        <v>377</v>
      </c>
    </row>
    <row r="3436" spans="1:44">
      <c r="A3436" s="4" t="s">
        <v>5</v>
      </c>
      <c r="B3436" s="4">
        <v>29751</v>
      </c>
      <c r="D3436" s="5" t="s">
        <v>5110</v>
      </c>
      <c r="E3436" s="6" t="str">
        <f>HYPERLINK("https://inpn.mnhn.fr/espece/cd_nom/29751","Suillus tridentinus (Bres.) Singer, 1945")</f>
        <v>Suillus tridentinus (Bres.) Singer, 1945</v>
      </c>
      <c r="F3436" s="5" t="s">
        <v>5111</v>
      </c>
      <c r="AH3436" s="4" t="str">
        <f>HYPERLINK("#Statut_biogéographique!A"&amp;_xlfn.XMATCH("P",Statut_biogéographique!A:A,2,1),"P")</f>
        <v>P</v>
      </c>
      <c r="AP3436" s="4" t="s">
        <v>376</v>
      </c>
      <c r="AR3436" s="4" t="s">
        <v>377</v>
      </c>
    </row>
    <row r="3437" spans="1:44" ht="30">
      <c r="A3437" s="4" t="s">
        <v>5</v>
      </c>
      <c r="B3437" s="4">
        <v>29755</v>
      </c>
      <c r="D3437" s="5" t="s">
        <v>5112</v>
      </c>
      <c r="E3437" s="6" t="str">
        <f>HYPERLINK("https://inpn.mnhn.fr/espece/cd_nom/29755","Suillus variegatus (Sw.) Richon &amp; Roze, 1888")</f>
        <v>Suillus variegatus (Sw.) Richon &amp; Roze, 1888</v>
      </c>
      <c r="F3437" s="5" t="s">
        <v>1732</v>
      </c>
      <c r="O3437" s="7" t="str">
        <f>HYPERLINK("#Liste_rouge!A"&amp;_xlfn.XMATCH("LC",Liste_rouge!A:A,2,1),"LC")</f>
        <v>LC</v>
      </c>
      <c r="V3437" s="7" t="str">
        <f>HYPERLINK("#Liste_rouge!A"&amp;_xlfn.XMATCH("LC",Liste_rouge!A:A,2,1),"LC")</f>
        <v>LC</v>
      </c>
      <c r="AH3437" s="4" t="str">
        <f>HYPERLINK("#Statut_biogéographique!A"&amp;_xlfn.XMATCH("P",Statut_biogéographique!A:A,2,1),"P")</f>
        <v>P</v>
      </c>
      <c r="AP3437" s="4" t="s">
        <v>376</v>
      </c>
      <c r="AR3437" s="4" t="s">
        <v>377</v>
      </c>
    </row>
    <row r="3438" spans="1:44" ht="45">
      <c r="A3438" s="4" t="s">
        <v>5</v>
      </c>
      <c r="B3438" s="4">
        <v>29759</v>
      </c>
      <c r="D3438" s="5" t="s">
        <v>5113</v>
      </c>
      <c r="E3438" s="6" t="str">
        <f>HYPERLINK("https://inpn.mnhn.fr/espece/cd_nom/29759","Suillus viscidus (L.) Roussel, 1796")</f>
        <v>Suillus viscidus (L.) Roussel, 1796</v>
      </c>
      <c r="F3438" s="5" t="s">
        <v>5114</v>
      </c>
      <c r="AH3438" s="4" t="str">
        <f>HYPERLINK("#Statut_biogéographique!A"&amp;_xlfn.XMATCH("P",Statut_biogéographique!A:A,2,1),"P")</f>
        <v>P</v>
      </c>
      <c r="AP3438" s="4" t="s">
        <v>376</v>
      </c>
      <c r="AR3438" s="4" t="s">
        <v>377</v>
      </c>
    </row>
    <row r="3439" spans="1:44" ht="30">
      <c r="A3439" s="4" t="s">
        <v>5</v>
      </c>
      <c r="B3439" s="4">
        <v>29791</v>
      </c>
      <c r="D3439" s="5" t="s">
        <v>5115</v>
      </c>
      <c r="E3439" s="6" t="str">
        <f>HYPERLINK("https://inpn.mnhn.fr/espece/cd_nom/29791","Xerocomus ferrugineus (Schaeff.) Bon, 1985")</f>
        <v>Xerocomus ferrugineus (Schaeff.) Bon, 1985</v>
      </c>
      <c r="F3439" s="5" t="s">
        <v>4654</v>
      </c>
      <c r="V3439" s="7" t="str">
        <f>HYPERLINK("#Liste_rouge!A"&amp;_xlfn.XMATCH("LC",Liste_rouge!A:A,2,1),"LC")</f>
        <v>LC</v>
      </c>
      <c r="AH3439" s="4" t="str">
        <f>HYPERLINK("#Statut_biogéographique!A"&amp;_xlfn.XMATCH("P",Statut_biogéographique!A:A,2,1),"P")</f>
        <v>P</v>
      </c>
      <c r="AP3439" s="4" t="s">
        <v>376</v>
      </c>
      <c r="AR3439" s="4" t="s">
        <v>377</v>
      </c>
    </row>
    <row r="3440" spans="1:44">
      <c r="A3440" s="4" t="s">
        <v>5</v>
      </c>
      <c r="B3440" s="4">
        <v>29831</v>
      </c>
      <c r="D3440" s="5" t="s">
        <v>5116</v>
      </c>
      <c r="E3440" s="6" t="str">
        <f>HYPERLINK("https://inpn.mnhn.fr/espece/cd_nom/29831","Xerocomus subtomentosus (L.) Quél., 1888")</f>
        <v>Xerocomus subtomentosus (L.) Quél., 1888</v>
      </c>
      <c r="F3440" s="5" t="s">
        <v>5117</v>
      </c>
      <c r="V3440" s="7" t="str">
        <f>HYPERLINK("#Liste_rouge!A"&amp;_xlfn.XMATCH("LC",Liste_rouge!A:A,2,1),"LC")</f>
        <v>LC</v>
      </c>
      <c r="AH3440" s="4" t="str">
        <f>HYPERLINK("#Statut_biogéographique!A"&amp;_xlfn.XMATCH("P",Statut_biogéographique!A:A,2,1),"P")</f>
        <v>P</v>
      </c>
      <c r="AP3440" s="4" t="s">
        <v>376</v>
      </c>
      <c r="AR3440" s="4" t="s">
        <v>377</v>
      </c>
    </row>
    <row r="3441" spans="1:44" ht="30">
      <c r="A3441" s="4" t="s">
        <v>5</v>
      </c>
      <c r="B3441" s="4">
        <v>29846</v>
      </c>
      <c r="C3441" s="4">
        <v>5468</v>
      </c>
      <c r="D3441" s="5" t="s">
        <v>5118</v>
      </c>
      <c r="E3441" s="6" t="str">
        <f>HYPERLINK("https://inpn.mnhn.fr/espece/cd_nom/29846","Chroogomphus helveticus (Singer) M.M.Moser, 1967")</f>
        <v>Chroogomphus helveticus (Singer) M.M.Moser, 1967</v>
      </c>
      <c r="F3441" s="5" t="s">
        <v>5119</v>
      </c>
      <c r="V3441" s="7" t="str">
        <f>HYPERLINK("#Liste_rouge!A"&amp;_xlfn.XMATCH("DD",Liste_rouge!A:A,2,1),"DD")</f>
        <v>DD</v>
      </c>
      <c r="AH3441" s="4" t="str">
        <f>HYPERLINK("#Statut_biogéographique!A"&amp;_xlfn.XMATCH("P",Statut_biogéographique!A:A,2,1),"P")</f>
        <v>P</v>
      </c>
      <c r="AP3441" s="4" t="s">
        <v>376</v>
      </c>
      <c r="AR3441" s="4" t="s">
        <v>377</v>
      </c>
    </row>
    <row r="3442" spans="1:44" ht="30">
      <c r="A3442" s="4" t="s">
        <v>5</v>
      </c>
      <c r="B3442" s="4">
        <v>29848</v>
      </c>
      <c r="C3442" s="4">
        <v>50</v>
      </c>
      <c r="D3442" s="5" t="s">
        <v>5120</v>
      </c>
      <c r="E3442" s="6" t="str">
        <f>HYPERLINK("https://inpn.mnhn.fr/espece/cd_nom/29848","Chroogomphus rutilus (Schaeff.) O.K.Mill., 1964")</f>
        <v>Chroogomphus rutilus (Schaeff.) O.K.Mill., 1964</v>
      </c>
      <c r="F3442" s="5" t="s">
        <v>5121</v>
      </c>
      <c r="V3442" s="7" t="str">
        <f>HYPERLINK("#Liste_rouge!A"&amp;_xlfn.XMATCH("LC",Liste_rouge!A:A,2,1),"LC")</f>
        <v>LC</v>
      </c>
      <c r="AH3442" s="4" t="str">
        <f>HYPERLINK("#Statut_biogéographique!A"&amp;_xlfn.XMATCH("P",Statut_biogéographique!A:A,2,1),"P")</f>
        <v>P</v>
      </c>
      <c r="AP3442" s="4" t="s">
        <v>376</v>
      </c>
      <c r="AR3442" s="4" t="s">
        <v>377</v>
      </c>
    </row>
    <row r="3443" spans="1:44" ht="30">
      <c r="A3443" s="4" t="s">
        <v>5</v>
      </c>
      <c r="B3443" s="4">
        <v>29852</v>
      </c>
      <c r="C3443" s="4">
        <v>1433</v>
      </c>
      <c r="D3443" s="5" t="s">
        <v>5122</v>
      </c>
      <c r="E3443" s="6" t="str">
        <f>HYPERLINK("https://inpn.mnhn.fr/espece/cd_nom/29852","Chroogomphus rutilus var. tatrensis (Pilát) Bon &amp; Courtec., 1987")</f>
        <v>Chroogomphus rutilus var. tatrensis (Pilát) Bon &amp; Courtec., 1987</v>
      </c>
      <c r="V3443" s="7" t="str">
        <f>HYPERLINK("#Liste_rouge!A"&amp;_xlfn.XMATCH("DD",Liste_rouge!A:A,2,1),"DD")</f>
        <v>DD</v>
      </c>
      <c r="AH3443" s="4" t="str">
        <f>HYPERLINK("#Statut_biogéographique!A"&amp;_xlfn.XMATCH("P",Statut_biogéographique!A:A,2,1),"P")</f>
        <v>P</v>
      </c>
      <c r="AP3443" s="4" t="s">
        <v>376</v>
      </c>
      <c r="AR3443" s="4" t="s">
        <v>377</v>
      </c>
    </row>
    <row r="3444" spans="1:44">
      <c r="A3444" s="4" t="s">
        <v>5</v>
      </c>
      <c r="B3444" s="4">
        <v>29858</v>
      </c>
      <c r="C3444" s="4">
        <v>86</v>
      </c>
      <c r="D3444" s="5" t="s">
        <v>5123</v>
      </c>
      <c r="E3444" s="6" t="str">
        <f>HYPERLINK("https://inpn.mnhn.fr/espece/cd_nom/29858","Gomphidius glutinosus (Schaeff.) Fr., 1838")</f>
        <v>Gomphidius glutinosus (Schaeff.) Fr., 1838</v>
      </c>
      <c r="F3444" s="5" t="s">
        <v>5124</v>
      </c>
      <c r="O3444" s="7" t="str">
        <f>HYPERLINK("#Liste_rouge!A"&amp;_xlfn.XMATCH("LC",Liste_rouge!A:A,2,1),"LC")</f>
        <v>LC</v>
      </c>
      <c r="V3444" s="7" t="str">
        <f>HYPERLINK("#Liste_rouge!A"&amp;_xlfn.XMATCH("LC",Liste_rouge!A:A,2,1),"LC")</f>
        <v>LC</v>
      </c>
      <c r="AH3444" s="4" t="str">
        <f>HYPERLINK("#Statut_biogéographique!A"&amp;_xlfn.XMATCH("P",Statut_biogéographique!A:A,2,1),"P")</f>
        <v>P</v>
      </c>
      <c r="AP3444" s="4" t="s">
        <v>376</v>
      </c>
      <c r="AR3444" s="4" t="s">
        <v>377</v>
      </c>
    </row>
    <row r="3445" spans="1:44">
      <c r="A3445" s="4" t="s">
        <v>5</v>
      </c>
      <c r="B3445" s="4">
        <v>29861</v>
      </c>
      <c r="C3445" s="4">
        <v>2139</v>
      </c>
      <c r="D3445" s="5" t="s">
        <v>5125</v>
      </c>
      <c r="E3445" s="6" t="str">
        <f>HYPERLINK("https://inpn.mnhn.fr/espece/cd_nom/29861","Gomphidius gracilis Berk., 1854")</f>
        <v>Gomphidius gracilis Berk., 1854</v>
      </c>
      <c r="F3445" s="5" t="s">
        <v>5126</v>
      </c>
      <c r="AH3445" s="4" t="str">
        <f>HYPERLINK("#Statut_biogéographique!A"&amp;_xlfn.XMATCH("P",Statut_biogéographique!A:A,2,1),"P")</f>
        <v>P</v>
      </c>
      <c r="AP3445" s="4" t="s">
        <v>376</v>
      </c>
      <c r="AR3445" s="4" t="s">
        <v>377</v>
      </c>
    </row>
    <row r="3446" spans="1:44">
      <c r="A3446" s="4" t="s">
        <v>5</v>
      </c>
      <c r="B3446" s="4">
        <v>29867</v>
      </c>
      <c r="C3446" s="4">
        <v>495</v>
      </c>
      <c r="D3446" s="5" t="s">
        <v>5127</v>
      </c>
      <c r="E3446" s="6" t="str">
        <f>HYPERLINK("https://inpn.mnhn.fr/espece/cd_nom/29867","Gomphidius maculatus (Scop.) Fr., 1838")</f>
        <v>Gomphidius maculatus (Scop.) Fr., 1838</v>
      </c>
      <c r="F3446" s="5" t="s">
        <v>5128</v>
      </c>
      <c r="AH3446" s="4" t="str">
        <f>HYPERLINK("#Statut_biogéographique!A"&amp;_xlfn.XMATCH("P",Statut_biogéographique!A:A,2,1),"P")</f>
        <v>P</v>
      </c>
      <c r="AP3446" s="4" t="s">
        <v>376</v>
      </c>
      <c r="AR3446" s="4" t="s">
        <v>377</v>
      </c>
    </row>
    <row r="3447" spans="1:44">
      <c r="A3447" s="4" t="s">
        <v>5</v>
      </c>
      <c r="B3447" s="4">
        <v>29869</v>
      </c>
      <c r="C3447" s="4">
        <v>2196</v>
      </c>
      <c r="D3447" s="5" t="s">
        <v>5129</v>
      </c>
      <c r="E3447" s="6" t="str">
        <f>HYPERLINK("https://inpn.mnhn.fr/espece/cd_nom/29869","Gomphidius roseus (Fr.) Fr., 1838")</f>
        <v>Gomphidius roseus (Fr.) Fr., 1838</v>
      </c>
      <c r="F3447" s="5" t="s">
        <v>5130</v>
      </c>
      <c r="O3447" s="7" t="str">
        <f>HYPERLINK("#Liste_rouge!A"&amp;_xlfn.XMATCH("LC",Liste_rouge!A:A,2,1),"LC")</f>
        <v>LC</v>
      </c>
      <c r="V3447" s="7" t="str">
        <f>HYPERLINK("#Liste_rouge!A"&amp;_xlfn.XMATCH("LC",Liste_rouge!A:A,2,1),"LC")</f>
        <v>LC</v>
      </c>
      <c r="AH3447" s="4" t="str">
        <f>HYPERLINK("#Statut_biogéographique!A"&amp;_xlfn.XMATCH("P",Statut_biogéographique!A:A,2,1),"P")</f>
        <v>P</v>
      </c>
      <c r="AP3447" s="4" t="s">
        <v>376</v>
      </c>
      <c r="AR3447" s="4" t="s">
        <v>377</v>
      </c>
    </row>
    <row r="3448" spans="1:44" ht="45">
      <c r="A3448" s="4" t="s">
        <v>5</v>
      </c>
      <c r="B3448" s="4">
        <v>29879</v>
      </c>
      <c r="D3448" s="5" t="s">
        <v>5131</v>
      </c>
      <c r="E3448" s="6" t="str">
        <f>HYPERLINK("https://inpn.mnhn.fr/espece/cd_nom/29879","Paxillus involutus (Batsch) Fr., 1838")</f>
        <v>Paxillus involutus (Batsch) Fr., 1838</v>
      </c>
      <c r="F3448" s="5" t="s">
        <v>5132</v>
      </c>
      <c r="V3448" s="7" t="str">
        <f>HYPERLINK("#Liste_rouge!A"&amp;_xlfn.XMATCH("LC",Liste_rouge!A:A,2,1),"LC")</f>
        <v>LC</v>
      </c>
      <c r="AH3448" s="4" t="str">
        <f>HYPERLINK("#Statut_biogéographique!A"&amp;_xlfn.XMATCH("P",Statut_biogéographique!A:A,2,1),"P")</f>
        <v>P</v>
      </c>
      <c r="AP3448" s="4" t="s">
        <v>376</v>
      </c>
      <c r="AR3448" s="4" t="s">
        <v>377</v>
      </c>
    </row>
    <row r="3449" spans="1:44">
      <c r="A3449" s="4" t="s">
        <v>5</v>
      </c>
      <c r="B3449" s="4">
        <v>29890</v>
      </c>
      <c r="D3449" s="5">
        <v>29890</v>
      </c>
      <c r="E3449" s="6" t="str">
        <f>HYPERLINK("https://inpn.mnhn.fr/espece/cd_nom/29890","Paxillus rubicundulus P.D.Orton, 1969")</f>
        <v>Paxillus rubicundulus P.D.Orton, 1969</v>
      </c>
      <c r="AH3449" s="4" t="str">
        <f>HYPERLINK("#Statut_biogéographique!A"&amp;_xlfn.XMATCH("P",Statut_biogéographique!A:A,2,1),"P")</f>
        <v>P</v>
      </c>
      <c r="AP3449" s="4" t="s">
        <v>376</v>
      </c>
      <c r="AR3449" s="4" t="s">
        <v>377</v>
      </c>
    </row>
    <row r="3450" spans="1:44">
      <c r="A3450" s="4" t="s">
        <v>5</v>
      </c>
      <c r="B3450" s="4">
        <v>29891</v>
      </c>
      <c r="D3450" s="5" t="s">
        <v>5133</v>
      </c>
      <c r="E3450" s="6" t="str">
        <f>HYPERLINK("https://inpn.mnhn.fr/espece/cd_nom/29891","Paxillus filamentosus (Scop.) Fr., 1838")</f>
        <v>Paxillus filamentosus (Scop.) Fr., 1838</v>
      </c>
      <c r="V3450" s="7" t="str">
        <f>HYPERLINK("#Liste_rouge!A"&amp;_xlfn.XMATCH("NT",Liste_rouge!A:A,2,1),"NT")</f>
        <v>NT</v>
      </c>
      <c r="W3450" s="4" t="str">
        <f>HYPERLINK("#Critères_liste_rouge!A$1","pr. A2c")</f>
        <v>pr. A2c</v>
      </c>
      <c r="AH3450" s="4" t="str">
        <f>HYPERLINK("#Statut_biogéographique!A"&amp;_xlfn.XMATCH("P",Statut_biogéographique!A:A,2,1),"P")</f>
        <v>P</v>
      </c>
      <c r="AP3450" s="4" t="s">
        <v>376</v>
      </c>
      <c r="AR3450" s="4" t="s">
        <v>377</v>
      </c>
    </row>
    <row r="3451" spans="1:44" ht="45">
      <c r="A3451" s="4" t="s">
        <v>5</v>
      </c>
      <c r="B3451" s="4">
        <v>29896</v>
      </c>
      <c r="D3451" s="5" t="s">
        <v>5134</v>
      </c>
      <c r="E3451" s="6" t="str">
        <f>HYPERLINK("https://inpn.mnhn.fr/espece/cd_nom/29896","Phylloporus pelletieri (Lév.) Quél., 1888")</f>
        <v>Phylloporus pelletieri (Lév.) Quél., 1888</v>
      </c>
      <c r="F3451" s="5" t="s">
        <v>5135</v>
      </c>
      <c r="V3451" s="7" t="str">
        <f>HYPERLINK("#Liste_rouge!A"&amp;_xlfn.XMATCH("NT",Liste_rouge!A:A,2,1),"NT")</f>
        <v>NT</v>
      </c>
      <c r="W3451" s="4" t="str">
        <f>HYPERLINK("#Critères_liste_rouge!A$1","pr. B2abiii")</f>
        <v>pr. B2abiii</v>
      </c>
      <c r="AH3451" s="4" t="str">
        <f>HYPERLINK("#Statut_biogéographique!A"&amp;_xlfn.XMATCH("P",Statut_biogéographique!A:A,2,1),"P")</f>
        <v>P</v>
      </c>
      <c r="AP3451" s="4" t="s">
        <v>376</v>
      </c>
      <c r="AR3451" s="4" t="s">
        <v>377</v>
      </c>
    </row>
    <row r="3452" spans="1:44" ht="30">
      <c r="A3452" s="4" t="s">
        <v>5</v>
      </c>
      <c r="B3452" s="4">
        <v>29904</v>
      </c>
      <c r="C3452" s="4">
        <v>14</v>
      </c>
      <c r="D3452" s="5" t="s">
        <v>5136</v>
      </c>
      <c r="E3452" s="6" t="str">
        <f>HYPERLINK("https://inpn.mnhn.fr/espece/cd_nom/29904","Cantharellus cibarius Fr., 1821")</f>
        <v>Cantharellus cibarius Fr., 1821</v>
      </c>
      <c r="F3452" s="5" t="s">
        <v>5137</v>
      </c>
      <c r="V3452" s="7" t="str">
        <f>HYPERLINK("#Liste_rouge!A"&amp;_xlfn.XMATCH("NT",Liste_rouge!A:A,2,1),"NT")</f>
        <v>NT</v>
      </c>
      <c r="W3452" s="4" t="str">
        <f>HYPERLINK("#Critères_liste_rouge!A$1","pr. A2c")</f>
        <v>pr. A2c</v>
      </c>
      <c r="AH3452" s="4" t="str">
        <f>HYPERLINK("#Statut_biogéographique!A"&amp;_xlfn.XMATCH("P",Statut_biogéographique!A:A,2,1),"P")</f>
        <v>P</v>
      </c>
      <c r="AP3452" s="4" t="s">
        <v>376</v>
      </c>
      <c r="AR3452" s="4" t="s">
        <v>377</v>
      </c>
    </row>
    <row r="3453" spans="1:44">
      <c r="A3453" s="4" t="s">
        <v>5</v>
      </c>
      <c r="B3453" s="4">
        <v>29908</v>
      </c>
      <c r="C3453" s="4">
        <v>472</v>
      </c>
      <c r="D3453" s="5" t="s">
        <v>5138</v>
      </c>
      <c r="E3453" s="6" t="str">
        <f>HYPERLINK("https://inpn.mnhn.fr/espece/cd_nom/29908","Cantharellus amethysteus (Quél.) Sacc., 1887")</f>
        <v>Cantharellus amethysteus (Quél.) Sacc., 1887</v>
      </c>
      <c r="F3453" s="5" t="s">
        <v>5139</v>
      </c>
      <c r="V3453" s="7" t="str">
        <f>HYPERLINK("#Liste_rouge!A"&amp;_xlfn.XMATCH("NT",Liste_rouge!A:A,2,1),"NT")</f>
        <v>NT</v>
      </c>
      <c r="W3453" s="4" t="str">
        <f>HYPERLINK("#Critères_liste_rouge!A$1","pr. A2c")</f>
        <v>pr. A2c</v>
      </c>
      <c r="AH3453" s="4" t="str">
        <f>HYPERLINK("#Statut_biogéographique!A"&amp;_xlfn.XMATCH("P",Statut_biogéographique!A:A,2,1),"P")</f>
        <v>P</v>
      </c>
      <c r="AP3453" s="4" t="s">
        <v>376</v>
      </c>
      <c r="AR3453" s="4" t="s">
        <v>377</v>
      </c>
    </row>
    <row r="3454" spans="1:44">
      <c r="A3454" s="4" t="s">
        <v>5</v>
      </c>
      <c r="B3454" s="4">
        <v>29918</v>
      </c>
      <c r="C3454" s="4">
        <v>288</v>
      </c>
      <c r="D3454" s="5" t="s">
        <v>5140</v>
      </c>
      <c r="E3454" s="6" t="str">
        <f>HYPERLINK("https://inpn.mnhn.fr/espece/cd_nom/29918","Cantharellus ferruginascens P.D.Orton, 1969")</f>
        <v>Cantharellus ferruginascens P.D.Orton, 1969</v>
      </c>
      <c r="F3454" s="5" t="s">
        <v>5141</v>
      </c>
      <c r="V3454" s="7" t="str">
        <f>HYPERLINK("#Liste_rouge!A"&amp;_xlfn.XMATCH("DD",Liste_rouge!A:A,2,1),"DD")</f>
        <v>DD</v>
      </c>
      <c r="AH3454" s="4" t="str">
        <f>HYPERLINK("#Statut_biogéographique!A"&amp;_xlfn.XMATCH("P",Statut_biogéographique!A:A,2,1),"P")</f>
        <v>P</v>
      </c>
      <c r="AP3454" s="4" t="s">
        <v>376</v>
      </c>
      <c r="AR3454" s="4" t="s">
        <v>377</v>
      </c>
    </row>
    <row r="3455" spans="1:44">
      <c r="A3455" s="4" t="s">
        <v>5</v>
      </c>
      <c r="B3455" s="4">
        <v>29920</v>
      </c>
      <c r="C3455" s="4">
        <v>368</v>
      </c>
      <c r="D3455" s="5" t="s">
        <v>5142</v>
      </c>
      <c r="E3455" s="6" t="str">
        <f>HYPERLINK("https://inpn.mnhn.fr/espece/cd_nom/29920","Cantharellus friesii Quél., 1872")</f>
        <v>Cantharellus friesii Quél., 1872</v>
      </c>
      <c r="F3455" s="5" t="s">
        <v>5143</v>
      </c>
      <c r="V3455" s="7" t="str">
        <f>HYPERLINK("#Liste_rouge!A"&amp;_xlfn.XMATCH("NT",Liste_rouge!A:A,2,1),"NT")</f>
        <v>NT</v>
      </c>
      <c r="W3455" s="4" t="str">
        <f>HYPERLINK("#Critères_liste_rouge!A$1","pr. A2c")</f>
        <v>pr. A2c</v>
      </c>
      <c r="AH3455" s="4" t="str">
        <f>HYPERLINK("#Statut_biogéographique!A"&amp;_xlfn.XMATCH("P",Statut_biogéographique!A:A,2,1),"P")</f>
        <v>P</v>
      </c>
      <c r="AP3455" s="4" t="s">
        <v>376</v>
      </c>
      <c r="AR3455" s="4" t="s">
        <v>377</v>
      </c>
    </row>
    <row r="3456" spans="1:44">
      <c r="A3456" s="4" t="s">
        <v>5</v>
      </c>
      <c r="B3456" s="4">
        <v>29924</v>
      </c>
      <c r="C3456" s="4">
        <v>739</v>
      </c>
      <c r="D3456" s="5" t="s">
        <v>5144</v>
      </c>
      <c r="E3456" s="6" t="str">
        <f>HYPERLINK("https://inpn.mnhn.fr/espece/cd_nom/29924","Craterellus konradii Bourdot &amp; Maire, 1930")</f>
        <v>Craterellus konradii Bourdot &amp; Maire, 1930</v>
      </c>
      <c r="F3456" s="5" t="s">
        <v>5145</v>
      </c>
      <c r="V3456" s="7" t="str">
        <f>HYPERLINK("#Liste_rouge!A"&amp;_xlfn.XMATCH("VU",Liste_rouge!A:A,2,1),"VU")</f>
        <v>VU</v>
      </c>
      <c r="W3456" s="4" t="str">
        <f>HYPERLINK("#Critères_liste_rouge!A$1","A2c")</f>
        <v>A2c</v>
      </c>
      <c r="Z3456" s="4" t="s">
        <v>447</v>
      </c>
      <c r="AA3456" s="4" t="s">
        <v>448</v>
      </c>
      <c r="AH3456" s="4" t="str">
        <f>HYPERLINK("#Statut_biogéographique!A"&amp;_xlfn.XMATCH("P",Statut_biogéographique!A:A,2,1),"P")</f>
        <v>P</v>
      </c>
      <c r="AP3456" s="4" t="s">
        <v>376</v>
      </c>
      <c r="AR3456" s="4" t="s">
        <v>377</v>
      </c>
    </row>
    <row r="3457" spans="1:44">
      <c r="A3457" s="4" t="s">
        <v>5</v>
      </c>
      <c r="B3457" s="4">
        <v>29937</v>
      </c>
      <c r="C3457" s="4">
        <v>39</v>
      </c>
      <c r="D3457" s="5" t="s">
        <v>5146</v>
      </c>
      <c r="E3457" s="6" t="str">
        <f>HYPERLINK("https://inpn.mnhn.fr/espece/cd_nom/29937","Craterellus cornucopioides (L.) Pers., 1825")</f>
        <v>Craterellus cornucopioides (L.) Pers., 1825</v>
      </c>
      <c r="F3457" s="5" t="s">
        <v>5147</v>
      </c>
      <c r="V3457" s="7" t="str">
        <f>HYPERLINK("#Liste_rouge!A"&amp;_xlfn.XMATCH("NT",Liste_rouge!A:A,2,1),"NT")</f>
        <v>NT</v>
      </c>
      <c r="W3457" s="4" t="str">
        <f>HYPERLINK("#Critères_liste_rouge!A$1","pr. A2c")</f>
        <v>pr. A2c</v>
      </c>
      <c r="AH3457" s="4" t="str">
        <f>HYPERLINK("#Statut_biogéographique!A"&amp;_xlfn.XMATCH("P",Statut_biogéographique!A:A,2,1),"P")</f>
        <v>P</v>
      </c>
      <c r="AP3457" s="4" t="s">
        <v>376</v>
      </c>
      <c r="AR3457" s="4" t="s">
        <v>377</v>
      </c>
    </row>
    <row r="3458" spans="1:44" ht="30">
      <c r="A3458" s="4" t="s">
        <v>5</v>
      </c>
      <c r="B3458" s="4">
        <v>29941</v>
      </c>
      <c r="C3458" s="4">
        <v>290</v>
      </c>
      <c r="D3458" s="5" t="s">
        <v>5148</v>
      </c>
      <c r="E3458" s="6" t="str">
        <f>HYPERLINK("https://inpn.mnhn.fr/espece/cd_nom/29941","Gomphus clavatus (Pers.) Gray, 1821")</f>
        <v>Gomphus clavatus (Pers.) Gray, 1821</v>
      </c>
      <c r="F3458" s="5" t="s">
        <v>5149</v>
      </c>
      <c r="V3458" s="7" t="str">
        <f>HYPERLINK("#Liste_rouge!A"&amp;_xlfn.XMATCH("VU",Liste_rouge!A:A,2,1),"VU")</f>
        <v>VU</v>
      </c>
      <c r="W3458" s="4" t="str">
        <f>HYPERLINK("#Critères_liste_rouge!A$1","A2c")</f>
        <v>A2c</v>
      </c>
      <c r="Z3458" s="4" t="s">
        <v>695</v>
      </c>
      <c r="AA3458" s="4" t="s">
        <v>696</v>
      </c>
      <c r="AH3458" s="4" t="str">
        <f>HYPERLINK("#Statut_biogéographique!A"&amp;_xlfn.XMATCH("P",Statut_biogéographique!A:A,2,1),"P")</f>
        <v>P</v>
      </c>
      <c r="AP3458" s="4" t="s">
        <v>376</v>
      </c>
      <c r="AR3458" s="4" t="s">
        <v>377</v>
      </c>
    </row>
    <row r="3459" spans="1:44">
      <c r="A3459" s="4" t="s">
        <v>5</v>
      </c>
      <c r="B3459" s="4">
        <v>29963</v>
      </c>
      <c r="C3459" s="4">
        <v>99</v>
      </c>
      <c r="D3459" s="5" t="s">
        <v>5150</v>
      </c>
      <c r="E3459" s="6" t="str">
        <f>HYPERLINK("https://inpn.mnhn.fr/espece/cd_nom/29963","Craterellus cinereus (Pers.) Pers., 1825")</f>
        <v>Craterellus cinereus (Pers.) Pers., 1825</v>
      </c>
      <c r="F3459" s="5" t="s">
        <v>5151</v>
      </c>
      <c r="V3459" s="7" t="str">
        <f>HYPERLINK("#Liste_rouge!A"&amp;_xlfn.XMATCH("LC",Liste_rouge!A:A,2,1),"LC")</f>
        <v>LC</v>
      </c>
      <c r="AH3459" s="4" t="str">
        <f>HYPERLINK("#Statut_biogéographique!A"&amp;_xlfn.XMATCH("P",Statut_biogéographique!A:A,2,1),"P")</f>
        <v>P</v>
      </c>
      <c r="AP3459" s="4" t="s">
        <v>376</v>
      </c>
      <c r="AR3459" s="4" t="s">
        <v>377</v>
      </c>
    </row>
    <row r="3460" spans="1:44" ht="30">
      <c r="A3460" s="4" t="s">
        <v>5</v>
      </c>
      <c r="B3460" s="4">
        <v>29971</v>
      </c>
      <c r="C3460" s="4">
        <v>311</v>
      </c>
      <c r="D3460" s="5" t="s">
        <v>5152</v>
      </c>
      <c r="E3460" s="6" t="str">
        <f>HYPERLINK("https://inpn.mnhn.fr/espece/cd_nom/29971","Craterellus sinuosus (Fr.) Fr., 1838")</f>
        <v>Craterellus sinuosus (Fr.) Fr., 1838</v>
      </c>
      <c r="F3460" s="5" t="s">
        <v>5153</v>
      </c>
      <c r="V3460" s="7" t="str">
        <f>HYPERLINK("#Liste_rouge!A"&amp;_xlfn.XMATCH("LC",Liste_rouge!A:A,2,1),"LC")</f>
        <v>LC</v>
      </c>
      <c r="AH3460" s="4" t="str">
        <f>HYPERLINK("#Statut_biogéographique!A"&amp;_xlfn.XMATCH("P",Statut_biogéographique!A:A,2,1),"P")</f>
        <v>P</v>
      </c>
      <c r="AP3460" s="4" t="s">
        <v>376</v>
      </c>
      <c r="AR3460" s="4" t="s">
        <v>377</v>
      </c>
    </row>
    <row r="3461" spans="1:44" ht="30">
      <c r="A3461" s="4" t="s">
        <v>5</v>
      </c>
      <c r="B3461" s="4">
        <v>29986</v>
      </c>
      <c r="C3461" s="4">
        <v>1663</v>
      </c>
      <c r="D3461" s="5" t="s">
        <v>5154</v>
      </c>
      <c r="E3461" s="6" t="str">
        <f>HYPERLINK("https://inpn.mnhn.fr/espece/cd_nom/29986","Cuphophyllus berkeleyi (P.D.Orton &amp; Watling) Bon, 1985")</f>
        <v>Cuphophyllus berkeleyi (P.D.Orton &amp; Watling) Bon, 1985</v>
      </c>
      <c r="F3461" s="5" t="s">
        <v>5155</v>
      </c>
      <c r="V3461" s="7" t="str">
        <f>HYPERLINK("#Liste_rouge!A"&amp;_xlfn.XMATCH("EN",Liste_rouge!A:A,2,1),"EN")</f>
        <v>EN</v>
      </c>
      <c r="W3461" s="4" t="str">
        <f>HYPERLINK("#Critères_liste_rouge!A$1","A2c")</f>
        <v>A2c</v>
      </c>
      <c r="Z3461" s="4" t="s">
        <v>447</v>
      </c>
      <c r="AA3461" s="4" t="s">
        <v>448</v>
      </c>
      <c r="AH3461" s="4" t="str">
        <f>HYPERLINK("#Statut_biogéographique!A"&amp;_xlfn.XMATCH("P",Statut_biogéographique!A:A,2,1),"P")</f>
        <v>P</v>
      </c>
      <c r="AP3461" s="4" t="s">
        <v>376</v>
      </c>
      <c r="AR3461" s="4" t="s">
        <v>377</v>
      </c>
    </row>
    <row r="3462" spans="1:44" ht="30">
      <c r="A3462" s="4" t="s">
        <v>5</v>
      </c>
      <c r="B3462" s="4">
        <v>29989</v>
      </c>
      <c r="C3462" s="4">
        <v>3278</v>
      </c>
      <c r="D3462" s="5" t="s">
        <v>5156</v>
      </c>
      <c r="E3462" s="6" t="str">
        <f>HYPERLINK("https://inpn.mnhn.fr/espece/cd_nom/29989","Cuphophyllus cereopallidus (Clémençon) Bon, 1985")</f>
        <v>Cuphophyllus cereopallidus (Clémençon) Bon, 1985</v>
      </c>
      <c r="V3462" s="7" t="str">
        <f>HYPERLINK("#Liste_rouge!A"&amp;_xlfn.XMATCH("DD",Liste_rouge!A:A,2,1),"DD")</f>
        <v>DD</v>
      </c>
      <c r="W3462" s="4" t="str">
        <f>HYPERLINK("#Critères_liste_rouge!A$1","A2c")</f>
        <v>A2c</v>
      </c>
      <c r="Z3462" s="4" t="s">
        <v>447</v>
      </c>
      <c r="AA3462" s="4" t="s">
        <v>448</v>
      </c>
      <c r="AH3462" s="4" t="str">
        <f>HYPERLINK("#Statut_biogéographique!A"&amp;_xlfn.XMATCH("P",Statut_biogéographique!A:A,2,1),"P")</f>
        <v>P</v>
      </c>
      <c r="AP3462" s="4" t="s">
        <v>376</v>
      </c>
      <c r="AR3462" s="4" t="s">
        <v>377</v>
      </c>
    </row>
    <row r="3463" spans="1:44">
      <c r="A3463" s="4" t="s">
        <v>5</v>
      </c>
      <c r="B3463" s="4">
        <v>29994</v>
      </c>
      <c r="C3463" s="4">
        <v>3826</v>
      </c>
      <c r="D3463" s="5" t="s">
        <v>5157</v>
      </c>
      <c r="E3463" s="6" t="str">
        <f>HYPERLINK("https://inpn.mnhn.fr/espece/cd_nom/29994","Cuphophyllus cinereus (Pers.) Bon, 1985")</f>
        <v>Cuphophyllus cinereus (Pers.) Bon, 1985</v>
      </c>
      <c r="F3463" s="5" t="s">
        <v>5158</v>
      </c>
      <c r="V3463" s="7" t="str">
        <f>HYPERLINK("#Liste_rouge!A"&amp;_xlfn.XMATCH("CR",Liste_rouge!A:A,2,1),"CR")</f>
        <v>CR</v>
      </c>
      <c r="W3463" s="4" t="str">
        <f>HYPERLINK("#Critères_liste_rouge!A$1","B2abiii")</f>
        <v>B2abiii</v>
      </c>
      <c r="Z3463" s="4" t="s">
        <v>695</v>
      </c>
      <c r="AA3463" s="4" t="s">
        <v>696</v>
      </c>
      <c r="AH3463" s="4" t="str">
        <f>HYPERLINK("#Statut_biogéographique!A"&amp;_xlfn.XMATCH("P",Statut_biogéographique!A:A,2,1),"P")</f>
        <v>P</v>
      </c>
      <c r="AP3463" s="4" t="s">
        <v>376</v>
      </c>
      <c r="AR3463" s="4" t="s">
        <v>377</v>
      </c>
    </row>
    <row r="3464" spans="1:44" ht="30">
      <c r="A3464" s="4" t="s">
        <v>5</v>
      </c>
      <c r="B3464" s="4">
        <v>29998</v>
      </c>
      <c r="C3464" s="4">
        <v>846</v>
      </c>
      <c r="D3464" s="5" t="s">
        <v>5159</v>
      </c>
      <c r="E3464" s="6" t="str">
        <f>HYPERLINK("https://inpn.mnhn.fr/espece/cd_nom/29998","Cuphophyllus colemannianus (A.Bloxam) Bon, 1985")</f>
        <v>Cuphophyllus colemannianus (A.Bloxam) Bon, 1985</v>
      </c>
      <c r="O3464" s="7" t="str">
        <f>HYPERLINK("#Liste_rouge!A"&amp;_xlfn.XMATCH("VU",Liste_rouge!A:A,2,1),"VU")</f>
        <v>VU</v>
      </c>
      <c r="V3464" s="7" t="str">
        <f>HYPERLINK("#Liste_rouge!A"&amp;_xlfn.XMATCH("VU",Liste_rouge!A:A,2,1),"VU")</f>
        <v>VU</v>
      </c>
      <c r="W3464" s="4" t="str">
        <f>HYPERLINK("#Critères_liste_rouge!A$1","A2c")</f>
        <v>A2c</v>
      </c>
      <c r="Z3464" s="4" t="s">
        <v>447</v>
      </c>
      <c r="AA3464" s="4" t="s">
        <v>448</v>
      </c>
      <c r="AH3464" s="4" t="str">
        <f>HYPERLINK("#Statut_biogéographique!A"&amp;_xlfn.XMATCH("P",Statut_biogéographique!A:A,2,1),"P")</f>
        <v>P</v>
      </c>
      <c r="AP3464" s="4" t="s">
        <v>376</v>
      </c>
      <c r="AR3464" s="4" t="s">
        <v>377</v>
      </c>
    </row>
    <row r="3465" spans="1:44" ht="30">
      <c r="A3465" s="4" t="s">
        <v>5</v>
      </c>
      <c r="B3465" s="4">
        <v>30002</v>
      </c>
      <c r="C3465" s="4">
        <v>3561</v>
      </c>
      <c r="D3465" s="5" t="s">
        <v>5160</v>
      </c>
      <c r="E3465" s="6" t="str">
        <f>HYPERLINK("https://inpn.mnhn.fr/espece/cd_nom/30002","Cuphophyllus flavipes (Britzelm.) Bon, 1985")</f>
        <v>Cuphophyllus flavipes (Britzelm.) Bon, 1985</v>
      </c>
      <c r="F3465" s="5" t="s">
        <v>5161</v>
      </c>
      <c r="V3465" s="7" t="str">
        <f>HYPERLINK("#Liste_rouge!A"&amp;_xlfn.XMATCH("EN",Liste_rouge!A:A,2,1),"EN")</f>
        <v>EN</v>
      </c>
      <c r="W3465" s="4" t="str">
        <f>HYPERLINK("#Critères_liste_rouge!A$1","A2c")</f>
        <v>A2c</v>
      </c>
      <c r="Z3465" s="4" t="s">
        <v>447</v>
      </c>
      <c r="AA3465" s="4" t="s">
        <v>448</v>
      </c>
      <c r="AH3465" s="4" t="str">
        <f>HYPERLINK("#Statut_biogéographique!A"&amp;_xlfn.XMATCH("P",Statut_biogéographique!A:A,2,1),"P")</f>
        <v>P</v>
      </c>
      <c r="AP3465" s="4" t="s">
        <v>376</v>
      </c>
      <c r="AR3465" s="4" t="s">
        <v>377</v>
      </c>
    </row>
    <row r="3466" spans="1:44" ht="30">
      <c r="A3466" s="4" t="s">
        <v>5</v>
      </c>
      <c r="B3466" s="4">
        <v>30006</v>
      </c>
      <c r="C3466" s="4">
        <v>58</v>
      </c>
      <c r="D3466" s="5" t="s">
        <v>5162</v>
      </c>
      <c r="E3466" s="6" t="str">
        <f>HYPERLINK("https://inpn.mnhn.fr/espece/cd_nom/30006","Cuphophyllus fuscescens (Bres.) Bon, 1985")</f>
        <v>Cuphophyllus fuscescens (Bres.) Bon, 1985</v>
      </c>
      <c r="F3466" s="5" t="s">
        <v>5163</v>
      </c>
      <c r="V3466" s="7" t="str">
        <f>HYPERLINK("#Liste_rouge!A"&amp;_xlfn.XMATCH("CR",Liste_rouge!A:A,2,1),"CR")</f>
        <v>CR</v>
      </c>
      <c r="W3466" s="4" t="str">
        <f>HYPERLINK("#Critères_liste_rouge!A$1","B2abiii")</f>
        <v>B2abiii</v>
      </c>
      <c r="Z3466" s="4" t="s">
        <v>695</v>
      </c>
      <c r="AA3466" s="4" t="s">
        <v>696</v>
      </c>
      <c r="AH3466" s="4" t="str">
        <f>HYPERLINK("#Statut_biogéographique!A"&amp;_xlfn.XMATCH("P",Statut_biogéographique!A:A,2,1),"P")</f>
        <v>P</v>
      </c>
      <c r="AP3466" s="4" t="s">
        <v>376</v>
      </c>
      <c r="AR3466" s="4" t="s">
        <v>377</v>
      </c>
    </row>
    <row r="3467" spans="1:44" ht="30">
      <c r="A3467" s="4" t="s">
        <v>5</v>
      </c>
      <c r="B3467" s="4">
        <v>30017</v>
      </c>
      <c r="C3467" s="4">
        <v>994</v>
      </c>
      <c r="D3467" s="5" t="s">
        <v>5164</v>
      </c>
      <c r="E3467" s="6" t="str">
        <f>HYPERLINK("https://inpn.mnhn.fr/espece/cd_nom/30017","Cuphophyllus lacmus (Schumach.) Bon, 1985")</f>
        <v>Cuphophyllus lacmus (Schumach.) Bon, 1985</v>
      </c>
      <c r="F3467" s="5" t="s">
        <v>5165</v>
      </c>
      <c r="O3467" s="7" t="str">
        <f>HYPERLINK("#Liste_rouge!A"&amp;_xlfn.XMATCH("VU",Liste_rouge!A:A,2,1),"VU")</f>
        <v>VU</v>
      </c>
      <c r="V3467" s="7" t="str">
        <f>HYPERLINK("#Liste_rouge!A"&amp;_xlfn.XMATCH("EN",Liste_rouge!A:A,2,1),"EN")</f>
        <v>EN</v>
      </c>
      <c r="W3467" s="4" t="str">
        <f>HYPERLINK("#Critères_liste_rouge!A$1","B2abiii")</f>
        <v>B2abiii</v>
      </c>
      <c r="Z3467" s="4" t="s">
        <v>447</v>
      </c>
      <c r="AA3467" s="4" t="s">
        <v>448</v>
      </c>
      <c r="AH3467" s="4" t="str">
        <f>HYPERLINK("#Statut_biogéographique!A"&amp;_xlfn.XMATCH("P",Statut_biogéographique!A:A,2,1),"P")</f>
        <v>P</v>
      </c>
      <c r="AP3467" s="4" t="s">
        <v>376</v>
      </c>
      <c r="AR3467" s="4" t="s">
        <v>377</v>
      </c>
    </row>
    <row r="3468" spans="1:44" ht="30">
      <c r="A3468" s="4" t="s">
        <v>5</v>
      </c>
      <c r="B3468" s="4">
        <v>30033</v>
      </c>
      <c r="C3468" s="4">
        <v>58</v>
      </c>
      <c r="D3468" s="5" t="s">
        <v>5166</v>
      </c>
      <c r="E3468" s="6" t="str">
        <f>HYPERLINK("https://inpn.mnhn.fr/espece/cd_nom/30033","Cuphophyllus ochraceopallidus (P.D.Orton) Bon, 1985")</f>
        <v>Cuphophyllus ochraceopallidus (P.D.Orton) Bon, 1985</v>
      </c>
      <c r="F3468" s="5" t="s">
        <v>5167</v>
      </c>
      <c r="V3468" s="7" t="str">
        <f>HYPERLINK("#Liste_rouge!A"&amp;_xlfn.XMATCH("CR",Liste_rouge!A:A,2,1),"CR")</f>
        <v>CR</v>
      </c>
      <c r="W3468" s="4" t="str">
        <f>HYPERLINK("#Critères_liste_rouge!A$1","B2abiii")</f>
        <v>B2abiii</v>
      </c>
      <c r="Z3468" s="4" t="s">
        <v>695</v>
      </c>
      <c r="AA3468" s="4" t="s">
        <v>696</v>
      </c>
      <c r="AH3468" s="4" t="str">
        <f>HYPERLINK("#Statut_biogéographique!A"&amp;_xlfn.XMATCH("P",Statut_biogéographique!A:A,2,1),"P")</f>
        <v>P</v>
      </c>
      <c r="AP3468" s="4" t="s">
        <v>376</v>
      </c>
      <c r="AR3468" s="4" t="s">
        <v>377</v>
      </c>
    </row>
    <row r="3469" spans="1:44" ht="30">
      <c r="A3469" s="4" t="s">
        <v>5</v>
      </c>
      <c r="B3469" s="4">
        <v>30034</v>
      </c>
      <c r="C3469" s="4">
        <v>47</v>
      </c>
      <c r="D3469" s="5" t="s">
        <v>5168</v>
      </c>
      <c r="E3469" s="6" t="str">
        <f>HYPERLINK("https://inpn.mnhn.fr/espece/cd_nom/30034","Cuphophyllus pratensis (Fr.) Bon, 1985")</f>
        <v>Cuphophyllus pratensis (Fr.) Bon, 1985</v>
      </c>
      <c r="F3469" s="5" t="s">
        <v>5169</v>
      </c>
      <c r="V3469" s="7" t="str">
        <f>HYPERLINK("#Liste_rouge!A"&amp;_xlfn.XMATCH("NT",Liste_rouge!A:A,2,1),"NT")</f>
        <v>NT</v>
      </c>
      <c r="W3469" s="4" t="str">
        <f>HYPERLINK("#Critères_liste_rouge!A$1","pr. A2c")</f>
        <v>pr. A2c</v>
      </c>
      <c r="AH3469" s="4" t="str">
        <f>HYPERLINK("#Statut_biogéographique!A"&amp;_xlfn.XMATCH("P",Statut_biogéographique!A:A,2,1),"P")</f>
        <v>P</v>
      </c>
      <c r="AP3469" s="4" t="s">
        <v>376</v>
      </c>
      <c r="AR3469" s="4" t="s">
        <v>377</v>
      </c>
    </row>
    <row r="3470" spans="1:44" ht="30">
      <c r="A3470" s="4" t="s">
        <v>5</v>
      </c>
      <c r="B3470" s="4">
        <v>30038</v>
      </c>
      <c r="C3470" s="4">
        <v>3223</v>
      </c>
      <c r="D3470" s="5" t="s">
        <v>5170</v>
      </c>
      <c r="E3470" s="6" t="str">
        <f>HYPERLINK("https://inpn.mnhn.fr/espece/cd_nom/30038","Cuphophyllus pratensis var. vitulinus (Pers.) Bon, 1985")</f>
        <v>Cuphophyllus pratensis var. vitulinus (Pers.) Bon, 1985</v>
      </c>
      <c r="V3470" s="7" t="str">
        <f>HYPERLINK("#Liste_rouge!A"&amp;_xlfn.XMATCH("DD",Liste_rouge!A:A,2,1),"DD")</f>
        <v>DD</v>
      </c>
      <c r="Z3470" s="4" t="s">
        <v>443</v>
      </c>
      <c r="AA3470" s="4" t="s">
        <v>444</v>
      </c>
      <c r="AH3470" s="4" t="str">
        <f>HYPERLINK("#Statut_biogéographique!A"&amp;_xlfn.XMATCH("P",Statut_biogéographique!A:A,2,1),"P")</f>
        <v>P</v>
      </c>
      <c r="AP3470" s="4" t="s">
        <v>376</v>
      </c>
      <c r="AR3470" s="4" t="s">
        <v>377</v>
      </c>
    </row>
    <row r="3471" spans="1:44" ht="30">
      <c r="A3471" s="4" t="s">
        <v>5</v>
      </c>
      <c r="B3471" s="4">
        <v>30040</v>
      </c>
      <c r="C3471" s="4">
        <v>3279</v>
      </c>
      <c r="D3471" s="5" t="s">
        <v>5171</v>
      </c>
      <c r="E3471" s="6" t="str">
        <f>HYPERLINK("https://inpn.mnhn.fr/espece/cd_nom/30040","Cuphophyllus radiatus (Arnolds) Bon, 1990")</f>
        <v>Cuphophyllus radiatus (Arnolds) Bon, 1990</v>
      </c>
      <c r="V3471" s="7" t="str">
        <f>HYPERLINK("#Liste_rouge!A"&amp;_xlfn.XMATCH("EN",Liste_rouge!A:A,2,1),"EN")</f>
        <v>EN</v>
      </c>
      <c r="W3471" s="4" t="str">
        <f>HYPERLINK("#Critères_liste_rouge!A$1","B2abiii")</f>
        <v>B2abiii</v>
      </c>
      <c r="Z3471" s="4" t="s">
        <v>447</v>
      </c>
      <c r="AA3471" s="4" t="s">
        <v>448</v>
      </c>
      <c r="AH3471" s="4" t="str">
        <f>HYPERLINK("#Statut_biogéographique!A"&amp;_xlfn.XMATCH("P",Statut_biogéographique!A:A,2,1),"P")</f>
        <v>P</v>
      </c>
      <c r="AP3471" s="4" t="s">
        <v>376</v>
      </c>
      <c r="AR3471" s="4" t="s">
        <v>377</v>
      </c>
    </row>
    <row r="3472" spans="1:44" ht="30">
      <c r="A3472" s="4" t="s">
        <v>5</v>
      </c>
      <c r="B3472" s="4">
        <v>30045</v>
      </c>
      <c r="C3472" s="4">
        <v>2023</v>
      </c>
      <c r="D3472" s="5" t="s">
        <v>5172</v>
      </c>
      <c r="E3472" s="6" t="str">
        <f>HYPERLINK("https://inpn.mnhn.fr/espece/cd_nom/30045","Cuphophyllus russocoriaceus (Berk. &amp; T.K.Mill.) Bon, 1985")</f>
        <v>Cuphophyllus russocoriaceus (Berk. &amp; T.K.Mill.) Bon, 1985</v>
      </c>
      <c r="F3472" s="5" t="s">
        <v>5173</v>
      </c>
      <c r="V3472" s="7" t="str">
        <f>HYPERLINK("#Liste_rouge!A"&amp;_xlfn.XMATCH("NT",Liste_rouge!A:A,2,1),"NT")</f>
        <v>NT</v>
      </c>
      <c r="W3472" s="4" t="str">
        <f>HYPERLINK("#Critères_liste_rouge!A$1","pr. A2c")</f>
        <v>pr. A2c</v>
      </c>
      <c r="AH3472" s="4" t="str">
        <f>HYPERLINK("#Statut_biogéographique!A"&amp;_xlfn.XMATCH("P",Statut_biogéographique!A:A,2,1),"P")</f>
        <v>P</v>
      </c>
      <c r="AP3472" s="4" t="s">
        <v>376</v>
      </c>
      <c r="AR3472" s="4" t="s">
        <v>377</v>
      </c>
    </row>
    <row r="3473" spans="1:44" ht="45">
      <c r="A3473" s="4" t="s">
        <v>5</v>
      </c>
      <c r="B3473" s="4">
        <v>30058</v>
      </c>
      <c r="C3473" s="4">
        <v>58</v>
      </c>
      <c r="D3473" s="5" t="s">
        <v>5174</v>
      </c>
      <c r="E3473" s="6" t="str">
        <f>HYPERLINK("https://inpn.mnhn.fr/espece/cd_nom/30058","Cuphophyllus virgineus (Wulfen) Kovalenko, 1989")</f>
        <v>Cuphophyllus virgineus (Wulfen) Kovalenko, 1989</v>
      </c>
      <c r="F3473" s="5" t="s">
        <v>5175</v>
      </c>
      <c r="V3473" s="7" t="str">
        <f>HYPERLINK("#Liste_rouge!A"&amp;_xlfn.XMATCH("CR",Liste_rouge!A:A,2,1),"CR")</f>
        <v>CR</v>
      </c>
      <c r="W3473" s="4" t="str">
        <f>HYPERLINK("#Critères_liste_rouge!A$1","B2abiii")</f>
        <v>B2abiii</v>
      </c>
      <c r="Z3473" s="4" t="s">
        <v>695</v>
      </c>
      <c r="AA3473" s="4" t="s">
        <v>696</v>
      </c>
      <c r="AH3473" s="4" t="str">
        <f>HYPERLINK("#Statut_biogéographique!A"&amp;_xlfn.XMATCH("P",Statut_biogéographique!A:A,2,1),"P")</f>
        <v>P</v>
      </c>
      <c r="AP3473" s="4" t="s">
        <v>376</v>
      </c>
      <c r="AR3473" s="4" t="s">
        <v>377</v>
      </c>
    </row>
    <row r="3474" spans="1:44" ht="30">
      <c r="A3474" s="4" t="s">
        <v>5</v>
      </c>
      <c r="B3474" s="4">
        <v>30065</v>
      </c>
      <c r="C3474" s="4">
        <v>874</v>
      </c>
      <c r="D3474" s="5" t="s">
        <v>5176</v>
      </c>
      <c r="E3474" s="6" t="str">
        <f>HYPERLINK("https://inpn.mnhn.fr/espece/cd_nom/30065","Hygrocybe acutopunicea R.Haller Aar. &amp; F.H.Møller, 1956")</f>
        <v>Hygrocybe acutopunicea R.Haller Aar. &amp; F.H.Møller, 1956</v>
      </c>
      <c r="V3474" s="7" t="str">
        <f>HYPERLINK("#Liste_rouge!A"&amp;_xlfn.XMATCH("EN",Liste_rouge!A:A,2,1),"EN")</f>
        <v>EN</v>
      </c>
      <c r="W3474" s="4" t="str">
        <f>HYPERLINK("#Critères_liste_rouge!A$1","B2abiii")</f>
        <v>B2abiii</v>
      </c>
      <c r="Z3474" s="4" t="s">
        <v>447</v>
      </c>
      <c r="AA3474" s="4" t="s">
        <v>448</v>
      </c>
      <c r="AH3474" s="4" t="str">
        <f>HYPERLINK("#Statut_biogéographique!A"&amp;_xlfn.XMATCH("P",Statut_biogéographique!A:A,2,1),"P")</f>
        <v>P</v>
      </c>
      <c r="AP3474" s="4" t="s">
        <v>376</v>
      </c>
      <c r="AR3474" s="4" t="s">
        <v>377</v>
      </c>
    </row>
    <row r="3475" spans="1:44" ht="30">
      <c r="A3475" s="4" t="s">
        <v>5</v>
      </c>
      <c r="B3475" s="4">
        <v>30071</v>
      </c>
      <c r="C3475" s="4">
        <v>3781</v>
      </c>
      <c r="D3475" s="5" t="s">
        <v>5177</v>
      </c>
      <c r="E3475" s="6" t="str">
        <f>HYPERLINK("https://inpn.mnhn.fr/espece/cd_nom/30071","Hygrocybe aurantiolutescens P.D.Orton, 1969")</f>
        <v>Hygrocybe aurantiolutescens P.D.Orton, 1969</v>
      </c>
      <c r="Z3475" s="4" t="s">
        <v>447</v>
      </c>
      <c r="AA3475" s="4" t="s">
        <v>448</v>
      </c>
      <c r="AH3475" s="4" t="str">
        <f>HYPERLINK("#Statut_biogéographique!A"&amp;_xlfn.XMATCH("P",Statut_biogéographique!A:A,2,1),"P")</f>
        <v>P</v>
      </c>
      <c r="AP3475" s="4" t="s">
        <v>376</v>
      </c>
      <c r="AR3475" s="4" t="s">
        <v>377</v>
      </c>
    </row>
    <row r="3476" spans="1:44" ht="30">
      <c r="A3476" s="4" t="s">
        <v>5</v>
      </c>
      <c r="B3476" s="4">
        <v>30073</v>
      </c>
      <c r="C3476" s="4">
        <v>3347</v>
      </c>
      <c r="D3476" s="5" t="s">
        <v>5178</v>
      </c>
      <c r="E3476" s="6" t="str">
        <f>HYPERLINK("https://inpn.mnhn.fr/espece/cd_nom/30073","Hygrocybe aurantiolutescens var. parapersistens Bon, 1989")</f>
        <v>Hygrocybe aurantiolutescens var. parapersistens Bon, 1989</v>
      </c>
      <c r="F3476" s="5" t="s">
        <v>5179</v>
      </c>
      <c r="V3476" s="7" t="str">
        <f>HYPERLINK("#Liste_rouge!A"&amp;_xlfn.XMATCH("DD",Liste_rouge!A:A,2,1),"DD")</f>
        <v>DD</v>
      </c>
      <c r="Z3476" s="4" t="s">
        <v>447</v>
      </c>
      <c r="AA3476" s="4" t="s">
        <v>448</v>
      </c>
      <c r="AH3476" s="4" t="str">
        <f>HYPERLINK("#Statut_biogéographique!A"&amp;_xlfn.XMATCH("P",Statut_biogéographique!A:A,2,1),"P")</f>
        <v>P</v>
      </c>
      <c r="AP3476" s="4" t="s">
        <v>376</v>
      </c>
      <c r="AR3476" s="4" t="s">
        <v>377</v>
      </c>
    </row>
    <row r="3477" spans="1:44" ht="30">
      <c r="A3477" s="4" t="s">
        <v>5</v>
      </c>
      <c r="B3477" s="4">
        <v>30078</v>
      </c>
      <c r="C3477" s="4">
        <v>327</v>
      </c>
      <c r="D3477" s="5" t="s">
        <v>5180</v>
      </c>
      <c r="E3477" s="6" t="str">
        <f>HYPERLINK("https://inpn.mnhn.fr/espece/cd_nom/30078","Hygrocybe aurantiosplendens R.Haller Aar., 1954")</f>
        <v>Hygrocybe aurantiosplendens R.Haller Aar., 1954</v>
      </c>
      <c r="F3477" s="5" t="s">
        <v>5181</v>
      </c>
      <c r="V3477" s="7" t="str">
        <f>HYPERLINK("#Liste_rouge!A"&amp;_xlfn.XMATCH("VU",Liste_rouge!A:A,2,1),"VU")</f>
        <v>VU</v>
      </c>
      <c r="W3477" s="4" t="str">
        <f>HYPERLINK("#Critères_liste_rouge!A$1","B2abiii")</f>
        <v>B2abiii</v>
      </c>
      <c r="Z3477" s="4" t="s">
        <v>695</v>
      </c>
      <c r="AA3477" s="4" t="s">
        <v>696</v>
      </c>
      <c r="AH3477" s="4" t="str">
        <f>HYPERLINK("#Statut_biogéographique!A"&amp;_xlfn.XMATCH("P",Statut_biogéographique!A:A,2,1),"P")</f>
        <v>P</v>
      </c>
      <c r="AP3477" s="4" t="s">
        <v>376</v>
      </c>
      <c r="AR3477" s="4" t="s">
        <v>377</v>
      </c>
    </row>
    <row r="3478" spans="1:44">
      <c r="A3478" s="4" t="s">
        <v>5</v>
      </c>
      <c r="B3478" s="4">
        <v>30091</v>
      </c>
      <c r="C3478" s="4">
        <v>3309</v>
      </c>
      <c r="D3478" s="5" t="s">
        <v>5182</v>
      </c>
      <c r="E3478" s="6" t="str">
        <f>HYPERLINK("https://inpn.mnhn.fr/espece/cd_nom/30091","Hygrocybe calciphila Arnolds, 1985")</f>
        <v>Hygrocybe calciphila Arnolds, 1985</v>
      </c>
      <c r="F3478" s="5" t="s">
        <v>5183</v>
      </c>
      <c r="V3478" s="7" t="str">
        <f>HYPERLINK("#Liste_rouge!A"&amp;_xlfn.XMATCH("EN",Liste_rouge!A:A,2,1),"EN")</f>
        <v>EN</v>
      </c>
      <c r="W3478" s="4" t="str">
        <f>HYPERLINK("#Critères_liste_rouge!A$1","A2c")</f>
        <v>A2c</v>
      </c>
      <c r="Z3478" s="4" t="s">
        <v>695</v>
      </c>
      <c r="AA3478" s="4" t="s">
        <v>696</v>
      </c>
      <c r="AH3478" s="4" t="str">
        <f>HYPERLINK("#Statut_biogéographique!A"&amp;_xlfn.XMATCH("P",Statut_biogéographique!A:A,2,1),"P")</f>
        <v>P</v>
      </c>
      <c r="AP3478" s="4" t="s">
        <v>376</v>
      </c>
      <c r="AR3478" s="4" t="s">
        <v>377</v>
      </c>
    </row>
    <row r="3479" spans="1:44" ht="30">
      <c r="A3479" s="4" t="s">
        <v>5</v>
      </c>
      <c r="B3479" s="4">
        <v>30102</v>
      </c>
      <c r="C3479" s="4">
        <v>593</v>
      </c>
      <c r="D3479" s="5" t="s">
        <v>5184</v>
      </c>
      <c r="E3479" s="6" t="str">
        <f>HYPERLINK("https://inpn.mnhn.fr/espece/cd_nom/30102","Hygrocybe ceracea (Sowerby) P.Kumm., 1871")</f>
        <v>Hygrocybe ceracea (Sowerby) P.Kumm., 1871</v>
      </c>
      <c r="F3479" s="5" t="s">
        <v>5185</v>
      </c>
      <c r="V3479" s="7" t="str">
        <f>HYPERLINK("#Liste_rouge!A"&amp;_xlfn.XMATCH("VU",Liste_rouge!A:A,2,1),"VU")</f>
        <v>VU</v>
      </c>
      <c r="W3479" s="4" t="str">
        <f>HYPERLINK("#Critères_liste_rouge!A$1","A2c")</f>
        <v>A2c</v>
      </c>
      <c r="Z3479" s="4" t="s">
        <v>447</v>
      </c>
      <c r="AA3479" s="4" t="s">
        <v>448</v>
      </c>
      <c r="AH3479" s="4" t="str">
        <f>HYPERLINK("#Statut_biogéographique!A"&amp;_xlfn.XMATCH("P",Statut_biogéographique!A:A,2,1),"P")</f>
        <v>P</v>
      </c>
      <c r="AP3479" s="4" t="s">
        <v>376</v>
      </c>
      <c r="AR3479" s="4" t="s">
        <v>377</v>
      </c>
    </row>
    <row r="3480" spans="1:44" ht="30">
      <c r="A3480" s="4" t="s">
        <v>5</v>
      </c>
      <c r="B3480" s="4">
        <v>30104</v>
      </c>
      <c r="C3480" s="4">
        <v>2168</v>
      </c>
      <c r="D3480" s="5" t="s">
        <v>5186</v>
      </c>
      <c r="E3480" s="6" t="str">
        <f>HYPERLINK("https://inpn.mnhn.fr/espece/cd_nom/30104","Hygrocybe ceracea var. vitellinoides (Bon) Bon, 1987")</f>
        <v>Hygrocybe ceracea var. vitellinoides (Bon) Bon, 1987</v>
      </c>
      <c r="V3480" s="7" t="str">
        <f>HYPERLINK("#Liste_rouge!A"&amp;_xlfn.XMATCH("DD",Liste_rouge!A:A,2,1),"DD")</f>
        <v>DD</v>
      </c>
      <c r="Z3480" s="4" t="s">
        <v>443</v>
      </c>
      <c r="AA3480" s="4" t="s">
        <v>444</v>
      </c>
      <c r="AH3480" s="4" t="str">
        <f>HYPERLINK("#Statut_biogéographique!A"&amp;_xlfn.XMATCH("P",Statut_biogéographique!A:A,2,1),"P")</f>
        <v>P</v>
      </c>
      <c r="AP3480" s="4" t="s">
        <v>376</v>
      </c>
      <c r="AR3480" s="4" t="s">
        <v>377</v>
      </c>
    </row>
    <row r="3481" spans="1:44">
      <c r="A3481" s="4" t="s">
        <v>5</v>
      </c>
      <c r="B3481" s="4">
        <v>30111</v>
      </c>
      <c r="C3481" s="4">
        <v>48</v>
      </c>
      <c r="D3481" s="5" t="s">
        <v>5187</v>
      </c>
      <c r="E3481" s="6" t="str">
        <f>HYPERLINK("https://inpn.mnhn.fr/espece/cd_nom/30111","Hygrocybe chlorophana (Fr.) Wünsche, 1877")</f>
        <v>Hygrocybe chlorophana (Fr.) Wünsche, 1877</v>
      </c>
      <c r="F3481" s="5" t="s">
        <v>5188</v>
      </c>
      <c r="V3481" s="7" t="str">
        <f>HYPERLINK("#Liste_rouge!A"&amp;_xlfn.XMATCH("NT",Liste_rouge!A:A,2,1),"NT")</f>
        <v>NT</v>
      </c>
      <c r="W3481" s="4" t="str">
        <f>HYPERLINK("#Critères_liste_rouge!A$1","pr. A2c")</f>
        <v>pr. A2c</v>
      </c>
      <c r="AH3481" s="4" t="str">
        <f>HYPERLINK("#Statut_biogéographique!A"&amp;_xlfn.XMATCH("P",Statut_biogéographique!A:A,2,1),"P")</f>
        <v>P</v>
      </c>
      <c r="AP3481" s="4" t="s">
        <v>376</v>
      </c>
      <c r="AR3481" s="4" t="s">
        <v>377</v>
      </c>
    </row>
    <row r="3482" spans="1:44" ht="30">
      <c r="A3482" s="4" t="s">
        <v>5</v>
      </c>
      <c r="B3482" s="4">
        <v>30114</v>
      </c>
      <c r="C3482" s="4">
        <v>1965</v>
      </c>
      <c r="D3482" s="5" t="s">
        <v>5189</v>
      </c>
      <c r="E3482" s="6" t="str">
        <f>HYPERLINK("https://inpn.mnhn.fr/espece/cd_nom/30114","Hygrocybe chlorophana var. aurantiaca Bon, 1976")</f>
        <v>Hygrocybe chlorophana var. aurantiaca Bon, 1976</v>
      </c>
      <c r="F3482" s="5" t="s">
        <v>5190</v>
      </c>
      <c r="V3482" s="7" t="str">
        <f>HYPERLINK("#Liste_rouge!A"&amp;_xlfn.XMATCH("DD",Liste_rouge!A:A,2,1),"DD")</f>
        <v>DD</v>
      </c>
      <c r="AH3482" s="4" t="str">
        <f>HYPERLINK("#Statut_biogéographique!A"&amp;_xlfn.XMATCH("P",Statut_biogéographique!A:A,2,1),"P")</f>
        <v>P</v>
      </c>
      <c r="AP3482" s="4" t="s">
        <v>376</v>
      </c>
      <c r="AR3482" s="4" t="s">
        <v>377</v>
      </c>
    </row>
    <row r="3483" spans="1:44">
      <c r="A3483" s="4" t="s">
        <v>5</v>
      </c>
      <c r="B3483" s="4">
        <v>30115</v>
      </c>
      <c r="C3483" s="4">
        <v>2167</v>
      </c>
      <c r="D3483" s="5" t="s">
        <v>5191</v>
      </c>
      <c r="E3483" s="6" t="str">
        <f>HYPERLINK("https://inpn.mnhn.fr/espece/cd_nom/30115","Hygrocybe cinereifolia Courtec. &amp; Priou, 1992")</f>
        <v>Hygrocybe cinereifolia Courtec. &amp; Priou, 1992</v>
      </c>
      <c r="F3483" s="5" t="s">
        <v>5192</v>
      </c>
      <c r="V3483" s="7" t="str">
        <f>HYPERLINK("#Liste_rouge!A"&amp;_xlfn.XMATCH("DD",Liste_rouge!A:A,2,1),"DD")</f>
        <v>DD</v>
      </c>
      <c r="Z3483" s="4" t="s">
        <v>447</v>
      </c>
      <c r="AA3483" s="4" t="s">
        <v>448</v>
      </c>
      <c r="AH3483" s="4" t="str">
        <f>HYPERLINK("#Statut_biogéographique!A"&amp;_xlfn.XMATCH("P",Statut_biogéographique!A:A,2,1),"P")</f>
        <v>P</v>
      </c>
      <c r="AP3483" s="4" t="s">
        <v>376</v>
      </c>
      <c r="AR3483" s="4" t="s">
        <v>377</v>
      </c>
    </row>
    <row r="3484" spans="1:44">
      <c r="A3484" s="4" t="s">
        <v>5</v>
      </c>
      <c r="B3484" s="4">
        <v>30116</v>
      </c>
      <c r="C3484" s="4">
        <v>787</v>
      </c>
      <c r="D3484" s="5" t="s">
        <v>5193</v>
      </c>
      <c r="E3484" s="6" t="str">
        <f>HYPERLINK("https://inpn.mnhn.fr/espece/cd_nom/30116","Hygrocybe citrina (Rea) J.E.Lange, 1940")</f>
        <v>Hygrocybe citrina (Rea) J.E.Lange, 1940</v>
      </c>
      <c r="F3484" s="5" t="s">
        <v>5194</v>
      </c>
      <c r="V3484" s="7" t="str">
        <f>HYPERLINK("#Liste_rouge!A"&amp;_xlfn.XMATCH("EN",Liste_rouge!A:A,2,1),"EN")</f>
        <v>EN</v>
      </c>
      <c r="W3484" s="4" t="str">
        <f>HYPERLINK("#Critères_liste_rouge!A$1","B2abiii")</f>
        <v>B2abiii</v>
      </c>
      <c r="Z3484" s="4" t="s">
        <v>447</v>
      </c>
      <c r="AA3484" s="4" t="s">
        <v>448</v>
      </c>
      <c r="AH3484" s="4" t="str">
        <f>HYPERLINK("#Statut_biogéographique!A"&amp;_xlfn.XMATCH("P",Statut_biogéographique!A:A,2,1),"P")</f>
        <v>P</v>
      </c>
      <c r="AP3484" s="4" t="s">
        <v>376</v>
      </c>
      <c r="AR3484" s="4" t="s">
        <v>377</v>
      </c>
    </row>
    <row r="3485" spans="1:44" ht="30">
      <c r="A3485" s="4" t="s">
        <v>5</v>
      </c>
      <c r="B3485" s="4">
        <v>30122</v>
      </c>
      <c r="C3485" s="4">
        <v>508</v>
      </c>
      <c r="D3485" s="5" t="s">
        <v>5195</v>
      </c>
      <c r="E3485" s="6" t="str">
        <f>HYPERLINK("https://inpn.mnhn.fr/espece/cd_nom/30122","Hygrocybe citrinovirens (J.E.Lange) Jul.Schäff., 1947")</f>
        <v>Hygrocybe citrinovirens (J.E.Lange) Jul.Schäff., 1947</v>
      </c>
      <c r="F3485" s="5" t="s">
        <v>5196</v>
      </c>
      <c r="V3485" s="7" t="str">
        <f>HYPERLINK("#Liste_rouge!A"&amp;_xlfn.XMATCH("VU",Liste_rouge!A:A,2,1),"VU")</f>
        <v>VU</v>
      </c>
      <c r="W3485" s="4" t="str">
        <f>HYPERLINK("#Critères_liste_rouge!A$1","A2c")</f>
        <v>A2c</v>
      </c>
      <c r="Z3485" s="4" t="s">
        <v>447</v>
      </c>
      <c r="AA3485" s="4" t="s">
        <v>448</v>
      </c>
      <c r="AH3485" s="4" t="str">
        <f>HYPERLINK("#Statut_biogéographique!A"&amp;_xlfn.XMATCH("P",Statut_biogéographique!A:A,2,1),"P")</f>
        <v>P</v>
      </c>
      <c r="AP3485" s="4" t="s">
        <v>376</v>
      </c>
      <c r="AR3485" s="4" t="s">
        <v>377</v>
      </c>
    </row>
    <row r="3486" spans="1:44" ht="30">
      <c r="A3486" s="4" t="s">
        <v>5</v>
      </c>
      <c r="B3486" s="4">
        <v>30126</v>
      </c>
      <c r="C3486" s="4">
        <v>42</v>
      </c>
      <c r="D3486" s="5" t="s">
        <v>5197</v>
      </c>
      <c r="E3486" s="6" t="str">
        <f>HYPERLINK("https://inpn.mnhn.fr/espece/cd_nom/30126","Hygrocybe coccinea (Schaeff.) P.Kumm., 1871")</f>
        <v>Hygrocybe coccinea (Schaeff.) P.Kumm., 1871</v>
      </c>
      <c r="F3486" s="5" t="s">
        <v>5198</v>
      </c>
      <c r="V3486" s="7" t="str">
        <f>HYPERLINK("#Liste_rouge!A"&amp;_xlfn.XMATCH("NT",Liste_rouge!A:A,2,1),"NT")</f>
        <v>NT</v>
      </c>
      <c r="W3486" s="4" t="str">
        <f>HYPERLINK("#Critères_liste_rouge!A$1","pr. A2c")</f>
        <v>pr. A2c</v>
      </c>
      <c r="AH3486" s="4" t="str">
        <f>HYPERLINK("#Statut_biogéographique!A"&amp;_xlfn.XMATCH("P",Statut_biogéographique!A:A,2,1),"P")</f>
        <v>P</v>
      </c>
      <c r="AP3486" s="4" t="s">
        <v>376</v>
      </c>
      <c r="AR3486" s="4" t="s">
        <v>377</v>
      </c>
    </row>
    <row r="3487" spans="1:44" ht="30">
      <c r="A3487" s="4" t="s">
        <v>5</v>
      </c>
      <c r="B3487" s="4">
        <v>30129</v>
      </c>
      <c r="C3487" s="4">
        <v>2024</v>
      </c>
      <c r="D3487" s="5" t="s">
        <v>5199</v>
      </c>
      <c r="E3487" s="6" t="str">
        <f>HYPERLINK("https://inpn.mnhn.fr/espece/cd_nom/30129","Hygrocybe coccinea var. umbonata Herink, 1958")</f>
        <v>Hygrocybe coccinea var. umbonata Herink, 1958</v>
      </c>
      <c r="F3487" s="5" t="s">
        <v>5200</v>
      </c>
      <c r="V3487" s="7" t="str">
        <f>HYPERLINK("#Liste_rouge!A"&amp;_xlfn.XMATCH("DD",Liste_rouge!A:A,2,1),"DD")</f>
        <v>DD</v>
      </c>
      <c r="AH3487" s="4" t="str">
        <f>HYPERLINK("#Statut_biogéographique!A"&amp;_xlfn.XMATCH("P",Statut_biogéographique!A:A,2,1),"P")</f>
        <v>P</v>
      </c>
      <c r="AP3487" s="4" t="s">
        <v>376</v>
      </c>
      <c r="AR3487" s="4" t="s">
        <v>377</v>
      </c>
    </row>
    <row r="3488" spans="1:44" ht="30">
      <c r="A3488" s="4" t="s">
        <v>5</v>
      </c>
      <c r="B3488" s="4">
        <v>30130</v>
      </c>
      <c r="C3488" s="4">
        <v>2198</v>
      </c>
      <c r="D3488" s="5" t="s">
        <v>5201</v>
      </c>
      <c r="E3488" s="6" t="str">
        <f>HYPERLINK("https://inpn.mnhn.fr/espece/cd_nom/30130","Hygrocybe coccineocrenata (P.D.Orton) M.M.Moser, 1967")</f>
        <v>Hygrocybe coccineocrenata (P.D.Orton) M.M.Moser, 1967</v>
      </c>
      <c r="F3488" s="5" t="s">
        <v>5202</v>
      </c>
      <c r="O3488" s="7" t="str">
        <f>HYPERLINK("#Liste_rouge!A"&amp;_xlfn.XMATCH("NT",Liste_rouge!A:A,2,1),"NT")</f>
        <v>NT</v>
      </c>
      <c r="V3488" s="7" t="str">
        <f>HYPERLINK("#Liste_rouge!A"&amp;_xlfn.XMATCH("EN",Liste_rouge!A:A,2,1),"EN")</f>
        <v>EN</v>
      </c>
      <c r="W3488" s="4" t="str">
        <f>HYPERLINK("#Critères_liste_rouge!A$1","B2abiii")</f>
        <v>B2abiii</v>
      </c>
      <c r="Z3488" s="4" t="s">
        <v>695</v>
      </c>
      <c r="AA3488" s="4" t="s">
        <v>696</v>
      </c>
      <c r="AH3488" s="4" t="str">
        <f>HYPERLINK("#Statut_biogéographique!A"&amp;_xlfn.XMATCH("P",Statut_biogéographique!A:A,2,1),"P")</f>
        <v>P</v>
      </c>
      <c r="AP3488" s="4" t="s">
        <v>376</v>
      </c>
      <c r="AR3488" s="4" t="s">
        <v>377</v>
      </c>
    </row>
    <row r="3489" spans="1:44" ht="30">
      <c r="A3489" s="4" t="s">
        <v>5</v>
      </c>
      <c r="B3489" s="4">
        <v>30136</v>
      </c>
      <c r="C3489" s="4">
        <v>80</v>
      </c>
      <c r="D3489" s="5" t="s">
        <v>5203</v>
      </c>
      <c r="E3489" s="6" t="str">
        <f>HYPERLINK("https://inpn.mnhn.fr/espece/cd_nom/30136","Hygrocybe conica (Schaeff.) P.Kumm., 1871")</f>
        <v>Hygrocybe conica (Schaeff.) P.Kumm., 1871</v>
      </c>
      <c r="F3489" s="5" t="s">
        <v>5204</v>
      </c>
      <c r="V3489" s="7" t="str">
        <f>HYPERLINK("#Liste_rouge!A"&amp;_xlfn.XMATCH("NT",Liste_rouge!A:A,2,1),"NT")</f>
        <v>NT</v>
      </c>
      <c r="W3489" s="4" t="str">
        <f>HYPERLINK("#Critères_liste_rouge!A$1","pr. A2c")</f>
        <v>pr. A2c</v>
      </c>
      <c r="AH3489" s="4" t="str">
        <f>HYPERLINK("#Statut_biogéographique!A"&amp;_xlfn.XMATCH("P",Statut_biogéographique!A:A,2,1),"P")</f>
        <v>P</v>
      </c>
      <c r="AP3489" s="4" t="s">
        <v>376</v>
      </c>
      <c r="AR3489" s="4" t="s">
        <v>377</v>
      </c>
    </row>
    <row r="3490" spans="1:44" ht="30">
      <c r="A3490" s="4" t="s">
        <v>5</v>
      </c>
      <c r="B3490" s="4">
        <v>30139</v>
      </c>
      <c r="C3490" s="4">
        <v>3344</v>
      </c>
      <c r="D3490" s="5" t="s">
        <v>5205</v>
      </c>
      <c r="E3490" s="6" t="str">
        <f>HYPERLINK("https://inpn.mnhn.fr/espece/cd_nom/30139","Hygrocybe conica var. chloroides (Malençon) Bon, 1985")</f>
        <v>Hygrocybe conica var. chloroides (Malençon) Bon, 1985</v>
      </c>
      <c r="F3490" s="5" t="s">
        <v>5206</v>
      </c>
      <c r="V3490" s="7" t="str">
        <f>HYPERLINK("#Liste_rouge!A"&amp;_xlfn.XMATCH("DD",Liste_rouge!A:A,2,1),"DD")</f>
        <v>DD</v>
      </c>
      <c r="AH3490" s="4" t="str">
        <f>HYPERLINK("#Statut_biogéographique!A"&amp;_xlfn.XMATCH("P",Statut_biogéographique!A:A,2,1),"P")</f>
        <v>P</v>
      </c>
      <c r="AP3490" s="4" t="s">
        <v>376</v>
      </c>
      <c r="AR3490" s="4" t="s">
        <v>377</v>
      </c>
    </row>
    <row r="3491" spans="1:44">
      <c r="A3491" s="4" t="s">
        <v>5</v>
      </c>
      <c r="B3491" s="4">
        <v>30151</v>
      </c>
      <c r="C3491" s="4">
        <v>6617</v>
      </c>
      <c r="D3491" s="5" t="s">
        <v>5207</v>
      </c>
      <c r="E3491" s="6" t="str">
        <f>HYPERLINK("https://inpn.mnhn.fr/espece/cd_nom/30151","Hygrocybe constrictospora Arnolds, 1985")</f>
        <v>Hygrocybe constrictospora Arnolds, 1985</v>
      </c>
      <c r="AH3491" s="4" t="str">
        <f>HYPERLINK("#Statut_biogéographique!A"&amp;_xlfn.XMATCH("P",Statut_biogéographique!A:A,2,1),"P")</f>
        <v>P</v>
      </c>
      <c r="AP3491" s="4" t="s">
        <v>376</v>
      </c>
      <c r="AR3491" s="4" t="s">
        <v>377</v>
      </c>
    </row>
    <row r="3492" spans="1:44">
      <c r="A3492" s="4" t="s">
        <v>5</v>
      </c>
      <c r="B3492" s="4">
        <v>30158</v>
      </c>
      <c r="C3492" s="4">
        <v>1146</v>
      </c>
      <c r="D3492" s="5" t="s">
        <v>5208</v>
      </c>
      <c r="E3492" s="6" t="str">
        <f>HYPERLINK("https://inpn.mnhn.fr/espece/cd_nom/30158","Hygrocybe euroflavescens Kühner, 1977")</f>
        <v>Hygrocybe euroflavescens Kühner, 1977</v>
      </c>
      <c r="F3492" s="5" t="s">
        <v>5209</v>
      </c>
      <c r="V3492" s="7" t="str">
        <f>HYPERLINK("#Liste_rouge!A"&amp;_xlfn.XMATCH("EN",Liste_rouge!A:A,2,1),"EN")</f>
        <v>EN</v>
      </c>
      <c r="W3492" s="4" t="str">
        <f>HYPERLINK("#Critères_liste_rouge!A$1","B2abiii")</f>
        <v>B2abiii</v>
      </c>
      <c r="Z3492" s="4" t="s">
        <v>447</v>
      </c>
      <c r="AA3492" s="4" t="s">
        <v>448</v>
      </c>
      <c r="AH3492" s="4" t="str">
        <f>HYPERLINK("#Statut_biogéographique!A"&amp;_xlfn.XMATCH("P",Statut_biogéographique!A:A,2,1),"P")</f>
        <v>P</v>
      </c>
      <c r="AP3492" s="4" t="s">
        <v>376</v>
      </c>
      <c r="AR3492" s="4" t="s">
        <v>377</v>
      </c>
    </row>
    <row r="3493" spans="1:44">
      <c r="A3493" s="4" t="s">
        <v>5</v>
      </c>
      <c r="B3493" s="4">
        <v>30162</v>
      </c>
      <c r="C3493" s="4">
        <v>600</v>
      </c>
      <c r="D3493" s="5" t="s">
        <v>5210</v>
      </c>
      <c r="E3493" s="6" t="str">
        <f>HYPERLINK("https://inpn.mnhn.fr/espece/cd_nom/30162","Hygrocybe fornicata (Fr.) Singer, 1951")</f>
        <v>Hygrocybe fornicata (Fr.) Singer, 1951</v>
      </c>
      <c r="V3493" s="7" t="str">
        <f>HYPERLINK("#Liste_rouge!A"&amp;_xlfn.XMATCH("EN",Liste_rouge!A:A,2,1),"EN")</f>
        <v>EN</v>
      </c>
      <c r="W3493" s="4" t="str">
        <f>HYPERLINK("#Critères_liste_rouge!A$1","B2abiii")</f>
        <v>B2abiii</v>
      </c>
      <c r="Z3493" s="4" t="s">
        <v>447</v>
      </c>
      <c r="AA3493" s="4" t="s">
        <v>448</v>
      </c>
      <c r="AH3493" s="4" t="str">
        <f>HYPERLINK("#Statut_biogéographique!A"&amp;_xlfn.XMATCH("P",Statut_biogéographique!A:A,2,1),"P")</f>
        <v>P</v>
      </c>
      <c r="AP3493" s="4" t="s">
        <v>376</v>
      </c>
      <c r="AR3493" s="4" t="s">
        <v>377</v>
      </c>
    </row>
    <row r="3494" spans="1:44" ht="30">
      <c r="A3494" s="4" t="s">
        <v>5</v>
      </c>
      <c r="B3494" s="4">
        <v>30170</v>
      </c>
      <c r="C3494" s="4">
        <v>3141</v>
      </c>
      <c r="D3494" s="5" t="s">
        <v>5211</v>
      </c>
      <c r="E3494" s="6" t="str">
        <f>HYPERLINK("https://inpn.mnhn.fr/espece/cd_nom/30170","Hygrocybe glutinipes (J.E.Lange) R.Haller Aar., 1956")</f>
        <v>Hygrocybe glutinipes (J.E.Lange) R.Haller Aar., 1956</v>
      </c>
      <c r="F3494" s="5" t="s">
        <v>5212</v>
      </c>
      <c r="V3494" s="7" t="str">
        <f>HYPERLINK("#Liste_rouge!A"&amp;_xlfn.XMATCH("VU",Liste_rouge!A:A,2,1),"VU")</f>
        <v>VU</v>
      </c>
      <c r="W3494" s="4" t="str">
        <f>HYPERLINK("#Critères_liste_rouge!A$1","B2abiii")</f>
        <v>B2abiii</v>
      </c>
      <c r="Z3494" s="4" t="s">
        <v>447</v>
      </c>
      <c r="AA3494" s="4" t="s">
        <v>448</v>
      </c>
      <c r="AH3494" s="4" t="str">
        <f>HYPERLINK("#Statut_biogéographique!A"&amp;_xlfn.XMATCH("P",Statut_biogéographique!A:A,2,1),"P")</f>
        <v>P</v>
      </c>
      <c r="AP3494" s="4" t="s">
        <v>376</v>
      </c>
      <c r="AR3494" s="4" t="s">
        <v>377</v>
      </c>
    </row>
    <row r="3495" spans="1:44">
      <c r="A3495" s="4" t="s">
        <v>5</v>
      </c>
      <c r="B3495" s="4">
        <v>30174</v>
      </c>
      <c r="C3495" s="4">
        <v>2180</v>
      </c>
      <c r="D3495" s="5" t="s">
        <v>5213</v>
      </c>
      <c r="E3495" s="6" t="str">
        <f>HYPERLINK("https://inpn.mnhn.fr/espece/cd_nom/30174","Hygrocybe helobia (Arnolds) Bon, 1976")</f>
        <v>Hygrocybe helobia (Arnolds) Bon, 1976</v>
      </c>
      <c r="V3495" s="7" t="str">
        <f>HYPERLINK("#Liste_rouge!A"&amp;_xlfn.XMATCH("EN",Liste_rouge!A:A,2,1),"EN")</f>
        <v>EN</v>
      </c>
      <c r="W3495" s="4" t="str">
        <f>HYPERLINK("#Critères_liste_rouge!A$1","B2abiii")</f>
        <v>B2abiii</v>
      </c>
      <c r="Z3495" s="4" t="s">
        <v>695</v>
      </c>
      <c r="AA3495" s="4" t="s">
        <v>696</v>
      </c>
      <c r="AH3495" s="4" t="str">
        <f>HYPERLINK("#Statut_biogéographique!A"&amp;_xlfn.XMATCH("P",Statut_biogéographique!A:A,2,1),"P")</f>
        <v>P</v>
      </c>
      <c r="AP3495" s="4" t="s">
        <v>376</v>
      </c>
      <c r="AR3495" s="4" t="s">
        <v>377</v>
      </c>
    </row>
    <row r="3496" spans="1:44" ht="30">
      <c r="A3496" s="4" t="s">
        <v>5</v>
      </c>
      <c r="B3496" s="4">
        <v>30178</v>
      </c>
      <c r="C3496" s="4">
        <v>478</v>
      </c>
      <c r="D3496" s="5" t="s">
        <v>5214</v>
      </c>
      <c r="E3496" s="6" t="str">
        <f>HYPERLINK("https://inpn.mnhn.fr/espece/cd_nom/30178","Hygrocybe ingrata J.P.Jensen &amp; F.H.Møller, 1945")</f>
        <v>Hygrocybe ingrata J.P.Jensen &amp; F.H.Møller, 1945</v>
      </c>
      <c r="F3496" s="5" t="s">
        <v>5215</v>
      </c>
      <c r="V3496" s="7" t="str">
        <f>HYPERLINK("#Liste_rouge!A"&amp;_xlfn.XMATCH("EN",Liste_rouge!A:A,2,1),"EN")</f>
        <v>EN</v>
      </c>
      <c r="W3496" s="4" t="str">
        <f>HYPERLINK("#Critères_liste_rouge!A$1","A2c")</f>
        <v>A2c</v>
      </c>
      <c r="Z3496" s="4" t="s">
        <v>695</v>
      </c>
      <c r="AA3496" s="4" t="s">
        <v>696</v>
      </c>
      <c r="AH3496" s="4" t="str">
        <f>HYPERLINK("#Statut_biogéographique!A"&amp;_xlfn.XMATCH("P",Statut_biogéographique!A:A,2,1),"P")</f>
        <v>P</v>
      </c>
      <c r="AP3496" s="4" t="s">
        <v>376</v>
      </c>
      <c r="AR3496" s="4" t="s">
        <v>377</v>
      </c>
    </row>
    <row r="3497" spans="1:44" ht="30">
      <c r="A3497" s="4" t="s">
        <v>5</v>
      </c>
      <c r="B3497" s="4">
        <v>30181</v>
      </c>
      <c r="C3497" s="4">
        <v>3345</v>
      </c>
      <c r="D3497" s="5" t="s">
        <v>5216</v>
      </c>
      <c r="E3497" s="6" t="str">
        <f>HYPERLINK("https://inpn.mnhn.fr/espece/cd_nom/30181","Hygrocybe insipida (J.E.Lange) M.M.Moser, 1967")</f>
        <v>Hygrocybe insipida (J.E.Lange) M.M.Moser, 1967</v>
      </c>
      <c r="F3497" s="5" t="s">
        <v>5217</v>
      </c>
      <c r="V3497" s="7" t="str">
        <f>HYPERLINK("#Liste_rouge!A"&amp;_xlfn.XMATCH("VU",Liste_rouge!A:A,2,1),"VU")</f>
        <v>VU</v>
      </c>
      <c r="W3497" s="4" t="str">
        <f>HYPERLINK("#Critères_liste_rouge!A$1","A2c + B2ab(iii)")</f>
        <v>A2c + B2ab(iii)</v>
      </c>
      <c r="Z3497" s="4" t="s">
        <v>447</v>
      </c>
      <c r="AA3497" s="4" t="s">
        <v>448</v>
      </c>
      <c r="AH3497" s="4" t="str">
        <f>HYPERLINK("#Statut_biogéographique!A"&amp;_xlfn.XMATCH("P",Statut_biogéographique!A:A,2,1),"P")</f>
        <v>P</v>
      </c>
      <c r="AP3497" s="4" t="s">
        <v>376</v>
      </c>
      <c r="AR3497" s="4" t="s">
        <v>377</v>
      </c>
    </row>
    <row r="3498" spans="1:44">
      <c r="A3498" s="4" t="s">
        <v>5</v>
      </c>
      <c r="B3498" s="4">
        <v>30185</v>
      </c>
      <c r="C3498" s="4">
        <v>121</v>
      </c>
      <c r="D3498" s="5" t="s">
        <v>5218</v>
      </c>
      <c r="E3498" s="6" t="str">
        <f>HYPERLINK("https://inpn.mnhn.fr/espece/cd_nom/30185","Hygrocybe intermedia (Pass.) Fayod, 1889")</f>
        <v>Hygrocybe intermedia (Pass.) Fayod, 1889</v>
      </c>
      <c r="F3498" s="5" t="s">
        <v>5219</v>
      </c>
      <c r="V3498" s="7" t="str">
        <f>HYPERLINK("#Liste_rouge!A"&amp;_xlfn.XMATCH("VU",Liste_rouge!A:A,2,1),"VU")</f>
        <v>VU</v>
      </c>
      <c r="W3498" s="4" t="str">
        <f>HYPERLINK("#Critères_liste_rouge!A$1","A2c")</f>
        <v>A2c</v>
      </c>
      <c r="Z3498" s="4" t="s">
        <v>447</v>
      </c>
      <c r="AA3498" s="4" t="s">
        <v>448</v>
      </c>
      <c r="AH3498" s="4" t="str">
        <f>HYPERLINK("#Statut_biogéographique!A"&amp;_xlfn.XMATCH("P",Statut_biogéographique!A:A,2,1),"P")</f>
        <v>P</v>
      </c>
      <c r="AP3498" s="4" t="s">
        <v>376</v>
      </c>
      <c r="AR3498" s="4" t="s">
        <v>377</v>
      </c>
    </row>
    <row r="3499" spans="1:44">
      <c r="A3499" s="4" t="s">
        <v>5</v>
      </c>
      <c r="B3499" s="4">
        <v>30192</v>
      </c>
      <c r="C3499" s="4">
        <v>3030</v>
      </c>
      <c r="D3499" s="5" t="s">
        <v>5220</v>
      </c>
      <c r="E3499" s="6" t="str">
        <f>HYPERLINK("https://inpn.mnhn.fr/espece/cd_nom/30192","Hygrocybe konradii R.Haller Aar., 1955")</f>
        <v>Hygrocybe konradii R.Haller Aar., 1955</v>
      </c>
      <c r="F3499" s="5" t="s">
        <v>5221</v>
      </c>
      <c r="V3499" s="7" t="str">
        <f>HYPERLINK("#Liste_rouge!A"&amp;_xlfn.XMATCH("CR",Liste_rouge!A:A,2,1),"CR")</f>
        <v>CR</v>
      </c>
      <c r="W3499" s="4" t="str">
        <f>HYPERLINK("#Critères_liste_rouge!A$1","B2abiii")</f>
        <v>B2abiii</v>
      </c>
      <c r="Z3499" s="4" t="s">
        <v>695</v>
      </c>
      <c r="AA3499" s="4" t="s">
        <v>696</v>
      </c>
      <c r="AH3499" s="4" t="str">
        <f>HYPERLINK("#Statut_biogéographique!A"&amp;_xlfn.XMATCH("P",Statut_biogéographique!A:A,2,1),"P")</f>
        <v>P</v>
      </c>
      <c r="AP3499" s="4" t="s">
        <v>376</v>
      </c>
      <c r="AR3499" s="4" t="s">
        <v>377</v>
      </c>
    </row>
    <row r="3500" spans="1:44">
      <c r="A3500" s="4" t="s">
        <v>5</v>
      </c>
      <c r="B3500" s="4">
        <v>30198</v>
      </c>
      <c r="C3500" s="4">
        <v>648</v>
      </c>
      <c r="D3500" s="5" t="s">
        <v>5222</v>
      </c>
      <c r="E3500" s="6" t="str">
        <f>HYPERLINK("https://inpn.mnhn.fr/espece/cd_nom/30198","Hygrocybe laeta (Pers.) P.Kumm., 1871")</f>
        <v>Hygrocybe laeta (Pers.) P.Kumm., 1871</v>
      </c>
      <c r="F3500" s="5" t="s">
        <v>5223</v>
      </c>
      <c r="V3500" s="7" t="str">
        <f>HYPERLINK("#Liste_rouge!A"&amp;_xlfn.XMATCH("EN",Liste_rouge!A:A,2,1),"EN")</f>
        <v>EN</v>
      </c>
      <c r="W3500" s="4" t="str">
        <f>HYPERLINK("#Critères_liste_rouge!A$1","B2abiii")</f>
        <v>B2abiii</v>
      </c>
      <c r="Z3500" s="4" t="s">
        <v>695</v>
      </c>
      <c r="AA3500" s="4" t="s">
        <v>696</v>
      </c>
      <c r="AH3500" s="4" t="str">
        <f>HYPERLINK("#Statut_biogéographique!A"&amp;_xlfn.XMATCH("P",Statut_biogéographique!A:A,2,1),"P")</f>
        <v>P</v>
      </c>
      <c r="AP3500" s="4" t="s">
        <v>376</v>
      </c>
      <c r="AR3500" s="4" t="s">
        <v>377</v>
      </c>
    </row>
    <row r="3501" spans="1:44" ht="30">
      <c r="A3501" s="4" t="s">
        <v>5</v>
      </c>
      <c r="B3501" s="4">
        <v>30206</v>
      </c>
      <c r="C3501" s="4">
        <v>3094</v>
      </c>
      <c r="D3501" s="5" t="s">
        <v>5224</v>
      </c>
      <c r="E3501" s="6" t="str">
        <f>HYPERLINK("https://inpn.mnhn.fr/espece/cd_nom/30206","Hygrocybe laeta f. pseudopsittacina Bon, 1976")</f>
        <v>Hygrocybe laeta f. pseudopsittacina Bon, 1976</v>
      </c>
      <c r="V3501" s="7" t="str">
        <f>HYPERLINK("#Liste_rouge!A"&amp;_xlfn.XMATCH("DD",Liste_rouge!A:A,2,1),"DD")</f>
        <v>DD</v>
      </c>
      <c r="Z3501" s="4" t="s">
        <v>695</v>
      </c>
      <c r="AA3501" s="4" t="s">
        <v>696</v>
      </c>
      <c r="AH3501" s="4" t="str">
        <f>HYPERLINK("#Statut_biogéographique!A"&amp;_xlfn.XMATCH("P",Statut_biogéographique!A:A,2,1),"P")</f>
        <v>P</v>
      </c>
      <c r="AP3501" s="4" t="s">
        <v>376</v>
      </c>
      <c r="AR3501" s="4" t="s">
        <v>377</v>
      </c>
    </row>
    <row r="3502" spans="1:44">
      <c r="A3502" s="4" t="s">
        <v>5</v>
      </c>
      <c r="B3502" s="4">
        <v>30208</v>
      </c>
      <c r="D3502" s="5" t="s">
        <v>5225</v>
      </c>
      <c r="E3502" s="6" t="str">
        <f>HYPERLINK("https://inpn.mnhn.fr/espece/cd_nom/30208","Hygrocybe acutoconica (Clem.) Singer, 1951")</f>
        <v>Hygrocybe acutoconica (Clem.) Singer, 1951</v>
      </c>
      <c r="AH3502" s="4" t="str">
        <f>HYPERLINK("#Statut_biogéographique!A"&amp;_xlfn.XMATCH("P",Statut_biogéographique!A:A,2,1),"P")</f>
        <v>P</v>
      </c>
      <c r="AP3502" s="4" t="s">
        <v>376</v>
      </c>
      <c r="AR3502" s="4" t="s">
        <v>377</v>
      </c>
    </row>
    <row r="3503" spans="1:44" ht="30">
      <c r="A3503" s="4" t="s">
        <v>5</v>
      </c>
      <c r="B3503" s="4">
        <v>30213</v>
      </c>
      <c r="C3503" s="4">
        <v>1011</v>
      </c>
      <c r="D3503" s="5" t="s">
        <v>5226</v>
      </c>
      <c r="E3503" s="6" t="str">
        <f>HYPERLINK("https://inpn.mnhn.fr/espece/cd_nom/30213","Hygrocybe cantharellus (Schwein.) Murrill, 1911")</f>
        <v>Hygrocybe cantharellus (Schwein.) Murrill, 1911</v>
      </c>
      <c r="F3503" s="5" t="s">
        <v>5227</v>
      </c>
      <c r="V3503" s="7" t="str">
        <f>HYPERLINK("#Liste_rouge!A"&amp;_xlfn.XMATCH("VU",Liste_rouge!A:A,2,1),"VU")</f>
        <v>VU</v>
      </c>
      <c r="W3503" s="4" t="str">
        <f>HYPERLINK("#Critères_liste_rouge!A$1","A2c")</f>
        <v>A2c</v>
      </c>
      <c r="Z3503" s="4" t="s">
        <v>447</v>
      </c>
      <c r="AA3503" s="4" t="s">
        <v>448</v>
      </c>
      <c r="AH3503" s="4" t="str">
        <f>HYPERLINK("#Statut_biogéographique!A"&amp;_xlfn.XMATCH("P",Statut_biogéographique!A:A,2,1),"P")</f>
        <v>P</v>
      </c>
      <c r="AP3503" s="4" t="s">
        <v>376</v>
      </c>
      <c r="AR3503" s="4" t="s">
        <v>377</v>
      </c>
    </row>
    <row r="3504" spans="1:44">
      <c r="A3504" s="4" t="s">
        <v>5</v>
      </c>
      <c r="B3504" s="4">
        <v>30216</v>
      </c>
      <c r="C3504" s="4">
        <v>1145</v>
      </c>
      <c r="D3504" s="5" t="s">
        <v>5228</v>
      </c>
      <c r="E3504" s="6" t="str">
        <f>HYPERLINK("https://inpn.mnhn.fr/espece/cd_nom/30216","Hygrocybe marchii (Bres.) F.H.Møller, 1945")</f>
        <v>Hygrocybe marchii (Bres.) F.H.Møller, 1945</v>
      </c>
      <c r="F3504" s="5" t="s">
        <v>5229</v>
      </c>
      <c r="V3504" s="7" t="str">
        <f>HYPERLINK("#Liste_rouge!A"&amp;_xlfn.XMATCH("EN",Liste_rouge!A:A,2,1),"EN")</f>
        <v>EN</v>
      </c>
      <c r="W3504" s="4" t="str">
        <f>HYPERLINK("#Critères_liste_rouge!A$1","B2abiii")</f>
        <v>B2abiii</v>
      </c>
      <c r="Z3504" s="4" t="s">
        <v>447</v>
      </c>
      <c r="AA3504" s="4" t="s">
        <v>448</v>
      </c>
      <c r="AH3504" s="4" t="str">
        <f>HYPERLINK("#Statut_biogéographique!A"&amp;_xlfn.XMATCH("P",Statut_biogéographique!A:A,2,1),"P")</f>
        <v>P</v>
      </c>
      <c r="AP3504" s="4" t="s">
        <v>376</v>
      </c>
      <c r="AR3504" s="4" t="s">
        <v>377</v>
      </c>
    </row>
    <row r="3505" spans="1:44">
      <c r="A3505" s="4" t="s">
        <v>5</v>
      </c>
      <c r="B3505" s="4">
        <v>30222</v>
      </c>
      <c r="C3505" s="4">
        <v>2154</v>
      </c>
      <c r="D3505" s="5" t="s">
        <v>5230</v>
      </c>
      <c r="E3505" s="6" t="str">
        <f>HYPERLINK("https://inpn.mnhn.fr/espece/cd_nom/30222","Hygrocybe miniata (Fr.) P.Kumm., 1871")</f>
        <v>Hygrocybe miniata (Fr.) P.Kumm., 1871</v>
      </c>
      <c r="F3505" s="5" t="s">
        <v>5231</v>
      </c>
      <c r="V3505" s="7" t="str">
        <f>HYPERLINK("#Liste_rouge!A"&amp;_xlfn.XMATCH("EN",Liste_rouge!A:A,2,1),"EN")</f>
        <v>EN</v>
      </c>
      <c r="W3505" s="4" t="str">
        <f>HYPERLINK("#Critères_liste_rouge!A$1","B2abiii")</f>
        <v>B2abiii</v>
      </c>
      <c r="Z3505" s="4" t="s">
        <v>447</v>
      </c>
      <c r="AA3505" s="4" t="s">
        <v>448</v>
      </c>
      <c r="AH3505" s="4" t="str">
        <f>HYPERLINK("#Statut_biogéographique!A"&amp;_xlfn.XMATCH("P",Statut_biogéographique!A:A,2,1),"P")</f>
        <v>P</v>
      </c>
      <c r="AP3505" s="4" t="s">
        <v>376</v>
      </c>
      <c r="AR3505" s="4" t="s">
        <v>377</v>
      </c>
    </row>
    <row r="3506" spans="1:44">
      <c r="A3506" s="4" t="s">
        <v>5</v>
      </c>
      <c r="B3506" s="4">
        <v>30229</v>
      </c>
      <c r="C3506" s="4">
        <v>5201</v>
      </c>
      <c r="D3506" s="5" t="s">
        <v>5232</v>
      </c>
      <c r="E3506" s="6" t="str">
        <f>HYPERLINK("https://inpn.mnhn.fr/espece/cd_nom/30229","Hygrocybe minutula (Peck) Murrill, 1916")</f>
        <v>Hygrocybe minutula (Peck) Murrill, 1916</v>
      </c>
      <c r="F3506" s="5" t="s">
        <v>5233</v>
      </c>
      <c r="V3506" s="7" t="str">
        <f>HYPERLINK("#Liste_rouge!A"&amp;_xlfn.XMATCH("DD",Liste_rouge!A:A,2,1),"DD")</f>
        <v>DD</v>
      </c>
      <c r="Z3506" s="4" t="s">
        <v>447</v>
      </c>
      <c r="AA3506" s="4" t="s">
        <v>448</v>
      </c>
      <c r="AH3506" s="4" t="str">
        <f>HYPERLINK("#Statut_biogéographique!A"&amp;_xlfn.XMATCH("P",Statut_biogéographique!A:A,2,1),"P")</f>
        <v>P</v>
      </c>
      <c r="AP3506" s="4" t="s">
        <v>376</v>
      </c>
      <c r="AR3506" s="4" t="s">
        <v>377</v>
      </c>
    </row>
    <row r="3507" spans="1:44">
      <c r="A3507" s="4" t="s">
        <v>5</v>
      </c>
      <c r="B3507" s="4">
        <v>30231</v>
      </c>
      <c r="C3507" s="4">
        <v>6733</v>
      </c>
      <c r="D3507" s="5" t="s">
        <v>5234</v>
      </c>
      <c r="E3507" s="6" t="str">
        <f>HYPERLINK("https://inpn.mnhn.fr/espece/cd_nom/30231","Hygrocybe moseri Bon, 1976")</f>
        <v>Hygrocybe moseri Bon, 1976</v>
      </c>
      <c r="F3507" s="5" t="s">
        <v>5235</v>
      </c>
      <c r="AH3507" s="4" t="str">
        <f>HYPERLINK("#Statut_biogéographique!A"&amp;_xlfn.XMATCH("P",Statut_biogéographique!A:A,2,1),"P")</f>
        <v>P</v>
      </c>
      <c r="AP3507" s="4" t="s">
        <v>376</v>
      </c>
      <c r="AR3507" s="4" t="s">
        <v>377</v>
      </c>
    </row>
    <row r="3508" spans="1:44">
      <c r="A3508" s="4" t="s">
        <v>5</v>
      </c>
      <c r="B3508" s="4">
        <v>30232</v>
      </c>
      <c r="C3508" s="4">
        <v>3346</v>
      </c>
      <c r="D3508" s="5" t="s">
        <v>5236</v>
      </c>
      <c r="E3508" s="6" t="str">
        <f>HYPERLINK("https://inpn.mnhn.fr/espece/cd_nom/30232","Hygrocybe mucronella (Fr.) P.Karst., 1879")</f>
        <v>Hygrocybe mucronella (Fr.) P.Karst., 1879</v>
      </c>
      <c r="V3508" s="7" t="str">
        <f>HYPERLINK("#Liste_rouge!A"&amp;_xlfn.XMATCH("VU",Liste_rouge!A:A,2,1),"VU")</f>
        <v>VU</v>
      </c>
      <c r="W3508" s="4" t="str">
        <f>HYPERLINK("#Critères_liste_rouge!A$1","A2c + B2ab(iii)")</f>
        <v>A2c + B2ab(iii)</v>
      </c>
      <c r="Z3508" s="4" t="s">
        <v>447</v>
      </c>
      <c r="AA3508" s="4" t="s">
        <v>448</v>
      </c>
      <c r="AH3508" s="4" t="str">
        <f>HYPERLINK("#Statut_biogéographique!A"&amp;_xlfn.XMATCH("P",Statut_biogéographique!A:A,2,1),"P")</f>
        <v>P</v>
      </c>
      <c r="AP3508" s="4" t="s">
        <v>376</v>
      </c>
      <c r="AR3508" s="4" t="s">
        <v>377</v>
      </c>
    </row>
    <row r="3509" spans="1:44" ht="30">
      <c r="A3509" s="4" t="s">
        <v>5</v>
      </c>
      <c r="B3509" s="4">
        <v>30236</v>
      </c>
      <c r="D3509" s="5" t="s">
        <v>5237</v>
      </c>
      <c r="E3509" s="6" t="str">
        <f>HYPERLINK("https://inpn.mnhn.fr/espece/cd_nom/30236","Hygrocybe nitrata (Pers.) Wünsche, 1877")</f>
        <v>Hygrocybe nitrata (Pers.) Wünsche, 1877</v>
      </c>
      <c r="V3509" s="7" t="str">
        <f>HYPERLINK("#Liste_rouge!A"&amp;_xlfn.XMATCH("VU",Liste_rouge!A:A,2,1),"VU")</f>
        <v>VU</v>
      </c>
      <c r="W3509" s="4" t="str">
        <f>HYPERLINK("#Critères_liste_rouge!A$1","B2abiii")</f>
        <v>B2abiii</v>
      </c>
      <c r="AH3509" s="4" t="str">
        <f>HYPERLINK("#Statut_biogéographique!A"&amp;_xlfn.XMATCH("P",Statut_biogéographique!A:A,2,1),"P")</f>
        <v>P</v>
      </c>
      <c r="AP3509" s="4" t="s">
        <v>376</v>
      </c>
      <c r="AR3509" s="4" t="s">
        <v>377</v>
      </c>
    </row>
    <row r="3510" spans="1:44" ht="30">
      <c r="A3510" s="4" t="s">
        <v>5</v>
      </c>
      <c r="B3510" s="4">
        <v>30242</v>
      </c>
      <c r="C3510" s="4">
        <v>987</v>
      </c>
      <c r="D3510" s="5" t="s">
        <v>5238</v>
      </c>
      <c r="E3510" s="6" t="str">
        <f>HYPERLINK("https://inpn.mnhn.fr/espece/cd_nom/30242","Hygrocybe obrussea (Fr.) Wünsche, 1877")</f>
        <v>Hygrocybe obrussea (Fr.) Wünsche, 1877</v>
      </c>
      <c r="F3510" s="5" t="s">
        <v>5239</v>
      </c>
      <c r="V3510" s="7" t="str">
        <f>HYPERLINK("#Liste_rouge!A"&amp;_xlfn.XMATCH("EN",Liste_rouge!A:A,2,1),"EN")</f>
        <v>EN</v>
      </c>
      <c r="W3510" s="4" t="str">
        <f>HYPERLINK("#Critères_liste_rouge!A$1","A2c")</f>
        <v>A2c</v>
      </c>
      <c r="Z3510" s="4" t="s">
        <v>447</v>
      </c>
      <c r="AA3510" s="4" t="s">
        <v>448</v>
      </c>
      <c r="AH3510" s="4" t="str">
        <f>HYPERLINK("#Statut_biogéographique!A"&amp;_xlfn.XMATCH("P",Statut_biogéographique!A:A,2,1),"P")</f>
        <v>P</v>
      </c>
      <c r="AP3510" s="4" t="s">
        <v>376</v>
      </c>
      <c r="AR3510" s="4" t="s">
        <v>377</v>
      </c>
    </row>
    <row r="3511" spans="1:44">
      <c r="A3511" s="4" t="s">
        <v>5</v>
      </c>
      <c r="B3511" s="4">
        <v>30249</v>
      </c>
      <c r="C3511" s="4">
        <v>2975</v>
      </c>
      <c r="D3511" s="5">
        <v>30249</v>
      </c>
      <c r="E3511" s="6" t="str">
        <f>HYPERLINK("https://inpn.mnhn.fr/espece/cd_nom/30249","Hygrocybe ortoniana Bon, 1989")</f>
        <v>Hygrocybe ortoniana Bon, 1989</v>
      </c>
      <c r="F3511" s="5" t="s">
        <v>5240</v>
      </c>
      <c r="V3511" s="7" t="str">
        <f>HYPERLINK("#Liste_rouge!A"&amp;_xlfn.XMATCH("EN",Liste_rouge!A:A,2,1),"EN")</f>
        <v>EN</v>
      </c>
      <c r="W3511" s="4" t="str">
        <f>HYPERLINK("#Critères_liste_rouge!A$1","A2c")</f>
        <v>A2c</v>
      </c>
      <c r="Z3511" s="4" t="s">
        <v>447</v>
      </c>
      <c r="AA3511" s="4" t="s">
        <v>448</v>
      </c>
      <c r="AH3511" s="4" t="str">
        <f>HYPERLINK("#Statut_biogéographique!A"&amp;_xlfn.XMATCH("P",Statut_biogéographique!A:A,2,1),"P")</f>
        <v>P</v>
      </c>
      <c r="AP3511" s="4" t="s">
        <v>376</v>
      </c>
      <c r="AR3511" s="4" t="s">
        <v>377</v>
      </c>
    </row>
    <row r="3512" spans="1:44">
      <c r="A3512" s="4" t="s">
        <v>5</v>
      </c>
      <c r="B3512" s="4">
        <v>30252</v>
      </c>
      <c r="D3512" s="5" t="s">
        <v>5241</v>
      </c>
      <c r="E3512" s="6" t="str">
        <f>HYPERLINK("https://inpn.mnhn.fr/espece/cd_nom/30252","Hygrocybe ovina (Bull.) Kühner, 1926")</f>
        <v>Hygrocybe ovina (Bull.) Kühner, 1926</v>
      </c>
      <c r="O3512" s="7" t="str">
        <f>HYPERLINK("#Liste_rouge!A"&amp;_xlfn.XMATCH("VU",Liste_rouge!A:A,2,1),"VU")</f>
        <v>VU</v>
      </c>
      <c r="V3512" s="7" t="str">
        <f>HYPERLINK("#Liste_rouge!A"&amp;_xlfn.XMATCH("EN",Liste_rouge!A:A,2,1),"EN")</f>
        <v>EN</v>
      </c>
      <c r="W3512" s="4" t="str">
        <f>HYPERLINK("#Critères_liste_rouge!A$1","B2abiii")</f>
        <v>B2abiii</v>
      </c>
      <c r="AH3512" s="4" t="str">
        <f>HYPERLINK("#Statut_biogéographique!A"&amp;_xlfn.XMATCH("P",Statut_biogéographique!A:A,2,1),"P")</f>
        <v>P</v>
      </c>
      <c r="AP3512" s="4" t="s">
        <v>376</v>
      </c>
      <c r="AR3512" s="4" t="s">
        <v>377</v>
      </c>
    </row>
    <row r="3513" spans="1:44">
      <c r="A3513" s="4" t="s">
        <v>5</v>
      </c>
      <c r="B3513" s="4">
        <v>30255</v>
      </c>
      <c r="C3513" s="4">
        <v>787</v>
      </c>
      <c r="D3513" s="5" t="s">
        <v>5242</v>
      </c>
      <c r="E3513" s="6" t="str">
        <f>HYPERLINK("https://inpn.mnhn.fr/espece/cd_nom/30255","Hygrocybe paraceracea Bon, 1989")</f>
        <v>Hygrocybe paraceracea Bon, 1989</v>
      </c>
      <c r="F3513" s="5" t="s">
        <v>5194</v>
      </c>
      <c r="V3513" s="7" t="str">
        <f>HYPERLINK("#Liste_rouge!A"&amp;_xlfn.XMATCH("EN",Liste_rouge!A:A,2,1),"EN")</f>
        <v>EN</v>
      </c>
      <c r="W3513" s="4" t="str">
        <f>HYPERLINK("#Critères_liste_rouge!A$1","B2abiii")</f>
        <v>B2abiii</v>
      </c>
      <c r="Z3513" s="4" t="s">
        <v>447</v>
      </c>
      <c r="AA3513" s="4" t="s">
        <v>448</v>
      </c>
      <c r="AH3513" s="4" t="str">
        <f>HYPERLINK("#Statut_biogéographique!A"&amp;_xlfn.XMATCH("P",Statut_biogéographique!A:A,2,1),"P")</f>
        <v>P</v>
      </c>
      <c r="AP3513" s="4" t="s">
        <v>376</v>
      </c>
      <c r="AR3513" s="4" t="s">
        <v>377</v>
      </c>
    </row>
    <row r="3514" spans="1:44">
      <c r="A3514" s="4" t="s">
        <v>5</v>
      </c>
      <c r="B3514" s="4">
        <v>30260</v>
      </c>
      <c r="C3514" s="4">
        <v>777</v>
      </c>
      <c r="D3514" s="5" t="s">
        <v>5243</v>
      </c>
      <c r="E3514" s="6" t="str">
        <f>HYPERLINK("https://inpn.mnhn.fr/espece/cd_nom/30260","Hygrocybe parvula (Peck) Pegler")</f>
        <v>Hygrocybe parvula (Peck) Pegler</v>
      </c>
      <c r="V3514" s="7" t="str">
        <f>HYPERLINK("#Liste_rouge!A"&amp;_xlfn.XMATCH("EN",Liste_rouge!A:A,2,1),"EN")</f>
        <v>EN</v>
      </c>
      <c r="W3514" s="4" t="str">
        <f>HYPERLINK("#Critères_liste_rouge!A$1","B2abiii")</f>
        <v>B2abiii</v>
      </c>
      <c r="Z3514" s="4" t="s">
        <v>447</v>
      </c>
      <c r="AA3514" s="4" t="s">
        <v>448</v>
      </c>
      <c r="AH3514" s="4" t="str">
        <f>HYPERLINK("#Statut_biogéographique!A"&amp;_xlfn.XMATCH("P",Statut_biogéographique!A:A,2,1),"P")</f>
        <v>P</v>
      </c>
      <c r="AP3514" s="4" t="s">
        <v>376</v>
      </c>
      <c r="AR3514" s="4" t="s">
        <v>377</v>
      </c>
    </row>
    <row r="3515" spans="1:44" ht="30">
      <c r="A3515" s="4" t="s">
        <v>5</v>
      </c>
      <c r="B3515" s="4">
        <v>30262</v>
      </c>
      <c r="C3515" s="4">
        <v>988</v>
      </c>
      <c r="D3515" s="5" t="s">
        <v>5244</v>
      </c>
      <c r="E3515" s="6" t="str">
        <f>HYPERLINK("https://inpn.mnhn.fr/espece/cd_nom/30262","Hygrocybe perplexa (A.H.Sm. &amp; Hesler) Arnolds, 1985")</f>
        <v>Hygrocybe perplexa (A.H.Sm. &amp; Hesler) Arnolds, 1985</v>
      </c>
      <c r="F3515" s="5" t="s">
        <v>5245</v>
      </c>
      <c r="V3515" s="7" t="str">
        <f>HYPERLINK("#Liste_rouge!A"&amp;_xlfn.XMATCH("EN",Liste_rouge!A:A,2,1),"EN")</f>
        <v>EN</v>
      </c>
      <c r="W3515" s="4" t="str">
        <f>HYPERLINK("#Critères_liste_rouge!A$1","A2c")</f>
        <v>A2c</v>
      </c>
      <c r="Z3515" s="4" t="s">
        <v>695</v>
      </c>
      <c r="AA3515" s="4" t="s">
        <v>696</v>
      </c>
      <c r="AH3515" s="4" t="str">
        <f>HYPERLINK("#Statut_biogéographique!A"&amp;_xlfn.XMATCH("P",Statut_biogéographique!A:A,2,1),"P")</f>
        <v>P</v>
      </c>
      <c r="AP3515" s="4" t="s">
        <v>376</v>
      </c>
      <c r="AR3515" s="4" t="s">
        <v>377</v>
      </c>
    </row>
    <row r="3516" spans="1:44">
      <c r="A3516" s="4" t="s">
        <v>5</v>
      </c>
      <c r="B3516" s="4">
        <v>30265</v>
      </c>
      <c r="C3516" s="4">
        <v>3884</v>
      </c>
      <c r="D3516" s="5" t="s">
        <v>5246</v>
      </c>
      <c r="E3516" s="6" t="str">
        <f>HYPERLINK("https://inpn.mnhn.fr/espece/cd_nom/30265","Hygrocybe persistens (Britzelm.) Singer, 1940")</f>
        <v>Hygrocybe persistens (Britzelm.) Singer, 1940</v>
      </c>
      <c r="V3516" s="7" t="str">
        <f>HYPERLINK("#Liste_rouge!A"&amp;_xlfn.XMATCH("VU",Liste_rouge!A:A,2,1),"VU")</f>
        <v>VU</v>
      </c>
      <c r="W3516" s="4" t="str">
        <f>HYPERLINK("#Critères_liste_rouge!A$1","A2c")</f>
        <v>A2c</v>
      </c>
      <c r="Z3516" s="4" t="s">
        <v>447</v>
      </c>
      <c r="AA3516" s="4" t="s">
        <v>448</v>
      </c>
      <c r="AH3516" s="4" t="str">
        <f>HYPERLINK("#Statut_biogéographique!A"&amp;_xlfn.XMATCH("P",Statut_biogéographique!A:A,2,1),"P")</f>
        <v>P</v>
      </c>
      <c r="AP3516" s="4" t="s">
        <v>376</v>
      </c>
      <c r="AR3516" s="4" t="s">
        <v>377</v>
      </c>
    </row>
    <row r="3517" spans="1:44">
      <c r="A3517" s="4" t="s">
        <v>5</v>
      </c>
      <c r="B3517" s="4">
        <v>30270</v>
      </c>
      <c r="C3517" s="4">
        <v>996</v>
      </c>
      <c r="D3517" s="5" t="s">
        <v>5247</v>
      </c>
      <c r="E3517" s="6" t="str">
        <f>HYPERLINK("https://inpn.mnhn.fr/espece/cd_nom/30270","Hygrocybe pseudoconica J.E.Lange, 1923")</f>
        <v>Hygrocybe pseudoconica J.E.Lange, 1923</v>
      </c>
      <c r="F3517" s="5" t="s">
        <v>5248</v>
      </c>
      <c r="V3517" s="7" t="str">
        <f>HYPERLINK("#Liste_rouge!A"&amp;_xlfn.XMATCH("LC",Liste_rouge!A:A,2,1),"LC")</f>
        <v>LC</v>
      </c>
      <c r="AH3517" s="4" t="str">
        <f>HYPERLINK("#Statut_biogéographique!A"&amp;_xlfn.XMATCH("P",Statut_biogéographique!A:A,2,1),"P")</f>
        <v>P</v>
      </c>
      <c r="AP3517" s="4" t="s">
        <v>376</v>
      </c>
      <c r="AR3517" s="4" t="s">
        <v>377</v>
      </c>
    </row>
    <row r="3518" spans="1:44" ht="30">
      <c r="A3518" s="4" t="s">
        <v>5</v>
      </c>
      <c r="B3518" s="4">
        <v>30282</v>
      </c>
      <c r="C3518" s="4">
        <v>81</v>
      </c>
      <c r="D3518" s="5" t="s">
        <v>5249</v>
      </c>
      <c r="E3518" s="6" t="str">
        <f>HYPERLINK("https://inpn.mnhn.fr/espece/cd_nom/30282","Gliophorus psittacinus (Schaeff.) Herink, 1958")</f>
        <v>Gliophorus psittacinus (Schaeff.) Herink, 1958</v>
      </c>
      <c r="F3518" s="5" t="s">
        <v>5250</v>
      </c>
      <c r="V3518" s="7" t="str">
        <f>HYPERLINK("#Liste_rouge!A"&amp;_xlfn.XMATCH("LC",Liste_rouge!A:A,2,1),"LC")</f>
        <v>LC</v>
      </c>
      <c r="AH3518" s="4" t="str">
        <f>HYPERLINK("#Statut_biogéographique!A"&amp;_xlfn.XMATCH("P",Statut_biogéographique!A:A,2,1),"P")</f>
        <v>P</v>
      </c>
      <c r="AP3518" s="4" t="s">
        <v>376</v>
      </c>
      <c r="AR3518" s="4" t="s">
        <v>377</v>
      </c>
    </row>
    <row r="3519" spans="1:44" ht="30">
      <c r="A3519" s="4" t="s">
        <v>5</v>
      </c>
      <c r="B3519" s="4">
        <v>30286</v>
      </c>
      <c r="C3519" s="4">
        <v>651</v>
      </c>
      <c r="D3519" s="5" t="s">
        <v>5251</v>
      </c>
      <c r="E3519" s="6" t="str">
        <f>HYPERLINK("https://inpn.mnhn.fr/espece/cd_nom/30286","Hygrocybe punicea (Fr.) P.Kumm., 1871")</f>
        <v>Hygrocybe punicea (Fr.) P.Kumm., 1871</v>
      </c>
      <c r="F3519" s="5" t="s">
        <v>5252</v>
      </c>
      <c r="O3519" s="7" t="str">
        <f>HYPERLINK("#Liste_rouge!A"&amp;_xlfn.XMATCH("VU",Liste_rouge!A:A,2,1),"VU")</f>
        <v>VU</v>
      </c>
      <c r="V3519" s="7" t="str">
        <f>HYPERLINK("#Liste_rouge!A"&amp;_xlfn.XMATCH("VU",Liste_rouge!A:A,2,1),"VU")</f>
        <v>VU</v>
      </c>
      <c r="W3519" s="4" t="str">
        <f>HYPERLINK("#Critères_liste_rouge!A$1","A2c")</f>
        <v>A2c</v>
      </c>
      <c r="Z3519" s="4" t="s">
        <v>695</v>
      </c>
      <c r="AA3519" s="4" t="s">
        <v>696</v>
      </c>
      <c r="AH3519" s="4" t="str">
        <f>HYPERLINK("#Statut_biogéographique!A"&amp;_xlfn.XMATCH("P",Statut_biogéographique!A:A,2,1),"P")</f>
        <v>P</v>
      </c>
      <c r="AP3519" s="4" t="s">
        <v>376</v>
      </c>
      <c r="AR3519" s="4" t="s">
        <v>377</v>
      </c>
    </row>
    <row r="3520" spans="1:44">
      <c r="A3520" s="4" t="s">
        <v>5</v>
      </c>
      <c r="B3520" s="4">
        <v>30291</v>
      </c>
      <c r="C3520" s="4">
        <v>845</v>
      </c>
      <c r="D3520" s="5" t="s">
        <v>5253</v>
      </c>
      <c r="E3520" s="6" t="str">
        <f>HYPERLINK("https://inpn.mnhn.fr/espece/cd_nom/30291","Hygrocybe quieta (Kühner) Singer, 1951")</f>
        <v>Hygrocybe quieta (Kühner) Singer, 1951</v>
      </c>
      <c r="F3520" s="5" t="s">
        <v>5254</v>
      </c>
      <c r="V3520" s="7" t="str">
        <f>HYPERLINK("#Liste_rouge!A"&amp;_xlfn.XMATCH("NT",Liste_rouge!A:A,2,1),"NT")</f>
        <v>NT</v>
      </c>
      <c r="W3520" s="4" t="str">
        <f>HYPERLINK("#Critères_liste_rouge!A$1","pr. A2c")</f>
        <v>pr. A2c</v>
      </c>
      <c r="AH3520" s="4" t="str">
        <f>HYPERLINK("#Statut_biogéographique!A"&amp;_xlfn.XMATCH("P",Statut_biogéographique!A:A,2,1),"P")</f>
        <v>P</v>
      </c>
      <c r="AP3520" s="4" t="s">
        <v>376</v>
      </c>
      <c r="AR3520" s="4" t="s">
        <v>377</v>
      </c>
    </row>
    <row r="3521" spans="1:44">
      <c r="A3521" s="4" t="s">
        <v>5</v>
      </c>
      <c r="B3521" s="4">
        <v>30295</v>
      </c>
      <c r="C3521" s="4">
        <v>2166</v>
      </c>
      <c r="D3521" s="5" t="s">
        <v>5255</v>
      </c>
      <c r="E3521" s="6" t="str">
        <f>HYPERLINK("https://inpn.mnhn.fr/espece/cd_nom/30295","Hygrocybe reae (Maire) J.E.Lange, 1923")</f>
        <v>Hygrocybe reae (Maire) J.E.Lange, 1923</v>
      </c>
      <c r="V3521" s="7" t="str">
        <f>HYPERLINK("#Liste_rouge!A"&amp;_xlfn.XMATCH("VU",Liste_rouge!A:A,2,1),"VU")</f>
        <v>VU</v>
      </c>
      <c r="W3521" s="4" t="str">
        <f>HYPERLINK("#Critères_liste_rouge!A$1","A2c")</f>
        <v>A2c</v>
      </c>
      <c r="Z3521" s="4" t="s">
        <v>443</v>
      </c>
      <c r="AA3521" s="4" t="s">
        <v>444</v>
      </c>
      <c r="AH3521" s="4" t="str">
        <f>HYPERLINK("#Statut_biogéographique!A"&amp;_xlfn.XMATCH("P",Statut_biogéographique!A:A,2,1),"P")</f>
        <v>P</v>
      </c>
      <c r="AP3521" s="4" t="s">
        <v>376</v>
      </c>
      <c r="AR3521" s="4" t="s">
        <v>377</v>
      </c>
    </row>
    <row r="3522" spans="1:44">
      <c r="A3522" s="4" t="s">
        <v>5</v>
      </c>
      <c r="B3522" s="4">
        <v>30300</v>
      </c>
      <c r="C3522" s="4">
        <v>778</v>
      </c>
      <c r="D3522" s="5" t="s">
        <v>5256</v>
      </c>
      <c r="E3522" s="6" t="str">
        <f>HYPERLINK("https://inpn.mnhn.fr/espece/cd_nom/30300","Hygrocybe reidii Kühner, 1977")</f>
        <v>Hygrocybe reidii Kühner, 1977</v>
      </c>
      <c r="F3522" s="5" t="s">
        <v>5257</v>
      </c>
      <c r="V3522" s="7" t="str">
        <f>HYPERLINK("#Liste_rouge!A"&amp;_xlfn.XMATCH("VU",Liste_rouge!A:A,2,1),"VU")</f>
        <v>VU</v>
      </c>
      <c r="W3522" s="4" t="str">
        <f>HYPERLINK("#Critères_liste_rouge!A$1","B2abiii")</f>
        <v>B2abiii</v>
      </c>
      <c r="Z3522" s="4" t="s">
        <v>695</v>
      </c>
      <c r="AA3522" s="4" t="s">
        <v>696</v>
      </c>
      <c r="AH3522" s="4" t="str">
        <f>HYPERLINK("#Statut_biogéographique!A"&amp;_xlfn.XMATCH("P",Statut_biogéographique!A:A,2,1),"P")</f>
        <v>P</v>
      </c>
      <c r="AP3522" s="4" t="s">
        <v>376</v>
      </c>
      <c r="AR3522" s="4" t="s">
        <v>377</v>
      </c>
    </row>
    <row r="3523" spans="1:44">
      <c r="A3523" s="4" t="s">
        <v>5</v>
      </c>
      <c r="B3523" s="4">
        <v>30303</v>
      </c>
      <c r="C3523" s="4">
        <v>5661</v>
      </c>
      <c r="D3523" s="5" t="s">
        <v>5258</v>
      </c>
      <c r="E3523" s="6" t="str">
        <f>HYPERLINK("https://inpn.mnhn.fr/espece/cd_nom/30303","Hygrocybe rhodophylla Kühner, 1977")</f>
        <v>Hygrocybe rhodophylla Kühner, 1977</v>
      </c>
      <c r="V3523" s="7" t="str">
        <f>HYPERLINK("#Liste_rouge!A"&amp;_xlfn.XMATCH("EN",Liste_rouge!A:A,2,1),"EN")</f>
        <v>EN</v>
      </c>
      <c r="W3523" s="4" t="str">
        <f>HYPERLINK("#Critères_liste_rouge!A$1","A2c")</f>
        <v>A2c</v>
      </c>
      <c r="Z3523" s="4" t="s">
        <v>447</v>
      </c>
      <c r="AA3523" s="4" t="s">
        <v>448</v>
      </c>
      <c r="AH3523" s="4" t="str">
        <f>HYPERLINK("#Statut_biogéographique!A"&amp;_xlfn.XMATCH("P",Statut_biogéographique!A:A,2,1),"P")</f>
        <v>P</v>
      </c>
      <c r="AP3523" s="4" t="s">
        <v>376</v>
      </c>
      <c r="AR3523" s="4" t="s">
        <v>377</v>
      </c>
    </row>
    <row r="3524" spans="1:44" ht="30">
      <c r="A3524" s="4" t="s">
        <v>5</v>
      </c>
      <c r="B3524" s="4">
        <v>30306</v>
      </c>
      <c r="C3524" s="4">
        <v>2592</v>
      </c>
      <c r="D3524" s="5" t="s">
        <v>5259</v>
      </c>
      <c r="E3524" s="6" t="str">
        <f>HYPERLINK("https://inpn.mnhn.fr/espece/cd_nom/30306","Hygrocybe riparia var. conicopalustris (Bon) Bon, 1989")</f>
        <v>Hygrocybe riparia var. conicopalustris (Bon) Bon, 1989</v>
      </c>
      <c r="V3524" s="7" t="str">
        <f>HYPERLINK("#Liste_rouge!A"&amp;_xlfn.XMATCH("CR",Liste_rouge!A:A,2,1),"CR")</f>
        <v>CR</v>
      </c>
      <c r="W3524" s="4" t="str">
        <f>HYPERLINK("#Critères_liste_rouge!A$1","B2abiii")</f>
        <v>B2abiii</v>
      </c>
      <c r="Z3524" s="4" t="s">
        <v>695</v>
      </c>
      <c r="AA3524" s="4" t="s">
        <v>696</v>
      </c>
      <c r="AH3524" s="4" t="str">
        <f>HYPERLINK("#Statut_biogéographique!A"&amp;_xlfn.XMATCH("P",Statut_biogéographique!A:A,2,1),"P")</f>
        <v>P</v>
      </c>
      <c r="AP3524" s="4" t="s">
        <v>376</v>
      </c>
      <c r="AR3524" s="4" t="s">
        <v>377</v>
      </c>
    </row>
    <row r="3525" spans="1:44">
      <c r="A3525" s="4" t="s">
        <v>5</v>
      </c>
      <c r="B3525" s="4">
        <v>30312</v>
      </c>
      <c r="C3525" s="4">
        <v>3774</v>
      </c>
      <c r="D3525" s="5" t="s">
        <v>5260</v>
      </c>
      <c r="E3525" s="6" t="str">
        <f>HYPERLINK("https://inpn.mnhn.fr/espece/cd_nom/30312","Hygrocybe spadicea (Scop.) P.Karst., 1879")</f>
        <v>Hygrocybe spadicea (Scop.) P.Karst., 1879</v>
      </c>
      <c r="F3525" s="5" t="s">
        <v>5261</v>
      </c>
      <c r="V3525" s="7" t="str">
        <f>HYPERLINK("#Liste_rouge!A"&amp;_xlfn.XMATCH("EN",Liste_rouge!A:A,2,1),"EN")</f>
        <v>EN</v>
      </c>
      <c r="W3525" s="4" t="str">
        <f>HYPERLINK("#Critères_liste_rouge!A$1","A2c")</f>
        <v>A2c</v>
      </c>
      <c r="Z3525" s="4" t="s">
        <v>695</v>
      </c>
      <c r="AA3525" s="4" t="s">
        <v>696</v>
      </c>
      <c r="AH3525" s="4" t="str">
        <f>HYPERLINK("#Statut_biogéographique!A"&amp;_xlfn.XMATCH("P",Statut_biogéographique!A:A,2,1),"P")</f>
        <v>P</v>
      </c>
      <c r="AP3525" s="4" t="s">
        <v>376</v>
      </c>
      <c r="AR3525" s="4" t="s">
        <v>377</v>
      </c>
    </row>
    <row r="3526" spans="1:44" ht="30">
      <c r="A3526" s="4" t="s">
        <v>5</v>
      </c>
      <c r="B3526" s="4">
        <v>30315</v>
      </c>
      <c r="C3526" s="4">
        <v>2022</v>
      </c>
      <c r="D3526" s="5" t="s">
        <v>5262</v>
      </c>
      <c r="E3526" s="6" t="str">
        <f>HYPERLINK("https://inpn.mnhn.fr/espece/cd_nom/30315","Hygrocybe splendidissima (P.D.Orton) M.M.Moser, 1967")</f>
        <v>Hygrocybe splendidissima (P.D.Orton) M.M.Moser, 1967</v>
      </c>
      <c r="F3526" s="5" t="s">
        <v>5263</v>
      </c>
      <c r="O3526" s="7" t="str">
        <f>HYPERLINK("#Liste_rouge!A"&amp;_xlfn.XMATCH("VU",Liste_rouge!A:A,2,1),"VU")</f>
        <v>VU</v>
      </c>
      <c r="V3526" s="7" t="str">
        <f>HYPERLINK("#Liste_rouge!A"&amp;_xlfn.XMATCH("VU",Liste_rouge!A:A,2,1),"VU")</f>
        <v>VU</v>
      </c>
      <c r="W3526" s="4" t="str">
        <f>HYPERLINK("#Critères_liste_rouge!A$1","B2abiii")</f>
        <v>B2abiii</v>
      </c>
      <c r="Z3526" s="4" t="s">
        <v>695</v>
      </c>
      <c r="AA3526" s="4" t="s">
        <v>696</v>
      </c>
      <c r="AH3526" s="4" t="str">
        <f>HYPERLINK("#Statut_biogéographique!A"&amp;_xlfn.XMATCH("P",Statut_biogéographique!A:A,2,1),"P")</f>
        <v>P</v>
      </c>
      <c r="AP3526" s="4" t="s">
        <v>376</v>
      </c>
      <c r="AR3526" s="4" t="s">
        <v>377</v>
      </c>
    </row>
    <row r="3527" spans="1:44" ht="30">
      <c r="A3527" s="4" t="s">
        <v>5</v>
      </c>
      <c r="B3527" s="4">
        <v>30322</v>
      </c>
      <c r="C3527" s="4">
        <v>933</v>
      </c>
      <c r="D3527" s="5" t="s">
        <v>5264</v>
      </c>
      <c r="E3527" s="6" t="str">
        <f>HYPERLINK("https://inpn.mnhn.fr/espece/cd_nom/30322","Hygrocybe subglobispora (P.D.Orton) M.M.Moser, 1967")</f>
        <v>Hygrocybe subglobispora (P.D.Orton) M.M.Moser, 1967</v>
      </c>
      <c r="F3527" s="5" t="s">
        <v>5265</v>
      </c>
      <c r="V3527" s="7" t="str">
        <f>HYPERLINK("#Liste_rouge!A"&amp;_xlfn.XMATCH("VU",Liste_rouge!A:A,2,1),"VU")</f>
        <v>VU</v>
      </c>
      <c r="W3527" s="4" t="str">
        <f>HYPERLINK("#Critères_liste_rouge!A$1","A2c")</f>
        <v>A2c</v>
      </c>
      <c r="Z3527" s="4" t="s">
        <v>447</v>
      </c>
      <c r="AA3527" s="4" t="s">
        <v>448</v>
      </c>
      <c r="AH3527" s="4" t="str">
        <f>HYPERLINK("#Statut_biogéographique!A"&amp;_xlfn.XMATCH("P",Statut_biogéographique!A:A,2,1),"P")</f>
        <v>P</v>
      </c>
      <c r="AP3527" s="4" t="s">
        <v>376</v>
      </c>
      <c r="AR3527" s="4" t="s">
        <v>377</v>
      </c>
    </row>
    <row r="3528" spans="1:44" ht="30">
      <c r="A3528" s="4" t="s">
        <v>5</v>
      </c>
      <c r="B3528" s="4">
        <v>30325</v>
      </c>
      <c r="C3528" s="4">
        <v>3473</v>
      </c>
      <c r="D3528" s="5" t="s">
        <v>5266</v>
      </c>
      <c r="E3528" s="6" t="str">
        <f>HYPERLINK("https://inpn.mnhn.fr/espece/cd_nom/30325","Hygrocybe subglobispora var. aurantiorubra Arnolds")</f>
        <v>Hygrocybe subglobispora var. aurantiorubra Arnolds</v>
      </c>
      <c r="V3528" s="7" t="str">
        <f>HYPERLINK("#Liste_rouge!A"&amp;_xlfn.XMATCH("DD",Liste_rouge!A:A,2,1),"DD")</f>
        <v>DD</v>
      </c>
      <c r="Z3528" s="4" t="s">
        <v>447</v>
      </c>
      <c r="AA3528" s="4" t="s">
        <v>448</v>
      </c>
      <c r="AH3528" s="4" t="str">
        <f>HYPERLINK("#Statut_biogéographique!A"&amp;_xlfn.XMATCH("P",Statut_biogéographique!A:A,2,1),"P")</f>
        <v>P</v>
      </c>
      <c r="AP3528" s="4" t="s">
        <v>376</v>
      </c>
      <c r="AR3528" s="4" t="s">
        <v>377</v>
      </c>
    </row>
    <row r="3529" spans="1:44" ht="30">
      <c r="A3529" s="4" t="s">
        <v>5</v>
      </c>
      <c r="B3529" s="4">
        <v>30330</v>
      </c>
      <c r="C3529" s="4">
        <v>4925</v>
      </c>
      <c r="D3529" s="5" t="s">
        <v>5267</v>
      </c>
      <c r="E3529" s="6" t="str">
        <f>HYPERLINK("https://inpn.mnhn.fr/espece/cd_nom/30330","Hygrocybe substrangulata (P.D.Orton) P.D.Orton &amp; Watling, 1969")</f>
        <v>Hygrocybe substrangulata (P.D.Orton) P.D.Orton &amp; Watling, 1969</v>
      </c>
      <c r="V3529" s="7" t="str">
        <f>HYPERLINK("#Liste_rouge!A"&amp;_xlfn.XMATCH("CR",Liste_rouge!A:A,2,1),"CR")</f>
        <v>CR</v>
      </c>
      <c r="W3529" s="4" t="str">
        <f>HYPERLINK("#Critères_liste_rouge!A$1","B2abiii")</f>
        <v>B2abiii</v>
      </c>
      <c r="Z3529" s="4" t="s">
        <v>695</v>
      </c>
      <c r="AA3529" s="4" t="s">
        <v>696</v>
      </c>
      <c r="AH3529" s="4" t="str">
        <f>HYPERLINK("#Statut_biogéographique!A"&amp;_xlfn.XMATCH("P",Statut_biogéographique!A:A,2,1),"P")</f>
        <v>P</v>
      </c>
      <c r="AP3529" s="4" t="s">
        <v>376</v>
      </c>
      <c r="AR3529" s="4" t="s">
        <v>377</v>
      </c>
    </row>
    <row r="3530" spans="1:44">
      <c r="A3530" s="4" t="s">
        <v>5</v>
      </c>
      <c r="B3530" s="4">
        <v>30333</v>
      </c>
      <c r="C3530" s="4">
        <v>2200</v>
      </c>
      <c r="D3530" s="5" t="s">
        <v>5268</v>
      </c>
      <c r="E3530" s="6" t="str">
        <f>HYPERLINK("https://inpn.mnhn.fr/espece/cd_nom/30333","Hygrocybe turunda (Fr.) P.Karst., 1879")</f>
        <v>Hygrocybe turunda (Fr.) P.Karst., 1879</v>
      </c>
      <c r="V3530" s="7" t="str">
        <f>HYPERLINK("#Liste_rouge!A"&amp;_xlfn.XMATCH("EN",Liste_rouge!A:A,2,1),"EN")</f>
        <v>EN</v>
      </c>
      <c r="W3530" s="4" t="str">
        <f>HYPERLINK("#Critères_liste_rouge!A$1","B2abiii")</f>
        <v>B2abiii</v>
      </c>
      <c r="Z3530" s="4" t="s">
        <v>695</v>
      </c>
      <c r="AA3530" s="4" t="s">
        <v>696</v>
      </c>
      <c r="AH3530" s="4" t="str">
        <f>HYPERLINK("#Statut_biogéographique!A"&amp;_xlfn.XMATCH("P",Statut_biogéographique!A:A,2,1),"P")</f>
        <v>P</v>
      </c>
      <c r="AP3530" s="4" t="s">
        <v>376</v>
      </c>
      <c r="AR3530" s="4" t="s">
        <v>377</v>
      </c>
    </row>
    <row r="3531" spans="1:44">
      <c r="A3531" s="4" t="s">
        <v>5</v>
      </c>
      <c r="B3531" s="4">
        <v>30336</v>
      </c>
      <c r="C3531" s="4">
        <v>244</v>
      </c>
      <c r="D3531" s="5" t="s">
        <v>5269</v>
      </c>
      <c r="E3531" s="6" t="str">
        <f>HYPERLINK("https://inpn.mnhn.fr/espece/cd_nom/30336","Hygrocybe unguinosa (Fr.) P.Karst., 1879")</f>
        <v>Hygrocybe unguinosa (Fr.) P.Karst., 1879</v>
      </c>
      <c r="F3531" s="5" t="s">
        <v>5270</v>
      </c>
      <c r="V3531" s="7" t="str">
        <f>HYPERLINK("#Liste_rouge!A"&amp;_xlfn.XMATCH("VU",Liste_rouge!A:A,2,1),"VU")</f>
        <v>VU</v>
      </c>
      <c r="W3531" s="4" t="str">
        <f>HYPERLINK("#Critères_liste_rouge!A$1","A2c")</f>
        <v>A2c</v>
      </c>
      <c r="Z3531" s="4" t="s">
        <v>447</v>
      </c>
      <c r="AA3531" s="4" t="s">
        <v>448</v>
      </c>
      <c r="AH3531" s="4" t="str">
        <f>HYPERLINK("#Statut_biogéographique!A"&amp;_xlfn.XMATCH("P",Statut_biogéographique!A:A,2,1),"P")</f>
        <v>P</v>
      </c>
      <c r="AP3531" s="4" t="s">
        <v>376</v>
      </c>
      <c r="AR3531" s="4" t="s">
        <v>377</v>
      </c>
    </row>
    <row r="3532" spans="1:44">
      <c r="A3532" s="4" t="s">
        <v>5</v>
      </c>
      <c r="B3532" s="4">
        <v>30345</v>
      </c>
      <c r="C3532" s="4">
        <v>1367</v>
      </c>
      <c r="D3532" s="5" t="s">
        <v>5271</v>
      </c>
      <c r="E3532" s="6" t="str">
        <f>HYPERLINK("https://inpn.mnhn.fr/espece/cd_nom/30345","Hygrophorus agathosmus (Fr.) Fr., 1838")</f>
        <v>Hygrophorus agathosmus (Fr.) Fr., 1838</v>
      </c>
      <c r="F3532" s="5" t="s">
        <v>5272</v>
      </c>
      <c r="V3532" s="7" t="str">
        <f>HYPERLINK("#Liste_rouge!A"&amp;_xlfn.XMATCH("LC",Liste_rouge!A:A,2,1),"LC")</f>
        <v>LC</v>
      </c>
      <c r="AH3532" s="4" t="str">
        <f>HYPERLINK("#Statut_biogéographique!A"&amp;_xlfn.XMATCH("P",Statut_biogéographique!A:A,2,1),"P")</f>
        <v>P</v>
      </c>
      <c r="AP3532" s="4" t="s">
        <v>376</v>
      </c>
      <c r="AR3532" s="4" t="s">
        <v>377</v>
      </c>
    </row>
    <row r="3533" spans="1:44" ht="45">
      <c r="A3533" s="4" t="s">
        <v>5</v>
      </c>
      <c r="B3533" s="4">
        <v>30348</v>
      </c>
      <c r="C3533" s="4">
        <v>3708</v>
      </c>
      <c r="D3533" s="5" t="s">
        <v>5273</v>
      </c>
      <c r="E3533" s="6" t="str">
        <f>HYPERLINK("https://inpn.mnhn.fr/espece/cd_nom/30348","Hygrophorus agathosmus var. aureofloccosus (Bres.) A.Pearson &amp; Dennis, 1948")</f>
        <v>Hygrophorus agathosmus var. aureofloccosus (Bres.) A.Pearson &amp; Dennis, 1948</v>
      </c>
      <c r="F3533" s="5" t="s">
        <v>5274</v>
      </c>
      <c r="V3533" s="7" t="str">
        <f>HYPERLINK("#Liste_rouge!A"&amp;_xlfn.XMATCH("DD",Liste_rouge!A:A,2,1),"DD")</f>
        <v>DD</v>
      </c>
      <c r="AH3533" s="4" t="str">
        <f>HYPERLINK("#Statut_biogéographique!A"&amp;_xlfn.XMATCH("P",Statut_biogéographique!A:A,2,1),"P")</f>
        <v>P</v>
      </c>
      <c r="AP3533" s="4" t="s">
        <v>376</v>
      </c>
      <c r="AR3533" s="4" t="s">
        <v>377</v>
      </c>
    </row>
    <row r="3534" spans="1:44">
      <c r="A3534" s="4" t="s">
        <v>5</v>
      </c>
      <c r="B3534" s="4">
        <v>30349</v>
      </c>
      <c r="C3534" s="4">
        <v>1825</v>
      </c>
      <c r="D3534" s="5" t="s">
        <v>5275</v>
      </c>
      <c r="E3534" s="6" t="str">
        <f>HYPERLINK("https://inpn.mnhn.fr/espece/cd_nom/30349","Hygrophorus arbustivus Fr., 1836")</f>
        <v>Hygrophorus arbustivus Fr., 1836</v>
      </c>
      <c r="V3534" s="7" t="str">
        <f>HYPERLINK("#Liste_rouge!A"&amp;_xlfn.XMATCH("LC",Liste_rouge!A:A,2,1),"LC")</f>
        <v>LC</v>
      </c>
      <c r="AH3534" s="4" t="str">
        <f>HYPERLINK("#Statut_biogéographique!A"&amp;_xlfn.XMATCH("P",Statut_biogéographique!A:A,2,1),"P")</f>
        <v>P</v>
      </c>
      <c r="AP3534" s="4" t="s">
        <v>376</v>
      </c>
      <c r="AR3534" s="4" t="s">
        <v>377</v>
      </c>
    </row>
    <row r="3535" spans="1:44" ht="45">
      <c r="A3535" s="4" t="s">
        <v>5</v>
      </c>
      <c r="B3535" s="4">
        <v>30352</v>
      </c>
      <c r="C3535" s="4">
        <v>2938</v>
      </c>
      <c r="D3535" s="5" t="s">
        <v>5276</v>
      </c>
      <c r="E3535" s="6" t="str">
        <f>HYPERLINK("https://inpn.mnhn.fr/espece/cd_nom/30352","Hygrophorus atramentosus (Alb. &amp; Schwein.) H.Haas &amp; R.Haller Aar. ex Bon, 1985")</f>
        <v>Hygrophorus atramentosus (Alb. &amp; Schwein.) H.Haas &amp; R.Haller Aar. ex Bon, 1985</v>
      </c>
      <c r="F3535" s="5" t="s">
        <v>5277</v>
      </c>
      <c r="V3535" s="7" t="str">
        <f>HYPERLINK("#Liste_rouge!A"&amp;_xlfn.XMATCH("NT",Liste_rouge!A:A,2,1),"NT")</f>
        <v>NT</v>
      </c>
      <c r="W3535" s="4" t="str">
        <f>HYPERLINK("#Critères_liste_rouge!A$1","pr. B2abiii")</f>
        <v>pr. B2abiii</v>
      </c>
      <c r="Z3535" s="4" t="s">
        <v>447</v>
      </c>
      <c r="AA3535" s="4" t="s">
        <v>448</v>
      </c>
      <c r="AH3535" s="4" t="str">
        <f>HYPERLINK("#Statut_biogéographique!A"&amp;_xlfn.XMATCH("P",Statut_biogéographique!A:A,2,1),"P")</f>
        <v>P</v>
      </c>
      <c r="AP3535" s="4" t="s">
        <v>376</v>
      </c>
      <c r="AR3535" s="4" t="s">
        <v>377</v>
      </c>
    </row>
    <row r="3536" spans="1:44">
      <c r="A3536" s="4" t="s">
        <v>5</v>
      </c>
      <c r="B3536" s="4">
        <v>30355</v>
      </c>
      <c r="C3536" s="4">
        <v>5336</v>
      </c>
      <c r="D3536" s="5" t="s">
        <v>5278</v>
      </c>
      <c r="E3536" s="6" t="str">
        <f>HYPERLINK("https://inpn.mnhn.fr/espece/cd_nom/30355","Hygrophorus aureus Arrh., 1863")</f>
        <v>Hygrophorus aureus Arrh., 1863</v>
      </c>
      <c r="F3536" s="5" t="s">
        <v>5279</v>
      </c>
      <c r="V3536" s="7" t="str">
        <f>HYPERLINK("#Liste_rouge!A"&amp;_xlfn.XMATCH("CR",Liste_rouge!A:A,2,1),"CR")</f>
        <v>CR</v>
      </c>
      <c r="W3536" s="4" t="str">
        <f>HYPERLINK("#Critères_liste_rouge!A$1","B2abiii")</f>
        <v>B2abiii</v>
      </c>
      <c r="Z3536" s="4" t="s">
        <v>695</v>
      </c>
      <c r="AA3536" s="4" t="s">
        <v>696</v>
      </c>
      <c r="AH3536" s="4" t="str">
        <f>HYPERLINK("#Statut_biogéographique!A"&amp;_xlfn.XMATCH("P",Statut_biogéographique!A:A,2,1),"P")</f>
        <v>P</v>
      </c>
      <c r="AP3536" s="4" t="s">
        <v>376</v>
      </c>
      <c r="AR3536" s="4" t="s">
        <v>377</v>
      </c>
    </row>
    <row r="3537" spans="1:44">
      <c r="A3537" s="4" t="s">
        <v>5</v>
      </c>
      <c r="B3537" s="4">
        <v>30359</v>
      </c>
      <c r="C3537" s="4">
        <v>878</v>
      </c>
      <c r="D3537" s="5" t="s">
        <v>5280</v>
      </c>
      <c r="E3537" s="6" t="str">
        <f>HYPERLINK("https://inpn.mnhn.fr/espece/cd_nom/30359","Hygrophorus speciosus Peck, 1878")</f>
        <v>Hygrophorus speciosus Peck, 1878</v>
      </c>
      <c r="F3537" s="5" t="s">
        <v>5281</v>
      </c>
      <c r="AH3537" s="4" t="str">
        <f>HYPERLINK("#Statut_biogéographique!A"&amp;_xlfn.XMATCH("P",Statut_biogéographique!A:A,2,1),"P")</f>
        <v>P</v>
      </c>
      <c r="AP3537" s="4" t="s">
        <v>376</v>
      </c>
      <c r="AR3537" s="4" t="s">
        <v>377</v>
      </c>
    </row>
    <row r="3538" spans="1:44">
      <c r="A3538" s="4" t="s">
        <v>5</v>
      </c>
      <c r="B3538" s="4">
        <v>30361</v>
      </c>
      <c r="C3538" s="4">
        <v>5831</v>
      </c>
      <c r="D3538" s="5" t="s">
        <v>5282</v>
      </c>
      <c r="E3538" s="6" t="str">
        <f>HYPERLINK("https://inpn.mnhn.fr/espece/cd_nom/30361","Hygrophorus calophyllus P.Karst., 1876")</f>
        <v>Hygrophorus calophyllus P.Karst., 1876</v>
      </c>
      <c r="O3538" s="7" t="str">
        <f>HYPERLINK("#Liste_rouge!A"&amp;_xlfn.XMATCH("EN",Liste_rouge!A:A,2,1),"EN")</f>
        <v>EN</v>
      </c>
      <c r="Z3538" s="4" t="s">
        <v>447</v>
      </c>
      <c r="AA3538" s="4" t="s">
        <v>448</v>
      </c>
      <c r="AH3538" s="4" t="str">
        <f>HYPERLINK("#Statut_biogéographique!A"&amp;_xlfn.XMATCH("P",Statut_biogéographique!A:A,2,1),"P")</f>
        <v>P</v>
      </c>
      <c r="AP3538" s="4" t="s">
        <v>376</v>
      </c>
      <c r="AR3538" s="4" t="s">
        <v>377</v>
      </c>
    </row>
    <row r="3539" spans="1:44" ht="30">
      <c r="A3539" s="4" t="s">
        <v>5</v>
      </c>
      <c r="B3539" s="4">
        <v>30364</v>
      </c>
      <c r="C3539" s="4">
        <v>1261</v>
      </c>
      <c r="D3539" s="5" t="s">
        <v>5283</v>
      </c>
      <c r="E3539" s="6" t="str">
        <f>HYPERLINK("https://inpn.mnhn.fr/espece/cd_nom/30364","Hygrophorus camarophyllus (Alb. &amp; Schwein.) Dumée, Grandjean &amp; Maire, 1912")</f>
        <v>Hygrophorus camarophyllus (Alb. &amp; Schwein.) Dumée, Grandjean &amp; Maire, 1912</v>
      </c>
      <c r="F3539" s="5" t="s">
        <v>5284</v>
      </c>
      <c r="V3539" s="7" t="str">
        <f>HYPERLINK("#Liste_rouge!A"&amp;_xlfn.XMATCH("VU",Liste_rouge!A:A,2,1),"VU")</f>
        <v>VU</v>
      </c>
      <c r="W3539" s="4" t="str">
        <f>HYPERLINK("#Critères_liste_rouge!A$1","A2c")</f>
        <v>A2c</v>
      </c>
      <c r="Z3539" s="4" t="s">
        <v>447</v>
      </c>
      <c r="AA3539" s="4" t="s">
        <v>448</v>
      </c>
      <c r="AH3539" s="4" t="str">
        <f>HYPERLINK("#Statut_biogéographique!A"&amp;_xlfn.XMATCH("P",Statut_biogéographique!A:A,2,1),"P")</f>
        <v>P</v>
      </c>
      <c r="AP3539" s="4" t="s">
        <v>376</v>
      </c>
      <c r="AR3539" s="4" t="s">
        <v>377</v>
      </c>
    </row>
    <row r="3540" spans="1:44" ht="30">
      <c r="A3540" s="4" t="s">
        <v>5</v>
      </c>
      <c r="B3540" s="4">
        <v>30368</v>
      </c>
      <c r="C3540" s="4">
        <v>1134</v>
      </c>
      <c r="D3540" s="5" t="s">
        <v>5285</v>
      </c>
      <c r="E3540" s="6" t="str">
        <f>HYPERLINK("https://inpn.mnhn.fr/espece/cd_nom/30368","Hygrophorus capreolarius (Kalchbr.) Sacc., 1887")</f>
        <v>Hygrophorus capreolarius (Kalchbr.) Sacc., 1887</v>
      </c>
      <c r="F3540" s="5" t="s">
        <v>5286</v>
      </c>
      <c r="V3540" s="7" t="str">
        <f>HYPERLINK("#Liste_rouge!A"&amp;_xlfn.XMATCH("LC",Liste_rouge!A:A,2,1),"LC")</f>
        <v>LC</v>
      </c>
      <c r="Z3540" s="4" t="s">
        <v>447</v>
      </c>
      <c r="AA3540" s="4" t="s">
        <v>448</v>
      </c>
      <c r="AH3540" s="4" t="str">
        <f>HYPERLINK("#Statut_biogéographique!A"&amp;_xlfn.XMATCH("P",Statut_biogéographique!A:A,2,1),"P")</f>
        <v>P</v>
      </c>
      <c r="AP3540" s="4" t="s">
        <v>376</v>
      </c>
      <c r="AR3540" s="4" t="s">
        <v>377</v>
      </c>
    </row>
    <row r="3541" spans="1:44">
      <c r="A3541" s="4" t="s">
        <v>5</v>
      </c>
      <c r="B3541" s="4">
        <v>30372</v>
      </c>
      <c r="C3541" s="4">
        <v>317</v>
      </c>
      <c r="D3541" s="5" t="s">
        <v>5287</v>
      </c>
      <c r="E3541" s="6" t="str">
        <f>HYPERLINK("https://inpn.mnhn.fr/espece/cd_nom/30372","Hygrophorus chrysodon (Batsch) Fr., 1838")</f>
        <v>Hygrophorus chrysodon (Batsch) Fr., 1838</v>
      </c>
      <c r="F3541" s="5" t="s">
        <v>5288</v>
      </c>
      <c r="V3541" s="7" t="str">
        <f>HYPERLINK("#Liste_rouge!A"&amp;_xlfn.XMATCH("LC",Liste_rouge!A:A,2,1),"LC")</f>
        <v>LC</v>
      </c>
      <c r="AH3541" s="4" t="str">
        <f>HYPERLINK("#Statut_biogéographique!A"&amp;_xlfn.XMATCH("P",Statut_biogéographique!A:A,2,1),"P")</f>
        <v>P</v>
      </c>
      <c r="AP3541" s="4" t="s">
        <v>376</v>
      </c>
      <c r="AR3541" s="4" t="s">
        <v>377</v>
      </c>
    </row>
    <row r="3542" spans="1:44" ht="30">
      <c r="A3542" s="4" t="s">
        <v>5</v>
      </c>
      <c r="B3542" s="4">
        <v>30375</v>
      </c>
      <c r="C3542" s="4">
        <v>320</v>
      </c>
      <c r="D3542" s="5" t="s">
        <v>5289</v>
      </c>
      <c r="E3542" s="6" t="str">
        <f>HYPERLINK("https://inpn.mnhn.fr/espece/cd_nom/30375","Hygrophorus cossus (Sowerby) Fr., 1838")</f>
        <v>Hygrophorus cossus (Sowerby) Fr., 1838</v>
      </c>
      <c r="F3542" s="5" t="s">
        <v>5290</v>
      </c>
      <c r="V3542" s="7" t="str">
        <f>HYPERLINK("#Liste_rouge!A"&amp;_xlfn.XMATCH("LC",Liste_rouge!A:A,2,1),"LC")</f>
        <v>LC</v>
      </c>
      <c r="AH3542" s="4" t="str">
        <f>HYPERLINK("#Statut_biogéographique!A"&amp;_xlfn.XMATCH("P",Statut_biogéographique!A:A,2,1),"P")</f>
        <v>P</v>
      </c>
      <c r="AP3542" s="4" t="s">
        <v>376</v>
      </c>
      <c r="AR3542" s="4" t="s">
        <v>377</v>
      </c>
    </row>
    <row r="3543" spans="1:44">
      <c r="A3543" s="4" t="s">
        <v>5</v>
      </c>
      <c r="B3543" s="4">
        <v>30381</v>
      </c>
      <c r="C3543" s="4">
        <v>645</v>
      </c>
      <c r="D3543" s="5" t="s">
        <v>5291</v>
      </c>
      <c r="E3543" s="6" t="str">
        <f>HYPERLINK("https://inpn.mnhn.fr/espece/cd_nom/30381","Hygrophorus discoideus (Pers.) Fr., 1838")</f>
        <v>Hygrophorus discoideus (Pers.) Fr., 1838</v>
      </c>
      <c r="F3543" s="5" t="s">
        <v>5292</v>
      </c>
      <c r="V3543" s="7" t="str">
        <f>HYPERLINK("#Liste_rouge!A"&amp;_xlfn.XMATCH("LC",Liste_rouge!A:A,2,1),"LC")</f>
        <v>LC</v>
      </c>
      <c r="AH3543" s="4" t="str">
        <f>HYPERLINK("#Statut_biogéographique!A"&amp;_xlfn.XMATCH("P",Statut_biogéographique!A:A,2,1),"P")</f>
        <v>P</v>
      </c>
      <c r="AP3543" s="4" t="s">
        <v>376</v>
      </c>
      <c r="AR3543" s="4" t="s">
        <v>377</v>
      </c>
    </row>
    <row r="3544" spans="1:44">
      <c r="A3544" s="4" t="s">
        <v>5</v>
      </c>
      <c r="B3544" s="4">
        <v>30384</v>
      </c>
      <c r="C3544" s="4">
        <v>1532</v>
      </c>
      <c r="D3544" s="5" t="s">
        <v>5293</v>
      </c>
      <c r="E3544" s="6" t="str">
        <f>HYPERLINK("https://inpn.mnhn.fr/espece/cd_nom/30384","Hygrophorus discoxanthus (Fr.) Rea, 1908")</f>
        <v>Hygrophorus discoxanthus (Fr.) Rea, 1908</v>
      </c>
      <c r="F3544" s="5" t="s">
        <v>5294</v>
      </c>
      <c r="V3544" s="7" t="str">
        <f>HYPERLINK("#Liste_rouge!A"&amp;_xlfn.XMATCH("LC",Liste_rouge!A:A,2,1),"LC")</f>
        <v>LC</v>
      </c>
      <c r="AH3544" s="4" t="str">
        <f>HYPERLINK("#Statut_biogéographique!A"&amp;_xlfn.XMATCH("P",Statut_biogéographique!A:A,2,1),"P")</f>
        <v>P</v>
      </c>
      <c r="AP3544" s="4" t="s">
        <v>376</v>
      </c>
      <c r="AR3544" s="4" t="s">
        <v>377</v>
      </c>
    </row>
    <row r="3545" spans="1:44">
      <c r="A3545" s="4" t="s">
        <v>5</v>
      </c>
      <c r="B3545" s="4">
        <v>30389</v>
      </c>
      <c r="C3545" s="4">
        <v>237</v>
      </c>
      <c r="D3545" s="5" t="s">
        <v>5295</v>
      </c>
      <c r="E3545" s="6" t="str">
        <f>HYPERLINK("https://inpn.mnhn.fr/espece/cd_nom/30389","Hygrophorus eburneus (Bull.) Fr., 1838")</f>
        <v>Hygrophorus eburneus (Bull.) Fr., 1838</v>
      </c>
      <c r="F3545" s="5" t="s">
        <v>5296</v>
      </c>
      <c r="V3545" s="7" t="str">
        <f>HYPERLINK("#Liste_rouge!A"&amp;_xlfn.XMATCH("LC",Liste_rouge!A:A,2,1),"LC")</f>
        <v>LC</v>
      </c>
      <c r="AH3545" s="4" t="str">
        <f>HYPERLINK("#Statut_biogéographique!A"&amp;_xlfn.XMATCH("P",Statut_biogéographique!A:A,2,1),"P")</f>
        <v>P</v>
      </c>
      <c r="AP3545" s="4" t="s">
        <v>376</v>
      </c>
      <c r="AR3545" s="4" t="s">
        <v>377</v>
      </c>
    </row>
    <row r="3546" spans="1:44">
      <c r="A3546" s="4" t="s">
        <v>5</v>
      </c>
      <c r="B3546" s="4">
        <v>30392</v>
      </c>
      <c r="C3546" s="4">
        <v>1992</v>
      </c>
      <c r="D3546" s="5" t="s">
        <v>5297</v>
      </c>
      <c r="E3546" s="6" t="str">
        <f>HYPERLINK("https://inpn.mnhn.fr/espece/cd_nom/30392","Hygrophorus erubescens (Fr.) Fr., 1838")</f>
        <v>Hygrophorus erubescens (Fr.) Fr., 1838</v>
      </c>
      <c r="F3546" s="5" t="s">
        <v>5298</v>
      </c>
      <c r="V3546" s="7" t="str">
        <f>HYPERLINK("#Liste_rouge!A"&amp;_xlfn.XMATCH("LC",Liste_rouge!A:A,2,1),"LC")</f>
        <v>LC</v>
      </c>
      <c r="AH3546" s="4" t="str">
        <f>HYPERLINK("#Statut_biogéographique!A"&amp;_xlfn.XMATCH("P",Statut_biogéographique!A:A,2,1),"P")</f>
        <v>P</v>
      </c>
      <c r="AP3546" s="4" t="s">
        <v>376</v>
      </c>
      <c r="AR3546" s="4" t="s">
        <v>377</v>
      </c>
    </row>
    <row r="3547" spans="1:44" ht="30">
      <c r="A3547" s="4" t="s">
        <v>5</v>
      </c>
      <c r="B3547" s="4">
        <v>30395</v>
      </c>
      <c r="C3547" s="4">
        <v>1438</v>
      </c>
      <c r="D3547" s="5" t="s">
        <v>5299</v>
      </c>
      <c r="E3547" s="6" t="str">
        <f>HYPERLINK("https://inpn.mnhn.fr/espece/cd_nom/30395","Hygrophorus erubescens var. persicolor (Ricek) Bon, 1977")</f>
        <v>Hygrophorus erubescens var. persicolor (Ricek) Bon, 1977</v>
      </c>
      <c r="F3547" s="5" t="s">
        <v>5300</v>
      </c>
      <c r="V3547" s="7" t="str">
        <f>HYPERLINK("#Liste_rouge!A"&amp;_xlfn.XMATCH("NT",Liste_rouge!A:A,2,1),"NT")</f>
        <v>NT</v>
      </c>
      <c r="W3547" s="4" t="str">
        <f>HYPERLINK("#Critères_liste_rouge!A$1","pr. B2abiii")</f>
        <v>pr. B2abiii</v>
      </c>
      <c r="AH3547" s="4" t="str">
        <f>HYPERLINK("#Statut_biogéographique!A"&amp;_xlfn.XMATCH("P",Statut_biogéographique!A:A,2,1),"P")</f>
        <v>P</v>
      </c>
      <c r="AP3547" s="4" t="s">
        <v>376</v>
      </c>
      <c r="AR3547" s="4" t="s">
        <v>377</v>
      </c>
    </row>
    <row r="3548" spans="1:44">
      <c r="A3548" s="4" t="s">
        <v>5</v>
      </c>
      <c r="B3548" s="4">
        <v>30397</v>
      </c>
      <c r="C3548" s="4">
        <v>644</v>
      </c>
      <c r="D3548" s="5" t="s">
        <v>5301</v>
      </c>
      <c r="E3548" s="6" t="str">
        <f>HYPERLINK("https://inpn.mnhn.fr/espece/cd_nom/30397","Hygrophorus fagi G.Becker &amp; Bon, 1974")</f>
        <v>Hygrophorus fagi G.Becker &amp; Bon, 1974</v>
      </c>
      <c r="F3548" s="5" t="s">
        <v>5302</v>
      </c>
      <c r="V3548" s="7" t="str">
        <f>HYPERLINK("#Liste_rouge!A"&amp;_xlfn.XMATCH("NT",Liste_rouge!A:A,2,1),"NT")</f>
        <v>NT</v>
      </c>
      <c r="W3548" s="4" t="str">
        <f>HYPERLINK("#Critères_liste_rouge!A$1","pr. A2c")</f>
        <v>pr. A2c</v>
      </c>
      <c r="AH3548" s="4" t="str">
        <f>HYPERLINK("#Statut_biogéographique!A"&amp;_xlfn.XMATCH("P",Statut_biogéographique!A:A,2,1),"P")</f>
        <v>P</v>
      </c>
      <c r="AP3548" s="4" t="s">
        <v>376</v>
      </c>
      <c r="AR3548" s="4" t="s">
        <v>377</v>
      </c>
    </row>
    <row r="3549" spans="1:44">
      <c r="A3549" s="4" t="s">
        <v>5</v>
      </c>
      <c r="B3549" s="4">
        <v>30400</v>
      </c>
      <c r="C3549" s="4">
        <v>2625</v>
      </c>
      <c r="D3549" s="5" t="s">
        <v>5303</v>
      </c>
      <c r="E3549" s="6" t="str">
        <f>HYPERLINK("https://inpn.mnhn.fr/espece/cd_nom/30400","Hygrophorus fuscoalbus Fr., 1838")</f>
        <v>Hygrophorus fuscoalbus Fr., 1838</v>
      </c>
      <c r="F3549" s="5" t="s">
        <v>5304</v>
      </c>
      <c r="V3549" s="7" t="str">
        <f>HYPERLINK("#Liste_rouge!A"&amp;_xlfn.XMATCH("RE",Liste_rouge!A:A,2,1),"RE")</f>
        <v>RE</v>
      </c>
      <c r="AH3549" s="4" t="str">
        <f>HYPERLINK("#Statut_biogéographique!A"&amp;_xlfn.XMATCH("P",Statut_biogéographique!A:A,2,1),"P")</f>
        <v>P</v>
      </c>
      <c r="AP3549" s="4" t="s">
        <v>376</v>
      </c>
      <c r="AR3549" s="4" t="s">
        <v>377</v>
      </c>
    </row>
    <row r="3550" spans="1:44">
      <c r="A3550" s="4" t="s">
        <v>5</v>
      </c>
      <c r="B3550" s="4">
        <v>30401</v>
      </c>
      <c r="C3550" s="4">
        <v>3824</v>
      </c>
      <c r="D3550" s="5" t="s">
        <v>5305</v>
      </c>
      <c r="E3550" s="6" t="str">
        <f>HYPERLINK("https://inpn.mnhn.fr/espece/cd_nom/30401","Hygrophorus gliocyclus Fr., 1861")</f>
        <v>Hygrophorus gliocyclus Fr., 1861</v>
      </c>
      <c r="F3550" s="5" t="s">
        <v>5306</v>
      </c>
      <c r="V3550" s="7" t="str">
        <f>HYPERLINK("#Liste_rouge!A"&amp;_xlfn.XMATCH("VU",Liste_rouge!A:A,2,1),"VU")</f>
        <v>VU</v>
      </c>
      <c r="W3550" s="4" t="str">
        <f>HYPERLINK("#Critères_liste_rouge!A$1","A2c")</f>
        <v>A2c</v>
      </c>
      <c r="Z3550" s="4" t="s">
        <v>443</v>
      </c>
      <c r="AA3550" s="4" t="s">
        <v>444</v>
      </c>
      <c r="AH3550" s="4" t="str">
        <f>HYPERLINK("#Statut_biogéographique!A"&amp;_xlfn.XMATCH("P",Statut_biogéographique!A:A,2,1),"P")</f>
        <v>P</v>
      </c>
      <c r="AP3550" s="4" t="s">
        <v>376</v>
      </c>
      <c r="AR3550" s="4" t="s">
        <v>377</v>
      </c>
    </row>
    <row r="3551" spans="1:44">
      <c r="A3551" s="4" t="s">
        <v>5</v>
      </c>
      <c r="B3551" s="4">
        <v>30404</v>
      </c>
      <c r="C3551" s="4">
        <v>2316</v>
      </c>
      <c r="D3551" s="5" t="s">
        <v>5307</v>
      </c>
      <c r="E3551" s="6" t="str">
        <f>HYPERLINK("https://inpn.mnhn.fr/espece/cd_nom/30404","Hygrophorus hyacinthinus Quél., 1886")</f>
        <v>Hygrophorus hyacinthinus Quél., 1886</v>
      </c>
      <c r="F3551" s="5" t="s">
        <v>5308</v>
      </c>
      <c r="V3551" s="7" t="str">
        <f>HYPERLINK("#Liste_rouge!A"&amp;_xlfn.XMATCH("LC",Liste_rouge!A:A,2,1),"LC")</f>
        <v>LC</v>
      </c>
      <c r="AH3551" s="4" t="str">
        <f>HYPERLINK("#Statut_biogéographique!A"&amp;_xlfn.XMATCH("P",Statut_biogéographique!A:A,2,1),"P")</f>
        <v>P</v>
      </c>
      <c r="AP3551" s="4" t="s">
        <v>376</v>
      </c>
      <c r="AR3551" s="4" t="s">
        <v>377</v>
      </c>
    </row>
    <row r="3552" spans="1:44">
      <c r="A3552" s="4" t="s">
        <v>5</v>
      </c>
      <c r="B3552" s="4">
        <v>30406</v>
      </c>
      <c r="C3552" s="4">
        <v>336</v>
      </c>
      <c r="D3552" s="5" t="s">
        <v>5309</v>
      </c>
      <c r="E3552" s="6" t="str">
        <f>HYPERLINK("https://inpn.mnhn.fr/espece/cd_nom/30406","Hygrophorus hypothejus (Fr.) Fr., 1838")</f>
        <v>Hygrophorus hypothejus (Fr.) Fr., 1838</v>
      </c>
      <c r="F3552" s="5" t="s">
        <v>5310</v>
      </c>
      <c r="O3552" s="7" t="str">
        <f>HYPERLINK("#Liste_rouge!A"&amp;_xlfn.XMATCH("LC",Liste_rouge!A:A,2,1),"LC")</f>
        <v>LC</v>
      </c>
      <c r="V3552" s="7" t="str">
        <f>HYPERLINK("#Liste_rouge!A"&amp;_xlfn.XMATCH("LC",Liste_rouge!A:A,2,1),"LC")</f>
        <v>LC</v>
      </c>
      <c r="AH3552" s="4" t="str">
        <f>HYPERLINK("#Statut_biogéographique!A"&amp;_xlfn.XMATCH("P",Statut_biogéographique!A:A,2,1),"P")</f>
        <v>P</v>
      </c>
      <c r="AP3552" s="4" t="s">
        <v>376</v>
      </c>
      <c r="AR3552" s="4" t="s">
        <v>377</v>
      </c>
    </row>
    <row r="3553" spans="1:44" ht="30">
      <c r="A3553" s="4" t="s">
        <v>5</v>
      </c>
      <c r="B3553" s="4">
        <v>30412</v>
      </c>
      <c r="C3553" s="4">
        <v>2314</v>
      </c>
      <c r="D3553" s="5" t="s">
        <v>5311</v>
      </c>
      <c r="E3553" s="6" t="str">
        <f>HYPERLINK("https://inpn.mnhn.fr/espece/cd_nom/30412","Hygrophorus karstenii var. vaticanus (R.Heim &amp; G.Becker) Bon, 1989")</f>
        <v>Hygrophorus karstenii var. vaticanus (R.Heim &amp; G.Becker) Bon, 1989</v>
      </c>
      <c r="F3553" s="5" t="s">
        <v>5312</v>
      </c>
      <c r="V3553" s="7" t="str">
        <f>HYPERLINK("#Liste_rouge!A"&amp;_xlfn.XMATCH("NT",Liste_rouge!A:A,2,1),"NT")</f>
        <v>NT</v>
      </c>
      <c r="W3553" s="4" t="str">
        <f>HYPERLINK("#Critères_liste_rouge!A$1","pr. B2abiii")</f>
        <v>pr. B2abiii</v>
      </c>
      <c r="AH3553" s="4" t="str">
        <f>HYPERLINK("#Statut_biogéographique!A"&amp;_xlfn.XMATCH("P",Statut_biogéographique!A:A,2,1),"P")</f>
        <v>P</v>
      </c>
      <c r="AP3553" s="4" t="s">
        <v>376</v>
      </c>
      <c r="AR3553" s="4" t="s">
        <v>377</v>
      </c>
    </row>
    <row r="3554" spans="1:44">
      <c r="A3554" s="4" t="s">
        <v>5</v>
      </c>
      <c r="B3554" s="4">
        <v>30414</v>
      </c>
      <c r="C3554" s="4">
        <v>5868</v>
      </c>
      <c r="D3554" s="5" t="s">
        <v>5313</v>
      </c>
      <c r="E3554" s="6" t="str">
        <f>HYPERLINK("https://inpn.mnhn.fr/espece/cd_nom/30414","Hygrophorus korhonenii Harmaja, 1985")</f>
        <v>Hygrophorus korhonenii Harmaja, 1985</v>
      </c>
      <c r="F3554" s="5" t="s">
        <v>5314</v>
      </c>
      <c r="AH3554" s="4" t="str">
        <f>HYPERLINK("#Statut_biogéographique!A"&amp;_xlfn.XMATCH("P",Statut_biogéographique!A:A,2,1),"P")</f>
        <v>P</v>
      </c>
      <c r="AP3554" s="4" t="s">
        <v>376</v>
      </c>
      <c r="AR3554" s="4" t="s">
        <v>377</v>
      </c>
    </row>
    <row r="3555" spans="1:44">
      <c r="A3555" s="4" t="s">
        <v>5</v>
      </c>
      <c r="B3555" s="4">
        <v>30423</v>
      </c>
      <c r="C3555" s="4">
        <v>617</v>
      </c>
      <c r="D3555" s="5" t="s">
        <v>5315</v>
      </c>
      <c r="E3555" s="6" t="str">
        <f>HYPERLINK("https://inpn.mnhn.fr/espece/cd_nom/30423","Hygrophorus leucophaeus (Scop.) Fr., 1838")</f>
        <v>Hygrophorus leucophaeus (Scop.) Fr., 1838</v>
      </c>
      <c r="F3555" s="5" t="s">
        <v>5316</v>
      </c>
      <c r="V3555" s="7" t="str">
        <f>HYPERLINK("#Liste_rouge!A"&amp;_xlfn.XMATCH("LC",Liste_rouge!A:A,2,1),"LC")</f>
        <v>LC</v>
      </c>
      <c r="AH3555" s="4" t="str">
        <f>HYPERLINK("#Statut_biogéographique!A"&amp;_xlfn.XMATCH("P",Statut_biogéographique!A:A,2,1),"P")</f>
        <v>P</v>
      </c>
      <c r="AP3555" s="4" t="s">
        <v>376</v>
      </c>
      <c r="AR3555" s="4" t="s">
        <v>377</v>
      </c>
    </row>
    <row r="3556" spans="1:44">
      <c r="A3556" s="4" t="s">
        <v>5</v>
      </c>
      <c r="B3556" s="4">
        <v>30426</v>
      </c>
      <c r="C3556" s="4">
        <v>650</v>
      </c>
      <c r="D3556" s="5" t="s">
        <v>5317</v>
      </c>
      <c r="E3556" s="6" t="str">
        <f>HYPERLINK("https://inpn.mnhn.fr/espece/cd_nom/30426","Hygrophorus ligatus (Fr.) Fr., 1838")</f>
        <v>Hygrophorus ligatus (Fr.) Fr., 1838</v>
      </c>
      <c r="V3556" s="7" t="str">
        <f>HYPERLINK("#Liste_rouge!A"&amp;_xlfn.XMATCH("NT",Liste_rouge!A:A,2,1),"NT")</f>
        <v>NT</v>
      </c>
      <c r="W3556" s="4" t="str">
        <f>HYPERLINK("#Critères_liste_rouge!A$1","pr. B2abiii")</f>
        <v>pr. B2abiii</v>
      </c>
      <c r="AH3556" s="4" t="str">
        <f>HYPERLINK("#Statut_biogéographique!A"&amp;_xlfn.XMATCH("P",Statut_biogéographique!A:A,2,1),"P")</f>
        <v>P</v>
      </c>
      <c r="AP3556" s="4" t="s">
        <v>376</v>
      </c>
      <c r="AR3556" s="4" t="s">
        <v>377</v>
      </c>
    </row>
    <row r="3557" spans="1:44">
      <c r="A3557" s="4" t="s">
        <v>5</v>
      </c>
      <c r="B3557" s="4">
        <v>30428</v>
      </c>
      <c r="C3557" s="4">
        <v>1151</v>
      </c>
      <c r="D3557" s="5" t="s">
        <v>5318</v>
      </c>
      <c r="E3557" s="6" t="str">
        <f>HYPERLINK("https://inpn.mnhn.fr/espece/cd_nom/30428","Hygrophorus lindtneri M.M.Moser, 1967")</f>
        <v>Hygrophorus lindtneri M.M.Moser, 1967</v>
      </c>
      <c r="F3557" s="5" t="s">
        <v>5319</v>
      </c>
      <c r="V3557" s="7" t="str">
        <f>HYPERLINK("#Liste_rouge!A"&amp;_xlfn.XMATCH("LC",Liste_rouge!A:A,2,1),"LC")</f>
        <v>LC</v>
      </c>
      <c r="AH3557" s="4" t="str">
        <f>HYPERLINK("#Statut_biogéographique!A"&amp;_xlfn.XMATCH("P",Statut_biogéographique!A:A,2,1),"P")</f>
        <v>P</v>
      </c>
      <c r="AP3557" s="4" t="s">
        <v>376</v>
      </c>
      <c r="AR3557" s="4" t="s">
        <v>377</v>
      </c>
    </row>
    <row r="3558" spans="1:44" ht="30">
      <c r="A3558" s="4" t="s">
        <v>5</v>
      </c>
      <c r="B3558" s="4">
        <v>30429</v>
      </c>
      <c r="C3558" s="4">
        <v>1547</v>
      </c>
      <c r="D3558" s="5" t="s">
        <v>5320</v>
      </c>
      <c r="E3558" s="6" t="str">
        <f>HYPERLINK("https://inpn.mnhn.fr/espece/cd_nom/30429","Hygrophorus lindtneri var. carpini (Gröger) Bon, 1989")</f>
        <v>Hygrophorus lindtneri var. carpini (Gröger) Bon, 1989</v>
      </c>
      <c r="F3558" s="5" t="s">
        <v>5321</v>
      </c>
      <c r="V3558" s="7" t="str">
        <f>HYPERLINK("#Liste_rouge!A"&amp;_xlfn.XMATCH("DD",Liste_rouge!A:A,2,1),"DD")</f>
        <v>DD</v>
      </c>
      <c r="AH3558" s="4" t="str">
        <f>HYPERLINK("#Statut_biogéographique!A"&amp;_xlfn.XMATCH("P",Statut_biogéographique!A:A,2,1),"P")</f>
        <v>P</v>
      </c>
      <c r="AP3558" s="4" t="s">
        <v>376</v>
      </c>
      <c r="AR3558" s="4" t="s">
        <v>377</v>
      </c>
    </row>
    <row r="3559" spans="1:44">
      <c r="A3559" s="4" t="s">
        <v>5</v>
      </c>
      <c r="B3559" s="4">
        <v>30432</v>
      </c>
      <c r="C3559" s="4">
        <v>1016</v>
      </c>
      <c r="D3559" s="5" t="s">
        <v>5322</v>
      </c>
      <c r="E3559" s="6" t="str">
        <f>HYPERLINK("https://inpn.mnhn.fr/espece/cd_nom/30432","Hygrophorus lucorum Kalchbr., 1874")</f>
        <v>Hygrophorus lucorum Kalchbr., 1874</v>
      </c>
      <c r="F3559" s="5" t="s">
        <v>5323</v>
      </c>
      <c r="AH3559" s="4" t="str">
        <f>HYPERLINK("#Statut_biogéographique!A"&amp;_xlfn.XMATCH("P",Statut_biogéographique!A:A,2,1),"P")</f>
        <v>P</v>
      </c>
      <c r="AP3559" s="4" t="s">
        <v>376</v>
      </c>
      <c r="AR3559" s="4" t="s">
        <v>377</v>
      </c>
    </row>
    <row r="3560" spans="1:44" ht="30">
      <c r="A3560" s="4" t="s">
        <v>5</v>
      </c>
      <c r="B3560" s="4">
        <v>30435</v>
      </c>
      <c r="C3560" s="4">
        <v>891</v>
      </c>
      <c r="D3560" s="5" t="s">
        <v>5324</v>
      </c>
      <c r="E3560" s="6" t="str">
        <f>HYPERLINK("https://inpn.mnhn.fr/espece/cd_nom/30435","Hygrophorus marzuolus (Fr.) Bres., 1893")</f>
        <v>Hygrophorus marzuolus (Fr.) Bres., 1893</v>
      </c>
      <c r="F3560" s="5" t="s">
        <v>5325</v>
      </c>
      <c r="V3560" s="7" t="str">
        <f>HYPERLINK("#Liste_rouge!A"&amp;_xlfn.XMATCH("VU",Liste_rouge!A:A,2,1),"VU")</f>
        <v>VU</v>
      </c>
      <c r="W3560" s="4" t="str">
        <f>HYPERLINK("#Critères_liste_rouge!A$1","A2c")</f>
        <v>A2c</v>
      </c>
      <c r="Z3560" s="4" t="s">
        <v>447</v>
      </c>
      <c r="AA3560" s="4" t="s">
        <v>448</v>
      </c>
      <c r="AH3560" s="4" t="str">
        <f>HYPERLINK("#Statut_biogéographique!A"&amp;_xlfn.XMATCH("P",Statut_biogéographique!A:A,2,1),"P")</f>
        <v>P</v>
      </c>
      <c r="AP3560" s="4" t="s">
        <v>376</v>
      </c>
      <c r="AR3560" s="4" t="s">
        <v>377</v>
      </c>
    </row>
    <row r="3561" spans="1:44" ht="30">
      <c r="A3561" s="4" t="s">
        <v>5</v>
      </c>
      <c r="B3561" s="4">
        <v>30441</v>
      </c>
      <c r="C3561" s="4">
        <v>2074</v>
      </c>
      <c r="D3561" s="5" t="s">
        <v>5326</v>
      </c>
      <c r="E3561" s="6" t="str">
        <f>HYPERLINK("https://inpn.mnhn.fr/espece/cd_nom/30441","Hygrophorus eburneus var. carneipes Kühner, 1953")</f>
        <v>Hygrophorus eburneus var. carneipes Kühner, 1953</v>
      </c>
      <c r="F3561" s="5" t="s">
        <v>5327</v>
      </c>
      <c r="V3561" s="7" t="str">
        <f>HYPERLINK("#Liste_rouge!A"&amp;_xlfn.XMATCH("LC",Liste_rouge!A:A,2,1),"LC")</f>
        <v>LC</v>
      </c>
      <c r="AH3561" s="4" t="str">
        <f>HYPERLINK("#Statut_biogéographique!A"&amp;_xlfn.XMATCH("P",Statut_biogéographique!A:A,2,1),"P")</f>
        <v>P</v>
      </c>
      <c r="AP3561" s="4" t="s">
        <v>376</v>
      </c>
      <c r="AR3561" s="4" t="s">
        <v>377</v>
      </c>
    </row>
    <row r="3562" spans="1:44" ht="30">
      <c r="A3562" s="4" t="s">
        <v>5</v>
      </c>
      <c r="B3562" s="4">
        <v>30443</v>
      </c>
      <c r="C3562" s="4">
        <v>3673</v>
      </c>
      <c r="D3562" s="5" t="s">
        <v>5328</v>
      </c>
      <c r="E3562" s="6" t="str">
        <f>HYPERLINK("https://inpn.mnhn.fr/espece/cd_nom/30443","Hygrophorus hedrychii (Velen.) K.Kult, 1956")</f>
        <v>Hygrophorus hedrychii (Velen.) K.Kult, 1956</v>
      </c>
      <c r="F3562" s="5" t="s">
        <v>5329</v>
      </c>
      <c r="V3562" s="7" t="str">
        <f>HYPERLINK("#Liste_rouge!A"&amp;_xlfn.XMATCH("VU",Liste_rouge!A:A,2,1),"VU")</f>
        <v>VU</v>
      </c>
      <c r="W3562" s="4" t="str">
        <f>HYPERLINK("#Critères_liste_rouge!A$1","B2abiii")</f>
        <v>B2abiii</v>
      </c>
      <c r="Z3562" s="4" t="s">
        <v>447</v>
      </c>
      <c r="AA3562" s="4" t="s">
        <v>448</v>
      </c>
      <c r="AH3562" s="4" t="str">
        <f>HYPERLINK("#Statut_biogéographique!A"&amp;_xlfn.XMATCH("P",Statut_biogéographique!A:A,2,1),"P")</f>
        <v>P</v>
      </c>
      <c r="AP3562" s="4" t="s">
        <v>376</v>
      </c>
      <c r="AR3562" s="4" t="s">
        <v>377</v>
      </c>
    </row>
    <row r="3563" spans="1:44" ht="30">
      <c r="A3563" s="4" t="s">
        <v>5</v>
      </c>
      <c r="B3563" s="4">
        <v>30444</v>
      </c>
      <c r="C3563" s="4">
        <v>2823</v>
      </c>
      <c r="D3563" s="5" t="s">
        <v>5330</v>
      </c>
      <c r="E3563" s="6" t="str">
        <f>HYPERLINK("https://inpn.mnhn.fr/espece/cd_nom/30444","Hygrophorus mesotephrus Berk. &amp; Broome, 1854")</f>
        <v>Hygrophorus mesotephrus Berk. &amp; Broome, 1854</v>
      </c>
      <c r="F3563" s="5" t="s">
        <v>5331</v>
      </c>
      <c r="V3563" s="7" t="str">
        <f>HYPERLINK("#Liste_rouge!A"&amp;_xlfn.XMATCH("LC",Liste_rouge!A:A,2,1),"LC")</f>
        <v>LC</v>
      </c>
      <c r="AH3563" s="4" t="str">
        <f>HYPERLINK("#Statut_biogéographique!A"&amp;_xlfn.XMATCH("P",Statut_biogéographique!A:A,2,1),"P")</f>
        <v>P</v>
      </c>
      <c r="AP3563" s="4" t="s">
        <v>376</v>
      </c>
      <c r="AR3563" s="4" t="s">
        <v>377</v>
      </c>
    </row>
    <row r="3564" spans="1:44">
      <c r="A3564" s="4" t="s">
        <v>5</v>
      </c>
      <c r="B3564" s="4">
        <v>30447</v>
      </c>
      <c r="C3564" s="4">
        <v>125</v>
      </c>
      <c r="D3564" s="5" t="s">
        <v>5332</v>
      </c>
      <c r="E3564" s="6" t="str">
        <f>HYPERLINK("https://inpn.mnhn.fr/espece/cd_nom/30447","Hygrophorus nemoreus (Pers.) Fr., 1838")</f>
        <v>Hygrophorus nemoreus (Pers.) Fr., 1838</v>
      </c>
      <c r="F3564" s="5" t="s">
        <v>5333</v>
      </c>
      <c r="V3564" s="7" t="str">
        <f>HYPERLINK("#Liste_rouge!A"&amp;_xlfn.XMATCH("LC",Liste_rouge!A:A,2,1),"LC")</f>
        <v>LC</v>
      </c>
      <c r="Z3564" s="4" t="s">
        <v>443</v>
      </c>
      <c r="AA3564" s="4" t="s">
        <v>444</v>
      </c>
      <c r="AH3564" s="4" t="str">
        <f>HYPERLINK("#Statut_biogéographique!A"&amp;_xlfn.XMATCH("P",Statut_biogéographique!A:A,2,1),"P")</f>
        <v>P</v>
      </c>
      <c r="AP3564" s="4" t="s">
        <v>376</v>
      </c>
      <c r="AR3564" s="4" t="s">
        <v>377</v>
      </c>
    </row>
    <row r="3565" spans="1:44" ht="30">
      <c r="A3565" s="4" t="s">
        <v>5</v>
      </c>
      <c r="B3565" s="4">
        <v>30450</v>
      </c>
      <c r="C3565" s="4">
        <v>1705</v>
      </c>
      <c r="D3565" s="5" t="s">
        <v>5334</v>
      </c>
      <c r="E3565" s="6" t="str">
        <f>HYPERLINK("https://inpn.mnhn.fr/espece/cd_nom/30450","Hygrophorus nemoreus var. gracilis Bon, 1989")</f>
        <v>Hygrophorus nemoreus var. gracilis Bon, 1989</v>
      </c>
      <c r="F3565" s="5" t="s">
        <v>5335</v>
      </c>
      <c r="V3565" s="7" t="str">
        <f>HYPERLINK("#Liste_rouge!A"&amp;_xlfn.XMATCH("DD",Liste_rouge!A:A,2,1),"DD")</f>
        <v>DD</v>
      </c>
      <c r="AH3565" s="4" t="str">
        <f>HYPERLINK("#Statut_biogéographique!A"&amp;_xlfn.XMATCH("P",Statut_biogéographique!A:A,2,1),"P")</f>
        <v>P</v>
      </c>
      <c r="AP3565" s="4" t="s">
        <v>376</v>
      </c>
      <c r="AR3565" s="4" t="s">
        <v>377</v>
      </c>
    </row>
    <row r="3566" spans="1:44">
      <c r="A3566" s="4" t="s">
        <v>5</v>
      </c>
      <c r="B3566" s="4">
        <v>30452</v>
      </c>
      <c r="C3566" s="4">
        <v>1142</v>
      </c>
      <c r="D3566" s="5" t="s">
        <v>5336</v>
      </c>
      <c r="E3566" s="6" t="str">
        <f>HYPERLINK("https://inpn.mnhn.fr/espece/cd_nom/30452","Hygrophorus olivaceoalbus (Fr.) Fr., 1838")</f>
        <v>Hygrophorus olivaceoalbus (Fr.) Fr., 1838</v>
      </c>
      <c r="F3566" s="5" t="s">
        <v>5337</v>
      </c>
      <c r="O3566" s="7" t="str">
        <f>HYPERLINK("#Liste_rouge!A"&amp;_xlfn.XMATCH("LC",Liste_rouge!A:A,2,1),"LC")</f>
        <v>LC</v>
      </c>
      <c r="V3566" s="7" t="str">
        <f>HYPERLINK("#Liste_rouge!A"&amp;_xlfn.XMATCH("LC",Liste_rouge!A:A,2,1),"LC")</f>
        <v>LC</v>
      </c>
      <c r="AH3566" s="4" t="str">
        <f>HYPERLINK("#Statut_biogéographique!A"&amp;_xlfn.XMATCH("P",Statut_biogéographique!A:A,2,1),"P")</f>
        <v>P</v>
      </c>
      <c r="AP3566" s="4" t="s">
        <v>376</v>
      </c>
      <c r="AR3566" s="4" t="s">
        <v>377</v>
      </c>
    </row>
    <row r="3567" spans="1:44" ht="30">
      <c r="A3567" s="4" t="s">
        <v>5</v>
      </c>
      <c r="B3567" s="4">
        <v>30455</v>
      </c>
      <c r="C3567" s="4">
        <v>2199</v>
      </c>
      <c r="D3567" s="5" t="s">
        <v>5338</v>
      </c>
      <c r="E3567" s="6" t="str">
        <f>HYPERLINK("https://inpn.mnhn.fr/espece/cd_nom/30455","Hygrophorus olivaceoalbus var. gracilis Maire, 1933")</f>
        <v>Hygrophorus olivaceoalbus var. gracilis Maire, 1933</v>
      </c>
      <c r="F3567" s="5" t="s">
        <v>5339</v>
      </c>
      <c r="Z3567" s="4" t="s">
        <v>447</v>
      </c>
      <c r="AA3567" s="4" t="s">
        <v>448</v>
      </c>
      <c r="AH3567" s="4" t="str">
        <f>HYPERLINK("#Statut_biogéographique!A"&amp;_xlfn.XMATCH("P",Statut_biogéographique!A:A,2,1),"P")</f>
        <v>P</v>
      </c>
      <c r="AP3567" s="4" t="s">
        <v>376</v>
      </c>
      <c r="AR3567" s="4" t="s">
        <v>377</v>
      </c>
    </row>
    <row r="3568" spans="1:44">
      <c r="A3568" s="4" t="s">
        <v>5</v>
      </c>
      <c r="B3568" s="4">
        <v>30457</v>
      </c>
      <c r="C3568" s="4">
        <v>2652</v>
      </c>
      <c r="D3568" s="5" t="s">
        <v>5340</v>
      </c>
      <c r="E3568" s="6" t="str">
        <f>HYPERLINK("https://inpn.mnhn.fr/espece/cd_nom/30457","Hygrophorus penarius Fr., 1836")</f>
        <v>Hygrophorus penarius Fr., 1836</v>
      </c>
      <c r="F3568" s="5" t="s">
        <v>5341</v>
      </c>
      <c r="V3568" s="7" t="str">
        <f>HYPERLINK("#Liste_rouge!A"&amp;_xlfn.XMATCH("NT",Liste_rouge!A:A,2,1),"NT")</f>
        <v>NT</v>
      </c>
      <c r="W3568" s="4" t="str">
        <f>HYPERLINK("#Critères_liste_rouge!A$1","pr. A2c")</f>
        <v>pr. A2c</v>
      </c>
      <c r="AH3568" s="4" t="str">
        <f>HYPERLINK("#Statut_biogéographique!A"&amp;_xlfn.XMATCH("P",Statut_biogéographique!A:A,2,1),"P")</f>
        <v>P</v>
      </c>
      <c r="AP3568" s="4" t="s">
        <v>376</v>
      </c>
      <c r="AR3568" s="4" t="s">
        <v>377</v>
      </c>
    </row>
    <row r="3569" spans="1:44" ht="30">
      <c r="A3569" s="4" t="s">
        <v>5</v>
      </c>
      <c r="B3569" s="4">
        <v>30460</v>
      </c>
      <c r="D3569" s="5" t="s">
        <v>5342</v>
      </c>
      <c r="E3569" s="6" t="str">
        <f>HYPERLINK("https://inpn.mnhn.fr/espece/cd_nom/30460","Hygrophorus penarius var. barbatulus (G.Becker) Bon, 1989")</f>
        <v>Hygrophorus penarius var. barbatulus (G.Becker) Bon, 1989</v>
      </c>
      <c r="V3569" s="7" t="str">
        <f>HYPERLINK("#Liste_rouge!A"&amp;_xlfn.XMATCH("DD",Liste_rouge!A:A,2,1),"DD")</f>
        <v>DD</v>
      </c>
      <c r="AH3569" s="4" t="str">
        <f>HYPERLINK("#Statut_biogéographique!A"&amp;_xlfn.XMATCH("P",Statut_biogéographique!A:A,2,1),"P")</f>
        <v>P</v>
      </c>
      <c r="AP3569" s="4" t="s">
        <v>376</v>
      </c>
      <c r="AR3569" s="4" t="s">
        <v>377</v>
      </c>
    </row>
    <row r="3570" spans="1:44">
      <c r="A3570" s="4" t="s">
        <v>5</v>
      </c>
      <c r="B3570" s="4">
        <v>30462</v>
      </c>
      <c r="C3570" s="4">
        <v>340</v>
      </c>
      <c r="D3570" s="5" t="s">
        <v>5343</v>
      </c>
      <c r="E3570" s="6" t="str">
        <f>HYPERLINK("https://inpn.mnhn.fr/espece/cd_nom/30462","Hygrophorus persoonii Arnolds, 1979")</f>
        <v>Hygrophorus persoonii Arnolds, 1979</v>
      </c>
      <c r="F3570" s="5" t="s">
        <v>5344</v>
      </c>
      <c r="V3570" s="7" t="str">
        <f>HYPERLINK("#Liste_rouge!A"&amp;_xlfn.XMATCH("LC",Liste_rouge!A:A,2,1),"LC")</f>
        <v>LC</v>
      </c>
      <c r="Z3570" s="4" t="s">
        <v>443</v>
      </c>
      <c r="AA3570" s="4" t="s">
        <v>444</v>
      </c>
      <c r="AH3570" s="4" t="str">
        <f>HYPERLINK("#Statut_biogéographique!A"&amp;_xlfn.XMATCH("P",Statut_biogéographique!A:A,2,1),"P")</f>
        <v>P</v>
      </c>
      <c r="AP3570" s="4" t="s">
        <v>376</v>
      </c>
      <c r="AR3570" s="4" t="s">
        <v>377</v>
      </c>
    </row>
    <row r="3571" spans="1:44">
      <c r="A3571" s="4" t="s">
        <v>5</v>
      </c>
      <c r="B3571" s="4">
        <v>30468</v>
      </c>
      <c r="C3571" s="4">
        <v>873</v>
      </c>
      <c r="D3571" s="5" t="s">
        <v>5345</v>
      </c>
      <c r="E3571" s="6" t="str">
        <f>HYPERLINK("https://inpn.mnhn.fr/espece/cd_nom/30468","Hygrophorus piceae Kühner, 1949")</f>
        <v>Hygrophorus piceae Kühner, 1949</v>
      </c>
      <c r="F3571" s="5" t="s">
        <v>5346</v>
      </c>
      <c r="V3571" s="7" t="str">
        <f>HYPERLINK("#Liste_rouge!A"&amp;_xlfn.XMATCH("EN",Liste_rouge!A:A,2,1),"EN")</f>
        <v>EN</v>
      </c>
      <c r="W3571" s="4" t="str">
        <f>HYPERLINK("#Critères_liste_rouge!A$1","A2c")</f>
        <v>A2c</v>
      </c>
      <c r="Z3571" s="4" t="s">
        <v>695</v>
      </c>
      <c r="AA3571" s="4" t="s">
        <v>696</v>
      </c>
      <c r="AH3571" s="4" t="str">
        <f>HYPERLINK("#Statut_biogéographique!A"&amp;_xlfn.XMATCH("P",Statut_biogéographique!A:A,2,1),"P")</f>
        <v>P</v>
      </c>
      <c r="AP3571" s="4" t="s">
        <v>376</v>
      </c>
      <c r="AR3571" s="4" t="s">
        <v>377</v>
      </c>
    </row>
    <row r="3572" spans="1:44">
      <c r="A3572" s="4" t="s">
        <v>5</v>
      </c>
      <c r="B3572" s="4">
        <v>30471</v>
      </c>
      <c r="C3572" s="4">
        <v>740</v>
      </c>
      <c r="D3572" s="5" t="s">
        <v>5347</v>
      </c>
      <c r="E3572" s="6" t="str">
        <f>HYPERLINK("https://inpn.mnhn.fr/espece/cd_nom/30471","Hygrophorus poetarum R.Heim, 1948")</f>
        <v>Hygrophorus poetarum R.Heim, 1948</v>
      </c>
      <c r="F3572" s="5" t="s">
        <v>5348</v>
      </c>
      <c r="V3572" s="7" t="str">
        <f>HYPERLINK("#Liste_rouge!A"&amp;_xlfn.XMATCH("NT",Liste_rouge!A:A,2,1),"NT")</f>
        <v>NT</v>
      </c>
      <c r="W3572" s="4" t="str">
        <f>HYPERLINK("#Critères_liste_rouge!A$1","pr. A2c")</f>
        <v>pr. A2c</v>
      </c>
      <c r="Z3572" s="4" t="s">
        <v>447</v>
      </c>
      <c r="AA3572" s="4" t="s">
        <v>448</v>
      </c>
      <c r="AH3572" s="4" t="str">
        <f>HYPERLINK("#Statut_biogéographique!A"&amp;_xlfn.XMATCH("P",Statut_biogéographique!A:A,2,1),"P")</f>
        <v>P</v>
      </c>
      <c r="AP3572" s="4" t="s">
        <v>376</v>
      </c>
      <c r="AR3572" s="4" t="s">
        <v>377</v>
      </c>
    </row>
    <row r="3573" spans="1:44">
      <c r="A3573" s="4" t="s">
        <v>5</v>
      </c>
      <c r="B3573" s="4">
        <v>30480</v>
      </c>
      <c r="C3573" s="4">
        <v>5045</v>
      </c>
      <c r="D3573" s="5">
        <v>30483</v>
      </c>
      <c r="E3573" s="6" t="str">
        <f>HYPERLINK("https://inpn.mnhn.fr/espece/cd_nom/30480","Hygrophorus pudorinus (Fr.) Fr., 1836")</f>
        <v>Hygrophorus pudorinus (Fr.) Fr., 1836</v>
      </c>
      <c r="F3573" s="5" t="s">
        <v>5349</v>
      </c>
      <c r="V3573" s="7" t="str">
        <f>HYPERLINK("#Liste_rouge!A"&amp;_xlfn.XMATCH("DD",Liste_rouge!A:A,2,1),"DD")</f>
        <v>DD</v>
      </c>
      <c r="AH3573" s="4" t="str">
        <f>HYPERLINK("#Statut_biogéographique!A"&amp;_xlfn.XMATCH("P",Statut_biogéographique!A:A,2,1),"P")</f>
        <v>P</v>
      </c>
      <c r="AP3573" s="4" t="s">
        <v>376</v>
      </c>
      <c r="AR3573" s="4" t="s">
        <v>377</v>
      </c>
    </row>
    <row r="3574" spans="1:44" ht="30">
      <c r="A3574" s="4" t="s">
        <v>5</v>
      </c>
      <c r="B3574" s="4">
        <v>30484</v>
      </c>
      <c r="C3574" s="4">
        <v>2315</v>
      </c>
      <c r="D3574" s="5" t="s">
        <v>5350</v>
      </c>
      <c r="E3574" s="6" t="str">
        <f>HYPERLINK("https://inpn.mnhn.fr/espece/cd_nom/30484","Hygrophorus purpurascens (Alb. &amp; Schwein.) Fr., 1838")</f>
        <v>Hygrophorus purpurascens (Alb. &amp; Schwein.) Fr., 1838</v>
      </c>
      <c r="F3574" s="5" t="s">
        <v>5351</v>
      </c>
      <c r="V3574" s="7" t="str">
        <f>HYPERLINK("#Liste_rouge!A"&amp;_xlfn.XMATCH("LC",Liste_rouge!A:A,2,1),"LC")</f>
        <v>LC</v>
      </c>
      <c r="Z3574" s="4" t="s">
        <v>447</v>
      </c>
      <c r="AA3574" s="4" t="s">
        <v>448</v>
      </c>
      <c r="AH3574" s="4" t="str">
        <f>HYPERLINK("#Statut_biogéographique!A"&amp;_xlfn.XMATCH("P",Statut_biogéographique!A:A,2,1),"P")</f>
        <v>P</v>
      </c>
      <c r="AP3574" s="4" t="s">
        <v>376</v>
      </c>
      <c r="AR3574" s="4" t="s">
        <v>377</v>
      </c>
    </row>
    <row r="3575" spans="1:44">
      <c r="A3575" s="4" t="s">
        <v>5</v>
      </c>
      <c r="B3575" s="4">
        <v>30487</v>
      </c>
      <c r="C3575" s="4">
        <v>90</v>
      </c>
      <c r="D3575" s="5" t="s">
        <v>5352</v>
      </c>
      <c r="E3575" s="6" t="str">
        <f>HYPERLINK("https://inpn.mnhn.fr/espece/cd_nom/30487","Hygrophorus pustulatus (Pers.) Fr., 1838")</f>
        <v>Hygrophorus pustulatus (Pers.) Fr., 1838</v>
      </c>
      <c r="F3575" s="5" t="s">
        <v>5353</v>
      </c>
      <c r="V3575" s="7" t="str">
        <f>HYPERLINK("#Liste_rouge!A"&amp;_xlfn.XMATCH("LC",Liste_rouge!A:A,2,1),"LC")</f>
        <v>LC</v>
      </c>
      <c r="AH3575" s="4" t="str">
        <f>HYPERLINK("#Statut_biogéographique!A"&amp;_xlfn.XMATCH("P",Statut_biogéographique!A:A,2,1),"P")</f>
        <v>P</v>
      </c>
      <c r="AP3575" s="4" t="s">
        <v>376</v>
      </c>
      <c r="AR3575" s="4" t="s">
        <v>377</v>
      </c>
    </row>
    <row r="3576" spans="1:44" ht="30">
      <c r="A3576" s="4" t="s">
        <v>5</v>
      </c>
      <c r="B3576" s="4">
        <v>30496</v>
      </c>
      <c r="C3576" s="4">
        <v>663</v>
      </c>
      <c r="D3576" s="5" t="s">
        <v>5354</v>
      </c>
      <c r="E3576" s="6" t="str">
        <f>HYPERLINK("https://inpn.mnhn.fr/espece/cd_nom/30496","Hygrophorus russula (Schaeff. ex Fr.) Kauffman, 1918")</f>
        <v>Hygrophorus russula (Schaeff. ex Fr.) Kauffman, 1918</v>
      </c>
      <c r="F3576" s="5" t="s">
        <v>5355</v>
      </c>
      <c r="V3576" s="7" t="str">
        <f>HYPERLINK("#Liste_rouge!A"&amp;_xlfn.XMATCH("VU",Liste_rouge!A:A,2,1),"VU")</f>
        <v>VU</v>
      </c>
      <c r="W3576" s="4" t="str">
        <f>HYPERLINK("#Critères_liste_rouge!A$1","A2c")</f>
        <v>A2c</v>
      </c>
      <c r="Z3576" s="4" t="s">
        <v>447</v>
      </c>
      <c r="AA3576" s="4" t="s">
        <v>448</v>
      </c>
      <c r="AH3576" s="4" t="str">
        <f>HYPERLINK("#Statut_biogéographique!A"&amp;_xlfn.XMATCH("P",Statut_biogéographique!A:A,2,1),"P")</f>
        <v>P</v>
      </c>
      <c r="AP3576" s="4" t="s">
        <v>376</v>
      </c>
      <c r="AR3576" s="4" t="s">
        <v>377</v>
      </c>
    </row>
    <row r="3577" spans="1:44">
      <c r="A3577" s="4" t="s">
        <v>5</v>
      </c>
      <c r="B3577" s="4">
        <v>30506</v>
      </c>
      <c r="C3577" s="4">
        <v>507</v>
      </c>
      <c r="D3577" s="5" t="s">
        <v>5356</v>
      </c>
      <c r="E3577" s="6" t="str">
        <f>HYPERLINK("https://inpn.mnhn.fr/espece/cd_nom/30506","Hygrophorus tephroleucus (Pers.) Fr., 1838")</f>
        <v>Hygrophorus tephroleucus (Pers.) Fr., 1838</v>
      </c>
      <c r="F3577" s="5" t="s">
        <v>5357</v>
      </c>
      <c r="V3577" s="7" t="str">
        <f>HYPERLINK("#Liste_rouge!A"&amp;_xlfn.XMATCH("LC",Liste_rouge!A:A,2,1),"LC")</f>
        <v>LC</v>
      </c>
      <c r="AH3577" s="4" t="str">
        <f>HYPERLINK("#Statut_biogéographique!A"&amp;_xlfn.XMATCH("P",Statut_biogéographique!A:A,2,1),"P")</f>
        <v>P</v>
      </c>
      <c r="AP3577" s="4" t="s">
        <v>376</v>
      </c>
      <c r="AR3577" s="4" t="s">
        <v>377</v>
      </c>
    </row>
    <row r="3578" spans="1:44">
      <c r="A3578" s="4" t="s">
        <v>5</v>
      </c>
      <c r="B3578" s="4">
        <v>30508</v>
      </c>
      <c r="C3578" s="4">
        <v>3925</v>
      </c>
      <c r="D3578" s="5" t="s">
        <v>5358</v>
      </c>
      <c r="E3578" s="6" t="str">
        <f>HYPERLINK("https://inpn.mnhn.fr/espece/cd_nom/30508","Hygrophorus unicolor Gröger, 1980")</f>
        <v>Hygrophorus unicolor Gröger, 1980</v>
      </c>
      <c r="F3578" s="5" t="s">
        <v>5359</v>
      </c>
      <c r="V3578" s="7" t="str">
        <f>HYPERLINK("#Liste_rouge!A"&amp;_xlfn.XMATCH("DD",Liste_rouge!A:A,2,1),"DD")</f>
        <v>DD</v>
      </c>
      <c r="AH3578" s="4" t="str">
        <f>HYPERLINK("#Statut_biogéographique!A"&amp;_xlfn.XMATCH("P",Statut_biogéographique!A:A,2,1),"P")</f>
        <v>P</v>
      </c>
      <c r="AP3578" s="4" t="s">
        <v>376</v>
      </c>
      <c r="AR3578" s="4" t="s">
        <v>377</v>
      </c>
    </row>
    <row r="3579" spans="1:44" ht="30">
      <c r="A3579" s="4" t="s">
        <v>5</v>
      </c>
      <c r="B3579" s="4">
        <v>30533</v>
      </c>
      <c r="C3579" s="4">
        <v>3234</v>
      </c>
      <c r="D3579" s="5" t="s">
        <v>5360</v>
      </c>
      <c r="E3579" s="6" t="str">
        <f>HYPERLINK("https://inpn.mnhn.fr/espece/cd_nom/30533","Camarophyllopsis schulzeri (Bres.) Herink, 1958")</f>
        <v>Camarophyllopsis schulzeri (Bres.) Herink, 1958</v>
      </c>
      <c r="F3579" s="5" t="s">
        <v>5361</v>
      </c>
      <c r="V3579" s="7" t="str">
        <f>HYPERLINK("#Liste_rouge!A"&amp;_xlfn.XMATCH("CR",Liste_rouge!A:A,2,1),"CR")</f>
        <v>CR</v>
      </c>
      <c r="W3579" s="4" t="str">
        <f>HYPERLINK("#Critères_liste_rouge!A$1","B2abiii")</f>
        <v>B2abiii</v>
      </c>
      <c r="Z3579" s="4" t="s">
        <v>512</v>
      </c>
      <c r="AA3579" s="4" t="s">
        <v>513</v>
      </c>
      <c r="AH3579" s="4" t="str">
        <f>HYPERLINK("#Statut_biogéographique!A"&amp;_xlfn.XMATCH("P",Statut_biogéographique!A:A,2,1),"P")</f>
        <v>P</v>
      </c>
      <c r="AP3579" s="4" t="s">
        <v>376</v>
      </c>
      <c r="AR3579" s="4" t="s">
        <v>377</v>
      </c>
    </row>
    <row r="3580" spans="1:44" ht="45">
      <c r="A3580" s="4" t="s">
        <v>5</v>
      </c>
      <c r="B3580" s="4">
        <v>30538</v>
      </c>
      <c r="C3580" s="4">
        <v>494</v>
      </c>
      <c r="D3580" s="5" t="s">
        <v>5362</v>
      </c>
      <c r="E3580" s="6" t="str">
        <f>HYPERLINK("https://inpn.mnhn.fr/espece/cd_nom/30538","Baeospora myosura (Fr.) Singer, 1938")</f>
        <v>Baeospora myosura (Fr.) Singer, 1938</v>
      </c>
      <c r="F3580" s="5" t="s">
        <v>5363</v>
      </c>
      <c r="V3580" s="7" t="str">
        <f>HYPERLINK("#Liste_rouge!A"&amp;_xlfn.XMATCH("LC",Liste_rouge!A:A,2,1),"LC")</f>
        <v>LC</v>
      </c>
      <c r="AH3580" s="4" t="str">
        <f>HYPERLINK("#Statut_biogéographique!A"&amp;_xlfn.XMATCH("P",Statut_biogéographique!A:A,2,1),"P")</f>
        <v>P</v>
      </c>
      <c r="AP3580" s="4" t="s">
        <v>376</v>
      </c>
      <c r="AR3580" s="4" t="s">
        <v>377</v>
      </c>
    </row>
    <row r="3581" spans="1:44" ht="30">
      <c r="A3581" s="4" t="s">
        <v>5</v>
      </c>
      <c r="B3581" s="4">
        <v>30544</v>
      </c>
      <c r="C3581" s="4">
        <v>2318</v>
      </c>
      <c r="D3581" s="5" t="s">
        <v>5364</v>
      </c>
      <c r="E3581" s="6" t="str">
        <f>HYPERLINK("https://inpn.mnhn.fr/espece/cd_nom/30544","Baeospora myriadophylla (Peck) Singer, 1938")</f>
        <v>Baeospora myriadophylla (Peck) Singer, 1938</v>
      </c>
      <c r="F3581" s="5" t="s">
        <v>5365</v>
      </c>
      <c r="O3581" s="7" t="str">
        <f>HYPERLINK("#Liste_rouge!A"&amp;_xlfn.XMATCH("VU",Liste_rouge!A:A,2,1),"VU")</f>
        <v>VU</v>
      </c>
      <c r="V3581" s="7" t="str">
        <f>HYPERLINK("#Liste_rouge!A"&amp;_xlfn.XMATCH("VU",Liste_rouge!A:A,2,1),"VU")</f>
        <v>VU</v>
      </c>
      <c r="W3581" s="4" t="str">
        <f>HYPERLINK("#Critères_liste_rouge!A$1","B2abiii")</f>
        <v>B2abiii</v>
      </c>
      <c r="Z3581" s="4" t="s">
        <v>447</v>
      </c>
      <c r="AA3581" s="4" t="s">
        <v>448</v>
      </c>
      <c r="AH3581" s="4" t="str">
        <f>HYPERLINK("#Statut_biogéographique!A"&amp;_xlfn.XMATCH("P",Statut_biogéographique!A:A,2,1),"P")</f>
        <v>P</v>
      </c>
      <c r="AP3581" s="4" t="s">
        <v>376</v>
      </c>
      <c r="AR3581" s="4" t="s">
        <v>377</v>
      </c>
    </row>
    <row r="3582" spans="1:44" ht="30">
      <c r="A3582" s="4" t="s">
        <v>5</v>
      </c>
      <c r="B3582" s="4">
        <v>30549</v>
      </c>
      <c r="C3582" s="4">
        <v>5706</v>
      </c>
      <c r="D3582" s="5" t="s">
        <v>5366</v>
      </c>
      <c r="E3582" s="6" t="str">
        <f>HYPERLINK("https://inpn.mnhn.fr/espece/cd_nom/30549","Callistosporium elaeodes (Romagn.) Bon, 1976")</f>
        <v>Callistosporium elaeodes (Romagn.) Bon, 1976</v>
      </c>
      <c r="V3582" s="7" t="str">
        <f>HYPERLINK("#Liste_rouge!A"&amp;_xlfn.XMATCH("DD",Liste_rouge!A:A,2,1),"DD")</f>
        <v>DD</v>
      </c>
      <c r="Z3582" s="4" t="s">
        <v>447</v>
      </c>
      <c r="AA3582" s="4" t="s">
        <v>448</v>
      </c>
      <c r="AH3582" s="4" t="str">
        <f>HYPERLINK("#Statut_biogéographique!A"&amp;_xlfn.XMATCH("P",Statut_biogéographique!A:A,2,1),"P")</f>
        <v>P</v>
      </c>
      <c r="AP3582" s="4" t="s">
        <v>376</v>
      </c>
      <c r="AR3582" s="4" t="s">
        <v>377</v>
      </c>
    </row>
    <row r="3583" spans="1:44" ht="30">
      <c r="A3583" s="4" t="s">
        <v>5</v>
      </c>
      <c r="B3583" s="4">
        <v>30557</v>
      </c>
      <c r="C3583" s="4">
        <v>1431</v>
      </c>
      <c r="D3583" s="5" t="s">
        <v>5367</v>
      </c>
      <c r="E3583" s="6" t="str">
        <f>HYPERLINK("https://inpn.mnhn.fr/espece/cd_nom/30557","Callistosporium xanthophyllum (Malençon &amp; Bertault) Bon, 1976")</f>
        <v>Callistosporium xanthophyllum (Malençon &amp; Bertault) Bon, 1976</v>
      </c>
      <c r="F3583" s="5" t="s">
        <v>5368</v>
      </c>
      <c r="V3583" s="7" t="str">
        <f>HYPERLINK("#Liste_rouge!A"&amp;_xlfn.XMATCH("EN",Liste_rouge!A:A,2,1),"EN")</f>
        <v>EN</v>
      </c>
      <c r="W3583" s="4" t="str">
        <f>HYPERLINK("#Critères_liste_rouge!A$1","B2abiii")</f>
        <v>B2abiii</v>
      </c>
      <c r="Z3583" s="4" t="s">
        <v>447</v>
      </c>
      <c r="AA3583" s="4" t="s">
        <v>448</v>
      </c>
      <c r="AH3583" s="4" t="str">
        <f>HYPERLINK("#Statut_biogéographique!A"&amp;_xlfn.XMATCH("P",Statut_biogéographique!A:A,2,1),"P")</f>
        <v>P</v>
      </c>
      <c r="AP3583" s="4" t="s">
        <v>376</v>
      </c>
      <c r="AR3583" s="4" t="s">
        <v>377</v>
      </c>
    </row>
    <row r="3584" spans="1:44">
      <c r="A3584" s="4" t="s">
        <v>5</v>
      </c>
      <c r="B3584" s="4">
        <v>30562</v>
      </c>
      <c r="C3584" s="4">
        <v>6813</v>
      </c>
      <c r="D3584" s="5" t="s">
        <v>5369</v>
      </c>
      <c r="E3584" s="6" t="str">
        <f>HYPERLINK("https://inpn.mnhn.fr/espece/cd_nom/30562","Clitocybula abundans (Peck) Singer, 1962")</f>
        <v>Clitocybula abundans (Peck) Singer, 1962</v>
      </c>
      <c r="F3584" s="5" t="s">
        <v>5370</v>
      </c>
      <c r="AH3584" s="4" t="str">
        <f>HYPERLINK("#Statut_biogéographique!A"&amp;_xlfn.XMATCH("P",Statut_biogéographique!A:A,2,1),"P")</f>
        <v>P</v>
      </c>
      <c r="AP3584" s="4" t="s">
        <v>376</v>
      </c>
      <c r="AR3584" s="4" t="s">
        <v>377</v>
      </c>
    </row>
    <row r="3585" spans="1:44" ht="30">
      <c r="A3585" s="4" t="s">
        <v>5</v>
      </c>
      <c r="B3585" s="4">
        <v>30590</v>
      </c>
      <c r="C3585" s="4">
        <v>1947</v>
      </c>
      <c r="D3585" s="5" t="s">
        <v>5371</v>
      </c>
      <c r="E3585" s="6" t="str">
        <f>HYPERLINK("https://inpn.mnhn.fr/espece/cd_nom/30590","Collybia cirrhata (Schumach.) Quél., 1872")</f>
        <v>Collybia cirrhata (Schumach.) Quél., 1872</v>
      </c>
      <c r="F3585" s="5" t="s">
        <v>5372</v>
      </c>
      <c r="V3585" s="7" t="str">
        <f>HYPERLINK("#Liste_rouge!A"&amp;_xlfn.XMATCH("LC",Liste_rouge!A:A,2,1),"LC")</f>
        <v>LC</v>
      </c>
      <c r="AH3585" s="4" t="str">
        <f>HYPERLINK("#Statut_biogéographique!A"&amp;_xlfn.XMATCH("P",Statut_biogéographique!A:A,2,1),"P")</f>
        <v>P</v>
      </c>
      <c r="AP3585" s="4" t="s">
        <v>376</v>
      </c>
      <c r="AR3585" s="4" t="s">
        <v>377</v>
      </c>
    </row>
    <row r="3586" spans="1:44" ht="45">
      <c r="A3586" s="4" t="s">
        <v>5</v>
      </c>
      <c r="B3586" s="4">
        <v>30593</v>
      </c>
      <c r="C3586" s="4">
        <v>367</v>
      </c>
      <c r="D3586" s="5" t="s">
        <v>5373</v>
      </c>
      <c r="E3586" s="6" t="str">
        <f>HYPERLINK("https://inpn.mnhn.fr/espece/cd_nom/30593","Collybia confluens (Pers.) P.Kumm., 1871")</f>
        <v>Collybia confluens (Pers.) P.Kumm., 1871</v>
      </c>
      <c r="F3586" s="5" t="s">
        <v>5374</v>
      </c>
      <c r="V3586" s="7" t="str">
        <f>HYPERLINK("#Liste_rouge!A"&amp;_xlfn.XMATCH("LC",Liste_rouge!A:A,2,1),"LC")</f>
        <v>LC</v>
      </c>
      <c r="AH3586" s="4" t="str">
        <f>HYPERLINK("#Statut_biogéographique!A"&amp;_xlfn.XMATCH("P",Statut_biogéographique!A:A,2,1),"P")</f>
        <v>P</v>
      </c>
      <c r="AP3586" s="4" t="s">
        <v>376</v>
      </c>
      <c r="AR3586" s="4" t="s">
        <v>377</v>
      </c>
    </row>
    <row r="3587" spans="1:44" ht="30">
      <c r="A3587" s="4" t="s">
        <v>5</v>
      </c>
      <c r="B3587" s="4">
        <v>30597</v>
      </c>
      <c r="C3587" s="4">
        <v>1947</v>
      </c>
      <c r="D3587" s="5" t="s">
        <v>5375</v>
      </c>
      <c r="E3587" s="6" t="str">
        <f>HYPERLINK("https://inpn.mnhn.fr/espece/cd_nom/30597","Collybia cookei (Bres.) J.D.Arnold, 1935")</f>
        <v>Collybia cookei (Bres.) J.D.Arnold, 1935</v>
      </c>
      <c r="F3587" s="5" t="s">
        <v>5376</v>
      </c>
      <c r="V3587" s="7" t="str">
        <f>HYPERLINK("#Liste_rouge!A"&amp;_xlfn.XMATCH("LC",Liste_rouge!A:A,2,1),"LC")</f>
        <v>LC</v>
      </c>
      <c r="AH3587" s="4" t="str">
        <f>HYPERLINK("#Statut_biogéographique!A"&amp;_xlfn.XMATCH("P",Statut_biogéographique!A:A,2,1),"P")</f>
        <v>P</v>
      </c>
      <c r="AP3587" s="4" t="s">
        <v>376</v>
      </c>
      <c r="AR3587" s="4" t="s">
        <v>377</v>
      </c>
    </row>
    <row r="3588" spans="1:44" ht="30">
      <c r="A3588" s="4" t="s">
        <v>5</v>
      </c>
      <c r="B3588" s="4">
        <v>30606</v>
      </c>
      <c r="C3588" s="4">
        <v>65</v>
      </c>
      <c r="D3588" s="5" t="s">
        <v>5377</v>
      </c>
      <c r="E3588" s="6" t="str">
        <f>HYPERLINK("https://inpn.mnhn.fr/espece/cd_nom/30606","Collybia dryophila (Bull.) P.Kumm., 1871")</f>
        <v>Collybia dryophila (Bull.) P.Kumm., 1871</v>
      </c>
      <c r="F3588" s="5" t="s">
        <v>5378</v>
      </c>
      <c r="V3588" s="7" t="str">
        <f>HYPERLINK("#Liste_rouge!A"&amp;_xlfn.XMATCH("LC",Liste_rouge!A:A,2,1),"LC")</f>
        <v>LC</v>
      </c>
      <c r="AH3588" s="4" t="str">
        <f>HYPERLINK("#Statut_biogéographique!A"&amp;_xlfn.XMATCH("P",Statut_biogéographique!A:A,2,1),"P")</f>
        <v>P</v>
      </c>
      <c r="AP3588" s="4" t="s">
        <v>376</v>
      </c>
      <c r="AR3588" s="4" t="s">
        <v>377</v>
      </c>
    </row>
    <row r="3589" spans="1:44" ht="30">
      <c r="A3589" s="4" t="s">
        <v>5</v>
      </c>
      <c r="B3589" s="4">
        <v>30610</v>
      </c>
      <c r="C3589" s="4">
        <v>2119</v>
      </c>
      <c r="D3589" s="5" t="s">
        <v>5379</v>
      </c>
      <c r="E3589" s="6" t="str">
        <f>HYPERLINK("https://inpn.mnhn.fr/espece/cd_nom/30610","Collybia aquosa (Bull.) P.Kumm., 1871")</f>
        <v>Collybia aquosa (Bull.) P.Kumm., 1871</v>
      </c>
      <c r="F3589" s="5" t="s">
        <v>5380</v>
      </c>
      <c r="V3589" s="7" t="str">
        <f>HYPERLINK("#Liste_rouge!A"&amp;_xlfn.XMATCH("LC",Liste_rouge!A:A,2,1),"LC")</f>
        <v>LC</v>
      </c>
      <c r="AH3589" s="4" t="str">
        <f>HYPERLINK("#Statut_biogéographique!A"&amp;_xlfn.XMATCH("P",Statut_biogéographique!A:A,2,1),"P")</f>
        <v>P</v>
      </c>
      <c r="AP3589" s="4" t="s">
        <v>376</v>
      </c>
      <c r="AR3589" s="4" t="s">
        <v>377</v>
      </c>
    </row>
    <row r="3590" spans="1:44" ht="30">
      <c r="A3590" s="4" t="s">
        <v>5</v>
      </c>
      <c r="B3590" s="4">
        <v>30612</v>
      </c>
      <c r="C3590" s="4">
        <v>3313</v>
      </c>
      <c r="D3590" s="5" t="s">
        <v>5381</v>
      </c>
      <c r="E3590" s="6" t="str">
        <f>HYPERLINK("https://inpn.mnhn.fr/espece/cd_nom/30612","Collybia luteifolia Gillet, 1876")</f>
        <v>Collybia luteifolia Gillet, 1876</v>
      </c>
      <c r="F3590" s="5" t="s">
        <v>5368</v>
      </c>
      <c r="V3590" s="7" t="str">
        <f>HYPERLINK("#Liste_rouge!A"&amp;_xlfn.XMATCH("NT",Liste_rouge!A:A,2,1),"NT")</f>
        <v>NT</v>
      </c>
      <c r="W3590" s="4" t="str">
        <f>HYPERLINK("#Critères_liste_rouge!A$1","pr. B2abiii")</f>
        <v>pr. B2abiii</v>
      </c>
      <c r="AH3590" s="4" t="str">
        <f>HYPERLINK("#Statut_biogéographique!A"&amp;_xlfn.XMATCH("P",Statut_biogéographique!A:A,2,1),"P")</f>
        <v>P</v>
      </c>
      <c r="AP3590" s="4" t="s">
        <v>376</v>
      </c>
      <c r="AR3590" s="4" t="s">
        <v>377</v>
      </c>
    </row>
    <row r="3591" spans="1:44" ht="30">
      <c r="A3591" s="4" t="s">
        <v>5</v>
      </c>
      <c r="B3591" s="4">
        <v>30613</v>
      </c>
      <c r="C3591" s="4">
        <v>3313</v>
      </c>
      <c r="D3591" s="5" t="s">
        <v>5382</v>
      </c>
      <c r="E3591" s="6" t="str">
        <f>HYPERLINK("https://inpn.mnhn.fr/espece/cd_nom/30613","Collybia ocior (Pers.) Vilgalys &amp; O.K.Mill., 1987")</f>
        <v>Collybia ocior (Pers.) Vilgalys &amp; O.K.Mill., 1987</v>
      </c>
      <c r="F3591" s="5" t="s">
        <v>5383</v>
      </c>
      <c r="V3591" s="7" t="str">
        <f>HYPERLINK("#Liste_rouge!A"&amp;_xlfn.XMATCH("NT",Liste_rouge!A:A,2,1),"NT")</f>
        <v>NT</v>
      </c>
      <c r="W3591" s="4" t="str">
        <f>HYPERLINK("#Critères_liste_rouge!A$1","pr. B2abiii")</f>
        <v>pr. B2abiii</v>
      </c>
      <c r="AH3591" s="4" t="str">
        <f>HYPERLINK("#Statut_biogéographique!A"&amp;_xlfn.XMATCH("P",Statut_biogéographique!A:A,2,1),"P")</f>
        <v>P</v>
      </c>
      <c r="AP3591" s="4" t="s">
        <v>376</v>
      </c>
      <c r="AR3591" s="4" t="s">
        <v>377</v>
      </c>
    </row>
    <row r="3592" spans="1:44">
      <c r="A3592" s="4" t="s">
        <v>5</v>
      </c>
      <c r="B3592" s="4">
        <v>30617</v>
      </c>
      <c r="C3592" s="4">
        <v>3313</v>
      </c>
      <c r="D3592" s="5" t="s">
        <v>5384</v>
      </c>
      <c r="E3592" s="6" t="str">
        <f>HYPERLINK("https://inpn.mnhn.fr/espece/cd_nom/30617","Collybia extuberans (Fr.) Quél., 1872")</f>
        <v>Collybia extuberans (Fr.) Quél., 1872</v>
      </c>
      <c r="F3592" s="5" t="s">
        <v>5385</v>
      </c>
      <c r="V3592" s="7" t="str">
        <f>HYPERLINK("#Liste_rouge!A"&amp;_xlfn.XMATCH("NT",Liste_rouge!A:A,2,1),"NT")</f>
        <v>NT</v>
      </c>
      <c r="W3592" s="4" t="str">
        <f>HYPERLINK("#Critères_liste_rouge!A$1","pr. B2abiii")</f>
        <v>pr. B2abiii</v>
      </c>
      <c r="AH3592" s="4" t="str">
        <f>HYPERLINK("#Statut_biogéographique!A"&amp;_xlfn.XMATCH("P",Statut_biogéographique!A:A,2,1),"P")</f>
        <v>P</v>
      </c>
      <c r="AP3592" s="4" t="s">
        <v>376</v>
      </c>
      <c r="AR3592" s="4" t="s">
        <v>377</v>
      </c>
    </row>
    <row r="3593" spans="1:44" ht="30">
      <c r="A3593" s="4" t="s">
        <v>5</v>
      </c>
      <c r="B3593" s="4">
        <v>30623</v>
      </c>
      <c r="C3593" s="4">
        <v>3477</v>
      </c>
      <c r="D3593" s="5" t="s">
        <v>5386</v>
      </c>
      <c r="E3593" s="6" t="str">
        <f>HYPERLINK("https://inpn.mnhn.fr/espece/cd_nom/30623","Collybia fuscopurpurea (Pers.) P.Kumm., 1871")</f>
        <v>Collybia fuscopurpurea (Pers.) P.Kumm., 1871</v>
      </c>
      <c r="F3593" s="5" t="s">
        <v>5387</v>
      </c>
      <c r="V3593" s="7" t="str">
        <f>HYPERLINK("#Liste_rouge!A"&amp;_xlfn.XMATCH("LC",Liste_rouge!A:A,2,1),"LC")</f>
        <v>LC</v>
      </c>
      <c r="AH3593" s="4" t="str">
        <f>HYPERLINK("#Statut_biogéographique!A"&amp;_xlfn.XMATCH("P",Statut_biogéographique!A:A,2,1),"P")</f>
        <v>P</v>
      </c>
      <c r="AP3593" s="4" t="s">
        <v>376</v>
      </c>
      <c r="AR3593" s="4" t="s">
        <v>377</v>
      </c>
    </row>
    <row r="3594" spans="1:44" ht="60">
      <c r="A3594" s="4" t="s">
        <v>5</v>
      </c>
      <c r="B3594" s="4">
        <v>30626</v>
      </c>
      <c r="C3594" s="4">
        <v>11</v>
      </c>
      <c r="D3594" s="5" t="s">
        <v>5388</v>
      </c>
      <c r="E3594" s="6" t="str">
        <f>HYPERLINK("https://inpn.mnhn.fr/espece/cd_nom/30626","Collybia fusipes (Bull.) Quél., 1872")</f>
        <v>Collybia fusipes (Bull.) Quél., 1872</v>
      </c>
      <c r="F3594" s="5" t="s">
        <v>5389</v>
      </c>
      <c r="V3594" s="7" t="str">
        <f>HYPERLINK("#Liste_rouge!A"&amp;_xlfn.XMATCH("LC",Liste_rouge!A:A,2,1),"LC")</f>
        <v>LC</v>
      </c>
      <c r="AH3594" s="4" t="str">
        <f>HYPERLINK("#Statut_biogéographique!A"&amp;_xlfn.XMATCH("P",Statut_biogéographique!A:A,2,1),"P")</f>
        <v>P</v>
      </c>
      <c r="AP3594" s="4" t="s">
        <v>376</v>
      </c>
      <c r="AR3594" s="4" t="s">
        <v>377</v>
      </c>
    </row>
    <row r="3595" spans="1:44">
      <c r="A3595" s="4" t="s">
        <v>5</v>
      </c>
      <c r="B3595" s="4">
        <v>30631</v>
      </c>
      <c r="C3595" s="4">
        <v>1067</v>
      </c>
      <c r="D3595" s="5" t="s">
        <v>5390</v>
      </c>
      <c r="E3595" s="6" t="str">
        <f>HYPERLINK("https://inpn.mnhn.fr/espece/cd_nom/30631","Collybia hariolorum (Bull.) Quél., 1872")</f>
        <v>Collybia hariolorum (Bull.) Quél., 1872</v>
      </c>
      <c r="F3595" s="5" t="s">
        <v>5391</v>
      </c>
      <c r="V3595" s="7" t="str">
        <f>HYPERLINK("#Liste_rouge!A"&amp;_xlfn.XMATCH("LC",Liste_rouge!A:A,2,1),"LC")</f>
        <v>LC</v>
      </c>
      <c r="AH3595" s="4" t="str">
        <f>HYPERLINK("#Statut_biogéographique!A"&amp;_xlfn.XMATCH("P",Statut_biogéographique!A:A,2,1),"P")</f>
        <v>P</v>
      </c>
      <c r="AP3595" s="4" t="s">
        <v>376</v>
      </c>
      <c r="AR3595" s="4" t="s">
        <v>377</v>
      </c>
    </row>
    <row r="3596" spans="1:44" ht="30">
      <c r="A3596" s="4" t="s">
        <v>5</v>
      </c>
      <c r="B3596" s="4">
        <v>30636</v>
      </c>
      <c r="C3596" s="4">
        <v>3478</v>
      </c>
      <c r="D3596" s="5" t="s">
        <v>5392</v>
      </c>
      <c r="E3596" s="6" t="str">
        <f>HYPERLINK("https://inpn.mnhn.fr/espece/cd_nom/30636","Collybia hybrida (Kühner &amp; Romagn.) Svrček &amp; Kubička, 1964")</f>
        <v>Collybia hybrida (Kühner &amp; Romagn.) Svrček &amp; Kubička, 1964</v>
      </c>
      <c r="F3596" s="5" t="s">
        <v>5393</v>
      </c>
      <c r="V3596" s="7" t="str">
        <f>HYPERLINK("#Liste_rouge!A"&amp;_xlfn.XMATCH("VU",Liste_rouge!A:A,2,1),"VU")</f>
        <v>VU</v>
      </c>
      <c r="W3596" s="4" t="str">
        <f>HYPERLINK("#Critères_liste_rouge!A$1","D2")</f>
        <v>D2</v>
      </c>
      <c r="Z3596" s="4" t="s">
        <v>443</v>
      </c>
      <c r="AA3596" s="4" t="s">
        <v>444</v>
      </c>
      <c r="AH3596" s="4" t="str">
        <f>HYPERLINK("#Statut_biogéographique!A"&amp;_xlfn.XMATCH("P",Statut_biogéographique!A:A,2,1),"P")</f>
        <v>P</v>
      </c>
      <c r="AP3596" s="4" t="s">
        <v>376</v>
      </c>
      <c r="AR3596" s="4" t="s">
        <v>377</v>
      </c>
    </row>
    <row r="3597" spans="1:44" ht="30">
      <c r="A3597" s="4" t="s">
        <v>5</v>
      </c>
      <c r="B3597" s="4">
        <v>30638</v>
      </c>
      <c r="C3597" s="4">
        <v>2443</v>
      </c>
      <c r="D3597" s="5" t="s">
        <v>5394</v>
      </c>
      <c r="E3597" s="6" t="str">
        <f>HYPERLINK("https://inpn.mnhn.fr/espece/cd_nom/30638","Collybia impudica (Fr.) Singer, 1944")</f>
        <v>Collybia impudica (Fr.) Singer, 1944</v>
      </c>
      <c r="F3597" s="5" t="s">
        <v>5395</v>
      </c>
      <c r="V3597" s="7" t="str">
        <f>HYPERLINK("#Liste_rouge!A"&amp;_xlfn.XMATCH("EN",Liste_rouge!A:A,2,1),"EN")</f>
        <v>EN</v>
      </c>
      <c r="W3597" s="4" t="str">
        <f>HYPERLINK("#Critères_liste_rouge!A$1","A2c")</f>
        <v>A2c</v>
      </c>
      <c r="Z3597" s="4" t="s">
        <v>447</v>
      </c>
      <c r="AA3597" s="4" t="s">
        <v>448</v>
      </c>
      <c r="AH3597" s="4" t="str">
        <f>HYPERLINK("#Statut_biogéographique!A"&amp;_xlfn.XMATCH("P",Statut_biogéographique!A:A,2,1),"P")</f>
        <v>P</v>
      </c>
      <c r="AP3597" s="4" t="s">
        <v>376</v>
      </c>
      <c r="AR3597" s="4" t="s">
        <v>377</v>
      </c>
    </row>
    <row r="3598" spans="1:44" ht="30">
      <c r="A3598" s="4" t="s">
        <v>5</v>
      </c>
      <c r="B3598" s="4">
        <v>30654</v>
      </c>
      <c r="D3598" s="5" t="s">
        <v>5396</v>
      </c>
      <c r="E3598" s="6" t="str">
        <f>HYPERLINK("https://inpn.mnhn.fr/espece/cd_nom/30654","Collybia maculata (Alb. &amp; Schwein.) P.Kumm., 1871")</f>
        <v>Collybia maculata (Alb. &amp; Schwein.) P.Kumm., 1871</v>
      </c>
      <c r="F3598" s="5" t="s">
        <v>4069</v>
      </c>
      <c r="V3598" s="7" t="str">
        <f>HYPERLINK("#Liste_rouge!A"&amp;_xlfn.XMATCH("LC",Liste_rouge!A:A,2,1),"LC")</f>
        <v>LC</v>
      </c>
      <c r="AH3598" s="4" t="str">
        <f>HYPERLINK("#Statut_biogéographique!A"&amp;_xlfn.XMATCH("P",Statut_biogéographique!A:A,2,1),"P")</f>
        <v>P</v>
      </c>
      <c r="AP3598" s="4" t="s">
        <v>376</v>
      </c>
      <c r="AR3598" s="4" t="s">
        <v>377</v>
      </c>
    </row>
    <row r="3599" spans="1:44">
      <c r="A3599" s="4" t="s">
        <v>5</v>
      </c>
      <c r="B3599" s="4">
        <v>30662</v>
      </c>
      <c r="C3599" s="4">
        <v>3881</v>
      </c>
      <c r="D3599" s="5" t="s">
        <v>5397</v>
      </c>
      <c r="E3599" s="6" t="str">
        <f>HYPERLINK("https://inpn.mnhn.fr/espece/cd_nom/30662","Collybia oreadoides (Pass.) P.D.Orton, 1960")</f>
        <v>Collybia oreadoides (Pass.) P.D.Orton, 1960</v>
      </c>
      <c r="V3599" s="7" t="str">
        <f>HYPERLINK("#Liste_rouge!A"&amp;_xlfn.XMATCH("NT",Liste_rouge!A:A,2,1),"NT")</f>
        <v>NT</v>
      </c>
      <c r="W3599" s="4" t="str">
        <f>HYPERLINK("#Critères_liste_rouge!A$1","pr. B2abiii")</f>
        <v>pr. B2abiii</v>
      </c>
      <c r="AH3599" s="4" t="str">
        <f>HYPERLINK("#Statut_biogéographique!A"&amp;_xlfn.XMATCH("P",Statut_biogéographique!A:A,2,1),"P")</f>
        <v>P</v>
      </c>
      <c r="AP3599" s="4" t="s">
        <v>376</v>
      </c>
      <c r="AR3599" s="4" t="s">
        <v>377</v>
      </c>
    </row>
    <row r="3600" spans="1:44">
      <c r="A3600" s="4" t="s">
        <v>5</v>
      </c>
      <c r="B3600" s="4">
        <v>30665</v>
      </c>
      <c r="D3600" s="5" t="s">
        <v>5398</v>
      </c>
      <c r="E3600" s="6" t="str">
        <f>HYPERLINK("https://inpn.mnhn.fr/espece/cd_nom/30665","Marasmius collinus (Scop.) Singer, 1942")</f>
        <v>Marasmius collinus (Scop.) Singer, 1942</v>
      </c>
      <c r="V3600" s="7" t="str">
        <f>HYPERLINK("#Liste_rouge!A"&amp;_xlfn.XMATCH("EN",Liste_rouge!A:A,2,1),"EN")</f>
        <v>EN</v>
      </c>
      <c r="W3600" s="4" t="str">
        <f>HYPERLINK("#Critères_liste_rouge!A$1","B2abiii")</f>
        <v>B2abiii</v>
      </c>
      <c r="AH3600" s="4" t="str">
        <f>HYPERLINK("#Statut_biogéographique!A"&amp;_xlfn.XMATCH("P",Statut_biogéographique!A:A,2,1),"P")</f>
        <v>P</v>
      </c>
      <c r="AP3600" s="4" t="s">
        <v>376</v>
      </c>
      <c r="AR3600" s="4" t="s">
        <v>377</v>
      </c>
    </row>
    <row r="3601" spans="1:44" ht="45">
      <c r="A3601" s="4" t="s">
        <v>5</v>
      </c>
      <c r="B3601" s="4">
        <v>30666</v>
      </c>
      <c r="C3601" s="4">
        <v>258</v>
      </c>
      <c r="D3601" s="5" t="s">
        <v>5399</v>
      </c>
      <c r="E3601" s="6" t="str">
        <f>HYPERLINK("https://inpn.mnhn.fr/espece/cd_nom/30666","Collybia peronata (Bolton) P.Kumm., 1871")</f>
        <v>Collybia peronata (Bolton) P.Kumm., 1871</v>
      </c>
      <c r="F3601" s="5" t="s">
        <v>5400</v>
      </c>
      <c r="V3601" s="7" t="str">
        <f>HYPERLINK("#Liste_rouge!A"&amp;_xlfn.XMATCH("LC",Liste_rouge!A:A,2,1),"LC")</f>
        <v>LC</v>
      </c>
      <c r="AH3601" s="4" t="str">
        <f>HYPERLINK("#Statut_biogéographique!A"&amp;_xlfn.XMATCH("P",Statut_biogéographique!A:A,2,1),"P")</f>
        <v>P</v>
      </c>
      <c r="AP3601" s="4" t="s">
        <v>376</v>
      </c>
      <c r="AR3601" s="4" t="s">
        <v>377</v>
      </c>
    </row>
    <row r="3602" spans="1:44">
      <c r="A3602" s="4" t="s">
        <v>5</v>
      </c>
      <c r="B3602" s="4">
        <v>30683</v>
      </c>
      <c r="C3602" s="4">
        <v>1282</v>
      </c>
      <c r="D3602" s="5" t="s">
        <v>5401</v>
      </c>
      <c r="E3602" s="6" t="str">
        <f>HYPERLINK("https://inpn.mnhn.fr/espece/cd_nom/30683","Collybia tuberosa (Bull.) P.Kumm., 1871")</f>
        <v>Collybia tuberosa (Bull.) P.Kumm., 1871</v>
      </c>
      <c r="F3602" s="5" t="s">
        <v>5402</v>
      </c>
      <c r="V3602" s="7" t="str">
        <f>HYPERLINK("#Liste_rouge!A"&amp;_xlfn.XMATCH("LC",Liste_rouge!A:A,2,1),"LC")</f>
        <v>LC</v>
      </c>
      <c r="AH3602" s="4" t="str">
        <f>HYPERLINK("#Statut_biogéographique!A"&amp;_xlfn.XMATCH("P",Statut_biogéographique!A:A,2,1),"P")</f>
        <v>P</v>
      </c>
      <c r="AP3602" s="4" t="s">
        <v>376</v>
      </c>
      <c r="AR3602" s="4" t="s">
        <v>377</v>
      </c>
    </row>
    <row r="3603" spans="1:44">
      <c r="A3603" s="4" t="s">
        <v>5</v>
      </c>
      <c r="B3603" s="4">
        <v>30703</v>
      </c>
      <c r="C3603" s="4">
        <v>3133</v>
      </c>
      <c r="D3603" s="5" t="s">
        <v>5403</v>
      </c>
      <c r="E3603" s="6" t="str">
        <f>HYPERLINK("https://inpn.mnhn.fr/espece/cd_nom/30703","Flammulina ononidis Arnolds, 1977")</f>
        <v>Flammulina ononidis Arnolds, 1977</v>
      </c>
      <c r="F3603" s="5" t="s">
        <v>5404</v>
      </c>
      <c r="O3603" s="7" t="str">
        <f>HYPERLINK("#Liste_rouge!A"&amp;_xlfn.XMATCH("VU",Liste_rouge!A:A,2,1),"VU")</f>
        <v>VU</v>
      </c>
      <c r="V3603" s="7" t="str">
        <f>HYPERLINK("#Liste_rouge!A"&amp;_xlfn.XMATCH("VU",Liste_rouge!A:A,2,1),"VU")</f>
        <v>VU</v>
      </c>
      <c r="W3603" s="4" t="str">
        <f>HYPERLINK("#Critères_liste_rouge!A$1","B2abiii")</f>
        <v>B2abiii</v>
      </c>
      <c r="Z3603" s="4" t="s">
        <v>447</v>
      </c>
      <c r="AA3603" s="4" t="s">
        <v>448</v>
      </c>
      <c r="AH3603" s="4" t="str">
        <f>HYPERLINK("#Statut_biogéographique!A"&amp;_xlfn.XMATCH("P",Statut_biogéographique!A:A,2,1),"P")</f>
        <v>P</v>
      </c>
      <c r="AP3603" s="4" t="s">
        <v>376</v>
      </c>
      <c r="AR3603" s="4" t="s">
        <v>377</v>
      </c>
    </row>
    <row r="3604" spans="1:44" ht="30">
      <c r="A3604" s="4" t="s">
        <v>5</v>
      </c>
      <c r="B3604" s="4">
        <v>30705</v>
      </c>
      <c r="C3604" s="4">
        <v>112</v>
      </c>
      <c r="D3604" s="5" t="s">
        <v>5405</v>
      </c>
      <c r="E3604" s="6" t="str">
        <f>HYPERLINK("https://inpn.mnhn.fr/espece/cd_nom/30705","Flammulina velutipes (Curtis) Singer, 1951")</f>
        <v>Flammulina velutipes (Curtis) Singer, 1951</v>
      </c>
      <c r="F3604" s="5" t="s">
        <v>5406</v>
      </c>
      <c r="O3604" s="7" t="str">
        <f>HYPERLINK("#Liste_rouge!A"&amp;_xlfn.XMATCH("LC",Liste_rouge!A:A,2,1),"LC")</f>
        <v>LC</v>
      </c>
      <c r="V3604" s="7" t="str">
        <f>HYPERLINK("#Liste_rouge!A"&amp;_xlfn.XMATCH("LC",Liste_rouge!A:A,2,1),"LC")</f>
        <v>LC</v>
      </c>
      <c r="AH3604" s="4" t="str">
        <f>HYPERLINK("#Statut_biogéographique!A"&amp;_xlfn.XMATCH("P",Statut_biogéographique!A:A,2,1),"P")</f>
        <v>P</v>
      </c>
      <c r="AP3604" s="4" t="s">
        <v>376</v>
      </c>
      <c r="AR3604" s="4" t="s">
        <v>377</v>
      </c>
    </row>
    <row r="3605" spans="1:44">
      <c r="A3605" s="4" t="s">
        <v>5</v>
      </c>
      <c r="B3605" s="4">
        <v>30718</v>
      </c>
      <c r="D3605" s="5" t="s">
        <v>5407</v>
      </c>
      <c r="E3605" s="6" t="str">
        <f>HYPERLINK("https://inpn.mnhn.fr/espece/cd_nom/30718","Hemimycena candida (Bres.) Singer, 1943")</f>
        <v>Hemimycena candida (Bres.) Singer, 1943</v>
      </c>
      <c r="AH3605" s="4" t="str">
        <f>HYPERLINK("#Statut_biogéographique!A"&amp;_xlfn.XMATCH("P",Statut_biogéographique!A:A,2,1),"P")</f>
        <v>P</v>
      </c>
      <c r="AP3605" s="4" t="s">
        <v>376</v>
      </c>
      <c r="AR3605" s="4" t="s">
        <v>377</v>
      </c>
    </row>
    <row r="3606" spans="1:44" ht="30">
      <c r="A3606" s="4" t="s">
        <v>5</v>
      </c>
      <c r="B3606" s="4">
        <v>30722</v>
      </c>
      <c r="C3606" s="4">
        <v>6977</v>
      </c>
      <c r="D3606" s="5" t="s">
        <v>5408</v>
      </c>
      <c r="E3606" s="6" t="str">
        <f>HYPERLINK("https://inpn.mnhn.fr/espece/cd_nom/30722","Hemimycena cephalotricha (Joss. ex Redhead) Singer, 1986")</f>
        <v>Hemimycena cephalotricha (Joss. ex Redhead) Singer, 1986</v>
      </c>
      <c r="AH3606" s="4" t="str">
        <f>HYPERLINK("#Statut_biogéographique!A"&amp;_xlfn.XMATCH("P",Statut_biogéographique!A:A,2,1),"P")</f>
        <v>P</v>
      </c>
      <c r="AP3606" s="4" t="s">
        <v>376</v>
      </c>
      <c r="AR3606" s="4" t="s">
        <v>377</v>
      </c>
    </row>
    <row r="3607" spans="1:44">
      <c r="A3607" s="4" t="s">
        <v>5</v>
      </c>
      <c r="B3607" s="4">
        <v>30726</v>
      </c>
      <c r="C3607" s="4">
        <v>6600</v>
      </c>
      <c r="D3607" s="5" t="s">
        <v>5409</v>
      </c>
      <c r="E3607" s="6" t="str">
        <f>HYPERLINK("https://inpn.mnhn.fr/espece/cd_nom/30726","Hemimycena crispata (Kühner) Singer, 1943")</f>
        <v>Hemimycena crispata (Kühner) Singer, 1943</v>
      </c>
      <c r="AH3607" s="4" t="str">
        <f>HYPERLINK("#Statut_biogéographique!A"&amp;_xlfn.XMATCH("P",Statut_biogéographique!A:A,2,1),"P")</f>
        <v>P</v>
      </c>
      <c r="AP3607" s="4" t="s">
        <v>376</v>
      </c>
      <c r="AR3607" s="4" t="s">
        <v>377</v>
      </c>
    </row>
    <row r="3608" spans="1:44" ht="30">
      <c r="A3608" s="4" t="s">
        <v>5</v>
      </c>
      <c r="B3608" s="4">
        <v>30733</v>
      </c>
      <c r="C3608" s="4">
        <v>2710</v>
      </c>
      <c r="D3608" s="5" t="s">
        <v>5410</v>
      </c>
      <c r="E3608" s="6" t="str">
        <f>HYPERLINK("https://inpn.mnhn.fr/espece/cd_nom/30733","Hemimycena cucullata (Pers.) Singer, 1961")</f>
        <v>Hemimycena cucullata (Pers.) Singer, 1961</v>
      </c>
      <c r="V3608" s="7" t="str">
        <f>HYPERLINK("#Liste_rouge!A"&amp;_xlfn.XMATCH("LC",Liste_rouge!A:A,2,1),"LC")</f>
        <v>LC</v>
      </c>
      <c r="AH3608" s="4" t="str">
        <f>HYPERLINK("#Statut_biogéographique!A"&amp;_xlfn.XMATCH("P",Statut_biogéographique!A:A,2,1),"P")</f>
        <v>P</v>
      </c>
      <c r="AP3608" s="4" t="s">
        <v>376</v>
      </c>
      <c r="AR3608" s="4" t="s">
        <v>377</v>
      </c>
    </row>
    <row r="3609" spans="1:44">
      <c r="A3609" s="4" t="s">
        <v>5</v>
      </c>
      <c r="B3609" s="4">
        <v>30745</v>
      </c>
      <c r="C3609" s="4">
        <v>5745</v>
      </c>
      <c r="D3609" s="5" t="s">
        <v>5411</v>
      </c>
      <c r="E3609" s="6" t="str">
        <f>HYPERLINK("https://inpn.mnhn.fr/espece/cd_nom/30745","Hemimycena ignobilis Joss. ex Bon, 1983")</f>
        <v>Hemimycena ignobilis Joss. ex Bon, 1983</v>
      </c>
      <c r="AH3609" s="4" t="str">
        <f>HYPERLINK("#Statut_biogéographique!A"&amp;_xlfn.XMATCH("P",Statut_biogéographique!A:A,2,1),"P")</f>
        <v>P</v>
      </c>
      <c r="AP3609" s="4" t="s">
        <v>376</v>
      </c>
      <c r="AR3609" s="4" t="s">
        <v>377</v>
      </c>
    </row>
    <row r="3610" spans="1:44" ht="45">
      <c r="A3610" s="4" t="s">
        <v>5</v>
      </c>
      <c r="B3610" s="4">
        <v>30749</v>
      </c>
      <c r="C3610" s="4">
        <v>2222</v>
      </c>
      <c r="D3610" s="5" t="s">
        <v>5412</v>
      </c>
      <c r="E3610" s="6" t="str">
        <f>HYPERLINK("https://inpn.mnhn.fr/espece/cd_nom/30749","Hemimycena lactea (Pers.) Singer, 1938")</f>
        <v>Hemimycena lactea (Pers.) Singer, 1938</v>
      </c>
      <c r="F3610" s="5" t="s">
        <v>4600</v>
      </c>
      <c r="V3610" s="7" t="str">
        <f>HYPERLINK("#Liste_rouge!A"&amp;_xlfn.XMATCH("LC",Liste_rouge!A:A,2,1),"LC")</f>
        <v>LC</v>
      </c>
      <c r="AH3610" s="4" t="str">
        <f>HYPERLINK("#Statut_biogéographique!A"&amp;_xlfn.XMATCH("P",Statut_biogéographique!A:A,2,1),"P")</f>
        <v>P</v>
      </c>
      <c r="AP3610" s="4" t="s">
        <v>376</v>
      </c>
      <c r="AR3610" s="4" t="s">
        <v>377</v>
      </c>
    </row>
    <row r="3611" spans="1:44" ht="30">
      <c r="A3611" s="4" t="s">
        <v>5</v>
      </c>
      <c r="B3611" s="4">
        <v>30753</v>
      </c>
      <c r="C3611" s="4">
        <v>3197</v>
      </c>
      <c r="D3611" s="5" t="s">
        <v>5413</v>
      </c>
      <c r="E3611" s="6" t="str">
        <f>HYPERLINK("https://inpn.mnhn.fr/espece/cd_nom/30753","Hemimycena mairei (E.-J.Gilbert) Singer, 1943")</f>
        <v>Hemimycena mairei (E.-J.Gilbert) Singer, 1943</v>
      </c>
      <c r="F3611" s="5" t="s">
        <v>5414</v>
      </c>
      <c r="V3611" s="7" t="str">
        <f>HYPERLINK("#Liste_rouge!A"&amp;_xlfn.XMATCH("LC",Liste_rouge!A:A,2,1),"LC")</f>
        <v>LC</v>
      </c>
      <c r="AH3611" s="4" t="str">
        <f>HYPERLINK("#Statut_biogéographique!A"&amp;_xlfn.XMATCH("P",Statut_biogéographique!A:A,2,1),"P")</f>
        <v>P</v>
      </c>
      <c r="AP3611" s="4" t="s">
        <v>376</v>
      </c>
      <c r="AR3611" s="4" t="s">
        <v>377</v>
      </c>
    </row>
    <row r="3612" spans="1:44">
      <c r="A3612" s="4" t="s">
        <v>5</v>
      </c>
      <c r="B3612" s="4">
        <v>30761</v>
      </c>
      <c r="C3612" s="4">
        <v>5535</v>
      </c>
      <c r="D3612" s="5" t="s">
        <v>5415</v>
      </c>
      <c r="E3612" s="6" t="str">
        <f>HYPERLINK("https://inpn.mnhn.fr/espece/cd_nom/30761","Hemimycena gracilis (Quél.) Singer, 1943")</f>
        <v>Hemimycena gracilis (Quél.) Singer, 1943</v>
      </c>
      <c r="V3612" s="7" t="str">
        <f>HYPERLINK("#Liste_rouge!A"&amp;_xlfn.XMATCH("DD",Liste_rouge!A:A,2,1),"DD")</f>
        <v>DD</v>
      </c>
      <c r="AH3612" s="4" t="str">
        <f>HYPERLINK("#Statut_biogéographique!A"&amp;_xlfn.XMATCH("P",Statut_biogéographique!A:A,2,1),"P")</f>
        <v>P</v>
      </c>
      <c r="AP3612" s="4" t="s">
        <v>376</v>
      </c>
      <c r="AR3612" s="4" t="s">
        <v>377</v>
      </c>
    </row>
    <row r="3613" spans="1:44" ht="30">
      <c r="A3613" s="4" t="s">
        <v>5</v>
      </c>
      <c r="B3613" s="4">
        <v>30765</v>
      </c>
      <c r="C3613" s="4">
        <v>5829</v>
      </c>
      <c r="D3613" s="5" t="s">
        <v>5416</v>
      </c>
      <c r="E3613" s="6" t="str">
        <f>HYPERLINK("https://inpn.mnhn.fr/espece/cd_nom/30765","Hemimycena pseudocrispula (Kühner) Singer, 1943")</f>
        <v>Hemimycena pseudocrispula (Kühner) Singer, 1943</v>
      </c>
      <c r="AH3613" s="4" t="str">
        <f>HYPERLINK("#Statut_biogéographique!A"&amp;_xlfn.XMATCH("P",Statut_biogéographique!A:A,2,1),"P")</f>
        <v>P</v>
      </c>
      <c r="AP3613" s="4" t="s">
        <v>376</v>
      </c>
      <c r="AR3613" s="4" t="s">
        <v>377</v>
      </c>
    </row>
    <row r="3614" spans="1:44" ht="30">
      <c r="A3614" s="4" t="s">
        <v>5</v>
      </c>
      <c r="B3614" s="4">
        <v>30769</v>
      </c>
      <c r="C3614" s="4">
        <v>786</v>
      </c>
      <c r="D3614" s="5" t="s">
        <v>5417</v>
      </c>
      <c r="E3614" s="6" t="str">
        <f>HYPERLINK("https://inpn.mnhn.fr/espece/cd_nom/30769","Hemimycena pseudogracilis (Kühner &amp; Maire) Singer, 2004")</f>
        <v>Hemimycena pseudogracilis (Kühner &amp; Maire) Singer, 2004</v>
      </c>
      <c r="V3614" s="7" t="str">
        <f>HYPERLINK("#Liste_rouge!A"&amp;_xlfn.XMATCH("LC",Liste_rouge!A:A,2,1),"LC")</f>
        <v>LC</v>
      </c>
      <c r="AH3614" s="4" t="str">
        <f>HYPERLINK("#Statut_biogéographique!A"&amp;_xlfn.XMATCH("P",Statut_biogéographique!A:A,2,1),"P")</f>
        <v>P</v>
      </c>
      <c r="AP3614" s="4" t="s">
        <v>376</v>
      </c>
      <c r="AR3614" s="4" t="s">
        <v>377</v>
      </c>
    </row>
    <row r="3615" spans="1:44" ht="30">
      <c r="A3615" s="4" t="s">
        <v>5</v>
      </c>
      <c r="B3615" s="4">
        <v>30772</v>
      </c>
      <c r="C3615" s="4">
        <v>727</v>
      </c>
      <c r="D3615" s="5" t="s">
        <v>5418</v>
      </c>
      <c r="E3615" s="6" t="str">
        <f>HYPERLINK("https://inpn.mnhn.fr/espece/cd_nom/30772","Hemimycena pseudolactea (Kühner) Singer, 1943")</f>
        <v>Hemimycena pseudolactea (Kühner) Singer, 1943</v>
      </c>
      <c r="F3615" s="5" t="s">
        <v>5419</v>
      </c>
      <c r="V3615" s="7" t="str">
        <f>HYPERLINK("#Liste_rouge!A"&amp;_xlfn.XMATCH("DD",Liste_rouge!A:A,2,1),"DD")</f>
        <v>DD</v>
      </c>
      <c r="AH3615" s="4" t="str">
        <f>HYPERLINK("#Statut_biogéographique!A"&amp;_xlfn.XMATCH("P",Statut_biogéographique!A:A,2,1),"P")</f>
        <v>P</v>
      </c>
      <c r="AP3615" s="4" t="s">
        <v>376</v>
      </c>
      <c r="AR3615" s="4" t="s">
        <v>377</v>
      </c>
    </row>
    <row r="3616" spans="1:44" ht="30">
      <c r="A3616" s="4" t="s">
        <v>5</v>
      </c>
      <c r="B3616" s="4">
        <v>30778</v>
      </c>
      <c r="D3616" s="5" t="s">
        <v>5420</v>
      </c>
      <c r="E3616" s="6" t="str">
        <f>HYPERLINK("https://inpn.mnhn.fr/espece/cd_nom/30778","Mycena leucogala (Cooke) Sacc., 1887")</f>
        <v>Mycena leucogala (Cooke) Sacc., 1887</v>
      </c>
      <c r="V3616" s="7" t="str">
        <f>HYPERLINK("#Liste_rouge!A"&amp;_xlfn.XMATCH("LC",Liste_rouge!A:A,2,1),"LC")</f>
        <v>LC</v>
      </c>
      <c r="AH3616" s="4" t="str">
        <f>HYPERLINK("#Statut_biogéographique!A"&amp;_xlfn.XMATCH("P",Statut_biogéographique!A:A,2,1),"P")</f>
        <v>P</v>
      </c>
      <c r="AP3616" s="4" t="s">
        <v>376</v>
      </c>
      <c r="AR3616" s="4" t="s">
        <v>377</v>
      </c>
    </row>
    <row r="3617" spans="1:44">
      <c r="A3617" s="4" t="s">
        <v>5</v>
      </c>
      <c r="B3617" s="4">
        <v>30781</v>
      </c>
      <c r="D3617" s="5" t="s">
        <v>5421</v>
      </c>
      <c r="E3617" s="6" t="str">
        <f>HYPERLINK("https://inpn.mnhn.fr/espece/cd_nom/30781","Mycena haematopus (Pers.) P.Kumm., 1871")</f>
        <v>Mycena haematopus (Pers.) P.Kumm., 1871</v>
      </c>
      <c r="F3617" s="5" t="s">
        <v>5422</v>
      </c>
      <c r="V3617" s="7" t="str">
        <f>HYPERLINK("#Liste_rouge!A"&amp;_xlfn.XMATCH("LC",Liste_rouge!A:A,2,1),"LC")</f>
        <v>LC</v>
      </c>
      <c r="AH3617" s="4" t="str">
        <f>HYPERLINK("#Statut_biogéographique!A"&amp;_xlfn.XMATCH("P",Statut_biogéographique!A:A,2,1),"P")</f>
        <v>P</v>
      </c>
      <c r="AP3617" s="4" t="s">
        <v>376</v>
      </c>
      <c r="AR3617" s="4" t="s">
        <v>377</v>
      </c>
    </row>
    <row r="3618" spans="1:44">
      <c r="A3618" s="4" t="s">
        <v>5</v>
      </c>
      <c r="B3618" s="4">
        <v>30788</v>
      </c>
      <c r="D3618" s="5" t="s">
        <v>5423</v>
      </c>
      <c r="E3618" s="6" t="str">
        <f>HYPERLINK("https://inpn.mnhn.fr/espece/cd_nom/30788","Mycena inclinata (Fr.) Quél., 1872")</f>
        <v>Mycena inclinata (Fr.) Quél., 1872</v>
      </c>
      <c r="F3618" s="5" t="s">
        <v>1486</v>
      </c>
      <c r="V3618" s="7" t="str">
        <f>HYPERLINK("#Liste_rouge!A"&amp;_xlfn.XMATCH("LC",Liste_rouge!A:A,2,1),"LC")</f>
        <v>LC</v>
      </c>
      <c r="AH3618" s="4" t="str">
        <f>HYPERLINK("#Statut_biogéographique!A"&amp;_xlfn.XMATCH("P",Statut_biogéographique!A:A,2,1),"P")</f>
        <v>P</v>
      </c>
      <c r="AP3618" s="4" t="s">
        <v>376</v>
      </c>
      <c r="AR3618" s="4" t="s">
        <v>377</v>
      </c>
    </row>
    <row r="3619" spans="1:44">
      <c r="A3619" s="4" t="s">
        <v>5</v>
      </c>
      <c r="B3619" s="4">
        <v>30798</v>
      </c>
      <c r="D3619" s="5" t="s">
        <v>5424</v>
      </c>
      <c r="E3619" s="6" t="str">
        <f>HYPERLINK("https://inpn.mnhn.fr/espece/cd_nom/30798","Mycena laevigata Gillet, 1876")</f>
        <v>Mycena laevigata Gillet, 1876</v>
      </c>
      <c r="V3619" s="7" t="str">
        <f>HYPERLINK("#Liste_rouge!A"&amp;_xlfn.XMATCH("EN",Liste_rouge!A:A,2,1),"EN")</f>
        <v>EN</v>
      </c>
      <c r="W3619" s="4" t="str">
        <f>HYPERLINK("#Critères_liste_rouge!A$1","B2abiii")</f>
        <v>B2abiii</v>
      </c>
      <c r="AH3619" s="4" t="str">
        <f>HYPERLINK("#Statut_biogéographique!A"&amp;_xlfn.XMATCH("P",Statut_biogéographique!A:A,2,1),"P")</f>
        <v>P</v>
      </c>
      <c r="AP3619" s="4" t="s">
        <v>376</v>
      </c>
      <c r="AR3619" s="4" t="s">
        <v>377</v>
      </c>
    </row>
    <row r="3620" spans="1:44" ht="45">
      <c r="A3620" s="4" t="s">
        <v>5</v>
      </c>
      <c r="B3620" s="4">
        <v>30809</v>
      </c>
      <c r="C3620" s="4">
        <v>1369</v>
      </c>
      <c r="D3620" s="5" t="s">
        <v>5425</v>
      </c>
      <c r="E3620" s="6" t="str">
        <f>HYPERLINK("https://inpn.mnhn.fr/espece/cd_nom/30809","Calocybe gambosa (Fr.) Donk, 1962")</f>
        <v>Calocybe gambosa (Fr.) Donk, 1962</v>
      </c>
      <c r="F3620" s="5" t="s">
        <v>5426</v>
      </c>
      <c r="O3620" s="7" t="str">
        <f>HYPERLINK("#Liste_rouge!A"&amp;_xlfn.XMATCH("LC",Liste_rouge!A:A,2,1),"LC")</f>
        <v>LC</v>
      </c>
      <c r="V3620" s="7" t="str">
        <f>HYPERLINK("#Liste_rouge!A"&amp;_xlfn.XMATCH("DD",Liste_rouge!A:A,2,1),"DD")</f>
        <v>DD</v>
      </c>
      <c r="W3620" s="4" t="str">
        <f>HYPERLINK("#Critères_liste_rouge!A$1","pr. A2c")</f>
        <v>pr. A2c</v>
      </c>
      <c r="Z3620" s="4" t="s">
        <v>443</v>
      </c>
      <c r="AA3620" s="4" t="s">
        <v>444</v>
      </c>
      <c r="AH3620" s="4" t="str">
        <f>HYPERLINK("#Statut_biogéographique!A"&amp;_xlfn.XMATCH("P",Statut_biogéographique!A:A,2,1),"P")</f>
        <v>P</v>
      </c>
      <c r="AP3620" s="4" t="s">
        <v>376</v>
      </c>
      <c r="AR3620" s="4" t="s">
        <v>377</v>
      </c>
    </row>
    <row r="3621" spans="1:44" ht="30">
      <c r="A3621" s="4" t="s">
        <v>5</v>
      </c>
      <c r="B3621" s="4">
        <v>30828</v>
      </c>
      <c r="C3621" s="4">
        <v>1681</v>
      </c>
      <c r="D3621" s="5" t="s">
        <v>5427</v>
      </c>
      <c r="E3621" s="6" t="str">
        <f>HYPERLINK("https://inpn.mnhn.fr/espece/cd_nom/30828","Cantharellula umbonata (J.F.Gmel.) Singer, 1936")</f>
        <v>Cantharellula umbonata (J.F.Gmel.) Singer, 1936</v>
      </c>
      <c r="F3621" s="5" t="s">
        <v>5428</v>
      </c>
      <c r="O3621" s="7" t="str">
        <f>HYPERLINK("#Liste_rouge!A"&amp;_xlfn.XMATCH("LC",Liste_rouge!A:A,2,1),"LC")</f>
        <v>LC</v>
      </c>
      <c r="V3621" s="7" t="str">
        <f>HYPERLINK("#Liste_rouge!A"&amp;_xlfn.XMATCH("LC",Liste_rouge!A:A,2,1),"LC")</f>
        <v>LC</v>
      </c>
      <c r="Z3621" s="4" t="s">
        <v>447</v>
      </c>
      <c r="AA3621" s="4" t="s">
        <v>448</v>
      </c>
      <c r="AH3621" s="4" t="str">
        <f>HYPERLINK("#Statut_biogéographique!A"&amp;_xlfn.XMATCH("P",Statut_biogéographique!A:A,2,1),"P")</f>
        <v>P</v>
      </c>
      <c r="AP3621" s="4" t="s">
        <v>376</v>
      </c>
      <c r="AR3621" s="4" t="s">
        <v>377</v>
      </c>
    </row>
    <row r="3622" spans="1:44" ht="30">
      <c r="A3622" s="4" t="s">
        <v>5</v>
      </c>
      <c r="B3622" s="4">
        <v>30833</v>
      </c>
      <c r="C3622" s="4">
        <v>653</v>
      </c>
      <c r="D3622" s="5" t="s">
        <v>5429</v>
      </c>
      <c r="E3622" s="6" t="str">
        <f>HYPERLINK("https://inpn.mnhn.fr/espece/cd_nom/30833","Catathelasma imperiale (P.Karst.) Singer, 1940")</f>
        <v>Catathelasma imperiale (P.Karst.) Singer, 1940</v>
      </c>
      <c r="F3622" s="5" t="s">
        <v>5430</v>
      </c>
      <c r="O3622" s="7" t="str">
        <f>HYPERLINK("#Liste_rouge!A"&amp;_xlfn.XMATCH("NT",Liste_rouge!A:A,2,1),"NT")</f>
        <v>NT</v>
      </c>
      <c r="V3622" s="7" t="str">
        <f>HYPERLINK("#Liste_rouge!A"&amp;_xlfn.XMATCH("LC",Liste_rouge!A:A,2,1),"LC")</f>
        <v>LC</v>
      </c>
      <c r="Z3622" s="4" t="s">
        <v>447</v>
      </c>
      <c r="AA3622" s="4" t="s">
        <v>448</v>
      </c>
      <c r="AH3622" s="4" t="str">
        <f>HYPERLINK("#Statut_biogéographique!A"&amp;_xlfn.XMATCH("P",Statut_biogéographique!A:A,2,1),"P")</f>
        <v>P</v>
      </c>
      <c r="AP3622" s="4" t="s">
        <v>376</v>
      </c>
      <c r="AR3622" s="4" t="s">
        <v>377</v>
      </c>
    </row>
    <row r="3623" spans="1:44" ht="30">
      <c r="A3623" s="4" t="s">
        <v>5</v>
      </c>
      <c r="B3623" s="4">
        <v>30837</v>
      </c>
      <c r="C3623" s="4">
        <v>3799</v>
      </c>
      <c r="D3623" s="5" t="s">
        <v>5431</v>
      </c>
      <c r="E3623" s="6" t="str">
        <f>HYPERLINK("https://inpn.mnhn.fr/espece/cd_nom/30837","Chrysomphalina chrysophylla (Fr.) Clémençon, 1982")</f>
        <v>Chrysomphalina chrysophylla (Fr.) Clémençon, 1982</v>
      </c>
      <c r="F3623" s="5" t="s">
        <v>5432</v>
      </c>
      <c r="V3623" s="7" t="str">
        <f>HYPERLINK("#Liste_rouge!A"&amp;_xlfn.XMATCH("EN",Liste_rouge!A:A,2,1),"EN")</f>
        <v>EN</v>
      </c>
      <c r="W3623" s="4" t="str">
        <f>HYPERLINK("#Critères_liste_rouge!A$1","B2abiii")</f>
        <v>B2abiii</v>
      </c>
      <c r="Z3623" s="4" t="s">
        <v>695</v>
      </c>
      <c r="AA3623" s="4" t="s">
        <v>696</v>
      </c>
      <c r="AH3623" s="4" t="str">
        <f>HYPERLINK("#Statut_biogéographique!A"&amp;_xlfn.XMATCH("P",Statut_biogéographique!A:A,2,1),"P")</f>
        <v>P</v>
      </c>
      <c r="AP3623" s="4" t="s">
        <v>376</v>
      </c>
      <c r="AR3623" s="4" t="s">
        <v>377</v>
      </c>
    </row>
    <row r="3624" spans="1:44" ht="30">
      <c r="A3624" s="4" t="s">
        <v>5</v>
      </c>
      <c r="B3624" s="4">
        <v>30841</v>
      </c>
      <c r="C3624" s="4">
        <v>2878</v>
      </c>
      <c r="D3624" s="5" t="s">
        <v>5433</v>
      </c>
      <c r="E3624" s="6" t="str">
        <f>HYPERLINK("https://inpn.mnhn.fr/espece/cd_nom/30841","Chrysomphalina strombodes (Berk. &amp; Mont.) Clémençon, 1982")</f>
        <v>Chrysomphalina strombodes (Berk. &amp; Mont.) Clémençon, 1982</v>
      </c>
      <c r="V3624" s="7" t="str">
        <f>HYPERLINK("#Liste_rouge!A"&amp;_xlfn.XMATCH("LC",Liste_rouge!A:A,2,1),"LC")</f>
        <v>LC</v>
      </c>
      <c r="AH3624" s="4" t="str">
        <f>HYPERLINK("#Statut_biogéographique!A"&amp;_xlfn.XMATCH("P",Statut_biogéographique!A:A,2,1),"P")</f>
        <v>P</v>
      </c>
      <c r="AP3624" s="4" t="s">
        <v>376</v>
      </c>
      <c r="AR3624" s="4" t="s">
        <v>377</v>
      </c>
    </row>
    <row r="3625" spans="1:44">
      <c r="A3625" s="4" t="s">
        <v>5</v>
      </c>
      <c r="B3625" s="4">
        <v>30850</v>
      </c>
      <c r="C3625" s="4">
        <v>855</v>
      </c>
      <c r="D3625" s="5">
        <v>30850</v>
      </c>
      <c r="E3625" s="6" t="str">
        <f>HYPERLINK("https://inpn.mnhn.fr/espece/cd_nom/30850","Clitocybe graminicola Bon, 1979")</f>
        <v>Clitocybe graminicola Bon, 1979</v>
      </c>
      <c r="V3625" s="7" t="str">
        <f>HYPERLINK("#Liste_rouge!A"&amp;_xlfn.XMATCH("LC",Liste_rouge!A:A,2,1),"LC")</f>
        <v>LC</v>
      </c>
      <c r="AH3625" s="4" t="str">
        <f>HYPERLINK("#Statut_biogéographique!A"&amp;_xlfn.XMATCH("P",Statut_biogéographique!A:A,2,1),"P")</f>
        <v>P</v>
      </c>
      <c r="AP3625" s="4" t="s">
        <v>376</v>
      </c>
      <c r="AR3625" s="4" t="s">
        <v>377</v>
      </c>
    </row>
    <row r="3626" spans="1:44">
      <c r="A3626" s="4" t="s">
        <v>5</v>
      </c>
      <c r="B3626" s="4">
        <v>30861</v>
      </c>
      <c r="C3626" s="4">
        <v>3544</v>
      </c>
      <c r="D3626" s="5">
        <v>30861</v>
      </c>
      <c r="E3626" s="6" t="str">
        <f>HYPERLINK("https://inpn.mnhn.fr/espece/cd_nom/30861","Clitocybe amarescens Harmaja, 1969")</f>
        <v>Clitocybe amarescens Harmaja, 1969</v>
      </c>
      <c r="F3626" s="5" t="s">
        <v>5434</v>
      </c>
      <c r="V3626" s="7" t="str">
        <f>HYPERLINK("#Liste_rouge!A"&amp;_xlfn.XMATCH("EN",Liste_rouge!A:A,2,1),"EN")</f>
        <v>EN</v>
      </c>
      <c r="W3626" s="4" t="str">
        <f>HYPERLINK("#Critères_liste_rouge!A$1","B2abiii")</f>
        <v>B2abiii</v>
      </c>
      <c r="Z3626" s="4" t="s">
        <v>447</v>
      </c>
      <c r="AA3626" s="4" t="s">
        <v>448</v>
      </c>
      <c r="AH3626" s="4" t="str">
        <f>HYPERLINK("#Statut_biogéographique!A"&amp;_xlfn.XMATCH("P",Statut_biogéographique!A:A,2,1),"P")</f>
        <v>P</v>
      </c>
      <c r="AP3626" s="4" t="s">
        <v>376</v>
      </c>
      <c r="AR3626" s="4" t="s">
        <v>377</v>
      </c>
    </row>
    <row r="3627" spans="1:44" ht="30">
      <c r="A3627" s="4" t="s">
        <v>5</v>
      </c>
      <c r="B3627" s="4">
        <v>30863</v>
      </c>
      <c r="C3627" s="4">
        <v>2660</v>
      </c>
      <c r="D3627" s="5" t="s">
        <v>5435</v>
      </c>
      <c r="E3627" s="6" t="str">
        <f>HYPERLINK("https://inpn.mnhn.fr/espece/cd_nom/30863","Clitocybe angustissima (Lasch) P.Kumm., 1871")</f>
        <v>Clitocybe angustissima (Lasch) P.Kumm., 1871</v>
      </c>
      <c r="V3627" s="7" t="str">
        <f>HYPERLINK("#Liste_rouge!A"&amp;_xlfn.XMATCH("NT",Liste_rouge!A:A,2,1),"NT")</f>
        <v>NT</v>
      </c>
      <c r="W3627" s="4" t="str">
        <f>HYPERLINK("#Critères_liste_rouge!A$1","pr. B2abiii")</f>
        <v>pr. B2abiii</v>
      </c>
      <c r="AH3627" s="4" t="str">
        <f>HYPERLINK("#Statut_biogéographique!A"&amp;_xlfn.XMATCH("P",Statut_biogéographique!A:A,2,1),"P")</f>
        <v>P</v>
      </c>
      <c r="AP3627" s="4" t="s">
        <v>376</v>
      </c>
      <c r="AR3627" s="4" t="s">
        <v>377</v>
      </c>
    </row>
    <row r="3628" spans="1:44">
      <c r="A3628" s="4" t="s">
        <v>5</v>
      </c>
      <c r="B3628" s="4">
        <v>30864</v>
      </c>
      <c r="C3628" s="4">
        <v>962</v>
      </c>
      <c r="D3628" s="5" t="s">
        <v>5436</v>
      </c>
      <c r="E3628" s="6" t="str">
        <f>HYPERLINK("https://inpn.mnhn.fr/espece/cd_nom/30864","Clitocybe anisata Velen., 1920")</f>
        <v>Clitocybe anisata Velen., 1920</v>
      </c>
      <c r="F3628" s="5" t="s">
        <v>5437</v>
      </c>
      <c r="V3628" s="7" t="str">
        <f>HYPERLINK("#Liste_rouge!A"&amp;_xlfn.XMATCH("DD",Liste_rouge!A:A,2,1),"DD")</f>
        <v>DD</v>
      </c>
      <c r="AH3628" s="4" t="str">
        <f>HYPERLINK("#Statut_biogéographique!A"&amp;_xlfn.XMATCH("P",Statut_biogéographique!A:A,2,1),"P")</f>
        <v>P</v>
      </c>
      <c r="AP3628" s="4" t="s">
        <v>376</v>
      </c>
      <c r="AR3628" s="4" t="s">
        <v>377</v>
      </c>
    </row>
    <row r="3629" spans="1:44">
      <c r="A3629" s="4" t="s">
        <v>5</v>
      </c>
      <c r="B3629" s="4">
        <v>30870</v>
      </c>
      <c r="C3629" s="4">
        <v>5927</v>
      </c>
      <c r="D3629" s="5" t="s">
        <v>5438</v>
      </c>
      <c r="E3629" s="6" t="str">
        <f>HYPERLINK("https://inpn.mnhn.fr/espece/cd_nom/30870","Clitocybe bresadolana Singer, 1937")</f>
        <v>Clitocybe bresadolana Singer, 1937</v>
      </c>
      <c r="F3629" s="5" t="s">
        <v>5439</v>
      </c>
      <c r="Z3629" s="4" t="s">
        <v>447</v>
      </c>
      <c r="AA3629" s="4" t="s">
        <v>448</v>
      </c>
      <c r="AH3629" s="4" t="str">
        <f>HYPERLINK("#Statut_biogéographique!A"&amp;_xlfn.XMATCH("P",Statut_biogéographique!A:A,2,1),"P")</f>
        <v>P</v>
      </c>
      <c r="AP3629" s="4" t="s">
        <v>376</v>
      </c>
      <c r="AR3629" s="4" t="s">
        <v>377</v>
      </c>
    </row>
    <row r="3630" spans="1:44">
      <c r="A3630" s="4" t="s">
        <v>5</v>
      </c>
      <c r="B3630" s="4">
        <v>30873</v>
      </c>
      <c r="C3630" s="4">
        <v>736</v>
      </c>
      <c r="D3630" s="5" t="s">
        <v>5440</v>
      </c>
      <c r="E3630" s="6" t="str">
        <f>HYPERLINK("https://inpn.mnhn.fr/espece/cd_nom/30873","Clitocybe brumalis (Fr.) Quél., 1872")</f>
        <v>Clitocybe brumalis (Fr.) Quél., 1872</v>
      </c>
      <c r="F3630" s="5" t="s">
        <v>5441</v>
      </c>
      <c r="V3630" s="7" t="str">
        <f>HYPERLINK("#Liste_rouge!A"&amp;_xlfn.XMATCH("LC",Liste_rouge!A:A,2,1),"LC")</f>
        <v>LC</v>
      </c>
      <c r="AH3630" s="4" t="str">
        <f>HYPERLINK("#Statut_biogéographique!A"&amp;_xlfn.XMATCH("P",Statut_biogéographique!A:A,2,1),"P")</f>
        <v>P</v>
      </c>
      <c r="AP3630" s="4" t="s">
        <v>376</v>
      </c>
      <c r="AR3630" s="4" t="s">
        <v>377</v>
      </c>
    </row>
    <row r="3631" spans="1:44">
      <c r="A3631" s="4" t="s">
        <v>5</v>
      </c>
      <c r="B3631" s="4">
        <v>30877</v>
      </c>
      <c r="C3631" s="4">
        <v>3028</v>
      </c>
      <c r="D3631" s="5" t="s">
        <v>5442</v>
      </c>
      <c r="E3631" s="6" t="str">
        <f>HYPERLINK("https://inpn.mnhn.fr/espece/cd_nom/30877","Clitocybe calcarea Velen., 1920")</f>
        <v>Clitocybe calcarea Velen., 1920</v>
      </c>
      <c r="F3631" s="5" t="s">
        <v>5443</v>
      </c>
      <c r="V3631" s="7" t="str">
        <f>HYPERLINK("#Liste_rouge!A"&amp;_xlfn.XMATCH("CR",Liste_rouge!A:A,2,1),"CR")</f>
        <v>CR</v>
      </c>
      <c r="W3631" s="4" t="str">
        <f>HYPERLINK("#Critères_liste_rouge!A$1","B2abiii")</f>
        <v>B2abiii</v>
      </c>
      <c r="Z3631" s="4" t="s">
        <v>512</v>
      </c>
      <c r="AA3631" s="4" t="s">
        <v>513</v>
      </c>
      <c r="AH3631" s="4" t="str">
        <f>HYPERLINK("#Statut_biogéographique!A"&amp;_xlfn.XMATCH("P",Statut_biogéographique!A:A,2,1),"P")</f>
        <v>P</v>
      </c>
      <c r="AP3631" s="4" t="s">
        <v>376</v>
      </c>
      <c r="AR3631" s="4" t="s">
        <v>377</v>
      </c>
    </row>
    <row r="3632" spans="1:44" ht="30">
      <c r="A3632" s="4" t="s">
        <v>5</v>
      </c>
      <c r="B3632" s="4">
        <v>30880</v>
      </c>
      <c r="C3632" s="4">
        <v>164</v>
      </c>
      <c r="D3632" s="5" t="s">
        <v>5444</v>
      </c>
      <c r="E3632" s="6" t="str">
        <f>HYPERLINK("https://inpn.mnhn.fr/espece/cd_nom/30880","Clitocybe catinus (Fr.) Quél., 1872")</f>
        <v>Clitocybe catinus (Fr.) Quél., 1872</v>
      </c>
      <c r="F3632" s="5" t="s">
        <v>5445</v>
      </c>
      <c r="V3632" s="7" t="str">
        <f>HYPERLINK("#Liste_rouge!A"&amp;_xlfn.XMATCH("EN",Liste_rouge!A:A,2,1),"EN")</f>
        <v>EN</v>
      </c>
      <c r="W3632" s="4" t="str">
        <f>HYPERLINK("#Critères_liste_rouge!A$1","B2abiii")</f>
        <v>B2abiii</v>
      </c>
      <c r="Z3632" s="4" t="s">
        <v>447</v>
      </c>
      <c r="AA3632" s="4" t="s">
        <v>448</v>
      </c>
      <c r="AH3632" s="4" t="str">
        <f>HYPERLINK("#Statut_biogéographique!A"&amp;_xlfn.XMATCH("P",Statut_biogéographique!A:A,2,1),"P")</f>
        <v>P</v>
      </c>
      <c r="AP3632" s="4" t="s">
        <v>376</v>
      </c>
      <c r="AR3632" s="4" t="s">
        <v>377</v>
      </c>
    </row>
    <row r="3633" spans="1:44" ht="30">
      <c r="A3633" s="4" t="s">
        <v>5</v>
      </c>
      <c r="B3633" s="4">
        <v>30883</v>
      </c>
      <c r="C3633" s="4">
        <v>335</v>
      </c>
      <c r="D3633" s="5" t="s">
        <v>5446</v>
      </c>
      <c r="E3633" s="6" t="str">
        <f>HYPERLINK("https://inpn.mnhn.fr/espece/cd_nom/30883","Clitocybe cerussata (Fr.) P.Kumm., 1871")</f>
        <v>Clitocybe cerussata (Fr.) P.Kumm., 1871</v>
      </c>
      <c r="F3633" s="5" t="s">
        <v>5447</v>
      </c>
      <c r="V3633" s="7" t="str">
        <f>HYPERLINK("#Liste_rouge!A"&amp;_xlfn.XMATCH("LC",Liste_rouge!A:A,2,1),"LC")</f>
        <v>LC</v>
      </c>
      <c r="AH3633" s="4" t="str">
        <f>HYPERLINK("#Statut_biogéographique!A"&amp;_xlfn.XMATCH("P",Statut_biogéographique!A:A,2,1),"P")</f>
        <v>P</v>
      </c>
      <c r="AP3633" s="4" t="s">
        <v>376</v>
      </c>
      <c r="AR3633" s="4" t="s">
        <v>377</v>
      </c>
    </row>
    <row r="3634" spans="1:44">
      <c r="A3634" s="4" t="s">
        <v>5</v>
      </c>
      <c r="B3634" s="4">
        <v>30893</v>
      </c>
      <c r="C3634" s="4">
        <v>365</v>
      </c>
      <c r="D3634" s="5" t="s">
        <v>5448</v>
      </c>
      <c r="E3634" s="6" t="str">
        <f>HYPERLINK("https://inpn.mnhn.fr/espece/cd_nom/30893","Clitocybe costata Kühner &amp; Romagn., 1954")</f>
        <v>Clitocybe costata Kühner &amp; Romagn., 1954</v>
      </c>
      <c r="F3634" s="5" t="s">
        <v>5449</v>
      </c>
      <c r="V3634" s="7" t="str">
        <f>HYPERLINK("#Liste_rouge!A"&amp;_xlfn.XMATCH("LC",Liste_rouge!A:A,2,1),"LC")</f>
        <v>LC</v>
      </c>
      <c r="AH3634" s="4" t="str">
        <f>HYPERLINK("#Statut_biogéographique!A"&amp;_xlfn.XMATCH("P",Statut_biogéographique!A:A,2,1),"P")</f>
        <v>P</v>
      </c>
      <c r="AP3634" s="4" t="s">
        <v>376</v>
      </c>
      <c r="AR3634" s="4" t="s">
        <v>377</v>
      </c>
    </row>
    <row r="3635" spans="1:44">
      <c r="A3635" s="4" t="s">
        <v>5</v>
      </c>
      <c r="B3635" s="4">
        <v>30897</v>
      </c>
      <c r="C3635" s="4">
        <v>696</v>
      </c>
      <c r="D3635" s="5" t="s">
        <v>5450</v>
      </c>
      <c r="E3635" s="6" t="str">
        <f>HYPERLINK("https://inpn.mnhn.fr/espece/cd_nom/30897","Clitocybe dealbata (Sowerby) P.Kumm., 1871")</f>
        <v>Clitocybe dealbata (Sowerby) P.Kumm., 1871</v>
      </c>
      <c r="F3635" s="5" t="s">
        <v>5451</v>
      </c>
      <c r="V3635" s="7" t="str">
        <f>HYPERLINK("#Liste_rouge!A"&amp;_xlfn.XMATCH("LC",Liste_rouge!A:A,2,1),"LC")</f>
        <v>LC</v>
      </c>
      <c r="AH3635" s="4" t="str">
        <f>HYPERLINK("#Statut_biogéographique!A"&amp;_xlfn.XMATCH("P",Statut_biogéographique!A:A,2,1),"P")</f>
        <v>P</v>
      </c>
      <c r="AP3635" s="4" t="s">
        <v>376</v>
      </c>
      <c r="AR3635" s="4" t="s">
        <v>377</v>
      </c>
    </row>
    <row r="3636" spans="1:44" ht="30">
      <c r="A3636" s="4" t="s">
        <v>5</v>
      </c>
      <c r="B3636" s="4">
        <v>30903</v>
      </c>
      <c r="C3636" s="4">
        <v>2359</v>
      </c>
      <c r="D3636" s="5" t="s">
        <v>5452</v>
      </c>
      <c r="E3636" s="6" t="str">
        <f>HYPERLINK("https://inpn.mnhn.fr/espece/cd_nom/30903","Hemimycena tortuosa (P.D.Orton) Redhead, 1980")</f>
        <v>Hemimycena tortuosa (P.D.Orton) Redhead, 1980</v>
      </c>
      <c r="F3636" s="5" t="s">
        <v>5453</v>
      </c>
      <c r="V3636" s="7" t="str">
        <f>HYPERLINK("#Liste_rouge!A"&amp;_xlfn.XMATCH("DD",Liste_rouge!A:A,2,1),"DD")</f>
        <v>DD</v>
      </c>
      <c r="AH3636" s="4" t="str">
        <f>HYPERLINK("#Statut_biogéographique!A"&amp;_xlfn.XMATCH("P",Statut_biogéographique!A:A,2,1),"P")</f>
        <v>P</v>
      </c>
      <c r="AP3636" s="4" t="s">
        <v>376</v>
      </c>
      <c r="AR3636" s="4" t="s">
        <v>377</v>
      </c>
    </row>
    <row r="3637" spans="1:44" ht="30">
      <c r="A3637" s="4" t="s">
        <v>5</v>
      </c>
      <c r="B3637" s="4">
        <v>30907</v>
      </c>
      <c r="C3637" s="4">
        <v>2317</v>
      </c>
      <c r="D3637" s="5" t="s">
        <v>5454</v>
      </c>
      <c r="E3637" s="6" t="str">
        <f>HYPERLINK("https://inpn.mnhn.fr/espece/cd_nom/30907","Hydropus atramentosus (Kalchbr.) Kotl. &amp; Pouzar, 1962")</f>
        <v>Hydropus atramentosus (Kalchbr.) Kotl. &amp; Pouzar, 1962</v>
      </c>
      <c r="F3637" s="5" t="s">
        <v>5455</v>
      </c>
      <c r="V3637" s="7" t="str">
        <f>HYPERLINK("#Liste_rouge!A"&amp;_xlfn.XMATCH("LC",Liste_rouge!A:A,2,1),"LC")</f>
        <v>LC</v>
      </c>
      <c r="Z3637" s="4" t="s">
        <v>447</v>
      </c>
      <c r="AA3637" s="4" t="s">
        <v>448</v>
      </c>
      <c r="AH3637" s="4" t="str">
        <f>HYPERLINK("#Statut_biogéographique!A"&amp;_xlfn.XMATCH("P",Statut_biogéographique!A:A,2,1),"P")</f>
        <v>P</v>
      </c>
      <c r="AP3637" s="4" t="s">
        <v>376</v>
      </c>
      <c r="AR3637" s="4" t="s">
        <v>377</v>
      </c>
    </row>
    <row r="3638" spans="1:44">
      <c r="A3638" s="4" t="s">
        <v>5</v>
      </c>
      <c r="B3638" s="4">
        <v>30917</v>
      </c>
      <c r="C3638" s="4">
        <v>3037</v>
      </c>
      <c r="D3638" s="5" t="s">
        <v>5456</v>
      </c>
      <c r="E3638" s="6" t="str">
        <f>HYPERLINK("https://inpn.mnhn.fr/espece/cd_nom/30917","Hydropus marginellus (Pers.) Singer, 1948")</f>
        <v>Hydropus marginellus (Pers.) Singer, 1948</v>
      </c>
      <c r="F3638" s="5" t="s">
        <v>5457</v>
      </c>
      <c r="V3638" s="7" t="str">
        <f>HYPERLINK("#Liste_rouge!A"&amp;_xlfn.XMATCH("LC",Liste_rouge!A:A,2,1),"LC")</f>
        <v>LC</v>
      </c>
      <c r="Z3638" s="4" t="s">
        <v>447</v>
      </c>
      <c r="AA3638" s="4" t="s">
        <v>448</v>
      </c>
      <c r="AH3638" s="4" t="str">
        <f>HYPERLINK("#Statut_biogéographique!A"&amp;_xlfn.XMATCH("P",Statut_biogéographique!A:A,2,1),"P")</f>
        <v>P</v>
      </c>
      <c r="AP3638" s="4" t="s">
        <v>376</v>
      </c>
      <c r="AR3638" s="4" t="s">
        <v>377</v>
      </c>
    </row>
    <row r="3639" spans="1:44">
      <c r="A3639" s="4" t="s">
        <v>5</v>
      </c>
      <c r="B3639" s="4">
        <v>30926</v>
      </c>
      <c r="C3639" s="4">
        <v>3453</v>
      </c>
      <c r="D3639" s="5" t="s">
        <v>5458</v>
      </c>
      <c r="E3639" s="6" t="str">
        <f>HYPERLINK("https://inpn.mnhn.fr/espece/cd_nom/30926","Hydropus subalpinus (Höhn.) Singer, 1962")</f>
        <v>Hydropus subalpinus (Höhn.) Singer, 1962</v>
      </c>
      <c r="F3639" s="5" t="s">
        <v>5459</v>
      </c>
      <c r="V3639" s="7" t="str">
        <f>HYPERLINK("#Liste_rouge!A"&amp;_xlfn.XMATCH("LC",Liste_rouge!A:A,2,1),"LC")</f>
        <v>LC</v>
      </c>
      <c r="AH3639" s="4" t="str">
        <f>HYPERLINK("#Statut_biogéographique!A"&amp;_xlfn.XMATCH("P",Statut_biogéographique!A:A,2,1),"P")</f>
        <v>P</v>
      </c>
      <c r="AP3639" s="4" t="s">
        <v>376</v>
      </c>
      <c r="AR3639" s="4" t="s">
        <v>377</v>
      </c>
    </row>
    <row r="3640" spans="1:44">
      <c r="A3640" s="4" t="s">
        <v>5</v>
      </c>
      <c r="B3640" s="4">
        <v>30929</v>
      </c>
      <c r="C3640" s="4">
        <v>3308</v>
      </c>
      <c r="D3640" s="5" t="s">
        <v>5460</v>
      </c>
      <c r="E3640" s="6" t="str">
        <f>HYPERLINK("https://inpn.mnhn.fr/espece/cd_nom/30929","Hydropus trichoderma (Joss.) Singer, 1962")</f>
        <v>Hydropus trichoderma (Joss.) Singer, 1962</v>
      </c>
      <c r="V3640" s="7" t="str">
        <f>HYPERLINK("#Liste_rouge!A"&amp;_xlfn.XMATCH("NT",Liste_rouge!A:A,2,1),"NT")</f>
        <v>NT</v>
      </c>
      <c r="W3640" s="4" t="str">
        <f>HYPERLINK("#Critères_liste_rouge!A$1","pr. B2abiii")</f>
        <v>pr. B2abiii</v>
      </c>
      <c r="AH3640" s="4" t="str">
        <f>HYPERLINK("#Statut_biogéographique!A"&amp;_xlfn.XMATCH("P",Statut_biogéographique!A:A,2,1),"P")</f>
        <v>P</v>
      </c>
      <c r="AP3640" s="4" t="s">
        <v>376</v>
      </c>
      <c r="AR3640" s="4" t="s">
        <v>377</v>
      </c>
    </row>
    <row r="3641" spans="1:44">
      <c r="A3641" s="4" t="s">
        <v>5</v>
      </c>
      <c r="B3641" s="4">
        <v>30943</v>
      </c>
      <c r="D3641" s="5" t="s">
        <v>5461</v>
      </c>
      <c r="E3641" s="6" t="str">
        <f>HYPERLINK("https://inpn.mnhn.fr/espece/cd_nom/30943","Marasmiellus trabutii (Maire) Singer, 1951")</f>
        <v>Marasmiellus trabutii (Maire) Singer, 1951</v>
      </c>
      <c r="V3641" s="7" t="str">
        <f>HYPERLINK("#Liste_rouge!A"&amp;_xlfn.XMATCH("EN",Liste_rouge!A:A,2,1),"EN")</f>
        <v>EN</v>
      </c>
      <c r="W3641" s="4" t="str">
        <f>HYPERLINK("#Critères_liste_rouge!A$1","B2abiii")</f>
        <v>B2abiii</v>
      </c>
      <c r="AH3641" s="4" t="str">
        <f>HYPERLINK("#Statut_biogéographique!A"&amp;_xlfn.XMATCH("P",Statut_biogéographique!A:A,2,1),"P")</f>
        <v>P</v>
      </c>
      <c r="AP3641" s="4" t="s">
        <v>376</v>
      </c>
      <c r="AR3641" s="4" t="s">
        <v>377</v>
      </c>
    </row>
    <row r="3642" spans="1:44">
      <c r="A3642" s="4" t="s">
        <v>5</v>
      </c>
      <c r="B3642" s="4">
        <v>30946</v>
      </c>
      <c r="D3642" s="5" t="s">
        <v>5462</v>
      </c>
      <c r="E3642" s="6" t="str">
        <f>HYPERLINK("https://inpn.mnhn.fr/espece/cd_nom/30946","Marasmiellus candidus (Fr.) Singer, 1948")</f>
        <v>Marasmiellus candidus (Fr.) Singer, 1948</v>
      </c>
      <c r="V3642" s="7" t="str">
        <f>HYPERLINK("#Liste_rouge!A"&amp;_xlfn.XMATCH("LC",Liste_rouge!A:A,2,1),"LC")</f>
        <v>LC</v>
      </c>
      <c r="AH3642" s="4" t="str">
        <f>HYPERLINK("#Statut_biogéographique!A"&amp;_xlfn.XMATCH("P",Statut_biogéographique!A:A,2,1),"P")</f>
        <v>P</v>
      </c>
      <c r="AP3642" s="4" t="s">
        <v>376</v>
      </c>
      <c r="AR3642" s="4" t="s">
        <v>377</v>
      </c>
    </row>
    <row r="3643" spans="1:44" ht="30">
      <c r="A3643" s="4" t="s">
        <v>5</v>
      </c>
      <c r="B3643" s="4">
        <v>30959</v>
      </c>
      <c r="D3643" s="5" t="s">
        <v>5463</v>
      </c>
      <c r="E3643" s="6" t="str">
        <f>HYPERLINK("https://inpn.mnhn.fr/espece/cd_nom/30959","Marasmiellus ramealis (Bull.) Singer, 1948")</f>
        <v>Marasmiellus ramealis (Bull.) Singer, 1948</v>
      </c>
      <c r="V3643" s="7" t="str">
        <f>HYPERLINK("#Liste_rouge!A"&amp;_xlfn.XMATCH("LC",Liste_rouge!A:A,2,1),"LC")</f>
        <v>LC</v>
      </c>
      <c r="AH3643" s="4" t="str">
        <f>HYPERLINK("#Statut_biogéographique!A"&amp;_xlfn.XMATCH("P",Statut_biogéographique!A:A,2,1),"P")</f>
        <v>P</v>
      </c>
      <c r="AP3643" s="4" t="s">
        <v>376</v>
      </c>
      <c r="AR3643" s="4" t="s">
        <v>377</v>
      </c>
    </row>
    <row r="3644" spans="1:44" ht="45">
      <c r="A3644" s="4" t="s">
        <v>5</v>
      </c>
      <c r="B3644" s="4">
        <v>30971</v>
      </c>
      <c r="D3644" s="5" t="s">
        <v>5464</v>
      </c>
      <c r="E3644" s="6" t="str">
        <f>HYPERLINK("https://inpn.mnhn.fr/espece/cd_nom/30971","Marasmiellus vaillantii (Pers.) Singer, 1973")</f>
        <v>Marasmiellus vaillantii (Pers.) Singer, 1973</v>
      </c>
      <c r="V3644" s="7" t="str">
        <f>HYPERLINK("#Liste_rouge!A"&amp;_xlfn.XMATCH("NT",Liste_rouge!A:A,2,1),"NT")</f>
        <v>NT</v>
      </c>
      <c r="W3644" s="4" t="str">
        <f>HYPERLINK("#Critères_liste_rouge!A$1","pr. B2abiii")</f>
        <v>pr. B2abiii</v>
      </c>
      <c r="AH3644" s="4" t="str">
        <f>HYPERLINK("#Statut_biogéographique!A"&amp;_xlfn.XMATCH("P",Statut_biogéographique!A:A,2,1),"P")</f>
        <v>P</v>
      </c>
      <c r="AP3644" s="4" t="s">
        <v>376</v>
      </c>
      <c r="AR3644" s="4" t="s">
        <v>377</v>
      </c>
    </row>
    <row r="3645" spans="1:44">
      <c r="A3645" s="4" t="s">
        <v>5</v>
      </c>
      <c r="B3645" s="4">
        <v>30988</v>
      </c>
      <c r="D3645" s="5" t="s">
        <v>5465</v>
      </c>
      <c r="E3645" s="6" t="str">
        <f>HYPERLINK("https://inpn.mnhn.fr/espece/cd_nom/30988","Marasmius bulliardii Quél., 1878")</f>
        <v>Marasmius bulliardii Quél., 1878</v>
      </c>
      <c r="V3645" s="7" t="str">
        <f>HYPERLINK("#Liste_rouge!A"&amp;_xlfn.XMATCH("LC",Liste_rouge!A:A,2,1),"LC")</f>
        <v>LC</v>
      </c>
      <c r="AH3645" s="4" t="str">
        <f>HYPERLINK("#Statut_biogéographique!A"&amp;_xlfn.XMATCH("P",Statut_biogéographique!A:A,2,1),"P")</f>
        <v>P</v>
      </c>
      <c r="AP3645" s="4" t="s">
        <v>376</v>
      </c>
      <c r="AR3645" s="4" t="s">
        <v>377</v>
      </c>
    </row>
    <row r="3646" spans="1:44">
      <c r="A3646" s="4" t="s">
        <v>5</v>
      </c>
      <c r="B3646" s="4">
        <v>30991</v>
      </c>
      <c r="D3646" s="5" t="s">
        <v>5466</v>
      </c>
      <c r="E3646" s="6" t="str">
        <f>HYPERLINK("https://inpn.mnhn.fr/espece/cd_nom/30991","Marasmius wettsteinii Sacc. &amp; P.Syd., 1899")</f>
        <v>Marasmius wettsteinii Sacc. &amp; P.Syd., 1899</v>
      </c>
      <c r="V3646" s="7" t="str">
        <f>HYPERLINK("#Liste_rouge!A"&amp;_xlfn.XMATCH("LC",Liste_rouge!A:A,2,1),"LC")</f>
        <v>LC</v>
      </c>
      <c r="AH3646" s="4" t="str">
        <f>HYPERLINK("#Statut_biogéographique!A"&amp;_xlfn.XMATCH("P",Statut_biogéographique!A:A,2,1),"P")</f>
        <v>P</v>
      </c>
      <c r="AP3646" s="4" t="s">
        <v>376</v>
      </c>
      <c r="AR3646" s="4" t="s">
        <v>377</v>
      </c>
    </row>
    <row r="3647" spans="1:44">
      <c r="A3647" s="4" t="s">
        <v>5</v>
      </c>
      <c r="B3647" s="4">
        <v>30992</v>
      </c>
      <c r="D3647" s="5" t="s">
        <v>5467</v>
      </c>
      <c r="E3647" s="6" t="str">
        <f>HYPERLINK("https://inpn.mnhn.fr/espece/cd_nom/30992","Marasmius buxi Fr., 1872")</f>
        <v>Marasmius buxi Fr., 1872</v>
      </c>
      <c r="V3647" s="7" t="str">
        <f>HYPERLINK("#Liste_rouge!A"&amp;_xlfn.XMATCH("EN",Liste_rouge!A:A,2,1),"EN")</f>
        <v>EN</v>
      </c>
      <c r="W3647" s="4" t="str">
        <f>HYPERLINK("#Critères_liste_rouge!A$1","B2abiii")</f>
        <v>B2abiii</v>
      </c>
      <c r="AH3647" s="4" t="str">
        <f>HYPERLINK("#Statut_biogéographique!A"&amp;_xlfn.XMATCH("P",Statut_biogéographique!A:A,2,1),"P")</f>
        <v>P</v>
      </c>
      <c r="AP3647" s="4" t="s">
        <v>376</v>
      </c>
      <c r="AR3647" s="4" t="s">
        <v>377</v>
      </c>
    </row>
    <row r="3648" spans="1:44" ht="30">
      <c r="A3648" s="4" t="s">
        <v>5</v>
      </c>
      <c r="B3648" s="4">
        <v>31000</v>
      </c>
      <c r="D3648" s="5" t="s">
        <v>5468</v>
      </c>
      <c r="E3648" s="6" t="str">
        <f>HYPERLINK("https://inpn.mnhn.fr/espece/cd_nom/31000","Marasmius cohaerens (Pers.) Cooke &amp; Quél., 1878")</f>
        <v>Marasmius cohaerens (Pers.) Cooke &amp; Quél., 1878</v>
      </c>
      <c r="V3648" s="7" t="str">
        <f>HYPERLINK("#Liste_rouge!A"&amp;_xlfn.XMATCH("LC",Liste_rouge!A:A,2,1),"LC")</f>
        <v>LC</v>
      </c>
      <c r="AH3648" s="4" t="str">
        <f>HYPERLINK("#Statut_biogéographique!A"&amp;_xlfn.XMATCH("P",Statut_biogéographique!A:A,2,1),"P")</f>
        <v>P</v>
      </c>
      <c r="AP3648" s="4" t="s">
        <v>376</v>
      </c>
      <c r="AR3648" s="4" t="s">
        <v>377</v>
      </c>
    </row>
    <row r="3649" spans="1:44">
      <c r="A3649" s="4" t="s">
        <v>5</v>
      </c>
      <c r="B3649" s="4">
        <v>31009</v>
      </c>
      <c r="D3649" s="5" t="s">
        <v>5469</v>
      </c>
      <c r="E3649" s="6" t="str">
        <f>HYPERLINK("https://inpn.mnhn.fr/espece/cd_nom/31009","Marasmius curreyi Berk. &amp; Broome, 1879")</f>
        <v>Marasmius curreyi Berk. &amp; Broome, 1879</v>
      </c>
      <c r="V3649" s="7" t="str">
        <f>HYPERLINK("#Liste_rouge!A"&amp;_xlfn.XMATCH("EN",Liste_rouge!A:A,2,1),"EN")</f>
        <v>EN</v>
      </c>
      <c r="W3649" s="4" t="str">
        <f>HYPERLINK("#Critères_liste_rouge!A$1","A2c")</f>
        <v>A2c</v>
      </c>
      <c r="AH3649" s="4" t="str">
        <f>HYPERLINK("#Statut_biogéographique!A"&amp;_xlfn.XMATCH("P",Statut_biogéographique!A:A,2,1),"P")</f>
        <v>P</v>
      </c>
      <c r="AP3649" s="4" t="s">
        <v>376</v>
      </c>
      <c r="AR3649" s="4" t="s">
        <v>377</v>
      </c>
    </row>
    <row r="3650" spans="1:44" ht="30">
      <c r="A3650" s="4" t="s">
        <v>5</v>
      </c>
      <c r="B3650" s="4">
        <v>31011</v>
      </c>
      <c r="D3650" s="5" t="s">
        <v>5470</v>
      </c>
      <c r="E3650" s="6" t="str">
        <f>HYPERLINK("https://inpn.mnhn.fr/espece/cd_nom/31011","Marasmius epiphyllus (Pers.) Fr., 1838")</f>
        <v>Marasmius epiphyllus (Pers.) Fr., 1838</v>
      </c>
      <c r="V3650" s="7" t="str">
        <f>HYPERLINK("#Liste_rouge!A"&amp;_xlfn.XMATCH("LC",Liste_rouge!A:A,2,1),"LC")</f>
        <v>LC</v>
      </c>
      <c r="AH3650" s="4" t="str">
        <f>HYPERLINK("#Statut_biogéographique!A"&amp;_xlfn.XMATCH("P",Statut_biogéographique!A:A,2,1),"P")</f>
        <v>P</v>
      </c>
      <c r="AP3650" s="4" t="s">
        <v>376</v>
      </c>
      <c r="AR3650" s="4" t="s">
        <v>377</v>
      </c>
    </row>
    <row r="3651" spans="1:44" ht="30">
      <c r="A3651" s="4" t="s">
        <v>5</v>
      </c>
      <c r="B3651" s="4">
        <v>31021</v>
      </c>
      <c r="D3651" s="5" t="s">
        <v>5471</v>
      </c>
      <c r="E3651" s="6" t="str">
        <f>HYPERLINK("https://inpn.mnhn.fr/espece/cd_nom/31021","Marasmius epiphylloides (Rea) Sacc. &amp; Trotter, 1925")</f>
        <v>Marasmius epiphylloides (Rea) Sacc. &amp; Trotter, 1925</v>
      </c>
      <c r="V3651" s="7" t="str">
        <f>HYPERLINK("#Liste_rouge!A"&amp;_xlfn.XMATCH("EN",Liste_rouge!A:A,2,1),"EN")</f>
        <v>EN</v>
      </c>
      <c r="W3651" s="4" t="str">
        <f>HYPERLINK("#Critères_liste_rouge!A$1","B2abiii")</f>
        <v>B2abiii</v>
      </c>
      <c r="AH3651" s="4" t="str">
        <f>HYPERLINK("#Statut_biogéographique!A"&amp;_xlfn.XMATCH("P",Statut_biogéographique!A:A,2,1),"P")</f>
        <v>P</v>
      </c>
      <c r="AP3651" s="4" t="s">
        <v>376</v>
      </c>
      <c r="AR3651" s="4" t="s">
        <v>377</v>
      </c>
    </row>
    <row r="3652" spans="1:44">
      <c r="A3652" s="4" t="s">
        <v>5</v>
      </c>
      <c r="B3652" s="4">
        <v>31030</v>
      </c>
      <c r="D3652" s="5">
        <v>31030</v>
      </c>
      <c r="E3652" s="6" t="str">
        <f>HYPERLINK("https://inpn.mnhn.fr/espece/cd_nom/31030","Marasmius limosus Quél., 1878")</f>
        <v>Marasmius limosus Quél., 1878</v>
      </c>
      <c r="V3652" s="7" t="str">
        <f>HYPERLINK("#Liste_rouge!A"&amp;_xlfn.XMATCH("LC",Liste_rouge!A:A,2,1),"LC")</f>
        <v>LC</v>
      </c>
      <c r="AH3652" s="4" t="str">
        <f>HYPERLINK("#Statut_biogéographique!A"&amp;_xlfn.XMATCH("P",Statut_biogéographique!A:A,2,1),"P")</f>
        <v>P</v>
      </c>
      <c r="AP3652" s="4" t="s">
        <v>376</v>
      </c>
      <c r="AR3652" s="4" t="s">
        <v>377</v>
      </c>
    </row>
    <row r="3653" spans="1:44" ht="30">
      <c r="A3653" s="4" t="s">
        <v>5</v>
      </c>
      <c r="B3653" s="4">
        <v>31038</v>
      </c>
      <c r="D3653" s="5" t="s">
        <v>5472</v>
      </c>
      <c r="E3653" s="6" t="str">
        <f>HYPERLINK("https://inpn.mnhn.fr/espece/cd_nom/31038","Marasmius oreades (Bolton) Fr., 1836")</f>
        <v>Marasmius oreades (Bolton) Fr., 1836</v>
      </c>
      <c r="F3653" s="5" t="s">
        <v>5473</v>
      </c>
      <c r="V3653" s="7" t="str">
        <f>HYPERLINK("#Liste_rouge!A"&amp;_xlfn.XMATCH("NT",Liste_rouge!A:A,2,1),"NT")</f>
        <v>NT</v>
      </c>
      <c r="W3653" s="4" t="str">
        <f>HYPERLINK("#Critères_liste_rouge!A$1","pr. A2c")</f>
        <v>pr. A2c</v>
      </c>
      <c r="AH3653" s="4" t="str">
        <f>HYPERLINK("#Statut_biogéographique!A"&amp;_xlfn.XMATCH("P",Statut_biogéographique!A:A,2,1),"P")</f>
        <v>P</v>
      </c>
      <c r="AP3653" s="4" t="s">
        <v>376</v>
      </c>
      <c r="AR3653" s="4" t="s">
        <v>377</v>
      </c>
    </row>
    <row r="3654" spans="1:44">
      <c r="A3654" s="4" t="s">
        <v>5</v>
      </c>
      <c r="B3654" s="4">
        <v>31043</v>
      </c>
      <c r="D3654" s="5" t="s">
        <v>5474</v>
      </c>
      <c r="E3654" s="6" t="str">
        <f>HYPERLINK("https://inpn.mnhn.fr/espece/cd_nom/31043","Marasmius querceus Britzelm., 1896")</f>
        <v>Marasmius querceus Britzelm., 1896</v>
      </c>
      <c r="V3654" s="7" t="str">
        <f>HYPERLINK("#Liste_rouge!A"&amp;_xlfn.XMATCH("LC",Liste_rouge!A:A,2,1),"LC")</f>
        <v>LC</v>
      </c>
      <c r="AH3654" s="4" t="str">
        <f>HYPERLINK("#Statut_biogéographique!A"&amp;_xlfn.XMATCH("P",Statut_biogéographique!A:A,2,1),"P")</f>
        <v>P</v>
      </c>
      <c r="AP3654" s="4" t="s">
        <v>376</v>
      </c>
      <c r="AR3654" s="4" t="s">
        <v>377</v>
      </c>
    </row>
    <row r="3655" spans="1:44">
      <c r="A3655" s="4" t="s">
        <v>5</v>
      </c>
      <c r="B3655" s="4">
        <v>31052</v>
      </c>
      <c r="D3655" s="5" t="s">
        <v>5475</v>
      </c>
      <c r="E3655" s="6" t="str">
        <f>HYPERLINK("https://inpn.mnhn.fr/espece/cd_nom/31052","Marasmius rotula (Scop.) Fr., 1838")</f>
        <v>Marasmius rotula (Scop.) Fr., 1838</v>
      </c>
      <c r="F3655" s="5" t="s">
        <v>2867</v>
      </c>
      <c r="V3655" s="7" t="str">
        <f>HYPERLINK("#Liste_rouge!A"&amp;_xlfn.XMATCH("LC",Liste_rouge!A:A,2,1),"LC")</f>
        <v>LC</v>
      </c>
      <c r="AH3655" s="4" t="str">
        <f>HYPERLINK("#Statut_biogéographique!A"&amp;_xlfn.XMATCH("P",Statut_biogéographique!A:A,2,1),"P")</f>
        <v>P</v>
      </c>
      <c r="AP3655" s="4" t="s">
        <v>376</v>
      </c>
      <c r="AR3655" s="4" t="s">
        <v>377</v>
      </c>
    </row>
    <row r="3656" spans="1:44">
      <c r="A3656" s="4" t="s">
        <v>5</v>
      </c>
      <c r="B3656" s="4">
        <v>31055</v>
      </c>
      <c r="D3656" s="5" t="s">
        <v>5476</v>
      </c>
      <c r="E3656" s="6" t="str">
        <f>HYPERLINK("https://inpn.mnhn.fr/espece/cd_nom/31055","Marasmius saccharinus (Batsch) Fr., 1838")</f>
        <v>Marasmius saccharinus (Batsch) Fr., 1838</v>
      </c>
      <c r="V3656" s="7" t="str">
        <f>HYPERLINK("#Liste_rouge!A"&amp;_xlfn.XMATCH("LC",Liste_rouge!A:A,2,1),"LC")</f>
        <v>LC</v>
      </c>
      <c r="AH3656" s="4" t="str">
        <f>HYPERLINK("#Statut_biogéographique!A"&amp;_xlfn.XMATCH("P",Statut_biogéographique!A:A,2,1),"P")</f>
        <v>P</v>
      </c>
      <c r="AP3656" s="4" t="s">
        <v>376</v>
      </c>
      <c r="AR3656" s="4" t="s">
        <v>377</v>
      </c>
    </row>
    <row r="3657" spans="1:44" ht="30">
      <c r="A3657" s="4" t="s">
        <v>5</v>
      </c>
      <c r="B3657" s="4">
        <v>31056</v>
      </c>
      <c r="D3657" s="5" t="s">
        <v>5477</v>
      </c>
      <c r="E3657" s="6" t="str">
        <f>HYPERLINK("https://inpn.mnhn.fr/espece/cd_nom/31056","Marasmius scorodonius (Fr.) Fr., 1836")</f>
        <v>Marasmius scorodonius (Fr.) Fr., 1836</v>
      </c>
      <c r="V3657" s="7" t="str">
        <f>HYPERLINK("#Liste_rouge!A"&amp;_xlfn.XMATCH("NT",Liste_rouge!A:A,2,1),"NT")</f>
        <v>NT</v>
      </c>
      <c r="W3657" s="4" t="str">
        <f>HYPERLINK("#Critères_liste_rouge!A$1","pr. B2abiii")</f>
        <v>pr. B2abiii</v>
      </c>
      <c r="AH3657" s="4" t="str">
        <f>HYPERLINK("#Statut_biogéographique!A"&amp;_xlfn.XMATCH("P",Statut_biogéographique!A:A,2,1),"P")</f>
        <v>P</v>
      </c>
      <c r="AP3657" s="4" t="s">
        <v>376</v>
      </c>
      <c r="AR3657" s="4" t="s">
        <v>377</v>
      </c>
    </row>
    <row r="3658" spans="1:44" ht="30">
      <c r="A3658" s="4" t="s">
        <v>5</v>
      </c>
      <c r="B3658" s="4">
        <v>31076</v>
      </c>
      <c r="D3658" s="5" t="s">
        <v>5478</v>
      </c>
      <c r="E3658" s="6" t="str">
        <f>HYPERLINK("https://inpn.mnhn.fr/espece/cd_nom/31076","Megacollybia platyphylla (Pers.) Kotl. &amp; Pouzar, 1972")</f>
        <v>Megacollybia platyphylla (Pers.) Kotl. &amp; Pouzar, 1972</v>
      </c>
      <c r="F3658" s="5" t="s">
        <v>4318</v>
      </c>
      <c r="V3658" s="7" t="str">
        <f>HYPERLINK("#Liste_rouge!A"&amp;_xlfn.XMATCH("LC",Liste_rouge!A:A,2,1),"LC")</f>
        <v>LC</v>
      </c>
      <c r="AH3658" s="4" t="str">
        <f>HYPERLINK("#Statut_biogéographique!A"&amp;_xlfn.XMATCH("P",Statut_biogéographique!A:A,2,1),"P")</f>
        <v>P</v>
      </c>
      <c r="AP3658" s="4" t="s">
        <v>376</v>
      </c>
      <c r="AR3658" s="4" t="s">
        <v>377</v>
      </c>
    </row>
    <row r="3659" spans="1:44">
      <c r="A3659" s="4" t="s">
        <v>5</v>
      </c>
      <c r="B3659" s="4">
        <v>31097</v>
      </c>
      <c r="D3659" s="5" t="s">
        <v>5479</v>
      </c>
      <c r="E3659" s="6" t="str">
        <f>HYPERLINK("https://inpn.mnhn.fr/espece/cd_nom/31097","Mycena abramsii (Murrill) Murrill, 1916")</f>
        <v>Mycena abramsii (Murrill) Murrill, 1916</v>
      </c>
      <c r="V3659" s="7" t="str">
        <f>HYPERLINK("#Liste_rouge!A"&amp;_xlfn.XMATCH("LC",Liste_rouge!A:A,2,1),"LC")</f>
        <v>LC</v>
      </c>
      <c r="AH3659" s="4" t="str">
        <f>HYPERLINK("#Statut_biogéographique!A"&amp;_xlfn.XMATCH("P",Statut_biogéographique!A:A,2,1),"P")</f>
        <v>P</v>
      </c>
      <c r="AP3659" s="4" t="s">
        <v>376</v>
      </c>
      <c r="AR3659" s="4" t="s">
        <v>377</v>
      </c>
    </row>
    <row r="3660" spans="1:44" ht="30">
      <c r="A3660" s="4" t="s">
        <v>5</v>
      </c>
      <c r="B3660" s="4">
        <v>31102</v>
      </c>
      <c r="D3660" s="5" t="s">
        <v>5480</v>
      </c>
      <c r="E3660" s="6" t="str">
        <f>HYPERLINK("https://inpn.mnhn.fr/espece/cd_nom/31102","Mycena acicula (Schaeff.) P.Kumm., 1871")</f>
        <v>Mycena acicula (Schaeff.) P.Kumm., 1871</v>
      </c>
      <c r="AH3660" s="4" t="str">
        <f>HYPERLINK("#Statut_biogéographique!A"&amp;_xlfn.XMATCH("P",Statut_biogéographique!A:A,2,1),"P")</f>
        <v>P</v>
      </c>
      <c r="AP3660" s="4" t="s">
        <v>376</v>
      </c>
      <c r="AR3660" s="4" t="s">
        <v>377</v>
      </c>
    </row>
    <row r="3661" spans="1:44">
      <c r="A3661" s="4" t="s">
        <v>5</v>
      </c>
      <c r="B3661" s="4">
        <v>31111</v>
      </c>
      <c r="D3661" s="5" t="s">
        <v>5481</v>
      </c>
      <c r="E3661" s="6" t="str">
        <f>HYPERLINK("https://inpn.mnhn.fr/espece/cd_nom/31111","Mycena aetites (Fr.) Quél., 1872")</f>
        <v>Mycena aetites (Fr.) Quél., 1872</v>
      </c>
      <c r="V3661" s="7" t="str">
        <f>HYPERLINK("#Liste_rouge!A"&amp;_xlfn.XMATCH("NT",Liste_rouge!A:A,2,1),"NT")</f>
        <v>NT</v>
      </c>
      <c r="W3661" s="4" t="str">
        <f>HYPERLINK("#Critères_liste_rouge!A$1","pr. A2c")</f>
        <v>pr. A2c</v>
      </c>
      <c r="AH3661" s="4" t="str">
        <f>HYPERLINK("#Statut_biogéographique!A"&amp;_xlfn.XMATCH("P",Statut_biogéographique!A:A,2,1),"P")</f>
        <v>P</v>
      </c>
      <c r="AP3661" s="4" t="s">
        <v>376</v>
      </c>
      <c r="AR3661" s="4" t="s">
        <v>377</v>
      </c>
    </row>
    <row r="3662" spans="1:44">
      <c r="A3662" s="4" t="s">
        <v>5</v>
      </c>
      <c r="B3662" s="4">
        <v>31117</v>
      </c>
      <c r="D3662" s="5">
        <v>31117</v>
      </c>
      <c r="E3662" s="6" t="str">
        <f>HYPERLINK("https://inpn.mnhn.fr/espece/cd_nom/31117","Mycena albidolilacea Kühner &amp; Maire, 1938")</f>
        <v>Mycena albidolilacea Kühner &amp; Maire, 1938</v>
      </c>
      <c r="V3662" s="7" t="str">
        <f>HYPERLINK("#Liste_rouge!A"&amp;_xlfn.XMATCH("DD",Liste_rouge!A:A,2,1),"DD")</f>
        <v>DD</v>
      </c>
      <c r="AH3662" s="4" t="str">
        <f>HYPERLINK("#Statut_biogéographique!A"&amp;_xlfn.XMATCH("P",Statut_biogéographique!A:A,2,1),"P")</f>
        <v>P</v>
      </c>
      <c r="AP3662" s="4" t="s">
        <v>376</v>
      </c>
      <c r="AR3662" s="4" t="s">
        <v>377</v>
      </c>
    </row>
    <row r="3663" spans="1:44" ht="30">
      <c r="A3663" s="4" t="s">
        <v>5</v>
      </c>
      <c r="B3663" s="4">
        <v>31133</v>
      </c>
      <c r="C3663" s="4">
        <v>732</v>
      </c>
      <c r="D3663" s="5" t="s">
        <v>5482</v>
      </c>
      <c r="E3663" s="6" t="str">
        <f>HYPERLINK("https://inpn.mnhn.fr/espece/cd_nom/31133","Cortinarius poliodes Bidaud, Moënne-Locc. &amp; Reumaux, 1993")</f>
        <v>Cortinarius poliodes Bidaud, Moënne-Locc. &amp; Reumaux, 1993</v>
      </c>
      <c r="F3663" s="5" t="s">
        <v>5483</v>
      </c>
      <c r="V3663" s="7" t="str">
        <f>HYPERLINK("#Liste_rouge!A"&amp;_xlfn.XMATCH("LC",Liste_rouge!A:A,2,1),"LC")</f>
        <v>LC</v>
      </c>
      <c r="AH3663" s="4" t="str">
        <f>HYPERLINK("#Statut_biogéographique!A"&amp;_xlfn.XMATCH("P",Statut_biogéographique!A:A,2,1),"P")</f>
        <v>P</v>
      </c>
      <c r="AP3663" s="4" t="s">
        <v>376</v>
      </c>
      <c r="AR3663" s="4" t="s">
        <v>377</v>
      </c>
    </row>
    <row r="3664" spans="1:44">
      <c r="A3664" s="4" t="s">
        <v>5</v>
      </c>
      <c r="B3664" s="4">
        <v>31137</v>
      </c>
      <c r="C3664" s="4">
        <v>3695</v>
      </c>
      <c r="D3664" s="5" t="s">
        <v>5484</v>
      </c>
      <c r="E3664" s="6" t="str">
        <f>HYPERLINK("https://inpn.mnhn.fr/espece/cd_nom/31137","Cortinarius acutovelatus Rob.Henry, 1988")</f>
        <v>Cortinarius acutovelatus Rob.Henry, 1988</v>
      </c>
      <c r="V3664" s="7" t="str">
        <f>HYPERLINK("#Liste_rouge!A"&amp;_xlfn.XMATCH("NT",Liste_rouge!A:A,2,1),"NT")</f>
        <v>NT</v>
      </c>
      <c r="W3664" s="4" t="str">
        <f>HYPERLINK("#Critères_liste_rouge!A$1","pr. B2abiii")</f>
        <v>pr. B2abiii</v>
      </c>
      <c r="AH3664" s="4" t="str">
        <f>HYPERLINK("#Statut_biogéographique!A"&amp;_xlfn.XMATCH("P",Statut_biogéographique!A:A,2,1),"P")</f>
        <v>P</v>
      </c>
      <c r="AP3664" s="4" t="s">
        <v>376</v>
      </c>
      <c r="AR3664" s="4" t="s">
        <v>377</v>
      </c>
    </row>
    <row r="3665" spans="1:44" ht="30">
      <c r="A3665" s="4" t="s">
        <v>5</v>
      </c>
      <c r="B3665" s="4">
        <v>31139</v>
      </c>
      <c r="C3665" s="4">
        <v>1749</v>
      </c>
      <c r="D3665" s="5" t="s">
        <v>5485</v>
      </c>
      <c r="E3665" s="6" t="str">
        <f>HYPERLINK("https://inpn.mnhn.fr/espece/cd_nom/31139","Cortinarius acutus (Pers.) Fr., 1838")</f>
        <v>Cortinarius acutus (Pers.) Fr., 1838</v>
      </c>
      <c r="F3665" s="5" t="s">
        <v>5486</v>
      </c>
      <c r="V3665" s="7" t="str">
        <f>HYPERLINK("#Liste_rouge!A"&amp;_xlfn.XMATCH("LC",Liste_rouge!A:A,2,1),"LC")</f>
        <v>LC</v>
      </c>
      <c r="AH3665" s="4" t="str">
        <f>HYPERLINK("#Statut_biogéographique!A"&amp;_xlfn.XMATCH("P",Statut_biogéographique!A:A,2,1),"P")</f>
        <v>P</v>
      </c>
      <c r="AP3665" s="4" t="s">
        <v>376</v>
      </c>
      <c r="AR3665" s="4" t="s">
        <v>377</v>
      </c>
    </row>
    <row r="3666" spans="1:44" ht="30">
      <c r="A3666" s="4" t="s">
        <v>5</v>
      </c>
      <c r="B3666" s="4">
        <v>31140</v>
      </c>
      <c r="C3666" s="4">
        <v>720</v>
      </c>
      <c r="D3666" s="5" t="s">
        <v>5487</v>
      </c>
      <c r="E3666" s="6" t="str">
        <f>HYPERLINK("https://inpn.mnhn.fr/espece/cd_nom/31140","Cortinarius fasciatus Fr., 1838")</f>
        <v>Cortinarius fasciatus Fr., 1838</v>
      </c>
      <c r="F3666" s="5" t="s">
        <v>5488</v>
      </c>
      <c r="V3666" s="7" t="str">
        <f>HYPERLINK("#Liste_rouge!A"&amp;_xlfn.XMATCH("LC",Liste_rouge!A:A,2,1),"LC")</f>
        <v>LC</v>
      </c>
      <c r="AH3666" s="4" t="str">
        <f>HYPERLINK("#Statut_biogéographique!A"&amp;_xlfn.XMATCH("P",Statut_biogéographique!A:A,2,1),"P")</f>
        <v>P</v>
      </c>
      <c r="AP3666" s="4" t="s">
        <v>376</v>
      </c>
      <c r="AR3666" s="4" t="s">
        <v>377</v>
      </c>
    </row>
    <row r="3667" spans="1:44" ht="30">
      <c r="A3667" s="4" t="s">
        <v>5</v>
      </c>
      <c r="B3667" s="4">
        <v>31145</v>
      </c>
      <c r="C3667" s="4">
        <v>1928</v>
      </c>
      <c r="D3667" s="5" t="s">
        <v>5489</v>
      </c>
      <c r="E3667" s="6" t="str">
        <f>HYPERLINK("https://inpn.mnhn.fr/espece/cd_nom/31145","Cortinarius agathosmus Brandrud, H.Lindstr. &amp; Melot, 1989")</f>
        <v>Cortinarius agathosmus Brandrud, H.Lindstr. &amp; Melot, 1989</v>
      </c>
      <c r="F3667" s="5" t="s">
        <v>5490</v>
      </c>
      <c r="V3667" s="7" t="str">
        <f>HYPERLINK("#Liste_rouge!A"&amp;_xlfn.XMATCH("NT",Liste_rouge!A:A,2,1),"NT")</f>
        <v>NT</v>
      </c>
      <c r="W3667" s="4" t="str">
        <f>HYPERLINK("#Critères_liste_rouge!A$1","pr. B2abiii")</f>
        <v>pr. B2abiii</v>
      </c>
      <c r="AH3667" s="4" t="str">
        <f>HYPERLINK("#Statut_biogéographique!A"&amp;_xlfn.XMATCH("P",Statut_biogéographique!A:A,2,1),"P")</f>
        <v>P</v>
      </c>
      <c r="AP3667" s="4" t="s">
        <v>376</v>
      </c>
      <c r="AR3667" s="4" t="s">
        <v>377</v>
      </c>
    </row>
    <row r="3668" spans="1:44" ht="30">
      <c r="A3668" s="4" t="s">
        <v>5</v>
      </c>
      <c r="B3668" s="4">
        <v>31146</v>
      </c>
      <c r="C3668" s="4">
        <v>5619</v>
      </c>
      <c r="D3668" s="5" t="s">
        <v>5491</v>
      </c>
      <c r="E3668" s="6" t="str">
        <f>HYPERLINK("https://inpn.mnhn.fr/espece/cd_nom/31146","Cortinarius subviolascens Rob.Henry ex Nezdojm., 1983")</f>
        <v>Cortinarius subviolascens Rob.Henry ex Nezdojm., 1983</v>
      </c>
      <c r="V3668" s="7" t="str">
        <f>HYPERLINK("#Liste_rouge!A"&amp;_xlfn.XMATCH("DD",Liste_rouge!A:A,2,1),"DD")</f>
        <v>DD</v>
      </c>
      <c r="AH3668" s="4" t="str">
        <f>HYPERLINK("#Statut_biogéographique!A"&amp;_xlfn.XMATCH("P",Statut_biogéographique!A:A,2,1),"P")</f>
        <v>P</v>
      </c>
      <c r="AP3668" s="4" t="s">
        <v>376</v>
      </c>
      <c r="AR3668" s="4" t="s">
        <v>377</v>
      </c>
    </row>
    <row r="3669" spans="1:44" ht="45">
      <c r="A3669" s="4" t="s">
        <v>5</v>
      </c>
      <c r="B3669" s="4">
        <v>31157</v>
      </c>
      <c r="D3669" s="5" t="s">
        <v>5492</v>
      </c>
      <c r="E3669" s="6" t="str">
        <f>HYPERLINK("https://inpn.mnhn.fr/espece/cd_nom/31157","Mycena amicta (Fr.) Quél., 1872")</f>
        <v>Mycena amicta (Fr.) Quél., 1872</v>
      </c>
      <c r="V3669" s="7" t="str">
        <f>HYPERLINK("#Liste_rouge!A"&amp;_xlfn.XMATCH("LC",Liste_rouge!A:A,2,1),"LC")</f>
        <v>LC</v>
      </c>
      <c r="AH3669" s="4" t="str">
        <f>HYPERLINK("#Statut_biogéographique!A"&amp;_xlfn.XMATCH("P",Statut_biogéographique!A:A,2,1),"P")</f>
        <v>P</v>
      </c>
      <c r="AP3669" s="4" t="s">
        <v>376</v>
      </c>
      <c r="AR3669" s="4" t="s">
        <v>377</v>
      </c>
    </row>
    <row r="3670" spans="1:44">
      <c r="A3670" s="4" t="s">
        <v>5</v>
      </c>
      <c r="B3670" s="4">
        <v>31165</v>
      </c>
      <c r="D3670" s="5" t="s">
        <v>5493</v>
      </c>
      <c r="E3670" s="6" t="str">
        <f>HYPERLINK("https://inpn.mnhn.fr/espece/cd_nom/31165","Mycena arcangeliana Bres., 1904")</f>
        <v>Mycena arcangeliana Bres., 1904</v>
      </c>
      <c r="V3670" s="7" t="str">
        <f>HYPERLINK("#Liste_rouge!A"&amp;_xlfn.XMATCH("LC",Liste_rouge!A:A,2,1),"LC")</f>
        <v>LC</v>
      </c>
      <c r="AH3670" s="4" t="str">
        <f>HYPERLINK("#Statut_biogéographique!A"&amp;_xlfn.XMATCH("P",Statut_biogéographique!A:A,2,1),"P")</f>
        <v>P</v>
      </c>
      <c r="AP3670" s="4" t="s">
        <v>376</v>
      </c>
      <c r="AR3670" s="4" t="s">
        <v>377</v>
      </c>
    </row>
    <row r="3671" spans="1:44">
      <c r="A3671" s="4" t="s">
        <v>5</v>
      </c>
      <c r="B3671" s="4">
        <v>31182</v>
      </c>
      <c r="D3671" s="5" t="s">
        <v>5494</v>
      </c>
      <c r="E3671" s="6" t="str">
        <f>HYPERLINK("https://inpn.mnhn.fr/espece/cd_nom/31182","Mycena aurantiomarginata (Fr.) Quél., 1872")</f>
        <v>Mycena aurantiomarginata (Fr.) Quél., 1872</v>
      </c>
      <c r="V3671" s="7" t="str">
        <f>HYPERLINK("#Liste_rouge!A"&amp;_xlfn.XMATCH("LC",Liste_rouge!A:A,2,1),"LC")</f>
        <v>LC</v>
      </c>
      <c r="AH3671" s="4" t="str">
        <f>HYPERLINK("#Statut_biogéographique!A"&amp;_xlfn.XMATCH("P",Statut_biogéographique!A:A,2,1),"P")</f>
        <v>P</v>
      </c>
      <c r="AP3671" s="4" t="s">
        <v>376</v>
      </c>
      <c r="AR3671" s="4" t="s">
        <v>377</v>
      </c>
    </row>
    <row r="3672" spans="1:44">
      <c r="A3672" s="4" t="s">
        <v>5</v>
      </c>
      <c r="B3672" s="4">
        <v>31189</v>
      </c>
      <c r="D3672" s="5" t="s">
        <v>5495</v>
      </c>
      <c r="E3672" s="6" t="str">
        <f>HYPERLINK("https://inpn.mnhn.fr/espece/cd_nom/31189","Mycena bulbosa (Cejp) Kühner, 1938")</f>
        <v>Mycena bulbosa (Cejp) Kühner, 1938</v>
      </c>
      <c r="V3672" s="7" t="str">
        <f>HYPERLINK("#Liste_rouge!A"&amp;_xlfn.XMATCH("VU",Liste_rouge!A:A,2,1),"VU")</f>
        <v>VU</v>
      </c>
      <c r="W3672" s="4" t="str">
        <f>HYPERLINK("#Critères_liste_rouge!A$1","B2abiii")</f>
        <v>B2abiii</v>
      </c>
      <c r="AH3672" s="4" t="str">
        <f>HYPERLINK("#Statut_biogéographique!A"&amp;_xlfn.XMATCH("P",Statut_biogéographique!A:A,2,1),"P")</f>
        <v>P</v>
      </c>
      <c r="AP3672" s="4" t="s">
        <v>376</v>
      </c>
      <c r="AR3672" s="4" t="s">
        <v>377</v>
      </c>
    </row>
    <row r="3673" spans="1:44">
      <c r="A3673" s="4" t="s">
        <v>5</v>
      </c>
      <c r="B3673" s="4">
        <v>31194</v>
      </c>
      <c r="D3673" s="5" t="s">
        <v>5496</v>
      </c>
      <c r="E3673" s="6" t="str">
        <f>HYPERLINK("https://inpn.mnhn.fr/espece/cd_nom/31194","Mycena capillaripes Peck, 1888")</f>
        <v>Mycena capillaripes Peck, 1888</v>
      </c>
      <c r="V3673" s="7" t="str">
        <f>HYPERLINK("#Liste_rouge!A"&amp;_xlfn.XMATCH("LC",Liste_rouge!A:A,2,1),"LC")</f>
        <v>LC</v>
      </c>
      <c r="AH3673" s="4" t="str">
        <f>HYPERLINK("#Statut_biogéographique!A"&amp;_xlfn.XMATCH("P",Statut_biogéographique!A:A,2,1),"P")</f>
        <v>P</v>
      </c>
      <c r="AP3673" s="4" t="s">
        <v>376</v>
      </c>
      <c r="AR3673" s="4" t="s">
        <v>377</v>
      </c>
    </row>
    <row r="3674" spans="1:44" ht="30">
      <c r="A3674" s="4" t="s">
        <v>5</v>
      </c>
      <c r="B3674" s="4">
        <v>31197</v>
      </c>
      <c r="D3674" s="5" t="s">
        <v>5497</v>
      </c>
      <c r="E3674" s="6" t="str">
        <f>HYPERLINK("https://inpn.mnhn.fr/espece/cd_nom/31197","Mycena capillaris (Schumach.) P.Kumm., 1871")</f>
        <v>Mycena capillaris (Schumach.) P.Kumm., 1871</v>
      </c>
      <c r="V3674" s="7" t="str">
        <f>HYPERLINK("#Liste_rouge!A"&amp;_xlfn.XMATCH("LC",Liste_rouge!A:A,2,1),"LC")</f>
        <v>LC</v>
      </c>
      <c r="AH3674" s="4" t="str">
        <f>HYPERLINK("#Statut_biogéographique!A"&amp;_xlfn.XMATCH("P",Statut_biogéographique!A:A,2,1),"P")</f>
        <v>P</v>
      </c>
      <c r="AP3674" s="4" t="s">
        <v>376</v>
      </c>
      <c r="AR3674" s="4" t="s">
        <v>377</v>
      </c>
    </row>
    <row r="3675" spans="1:44" ht="30">
      <c r="A3675" s="4" t="s">
        <v>5</v>
      </c>
      <c r="B3675" s="4">
        <v>31206</v>
      </c>
      <c r="D3675" s="5" t="s">
        <v>5498</v>
      </c>
      <c r="E3675" s="6" t="str">
        <f>HYPERLINK("https://inpn.mnhn.fr/espece/cd_nom/31206","Mycena leptocephala (Pers.) Gillet, 1876")</f>
        <v>Mycena leptocephala (Pers.) Gillet, 1876</v>
      </c>
      <c r="V3675" s="7" t="str">
        <f>HYPERLINK("#Liste_rouge!A"&amp;_xlfn.XMATCH("LC",Liste_rouge!A:A,2,1),"LC")</f>
        <v>LC</v>
      </c>
      <c r="AH3675" s="4" t="str">
        <f>HYPERLINK("#Statut_biogéographique!A"&amp;_xlfn.XMATCH("P",Statut_biogéographique!A:A,2,1),"P")</f>
        <v>P</v>
      </c>
      <c r="AP3675" s="4" t="s">
        <v>376</v>
      </c>
      <c r="AR3675" s="4" t="s">
        <v>377</v>
      </c>
    </row>
    <row r="3676" spans="1:44">
      <c r="A3676" s="4" t="s">
        <v>5</v>
      </c>
      <c r="B3676" s="4">
        <v>31211</v>
      </c>
      <c r="D3676" s="5" t="s">
        <v>5499</v>
      </c>
      <c r="E3676" s="6" t="str">
        <f>HYPERLINK("https://inpn.mnhn.fr/espece/cd_nom/31211","Mycena cinerella (P.Karst.) P.Karst., 1879")</f>
        <v>Mycena cinerella (P.Karst.) P.Karst., 1879</v>
      </c>
      <c r="V3676" s="7" t="str">
        <f>HYPERLINK("#Liste_rouge!A"&amp;_xlfn.XMATCH("LC",Liste_rouge!A:A,2,1),"LC")</f>
        <v>LC</v>
      </c>
      <c r="AH3676" s="4" t="str">
        <f>HYPERLINK("#Statut_biogéographique!A"&amp;_xlfn.XMATCH("P",Statut_biogéographique!A:A,2,1),"P")</f>
        <v>P</v>
      </c>
      <c r="AP3676" s="4" t="s">
        <v>376</v>
      </c>
      <c r="AR3676" s="4" t="s">
        <v>377</v>
      </c>
    </row>
    <row r="3677" spans="1:44">
      <c r="A3677" s="4" t="s">
        <v>5</v>
      </c>
      <c r="B3677" s="4">
        <v>31217</v>
      </c>
      <c r="D3677" s="5" t="s">
        <v>5500</v>
      </c>
      <c r="E3677" s="6" t="str">
        <f>HYPERLINK("https://inpn.mnhn.fr/espece/cd_nom/31217","Mycena citrinomarginata Gillet, 1876")</f>
        <v>Mycena citrinomarginata Gillet, 1876</v>
      </c>
      <c r="V3677" s="7" t="str">
        <f>HYPERLINK("#Liste_rouge!A"&amp;_xlfn.XMATCH("LC",Liste_rouge!A:A,2,1),"LC")</f>
        <v>LC</v>
      </c>
      <c r="AH3677" s="4" t="str">
        <f>HYPERLINK("#Statut_biogéographique!A"&amp;_xlfn.XMATCH("P",Statut_biogéographique!A:A,2,1),"P")</f>
        <v>P</v>
      </c>
      <c r="AP3677" s="4" t="s">
        <v>376</v>
      </c>
      <c r="AR3677" s="4" t="s">
        <v>377</v>
      </c>
    </row>
    <row r="3678" spans="1:44">
      <c r="A3678" s="4" t="s">
        <v>5</v>
      </c>
      <c r="B3678" s="4">
        <v>31223</v>
      </c>
      <c r="D3678" s="5" t="s">
        <v>5501</v>
      </c>
      <c r="E3678" s="6" t="str">
        <f>HYPERLINK("https://inpn.mnhn.fr/espece/cd_nom/31223","Mycena clavicularis (Fr.) Gillet, 1876")</f>
        <v>Mycena clavicularis (Fr.) Gillet, 1876</v>
      </c>
      <c r="V3678" s="7" t="str">
        <f>HYPERLINK("#Liste_rouge!A"&amp;_xlfn.XMATCH("DD",Liste_rouge!A:A,2,1),"DD")</f>
        <v>DD</v>
      </c>
      <c r="AH3678" s="4" t="str">
        <f>HYPERLINK("#Statut_biogéographique!A"&amp;_xlfn.XMATCH("P",Statut_biogéographique!A:A,2,1),"P")</f>
        <v>P</v>
      </c>
      <c r="AP3678" s="4" t="s">
        <v>376</v>
      </c>
      <c r="AR3678" s="4" t="s">
        <v>377</v>
      </c>
    </row>
    <row r="3679" spans="1:44">
      <c r="A3679" s="4" t="s">
        <v>5</v>
      </c>
      <c r="B3679" s="4">
        <v>31232</v>
      </c>
      <c r="D3679" s="5" t="s">
        <v>5502</v>
      </c>
      <c r="E3679" s="6" t="str">
        <f>HYPERLINK("https://inpn.mnhn.fr/espece/cd_nom/31232","Mycena corynephora Maas Geest., 1983")</f>
        <v>Mycena corynephora Maas Geest., 1983</v>
      </c>
      <c r="AH3679" s="4" t="str">
        <f>HYPERLINK("#Statut_biogéographique!A"&amp;_xlfn.XMATCH("P",Statut_biogéographique!A:A,2,1),"P")</f>
        <v>P</v>
      </c>
      <c r="AP3679" s="4" t="s">
        <v>376</v>
      </c>
      <c r="AR3679" s="4" t="s">
        <v>377</v>
      </c>
    </row>
    <row r="3680" spans="1:44">
      <c r="A3680" s="4" t="s">
        <v>5</v>
      </c>
      <c r="B3680" s="4">
        <v>31233</v>
      </c>
      <c r="D3680" s="5" t="s">
        <v>5503</v>
      </c>
      <c r="E3680" s="6" t="str">
        <f>HYPERLINK("https://inpn.mnhn.fr/espece/cd_nom/31233","Mycena crocata (Schrad.) P.Kumm., 1871")</f>
        <v>Mycena crocata (Schrad.) P.Kumm., 1871</v>
      </c>
      <c r="F3680" s="5" t="s">
        <v>5504</v>
      </c>
      <c r="V3680" s="7" t="str">
        <f>HYPERLINK("#Liste_rouge!A"&amp;_xlfn.XMATCH("LC",Liste_rouge!A:A,2,1),"LC")</f>
        <v>LC</v>
      </c>
      <c r="AH3680" s="4" t="str">
        <f>HYPERLINK("#Statut_biogéographique!A"&amp;_xlfn.XMATCH("P",Statut_biogéographique!A:A,2,1),"P")</f>
        <v>P</v>
      </c>
      <c r="AP3680" s="4" t="s">
        <v>376</v>
      </c>
      <c r="AR3680" s="4" t="s">
        <v>377</v>
      </c>
    </row>
    <row r="3681" spans="1:44">
      <c r="A3681" s="4" t="s">
        <v>5</v>
      </c>
      <c r="B3681" s="4">
        <v>31237</v>
      </c>
      <c r="D3681" s="5" t="s">
        <v>5505</v>
      </c>
      <c r="E3681" s="6" t="str">
        <f>HYPERLINK("https://inpn.mnhn.fr/espece/cd_nom/31237","Mycena cyanorrhiza Quél., 1875")</f>
        <v>Mycena cyanorrhiza Quél., 1875</v>
      </c>
      <c r="V3681" s="7" t="str">
        <f>HYPERLINK("#Liste_rouge!A"&amp;_xlfn.XMATCH("LC",Liste_rouge!A:A,2,1),"LC")</f>
        <v>LC</v>
      </c>
      <c r="AH3681" s="4" t="str">
        <f>HYPERLINK("#Statut_biogéographique!A"&amp;_xlfn.XMATCH("P",Statut_biogéographique!A:A,2,1),"P")</f>
        <v>P</v>
      </c>
      <c r="AP3681" s="4" t="s">
        <v>376</v>
      </c>
      <c r="AR3681" s="4" t="s">
        <v>377</v>
      </c>
    </row>
    <row r="3682" spans="1:44">
      <c r="A3682" s="4" t="s">
        <v>5</v>
      </c>
      <c r="B3682" s="4">
        <v>31243</v>
      </c>
      <c r="D3682" s="5">
        <v>31243</v>
      </c>
      <c r="E3682" s="6" t="str">
        <f>HYPERLINK("https://inpn.mnhn.fr/espece/cd_nom/31243","Mycena diosma Krieglst. &amp; Schwöbel, 1982")</f>
        <v>Mycena diosma Krieglst. &amp; Schwöbel, 1982</v>
      </c>
      <c r="V3682" s="7" t="str">
        <f>HYPERLINK("#Liste_rouge!A"&amp;_xlfn.XMATCH("LC",Liste_rouge!A:A,2,1),"LC")</f>
        <v>LC</v>
      </c>
      <c r="AH3682" s="4" t="str">
        <f>HYPERLINK("#Statut_biogéographique!A"&amp;_xlfn.XMATCH("P",Statut_biogéographique!A:A,2,1),"P")</f>
        <v>P</v>
      </c>
      <c r="AP3682" s="4" t="s">
        <v>376</v>
      </c>
      <c r="AR3682" s="4" t="s">
        <v>377</v>
      </c>
    </row>
    <row r="3683" spans="1:44">
      <c r="A3683" s="4" t="s">
        <v>5</v>
      </c>
      <c r="B3683" s="4">
        <v>31245</v>
      </c>
      <c r="D3683" s="5" t="s">
        <v>5506</v>
      </c>
      <c r="E3683" s="6" t="str">
        <f>HYPERLINK("https://inpn.mnhn.fr/espece/cd_nom/31245","Mycena megaspora Kauffman, 1933")</f>
        <v>Mycena megaspora Kauffman, 1933</v>
      </c>
      <c r="V3683" s="7" t="str">
        <f>HYPERLINK("#Liste_rouge!A"&amp;_xlfn.XMATCH("VU",Liste_rouge!A:A,2,1),"VU")</f>
        <v>VU</v>
      </c>
      <c r="W3683" s="4" t="str">
        <f>HYPERLINK("#Critères_liste_rouge!A$1","A2c")</f>
        <v>A2c</v>
      </c>
      <c r="AH3683" s="4" t="str">
        <f>HYPERLINK("#Statut_biogéographique!A"&amp;_xlfn.XMATCH("P",Statut_biogéographique!A:A,2,1),"P")</f>
        <v>P</v>
      </c>
      <c r="AP3683" s="4" t="s">
        <v>376</v>
      </c>
      <c r="AR3683" s="4" t="s">
        <v>377</v>
      </c>
    </row>
    <row r="3684" spans="1:44" ht="30">
      <c r="A3684" s="4" t="s">
        <v>5</v>
      </c>
      <c r="B3684" s="4">
        <v>31249</v>
      </c>
      <c r="D3684" s="5" t="s">
        <v>5507</v>
      </c>
      <c r="E3684" s="6" t="str">
        <f>HYPERLINK("https://inpn.mnhn.fr/espece/cd_nom/31249","Mycena epipterygia (Scop.) Gray, 1821")</f>
        <v>Mycena epipterygia (Scop.) Gray, 1821</v>
      </c>
      <c r="F3684" s="5" t="s">
        <v>2102</v>
      </c>
      <c r="V3684" s="7" t="str">
        <f>HYPERLINK("#Liste_rouge!A"&amp;_xlfn.XMATCH("LC",Liste_rouge!A:A,2,1),"LC")</f>
        <v>LC</v>
      </c>
      <c r="AH3684" s="4" t="str">
        <f>HYPERLINK("#Statut_biogéographique!A"&amp;_xlfn.XMATCH("P",Statut_biogéographique!A:A,2,1),"P")</f>
        <v>P</v>
      </c>
      <c r="AP3684" s="4" t="s">
        <v>376</v>
      </c>
      <c r="AR3684" s="4" t="s">
        <v>377</v>
      </c>
    </row>
    <row r="3685" spans="1:44" ht="30">
      <c r="A3685" s="4" t="s">
        <v>5</v>
      </c>
      <c r="B3685" s="4">
        <v>31257</v>
      </c>
      <c r="D3685" s="5" t="s">
        <v>5508</v>
      </c>
      <c r="E3685" s="6" t="str">
        <f>HYPERLINK("https://inpn.mnhn.fr/espece/cd_nom/31257","Mycena epipterygia var. epipterygioides (A.Pearson) Kühner, 1938")</f>
        <v>Mycena epipterygia var. epipterygioides (A.Pearson) Kühner, 1938</v>
      </c>
      <c r="AH3685" s="4" t="str">
        <f>HYPERLINK("#Statut_biogéographique!A"&amp;_xlfn.XMATCH("P",Statut_biogéographique!A:A,2,1),"P")</f>
        <v>P</v>
      </c>
      <c r="AP3685" s="4" t="s">
        <v>376</v>
      </c>
      <c r="AR3685" s="4" t="s">
        <v>377</v>
      </c>
    </row>
    <row r="3686" spans="1:44">
      <c r="A3686" s="4" t="s">
        <v>5</v>
      </c>
      <c r="B3686" s="4">
        <v>31272</v>
      </c>
      <c r="D3686" s="5" t="s">
        <v>5509</v>
      </c>
      <c r="E3686" s="6" t="str">
        <f>HYPERLINK("https://inpn.mnhn.fr/espece/cd_nom/31272","Mycena fagetorum (Fr.) Gillet, 1876")</f>
        <v>Mycena fagetorum (Fr.) Gillet, 1876</v>
      </c>
      <c r="V3686" s="7" t="str">
        <f>HYPERLINK("#Liste_rouge!A"&amp;_xlfn.XMATCH("LC",Liste_rouge!A:A,2,1),"LC")</f>
        <v>LC</v>
      </c>
      <c r="AH3686" s="4" t="str">
        <f>HYPERLINK("#Statut_biogéographique!A"&amp;_xlfn.XMATCH("P",Statut_biogéographique!A:A,2,1),"P")</f>
        <v>P</v>
      </c>
      <c r="AP3686" s="4" t="s">
        <v>376</v>
      </c>
      <c r="AR3686" s="4" t="s">
        <v>377</v>
      </c>
    </row>
    <row r="3687" spans="1:44">
      <c r="A3687" s="4" t="s">
        <v>5</v>
      </c>
      <c r="B3687" s="4">
        <v>31277</v>
      </c>
      <c r="D3687" s="5" t="s">
        <v>5510</v>
      </c>
      <c r="E3687" s="6" t="str">
        <f>HYPERLINK("https://inpn.mnhn.fr/espece/cd_nom/31277","Mycena flavescens Velen., 1920")</f>
        <v>Mycena flavescens Velen., 1920</v>
      </c>
      <c r="V3687" s="7" t="str">
        <f>HYPERLINK("#Liste_rouge!A"&amp;_xlfn.XMATCH("LC",Liste_rouge!A:A,2,1),"LC")</f>
        <v>LC</v>
      </c>
      <c r="AH3687" s="4" t="str">
        <f>HYPERLINK("#Statut_biogéographique!A"&amp;_xlfn.XMATCH("P",Statut_biogéographique!A:A,2,1),"P")</f>
        <v>P</v>
      </c>
      <c r="AP3687" s="4" t="s">
        <v>376</v>
      </c>
      <c r="AR3687" s="4" t="s">
        <v>377</v>
      </c>
    </row>
    <row r="3688" spans="1:44">
      <c r="A3688" s="4" t="s">
        <v>5</v>
      </c>
      <c r="B3688" s="4">
        <v>31284</v>
      </c>
      <c r="D3688" s="5" t="s">
        <v>5511</v>
      </c>
      <c r="E3688" s="6" t="str">
        <f>HYPERLINK("https://inpn.mnhn.fr/espece/cd_nom/31284","Mycena floridula (Fr.) Quél., 1877")</f>
        <v>Mycena floridula (Fr.) Quél., 1877</v>
      </c>
      <c r="V3688" s="7" t="str">
        <f>HYPERLINK("#Liste_rouge!A"&amp;_xlfn.XMATCH("EN",Liste_rouge!A:A,2,1),"EN")</f>
        <v>EN</v>
      </c>
      <c r="W3688" s="4" t="str">
        <f>HYPERLINK("#Critères_liste_rouge!A$1","B2abiii")</f>
        <v>B2abiii</v>
      </c>
      <c r="AH3688" s="4" t="str">
        <f>HYPERLINK("#Statut_biogéographique!A"&amp;_xlfn.XMATCH("P",Statut_biogéographique!A:A,2,1),"P")</f>
        <v>P</v>
      </c>
      <c r="AP3688" s="4" t="s">
        <v>376</v>
      </c>
      <c r="AR3688" s="4" t="s">
        <v>377</v>
      </c>
    </row>
    <row r="3689" spans="1:44">
      <c r="A3689" s="4" t="s">
        <v>5</v>
      </c>
      <c r="B3689" s="4">
        <v>31287</v>
      </c>
      <c r="D3689" s="5" t="s">
        <v>5512</v>
      </c>
      <c r="E3689" s="6" t="str">
        <f>HYPERLINK("https://inpn.mnhn.fr/espece/cd_nom/31287","Mycena flos-nivium Kühner, 1952")</f>
        <v>Mycena flos-nivium Kühner, 1952</v>
      </c>
      <c r="V3689" s="7" t="str">
        <f>HYPERLINK("#Liste_rouge!A"&amp;_xlfn.XMATCH("EN",Liste_rouge!A:A,2,1),"EN")</f>
        <v>EN</v>
      </c>
      <c r="W3689" s="4" t="str">
        <f>HYPERLINK("#Critères_liste_rouge!A$1","B2abiii")</f>
        <v>B2abiii</v>
      </c>
      <c r="AH3689" s="4" t="str">
        <f>HYPERLINK("#Statut_biogéographique!A"&amp;_xlfn.XMATCH("P",Statut_biogéographique!A:A,2,1),"P")</f>
        <v>P</v>
      </c>
      <c r="AP3689" s="4" t="s">
        <v>376</v>
      </c>
      <c r="AR3689" s="4" t="s">
        <v>377</v>
      </c>
    </row>
    <row r="3690" spans="1:44" ht="45">
      <c r="A3690" s="4" t="s">
        <v>5</v>
      </c>
      <c r="B3690" s="4">
        <v>31292</v>
      </c>
      <c r="D3690" s="5" t="s">
        <v>5513</v>
      </c>
      <c r="E3690" s="6" t="str">
        <f>HYPERLINK("https://inpn.mnhn.fr/espece/cd_nom/31292","Mycena galericulata (Scop.) Gray, 1821")</f>
        <v>Mycena galericulata (Scop.) Gray, 1821</v>
      </c>
      <c r="F3690" s="5" t="s">
        <v>5514</v>
      </c>
      <c r="V3690" s="7" t="str">
        <f>HYPERLINK("#Liste_rouge!A"&amp;_xlfn.XMATCH("LC",Liste_rouge!A:A,2,1),"LC")</f>
        <v>LC</v>
      </c>
      <c r="AH3690" s="4" t="str">
        <f>HYPERLINK("#Statut_biogéographique!A"&amp;_xlfn.XMATCH("P",Statut_biogéographique!A:A,2,1),"P")</f>
        <v>P</v>
      </c>
      <c r="AP3690" s="4" t="s">
        <v>376</v>
      </c>
      <c r="AR3690" s="4" t="s">
        <v>377</v>
      </c>
    </row>
    <row r="3691" spans="1:44" ht="30">
      <c r="A3691" s="4" t="s">
        <v>5</v>
      </c>
      <c r="B3691" s="4">
        <v>31298</v>
      </c>
      <c r="D3691" s="5" t="s">
        <v>5515</v>
      </c>
      <c r="E3691" s="6" t="str">
        <f>HYPERLINK("https://inpn.mnhn.fr/espece/cd_nom/31298","Mycena galopus (Pers.) P.Kumm., 1871")</f>
        <v>Mycena galopus (Pers.) P.Kumm., 1871</v>
      </c>
      <c r="F3691" s="5" t="s">
        <v>5516</v>
      </c>
      <c r="V3691" s="7" t="str">
        <f>HYPERLINK("#Liste_rouge!A"&amp;_xlfn.XMATCH("LC",Liste_rouge!A:A,2,1),"LC")</f>
        <v>LC</v>
      </c>
      <c r="AH3691" s="4" t="str">
        <f>HYPERLINK("#Statut_biogéographique!A"&amp;_xlfn.XMATCH("P",Statut_biogéographique!A:A,2,1),"P")</f>
        <v>P</v>
      </c>
      <c r="AP3691" s="4" t="s">
        <v>376</v>
      </c>
      <c r="AR3691" s="4" t="s">
        <v>377</v>
      </c>
    </row>
    <row r="3692" spans="1:44">
      <c r="A3692" s="4" t="s">
        <v>5</v>
      </c>
      <c r="B3692" s="4">
        <v>31301</v>
      </c>
      <c r="D3692" s="5" t="s">
        <v>5517</v>
      </c>
      <c r="E3692" s="6" t="str">
        <f>HYPERLINK("https://inpn.mnhn.fr/espece/cd_nom/31301","Mycena galopus var. candida J.E.Lange, 1914")</f>
        <v>Mycena galopus var. candida J.E.Lange, 1914</v>
      </c>
      <c r="AH3692" s="4" t="str">
        <f>HYPERLINK("#Statut_biogéographique!A"&amp;_xlfn.XMATCH("P",Statut_biogéographique!A:A,2,1),"P")</f>
        <v>P</v>
      </c>
      <c r="AP3692" s="4" t="s">
        <v>376</v>
      </c>
      <c r="AR3692" s="4" t="s">
        <v>377</v>
      </c>
    </row>
    <row r="3693" spans="1:44">
      <c r="A3693" s="4" t="s">
        <v>5</v>
      </c>
      <c r="B3693" s="4">
        <v>31320</v>
      </c>
      <c r="D3693" s="5" t="s">
        <v>5518</v>
      </c>
      <c r="E3693" s="6" t="str">
        <f>HYPERLINK("https://inpn.mnhn.fr/espece/cd_nom/31320","Mycena maculata P.Karst., 1890")</f>
        <v>Mycena maculata P.Karst., 1890</v>
      </c>
      <c r="F3693" s="5" t="s">
        <v>5519</v>
      </c>
      <c r="V3693" s="7" t="str">
        <f>HYPERLINK("#Liste_rouge!A"&amp;_xlfn.XMATCH("LC",Liste_rouge!A:A,2,1),"LC")</f>
        <v>LC</v>
      </c>
      <c r="AH3693" s="4" t="str">
        <f>HYPERLINK("#Statut_biogéographique!A"&amp;_xlfn.XMATCH("P",Statut_biogéographique!A:A,2,1),"P")</f>
        <v>P</v>
      </c>
      <c r="AP3693" s="4" t="s">
        <v>376</v>
      </c>
      <c r="AR3693" s="4" t="s">
        <v>377</v>
      </c>
    </row>
    <row r="3694" spans="1:44" ht="30">
      <c r="A3694" s="4" t="s">
        <v>5</v>
      </c>
      <c r="B3694" s="4">
        <v>31324</v>
      </c>
      <c r="D3694" s="5" t="s">
        <v>5520</v>
      </c>
      <c r="E3694" s="6" t="str">
        <f>HYPERLINK("https://inpn.mnhn.fr/espece/cd_nom/31324","Mycena meliigena (Berk. &amp; Cooke) Sacc., 1887")</f>
        <v>Mycena meliigena (Berk. &amp; Cooke) Sacc., 1887</v>
      </c>
      <c r="V3694" s="7" t="str">
        <f>HYPERLINK("#Liste_rouge!A"&amp;_xlfn.XMATCH("LC",Liste_rouge!A:A,2,1),"LC")</f>
        <v>LC</v>
      </c>
      <c r="AH3694" s="4" t="str">
        <f>HYPERLINK("#Statut_biogéographique!A"&amp;_xlfn.XMATCH("P",Statut_biogéographique!A:A,2,1),"P")</f>
        <v>P</v>
      </c>
      <c r="AP3694" s="4" t="s">
        <v>376</v>
      </c>
      <c r="AR3694" s="4" t="s">
        <v>377</v>
      </c>
    </row>
    <row r="3695" spans="1:44" ht="45">
      <c r="A3695" s="4" t="s">
        <v>5</v>
      </c>
      <c r="B3695" s="4">
        <v>31329</v>
      </c>
      <c r="D3695" s="5" t="s">
        <v>5521</v>
      </c>
      <c r="E3695" s="6" t="str">
        <f>HYPERLINK("https://inpn.mnhn.fr/espece/cd_nom/31329","Mycena metata (Fr.) P.Kumm., 1871")</f>
        <v>Mycena metata (Fr.) P.Kumm., 1871</v>
      </c>
      <c r="V3695" s="7" t="str">
        <f>HYPERLINK("#Liste_rouge!A"&amp;_xlfn.XMATCH("LC",Liste_rouge!A:A,2,1),"LC")</f>
        <v>LC</v>
      </c>
      <c r="AH3695" s="4" t="str">
        <f>HYPERLINK("#Statut_biogéographique!A"&amp;_xlfn.XMATCH("P",Statut_biogéographique!A:A,2,1),"P")</f>
        <v>P</v>
      </c>
      <c r="AP3695" s="4" t="s">
        <v>376</v>
      </c>
      <c r="AR3695" s="4" t="s">
        <v>377</v>
      </c>
    </row>
    <row r="3696" spans="1:44">
      <c r="A3696" s="4" t="s">
        <v>5</v>
      </c>
      <c r="B3696" s="4">
        <v>31336</v>
      </c>
      <c r="D3696" s="5" t="s">
        <v>5522</v>
      </c>
      <c r="E3696" s="6" t="str">
        <f>HYPERLINK("https://inpn.mnhn.fr/espece/cd_nom/31336","Mycena mirata (Peck) Sacc., 1887")</f>
        <v>Mycena mirata (Peck) Sacc., 1887</v>
      </c>
      <c r="V3696" s="7" t="str">
        <f>HYPERLINK("#Liste_rouge!A"&amp;_xlfn.XMATCH("EN",Liste_rouge!A:A,2,1),"EN")</f>
        <v>EN</v>
      </c>
      <c r="W3696" s="4" t="str">
        <f>HYPERLINK("#Critères_liste_rouge!A$1","B2abiii")</f>
        <v>B2abiii</v>
      </c>
      <c r="AH3696" s="4" t="str">
        <f>HYPERLINK("#Statut_biogéographique!A"&amp;_xlfn.XMATCH("P",Statut_biogéographique!A:A,2,1),"P")</f>
        <v>P</v>
      </c>
      <c r="AP3696" s="4" t="s">
        <v>376</v>
      </c>
      <c r="AR3696" s="4" t="s">
        <v>377</v>
      </c>
    </row>
    <row r="3697" spans="1:44">
      <c r="A3697" s="4" t="s">
        <v>5</v>
      </c>
      <c r="B3697" s="4">
        <v>31342</v>
      </c>
      <c r="D3697" s="5" t="s">
        <v>5523</v>
      </c>
      <c r="E3697" s="6" t="str">
        <f>HYPERLINK("https://inpn.mnhn.fr/espece/cd_nom/31342","Mycena mucor (Batsch) Quél., 1875")</f>
        <v>Mycena mucor (Batsch) Quél., 1875</v>
      </c>
      <c r="V3697" s="7" t="str">
        <f>HYPERLINK("#Liste_rouge!A"&amp;_xlfn.XMATCH("LC",Liste_rouge!A:A,2,1),"LC")</f>
        <v>LC</v>
      </c>
      <c r="AH3697" s="4" t="str">
        <f>HYPERLINK("#Statut_biogéographique!A"&amp;_xlfn.XMATCH("P",Statut_biogéographique!A:A,2,1),"P")</f>
        <v>P</v>
      </c>
      <c r="AP3697" s="4" t="s">
        <v>376</v>
      </c>
      <c r="AR3697" s="4" t="s">
        <v>377</v>
      </c>
    </row>
    <row r="3698" spans="1:44">
      <c r="A3698" s="4" t="s">
        <v>5</v>
      </c>
      <c r="B3698" s="4">
        <v>31356</v>
      </c>
      <c r="D3698" s="5">
        <v>31356</v>
      </c>
      <c r="E3698" s="6" t="str">
        <f>HYPERLINK("https://inpn.mnhn.fr/espece/cd_nom/31356","Mycena nucicola Huijsman, 1958")</f>
        <v>Mycena nucicola Huijsman, 1958</v>
      </c>
      <c r="V3698" s="7" t="str">
        <f>HYPERLINK("#Liste_rouge!A"&amp;_xlfn.XMATCH("DD",Liste_rouge!A:A,2,1),"DD")</f>
        <v>DD</v>
      </c>
      <c r="AH3698" s="4" t="str">
        <f>HYPERLINK("#Statut_biogéographique!A"&amp;_xlfn.XMATCH("P",Statut_biogéographique!A:A,2,1),"P")</f>
        <v>P</v>
      </c>
      <c r="AP3698" s="4" t="s">
        <v>376</v>
      </c>
      <c r="AR3698" s="4" t="s">
        <v>377</v>
      </c>
    </row>
    <row r="3699" spans="1:44">
      <c r="A3699" s="4" t="s">
        <v>5</v>
      </c>
      <c r="B3699" s="4">
        <v>31358</v>
      </c>
      <c r="D3699" s="5" t="s">
        <v>5524</v>
      </c>
      <c r="E3699" s="6" t="str">
        <f>HYPERLINK("https://inpn.mnhn.fr/espece/cd_nom/31358","Mycena olida Bres., 1887")</f>
        <v>Mycena olida Bres., 1887</v>
      </c>
      <c r="V3699" s="7" t="str">
        <f>HYPERLINK("#Liste_rouge!A"&amp;_xlfn.XMATCH("LC",Liste_rouge!A:A,2,1),"LC")</f>
        <v>LC</v>
      </c>
      <c r="AH3699" s="4" t="str">
        <f>HYPERLINK("#Statut_biogéographique!A"&amp;_xlfn.XMATCH("P",Statut_biogéographique!A:A,2,1),"P")</f>
        <v>P</v>
      </c>
      <c r="AP3699" s="4" t="s">
        <v>376</v>
      </c>
      <c r="AR3699" s="4" t="s">
        <v>377</v>
      </c>
    </row>
    <row r="3700" spans="1:44" ht="30">
      <c r="A3700" s="4" t="s">
        <v>5</v>
      </c>
      <c r="B3700" s="4">
        <v>31362</v>
      </c>
      <c r="D3700" s="5" t="s">
        <v>5525</v>
      </c>
      <c r="E3700" s="6" t="str">
        <f>HYPERLINK("https://inpn.mnhn.fr/espece/cd_nom/31362","Mycena olivaceomarginata (Massee) Massee, 1893")</f>
        <v>Mycena olivaceomarginata (Massee) Massee, 1893</v>
      </c>
      <c r="V3700" s="7" t="str">
        <f>HYPERLINK("#Liste_rouge!A"&amp;_xlfn.XMATCH("LC",Liste_rouge!A:A,2,1),"LC")</f>
        <v>LC</v>
      </c>
      <c r="AH3700" s="4" t="str">
        <f>HYPERLINK("#Statut_biogéographique!A"&amp;_xlfn.XMATCH("P",Statut_biogéographique!A:A,2,1),"P")</f>
        <v>P</v>
      </c>
      <c r="AP3700" s="4" t="s">
        <v>376</v>
      </c>
      <c r="AR3700" s="4" t="s">
        <v>377</v>
      </c>
    </row>
    <row r="3701" spans="1:44">
      <c r="A3701" s="4" t="s">
        <v>5</v>
      </c>
      <c r="B3701" s="4">
        <v>31371</v>
      </c>
      <c r="D3701" s="5" t="s">
        <v>5526</v>
      </c>
      <c r="E3701" s="6" t="str">
        <f>HYPERLINK("https://inpn.mnhn.fr/espece/cd_nom/31371","Mycena pearsoniana Dennis ex Singer, 1959")</f>
        <v>Mycena pearsoniana Dennis ex Singer, 1959</v>
      </c>
      <c r="AH3701" s="4" t="str">
        <f>HYPERLINK("#Statut_biogéographique!A"&amp;_xlfn.XMATCH("P",Statut_biogéographique!A:A,2,1),"P")</f>
        <v>P</v>
      </c>
      <c r="AP3701" s="4" t="s">
        <v>376</v>
      </c>
      <c r="AR3701" s="4" t="s">
        <v>377</v>
      </c>
    </row>
    <row r="3702" spans="1:44">
      <c r="A3702" s="4" t="s">
        <v>5</v>
      </c>
      <c r="B3702" s="4">
        <v>31374</v>
      </c>
      <c r="D3702" s="5" t="s">
        <v>5527</v>
      </c>
      <c r="E3702" s="6" t="str">
        <f>HYPERLINK("https://inpn.mnhn.fr/espece/cd_nom/31374","Mycena pelianthina (Fr.) Quél., 1872")</f>
        <v>Mycena pelianthina (Fr.) Quél., 1872</v>
      </c>
      <c r="V3702" s="7" t="str">
        <f>HYPERLINK("#Liste_rouge!A"&amp;_xlfn.XMATCH("LC",Liste_rouge!A:A,2,1),"LC")</f>
        <v>LC</v>
      </c>
      <c r="AH3702" s="4" t="str">
        <f>HYPERLINK("#Statut_biogéographique!A"&amp;_xlfn.XMATCH("P",Statut_biogéographique!A:A,2,1),"P")</f>
        <v>P</v>
      </c>
      <c r="AP3702" s="4" t="s">
        <v>376</v>
      </c>
      <c r="AR3702" s="4" t="s">
        <v>377</v>
      </c>
    </row>
    <row r="3703" spans="1:44">
      <c r="A3703" s="4" t="s">
        <v>5</v>
      </c>
      <c r="B3703" s="4">
        <v>31384</v>
      </c>
      <c r="D3703" s="5">
        <v>31384</v>
      </c>
      <c r="E3703" s="6" t="str">
        <f>HYPERLINK("https://inpn.mnhn.fr/espece/cd_nom/31384","Mycena pilosella Maas Geest., 1988")</f>
        <v>Mycena pilosella Maas Geest., 1988</v>
      </c>
      <c r="V3703" s="7" t="str">
        <f>HYPERLINK("#Liste_rouge!A"&amp;_xlfn.XMATCH("VU",Liste_rouge!A:A,2,1),"VU")</f>
        <v>VU</v>
      </c>
      <c r="W3703" s="4" t="str">
        <f>HYPERLINK("#Critères_liste_rouge!A$1","D2")</f>
        <v>D2</v>
      </c>
      <c r="AH3703" s="4" t="str">
        <f>HYPERLINK("#Statut_biogéographique!A"&amp;_xlfn.XMATCH("P",Statut_biogéographique!A:A,2,1),"P")</f>
        <v>P</v>
      </c>
      <c r="AP3703" s="4" t="s">
        <v>376</v>
      </c>
      <c r="AR3703" s="4" t="s">
        <v>377</v>
      </c>
    </row>
    <row r="3704" spans="1:44" ht="30">
      <c r="A3704" s="4" t="s">
        <v>5</v>
      </c>
      <c r="B3704" s="4">
        <v>31390</v>
      </c>
      <c r="D3704" s="5" t="s">
        <v>5528</v>
      </c>
      <c r="E3704" s="6" t="str">
        <f>HYPERLINK("https://inpn.mnhn.fr/espece/cd_nom/31390","Mycena polyadelpha (Lasch) Kühner, 1938")</f>
        <v>Mycena polyadelpha (Lasch) Kühner, 1938</v>
      </c>
      <c r="AH3704" s="4" t="str">
        <f>HYPERLINK("#Statut_biogéographique!A"&amp;_xlfn.XMATCH("P",Statut_biogéographique!A:A,2,1),"P")</f>
        <v>P</v>
      </c>
      <c r="AP3704" s="4" t="s">
        <v>376</v>
      </c>
      <c r="AR3704" s="4" t="s">
        <v>377</v>
      </c>
    </row>
    <row r="3705" spans="1:44">
      <c r="A3705" s="4" t="s">
        <v>5</v>
      </c>
      <c r="B3705" s="4">
        <v>31393</v>
      </c>
      <c r="D3705" s="5" t="s">
        <v>5529</v>
      </c>
      <c r="E3705" s="6" t="str">
        <f>HYPERLINK("https://inpn.mnhn.fr/espece/cd_nom/31393","Mycena polygramma (Bull.) Gray, 1821")</f>
        <v>Mycena polygramma (Bull.) Gray, 1821</v>
      </c>
      <c r="F3705" s="5" t="s">
        <v>2123</v>
      </c>
      <c r="V3705" s="7" t="str">
        <f>HYPERLINK("#Liste_rouge!A"&amp;_xlfn.XMATCH("LC",Liste_rouge!A:A,2,1),"LC")</f>
        <v>LC</v>
      </c>
      <c r="AH3705" s="4" t="str">
        <f>HYPERLINK("#Statut_biogéographique!A"&amp;_xlfn.XMATCH("P",Statut_biogéographique!A:A,2,1),"P")</f>
        <v>P</v>
      </c>
      <c r="AP3705" s="4" t="s">
        <v>376</v>
      </c>
      <c r="AR3705" s="4" t="s">
        <v>377</v>
      </c>
    </row>
    <row r="3706" spans="1:44">
      <c r="A3706" s="4" t="s">
        <v>5</v>
      </c>
      <c r="B3706" s="4">
        <v>31403</v>
      </c>
      <c r="D3706" s="5" t="s">
        <v>5530</v>
      </c>
      <c r="E3706" s="6" t="str">
        <f>HYPERLINK("https://inpn.mnhn.fr/espece/cd_nom/31403","Mycena pseudocorticola Kühner, 1938")</f>
        <v>Mycena pseudocorticola Kühner, 1938</v>
      </c>
      <c r="V3706" s="7" t="str">
        <f>HYPERLINK("#Liste_rouge!A"&amp;_xlfn.XMATCH("LC",Liste_rouge!A:A,2,1),"LC")</f>
        <v>LC</v>
      </c>
      <c r="AH3706" s="4" t="str">
        <f>HYPERLINK("#Statut_biogéographique!A"&amp;_xlfn.XMATCH("P",Statut_biogéographique!A:A,2,1),"P")</f>
        <v>P</v>
      </c>
      <c r="AP3706" s="4" t="s">
        <v>376</v>
      </c>
      <c r="AR3706" s="4" t="s">
        <v>377</v>
      </c>
    </row>
    <row r="3707" spans="1:44" ht="30">
      <c r="A3707" s="4" t="s">
        <v>5</v>
      </c>
      <c r="B3707" s="4">
        <v>31405</v>
      </c>
      <c r="D3707" s="5" t="s">
        <v>5531</v>
      </c>
      <c r="E3707" s="6" t="str">
        <f>HYPERLINK("https://inpn.mnhn.fr/espece/cd_nom/31405","Mycena pseudopicta (J.E.Lange) Kühner, 1938")</f>
        <v>Mycena pseudopicta (J.E.Lange) Kühner, 1938</v>
      </c>
      <c r="V3707" s="7" t="str">
        <f>HYPERLINK("#Liste_rouge!A"&amp;_xlfn.XMATCH("VU",Liste_rouge!A:A,2,1),"VU")</f>
        <v>VU</v>
      </c>
      <c r="W3707" s="4" t="str">
        <f>HYPERLINK("#Critères_liste_rouge!A$1","B2abiii")</f>
        <v>B2abiii</v>
      </c>
      <c r="AH3707" s="4" t="str">
        <f>HYPERLINK("#Statut_biogéographique!A"&amp;_xlfn.XMATCH("P",Statut_biogéographique!A:A,2,1),"P")</f>
        <v>P</v>
      </c>
      <c r="AP3707" s="4" t="s">
        <v>376</v>
      </c>
      <c r="AR3707" s="4" t="s">
        <v>377</v>
      </c>
    </row>
    <row r="3708" spans="1:44">
      <c r="A3708" s="4" t="s">
        <v>5</v>
      </c>
      <c r="B3708" s="4">
        <v>31407</v>
      </c>
      <c r="D3708" s="5" t="s">
        <v>5532</v>
      </c>
      <c r="E3708" s="6" t="str">
        <f>HYPERLINK("https://inpn.mnhn.fr/espece/cd_nom/31407","Mycena pterigena (Fr.) P.Kumm., 1871")</f>
        <v>Mycena pterigena (Fr.) P.Kumm., 1871</v>
      </c>
      <c r="V3708" s="7" t="str">
        <f>HYPERLINK("#Liste_rouge!A"&amp;_xlfn.XMATCH("LC",Liste_rouge!A:A,2,1),"LC")</f>
        <v>LC</v>
      </c>
      <c r="AH3708" s="4" t="str">
        <f>HYPERLINK("#Statut_biogéographique!A"&amp;_xlfn.XMATCH("P",Statut_biogéographique!A:A,2,1),"P")</f>
        <v>P</v>
      </c>
      <c r="AP3708" s="4" t="s">
        <v>376</v>
      </c>
      <c r="AR3708" s="4" t="s">
        <v>377</v>
      </c>
    </row>
    <row r="3709" spans="1:44">
      <c r="A3709" s="4" t="s">
        <v>5</v>
      </c>
      <c r="B3709" s="4">
        <v>31409</v>
      </c>
      <c r="D3709" s="5" t="s">
        <v>5533</v>
      </c>
      <c r="E3709" s="6" t="str">
        <f>HYPERLINK("https://inpn.mnhn.fr/espece/cd_nom/31409","Mycena pura (Pers.) P.Kumm., 1871")</f>
        <v>Mycena pura (Pers.) P.Kumm., 1871</v>
      </c>
      <c r="F3709" s="5" t="s">
        <v>5534</v>
      </c>
      <c r="V3709" s="7" t="str">
        <f>HYPERLINK("#Liste_rouge!A"&amp;_xlfn.XMATCH("LC",Liste_rouge!A:A,2,1),"LC")</f>
        <v>LC</v>
      </c>
      <c r="AH3709" s="4" t="str">
        <f>HYPERLINK("#Statut_biogéographique!A"&amp;_xlfn.XMATCH("P",Statut_biogéographique!A:A,2,1),"P")</f>
        <v>P</v>
      </c>
      <c r="AP3709" s="4" t="s">
        <v>376</v>
      </c>
      <c r="AR3709" s="4" t="s">
        <v>377</v>
      </c>
    </row>
    <row r="3710" spans="1:44">
      <c r="A3710" s="4" t="s">
        <v>5</v>
      </c>
      <c r="B3710" s="4">
        <v>31412</v>
      </c>
      <c r="D3710" s="5" t="s">
        <v>5535</v>
      </c>
      <c r="E3710" s="6" t="str">
        <f>HYPERLINK("https://inpn.mnhn.fr/espece/cd_nom/31412","Mycena pura f. alba (Gillet) Kühner, 1938")</f>
        <v>Mycena pura f. alba (Gillet) Kühner, 1938</v>
      </c>
      <c r="AH3710" s="4" t="str">
        <f>HYPERLINK("#Statut_biogéographique!A"&amp;_xlfn.XMATCH("P",Statut_biogéographique!A:A,2,1),"P")</f>
        <v>P</v>
      </c>
      <c r="AP3710" s="4" t="s">
        <v>376</v>
      </c>
      <c r="AR3710" s="4" t="s">
        <v>377</v>
      </c>
    </row>
    <row r="3711" spans="1:44" ht="30">
      <c r="A3711" s="4" t="s">
        <v>5</v>
      </c>
      <c r="B3711" s="4">
        <v>31416</v>
      </c>
      <c r="D3711" s="5" t="s">
        <v>5536</v>
      </c>
      <c r="E3711" s="6" t="str">
        <f>HYPERLINK("https://inpn.mnhn.fr/espece/cd_nom/31416","Mycena pura f. ianthina (Gillet) Maas Geest., 1989")</f>
        <v>Mycena pura f. ianthina (Gillet) Maas Geest., 1989</v>
      </c>
      <c r="AH3711" s="4" t="str">
        <f>HYPERLINK("#Statut_biogéographique!A"&amp;_xlfn.XMATCH("P",Statut_biogéographique!A:A,2,1),"P")</f>
        <v>P</v>
      </c>
      <c r="AP3711" s="4" t="s">
        <v>376</v>
      </c>
      <c r="AR3711" s="4" t="s">
        <v>377</v>
      </c>
    </row>
    <row r="3712" spans="1:44" ht="30">
      <c r="A3712" s="4" t="s">
        <v>5</v>
      </c>
      <c r="B3712" s="4">
        <v>31429</v>
      </c>
      <c r="D3712" s="5" t="s">
        <v>5537</v>
      </c>
      <c r="E3712" s="6" t="str">
        <f>HYPERLINK("https://inpn.mnhn.fr/espece/cd_nom/31429","Mycena pura f. violacea (Gillet) Maas Geest., 1989")</f>
        <v>Mycena pura f. violacea (Gillet) Maas Geest., 1989</v>
      </c>
      <c r="AH3712" s="4" t="str">
        <f>HYPERLINK("#Statut_biogéographique!A"&amp;_xlfn.XMATCH("P",Statut_biogéographique!A:A,2,1),"P")</f>
        <v>P</v>
      </c>
      <c r="AP3712" s="4" t="s">
        <v>376</v>
      </c>
      <c r="AR3712" s="4" t="s">
        <v>377</v>
      </c>
    </row>
    <row r="3713" spans="1:44">
      <c r="A3713" s="4" t="s">
        <v>5</v>
      </c>
      <c r="B3713" s="4">
        <v>31432</v>
      </c>
      <c r="D3713" s="5" t="s">
        <v>5538</v>
      </c>
      <c r="E3713" s="6" t="str">
        <f>HYPERLINK("https://inpn.mnhn.fr/espece/cd_nom/31432","Mycena purpureofusca (Peck) Sacc., 1887")</f>
        <v>Mycena purpureofusca (Peck) Sacc., 1887</v>
      </c>
      <c r="V3713" s="7" t="str">
        <f>HYPERLINK("#Liste_rouge!A"&amp;_xlfn.XMATCH("EN",Liste_rouge!A:A,2,1),"EN")</f>
        <v>EN</v>
      </c>
      <c r="W3713" s="4" t="str">
        <f>HYPERLINK("#Critères_liste_rouge!A$1","B2abiii")</f>
        <v>B2abiii</v>
      </c>
      <c r="AH3713" s="4" t="str">
        <f>HYPERLINK("#Statut_biogéographique!A"&amp;_xlfn.XMATCH("P",Statut_biogéographique!A:A,2,1),"P")</f>
        <v>P</v>
      </c>
      <c r="AP3713" s="4" t="s">
        <v>376</v>
      </c>
      <c r="AR3713" s="4" t="s">
        <v>377</v>
      </c>
    </row>
    <row r="3714" spans="1:44" ht="30">
      <c r="A3714" s="4" t="s">
        <v>5</v>
      </c>
      <c r="B3714" s="4">
        <v>31448</v>
      </c>
      <c r="D3714" s="5">
        <v>31448</v>
      </c>
      <c r="E3714" s="6" t="str">
        <f>HYPERLINK("https://inpn.mnhn.fr/espece/cd_nom/31448","Mycena rhenana Maas Geest. &amp; Winterh., 1985")</f>
        <v>Mycena rhenana Maas Geest. &amp; Winterh., 1985</v>
      </c>
      <c r="V3714" s="7" t="str">
        <f>HYPERLINK("#Liste_rouge!A"&amp;_xlfn.XMATCH("EN",Liste_rouge!A:A,2,1),"EN")</f>
        <v>EN</v>
      </c>
      <c r="W3714" s="4" t="str">
        <f>HYPERLINK("#Critères_liste_rouge!A$1","B2abiii")</f>
        <v>B2abiii</v>
      </c>
      <c r="AH3714" s="4" t="str">
        <f>HYPERLINK("#Statut_biogéographique!A"&amp;_xlfn.XMATCH("P",Statut_biogéographique!A:A,2,1),"P")</f>
        <v>P</v>
      </c>
      <c r="AP3714" s="4" t="s">
        <v>376</v>
      </c>
      <c r="AR3714" s="4" t="s">
        <v>377</v>
      </c>
    </row>
    <row r="3715" spans="1:44">
      <c r="A3715" s="4" t="s">
        <v>5</v>
      </c>
      <c r="B3715" s="4">
        <v>31450</v>
      </c>
      <c r="D3715" s="5">
        <v>31450</v>
      </c>
      <c r="E3715" s="6" t="str">
        <f>HYPERLINK("https://inpn.mnhn.fr/espece/cd_nom/31450","Mycena riparia Maas Geest., 1986")</f>
        <v>Mycena riparia Maas Geest., 1986</v>
      </c>
      <c r="V3715" s="7" t="str">
        <f>HYPERLINK("#Liste_rouge!A"&amp;_xlfn.XMATCH("DD",Liste_rouge!A:A,2,1),"DD")</f>
        <v>DD</v>
      </c>
      <c r="AH3715" s="4" t="str">
        <f>HYPERLINK("#Statut_biogéographique!A"&amp;_xlfn.XMATCH("P",Statut_biogéographique!A:A,2,1),"P")</f>
        <v>P</v>
      </c>
      <c r="AP3715" s="4" t="s">
        <v>376</v>
      </c>
      <c r="AR3715" s="4" t="s">
        <v>377</v>
      </c>
    </row>
    <row r="3716" spans="1:44">
      <c r="A3716" s="4" t="s">
        <v>5</v>
      </c>
      <c r="B3716" s="4">
        <v>31456</v>
      </c>
      <c r="D3716" s="5" t="s">
        <v>5539</v>
      </c>
      <c r="E3716" s="6" t="str">
        <f>HYPERLINK("https://inpn.mnhn.fr/espece/cd_nom/31456","Mycena rosea Gramberg, 1912")</f>
        <v>Mycena rosea Gramberg, 1912</v>
      </c>
      <c r="F3716" s="5" t="s">
        <v>5540</v>
      </c>
      <c r="V3716" s="7" t="str">
        <f>HYPERLINK("#Liste_rouge!A"&amp;_xlfn.XMATCH("LC",Liste_rouge!A:A,2,1),"LC")</f>
        <v>LC</v>
      </c>
      <c r="AH3716" s="4" t="str">
        <f>HYPERLINK("#Statut_biogéographique!A"&amp;_xlfn.XMATCH("P",Statut_biogéographique!A:A,2,1),"P")</f>
        <v>P</v>
      </c>
      <c r="AP3716" s="4" t="s">
        <v>376</v>
      </c>
      <c r="AR3716" s="4" t="s">
        <v>377</v>
      </c>
    </row>
    <row r="3717" spans="1:44">
      <c r="A3717" s="4" t="s">
        <v>5</v>
      </c>
      <c r="B3717" s="4">
        <v>31458</v>
      </c>
      <c r="D3717" s="5" t="s">
        <v>5541</v>
      </c>
      <c r="E3717" s="6" t="str">
        <f>HYPERLINK("https://inpn.mnhn.fr/espece/cd_nom/31458","Mycena rosella (Fr.) P.Kumm., 1871")</f>
        <v>Mycena rosella (Fr.) P.Kumm., 1871</v>
      </c>
      <c r="V3717" s="7" t="str">
        <f>HYPERLINK("#Liste_rouge!A"&amp;_xlfn.XMATCH("LC",Liste_rouge!A:A,2,1),"LC")</f>
        <v>LC</v>
      </c>
      <c r="AH3717" s="4" t="str">
        <f>HYPERLINK("#Statut_biogéographique!A"&amp;_xlfn.XMATCH("P",Statut_biogéographique!A:A,2,1),"P")</f>
        <v>P</v>
      </c>
      <c r="AP3717" s="4" t="s">
        <v>376</v>
      </c>
      <c r="AR3717" s="4" t="s">
        <v>377</v>
      </c>
    </row>
    <row r="3718" spans="1:44" ht="30">
      <c r="A3718" s="4" t="s">
        <v>5</v>
      </c>
      <c r="B3718" s="4">
        <v>31463</v>
      </c>
      <c r="D3718" s="5" t="s">
        <v>5542</v>
      </c>
      <c r="E3718" s="6" t="str">
        <f>HYPERLINK("https://inpn.mnhn.fr/espece/cd_nom/31463","Mycena olivaceomarginata f. roseofusca (Kühner) Maas Geest., 1986")</f>
        <v>Mycena olivaceomarginata f. roseofusca (Kühner) Maas Geest., 1986</v>
      </c>
      <c r="V3718" s="7" t="str">
        <f>HYPERLINK("#Liste_rouge!A"&amp;_xlfn.XMATCH("DD",Liste_rouge!A:A,2,1),"DD")</f>
        <v>DD</v>
      </c>
      <c r="AH3718" s="4" t="str">
        <f>HYPERLINK("#Statut_biogéographique!A"&amp;_xlfn.XMATCH("P",Statut_biogéographique!A:A,2,1),"P")</f>
        <v>P</v>
      </c>
      <c r="AP3718" s="4" t="s">
        <v>376</v>
      </c>
      <c r="AR3718" s="4" t="s">
        <v>377</v>
      </c>
    </row>
    <row r="3719" spans="1:44">
      <c r="A3719" s="4" t="s">
        <v>5</v>
      </c>
      <c r="B3719" s="4">
        <v>31465</v>
      </c>
      <c r="D3719" s="5" t="s">
        <v>5543</v>
      </c>
      <c r="E3719" s="6" t="str">
        <f>HYPERLINK("https://inpn.mnhn.fr/espece/cd_nom/31465","Mycena rubromarginata (Fr.) P.Kumm., 1871")</f>
        <v>Mycena rubromarginata (Fr.) P.Kumm., 1871</v>
      </c>
      <c r="V3719" s="7" t="str">
        <f>HYPERLINK("#Liste_rouge!A"&amp;_xlfn.XMATCH("LC",Liste_rouge!A:A,2,1),"LC")</f>
        <v>LC</v>
      </c>
      <c r="AH3719" s="4" t="str">
        <f>HYPERLINK("#Statut_biogéographique!A"&amp;_xlfn.XMATCH("P",Statut_biogéographique!A:A,2,1),"P")</f>
        <v>P</v>
      </c>
      <c r="AP3719" s="4" t="s">
        <v>376</v>
      </c>
      <c r="AR3719" s="4" t="s">
        <v>377</v>
      </c>
    </row>
    <row r="3720" spans="1:44" ht="30">
      <c r="A3720" s="4" t="s">
        <v>5</v>
      </c>
      <c r="B3720" s="4">
        <v>31468</v>
      </c>
      <c r="D3720" s="5" t="s">
        <v>5544</v>
      </c>
      <c r="E3720" s="6" t="str">
        <f>HYPERLINK("https://inpn.mnhn.fr/espece/cd_nom/31468","Mycena sanguinolenta (Alb. &amp; Schwein.) P.Kumm., 1871")</f>
        <v>Mycena sanguinolenta (Alb. &amp; Schwein.) P.Kumm., 1871</v>
      </c>
      <c r="F3720" s="5" t="s">
        <v>5545</v>
      </c>
      <c r="V3720" s="7" t="str">
        <f>HYPERLINK("#Liste_rouge!A"&amp;_xlfn.XMATCH("LC",Liste_rouge!A:A,2,1),"LC")</f>
        <v>LC</v>
      </c>
      <c r="AH3720" s="4" t="str">
        <f>HYPERLINK("#Statut_biogéographique!A"&amp;_xlfn.XMATCH("P",Statut_biogéographique!A:A,2,1),"P")</f>
        <v>P</v>
      </c>
      <c r="AP3720" s="4" t="s">
        <v>376</v>
      </c>
      <c r="AR3720" s="4" t="s">
        <v>377</v>
      </c>
    </row>
    <row r="3721" spans="1:44" ht="30">
      <c r="A3721" s="4" t="s">
        <v>5</v>
      </c>
      <c r="B3721" s="4">
        <v>31480</v>
      </c>
      <c r="D3721" s="5" t="s">
        <v>5546</v>
      </c>
      <c r="E3721" s="6" t="str">
        <f>HYPERLINK("https://inpn.mnhn.fr/espece/cd_nom/31480","Mycena silvae-nigrae Maas Geest. &amp; Schwöbel, 1987")</f>
        <v>Mycena silvae-nigrae Maas Geest. &amp; Schwöbel, 1987</v>
      </c>
      <c r="V3721" s="7" t="str">
        <f>HYPERLINK("#Liste_rouge!A"&amp;_xlfn.XMATCH("EN",Liste_rouge!A:A,2,1),"EN")</f>
        <v>EN</v>
      </c>
      <c r="W3721" s="4" t="str">
        <f>HYPERLINK("#Critères_liste_rouge!A$1","B2abiii")</f>
        <v>B2abiii</v>
      </c>
      <c r="AH3721" s="4" t="str">
        <f>HYPERLINK("#Statut_biogéographique!A"&amp;_xlfn.XMATCH("P",Statut_biogéographique!A:A,2,1),"P")</f>
        <v>P</v>
      </c>
      <c r="AP3721" s="4" t="s">
        <v>376</v>
      </c>
      <c r="AR3721" s="4" t="s">
        <v>377</v>
      </c>
    </row>
    <row r="3722" spans="1:44" ht="30">
      <c r="A3722" s="4" t="s">
        <v>5</v>
      </c>
      <c r="B3722" s="4">
        <v>31491</v>
      </c>
      <c r="D3722" s="5" t="s">
        <v>5547</v>
      </c>
      <c r="E3722" s="6" t="str">
        <f>HYPERLINK("https://inpn.mnhn.fr/espece/cd_nom/31491","Mycena stipata Maas Geest. &amp; Schwöbel, 1987")</f>
        <v>Mycena stipata Maas Geest. &amp; Schwöbel, 1987</v>
      </c>
      <c r="V3722" s="7" t="str">
        <f>HYPERLINK("#Liste_rouge!A"&amp;_xlfn.XMATCH("LC",Liste_rouge!A:A,2,1),"LC")</f>
        <v>LC</v>
      </c>
      <c r="AH3722" s="4" t="str">
        <f>HYPERLINK("#Statut_biogéographique!A"&amp;_xlfn.XMATCH("P",Statut_biogéographique!A:A,2,1),"P")</f>
        <v>P</v>
      </c>
      <c r="AP3722" s="4" t="s">
        <v>376</v>
      </c>
      <c r="AR3722" s="4" t="s">
        <v>377</v>
      </c>
    </row>
    <row r="3723" spans="1:44" ht="30">
      <c r="A3723" s="4" t="s">
        <v>5</v>
      </c>
      <c r="B3723" s="4">
        <v>31501</v>
      </c>
      <c r="D3723" s="5" t="s">
        <v>5548</v>
      </c>
      <c r="E3723" s="6" t="str">
        <f>HYPERLINK("https://inpn.mnhn.fr/espece/cd_nom/31501","Mycena stylobates (Pers.) P.Kumm., 1871")</f>
        <v>Mycena stylobates (Pers.) P.Kumm., 1871</v>
      </c>
      <c r="V3723" s="7" t="str">
        <f>HYPERLINK("#Liste_rouge!A"&amp;_xlfn.XMATCH("LC",Liste_rouge!A:A,2,1),"LC")</f>
        <v>LC</v>
      </c>
      <c r="AH3723" s="4" t="str">
        <f>HYPERLINK("#Statut_biogéographique!A"&amp;_xlfn.XMATCH("P",Statut_biogéographique!A:A,2,1),"P")</f>
        <v>P</v>
      </c>
      <c r="AP3723" s="4" t="s">
        <v>376</v>
      </c>
      <c r="AR3723" s="4" t="s">
        <v>377</v>
      </c>
    </row>
    <row r="3724" spans="1:44" ht="30">
      <c r="A3724" s="4" t="s">
        <v>5</v>
      </c>
      <c r="B3724" s="4">
        <v>31510</v>
      </c>
      <c r="D3724" s="5" t="s">
        <v>5549</v>
      </c>
      <c r="E3724" s="6" t="str">
        <f>HYPERLINK("https://inpn.mnhn.fr/espece/cd_nom/31510","Mycena tenerrima (Berk.) Quél., 1872")</f>
        <v>Mycena tenerrima (Berk.) Quél., 1872</v>
      </c>
      <c r="V3724" s="7" t="str">
        <f>HYPERLINK("#Liste_rouge!A"&amp;_xlfn.XMATCH("LC",Liste_rouge!A:A,2,1),"LC")</f>
        <v>LC</v>
      </c>
      <c r="AH3724" s="4" t="str">
        <f>HYPERLINK("#Statut_biogéographique!A"&amp;_xlfn.XMATCH("P",Statut_biogéographique!A:A,2,1),"P")</f>
        <v>P</v>
      </c>
      <c r="AP3724" s="4" t="s">
        <v>376</v>
      </c>
      <c r="AR3724" s="4" t="s">
        <v>377</v>
      </c>
    </row>
    <row r="3725" spans="1:44" ht="30">
      <c r="A3725" s="4" t="s">
        <v>5</v>
      </c>
      <c r="B3725" s="4">
        <v>31521</v>
      </c>
      <c r="D3725" s="5" t="s">
        <v>5550</v>
      </c>
      <c r="E3725" s="6" t="str">
        <f>HYPERLINK("https://inpn.mnhn.fr/espece/cd_nom/31521","Mycena tintinnabulum (Paulet) Quél., 1872")</f>
        <v>Mycena tintinnabulum (Paulet) Quél., 1872</v>
      </c>
      <c r="V3725" s="7" t="str">
        <f>HYPERLINK("#Liste_rouge!A"&amp;_xlfn.XMATCH("LC",Liste_rouge!A:A,2,1),"LC")</f>
        <v>LC</v>
      </c>
      <c r="AH3725" s="4" t="str">
        <f>HYPERLINK("#Statut_biogéographique!A"&amp;_xlfn.XMATCH("P",Statut_biogéographique!A:A,2,1),"P")</f>
        <v>P</v>
      </c>
      <c r="AP3725" s="4" t="s">
        <v>376</v>
      </c>
      <c r="AR3725" s="4" t="s">
        <v>377</v>
      </c>
    </row>
    <row r="3726" spans="1:44" ht="30">
      <c r="A3726" s="4" t="s">
        <v>5</v>
      </c>
      <c r="B3726" s="4">
        <v>31538</v>
      </c>
      <c r="D3726" s="5" t="s">
        <v>5551</v>
      </c>
      <c r="E3726" s="6" t="str">
        <f>HYPERLINK("https://inpn.mnhn.fr/espece/cd_nom/31538","Mycena viridimarginata P.Karst., 1892")</f>
        <v>Mycena viridimarginata P.Karst., 1892</v>
      </c>
      <c r="V3726" s="7" t="str">
        <f>HYPERLINK("#Liste_rouge!A"&amp;_xlfn.XMATCH("NT",Liste_rouge!A:A,2,1),"NT")</f>
        <v>NT</v>
      </c>
      <c r="W3726" s="4" t="str">
        <f>HYPERLINK("#Critères_liste_rouge!A$1","pr. B2abiii")</f>
        <v>pr. B2abiii</v>
      </c>
      <c r="AH3726" s="4" t="str">
        <f>HYPERLINK("#Statut_biogéographique!A"&amp;_xlfn.XMATCH("P",Statut_biogéographique!A:A,2,1),"P")</f>
        <v>P</v>
      </c>
      <c r="AP3726" s="4" t="s">
        <v>376</v>
      </c>
      <c r="AR3726" s="4" t="s">
        <v>377</v>
      </c>
    </row>
    <row r="3727" spans="1:44">
      <c r="A3727" s="4" t="s">
        <v>5</v>
      </c>
      <c r="B3727" s="4">
        <v>31541</v>
      </c>
      <c r="D3727" s="5" t="s">
        <v>5552</v>
      </c>
      <c r="E3727" s="6" t="str">
        <f>HYPERLINK("https://inpn.mnhn.fr/espece/cd_nom/31541","Mycena viscosa Secr. ex Maire, 1910")</f>
        <v>Mycena viscosa Secr. ex Maire, 1910</v>
      </c>
      <c r="V3727" s="7" t="str">
        <f>HYPERLINK("#Liste_rouge!A"&amp;_xlfn.XMATCH("LC",Liste_rouge!A:A,2,1),"LC")</f>
        <v>LC</v>
      </c>
      <c r="AH3727" s="4" t="str">
        <f>HYPERLINK("#Statut_biogéographique!A"&amp;_xlfn.XMATCH("P",Statut_biogéographique!A:A,2,1),"P")</f>
        <v>P</v>
      </c>
      <c r="AP3727" s="4" t="s">
        <v>376</v>
      </c>
      <c r="AR3727" s="4" t="s">
        <v>377</v>
      </c>
    </row>
    <row r="3728" spans="1:44">
      <c r="A3728" s="4" t="s">
        <v>5</v>
      </c>
      <c r="B3728" s="4">
        <v>31545</v>
      </c>
      <c r="D3728" s="5" t="s">
        <v>5553</v>
      </c>
      <c r="E3728" s="6" t="str">
        <f>HYPERLINK("https://inpn.mnhn.fr/espece/cd_nom/31545","Mycena vitilis (Fr.) Quél., 1872")</f>
        <v>Mycena vitilis (Fr.) Quél., 1872</v>
      </c>
      <c r="V3728" s="7" t="str">
        <f>HYPERLINK("#Liste_rouge!A"&amp;_xlfn.XMATCH("LC",Liste_rouge!A:A,2,1),"LC")</f>
        <v>LC</v>
      </c>
      <c r="AH3728" s="4" t="str">
        <f>HYPERLINK("#Statut_biogéographique!A"&amp;_xlfn.XMATCH("P",Statut_biogéographique!A:A,2,1),"P")</f>
        <v>P</v>
      </c>
      <c r="AP3728" s="4" t="s">
        <v>376</v>
      </c>
      <c r="AR3728" s="4" t="s">
        <v>377</v>
      </c>
    </row>
    <row r="3729" spans="1:44">
      <c r="A3729" s="4" t="s">
        <v>5</v>
      </c>
      <c r="B3729" s="4">
        <v>31552</v>
      </c>
      <c r="D3729" s="5" t="s">
        <v>5554</v>
      </c>
      <c r="E3729" s="6" t="str">
        <f>HYPERLINK("https://inpn.mnhn.fr/espece/cd_nom/31552","Mycena vulgaris (Pers.) P.Kumm., 1871")</f>
        <v>Mycena vulgaris (Pers.) P.Kumm., 1871</v>
      </c>
      <c r="V3729" s="7" t="str">
        <f>HYPERLINK("#Liste_rouge!A"&amp;_xlfn.XMATCH("LC",Liste_rouge!A:A,2,1),"LC")</f>
        <v>LC</v>
      </c>
      <c r="AH3729" s="4" t="str">
        <f>HYPERLINK("#Statut_biogéographique!A"&amp;_xlfn.XMATCH("P",Statut_biogéographique!A:A,2,1),"P")</f>
        <v>P</v>
      </c>
      <c r="AP3729" s="4" t="s">
        <v>376</v>
      </c>
      <c r="AR3729" s="4" t="s">
        <v>377</v>
      </c>
    </row>
    <row r="3730" spans="1:44">
      <c r="A3730" s="4" t="s">
        <v>5</v>
      </c>
      <c r="B3730" s="4">
        <v>31557</v>
      </c>
      <c r="D3730" s="5">
        <v>31557</v>
      </c>
      <c r="E3730" s="6" t="str">
        <f>HYPERLINK("https://inpn.mnhn.fr/espece/cd_nom/31557","Mycena xantholeuca Kühner, 1938")</f>
        <v>Mycena xantholeuca Kühner, 1938</v>
      </c>
      <c r="AH3730" s="4" t="str">
        <f>HYPERLINK("#Statut_biogéographique!A"&amp;_xlfn.XMATCH("P",Statut_biogéographique!A:A,2,1),"P")</f>
        <v>P</v>
      </c>
      <c r="AP3730" s="4" t="s">
        <v>376</v>
      </c>
      <c r="AR3730" s="4" t="s">
        <v>377</v>
      </c>
    </row>
    <row r="3731" spans="1:44">
      <c r="A3731" s="4" t="s">
        <v>5</v>
      </c>
      <c r="B3731" s="4">
        <v>31568</v>
      </c>
      <c r="D3731" s="5" t="s">
        <v>5555</v>
      </c>
      <c r="E3731" s="6" t="str">
        <f>HYPERLINK("https://inpn.mnhn.fr/espece/cd_nom/31568","Mycenella bryophila (Voglino) Singer, 1951")</f>
        <v>Mycenella bryophila (Voglino) Singer, 1951</v>
      </c>
      <c r="V3731" s="7" t="str">
        <f>HYPERLINK("#Liste_rouge!A"&amp;_xlfn.XMATCH("EN",Liste_rouge!A:A,2,1),"EN")</f>
        <v>EN</v>
      </c>
      <c r="W3731" s="4" t="str">
        <f>HYPERLINK("#Critères_liste_rouge!A$1","B2abiii")</f>
        <v>B2abiii</v>
      </c>
      <c r="AH3731" s="4" t="str">
        <f>HYPERLINK("#Statut_biogéographique!A"&amp;_xlfn.XMATCH("P",Statut_biogéographique!A:A,2,1),"P")</f>
        <v>P</v>
      </c>
      <c r="AP3731" s="4" t="s">
        <v>376</v>
      </c>
      <c r="AR3731" s="4" t="s">
        <v>377</v>
      </c>
    </row>
    <row r="3732" spans="1:44" ht="30">
      <c r="A3732" s="4" t="s">
        <v>5</v>
      </c>
      <c r="B3732" s="4">
        <v>31592</v>
      </c>
      <c r="D3732" s="5" t="s">
        <v>5556</v>
      </c>
      <c r="E3732" s="6" t="str">
        <f>HYPERLINK("https://inpn.mnhn.fr/espece/cd_nom/31592","Xerula caussei Maire, 1937")</f>
        <v>Xerula caussei Maire, 1937</v>
      </c>
      <c r="V3732" s="7" t="str">
        <f>HYPERLINK("#Liste_rouge!A"&amp;_xlfn.XMATCH("VU",Liste_rouge!A:A,2,1),"VU")</f>
        <v>VU</v>
      </c>
      <c r="W3732" s="4" t="str">
        <f>HYPERLINK("#Critères_liste_rouge!A$1","A2c")</f>
        <v>A2c</v>
      </c>
      <c r="AH3732" s="4" t="str">
        <f>HYPERLINK("#Statut_biogéographique!A"&amp;_xlfn.XMATCH("P",Statut_biogéographique!A:A,2,1),"P")</f>
        <v>P</v>
      </c>
      <c r="AP3732" s="4" t="s">
        <v>376</v>
      </c>
      <c r="AR3732" s="4" t="s">
        <v>377</v>
      </c>
    </row>
    <row r="3733" spans="1:44">
      <c r="A3733" s="4" t="s">
        <v>5</v>
      </c>
      <c r="B3733" s="4">
        <v>31600</v>
      </c>
      <c r="D3733" s="5" t="s">
        <v>5557</v>
      </c>
      <c r="E3733" s="6" t="str">
        <f>HYPERLINK("https://inpn.mnhn.fr/espece/cd_nom/31600","Xerula melanotricha Dörfelt, 1979")</f>
        <v>Xerula melanotricha Dörfelt, 1979</v>
      </c>
      <c r="V3733" s="7" t="str">
        <f>HYPERLINK("#Liste_rouge!A"&amp;_xlfn.XMATCH("EN",Liste_rouge!A:A,2,1),"EN")</f>
        <v>EN</v>
      </c>
      <c r="W3733" s="4" t="str">
        <f>HYPERLINK("#Critères_liste_rouge!A$1","B2abiii")</f>
        <v>B2abiii</v>
      </c>
      <c r="AH3733" s="4" t="str">
        <f>HYPERLINK("#Statut_biogéographique!A"&amp;_xlfn.XMATCH("P",Statut_biogéographique!A:A,2,1),"P")</f>
        <v>P</v>
      </c>
      <c r="AP3733" s="4" t="s">
        <v>376</v>
      </c>
      <c r="AR3733" s="4" t="s">
        <v>377</v>
      </c>
    </row>
    <row r="3734" spans="1:44">
      <c r="A3734" s="4" t="s">
        <v>5</v>
      </c>
      <c r="B3734" s="4">
        <v>31619</v>
      </c>
      <c r="D3734" s="5">
        <v>31619</v>
      </c>
      <c r="E3734" s="6" t="str">
        <f>HYPERLINK("https://inpn.mnhn.fr/espece/cd_nom/31619","Phaeocollybia arduennensis Bon, 1979")</f>
        <v>Phaeocollybia arduennensis Bon, 1979</v>
      </c>
      <c r="V3734" s="7" t="str">
        <f>HYPERLINK("#Liste_rouge!A"&amp;_xlfn.XMATCH("EN",Liste_rouge!A:A,2,1),"EN")</f>
        <v>EN</v>
      </c>
      <c r="W3734" s="4" t="str">
        <f>HYPERLINK("#Critères_liste_rouge!A$1","A2c")</f>
        <v>A2c</v>
      </c>
      <c r="AH3734" s="4" t="str">
        <f>HYPERLINK("#Statut_biogéographique!A"&amp;_xlfn.XMATCH("P",Statut_biogéographique!A:A,2,1),"P")</f>
        <v>P</v>
      </c>
      <c r="AP3734" s="4" t="s">
        <v>376</v>
      </c>
      <c r="AR3734" s="4" t="s">
        <v>377</v>
      </c>
    </row>
    <row r="3735" spans="1:44" ht="30">
      <c r="A3735" s="4" t="s">
        <v>5</v>
      </c>
      <c r="B3735" s="4">
        <v>31627</v>
      </c>
      <c r="D3735" s="5" t="s">
        <v>5558</v>
      </c>
      <c r="E3735" s="6" t="str">
        <f>HYPERLINK("https://inpn.mnhn.fr/espece/cd_nom/31627","Phaeocollybia christinae (Fr.) R.Heim, 1931")</f>
        <v>Phaeocollybia christinae (Fr.) R.Heim, 1931</v>
      </c>
      <c r="V3735" s="7" t="str">
        <f>HYPERLINK("#Liste_rouge!A"&amp;_xlfn.XMATCH("NT",Liste_rouge!A:A,2,1),"NT")</f>
        <v>NT</v>
      </c>
      <c r="W3735" s="4" t="str">
        <f>HYPERLINK("#Critères_liste_rouge!A$1","pr. B2abiii")</f>
        <v>pr. B2abiii</v>
      </c>
      <c r="AH3735" s="4" t="str">
        <f>HYPERLINK("#Statut_biogéographique!A"&amp;_xlfn.XMATCH("P",Statut_biogéographique!A:A,2,1),"P")</f>
        <v>P</v>
      </c>
      <c r="AP3735" s="4" t="s">
        <v>376</v>
      </c>
      <c r="AR3735" s="4" t="s">
        <v>377</v>
      </c>
    </row>
    <row r="3736" spans="1:44">
      <c r="A3736" s="4" t="s">
        <v>5</v>
      </c>
      <c r="B3736" s="4">
        <v>31632</v>
      </c>
      <c r="D3736" s="5" t="s">
        <v>5559</v>
      </c>
      <c r="E3736" s="6" t="str">
        <f>HYPERLINK("https://inpn.mnhn.fr/espece/cd_nom/31632","Phaeocollybia lugubris (Fr.) R.Heim, 1931")</f>
        <v>Phaeocollybia lugubris (Fr.) R.Heim, 1931</v>
      </c>
      <c r="V3736" s="7" t="str">
        <f>HYPERLINK("#Liste_rouge!A"&amp;_xlfn.XMATCH("EN",Liste_rouge!A:A,2,1),"EN")</f>
        <v>EN</v>
      </c>
      <c r="W3736" s="4" t="str">
        <f>HYPERLINK("#Critères_liste_rouge!A$1","B2abiii")</f>
        <v>B2abiii</v>
      </c>
      <c r="AH3736" s="4" t="str">
        <f>HYPERLINK("#Statut_biogéographique!A"&amp;_xlfn.XMATCH("P",Statut_biogéographique!A:A,2,1),"P")</f>
        <v>P</v>
      </c>
      <c r="AP3736" s="4" t="s">
        <v>376</v>
      </c>
      <c r="AR3736" s="4" t="s">
        <v>377</v>
      </c>
    </row>
    <row r="3737" spans="1:44" ht="30">
      <c r="A3737" s="4" t="s">
        <v>5</v>
      </c>
      <c r="B3737" s="4">
        <v>31652</v>
      </c>
      <c r="D3737" s="5" t="s">
        <v>5560</v>
      </c>
      <c r="E3737" s="6" t="str">
        <f>HYPERLINK("https://inpn.mnhn.fr/espece/cd_nom/31652","Strobilurus esculentus (Wulfen) Singer, 1962")</f>
        <v>Strobilurus esculentus (Wulfen) Singer, 1962</v>
      </c>
      <c r="F3737" s="5" t="s">
        <v>5561</v>
      </c>
      <c r="V3737" s="7" t="str">
        <f>HYPERLINK("#Liste_rouge!A"&amp;_xlfn.XMATCH("LC",Liste_rouge!A:A,2,1),"LC")</f>
        <v>LC</v>
      </c>
      <c r="AH3737" s="4" t="str">
        <f>HYPERLINK("#Statut_biogéographique!A"&amp;_xlfn.XMATCH("P",Statut_biogéographique!A:A,2,1),"P")</f>
        <v>P</v>
      </c>
      <c r="AP3737" s="4" t="s">
        <v>376</v>
      </c>
      <c r="AR3737" s="4" t="s">
        <v>377</v>
      </c>
    </row>
    <row r="3738" spans="1:44" ht="30">
      <c r="A3738" s="4" t="s">
        <v>5</v>
      </c>
      <c r="B3738" s="4">
        <v>31656</v>
      </c>
      <c r="D3738" s="5" t="s">
        <v>5562</v>
      </c>
      <c r="E3738" s="6" t="str">
        <f>HYPERLINK("https://inpn.mnhn.fr/espece/cd_nom/31656","Strobilurus stephanocystis (Kühner &amp; Romagn. ex Hora) Singer, 1962")</f>
        <v>Strobilurus stephanocystis (Kühner &amp; Romagn. ex Hora) Singer, 1962</v>
      </c>
      <c r="F3738" s="5" t="s">
        <v>5563</v>
      </c>
      <c r="AH3738" s="4" t="str">
        <f>HYPERLINK("#Statut_biogéographique!A"&amp;_xlfn.XMATCH("P",Statut_biogéographique!A:A,2,1),"P")</f>
        <v>P</v>
      </c>
      <c r="AP3738" s="4" t="s">
        <v>376</v>
      </c>
      <c r="AR3738" s="4" t="s">
        <v>377</v>
      </c>
    </row>
    <row r="3739" spans="1:44" ht="30">
      <c r="A3739" s="4" t="s">
        <v>5</v>
      </c>
      <c r="B3739" s="4">
        <v>31660</v>
      </c>
      <c r="D3739" s="5" t="s">
        <v>5564</v>
      </c>
      <c r="E3739" s="6" t="str">
        <f>HYPERLINK("https://inpn.mnhn.fr/espece/cd_nom/31660","Strobilurus tenacellus (Pers.) Singer, 1962")</f>
        <v>Strobilurus tenacellus (Pers.) Singer, 1962</v>
      </c>
      <c r="F3739" s="5" t="s">
        <v>2729</v>
      </c>
      <c r="V3739" s="7" t="str">
        <f>HYPERLINK("#Liste_rouge!A"&amp;_xlfn.XMATCH("LC",Liste_rouge!A:A,2,1),"LC")</f>
        <v>LC</v>
      </c>
      <c r="AH3739" s="4" t="str">
        <f>HYPERLINK("#Statut_biogéographique!A"&amp;_xlfn.XMATCH("P",Statut_biogéographique!A:A,2,1),"P")</f>
        <v>P</v>
      </c>
      <c r="AP3739" s="4" t="s">
        <v>376</v>
      </c>
      <c r="AR3739" s="4" t="s">
        <v>377</v>
      </c>
    </row>
    <row r="3740" spans="1:44">
      <c r="A3740" s="4" t="s">
        <v>5</v>
      </c>
      <c r="B3740" s="4">
        <v>31666</v>
      </c>
      <c r="C3740" s="4">
        <v>3140</v>
      </c>
      <c r="D3740" s="5" t="s">
        <v>5565</v>
      </c>
      <c r="E3740" s="6" t="str">
        <f>HYPERLINK("https://inpn.mnhn.fr/espece/cd_nom/31666","Armillaria borealis Marxm. &amp; Korhonen, 1982")</f>
        <v>Armillaria borealis Marxm. &amp; Korhonen, 1982</v>
      </c>
      <c r="F3740" s="5" t="s">
        <v>5566</v>
      </c>
      <c r="V3740" s="7" t="str">
        <f>HYPERLINK("#Liste_rouge!A"&amp;_xlfn.XMATCH("DD",Liste_rouge!A:A,2,1),"DD")</f>
        <v>DD</v>
      </c>
      <c r="AH3740" s="4" t="str">
        <f>HYPERLINK("#Statut_biogéographique!A"&amp;_xlfn.XMATCH("P",Statut_biogéographique!A:A,2,1),"P")</f>
        <v>P</v>
      </c>
      <c r="AP3740" s="4" t="s">
        <v>376</v>
      </c>
      <c r="AR3740" s="4" t="s">
        <v>377</v>
      </c>
    </row>
    <row r="3741" spans="1:44">
      <c r="A3741" s="4" t="s">
        <v>5</v>
      </c>
      <c r="B3741" s="4">
        <v>31670</v>
      </c>
      <c r="C3741" s="4">
        <v>5252</v>
      </c>
      <c r="D3741" s="5" t="s">
        <v>5567</v>
      </c>
      <c r="E3741" s="6" t="str">
        <f>HYPERLINK("https://inpn.mnhn.fr/espece/cd_nom/31670","Armillaria cepistipes Velen., 1920")</f>
        <v>Armillaria cepistipes Velen., 1920</v>
      </c>
      <c r="F3741" s="5" t="s">
        <v>5568</v>
      </c>
      <c r="V3741" s="7" t="str">
        <f>HYPERLINK("#Liste_rouge!A"&amp;_xlfn.XMATCH("LC",Liste_rouge!A:A,2,1),"LC")</f>
        <v>LC</v>
      </c>
      <c r="AH3741" s="4" t="str">
        <f>HYPERLINK("#Statut_biogéographique!A"&amp;_xlfn.XMATCH("P",Statut_biogéographique!A:A,2,1),"P")</f>
        <v>P</v>
      </c>
      <c r="AP3741" s="4" t="s">
        <v>376</v>
      </c>
      <c r="AR3741" s="4" t="s">
        <v>377</v>
      </c>
    </row>
    <row r="3742" spans="1:44" ht="30">
      <c r="A3742" s="4" t="s">
        <v>5</v>
      </c>
      <c r="B3742" s="4">
        <v>31673</v>
      </c>
      <c r="C3742" s="4">
        <v>5297</v>
      </c>
      <c r="D3742" s="5" t="s">
        <v>5569</v>
      </c>
      <c r="E3742" s="6" t="str">
        <f>HYPERLINK("https://inpn.mnhn.fr/espece/cd_nom/31673","Armillaria ectypa (Fr.) Emel")</f>
        <v>Armillaria ectypa (Fr.) Emel</v>
      </c>
      <c r="F3742" s="5" t="s">
        <v>5570</v>
      </c>
      <c r="V3742" s="7" t="str">
        <f>HYPERLINK("#Liste_rouge!A"&amp;_xlfn.XMATCH("CR",Liste_rouge!A:A,2,1),"CR")</f>
        <v>CR</v>
      </c>
      <c r="W3742" s="4" t="str">
        <f>HYPERLINK("#Critères_liste_rouge!A$1","B2abiii")</f>
        <v>B2abiii</v>
      </c>
      <c r="Z3742" s="4" t="s">
        <v>512</v>
      </c>
      <c r="AA3742" s="4" t="s">
        <v>513</v>
      </c>
      <c r="AH3742" s="4" t="str">
        <f>HYPERLINK("#Statut_biogéographique!A"&amp;_xlfn.XMATCH("P",Statut_biogéographique!A:A,2,1),"P")</f>
        <v>P</v>
      </c>
      <c r="AP3742" s="4" t="s">
        <v>376</v>
      </c>
      <c r="AR3742" s="4" t="s">
        <v>377</v>
      </c>
    </row>
    <row r="3743" spans="1:44">
      <c r="A3743" s="4" t="s">
        <v>5</v>
      </c>
      <c r="B3743" s="4">
        <v>31678</v>
      </c>
      <c r="C3743" s="4">
        <v>576</v>
      </c>
      <c r="D3743" s="5" t="s">
        <v>5571</v>
      </c>
      <c r="E3743" s="6" t="str">
        <f>HYPERLINK("https://inpn.mnhn.fr/espece/cd_nom/31678","Armillaria gallica Marxm. &amp; Romagn., 1987")</f>
        <v>Armillaria gallica Marxm. &amp; Romagn., 1987</v>
      </c>
      <c r="F3743" s="5" t="s">
        <v>5572</v>
      </c>
      <c r="V3743" s="7" t="str">
        <f>HYPERLINK("#Liste_rouge!A"&amp;_xlfn.XMATCH("LC",Liste_rouge!A:A,2,1),"LC")</f>
        <v>LC</v>
      </c>
      <c r="AH3743" s="4" t="str">
        <f>HYPERLINK("#Statut_biogéographique!A"&amp;_xlfn.XMATCH("P",Statut_biogéographique!A:A,2,1),"P")</f>
        <v>P</v>
      </c>
      <c r="AP3743" s="4" t="s">
        <v>376</v>
      </c>
      <c r="AR3743" s="4" t="s">
        <v>377</v>
      </c>
    </row>
    <row r="3744" spans="1:44" ht="30">
      <c r="A3744" s="4" t="s">
        <v>5</v>
      </c>
      <c r="B3744" s="4">
        <v>31682</v>
      </c>
      <c r="C3744" s="4">
        <v>38</v>
      </c>
      <c r="D3744" s="5" t="s">
        <v>5573</v>
      </c>
      <c r="E3744" s="6" t="str">
        <f>HYPERLINK("https://inpn.mnhn.fr/espece/cd_nom/31682","Armillaria mellea (Vahl) P.Kumm., 1871")</f>
        <v>Armillaria mellea (Vahl) P.Kumm., 1871</v>
      </c>
      <c r="F3744" s="5" t="s">
        <v>5574</v>
      </c>
      <c r="V3744" s="7" t="str">
        <f>HYPERLINK("#Liste_rouge!A"&amp;_xlfn.XMATCH("LC",Liste_rouge!A:A,2,1),"LC")</f>
        <v>LC</v>
      </c>
      <c r="AH3744" s="4" t="str">
        <f>HYPERLINK("#Statut_biogéographique!A"&amp;_xlfn.XMATCH("P",Statut_biogéographique!A:A,2,1),"P")</f>
        <v>P</v>
      </c>
      <c r="AP3744" s="4" t="s">
        <v>376</v>
      </c>
      <c r="AR3744" s="4" t="s">
        <v>377</v>
      </c>
    </row>
    <row r="3745" spans="1:44" ht="30">
      <c r="A3745" s="4" t="s">
        <v>5</v>
      </c>
      <c r="B3745" s="4">
        <v>31686</v>
      </c>
      <c r="C3745" s="4">
        <v>1674</v>
      </c>
      <c r="D3745" s="5" t="s">
        <v>5575</v>
      </c>
      <c r="E3745" s="6" t="str">
        <f>HYPERLINK("https://inpn.mnhn.fr/espece/cd_nom/31686","Armillaria ostoyae (Romagn.) Herink, 1973")</f>
        <v>Armillaria ostoyae (Romagn.) Herink, 1973</v>
      </c>
      <c r="F3745" s="5" t="s">
        <v>5576</v>
      </c>
      <c r="V3745" s="7" t="str">
        <f>HYPERLINK("#Liste_rouge!A"&amp;_xlfn.XMATCH("LC",Liste_rouge!A:A,2,1),"LC")</f>
        <v>LC</v>
      </c>
      <c r="AH3745" s="4" t="str">
        <f>HYPERLINK("#Statut_biogéographique!A"&amp;_xlfn.XMATCH("P",Statut_biogéographique!A:A,2,1),"P")</f>
        <v>P</v>
      </c>
      <c r="AP3745" s="4" t="s">
        <v>376</v>
      </c>
      <c r="AR3745" s="4" t="s">
        <v>377</v>
      </c>
    </row>
    <row r="3746" spans="1:44" ht="30">
      <c r="A3746" s="4" t="s">
        <v>5</v>
      </c>
      <c r="B3746" s="4">
        <v>31693</v>
      </c>
      <c r="C3746" s="4">
        <v>1147</v>
      </c>
      <c r="D3746" s="5" t="s">
        <v>5577</v>
      </c>
      <c r="E3746" s="6" t="str">
        <f>HYPERLINK("https://inpn.mnhn.fr/espece/cd_nom/31693","Asterophora lycoperdoides Fr., 1817")</f>
        <v>Asterophora lycoperdoides Fr., 1817</v>
      </c>
      <c r="F3746" s="5" t="s">
        <v>5578</v>
      </c>
      <c r="V3746" s="7" t="str">
        <f>HYPERLINK("#Liste_rouge!A"&amp;_xlfn.XMATCH("LC",Liste_rouge!A:A,2,1),"LC")</f>
        <v>LC</v>
      </c>
      <c r="AH3746" s="4" t="str">
        <f>HYPERLINK("#Statut_biogéographique!A"&amp;_xlfn.XMATCH("P",Statut_biogéographique!A:A,2,1),"P")</f>
        <v>P</v>
      </c>
      <c r="AP3746" s="4" t="s">
        <v>376</v>
      </c>
      <c r="AR3746" s="4" t="s">
        <v>377</v>
      </c>
    </row>
    <row r="3747" spans="1:44">
      <c r="A3747" s="4" t="s">
        <v>5</v>
      </c>
      <c r="B3747" s="4">
        <v>31706</v>
      </c>
      <c r="C3747" s="4">
        <v>179</v>
      </c>
      <c r="D3747" s="5" t="s">
        <v>5579</v>
      </c>
      <c r="E3747" s="6" t="str">
        <f>HYPERLINK("https://inpn.mnhn.fr/espece/cd_nom/31706","Clitocybe decembris Singer, 1962")</f>
        <v>Clitocybe decembris Singer, 1962</v>
      </c>
      <c r="F3747" s="5" t="s">
        <v>5580</v>
      </c>
      <c r="V3747" s="7" t="str">
        <f>HYPERLINK("#Liste_rouge!A"&amp;_xlfn.XMATCH("LC",Liste_rouge!A:A,2,1),"LC")</f>
        <v>LC</v>
      </c>
      <c r="AH3747" s="4" t="str">
        <f>HYPERLINK("#Statut_biogéographique!A"&amp;_xlfn.XMATCH("P",Statut_biogéographique!A:A,2,1),"P")</f>
        <v>P</v>
      </c>
      <c r="AP3747" s="4" t="s">
        <v>376</v>
      </c>
      <c r="AR3747" s="4" t="s">
        <v>377</v>
      </c>
    </row>
    <row r="3748" spans="1:44">
      <c r="A3748" s="4" t="s">
        <v>5</v>
      </c>
      <c r="B3748" s="4">
        <v>31713</v>
      </c>
      <c r="C3748" s="4">
        <v>2213</v>
      </c>
      <c r="D3748" s="5" t="s">
        <v>5581</v>
      </c>
      <c r="E3748" s="6" t="str">
        <f>HYPERLINK("https://inpn.mnhn.fr/espece/cd_nom/31713","Clitocybe diatreta (Fr.) P.Kumm., 1871")</f>
        <v>Clitocybe diatreta (Fr.) P.Kumm., 1871</v>
      </c>
      <c r="F3748" s="5" t="s">
        <v>5582</v>
      </c>
      <c r="V3748" s="7" t="str">
        <f>HYPERLINK("#Liste_rouge!A"&amp;_xlfn.XMATCH("VU",Liste_rouge!A:A,2,1),"VU")</f>
        <v>VU</v>
      </c>
      <c r="W3748" s="4" t="str">
        <f>HYPERLINK("#Critères_liste_rouge!A$1","B2abiii")</f>
        <v>B2abiii</v>
      </c>
      <c r="Z3748" s="4" t="s">
        <v>443</v>
      </c>
      <c r="AA3748" s="4" t="s">
        <v>444</v>
      </c>
      <c r="AH3748" s="4" t="str">
        <f>HYPERLINK("#Statut_biogéographique!A"&amp;_xlfn.XMATCH("P",Statut_biogéographique!A:A,2,1),"P")</f>
        <v>P</v>
      </c>
      <c r="AP3748" s="4" t="s">
        <v>376</v>
      </c>
      <c r="AR3748" s="4" t="s">
        <v>377</v>
      </c>
    </row>
    <row r="3749" spans="1:44">
      <c r="A3749" s="4" t="s">
        <v>5</v>
      </c>
      <c r="B3749" s="4">
        <v>31720</v>
      </c>
      <c r="C3749" s="4">
        <v>134</v>
      </c>
      <c r="D3749" s="5" t="s">
        <v>5583</v>
      </c>
      <c r="E3749" s="6" t="str">
        <f>HYPERLINK("https://inpn.mnhn.fr/espece/cd_nom/31720","Clitocybe ditopa (Fr.) Gillet, 1874")</f>
        <v>Clitocybe ditopa (Fr.) Gillet, 1874</v>
      </c>
      <c r="F3749" s="5" t="s">
        <v>5584</v>
      </c>
      <c r="V3749" s="7" t="str">
        <f>HYPERLINK("#Liste_rouge!A"&amp;_xlfn.XMATCH("LC",Liste_rouge!A:A,2,1),"LC")</f>
        <v>LC</v>
      </c>
      <c r="AH3749" s="4" t="str">
        <f>HYPERLINK("#Statut_biogéographique!A"&amp;_xlfn.XMATCH("P",Statut_biogéographique!A:A,2,1),"P")</f>
        <v>P</v>
      </c>
      <c r="AP3749" s="4" t="s">
        <v>376</v>
      </c>
      <c r="AR3749" s="4" t="s">
        <v>377</v>
      </c>
    </row>
    <row r="3750" spans="1:44">
      <c r="A3750" s="4" t="s">
        <v>5</v>
      </c>
      <c r="B3750" s="4">
        <v>31738</v>
      </c>
      <c r="C3750" s="4">
        <v>3916</v>
      </c>
      <c r="D3750" s="5" t="s">
        <v>5585</v>
      </c>
      <c r="E3750" s="6" t="str">
        <f>HYPERLINK("https://inpn.mnhn.fr/espece/cd_nom/31738","Clitocybe foetens Melot, 1980")</f>
        <v>Clitocybe foetens Melot, 1980</v>
      </c>
      <c r="F3750" s="5" t="s">
        <v>5586</v>
      </c>
      <c r="V3750" s="7" t="str">
        <f>HYPERLINK("#Liste_rouge!A"&amp;_xlfn.XMATCH("VU",Liste_rouge!A:A,2,1),"VU")</f>
        <v>VU</v>
      </c>
      <c r="W3750" s="4" t="str">
        <f>HYPERLINK("#Critères_liste_rouge!A$1","D2")</f>
        <v>D2</v>
      </c>
      <c r="Z3750" s="4" t="s">
        <v>447</v>
      </c>
      <c r="AA3750" s="4" t="s">
        <v>448</v>
      </c>
      <c r="AH3750" s="4" t="str">
        <f>HYPERLINK("#Statut_biogéographique!A"&amp;_xlfn.XMATCH("P",Statut_biogéographique!A:A,2,1),"P")</f>
        <v>P</v>
      </c>
      <c r="AP3750" s="4" t="s">
        <v>376</v>
      </c>
      <c r="AR3750" s="4" t="s">
        <v>377</v>
      </c>
    </row>
    <row r="3751" spans="1:44">
      <c r="A3751" s="4" t="s">
        <v>5</v>
      </c>
      <c r="B3751" s="4">
        <v>31742</v>
      </c>
      <c r="C3751" s="4">
        <v>338</v>
      </c>
      <c r="D3751" s="5" t="s">
        <v>5587</v>
      </c>
      <c r="E3751" s="6" t="str">
        <f>HYPERLINK("https://inpn.mnhn.fr/espece/cd_nom/31742","Clitocybe fragrans (With.) P.Kumm., 1871")</f>
        <v>Clitocybe fragrans (With.) P.Kumm., 1871</v>
      </c>
      <c r="F3751" s="5" t="s">
        <v>5588</v>
      </c>
      <c r="V3751" s="7" t="str">
        <f>HYPERLINK("#Liste_rouge!A"&amp;_xlfn.XMATCH("LC",Liste_rouge!A:A,2,1),"LC")</f>
        <v>LC</v>
      </c>
      <c r="AH3751" s="4" t="str">
        <f>HYPERLINK("#Statut_biogéographique!A"&amp;_xlfn.XMATCH("P",Statut_biogéographique!A:A,2,1),"P")</f>
        <v>P</v>
      </c>
      <c r="AP3751" s="4" t="s">
        <v>376</v>
      </c>
      <c r="AR3751" s="4" t="s">
        <v>377</v>
      </c>
    </row>
    <row r="3752" spans="1:44" ht="30">
      <c r="A3752" s="4" t="s">
        <v>5</v>
      </c>
      <c r="B3752" s="4">
        <v>31744</v>
      </c>
      <c r="C3752" s="4">
        <v>3981</v>
      </c>
      <c r="D3752" s="5" t="s">
        <v>5589</v>
      </c>
      <c r="E3752" s="6" t="str">
        <f>HYPERLINK("https://inpn.mnhn.fr/espece/cd_nom/31744","Clitocybe suaveolens (Schumach.) P.Kumm., 1871")</f>
        <v>Clitocybe suaveolens (Schumach.) P.Kumm., 1871</v>
      </c>
      <c r="F3752" s="5" t="s">
        <v>5590</v>
      </c>
      <c r="V3752" s="7" t="str">
        <f>HYPERLINK("#Liste_rouge!A"&amp;_xlfn.XMATCH("LC",Liste_rouge!A:A,2,1),"LC")</f>
        <v>LC</v>
      </c>
      <c r="AH3752" s="4" t="str">
        <f>HYPERLINK("#Statut_biogéographique!A"&amp;_xlfn.XMATCH("P",Statut_biogéographique!A:A,2,1),"P")</f>
        <v>P</v>
      </c>
      <c r="AP3752" s="4" t="s">
        <v>376</v>
      </c>
      <c r="AR3752" s="4" t="s">
        <v>377</v>
      </c>
    </row>
    <row r="3753" spans="1:44" ht="30">
      <c r="A3753" s="4" t="s">
        <v>5</v>
      </c>
      <c r="B3753" s="4">
        <v>31754</v>
      </c>
      <c r="C3753" s="4">
        <v>110</v>
      </c>
      <c r="D3753" s="5" t="s">
        <v>5591</v>
      </c>
      <c r="E3753" s="6" t="str">
        <f>HYPERLINK("https://inpn.mnhn.fr/espece/cd_nom/31754","Clitocybe geotropa (Bull.) Quél., 1872")</f>
        <v>Clitocybe geotropa (Bull.) Quél., 1872</v>
      </c>
      <c r="F3753" s="5" t="s">
        <v>5592</v>
      </c>
      <c r="V3753" s="7" t="str">
        <f>HYPERLINK("#Liste_rouge!A"&amp;_xlfn.XMATCH("LC",Liste_rouge!A:A,2,1),"LC")</f>
        <v>LC</v>
      </c>
      <c r="AH3753" s="4" t="str">
        <f>HYPERLINK("#Statut_biogéographique!A"&amp;_xlfn.XMATCH("P",Statut_biogéographique!A:A,2,1),"P")</f>
        <v>P</v>
      </c>
      <c r="AP3753" s="4" t="s">
        <v>376</v>
      </c>
      <c r="AR3753" s="4" t="s">
        <v>377</v>
      </c>
    </row>
    <row r="3754" spans="1:44">
      <c r="A3754" s="4" t="s">
        <v>5</v>
      </c>
      <c r="B3754" s="4">
        <v>31761</v>
      </c>
      <c r="C3754" s="4">
        <v>3207</v>
      </c>
      <c r="D3754" s="5" t="s">
        <v>5593</v>
      </c>
      <c r="E3754" s="6" t="str">
        <f>HYPERLINK("https://inpn.mnhn.fr/espece/cd_nom/31761","Clitocybe glareosa Röllin &amp; Monthoux, 1985")</f>
        <v>Clitocybe glareosa Röllin &amp; Monthoux, 1985</v>
      </c>
      <c r="V3754" s="7" t="str">
        <f>HYPERLINK("#Liste_rouge!A"&amp;_xlfn.XMATCH("CR",Liste_rouge!A:A,2,1),"CR")</f>
        <v>CR</v>
      </c>
      <c r="W3754" s="4" t="str">
        <f>HYPERLINK("#Critères_liste_rouge!A$1","B2abiii")</f>
        <v>B2abiii</v>
      </c>
      <c r="Z3754" s="4" t="s">
        <v>512</v>
      </c>
      <c r="AA3754" s="4" t="s">
        <v>513</v>
      </c>
      <c r="AH3754" s="4" t="str">
        <f>HYPERLINK("#Statut_biogéographique!A"&amp;_xlfn.XMATCH("P",Statut_biogéographique!A:A,2,1),"P")</f>
        <v>P</v>
      </c>
      <c r="AP3754" s="4" t="s">
        <v>376</v>
      </c>
      <c r="AR3754" s="4" t="s">
        <v>377</v>
      </c>
    </row>
    <row r="3755" spans="1:44">
      <c r="A3755" s="4" t="s">
        <v>5</v>
      </c>
      <c r="B3755" s="4">
        <v>31767</v>
      </c>
      <c r="C3755" s="4">
        <v>855</v>
      </c>
      <c r="D3755" s="5" t="s">
        <v>5594</v>
      </c>
      <c r="E3755" s="6" t="str">
        <f>HYPERLINK("https://inpn.mnhn.fr/espece/cd_nom/31767","Clitocybe graminicola Bon, 1979")</f>
        <v>Clitocybe graminicola Bon, 1979</v>
      </c>
      <c r="F3755" s="5" t="s">
        <v>5595</v>
      </c>
      <c r="V3755" s="7" t="str">
        <f>HYPERLINK("#Liste_rouge!A"&amp;_xlfn.XMATCH("LC",Liste_rouge!A:A,2,1),"LC")</f>
        <v>LC</v>
      </c>
      <c r="AH3755" s="4" t="str">
        <f>HYPERLINK("#Statut_biogéographique!A"&amp;_xlfn.XMATCH("P",Statut_biogéographique!A:A,2,1),"P")</f>
        <v>P</v>
      </c>
      <c r="AP3755" s="4" t="s">
        <v>376</v>
      </c>
      <c r="AR3755" s="4" t="s">
        <v>377</v>
      </c>
    </row>
    <row r="3756" spans="1:44">
      <c r="A3756" s="4" t="s">
        <v>5</v>
      </c>
      <c r="B3756" s="4">
        <v>31778</v>
      </c>
      <c r="C3756" s="4">
        <v>4803</v>
      </c>
      <c r="D3756" s="5" t="s">
        <v>5596</v>
      </c>
      <c r="E3756" s="6" t="str">
        <f>HYPERLINK("https://inpn.mnhn.fr/espece/cd_nom/31778","Clitocybe herbarum Romagn., 1978")</f>
        <v>Clitocybe herbarum Romagn., 1978</v>
      </c>
      <c r="F3756" s="5" t="s">
        <v>5597</v>
      </c>
      <c r="V3756" s="7" t="str">
        <f>HYPERLINK("#Liste_rouge!A"&amp;_xlfn.XMATCH("CR",Liste_rouge!A:A,2,1),"CR")</f>
        <v>CR</v>
      </c>
      <c r="W3756" s="4" t="str">
        <f>HYPERLINK("#Critères_liste_rouge!A$1","B2abiii")</f>
        <v>B2abiii</v>
      </c>
      <c r="Z3756" s="4" t="s">
        <v>695</v>
      </c>
      <c r="AA3756" s="4" t="s">
        <v>696</v>
      </c>
      <c r="AH3756" s="4" t="str">
        <f>HYPERLINK("#Statut_biogéographique!A"&amp;_xlfn.XMATCH("P",Statut_biogéographique!A:A,2,1),"P")</f>
        <v>P</v>
      </c>
      <c r="AP3756" s="4" t="s">
        <v>376</v>
      </c>
      <c r="AR3756" s="4" t="s">
        <v>377</v>
      </c>
    </row>
    <row r="3757" spans="1:44">
      <c r="A3757" s="4" t="s">
        <v>5</v>
      </c>
      <c r="B3757" s="4">
        <v>31787</v>
      </c>
      <c r="C3757" s="4">
        <v>602</v>
      </c>
      <c r="D3757" s="5" t="s">
        <v>5598</v>
      </c>
      <c r="E3757" s="6" t="str">
        <f>HYPERLINK("https://inpn.mnhn.fr/espece/cd_nom/31787","Clitocybe langei Singer ex Hora, 1960")</f>
        <v>Clitocybe langei Singer ex Hora, 1960</v>
      </c>
      <c r="F3757" s="5" t="s">
        <v>5599</v>
      </c>
      <c r="V3757" s="7" t="str">
        <f>HYPERLINK("#Liste_rouge!A"&amp;_xlfn.XMATCH("LC",Liste_rouge!A:A,2,1),"LC")</f>
        <v>LC</v>
      </c>
      <c r="W3757" s="4" t="str">
        <f>HYPERLINK("#Critères_liste_rouge!A$1","pr. B2abiii")</f>
        <v>pr. B2abiii</v>
      </c>
      <c r="AH3757" s="4" t="str">
        <f>HYPERLINK("#Statut_biogéographique!A"&amp;_xlfn.XMATCH("P",Statut_biogéographique!A:A,2,1),"P")</f>
        <v>P</v>
      </c>
      <c r="AP3757" s="4" t="s">
        <v>376</v>
      </c>
      <c r="AR3757" s="4" t="s">
        <v>377</v>
      </c>
    </row>
    <row r="3758" spans="1:44">
      <c r="A3758" s="4" t="s">
        <v>5</v>
      </c>
      <c r="B3758" s="4">
        <v>31794</v>
      </c>
      <c r="C3758" s="4">
        <v>5193</v>
      </c>
      <c r="D3758" s="5" t="s">
        <v>5600</v>
      </c>
      <c r="E3758" s="6" t="str">
        <f>HYPERLINK("https://inpn.mnhn.fr/espece/cd_nom/31794","Clitocybe lituus (Fr.) Métrod, 1946")</f>
        <v>Clitocybe lituus (Fr.) Métrod, 1946</v>
      </c>
      <c r="F3758" s="5" t="s">
        <v>5601</v>
      </c>
      <c r="V3758" s="7" t="str">
        <f>HYPERLINK("#Liste_rouge!A"&amp;_xlfn.XMATCH("EN",Liste_rouge!A:A,2,1),"EN")</f>
        <v>EN</v>
      </c>
      <c r="W3758" s="4" t="str">
        <f>HYPERLINK("#Critères_liste_rouge!A$1","B2abiii")</f>
        <v>B2abiii</v>
      </c>
      <c r="Z3758" s="4" t="s">
        <v>443</v>
      </c>
      <c r="AA3758" s="4" t="s">
        <v>444</v>
      </c>
      <c r="AH3758" s="4" t="str">
        <f>HYPERLINK("#Statut_biogéographique!A"&amp;_xlfn.XMATCH("P",Statut_biogéographique!A:A,2,1),"P")</f>
        <v>P</v>
      </c>
      <c r="AP3758" s="4" t="s">
        <v>376</v>
      </c>
      <c r="AR3758" s="4" t="s">
        <v>377</v>
      </c>
    </row>
    <row r="3759" spans="1:44">
      <c r="A3759" s="4" t="s">
        <v>5</v>
      </c>
      <c r="B3759" s="4">
        <v>31802</v>
      </c>
      <c r="C3759" s="4">
        <v>1291</v>
      </c>
      <c r="D3759" s="5" t="s">
        <v>5602</v>
      </c>
      <c r="E3759" s="6" t="str">
        <f>HYPERLINK("https://inpn.mnhn.fr/espece/cd_nom/31802","Clitocybe metachroa (Fr.) P.Kumm., 1871")</f>
        <v>Clitocybe metachroa (Fr.) P.Kumm., 1871</v>
      </c>
      <c r="F3759" s="5" t="s">
        <v>5603</v>
      </c>
      <c r="V3759" s="7" t="str">
        <f>HYPERLINK("#Liste_rouge!A"&amp;_xlfn.XMATCH("LC",Liste_rouge!A:A,2,1),"LC")</f>
        <v>LC</v>
      </c>
      <c r="AH3759" s="4" t="str">
        <f>HYPERLINK("#Statut_biogéographique!A"&amp;_xlfn.XMATCH("P",Statut_biogéographique!A:A,2,1),"P")</f>
        <v>P</v>
      </c>
      <c r="AP3759" s="4" t="s">
        <v>376</v>
      </c>
      <c r="AR3759" s="4" t="s">
        <v>377</v>
      </c>
    </row>
    <row r="3760" spans="1:44">
      <c r="A3760" s="4" t="s">
        <v>5</v>
      </c>
      <c r="B3760" s="4">
        <v>31809</v>
      </c>
      <c r="D3760" s="5" t="s">
        <v>5604</v>
      </c>
      <c r="E3760" s="6" t="str">
        <f>HYPERLINK("https://inpn.mnhn.fr/espece/cd_nom/31809","Lyophyllum amariusculum Clémençon, 1982")</f>
        <v>Lyophyllum amariusculum Clémençon, 1982</v>
      </c>
      <c r="V3760" s="7" t="str">
        <f>HYPERLINK("#Liste_rouge!A"&amp;_xlfn.XMATCH("VU",Liste_rouge!A:A,2,1),"VU")</f>
        <v>VU</v>
      </c>
      <c r="W3760" s="4" t="str">
        <f>HYPERLINK("#Critères_liste_rouge!A$1","A2c")</f>
        <v>A2c</v>
      </c>
      <c r="AH3760" s="4" t="str">
        <f>HYPERLINK("#Statut_biogéographique!A"&amp;_xlfn.XMATCH("P",Statut_biogéographique!A:A,2,1),"P")</f>
        <v>P</v>
      </c>
      <c r="AP3760" s="4" t="s">
        <v>376</v>
      </c>
      <c r="AR3760" s="4" t="s">
        <v>377</v>
      </c>
    </row>
    <row r="3761" spans="1:44" ht="45">
      <c r="A3761" s="4" t="s">
        <v>5</v>
      </c>
      <c r="B3761" s="4">
        <v>31824</v>
      </c>
      <c r="D3761" s="5" t="s">
        <v>5605</v>
      </c>
      <c r="E3761" s="6" t="str">
        <f>HYPERLINK("https://inpn.mnhn.fr/espece/cd_nom/31824","Lyophyllum decastes (Fr.) Singer, 1951")</f>
        <v>Lyophyllum decastes (Fr.) Singer, 1951</v>
      </c>
      <c r="F3761" s="5" t="s">
        <v>2281</v>
      </c>
      <c r="V3761" s="7" t="str">
        <f>HYPERLINK("#Liste_rouge!A"&amp;_xlfn.XMATCH("LC",Liste_rouge!A:A,2,1),"LC")</f>
        <v>LC</v>
      </c>
      <c r="AH3761" s="4" t="str">
        <f>HYPERLINK("#Statut_biogéographique!A"&amp;_xlfn.XMATCH("P",Statut_biogéographique!A:A,2,1),"P")</f>
        <v>P</v>
      </c>
      <c r="AP3761" s="4" t="s">
        <v>376</v>
      </c>
      <c r="AR3761" s="4" t="s">
        <v>377</v>
      </c>
    </row>
    <row r="3762" spans="1:44" ht="30">
      <c r="A3762" s="4" t="s">
        <v>5</v>
      </c>
      <c r="B3762" s="4">
        <v>31847</v>
      </c>
      <c r="D3762" s="5" t="s">
        <v>5606</v>
      </c>
      <c r="E3762" s="6" t="str">
        <f>HYPERLINK("https://inpn.mnhn.fr/espece/cd_nom/31847","Rickenella fibula (Bull.) Raithelh., 1973")</f>
        <v>Rickenella fibula (Bull.) Raithelh., 1973</v>
      </c>
      <c r="V3762" s="7" t="str">
        <f>HYPERLINK("#Liste_rouge!A"&amp;_xlfn.XMATCH("LC",Liste_rouge!A:A,2,1),"LC")</f>
        <v>LC</v>
      </c>
      <c r="AH3762" s="4" t="str">
        <f>HYPERLINK("#Statut_biogéographique!A"&amp;_xlfn.XMATCH("P",Statut_biogéographique!A:A,2,1),"P")</f>
        <v>P</v>
      </c>
      <c r="AP3762" s="4" t="s">
        <v>376</v>
      </c>
      <c r="AR3762" s="4" t="s">
        <v>377</v>
      </c>
    </row>
    <row r="3763" spans="1:44" ht="30">
      <c r="A3763" s="4" t="s">
        <v>5</v>
      </c>
      <c r="B3763" s="4">
        <v>31853</v>
      </c>
      <c r="D3763" s="5" t="s">
        <v>5607</v>
      </c>
      <c r="E3763" s="6" t="str">
        <f>HYPERLINK("https://inpn.mnhn.fr/espece/cd_nom/31853","Rickenella mellea (Singer &amp; Clémençon) Lamoure, 1979")</f>
        <v>Rickenella mellea (Singer &amp; Clémençon) Lamoure, 1979</v>
      </c>
      <c r="V3763" s="7" t="str">
        <f>HYPERLINK("#Liste_rouge!A"&amp;_xlfn.XMATCH("CR",Liste_rouge!A:A,2,1),"CR")</f>
        <v>CR</v>
      </c>
      <c r="W3763" s="4" t="str">
        <f>HYPERLINK("#Critères_liste_rouge!A$1","B2abiii")</f>
        <v>B2abiii</v>
      </c>
      <c r="AH3763" s="4" t="str">
        <f>HYPERLINK("#Statut_biogéographique!A"&amp;_xlfn.XMATCH("P",Statut_biogéographique!A:A,2,1),"P")</f>
        <v>P</v>
      </c>
      <c r="AP3763" s="4" t="s">
        <v>376</v>
      </c>
      <c r="AR3763" s="4" t="s">
        <v>377</v>
      </c>
    </row>
    <row r="3764" spans="1:44" ht="45">
      <c r="A3764" s="4" t="s">
        <v>5</v>
      </c>
      <c r="B3764" s="4">
        <v>31855</v>
      </c>
      <c r="D3764" s="5" t="s">
        <v>5608</v>
      </c>
      <c r="E3764" s="6" t="str">
        <f>HYPERLINK("https://inpn.mnhn.fr/espece/cd_nom/31855","Rickenella swartzii (Fr.) Kuyper, 1984")</f>
        <v>Rickenella swartzii (Fr.) Kuyper, 1984</v>
      </c>
      <c r="V3764" s="7" t="str">
        <f>HYPERLINK("#Liste_rouge!A"&amp;_xlfn.XMATCH("LC",Liste_rouge!A:A,2,1),"LC")</f>
        <v>LC</v>
      </c>
      <c r="AH3764" s="4" t="str">
        <f>HYPERLINK("#Statut_biogéographique!A"&amp;_xlfn.XMATCH("P",Statut_biogéographique!A:A,2,1),"P")</f>
        <v>P</v>
      </c>
      <c r="AP3764" s="4" t="s">
        <v>376</v>
      </c>
      <c r="AR3764" s="4" t="s">
        <v>377</v>
      </c>
    </row>
    <row r="3765" spans="1:44" ht="30">
      <c r="A3765" s="4" t="s">
        <v>5</v>
      </c>
      <c r="B3765" s="4">
        <v>31862</v>
      </c>
      <c r="D3765" s="5" t="s">
        <v>5609</v>
      </c>
      <c r="E3765" s="6" t="str">
        <f>HYPERLINK("https://inpn.mnhn.fr/espece/cd_nom/31862","Ripartites helomorphus (Fr.) P.Karst., 1879")</f>
        <v>Ripartites helomorphus (Fr.) P.Karst., 1879</v>
      </c>
      <c r="V3765" s="7" t="str">
        <f>HYPERLINK("#Liste_rouge!A"&amp;_xlfn.XMATCH("EN",Liste_rouge!A:A,2,1),"EN")</f>
        <v>EN</v>
      </c>
      <c r="W3765" s="4" t="str">
        <f>HYPERLINK("#Critères_liste_rouge!A$1","B2abiii")</f>
        <v>B2abiii</v>
      </c>
      <c r="AH3765" s="4" t="str">
        <f>HYPERLINK("#Statut_biogéographique!A"&amp;_xlfn.XMATCH("P",Statut_biogéographique!A:A,2,1),"P")</f>
        <v>P</v>
      </c>
      <c r="AP3765" s="4" t="s">
        <v>376</v>
      </c>
      <c r="AR3765" s="4" t="s">
        <v>377</v>
      </c>
    </row>
    <row r="3766" spans="1:44" ht="30">
      <c r="A3766" s="4" t="s">
        <v>5</v>
      </c>
      <c r="B3766" s="4">
        <v>31871</v>
      </c>
      <c r="D3766" s="5" t="s">
        <v>5610</v>
      </c>
      <c r="E3766" s="6" t="str">
        <f>HYPERLINK("https://inpn.mnhn.fr/espece/cd_nom/31871","Ripartites strigiceps (Fr.) P.Karst., 1879")</f>
        <v>Ripartites strigiceps (Fr.) P.Karst., 1879</v>
      </c>
      <c r="AH3766" s="4" t="str">
        <f>HYPERLINK("#Statut_biogéographique!A"&amp;_xlfn.XMATCH("P",Statut_biogéographique!A:A,2,1),"P")</f>
        <v>P</v>
      </c>
      <c r="AP3766" s="4" t="s">
        <v>376</v>
      </c>
      <c r="AR3766" s="4" t="s">
        <v>377</v>
      </c>
    </row>
    <row r="3767" spans="1:44" ht="30">
      <c r="A3767" s="4" t="s">
        <v>5</v>
      </c>
      <c r="B3767" s="4">
        <v>31874</v>
      </c>
      <c r="D3767" s="5" t="s">
        <v>5611</v>
      </c>
      <c r="E3767" s="6" t="str">
        <f>HYPERLINK("https://inpn.mnhn.fr/espece/cd_nom/31874","Ripartites tricholoma (Alb. &amp; Schwein.) P.Karst., 1879")</f>
        <v>Ripartites tricholoma (Alb. &amp; Schwein.) P.Karst., 1879</v>
      </c>
      <c r="V3767" s="7" t="str">
        <f>HYPERLINK("#Liste_rouge!A"&amp;_xlfn.XMATCH("LC",Liste_rouge!A:A,2,1),"LC")</f>
        <v>LC</v>
      </c>
      <c r="AH3767" s="4" t="str">
        <f>HYPERLINK("#Statut_biogéographique!A"&amp;_xlfn.XMATCH("P",Statut_biogéographique!A:A,2,1),"P")</f>
        <v>P</v>
      </c>
      <c r="AP3767" s="4" t="s">
        <v>376</v>
      </c>
      <c r="AR3767" s="4" t="s">
        <v>377</v>
      </c>
    </row>
    <row r="3768" spans="1:44">
      <c r="A3768" s="4" t="s">
        <v>5</v>
      </c>
      <c r="B3768" s="4">
        <v>31880</v>
      </c>
      <c r="D3768" s="5" t="s">
        <v>5612</v>
      </c>
      <c r="E3768" s="6" t="str">
        <f>HYPERLINK("https://inpn.mnhn.fr/espece/cd_nom/31880","Rugosomyces carneus (Bull.) Bon, 1991")</f>
        <v>Rugosomyces carneus (Bull.) Bon, 1991</v>
      </c>
      <c r="V3768" s="7" t="str">
        <f>HYPERLINK("#Liste_rouge!A"&amp;_xlfn.XMATCH("NT",Liste_rouge!A:A,2,1),"NT")</f>
        <v>NT</v>
      </c>
      <c r="W3768" s="4" t="str">
        <f>HYPERLINK("#Critères_liste_rouge!A$1","pr. B2a")</f>
        <v>pr. B2a</v>
      </c>
      <c r="AH3768" s="4" t="str">
        <f>HYPERLINK("#Statut_biogéographique!A"&amp;_xlfn.XMATCH("P",Statut_biogéographique!A:A,2,1),"P")</f>
        <v>P</v>
      </c>
      <c r="AP3768" s="4" t="s">
        <v>376</v>
      </c>
      <c r="AR3768" s="4" t="s">
        <v>377</v>
      </c>
    </row>
    <row r="3769" spans="1:44">
      <c r="A3769" s="4" t="s">
        <v>5</v>
      </c>
      <c r="B3769" s="4">
        <v>31884</v>
      </c>
      <c r="D3769" s="5" t="s">
        <v>5613</v>
      </c>
      <c r="E3769" s="6" t="str">
        <f>HYPERLINK("https://inpn.mnhn.fr/espece/cd_nom/31884","Rugosomyces chrysenteron (Bull.) Bon, 1991")</f>
        <v>Rugosomyces chrysenteron (Bull.) Bon, 1991</v>
      </c>
      <c r="V3769" s="7" t="str">
        <f>HYPERLINK("#Liste_rouge!A"&amp;_xlfn.XMATCH("EN",Liste_rouge!A:A,2,1),"EN")</f>
        <v>EN</v>
      </c>
      <c r="W3769" s="4" t="str">
        <f>HYPERLINK("#Critères_liste_rouge!A$1","B2abiii")</f>
        <v>B2abiii</v>
      </c>
      <c r="AH3769" s="4" t="str">
        <f>HYPERLINK("#Statut_biogéographique!A"&amp;_xlfn.XMATCH("P",Statut_biogéographique!A:A,2,1),"P")</f>
        <v>P</v>
      </c>
      <c r="AP3769" s="4" t="s">
        <v>376</v>
      </c>
      <c r="AR3769" s="4" t="s">
        <v>377</v>
      </c>
    </row>
    <row r="3770" spans="1:44" ht="30">
      <c r="A3770" s="4" t="s">
        <v>5</v>
      </c>
      <c r="B3770" s="4">
        <v>31895</v>
      </c>
      <c r="C3770" s="4">
        <v>6441</v>
      </c>
      <c r="D3770" s="5" t="s">
        <v>5614</v>
      </c>
      <c r="E3770" s="6" t="str">
        <f>HYPERLINK("https://inpn.mnhn.fr/espece/cd_nom/31895","Rugosomyces obscurissimus (A.Pearson) Bon, 1991")</f>
        <v>Rugosomyces obscurissimus (A.Pearson) Bon, 1991</v>
      </c>
      <c r="AH3770" s="4" t="str">
        <f>HYPERLINK("#Statut_biogéographique!A"&amp;_xlfn.XMATCH("P",Statut_biogéographique!A:A,2,1),"P")</f>
        <v>P</v>
      </c>
      <c r="AP3770" s="4" t="s">
        <v>376</v>
      </c>
      <c r="AR3770" s="4" t="s">
        <v>377</v>
      </c>
    </row>
    <row r="3771" spans="1:44">
      <c r="A3771" s="4" t="s">
        <v>5</v>
      </c>
      <c r="B3771" s="4">
        <v>31906</v>
      </c>
      <c r="C3771" s="4">
        <v>5200</v>
      </c>
      <c r="D3771" s="5" t="s">
        <v>5615</v>
      </c>
      <c r="E3771" s="6" t="str">
        <f>HYPERLINK("https://inpn.mnhn.fr/espece/cd_nom/31906","Clitocybe mortuosa (Fr.) Gillet, 1874")</f>
        <v>Clitocybe mortuosa (Fr.) Gillet, 1874</v>
      </c>
      <c r="V3771" s="7" t="str">
        <f>HYPERLINK("#Liste_rouge!A"&amp;_xlfn.XMATCH("DD",Liste_rouge!A:A,2,1),"DD")</f>
        <v>DD</v>
      </c>
      <c r="AH3771" s="4" t="str">
        <f>HYPERLINK("#Statut_biogéographique!A"&amp;_xlfn.XMATCH("P",Statut_biogéographique!A:A,2,1),"P")</f>
        <v>P</v>
      </c>
      <c r="AP3771" s="4" t="s">
        <v>376</v>
      </c>
      <c r="AR3771" s="4" t="s">
        <v>377</v>
      </c>
    </row>
    <row r="3772" spans="1:44">
      <c r="A3772" s="4" t="s">
        <v>5</v>
      </c>
      <c r="B3772" s="4">
        <v>31908</v>
      </c>
      <c r="C3772" s="4">
        <v>1474</v>
      </c>
      <c r="D3772" s="5" t="s">
        <v>5616</v>
      </c>
      <c r="E3772" s="6" t="str">
        <f>HYPERLINK("https://inpn.mnhn.fr/espece/cd_nom/31908","Clitocybe nitriolens J.Favre, 1960")</f>
        <v>Clitocybe nitriolens J.Favre, 1960</v>
      </c>
      <c r="F3772" s="5" t="s">
        <v>5617</v>
      </c>
      <c r="V3772" s="7" t="str">
        <f>HYPERLINK("#Liste_rouge!A"&amp;_xlfn.XMATCH("NT",Liste_rouge!A:A,2,1),"NT")</f>
        <v>NT</v>
      </c>
      <c r="W3772" s="4" t="str">
        <f>HYPERLINK("#Critères_liste_rouge!A$1","pr. B2abiii")</f>
        <v>pr. B2abiii</v>
      </c>
      <c r="AH3772" s="4" t="str">
        <f>HYPERLINK("#Statut_biogéographique!A"&amp;_xlfn.XMATCH("P",Statut_biogéographique!A:A,2,1),"P")</f>
        <v>P</v>
      </c>
      <c r="AP3772" s="4" t="s">
        <v>376</v>
      </c>
      <c r="AR3772" s="4" t="s">
        <v>377</v>
      </c>
    </row>
    <row r="3773" spans="1:44">
      <c r="A3773" s="4" t="s">
        <v>5</v>
      </c>
      <c r="B3773" s="4">
        <v>31910</v>
      </c>
      <c r="C3773" s="4">
        <v>3544</v>
      </c>
      <c r="D3773" s="5" t="s">
        <v>5618</v>
      </c>
      <c r="E3773" s="6" t="str">
        <f>HYPERLINK("https://inpn.mnhn.fr/espece/cd_nom/31910","Clitocybe nitrophila Bon, 1979")</f>
        <v>Clitocybe nitrophila Bon, 1979</v>
      </c>
      <c r="F3773" s="5" t="s">
        <v>5434</v>
      </c>
      <c r="V3773" s="7" t="str">
        <f>HYPERLINK("#Liste_rouge!A"&amp;_xlfn.XMATCH("EN",Liste_rouge!A:A,2,1),"EN")</f>
        <v>EN</v>
      </c>
      <c r="W3773" s="4" t="str">
        <f>HYPERLINK("#Critères_liste_rouge!A$1","B2abiii")</f>
        <v>B2abiii</v>
      </c>
      <c r="Z3773" s="4" t="s">
        <v>447</v>
      </c>
      <c r="AA3773" s="4" t="s">
        <v>448</v>
      </c>
      <c r="AH3773" s="4" t="str">
        <f>HYPERLINK("#Statut_biogéographique!A"&amp;_xlfn.XMATCH("P",Statut_biogéographique!A:A,2,1),"P")</f>
        <v>P</v>
      </c>
      <c r="AP3773" s="4" t="s">
        <v>376</v>
      </c>
      <c r="AR3773" s="4" t="s">
        <v>377</v>
      </c>
    </row>
    <row r="3774" spans="1:44" ht="30">
      <c r="A3774" s="4" t="s">
        <v>5</v>
      </c>
      <c r="B3774" s="4">
        <v>31913</v>
      </c>
      <c r="C3774" s="4">
        <v>5469</v>
      </c>
      <c r="D3774" s="5" t="s">
        <v>5619</v>
      </c>
      <c r="E3774" s="6" t="str">
        <f>HYPERLINK("https://inpn.mnhn.fr/espece/cd_nom/31913","Clitocybe obsoleta (Batsch) Quél., 1872")</f>
        <v>Clitocybe obsoleta (Batsch) Quél., 1872</v>
      </c>
      <c r="F3774" s="5" t="s">
        <v>5620</v>
      </c>
      <c r="V3774" s="7" t="str">
        <f>HYPERLINK("#Liste_rouge!A"&amp;_xlfn.XMATCH("LC",Liste_rouge!A:A,2,1),"LC")</f>
        <v>LC</v>
      </c>
      <c r="AH3774" s="4" t="str">
        <f>HYPERLINK("#Statut_biogéographique!A"&amp;_xlfn.XMATCH("P",Statut_biogéographique!A:A,2,1),"P")</f>
        <v>P</v>
      </c>
      <c r="AP3774" s="4" t="s">
        <v>376</v>
      </c>
      <c r="AR3774" s="4" t="s">
        <v>377</v>
      </c>
    </row>
    <row r="3775" spans="1:44" ht="30">
      <c r="A3775" s="4" t="s">
        <v>5</v>
      </c>
      <c r="B3775" s="4">
        <v>31916</v>
      </c>
      <c r="C3775" s="4">
        <v>300</v>
      </c>
      <c r="D3775" s="5" t="s">
        <v>5621</v>
      </c>
      <c r="E3775" s="6" t="str">
        <f>HYPERLINK("https://inpn.mnhn.fr/espece/cd_nom/31916","Clitocybe odora (Bull.) P.Kumm., 1871")</f>
        <v>Clitocybe odora (Bull.) P.Kumm., 1871</v>
      </c>
      <c r="F3775" s="5" t="s">
        <v>5622</v>
      </c>
      <c r="V3775" s="7" t="str">
        <f>HYPERLINK("#Liste_rouge!A"&amp;_xlfn.XMATCH("LC",Liste_rouge!A:A,2,1),"LC")</f>
        <v>LC</v>
      </c>
      <c r="AH3775" s="4" t="str">
        <f>HYPERLINK("#Statut_biogéographique!A"&amp;_xlfn.XMATCH("P",Statut_biogéographique!A:A,2,1),"P")</f>
        <v>P</v>
      </c>
      <c r="AP3775" s="4" t="s">
        <v>376</v>
      </c>
      <c r="AR3775" s="4" t="s">
        <v>377</v>
      </c>
    </row>
    <row r="3776" spans="1:44" ht="30">
      <c r="A3776" s="4" t="s">
        <v>5</v>
      </c>
      <c r="B3776" s="4">
        <v>31925</v>
      </c>
      <c r="C3776" s="4">
        <v>4066</v>
      </c>
      <c r="D3776" s="5" t="s">
        <v>5623</v>
      </c>
      <c r="E3776" s="6" t="str">
        <f>HYPERLINK("https://inpn.mnhn.fr/espece/cd_nom/31925","Clitocybe phyllophila var. ornamentalis (Velen.) Raithelh., 1970")</f>
        <v>Clitocybe phyllophila var. ornamentalis (Velen.) Raithelh., 1970</v>
      </c>
      <c r="F3776" s="5" t="s">
        <v>5624</v>
      </c>
      <c r="V3776" s="7" t="str">
        <f>HYPERLINK("#Liste_rouge!A"&amp;_xlfn.XMATCH("LC",Liste_rouge!A:A,2,1),"LC")</f>
        <v>LC</v>
      </c>
      <c r="AH3776" s="4" t="str">
        <f>HYPERLINK("#Statut_biogéographique!A"&amp;_xlfn.XMATCH("P",Statut_biogéographique!A:A,2,1),"P")</f>
        <v>P</v>
      </c>
      <c r="AP3776" s="4" t="s">
        <v>376</v>
      </c>
      <c r="AR3776" s="4" t="s">
        <v>377</v>
      </c>
    </row>
    <row r="3777" spans="1:44">
      <c r="A3777" s="4" t="s">
        <v>5</v>
      </c>
      <c r="B3777" s="4">
        <v>31927</v>
      </c>
      <c r="C3777" s="4">
        <v>2145</v>
      </c>
      <c r="D3777" s="5" t="s">
        <v>5625</v>
      </c>
      <c r="E3777" s="6" t="str">
        <f>HYPERLINK("https://inpn.mnhn.fr/espece/cd_nom/31927","Clitocybe paropsis (Fr.) P.Karst., 1879")</f>
        <v>Clitocybe paropsis (Fr.) P.Karst., 1879</v>
      </c>
      <c r="V3777" s="7" t="str">
        <f>HYPERLINK("#Liste_rouge!A"&amp;_xlfn.XMATCH("EN",Liste_rouge!A:A,2,1),"EN")</f>
        <v>EN</v>
      </c>
      <c r="W3777" s="4" t="str">
        <f>HYPERLINK("#Critères_liste_rouge!A$1","B2abiii")</f>
        <v>B2abiii</v>
      </c>
      <c r="Z3777" s="4" t="s">
        <v>447</v>
      </c>
      <c r="AA3777" s="4" t="s">
        <v>448</v>
      </c>
      <c r="AH3777" s="4" t="str">
        <f>HYPERLINK("#Statut_biogéographique!A"&amp;_xlfn.XMATCH("P",Statut_biogéographique!A:A,2,1),"P")</f>
        <v>P</v>
      </c>
      <c r="AP3777" s="4" t="s">
        <v>376</v>
      </c>
      <c r="AR3777" s="4" t="s">
        <v>377</v>
      </c>
    </row>
    <row r="3778" spans="1:44">
      <c r="A3778" s="4" t="s">
        <v>5</v>
      </c>
      <c r="B3778" s="4">
        <v>31928</v>
      </c>
      <c r="C3778" s="4">
        <v>3917</v>
      </c>
      <c r="D3778" s="5" t="s">
        <v>5626</v>
      </c>
      <c r="E3778" s="6" t="str">
        <f>HYPERLINK("https://inpn.mnhn.fr/espece/cd_nom/31928","Clitocybe pausiaca (Fr.) Gillet, 1874")</f>
        <v>Clitocybe pausiaca (Fr.) Gillet, 1874</v>
      </c>
      <c r="V3778" s="7" t="str">
        <f>HYPERLINK("#Liste_rouge!A"&amp;_xlfn.XMATCH("EN",Liste_rouge!A:A,2,1),"EN")</f>
        <v>EN</v>
      </c>
      <c r="W3778" s="4" t="str">
        <f>HYPERLINK("#Critères_liste_rouge!A$1","B2abiii")</f>
        <v>B2abiii</v>
      </c>
      <c r="Z3778" s="4" t="s">
        <v>447</v>
      </c>
      <c r="AA3778" s="4" t="s">
        <v>448</v>
      </c>
      <c r="AH3778" s="4" t="str">
        <f>HYPERLINK("#Statut_biogéographique!A"&amp;_xlfn.XMATCH("P",Statut_biogéographique!A:A,2,1),"P")</f>
        <v>P</v>
      </c>
      <c r="AP3778" s="4" t="s">
        <v>376</v>
      </c>
      <c r="AR3778" s="4" t="s">
        <v>377</v>
      </c>
    </row>
    <row r="3779" spans="1:44" ht="30">
      <c r="A3779" s="4" t="s">
        <v>5</v>
      </c>
      <c r="B3779" s="4">
        <v>31931</v>
      </c>
      <c r="D3779" s="5" t="s">
        <v>5627</v>
      </c>
      <c r="E3779" s="6" t="str">
        <f>HYPERLINK("https://inpn.mnhn.fr/espece/cd_nom/31931","Clitocybe phaeophthalma (Pers.) Kuyper, 1981")</f>
        <v>Clitocybe phaeophthalma (Pers.) Kuyper, 1981</v>
      </c>
      <c r="F3779" s="5" t="s">
        <v>1219</v>
      </c>
      <c r="V3779" s="7" t="str">
        <f>HYPERLINK("#Liste_rouge!A"&amp;_xlfn.XMATCH("LC",Liste_rouge!A:A,2,1),"LC")</f>
        <v>LC</v>
      </c>
      <c r="AH3779" s="4" t="str">
        <f>HYPERLINK("#Statut_biogéographique!A"&amp;_xlfn.XMATCH("P",Statut_biogéographique!A:A,2,1),"P")</f>
        <v>P</v>
      </c>
      <c r="AP3779" s="4" t="s">
        <v>376</v>
      </c>
      <c r="AR3779" s="4" t="s">
        <v>377</v>
      </c>
    </row>
    <row r="3780" spans="1:44" ht="30">
      <c r="A3780" s="4" t="s">
        <v>5</v>
      </c>
      <c r="B3780" s="4">
        <v>31935</v>
      </c>
      <c r="C3780" s="4">
        <v>335</v>
      </c>
      <c r="D3780" s="5" t="s">
        <v>5628</v>
      </c>
      <c r="E3780" s="6" t="str">
        <f>HYPERLINK("https://inpn.mnhn.fr/espece/cd_nom/31935","Clitocybe phyllophila (Pers.) P.Kumm., 1871")</f>
        <v>Clitocybe phyllophila (Pers.) P.Kumm., 1871</v>
      </c>
      <c r="F3780" s="5" t="s">
        <v>5629</v>
      </c>
      <c r="V3780" s="7" t="str">
        <f>HYPERLINK("#Liste_rouge!A"&amp;_xlfn.XMATCH("LC",Liste_rouge!A:A,2,1),"LC")</f>
        <v>LC</v>
      </c>
      <c r="AH3780" s="4" t="str">
        <f>HYPERLINK("#Statut_biogéographique!A"&amp;_xlfn.XMATCH("P",Statut_biogéographique!A:A,2,1),"P")</f>
        <v>P</v>
      </c>
      <c r="AP3780" s="4" t="s">
        <v>376</v>
      </c>
      <c r="AR3780" s="4" t="s">
        <v>377</v>
      </c>
    </row>
    <row r="3781" spans="1:44">
      <c r="A3781" s="4" t="s">
        <v>5</v>
      </c>
      <c r="B3781" s="4">
        <v>31950</v>
      </c>
      <c r="C3781" s="4">
        <v>2661</v>
      </c>
      <c r="D3781" s="5" t="s">
        <v>5630</v>
      </c>
      <c r="E3781" s="6" t="str">
        <f>HYPERLINK("https://inpn.mnhn.fr/espece/cd_nom/31950","Clitocybe fuligineipes (Lasch) Gillet")</f>
        <v>Clitocybe fuligineipes (Lasch) Gillet</v>
      </c>
      <c r="F3781" s="5" t="s">
        <v>5631</v>
      </c>
      <c r="V3781" s="7" t="str">
        <f>HYPERLINK("#Liste_rouge!A"&amp;_xlfn.XMATCH("LC",Liste_rouge!A:A,2,1),"LC")</f>
        <v>LC</v>
      </c>
      <c r="AH3781" s="4" t="str">
        <f>HYPERLINK("#Statut_biogéographique!A"&amp;_xlfn.XMATCH("P",Statut_biogéographique!A:A,2,1),"P")</f>
        <v>P</v>
      </c>
      <c r="AP3781" s="4" t="s">
        <v>376</v>
      </c>
      <c r="AR3781" s="4" t="s">
        <v>377</v>
      </c>
    </row>
    <row r="3782" spans="1:44">
      <c r="A3782" s="4" t="s">
        <v>5</v>
      </c>
      <c r="B3782" s="4">
        <v>31958</v>
      </c>
      <c r="C3782" s="4">
        <v>696</v>
      </c>
      <c r="D3782" s="5" t="s">
        <v>5632</v>
      </c>
      <c r="E3782" s="6" t="str">
        <f>HYPERLINK("https://inpn.mnhn.fr/espece/cd_nom/31958","Clitocybe dealbata (Sowerby) P.Kumm., 1871")</f>
        <v>Clitocybe dealbata (Sowerby) P.Kumm., 1871</v>
      </c>
      <c r="F3782" s="5" t="s">
        <v>5633</v>
      </c>
      <c r="V3782" s="7" t="str">
        <f>HYPERLINK("#Liste_rouge!A"&amp;_xlfn.XMATCH("LC",Liste_rouge!A:A,2,1),"LC")</f>
        <v>LC</v>
      </c>
      <c r="AH3782" s="4" t="str">
        <f>HYPERLINK("#Statut_biogéographique!A"&amp;_xlfn.XMATCH("P",Statut_biogéographique!A:A,2,1),"P")</f>
        <v>P</v>
      </c>
      <c r="AP3782" s="4" t="s">
        <v>376</v>
      </c>
      <c r="AR3782" s="4" t="s">
        <v>377</v>
      </c>
    </row>
    <row r="3783" spans="1:44" ht="30">
      <c r="A3783" s="4" t="s">
        <v>5</v>
      </c>
      <c r="B3783" s="4">
        <v>31959</v>
      </c>
      <c r="C3783" s="4">
        <v>582</v>
      </c>
      <c r="D3783" s="5" t="s">
        <v>5634</v>
      </c>
      <c r="E3783" s="6" t="str">
        <f>HYPERLINK("https://inpn.mnhn.fr/espece/cd_nom/31959","Clitocybe umbilicata P.Kumm., 1871")</f>
        <v>Clitocybe umbilicata P.Kumm., 1871</v>
      </c>
      <c r="F3783" s="5" t="s">
        <v>5635</v>
      </c>
      <c r="V3783" s="7" t="str">
        <f>HYPERLINK("#Liste_rouge!A"&amp;_xlfn.XMATCH("LC",Liste_rouge!A:A,2,1),"LC")</f>
        <v>LC</v>
      </c>
      <c r="AH3783" s="4" t="str">
        <f>HYPERLINK("#Statut_biogéographique!A"&amp;_xlfn.XMATCH("P",Statut_biogéographique!A:A,2,1),"P")</f>
        <v>P</v>
      </c>
      <c r="AP3783" s="4" t="s">
        <v>376</v>
      </c>
      <c r="AR3783" s="4" t="s">
        <v>377</v>
      </c>
    </row>
    <row r="3784" spans="1:44">
      <c r="A3784" s="4" t="s">
        <v>5</v>
      </c>
      <c r="B3784" s="4">
        <v>31963</v>
      </c>
      <c r="C3784" s="4">
        <v>5183</v>
      </c>
      <c r="D3784" s="5" t="s">
        <v>5636</v>
      </c>
      <c r="E3784" s="6" t="str">
        <f>HYPERLINK("https://inpn.mnhn.fr/espece/cd_nom/31963","Clitocybe rufoalutacea Métrod ex Bon, 1996")</f>
        <v>Clitocybe rufoalutacea Métrod ex Bon, 1996</v>
      </c>
      <c r="V3784" s="7" t="str">
        <f>HYPERLINK("#Liste_rouge!A"&amp;_xlfn.XMATCH("DD",Liste_rouge!A:A,2,1),"DD")</f>
        <v>DD</v>
      </c>
      <c r="AH3784" s="4" t="str">
        <f>HYPERLINK("#Statut_biogéographique!A"&amp;_xlfn.XMATCH("P",Statut_biogéographique!A:A,2,1),"P")</f>
        <v>P</v>
      </c>
      <c r="AP3784" s="4" t="s">
        <v>376</v>
      </c>
      <c r="AR3784" s="4" t="s">
        <v>377</v>
      </c>
    </row>
    <row r="3785" spans="1:44" ht="30">
      <c r="A3785" s="4" t="s">
        <v>5</v>
      </c>
      <c r="B3785" s="4">
        <v>31970</v>
      </c>
      <c r="C3785" s="4">
        <v>2632</v>
      </c>
      <c r="D3785" s="5" t="s">
        <v>5637</v>
      </c>
      <c r="E3785" s="6" t="str">
        <f>HYPERLINK("https://inpn.mnhn.fr/espece/cd_nom/31970","Clitocybe squamulosa (Pers.) P.Kumm., 1871")</f>
        <v>Clitocybe squamulosa (Pers.) P.Kumm., 1871</v>
      </c>
      <c r="F3785" s="5" t="s">
        <v>5638</v>
      </c>
      <c r="V3785" s="7" t="str">
        <f>HYPERLINK("#Liste_rouge!A"&amp;_xlfn.XMATCH("NT",Liste_rouge!A:A,2,1),"NT")</f>
        <v>NT</v>
      </c>
      <c r="W3785" s="4" t="str">
        <f>HYPERLINK("#Critères_liste_rouge!A$1","pr. B2abiii")</f>
        <v>pr. B2abiii</v>
      </c>
      <c r="AH3785" s="4" t="str">
        <f>HYPERLINK("#Statut_biogéographique!A"&amp;_xlfn.XMATCH("P",Statut_biogéographique!A:A,2,1),"P")</f>
        <v>P</v>
      </c>
      <c r="AP3785" s="4" t="s">
        <v>376</v>
      </c>
      <c r="AR3785" s="4" t="s">
        <v>377</v>
      </c>
    </row>
    <row r="3786" spans="1:44">
      <c r="A3786" s="4" t="s">
        <v>5</v>
      </c>
      <c r="B3786" s="4">
        <v>31973</v>
      </c>
      <c r="C3786" s="4">
        <v>5568</v>
      </c>
      <c r="D3786" s="5" t="s">
        <v>5639</v>
      </c>
      <c r="E3786" s="6" t="str">
        <f>HYPERLINK("https://inpn.mnhn.fr/espece/cd_nom/31973","Clitocybe squamulosoides P.D.Orton, 1960")</f>
        <v>Clitocybe squamulosoides P.D.Orton, 1960</v>
      </c>
      <c r="F3786" s="5" t="s">
        <v>5640</v>
      </c>
      <c r="V3786" s="7" t="str">
        <f>HYPERLINK("#Liste_rouge!A"&amp;_xlfn.XMATCH("DD",Liste_rouge!A:A,2,1),"DD")</f>
        <v>DD</v>
      </c>
      <c r="AH3786" s="4" t="str">
        <f>HYPERLINK("#Statut_biogéographique!A"&amp;_xlfn.XMATCH("P",Statut_biogéographique!A:A,2,1),"P")</f>
        <v>P</v>
      </c>
      <c r="AP3786" s="4" t="s">
        <v>376</v>
      </c>
      <c r="AR3786" s="4" t="s">
        <v>377</v>
      </c>
    </row>
    <row r="3787" spans="1:44" ht="30">
      <c r="A3787" s="4" t="s">
        <v>5</v>
      </c>
      <c r="B3787" s="4">
        <v>31985</v>
      </c>
      <c r="C3787" s="4">
        <v>779</v>
      </c>
      <c r="D3787" s="5" t="s">
        <v>5641</v>
      </c>
      <c r="E3787" s="6" t="str">
        <f>HYPERLINK("https://inpn.mnhn.fr/espece/cd_nom/31985","Gerronema subsericellum (Romagn.) Clémençon, 1982")</f>
        <v>Gerronema subsericellum (Romagn.) Clémençon, 1982</v>
      </c>
      <c r="V3787" s="7" t="str">
        <f>HYPERLINK("#Liste_rouge!A"&amp;_xlfn.XMATCH("CR",Liste_rouge!A:A,2,1),"CR")</f>
        <v>CR</v>
      </c>
      <c r="W3787" s="4" t="str">
        <f>HYPERLINK("#Critères_liste_rouge!A$1","B2abiii")</f>
        <v>B2abiii</v>
      </c>
      <c r="Z3787" s="4" t="s">
        <v>447</v>
      </c>
      <c r="AA3787" s="4" t="s">
        <v>448</v>
      </c>
      <c r="AH3787" s="4" t="str">
        <f>HYPERLINK("#Statut_biogéographique!A"&amp;_xlfn.XMATCH("P",Statut_biogéographique!A:A,2,1),"P")</f>
        <v>P</v>
      </c>
      <c r="AP3787" s="4" t="s">
        <v>376</v>
      </c>
      <c r="AR3787" s="4" t="s">
        <v>377</v>
      </c>
    </row>
    <row r="3788" spans="1:44">
      <c r="A3788" s="4" t="s">
        <v>5</v>
      </c>
      <c r="B3788" s="4">
        <v>31986</v>
      </c>
      <c r="C3788" s="4">
        <v>5465</v>
      </c>
      <c r="D3788" s="5" t="s">
        <v>5642</v>
      </c>
      <c r="E3788" s="6" t="str">
        <f>HYPERLINK("https://inpn.mnhn.fr/espece/cd_nom/31986","Clitocybe subsinopica Harmaja, 1978")</f>
        <v>Clitocybe subsinopica Harmaja, 1978</v>
      </c>
      <c r="V3788" s="7" t="str">
        <f>HYPERLINK("#Liste_rouge!A"&amp;_xlfn.XMATCH("DD",Liste_rouge!A:A,2,1),"DD")</f>
        <v>DD</v>
      </c>
      <c r="AH3788" s="4" t="str">
        <f>HYPERLINK("#Statut_biogéographique!A"&amp;_xlfn.XMATCH("P",Statut_biogéographique!A:A,2,1),"P")</f>
        <v>P</v>
      </c>
      <c r="AP3788" s="4" t="s">
        <v>376</v>
      </c>
      <c r="AR3788" s="4" t="s">
        <v>377</v>
      </c>
    </row>
    <row r="3789" spans="1:44">
      <c r="A3789" s="4" t="s">
        <v>5</v>
      </c>
      <c r="B3789" s="4">
        <v>31991</v>
      </c>
      <c r="C3789" s="4">
        <v>4781</v>
      </c>
      <c r="D3789" s="5" t="s">
        <v>5643</v>
      </c>
      <c r="E3789" s="6" t="str">
        <f>HYPERLINK("https://inpn.mnhn.fr/espece/cd_nom/31991","Clitocybe tenuissima Romagn., 1954")</f>
        <v>Clitocybe tenuissima Romagn., 1954</v>
      </c>
      <c r="V3789" s="7" t="str">
        <f>HYPERLINK("#Liste_rouge!A"&amp;_xlfn.XMATCH("DD",Liste_rouge!A:A,2,1),"DD")</f>
        <v>DD</v>
      </c>
      <c r="AH3789" s="4" t="str">
        <f>HYPERLINK("#Statut_biogéographique!A"&amp;_xlfn.XMATCH("P",Statut_biogéographique!A:A,2,1),"P")</f>
        <v>P</v>
      </c>
      <c r="AP3789" s="4" t="s">
        <v>376</v>
      </c>
      <c r="AR3789" s="4" t="s">
        <v>377</v>
      </c>
    </row>
    <row r="3790" spans="1:44">
      <c r="A3790" s="4" t="s">
        <v>5</v>
      </c>
      <c r="B3790" s="4">
        <v>31996</v>
      </c>
      <c r="C3790" s="4">
        <v>5195</v>
      </c>
      <c r="D3790" s="5" t="s">
        <v>5644</v>
      </c>
      <c r="E3790" s="6" t="str">
        <f>HYPERLINK("https://inpn.mnhn.fr/espece/cd_nom/31996","Clitocybe trulliformis (Fr.) P.Karst., 1879")</f>
        <v>Clitocybe trulliformis (Fr.) P.Karst., 1879</v>
      </c>
      <c r="V3790" s="7" t="str">
        <f>HYPERLINK("#Liste_rouge!A"&amp;_xlfn.XMATCH("DD",Liste_rouge!A:A,2,1),"DD")</f>
        <v>DD</v>
      </c>
      <c r="AH3790" s="4" t="str">
        <f>HYPERLINK("#Statut_biogéographique!A"&amp;_xlfn.XMATCH("P",Statut_biogéographique!A:A,2,1),"P")</f>
        <v>P</v>
      </c>
      <c r="AP3790" s="4" t="s">
        <v>376</v>
      </c>
      <c r="AR3790" s="4" t="s">
        <v>377</v>
      </c>
    </row>
    <row r="3791" spans="1:44">
      <c r="A3791" s="4" t="s">
        <v>5</v>
      </c>
      <c r="B3791" s="4">
        <v>31999</v>
      </c>
      <c r="C3791" s="4">
        <v>5826</v>
      </c>
      <c r="D3791" s="5" t="s">
        <v>5645</v>
      </c>
      <c r="E3791" s="6" t="str">
        <f>HYPERLINK("https://inpn.mnhn.fr/espece/cd_nom/31999","Clitocybe truncicola (Peck) Sacc., 1887")</f>
        <v>Clitocybe truncicola (Peck) Sacc., 1887</v>
      </c>
      <c r="F3791" s="5" t="s">
        <v>5646</v>
      </c>
      <c r="Z3791" s="4" t="s">
        <v>447</v>
      </c>
      <c r="AA3791" s="4" t="s">
        <v>448</v>
      </c>
      <c r="AH3791" s="4" t="str">
        <f>HYPERLINK("#Statut_biogéographique!A"&amp;_xlfn.XMATCH("P",Statut_biogéographique!A:A,2,1),"P")</f>
        <v>P</v>
      </c>
      <c r="AP3791" s="4" t="s">
        <v>376</v>
      </c>
      <c r="AR3791" s="4" t="s">
        <v>377</v>
      </c>
    </row>
    <row r="3792" spans="1:44">
      <c r="A3792" s="4" t="s">
        <v>5</v>
      </c>
      <c r="B3792" s="4">
        <v>32009</v>
      </c>
      <c r="C3792" s="4">
        <v>602</v>
      </c>
      <c r="D3792" s="5" t="s">
        <v>5647</v>
      </c>
      <c r="E3792" s="6" t="str">
        <f>HYPERLINK("https://inpn.mnhn.fr/espece/cd_nom/32009","Clitocybe vibecina (Fr.) Quél., 1872")</f>
        <v>Clitocybe vibecina (Fr.) Quél., 1872</v>
      </c>
      <c r="F3792" s="5" t="s">
        <v>5648</v>
      </c>
      <c r="V3792" s="7" t="str">
        <f>HYPERLINK("#Liste_rouge!A"&amp;_xlfn.XMATCH("LC",Liste_rouge!A:A,2,1),"LC")</f>
        <v>LC</v>
      </c>
      <c r="AH3792" s="4" t="str">
        <f>HYPERLINK("#Statut_biogéographique!A"&amp;_xlfn.XMATCH("P",Statut_biogéographique!A:A,2,1),"P")</f>
        <v>P</v>
      </c>
      <c r="AP3792" s="4" t="s">
        <v>376</v>
      </c>
      <c r="AR3792" s="4" t="s">
        <v>377</v>
      </c>
    </row>
    <row r="3793" spans="1:44" ht="30">
      <c r="A3793" s="4" t="s">
        <v>5</v>
      </c>
      <c r="B3793" s="4">
        <v>32017</v>
      </c>
      <c r="C3793" s="4">
        <v>3545</v>
      </c>
      <c r="D3793" s="5" t="s">
        <v>5649</v>
      </c>
      <c r="E3793" s="6" t="str">
        <f>HYPERLINK("https://inpn.mnhn.fr/espece/cd_nom/32017","Clitopilus hobsonii (Berk.) P.D.Orton, 1960")</f>
        <v>Clitopilus hobsonii (Berk.) P.D.Orton, 1960</v>
      </c>
      <c r="F3793" s="5" t="s">
        <v>5650</v>
      </c>
      <c r="V3793" s="7" t="str">
        <f>HYPERLINK("#Liste_rouge!A"&amp;_xlfn.XMATCH("EN",Liste_rouge!A:A,2,1),"EN")</f>
        <v>EN</v>
      </c>
      <c r="W3793" s="4" t="str">
        <f>HYPERLINK("#Critères_liste_rouge!A$1","B2abiii")</f>
        <v>B2abiii</v>
      </c>
      <c r="Z3793" s="4" t="s">
        <v>447</v>
      </c>
      <c r="AA3793" s="4" t="s">
        <v>448</v>
      </c>
      <c r="AH3793" s="4" t="str">
        <f>HYPERLINK("#Statut_biogéographique!A"&amp;_xlfn.XMATCH("P",Statut_biogéographique!A:A,2,1),"P")</f>
        <v>P</v>
      </c>
      <c r="AP3793" s="4" t="s">
        <v>376</v>
      </c>
      <c r="AR3793" s="4" t="s">
        <v>377</v>
      </c>
    </row>
    <row r="3794" spans="1:44">
      <c r="A3794" s="4" t="s">
        <v>5</v>
      </c>
      <c r="B3794" s="4">
        <v>32023</v>
      </c>
      <c r="C3794" s="4">
        <v>6479</v>
      </c>
      <c r="D3794" s="5" t="s">
        <v>5651</v>
      </c>
      <c r="E3794" s="6" t="str">
        <f>HYPERLINK("https://inpn.mnhn.fr/espece/cd_nom/32023","Clitopilus passeckerianus (Pilát) Singer, 1946")</f>
        <v>Clitopilus passeckerianus (Pilát) Singer, 1946</v>
      </c>
      <c r="F3794" s="5" t="s">
        <v>5652</v>
      </c>
      <c r="AH3794" s="4" t="str">
        <f>HYPERLINK("#Statut_biogéographique!A"&amp;_xlfn.XMATCH("P",Statut_biogéographique!A:A,2,1),"P")</f>
        <v>P</v>
      </c>
      <c r="AP3794" s="4" t="s">
        <v>376</v>
      </c>
      <c r="AR3794" s="4" t="s">
        <v>377</v>
      </c>
    </row>
    <row r="3795" spans="1:44" ht="30">
      <c r="A3795" s="4" t="s">
        <v>5</v>
      </c>
      <c r="B3795" s="4">
        <v>32024</v>
      </c>
      <c r="C3795" s="4">
        <v>4448</v>
      </c>
      <c r="D3795" s="5" t="s">
        <v>5653</v>
      </c>
      <c r="E3795" s="6" t="str">
        <f>HYPERLINK("https://inpn.mnhn.fr/espece/cd_nom/32024","Clitopilus cretatus (Berk. &amp; Broome) Sacc., 1887")</f>
        <v>Clitopilus cretatus (Berk. &amp; Broome) Sacc., 1887</v>
      </c>
      <c r="V3795" s="7" t="str">
        <f>HYPERLINK("#Liste_rouge!A"&amp;_xlfn.XMATCH("DD",Liste_rouge!A:A,2,1),"DD")</f>
        <v>DD</v>
      </c>
      <c r="AH3795" s="4" t="str">
        <f>HYPERLINK("#Statut_biogéographique!A"&amp;_xlfn.XMATCH("P",Statut_biogéographique!A:A,2,1),"P")</f>
        <v>P</v>
      </c>
      <c r="AP3795" s="4" t="s">
        <v>376</v>
      </c>
      <c r="AR3795" s="4" t="s">
        <v>377</v>
      </c>
    </row>
    <row r="3796" spans="1:44">
      <c r="A3796" s="4" t="s">
        <v>5</v>
      </c>
      <c r="B3796" s="4">
        <v>32026</v>
      </c>
      <c r="C3796" s="4">
        <v>2853</v>
      </c>
      <c r="D3796" s="5" t="s">
        <v>5654</v>
      </c>
      <c r="E3796" s="6" t="str">
        <f>HYPERLINK("https://inpn.mnhn.fr/espece/cd_nom/32026","Clitopilus pinsitus (Fr.) Joss., 1937")</f>
        <v>Clitopilus pinsitus (Fr.) Joss., 1937</v>
      </c>
      <c r="F3796" s="5" t="s">
        <v>5655</v>
      </c>
      <c r="V3796" s="7" t="str">
        <f>HYPERLINK("#Liste_rouge!A"&amp;_xlfn.XMATCH("LC",Liste_rouge!A:A,2,1),"LC")</f>
        <v>LC</v>
      </c>
      <c r="Z3796" s="4" t="s">
        <v>443</v>
      </c>
      <c r="AA3796" s="4" t="s">
        <v>444</v>
      </c>
      <c r="AH3796" s="4" t="str">
        <f>HYPERLINK("#Statut_biogéographique!A"&amp;_xlfn.XMATCH("P",Statut_biogéographique!A:A,2,1),"P")</f>
        <v>P</v>
      </c>
      <c r="AP3796" s="4" t="s">
        <v>376</v>
      </c>
      <c r="AR3796" s="4" t="s">
        <v>377</v>
      </c>
    </row>
    <row r="3797" spans="1:44" ht="45">
      <c r="A3797" s="4" t="s">
        <v>5</v>
      </c>
      <c r="B3797" s="4">
        <v>32028</v>
      </c>
      <c r="C3797" s="4">
        <v>49</v>
      </c>
      <c r="D3797" s="5" t="s">
        <v>5656</v>
      </c>
      <c r="E3797" s="6" t="str">
        <f>HYPERLINK("https://inpn.mnhn.fr/espece/cd_nom/32028","Clitopilus prunulus (Scop.) P.Kumm., 1871")</f>
        <v>Clitopilus prunulus (Scop.) P.Kumm., 1871</v>
      </c>
      <c r="F3797" s="5" t="s">
        <v>5657</v>
      </c>
      <c r="O3797" s="7" t="str">
        <f>HYPERLINK("#Liste_rouge!A"&amp;_xlfn.XMATCH("LC",Liste_rouge!A:A,2,1),"LC")</f>
        <v>LC</v>
      </c>
      <c r="V3797" s="7" t="str">
        <f>HYPERLINK("#Liste_rouge!A"&amp;_xlfn.XMATCH("LC",Liste_rouge!A:A,2,1),"LC")</f>
        <v>LC</v>
      </c>
      <c r="AH3797" s="4" t="str">
        <f>HYPERLINK("#Statut_biogéographique!A"&amp;_xlfn.XMATCH("P",Statut_biogéographique!A:A,2,1),"P")</f>
        <v>P</v>
      </c>
      <c r="AP3797" s="4" t="s">
        <v>376</v>
      </c>
      <c r="AR3797" s="4" t="s">
        <v>377</v>
      </c>
    </row>
    <row r="3798" spans="1:44">
      <c r="A3798" s="4" t="s">
        <v>5</v>
      </c>
      <c r="B3798" s="4">
        <v>32038</v>
      </c>
      <c r="C3798" s="4">
        <v>7310</v>
      </c>
      <c r="D3798" s="5" t="s">
        <v>5658</v>
      </c>
      <c r="E3798" s="6" t="str">
        <f>HYPERLINK("https://inpn.mnhn.fr/espece/cd_nom/32038","Clitopilus intermedius Romagn., 1954")</f>
        <v>Clitopilus intermedius Romagn., 1954</v>
      </c>
      <c r="AH3798" s="4" t="str">
        <f>HYPERLINK("#Statut_biogéographique!A"&amp;_xlfn.XMATCH("P",Statut_biogéographique!A:A,2,1),"P")</f>
        <v>P</v>
      </c>
      <c r="AP3798" s="4" t="s">
        <v>376</v>
      </c>
      <c r="AR3798" s="4" t="s">
        <v>377</v>
      </c>
    </row>
    <row r="3799" spans="1:44" ht="30">
      <c r="A3799" s="4" t="s">
        <v>5</v>
      </c>
      <c r="B3799" s="4">
        <v>32044</v>
      </c>
      <c r="C3799" s="4">
        <v>790</v>
      </c>
      <c r="D3799" s="5" t="s">
        <v>5659</v>
      </c>
      <c r="E3799" s="6" t="str">
        <f>HYPERLINK("https://inpn.mnhn.fr/espece/cd_nom/32044","Delicatula integrella (Pers.) Fayod, 1889")</f>
        <v>Delicatula integrella (Pers.) Fayod, 1889</v>
      </c>
      <c r="F3799" s="5" t="s">
        <v>5660</v>
      </c>
      <c r="V3799" s="7" t="str">
        <f>HYPERLINK("#Liste_rouge!A"&amp;_xlfn.XMATCH("LC",Liste_rouge!A:A,2,1),"LC")</f>
        <v>LC</v>
      </c>
      <c r="AH3799" s="4" t="str">
        <f>HYPERLINK("#Statut_biogéographique!A"&amp;_xlfn.XMATCH("P",Statut_biogéographique!A:A,2,1),"P")</f>
        <v>P</v>
      </c>
      <c r="AP3799" s="4" t="s">
        <v>376</v>
      </c>
      <c r="AR3799" s="4" t="s">
        <v>377</v>
      </c>
    </row>
    <row r="3800" spans="1:44" ht="30">
      <c r="A3800" s="4" t="s">
        <v>5</v>
      </c>
      <c r="B3800" s="4">
        <v>32051</v>
      </c>
      <c r="C3800" s="4">
        <v>2322</v>
      </c>
      <c r="D3800" s="5" t="s">
        <v>5661</v>
      </c>
      <c r="E3800" s="6" t="str">
        <f>HYPERLINK("https://inpn.mnhn.fr/espece/cd_nom/32051","Dermoloma atrocinereum (Pers.) P.D.Orton, 1960")</f>
        <v>Dermoloma atrocinereum (Pers.) P.D.Orton, 1960</v>
      </c>
      <c r="F3800" s="5" t="s">
        <v>5662</v>
      </c>
      <c r="V3800" s="7" t="str">
        <f>HYPERLINK("#Liste_rouge!A"&amp;_xlfn.XMATCH("EN",Liste_rouge!A:A,2,1),"EN")</f>
        <v>EN</v>
      </c>
      <c r="W3800" s="4" t="str">
        <f t="shared" ref="W3800:W3805" si="0">HYPERLINK("#Critères_liste_rouge!A$1","B2abiii")</f>
        <v>B2abiii</v>
      </c>
      <c r="Z3800" s="4" t="s">
        <v>695</v>
      </c>
      <c r="AA3800" s="4" t="s">
        <v>696</v>
      </c>
      <c r="AH3800" s="4" t="str">
        <f>HYPERLINK("#Statut_biogéographique!A"&amp;_xlfn.XMATCH("P",Statut_biogéographique!A:A,2,1),"P")</f>
        <v>P</v>
      </c>
      <c r="AP3800" s="4" t="s">
        <v>376</v>
      </c>
      <c r="AR3800" s="4" t="s">
        <v>377</v>
      </c>
    </row>
    <row r="3801" spans="1:44" ht="30">
      <c r="A3801" s="4" t="s">
        <v>5</v>
      </c>
      <c r="B3801" s="4">
        <v>32054</v>
      </c>
      <c r="C3801" s="4">
        <v>2007</v>
      </c>
      <c r="D3801" s="5" t="s">
        <v>5663</v>
      </c>
      <c r="E3801" s="6" t="str">
        <f>HYPERLINK("https://inpn.mnhn.fr/espece/cd_nom/32054","Dermoloma cuneifolium (Fr.) Singer ex Bon, 1986")</f>
        <v>Dermoloma cuneifolium (Fr.) Singer ex Bon, 1986</v>
      </c>
      <c r="F3801" s="5" t="s">
        <v>5664</v>
      </c>
      <c r="V3801" s="7" t="str">
        <f>HYPERLINK("#Liste_rouge!A"&amp;_xlfn.XMATCH("EN",Liste_rouge!A:A,2,1),"EN")</f>
        <v>EN</v>
      </c>
      <c r="W3801" s="4" t="str">
        <f t="shared" si="0"/>
        <v>B2abiii</v>
      </c>
      <c r="Z3801" s="4" t="s">
        <v>695</v>
      </c>
      <c r="AA3801" s="4" t="s">
        <v>696</v>
      </c>
      <c r="AH3801" s="4" t="str">
        <f>HYPERLINK("#Statut_biogéographique!A"&amp;_xlfn.XMATCH("P",Statut_biogéographique!A:A,2,1),"P")</f>
        <v>P</v>
      </c>
      <c r="AP3801" s="4" t="s">
        <v>376</v>
      </c>
      <c r="AR3801" s="4" t="s">
        <v>377</v>
      </c>
    </row>
    <row r="3802" spans="1:44" ht="30">
      <c r="A3802" s="4" t="s">
        <v>5</v>
      </c>
      <c r="B3802" s="4">
        <v>32061</v>
      </c>
      <c r="C3802" s="4">
        <v>3282</v>
      </c>
      <c r="D3802" s="5" t="s">
        <v>5665</v>
      </c>
      <c r="E3802" s="6" t="str">
        <f>HYPERLINK("https://inpn.mnhn.fr/espece/cd_nom/32061","Dermoloma josserandii Dennis &amp; P.D.Orton, 1960")</f>
        <v>Dermoloma josserandii Dennis &amp; P.D.Orton, 1960</v>
      </c>
      <c r="V3802" s="7" t="str">
        <f>HYPERLINK("#Liste_rouge!A"&amp;_xlfn.XMATCH("VU",Liste_rouge!A:A,2,1),"VU")</f>
        <v>VU</v>
      </c>
      <c r="W3802" s="4" t="str">
        <f t="shared" si="0"/>
        <v>B2abiii</v>
      </c>
      <c r="Z3802" s="4" t="s">
        <v>695</v>
      </c>
      <c r="AA3802" s="4" t="s">
        <v>696</v>
      </c>
      <c r="AH3802" s="4" t="str">
        <f>HYPERLINK("#Statut_biogéographique!A"&amp;_xlfn.XMATCH("P",Statut_biogéographique!A:A,2,1),"P")</f>
        <v>P</v>
      </c>
      <c r="AP3802" s="4" t="s">
        <v>376</v>
      </c>
      <c r="AR3802" s="4" t="s">
        <v>377</v>
      </c>
    </row>
    <row r="3803" spans="1:44" ht="30">
      <c r="A3803" s="4" t="s">
        <v>5</v>
      </c>
      <c r="B3803" s="4">
        <v>32063</v>
      </c>
      <c r="C3803" s="4">
        <v>3283</v>
      </c>
      <c r="D3803" s="5" t="s">
        <v>5666</v>
      </c>
      <c r="E3803" s="6" t="str">
        <f>HYPERLINK("https://inpn.mnhn.fr/espece/cd_nom/32063","Dermoloma pseudocuneifolium Herink ex Bon, 1986")</f>
        <v>Dermoloma pseudocuneifolium Herink ex Bon, 1986</v>
      </c>
      <c r="V3803" s="7" t="str">
        <f>HYPERLINK("#Liste_rouge!A"&amp;_xlfn.XMATCH("CR",Liste_rouge!A:A,2,1),"CR")</f>
        <v>CR</v>
      </c>
      <c r="W3803" s="4" t="str">
        <f t="shared" si="0"/>
        <v>B2abiii</v>
      </c>
      <c r="Z3803" s="4" t="s">
        <v>695</v>
      </c>
      <c r="AA3803" s="4" t="s">
        <v>696</v>
      </c>
      <c r="AH3803" s="4" t="str">
        <f>HYPERLINK("#Statut_biogéographique!A"&amp;_xlfn.XMATCH("P",Statut_biogéographique!A:A,2,1),"P")</f>
        <v>P</v>
      </c>
      <c r="AP3803" s="4" t="s">
        <v>376</v>
      </c>
      <c r="AR3803" s="4" t="s">
        <v>377</v>
      </c>
    </row>
    <row r="3804" spans="1:44" ht="30">
      <c r="A3804" s="4" t="s">
        <v>5</v>
      </c>
      <c r="B3804" s="4">
        <v>32067</v>
      </c>
      <c r="C3804" s="4">
        <v>3282</v>
      </c>
      <c r="D3804" s="5" t="s">
        <v>5667</v>
      </c>
      <c r="E3804" s="6" t="str">
        <f>HYPERLINK("https://inpn.mnhn.fr/espece/cd_nom/32067","Dermoloma pseudocuneifolium var. pragensis Kubička ex Bon, 1986")</f>
        <v>Dermoloma pseudocuneifolium var. pragensis Kubička ex Bon, 1986</v>
      </c>
      <c r="V3804" s="7" t="str">
        <f>HYPERLINK("#Liste_rouge!A"&amp;_xlfn.XMATCH("VU",Liste_rouge!A:A,2,1),"VU")</f>
        <v>VU</v>
      </c>
      <c r="W3804" s="4" t="str">
        <f t="shared" si="0"/>
        <v>B2abiii</v>
      </c>
      <c r="Z3804" s="4" t="s">
        <v>695</v>
      </c>
      <c r="AA3804" s="4" t="s">
        <v>696</v>
      </c>
      <c r="AH3804" s="4" t="str">
        <f>HYPERLINK("#Statut_biogéographique!A"&amp;_xlfn.XMATCH("P",Statut_biogéographique!A:A,2,1),"P")</f>
        <v>P</v>
      </c>
      <c r="AP3804" s="4" t="s">
        <v>376</v>
      </c>
      <c r="AR3804" s="4" t="s">
        <v>377</v>
      </c>
    </row>
    <row r="3805" spans="1:44">
      <c r="A3805" s="4" t="s">
        <v>5</v>
      </c>
      <c r="B3805" s="4">
        <v>32072</v>
      </c>
      <c r="C3805" s="4">
        <v>2227</v>
      </c>
      <c r="D3805" s="5" t="s">
        <v>5668</v>
      </c>
      <c r="E3805" s="6" t="str">
        <f>HYPERLINK("https://inpn.mnhn.fr/espece/cd_nom/32072","Fayodia anthracobia (J.Favre) Knudsen, 1991")</f>
        <v>Fayodia anthracobia (J.Favre) Knudsen, 1991</v>
      </c>
      <c r="V3805" s="7" t="str">
        <f>HYPERLINK("#Liste_rouge!A"&amp;_xlfn.XMATCH("VU",Liste_rouge!A:A,2,1),"VU")</f>
        <v>VU</v>
      </c>
      <c r="W3805" s="4" t="str">
        <f t="shared" si="0"/>
        <v>B2abiii</v>
      </c>
      <c r="Z3805" s="4" t="s">
        <v>443</v>
      </c>
      <c r="AA3805" s="4" t="s">
        <v>444</v>
      </c>
      <c r="AH3805" s="4" t="str">
        <f>HYPERLINK("#Statut_biogéographique!A"&amp;_xlfn.XMATCH("P",Statut_biogéographique!A:A,2,1),"P")</f>
        <v>P</v>
      </c>
      <c r="AP3805" s="4" t="s">
        <v>376</v>
      </c>
      <c r="AR3805" s="4" t="s">
        <v>377</v>
      </c>
    </row>
    <row r="3806" spans="1:44" ht="30">
      <c r="A3806" s="4" t="s">
        <v>5</v>
      </c>
      <c r="B3806" s="4">
        <v>32086</v>
      </c>
      <c r="C3806" s="4">
        <v>3299</v>
      </c>
      <c r="D3806" s="5" t="s">
        <v>5669</v>
      </c>
      <c r="E3806" s="6" t="str">
        <f>HYPERLINK("https://inpn.mnhn.fr/espece/cd_nom/32086","Gamundia pseudoclusilis (Joss. &amp; Konrad) Raithelh., 1980")</f>
        <v>Gamundia pseudoclusilis (Joss. &amp; Konrad) Raithelh., 1980</v>
      </c>
      <c r="F3806" s="5" t="s">
        <v>5670</v>
      </c>
      <c r="V3806" s="7" t="str">
        <f>HYPERLINK("#Liste_rouge!A"&amp;_xlfn.XMATCH("VU",Liste_rouge!A:A,2,1),"VU")</f>
        <v>VU</v>
      </c>
      <c r="W3806" s="4" t="str">
        <f>HYPERLINK("#Critères_liste_rouge!A$1","A2c")</f>
        <v>A2c</v>
      </c>
      <c r="Z3806" s="4" t="s">
        <v>447</v>
      </c>
      <c r="AA3806" s="4" t="s">
        <v>448</v>
      </c>
      <c r="AH3806" s="4" t="str">
        <f>HYPERLINK("#Statut_biogéographique!A"&amp;_xlfn.XMATCH("P",Statut_biogéographique!A:A,2,1),"P")</f>
        <v>P</v>
      </c>
      <c r="AP3806" s="4" t="s">
        <v>376</v>
      </c>
      <c r="AR3806" s="4" t="s">
        <v>377</v>
      </c>
    </row>
    <row r="3807" spans="1:44" ht="30">
      <c r="A3807" s="4" t="s">
        <v>5</v>
      </c>
      <c r="B3807" s="4">
        <v>32101</v>
      </c>
      <c r="C3807" s="4">
        <v>2683</v>
      </c>
      <c r="D3807" s="5" t="s">
        <v>5671</v>
      </c>
      <c r="E3807" s="6" t="str">
        <f>HYPERLINK("https://inpn.mnhn.fr/espece/cd_nom/32101","Floccularia straminea (P.Kumm.) Pouzar, 1957")</f>
        <v>Floccularia straminea (P.Kumm.) Pouzar, 1957</v>
      </c>
      <c r="F3807" s="5" t="s">
        <v>5672</v>
      </c>
      <c r="Z3807" s="4" t="s">
        <v>512</v>
      </c>
      <c r="AA3807" s="4" t="s">
        <v>513</v>
      </c>
      <c r="AH3807" s="4" t="str">
        <f>HYPERLINK("#Statut_biogéographique!A"&amp;_xlfn.XMATCH("P",Statut_biogéographique!A:A,2,1),"P")</f>
        <v>P</v>
      </c>
      <c r="AP3807" s="4" t="s">
        <v>376</v>
      </c>
      <c r="AR3807" s="4" t="s">
        <v>377</v>
      </c>
    </row>
    <row r="3808" spans="1:44">
      <c r="A3808" s="4" t="s">
        <v>5</v>
      </c>
      <c r="B3808" s="4">
        <v>32117</v>
      </c>
      <c r="C3808" s="4">
        <v>5654</v>
      </c>
      <c r="D3808" s="5" t="s">
        <v>5673</v>
      </c>
      <c r="E3808" s="6" t="str">
        <f>HYPERLINK("https://inpn.mnhn.fr/espece/cd_nom/32117","Gerronema alutaceum Singer, 1978")</f>
        <v>Gerronema alutaceum Singer, 1978</v>
      </c>
      <c r="AH3808" s="4" t="str">
        <f>HYPERLINK("#Statut_biogéographique!A"&amp;_xlfn.XMATCH("P",Statut_biogéographique!A:A,2,1),"P")</f>
        <v>P</v>
      </c>
      <c r="AP3808" s="4" t="s">
        <v>376</v>
      </c>
      <c r="AR3808" s="4" t="s">
        <v>377</v>
      </c>
    </row>
    <row r="3809" spans="1:44" ht="30">
      <c r="A3809" s="4" t="s">
        <v>5</v>
      </c>
      <c r="B3809" s="4">
        <v>32158</v>
      </c>
      <c r="C3809" s="4">
        <v>85</v>
      </c>
      <c r="D3809" s="5" t="s">
        <v>5674</v>
      </c>
      <c r="E3809" s="6" t="str">
        <f>HYPERLINK("https://inpn.mnhn.fr/espece/cd_nom/32158","Hygrophoropsis aurantiaca (Wulfen) Maire, 1921")</f>
        <v>Hygrophoropsis aurantiaca (Wulfen) Maire, 1921</v>
      </c>
      <c r="F3809" s="5" t="s">
        <v>5675</v>
      </c>
      <c r="V3809" s="7" t="str">
        <f>HYPERLINK("#Liste_rouge!A"&amp;_xlfn.XMATCH("LC",Liste_rouge!A:A,2,1),"LC")</f>
        <v>LC</v>
      </c>
      <c r="AH3809" s="4" t="str">
        <f>HYPERLINK("#Statut_biogéographique!A"&amp;_xlfn.XMATCH("P",Statut_biogéographique!A:A,2,1),"P")</f>
        <v>P</v>
      </c>
      <c r="AP3809" s="4" t="s">
        <v>376</v>
      </c>
      <c r="AR3809" s="4" t="s">
        <v>377</v>
      </c>
    </row>
    <row r="3810" spans="1:44" ht="30">
      <c r="A3810" s="4" t="s">
        <v>5</v>
      </c>
      <c r="B3810" s="4">
        <v>32162</v>
      </c>
      <c r="C3810" s="4">
        <v>6618</v>
      </c>
      <c r="D3810" s="5" t="s">
        <v>5676</v>
      </c>
      <c r="E3810" s="6" t="str">
        <f>HYPERLINK("https://inpn.mnhn.fr/espece/cd_nom/32162","Hygrophoropsis aurantiaca var. rufa D.A.Reid, 1972")</f>
        <v>Hygrophoropsis aurantiaca var. rufa D.A.Reid, 1972</v>
      </c>
      <c r="F3810" s="5" t="s">
        <v>5677</v>
      </c>
      <c r="AH3810" s="4" t="str">
        <f>HYPERLINK("#Statut_biogéographique!A"&amp;_xlfn.XMATCH("P",Statut_biogéographique!A:A,2,1),"P")</f>
        <v>P</v>
      </c>
      <c r="AP3810" s="4" t="s">
        <v>376</v>
      </c>
      <c r="AR3810" s="4" t="s">
        <v>377</v>
      </c>
    </row>
    <row r="3811" spans="1:44">
      <c r="A3811" s="4" t="s">
        <v>5</v>
      </c>
      <c r="B3811" s="4">
        <v>32177</v>
      </c>
      <c r="C3811" s="4">
        <v>2816</v>
      </c>
      <c r="D3811" s="5" t="s">
        <v>5678</v>
      </c>
      <c r="E3811" s="6" t="str">
        <f>HYPERLINK("https://inpn.mnhn.fr/espece/cd_nom/32177","Laccaria affinis (Singer) Bon, 1983")</f>
        <v>Laccaria affinis (Singer) Bon, 1983</v>
      </c>
      <c r="F3811" s="5" t="s">
        <v>5679</v>
      </c>
      <c r="V3811" s="7" t="str">
        <f>HYPERLINK("#Liste_rouge!A"&amp;_xlfn.XMATCH("LC",Liste_rouge!A:A,2,1),"LC")</f>
        <v>LC</v>
      </c>
      <c r="AH3811" s="4" t="str">
        <f>HYPERLINK("#Statut_biogéographique!A"&amp;_xlfn.XMATCH("P",Statut_biogéographique!A:A,2,1),"P")</f>
        <v>P</v>
      </c>
      <c r="AP3811" s="4" t="s">
        <v>376</v>
      </c>
      <c r="AR3811" s="4" t="s">
        <v>377</v>
      </c>
    </row>
    <row r="3812" spans="1:44" ht="30">
      <c r="A3812" s="4" t="s">
        <v>5</v>
      </c>
      <c r="B3812" s="4">
        <v>32178</v>
      </c>
      <c r="C3812" s="4">
        <v>20</v>
      </c>
      <c r="D3812" s="5" t="s">
        <v>5680</v>
      </c>
      <c r="E3812" s="6" t="str">
        <f>HYPERLINK("https://inpn.mnhn.fr/espece/cd_nom/32178","Laccaria amethystina Cooke, 1884")</f>
        <v>Laccaria amethystina Cooke, 1884</v>
      </c>
      <c r="F3812" s="5" t="s">
        <v>5681</v>
      </c>
      <c r="V3812" s="7" t="str">
        <f>HYPERLINK("#Liste_rouge!A"&amp;_xlfn.XMATCH("LC",Liste_rouge!A:A,2,1),"LC")</f>
        <v>LC</v>
      </c>
      <c r="AH3812" s="4" t="str">
        <f>HYPERLINK("#Statut_biogéographique!A"&amp;_xlfn.XMATCH("P",Statut_biogéographique!A:A,2,1),"P")</f>
        <v>P</v>
      </c>
      <c r="AP3812" s="4" t="s">
        <v>376</v>
      </c>
      <c r="AR3812" s="4" t="s">
        <v>377</v>
      </c>
    </row>
    <row r="3813" spans="1:44">
      <c r="A3813" s="4" t="s">
        <v>5</v>
      </c>
      <c r="B3813" s="4">
        <v>32182</v>
      </c>
      <c r="C3813" s="4">
        <v>263</v>
      </c>
      <c r="D3813" s="5" t="s">
        <v>5682</v>
      </c>
      <c r="E3813" s="6" t="str">
        <f>HYPERLINK("https://inpn.mnhn.fr/espece/cd_nom/32182","Laccaria bicolor (Maire) P.D.Orton, 1960")</f>
        <v>Laccaria bicolor (Maire) P.D.Orton, 1960</v>
      </c>
      <c r="F3813" s="5" t="s">
        <v>5683</v>
      </c>
      <c r="V3813" s="7" t="str">
        <f>HYPERLINK("#Liste_rouge!A"&amp;_xlfn.XMATCH("LC",Liste_rouge!A:A,2,1),"LC")</f>
        <v>LC</v>
      </c>
      <c r="AH3813" s="4" t="str">
        <f>HYPERLINK("#Statut_biogéographique!A"&amp;_xlfn.XMATCH("P",Statut_biogéographique!A:A,2,1),"P")</f>
        <v>P</v>
      </c>
      <c r="AP3813" s="4" t="s">
        <v>376</v>
      </c>
      <c r="AR3813" s="4" t="s">
        <v>377</v>
      </c>
    </row>
    <row r="3814" spans="1:44">
      <c r="A3814" s="4" t="s">
        <v>5</v>
      </c>
      <c r="B3814" s="4">
        <v>32191</v>
      </c>
      <c r="C3814" s="4">
        <v>5729</v>
      </c>
      <c r="D3814" s="5" t="s">
        <v>5684</v>
      </c>
      <c r="E3814" s="6" t="str">
        <f>HYPERLINK("https://inpn.mnhn.fr/espece/cd_nom/32191","Laccaria bisporigera Contu &amp; Ballero, 1993")</f>
        <v>Laccaria bisporigera Contu &amp; Ballero, 1993</v>
      </c>
      <c r="Z3814" s="4" t="s">
        <v>443</v>
      </c>
      <c r="AA3814" s="4" t="s">
        <v>444</v>
      </c>
      <c r="AH3814" s="4" t="str">
        <f>HYPERLINK("#Statut_biogéographique!A"&amp;_xlfn.XMATCH("P",Statut_biogéographique!A:A,2,1),"P")</f>
        <v>P</v>
      </c>
      <c r="AP3814" s="4" t="s">
        <v>376</v>
      </c>
      <c r="AR3814" s="4" t="s">
        <v>377</v>
      </c>
    </row>
    <row r="3815" spans="1:44">
      <c r="A3815" s="4" t="s">
        <v>5</v>
      </c>
      <c r="B3815" s="4">
        <v>32192</v>
      </c>
      <c r="C3815" s="4">
        <v>32</v>
      </c>
      <c r="D3815" s="5" t="s">
        <v>5685</v>
      </c>
      <c r="E3815" s="6" t="str">
        <f>HYPERLINK("https://inpn.mnhn.fr/espece/cd_nom/32192","Laccaria laccata (Scop.) Cooke, 1884")</f>
        <v>Laccaria laccata (Scop.) Cooke, 1884</v>
      </c>
      <c r="F3815" s="5" t="s">
        <v>5686</v>
      </c>
      <c r="V3815" s="7" t="str">
        <f>HYPERLINK("#Liste_rouge!A"&amp;_xlfn.XMATCH("LC",Liste_rouge!A:A,2,1),"LC")</f>
        <v>LC</v>
      </c>
      <c r="AH3815" s="4" t="str">
        <f>HYPERLINK("#Statut_biogéographique!A"&amp;_xlfn.XMATCH("P",Statut_biogéographique!A:A,2,1),"P")</f>
        <v>P</v>
      </c>
      <c r="AP3815" s="4" t="s">
        <v>376</v>
      </c>
      <c r="AR3815" s="4" t="s">
        <v>377</v>
      </c>
    </row>
    <row r="3816" spans="1:44">
      <c r="A3816" s="4" t="s">
        <v>5</v>
      </c>
      <c r="B3816" s="4">
        <v>32204</v>
      </c>
      <c r="C3816" s="4">
        <v>664</v>
      </c>
      <c r="D3816" s="5" t="s">
        <v>5687</v>
      </c>
      <c r="E3816" s="6" t="str">
        <f>HYPERLINK("https://inpn.mnhn.fr/espece/cd_nom/32204","Laccaria proxima (Boud.) Pat., 1887")</f>
        <v>Laccaria proxima (Boud.) Pat., 1887</v>
      </c>
      <c r="F3816" s="5" t="s">
        <v>5688</v>
      </c>
      <c r="V3816" s="7" t="str">
        <f>HYPERLINK("#Liste_rouge!A"&amp;_xlfn.XMATCH("LC",Liste_rouge!A:A,2,1),"LC")</f>
        <v>LC</v>
      </c>
      <c r="AH3816" s="4" t="str">
        <f>HYPERLINK("#Statut_biogéographique!A"&amp;_xlfn.XMATCH("P",Statut_biogéographique!A:A,2,1),"P")</f>
        <v>P</v>
      </c>
      <c r="AP3816" s="4" t="s">
        <v>376</v>
      </c>
      <c r="AR3816" s="4" t="s">
        <v>377</v>
      </c>
    </row>
    <row r="3817" spans="1:44">
      <c r="A3817" s="4" t="s">
        <v>5</v>
      </c>
      <c r="B3817" s="4">
        <v>32213</v>
      </c>
      <c r="C3817" s="4">
        <v>3147</v>
      </c>
      <c r="D3817" s="5" t="s">
        <v>5689</v>
      </c>
      <c r="E3817" s="6" t="str">
        <f>HYPERLINK("https://inpn.mnhn.fr/espece/cd_nom/32213","Laccaria pumila Fayod, 1893")</f>
        <v>Laccaria pumila Fayod, 1893</v>
      </c>
      <c r="F3817" s="5" t="s">
        <v>5690</v>
      </c>
      <c r="V3817" s="7" t="str">
        <f>HYPERLINK("#Liste_rouge!A"&amp;_xlfn.XMATCH("NT",Liste_rouge!A:A,2,1),"NT")</f>
        <v>NT</v>
      </c>
      <c r="W3817" s="4" t="str">
        <f>HYPERLINK("#Critères_liste_rouge!A$1","pr. B2abiii")</f>
        <v>pr. B2abiii</v>
      </c>
      <c r="AH3817" s="4" t="str">
        <f>HYPERLINK("#Statut_biogéographique!A"&amp;_xlfn.XMATCH("P",Statut_biogéographique!A:A,2,1),"P")</f>
        <v>P</v>
      </c>
      <c r="AP3817" s="4" t="s">
        <v>376</v>
      </c>
      <c r="AR3817" s="4" t="s">
        <v>377</v>
      </c>
    </row>
    <row r="3818" spans="1:44">
      <c r="A3818" s="4" t="s">
        <v>5</v>
      </c>
      <c r="B3818" s="4">
        <v>32216</v>
      </c>
      <c r="C3818" s="4">
        <v>2013</v>
      </c>
      <c r="D3818" s="5" t="s">
        <v>5691</v>
      </c>
      <c r="E3818" s="6" t="str">
        <f>HYPERLINK("https://inpn.mnhn.fr/espece/cd_nom/32216","Laccaria purpureobadia D.A.Reid, 1966")</f>
        <v>Laccaria purpureobadia D.A.Reid, 1966</v>
      </c>
      <c r="F3818" s="5" t="s">
        <v>5692</v>
      </c>
      <c r="V3818" s="7" t="str">
        <f>HYPERLINK("#Liste_rouge!A"&amp;_xlfn.XMATCH("EN",Liste_rouge!A:A,2,1),"EN")</f>
        <v>EN</v>
      </c>
      <c r="W3818" s="4" t="str">
        <f>HYPERLINK("#Critères_liste_rouge!A$1","B2abiii")</f>
        <v>B2abiii</v>
      </c>
      <c r="Z3818" s="4" t="s">
        <v>447</v>
      </c>
      <c r="AA3818" s="4" t="s">
        <v>448</v>
      </c>
      <c r="AH3818" s="4" t="str">
        <f>HYPERLINK("#Statut_biogéographique!A"&amp;_xlfn.XMATCH("P",Statut_biogéographique!A:A,2,1),"P")</f>
        <v>P</v>
      </c>
      <c r="AP3818" s="4" t="s">
        <v>376</v>
      </c>
      <c r="AR3818" s="4" t="s">
        <v>377</v>
      </c>
    </row>
    <row r="3819" spans="1:44" ht="30">
      <c r="A3819" s="4" t="s">
        <v>5</v>
      </c>
      <c r="B3819" s="4">
        <v>32219</v>
      </c>
      <c r="C3819" s="4">
        <v>332</v>
      </c>
      <c r="D3819" s="5" t="s">
        <v>5693</v>
      </c>
      <c r="E3819" s="6" t="str">
        <f>HYPERLINK("https://inpn.mnhn.fr/espece/cd_nom/32219","Laccaria tortilis (Bolton) Cooke, 1884")</f>
        <v>Laccaria tortilis (Bolton) Cooke, 1884</v>
      </c>
      <c r="F3819" s="5" t="s">
        <v>5694</v>
      </c>
      <c r="V3819" s="7" t="str">
        <f>HYPERLINK("#Liste_rouge!A"&amp;_xlfn.XMATCH("LC",Liste_rouge!A:A,2,1),"LC")</f>
        <v>LC</v>
      </c>
      <c r="AH3819" s="4" t="str">
        <f>HYPERLINK("#Statut_biogéographique!A"&amp;_xlfn.XMATCH("P",Statut_biogéographique!A:A,2,1),"P")</f>
        <v>P</v>
      </c>
      <c r="AP3819" s="4" t="s">
        <v>376</v>
      </c>
      <c r="AR3819" s="4" t="s">
        <v>377</v>
      </c>
    </row>
    <row r="3820" spans="1:44">
      <c r="A3820" s="4" t="s">
        <v>5</v>
      </c>
      <c r="B3820" s="4">
        <v>32225</v>
      </c>
      <c r="D3820" s="5" t="s">
        <v>5695</v>
      </c>
      <c r="E3820" s="6" t="str">
        <f>HYPERLINK("https://inpn.mnhn.fr/espece/cd_nom/32225","Lepista caespitosa (Bres.) Singer, 1951")</f>
        <v>Lepista caespitosa (Bres.) Singer, 1951</v>
      </c>
      <c r="AH3820" s="4" t="str">
        <f>HYPERLINK("#Statut_biogéographique!A"&amp;_xlfn.XMATCH("P",Statut_biogéographique!A:A,2,1),"P")</f>
        <v>P</v>
      </c>
      <c r="AP3820" s="4" t="s">
        <v>376</v>
      </c>
      <c r="AR3820" s="4" t="s">
        <v>377</v>
      </c>
    </row>
    <row r="3821" spans="1:44" ht="30">
      <c r="A3821" s="4" t="s">
        <v>5</v>
      </c>
      <c r="B3821" s="4">
        <v>32230</v>
      </c>
      <c r="D3821" s="5" t="s">
        <v>5696</v>
      </c>
      <c r="E3821" s="6" t="str">
        <f>HYPERLINK("https://inpn.mnhn.fr/espece/cd_nom/32230","Lepista densifolia (J.Favre) Singer &amp; Clémençon, 1973")</f>
        <v>Lepista densifolia (J.Favre) Singer &amp; Clémençon, 1973</v>
      </c>
      <c r="V3821" s="7" t="str">
        <f>HYPERLINK("#Liste_rouge!A"&amp;_xlfn.XMATCH("NT",Liste_rouge!A:A,2,1),"NT")</f>
        <v>NT</v>
      </c>
      <c r="W3821" s="4" t="str">
        <f>HYPERLINK("#Critères_liste_rouge!A$1","pr. B2abiii")</f>
        <v>pr. B2abiii</v>
      </c>
      <c r="AH3821" s="4" t="str">
        <f>HYPERLINK("#Statut_biogéographique!A"&amp;_xlfn.XMATCH("P",Statut_biogéographique!A:A,2,1),"P")</f>
        <v>P</v>
      </c>
      <c r="AP3821" s="4" t="s">
        <v>376</v>
      </c>
      <c r="AR3821" s="4" t="s">
        <v>377</v>
      </c>
    </row>
    <row r="3822" spans="1:44">
      <c r="A3822" s="4" t="s">
        <v>5</v>
      </c>
      <c r="B3822" s="4">
        <v>32234</v>
      </c>
      <c r="D3822" s="5" t="s">
        <v>5697</v>
      </c>
      <c r="E3822" s="6" t="str">
        <f>HYPERLINK("https://inpn.mnhn.fr/espece/cd_nom/32234","Lepista flaccida (Sowerby) Pat., 1887")</f>
        <v>Lepista flaccida (Sowerby) Pat., 1887</v>
      </c>
      <c r="F3822" s="5" t="s">
        <v>5698</v>
      </c>
      <c r="AH3822" s="4" t="str">
        <f>HYPERLINK("#Statut_biogéographique!A"&amp;_xlfn.XMATCH("P",Statut_biogéographique!A:A,2,1),"P")</f>
        <v>P</v>
      </c>
      <c r="AP3822" s="4" t="s">
        <v>376</v>
      </c>
      <c r="AR3822" s="4" t="s">
        <v>377</v>
      </c>
    </row>
    <row r="3823" spans="1:44" ht="30">
      <c r="A3823" s="4" t="s">
        <v>5</v>
      </c>
      <c r="B3823" s="4">
        <v>32237</v>
      </c>
      <c r="D3823" s="5" t="s">
        <v>5699</v>
      </c>
      <c r="E3823" s="6" t="str">
        <f>HYPERLINK("https://inpn.mnhn.fr/espece/cd_nom/32237","Lepista gilva (Pers.) Roze, 1876")</f>
        <v>Lepista gilva (Pers.) Roze, 1876</v>
      </c>
      <c r="F3823" s="5" t="s">
        <v>5700</v>
      </c>
      <c r="V3823" s="7" t="str">
        <f>HYPERLINK("#Liste_rouge!A"&amp;_xlfn.XMATCH("LC",Liste_rouge!A:A,2,1),"LC")</f>
        <v>LC</v>
      </c>
      <c r="AH3823" s="4" t="str">
        <f>HYPERLINK("#Statut_biogéographique!A"&amp;_xlfn.XMATCH("P",Statut_biogéographique!A:A,2,1),"P")</f>
        <v>P</v>
      </c>
      <c r="AP3823" s="4" t="s">
        <v>376</v>
      </c>
      <c r="AR3823" s="4" t="s">
        <v>377</v>
      </c>
    </row>
    <row r="3824" spans="1:44" ht="30">
      <c r="A3824" s="4" t="s">
        <v>5</v>
      </c>
      <c r="B3824" s="4">
        <v>32242</v>
      </c>
      <c r="D3824" s="5" t="s">
        <v>5701</v>
      </c>
      <c r="E3824" s="6" t="str">
        <f>HYPERLINK("https://inpn.mnhn.fr/espece/cd_nom/32242","Lepista glaucocana (Bres.) Singer, 1951")</f>
        <v>Lepista glaucocana (Bres.) Singer, 1951</v>
      </c>
      <c r="V3824" s="7" t="str">
        <f>HYPERLINK("#Liste_rouge!A"&amp;_xlfn.XMATCH("LC",Liste_rouge!A:A,2,1),"LC")</f>
        <v>LC</v>
      </c>
      <c r="AH3824" s="4" t="str">
        <f>HYPERLINK("#Statut_biogéographique!A"&amp;_xlfn.XMATCH("P",Statut_biogéographique!A:A,2,1),"P")</f>
        <v>P</v>
      </c>
      <c r="AP3824" s="4" t="s">
        <v>376</v>
      </c>
      <c r="AR3824" s="4" t="s">
        <v>377</v>
      </c>
    </row>
    <row r="3825" spans="1:44">
      <c r="A3825" s="4" t="s">
        <v>5</v>
      </c>
      <c r="B3825" s="4">
        <v>32249</v>
      </c>
      <c r="D3825" s="5" t="s">
        <v>5702</v>
      </c>
      <c r="E3825" s="6" t="str">
        <f>HYPERLINK("https://inpn.mnhn.fr/espece/cd_nom/32249","Lepista inversa (Scop.) Pat., 1887")</f>
        <v>Lepista inversa (Scop.) Pat., 1887</v>
      </c>
      <c r="F3825" s="5" t="s">
        <v>5703</v>
      </c>
      <c r="V3825" s="7" t="str">
        <f>HYPERLINK("#Liste_rouge!A"&amp;_xlfn.XMATCH("LC",Liste_rouge!A:A,2,1),"LC")</f>
        <v>LC</v>
      </c>
      <c r="AH3825" s="4" t="str">
        <f>HYPERLINK("#Statut_biogéographique!A"&amp;_xlfn.XMATCH("P",Statut_biogéographique!A:A,2,1),"P")</f>
        <v>P</v>
      </c>
      <c r="AP3825" s="4" t="s">
        <v>376</v>
      </c>
      <c r="AR3825" s="4" t="s">
        <v>377</v>
      </c>
    </row>
    <row r="3826" spans="1:44">
      <c r="A3826" s="4" t="s">
        <v>5</v>
      </c>
      <c r="B3826" s="4">
        <v>32253</v>
      </c>
      <c r="D3826" s="5" t="s">
        <v>5704</v>
      </c>
      <c r="E3826" s="6" t="str">
        <f>HYPERLINK("https://inpn.mnhn.fr/espece/cd_nom/32253","Lepista irina (Fr.) H.E.Bigelow, 1959")</f>
        <v>Lepista irina (Fr.) H.E.Bigelow, 1959</v>
      </c>
      <c r="F3826" s="5" t="s">
        <v>5705</v>
      </c>
      <c r="V3826" s="7" t="str">
        <f>HYPERLINK("#Liste_rouge!A"&amp;_xlfn.XMATCH("LC",Liste_rouge!A:A,2,1),"LC")</f>
        <v>LC</v>
      </c>
      <c r="AH3826" s="4" t="str">
        <f>HYPERLINK("#Statut_biogéographique!A"&amp;_xlfn.XMATCH("P",Statut_biogéographique!A:A,2,1),"P")</f>
        <v>P</v>
      </c>
      <c r="AP3826" s="4" t="s">
        <v>376</v>
      </c>
      <c r="AR3826" s="4" t="s">
        <v>377</v>
      </c>
    </row>
    <row r="3827" spans="1:44">
      <c r="A3827" s="4" t="s">
        <v>5</v>
      </c>
      <c r="B3827" s="4">
        <v>32266</v>
      </c>
      <c r="D3827" s="5" t="s">
        <v>5706</v>
      </c>
      <c r="E3827" s="6" t="str">
        <f>HYPERLINK("https://inpn.mnhn.fr/espece/cd_nom/32266","Lepista martiorum (J.Favre) Bon, 1993")</f>
        <v>Lepista martiorum (J.Favre) Bon, 1993</v>
      </c>
      <c r="F3827" s="5" t="s">
        <v>5707</v>
      </c>
      <c r="V3827" s="7" t="str">
        <f>HYPERLINK("#Liste_rouge!A"&amp;_xlfn.XMATCH("CR",Liste_rouge!A:A,2,1),"CR")</f>
        <v>CR</v>
      </c>
      <c r="W3827" s="4" t="str">
        <f>HYPERLINK("#Critères_liste_rouge!A$1","B2abiii")</f>
        <v>B2abiii</v>
      </c>
      <c r="AH3827" s="4" t="str">
        <f>HYPERLINK("#Statut_biogéographique!A"&amp;_xlfn.XMATCH("P",Statut_biogéographique!A:A,2,1),"P")</f>
        <v>P</v>
      </c>
      <c r="AP3827" s="4" t="s">
        <v>376</v>
      </c>
      <c r="AR3827" s="4" t="s">
        <v>377</v>
      </c>
    </row>
    <row r="3828" spans="1:44">
      <c r="A3828" s="4" t="s">
        <v>5</v>
      </c>
      <c r="B3828" s="4">
        <v>32274</v>
      </c>
      <c r="C3828" s="4">
        <v>56</v>
      </c>
      <c r="D3828" s="5" t="s">
        <v>5708</v>
      </c>
      <c r="E3828" s="6" t="str">
        <f>HYPERLINK("https://inpn.mnhn.fr/espece/cd_nom/32274","Clitocybe nebularis (Batsch) P.Kumm., 1871")</f>
        <v>Clitocybe nebularis (Batsch) P.Kumm., 1871</v>
      </c>
      <c r="F3828" s="5" t="s">
        <v>5709</v>
      </c>
      <c r="V3828" s="7" t="str">
        <f>HYPERLINK("#Liste_rouge!A"&amp;_xlfn.XMATCH("LC",Liste_rouge!A:A,2,1),"LC")</f>
        <v>LC</v>
      </c>
      <c r="AH3828" s="4" t="str">
        <f>HYPERLINK("#Statut_biogéographique!A"&amp;_xlfn.XMATCH("P",Statut_biogéographique!A:A,2,1),"P")</f>
        <v>P</v>
      </c>
      <c r="AP3828" s="4" t="s">
        <v>376</v>
      </c>
      <c r="AR3828" s="4" t="s">
        <v>377</v>
      </c>
    </row>
    <row r="3829" spans="1:44" ht="30">
      <c r="A3829" s="4" t="s">
        <v>5</v>
      </c>
      <c r="B3829" s="4">
        <v>32276</v>
      </c>
      <c r="D3829" s="5" t="s">
        <v>5710</v>
      </c>
      <c r="E3829" s="6" t="str">
        <f>HYPERLINK("https://inpn.mnhn.fr/espece/cd_nom/32276","Lepista nuda (Bull.) Cooke, 1871")</f>
        <v>Lepista nuda (Bull.) Cooke, 1871</v>
      </c>
      <c r="F3829" s="5" t="s">
        <v>5711</v>
      </c>
      <c r="V3829" s="7" t="str">
        <f>HYPERLINK("#Liste_rouge!A"&amp;_xlfn.XMATCH("LC",Liste_rouge!A:A,2,1),"LC")</f>
        <v>LC</v>
      </c>
      <c r="AH3829" s="4" t="str">
        <f>HYPERLINK("#Statut_biogéographique!A"&amp;_xlfn.XMATCH("P",Statut_biogéographique!A:A,2,1),"P")</f>
        <v>P</v>
      </c>
      <c r="AP3829" s="4" t="s">
        <v>376</v>
      </c>
      <c r="AR3829" s="4" t="s">
        <v>377</v>
      </c>
    </row>
    <row r="3830" spans="1:44" ht="30">
      <c r="A3830" s="4" t="s">
        <v>5</v>
      </c>
      <c r="B3830" s="4">
        <v>32280</v>
      </c>
      <c r="D3830" s="5" t="s">
        <v>5712</v>
      </c>
      <c r="E3830" s="6" t="str">
        <f>HYPERLINK("https://inpn.mnhn.fr/espece/cd_nom/32280","Lepista nuda var. pruinosa (Bon) Bon ex Courtec., 1985")</f>
        <v>Lepista nuda var. pruinosa (Bon) Bon ex Courtec., 1985</v>
      </c>
      <c r="AH3830" s="4" t="str">
        <f>HYPERLINK("#Statut_biogéographique!A"&amp;_xlfn.XMATCH("P",Statut_biogéographique!A:A,2,1),"P")</f>
        <v>P</v>
      </c>
      <c r="AP3830" s="4" t="s">
        <v>376</v>
      </c>
      <c r="AR3830" s="4" t="s">
        <v>377</v>
      </c>
    </row>
    <row r="3831" spans="1:44" ht="45">
      <c r="A3831" s="4" t="s">
        <v>5</v>
      </c>
      <c r="B3831" s="4">
        <v>32294</v>
      </c>
      <c r="D3831" s="5" t="s">
        <v>5713</v>
      </c>
      <c r="E3831" s="6" t="str">
        <f>HYPERLINK("https://inpn.mnhn.fr/espece/cd_nom/32294","Lepista personata (Fr.) Cooke, 1871")</f>
        <v>Lepista personata (Fr.) Cooke, 1871</v>
      </c>
      <c r="F3831" s="5" t="s">
        <v>5714</v>
      </c>
      <c r="V3831" s="7" t="str">
        <f>HYPERLINK("#Liste_rouge!A"&amp;_xlfn.XMATCH("EN",Liste_rouge!A:A,2,1),"EN")</f>
        <v>EN</v>
      </c>
      <c r="W3831" s="4" t="str">
        <f>HYPERLINK("#Critères_liste_rouge!A$1","A2c")</f>
        <v>A2c</v>
      </c>
      <c r="AH3831" s="4" t="str">
        <f>HYPERLINK("#Statut_biogéographique!A"&amp;_xlfn.XMATCH("P",Statut_biogéographique!A:A,2,1),"P")</f>
        <v>P</v>
      </c>
      <c r="AP3831" s="4" t="s">
        <v>376</v>
      </c>
      <c r="AR3831" s="4" t="s">
        <v>377</v>
      </c>
    </row>
    <row r="3832" spans="1:44" ht="30">
      <c r="A3832" s="4" t="s">
        <v>5</v>
      </c>
      <c r="B3832" s="4">
        <v>32297</v>
      </c>
      <c r="D3832" s="5" t="s">
        <v>5715</v>
      </c>
      <c r="E3832" s="6" t="str">
        <f>HYPERLINK("https://inpn.mnhn.fr/espece/cd_nom/32297","Lepista sordida (Schumach.) Singer, 1951")</f>
        <v>Lepista sordida (Schumach.) Singer, 1951</v>
      </c>
      <c r="V3832" s="7" t="str">
        <f>HYPERLINK("#Liste_rouge!A"&amp;_xlfn.XMATCH("LC",Liste_rouge!A:A,2,1),"LC")</f>
        <v>LC</v>
      </c>
      <c r="AH3832" s="4" t="str">
        <f>HYPERLINK("#Statut_biogéographique!A"&amp;_xlfn.XMATCH("P",Statut_biogéographique!A:A,2,1),"P")</f>
        <v>P</v>
      </c>
      <c r="AP3832" s="4" t="s">
        <v>376</v>
      </c>
      <c r="AR3832" s="4" t="s">
        <v>377</v>
      </c>
    </row>
    <row r="3833" spans="1:44">
      <c r="A3833" s="4" t="s">
        <v>5</v>
      </c>
      <c r="B3833" s="4">
        <v>32304</v>
      </c>
      <c r="D3833" s="5" t="s">
        <v>5716</v>
      </c>
      <c r="E3833" s="6" t="str">
        <f>HYPERLINK("https://inpn.mnhn.fr/espece/cd_nom/32304","Lepista sordida var. lilacea (Quél.) Bon, 1980")</f>
        <v>Lepista sordida var. lilacea (Quél.) Bon, 1980</v>
      </c>
      <c r="AH3833" s="4" t="str">
        <f>HYPERLINK("#Statut_biogéographique!A"&amp;_xlfn.XMATCH("P",Statut_biogéographique!A:A,2,1),"P")</f>
        <v>P</v>
      </c>
      <c r="AP3833" s="4" t="s">
        <v>376</v>
      </c>
      <c r="AR3833" s="4" t="s">
        <v>377</v>
      </c>
    </row>
    <row r="3834" spans="1:44" ht="30">
      <c r="A3834" s="4" t="s">
        <v>5</v>
      </c>
      <c r="B3834" s="4">
        <v>32316</v>
      </c>
      <c r="D3834" s="5" t="s">
        <v>5717</v>
      </c>
      <c r="E3834" s="6" t="str">
        <f>HYPERLINK("https://inpn.mnhn.fr/espece/cd_nom/32316","Leucocortinarius bulbiger (Alb. &amp; Schwein.) Singer, 1945")</f>
        <v>Leucocortinarius bulbiger (Alb. &amp; Schwein.) Singer, 1945</v>
      </c>
      <c r="F3834" s="5" t="s">
        <v>5718</v>
      </c>
      <c r="V3834" s="7" t="str">
        <f>HYPERLINK("#Liste_rouge!A"&amp;_xlfn.XMATCH("LC",Liste_rouge!A:A,2,1),"LC")</f>
        <v>LC</v>
      </c>
      <c r="AH3834" s="4" t="str">
        <f>HYPERLINK("#Statut_biogéographique!A"&amp;_xlfn.XMATCH("P",Statut_biogéographique!A:A,2,1),"P")</f>
        <v>P</v>
      </c>
      <c r="AP3834" s="4" t="s">
        <v>376</v>
      </c>
      <c r="AR3834" s="4" t="s">
        <v>377</v>
      </c>
    </row>
    <row r="3835" spans="1:44">
      <c r="A3835" s="4" t="s">
        <v>5</v>
      </c>
      <c r="B3835" s="4">
        <v>32320</v>
      </c>
      <c r="D3835" s="5" t="s">
        <v>5719</v>
      </c>
      <c r="E3835" s="6" t="str">
        <f>HYPERLINK("https://inpn.mnhn.fr/espece/cd_nom/32320","Leucopaxillus albissimus (Peck) Singer, 1939")</f>
        <v>Leucopaxillus albissimus (Peck) Singer, 1939</v>
      </c>
      <c r="V3835" s="7" t="str">
        <f>HYPERLINK("#Liste_rouge!A"&amp;_xlfn.XMATCH("EN",Liste_rouge!A:A,2,1),"EN")</f>
        <v>EN</v>
      </c>
      <c r="W3835" s="4" t="str">
        <f>HYPERLINK("#Critères_liste_rouge!A$1","A2c")</f>
        <v>A2c</v>
      </c>
      <c r="AH3835" s="4" t="str">
        <f>HYPERLINK("#Statut_biogéographique!A"&amp;_xlfn.XMATCH("P",Statut_biogéographique!A:A,2,1),"P")</f>
        <v>P</v>
      </c>
      <c r="AP3835" s="4" t="s">
        <v>376</v>
      </c>
      <c r="AR3835" s="4" t="s">
        <v>377</v>
      </c>
    </row>
    <row r="3836" spans="1:44" ht="30">
      <c r="A3836" s="4" t="s">
        <v>5</v>
      </c>
      <c r="B3836" s="4">
        <v>32323</v>
      </c>
      <c r="D3836" s="5" t="s">
        <v>5720</v>
      </c>
      <c r="E3836" s="6" t="str">
        <f>HYPERLINK("https://inpn.mnhn.fr/espece/cd_nom/32323","Leucopaxillus albissimus var. piceinus (Peck) Singer &amp; A.H.Sm., 1943")</f>
        <v>Leucopaxillus albissimus var. piceinus (Peck) Singer &amp; A.H.Sm., 1943</v>
      </c>
      <c r="V3836" s="7" t="str">
        <f>HYPERLINK("#Liste_rouge!A"&amp;_xlfn.XMATCH("EN",Liste_rouge!A:A,2,1),"EN")</f>
        <v>EN</v>
      </c>
      <c r="W3836" s="4" t="str">
        <f>HYPERLINK("#Critères_liste_rouge!A$1","B2abiii")</f>
        <v>B2abiii</v>
      </c>
      <c r="AH3836" s="4" t="str">
        <f>HYPERLINK("#Statut_biogéographique!A"&amp;_xlfn.XMATCH("P",Statut_biogéographique!A:A,2,1),"P")</f>
        <v>P</v>
      </c>
      <c r="AP3836" s="4" t="s">
        <v>376</v>
      </c>
      <c r="AR3836" s="4" t="s">
        <v>377</v>
      </c>
    </row>
    <row r="3837" spans="1:44" ht="30">
      <c r="A3837" s="4" t="s">
        <v>5</v>
      </c>
      <c r="B3837" s="4">
        <v>32336</v>
      </c>
      <c r="D3837" s="5" t="s">
        <v>5721</v>
      </c>
      <c r="E3837" s="6" t="str">
        <f>HYPERLINK("https://inpn.mnhn.fr/espece/cd_nom/32336","Leucopaxillus paradoxus (Costantin &amp; L.M.Dufour) Boursier, 1925")</f>
        <v>Leucopaxillus paradoxus (Costantin &amp; L.M.Dufour) Boursier, 1925</v>
      </c>
      <c r="V3837" s="7" t="str">
        <f>HYPERLINK("#Liste_rouge!A"&amp;_xlfn.XMATCH("NT",Liste_rouge!A:A,2,1),"NT")</f>
        <v>NT</v>
      </c>
      <c r="W3837" s="4" t="str">
        <f>HYPERLINK("#Critères_liste_rouge!A$1","pr. B2abiii")</f>
        <v>pr. B2abiii</v>
      </c>
      <c r="AH3837" s="4" t="str">
        <f>HYPERLINK("#Statut_biogéographique!A"&amp;_xlfn.XMATCH("P",Statut_biogéographique!A:A,2,1),"P")</f>
        <v>P</v>
      </c>
      <c r="AP3837" s="4" t="s">
        <v>376</v>
      </c>
      <c r="AR3837" s="4" t="s">
        <v>377</v>
      </c>
    </row>
    <row r="3838" spans="1:44" ht="30">
      <c r="A3838" s="4" t="s">
        <v>5</v>
      </c>
      <c r="B3838" s="4">
        <v>32337</v>
      </c>
      <c r="D3838" s="5" t="s">
        <v>5722</v>
      </c>
      <c r="E3838" s="6" t="str">
        <f>HYPERLINK("https://inpn.mnhn.fr/espece/cd_nom/32337","Leucopaxillus compactus (P.Karst.) Neuhoff, 1958")</f>
        <v>Leucopaxillus compactus (P.Karst.) Neuhoff, 1958</v>
      </c>
      <c r="V3838" s="7" t="str">
        <f>HYPERLINK("#Liste_rouge!A"&amp;_xlfn.XMATCH("CR",Liste_rouge!A:A,2,1),"CR")</f>
        <v>CR</v>
      </c>
      <c r="W3838" s="4" t="str">
        <f>HYPERLINK("#Critères_liste_rouge!A$1","B2abiii")</f>
        <v>B2abiii</v>
      </c>
      <c r="AH3838" s="4" t="str">
        <f>HYPERLINK("#Statut_biogéographique!A"&amp;_xlfn.XMATCH("P",Statut_biogéographique!A:A,2,1),"P")</f>
        <v>P</v>
      </c>
      <c r="AP3838" s="4" t="s">
        <v>376</v>
      </c>
      <c r="AR3838" s="4" t="s">
        <v>377</v>
      </c>
    </row>
    <row r="3839" spans="1:44" ht="45">
      <c r="A3839" s="4" t="s">
        <v>5</v>
      </c>
      <c r="B3839" s="4">
        <v>32344</v>
      </c>
      <c r="D3839" s="5" t="s">
        <v>5723</v>
      </c>
      <c r="E3839" s="6" t="str">
        <f>HYPERLINK("https://inpn.mnhn.fr/espece/cd_nom/32344","Leucopaxillus amarus (Alb. &amp; Schwein.) Kühner, 1928")</f>
        <v>Leucopaxillus amarus (Alb. &amp; Schwein.) Kühner, 1928</v>
      </c>
      <c r="V3839" s="7" t="str">
        <f>HYPERLINK("#Liste_rouge!A"&amp;_xlfn.XMATCH("LC",Liste_rouge!A:A,2,1),"LC")</f>
        <v>LC</v>
      </c>
      <c r="AH3839" s="4" t="str">
        <f>HYPERLINK("#Statut_biogéographique!A"&amp;_xlfn.XMATCH("P",Statut_biogéographique!A:A,2,1),"P")</f>
        <v>P</v>
      </c>
      <c r="AP3839" s="4" t="s">
        <v>376</v>
      </c>
      <c r="AR3839" s="4" t="s">
        <v>377</v>
      </c>
    </row>
    <row r="3840" spans="1:44" ht="30">
      <c r="A3840" s="4" t="s">
        <v>5</v>
      </c>
      <c r="B3840" s="4">
        <v>32345</v>
      </c>
      <c r="C3840" s="4">
        <v>569</v>
      </c>
      <c r="D3840" s="5" t="s">
        <v>5724</v>
      </c>
      <c r="E3840" s="6" t="str">
        <f>HYPERLINK("https://inpn.mnhn.fr/espece/cd_nom/32345","Leucopaxillus giganteus (Sowerby) Singer, 1939")</f>
        <v>Leucopaxillus giganteus (Sowerby) Singer, 1939</v>
      </c>
      <c r="F3840" s="5" t="s">
        <v>5725</v>
      </c>
      <c r="V3840" s="7" t="str">
        <f>HYPERLINK("#Liste_rouge!A"&amp;_xlfn.XMATCH("CR",Liste_rouge!A:A,2,1),"CR")</f>
        <v>CR</v>
      </c>
      <c r="W3840" s="4" t="str">
        <f>HYPERLINK("#Critères_liste_rouge!A$1","A2c")</f>
        <v>A2c</v>
      </c>
      <c r="Z3840" s="4" t="s">
        <v>695</v>
      </c>
      <c r="AA3840" s="4" t="s">
        <v>696</v>
      </c>
      <c r="AH3840" s="4" t="str">
        <f>HYPERLINK("#Statut_biogéographique!A"&amp;_xlfn.XMATCH("P",Statut_biogéographique!A:A,2,1),"P")</f>
        <v>P</v>
      </c>
      <c r="AP3840" s="4" t="s">
        <v>376</v>
      </c>
      <c r="AR3840" s="4" t="s">
        <v>377</v>
      </c>
    </row>
    <row r="3841" spans="1:44" ht="45">
      <c r="A3841" s="4" t="s">
        <v>5</v>
      </c>
      <c r="B3841" s="4">
        <v>32375</v>
      </c>
      <c r="D3841" s="5" t="s">
        <v>5726</v>
      </c>
      <c r="E3841" s="6" t="str">
        <f>HYPERLINK("https://inpn.mnhn.fr/espece/cd_nom/32375","Lyophyllum fumosum (Pers.) P.D.Orton, 1960")</f>
        <v>Lyophyllum fumosum (Pers.) P.D.Orton, 1960</v>
      </c>
      <c r="V3841" s="7" t="str">
        <f>HYPERLINK("#Liste_rouge!A"&amp;_xlfn.XMATCH("LC",Liste_rouge!A:A,2,1),"LC")</f>
        <v>LC</v>
      </c>
      <c r="AH3841" s="4" t="str">
        <f>HYPERLINK("#Statut_biogéographique!A"&amp;_xlfn.XMATCH("P",Statut_biogéographique!A:A,2,1),"P")</f>
        <v>P</v>
      </c>
      <c r="AP3841" s="4" t="s">
        <v>376</v>
      </c>
      <c r="AR3841" s="4" t="s">
        <v>377</v>
      </c>
    </row>
    <row r="3842" spans="1:44" ht="30">
      <c r="A3842" s="4" t="s">
        <v>5</v>
      </c>
      <c r="B3842" s="4">
        <v>32384</v>
      </c>
      <c r="D3842" s="5" t="s">
        <v>5727</v>
      </c>
      <c r="E3842" s="6" t="str">
        <f>HYPERLINK("https://inpn.mnhn.fr/espece/cd_nom/32384","Lyophyllum infumatum (Bres.) Kühner, 1938")</f>
        <v>Lyophyllum infumatum (Bres.) Kühner, 1938</v>
      </c>
      <c r="V3842" s="7" t="str">
        <f>HYPERLINK("#Liste_rouge!A"&amp;_xlfn.XMATCH("LC",Liste_rouge!A:A,2,1),"LC")</f>
        <v>LC</v>
      </c>
      <c r="AH3842" s="4" t="str">
        <f>HYPERLINK("#Statut_biogéographique!A"&amp;_xlfn.XMATCH("P",Statut_biogéographique!A:A,2,1),"P")</f>
        <v>P</v>
      </c>
      <c r="AP3842" s="4" t="s">
        <v>376</v>
      </c>
      <c r="AR3842" s="4" t="s">
        <v>377</v>
      </c>
    </row>
    <row r="3843" spans="1:44" ht="30">
      <c r="A3843" s="4" t="s">
        <v>5</v>
      </c>
      <c r="B3843" s="4">
        <v>32388</v>
      </c>
      <c r="D3843" s="5" t="s">
        <v>5728</v>
      </c>
      <c r="E3843" s="6" t="str">
        <f>HYPERLINK("https://inpn.mnhn.fr/espece/cd_nom/32388","Lyophyllum konradianum (Maire) Kühner &amp; Romagn., 1948")</f>
        <v>Lyophyllum konradianum (Maire) Kühner &amp; Romagn., 1948</v>
      </c>
      <c r="V3843" s="7" t="str">
        <f>HYPERLINK("#Liste_rouge!A"&amp;_xlfn.XMATCH("EN",Liste_rouge!A:A,2,1),"EN")</f>
        <v>EN</v>
      </c>
      <c r="W3843" s="4" t="str">
        <f>HYPERLINK("#Critères_liste_rouge!A$1","B2abiii")</f>
        <v>B2abiii</v>
      </c>
      <c r="AH3843" s="4" t="str">
        <f>HYPERLINK("#Statut_biogéographique!A"&amp;_xlfn.XMATCH("P",Statut_biogéographique!A:A,2,1),"P")</f>
        <v>P</v>
      </c>
      <c r="AP3843" s="4" t="s">
        <v>376</v>
      </c>
      <c r="AR3843" s="4" t="s">
        <v>377</v>
      </c>
    </row>
    <row r="3844" spans="1:44" ht="30">
      <c r="A3844" s="4" t="s">
        <v>5</v>
      </c>
      <c r="B3844" s="4">
        <v>32393</v>
      </c>
      <c r="D3844" s="5" t="s">
        <v>5729</v>
      </c>
      <c r="E3844" s="6" t="str">
        <f>HYPERLINK("https://inpn.mnhn.fr/espece/cd_nom/32393","Lyophyllum loricatum (Fr.) Kühner, 1938")</f>
        <v>Lyophyllum loricatum (Fr.) Kühner, 1938</v>
      </c>
      <c r="V3844" s="7" t="str">
        <f>HYPERLINK("#Liste_rouge!A"&amp;_xlfn.XMATCH("DD",Liste_rouge!A:A,2,1),"DD")</f>
        <v>DD</v>
      </c>
      <c r="AH3844" s="4" t="str">
        <f>HYPERLINK("#Statut_biogéographique!A"&amp;_xlfn.XMATCH("P",Statut_biogéographique!A:A,2,1),"P")</f>
        <v>P</v>
      </c>
      <c r="AP3844" s="4" t="s">
        <v>376</v>
      </c>
      <c r="AR3844" s="4" t="s">
        <v>377</v>
      </c>
    </row>
    <row r="3845" spans="1:44">
      <c r="A3845" s="4" t="s">
        <v>5</v>
      </c>
      <c r="B3845" s="4">
        <v>32403</v>
      </c>
      <c r="D3845" s="5" t="s">
        <v>5730</v>
      </c>
      <c r="E3845" s="6" t="str">
        <f>HYPERLINK("https://inpn.mnhn.fr/espece/cd_nom/32403","Lepista ovispora (J.E.Lange) Gulden, 1983")</f>
        <v>Lepista ovispora (J.E.Lange) Gulden, 1983</v>
      </c>
      <c r="V3845" s="7" t="str">
        <f>HYPERLINK("#Liste_rouge!A"&amp;_xlfn.XMATCH("DD",Liste_rouge!A:A,2,1),"DD")</f>
        <v>DD</v>
      </c>
      <c r="AH3845" s="4" t="str">
        <f>HYPERLINK("#Statut_biogéographique!A"&amp;_xlfn.XMATCH("P",Statut_biogéographique!A:A,2,1),"P")</f>
        <v>P</v>
      </c>
      <c r="AP3845" s="4" t="s">
        <v>376</v>
      </c>
      <c r="AR3845" s="4" t="s">
        <v>377</v>
      </c>
    </row>
    <row r="3846" spans="1:44">
      <c r="A3846" s="4" t="s">
        <v>5</v>
      </c>
      <c r="B3846" s="4">
        <v>32406</v>
      </c>
      <c r="C3846" s="4">
        <v>3108</v>
      </c>
      <c r="D3846" s="5" t="s">
        <v>5731</v>
      </c>
      <c r="E3846" s="6" t="str">
        <f>HYPERLINK("https://inpn.mnhn.fr/espece/cd_nom/32406","Tephrocybe ozes (Fr.) Bon, 1995")</f>
        <v>Tephrocybe ozes (Fr.) Bon, 1995</v>
      </c>
      <c r="F3846" s="5" t="s">
        <v>5732</v>
      </c>
      <c r="V3846" s="7" t="str">
        <f>HYPERLINK("#Liste_rouge!A"&amp;_xlfn.XMATCH("NT",Liste_rouge!A:A,2,1),"NT")</f>
        <v>NT</v>
      </c>
      <c r="W3846" s="4" t="str">
        <f>HYPERLINK("#Critères_liste_rouge!A$1","pr. B2abiii")</f>
        <v>pr. B2abiii</v>
      </c>
      <c r="AH3846" s="4" t="str">
        <f>HYPERLINK("#Statut_biogéographique!A"&amp;_xlfn.XMATCH("P",Statut_biogéographique!A:A,2,1),"P")</f>
        <v>P</v>
      </c>
      <c r="AP3846" s="4" t="s">
        <v>376</v>
      </c>
      <c r="AR3846" s="4" t="s">
        <v>377</v>
      </c>
    </row>
    <row r="3847" spans="1:44">
      <c r="A3847" s="4" t="s">
        <v>5</v>
      </c>
      <c r="B3847" s="4">
        <v>32407</v>
      </c>
      <c r="D3847" s="5" t="s">
        <v>5733</v>
      </c>
      <c r="E3847" s="6" t="str">
        <f>HYPERLINK("https://inpn.mnhn.fr/espece/cd_nom/32407","Lyophyllum paelochroum Clémençon, 1982")</f>
        <v>Lyophyllum paelochroum Clémençon, 1982</v>
      </c>
      <c r="AH3847" s="4" t="str">
        <f>HYPERLINK("#Statut_biogéographique!A"&amp;_xlfn.XMATCH("P",Statut_biogéographique!A:A,2,1),"P")</f>
        <v>P</v>
      </c>
      <c r="AP3847" s="4" t="s">
        <v>376</v>
      </c>
      <c r="AR3847" s="4" t="s">
        <v>377</v>
      </c>
    </row>
    <row r="3848" spans="1:44">
      <c r="A3848" s="4" t="s">
        <v>5</v>
      </c>
      <c r="B3848" s="4">
        <v>32414</v>
      </c>
      <c r="D3848" s="5" t="s">
        <v>5734</v>
      </c>
      <c r="E3848" s="6" t="str">
        <f>HYPERLINK("https://inpn.mnhn.fr/espece/cd_nom/32414","Lyophyllum semitale (Fr.) Kühner, 1938")</f>
        <v>Lyophyllum semitale (Fr.) Kühner, 1938</v>
      </c>
      <c r="V3848" s="7" t="str">
        <f>HYPERLINK("#Liste_rouge!A"&amp;_xlfn.XMATCH("LC",Liste_rouge!A:A,2,1),"LC")</f>
        <v>LC</v>
      </c>
      <c r="AH3848" s="4" t="str">
        <f>HYPERLINK("#Statut_biogéographique!A"&amp;_xlfn.XMATCH("P",Statut_biogéographique!A:A,2,1),"P")</f>
        <v>P</v>
      </c>
      <c r="AP3848" s="4" t="s">
        <v>376</v>
      </c>
      <c r="AR3848" s="4" t="s">
        <v>377</v>
      </c>
    </row>
    <row r="3849" spans="1:44">
      <c r="A3849" s="4" t="s">
        <v>5</v>
      </c>
      <c r="B3849" s="4">
        <v>32419</v>
      </c>
      <c r="D3849" s="5" t="s">
        <v>5735</v>
      </c>
      <c r="E3849" s="6" t="str">
        <f>HYPERLINK("https://inpn.mnhn.fr/espece/cd_nom/32419","Lyophyllum tenebrosum Clémençon, 1982")</f>
        <v>Lyophyllum tenebrosum Clémençon, 1982</v>
      </c>
      <c r="V3849" s="7" t="str">
        <f>HYPERLINK("#Liste_rouge!A"&amp;_xlfn.XMATCH("DD",Liste_rouge!A:A,2,1),"DD")</f>
        <v>DD</v>
      </c>
      <c r="AH3849" s="4" t="str">
        <f>HYPERLINK("#Statut_biogéographique!A"&amp;_xlfn.XMATCH("P",Statut_biogéographique!A:A,2,1),"P")</f>
        <v>P</v>
      </c>
      <c r="AP3849" s="4" t="s">
        <v>376</v>
      </c>
      <c r="AR3849" s="4" t="s">
        <v>377</v>
      </c>
    </row>
    <row r="3850" spans="1:44" ht="30">
      <c r="A3850" s="4" t="s">
        <v>5</v>
      </c>
      <c r="B3850" s="4">
        <v>32422</v>
      </c>
      <c r="D3850" s="5" t="s">
        <v>5736</v>
      </c>
      <c r="E3850" s="6" t="str">
        <f>HYPERLINK("https://inpn.mnhn.fr/espece/cd_nom/32422","Lyophyllum transforme (Sacc.) Singer, 1943")</f>
        <v>Lyophyllum transforme (Sacc.) Singer, 1943</v>
      </c>
      <c r="V3850" s="7" t="str">
        <f>HYPERLINK("#Liste_rouge!A"&amp;_xlfn.XMATCH("VU",Liste_rouge!A:A,2,1),"VU")</f>
        <v>VU</v>
      </c>
      <c r="W3850" s="4" t="str">
        <f>HYPERLINK("#Critères_liste_rouge!A$1","A2c")</f>
        <v>A2c</v>
      </c>
      <c r="AH3850" s="4" t="str">
        <f>HYPERLINK("#Statut_biogéographique!A"&amp;_xlfn.XMATCH("P",Statut_biogéographique!A:A,2,1),"P")</f>
        <v>P</v>
      </c>
      <c r="AP3850" s="4" t="s">
        <v>376</v>
      </c>
      <c r="AR3850" s="4" t="s">
        <v>377</v>
      </c>
    </row>
    <row r="3851" spans="1:44" ht="30">
      <c r="A3851" s="4" t="s">
        <v>5</v>
      </c>
      <c r="B3851" s="4">
        <v>32432</v>
      </c>
      <c r="D3851" s="5" t="s">
        <v>5737</v>
      </c>
      <c r="E3851" s="6" t="str">
        <f>HYPERLINK("https://inpn.mnhn.fr/espece/cd_nom/32432","Macrocystidia cucumis (Pers.) Joss., 1934")</f>
        <v>Macrocystidia cucumis (Pers.) Joss., 1934</v>
      </c>
      <c r="F3851" s="5" t="s">
        <v>5738</v>
      </c>
      <c r="V3851" s="7" t="str">
        <f>HYPERLINK("#Liste_rouge!A"&amp;_xlfn.XMATCH("LC",Liste_rouge!A:A,2,1),"LC")</f>
        <v>LC</v>
      </c>
      <c r="AH3851" s="4" t="str">
        <f>HYPERLINK("#Statut_biogéographique!A"&amp;_xlfn.XMATCH("P",Statut_biogéographique!A:A,2,1),"P")</f>
        <v>P</v>
      </c>
      <c r="AP3851" s="4" t="s">
        <v>376</v>
      </c>
      <c r="AR3851" s="4" t="s">
        <v>377</v>
      </c>
    </row>
    <row r="3852" spans="1:44">
      <c r="A3852" s="4" t="s">
        <v>5</v>
      </c>
      <c r="B3852" s="4">
        <v>32437</v>
      </c>
      <c r="D3852" s="5" t="s">
        <v>5739</v>
      </c>
      <c r="E3852" s="6" t="str">
        <f>HYPERLINK("https://inpn.mnhn.fr/espece/cd_nom/32437","Macrocystidia cucumis f. minor Joss., 1934")</f>
        <v>Macrocystidia cucumis f. minor Joss., 1934</v>
      </c>
      <c r="AH3852" s="4" t="str">
        <f>HYPERLINK("#Statut_biogéographique!A"&amp;_xlfn.XMATCH("P",Statut_biogéographique!A:A,2,1),"P")</f>
        <v>P</v>
      </c>
      <c r="AP3852" s="4" t="s">
        <v>376</v>
      </c>
      <c r="AR3852" s="4" t="s">
        <v>377</v>
      </c>
    </row>
    <row r="3853" spans="1:44" ht="30">
      <c r="A3853" s="4" t="s">
        <v>5</v>
      </c>
      <c r="B3853" s="4">
        <v>32453</v>
      </c>
      <c r="D3853" s="5" t="s">
        <v>5740</v>
      </c>
      <c r="E3853" s="6" t="str">
        <f>HYPERLINK("https://inpn.mnhn.fr/espece/cd_nom/32453","Melanoleuca brevipes (Bull.) Pat., 1900")</f>
        <v>Melanoleuca brevipes (Bull.) Pat., 1900</v>
      </c>
      <c r="V3853" s="7" t="str">
        <f>HYPERLINK("#Liste_rouge!A"&amp;_xlfn.XMATCH("LC",Liste_rouge!A:A,2,1),"LC")</f>
        <v>LC</v>
      </c>
      <c r="AH3853" s="4" t="str">
        <f>HYPERLINK("#Statut_biogéographique!A"&amp;_xlfn.XMATCH("P",Statut_biogéographique!A:A,2,1),"P")</f>
        <v>P</v>
      </c>
      <c r="AP3853" s="4" t="s">
        <v>376</v>
      </c>
      <c r="AR3853" s="4" t="s">
        <v>377</v>
      </c>
    </row>
    <row r="3854" spans="1:44" ht="30">
      <c r="A3854" s="4" t="s">
        <v>5</v>
      </c>
      <c r="B3854" s="4">
        <v>32462</v>
      </c>
      <c r="D3854" s="5" t="s">
        <v>5741</v>
      </c>
      <c r="E3854" s="6" t="str">
        <f>HYPERLINK("https://inpn.mnhn.fr/espece/cd_nom/32462","Melanoleuca cognata (Fr.) Konrad &amp; Maubl., 1927")</f>
        <v>Melanoleuca cognata (Fr.) Konrad &amp; Maubl., 1927</v>
      </c>
      <c r="V3854" s="7" t="str">
        <f>HYPERLINK("#Liste_rouge!A"&amp;_xlfn.XMATCH("LC",Liste_rouge!A:A,2,1),"LC")</f>
        <v>LC</v>
      </c>
      <c r="AH3854" s="4" t="str">
        <f>HYPERLINK("#Statut_biogéographique!A"&amp;_xlfn.XMATCH("P",Statut_biogéographique!A:A,2,1),"P")</f>
        <v>P</v>
      </c>
      <c r="AP3854" s="4" t="s">
        <v>376</v>
      </c>
      <c r="AR3854" s="4" t="s">
        <v>377</v>
      </c>
    </row>
    <row r="3855" spans="1:44" ht="30">
      <c r="A3855" s="4" t="s">
        <v>5</v>
      </c>
      <c r="B3855" s="4">
        <v>32465</v>
      </c>
      <c r="D3855" s="5">
        <v>32465</v>
      </c>
      <c r="E3855" s="6" t="str">
        <f>HYPERLINK("https://inpn.mnhn.fr/espece/cd_nom/32465","Melanoleuca cognata var. pallidipes Kühner, 1978")</f>
        <v>Melanoleuca cognata var. pallidipes Kühner, 1978</v>
      </c>
      <c r="AH3855" s="4" t="str">
        <f>HYPERLINK("#Statut_biogéographique!A"&amp;_xlfn.XMATCH("P",Statut_biogéographique!A:A,2,1),"P")</f>
        <v>P</v>
      </c>
      <c r="AP3855" s="4" t="s">
        <v>376</v>
      </c>
      <c r="AR3855" s="4" t="s">
        <v>377</v>
      </c>
    </row>
    <row r="3856" spans="1:44" ht="30">
      <c r="A3856" s="4" t="s">
        <v>5</v>
      </c>
      <c r="B3856" s="4">
        <v>32469</v>
      </c>
      <c r="D3856" s="5">
        <v>32469</v>
      </c>
      <c r="E3856" s="6" t="str">
        <f>HYPERLINK("https://inpn.mnhn.fr/espece/cd_nom/32469","Melanoleuca contracta Métrod ex Fontenla, Gottardi &amp; Para, 2006")</f>
        <v>Melanoleuca contracta Métrod ex Fontenla, Gottardi &amp; Para, 2006</v>
      </c>
      <c r="AH3856" s="4" t="str">
        <f>HYPERLINK("#Statut_biogéographique!A"&amp;_xlfn.XMATCH("P",Statut_biogéographique!A:A,2,1),"P")</f>
        <v>P</v>
      </c>
      <c r="AP3856" s="4" t="s">
        <v>376</v>
      </c>
      <c r="AR3856" s="4" t="s">
        <v>377</v>
      </c>
    </row>
    <row r="3857" spans="1:44" ht="30">
      <c r="A3857" s="4" t="s">
        <v>5</v>
      </c>
      <c r="B3857" s="4">
        <v>32474</v>
      </c>
      <c r="D3857" s="5" t="s">
        <v>5742</v>
      </c>
      <c r="E3857" s="6" t="str">
        <f>HYPERLINK("https://inpn.mnhn.fr/espece/cd_nom/32474","Melanoleuca spegazzinii (Sacc. &amp; D.Sacc.) Singer, 1952")</f>
        <v>Melanoleuca spegazzinii (Sacc. &amp; D.Sacc.) Singer, 1952</v>
      </c>
      <c r="V3857" s="7" t="str">
        <f>HYPERLINK("#Liste_rouge!A"&amp;_xlfn.XMATCH("RE",Liste_rouge!A:A,2,1),"RE")</f>
        <v>RE</v>
      </c>
      <c r="AH3857" s="4" t="str">
        <f>HYPERLINK("#Statut_biogéographique!A"&amp;_xlfn.XMATCH("P",Statut_biogéographique!A:A,2,1),"P")</f>
        <v>P</v>
      </c>
      <c r="AP3857" s="4" t="s">
        <v>376</v>
      </c>
      <c r="AR3857" s="4" t="s">
        <v>377</v>
      </c>
    </row>
    <row r="3858" spans="1:44">
      <c r="A3858" s="4" t="s">
        <v>5</v>
      </c>
      <c r="B3858" s="4">
        <v>32477</v>
      </c>
      <c r="D3858" s="5" t="s">
        <v>5743</v>
      </c>
      <c r="E3858" s="6" t="str">
        <f>HYPERLINK("https://inpn.mnhn.fr/espece/cd_nom/32477","Melanoleuca exscissa (Fr.) Singer, 1935")</f>
        <v>Melanoleuca exscissa (Fr.) Singer, 1935</v>
      </c>
      <c r="V3858" s="7" t="str">
        <f>HYPERLINK("#Liste_rouge!A"&amp;_xlfn.XMATCH("LC",Liste_rouge!A:A,2,1),"LC")</f>
        <v>LC</v>
      </c>
      <c r="AH3858" s="4" t="str">
        <f>HYPERLINK("#Statut_biogéographique!A"&amp;_xlfn.XMATCH("P",Statut_biogéographique!A:A,2,1),"P")</f>
        <v>P</v>
      </c>
      <c r="AP3858" s="4" t="s">
        <v>376</v>
      </c>
      <c r="AR3858" s="4" t="s">
        <v>377</v>
      </c>
    </row>
    <row r="3859" spans="1:44">
      <c r="A3859" s="4" t="s">
        <v>5</v>
      </c>
      <c r="B3859" s="4">
        <v>32479</v>
      </c>
      <c r="D3859" s="5" t="s">
        <v>5744</v>
      </c>
      <c r="E3859" s="6" t="str">
        <f>HYPERLINK("https://inpn.mnhn.fr/espece/cd_nom/32479","Melanoleuca friesii (Bres.) Bon, 1978")</f>
        <v>Melanoleuca friesii (Bres.) Bon, 1978</v>
      </c>
      <c r="V3859" s="7" t="str">
        <f>HYPERLINK("#Liste_rouge!A"&amp;_xlfn.XMATCH("EN",Liste_rouge!A:A,2,1),"EN")</f>
        <v>EN</v>
      </c>
      <c r="W3859" s="4" t="str">
        <f>HYPERLINK("#Critères_liste_rouge!A$1","B2abiii")</f>
        <v>B2abiii</v>
      </c>
      <c r="AH3859" s="4" t="str">
        <f>HYPERLINK("#Statut_biogéographique!A"&amp;_xlfn.XMATCH("P",Statut_biogéographique!A:A,2,1),"P")</f>
        <v>P</v>
      </c>
      <c r="AP3859" s="4" t="s">
        <v>376</v>
      </c>
      <c r="AR3859" s="4" t="s">
        <v>377</v>
      </c>
    </row>
    <row r="3860" spans="1:44">
      <c r="A3860" s="4" t="s">
        <v>5</v>
      </c>
      <c r="B3860" s="4">
        <v>32480</v>
      </c>
      <c r="D3860" s="5" t="s">
        <v>5745</v>
      </c>
      <c r="E3860" s="6" t="str">
        <f>HYPERLINK("https://inpn.mnhn.fr/espece/cd_nom/32480","Melanoleuca arcuata (Bull.) Singer, 1935")</f>
        <v>Melanoleuca arcuata (Bull.) Singer, 1935</v>
      </c>
      <c r="V3860" s="7" t="str">
        <f>HYPERLINK("#Liste_rouge!A"&amp;_xlfn.XMATCH("DD",Liste_rouge!A:A,2,1),"DD")</f>
        <v>DD</v>
      </c>
      <c r="AH3860" s="4" t="str">
        <f>HYPERLINK("#Statut_biogéographique!A"&amp;_xlfn.XMATCH("P",Statut_biogéographique!A:A,2,1),"P")</f>
        <v>P</v>
      </c>
      <c r="AP3860" s="4" t="s">
        <v>376</v>
      </c>
      <c r="AR3860" s="4" t="s">
        <v>377</v>
      </c>
    </row>
    <row r="3861" spans="1:44" ht="30">
      <c r="A3861" s="4" t="s">
        <v>5</v>
      </c>
      <c r="B3861" s="4">
        <v>32482</v>
      </c>
      <c r="D3861" s="5" t="s">
        <v>5746</v>
      </c>
      <c r="E3861" s="6" t="str">
        <f>HYPERLINK("https://inpn.mnhn.fr/espece/cd_nom/32482","Melanoleuca graminicola Kühner &amp; Maire, 1934")</f>
        <v>Melanoleuca graminicola Kühner &amp; Maire, 1934</v>
      </c>
      <c r="V3861" s="7" t="str">
        <f>HYPERLINK("#Liste_rouge!A"&amp;_xlfn.XMATCH("LC",Liste_rouge!A:A,2,1),"LC")</f>
        <v>LC</v>
      </c>
      <c r="AH3861" s="4" t="str">
        <f>HYPERLINK("#Statut_biogéographique!A"&amp;_xlfn.XMATCH("P",Statut_biogéographique!A:A,2,1),"P")</f>
        <v>P</v>
      </c>
      <c r="AP3861" s="4" t="s">
        <v>376</v>
      </c>
      <c r="AR3861" s="4" t="s">
        <v>377</v>
      </c>
    </row>
    <row r="3862" spans="1:44" ht="30">
      <c r="A3862" s="4" t="s">
        <v>5</v>
      </c>
      <c r="B3862" s="4">
        <v>32483</v>
      </c>
      <c r="D3862" s="5" t="s">
        <v>5747</v>
      </c>
      <c r="E3862" s="6" t="str">
        <f>HYPERLINK("https://inpn.mnhn.fr/espece/cd_nom/32483","Melanoleuca grammopodia (Bull.) Murrill, 1914")</f>
        <v>Melanoleuca grammopodia (Bull.) Murrill, 1914</v>
      </c>
      <c r="F3862" s="5" t="s">
        <v>5748</v>
      </c>
      <c r="V3862" s="7" t="str">
        <f>HYPERLINK("#Liste_rouge!A"&amp;_xlfn.XMATCH("LC",Liste_rouge!A:A,2,1),"LC")</f>
        <v>LC</v>
      </c>
      <c r="AH3862" s="4" t="str">
        <f>HYPERLINK("#Statut_biogéographique!A"&amp;_xlfn.XMATCH("P",Statut_biogéographique!A:A,2,1),"P")</f>
        <v>P</v>
      </c>
      <c r="AP3862" s="4" t="s">
        <v>376</v>
      </c>
      <c r="AR3862" s="4" t="s">
        <v>377</v>
      </c>
    </row>
    <row r="3863" spans="1:44" ht="30">
      <c r="A3863" s="4" t="s">
        <v>5</v>
      </c>
      <c r="B3863" s="4">
        <v>32488</v>
      </c>
      <c r="D3863" s="5" t="s">
        <v>5749</v>
      </c>
      <c r="E3863" s="6" t="str">
        <f>HYPERLINK("https://inpn.mnhn.fr/espece/cd_nom/32488","Melanoleuca heterocystidiosa (Beller &amp; Bon) Bon, 1984")</f>
        <v>Melanoleuca heterocystidiosa (Beller &amp; Bon) Bon, 1984</v>
      </c>
      <c r="V3863" s="7" t="str">
        <f>HYPERLINK("#Liste_rouge!A"&amp;_xlfn.XMATCH("NT",Liste_rouge!A:A,2,1),"NT")</f>
        <v>NT</v>
      </c>
      <c r="W3863" s="4" t="str">
        <f>HYPERLINK("#Critères_liste_rouge!A$1","pr. B2abiii")</f>
        <v>pr. B2abiii</v>
      </c>
      <c r="AH3863" s="4" t="str">
        <f>HYPERLINK("#Statut_biogéographique!A"&amp;_xlfn.XMATCH("P",Statut_biogéographique!A:A,2,1),"P")</f>
        <v>P</v>
      </c>
      <c r="AP3863" s="4" t="s">
        <v>376</v>
      </c>
      <c r="AR3863" s="4" t="s">
        <v>377</v>
      </c>
    </row>
    <row r="3864" spans="1:44">
      <c r="A3864" s="4" t="s">
        <v>5</v>
      </c>
      <c r="B3864" s="4">
        <v>32491</v>
      </c>
      <c r="D3864" s="5" t="s">
        <v>5750</v>
      </c>
      <c r="E3864" s="6" t="str">
        <f>HYPERLINK("https://inpn.mnhn.fr/espece/cd_nom/32491","Melanoleuca humilis (Pers.) Pat., 1900")</f>
        <v>Melanoleuca humilis (Pers.) Pat., 1900</v>
      </c>
      <c r="V3864" s="7" t="str">
        <f>HYPERLINK("#Liste_rouge!A"&amp;_xlfn.XMATCH("EN",Liste_rouge!A:A,2,1),"EN")</f>
        <v>EN</v>
      </c>
      <c r="W3864" s="4" t="str">
        <f>HYPERLINK("#Critères_liste_rouge!A$1","B2abiii")</f>
        <v>B2abiii</v>
      </c>
      <c r="AH3864" s="4" t="str">
        <f>HYPERLINK("#Statut_biogéographique!A"&amp;_xlfn.XMATCH("P",Statut_biogéographique!A:A,2,1),"P")</f>
        <v>P</v>
      </c>
      <c r="AP3864" s="4" t="s">
        <v>376</v>
      </c>
      <c r="AR3864" s="4" t="s">
        <v>377</v>
      </c>
    </row>
    <row r="3865" spans="1:44">
      <c r="A3865" s="4" t="s">
        <v>5</v>
      </c>
      <c r="B3865" s="4">
        <v>32509</v>
      </c>
      <c r="D3865" s="5" t="s">
        <v>5751</v>
      </c>
      <c r="E3865" s="6" t="str">
        <f>HYPERLINK("https://inpn.mnhn.fr/espece/cd_nom/32509","Melanoleuca melaleuca (Pers.) Murrill, 1911")</f>
        <v>Melanoleuca melaleuca (Pers.) Murrill, 1911</v>
      </c>
      <c r="V3865" s="7" t="str">
        <f>HYPERLINK("#Liste_rouge!A"&amp;_xlfn.XMATCH("LC",Liste_rouge!A:A,2,1),"LC")</f>
        <v>LC</v>
      </c>
      <c r="AH3865" s="4" t="str">
        <f>HYPERLINK("#Statut_biogéographique!A"&amp;_xlfn.XMATCH("P",Statut_biogéographique!A:A,2,1),"P")</f>
        <v>P</v>
      </c>
      <c r="AP3865" s="4" t="s">
        <v>376</v>
      </c>
      <c r="AR3865" s="4" t="s">
        <v>377</v>
      </c>
    </row>
    <row r="3866" spans="1:44">
      <c r="A3866" s="4" t="s">
        <v>5</v>
      </c>
      <c r="B3866" s="4">
        <v>32515</v>
      </c>
      <c r="D3866" s="5" t="s">
        <v>5752</v>
      </c>
      <c r="E3866" s="6" t="str">
        <f>HYPERLINK("https://inpn.mnhn.fr/espece/cd_nom/32515","Melanoleuca metrodiana Bon, 1988")</f>
        <v>Melanoleuca metrodiana Bon, 1988</v>
      </c>
      <c r="V3866" s="7" t="str">
        <f>HYPERLINK("#Liste_rouge!A"&amp;_xlfn.XMATCH("VU",Liste_rouge!A:A,2,1),"VU")</f>
        <v>VU</v>
      </c>
      <c r="W3866" s="4" t="str">
        <f>HYPERLINK("#Critères_liste_rouge!A$1","B2abiii")</f>
        <v>B2abiii</v>
      </c>
      <c r="AH3866" s="4" t="str">
        <f>HYPERLINK("#Statut_biogéographique!A"&amp;_xlfn.XMATCH("P",Statut_biogéographique!A:A,2,1),"P")</f>
        <v>P</v>
      </c>
      <c r="AP3866" s="4" t="s">
        <v>376</v>
      </c>
      <c r="AR3866" s="4" t="s">
        <v>377</v>
      </c>
    </row>
    <row r="3867" spans="1:44" ht="30">
      <c r="A3867" s="4" t="s">
        <v>5</v>
      </c>
      <c r="B3867" s="4">
        <v>32529</v>
      </c>
      <c r="D3867" s="5" t="s">
        <v>5753</v>
      </c>
      <c r="E3867" s="6" t="str">
        <f>HYPERLINK("https://inpn.mnhn.fr/espece/cd_nom/32529","Melanoleuca oreina (Fr.) Kühner &amp; Maire, 1934")</f>
        <v>Melanoleuca oreina (Fr.) Kühner &amp; Maire, 1934</v>
      </c>
      <c r="V3867" s="7" t="str">
        <f>HYPERLINK("#Liste_rouge!A"&amp;_xlfn.XMATCH("NT",Liste_rouge!A:A,2,1),"NT")</f>
        <v>NT</v>
      </c>
      <c r="W3867" s="4" t="str">
        <f>HYPERLINK("#Critères_liste_rouge!A$1","pr. B2abiii")</f>
        <v>pr. B2abiii</v>
      </c>
      <c r="AH3867" s="4" t="str">
        <f>HYPERLINK("#Statut_biogéographique!A"&amp;_xlfn.XMATCH("P",Statut_biogéographique!A:A,2,1),"P")</f>
        <v>P</v>
      </c>
      <c r="AP3867" s="4" t="s">
        <v>376</v>
      </c>
      <c r="AR3867" s="4" t="s">
        <v>377</v>
      </c>
    </row>
    <row r="3868" spans="1:44">
      <c r="A3868" s="4" t="s">
        <v>5</v>
      </c>
      <c r="B3868" s="4">
        <v>32535</v>
      </c>
      <c r="D3868" s="5" t="s">
        <v>5754</v>
      </c>
      <c r="E3868" s="6" t="str">
        <f>HYPERLINK("https://inpn.mnhn.fr/espece/cd_nom/32535","Pholiotina coprophila (Kühner) Singer, 1950")</f>
        <v>Pholiotina coprophila (Kühner) Singer, 1950</v>
      </c>
      <c r="V3868" s="7" t="str">
        <f>HYPERLINK("#Liste_rouge!A"&amp;_xlfn.XMATCH("DD",Liste_rouge!A:A,2,1),"DD")</f>
        <v>DD</v>
      </c>
      <c r="AH3868" s="4" t="str">
        <f>HYPERLINK("#Statut_biogéographique!A"&amp;_xlfn.XMATCH("P",Statut_biogéographique!A:A,2,1),"P")</f>
        <v>P</v>
      </c>
      <c r="AP3868" s="4" t="s">
        <v>376</v>
      </c>
      <c r="AR3868" s="4" t="s">
        <v>377</v>
      </c>
    </row>
    <row r="3869" spans="1:44" ht="30">
      <c r="A3869" s="4" t="s">
        <v>5</v>
      </c>
      <c r="B3869" s="4">
        <v>32544</v>
      </c>
      <c r="D3869" s="5" t="s">
        <v>5755</v>
      </c>
      <c r="E3869" s="6" t="str">
        <f>HYPERLINK("https://inpn.mnhn.fr/espece/cd_nom/32544","Pholiotina filaris (Fr.) Singer, 1936")</f>
        <v>Pholiotina filaris (Fr.) Singer, 1936</v>
      </c>
      <c r="F3869" s="5" t="s">
        <v>5756</v>
      </c>
      <c r="V3869" s="7" t="str">
        <f>HYPERLINK("#Liste_rouge!A"&amp;_xlfn.XMATCH("DD",Liste_rouge!A:A,2,1),"DD")</f>
        <v>DD</v>
      </c>
      <c r="AH3869" s="4" t="str">
        <f>HYPERLINK("#Statut_biogéographique!A"&amp;_xlfn.XMATCH("P",Statut_biogéographique!A:A,2,1),"P")</f>
        <v>P</v>
      </c>
      <c r="AP3869" s="4" t="s">
        <v>376</v>
      </c>
      <c r="AR3869" s="4" t="s">
        <v>377</v>
      </c>
    </row>
    <row r="3870" spans="1:44" ht="30">
      <c r="A3870" s="4" t="s">
        <v>5</v>
      </c>
      <c r="B3870" s="4">
        <v>32548</v>
      </c>
      <c r="D3870" s="5" t="s">
        <v>5757</v>
      </c>
      <c r="E3870" s="6" t="str">
        <f>HYPERLINK("https://inpn.mnhn.fr/espece/cd_nom/32548","Pholiotina hadrocystis (Kits van Wav.) Courtec., 1985")</f>
        <v>Pholiotina hadrocystis (Kits van Wav.) Courtec., 1985</v>
      </c>
      <c r="V3870" s="7" t="str">
        <f>HYPERLINK("#Liste_rouge!A"&amp;_xlfn.XMATCH("DD",Liste_rouge!A:A,2,1),"DD")</f>
        <v>DD</v>
      </c>
      <c r="AH3870" s="4" t="str">
        <f>HYPERLINK("#Statut_biogéographique!A"&amp;_xlfn.XMATCH("P",Statut_biogéographique!A:A,2,1),"P")</f>
        <v>P</v>
      </c>
      <c r="AP3870" s="4" t="s">
        <v>376</v>
      </c>
      <c r="AR3870" s="4" t="s">
        <v>377</v>
      </c>
    </row>
    <row r="3871" spans="1:44">
      <c r="A3871" s="4" t="s">
        <v>5</v>
      </c>
      <c r="B3871" s="4">
        <v>32576</v>
      </c>
      <c r="D3871" s="5" t="s">
        <v>5758</v>
      </c>
      <c r="E3871" s="6" t="str">
        <f>HYPERLINK("https://inpn.mnhn.fr/espece/cd_nom/32576","Pholiotina vestita (Fr.) Singer, 1936")</f>
        <v>Pholiotina vestita (Fr.) Singer, 1936</v>
      </c>
      <c r="V3871" s="7" t="str">
        <f>HYPERLINK("#Liste_rouge!A"&amp;_xlfn.XMATCH("DD",Liste_rouge!A:A,2,1),"DD")</f>
        <v>DD</v>
      </c>
      <c r="AH3871" s="4" t="str">
        <f>HYPERLINK("#Statut_biogéographique!A"&amp;_xlfn.XMATCH("P",Statut_biogéographique!A:A,2,1),"P")</f>
        <v>P</v>
      </c>
      <c r="AP3871" s="4" t="s">
        <v>376</v>
      </c>
      <c r="AR3871" s="4" t="s">
        <v>377</v>
      </c>
    </row>
    <row r="3872" spans="1:44">
      <c r="A3872" s="4" t="s">
        <v>5</v>
      </c>
      <c r="B3872" s="4">
        <v>32579</v>
      </c>
      <c r="D3872" s="5" t="s">
        <v>5759</v>
      </c>
      <c r="E3872" s="6" t="str">
        <f>HYPERLINK("https://inpn.mnhn.fr/espece/cd_nom/32579","Pholiotina vexans (P.D.Orton) Bon, 1991")</f>
        <v>Pholiotina vexans (P.D.Orton) Bon, 1991</v>
      </c>
      <c r="V3872" s="7" t="str">
        <f>HYPERLINK("#Liste_rouge!A"&amp;_xlfn.XMATCH("LC",Liste_rouge!A:A,2,1),"LC")</f>
        <v>LC</v>
      </c>
      <c r="AH3872" s="4" t="str">
        <f>HYPERLINK("#Statut_biogéographique!A"&amp;_xlfn.XMATCH("P",Statut_biogéographique!A:A,2,1),"P")</f>
        <v>P</v>
      </c>
      <c r="AP3872" s="4" t="s">
        <v>376</v>
      </c>
      <c r="AR3872" s="4" t="s">
        <v>377</v>
      </c>
    </row>
    <row r="3873" spans="1:44">
      <c r="A3873" s="4" t="s">
        <v>5</v>
      </c>
      <c r="B3873" s="4">
        <v>32585</v>
      </c>
      <c r="D3873" s="5" t="s">
        <v>5760</v>
      </c>
      <c r="E3873" s="6" t="str">
        <f>HYPERLINK("https://inpn.mnhn.fr/espece/cd_nom/32585","Psilocybe atrobrunnea (Lasch) Gillet, 1878")</f>
        <v>Psilocybe atrobrunnea (Lasch) Gillet, 1878</v>
      </c>
      <c r="V3873" s="7" t="str">
        <f>HYPERLINK("#Liste_rouge!A"&amp;_xlfn.XMATCH("DD",Liste_rouge!A:A,2,1),"DD")</f>
        <v>DD</v>
      </c>
      <c r="AH3873" s="4" t="str">
        <f>HYPERLINK("#Statut_biogéographique!A"&amp;_xlfn.XMATCH("P",Statut_biogéographique!A:A,2,1),"P")</f>
        <v>P</v>
      </c>
      <c r="AP3873" s="4" t="s">
        <v>376</v>
      </c>
      <c r="AR3873" s="4" t="s">
        <v>377</v>
      </c>
    </row>
    <row r="3874" spans="1:44">
      <c r="A3874" s="4" t="s">
        <v>5</v>
      </c>
      <c r="B3874" s="4">
        <v>32590</v>
      </c>
      <c r="C3874" s="4">
        <v>2452</v>
      </c>
      <c r="D3874" s="5" t="s">
        <v>5761</v>
      </c>
      <c r="E3874" s="6" t="str">
        <f>HYPERLINK("https://inpn.mnhn.fr/espece/cd_nom/32590","Psilocybe coprophila (Bull.) P.Kumm., 1871")</f>
        <v>Psilocybe coprophila (Bull.) P.Kumm., 1871</v>
      </c>
      <c r="F3874" s="5" t="s">
        <v>5762</v>
      </c>
      <c r="V3874" s="7" t="str">
        <f>HYPERLINK("#Liste_rouge!A"&amp;_xlfn.XMATCH("RE",Liste_rouge!A:A,2,1),"RE")</f>
        <v>RE</v>
      </c>
      <c r="AH3874" s="4" t="str">
        <f>HYPERLINK("#Statut_biogéographique!A"&amp;_xlfn.XMATCH("P",Statut_biogéographique!A:A,2,1),"P")</f>
        <v>P</v>
      </c>
      <c r="AP3874" s="4" t="s">
        <v>376</v>
      </c>
      <c r="AR3874" s="4" t="s">
        <v>377</v>
      </c>
    </row>
    <row r="3875" spans="1:44" ht="30">
      <c r="A3875" s="4" t="s">
        <v>5</v>
      </c>
      <c r="B3875" s="4">
        <v>32601</v>
      </c>
      <c r="C3875" s="4">
        <v>2266</v>
      </c>
      <c r="D3875" s="5" t="s">
        <v>5763</v>
      </c>
      <c r="E3875" s="6" t="str">
        <f>HYPERLINK("https://inpn.mnhn.fr/espece/cd_nom/32601","Psilocybe inquilina (Fr.) Bres., 1931")</f>
        <v>Psilocybe inquilina (Fr.) Bres., 1931</v>
      </c>
      <c r="V3875" s="7" t="str">
        <f>HYPERLINK("#Liste_rouge!A"&amp;_xlfn.XMATCH("LC",Liste_rouge!A:A,2,1),"LC")</f>
        <v>LC</v>
      </c>
      <c r="AH3875" s="4" t="str">
        <f>HYPERLINK("#Statut_biogéographique!A"&amp;_xlfn.XMATCH("P",Statut_biogéographique!A:A,2,1),"P")</f>
        <v>P</v>
      </c>
      <c r="AP3875" s="4" t="s">
        <v>376</v>
      </c>
      <c r="AR3875" s="4" t="s">
        <v>377</v>
      </c>
    </row>
    <row r="3876" spans="1:44" ht="30">
      <c r="A3876" s="4" t="s">
        <v>5</v>
      </c>
      <c r="B3876" s="4">
        <v>32616</v>
      </c>
      <c r="C3876" s="4">
        <v>4514</v>
      </c>
      <c r="D3876" s="5" t="s">
        <v>5764</v>
      </c>
      <c r="E3876" s="6" t="str">
        <f>HYPERLINK("https://inpn.mnhn.fr/espece/cd_nom/32616","Psilocybe montana (Pers.) P.Kumm., 1871")</f>
        <v>Psilocybe montana (Pers.) P.Kumm., 1871</v>
      </c>
      <c r="F3876" s="5" t="s">
        <v>5765</v>
      </c>
      <c r="V3876" s="7" t="str">
        <f>HYPERLINK("#Liste_rouge!A"&amp;_xlfn.XMATCH("DD",Liste_rouge!A:A,2,1),"DD")</f>
        <v>DD</v>
      </c>
      <c r="AH3876" s="4" t="str">
        <f>HYPERLINK("#Statut_biogéographique!A"&amp;_xlfn.XMATCH("P",Statut_biogéographique!A:A,2,1),"P")</f>
        <v>P</v>
      </c>
      <c r="AP3876" s="4" t="s">
        <v>376</v>
      </c>
      <c r="AR3876" s="4" t="s">
        <v>377</v>
      </c>
    </row>
    <row r="3877" spans="1:44">
      <c r="A3877" s="4" t="s">
        <v>5</v>
      </c>
      <c r="B3877" s="4">
        <v>32628</v>
      </c>
      <c r="D3877" s="5" t="s">
        <v>5766</v>
      </c>
      <c r="E3877" s="6" t="str">
        <f>HYPERLINK("https://inpn.mnhn.fr/espece/cd_nom/32628","Psilocybe semilanceata (Fr.) P.Kumm., 1871")</f>
        <v>Psilocybe semilanceata (Fr.) P.Kumm., 1871</v>
      </c>
      <c r="V3877" s="7" t="str">
        <f>HYPERLINK("#Liste_rouge!A"&amp;_xlfn.XMATCH("NT",Liste_rouge!A:A,2,1),"NT")</f>
        <v>NT</v>
      </c>
      <c r="W3877" s="4" t="str">
        <f>HYPERLINK("#Critères_liste_rouge!A$1","pr. A2c")</f>
        <v>pr. A2c</v>
      </c>
      <c r="AH3877" s="4" t="str">
        <f>HYPERLINK("#Statut_biogéographique!A"&amp;_xlfn.XMATCH("P",Statut_biogéographique!A:A,2,1),"P")</f>
        <v>P</v>
      </c>
      <c r="AP3877" s="4" t="s">
        <v>376</v>
      </c>
      <c r="AR3877" s="4" t="s">
        <v>377</v>
      </c>
    </row>
    <row r="3878" spans="1:44" ht="30">
      <c r="A3878" s="4" t="s">
        <v>5</v>
      </c>
      <c r="B3878" s="4">
        <v>32644</v>
      </c>
      <c r="D3878" s="5" t="s">
        <v>5767</v>
      </c>
      <c r="E3878" s="6" t="str">
        <f>HYPERLINK("https://inpn.mnhn.fr/espece/cd_nom/32644","Psilocybe subcoprophila (Britzelm.) Sacc., 1895")</f>
        <v>Psilocybe subcoprophila (Britzelm.) Sacc., 1895</v>
      </c>
      <c r="AH3878" s="4" t="str">
        <f>HYPERLINK("#Statut_biogéographique!A"&amp;_xlfn.XMATCH("P",Statut_biogéographique!A:A,2,1),"P")</f>
        <v>P</v>
      </c>
      <c r="AP3878" s="4" t="s">
        <v>376</v>
      </c>
      <c r="AR3878" s="4" t="s">
        <v>377</v>
      </c>
    </row>
    <row r="3879" spans="1:44">
      <c r="A3879" s="4" t="s">
        <v>5</v>
      </c>
      <c r="B3879" s="4">
        <v>32654</v>
      </c>
      <c r="D3879" s="5" t="s">
        <v>5768</v>
      </c>
      <c r="E3879" s="6" t="str">
        <f>HYPERLINK("https://inpn.mnhn.fr/espece/cd_nom/32654","Stropharia aeruginosa (Curtis) Quél., 1872")</f>
        <v>Stropharia aeruginosa (Curtis) Quél., 1872</v>
      </c>
      <c r="F3879" s="5" t="s">
        <v>5769</v>
      </c>
      <c r="V3879" s="7" t="str">
        <f>HYPERLINK("#Liste_rouge!A"&amp;_xlfn.XMATCH("LC",Liste_rouge!A:A,2,1),"LC")</f>
        <v>LC</v>
      </c>
      <c r="AH3879" s="4" t="str">
        <f>HYPERLINK("#Statut_biogéographique!A"&amp;_xlfn.XMATCH("P",Statut_biogéographique!A:A,2,1),"P")</f>
        <v>P</v>
      </c>
      <c r="AP3879" s="4" t="s">
        <v>376</v>
      </c>
      <c r="AR3879" s="4" t="s">
        <v>377</v>
      </c>
    </row>
    <row r="3880" spans="1:44" ht="30">
      <c r="A3880" s="4" t="s">
        <v>5</v>
      </c>
      <c r="B3880" s="4">
        <v>32663</v>
      </c>
      <c r="D3880" s="5" t="s">
        <v>5770</v>
      </c>
      <c r="E3880" s="6" t="str">
        <f>HYPERLINK("https://inpn.mnhn.fr/espece/cd_nom/32663","Melanoleuca phaeopodia (Bull.) Murrill, 1914")</f>
        <v>Melanoleuca phaeopodia (Bull.) Murrill, 1914</v>
      </c>
      <c r="V3880" s="7" t="str">
        <f>HYPERLINK("#Liste_rouge!A"&amp;_xlfn.XMATCH("RE",Liste_rouge!A:A,2,1),"RE")</f>
        <v>RE</v>
      </c>
      <c r="AH3880" s="4" t="str">
        <f>HYPERLINK("#Statut_biogéographique!A"&amp;_xlfn.XMATCH("P",Statut_biogéographique!A:A,2,1),"P")</f>
        <v>P</v>
      </c>
      <c r="AP3880" s="4" t="s">
        <v>376</v>
      </c>
      <c r="AR3880" s="4" t="s">
        <v>377</v>
      </c>
    </row>
    <row r="3881" spans="1:44" ht="30">
      <c r="A3881" s="4" t="s">
        <v>5</v>
      </c>
      <c r="B3881" s="4">
        <v>32666</v>
      </c>
      <c r="D3881" s="5" t="s">
        <v>5771</v>
      </c>
      <c r="E3881" s="6" t="str">
        <f>HYPERLINK("https://inpn.mnhn.fr/espece/cd_nom/32666","Melanoleuca polioleuca (Fr.) Kühner &amp; Maire, 1934")</f>
        <v>Melanoleuca polioleuca (Fr.) Kühner &amp; Maire, 1934</v>
      </c>
      <c r="V3881" s="7" t="str">
        <f>HYPERLINK("#Liste_rouge!A"&amp;_xlfn.XMATCH("LC",Liste_rouge!A:A,2,1),"LC")</f>
        <v>LC</v>
      </c>
      <c r="AH3881" s="4" t="str">
        <f>HYPERLINK("#Statut_biogéographique!A"&amp;_xlfn.XMATCH("P",Statut_biogéographique!A:A,2,1),"P")</f>
        <v>P</v>
      </c>
      <c r="AP3881" s="4" t="s">
        <v>376</v>
      </c>
      <c r="AR3881" s="4" t="s">
        <v>377</v>
      </c>
    </row>
    <row r="3882" spans="1:44">
      <c r="A3882" s="4" t="s">
        <v>5</v>
      </c>
      <c r="B3882" s="4">
        <v>32696</v>
      </c>
      <c r="D3882" s="5" t="s">
        <v>5772</v>
      </c>
      <c r="E3882" s="6" t="str">
        <f>HYPERLINK("https://inpn.mnhn.fr/espece/cd_nom/32696","Melanoleuca verrucipes (Fr.) Singer, 1939")</f>
        <v>Melanoleuca verrucipes (Fr.) Singer, 1939</v>
      </c>
      <c r="V3882" s="7" t="str">
        <f>HYPERLINK("#Liste_rouge!A"&amp;_xlfn.XMATCH("NT",Liste_rouge!A:A,2,1),"NT")</f>
        <v>NT</v>
      </c>
      <c r="W3882" s="4" t="str">
        <f>HYPERLINK("#Critères_liste_rouge!A$1","pr. B2abiii")</f>
        <v>pr. B2abiii</v>
      </c>
      <c r="AH3882" s="4" t="str">
        <f>HYPERLINK("#Statut_biogéographique!A"&amp;_xlfn.XMATCH("P",Statut_biogéographique!A:A,2,1),"P")</f>
        <v>P</v>
      </c>
      <c r="AP3882" s="4" t="s">
        <v>376</v>
      </c>
      <c r="AR3882" s="4" t="s">
        <v>377</v>
      </c>
    </row>
    <row r="3883" spans="1:44">
      <c r="A3883" s="4" t="s">
        <v>5</v>
      </c>
      <c r="B3883" s="4">
        <v>32703</v>
      </c>
      <c r="D3883" s="5" t="s">
        <v>5773</v>
      </c>
      <c r="E3883" s="6" t="str">
        <f>HYPERLINK("https://inpn.mnhn.fr/espece/cd_nom/32703","Myxomphalia maura (Fr.) Hora, 1960")</f>
        <v>Myxomphalia maura (Fr.) Hora, 1960</v>
      </c>
      <c r="V3883" s="7" t="str">
        <f>HYPERLINK("#Liste_rouge!A"&amp;_xlfn.XMATCH("LC",Liste_rouge!A:A,2,1),"LC")</f>
        <v>LC</v>
      </c>
      <c r="AH3883" s="4" t="str">
        <f>HYPERLINK("#Statut_biogéographique!A"&amp;_xlfn.XMATCH("P",Statut_biogéographique!A:A,2,1),"P")</f>
        <v>P</v>
      </c>
      <c r="AP3883" s="4" t="s">
        <v>376</v>
      </c>
      <c r="AR3883" s="4" t="s">
        <v>377</v>
      </c>
    </row>
    <row r="3884" spans="1:44">
      <c r="A3884" s="4" t="s">
        <v>5</v>
      </c>
      <c r="B3884" s="4">
        <v>32710</v>
      </c>
      <c r="C3884" s="4">
        <v>306</v>
      </c>
      <c r="D3884" s="5" t="s">
        <v>5774</v>
      </c>
      <c r="E3884" s="6" t="str">
        <f>HYPERLINK("https://inpn.mnhn.fr/espece/cd_nom/32710","Asterophora parasitica (Bull.) Singer, 1951")</f>
        <v>Asterophora parasitica (Bull.) Singer, 1951</v>
      </c>
      <c r="F3884" s="5" t="s">
        <v>5775</v>
      </c>
      <c r="V3884" s="7" t="str">
        <f>HYPERLINK("#Liste_rouge!A"&amp;_xlfn.XMATCH("LC",Liste_rouge!A:A,2,1),"LC")</f>
        <v>LC</v>
      </c>
      <c r="AH3884" s="4" t="str">
        <f>HYPERLINK("#Statut_biogéographique!A"&amp;_xlfn.XMATCH("P",Statut_biogéographique!A:A,2,1),"P")</f>
        <v>P</v>
      </c>
      <c r="AP3884" s="4" t="s">
        <v>376</v>
      </c>
      <c r="AR3884" s="4" t="s">
        <v>377</v>
      </c>
    </row>
    <row r="3885" spans="1:44" ht="30">
      <c r="A3885" s="4" t="s">
        <v>5</v>
      </c>
      <c r="B3885" s="4">
        <v>32732</v>
      </c>
      <c r="D3885" s="5" t="s">
        <v>5776</v>
      </c>
      <c r="E3885" s="6" t="str">
        <f>HYPERLINK("https://inpn.mnhn.fr/espece/cd_nom/32732","Pseudoomphalina clusiliformis Kühner &amp; Romagn. ex Bon, 1978")</f>
        <v>Pseudoomphalina clusiliformis Kühner &amp; Romagn. ex Bon, 1978</v>
      </c>
      <c r="V3885" s="7" t="str">
        <f>HYPERLINK("#Liste_rouge!A"&amp;_xlfn.XMATCH("VU",Liste_rouge!A:A,2,1),"VU")</f>
        <v>VU</v>
      </c>
      <c r="W3885" s="4" t="str">
        <f>HYPERLINK("#Critères_liste_rouge!A$1","B2abiii")</f>
        <v>B2abiii</v>
      </c>
      <c r="AH3885" s="4" t="str">
        <f>HYPERLINK("#Statut_biogéographique!A"&amp;_xlfn.XMATCH("P",Statut_biogéographique!A:A,2,1),"P")</f>
        <v>P</v>
      </c>
      <c r="AP3885" s="4" t="s">
        <v>376</v>
      </c>
      <c r="AR3885" s="4" t="s">
        <v>377</v>
      </c>
    </row>
    <row r="3886" spans="1:44">
      <c r="A3886" s="4" t="s">
        <v>5</v>
      </c>
      <c r="B3886" s="4">
        <v>32742</v>
      </c>
      <c r="D3886" s="5" t="s">
        <v>5777</v>
      </c>
      <c r="E3886" s="6" t="str">
        <f>HYPERLINK("https://inpn.mnhn.fr/espece/cd_nom/32742","Omphalina demissa (Fr.) Quél., 1886")</f>
        <v>Omphalina demissa (Fr.) Quél., 1886</v>
      </c>
      <c r="V3886" s="7" t="str">
        <f>HYPERLINK("#Liste_rouge!A"&amp;_xlfn.XMATCH("VU",Liste_rouge!A:A,2,1),"VU")</f>
        <v>VU</v>
      </c>
      <c r="W3886" s="4" t="str">
        <f>HYPERLINK("#Critères_liste_rouge!A$1","D2")</f>
        <v>D2</v>
      </c>
      <c r="AH3886" s="4" t="str">
        <f>HYPERLINK("#Statut_biogéographique!A"&amp;_xlfn.XMATCH("P",Statut_biogéographique!A:A,2,1),"P")</f>
        <v>P</v>
      </c>
      <c r="AP3886" s="4" t="s">
        <v>376</v>
      </c>
      <c r="AR3886" s="4" t="s">
        <v>377</v>
      </c>
    </row>
    <row r="3887" spans="1:44" ht="30">
      <c r="A3887" s="4" t="s">
        <v>5</v>
      </c>
      <c r="B3887" s="4">
        <v>32762</v>
      </c>
      <c r="D3887" s="5" t="s">
        <v>5778</v>
      </c>
      <c r="E3887" s="6" t="str">
        <f>HYPERLINK("https://inpn.mnhn.fr/espece/cd_nom/32762","Omphalina hepatica (Batsch) P.D.Orton, 1960")</f>
        <v>Omphalina hepatica (Batsch) P.D.Orton, 1960</v>
      </c>
      <c r="V3887" s="7" t="str">
        <f>HYPERLINK("#Liste_rouge!A"&amp;_xlfn.XMATCH("CR",Liste_rouge!A:A,2,1),"CR")</f>
        <v>CR</v>
      </c>
      <c r="W3887" s="4" t="str">
        <f>HYPERLINK("#Critères_liste_rouge!A$1","B2abiii")</f>
        <v>B2abiii</v>
      </c>
      <c r="AH3887" s="4" t="str">
        <f>HYPERLINK("#Statut_biogéographique!A"&amp;_xlfn.XMATCH("P",Statut_biogéographique!A:A,2,1),"P")</f>
        <v>P</v>
      </c>
      <c r="AP3887" s="4" t="s">
        <v>376</v>
      </c>
      <c r="AR3887" s="4" t="s">
        <v>377</v>
      </c>
    </row>
    <row r="3888" spans="1:44">
      <c r="A3888" s="4" t="s">
        <v>5</v>
      </c>
      <c r="B3888" s="4">
        <v>32795</v>
      </c>
      <c r="D3888" s="5" t="s">
        <v>5779</v>
      </c>
      <c r="E3888" s="6" t="str">
        <f>HYPERLINK("https://inpn.mnhn.fr/espece/cd_nom/32795","Omphalina pyxidata (Bull.) Quél., 1886")</f>
        <v>Omphalina pyxidata (Bull.) Quél., 1886</v>
      </c>
      <c r="V3888" s="7" t="str">
        <f>HYPERLINK("#Liste_rouge!A"&amp;_xlfn.XMATCH("EN",Liste_rouge!A:A,2,1),"EN")</f>
        <v>EN</v>
      </c>
      <c r="W3888" s="4" t="str">
        <f>HYPERLINK("#Critères_liste_rouge!A$1","A2c")</f>
        <v>A2c</v>
      </c>
      <c r="AH3888" s="4" t="str">
        <f>HYPERLINK("#Statut_biogéographique!A"&amp;_xlfn.XMATCH("P",Statut_biogéographique!A:A,2,1),"P")</f>
        <v>P</v>
      </c>
      <c r="AP3888" s="4" t="s">
        <v>376</v>
      </c>
      <c r="AR3888" s="4" t="s">
        <v>377</v>
      </c>
    </row>
    <row r="3889" spans="1:44" ht="30">
      <c r="A3889" s="4" t="s">
        <v>5</v>
      </c>
      <c r="B3889" s="4">
        <v>32828</v>
      </c>
      <c r="D3889" s="5" t="s">
        <v>5780</v>
      </c>
      <c r="E3889" s="6" t="str">
        <f>HYPERLINK("https://inpn.mnhn.fr/espece/cd_nom/32828","Omphalotus illudens (Schwein.) Bresinsky &amp; Besl, 1979")</f>
        <v>Omphalotus illudens (Schwein.) Bresinsky &amp; Besl, 1979</v>
      </c>
      <c r="F3889" s="5" t="s">
        <v>5781</v>
      </c>
      <c r="V3889" s="7" t="str">
        <f>HYPERLINK("#Liste_rouge!A"&amp;_xlfn.XMATCH("LC",Liste_rouge!A:A,2,1),"LC")</f>
        <v>LC</v>
      </c>
      <c r="AH3889" s="4" t="str">
        <f>HYPERLINK("#Statut_biogéographique!A"&amp;_xlfn.XMATCH("P",Statut_biogéographique!A:A,2,1),"P")</f>
        <v>P</v>
      </c>
      <c r="AP3889" s="4" t="s">
        <v>376</v>
      </c>
      <c r="AR3889" s="4" t="s">
        <v>377</v>
      </c>
    </row>
    <row r="3890" spans="1:44">
      <c r="A3890" s="4" t="s">
        <v>5</v>
      </c>
      <c r="B3890" s="4">
        <v>32847</v>
      </c>
      <c r="D3890" s="5" t="s">
        <v>5782</v>
      </c>
      <c r="E3890" s="6" t="str">
        <f>HYPERLINK("https://inpn.mnhn.fr/espece/cd_nom/32847","Porpoloma elytroides (Scop.) Singer, 1973")</f>
        <v>Porpoloma elytroides (Scop.) Singer, 1973</v>
      </c>
      <c r="V3890" s="7" t="str">
        <f>HYPERLINK("#Liste_rouge!A"&amp;_xlfn.XMATCH("EN",Liste_rouge!A:A,2,1),"EN")</f>
        <v>EN</v>
      </c>
      <c r="W3890" s="4" t="str">
        <f>HYPERLINK("#Critères_liste_rouge!A$1","B2abiii")</f>
        <v>B2abiii</v>
      </c>
      <c r="AH3890" s="4" t="str">
        <f>HYPERLINK("#Statut_biogéographique!A"&amp;_xlfn.XMATCH("P",Statut_biogéographique!A:A,2,1),"P")</f>
        <v>P</v>
      </c>
      <c r="AP3890" s="4" t="s">
        <v>376</v>
      </c>
      <c r="AR3890" s="4" t="s">
        <v>377</v>
      </c>
    </row>
    <row r="3891" spans="1:44">
      <c r="A3891" s="4" t="s">
        <v>5</v>
      </c>
      <c r="B3891" s="4">
        <v>32858</v>
      </c>
      <c r="D3891" s="5" t="s">
        <v>5783</v>
      </c>
      <c r="E3891" s="6" t="str">
        <f>HYPERLINK("https://inpn.mnhn.fr/espece/cd_nom/32858","Porpoloma pes-caprae (Fr.) Singer, 1952")</f>
        <v>Porpoloma pes-caprae (Fr.) Singer, 1952</v>
      </c>
      <c r="V3891" s="7" t="str">
        <f>HYPERLINK("#Liste_rouge!A"&amp;_xlfn.XMATCH("EN",Liste_rouge!A:A,2,1),"EN")</f>
        <v>EN</v>
      </c>
      <c r="W3891" s="4" t="str">
        <f>HYPERLINK("#Critères_liste_rouge!A$1","B2abiii")</f>
        <v>B2abiii</v>
      </c>
      <c r="AH3891" s="4" t="str">
        <f>HYPERLINK("#Statut_biogéographique!A"&amp;_xlfn.XMATCH("P",Statut_biogéographique!A:A,2,1),"P")</f>
        <v>P</v>
      </c>
      <c r="AP3891" s="4" t="s">
        <v>376</v>
      </c>
      <c r="AR3891" s="4" t="s">
        <v>377</v>
      </c>
    </row>
    <row r="3892" spans="1:44" ht="30">
      <c r="A3892" s="4" t="s">
        <v>5</v>
      </c>
      <c r="B3892" s="4">
        <v>32865</v>
      </c>
      <c r="D3892" s="5" t="s">
        <v>5784</v>
      </c>
      <c r="E3892" s="6" t="str">
        <f>HYPERLINK("https://inpn.mnhn.fr/espece/cd_nom/32865","Pseudoclitocybe cyathiformis (Bull.) Singer, 1956")</f>
        <v>Pseudoclitocybe cyathiformis (Bull.) Singer, 1956</v>
      </c>
      <c r="F3892" s="5" t="s">
        <v>2608</v>
      </c>
      <c r="V3892" s="7" t="str">
        <f>HYPERLINK("#Liste_rouge!A"&amp;_xlfn.XMATCH("LC",Liste_rouge!A:A,2,1),"LC")</f>
        <v>LC</v>
      </c>
      <c r="AH3892" s="4" t="str">
        <f>HYPERLINK("#Statut_biogéographique!A"&amp;_xlfn.XMATCH("P",Statut_biogéographique!A:A,2,1),"P")</f>
        <v>P</v>
      </c>
      <c r="AP3892" s="4" t="s">
        <v>376</v>
      </c>
      <c r="AR3892" s="4" t="s">
        <v>377</v>
      </c>
    </row>
    <row r="3893" spans="1:44" ht="30">
      <c r="A3893" s="4" t="s">
        <v>5</v>
      </c>
      <c r="B3893" s="4">
        <v>32869</v>
      </c>
      <c r="D3893" s="5" t="s">
        <v>5785</v>
      </c>
      <c r="E3893" s="6" t="str">
        <f>HYPERLINK("https://inpn.mnhn.fr/espece/cd_nom/32869","Pseudoclitocybe expallens (Pers.) M.M.Moser, 1967")</f>
        <v>Pseudoclitocybe expallens (Pers.) M.M.Moser, 1967</v>
      </c>
      <c r="F3893" s="5" t="s">
        <v>1577</v>
      </c>
      <c r="V3893" s="7" t="str">
        <f>HYPERLINK("#Liste_rouge!A"&amp;_xlfn.XMATCH("EN",Liste_rouge!A:A,2,1),"EN")</f>
        <v>EN</v>
      </c>
      <c r="W3893" s="4" t="str">
        <f>HYPERLINK("#Critères_liste_rouge!A$1","B2abiii")</f>
        <v>B2abiii</v>
      </c>
      <c r="AH3893" s="4" t="str">
        <f>HYPERLINK("#Statut_biogéographique!A"&amp;_xlfn.XMATCH("P",Statut_biogéographique!A:A,2,1),"P")</f>
        <v>P</v>
      </c>
      <c r="AP3893" s="4" t="s">
        <v>376</v>
      </c>
      <c r="AR3893" s="4" t="s">
        <v>377</v>
      </c>
    </row>
    <row r="3894" spans="1:44">
      <c r="A3894" s="4" t="s">
        <v>5</v>
      </c>
      <c r="B3894" s="4">
        <v>32873</v>
      </c>
      <c r="D3894" s="5" t="s">
        <v>5786</v>
      </c>
      <c r="E3894" s="6" t="str">
        <f>HYPERLINK("https://inpn.mnhn.fr/espece/cd_nom/32873","Pseudoclitocybe obbata (Fr.) Singer, 1962")</f>
        <v>Pseudoclitocybe obbata (Fr.) Singer, 1962</v>
      </c>
      <c r="V3894" s="7" t="str">
        <f>HYPERLINK("#Liste_rouge!A"&amp;_xlfn.XMATCH("VU",Liste_rouge!A:A,2,1),"VU")</f>
        <v>VU</v>
      </c>
      <c r="W3894" s="4" t="str">
        <f>HYPERLINK("#Critères_liste_rouge!A$1","A2c")</f>
        <v>A2c</v>
      </c>
      <c r="AH3894" s="4" t="str">
        <f>HYPERLINK("#Statut_biogéographique!A"&amp;_xlfn.XMATCH("P",Statut_biogéographique!A:A,2,1),"P")</f>
        <v>P</v>
      </c>
      <c r="AP3894" s="4" t="s">
        <v>376</v>
      </c>
      <c r="AR3894" s="4" t="s">
        <v>377</v>
      </c>
    </row>
    <row r="3895" spans="1:44">
      <c r="A3895" s="4" t="s">
        <v>5</v>
      </c>
      <c r="B3895" s="4">
        <v>32908</v>
      </c>
      <c r="D3895" s="5" t="s">
        <v>5787</v>
      </c>
      <c r="E3895" s="6" t="str">
        <f>HYPERLINK("https://inpn.mnhn.fr/espece/cd_nom/32908","Rhodocybe truncata (Schaeff.) Singer, 1947")</f>
        <v>Rhodocybe truncata (Schaeff.) Singer, 1947</v>
      </c>
      <c r="AH3895" s="4" t="str">
        <f>HYPERLINK("#Statut_biogéographique!A"&amp;_xlfn.XMATCH("P",Statut_biogéographique!A:A,2,1),"P")</f>
        <v>P</v>
      </c>
      <c r="AP3895" s="4" t="s">
        <v>376</v>
      </c>
      <c r="AR3895" s="4" t="s">
        <v>377</v>
      </c>
    </row>
    <row r="3896" spans="1:44" ht="45">
      <c r="A3896" s="4" t="s">
        <v>5</v>
      </c>
      <c r="B3896" s="4">
        <v>32916</v>
      </c>
      <c r="D3896" s="5" t="s">
        <v>5788</v>
      </c>
      <c r="E3896" s="6" t="str">
        <f>HYPERLINK("https://inpn.mnhn.fr/espece/cd_nom/32916","Rhodocybe hirneola (Fr.) P.D.Orton, 1960")</f>
        <v>Rhodocybe hirneola (Fr.) P.D.Orton, 1960</v>
      </c>
      <c r="V3896" s="7" t="str">
        <f>HYPERLINK("#Liste_rouge!A"&amp;_xlfn.XMATCH("RE",Liste_rouge!A:A,2,1),"RE")</f>
        <v>RE</v>
      </c>
      <c r="AH3896" s="4" t="str">
        <f>HYPERLINK("#Statut_biogéographique!A"&amp;_xlfn.XMATCH("P",Statut_biogéographique!A:A,2,1),"P")</f>
        <v>P</v>
      </c>
      <c r="AP3896" s="4" t="s">
        <v>376</v>
      </c>
      <c r="AR3896" s="4" t="s">
        <v>377</v>
      </c>
    </row>
    <row r="3897" spans="1:44">
      <c r="A3897" s="4" t="s">
        <v>5</v>
      </c>
      <c r="B3897" s="4">
        <v>32930</v>
      </c>
      <c r="D3897" s="5" t="s">
        <v>5789</v>
      </c>
      <c r="E3897" s="6" t="str">
        <f>HYPERLINK("https://inpn.mnhn.fr/espece/cd_nom/32930","Rhodocybe nitellina (Fr.) Singer, 1947")</f>
        <v>Rhodocybe nitellina (Fr.) Singer, 1947</v>
      </c>
      <c r="V3897" s="7" t="str">
        <f>HYPERLINK("#Liste_rouge!A"&amp;_xlfn.XMATCH("LC",Liste_rouge!A:A,2,1),"LC")</f>
        <v>LC</v>
      </c>
      <c r="AH3897" s="4" t="str">
        <f>HYPERLINK("#Statut_biogéographique!A"&amp;_xlfn.XMATCH("P",Statut_biogéographique!A:A,2,1),"P")</f>
        <v>P</v>
      </c>
      <c r="AP3897" s="4" t="s">
        <v>376</v>
      </c>
      <c r="AR3897" s="4" t="s">
        <v>377</v>
      </c>
    </row>
    <row r="3898" spans="1:44" ht="30">
      <c r="A3898" s="4" t="s">
        <v>5</v>
      </c>
      <c r="B3898" s="4">
        <v>32942</v>
      </c>
      <c r="D3898" s="5" t="s">
        <v>5790</v>
      </c>
      <c r="E3898" s="6" t="str">
        <f>HYPERLINK("https://inpn.mnhn.fr/espece/cd_nom/32942","Rugosomyces persicolor (Fr.) Bon, 1991")</f>
        <v>Rugosomyces persicolor (Fr.) Bon, 1991</v>
      </c>
      <c r="V3898" s="7" t="str">
        <f>HYPERLINK("#Liste_rouge!A"&amp;_xlfn.XMATCH("EN",Liste_rouge!A:A,2,1),"EN")</f>
        <v>EN</v>
      </c>
      <c r="W3898" s="4" t="str">
        <f>HYPERLINK("#Critères_liste_rouge!A$1","B2abiii")</f>
        <v>B2abiii</v>
      </c>
      <c r="AH3898" s="4" t="str">
        <f>HYPERLINK("#Statut_biogéographique!A"&amp;_xlfn.XMATCH("P",Statut_biogéographique!A:A,2,1),"P")</f>
        <v>P</v>
      </c>
      <c r="AP3898" s="4" t="s">
        <v>376</v>
      </c>
      <c r="AR3898" s="4" t="s">
        <v>377</v>
      </c>
    </row>
    <row r="3899" spans="1:44" ht="30">
      <c r="A3899" s="4" t="s">
        <v>5</v>
      </c>
      <c r="B3899" s="4">
        <v>32959</v>
      </c>
      <c r="D3899" s="5" t="s">
        <v>5791</v>
      </c>
      <c r="E3899" s="6" t="str">
        <f>HYPERLINK("https://inpn.mnhn.fr/espece/cd_nom/32959","Squamanita stangliana Bresinsky &amp; Pfaff, 1969")</f>
        <v>Squamanita stangliana Bresinsky &amp; Pfaff, 1969</v>
      </c>
      <c r="V3899" s="7" t="str">
        <f>HYPERLINK("#Liste_rouge!A"&amp;_xlfn.XMATCH("LC",Liste_rouge!A:A,2,1),"LC")</f>
        <v>LC</v>
      </c>
      <c r="AH3899" s="4" t="str">
        <f>HYPERLINK("#Statut_biogéographique!A"&amp;_xlfn.XMATCH("P",Statut_biogéographique!A:A,2,1),"P")</f>
        <v>P</v>
      </c>
      <c r="AP3899" s="4" t="s">
        <v>376</v>
      </c>
      <c r="AR3899" s="4" t="s">
        <v>377</v>
      </c>
    </row>
    <row r="3900" spans="1:44" ht="30">
      <c r="A3900" s="4" t="s">
        <v>5</v>
      </c>
      <c r="B3900" s="4">
        <v>32964</v>
      </c>
      <c r="D3900" s="5" t="s">
        <v>5792</v>
      </c>
      <c r="E3900" s="6" t="str">
        <f>HYPERLINK("https://inpn.mnhn.fr/espece/cd_nom/32964","Tephrocybe ambusta (Fr.) Donk, 1962")</f>
        <v>Tephrocybe ambusta (Fr.) Donk, 1962</v>
      </c>
      <c r="V3900" s="7" t="str">
        <f>HYPERLINK("#Liste_rouge!A"&amp;_xlfn.XMATCH("VU",Liste_rouge!A:A,2,1),"VU")</f>
        <v>VU</v>
      </c>
      <c r="W3900" s="4" t="str">
        <f>HYPERLINK("#Critères_liste_rouge!A$1","D2")</f>
        <v>D2</v>
      </c>
      <c r="AH3900" s="4" t="str">
        <f>HYPERLINK("#Statut_biogéographique!A"&amp;_xlfn.XMATCH("P",Statut_biogéographique!A:A,2,1),"P")</f>
        <v>P</v>
      </c>
      <c r="AP3900" s="4" t="s">
        <v>376</v>
      </c>
      <c r="AR3900" s="4" t="s">
        <v>377</v>
      </c>
    </row>
    <row r="3901" spans="1:44" ht="30">
      <c r="A3901" s="4" t="s">
        <v>5</v>
      </c>
      <c r="B3901" s="4">
        <v>32968</v>
      </c>
      <c r="D3901" s="5" t="s">
        <v>5793</v>
      </c>
      <c r="E3901" s="6" t="str">
        <f>HYPERLINK("https://inpn.mnhn.fr/espece/cd_nom/32968","Tephrocybe anthracophila (Lasch) P.D.Orton, 1969")</f>
        <v>Tephrocybe anthracophila (Lasch) P.D.Orton, 1969</v>
      </c>
      <c r="V3901" s="7" t="str">
        <f>HYPERLINK("#Liste_rouge!A"&amp;_xlfn.XMATCH("VU",Liste_rouge!A:A,2,1),"VU")</f>
        <v>VU</v>
      </c>
      <c r="W3901" s="4" t="str">
        <f>HYPERLINK("#Critères_liste_rouge!A$1","D2")</f>
        <v>D2</v>
      </c>
      <c r="AH3901" s="4" t="str">
        <f>HYPERLINK("#Statut_biogéographique!A"&amp;_xlfn.XMATCH("P",Statut_biogéographique!A:A,2,1),"P")</f>
        <v>P</v>
      </c>
      <c r="AP3901" s="4" t="s">
        <v>376</v>
      </c>
      <c r="AR3901" s="4" t="s">
        <v>377</v>
      </c>
    </row>
    <row r="3902" spans="1:44">
      <c r="A3902" s="4" t="s">
        <v>5</v>
      </c>
      <c r="B3902" s="4">
        <v>32973</v>
      </c>
      <c r="D3902" s="5" t="s">
        <v>5794</v>
      </c>
      <c r="E3902" s="6" t="str">
        <f>HYPERLINK("https://inpn.mnhn.fr/espece/cd_nom/32973","Tephrocybe atrata (Fr.) Donk, 1962")</f>
        <v>Tephrocybe atrata (Fr.) Donk, 1962</v>
      </c>
      <c r="V3902" s="7" t="str">
        <f>HYPERLINK("#Liste_rouge!A"&amp;_xlfn.XMATCH("LC",Liste_rouge!A:A,2,1),"LC")</f>
        <v>LC</v>
      </c>
      <c r="AH3902" s="4" t="str">
        <f>HYPERLINK("#Statut_biogéographique!A"&amp;_xlfn.XMATCH("P",Statut_biogéographique!A:A,2,1),"P")</f>
        <v>P</v>
      </c>
      <c r="AP3902" s="4" t="s">
        <v>376</v>
      </c>
      <c r="AR3902" s="4" t="s">
        <v>377</v>
      </c>
    </row>
    <row r="3903" spans="1:44">
      <c r="A3903" s="4" t="s">
        <v>5</v>
      </c>
      <c r="B3903" s="4">
        <v>32981</v>
      </c>
      <c r="D3903" s="5">
        <v>32981</v>
      </c>
      <c r="E3903" s="6" t="str">
        <f>HYPERLINK("https://inpn.mnhn.fr/espece/cd_nom/32981","Tephrocybe boudieri Derbsch, 1977")</f>
        <v>Tephrocybe boudieri Derbsch, 1977</v>
      </c>
      <c r="V3903" s="7" t="str">
        <f>HYPERLINK("#Liste_rouge!A"&amp;_xlfn.XMATCH("LC",Liste_rouge!A:A,2,1),"LC")</f>
        <v>LC</v>
      </c>
      <c r="AH3903" s="4" t="str">
        <f>HYPERLINK("#Statut_biogéographique!A"&amp;_xlfn.XMATCH("P",Statut_biogéographique!A:A,2,1),"P")</f>
        <v>P</v>
      </c>
      <c r="AP3903" s="4" t="s">
        <v>376</v>
      </c>
      <c r="AR3903" s="4" t="s">
        <v>377</v>
      </c>
    </row>
    <row r="3904" spans="1:44">
      <c r="A3904" s="4" t="s">
        <v>5</v>
      </c>
      <c r="B3904" s="4">
        <v>32993</v>
      </c>
      <c r="D3904" s="5" t="s">
        <v>5795</v>
      </c>
      <c r="E3904" s="6" t="str">
        <f>HYPERLINK("https://inpn.mnhn.fr/espece/cd_nom/32993","Tephrocybe fibrosipes Métrod ex Bon, 1993")</f>
        <v>Tephrocybe fibrosipes Métrod ex Bon, 1993</v>
      </c>
      <c r="V3904" s="7" t="str">
        <f>HYPERLINK("#Liste_rouge!A"&amp;_xlfn.XMATCH("DD",Liste_rouge!A:A,2,1),"DD")</f>
        <v>DD</v>
      </c>
      <c r="AH3904" s="4" t="str">
        <f>HYPERLINK("#Statut_biogéographique!A"&amp;_xlfn.XMATCH("P",Statut_biogéographique!A:A,2,1),"P")</f>
        <v>P</v>
      </c>
      <c r="AP3904" s="4" t="s">
        <v>376</v>
      </c>
      <c r="AR3904" s="4" t="s">
        <v>377</v>
      </c>
    </row>
    <row r="3905" spans="1:44">
      <c r="A3905" s="4" t="s">
        <v>5</v>
      </c>
      <c r="B3905" s="4">
        <v>32995</v>
      </c>
      <c r="D3905" s="5" t="s">
        <v>5796</v>
      </c>
      <c r="E3905" s="6" t="str">
        <f>HYPERLINK("https://inpn.mnhn.fr/espece/cd_nom/32995","Tephrocybe graminicola Bon, 1976")</f>
        <v>Tephrocybe graminicola Bon, 1976</v>
      </c>
      <c r="V3905" s="7" t="str">
        <f>HYPERLINK("#Liste_rouge!A"&amp;_xlfn.XMATCH("NT",Liste_rouge!A:A,2,1),"NT")</f>
        <v>NT</v>
      </c>
      <c r="W3905" s="4" t="str">
        <f>HYPERLINK("#Critères_liste_rouge!A$1","pr. B2abiii")</f>
        <v>pr. B2abiii</v>
      </c>
      <c r="AH3905" s="4" t="str">
        <f>HYPERLINK("#Statut_biogéographique!A"&amp;_xlfn.XMATCH("P",Statut_biogéographique!A:A,2,1),"P")</f>
        <v>P</v>
      </c>
      <c r="AP3905" s="4" t="s">
        <v>376</v>
      </c>
      <c r="AR3905" s="4" t="s">
        <v>377</v>
      </c>
    </row>
    <row r="3906" spans="1:44" ht="30">
      <c r="A3906" s="4" t="s">
        <v>5</v>
      </c>
      <c r="B3906" s="4">
        <v>33007</v>
      </c>
      <c r="D3906" s="5" t="s">
        <v>5797</v>
      </c>
      <c r="E3906" s="6" t="str">
        <f>HYPERLINK("https://inpn.mnhn.fr/espece/cd_nom/33007","Tephrocybe murina (Batsch) M.M.Moser, 1967")</f>
        <v>Tephrocybe murina (Batsch) M.M.Moser, 1967</v>
      </c>
      <c r="V3906" s="7" t="str">
        <f>HYPERLINK("#Liste_rouge!A"&amp;_xlfn.XMATCH("DD",Liste_rouge!A:A,2,1),"DD")</f>
        <v>DD</v>
      </c>
      <c r="AH3906" s="4" t="str">
        <f>HYPERLINK("#Statut_biogéographique!A"&amp;_xlfn.XMATCH("P",Statut_biogéographique!A:A,2,1),"P")</f>
        <v>P</v>
      </c>
      <c r="AP3906" s="4" t="s">
        <v>376</v>
      </c>
      <c r="AR3906" s="4" t="s">
        <v>377</v>
      </c>
    </row>
    <row r="3907" spans="1:44" ht="30">
      <c r="A3907" s="4" t="s">
        <v>5</v>
      </c>
      <c r="B3907" s="4">
        <v>33015</v>
      </c>
      <c r="D3907" s="5" t="s">
        <v>5798</v>
      </c>
      <c r="E3907" s="6" t="str">
        <f>HYPERLINK("https://inpn.mnhn.fr/espece/cd_nom/33015","Tephrocybe platypus (Kühner) M.M.Moser, 1967")</f>
        <v>Tephrocybe platypus (Kühner) M.M.Moser, 1967</v>
      </c>
      <c r="V3907" s="7" t="str">
        <f>HYPERLINK("#Liste_rouge!A"&amp;_xlfn.XMATCH("DD",Liste_rouge!A:A,2,1),"DD")</f>
        <v>DD</v>
      </c>
      <c r="AH3907" s="4" t="str">
        <f>HYPERLINK("#Statut_biogéographique!A"&amp;_xlfn.XMATCH("P",Statut_biogéographique!A:A,2,1),"P")</f>
        <v>P</v>
      </c>
      <c r="AP3907" s="4" t="s">
        <v>376</v>
      </c>
      <c r="AR3907" s="4" t="s">
        <v>377</v>
      </c>
    </row>
    <row r="3908" spans="1:44">
      <c r="A3908" s="4" t="s">
        <v>5</v>
      </c>
      <c r="B3908" s="4">
        <v>33021</v>
      </c>
      <c r="C3908" s="4">
        <v>6732</v>
      </c>
      <c r="D3908" s="5" t="s">
        <v>5799</v>
      </c>
      <c r="E3908" s="6" t="str">
        <f>HYPERLINK("https://inpn.mnhn.fr/espece/cd_nom/33021","Entoloma calthionis Arnolds &amp; Noordel., 1979")</f>
        <v>Entoloma calthionis Arnolds &amp; Noordel., 1979</v>
      </c>
      <c r="AH3908" s="4" t="str">
        <f>HYPERLINK("#Statut_biogéographique!A"&amp;_xlfn.XMATCH("P",Statut_biogéographique!A:A,2,1),"P")</f>
        <v>P</v>
      </c>
      <c r="AP3908" s="4" t="s">
        <v>376</v>
      </c>
      <c r="AR3908" s="4" t="s">
        <v>377</v>
      </c>
    </row>
    <row r="3909" spans="1:44" ht="30">
      <c r="A3909" s="4" t="s">
        <v>5</v>
      </c>
      <c r="B3909" s="4">
        <v>33026</v>
      </c>
      <c r="C3909" s="4">
        <v>3287</v>
      </c>
      <c r="D3909" s="5" t="s">
        <v>5800</v>
      </c>
      <c r="E3909" s="6" t="str">
        <f>HYPERLINK("https://inpn.mnhn.fr/espece/cd_nom/33026","Entoloma carneogriseum (Berk. &amp; Broome) Noordel., 1987")</f>
        <v>Entoloma carneogriseum (Berk. &amp; Broome) Noordel., 1987</v>
      </c>
      <c r="V3909" s="7" t="str">
        <f>HYPERLINK("#Liste_rouge!A"&amp;_xlfn.XMATCH("CR",Liste_rouge!A:A,2,1),"CR")</f>
        <v>CR</v>
      </c>
      <c r="W3909" s="4" t="str">
        <f>HYPERLINK("#Critères_liste_rouge!A$1","B2abiii")</f>
        <v>B2abiii</v>
      </c>
      <c r="Z3909" s="4" t="s">
        <v>695</v>
      </c>
      <c r="AA3909" s="4" t="s">
        <v>696</v>
      </c>
      <c r="AH3909" s="4" t="str">
        <f>HYPERLINK("#Statut_biogéographique!A"&amp;_xlfn.XMATCH("P",Statut_biogéographique!A:A,2,1),"P")</f>
        <v>P</v>
      </c>
      <c r="AP3909" s="4" t="s">
        <v>376</v>
      </c>
      <c r="AR3909" s="4" t="s">
        <v>377</v>
      </c>
    </row>
    <row r="3910" spans="1:44">
      <c r="A3910" s="4" t="s">
        <v>5</v>
      </c>
      <c r="B3910" s="4">
        <v>33037</v>
      </c>
      <c r="C3910" s="4">
        <v>805</v>
      </c>
      <c r="D3910" s="5" t="s">
        <v>5801</v>
      </c>
      <c r="E3910" s="6" t="str">
        <f>HYPERLINK("https://inpn.mnhn.fr/espece/cd_nom/33037","Entoloma cetratum (Fr.) M.M.Moser, 1978")</f>
        <v>Entoloma cetratum (Fr.) M.M.Moser, 1978</v>
      </c>
      <c r="F3910" s="5" t="s">
        <v>5802</v>
      </c>
      <c r="V3910" s="7" t="str">
        <f>HYPERLINK("#Liste_rouge!A"&amp;_xlfn.XMATCH("LC",Liste_rouge!A:A,2,1),"LC")</f>
        <v>LC</v>
      </c>
      <c r="AH3910" s="4" t="str">
        <f>HYPERLINK("#Statut_biogéographique!A"&amp;_xlfn.XMATCH("P",Statut_biogéographique!A:A,2,1),"P")</f>
        <v>P</v>
      </c>
      <c r="AP3910" s="4" t="s">
        <v>376</v>
      </c>
      <c r="AR3910" s="4" t="s">
        <v>377</v>
      </c>
    </row>
    <row r="3911" spans="1:44" ht="45">
      <c r="A3911" s="4" t="s">
        <v>5</v>
      </c>
      <c r="B3911" s="4">
        <v>33045</v>
      </c>
      <c r="C3911" s="4">
        <v>2738</v>
      </c>
      <c r="D3911" s="5" t="s">
        <v>5803</v>
      </c>
      <c r="E3911" s="6" t="str">
        <f>HYPERLINK("https://inpn.mnhn.fr/espece/cd_nom/33045","Arrhenia griseopallida (Desm.) Watling, 1989")</f>
        <v>Arrhenia griseopallida (Desm.) Watling, 1989</v>
      </c>
      <c r="F3911" s="5" t="s">
        <v>5804</v>
      </c>
      <c r="V3911" s="7" t="str">
        <f>HYPERLINK("#Liste_rouge!A"&amp;_xlfn.XMATCH("VU",Liste_rouge!A:A,2,1),"VU")</f>
        <v>VU</v>
      </c>
      <c r="W3911" s="4" t="str">
        <f>HYPERLINK("#Critères_liste_rouge!A$1","B2abiii")</f>
        <v>B2abiii</v>
      </c>
      <c r="Z3911" s="4" t="s">
        <v>447</v>
      </c>
      <c r="AA3911" s="4" t="s">
        <v>448</v>
      </c>
      <c r="AH3911" s="4" t="str">
        <f>HYPERLINK("#Statut_biogéographique!A"&amp;_xlfn.XMATCH("P",Statut_biogéographique!A:A,2,1),"P")</f>
        <v>P</v>
      </c>
      <c r="AP3911" s="4" t="s">
        <v>376</v>
      </c>
      <c r="AR3911" s="4" t="s">
        <v>377</v>
      </c>
    </row>
    <row r="3912" spans="1:44" ht="30">
      <c r="A3912" s="4" t="s">
        <v>5</v>
      </c>
      <c r="B3912" s="4">
        <v>33056</v>
      </c>
      <c r="C3912" s="4">
        <v>4599</v>
      </c>
      <c r="D3912" s="5" t="s">
        <v>5805</v>
      </c>
      <c r="E3912" s="6" t="str">
        <f>HYPERLINK("https://inpn.mnhn.fr/espece/cd_nom/33056","Arrhenia retiruga (Bull.) Redhead, 1984")</f>
        <v>Arrhenia retiruga (Bull.) Redhead, 1984</v>
      </c>
      <c r="V3912" s="7" t="str">
        <f>HYPERLINK("#Liste_rouge!A"&amp;_xlfn.XMATCH("CR",Liste_rouge!A:A,2,1),"CR")</f>
        <v>CR</v>
      </c>
      <c r="W3912" s="4" t="str">
        <f>HYPERLINK("#Critères_liste_rouge!A$1","B2abiii")</f>
        <v>B2abiii</v>
      </c>
      <c r="Z3912" s="4" t="s">
        <v>695</v>
      </c>
      <c r="AA3912" s="4" t="s">
        <v>696</v>
      </c>
      <c r="AH3912" s="4" t="str">
        <f>HYPERLINK("#Statut_biogéographique!A"&amp;_xlfn.XMATCH("P",Statut_biogéographique!A:A,2,1),"P")</f>
        <v>P</v>
      </c>
      <c r="AP3912" s="4" t="s">
        <v>376</v>
      </c>
      <c r="AR3912" s="4" t="s">
        <v>377</v>
      </c>
    </row>
    <row r="3913" spans="1:44" ht="30">
      <c r="A3913" s="4" t="s">
        <v>5</v>
      </c>
      <c r="B3913" s="4">
        <v>33060</v>
      </c>
      <c r="C3913" s="4">
        <v>2690</v>
      </c>
      <c r="D3913" s="5" t="s">
        <v>5806</v>
      </c>
      <c r="E3913" s="6" t="str">
        <f>HYPERLINK("https://inpn.mnhn.fr/espece/cd_nom/33060","Arrhenia spathulata (Fr.) Redhead, 1984")</f>
        <v>Arrhenia spathulata (Fr.) Redhead, 1984</v>
      </c>
      <c r="F3913" s="5" t="s">
        <v>5807</v>
      </c>
      <c r="V3913" s="7" t="str">
        <f>HYPERLINK("#Liste_rouge!A"&amp;_xlfn.XMATCH("EN",Liste_rouge!A:A,2,1),"EN")</f>
        <v>EN</v>
      </c>
      <c r="W3913" s="4" t="str">
        <f>HYPERLINK("#Critères_liste_rouge!A$1","A2c")</f>
        <v>A2c</v>
      </c>
      <c r="Z3913" s="4" t="s">
        <v>447</v>
      </c>
      <c r="AA3913" s="4" t="s">
        <v>448</v>
      </c>
      <c r="AH3913" s="4" t="str">
        <f>HYPERLINK("#Statut_biogéographique!A"&amp;_xlfn.XMATCH("P",Statut_biogéographique!A:A,2,1),"P")</f>
        <v>P</v>
      </c>
      <c r="AP3913" s="4" t="s">
        <v>376</v>
      </c>
      <c r="AR3913" s="4" t="s">
        <v>377</v>
      </c>
    </row>
    <row r="3914" spans="1:44" ht="30">
      <c r="A3914" s="4" t="s">
        <v>5</v>
      </c>
      <c r="B3914" s="4">
        <v>33075</v>
      </c>
      <c r="C3914" s="4">
        <v>301</v>
      </c>
      <c r="D3914" s="5" t="s">
        <v>5808</v>
      </c>
      <c r="E3914" s="6" t="str">
        <f>HYPERLINK("https://inpn.mnhn.fr/espece/cd_nom/33075","Crepidotus applanatus (Pers.) P.Kumm., 1871")</f>
        <v>Crepidotus applanatus (Pers.) P.Kumm., 1871</v>
      </c>
      <c r="F3914" s="5" t="s">
        <v>5809</v>
      </c>
      <c r="V3914" s="7" t="str">
        <f>HYPERLINK("#Liste_rouge!A"&amp;_xlfn.XMATCH("LC",Liste_rouge!A:A,2,1),"LC")</f>
        <v>LC</v>
      </c>
      <c r="AH3914" s="4" t="str">
        <f>HYPERLINK("#Statut_biogéographique!A"&amp;_xlfn.XMATCH("P",Statut_biogéographique!A:A,2,1),"P")</f>
        <v>P</v>
      </c>
      <c r="AP3914" s="4" t="s">
        <v>376</v>
      </c>
      <c r="AR3914" s="4" t="s">
        <v>377</v>
      </c>
    </row>
    <row r="3915" spans="1:44">
      <c r="A3915" s="4" t="s">
        <v>5</v>
      </c>
      <c r="B3915" s="4">
        <v>33080</v>
      </c>
      <c r="C3915" s="4">
        <v>4463</v>
      </c>
      <c r="D3915" s="5">
        <v>33081</v>
      </c>
      <c r="E3915" s="6" t="str">
        <f>HYPERLINK("https://inpn.mnhn.fr/espece/cd_nom/33080","Crepidotus bickhamensis P.D.Orton, 1984")</f>
        <v>Crepidotus bickhamensis P.D.Orton, 1984</v>
      </c>
      <c r="V3915" s="7" t="str">
        <f>HYPERLINK("#Liste_rouge!A"&amp;_xlfn.XMATCH("LC",Liste_rouge!A:A,2,1),"LC")</f>
        <v>LC</v>
      </c>
      <c r="AH3915" s="4" t="str">
        <f>HYPERLINK("#Statut_biogéographique!A"&amp;_xlfn.XMATCH("P",Statut_biogéographique!A:A,2,1),"P")</f>
        <v>P</v>
      </c>
      <c r="AP3915" s="4" t="s">
        <v>376</v>
      </c>
      <c r="AR3915" s="4" t="s">
        <v>377</v>
      </c>
    </row>
    <row r="3916" spans="1:44">
      <c r="A3916" s="4" t="s">
        <v>5</v>
      </c>
      <c r="B3916" s="4">
        <v>33082</v>
      </c>
      <c r="C3916" s="4">
        <v>5148</v>
      </c>
      <c r="D3916" s="5" t="s">
        <v>5810</v>
      </c>
      <c r="E3916" s="6" t="str">
        <f>HYPERLINK("https://inpn.mnhn.fr/espece/cd_nom/33082","Crepidotus calolepis (Fr.) P.Karst., 1879")</f>
        <v>Crepidotus calolepis (Fr.) P.Karst., 1879</v>
      </c>
      <c r="F3916" s="5" t="s">
        <v>5811</v>
      </c>
      <c r="V3916" s="7" t="str">
        <f>HYPERLINK("#Liste_rouge!A"&amp;_xlfn.XMATCH("DD",Liste_rouge!A:A,2,1),"DD")</f>
        <v>DD</v>
      </c>
      <c r="Z3916" s="4" t="s">
        <v>443</v>
      </c>
      <c r="AA3916" s="4" t="s">
        <v>444</v>
      </c>
      <c r="AH3916" s="4" t="str">
        <f>HYPERLINK("#Statut_biogéographique!A"&amp;_xlfn.XMATCH("P",Statut_biogéographique!A:A,2,1),"P")</f>
        <v>P</v>
      </c>
      <c r="AP3916" s="4" t="s">
        <v>376</v>
      </c>
      <c r="AR3916" s="4" t="s">
        <v>377</v>
      </c>
    </row>
    <row r="3917" spans="1:44">
      <c r="A3917" s="4" t="s">
        <v>5</v>
      </c>
      <c r="B3917" s="4">
        <v>33084</v>
      </c>
      <c r="C3917" s="4">
        <v>5480</v>
      </c>
      <c r="D3917" s="5" t="s">
        <v>5812</v>
      </c>
      <c r="E3917" s="6" t="str">
        <f>HYPERLINK("https://inpn.mnhn.fr/espece/cd_nom/33084","Crepidotus carpaticus Pilát, 1929")</f>
        <v>Crepidotus carpaticus Pilát, 1929</v>
      </c>
      <c r="V3917" s="7" t="str">
        <f>HYPERLINK("#Liste_rouge!A"&amp;_xlfn.XMATCH("DD",Liste_rouge!A:A,2,1),"DD")</f>
        <v>DD</v>
      </c>
      <c r="AH3917" s="4" t="str">
        <f>HYPERLINK("#Statut_biogéographique!A"&amp;_xlfn.XMATCH("P",Statut_biogéographique!A:A,2,1),"P")</f>
        <v>P</v>
      </c>
      <c r="AP3917" s="4" t="s">
        <v>376</v>
      </c>
      <c r="AR3917" s="4" t="s">
        <v>377</v>
      </c>
    </row>
    <row r="3918" spans="1:44">
      <c r="A3918" s="4" t="s">
        <v>5</v>
      </c>
      <c r="B3918" s="4">
        <v>33086</v>
      </c>
      <c r="C3918" s="4">
        <v>5749</v>
      </c>
      <c r="D3918" s="5">
        <v>511577</v>
      </c>
      <c r="E3918" s="6" t="str">
        <f>HYPERLINK("https://inpn.mnhn.fr/espece/cd_nom/33086","Crepidotus caspari Velen., 1926")</f>
        <v>Crepidotus caspari Velen., 1926</v>
      </c>
      <c r="F3918" s="5" t="s">
        <v>5813</v>
      </c>
      <c r="V3918" s="7" t="str">
        <f>HYPERLINK("#Liste_rouge!A"&amp;_xlfn.XMATCH("LC",Liste_rouge!A:A,2,1),"LC")</f>
        <v>LC</v>
      </c>
      <c r="AH3918" s="4" t="str">
        <f>HYPERLINK("#Statut_biogéographique!A"&amp;_xlfn.XMATCH("P",Statut_biogéographique!A:A,2,1),"P")</f>
        <v>P</v>
      </c>
      <c r="AP3918" s="4" t="s">
        <v>376</v>
      </c>
      <c r="AR3918" s="4" t="s">
        <v>377</v>
      </c>
    </row>
    <row r="3919" spans="1:44" ht="30">
      <c r="A3919" s="4" t="s">
        <v>5</v>
      </c>
      <c r="B3919" s="4">
        <v>33087</v>
      </c>
      <c r="C3919" s="4">
        <v>2329</v>
      </c>
      <c r="D3919" s="5" t="s">
        <v>5814</v>
      </c>
      <c r="E3919" s="6" t="str">
        <f>HYPERLINK("https://inpn.mnhn.fr/espece/cd_nom/33087","Crepidotus cesatii (Rabenh.) Sacc., 1877")</f>
        <v>Crepidotus cesatii (Rabenh.) Sacc., 1877</v>
      </c>
      <c r="F3919" s="5" t="s">
        <v>5815</v>
      </c>
      <c r="V3919" s="7" t="str">
        <f>HYPERLINK("#Liste_rouge!A"&amp;_xlfn.XMATCH("LC",Liste_rouge!A:A,2,1),"LC")</f>
        <v>LC</v>
      </c>
      <c r="AH3919" s="4" t="str">
        <f>HYPERLINK("#Statut_biogéographique!A"&amp;_xlfn.XMATCH("P",Statut_biogéographique!A:A,2,1),"P")</f>
        <v>P</v>
      </c>
      <c r="AP3919" s="4" t="s">
        <v>376</v>
      </c>
      <c r="AR3919" s="4" t="s">
        <v>377</v>
      </c>
    </row>
    <row r="3920" spans="1:44">
      <c r="A3920" s="4" t="s">
        <v>5</v>
      </c>
      <c r="B3920" s="4">
        <v>33091</v>
      </c>
      <c r="C3920" s="4">
        <v>3955</v>
      </c>
      <c r="D3920" s="5" t="s">
        <v>5816</v>
      </c>
      <c r="E3920" s="6" t="str">
        <f>HYPERLINK("https://inpn.mnhn.fr/espece/cd_nom/33091","Crepidotus cinnabarinus Peck, 1895")</f>
        <v>Crepidotus cinnabarinus Peck, 1895</v>
      </c>
      <c r="F3920" s="5" t="s">
        <v>5817</v>
      </c>
      <c r="V3920" s="7" t="str">
        <f>HYPERLINK("#Liste_rouge!A"&amp;_xlfn.XMATCH("EN",Liste_rouge!A:A,2,1),"EN")</f>
        <v>EN</v>
      </c>
      <c r="W3920" s="4" t="str">
        <f>HYPERLINK("#Critères_liste_rouge!A$1","B2abiii")</f>
        <v>B2abiii</v>
      </c>
      <c r="Z3920" s="4" t="s">
        <v>447</v>
      </c>
      <c r="AA3920" s="4" t="s">
        <v>448</v>
      </c>
      <c r="AH3920" s="4" t="str">
        <f>HYPERLINK("#Statut_biogéographique!A"&amp;_xlfn.XMATCH("P",Statut_biogéographique!A:A,2,1),"P")</f>
        <v>P</v>
      </c>
      <c r="AP3920" s="4" t="s">
        <v>376</v>
      </c>
      <c r="AR3920" s="4" t="s">
        <v>377</v>
      </c>
    </row>
    <row r="3921" spans="1:44">
      <c r="A3921" s="4" t="s">
        <v>5</v>
      </c>
      <c r="B3921" s="4">
        <v>33092</v>
      </c>
      <c r="C3921" s="4">
        <v>6239</v>
      </c>
      <c r="D3921" s="5" t="s">
        <v>5818</v>
      </c>
      <c r="E3921" s="6" t="str">
        <f>HYPERLINK("https://inpn.mnhn.fr/espece/cd_nom/33092","Crepidotus crocophyllus (Berk.) Sacc., 1887")</f>
        <v>Crepidotus crocophyllus (Berk.) Sacc., 1887</v>
      </c>
      <c r="AH3921" s="4" t="str">
        <f>HYPERLINK("#Statut_biogéographique!A"&amp;_xlfn.XMATCH("P",Statut_biogéographique!A:A,2,1),"P")</f>
        <v>P</v>
      </c>
      <c r="AP3921" s="4" t="s">
        <v>376</v>
      </c>
      <c r="AR3921" s="4" t="s">
        <v>377</v>
      </c>
    </row>
    <row r="3922" spans="1:44" ht="30">
      <c r="A3922" s="4" t="s">
        <v>5</v>
      </c>
      <c r="B3922" s="4">
        <v>33096</v>
      </c>
      <c r="C3922" s="4">
        <v>6602</v>
      </c>
      <c r="D3922" s="5" t="s">
        <v>5819</v>
      </c>
      <c r="E3922" s="6" t="str">
        <f>HYPERLINK("https://inpn.mnhn.fr/espece/cd_nom/33096","Crepidotus ehrendorferi Hauskn. &amp; Krisai, 1989")</f>
        <v>Crepidotus ehrendorferi Hauskn. &amp; Krisai, 1989</v>
      </c>
      <c r="AH3922" s="4" t="str">
        <f>HYPERLINK("#Statut_biogéographique!A"&amp;_xlfn.XMATCH("P",Statut_biogéographique!A:A,2,1),"P")</f>
        <v>P</v>
      </c>
      <c r="AP3922" s="4" t="s">
        <v>376</v>
      </c>
      <c r="AR3922" s="4" t="s">
        <v>377</v>
      </c>
    </row>
    <row r="3923" spans="1:44" ht="30">
      <c r="A3923" s="4" t="s">
        <v>5</v>
      </c>
      <c r="B3923" s="4">
        <v>33097</v>
      </c>
      <c r="C3923" s="4">
        <v>4463</v>
      </c>
      <c r="D3923" s="5" t="s">
        <v>5820</v>
      </c>
      <c r="E3923" s="6" t="str">
        <f>HYPERLINK("https://inpn.mnhn.fr/espece/cd_nom/33097","Crepidotus epibryus (Fr.) Quél., 1888")</f>
        <v>Crepidotus epibryus (Fr.) Quél., 1888</v>
      </c>
      <c r="V3923" s="7" t="str">
        <f>HYPERLINK("#Liste_rouge!A"&amp;_xlfn.XMATCH("LC",Liste_rouge!A:A,2,1),"LC")</f>
        <v>LC</v>
      </c>
      <c r="AH3923" s="4" t="str">
        <f>HYPERLINK("#Statut_biogéographique!A"&amp;_xlfn.XMATCH("P",Statut_biogéographique!A:A,2,1),"P")</f>
        <v>P</v>
      </c>
      <c r="AP3923" s="4" t="s">
        <v>376</v>
      </c>
      <c r="AR3923" s="4" t="s">
        <v>377</v>
      </c>
    </row>
    <row r="3924" spans="1:44">
      <c r="A3924" s="4" t="s">
        <v>5</v>
      </c>
      <c r="B3924" s="4">
        <v>33108</v>
      </c>
      <c r="C3924" s="4">
        <v>275</v>
      </c>
      <c r="D3924" s="5" t="s">
        <v>5821</v>
      </c>
      <c r="E3924" s="6" t="str">
        <f>HYPERLINK("https://inpn.mnhn.fr/espece/cd_nom/33108","Crepidotus luteolus Sacc., 1887")</f>
        <v>Crepidotus luteolus Sacc., 1887</v>
      </c>
      <c r="F3924" s="5" t="s">
        <v>5822</v>
      </c>
      <c r="V3924" s="7" t="str">
        <f>HYPERLINK("#Liste_rouge!A"&amp;_xlfn.XMATCH("EN",Liste_rouge!A:A,2,1),"EN")</f>
        <v>EN</v>
      </c>
      <c r="W3924" s="4" t="str">
        <f>HYPERLINK("#Critères_liste_rouge!A$1","B2abiii")</f>
        <v>B2abiii</v>
      </c>
      <c r="Z3924" s="4" t="s">
        <v>447</v>
      </c>
      <c r="AA3924" s="4" t="s">
        <v>448</v>
      </c>
      <c r="AH3924" s="4" t="str">
        <f>HYPERLINK("#Statut_biogéographique!A"&amp;_xlfn.XMATCH("P",Statut_biogéographique!A:A,2,1),"P")</f>
        <v>P</v>
      </c>
      <c r="AP3924" s="4" t="s">
        <v>376</v>
      </c>
      <c r="AR3924" s="4" t="s">
        <v>377</v>
      </c>
    </row>
    <row r="3925" spans="1:44">
      <c r="A3925" s="4" t="s">
        <v>5</v>
      </c>
      <c r="B3925" s="4">
        <v>33112</v>
      </c>
      <c r="C3925" s="4">
        <v>545</v>
      </c>
      <c r="D3925" s="5" t="s">
        <v>5823</v>
      </c>
      <c r="E3925" s="6" t="str">
        <f>HYPERLINK("https://inpn.mnhn.fr/espece/cd_nom/33112","Crepidotus mollis (Schaeff.) Staude, 1857")</f>
        <v>Crepidotus mollis (Schaeff.) Staude, 1857</v>
      </c>
      <c r="F3925" s="5" t="s">
        <v>5824</v>
      </c>
      <c r="V3925" s="7" t="str">
        <f>HYPERLINK("#Liste_rouge!A"&amp;_xlfn.XMATCH("LC",Liste_rouge!A:A,2,1),"LC")</f>
        <v>LC</v>
      </c>
      <c r="AH3925" s="4" t="str">
        <f>HYPERLINK("#Statut_biogéographique!A"&amp;_xlfn.XMATCH("P",Statut_biogéographique!A:A,2,1),"P")</f>
        <v>P</v>
      </c>
      <c r="AP3925" s="4" t="s">
        <v>376</v>
      </c>
      <c r="AR3925" s="4" t="s">
        <v>377</v>
      </c>
    </row>
    <row r="3926" spans="1:44" ht="30">
      <c r="A3926" s="4" t="s">
        <v>5</v>
      </c>
      <c r="B3926" s="4">
        <v>33129</v>
      </c>
      <c r="C3926" s="4">
        <v>205</v>
      </c>
      <c r="D3926" s="5" t="s">
        <v>5825</v>
      </c>
      <c r="E3926" s="6" t="str">
        <f>HYPERLINK("https://inpn.mnhn.fr/espece/cd_nom/33129","Crepidotus variabilis (Pers.) P.Kumm., 1871")</f>
        <v>Crepidotus variabilis (Pers.) P.Kumm., 1871</v>
      </c>
      <c r="F3926" s="5" t="s">
        <v>5826</v>
      </c>
      <c r="V3926" s="7" t="str">
        <f>HYPERLINK("#Liste_rouge!A"&amp;_xlfn.XMATCH("LC",Liste_rouge!A:A,2,1),"LC")</f>
        <v>LC</v>
      </c>
      <c r="AH3926" s="4" t="str">
        <f>HYPERLINK("#Statut_biogéographique!A"&amp;_xlfn.XMATCH("P",Statut_biogéographique!A:A,2,1),"P")</f>
        <v>P</v>
      </c>
      <c r="AP3926" s="4" t="s">
        <v>376</v>
      </c>
      <c r="AR3926" s="4" t="s">
        <v>377</v>
      </c>
    </row>
    <row r="3927" spans="1:44" ht="45">
      <c r="A3927" s="4" t="s">
        <v>5</v>
      </c>
      <c r="B3927" s="4">
        <v>33134</v>
      </c>
      <c r="C3927" s="4">
        <v>853</v>
      </c>
      <c r="D3927" s="5" t="s">
        <v>5827</v>
      </c>
      <c r="E3927" s="6" t="str">
        <f>HYPERLINK("https://inpn.mnhn.fr/espece/cd_nom/33134","Faerberia carbonaria (Alb. &amp; Schwein.) Pouzar, 1981")</f>
        <v>Faerberia carbonaria (Alb. &amp; Schwein.) Pouzar, 1981</v>
      </c>
      <c r="F3927" s="5" t="s">
        <v>5828</v>
      </c>
      <c r="V3927" s="7" t="str">
        <f>HYPERLINK("#Liste_rouge!A"&amp;_xlfn.XMATCH("LC",Liste_rouge!A:A,2,1),"LC")</f>
        <v>LC</v>
      </c>
      <c r="AH3927" s="4" t="str">
        <f>HYPERLINK("#Statut_biogéographique!A"&amp;_xlfn.XMATCH("P",Statut_biogéographique!A:A,2,1),"P")</f>
        <v>P</v>
      </c>
      <c r="AP3927" s="4" t="s">
        <v>376</v>
      </c>
      <c r="AR3927" s="4" t="s">
        <v>377</v>
      </c>
    </row>
    <row r="3928" spans="1:44">
      <c r="A3928" s="4" t="s">
        <v>5</v>
      </c>
      <c r="B3928" s="4">
        <v>33144</v>
      </c>
      <c r="D3928" s="5" t="s">
        <v>5829</v>
      </c>
      <c r="E3928" s="6" t="str">
        <f>HYPERLINK("https://inpn.mnhn.fr/espece/cd_nom/33144","Tephrocybe rancida (Fr.) Donk, 1962")</f>
        <v>Tephrocybe rancida (Fr.) Donk, 1962</v>
      </c>
      <c r="V3928" s="7" t="str">
        <f>HYPERLINK("#Liste_rouge!A"&amp;_xlfn.XMATCH("LC",Liste_rouge!A:A,2,1),"LC")</f>
        <v>LC</v>
      </c>
      <c r="AH3928" s="4" t="str">
        <f>HYPERLINK("#Statut_biogéographique!A"&amp;_xlfn.XMATCH("P",Statut_biogéographique!A:A,2,1),"P")</f>
        <v>P</v>
      </c>
      <c r="AP3928" s="4" t="s">
        <v>376</v>
      </c>
      <c r="AR3928" s="4" t="s">
        <v>377</v>
      </c>
    </row>
    <row r="3929" spans="1:44">
      <c r="A3929" s="4" t="s">
        <v>5</v>
      </c>
      <c r="B3929" s="4">
        <v>33157</v>
      </c>
      <c r="D3929" s="5" t="s">
        <v>5830</v>
      </c>
      <c r="E3929" s="6" t="str">
        <f>HYPERLINK("https://inpn.mnhn.fr/espece/cd_nom/33157","Tricholoma acerbum (Bull.) Quél., 1872")</f>
        <v>Tricholoma acerbum (Bull.) Quél., 1872</v>
      </c>
      <c r="F3929" s="5" t="s">
        <v>1557</v>
      </c>
      <c r="V3929" s="7" t="str">
        <f>HYPERLINK("#Liste_rouge!A"&amp;_xlfn.XMATCH("LC",Liste_rouge!A:A,2,1),"LC")</f>
        <v>LC</v>
      </c>
      <c r="AH3929" s="4" t="str">
        <f>HYPERLINK("#Statut_biogéographique!A"&amp;_xlfn.XMATCH("P",Statut_biogéographique!A:A,2,1),"P")</f>
        <v>P</v>
      </c>
      <c r="AP3929" s="4" t="s">
        <v>376</v>
      </c>
      <c r="AR3929" s="4" t="s">
        <v>377</v>
      </c>
    </row>
    <row r="3930" spans="1:44">
      <c r="A3930" s="4" t="s">
        <v>5</v>
      </c>
      <c r="B3930" s="4">
        <v>33164</v>
      </c>
      <c r="D3930" s="5" t="s">
        <v>5831</v>
      </c>
      <c r="E3930" s="6" t="str">
        <f>HYPERLINK("https://inpn.mnhn.fr/espece/cd_nom/33164","Tricholoma album (Schaeff.) P.Kumm., 1871")</f>
        <v>Tricholoma album (Schaeff.) P.Kumm., 1871</v>
      </c>
      <c r="F3930" s="5" t="s">
        <v>2942</v>
      </c>
      <c r="V3930" s="7" t="str">
        <f>HYPERLINK("#Liste_rouge!A"&amp;_xlfn.XMATCH("LC",Liste_rouge!A:A,2,1),"LC")</f>
        <v>LC</v>
      </c>
      <c r="AH3930" s="4" t="str">
        <f>HYPERLINK("#Statut_biogéographique!A"&amp;_xlfn.XMATCH("P",Statut_biogéographique!A:A,2,1),"P")</f>
        <v>P</v>
      </c>
      <c r="AP3930" s="4" t="s">
        <v>376</v>
      </c>
      <c r="AR3930" s="4" t="s">
        <v>377</v>
      </c>
    </row>
    <row r="3931" spans="1:44">
      <c r="A3931" s="4" t="s">
        <v>5</v>
      </c>
      <c r="B3931" s="4">
        <v>33169</v>
      </c>
      <c r="D3931" s="5" t="s">
        <v>5832</v>
      </c>
      <c r="E3931" s="6" t="str">
        <f>HYPERLINK("https://inpn.mnhn.fr/espece/cd_nom/33169","Tricholoma apium Jul.Schäff., 1925")</f>
        <v>Tricholoma apium Jul.Schäff., 1925</v>
      </c>
      <c r="V3931" s="7" t="str">
        <f>HYPERLINK("#Liste_rouge!A"&amp;_xlfn.XMATCH("CR",Liste_rouge!A:A,2,1),"CR")</f>
        <v>CR</v>
      </c>
      <c r="W3931" s="4" t="str">
        <f>HYPERLINK("#Critères_liste_rouge!A$1","A2c")</f>
        <v>A2c</v>
      </c>
      <c r="AH3931" s="4" t="str">
        <f>HYPERLINK("#Statut_biogéographique!A"&amp;_xlfn.XMATCH("P",Statut_biogéographique!A:A,2,1),"P")</f>
        <v>P</v>
      </c>
      <c r="AP3931" s="4" t="s">
        <v>376</v>
      </c>
      <c r="AR3931" s="4" t="s">
        <v>377</v>
      </c>
    </row>
    <row r="3932" spans="1:44" ht="30">
      <c r="A3932" s="4" t="s">
        <v>5</v>
      </c>
      <c r="B3932" s="4">
        <v>33172</v>
      </c>
      <c r="D3932" s="5" t="s">
        <v>5833</v>
      </c>
      <c r="E3932" s="6" t="str">
        <f>HYPERLINK("https://inpn.mnhn.fr/espece/cd_nom/33172","Tricholoma argyraceum (Bull.) Gillet, 1874")</f>
        <v>Tricholoma argyraceum (Bull.) Gillet, 1874</v>
      </c>
      <c r="V3932" s="7" t="str">
        <f>HYPERLINK("#Liste_rouge!A"&amp;_xlfn.XMATCH("NT",Liste_rouge!A:A,2,1),"NT")</f>
        <v>NT</v>
      </c>
      <c r="W3932" s="4" t="str">
        <f>HYPERLINK("#Critères_liste_rouge!A$1","pr. B2abiii")</f>
        <v>pr. B2abiii</v>
      </c>
      <c r="AH3932" s="4" t="str">
        <f>HYPERLINK("#Statut_biogéographique!A"&amp;_xlfn.XMATCH("P",Statut_biogéographique!A:A,2,1),"P")</f>
        <v>P</v>
      </c>
      <c r="AP3932" s="4" t="s">
        <v>376</v>
      </c>
      <c r="AR3932" s="4" t="s">
        <v>377</v>
      </c>
    </row>
    <row r="3933" spans="1:44">
      <c r="A3933" s="4" t="s">
        <v>5</v>
      </c>
      <c r="B3933" s="4">
        <v>33178</v>
      </c>
      <c r="D3933" s="5" t="s">
        <v>5834</v>
      </c>
      <c r="E3933" s="6" t="str">
        <f>HYPERLINK("https://inpn.mnhn.fr/espece/cd_nom/33178","Tricholoma arvernense Bon, 1976")</f>
        <v>Tricholoma arvernense Bon, 1976</v>
      </c>
      <c r="V3933" s="7" t="str">
        <f>HYPERLINK("#Liste_rouge!A"&amp;_xlfn.XMATCH("EN",Liste_rouge!A:A,2,1),"EN")</f>
        <v>EN</v>
      </c>
      <c r="W3933" s="4" t="str">
        <f>HYPERLINK("#Critères_liste_rouge!A$1","B2abiii")</f>
        <v>B2abiii</v>
      </c>
      <c r="AH3933" s="4" t="str">
        <f>HYPERLINK("#Statut_biogéographique!A"&amp;_xlfn.XMATCH("P",Statut_biogéographique!A:A,2,1),"P")</f>
        <v>P</v>
      </c>
      <c r="AP3933" s="4" t="s">
        <v>376</v>
      </c>
      <c r="AR3933" s="4" t="s">
        <v>377</v>
      </c>
    </row>
    <row r="3934" spans="1:44">
      <c r="A3934" s="4" t="s">
        <v>5</v>
      </c>
      <c r="B3934" s="4">
        <v>33180</v>
      </c>
      <c r="D3934" s="5" t="s">
        <v>5835</v>
      </c>
      <c r="E3934" s="6" t="str">
        <f>HYPERLINK("https://inpn.mnhn.fr/espece/cd_nom/33180","Tricholoma atrosquamosum Sacc., 1887")</f>
        <v>Tricholoma atrosquamosum Sacc., 1887</v>
      </c>
      <c r="V3934" s="7" t="str">
        <f>HYPERLINK("#Liste_rouge!A"&amp;_xlfn.XMATCH("LC",Liste_rouge!A:A,2,1),"LC")</f>
        <v>LC</v>
      </c>
      <c r="AH3934" s="4" t="str">
        <f>HYPERLINK("#Statut_biogéographique!A"&amp;_xlfn.XMATCH("P",Statut_biogéographique!A:A,2,1),"P")</f>
        <v>P</v>
      </c>
      <c r="AP3934" s="4" t="s">
        <v>376</v>
      </c>
      <c r="AR3934" s="4" t="s">
        <v>377</v>
      </c>
    </row>
    <row r="3935" spans="1:44" ht="30">
      <c r="A3935" s="4" t="s">
        <v>5</v>
      </c>
      <c r="B3935" s="4">
        <v>33183</v>
      </c>
      <c r="D3935" s="5" t="s">
        <v>5836</v>
      </c>
      <c r="E3935" s="6" t="str">
        <f>HYPERLINK("https://inpn.mnhn.fr/espece/cd_nom/33183","Tricholoma aurantium (Schaeff.) Ricken, 1914")</f>
        <v>Tricholoma aurantium (Schaeff.) Ricken, 1914</v>
      </c>
      <c r="V3935" s="7" t="str">
        <f>HYPERLINK("#Liste_rouge!A"&amp;_xlfn.XMATCH("LC",Liste_rouge!A:A,2,1),"LC")</f>
        <v>LC</v>
      </c>
      <c r="AH3935" s="4" t="str">
        <f>HYPERLINK("#Statut_biogéographique!A"&amp;_xlfn.XMATCH("P",Statut_biogéographique!A:A,2,1),"P")</f>
        <v>P</v>
      </c>
      <c r="AP3935" s="4" t="s">
        <v>376</v>
      </c>
      <c r="AR3935" s="4" t="s">
        <v>377</v>
      </c>
    </row>
    <row r="3936" spans="1:44" ht="45">
      <c r="A3936" s="4" t="s">
        <v>5</v>
      </c>
      <c r="B3936" s="4">
        <v>33189</v>
      </c>
      <c r="D3936" s="5" t="s">
        <v>5837</v>
      </c>
      <c r="E3936" s="6" t="str">
        <f>HYPERLINK("https://inpn.mnhn.fr/espece/cd_nom/33189","Tricholoma equestre (L.) P.Kumm., 1871")</f>
        <v>Tricholoma equestre (L.) P.Kumm., 1871</v>
      </c>
      <c r="F3936" s="5" t="s">
        <v>5838</v>
      </c>
      <c r="V3936" s="7" t="str">
        <f>HYPERLINK("#Liste_rouge!A"&amp;_xlfn.XMATCH("LC",Liste_rouge!A:A,2,1),"LC")</f>
        <v>LC</v>
      </c>
      <c r="AH3936" s="4" t="str">
        <f>HYPERLINK("#Statut_biogéographique!A"&amp;_xlfn.XMATCH("P",Statut_biogéographique!A:A,2,1),"P")</f>
        <v>P</v>
      </c>
      <c r="AP3936" s="4" t="s">
        <v>376</v>
      </c>
      <c r="AR3936" s="4" t="s">
        <v>377</v>
      </c>
    </row>
    <row r="3937" spans="1:44" ht="30">
      <c r="A3937" s="4" t="s">
        <v>5</v>
      </c>
      <c r="B3937" s="4">
        <v>33190</v>
      </c>
      <c r="D3937" s="5" t="s">
        <v>5839</v>
      </c>
      <c r="E3937" s="6" t="str">
        <f>HYPERLINK("https://inpn.mnhn.fr/espece/cd_nom/33190","Tricholoma basirubens (Bon) A.Riva &amp; Bon, 1988")</f>
        <v>Tricholoma basirubens (Bon) A.Riva &amp; Bon, 1988</v>
      </c>
      <c r="V3937" s="7" t="str">
        <f>HYPERLINK("#Liste_rouge!A"&amp;_xlfn.XMATCH("LC",Liste_rouge!A:A,2,1),"LC")</f>
        <v>LC</v>
      </c>
      <c r="AH3937" s="4" t="str">
        <f>HYPERLINK("#Statut_biogéographique!A"&amp;_xlfn.XMATCH("P",Statut_biogéographique!A:A,2,1),"P")</f>
        <v>P</v>
      </c>
      <c r="AP3937" s="4" t="s">
        <v>376</v>
      </c>
      <c r="AR3937" s="4" t="s">
        <v>377</v>
      </c>
    </row>
    <row r="3938" spans="1:44">
      <c r="A3938" s="4" t="s">
        <v>5</v>
      </c>
      <c r="B3938" s="4">
        <v>33193</v>
      </c>
      <c r="D3938" s="5" t="s">
        <v>5840</v>
      </c>
      <c r="E3938" s="6" t="str">
        <f>HYPERLINK("https://inpn.mnhn.fr/espece/cd_nom/33193","Tricholoma boudieri Barla, 1887")</f>
        <v>Tricholoma boudieri Barla, 1887</v>
      </c>
      <c r="V3938" s="7" t="str">
        <f>HYPERLINK("#Liste_rouge!A"&amp;_xlfn.XMATCH("EN",Liste_rouge!A:A,2,1),"EN")</f>
        <v>EN</v>
      </c>
      <c r="W3938" s="4" t="str">
        <f>HYPERLINK("#Critères_liste_rouge!A$1","A2c")</f>
        <v>A2c</v>
      </c>
      <c r="AH3938" s="4" t="str">
        <f>HYPERLINK("#Statut_biogéographique!A"&amp;_xlfn.XMATCH("P",Statut_biogéographique!A:A,2,1),"P")</f>
        <v>P</v>
      </c>
      <c r="AP3938" s="4" t="s">
        <v>376</v>
      </c>
      <c r="AR3938" s="4" t="s">
        <v>377</v>
      </c>
    </row>
    <row r="3939" spans="1:44">
      <c r="A3939" s="4" t="s">
        <v>5</v>
      </c>
      <c r="B3939" s="4">
        <v>33200</v>
      </c>
      <c r="D3939" s="5" t="s">
        <v>5841</v>
      </c>
      <c r="E3939" s="6" t="str">
        <f>HYPERLINK("https://inpn.mnhn.fr/espece/cd_nom/33200","Tricholoma bufonium (Pers.) Gillet, 1874")</f>
        <v>Tricholoma bufonium (Pers.) Gillet, 1874</v>
      </c>
      <c r="V3939" s="7" t="str">
        <f>HYPERLINK("#Liste_rouge!A"&amp;_xlfn.XMATCH("LC",Liste_rouge!A:A,2,1),"LC")</f>
        <v>LC</v>
      </c>
      <c r="AH3939" s="4" t="str">
        <f>HYPERLINK("#Statut_biogéographique!A"&amp;_xlfn.XMATCH("P",Statut_biogéographique!A:A,2,1),"P")</f>
        <v>P</v>
      </c>
      <c r="AP3939" s="4" t="s">
        <v>376</v>
      </c>
      <c r="AR3939" s="4" t="s">
        <v>377</v>
      </c>
    </row>
    <row r="3940" spans="1:44" ht="30">
      <c r="A3940" s="4" t="s">
        <v>5</v>
      </c>
      <c r="B3940" s="4">
        <v>33211</v>
      </c>
      <c r="D3940" s="5" t="s">
        <v>5842</v>
      </c>
      <c r="E3940" s="6" t="str">
        <f>HYPERLINK("https://inpn.mnhn.fr/espece/cd_nom/33211","Tricholoma cingulatum (Almfelt ex Fr.) Jacobashch, 1892")</f>
        <v>Tricholoma cingulatum (Almfelt ex Fr.) Jacobashch, 1892</v>
      </c>
      <c r="F3940" s="5" t="s">
        <v>4824</v>
      </c>
      <c r="V3940" s="7" t="str">
        <f>HYPERLINK("#Liste_rouge!A"&amp;_xlfn.XMATCH("NT",Liste_rouge!A:A,2,1),"NT")</f>
        <v>NT</v>
      </c>
      <c r="W3940" s="4" t="str">
        <f>HYPERLINK("#Critères_liste_rouge!A$1","pr. A2c")</f>
        <v>pr. A2c</v>
      </c>
      <c r="AH3940" s="4" t="str">
        <f>HYPERLINK("#Statut_biogéographique!A"&amp;_xlfn.XMATCH("P",Statut_biogéographique!A:A,2,1),"P")</f>
        <v>P</v>
      </c>
      <c r="AP3940" s="4" t="s">
        <v>376</v>
      </c>
      <c r="AR3940" s="4" t="s">
        <v>377</v>
      </c>
    </row>
    <row r="3941" spans="1:44">
      <c r="A3941" s="4" t="s">
        <v>5</v>
      </c>
      <c r="B3941" s="4">
        <v>33216</v>
      </c>
      <c r="D3941" s="5" t="s">
        <v>5843</v>
      </c>
      <c r="E3941" s="6" t="str">
        <f>HYPERLINK("https://inpn.mnhn.fr/espece/cd_nom/33216","Tricholoma colossus (Fr.) Quél., 1872")</f>
        <v>Tricholoma colossus (Fr.) Quél., 1872</v>
      </c>
      <c r="V3941" s="7" t="str">
        <f>HYPERLINK("#Liste_rouge!A"&amp;_xlfn.XMATCH("EN",Liste_rouge!A:A,2,1),"EN")</f>
        <v>EN</v>
      </c>
      <c r="W3941" s="4" t="str">
        <f>HYPERLINK("#Critères_liste_rouge!A$1","B2abiii")</f>
        <v>B2abiii</v>
      </c>
      <c r="AH3941" s="4" t="str">
        <f>HYPERLINK("#Statut_biogéographique!A"&amp;_xlfn.XMATCH("P",Statut_biogéographique!A:A,2,1),"P")</f>
        <v>P</v>
      </c>
      <c r="AP3941" s="4" t="s">
        <v>376</v>
      </c>
      <c r="AR3941" s="4" t="s">
        <v>377</v>
      </c>
    </row>
    <row r="3942" spans="1:44">
      <c r="A3942" s="4" t="s">
        <v>5</v>
      </c>
      <c r="B3942" s="4">
        <v>33219</v>
      </c>
      <c r="D3942" s="5" t="s">
        <v>5844</v>
      </c>
      <c r="E3942" s="6" t="str">
        <f>HYPERLINK("https://inpn.mnhn.fr/espece/cd_nom/33219","Tricholoma columbetta (Fr.) P.Kumm., 1871")</f>
        <v>Tricholoma columbetta (Fr.) P.Kumm., 1871</v>
      </c>
      <c r="F3942" s="5" t="s">
        <v>5845</v>
      </c>
      <c r="V3942" s="7" t="str">
        <f>HYPERLINK("#Liste_rouge!A"&amp;_xlfn.XMATCH("LC",Liste_rouge!A:A,2,1),"LC")</f>
        <v>LC</v>
      </c>
      <c r="AH3942" s="4" t="str">
        <f>HYPERLINK("#Statut_biogéographique!A"&amp;_xlfn.XMATCH("P",Statut_biogéographique!A:A,2,1),"P")</f>
        <v>P</v>
      </c>
      <c r="AP3942" s="4" t="s">
        <v>376</v>
      </c>
      <c r="AR3942" s="4" t="s">
        <v>377</v>
      </c>
    </row>
    <row r="3943" spans="1:44">
      <c r="A3943" s="4" t="s">
        <v>5</v>
      </c>
      <c r="B3943" s="4">
        <v>33226</v>
      </c>
      <c r="D3943" s="5" t="s">
        <v>5846</v>
      </c>
      <c r="E3943" s="6" t="str">
        <f>HYPERLINK("https://inpn.mnhn.fr/espece/cd_nom/33226","Tricholoma coryphaeum (Fr.) Gillet, 1874")</f>
        <v>Tricholoma coryphaeum (Fr.) Gillet, 1874</v>
      </c>
      <c r="V3943" s="7" t="str">
        <f>HYPERLINK("#Liste_rouge!A"&amp;_xlfn.XMATCH("LC",Liste_rouge!A:A,2,1),"LC")</f>
        <v>LC</v>
      </c>
      <c r="AH3943" s="4" t="str">
        <f>HYPERLINK("#Statut_biogéographique!A"&amp;_xlfn.XMATCH("P",Statut_biogéographique!A:A,2,1),"P")</f>
        <v>P</v>
      </c>
      <c r="AP3943" s="4" t="s">
        <v>376</v>
      </c>
      <c r="AR3943" s="4" t="s">
        <v>377</v>
      </c>
    </row>
    <row r="3944" spans="1:44">
      <c r="A3944" s="4" t="s">
        <v>5</v>
      </c>
      <c r="B3944" s="4">
        <v>33232</v>
      </c>
      <c r="D3944" s="5" t="s">
        <v>5847</v>
      </c>
      <c r="E3944" s="6" t="str">
        <f>HYPERLINK("https://inpn.mnhn.fr/espece/cd_nom/33232","Tricholoma focale (Fr.) Ricken, 1914")</f>
        <v>Tricholoma focale (Fr.) Ricken, 1914</v>
      </c>
      <c r="V3944" s="7" t="str">
        <f>HYPERLINK("#Liste_rouge!A"&amp;_xlfn.XMATCH("EN",Liste_rouge!A:A,2,1),"EN")</f>
        <v>EN</v>
      </c>
      <c r="W3944" s="4" t="str">
        <f>HYPERLINK("#Critères_liste_rouge!A$1","B2abiii")</f>
        <v>B2abiii</v>
      </c>
      <c r="AH3944" s="4" t="str">
        <f>HYPERLINK("#Statut_biogéographique!A"&amp;_xlfn.XMATCH("P",Statut_biogéographique!A:A,2,1),"P")</f>
        <v>P</v>
      </c>
      <c r="AP3944" s="4" t="s">
        <v>376</v>
      </c>
      <c r="AR3944" s="4" t="s">
        <v>377</v>
      </c>
    </row>
    <row r="3945" spans="1:44" ht="30">
      <c r="A3945" s="4" t="s">
        <v>5</v>
      </c>
      <c r="B3945" s="4">
        <v>33240</v>
      </c>
      <c r="D3945" s="5" t="s">
        <v>5848</v>
      </c>
      <c r="E3945" s="6" t="str">
        <f>HYPERLINK("https://inpn.mnhn.fr/espece/cd_nom/33240","Tricholoma batschii Gulden ex Mort.Chr. &amp; Noordel., 1999")</f>
        <v>Tricholoma batschii Gulden ex Mort.Chr. &amp; Noordel., 1999</v>
      </c>
      <c r="V3945" s="7" t="str">
        <f>HYPERLINK("#Liste_rouge!A"&amp;_xlfn.XMATCH("LC",Liste_rouge!A:A,2,1),"LC")</f>
        <v>LC</v>
      </c>
      <c r="AH3945" s="4" t="str">
        <f>HYPERLINK("#Statut_biogéographique!A"&amp;_xlfn.XMATCH("P",Statut_biogéographique!A:A,2,1),"P")</f>
        <v>P</v>
      </c>
      <c r="AP3945" s="4" t="s">
        <v>376</v>
      </c>
      <c r="AR3945" s="4" t="s">
        <v>377</v>
      </c>
    </row>
    <row r="3946" spans="1:44">
      <c r="A3946" s="4" t="s">
        <v>5</v>
      </c>
      <c r="B3946" s="4">
        <v>33243</v>
      </c>
      <c r="D3946" s="5" t="s">
        <v>5849</v>
      </c>
      <c r="E3946" s="6" t="str">
        <f>HYPERLINK("https://inpn.mnhn.fr/espece/cd_nom/33243","Tricholoma fucatum (Fr.) P.Kumm., 1871")</f>
        <v>Tricholoma fucatum (Fr.) P.Kumm., 1871</v>
      </c>
      <c r="V3946" s="7" t="str">
        <f>HYPERLINK("#Liste_rouge!A"&amp;_xlfn.XMATCH("EN",Liste_rouge!A:A,2,1),"EN")</f>
        <v>EN</v>
      </c>
      <c r="W3946" s="4" t="str">
        <f>HYPERLINK("#Critères_liste_rouge!A$1","B2abiii")</f>
        <v>B2abiii</v>
      </c>
      <c r="AH3946" s="4" t="str">
        <f>HYPERLINK("#Statut_biogéographique!A"&amp;_xlfn.XMATCH("P",Statut_biogéographique!A:A,2,1),"P")</f>
        <v>P</v>
      </c>
      <c r="AP3946" s="4" t="s">
        <v>376</v>
      </c>
      <c r="AR3946" s="4" t="s">
        <v>377</v>
      </c>
    </row>
    <row r="3947" spans="1:44" ht="30">
      <c r="A3947" s="4" t="s">
        <v>5</v>
      </c>
      <c r="B3947" s="4">
        <v>33244</v>
      </c>
      <c r="D3947" s="5" t="s">
        <v>5850</v>
      </c>
      <c r="E3947" s="6" t="str">
        <f>HYPERLINK("https://inpn.mnhn.fr/espece/cd_nom/33244","Tricholoma fulvum (Retz.) Costantin &amp; Dufour")</f>
        <v>Tricholoma fulvum (Retz.) Costantin &amp; Dufour</v>
      </c>
      <c r="F3947" s="5" t="s">
        <v>5851</v>
      </c>
      <c r="V3947" s="7" t="str">
        <f>HYPERLINK("#Liste_rouge!A"&amp;_xlfn.XMATCH("LC",Liste_rouge!A:A,2,1),"LC")</f>
        <v>LC</v>
      </c>
      <c r="AH3947" s="4" t="str">
        <f>HYPERLINK("#Statut_biogéographique!A"&amp;_xlfn.XMATCH("P",Statut_biogéographique!A:A,2,1),"P")</f>
        <v>P</v>
      </c>
      <c r="AP3947" s="4" t="s">
        <v>376</v>
      </c>
      <c r="AR3947" s="4" t="s">
        <v>377</v>
      </c>
    </row>
    <row r="3948" spans="1:44" ht="30">
      <c r="A3948" s="4" t="s">
        <v>5</v>
      </c>
      <c r="B3948" s="4">
        <v>33249</v>
      </c>
      <c r="D3948" s="5" t="s">
        <v>5852</v>
      </c>
      <c r="E3948" s="6" t="str">
        <f>HYPERLINK("https://inpn.mnhn.fr/espece/cd_nom/33249","Tricholoma gausapatum (Fr.) Quél., 1872")</f>
        <v>Tricholoma gausapatum (Fr.) Quél., 1872</v>
      </c>
      <c r="V3948" s="7" t="str">
        <f>HYPERLINK("#Liste_rouge!A"&amp;_xlfn.XMATCH("LC",Liste_rouge!A:A,2,1),"LC")</f>
        <v>LC</v>
      </c>
      <c r="AH3948" s="4" t="str">
        <f>HYPERLINK("#Statut_biogéographique!A"&amp;_xlfn.XMATCH("P",Statut_biogéographique!A:A,2,1),"P")</f>
        <v>P</v>
      </c>
      <c r="AP3948" s="4" t="s">
        <v>376</v>
      </c>
      <c r="AR3948" s="4" t="s">
        <v>377</v>
      </c>
    </row>
    <row r="3949" spans="1:44">
      <c r="A3949" s="4" t="s">
        <v>5</v>
      </c>
      <c r="B3949" s="4">
        <v>33257</v>
      </c>
      <c r="D3949" s="5" t="s">
        <v>5853</v>
      </c>
      <c r="E3949" s="6" t="str">
        <f>HYPERLINK("https://inpn.mnhn.fr/espece/cd_nom/33257","Tricholoma hordum (Fr.) Quél., 1872")</f>
        <v>Tricholoma hordum (Fr.) Quél., 1872</v>
      </c>
      <c r="V3949" s="7" t="str">
        <f>HYPERLINK("#Liste_rouge!A"&amp;_xlfn.XMATCH("CR",Liste_rouge!A:A,2,1),"CR")</f>
        <v>CR</v>
      </c>
      <c r="W3949" s="4" t="str">
        <f>HYPERLINK("#Critères_liste_rouge!A$1","B2abiii")</f>
        <v>B2abiii</v>
      </c>
      <c r="AH3949" s="4" t="str">
        <f>HYPERLINK("#Statut_biogéographique!A"&amp;_xlfn.XMATCH("P",Statut_biogéographique!A:A,2,1),"P")</f>
        <v>P</v>
      </c>
      <c r="AP3949" s="4" t="s">
        <v>376</v>
      </c>
      <c r="AR3949" s="4" t="s">
        <v>377</v>
      </c>
    </row>
    <row r="3950" spans="1:44">
      <c r="A3950" s="4" t="s">
        <v>5</v>
      </c>
      <c r="B3950" s="4">
        <v>33259</v>
      </c>
      <c r="D3950" s="5" t="s">
        <v>5854</v>
      </c>
      <c r="E3950" s="6" t="str">
        <f>HYPERLINK("https://inpn.mnhn.fr/espece/cd_nom/33259","Tricholoma imbricatum (Fr.) P.Kumm., 1871")</f>
        <v>Tricholoma imbricatum (Fr.) P.Kumm., 1871</v>
      </c>
      <c r="F3950" s="5" t="s">
        <v>2472</v>
      </c>
      <c r="V3950" s="7" t="str">
        <f>HYPERLINK("#Liste_rouge!A"&amp;_xlfn.XMATCH("LC",Liste_rouge!A:A,2,1),"LC")</f>
        <v>LC</v>
      </c>
      <c r="AH3950" s="4" t="str">
        <f>HYPERLINK("#Statut_biogéographique!A"&amp;_xlfn.XMATCH("P",Statut_biogéographique!A:A,2,1),"P")</f>
        <v>P</v>
      </c>
      <c r="AP3950" s="4" t="s">
        <v>376</v>
      </c>
      <c r="AR3950" s="4" t="s">
        <v>377</v>
      </c>
    </row>
    <row r="3951" spans="1:44">
      <c r="A3951" s="4" t="s">
        <v>5</v>
      </c>
      <c r="B3951" s="4">
        <v>33267</v>
      </c>
      <c r="D3951" s="5" t="s">
        <v>5855</v>
      </c>
      <c r="E3951" s="6" t="str">
        <f>HYPERLINK("https://inpn.mnhn.fr/espece/cd_nom/33267","Tricholoma inamoenum (Fr.) Gillet, 1874")</f>
        <v>Tricholoma inamoenum (Fr.) Gillet, 1874</v>
      </c>
      <c r="V3951" s="7" t="str">
        <f>HYPERLINK("#Liste_rouge!A"&amp;_xlfn.XMATCH("LC",Liste_rouge!A:A,2,1),"LC")</f>
        <v>LC</v>
      </c>
      <c r="AH3951" s="4" t="str">
        <f>HYPERLINK("#Statut_biogéographique!A"&amp;_xlfn.XMATCH("P",Statut_biogéographique!A:A,2,1),"P")</f>
        <v>P</v>
      </c>
      <c r="AP3951" s="4" t="s">
        <v>376</v>
      </c>
      <c r="AR3951" s="4" t="s">
        <v>377</v>
      </c>
    </row>
    <row r="3952" spans="1:44">
      <c r="A3952" s="4" t="s">
        <v>5</v>
      </c>
      <c r="B3952" s="4">
        <v>33280</v>
      </c>
      <c r="D3952" s="5" t="s">
        <v>5856</v>
      </c>
      <c r="E3952" s="6" t="str">
        <f>HYPERLINK("https://inpn.mnhn.fr/espece/cd_nom/33280","Tricholoma lascivum (Fr.) Gillet, 1874")</f>
        <v>Tricholoma lascivum (Fr.) Gillet, 1874</v>
      </c>
      <c r="V3952" s="7" t="str">
        <f>HYPERLINK("#Liste_rouge!A"&amp;_xlfn.XMATCH("LC",Liste_rouge!A:A,2,1),"LC")</f>
        <v>LC</v>
      </c>
      <c r="AH3952" s="4" t="str">
        <f>HYPERLINK("#Statut_biogéographique!A"&amp;_xlfn.XMATCH("P",Statut_biogéographique!A:A,2,1),"P")</f>
        <v>P</v>
      </c>
      <c r="AP3952" s="4" t="s">
        <v>376</v>
      </c>
      <c r="AR3952" s="4" t="s">
        <v>377</v>
      </c>
    </row>
    <row r="3953" spans="1:44">
      <c r="A3953" s="4" t="s">
        <v>5</v>
      </c>
      <c r="B3953" s="4">
        <v>33284</v>
      </c>
      <c r="D3953" s="5" t="s">
        <v>5857</v>
      </c>
      <c r="E3953" s="6" t="str">
        <f>HYPERLINK("https://inpn.mnhn.fr/espece/cd_nom/33284","Tricholoma luridum (Schaeff.) P.Kumm., 1871")</f>
        <v>Tricholoma luridum (Schaeff.) P.Kumm., 1871</v>
      </c>
      <c r="V3953" s="7" t="str">
        <f>HYPERLINK("#Liste_rouge!A"&amp;_xlfn.XMATCH("LC",Liste_rouge!A:A,2,1),"LC")</f>
        <v>LC</v>
      </c>
      <c r="AH3953" s="4" t="str">
        <f>HYPERLINK("#Statut_biogéographique!A"&amp;_xlfn.XMATCH("P",Statut_biogéographique!A:A,2,1),"P")</f>
        <v>P</v>
      </c>
      <c r="AP3953" s="4" t="s">
        <v>376</v>
      </c>
      <c r="AR3953" s="4" t="s">
        <v>377</v>
      </c>
    </row>
    <row r="3954" spans="1:44">
      <c r="A3954" s="4" t="s">
        <v>5</v>
      </c>
      <c r="B3954" s="4">
        <v>33292</v>
      </c>
      <c r="D3954" s="5" t="s">
        <v>5858</v>
      </c>
      <c r="E3954" s="6" t="str">
        <f>HYPERLINK("https://inpn.mnhn.fr/espece/cd_nom/33292","Tricholoma myomyces (Pers.) J.E.Lange, 1933")</f>
        <v>Tricholoma myomyces (Pers.) J.E.Lange, 1933</v>
      </c>
      <c r="V3954" s="7" t="str">
        <f>HYPERLINK("#Liste_rouge!A"&amp;_xlfn.XMATCH("LC",Liste_rouge!A:A,2,1),"LC")</f>
        <v>LC</v>
      </c>
      <c r="AH3954" s="4" t="str">
        <f>HYPERLINK("#Statut_biogéographique!A"&amp;_xlfn.XMATCH("P",Statut_biogéographique!A:A,2,1),"P")</f>
        <v>P</v>
      </c>
      <c r="AP3954" s="4" t="s">
        <v>376</v>
      </c>
      <c r="AR3954" s="4" t="s">
        <v>377</v>
      </c>
    </row>
    <row r="3955" spans="1:44">
      <c r="A3955" s="4" t="s">
        <v>5</v>
      </c>
      <c r="B3955" s="4">
        <v>33300</v>
      </c>
      <c r="D3955" s="5" t="s">
        <v>5859</v>
      </c>
      <c r="E3955" s="6" t="str">
        <f>HYPERLINK("https://inpn.mnhn.fr/espece/cd_nom/33300","Tricholoma orirubens Quél., 1872")</f>
        <v>Tricholoma orirubens Quél., 1872</v>
      </c>
      <c r="V3955" s="7" t="str">
        <f>HYPERLINK("#Liste_rouge!A"&amp;_xlfn.XMATCH("LC",Liste_rouge!A:A,2,1),"LC")</f>
        <v>LC</v>
      </c>
      <c r="AH3955" s="4" t="str">
        <f>HYPERLINK("#Statut_biogéographique!A"&amp;_xlfn.XMATCH("P",Statut_biogéographique!A:A,2,1),"P")</f>
        <v>P</v>
      </c>
      <c r="AP3955" s="4" t="s">
        <v>376</v>
      </c>
      <c r="AR3955" s="4" t="s">
        <v>377</v>
      </c>
    </row>
    <row r="3956" spans="1:44" ht="45">
      <c r="A3956" s="4" t="s">
        <v>5</v>
      </c>
      <c r="B3956" s="4">
        <v>33303</v>
      </c>
      <c r="D3956" s="5" t="s">
        <v>5860</v>
      </c>
      <c r="E3956" s="6" t="str">
        <f>HYPERLINK("https://inpn.mnhn.fr/espece/cd_nom/33303","Tricholoma pardinum (Pers.) Quél., 1873")</f>
        <v>Tricholoma pardinum (Pers.) Quél., 1873</v>
      </c>
      <c r="F3956" s="5" t="s">
        <v>5861</v>
      </c>
      <c r="V3956" s="7" t="str">
        <f>HYPERLINK("#Liste_rouge!A"&amp;_xlfn.XMATCH("LC",Liste_rouge!A:A,2,1),"LC")</f>
        <v>LC</v>
      </c>
      <c r="AH3956" s="4" t="str">
        <f>HYPERLINK("#Statut_biogéographique!A"&amp;_xlfn.XMATCH("P",Statut_biogéographique!A:A,2,1),"P")</f>
        <v>P</v>
      </c>
      <c r="AP3956" s="4" t="s">
        <v>376</v>
      </c>
      <c r="AR3956" s="4" t="s">
        <v>377</v>
      </c>
    </row>
    <row r="3957" spans="1:44">
      <c r="A3957" s="4" t="s">
        <v>5</v>
      </c>
      <c r="B3957" s="4">
        <v>33309</v>
      </c>
      <c r="D3957" s="5" t="s">
        <v>5862</v>
      </c>
      <c r="E3957" s="6" t="str">
        <f>HYPERLINK("https://inpn.mnhn.fr/espece/cd_nom/33309","Tricholoma pessundatum (Fr.) Quél., 1872")</f>
        <v>Tricholoma pessundatum (Fr.) Quél., 1872</v>
      </c>
      <c r="V3957" s="7" t="str">
        <f>HYPERLINK("#Liste_rouge!A"&amp;_xlfn.XMATCH("NT",Liste_rouge!A:A,2,1),"NT")</f>
        <v>NT</v>
      </c>
      <c r="W3957" s="4" t="str">
        <f>HYPERLINK("#Critères_liste_rouge!A$1","pr. B2abiii")</f>
        <v>pr. B2abiii</v>
      </c>
      <c r="AH3957" s="4" t="str">
        <f>HYPERLINK("#Statut_biogéographique!A"&amp;_xlfn.XMATCH("P",Statut_biogéographique!A:A,2,1),"P")</f>
        <v>P</v>
      </c>
      <c r="AP3957" s="4" t="s">
        <v>376</v>
      </c>
      <c r="AR3957" s="4" t="s">
        <v>377</v>
      </c>
    </row>
    <row r="3958" spans="1:44">
      <c r="A3958" s="4" t="s">
        <v>5</v>
      </c>
      <c r="B3958" s="4">
        <v>33312</v>
      </c>
      <c r="D3958" s="5" t="s">
        <v>5863</v>
      </c>
      <c r="E3958" s="6" t="str">
        <f>HYPERLINK("https://inpn.mnhn.fr/espece/cd_nom/33312","Tricholoma populinum J.E.Lange, 1933")</f>
        <v>Tricholoma populinum J.E.Lange, 1933</v>
      </c>
      <c r="F3958" s="5" t="s">
        <v>5864</v>
      </c>
      <c r="V3958" s="7" t="str">
        <f>HYPERLINK("#Liste_rouge!A"&amp;_xlfn.XMATCH("LC",Liste_rouge!A:A,2,1),"LC")</f>
        <v>LC</v>
      </c>
      <c r="AH3958" s="4" t="str">
        <f>HYPERLINK("#Statut_biogéographique!A"&amp;_xlfn.XMATCH("P",Statut_biogéographique!A:A,2,1),"P")</f>
        <v>P</v>
      </c>
      <c r="AP3958" s="4" t="s">
        <v>376</v>
      </c>
      <c r="AR3958" s="4" t="s">
        <v>377</v>
      </c>
    </row>
    <row r="3959" spans="1:44" ht="30">
      <c r="A3959" s="4" t="s">
        <v>5</v>
      </c>
      <c r="B3959" s="4">
        <v>33315</v>
      </c>
      <c r="D3959" s="5" t="s">
        <v>5865</v>
      </c>
      <c r="E3959" s="6" t="str">
        <f>HYPERLINK("https://inpn.mnhn.fr/espece/cd_nom/33315","Tricholoma populinum f. campestre (Fr.) Bon, 1976")</f>
        <v>Tricholoma populinum f. campestre (Fr.) Bon, 1976</v>
      </c>
      <c r="AH3959" s="4" t="str">
        <f>HYPERLINK("#Statut_biogéographique!A"&amp;_xlfn.XMATCH("P",Statut_biogéographique!A:A,2,1),"P")</f>
        <v>P</v>
      </c>
      <c r="AP3959" s="4" t="s">
        <v>376</v>
      </c>
      <c r="AR3959" s="4" t="s">
        <v>377</v>
      </c>
    </row>
    <row r="3960" spans="1:44">
      <c r="A3960" s="4" t="s">
        <v>5</v>
      </c>
      <c r="B3960" s="4">
        <v>33316</v>
      </c>
      <c r="D3960" s="5" t="s">
        <v>5866</v>
      </c>
      <c r="E3960" s="6" t="str">
        <f>HYPERLINK("https://inpn.mnhn.fr/espece/cd_nom/33316","Tricholoma portentosum (Fr.) Quél., 1873")</f>
        <v>Tricholoma portentosum (Fr.) Quél., 1873</v>
      </c>
      <c r="F3960" s="5" t="s">
        <v>5867</v>
      </c>
      <c r="V3960" s="7" t="str">
        <f>HYPERLINK("#Liste_rouge!A"&amp;_xlfn.XMATCH("LC",Liste_rouge!A:A,2,1),"LC")</f>
        <v>LC</v>
      </c>
      <c r="AH3960" s="4" t="str">
        <f>HYPERLINK("#Statut_biogéographique!A"&amp;_xlfn.XMATCH("P",Statut_biogéographique!A:A,2,1),"P")</f>
        <v>P</v>
      </c>
      <c r="AP3960" s="4" t="s">
        <v>376</v>
      </c>
      <c r="AR3960" s="4" t="s">
        <v>377</v>
      </c>
    </row>
    <row r="3961" spans="1:44" ht="30">
      <c r="A3961" s="4" t="s">
        <v>5</v>
      </c>
      <c r="B3961" s="4">
        <v>33323</v>
      </c>
      <c r="D3961" s="5" t="s">
        <v>5868</v>
      </c>
      <c r="E3961" s="6" t="str">
        <f>HYPERLINK("https://inpn.mnhn.fr/espece/cd_nom/33323","Tricholoma psammopus (Kalchbr.) Quél., 1875")</f>
        <v>Tricholoma psammopus (Kalchbr.) Quél., 1875</v>
      </c>
      <c r="V3961" s="7" t="str">
        <f>HYPERLINK("#Liste_rouge!A"&amp;_xlfn.XMATCH("NT",Liste_rouge!A:A,2,1),"NT")</f>
        <v>NT</v>
      </c>
      <c r="W3961" s="4" t="str">
        <f>HYPERLINK("#Critères_liste_rouge!A$1","pr. B2abiii")</f>
        <v>pr. B2abiii</v>
      </c>
      <c r="AH3961" s="4" t="str">
        <f>HYPERLINK("#Statut_biogéographique!A"&amp;_xlfn.XMATCH("P",Statut_biogéographique!A:A,2,1),"P")</f>
        <v>P</v>
      </c>
      <c r="AP3961" s="4" t="s">
        <v>376</v>
      </c>
      <c r="AR3961" s="4" t="s">
        <v>377</v>
      </c>
    </row>
    <row r="3962" spans="1:44" ht="30">
      <c r="A3962" s="4" t="s">
        <v>5</v>
      </c>
      <c r="B3962" s="4">
        <v>33331</v>
      </c>
      <c r="D3962" s="5" t="s">
        <v>5869</v>
      </c>
      <c r="E3962" s="6" t="str">
        <f>HYPERLINK("https://inpn.mnhn.fr/espece/cd_nom/33331","Tricholoma stiparophyllum (N.Lund) P.Karst., 1879")</f>
        <v>Tricholoma stiparophyllum (N.Lund) P.Karst., 1879</v>
      </c>
      <c r="V3962" s="7" t="str">
        <f>HYPERLINK("#Liste_rouge!A"&amp;_xlfn.XMATCH("LC",Liste_rouge!A:A,2,1),"LC")</f>
        <v>LC</v>
      </c>
      <c r="AH3962" s="4" t="str">
        <f>HYPERLINK("#Statut_biogéographique!A"&amp;_xlfn.XMATCH("P",Statut_biogéographique!A:A,2,1),"P")</f>
        <v>P</v>
      </c>
      <c r="AP3962" s="4" t="s">
        <v>376</v>
      </c>
      <c r="AR3962" s="4" t="s">
        <v>377</v>
      </c>
    </row>
    <row r="3963" spans="1:44">
      <c r="A3963" s="4" t="s">
        <v>5</v>
      </c>
      <c r="B3963" s="4">
        <v>33335</v>
      </c>
      <c r="D3963" s="5" t="s">
        <v>5870</v>
      </c>
      <c r="E3963" s="6" t="str">
        <f>HYPERLINK("https://inpn.mnhn.fr/espece/cd_nom/33335","Tricholoma pseudonictitans Bon, 1983")</f>
        <v>Tricholoma pseudonictitans Bon, 1983</v>
      </c>
      <c r="V3963" s="7" t="str">
        <f>HYPERLINK("#Liste_rouge!A"&amp;_xlfn.XMATCH("LC",Liste_rouge!A:A,2,1),"LC")</f>
        <v>LC</v>
      </c>
      <c r="AH3963" s="4" t="str">
        <f>HYPERLINK("#Statut_biogéographique!A"&amp;_xlfn.XMATCH("P",Statut_biogéographique!A:A,2,1),"P")</f>
        <v>P</v>
      </c>
      <c r="AP3963" s="4" t="s">
        <v>376</v>
      </c>
      <c r="AR3963" s="4" t="s">
        <v>377</v>
      </c>
    </row>
    <row r="3964" spans="1:44" ht="30">
      <c r="A3964" s="4" t="s">
        <v>5</v>
      </c>
      <c r="B3964" s="4">
        <v>33339</v>
      </c>
      <c r="D3964" s="5" t="s">
        <v>5871</v>
      </c>
      <c r="E3964" s="6" t="str">
        <f>HYPERLINK("https://inpn.mnhn.fr/espece/cd_nom/33339","Tricholoma ramentaceum (Bull. ex Pers.) Ricken, 1915")</f>
        <v>Tricholoma ramentaceum (Bull. ex Pers.) Ricken, 1915</v>
      </c>
      <c r="V3964" s="7" t="str">
        <f>HYPERLINK("#Liste_rouge!A"&amp;_xlfn.XMATCH("LC",Liste_rouge!A:A,2,1),"LC")</f>
        <v>LC</v>
      </c>
      <c r="AH3964" s="4" t="str">
        <f>HYPERLINK("#Statut_biogéographique!A"&amp;_xlfn.XMATCH("P",Statut_biogéographique!A:A,2,1),"P")</f>
        <v>P</v>
      </c>
      <c r="AP3964" s="4" t="s">
        <v>376</v>
      </c>
      <c r="AR3964" s="4" t="s">
        <v>377</v>
      </c>
    </row>
    <row r="3965" spans="1:44">
      <c r="A3965" s="4" t="s">
        <v>5</v>
      </c>
      <c r="B3965" s="4">
        <v>33349</v>
      </c>
      <c r="D3965" s="5" t="s">
        <v>5872</v>
      </c>
      <c r="E3965" s="6" t="str">
        <f>HYPERLINK("https://inpn.mnhn.fr/espece/cd_nom/33349","Tricholoma saponaceum (Fr.) P.Kumm., 1871")</f>
        <v>Tricholoma saponaceum (Fr.) P.Kumm., 1871</v>
      </c>
      <c r="F3965" s="5" t="s">
        <v>3831</v>
      </c>
      <c r="V3965" s="7" t="str">
        <f>HYPERLINK("#Liste_rouge!A"&amp;_xlfn.XMATCH("LC",Liste_rouge!A:A,2,1),"LC")</f>
        <v>LC</v>
      </c>
      <c r="AH3965" s="4" t="str">
        <f>HYPERLINK("#Statut_biogéographique!A"&amp;_xlfn.XMATCH("P",Statut_biogéographique!A:A,2,1),"P")</f>
        <v>P</v>
      </c>
      <c r="AP3965" s="4" t="s">
        <v>376</v>
      </c>
      <c r="AR3965" s="4" t="s">
        <v>377</v>
      </c>
    </row>
    <row r="3966" spans="1:44" ht="30">
      <c r="A3966" s="4" t="s">
        <v>5</v>
      </c>
      <c r="B3966" s="4">
        <v>33352</v>
      </c>
      <c r="D3966" s="5" t="s">
        <v>5873</v>
      </c>
      <c r="E3966" s="6" t="str">
        <f>HYPERLINK("https://inpn.mnhn.fr/espece/cd_nom/33352","Tricholoma saponaceum var. atrovirens (Pers.) P.Karst., 1879")</f>
        <v>Tricholoma saponaceum var. atrovirens (Pers.) P.Karst., 1879</v>
      </c>
      <c r="AH3966" s="4" t="str">
        <f>HYPERLINK("#Statut_biogéographique!A"&amp;_xlfn.XMATCH("P",Statut_biogéographique!A:A,2,1),"P")</f>
        <v>P</v>
      </c>
      <c r="AP3966" s="4" t="s">
        <v>376</v>
      </c>
      <c r="AR3966" s="4" t="s">
        <v>377</v>
      </c>
    </row>
    <row r="3967" spans="1:44" ht="30">
      <c r="A3967" s="4" t="s">
        <v>5</v>
      </c>
      <c r="B3967" s="4">
        <v>33362</v>
      </c>
      <c r="D3967" s="5" t="s">
        <v>5874</v>
      </c>
      <c r="E3967" s="6" t="str">
        <f>HYPERLINK("https://inpn.mnhn.fr/espece/cd_nom/33362","Tricholoma scalpturatum (Fr.) Quél., 1872")</f>
        <v>Tricholoma scalpturatum (Fr.) Quél., 1872</v>
      </c>
      <c r="F3967" s="5" t="s">
        <v>5875</v>
      </c>
      <c r="V3967" s="7" t="str">
        <f>HYPERLINK("#Liste_rouge!A"&amp;_xlfn.XMATCH("LC",Liste_rouge!A:A,2,1),"LC")</f>
        <v>LC</v>
      </c>
      <c r="AH3967" s="4" t="str">
        <f>HYPERLINK("#Statut_biogéographique!A"&amp;_xlfn.XMATCH("P",Statut_biogéographique!A:A,2,1),"P")</f>
        <v>P</v>
      </c>
      <c r="AP3967" s="4" t="s">
        <v>376</v>
      </c>
      <c r="AR3967" s="4" t="s">
        <v>377</v>
      </c>
    </row>
    <row r="3968" spans="1:44">
      <c r="A3968" s="4" t="s">
        <v>5</v>
      </c>
      <c r="B3968" s="4">
        <v>33366</v>
      </c>
      <c r="D3968" s="5" t="s">
        <v>5876</v>
      </c>
      <c r="E3968" s="6" t="str">
        <f>HYPERLINK("https://inpn.mnhn.fr/espece/cd_nom/33366","Tricholoma sciodes (Pers.) C.Martín, 1919")</f>
        <v>Tricholoma sciodes (Pers.) C.Martín, 1919</v>
      </c>
      <c r="V3968" s="7" t="str">
        <f>HYPERLINK("#Liste_rouge!A"&amp;_xlfn.XMATCH("LC",Liste_rouge!A:A,2,1),"LC")</f>
        <v>LC</v>
      </c>
      <c r="AH3968" s="4" t="str">
        <f>HYPERLINK("#Statut_biogéographique!A"&amp;_xlfn.XMATCH("P",Statut_biogéographique!A:A,2,1),"P")</f>
        <v>P</v>
      </c>
      <c r="AP3968" s="4" t="s">
        <v>376</v>
      </c>
      <c r="AR3968" s="4" t="s">
        <v>377</v>
      </c>
    </row>
    <row r="3969" spans="1:44">
      <c r="A3969" s="4" t="s">
        <v>5</v>
      </c>
      <c r="B3969" s="4">
        <v>33369</v>
      </c>
      <c r="D3969" s="5">
        <v>33369</v>
      </c>
      <c r="E3969" s="6" t="str">
        <f>HYPERLINK("https://inpn.mnhn.fr/espece/cd_nom/33369","Tricholoma sejunctoides P.D.Orton, 1987")</f>
        <v>Tricholoma sejunctoides P.D.Orton, 1987</v>
      </c>
      <c r="V3969" s="7" t="str">
        <f>HYPERLINK("#Liste_rouge!A"&amp;_xlfn.XMATCH("EN",Liste_rouge!A:A,2,1),"EN")</f>
        <v>EN</v>
      </c>
      <c r="W3969" s="4" t="str">
        <f>HYPERLINK("#Critères_liste_rouge!A$1","B2abiii")</f>
        <v>B2abiii</v>
      </c>
      <c r="AH3969" s="4" t="str">
        <f>HYPERLINK("#Statut_biogéographique!A"&amp;_xlfn.XMATCH("P",Statut_biogéographique!A:A,2,1),"P")</f>
        <v>P</v>
      </c>
      <c r="AP3969" s="4" t="s">
        <v>376</v>
      </c>
      <c r="AR3969" s="4" t="s">
        <v>377</v>
      </c>
    </row>
    <row r="3970" spans="1:44" ht="30">
      <c r="A3970" s="4" t="s">
        <v>5</v>
      </c>
      <c r="B3970" s="4">
        <v>33374</v>
      </c>
      <c r="D3970" s="5">
        <v>33374</v>
      </c>
      <c r="E3970" s="6" t="str">
        <f>HYPERLINK("https://inpn.mnhn.fr/espece/cd_nom/33374","Tricholoma sejunctum var. coniferarum Bon, 1976")</f>
        <v>Tricholoma sejunctum var. coniferarum Bon, 1976</v>
      </c>
      <c r="V3970" s="7" t="str">
        <f>HYPERLINK("#Liste_rouge!A"&amp;_xlfn.XMATCH("LC",Liste_rouge!A:A,2,1),"LC")</f>
        <v>LC</v>
      </c>
      <c r="AH3970" s="4" t="str">
        <f>HYPERLINK("#Statut_biogéographique!A"&amp;_xlfn.XMATCH("P",Statut_biogéographique!A:A,2,1),"P")</f>
        <v>P</v>
      </c>
      <c r="AP3970" s="4" t="s">
        <v>376</v>
      </c>
      <c r="AR3970" s="4" t="s">
        <v>377</v>
      </c>
    </row>
    <row r="3971" spans="1:44" ht="30">
      <c r="A3971" s="4" t="s">
        <v>5</v>
      </c>
      <c r="B3971" s="4">
        <v>33376</v>
      </c>
      <c r="D3971" s="5">
        <v>33376</v>
      </c>
      <c r="E3971" s="6" t="str">
        <f>HYPERLINK("https://inpn.mnhn.fr/espece/cd_nom/33376","Tricholoma sejunctum var. fagetorum Bon &amp; Boutev., 1976")</f>
        <v>Tricholoma sejunctum var. fagetorum Bon &amp; Boutev., 1976</v>
      </c>
      <c r="V3971" s="7" t="str">
        <f>HYPERLINK("#Liste_rouge!A"&amp;_xlfn.XMATCH("LC",Liste_rouge!A:A,2,1),"LC")</f>
        <v>LC</v>
      </c>
      <c r="AH3971" s="4" t="str">
        <f>HYPERLINK("#Statut_biogéographique!A"&amp;_xlfn.XMATCH("P",Statut_biogéographique!A:A,2,1),"P")</f>
        <v>P</v>
      </c>
      <c r="AP3971" s="4" t="s">
        <v>376</v>
      </c>
      <c r="AR3971" s="4" t="s">
        <v>377</v>
      </c>
    </row>
    <row r="3972" spans="1:44">
      <c r="A3972" s="4" t="s">
        <v>5</v>
      </c>
      <c r="B3972" s="4">
        <v>33380</v>
      </c>
      <c r="D3972" s="5" t="s">
        <v>5877</v>
      </c>
      <c r="E3972" s="6" t="str">
        <f>HYPERLINK("https://inpn.mnhn.fr/espece/cd_nom/33380","Tricholoma squarrulosum Bres., 1892")</f>
        <v>Tricholoma squarrulosum Bres., 1892</v>
      </c>
      <c r="V3972" s="7" t="str">
        <f>HYPERLINK("#Liste_rouge!A"&amp;_xlfn.XMATCH("LC",Liste_rouge!A:A,2,1),"LC")</f>
        <v>LC</v>
      </c>
      <c r="AH3972" s="4" t="str">
        <f>HYPERLINK("#Statut_biogéographique!A"&amp;_xlfn.XMATCH("P",Statut_biogéographique!A:A,2,1),"P")</f>
        <v>P</v>
      </c>
      <c r="AP3972" s="4" t="s">
        <v>376</v>
      </c>
      <c r="AR3972" s="4" t="s">
        <v>377</v>
      </c>
    </row>
    <row r="3973" spans="1:44" ht="30">
      <c r="A3973" s="4" t="s">
        <v>5</v>
      </c>
      <c r="B3973" s="4">
        <v>33387</v>
      </c>
      <c r="D3973" s="5" t="s">
        <v>5878</v>
      </c>
      <c r="E3973" s="6" t="str">
        <f>HYPERLINK("https://inpn.mnhn.fr/espece/cd_nom/33387","Tricholoma albobrunneum (Pers.) P.Kumm., 1871")</f>
        <v>Tricholoma albobrunneum (Pers.) P.Kumm., 1871</v>
      </c>
      <c r="V3973" s="7" t="str">
        <f>HYPERLINK("#Liste_rouge!A"&amp;_xlfn.XMATCH("RE",Liste_rouge!A:A,2,1),"RE")</f>
        <v>RE</v>
      </c>
      <c r="AH3973" s="4" t="str">
        <f>HYPERLINK("#Statut_biogéographique!A"&amp;_xlfn.XMATCH("P",Statut_biogéographique!A:A,2,1),"P")</f>
        <v>P</v>
      </c>
      <c r="AP3973" s="4" t="s">
        <v>376</v>
      </c>
      <c r="AR3973" s="4" t="s">
        <v>377</v>
      </c>
    </row>
    <row r="3974" spans="1:44">
      <c r="A3974" s="4" t="s">
        <v>5</v>
      </c>
      <c r="B3974" s="4">
        <v>33390</v>
      </c>
      <c r="D3974" s="5" t="s">
        <v>5879</v>
      </c>
      <c r="E3974" s="6" t="str">
        <f>HYPERLINK("https://inpn.mnhn.fr/espece/cd_nom/33390","Tricholoma sudum (Fr.) Quél., 1873")</f>
        <v>Tricholoma sudum (Fr.) Quél., 1873</v>
      </c>
      <c r="V3974" s="7" t="str">
        <f>HYPERLINK("#Liste_rouge!A"&amp;_xlfn.XMATCH("EN",Liste_rouge!A:A,2,1),"EN")</f>
        <v>EN</v>
      </c>
      <c r="W3974" s="4" t="str">
        <f>HYPERLINK("#Critères_liste_rouge!A$1","B2abiii")</f>
        <v>B2abiii</v>
      </c>
      <c r="AH3974" s="4" t="str">
        <f>HYPERLINK("#Statut_biogéographique!A"&amp;_xlfn.XMATCH("P",Statut_biogéographique!A:A,2,1),"P")</f>
        <v>P</v>
      </c>
      <c r="AP3974" s="4" t="s">
        <v>376</v>
      </c>
      <c r="AR3974" s="4" t="s">
        <v>377</v>
      </c>
    </row>
    <row r="3975" spans="1:44" ht="30">
      <c r="A3975" s="4" t="s">
        <v>5</v>
      </c>
      <c r="B3975" s="4">
        <v>33401</v>
      </c>
      <c r="D3975" s="5" t="s">
        <v>5880</v>
      </c>
      <c r="E3975" s="6" t="str">
        <f>HYPERLINK("https://inpn.mnhn.fr/espece/cd_nom/33401","Tricholoma terreum (Schaeff.) P.Kumm., 1871")</f>
        <v>Tricholoma terreum (Schaeff.) P.Kumm., 1871</v>
      </c>
      <c r="F3975" s="5" t="s">
        <v>5881</v>
      </c>
      <c r="V3975" s="7" t="str">
        <f>HYPERLINK("#Liste_rouge!A"&amp;_xlfn.XMATCH("LC",Liste_rouge!A:A,2,1),"LC")</f>
        <v>LC</v>
      </c>
      <c r="AH3975" s="4" t="str">
        <f>HYPERLINK("#Statut_biogéographique!A"&amp;_xlfn.XMATCH("P",Statut_biogéographique!A:A,2,1),"P")</f>
        <v>P</v>
      </c>
      <c r="AP3975" s="4" t="s">
        <v>376</v>
      </c>
      <c r="AR3975" s="4" t="s">
        <v>377</v>
      </c>
    </row>
    <row r="3976" spans="1:44">
      <c r="A3976" s="4" t="s">
        <v>5</v>
      </c>
      <c r="B3976" s="4">
        <v>33404</v>
      </c>
      <c r="D3976" s="5" t="s">
        <v>5882</v>
      </c>
      <c r="E3976" s="6" t="str">
        <f>HYPERLINK("https://inpn.mnhn.fr/espece/cd_nom/33404","Tricholoma triste (Scop.) Quél., 1872")</f>
        <v>Tricholoma triste (Scop.) Quél., 1872</v>
      </c>
      <c r="V3976" s="7" t="str">
        <f>HYPERLINK("#Liste_rouge!A"&amp;_xlfn.XMATCH("LC",Liste_rouge!A:A,2,1),"LC")</f>
        <v>LC</v>
      </c>
      <c r="AH3976" s="4" t="str">
        <f>HYPERLINK("#Statut_biogéographique!A"&amp;_xlfn.XMATCH("P",Statut_biogéographique!A:A,2,1),"P")</f>
        <v>P</v>
      </c>
      <c r="AP3976" s="4" t="s">
        <v>376</v>
      </c>
      <c r="AR3976" s="4" t="s">
        <v>377</v>
      </c>
    </row>
    <row r="3977" spans="1:44" ht="30">
      <c r="A3977" s="4" t="s">
        <v>5</v>
      </c>
      <c r="B3977" s="4">
        <v>33411</v>
      </c>
      <c r="D3977" s="5" t="s">
        <v>5883</v>
      </c>
      <c r="E3977" s="6" t="str">
        <f>HYPERLINK("https://inpn.mnhn.fr/espece/cd_nom/33411","Tricholoma umbonatum Clémençon &amp; Bon, 1985")</f>
        <v>Tricholoma umbonatum Clémençon &amp; Bon, 1985</v>
      </c>
      <c r="V3977" s="7" t="str">
        <f>HYPERLINK("#Liste_rouge!A"&amp;_xlfn.XMATCH("LC",Liste_rouge!A:A,2,1),"LC")</f>
        <v>LC</v>
      </c>
      <c r="AH3977" s="4" t="str">
        <f>HYPERLINK("#Statut_biogéographique!A"&amp;_xlfn.XMATCH("P",Statut_biogéographique!A:A,2,1),"P")</f>
        <v>P</v>
      </c>
      <c r="AP3977" s="4" t="s">
        <v>376</v>
      </c>
      <c r="AR3977" s="4" t="s">
        <v>377</v>
      </c>
    </row>
    <row r="3978" spans="1:44" ht="30">
      <c r="A3978" s="4" t="s">
        <v>5</v>
      </c>
      <c r="B3978" s="4">
        <v>33414</v>
      </c>
      <c r="D3978" s="5" t="s">
        <v>5884</v>
      </c>
      <c r="E3978" s="6" t="str">
        <f>HYPERLINK("https://inpn.mnhn.fr/espece/cd_nom/33414","Tricholoma ustale (Fr.) P.Kumm., 1871")</f>
        <v>Tricholoma ustale (Fr.) P.Kumm., 1871</v>
      </c>
      <c r="F3978" s="5" t="s">
        <v>1767</v>
      </c>
      <c r="V3978" s="7" t="str">
        <f>HYPERLINK("#Liste_rouge!A"&amp;_xlfn.XMATCH("LC",Liste_rouge!A:A,2,1),"LC")</f>
        <v>LC</v>
      </c>
      <c r="AH3978" s="4" t="str">
        <f>HYPERLINK("#Statut_biogéographique!A"&amp;_xlfn.XMATCH("P",Statut_biogéographique!A:A,2,1),"P")</f>
        <v>P</v>
      </c>
      <c r="AP3978" s="4" t="s">
        <v>376</v>
      </c>
      <c r="AR3978" s="4" t="s">
        <v>377</v>
      </c>
    </row>
    <row r="3979" spans="1:44">
      <c r="A3979" s="4" t="s">
        <v>5</v>
      </c>
      <c r="B3979" s="4">
        <v>33418</v>
      </c>
      <c r="D3979" s="5">
        <v>33418</v>
      </c>
      <c r="E3979" s="6" t="str">
        <f>HYPERLINK("https://inpn.mnhn.fr/espece/cd_nom/33418","Tricholoma ustaloides Romagn., 1954")</f>
        <v>Tricholoma ustaloides Romagn., 1954</v>
      </c>
      <c r="V3979" s="7" t="str">
        <f>HYPERLINK("#Liste_rouge!A"&amp;_xlfn.XMATCH("LC",Liste_rouge!A:A,2,1),"LC")</f>
        <v>LC</v>
      </c>
      <c r="AH3979" s="4" t="str">
        <f>HYPERLINK("#Statut_biogéographique!A"&amp;_xlfn.XMATCH("P",Statut_biogéographique!A:A,2,1),"P")</f>
        <v>P</v>
      </c>
      <c r="AP3979" s="4" t="s">
        <v>376</v>
      </c>
      <c r="AR3979" s="4" t="s">
        <v>377</v>
      </c>
    </row>
    <row r="3980" spans="1:44" ht="30">
      <c r="A3980" s="4" t="s">
        <v>5</v>
      </c>
      <c r="B3980" s="4">
        <v>33423</v>
      </c>
      <c r="D3980" s="5" t="s">
        <v>5885</v>
      </c>
      <c r="E3980" s="6" t="str">
        <f>HYPERLINK("https://inpn.mnhn.fr/espece/cd_nom/33423","Tricholoma vaccinum (Schaeff.) P.Kumm., 1871")</f>
        <v>Tricholoma vaccinum (Schaeff.) P.Kumm., 1871</v>
      </c>
      <c r="V3980" s="7" t="str">
        <f>HYPERLINK("#Liste_rouge!A"&amp;_xlfn.XMATCH("LC",Liste_rouge!A:A,2,1),"LC")</f>
        <v>LC</v>
      </c>
      <c r="AH3980" s="4" t="str">
        <f>HYPERLINK("#Statut_biogéographique!A"&amp;_xlfn.XMATCH("P",Statut_biogéographique!A:A,2,1),"P")</f>
        <v>P</v>
      </c>
      <c r="AP3980" s="4" t="s">
        <v>376</v>
      </c>
      <c r="AR3980" s="4" t="s">
        <v>377</v>
      </c>
    </row>
    <row r="3981" spans="1:44">
      <c r="A3981" s="4" t="s">
        <v>5</v>
      </c>
      <c r="B3981" s="4">
        <v>33429</v>
      </c>
      <c r="D3981" s="5" t="s">
        <v>5886</v>
      </c>
      <c r="E3981" s="6" t="str">
        <f>HYPERLINK("https://inpn.mnhn.fr/espece/cd_nom/33429","Tricholoma virgatum (Fr.) P.Kumm., 1871")</f>
        <v>Tricholoma virgatum (Fr.) P.Kumm., 1871</v>
      </c>
      <c r="F3981" s="5" t="s">
        <v>1812</v>
      </c>
      <c r="V3981" s="7" t="str">
        <f>HYPERLINK("#Liste_rouge!A"&amp;_xlfn.XMATCH("LC",Liste_rouge!A:A,2,1),"LC")</f>
        <v>LC</v>
      </c>
      <c r="AH3981" s="4" t="str">
        <f>HYPERLINK("#Statut_biogéographique!A"&amp;_xlfn.XMATCH("P",Statut_biogéographique!A:A,2,1),"P")</f>
        <v>P</v>
      </c>
      <c r="AP3981" s="4" t="s">
        <v>376</v>
      </c>
      <c r="AR3981" s="4" t="s">
        <v>377</v>
      </c>
    </row>
    <row r="3982" spans="1:44">
      <c r="A3982" s="4" t="s">
        <v>5</v>
      </c>
      <c r="B3982" s="4">
        <v>33432</v>
      </c>
      <c r="D3982" s="5">
        <v>33432</v>
      </c>
      <c r="E3982" s="6" t="str">
        <f>HYPERLINK("https://inpn.mnhn.fr/espece/cd_nom/33432","Tricholoma viridifucatum Bon, 1976")</f>
        <v>Tricholoma viridifucatum Bon, 1976</v>
      </c>
      <c r="V3982" s="7" t="str">
        <f>HYPERLINK("#Liste_rouge!A"&amp;_xlfn.XMATCH("EN",Liste_rouge!A:A,2,1),"EN")</f>
        <v>EN</v>
      </c>
      <c r="W3982" s="4" t="str">
        <f>HYPERLINK("#Critères_liste_rouge!A$1","A2c")</f>
        <v>A2c</v>
      </c>
      <c r="AH3982" s="4" t="str">
        <f>HYPERLINK("#Statut_biogéographique!A"&amp;_xlfn.XMATCH("P",Statut_biogéographique!A:A,2,1),"P")</f>
        <v>P</v>
      </c>
      <c r="AP3982" s="4" t="s">
        <v>376</v>
      </c>
      <c r="AR3982" s="4" t="s">
        <v>377</v>
      </c>
    </row>
    <row r="3983" spans="1:44">
      <c r="A3983" s="4" t="s">
        <v>5</v>
      </c>
      <c r="B3983" s="4">
        <v>33435</v>
      </c>
      <c r="D3983" s="5">
        <v>33435</v>
      </c>
      <c r="E3983" s="6" t="str">
        <f>HYPERLINK("https://inpn.mnhn.fr/espece/cd_nom/33435","Tricholoma viridilutescens M.M.Moser, 1978")</f>
        <v>Tricholoma viridilutescens M.M.Moser, 1978</v>
      </c>
      <c r="AH3983" s="4" t="str">
        <f>HYPERLINK("#Statut_biogéographique!A"&amp;_xlfn.XMATCH("P",Statut_biogéographique!A:A,2,1),"P")</f>
        <v>P</v>
      </c>
      <c r="AP3983" s="4" t="s">
        <v>376</v>
      </c>
      <c r="AR3983" s="4" t="s">
        <v>377</v>
      </c>
    </row>
    <row r="3984" spans="1:44">
      <c r="A3984" s="4" t="s">
        <v>5</v>
      </c>
      <c r="B3984" s="4">
        <v>33439</v>
      </c>
      <c r="D3984" s="5" t="s">
        <v>5887</v>
      </c>
      <c r="E3984" s="6" t="str">
        <f>HYPERLINK("https://inpn.mnhn.fr/espece/cd_nom/33439","Tricholomopsis decora (Fr.) Singer, 1939")</f>
        <v>Tricholomopsis decora (Fr.) Singer, 1939</v>
      </c>
      <c r="V3984" s="7" t="str">
        <f>HYPERLINK("#Liste_rouge!A"&amp;_xlfn.XMATCH("LC",Liste_rouge!A:A,2,1),"LC")</f>
        <v>LC</v>
      </c>
      <c r="AH3984" s="4" t="str">
        <f>HYPERLINK("#Statut_biogéographique!A"&amp;_xlfn.XMATCH("P",Statut_biogéographique!A:A,2,1),"P")</f>
        <v>P</v>
      </c>
      <c r="AP3984" s="4" t="s">
        <v>376</v>
      </c>
      <c r="AR3984" s="4" t="s">
        <v>377</v>
      </c>
    </row>
    <row r="3985" spans="1:44" ht="30">
      <c r="A3985" s="4" t="s">
        <v>5</v>
      </c>
      <c r="B3985" s="4">
        <v>33442</v>
      </c>
      <c r="D3985" s="5">
        <v>33442</v>
      </c>
      <c r="E3985" s="6" t="str">
        <f>HYPERLINK("https://inpn.mnhn.fr/espece/cd_nom/33442","Tricholomopsis flammula Métrod ex Holec, 2009")</f>
        <v>Tricholomopsis flammula Métrod ex Holec, 2009</v>
      </c>
      <c r="V3985" s="7" t="str">
        <f>HYPERLINK("#Liste_rouge!A"&amp;_xlfn.XMATCH("VU",Liste_rouge!A:A,2,1),"VU")</f>
        <v>VU</v>
      </c>
      <c r="W3985" s="4" t="str">
        <f>HYPERLINK("#Critères_liste_rouge!A$1","A2c")</f>
        <v>A2c</v>
      </c>
      <c r="AH3985" s="4" t="str">
        <f>HYPERLINK("#Statut_biogéographique!A"&amp;_xlfn.XMATCH("P",Statut_biogéographique!A:A,2,1),"P")</f>
        <v>P</v>
      </c>
      <c r="AP3985" s="4" t="s">
        <v>376</v>
      </c>
      <c r="AR3985" s="4" t="s">
        <v>377</v>
      </c>
    </row>
    <row r="3986" spans="1:44">
      <c r="A3986" s="4" t="s">
        <v>5</v>
      </c>
      <c r="B3986" s="4">
        <v>33443</v>
      </c>
      <c r="D3986" s="5" t="s">
        <v>5888</v>
      </c>
      <c r="E3986" s="6" t="str">
        <f>HYPERLINK("https://inpn.mnhn.fr/espece/cd_nom/33443","Tricholomopsis ornata (Fr.) Singer, 1943")</f>
        <v>Tricholomopsis ornata (Fr.) Singer, 1943</v>
      </c>
      <c r="V3986" s="7" t="str">
        <f>HYPERLINK("#Liste_rouge!A"&amp;_xlfn.XMATCH("VU",Liste_rouge!A:A,2,1),"VU")</f>
        <v>VU</v>
      </c>
      <c r="W3986" s="4" t="str">
        <f>HYPERLINK("#Critères_liste_rouge!A$1","A2c")</f>
        <v>A2c</v>
      </c>
      <c r="AH3986" s="4" t="str">
        <f>HYPERLINK("#Statut_biogéographique!A"&amp;_xlfn.XMATCH("P",Statut_biogéographique!A:A,2,1),"P")</f>
        <v>P</v>
      </c>
      <c r="AP3986" s="4" t="s">
        <v>376</v>
      </c>
      <c r="AR3986" s="4" t="s">
        <v>377</v>
      </c>
    </row>
    <row r="3987" spans="1:44" ht="30">
      <c r="A3987" s="4" t="s">
        <v>5</v>
      </c>
      <c r="B3987" s="4">
        <v>33446</v>
      </c>
      <c r="D3987" s="5" t="s">
        <v>5889</v>
      </c>
      <c r="E3987" s="6" t="str">
        <f>HYPERLINK("https://inpn.mnhn.fr/espece/cd_nom/33446","Tricholomopsis rutilans (Schaeff.) Singer, 1939")</f>
        <v>Tricholomopsis rutilans (Schaeff.) Singer, 1939</v>
      </c>
      <c r="F3987" s="5" t="s">
        <v>4684</v>
      </c>
      <c r="V3987" s="7" t="str">
        <f>HYPERLINK("#Liste_rouge!A"&amp;_xlfn.XMATCH("LC",Liste_rouge!A:A,2,1),"LC")</f>
        <v>LC</v>
      </c>
      <c r="AH3987" s="4" t="str">
        <f>HYPERLINK("#Statut_biogéographique!A"&amp;_xlfn.XMATCH("P",Statut_biogéographique!A:A,2,1),"P")</f>
        <v>P</v>
      </c>
      <c r="AP3987" s="4" t="s">
        <v>376</v>
      </c>
      <c r="AR3987" s="4" t="s">
        <v>377</v>
      </c>
    </row>
    <row r="3988" spans="1:44" ht="30">
      <c r="A3988" s="4" t="s">
        <v>5</v>
      </c>
      <c r="B3988" s="4">
        <v>33462</v>
      </c>
      <c r="C3988" s="4">
        <v>4559</v>
      </c>
      <c r="D3988" s="5" t="s">
        <v>5890</v>
      </c>
      <c r="E3988" s="6" t="str">
        <f>HYPERLINK("https://inpn.mnhn.fr/espece/cd_nom/33462","Entoloma albotomentosum Noordel. &amp; Hauskn., 1989")</f>
        <v>Entoloma albotomentosum Noordel. &amp; Hauskn., 1989</v>
      </c>
      <c r="F3988" s="5" t="s">
        <v>5891</v>
      </c>
      <c r="V3988" s="7" t="str">
        <f>HYPERLINK("#Liste_rouge!A"&amp;_xlfn.XMATCH("DD",Liste_rouge!A:A,2,1),"DD")</f>
        <v>DD</v>
      </c>
      <c r="AH3988" s="4" t="str">
        <f>HYPERLINK("#Statut_biogéographique!A"&amp;_xlfn.XMATCH("P",Statut_biogéographique!A:A,2,1),"P")</f>
        <v>P</v>
      </c>
      <c r="AP3988" s="4" t="s">
        <v>376</v>
      </c>
      <c r="AR3988" s="4" t="s">
        <v>377</v>
      </c>
    </row>
    <row r="3989" spans="1:44">
      <c r="A3989" s="4" t="s">
        <v>5</v>
      </c>
      <c r="B3989" s="4">
        <v>33463</v>
      </c>
      <c r="C3989" s="4">
        <v>5580</v>
      </c>
      <c r="D3989" s="5" t="s">
        <v>5892</v>
      </c>
      <c r="E3989" s="6" t="str">
        <f>HYPERLINK("https://inpn.mnhn.fr/espece/cd_nom/33463","Entoloma allochroum Noordel., 1982")</f>
        <v>Entoloma allochroum Noordel., 1982</v>
      </c>
      <c r="V3989" s="7" t="str">
        <f>HYPERLINK("#Liste_rouge!A"&amp;_xlfn.XMATCH("DD",Liste_rouge!A:A,2,1),"DD")</f>
        <v>DD</v>
      </c>
      <c r="Z3989" s="4" t="s">
        <v>447</v>
      </c>
      <c r="AA3989" s="4" t="s">
        <v>448</v>
      </c>
      <c r="AH3989" s="4" t="str">
        <f>HYPERLINK("#Statut_biogéographique!A"&amp;_xlfn.XMATCH("P",Statut_biogéographique!A:A,2,1),"P")</f>
        <v>P</v>
      </c>
      <c r="AP3989" s="4" t="s">
        <v>376</v>
      </c>
      <c r="AR3989" s="4" t="s">
        <v>377</v>
      </c>
    </row>
    <row r="3990" spans="1:44" ht="30">
      <c r="A3990" s="4" t="s">
        <v>5</v>
      </c>
      <c r="B3990" s="4">
        <v>33474</v>
      </c>
      <c r="C3990" s="4">
        <v>4166</v>
      </c>
      <c r="D3990" s="5" t="s">
        <v>5893</v>
      </c>
      <c r="E3990" s="6" t="str">
        <f>HYPERLINK("https://inpn.mnhn.fr/espece/cd_nom/33474","Entoloma ameides (Berk. &amp; Broome) Sacc., 1887")</f>
        <v>Entoloma ameides (Berk. &amp; Broome) Sacc., 1887</v>
      </c>
      <c r="F3990" s="5" t="s">
        <v>5894</v>
      </c>
      <c r="V3990" s="7" t="str">
        <f>HYPERLINK("#Liste_rouge!A"&amp;_xlfn.XMATCH("VU",Liste_rouge!A:A,2,1),"VU")</f>
        <v>VU</v>
      </c>
      <c r="W3990" s="4" t="str">
        <f>HYPERLINK("#Critères_liste_rouge!A$1","A2c")</f>
        <v>A2c</v>
      </c>
      <c r="Z3990" s="4" t="s">
        <v>447</v>
      </c>
      <c r="AA3990" s="4" t="s">
        <v>448</v>
      </c>
      <c r="AH3990" s="4" t="str">
        <f>HYPERLINK("#Statut_biogéographique!A"&amp;_xlfn.XMATCH("P",Statut_biogéographique!A:A,2,1),"P")</f>
        <v>P</v>
      </c>
      <c r="AP3990" s="4" t="s">
        <v>376</v>
      </c>
      <c r="AR3990" s="4" t="s">
        <v>377</v>
      </c>
    </row>
    <row r="3991" spans="1:44">
      <c r="A3991" s="4" t="s">
        <v>5</v>
      </c>
      <c r="B3991" s="4">
        <v>33478</v>
      </c>
      <c r="C3991" s="4">
        <v>5732</v>
      </c>
      <c r="D3991" s="5" t="s">
        <v>5895</v>
      </c>
      <c r="E3991" s="6" t="str">
        <f>HYPERLINK("https://inpn.mnhn.fr/espece/cd_nom/33478","Entoloma anatinum (Lasch) Donk, 1949")</f>
        <v>Entoloma anatinum (Lasch) Donk, 1949</v>
      </c>
      <c r="Z3991" s="4" t="s">
        <v>447</v>
      </c>
      <c r="AA3991" s="4" t="s">
        <v>448</v>
      </c>
      <c r="AH3991" s="4" t="str">
        <f>HYPERLINK("#Statut_biogéographique!A"&amp;_xlfn.XMATCH("P",Statut_biogéographique!A:A,2,1),"P")</f>
        <v>P</v>
      </c>
      <c r="AP3991" s="4" t="s">
        <v>376</v>
      </c>
      <c r="AR3991" s="4" t="s">
        <v>377</v>
      </c>
    </row>
    <row r="3992" spans="1:44">
      <c r="A3992" s="4" t="s">
        <v>5</v>
      </c>
      <c r="B3992" s="4">
        <v>33484</v>
      </c>
      <c r="C3992" s="4">
        <v>346</v>
      </c>
      <c r="D3992" s="5" t="s">
        <v>5896</v>
      </c>
      <c r="E3992" s="6" t="str">
        <f>HYPERLINK("https://inpn.mnhn.fr/espece/cd_nom/33484","Entoloma aprile (Britzelm.) Sacc., 1887")</f>
        <v>Entoloma aprile (Britzelm.) Sacc., 1887</v>
      </c>
      <c r="F3992" s="5" t="s">
        <v>5897</v>
      </c>
      <c r="V3992" s="7" t="str">
        <f>HYPERLINK("#Liste_rouge!A"&amp;_xlfn.XMATCH("EN",Liste_rouge!A:A,2,1),"EN")</f>
        <v>EN</v>
      </c>
      <c r="W3992" s="4" t="str">
        <f>HYPERLINK("#Critères_liste_rouge!A$1","B2abiii")</f>
        <v>B2abiii</v>
      </c>
      <c r="Z3992" s="4" t="s">
        <v>447</v>
      </c>
      <c r="AA3992" s="4" t="s">
        <v>448</v>
      </c>
      <c r="AH3992" s="4" t="str">
        <f>HYPERLINK("#Statut_biogéographique!A"&amp;_xlfn.XMATCH("P",Statut_biogéographique!A:A,2,1),"P")</f>
        <v>P</v>
      </c>
      <c r="AP3992" s="4" t="s">
        <v>376</v>
      </c>
      <c r="AR3992" s="4" t="s">
        <v>377</v>
      </c>
    </row>
    <row r="3993" spans="1:44">
      <c r="A3993" s="4" t="s">
        <v>5</v>
      </c>
      <c r="B3993" s="4">
        <v>33492</v>
      </c>
      <c r="C3993" s="4">
        <v>4093</v>
      </c>
      <c r="D3993" s="5" t="s">
        <v>5898</v>
      </c>
      <c r="E3993" s="6" t="str">
        <f>HYPERLINK("https://inpn.mnhn.fr/espece/cd_nom/33492","Entoloma asprellum (Fr.) Fayod, 1889")</f>
        <v>Entoloma asprellum (Fr.) Fayod, 1889</v>
      </c>
      <c r="V3993" s="7" t="str">
        <f>HYPERLINK("#Liste_rouge!A"&amp;_xlfn.XMATCH("VU",Liste_rouge!A:A,2,1),"VU")</f>
        <v>VU</v>
      </c>
      <c r="W3993" s="4" t="str">
        <f>HYPERLINK("#Critères_liste_rouge!A$1","A2c")</f>
        <v>A2c</v>
      </c>
      <c r="Z3993" s="4" t="s">
        <v>447</v>
      </c>
      <c r="AA3993" s="4" t="s">
        <v>448</v>
      </c>
      <c r="AH3993" s="4" t="str">
        <f>HYPERLINK("#Statut_biogéographique!A"&amp;_xlfn.XMATCH("P",Statut_biogéographique!A:A,2,1),"P")</f>
        <v>P</v>
      </c>
      <c r="AP3993" s="4" t="s">
        <v>376</v>
      </c>
      <c r="AR3993" s="4" t="s">
        <v>377</v>
      </c>
    </row>
    <row r="3994" spans="1:44" ht="30">
      <c r="A3994" s="4" t="s">
        <v>5</v>
      </c>
      <c r="B3994" s="4">
        <v>33507</v>
      </c>
      <c r="C3994" s="4">
        <v>5709</v>
      </c>
      <c r="D3994" s="5" t="s">
        <v>5899</v>
      </c>
      <c r="E3994" s="6" t="str">
        <f>HYPERLINK("https://inpn.mnhn.fr/espece/cd_nom/33507","Entoloma bisporigerum (P.D.Orton) Noordel., 1979")</f>
        <v>Entoloma bisporigerum (P.D.Orton) Noordel., 1979</v>
      </c>
      <c r="V3994" s="7" t="str">
        <f>HYPERLINK("#Liste_rouge!A"&amp;_xlfn.XMATCH("DD",Liste_rouge!A:A,2,1),"DD")</f>
        <v>DD</v>
      </c>
      <c r="AH3994" s="4" t="str">
        <f>HYPERLINK("#Statut_biogéographique!A"&amp;_xlfn.XMATCH("P",Statut_biogéographique!A:A,2,1),"P")</f>
        <v>P</v>
      </c>
      <c r="AP3994" s="4" t="s">
        <v>376</v>
      </c>
      <c r="AR3994" s="4" t="s">
        <v>377</v>
      </c>
    </row>
    <row r="3995" spans="1:44">
      <c r="A3995" s="4" t="s">
        <v>5</v>
      </c>
      <c r="B3995" s="4">
        <v>33510</v>
      </c>
      <c r="C3995" s="4">
        <v>6774</v>
      </c>
      <c r="D3995" s="5" t="s">
        <v>5900</v>
      </c>
      <c r="E3995" s="6" t="str">
        <f>HYPERLINK("https://inpn.mnhn.fr/espece/cd_nom/33510","Entoloma madidum Gillet, 1876")</f>
        <v>Entoloma madidum Gillet, 1876</v>
      </c>
      <c r="F3995" s="5" t="s">
        <v>5901</v>
      </c>
      <c r="AH3995" s="4" t="str">
        <f>HYPERLINK("#Statut_biogéographique!A"&amp;_xlfn.XMATCH("P",Statut_biogéographique!A:A,2,1),"P")</f>
        <v>P</v>
      </c>
      <c r="AP3995" s="4" t="s">
        <v>376</v>
      </c>
      <c r="AR3995" s="4" t="s">
        <v>377</v>
      </c>
    </row>
    <row r="3996" spans="1:44" ht="30">
      <c r="A3996" s="4" t="s">
        <v>5</v>
      </c>
      <c r="B3996" s="4">
        <v>33516</v>
      </c>
      <c r="C3996" s="4">
        <v>773</v>
      </c>
      <c r="D3996" s="5" t="s">
        <v>5902</v>
      </c>
      <c r="E3996" s="6" t="str">
        <f>HYPERLINK("https://inpn.mnhn.fr/espece/cd_nom/33516","Entoloma byssisedum (Pers.) Donk, 1949")</f>
        <v>Entoloma byssisedum (Pers.) Donk, 1949</v>
      </c>
      <c r="V3996" s="7" t="str">
        <f>HYPERLINK("#Liste_rouge!A"&amp;_xlfn.XMATCH("LC",Liste_rouge!A:A,2,1),"LC")</f>
        <v>LC</v>
      </c>
      <c r="AH3996" s="4" t="str">
        <f>HYPERLINK("#Statut_biogéographique!A"&amp;_xlfn.XMATCH("P",Statut_biogéographique!A:A,2,1),"P")</f>
        <v>P</v>
      </c>
      <c r="AP3996" s="4" t="s">
        <v>376</v>
      </c>
      <c r="AR3996" s="4" t="s">
        <v>377</v>
      </c>
    </row>
    <row r="3997" spans="1:44">
      <c r="A3997" s="4" t="s">
        <v>5</v>
      </c>
      <c r="B3997" s="4">
        <v>33519</v>
      </c>
      <c r="C3997" s="4">
        <v>5656</v>
      </c>
      <c r="D3997" s="5" t="s">
        <v>5903</v>
      </c>
      <c r="E3997" s="6" t="str">
        <f>HYPERLINK("https://inpn.mnhn.fr/espece/cd_nom/33519","Entoloma caccabus (Kühner) Noordel., 1979")</f>
        <v>Entoloma caccabus (Kühner) Noordel., 1979</v>
      </c>
      <c r="V3997" s="7" t="str">
        <f>HYPERLINK("#Liste_rouge!A"&amp;_xlfn.XMATCH("DD",Liste_rouge!A:A,2,1),"DD")</f>
        <v>DD</v>
      </c>
      <c r="AH3997" s="4" t="str">
        <f>HYPERLINK("#Statut_biogéographique!A"&amp;_xlfn.XMATCH("P",Statut_biogéographique!A:A,2,1),"P")</f>
        <v>P</v>
      </c>
      <c r="AP3997" s="4" t="s">
        <v>376</v>
      </c>
      <c r="AR3997" s="4" t="s">
        <v>377</v>
      </c>
    </row>
    <row r="3998" spans="1:44" ht="30">
      <c r="A3998" s="4" t="s">
        <v>5</v>
      </c>
      <c r="B3998" s="4">
        <v>33522</v>
      </c>
      <c r="C3998" s="4">
        <v>5483</v>
      </c>
      <c r="D3998" s="5" t="s">
        <v>5904</v>
      </c>
      <c r="E3998" s="6" t="str">
        <f>HYPERLINK("https://inpn.mnhn.fr/espece/cd_nom/33522","Entoloma caeruleum (P.D.Orton) Noordel., 1982")</f>
        <v>Entoloma caeruleum (P.D.Orton) Noordel., 1982</v>
      </c>
      <c r="V3998" s="7" t="str">
        <f>HYPERLINK("#Liste_rouge!A"&amp;_xlfn.XMATCH("DD",Liste_rouge!A:A,2,1),"DD")</f>
        <v>DD</v>
      </c>
      <c r="Z3998" s="4" t="s">
        <v>443</v>
      </c>
      <c r="AA3998" s="4" t="s">
        <v>444</v>
      </c>
      <c r="AH3998" s="4" t="str">
        <f>HYPERLINK("#Statut_biogéographique!A"&amp;_xlfn.XMATCH("P",Statut_biogéographique!A:A,2,1),"P")</f>
        <v>P</v>
      </c>
      <c r="AP3998" s="4" t="s">
        <v>376</v>
      </c>
      <c r="AR3998" s="4" t="s">
        <v>377</v>
      </c>
    </row>
    <row r="3999" spans="1:44" ht="30">
      <c r="A3999" s="4" t="s">
        <v>5</v>
      </c>
      <c r="B3999" s="4">
        <v>33524</v>
      </c>
      <c r="C3999" s="4">
        <v>4167</v>
      </c>
      <c r="D3999" s="5" t="s">
        <v>5905</v>
      </c>
      <c r="E3999" s="6" t="str">
        <f>HYPERLINK("https://inpn.mnhn.fr/espece/cd_nom/33524","Entoloma caesiocinctum (Kühner) Noordel., 1982")</f>
        <v>Entoloma caesiocinctum (Kühner) Noordel., 1982</v>
      </c>
      <c r="V3999" s="7" t="str">
        <f>HYPERLINK("#Liste_rouge!A"&amp;_xlfn.XMATCH("DD",Liste_rouge!A:A,2,1),"DD")</f>
        <v>DD</v>
      </c>
      <c r="AH3999" s="4" t="str">
        <f>HYPERLINK("#Statut_biogéographique!A"&amp;_xlfn.XMATCH("P",Statut_biogéographique!A:A,2,1),"P")</f>
        <v>P</v>
      </c>
      <c r="AP3999" s="4" t="s">
        <v>376</v>
      </c>
      <c r="AR3999" s="4" t="s">
        <v>377</v>
      </c>
    </row>
    <row r="4000" spans="1:44" ht="30">
      <c r="A4000" s="4" t="s">
        <v>5</v>
      </c>
      <c r="B4000" s="4">
        <v>33534</v>
      </c>
      <c r="C4000" s="4">
        <v>4464</v>
      </c>
      <c r="D4000" s="5" t="s">
        <v>5906</v>
      </c>
      <c r="E4000" s="6" t="str">
        <f>HYPERLINK("https://inpn.mnhn.fr/espece/cd_nom/33534","Entoloma chloropolium (Fr.) M.M.Moser, 1986")</f>
        <v>Entoloma chloropolium (Fr.) M.M.Moser, 1986</v>
      </c>
      <c r="V4000" s="7" t="str">
        <f>HYPERLINK("#Liste_rouge!A"&amp;_xlfn.XMATCH("RE",Liste_rouge!A:A,2,1),"RE")</f>
        <v>RE</v>
      </c>
      <c r="AH4000" s="4" t="str">
        <f>HYPERLINK("#Statut_biogéographique!A"&amp;_xlfn.XMATCH("P",Statut_biogéographique!A:A,2,1),"P")</f>
        <v>P</v>
      </c>
      <c r="AP4000" s="4" t="s">
        <v>376</v>
      </c>
      <c r="AR4000" s="4" t="s">
        <v>377</v>
      </c>
    </row>
    <row r="4001" spans="1:44">
      <c r="A4001" s="4" t="s">
        <v>5</v>
      </c>
      <c r="B4001" s="4">
        <v>33538</v>
      </c>
      <c r="C4001" s="4">
        <v>5186</v>
      </c>
      <c r="D4001" s="5" t="s">
        <v>5907</v>
      </c>
      <c r="E4001" s="6" t="str">
        <f>HYPERLINK("https://inpn.mnhn.fr/espece/cd_nom/33538","Entoloma clandestinum (Fr.) Noordel., 1980")</f>
        <v>Entoloma clandestinum (Fr.) Noordel., 1980</v>
      </c>
      <c r="F4001" s="5" t="s">
        <v>5908</v>
      </c>
      <c r="V4001" s="7" t="str">
        <f>HYPERLINK("#Liste_rouge!A"&amp;_xlfn.XMATCH("VU",Liste_rouge!A:A,2,1),"VU")</f>
        <v>VU</v>
      </c>
      <c r="W4001" s="4" t="str">
        <f>HYPERLINK("#Critères_liste_rouge!A$1","B2abiii")</f>
        <v>B2abiii</v>
      </c>
      <c r="Z4001" s="4" t="s">
        <v>447</v>
      </c>
      <c r="AA4001" s="4" t="s">
        <v>448</v>
      </c>
      <c r="AH4001" s="4" t="str">
        <f>HYPERLINK("#Statut_biogéographique!A"&amp;_xlfn.XMATCH("P",Statut_biogéographique!A:A,2,1),"P")</f>
        <v>P</v>
      </c>
      <c r="AP4001" s="4" t="s">
        <v>376</v>
      </c>
      <c r="AR4001" s="4" t="s">
        <v>377</v>
      </c>
    </row>
    <row r="4002" spans="1:44" ht="30">
      <c r="A4002" s="4" t="s">
        <v>5</v>
      </c>
      <c r="B4002" s="4">
        <v>33541</v>
      </c>
      <c r="C4002" s="4">
        <v>345</v>
      </c>
      <c r="D4002" s="5" t="s">
        <v>5909</v>
      </c>
      <c r="E4002" s="6" t="str">
        <f>HYPERLINK("https://inpn.mnhn.fr/espece/cd_nom/33541","Entoloma clypeatum (L.) P.Kumm., 1871")</f>
        <v>Entoloma clypeatum (L.) P.Kumm., 1871</v>
      </c>
      <c r="F4002" s="5" t="s">
        <v>5910</v>
      </c>
      <c r="V4002" s="7" t="str">
        <f>HYPERLINK("#Liste_rouge!A"&amp;_xlfn.XMATCH("NT",Liste_rouge!A:A,2,1),"NT")</f>
        <v>NT</v>
      </c>
      <c r="W4002" s="4" t="str">
        <f>HYPERLINK("#Critères_liste_rouge!A$1","pr. B2a")</f>
        <v>pr. B2a</v>
      </c>
      <c r="AH4002" s="4" t="str">
        <f>HYPERLINK("#Statut_biogéographique!A"&amp;_xlfn.XMATCH("P",Statut_biogéographique!A:A,2,1),"P")</f>
        <v>P</v>
      </c>
      <c r="AP4002" s="4" t="s">
        <v>376</v>
      </c>
      <c r="AR4002" s="4" t="s">
        <v>377</v>
      </c>
    </row>
    <row r="4003" spans="1:44" ht="30">
      <c r="A4003" s="4" t="s">
        <v>5</v>
      </c>
      <c r="B4003" s="4">
        <v>33550</v>
      </c>
      <c r="C4003" s="4">
        <v>5439</v>
      </c>
      <c r="D4003" s="5" t="s">
        <v>5911</v>
      </c>
      <c r="E4003" s="6" t="str">
        <f>HYPERLINK("https://inpn.mnhn.fr/espece/cd_nom/33550","Entoloma clypeatum f. pallidogriseum Noordel., 1981")</f>
        <v>Entoloma clypeatum f. pallidogriseum Noordel., 1981</v>
      </c>
      <c r="V4003" s="7" t="str">
        <f>HYPERLINK("#Liste_rouge!A"&amp;_xlfn.XMATCH("DD",Liste_rouge!A:A,2,1),"DD")</f>
        <v>DD</v>
      </c>
      <c r="AH4003" s="4" t="str">
        <f>HYPERLINK("#Statut_biogéographique!A"&amp;_xlfn.XMATCH("P",Statut_biogéographique!A:A,2,1),"P")</f>
        <v>P</v>
      </c>
      <c r="AP4003" s="4" t="s">
        <v>376</v>
      </c>
      <c r="AR4003" s="4" t="s">
        <v>377</v>
      </c>
    </row>
    <row r="4004" spans="1:44" ht="30">
      <c r="A4004" s="4" t="s">
        <v>5</v>
      </c>
      <c r="B4004" s="4">
        <v>33558</v>
      </c>
      <c r="C4004" s="4">
        <v>599</v>
      </c>
      <c r="D4004" s="5" t="s">
        <v>5912</v>
      </c>
      <c r="E4004" s="6" t="str">
        <f>HYPERLINK("https://inpn.mnhn.fr/espece/cd_nom/33558","Entoloma conferendum (Britzelm.) Noordel., 1980")</f>
        <v>Entoloma conferendum (Britzelm.) Noordel., 1980</v>
      </c>
      <c r="F4004" s="5" t="s">
        <v>5913</v>
      </c>
      <c r="V4004" s="7" t="str">
        <f>HYPERLINK("#Liste_rouge!A"&amp;_xlfn.XMATCH("NT",Liste_rouge!A:A,2,1),"NT")</f>
        <v>NT</v>
      </c>
      <c r="W4004" s="4" t="str">
        <f>HYPERLINK("#Critères_liste_rouge!A$1","pr. B2a")</f>
        <v>pr. B2a</v>
      </c>
      <c r="AH4004" s="4" t="str">
        <f>HYPERLINK("#Statut_biogéographique!A"&amp;_xlfn.XMATCH("P",Statut_biogéographique!A:A,2,1),"P")</f>
        <v>P</v>
      </c>
      <c r="AP4004" s="4" t="s">
        <v>376</v>
      </c>
      <c r="AR4004" s="4" t="s">
        <v>377</v>
      </c>
    </row>
    <row r="4005" spans="1:44" ht="30">
      <c r="A4005" s="4" t="s">
        <v>5</v>
      </c>
      <c r="B4005" s="4">
        <v>33562</v>
      </c>
      <c r="C4005" s="4">
        <v>5750</v>
      </c>
      <c r="D4005" s="5" t="s">
        <v>5914</v>
      </c>
      <c r="E4005" s="6" t="str">
        <f>HYPERLINK("https://inpn.mnhn.fr/espece/cd_nom/33562","Entoloma conferendum var. pusillum (Velen.) Noordel., 1980")</f>
        <v>Entoloma conferendum var. pusillum (Velen.) Noordel., 1980</v>
      </c>
      <c r="F4005" s="5" t="s">
        <v>5915</v>
      </c>
      <c r="AH4005" s="4" t="str">
        <f>HYPERLINK("#Statut_biogéographique!A"&amp;_xlfn.XMATCH("P",Statut_biogéographique!A:A,2,1),"P")</f>
        <v>P</v>
      </c>
      <c r="AP4005" s="4" t="s">
        <v>376</v>
      </c>
      <c r="AR4005" s="4" t="s">
        <v>377</v>
      </c>
    </row>
    <row r="4006" spans="1:44">
      <c r="A4006" s="4" t="s">
        <v>5</v>
      </c>
      <c r="B4006" s="4">
        <v>33566</v>
      </c>
      <c r="C4006" s="4">
        <v>3288</v>
      </c>
      <c r="D4006" s="5" t="s">
        <v>5916</v>
      </c>
      <c r="E4006" s="6" t="str">
        <f>HYPERLINK("https://inpn.mnhn.fr/espece/cd_nom/33566","Entoloma corvinum (Kühner) Noordel., 1982")</f>
        <v>Entoloma corvinum (Kühner) Noordel., 1982</v>
      </c>
      <c r="F4006" s="5" t="s">
        <v>5917</v>
      </c>
      <c r="V4006" s="7" t="str">
        <f>HYPERLINK("#Liste_rouge!A"&amp;_xlfn.XMATCH("EN",Liste_rouge!A:A,2,1),"EN")</f>
        <v>EN</v>
      </c>
      <c r="W4006" s="4" t="str">
        <f>HYPERLINK("#Critères_liste_rouge!A$1","A2c")</f>
        <v>A2c</v>
      </c>
      <c r="Z4006" s="4" t="s">
        <v>695</v>
      </c>
      <c r="AA4006" s="4" t="s">
        <v>696</v>
      </c>
      <c r="AH4006" s="4" t="str">
        <f>HYPERLINK("#Statut_biogéographique!A"&amp;_xlfn.XMATCH("P",Statut_biogéographique!A:A,2,1),"P")</f>
        <v>P</v>
      </c>
      <c r="AP4006" s="4" t="s">
        <v>376</v>
      </c>
      <c r="AR4006" s="4" t="s">
        <v>377</v>
      </c>
    </row>
    <row r="4007" spans="1:44" ht="30">
      <c r="A4007" s="4" t="s">
        <v>5</v>
      </c>
      <c r="B4007" s="4">
        <v>33582</v>
      </c>
      <c r="C4007" s="4">
        <v>2202</v>
      </c>
      <c r="D4007" s="5" t="s">
        <v>5918</v>
      </c>
      <c r="E4007" s="6" t="str">
        <f>HYPERLINK("https://inpn.mnhn.fr/espece/cd_nom/33582","Entoloma cuspidiferum (Kühner &amp; Romagn.) Noordel., 1980")</f>
        <v>Entoloma cuspidiferum (Kühner &amp; Romagn.) Noordel., 1980</v>
      </c>
      <c r="V4007" s="7" t="str">
        <f>HYPERLINK("#Liste_rouge!A"&amp;_xlfn.XMATCH("VU",Liste_rouge!A:A,2,1),"VU")</f>
        <v>VU</v>
      </c>
      <c r="W4007" s="4" t="str">
        <f>HYPERLINK("#Critères_liste_rouge!A$1","A2c")</f>
        <v>A2c</v>
      </c>
      <c r="Z4007" s="4" t="s">
        <v>447</v>
      </c>
      <c r="AA4007" s="4" t="s">
        <v>448</v>
      </c>
      <c r="AH4007" s="4" t="str">
        <f>HYPERLINK("#Statut_biogéographique!A"&amp;_xlfn.XMATCH("P",Statut_biogéographique!A:A,2,1),"P")</f>
        <v>P</v>
      </c>
      <c r="AP4007" s="4" t="s">
        <v>376</v>
      </c>
      <c r="AR4007" s="4" t="s">
        <v>377</v>
      </c>
    </row>
    <row r="4008" spans="1:44">
      <c r="A4008" s="4" t="s">
        <v>5</v>
      </c>
      <c r="B4008" s="4">
        <v>33587</v>
      </c>
      <c r="C4008" s="4">
        <v>4168</v>
      </c>
      <c r="D4008" s="5" t="s">
        <v>5919</v>
      </c>
      <c r="E4008" s="6" t="str">
        <f>HYPERLINK("https://inpn.mnhn.fr/espece/cd_nom/33587","Entoloma cyanulum (Lasch) Noordel., 1984")</f>
        <v>Entoloma cyanulum (Lasch) Noordel., 1984</v>
      </c>
      <c r="V4008" s="7" t="str">
        <f>HYPERLINK("#Liste_rouge!A"&amp;_xlfn.XMATCH("EN",Liste_rouge!A:A,2,1),"EN")</f>
        <v>EN</v>
      </c>
      <c r="W4008" s="4" t="str">
        <f>HYPERLINK("#Critères_liste_rouge!A$1","B2abiii")</f>
        <v>B2abiii</v>
      </c>
      <c r="Z4008" s="4" t="s">
        <v>447</v>
      </c>
      <c r="AA4008" s="4" t="s">
        <v>448</v>
      </c>
      <c r="AH4008" s="4" t="str">
        <f>HYPERLINK("#Statut_biogéographique!A"&amp;_xlfn.XMATCH("P",Statut_biogéographique!A:A,2,1),"P")</f>
        <v>P</v>
      </c>
      <c r="AP4008" s="4" t="s">
        <v>376</v>
      </c>
      <c r="AR4008" s="4" t="s">
        <v>377</v>
      </c>
    </row>
    <row r="4009" spans="1:44" ht="30">
      <c r="A4009" s="4" t="s">
        <v>5</v>
      </c>
      <c r="B4009" s="4">
        <v>33594</v>
      </c>
      <c r="C4009" s="4">
        <v>3290</v>
      </c>
      <c r="D4009" s="5" t="s">
        <v>5920</v>
      </c>
      <c r="E4009" s="6" t="str">
        <f>HYPERLINK("https://inpn.mnhn.fr/espece/cd_nom/33594","Entoloma dysthales (Peck) Sacc., 1891")</f>
        <v>Entoloma dysthales (Peck) Sacc., 1891</v>
      </c>
      <c r="V4009" s="7" t="str">
        <f>HYPERLINK("#Liste_rouge!A"&amp;_xlfn.XMATCH("EN",Liste_rouge!A:A,2,1),"EN")</f>
        <v>EN</v>
      </c>
      <c r="W4009" s="4" t="str">
        <f>HYPERLINK("#Critères_liste_rouge!A$1","B2abiii")</f>
        <v>B2abiii</v>
      </c>
      <c r="Z4009" s="4" t="s">
        <v>447</v>
      </c>
      <c r="AA4009" s="4" t="s">
        <v>448</v>
      </c>
      <c r="AH4009" s="4" t="str">
        <f>HYPERLINK("#Statut_biogéographique!A"&amp;_xlfn.XMATCH("P",Statut_biogéographique!A:A,2,1),"P")</f>
        <v>P</v>
      </c>
      <c r="AP4009" s="4" t="s">
        <v>376</v>
      </c>
      <c r="AR4009" s="4" t="s">
        <v>377</v>
      </c>
    </row>
    <row r="4010" spans="1:44">
      <c r="A4010" s="4" t="s">
        <v>5</v>
      </c>
      <c r="B4010" s="4">
        <v>33598</v>
      </c>
      <c r="C4010" s="4">
        <v>3291</v>
      </c>
      <c r="D4010" s="5" t="s">
        <v>5921</v>
      </c>
      <c r="E4010" s="6" t="str">
        <f>HYPERLINK("https://inpn.mnhn.fr/espece/cd_nom/33598","Entoloma dysthaloides Noordel., 1979")</f>
        <v>Entoloma dysthaloides Noordel., 1979</v>
      </c>
      <c r="V4010" s="7" t="str">
        <f>HYPERLINK("#Liste_rouge!A"&amp;_xlfn.XMATCH("EN",Liste_rouge!A:A,2,1),"EN")</f>
        <v>EN</v>
      </c>
      <c r="W4010" s="4" t="str">
        <f>HYPERLINK("#Critères_liste_rouge!A$1","A2c")</f>
        <v>A2c</v>
      </c>
      <c r="Z4010" s="4" t="s">
        <v>447</v>
      </c>
      <c r="AA4010" s="4" t="s">
        <v>448</v>
      </c>
      <c r="AH4010" s="4" t="str">
        <f>HYPERLINK("#Statut_biogéographique!A"&amp;_xlfn.XMATCH("P",Statut_biogéographique!A:A,2,1),"P")</f>
        <v>P</v>
      </c>
      <c r="AP4010" s="4" t="s">
        <v>376</v>
      </c>
      <c r="AR4010" s="4" t="s">
        <v>377</v>
      </c>
    </row>
    <row r="4011" spans="1:44">
      <c r="A4011" s="4" t="s">
        <v>5</v>
      </c>
      <c r="B4011" s="4">
        <v>33606</v>
      </c>
      <c r="C4011" s="4">
        <v>217</v>
      </c>
      <c r="D4011" s="5" t="s">
        <v>5922</v>
      </c>
      <c r="E4011" s="6" t="str">
        <f>HYPERLINK("https://inpn.mnhn.fr/espece/cd_nom/33606","Entoloma euchroum (Pers.) Donk, 1949")</f>
        <v>Entoloma euchroum (Pers.) Donk, 1949</v>
      </c>
      <c r="F4011" s="5" t="s">
        <v>5923</v>
      </c>
      <c r="V4011" s="7" t="str">
        <f>HYPERLINK("#Liste_rouge!A"&amp;_xlfn.XMATCH("LC",Liste_rouge!A:A,2,1),"LC")</f>
        <v>LC</v>
      </c>
      <c r="AH4011" s="4" t="str">
        <f>HYPERLINK("#Statut_biogéographique!A"&amp;_xlfn.XMATCH("P",Statut_biogéographique!A:A,2,1),"P")</f>
        <v>P</v>
      </c>
      <c r="AP4011" s="4" t="s">
        <v>376</v>
      </c>
      <c r="AR4011" s="4" t="s">
        <v>377</v>
      </c>
    </row>
    <row r="4012" spans="1:44">
      <c r="A4012" s="4" t="s">
        <v>5</v>
      </c>
      <c r="B4012" s="4">
        <v>33610</v>
      </c>
      <c r="C4012" s="4">
        <v>4169</v>
      </c>
      <c r="D4012" s="5" t="s">
        <v>5924</v>
      </c>
      <c r="E4012" s="6" t="str">
        <f>HYPERLINK("https://inpn.mnhn.fr/espece/cd_nom/33610","Entoloma excentricum Bres., 1881")</f>
        <v>Entoloma excentricum Bres., 1881</v>
      </c>
      <c r="F4012" s="5" t="s">
        <v>5925</v>
      </c>
      <c r="V4012" s="7" t="str">
        <f>HYPERLINK("#Liste_rouge!A"&amp;_xlfn.XMATCH("VU",Liste_rouge!A:A,2,1),"VU")</f>
        <v>VU</v>
      </c>
      <c r="W4012" s="4" t="str">
        <f>HYPERLINK("#Critères_liste_rouge!A$1","A2c")</f>
        <v>A2c</v>
      </c>
      <c r="Z4012" s="4" t="s">
        <v>447</v>
      </c>
      <c r="AA4012" s="4" t="s">
        <v>448</v>
      </c>
      <c r="AH4012" s="4" t="str">
        <f>HYPERLINK("#Statut_biogéographique!A"&amp;_xlfn.XMATCH("P",Statut_biogéographique!A:A,2,1),"P")</f>
        <v>P</v>
      </c>
      <c r="AP4012" s="4" t="s">
        <v>376</v>
      </c>
      <c r="AR4012" s="4" t="s">
        <v>377</v>
      </c>
    </row>
    <row r="4013" spans="1:44">
      <c r="A4013" s="4" t="s">
        <v>5</v>
      </c>
      <c r="B4013" s="4">
        <v>33613</v>
      </c>
      <c r="C4013" s="4">
        <v>4170</v>
      </c>
      <c r="D4013" s="5" t="s">
        <v>5926</v>
      </c>
      <c r="E4013" s="6" t="str">
        <f>HYPERLINK("https://inpn.mnhn.fr/espece/cd_nom/33613","Entoloma exile (Fr.) Hesler, 1967")</f>
        <v>Entoloma exile (Fr.) Hesler, 1967</v>
      </c>
      <c r="V4013" s="7" t="str">
        <f>HYPERLINK("#Liste_rouge!A"&amp;_xlfn.XMATCH("EN",Liste_rouge!A:A,2,1),"EN")</f>
        <v>EN</v>
      </c>
      <c r="W4013" s="4" t="str">
        <f>HYPERLINK("#Critères_liste_rouge!A$1","B2abiii")</f>
        <v>B2abiii</v>
      </c>
      <c r="Z4013" s="4" t="s">
        <v>447</v>
      </c>
      <c r="AA4013" s="4" t="s">
        <v>448</v>
      </c>
      <c r="AH4013" s="4" t="str">
        <f>HYPERLINK("#Statut_biogéographique!A"&amp;_xlfn.XMATCH("P",Statut_biogéographique!A:A,2,1),"P")</f>
        <v>P</v>
      </c>
      <c r="AP4013" s="4" t="s">
        <v>376</v>
      </c>
      <c r="AR4013" s="4" t="s">
        <v>377</v>
      </c>
    </row>
    <row r="4014" spans="1:44">
      <c r="A4014" s="4" t="s">
        <v>5</v>
      </c>
      <c r="B4014" s="4">
        <v>33617</v>
      </c>
      <c r="C4014" s="4">
        <v>5664</v>
      </c>
      <c r="D4014" s="5" t="s">
        <v>5927</v>
      </c>
      <c r="E4014" s="6" t="str">
        <f>HYPERLINK("https://inpn.mnhn.fr/espece/cd_nom/33617","Entoloma farinasprellum Arnolds, 1982")</f>
        <v>Entoloma farinasprellum Arnolds, 1982</v>
      </c>
      <c r="V4014" s="7" t="str">
        <f>HYPERLINK("#Liste_rouge!A"&amp;_xlfn.XMATCH("DD",Liste_rouge!A:A,2,1),"DD")</f>
        <v>DD</v>
      </c>
      <c r="AH4014" s="4" t="str">
        <f>HYPERLINK("#Statut_biogéographique!A"&amp;_xlfn.XMATCH("P",Statut_biogéographique!A:A,2,1),"P")</f>
        <v>P</v>
      </c>
      <c r="AP4014" s="4" t="s">
        <v>376</v>
      </c>
      <c r="AR4014" s="4" t="s">
        <v>377</v>
      </c>
    </row>
    <row r="4015" spans="1:44" ht="30">
      <c r="A4015" s="4" t="s">
        <v>5</v>
      </c>
      <c r="B4015" s="4">
        <v>33618</v>
      </c>
      <c r="C4015" s="4">
        <v>6394</v>
      </c>
      <c r="D4015" s="5" t="s">
        <v>5928</v>
      </c>
      <c r="E4015" s="6" t="str">
        <f>HYPERLINK("https://inpn.mnhn.fr/espece/cd_nom/33618","Entoloma farinogustus Arnolds &amp; Noordel., 1979")</f>
        <v>Entoloma farinogustus Arnolds &amp; Noordel., 1979</v>
      </c>
      <c r="F4015" s="5" t="s">
        <v>5929</v>
      </c>
      <c r="AH4015" s="4" t="str">
        <f>HYPERLINK("#Statut_biogéographique!A"&amp;_xlfn.XMATCH("P",Statut_biogéographique!A:A,2,1),"P")</f>
        <v>P</v>
      </c>
      <c r="AP4015" s="4" t="s">
        <v>376</v>
      </c>
      <c r="AR4015" s="4" t="s">
        <v>377</v>
      </c>
    </row>
    <row r="4016" spans="1:44">
      <c r="A4016" s="4" t="s">
        <v>5</v>
      </c>
      <c r="B4016" s="4">
        <v>33619</v>
      </c>
      <c r="C4016" s="4">
        <v>5657</v>
      </c>
      <c r="D4016" s="5" t="s">
        <v>5930</v>
      </c>
      <c r="E4016" s="6" t="str">
        <f>HYPERLINK("https://inpn.mnhn.fr/espece/cd_nom/33619","Entoloma favrei Noordel., 1982")</f>
        <v>Entoloma favrei Noordel., 1982</v>
      </c>
      <c r="F4016" s="5" t="s">
        <v>5931</v>
      </c>
      <c r="V4016" s="7" t="str">
        <f>HYPERLINK("#Liste_rouge!A"&amp;_xlfn.XMATCH("DD",Liste_rouge!A:A,2,1),"DD")</f>
        <v>DD</v>
      </c>
      <c r="Z4016" s="4" t="s">
        <v>695</v>
      </c>
      <c r="AA4016" s="4" t="s">
        <v>696</v>
      </c>
      <c r="AH4016" s="4" t="str">
        <f>HYPERLINK("#Statut_biogéographique!A"&amp;_xlfn.XMATCH("P",Statut_biogéographique!A:A,2,1),"P")</f>
        <v>P</v>
      </c>
      <c r="AP4016" s="4" t="s">
        <v>376</v>
      </c>
      <c r="AR4016" s="4" t="s">
        <v>377</v>
      </c>
    </row>
    <row r="4017" spans="1:44" ht="30">
      <c r="A4017" s="4" t="s">
        <v>5</v>
      </c>
      <c r="B4017" s="4">
        <v>33627</v>
      </c>
      <c r="C4017" s="4">
        <v>4171</v>
      </c>
      <c r="D4017" s="5" t="s">
        <v>5932</v>
      </c>
      <c r="E4017" s="6" t="str">
        <f>HYPERLINK("https://inpn.mnhn.fr/espece/cd_nom/33627","Entoloma formosum (Fr.) Noordel., 1985")</f>
        <v>Entoloma formosum (Fr.) Noordel., 1985</v>
      </c>
      <c r="V4017" s="7" t="str">
        <f>HYPERLINK("#Liste_rouge!A"&amp;_xlfn.XMATCH("DD",Liste_rouge!A:A,2,1),"DD")</f>
        <v>DD</v>
      </c>
      <c r="AH4017" s="4" t="str">
        <f>HYPERLINK("#Statut_biogéographique!A"&amp;_xlfn.XMATCH("P",Statut_biogéographique!A:A,2,1),"P")</f>
        <v>P</v>
      </c>
      <c r="AP4017" s="4" t="s">
        <v>376</v>
      </c>
      <c r="AR4017" s="4" t="s">
        <v>377</v>
      </c>
    </row>
    <row r="4018" spans="1:44">
      <c r="A4018" s="4" t="s">
        <v>5</v>
      </c>
      <c r="B4018" s="4">
        <v>33632</v>
      </c>
      <c r="C4018" s="4">
        <v>5485</v>
      </c>
      <c r="D4018" s="5" t="s">
        <v>5933</v>
      </c>
      <c r="E4018" s="6" t="str">
        <f>HYPERLINK("https://inpn.mnhn.fr/espece/cd_nom/33632","Entoloma fuscotomentosum F.H.Møller, 1945")</f>
        <v>Entoloma fuscotomentosum F.H.Møller, 1945</v>
      </c>
      <c r="V4018" s="7" t="str">
        <f>HYPERLINK("#Liste_rouge!A"&amp;_xlfn.XMATCH("DD",Liste_rouge!A:A,2,1),"DD")</f>
        <v>DD</v>
      </c>
      <c r="AH4018" s="4" t="str">
        <f>HYPERLINK("#Statut_biogéographique!A"&amp;_xlfn.XMATCH("P",Statut_biogéographique!A:A,2,1),"P")</f>
        <v>P</v>
      </c>
      <c r="AP4018" s="4" t="s">
        <v>376</v>
      </c>
      <c r="AR4018" s="4" t="s">
        <v>377</v>
      </c>
    </row>
    <row r="4019" spans="1:44" ht="30">
      <c r="A4019" s="4" t="s">
        <v>5</v>
      </c>
      <c r="B4019" s="4">
        <v>33638</v>
      </c>
      <c r="C4019" s="4">
        <v>5443</v>
      </c>
      <c r="D4019" s="5" t="s">
        <v>5934</v>
      </c>
      <c r="E4019" s="6" t="str">
        <f>HYPERLINK("https://inpn.mnhn.fr/espece/cd_nom/33638","Entoloma griseocyaneum (Fr.) P.Kumm., 1871")</f>
        <v>Entoloma griseocyaneum (Fr.) P.Kumm., 1871</v>
      </c>
      <c r="O4019" s="7" t="str">
        <f>HYPERLINK("#Liste_rouge!A"&amp;_xlfn.XMATCH("VU",Liste_rouge!A:A,2,1),"VU")</f>
        <v>VU</v>
      </c>
      <c r="V4019" s="7" t="str">
        <f>HYPERLINK("#Liste_rouge!A"&amp;_xlfn.XMATCH("DD",Liste_rouge!A:A,2,1),"DD")</f>
        <v>DD</v>
      </c>
      <c r="AH4019" s="4" t="str">
        <f>HYPERLINK("#Statut_biogéographique!A"&amp;_xlfn.XMATCH("P",Statut_biogéographique!A:A,2,1),"P")</f>
        <v>P</v>
      </c>
      <c r="AP4019" s="4" t="s">
        <v>376</v>
      </c>
      <c r="AR4019" s="4" t="s">
        <v>377</v>
      </c>
    </row>
    <row r="4020" spans="1:44" ht="30">
      <c r="A4020" s="4" t="s">
        <v>5</v>
      </c>
      <c r="B4020" s="4">
        <v>33641</v>
      </c>
      <c r="C4020" s="4">
        <v>3292</v>
      </c>
      <c r="D4020" s="5" t="s">
        <v>5935</v>
      </c>
      <c r="E4020" s="6" t="str">
        <f>HYPERLINK("https://inpn.mnhn.fr/espece/cd_nom/33641","Entoloma griseoluridum (Kühner) M.M.Moser, 1978")</f>
        <v>Entoloma griseoluridum (Kühner) M.M.Moser, 1978</v>
      </c>
      <c r="V4020" s="7" t="str">
        <f>HYPERLINK("#Liste_rouge!A"&amp;_xlfn.XMATCH("VU",Liste_rouge!A:A,2,1),"VU")</f>
        <v>VU</v>
      </c>
      <c r="W4020" s="4" t="str">
        <f>HYPERLINK("#Critères_liste_rouge!A$1","A2c")</f>
        <v>A2c</v>
      </c>
      <c r="Z4020" s="4" t="s">
        <v>447</v>
      </c>
      <c r="AA4020" s="4" t="s">
        <v>448</v>
      </c>
      <c r="AH4020" s="4" t="str">
        <f>HYPERLINK("#Statut_biogéographique!A"&amp;_xlfn.XMATCH("P",Statut_biogéographique!A:A,2,1),"P")</f>
        <v>P</v>
      </c>
      <c r="AP4020" s="4" t="s">
        <v>376</v>
      </c>
      <c r="AR4020" s="4" t="s">
        <v>377</v>
      </c>
    </row>
    <row r="4021" spans="1:44" ht="30">
      <c r="A4021" s="4" t="s">
        <v>5</v>
      </c>
      <c r="B4021" s="4">
        <v>33643</v>
      </c>
      <c r="C4021" s="4">
        <v>5181</v>
      </c>
      <c r="D4021" s="5" t="s">
        <v>5936</v>
      </c>
      <c r="E4021" s="6" t="str">
        <f>HYPERLINK("https://inpn.mnhn.fr/espece/cd_nom/33643","Entoloma griseorubidum Kühner ex Noordel., 1984")</f>
        <v>Entoloma griseorubidum Kühner ex Noordel., 1984</v>
      </c>
      <c r="V4021" s="7" t="str">
        <f>HYPERLINK("#Liste_rouge!A"&amp;_xlfn.XMATCH("VU",Liste_rouge!A:A,2,1),"VU")</f>
        <v>VU</v>
      </c>
      <c r="W4021" s="4" t="str">
        <f>HYPERLINK("#Critères_liste_rouge!A$1","A2c")</f>
        <v>A2c</v>
      </c>
      <c r="Z4021" s="4" t="s">
        <v>447</v>
      </c>
      <c r="AA4021" s="4" t="s">
        <v>448</v>
      </c>
      <c r="AH4021" s="4" t="str">
        <f>HYPERLINK("#Statut_biogéographique!A"&amp;_xlfn.XMATCH("P",Statut_biogéographique!A:A,2,1),"P")</f>
        <v>P</v>
      </c>
      <c r="AP4021" s="4" t="s">
        <v>376</v>
      </c>
      <c r="AR4021" s="4" t="s">
        <v>377</v>
      </c>
    </row>
    <row r="4022" spans="1:44" ht="30">
      <c r="A4022" s="4" t="s">
        <v>5</v>
      </c>
      <c r="B4022" s="4">
        <v>33648</v>
      </c>
      <c r="C4022" s="4">
        <v>756</v>
      </c>
      <c r="D4022" s="5" t="s">
        <v>5937</v>
      </c>
      <c r="E4022" s="6" t="str">
        <f>HYPERLINK("https://inpn.mnhn.fr/espece/cd_nom/33648","Entoloma hebes (Romagn.) Trimbach, 1981")</f>
        <v>Entoloma hebes (Romagn.) Trimbach, 1981</v>
      </c>
      <c r="F4022" s="5" t="s">
        <v>5938</v>
      </c>
      <c r="V4022" s="7" t="str">
        <f>HYPERLINK("#Liste_rouge!A"&amp;_xlfn.XMATCH("NT",Liste_rouge!A:A,2,1),"NT")</f>
        <v>NT</v>
      </c>
      <c r="W4022" s="4" t="str">
        <f>HYPERLINK("#Critères_liste_rouge!A$1","pr. B2a")</f>
        <v>pr. B2a</v>
      </c>
      <c r="AH4022" s="4" t="str">
        <f>HYPERLINK("#Statut_biogéographique!A"&amp;_xlfn.XMATCH("P",Statut_biogéographique!A:A,2,1),"P")</f>
        <v>P</v>
      </c>
      <c r="AP4022" s="4" t="s">
        <v>376</v>
      </c>
      <c r="AR4022" s="4" t="s">
        <v>377</v>
      </c>
    </row>
    <row r="4023" spans="1:44" ht="30">
      <c r="A4023" s="4" t="s">
        <v>5</v>
      </c>
      <c r="B4023" s="4">
        <v>33653</v>
      </c>
      <c r="C4023" s="4">
        <v>2203</v>
      </c>
      <c r="D4023" s="5" t="s">
        <v>5939</v>
      </c>
      <c r="E4023" s="6" t="str">
        <f>HYPERLINK("https://inpn.mnhn.fr/espece/cd_nom/33653","Entoloma elodes (Fr.) P.Kumm., 1871")</f>
        <v>Entoloma elodes (Fr.) P.Kumm., 1871</v>
      </c>
      <c r="F4023" s="5" t="s">
        <v>5940</v>
      </c>
      <c r="V4023" s="7" t="str">
        <f>HYPERLINK("#Liste_rouge!A"&amp;_xlfn.XMATCH("NT",Liste_rouge!A:A,2,1),"NT")</f>
        <v>NT</v>
      </c>
      <c r="W4023" s="4" t="str">
        <f>HYPERLINK("#Critères_liste_rouge!A$1","pr. B2a")</f>
        <v>pr. B2a</v>
      </c>
      <c r="Z4023" s="4" t="s">
        <v>447</v>
      </c>
      <c r="AA4023" s="4" t="s">
        <v>448</v>
      </c>
      <c r="AH4023" s="4" t="str">
        <f>HYPERLINK("#Statut_biogéographique!A"&amp;_xlfn.XMATCH("P",Statut_biogéographique!A:A,2,1),"P")</f>
        <v>P</v>
      </c>
      <c r="AP4023" s="4" t="s">
        <v>376</v>
      </c>
      <c r="AR4023" s="4" t="s">
        <v>377</v>
      </c>
    </row>
    <row r="4024" spans="1:44">
      <c r="A4024" s="4" t="s">
        <v>5</v>
      </c>
      <c r="B4024" s="4">
        <v>33657</v>
      </c>
      <c r="C4024" s="4">
        <v>2995</v>
      </c>
      <c r="D4024" s="5" t="s">
        <v>5941</v>
      </c>
      <c r="E4024" s="6" t="str">
        <f>HYPERLINK("https://inpn.mnhn.fr/espece/cd_nom/33657","Entoloma henrici E.Horak &amp; Aeberh., 1983")</f>
        <v>Entoloma henrici E.Horak &amp; Aeberh., 1983</v>
      </c>
      <c r="F4024" s="5" t="s">
        <v>5942</v>
      </c>
      <c r="V4024" s="7" t="str">
        <f>HYPERLINK("#Liste_rouge!A"&amp;_xlfn.XMATCH("EN",Liste_rouge!A:A,2,1),"EN")</f>
        <v>EN</v>
      </c>
      <c r="W4024" s="4" t="str">
        <f>HYPERLINK("#Critères_liste_rouge!A$1","B2abiii")</f>
        <v>B2abiii</v>
      </c>
      <c r="Z4024" s="4" t="s">
        <v>447</v>
      </c>
      <c r="AA4024" s="4" t="s">
        <v>448</v>
      </c>
      <c r="AH4024" s="4" t="str">
        <f>HYPERLINK("#Statut_biogéographique!A"&amp;_xlfn.XMATCH("P",Statut_biogéographique!A:A,2,1),"P")</f>
        <v>P</v>
      </c>
      <c r="AP4024" s="4" t="s">
        <v>376</v>
      </c>
      <c r="AR4024" s="4" t="s">
        <v>377</v>
      </c>
    </row>
    <row r="4025" spans="1:44" ht="30">
      <c r="A4025" s="4" t="s">
        <v>5</v>
      </c>
      <c r="B4025" s="4">
        <v>33658</v>
      </c>
      <c r="C4025" s="4">
        <v>1169</v>
      </c>
      <c r="D4025" s="5" t="s">
        <v>5943</v>
      </c>
      <c r="E4025" s="6" t="str">
        <f>HYPERLINK("https://inpn.mnhn.fr/espece/cd_nom/33658","Entoloma hirtipes (Schumach.) M.M.Moser, 1978")</f>
        <v>Entoloma hirtipes (Schumach.) M.M.Moser, 1978</v>
      </c>
      <c r="F4025" s="5" t="s">
        <v>5944</v>
      </c>
      <c r="V4025" s="7" t="str">
        <f>HYPERLINK("#Liste_rouge!A"&amp;_xlfn.XMATCH("LC",Liste_rouge!A:A,2,1),"LC")</f>
        <v>LC</v>
      </c>
      <c r="AH4025" s="4" t="str">
        <f>HYPERLINK("#Statut_biogéographique!A"&amp;_xlfn.XMATCH("P",Statut_biogéographique!A:A,2,1),"P")</f>
        <v>P</v>
      </c>
      <c r="AP4025" s="4" t="s">
        <v>376</v>
      </c>
      <c r="AR4025" s="4" t="s">
        <v>377</v>
      </c>
    </row>
    <row r="4026" spans="1:44">
      <c r="A4026" s="4" t="s">
        <v>5</v>
      </c>
      <c r="B4026" s="4">
        <v>33663</v>
      </c>
      <c r="C4026" s="4">
        <v>1529</v>
      </c>
      <c r="D4026" s="5" t="s">
        <v>5945</v>
      </c>
      <c r="E4026" s="6" t="str">
        <f>HYPERLINK("https://inpn.mnhn.fr/espece/cd_nom/33663","Entoloma hirtum (Velen.) Noordel., 1979")</f>
        <v>Entoloma hirtum (Velen.) Noordel., 1979</v>
      </c>
      <c r="V4026" s="7" t="str">
        <f>HYPERLINK("#Liste_rouge!A"&amp;_xlfn.XMATCH("DD",Liste_rouge!A:A,2,1),"DD")</f>
        <v>DD</v>
      </c>
      <c r="AH4026" s="4" t="str">
        <f>HYPERLINK("#Statut_biogéographique!A"&amp;_xlfn.XMATCH("P",Statut_biogéographique!A:A,2,1),"P")</f>
        <v>P</v>
      </c>
      <c r="AP4026" s="4" t="s">
        <v>376</v>
      </c>
      <c r="AR4026" s="4" t="s">
        <v>377</v>
      </c>
    </row>
    <row r="4027" spans="1:44" ht="30">
      <c r="A4027" s="4" t="s">
        <v>5</v>
      </c>
      <c r="B4027" s="4">
        <v>33670</v>
      </c>
      <c r="C4027" s="4">
        <v>2204</v>
      </c>
      <c r="D4027" s="5" t="s">
        <v>5946</v>
      </c>
      <c r="E4027" s="6" t="str">
        <f>HYPERLINK("https://inpn.mnhn.fr/espece/cd_nom/33670","Entoloma ianthinum (Romagn. &amp; J.Favre) Noordel., 1982")</f>
        <v>Entoloma ianthinum (Romagn. &amp; J.Favre) Noordel., 1982</v>
      </c>
      <c r="V4027" s="7" t="str">
        <f>HYPERLINK("#Liste_rouge!A"&amp;_xlfn.XMATCH("RE",Liste_rouge!A:A,2,1),"RE")</f>
        <v>RE</v>
      </c>
      <c r="AH4027" s="4" t="str">
        <f>HYPERLINK("#Statut_biogéographique!A"&amp;_xlfn.XMATCH("P",Statut_biogéographique!A:A,2,1),"P")</f>
        <v>P</v>
      </c>
      <c r="AP4027" s="4" t="s">
        <v>376</v>
      </c>
      <c r="AR4027" s="4" t="s">
        <v>377</v>
      </c>
    </row>
    <row r="4028" spans="1:44" ht="30">
      <c r="A4028" s="4" t="s">
        <v>5</v>
      </c>
      <c r="B4028" s="4">
        <v>33672</v>
      </c>
      <c r="C4028" s="4">
        <v>1468</v>
      </c>
      <c r="D4028" s="5" t="s">
        <v>5947</v>
      </c>
      <c r="E4028" s="6" t="str">
        <f>HYPERLINK("https://inpn.mnhn.fr/espece/cd_nom/33672","Entoloma incanum (Fr.) Hesler, 1967")</f>
        <v>Entoloma incanum (Fr.) Hesler, 1967</v>
      </c>
      <c r="F4028" s="5" t="s">
        <v>5948</v>
      </c>
      <c r="V4028" s="7" t="str">
        <f>HYPERLINK("#Liste_rouge!A"&amp;_xlfn.XMATCH("VU",Liste_rouge!A:A,2,1),"VU")</f>
        <v>VU</v>
      </c>
      <c r="W4028" s="4" t="str">
        <f>HYPERLINK("#Critères_liste_rouge!A$1","B2abiii")</f>
        <v>B2abiii</v>
      </c>
      <c r="Z4028" s="4" t="s">
        <v>695</v>
      </c>
      <c r="AA4028" s="4" t="s">
        <v>696</v>
      </c>
      <c r="AH4028" s="4" t="str">
        <f>HYPERLINK("#Statut_biogéographique!A"&amp;_xlfn.XMATCH("P",Statut_biogéographique!A:A,2,1),"P")</f>
        <v>P</v>
      </c>
      <c r="AP4028" s="4" t="s">
        <v>376</v>
      </c>
      <c r="AR4028" s="4" t="s">
        <v>377</v>
      </c>
    </row>
    <row r="4029" spans="1:44" ht="30">
      <c r="A4029" s="4" t="s">
        <v>5</v>
      </c>
      <c r="B4029" s="4">
        <v>33686</v>
      </c>
      <c r="C4029" s="4">
        <v>4939</v>
      </c>
      <c r="D4029" s="5" t="s">
        <v>5949</v>
      </c>
      <c r="E4029" s="6" t="str">
        <f>HYPERLINK("https://inpn.mnhn.fr/espece/cd_nom/33686","Entoloma chlorinosum Arnolds &amp; Noordel., 1979")</f>
        <v>Entoloma chlorinosum Arnolds &amp; Noordel., 1979</v>
      </c>
      <c r="V4029" s="7" t="str">
        <f>HYPERLINK("#Liste_rouge!A"&amp;_xlfn.XMATCH("DD",Liste_rouge!A:A,2,1),"DD")</f>
        <v>DD</v>
      </c>
      <c r="Z4029" s="4" t="s">
        <v>443</v>
      </c>
      <c r="AA4029" s="4" t="s">
        <v>444</v>
      </c>
      <c r="AH4029" s="4" t="str">
        <f>HYPERLINK("#Statut_biogéographique!A"&amp;_xlfn.XMATCH("P",Statut_biogéographique!A:A,2,1),"P")</f>
        <v>P</v>
      </c>
      <c r="AP4029" s="4" t="s">
        <v>376</v>
      </c>
      <c r="AR4029" s="4" t="s">
        <v>377</v>
      </c>
    </row>
    <row r="4030" spans="1:44">
      <c r="A4030" s="4" t="s">
        <v>5</v>
      </c>
      <c r="B4030" s="4">
        <v>33687</v>
      </c>
      <c r="C4030" s="4">
        <v>3567</v>
      </c>
      <c r="D4030" s="5" t="s">
        <v>5950</v>
      </c>
      <c r="E4030" s="6" t="str">
        <f>HYPERLINK("https://inpn.mnhn.fr/espece/cd_nom/33687","Entoloma inopiliforme Bon, 1982")</f>
        <v>Entoloma inopiliforme Bon, 1982</v>
      </c>
      <c r="V4030" s="7" t="str">
        <f>HYPERLINK("#Liste_rouge!A"&amp;_xlfn.XMATCH("EN",Liste_rouge!A:A,2,1),"EN")</f>
        <v>EN</v>
      </c>
      <c r="W4030" s="4" t="str">
        <f>HYPERLINK("#Critères_liste_rouge!A$1","B2abiii")</f>
        <v>B2abiii</v>
      </c>
      <c r="Z4030" s="4" t="s">
        <v>443</v>
      </c>
      <c r="AA4030" s="4" t="s">
        <v>444</v>
      </c>
      <c r="AH4030" s="4" t="str">
        <f>HYPERLINK("#Statut_biogéographique!A"&amp;_xlfn.XMATCH("P",Statut_biogéographique!A:A,2,1),"P")</f>
        <v>P</v>
      </c>
      <c r="AP4030" s="4" t="s">
        <v>376</v>
      </c>
      <c r="AR4030" s="4" t="s">
        <v>377</v>
      </c>
    </row>
    <row r="4031" spans="1:44">
      <c r="A4031" s="4" t="s">
        <v>5</v>
      </c>
      <c r="B4031" s="4">
        <v>33693</v>
      </c>
      <c r="C4031" s="4">
        <v>738</v>
      </c>
      <c r="D4031" s="5" t="s">
        <v>5951</v>
      </c>
      <c r="E4031" s="6" t="str">
        <f>HYPERLINK("https://inpn.mnhn.fr/espece/cd_nom/33693","Entoloma jubatum (Fr.) P.Karst., 1879")</f>
        <v>Entoloma jubatum (Fr.) P.Karst., 1879</v>
      </c>
      <c r="V4031" s="7" t="str">
        <f>HYPERLINK("#Liste_rouge!A"&amp;_xlfn.XMATCH("VU",Liste_rouge!A:A,2,1),"VU")</f>
        <v>VU</v>
      </c>
      <c r="W4031" s="4" t="str">
        <f>HYPERLINK("#Critères_liste_rouge!A$1","B2abiii")</f>
        <v>B2abiii</v>
      </c>
      <c r="Z4031" s="4" t="s">
        <v>447</v>
      </c>
      <c r="AA4031" s="4" t="s">
        <v>448</v>
      </c>
      <c r="AH4031" s="4" t="str">
        <f>HYPERLINK("#Statut_biogéographique!A"&amp;_xlfn.XMATCH("P",Statut_biogéographique!A:A,2,1),"P")</f>
        <v>P</v>
      </c>
      <c r="AP4031" s="4" t="s">
        <v>376</v>
      </c>
      <c r="AR4031" s="4" t="s">
        <v>377</v>
      </c>
    </row>
    <row r="4032" spans="1:44" ht="30">
      <c r="A4032" s="4" t="s">
        <v>5</v>
      </c>
      <c r="B4032" s="4">
        <v>33696</v>
      </c>
      <c r="C4032" s="4">
        <v>3947</v>
      </c>
      <c r="D4032" s="5" t="s">
        <v>5952</v>
      </c>
      <c r="E4032" s="6" t="str">
        <f>HYPERLINK("https://inpn.mnhn.fr/espece/cd_nom/33696","Entoloma juncinum (Kühner &amp; Romagn.) Noordel., 1979")</f>
        <v>Entoloma juncinum (Kühner &amp; Romagn.) Noordel., 1979</v>
      </c>
      <c r="V4032" s="7" t="str">
        <f>HYPERLINK("#Liste_rouge!A"&amp;_xlfn.XMATCH("LC",Liste_rouge!A:A,2,1),"LC")</f>
        <v>LC</v>
      </c>
      <c r="AH4032" s="4" t="str">
        <f>HYPERLINK("#Statut_biogéographique!A"&amp;_xlfn.XMATCH("P",Statut_biogéographique!A:A,2,1),"P")</f>
        <v>P</v>
      </c>
      <c r="AP4032" s="4" t="s">
        <v>376</v>
      </c>
      <c r="AR4032" s="4" t="s">
        <v>377</v>
      </c>
    </row>
    <row r="4033" spans="1:44" ht="30">
      <c r="A4033" s="4" t="s">
        <v>5</v>
      </c>
      <c r="B4033" s="4">
        <v>33701</v>
      </c>
      <c r="C4033" s="4">
        <v>5407</v>
      </c>
      <c r="D4033" s="5" t="s">
        <v>5953</v>
      </c>
      <c r="E4033" s="6" t="str">
        <f>HYPERLINK("https://inpn.mnhn.fr/espece/cd_nom/33701","Entoloma kervernii (De Guern.) M.M.Moser, 1978")</f>
        <v>Entoloma kervernii (De Guern.) M.M.Moser, 1978</v>
      </c>
      <c r="V4033" s="7" t="str">
        <f>HYPERLINK("#Liste_rouge!A"&amp;_xlfn.XMATCH("DD",Liste_rouge!A:A,2,1),"DD")</f>
        <v>DD</v>
      </c>
      <c r="AH4033" s="4" t="str">
        <f>HYPERLINK("#Statut_biogéographique!A"&amp;_xlfn.XMATCH("P",Statut_biogéographique!A:A,2,1),"P")</f>
        <v>P</v>
      </c>
      <c r="AP4033" s="4" t="s">
        <v>376</v>
      </c>
      <c r="AR4033" s="4" t="s">
        <v>377</v>
      </c>
    </row>
    <row r="4034" spans="1:44">
      <c r="A4034" s="4" t="s">
        <v>5</v>
      </c>
      <c r="B4034" s="4">
        <v>33706</v>
      </c>
      <c r="C4034" s="4">
        <v>5484</v>
      </c>
      <c r="D4034" s="5" t="s">
        <v>5954</v>
      </c>
      <c r="E4034" s="6" t="str">
        <f>HYPERLINK("https://inpn.mnhn.fr/espece/cd_nom/33706","Entoloma kuehnerianum Noordel., 1985")</f>
        <v>Entoloma kuehnerianum Noordel., 1985</v>
      </c>
      <c r="V4034" s="7" t="str">
        <f>HYPERLINK("#Liste_rouge!A"&amp;_xlfn.XMATCH("EN",Liste_rouge!A:A,2,1),"EN")</f>
        <v>EN</v>
      </c>
      <c r="W4034" s="4" t="str">
        <f>HYPERLINK("#Critères_liste_rouge!A$1","B2abiii")</f>
        <v>B2abiii</v>
      </c>
      <c r="Z4034" s="4" t="s">
        <v>447</v>
      </c>
      <c r="AA4034" s="4" t="s">
        <v>448</v>
      </c>
      <c r="AH4034" s="4" t="str">
        <f>HYPERLINK("#Statut_biogéographique!A"&amp;_xlfn.XMATCH("P",Statut_biogéographique!A:A,2,1),"P")</f>
        <v>P</v>
      </c>
      <c r="AP4034" s="4" t="s">
        <v>376</v>
      </c>
      <c r="AR4034" s="4" t="s">
        <v>377</v>
      </c>
    </row>
    <row r="4035" spans="1:44">
      <c r="A4035" s="4" t="s">
        <v>5</v>
      </c>
      <c r="B4035" s="4">
        <v>33710</v>
      </c>
      <c r="C4035" s="4">
        <v>1530</v>
      </c>
      <c r="D4035" s="5" t="s">
        <v>5955</v>
      </c>
      <c r="E4035" s="6" t="str">
        <f>HYPERLINK("https://inpn.mnhn.fr/espece/cd_nom/33710","Entoloma lampropus (Fr.) Hesler, 1967")</f>
        <v>Entoloma lampropus (Fr.) Hesler, 1967</v>
      </c>
      <c r="V4035" s="7" t="str">
        <f>HYPERLINK("#Liste_rouge!A"&amp;_xlfn.XMATCH("VU",Liste_rouge!A:A,2,1),"VU")</f>
        <v>VU</v>
      </c>
      <c r="W4035" s="4" t="str">
        <f>HYPERLINK("#Critères_liste_rouge!A$1","A2c")</f>
        <v>A2c</v>
      </c>
      <c r="Z4035" s="4" t="s">
        <v>447</v>
      </c>
      <c r="AA4035" s="4" t="s">
        <v>448</v>
      </c>
      <c r="AH4035" s="4" t="str">
        <f>HYPERLINK("#Statut_biogéographique!A"&amp;_xlfn.XMATCH("P",Statut_biogéographique!A:A,2,1),"P")</f>
        <v>P</v>
      </c>
      <c r="AP4035" s="4" t="s">
        <v>376</v>
      </c>
      <c r="AR4035" s="4" t="s">
        <v>377</v>
      </c>
    </row>
    <row r="4036" spans="1:44" ht="30">
      <c r="A4036" s="4" t="s">
        <v>5</v>
      </c>
      <c r="B4036" s="4">
        <v>33720</v>
      </c>
      <c r="C4036" s="4">
        <v>4310</v>
      </c>
      <c r="D4036" s="5" t="s">
        <v>5956</v>
      </c>
      <c r="E4036" s="6" t="str">
        <f>HYPERLINK("https://inpn.mnhn.fr/espece/cd_nom/33720","Entoloma lepidissimum (Svrček) Noordel., 1982")</f>
        <v>Entoloma lepidissimum (Svrček) Noordel., 1982</v>
      </c>
      <c r="V4036" s="7" t="str">
        <f>HYPERLINK("#Liste_rouge!A"&amp;_xlfn.XMATCH("DD",Liste_rouge!A:A,2,1),"DD")</f>
        <v>DD</v>
      </c>
      <c r="AH4036" s="4" t="str">
        <f>HYPERLINK("#Statut_biogéographique!A"&amp;_xlfn.XMATCH("P",Statut_biogéographique!A:A,2,1),"P")</f>
        <v>P</v>
      </c>
      <c r="AP4036" s="4" t="s">
        <v>376</v>
      </c>
      <c r="AR4036" s="4" t="s">
        <v>377</v>
      </c>
    </row>
    <row r="4037" spans="1:44">
      <c r="A4037" s="4" t="s">
        <v>5</v>
      </c>
      <c r="B4037" s="4">
        <v>33729</v>
      </c>
      <c r="C4037" s="4">
        <v>6203</v>
      </c>
      <c r="D4037" s="5" t="s">
        <v>5957</v>
      </c>
      <c r="E4037" s="6" t="str">
        <f>HYPERLINK("https://inpn.mnhn.fr/espece/cd_nom/33729","Entoloma lilacinoroseum Bon &amp; Guinb., 1984")</f>
        <v>Entoloma lilacinoroseum Bon &amp; Guinb., 1984</v>
      </c>
      <c r="AH4037" s="4" t="str">
        <f>HYPERLINK("#Statut_biogéographique!A"&amp;_xlfn.XMATCH("P",Statut_biogéographique!A:A,2,1),"P")</f>
        <v>P</v>
      </c>
      <c r="AP4037" s="4" t="s">
        <v>376</v>
      </c>
      <c r="AR4037" s="4" t="s">
        <v>377</v>
      </c>
    </row>
    <row r="4038" spans="1:44" ht="30">
      <c r="A4038" s="4" t="s">
        <v>5</v>
      </c>
      <c r="B4038" s="4">
        <v>33733</v>
      </c>
      <c r="C4038" s="4">
        <v>392</v>
      </c>
      <c r="D4038" s="5" t="s">
        <v>5958</v>
      </c>
      <c r="E4038" s="6" t="str">
        <f>HYPERLINK("https://inpn.mnhn.fr/espece/cd_nom/33733","Entoloma lividoalbum (Kühner &amp; Romagn.) Kubička, 1975")</f>
        <v>Entoloma lividoalbum (Kühner &amp; Romagn.) Kubička, 1975</v>
      </c>
      <c r="F4038" s="5" t="s">
        <v>5959</v>
      </c>
      <c r="V4038" s="7" t="str">
        <f>HYPERLINK("#Liste_rouge!A"&amp;_xlfn.XMATCH("LC",Liste_rouge!A:A,2,1),"LC")</f>
        <v>LC</v>
      </c>
      <c r="AH4038" s="4" t="str">
        <f>HYPERLINK("#Statut_biogéographique!A"&amp;_xlfn.XMATCH("P",Statut_biogéographique!A:A,2,1),"P")</f>
        <v>P</v>
      </c>
      <c r="AP4038" s="4" t="s">
        <v>376</v>
      </c>
      <c r="AR4038" s="4" t="s">
        <v>377</v>
      </c>
    </row>
    <row r="4039" spans="1:44" ht="30">
      <c r="A4039" s="4" t="s">
        <v>5</v>
      </c>
      <c r="B4039" s="4">
        <v>33735</v>
      </c>
      <c r="C4039" s="4">
        <v>2446</v>
      </c>
      <c r="D4039" s="5" t="s">
        <v>5960</v>
      </c>
      <c r="E4039" s="6" t="str">
        <f>HYPERLINK("https://inpn.mnhn.fr/espece/cd_nom/33735","Entoloma lividocyanulum (Kühner) Noordel., 1984")</f>
        <v>Entoloma lividocyanulum (Kühner) Noordel., 1984</v>
      </c>
      <c r="V4039" s="7" t="str">
        <f>HYPERLINK("#Liste_rouge!A"&amp;_xlfn.XMATCH("VU",Liste_rouge!A:A,2,1),"VU")</f>
        <v>VU</v>
      </c>
      <c r="W4039" s="4" t="str">
        <f>HYPERLINK("#Critères_liste_rouge!A$1","A2c")</f>
        <v>A2c</v>
      </c>
      <c r="Z4039" s="4" t="s">
        <v>447</v>
      </c>
      <c r="AA4039" s="4" t="s">
        <v>448</v>
      </c>
      <c r="AH4039" s="4" t="str">
        <f>HYPERLINK("#Statut_biogéographique!A"&amp;_xlfn.XMATCH("P",Statut_biogéographique!A:A,2,1),"P")</f>
        <v>P</v>
      </c>
      <c r="AP4039" s="4" t="s">
        <v>376</v>
      </c>
      <c r="AR4039" s="4" t="s">
        <v>377</v>
      </c>
    </row>
    <row r="4040" spans="1:44" ht="30">
      <c r="A4040" s="4" t="s">
        <v>5</v>
      </c>
      <c r="B4040" s="4">
        <v>33741</v>
      </c>
      <c r="C4040" s="4">
        <v>123</v>
      </c>
      <c r="D4040" s="5" t="s">
        <v>5961</v>
      </c>
      <c r="E4040" s="6" t="str">
        <f>HYPERLINK("https://inpn.mnhn.fr/espece/cd_nom/33741","Entoloma sinuatum (Bull.) P.Kumm., 1871")</f>
        <v>Entoloma sinuatum (Bull.) P.Kumm., 1871</v>
      </c>
      <c r="F4040" s="5" t="s">
        <v>5962</v>
      </c>
      <c r="V4040" s="7" t="str">
        <f>HYPERLINK("#Liste_rouge!A"&amp;_xlfn.XMATCH("LC",Liste_rouge!A:A,2,1),"LC")</f>
        <v>LC</v>
      </c>
      <c r="AH4040" s="4" t="str">
        <f>HYPERLINK("#Statut_biogéographique!A"&amp;_xlfn.XMATCH("P",Statut_biogéographique!A:A,2,1),"P")</f>
        <v>P</v>
      </c>
      <c r="AP4040" s="4" t="s">
        <v>376</v>
      </c>
      <c r="AR4040" s="4" t="s">
        <v>377</v>
      </c>
    </row>
    <row r="4041" spans="1:44" ht="30">
      <c r="A4041" s="4" t="s">
        <v>5</v>
      </c>
      <c r="B4041" s="4">
        <v>33743</v>
      </c>
      <c r="C4041" s="4">
        <v>3294</v>
      </c>
      <c r="D4041" s="5" t="s">
        <v>5963</v>
      </c>
      <c r="E4041" s="6" t="str">
        <f>HYPERLINK("https://inpn.mnhn.fr/espece/cd_nom/33743","Entoloma longistriatum (Peck) Noordel., 1988")</f>
        <v>Entoloma longistriatum (Peck) Noordel., 1988</v>
      </c>
      <c r="V4041" s="7" t="str">
        <f>HYPERLINK("#Liste_rouge!A"&amp;_xlfn.XMATCH("CR",Liste_rouge!A:A,2,1),"CR")</f>
        <v>CR</v>
      </c>
      <c r="W4041" s="4" t="str">
        <f>HYPERLINK("#Critères_liste_rouge!A$1","B2abiii")</f>
        <v>B2abiii</v>
      </c>
      <c r="Z4041" s="4" t="s">
        <v>695</v>
      </c>
      <c r="AA4041" s="4" t="s">
        <v>696</v>
      </c>
      <c r="AH4041" s="4" t="str">
        <f>HYPERLINK("#Statut_biogéographique!A"&amp;_xlfn.XMATCH("P",Statut_biogéographique!A:A,2,1),"P")</f>
        <v>P</v>
      </c>
      <c r="AP4041" s="4" t="s">
        <v>376</v>
      </c>
      <c r="AR4041" s="4" t="s">
        <v>377</v>
      </c>
    </row>
    <row r="4042" spans="1:44" ht="30">
      <c r="A4042" s="4" t="s">
        <v>5</v>
      </c>
      <c r="B4042" s="4">
        <v>33746</v>
      </c>
      <c r="C4042" s="4">
        <v>5445</v>
      </c>
      <c r="D4042" s="5" t="s">
        <v>5964</v>
      </c>
      <c r="E4042" s="6" t="str">
        <f>HYPERLINK("https://inpn.mnhn.fr/espece/cd_nom/33746","Entoloma longistriatum var. microsporum (Noordel.) Noordel., 1988")</f>
        <v>Entoloma longistriatum var. microsporum (Noordel.) Noordel., 1988</v>
      </c>
      <c r="V4042" s="7" t="str">
        <f>HYPERLINK("#Liste_rouge!A"&amp;_xlfn.XMATCH("DD",Liste_rouge!A:A,2,1),"DD")</f>
        <v>DD</v>
      </c>
      <c r="Z4042" s="4" t="s">
        <v>695</v>
      </c>
      <c r="AA4042" s="4" t="s">
        <v>696</v>
      </c>
      <c r="AH4042" s="4" t="str">
        <f>HYPERLINK("#Statut_biogéographique!A"&amp;_xlfn.XMATCH("P",Statut_biogéographique!A:A,2,1),"P")</f>
        <v>P</v>
      </c>
      <c r="AP4042" s="4" t="s">
        <v>376</v>
      </c>
      <c r="AR4042" s="4" t="s">
        <v>377</v>
      </c>
    </row>
    <row r="4043" spans="1:44" ht="30">
      <c r="A4043" s="4" t="s">
        <v>5</v>
      </c>
      <c r="B4043" s="4">
        <v>33748</v>
      </c>
      <c r="C4043" s="4">
        <v>3823</v>
      </c>
      <c r="D4043" s="5" t="s">
        <v>5965</v>
      </c>
      <c r="E4043" s="6" t="str">
        <f>HYPERLINK("https://inpn.mnhn.fr/espece/cd_nom/33748","Entoloma longistriatum var. sarcitulum (P.D.Orton) Noordel., 1988")</f>
        <v>Entoloma longistriatum var. sarcitulum (P.D.Orton) Noordel., 1988</v>
      </c>
      <c r="V4043" s="7" t="str">
        <f>HYPERLINK("#Liste_rouge!A"&amp;_xlfn.XMATCH("VU",Liste_rouge!A:A,2,1),"VU")</f>
        <v>VU</v>
      </c>
      <c r="W4043" s="4" t="str">
        <f>HYPERLINK("#Critères_liste_rouge!A$1","B2abiii")</f>
        <v>B2abiii</v>
      </c>
      <c r="Z4043" s="4" t="s">
        <v>695</v>
      </c>
      <c r="AA4043" s="4" t="s">
        <v>696</v>
      </c>
      <c r="AH4043" s="4" t="str">
        <f>HYPERLINK("#Statut_biogéographique!A"&amp;_xlfn.XMATCH("P",Statut_biogéographique!A:A,2,1),"P")</f>
        <v>P</v>
      </c>
      <c r="AP4043" s="4" t="s">
        <v>376</v>
      </c>
      <c r="AR4043" s="4" t="s">
        <v>377</v>
      </c>
    </row>
    <row r="4044" spans="1:44" ht="30">
      <c r="A4044" s="4" t="s">
        <v>5</v>
      </c>
      <c r="B4044" s="4">
        <v>33752</v>
      </c>
      <c r="C4044" s="4">
        <v>806</v>
      </c>
      <c r="D4044" s="5" t="s">
        <v>5966</v>
      </c>
      <c r="E4044" s="6" t="str">
        <f>HYPERLINK("https://inpn.mnhn.fr/espece/cd_nom/33752","Entoloma lucidum (P.D.Orton) M.M.Moser, 1978")</f>
        <v>Entoloma lucidum (P.D.Orton) M.M.Moser, 1978</v>
      </c>
      <c r="F4044" s="5" t="s">
        <v>5967</v>
      </c>
      <c r="V4044" s="7" t="str">
        <f>HYPERLINK("#Liste_rouge!A"&amp;_xlfn.XMATCH("CR",Liste_rouge!A:A,2,1),"CR")</f>
        <v>CR</v>
      </c>
      <c r="W4044" s="4" t="str">
        <f>HYPERLINK("#Critères_liste_rouge!A$1","B2abiii")</f>
        <v>B2abiii</v>
      </c>
      <c r="Z4044" s="4" t="s">
        <v>695</v>
      </c>
      <c r="AA4044" s="4" t="s">
        <v>696</v>
      </c>
      <c r="AH4044" s="4" t="str">
        <f>HYPERLINK("#Statut_biogéographique!A"&amp;_xlfn.XMATCH("P",Statut_biogéographique!A:A,2,1),"P")</f>
        <v>P</v>
      </c>
      <c r="AP4044" s="4" t="s">
        <v>376</v>
      </c>
      <c r="AR4044" s="4" t="s">
        <v>377</v>
      </c>
    </row>
    <row r="4045" spans="1:44">
      <c r="A4045" s="4" t="s">
        <v>5</v>
      </c>
      <c r="B4045" s="4">
        <v>33757</v>
      </c>
      <c r="C4045" s="4">
        <v>4175</v>
      </c>
      <c r="D4045" s="5" t="s">
        <v>5968</v>
      </c>
      <c r="E4045" s="6" t="str">
        <f>HYPERLINK("https://inpn.mnhn.fr/espece/cd_nom/33757","Entoloma majaloides P.D.Orton, 1960")</f>
        <v>Entoloma majaloides P.D.Orton, 1960</v>
      </c>
      <c r="V4045" s="7" t="str">
        <f>HYPERLINK("#Liste_rouge!A"&amp;_xlfn.XMATCH("DD",Liste_rouge!A:A,2,1),"DD")</f>
        <v>DD</v>
      </c>
      <c r="AH4045" s="4" t="str">
        <f>HYPERLINK("#Statut_biogéographique!A"&amp;_xlfn.XMATCH("P",Statut_biogéographique!A:A,2,1),"P")</f>
        <v>P</v>
      </c>
      <c r="AP4045" s="4" t="s">
        <v>376</v>
      </c>
      <c r="AR4045" s="4" t="s">
        <v>377</v>
      </c>
    </row>
    <row r="4046" spans="1:44">
      <c r="A4046" s="4" t="s">
        <v>5</v>
      </c>
      <c r="B4046" s="4">
        <v>33758</v>
      </c>
      <c r="C4046" s="4">
        <v>3568</v>
      </c>
      <c r="D4046" s="5" t="s">
        <v>5969</v>
      </c>
      <c r="E4046" s="6" t="str">
        <f>HYPERLINK("https://inpn.mnhn.fr/espece/cd_nom/33758","Entoloma melanochroum Noordel., 1987")</f>
        <v>Entoloma melanochroum Noordel., 1987</v>
      </c>
      <c r="V4046" s="7" t="str">
        <f>HYPERLINK("#Liste_rouge!A"&amp;_xlfn.XMATCH("CR",Liste_rouge!A:A,2,1),"CR")</f>
        <v>CR</v>
      </c>
      <c r="W4046" s="4" t="str">
        <f>HYPERLINK("#Critères_liste_rouge!A$1","B2abiii")</f>
        <v>B2abiii</v>
      </c>
      <c r="Z4046" s="4" t="s">
        <v>695</v>
      </c>
      <c r="AA4046" s="4" t="s">
        <v>696</v>
      </c>
      <c r="AH4046" s="4" t="str">
        <f>HYPERLINK("#Statut_biogéographique!A"&amp;_xlfn.XMATCH("P",Statut_biogéographique!A:A,2,1),"P")</f>
        <v>P</v>
      </c>
      <c r="AP4046" s="4" t="s">
        <v>376</v>
      </c>
      <c r="AR4046" s="4" t="s">
        <v>377</v>
      </c>
    </row>
    <row r="4047" spans="1:44" ht="30">
      <c r="A4047" s="4" t="s">
        <v>5</v>
      </c>
      <c r="B4047" s="4">
        <v>33765</v>
      </c>
      <c r="C4047" s="4">
        <v>2447</v>
      </c>
      <c r="D4047" s="5" t="s">
        <v>5970</v>
      </c>
      <c r="E4047" s="6" t="str">
        <f>HYPERLINK("https://inpn.mnhn.fr/espece/cd_nom/33765","Entoloma mougeotii (Fr.) Hesler, 1967")</f>
        <v>Entoloma mougeotii (Fr.) Hesler, 1967</v>
      </c>
      <c r="F4047" s="5" t="s">
        <v>5971</v>
      </c>
      <c r="V4047" s="7" t="str">
        <f>HYPERLINK("#Liste_rouge!A"&amp;_xlfn.XMATCH("VU",Liste_rouge!A:A,2,1),"VU")</f>
        <v>VU</v>
      </c>
      <c r="W4047" s="4" t="str">
        <f>HYPERLINK("#Critères_liste_rouge!A$1","A2c + B2ab(iii)")</f>
        <v>A2c + B2ab(iii)</v>
      </c>
      <c r="Z4047" s="4" t="s">
        <v>447</v>
      </c>
      <c r="AA4047" s="4" t="s">
        <v>448</v>
      </c>
      <c r="AH4047" s="4" t="str">
        <f>HYPERLINK("#Statut_biogéographique!A"&amp;_xlfn.XMATCH("P",Statut_biogéographique!A:A,2,1),"P")</f>
        <v>P</v>
      </c>
      <c r="AP4047" s="4" t="s">
        <v>376</v>
      </c>
      <c r="AR4047" s="4" t="s">
        <v>377</v>
      </c>
    </row>
    <row r="4048" spans="1:44">
      <c r="A4048" s="4" t="s">
        <v>5</v>
      </c>
      <c r="B4048" s="4">
        <v>33770</v>
      </c>
      <c r="C4048" s="4">
        <v>6417</v>
      </c>
      <c r="D4048" s="5" t="s">
        <v>5972</v>
      </c>
      <c r="E4048" s="6" t="str">
        <f>HYPERLINK("https://inpn.mnhn.fr/espece/cd_nom/33770","Entoloma mutabilipes Noordel. &amp; Liiv, 1992")</f>
        <v>Entoloma mutabilipes Noordel. &amp; Liiv, 1992</v>
      </c>
      <c r="F4048" s="5" t="s">
        <v>5973</v>
      </c>
      <c r="AH4048" s="4" t="str">
        <f>HYPERLINK("#Statut_biogéographique!A"&amp;_xlfn.XMATCH("P",Statut_biogéographique!A:A,2,1),"P")</f>
        <v>P</v>
      </c>
      <c r="AP4048" s="4" t="s">
        <v>376</v>
      </c>
      <c r="AR4048" s="4" t="s">
        <v>377</v>
      </c>
    </row>
    <row r="4049" spans="1:44" ht="30">
      <c r="A4049" s="4" t="s">
        <v>5</v>
      </c>
      <c r="B4049" s="4">
        <v>33771</v>
      </c>
      <c r="C4049" s="4">
        <v>5977</v>
      </c>
      <c r="D4049" s="5" t="s">
        <v>5974</v>
      </c>
      <c r="E4049" s="6" t="str">
        <f>HYPERLINK("https://inpn.mnhn.fr/espece/cd_nom/33771","Entoloma myrmecophilum (Romagn.) M.M.Moser, 1978")</f>
        <v>Entoloma myrmecophilum (Romagn.) M.M.Moser, 1978</v>
      </c>
      <c r="AH4049" s="4" t="str">
        <f>HYPERLINK("#Statut_biogéographique!A"&amp;_xlfn.XMATCH("P",Statut_biogéographique!A:A,2,1),"P")</f>
        <v>P</v>
      </c>
      <c r="AP4049" s="4" t="s">
        <v>376</v>
      </c>
      <c r="AR4049" s="4" t="s">
        <v>377</v>
      </c>
    </row>
    <row r="4050" spans="1:44">
      <c r="A4050" s="4" t="s">
        <v>5</v>
      </c>
      <c r="B4050" s="4">
        <v>33774</v>
      </c>
      <c r="C4050" s="4">
        <v>3844</v>
      </c>
      <c r="D4050" s="5" t="s">
        <v>5975</v>
      </c>
      <c r="E4050" s="6" t="str">
        <f>HYPERLINK("https://inpn.mnhn.fr/espece/cd_nom/33774","Entoloma nausiosme Noordel., 1987")</f>
        <v>Entoloma nausiosme Noordel., 1987</v>
      </c>
      <c r="V4050" s="7" t="str">
        <f>HYPERLINK("#Liste_rouge!A"&amp;_xlfn.XMATCH("DD",Liste_rouge!A:A,2,1),"DD")</f>
        <v>DD</v>
      </c>
      <c r="Z4050" s="4" t="s">
        <v>447</v>
      </c>
      <c r="AA4050" s="4" t="s">
        <v>448</v>
      </c>
      <c r="AH4050" s="4" t="str">
        <f>HYPERLINK("#Statut_biogéographique!A"&amp;_xlfn.XMATCH("P",Statut_biogéographique!A:A,2,1),"P")</f>
        <v>P</v>
      </c>
      <c r="AP4050" s="4" t="s">
        <v>376</v>
      </c>
      <c r="AR4050" s="4" t="s">
        <v>377</v>
      </c>
    </row>
    <row r="4051" spans="1:44">
      <c r="A4051" s="4" t="s">
        <v>5</v>
      </c>
      <c r="B4051" s="4">
        <v>33776</v>
      </c>
      <c r="C4051" s="4">
        <v>5666</v>
      </c>
      <c r="D4051" s="5" t="s">
        <v>5976</v>
      </c>
      <c r="E4051" s="6" t="str">
        <f>HYPERLINK("https://inpn.mnhn.fr/espece/cd_nom/33776","Entoloma neglectum (Lasch) Arnolds, 1982")</f>
        <v>Entoloma neglectum (Lasch) Arnolds, 1982</v>
      </c>
      <c r="V4051" s="7" t="str">
        <f>HYPERLINK("#Liste_rouge!A"&amp;_xlfn.XMATCH("DD",Liste_rouge!A:A,2,1),"DD")</f>
        <v>DD</v>
      </c>
      <c r="AH4051" s="4" t="str">
        <f>HYPERLINK("#Statut_biogéographique!A"&amp;_xlfn.XMATCH("P",Statut_biogéographique!A:A,2,1),"P")</f>
        <v>P</v>
      </c>
      <c r="AP4051" s="4" t="s">
        <v>376</v>
      </c>
      <c r="AR4051" s="4" t="s">
        <v>377</v>
      </c>
    </row>
    <row r="4052" spans="1:44" ht="30">
      <c r="A4052" s="4" t="s">
        <v>5</v>
      </c>
      <c r="B4052" s="4">
        <v>33789</v>
      </c>
      <c r="C4052" s="4">
        <v>671</v>
      </c>
      <c r="D4052" s="5" t="s">
        <v>5977</v>
      </c>
      <c r="E4052" s="6" t="str">
        <f>HYPERLINK("https://inpn.mnhn.fr/espece/cd_nom/33789","Entoloma niphoides Romagn. ex Noordel., 1985")</f>
        <v>Entoloma niphoides Romagn. ex Noordel., 1985</v>
      </c>
      <c r="F4052" s="5" t="s">
        <v>5978</v>
      </c>
      <c r="V4052" s="7" t="str">
        <f>HYPERLINK("#Liste_rouge!A"&amp;_xlfn.XMATCH("CR",Liste_rouge!A:A,2,1),"CR")</f>
        <v>CR</v>
      </c>
      <c r="W4052" s="4" t="str">
        <f>HYPERLINK("#Critères_liste_rouge!A$1","B2abiii")</f>
        <v>B2abiii</v>
      </c>
      <c r="Z4052" s="4" t="s">
        <v>447</v>
      </c>
      <c r="AA4052" s="4" t="s">
        <v>448</v>
      </c>
      <c r="AH4052" s="4" t="str">
        <f>HYPERLINK("#Statut_biogéographique!A"&amp;_xlfn.XMATCH("P",Statut_biogéographique!A:A,2,1),"P")</f>
        <v>P</v>
      </c>
      <c r="AP4052" s="4" t="s">
        <v>376</v>
      </c>
      <c r="AR4052" s="4" t="s">
        <v>377</v>
      </c>
    </row>
    <row r="4053" spans="1:44">
      <c r="A4053" s="4" t="s">
        <v>5</v>
      </c>
      <c r="B4053" s="4">
        <v>33793</v>
      </c>
      <c r="C4053" s="4">
        <v>5485</v>
      </c>
      <c r="D4053" s="5" t="s">
        <v>5979</v>
      </c>
      <c r="E4053" s="6" t="str">
        <f>HYPERLINK("https://inpn.mnhn.fr/espece/cd_nom/33793","Entoloma nitens (Velen.) Noordel., 1979")</f>
        <v>Entoloma nitens (Velen.) Noordel., 1979</v>
      </c>
      <c r="V4053" s="7" t="str">
        <f>HYPERLINK("#Liste_rouge!A"&amp;_xlfn.XMATCH("DD",Liste_rouge!A:A,2,1),"DD")</f>
        <v>DD</v>
      </c>
      <c r="AH4053" s="4" t="str">
        <f>HYPERLINK("#Statut_biogéographique!A"&amp;_xlfn.XMATCH("P",Statut_biogéographique!A:A,2,1),"P")</f>
        <v>P</v>
      </c>
      <c r="AP4053" s="4" t="s">
        <v>376</v>
      </c>
      <c r="AR4053" s="4" t="s">
        <v>377</v>
      </c>
    </row>
    <row r="4054" spans="1:44">
      <c r="A4054" s="4" t="s">
        <v>5</v>
      </c>
      <c r="B4054" s="4">
        <v>33797</v>
      </c>
      <c r="C4054" s="4">
        <v>1656</v>
      </c>
      <c r="D4054" s="5" t="s">
        <v>5980</v>
      </c>
      <c r="E4054" s="6" t="str">
        <f>HYPERLINK("https://inpn.mnhn.fr/espece/cd_nom/33797","Entoloma nitidum Quél., 1883")</f>
        <v>Entoloma nitidum Quél., 1883</v>
      </c>
      <c r="F4054" s="5" t="s">
        <v>5981</v>
      </c>
      <c r="V4054" s="7" t="str">
        <f>HYPERLINK("#Liste_rouge!A"&amp;_xlfn.XMATCH("LC",Liste_rouge!A:A,2,1),"LC")</f>
        <v>LC</v>
      </c>
      <c r="AH4054" s="4" t="str">
        <f>HYPERLINK("#Statut_biogéographique!A"&amp;_xlfn.XMATCH("P",Statut_biogéographique!A:A,2,1),"P")</f>
        <v>P</v>
      </c>
      <c r="AP4054" s="4" t="s">
        <v>376</v>
      </c>
      <c r="AR4054" s="4" t="s">
        <v>377</v>
      </c>
    </row>
    <row r="4055" spans="1:44" ht="30">
      <c r="A4055" s="4" t="s">
        <v>5</v>
      </c>
      <c r="B4055" s="4">
        <v>33800</v>
      </c>
      <c r="C4055" s="4">
        <v>6163</v>
      </c>
      <c r="D4055" s="5" t="s">
        <v>5982</v>
      </c>
      <c r="E4055" s="6" t="str">
        <f>HYPERLINK("https://inpn.mnhn.fr/espece/cd_nom/33800","Entoloma occultopigmentatum Arnolds &amp; Noordel., 1979")</f>
        <v>Entoloma occultopigmentatum Arnolds &amp; Noordel., 1979</v>
      </c>
      <c r="AH4055" s="4" t="str">
        <f>HYPERLINK("#Statut_biogéographique!A"&amp;_xlfn.XMATCH("P",Statut_biogéographique!A:A,2,1),"P")</f>
        <v>P</v>
      </c>
      <c r="AP4055" s="4" t="s">
        <v>376</v>
      </c>
      <c r="AR4055" s="4" t="s">
        <v>377</v>
      </c>
    </row>
    <row r="4056" spans="1:44" ht="30">
      <c r="A4056" s="4" t="s">
        <v>5</v>
      </c>
      <c r="B4056" s="4">
        <v>33804</v>
      </c>
      <c r="C4056" s="4">
        <v>2206</v>
      </c>
      <c r="D4056" s="5" t="s">
        <v>5983</v>
      </c>
      <c r="E4056" s="6" t="str">
        <f>HYPERLINK("https://inpn.mnhn.fr/espece/cd_nom/33804","Entoloma olorinum (Romagn. &amp; J.Favre) Noordel., 1979")</f>
        <v>Entoloma olorinum (Romagn. &amp; J.Favre) Noordel., 1979</v>
      </c>
      <c r="V4056" s="7" t="str">
        <f>HYPERLINK("#Liste_rouge!A"&amp;_xlfn.XMATCH("RE",Liste_rouge!A:A,2,1),"RE")</f>
        <v>RE</v>
      </c>
      <c r="AH4056" s="4" t="str">
        <f>HYPERLINK("#Statut_biogéographique!A"&amp;_xlfn.XMATCH("P",Statut_biogéographique!A:A,2,1),"P")</f>
        <v>P</v>
      </c>
      <c r="AP4056" s="4" t="s">
        <v>376</v>
      </c>
      <c r="AR4056" s="4" t="s">
        <v>377</v>
      </c>
    </row>
    <row r="4057" spans="1:44">
      <c r="A4057" s="4" t="s">
        <v>5</v>
      </c>
      <c r="B4057" s="4">
        <v>33806</v>
      </c>
      <c r="C4057" s="4">
        <v>3467</v>
      </c>
      <c r="D4057" s="5" t="s">
        <v>5984</v>
      </c>
      <c r="E4057" s="6" t="str">
        <f>HYPERLINK("https://inpn.mnhn.fr/espece/cd_nom/33806","Entoloma opacum Noordel., 1987")</f>
        <v>Entoloma opacum Noordel., 1987</v>
      </c>
      <c r="V4057" s="7" t="str">
        <f>HYPERLINK("#Liste_rouge!A"&amp;_xlfn.XMATCH("EN",Liste_rouge!A:A,2,1),"EN")</f>
        <v>EN</v>
      </c>
      <c r="W4057" s="4" t="str">
        <f>HYPERLINK("#Critères_liste_rouge!A$1","B2abiii")</f>
        <v>B2abiii</v>
      </c>
      <c r="Z4057" s="4" t="s">
        <v>447</v>
      </c>
      <c r="AA4057" s="4" t="s">
        <v>448</v>
      </c>
      <c r="AH4057" s="4" t="str">
        <f>HYPERLINK("#Statut_biogéographique!A"&amp;_xlfn.XMATCH("P",Statut_biogéographique!A:A,2,1),"P")</f>
        <v>P</v>
      </c>
      <c r="AP4057" s="4" t="s">
        <v>376</v>
      </c>
      <c r="AR4057" s="4" t="s">
        <v>377</v>
      </c>
    </row>
    <row r="4058" spans="1:44">
      <c r="A4058" s="4" t="s">
        <v>5</v>
      </c>
      <c r="B4058" s="4">
        <v>33808</v>
      </c>
      <c r="C4058" s="4">
        <v>1676</v>
      </c>
      <c r="D4058" s="5" t="s">
        <v>5985</v>
      </c>
      <c r="E4058" s="6" t="str">
        <f>HYPERLINK("https://inpn.mnhn.fr/espece/cd_nom/33808","Entoloma ortonii Arnolds &amp; Noordel., 1979")</f>
        <v>Entoloma ortonii Arnolds &amp; Noordel., 1979</v>
      </c>
      <c r="V4058" s="7" t="str">
        <f>HYPERLINK("#Liste_rouge!A"&amp;_xlfn.XMATCH("NT",Liste_rouge!A:A,2,1),"NT")</f>
        <v>NT</v>
      </c>
      <c r="W4058" s="4" t="str">
        <f>HYPERLINK("#Critères_liste_rouge!A$1","pr. A2c")</f>
        <v>pr. A2c</v>
      </c>
      <c r="AH4058" s="4" t="str">
        <f>HYPERLINK("#Statut_biogéographique!A"&amp;_xlfn.XMATCH("P",Statut_biogéographique!A:A,2,1),"P")</f>
        <v>P</v>
      </c>
      <c r="AP4058" s="4" t="s">
        <v>376</v>
      </c>
      <c r="AR4058" s="4" t="s">
        <v>377</v>
      </c>
    </row>
    <row r="4059" spans="1:44">
      <c r="A4059" s="4" t="s">
        <v>5</v>
      </c>
      <c r="B4059" s="4">
        <v>33811</v>
      </c>
      <c r="C4059" s="4">
        <v>2207</v>
      </c>
      <c r="D4059" s="5" t="s">
        <v>5986</v>
      </c>
      <c r="E4059" s="6" t="str">
        <f>HYPERLINK("https://inpn.mnhn.fr/espece/cd_nom/33811","Entoloma pallens (Maire) Arnolds, 1982")</f>
        <v>Entoloma pallens (Maire) Arnolds, 1982</v>
      </c>
      <c r="V4059" s="7" t="str">
        <f>HYPERLINK("#Liste_rouge!A"&amp;_xlfn.XMATCH("VU",Liste_rouge!A:A,2,1),"VU")</f>
        <v>VU</v>
      </c>
      <c r="W4059" s="4" t="str">
        <f>HYPERLINK("#Critères_liste_rouge!A$1","A2c")</f>
        <v>A2c</v>
      </c>
      <c r="Z4059" s="4" t="s">
        <v>443</v>
      </c>
      <c r="AA4059" s="4" t="s">
        <v>444</v>
      </c>
      <c r="AH4059" s="4" t="str">
        <f>HYPERLINK("#Statut_biogéographique!A"&amp;_xlfn.XMATCH("P",Statut_biogéographique!A:A,2,1),"P")</f>
        <v>P</v>
      </c>
      <c r="AP4059" s="4" t="s">
        <v>376</v>
      </c>
      <c r="AR4059" s="4" t="s">
        <v>377</v>
      </c>
    </row>
    <row r="4060" spans="1:44" ht="30">
      <c r="A4060" s="4" t="s">
        <v>5</v>
      </c>
      <c r="B4060" s="4">
        <v>33814</v>
      </c>
      <c r="D4060" s="5" t="s">
        <v>5987</v>
      </c>
      <c r="E4060" s="6" t="str">
        <f>HYPERLINK("https://inpn.mnhn.fr/espece/cd_nom/33814","Entoloma pallescens (P.Karst.) Noordel., 1979")</f>
        <v>Entoloma pallescens (P.Karst.) Noordel., 1979</v>
      </c>
      <c r="AH4060" s="4" t="str">
        <f>HYPERLINK("#Statut_biogéographique!A"&amp;_xlfn.XMATCH("P",Statut_biogéographique!A:A,2,1),"P")</f>
        <v>P</v>
      </c>
      <c r="AP4060" s="4" t="s">
        <v>376</v>
      </c>
      <c r="AR4060" s="4" t="s">
        <v>377</v>
      </c>
    </row>
    <row r="4061" spans="1:44">
      <c r="A4061" s="4" t="s">
        <v>5</v>
      </c>
      <c r="B4061" s="4">
        <v>33820</v>
      </c>
      <c r="C4061" s="4">
        <v>4460</v>
      </c>
      <c r="D4061" s="5" t="s">
        <v>5988</v>
      </c>
      <c r="E4061" s="6" t="str">
        <f>HYPERLINK("https://inpn.mnhn.fr/espece/cd_nom/33820","Entoloma papillatum (Bres.) Dennis, 1953")</f>
        <v>Entoloma papillatum (Bres.) Dennis, 1953</v>
      </c>
      <c r="F4061" s="5" t="s">
        <v>5989</v>
      </c>
      <c r="V4061" s="7" t="str">
        <f>HYPERLINK("#Liste_rouge!A"&amp;_xlfn.XMATCH("NT",Liste_rouge!A:A,2,1),"NT")</f>
        <v>NT</v>
      </c>
      <c r="W4061" s="4" t="str">
        <f>HYPERLINK("#Critères_liste_rouge!A$1","pr. A2c")</f>
        <v>pr. A2c</v>
      </c>
      <c r="AH4061" s="4" t="str">
        <f>HYPERLINK("#Statut_biogéographique!A"&amp;_xlfn.XMATCH("P",Statut_biogéographique!A:A,2,1),"P")</f>
        <v>P</v>
      </c>
      <c r="AP4061" s="4" t="s">
        <v>376</v>
      </c>
      <c r="AR4061" s="4" t="s">
        <v>377</v>
      </c>
    </row>
    <row r="4062" spans="1:44">
      <c r="A4062" s="4" t="s">
        <v>5</v>
      </c>
      <c r="B4062" s="4">
        <v>33830</v>
      </c>
      <c r="C4062" s="4">
        <v>5667</v>
      </c>
      <c r="D4062" s="5" t="s">
        <v>5990</v>
      </c>
      <c r="E4062" s="6" t="str">
        <f>HYPERLINK("https://inpn.mnhn.fr/espece/cd_nom/33830","Entoloma phaeocyathus Noordel., 1985")</f>
        <v>Entoloma phaeocyathus Noordel., 1985</v>
      </c>
      <c r="V4062" s="7" t="str">
        <f>HYPERLINK("#Liste_rouge!A"&amp;_xlfn.XMATCH("EN",Liste_rouge!A:A,2,1),"EN")</f>
        <v>EN</v>
      </c>
      <c r="W4062" s="4" t="str">
        <f>HYPERLINK("#Critères_liste_rouge!A$1","B2abiii")</f>
        <v>B2abiii</v>
      </c>
      <c r="Z4062" s="4" t="s">
        <v>447</v>
      </c>
      <c r="AA4062" s="4" t="s">
        <v>448</v>
      </c>
      <c r="AH4062" s="4" t="str">
        <f>HYPERLINK("#Statut_biogéographique!A"&amp;_xlfn.XMATCH("P",Statut_biogéographique!A:A,2,1),"P")</f>
        <v>P</v>
      </c>
      <c r="AP4062" s="4" t="s">
        <v>376</v>
      </c>
      <c r="AR4062" s="4" t="s">
        <v>377</v>
      </c>
    </row>
    <row r="4063" spans="1:44">
      <c r="A4063" s="4" t="s">
        <v>5</v>
      </c>
      <c r="B4063" s="4">
        <v>33833</v>
      </c>
      <c r="C4063" s="4">
        <v>4173</v>
      </c>
      <c r="D4063" s="5" t="s">
        <v>5991</v>
      </c>
      <c r="E4063" s="6" t="str">
        <f>HYPERLINK("https://inpn.mnhn.fr/espece/cd_nom/33833","Entoloma placidum (Fr.) Noordel., 1981")</f>
        <v>Entoloma placidum (Fr.) Noordel., 1981</v>
      </c>
      <c r="V4063" s="7" t="str">
        <f>HYPERLINK("#Liste_rouge!A"&amp;_xlfn.XMATCH("DD",Liste_rouge!A:A,2,1),"DD")</f>
        <v>DD</v>
      </c>
      <c r="Z4063" s="4" t="s">
        <v>443</v>
      </c>
      <c r="AA4063" s="4" t="s">
        <v>444</v>
      </c>
      <c r="AH4063" s="4" t="str">
        <f>HYPERLINK("#Statut_biogéographique!A"&amp;_xlfn.XMATCH("P",Statut_biogéographique!A:A,2,1),"P")</f>
        <v>P</v>
      </c>
      <c r="AP4063" s="4" t="s">
        <v>376</v>
      </c>
      <c r="AR4063" s="4" t="s">
        <v>377</v>
      </c>
    </row>
    <row r="4064" spans="1:44" ht="45">
      <c r="A4064" s="4" t="s">
        <v>5</v>
      </c>
      <c r="B4064" s="4">
        <v>33840</v>
      </c>
      <c r="C4064" s="4">
        <v>6875</v>
      </c>
      <c r="D4064" s="5" t="s">
        <v>5992</v>
      </c>
      <c r="E4064" s="6" t="str">
        <f>HYPERLINK("https://inpn.mnhn.fr/espece/cd_nom/33840","Entoloma plebejum (Kalchbr.) Noordel., 1985")</f>
        <v>Entoloma plebejum (Kalchbr.) Noordel., 1985</v>
      </c>
      <c r="F4064" s="5" t="s">
        <v>5993</v>
      </c>
      <c r="AH4064" s="4" t="str">
        <f>HYPERLINK("#Statut_biogéographique!A"&amp;_xlfn.XMATCH("P",Statut_biogéographique!A:A,2,1),"P")</f>
        <v>P</v>
      </c>
      <c r="AP4064" s="4" t="s">
        <v>376</v>
      </c>
      <c r="AR4064" s="4" t="s">
        <v>377</v>
      </c>
    </row>
    <row r="4065" spans="1:44">
      <c r="A4065" s="4" t="s">
        <v>5</v>
      </c>
      <c r="B4065" s="4">
        <v>33844</v>
      </c>
      <c r="C4065" s="4">
        <v>1655</v>
      </c>
      <c r="D4065" s="5" t="s">
        <v>5994</v>
      </c>
      <c r="E4065" s="6" t="str">
        <f>HYPERLINK("https://inpn.mnhn.fr/espece/cd_nom/33844","Entoloma pleopodium (Bull.) Noordel., 1985")</f>
        <v>Entoloma pleopodium (Bull.) Noordel., 1985</v>
      </c>
      <c r="V4065" s="7" t="str">
        <f>HYPERLINK("#Liste_rouge!A"&amp;_xlfn.XMATCH("LC",Liste_rouge!A:A,2,1),"LC")</f>
        <v>LC</v>
      </c>
      <c r="AH4065" s="4" t="str">
        <f>HYPERLINK("#Statut_biogéographique!A"&amp;_xlfn.XMATCH("P",Statut_biogéographique!A:A,2,1),"P")</f>
        <v>P</v>
      </c>
      <c r="AP4065" s="4" t="s">
        <v>376</v>
      </c>
      <c r="AR4065" s="4" t="s">
        <v>377</v>
      </c>
    </row>
    <row r="4066" spans="1:44">
      <c r="A4066" s="4" t="s">
        <v>5</v>
      </c>
      <c r="B4066" s="4">
        <v>33845</v>
      </c>
      <c r="C4066" s="4">
        <v>1655</v>
      </c>
      <c r="D4066" s="5" t="s">
        <v>5995</v>
      </c>
      <c r="E4066" s="6" t="str">
        <f>HYPERLINK("https://inpn.mnhn.fr/espece/cd_nom/33845","Entoloma icterinum (Fr.) M.M.Moser, 1978")</f>
        <v>Entoloma icterinum (Fr.) M.M.Moser, 1978</v>
      </c>
      <c r="V4066" s="7" t="str">
        <f>HYPERLINK("#Liste_rouge!A"&amp;_xlfn.XMATCH("LC",Liste_rouge!A:A,2,1),"LC")</f>
        <v>LC</v>
      </c>
      <c r="AH4066" s="4" t="str">
        <f>HYPERLINK("#Statut_biogéographique!A"&amp;_xlfn.XMATCH("P",Statut_biogéographique!A:A,2,1),"P")</f>
        <v>P</v>
      </c>
      <c r="AP4066" s="4" t="s">
        <v>376</v>
      </c>
      <c r="AR4066" s="4" t="s">
        <v>377</v>
      </c>
    </row>
    <row r="4067" spans="1:44">
      <c r="A4067" s="4" t="s">
        <v>5</v>
      </c>
      <c r="B4067" s="4">
        <v>33848</v>
      </c>
      <c r="C4067" s="4">
        <v>5176</v>
      </c>
      <c r="D4067" s="5" t="s">
        <v>5996</v>
      </c>
      <c r="E4067" s="6" t="str">
        <f>HYPERLINK("https://inpn.mnhn.fr/espece/cd_nom/33848","Entoloma poliopus (Romagn.) Noordel., 1979")</f>
        <v>Entoloma poliopus (Romagn.) Noordel., 1979</v>
      </c>
      <c r="F4067" s="5" t="s">
        <v>5997</v>
      </c>
      <c r="V4067" s="7" t="str">
        <f>HYPERLINK("#Liste_rouge!A"&amp;_xlfn.XMATCH("VU",Liste_rouge!A:A,2,1),"VU")</f>
        <v>VU</v>
      </c>
      <c r="W4067" s="4" t="str">
        <f>HYPERLINK("#Critères_liste_rouge!A$1","A2c")</f>
        <v>A2c</v>
      </c>
      <c r="Z4067" s="4" t="s">
        <v>447</v>
      </c>
      <c r="AA4067" s="4" t="s">
        <v>448</v>
      </c>
      <c r="AH4067" s="4" t="str">
        <f>HYPERLINK("#Statut_biogéographique!A"&amp;_xlfn.XMATCH("P",Statut_biogéographique!A:A,2,1),"P")</f>
        <v>P</v>
      </c>
      <c r="AP4067" s="4" t="s">
        <v>376</v>
      </c>
      <c r="AR4067" s="4" t="s">
        <v>377</v>
      </c>
    </row>
    <row r="4068" spans="1:44" ht="30">
      <c r="A4068" s="4" t="s">
        <v>5</v>
      </c>
      <c r="B4068" s="4">
        <v>33852</v>
      </c>
      <c r="C4068" s="4">
        <v>6281</v>
      </c>
      <c r="D4068" s="5" t="s">
        <v>5998</v>
      </c>
      <c r="E4068" s="6" t="str">
        <f>HYPERLINK("https://inpn.mnhn.fr/espece/cd_nom/33852","Entoloma poliopus var. discolor Noordel., 1985")</f>
        <v>Entoloma poliopus var. discolor Noordel., 1985</v>
      </c>
      <c r="F4068" s="5" t="s">
        <v>5999</v>
      </c>
      <c r="AH4068" s="4" t="str">
        <f>HYPERLINK("#Statut_biogéographique!A"&amp;_xlfn.XMATCH("P",Statut_biogéographique!A:A,2,1),"P")</f>
        <v>P</v>
      </c>
      <c r="AP4068" s="4" t="s">
        <v>376</v>
      </c>
      <c r="AR4068" s="4" t="s">
        <v>377</v>
      </c>
    </row>
    <row r="4069" spans="1:44" ht="30">
      <c r="A4069" s="4" t="s">
        <v>5</v>
      </c>
      <c r="B4069" s="4">
        <v>33854</v>
      </c>
      <c r="C4069" s="4">
        <v>3295</v>
      </c>
      <c r="D4069" s="5" t="s">
        <v>6000</v>
      </c>
      <c r="E4069" s="6" t="str">
        <f>HYPERLINK("https://inpn.mnhn.fr/espece/cd_nom/33854","Entoloma poliopus var. parvisporigerum Noordel., 1985")</f>
        <v>Entoloma poliopus var. parvisporigerum Noordel., 1985</v>
      </c>
      <c r="V4069" s="7" t="str">
        <f>HYPERLINK("#Liste_rouge!A"&amp;_xlfn.XMATCH("DD",Liste_rouge!A:A,2,1),"DD")</f>
        <v>DD</v>
      </c>
      <c r="Z4069" s="4" t="s">
        <v>447</v>
      </c>
      <c r="AA4069" s="4" t="s">
        <v>448</v>
      </c>
      <c r="AH4069" s="4" t="str">
        <f>HYPERLINK("#Statut_biogéographique!A"&amp;_xlfn.XMATCH("P",Statut_biogéographique!A:A,2,1),"P")</f>
        <v>P</v>
      </c>
      <c r="AP4069" s="4" t="s">
        <v>376</v>
      </c>
      <c r="AR4069" s="4" t="s">
        <v>377</v>
      </c>
    </row>
    <row r="4070" spans="1:44">
      <c r="A4070" s="4" t="s">
        <v>5</v>
      </c>
      <c r="B4070" s="4">
        <v>33856</v>
      </c>
      <c r="C4070" s="4">
        <v>2622</v>
      </c>
      <c r="D4070" s="5" t="s">
        <v>6001</v>
      </c>
      <c r="E4070" s="6" t="str">
        <f>HYPERLINK("https://inpn.mnhn.fr/espece/cd_nom/33856","Entoloma politum (Pers.) Donk, 1979")</f>
        <v>Entoloma politum (Pers.) Donk, 1979</v>
      </c>
      <c r="F4070" s="5" t="s">
        <v>5981</v>
      </c>
      <c r="V4070" s="7" t="str">
        <f>HYPERLINK("#Liste_rouge!A"&amp;_xlfn.XMATCH("LC",Liste_rouge!A:A,2,1),"LC")</f>
        <v>LC</v>
      </c>
      <c r="AH4070" s="4" t="str">
        <f>HYPERLINK("#Statut_biogéographique!A"&amp;_xlfn.XMATCH("P",Statut_biogéographique!A:A,2,1),"P")</f>
        <v>P</v>
      </c>
      <c r="AP4070" s="4" t="s">
        <v>376</v>
      </c>
      <c r="AR4070" s="4" t="s">
        <v>377</v>
      </c>
    </row>
    <row r="4071" spans="1:44" ht="30">
      <c r="A4071" s="4" t="s">
        <v>5</v>
      </c>
      <c r="B4071" s="4">
        <v>33862</v>
      </c>
      <c r="C4071" s="4">
        <v>597</v>
      </c>
      <c r="D4071" s="5" t="s">
        <v>6002</v>
      </c>
      <c r="E4071" s="6" t="str">
        <f>HYPERLINK("https://inpn.mnhn.fr/espece/cd_nom/33862","Entoloma porphyrophaeum (Fr.) P.Karst., 1879")</f>
        <v>Entoloma porphyrophaeum (Fr.) P.Karst., 1879</v>
      </c>
      <c r="F4071" s="5" t="s">
        <v>6003</v>
      </c>
      <c r="O4071" s="7" t="str">
        <f>HYPERLINK("#Liste_rouge!A"&amp;_xlfn.XMATCH("VU",Liste_rouge!A:A,2,1),"VU")</f>
        <v>VU</v>
      </c>
      <c r="V4071" s="7" t="str">
        <f>HYPERLINK("#Liste_rouge!A"&amp;_xlfn.XMATCH("EN",Liste_rouge!A:A,2,1),"EN")</f>
        <v>EN</v>
      </c>
      <c r="W4071" s="4" t="str">
        <f>HYPERLINK("#Critères_liste_rouge!A$1","A2c")</f>
        <v>A2c</v>
      </c>
      <c r="Z4071" s="4" t="s">
        <v>695</v>
      </c>
      <c r="AA4071" s="4" t="s">
        <v>696</v>
      </c>
      <c r="AH4071" s="4" t="str">
        <f>HYPERLINK("#Statut_biogéographique!A"&amp;_xlfn.XMATCH("P",Statut_biogéographique!A:A,2,1),"P")</f>
        <v>P</v>
      </c>
      <c r="AP4071" s="4" t="s">
        <v>376</v>
      </c>
      <c r="AR4071" s="4" t="s">
        <v>377</v>
      </c>
    </row>
    <row r="4072" spans="1:44">
      <c r="A4072" s="4" t="s">
        <v>5</v>
      </c>
      <c r="B4072" s="4">
        <v>33870</v>
      </c>
      <c r="C4072" s="4">
        <v>322</v>
      </c>
      <c r="D4072" s="5" t="s">
        <v>6004</v>
      </c>
      <c r="E4072" s="6" t="str">
        <f>HYPERLINK("https://inpn.mnhn.fr/espece/cd_nom/33870","Entoloma prunuloides (Fr.) Quél., 1872")</f>
        <v>Entoloma prunuloides (Fr.) Quél., 1872</v>
      </c>
      <c r="F4072" s="5" t="s">
        <v>6005</v>
      </c>
      <c r="O4072" s="7" t="str">
        <f>HYPERLINK("#Liste_rouge!A"&amp;_xlfn.XMATCH("VU",Liste_rouge!A:A,2,1),"VU")</f>
        <v>VU</v>
      </c>
      <c r="V4072" s="7" t="str">
        <f>HYPERLINK("#Liste_rouge!A"&amp;_xlfn.XMATCH("EN",Liste_rouge!A:A,2,1),"EN")</f>
        <v>EN</v>
      </c>
      <c r="W4072" s="4" t="str">
        <f>HYPERLINK("#Critères_liste_rouge!A$1","A2c")</f>
        <v>A2c</v>
      </c>
      <c r="Z4072" s="4" t="s">
        <v>695</v>
      </c>
      <c r="AA4072" s="4" t="s">
        <v>696</v>
      </c>
      <c r="AH4072" s="4" t="str">
        <f>HYPERLINK("#Statut_biogéographique!A"&amp;_xlfn.XMATCH("P",Statut_biogéographique!A:A,2,1),"P")</f>
        <v>P</v>
      </c>
      <c r="AP4072" s="4" t="s">
        <v>376</v>
      </c>
      <c r="AR4072" s="4" t="s">
        <v>377</v>
      </c>
    </row>
    <row r="4073" spans="1:44">
      <c r="A4073" s="4" t="s">
        <v>5</v>
      </c>
      <c r="B4073" s="4">
        <v>33879</v>
      </c>
      <c r="C4073" s="4">
        <v>3845</v>
      </c>
      <c r="D4073" s="5" t="s">
        <v>6006</v>
      </c>
      <c r="E4073" s="6" t="str">
        <f>HYPERLINK("https://inpn.mnhn.fr/espece/cd_nom/33879","Entoloma pseudoparasiticum Noordel., 1992")</f>
        <v>Entoloma pseudoparasiticum Noordel., 1992</v>
      </c>
      <c r="V4073" s="7" t="str">
        <f>HYPERLINK("#Liste_rouge!A"&amp;_xlfn.XMATCH("EN",Liste_rouge!A:A,2,1),"EN")</f>
        <v>EN</v>
      </c>
      <c r="W4073" s="4" t="str">
        <f>HYPERLINK("#Critères_liste_rouge!A$1","B2abiii")</f>
        <v>B2abiii</v>
      </c>
      <c r="Z4073" s="4" t="s">
        <v>447</v>
      </c>
      <c r="AA4073" s="4" t="s">
        <v>448</v>
      </c>
      <c r="AH4073" s="4" t="str">
        <f>HYPERLINK("#Statut_biogéographique!A"&amp;_xlfn.XMATCH("P",Statut_biogéographique!A:A,2,1),"P")</f>
        <v>P</v>
      </c>
      <c r="AP4073" s="4" t="s">
        <v>376</v>
      </c>
      <c r="AR4073" s="4" t="s">
        <v>377</v>
      </c>
    </row>
    <row r="4074" spans="1:44" ht="30">
      <c r="A4074" s="4" t="s">
        <v>5</v>
      </c>
      <c r="B4074" s="4">
        <v>33880</v>
      </c>
      <c r="C4074" s="4">
        <v>4473</v>
      </c>
      <c r="D4074" s="5" t="s">
        <v>6007</v>
      </c>
      <c r="E4074" s="6" t="str">
        <f>HYPERLINK("https://inpn.mnhn.fr/espece/cd_nom/33880","Entoloma pseudoturbidum (Romagn.) M.M.Moser, 1979")</f>
        <v>Entoloma pseudoturbidum (Romagn.) M.M.Moser, 1979</v>
      </c>
      <c r="V4074" s="7" t="str">
        <f>HYPERLINK("#Liste_rouge!A"&amp;_xlfn.XMATCH("DD",Liste_rouge!A:A,2,1),"DD")</f>
        <v>DD</v>
      </c>
      <c r="AH4074" s="4" t="str">
        <f>HYPERLINK("#Statut_biogéographique!A"&amp;_xlfn.XMATCH("P",Statut_biogéographique!A:A,2,1),"P")</f>
        <v>P</v>
      </c>
      <c r="AP4074" s="4" t="s">
        <v>376</v>
      </c>
      <c r="AR4074" s="4" t="s">
        <v>377</v>
      </c>
    </row>
    <row r="4075" spans="1:44">
      <c r="A4075" s="4" t="s">
        <v>5</v>
      </c>
      <c r="B4075" s="4">
        <v>33882</v>
      </c>
      <c r="C4075" s="4">
        <v>4176</v>
      </c>
      <c r="D4075" s="5" t="s">
        <v>6008</v>
      </c>
      <c r="E4075" s="6" t="str">
        <f>HYPERLINK("https://inpn.mnhn.fr/espece/cd_nom/33882","Entoloma pseudoturci Noordel., 1984")</f>
        <v>Entoloma pseudoturci Noordel., 1984</v>
      </c>
      <c r="V4075" s="7" t="str">
        <f>HYPERLINK("#Liste_rouge!A"&amp;_xlfn.XMATCH("EN",Liste_rouge!A:A,2,1),"EN")</f>
        <v>EN</v>
      </c>
      <c r="W4075" s="4" t="str">
        <f>HYPERLINK("#Critères_liste_rouge!A$1","B2abiii")</f>
        <v>B2abiii</v>
      </c>
      <c r="Z4075" s="4" t="s">
        <v>447</v>
      </c>
      <c r="AA4075" s="4" t="s">
        <v>448</v>
      </c>
      <c r="AH4075" s="4" t="str">
        <f>HYPERLINK("#Statut_biogéographique!A"&amp;_xlfn.XMATCH("P",Statut_biogéographique!A:A,2,1),"P")</f>
        <v>P</v>
      </c>
      <c r="AP4075" s="4" t="s">
        <v>376</v>
      </c>
      <c r="AR4075" s="4" t="s">
        <v>377</v>
      </c>
    </row>
    <row r="4076" spans="1:44">
      <c r="A4076" s="4" t="s">
        <v>5</v>
      </c>
      <c r="B4076" s="4">
        <v>33887</v>
      </c>
      <c r="C4076" s="4">
        <v>4582</v>
      </c>
      <c r="D4076" s="5" t="s">
        <v>6009</v>
      </c>
      <c r="E4076" s="6" t="str">
        <f>HYPERLINK("https://inpn.mnhn.fr/espece/cd_nom/33887","Entoloma queletii (Boud.) Noordel., 1983")</f>
        <v>Entoloma queletii (Boud.) Noordel., 1983</v>
      </c>
      <c r="F4076" s="5" t="s">
        <v>6010</v>
      </c>
      <c r="V4076" s="7" t="str">
        <f>HYPERLINK("#Liste_rouge!A"&amp;_xlfn.XMATCH("EN",Liste_rouge!A:A,2,1),"EN")</f>
        <v>EN</v>
      </c>
      <c r="W4076" s="4" t="str">
        <f>HYPERLINK("#Critères_liste_rouge!A$1","B2abiii")</f>
        <v>B2abiii</v>
      </c>
      <c r="Z4076" s="4" t="s">
        <v>695</v>
      </c>
      <c r="AA4076" s="4" t="s">
        <v>696</v>
      </c>
      <c r="AH4076" s="4" t="str">
        <f>HYPERLINK("#Statut_biogéographique!A"&amp;_xlfn.XMATCH("P",Statut_biogéographique!A:A,2,1),"P")</f>
        <v>P</v>
      </c>
      <c r="AP4076" s="4" t="s">
        <v>376</v>
      </c>
      <c r="AR4076" s="4" t="s">
        <v>377</v>
      </c>
    </row>
    <row r="4077" spans="1:44" ht="30">
      <c r="A4077" s="4" t="s">
        <v>5</v>
      </c>
      <c r="B4077" s="4">
        <v>33891</v>
      </c>
      <c r="C4077" s="4">
        <v>3275</v>
      </c>
      <c r="D4077" s="5" t="s">
        <v>6011</v>
      </c>
      <c r="E4077" s="6" t="str">
        <f>HYPERLINK("https://inpn.mnhn.fr/espece/cd_nom/33891","Entoloma querquedula (Romagn.) Noordel., 1982")</f>
        <v>Entoloma querquedula (Romagn.) Noordel., 1982</v>
      </c>
      <c r="V4077" s="7" t="str">
        <f>HYPERLINK("#Liste_rouge!A"&amp;_xlfn.XMATCH("EN",Liste_rouge!A:A,2,1),"EN")</f>
        <v>EN</v>
      </c>
      <c r="W4077" s="4" t="str">
        <f>HYPERLINK("#Critères_liste_rouge!A$1","B2abiii")</f>
        <v>B2abiii</v>
      </c>
      <c r="Z4077" s="4" t="s">
        <v>447</v>
      </c>
      <c r="AA4077" s="4" t="s">
        <v>448</v>
      </c>
      <c r="AH4077" s="4" t="str">
        <f>HYPERLINK("#Statut_biogéographique!A"&amp;_xlfn.XMATCH("P",Statut_biogéographique!A:A,2,1),"P")</f>
        <v>P</v>
      </c>
      <c r="AP4077" s="4" t="s">
        <v>376</v>
      </c>
      <c r="AR4077" s="4" t="s">
        <v>377</v>
      </c>
    </row>
    <row r="4078" spans="1:44" ht="30">
      <c r="A4078" s="4" t="s">
        <v>5</v>
      </c>
      <c r="B4078" s="4">
        <v>33898</v>
      </c>
      <c r="C4078" s="4">
        <v>2704</v>
      </c>
      <c r="D4078" s="5" t="s">
        <v>6012</v>
      </c>
      <c r="E4078" s="6" t="str">
        <f>HYPERLINK("https://inpn.mnhn.fr/espece/cd_nom/33898","Entoloma rhodocylix (Lasch) M.M.Moser, 1978")</f>
        <v>Entoloma rhodocylix (Lasch) M.M.Moser, 1978</v>
      </c>
      <c r="V4078" s="7" t="str">
        <f>HYPERLINK("#Liste_rouge!A"&amp;_xlfn.XMATCH("EN",Liste_rouge!A:A,2,1),"EN")</f>
        <v>EN</v>
      </c>
      <c r="W4078" s="4" t="str">
        <f>HYPERLINK("#Critères_liste_rouge!A$1","B2abiii")</f>
        <v>B2abiii</v>
      </c>
      <c r="Z4078" s="4" t="s">
        <v>447</v>
      </c>
      <c r="AA4078" s="4" t="s">
        <v>448</v>
      </c>
      <c r="AH4078" s="4" t="str">
        <f>HYPERLINK("#Statut_biogéographique!A"&amp;_xlfn.XMATCH("P",Statut_biogéographique!A:A,2,1),"P")</f>
        <v>P</v>
      </c>
      <c r="AP4078" s="4" t="s">
        <v>376</v>
      </c>
      <c r="AR4078" s="4" t="s">
        <v>377</v>
      </c>
    </row>
    <row r="4079" spans="1:44" ht="30">
      <c r="A4079" s="4" t="s">
        <v>5</v>
      </c>
      <c r="B4079" s="4">
        <v>33901</v>
      </c>
      <c r="C4079" s="4">
        <v>139</v>
      </c>
      <c r="D4079" s="5" t="s">
        <v>6013</v>
      </c>
      <c r="E4079" s="6" t="str">
        <f>HYPERLINK("https://inpn.mnhn.fr/espece/cd_nom/33901","Entoloma rhodopolium (Fr.) P.Kumm., 1871")</f>
        <v>Entoloma rhodopolium (Fr.) P.Kumm., 1871</v>
      </c>
      <c r="F4079" s="5" t="s">
        <v>6014</v>
      </c>
      <c r="V4079" s="7" t="str">
        <f>HYPERLINK("#Liste_rouge!A"&amp;_xlfn.XMATCH("LC",Liste_rouge!A:A,2,1),"LC")</f>
        <v>LC</v>
      </c>
      <c r="AH4079" s="4" t="str">
        <f>HYPERLINK("#Statut_biogéographique!A"&amp;_xlfn.XMATCH("P",Statut_biogéographique!A:A,2,1),"P")</f>
        <v>P</v>
      </c>
      <c r="AP4079" s="4" t="s">
        <v>376</v>
      </c>
      <c r="AR4079" s="4" t="s">
        <v>377</v>
      </c>
    </row>
    <row r="4080" spans="1:44" ht="30">
      <c r="A4080" s="4" t="s">
        <v>5</v>
      </c>
      <c r="B4080" s="4">
        <v>33904</v>
      </c>
      <c r="C4080" s="4">
        <v>3296</v>
      </c>
      <c r="D4080" s="5" t="s">
        <v>6015</v>
      </c>
      <c r="E4080" s="6" t="str">
        <f>HYPERLINK("https://inpn.mnhn.fr/espece/cd_nom/33904","Entoloma rhombisporum (Kühner &amp; Boursier) E.Horak, 1976")</f>
        <v>Entoloma rhombisporum (Kühner &amp; Boursier) E.Horak, 1976</v>
      </c>
      <c r="F4080" s="5" t="s">
        <v>6016</v>
      </c>
      <c r="V4080" s="7" t="str">
        <f>HYPERLINK("#Liste_rouge!A"&amp;_xlfn.XMATCH("DD",Liste_rouge!A:A,2,1),"DD")</f>
        <v>DD</v>
      </c>
      <c r="Z4080" s="4" t="s">
        <v>447</v>
      </c>
      <c r="AA4080" s="4" t="s">
        <v>448</v>
      </c>
      <c r="AH4080" s="4" t="str">
        <f>HYPERLINK("#Statut_biogéographique!A"&amp;_xlfn.XMATCH("P",Statut_biogéographique!A:A,2,1),"P")</f>
        <v>P</v>
      </c>
      <c r="AP4080" s="4" t="s">
        <v>376</v>
      </c>
      <c r="AR4080" s="4" t="s">
        <v>377</v>
      </c>
    </row>
    <row r="4081" spans="1:44">
      <c r="A4081" s="4" t="s">
        <v>5</v>
      </c>
      <c r="B4081" s="4">
        <v>33913</v>
      </c>
      <c r="C4081" s="4">
        <v>3802</v>
      </c>
      <c r="D4081" s="5" t="s">
        <v>6017</v>
      </c>
      <c r="E4081" s="6" t="str">
        <f>HYPERLINK("https://inpn.mnhn.fr/espece/cd_nom/33913","Entoloma roseum (Longyear) Hesler, 1967")</f>
        <v>Entoloma roseum (Longyear) Hesler, 1967</v>
      </c>
      <c r="F4081" s="5" t="s">
        <v>6018</v>
      </c>
      <c r="V4081" s="7" t="str">
        <f>HYPERLINK("#Liste_rouge!A"&amp;_xlfn.XMATCH("EN",Liste_rouge!A:A,2,1),"EN")</f>
        <v>EN</v>
      </c>
      <c r="W4081" s="4" t="str">
        <f>HYPERLINK("#Critères_liste_rouge!A$1","B2abiii")</f>
        <v>B2abiii</v>
      </c>
      <c r="Z4081" s="4" t="s">
        <v>447</v>
      </c>
      <c r="AA4081" s="4" t="s">
        <v>448</v>
      </c>
      <c r="AH4081" s="4" t="str">
        <f>HYPERLINK("#Statut_biogéographique!A"&amp;_xlfn.XMATCH("P",Statut_biogéographique!A:A,2,1),"P")</f>
        <v>P</v>
      </c>
      <c r="AP4081" s="4" t="s">
        <v>376</v>
      </c>
      <c r="AR4081" s="4" t="s">
        <v>377</v>
      </c>
    </row>
    <row r="4082" spans="1:44">
      <c r="A4082" s="4" t="s">
        <v>5</v>
      </c>
      <c r="B4082" s="4">
        <v>33923</v>
      </c>
      <c r="C4082" s="4">
        <v>3822</v>
      </c>
      <c r="D4082" s="5" t="s">
        <v>6019</v>
      </c>
      <c r="E4082" s="6" t="str">
        <f>HYPERLINK("https://inpn.mnhn.fr/espece/cd_nom/33923","Entoloma rusticoides (Gillet) Noordel., 1981")</f>
        <v>Entoloma rusticoides (Gillet) Noordel., 1981</v>
      </c>
      <c r="V4082" s="7" t="str">
        <f>HYPERLINK("#Liste_rouge!A"&amp;_xlfn.XMATCH("EN",Liste_rouge!A:A,2,1),"EN")</f>
        <v>EN</v>
      </c>
      <c r="W4082" s="4" t="str">
        <f>HYPERLINK("#Critères_liste_rouge!A$1","A2c")</f>
        <v>A2c</v>
      </c>
      <c r="Z4082" s="4" t="s">
        <v>447</v>
      </c>
      <c r="AA4082" s="4" t="s">
        <v>448</v>
      </c>
      <c r="AH4082" s="4" t="str">
        <f>HYPERLINK("#Statut_biogéographique!A"&amp;_xlfn.XMATCH("P",Statut_biogéographique!A:A,2,1),"P")</f>
        <v>P</v>
      </c>
      <c r="AP4082" s="4" t="s">
        <v>376</v>
      </c>
      <c r="AR4082" s="4" t="s">
        <v>377</v>
      </c>
    </row>
    <row r="4083" spans="1:44">
      <c r="A4083" s="4" t="s">
        <v>5</v>
      </c>
      <c r="B4083" s="4">
        <v>33928</v>
      </c>
      <c r="C4083" s="4">
        <v>5668</v>
      </c>
      <c r="D4083" s="5" t="s">
        <v>6020</v>
      </c>
      <c r="E4083" s="6" t="str">
        <f>HYPERLINK("https://inpn.mnhn.fr/espece/cd_nom/33928","Entoloma sarcitum (Fr.) Noordel., 1981")</f>
        <v>Entoloma sarcitum (Fr.) Noordel., 1981</v>
      </c>
      <c r="V4083" s="7" t="str">
        <f>HYPERLINK("#Liste_rouge!A"&amp;_xlfn.XMATCH("DD",Liste_rouge!A:A,2,1),"DD")</f>
        <v>DD</v>
      </c>
      <c r="AH4083" s="4" t="str">
        <f>HYPERLINK("#Statut_biogéographique!A"&amp;_xlfn.XMATCH("P",Statut_biogéographique!A:A,2,1),"P")</f>
        <v>P</v>
      </c>
      <c r="AP4083" s="4" t="s">
        <v>376</v>
      </c>
      <c r="AR4083" s="4" t="s">
        <v>377</v>
      </c>
    </row>
    <row r="4084" spans="1:44">
      <c r="A4084" s="4" t="s">
        <v>5</v>
      </c>
      <c r="B4084" s="4">
        <v>33931</v>
      </c>
      <c r="C4084" s="4">
        <v>4860</v>
      </c>
      <c r="D4084" s="5" t="s">
        <v>6021</v>
      </c>
      <c r="E4084" s="6" t="str">
        <f>HYPERLINK("https://inpn.mnhn.fr/espece/cd_nom/33931","Entoloma saundersii (Fr.) Sacc., 1887")</f>
        <v>Entoloma saundersii (Fr.) Sacc., 1887</v>
      </c>
      <c r="F4084" s="5" t="s">
        <v>6022</v>
      </c>
      <c r="V4084" s="7" t="str">
        <f>HYPERLINK("#Liste_rouge!A"&amp;_xlfn.XMATCH("DD",Liste_rouge!A:A,2,1),"DD")</f>
        <v>DD</v>
      </c>
      <c r="AH4084" s="4" t="str">
        <f>HYPERLINK("#Statut_biogéographique!A"&amp;_xlfn.XMATCH("P",Statut_biogéographique!A:A,2,1),"P")</f>
        <v>P</v>
      </c>
      <c r="AP4084" s="4" t="s">
        <v>376</v>
      </c>
      <c r="AR4084" s="4" t="s">
        <v>377</v>
      </c>
    </row>
    <row r="4085" spans="1:44" ht="30">
      <c r="A4085" s="4" t="s">
        <v>5</v>
      </c>
      <c r="B4085" s="4">
        <v>33942</v>
      </c>
      <c r="C4085" s="4">
        <v>908</v>
      </c>
      <c r="D4085" s="5" t="s">
        <v>6023</v>
      </c>
      <c r="E4085" s="6" t="str">
        <f>HYPERLINK("https://inpn.mnhn.fr/espece/cd_nom/33942","Entoloma sepium (Noulet &amp; Dass.) Richon &amp; Roze, 1880")</f>
        <v>Entoloma sepium (Noulet &amp; Dass.) Richon &amp; Roze, 1880</v>
      </c>
      <c r="F4085" s="5" t="s">
        <v>6024</v>
      </c>
      <c r="V4085" s="7" t="str">
        <f>HYPERLINK("#Liste_rouge!A"&amp;_xlfn.XMATCH("VU",Liste_rouge!A:A,2,1),"VU")</f>
        <v>VU</v>
      </c>
      <c r="W4085" s="4" t="str">
        <f>HYPERLINK("#Critères_liste_rouge!A$1","A2c")</f>
        <v>A2c</v>
      </c>
      <c r="Z4085" s="4" t="s">
        <v>447</v>
      </c>
      <c r="AA4085" s="4" t="s">
        <v>448</v>
      </c>
      <c r="AH4085" s="4" t="str">
        <f>HYPERLINK("#Statut_biogéographique!A"&amp;_xlfn.XMATCH("P",Statut_biogéographique!A:A,2,1),"P")</f>
        <v>P</v>
      </c>
      <c r="AP4085" s="4" t="s">
        <v>376</v>
      </c>
      <c r="AR4085" s="4" t="s">
        <v>377</v>
      </c>
    </row>
    <row r="4086" spans="1:44">
      <c r="A4086" s="4" t="s">
        <v>5</v>
      </c>
      <c r="B4086" s="4">
        <v>33947</v>
      </c>
      <c r="C4086" s="4">
        <v>2208</v>
      </c>
      <c r="D4086" s="5" t="s">
        <v>6025</v>
      </c>
      <c r="E4086" s="6" t="str">
        <f>HYPERLINK("https://inpn.mnhn.fr/espece/cd_nom/33947","Entoloma sericatum (Britzelm.) Sacc., 1895")</f>
        <v>Entoloma sericatum (Britzelm.) Sacc., 1895</v>
      </c>
      <c r="V4086" s="7" t="str">
        <f>HYPERLINK("#Liste_rouge!A"&amp;_xlfn.XMATCH("VU",Liste_rouge!A:A,2,1),"VU")</f>
        <v>VU</v>
      </c>
      <c r="W4086" s="4" t="str">
        <f>HYPERLINK("#Critères_liste_rouge!A$1","A2c")</f>
        <v>A2c</v>
      </c>
      <c r="Z4086" s="4" t="s">
        <v>447</v>
      </c>
      <c r="AA4086" s="4" t="s">
        <v>448</v>
      </c>
      <c r="AH4086" s="4" t="str">
        <f>HYPERLINK("#Statut_biogéographique!A"&amp;_xlfn.XMATCH("P",Statut_biogéographique!A:A,2,1),"P")</f>
        <v>P</v>
      </c>
      <c r="AP4086" s="4" t="s">
        <v>376</v>
      </c>
      <c r="AR4086" s="4" t="s">
        <v>377</v>
      </c>
    </row>
    <row r="4087" spans="1:44" ht="60">
      <c r="A4087" s="4" t="s">
        <v>5</v>
      </c>
      <c r="B4087" s="4">
        <v>33950</v>
      </c>
      <c r="C4087" s="4">
        <v>2209</v>
      </c>
      <c r="D4087" s="5" t="s">
        <v>6026</v>
      </c>
      <c r="E4087" s="6" t="str">
        <f>HYPERLINK("https://inpn.mnhn.fr/espece/cd_nom/33950","Entoloma sericellum (Fr.) P.Kumm., 1871")</f>
        <v>Entoloma sericellum (Fr.) P.Kumm., 1871</v>
      </c>
      <c r="F4087" s="5" t="s">
        <v>6027</v>
      </c>
      <c r="V4087" s="7" t="str">
        <f>HYPERLINK("#Liste_rouge!A"&amp;_xlfn.XMATCH("NT",Liste_rouge!A:A,2,1),"NT")</f>
        <v>NT</v>
      </c>
      <c r="W4087" s="4" t="str">
        <f>HYPERLINK("#Critères_liste_rouge!A$1","pr. B2a")</f>
        <v>pr. B2a</v>
      </c>
      <c r="AH4087" s="4" t="str">
        <f>HYPERLINK("#Statut_biogéographique!A"&amp;_xlfn.XMATCH("P",Statut_biogéographique!A:A,2,1),"P")</f>
        <v>P</v>
      </c>
      <c r="AP4087" s="4" t="s">
        <v>376</v>
      </c>
      <c r="AR4087" s="4" t="s">
        <v>377</v>
      </c>
    </row>
    <row r="4088" spans="1:44" ht="30">
      <c r="A4088" s="4" t="s">
        <v>5</v>
      </c>
      <c r="B4088" s="4">
        <v>33954</v>
      </c>
      <c r="C4088" s="4">
        <v>4177</v>
      </c>
      <c r="D4088" s="5" t="s">
        <v>6028</v>
      </c>
      <c r="E4088" s="6" t="str">
        <f>HYPERLINK("https://inpn.mnhn.fr/espece/cd_nom/33954","Entoloma sericeoides (J.E.Lange) Noordel., 1980")</f>
        <v>Entoloma sericeoides (J.E.Lange) Noordel., 1980</v>
      </c>
      <c r="F4088" s="5" t="s">
        <v>6029</v>
      </c>
      <c r="V4088" s="7" t="str">
        <f>HYPERLINK("#Liste_rouge!A"&amp;_xlfn.XMATCH("DD",Liste_rouge!A:A,2,1),"DD")</f>
        <v>DD</v>
      </c>
      <c r="AH4088" s="4" t="str">
        <f>HYPERLINK("#Statut_biogéographique!A"&amp;_xlfn.XMATCH("P",Statut_biogéographique!A:A,2,1),"P")</f>
        <v>P</v>
      </c>
      <c r="AP4088" s="4" t="s">
        <v>376</v>
      </c>
      <c r="AR4088" s="4" t="s">
        <v>377</v>
      </c>
    </row>
    <row r="4089" spans="1:44" ht="30">
      <c r="A4089" s="4" t="s">
        <v>5</v>
      </c>
      <c r="B4089" s="4">
        <v>33956</v>
      </c>
      <c r="C4089" s="4">
        <v>5404</v>
      </c>
      <c r="D4089" s="5" t="s">
        <v>6030</v>
      </c>
      <c r="E4089" s="6" t="str">
        <f>HYPERLINK("https://inpn.mnhn.fr/espece/cd_nom/33956","Entoloma sericeonitens (P.D.Orton) Noordel., 1980")</f>
        <v>Entoloma sericeonitens (P.D.Orton) Noordel., 1980</v>
      </c>
      <c r="V4089" s="7" t="str">
        <f>HYPERLINK("#Liste_rouge!A"&amp;_xlfn.XMATCH("DD",Liste_rouge!A:A,2,1),"DD")</f>
        <v>DD</v>
      </c>
      <c r="AH4089" s="4" t="str">
        <f>HYPERLINK("#Statut_biogéographique!A"&amp;_xlfn.XMATCH("P",Statut_biogéographique!A:A,2,1),"P")</f>
        <v>P</v>
      </c>
      <c r="AP4089" s="4" t="s">
        <v>376</v>
      </c>
      <c r="AR4089" s="4" t="s">
        <v>377</v>
      </c>
    </row>
    <row r="4090" spans="1:44">
      <c r="A4090" s="4" t="s">
        <v>5</v>
      </c>
      <c r="B4090" s="4">
        <v>33958</v>
      </c>
      <c r="D4090" s="5" t="s">
        <v>6031</v>
      </c>
      <c r="E4090" s="6" t="str">
        <f>HYPERLINK("https://inpn.mnhn.fr/espece/cd_nom/33958","Entoloma sericeum Quél., 1872")</f>
        <v>Entoloma sericeum Quél., 1872</v>
      </c>
      <c r="V4090" s="7" t="str">
        <f>HYPERLINK("#Liste_rouge!A"&amp;_xlfn.XMATCH("NT",Liste_rouge!A:A,2,1),"NT")</f>
        <v>NT</v>
      </c>
      <c r="W4090" s="4" t="str">
        <f>HYPERLINK("#Critères_liste_rouge!A$1","pr. B2a")</f>
        <v>pr. B2a</v>
      </c>
      <c r="AH4090" s="4" t="str">
        <f>HYPERLINK("#Statut_biogéographique!A"&amp;_xlfn.XMATCH("P",Statut_biogéographique!A:A,2,1),"P")</f>
        <v>P</v>
      </c>
      <c r="AP4090" s="4" t="s">
        <v>376</v>
      </c>
      <c r="AR4090" s="4" t="s">
        <v>377</v>
      </c>
    </row>
    <row r="4091" spans="1:44" ht="30">
      <c r="A4091" s="4" t="s">
        <v>5</v>
      </c>
      <c r="B4091" s="4">
        <v>33961</v>
      </c>
      <c r="C4091" s="4">
        <v>5220</v>
      </c>
      <c r="D4091" s="5" t="s">
        <v>6032</v>
      </c>
      <c r="E4091" s="6" t="str">
        <f>HYPERLINK("https://inpn.mnhn.fr/espece/cd_nom/33961","Entoloma sericeum var. cinereoopacum Noordel.")</f>
        <v>Entoloma sericeum var. cinereoopacum Noordel.</v>
      </c>
      <c r="V4091" s="7" t="str">
        <f>HYPERLINK("#Liste_rouge!A"&amp;_xlfn.XMATCH("DD",Liste_rouge!A:A,2,1),"DD")</f>
        <v>DD</v>
      </c>
      <c r="Z4091" s="4" t="s">
        <v>447</v>
      </c>
      <c r="AA4091" s="4" t="s">
        <v>448</v>
      </c>
      <c r="AH4091" s="4" t="str">
        <f>HYPERLINK("#Statut_biogéographique!A"&amp;_xlfn.XMATCH("P",Statut_biogéographique!A:A,2,1),"P")</f>
        <v>P</v>
      </c>
      <c r="AP4091" s="4" t="s">
        <v>376</v>
      </c>
      <c r="AR4091" s="4" t="s">
        <v>377</v>
      </c>
    </row>
    <row r="4092" spans="1:44">
      <c r="A4092" s="4" t="s">
        <v>5</v>
      </c>
      <c r="B4092" s="4">
        <v>33962</v>
      </c>
      <c r="C4092" s="4">
        <v>2210</v>
      </c>
      <c r="D4092" s="5" t="s">
        <v>6033</v>
      </c>
      <c r="E4092" s="6" t="str">
        <f>HYPERLINK("https://inpn.mnhn.fr/espece/cd_nom/33962","Entoloma serrulatum (Fr.) Hesler, 1967")</f>
        <v>Entoloma serrulatum (Fr.) Hesler, 1967</v>
      </c>
      <c r="F4092" s="5" t="s">
        <v>6034</v>
      </c>
      <c r="V4092" s="7" t="str">
        <f>HYPERLINK("#Liste_rouge!A"&amp;_xlfn.XMATCH("VU",Liste_rouge!A:A,2,1),"VU")</f>
        <v>VU</v>
      </c>
      <c r="W4092" s="4" t="str">
        <f>HYPERLINK("#Critères_liste_rouge!A$1","A2c")</f>
        <v>A2c</v>
      </c>
      <c r="Z4092" s="4" t="s">
        <v>447</v>
      </c>
      <c r="AA4092" s="4" t="s">
        <v>448</v>
      </c>
      <c r="AH4092" s="4" t="str">
        <f>HYPERLINK("#Statut_biogéographique!A"&amp;_xlfn.XMATCH("P",Statut_biogéographique!A:A,2,1),"P")</f>
        <v>P</v>
      </c>
      <c r="AP4092" s="4" t="s">
        <v>376</v>
      </c>
      <c r="AR4092" s="4" t="s">
        <v>377</v>
      </c>
    </row>
    <row r="4093" spans="1:44" ht="30">
      <c r="A4093" s="4" t="s">
        <v>5</v>
      </c>
      <c r="B4093" s="4">
        <v>33965</v>
      </c>
      <c r="C4093" s="4">
        <v>4178</v>
      </c>
      <c r="D4093" s="5" t="s">
        <v>6035</v>
      </c>
      <c r="E4093" s="6" t="str">
        <f>HYPERLINK("https://inpn.mnhn.fr/espece/cd_nom/33965","Entoloma sodale Kühner &amp; Romagn. ex Noordel., 1982")</f>
        <v>Entoloma sodale Kühner &amp; Romagn. ex Noordel., 1982</v>
      </c>
      <c r="V4093" s="7" t="str">
        <f>HYPERLINK("#Liste_rouge!A"&amp;_xlfn.XMATCH("EN",Liste_rouge!A:A,2,1),"EN")</f>
        <v>EN</v>
      </c>
      <c r="W4093" s="4" t="str">
        <f>HYPERLINK("#Critères_liste_rouge!A$1","B2abiii")</f>
        <v>B2abiii</v>
      </c>
      <c r="Z4093" s="4" t="s">
        <v>447</v>
      </c>
      <c r="AA4093" s="4" t="s">
        <v>448</v>
      </c>
      <c r="AH4093" s="4" t="str">
        <f>HYPERLINK("#Statut_biogéographique!A"&amp;_xlfn.XMATCH("P",Statut_biogéographique!A:A,2,1),"P")</f>
        <v>P</v>
      </c>
      <c r="AP4093" s="4" t="s">
        <v>376</v>
      </c>
      <c r="AR4093" s="4" t="s">
        <v>377</v>
      </c>
    </row>
    <row r="4094" spans="1:44" ht="30">
      <c r="A4094" s="4" t="s">
        <v>5</v>
      </c>
      <c r="B4094" s="4">
        <v>33968</v>
      </c>
      <c r="C4094" s="4">
        <v>2427</v>
      </c>
      <c r="D4094" s="5" t="s">
        <v>6036</v>
      </c>
      <c r="E4094" s="6" t="str">
        <f>HYPERLINK("https://inpn.mnhn.fr/espece/cd_nom/33968","Entoloma solstitiale (Fr.) Noordel., 1980")</f>
        <v>Entoloma solstitiale (Fr.) Noordel., 1980</v>
      </c>
      <c r="V4094" s="7" t="str">
        <f>HYPERLINK("#Liste_rouge!A"&amp;_xlfn.XMATCH("EN",Liste_rouge!A:A,2,1),"EN")</f>
        <v>EN</v>
      </c>
      <c r="W4094" s="4" t="str">
        <f>HYPERLINK("#Critères_liste_rouge!A$1","B2abiii")</f>
        <v>B2abiii</v>
      </c>
      <c r="Z4094" s="4" t="s">
        <v>447</v>
      </c>
      <c r="AA4094" s="4" t="s">
        <v>448</v>
      </c>
      <c r="AH4094" s="4" t="str">
        <f>HYPERLINK("#Statut_biogéographique!A"&amp;_xlfn.XMATCH("P",Statut_biogéographique!A:A,2,1),"P")</f>
        <v>P</v>
      </c>
      <c r="AP4094" s="4" t="s">
        <v>376</v>
      </c>
      <c r="AR4094" s="4" t="s">
        <v>377</v>
      </c>
    </row>
    <row r="4095" spans="1:44" ht="30">
      <c r="A4095" s="4" t="s">
        <v>5</v>
      </c>
      <c r="B4095" s="4">
        <v>33971</v>
      </c>
      <c r="C4095" s="4">
        <v>5255</v>
      </c>
      <c r="D4095" s="5" t="s">
        <v>6037</v>
      </c>
      <c r="E4095" s="6" t="str">
        <f>HYPERLINK("https://inpn.mnhn.fr/espece/cd_nom/33971","Entoloma sordidulum (Kühner &amp; Romagn.) P.D.Orton, 1960")</f>
        <v>Entoloma sordidulum (Kühner &amp; Romagn.) P.D.Orton, 1960</v>
      </c>
      <c r="V4095" s="7" t="str">
        <f>HYPERLINK("#Liste_rouge!A"&amp;_xlfn.XMATCH("DD",Liste_rouge!A:A,2,1),"DD")</f>
        <v>DD</v>
      </c>
      <c r="AH4095" s="4" t="str">
        <f>HYPERLINK("#Statut_biogéographique!A"&amp;_xlfn.XMATCH("P",Statut_biogéographique!A:A,2,1),"P")</f>
        <v>P</v>
      </c>
      <c r="AP4095" s="4" t="s">
        <v>376</v>
      </c>
      <c r="AR4095" s="4" t="s">
        <v>377</v>
      </c>
    </row>
    <row r="4096" spans="1:44">
      <c r="A4096" s="4" t="s">
        <v>5</v>
      </c>
      <c r="B4096" s="4">
        <v>33973</v>
      </c>
      <c r="C4096" s="4">
        <v>4666</v>
      </c>
      <c r="D4096" s="5" t="s">
        <v>6038</v>
      </c>
      <c r="E4096" s="6" t="str">
        <f>HYPERLINK("https://inpn.mnhn.fr/espece/cd_nom/33973","Entoloma speculum (Fr.) Quél., 1872")</f>
        <v>Entoloma speculum (Fr.) Quél., 1872</v>
      </c>
      <c r="V4096" s="7" t="str">
        <f>HYPERLINK("#Liste_rouge!A"&amp;_xlfn.XMATCH("EN",Liste_rouge!A:A,2,1),"EN")</f>
        <v>EN</v>
      </c>
      <c r="W4096" s="4" t="str">
        <f>HYPERLINK("#Critères_liste_rouge!A$1","B2abiii")</f>
        <v>B2abiii</v>
      </c>
      <c r="Z4096" s="4" t="s">
        <v>447</v>
      </c>
      <c r="AA4096" s="4" t="s">
        <v>448</v>
      </c>
      <c r="AH4096" s="4" t="str">
        <f>HYPERLINK("#Statut_biogéographique!A"&amp;_xlfn.XMATCH("P",Statut_biogéographique!A:A,2,1),"P")</f>
        <v>P</v>
      </c>
      <c r="AP4096" s="4" t="s">
        <v>376</v>
      </c>
      <c r="AR4096" s="4" t="s">
        <v>377</v>
      </c>
    </row>
    <row r="4097" spans="1:44">
      <c r="A4097" s="4" t="s">
        <v>5</v>
      </c>
      <c r="B4097" s="4">
        <v>33976</v>
      </c>
      <c r="C4097" s="4">
        <v>6397</v>
      </c>
      <c r="D4097" s="5" t="s">
        <v>6039</v>
      </c>
      <c r="E4097" s="6" t="str">
        <f>HYPERLINK("https://inpn.mnhn.fr/espece/cd_nom/33976","Entoloma sphagneti Naveau, 1923")</f>
        <v>Entoloma sphagneti Naveau, 1923</v>
      </c>
      <c r="AH4097" s="4" t="str">
        <f>HYPERLINK("#Statut_biogéographique!A"&amp;_xlfn.XMATCH("P",Statut_biogéographique!A:A,2,1),"P")</f>
        <v>P</v>
      </c>
      <c r="AP4097" s="4" t="s">
        <v>376</v>
      </c>
      <c r="AR4097" s="4" t="s">
        <v>377</v>
      </c>
    </row>
    <row r="4098" spans="1:44" ht="30">
      <c r="A4098" s="4" t="s">
        <v>5</v>
      </c>
      <c r="B4098" s="4">
        <v>33978</v>
      </c>
      <c r="C4098" s="4">
        <v>3276</v>
      </c>
      <c r="D4098" s="5" t="s">
        <v>6040</v>
      </c>
      <c r="E4098" s="6" t="str">
        <f>HYPERLINK("https://inpn.mnhn.fr/espece/cd_nom/33978","Entoloma sphagnorum (Romagn. &amp; J.Favre) Bon &amp; Courtec., 1987")</f>
        <v>Entoloma sphagnorum (Romagn. &amp; J.Favre) Bon &amp; Courtec., 1987</v>
      </c>
      <c r="F4098" s="5" t="s">
        <v>6041</v>
      </c>
      <c r="V4098" s="7" t="str">
        <f>HYPERLINK("#Liste_rouge!A"&amp;_xlfn.XMATCH("CR",Liste_rouge!A:A,2,1),"CR")</f>
        <v>CR</v>
      </c>
      <c r="W4098" s="4" t="str">
        <f>HYPERLINK("#Critères_liste_rouge!A$1","B2abiii")</f>
        <v>B2abiii</v>
      </c>
      <c r="Z4098" s="4" t="s">
        <v>512</v>
      </c>
      <c r="AA4098" s="4" t="s">
        <v>513</v>
      </c>
      <c r="AH4098" s="4" t="str">
        <f>HYPERLINK("#Statut_biogéographique!A"&amp;_xlfn.XMATCH("P",Statut_biogéographique!A:A,2,1),"P")</f>
        <v>P</v>
      </c>
      <c r="AP4098" s="4" t="s">
        <v>376</v>
      </c>
      <c r="AR4098" s="4" t="s">
        <v>377</v>
      </c>
    </row>
    <row r="4099" spans="1:44" ht="30">
      <c r="A4099" s="4" t="s">
        <v>5</v>
      </c>
      <c r="B4099" s="4">
        <v>33987</v>
      </c>
      <c r="C4099" s="4">
        <v>2459</v>
      </c>
      <c r="D4099" s="5" t="s">
        <v>6042</v>
      </c>
      <c r="E4099" s="6" t="str">
        <f>HYPERLINK("https://inpn.mnhn.fr/espece/cd_nom/33987","Entoloma subradiatum (Kühner &amp; Romagn.) M.M.Moser, 1978")</f>
        <v>Entoloma subradiatum (Kühner &amp; Romagn.) M.M.Moser, 1978</v>
      </c>
      <c r="V4099" s="7" t="str">
        <f>HYPERLINK("#Liste_rouge!A"&amp;_xlfn.XMATCH("NT",Liste_rouge!A:A,2,1),"NT")</f>
        <v>NT</v>
      </c>
      <c r="W4099" s="4" t="str">
        <f>HYPERLINK("#Critères_liste_rouge!A$1","pr. B2abiii")</f>
        <v>pr. B2abiii</v>
      </c>
      <c r="AH4099" s="4" t="str">
        <f>HYPERLINK("#Statut_biogéographique!A"&amp;_xlfn.XMATCH("P",Statut_biogéographique!A:A,2,1),"P")</f>
        <v>P</v>
      </c>
      <c r="AP4099" s="4" t="s">
        <v>376</v>
      </c>
      <c r="AR4099" s="4" t="s">
        <v>377</v>
      </c>
    </row>
    <row r="4100" spans="1:44">
      <c r="A4100" s="4" t="s">
        <v>5</v>
      </c>
      <c r="B4100" s="4">
        <v>33991</v>
      </c>
      <c r="C4100" s="4">
        <v>5486</v>
      </c>
      <c r="D4100" s="5" t="s">
        <v>6043</v>
      </c>
      <c r="E4100" s="6" t="str">
        <f>HYPERLINK("https://inpn.mnhn.fr/espece/cd_nom/33991","Entoloma tenellum (J.Favre) Noordel., 1979")</f>
        <v>Entoloma tenellum (J.Favre) Noordel., 1979</v>
      </c>
      <c r="V4100" s="7" t="str">
        <f>HYPERLINK("#Liste_rouge!A"&amp;_xlfn.XMATCH("DD",Liste_rouge!A:A,2,1),"DD")</f>
        <v>DD</v>
      </c>
      <c r="AH4100" s="4" t="str">
        <f>HYPERLINK("#Statut_biogéographique!A"&amp;_xlfn.XMATCH("P",Statut_biogéographique!A:A,2,1),"P")</f>
        <v>P</v>
      </c>
      <c r="AP4100" s="4" t="s">
        <v>376</v>
      </c>
      <c r="AR4100" s="4" t="s">
        <v>377</v>
      </c>
    </row>
    <row r="4101" spans="1:44">
      <c r="A4101" s="4" t="s">
        <v>5</v>
      </c>
      <c r="B4101" s="4">
        <v>33993</v>
      </c>
      <c r="C4101" s="4">
        <v>4461</v>
      </c>
      <c r="D4101" s="5" t="s">
        <v>6044</v>
      </c>
      <c r="E4101" s="6" t="str">
        <f>HYPERLINK("https://inpn.mnhn.fr/espece/cd_nom/33993","Entoloma testaceum (Bres.) Noordel., 1987")</f>
        <v>Entoloma testaceum (Bres.) Noordel., 1987</v>
      </c>
      <c r="AH4101" s="4" t="str">
        <f>HYPERLINK("#Statut_biogéographique!A"&amp;_xlfn.XMATCH("P",Statut_biogéographique!A:A,2,1),"P")</f>
        <v>P</v>
      </c>
      <c r="AP4101" s="4" t="s">
        <v>376</v>
      </c>
      <c r="AR4101" s="4" t="s">
        <v>377</v>
      </c>
    </row>
    <row r="4102" spans="1:44">
      <c r="A4102" s="4" t="s">
        <v>5</v>
      </c>
      <c r="B4102" s="4">
        <v>33998</v>
      </c>
      <c r="C4102" s="4">
        <v>3569</v>
      </c>
      <c r="D4102" s="5" t="s">
        <v>6045</v>
      </c>
      <c r="E4102" s="6" t="str">
        <f>HYPERLINK("https://inpn.mnhn.fr/espece/cd_nom/33998","Entoloma tjallingiorum Noordel., 1982")</f>
        <v>Entoloma tjallingiorum Noordel., 1982</v>
      </c>
      <c r="F4102" s="5" t="s">
        <v>6046</v>
      </c>
      <c r="V4102" s="7" t="str">
        <f>HYPERLINK("#Liste_rouge!A"&amp;_xlfn.XMATCH("EN",Liste_rouge!A:A,2,1),"EN")</f>
        <v>EN</v>
      </c>
      <c r="W4102" s="4" t="str">
        <f>HYPERLINK("#Critères_liste_rouge!A$1","B2abiii")</f>
        <v>B2abiii</v>
      </c>
      <c r="Z4102" s="4" t="s">
        <v>443</v>
      </c>
      <c r="AA4102" s="4" t="s">
        <v>444</v>
      </c>
      <c r="AH4102" s="4" t="str">
        <f>HYPERLINK("#Statut_biogéographique!A"&amp;_xlfn.XMATCH("P",Statut_biogéographique!A:A,2,1),"P")</f>
        <v>P</v>
      </c>
      <c r="AP4102" s="4" t="s">
        <v>376</v>
      </c>
      <c r="AR4102" s="4" t="s">
        <v>377</v>
      </c>
    </row>
    <row r="4103" spans="1:44">
      <c r="A4103" s="4" t="s">
        <v>5</v>
      </c>
      <c r="B4103" s="4">
        <v>34000</v>
      </c>
      <c r="C4103" s="4">
        <v>3289</v>
      </c>
      <c r="D4103" s="5" t="s">
        <v>6047</v>
      </c>
      <c r="E4103" s="6" t="str">
        <f>HYPERLINK("https://inpn.mnhn.fr/espece/cd_nom/34000","Entoloma dichroum (Pers.) P.Kumm., 1871")</f>
        <v>Entoloma dichroum (Pers.) P.Kumm., 1871</v>
      </c>
      <c r="F4103" s="5" t="s">
        <v>6048</v>
      </c>
      <c r="V4103" s="7" t="str">
        <f>HYPERLINK("#Liste_rouge!A"&amp;_xlfn.XMATCH("EN",Liste_rouge!A:A,2,1),"EN")</f>
        <v>EN</v>
      </c>
      <c r="W4103" s="4" t="str">
        <f>HYPERLINK("#Critères_liste_rouge!A$1","A2c")</f>
        <v>A2c</v>
      </c>
      <c r="Z4103" s="4" t="s">
        <v>447</v>
      </c>
      <c r="AA4103" s="4" t="s">
        <v>448</v>
      </c>
      <c r="AH4103" s="4" t="str">
        <f>HYPERLINK("#Statut_biogéographique!A"&amp;_xlfn.XMATCH("P",Statut_biogéographique!A:A,2,1),"P")</f>
        <v>P</v>
      </c>
      <c r="AP4103" s="4" t="s">
        <v>376</v>
      </c>
      <c r="AR4103" s="4" t="s">
        <v>377</v>
      </c>
    </row>
    <row r="4104" spans="1:44">
      <c r="A4104" s="4" t="s">
        <v>5</v>
      </c>
      <c r="B4104" s="4">
        <v>34009</v>
      </c>
      <c r="C4104" s="4">
        <v>4179</v>
      </c>
      <c r="D4104" s="5" t="s">
        <v>6049</v>
      </c>
      <c r="E4104" s="6" t="str">
        <f>HYPERLINK("https://inpn.mnhn.fr/espece/cd_nom/34009","Entoloma turci (Bres.) M.M.Moser, 1978")</f>
        <v>Entoloma turci (Bres.) M.M.Moser, 1978</v>
      </c>
      <c r="V4104" s="7" t="str">
        <f>HYPERLINK("#Liste_rouge!A"&amp;_xlfn.XMATCH("EN",Liste_rouge!A:A,2,1),"EN")</f>
        <v>EN</v>
      </c>
      <c r="W4104" s="4" t="str">
        <f>HYPERLINK("#Critères_liste_rouge!A$1","B2abiii")</f>
        <v>B2abiii</v>
      </c>
      <c r="Z4104" s="4" t="s">
        <v>447</v>
      </c>
      <c r="AA4104" s="4" t="s">
        <v>448</v>
      </c>
      <c r="AH4104" s="4" t="str">
        <f>HYPERLINK("#Statut_biogéographique!A"&amp;_xlfn.XMATCH("P",Statut_biogéographique!A:A,2,1),"P")</f>
        <v>P</v>
      </c>
      <c r="AP4104" s="4" t="s">
        <v>376</v>
      </c>
      <c r="AR4104" s="4" t="s">
        <v>377</v>
      </c>
    </row>
    <row r="4105" spans="1:44" ht="30">
      <c r="A4105" s="4" t="s">
        <v>5</v>
      </c>
      <c r="B4105" s="4">
        <v>34013</v>
      </c>
      <c r="C4105" s="4">
        <v>2211</v>
      </c>
      <c r="D4105" s="5" t="s">
        <v>6050</v>
      </c>
      <c r="E4105" s="6" t="str">
        <f>HYPERLINK("https://inpn.mnhn.fr/espece/cd_nom/34013","Entoloma undatum (Gillet) M.M.Moser, 1978")</f>
        <v>Entoloma undatum (Gillet) M.M.Moser, 1978</v>
      </c>
      <c r="F4105" s="5" t="s">
        <v>6051</v>
      </c>
      <c r="V4105" s="7" t="str">
        <f>HYPERLINK("#Liste_rouge!A"&amp;_xlfn.XMATCH("VU",Liste_rouge!A:A,2,1),"VU")</f>
        <v>VU</v>
      </c>
      <c r="W4105" s="4" t="str">
        <f>HYPERLINK("#Critères_liste_rouge!A$1","A2c")</f>
        <v>A2c</v>
      </c>
      <c r="Z4105" s="4" t="s">
        <v>447</v>
      </c>
      <c r="AA4105" s="4" t="s">
        <v>448</v>
      </c>
      <c r="AH4105" s="4" t="str">
        <f>HYPERLINK("#Statut_biogéographique!A"&amp;_xlfn.XMATCH("P",Statut_biogéographique!A:A,2,1),"P")</f>
        <v>P</v>
      </c>
      <c r="AP4105" s="4" t="s">
        <v>376</v>
      </c>
      <c r="AR4105" s="4" t="s">
        <v>377</v>
      </c>
    </row>
    <row r="4106" spans="1:44" ht="30">
      <c r="A4106" s="4" t="s">
        <v>5</v>
      </c>
      <c r="B4106" s="4">
        <v>34017</v>
      </c>
      <c r="C4106" s="4">
        <v>4065</v>
      </c>
      <c r="D4106" s="5" t="s">
        <v>6052</v>
      </c>
      <c r="E4106" s="6" t="str">
        <f>HYPERLINK("https://inpn.mnhn.fr/espece/cd_nom/34017","Entoloma undulatosporum Arnolds &amp; Noordel., 1979")</f>
        <v>Entoloma undulatosporum Arnolds &amp; Noordel., 1979</v>
      </c>
      <c r="V4106" s="7" t="str">
        <f>HYPERLINK("#Liste_rouge!A"&amp;_xlfn.XMATCH("LC",Liste_rouge!A:A,2,1),"LC")</f>
        <v>LC</v>
      </c>
      <c r="AH4106" s="4" t="str">
        <f>HYPERLINK("#Statut_biogéographique!A"&amp;_xlfn.XMATCH("P",Statut_biogéographique!A:A,2,1),"P")</f>
        <v>P</v>
      </c>
      <c r="AP4106" s="4" t="s">
        <v>376</v>
      </c>
      <c r="AR4106" s="4" t="s">
        <v>377</v>
      </c>
    </row>
    <row r="4107" spans="1:44">
      <c r="A4107" s="4" t="s">
        <v>5</v>
      </c>
      <c r="B4107" s="4">
        <v>34022</v>
      </c>
      <c r="C4107" s="4">
        <v>3506</v>
      </c>
      <c r="D4107" s="5" t="s">
        <v>6053</v>
      </c>
      <c r="E4107" s="6" t="str">
        <f>HYPERLINK("https://inpn.mnhn.fr/espece/cd_nom/34022","Entoloma venosum Gillet, 1876")</f>
        <v>Entoloma venosum Gillet, 1876</v>
      </c>
      <c r="V4107" s="7" t="str">
        <f>HYPERLINK("#Liste_rouge!A"&amp;_xlfn.XMATCH("NT",Liste_rouge!A:A,2,1),"NT")</f>
        <v>NT</v>
      </c>
      <c r="W4107" s="4" t="str">
        <f>HYPERLINK("#Critères_liste_rouge!A$1","pr. B2abiii")</f>
        <v>pr. B2abiii</v>
      </c>
      <c r="AH4107" s="4" t="str">
        <f>HYPERLINK("#Statut_biogéographique!A"&amp;_xlfn.XMATCH("P",Statut_biogéographique!A:A,2,1),"P")</f>
        <v>P</v>
      </c>
      <c r="AP4107" s="4" t="s">
        <v>376</v>
      </c>
      <c r="AR4107" s="4" t="s">
        <v>377</v>
      </c>
    </row>
    <row r="4108" spans="1:44">
      <c r="A4108" s="4" t="s">
        <v>5</v>
      </c>
      <c r="B4108" s="4">
        <v>34028</v>
      </c>
      <c r="C4108" s="4">
        <v>2605</v>
      </c>
      <c r="D4108" s="5" t="s">
        <v>6054</v>
      </c>
      <c r="E4108" s="6" t="str">
        <f>HYPERLINK("https://inpn.mnhn.fr/espece/cd_nom/34028","Entoloma vernum S.Lundell, 1937")</f>
        <v>Entoloma vernum S.Lundell, 1937</v>
      </c>
      <c r="F4108" s="5" t="s">
        <v>6055</v>
      </c>
      <c r="V4108" s="7" t="str">
        <f>HYPERLINK("#Liste_rouge!A"&amp;_xlfn.XMATCH("NT",Liste_rouge!A:A,2,1),"NT")</f>
        <v>NT</v>
      </c>
      <c r="W4108" s="4" t="str">
        <f>HYPERLINK("#Critères_liste_rouge!A$1","pr. B2abiii")</f>
        <v>pr. B2abiii</v>
      </c>
      <c r="AH4108" s="4" t="str">
        <f>HYPERLINK("#Statut_biogéographique!A"&amp;_xlfn.XMATCH("P",Statut_biogéographique!A:A,2,1),"P")</f>
        <v>P</v>
      </c>
      <c r="AP4108" s="4" t="s">
        <v>376</v>
      </c>
      <c r="AR4108" s="4" t="s">
        <v>377</v>
      </c>
    </row>
    <row r="4109" spans="1:44" ht="30">
      <c r="A4109" s="4" t="s">
        <v>5</v>
      </c>
      <c r="B4109" s="4">
        <v>34032</v>
      </c>
      <c r="C4109" s="4">
        <v>2845</v>
      </c>
      <c r="D4109" s="5" t="s">
        <v>6056</v>
      </c>
      <c r="E4109" s="6" t="str">
        <f>HYPERLINK("https://inpn.mnhn.fr/espece/cd_nom/34032","Entoloma versatile (Gillet) M.M.Moser, 1978")</f>
        <v>Entoloma versatile (Gillet) M.M.Moser, 1978</v>
      </c>
      <c r="V4109" s="7" t="str">
        <f>HYPERLINK("#Liste_rouge!A"&amp;_xlfn.XMATCH("NT",Liste_rouge!A:A,2,1),"NT")</f>
        <v>NT</v>
      </c>
      <c r="W4109" s="4" t="str">
        <f>HYPERLINK("#Critères_liste_rouge!A$1","pr. B2abiii")</f>
        <v>pr. B2abiii</v>
      </c>
      <c r="AH4109" s="4" t="str">
        <f>HYPERLINK("#Statut_biogéographique!A"&amp;_xlfn.XMATCH("P",Statut_biogéographique!A:A,2,1),"P")</f>
        <v>P</v>
      </c>
      <c r="AP4109" s="4" t="s">
        <v>376</v>
      </c>
      <c r="AR4109" s="4" t="s">
        <v>377</v>
      </c>
    </row>
    <row r="4110" spans="1:44">
      <c r="A4110" s="4" t="s">
        <v>5</v>
      </c>
      <c r="B4110" s="4">
        <v>34045</v>
      </c>
      <c r="C4110" s="4">
        <v>5333</v>
      </c>
      <c r="D4110" s="5" t="s">
        <v>6057</v>
      </c>
      <c r="E4110" s="6" t="str">
        <f>HYPERLINK("https://inpn.mnhn.fr/espece/cd_nom/34045","Entoloma weholtii Noordel., 1987")</f>
        <v>Entoloma weholtii Noordel., 1987</v>
      </c>
      <c r="V4110" s="7" t="str">
        <f>HYPERLINK("#Liste_rouge!A"&amp;_xlfn.XMATCH("DD",Liste_rouge!A:A,2,1),"DD")</f>
        <v>DD</v>
      </c>
      <c r="AH4110" s="4" t="str">
        <f>HYPERLINK("#Statut_biogéographique!A"&amp;_xlfn.XMATCH("P",Statut_biogéographique!A:A,2,1),"P")</f>
        <v>P</v>
      </c>
      <c r="AP4110" s="4" t="s">
        <v>376</v>
      </c>
      <c r="AR4110" s="4" t="s">
        <v>377</v>
      </c>
    </row>
    <row r="4111" spans="1:44" ht="30">
      <c r="A4111" s="4" t="s">
        <v>5</v>
      </c>
      <c r="B4111" s="4">
        <v>34049</v>
      </c>
      <c r="C4111" s="4">
        <v>5544</v>
      </c>
      <c r="D4111" s="5" t="s">
        <v>6058</v>
      </c>
      <c r="E4111" s="6" t="str">
        <f>HYPERLINK("https://inpn.mnhn.fr/espece/cd_nom/34049","Entoloma xanthochroum (P.D.Orton) Noordel., 1985")</f>
        <v>Entoloma xanthochroum (P.D.Orton) Noordel., 1985</v>
      </c>
      <c r="V4111" s="7" t="str">
        <f>HYPERLINK("#Liste_rouge!A"&amp;_xlfn.XMATCH("VU",Liste_rouge!A:A,2,1),"VU")</f>
        <v>VU</v>
      </c>
      <c r="W4111" s="4" t="str">
        <f>HYPERLINK("#Critères_liste_rouge!A$1","D2")</f>
        <v>D2</v>
      </c>
      <c r="Z4111" s="4" t="s">
        <v>447</v>
      </c>
      <c r="AA4111" s="4" t="s">
        <v>448</v>
      </c>
      <c r="AH4111" s="4" t="str">
        <f>HYPERLINK("#Statut_biogéographique!A"&amp;_xlfn.XMATCH("P",Statut_biogéographique!A:A,2,1),"P")</f>
        <v>P</v>
      </c>
      <c r="AP4111" s="4" t="s">
        <v>376</v>
      </c>
      <c r="AR4111" s="4" t="s">
        <v>377</v>
      </c>
    </row>
    <row r="4112" spans="1:44">
      <c r="A4112" s="4" t="s">
        <v>5</v>
      </c>
      <c r="B4112" s="4">
        <v>34054</v>
      </c>
      <c r="C4112" s="4">
        <v>5444</v>
      </c>
      <c r="D4112" s="5" t="s">
        <v>6059</v>
      </c>
      <c r="E4112" s="6" t="str">
        <f>HYPERLINK("https://inpn.mnhn.fr/espece/cd_nom/34054","Entoloma percandidum Noordel., 1982")</f>
        <v>Entoloma percandidum Noordel., 1982</v>
      </c>
      <c r="V4112" s="7" t="str">
        <f>HYPERLINK("#Liste_rouge!A"&amp;_xlfn.XMATCH("DD",Liste_rouge!A:A,2,1),"DD")</f>
        <v>DD</v>
      </c>
      <c r="AH4112" s="4" t="str">
        <f>HYPERLINK("#Statut_biogéographique!A"&amp;_xlfn.XMATCH("P",Statut_biogéographique!A:A,2,1),"P")</f>
        <v>P</v>
      </c>
      <c r="AP4112" s="4" t="s">
        <v>376</v>
      </c>
      <c r="AR4112" s="4" t="s">
        <v>377</v>
      </c>
    </row>
    <row r="4113" spans="1:44" ht="30">
      <c r="A4113" s="4" t="s">
        <v>5</v>
      </c>
      <c r="B4113" s="4">
        <v>34058</v>
      </c>
      <c r="C4113" s="4">
        <v>3123</v>
      </c>
      <c r="D4113" s="5" t="s">
        <v>6060</v>
      </c>
      <c r="E4113" s="6" t="str">
        <f>HYPERLINK("https://inpn.mnhn.fr/espece/cd_nom/34058","Arrhenia acerosa (Fr.) Kühner, 1980")</f>
        <v>Arrhenia acerosa (Fr.) Kühner, 1980</v>
      </c>
      <c r="V4113" s="7" t="str">
        <f>HYPERLINK("#Liste_rouge!A"&amp;_xlfn.XMATCH("NT",Liste_rouge!A:A,2,1),"NT")</f>
        <v>NT</v>
      </c>
      <c r="W4113" s="4" t="str">
        <f>HYPERLINK("#Critères_liste_rouge!A$1","pr. B2abiii")</f>
        <v>pr. B2abiii</v>
      </c>
      <c r="AH4113" s="4" t="str">
        <f>HYPERLINK("#Statut_biogéographique!A"&amp;_xlfn.XMATCH("P",Statut_biogéographique!A:A,2,1),"P")</f>
        <v>P</v>
      </c>
      <c r="AP4113" s="4" t="s">
        <v>376</v>
      </c>
      <c r="AR4113" s="4" t="s">
        <v>377</v>
      </c>
    </row>
    <row r="4114" spans="1:44">
      <c r="A4114" s="4" t="s">
        <v>5</v>
      </c>
      <c r="B4114" s="4">
        <v>34066</v>
      </c>
      <c r="C4114" s="4">
        <v>3952</v>
      </c>
      <c r="D4114" s="5" t="s">
        <v>6061</v>
      </c>
      <c r="E4114" s="6" t="str">
        <f>HYPERLINK("https://inpn.mnhn.fr/espece/cd_nom/34066","Cortinarius atrocaeruleus M.M.Moser, 1967")</f>
        <v>Cortinarius atrocaeruleus M.M.Moser, 1967</v>
      </c>
      <c r="V4114" s="7" t="str">
        <f>HYPERLINK("#Liste_rouge!A"&amp;_xlfn.XMATCH("DD",Liste_rouge!A:A,2,1),"DD")</f>
        <v>DD</v>
      </c>
      <c r="AH4114" s="4" t="str">
        <f>HYPERLINK("#Statut_biogéographique!A"&amp;_xlfn.XMATCH("P",Statut_biogéographique!A:A,2,1),"P")</f>
        <v>P</v>
      </c>
      <c r="AP4114" s="4" t="s">
        <v>376</v>
      </c>
      <c r="AR4114" s="4" t="s">
        <v>377</v>
      </c>
    </row>
    <row r="4115" spans="1:44">
      <c r="A4115" s="4" t="s">
        <v>5</v>
      </c>
      <c r="B4115" s="4">
        <v>34068</v>
      </c>
      <c r="C4115" s="4">
        <v>1831</v>
      </c>
      <c r="D4115" s="5">
        <v>34068</v>
      </c>
      <c r="E4115" s="6" t="str">
        <f>HYPERLINK("https://inpn.mnhn.fr/espece/cd_nom/34068","Cortinarius atrovirens Kalchbr., 1874")</f>
        <v>Cortinarius atrovirens Kalchbr., 1874</v>
      </c>
      <c r="F4115" s="5" t="s">
        <v>6062</v>
      </c>
      <c r="O4115" s="7" t="str">
        <f>HYPERLINK("#Liste_rouge!A"&amp;_xlfn.XMATCH("NT",Liste_rouge!A:A,2,1),"NT")</f>
        <v>NT</v>
      </c>
      <c r="V4115" s="7" t="str">
        <f>HYPERLINK("#Liste_rouge!A"&amp;_xlfn.XMATCH("LC",Liste_rouge!A:A,2,1),"LC")</f>
        <v>LC</v>
      </c>
      <c r="Z4115" s="4" t="s">
        <v>447</v>
      </c>
      <c r="AA4115" s="4" t="s">
        <v>448</v>
      </c>
      <c r="AH4115" s="4" t="str">
        <f>HYPERLINK("#Statut_biogéographique!A"&amp;_xlfn.XMATCH("P",Statut_biogéographique!A:A,2,1),"P")</f>
        <v>P</v>
      </c>
      <c r="AP4115" s="4" t="s">
        <v>376</v>
      </c>
      <c r="AR4115" s="4" t="s">
        <v>377</v>
      </c>
    </row>
    <row r="4116" spans="1:44">
      <c r="A4116" s="4" t="s">
        <v>5</v>
      </c>
      <c r="B4116" s="4">
        <v>34073</v>
      </c>
      <c r="C4116" s="4">
        <v>3696</v>
      </c>
      <c r="D4116" s="5" t="s">
        <v>6063</v>
      </c>
      <c r="E4116" s="6" t="str">
        <f>HYPERLINK("https://inpn.mnhn.fr/espece/cd_nom/34073","Cortinarius aurantiobasalis Bidaud, 1993")</f>
        <v>Cortinarius aurantiobasalis Bidaud, 1993</v>
      </c>
      <c r="F4116" s="5" t="s">
        <v>6064</v>
      </c>
      <c r="V4116" s="7" t="str">
        <f>HYPERLINK("#Liste_rouge!A"&amp;_xlfn.XMATCH("EN",Liste_rouge!A:A,2,1),"EN")</f>
        <v>EN</v>
      </c>
      <c r="W4116" s="4" t="str">
        <f>HYPERLINK("#Critères_liste_rouge!A$1","B2abiii")</f>
        <v>B2abiii</v>
      </c>
      <c r="Z4116" s="4" t="s">
        <v>447</v>
      </c>
      <c r="AA4116" s="4" t="s">
        <v>448</v>
      </c>
      <c r="AH4116" s="4" t="str">
        <f>HYPERLINK("#Statut_biogéographique!A"&amp;_xlfn.XMATCH("P",Statut_biogéographique!A:A,2,1),"P")</f>
        <v>P</v>
      </c>
      <c r="AP4116" s="4" t="s">
        <v>376</v>
      </c>
      <c r="AR4116" s="4" t="s">
        <v>377</v>
      </c>
    </row>
    <row r="4117" spans="1:44" ht="30">
      <c r="A4117" s="4" t="s">
        <v>5</v>
      </c>
      <c r="B4117" s="4">
        <v>34074</v>
      </c>
      <c r="C4117" s="4">
        <v>6610</v>
      </c>
      <c r="D4117" s="5" t="s">
        <v>6065</v>
      </c>
      <c r="E4117" s="6" t="str">
        <f>HYPERLINK("https://inpn.mnhn.fr/espece/cd_nom/34074","Cortinarius aurantiomarginatus Jul.Schäff. ex M.M.Moser, 1965")</f>
        <v>Cortinarius aurantiomarginatus Jul.Schäff. ex M.M.Moser, 1965</v>
      </c>
      <c r="F4117" s="5" t="s">
        <v>6066</v>
      </c>
      <c r="AH4117" s="4" t="str">
        <f>HYPERLINK("#Statut_biogéographique!A"&amp;_xlfn.XMATCH("P",Statut_biogéographique!A:A,2,1),"P")</f>
        <v>P</v>
      </c>
      <c r="AP4117" s="4" t="s">
        <v>376</v>
      </c>
      <c r="AR4117" s="4" t="s">
        <v>377</v>
      </c>
    </row>
    <row r="4118" spans="1:44" ht="30">
      <c r="A4118" s="4" t="s">
        <v>5</v>
      </c>
      <c r="B4118" s="4">
        <v>34080</v>
      </c>
      <c r="C4118" s="4">
        <v>2980</v>
      </c>
      <c r="D4118" s="5" t="s">
        <v>6067</v>
      </c>
      <c r="E4118" s="6" t="str">
        <f>HYPERLINK("https://inpn.mnhn.fr/espece/cd_nom/34080","Cortinarius aureopulverulentus M.M.Moser, 1952")</f>
        <v>Cortinarius aureopulverulentus M.M.Moser, 1952</v>
      </c>
      <c r="V4118" s="7" t="str">
        <f>HYPERLINK("#Liste_rouge!A"&amp;_xlfn.XMATCH("EN",Liste_rouge!A:A,2,1),"EN")</f>
        <v>EN</v>
      </c>
      <c r="W4118" s="4" t="str">
        <f>HYPERLINK("#Critères_liste_rouge!A$1","B2abiii")</f>
        <v>B2abiii</v>
      </c>
      <c r="Z4118" s="4" t="s">
        <v>443</v>
      </c>
      <c r="AA4118" s="4" t="s">
        <v>444</v>
      </c>
      <c r="AH4118" s="4" t="str">
        <f>HYPERLINK("#Statut_biogéographique!A"&amp;_xlfn.XMATCH("P",Statut_biogéographique!A:A,2,1),"P")</f>
        <v>P</v>
      </c>
      <c r="AP4118" s="4" t="s">
        <v>376</v>
      </c>
      <c r="AR4118" s="4" t="s">
        <v>377</v>
      </c>
    </row>
    <row r="4119" spans="1:44" ht="30">
      <c r="A4119" s="4" t="s">
        <v>5</v>
      </c>
      <c r="B4119" s="4">
        <v>34084</v>
      </c>
      <c r="C4119" s="4">
        <v>1989</v>
      </c>
      <c r="D4119" s="5" t="s">
        <v>6068</v>
      </c>
      <c r="E4119" s="6" t="str">
        <f>HYPERLINK("https://inpn.mnhn.fr/espece/cd_nom/34084","Cortinarius avellaneocaeruleus (Moser) Moser")</f>
        <v>Cortinarius avellaneocaeruleus (Moser) Moser</v>
      </c>
      <c r="V4119" s="7" t="str">
        <f>HYPERLINK("#Liste_rouge!A"&amp;_xlfn.XMATCH("NT",Liste_rouge!A:A,2,1),"NT")</f>
        <v>NT</v>
      </c>
      <c r="W4119" s="4" t="str">
        <f>HYPERLINK("#Critères_liste_rouge!A$1","pr. B2abiii")</f>
        <v>pr. B2abiii</v>
      </c>
      <c r="AH4119" s="4" t="str">
        <f>HYPERLINK("#Statut_biogéographique!A"&amp;_xlfn.XMATCH("P",Statut_biogéographique!A:A,2,1),"P")</f>
        <v>P</v>
      </c>
      <c r="AP4119" s="4" t="s">
        <v>376</v>
      </c>
      <c r="AR4119" s="4" t="s">
        <v>377</v>
      </c>
    </row>
    <row r="4120" spans="1:44">
      <c r="A4120" s="4" t="s">
        <v>5</v>
      </c>
      <c r="B4120" s="4">
        <v>34087</v>
      </c>
      <c r="C4120" s="4">
        <v>3118</v>
      </c>
      <c r="D4120" s="5" t="s">
        <v>6069</v>
      </c>
      <c r="E4120" s="6" t="str">
        <f>HYPERLINK("https://inpn.mnhn.fr/espece/cd_nom/34087","Cortinarius azureovelatus P.D.Orton, 1958")</f>
        <v>Cortinarius azureovelatus P.D.Orton, 1958</v>
      </c>
      <c r="F4120" s="5" t="s">
        <v>6070</v>
      </c>
      <c r="V4120" s="7" t="str">
        <f>HYPERLINK("#Liste_rouge!A"&amp;_xlfn.XMATCH("LC",Liste_rouge!A:A,2,1),"LC")</f>
        <v>LC</v>
      </c>
      <c r="AH4120" s="4" t="str">
        <f>HYPERLINK("#Statut_biogéographique!A"&amp;_xlfn.XMATCH("P",Statut_biogéographique!A:A,2,1),"P")</f>
        <v>P</v>
      </c>
      <c r="AP4120" s="4" t="s">
        <v>376</v>
      </c>
      <c r="AR4120" s="4" t="s">
        <v>377</v>
      </c>
    </row>
    <row r="4121" spans="1:44" ht="30">
      <c r="A4121" s="4" t="s">
        <v>5</v>
      </c>
      <c r="B4121" s="4">
        <v>34088</v>
      </c>
      <c r="C4121" s="4">
        <v>4534</v>
      </c>
      <c r="D4121" s="5" t="s">
        <v>6071</v>
      </c>
      <c r="E4121" s="6" t="str">
        <f>HYPERLINK("https://inpn.mnhn.fr/espece/cd_nom/34088","Cortinarius azureovelatus var. subcaligatus Bidaud, Moënne-Locc. &amp; Reumaux, 1992")</f>
        <v>Cortinarius azureovelatus var. subcaligatus Bidaud, Moënne-Locc. &amp; Reumaux, 1992</v>
      </c>
      <c r="V4121" s="7" t="str">
        <f>HYPERLINK("#Liste_rouge!A"&amp;_xlfn.XMATCH("DD",Liste_rouge!A:A,2,1),"DD")</f>
        <v>DD</v>
      </c>
      <c r="AH4121" s="4" t="str">
        <f>HYPERLINK("#Statut_biogéographique!A"&amp;_xlfn.XMATCH("P",Statut_biogéographique!A:A,2,1),"P")</f>
        <v>P</v>
      </c>
      <c r="AP4121" s="4" t="s">
        <v>376</v>
      </c>
      <c r="AR4121" s="4" t="s">
        <v>377</v>
      </c>
    </row>
    <row r="4122" spans="1:44">
      <c r="A4122" s="4" t="s">
        <v>5</v>
      </c>
      <c r="B4122" s="4">
        <v>34089</v>
      </c>
      <c r="C4122" s="4">
        <v>1897</v>
      </c>
      <c r="D4122" s="5" t="s">
        <v>6072</v>
      </c>
      <c r="E4122" s="6" t="str">
        <f>HYPERLINK("https://inpn.mnhn.fr/espece/cd_nom/34089","Cortinarius azureus Fr., 1838")</f>
        <v>Cortinarius azureus Fr., 1838</v>
      </c>
      <c r="F4122" s="5" t="s">
        <v>6073</v>
      </c>
      <c r="V4122" s="7" t="str">
        <f>HYPERLINK("#Liste_rouge!A"&amp;_xlfn.XMATCH("LC",Liste_rouge!A:A,2,1),"LC")</f>
        <v>LC</v>
      </c>
      <c r="AH4122" s="4" t="str">
        <f>HYPERLINK("#Statut_biogéographique!A"&amp;_xlfn.XMATCH("P",Statut_biogéographique!A:A,2,1),"P")</f>
        <v>P</v>
      </c>
      <c r="AP4122" s="4" t="s">
        <v>376</v>
      </c>
      <c r="AR4122" s="4" t="s">
        <v>377</v>
      </c>
    </row>
    <row r="4123" spans="1:44">
      <c r="A4123" s="4" t="s">
        <v>5</v>
      </c>
      <c r="B4123" s="4">
        <v>34093</v>
      </c>
      <c r="C4123" s="4">
        <v>1925</v>
      </c>
      <c r="D4123" s="5" t="s">
        <v>6074</v>
      </c>
      <c r="E4123" s="6" t="str">
        <f>HYPERLINK("https://inpn.mnhn.fr/espece/cd_nom/34093","Cortinarius balaustinus Fr., 1838")</f>
        <v>Cortinarius balaustinus Fr., 1838</v>
      </c>
      <c r="V4123" s="7" t="str">
        <f>HYPERLINK("#Liste_rouge!A"&amp;_xlfn.XMATCH("LC",Liste_rouge!A:A,2,1),"LC")</f>
        <v>LC</v>
      </c>
      <c r="AH4123" s="4" t="str">
        <f>HYPERLINK("#Statut_biogéographique!A"&amp;_xlfn.XMATCH("P",Statut_biogéographique!A:A,2,1),"P")</f>
        <v>P</v>
      </c>
      <c r="AP4123" s="4" t="s">
        <v>376</v>
      </c>
      <c r="AR4123" s="4" t="s">
        <v>377</v>
      </c>
    </row>
    <row r="4124" spans="1:44">
      <c r="A4124" s="4" t="s">
        <v>5</v>
      </c>
      <c r="B4124" s="4">
        <v>34096</v>
      </c>
      <c r="C4124" s="4">
        <v>2398</v>
      </c>
      <c r="D4124" s="5" t="s">
        <v>6075</v>
      </c>
      <c r="E4124" s="6" t="str">
        <f>HYPERLINK("https://inpn.mnhn.fr/espece/cd_nom/34096","Cortinarius balteatoalbus Rob.Henry, 1958")</f>
        <v>Cortinarius balteatoalbus Rob.Henry, 1958</v>
      </c>
      <c r="V4124" s="7" t="str">
        <f>HYPERLINK("#Liste_rouge!A"&amp;_xlfn.XMATCH("NT",Liste_rouge!A:A,2,1),"NT")</f>
        <v>NT</v>
      </c>
      <c r="W4124" s="4" t="str">
        <f>HYPERLINK("#Critères_liste_rouge!A$1","pr. B2abiii")</f>
        <v>pr. B2abiii</v>
      </c>
      <c r="AH4124" s="4" t="str">
        <f>HYPERLINK("#Statut_biogéographique!A"&amp;_xlfn.XMATCH("P",Statut_biogéographique!A:A,2,1),"P")</f>
        <v>P</v>
      </c>
      <c r="AP4124" s="4" t="s">
        <v>376</v>
      </c>
      <c r="AR4124" s="4" t="s">
        <v>377</v>
      </c>
    </row>
    <row r="4125" spans="1:44">
      <c r="A4125" s="4" t="s">
        <v>5</v>
      </c>
      <c r="B4125" s="4">
        <v>34097</v>
      </c>
      <c r="C4125" s="4">
        <v>5801</v>
      </c>
      <c r="D4125" s="5" t="s">
        <v>6076</v>
      </c>
      <c r="E4125" s="6" t="str">
        <f>HYPERLINK("https://inpn.mnhn.fr/espece/cd_nom/34097","Cortinarius crassus Fr., 1838")</f>
        <v>Cortinarius crassus Fr., 1838</v>
      </c>
      <c r="Z4125" s="4" t="s">
        <v>443</v>
      </c>
      <c r="AA4125" s="4" t="s">
        <v>444</v>
      </c>
      <c r="AH4125" s="4" t="str">
        <f>HYPERLINK("#Statut_biogéographique!A"&amp;_xlfn.XMATCH("P",Statut_biogéographique!A:A,2,1),"P")</f>
        <v>P</v>
      </c>
      <c r="AP4125" s="4" t="s">
        <v>376</v>
      </c>
      <c r="AR4125" s="4" t="s">
        <v>377</v>
      </c>
    </row>
    <row r="4126" spans="1:44" ht="30">
      <c r="A4126" s="4" t="s">
        <v>5</v>
      </c>
      <c r="B4126" s="4">
        <v>34101</v>
      </c>
      <c r="C4126" s="4">
        <v>1998</v>
      </c>
      <c r="D4126" s="5" t="s">
        <v>6077</v>
      </c>
      <c r="E4126" s="6" t="str">
        <f>HYPERLINK("https://inpn.mnhn.fr/espece/cd_nom/34101","Cortinarius balteatocumatilis Rob.Henry ex P.D.Orton, 1960")</f>
        <v>Cortinarius balteatocumatilis Rob.Henry ex P.D.Orton, 1960</v>
      </c>
      <c r="F4126" s="5" t="s">
        <v>6078</v>
      </c>
      <c r="V4126" s="7" t="str">
        <f>HYPERLINK("#Liste_rouge!A"&amp;_xlfn.XMATCH("LC",Liste_rouge!A:A,2,1),"LC")</f>
        <v>LC</v>
      </c>
      <c r="AH4126" s="4" t="str">
        <f>HYPERLINK("#Statut_biogéographique!A"&amp;_xlfn.XMATCH("P",Statut_biogéographique!A:A,2,1),"P")</f>
        <v>P</v>
      </c>
      <c r="AP4126" s="4" t="s">
        <v>376</v>
      </c>
      <c r="AR4126" s="4" t="s">
        <v>377</v>
      </c>
    </row>
    <row r="4127" spans="1:44" ht="30">
      <c r="A4127" s="4" t="s">
        <v>5</v>
      </c>
      <c r="B4127" s="4">
        <v>34104</v>
      </c>
      <c r="C4127" s="4">
        <v>3725</v>
      </c>
      <c r="D4127" s="5">
        <v>34104</v>
      </c>
      <c r="E4127" s="6" t="str">
        <f>HYPERLINK("https://inpn.mnhn.fr/espece/cd_nom/34104","Cortinarius balteatocumatilis var. laetus Quadr. &amp; Lunghini, 1990")</f>
        <v>Cortinarius balteatocumatilis var. laetus Quadr. &amp; Lunghini, 1990</v>
      </c>
      <c r="F4127" s="5" t="s">
        <v>6078</v>
      </c>
      <c r="V4127" s="7" t="str">
        <f>HYPERLINK("#Liste_rouge!A"&amp;_xlfn.XMATCH("DD",Liste_rouge!A:A,2,1),"DD")</f>
        <v>DD</v>
      </c>
      <c r="AH4127" s="4" t="str">
        <f>HYPERLINK("#Statut_biogéographique!A"&amp;_xlfn.XMATCH("P",Statut_biogéographique!A:A,2,1),"P")</f>
        <v>P</v>
      </c>
      <c r="AP4127" s="4" t="s">
        <v>376</v>
      </c>
      <c r="AR4127" s="4" t="s">
        <v>377</v>
      </c>
    </row>
    <row r="4128" spans="1:44" ht="30">
      <c r="A4128" s="4" t="s">
        <v>5</v>
      </c>
      <c r="B4128" s="4">
        <v>34107</v>
      </c>
      <c r="C4128" s="4">
        <v>1828</v>
      </c>
      <c r="D4128" s="5" t="s">
        <v>6079</v>
      </c>
      <c r="E4128" s="6" t="str">
        <f>HYPERLINK("https://inpn.mnhn.fr/espece/cd_nom/34107","Cortinarius balteatus Fr., 1838")</f>
        <v>Cortinarius balteatus Fr., 1838</v>
      </c>
      <c r="V4128" s="7" t="str">
        <f>HYPERLINK("#Liste_rouge!A"&amp;_xlfn.XMATCH("LC",Liste_rouge!A:A,2,1),"LC")</f>
        <v>LC</v>
      </c>
      <c r="AH4128" s="4" t="str">
        <f>HYPERLINK("#Statut_biogéographique!A"&amp;_xlfn.XMATCH("P",Statut_biogéographique!A:A,2,1),"P")</f>
        <v>P</v>
      </c>
      <c r="AP4128" s="4" t="s">
        <v>376</v>
      </c>
      <c r="AR4128" s="4" t="s">
        <v>377</v>
      </c>
    </row>
    <row r="4129" spans="1:44">
      <c r="A4129" s="4" t="s">
        <v>5</v>
      </c>
      <c r="B4129" s="4">
        <v>34110</v>
      </c>
      <c r="C4129" s="4">
        <v>1840</v>
      </c>
      <c r="D4129" s="5" t="s">
        <v>6080</v>
      </c>
      <c r="E4129" s="6" t="str">
        <f>HYPERLINK("https://inpn.mnhn.fr/espece/cd_nom/34110","Cortinarius barbatus (Batsch) Melot, 1989")</f>
        <v>Cortinarius barbatus (Batsch) Melot, 1989</v>
      </c>
      <c r="V4129" s="7" t="str">
        <f>HYPERLINK("#Liste_rouge!A"&amp;_xlfn.XMATCH("NT",Liste_rouge!A:A,2,1),"NT")</f>
        <v>NT</v>
      </c>
      <c r="W4129" s="4" t="str">
        <f>HYPERLINK("#Critères_liste_rouge!A$1","pr. B2abiii")</f>
        <v>pr. B2abiii</v>
      </c>
      <c r="AH4129" s="4" t="str">
        <f>HYPERLINK("#Statut_biogéographique!A"&amp;_xlfn.XMATCH("P",Statut_biogéographique!A:A,2,1),"P")</f>
        <v>P</v>
      </c>
      <c r="AP4129" s="4" t="s">
        <v>376</v>
      </c>
      <c r="AR4129" s="4" t="s">
        <v>377</v>
      </c>
    </row>
    <row r="4130" spans="1:44" ht="30">
      <c r="A4130" s="4" t="s">
        <v>5</v>
      </c>
      <c r="B4130" s="4">
        <v>34114</v>
      </c>
      <c r="C4130" s="4">
        <v>3495</v>
      </c>
      <c r="D4130" s="5" t="s">
        <v>6081</v>
      </c>
      <c r="E4130" s="6" t="str">
        <f>HYPERLINK("https://inpn.mnhn.fr/espece/cd_nom/34114","Cortinarius bataillei (J.Favre ex M.M.Moser) Høil., 1984")</f>
        <v>Cortinarius bataillei (J.Favre ex M.M.Moser) Høil., 1984</v>
      </c>
      <c r="F4130" s="5" t="s">
        <v>6082</v>
      </c>
      <c r="V4130" s="7" t="str">
        <f>HYPERLINK("#Liste_rouge!A"&amp;_xlfn.XMATCH("VU",Liste_rouge!A:A,2,1),"VU")</f>
        <v>VU</v>
      </c>
      <c r="W4130" s="4" t="str">
        <f>HYPERLINK("#Critères_liste_rouge!A$1","A2c")</f>
        <v>A2c</v>
      </c>
      <c r="Z4130" s="4" t="s">
        <v>447</v>
      </c>
      <c r="AA4130" s="4" t="s">
        <v>448</v>
      </c>
      <c r="AH4130" s="4" t="str">
        <f>HYPERLINK("#Statut_biogéographique!A"&amp;_xlfn.XMATCH("P",Statut_biogéographique!A:A,2,1),"P")</f>
        <v>P</v>
      </c>
      <c r="AP4130" s="4" t="s">
        <v>376</v>
      </c>
      <c r="AR4130" s="4" t="s">
        <v>377</v>
      </c>
    </row>
    <row r="4131" spans="1:44">
      <c r="A4131" s="4" t="s">
        <v>5</v>
      </c>
      <c r="B4131" s="4">
        <v>34117</v>
      </c>
      <c r="C4131" s="4">
        <v>1645</v>
      </c>
      <c r="D4131" s="5" t="s">
        <v>6083</v>
      </c>
      <c r="E4131" s="6" t="str">
        <f>HYPERLINK("https://inpn.mnhn.fr/espece/cd_nom/34117","Cortinarius betuletorum M.M.Moser, 1967")</f>
        <v>Cortinarius betuletorum M.M.Moser, 1967</v>
      </c>
      <c r="V4131" s="7" t="str">
        <f>HYPERLINK("#Liste_rouge!A"&amp;_xlfn.XMATCH("LC",Liste_rouge!A:A,2,1),"LC")</f>
        <v>LC</v>
      </c>
      <c r="AH4131" s="4" t="str">
        <f>HYPERLINK("#Statut_biogéographique!A"&amp;_xlfn.XMATCH("P",Statut_biogéographique!A:A,2,1),"P")</f>
        <v>P</v>
      </c>
      <c r="AP4131" s="4" t="s">
        <v>376</v>
      </c>
      <c r="AR4131" s="4" t="s">
        <v>377</v>
      </c>
    </row>
    <row r="4132" spans="1:44">
      <c r="A4132" s="4" t="s">
        <v>5</v>
      </c>
      <c r="B4132" s="4">
        <v>34119</v>
      </c>
      <c r="C4132" s="4">
        <v>2231</v>
      </c>
      <c r="D4132" s="5" t="s">
        <v>6084</v>
      </c>
      <c r="E4132" s="6" t="str">
        <f>HYPERLINK("https://inpn.mnhn.fr/espece/cd_nom/34119","Cortinarius betulinus J.Favre, 1948")</f>
        <v>Cortinarius betulinus J.Favre, 1948</v>
      </c>
      <c r="F4132" s="5" t="s">
        <v>6085</v>
      </c>
      <c r="V4132" s="7" t="str">
        <f>HYPERLINK("#Liste_rouge!A"&amp;_xlfn.XMATCH("LC",Liste_rouge!A:A,2,1),"LC")</f>
        <v>LC</v>
      </c>
      <c r="Z4132" s="4" t="s">
        <v>447</v>
      </c>
      <c r="AA4132" s="4" t="s">
        <v>448</v>
      </c>
      <c r="AH4132" s="4" t="str">
        <f>HYPERLINK("#Statut_biogéographique!A"&amp;_xlfn.XMATCH("P",Statut_biogéographique!A:A,2,1),"P")</f>
        <v>P</v>
      </c>
      <c r="AP4132" s="4" t="s">
        <v>376</v>
      </c>
      <c r="AR4132" s="4" t="s">
        <v>377</v>
      </c>
    </row>
    <row r="4133" spans="1:44">
      <c r="A4133" s="4" t="s">
        <v>5</v>
      </c>
      <c r="B4133" s="4">
        <v>34120</v>
      </c>
      <c r="C4133" s="4">
        <v>1936</v>
      </c>
      <c r="D4133" s="5" t="s">
        <v>6086</v>
      </c>
      <c r="E4133" s="6" t="str">
        <f>HYPERLINK("https://inpn.mnhn.fr/espece/cd_nom/34120","Cortinarius bibulus Quél., 1881")</f>
        <v>Cortinarius bibulus Quél., 1881</v>
      </c>
      <c r="F4133" s="5" t="s">
        <v>6087</v>
      </c>
      <c r="V4133" s="7" t="str">
        <f>HYPERLINK("#Liste_rouge!A"&amp;_xlfn.XMATCH("VU",Liste_rouge!A:A,2,1),"VU")</f>
        <v>VU</v>
      </c>
      <c r="W4133" s="4" t="str">
        <f>HYPERLINK("#Critères_liste_rouge!A$1","B2abiii")</f>
        <v>B2abiii</v>
      </c>
      <c r="Z4133" s="4" t="s">
        <v>695</v>
      </c>
      <c r="AA4133" s="4" t="s">
        <v>696</v>
      </c>
      <c r="AH4133" s="4" t="str">
        <f>HYPERLINK("#Statut_biogéographique!A"&amp;_xlfn.XMATCH("P",Statut_biogéographique!A:A,2,1),"P")</f>
        <v>P</v>
      </c>
      <c r="AP4133" s="4" t="s">
        <v>376</v>
      </c>
      <c r="AR4133" s="4" t="s">
        <v>377</v>
      </c>
    </row>
    <row r="4134" spans="1:44">
      <c r="A4134" s="4" t="s">
        <v>5</v>
      </c>
      <c r="B4134" s="4">
        <v>34126</v>
      </c>
      <c r="C4134" s="4">
        <v>5728</v>
      </c>
      <c r="D4134" s="5" t="s">
        <v>6088</v>
      </c>
      <c r="E4134" s="6" t="str">
        <f>HYPERLINK("https://inpn.mnhn.fr/espece/cd_nom/34126","Cortinarius biformis Fr., 1838")</f>
        <v>Cortinarius biformis Fr., 1838</v>
      </c>
      <c r="F4134" s="5" t="s">
        <v>6089</v>
      </c>
      <c r="AH4134" s="4" t="str">
        <f>HYPERLINK("#Statut_biogéographique!A"&amp;_xlfn.XMATCH("P",Statut_biogéographique!A:A,2,1),"P")</f>
        <v>P</v>
      </c>
      <c r="AP4134" s="4" t="s">
        <v>376</v>
      </c>
      <c r="AR4134" s="4" t="s">
        <v>377</v>
      </c>
    </row>
    <row r="4135" spans="1:44">
      <c r="A4135" s="4" t="s">
        <v>5</v>
      </c>
      <c r="B4135" s="4">
        <v>34130</v>
      </c>
      <c r="C4135" s="4">
        <v>1909</v>
      </c>
      <c r="D4135" s="5" t="s">
        <v>6090</v>
      </c>
      <c r="E4135" s="6" t="str">
        <f>HYPERLINK("https://inpn.mnhn.fr/espece/cd_nom/34130","Cortinarius biveloides Rob.Henry, 1948")</f>
        <v>Cortinarius biveloides Rob.Henry, 1948</v>
      </c>
      <c r="V4135" s="7" t="str">
        <f>HYPERLINK("#Liste_rouge!A"&amp;_xlfn.XMATCH("RE",Liste_rouge!A:A,2,1),"RE")</f>
        <v>RE</v>
      </c>
      <c r="AH4135" s="4" t="str">
        <f>HYPERLINK("#Statut_biogéographique!A"&amp;_xlfn.XMATCH("P",Statut_biogéographique!A:A,2,1),"P")</f>
        <v>P</v>
      </c>
      <c r="AP4135" s="4" t="s">
        <v>376</v>
      </c>
      <c r="AR4135" s="4" t="s">
        <v>377</v>
      </c>
    </row>
    <row r="4136" spans="1:44">
      <c r="A4136" s="4" t="s">
        <v>5</v>
      </c>
      <c r="B4136" s="4">
        <v>34132</v>
      </c>
      <c r="C4136" s="4">
        <v>1908</v>
      </c>
      <c r="D4136" s="5" t="s">
        <v>6091</v>
      </c>
      <c r="E4136" s="6" t="str">
        <f>HYPERLINK("https://inpn.mnhn.fr/espece/cd_nom/34132","Cortinarius bivelus (Fr.) Fr., 1838")</f>
        <v>Cortinarius bivelus (Fr.) Fr., 1838</v>
      </c>
      <c r="F4136" s="5" t="s">
        <v>6092</v>
      </c>
      <c r="V4136" s="7" t="str">
        <f>HYPERLINK("#Liste_rouge!A"&amp;_xlfn.XMATCH("LC",Liste_rouge!A:A,2,1),"LC")</f>
        <v>LC</v>
      </c>
      <c r="AH4136" s="4" t="str">
        <f>HYPERLINK("#Statut_biogéographique!A"&amp;_xlfn.XMATCH("P",Statut_biogéographique!A:A,2,1),"P")</f>
        <v>P</v>
      </c>
      <c r="AP4136" s="4" t="s">
        <v>376</v>
      </c>
      <c r="AR4136" s="4" t="s">
        <v>377</v>
      </c>
    </row>
    <row r="4137" spans="1:44">
      <c r="A4137" s="4" t="s">
        <v>5</v>
      </c>
      <c r="B4137" s="4">
        <v>34135</v>
      </c>
      <c r="C4137" s="4">
        <v>120</v>
      </c>
      <c r="D4137" s="5" t="s">
        <v>6093</v>
      </c>
      <c r="E4137" s="6" t="str">
        <f>HYPERLINK("https://inpn.mnhn.fr/espece/cd_nom/34135","Cortinarius bolaris (Pers.) Fr., 1838")</f>
        <v>Cortinarius bolaris (Pers.) Fr., 1838</v>
      </c>
      <c r="F4137" s="5" t="s">
        <v>6094</v>
      </c>
      <c r="V4137" s="7" t="str">
        <f>HYPERLINK("#Liste_rouge!A"&amp;_xlfn.XMATCH("LC",Liste_rouge!A:A,2,1),"LC")</f>
        <v>LC</v>
      </c>
      <c r="AH4137" s="4" t="str">
        <f>HYPERLINK("#Statut_biogéographique!A"&amp;_xlfn.XMATCH("P",Statut_biogéographique!A:A,2,1),"P")</f>
        <v>P</v>
      </c>
      <c r="AP4137" s="4" t="s">
        <v>376</v>
      </c>
      <c r="AR4137" s="4" t="s">
        <v>377</v>
      </c>
    </row>
    <row r="4138" spans="1:44">
      <c r="A4138" s="4" t="s">
        <v>5</v>
      </c>
      <c r="B4138" s="4">
        <v>34141</v>
      </c>
      <c r="C4138" s="4">
        <v>1866</v>
      </c>
      <c r="D4138" s="5" t="s">
        <v>6095</v>
      </c>
      <c r="E4138" s="6" t="str">
        <f>HYPERLINK("https://inpn.mnhn.fr/espece/cd_nom/34141","Cortinarius boudieri Rob.Henry, 1936")</f>
        <v>Cortinarius boudieri Rob.Henry, 1936</v>
      </c>
      <c r="F4138" s="5" t="s">
        <v>6096</v>
      </c>
      <c r="V4138" s="7" t="str">
        <f>HYPERLINK("#Liste_rouge!A"&amp;_xlfn.XMATCH("NT",Liste_rouge!A:A,2,1),"NT")</f>
        <v>NT</v>
      </c>
      <c r="W4138" s="4" t="str">
        <f>HYPERLINK("#Critères_liste_rouge!A$1","pr. B2abiii")</f>
        <v>pr. B2abiii</v>
      </c>
      <c r="Z4138" s="4" t="s">
        <v>447</v>
      </c>
      <c r="AA4138" s="4" t="s">
        <v>448</v>
      </c>
      <c r="AH4138" s="4" t="str">
        <f>HYPERLINK("#Statut_biogéographique!A"&amp;_xlfn.XMATCH("P",Statut_biogéographique!A:A,2,1),"P")</f>
        <v>P</v>
      </c>
      <c r="AP4138" s="4" t="s">
        <v>376</v>
      </c>
      <c r="AR4138" s="4" t="s">
        <v>377</v>
      </c>
    </row>
    <row r="4139" spans="1:44">
      <c r="A4139" s="4" t="s">
        <v>5</v>
      </c>
      <c r="B4139" s="4">
        <v>34145</v>
      </c>
      <c r="C4139" s="4">
        <v>2842</v>
      </c>
      <c r="D4139" s="5" t="s">
        <v>6097</v>
      </c>
      <c r="E4139" s="6" t="str">
        <f>HYPERLINK("https://inpn.mnhn.fr/espece/cd_nom/34145","Cortinarius bovinus Fr., 1838")</f>
        <v>Cortinarius bovinus Fr., 1838</v>
      </c>
      <c r="F4139" s="5" t="s">
        <v>6098</v>
      </c>
      <c r="V4139" s="7" t="str">
        <f>HYPERLINK("#Liste_rouge!A"&amp;_xlfn.XMATCH("EN",Liste_rouge!A:A,2,1),"EN")</f>
        <v>EN</v>
      </c>
      <c r="W4139" s="4" t="str">
        <f>HYPERLINK("#Critères_liste_rouge!A$1","B2abiii")</f>
        <v>B2abiii</v>
      </c>
      <c r="Z4139" s="4" t="s">
        <v>447</v>
      </c>
      <c r="AA4139" s="4" t="s">
        <v>448</v>
      </c>
      <c r="AH4139" s="4" t="str">
        <f>HYPERLINK("#Statut_biogéographique!A"&amp;_xlfn.XMATCH("P",Statut_biogéographique!A:A,2,1),"P")</f>
        <v>P</v>
      </c>
      <c r="AP4139" s="4" t="s">
        <v>376</v>
      </c>
      <c r="AR4139" s="4" t="s">
        <v>377</v>
      </c>
    </row>
    <row r="4140" spans="1:44">
      <c r="A4140" s="4" t="s">
        <v>5</v>
      </c>
      <c r="B4140" s="4">
        <v>34149</v>
      </c>
      <c r="C4140" s="4">
        <v>3718</v>
      </c>
      <c r="D4140" s="5" t="s">
        <v>6099</v>
      </c>
      <c r="E4140" s="6" t="str">
        <f>HYPERLINK("https://inpn.mnhn.fr/espece/cd_nom/34149","Cortinarius brunneofulvus Fr., 1838")</f>
        <v>Cortinarius brunneofulvus Fr., 1838</v>
      </c>
      <c r="F4140" s="5" t="s">
        <v>6100</v>
      </c>
      <c r="V4140" s="7" t="str">
        <f>HYPERLINK("#Liste_rouge!A"&amp;_xlfn.XMATCH("VU",Liste_rouge!A:A,2,1),"VU")</f>
        <v>VU</v>
      </c>
      <c r="W4140" s="4" t="str">
        <f>HYPERLINK("#Critères_liste_rouge!A$1","D2")</f>
        <v>D2</v>
      </c>
      <c r="Z4140" s="4" t="s">
        <v>447</v>
      </c>
      <c r="AA4140" s="4" t="s">
        <v>448</v>
      </c>
      <c r="AH4140" s="4" t="str">
        <f>HYPERLINK("#Statut_biogéographique!A"&amp;_xlfn.XMATCH("P",Statut_biogéographique!A:A,2,1),"P")</f>
        <v>P</v>
      </c>
      <c r="AP4140" s="4" t="s">
        <v>376</v>
      </c>
      <c r="AR4140" s="4" t="s">
        <v>377</v>
      </c>
    </row>
    <row r="4141" spans="1:44">
      <c r="A4141" s="4" t="s">
        <v>5</v>
      </c>
      <c r="B4141" s="4">
        <v>34151</v>
      </c>
      <c r="C4141" s="4">
        <v>377</v>
      </c>
      <c r="D4141" s="5" t="s">
        <v>6101</v>
      </c>
      <c r="E4141" s="6" t="str">
        <f>HYPERLINK("https://inpn.mnhn.fr/espece/cd_nom/34151","Cortinarius brunneus (Pers.) Fr., 1838")</f>
        <v>Cortinarius brunneus (Pers.) Fr., 1838</v>
      </c>
      <c r="F4141" s="5" t="s">
        <v>6102</v>
      </c>
      <c r="V4141" s="7" t="str">
        <f>HYPERLINK("#Liste_rouge!A"&amp;_xlfn.XMATCH("LC",Liste_rouge!A:A,2,1),"LC")</f>
        <v>LC</v>
      </c>
      <c r="Z4141" s="4" t="s">
        <v>447</v>
      </c>
      <c r="AA4141" s="4" t="s">
        <v>448</v>
      </c>
      <c r="AH4141" s="4" t="str">
        <f>HYPERLINK("#Statut_biogéographique!A"&amp;_xlfn.XMATCH("P",Statut_biogéographique!A:A,2,1),"P")</f>
        <v>P</v>
      </c>
      <c r="AP4141" s="4" t="s">
        <v>376</v>
      </c>
      <c r="AR4141" s="4" t="s">
        <v>377</v>
      </c>
    </row>
    <row r="4142" spans="1:44" ht="30">
      <c r="A4142" s="4" t="s">
        <v>5</v>
      </c>
      <c r="B4142" s="4">
        <v>34156</v>
      </c>
      <c r="C4142" s="4">
        <v>974</v>
      </c>
      <c r="D4142" s="5" t="s">
        <v>6103</v>
      </c>
      <c r="E4142" s="6" t="str">
        <f>HYPERLINK("https://inpn.mnhn.fr/espece/cd_nom/34156","Cortinarius bulbosus (Sowerby) Gray, 1821")</f>
        <v>Cortinarius bulbosus (Sowerby) Gray, 1821</v>
      </c>
      <c r="F4142" s="5" t="s">
        <v>6104</v>
      </c>
      <c r="V4142" s="7" t="str">
        <f>HYPERLINK("#Liste_rouge!A"&amp;_xlfn.XMATCH("EN",Liste_rouge!A:A,2,1),"EN")</f>
        <v>EN</v>
      </c>
      <c r="W4142" s="4" t="str">
        <f>HYPERLINK("#Critères_liste_rouge!A$1","B2abiii")</f>
        <v>B2abiii</v>
      </c>
      <c r="Z4142" s="4" t="s">
        <v>443</v>
      </c>
      <c r="AA4142" s="4" t="s">
        <v>444</v>
      </c>
      <c r="AH4142" s="4" t="str">
        <f>HYPERLINK("#Statut_biogéographique!A"&amp;_xlfn.XMATCH("P",Statut_biogéographique!A:A,2,1),"P")</f>
        <v>P</v>
      </c>
      <c r="AP4142" s="4" t="s">
        <v>376</v>
      </c>
      <c r="AR4142" s="4" t="s">
        <v>377</v>
      </c>
    </row>
    <row r="4143" spans="1:44">
      <c r="A4143" s="4" t="s">
        <v>5</v>
      </c>
      <c r="B4143" s="4">
        <v>34160</v>
      </c>
      <c r="C4143" s="4">
        <v>662</v>
      </c>
      <c r="D4143" s="5" t="s">
        <v>6105</v>
      </c>
      <c r="E4143" s="6" t="str">
        <f>HYPERLINK("https://inpn.mnhn.fr/espece/cd_nom/34160","Cortinarius bulliardii (Pers.) Fr., 1838")</f>
        <v>Cortinarius bulliardii (Pers.) Fr., 1838</v>
      </c>
      <c r="F4143" s="5" t="s">
        <v>6106</v>
      </c>
      <c r="V4143" s="7" t="str">
        <f>HYPERLINK("#Liste_rouge!A"&amp;_xlfn.XMATCH("LC",Liste_rouge!A:A,2,1),"LC")</f>
        <v>LC</v>
      </c>
      <c r="AH4143" s="4" t="str">
        <f>HYPERLINK("#Statut_biogéographique!A"&amp;_xlfn.XMATCH("P",Statut_biogéographique!A:A,2,1),"P")</f>
        <v>P</v>
      </c>
      <c r="AP4143" s="4" t="s">
        <v>376</v>
      </c>
      <c r="AR4143" s="4" t="s">
        <v>377</v>
      </c>
    </row>
    <row r="4144" spans="1:44">
      <c r="A4144" s="4" t="s">
        <v>5</v>
      </c>
      <c r="B4144" s="4">
        <v>34166</v>
      </c>
      <c r="C4144" s="4">
        <v>2988</v>
      </c>
      <c r="D4144" s="5" t="s">
        <v>6107</v>
      </c>
      <c r="E4144" s="6" t="str">
        <f>HYPERLINK("https://inpn.mnhn.fr/espece/cd_nom/34166","Cortinarius caerulescens (Schaeff.) Fr., 1838")</f>
        <v>Cortinarius caerulescens (Schaeff.) Fr., 1838</v>
      </c>
      <c r="F4144" s="5" t="s">
        <v>6108</v>
      </c>
      <c r="O4144" s="7" t="str">
        <f>HYPERLINK("#Liste_rouge!A"&amp;_xlfn.XMATCH("VU",Liste_rouge!A:A,2,1),"VU")</f>
        <v>VU</v>
      </c>
      <c r="V4144" s="7" t="str">
        <f>HYPERLINK("#Liste_rouge!A"&amp;_xlfn.XMATCH("LC",Liste_rouge!A:A,2,1),"LC")</f>
        <v>LC</v>
      </c>
      <c r="AH4144" s="4" t="str">
        <f>HYPERLINK("#Statut_biogéographique!A"&amp;_xlfn.XMATCH("P",Statut_biogéographique!A:A,2,1),"P")</f>
        <v>P</v>
      </c>
      <c r="AP4144" s="4" t="s">
        <v>376</v>
      </c>
      <c r="AR4144" s="4" t="s">
        <v>377</v>
      </c>
    </row>
    <row r="4145" spans="1:44" ht="30">
      <c r="A4145" s="4" t="s">
        <v>5</v>
      </c>
      <c r="B4145" s="4">
        <v>34172</v>
      </c>
      <c r="C4145" s="4">
        <v>3052</v>
      </c>
      <c r="D4145" s="5" t="s">
        <v>6109</v>
      </c>
      <c r="E4145" s="6" t="str">
        <f>HYPERLINK("https://inpn.mnhn.fr/espece/cd_nom/34172","Cortinarius caerulescens var. pallidipes Moënne-Locc., 1993")</f>
        <v>Cortinarius caerulescens var. pallidipes Moënne-Locc., 1993</v>
      </c>
      <c r="F4145" s="5" t="s">
        <v>6110</v>
      </c>
      <c r="V4145" s="7" t="str">
        <f>HYPERLINK("#Liste_rouge!A"&amp;_xlfn.XMATCH("DD",Liste_rouge!A:A,2,1),"DD")</f>
        <v>DD</v>
      </c>
      <c r="AH4145" s="4" t="str">
        <f>HYPERLINK("#Statut_biogéographique!A"&amp;_xlfn.XMATCH("P",Statut_biogéographique!A:A,2,1),"P")</f>
        <v>P</v>
      </c>
      <c r="AP4145" s="4" t="s">
        <v>376</v>
      </c>
      <c r="AR4145" s="4" t="s">
        <v>377</v>
      </c>
    </row>
    <row r="4146" spans="1:44">
      <c r="A4146" s="4" t="s">
        <v>5</v>
      </c>
      <c r="B4146" s="4">
        <v>34174</v>
      </c>
      <c r="C4146" s="4">
        <v>2982</v>
      </c>
      <c r="D4146" s="5" t="s">
        <v>6111</v>
      </c>
      <c r="E4146" s="6" t="str">
        <f>HYPERLINK("https://inpn.mnhn.fr/espece/cd_nom/34174","Cortinarius caerulescentium Rob.Henry, 1952")</f>
        <v>Cortinarius caerulescentium Rob.Henry, 1952</v>
      </c>
      <c r="F4146" s="5" t="s">
        <v>6108</v>
      </c>
      <c r="V4146" s="7" t="str">
        <f>HYPERLINK("#Liste_rouge!A"&amp;_xlfn.XMATCH("EN",Liste_rouge!A:A,2,1),"EN")</f>
        <v>EN</v>
      </c>
      <c r="W4146" s="4" t="str">
        <f>HYPERLINK("#Critères_liste_rouge!A$1","B2abiii")</f>
        <v>B2abiii</v>
      </c>
      <c r="Z4146" s="4" t="s">
        <v>447</v>
      </c>
      <c r="AA4146" s="4" t="s">
        <v>448</v>
      </c>
      <c r="AH4146" s="4" t="str">
        <f>HYPERLINK("#Statut_biogéographique!A"&amp;_xlfn.XMATCH("P",Statut_biogéographique!A:A,2,1),"P")</f>
        <v>P</v>
      </c>
      <c r="AP4146" s="4" t="s">
        <v>376</v>
      </c>
      <c r="AR4146" s="4" t="s">
        <v>377</v>
      </c>
    </row>
    <row r="4147" spans="1:44" ht="30">
      <c r="A4147" s="4" t="s">
        <v>5</v>
      </c>
      <c r="B4147" s="4">
        <v>34176</v>
      </c>
      <c r="C4147" s="4">
        <v>2983</v>
      </c>
      <c r="D4147" s="5" t="s">
        <v>6112</v>
      </c>
      <c r="E4147" s="6" t="str">
        <f>HYPERLINK("https://inpn.mnhn.fr/espece/cd_nom/34176","Cortinarius caesiocanescens M.M.Moser, 1952")</f>
        <v>Cortinarius caesiocanescens M.M.Moser, 1952</v>
      </c>
      <c r="V4147" s="7" t="str">
        <f>HYPERLINK("#Liste_rouge!A"&amp;_xlfn.XMATCH("NT",Liste_rouge!A:A,2,1),"NT")</f>
        <v>NT</v>
      </c>
      <c r="W4147" s="4" t="str">
        <f>HYPERLINK("#Critères_liste_rouge!A$1","pr. B2abiii")</f>
        <v>pr. B2abiii</v>
      </c>
      <c r="AH4147" s="4" t="str">
        <f>HYPERLINK("#Statut_biogéographique!A"&amp;_xlfn.XMATCH("P",Statut_biogéographique!A:A,2,1),"P")</f>
        <v>P</v>
      </c>
      <c r="AP4147" s="4" t="s">
        <v>376</v>
      </c>
      <c r="AR4147" s="4" t="s">
        <v>377</v>
      </c>
    </row>
    <row r="4148" spans="1:44" ht="30">
      <c r="A4148" s="4" t="s">
        <v>5</v>
      </c>
      <c r="B4148" s="4">
        <v>34179</v>
      </c>
      <c r="C4148" s="4">
        <v>2984</v>
      </c>
      <c r="D4148" s="5">
        <v>34179</v>
      </c>
      <c r="E4148" s="6" t="str">
        <f>HYPERLINK("https://inpn.mnhn.fr/espece/cd_nom/34179","Cortinarius parasuaveolens (Bon &amp; Trescol) Bidaud, Moënne-Locc. &amp; Reumaux, 2000")</f>
        <v>Cortinarius parasuaveolens (Bon &amp; Trescol) Bidaud, Moënne-Locc. &amp; Reumaux, 2000</v>
      </c>
      <c r="V4148" s="7" t="str">
        <f>HYPERLINK("#Liste_rouge!A"&amp;_xlfn.XMATCH("EN",Liste_rouge!A:A,2,1),"EN")</f>
        <v>EN</v>
      </c>
      <c r="W4148" s="4" t="str">
        <f>HYPERLINK("#Critères_liste_rouge!A$1","B2abiii")</f>
        <v>B2abiii</v>
      </c>
      <c r="Z4148" s="4" t="s">
        <v>447</v>
      </c>
      <c r="AA4148" s="4" t="s">
        <v>448</v>
      </c>
      <c r="AH4148" s="4" t="str">
        <f>HYPERLINK("#Statut_biogéographique!A"&amp;_xlfn.XMATCH("P",Statut_biogéographique!A:A,2,1),"P")</f>
        <v>P</v>
      </c>
      <c r="AP4148" s="4" t="s">
        <v>376</v>
      </c>
      <c r="AR4148" s="4" t="s">
        <v>377</v>
      </c>
    </row>
    <row r="4149" spans="1:44">
      <c r="A4149" s="4" t="s">
        <v>5</v>
      </c>
      <c r="B4149" s="4">
        <v>34180</v>
      </c>
      <c r="C4149" s="4">
        <v>2985</v>
      </c>
      <c r="D4149" s="5" t="s">
        <v>6113</v>
      </c>
      <c r="E4149" s="6" t="str">
        <f>HYPERLINK("https://inpn.mnhn.fr/espece/cd_nom/34180","Cortinarius caesiocortinatus Jul.Schäff., 1951")</f>
        <v>Cortinarius caesiocortinatus Jul.Schäff., 1951</v>
      </c>
      <c r="V4149" s="7" t="str">
        <f>HYPERLINK("#Liste_rouge!A"&amp;_xlfn.XMATCH("LC",Liste_rouge!A:A,2,1),"LC")</f>
        <v>LC</v>
      </c>
      <c r="AH4149" s="4" t="str">
        <f>HYPERLINK("#Statut_biogéographique!A"&amp;_xlfn.XMATCH("P",Statut_biogéographique!A:A,2,1),"P")</f>
        <v>P</v>
      </c>
      <c r="AP4149" s="4" t="s">
        <v>376</v>
      </c>
      <c r="AR4149" s="4" t="s">
        <v>377</v>
      </c>
    </row>
    <row r="4150" spans="1:44" ht="30">
      <c r="A4150" s="4" t="s">
        <v>5</v>
      </c>
      <c r="B4150" s="4">
        <v>34185</v>
      </c>
      <c r="D4150" s="5" t="s">
        <v>6114</v>
      </c>
      <c r="E4150" s="6" t="str">
        <f>HYPERLINK("https://inpn.mnhn.fr/espece/cd_nom/34185","Hohenbuehelia albonigra (Pat.) Courtec., 1993")</f>
        <v>Hohenbuehelia albonigra (Pat.) Courtec., 1993</v>
      </c>
      <c r="V4150" s="7" t="str">
        <f>HYPERLINK("#Liste_rouge!A"&amp;_xlfn.XMATCH("EN",Liste_rouge!A:A,2,1),"EN")</f>
        <v>EN</v>
      </c>
      <c r="W4150" s="4" t="str">
        <f>HYPERLINK("#Critères_liste_rouge!A$1","B2abiii")</f>
        <v>B2abiii</v>
      </c>
      <c r="AH4150" s="4" t="str">
        <f>HYPERLINK("#Statut_biogéographique!A"&amp;_xlfn.XMATCH("P",Statut_biogéographique!A:A,2,1),"P")</f>
        <v>P</v>
      </c>
      <c r="AP4150" s="4" t="s">
        <v>376</v>
      </c>
      <c r="AR4150" s="4" t="s">
        <v>377</v>
      </c>
    </row>
    <row r="4151" spans="1:44" ht="30">
      <c r="A4151" s="4" t="s">
        <v>5</v>
      </c>
      <c r="B4151" s="4">
        <v>34188</v>
      </c>
      <c r="C4151" s="4">
        <v>412</v>
      </c>
      <c r="D4151" s="5" t="s">
        <v>6115</v>
      </c>
      <c r="E4151" s="6" t="str">
        <f>HYPERLINK("https://inpn.mnhn.fr/espece/cd_nom/34188","Hohenbuehelia atrocaerulea (Fr.) Singer, 1951")</f>
        <v>Hohenbuehelia atrocaerulea (Fr.) Singer, 1951</v>
      </c>
      <c r="V4151" s="7" t="str">
        <f>HYPERLINK("#Liste_rouge!A"&amp;_xlfn.XMATCH("EN",Liste_rouge!A:A,2,1),"EN")</f>
        <v>EN</v>
      </c>
      <c r="W4151" s="4" t="str">
        <f>HYPERLINK("#Critères_liste_rouge!A$1","B2abiii")</f>
        <v>B2abiii</v>
      </c>
      <c r="Z4151" s="4" t="s">
        <v>447</v>
      </c>
      <c r="AA4151" s="4" t="s">
        <v>448</v>
      </c>
      <c r="AH4151" s="4" t="str">
        <f>HYPERLINK("#Statut_biogéographique!A"&amp;_xlfn.XMATCH("P",Statut_biogéographique!A:A,2,1),"P")</f>
        <v>P</v>
      </c>
      <c r="AP4151" s="4" t="s">
        <v>376</v>
      </c>
      <c r="AR4151" s="4" t="s">
        <v>377</v>
      </c>
    </row>
    <row r="4152" spans="1:44" ht="30">
      <c r="A4152" s="4" t="s">
        <v>5</v>
      </c>
      <c r="B4152" s="4">
        <v>34195</v>
      </c>
      <c r="C4152" s="4">
        <v>5754</v>
      </c>
      <c r="D4152" s="5" t="s">
        <v>6116</v>
      </c>
      <c r="E4152" s="6" t="str">
        <f>HYPERLINK("https://inpn.mnhn.fr/espece/cd_nom/34195","Hohenbuehelia cyphelliformis (Berk.) O.K.Mill., 1986")</f>
        <v>Hohenbuehelia cyphelliformis (Berk.) O.K.Mill., 1986</v>
      </c>
      <c r="Z4152" s="4" t="s">
        <v>447</v>
      </c>
      <c r="AA4152" s="4" t="s">
        <v>448</v>
      </c>
      <c r="AH4152" s="4" t="str">
        <f>HYPERLINK("#Statut_biogéographique!A"&amp;_xlfn.XMATCH("P",Statut_biogéographique!A:A,2,1),"P")</f>
        <v>P</v>
      </c>
      <c r="AP4152" s="4" t="s">
        <v>376</v>
      </c>
      <c r="AR4152" s="4" t="s">
        <v>377</v>
      </c>
    </row>
    <row r="4153" spans="1:44">
      <c r="A4153" s="4" t="s">
        <v>5</v>
      </c>
      <c r="B4153" s="4">
        <v>34199</v>
      </c>
      <c r="C4153" s="4">
        <v>5718</v>
      </c>
      <c r="D4153" s="5" t="s">
        <v>6117</v>
      </c>
      <c r="E4153" s="6" t="str">
        <f>HYPERLINK("https://inpn.mnhn.fr/espece/cd_nom/34199","Hohenbuehelia fluxilis (Fr.) P.D.Orton, 1964")</f>
        <v>Hohenbuehelia fluxilis (Fr.) P.D.Orton, 1964</v>
      </c>
      <c r="V4153" s="7" t="str">
        <f>HYPERLINK("#Liste_rouge!A"&amp;_xlfn.XMATCH("DD",Liste_rouge!A:A,2,1),"DD")</f>
        <v>DD</v>
      </c>
      <c r="Z4153" s="4" t="s">
        <v>447</v>
      </c>
      <c r="AA4153" s="4" t="s">
        <v>448</v>
      </c>
      <c r="AH4153" s="4" t="str">
        <f>HYPERLINK("#Statut_biogéographique!A"&amp;_xlfn.XMATCH("P",Statut_biogéographique!A:A,2,1),"P")</f>
        <v>P</v>
      </c>
      <c r="AP4153" s="4" t="s">
        <v>376</v>
      </c>
      <c r="AR4153" s="4" t="s">
        <v>377</v>
      </c>
    </row>
    <row r="4154" spans="1:44" ht="30">
      <c r="A4154" s="4" t="s">
        <v>5</v>
      </c>
      <c r="B4154" s="4">
        <v>34201</v>
      </c>
      <c r="C4154" s="4">
        <v>1300</v>
      </c>
      <c r="D4154" s="5" t="s">
        <v>6118</v>
      </c>
      <c r="E4154" s="6" t="str">
        <f>HYPERLINK("https://inpn.mnhn.fr/espece/cd_nom/34201","Hohenbuehelia geogenia (DC.) Singer, 1951")</f>
        <v>Hohenbuehelia geogenia (DC.) Singer, 1951</v>
      </c>
      <c r="F4154" s="5" t="s">
        <v>6119</v>
      </c>
      <c r="V4154" s="7" t="str">
        <f>HYPERLINK("#Liste_rouge!A"&amp;_xlfn.XMATCH("LC",Liste_rouge!A:A,2,1),"LC")</f>
        <v>LC</v>
      </c>
      <c r="AH4154" s="4" t="str">
        <f>HYPERLINK("#Statut_biogéographique!A"&amp;_xlfn.XMATCH("P",Statut_biogéographique!A:A,2,1),"P")</f>
        <v>P</v>
      </c>
      <c r="AP4154" s="4" t="s">
        <v>376</v>
      </c>
      <c r="AR4154" s="4" t="s">
        <v>377</v>
      </c>
    </row>
    <row r="4155" spans="1:44" ht="30">
      <c r="A4155" s="4" t="s">
        <v>5</v>
      </c>
      <c r="B4155" s="4">
        <v>34209</v>
      </c>
      <c r="C4155" s="4">
        <v>3229</v>
      </c>
      <c r="D4155" s="5" t="s">
        <v>6120</v>
      </c>
      <c r="E4155" s="6" t="str">
        <f>HYPERLINK("https://inpn.mnhn.fr/espece/cd_nom/34209","Hohenbuehelia longipes (Boud.) M.M.Moser, 1967")</f>
        <v>Hohenbuehelia longipes (Boud.) M.M.Moser, 1967</v>
      </c>
      <c r="F4155" s="5" t="s">
        <v>6121</v>
      </c>
      <c r="V4155" s="7" t="str">
        <f>HYPERLINK("#Liste_rouge!A"&amp;_xlfn.XMATCH("CR",Liste_rouge!A:A,2,1),"CR")</f>
        <v>CR</v>
      </c>
      <c r="W4155" s="4" t="str">
        <f>HYPERLINK("#Critères_liste_rouge!A$1","B2abiii")</f>
        <v>B2abiii</v>
      </c>
      <c r="Z4155" s="4" t="s">
        <v>512</v>
      </c>
      <c r="AA4155" s="4" t="s">
        <v>513</v>
      </c>
      <c r="AH4155" s="4" t="str">
        <f>HYPERLINK("#Statut_biogéographique!A"&amp;_xlfn.XMATCH("P",Statut_biogéographique!A:A,2,1),"P")</f>
        <v>P</v>
      </c>
      <c r="AP4155" s="4" t="s">
        <v>376</v>
      </c>
      <c r="AR4155" s="4" t="s">
        <v>377</v>
      </c>
    </row>
    <row r="4156" spans="1:44" ht="30">
      <c r="A4156" s="4" t="s">
        <v>5</v>
      </c>
      <c r="B4156" s="4">
        <v>34217</v>
      </c>
      <c r="C4156" s="4">
        <v>3474</v>
      </c>
      <c r="D4156" s="5" t="s">
        <v>6122</v>
      </c>
      <c r="E4156" s="6" t="str">
        <f>HYPERLINK("https://inpn.mnhn.fr/espece/cd_nom/34217","Hohenbuehelia myxotricha (Lév.) Singer, 1951")</f>
        <v>Hohenbuehelia myxotricha (Lév.) Singer, 1951</v>
      </c>
      <c r="V4156" s="7" t="str">
        <f>HYPERLINK("#Liste_rouge!A"&amp;_xlfn.XMATCH("EN",Liste_rouge!A:A,2,1),"EN")</f>
        <v>EN</v>
      </c>
      <c r="W4156" s="4" t="str">
        <f>HYPERLINK("#Critères_liste_rouge!A$1","B2abiii")</f>
        <v>B2abiii</v>
      </c>
      <c r="Z4156" s="4" t="s">
        <v>695</v>
      </c>
      <c r="AA4156" s="4" t="s">
        <v>696</v>
      </c>
      <c r="AH4156" s="4" t="str">
        <f>HYPERLINK("#Statut_biogéographique!A"&amp;_xlfn.XMATCH("P",Statut_biogéographique!A:A,2,1),"P")</f>
        <v>P</v>
      </c>
      <c r="AP4156" s="4" t="s">
        <v>376</v>
      </c>
      <c r="AR4156" s="4" t="s">
        <v>377</v>
      </c>
    </row>
    <row r="4157" spans="1:44" ht="30">
      <c r="A4157" s="4" t="s">
        <v>5</v>
      </c>
      <c r="B4157" s="4">
        <v>34219</v>
      </c>
      <c r="C4157" s="4">
        <v>2381</v>
      </c>
      <c r="D4157" s="5" t="s">
        <v>6123</v>
      </c>
      <c r="E4157" s="6" t="str">
        <f>HYPERLINK("https://inpn.mnhn.fr/espece/cd_nom/34219","Hohenbuehelia petaloides (Bull.) Schulzer, 1866")</f>
        <v>Hohenbuehelia petaloides (Bull.) Schulzer, 1866</v>
      </c>
      <c r="F4157" s="5" t="s">
        <v>6124</v>
      </c>
      <c r="V4157" s="7" t="str">
        <f>HYPERLINK("#Liste_rouge!A"&amp;_xlfn.XMATCH("LC",Liste_rouge!A:A,2,1),"LC")</f>
        <v>LC</v>
      </c>
      <c r="Z4157" s="4" t="s">
        <v>447</v>
      </c>
      <c r="AA4157" s="4" t="s">
        <v>448</v>
      </c>
      <c r="AH4157" s="4" t="str">
        <f>HYPERLINK("#Statut_biogéographique!A"&amp;_xlfn.XMATCH("P",Statut_biogéographique!A:A,2,1),"P")</f>
        <v>P</v>
      </c>
      <c r="AP4157" s="4" t="s">
        <v>376</v>
      </c>
      <c r="AR4157" s="4" t="s">
        <v>377</v>
      </c>
    </row>
    <row r="4158" spans="1:44" ht="30">
      <c r="A4158" s="4" t="s">
        <v>5</v>
      </c>
      <c r="B4158" s="4">
        <v>34231</v>
      </c>
      <c r="C4158" s="4">
        <v>5490</v>
      </c>
      <c r="D4158" s="5" t="s">
        <v>6125</v>
      </c>
      <c r="E4158" s="6" t="str">
        <f>HYPERLINK("https://inpn.mnhn.fr/espece/cd_nom/34231","Hohenbuehelia unguicularis (Fr.) O.K.Mill., 1986")</f>
        <v>Hohenbuehelia unguicularis (Fr.) O.K.Mill., 1986</v>
      </c>
      <c r="V4158" s="7" t="str">
        <f>HYPERLINK("#Liste_rouge!A"&amp;_xlfn.XMATCH("DD",Liste_rouge!A:A,2,1),"DD")</f>
        <v>DD</v>
      </c>
      <c r="AH4158" s="4" t="str">
        <f>HYPERLINK("#Statut_biogéographique!A"&amp;_xlfn.XMATCH("P",Statut_biogéographique!A:A,2,1),"P")</f>
        <v>P</v>
      </c>
      <c r="AP4158" s="4" t="s">
        <v>376</v>
      </c>
      <c r="AR4158" s="4" t="s">
        <v>377</v>
      </c>
    </row>
    <row r="4159" spans="1:44" ht="30">
      <c r="A4159" s="4" t="s">
        <v>5</v>
      </c>
      <c r="B4159" s="4">
        <v>34235</v>
      </c>
      <c r="D4159" s="5" t="s">
        <v>6126</v>
      </c>
      <c r="E4159" s="6" t="str">
        <f>HYPERLINK("https://inpn.mnhn.fr/espece/cd_nom/34235","Lentinellus castoreus (Fr.) Kühner &amp; Maire, 1934")</f>
        <v>Lentinellus castoreus (Fr.) Kühner &amp; Maire, 1934</v>
      </c>
      <c r="V4159" s="7" t="str">
        <f>HYPERLINK("#Liste_rouge!A"&amp;_xlfn.XMATCH("DD",Liste_rouge!A:A,2,1),"DD")</f>
        <v>DD</v>
      </c>
      <c r="AH4159" s="4" t="str">
        <f>HYPERLINK("#Statut_biogéographique!A"&amp;_xlfn.XMATCH("P",Statut_biogéographique!A:A,2,1),"P")</f>
        <v>P</v>
      </c>
      <c r="AP4159" s="4" t="s">
        <v>376</v>
      </c>
      <c r="AR4159" s="4" t="s">
        <v>377</v>
      </c>
    </row>
    <row r="4160" spans="1:44">
      <c r="A4160" s="4" t="s">
        <v>5</v>
      </c>
      <c r="B4160" s="4">
        <v>34238</v>
      </c>
      <c r="D4160" s="5" t="s">
        <v>6127</v>
      </c>
      <c r="E4160" s="6" t="str">
        <f>HYPERLINK("https://inpn.mnhn.fr/espece/cd_nom/34238","Lentinellus cochleatus (Pers.) P.Karst., 1879")</f>
        <v>Lentinellus cochleatus (Pers.) P.Karst., 1879</v>
      </c>
      <c r="F4160" s="5" t="s">
        <v>1242</v>
      </c>
      <c r="V4160" s="7" t="str">
        <f>HYPERLINK("#Liste_rouge!A"&amp;_xlfn.XMATCH("LC",Liste_rouge!A:A,2,1),"LC")</f>
        <v>LC</v>
      </c>
      <c r="AH4160" s="4" t="str">
        <f>HYPERLINK("#Statut_biogéographique!A"&amp;_xlfn.XMATCH("P",Statut_biogéographique!A:A,2,1),"P")</f>
        <v>P</v>
      </c>
      <c r="AP4160" s="4" t="s">
        <v>376</v>
      </c>
      <c r="AR4160" s="4" t="s">
        <v>377</v>
      </c>
    </row>
    <row r="4161" spans="1:44" ht="30">
      <c r="A4161" s="4" t="s">
        <v>5</v>
      </c>
      <c r="B4161" s="4">
        <v>34248</v>
      </c>
      <c r="D4161" s="5" t="s">
        <v>6128</v>
      </c>
      <c r="E4161" s="6" t="str">
        <f>HYPERLINK("https://inpn.mnhn.fr/espece/cd_nom/34248","Lentinellus micheneri (Berk. &amp; M.A.Curtis) Pegler, 1983")</f>
        <v>Lentinellus micheneri (Berk. &amp; M.A.Curtis) Pegler, 1983</v>
      </c>
      <c r="V4161" s="7" t="str">
        <f>HYPERLINK("#Liste_rouge!A"&amp;_xlfn.XMATCH("EN",Liste_rouge!A:A,2,1),"EN")</f>
        <v>EN</v>
      </c>
      <c r="W4161" s="4" t="str">
        <f>HYPERLINK("#Critères_liste_rouge!A$1","B2abiii")</f>
        <v>B2abiii</v>
      </c>
      <c r="AH4161" s="4" t="str">
        <f>HYPERLINK("#Statut_biogéographique!A"&amp;_xlfn.XMATCH("P",Statut_biogéographique!A:A,2,1),"P")</f>
        <v>P</v>
      </c>
      <c r="AP4161" s="4" t="s">
        <v>376</v>
      </c>
      <c r="AR4161" s="4" t="s">
        <v>377</v>
      </c>
    </row>
    <row r="4162" spans="1:44">
      <c r="A4162" s="4" t="s">
        <v>5</v>
      </c>
      <c r="B4162" s="4">
        <v>34255</v>
      </c>
      <c r="D4162" s="5" t="s">
        <v>6129</v>
      </c>
      <c r="E4162" s="6" t="str">
        <f>HYPERLINK("https://inpn.mnhn.fr/espece/cd_nom/34255","Lentinellus ursinus (Fr.) Kühner, 1926")</f>
        <v>Lentinellus ursinus (Fr.) Kühner, 1926</v>
      </c>
      <c r="V4162" s="7" t="str">
        <f>HYPERLINK("#Liste_rouge!A"&amp;_xlfn.XMATCH("EN",Liste_rouge!A:A,2,1),"EN")</f>
        <v>EN</v>
      </c>
      <c r="W4162" s="4" t="str">
        <f>HYPERLINK("#Critères_liste_rouge!A$1","A2c")</f>
        <v>A2c</v>
      </c>
      <c r="AH4162" s="4" t="str">
        <f>HYPERLINK("#Statut_biogéographique!A"&amp;_xlfn.XMATCH("P",Statut_biogéographique!A:A,2,1),"P")</f>
        <v>P</v>
      </c>
      <c r="AP4162" s="4" t="s">
        <v>376</v>
      </c>
      <c r="AR4162" s="4" t="s">
        <v>377</v>
      </c>
    </row>
    <row r="4163" spans="1:44" ht="30">
      <c r="A4163" s="4" t="s">
        <v>5</v>
      </c>
      <c r="B4163" s="4">
        <v>34286</v>
      </c>
      <c r="D4163" s="5" t="s">
        <v>6130</v>
      </c>
      <c r="E4163" s="6" t="str">
        <f>HYPERLINK("https://inpn.mnhn.fr/espece/cd_nom/34286","Lentinus tigrinus (Bull.) Fr., 1825")</f>
        <v>Lentinus tigrinus (Bull.) Fr., 1825</v>
      </c>
      <c r="F4163" s="5" t="s">
        <v>1293</v>
      </c>
      <c r="V4163" s="7" t="str">
        <f>HYPERLINK("#Liste_rouge!A"&amp;_xlfn.XMATCH("LC",Liste_rouge!A:A,2,1),"LC")</f>
        <v>LC</v>
      </c>
      <c r="AH4163" s="4" t="str">
        <f>HYPERLINK("#Statut_biogéographique!A"&amp;_xlfn.XMATCH("P",Statut_biogéographique!A:A,2,1),"P")</f>
        <v>P</v>
      </c>
      <c r="AP4163" s="4" t="s">
        <v>376</v>
      </c>
      <c r="AR4163" s="4" t="s">
        <v>377</v>
      </c>
    </row>
    <row r="4164" spans="1:44" ht="30">
      <c r="A4164" s="4" t="s">
        <v>5</v>
      </c>
      <c r="B4164" s="4">
        <v>34290</v>
      </c>
      <c r="D4164" s="5" t="s">
        <v>6131</v>
      </c>
      <c r="E4164" s="6" t="str">
        <f>HYPERLINK("https://inpn.mnhn.fr/espece/cd_nom/34290","Panus conchatus (Bull.) Fr., 1838")</f>
        <v>Panus conchatus (Bull.) Fr., 1838</v>
      </c>
      <c r="V4164" s="7" t="str">
        <f>HYPERLINK("#Liste_rouge!A"&amp;_xlfn.XMATCH("LC",Liste_rouge!A:A,2,1),"LC")</f>
        <v>LC</v>
      </c>
      <c r="AH4164" s="4" t="str">
        <f>HYPERLINK("#Statut_biogéographique!A"&amp;_xlfn.XMATCH("P",Statut_biogéographique!A:A,2,1),"P")</f>
        <v>P</v>
      </c>
      <c r="AP4164" s="4" t="s">
        <v>376</v>
      </c>
      <c r="AR4164" s="4" t="s">
        <v>377</v>
      </c>
    </row>
    <row r="4165" spans="1:44" ht="30">
      <c r="A4165" s="4" t="s">
        <v>5</v>
      </c>
      <c r="B4165" s="4">
        <v>34309</v>
      </c>
      <c r="C4165" s="4">
        <v>3693</v>
      </c>
      <c r="D4165" s="5" t="s">
        <v>6132</v>
      </c>
      <c r="E4165" s="6" t="str">
        <f>HYPERLINK("https://inpn.mnhn.fr/espece/cd_nom/34309","Cheimonophyllum candidissimum (Sacc.) Singer, 1955")</f>
        <v>Cheimonophyllum candidissimum (Sacc.) Singer, 1955</v>
      </c>
      <c r="F4165" s="5" t="s">
        <v>6133</v>
      </c>
      <c r="V4165" s="7" t="str">
        <f>HYPERLINK("#Liste_rouge!A"&amp;_xlfn.XMATCH("NT",Liste_rouge!A:A,2,1),"NT")</f>
        <v>NT</v>
      </c>
      <c r="W4165" s="4" t="str">
        <f>HYPERLINK("#Critères_liste_rouge!A$1","pr. B2abiii")</f>
        <v>pr. B2abiii</v>
      </c>
      <c r="AH4165" s="4" t="str">
        <f>HYPERLINK("#Statut_biogéographique!A"&amp;_xlfn.XMATCH("P",Statut_biogéographique!A:A,2,1),"P")</f>
        <v>P</v>
      </c>
      <c r="AP4165" s="4" t="s">
        <v>376</v>
      </c>
      <c r="AR4165" s="4" t="s">
        <v>377</v>
      </c>
    </row>
    <row r="4166" spans="1:44">
      <c r="A4166" s="4" t="s">
        <v>5</v>
      </c>
      <c r="B4166" s="4">
        <v>34328</v>
      </c>
      <c r="D4166" s="5" t="s">
        <v>6134</v>
      </c>
      <c r="E4166" s="6" t="str">
        <f>HYPERLINK("https://inpn.mnhn.fr/espece/cd_nom/34328","Scytinotus ringens (Fr.) P.Karst., 1879")</f>
        <v>Scytinotus ringens (Fr.) P.Karst., 1879</v>
      </c>
      <c r="V4166" s="7" t="str">
        <f>HYPERLINK("#Liste_rouge!A"&amp;_xlfn.XMATCH("VU",Liste_rouge!A:A,2,1),"VU")</f>
        <v>VU</v>
      </c>
      <c r="W4166" s="4" t="str">
        <f>HYPERLINK("#Critères_liste_rouge!A$1","A2c")</f>
        <v>A2c</v>
      </c>
      <c r="AH4166" s="4" t="str">
        <f>HYPERLINK("#Statut_biogéographique!A"&amp;_xlfn.XMATCH("P",Statut_biogéographique!A:A,2,1),"P")</f>
        <v>P</v>
      </c>
      <c r="AP4166" s="4" t="s">
        <v>376</v>
      </c>
      <c r="AR4166" s="4" t="s">
        <v>377</v>
      </c>
    </row>
    <row r="4167" spans="1:44">
      <c r="A4167" s="4" t="s">
        <v>5</v>
      </c>
      <c r="B4167" s="4">
        <v>34332</v>
      </c>
      <c r="D4167" s="5" t="s">
        <v>6135</v>
      </c>
      <c r="E4167" s="6" t="str">
        <f>HYPERLINK("https://inpn.mnhn.fr/espece/cd_nom/34332","Panellus stipticus (Bull.) P.Karst., 1879")</f>
        <v>Panellus stipticus (Bull.) P.Karst., 1879</v>
      </c>
      <c r="F4167" s="5" t="s">
        <v>6136</v>
      </c>
      <c r="V4167" s="7" t="str">
        <f>HYPERLINK("#Liste_rouge!A"&amp;_xlfn.XMATCH("LC",Liste_rouge!A:A,2,1),"LC")</f>
        <v>LC</v>
      </c>
      <c r="AH4167" s="4" t="str">
        <f>HYPERLINK("#Statut_biogéographique!A"&amp;_xlfn.XMATCH("P",Statut_biogéographique!A:A,2,1),"P")</f>
        <v>P</v>
      </c>
      <c r="AP4167" s="4" t="s">
        <v>376</v>
      </c>
      <c r="AR4167" s="4" t="s">
        <v>377</v>
      </c>
    </row>
    <row r="4168" spans="1:44" ht="30">
      <c r="A4168" s="4" t="s">
        <v>5</v>
      </c>
      <c r="B4168" s="4">
        <v>34344</v>
      </c>
      <c r="D4168" s="5" t="s">
        <v>6137</v>
      </c>
      <c r="E4168" s="6" t="str">
        <f>HYPERLINK("https://inpn.mnhn.fr/espece/cd_nom/34344","Phyllotopsis nidulans (Pers.) Singer, 1936")</f>
        <v>Phyllotopsis nidulans (Pers.) Singer, 1936</v>
      </c>
      <c r="V4168" s="7" t="str">
        <f>HYPERLINK("#Liste_rouge!A"&amp;_xlfn.XMATCH("LC",Liste_rouge!A:A,2,1),"LC")</f>
        <v>LC</v>
      </c>
      <c r="AH4168" s="4" t="str">
        <f>HYPERLINK("#Statut_biogéographique!A"&amp;_xlfn.XMATCH("P",Statut_biogéographique!A:A,2,1),"P")</f>
        <v>P</v>
      </c>
      <c r="AP4168" s="4" t="s">
        <v>376</v>
      </c>
      <c r="AR4168" s="4" t="s">
        <v>377</v>
      </c>
    </row>
    <row r="4169" spans="1:44" ht="30">
      <c r="A4169" s="4" t="s">
        <v>5</v>
      </c>
      <c r="B4169" s="4">
        <v>34373</v>
      </c>
      <c r="D4169" s="5" t="s">
        <v>6138</v>
      </c>
      <c r="E4169" s="6" t="str">
        <f>HYPERLINK("https://inpn.mnhn.fr/espece/cd_nom/34373","Pleurotus cornucopiae (Paulet) Rolland, 1910")</f>
        <v>Pleurotus cornucopiae (Paulet) Rolland, 1910</v>
      </c>
      <c r="F4169" s="5" t="s">
        <v>6139</v>
      </c>
      <c r="V4169" s="7" t="str">
        <f>HYPERLINK("#Liste_rouge!A"&amp;_xlfn.XMATCH("EN",Liste_rouge!A:A,2,1),"EN")</f>
        <v>EN</v>
      </c>
      <c r="W4169" s="4" t="str">
        <f>HYPERLINK("#Critères_liste_rouge!A$1","A2c")</f>
        <v>A2c</v>
      </c>
      <c r="AH4169" s="4" t="str">
        <f>HYPERLINK("#Statut_biogéographique!A"&amp;_xlfn.XMATCH("P",Statut_biogéographique!A:A,2,1),"P")</f>
        <v>P</v>
      </c>
      <c r="AP4169" s="4" t="s">
        <v>376</v>
      </c>
      <c r="AR4169" s="4" t="s">
        <v>377</v>
      </c>
    </row>
    <row r="4170" spans="1:44" ht="45">
      <c r="A4170" s="4" t="s">
        <v>5</v>
      </c>
      <c r="B4170" s="4">
        <v>34376</v>
      </c>
      <c r="D4170" s="5" t="s">
        <v>6140</v>
      </c>
      <c r="E4170" s="6" t="str">
        <f>HYPERLINK("https://inpn.mnhn.fr/espece/cd_nom/34376","Pleurotus dryinus (Pers.) P.Kumm., 1871")</f>
        <v>Pleurotus dryinus (Pers.) P.Kumm., 1871</v>
      </c>
      <c r="F4170" s="5" t="s">
        <v>566</v>
      </c>
      <c r="V4170" s="7" t="str">
        <f>HYPERLINK("#Liste_rouge!A"&amp;_xlfn.XMATCH("LC",Liste_rouge!A:A,2,1),"LC")</f>
        <v>LC</v>
      </c>
      <c r="AH4170" s="4" t="str">
        <f>HYPERLINK("#Statut_biogéographique!A"&amp;_xlfn.XMATCH("P",Statut_biogéographique!A:A,2,1),"P")</f>
        <v>P</v>
      </c>
      <c r="AP4170" s="4" t="s">
        <v>376</v>
      </c>
      <c r="AR4170" s="4" t="s">
        <v>377</v>
      </c>
    </row>
    <row r="4171" spans="1:44">
      <c r="A4171" s="4" t="s">
        <v>5</v>
      </c>
      <c r="B4171" s="4">
        <v>34382</v>
      </c>
      <c r="C4171" s="4">
        <v>2986</v>
      </c>
      <c r="D4171" s="5" t="s">
        <v>6141</v>
      </c>
      <c r="E4171" s="6" t="str">
        <f>HYPERLINK("https://inpn.mnhn.fr/espece/cd_nom/34382","Cortinarius caesiogriseus Jul.Schäff., 1951")</f>
        <v>Cortinarius caesiogriseus Jul.Schäff., 1951</v>
      </c>
      <c r="V4171" s="7" t="str">
        <f>HYPERLINK("#Liste_rouge!A"&amp;_xlfn.XMATCH("VU",Liste_rouge!A:A,2,1),"VU")</f>
        <v>VU</v>
      </c>
      <c r="W4171" s="4" t="str">
        <f>HYPERLINK("#Critères_liste_rouge!A$1","D2")</f>
        <v>D2</v>
      </c>
      <c r="Z4171" s="4" t="s">
        <v>447</v>
      </c>
      <c r="AA4171" s="4" t="s">
        <v>448</v>
      </c>
      <c r="AH4171" s="4" t="str">
        <f>HYPERLINK("#Statut_biogéographique!A"&amp;_xlfn.XMATCH("P",Statut_biogéographique!A:A,2,1),"P")</f>
        <v>P</v>
      </c>
      <c r="AP4171" s="4" t="s">
        <v>376</v>
      </c>
      <c r="AR4171" s="4" t="s">
        <v>377</v>
      </c>
    </row>
    <row r="4172" spans="1:44" ht="30">
      <c r="A4172" s="4" t="s">
        <v>5</v>
      </c>
      <c r="B4172" s="4">
        <v>34386</v>
      </c>
      <c r="C4172" s="4">
        <v>1845</v>
      </c>
      <c r="D4172" s="5" t="s">
        <v>6142</v>
      </c>
      <c r="E4172" s="6" t="str">
        <f>HYPERLINK("https://inpn.mnhn.fr/espece/cd_nom/34386","Cortinarius caesiostramineus Rob.Henry, 1939")</f>
        <v>Cortinarius caesiostramineus Rob.Henry, 1939</v>
      </c>
      <c r="V4172" s="7" t="str">
        <f>HYPERLINK("#Liste_rouge!A"&amp;_xlfn.XMATCH("NT",Liste_rouge!A:A,2,1),"NT")</f>
        <v>NT</v>
      </c>
      <c r="W4172" s="4" t="str">
        <f>HYPERLINK("#Critères_liste_rouge!A$1","pr. A2c")</f>
        <v>pr. A2c</v>
      </c>
      <c r="AH4172" s="4" t="str">
        <f>HYPERLINK("#Statut_biogéographique!A"&amp;_xlfn.XMATCH("P",Statut_biogéographique!A:A,2,1),"P")</f>
        <v>P</v>
      </c>
      <c r="AP4172" s="4" t="s">
        <v>376</v>
      </c>
      <c r="AR4172" s="4" t="s">
        <v>377</v>
      </c>
    </row>
    <row r="4173" spans="1:44" ht="30">
      <c r="A4173" s="4" t="s">
        <v>5</v>
      </c>
      <c r="B4173" s="4">
        <v>34387</v>
      </c>
      <c r="C4173" s="4">
        <v>1845</v>
      </c>
      <c r="D4173" s="5" t="s">
        <v>6143</v>
      </c>
      <c r="E4173" s="6" t="str">
        <f>HYPERLINK("https://inpn.mnhn.fr/espece/cd_nom/34387","Cortinarius amarescens (M.M.Moser) M.M.Moser, 1967")</f>
        <v>Cortinarius amarescens (M.M.Moser) M.M.Moser, 1967</v>
      </c>
      <c r="V4173" s="7" t="str">
        <f>HYPERLINK("#Liste_rouge!A"&amp;_xlfn.XMATCH("NT",Liste_rouge!A:A,2,1),"NT")</f>
        <v>NT</v>
      </c>
      <c r="W4173" s="4" t="str">
        <f>HYPERLINK("#Critères_liste_rouge!A$1","pr. A2c")</f>
        <v>pr. A2c</v>
      </c>
      <c r="AH4173" s="4" t="str">
        <f>HYPERLINK("#Statut_biogéographique!A"&amp;_xlfn.XMATCH("P",Statut_biogéographique!A:A,2,1),"P")</f>
        <v>P</v>
      </c>
      <c r="AP4173" s="4" t="s">
        <v>376</v>
      </c>
      <c r="AR4173" s="4" t="s">
        <v>377</v>
      </c>
    </row>
    <row r="4174" spans="1:44" ht="30">
      <c r="A4174" s="4" t="s">
        <v>5</v>
      </c>
      <c r="B4174" s="4">
        <v>34391</v>
      </c>
      <c r="C4174" s="4">
        <v>1668</v>
      </c>
      <c r="D4174" s="5" t="s">
        <v>6144</v>
      </c>
      <c r="E4174" s="6" t="str">
        <f>HYPERLINK("https://inpn.mnhn.fr/espece/cd_nom/34391","Cortinarius callisteus (Fr.) Fr., 1838")</f>
        <v>Cortinarius callisteus (Fr.) Fr., 1838</v>
      </c>
      <c r="F4174" s="5" t="s">
        <v>6145</v>
      </c>
      <c r="V4174" s="7" t="str">
        <f>HYPERLINK("#Liste_rouge!A"&amp;_xlfn.XMATCH("LC",Liste_rouge!A:A,2,1),"LC")</f>
        <v>LC</v>
      </c>
      <c r="Z4174" s="4" t="s">
        <v>447</v>
      </c>
      <c r="AA4174" s="4" t="s">
        <v>448</v>
      </c>
      <c r="AH4174" s="4" t="str">
        <f>HYPERLINK("#Statut_biogéographique!A"&amp;_xlfn.XMATCH("P",Statut_biogéographique!A:A,2,1),"P")</f>
        <v>P</v>
      </c>
      <c r="AP4174" s="4" t="s">
        <v>376</v>
      </c>
      <c r="AR4174" s="4" t="s">
        <v>377</v>
      </c>
    </row>
    <row r="4175" spans="1:44">
      <c r="A4175" s="4" t="s">
        <v>5</v>
      </c>
      <c r="B4175" s="4">
        <v>34395</v>
      </c>
      <c r="C4175" s="4">
        <v>2017</v>
      </c>
      <c r="D4175" s="5">
        <v>34395</v>
      </c>
      <c r="E4175" s="6" t="str">
        <f>HYPERLINK("https://inpn.mnhn.fr/espece/cd_nom/34395","Cortinarius decolorans (Pers.) Fr., 1838")</f>
        <v>Cortinarius decolorans (Pers.) Fr., 1838</v>
      </c>
      <c r="F4175" s="5" t="s">
        <v>6146</v>
      </c>
      <c r="V4175" s="7" t="str">
        <f>HYPERLINK("#Liste_rouge!A"&amp;_xlfn.XMATCH("LC",Liste_rouge!A:A,2,1),"LC")</f>
        <v>LC</v>
      </c>
      <c r="AH4175" s="4" t="str">
        <f>HYPERLINK("#Statut_biogéographique!A"&amp;_xlfn.XMATCH("P",Statut_biogéographique!A:A,2,1),"P")</f>
        <v>P</v>
      </c>
      <c r="AP4175" s="4" t="s">
        <v>376</v>
      </c>
      <c r="AR4175" s="4" t="s">
        <v>377</v>
      </c>
    </row>
    <row r="4176" spans="1:44">
      <c r="A4176" s="4" t="s">
        <v>5</v>
      </c>
      <c r="B4176" s="4">
        <v>34409</v>
      </c>
      <c r="C4176" s="4">
        <v>3505</v>
      </c>
      <c r="D4176" s="5">
        <v>34409</v>
      </c>
      <c r="E4176" s="6" t="str">
        <f>HYPERLINK("https://inpn.mnhn.fr/espece/cd_nom/34409","Cortinarius candelaris Fr., 1838")</f>
        <v>Cortinarius candelaris Fr., 1838</v>
      </c>
      <c r="F4176" s="5" t="s">
        <v>6147</v>
      </c>
      <c r="V4176" s="7" t="str">
        <f>HYPERLINK("#Liste_rouge!A"&amp;_xlfn.XMATCH("EN",Liste_rouge!A:A,2,1),"EN")</f>
        <v>EN</v>
      </c>
      <c r="W4176" s="4" t="str">
        <f>HYPERLINK("#Critères_liste_rouge!A$1","B2abiii")</f>
        <v>B2abiii</v>
      </c>
      <c r="Z4176" s="4" t="s">
        <v>447</v>
      </c>
      <c r="AA4176" s="4" t="s">
        <v>448</v>
      </c>
      <c r="AH4176" s="4" t="str">
        <f>HYPERLINK("#Statut_biogéographique!A"&amp;_xlfn.XMATCH("P",Statut_biogéographique!A:A,2,1),"P")</f>
        <v>P</v>
      </c>
      <c r="AP4176" s="4" t="s">
        <v>376</v>
      </c>
      <c r="AR4176" s="4" t="s">
        <v>377</v>
      </c>
    </row>
    <row r="4177" spans="1:44" ht="30">
      <c r="A4177" s="4" t="s">
        <v>5</v>
      </c>
      <c r="B4177" s="4">
        <v>34416</v>
      </c>
      <c r="C4177" s="4">
        <v>1892</v>
      </c>
      <c r="D4177" s="5" t="s">
        <v>6148</v>
      </c>
      <c r="E4177" s="6" t="str">
        <f>HYPERLINK("https://inpn.mnhn.fr/espece/cd_nom/34416","Cortinarius caninus var. inflatus Rob.Henry, 1988")</f>
        <v>Cortinarius caninus var. inflatus Rob.Henry, 1988</v>
      </c>
      <c r="V4177" s="7" t="str">
        <f>HYPERLINK("#Liste_rouge!A"&amp;_xlfn.XMATCH("DD",Liste_rouge!A:A,2,1),"DD")</f>
        <v>DD</v>
      </c>
      <c r="AH4177" s="4" t="str">
        <f>HYPERLINK("#Statut_biogéographique!A"&amp;_xlfn.XMATCH("P",Statut_biogéographique!A:A,2,1),"P")</f>
        <v>P</v>
      </c>
      <c r="AP4177" s="4" t="s">
        <v>376</v>
      </c>
      <c r="AR4177" s="4" t="s">
        <v>377</v>
      </c>
    </row>
    <row r="4178" spans="1:44">
      <c r="A4178" s="4" t="s">
        <v>5</v>
      </c>
      <c r="B4178" s="4">
        <v>34421</v>
      </c>
      <c r="C4178" s="4">
        <v>4099</v>
      </c>
      <c r="D4178" s="5" t="s">
        <v>6149</v>
      </c>
      <c r="E4178" s="6" t="str">
        <f>HYPERLINK("https://inpn.mnhn.fr/espece/cd_nom/34421","Cortinarius castaneus (Bull.) Fr., 1838")</f>
        <v>Cortinarius castaneus (Bull.) Fr., 1838</v>
      </c>
      <c r="V4178" s="7" t="str">
        <f>HYPERLINK("#Liste_rouge!A"&amp;_xlfn.XMATCH("DD",Liste_rouge!A:A,2,1),"DD")</f>
        <v>DD</v>
      </c>
      <c r="AH4178" s="4" t="str">
        <f>HYPERLINK("#Statut_biogéographique!A"&amp;_xlfn.XMATCH("P",Statut_biogéographique!A:A,2,1),"P")</f>
        <v>P</v>
      </c>
      <c r="AP4178" s="4" t="s">
        <v>376</v>
      </c>
      <c r="AR4178" s="4" t="s">
        <v>377</v>
      </c>
    </row>
    <row r="4179" spans="1:44">
      <c r="A4179" s="4" t="s">
        <v>5</v>
      </c>
      <c r="B4179" s="4">
        <v>34423</v>
      </c>
      <c r="C4179" s="4">
        <v>1461</v>
      </c>
      <c r="D4179" s="5" t="s">
        <v>6150</v>
      </c>
      <c r="E4179" s="6" t="str">
        <f>HYPERLINK("https://inpn.mnhn.fr/espece/cd_nom/34423","Cortinarius causticus Fr., 1838")</f>
        <v>Cortinarius causticus Fr., 1838</v>
      </c>
      <c r="F4179" s="5" t="s">
        <v>6151</v>
      </c>
      <c r="V4179" s="7" t="str">
        <f>HYPERLINK("#Liste_rouge!A"&amp;_xlfn.XMATCH("LC",Liste_rouge!A:A,2,1),"LC")</f>
        <v>LC</v>
      </c>
      <c r="AH4179" s="4" t="str">
        <f>HYPERLINK("#Statut_biogéographique!A"&amp;_xlfn.XMATCH("P",Statut_biogéographique!A:A,2,1),"P")</f>
        <v>P</v>
      </c>
      <c r="AP4179" s="4" t="s">
        <v>376</v>
      </c>
      <c r="AR4179" s="4" t="s">
        <v>377</v>
      </c>
    </row>
    <row r="4180" spans="1:44">
      <c r="A4180" s="4" t="s">
        <v>5</v>
      </c>
      <c r="B4180" s="4">
        <v>34427</v>
      </c>
      <c r="C4180" s="4">
        <v>3149</v>
      </c>
      <c r="D4180" s="5" t="s">
        <v>6152</v>
      </c>
      <c r="E4180" s="6" t="str">
        <f>HYPERLINK("https://inpn.mnhn.fr/espece/cd_nom/34427","Cortinarius cedretorum Maire, 1914")</f>
        <v>Cortinarius cedretorum Maire, 1914</v>
      </c>
      <c r="F4180" s="5" t="s">
        <v>6153</v>
      </c>
      <c r="AH4180" s="4" t="str">
        <f>HYPERLINK("#Statut_biogéographique!A"&amp;_xlfn.XMATCH("P",Statut_biogéographique!A:A,2,1),"P")</f>
        <v>P</v>
      </c>
      <c r="AP4180" s="4" t="s">
        <v>376</v>
      </c>
      <c r="AR4180" s="4" t="s">
        <v>377</v>
      </c>
    </row>
    <row r="4181" spans="1:44">
      <c r="A4181" s="4" t="s">
        <v>5</v>
      </c>
      <c r="B4181" s="4">
        <v>34433</v>
      </c>
      <c r="C4181" s="4">
        <v>3741</v>
      </c>
      <c r="D4181" s="5" t="s">
        <v>6154</v>
      </c>
      <c r="E4181" s="6" t="str">
        <f>HYPERLINK("https://inpn.mnhn.fr/espece/cd_nom/34433","Cortinarius cephalixus Secr. ex Fr., 1838")</f>
        <v>Cortinarius cephalixus Secr. ex Fr., 1838</v>
      </c>
      <c r="V4181" s="7" t="str">
        <f>HYPERLINK("#Liste_rouge!A"&amp;_xlfn.XMATCH("LC",Liste_rouge!A:A,2,1),"LC")</f>
        <v>LC</v>
      </c>
      <c r="AH4181" s="4" t="str">
        <f>HYPERLINK("#Statut_biogéographique!A"&amp;_xlfn.XMATCH("P",Statut_biogéographique!A:A,2,1),"P")</f>
        <v>P</v>
      </c>
      <c r="AP4181" s="4" t="s">
        <v>376</v>
      </c>
      <c r="AR4181" s="4" t="s">
        <v>377</v>
      </c>
    </row>
    <row r="4182" spans="1:44">
      <c r="A4182" s="4" t="s">
        <v>5</v>
      </c>
      <c r="B4182" s="4">
        <v>34443</v>
      </c>
      <c r="C4182" s="4">
        <v>1671</v>
      </c>
      <c r="D4182" s="5" t="s">
        <v>6155</v>
      </c>
      <c r="E4182" s="6" t="str">
        <f>HYPERLINK("https://inpn.mnhn.fr/espece/cd_nom/34443","Cortinarius cinnabarinus Fr., 1838")</f>
        <v>Cortinarius cinnabarinus Fr., 1838</v>
      </c>
      <c r="F4182" s="5" t="s">
        <v>6156</v>
      </c>
      <c r="V4182" s="7" t="str">
        <f>HYPERLINK("#Liste_rouge!A"&amp;_xlfn.XMATCH("LC",Liste_rouge!A:A,2,1),"LC")</f>
        <v>LC</v>
      </c>
      <c r="AH4182" s="4" t="str">
        <f>HYPERLINK("#Statut_biogéographique!A"&amp;_xlfn.XMATCH("P",Statut_biogéographique!A:A,2,1),"P")</f>
        <v>P</v>
      </c>
      <c r="AP4182" s="4" t="s">
        <v>376</v>
      </c>
      <c r="AR4182" s="4" t="s">
        <v>377</v>
      </c>
    </row>
    <row r="4183" spans="1:44" ht="30">
      <c r="A4183" s="4" t="s">
        <v>5</v>
      </c>
      <c r="B4183" s="4">
        <v>34450</v>
      </c>
      <c r="C4183" s="4">
        <v>154</v>
      </c>
      <c r="D4183" s="5" t="s">
        <v>6157</v>
      </c>
      <c r="E4183" s="6" t="str">
        <f>HYPERLINK("https://inpn.mnhn.fr/espece/cd_nom/34450","Cortinarius cinnamomeobadius Rob.Henry, 1940")</f>
        <v>Cortinarius cinnamomeobadius Rob.Henry, 1940</v>
      </c>
      <c r="F4183" s="5" t="s">
        <v>6158</v>
      </c>
      <c r="V4183" s="7" t="str">
        <f>HYPERLINK("#Liste_rouge!A"&amp;_xlfn.XMATCH("LC",Liste_rouge!A:A,2,1),"LC")</f>
        <v>LC</v>
      </c>
      <c r="AH4183" s="4" t="str">
        <f>HYPERLINK("#Statut_biogéographique!A"&amp;_xlfn.XMATCH("P",Statut_biogéographique!A:A,2,1),"P")</f>
        <v>P</v>
      </c>
      <c r="AP4183" s="4" t="s">
        <v>376</v>
      </c>
      <c r="AR4183" s="4" t="s">
        <v>377</v>
      </c>
    </row>
    <row r="4184" spans="1:44" ht="30">
      <c r="A4184" s="4" t="s">
        <v>5</v>
      </c>
      <c r="B4184" s="4">
        <v>34453</v>
      </c>
      <c r="C4184" s="4">
        <v>1905</v>
      </c>
      <c r="D4184" s="5" t="s">
        <v>6159</v>
      </c>
      <c r="E4184" s="6" t="str">
        <f>HYPERLINK("https://inpn.mnhn.fr/espece/cd_nom/34453","Cortinarius cinnamomeofulvus Rob.Henry, 1988")</f>
        <v>Cortinarius cinnamomeofulvus Rob.Henry, 1988</v>
      </c>
      <c r="F4184" s="5" t="s">
        <v>6160</v>
      </c>
      <c r="V4184" s="7" t="str">
        <f>HYPERLINK("#Liste_rouge!A"&amp;_xlfn.XMATCH("NT",Liste_rouge!A:A,2,1),"NT")</f>
        <v>NT</v>
      </c>
      <c r="W4184" s="4" t="str">
        <f>HYPERLINK("#Critères_liste_rouge!A$1","pr. B2abiii")</f>
        <v>pr. B2abiii</v>
      </c>
      <c r="AH4184" s="4" t="str">
        <f>HYPERLINK("#Statut_biogéographique!A"&amp;_xlfn.XMATCH("P",Statut_biogéographique!A:A,2,1),"P")</f>
        <v>P</v>
      </c>
      <c r="AP4184" s="4" t="s">
        <v>376</v>
      </c>
      <c r="AR4184" s="4" t="s">
        <v>377</v>
      </c>
    </row>
    <row r="4185" spans="1:44" ht="30">
      <c r="A4185" s="4" t="s">
        <v>5</v>
      </c>
      <c r="B4185" s="4">
        <v>34455</v>
      </c>
      <c r="C4185" s="4">
        <v>1904</v>
      </c>
      <c r="D4185" s="5" t="s">
        <v>6161</v>
      </c>
      <c r="E4185" s="6" t="str">
        <f>HYPERLINK("https://inpn.mnhn.fr/espece/cd_nom/34455","Cortinarius cinnamomeoluteus P.D.Orton, 1960")</f>
        <v>Cortinarius cinnamomeoluteus P.D.Orton, 1960</v>
      </c>
      <c r="F4185" s="5" t="s">
        <v>6162</v>
      </c>
      <c r="V4185" s="7" t="str">
        <f>HYPERLINK("#Liste_rouge!A"&amp;_xlfn.XMATCH("LC",Liste_rouge!A:A,2,1),"LC")</f>
        <v>LC</v>
      </c>
      <c r="AH4185" s="4" t="str">
        <f>HYPERLINK("#Statut_biogéographique!A"&amp;_xlfn.XMATCH("P",Statut_biogéographique!A:A,2,1),"P")</f>
        <v>P</v>
      </c>
      <c r="AP4185" s="4" t="s">
        <v>376</v>
      </c>
      <c r="AR4185" s="4" t="s">
        <v>377</v>
      </c>
    </row>
    <row r="4186" spans="1:44" ht="30">
      <c r="A4186" s="4" t="s">
        <v>5</v>
      </c>
      <c r="B4186" s="4">
        <v>34460</v>
      </c>
      <c r="C4186" s="4">
        <v>154</v>
      </c>
      <c r="D4186" s="5" t="s">
        <v>6163</v>
      </c>
      <c r="E4186" s="6" t="str">
        <f>HYPERLINK("https://inpn.mnhn.fr/espece/cd_nom/34460","Cortinarius cinnamomeus (L.) Gray, 1821")</f>
        <v>Cortinarius cinnamomeus (L.) Gray, 1821</v>
      </c>
      <c r="F4186" s="5" t="s">
        <v>6164</v>
      </c>
      <c r="V4186" s="7" t="str">
        <f>HYPERLINK("#Liste_rouge!A"&amp;_xlfn.XMATCH("LC",Liste_rouge!A:A,2,1),"LC")</f>
        <v>LC</v>
      </c>
      <c r="AH4186" s="4" t="str">
        <f>HYPERLINK("#Statut_biogéographique!A"&amp;_xlfn.XMATCH("P",Statut_biogéographique!A:A,2,1),"P")</f>
        <v>P</v>
      </c>
      <c r="AP4186" s="4" t="s">
        <v>376</v>
      </c>
      <c r="AR4186" s="4" t="s">
        <v>377</v>
      </c>
    </row>
    <row r="4187" spans="1:44" ht="30">
      <c r="A4187" s="4" t="s">
        <v>5</v>
      </c>
      <c r="B4187" s="4">
        <v>34469</v>
      </c>
      <c r="C4187" s="4">
        <v>3069</v>
      </c>
      <c r="D4187" s="5" t="s">
        <v>6165</v>
      </c>
      <c r="E4187" s="6" t="str">
        <f>HYPERLINK("https://inpn.mnhn.fr/espece/cd_nom/34469","Cortinarius cinnamoviolaceus M.M.Moser, 1968")</f>
        <v>Cortinarius cinnamoviolaceus M.M.Moser, 1968</v>
      </c>
      <c r="F4187" s="5" t="s">
        <v>6166</v>
      </c>
      <c r="V4187" s="7" t="str">
        <f>HYPERLINK("#Liste_rouge!A"&amp;_xlfn.XMATCH("EN",Liste_rouge!A:A,2,1),"EN")</f>
        <v>EN</v>
      </c>
      <c r="W4187" s="4" t="str">
        <f>HYPERLINK("#Critères_liste_rouge!A$1","B2abiii")</f>
        <v>B2abiii</v>
      </c>
      <c r="Z4187" s="4" t="s">
        <v>447</v>
      </c>
      <c r="AA4187" s="4" t="s">
        <v>448</v>
      </c>
      <c r="AH4187" s="4" t="str">
        <f>HYPERLINK("#Statut_biogéographique!A"&amp;_xlfn.XMATCH("P",Statut_biogéographique!A:A,2,1),"P")</f>
        <v>P</v>
      </c>
      <c r="AP4187" s="4" t="s">
        <v>376</v>
      </c>
      <c r="AR4187" s="4" t="s">
        <v>377</v>
      </c>
    </row>
    <row r="4188" spans="1:44" ht="30">
      <c r="A4188" s="4" t="s">
        <v>5</v>
      </c>
      <c r="B4188" s="4">
        <v>34473</v>
      </c>
      <c r="C4188" s="4">
        <v>2820</v>
      </c>
      <c r="D4188" s="5" t="s">
        <v>6167</v>
      </c>
      <c r="E4188" s="6" t="str">
        <f>HYPERLINK("https://inpn.mnhn.fr/espece/cd_nom/34473","Cortinarius citrinofulvescens M.M.Moser, 2001")</f>
        <v>Cortinarius citrinofulvescens M.M.Moser, 2001</v>
      </c>
      <c r="F4188" s="5" t="s">
        <v>6168</v>
      </c>
      <c r="V4188" s="7" t="str">
        <f>HYPERLINK("#Liste_rouge!A"&amp;_xlfn.XMATCH("EN",Liste_rouge!A:A,2,1),"EN")</f>
        <v>EN</v>
      </c>
      <c r="W4188" s="4" t="str">
        <f>HYPERLINK("#Critères_liste_rouge!A$1","B2abiii")</f>
        <v>B2abiii</v>
      </c>
      <c r="Z4188" s="4" t="s">
        <v>447</v>
      </c>
      <c r="AA4188" s="4" t="s">
        <v>448</v>
      </c>
      <c r="AH4188" s="4" t="str">
        <f>HYPERLINK("#Statut_biogéographique!A"&amp;_xlfn.XMATCH("P",Statut_biogéographique!A:A,2,1),"P")</f>
        <v>P</v>
      </c>
      <c r="AP4188" s="4" t="s">
        <v>376</v>
      </c>
      <c r="AR4188" s="4" t="s">
        <v>377</v>
      </c>
    </row>
    <row r="4189" spans="1:44" ht="30">
      <c r="A4189" s="4" t="s">
        <v>5</v>
      </c>
      <c r="B4189" s="4">
        <v>34474</v>
      </c>
      <c r="C4189" s="4">
        <v>1849</v>
      </c>
      <c r="D4189" s="5" t="s">
        <v>6169</v>
      </c>
      <c r="E4189" s="6" t="str">
        <f>HYPERLINK("https://inpn.mnhn.fr/espece/cd_nom/34474","Cortinarius citrinolilacinus M.M.Moser ex M.M.Moser, 1967")</f>
        <v>Cortinarius citrinolilacinus M.M.Moser ex M.M.Moser, 1967</v>
      </c>
      <c r="F4189" s="5" t="s">
        <v>6170</v>
      </c>
      <c r="V4189" s="7" t="str">
        <f>HYPERLINK("#Liste_rouge!A"&amp;_xlfn.XMATCH("NT",Liste_rouge!A:A,2,1),"NT")</f>
        <v>NT</v>
      </c>
      <c r="W4189" s="4" t="str">
        <f>HYPERLINK("#Critères_liste_rouge!A$1","pr. B2abiii")</f>
        <v>pr. B2abiii</v>
      </c>
      <c r="Z4189" s="4" t="s">
        <v>447</v>
      </c>
      <c r="AA4189" s="4" t="s">
        <v>448</v>
      </c>
      <c r="AH4189" s="4" t="str">
        <f>HYPERLINK("#Statut_biogéographique!A"&amp;_xlfn.XMATCH("P",Statut_biogéographique!A:A,2,1),"P")</f>
        <v>P</v>
      </c>
      <c r="AP4189" s="4" t="s">
        <v>376</v>
      </c>
      <c r="AR4189" s="4" t="s">
        <v>377</v>
      </c>
    </row>
    <row r="4190" spans="1:44" ht="30">
      <c r="A4190" s="4" t="s">
        <v>5</v>
      </c>
      <c r="B4190" s="4">
        <v>34477</v>
      </c>
      <c r="C4190" s="4">
        <v>1832</v>
      </c>
      <c r="D4190" s="5" t="s">
        <v>6171</v>
      </c>
      <c r="E4190" s="6" t="str">
        <f>HYPERLINK("https://inpn.mnhn.fr/espece/cd_nom/34477","Cortinarius citrinus J.E.Lange ex P.D.Orton, 1960")</f>
        <v>Cortinarius citrinus J.E.Lange ex P.D.Orton, 1960</v>
      </c>
      <c r="F4190" s="5" t="s">
        <v>6172</v>
      </c>
      <c r="V4190" s="7" t="str">
        <f>HYPERLINK("#Liste_rouge!A"&amp;_xlfn.XMATCH("NT",Liste_rouge!A:A,2,1),"NT")</f>
        <v>NT</v>
      </c>
      <c r="W4190" s="4" t="str">
        <f>HYPERLINK("#Critères_liste_rouge!A$1","pr. B2abiii")</f>
        <v>pr. B2abiii</v>
      </c>
      <c r="Z4190" s="4" t="s">
        <v>447</v>
      </c>
      <c r="AA4190" s="4" t="s">
        <v>448</v>
      </c>
      <c r="AH4190" s="4" t="str">
        <f>HYPERLINK("#Statut_biogéographique!A"&amp;_xlfn.XMATCH("P",Statut_biogéographique!A:A,2,1),"P")</f>
        <v>P</v>
      </c>
      <c r="AP4190" s="4" t="s">
        <v>376</v>
      </c>
      <c r="AR4190" s="4" t="s">
        <v>377</v>
      </c>
    </row>
    <row r="4191" spans="1:44" ht="30">
      <c r="A4191" s="4" t="s">
        <v>5</v>
      </c>
      <c r="B4191" s="4">
        <v>34478</v>
      </c>
      <c r="D4191" s="5" t="s">
        <v>6173</v>
      </c>
      <c r="E4191" s="6" t="str">
        <f>HYPERLINK("https://inpn.mnhn.fr/espece/cd_nom/34478","Pleurotus eryngii (DC.) Quél., 1872")</f>
        <v>Pleurotus eryngii (DC.) Quél., 1872</v>
      </c>
      <c r="F4191" s="5" t="s">
        <v>1037</v>
      </c>
      <c r="V4191" s="7" t="str">
        <f>HYPERLINK("#Liste_rouge!A"&amp;_xlfn.XMATCH("DD",Liste_rouge!A:A,2,1),"DD")</f>
        <v>DD</v>
      </c>
      <c r="AH4191" s="4" t="str">
        <f>HYPERLINK("#Statut_biogéographique!A"&amp;_xlfn.XMATCH("P",Statut_biogéographique!A:A,2,1),"P")</f>
        <v>P</v>
      </c>
      <c r="AP4191" s="4" t="s">
        <v>376</v>
      </c>
      <c r="AR4191" s="4" t="s">
        <v>377</v>
      </c>
    </row>
    <row r="4192" spans="1:44" ht="30">
      <c r="A4192" s="4" t="s">
        <v>5</v>
      </c>
      <c r="B4192" s="4">
        <v>34486</v>
      </c>
      <c r="D4192" s="5" t="s">
        <v>6174</v>
      </c>
      <c r="E4192" s="6" t="str">
        <f>HYPERLINK("https://inpn.mnhn.fr/espece/cd_nom/34486","Pleurotus eryngii var. nebrodensis (Inzenga) Sacc., 1915")</f>
        <v>Pleurotus eryngii var. nebrodensis (Inzenga) Sacc., 1915</v>
      </c>
      <c r="V4192" s="7" t="str">
        <f>HYPERLINK("#Liste_rouge!A"&amp;_xlfn.XMATCH("EN",Liste_rouge!A:A,2,1),"EN")</f>
        <v>EN</v>
      </c>
      <c r="W4192" s="4" t="str">
        <f>HYPERLINK("#Critères_liste_rouge!A$1","B2abiii")</f>
        <v>B2abiii</v>
      </c>
      <c r="AH4192" s="4" t="str">
        <f>HYPERLINK("#Statut_biogéographique!A"&amp;_xlfn.XMATCH("P",Statut_biogéographique!A:A,2,1),"P")</f>
        <v>P</v>
      </c>
      <c r="AP4192" s="4" t="s">
        <v>376</v>
      </c>
      <c r="AR4192" s="4" t="s">
        <v>377</v>
      </c>
    </row>
    <row r="4193" spans="1:44">
      <c r="A4193" s="4" t="s">
        <v>5</v>
      </c>
      <c r="B4193" s="4">
        <v>34488</v>
      </c>
      <c r="D4193" s="5" t="s">
        <v>6175</v>
      </c>
      <c r="E4193" s="6" t="str">
        <f>HYPERLINK("https://inpn.mnhn.fr/espece/cd_nom/34488","Pleurotus ostreatus (Jacq.) P.Kumm., 1871")</f>
        <v>Pleurotus ostreatus (Jacq.) P.Kumm., 1871</v>
      </c>
      <c r="F4193" s="5" t="s">
        <v>6176</v>
      </c>
      <c r="V4193" s="7" t="str">
        <f>HYPERLINK("#Liste_rouge!A"&amp;_xlfn.XMATCH("LC",Liste_rouge!A:A,2,1),"LC")</f>
        <v>LC</v>
      </c>
      <c r="AH4193" s="4" t="str">
        <f>HYPERLINK("#Statut_biogéographique!A"&amp;_xlfn.XMATCH("P",Statut_biogéographique!A:A,2,1),"P")</f>
        <v>P</v>
      </c>
      <c r="AP4193" s="4" t="s">
        <v>376</v>
      </c>
      <c r="AR4193" s="4" t="s">
        <v>377</v>
      </c>
    </row>
    <row r="4194" spans="1:44" ht="30">
      <c r="A4194" s="4" t="s">
        <v>5</v>
      </c>
      <c r="B4194" s="4">
        <v>34499</v>
      </c>
      <c r="D4194" s="5" t="s">
        <v>6177</v>
      </c>
      <c r="E4194" s="6" t="str">
        <f>HYPERLINK("https://inpn.mnhn.fr/espece/cd_nom/34499","Pleurotus ostreatus f. salignus (Pers.) Pilát, 1935")</f>
        <v>Pleurotus ostreatus f. salignus (Pers.) Pilát, 1935</v>
      </c>
      <c r="V4194" s="7" t="str">
        <f>HYPERLINK("#Liste_rouge!A"&amp;_xlfn.XMATCH("EN",Liste_rouge!A:A,2,1),"EN")</f>
        <v>EN</v>
      </c>
      <c r="W4194" s="4" t="str">
        <f>HYPERLINK("#Critères_liste_rouge!A$1","B2abiii")</f>
        <v>B2abiii</v>
      </c>
      <c r="AH4194" s="4" t="str">
        <f>HYPERLINK("#Statut_biogéographique!A"&amp;_xlfn.XMATCH("P",Statut_biogéographique!A:A,2,1),"P")</f>
        <v>P</v>
      </c>
      <c r="AP4194" s="4" t="s">
        <v>376</v>
      </c>
      <c r="AR4194" s="4" t="s">
        <v>377</v>
      </c>
    </row>
    <row r="4195" spans="1:44" ht="30">
      <c r="A4195" s="4" t="s">
        <v>5</v>
      </c>
      <c r="B4195" s="4">
        <v>34506</v>
      </c>
      <c r="D4195" s="5" t="s">
        <v>6178</v>
      </c>
      <c r="E4195" s="6" t="str">
        <f>HYPERLINK("https://inpn.mnhn.fr/espece/cd_nom/34506","Resupinatus applicatus (Batsch) Gray, 1821")</f>
        <v>Resupinatus applicatus (Batsch) Gray, 1821</v>
      </c>
      <c r="V4195" s="7" t="str">
        <f>HYPERLINK("#Liste_rouge!A"&amp;_xlfn.XMATCH("NT",Liste_rouge!A:A,2,1),"NT")</f>
        <v>NT</v>
      </c>
      <c r="W4195" s="4" t="str">
        <f>HYPERLINK("#Critères_liste_rouge!A$1","pr. B2abiii")</f>
        <v>pr. B2abiii</v>
      </c>
      <c r="AH4195" s="4" t="str">
        <f>HYPERLINK("#Statut_biogéographique!A"&amp;_xlfn.XMATCH("P",Statut_biogéographique!A:A,2,1),"P")</f>
        <v>P</v>
      </c>
      <c r="AP4195" s="4" t="s">
        <v>376</v>
      </c>
      <c r="AR4195" s="4" t="s">
        <v>377</v>
      </c>
    </row>
    <row r="4196" spans="1:44" ht="30">
      <c r="A4196" s="4" t="s">
        <v>5</v>
      </c>
      <c r="B4196" s="4">
        <v>34517</v>
      </c>
      <c r="D4196" s="5" t="s">
        <v>6179</v>
      </c>
      <c r="E4196" s="6" t="str">
        <f>HYPERLINK("https://inpn.mnhn.fr/espece/cd_nom/34517","Resupinatus trichotis (Pers.) Singer, 1961")</f>
        <v>Resupinatus trichotis (Pers.) Singer, 1961</v>
      </c>
      <c r="V4196" s="7" t="str">
        <f>HYPERLINK("#Liste_rouge!A"&amp;_xlfn.XMATCH("EN",Liste_rouge!A:A,2,1),"EN")</f>
        <v>EN</v>
      </c>
      <c r="W4196" s="4" t="str">
        <f>HYPERLINK("#Critères_liste_rouge!A$1","B2abiii")</f>
        <v>B2abiii</v>
      </c>
      <c r="AH4196" s="4" t="str">
        <f>HYPERLINK("#Statut_biogéographique!A"&amp;_xlfn.XMATCH("P",Statut_biogéographique!A:A,2,1),"P")</f>
        <v>P</v>
      </c>
      <c r="AP4196" s="4" t="s">
        <v>376</v>
      </c>
      <c r="AR4196" s="4" t="s">
        <v>377</v>
      </c>
    </row>
    <row r="4197" spans="1:44" ht="30">
      <c r="A4197" s="4" t="s">
        <v>5</v>
      </c>
      <c r="B4197" s="4">
        <v>34521</v>
      </c>
      <c r="D4197" s="5" t="s">
        <v>6180</v>
      </c>
      <c r="E4197" s="6" t="str">
        <f>HYPERLINK("https://inpn.mnhn.fr/espece/cd_nom/34521","Rimbachia arachnoidea (Peck) Redhead, 1984")</f>
        <v>Rimbachia arachnoidea (Peck) Redhead, 1984</v>
      </c>
      <c r="V4197" s="7" t="str">
        <f>HYPERLINK("#Liste_rouge!A"&amp;_xlfn.XMATCH("DD",Liste_rouge!A:A,2,1),"DD")</f>
        <v>DD</v>
      </c>
      <c r="AH4197" s="4" t="str">
        <f>HYPERLINK("#Statut_biogéographique!A"&amp;_xlfn.XMATCH("P",Statut_biogéographique!A:A,2,1),"P")</f>
        <v>P</v>
      </c>
      <c r="AP4197" s="4" t="s">
        <v>376</v>
      </c>
      <c r="AR4197" s="4" t="s">
        <v>377</v>
      </c>
    </row>
    <row r="4198" spans="1:44" ht="30">
      <c r="A4198" s="4" t="s">
        <v>5</v>
      </c>
      <c r="B4198" s="4">
        <v>34527</v>
      </c>
      <c r="D4198" s="5" t="s">
        <v>6181</v>
      </c>
      <c r="E4198" s="6" t="str">
        <f>HYPERLINK("https://inpn.mnhn.fr/espece/cd_nom/34527","Schizophyllum commune Fr., 1815")</f>
        <v>Schizophyllum commune Fr., 1815</v>
      </c>
      <c r="F4198" s="5" t="s">
        <v>3297</v>
      </c>
      <c r="V4198" s="7" t="str">
        <f>HYPERLINK("#Liste_rouge!A"&amp;_xlfn.XMATCH("LC",Liste_rouge!A:A,2,1),"LC")</f>
        <v>LC</v>
      </c>
      <c r="AH4198" s="4" t="str">
        <f>HYPERLINK("#Statut_biogéographique!A"&amp;_xlfn.XMATCH("P",Statut_biogéographique!A:A,2,1),"P")</f>
        <v>P</v>
      </c>
      <c r="AP4198" s="4" t="s">
        <v>376</v>
      </c>
      <c r="AR4198" s="4" t="s">
        <v>377</v>
      </c>
    </row>
    <row r="4199" spans="1:44">
      <c r="A4199" s="4" t="s">
        <v>5</v>
      </c>
      <c r="B4199" s="4">
        <v>34534</v>
      </c>
      <c r="D4199" s="5" t="s">
        <v>6182</v>
      </c>
      <c r="E4199" s="6" t="str">
        <f>HYPERLINK("https://inpn.mnhn.fr/espece/cd_nom/34534","Tectella patellaris (Fr.) Murrill, 1915")</f>
        <v>Tectella patellaris (Fr.) Murrill, 1915</v>
      </c>
      <c r="V4199" s="7" t="str">
        <f>HYPERLINK("#Liste_rouge!A"&amp;_xlfn.XMATCH("LC",Liste_rouge!A:A,2,1),"LC")</f>
        <v>LC</v>
      </c>
      <c r="AH4199" s="4" t="str">
        <f>HYPERLINK("#Statut_biogéographique!A"&amp;_xlfn.XMATCH("P",Statut_biogéographique!A:A,2,1),"P")</f>
        <v>P</v>
      </c>
      <c r="AP4199" s="4" t="s">
        <v>376</v>
      </c>
      <c r="AR4199" s="4" t="s">
        <v>377</v>
      </c>
    </row>
    <row r="4200" spans="1:44" ht="30">
      <c r="A4200" s="4" t="s">
        <v>5</v>
      </c>
      <c r="B4200" s="4">
        <v>34543</v>
      </c>
      <c r="C4200" s="4">
        <v>2245</v>
      </c>
      <c r="D4200" s="5" t="s">
        <v>6183</v>
      </c>
      <c r="E4200" s="6" t="str">
        <f>HYPERLINK("https://inpn.mnhn.fr/espece/cd_nom/34543","Alnicola amarescens (Quél.) R.Heim &amp; Romagn., 1934")</f>
        <v>Alnicola amarescens (Quél.) R.Heim &amp; Romagn., 1934</v>
      </c>
      <c r="F4200" s="5" t="s">
        <v>6184</v>
      </c>
      <c r="V4200" s="7" t="str">
        <f>HYPERLINK("#Liste_rouge!A"&amp;_xlfn.XMATCH("LC",Liste_rouge!A:A,2,1),"LC")</f>
        <v>LC</v>
      </c>
      <c r="AH4200" s="4" t="str">
        <f>HYPERLINK("#Statut_biogéographique!A"&amp;_xlfn.XMATCH("P",Statut_biogéographique!A:A,2,1),"P")</f>
        <v>P</v>
      </c>
      <c r="AP4200" s="4" t="s">
        <v>376</v>
      </c>
      <c r="AR4200" s="4" t="s">
        <v>377</v>
      </c>
    </row>
    <row r="4201" spans="1:44" ht="30">
      <c r="A4201" s="4" t="s">
        <v>5</v>
      </c>
      <c r="B4201" s="4">
        <v>34546</v>
      </c>
      <c r="C4201" s="4">
        <v>2246</v>
      </c>
      <c r="D4201" s="5" t="s">
        <v>6185</v>
      </c>
      <c r="E4201" s="6" t="str">
        <f>HYPERLINK("https://inpn.mnhn.fr/espece/cd_nom/34546","Alnicola bohemica (Velen.) Kühner &amp; Maire, 1937")</f>
        <v>Alnicola bohemica (Velen.) Kühner &amp; Maire, 1937</v>
      </c>
      <c r="F4201" s="5" t="s">
        <v>6186</v>
      </c>
      <c r="V4201" s="7" t="str">
        <f>HYPERLINK("#Liste_rouge!A"&amp;_xlfn.XMATCH("LC",Liste_rouge!A:A,2,1),"LC")</f>
        <v>LC</v>
      </c>
      <c r="AH4201" s="4" t="str">
        <f>HYPERLINK("#Statut_biogéographique!A"&amp;_xlfn.XMATCH("P",Statut_biogéographique!A:A,2,1),"P")</f>
        <v>P</v>
      </c>
      <c r="AP4201" s="4" t="s">
        <v>376</v>
      </c>
      <c r="AR4201" s="4" t="s">
        <v>377</v>
      </c>
    </row>
    <row r="4202" spans="1:44">
      <c r="A4202" s="4" t="s">
        <v>5</v>
      </c>
      <c r="B4202" s="4">
        <v>34560</v>
      </c>
      <c r="C4202" s="4">
        <v>3523</v>
      </c>
      <c r="D4202" s="5" t="s">
        <v>6187</v>
      </c>
      <c r="E4202" s="6" t="str">
        <f>HYPERLINK("https://inpn.mnhn.fr/espece/cd_nom/34560","Alnicola luteolofibrillosa Kühner, 1926")</f>
        <v>Alnicola luteolofibrillosa Kühner, 1926</v>
      </c>
      <c r="F4202" s="5" t="s">
        <v>6188</v>
      </c>
      <c r="V4202" s="7" t="str">
        <f>HYPERLINK("#Liste_rouge!A"&amp;_xlfn.XMATCH("EN",Liste_rouge!A:A,2,1),"EN")</f>
        <v>EN</v>
      </c>
      <c r="W4202" s="4" t="str">
        <f>HYPERLINK("#Critères_liste_rouge!A$1","B2abiii")</f>
        <v>B2abiii</v>
      </c>
      <c r="Z4202" s="4" t="s">
        <v>447</v>
      </c>
      <c r="AA4202" s="4" t="s">
        <v>448</v>
      </c>
      <c r="AH4202" s="4" t="str">
        <f>HYPERLINK("#Statut_biogéographique!A"&amp;_xlfn.XMATCH("P",Statut_biogéographique!A:A,2,1),"P")</f>
        <v>P</v>
      </c>
      <c r="AP4202" s="4" t="s">
        <v>376</v>
      </c>
      <c r="AR4202" s="4" t="s">
        <v>377</v>
      </c>
    </row>
    <row r="4203" spans="1:44">
      <c r="A4203" s="4" t="s">
        <v>5</v>
      </c>
      <c r="B4203" s="4">
        <v>34563</v>
      </c>
      <c r="C4203" s="4">
        <v>588</v>
      </c>
      <c r="D4203" s="5" t="s">
        <v>6189</v>
      </c>
      <c r="E4203" s="6" t="str">
        <f>HYPERLINK("https://inpn.mnhn.fr/espece/cd_nom/34563","Alnicola escharoides (Fr.) Romagn., 1944")</f>
        <v>Alnicola escharoides (Fr.) Romagn., 1944</v>
      </c>
      <c r="F4203" s="5" t="s">
        <v>6190</v>
      </c>
      <c r="V4203" s="7" t="str">
        <f>HYPERLINK("#Liste_rouge!A"&amp;_xlfn.XMATCH("LC",Liste_rouge!A:A,2,1),"LC")</f>
        <v>LC</v>
      </c>
      <c r="AH4203" s="4" t="str">
        <f>HYPERLINK("#Statut_biogéographique!A"&amp;_xlfn.XMATCH("P",Statut_biogéographique!A:A,2,1),"P")</f>
        <v>P</v>
      </c>
      <c r="AP4203" s="4" t="s">
        <v>376</v>
      </c>
      <c r="AR4203" s="4" t="s">
        <v>377</v>
      </c>
    </row>
    <row r="4204" spans="1:44">
      <c r="A4204" s="4" t="s">
        <v>5</v>
      </c>
      <c r="B4204" s="4">
        <v>34579</v>
      </c>
      <c r="C4204" s="4">
        <v>4477</v>
      </c>
      <c r="D4204" s="5" t="s">
        <v>6191</v>
      </c>
      <c r="E4204" s="6" t="str">
        <f>HYPERLINK("https://inpn.mnhn.fr/espece/cd_nom/34579","Alnicola umbrina (R.Maire) Kühner, 1931")</f>
        <v>Alnicola umbrina (R.Maire) Kühner, 1931</v>
      </c>
      <c r="F4204" s="5" t="s">
        <v>6192</v>
      </c>
      <c r="V4204" s="7" t="str">
        <f>HYPERLINK("#Liste_rouge!A"&amp;_xlfn.XMATCH("VU",Liste_rouge!A:A,2,1),"VU")</f>
        <v>VU</v>
      </c>
      <c r="W4204" s="4" t="str">
        <f>HYPERLINK("#Critères_liste_rouge!A$1","A2c")</f>
        <v>A2c</v>
      </c>
      <c r="Z4204" s="4" t="s">
        <v>447</v>
      </c>
      <c r="AA4204" s="4" t="s">
        <v>448</v>
      </c>
      <c r="AH4204" s="4" t="str">
        <f>HYPERLINK("#Statut_biogéographique!A"&amp;_xlfn.XMATCH("P",Statut_biogéographique!A:A,2,1),"P")</f>
        <v>P</v>
      </c>
      <c r="AP4204" s="4" t="s">
        <v>376</v>
      </c>
      <c r="AR4204" s="4" t="s">
        <v>377</v>
      </c>
    </row>
    <row r="4205" spans="1:44" ht="30">
      <c r="A4205" s="4" t="s">
        <v>5</v>
      </c>
      <c r="B4205" s="4">
        <v>34581</v>
      </c>
      <c r="C4205" s="4">
        <v>2173</v>
      </c>
      <c r="D4205" s="5" t="s">
        <v>6193</v>
      </c>
      <c r="E4205" s="6" t="str">
        <f>HYPERLINK("https://inpn.mnhn.fr/espece/cd_nom/34581","Naucoria scolecina (Fr.) Quél., 1875")</f>
        <v>Naucoria scolecina (Fr.) Quél., 1875</v>
      </c>
      <c r="F4205" s="5" t="s">
        <v>6194</v>
      </c>
      <c r="V4205" s="7" t="str">
        <f>HYPERLINK("#Liste_rouge!A"&amp;_xlfn.XMATCH("LC",Liste_rouge!A:A,2,1),"LC")</f>
        <v>LC</v>
      </c>
      <c r="Z4205" s="4" t="s">
        <v>443</v>
      </c>
      <c r="AA4205" s="4" t="s">
        <v>444</v>
      </c>
      <c r="AH4205" s="4" t="str">
        <f>HYPERLINK("#Statut_biogéographique!A"&amp;_xlfn.XMATCH("P",Statut_biogéographique!A:A,2,1),"P")</f>
        <v>P</v>
      </c>
      <c r="AP4205" s="4" t="s">
        <v>376</v>
      </c>
      <c r="AR4205" s="4" t="s">
        <v>377</v>
      </c>
    </row>
    <row r="4206" spans="1:44" ht="30">
      <c r="A4206" s="4" t="s">
        <v>5</v>
      </c>
      <c r="B4206" s="4">
        <v>34586</v>
      </c>
      <c r="C4206" s="4">
        <v>4885</v>
      </c>
      <c r="D4206" s="5" t="s">
        <v>6195</v>
      </c>
      <c r="E4206" s="6" t="str">
        <f>HYPERLINK("https://inpn.mnhn.fr/espece/cd_nom/34586","Alnicola sphagneti (P.D.Orton) Romagn., 1979")</f>
        <v>Alnicola sphagneti (P.D.Orton) Romagn., 1979</v>
      </c>
      <c r="F4206" s="5" t="s">
        <v>6196</v>
      </c>
      <c r="V4206" s="7" t="str">
        <f>HYPERLINK("#Liste_rouge!A"&amp;_xlfn.XMATCH("CR",Liste_rouge!A:A,2,1),"CR")</f>
        <v>CR</v>
      </c>
      <c r="W4206" s="4" t="str">
        <f>HYPERLINK("#Critères_liste_rouge!A$1","B2abiii")</f>
        <v>B2abiii</v>
      </c>
      <c r="Z4206" s="4" t="s">
        <v>695</v>
      </c>
      <c r="AA4206" s="4" t="s">
        <v>696</v>
      </c>
      <c r="AH4206" s="4" t="str">
        <f>HYPERLINK("#Statut_biogéographique!A"&amp;_xlfn.XMATCH("P",Statut_biogéographique!A:A,2,1),"P")</f>
        <v>P</v>
      </c>
      <c r="AP4206" s="4" t="s">
        <v>376</v>
      </c>
      <c r="AR4206" s="4" t="s">
        <v>377</v>
      </c>
    </row>
    <row r="4207" spans="1:44">
      <c r="A4207" s="4" t="s">
        <v>5</v>
      </c>
      <c r="B4207" s="4">
        <v>34588</v>
      </c>
      <c r="C4207" s="4">
        <v>5287</v>
      </c>
      <c r="D4207" s="5" t="s">
        <v>6197</v>
      </c>
      <c r="E4207" s="6" t="str">
        <f>HYPERLINK("https://inpn.mnhn.fr/espece/cd_nom/34588","Alnicola striatula (P.D.Orton) Romagn., 1979")</f>
        <v>Alnicola striatula (P.D.Orton) Romagn., 1979</v>
      </c>
      <c r="F4207" s="5" t="s">
        <v>6198</v>
      </c>
      <c r="V4207" s="7" t="str">
        <f>HYPERLINK("#Liste_rouge!A"&amp;_xlfn.XMATCH("DD",Liste_rouge!A:A,2,1),"DD")</f>
        <v>DD</v>
      </c>
      <c r="W4207" s="4" t="str">
        <f>HYPERLINK("#Critères_liste_rouge!A$1","A2c + B2ab(iii)")</f>
        <v>A2c + B2ab(iii)</v>
      </c>
      <c r="Z4207" s="4" t="s">
        <v>447</v>
      </c>
      <c r="AA4207" s="4" t="s">
        <v>448</v>
      </c>
      <c r="AH4207" s="4" t="str">
        <f>HYPERLINK("#Statut_biogéographique!A"&amp;_xlfn.XMATCH("P",Statut_biogéographique!A:A,2,1),"P")</f>
        <v>P</v>
      </c>
      <c r="AP4207" s="4" t="s">
        <v>376</v>
      </c>
      <c r="AR4207" s="4" t="s">
        <v>377</v>
      </c>
    </row>
    <row r="4208" spans="1:44" ht="30">
      <c r="A4208" s="4" t="s">
        <v>5</v>
      </c>
      <c r="B4208" s="4">
        <v>34599</v>
      </c>
      <c r="C4208" s="4">
        <v>6021</v>
      </c>
      <c r="D4208" s="5" t="s">
        <v>6199</v>
      </c>
      <c r="E4208" s="6" t="str">
        <f>HYPERLINK("https://inpn.mnhn.fr/espece/cd_nom/34599","Cortinarius albovariegatus (Velen.) Melot, 1980")</f>
        <v>Cortinarius albovariegatus (Velen.) Melot, 1980</v>
      </c>
      <c r="AH4208" s="4" t="str">
        <f>HYPERLINK("#Statut_biogéographique!A"&amp;_xlfn.XMATCH("P",Statut_biogéographique!A:A,2,1),"P")</f>
        <v>P</v>
      </c>
      <c r="AP4208" s="4" t="s">
        <v>376</v>
      </c>
      <c r="AR4208" s="4" t="s">
        <v>377</v>
      </c>
    </row>
    <row r="4209" spans="1:44" ht="45">
      <c r="A4209" s="4" t="s">
        <v>5</v>
      </c>
      <c r="B4209" s="4">
        <v>34600</v>
      </c>
      <c r="C4209" s="4">
        <v>5518</v>
      </c>
      <c r="D4209" s="5" t="s">
        <v>6200</v>
      </c>
      <c r="E4209" s="6" t="str">
        <f>HYPERLINK("https://inpn.mnhn.fr/espece/cd_nom/34600","Cortinarius alboviolaceus (Pers.) Fr., 1838")</f>
        <v>Cortinarius alboviolaceus (Pers.) Fr., 1838</v>
      </c>
      <c r="F4209" s="5" t="s">
        <v>6201</v>
      </c>
      <c r="V4209" s="7" t="str">
        <f>HYPERLINK("#Liste_rouge!A"&amp;_xlfn.XMATCH("EN",Liste_rouge!A:A,2,1),"EN")</f>
        <v>EN</v>
      </c>
      <c r="W4209" s="4" t="str">
        <f>HYPERLINK("#Critères_liste_rouge!A$1","B2abiii")</f>
        <v>B2abiii</v>
      </c>
      <c r="Z4209" s="4" t="s">
        <v>443</v>
      </c>
      <c r="AA4209" s="4" t="s">
        <v>444</v>
      </c>
      <c r="AH4209" s="4" t="str">
        <f>HYPERLINK("#Statut_biogéographique!A"&amp;_xlfn.XMATCH("P",Statut_biogéographique!A:A,2,1),"P")</f>
        <v>P</v>
      </c>
      <c r="AP4209" s="4" t="s">
        <v>376</v>
      </c>
      <c r="AR4209" s="4" t="s">
        <v>377</v>
      </c>
    </row>
    <row r="4210" spans="1:44">
      <c r="A4210" s="4" t="s">
        <v>5</v>
      </c>
      <c r="B4210" s="4">
        <v>34605</v>
      </c>
      <c r="C4210" s="4">
        <v>1861</v>
      </c>
      <c r="D4210" s="5" t="s">
        <v>6202</v>
      </c>
      <c r="E4210" s="6" t="str">
        <f>HYPERLINK("https://inpn.mnhn.fr/espece/cd_nom/34605","Cortinarius aleuriosmus Maire, 1910")</f>
        <v>Cortinarius aleuriosmus Maire, 1910</v>
      </c>
      <c r="F4210" s="5" t="s">
        <v>6203</v>
      </c>
      <c r="V4210" s="7" t="str">
        <f>HYPERLINK("#Liste_rouge!A"&amp;_xlfn.XMATCH("DD",Liste_rouge!A:A,2,1),"DD")</f>
        <v>DD</v>
      </c>
      <c r="Z4210" s="4" t="s">
        <v>695</v>
      </c>
      <c r="AA4210" s="4" t="s">
        <v>696</v>
      </c>
      <c r="AH4210" s="4" t="str">
        <f>HYPERLINK("#Statut_biogéographique!A"&amp;_xlfn.XMATCH("P",Statut_biogéographique!A:A,2,1),"P")</f>
        <v>P</v>
      </c>
      <c r="AP4210" s="4" t="s">
        <v>376</v>
      </c>
      <c r="AR4210" s="4" t="s">
        <v>377</v>
      </c>
    </row>
    <row r="4211" spans="1:44">
      <c r="A4211" s="4" t="s">
        <v>5</v>
      </c>
      <c r="B4211" s="4">
        <v>34608</v>
      </c>
      <c r="C4211" s="4">
        <v>1852</v>
      </c>
      <c r="D4211" s="5" t="s">
        <v>6204</v>
      </c>
      <c r="E4211" s="6" t="str">
        <f>HYPERLINK("https://inpn.mnhn.fr/espece/cd_nom/34608","Cortinarius allutus Fr., 1838")</f>
        <v>Cortinarius allutus Fr., 1838</v>
      </c>
      <c r="F4211" s="5" t="s">
        <v>6205</v>
      </c>
      <c r="V4211" s="7" t="str">
        <f>HYPERLINK("#Liste_rouge!A"&amp;_xlfn.XMATCH("NT",Liste_rouge!A:A,2,1),"NT")</f>
        <v>NT</v>
      </c>
      <c r="W4211" s="4" t="str">
        <f>HYPERLINK("#Critères_liste_rouge!A$1","pr. B2a")</f>
        <v>pr. B2a</v>
      </c>
      <c r="Z4211" s="4" t="s">
        <v>443</v>
      </c>
      <c r="AA4211" s="4" t="s">
        <v>444</v>
      </c>
      <c r="AH4211" s="4" t="str">
        <f>HYPERLINK("#Statut_biogéographique!A"&amp;_xlfn.XMATCH("P",Statut_biogéographique!A:A,2,1),"P")</f>
        <v>P</v>
      </c>
      <c r="AP4211" s="4" t="s">
        <v>376</v>
      </c>
      <c r="AR4211" s="4" t="s">
        <v>377</v>
      </c>
    </row>
    <row r="4212" spans="1:44" ht="30">
      <c r="A4212" s="4" t="s">
        <v>5</v>
      </c>
      <c r="B4212" s="4">
        <v>34611</v>
      </c>
      <c r="C4212" s="4">
        <v>519</v>
      </c>
      <c r="D4212" s="5" t="s">
        <v>6206</v>
      </c>
      <c r="E4212" s="6" t="str">
        <f>HYPERLINK("https://inpn.mnhn.fr/espece/cd_nom/34611","Cortinarius alnetorum (Velen.) M.M.Moser, 1967")</f>
        <v>Cortinarius alnetorum (Velen.) M.M.Moser, 1967</v>
      </c>
      <c r="F4212" s="5" t="s">
        <v>6207</v>
      </c>
      <c r="V4212" s="7" t="str">
        <f>HYPERLINK("#Liste_rouge!A"&amp;_xlfn.XMATCH("LC",Liste_rouge!A:A,2,1),"LC")</f>
        <v>LC</v>
      </c>
      <c r="Z4212" s="4" t="s">
        <v>447</v>
      </c>
      <c r="AA4212" s="4" t="s">
        <v>448</v>
      </c>
      <c r="AH4212" s="4" t="str">
        <f>HYPERLINK("#Statut_biogéographique!A"&amp;_xlfn.XMATCH("P",Statut_biogéographique!A:A,2,1),"P")</f>
        <v>P</v>
      </c>
      <c r="AP4212" s="4" t="s">
        <v>376</v>
      </c>
      <c r="AR4212" s="4" t="s">
        <v>377</v>
      </c>
    </row>
    <row r="4213" spans="1:44">
      <c r="A4213" s="4" t="s">
        <v>5</v>
      </c>
      <c r="B4213" s="4">
        <v>34613</v>
      </c>
      <c r="C4213" s="4">
        <v>3056</v>
      </c>
      <c r="D4213" s="5" t="s">
        <v>6208</v>
      </c>
      <c r="E4213" s="6" t="str">
        <f>HYPERLINK("https://inpn.mnhn.fr/espece/cd_nom/34613","Cortinarius alnobetulae Kühner, 1989")</f>
        <v>Cortinarius alnobetulae Kühner, 1989</v>
      </c>
      <c r="F4213" s="5" t="s">
        <v>6209</v>
      </c>
      <c r="V4213" s="7" t="str">
        <f>HYPERLINK("#Liste_rouge!A"&amp;_xlfn.XMATCH("DD",Liste_rouge!A:A,2,1),"DD")</f>
        <v>DD</v>
      </c>
      <c r="AH4213" s="4" t="str">
        <f>HYPERLINK("#Statut_biogéographique!A"&amp;_xlfn.XMATCH("P",Statut_biogéographique!A:A,2,1),"P")</f>
        <v>P</v>
      </c>
      <c r="AP4213" s="4" t="s">
        <v>376</v>
      </c>
      <c r="AR4213" s="4" t="s">
        <v>377</v>
      </c>
    </row>
    <row r="4214" spans="1:44">
      <c r="A4214" s="4" t="s">
        <v>5</v>
      </c>
      <c r="B4214" s="4">
        <v>34617</v>
      </c>
      <c r="C4214" s="4">
        <v>1842</v>
      </c>
      <c r="D4214" s="5" t="s">
        <v>6210</v>
      </c>
      <c r="E4214" s="6" t="str">
        <f>HYPERLINK("https://inpn.mnhn.fr/espece/cd_nom/34617","Cortinarius amigochrous Kühner, 1989")</f>
        <v>Cortinarius amigochrous Kühner, 1989</v>
      </c>
      <c r="V4214" s="7" t="str">
        <f>HYPERLINK("#Liste_rouge!A"&amp;_xlfn.XMATCH("EN",Liste_rouge!A:A,2,1),"EN")</f>
        <v>EN</v>
      </c>
      <c r="W4214" s="4" t="str">
        <f>HYPERLINK("#Critères_liste_rouge!A$1","B2abiii")</f>
        <v>B2abiii</v>
      </c>
      <c r="Z4214" s="4" t="s">
        <v>443</v>
      </c>
      <c r="AA4214" s="4" t="s">
        <v>444</v>
      </c>
      <c r="AH4214" s="4" t="str">
        <f>HYPERLINK("#Statut_biogéographique!A"&amp;_xlfn.XMATCH("P",Statut_biogéographique!A:A,2,1),"P")</f>
        <v>P</v>
      </c>
      <c r="AP4214" s="4" t="s">
        <v>376</v>
      </c>
      <c r="AR4214" s="4" t="s">
        <v>377</v>
      </c>
    </row>
    <row r="4215" spans="1:44">
      <c r="A4215" s="4" t="s">
        <v>5</v>
      </c>
      <c r="B4215" s="4">
        <v>34624</v>
      </c>
      <c r="C4215" s="4">
        <v>626</v>
      </c>
      <c r="D4215" s="5" t="s">
        <v>6211</v>
      </c>
      <c r="E4215" s="6" t="str">
        <f>HYPERLINK("https://inpn.mnhn.fr/espece/cd_nom/34624","Cortinarius anomalus (Fr.) Fr., 1838")</f>
        <v>Cortinarius anomalus (Fr.) Fr., 1838</v>
      </c>
      <c r="F4215" s="5" t="s">
        <v>6212</v>
      </c>
      <c r="V4215" s="7" t="str">
        <f>HYPERLINK("#Liste_rouge!A"&amp;_xlfn.XMATCH("LC",Liste_rouge!A:A,2,1),"LC")</f>
        <v>LC</v>
      </c>
      <c r="AH4215" s="4" t="str">
        <f>HYPERLINK("#Statut_biogéographique!A"&amp;_xlfn.XMATCH("P",Statut_biogéographique!A:A,2,1),"P")</f>
        <v>P</v>
      </c>
      <c r="AP4215" s="4" t="s">
        <v>376</v>
      </c>
      <c r="AR4215" s="4" t="s">
        <v>377</v>
      </c>
    </row>
    <row r="4216" spans="1:44" ht="30">
      <c r="A4216" s="4" t="s">
        <v>5</v>
      </c>
      <c r="B4216" s="4">
        <v>34630</v>
      </c>
      <c r="C4216" s="4">
        <v>6609</v>
      </c>
      <c r="D4216" s="5" t="s">
        <v>6213</v>
      </c>
      <c r="E4216" s="6" t="str">
        <f>HYPERLINK("https://inpn.mnhn.fr/espece/cd_nom/34630","Cortinarius anserinus (Velen.) Rob.Henry, 1986")</f>
        <v>Cortinarius anserinus (Velen.) Rob.Henry, 1986</v>
      </c>
      <c r="F4216" s="5" t="s">
        <v>6214</v>
      </c>
      <c r="AH4216" s="4" t="str">
        <f>HYPERLINK("#Statut_biogéographique!A"&amp;_xlfn.XMATCH("P",Statut_biogéographique!A:A,2,1),"P")</f>
        <v>P</v>
      </c>
      <c r="AP4216" s="4" t="s">
        <v>376</v>
      </c>
      <c r="AR4216" s="4" t="s">
        <v>377</v>
      </c>
    </row>
    <row r="4217" spans="1:44" ht="30">
      <c r="A4217" s="4" t="s">
        <v>5</v>
      </c>
      <c r="B4217" s="4">
        <v>34632</v>
      </c>
      <c r="C4217" s="4">
        <v>1751</v>
      </c>
      <c r="D4217" s="5" t="s">
        <v>6215</v>
      </c>
      <c r="E4217" s="6" t="str">
        <f>HYPERLINK("https://inpn.mnhn.fr/espece/cd_nom/34632","Cortinarius amoenolens Rob.Henry ex P.D.Orton, 1960")</f>
        <v>Cortinarius amoenolens Rob.Henry ex P.D.Orton, 1960</v>
      </c>
      <c r="F4217" s="5" t="s">
        <v>6216</v>
      </c>
      <c r="V4217" s="7" t="str">
        <f>HYPERLINK("#Liste_rouge!A"&amp;_xlfn.XMATCH("LC",Liste_rouge!A:A,2,1),"LC")</f>
        <v>LC</v>
      </c>
      <c r="Z4217" s="4" t="s">
        <v>443</v>
      </c>
      <c r="AA4217" s="4" t="s">
        <v>444</v>
      </c>
      <c r="AH4217" s="4" t="str">
        <f>HYPERLINK("#Statut_biogéographique!A"&amp;_xlfn.XMATCH("P",Statut_biogéographique!A:A,2,1),"P")</f>
        <v>P</v>
      </c>
      <c r="AP4217" s="4" t="s">
        <v>376</v>
      </c>
      <c r="AR4217" s="4" t="s">
        <v>377</v>
      </c>
    </row>
    <row r="4218" spans="1:44" ht="30">
      <c r="A4218" s="4" t="s">
        <v>5</v>
      </c>
      <c r="B4218" s="4">
        <v>34634</v>
      </c>
      <c r="C4218" s="4">
        <v>972</v>
      </c>
      <c r="D4218" s="5" t="s">
        <v>6217</v>
      </c>
      <c r="E4218" s="6" t="str">
        <f>HYPERLINK("https://inpn.mnhn.fr/espece/cd_nom/34634","Cortinarius anthracinus Fr., 1838")</f>
        <v>Cortinarius anthracinus Fr., 1838</v>
      </c>
      <c r="F4218" s="5" t="s">
        <v>6218</v>
      </c>
      <c r="V4218" s="7" t="str">
        <f>HYPERLINK("#Liste_rouge!A"&amp;_xlfn.XMATCH("LC",Liste_rouge!A:A,2,1),"LC")</f>
        <v>LC</v>
      </c>
      <c r="AH4218" s="4" t="str">
        <f>HYPERLINK("#Statut_biogéographique!A"&amp;_xlfn.XMATCH("P",Statut_biogéographique!A:A,2,1),"P")</f>
        <v>P</v>
      </c>
      <c r="AP4218" s="4" t="s">
        <v>376</v>
      </c>
      <c r="AR4218" s="4" t="s">
        <v>377</v>
      </c>
    </row>
    <row r="4219" spans="1:44" ht="30">
      <c r="A4219" s="4" t="s">
        <v>5</v>
      </c>
      <c r="B4219" s="4">
        <v>34636</v>
      </c>
      <c r="C4219" s="4">
        <v>2977</v>
      </c>
      <c r="D4219" s="5" t="s">
        <v>6219</v>
      </c>
      <c r="E4219" s="6" t="str">
        <f>HYPERLINK("https://inpn.mnhn.fr/espece/cd_nom/34636","Cortinarius purpureobadius (P.Karst.) Sacc., 1887")</f>
        <v>Cortinarius purpureobadius (P.Karst.) Sacc., 1887</v>
      </c>
      <c r="F4219" s="5" t="s">
        <v>6220</v>
      </c>
      <c r="V4219" s="7" t="str">
        <f>HYPERLINK("#Liste_rouge!A"&amp;_xlfn.XMATCH("LC",Liste_rouge!A:A,2,1),"LC")</f>
        <v>LC</v>
      </c>
      <c r="AH4219" s="4" t="str">
        <f>HYPERLINK("#Statut_biogéographique!A"&amp;_xlfn.XMATCH("P",Statut_biogéographique!A:A,2,1),"P")</f>
        <v>P</v>
      </c>
      <c r="AP4219" s="4" t="s">
        <v>376</v>
      </c>
      <c r="AR4219" s="4" t="s">
        <v>377</v>
      </c>
    </row>
    <row r="4220" spans="1:44">
      <c r="A4220" s="4" t="s">
        <v>5</v>
      </c>
      <c r="B4220" s="4">
        <v>34641</v>
      </c>
      <c r="C4220" s="4">
        <v>1887</v>
      </c>
      <c r="D4220" s="5" t="s">
        <v>6221</v>
      </c>
      <c r="E4220" s="6" t="str">
        <f>HYPERLINK("https://inpn.mnhn.fr/espece/cd_nom/34641","Cortinarius aprinus Melot, 1989")</f>
        <v>Cortinarius aprinus Melot, 1989</v>
      </c>
      <c r="V4220" s="7" t="str">
        <f>HYPERLINK("#Liste_rouge!A"&amp;_xlfn.XMATCH("NT",Liste_rouge!A:A,2,1),"NT")</f>
        <v>NT</v>
      </c>
      <c r="W4220" s="4" t="str">
        <f>HYPERLINK("#Critères_liste_rouge!A$1","pr. A2c")</f>
        <v>pr. A2c</v>
      </c>
      <c r="AH4220" s="4" t="str">
        <f>HYPERLINK("#Statut_biogéographique!A"&amp;_xlfn.XMATCH("P",Statut_biogéographique!A:A,2,1),"P")</f>
        <v>P</v>
      </c>
      <c r="AP4220" s="4" t="s">
        <v>376</v>
      </c>
      <c r="AR4220" s="4" t="s">
        <v>377</v>
      </c>
    </row>
    <row r="4221" spans="1:44">
      <c r="A4221" s="4" t="s">
        <v>5</v>
      </c>
      <c r="B4221" s="4">
        <v>34642</v>
      </c>
      <c r="C4221" s="4">
        <v>5476</v>
      </c>
      <c r="D4221" s="5" t="s">
        <v>6222</v>
      </c>
      <c r="E4221" s="6" t="str">
        <f>HYPERLINK("https://inpn.mnhn.fr/espece/cd_nom/34642","Cortinarius sordescens Rob.Henry, 1944")</f>
        <v>Cortinarius sordescens Rob.Henry, 1944</v>
      </c>
      <c r="V4221" s="7" t="str">
        <f>HYPERLINK("#Liste_rouge!A"&amp;_xlfn.XMATCH("VU",Liste_rouge!A:A,2,1),"VU")</f>
        <v>VU</v>
      </c>
      <c r="W4221" s="4" t="str">
        <f>HYPERLINK("#Critères_liste_rouge!A$1","D2")</f>
        <v>D2</v>
      </c>
      <c r="Z4221" s="4" t="s">
        <v>443</v>
      </c>
      <c r="AA4221" s="4" t="s">
        <v>444</v>
      </c>
      <c r="AH4221" s="4" t="str">
        <f>HYPERLINK("#Statut_biogéographique!A"&amp;_xlfn.XMATCH("P",Statut_biogéographique!A:A,2,1),"P")</f>
        <v>P</v>
      </c>
      <c r="AP4221" s="4" t="s">
        <v>376</v>
      </c>
      <c r="AR4221" s="4" t="s">
        <v>377</v>
      </c>
    </row>
    <row r="4222" spans="1:44">
      <c r="A4222" s="4" t="s">
        <v>5</v>
      </c>
      <c r="B4222" s="4">
        <v>34643</v>
      </c>
      <c r="C4222" s="4">
        <v>1742</v>
      </c>
      <c r="D4222" s="5" t="s">
        <v>6223</v>
      </c>
      <c r="E4222" s="6" t="str">
        <f>HYPERLINK("https://inpn.mnhn.fr/espece/cd_nom/34643","Cortinarius arcuatorum Rob.Henry, 1939")</f>
        <v>Cortinarius arcuatorum Rob.Henry, 1939</v>
      </c>
      <c r="V4222" s="7" t="str">
        <f>HYPERLINK("#Liste_rouge!A"&amp;_xlfn.XMATCH("NT",Liste_rouge!A:A,2,1),"NT")</f>
        <v>NT</v>
      </c>
      <c r="W4222" s="4" t="str">
        <f>HYPERLINK("#Critères_liste_rouge!A$1","pr. B2abiii")</f>
        <v>pr. B2abiii</v>
      </c>
      <c r="Z4222" s="4" t="s">
        <v>447</v>
      </c>
      <c r="AA4222" s="4" t="s">
        <v>448</v>
      </c>
      <c r="AH4222" s="4" t="str">
        <f>HYPERLINK("#Statut_biogéographique!A"&amp;_xlfn.XMATCH("P",Statut_biogéographique!A:A,2,1),"P")</f>
        <v>P</v>
      </c>
      <c r="AP4222" s="4" t="s">
        <v>376</v>
      </c>
      <c r="AR4222" s="4" t="s">
        <v>377</v>
      </c>
    </row>
    <row r="4223" spans="1:44">
      <c r="A4223" s="4" t="s">
        <v>5</v>
      </c>
      <c r="B4223" s="4">
        <v>34646</v>
      </c>
      <c r="C4223" s="4">
        <v>3838</v>
      </c>
      <c r="D4223" s="5" t="s">
        <v>6224</v>
      </c>
      <c r="E4223" s="6" t="str">
        <f>HYPERLINK("https://inpn.mnhn.fr/espece/cd_nom/34646","Cortinarius argentatus (Pers.) Fr., 1838")</f>
        <v>Cortinarius argentatus (Pers.) Fr., 1838</v>
      </c>
      <c r="F4223" s="5" t="s">
        <v>6225</v>
      </c>
      <c r="V4223" s="7" t="str">
        <f>HYPERLINK("#Liste_rouge!A"&amp;_xlfn.XMATCH("EN",Liste_rouge!A:A,2,1),"EN")</f>
        <v>EN</v>
      </c>
      <c r="W4223" s="4" t="str">
        <f>HYPERLINK("#Critères_liste_rouge!A$1","B2abiii")</f>
        <v>B2abiii</v>
      </c>
      <c r="Z4223" s="4" t="s">
        <v>447</v>
      </c>
      <c r="AA4223" s="4" t="s">
        <v>448</v>
      </c>
      <c r="AH4223" s="4" t="str">
        <f>HYPERLINK("#Statut_biogéographique!A"&amp;_xlfn.XMATCH("P",Statut_biogéographique!A:A,2,1),"P")</f>
        <v>P</v>
      </c>
      <c r="AP4223" s="4" t="s">
        <v>376</v>
      </c>
      <c r="AR4223" s="4" t="s">
        <v>377</v>
      </c>
    </row>
    <row r="4224" spans="1:44" ht="30">
      <c r="A4224" s="4" t="s">
        <v>5</v>
      </c>
      <c r="B4224" s="4">
        <v>34649</v>
      </c>
      <c r="C4224" s="4">
        <v>2830</v>
      </c>
      <c r="D4224" s="5" t="s">
        <v>6226</v>
      </c>
      <c r="E4224" s="6" t="str">
        <f>HYPERLINK("https://inpn.mnhn.fr/espece/cd_nom/34649","Cortinarius argenteolilacinus M.M.Moser, 1952")</f>
        <v>Cortinarius argenteolilacinus M.M.Moser, 1952</v>
      </c>
      <c r="F4224" s="5" t="s">
        <v>6227</v>
      </c>
      <c r="V4224" s="7" t="str">
        <f>HYPERLINK("#Liste_rouge!A"&amp;_xlfn.XMATCH("LC",Liste_rouge!A:A,2,1),"LC")</f>
        <v>LC</v>
      </c>
      <c r="AH4224" s="4" t="str">
        <f>HYPERLINK("#Statut_biogéographique!A"&amp;_xlfn.XMATCH("P",Statut_biogéographique!A:A,2,1),"P")</f>
        <v>P</v>
      </c>
      <c r="AP4224" s="4" t="s">
        <v>376</v>
      </c>
      <c r="AR4224" s="4" t="s">
        <v>377</v>
      </c>
    </row>
    <row r="4225" spans="1:44">
      <c r="A4225" s="4" t="s">
        <v>5</v>
      </c>
      <c r="B4225" s="4">
        <v>34651</v>
      </c>
      <c r="C4225" s="4">
        <v>5518</v>
      </c>
      <c r="D4225" s="5" t="s">
        <v>6228</v>
      </c>
      <c r="E4225" s="6" t="str">
        <f>HYPERLINK("https://inpn.mnhn.fr/espece/cd_nom/34651","Cortinarius argenteopileatus Nezdojm., 1983")</f>
        <v>Cortinarius argenteopileatus Nezdojm., 1983</v>
      </c>
      <c r="V4225" s="7" t="str">
        <f>HYPERLINK("#Liste_rouge!A"&amp;_xlfn.XMATCH("EN",Liste_rouge!A:A,2,1),"EN")</f>
        <v>EN</v>
      </c>
      <c r="W4225" s="4" t="str">
        <f>HYPERLINK("#Critères_liste_rouge!A$1","B2abiii")</f>
        <v>B2abiii</v>
      </c>
      <c r="Z4225" s="4" t="s">
        <v>443</v>
      </c>
      <c r="AA4225" s="4" t="s">
        <v>444</v>
      </c>
      <c r="AH4225" s="4" t="str">
        <f>HYPERLINK("#Statut_biogéographique!A"&amp;_xlfn.XMATCH("P",Statut_biogéographique!A:A,2,1),"P")</f>
        <v>P</v>
      </c>
      <c r="AP4225" s="4" t="s">
        <v>376</v>
      </c>
      <c r="AR4225" s="4" t="s">
        <v>377</v>
      </c>
    </row>
    <row r="4226" spans="1:44">
      <c r="A4226" s="4" t="s">
        <v>5</v>
      </c>
      <c r="B4226" s="4">
        <v>34652</v>
      </c>
      <c r="C4226" s="4">
        <v>1075</v>
      </c>
      <c r="D4226" s="5" t="s">
        <v>6229</v>
      </c>
      <c r="E4226" s="6" t="str">
        <f>HYPERLINK("https://inpn.mnhn.fr/espece/cd_nom/34652","Inocybe pisciodora Donadini &amp; Riousset, 1975")</f>
        <v>Inocybe pisciodora Donadini &amp; Riousset, 1975</v>
      </c>
      <c r="F4226" s="5" t="s">
        <v>6230</v>
      </c>
      <c r="V4226" s="7" t="str">
        <f>HYPERLINK("#Liste_rouge!A"&amp;_xlfn.XMATCH("EN",Liste_rouge!A:A,2,1),"EN")</f>
        <v>EN</v>
      </c>
      <c r="W4226" s="4" t="str">
        <f>HYPERLINK("#Critères_liste_rouge!A$1","B2abiii")</f>
        <v>B2abiii</v>
      </c>
      <c r="Z4226" s="4" t="s">
        <v>447</v>
      </c>
      <c r="AA4226" s="4" t="s">
        <v>448</v>
      </c>
      <c r="AH4226" s="4" t="str">
        <f>HYPERLINK("#Statut_biogéographique!A"&amp;_xlfn.XMATCH("P",Statut_biogéographique!A:A,2,1),"P")</f>
        <v>P</v>
      </c>
      <c r="AP4226" s="4" t="s">
        <v>376</v>
      </c>
      <c r="AR4226" s="4" t="s">
        <v>377</v>
      </c>
    </row>
    <row r="4227" spans="1:44">
      <c r="A4227" s="4" t="s">
        <v>5</v>
      </c>
      <c r="B4227" s="4">
        <v>34653</v>
      </c>
      <c r="C4227" s="4">
        <v>4474</v>
      </c>
      <c r="D4227" s="5" t="s">
        <v>6231</v>
      </c>
      <c r="E4227" s="6" t="str">
        <f>HYPERLINK("https://inpn.mnhn.fr/espece/cd_nom/34653","Inocybe posterula (Britzelm.) Sacc., 1887")</f>
        <v>Inocybe posterula (Britzelm.) Sacc., 1887</v>
      </c>
      <c r="F4227" s="5" t="s">
        <v>6232</v>
      </c>
      <c r="V4227" s="7" t="str">
        <f>HYPERLINK("#Liste_rouge!A"&amp;_xlfn.XMATCH("LC",Liste_rouge!A:A,2,1),"LC")</f>
        <v>LC</v>
      </c>
      <c r="AH4227" s="4" t="str">
        <f>HYPERLINK("#Statut_biogéographique!A"&amp;_xlfn.XMATCH("P",Statut_biogéographique!A:A,2,1),"P")</f>
        <v>P</v>
      </c>
      <c r="AP4227" s="4" t="s">
        <v>376</v>
      </c>
      <c r="AR4227" s="4" t="s">
        <v>377</v>
      </c>
    </row>
    <row r="4228" spans="1:44">
      <c r="A4228" s="4" t="s">
        <v>5</v>
      </c>
      <c r="B4228" s="4">
        <v>34657</v>
      </c>
      <c r="C4228" s="4">
        <v>396</v>
      </c>
      <c r="D4228" s="5" t="s">
        <v>6233</v>
      </c>
      <c r="E4228" s="6" t="str">
        <f>HYPERLINK("https://inpn.mnhn.fr/espece/cd_nom/34657","Inocybe praetervisa Quél., 1883")</f>
        <v>Inocybe praetervisa Quél., 1883</v>
      </c>
      <c r="F4228" s="5" t="s">
        <v>6234</v>
      </c>
      <c r="V4228" s="7" t="str">
        <f>HYPERLINK("#Liste_rouge!A"&amp;_xlfn.XMATCH("LC",Liste_rouge!A:A,2,1),"LC")</f>
        <v>LC</v>
      </c>
      <c r="AH4228" s="4" t="str">
        <f>HYPERLINK("#Statut_biogéographique!A"&amp;_xlfn.XMATCH("P",Statut_biogéographique!A:A,2,1),"P")</f>
        <v>P</v>
      </c>
      <c r="AP4228" s="4" t="s">
        <v>376</v>
      </c>
      <c r="AR4228" s="4" t="s">
        <v>377</v>
      </c>
    </row>
    <row r="4229" spans="1:44">
      <c r="A4229" s="4" t="s">
        <v>5</v>
      </c>
      <c r="B4229" s="4">
        <v>34659</v>
      </c>
      <c r="C4229" s="4">
        <v>2243</v>
      </c>
      <c r="D4229" s="5" t="s">
        <v>6235</v>
      </c>
      <c r="E4229" s="6" t="str">
        <f>HYPERLINK("https://inpn.mnhn.fr/espece/cd_nom/34659","Inocybe proximella P.Karst., 1883")</f>
        <v>Inocybe proximella P.Karst., 1883</v>
      </c>
      <c r="F4229" s="5" t="s">
        <v>6236</v>
      </c>
      <c r="V4229" s="7" t="str">
        <f>HYPERLINK("#Liste_rouge!A"&amp;_xlfn.XMATCH("NT",Liste_rouge!A:A,2,1),"NT")</f>
        <v>NT</v>
      </c>
      <c r="W4229" s="4" t="str">
        <f>HYPERLINK("#Critères_liste_rouge!A$1","pr. B2a")</f>
        <v>pr. B2a</v>
      </c>
      <c r="Z4229" s="4" t="s">
        <v>447</v>
      </c>
      <c r="AA4229" s="4" t="s">
        <v>448</v>
      </c>
      <c r="AH4229" s="4" t="str">
        <f>HYPERLINK("#Statut_biogéographique!A"&amp;_xlfn.XMATCH("P",Statut_biogéographique!A:A,2,1),"P")</f>
        <v>P</v>
      </c>
      <c r="AP4229" s="4" t="s">
        <v>376</v>
      </c>
      <c r="AR4229" s="4" t="s">
        <v>377</v>
      </c>
    </row>
    <row r="4230" spans="1:44" ht="30">
      <c r="A4230" s="4" t="s">
        <v>5</v>
      </c>
      <c r="B4230" s="4">
        <v>34667</v>
      </c>
      <c r="D4230" s="5">
        <v>34667</v>
      </c>
      <c r="E4230" s="6" t="str">
        <f>HYPERLINK("https://inpn.mnhn.fr/espece/cd_nom/34667","Inocybe pseudoasterospora Kühner &amp; Boursier, 1932")</f>
        <v>Inocybe pseudoasterospora Kühner &amp; Boursier, 1932</v>
      </c>
      <c r="AH4230" s="4" t="str">
        <f>HYPERLINK("#Statut_biogéographique!A"&amp;_xlfn.XMATCH("P",Statut_biogéographique!A:A,2,1),"P")</f>
        <v>P</v>
      </c>
      <c r="AP4230" s="4" t="s">
        <v>376</v>
      </c>
      <c r="AR4230" s="4" t="s">
        <v>377</v>
      </c>
    </row>
    <row r="4231" spans="1:44">
      <c r="A4231" s="4" t="s">
        <v>5</v>
      </c>
      <c r="B4231" s="4">
        <v>34674</v>
      </c>
      <c r="C4231" s="4">
        <v>794</v>
      </c>
      <c r="D4231" s="5" t="s">
        <v>6237</v>
      </c>
      <c r="E4231" s="6" t="str">
        <f>HYPERLINK("https://inpn.mnhn.fr/espece/cd_nom/34674","Inocybe pudica Kühner, 1947")</f>
        <v>Inocybe pudica Kühner, 1947</v>
      </c>
      <c r="F4231" s="5" t="s">
        <v>6238</v>
      </c>
      <c r="V4231" s="7" t="str">
        <f>HYPERLINK("#Liste_rouge!A"&amp;_xlfn.XMATCH("LC",Liste_rouge!A:A,2,1),"LC")</f>
        <v>LC</v>
      </c>
      <c r="AH4231" s="4" t="str">
        <f>HYPERLINK("#Statut_biogéographique!A"&amp;_xlfn.XMATCH("P",Statut_biogéographique!A:A,2,1),"P")</f>
        <v>P</v>
      </c>
      <c r="AP4231" s="4" t="s">
        <v>376</v>
      </c>
      <c r="AR4231" s="4" t="s">
        <v>377</v>
      </c>
    </row>
    <row r="4232" spans="1:44">
      <c r="A4232" s="4" t="s">
        <v>5</v>
      </c>
      <c r="B4232" s="4">
        <v>34686</v>
      </c>
      <c r="C4232" s="4">
        <v>1136</v>
      </c>
      <c r="D4232" s="5">
        <v>34686</v>
      </c>
      <c r="E4232" s="6" t="str">
        <f>HYPERLINK("https://inpn.mnhn.fr/espece/cd_nom/34686","Cortinarius leucophaetus R. Henry")</f>
        <v>Cortinarius leucophaetus R. Henry</v>
      </c>
      <c r="V4232" s="7" t="str">
        <f>HYPERLINK("#Liste_rouge!A"&amp;_xlfn.XMATCH("DD",Liste_rouge!A:A,2,1),"DD")</f>
        <v>DD</v>
      </c>
      <c r="AH4232" s="4" t="str">
        <f>HYPERLINK("#Statut_biogéographique!A"&amp;_xlfn.XMATCH("P",Statut_biogéographique!A:A,2,1),"P")</f>
        <v>P</v>
      </c>
      <c r="AP4232" s="4" t="s">
        <v>376</v>
      </c>
      <c r="AR4232" s="4" t="s">
        <v>377</v>
      </c>
    </row>
    <row r="4233" spans="1:44" ht="30">
      <c r="A4233" s="4" t="s">
        <v>5</v>
      </c>
      <c r="B4233" s="4">
        <v>34688</v>
      </c>
      <c r="C4233" s="4">
        <v>1930</v>
      </c>
      <c r="D4233" s="5" t="s">
        <v>6239</v>
      </c>
      <c r="E4233" s="6" t="str">
        <f>HYPERLINK("https://inpn.mnhn.fr/espece/cd_nom/34688","Cortinarius erythrinus (Fr.) Fr., 1838")</f>
        <v>Cortinarius erythrinus (Fr.) Fr., 1838</v>
      </c>
      <c r="V4233" s="7" t="str">
        <f>HYPERLINK("#Liste_rouge!A"&amp;_xlfn.XMATCH("LC",Liste_rouge!A:A,2,1),"LC")</f>
        <v>LC</v>
      </c>
      <c r="AH4233" s="4" t="str">
        <f>HYPERLINK("#Statut_biogéographique!A"&amp;_xlfn.XMATCH("P",Statut_biogéographique!A:A,2,1),"P")</f>
        <v>P</v>
      </c>
      <c r="AP4233" s="4" t="s">
        <v>376</v>
      </c>
      <c r="AR4233" s="4" t="s">
        <v>377</v>
      </c>
    </row>
    <row r="4234" spans="1:44">
      <c r="A4234" s="4" t="s">
        <v>5</v>
      </c>
      <c r="B4234" s="4">
        <v>34689</v>
      </c>
      <c r="C4234" s="4">
        <v>1913</v>
      </c>
      <c r="D4234" s="5">
        <v>34689</v>
      </c>
      <c r="E4234" s="6" t="str">
        <f>HYPERLINK("https://inpn.mnhn.fr/espece/cd_nom/34689","Cortinarius armeniacus (Schaeff.) Fr., 1838")</f>
        <v>Cortinarius armeniacus (Schaeff.) Fr., 1838</v>
      </c>
      <c r="V4234" s="7" t="str">
        <f>HYPERLINK("#Liste_rouge!A"&amp;_xlfn.XMATCH("LC",Liste_rouge!A:A,2,1),"LC")</f>
        <v>LC</v>
      </c>
      <c r="W4234" s="4" t="str">
        <f>HYPERLINK("#Critères_liste_rouge!A$1","D2")</f>
        <v>D2</v>
      </c>
      <c r="Z4234" s="4" t="s">
        <v>443</v>
      </c>
      <c r="AA4234" s="4" t="s">
        <v>444</v>
      </c>
      <c r="AH4234" s="4" t="str">
        <f>HYPERLINK("#Statut_biogéographique!A"&amp;_xlfn.XMATCH("P",Statut_biogéographique!A:A,2,1),"P")</f>
        <v>P</v>
      </c>
      <c r="AP4234" s="4" t="s">
        <v>376</v>
      </c>
      <c r="AR4234" s="4" t="s">
        <v>377</v>
      </c>
    </row>
    <row r="4235" spans="1:44">
      <c r="A4235" s="4" t="s">
        <v>5</v>
      </c>
      <c r="B4235" s="4">
        <v>34691</v>
      </c>
      <c r="C4235" s="4">
        <v>379</v>
      </c>
      <c r="D4235" s="5" t="s">
        <v>6240</v>
      </c>
      <c r="E4235" s="6" t="str">
        <f>HYPERLINK("https://inpn.mnhn.fr/espece/cd_nom/34691","Cortinarius armillatus (Fr.) Fr., 1838")</f>
        <v>Cortinarius armillatus (Fr.) Fr., 1838</v>
      </c>
      <c r="F4235" s="5" t="s">
        <v>6241</v>
      </c>
      <c r="V4235" s="7" t="str">
        <f>HYPERLINK("#Liste_rouge!A"&amp;_xlfn.XMATCH("LC",Liste_rouge!A:A,2,1),"LC")</f>
        <v>LC</v>
      </c>
      <c r="AH4235" s="4" t="str">
        <f>HYPERLINK("#Statut_biogéographique!A"&amp;_xlfn.XMATCH("P",Statut_biogéographique!A:A,2,1),"P")</f>
        <v>P</v>
      </c>
      <c r="AP4235" s="4" t="s">
        <v>376</v>
      </c>
      <c r="AR4235" s="4" t="s">
        <v>377</v>
      </c>
    </row>
    <row r="4236" spans="1:44" ht="30">
      <c r="A4236" s="4" t="s">
        <v>5</v>
      </c>
      <c r="B4236" s="4">
        <v>34703</v>
      </c>
      <c r="C4236" s="4">
        <v>1870</v>
      </c>
      <c r="D4236" s="5" t="s">
        <v>6242</v>
      </c>
      <c r="E4236" s="6" t="str">
        <f>HYPERLINK("https://inpn.mnhn.fr/espece/cd_nom/34703","Cortinarius subdecolorans M.Langl. &amp; Reumaux, 2000")</f>
        <v>Cortinarius subdecolorans M.Langl. &amp; Reumaux, 2000</v>
      </c>
      <c r="F4236" s="5" t="s">
        <v>6243</v>
      </c>
      <c r="V4236" s="7" t="str">
        <f>HYPERLINK("#Liste_rouge!A"&amp;_xlfn.XMATCH("LC",Liste_rouge!A:A,2,1),"LC")</f>
        <v>LC</v>
      </c>
      <c r="AH4236" s="4" t="str">
        <f>HYPERLINK("#Statut_biogéographique!A"&amp;_xlfn.XMATCH("P",Statut_biogéographique!A:A,2,1),"P")</f>
        <v>P</v>
      </c>
      <c r="AP4236" s="4" t="s">
        <v>376</v>
      </c>
      <c r="AR4236" s="4" t="s">
        <v>377</v>
      </c>
    </row>
    <row r="4237" spans="1:44">
      <c r="A4237" s="4" t="s">
        <v>5</v>
      </c>
      <c r="B4237" s="4">
        <v>34704</v>
      </c>
      <c r="C4237" s="4">
        <v>5877</v>
      </c>
      <c r="D4237" s="5" t="s">
        <v>6244</v>
      </c>
      <c r="E4237" s="6" t="str">
        <f>HYPERLINK("https://inpn.mnhn.fr/espece/cd_nom/34704","Cortinarius claroturmalis Rob.Henry, 1987")</f>
        <v>Cortinarius claroturmalis Rob.Henry, 1987</v>
      </c>
      <c r="AH4237" s="4" t="str">
        <f>HYPERLINK("#Statut_biogéographique!A"&amp;_xlfn.XMATCH("P",Statut_biogéographique!A:A,2,1),"P")</f>
        <v>P</v>
      </c>
      <c r="AP4237" s="4" t="s">
        <v>376</v>
      </c>
      <c r="AR4237" s="4" t="s">
        <v>377</v>
      </c>
    </row>
    <row r="4238" spans="1:44">
      <c r="A4238" s="4" t="s">
        <v>5</v>
      </c>
      <c r="B4238" s="4">
        <v>34707</v>
      </c>
      <c r="C4238" s="4">
        <v>1860</v>
      </c>
      <c r="D4238" s="5" t="s">
        <v>6245</v>
      </c>
      <c r="E4238" s="6" t="str">
        <f>HYPERLINK("https://inpn.mnhn.fr/espece/cd_nom/34707","Cortinarius claroflavus Rob.Henry, 1952")</f>
        <v>Cortinarius claroflavus Rob.Henry, 1952</v>
      </c>
      <c r="F4238" s="5" t="s">
        <v>6246</v>
      </c>
      <c r="V4238" s="7" t="str">
        <f>HYPERLINK("#Liste_rouge!A"&amp;_xlfn.XMATCH("EN",Liste_rouge!A:A,2,1),"EN")</f>
        <v>EN</v>
      </c>
      <c r="W4238" s="4" t="str">
        <f>HYPERLINK("#Critères_liste_rouge!A$1","B2abiii")</f>
        <v>B2abiii</v>
      </c>
      <c r="Z4238" s="4" t="s">
        <v>695</v>
      </c>
      <c r="AA4238" s="4" t="s">
        <v>696</v>
      </c>
      <c r="AH4238" s="4" t="str">
        <f>HYPERLINK("#Statut_biogéographique!A"&amp;_xlfn.XMATCH("P",Statut_biogéographique!A:A,2,1),"P")</f>
        <v>P</v>
      </c>
      <c r="AP4238" s="4" t="s">
        <v>376</v>
      </c>
      <c r="AR4238" s="4" t="s">
        <v>377</v>
      </c>
    </row>
    <row r="4239" spans="1:44">
      <c r="A4239" s="4" t="s">
        <v>5</v>
      </c>
      <c r="B4239" s="4">
        <v>34717</v>
      </c>
      <c r="C4239" s="4">
        <v>1933</v>
      </c>
      <c r="D4239" s="5" t="s">
        <v>6247</v>
      </c>
      <c r="E4239" s="6" t="str">
        <f>HYPERLINK("https://inpn.mnhn.fr/espece/cd_nom/34717","Cortinarius colus Fr., 1838")</f>
        <v>Cortinarius colus Fr., 1838</v>
      </c>
      <c r="V4239" s="7" t="str">
        <f>HYPERLINK("#Liste_rouge!A"&amp;_xlfn.XMATCH("NT",Liste_rouge!A:A,2,1),"NT")</f>
        <v>NT</v>
      </c>
      <c r="W4239" s="4" t="str">
        <f>HYPERLINK("#Critères_liste_rouge!A$1","pr. B2abiii")</f>
        <v>pr. B2abiii</v>
      </c>
      <c r="AH4239" s="4" t="str">
        <f>HYPERLINK("#Statut_biogéographique!A"&amp;_xlfn.XMATCH("P",Statut_biogéographique!A:A,2,1),"P")</f>
        <v>P</v>
      </c>
      <c r="AP4239" s="4" t="s">
        <v>376</v>
      </c>
      <c r="AR4239" s="4" t="s">
        <v>377</v>
      </c>
    </row>
    <row r="4240" spans="1:44">
      <c r="A4240" s="4" t="s">
        <v>5</v>
      </c>
      <c r="B4240" s="4">
        <v>34721</v>
      </c>
      <c r="C4240" s="4">
        <v>3116</v>
      </c>
      <c r="D4240" s="5" t="s">
        <v>6248</v>
      </c>
      <c r="E4240" s="6" t="str">
        <f>HYPERLINK("https://inpn.mnhn.fr/espece/cd_nom/34721","Cortinarius compar (Weinm.) Fr., 1838")</f>
        <v>Cortinarius compar (Weinm.) Fr., 1838</v>
      </c>
      <c r="V4240" s="7" t="str">
        <f>HYPERLINK("#Liste_rouge!A"&amp;_xlfn.XMATCH("NT",Liste_rouge!A:A,2,1),"NT")</f>
        <v>NT</v>
      </c>
      <c r="W4240" s="4" t="str">
        <f>HYPERLINK("#Critères_liste_rouge!A$1","pr. B2abiii")</f>
        <v>pr. B2abiii</v>
      </c>
      <c r="AH4240" s="4" t="str">
        <f>HYPERLINK("#Statut_biogéographique!A"&amp;_xlfn.XMATCH("P",Statut_biogéographique!A:A,2,1),"P")</f>
        <v>P</v>
      </c>
      <c r="AP4240" s="4" t="s">
        <v>376</v>
      </c>
      <c r="AR4240" s="4" t="s">
        <v>377</v>
      </c>
    </row>
    <row r="4241" spans="1:44">
      <c r="A4241" s="4" t="s">
        <v>5</v>
      </c>
      <c r="B4241" s="4">
        <v>34723</v>
      </c>
      <c r="C4241" s="4">
        <v>6086</v>
      </c>
      <c r="D4241" s="5" t="s">
        <v>6249</v>
      </c>
      <c r="E4241" s="6" t="str">
        <f>HYPERLINK("https://inpn.mnhn.fr/espece/cd_nom/34723","Cortinarius comptulus M.M.Moser, 1968")</f>
        <v>Cortinarius comptulus M.M.Moser, 1968</v>
      </c>
      <c r="AH4241" s="4" t="str">
        <f>HYPERLINK("#Statut_biogéographique!A"&amp;_xlfn.XMATCH("P",Statut_biogéographique!A:A,2,1),"P")</f>
        <v>P</v>
      </c>
      <c r="AP4241" s="4" t="s">
        <v>376</v>
      </c>
      <c r="AR4241" s="4" t="s">
        <v>377</v>
      </c>
    </row>
    <row r="4242" spans="1:44" ht="30">
      <c r="A4242" s="4" t="s">
        <v>5</v>
      </c>
      <c r="B4242" s="4">
        <v>34725</v>
      </c>
      <c r="C4242" s="4">
        <v>552</v>
      </c>
      <c r="D4242" s="5" t="s">
        <v>6250</v>
      </c>
      <c r="E4242" s="6" t="str">
        <f>HYPERLINK("https://inpn.mnhn.fr/espece/cd_nom/34725","Cortinarius coniferarum (M.M.Moser) Moënne-Locc. &amp; Reumaux, 1991")</f>
        <v>Cortinarius coniferarum (M.M.Moser) Moënne-Locc. &amp; Reumaux, 1991</v>
      </c>
      <c r="V4242" s="7" t="str">
        <f>HYPERLINK("#Liste_rouge!A"&amp;_xlfn.XMATCH("LC",Liste_rouge!A:A,2,1),"LC")</f>
        <v>LC</v>
      </c>
      <c r="AH4242" s="4" t="str">
        <f>HYPERLINK("#Statut_biogéographique!A"&amp;_xlfn.XMATCH("P",Statut_biogéographique!A:A,2,1),"P")</f>
        <v>P</v>
      </c>
      <c r="AP4242" s="4" t="s">
        <v>376</v>
      </c>
      <c r="AR4242" s="4" t="s">
        <v>377</v>
      </c>
    </row>
    <row r="4243" spans="1:44" ht="30">
      <c r="A4243" s="4" t="s">
        <v>5</v>
      </c>
      <c r="B4243" s="4">
        <v>34729</v>
      </c>
      <c r="C4243" s="4">
        <v>565</v>
      </c>
      <c r="D4243" s="5" t="s">
        <v>6251</v>
      </c>
      <c r="E4243" s="6" t="str">
        <f>HYPERLINK("https://inpn.mnhn.fr/espece/cd_nom/34729","Cortinarius rubellus Cooke, 1887")</f>
        <v>Cortinarius rubellus Cooke, 1887</v>
      </c>
      <c r="F4243" s="5" t="s">
        <v>6252</v>
      </c>
      <c r="V4243" s="7" t="str">
        <f>HYPERLINK("#Liste_rouge!A"&amp;_xlfn.XMATCH("VU",Liste_rouge!A:A,2,1),"VU")</f>
        <v>VU</v>
      </c>
      <c r="W4243" s="4" t="str">
        <f>HYPERLINK("#Critères_liste_rouge!A$1","A2c")</f>
        <v>A2c</v>
      </c>
      <c r="Z4243" s="4" t="s">
        <v>447</v>
      </c>
      <c r="AA4243" s="4" t="s">
        <v>448</v>
      </c>
      <c r="AH4243" s="4" t="str">
        <f>HYPERLINK("#Statut_biogéographique!A"&amp;_xlfn.XMATCH("P",Statut_biogéographique!A:A,2,1),"P")</f>
        <v>P</v>
      </c>
      <c r="AP4243" s="4" t="s">
        <v>376</v>
      </c>
      <c r="AR4243" s="4" t="s">
        <v>377</v>
      </c>
    </row>
    <row r="4244" spans="1:44">
      <c r="A4244" s="4" t="s">
        <v>5</v>
      </c>
      <c r="B4244" s="4">
        <v>34732</v>
      </c>
      <c r="C4244" s="4">
        <v>4100</v>
      </c>
      <c r="D4244" s="5" t="s">
        <v>6253</v>
      </c>
      <c r="E4244" s="6" t="str">
        <f>HYPERLINK("https://inpn.mnhn.fr/espece/cd_nom/34732","Cortinarius corrosus Fr., 1838")</f>
        <v>Cortinarius corrosus Fr., 1838</v>
      </c>
      <c r="V4244" s="7" t="str">
        <f>HYPERLINK("#Liste_rouge!A"&amp;_xlfn.XMATCH("EN",Liste_rouge!A:A,2,1),"EN")</f>
        <v>EN</v>
      </c>
      <c r="W4244" s="4" t="str">
        <f>HYPERLINK("#Critères_liste_rouge!A$1","B2abiii")</f>
        <v>B2abiii</v>
      </c>
      <c r="Z4244" s="4" t="s">
        <v>695</v>
      </c>
      <c r="AA4244" s="4" t="s">
        <v>696</v>
      </c>
      <c r="AH4244" s="4" t="str">
        <f>HYPERLINK("#Statut_biogéographique!A"&amp;_xlfn.XMATCH("P",Statut_biogéographique!A:A,2,1),"P")</f>
        <v>P</v>
      </c>
      <c r="AP4244" s="4" t="s">
        <v>376</v>
      </c>
      <c r="AR4244" s="4" t="s">
        <v>377</v>
      </c>
    </row>
    <row r="4245" spans="1:44">
      <c r="A4245" s="4" t="s">
        <v>5</v>
      </c>
      <c r="B4245" s="4">
        <v>34736</v>
      </c>
      <c r="C4245" s="4">
        <v>1428</v>
      </c>
      <c r="D4245" s="5" t="s">
        <v>6254</v>
      </c>
      <c r="E4245" s="6" t="str">
        <f>HYPERLINK("https://inpn.mnhn.fr/espece/cd_nom/34736","Cortinarius cotoneus Fr., 1838")</f>
        <v>Cortinarius cotoneus Fr., 1838</v>
      </c>
      <c r="F4245" s="5" t="s">
        <v>6255</v>
      </c>
      <c r="V4245" s="7" t="str">
        <f>HYPERLINK("#Liste_rouge!A"&amp;_xlfn.XMATCH("LC",Liste_rouge!A:A,2,1),"LC")</f>
        <v>LC</v>
      </c>
      <c r="AH4245" s="4" t="str">
        <f>HYPERLINK("#Statut_biogéographique!A"&amp;_xlfn.XMATCH("P",Statut_biogéographique!A:A,2,1),"P")</f>
        <v>P</v>
      </c>
      <c r="AP4245" s="4" t="s">
        <v>376</v>
      </c>
      <c r="AR4245" s="4" t="s">
        <v>377</v>
      </c>
    </row>
    <row r="4246" spans="1:44" ht="30">
      <c r="A4246" s="4" t="s">
        <v>5</v>
      </c>
      <c r="B4246" s="4">
        <v>34739</v>
      </c>
      <c r="C4246" s="4">
        <v>3213</v>
      </c>
      <c r="D4246" s="5" t="s">
        <v>6256</v>
      </c>
      <c r="E4246" s="6" t="str">
        <f>HYPERLINK("https://inpn.mnhn.fr/espece/cd_nom/34739","Cortinarius crassifolius (Velen.) Kühner &amp; Romagn. ex Bon, 1986")</f>
        <v>Cortinarius crassifolius (Velen.) Kühner &amp; Romagn. ex Bon, 1986</v>
      </c>
      <c r="V4246" s="7" t="str">
        <f>HYPERLINK("#Liste_rouge!A"&amp;_xlfn.XMATCH("EN",Liste_rouge!A:A,2,1),"EN")</f>
        <v>EN</v>
      </c>
      <c r="W4246" s="4" t="str">
        <f>HYPERLINK("#Critères_liste_rouge!A$1","B2abiii")</f>
        <v>B2abiii</v>
      </c>
      <c r="Z4246" s="4" t="s">
        <v>447</v>
      </c>
      <c r="AA4246" s="4" t="s">
        <v>448</v>
      </c>
      <c r="AH4246" s="4" t="str">
        <f>HYPERLINK("#Statut_biogéographique!A"&amp;_xlfn.XMATCH("P",Statut_biogéographique!A:A,2,1),"P")</f>
        <v>P</v>
      </c>
      <c r="AP4246" s="4" t="s">
        <v>376</v>
      </c>
      <c r="AR4246" s="4" t="s">
        <v>377</v>
      </c>
    </row>
    <row r="4247" spans="1:44" ht="30">
      <c r="A4247" s="4" t="s">
        <v>5</v>
      </c>
      <c r="B4247" s="4">
        <v>34743</v>
      </c>
      <c r="C4247" s="4">
        <v>1839</v>
      </c>
      <c r="D4247" s="5" t="s">
        <v>6257</v>
      </c>
      <c r="E4247" s="6" t="str">
        <f>HYPERLINK("https://inpn.mnhn.fr/espece/cd_nom/34743","Cortinarius croceocaeruleus (Pers.) Fr., 1861")</f>
        <v>Cortinarius croceocaeruleus (Pers.) Fr., 1861</v>
      </c>
      <c r="F4247" s="5" t="s">
        <v>6258</v>
      </c>
      <c r="V4247" s="7" t="str">
        <f>HYPERLINK("#Liste_rouge!A"&amp;_xlfn.XMATCH("NT",Liste_rouge!A:A,2,1),"NT")</f>
        <v>NT</v>
      </c>
      <c r="W4247" s="4" t="str">
        <f>HYPERLINK("#Critères_liste_rouge!A$1","pr. B2abiii")</f>
        <v>pr. B2abiii</v>
      </c>
      <c r="Z4247" s="4" t="s">
        <v>447</v>
      </c>
      <c r="AA4247" s="4" t="s">
        <v>448</v>
      </c>
      <c r="AH4247" s="4" t="str">
        <f>HYPERLINK("#Statut_biogéographique!A"&amp;_xlfn.XMATCH("P",Statut_biogéographique!A:A,2,1),"P")</f>
        <v>P</v>
      </c>
      <c r="AP4247" s="4" t="s">
        <v>376</v>
      </c>
      <c r="AR4247" s="4" t="s">
        <v>377</v>
      </c>
    </row>
    <row r="4248" spans="1:44">
      <c r="A4248" s="4" t="s">
        <v>5</v>
      </c>
      <c r="B4248" s="4">
        <v>34746</v>
      </c>
      <c r="C4248" s="4">
        <v>3225</v>
      </c>
      <c r="D4248" s="5" t="s">
        <v>6259</v>
      </c>
      <c r="E4248" s="6" t="str">
        <f>HYPERLINK("https://inpn.mnhn.fr/espece/cd_nom/34746","Cortinarius croceoconus Fr., 1863")</f>
        <v>Cortinarius croceoconus Fr., 1863</v>
      </c>
      <c r="V4248" s="7" t="str">
        <f>HYPERLINK("#Liste_rouge!A"&amp;_xlfn.XMATCH("LC",Liste_rouge!A:A,2,1),"LC")</f>
        <v>LC</v>
      </c>
      <c r="AH4248" s="4" t="str">
        <f>HYPERLINK("#Statut_biogéographique!A"&amp;_xlfn.XMATCH("P",Statut_biogéographique!A:A,2,1),"P")</f>
        <v>P</v>
      </c>
      <c r="AP4248" s="4" t="s">
        <v>376</v>
      </c>
      <c r="AR4248" s="4" t="s">
        <v>377</v>
      </c>
    </row>
    <row r="4249" spans="1:44" ht="30">
      <c r="A4249" s="4" t="s">
        <v>5</v>
      </c>
      <c r="B4249" s="4">
        <v>34751</v>
      </c>
      <c r="C4249" s="4">
        <v>1907</v>
      </c>
      <c r="D4249" s="5" t="s">
        <v>6260</v>
      </c>
      <c r="E4249" s="6" t="str">
        <f>HYPERLINK("https://inpn.mnhn.fr/espece/cd_nom/34751","Cortinarius croceus (Schaeff.) Gray, 1821")</f>
        <v>Cortinarius croceus (Schaeff.) Gray, 1821</v>
      </c>
      <c r="F4249" s="5" t="s">
        <v>6261</v>
      </c>
      <c r="V4249" s="7" t="str">
        <f>HYPERLINK("#Liste_rouge!A"&amp;_xlfn.XMATCH("LC",Liste_rouge!A:A,2,1),"LC")</f>
        <v>LC</v>
      </c>
      <c r="AH4249" s="4" t="str">
        <f>HYPERLINK("#Statut_biogéographique!A"&amp;_xlfn.XMATCH("P",Statut_biogéographique!A:A,2,1),"P")</f>
        <v>P</v>
      </c>
      <c r="AP4249" s="4" t="s">
        <v>376</v>
      </c>
      <c r="AR4249" s="4" t="s">
        <v>377</v>
      </c>
    </row>
    <row r="4250" spans="1:44">
      <c r="A4250" s="4" t="s">
        <v>5</v>
      </c>
      <c r="B4250" s="4">
        <v>34756</v>
      </c>
      <c r="C4250" s="4">
        <v>4076</v>
      </c>
      <c r="D4250" s="5" t="s">
        <v>6262</v>
      </c>
      <c r="E4250" s="6" t="str">
        <f>HYPERLINK("https://inpn.mnhn.fr/espece/cd_nom/34756","Cortinarius triumphans f. minor Fr.")</f>
        <v>Cortinarius triumphans f. minor Fr.</v>
      </c>
      <c r="F4250" s="5" t="s">
        <v>6263</v>
      </c>
      <c r="V4250" s="7" t="str">
        <f>HYPERLINK("#Liste_rouge!A"&amp;_xlfn.XMATCH("DD",Liste_rouge!A:A,2,1),"DD")</f>
        <v>DD</v>
      </c>
      <c r="AH4250" s="4" t="str">
        <f>HYPERLINK("#Statut_biogéographique!A"&amp;_xlfn.XMATCH("P",Statut_biogéographique!A:A,2,1),"P")</f>
        <v>P</v>
      </c>
      <c r="AP4250" s="4" t="s">
        <v>376</v>
      </c>
      <c r="AR4250" s="4" t="s">
        <v>377</v>
      </c>
    </row>
    <row r="4251" spans="1:44" ht="30">
      <c r="A4251" s="4" t="s">
        <v>5</v>
      </c>
      <c r="B4251" s="4">
        <v>34757</v>
      </c>
      <c r="C4251" s="4">
        <v>3151</v>
      </c>
      <c r="D4251" s="5" t="s">
        <v>6264</v>
      </c>
      <c r="E4251" s="6" t="str">
        <f>HYPERLINK("https://inpn.mnhn.fr/espece/cd_nom/34757","Cortinarius cruentus Bidaud &amp; Reumaux, 1994")</f>
        <v>Cortinarius cruentus Bidaud &amp; Reumaux, 1994</v>
      </c>
      <c r="V4251" s="7" t="str">
        <f>HYPERLINK("#Liste_rouge!A"&amp;_xlfn.XMATCH("DD",Liste_rouge!A:A,2,1),"DD")</f>
        <v>DD</v>
      </c>
      <c r="AH4251" s="4" t="str">
        <f>HYPERLINK("#Statut_biogéographique!A"&amp;_xlfn.XMATCH("P",Statut_biogéographique!A:A,2,1),"P")</f>
        <v>P</v>
      </c>
      <c r="AP4251" s="4" t="s">
        <v>376</v>
      </c>
      <c r="AR4251" s="4" t="s">
        <v>377</v>
      </c>
    </row>
    <row r="4252" spans="1:44">
      <c r="A4252" s="4" t="s">
        <v>5</v>
      </c>
      <c r="B4252" s="4">
        <v>34760</v>
      </c>
      <c r="C4252" s="4">
        <v>1851</v>
      </c>
      <c r="D4252" s="5">
        <v>510662</v>
      </c>
      <c r="E4252" s="6" t="str">
        <f>HYPERLINK("https://inpn.mnhn.fr/espece/cd_nom/34760","Cortinarius caesiocyaneus Britzelm., 1895")</f>
        <v>Cortinarius caesiocyaneus Britzelm., 1895</v>
      </c>
      <c r="F4252" s="5" t="s">
        <v>6108</v>
      </c>
      <c r="V4252" s="7" t="str">
        <f>HYPERLINK("#Liste_rouge!A"&amp;_xlfn.XMATCH("LC",Liste_rouge!A:A,2,1),"LC")</f>
        <v>LC</v>
      </c>
      <c r="Z4252" s="4" t="s">
        <v>443</v>
      </c>
      <c r="AA4252" s="4" t="s">
        <v>444</v>
      </c>
      <c r="AH4252" s="4" t="str">
        <f>HYPERLINK("#Statut_biogéographique!A"&amp;_xlfn.XMATCH("P",Statut_biogéographique!A:A,2,1),"P")</f>
        <v>P</v>
      </c>
      <c r="AP4252" s="4" t="s">
        <v>376</v>
      </c>
      <c r="AR4252" s="4" t="s">
        <v>377</v>
      </c>
    </row>
    <row r="4253" spans="1:44" ht="30">
      <c r="A4253" s="4" t="s">
        <v>5</v>
      </c>
      <c r="B4253" s="4">
        <v>34763</v>
      </c>
      <c r="C4253" s="4">
        <v>1872</v>
      </c>
      <c r="D4253" s="5" t="s">
        <v>6265</v>
      </c>
      <c r="E4253" s="6" t="str">
        <f>HYPERLINK("https://inpn.mnhn.fr/espece/cd_nom/34763","Cortinarius cumatilis var. caesioalbidus R. Henry ex R. Henry")</f>
        <v>Cortinarius cumatilis var. caesioalbidus R. Henry ex R. Henry</v>
      </c>
      <c r="V4253" s="7" t="str">
        <f>HYPERLINK("#Liste_rouge!A"&amp;_xlfn.XMATCH("DD",Liste_rouge!A:A,2,1),"DD")</f>
        <v>DD</v>
      </c>
      <c r="AH4253" s="4" t="str">
        <f>HYPERLINK("#Statut_biogéographique!A"&amp;_xlfn.XMATCH("P",Statut_biogéographique!A:A,2,1),"P")</f>
        <v>P</v>
      </c>
      <c r="AP4253" s="4" t="s">
        <v>376</v>
      </c>
      <c r="AR4253" s="4" t="s">
        <v>377</v>
      </c>
    </row>
    <row r="4254" spans="1:44" ht="30">
      <c r="A4254" s="4" t="s">
        <v>5</v>
      </c>
      <c r="B4254" s="4">
        <v>34767</v>
      </c>
      <c r="C4254" s="4">
        <v>3046</v>
      </c>
      <c r="D4254" s="5" t="s">
        <v>6266</v>
      </c>
      <c r="E4254" s="6" t="str">
        <f>HYPERLINK("https://inpn.mnhn.fr/espece/cd_nom/34767","Cortinarius cumatilis var. robustus (M.M.Moser) Quadr., 1985")</f>
        <v>Cortinarius cumatilis var. robustus (M.M.Moser) Quadr., 1985</v>
      </c>
      <c r="V4254" s="7" t="str">
        <f>HYPERLINK("#Liste_rouge!A"&amp;_xlfn.XMATCH("DD",Liste_rouge!A:A,2,1),"DD")</f>
        <v>DD</v>
      </c>
      <c r="AH4254" s="4" t="str">
        <f>HYPERLINK("#Statut_biogéographique!A"&amp;_xlfn.XMATCH("P",Statut_biogéographique!A:A,2,1),"P")</f>
        <v>P</v>
      </c>
      <c r="AP4254" s="4" t="s">
        <v>376</v>
      </c>
      <c r="AR4254" s="4" t="s">
        <v>377</v>
      </c>
    </row>
    <row r="4255" spans="1:44">
      <c r="A4255" s="4" t="s">
        <v>5</v>
      </c>
      <c r="B4255" s="4">
        <v>34769</v>
      </c>
      <c r="C4255" s="4">
        <v>647</v>
      </c>
      <c r="D4255" s="5" t="s">
        <v>6267</v>
      </c>
      <c r="E4255" s="6" t="str">
        <f>HYPERLINK("https://inpn.mnhn.fr/espece/cd_nom/34769","Cortinarius cyaneus (Bres.) M.M.Moser, 1967")</f>
        <v>Cortinarius cyaneus (Bres.) M.M.Moser, 1967</v>
      </c>
      <c r="V4255" s="7" t="str">
        <f>HYPERLINK("#Liste_rouge!A"&amp;_xlfn.XMATCH("LC",Liste_rouge!A:A,2,1),"LC")</f>
        <v>LC</v>
      </c>
      <c r="AH4255" s="4" t="str">
        <f>HYPERLINK("#Statut_biogéographique!A"&amp;_xlfn.XMATCH("P",Statut_biogéographique!A:A,2,1),"P")</f>
        <v>P</v>
      </c>
      <c r="AP4255" s="4" t="s">
        <v>376</v>
      </c>
      <c r="AR4255" s="4" t="s">
        <v>377</v>
      </c>
    </row>
    <row r="4256" spans="1:44">
      <c r="A4256" s="4" t="s">
        <v>5</v>
      </c>
      <c r="B4256" s="4">
        <v>34771</v>
      </c>
      <c r="C4256" s="4">
        <v>1841</v>
      </c>
      <c r="D4256" s="5" t="s">
        <v>6268</v>
      </c>
      <c r="E4256" s="6" t="str">
        <f>HYPERLINK("https://inpn.mnhn.fr/espece/cd_nom/34771","Cortinarius cyanites Fr., 1838")</f>
        <v>Cortinarius cyanites Fr., 1838</v>
      </c>
      <c r="V4256" s="7" t="str">
        <f>HYPERLINK("#Liste_rouge!A"&amp;_xlfn.XMATCH("LC",Liste_rouge!A:A,2,1),"LC")</f>
        <v>LC</v>
      </c>
      <c r="AH4256" s="4" t="str">
        <f>HYPERLINK("#Statut_biogéographique!A"&amp;_xlfn.XMATCH("P",Statut_biogéographique!A:A,2,1),"P")</f>
        <v>P</v>
      </c>
      <c r="AP4256" s="4" t="s">
        <v>376</v>
      </c>
      <c r="AR4256" s="4" t="s">
        <v>377</v>
      </c>
    </row>
    <row r="4257" spans="1:44">
      <c r="A4257" s="4" t="s">
        <v>5</v>
      </c>
      <c r="B4257" s="4">
        <v>34774</v>
      </c>
      <c r="C4257" s="4">
        <v>1842</v>
      </c>
      <c r="D4257" s="5" t="s">
        <v>6269</v>
      </c>
      <c r="E4257" s="6" t="str">
        <f>HYPERLINK("https://inpn.mnhn.fr/espece/cd_nom/34774","Cortinarius cyanobasalis Rob.Henry, 1986")</f>
        <v>Cortinarius cyanobasalis Rob.Henry, 1986</v>
      </c>
      <c r="V4257" s="7" t="str">
        <f>HYPERLINK("#Liste_rouge!A"&amp;_xlfn.XMATCH("EN",Liste_rouge!A:A,2,1),"EN")</f>
        <v>EN</v>
      </c>
      <c r="W4257" s="4" t="str">
        <f>HYPERLINK("#Critères_liste_rouge!A$1","B2abiii")</f>
        <v>B2abiii</v>
      </c>
      <c r="Z4257" s="4" t="s">
        <v>443</v>
      </c>
      <c r="AA4257" s="4" t="s">
        <v>444</v>
      </c>
      <c r="AH4257" s="4" t="str">
        <f>HYPERLINK("#Statut_biogéographique!A"&amp;_xlfn.XMATCH("P",Statut_biogéographique!A:A,2,1),"P")</f>
        <v>P</v>
      </c>
      <c r="AP4257" s="4" t="s">
        <v>376</v>
      </c>
      <c r="AR4257" s="4" t="s">
        <v>377</v>
      </c>
    </row>
    <row r="4258" spans="1:44">
      <c r="A4258" s="4" t="s">
        <v>5</v>
      </c>
      <c r="B4258" s="4">
        <v>34778</v>
      </c>
      <c r="C4258" s="4">
        <v>5432</v>
      </c>
      <c r="D4258" s="5" t="s">
        <v>6270</v>
      </c>
      <c r="E4258" s="6" t="str">
        <f>HYPERLINK("https://inpn.mnhn.fr/espece/cd_nom/34778","Cortinarius subumbilicatus Rob.Henry, 1952")</f>
        <v>Cortinarius subumbilicatus Rob.Henry, 1952</v>
      </c>
      <c r="V4258" s="7" t="str">
        <f>HYPERLINK("#Liste_rouge!A"&amp;_xlfn.XMATCH("DD",Liste_rouge!A:A,2,1),"DD")</f>
        <v>DD</v>
      </c>
      <c r="AH4258" s="4" t="str">
        <f>HYPERLINK("#Statut_biogéographique!A"&amp;_xlfn.XMATCH("P",Statut_biogéographique!A:A,2,1),"P")</f>
        <v>P</v>
      </c>
      <c r="AP4258" s="4" t="s">
        <v>376</v>
      </c>
      <c r="AR4258" s="4" t="s">
        <v>377</v>
      </c>
    </row>
    <row r="4259" spans="1:44">
      <c r="A4259" s="4" t="s">
        <v>5</v>
      </c>
      <c r="B4259" s="4">
        <v>34780</v>
      </c>
      <c r="C4259" s="4">
        <v>2431</v>
      </c>
      <c r="D4259" s="5" t="s">
        <v>6271</v>
      </c>
      <c r="E4259" s="6" t="str">
        <f>HYPERLINK("https://inpn.mnhn.fr/espece/cd_nom/34780","Cortinarius cypriacus Fr., 1838")</f>
        <v>Cortinarius cypriacus Fr., 1838</v>
      </c>
      <c r="V4259" s="7" t="str">
        <f>HYPERLINK("#Liste_rouge!A"&amp;_xlfn.XMATCH("LC",Liste_rouge!A:A,2,1),"LC")</f>
        <v>LC</v>
      </c>
      <c r="AH4259" s="4" t="str">
        <f>HYPERLINK("#Statut_biogéographique!A"&amp;_xlfn.XMATCH("P",Statut_biogéographique!A:A,2,1),"P")</f>
        <v>P</v>
      </c>
      <c r="AP4259" s="4" t="s">
        <v>376</v>
      </c>
      <c r="AR4259" s="4" t="s">
        <v>377</v>
      </c>
    </row>
    <row r="4260" spans="1:44">
      <c r="A4260" s="4" t="s">
        <v>5</v>
      </c>
      <c r="B4260" s="4">
        <v>34783</v>
      </c>
      <c r="C4260" s="4">
        <v>3047</v>
      </c>
      <c r="D4260" s="5" t="s">
        <v>6272</v>
      </c>
      <c r="E4260" s="6" t="str">
        <f>HYPERLINK("https://inpn.mnhn.fr/espece/cd_nom/34783","Cortinarius dalecarlicus Brandrud, 1992")</f>
        <v>Cortinarius dalecarlicus Brandrud, 1992</v>
      </c>
      <c r="O4260" s="7" t="str">
        <f>HYPERLINK("#Liste_rouge!A"&amp;_xlfn.XMATCH("VU",Liste_rouge!A:A,2,1),"VU")</f>
        <v>VU</v>
      </c>
      <c r="V4260" s="7" t="str">
        <f>HYPERLINK("#Liste_rouge!A"&amp;_xlfn.XMATCH("DD",Liste_rouge!A:A,2,1),"DD")</f>
        <v>DD</v>
      </c>
      <c r="Z4260" s="4" t="s">
        <v>443</v>
      </c>
      <c r="AA4260" s="4" t="s">
        <v>444</v>
      </c>
      <c r="AH4260" s="4" t="str">
        <f>HYPERLINK("#Statut_biogéographique!A"&amp;_xlfn.XMATCH("P",Statut_biogéographique!A:A,2,1),"P")</f>
        <v>P</v>
      </c>
      <c r="AP4260" s="4" t="s">
        <v>376</v>
      </c>
      <c r="AR4260" s="4" t="s">
        <v>377</v>
      </c>
    </row>
    <row r="4261" spans="1:44">
      <c r="A4261" s="4" t="s">
        <v>5</v>
      </c>
      <c r="B4261" s="4">
        <v>34785</v>
      </c>
      <c r="C4261" s="4">
        <v>4075</v>
      </c>
      <c r="D4261" s="5" t="s">
        <v>6273</v>
      </c>
      <c r="E4261" s="6" t="str">
        <f>HYPERLINK("https://inpn.mnhn.fr/espece/cd_nom/34785","Cortinarius damascenus Fr., 1838")</f>
        <v>Cortinarius damascenus Fr., 1838</v>
      </c>
      <c r="V4261" s="7" t="str">
        <f>HYPERLINK("#Liste_rouge!A"&amp;_xlfn.XMATCH("EN",Liste_rouge!A:A,2,1),"EN")</f>
        <v>EN</v>
      </c>
      <c r="W4261" s="4" t="str">
        <f>HYPERLINK("#Critères_liste_rouge!A$1","B2abiii")</f>
        <v>B2abiii</v>
      </c>
      <c r="Z4261" s="4" t="s">
        <v>443</v>
      </c>
      <c r="AA4261" s="4" t="s">
        <v>444</v>
      </c>
      <c r="AH4261" s="4" t="str">
        <f>HYPERLINK("#Statut_biogéographique!A"&amp;_xlfn.XMATCH("P",Statut_biogéographique!A:A,2,1),"P")</f>
        <v>P</v>
      </c>
      <c r="AP4261" s="4" t="s">
        <v>376</v>
      </c>
      <c r="AR4261" s="4" t="s">
        <v>377</v>
      </c>
    </row>
    <row r="4262" spans="1:44">
      <c r="A4262" s="4" t="s">
        <v>5</v>
      </c>
      <c r="B4262" s="4">
        <v>34795</v>
      </c>
      <c r="C4262" s="4">
        <v>3962</v>
      </c>
      <c r="D4262" s="5" t="s">
        <v>6274</v>
      </c>
      <c r="E4262" s="6" t="str">
        <f>HYPERLINK("https://inpn.mnhn.fr/espece/cd_nom/34795","Cortinarius deceptivus Kauffman, 1905")</f>
        <v>Cortinarius deceptivus Kauffman, 1905</v>
      </c>
      <c r="V4262" s="7" t="str">
        <f>HYPERLINK("#Liste_rouge!A"&amp;_xlfn.XMATCH("DD",Liste_rouge!A:A,2,1),"DD")</f>
        <v>DD</v>
      </c>
      <c r="Z4262" s="4" t="s">
        <v>443</v>
      </c>
      <c r="AA4262" s="4" t="s">
        <v>444</v>
      </c>
      <c r="AH4262" s="4" t="str">
        <f>HYPERLINK("#Statut_biogéographique!A"&amp;_xlfn.XMATCH("P",Statut_biogéographique!A:A,2,1),"P")</f>
        <v>P</v>
      </c>
      <c r="AP4262" s="4" t="s">
        <v>376</v>
      </c>
      <c r="AR4262" s="4" t="s">
        <v>377</v>
      </c>
    </row>
    <row r="4263" spans="1:44">
      <c r="A4263" s="4" t="s">
        <v>5</v>
      </c>
      <c r="B4263" s="4">
        <v>34802</v>
      </c>
      <c r="C4263" s="4">
        <v>5802</v>
      </c>
      <c r="D4263" s="5" t="s">
        <v>6275</v>
      </c>
      <c r="E4263" s="6" t="str">
        <f>HYPERLINK("https://inpn.mnhn.fr/espece/cd_nom/34802","Cortinarius decoloratus (Fr.) Fr., 1838")</f>
        <v>Cortinarius decoloratus (Fr.) Fr., 1838</v>
      </c>
      <c r="AH4263" s="4" t="str">
        <f>HYPERLINK("#Statut_biogéographique!A"&amp;_xlfn.XMATCH("P",Statut_biogéographique!A:A,2,1),"P")</f>
        <v>P</v>
      </c>
      <c r="AP4263" s="4" t="s">
        <v>376</v>
      </c>
      <c r="AR4263" s="4" t="s">
        <v>377</v>
      </c>
    </row>
    <row r="4264" spans="1:44">
      <c r="A4264" s="4" t="s">
        <v>5</v>
      </c>
      <c r="B4264" s="4">
        <v>34807</v>
      </c>
      <c r="C4264" s="4">
        <v>1525</v>
      </c>
      <c r="D4264" s="5" t="s">
        <v>6276</v>
      </c>
      <c r="E4264" s="6" t="str">
        <f>HYPERLINK("https://inpn.mnhn.fr/espece/cd_nom/34807","Cortinarius delaportei Rob.Henry, 1988")</f>
        <v>Cortinarius delaportei Rob.Henry, 1988</v>
      </c>
      <c r="V4264" s="7" t="str">
        <f>HYPERLINK("#Liste_rouge!A"&amp;_xlfn.XMATCH("LC",Liste_rouge!A:A,2,1),"LC")</f>
        <v>LC</v>
      </c>
      <c r="AH4264" s="4" t="str">
        <f>HYPERLINK("#Statut_biogéographique!A"&amp;_xlfn.XMATCH("P",Statut_biogéographique!A:A,2,1),"P")</f>
        <v>P</v>
      </c>
      <c r="AP4264" s="4" t="s">
        <v>376</v>
      </c>
      <c r="AR4264" s="4" t="s">
        <v>377</v>
      </c>
    </row>
    <row r="4265" spans="1:44">
      <c r="A4265" s="4" t="s">
        <v>5</v>
      </c>
      <c r="B4265" s="4">
        <v>34808</v>
      </c>
      <c r="C4265" s="4">
        <v>390</v>
      </c>
      <c r="D4265" s="5" t="s">
        <v>6277</v>
      </c>
      <c r="E4265" s="6" t="str">
        <f>HYPERLINK("https://inpn.mnhn.fr/espece/cd_nom/34808","Cortinarius delibutus Fr., 1838")</f>
        <v>Cortinarius delibutus Fr., 1838</v>
      </c>
      <c r="F4265" s="5" t="s">
        <v>6278</v>
      </c>
      <c r="V4265" s="7" t="str">
        <f>HYPERLINK("#Liste_rouge!A"&amp;_xlfn.XMATCH("LC",Liste_rouge!A:A,2,1),"LC")</f>
        <v>LC</v>
      </c>
      <c r="AH4265" s="4" t="str">
        <f>HYPERLINK("#Statut_biogéographique!A"&amp;_xlfn.XMATCH("P",Statut_biogéographique!A:A,2,1),"P")</f>
        <v>P</v>
      </c>
      <c r="AP4265" s="4" t="s">
        <v>376</v>
      </c>
      <c r="AR4265" s="4" t="s">
        <v>377</v>
      </c>
    </row>
    <row r="4266" spans="1:44" ht="30">
      <c r="A4266" s="4" t="s">
        <v>5</v>
      </c>
      <c r="B4266" s="4">
        <v>34812</v>
      </c>
      <c r="C4266" s="4">
        <v>6036</v>
      </c>
      <c r="D4266" s="5" t="s">
        <v>6279</v>
      </c>
      <c r="E4266" s="6" t="str">
        <f>HYPERLINK("https://inpn.mnhn.fr/espece/cd_nom/34812","Cortinarius delibutus var. fulvoluteus (Britzelm.) Moënne-Locc. &amp; Reumaux, 1991")</f>
        <v>Cortinarius delibutus var. fulvoluteus (Britzelm.) Moënne-Locc. &amp; Reumaux, 1991</v>
      </c>
      <c r="AH4266" s="4" t="str">
        <f>HYPERLINK("#Statut_biogéographique!A"&amp;_xlfn.XMATCH("P",Statut_biogéographique!A:A,2,1),"P")</f>
        <v>P</v>
      </c>
      <c r="AP4266" s="4" t="s">
        <v>376</v>
      </c>
      <c r="AR4266" s="4" t="s">
        <v>377</v>
      </c>
    </row>
    <row r="4267" spans="1:44">
      <c r="A4267" s="4" t="s">
        <v>5</v>
      </c>
      <c r="B4267" s="4">
        <v>34815</v>
      </c>
      <c r="C4267" s="4">
        <v>3698</v>
      </c>
      <c r="D4267" s="5" t="s">
        <v>6280</v>
      </c>
      <c r="E4267" s="6" t="str">
        <f>HYPERLINK("https://inpn.mnhn.fr/espece/cd_nom/34815","Cortinarius illibatus Fr., 1838")</f>
        <v>Cortinarius illibatus Fr., 1838</v>
      </c>
      <c r="V4267" s="7" t="str">
        <f>HYPERLINK("#Liste_rouge!A"&amp;_xlfn.XMATCH("DD",Liste_rouge!A:A,2,1),"DD")</f>
        <v>DD</v>
      </c>
      <c r="AH4267" s="4" t="str">
        <f>HYPERLINK("#Statut_biogéographique!A"&amp;_xlfn.XMATCH("P",Statut_biogéographique!A:A,2,1),"P")</f>
        <v>P</v>
      </c>
      <c r="AP4267" s="4" t="s">
        <v>376</v>
      </c>
      <c r="AR4267" s="4" t="s">
        <v>377</v>
      </c>
    </row>
    <row r="4268" spans="1:44" ht="30">
      <c r="A4268" s="4" t="s">
        <v>5</v>
      </c>
      <c r="B4268" s="4">
        <v>34816</v>
      </c>
      <c r="C4268" s="4">
        <v>1863</v>
      </c>
      <c r="D4268" s="5" t="s">
        <v>6281</v>
      </c>
      <c r="E4268" s="6" t="str">
        <f>HYPERLINK("https://inpn.mnhn.fr/espece/cd_nom/34816","Cortinarius delibutus var. naevosus (Fr.) Moënne-Locc. &amp; Reumaux, 1991")</f>
        <v>Cortinarius delibutus var. naevosus (Fr.) Moënne-Locc. &amp; Reumaux, 1991</v>
      </c>
      <c r="V4268" s="7" t="str">
        <f>HYPERLINK("#Liste_rouge!A"&amp;_xlfn.XMATCH("DD",Liste_rouge!A:A,2,1),"DD")</f>
        <v>DD</v>
      </c>
      <c r="AH4268" s="4" t="str">
        <f>HYPERLINK("#Statut_biogéographique!A"&amp;_xlfn.XMATCH("P",Statut_biogéographique!A:A,2,1),"P")</f>
        <v>P</v>
      </c>
      <c r="AP4268" s="4" t="s">
        <v>376</v>
      </c>
      <c r="AR4268" s="4" t="s">
        <v>377</v>
      </c>
    </row>
    <row r="4269" spans="1:44" ht="30">
      <c r="A4269" s="4" t="s">
        <v>5</v>
      </c>
      <c r="B4269" s="4">
        <v>34818</v>
      </c>
      <c r="C4269" s="4">
        <v>3552</v>
      </c>
      <c r="D4269" s="5" t="s">
        <v>6282</v>
      </c>
      <c r="E4269" s="6" t="str">
        <f>HYPERLINK("https://inpn.mnhn.fr/espece/cd_nom/34818","Cortinarius delibutus f. suratoides Moënne-Locc. &amp; Remaux, 1991")</f>
        <v>Cortinarius delibutus f. suratoides Moënne-Locc. &amp; Remaux, 1991</v>
      </c>
      <c r="V4269" s="7" t="str">
        <f>HYPERLINK("#Liste_rouge!A"&amp;_xlfn.XMATCH("DD",Liste_rouge!A:A,2,1),"DD")</f>
        <v>DD</v>
      </c>
      <c r="AH4269" s="4" t="str">
        <f>HYPERLINK("#Statut_biogéographique!A"&amp;_xlfn.XMATCH("P",Statut_biogéographique!A:A,2,1),"P")</f>
        <v>P</v>
      </c>
      <c r="AP4269" s="4" t="s">
        <v>376</v>
      </c>
      <c r="AR4269" s="4" t="s">
        <v>377</v>
      </c>
    </row>
    <row r="4270" spans="1:44" ht="30">
      <c r="A4270" s="4" t="s">
        <v>5</v>
      </c>
      <c r="B4270" s="4">
        <v>34820</v>
      </c>
      <c r="C4270" s="4">
        <v>3483</v>
      </c>
      <c r="D4270" s="5" t="s">
        <v>6283</v>
      </c>
      <c r="E4270" s="6" t="str">
        <f>HYPERLINK("https://inpn.mnhn.fr/espece/cd_nom/34820","Cortinarius depallens (M.M.Moser) Bidaud, Moënne-Locc. &amp; Reumaux, 1993")</f>
        <v>Cortinarius depallens (M.M.Moser) Bidaud, Moënne-Locc. &amp; Reumaux, 1993</v>
      </c>
      <c r="F4270" s="5" t="s">
        <v>6108</v>
      </c>
      <c r="V4270" s="7" t="str">
        <f>HYPERLINK("#Liste_rouge!A"&amp;_xlfn.XMATCH("DD",Liste_rouge!A:A,2,1),"DD")</f>
        <v>DD</v>
      </c>
      <c r="AH4270" s="4" t="str">
        <f>HYPERLINK("#Statut_biogéographique!A"&amp;_xlfn.XMATCH("P",Statut_biogéographique!A:A,2,1),"P")</f>
        <v>P</v>
      </c>
      <c r="AP4270" s="4" t="s">
        <v>376</v>
      </c>
      <c r="AR4270" s="4" t="s">
        <v>377</v>
      </c>
    </row>
    <row r="4271" spans="1:44" ht="30">
      <c r="A4271" s="4" t="s">
        <v>5</v>
      </c>
      <c r="B4271" s="4">
        <v>34822</v>
      </c>
      <c r="C4271" s="4">
        <v>4674</v>
      </c>
      <c r="D4271" s="5" t="s">
        <v>6284</v>
      </c>
      <c r="E4271" s="6" t="str">
        <f>HYPERLINK("https://inpn.mnhn.fr/espece/cd_nom/34822","Cortinarius depauperatus (J.E.Lange) Soop, 1990")</f>
        <v>Cortinarius depauperatus (J.E.Lange) Soop, 1990</v>
      </c>
      <c r="V4271" s="7" t="str">
        <f>HYPERLINK("#Liste_rouge!A"&amp;_xlfn.XMATCH("DD",Liste_rouge!A:A,2,1),"DD")</f>
        <v>DD</v>
      </c>
      <c r="AH4271" s="4" t="str">
        <f>HYPERLINK("#Statut_biogéographique!A"&amp;_xlfn.XMATCH("P",Statut_biogéographique!A:A,2,1),"P")</f>
        <v>P</v>
      </c>
      <c r="AP4271" s="4" t="s">
        <v>376</v>
      </c>
      <c r="AR4271" s="4" t="s">
        <v>377</v>
      </c>
    </row>
    <row r="4272" spans="1:44">
      <c r="A4272" s="4" t="s">
        <v>5</v>
      </c>
      <c r="B4272" s="4">
        <v>34825</v>
      </c>
      <c r="C4272" s="4">
        <v>638</v>
      </c>
      <c r="D4272" s="5" t="s">
        <v>6285</v>
      </c>
      <c r="E4272" s="6" t="str">
        <f>HYPERLINK("https://inpn.mnhn.fr/espece/cd_nom/34825","Cortinarius depressus Fr., 1838")</f>
        <v>Cortinarius depressus Fr., 1838</v>
      </c>
      <c r="V4272" s="7" t="str">
        <f>HYPERLINK("#Liste_rouge!A"&amp;_xlfn.XMATCH("EN",Liste_rouge!A:A,2,1),"EN")</f>
        <v>EN</v>
      </c>
      <c r="W4272" s="4" t="str">
        <f>HYPERLINK("#Critères_liste_rouge!A$1","B2abiii")</f>
        <v>B2abiii</v>
      </c>
      <c r="Z4272" s="4" t="s">
        <v>447</v>
      </c>
      <c r="AA4272" s="4" t="s">
        <v>448</v>
      </c>
      <c r="AH4272" s="4" t="str">
        <f>HYPERLINK("#Statut_biogéographique!A"&amp;_xlfn.XMATCH("P",Statut_biogéographique!A:A,2,1),"P")</f>
        <v>P</v>
      </c>
      <c r="AP4272" s="4" t="s">
        <v>376</v>
      </c>
      <c r="AR4272" s="4" t="s">
        <v>377</v>
      </c>
    </row>
    <row r="4273" spans="1:44" ht="30">
      <c r="A4273" s="4" t="s">
        <v>5</v>
      </c>
      <c r="B4273" s="4">
        <v>34831</v>
      </c>
      <c r="C4273" s="4">
        <v>1896</v>
      </c>
      <c r="D4273" s="5" t="s">
        <v>6286</v>
      </c>
      <c r="E4273" s="6" t="str">
        <f>HYPERLINK("https://inpn.mnhn.fr/espece/cd_nom/34831","Cortinarius diabolicoides Moënne-Locc. &amp; Reumaux, 1992")</f>
        <v>Cortinarius diabolicoides Moënne-Locc. &amp; Reumaux, 1992</v>
      </c>
      <c r="V4273" s="7" t="str">
        <f>HYPERLINK("#Liste_rouge!A"&amp;_xlfn.XMATCH("LC",Liste_rouge!A:A,2,1),"LC")</f>
        <v>LC</v>
      </c>
      <c r="AH4273" s="4" t="str">
        <f>HYPERLINK("#Statut_biogéographique!A"&amp;_xlfn.XMATCH("P",Statut_biogéographique!A:A,2,1),"P")</f>
        <v>P</v>
      </c>
      <c r="AP4273" s="4" t="s">
        <v>376</v>
      </c>
      <c r="AR4273" s="4" t="s">
        <v>377</v>
      </c>
    </row>
    <row r="4274" spans="1:44">
      <c r="A4274" s="4" t="s">
        <v>5</v>
      </c>
      <c r="B4274" s="4">
        <v>34835</v>
      </c>
      <c r="C4274" s="4">
        <v>3214</v>
      </c>
      <c r="D4274" s="5" t="s">
        <v>6287</v>
      </c>
      <c r="E4274" s="6" t="str">
        <f>HYPERLINK("https://inpn.mnhn.fr/espece/cd_nom/34835","Cortinarius diasemospermus Lamoure, 1978")</f>
        <v>Cortinarius diasemospermus Lamoure, 1978</v>
      </c>
      <c r="V4274" s="7" t="str">
        <f>HYPERLINK("#Liste_rouge!A"&amp;_xlfn.XMATCH("EN",Liste_rouge!A:A,2,1),"EN")</f>
        <v>EN</v>
      </c>
      <c r="W4274" s="4" t="str">
        <f>HYPERLINK("#Critères_liste_rouge!A$1","B2abiii")</f>
        <v>B2abiii</v>
      </c>
      <c r="Z4274" s="4" t="s">
        <v>443</v>
      </c>
      <c r="AA4274" s="4" t="s">
        <v>444</v>
      </c>
      <c r="AH4274" s="4" t="str">
        <f>HYPERLINK("#Statut_biogéographique!A"&amp;_xlfn.XMATCH("P",Statut_biogéographique!A:A,2,1),"P")</f>
        <v>P</v>
      </c>
      <c r="AP4274" s="4" t="s">
        <v>376</v>
      </c>
      <c r="AR4274" s="4" t="s">
        <v>377</v>
      </c>
    </row>
    <row r="4275" spans="1:44" ht="30">
      <c r="A4275" s="4" t="s">
        <v>5</v>
      </c>
      <c r="B4275" s="4">
        <v>34839</v>
      </c>
      <c r="C4275" s="4">
        <v>1844</v>
      </c>
      <c r="D4275" s="5" t="s">
        <v>6288</v>
      </c>
      <c r="E4275" s="6" t="str">
        <f>HYPERLINK("https://inpn.mnhn.fr/espece/cd_nom/34839","Cortinarius dibaphus var. bresadolae (M.M.Moser) Quadr., 1985")</f>
        <v>Cortinarius dibaphus var. bresadolae (M.M.Moser) Quadr., 1985</v>
      </c>
      <c r="V4275" s="7" t="str">
        <f>HYPERLINK("#Liste_rouge!A"&amp;_xlfn.XMATCH("DD",Liste_rouge!A:A,2,1),"DD")</f>
        <v>DD</v>
      </c>
      <c r="AH4275" s="4" t="str">
        <f>HYPERLINK("#Statut_biogéographique!A"&amp;_xlfn.XMATCH("P",Statut_biogéographique!A:A,2,1),"P")</f>
        <v>P</v>
      </c>
      <c r="AP4275" s="4" t="s">
        <v>376</v>
      </c>
      <c r="AR4275" s="4" t="s">
        <v>377</v>
      </c>
    </row>
    <row r="4276" spans="1:44">
      <c r="A4276" s="4" t="s">
        <v>5</v>
      </c>
      <c r="B4276" s="4">
        <v>34843</v>
      </c>
      <c r="C4276" s="4">
        <v>1836</v>
      </c>
      <c r="D4276" s="5" t="s">
        <v>6289</v>
      </c>
      <c r="E4276" s="6" t="str">
        <f>HYPERLINK("https://inpn.mnhn.fr/espece/cd_nom/34843","Cortinarius nemorosus Rob.Henry, 1936")</f>
        <v>Cortinarius nemorosus Rob.Henry, 1936</v>
      </c>
      <c r="V4276" s="7" t="str">
        <f>HYPERLINK("#Liste_rouge!A"&amp;_xlfn.XMATCH("DD",Liste_rouge!A:A,2,1),"DD")</f>
        <v>DD</v>
      </c>
      <c r="AH4276" s="4" t="str">
        <f>HYPERLINK("#Statut_biogéographique!A"&amp;_xlfn.XMATCH("P",Statut_biogéographique!A:A,2,1),"P")</f>
        <v>P</v>
      </c>
      <c r="AP4276" s="4" t="s">
        <v>376</v>
      </c>
      <c r="AR4276" s="4" t="s">
        <v>377</v>
      </c>
    </row>
    <row r="4277" spans="1:44">
      <c r="A4277" s="4" t="s">
        <v>5</v>
      </c>
      <c r="B4277" s="4">
        <v>34845</v>
      </c>
      <c r="C4277" s="4">
        <v>3953</v>
      </c>
      <c r="D4277" s="5" t="s">
        <v>6290</v>
      </c>
      <c r="E4277" s="6" t="str">
        <f>HYPERLINK("https://inpn.mnhn.fr/espece/cd_nom/34845","Cortinarius dilutus (Pers.) Fr., 1838")</f>
        <v>Cortinarius dilutus (Pers.) Fr., 1838</v>
      </c>
      <c r="V4277" s="7" t="str">
        <f>HYPERLINK("#Liste_rouge!A"&amp;_xlfn.XMATCH("DD",Liste_rouge!A:A,2,1),"DD")</f>
        <v>DD</v>
      </c>
      <c r="Z4277" s="4" t="s">
        <v>443</v>
      </c>
      <c r="AA4277" s="4" t="s">
        <v>444</v>
      </c>
      <c r="AH4277" s="4" t="str">
        <f>HYPERLINK("#Statut_biogéographique!A"&amp;_xlfn.XMATCH("P",Statut_biogéographique!A:A,2,1),"P")</f>
        <v>P</v>
      </c>
      <c r="AP4277" s="4" t="s">
        <v>376</v>
      </c>
      <c r="AR4277" s="4" t="s">
        <v>377</v>
      </c>
    </row>
    <row r="4278" spans="1:44">
      <c r="A4278" s="4" t="s">
        <v>5</v>
      </c>
      <c r="B4278" s="4">
        <v>34848</v>
      </c>
      <c r="C4278" s="4">
        <v>1833</v>
      </c>
      <c r="D4278" s="5" t="s">
        <v>6291</v>
      </c>
      <c r="E4278" s="6" t="str">
        <f>HYPERLINK("https://inpn.mnhn.fr/espece/cd_nom/34848","Cortinarius dionysae Rob.Henry, 1933")</f>
        <v>Cortinarius dionysae Rob.Henry, 1933</v>
      </c>
      <c r="F4278" s="5" t="s">
        <v>6292</v>
      </c>
      <c r="V4278" s="7" t="str">
        <f>HYPERLINK("#Liste_rouge!A"&amp;_xlfn.XMATCH("LC",Liste_rouge!A:A,2,1),"LC")</f>
        <v>LC</v>
      </c>
      <c r="AH4278" s="4" t="str">
        <f>HYPERLINK("#Statut_biogéographique!A"&amp;_xlfn.XMATCH("P",Statut_biogéographique!A:A,2,1),"P")</f>
        <v>P</v>
      </c>
      <c r="AP4278" s="4" t="s">
        <v>376</v>
      </c>
      <c r="AR4278" s="4" t="s">
        <v>377</v>
      </c>
    </row>
    <row r="4279" spans="1:44">
      <c r="A4279" s="4" t="s">
        <v>5</v>
      </c>
      <c r="B4279" s="4">
        <v>34851</v>
      </c>
      <c r="C4279" s="4">
        <v>847</v>
      </c>
      <c r="D4279" s="5" t="s">
        <v>6293</v>
      </c>
      <c r="E4279" s="6" t="str">
        <f>HYPERLINK("https://inpn.mnhn.fr/espece/cd_nom/34851","Cortinarius diosmus Kühner, 1955")</f>
        <v>Cortinarius diosmus Kühner, 1955</v>
      </c>
      <c r="F4279" s="5" t="s">
        <v>6294</v>
      </c>
      <c r="V4279" s="7" t="str">
        <f>HYPERLINK("#Liste_rouge!A"&amp;_xlfn.XMATCH("LC",Liste_rouge!A:A,2,1),"LC")</f>
        <v>LC</v>
      </c>
      <c r="AH4279" s="4" t="str">
        <f>HYPERLINK("#Statut_biogéographique!A"&amp;_xlfn.XMATCH("P",Statut_biogéographique!A:A,2,1),"P")</f>
        <v>P</v>
      </c>
      <c r="AP4279" s="4" t="s">
        <v>376</v>
      </c>
      <c r="AR4279" s="4" t="s">
        <v>377</v>
      </c>
    </row>
    <row r="4280" spans="1:44">
      <c r="A4280" s="4" t="s">
        <v>5</v>
      </c>
      <c r="B4280" s="4">
        <v>34855</v>
      </c>
      <c r="C4280" s="4">
        <v>998</v>
      </c>
      <c r="D4280" s="5" t="s">
        <v>6295</v>
      </c>
      <c r="E4280" s="6" t="str">
        <f>HYPERLINK("https://inpn.mnhn.fr/espece/cd_nom/34855","Cortinarius duracinus Fr., 1838")</f>
        <v>Cortinarius duracinus Fr., 1838</v>
      </c>
      <c r="F4280" s="5" t="s">
        <v>6296</v>
      </c>
      <c r="V4280" s="7" t="str">
        <f>HYPERLINK("#Liste_rouge!A"&amp;_xlfn.XMATCH("LC",Liste_rouge!A:A,2,1),"LC")</f>
        <v>LC</v>
      </c>
      <c r="AH4280" s="4" t="str">
        <f>HYPERLINK("#Statut_biogéographique!A"&amp;_xlfn.XMATCH("P",Statut_biogéographique!A:A,2,1),"P")</f>
        <v>P</v>
      </c>
      <c r="AP4280" s="4" t="s">
        <v>376</v>
      </c>
      <c r="AR4280" s="4" t="s">
        <v>377</v>
      </c>
    </row>
    <row r="4281" spans="1:44" ht="30">
      <c r="A4281" s="4" t="s">
        <v>5</v>
      </c>
      <c r="B4281" s="4">
        <v>34859</v>
      </c>
      <c r="C4281" s="4">
        <v>6569</v>
      </c>
      <c r="D4281" s="5" t="s">
        <v>6297</v>
      </c>
      <c r="E4281" s="6" t="str">
        <f>HYPERLINK("https://inpn.mnhn.fr/espece/cd_nom/34859","Cortinarius eburneus (Velen.) Rob.Henry ex Bon, 1985")</f>
        <v>Cortinarius eburneus (Velen.) Rob.Henry ex Bon, 1985</v>
      </c>
      <c r="F4281" s="5" t="s">
        <v>6298</v>
      </c>
      <c r="AH4281" s="4" t="str">
        <f>HYPERLINK("#Statut_biogéographique!A"&amp;_xlfn.XMATCH("P",Statut_biogéographique!A:A,2,1),"P")</f>
        <v>P</v>
      </c>
      <c r="AP4281" s="4" t="s">
        <v>376</v>
      </c>
      <c r="AR4281" s="4" t="s">
        <v>377</v>
      </c>
    </row>
    <row r="4282" spans="1:44">
      <c r="A4282" s="4" t="s">
        <v>5</v>
      </c>
      <c r="B4282" s="4">
        <v>34862</v>
      </c>
      <c r="C4282" s="4">
        <v>6031</v>
      </c>
      <c r="D4282" s="5">
        <v>510717</v>
      </c>
      <c r="E4282" s="6" t="str">
        <f>HYPERLINK("https://inpn.mnhn.fr/espece/cd_nom/34862","Cortinarius ectypus J.Favre, 1960")</f>
        <v>Cortinarius ectypus J.Favre, 1960</v>
      </c>
      <c r="V4282" s="7" t="str">
        <f>HYPERLINK("#Liste_rouge!A"&amp;_xlfn.XMATCH("DD",Liste_rouge!A:A,2,1),"DD")</f>
        <v>DD</v>
      </c>
      <c r="Z4282" s="4" t="s">
        <v>443</v>
      </c>
      <c r="AA4282" s="4" t="s">
        <v>444</v>
      </c>
      <c r="AH4282" s="4" t="str">
        <f>HYPERLINK("#Statut_biogéographique!A"&amp;_xlfn.XMATCH("P",Statut_biogéographique!A:A,2,1),"P")</f>
        <v>P</v>
      </c>
      <c r="AP4282" s="4" t="s">
        <v>376</v>
      </c>
      <c r="AR4282" s="4" t="s">
        <v>377</v>
      </c>
    </row>
    <row r="4283" spans="1:44" ht="30">
      <c r="A4283" s="4" t="s">
        <v>5</v>
      </c>
      <c r="B4283" s="4">
        <v>34869</v>
      </c>
      <c r="C4283" s="4">
        <v>3017</v>
      </c>
      <c r="D4283" s="5" t="s">
        <v>6299</v>
      </c>
      <c r="E4283" s="6" t="str">
        <f>HYPERLINK("https://inpn.mnhn.fr/espece/cd_nom/34869","Cortinarius elegantissimus Rob.Henry, 1989")</f>
        <v>Cortinarius elegantissimus Rob.Henry, 1989</v>
      </c>
      <c r="F4283" s="5" t="s">
        <v>6300</v>
      </c>
      <c r="O4283" s="7" t="str">
        <f>HYPERLINK("#Liste_rouge!A"&amp;_xlfn.XMATCH("NT",Liste_rouge!A:A,2,1),"NT")</f>
        <v>NT</v>
      </c>
      <c r="V4283" s="7" t="str">
        <f>HYPERLINK("#Liste_rouge!A"&amp;_xlfn.XMATCH("LC",Liste_rouge!A:A,2,1),"LC")</f>
        <v>LC</v>
      </c>
      <c r="Z4283" s="4" t="s">
        <v>447</v>
      </c>
      <c r="AA4283" s="4" t="s">
        <v>448</v>
      </c>
      <c r="AH4283" s="4" t="str">
        <f>HYPERLINK("#Statut_biogéographique!A"&amp;_xlfn.XMATCH("P",Statut_biogéographique!A:A,2,1),"P")</f>
        <v>P</v>
      </c>
      <c r="AP4283" s="4" t="s">
        <v>376</v>
      </c>
      <c r="AR4283" s="4" t="s">
        <v>377</v>
      </c>
    </row>
    <row r="4284" spans="1:44">
      <c r="A4284" s="4" t="s">
        <v>5</v>
      </c>
      <c r="B4284" s="4">
        <v>34872</v>
      </c>
      <c r="C4284" s="4">
        <v>4138</v>
      </c>
      <c r="D4284" s="5" t="s">
        <v>6301</v>
      </c>
      <c r="E4284" s="6" t="str">
        <f>HYPERLINK("https://inpn.mnhn.fr/espece/cd_nom/34872","Cortinarius elotus Fr., 1838")</f>
        <v>Cortinarius elotus Fr., 1838</v>
      </c>
      <c r="V4284" s="7" t="str">
        <f>HYPERLINK("#Liste_rouge!A"&amp;_xlfn.XMATCH("DD",Liste_rouge!A:A,2,1),"DD")</f>
        <v>DD</v>
      </c>
      <c r="AH4284" s="4" t="str">
        <f>HYPERLINK("#Statut_biogéographique!A"&amp;_xlfn.XMATCH("P",Statut_biogéographique!A:A,2,1),"P")</f>
        <v>P</v>
      </c>
      <c r="AP4284" s="4" t="s">
        <v>376</v>
      </c>
      <c r="AR4284" s="4" t="s">
        <v>377</v>
      </c>
    </row>
    <row r="4285" spans="1:44">
      <c r="A4285" s="4" t="s">
        <v>5</v>
      </c>
      <c r="B4285" s="4">
        <v>34878</v>
      </c>
      <c r="C4285" s="4">
        <v>2904</v>
      </c>
      <c r="D4285" s="5" t="s">
        <v>6302</v>
      </c>
      <c r="E4285" s="6" t="str">
        <f>HYPERLINK("https://inpn.mnhn.fr/espece/cd_nom/34878","Cortinarius epipoleus Fr., 1838")</f>
        <v>Cortinarius epipoleus Fr., 1838</v>
      </c>
      <c r="V4285" s="7" t="str">
        <f>HYPERLINK("#Liste_rouge!A"&amp;_xlfn.XMATCH("NT",Liste_rouge!A:A,2,1),"NT")</f>
        <v>NT</v>
      </c>
      <c r="W4285" s="4" t="str">
        <f>HYPERLINK("#Critères_liste_rouge!A$1","pr. B2abiii")</f>
        <v>pr. B2abiii</v>
      </c>
      <c r="AH4285" s="4" t="str">
        <f>HYPERLINK("#Statut_biogéographique!A"&amp;_xlfn.XMATCH("P",Statut_biogéographique!A:A,2,1),"P")</f>
        <v>P</v>
      </c>
      <c r="AP4285" s="4" t="s">
        <v>376</v>
      </c>
      <c r="AR4285" s="4" t="s">
        <v>377</v>
      </c>
    </row>
    <row r="4286" spans="1:44" ht="30">
      <c r="A4286" s="4" t="s">
        <v>5</v>
      </c>
      <c r="B4286" s="4">
        <v>34882</v>
      </c>
      <c r="C4286" s="4">
        <v>1892</v>
      </c>
      <c r="D4286" s="5" t="s">
        <v>6303</v>
      </c>
      <c r="E4286" s="6" t="str">
        <f>HYPERLINK("https://inpn.mnhn.fr/espece/cd_nom/34882","Cortinarius caninus var. inflatus Rob.Henry, 1988")</f>
        <v>Cortinarius caninus var. inflatus Rob.Henry, 1988</v>
      </c>
      <c r="V4286" s="7" t="str">
        <f>HYPERLINK("#Liste_rouge!A"&amp;_xlfn.XMATCH("DD",Liste_rouge!A:A,2,1),"DD")</f>
        <v>DD</v>
      </c>
      <c r="W4286" s="4" t="str">
        <f>HYPERLINK("#Critères_liste_rouge!A$1","pr. B2abiii")</f>
        <v>pr. B2abiii</v>
      </c>
      <c r="Z4286" s="4" t="s">
        <v>447</v>
      </c>
      <c r="AA4286" s="4" t="s">
        <v>448</v>
      </c>
      <c r="AH4286" s="4" t="str">
        <f>HYPERLINK("#Statut_biogéographique!A"&amp;_xlfn.XMATCH("P",Statut_biogéographique!A:A,2,1),"P")</f>
        <v>P</v>
      </c>
      <c r="AP4286" s="4" t="s">
        <v>376</v>
      </c>
      <c r="AR4286" s="4" t="s">
        <v>377</v>
      </c>
    </row>
    <row r="4287" spans="1:44">
      <c r="A4287" s="4" t="s">
        <v>5</v>
      </c>
      <c r="B4287" s="4">
        <v>34893</v>
      </c>
      <c r="C4287" s="4">
        <v>3705</v>
      </c>
      <c r="D4287" s="5" t="s">
        <v>6304</v>
      </c>
      <c r="E4287" s="6" t="str">
        <f>HYPERLINK("https://inpn.mnhn.fr/espece/cd_nom/34893","Cortinarius eucaerulescens Rob.Henry, 1989")</f>
        <v>Cortinarius eucaerulescens Rob.Henry, 1989</v>
      </c>
      <c r="V4287" s="7" t="str">
        <f>HYPERLINK("#Liste_rouge!A"&amp;_xlfn.XMATCH("DD",Liste_rouge!A:A,2,1),"DD")</f>
        <v>DD</v>
      </c>
      <c r="AH4287" s="4" t="str">
        <f>HYPERLINK("#Statut_biogéographique!A"&amp;_xlfn.XMATCH("P",Statut_biogéographique!A:A,2,1),"P")</f>
        <v>P</v>
      </c>
      <c r="AP4287" s="4" t="s">
        <v>376</v>
      </c>
      <c r="AR4287" s="4" t="s">
        <v>377</v>
      </c>
    </row>
    <row r="4288" spans="1:44">
      <c r="A4288" s="4" t="s">
        <v>5</v>
      </c>
      <c r="B4288" s="4">
        <v>34896</v>
      </c>
      <c r="C4288" s="4">
        <v>3124</v>
      </c>
      <c r="D4288" s="5" t="s">
        <v>6305</v>
      </c>
      <c r="E4288" s="6" t="str">
        <f>HYPERLINK("https://inpn.mnhn.fr/espece/cd_nom/34896","Cortinarius eufulmineus Rob.Henry, 1952")</f>
        <v>Cortinarius eufulmineus Rob.Henry, 1952</v>
      </c>
      <c r="V4288" s="7" t="str">
        <f>HYPERLINK("#Liste_rouge!A"&amp;_xlfn.XMATCH("EN",Liste_rouge!A:A,2,1),"EN")</f>
        <v>EN</v>
      </c>
      <c r="W4288" s="4" t="str">
        <f>HYPERLINK("#Critères_liste_rouge!A$1","B2abiii")</f>
        <v>B2abiii</v>
      </c>
      <c r="Z4288" s="4" t="s">
        <v>447</v>
      </c>
      <c r="AA4288" s="4" t="s">
        <v>448</v>
      </c>
      <c r="AH4288" s="4" t="str">
        <f>HYPERLINK("#Statut_biogéographique!A"&amp;_xlfn.XMATCH("P",Statut_biogéographique!A:A,2,1),"P")</f>
        <v>P</v>
      </c>
      <c r="AP4288" s="4" t="s">
        <v>376</v>
      </c>
      <c r="AR4288" s="4" t="s">
        <v>377</v>
      </c>
    </row>
    <row r="4289" spans="1:44" ht="30">
      <c r="A4289" s="4" t="s">
        <v>5</v>
      </c>
      <c r="B4289" s="4">
        <v>34898</v>
      </c>
      <c r="C4289" s="4">
        <v>2795</v>
      </c>
      <c r="D4289" s="5" t="s">
        <v>6306</v>
      </c>
      <c r="E4289" s="6" t="str">
        <f>HYPERLINK("https://inpn.mnhn.fr/espece/cd_nom/34898","Cortinarius eumorphus (Pers.) P.Kumm., 1871")</f>
        <v>Cortinarius eumorphus (Pers.) P.Kumm., 1871</v>
      </c>
      <c r="V4289" s="7" t="str">
        <f>HYPERLINK("#Liste_rouge!A"&amp;_xlfn.XMATCH("EN",Liste_rouge!A:A,2,1),"EN")</f>
        <v>EN</v>
      </c>
      <c r="W4289" s="4" t="str">
        <f>HYPERLINK("#Critères_liste_rouge!A$1","B2abiii")</f>
        <v>B2abiii</v>
      </c>
      <c r="Z4289" s="4" t="s">
        <v>443</v>
      </c>
      <c r="AA4289" s="4" t="s">
        <v>444</v>
      </c>
      <c r="AH4289" s="4" t="str">
        <f>HYPERLINK("#Statut_biogéographique!A"&amp;_xlfn.XMATCH("P",Statut_biogéographique!A:A,2,1),"P")</f>
        <v>P</v>
      </c>
      <c r="AP4289" s="4" t="s">
        <v>376</v>
      </c>
      <c r="AR4289" s="4" t="s">
        <v>377</v>
      </c>
    </row>
    <row r="4290" spans="1:44" ht="30">
      <c r="A4290" s="4" t="s">
        <v>5</v>
      </c>
      <c r="B4290" s="4">
        <v>34899</v>
      </c>
      <c r="C4290" s="4">
        <v>3484</v>
      </c>
      <c r="D4290" s="5" t="s">
        <v>6307</v>
      </c>
      <c r="E4290" s="6" t="str">
        <f>HYPERLINK("https://inpn.mnhn.fr/espece/cd_nom/34899","Cortinarius europaeus (M.M.Moser) Bidaud, Moënne-Locc. &amp; Reumaux, 1993")</f>
        <v>Cortinarius europaeus (M.M.Moser) Bidaud, Moënne-Locc. &amp; Reumaux, 1993</v>
      </c>
      <c r="V4290" s="7" t="str">
        <f>HYPERLINK("#Liste_rouge!A"&amp;_xlfn.XMATCH("CR",Liste_rouge!A:A,2,1),"CR")</f>
        <v>CR</v>
      </c>
      <c r="W4290" s="4" t="str">
        <f>HYPERLINK("#Critères_liste_rouge!A$1","B2abiii")</f>
        <v>B2abiii</v>
      </c>
      <c r="Z4290" s="4" t="s">
        <v>695</v>
      </c>
      <c r="AA4290" s="4" t="s">
        <v>696</v>
      </c>
      <c r="AH4290" s="4" t="str">
        <f>HYPERLINK("#Statut_biogéographique!A"&amp;_xlfn.XMATCH("P",Statut_biogéographique!A:A,2,1),"P")</f>
        <v>P</v>
      </c>
      <c r="AP4290" s="4" t="s">
        <v>376</v>
      </c>
      <c r="AR4290" s="4" t="s">
        <v>377</v>
      </c>
    </row>
    <row r="4291" spans="1:44">
      <c r="A4291" s="4" t="s">
        <v>5</v>
      </c>
      <c r="B4291" s="4">
        <v>34901</v>
      </c>
      <c r="C4291" s="4">
        <v>3216</v>
      </c>
      <c r="D4291" s="5" t="s">
        <v>6308</v>
      </c>
      <c r="E4291" s="6" t="str">
        <f>HYPERLINK("https://inpn.mnhn.fr/espece/cd_nom/34901","Cortinarius eustriatulus Rob.Henry, 1985")</f>
        <v>Cortinarius eustriatulus Rob.Henry, 1985</v>
      </c>
      <c r="F4291" s="5" t="s">
        <v>6309</v>
      </c>
      <c r="V4291" s="7" t="str">
        <f>HYPERLINK("#Liste_rouge!A"&amp;_xlfn.XMATCH("EN",Liste_rouge!A:A,2,1),"EN")</f>
        <v>EN</v>
      </c>
      <c r="W4291" s="4" t="str">
        <f>HYPERLINK("#Critères_liste_rouge!A$1","B2abiii")</f>
        <v>B2abiii</v>
      </c>
      <c r="Z4291" s="4" t="s">
        <v>443</v>
      </c>
      <c r="AA4291" s="4" t="s">
        <v>444</v>
      </c>
      <c r="AH4291" s="4" t="str">
        <f>HYPERLINK("#Statut_biogéographique!A"&amp;_xlfn.XMATCH("P",Statut_biogéographique!A:A,2,1),"P")</f>
        <v>P</v>
      </c>
      <c r="AP4291" s="4" t="s">
        <v>376</v>
      </c>
      <c r="AR4291" s="4" t="s">
        <v>377</v>
      </c>
    </row>
    <row r="4292" spans="1:44">
      <c r="A4292" s="4" t="s">
        <v>5</v>
      </c>
      <c r="B4292" s="4">
        <v>34904</v>
      </c>
      <c r="C4292" s="4">
        <v>1536</v>
      </c>
      <c r="D4292" s="5" t="s">
        <v>6310</v>
      </c>
      <c r="E4292" s="6" t="str">
        <f>HYPERLINK("https://inpn.mnhn.fr/espece/cd_nom/34904","Cortinarius evernius (Fr.) Fr., 1838")</f>
        <v>Cortinarius evernius (Fr.) Fr., 1838</v>
      </c>
      <c r="F4292" s="5" t="s">
        <v>6311</v>
      </c>
      <c r="V4292" s="7" t="str">
        <f>HYPERLINK("#Liste_rouge!A"&amp;_xlfn.XMATCH("LC",Liste_rouge!A:A,2,1),"LC")</f>
        <v>LC</v>
      </c>
      <c r="Z4292" s="4" t="s">
        <v>443</v>
      </c>
      <c r="AA4292" s="4" t="s">
        <v>444</v>
      </c>
      <c r="AH4292" s="4" t="str">
        <f>HYPERLINK("#Statut_biogéographique!A"&amp;_xlfn.XMATCH("P",Statut_biogéographique!A:A,2,1),"P")</f>
        <v>P</v>
      </c>
      <c r="AP4292" s="4" t="s">
        <v>376</v>
      </c>
      <c r="AR4292" s="4" t="s">
        <v>377</v>
      </c>
    </row>
    <row r="4293" spans="1:44" ht="30">
      <c r="A4293" s="4" t="s">
        <v>5</v>
      </c>
      <c r="B4293" s="4">
        <v>34907</v>
      </c>
      <c r="C4293" s="4">
        <v>2702</v>
      </c>
      <c r="D4293" s="5" t="s">
        <v>6312</v>
      </c>
      <c r="E4293" s="6" t="str">
        <f>HYPERLINK("https://inpn.mnhn.fr/espece/cd_nom/34907","Cortinarius evosmus Joachim ex Bidaud &amp; Reumaux, 2006")</f>
        <v>Cortinarius evosmus Joachim ex Bidaud &amp; Reumaux, 2006</v>
      </c>
      <c r="V4293" s="7" t="str">
        <f>HYPERLINK("#Liste_rouge!A"&amp;_xlfn.XMATCH("EN",Liste_rouge!A:A,2,1),"EN")</f>
        <v>EN</v>
      </c>
      <c r="W4293" s="4" t="str">
        <f>HYPERLINK("#Critères_liste_rouge!A$1","B2abiii")</f>
        <v>B2abiii</v>
      </c>
      <c r="Z4293" s="4" t="s">
        <v>447</v>
      </c>
      <c r="AA4293" s="4" t="s">
        <v>448</v>
      </c>
      <c r="AH4293" s="4" t="str">
        <f>HYPERLINK("#Statut_biogéographique!A"&amp;_xlfn.XMATCH("P",Statut_biogéographique!A:A,2,1),"P")</f>
        <v>P</v>
      </c>
      <c r="AP4293" s="4" t="s">
        <v>376</v>
      </c>
      <c r="AR4293" s="4" t="s">
        <v>377</v>
      </c>
    </row>
    <row r="4294" spans="1:44">
      <c r="A4294" s="4" t="s">
        <v>5</v>
      </c>
      <c r="B4294" s="4">
        <v>34919</v>
      </c>
      <c r="C4294" s="4">
        <v>5853</v>
      </c>
      <c r="D4294" s="5" t="s">
        <v>6313</v>
      </c>
      <c r="E4294" s="6" t="str">
        <f>HYPERLINK("https://inpn.mnhn.fr/espece/cd_nom/34919","Cortinarius ferrugineus (Scop.) Mussat, 1901")</f>
        <v>Cortinarius ferrugineus (Scop.) Mussat, 1901</v>
      </c>
      <c r="AH4294" s="4" t="str">
        <f>HYPERLINK("#Statut_biogéographique!A"&amp;_xlfn.XMATCH("P",Statut_biogéographique!A:A,2,1),"P")</f>
        <v>P</v>
      </c>
      <c r="AP4294" s="4" t="s">
        <v>376</v>
      </c>
      <c r="AR4294" s="4" t="s">
        <v>377</v>
      </c>
    </row>
    <row r="4295" spans="1:44">
      <c r="A4295" s="4" t="s">
        <v>5</v>
      </c>
      <c r="B4295" s="4">
        <v>34922</v>
      </c>
      <c r="C4295" s="4">
        <v>5618</v>
      </c>
      <c r="D4295" s="5" t="s">
        <v>6314</v>
      </c>
      <c r="E4295" s="6" t="str">
        <f>HYPERLINK("https://inpn.mnhn.fr/espece/cd_nom/34922","Cortinarius fervidus P.D.Orton, 1964")</f>
        <v>Cortinarius fervidus P.D.Orton, 1964</v>
      </c>
      <c r="V4295" s="7" t="str">
        <f>HYPERLINK("#Liste_rouge!A"&amp;_xlfn.XMATCH("DD",Liste_rouge!A:A,2,1),"DD")</f>
        <v>DD</v>
      </c>
      <c r="AH4295" s="4" t="str">
        <f>HYPERLINK("#Statut_biogéographique!A"&amp;_xlfn.XMATCH("P",Statut_biogéographique!A:A,2,1),"P")</f>
        <v>P</v>
      </c>
      <c r="AP4295" s="4" t="s">
        <v>376</v>
      </c>
      <c r="AR4295" s="4" t="s">
        <v>377</v>
      </c>
    </row>
    <row r="4296" spans="1:44">
      <c r="A4296" s="4" t="s">
        <v>5</v>
      </c>
      <c r="B4296" s="4">
        <v>34923</v>
      </c>
      <c r="C4296" s="4">
        <v>1891</v>
      </c>
      <c r="D4296" s="5" t="s">
        <v>6315</v>
      </c>
      <c r="E4296" s="6" t="str">
        <f>HYPERLINK("https://inpn.mnhn.fr/espece/cd_nom/34923","Cortinarius firmus Fr., 1838")</f>
        <v>Cortinarius firmus Fr., 1838</v>
      </c>
      <c r="V4296" s="7" t="str">
        <f>HYPERLINK("#Liste_rouge!A"&amp;_xlfn.XMATCH("VU",Liste_rouge!A:A,2,1),"VU")</f>
        <v>VU</v>
      </c>
      <c r="W4296" s="4" t="str">
        <f>HYPERLINK("#Critères_liste_rouge!A$1","D2")</f>
        <v>D2</v>
      </c>
      <c r="Z4296" s="4" t="s">
        <v>443</v>
      </c>
      <c r="AA4296" s="4" t="s">
        <v>444</v>
      </c>
      <c r="AH4296" s="4" t="str">
        <f>HYPERLINK("#Statut_biogéographique!A"&amp;_xlfn.XMATCH("P",Statut_biogéographique!A:A,2,1),"P")</f>
        <v>P</v>
      </c>
      <c r="AP4296" s="4" t="s">
        <v>376</v>
      </c>
      <c r="AR4296" s="4" t="s">
        <v>377</v>
      </c>
    </row>
    <row r="4297" spans="1:44">
      <c r="A4297" s="4" t="s">
        <v>5</v>
      </c>
      <c r="B4297" s="4">
        <v>34925</v>
      </c>
      <c r="C4297" s="4">
        <v>6135</v>
      </c>
      <c r="D4297" s="5" t="s">
        <v>6316</v>
      </c>
      <c r="E4297" s="6" t="str">
        <f>HYPERLINK("https://inpn.mnhn.fr/espece/cd_nom/34925","Cortinarius flavescentium Rob.Henry, 1985")</f>
        <v>Cortinarius flavescentium Rob.Henry, 1985</v>
      </c>
      <c r="AH4297" s="4" t="str">
        <f>HYPERLINK("#Statut_biogéographique!A"&amp;_xlfn.XMATCH("P",Statut_biogéographique!A:A,2,1),"P")</f>
        <v>P</v>
      </c>
      <c r="AP4297" s="4" t="s">
        <v>376</v>
      </c>
      <c r="AR4297" s="4" t="s">
        <v>377</v>
      </c>
    </row>
    <row r="4298" spans="1:44">
      <c r="A4298" s="4" t="s">
        <v>5</v>
      </c>
      <c r="B4298" s="4">
        <v>34929</v>
      </c>
      <c r="C4298" s="4">
        <v>1859</v>
      </c>
      <c r="D4298" s="5" t="s">
        <v>6317</v>
      </c>
      <c r="E4298" s="6" t="str">
        <f>HYPERLINK("https://inpn.mnhn.fr/espece/cd_nom/34929","Cortinarius flavovirens Rob.Henry, 1939")</f>
        <v>Cortinarius flavovirens Rob.Henry, 1939</v>
      </c>
      <c r="V4298" s="7" t="str">
        <f>HYPERLINK("#Liste_rouge!A"&amp;_xlfn.XMATCH("LC",Liste_rouge!A:A,2,1),"LC")</f>
        <v>LC</v>
      </c>
      <c r="AH4298" s="4" t="str">
        <f>HYPERLINK("#Statut_biogéographique!A"&amp;_xlfn.XMATCH("P",Statut_biogéographique!A:A,2,1),"P")</f>
        <v>P</v>
      </c>
      <c r="AP4298" s="4" t="s">
        <v>376</v>
      </c>
      <c r="AR4298" s="4" t="s">
        <v>377</v>
      </c>
    </row>
    <row r="4299" spans="1:44">
      <c r="A4299" s="4" t="s">
        <v>5</v>
      </c>
      <c r="B4299" s="4">
        <v>34931</v>
      </c>
      <c r="C4299" s="4">
        <v>2234</v>
      </c>
      <c r="D4299" s="5" t="s">
        <v>6318</v>
      </c>
      <c r="E4299" s="6" t="str">
        <f>HYPERLINK("https://inpn.mnhn.fr/espece/cd_nom/34931","Cortinarius flexipes (Pers.) Fr., 1838")</f>
        <v>Cortinarius flexipes (Pers.) Fr., 1838</v>
      </c>
      <c r="F4299" s="5" t="s">
        <v>6319</v>
      </c>
      <c r="V4299" s="7" t="str">
        <f>HYPERLINK("#Liste_rouge!A"&amp;_xlfn.XMATCH("LC",Liste_rouge!A:A,2,1),"LC")</f>
        <v>LC</v>
      </c>
      <c r="AH4299" s="4" t="str">
        <f>HYPERLINK("#Statut_biogéographique!A"&amp;_xlfn.XMATCH("P",Statut_biogéographique!A:A,2,1),"P")</f>
        <v>P</v>
      </c>
      <c r="AP4299" s="4" t="s">
        <v>376</v>
      </c>
      <c r="AR4299" s="4" t="s">
        <v>377</v>
      </c>
    </row>
    <row r="4300" spans="1:44">
      <c r="A4300" s="4" t="s">
        <v>5</v>
      </c>
      <c r="B4300" s="4">
        <v>34939</v>
      </c>
      <c r="C4300" s="4">
        <v>5472</v>
      </c>
      <c r="D4300" s="5" t="s">
        <v>6320</v>
      </c>
      <c r="E4300" s="6" t="str">
        <f>HYPERLINK("https://inpn.mnhn.fr/espece/cd_nom/34939","Cortinarius fragrantior Gaugué, 1977")</f>
        <v>Cortinarius fragrantior Gaugué, 1977</v>
      </c>
      <c r="V4300" s="7" t="str">
        <f>HYPERLINK("#Liste_rouge!A"&amp;_xlfn.XMATCH("DD",Liste_rouge!A:A,2,1),"DD")</f>
        <v>DD</v>
      </c>
      <c r="AH4300" s="4" t="str">
        <f>HYPERLINK("#Statut_biogéographique!A"&amp;_xlfn.XMATCH("P",Statut_biogéographique!A:A,2,1),"P")</f>
        <v>P</v>
      </c>
      <c r="AP4300" s="4" t="s">
        <v>376</v>
      </c>
      <c r="AR4300" s="4" t="s">
        <v>377</v>
      </c>
    </row>
    <row r="4301" spans="1:44">
      <c r="A4301" s="4" t="s">
        <v>5</v>
      </c>
      <c r="B4301" s="4">
        <v>34942</v>
      </c>
      <c r="C4301" s="4">
        <v>6364</v>
      </c>
      <c r="D4301" s="5" t="s">
        <v>6321</v>
      </c>
      <c r="E4301" s="6" t="str">
        <f>HYPERLINK("https://inpn.mnhn.fr/espece/cd_nom/34942","Cortinarius velenovskyi Rob.Henry, 1940")</f>
        <v>Cortinarius velenovskyi Rob.Henry, 1940</v>
      </c>
      <c r="AH4301" s="4" t="str">
        <f>HYPERLINK("#Statut_biogéographique!A"&amp;_xlfn.XMATCH("P",Statut_biogéographique!A:A,2,1),"P")</f>
        <v>P</v>
      </c>
      <c r="AP4301" s="4" t="s">
        <v>376</v>
      </c>
      <c r="AR4301" s="4" t="s">
        <v>377</v>
      </c>
    </row>
    <row r="4302" spans="1:44">
      <c r="A4302" s="4" t="s">
        <v>5</v>
      </c>
      <c r="B4302" s="4">
        <v>34944</v>
      </c>
      <c r="D4302" s="5" t="s">
        <v>6322</v>
      </c>
      <c r="E4302" s="6" t="str">
        <f>HYPERLINK("https://inpn.mnhn.fr/espece/cd_nom/34944","Cortinarius fulgens Fr., 1838")</f>
        <v>Cortinarius fulgens Fr., 1838</v>
      </c>
      <c r="V4302" s="7" t="str">
        <f>HYPERLINK("#Liste_rouge!A"&amp;_xlfn.XMATCH("VU",Liste_rouge!A:A,2,1),"VU")</f>
        <v>VU</v>
      </c>
      <c r="W4302" s="4" t="str">
        <f>HYPERLINK("#Critères_liste_rouge!A$1","B2abiii")</f>
        <v>B2abiii</v>
      </c>
      <c r="AH4302" s="4" t="str">
        <f>HYPERLINK("#Statut_biogéographique!A"&amp;_xlfn.XMATCH("P",Statut_biogéographique!A:A,2,1),"P")</f>
        <v>P</v>
      </c>
      <c r="AP4302" s="4" t="s">
        <v>376</v>
      </c>
      <c r="AR4302" s="4" t="s">
        <v>377</v>
      </c>
    </row>
    <row r="4303" spans="1:44" ht="30">
      <c r="A4303" s="4" t="s">
        <v>5</v>
      </c>
      <c r="B4303" s="4">
        <v>34952</v>
      </c>
      <c r="C4303" s="4">
        <v>3218</v>
      </c>
      <c r="D4303" s="5" t="s">
        <v>6323</v>
      </c>
      <c r="E4303" s="6" t="str">
        <f>HYPERLINK("https://inpn.mnhn.fr/espece/cd_nom/34952","Cortinarius fulminoides (M.M.Moser) M.M.Moser, 1967")</f>
        <v>Cortinarius fulminoides (M.M.Moser) M.M.Moser, 1967</v>
      </c>
      <c r="V4303" s="7" t="str">
        <f>HYPERLINK("#Liste_rouge!A"&amp;_xlfn.XMATCH("EN",Liste_rouge!A:A,2,1),"EN")</f>
        <v>EN</v>
      </c>
      <c r="W4303" s="4" t="str">
        <f>HYPERLINK("#Critères_liste_rouge!A$1","B2abiii")</f>
        <v>B2abiii</v>
      </c>
      <c r="Z4303" s="4" t="s">
        <v>447</v>
      </c>
      <c r="AA4303" s="4" t="s">
        <v>448</v>
      </c>
      <c r="AH4303" s="4" t="str">
        <f>HYPERLINK("#Statut_biogéographique!A"&amp;_xlfn.XMATCH("P",Statut_biogéographique!A:A,2,1),"P")</f>
        <v>P</v>
      </c>
      <c r="AP4303" s="4" t="s">
        <v>376</v>
      </c>
      <c r="AR4303" s="4" t="s">
        <v>377</v>
      </c>
    </row>
    <row r="4304" spans="1:44">
      <c r="A4304" s="4" t="s">
        <v>5</v>
      </c>
      <c r="B4304" s="4">
        <v>34954</v>
      </c>
      <c r="C4304" s="4">
        <v>2655</v>
      </c>
      <c r="D4304" s="5" t="s">
        <v>6324</v>
      </c>
      <c r="E4304" s="6" t="str">
        <f>HYPERLINK("https://inpn.mnhn.fr/espece/cd_nom/34954","Cortinarius fulvaureus Rob.Henry, 1944")</f>
        <v>Cortinarius fulvaureus Rob.Henry, 1944</v>
      </c>
      <c r="V4304" s="7" t="str">
        <f>HYPERLINK("#Liste_rouge!A"&amp;_xlfn.XMATCH("DD",Liste_rouge!A:A,2,1),"DD")</f>
        <v>DD</v>
      </c>
      <c r="AH4304" s="4" t="str">
        <f>HYPERLINK("#Statut_biogéographique!A"&amp;_xlfn.XMATCH("P",Statut_biogéographique!A:A,2,1),"P")</f>
        <v>P</v>
      </c>
      <c r="AP4304" s="4" t="s">
        <v>376</v>
      </c>
      <c r="AR4304" s="4" t="s">
        <v>377</v>
      </c>
    </row>
    <row r="4305" spans="1:44" ht="30">
      <c r="A4305" s="4" t="s">
        <v>5</v>
      </c>
      <c r="B4305" s="4">
        <v>34958</v>
      </c>
      <c r="C4305" s="4">
        <v>1004</v>
      </c>
      <c r="D4305" s="5" t="s">
        <v>6325</v>
      </c>
      <c r="E4305" s="6" t="str">
        <f>HYPERLINK("https://inpn.mnhn.fr/espece/cd_nom/34958","Cortinarius fulvoincarnatus Joachim ex Bidaud, Moënne-Locc. &amp; Reumaux, 2001")</f>
        <v>Cortinarius fulvoincarnatus Joachim ex Bidaud, Moënne-Locc. &amp; Reumaux, 2001</v>
      </c>
      <c r="V4305" s="7" t="str">
        <f>HYPERLINK("#Liste_rouge!A"&amp;_xlfn.XMATCH("NT",Liste_rouge!A:A,2,1),"NT")</f>
        <v>NT</v>
      </c>
      <c r="W4305" s="4" t="str">
        <f>HYPERLINK("#Critères_liste_rouge!A$1","pr. B2abiii")</f>
        <v>pr. B2abiii</v>
      </c>
      <c r="Z4305" s="4" t="s">
        <v>447</v>
      </c>
      <c r="AA4305" s="4" t="s">
        <v>448</v>
      </c>
      <c r="AH4305" s="4" t="str">
        <f>HYPERLINK("#Statut_biogéographique!A"&amp;_xlfn.XMATCH("P",Statut_biogéographique!A:A,2,1),"P")</f>
        <v>P</v>
      </c>
      <c r="AP4305" s="4" t="s">
        <v>376</v>
      </c>
      <c r="AR4305" s="4" t="s">
        <v>377</v>
      </c>
    </row>
    <row r="4306" spans="1:44">
      <c r="A4306" s="4" t="s">
        <v>5</v>
      </c>
      <c r="B4306" s="4">
        <v>34959</v>
      </c>
      <c r="C4306" s="4">
        <v>1937</v>
      </c>
      <c r="D4306" s="5" t="s">
        <v>6326</v>
      </c>
      <c r="E4306" s="6" t="str">
        <f>HYPERLINK("https://inpn.mnhn.fr/espece/cd_nom/34959","Cortinarius fulvoisabellinus Rob.Henry, 1941")</f>
        <v>Cortinarius fulvoisabellinus Rob.Henry, 1941</v>
      </c>
      <c r="V4306" s="7" t="str">
        <f>HYPERLINK("#Liste_rouge!A"&amp;_xlfn.XMATCH("EN",Liste_rouge!A:A,2,1),"EN")</f>
        <v>EN</v>
      </c>
      <c r="W4306" s="4" t="str">
        <f>HYPERLINK("#Critères_liste_rouge!A$1","B2abiii")</f>
        <v>B2abiii</v>
      </c>
      <c r="Z4306" s="4" t="s">
        <v>447</v>
      </c>
      <c r="AA4306" s="4" t="s">
        <v>448</v>
      </c>
      <c r="AH4306" s="4" t="str">
        <f>HYPERLINK("#Statut_biogéographique!A"&amp;_xlfn.XMATCH("P",Statut_biogéographique!A:A,2,1),"P")</f>
        <v>P</v>
      </c>
      <c r="AP4306" s="4" t="s">
        <v>376</v>
      </c>
      <c r="AR4306" s="4" t="s">
        <v>377</v>
      </c>
    </row>
    <row r="4307" spans="1:44">
      <c r="A4307" s="4" t="s">
        <v>5</v>
      </c>
      <c r="B4307" s="4">
        <v>34961</v>
      </c>
      <c r="C4307" s="4">
        <v>1834</v>
      </c>
      <c r="D4307" s="5" t="s">
        <v>6327</v>
      </c>
      <c r="E4307" s="6" t="str">
        <f>HYPERLINK("https://inpn.mnhn.fr/espece/cd_nom/34961","Cortinarius fulvoochrascens Rob.Henry, 1943")</f>
        <v>Cortinarius fulvoochrascens Rob.Henry, 1943</v>
      </c>
      <c r="V4307" s="7" t="str">
        <f>HYPERLINK("#Liste_rouge!A"&amp;_xlfn.XMATCH("LC",Liste_rouge!A:A,2,1),"LC")</f>
        <v>LC</v>
      </c>
      <c r="AH4307" s="4" t="str">
        <f>HYPERLINK("#Statut_biogéographique!A"&amp;_xlfn.XMATCH("P",Statut_biogéographique!A:A,2,1),"P")</f>
        <v>P</v>
      </c>
      <c r="AP4307" s="4" t="s">
        <v>376</v>
      </c>
      <c r="AR4307" s="4" t="s">
        <v>377</v>
      </c>
    </row>
    <row r="4308" spans="1:44" ht="30">
      <c r="A4308" s="4" t="s">
        <v>5</v>
      </c>
      <c r="B4308" s="4">
        <v>34962</v>
      </c>
      <c r="C4308" s="4">
        <v>1834</v>
      </c>
      <c r="D4308" s="5" t="s">
        <v>6328</v>
      </c>
      <c r="E4308" s="6" t="str">
        <f>HYPERLINK("https://inpn.mnhn.fr/espece/cd_nom/34962","Cortinarius fulvoochrascens var. cyanophyllus Rob.Henry, 1988")</f>
        <v>Cortinarius fulvoochrascens var. cyanophyllus Rob.Henry, 1988</v>
      </c>
      <c r="V4308" s="7" t="str">
        <f>HYPERLINK("#Liste_rouge!A"&amp;_xlfn.XMATCH("LC",Liste_rouge!A:A,2,1),"LC")</f>
        <v>LC</v>
      </c>
      <c r="AH4308" s="4" t="str">
        <f>HYPERLINK("#Statut_biogéographique!A"&amp;_xlfn.XMATCH("P",Statut_biogéographique!A:A,2,1),"P")</f>
        <v>P</v>
      </c>
      <c r="AP4308" s="4" t="s">
        <v>376</v>
      </c>
      <c r="AR4308" s="4" t="s">
        <v>377</v>
      </c>
    </row>
    <row r="4309" spans="1:44">
      <c r="A4309" s="4" t="s">
        <v>5</v>
      </c>
      <c r="B4309" s="4">
        <v>34967</v>
      </c>
      <c r="C4309" s="4">
        <v>3050</v>
      </c>
      <c r="D4309" s="5" t="s">
        <v>6329</v>
      </c>
      <c r="E4309" s="6" t="str">
        <f>HYPERLINK("https://inpn.mnhn.fr/espece/cd_nom/34967","Cortinarius fuscoperonatus Kühner, 1953")</f>
        <v>Cortinarius fuscoperonatus Kühner, 1953</v>
      </c>
      <c r="V4309" s="7" t="str">
        <f>HYPERLINK("#Liste_rouge!A"&amp;_xlfn.XMATCH("EN",Liste_rouge!A:A,2,1),"EN")</f>
        <v>EN</v>
      </c>
      <c r="W4309" s="4" t="str">
        <f>HYPERLINK("#Critères_liste_rouge!A$1","B2abiii")</f>
        <v>B2abiii</v>
      </c>
      <c r="Z4309" s="4" t="s">
        <v>695</v>
      </c>
      <c r="AA4309" s="4" t="s">
        <v>696</v>
      </c>
      <c r="AH4309" s="4" t="str">
        <f>HYPERLINK("#Statut_biogéographique!A"&amp;_xlfn.XMATCH("P",Statut_biogéographique!A:A,2,1),"P")</f>
        <v>P</v>
      </c>
      <c r="AP4309" s="4" t="s">
        <v>376</v>
      </c>
      <c r="AR4309" s="4" t="s">
        <v>377</v>
      </c>
    </row>
    <row r="4310" spans="1:44">
      <c r="A4310" s="4" t="s">
        <v>5</v>
      </c>
      <c r="B4310" s="4">
        <v>34976</v>
      </c>
      <c r="C4310" s="4">
        <v>1940</v>
      </c>
      <c r="D4310" s="5" t="s">
        <v>6330</v>
      </c>
      <c r="E4310" s="6" t="str">
        <f>HYPERLINK("https://inpn.mnhn.fr/espece/cd_nom/34976","Cortinarius gentilis (Fr.) Fr., 1838")</f>
        <v>Cortinarius gentilis (Fr.) Fr., 1838</v>
      </c>
      <c r="V4310" s="7" t="str">
        <f>HYPERLINK("#Liste_rouge!A"&amp;_xlfn.XMATCH("NT",Liste_rouge!A:A,2,1),"NT")</f>
        <v>NT</v>
      </c>
      <c r="W4310" s="4" t="str">
        <f>HYPERLINK("#Critères_liste_rouge!A$1","pr. A2c")</f>
        <v>pr. A2c</v>
      </c>
      <c r="AH4310" s="4" t="str">
        <f>HYPERLINK("#Statut_biogéographique!A"&amp;_xlfn.XMATCH("P",Statut_biogéographique!A:A,2,1),"P")</f>
        <v>P</v>
      </c>
      <c r="AP4310" s="4" t="s">
        <v>376</v>
      </c>
      <c r="AR4310" s="4" t="s">
        <v>377</v>
      </c>
    </row>
    <row r="4311" spans="1:44">
      <c r="A4311" s="4" t="s">
        <v>5</v>
      </c>
      <c r="B4311" s="4">
        <v>34983</v>
      </c>
      <c r="C4311" s="4">
        <v>1934</v>
      </c>
      <c r="D4311" s="5" t="s">
        <v>6331</v>
      </c>
      <c r="E4311" s="6" t="str">
        <f>HYPERLINK("https://inpn.mnhn.fr/espece/cd_nom/34983","Cortinarius glandicolor (Fr.) Fr., 1838")</f>
        <v>Cortinarius glandicolor (Fr.) Fr., 1838</v>
      </c>
      <c r="F4311" s="5" t="s">
        <v>6332</v>
      </c>
      <c r="V4311" s="7" t="str">
        <f>HYPERLINK("#Liste_rouge!A"&amp;_xlfn.XMATCH("LC",Liste_rouge!A:A,2,1),"LC")</f>
        <v>LC</v>
      </c>
      <c r="AH4311" s="4" t="str">
        <f>HYPERLINK("#Statut_biogéographique!A"&amp;_xlfn.XMATCH("P",Statut_biogéographique!A:A,2,1),"P")</f>
        <v>P</v>
      </c>
      <c r="AP4311" s="4" t="s">
        <v>376</v>
      </c>
      <c r="AR4311" s="4" t="s">
        <v>377</v>
      </c>
    </row>
    <row r="4312" spans="1:44">
      <c r="A4312" s="4" t="s">
        <v>5</v>
      </c>
      <c r="B4312" s="4">
        <v>34989</v>
      </c>
      <c r="C4312" s="4">
        <v>1778</v>
      </c>
      <c r="D4312" s="5" t="s">
        <v>6333</v>
      </c>
      <c r="E4312" s="6" t="str">
        <f>HYPERLINK("https://inpn.mnhn.fr/espece/cd_nom/34989","Cortinarius glaucopus (Schaeff.) Gray, 1821")</f>
        <v>Cortinarius glaucopus (Schaeff.) Gray, 1821</v>
      </c>
      <c r="F4312" s="5" t="s">
        <v>6334</v>
      </c>
      <c r="V4312" s="7" t="str">
        <f>HYPERLINK("#Liste_rouge!A"&amp;_xlfn.XMATCH("LC",Liste_rouge!A:A,2,1),"LC")</f>
        <v>LC</v>
      </c>
      <c r="AH4312" s="4" t="str">
        <f>HYPERLINK("#Statut_biogéographique!A"&amp;_xlfn.XMATCH("P",Statut_biogéographique!A:A,2,1),"P")</f>
        <v>P</v>
      </c>
      <c r="AP4312" s="4" t="s">
        <v>376</v>
      </c>
      <c r="AR4312" s="4" t="s">
        <v>377</v>
      </c>
    </row>
    <row r="4313" spans="1:44" ht="30">
      <c r="A4313" s="4" t="s">
        <v>5</v>
      </c>
      <c r="B4313" s="4">
        <v>34992</v>
      </c>
      <c r="C4313" s="4">
        <v>3193</v>
      </c>
      <c r="D4313" s="5" t="s">
        <v>6335</v>
      </c>
      <c r="E4313" s="6" t="str">
        <f>HYPERLINK("https://inpn.mnhn.fr/espece/cd_nom/34992","Cortinarius glaucopus var. acyaneus (M.M.Moser) Quadr., 1985")</f>
        <v>Cortinarius glaucopus var. acyaneus (M.M.Moser) Quadr., 1985</v>
      </c>
      <c r="V4313" s="7" t="str">
        <f>HYPERLINK("#Liste_rouge!A"&amp;_xlfn.XMATCH("DD",Liste_rouge!A:A,2,1),"DD")</f>
        <v>DD</v>
      </c>
      <c r="AH4313" s="4" t="str">
        <f>HYPERLINK("#Statut_biogéographique!A"&amp;_xlfn.XMATCH("P",Statut_biogéographique!A:A,2,1),"P")</f>
        <v>P</v>
      </c>
      <c r="AP4313" s="4" t="s">
        <v>376</v>
      </c>
      <c r="AR4313" s="4" t="s">
        <v>377</v>
      </c>
    </row>
    <row r="4314" spans="1:44" ht="30">
      <c r="A4314" s="4" t="s">
        <v>5</v>
      </c>
      <c r="B4314" s="4">
        <v>34994</v>
      </c>
      <c r="C4314" s="4">
        <v>2997</v>
      </c>
      <c r="D4314" s="5" t="s">
        <v>6336</v>
      </c>
      <c r="E4314" s="6" t="str">
        <f>HYPERLINK("https://inpn.mnhn.fr/espece/cd_nom/34994","Cortinarius glaucopus var. olivaceus (M.M.Moser) Quadr., 1985")</f>
        <v>Cortinarius glaucopus var. olivaceus (M.M.Moser) Quadr., 1985</v>
      </c>
      <c r="V4314" s="7" t="str">
        <f>HYPERLINK("#Liste_rouge!A"&amp;_xlfn.XMATCH("DD",Liste_rouge!A:A,2,1),"DD")</f>
        <v>DD</v>
      </c>
      <c r="AH4314" s="4" t="str">
        <f>HYPERLINK("#Statut_biogéographique!A"&amp;_xlfn.XMATCH("P",Statut_biogéographique!A:A,2,1),"P")</f>
        <v>P</v>
      </c>
      <c r="AP4314" s="4" t="s">
        <v>376</v>
      </c>
      <c r="AR4314" s="4" t="s">
        <v>377</v>
      </c>
    </row>
    <row r="4315" spans="1:44" ht="30">
      <c r="A4315" s="4" t="s">
        <v>5</v>
      </c>
      <c r="B4315" s="4">
        <v>34998</v>
      </c>
      <c r="C4315" s="4">
        <v>6122</v>
      </c>
      <c r="D4315" s="5" t="s">
        <v>6337</v>
      </c>
      <c r="E4315" s="6" t="str">
        <f>HYPERLINK("https://inpn.mnhn.fr/espece/cd_nom/34998","Cortinarius globisporus (Velen.) Rob.Henry ex Bon, 1986")</f>
        <v>Cortinarius globisporus (Velen.) Rob.Henry ex Bon, 1986</v>
      </c>
      <c r="AH4315" s="4" t="str">
        <f>HYPERLINK("#Statut_biogéographique!A"&amp;_xlfn.XMATCH("P",Statut_biogéographique!A:A,2,1),"P")</f>
        <v>P</v>
      </c>
      <c r="AP4315" s="4" t="s">
        <v>376</v>
      </c>
      <c r="AR4315" s="4" t="s">
        <v>377</v>
      </c>
    </row>
    <row r="4316" spans="1:44">
      <c r="A4316" s="4" t="s">
        <v>5</v>
      </c>
      <c r="B4316" s="4">
        <v>34999</v>
      </c>
      <c r="C4316" s="4">
        <v>717</v>
      </c>
      <c r="D4316" s="5" t="s">
        <v>6338</v>
      </c>
      <c r="E4316" s="6" t="str">
        <f>HYPERLINK("https://inpn.mnhn.fr/espece/cd_nom/34999","Cortinarius gracilior Jul.Schäff., 1947")</f>
        <v>Cortinarius gracilior Jul.Schäff., 1947</v>
      </c>
      <c r="V4316" s="7" t="str">
        <f>HYPERLINK("#Liste_rouge!A"&amp;_xlfn.XMATCH("DD",Liste_rouge!A:A,2,1),"DD")</f>
        <v>DD</v>
      </c>
      <c r="Z4316" s="4" t="s">
        <v>447</v>
      </c>
      <c r="AA4316" s="4" t="s">
        <v>448</v>
      </c>
      <c r="AH4316" s="4" t="str">
        <f>HYPERLINK("#Statut_biogéographique!A"&amp;_xlfn.XMATCH("P",Statut_biogéographique!A:A,2,1),"P")</f>
        <v>P</v>
      </c>
      <c r="AP4316" s="4" t="s">
        <v>376</v>
      </c>
      <c r="AR4316" s="4" t="s">
        <v>377</v>
      </c>
    </row>
    <row r="4317" spans="1:44">
      <c r="A4317" s="4" t="s">
        <v>5</v>
      </c>
      <c r="B4317" s="4">
        <v>35005</v>
      </c>
      <c r="C4317" s="4">
        <v>629</v>
      </c>
      <c r="D4317" s="5" t="s">
        <v>6339</v>
      </c>
      <c r="E4317" s="6" t="str">
        <f>HYPERLINK("https://inpn.mnhn.fr/espece/cd_nom/35005","Cortinarius guttatus Rob.Henry, 1952")</f>
        <v>Cortinarius guttatus Rob.Henry, 1952</v>
      </c>
      <c r="V4317" s="7" t="str">
        <f>HYPERLINK("#Liste_rouge!A"&amp;_xlfn.XMATCH("LC",Liste_rouge!A:A,2,1),"LC")</f>
        <v>LC</v>
      </c>
      <c r="AH4317" s="4" t="str">
        <f>HYPERLINK("#Statut_biogéographique!A"&amp;_xlfn.XMATCH("P",Statut_biogéographique!A:A,2,1),"P")</f>
        <v>P</v>
      </c>
      <c r="AP4317" s="4" t="s">
        <v>376</v>
      </c>
      <c r="AR4317" s="4" t="s">
        <v>377</v>
      </c>
    </row>
    <row r="4318" spans="1:44">
      <c r="A4318" s="4" t="s">
        <v>5</v>
      </c>
      <c r="B4318" s="4">
        <v>35009</v>
      </c>
      <c r="C4318" s="4">
        <v>1750</v>
      </c>
      <c r="D4318" s="5" t="s">
        <v>6340</v>
      </c>
      <c r="E4318" s="6" t="str">
        <f>HYPERLINK("https://inpn.mnhn.fr/espece/cd_nom/35009","Cortinarius haematochelis (Bull.) Fr., 1838")</f>
        <v>Cortinarius haematochelis (Bull.) Fr., 1838</v>
      </c>
      <c r="V4318" s="7" t="str">
        <f>HYPERLINK("#Liste_rouge!A"&amp;_xlfn.XMATCH("LC",Liste_rouge!A:A,2,1),"LC")</f>
        <v>LC</v>
      </c>
      <c r="AH4318" s="4" t="str">
        <f>HYPERLINK("#Statut_biogéographique!A"&amp;_xlfn.XMATCH("P",Statut_biogéographique!A:A,2,1),"P")</f>
        <v>P</v>
      </c>
      <c r="AP4318" s="4" t="s">
        <v>376</v>
      </c>
      <c r="AR4318" s="4" t="s">
        <v>377</v>
      </c>
    </row>
    <row r="4319" spans="1:44">
      <c r="A4319" s="4" t="s">
        <v>5</v>
      </c>
      <c r="B4319" s="4">
        <v>35012</v>
      </c>
      <c r="C4319" s="4">
        <v>4882</v>
      </c>
      <c r="D4319" s="5" t="s">
        <v>6341</v>
      </c>
      <c r="E4319" s="6" t="str">
        <f>HYPERLINK("https://inpn.mnhn.fr/espece/cd_nom/35012","Cortinarius helobius Romagn., 1952")</f>
        <v>Cortinarius helobius Romagn., 1952</v>
      </c>
      <c r="V4319" s="7" t="str">
        <f>HYPERLINK("#Liste_rouge!A"&amp;_xlfn.XMATCH("LC",Liste_rouge!A:A,2,1),"LC")</f>
        <v>LC</v>
      </c>
      <c r="Z4319" s="4" t="s">
        <v>447</v>
      </c>
      <c r="AA4319" s="4" t="s">
        <v>448</v>
      </c>
      <c r="AH4319" s="4" t="str">
        <f>HYPERLINK("#Statut_biogéographique!A"&amp;_xlfn.XMATCH("P",Statut_biogéographique!A:A,2,1),"P")</f>
        <v>P</v>
      </c>
      <c r="AP4319" s="4" t="s">
        <v>376</v>
      </c>
      <c r="AR4319" s="4" t="s">
        <v>377</v>
      </c>
    </row>
    <row r="4320" spans="1:44">
      <c r="A4320" s="4" t="s">
        <v>5</v>
      </c>
      <c r="B4320" s="4">
        <v>35013</v>
      </c>
      <c r="C4320" s="4">
        <v>2966</v>
      </c>
      <c r="D4320" s="5" t="s">
        <v>6342</v>
      </c>
      <c r="E4320" s="6" t="str">
        <f>HYPERLINK("https://inpn.mnhn.fr/espece/cd_nom/35013","Cortinarius helvelloides (Fr.) Fr., 1838")</f>
        <v>Cortinarius helvelloides (Fr.) Fr., 1838</v>
      </c>
      <c r="F4320" s="5" t="s">
        <v>6343</v>
      </c>
      <c r="V4320" s="7" t="str">
        <f>HYPERLINK("#Liste_rouge!A"&amp;_xlfn.XMATCH("VU",Liste_rouge!A:A,2,1),"VU")</f>
        <v>VU</v>
      </c>
      <c r="W4320" s="4" t="str">
        <f>HYPERLINK("#Critères_liste_rouge!A$1","B2abiii")</f>
        <v>B2abiii</v>
      </c>
      <c r="Z4320" s="4" t="s">
        <v>447</v>
      </c>
      <c r="AA4320" s="4" t="s">
        <v>448</v>
      </c>
      <c r="AH4320" s="4" t="str">
        <f>HYPERLINK("#Statut_biogéographique!A"&amp;_xlfn.XMATCH("P",Statut_biogéographique!A:A,2,1),"P")</f>
        <v>P</v>
      </c>
      <c r="AP4320" s="4" t="s">
        <v>376</v>
      </c>
      <c r="AR4320" s="4" t="s">
        <v>377</v>
      </c>
    </row>
    <row r="4321" spans="1:44">
      <c r="A4321" s="4" t="s">
        <v>5</v>
      </c>
      <c r="B4321" s="4">
        <v>35016</v>
      </c>
      <c r="C4321" s="4">
        <v>2890</v>
      </c>
      <c r="D4321" s="5" t="s">
        <v>6344</v>
      </c>
      <c r="E4321" s="6" t="str">
        <f>HYPERLINK("https://inpn.mnhn.fr/espece/cd_nom/35016","Cortinarius helvolus (Bull.) Fr., 1838")</f>
        <v>Cortinarius helvolus (Bull.) Fr., 1838</v>
      </c>
      <c r="V4321" s="7" t="str">
        <f>HYPERLINK("#Liste_rouge!A"&amp;_xlfn.XMATCH("NT",Liste_rouge!A:A,2,1),"NT")</f>
        <v>NT</v>
      </c>
      <c r="W4321" s="4" t="str">
        <f>HYPERLINK("#Critères_liste_rouge!A$1","pr. B2abiii")</f>
        <v>pr. B2abiii</v>
      </c>
      <c r="AH4321" s="4" t="str">
        <f>HYPERLINK("#Statut_biogéographique!A"&amp;_xlfn.XMATCH("P",Statut_biogéographique!A:A,2,1),"P")</f>
        <v>P</v>
      </c>
      <c r="AP4321" s="4" t="s">
        <v>376</v>
      </c>
      <c r="AR4321" s="4" t="s">
        <v>377</v>
      </c>
    </row>
    <row r="4322" spans="1:44">
      <c r="A4322" s="4" t="s">
        <v>5</v>
      </c>
      <c r="B4322" s="4">
        <v>35019</v>
      </c>
      <c r="C4322" s="4">
        <v>702</v>
      </c>
      <c r="D4322" s="5" t="s">
        <v>6345</v>
      </c>
      <c r="E4322" s="6" t="str">
        <f>HYPERLINK("https://inpn.mnhn.fr/espece/cd_nom/35019","Cortinarius hemitrichus (Pers.) Fr., 1838")</f>
        <v>Cortinarius hemitrichus (Pers.) Fr., 1838</v>
      </c>
      <c r="F4322" s="5" t="s">
        <v>6346</v>
      </c>
      <c r="V4322" s="7" t="str">
        <f>HYPERLINK("#Liste_rouge!A"&amp;_xlfn.XMATCH("LC",Liste_rouge!A:A,2,1),"LC")</f>
        <v>LC</v>
      </c>
      <c r="AH4322" s="4" t="str">
        <f>HYPERLINK("#Statut_biogéographique!A"&amp;_xlfn.XMATCH("P",Statut_biogéographique!A:A,2,1),"P")</f>
        <v>P</v>
      </c>
      <c r="AP4322" s="4" t="s">
        <v>376</v>
      </c>
      <c r="AR4322" s="4" t="s">
        <v>377</v>
      </c>
    </row>
    <row r="4323" spans="1:44">
      <c r="A4323" s="4" t="s">
        <v>5</v>
      </c>
      <c r="B4323" s="4">
        <v>35025</v>
      </c>
      <c r="C4323" s="4">
        <v>4663</v>
      </c>
      <c r="D4323" s="5" t="s">
        <v>6347</v>
      </c>
      <c r="E4323" s="6" t="str">
        <f>HYPERLINK("https://inpn.mnhn.fr/espece/cd_nom/35025","Cortinarius herculeus Malençon, 1958")</f>
        <v>Cortinarius herculeus Malençon, 1958</v>
      </c>
      <c r="F4323" s="5" t="s">
        <v>6348</v>
      </c>
      <c r="AH4323" s="4" t="str">
        <f>HYPERLINK("#Statut_biogéographique!A"&amp;_xlfn.XMATCH("P",Statut_biogéographique!A:A,2,1),"P")</f>
        <v>P</v>
      </c>
      <c r="AP4323" s="4" t="s">
        <v>376</v>
      </c>
      <c r="AR4323" s="4" t="s">
        <v>377</v>
      </c>
    </row>
    <row r="4324" spans="1:44">
      <c r="A4324" s="4" t="s">
        <v>5</v>
      </c>
      <c r="B4324" s="4">
        <v>35035</v>
      </c>
      <c r="C4324" s="4">
        <v>1878</v>
      </c>
      <c r="D4324" s="5" t="s">
        <v>6349</v>
      </c>
      <c r="E4324" s="6" t="str">
        <f>HYPERLINK("https://inpn.mnhn.fr/espece/cd_nom/35035","Cortinarius hillieri Rob.Henry, 1938")</f>
        <v>Cortinarius hillieri Rob.Henry, 1938</v>
      </c>
      <c r="F4324" s="5" t="s">
        <v>6350</v>
      </c>
      <c r="V4324" s="7" t="str">
        <f>HYPERLINK("#Liste_rouge!A"&amp;_xlfn.XMATCH("EN",Liste_rouge!A:A,2,1),"EN")</f>
        <v>EN</v>
      </c>
      <c r="W4324" s="4" t="str">
        <f>HYPERLINK("#Critères_liste_rouge!A$1","B2abiii")</f>
        <v>B2abiii</v>
      </c>
      <c r="Z4324" s="4" t="s">
        <v>447</v>
      </c>
      <c r="AA4324" s="4" t="s">
        <v>448</v>
      </c>
      <c r="AH4324" s="4" t="str">
        <f>HYPERLINK("#Statut_biogéographique!A"&amp;_xlfn.XMATCH("P",Statut_biogéographique!A:A,2,1),"P")</f>
        <v>P</v>
      </c>
      <c r="AP4324" s="4" t="s">
        <v>376</v>
      </c>
      <c r="AR4324" s="4" t="s">
        <v>377</v>
      </c>
    </row>
    <row r="4325" spans="1:44">
      <c r="A4325" s="4" t="s">
        <v>5</v>
      </c>
      <c r="B4325" s="4">
        <v>35037</v>
      </c>
      <c r="C4325" s="4">
        <v>639</v>
      </c>
      <c r="D4325" s="5" t="s">
        <v>6351</v>
      </c>
      <c r="E4325" s="6" t="str">
        <f>HYPERLINK("https://inpn.mnhn.fr/espece/cd_nom/35037","Cortinarius hinnuleus Fr., 1838")</f>
        <v>Cortinarius hinnuleus Fr., 1838</v>
      </c>
      <c r="F4325" s="5" t="s">
        <v>6352</v>
      </c>
      <c r="V4325" s="7" t="str">
        <f>HYPERLINK("#Liste_rouge!A"&amp;_xlfn.XMATCH("LC",Liste_rouge!A:A,2,1),"LC")</f>
        <v>LC</v>
      </c>
      <c r="AH4325" s="4" t="str">
        <f>HYPERLINK("#Statut_biogéographique!A"&amp;_xlfn.XMATCH("P",Statut_biogéographique!A:A,2,1),"P")</f>
        <v>P</v>
      </c>
      <c r="AP4325" s="4" t="s">
        <v>376</v>
      </c>
      <c r="AR4325" s="4" t="s">
        <v>377</v>
      </c>
    </row>
    <row r="4326" spans="1:44">
      <c r="A4326" s="4" t="s">
        <v>5</v>
      </c>
      <c r="B4326" s="4">
        <v>35044</v>
      </c>
      <c r="C4326" s="4">
        <v>3760</v>
      </c>
      <c r="D4326" s="5" t="s">
        <v>6353</v>
      </c>
      <c r="E4326" s="6" t="str">
        <f>HYPERLINK("https://inpn.mnhn.fr/espece/cd_nom/35044","Cortinarius hinnuloides Rob.Henry, 1941")</f>
        <v>Cortinarius hinnuloides Rob.Henry, 1941</v>
      </c>
      <c r="F4326" s="5" t="s">
        <v>6354</v>
      </c>
      <c r="V4326" s="7" t="str">
        <f>HYPERLINK("#Liste_rouge!A"&amp;_xlfn.XMATCH("LC",Liste_rouge!A:A,2,1),"LC")</f>
        <v>LC</v>
      </c>
      <c r="AH4326" s="4" t="str">
        <f>HYPERLINK("#Statut_biogéographique!A"&amp;_xlfn.XMATCH("P",Statut_biogéographique!A:A,2,1),"P")</f>
        <v>P</v>
      </c>
      <c r="AP4326" s="4" t="s">
        <v>376</v>
      </c>
      <c r="AR4326" s="4" t="s">
        <v>377</v>
      </c>
    </row>
    <row r="4327" spans="1:44">
      <c r="A4327" s="4" t="s">
        <v>5</v>
      </c>
      <c r="B4327" s="4">
        <v>35045</v>
      </c>
      <c r="C4327" s="4">
        <v>6023</v>
      </c>
      <c r="D4327" s="5" t="s">
        <v>6355</v>
      </c>
      <c r="E4327" s="6" t="str">
        <f>HYPERLINK("https://inpn.mnhn.fr/espece/cd_nom/35045","Cortinarius hircinus Fr., 1838")</f>
        <v>Cortinarius hircinus Fr., 1838</v>
      </c>
      <c r="AH4327" s="4" t="str">
        <f>HYPERLINK("#Statut_biogéographique!A"&amp;_xlfn.XMATCH("P",Statut_biogéographique!A:A,2,1),"P")</f>
        <v>P</v>
      </c>
      <c r="AP4327" s="4" t="s">
        <v>376</v>
      </c>
      <c r="AR4327" s="4" t="s">
        <v>377</v>
      </c>
    </row>
    <row r="4328" spans="1:44" ht="30">
      <c r="A4328" s="4" t="s">
        <v>5</v>
      </c>
      <c r="B4328" s="4">
        <v>35047</v>
      </c>
      <c r="C4328" s="4">
        <v>735</v>
      </c>
      <c r="D4328" s="5" t="s">
        <v>6356</v>
      </c>
      <c r="E4328" s="6" t="str">
        <f>HYPERLINK("https://inpn.mnhn.fr/espece/cd_nom/35047","Cortinarius camphoratus (Fr.) Fr., 1838")</f>
        <v>Cortinarius camphoratus (Fr.) Fr., 1838</v>
      </c>
      <c r="F4328" s="5" t="s">
        <v>6357</v>
      </c>
      <c r="V4328" s="7" t="str">
        <f>HYPERLINK("#Liste_rouge!A"&amp;_xlfn.XMATCH("LC",Liste_rouge!A:A,2,1),"LC")</f>
        <v>LC</v>
      </c>
      <c r="AH4328" s="4" t="str">
        <f>HYPERLINK("#Statut_biogéographique!A"&amp;_xlfn.XMATCH("P",Statut_biogéographique!A:A,2,1),"P")</f>
        <v>P</v>
      </c>
      <c r="AP4328" s="4" t="s">
        <v>376</v>
      </c>
      <c r="AR4328" s="4" t="s">
        <v>377</v>
      </c>
    </row>
    <row r="4329" spans="1:44">
      <c r="A4329" s="4" t="s">
        <v>5</v>
      </c>
      <c r="B4329" s="4">
        <v>35052</v>
      </c>
      <c r="C4329" s="4">
        <v>1919</v>
      </c>
      <c r="D4329" s="5" t="s">
        <v>6358</v>
      </c>
      <c r="E4329" s="6" t="str">
        <f>HYPERLINK("https://inpn.mnhn.fr/espece/cd_nom/35052","Cortinarius holophaeus J.E.Lange, 1940")</f>
        <v>Cortinarius holophaeus J.E.Lange, 1940</v>
      </c>
      <c r="V4329" s="7" t="str">
        <f>HYPERLINK("#Liste_rouge!A"&amp;_xlfn.XMATCH("RE",Liste_rouge!A:A,2,1),"RE")</f>
        <v>RE</v>
      </c>
      <c r="AH4329" s="4" t="str">
        <f>HYPERLINK("#Statut_biogéographique!A"&amp;_xlfn.XMATCH("P",Statut_biogéographique!A:A,2,1),"P")</f>
        <v>P</v>
      </c>
      <c r="AP4329" s="4" t="s">
        <v>376</v>
      </c>
      <c r="AR4329" s="4" t="s">
        <v>377</v>
      </c>
    </row>
    <row r="4330" spans="1:44">
      <c r="A4330" s="4" t="s">
        <v>5</v>
      </c>
      <c r="B4330" s="4">
        <v>35054</v>
      </c>
      <c r="C4330" s="4">
        <v>1545</v>
      </c>
      <c r="D4330" s="5" t="s">
        <v>6359</v>
      </c>
      <c r="E4330" s="6" t="str">
        <f>HYPERLINK("https://inpn.mnhn.fr/espece/cd_nom/35054","Cortinarius humicola (Quél.) Maire, 1911")</f>
        <v>Cortinarius humicola (Quél.) Maire, 1911</v>
      </c>
      <c r="F4330" s="5" t="s">
        <v>6360</v>
      </c>
      <c r="V4330" s="7" t="str">
        <f>HYPERLINK("#Liste_rouge!A"&amp;_xlfn.XMATCH("LC",Liste_rouge!A:A,2,1),"LC")</f>
        <v>LC</v>
      </c>
      <c r="Z4330" s="4" t="s">
        <v>447</v>
      </c>
      <c r="AA4330" s="4" t="s">
        <v>448</v>
      </c>
      <c r="AH4330" s="4" t="str">
        <f>HYPERLINK("#Statut_biogéographique!A"&amp;_xlfn.XMATCH("P",Statut_biogéographique!A:A,2,1),"P")</f>
        <v>P</v>
      </c>
      <c r="AP4330" s="4" t="s">
        <v>376</v>
      </c>
      <c r="AR4330" s="4" t="s">
        <v>377</v>
      </c>
    </row>
    <row r="4331" spans="1:44">
      <c r="A4331" s="4" t="s">
        <v>5</v>
      </c>
      <c r="B4331" s="4">
        <v>35061</v>
      </c>
      <c r="C4331" s="4">
        <v>6611</v>
      </c>
      <c r="D4331" s="5" t="s">
        <v>6361</v>
      </c>
      <c r="E4331" s="6" t="str">
        <f>HYPERLINK("https://inpn.mnhn.fr/espece/cd_nom/35061","Cortinarius ignipes M.M.Moser, 1957")</f>
        <v>Cortinarius ignipes M.M.Moser, 1957</v>
      </c>
      <c r="AH4331" s="4" t="str">
        <f>HYPERLINK("#Statut_biogéographique!A"&amp;_xlfn.XMATCH("P",Statut_biogéographique!A:A,2,1),"P")</f>
        <v>P</v>
      </c>
      <c r="AP4331" s="4" t="s">
        <v>376</v>
      </c>
      <c r="AR4331" s="4" t="s">
        <v>377</v>
      </c>
    </row>
    <row r="4332" spans="1:44">
      <c r="A4332" s="4" t="s">
        <v>5</v>
      </c>
      <c r="B4332" s="4">
        <v>35062</v>
      </c>
      <c r="C4332" s="4">
        <v>2867</v>
      </c>
      <c r="D4332" s="5" t="s">
        <v>6362</v>
      </c>
      <c r="E4332" s="6" t="str">
        <f>HYPERLINK("https://inpn.mnhn.fr/espece/cd_nom/35062","Cortinarius illuminus Fr., 1838")</f>
        <v>Cortinarius illuminus Fr., 1838</v>
      </c>
      <c r="V4332" s="7" t="str">
        <f>HYPERLINK("#Liste_rouge!A"&amp;_xlfn.XMATCH("EN",Liste_rouge!A:A,2,1),"EN")</f>
        <v>EN</v>
      </c>
      <c r="W4332" s="4" t="str">
        <f>HYPERLINK("#Critères_liste_rouge!A$1","B2abiii")</f>
        <v>B2abiii</v>
      </c>
      <c r="Z4332" s="4" t="s">
        <v>447</v>
      </c>
      <c r="AA4332" s="4" t="s">
        <v>448</v>
      </c>
      <c r="AH4332" s="4" t="str">
        <f>HYPERLINK("#Statut_biogéographique!A"&amp;_xlfn.XMATCH("P",Statut_biogéographique!A:A,2,1),"P")</f>
        <v>P</v>
      </c>
      <c r="AP4332" s="4" t="s">
        <v>376</v>
      </c>
      <c r="AR4332" s="4" t="s">
        <v>377</v>
      </c>
    </row>
    <row r="4333" spans="1:44" ht="30">
      <c r="A4333" s="4" t="s">
        <v>5</v>
      </c>
      <c r="B4333" s="4">
        <v>35071</v>
      </c>
      <c r="C4333" s="4">
        <v>718</v>
      </c>
      <c r="D4333" s="5" t="s">
        <v>6363</v>
      </c>
      <c r="E4333" s="6" t="str">
        <f>HYPERLINK("https://inpn.mnhn.fr/espece/cd_nom/35071","Cortinarius infractus (Pers.) Fr., 1838")</f>
        <v>Cortinarius infractus (Pers.) Fr., 1838</v>
      </c>
      <c r="F4333" s="5" t="s">
        <v>6364</v>
      </c>
      <c r="V4333" s="7" t="str">
        <f>HYPERLINK("#Liste_rouge!A"&amp;_xlfn.XMATCH("LC",Liste_rouge!A:A,2,1),"LC")</f>
        <v>LC</v>
      </c>
      <c r="AH4333" s="4" t="str">
        <f>HYPERLINK("#Statut_biogéographique!A"&amp;_xlfn.XMATCH("P",Statut_biogéographique!A:A,2,1),"P")</f>
        <v>P</v>
      </c>
      <c r="AP4333" s="4" t="s">
        <v>376</v>
      </c>
      <c r="AR4333" s="4" t="s">
        <v>377</v>
      </c>
    </row>
    <row r="4334" spans="1:44" ht="30">
      <c r="A4334" s="4" t="s">
        <v>5</v>
      </c>
      <c r="B4334" s="4">
        <v>35076</v>
      </c>
      <c r="C4334" s="4">
        <v>2827</v>
      </c>
      <c r="D4334" s="5" t="s">
        <v>6365</v>
      </c>
      <c r="E4334" s="6" t="str">
        <f>HYPERLINK("https://inpn.mnhn.fr/espece/cd_nom/35076","Cortinarius infractus var. olivellus (Moser) Nespiak")</f>
        <v>Cortinarius infractus var. olivellus (Moser) Nespiak</v>
      </c>
      <c r="V4334" s="7" t="str">
        <f>HYPERLINK("#Liste_rouge!A"&amp;_xlfn.XMATCH("DD",Liste_rouge!A:A,2,1),"DD")</f>
        <v>DD</v>
      </c>
      <c r="AH4334" s="4" t="str">
        <f>HYPERLINK("#Statut_biogéographique!A"&amp;_xlfn.XMATCH("P",Statut_biogéographique!A:A,2,1),"P")</f>
        <v>P</v>
      </c>
      <c r="AP4334" s="4" t="s">
        <v>376</v>
      </c>
      <c r="AR4334" s="4" t="s">
        <v>377</v>
      </c>
    </row>
    <row r="4335" spans="1:44">
      <c r="A4335" s="4" t="s">
        <v>5</v>
      </c>
      <c r="B4335" s="4">
        <v>35086</v>
      </c>
      <c r="C4335" s="4">
        <v>2701</v>
      </c>
      <c r="D4335" s="5" t="s">
        <v>6366</v>
      </c>
      <c r="E4335" s="6" t="str">
        <f>HYPERLINK("https://inpn.mnhn.fr/espece/cd_nom/35086","Cortinarius ionochlorus Maire, 1937")</f>
        <v>Cortinarius ionochlorus Maire, 1937</v>
      </c>
      <c r="F4335" s="5" t="s">
        <v>6367</v>
      </c>
      <c r="O4335" s="7" t="str">
        <f>HYPERLINK("#Liste_rouge!A"&amp;_xlfn.XMATCH("NT",Liste_rouge!A:A,2,1),"NT")</f>
        <v>NT</v>
      </c>
      <c r="V4335" s="7" t="str">
        <f>HYPERLINK("#Liste_rouge!A"&amp;_xlfn.XMATCH("EN",Liste_rouge!A:A,2,1),"EN")</f>
        <v>EN</v>
      </c>
      <c r="W4335" s="4" t="str">
        <f>HYPERLINK("#Critères_liste_rouge!A$1","B2abiii")</f>
        <v>B2abiii</v>
      </c>
      <c r="Z4335" s="4" t="s">
        <v>695</v>
      </c>
      <c r="AA4335" s="4" t="s">
        <v>696</v>
      </c>
      <c r="AH4335" s="4" t="str">
        <f>HYPERLINK("#Statut_biogéographique!A"&amp;_xlfn.XMATCH("P",Statut_biogéographique!A:A,2,1),"P")</f>
        <v>P</v>
      </c>
      <c r="AP4335" s="4" t="s">
        <v>376</v>
      </c>
      <c r="AR4335" s="4" t="s">
        <v>377</v>
      </c>
    </row>
    <row r="4336" spans="1:44">
      <c r="A4336" s="4" t="s">
        <v>5</v>
      </c>
      <c r="B4336" s="4">
        <v>35092</v>
      </c>
      <c r="C4336" s="4">
        <v>5599</v>
      </c>
      <c r="D4336" s="5">
        <v>35092</v>
      </c>
      <c r="E4336" s="6" t="str">
        <f>HYPERLINK("https://inpn.mnhn.fr/espece/cd_nom/35092","Cortinarius irregularis (Bolt.) Fr.")</f>
        <v>Cortinarius irregularis (Bolt.) Fr.</v>
      </c>
      <c r="V4336" s="7" t="str">
        <f>HYPERLINK("#Liste_rouge!A"&amp;_xlfn.XMATCH("DD",Liste_rouge!A:A,2,1),"DD")</f>
        <v>DD</v>
      </c>
      <c r="AH4336" s="4" t="str">
        <f>HYPERLINK("#Statut_biogéographique!A"&amp;_xlfn.XMATCH("P",Statut_biogéographique!A:A,2,1),"P")</f>
        <v>P</v>
      </c>
      <c r="AP4336" s="4" t="s">
        <v>376</v>
      </c>
      <c r="AR4336" s="4" t="s">
        <v>377</v>
      </c>
    </row>
    <row r="4337" spans="1:44">
      <c r="A4337" s="4" t="s">
        <v>5</v>
      </c>
      <c r="B4337" s="4">
        <v>35095</v>
      </c>
      <c r="C4337" s="4">
        <v>2822</v>
      </c>
      <c r="D4337" s="5" t="s">
        <v>6368</v>
      </c>
      <c r="E4337" s="6" t="str">
        <f>HYPERLINK("https://inpn.mnhn.fr/espece/cd_nom/35095","Cortinarius isabellinus (Batsch) Fr., 1838")</f>
        <v>Cortinarius isabellinus (Batsch) Fr., 1838</v>
      </c>
      <c r="F4337" s="5" t="s">
        <v>6369</v>
      </c>
      <c r="V4337" s="7" t="str">
        <f>HYPERLINK("#Liste_rouge!A"&amp;_xlfn.XMATCH("LC",Liste_rouge!A:A,2,1),"LC")</f>
        <v>LC</v>
      </c>
      <c r="AH4337" s="4" t="str">
        <f>HYPERLINK("#Statut_biogéographique!A"&amp;_xlfn.XMATCH("P",Statut_biogéographique!A:A,2,1),"P")</f>
        <v>P</v>
      </c>
      <c r="AP4337" s="4" t="s">
        <v>376</v>
      </c>
      <c r="AR4337" s="4" t="s">
        <v>377</v>
      </c>
    </row>
    <row r="4338" spans="1:44">
      <c r="A4338" s="4" t="s">
        <v>5</v>
      </c>
      <c r="B4338" s="4">
        <v>35097</v>
      </c>
      <c r="C4338" s="4">
        <v>2977</v>
      </c>
      <c r="D4338" s="5" t="s">
        <v>6370</v>
      </c>
      <c r="E4338" s="6" t="str">
        <f>HYPERLINK("https://inpn.mnhn.fr/espece/cd_nom/35097","Cortinarius josserandii Bidaud, 1994")</f>
        <v>Cortinarius josserandii Bidaud, 1994</v>
      </c>
      <c r="F4338" s="5" t="s">
        <v>6220</v>
      </c>
      <c r="V4338" s="7" t="str">
        <f>HYPERLINK("#Liste_rouge!A"&amp;_xlfn.XMATCH("LC",Liste_rouge!A:A,2,1),"LC")</f>
        <v>LC</v>
      </c>
      <c r="AH4338" s="4" t="str">
        <f>HYPERLINK("#Statut_biogéographique!A"&amp;_xlfn.XMATCH("P",Statut_biogéographique!A:A,2,1),"P")</f>
        <v>P</v>
      </c>
      <c r="AP4338" s="4" t="s">
        <v>376</v>
      </c>
      <c r="AR4338" s="4" t="s">
        <v>377</v>
      </c>
    </row>
    <row r="4339" spans="1:44">
      <c r="A4339" s="4" t="s">
        <v>5</v>
      </c>
      <c r="B4339" s="4">
        <v>35099</v>
      </c>
      <c r="C4339" s="4">
        <v>3691</v>
      </c>
      <c r="D4339" s="5" t="s">
        <v>6371</v>
      </c>
      <c r="E4339" s="6" t="str">
        <f>HYPERLINK("https://inpn.mnhn.fr/espece/cd_nom/35099","Cortinarius jubarinus Fr., 1838")</f>
        <v>Cortinarius jubarinus Fr., 1838</v>
      </c>
      <c r="V4339" s="7" t="str">
        <f>HYPERLINK("#Liste_rouge!A"&amp;_xlfn.XMATCH("DD",Liste_rouge!A:A,2,1),"DD")</f>
        <v>DD</v>
      </c>
      <c r="AH4339" s="4" t="str">
        <f>HYPERLINK("#Statut_biogéographique!A"&amp;_xlfn.XMATCH("P",Statut_biogéographique!A:A,2,1),"P")</f>
        <v>P</v>
      </c>
      <c r="AP4339" s="4" t="s">
        <v>376</v>
      </c>
      <c r="AR4339" s="4" t="s">
        <v>377</v>
      </c>
    </row>
    <row r="4340" spans="1:44">
      <c r="A4340" s="4" t="s">
        <v>5</v>
      </c>
      <c r="B4340" s="4">
        <v>35110</v>
      </c>
      <c r="C4340" s="4">
        <v>3051</v>
      </c>
      <c r="D4340" s="5" t="s">
        <v>6372</v>
      </c>
      <c r="E4340" s="6" t="str">
        <f>HYPERLINK("https://inpn.mnhn.fr/espece/cd_nom/35110","Cortinarius langei Rob.Henry, 1985")</f>
        <v>Cortinarius langei Rob.Henry, 1985</v>
      </c>
      <c r="F4340" s="5" t="s">
        <v>6373</v>
      </c>
      <c r="V4340" s="7" t="str">
        <f>HYPERLINK("#Liste_rouge!A"&amp;_xlfn.XMATCH("EN",Liste_rouge!A:A,2,1),"EN")</f>
        <v>EN</v>
      </c>
      <c r="W4340" s="4" t="str">
        <f>HYPERLINK("#Critères_liste_rouge!A$1","B2abiii")</f>
        <v>B2abiii</v>
      </c>
      <c r="Z4340" s="4" t="s">
        <v>443</v>
      </c>
      <c r="AA4340" s="4" t="s">
        <v>444</v>
      </c>
      <c r="AH4340" s="4" t="str">
        <f>HYPERLINK("#Statut_biogéographique!A"&amp;_xlfn.XMATCH("P",Statut_biogéographique!A:A,2,1),"P")</f>
        <v>P</v>
      </c>
      <c r="AP4340" s="4" t="s">
        <v>376</v>
      </c>
      <c r="AR4340" s="4" t="s">
        <v>377</v>
      </c>
    </row>
    <row r="4341" spans="1:44">
      <c r="A4341" s="4" t="s">
        <v>5</v>
      </c>
      <c r="B4341" s="4">
        <v>35113</v>
      </c>
      <c r="C4341" s="4">
        <v>1962</v>
      </c>
      <c r="D4341" s="5" t="s">
        <v>6374</v>
      </c>
      <c r="E4341" s="6" t="str">
        <f>HYPERLINK("https://inpn.mnhn.fr/espece/cd_nom/35113","Cortinarius laniger Fr., 1838")</f>
        <v>Cortinarius laniger Fr., 1838</v>
      </c>
      <c r="F4341" s="5" t="s">
        <v>6375</v>
      </c>
      <c r="V4341" s="7" t="str">
        <f>HYPERLINK("#Liste_rouge!A"&amp;_xlfn.XMATCH("LC",Liste_rouge!A:A,2,1),"LC")</f>
        <v>LC</v>
      </c>
      <c r="AH4341" s="4" t="str">
        <f>HYPERLINK("#Statut_biogéographique!A"&amp;_xlfn.XMATCH("P",Statut_biogéographique!A:A,2,1),"P")</f>
        <v>P</v>
      </c>
      <c r="AP4341" s="4" t="s">
        <v>376</v>
      </c>
      <c r="AR4341" s="4" t="s">
        <v>377</v>
      </c>
    </row>
    <row r="4342" spans="1:44">
      <c r="A4342" s="4" t="s">
        <v>5</v>
      </c>
      <c r="B4342" s="4">
        <v>35116</v>
      </c>
      <c r="C4342" s="4">
        <v>3935</v>
      </c>
      <c r="D4342" s="5" t="s">
        <v>6376</v>
      </c>
      <c r="E4342" s="6" t="str">
        <f>HYPERLINK("https://inpn.mnhn.fr/espece/cd_nom/35116","Cortinarius lanigeroides P.D.Orton, 1983")</f>
        <v>Cortinarius lanigeroides P.D.Orton, 1983</v>
      </c>
      <c r="V4342" s="7" t="str">
        <f>HYPERLINK("#Liste_rouge!A"&amp;_xlfn.XMATCH("DD",Liste_rouge!A:A,2,1),"DD")</f>
        <v>DD</v>
      </c>
      <c r="AH4342" s="4" t="str">
        <f>HYPERLINK("#Statut_biogéographique!A"&amp;_xlfn.XMATCH("P",Statut_biogéographique!A:A,2,1),"P")</f>
        <v>P</v>
      </c>
      <c r="AP4342" s="4" t="s">
        <v>376</v>
      </c>
      <c r="AR4342" s="4" t="s">
        <v>377</v>
      </c>
    </row>
    <row r="4343" spans="1:44" ht="30">
      <c r="A4343" s="4" t="s">
        <v>5</v>
      </c>
      <c r="B4343" s="4">
        <v>35120</v>
      </c>
      <c r="C4343" s="4">
        <v>3559</v>
      </c>
      <c r="D4343" s="5">
        <v>511439</v>
      </c>
      <c r="E4343" s="6" t="str">
        <f>HYPERLINK("https://inpn.mnhn.fr/espece/cd_nom/35120","Cortinarius variecolor var. marginatus (Moser) Moser ex Quadraccia")</f>
        <v>Cortinarius variecolor var. marginatus (Moser) Moser ex Quadraccia</v>
      </c>
      <c r="V4343" s="7" t="str">
        <f>HYPERLINK("#Liste_rouge!A"&amp;_xlfn.XMATCH("DD",Liste_rouge!A:A,2,1),"DD")</f>
        <v>DD</v>
      </c>
      <c r="AH4343" s="4" t="str">
        <f>HYPERLINK("#Statut_biogéographique!A"&amp;_xlfn.XMATCH("P",Statut_biogéographique!A:A,2,1),"P")</f>
        <v>P</v>
      </c>
      <c r="AP4343" s="4" t="s">
        <v>376</v>
      </c>
      <c r="AR4343" s="4" t="s">
        <v>377</v>
      </c>
    </row>
    <row r="4344" spans="1:44">
      <c r="A4344" s="4" t="s">
        <v>5</v>
      </c>
      <c r="B4344" s="4">
        <v>35121</v>
      </c>
      <c r="C4344" s="4">
        <v>548</v>
      </c>
      <c r="D4344" s="5" t="s">
        <v>6377</v>
      </c>
      <c r="E4344" s="6" t="str">
        <f>HYPERLINK("https://inpn.mnhn.fr/espece/cd_nom/35121","Cortinarius largus Fr., 1838")</f>
        <v>Cortinarius largus Fr., 1838</v>
      </c>
      <c r="F4344" s="5" t="s">
        <v>6378</v>
      </c>
      <c r="V4344" s="7" t="str">
        <f>HYPERLINK("#Liste_rouge!A"&amp;_xlfn.XMATCH("LC",Liste_rouge!A:A,2,1),"LC")</f>
        <v>LC</v>
      </c>
      <c r="AH4344" s="4" t="str">
        <f>HYPERLINK("#Statut_biogéographique!A"&amp;_xlfn.XMATCH("P",Statut_biogéographique!A:A,2,1),"P")</f>
        <v>P</v>
      </c>
      <c r="AP4344" s="4" t="s">
        <v>376</v>
      </c>
      <c r="AR4344" s="4" t="s">
        <v>377</v>
      </c>
    </row>
    <row r="4345" spans="1:44">
      <c r="A4345" s="4" t="s">
        <v>5</v>
      </c>
      <c r="B4345" s="4">
        <v>35130</v>
      </c>
      <c r="C4345" s="4">
        <v>2648</v>
      </c>
      <c r="D4345" s="5" t="s">
        <v>6379</v>
      </c>
      <c r="E4345" s="6" t="str">
        <f>HYPERLINK("https://inpn.mnhn.fr/espece/cd_nom/35130","Cortinarius lepidopus Cooke, 1887")</f>
        <v>Cortinarius lepidopus Cooke, 1887</v>
      </c>
      <c r="V4345" s="7" t="str">
        <f>HYPERLINK("#Liste_rouge!A"&amp;_xlfn.XMATCH("EN",Liste_rouge!A:A,2,1),"EN")</f>
        <v>EN</v>
      </c>
      <c r="W4345" s="4" t="str">
        <f>HYPERLINK("#Critères_liste_rouge!A$1","B2abiii")</f>
        <v>B2abiii</v>
      </c>
      <c r="Z4345" s="4" t="s">
        <v>447</v>
      </c>
      <c r="AA4345" s="4" t="s">
        <v>448</v>
      </c>
      <c r="AH4345" s="4" t="str">
        <f>HYPERLINK("#Statut_biogéographique!A"&amp;_xlfn.XMATCH("P",Statut_biogéographique!A:A,2,1),"P")</f>
        <v>P</v>
      </c>
      <c r="AP4345" s="4" t="s">
        <v>376</v>
      </c>
      <c r="AR4345" s="4" t="s">
        <v>377</v>
      </c>
    </row>
    <row r="4346" spans="1:44">
      <c r="A4346" s="4" t="s">
        <v>5</v>
      </c>
      <c r="B4346" s="4">
        <v>35138</v>
      </c>
      <c r="C4346" s="4">
        <v>1903</v>
      </c>
      <c r="D4346" s="5" t="s">
        <v>6380</v>
      </c>
      <c r="E4346" s="6" t="str">
        <f>HYPERLINK("https://inpn.mnhn.fr/espece/cd_nom/35138","Cortinarius limonius (Fr.) Fr., 1838")</f>
        <v>Cortinarius limonius (Fr.) Fr., 1838</v>
      </c>
      <c r="F4346" s="5" t="s">
        <v>6172</v>
      </c>
      <c r="V4346" s="7" t="str">
        <f>HYPERLINK("#Liste_rouge!A"&amp;_xlfn.XMATCH("LC",Liste_rouge!A:A,2,1),"LC")</f>
        <v>LC</v>
      </c>
      <c r="Z4346" s="4" t="s">
        <v>443</v>
      </c>
      <c r="AA4346" s="4" t="s">
        <v>444</v>
      </c>
      <c r="AH4346" s="4" t="str">
        <f>HYPERLINK("#Statut_biogéographique!A"&amp;_xlfn.XMATCH("P",Statut_biogéographique!A:A,2,1),"P")</f>
        <v>P</v>
      </c>
      <c r="AP4346" s="4" t="s">
        <v>376</v>
      </c>
      <c r="AR4346" s="4" t="s">
        <v>377</v>
      </c>
    </row>
    <row r="4347" spans="1:44">
      <c r="A4347" s="4" t="s">
        <v>5</v>
      </c>
      <c r="B4347" s="4">
        <v>35146</v>
      </c>
      <c r="C4347" s="4">
        <v>548</v>
      </c>
      <c r="D4347" s="5" t="s">
        <v>6381</v>
      </c>
      <c r="E4347" s="6" t="str">
        <f>HYPERLINK("https://inpn.mnhn.fr/espece/cd_nom/35146","Cortinarius largus Fr., 1838")</f>
        <v>Cortinarius largus Fr., 1838</v>
      </c>
      <c r="V4347" s="7" t="str">
        <f>HYPERLINK("#Liste_rouge!A"&amp;_xlfn.XMATCH("LC",Liste_rouge!A:A,2,1),"LC")</f>
        <v>LC</v>
      </c>
      <c r="AH4347" s="4" t="str">
        <f>HYPERLINK("#Statut_biogéographique!A"&amp;_xlfn.XMATCH("P",Statut_biogéographique!A:A,2,1),"P")</f>
        <v>P</v>
      </c>
      <c r="AP4347" s="4" t="s">
        <v>376</v>
      </c>
      <c r="AR4347" s="4" t="s">
        <v>377</v>
      </c>
    </row>
    <row r="4348" spans="1:44">
      <c r="A4348" s="4" t="s">
        <v>5</v>
      </c>
      <c r="B4348" s="4">
        <v>35149</v>
      </c>
      <c r="C4348" s="4">
        <v>3461</v>
      </c>
      <c r="D4348" s="5" t="s">
        <v>6382</v>
      </c>
      <c r="E4348" s="6" t="str">
        <f>HYPERLINK("https://inpn.mnhn.fr/espece/cd_nom/35149","Cortinarius impennis var. lucorum Fr., 1838")</f>
        <v>Cortinarius impennis var. lucorum Fr., 1838</v>
      </c>
      <c r="V4348" s="7" t="str">
        <f>HYPERLINK("#Liste_rouge!A"&amp;_xlfn.XMATCH("LC",Liste_rouge!A:A,2,1),"LC")</f>
        <v>LC</v>
      </c>
      <c r="AH4348" s="4" t="str">
        <f>HYPERLINK("#Statut_biogéographique!A"&amp;_xlfn.XMATCH("P",Statut_biogéographique!A:A,2,1),"P")</f>
        <v>P</v>
      </c>
      <c r="AP4348" s="4" t="s">
        <v>376</v>
      </c>
      <c r="AR4348" s="4" t="s">
        <v>377</v>
      </c>
    </row>
    <row r="4349" spans="1:44">
      <c r="A4349" s="4" t="s">
        <v>5</v>
      </c>
      <c r="B4349" s="4">
        <v>35158</v>
      </c>
      <c r="C4349" s="4">
        <v>3053</v>
      </c>
      <c r="D4349" s="5" t="s">
        <v>6383</v>
      </c>
      <c r="E4349" s="6" t="str">
        <f>HYPERLINK("https://inpn.mnhn.fr/espece/cd_nom/35158","Cortinarius magicus Eichhorn, 1967")</f>
        <v>Cortinarius magicus Eichhorn, 1967</v>
      </c>
      <c r="V4349" s="7" t="str">
        <f>HYPERLINK("#Liste_rouge!A"&amp;_xlfn.XMATCH("LC",Liste_rouge!A:A,2,1),"LC")</f>
        <v>LC</v>
      </c>
      <c r="AH4349" s="4" t="str">
        <f>HYPERLINK("#Statut_biogéographique!A"&amp;_xlfn.XMATCH("P",Statut_biogéographique!A:A,2,1),"P")</f>
        <v>P</v>
      </c>
      <c r="AP4349" s="4" t="s">
        <v>376</v>
      </c>
      <c r="AR4349" s="4" t="s">
        <v>377</v>
      </c>
    </row>
    <row r="4350" spans="1:44">
      <c r="A4350" s="4" t="s">
        <v>5</v>
      </c>
      <c r="B4350" s="4">
        <v>35163</v>
      </c>
      <c r="C4350" s="4">
        <v>1851</v>
      </c>
      <c r="D4350" s="5" t="s">
        <v>6384</v>
      </c>
      <c r="E4350" s="6" t="str">
        <f>HYPERLINK("https://inpn.mnhn.fr/espece/cd_nom/35163","Cortinarius mairei M.M.Moser, 1967")</f>
        <v>Cortinarius mairei M.M.Moser, 1967</v>
      </c>
      <c r="F4350" s="5" t="s">
        <v>6108</v>
      </c>
      <c r="V4350" s="7" t="str">
        <f>HYPERLINK("#Liste_rouge!A"&amp;_xlfn.XMATCH("LC",Liste_rouge!A:A,2,1),"LC")</f>
        <v>LC</v>
      </c>
      <c r="W4350" s="4" t="str">
        <f>HYPERLINK("#Critères_liste_rouge!A$1","B2abiii")</f>
        <v>B2abiii</v>
      </c>
      <c r="Z4350" s="4" t="s">
        <v>447</v>
      </c>
      <c r="AA4350" s="4" t="s">
        <v>448</v>
      </c>
      <c r="AH4350" s="4" t="str">
        <f>HYPERLINK("#Statut_biogéographique!A"&amp;_xlfn.XMATCH("P",Statut_biogéographique!A:A,2,1),"P")</f>
        <v>P</v>
      </c>
      <c r="AP4350" s="4" t="s">
        <v>376</v>
      </c>
      <c r="AR4350" s="4" t="s">
        <v>377</v>
      </c>
    </row>
    <row r="4351" spans="1:44">
      <c r="A4351" s="4" t="s">
        <v>5</v>
      </c>
      <c r="B4351" s="4">
        <v>35167</v>
      </c>
      <c r="C4351" s="4">
        <v>3054</v>
      </c>
      <c r="D4351" s="5" t="s">
        <v>6385</v>
      </c>
      <c r="E4351" s="6" t="str">
        <f>HYPERLINK("https://inpn.mnhn.fr/espece/cd_nom/35167","Cortinarius malachius (Fr.) Fr., 1838")</f>
        <v>Cortinarius malachius (Fr.) Fr., 1838</v>
      </c>
      <c r="F4351" s="5" t="s">
        <v>6386</v>
      </c>
      <c r="V4351" s="7" t="str">
        <f>HYPERLINK("#Liste_rouge!A"&amp;_xlfn.XMATCH("LC",Liste_rouge!A:A,2,1),"LC")</f>
        <v>LC</v>
      </c>
      <c r="Z4351" s="4" t="s">
        <v>443</v>
      </c>
      <c r="AA4351" s="4" t="s">
        <v>444</v>
      </c>
      <c r="AH4351" s="4" t="str">
        <f>HYPERLINK("#Statut_biogéographique!A"&amp;_xlfn.XMATCH("P",Statut_biogéographique!A:A,2,1),"P")</f>
        <v>P</v>
      </c>
      <c r="AP4351" s="4" t="s">
        <v>376</v>
      </c>
      <c r="AR4351" s="4" t="s">
        <v>377</v>
      </c>
    </row>
    <row r="4352" spans="1:44">
      <c r="A4352" s="4" t="s">
        <v>5</v>
      </c>
      <c r="B4352" s="4">
        <v>35168</v>
      </c>
      <c r="C4352" s="4">
        <v>1876</v>
      </c>
      <c r="D4352" s="5" t="s">
        <v>6387</v>
      </c>
      <c r="E4352" s="6" t="str">
        <f>HYPERLINK("https://inpn.mnhn.fr/espece/cd_nom/35168","Cortinarius umidicola Kauffman, 1905")</f>
        <v>Cortinarius umidicola Kauffman, 1905</v>
      </c>
      <c r="V4352" s="7" t="str">
        <f>HYPERLINK("#Liste_rouge!A"&amp;_xlfn.XMATCH("RE",Liste_rouge!A:A,2,1),"RE")</f>
        <v>RE</v>
      </c>
      <c r="AH4352" s="4" t="str">
        <f>HYPERLINK("#Statut_biogéographique!A"&amp;_xlfn.XMATCH("P",Statut_biogéographique!A:A,2,1),"P")</f>
        <v>P</v>
      </c>
      <c r="AP4352" s="4" t="s">
        <v>376</v>
      </c>
      <c r="AR4352" s="4" t="s">
        <v>377</v>
      </c>
    </row>
    <row r="4353" spans="1:44">
      <c r="A4353" s="4" t="s">
        <v>5</v>
      </c>
      <c r="B4353" s="4">
        <v>35170</v>
      </c>
      <c r="C4353" s="4">
        <v>857</v>
      </c>
      <c r="D4353" s="5" t="s">
        <v>6388</v>
      </c>
      <c r="E4353" s="6" t="str">
        <f>HYPERLINK("https://inpn.mnhn.fr/espece/cd_nom/35170","Cortinarius malicorius Fr., 1838")</f>
        <v>Cortinarius malicorius Fr., 1838</v>
      </c>
      <c r="F4353" s="5" t="s">
        <v>6389</v>
      </c>
      <c r="V4353" s="7" t="str">
        <f>HYPERLINK("#Liste_rouge!A"&amp;_xlfn.XMATCH("LC",Liste_rouge!A:A,2,1),"LC")</f>
        <v>LC</v>
      </c>
      <c r="AH4353" s="4" t="str">
        <f>HYPERLINK("#Statut_biogéographique!A"&amp;_xlfn.XMATCH("P",Statut_biogéographique!A:A,2,1),"P")</f>
        <v>P</v>
      </c>
      <c r="AP4353" s="4" t="s">
        <v>376</v>
      </c>
      <c r="AR4353" s="4" t="s">
        <v>377</v>
      </c>
    </row>
    <row r="4354" spans="1:44" ht="30">
      <c r="A4354" s="4" t="s">
        <v>5</v>
      </c>
      <c r="B4354" s="4">
        <v>35175</v>
      </c>
      <c r="C4354" s="4">
        <v>3048</v>
      </c>
      <c r="D4354" s="5" t="s">
        <v>6390</v>
      </c>
      <c r="E4354" s="6" t="str">
        <f>HYPERLINK("https://inpn.mnhn.fr/espece/cd_nom/35175","Cortinarius masseei Bidaud, Moënne-Locc. &amp; Reumaux, 1993")</f>
        <v>Cortinarius masseei Bidaud, Moënne-Locc. &amp; Reumaux, 1993</v>
      </c>
      <c r="V4354" s="7" t="str">
        <f>HYPERLINK("#Liste_rouge!A"&amp;_xlfn.XMATCH("DD",Liste_rouge!A:A,2,1),"DD")</f>
        <v>DD</v>
      </c>
      <c r="AH4354" s="4" t="str">
        <f>HYPERLINK("#Statut_biogéographique!A"&amp;_xlfn.XMATCH("P",Statut_biogéographique!A:A,2,1),"P")</f>
        <v>P</v>
      </c>
      <c r="AP4354" s="4" t="s">
        <v>376</v>
      </c>
      <c r="AR4354" s="4" t="s">
        <v>377</v>
      </c>
    </row>
    <row r="4355" spans="1:44">
      <c r="A4355" s="4" t="s">
        <v>5</v>
      </c>
      <c r="B4355" s="4">
        <v>35180</v>
      </c>
      <c r="C4355" s="4">
        <v>6150</v>
      </c>
      <c r="D4355" s="5" t="s">
        <v>6391</v>
      </c>
      <c r="E4355" s="6" t="str">
        <f>HYPERLINK("https://inpn.mnhn.fr/espece/cd_nom/35180","Cortinarius subsertipes Romagn., 1952")</f>
        <v>Cortinarius subsertipes Romagn., 1952</v>
      </c>
      <c r="AH4355" s="4" t="str">
        <f>HYPERLINK("#Statut_biogéographique!A"&amp;_xlfn.XMATCH("P",Statut_biogéographique!A:A,2,1),"P")</f>
        <v>P</v>
      </c>
      <c r="AP4355" s="4" t="s">
        <v>376</v>
      </c>
      <c r="AR4355" s="4" t="s">
        <v>377</v>
      </c>
    </row>
    <row r="4356" spans="1:44">
      <c r="A4356" s="4" t="s">
        <v>5</v>
      </c>
      <c r="B4356" s="4">
        <v>35181</v>
      </c>
      <c r="C4356" s="4">
        <v>6555</v>
      </c>
      <c r="D4356" s="5">
        <v>35181</v>
      </c>
      <c r="E4356" s="6" t="str">
        <f>HYPERLINK("https://inpn.mnhn.fr/espece/cd_nom/35181","Cortinarius unimodus Britzelm., 1885")</f>
        <v>Cortinarius unimodus Britzelm., 1885</v>
      </c>
      <c r="AH4356" s="4" t="str">
        <f>HYPERLINK("#Statut_biogéographique!A"&amp;_xlfn.XMATCH("P",Statut_biogéographique!A:A,2,1),"P")</f>
        <v>P</v>
      </c>
      <c r="AP4356" s="4" t="s">
        <v>376</v>
      </c>
      <c r="AR4356" s="4" t="s">
        <v>377</v>
      </c>
    </row>
    <row r="4357" spans="1:44">
      <c r="A4357" s="4" t="s">
        <v>5</v>
      </c>
      <c r="B4357" s="4">
        <v>35183</v>
      </c>
      <c r="C4357" s="4">
        <v>2001</v>
      </c>
      <c r="D4357" s="5" t="s">
        <v>6392</v>
      </c>
      <c r="E4357" s="6" t="str">
        <f>HYPERLINK("https://inpn.mnhn.fr/espece/cd_nom/35183","Cortinarius meinhardii Bon, 1986")</f>
        <v>Cortinarius meinhardii Bon, 1986</v>
      </c>
      <c r="F4357" s="5" t="s">
        <v>6393</v>
      </c>
      <c r="O4357" s="7" t="str">
        <f>HYPERLINK("#Liste_rouge!A"&amp;_xlfn.XMATCH("NT",Liste_rouge!A:A,2,1),"NT")</f>
        <v>NT</v>
      </c>
      <c r="V4357" s="7" t="str">
        <f>HYPERLINK("#Liste_rouge!A"&amp;_xlfn.XMATCH("DD",Liste_rouge!A:A,2,1),"DD")</f>
        <v>DD</v>
      </c>
      <c r="AH4357" s="4" t="str">
        <f>HYPERLINK("#Statut_biogéographique!A"&amp;_xlfn.XMATCH("P",Statut_biogéographique!A:A,2,1),"P")</f>
        <v>P</v>
      </c>
      <c r="AP4357" s="4" t="s">
        <v>376</v>
      </c>
      <c r="AR4357" s="4" t="s">
        <v>377</v>
      </c>
    </row>
    <row r="4358" spans="1:44" ht="30">
      <c r="A4358" s="4" t="s">
        <v>5</v>
      </c>
      <c r="B4358" s="4">
        <v>35186</v>
      </c>
      <c r="C4358" s="4">
        <v>1135</v>
      </c>
      <c r="D4358" s="5" t="s">
        <v>6394</v>
      </c>
      <c r="E4358" s="6" t="str">
        <f>HYPERLINK("https://inpn.mnhn.fr/espece/cd_nom/35186","Cortinarius melanotus Kalchbr., 1874")</f>
        <v>Cortinarius melanotus Kalchbr., 1874</v>
      </c>
      <c r="F4358" s="5" t="s">
        <v>6395</v>
      </c>
      <c r="V4358" s="7" t="str">
        <f>HYPERLINK("#Liste_rouge!A"&amp;_xlfn.XMATCH("LC",Liste_rouge!A:A,2,1),"LC")</f>
        <v>LC</v>
      </c>
      <c r="AH4358" s="4" t="str">
        <f>HYPERLINK("#Statut_biogéographique!A"&amp;_xlfn.XMATCH("P",Statut_biogéographique!A:A,2,1),"P")</f>
        <v>P</v>
      </c>
      <c r="AP4358" s="4" t="s">
        <v>376</v>
      </c>
      <c r="AR4358" s="4" t="s">
        <v>377</v>
      </c>
    </row>
    <row r="4359" spans="1:44">
      <c r="A4359" s="4" t="s">
        <v>5</v>
      </c>
      <c r="B4359" s="4">
        <v>35189</v>
      </c>
      <c r="C4359" s="4">
        <v>2235</v>
      </c>
      <c r="D4359" s="5" t="s">
        <v>6396</v>
      </c>
      <c r="E4359" s="6" t="str">
        <f>HYPERLINK("https://inpn.mnhn.fr/espece/cd_nom/35189","Cortinarius fulvescens Fr., 1838")</f>
        <v>Cortinarius fulvescens Fr., 1838</v>
      </c>
      <c r="V4359" s="7" t="str">
        <f>HYPERLINK("#Liste_rouge!A"&amp;_xlfn.XMATCH("LC",Liste_rouge!A:A,2,1),"LC")</f>
        <v>LC</v>
      </c>
      <c r="AH4359" s="4" t="str">
        <f>HYPERLINK("#Statut_biogéographique!A"&amp;_xlfn.XMATCH("P",Statut_biogéographique!A:A,2,1),"P")</f>
        <v>P</v>
      </c>
      <c r="AP4359" s="4" t="s">
        <v>376</v>
      </c>
      <c r="AR4359" s="4" t="s">
        <v>377</v>
      </c>
    </row>
    <row r="4360" spans="1:44">
      <c r="A4360" s="4" t="s">
        <v>5</v>
      </c>
      <c r="B4360" s="4">
        <v>35199</v>
      </c>
      <c r="C4360" s="4">
        <v>3055</v>
      </c>
      <c r="D4360" s="5" t="s">
        <v>6397</v>
      </c>
      <c r="E4360" s="6" t="str">
        <f>HYPERLINK("https://inpn.mnhn.fr/espece/cd_nom/35199","Cortinarius microspermus J.E.Lange, 1940")</f>
        <v>Cortinarius microspermus J.E.Lange, 1940</v>
      </c>
      <c r="V4360" s="7" t="str">
        <f>HYPERLINK("#Liste_rouge!A"&amp;_xlfn.XMATCH("DD",Liste_rouge!A:A,2,1),"DD")</f>
        <v>DD</v>
      </c>
      <c r="AH4360" s="4" t="str">
        <f>HYPERLINK("#Statut_biogéographique!A"&amp;_xlfn.XMATCH("P",Statut_biogéographique!A:A,2,1),"P")</f>
        <v>P</v>
      </c>
      <c r="AP4360" s="4" t="s">
        <v>376</v>
      </c>
      <c r="AR4360" s="4" t="s">
        <v>377</v>
      </c>
    </row>
    <row r="4361" spans="1:44">
      <c r="A4361" s="4" t="s">
        <v>5</v>
      </c>
      <c r="B4361" s="4">
        <v>35201</v>
      </c>
      <c r="C4361" s="4">
        <v>6025</v>
      </c>
      <c r="D4361" s="5" t="s">
        <v>6398</v>
      </c>
      <c r="E4361" s="6" t="str">
        <f>HYPERLINK("https://inpn.mnhn.fr/espece/cd_nom/35201","Cortinarius miniobtusus Rob.Henry, 1968")</f>
        <v>Cortinarius miniobtusus Rob.Henry, 1968</v>
      </c>
      <c r="AH4361" s="4" t="str">
        <f>HYPERLINK("#Statut_biogéographique!A"&amp;_xlfn.XMATCH("P",Statut_biogéographique!A:A,2,1),"P")</f>
        <v>P</v>
      </c>
      <c r="AP4361" s="4" t="s">
        <v>376</v>
      </c>
      <c r="AR4361" s="4" t="s">
        <v>377</v>
      </c>
    </row>
    <row r="4362" spans="1:44" ht="30">
      <c r="A4362" s="4" t="s">
        <v>5</v>
      </c>
      <c r="B4362" s="4">
        <v>35206</v>
      </c>
      <c r="C4362" s="4">
        <v>3699</v>
      </c>
      <c r="D4362" s="5" t="s">
        <v>6399</v>
      </c>
      <c r="E4362" s="6" t="str">
        <f>HYPERLINK("https://inpn.mnhn.fr/espece/cd_nom/35206","Cortinarius mirandus Moënne-Locc. &amp; Reumaux, 1994")</f>
        <v>Cortinarius mirandus Moënne-Locc. &amp; Reumaux, 1994</v>
      </c>
      <c r="F4362" s="5" t="s">
        <v>6400</v>
      </c>
      <c r="AH4362" s="4" t="str">
        <f>HYPERLINK("#Statut_biogéographique!A"&amp;_xlfn.XMATCH("P",Statut_biogéographique!A:A,2,1),"P")</f>
        <v>P</v>
      </c>
      <c r="AP4362" s="4" t="s">
        <v>376</v>
      </c>
      <c r="AR4362" s="4" t="s">
        <v>377</v>
      </c>
    </row>
    <row r="4363" spans="1:44">
      <c r="A4363" s="4" t="s">
        <v>5</v>
      </c>
      <c r="B4363" s="4">
        <v>35209</v>
      </c>
      <c r="C4363" s="4">
        <v>1437</v>
      </c>
      <c r="D4363" s="5" t="s">
        <v>6401</v>
      </c>
      <c r="E4363" s="6" t="str">
        <f>HYPERLINK("https://inpn.mnhn.fr/espece/cd_nom/35209","Cortinarius moenne-loccozii Bidaud, 1993")</f>
        <v>Cortinarius moenne-loccozii Bidaud, 1993</v>
      </c>
      <c r="F4363" s="5" t="s">
        <v>6402</v>
      </c>
      <c r="V4363" s="7" t="str">
        <f>HYPERLINK("#Liste_rouge!A"&amp;_xlfn.XMATCH("NT",Liste_rouge!A:A,2,1),"NT")</f>
        <v>NT</v>
      </c>
      <c r="W4363" s="4" t="str">
        <f>HYPERLINK("#Critères_liste_rouge!A$1","pr. B2abiii")</f>
        <v>pr. B2abiii</v>
      </c>
      <c r="Z4363" s="4" t="s">
        <v>695</v>
      </c>
      <c r="AA4363" s="4" t="s">
        <v>696</v>
      </c>
      <c r="AH4363" s="4" t="str">
        <f>HYPERLINK("#Statut_biogéographique!A"&amp;_xlfn.XMATCH("P",Statut_biogéographique!A:A,2,1),"P")</f>
        <v>P</v>
      </c>
      <c r="AP4363" s="4" t="s">
        <v>376</v>
      </c>
      <c r="AR4363" s="4" t="s">
        <v>377</v>
      </c>
    </row>
    <row r="4364" spans="1:44" ht="30">
      <c r="A4364" s="4" t="s">
        <v>5</v>
      </c>
      <c r="B4364" s="4">
        <v>35213</v>
      </c>
      <c r="C4364" s="4">
        <v>1515</v>
      </c>
      <c r="D4364" s="5" t="s">
        <v>6403</v>
      </c>
      <c r="E4364" s="6" t="str">
        <f>HYPERLINK("https://inpn.mnhn.fr/espece/cd_nom/35213","Cortinarius mucifluoides Rob.Henry ex Bidaud, Moënne-Locc. &amp; Reumaux, 2000")</f>
        <v>Cortinarius mucifluoides Rob.Henry ex Bidaud, Moënne-Locc. &amp; Reumaux, 2000</v>
      </c>
      <c r="F4364" s="5" t="s">
        <v>6404</v>
      </c>
      <c r="V4364" s="7" t="str">
        <f>HYPERLINK("#Liste_rouge!A"&amp;_xlfn.XMATCH("LC",Liste_rouge!A:A,2,1),"LC")</f>
        <v>LC</v>
      </c>
      <c r="AH4364" s="4" t="str">
        <f>HYPERLINK("#Statut_biogéographique!A"&amp;_xlfn.XMATCH("P",Statut_biogéographique!A:A,2,1),"P")</f>
        <v>P</v>
      </c>
      <c r="AP4364" s="4" t="s">
        <v>376</v>
      </c>
      <c r="AR4364" s="4" t="s">
        <v>377</v>
      </c>
    </row>
    <row r="4365" spans="1:44">
      <c r="A4365" s="4" t="s">
        <v>5</v>
      </c>
      <c r="B4365" s="4">
        <v>35215</v>
      </c>
      <c r="C4365" s="4">
        <v>643</v>
      </c>
      <c r="D4365" s="5" t="s">
        <v>6405</v>
      </c>
      <c r="E4365" s="6" t="str">
        <f>HYPERLINK("https://inpn.mnhn.fr/espece/cd_nom/35215","Cortinarius pseudosalor J.E.Lange, 1940")</f>
        <v>Cortinarius pseudosalor J.E.Lange, 1940</v>
      </c>
      <c r="F4365" s="5" t="s">
        <v>6406</v>
      </c>
      <c r="V4365" s="7" t="str">
        <f>HYPERLINK("#Liste_rouge!A"&amp;_xlfn.XMATCH("VU",Liste_rouge!A:A,2,1),"VU")</f>
        <v>VU</v>
      </c>
      <c r="W4365" s="4" t="str">
        <f>HYPERLINK("#Critères_liste_rouge!A$1","D2")</f>
        <v>D2</v>
      </c>
      <c r="Z4365" s="4" t="s">
        <v>443</v>
      </c>
      <c r="AA4365" s="4" t="s">
        <v>444</v>
      </c>
      <c r="AH4365" s="4" t="str">
        <f>HYPERLINK("#Statut_biogéographique!A"&amp;_xlfn.XMATCH("P",Statut_biogéographique!A:A,2,1),"P")</f>
        <v>P</v>
      </c>
      <c r="AP4365" s="4" t="s">
        <v>376</v>
      </c>
      <c r="AR4365" s="4" t="s">
        <v>377</v>
      </c>
    </row>
    <row r="4366" spans="1:44">
      <c r="A4366" s="4" t="s">
        <v>5</v>
      </c>
      <c r="B4366" s="4">
        <v>35217</v>
      </c>
      <c r="C4366" s="4">
        <v>804</v>
      </c>
      <c r="D4366" s="5" t="s">
        <v>6407</v>
      </c>
      <c r="E4366" s="6" t="str">
        <f>HYPERLINK("https://inpn.mnhn.fr/espece/cd_nom/35217","Cortinarius mucifluus Fr., 1838")</f>
        <v>Cortinarius mucifluus Fr., 1838</v>
      </c>
      <c r="V4366" s="7" t="str">
        <f>HYPERLINK("#Liste_rouge!A"&amp;_xlfn.XMATCH("LC",Liste_rouge!A:A,2,1),"LC")</f>
        <v>LC</v>
      </c>
      <c r="AH4366" s="4" t="str">
        <f>HYPERLINK("#Statut_biogéographique!A"&amp;_xlfn.XMATCH("P",Statut_biogéographique!A:A,2,1),"P")</f>
        <v>P</v>
      </c>
      <c r="AP4366" s="4" t="s">
        <v>376</v>
      </c>
      <c r="AR4366" s="4" t="s">
        <v>377</v>
      </c>
    </row>
    <row r="4367" spans="1:44" ht="30">
      <c r="A4367" s="4" t="s">
        <v>5</v>
      </c>
      <c r="B4367" s="4">
        <v>35220</v>
      </c>
      <c r="C4367" s="4">
        <v>3837</v>
      </c>
      <c r="D4367" s="5" t="s">
        <v>6408</v>
      </c>
      <c r="E4367" s="6" t="str">
        <f>HYPERLINK("https://inpn.mnhn.fr/espece/cd_nom/35220","Cortinarius mucosus (Bull.) J.Kickx f., 1867")</f>
        <v>Cortinarius mucosus (Bull.) J.Kickx f., 1867</v>
      </c>
      <c r="F4367" s="5" t="s">
        <v>6409</v>
      </c>
      <c r="V4367" s="7" t="str">
        <f>HYPERLINK("#Liste_rouge!A"&amp;_xlfn.XMATCH("EN",Liste_rouge!A:A,2,1),"EN")</f>
        <v>EN</v>
      </c>
      <c r="W4367" s="4" t="str">
        <f>HYPERLINK("#Critères_liste_rouge!A$1","B2abiii")</f>
        <v>B2abiii</v>
      </c>
      <c r="Z4367" s="4" t="s">
        <v>447</v>
      </c>
      <c r="AA4367" s="4" t="s">
        <v>448</v>
      </c>
      <c r="AH4367" s="4" t="str">
        <f>HYPERLINK("#Statut_biogéographique!A"&amp;_xlfn.XMATCH("P",Statut_biogéographique!A:A,2,1),"P")</f>
        <v>P</v>
      </c>
      <c r="AP4367" s="4" t="s">
        <v>376</v>
      </c>
      <c r="AR4367" s="4" t="s">
        <v>377</v>
      </c>
    </row>
    <row r="4368" spans="1:44">
      <c r="A4368" s="4" t="s">
        <v>5</v>
      </c>
      <c r="B4368" s="4">
        <v>35224</v>
      </c>
      <c r="C4368" s="4">
        <v>169</v>
      </c>
      <c r="D4368" s="5" t="s">
        <v>6410</v>
      </c>
      <c r="E4368" s="6" t="str">
        <f>HYPERLINK("https://inpn.mnhn.fr/espece/cd_nom/35224","Cortinarius multiformis Fr., 1838")</f>
        <v>Cortinarius multiformis Fr., 1838</v>
      </c>
      <c r="F4368" s="5" t="s">
        <v>6411</v>
      </c>
      <c r="V4368" s="7" t="str">
        <f>HYPERLINK("#Liste_rouge!A"&amp;_xlfn.XMATCH("LC",Liste_rouge!A:A,2,1),"LC")</f>
        <v>LC</v>
      </c>
      <c r="AH4368" s="4" t="str">
        <f>HYPERLINK("#Statut_biogéographique!A"&amp;_xlfn.XMATCH("P",Statut_biogéographique!A:A,2,1),"P")</f>
        <v>P</v>
      </c>
      <c r="AP4368" s="4" t="s">
        <v>376</v>
      </c>
      <c r="AR4368" s="4" t="s">
        <v>377</v>
      </c>
    </row>
    <row r="4369" spans="1:44">
      <c r="A4369" s="4" t="s">
        <v>5</v>
      </c>
      <c r="B4369" s="4">
        <v>35234</v>
      </c>
      <c r="C4369" s="4">
        <v>1932</v>
      </c>
      <c r="D4369" s="5" t="s">
        <v>6412</v>
      </c>
      <c r="E4369" s="6" t="str">
        <f>HYPERLINK("https://inpn.mnhn.fr/espece/cd_nom/35234","Cortinarius myrtillinus Fr., 1838")</f>
        <v>Cortinarius myrtillinus Fr., 1838</v>
      </c>
      <c r="F4369" s="5" t="s">
        <v>6413</v>
      </c>
      <c r="V4369" s="7" t="str">
        <f>HYPERLINK("#Liste_rouge!A"&amp;_xlfn.XMATCH("EN",Liste_rouge!A:A,2,1),"EN")</f>
        <v>EN</v>
      </c>
      <c r="W4369" s="4" t="str">
        <f>HYPERLINK("#Critères_liste_rouge!A$1","B2abiii")</f>
        <v>B2abiii</v>
      </c>
      <c r="Z4369" s="4" t="s">
        <v>447</v>
      </c>
      <c r="AA4369" s="4" t="s">
        <v>448</v>
      </c>
      <c r="AH4369" s="4" t="str">
        <f>HYPERLINK("#Statut_biogéographique!A"&amp;_xlfn.XMATCH("P",Statut_biogéographique!A:A,2,1),"P")</f>
        <v>P</v>
      </c>
      <c r="AP4369" s="4" t="s">
        <v>376</v>
      </c>
      <c r="AR4369" s="4" t="s">
        <v>377</v>
      </c>
    </row>
    <row r="4370" spans="1:44">
      <c r="A4370" s="4" t="s">
        <v>5</v>
      </c>
      <c r="B4370" s="4">
        <v>35236</v>
      </c>
      <c r="C4370" s="4">
        <v>5892</v>
      </c>
      <c r="D4370" s="5" t="s">
        <v>6414</v>
      </c>
      <c r="E4370" s="6" t="str">
        <f>HYPERLINK("https://inpn.mnhn.fr/espece/cd_nom/35236","Cortinarius myxoanomalus Kühner, 1989")</f>
        <v>Cortinarius myxoanomalus Kühner, 1989</v>
      </c>
      <c r="AH4370" s="4" t="str">
        <f>HYPERLINK("#Statut_biogéographique!A"&amp;_xlfn.XMATCH("P",Statut_biogéographique!A:A,2,1),"P")</f>
        <v>P</v>
      </c>
      <c r="AP4370" s="4" t="s">
        <v>376</v>
      </c>
      <c r="AR4370" s="4" t="s">
        <v>377</v>
      </c>
    </row>
    <row r="4371" spans="1:44">
      <c r="A4371" s="4" t="s">
        <v>5</v>
      </c>
      <c r="B4371" s="4">
        <v>35239</v>
      </c>
      <c r="C4371" s="4">
        <v>1880</v>
      </c>
      <c r="D4371" s="5" t="s">
        <v>6415</v>
      </c>
      <c r="E4371" s="6" t="str">
        <f>HYPERLINK("https://inpn.mnhn.fr/espece/cd_nom/35239","Cortinarius mussivus (Fr.) Melot, 1987")</f>
        <v>Cortinarius mussivus (Fr.) Melot, 1987</v>
      </c>
      <c r="F4371" s="5" t="s">
        <v>6416</v>
      </c>
      <c r="V4371" s="7" t="str">
        <f>HYPERLINK("#Liste_rouge!A"&amp;_xlfn.XMATCH("LC",Liste_rouge!A:A,2,1),"LC")</f>
        <v>LC</v>
      </c>
      <c r="Z4371" s="4" t="s">
        <v>443</v>
      </c>
      <c r="AA4371" s="4" t="s">
        <v>444</v>
      </c>
      <c r="AH4371" s="4" t="str">
        <f>HYPERLINK("#Statut_biogéographique!A"&amp;_xlfn.XMATCH("P",Statut_biogéographique!A:A,2,1),"P")</f>
        <v>P</v>
      </c>
      <c r="AP4371" s="4" t="s">
        <v>376</v>
      </c>
      <c r="AR4371" s="4" t="s">
        <v>377</v>
      </c>
    </row>
    <row r="4372" spans="1:44">
      <c r="A4372" s="4" t="s">
        <v>5</v>
      </c>
      <c r="B4372" s="4">
        <v>35243</v>
      </c>
      <c r="C4372" s="4">
        <v>1874</v>
      </c>
      <c r="D4372" s="5" t="s">
        <v>6417</v>
      </c>
      <c r="E4372" s="6" t="str">
        <f>HYPERLINK("https://inpn.mnhn.fr/espece/cd_nom/35243","Cortinarius napus Fr., 1838")</f>
        <v>Cortinarius napus Fr., 1838</v>
      </c>
      <c r="F4372" s="5" t="s">
        <v>6418</v>
      </c>
      <c r="V4372" s="7" t="str">
        <f>HYPERLINK("#Liste_rouge!A"&amp;_xlfn.XMATCH("LC",Liste_rouge!A:A,2,1),"LC")</f>
        <v>LC</v>
      </c>
      <c r="AH4372" s="4" t="str">
        <f>HYPERLINK("#Statut_biogéographique!A"&amp;_xlfn.XMATCH("P",Statut_biogéographique!A:A,2,1),"P")</f>
        <v>P</v>
      </c>
      <c r="AP4372" s="4" t="s">
        <v>376</v>
      </c>
      <c r="AR4372" s="4" t="s">
        <v>377</v>
      </c>
    </row>
    <row r="4373" spans="1:44" ht="30">
      <c r="A4373" s="4" t="s">
        <v>5</v>
      </c>
      <c r="B4373" s="4">
        <v>35244</v>
      </c>
      <c r="C4373" s="4">
        <v>5857</v>
      </c>
      <c r="D4373" s="5" t="s">
        <v>6419</v>
      </c>
      <c r="E4373" s="6" t="str">
        <f>HYPERLINK("https://inpn.mnhn.fr/espece/cd_nom/35244","Cortinarius nauseolens Bidaud &amp; Moënne-Locc., 1993")</f>
        <v>Cortinarius nauseolens Bidaud &amp; Moënne-Locc., 1993</v>
      </c>
      <c r="AH4373" s="4" t="str">
        <f>HYPERLINK("#Statut_biogéographique!A"&amp;_xlfn.XMATCH("P",Statut_biogéographique!A:A,2,1),"P")</f>
        <v>P</v>
      </c>
      <c r="AP4373" s="4" t="s">
        <v>376</v>
      </c>
      <c r="AR4373" s="4" t="s">
        <v>377</v>
      </c>
    </row>
    <row r="4374" spans="1:44">
      <c r="A4374" s="4" t="s">
        <v>5</v>
      </c>
      <c r="B4374" s="4">
        <v>35246</v>
      </c>
      <c r="C4374" s="4">
        <v>3265</v>
      </c>
      <c r="D4374" s="5" t="s">
        <v>6420</v>
      </c>
      <c r="E4374" s="6" t="str">
        <f>HYPERLINK("https://inpn.mnhn.fr/espece/cd_nom/35246","Cortinarius nebularis Rob.Henry, 1953")</f>
        <v>Cortinarius nebularis Rob.Henry, 1953</v>
      </c>
      <c r="F4374" s="5" t="s">
        <v>6421</v>
      </c>
      <c r="V4374" s="7" t="str">
        <f>HYPERLINK("#Liste_rouge!A"&amp;_xlfn.XMATCH("EN",Liste_rouge!A:A,2,1),"EN")</f>
        <v>EN</v>
      </c>
      <c r="W4374" s="4" t="str">
        <f>HYPERLINK("#Critères_liste_rouge!A$1","B2abiii")</f>
        <v>B2abiii</v>
      </c>
      <c r="Z4374" s="4" t="s">
        <v>443</v>
      </c>
      <c r="AA4374" s="4" t="s">
        <v>444</v>
      </c>
      <c r="AH4374" s="4" t="str">
        <f>HYPERLINK("#Statut_biogéographique!A"&amp;_xlfn.XMATCH("P",Statut_biogéographique!A:A,2,1),"P")</f>
        <v>P</v>
      </c>
      <c r="AP4374" s="4" t="s">
        <v>376</v>
      </c>
      <c r="AR4374" s="4" t="s">
        <v>377</v>
      </c>
    </row>
    <row r="4375" spans="1:44">
      <c r="A4375" s="4" t="s">
        <v>5</v>
      </c>
      <c r="B4375" s="4">
        <v>35249</v>
      </c>
      <c r="C4375" s="4">
        <v>1883</v>
      </c>
      <c r="D4375" s="5" t="s">
        <v>6422</v>
      </c>
      <c r="E4375" s="6" t="str">
        <f>HYPERLINK("https://inpn.mnhn.fr/espece/cd_nom/35249","Cortinarius variecolor var. nemorensis Fr.")</f>
        <v>Cortinarius variecolor var. nemorensis Fr.</v>
      </c>
      <c r="F4375" s="5" t="s">
        <v>6423</v>
      </c>
      <c r="V4375" s="7" t="str">
        <f>HYPERLINK("#Liste_rouge!A"&amp;_xlfn.XMATCH("LC",Liste_rouge!A:A,2,1),"LC")</f>
        <v>LC</v>
      </c>
      <c r="AH4375" s="4" t="str">
        <f>HYPERLINK("#Statut_biogéographique!A"&amp;_xlfn.XMATCH("P",Statut_biogéographique!A:A,2,1),"P")</f>
        <v>P</v>
      </c>
      <c r="AP4375" s="4" t="s">
        <v>376</v>
      </c>
      <c r="AR4375" s="4" t="s">
        <v>377</v>
      </c>
    </row>
    <row r="4376" spans="1:44">
      <c r="A4376" s="4" t="s">
        <v>5</v>
      </c>
      <c r="B4376" s="4">
        <v>35259</v>
      </c>
      <c r="C4376" s="4">
        <v>3021</v>
      </c>
      <c r="D4376" s="5" t="s">
        <v>6424</v>
      </c>
      <c r="E4376" s="6" t="str">
        <f>HYPERLINK("https://inpn.mnhn.fr/espece/cd_nom/35259","Cortinarius nymphaecolor Reumaux, 1993")</f>
        <v>Cortinarius nymphaecolor Reumaux, 1993</v>
      </c>
      <c r="F4376" s="5" t="s">
        <v>6425</v>
      </c>
      <c r="V4376" s="7" t="str">
        <f>HYPERLINK("#Liste_rouge!A"&amp;_xlfn.XMATCH("EN",Liste_rouge!A:A,2,1),"EN")</f>
        <v>EN</v>
      </c>
      <c r="W4376" s="4" t="str">
        <f>HYPERLINK("#Critères_liste_rouge!A$1","B2abiii")</f>
        <v>B2abiii</v>
      </c>
      <c r="Z4376" s="4" t="s">
        <v>447</v>
      </c>
      <c r="AA4376" s="4" t="s">
        <v>448</v>
      </c>
      <c r="AH4376" s="4" t="str">
        <f>HYPERLINK("#Statut_biogéographique!A"&amp;_xlfn.XMATCH("P",Statut_biogéographique!A:A,2,1),"P")</f>
        <v>P</v>
      </c>
      <c r="AP4376" s="4" t="s">
        <v>376</v>
      </c>
      <c r="AR4376" s="4" t="s">
        <v>377</v>
      </c>
    </row>
    <row r="4377" spans="1:44" ht="30">
      <c r="A4377" s="4" t="s">
        <v>5</v>
      </c>
      <c r="B4377" s="4">
        <v>35261</v>
      </c>
      <c r="C4377" s="4">
        <v>5473</v>
      </c>
      <c r="D4377" s="5" t="s">
        <v>6426</v>
      </c>
      <c r="E4377" s="6" t="str">
        <f>HYPERLINK("https://inpn.mnhn.fr/espece/cd_nom/35261","Cortinarius obscurocyaneus Secr.ex J.Schröt., 1889")</f>
        <v>Cortinarius obscurocyaneus Secr.ex J.Schröt., 1889</v>
      </c>
      <c r="V4377" s="7" t="str">
        <f>HYPERLINK("#Liste_rouge!A"&amp;_xlfn.XMATCH("LC",Liste_rouge!A:A,2,1),"LC")</f>
        <v>LC</v>
      </c>
      <c r="AH4377" s="4" t="str">
        <f>HYPERLINK("#Statut_biogéographique!A"&amp;_xlfn.XMATCH("P",Statut_biogéographique!A:A,2,1),"P")</f>
        <v>P</v>
      </c>
      <c r="AP4377" s="4" t="s">
        <v>376</v>
      </c>
      <c r="AR4377" s="4" t="s">
        <v>377</v>
      </c>
    </row>
    <row r="4378" spans="1:44">
      <c r="A4378" s="4" t="s">
        <v>5</v>
      </c>
      <c r="B4378" s="4">
        <v>35264</v>
      </c>
      <c r="C4378" s="4">
        <v>6027</v>
      </c>
      <c r="D4378" s="5" t="s">
        <v>6427</v>
      </c>
      <c r="E4378" s="6" t="str">
        <f>HYPERLINK("https://inpn.mnhn.fr/espece/cd_nom/35264","Cortinarius obtusobrunneus Rob.Henry, 1968")</f>
        <v>Cortinarius obtusobrunneus Rob.Henry, 1968</v>
      </c>
      <c r="AH4378" s="4" t="str">
        <f>HYPERLINK("#Statut_biogéographique!A"&amp;_xlfn.XMATCH("P",Statut_biogéographique!A:A,2,1),"P")</f>
        <v>P</v>
      </c>
      <c r="AP4378" s="4" t="s">
        <v>376</v>
      </c>
      <c r="AR4378" s="4" t="s">
        <v>377</v>
      </c>
    </row>
    <row r="4379" spans="1:44">
      <c r="A4379" s="4" t="s">
        <v>5</v>
      </c>
      <c r="B4379" s="4">
        <v>35267</v>
      </c>
      <c r="C4379" s="4">
        <v>657</v>
      </c>
      <c r="D4379" s="5" t="s">
        <v>6428</v>
      </c>
      <c r="E4379" s="6" t="str">
        <f>HYPERLINK("https://inpn.mnhn.fr/espece/cd_nom/35267","Cortinarius obtusus (Fr.) Fr., 1838")</f>
        <v>Cortinarius obtusus (Fr.) Fr., 1838</v>
      </c>
      <c r="F4379" s="5" t="s">
        <v>6429</v>
      </c>
      <c r="V4379" s="7" t="str">
        <f>HYPERLINK("#Liste_rouge!A"&amp;_xlfn.XMATCH("LC",Liste_rouge!A:A,2,1),"LC")</f>
        <v>LC</v>
      </c>
      <c r="AH4379" s="4" t="str">
        <f>HYPERLINK("#Statut_biogéographique!A"&amp;_xlfn.XMATCH("P",Statut_biogéographique!A:A,2,1),"P")</f>
        <v>P</v>
      </c>
      <c r="AP4379" s="4" t="s">
        <v>376</v>
      </c>
      <c r="AR4379" s="4" t="s">
        <v>377</v>
      </c>
    </row>
    <row r="4380" spans="1:44">
      <c r="A4380" s="4" t="s">
        <v>5</v>
      </c>
      <c r="B4380" s="4">
        <v>35273</v>
      </c>
      <c r="C4380" s="4">
        <v>656</v>
      </c>
      <c r="D4380" s="5" t="s">
        <v>6430</v>
      </c>
      <c r="E4380" s="6" t="str">
        <f>HYPERLINK("https://inpn.mnhn.fr/espece/cd_nom/35273","Cortinarius ochroleucus (Schaeff.) Fr., 1838")</f>
        <v>Cortinarius ochroleucus (Schaeff.) Fr., 1838</v>
      </c>
      <c r="F4380" s="5" t="s">
        <v>6431</v>
      </c>
      <c r="V4380" s="7" t="str">
        <f>HYPERLINK("#Liste_rouge!A"&amp;_xlfn.XMATCH("LC",Liste_rouge!A:A,2,1),"LC")</f>
        <v>LC</v>
      </c>
      <c r="AH4380" s="4" t="str">
        <f>HYPERLINK("#Statut_biogéographique!A"&amp;_xlfn.XMATCH("P",Statut_biogéographique!A:A,2,1),"P")</f>
        <v>P</v>
      </c>
      <c r="AP4380" s="4" t="s">
        <v>376</v>
      </c>
      <c r="AR4380" s="4" t="s">
        <v>377</v>
      </c>
    </row>
    <row r="4381" spans="1:44">
      <c r="A4381" s="4" t="s">
        <v>5</v>
      </c>
      <c r="B4381" s="4">
        <v>35275</v>
      </c>
      <c r="C4381" s="4">
        <v>169</v>
      </c>
      <c r="D4381" s="5" t="s">
        <v>6432</v>
      </c>
      <c r="E4381" s="6" t="str">
        <f>HYPERLINK("https://inpn.mnhn.fr/espece/cd_nom/35275","Cortinarius ochropallidus Rob.Henry, 1936")</f>
        <v>Cortinarius ochropallidus Rob.Henry, 1936</v>
      </c>
      <c r="F4381" s="5" t="s">
        <v>6411</v>
      </c>
      <c r="V4381" s="7" t="str">
        <f>HYPERLINK("#Liste_rouge!A"&amp;_xlfn.XMATCH("LC",Liste_rouge!A:A,2,1),"LC")</f>
        <v>LC</v>
      </c>
      <c r="AH4381" s="4" t="str">
        <f>HYPERLINK("#Statut_biogéographique!A"&amp;_xlfn.XMATCH("P",Statut_biogéographique!A:A,2,1),"P")</f>
        <v>P</v>
      </c>
      <c r="AP4381" s="4" t="s">
        <v>376</v>
      </c>
      <c r="AR4381" s="4" t="s">
        <v>377</v>
      </c>
    </row>
    <row r="4382" spans="1:44">
      <c r="A4382" s="4" t="s">
        <v>5</v>
      </c>
      <c r="B4382" s="4">
        <v>35278</v>
      </c>
      <c r="C4382" s="4">
        <v>5615</v>
      </c>
      <c r="D4382" s="5" t="s">
        <v>6433</v>
      </c>
      <c r="E4382" s="6" t="str">
        <f>HYPERLINK("https://inpn.mnhn.fr/espece/cd_nom/35278","Cortinarius ochrophyllus Fr., 1863")</f>
        <v>Cortinarius ochrophyllus Fr., 1863</v>
      </c>
      <c r="V4382" s="7" t="str">
        <f>HYPERLINK("#Liste_rouge!A"&amp;_xlfn.XMATCH("DD",Liste_rouge!A:A,2,1),"DD")</f>
        <v>DD</v>
      </c>
      <c r="Z4382" s="4" t="s">
        <v>443</v>
      </c>
      <c r="AA4382" s="4" t="s">
        <v>444</v>
      </c>
      <c r="AH4382" s="4" t="str">
        <f>HYPERLINK("#Statut_biogéographique!A"&amp;_xlfn.XMATCH("P",Statut_biogéographique!A:A,2,1),"P")</f>
        <v>P</v>
      </c>
      <c r="AP4382" s="4" t="s">
        <v>376</v>
      </c>
      <c r="AR4382" s="4" t="s">
        <v>377</v>
      </c>
    </row>
    <row r="4383" spans="1:44" ht="30">
      <c r="A4383" s="4" t="s">
        <v>5</v>
      </c>
      <c r="B4383" s="4">
        <v>35281</v>
      </c>
      <c r="C4383" s="4">
        <v>1848</v>
      </c>
      <c r="D4383" s="5" t="s">
        <v>6434</v>
      </c>
      <c r="E4383" s="6" t="str">
        <f>HYPERLINK("https://inpn.mnhn.fr/espece/cd_nom/35281","Cortinarius joguetii Melot, 1989")</f>
        <v>Cortinarius joguetii Melot, 1989</v>
      </c>
      <c r="F4383" s="5" t="s">
        <v>6435</v>
      </c>
      <c r="V4383" s="7" t="str">
        <f>HYPERLINK("#Liste_rouge!A"&amp;_xlfn.XMATCH("LC",Liste_rouge!A:A,2,1),"LC")</f>
        <v>LC</v>
      </c>
      <c r="W4383" s="4" t="str">
        <f>HYPERLINK("#Critères_liste_rouge!A$1","A2c")</f>
        <v>A2c</v>
      </c>
      <c r="Z4383" s="4" t="s">
        <v>447</v>
      </c>
      <c r="AA4383" s="4" t="s">
        <v>448</v>
      </c>
      <c r="AH4383" s="4" t="str">
        <f>HYPERLINK("#Statut_biogéographique!A"&amp;_xlfn.XMATCH("P",Statut_biogéographique!A:A,2,1),"P")</f>
        <v>P</v>
      </c>
      <c r="AP4383" s="4" t="s">
        <v>376</v>
      </c>
      <c r="AR4383" s="4" t="s">
        <v>377</v>
      </c>
    </row>
    <row r="4384" spans="1:44">
      <c r="A4384" s="4" t="s">
        <v>5</v>
      </c>
      <c r="B4384" s="4">
        <v>35291</v>
      </c>
      <c r="C4384" s="4">
        <v>3061</v>
      </c>
      <c r="D4384" s="5" t="s">
        <v>6436</v>
      </c>
      <c r="E4384" s="6" t="str">
        <f>HYPERLINK("https://inpn.mnhn.fr/espece/cd_nom/35291","Cortinarius olearioides Rob.Henry, 1987")</f>
        <v>Cortinarius olearioides Rob.Henry, 1987</v>
      </c>
      <c r="V4384" s="7" t="str">
        <f>HYPERLINK("#Liste_rouge!A"&amp;_xlfn.XMATCH("DD",Liste_rouge!A:A,2,1),"DD")</f>
        <v>DD</v>
      </c>
      <c r="Z4384" s="4" t="s">
        <v>443</v>
      </c>
      <c r="AA4384" s="4" t="s">
        <v>444</v>
      </c>
      <c r="AH4384" s="4" t="str">
        <f>HYPERLINK("#Statut_biogéographique!A"&amp;_xlfn.XMATCH("P",Statut_biogéographique!A:A,2,1),"P")</f>
        <v>P</v>
      </c>
      <c r="AP4384" s="4" t="s">
        <v>376</v>
      </c>
      <c r="AR4384" s="4" t="s">
        <v>377</v>
      </c>
    </row>
    <row r="4385" spans="1:44" ht="30">
      <c r="A4385" s="4" t="s">
        <v>5</v>
      </c>
      <c r="B4385" s="4">
        <v>35293</v>
      </c>
      <c r="C4385" s="4">
        <v>5434</v>
      </c>
      <c r="D4385" s="5" t="s">
        <v>6437</v>
      </c>
      <c r="E4385" s="6" t="str">
        <f>HYPERLINK("https://inpn.mnhn.fr/espece/cd_nom/35293","Cortinarius olidoamethysteus Rob.Henry &amp; Ramm, 1989")</f>
        <v>Cortinarius olidoamethysteus Rob.Henry &amp; Ramm, 1989</v>
      </c>
      <c r="V4385" s="7" t="str">
        <f>HYPERLINK("#Liste_rouge!A"&amp;_xlfn.XMATCH("DD",Liste_rouge!A:A,2,1),"DD")</f>
        <v>DD</v>
      </c>
      <c r="AH4385" s="4" t="str">
        <f>HYPERLINK("#Statut_biogéographique!A"&amp;_xlfn.XMATCH("P",Statut_biogéographique!A:A,2,1),"P")</f>
        <v>P</v>
      </c>
      <c r="AP4385" s="4" t="s">
        <v>376</v>
      </c>
      <c r="AR4385" s="4" t="s">
        <v>377</v>
      </c>
    </row>
    <row r="4386" spans="1:44">
      <c r="A4386" s="4" t="s">
        <v>5</v>
      </c>
      <c r="B4386" s="4">
        <v>35294</v>
      </c>
      <c r="C4386" s="4">
        <v>3062</v>
      </c>
      <c r="D4386" s="5" t="s">
        <v>6438</v>
      </c>
      <c r="E4386" s="6" t="str">
        <f>HYPERLINK("https://inpn.mnhn.fr/espece/cd_nom/35294","Cortinarius olidovolvatus Bon &amp; Trescol, 1988")</f>
        <v>Cortinarius olidovolvatus Bon &amp; Trescol, 1988</v>
      </c>
      <c r="V4386" s="7" t="str">
        <f>HYPERLINK("#Liste_rouge!A"&amp;_xlfn.XMATCH("EN",Liste_rouge!A:A,2,1),"EN")</f>
        <v>EN</v>
      </c>
      <c r="W4386" s="4" t="str">
        <f>HYPERLINK("#Critères_liste_rouge!A$1","B2abiii")</f>
        <v>B2abiii</v>
      </c>
      <c r="Z4386" s="4" t="s">
        <v>443</v>
      </c>
      <c r="AA4386" s="4" t="s">
        <v>444</v>
      </c>
      <c r="AH4386" s="4" t="str">
        <f>HYPERLINK("#Statut_biogéographique!A"&amp;_xlfn.XMATCH("P",Statut_biogéographique!A:A,2,1),"P")</f>
        <v>P</v>
      </c>
      <c r="AP4386" s="4" t="s">
        <v>376</v>
      </c>
      <c r="AR4386" s="4" t="s">
        <v>377</v>
      </c>
    </row>
    <row r="4387" spans="1:44">
      <c r="A4387" s="4" t="s">
        <v>5</v>
      </c>
      <c r="B4387" s="4">
        <v>35295</v>
      </c>
      <c r="C4387" s="4">
        <v>1748</v>
      </c>
      <c r="D4387" s="5" t="s">
        <v>6439</v>
      </c>
      <c r="E4387" s="6" t="str">
        <f>HYPERLINK("https://inpn.mnhn.fr/espece/cd_nom/35295","Cortinarius vitellinopes Secr. ex Gillet, 1874")</f>
        <v>Cortinarius vitellinopes Secr. ex Gillet, 1874</v>
      </c>
      <c r="F4387" s="5" t="s">
        <v>6440</v>
      </c>
      <c r="V4387" s="7" t="str">
        <f>HYPERLINK("#Liste_rouge!A"&amp;_xlfn.XMATCH("LC",Liste_rouge!A:A,2,1),"LC")</f>
        <v>LC</v>
      </c>
      <c r="Z4387" s="4" t="s">
        <v>443</v>
      </c>
      <c r="AA4387" s="4" t="s">
        <v>444</v>
      </c>
      <c r="AH4387" s="4" t="str">
        <f>HYPERLINK("#Statut_biogéographique!A"&amp;_xlfn.XMATCH("P",Statut_biogéographique!A:A,2,1),"P")</f>
        <v>P</v>
      </c>
      <c r="AP4387" s="4" t="s">
        <v>376</v>
      </c>
      <c r="AR4387" s="4" t="s">
        <v>377</v>
      </c>
    </row>
    <row r="4388" spans="1:44">
      <c r="A4388" s="4" t="s">
        <v>5</v>
      </c>
      <c r="B4388" s="4">
        <v>35297</v>
      </c>
      <c r="C4388" s="4">
        <v>1748</v>
      </c>
      <c r="D4388" s="5" t="s">
        <v>6441</v>
      </c>
      <c r="E4388" s="6" t="str">
        <f>HYPERLINK("https://inpn.mnhn.fr/espece/cd_nom/35297","Cortinarius vitellinopes Secr. ex Gillet, 1874")</f>
        <v>Cortinarius vitellinopes Secr. ex Gillet, 1874</v>
      </c>
      <c r="F4388" s="5" t="s">
        <v>6440</v>
      </c>
      <c r="V4388" s="7" t="str">
        <f>HYPERLINK("#Liste_rouge!A"&amp;_xlfn.XMATCH("LC",Liste_rouge!A:A,2,1),"LC")</f>
        <v>LC</v>
      </c>
      <c r="W4388" s="4" t="str">
        <f>HYPERLINK("#Critères_liste_rouge!A$1","pr. B2abiii")</f>
        <v>pr. B2abiii</v>
      </c>
      <c r="Z4388" s="4" t="s">
        <v>443</v>
      </c>
      <c r="AA4388" s="4" t="s">
        <v>444</v>
      </c>
      <c r="AH4388" s="4" t="str">
        <f>HYPERLINK("#Statut_biogéographique!A"&amp;_xlfn.XMATCH("P",Statut_biogéographique!A:A,2,1),"P")</f>
        <v>P</v>
      </c>
      <c r="AP4388" s="4" t="s">
        <v>376</v>
      </c>
      <c r="AR4388" s="4" t="s">
        <v>377</v>
      </c>
    </row>
    <row r="4389" spans="1:44" ht="30">
      <c r="A4389" s="4" t="s">
        <v>5</v>
      </c>
      <c r="B4389" s="4">
        <v>35299</v>
      </c>
      <c r="C4389" s="4">
        <v>724</v>
      </c>
      <c r="D4389" s="5" t="s">
        <v>6442</v>
      </c>
      <c r="E4389" s="6" t="str">
        <f>HYPERLINK("https://inpn.mnhn.fr/espece/cd_nom/35299","Cortinarius olivaceofuscus Kühner, 1955")</f>
        <v>Cortinarius olivaceofuscus Kühner, 1955</v>
      </c>
      <c r="V4389" s="7" t="str">
        <f>HYPERLINK("#Liste_rouge!A"&amp;_xlfn.XMATCH("LC",Liste_rouge!A:A,2,1),"LC")</f>
        <v>LC</v>
      </c>
      <c r="AH4389" s="4" t="str">
        <f>HYPERLINK("#Statut_biogéographique!A"&amp;_xlfn.XMATCH("P",Statut_biogéographique!A:A,2,1),"P")</f>
        <v>P</v>
      </c>
      <c r="AP4389" s="4" t="s">
        <v>376</v>
      </c>
      <c r="AR4389" s="4" t="s">
        <v>377</v>
      </c>
    </row>
    <row r="4390" spans="1:44">
      <c r="A4390" s="4" t="s">
        <v>5</v>
      </c>
      <c r="B4390" s="4">
        <v>35303</v>
      </c>
      <c r="C4390" s="4">
        <v>1843</v>
      </c>
      <c r="D4390" s="5" t="s">
        <v>6443</v>
      </c>
      <c r="E4390" s="6" t="str">
        <f>HYPERLINK("https://inpn.mnhn.fr/espece/cd_nom/35303","Cortinarius olivascens (Batsch) Fr., 1838")</f>
        <v>Cortinarius olivascens (Batsch) Fr., 1838</v>
      </c>
      <c r="F4390" s="5" t="s">
        <v>6444</v>
      </c>
      <c r="V4390" s="7" t="str">
        <f>HYPERLINK("#Liste_rouge!A"&amp;_xlfn.XMATCH("RE",Liste_rouge!A:A,2,1),"RE")</f>
        <v>RE</v>
      </c>
      <c r="AH4390" s="4" t="str">
        <f>HYPERLINK("#Statut_biogéographique!A"&amp;_xlfn.XMATCH("P",Statut_biogéographique!A:A,2,1),"P")</f>
        <v>P</v>
      </c>
      <c r="AP4390" s="4" t="s">
        <v>376</v>
      </c>
      <c r="AR4390" s="4" t="s">
        <v>377</v>
      </c>
    </row>
    <row r="4391" spans="1:44">
      <c r="A4391" s="4" t="s">
        <v>5</v>
      </c>
      <c r="B4391" s="4">
        <v>35304</v>
      </c>
      <c r="C4391" s="4">
        <v>693</v>
      </c>
      <c r="D4391" s="5" t="s">
        <v>6445</v>
      </c>
      <c r="E4391" s="6" t="str">
        <f>HYPERLINK("https://inpn.mnhn.fr/espece/cd_nom/35304","Cortinarius olivascentium Rob.Henry, 1952")</f>
        <v>Cortinarius olivascentium Rob.Henry, 1952</v>
      </c>
      <c r="V4391" s="7" t="str">
        <f>HYPERLINK("#Liste_rouge!A"&amp;_xlfn.XMATCH("EN",Liste_rouge!A:A,2,1),"EN")</f>
        <v>EN</v>
      </c>
      <c r="W4391" s="4" t="str">
        <f>HYPERLINK("#Critères_liste_rouge!A$1","B2abiii")</f>
        <v>B2abiii</v>
      </c>
      <c r="Z4391" s="4" t="s">
        <v>447</v>
      </c>
      <c r="AA4391" s="4" t="s">
        <v>448</v>
      </c>
      <c r="AH4391" s="4" t="str">
        <f>HYPERLINK("#Statut_biogéographique!A"&amp;_xlfn.XMATCH("P",Statut_biogéographique!A:A,2,1),"P")</f>
        <v>P</v>
      </c>
      <c r="AP4391" s="4" t="s">
        <v>376</v>
      </c>
      <c r="AR4391" s="4" t="s">
        <v>377</v>
      </c>
    </row>
    <row r="4392" spans="1:44">
      <c r="A4392" s="4" t="s">
        <v>5</v>
      </c>
      <c r="B4392" s="4">
        <v>35305</v>
      </c>
      <c r="C4392" s="4">
        <v>1859</v>
      </c>
      <c r="D4392" s="5" t="s">
        <v>6446</v>
      </c>
      <c r="E4392" s="6" t="str">
        <f>HYPERLINK("https://inpn.mnhn.fr/espece/cd_nom/35305","Cortinarius flavovirens Rob.Henry, 1939")</f>
        <v>Cortinarius flavovirens Rob.Henry, 1939</v>
      </c>
      <c r="V4392" s="7" t="str">
        <f>HYPERLINK("#Liste_rouge!A"&amp;_xlfn.XMATCH("LC",Liste_rouge!A:A,2,1),"LC")</f>
        <v>LC</v>
      </c>
      <c r="AH4392" s="4" t="str">
        <f>HYPERLINK("#Statut_biogéographique!A"&amp;_xlfn.XMATCH("P",Statut_biogéographique!A:A,2,1),"P")</f>
        <v>P</v>
      </c>
      <c r="AP4392" s="4" t="s">
        <v>376</v>
      </c>
      <c r="AR4392" s="4" t="s">
        <v>377</v>
      </c>
    </row>
    <row r="4393" spans="1:44" ht="30">
      <c r="A4393" s="4" t="s">
        <v>5</v>
      </c>
      <c r="B4393" s="4">
        <v>35310</v>
      </c>
      <c r="C4393" s="4">
        <v>2989</v>
      </c>
      <c r="D4393" s="5" t="s">
        <v>6447</v>
      </c>
      <c r="E4393" s="6" t="str">
        <f>HYPERLINK("https://inpn.mnhn.fr/espece/cd_nom/35310","Cortinarius omissus Bidaud, Moënne-Locc. &amp; Reumaux, 1994")</f>
        <v>Cortinarius omissus Bidaud, Moënne-Locc. &amp; Reumaux, 1994</v>
      </c>
      <c r="V4393" s="7" t="str">
        <f>HYPERLINK("#Liste_rouge!A"&amp;_xlfn.XMATCH("EN",Liste_rouge!A:A,2,1),"EN")</f>
        <v>EN</v>
      </c>
      <c r="W4393" s="4" t="str">
        <f>HYPERLINK("#Critères_liste_rouge!A$1","B2abiii")</f>
        <v>B2abiii</v>
      </c>
      <c r="Z4393" s="4" t="s">
        <v>443</v>
      </c>
      <c r="AA4393" s="4" t="s">
        <v>444</v>
      </c>
      <c r="AH4393" s="4" t="str">
        <f>HYPERLINK("#Statut_biogéographique!A"&amp;_xlfn.XMATCH("P",Statut_biogéographique!A:A,2,1),"P")</f>
        <v>P</v>
      </c>
      <c r="AP4393" s="4" t="s">
        <v>376</v>
      </c>
      <c r="AR4393" s="4" t="s">
        <v>377</v>
      </c>
    </row>
    <row r="4394" spans="1:44">
      <c r="A4394" s="4" t="s">
        <v>5</v>
      </c>
      <c r="B4394" s="4">
        <v>35311</v>
      </c>
      <c r="C4394" s="4">
        <v>1890</v>
      </c>
      <c r="D4394" s="5" t="s">
        <v>6448</v>
      </c>
      <c r="E4394" s="6" t="str">
        <f>HYPERLINK("https://inpn.mnhn.fr/espece/cd_nom/35311","Cortinarius opimus Fr., 1838")</f>
        <v>Cortinarius opimus Fr., 1838</v>
      </c>
      <c r="V4394" s="7" t="str">
        <f>HYPERLINK("#Liste_rouge!A"&amp;_xlfn.XMATCH("DD",Liste_rouge!A:A,2,1),"DD")</f>
        <v>DD</v>
      </c>
      <c r="AH4394" s="4" t="str">
        <f>HYPERLINK("#Statut_biogéographique!A"&amp;_xlfn.XMATCH("P",Statut_biogéographique!A:A,2,1),"P")</f>
        <v>P</v>
      </c>
      <c r="AP4394" s="4" t="s">
        <v>376</v>
      </c>
      <c r="AR4394" s="4" t="s">
        <v>377</v>
      </c>
    </row>
    <row r="4395" spans="1:44">
      <c r="A4395" s="4" t="s">
        <v>5</v>
      </c>
      <c r="B4395" s="4">
        <v>35314</v>
      </c>
      <c r="C4395" s="4">
        <v>1902</v>
      </c>
      <c r="D4395" s="5" t="s">
        <v>6449</v>
      </c>
      <c r="E4395" s="6" t="str">
        <f>HYPERLINK("https://inpn.mnhn.fr/espece/cd_nom/35314","Cortinarius orellanoides Rob.Henry, 1937")</f>
        <v>Cortinarius orellanoides Rob.Henry, 1937</v>
      </c>
      <c r="F4395" s="5" t="s">
        <v>6450</v>
      </c>
      <c r="V4395" s="7" t="str">
        <f>HYPERLINK("#Liste_rouge!A"&amp;_xlfn.XMATCH("LC",Liste_rouge!A:A,2,1),"LC")</f>
        <v>LC</v>
      </c>
      <c r="AH4395" s="4" t="str">
        <f>HYPERLINK("#Statut_biogéographique!A"&amp;_xlfn.XMATCH("P",Statut_biogéographique!A:A,2,1),"P")</f>
        <v>P</v>
      </c>
      <c r="AP4395" s="4" t="s">
        <v>376</v>
      </c>
      <c r="AR4395" s="4" t="s">
        <v>377</v>
      </c>
    </row>
    <row r="4396" spans="1:44" ht="30">
      <c r="A4396" s="4" t="s">
        <v>5</v>
      </c>
      <c r="B4396" s="4">
        <v>35315</v>
      </c>
      <c r="C4396" s="4">
        <v>380</v>
      </c>
      <c r="D4396" s="5" t="s">
        <v>6451</v>
      </c>
      <c r="E4396" s="6" t="str">
        <f>HYPERLINK("https://inpn.mnhn.fr/espece/cd_nom/35315","Cortinarius orellanus Fr., 1838")</f>
        <v>Cortinarius orellanus Fr., 1838</v>
      </c>
      <c r="F4396" s="5" t="s">
        <v>6452</v>
      </c>
      <c r="V4396" s="7" t="str">
        <f>HYPERLINK("#Liste_rouge!A"&amp;_xlfn.XMATCH("LC",Liste_rouge!A:A,2,1),"LC")</f>
        <v>LC</v>
      </c>
      <c r="AH4396" s="4" t="str">
        <f>HYPERLINK("#Statut_biogéographique!A"&amp;_xlfn.XMATCH("P",Statut_biogéographique!A:A,2,1),"P")</f>
        <v>P</v>
      </c>
      <c r="AP4396" s="4" t="s">
        <v>376</v>
      </c>
      <c r="AR4396" s="4" t="s">
        <v>377</v>
      </c>
    </row>
    <row r="4397" spans="1:44">
      <c r="A4397" s="4" t="s">
        <v>5</v>
      </c>
      <c r="B4397" s="4">
        <v>35322</v>
      </c>
      <c r="C4397" s="4">
        <v>1856</v>
      </c>
      <c r="D4397" s="5" t="s">
        <v>6453</v>
      </c>
      <c r="E4397" s="6" t="str">
        <f>HYPERLINK("https://inpn.mnhn.fr/espece/cd_nom/35322","Cortinarius orichalceus (Batsch) Fr., 1838")</f>
        <v>Cortinarius orichalceus (Batsch) Fr., 1838</v>
      </c>
      <c r="V4397" s="7" t="str">
        <f>HYPERLINK("#Liste_rouge!A"&amp;_xlfn.XMATCH("LC",Liste_rouge!A:A,2,1),"LC")</f>
        <v>LC</v>
      </c>
      <c r="AH4397" s="4" t="str">
        <f>HYPERLINK("#Statut_biogéographique!A"&amp;_xlfn.XMATCH("P",Statut_biogéographique!A:A,2,1),"P")</f>
        <v>P</v>
      </c>
      <c r="AP4397" s="4" t="s">
        <v>376</v>
      </c>
      <c r="AR4397" s="4" t="s">
        <v>377</v>
      </c>
    </row>
    <row r="4398" spans="1:44">
      <c r="A4398" s="4" t="s">
        <v>5</v>
      </c>
      <c r="B4398" s="4">
        <v>35329</v>
      </c>
      <c r="C4398" s="4">
        <v>5913</v>
      </c>
      <c r="D4398" s="5">
        <v>35329</v>
      </c>
      <c r="E4398" s="6" t="str">
        <f>HYPERLINK("https://inpn.mnhn.fr/espece/cd_nom/35329","Cortinarius paleaceus Fr., 1838")</f>
        <v>Cortinarius paleaceus Fr., 1838</v>
      </c>
      <c r="F4398" s="5" t="s">
        <v>6454</v>
      </c>
      <c r="V4398" s="7" t="str">
        <f>HYPERLINK("#Liste_rouge!A"&amp;_xlfn.XMATCH("DD",Liste_rouge!A:A,2,1),"DD")</f>
        <v>DD</v>
      </c>
      <c r="AH4398" s="4" t="str">
        <f>HYPERLINK("#Statut_biogéographique!A"&amp;_xlfn.XMATCH("P",Statut_biogéographique!A:A,2,1),"P")</f>
        <v>P</v>
      </c>
      <c r="AP4398" s="4" t="s">
        <v>376</v>
      </c>
      <c r="AR4398" s="4" t="s">
        <v>377</v>
      </c>
    </row>
    <row r="4399" spans="1:44">
      <c r="A4399" s="4" t="s">
        <v>5</v>
      </c>
      <c r="B4399" s="4">
        <v>35332</v>
      </c>
      <c r="C4399" s="4">
        <v>2234</v>
      </c>
      <c r="D4399" s="5">
        <v>35332</v>
      </c>
      <c r="E4399" s="6" t="str">
        <f>HYPERLINK("https://inpn.mnhn.fr/espece/cd_nom/35332","Cortinarius paleifer Svrček, 1968")</f>
        <v>Cortinarius paleifer Svrček, 1968</v>
      </c>
      <c r="F4399" s="5" t="s">
        <v>6319</v>
      </c>
      <c r="V4399" s="7" t="str">
        <f>HYPERLINK("#Liste_rouge!A"&amp;_xlfn.XMATCH("LC",Liste_rouge!A:A,2,1),"LC")</f>
        <v>LC</v>
      </c>
      <c r="AH4399" s="4" t="str">
        <f>HYPERLINK("#Statut_biogéographique!A"&amp;_xlfn.XMATCH("P",Statut_biogéographique!A:A,2,1),"P")</f>
        <v>P</v>
      </c>
      <c r="AP4399" s="4" t="s">
        <v>376</v>
      </c>
      <c r="AR4399" s="4" t="s">
        <v>377</v>
      </c>
    </row>
    <row r="4400" spans="1:44" ht="30">
      <c r="A4400" s="4" t="s">
        <v>5</v>
      </c>
      <c r="B4400" s="4">
        <v>35340</v>
      </c>
      <c r="C4400" s="4">
        <v>1906</v>
      </c>
      <c r="D4400" s="5" t="s">
        <v>6455</v>
      </c>
      <c r="E4400" s="6" t="str">
        <f>HYPERLINK("https://inpn.mnhn.fr/espece/cd_nom/35340","Cortinarius palustris var. huronensis (Ammirati &amp; A.H.Sm.) Høil., 1984")</f>
        <v>Cortinarius palustris var. huronensis (Ammirati &amp; A.H.Sm.) Høil., 1984</v>
      </c>
      <c r="F4400" s="5" t="s">
        <v>6456</v>
      </c>
      <c r="V4400" s="7" t="str">
        <f>HYPERLINK("#Liste_rouge!A"&amp;_xlfn.XMATCH("VU",Liste_rouge!A:A,2,1),"VU")</f>
        <v>VU</v>
      </c>
      <c r="W4400" s="4" t="str">
        <f>HYPERLINK("#Critères_liste_rouge!A$1","B2abiii")</f>
        <v>B2abiii</v>
      </c>
      <c r="Z4400" s="4" t="s">
        <v>447</v>
      </c>
      <c r="AA4400" s="4" t="s">
        <v>448</v>
      </c>
      <c r="AH4400" s="4" t="str">
        <f>HYPERLINK("#Statut_biogéographique!A"&amp;_xlfn.XMATCH("P",Statut_biogéographique!A:A,2,1),"P")</f>
        <v>P</v>
      </c>
      <c r="AP4400" s="4" t="s">
        <v>376</v>
      </c>
      <c r="AR4400" s="4" t="s">
        <v>377</v>
      </c>
    </row>
    <row r="4401" spans="1:44">
      <c r="A4401" s="4" t="s">
        <v>5</v>
      </c>
      <c r="B4401" s="4">
        <v>35344</v>
      </c>
      <c r="C4401" s="4">
        <v>3555</v>
      </c>
      <c r="D4401" s="5" t="s">
        <v>6457</v>
      </c>
      <c r="E4401" s="6" t="str">
        <f>HYPERLINK("https://inpn.mnhn.fr/espece/cd_nom/35344","Cortinarius papulosus Fr., 1838")</f>
        <v>Cortinarius papulosus Fr., 1838</v>
      </c>
      <c r="V4401" s="7" t="str">
        <f>HYPERLINK("#Liste_rouge!A"&amp;_xlfn.XMATCH("DD",Liste_rouge!A:A,2,1),"DD")</f>
        <v>DD</v>
      </c>
      <c r="Z4401" s="4" t="s">
        <v>443</v>
      </c>
      <c r="AA4401" s="4" t="s">
        <v>444</v>
      </c>
      <c r="AH4401" s="4" t="str">
        <f>HYPERLINK("#Statut_biogéographique!A"&amp;_xlfn.XMATCH("P",Statut_biogéographique!A:A,2,1),"P")</f>
        <v>P</v>
      </c>
      <c r="AP4401" s="4" t="s">
        <v>376</v>
      </c>
      <c r="AR4401" s="4" t="s">
        <v>377</v>
      </c>
    </row>
    <row r="4402" spans="1:44">
      <c r="A4402" s="4" t="s">
        <v>5</v>
      </c>
      <c r="B4402" s="4">
        <v>35348</v>
      </c>
      <c r="C4402" s="4">
        <v>1854</v>
      </c>
      <c r="D4402" s="5" t="s">
        <v>6458</v>
      </c>
      <c r="E4402" s="6" t="str">
        <f>HYPERLINK("https://inpn.mnhn.fr/espece/cd_nom/35348","Cortinarius parafulmineus Rob.Henry, 1993")</f>
        <v>Cortinarius parafulmineus Rob.Henry, 1993</v>
      </c>
      <c r="V4402" s="7" t="str">
        <f>HYPERLINK("#Liste_rouge!A"&amp;_xlfn.XMATCH("DD",Liste_rouge!A:A,2,1),"DD")</f>
        <v>DD</v>
      </c>
      <c r="AH4402" s="4" t="str">
        <f>HYPERLINK("#Statut_biogéographique!A"&amp;_xlfn.XMATCH("P",Statut_biogéographique!A:A,2,1),"P")</f>
        <v>P</v>
      </c>
      <c r="AP4402" s="4" t="s">
        <v>376</v>
      </c>
      <c r="AR4402" s="4" t="s">
        <v>377</v>
      </c>
    </row>
    <row r="4403" spans="1:44">
      <c r="A4403" s="4" t="s">
        <v>5</v>
      </c>
      <c r="B4403" s="4">
        <v>35349</v>
      </c>
      <c r="C4403" s="4">
        <v>1865</v>
      </c>
      <c r="D4403" s="5" t="s">
        <v>6459</v>
      </c>
      <c r="E4403" s="6" t="str">
        <f>HYPERLINK("https://inpn.mnhn.fr/espece/cd_nom/35349","Cortinarius fulmineus Fr., 1838")</f>
        <v>Cortinarius fulmineus Fr., 1838</v>
      </c>
      <c r="F4403" s="5" t="s">
        <v>6460</v>
      </c>
      <c r="V4403" s="7" t="str">
        <f>HYPERLINK("#Liste_rouge!A"&amp;_xlfn.XMATCH("LC",Liste_rouge!A:A,2,1),"LC")</f>
        <v>LC</v>
      </c>
      <c r="Z4403" s="4" t="s">
        <v>447</v>
      </c>
      <c r="AA4403" s="4" t="s">
        <v>448</v>
      </c>
      <c r="AH4403" s="4" t="str">
        <f>HYPERLINK("#Statut_biogéographique!A"&amp;_xlfn.XMATCH("P",Statut_biogéographique!A:A,2,1),"P")</f>
        <v>P</v>
      </c>
      <c r="AP4403" s="4" t="s">
        <v>376</v>
      </c>
      <c r="AR4403" s="4" t="s">
        <v>377</v>
      </c>
    </row>
    <row r="4404" spans="1:44">
      <c r="A4404" s="4" t="s">
        <v>5</v>
      </c>
      <c r="B4404" s="4">
        <v>35357</v>
      </c>
      <c r="C4404" s="4">
        <v>6613</v>
      </c>
      <c r="D4404" s="5" t="s">
        <v>6461</v>
      </c>
      <c r="E4404" s="6" t="str">
        <f>HYPERLINK("https://inpn.mnhn.fr/espece/cd_nom/35357","Cortinarius parvannulatus Kühner, 1955")</f>
        <v>Cortinarius parvannulatus Kühner, 1955</v>
      </c>
      <c r="AH4404" s="4" t="str">
        <f>HYPERLINK("#Statut_biogéographique!A"&amp;_xlfn.XMATCH("P",Statut_biogéographique!A:A,2,1),"P")</f>
        <v>P</v>
      </c>
      <c r="AP4404" s="4" t="s">
        <v>376</v>
      </c>
      <c r="AR4404" s="4" t="s">
        <v>377</v>
      </c>
    </row>
    <row r="4405" spans="1:44">
      <c r="A4405" s="4" t="s">
        <v>5</v>
      </c>
      <c r="B4405" s="4">
        <v>35358</v>
      </c>
      <c r="C4405" s="4">
        <v>1850</v>
      </c>
      <c r="D4405" s="5" t="s">
        <v>6462</v>
      </c>
      <c r="E4405" s="6" t="str">
        <f>HYPERLINK("https://inpn.mnhn.fr/espece/cd_nom/35358","Cortinarius parvus Rob.Henry, 1935")</f>
        <v>Cortinarius parvus Rob.Henry, 1935</v>
      </c>
      <c r="F4405" s="5" t="s">
        <v>6463</v>
      </c>
      <c r="V4405" s="7" t="str">
        <f>HYPERLINK("#Liste_rouge!A"&amp;_xlfn.XMATCH("LC",Liste_rouge!A:A,2,1),"LC")</f>
        <v>LC</v>
      </c>
      <c r="Z4405" s="4" t="s">
        <v>447</v>
      </c>
      <c r="AA4405" s="4" t="s">
        <v>448</v>
      </c>
      <c r="AH4405" s="4" t="str">
        <f>HYPERLINK("#Statut_biogéographique!A"&amp;_xlfn.XMATCH("P",Statut_biogéographique!A:A,2,1),"P")</f>
        <v>P</v>
      </c>
      <c r="AP4405" s="4" t="s">
        <v>376</v>
      </c>
      <c r="AR4405" s="4" t="s">
        <v>377</v>
      </c>
    </row>
    <row r="4406" spans="1:44">
      <c r="A4406" s="4" t="s">
        <v>5</v>
      </c>
      <c r="B4406" s="4">
        <v>35361</v>
      </c>
      <c r="C4406" s="4">
        <v>6091</v>
      </c>
      <c r="D4406" s="5" t="s">
        <v>6464</v>
      </c>
      <c r="E4406" s="6" t="str">
        <f>HYPERLINK("https://inpn.mnhn.fr/espece/cd_nom/35361","Cortinarius pavonius Fr., 1838")</f>
        <v>Cortinarius pavonius Fr., 1838</v>
      </c>
      <c r="F4406" s="5" t="s">
        <v>6465</v>
      </c>
      <c r="AH4406" s="4" t="str">
        <f>HYPERLINK("#Statut_biogéographique!A"&amp;_xlfn.XMATCH("P",Statut_biogéographique!A:A,2,1),"P")</f>
        <v>P</v>
      </c>
      <c r="AP4406" s="4" t="s">
        <v>376</v>
      </c>
      <c r="AR4406" s="4" t="s">
        <v>377</v>
      </c>
    </row>
    <row r="4407" spans="1:44">
      <c r="A4407" s="4" t="s">
        <v>5</v>
      </c>
      <c r="B4407" s="4">
        <v>35367</v>
      </c>
      <c r="C4407" s="4">
        <v>567</v>
      </c>
      <c r="D4407" s="5" t="s">
        <v>6466</v>
      </c>
      <c r="E4407" s="6" t="str">
        <f>HYPERLINK("https://inpn.mnhn.fr/espece/cd_nom/35367","Cortinarius percomis Fr., 1838")</f>
        <v>Cortinarius percomis Fr., 1838</v>
      </c>
      <c r="F4407" s="5" t="s">
        <v>6467</v>
      </c>
      <c r="V4407" s="7" t="str">
        <f>HYPERLINK("#Liste_rouge!A"&amp;_xlfn.XMATCH("LC",Liste_rouge!A:A,2,1),"LC")</f>
        <v>LC</v>
      </c>
      <c r="AH4407" s="4" t="str">
        <f>HYPERLINK("#Statut_biogéographique!A"&amp;_xlfn.XMATCH("P",Statut_biogéographique!A:A,2,1),"P")</f>
        <v>P</v>
      </c>
      <c r="AP4407" s="4" t="s">
        <v>376</v>
      </c>
      <c r="AR4407" s="4" t="s">
        <v>377</v>
      </c>
    </row>
    <row r="4408" spans="1:44">
      <c r="A4408" s="4" t="s">
        <v>5</v>
      </c>
      <c r="B4408" s="4">
        <v>35384</v>
      </c>
      <c r="C4408" s="4">
        <v>302</v>
      </c>
      <c r="D4408" s="5" t="s">
        <v>6468</v>
      </c>
      <c r="E4408" s="6" t="str">
        <f>HYPERLINK("https://inpn.mnhn.fr/espece/cd_nom/35384","Cortinarius phoeniceus (Vent.) Maire, 1911")</f>
        <v>Cortinarius phoeniceus (Vent.) Maire, 1911</v>
      </c>
      <c r="F4408" s="5" t="s">
        <v>6469</v>
      </c>
      <c r="V4408" s="7" t="str">
        <f>HYPERLINK("#Liste_rouge!A"&amp;_xlfn.XMATCH("LC",Liste_rouge!A:A,2,1),"LC")</f>
        <v>LC</v>
      </c>
      <c r="AH4408" s="4" t="str">
        <f>HYPERLINK("#Statut_biogéographique!A"&amp;_xlfn.XMATCH("P",Statut_biogéographique!A:A,2,1),"P")</f>
        <v>P</v>
      </c>
      <c r="AP4408" s="4" t="s">
        <v>376</v>
      </c>
      <c r="AR4408" s="4" t="s">
        <v>377</v>
      </c>
    </row>
    <row r="4409" spans="1:44" ht="30">
      <c r="A4409" s="4" t="s">
        <v>5</v>
      </c>
      <c r="B4409" s="4">
        <v>35387</v>
      </c>
      <c r="C4409" s="4">
        <v>673</v>
      </c>
      <c r="D4409" s="5" t="s">
        <v>6470</v>
      </c>
      <c r="E4409" s="6" t="str">
        <f>HYPERLINK("https://inpn.mnhn.fr/espece/cd_nom/35387","Cortinarius pholideus (Lilj.) Fr., 1838")</f>
        <v>Cortinarius pholideus (Lilj.) Fr., 1838</v>
      </c>
      <c r="F4409" s="5" t="s">
        <v>6471</v>
      </c>
      <c r="V4409" s="7" t="str">
        <f>HYPERLINK("#Liste_rouge!A"&amp;_xlfn.XMATCH("NT",Liste_rouge!A:A,2,1),"NT")</f>
        <v>NT</v>
      </c>
      <c r="W4409" s="4" t="str">
        <f>HYPERLINK("#Critères_liste_rouge!A$1","pr. A2c")</f>
        <v>pr. A2c</v>
      </c>
      <c r="Z4409" s="4" t="s">
        <v>447</v>
      </c>
      <c r="AA4409" s="4" t="s">
        <v>448</v>
      </c>
      <c r="AH4409" s="4" t="str">
        <f>HYPERLINK("#Statut_biogéographique!A"&amp;_xlfn.XMATCH("P",Statut_biogéographique!A:A,2,1),"P")</f>
        <v>P</v>
      </c>
      <c r="AP4409" s="4" t="s">
        <v>376</v>
      </c>
      <c r="AR4409" s="4" t="s">
        <v>377</v>
      </c>
    </row>
    <row r="4410" spans="1:44" ht="30">
      <c r="A4410" s="4" t="s">
        <v>5</v>
      </c>
      <c r="B4410" s="4">
        <v>35392</v>
      </c>
      <c r="C4410" s="4">
        <v>3194</v>
      </c>
      <c r="D4410" s="5" t="s">
        <v>6472</v>
      </c>
      <c r="E4410" s="6" t="str">
        <f>HYPERLINK("https://inpn.mnhn.fr/espece/cd_nom/35392","Cortinarius platypus (M.M.Moser) M.M.Moser, 1967")</f>
        <v>Cortinarius platypus (M.M.Moser) M.M.Moser, 1967</v>
      </c>
      <c r="V4410" s="7" t="str">
        <f>HYPERLINK("#Liste_rouge!A"&amp;_xlfn.XMATCH("DD",Liste_rouge!A:A,2,1),"DD")</f>
        <v>DD</v>
      </c>
      <c r="AH4410" s="4" t="str">
        <f>HYPERLINK("#Statut_biogéographique!A"&amp;_xlfn.XMATCH("P",Statut_biogéographique!A:A,2,1),"P")</f>
        <v>P</v>
      </c>
      <c r="AP4410" s="4" t="s">
        <v>376</v>
      </c>
      <c r="AR4410" s="4" t="s">
        <v>377</v>
      </c>
    </row>
    <row r="4411" spans="1:44">
      <c r="A4411" s="4" t="s">
        <v>5</v>
      </c>
      <c r="B4411" s="4">
        <v>35395</v>
      </c>
      <c r="C4411" s="4">
        <v>1929</v>
      </c>
      <c r="D4411" s="5" t="s">
        <v>6473</v>
      </c>
      <c r="E4411" s="6" t="str">
        <f>HYPERLINK("https://inpn.mnhn.fr/espece/cd_nom/35395","Cortinarius plumbosus Fr., 1838")</f>
        <v>Cortinarius plumbosus Fr., 1838</v>
      </c>
      <c r="V4411" s="7" t="str">
        <f>HYPERLINK("#Liste_rouge!A"&amp;_xlfn.XMATCH("VU",Liste_rouge!A:A,2,1),"VU")</f>
        <v>VU</v>
      </c>
      <c r="W4411" s="4" t="str">
        <f>HYPERLINK("#Critères_liste_rouge!A$1","B2abiii")</f>
        <v>B2abiii</v>
      </c>
      <c r="Z4411" s="4" t="s">
        <v>447</v>
      </c>
      <c r="AA4411" s="4" t="s">
        <v>448</v>
      </c>
      <c r="AH4411" s="4" t="str">
        <f>HYPERLINK("#Statut_biogéographique!A"&amp;_xlfn.XMATCH("P",Statut_biogéographique!A:A,2,1),"P")</f>
        <v>P</v>
      </c>
      <c r="AP4411" s="4" t="s">
        <v>376</v>
      </c>
      <c r="AR4411" s="4" t="s">
        <v>377</v>
      </c>
    </row>
    <row r="4412" spans="1:44">
      <c r="A4412" s="4" t="s">
        <v>5</v>
      </c>
      <c r="B4412" s="4">
        <v>35398</v>
      </c>
      <c r="C4412" s="4">
        <v>3070</v>
      </c>
      <c r="D4412" s="5" t="s">
        <v>6474</v>
      </c>
      <c r="E4412" s="6" t="str">
        <f>HYPERLINK("https://inpn.mnhn.fr/espece/cd_nom/35398","Cortinarius pluvius (Fr.) Fr., 1838")</f>
        <v>Cortinarius pluvius (Fr.) Fr., 1838</v>
      </c>
      <c r="V4412" s="7" t="str">
        <f>HYPERLINK("#Liste_rouge!A"&amp;_xlfn.XMATCH("EN",Liste_rouge!A:A,2,1),"EN")</f>
        <v>EN</v>
      </c>
      <c r="W4412" s="4" t="str">
        <f>HYPERLINK("#Critères_liste_rouge!A$1","B2abiii")</f>
        <v>B2abiii</v>
      </c>
      <c r="Z4412" s="4" t="s">
        <v>447</v>
      </c>
      <c r="AA4412" s="4" t="s">
        <v>448</v>
      </c>
      <c r="AH4412" s="4" t="str">
        <f>HYPERLINK("#Statut_biogéographique!A"&amp;_xlfn.XMATCH("P",Statut_biogéographique!A:A,2,1),"P")</f>
        <v>P</v>
      </c>
      <c r="AP4412" s="4" t="s">
        <v>376</v>
      </c>
      <c r="AR4412" s="4" t="s">
        <v>377</v>
      </c>
    </row>
    <row r="4413" spans="1:44">
      <c r="A4413" s="4" t="s">
        <v>5</v>
      </c>
      <c r="B4413" s="4">
        <v>35401</v>
      </c>
      <c r="C4413" s="4">
        <v>1910</v>
      </c>
      <c r="D4413" s="5" t="s">
        <v>6475</v>
      </c>
      <c r="E4413" s="6" t="str">
        <f>HYPERLINK("https://inpn.mnhn.fr/espece/cd_nom/35401","Cortinarius poecilopus Rob.Henry, 1956")</f>
        <v>Cortinarius poecilopus Rob.Henry, 1956</v>
      </c>
      <c r="F4413" s="5" t="s">
        <v>6104</v>
      </c>
      <c r="V4413" s="7" t="str">
        <f>HYPERLINK("#Liste_rouge!A"&amp;_xlfn.XMATCH("EN",Liste_rouge!A:A,2,1),"EN")</f>
        <v>EN</v>
      </c>
      <c r="W4413" s="4" t="str">
        <f>HYPERLINK("#Critères_liste_rouge!A$1","B2abiii")</f>
        <v>B2abiii</v>
      </c>
      <c r="Z4413" s="4" t="s">
        <v>443</v>
      </c>
      <c r="AA4413" s="4" t="s">
        <v>444</v>
      </c>
      <c r="AH4413" s="4" t="str">
        <f>HYPERLINK("#Statut_biogéographique!A"&amp;_xlfn.XMATCH("P",Statut_biogéographique!A:A,2,1),"P")</f>
        <v>P</v>
      </c>
      <c r="AP4413" s="4" t="s">
        <v>376</v>
      </c>
      <c r="AR4413" s="4" t="s">
        <v>377</v>
      </c>
    </row>
    <row r="4414" spans="1:44" ht="30">
      <c r="A4414" s="4" t="s">
        <v>5</v>
      </c>
      <c r="B4414" s="4">
        <v>35404</v>
      </c>
      <c r="C4414" s="4">
        <v>732</v>
      </c>
      <c r="D4414" s="5">
        <v>35405</v>
      </c>
      <c r="E4414" s="6" t="str">
        <f>HYPERLINK("https://inpn.mnhn.fr/espece/cd_nom/35404","Cortinarius poliodes Bidaud, Moënne-Locc. &amp; Reumaux, 1993")</f>
        <v>Cortinarius poliodes Bidaud, Moënne-Locc. &amp; Reumaux, 1993</v>
      </c>
      <c r="F4414" s="5" t="s">
        <v>5483</v>
      </c>
      <c r="V4414" s="7" t="str">
        <f>HYPERLINK("#Liste_rouge!A"&amp;_xlfn.XMATCH("LC",Liste_rouge!A:A,2,1),"LC")</f>
        <v>LC</v>
      </c>
      <c r="AH4414" s="4" t="str">
        <f>HYPERLINK("#Statut_biogéographique!A"&amp;_xlfn.XMATCH("P",Statut_biogéographique!A:A,2,1),"P")</f>
        <v>P</v>
      </c>
      <c r="AP4414" s="4" t="s">
        <v>376</v>
      </c>
      <c r="AR4414" s="4" t="s">
        <v>377</v>
      </c>
    </row>
    <row r="4415" spans="1:44">
      <c r="A4415" s="4" t="s">
        <v>5</v>
      </c>
      <c r="B4415" s="4">
        <v>35406</v>
      </c>
      <c r="C4415" s="4">
        <v>6029</v>
      </c>
      <c r="D4415" s="5" t="s">
        <v>6476</v>
      </c>
      <c r="E4415" s="6" t="str">
        <f>HYPERLINK("https://inpn.mnhn.fr/espece/cd_nom/35406","Cortinarius polychrous Rob.Henry, 1952")</f>
        <v>Cortinarius polychrous Rob.Henry, 1952</v>
      </c>
      <c r="AH4415" s="4" t="str">
        <f>HYPERLINK("#Statut_biogéographique!A"&amp;_xlfn.XMATCH("P",Statut_biogéographique!A:A,2,1),"P")</f>
        <v>P</v>
      </c>
      <c r="AP4415" s="4" t="s">
        <v>376</v>
      </c>
      <c r="AR4415" s="4" t="s">
        <v>377</v>
      </c>
    </row>
    <row r="4416" spans="1:44" ht="45">
      <c r="A4416" s="4" t="s">
        <v>5</v>
      </c>
      <c r="B4416" s="4">
        <v>35409</v>
      </c>
      <c r="C4416" s="4">
        <v>7295</v>
      </c>
      <c r="D4416" s="5">
        <v>35410</v>
      </c>
      <c r="E4416" s="6" t="str">
        <f>HYPERLINK("https://inpn.mnhn.fr/espece/cd_nom/35409","Cortinarius polymorphus var. luteoimmarginatus (Rob.Henry) Bidaud &amp; Reumaux, 2006")</f>
        <v>Cortinarius polymorphus var. luteoimmarginatus (Rob.Henry) Bidaud &amp; Reumaux, 2006</v>
      </c>
      <c r="F4416" s="5" t="s">
        <v>6477</v>
      </c>
      <c r="V4416" s="7" t="str">
        <f>HYPERLINK("#Liste_rouge!A"&amp;_xlfn.XMATCH("LC",Liste_rouge!A:A,2,1),"LC")</f>
        <v>LC</v>
      </c>
      <c r="AH4416" s="4" t="str">
        <f>HYPERLINK("#Statut_biogéographique!A"&amp;_xlfn.XMATCH("P",Statut_biogéographique!A:A,2,1),"P")</f>
        <v>P</v>
      </c>
      <c r="AP4416" s="4" t="s">
        <v>376</v>
      </c>
      <c r="AR4416" s="4" t="s">
        <v>377</v>
      </c>
    </row>
    <row r="4417" spans="1:44" ht="30">
      <c r="A4417" s="4" t="s">
        <v>5</v>
      </c>
      <c r="B4417" s="4">
        <v>35412</v>
      </c>
      <c r="C4417" s="4">
        <v>2430</v>
      </c>
      <c r="D4417" s="5" t="s">
        <v>6478</v>
      </c>
      <c r="E4417" s="6" t="str">
        <f>HYPERLINK("https://inpn.mnhn.fr/espece/cd_nom/35412","Cortinarius porphyropus (Alb. &amp; Schwein.) Fr., 1838")</f>
        <v>Cortinarius porphyropus (Alb. &amp; Schwein.) Fr., 1838</v>
      </c>
      <c r="F4417" s="5" t="s">
        <v>6479</v>
      </c>
      <c r="V4417" s="7" t="str">
        <f>HYPERLINK("#Liste_rouge!A"&amp;_xlfn.XMATCH("EN",Liste_rouge!A:A,2,1),"EN")</f>
        <v>EN</v>
      </c>
      <c r="W4417" s="4" t="str">
        <f>HYPERLINK("#Critères_liste_rouge!A$1","B2abiii")</f>
        <v>B2abiii</v>
      </c>
      <c r="Z4417" s="4" t="s">
        <v>443</v>
      </c>
      <c r="AA4417" s="4" t="s">
        <v>444</v>
      </c>
      <c r="AH4417" s="4" t="str">
        <f>HYPERLINK("#Statut_biogéographique!A"&amp;_xlfn.XMATCH("P",Statut_biogéographique!A:A,2,1),"P")</f>
        <v>P</v>
      </c>
      <c r="AP4417" s="4" t="s">
        <v>376</v>
      </c>
      <c r="AR4417" s="4" t="s">
        <v>377</v>
      </c>
    </row>
    <row r="4418" spans="1:44" ht="30">
      <c r="A4418" s="4" t="s">
        <v>5</v>
      </c>
      <c r="B4418" s="4">
        <v>35415</v>
      </c>
      <c r="C4418" s="4">
        <v>316</v>
      </c>
      <c r="D4418" s="5" t="s">
        <v>6480</v>
      </c>
      <c r="E4418" s="6" t="str">
        <f>HYPERLINK("https://inpn.mnhn.fr/espece/cd_nom/35415","Cortinarius praestans (Cordier) Gillet, 1876")</f>
        <v>Cortinarius praestans (Cordier) Gillet, 1876</v>
      </c>
      <c r="F4418" s="5" t="s">
        <v>6481</v>
      </c>
      <c r="V4418" s="7" t="str">
        <f>HYPERLINK("#Liste_rouge!A"&amp;_xlfn.XMATCH("LC",Liste_rouge!A:A,2,1),"LC")</f>
        <v>LC</v>
      </c>
      <c r="AH4418" s="4" t="str">
        <f>HYPERLINK("#Statut_biogéographique!A"&amp;_xlfn.XMATCH("P",Statut_biogéographique!A:A,2,1),"P")</f>
        <v>P</v>
      </c>
      <c r="AP4418" s="4" t="s">
        <v>376</v>
      </c>
      <c r="AR4418" s="4" t="s">
        <v>377</v>
      </c>
    </row>
    <row r="4419" spans="1:44">
      <c r="A4419" s="4" t="s">
        <v>5</v>
      </c>
      <c r="B4419" s="4">
        <v>35418</v>
      </c>
      <c r="C4419" s="4">
        <v>1830</v>
      </c>
      <c r="D4419" s="5" t="s">
        <v>6482</v>
      </c>
      <c r="E4419" s="6" t="str">
        <f>HYPERLINK("https://inpn.mnhn.fr/espece/cd_nom/35418","Cortinarius prasinocyaneus Rob.Henry, 1939")</f>
        <v>Cortinarius prasinocyaneus Rob.Henry, 1939</v>
      </c>
      <c r="V4419" s="7" t="str">
        <f>HYPERLINK("#Liste_rouge!A"&amp;_xlfn.XMATCH("LC",Liste_rouge!A:A,2,1),"LC")</f>
        <v>LC</v>
      </c>
      <c r="Z4419" s="4" t="s">
        <v>447</v>
      </c>
      <c r="AA4419" s="4" t="s">
        <v>448</v>
      </c>
      <c r="AH4419" s="4" t="str">
        <f>HYPERLINK("#Statut_biogéographique!A"&amp;_xlfn.XMATCH("P",Statut_biogéographique!A:A,2,1),"P")</f>
        <v>P</v>
      </c>
      <c r="AP4419" s="4" t="s">
        <v>376</v>
      </c>
      <c r="AR4419" s="4" t="s">
        <v>377</v>
      </c>
    </row>
    <row r="4420" spans="1:44">
      <c r="A4420" s="4" t="s">
        <v>5</v>
      </c>
      <c r="B4420" s="4">
        <v>35419</v>
      </c>
      <c r="C4420" s="4">
        <v>1546</v>
      </c>
      <c r="D4420" s="5" t="s">
        <v>6483</v>
      </c>
      <c r="E4420" s="6" t="str">
        <f>HYPERLINK("https://inpn.mnhn.fr/espece/cd_nom/35419","Cortinarius prasinus (Schaeff.) Fr., 1838")</f>
        <v>Cortinarius prasinus (Schaeff.) Fr., 1838</v>
      </c>
      <c r="F4420" s="5" t="s">
        <v>6484</v>
      </c>
      <c r="V4420" s="7" t="str">
        <f>HYPERLINK("#Liste_rouge!A"&amp;_xlfn.XMATCH("LC",Liste_rouge!A:A,2,1),"LC")</f>
        <v>LC</v>
      </c>
      <c r="Z4420" s="4" t="s">
        <v>447</v>
      </c>
      <c r="AA4420" s="4" t="s">
        <v>448</v>
      </c>
      <c r="AH4420" s="4" t="str">
        <f>HYPERLINK("#Statut_biogéographique!A"&amp;_xlfn.XMATCH("P",Statut_biogéographique!A:A,2,1),"P")</f>
        <v>P</v>
      </c>
      <c r="AP4420" s="4" t="s">
        <v>376</v>
      </c>
      <c r="AR4420" s="4" t="s">
        <v>377</v>
      </c>
    </row>
    <row r="4421" spans="1:44" ht="30">
      <c r="A4421" s="4" t="s">
        <v>5</v>
      </c>
      <c r="B4421" s="4">
        <v>35421</v>
      </c>
      <c r="C4421" s="4">
        <v>6076</v>
      </c>
      <c r="D4421" s="5" t="s">
        <v>6485</v>
      </c>
      <c r="E4421" s="6" t="str">
        <f>HYPERLINK("https://inpn.mnhn.fr/espece/cd_nom/35421","Cortinarius pratensis (Bon &amp; Gaugué) Høil., 1984")</f>
        <v>Cortinarius pratensis (Bon &amp; Gaugué) Høil., 1984</v>
      </c>
      <c r="F4421" s="5" t="s">
        <v>6486</v>
      </c>
      <c r="Z4421" s="4" t="s">
        <v>443</v>
      </c>
      <c r="AA4421" s="4" t="s">
        <v>444</v>
      </c>
      <c r="AH4421" s="4" t="str">
        <f>HYPERLINK("#Statut_biogéographique!A"&amp;_xlfn.XMATCH("P",Statut_biogéographique!A:A,2,1),"P")</f>
        <v>P</v>
      </c>
      <c r="AP4421" s="4" t="s">
        <v>376</v>
      </c>
      <c r="AR4421" s="4" t="s">
        <v>377</v>
      </c>
    </row>
    <row r="4422" spans="1:44">
      <c r="A4422" s="4" t="s">
        <v>5</v>
      </c>
      <c r="B4422" s="4">
        <v>35424</v>
      </c>
      <c r="C4422" s="4">
        <v>1916</v>
      </c>
      <c r="D4422" s="5" t="s">
        <v>6487</v>
      </c>
      <c r="E4422" s="6" t="str">
        <f>HYPERLINK("https://inpn.mnhn.fr/espece/cd_nom/35424","Cortinarius privignoides Rob.Henry, 1985")</f>
        <v>Cortinarius privignoides Rob.Henry, 1985</v>
      </c>
      <c r="V4422" s="7" t="str">
        <f>HYPERLINK("#Liste_rouge!A"&amp;_xlfn.XMATCH("LC",Liste_rouge!A:A,2,1),"LC")</f>
        <v>LC</v>
      </c>
      <c r="AH4422" s="4" t="str">
        <f>HYPERLINK("#Statut_biogéographique!A"&amp;_xlfn.XMATCH("P",Statut_biogéographique!A:A,2,1),"P")</f>
        <v>P</v>
      </c>
      <c r="AP4422" s="4" t="s">
        <v>376</v>
      </c>
      <c r="AR4422" s="4" t="s">
        <v>377</v>
      </c>
    </row>
    <row r="4423" spans="1:44">
      <c r="A4423" s="4" t="s">
        <v>5</v>
      </c>
      <c r="B4423" s="4">
        <v>35429</v>
      </c>
      <c r="C4423" s="4">
        <v>1914</v>
      </c>
      <c r="D4423" s="5" t="s">
        <v>6488</v>
      </c>
      <c r="E4423" s="6" t="str">
        <f>HYPERLINK("https://inpn.mnhn.fr/espece/cd_nom/35429","Cortinarius privignus (Fr.) Fr., 1838")</f>
        <v>Cortinarius privignus (Fr.) Fr., 1838</v>
      </c>
      <c r="V4423" s="7" t="str">
        <f>HYPERLINK("#Liste_rouge!A"&amp;_xlfn.XMATCH("VU",Liste_rouge!A:A,2,1),"VU")</f>
        <v>VU</v>
      </c>
      <c r="W4423" s="4" t="str">
        <f>HYPERLINK("#Critères_liste_rouge!A$1","D2")</f>
        <v>D2</v>
      </c>
      <c r="Z4423" s="4" t="s">
        <v>443</v>
      </c>
      <c r="AA4423" s="4" t="s">
        <v>444</v>
      </c>
      <c r="AH4423" s="4" t="str">
        <f>HYPERLINK("#Statut_biogéographique!A"&amp;_xlfn.XMATCH("P",Statut_biogéographique!A:A,2,1),"P")</f>
        <v>P</v>
      </c>
      <c r="AP4423" s="4" t="s">
        <v>376</v>
      </c>
      <c r="AR4423" s="4" t="s">
        <v>377</v>
      </c>
    </row>
    <row r="4424" spans="1:44">
      <c r="A4424" s="4" t="s">
        <v>5</v>
      </c>
      <c r="B4424" s="4">
        <v>35435</v>
      </c>
      <c r="C4424" s="4">
        <v>3238</v>
      </c>
      <c r="D4424" s="5" t="s">
        <v>6489</v>
      </c>
      <c r="E4424" s="6" t="str">
        <f>HYPERLINK("https://inpn.mnhn.fr/espece/cd_nom/35435","Cortinarius pseudocolus M.M.Moser, 1965")</f>
        <v>Cortinarius pseudocolus M.M.Moser, 1965</v>
      </c>
      <c r="V4424" s="7" t="str">
        <f>HYPERLINK("#Liste_rouge!A"&amp;_xlfn.XMATCH("DD",Liste_rouge!A:A,2,1),"DD")</f>
        <v>DD</v>
      </c>
      <c r="AH4424" s="4" t="str">
        <f>HYPERLINK("#Statut_biogéographique!A"&amp;_xlfn.XMATCH("P",Statut_biogéographique!A:A,2,1),"P")</f>
        <v>P</v>
      </c>
      <c r="AP4424" s="4" t="s">
        <v>376</v>
      </c>
      <c r="AR4424" s="4" t="s">
        <v>377</v>
      </c>
    </row>
    <row r="4425" spans="1:44" ht="30">
      <c r="A4425" s="4" t="s">
        <v>5</v>
      </c>
      <c r="B4425" s="4">
        <v>35436</v>
      </c>
      <c r="C4425" s="4">
        <v>935</v>
      </c>
      <c r="D4425" s="5" t="s">
        <v>6490</v>
      </c>
      <c r="E4425" s="6" t="str">
        <f>HYPERLINK("https://inpn.mnhn.fr/espece/cd_nom/35436","Cortinarius pseudocrassus Joss. ex P.D.Orton, 1960")</f>
        <v>Cortinarius pseudocrassus Joss. ex P.D.Orton, 1960</v>
      </c>
      <c r="F4425" s="5" t="s">
        <v>6491</v>
      </c>
      <c r="V4425" s="7" t="str">
        <f>HYPERLINK("#Liste_rouge!A"&amp;_xlfn.XMATCH("LC",Liste_rouge!A:A,2,1),"LC")</f>
        <v>LC</v>
      </c>
      <c r="AH4425" s="4" t="str">
        <f>HYPERLINK("#Statut_biogéographique!A"&amp;_xlfn.XMATCH("P",Statut_biogéographique!A:A,2,1),"P")</f>
        <v>P</v>
      </c>
      <c r="AP4425" s="4" t="s">
        <v>376</v>
      </c>
      <c r="AR4425" s="4" t="s">
        <v>377</v>
      </c>
    </row>
    <row r="4426" spans="1:44" ht="30">
      <c r="A4426" s="4" t="s">
        <v>5</v>
      </c>
      <c r="B4426" s="4">
        <v>35441</v>
      </c>
      <c r="C4426" s="4">
        <v>5614</v>
      </c>
      <c r="D4426" s="5" t="s">
        <v>6492</v>
      </c>
      <c r="E4426" s="6" t="str">
        <f>HYPERLINK("https://inpn.mnhn.fr/espece/cd_nom/35441","Cortinarius pseudodiabolicus M.M.Moser, 1967")</f>
        <v>Cortinarius pseudodiabolicus M.M.Moser, 1967</v>
      </c>
      <c r="F4426" s="5" t="s">
        <v>6493</v>
      </c>
      <c r="V4426" s="7" t="str">
        <f>HYPERLINK("#Liste_rouge!A"&amp;_xlfn.XMATCH("DD",Liste_rouge!A:A,2,1),"DD")</f>
        <v>DD</v>
      </c>
      <c r="AH4426" s="4" t="str">
        <f>HYPERLINK("#Statut_biogéographique!A"&amp;_xlfn.XMATCH("P",Statut_biogéographique!A:A,2,1),"P")</f>
        <v>P</v>
      </c>
      <c r="AP4426" s="4" t="s">
        <v>376</v>
      </c>
      <c r="AR4426" s="4" t="s">
        <v>377</v>
      </c>
    </row>
    <row r="4427" spans="1:44">
      <c r="A4427" s="4" t="s">
        <v>5</v>
      </c>
      <c r="B4427" s="4">
        <v>35444</v>
      </c>
      <c r="C4427" s="4">
        <v>1868</v>
      </c>
      <c r="D4427" s="5" t="s">
        <v>6494</v>
      </c>
      <c r="E4427" s="6" t="str">
        <f>HYPERLINK("https://inpn.mnhn.fr/espece/cd_nom/35444","Cortinarius pseudofulgens Rob.Henry, 1952")</f>
        <v>Cortinarius pseudofulgens Rob.Henry, 1952</v>
      </c>
      <c r="F4427" s="5" t="s">
        <v>6495</v>
      </c>
      <c r="V4427" s="7" t="str">
        <f>HYPERLINK("#Liste_rouge!A"&amp;_xlfn.XMATCH("VU",Liste_rouge!A:A,2,1),"VU")</f>
        <v>VU</v>
      </c>
      <c r="W4427" s="4" t="str">
        <f>HYPERLINK("#Critères_liste_rouge!A$1","A2c")</f>
        <v>A2c</v>
      </c>
      <c r="Z4427" s="4" t="s">
        <v>447</v>
      </c>
      <c r="AA4427" s="4" t="s">
        <v>448</v>
      </c>
      <c r="AH4427" s="4" t="str">
        <f>HYPERLINK("#Statut_biogéographique!A"&amp;_xlfn.XMATCH("P",Statut_biogéographique!A:A,2,1),"P")</f>
        <v>P</v>
      </c>
      <c r="AP4427" s="4" t="s">
        <v>376</v>
      </c>
      <c r="AR4427" s="4" t="s">
        <v>377</v>
      </c>
    </row>
    <row r="4428" spans="1:44" ht="30">
      <c r="A4428" s="4" t="s">
        <v>5</v>
      </c>
      <c r="B4428" s="4">
        <v>35445</v>
      </c>
      <c r="C4428" s="4">
        <v>6511</v>
      </c>
      <c r="D4428" s="5" t="s">
        <v>6496</v>
      </c>
      <c r="E4428" s="6" t="str">
        <f>HYPERLINK("https://inpn.mnhn.fr/espece/cd_nom/35445","Cortinarius cuprescens Eyssart. &amp; Bidaud, 2003")</f>
        <v>Cortinarius cuprescens Eyssart. &amp; Bidaud, 2003</v>
      </c>
      <c r="F4428" s="5" t="s">
        <v>6497</v>
      </c>
      <c r="AH4428" s="4" t="str">
        <f>HYPERLINK("#Statut_biogéographique!A"&amp;_xlfn.XMATCH("P",Statut_biogéographique!A:A,2,1),"P")</f>
        <v>P</v>
      </c>
      <c r="AP4428" s="4" t="s">
        <v>376</v>
      </c>
      <c r="AR4428" s="4" t="s">
        <v>377</v>
      </c>
    </row>
    <row r="4429" spans="1:44" ht="30">
      <c r="A4429" s="4" t="s">
        <v>5</v>
      </c>
      <c r="B4429" s="4">
        <v>35447</v>
      </c>
      <c r="C4429" s="4">
        <v>3065</v>
      </c>
      <c r="D4429" s="5" t="s">
        <v>6498</v>
      </c>
      <c r="E4429" s="6" t="str">
        <f>HYPERLINK("https://inpn.mnhn.fr/espece/cd_nom/35447","Cortinarius pseudoglaucopus (Jul.Schäff.ex M.M.Moser) Quadr., 1985")</f>
        <v>Cortinarius pseudoglaucopus (Jul.Schäff.ex M.M.Moser) Quadr., 1985</v>
      </c>
      <c r="F4429" s="5" t="s">
        <v>6499</v>
      </c>
      <c r="V4429" s="7" t="str">
        <f>HYPERLINK("#Liste_rouge!A"&amp;_xlfn.XMATCH("EN",Liste_rouge!A:A,2,1),"EN")</f>
        <v>EN</v>
      </c>
      <c r="W4429" s="4" t="str">
        <f>HYPERLINK("#Critères_liste_rouge!A$1","B2abiii")</f>
        <v>B2abiii</v>
      </c>
      <c r="Z4429" s="4" t="s">
        <v>443</v>
      </c>
      <c r="AA4429" s="4" t="s">
        <v>444</v>
      </c>
      <c r="AH4429" s="4" t="str">
        <f>HYPERLINK("#Statut_biogéographique!A"&amp;_xlfn.XMATCH("P",Statut_biogéographique!A:A,2,1),"P")</f>
        <v>P</v>
      </c>
      <c r="AP4429" s="4" t="s">
        <v>376</v>
      </c>
      <c r="AR4429" s="4" t="s">
        <v>377</v>
      </c>
    </row>
    <row r="4430" spans="1:44">
      <c r="A4430" s="4" t="s">
        <v>5</v>
      </c>
      <c r="B4430" s="4">
        <v>35458</v>
      </c>
      <c r="C4430" s="4">
        <v>1927</v>
      </c>
      <c r="D4430" s="5" t="s">
        <v>6500</v>
      </c>
      <c r="E4430" s="6" t="str">
        <f>HYPERLINK("https://inpn.mnhn.fr/espece/cd_nom/35458","Cortinarius pseudosuillus Rob.Henry, 1959")</f>
        <v>Cortinarius pseudosuillus Rob.Henry, 1959</v>
      </c>
      <c r="F4430" s="5" t="s">
        <v>6501</v>
      </c>
      <c r="V4430" s="7" t="str">
        <f>HYPERLINK("#Liste_rouge!A"&amp;_xlfn.XMATCH("RE",Liste_rouge!A:A,2,1),"RE")</f>
        <v>RE</v>
      </c>
      <c r="AH4430" s="4" t="str">
        <f>HYPERLINK("#Statut_biogéographique!A"&amp;_xlfn.XMATCH("P",Statut_biogéographique!A:A,2,1),"P")</f>
        <v>P</v>
      </c>
      <c r="AP4430" s="4" t="s">
        <v>376</v>
      </c>
      <c r="AR4430" s="4" t="s">
        <v>377</v>
      </c>
    </row>
    <row r="4431" spans="1:44">
      <c r="A4431" s="4" t="s">
        <v>5</v>
      </c>
      <c r="B4431" s="4">
        <v>35470</v>
      </c>
      <c r="C4431" s="4">
        <v>3865</v>
      </c>
      <c r="D4431" s="5" t="s">
        <v>6502</v>
      </c>
      <c r="E4431" s="6" t="str">
        <f>HYPERLINK("https://inpn.mnhn.fr/espece/cd_nom/35470","Cortinarius pulchripes J.Favre, 1948")</f>
        <v>Cortinarius pulchripes J.Favre, 1948</v>
      </c>
      <c r="V4431" s="7" t="str">
        <f>HYPERLINK("#Liste_rouge!A"&amp;_xlfn.XMATCH("EN",Liste_rouge!A:A,2,1),"EN")</f>
        <v>EN</v>
      </c>
      <c r="W4431" s="4" t="str">
        <f>HYPERLINK("#Critères_liste_rouge!A$1","B2abiii")</f>
        <v>B2abiii</v>
      </c>
      <c r="Z4431" s="4" t="s">
        <v>447</v>
      </c>
      <c r="AA4431" s="4" t="s">
        <v>448</v>
      </c>
      <c r="AH4431" s="4" t="str">
        <f>HYPERLINK("#Statut_biogéographique!A"&amp;_xlfn.XMATCH("P",Statut_biogéographique!A:A,2,1),"P")</f>
        <v>P</v>
      </c>
      <c r="AP4431" s="4" t="s">
        <v>376</v>
      </c>
      <c r="AR4431" s="4" t="s">
        <v>377</v>
      </c>
    </row>
    <row r="4432" spans="1:44">
      <c r="A4432" s="4" t="s">
        <v>5</v>
      </c>
      <c r="B4432" s="4">
        <v>35475</v>
      </c>
      <c r="C4432" s="4">
        <v>181</v>
      </c>
      <c r="D4432" s="5" t="s">
        <v>6503</v>
      </c>
      <c r="E4432" s="6" t="str">
        <f>HYPERLINK("https://inpn.mnhn.fr/espece/cd_nom/35475","Cortinarius purpurascens Fr., 1838")</f>
        <v>Cortinarius purpurascens Fr., 1838</v>
      </c>
      <c r="F4432" s="5" t="s">
        <v>6504</v>
      </c>
      <c r="AH4432" s="4" t="str">
        <f>HYPERLINK("#Statut_biogéographique!A"&amp;_xlfn.XMATCH("P",Statut_biogéographique!A:A,2,1),"P")</f>
        <v>P</v>
      </c>
      <c r="AP4432" s="4" t="s">
        <v>376</v>
      </c>
      <c r="AR4432" s="4" t="s">
        <v>377</v>
      </c>
    </row>
    <row r="4433" spans="1:44" ht="30">
      <c r="A4433" s="4" t="s">
        <v>5</v>
      </c>
      <c r="B4433" s="4">
        <v>35485</v>
      </c>
      <c r="C4433" s="4">
        <v>6064</v>
      </c>
      <c r="D4433" s="5" t="s">
        <v>6505</v>
      </c>
      <c r="E4433" s="6" t="str">
        <f>HYPERLINK("https://inpn.mnhn.fr/espece/cd_nom/35485","Cortinarius purpureus (Bull.) Bidaud, Moënne-Locc. &amp; Reumaux, 1994")</f>
        <v>Cortinarius purpureus (Bull.) Bidaud, Moënne-Locc. &amp; Reumaux, 1994</v>
      </c>
      <c r="AH4433" s="4" t="str">
        <f>HYPERLINK("#Statut_biogéographique!A"&amp;_xlfn.XMATCH("P",Statut_biogéographique!A:A,2,1),"P")</f>
        <v>P</v>
      </c>
      <c r="AP4433" s="4" t="s">
        <v>376</v>
      </c>
      <c r="AR4433" s="4" t="s">
        <v>377</v>
      </c>
    </row>
    <row r="4434" spans="1:44" ht="30">
      <c r="A4434" s="4" t="s">
        <v>5</v>
      </c>
      <c r="B4434" s="4">
        <v>35490</v>
      </c>
      <c r="C4434" s="4">
        <v>6245</v>
      </c>
      <c r="D4434" s="5" t="s">
        <v>6506</v>
      </c>
      <c r="E4434" s="6" t="str">
        <f>HYPERLINK("https://inpn.mnhn.fr/espece/cd_nom/35490","Cortinarius quercus-ilicis (Chevassut &amp; Rob.Henry) Melot, 1989")</f>
        <v>Cortinarius quercus-ilicis (Chevassut &amp; Rob.Henry) Melot, 1989</v>
      </c>
      <c r="F4434" s="5" t="s">
        <v>6507</v>
      </c>
      <c r="AH4434" s="4" t="str">
        <f>HYPERLINK("#Statut_biogéographique!A"&amp;_xlfn.XMATCH("P",Statut_biogéographique!A:A,2,1),"P")</f>
        <v>P</v>
      </c>
      <c r="AP4434" s="4" t="s">
        <v>376</v>
      </c>
      <c r="AR4434" s="4" t="s">
        <v>377</v>
      </c>
    </row>
    <row r="4435" spans="1:44">
      <c r="A4435" s="4" t="s">
        <v>5</v>
      </c>
      <c r="B4435" s="4">
        <v>35494</v>
      </c>
      <c r="C4435" s="4">
        <v>3067</v>
      </c>
      <c r="D4435" s="5" t="s">
        <v>6508</v>
      </c>
      <c r="E4435" s="6" t="str">
        <f>HYPERLINK("https://inpn.mnhn.fr/espece/cd_nom/35494","Cortinarius rapaceus Fr., 1838")</f>
        <v>Cortinarius rapaceus Fr., 1838</v>
      </c>
      <c r="F4435" s="5" t="s">
        <v>6509</v>
      </c>
      <c r="V4435" s="7" t="str">
        <f>HYPERLINK("#Liste_rouge!A"&amp;_xlfn.XMATCH("EN",Liste_rouge!A:A,2,1),"EN")</f>
        <v>EN</v>
      </c>
      <c r="W4435" s="4" t="str">
        <f>HYPERLINK("#Critères_liste_rouge!A$1","A2c")</f>
        <v>A2c</v>
      </c>
      <c r="Z4435" s="4" t="s">
        <v>695</v>
      </c>
      <c r="AA4435" s="4" t="s">
        <v>696</v>
      </c>
      <c r="AH4435" s="4" t="str">
        <f>HYPERLINK("#Statut_biogéographique!A"&amp;_xlfn.XMATCH("P",Statut_biogéographique!A:A,2,1),"P")</f>
        <v>P</v>
      </c>
      <c r="AP4435" s="4" t="s">
        <v>376</v>
      </c>
      <c r="AR4435" s="4" t="s">
        <v>377</v>
      </c>
    </row>
    <row r="4436" spans="1:44">
      <c r="A4436" s="4" t="s">
        <v>5</v>
      </c>
      <c r="B4436" s="4">
        <v>35506</v>
      </c>
      <c r="C4436" s="4">
        <v>2868</v>
      </c>
      <c r="D4436" s="5" t="s">
        <v>6510</v>
      </c>
      <c r="E4436" s="6" t="str">
        <f>HYPERLINK("https://inpn.mnhn.fr/espece/cd_nom/35506","Cortinarius regis-romae Rob.Henry, 1977")</f>
        <v>Cortinarius regis-romae Rob.Henry, 1977</v>
      </c>
      <c r="F4436" s="5" t="s">
        <v>6511</v>
      </c>
      <c r="V4436" s="7" t="str">
        <f>HYPERLINK("#Liste_rouge!A"&amp;_xlfn.XMATCH("DD",Liste_rouge!A:A,2,1),"DD")</f>
        <v>DD</v>
      </c>
      <c r="AH4436" s="4" t="str">
        <f>HYPERLINK("#Statut_biogéographique!A"&amp;_xlfn.XMATCH("P",Statut_biogéographique!A:A,2,1),"P")</f>
        <v>P</v>
      </c>
      <c r="AP4436" s="4" t="s">
        <v>376</v>
      </c>
      <c r="AR4436" s="4" t="s">
        <v>377</v>
      </c>
    </row>
    <row r="4437" spans="1:44">
      <c r="A4437" s="4" t="s">
        <v>5</v>
      </c>
      <c r="B4437" s="4">
        <v>35508</v>
      </c>
      <c r="C4437" s="4">
        <v>1912</v>
      </c>
      <c r="D4437" s="5" t="s">
        <v>6512</v>
      </c>
      <c r="E4437" s="6" t="str">
        <f>HYPERLINK("https://inpn.mnhn.fr/espece/cd_nom/35508","Cortinarius renidens Fr., 1838")</f>
        <v>Cortinarius renidens Fr., 1838</v>
      </c>
      <c r="F4437" s="5" t="s">
        <v>6513</v>
      </c>
      <c r="V4437" s="7" t="str">
        <f>HYPERLINK("#Liste_rouge!A"&amp;_xlfn.XMATCH("LC",Liste_rouge!A:A,2,1),"LC")</f>
        <v>LC</v>
      </c>
      <c r="AH4437" s="4" t="str">
        <f>HYPERLINK("#Statut_biogéographique!A"&amp;_xlfn.XMATCH("P",Statut_biogéographique!A:A,2,1),"P")</f>
        <v>P</v>
      </c>
      <c r="AP4437" s="4" t="s">
        <v>376</v>
      </c>
      <c r="AR4437" s="4" t="s">
        <v>377</v>
      </c>
    </row>
    <row r="4438" spans="1:44">
      <c r="A4438" s="4" t="s">
        <v>5</v>
      </c>
      <c r="B4438" s="4">
        <v>35513</v>
      </c>
      <c r="C4438" s="4">
        <v>1939</v>
      </c>
      <c r="D4438" s="5" t="s">
        <v>6514</v>
      </c>
      <c r="E4438" s="6" t="str">
        <f>HYPERLINK("https://inpn.mnhn.fr/espece/cd_nom/35513","Cortinarius rheubarbarinus Rob.Henry, 1956")</f>
        <v>Cortinarius rheubarbarinus Rob.Henry, 1956</v>
      </c>
      <c r="F4438" s="5" t="s">
        <v>6515</v>
      </c>
      <c r="V4438" s="7" t="str">
        <f>HYPERLINK("#Liste_rouge!A"&amp;_xlfn.XMATCH("NT",Liste_rouge!A:A,2,1),"NT")</f>
        <v>NT</v>
      </c>
      <c r="W4438" s="4" t="str">
        <f>HYPERLINK("#Critères_liste_rouge!A$1","pr. B2abiii")</f>
        <v>pr. B2abiii</v>
      </c>
      <c r="AH4438" s="4" t="str">
        <f>HYPERLINK("#Statut_biogéographique!A"&amp;_xlfn.XMATCH("P",Statut_biogéographique!A:A,2,1),"P")</f>
        <v>P</v>
      </c>
      <c r="AP4438" s="4" t="s">
        <v>376</v>
      </c>
      <c r="AR4438" s="4" t="s">
        <v>377</v>
      </c>
    </row>
    <row r="4439" spans="1:44">
      <c r="A4439" s="4" t="s">
        <v>5</v>
      </c>
      <c r="B4439" s="4">
        <v>35514</v>
      </c>
      <c r="C4439" s="4">
        <v>1861</v>
      </c>
      <c r="D4439" s="5" t="s">
        <v>6516</v>
      </c>
      <c r="E4439" s="6" t="str">
        <f>HYPERLINK("https://inpn.mnhn.fr/espece/cd_nom/35514","Cortinarius rickenianus Maire, 1937")</f>
        <v>Cortinarius rickenianus Maire, 1937</v>
      </c>
      <c r="F4439" s="5" t="s">
        <v>6203</v>
      </c>
      <c r="V4439" s="7" t="str">
        <f>HYPERLINK("#Liste_rouge!A"&amp;_xlfn.XMATCH("DD",Liste_rouge!A:A,2,1),"DD")</f>
        <v>DD</v>
      </c>
      <c r="Z4439" s="4" t="s">
        <v>695</v>
      </c>
      <c r="AA4439" s="4" t="s">
        <v>696</v>
      </c>
      <c r="AH4439" s="4" t="str">
        <f>HYPERLINK("#Statut_biogéographique!A"&amp;_xlfn.XMATCH("P",Statut_biogéographique!A:A,2,1),"P")</f>
        <v>P</v>
      </c>
      <c r="AP4439" s="4" t="s">
        <v>376</v>
      </c>
      <c r="AR4439" s="4" t="s">
        <v>377</v>
      </c>
    </row>
    <row r="4440" spans="1:44">
      <c r="A4440" s="4" t="s">
        <v>5</v>
      </c>
      <c r="B4440" s="4">
        <v>35517</v>
      </c>
      <c r="C4440" s="4">
        <v>3768</v>
      </c>
      <c r="D4440" s="5" t="s">
        <v>6517</v>
      </c>
      <c r="E4440" s="6" t="str">
        <f>HYPERLINK("https://inpn.mnhn.fr/espece/cd_nom/35517","Cortinarius rigens (Pers.) Fr., 1838")</f>
        <v>Cortinarius rigens (Pers.) Fr., 1838</v>
      </c>
      <c r="F4440" s="5" t="s">
        <v>6147</v>
      </c>
      <c r="V4440" s="7" t="str">
        <f>HYPERLINK("#Liste_rouge!A"&amp;_xlfn.XMATCH("DD",Liste_rouge!A:A,2,1),"DD")</f>
        <v>DD</v>
      </c>
      <c r="AH4440" s="4" t="str">
        <f>HYPERLINK("#Statut_biogéographique!A"&amp;_xlfn.XMATCH("P",Statut_biogéographique!A:A,2,1),"P")</f>
        <v>P</v>
      </c>
      <c r="AP4440" s="4" t="s">
        <v>376</v>
      </c>
      <c r="AR4440" s="4" t="s">
        <v>377</v>
      </c>
    </row>
    <row r="4441" spans="1:44">
      <c r="A4441" s="4" t="s">
        <v>5</v>
      </c>
      <c r="B4441" s="4">
        <v>35519</v>
      </c>
      <c r="C4441" s="4">
        <v>1935</v>
      </c>
      <c r="D4441" s="5" t="s">
        <v>6518</v>
      </c>
      <c r="E4441" s="6" t="str">
        <f>HYPERLINK("https://inpn.mnhn.fr/espece/cd_nom/35519","Cortinarius rigidus (Scop.) Fr., 1838")</f>
        <v>Cortinarius rigidus (Scop.) Fr., 1838</v>
      </c>
      <c r="V4441" s="7" t="str">
        <f>HYPERLINK("#Liste_rouge!A"&amp;_xlfn.XMATCH("VU",Liste_rouge!A:A,2,1),"VU")</f>
        <v>VU</v>
      </c>
      <c r="W4441" s="4" t="str">
        <f>HYPERLINK("#Critères_liste_rouge!A$1","A2c")</f>
        <v>A2c</v>
      </c>
      <c r="Z4441" s="4" t="s">
        <v>443</v>
      </c>
      <c r="AA4441" s="4" t="s">
        <v>444</v>
      </c>
      <c r="AH4441" s="4" t="str">
        <f>HYPERLINK("#Statut_biogéographique!A"&amp;_xlfn.XMATCH("P",Statut_biogéographique!A:A,2,1),"P")</f>
        <v>P</v>
      </c>
      <c r="AP4441" s="4" t="s">
        <v>376</v>
      </c>
      <c r="AR4441" s="4" t="s">
        <v>377</v>
      </c>
    </row>
    <row r="4442" spans="1:44">
      <c r="A4442" s="4" t="s">
        <v>5</v>
      </c>
      <c r="B4442" s="4">
        <v>35526</v>
      </c>
      <c r="C4442" s="4">
        <v>3866</v>
      </c>
      <c r="D4442" s="5" t="s">
        <v>6519</v>
      </c>
      <c r="E4442" s="6" t="str">
        <f>HYPERLINK("https://inpn.mnhn.fr/espece/cd_nom/35526","Cortinarius rubellopes Rob.Henry, 1937")</f>
        <v>Cortinarius rubellopes Rob.Henry, 1937</v>
      </c>
      <c r="F4442" s="5" t="s">
        <v>6520</v>
      </c>
      <c r="V4442" s="7" t="str">
        <f>HYPERLINK("#Liste_rouge!A"&amp;_xlfn.XMATCH("DD",Liste_rouge!A:A,2,1),"DD")</f>
        <v>DD</v>
      </c>
      <c r="AH4442" s="4" t="str">
        <f>HYPERLINK("#Statut_biogéographique!A"&amp;_xlfn.XMATCH("P",Statut_biogéographique!A:A,2,1),"P")</f>
        <v>P</v>
      </c>
      <c r="AP4442" s="4" t="s">
        <v>376</v>
      </c>
      <c r="AR4442" s="4" t="s">
        <v>377</v>
      </c>
    </row>
    <row r="4443" spans="1:44" ht="30">
      <c r="A4443" s="4" t="s">
        <v>5</v>
      </c>
      <c r="B4443" s="4">
        <v>35527</v>
      </c>
      <c r="C4443" s="4">
        <v>1875</v>
      </c>
      <c r="D4443" s="5" t="s">
        <v>6521</v>
      </c>
      <c r="E4443" s="6" t="str">
        <f>HYPERLINK("https://inpn.mnhn.fr/espece/cd_nom/35527","Cortinarius rubicundulus (Rea) A.Pearson, 1946")</f>
        <v>Cortinarius rubicundulus (Rea) A.Pearson, 1946</v>
      </c>
      <c r="F4443" s="5" t="s">
        <v>6522</v>
      </c>
      <c r="V4443" s="7" t="str">
        <f>HYPERLINK("#Liste_rouge!A"&amp;_xlfn.XMATCH("LC",Liste_rouge!A:A,2,1),"LC")</f>
        <v>LC</v>
      </c>
      <c r="AH4443" s="4" t="str">
        <f>HYPERLINK("#Statut_biogéographique!A"&amp;_xlfn.XMATCH("P",Statut_biogéographique!A:A,2,1),"P")</f>
        <v>P</v>
      </c>
      <c r="AP4443" s="4" t="s">
        <v>376</v>
      </c>
      <c r="AR4443" s="4" t="s">
        <v>377</v>
      </c>
    </row>
    <row r="4444" spans="1:44">
      <c r="A4444" s="4" t="s">
        <v>5</v>
      </c>
      <c r="B4444" s="4">
        <v>35531</v>
      </c>
      <c r="C4444" s="4">
        <v>3068</v>
      </c>
      <c r="D4444" s="5" t="s">
        <v>6523</v>
      </c>
      <c r="E4444" s="6" t="str">
        <f>HYPERLINK("https://inpn.mnhn.fr/espece/cd_nom/35531","Cortinarius rubricosus (Fr.) Fr., 1838")</f>
        <v>Cortinarius rubricosus (Fr.) Fr., 1838</v>
      </c>
      <c r="V4444" s="7" t="str">
        <f>HYPERLINK("#Liste_rouge!A"&amp;_xlfn.XMATCH("EN",Liste_rouge!A:A,2,1),"EN")</f>
        <v>EN</v>
      </c>
      <c r="W4444" s="4" t="str">
        <f>HYPERLINK("#Critères_liste_rouge!A$1","B2abiii")</f>
        <v>B2abiii</v>
      </c>
      <c r="Z4444" s="4" t="s">
        <v>447</v>
      </c>
      <c r="AA4444" s="4" t="s">
        <v>448</v>
      </c>
      <c r="AH4444" s="4" t="str">
        <f>HYPERLINK("#Statut_biogéographique!A"&amp;_xlfn.XMATCH("P",Statut_biogéographique!A:A,2,1),"P")</f>
        <v>P</v>
      </c>
      <c r="AP4444" s="4" t="s">
        <v>376</v>
      </c>
      <c r="AR4444" s="4" t="s">
        <v>377</v>
      </c>
    </row>
    <row r="4445" spans="1:44">
      <c r="A4445" s="4" t="s">
        <v>5</v>
      </c>
      <c r="B4445" s="4">
        <v>35551</v>
      </c>
      <c r="C4445" s="4">
        <v>1885</v>
      </c>
      <c r="D4445" s="5" t="s">
        <v>6524</v>
      </c>
      <c r="E4445" s="6" t="str">
        <f>HYPERLINK("https://inpn.mnhn.fr/espece/cd_nom/35551","Cortinarius russeus Rob.Henry, 1985")</f>
        <v>Cortinarius russeus Rob.Henry, 1985</v>
      </c>
      <c r="V4445" s="7" t="str">
        <f>HYPERLINK("#Liste_rouge!A"&amp;_xlfn.XMATCH("LC",Liste_rouge!A:A,2,1),"LC")</f>
        <v>LC</v>
      </c>
      <c r="AH4445" s="4" t="str">
        <f>HYPERLINK("#Statut_biogéographique!A"&amp;_xlfn.XMATCH("P",Statut_biogéographique!A:A,2,1),"P")</f>
        <v>P</v>
      </c>
      <c r="AP4445" s="4" t="s">
        <v>376</v>
      </c>
      <c r="AR4445" s="4" t="s">
        <v>377</v>
      </c>
    </row>
    <row r="4446" spans="1:44">
      <c r="A4446" s="4" t="s">
        <v>5</v>
      </c>
      <c r="B4446" s="4">
        <v>35555</v>
      </c>
      <c r="C4446" s="4">
        <v>1926</v>
      </c>
      <c r="D4446" s="5" t="s">
        <v>6525</v>
      </c>
      <c r="E4446" s="6" t="str">
        <f>HYPERLINK("https://inpn.mnhn.fr/espece/cd_nom/35555","Cortinarius safranopes Rob.Henry, 1938")</f>
        <v>Cortinarius safranopes Rob.Henry, 1938</v>
      </c>
      <c r="F4446" s="5" t="s">
        <v>6526</v>
      </c>
      <c r="V4446" s="7" t="str">
        <f>HYPERLINK("#Liste_rouge!A"&amp;_xlfn.XMATCH("DD",Liste_rouge!A:A,2,1),"DD")</f>
        <v>DD</v>
      </c>
      <c r="AH4446" s="4" t="str">
        <f>HYPERLINK("#Statut_biogéographique!A"&amp;_xlfn.XMATCH("P",Statut_biogéographique!A:A,2,1),"P")</f>
        <v>P</v>
      </c>
      <c r="AP4446" s="4" t="s">
        <v>376</v>
      </c>
      <c r="AR4446" s="4" t="s">
        <v>377</v>
      </c>
    </row>
    <row r="4447" spans="1:44">
      <c r="A4447" s="4" t="s">
        <v>5</v>
      </c>
      <c r="B4447" s="4">
        <v>35559</v>
      </c>
      <c r="C4447" s="4">
        <v>1869</v>
      </c>
      <c r="D4447" s="5" t="s">
        <v>6527</v>
      </c>
      <c r="E4447" s="6" t="str">
        <f>HYPERLINK("https://inpn.mnhn.fr/espece/cd_nom/35559","Cortinarius saginus (Fr.) Fr., 1838")</f>
        <v>Cortinarius saginus (Fr.) Fr., 1838</v>
      </c>
      <c r="V4447" s="7" t="str">
        <f>HYPERLINK("#Liste_rouge!A"&amp;_xlfn.XMATCH("LC",Liste_rouge!A:A,2,1),"LC")</f>
        <v>LC</v>
      </c>
      <c r="Z4447" s="4" t="s">
        <v>447</v>
      </c>
      <c r="AA4447" s="4" t="s">
        <v>448</v>
      </c>
      <c r="AH4447" s="4" t="str">
        <f>HYPERLINK("#Statut_biogéographique!A"&amp;_xlfn.XMATCH("P",Statut_biogéographique!A:A,2,1),"P")</f>
        <v>P</v>
      </c>
      <c r="AP4447" s="4" t="s">
        <v>376</v>
      </c>
      <c r="AR4447" s="4" t="s">
        <v>377</v>
      </c>
    </row>
    <row r="4448" spans="1:44">
      <c r="A4448" s="4" t="s">
        <v>5</v>
      </c>
      <c r="B4448" s="4">
        <v>35560</v>
      </c>
      <c r="C4448" s="4">
        <v>1881</v>
      </c>
      <c r="D4448" s="5" t="s">
        <v>6528</v>
      </c>
      <c r="E4448" s="6" t="str">
        <f>HYPERLINK("https://inpn.mnhn.fr/espece/cd_nom/35560","Cortinarius subvalidus Rob.Henry, 1958")</f>
        <v>Cortinarius subvalidus Rob.Henry, 1958</v>
      </c>
      <c r="V4448" s="7" t="str">
        <f>HYPERLINK("#Liste_rouge!A"&amp;_xlfn.XMATCH("LC",Liste_rouge!A:A,2,1),"LC")</f>
        <v>LC</v>
      </c>
      <c r="AH4448" s="4" t="str">
        <f>HYPERLINK("#Statut_biogéographique!A"&amp;_xlfn.XMATCH("P",Statut_biogéographique!A:A,2,1),"P")</f>
        <v>P</v>
      </c>
      <c r="AP4448" s="4" t="s">
        <v>376</v>
      </c>
      <c r="AR4448" s="4" t="s">
        <v>377</v>
      </c>
    </row>
    <row r="4449" spans="1:44">
      <c r="A4449" s="4" t="s">
        <v>5</v>
      </c>
      <c r="B4449" s="4">
        <v>35561</v>
      </c>
      <c r="C4449" s="4">
        <v>6162</v>
      </c>
      <c r="D4449" s="5" t="s">
        <v>6529</v>
      </c>
      <c r="E4449" s="6" t="str">
        <f>HYPERLINK("https://inpn.mnhn.fr/espece/cd_nom/35561","Cortinarius validus J.Favre, 1948")</f>
        <v>Cortinarius validus J.Favre, 1948</v>
      </c>
      <c r="AH4449" s="4" t="str">
        <f>HYPERLINK("#Statut_biogéographique!A"&amp;_xlfn.XMATCH("P",Statut_biogéographique!A:A,2,1),"P")</f>
        <v>P</v>
      </c>
      <c r="AP4449" s="4" t="s">
        <v>376</v>
      </c>
      <c r="AR4449" s="4" t="s">
        <v>377</v>
      </c>
    </row>
    <row r="4450" spans="1:44">
      <c r="A4450" s="4" t="s">
        <v>5</v>
      </c>
      <c r="B4450" s="4">
        <v>35562</v>
      </c>
      <c r="C4450" s="4">
        <v>6416</v>
      </c>
      <c r="D4450" s="5" t="s">
        <v>6530</v>
      </c>
      <c r="E4450" s="6" t="str">
        <f>HYPERLINK("https://inpn.mnhn.fr/espece/cd_nom/35562","Cortinarius salicis Rob.Henry, 1977")</f>
        <v>Cortinarius salicis Rob.Henry, 1977</v>
      </c>
      <c r="F4450" s="5" t="s">
        <v>6531</v>
      </c>
      <c r="AH4450" s="4" t="str">
        <f>HYPERLINK("#Statut_biogéographique!A"&amp;_xlfn.XMATCH("P",Statut_biogéographique!A:A,2,1),"P")</f>
        <v>P</v>
      </c>
      <c r="AP4450" s="4" t="s">
        <v>376</v>
      </c>
      <c r="AR4450" s="4" t="s">
        <v>377</v>
      </c>
    </row>
    <row r="4451" spans="1:44">
      <c r="A4451" s="4" t="s">
        <v>5</v>
      </c>
      <c r="B4451" s="4">
        <v>35563</v>
      </c>
      <c r="C4451" s="4">
        <v>1267</v>
      </c>
      <c r="D4451" s="5" t="s">
        <v>6532</v>
      </c>
      <c r="E4451" s="6" t="str">
        <f>HYPERLINK("https://inpn.mnhn.fr/espece/cd_nom/35563","Cortinarius salor Fr., 1838")</f>
        <v>Cortinarius salor Fr., 1838</v>
      </c>
      <c r="F4451" s="5" t="s">
        <v>6533</v>
      </c>
      <c r="V4451" s="7" t="str">
        <f>HYPERLINK("#Liste_rouge!A"&amp;_xlfn.XMATCH("LC",Liste_rouge!A:A,2,1),"LC")</f>
        <v>LC</v>
      </c>
      <c r="AH4451" s="4" t="str">
        <f>HYPERLINK("#Statut_biogéographique!A"&amp;_xlfn.XMATCH("P",Statut_biogéographique!A:A,2,1),"P")</f>
        <v>P</v>
      </c>
      <c r="AP4451" s="4" t="s">
        <v>376</v>
      </c>
      <c r="AR4451" s="4" t="s">
        <v>377</v>
      </c>
    </row>
    <row r="4452" spans="1:44">
      <c r="A4452" s="4" t="s">
        <v>5</v>
      </c>
      <c r="B4452" s="4">
        <v>35564</v>
      </c>
      <c r="C4452" s="4">
        <v>4064</v>
      </c>
      <c r="D4452" s="5" t="s">
        <v>6534</v>
      </c>
      <c r="E4452" s="6" t="str">
        <f>HYPERLINK("https://inpn.mnhn.fr/espece/cd_nom/35564","Cortinarius largodelibutus Rob.Henry, 1985")</f>
        <v>Cortinarius largodelibutus Rob.Henry, 1985</v>
      </c>
      <c r="V4452" s="7" t="str">
        <f>HYPERLINK("#Liste_rouge!A"&amp;_xlfn.XMATCH("DD",Liste_rouge!A:A,2,1),"DD")</f>
        <v>DD</v>
      </c>
      <c r="AH4452" s="4" t="str">
        <f>HYPERLINK("#Statut_biogéographique!A"&amp;_xlfn.XMATCH("P",Statut_biogéographique!A:A,2,1),"P")</f>
        <v>P</v>
      </c>
      <c r="AP4452" s="4" t="s">
        <v>376</v>
      </c>
      <c r="AR4452" s="4" t="s">
        <v>377</v>
      </c>
    </row>
    <row r="4453" spans="1:44" ht="30">
      <c r="A4453" s="4" t="s">
        <v>5</v>
      </c>
      <c r="B4453" s="4">
        <v>35566</v>
      </c>
      <c r="C4453" s="4">
        <v>447</v>
      </c>
      <c r="D4453" s="5" t="s">
        <v>6535</v>
      </c>
      <c r="E4453" s="6" t="str">
        <f>HYPERLINK("https://inpn.mnhn.fr/espece/cd_nom/35566","Cortinarius rubrosanguineus Bidaud, Moënne-Locc. &amp; Reumaux, 1994")</f>
        <v>Cortinarius rubrosanguineus Bidaud, Moënne-Locc. &amp; Reumaux, 1994</v>
      </c>
      <c r="F4453" s="5" t="s">
        <v>6400</v>
      </c>
      <c r="V4453" s="7" t="str">
        <f>HYPERLINK("#Liste_rouge!A"&amp;_xlfn.XMATCH("LC",Liste_rouge!A:A,2,1),"LC")</f>
        <v>LC</v>
      </c>
      <c r="AH4453" s="4" t="str">
        <f>HYPERLINK("#Statut_biogéographique!A"&amp;_xlfn.XMATCH("P",Statut_biogéographique!A:A,2,1),"P")</f>
        <v>P</v>
      </c>
      <c r="AP4453" s="4" t="s">
        <v>376</v>
      </c>
      <c r="AR4453" s="4" t="s">
        <v>377</v>
      </c>
    </row>
    <row r="4454" spans="1:44">
      <c r="A4454" s="4" t="s">
        <v>5</v>
      </c>
      <c r="B4454" s="4">
        <v>35567</v>
      </c>
      <c r="C4454" s="4">
        <v>3088</v>
      </c>
      <c r="D4454" s="5" t="s">
        <v>6536</v>
      </c>
      <c r="E4454" s="6" t="str">
        <f>HYPERLINK("https://inpn.mnhn.fr/espece/cd_nom/35567","Cortinarius puniceus P.D.Orton, 1958")</f>
        <v>Cortinarius puniceus P.D.Orton, 1958</v>
      </c>
      <c r="F4454" s="5" t="s">
        <v>6537</v>
      </c>
      <c r="V4454" s="7" t="str">
        <f>HYPERLINK("#Liste_rouge!A"&amp;_xlfn.XMATCH("DD",Liste_rouge!A:A,2,1),"DD")</f>
        <v>DD</v>
      </c>
      <c r="AH4454" s="4" t="str">
        <f>HYPERLINK("#Statut_biogéographique!A"&amp;_xlfn.XMATCH("P",Statut_biogéographique!A:A,2,1),"P")</f>
        <v>P</v>
      </c>
      <c r="AP4454" s="4" t="s">
        <v>376</v>
      </c>
      <c r="AR4454" s="4" t="s">
        <v>377</v>
      </c>
    </row>
    <row r="4455" spans="1:44" ht="45">
      <c r="A4455" s="4" t="s">
        <v>5</v>
      </c>
      <c r="B4455" s="4">
        <v>35569</v>
      </c>
      <c r="C4455" s="4">
        <v>6094</v>
      </c>
      <c r="D4455" s="5" t="s">
        <v>6538</v>
      </c>
      <c r="E4455" s="6" t="str">
        <f>HYPERLINK("https://inpn.mnhn.fr/espece/cd_nom/35569","Cortinarius sanguineus var. aurantiovaginatus Fillion &amp; Moënne-Locc., 1994")</f>
        <v>Cortinarius sanguineus var. aurantiovaginatus Fillion &amp; Moënne-Locc., 1994</v>
      </c>
      <c r="AH4455" s="4" t="str">
        <f>HYPERLINK("#Statut_biogéographique!A"&amp;_xlfn.XMATCH("P",Statut_biogéographique!A:A,2,1),"P")</f>
        <v>P</v>
      </c>
      <c r="AP4455" s="4" t="s">
        <v>376</v>
      </c>
      <c r="AR4455" s="4" t="s">
        <v>377</v>
      </c>
    </row>
    <row r="4456" spans="1:44" ht="30">
      <c r="A4456" s="4" t="s">
        <v>5</v>
      </c>
      <c r="B4456" s="4">
        <v>35570</v>
      </c>
      <c r="C4456" s="4">
        <v>447</v>
      </c>
      <c r="D4456" s="5">
        <v>511260</v>
      </c>
      <c r="E4456" s="6" t="str">
        <f>HYPERLINK("https://inpn.mnhn.fr/espece/cd_nom/35570","Cortinarius rubrosanguineus Bidaud, Moënne-Locc. &amp; Reumaux, 1994")</f>
        <v>Cortinarius rubrosanguineus Bidaud, Moënne-Locc. &amp; Reumaux, 1994</v>
      </c>
      <c r="F4456" s="5" t="s">
        <v>6400</v>
      </c>
      <c r="V4456" s="7" t="str">
        <f>HYPERLINK("#Liste_rouge!A"&amp;_xlfn.XMATCH("LC",Liste_rouge!A:A,2,1),"LC")</f>
        <v>LC</v>
      </c>
      <c r="AH4456" s="4" t="str">
        <f>HYPERLINK("#Statut_biogéographique!A"&amp;_xlfn.XMATCH("P",Statut_biogéographique!A:A,2,1),"P")</f>
        <v>P</v>
      </c>
      <c r="AP4456" s="4" t="s">
        <v>376</v>
      </c>
      <c r="AR4456" s="4" t="s">
        <v>377</v>
      </c>
    </row>
    <row r="4457" spans="1:44">
      <c r="A4457" s="4" t="s">
        <v>5</v>
      </c>
      <c r="B4457" s="4">
        <v>35573</v>
      </c>
      <c r="C4457" s="4">
        <v>398</v>
      </c>
      <c r="D4457" s="5" t="s">
        <v>6539</v>
      </c>
      <c r="E4457" s="6" t="str">
        <f>HYPERLINK("https://inpn.mnhn.fr/espece/cd_nom/35573","Cortinarius saniosus (Fr.) Fr., 1838")</f>
        <v>Cortinarius saniosus (Fr.) Fr., 1838</v>
      </c>
      <c r="F4457" s="5" t="s">
        <v>6540</v>
      </c>
      <c r="V4457" s="7" t="str">
        <f>HYPERLINK("#Liste_rouge!A"&amp;_xlfn.XMATCH("VU",Liste_rouge!A:A,2,1),"VU")</f>
        <v>VU</v>
      </c>
      <c r="W4457" s="4" t="str">
        <f>HYPERLINK("#Critères_liste_rouge!A$1","B2abiii")</f>
        <v>B2abiii</v>
      </c>
      <c r="Z4457" s="4" t="s">
        <v>447</v>
      </c>
      <c r="AA4457" s="4" t="s">
        <v>448</v>
      </c>
      <c r="AH4457" s="4" t="str">
        <f>HYPERLINK("#Statut_biogéographique!A"&amp;_xlfn.XMATCH("P",Statut_biogéographique!A:A,2,1),"P")</f>
        <v>P</v>
      </c>
      <c r="AP4457" s="4" t="s">
        <v>376</v>
      </c>
      <c r="AR4457" s="4" t="s">
        <v>377</v>
      </c>
    </row>
    <row r="4458" spans="1:44">
      <c r="A4458" s="4" t="s">
        <v>5</v>
      </c>
      <c r="B4458" s="4">
        <v>35576</v>
      </c>
      <c r="C4458" s="4">
        <v>708</v>
      </c>
      <c r="D4458" s="5" t="s">
        <v>6541</v>
      </c>
      <c r="E4458" s="6" t="str">
        <f>HYPERLINK("https://inpn.mnhn.fr/espece/cd_nom/35576","Cortinarius saporatus Britzelm., 1897")</f>
        <v>Cortinarius saporatus Britzelm., 1897</v>
      </c>
      <c r="V4458" s="7" t="str">
        <f>HYPERLINK("#Liste_rouge!A"&amp;_xlfn.XMATCH("LC",Liste_rouge!A:A,2,1),"LC")</f>
        <v>LC</v>
      </c>
      <c r="AH4458" s="4" t="str">
        <f>HYPERLINK("#Statut_biogéographique!A"&amp;_xlfn.XMATCH("P",Statut_biogéographique!A:A,2,1),"P")</f>
        <v>P</v>
      </c>
      <c r="AP4458" s="4" t="s">
        <v>376</v>
      </c>
      <c r="AR4458" s="4" t="s">
        <v>377</v>
      </c>
    </row>
    <row r="4459" spans="1:44" ht="30">
      <c r="A4459" s="4" t="s">
        <v>5</v>
      </c>
      <c r="B4459" s="4">
        <v>35577</v>
      </c>
      <c r="C4459" s="4">
        <v>6161</v>
      </c>
      <c r="D4459" s="5" t="s">
        <v>6542</v>
      </c>
      <c r="E4459" s="6" t="str">
        <f>HYPERLINK("https://inpn.mnhn.fr/espece/cd_nom/35577","Cortinarius subturbinatus Rob.Henry ex P.D.Orton, 1960")</f>
        <v>Cortinarius subturbinatus Rob.Henry ex P.D.Orton, 1960</v>
      </c>
      <c r="AH4459" s="4" t="str">
        <f>HYPERLINK("#Statut_biogéographique!A"&amp;_xlfn.XMATCH("P",Statut_biogéographique!A:A,2,1),"P")</f>
        <v>P</v>
      </c>
      <c r="AP4459" s="4" t="s">
        <v>376</v>
      </c>
      <c r="AR4459" s="4" t="s">
        <v>377</v>
      </c>
    </row>
    <row r="4460" spans="1:44">
      <c r="A4460" s="4" t="s">
        <v>5</v>
      </c>
      <c r="B4460" s="4">
        <v>35578</v>
      </c>
      <c r="C4460" s="4">
        <v>722</v>
      </c>
      <c r="D4460" s="5" t="s">
        <v>6543</v>
      </c>
      <c r="E4460" s="6" t="str">
        <f>HYPERLINK("https://inpn.mnhn.fr/espece/cd_nom/35578","Cortinarius saturninus (Fr.) Fr., 1838")</f>
        <v>Cortinarius saturninus (Fr.) Fr., 1838</v>
      </c>
      <c r="V4460" s="7" t="str">
        <f>HYPERLINK("#Liste_rouge!A"&amp;_xlfn.XMATCH("LC",Liste_rouge!A:A,2,1),"LC")</f>
        <v>LC</v>
      </c>
      <c r="AH4460" s="4" t="str">
        <f>HYPERLINK("#Statut_biogéographique!A"&amp;_xlfn.XMATCH("P",Statut_biogéographique!A:A,2,1),"P")</f>
        <v>P</v>
      </c>
      <c r="AP4460" s="4" t="s">
        <v>376</v>
      </c>
      <c r="AR4460" s="4" t="s">
        <v>377</v>
      </c>
    </row>
    <row r="4461" spans="1:44" ht="30">
      <c r="A4461" s="4" t="s">
        <v>5</v>
      </c>
      <c r="B4461" s="4">
        <v>35586</v>
      </c>
      <c r="C4461" s="4">
        <v>3240</v>
      </c>
      <c r="D4461" s="5" t="s">
        <v>6544</v>
      </c>
      <c r="E4461" s="6" t="str">
        <f>HYPERLINK("https://inpn.mnhn.fr/espece/cd_nom/35586","Cortinarius scaurotraganoides Rob.Henry, 1986")</f>
        <v>Cortinarius scaurotraganoides Rob.Henry, 1986</v>
      </c>
      <c r="V4461" s="7" t="str">
        <f>HYPERLINK("#Liste_rouge!A"&amp;_xlfn.XMATCH("LC",Liste_rouge!A:A,2,1),"LC")</f>
        <v>LC</v>
      </c>
      <c r="AH4461" s="4" t="str">
        <f>HYPERLINK("#Statut_biogéographique!A"&amp;_xlfn.XMATCH("P",Statut_biogéographique!A:A,2,1),"P")</f>
        <v>P</v>
      </c>
      <c r="AP4461" s="4" t="s">
        <v>376</v>
      </c>
      <c r="AR4461" s="4" t="s">
        <v>377</v>
      </c>
    </row>
    <row r="4462" spans="1:44">
      <c r="A4462" s="4" t="s">
        <v>5</v>
      </c>
      <c r="B4462" s="4">
        <v>35591</v>
      </c>
      <c r="C4462" s="4">
        <v>3071</v>
      </c>
      <c r="D4462" s="5" t="s">
        <v>6545</v>
      </c>
      <c r="E4462" s="6" t="str">
        <f>HYPERLINK("https://inpn.mnhn.fr/espece/cd_nom/35591","Cortinarius schaefferianus M.M.Moser, 1967")</f>
        <v>Cortinarius schaefferianus M.M.Moser, 1967</v>
      </c>
      <c r="V4462" s="7" t="str">
        <f>HYPERLINK("#Liste_rouge!A"&amp;_xlfn.XMATCH("EN",Liste_rouge!A:A,2,1),"EN")</f>
        <v>EN</v>
      </c>
      <c r="W4462" s="4" t="str">
        <f>HYPERLINK("#Critères_liste_rouge!A$1","B2abiii")</f>
        <v>B2abiii</v>
      </c>
      <c r="Z4462" s="4" t="s">
        <v>447</v>
      </c>
      <c r="AA4462" s="4" t="s">
        <v>448</v>
      </c>
      <c r="AH4462" s="4" t="str">
        <f>HYPERLINK("#Statut_biogéographique!A"&amp;_xlfn.XMATCH("P",Statut_biogéographique!A:A,2,1),"P")</f>
        <v>P</v>
      </c>
      <c r="AP4462" s="4" t="s">
        <v>376</v>
      </c>
      <c r="AR4462" s="4" t="s">
        <v>377</v>
      </c>
    </row>
    <row r="4463" spans="1:44">
      <c r="A4463" s="4" t="s">
        <v>5</v>
      </c>
      <c r="B4463" s="4">
        <v>35601</v>
      </c>
      <c r="C4463" s="4">
        <v>3091</v>
      </c>
      <c r="D4463" s="5" t="s">
        <v>6546</v>
      </c>
      <c r="E4463" s="6" t="str">
        <f>HYPERLINK("https://inpn.mnhn.fr/espece/cd_nom/35601","Cortinarius sebaceus Fr., 1838")</f>
        <v>Cortinarius sebaceus Fr., 1838</v>
      </c>
      <c r="V4463" s="7" t="str">
        <f>HYPERLINK("#Liste_rouge!A"&amp;_xlfn.XMATCH("LC",Liste_rouge!A:A,2,1),"LC")</f>
        <v>LC</v>
      </c>
      <c r="AH4463" s="4" t="str">
        <f>HYPERLINK("#Statut_biogéographique!A"&amp;_xlfn.XMATCH("P",Statut_biogéographique!A:A,2,1),"P")</f>
        <v>P</v>
      </c>
      <c r="AP4463" s="4" t="s">
        <v>376</v>
      </c>
      <c r="AR4463" s="4" t="s">
        <v>377</v>
      </c>
    </row>
    <row r="4464" spans="1:44" ht="30">
      <c r="A4464" s="4" t="s">
        <v>5</v>
      </c>
      <c r="B4464" s="4">
        <v>35603</v>
      </c>
      <c r="C4464" s="4">
        <v>1673</v>
      </c>
      <c r="D4464" s="5" t="s">
        <v>6547</v>
      </c>
      <c r="E4464" s="6" t="str">
        <f>HYPERLINK("https://inpn.mnhn.fr/espece/cd_nom/35603","Cortinarius semisanguineus (Fr.) Gillet, 1876")</f>
        <v>Cortinarius semisanguineus (Fr.) Gillet, 1876</v>
      </c>
      <c r="F4464" s="5" t="s">
        <v>6548</v>
      </c>
      <c r="V4464" s="7" t="str">
        <f>HYPERLINK("#Liste_rouge!A"&amp;_xlfn.XMATCH("LC",Liste_rouge!A:A,2,1),"LC")</f>
        <v>LC</v>
      </c>
      <c r="AH4464" s="4" t="str">
        <f>HYPERLINK("#Statut_biogéographique!A"&amp;_xlfn.XMATCH("P",Statut_biogéographique!A:A,2,1),"P")</f>
        <v>P</v>
      </c>
      <c r="AP4464" s="4" t="s">
        <v>376</v>
      </c>
      <c r="AR4464" s="4" t="s">
        <v>377</v>
      </c>
    </row>
    <row r="4465" spans="1:44">
      <c r="A4465" s="4" t="s">
        <v>5</v>
      </c>
      <c r="B4465" s="4">
        <v>35610</v>
      </c>
      <c r="C4465" s="4">
        <v>2378</v>
      </c>
      <c r="D4465" s="5" t="s">
        <v>6549</v>
      </c>
      <c r="E4465" s="6" t="str">
        <f>HYPERLINK("https://inpn.mnhn.fr/espece/cd_nom/35610","Cortinarius sequanus Rob.Henry, 1977")</f>
        <v>Cortinarius sequanus Rob.Henry, 1977</v>
      </c>
      <c r="V4465" s="7" t="str">
        <f>HYPERLINK("#Liste_rouge!A"&amp;_xlfn.XMATCH("VU",Liste_rouge!A:A,2,1),"VU")</f>
        <v>VU</v>
      </c>
      <c r="W4465" s="4" t="str">
        <f>HYPERLINK("#Critères_liste_rouge!A$1","D2")</f>
        <v>D2</v>
      </c>
      <c r="Z4465" s="4" t="s">
        <v>443</v>
      </c>
      <c r="AA4465" s="4" t="s">
        <v>444</v>
      </c>
      <c r="AH4465" s="4" t="str">
        <f>HYPERLINK("#Statut_biogéographique!A"&amp;_xlfn.XMATCH("P",Statut_biogéographique!A:A,2,1),"P")</f>
        <v>P</v>
      </c>
      <c r="AP4465" s="4" t="s">
        <v>376</v>
      </c>
      <c r="AR4465" s="4" t="s">
        <v>377</v>
      </c>
    </row>
    <row r="4466" spans="1:44">
      <c r="A4466" s="4" t="s">
        <v>5</v>
      </c>
      <c r="B4466" s="4">
        <v>35613</v>
      </c>
      <c r="C4466" s="4">
        <v>1931</v>
      </c>
      <c r="D4466" s="5" t="s">
        <v>6550</v>
      </c>
      <c r="E4466" s="6" t="str">
        <f>HYPERLINK("https://inpn.mnhn.fr/espece/cd_nom/35613","Cortinarius sertipes Kühner, 1955")</f>
        <v>Cortinarius sertipes Kühner, 1955</v>
      </c>
      <c r="V4466" s="7" t="str">
        <f>HYPERLINK("#Liste_rouge!A"&amp;_xlfn.XMATCH("EN",Liste_rouge!A:A,2,1),"EN")</f>
        <v>EN</v>
      </c>
      <c r="W4466" s="4" t="str">
        <f>HYPERLINK("#Critères_liste_rouge!A$1","B2abiii")</f>
        <v>B2abiii</v>
      </c>
      <c r="Z4466" s="4" t="s">
        <v>447</v>
      </c>
      <c r="AA4466" s="4" t="s">
        <v>448</v>
      </c>
      <c r="AH4466" s="4" t="str">
        <f>HYPERLINK("#Statut_biogéographique!A"&amp;_xlfn.XMATCH("P",Statut_biogéographique!A:A,2,1),"P")</f>
        <v>P</v>
      </c>
      <c r="AP4466" s="4" t="s">
        <v>376</v>
      </c>
      <c r="AR4466" s="4" t="s">
        <v>377</v>
      </c>
    </row>
    <row r="4467" spans="1:44">
      <c r="A4467" s="4" t="s">
        <v>5</v>
      </c>
      <c r="B4467" s="4">
        <v>35621</v>
      </c>
      <c r="C4467" s="4">
        <v>1747</v>
      </c>
      <c r="D4467" s="5" t="s">
        <v>6551</v>
      </c>
      <c r="E4467" s="6" t="str">
        <f>HYPERLINK("https://inpn.mnhn.fr/espece/cd_nom/35621","Cortinarius sodagnitus Rob.Henry, 1935")</f>
        <v>Cortinarius sodagnitus Rob.Henry, 1935</v>
      </c>
      <c r="F4467" s="5" t="s">
        <v>6552</v>
      </c>
      <c r="V4467" s="7" t="str">
        <f>HYPERLINK("#Liste_rouge!A"&amp;_xlfn.XMATCH("LC",Liste_rouge!A:A,2,1),"LC")</f>
        <v>LC</v>
      </c>
      <c r="Z4467" s="4" t="s">
        <v>447</v>
      </c>
      <c r="AA4467" s="4" t="s">
        <v>448</v>
      </c>
      <c r="AH4467" s="4" t="str">
        <f>HYPERLINK("#Statut_biogéographique!A"&amp;_xlfn.XMATCH("P",Statut_biogéographique!A:A,2,1),"P")</f>
        <v>P</v>
      </c>
      <c r="AP4467" s="4" t="s">
        <v>376</v>
      </c>
      <c r="AR4467" s="4" t="s">
        <v>377</v>
      </c>
    </row>
    <row r="4468" spans="1:44">
      <c r="A4468" s="4" t="s">
        <v>5</v>
      </c>
      <c r="B4468" s="4">
        <v>35626</v>
      </c>
      <c r="C4468" s="4">
        <v>3241</v>
      </c>
      <c r="D4468" s="5" t="s">
        <v>6553</v>
      </c>
      <c r="E4468" s="6" t="str">
        <f>HYPERLINK("https://inpn.mnhn.fr/espece/cd_nom/35626","Cortinarius solis-occasus Melot, 1986")</f>
        <v>Cortinarius solis-occasus Melot, 1986</v>
      </c>
      <c r="F4468" s="5" t="s">
        <v>6554</v>
      </c>
      <c r="V4468" s="7" t="str">
        <f>HYPERLINK("#Liste_rouge!A"&amp;_xlfn.XMATCH("LC",Liste_rouge!A:A,2,1),"LC")</f>
        <v>LC</v>
      </c>
      <c r="AH4468" s="4" t="str">
        <f>HYPERLINK("#Statut_biogéographique!A"&amp;_xlfn.XMATCH("P",Statut_biogéographique!A:A,2,1),"P")</f>
        <v>P</v>
      </c>
      <c r="AP4468" s="4" t="s">
        <v>376</v>
      </c>
      <c r="AR4468" s="4" t="s">
        <v>377</v>
      </c>
    </row>
    <row r="4469" spans="1:44">
      <c r="A4469" s="4" t="s">
        <v>5</v>
      </c>
      <c r="B4469" s="4">
        <v>35629</v>
      </c>
      <c r="C4469" s="4">
        <v>5337</v>
      </c>
      <c r="D4469" s="5" t="s">
        <v>6555</v>
      </c>
      <c r="E4469" s="6" t="str">
        <f>HYPERLINK("https://inpn.mnhn.fr/espece/cd_nom/35629","Cortinarius solitarius Rob.Henry, 1987")</f>
        <v>Cortinarius solitarius Rob.Henry, 1987</v>
      </c>
      <c r="V4469" s="7" t="str">
        <f>HYPERLINK("#Liste_rouge!A"&amp;_xlfn.XMATCH("EN",Liste_rouge!A:A,2,1),"EN")</f>
        <v>EN</v>
      </c>
      <c r="W4469" s="4" t="str">
        <f>HYPERLINK("#Critères_liste_rouge!A$1","B2abiii")</f>
        <v>B2abiii</v>
      </c>
      <c r="Z4469" s="4" t="s">
        <v>447</v>
      </c>
      <c r="AA4469" s="4" t="s">
        <v>448</v>
      </c>
      <c r="AH4469" s="4" t="str">
        <f>HYPERLINK("#Statut_biogéographique!A"&amp;_xlfn.XMATCH("P",Statut_biogéographique!A:A,2,1),"P")</f>
        <v>P</v>
      </c>
      <c r="AP4469" s="4" t="s">
        <v>376</v>
      </c>
      <c r="AR4469" s="4" t="s">
        <v>377</v>
      </c>
    </row>
    <row r="4470" spans="1:44">
      <c r="A4470" s="4" t="s">
        <v>5</v>
      </c>
      <c r="B4470" s="4">
        <v>35630</v>
      </c>
      <c r="C4470" s="4">
        <v>655</v>
      </c>
      <c r="D4470" s="5" t="s">
        <v>6556</v>
      </c>
      <c r="E4470" s="6" t="str">
        <f>HYPERLINK("https://inpn.mnhn.fr/espece/cd_nom/35630","Cortinarius sommerfeltii Høil., 1984")</f>
        <v>Cortinarius sommerfeltii Høil., 1984</v>
      </c>
      <c r="V4470" s="7" t="str">
        <f>HYPERLINK("#Liste_rouge!A"&amp;_xlfn.XMATCH("LC",Liste_rouge!A:A,2,1),"LC")</f>
        <v>LC</v>
      </c>
      <c r="AH4470" s="4" t="str">
        <f>HYPERLINK("#Statut_biogéographique!A"&amp;_xlfn.XMATCH("P",Statut_biogéographique!A:A,2,1),"P")</f>
        <v>P</v>
      </c>
      <c r="AP4470" s="4" t="s">
        <v>376</v>
      </c>
      <c r="AR4470" s="4" t="s">
        <v>377</v>
      </c>
    </row>
    <row r="4471" spans="1:44">
      <c r="A4471" s="4" t="s">
        <v>5</v>
      </c>
      <c r="B4471" s="4">
        <v>35640</v>
      </c>
      <c r="C4471" s="4">
        <v>619</v>
      </c>
      <c r="D4471" s="5" t="s">
        <v>6557</v>
      </c>
      <c r="E4471" s="6" t="str">
        <f>HYPERLINK("https://inpn.mnhn.fr/espece/cd_nom/35640","Cortinarius spilomeus (Fr.) Fr., 1863")</f>
        <v>Cortinarius spilomeus (Fr.) Fr., 1863</v>
      </c>
      <c r="V4471" s="7" t="str">
        <f>HYPERLINK("#Liste_rouge!A"&amp;_xlfn.XMATCH("LC",Liste_rouge!A:A,2,1),"LC")</f>
        <v>LC</v>
      </c>
      <c r="AH4471" s="4" t="str">
        <f>HYPERLINK("#Statut_biogéographique!A"&amp;_xlfn.XMATCH("P",Statut_biogéographique!A:A,2,1),"P")</f>
        <v>P</v>
      </c>
      <c r="AP4471" s="4" t="s">
        <v>376</v>
      </c>
      <c r="AR4471" s="4" t="s">
        <v>377</v>
      </c>
    </row>
    <row r="4472" spans="1:44">
      <c r="A4472" s="4" t="s">
        <v>5</v>
      </c>
      <c r="B4472" s="4">
        <v>35646</v>
      </c>
      <c r="C4472" s="4">
        <v>1855</v>
      </c>
      <c r="D4472" s="5" t="s">
        <v>6558</v>
      </c>
      <c r="E4472" s="6" t="str">
        <f>HYPERLINK("https://inpn.mnhn.fr/espece/cd_nom/35646","Cortinarius splendens Rob.Henry, 1939")</f>
        <v>Cortinarius splendens Rob.Henry, 1939</v>
      </c>
      <c r="F4472" s="5" t="s">
        <v>6559</v>
      </c>
      <c r="V4472" s="7" t="str">
        <f>HYPERLINK("#Liste_rouge!A"&amp;_xlfn.XMATCH("LC",Liste_rouge!A:A,2,1),"LC")</f>
        <v>LC</v>
      </c>
      <c r="Z4472" s="4" t="s">
        <v>447</v>
      </c>
      <c r="AA4472" s="4" t="s">
        <v>448</v>
      </c>
      <c r="AH4472" s="4" t="str">
        <f>HYPERLINK("#Statut_biogéographique!A"&amp;_xlfn.XMATCH("P",Statut_biogéographique!A:A,2,1),"P")</f>
        <v>P</v>
      </c>
      <c r="AP4472" s="4" t="s">
        <v>376</v>
      </c>
      <c r="AR4472" s="4" t="s">
        <v>377</v>
      </c>
    </row>
    <row r="4473" spans="1:44" ht="30">
      <c r="A4473" s="4" t="s">
        <v>5</v>
      </c>
      <c r="B4473" s="4">
        <v>35652</v>
      </c>
      <c r="C4473" s="4">
        <v>3072</v>
      </c>
      <c r="D4473" s="5" t="s">
        <v>6560</v>
      </c>
      <c r="E4473" s="6" t="str">
        <f>HYPERLINK("https://inpn.mnhn.fr/espece/cd_nom/35652","Cortinarius splendificus Chevassut &amp; Rob.Henry, 1975")</f>
        <v>Cortinarius splendificus Chevassut &amp; Rob.Henry, 1975</v>
      </c>
      <c r="O4473" s="7" t="str">
        <f>HYPERLINK("#Liste_rouge!A"&amp;_xlfn.XMATCH("VU",Liste_rouge!A:A,2,1),"VU")</f>
        <v>VU</v>
      </c>
      <c r="V4473" s="7" t="str">
        <f>HYPERLINK("#Liste_rouge!A"&amp;_xlfn.XMATCH("DD",Liste_rouge!A:A,2,1),"DD")</f>
        <v>DD</v>
      </c>
      <c r="Z4473" s="4" t="s">
        <v>443</v>
      </c>
      <c r="AA4473" s="4" t="s">
        <v>444</v>
      </c>
      <c r="AH4473" s="4" t="str">
        <f>HYPERLINK("#Statut_biogéographique!A"&amp;_xlfn.XMATCH("P",Statut_biogéographique!A:A,2,1),"P")</f>
        <v>P</v>
      </c>
      <c r="AP4473" s="4" t="s">
        <v>376</v>
      </c>
      <c r="AR4473" s="4" t="s">
        <v>377</v>
      </c>
    </row>
    <row r="4474" spans="1:44">
      <c r="A4474" s="4" t="s">
        <v>5</v>
      </c>
      <c r="B4474" s="4">
        <v>35654</v>
      </c>
      <c r="C4474" s="4">
        <v>1877</v>
      </c>
      <c r="D4474" s="5" t="s">
        <v>6561</v>
      </c>
      <c r="E4474" s="6" t="str">
        <f>HYPERLINK("https://inpn.mnhn.fr/espece/cd_nom/35654","Cortinarius stemmatus Fr., 1838")</f>
        <v>Cortinarius stemmatus Fr., 1838</v>
      </c>
      <c r="V4474" s="7" t="str">
        <f>HYPERLINK("#Liste_rouge!A"&amp;_xlfn.XMATCH("EN",Liste_rouge!A:A,2,1),"EN")</f>
        <v>EN</v>
      </c>
      <c r="W4474" s="4" t="str">
        <f>HYPERLINK("#Critères_liste_rouge!A$1","B2abiii")</f>
        <v>B2abiii</v>
      </c>
      <c r="Z4474" s="4" t="s">
        <v>443</v>
      </c>
      <c r="AA4474" s="4" t="s">
        <v>444</v>
      </c>
      <c r="AH4474" s="4" t="str">
        <f>HYPERLINK("#Statut_biogéographique!A"&amp;_xlfn.XMATCH("P",Statut_biogéographique!A:A,2,1),"P")</f>
        <v>P</v>
      </c>
      <c r="AP4474" s="4" t="s">
        <v>376</v>
      </c>
      <c r="AR4474" s="4" t="s">
        <v>377</v>
      </c>
    </row>
    <row r="4475" spans="1:44">
      <c r="A4475" s="4" t="s">
        <v>5</v>
      </c>
      <c r="B4475" s="4">
        <v>35658</v>
      </c>
      <c r="C4475" s="4">
        <v>1662</v>
      </c>
      <c r="D4475" s="5" t="s">
        <v>6562</v>
      </c>
      <c r="E4475" s="6" t="str">
        <f>HYPERLINK("https://inpn.mnhn.fr/espece/cd_nom/35658","Cortinarius stillatitius Fr., 1838")</f>
        <v>Cortinarius stillatitius Fr., 1838</v>
      </c>
      <c r="F4475" s="5" t="s">
        <v>6563</v>
      </c>
      <c r="V4475" s="7" t="str">
        <f>HYPERLINK("#Liste_rouge!A"&amp;_xlfn.XMATCH("LC",Liste_rouge!A:A,2,1),"LC")</f>
        <v>LC</v>
      </c>
      <c r="AH4475" s="4" t="str">
        <f>HYPERLINK("#Statut_biogéographique!A"&amp;_xlfn.XMATCH("P",Statut_biogéographique!A:A,2,1),"P")</f>
        <v>P</v>
      </c>
      <c r="AP4475" s="4" t="s">
        <v>376</v>
      </c>
      <c r="AR4475" s="4" t="s">
        <v>377</v>
      </c>
    </row>
    <row r="4476" spans="1:44">
      <c r="A4476" s="4" t="s">
        <v>5</v>
      </c>
      <c r="B4476" s="4">
        <v>35659</v>
      </c>
      <c r="C4476" s="4">
        <v>5889</v>
      </c>
      <c r="D4476" s="5" t="s">
        <v>6564</v>
      </c>
      <c r="E4476" s="6" t="str">
        <f>HYPERLINK("https://inpn.mnhn.fr/espece/cd_nom/35659","Cortinarius integerrimus Kühner, 1989")</f>
        <v>Cortinarius integerrimus Kühner, 1989</v>
      </c>
      <c r="F4476" s="5" t="s">
        <v>6406</v>
      </c>
      <c r="AH4476" s="4" t="str">
        <f>HYPERLINK("#Statut_biogéographique!A"&amp;_xlfn.XMATCH("P",Statut_biogéographique!A:A,2,1),"P")</f>
        <v>P</v>
      </c>
      <c r="AP4476" s="4" t="s">
        <v>376</v>
      </c>
      <c r="AR4476" s="4" t="s">
        <v>377</v>
      </c>
    </row>
    <row r="4477" spans="1:44">
      <c r="A4477" s="4" t="s">
        <v>5</v>
      </c>
      <c r="B4477" s="4">
        <v>35661</v>
      </c>
      <c r="C4477" s="4">
        <v>2237</v>
      </c>
      <c r="D4477" s="5" t="s">
        <v>6565</v>
      </c>
      <c r="E4477" s="6" t="str">
        <f>HYPERLINK("https://inpn.mnhn.fr/espece/cd_nom/35661","Cortinarius striaepilus J.Favre, 1948")</f>
        <v>Cortinarius striaepilus J.Favre, 1948</v>
      </c>
      <c r="V4477" s="7" t="str">
        <f>HYPERLINK("#Liste_rouge!A"&amp;_xlfn.XMATCH("EN",Liste_rouge!A:A,2,1),"EN")</f>
        <v>EN</v>
      </c>
      <c r="W4477" s="4" t="str">
        <f>HYPERLINK("#Critères_liste_rouge!A$1","A2c")</f>
        <v>A2c</v>
      </c>
      <c r="Z4477" s="4" t="s">
        <v>443</v>
      </c>
      <c r="AA4477" s="4" t="s">
        <v>444</v>
      </c>
      <c r="AH4477" s="4" t="str">
        <f>HYPERLINK("#Statut_biogéographique!A"&amp;_xlfn.XMATCH("P",Statut_biogéographique!A:A,2,1),"P")</f>
        <v>P</v>
      </c>
      <c r="AP4477" s="4" t="s">
        <v>376</v>
      </c>
      <c r="AR4477" s="4" t="s">
        <v>377</v>
      </c>
    </row>
    <row r="4478" spans="1:44" ht="30">
      <c r="A4478" s="4" t="s">
        <v>5</v>
      </c>
      <c r="B4478" s="4">
        <v>35672</v>
      </c>
      <c r="C4478" s="4">
        <v>4154</v>
      </c>
      <c r="D4478" s="5" t="s">
        <v>6566</v>
      </c>
      <c r="E4478" s="6" t="str">
        <f>HYPERLINK("https://inpn.mnhn.fr/espece/cd_nom/35672","Cortinarius subarquatus (M.M.Moser) M.M.Moser, 1967")</f>
        <v>Cortinarius subarquatus (M.M.Moser) M.M.Moser, 1967</v>
      </c>
      <c r="F4478" s="5" t="s">
        <v>6567</v>
      </c>
      <c r="V4478" s="7" t="str">
        <f>HYPERLINK("#Liste_rouge!A"&amp;_xlfn.XMATCH("DD",Liste_rouge!A:A,2,1),"DD")</f>
        <v>DD</v>
      </c>
      <c r="AH4478" s="4" t="str">
        <f>HYPERLINK("#Statut_biogéographique!A"&amp;_xlfn.XMATCH("P",Statut_biogéographique!A:A,2,1),"P")</f>
        <v>P</v>
      </c>
      <c r="AP4478" s="4" t="s">
        <v>376</v>
      </c>
      <c r="AR4478" s="4" t="s">
        <v>377</v>
      </c>
    </row>
    <row r="4479" spans="1:44">
      <c r="A4479" s="4" t="s">
        <v>5</v>
      </c>
      <c r="B4479" s="4">
        <v>35675</v>
      </c>
      <c r="C4479" s="4">
        <v>628</v>
      </c>
      <c r="D4479" s="5" t="s">
        <v>6568</v>
      </c>
      <c r="E4479" s="6" t="str">
        <f>HYPERLINK("https://inpn.mnhn.fr/espece/cd_nom/35675","Cortinarius subbalaustinus Rob.Henry, 1991")</f>
        <v>Cortinarius subbalaustinus Rob.Henry, 1991</v>
      </c>
      <c r="F4479" s="5" t="s">
        <v>6569</v>
      </c>
      <c r="V4479" s="7" t="str">
        <f>HYPERLINK("#Liste_rouge!A"&amp;_xlfn.XMATCH("LC",Liste_rouge!A:A,2,1),"LC")</f>
        <v>LC</v>
      </c>
      <c r="AH4479" s="4" t="str">
        <f>HYPERLINK("#Statut_biogéographique!A"&amp;_xlfn.XMATCH("P",Statut_biogéographique!A:A,2,1),"P")</f>
        <v>P</v>
      </c>
      <c r="AP4479" s="4" t="s">
        <v>376</v>
      </c>
      <c r="AR4479" s="4" t="s">
        <v>377</v>
      </c>
    </row>
    <row r="4480" spans="1:44" ht="30">
      <c r="A4480" s="4" t="s">
        <v>5</v>
      </c>
      <c r="B4480" s="4">
        <v>35682</v>
      </c>
      <c r="C4480" s="4">
        <v>1870</v>
      </c>
      <c r="D4480" s="5" t="s">
        <v>6570</v>
      </c>
      <c r="E4480" s="6" t="str">
        <f>HYPERLINK("https://inpn.mnhn.fr/espece/cd_nom/35682","Cortinarius subdecolorans M.Langl. &amp; Reumaux, 2000")</f>
        <v>Cortinarius subdecolorans M.Langl. &amp; Reumaux, 2000</v>
      </c>
      <c r="F4480" s="5" t="s">
        <v>6243</v>
      </c>
      <c r="V4480" s="7" t="str">
        <f>HYPERLINK("#Liste_rouge!A"&amp;_xlfn.XMATCH("LC",Liste_rouge!A:A,2,1),"LC")</f>
        <v>LC</v>
      </c>
      <c r="W4480" s="4" t="str">
        <f>HYPERLINK("#Critères_liste_rouge!A$1","D2")</f>
        <v>D2</v>
      </c>
      <c r="Z4480" s="4" t="s">
        <v>443</v>
      </c>
      <c r="AA4480" s="4" t="s">
        <v>444</v>
      </c>
      <c r="AH4480" s="4" t="str">
        <f>HYPERLINK("#Statut_biogéographique!A"&amp;_xlfn.XMATCH("P",Statut_biogéographique!A:A,2,1),"P")</f>
        <v>P</v>
      </c>
      <c r="AP4480" s="4" t="s">
        <v>376</v>
      </c>
      <c r="AR4480" s="4" t="s">
        <v>377</v>
      </c>
    </row>
    <row r="4481" spans="1:44" ht="30">
      <c r="A4481" s="4" t="s">
        <v>5</v>
      </c>
      <c r="B4481" s="4">
        <v>35683</v>
      </c>
      <c r="C4481" s="4">
        <v>1234</v>
      </c>
      <c r="D4481" s="5" t="s">
        <v>6571</v>
      </c>
      <c r="E4481" s="6" t="str">
        <f>HYPERLINK("https://inpn.mnhn.fr/espece/cd_nom/35683","Cortinarius claricolor (Fr.) Fr., 1838")</f>
        <v>Cortinarius claricolor (Fr.) Fr., 1838</v>
      </c>
      <c r="F4481" s="5" t="s">
        <v>6572</v>
      </c>
      <c r="V4481" s="7" t="str">
        <f>HYPERLINK("#Liste_rouge!A"&amp;_xlfn.XMATCH("LC",Liste_rouge!A:A,2,1),"LC")</f>
        <v>LC</v>
      </c>
      <c r="AH4481" s="4" t="str">
        <f>HYPERLINK("#Statut_biogéographique!A"&amp;_xlfn.XMATCH("P",Statut_biogéographique!A:A,2,1),"P")</f>
        <v>P</v>
      </c>
      <c r="AP4481" s="4" t="s">
        <v>376</v>
      </c>
      <c r="AR4481" s="4" t="s">
        <v>377</v>
      </c>
    </row>
    <row r="4482" spans="1:44">
      <c r="A4482" s="4" t="s">
        <v>5</v>
      </c>
      <c r="B4482" s="4">
        <v>35686</v>
      </c>
      <c r="C4482" s="4">
        <v>927</v>
      </c>
      <c r="D4482" s="5" t="s">
        <v>6573</v>
      </c>
      <c r="E4482" s="6" t="str">
        <f>HYPERLINK("https://inpn.mnhn.fr/espece/cd_nom/35686","Cortinarius subelegantior Rob.Henry, 1987")</f>
        <v>Cortinarius subelegantior Rob.Henry, 1987</v>
      </c>
      <c r="F4482" s="5" t="s">
        <v>6574</v>
      </c>
      <c r="V4482" s="7" t="str">
        <f>HYPERLINK("#Liste_rouge!A"&amp;_xlfn.XMATCH("DD",Liste_rouge!A:A,2,1),"DD")</f>
        <v>DD</v>
      </c>
      <c r="AH4482" s="4" t="str">
        <f>HYPERLINK("#Statut_biogéographique!A"&amp;_xlfn.XMATCH("P",Statut_biogéographique!A:A,2,1),"P")</f>
        <v>P</v>
      </c>
      <c r="AP4482" s="4" t="s">
        <v>376</v>
      </c>
      <c r="AR4482" s="4" t="s">
        <v>377</v>
      </c>
    </row>
    <row r="4483" spans="1:44">
      <c r="A4483" s="4" t="s">
        <v>5</v>
      </c>
      <c r="B4483" s="4">
        <v>35691</v>
      </c>
      <c r="C4483" s="4">
        <v>1911</v>
      </c>
      <c r="D4483" s="5" t="s">
        <v>6575</v>
      </c>
      <c r="E4483" s="6" t="str">
        <f>HYPERLINK("https://inpn.mnhn.fr/espece/cd_nom/35691","Cortinarius subferrugineus (Batsch) Fr., 1838")</f>
        <v>Cortinarius subferrugineus (Batsch) Fr., 1838</v>
      </c>
      <c r="F4483" s="5" t="s">
        <v>6576</v>
      </c>
      <c r="V4483" s="7" t="str">
        <f>HYPERLINK("#Liste_rouge!A"&amp;_xlfn.XMATCH("EN",Liste_rouge!A:A,2,1),"EN")</f>
        <v>EN</v>
      </c>
      <c r="W4483" s="4" t="str">
        <f>HYPERLINK("#Critères_liste_rouge!A$1","B2abiii")</f>
        <v>B2abiii</v>
      </c>
      <c r="Z4483" s="4" t="s">
        <v>443</v>
      </c>
      <c r="AA4483" s="4" t="s">
        <v>444</v>
      </c>
      <c r="AH4483" s="4" t="str">
        <f>HYPERLINK("#Statut_biogéographique!A"&amp;_xlfn.XMATCH("P",Statut_biogéographique!A:A,2,1),"P")</f>
        <v>P</v>
      </c>
      <c r="AP4483" s="4" t="s">
        <v>376</v>
      </c>
      <c r="AR4483" s="4" t="s">
        <v>377</v>
      </c>
    </row>
    <row r="4484" spans="1:44">
      <c r="A4484" s="4" t="s">
        <v>5</v>
      </c>
      <c r="B4484" s="4">
        <v>35700</v>
      </c>
      <c r="C4484" s="4">
        <v>2891</v>
      </c>
      <c r="D4484" s="5" t="s">
        <v>6577</v>
      </c>
      <c r="E4484" s="6" t="str">
        <f>HYPERLINK("https://inpn.mnhn.fr/espece/cd_nom/35700","Cortinarius subhygrophanus Bidaud, 1993")</f>
        <v>Cortinarius subhygrophanus Bidaud, 1993</v>
      </c>
      <c r="V4484" s="7" t="str">
        <f>HYPERLINK("#Liste_rouge!A"&amp;_xlfn.XMATCH("LC",Liste_rouge!A:A,2,1),"LC")</f>
        <v>LC</v>
      </c>
      <c r="AH4484" s="4" t="str">
        <f>HYPERLINK("#Statut_biogéographique!A"&amp;_xlfn.XMATCH("P",Statut_biogéographique!A:A,2,1),"P")</f>
        <v>P</v>
      </c>
      <c r="AP4484" s="4" t="s">
        <v>376</v>
      </c>
      <c r="AR4484" s="4" t="s">
        <v>377</v>
      </c>
    </row>
    <row r="4485" spans="1:44">
      <c r="A4485" s="4" t="s">
        <v>5</v>
      </c>
      <c r="B4485" s="4">
        <v>35704</v>
      </c>
      <c r="C4485" s="4">
        <v>6126</v>
      </c>
      <c r="D4485" s="5" t="s">
        <v>6578</v>
      </c>
      <c r="E4485" s="6" t="str">
        <f>HYPERLINK("https://inpn.mnhn.fr/espece/cd_nom/35704","Cortinarius subnotatus Fr., 1838")</f>
        <v>Cortinarius subnotatus Fr., 1838</v>
      </c>
      <c r="AH4485" s="4" t="str">
        <f>HYPERLINK("#Statut_biogéographique!A"&amp;_xlfn.XMATCH("P",Statut_biogéographique!A:A,2,1),"P")</f>
        <v>P</v>
      </c>
      <c r="AP4485" s="4" t="s">
        <v>376</v>
      </c>
      <c r="AR4485" s="4" t="s">
        <v>377</v>
      </c>
    </row>
    <row r="4486" spans="1:44">
      <c r="A4486" s="4" t="s">
        <v>5</v>
      </c>
      <c r="B4486" s="4">
        <v>35707</v>
      </c>
      <c r="C4486" s="4">
        <v>5211</v>
      </c>
      <c r="D4486" s="5" t="s">
        <v>6579</v>
      </c>
      <c r="E4486" s="6" t="str">
        <f>HYPERLINK("https://inpn.mnhn.fr/espece/cd_nom/35707","Cortinarius subporphyropus Pilát, 1954")</f>
        <v>Cortinarius subporphyropus Pilát, 1954</v>
      </c>
      <c r="V4486" s="7" t="str">
        <f>HYPERLINK("#Liste_rouge!A"&amp;_xlfn.XMATCH("DD",Liste_rouge!A:A,2,1),"DD")</f>
        <v>DD</v>
      </c>
      <c r="Z4486" s="4" t="s">
        <v>447</v>
      </c>
      <c r="AA4486" s="4" t="s">
        <v>448</v>
      </c>
      <c r="AH4486" s="4" t="str">
        <f>HYPERLINK("#Statut_biogéographique!A"&amp;_xlfn.XMATCH("P",Statut_biogéographique!A:A,2,1),"P")</f>
        <v>P</v>
      </c>
      <c r="AP4486" s="4" t="s">
        <v>376</v>
      </c>
      <c r="AR4486" s="4" t="s">
        <v>377</v>
      </c>
    </row>
    <row r="4487" spans="1:44" ht="30">
      <c r="A4487" s="4" t="s">
        <v>5</v>
      </c>
      <c r="B4487" s="4">
        <v>35708</v>
      </c>
      <c r="C4487" s="4">
        <v>1858</v>
      </c>
      <c r="D4487" s="5" t="s">
        <v>6580</v>
      </c>
      <c r="E4487" s="6" t="str">
        <f>HYPERLINK("https://inpn.mnhn.fr/espece/cd_nom/35708","Cortinarius subpurpurascens (Batsch) J.Kickx f., 1867")</f>
        <v>Cortinarius subpurpurascens (Batsch) J.Kickx f., 1867</v>
      </c>
      <c r="F4487" s="5" t="s">
        <v>6581</v>
      </c>
      <c r="V4487" s="7" t="str">
        <f>HYPERLINK("#Liste_rouge!A"&amp;_xlfn.XMATCH("LC",Liste_rouge!A:A,2,1),"LC")</f>
        <v>LC</v>
      </c>
      <c r="AH4487" s="4" t="str">
        <f>HYPERLINK("#Statut_biogéographique!A"&amp;_xlfn.XMATCH("P",Statut_biogéographique!A:A,2,1),"P")</f>
        <v>P</v>
      </c>
      <c r="AP4487" s="4" t="s">
        <v>376</v>
      </c>
      <c r="AR4487" s="4" t="s">
        <v>377</v>
      </c>
    </row>
    <row r="4488" spans="1:44">
      <c r="A4488" s="4" t="s">
        <v>5</v>
      </c>
      <c r="B4488" s="4">
        <v>35712</v>
      </c>
      <c r="C4488" s="4">
        <v>6117</v>
      </c>
      <c r="D4488" s="5" t="s">
        <v>6582</v>
      </c>
      <c r="E4488" s="6" t="str">
        <f>HYPERLINK("https://inpn.mnhn.fr/espece/cd_nom/35712","Cortinarius subsordescens Rob.Henry, 1985")</f>
        <v>Cortinarius subsordescens Rob.Henry, 1985</v>
      </c>
      <c r="AH4488" s="4" t="str">
        <f>HYPERLINK("#Statut_biogéographique!A"&amp;_xlfn.XMATCH("P",Statut_biogéographique!A:A,2,1),"P")</f>
        <v>P</v>
      </c>
      <c r="AP4488" s="4" t="s">
        <v>376</v>
      </c>
      <c r="AR4488" s="4" t="s">
        <v>377</v>
      </c>
    </row>
    <row r="4489" spans="1:44">
      <c r="A4489" s="4" t="s">
        <v>5</v>
      </c>
      <c r="B4489" s="4">
        <v>35718</v>
      </c>
      <c r="C4489" s="4">
        <v>1427</v>
      </c>
      <c r="D4489" s="5" t="s">
        <v>6583</v>
      </c>
      <c r="E4489" s="6" t="str">
        <f>HYPERLINK("https://inpn.mnhn.fr/espece/cd_nom/35718","Cortinarius subtortus (Pers.) Fr., 1838")</f>
        <v>Cortinarius subtortus (Pers.) Fr., 1838</v>
      </c>
      <c r="F4489" s="5" t="s">
        <v>6584</v>
      </c>
      <c r="V4489" s="7" t="str">
        <f>HYPERLINK("#Liste_rouge!A"&amp;_xlfn.XMATCH("VU",Liste_rouge!A:A,2,1),"VU")</f>
        <v>VU</v>
      </c>
      <c r="W4489" s="4" t="str">
        <f>HYPERLINK("#Critères_liste_rouge!A$1","A2c")</f>
        <v>A2c</v>
      </c>
      <c r="Z4489" s="4" t="s">
        <v>447</v>
      </c>
      <c r="AA4489" s="4" t="s">
        <v>448</v>
      </c>
      <c r="AH4489" s="4" t="str">
        <f>HYPERLINK("#Statut_biogéographique!A"&amp;_xlfn.XMATCH("P",Statut_biogéographique!A:A,2,1),"P")</f>
        <v>P</v>
      </c>
      <c r="AP4489" s="4" t="s">
        <v>376</v>
      </c>
      <c r="AR4489" s="4" t="s">
        <v>377</v>
      </c>
    </row>
    <row r="4490" spans="1:44" ht="30">
      <c r="A4490" s="4" t="s">
        <v>5</v>
      </c>
      <c r="B4490" s="4">
        <v>35729</v>
      </c>
      <c r="C4490" s="4">
        <v>6319</v>
      </c>
      <c r="D4490" s="5" t="s">
        <v>6585</v>
      </c>
      <c r="E4490" s="6" t="str">
        <f>HYPERLINK("https://inpn.mnhn.fr/espece/cd_nom/35729","Cortinarius subvirentophyllus Rob.Henry, 1952")</f>
        <v>Cortinarius subvirentophyllus Rob.Henry, 1952</v>
      </c>
      <c r="V4490" s="7" t="str">
        <f>HYPERLINK("#Liste_rouge!A"&amp;_xlfn.XMATCH("LC",Liste_rouge!A:A,2,1),"LC")</f>
        <v>LC</v>
      </c>
      <c r="AH4490" s="4" t="str">
        <f>HYPERLINK("#Statut_biogéographique!A"&amp;_xlfn.XMATCH("P",Statut_biogéographique!A:A,2,1),"P")</f>
        <v>P</v>
      </c>
      <c r="AP4490" s="4" t="s">
        <v>376</v>
      </c>
      <c r="AR4490" s="4" t="s">
        <v>377</v>
      </c>
    </row>
    <row r="4491" spans="1:44">
      <c r="A4491" s="4" t="s">
        <v>5</v>
      </c>
      <c r="B4491" s="4">
        <v>35731</v>
      </c>
      <c r="C4491" s="4">
        <v>625</v>
      </c>
      <c r="D4491" s="5" t="s">
        <v>6586</v>
      </c>
      <c r="E4491" s="6" t="str">
        <f>HYPERLINK("https://inpn.mnhn.fr/espece/cd_nom/35731","Cortinarius suillus Fr., 1838")</f>
        <v>Cortinarius suillus Fr., 1838</v>
      </c>
      <c r="F4491" s="5" t="s">
        <v>6587</v>
      </c>
      <c r="V4491" s="7" t="str">
        <f>HYPERLINK("#Liste_rouge!A"&amp;_xlfn.XMATCH("LC",Liste_rouge!A:A,2,1),"LC")</f>
        <v>LC</v>
      </c>
      <c r="AH4491" s="4" t="str">
        <f>HYPERLINK("#Statut_biogéographique!A"&amp;_xlfn.XMATCH("P",Statut_biogéographique!A:A,2,1),"P")</f>
        <v>P</v>
      </c>
      <c r="AP4491" s="4" t="s">
        <v>376</v>
      </c>
      <c r="AR4491" s="4" t="s">
        <v>377</v>
      </c>
    </row>
    <row r="4492" spans="1:44">
      <c r="A4492" s="4" t="s">
        <v>5</v>
      </c>
      <c r="B4492" s="4">
        <v>35734</v>
      </c>
      <c r="C4492" s="4">
        <v>1867</v>
      </c>
      <c r="D4492" s="5">
        <v>35375</v>
      </c>
      <c r="E4492" s="6" t="str">
        <f>HYPERLINK("https://inpn.mnhn.fr/espece/cd_nom/35734","Cortinarius fulgentissimus Reumaux, 2003")</f>
        <v>Cortinarius fulgentissimus Reumaux, 2003</v>
      </c>
      <c r="F4492" s="5" t="s">
        <v>6460</v>
      </c>
      <c r="Z4492" s="4" t="s">
        <v>447</v>
      </c>
      <c r="AA4492" s="4" t="s">
        <v>448</v>
      </c>
      <c r="AH4492" s="4" t="str">
        <f>HYPERLINK("#Statut_biogéographique!A"&amp;_xlfn.XMATCH("P",Statut_biogéographique!A:A,2,1),"P")</f>
        <v>P</v>
      </c>
      <c r="AP4492" s="4" t="s">
        <v>376</v>
      </c>
      <c r="AR4492" s="4" t="s">
        <v>377</v>
      </c>
    </row>
    <row r="4493" spans="1:44">
      <c r="A4493" s="4" t="s">
        <v>5</v>
      </c>
      <c r="B4493" s="4">
        <v>35736</v>
      </c>
      <c r="C4493" s="4">
        <v>1895</v>
      </c>
      <c r="D4493" s="5" t="s">
        <v>6588</v>
      </c>
      <c r="E4493" s="6" t="str">
        <f>HYPERLINK("https://inpn.mnhn.fr/espece/cd_nom/35736","Cortinarius tabularis (Fr.) Fr., 1838")</f>
        <v>Cortinarius tabularis (Fr.) Fr., 1838</v>
      </c>
      <c r="V4493" s="7" t="str">
        <f>HYPERLINK("#Liste_rouge!A"&amp;_xlfn.XMATCH("EN",Liste_rouge!A:A,2,1),"EN")</f>
        <v>EN</v>
      </c>
      <c r="W4493" s="4" t="str">
        <f>HYPERLINK("#Critères_liste_rouge!A$1","B2abiii")</f>
        <v>B2abiii</v>
      </c>
      <c r="Z4493" s="4" t="s">
        <v>443</v>
      </c>
      <c r="AA4493" s="4" t="s">
        <v>444</v>
      </c>
      <c r="AH4493" s="4" t="str">
        <f>HYPERLINK("#Statut_biogéographique!A"&amp;_xlfn.XMATCH("P",Statut_biogéographique!A:A,2,1),"P")</f>
        <v>P</v>
      </c>
      <c r="AP4493" s="4" t="s">
        <v>376</v>
      </c>
      <c r="AR4493" s="4" t="s">
        <v>377</v>
      </c>
    </row>
    <row r="4494" spans="1:44">
      <c r="A4494" s="4" t="s">
        <v>5</v>
      </c>
      <c r="B4494" s="4">
        <v>35738</v>
      </c>
      <c r="C4494" s="4">
        <v>3073</v>
      </c>
      <c r="D4494" s="5" t="s">
        <v>6589</v>
      </c>
      <c r="E4494" s="6" t="str">
        <f>HYPERLINK("https://inpn.mnhn.fr/espece/cd_nom/35738","Cortinarius talus Fr., 1838")</f>
        <v>Cortinarius talus Fr., 1838</v>
      </c>
      <c r="F4494" s="5" t="s">
        <v>6590</v>
      </c>
      <c r="V4494" s="7" t="str">
        <f>HYPERLINK("#Liste_rouge!A"&amp;_xlfn.XMATCH("NT",Liste_rouge!A:A,2,1),"NT")</f>
        <v>NT</v>
      </c>
      <c r="W4494" s="4" t="str">
        <f>HYPERLINK("#Critères_liste_rouge!A$1","pr. B2abiii")</f>
        <v>pr. B2abiii</v>
      </c>
      <c r="AH4494" s="4" t="str">
        <f>HYPERLINK("#Statut_biogéographique!A"&amp;_xlfn.XMATCH("P",Statut_biogéographique!A:A,2,1),"P")</f>
        <v>P</v>
      </c>
      <c r="AP4494" s="4" t="s">
        <v>376</v>
      </c>
      <c r="AR4494" s="4" t="s">
        <v>377</v>
      </c>
    </row>
    <row r="4495" spans="1:44">
      <c r="A4495" s="4" t="s">
        <v>5</v>
      </c>
      <c r="B4495" s="4">
        <v>35742</v>
      </c>
      <c r="C4495" s="4">
        <v>1958</v>
      </c>
      <c r="D4495" s="5" t="s">
        <v>6591</v>
      </c>
      <c r="E4495" s="6" t="str">
        <f>HYPERLINK("https://inpn.mnhn.fr/espece/cd_nom/35742","Cortinarius terpsichores Melot, 1989")</f>
        <v>Cortinarius terpsichores Melot, 1989</v>
      </c>
      <c r="F4495" s="5" t="s">
        <v>6592</v>
      </c>
      <c r="V4495" s="7" t="str">
        <f>HYPERLINK("#Liste_rouge!A"&amp;_xlfn.XMATCH("LC",Liste_rouge!A:A,2,1),"LC")</f>
        <v>LC</v>
      </c>
      <c r="Z4495" s="4" t="s">
        <v>447</v>
      </c>
      <c r="AA4495" s="4" t="s">
        <v>448</v>
      </c>
      <c r="AH4495" s="4" t="str">
        <f>HYPERLINK("#Statut_biogéographique!A"&amp;_xlfn.XMATCH("P",Statut_biogéographique!A:A,2,1),"P")</f>
        <v>P</v>
      </c>
      <c r="AP4495" s="4" t="s">
        <v>376</v>
      </c>
      <c r="AR4495" s="4" t="s">
        <v>377</v>
      </c>
    </row>
    <row r="4496" spans="1:44" ht="30">
      <c r="A4496" s="4" t="s">
        <v>5</v>
      </c>
      <c r="B4496" s="4">
        <v>35743</v>
      </c>
      <c r="C4496" s="4">
        <v>3074</v>
      </c>
      <c r="D4496" s="5" t="s">
        <v>6593</v>
      </c>
      <c r="E4496" s="6" t="str">
        <f>HYPERLINK("https://inpn.mnhn.fr/espece/cd_nom/35743","Cortinarius terpsichores var. calosporus Melot, 1992")</f>
        <v>Cortinarius terpsichores var. calosporus Melot, 1992</v>
      </c>
      <c r="F4496" s="5" t="s">
        <v>6108</v>
      </c>
      <c r="V4496" s="7" t="str">
        <f>HYPERLINK("#Liste_rouge!A"&amp;_xlfn.XMATCH("DD",Liste_rouge!A:A,2,1),"DD")</f>
        <v>DD</v>
      </c>
      <c r="AH4496" s="4" t="str">
        <f>HYPERLINK("#Statut_biogéographique!A"&amp;_xlfn.XMATCH("P",Statut_biogéographique!A:A,2,1),"P")</f>
        <v>P</v>
      </c>
      <c r="AP4496" s="4" t="s">
        <v>376</v>
      </c>
      <c r="AR4496" s="4" t="s">
        <v>377</v>
      </c>
    </row>
    <row r="4497" spans="1:44">
      <c r="A4497" s="4" t="s">
        <v>5</v>
      </c>
      <c r="B4497" s="4">
        <v>35746</v>
      </c>
      <c r="C4497" s="4">
        <v>1900</v>
      </c>
      <c r="D4497" s="5" t="s">
        <v>6594</v>
      </c>
      <c r="E4497" s="6" t="str">
        <f>HYPERLINK("https://inpn.mnhn.fr/espece/cd_nom/35746","Cortinarius tophaceus Fr., 1838")</f>
        <v>Cortinarius tophaceus Fr., 1838</v>
      </c>
      <c r="F4497" s="5" t="s">
        <v>6595</v>
      </c>
      <c r="V4497" s="7" t="str">
        <f>HYPERLINK("#Liste_rouge!A"&amp;_xlfn.XMATCH("LC",Liste_rouge!A:A,2,1),"LC")</f>
        <v>LC</v>
      </c>
      <c r="Z4497" s="4" t="s">
        <v>447</v>
      </c>
      <c r="AA4497" s="4" t="s">
        <v>448</v>
      </c>
      <c r="AH4497" s="4" t="str">
        <f>HYPERLINK("#Statut_biogéographique!A"&amp;_xlfn.XMATCH("P",Statut_biogéographique!A:A,2,1),"P")</f>
        <v>P</v>
      </c>
      <c r="AP4497" s="4" t="s">
        <v>376</v>
      </c>
      <c r="AR4497" s="4" t="s">
        <v>377</v>
      </c>
    </row>
    <row r="4498" spans="1:44">
      <c r="A4498" s="4" t="s">
        <v>5</v>
      </c>
      <c r="B4498" s="4">
        <v>35747</v>
      </c>
      <c r="C4498" s="4">
        <v>3675</v>
      </c>
      <c r="D4498" s="5" t="s">
        <v>6596</v>
      </c>
      <c r="E4498" s="6" t="str">
        <f>HYPERLINK("https://inpn.mnhn.fr/espece/cd_nom/35747","Cortinarius tortuosus (Fr.) Fr., 1838")</f>
        <v>Cortinarius tortuosus (Fr.) Fr., 1838</v>
      </c>
      <c r="V4498" s="7" t="str">
        <f>HYPERLINK("#Liste_rouge!A"&amp;_xlfn.XMATCH("EN",Liste_rouge!A:A,2,1),"EN")</f>
        <v>EN</v>
      </c>
      <c r="W4498" s="4" t="str">
        <f>HYPERLINK("#Critères_liste_rouge!A$1","B2abiii")</f>
        <v>B2abiii</v>
      </c>
      <c r="Z4498" s="4" t="s">
        <v>447</v>
      </c>
      <c r="AA4498" s="4" t="s">
        <v>448</v>
      </c>
      <c r="AH4498" s="4" t="str">
        <f>HYPERLINK("#Statut_biogéographique!A"&amp;_xlfn.XMATCH("P",Statut_biogéographique!A:A,2,1),"P")</f>
        <v>P</v>
      </c>
      <c r="AP4498" s="4" t="s">
        <v>376</v>
      </c>
      <c r="AR4498" s="4" t="s">
        <v>377</v>
      </c>
    </row>
    <row r="4499" spans="1:44">
      <c r="A4499" s="4" t="s">
        <v>5</v>
      </c>
      <c r="B4499" s="4">
        <v>35750</v>
      </c>
      <c r="C4499" s="4">
        <v>1467</v>
      </c>
      <c r="D4499" s="5" t="s">
        <v>6597</v>
      </c>
      <c r="E4499" s="6" t="str">
        <f>HYPERLINK("https://inpn.mnhn.fr/espece/cd_nom/35750","Cortinarius torvus (Fr.) Fr., 1838")</f>
        <v>Cortinarius torvus (Fr.) Fr., 1838</v>
      </c>
      <c r="F4499" s="5" t="s">
        <v>6598</v>
      </c>
      <c r="V4499" s="7" t="str">
        <f>HYPERLINK("#Liste_rouge!A"&amp;_xlfn.XMATCH("LC",Liste_rouge!A:A,2,1),"LC")</f>
        <v>LC</v>
      </c>
      <c r="AH4499" s="4" t="str">
        <f>HYPERLINK("#Statut_biogéographique!A"&amp;_xlfn.XMATCH("P",Statut_biogéographique!A:A,2,1),"P")</f>
        <v>P</v>
      </c>
      <c r="AP4499" s="4" t="s">
        <v>376</v>
      </c>
      <c r="AR4499" s="4" t="s">
        <v>377</v>
      </c>
    </row>
    <row r="4500" spans="1:44">
      <c r="A4500" s="4" t="s">
        <v>5</v>
      </c>
      <c r="B4500" s="4">
        <v>35754</v>
      </c>
      <c r="C4500" s="4">
        <v>831</v>
      </c>
      <c r="D4500" s="5" t="s">
        <v>6599</v>
      </c>
      <c r="E4500" s="6" t="str">
        <f>HYPERLINK("https://inpn.mnhn.fr/espece/cd_nom/35754","Cortinarius traganus (Fr.) Fr., 1838")</f>
        <v>Cortinarius traganus (Fr.) Fr., 1838</v>
      </c>
      <c r="F4500" s="5" t="s">
        <v>6600</v>
      </c>
      <c r="V4500" s="7" t="str">
        <f>HYPERLINK("#Liste_rouge!A"&amp;_xlfn.XMATCH("LC",Liste_rouge!A:A,2,1),"LC")</f>
        <v>LC</v>
      </c>
      <c r="AH4500" s="4" t="str">
        <f>HYPERLINK("#Statut_biogéographique!A"&amp;_xlfn.XMATCH("P",Statut_biogéographique!A:A,2,1),"P")</f>
        <v>P</v>
      </c>
      <c r="AP4500" s="4" t="s">
        <v>376</v>
      </c>
      <c r="AR4500" s="4" t="s">
        <v>377</v>
      </c>
    </row>
    <row r="4501" spans="1:44">
      <c r="A4501" s="4" t="s">
        <v>5</v>
      </c>
      <c r="B4501" s="4">
        <v>35757</v>
      </c>
      <c r="C4501" s="4">
        <v>1918</v>
      </c>
      <c r="D4501" s="5" t="s">
        <v>6601</v>
      </c>
      <c r="E4501" s="6" t="str">
        <f>HYPERLINK("https://inpn.mnhn.fr/espece/cd_nom/35757","Cortinarius triformis Fr., 1838")</f>
        <v>Cortinarius triformis Fr., 1838</v>
      </c>
      <c r="F4501" s="5" t="s">
        <v>6602</v>
      </c>
      <c r="V4501" s="7" t="str">
        <f>HYPERLINK("#Liste_rouge!A"&amp;_xlfn.XMATCH("LC",Liste_rouge!A:A,2,1),"LC")</f>
        <v>LC</v>
      </c>
      <c r="AH4501" s="4" t="str">
        <f>HYPERLINK("#Statut_biogéographique!A"&amp;_xlfn.XMATCH("P",Statut_biogéographique!A:A,2,1),"P")</f>
        <v>P</v>
      </c>
      <c r="AP4501" s="4" t="s">
        <v>376</v>
      </c>
      <c r="AR4501" s="4" t="s">
        <v>377</v>
      </c>
    </row>
    <row r="4502" spans="1:44">
      <c r="A4502" s="4" t="s">
        <v>5</v>
      </c>
      <c r="B4502" s="4">
        <v>35761</v>
      </c>
      <c r="C4502" s="4">
        <v>598</v>
      </c>
      <c r="D4502" s="5" t="s">
        <v>6603</v>
      </c>
      <c r="E4502" s="6" t="str">
        <f>HYPERLINK("https://inpn.mnhn.fr/espece/cd_nom/35761","Cortinarius triumphans Fr., 1838")</f>
        <v>Cortinarius triumphans Fr., 1838</v>
      </c>
      <c r="F4502" s="5" t="s">
        <v>6604</v>
      </c>
      <c r="V4502" s="7" t="str">
        <f>HYPERLINK("#Liste_rouge!A"&amp;_xlfn.XMATCH("LC",Liste_rouge!A:A,2,1),"LC")</f>
        <v>LC</v>
      </c>
      <c r="AH4502" s="4" t="str">
        <f>HYPERLINK("#Statut_biogéographique!A"&amp;_xlfn.XMATCH("P",Statut_biogéographique!A:A,2,1),"P")</f>
        <v>P</v>
      </c>
      <c r="AP4502" s="4" t="s">
        <v>376</v>
      </c>
      <c r="AR4502" s="4" t="s">
        <v>377</v>
      </c>
    </row>
    <row r="4503" spans="1:44">
      <c r="A4503" s="4" t="s">
        <v>5</v>
      </c>
      <c r="B4503" s="4">
        <v>35763</v>
      </c>
      <c r="C4503" s="4">
        <v>1837</v>
      </c>
      <c r="D4503" s="5" t="s">
        <v>6605</v>
      </c>
      <c r="E4503" s="6" t="str">
        <f>HYPERLINK("https://inpn.mnhn.fr/espece/cd_nom/35763","Cortinarius cylindripes Kauffman, 1905")</f>
        <v>Cortinarius cylindripes Kauffman, 1905</v>
      </c>
      <c r="F4503" s="5" t="s">
        <v>6606</v>
      </c>
      <c r="V4503" s="7" t="str">
        <f>HYPERLINK("#Liste_rouge!A"&amp;_xlfn.XMATCH("LC",Liste_rouge!A:A,2,1),"LC")</f>
        <v>LC</v>
      </c>
      <c r="Z4503" s="4" t="s">
        <v>447</v>
      </c>
      <c r="AA4503" s="4" t="s">
        <v>448</v>
      </c>
      <c r="AH4503" s="4" t="str">
        <f>HYPERLINK("#Statut_biogéographique!A"&amp;_xlfn.XMATCH("P",Statut_biogéographique!A:A,2,1),"P")</f>
        <v>P</v>
      </c>
      <c r="AP4503" s="4" t="s">
        <v>376</v>
      </c>
      <c r="AR4503" s="4" t="s">
        <v>377</v>
      </c>
    </row>
    <row r="4504" spans="1:44">
      <c r="A4504" s="4" t="s">
        <v>5</v>
      </c>
      <c r="B4504" s="4">
        <v>35764</v>
      </c>
      <c r="C4504" s="4">
        <v>1837</v>
      </c>
      <c r="D4504" s="5" t="s">
        <v>6607</v>
      </c>
      <c r="E4504" s="6" t="str">
        <f>HYPERLINK("https://inpn.mnhn.fr/espece/cd_nom/35764","Cortinarius collinitus (Sowerby) Gray, 1821")</f>
        <v>Cortinarius collinitus (Sowerby) Gray, 1821</v>
      </c>
      <c r="F4504" s="5" t="s">
        <v>6608</v>
      </c>
      <c r="V4504" s="7" t="str">
        <f>HYPERLINK("#Liste_rouge!A"&amp;_xlfn.XMATCH("LC",Liste_rouge!A:A,2,1),"LC")</f>
        <v>LC</v>
      </c>
      <c r="Z4504" s="4" t="s">
        <v>447</v>
      </c>
      <c r="AA4504" s="4" t="s">
        <v>448</v>
      </c>
      <c r="AH4504" s="4" t="str">
        <f>HYPERLINK("#Statut_biogéographique!A"&amp;_xlfn.XMATCH("P",Statut_biogéographique!A:A,2,1),"P")</f>
        <v>P</v>
      </c>
      <c r="AP4504" s="4" t="s">
        <v>376</v>
      </c>
      <c r="AR4504" s="4" t="s">
        <v>377</v>
      </c>
    </row>
    <row r="4505" spans="1:44" ht="30">
      <c r="A4505" s="4" t="s">
        <v>5</v>
      </c>
      <c r="B4505" s="4">
        <v>35769</v>
      </c>
      <c r="C4505" s="4">
        <v>3496</v>
      </c>
      <c r="D4505" s="5" t="s">
        <v>6609</v>
      </c>
      <c r="E4505" s="6" t="str">
        <f>HYPERLINK("https://inpn.mnhn.fr/espece/cd_nom/35769","Cortinarius tubarius Ammirati &amp; A.H.Sm., 1972")</f>
        <v>Cortinarius tubarius Ammirati &amp; A.H.Sm., 1972</v>
      </c>
      <c r="F4505" s="5" t="s">
        <v>6456</v>
      </c>
      <c r="Z4505" s="4" t="s">
        <v>447</v>
      </c>
      <c r="AA4505" s="4" t="s">
        <v>448</v>
      </c>
      <c r="AH4505" s="4" t="str">
        <f>HYPERLINK("#Statut_biogéographique!A"&amp;_xlfn.XMATCH("P",Statut_biogéographique!A:A,2,1),"P")</f>
        <v>P</v>
      </c>
      <c r="AP4505" s="4" t="s">
        <v>376</v>
      </c>
      <c r="AR4505" s="4" t="s">
        <v>377</v>
      </c>
    </row>
    <row r="4506" spans="1:44">
      <c r="A4506" s="4" t="s">
        <v>5</v>
      </c>
      <c r="B4506" s="4">
        <v>35776</v>
      </c>
      <c r="C4506" s="4">
        <v>1886</v>
      </c>
      <c r="D4506" s="5" t="s">
        <v>6610</v>
      </c>
      <c r="E4506" s="6" t="str">
        <f>HYPERLINK("https://inpn.mnhn.fr/espece/cd_nom/35776","Cortinarius turgidus Fr., 1838")</f>
        <v>Cortinarius turgidus Fr., 1838</v>
      </c>
      <c r="V4506" s="7" t="str">
        <f>HYPERLINK("#Liste_rouge!A"&amp;_xlfn.XMATCH("NT",Liste_rouge!A:A,2,1),"NT")</f>
        <v>NT</v>
      </c>
      <c r="W4506" s="4" t="str">
        <f>HYPERLINK("#Critères_liste_rouge!A$1","pr. B2abiii")</f>
        <v>pr. B2abiii</v>
      </c>
      <c r="Z4506" s="4" t="s">
        <v>447</v>
      </c>
      <c r="AA4506" s="4" t="s">
        <v>448</v>
      </c>
      <c r="AH4506" s="4" t="str">
        <f>HYPERLINK("#Statut_biogéographique!A"&amp;_xlfn.XMATCH("P",Statut_biogéographique!A:A,2,1),"P")</f>
        <v>P</v>
      </c>
      <c r="AP4506" s="4" t="s">
        <v>376</v>
      </c>
      <c r="AR4506" s="4" t="s">
        <v>377</v>
      </c>
    </row>
    <row r="4507" spans="1:44" ht="30">
      <c r="A4507" s="4" t="s">
        <v>5</v>
      </c>
      <c r="B4507" s="4">
        <v>35779</v>
      </c>
      <c r="C4507" s="4">
        <v>3247</v>
      </c>
      <c r="D4507" s="5" t="s">
        <v>6611</v>
      </c>
      <c r="E4507" s="6" t="str">
        <f>HYPERLINK("https://inpn.mnhn.fr/espece/cd_nom/35779","Cortinarius turibulosus (Jul.Schäff. &amp; E.Horak) Bon &amp; G.Garnier, 1991")</f>
        <v>Cortinarius turibulosus (Jul.Schäff. &amp; E.Horak) Bon &amp; G.Garnier, 1991</v>
      </c>
      <c r="V4507" s="7" t="str">
        <f>HYPERLINK("#Liste_rouge!A"&amp;_xlfn.XMATCH("DD",Liste_rouge!A:A,2,1),"DD")</f>
        <v>DD</v>
      </c>
      <c r="AH4507" s="4" t="str">
        <f>HYPERLINK("#Statut_biogéographique!A"&amp;_xlfn.XMATCH("P",Statut_biogéographique!A:A,2,1),"P")</f>
        <v>P</v>
      </c>
      <c r="AP4507" s="4" t="s">
        <v>376</v>
      </c>
      <c r="AR4507" s="4" t="s">
        <v>377</v>
      </c>
    </row>
    <row r="4508" spans="1:44">
      <c r="A4508" s="4" t="s">
        <v>5</v>
      </c>
      <c r="B4508" s="4">
        <v>35785</v>
      </c>
      <c r="C4508" s="4">
        <v>4068</v>
      </c>
      <c r="D4508" s="5" t="s">
        <v>6612</v>
      </c>
      <c r="E4508" s="6" t="str">
        <f>HYPERLINK("https://inpn.mnhn.fr/espece/cd_nom/35785","Cortinarius concinnus P.Karst., 1876")</f>
        <v>Cortinarius concinnus P.Karst., 1876</v>
      </c>
      <c r="V4508" s="7" t="str">
        <f>HYPERLINK("#Liste_rouge!A"&amp;_xlfn.XMATCH("EN",Liste_rouge!A:A,2,1),"EN")</f>
        <v>EN</v>
      </c>
      <c r="W4508" s="4" t="str">
        <f>HYPERLINK("#Critères_liste_rouge!A$1","B2abiii")</f>
        <v>B2abiii</v>
      </c>
      <c r="Z4508" s="4" t="s">
        <v>447</v>
      </c>
      <c r="AA4508" s="4" t="s">
        <v>448</v>
      </c>
      <c r="AH4508" s="4" t="str">
        <f>HYPERLINK("#Statut_biogéographique!A"&amp;_xlfn.XMATCH("P",Statut_biogéographique!A:A,2,1),"P")</f>
        <v>P</v>
      </c>
      <c r="AP4508" s="4" t="s">
        <v>376</v>
      </c>
      <c r="AR4508" s="4" t="s">
        <v>377</v>
      </c>
    </row>
    <row r="4509" spans="1:44" ht="30">
      <c r="A4509" s="4" t="s">
        <v>5</v>
      </c>
      <c r="B4509" s="4">
        <v>35789</v>
      </c>
      <c r="C4509" s="4">
        <v>6095</v>
      </c>
      <c r="D4509" s="5" t="s">
        <v>6613</v>
      </c>
      <c r="E4509" s="6" t="str">
        <f>HYPERLINK("https://inpn.mnhn.fr/espece/cd_nom/35789","Cortinarius uliginosus var. ruberrimus Moënne-Locc., 1994")</f>
        <v>Cortinarius uliginosus var. ruberrimus Moënne-Locc., 1994</v>
      </c>
      <c r="AH4509" s="4" t="str">
        <f>HYPERLINK("#Statut_biogéographique!A"&amp;_xlfn.XMATCH("P",Statut_biogéographique!A:A,2,1),"P")</f>
        <v>P</v>
      </c>
      <c r="AP4509" s="4" t="s">
        <v>376</v>
      </c>
      <c r="AR4509" s="4" t="s">
        <v>377</v>
      </c>
    </row>
    <row r="4510" spans="1:44">
      <c r="A4510" s="4" t="s">
        <v>5</v>
      </c>
      <c r="B4510" s="4">
        <v>35791</v>
      </c>
      <c r="C4510" s="4">
        <v>3142</v>
      </c>
      <c r="D4510" s="5" t="s">
        <v>6614</v>
      </c>
      <c r="E4510" s="6" t="str">
        <f>HYPERLINK("https://inpn.mnhn.fr/espece/cd_nom/35791","Cortinarius umbrinolens P.D.Orton, 1980")</f>
        <v>Cortinarius umbrinolens P.D.Orton, 1980</v>
      </c>
      <c r="V4510" s="7" t="str">
        <f>HYPERLINK("#Liste_rouge!A"&amp;_xlfn.XMATCH("EN",Liste_rouge!A:A,2,1),"EN")</f>
        <v>EN</v>
      </c>
      <c r="W4510" s="4" t="str">
        <f>HYPERLINK("#Critères_liste_rouge!A$1","B2abiii")</f>
        <v>B2abiii</v>
      </c>
      <c r="Z4510" s="4" t="s">
        <v>443</v>
      </c>
      <c r="AA4510" s="4" t="s">
        <v>444</v>
      </c>
      <c r="AH4510" s="4" t="str">
        <f>HYPERLINK("#Statut_biogéographique!A"&amp;_xlfn.XMATCH("P",Statut_biogéographique!A:A,2,1),"P")</f>
        <v>P</v>
      </c>
      <c r="AP4510" s="4" t="s">
        <v>376</v>
      </c>
      <c r="AR4510" s="4" t="s">
        <v>377</v>
      </c>
    </row>
    <row r="4511" spans="1:44">
      <c r="A4511" s="4" t="s">
        <v>5</v>
      </c>
      <c r="B4511" s="4">
        <v>35799</v>
      </c>
      <c r="C4511" s="4">
        <v>4077</v>
      </c>
      <c r="D4511" s="5" t="s">
        <v>6615</v>
      </c>
      <c r="E4511" s="6" t="str">
        <f>HYPERLINK("https://inpn.mnhn.fr/espece/cd_nom/35799","Cortinarius urbicus (Fr.) Fr., 1838")</f>
        <v>Cortinarius urbicus (Fr.) Fr., 1838</v>
      </c>
      <c r="V4511" s="7" t="str">
        <f>HYPERLINK("#Liste_rouge!A"&amp;_xlfn.XMATCH("DD",Liste_rouge!A:A,2,1),"DD")</f>
        <v>DD</v>
      </c>
      <c r="AH4511" s="4" t="str">
        <f>HYPERLINK("#Statut_biogéographique!A"&amp;_xlfn.XMATCH("P",Statut_biogéographique!A:A,2,1),"P")</f>
        <v>P</v>
      </c>
      <c r="AP4511" s="4" t="s">
        <v>376</v>
      </c>
      <c r="AR4511" s="4" t="s">
        <v>377</v>
      </c>
    </row>
    <row r="4512" spans="1:44" ht="30">
      <c r="A4512" s="4" t="s">
        <v>5</v>
      </c>
      <c r="B4512" s="4">
        <v>35801</v>
      </c>
      <c r="C4512" s="4">
        <v>4938</v>
      </c>
      <c r="D4512" s="5" t="s">
        <v>6616</v>
      </c>
      <c r="E4512" s="6" t="str">
        <f>HYPERLINK("https://inpn.mnhn.fr/espece/cd_nom/35801","Cortinarius vaginatopus Bidaud, Moënne-Locc. &amp; Reumaux, 1993")</f>
        <v>Cortinarius vaginatopus Bidaud, Moënne-Locc. &amp; Reumaux, 1993</v>
      </c>
      <c r="F4512" s="5" t="s">
        <v>6617</v>
      </c>
      <c r="V4512" s="7" t="str">
        <f>HYPERLINK("#Liste_rouge!A"&amp;_xlfn.XMATCH("EN",Liste_rouge!A:A,2,1),"EN")</f>
        <v>EN</v>
      </c>
      <c r="W4512" s="4" t="str">
        <f>HYPERLINK("#Critères_liste_rouge!A$1","B2abiii")</f>
        <v>B2abiii</v>
      </c>
      <c r="Z4512" s="4" t="s">
        <v>695</v>
      </c>
      <c r="AA4512" s="4" t="s">
        <v>696</v>
      </c>
      <c r="AH4512" s="4" t="str">
        <f>HYPERLINK("#Statut_biogéographique!A"&amp;_xlfn.XMATCH("P",Statut_biogéographique!A:A,2,1),"P")</f>
        <v>P</v>
      </c>
      <c r="AP4512" s="4" t="s">
        <v>376</v>
      </c>
      <c r="AR4512" s="4" t="s">
        <v>377</v>
      </c>
    </row>
    <row r="4513" spans="1:44">
      <c r="A4513" s="4" t="s">
        <v>5</v>
      </c>
      <c r="B4513" s="4">
        <v>35803</v>
      </c>
      <c r="C4513" s="4">
        <v>3314</v>
      </c>
      <c r="D4513" s="5" t="s">
        <v>6618</v>
      </c>
      <c r="E4513" s="6" t="str">
        <f>HYPERLINK("https://inpn.mnhn.fr/espece/cd_nom/35803","Cortinarius valgus Fr., 1838")</f>
        <v>Cortinarius valgus Fr., 1838</v>
      </c>
      <c r="V4513" s="7" t="str">
        <f>HYPERLINK("#Liste_rouge!A"&amp;_xlfn.XMATCH("EN",Liste_rouge!A:A,2,1),"EN")</f>
        <v>EN</v>
      </c>
      <c r="W4513" s="4" t="str">
        <f>HYPERLINK("#Critères_liste_rouge!A$1","B2abiii")</f>
        <v>B2abiii</v>
      </c>
      <c r="Z4513" s="4" t="s">
        <v>443</v>
      </c>
      <c r="AA4513" s="4" t="s">
        <v>444</v>
      </c>
      <c r="AH4513" s="4" t="str">
        <f>HYPERLINK("#Statut_biogéographique!A"&amp;_xlfn.XMATCH("P",Statut_biogéographique!A:A,2,1),"P")</f>
        <v>P</v>
      </c>
      <c r="AP4513" s="4" t="s">
        <v>376</v>
      </c>
      <c r="AR4513" s="4" t="s">
        <v>377</v>
      </c>
    </row>
    <row r="4514" spans="1:44" ht="30">
      <c r="A4514" s="4" t="s">
        <v>5</v>
      </c>
      <c r="B4514" s="4">
        <v>35806</v>
      </c>
      <c r="C4514" s="4">
        <v>817</v>
      </c>
      <c r="D4514" s="5" t="s">
        <v>6619</v>
      </c>
      <c r="E4514" s="6" t="str">
        <f>HYPERLINK("https://inpn.mnhn.fr/espece/cd_nom/35806","Cortinarius variecolor (Pers.) Fr., 1838")</f>
        <v>Cortinarius variecolor (Pers.) Fr., 1838</v>
      </c>
      <c r="F4514" s="5" t="s">
        <v>6620</v>
      </c>
      <c r="V4514" s="7" t="str">
        <f>HYPERLINK("#Liste_rouge!A"&amp;_xlfn.XMATCH("LC",Liste_rouge!A:A,2,1),"LC")</f>
        <v>LC</v>
      </c>
      <c r="W4514" s="4" t="str">
        <f>HYPERLINK("#Critères_liste_rouge!A$1","B2abiii")</f>
        <v>B2abiii</v>
      </c>
      <c r="Z4514" s="4" t="s">
        <v>695</v>
      </c>
      <c r="AA4514" s="4" t="s">
        <v>696</v>
      </c>
      <c r="AH4514" s="4" t="str">
        <f>HYPERLINK("#Statut_biogéographique!A"&amp;_xlfn.XMATCH("P",Statut_biogéographique!A:A,2,1),"P")</f>
        <v>P</v>
      </c>
      <c r="AP4514" s="4" t="s">
        <v>376</v>
      </c>
      <c r="AR4514" s="4" t="s">
        <v>377</v>
      </c>
    </row>
    <row r="4515" spans="1:44">
      <c r="A4515" s="4" t="s">
        <v>5</v>
      </c>
      <c r="B4515" s="4">
        <v>35811</v>
      </c>
      <c r="C4515" s="4">
        <v>2374</v>
      </c>
      <c r="D4515" s="5" t="s">
        <v>6621</v>
      </c>
      <c r="E4515" s="6" t="str">
        <f>HYPERLINK("https://inpn.mnhn.fr/espece/cd_nom/35811","Cortinarius variegatus Bres., 1884")</f>
        <v>Cortinarius variegatus Bres., 1884</v>
      </c>
      <c r="F4515" s="5" t="s">
        <v>6622</v>
      </c>
      <c r="V4515" s="7" t="str">
        <f>HYPERLINK("#Liste_rouge!A"&amp;_xlfn.XMATCH("EN",Liste_rouge!A:A,2,1),"EN")</f>
        <v>EN</v>
      </c>
      <c r="W4515" s="4" t="str">
        <f>HYPERLINK("#Critères_liste_rouge!A$1","B2abiii")</f>
        <v>B2abiii</v>
      </c>
      <c r="Z4515" s="4" t="s">
        <v>443</v>
      </c>
      <c r="AA4515" s="4" t="s">
        <v>444</v>
      </c>
      <c r="AH4515" s="4" t="str">
        <f>HYPERLINK("#Statut_biogéographique!A"&amp;_xlfn.XMATCH("P",Statut_biogéographique!A:A,2,1),"P")</f>
        <v>P</v>
      </c>
      <c r="AP4515" s="4" t="s">
        <v>376</v>
      </c>
      <c r="AR4515" s="4" t="s">
        <v>377</v>
      </c>
    </row>
    <row r="4516" spans="1:44">
      <c r="A4516" s="4" t="s">
        <v>5</v>
      </c>
      <c r="B4516" s="4">
        <v>35814</v>
      </c>
      <c r="C4516" s="4">
        <v>1882</v>
      </c>
      <c r="D4516" s="5" t="s">
        <v>6623</v>
      </c>
      <c r="E4516" s="6" t="str">
        <f>HYPERLINK("https://inpn.mnhn.fr/espece/cd_nom/35814","Cortinarius varius (Schaeff.) Fr., 1838")</f>
        <v>Cortinarius varius (Schaeff.) Fr., 1838</v>
      </c>
      <c r="F4516" s="5" t="s">
        <v>6624</v>
      </c>
      <c r="V4516" s="7" t="str">
        <f>HYPERLINK("#Liste_rouge!A"&amp;_xlfn.XMATCH("LC",Liste_rouge!A:A,2,1),"LC")</f>
        <v>LC</v>
      </c>
      <c r="AH4516" s="4" t="str">
        <f>HYPERLINK("#Statut_biogéographique!A"&amp;_xlfn.XMATCH("P",Statut_biogéographique!A:A,2,1),"P")</f>
        <v>P</v>
      </c>
      <c r="AP4516" s="4" t="s">
        <v>376</v>
      </c>
      <c r="AR4516" s="4" t="s">
        <v>377</v>
      </c>
    </row>
    <row r="4517" spans="1:44" ht="30">
      <c r="A4517" s="4" t="s">
        <v>5</v>
      </c>
      <c r="B4517" s="4">
        <v>35821</v>
      </c>
      <c r="C4517" s="4">
        <v>2892</v>
      </c>
      <c r="D4517" s="5" t="s">
        <v>6625</v>
      </c>
      <c r="E4517" s="6" t="str">
        <f>HYPERLINK("https://inpn.mnhn.fr/espece/cd_nom/35821","Cortinarius venetus var. montanus M.M.Moser, 1970")</f>
        <v>Cortinarius venetus var. montanus M.M.Moser, 1970</v>
      </c>
      <c r="F4517" s="5" t="s">
        <v>6626</v>
      </c>
      <c r="V4517" s="7" t="str">
        <f>HYPERLINK("#Liste_rouge!A"&amp;_xlfn.XMATCH("LC",Liste_rouge!A:A,2,1),"LC")</f>
        <v>LC</v>
      </c>
      <c r="AH4517" s="4" t="str">
        <f>HYPERLINK("#Statut_biogéographique!A"&amp;_xlfn.XMATCH("P",Statut_biogéographique!A:A,2,1),"P")</f>
        <v>P</v>
      </c>
      <c r="AP4517" s="4" t="s">
        <v>376</v>
      </c>
      <c r="AR4517" s="4" t="s">
        <v>377</v>
      </c>
    </row>
    <row r="4518" spans="1:44" ht="30">
      <c r="A4518" s="4" t="s">
        <v>5</v>
      </c>
      <c r="B4518" s="4">
        <v>35824</v>
      </c>
      <c r="C4518" s="4">
        <v>4672</v>
      </c>
      <c r="D4518" s="5">
        <v>35825</v>
      </c>
      <c r="E4518" s="6" t="str">
        <f>HYPERLINK("https://inpn.mnhn.fr/espece/cd_nom/35824","Cortinarius ludificabilis Moënne-Locc. &amp; Reumaux, 1996")</f>
        <v>Cortinarius ludificabilis Moënne-Locc. &amp; Reumaux, 1996</v>
      </c>
      <c r="V4518" s="7" t="str">
        <f>HYPERLINK("#Liste_rouge!A"&amp;_xlfn.XMATCH("RE",Liste_rouge!A:A,2,1),"RE")</f>
        <v>RE</v>
      </c>
      <c r="AH4518" s="4" t="str">
        <f>HYPERLINK("#Statut_biogéographique!A"&amp;_xlfn.XMATCH("P",Statut_biogéographique!A:A,2,1),"P")</f>
        <v>P</v>
      </c>
      <c r="AP4518" s="4" t="s">
        <v>376</v>
      </c>
      <c r="AR4518" s="4" t="s">
        <v>377</v>
      </c>
    </row>
    <row r="4519" spans="1:44">
      <c r="A4519" s="4" t="s">
        <v>5</v>
      </c>
      <c r="B4519" s="4">
        <v>35827</v>
      </c>
      <c r="C4519" s="4">
        <v>5479</v>
      </c>
      <c r="D4519" s="5" t="s">
        <v>6627</v>
      </c>
      <c r="E4519" s="6" t="str">
        <f>HYPERLINK("https://inpn.mnhn.fr/espece/cd_nom/35827","Cortinarius veregregius Rob.Henry, 1938")</f>
        <v>Cortinarius veregregius Rob.Henry, 1938</v>
      </c>
      <c r="V4519" s="7" t="str">
        <f>HYPERLINK("#Liste_rouge!A"&amp;_xlfn.XMATCH("DD",Liste_rouge!A:A,2,1),"DD")</f>
        <v>DD</v>
      </c>
      <c r="AH4519" s="4" t="str">
        <f>HYPERLINK("#Statut_biogéographique!A"&amp;_xlfn.XMATCH("P",Statut_biogéographique!A:A,2,1),"P")</f>
        <v>P</v>
      </c>
      <c r="AP4519" s="4" t="s">
        <v>376</v>
      </c>
      <c r="AR4519" s="4" t="s">
        <v>377</v>
      </c>
    </row>
    <row r="4520" spans="1:44">
      <c r="A4520" s="4" t="s">
        <v>5</v>
      </c>
      <c r="B4520" s="4">
        <v>35829</v>
      </c>
      <c r="C4520" s="4">
        <v>3058</v>
      </c>
      <c r="D4520" s="5" t="s">
        <v>6628</v>
      </c>
      <c r="E4520" s="6" t="str">
        <f>HYPERLINK("https://inpn.mnhn.fr/espece/cd_nom/35829","Cortinarius paragaudis Fr., 1838")</f>
        <v>Cortinarius paragaudis Fr., 1838</v>
      </c>
      <c r="F4520" s="5" t="s">
        <v>6629</v>
      </c>
      <c r="V4520" s="7" t="str">
        <f>HYPERLINK("#Liste_rouge!A"&amp;_xlfn.XMATCH("EN",Liste_rouge!A:A,2,1),"EN")</f>
        <v>EN</v>
      </c>
      <c r="W4520" s="4" t="str">
        <f>HYPERLINK("#Critères_liste_rouge!A$1","B2abiii")</f>
        <v>B2abiii</v>
      </c>
      <c r="Z4520" s="4" t="s">
        <v>447</v>
      </c>
      <c r="AA4520" s="4" t="s">
        <v>448</v>
      </c>
      <c r="AH4520" s="4" t="str">
        <f>HYPERLINK("#Statut_biogéographique!A"&amp;_xlfn.XMATCH("P",Statut_biogéographique!A:A,2,1),"P")</f>
        <v>P</v>
      </c>
      <c r="AP4520" s="4" t="s">
        <v>376</v>
      </c>
      <c r="AR4520" s="4" t="s">
        <v>377</v>
      </c>
    </row>
    <row r="4521" spans="1:44">
      <c r="A4521" s="4" t="s">
        <v>5</v>
      </c>
      <c r="B4521" s="4">
        <v>35831</v>
      </c>
      <c r="C4521" s="4">
        <v>3171</v>
      </c>
      <c r="D4521" s="5" t="s">
        <v>6630</v>
      </c>
      <c r="E4521" s="6" t="str">
        <f>HYPERLINK("https://inpn.mnhn.fr/espece/cd_nom/35831","Cortinarius vespertinus (Fr.) Fr., 1838")</f>
        <v>Cortinarius vespertinus (Fr.) Fr., 1838</v>
      </c>
      <c r="V4521" s="7" t="str">
        <f>HYPERLINK("#Liste_rouge!A"&amp;_xlfn.XMATCH("LC",Liste_rouge!A:A,2,1),"LC")</f>
        <v>LC</v>
      </c>
      <c r="AH4521" s="4" t="str">
        <f>HYPERLINK("#Statut_biogéographique!A"&amp;_xlfn.XMATCH("P",Statut_biogéographique!A:A,2,1),"P")</f>
        <v>P</v>
      </c>
      <c r="AP4521" s="4" t="s">
        <v>376</v>
      </c>
      <c r="AR4521" s="4" t="s">
        <v>377</v>
      </c>
    </row>
    <row r="4522" spans="1:44">
      <c r="A4522" s="4" t="s">
        <v>5</v>
      </c>
      <c r="B4522" s="4">
        <v>35832</v>
      </c>
      <c r="C4522" s="4">
        <v>1746</v>
      </c>
      <c r="D4522" s="5" t="s">
        <v>6631</v>
      </c>
      <c r="E4522" s="6" t="str">
        <f>HYPERLINK("https://inpn.mnhn.fr/espece/cd_nom/35832","Cortinarius vibratilis (Fr.) Fr., 1838")</f>
        <v>Cortinarius vibratilis (Fr.) Fr., 1838</v>
      </c>
      <c r="V4522" s="7" t="str">
        <f>HYPERLINK("#Liste_rouge!A"&amp;_xlfn.XMATCH("NT",Liste_rouge!A:A,2,1),"NT")</f>
        <v>NT</v>
      </c>
      <c r="W4522" s="4" t="str">
        <f>HYPERLINK("#Critères_liste_rouge!A$1","pr. A2c")</f>
        <v>pr. A2c</v>
      </c>
      <c r="AH4522" s="4" t="str">
        <f>HYPERLINK("#Statut_biogéographique!A"&amp;_xlfn.XMATCH("P",Statut_biogéographique!A:A,2,1),"P")</f>
        <v>P</v>
      </c>
      <c r="AP4522" s="4" t="s">
        <v>376</v>
      </c>
      <c r="AR4522" s="4" t="s">
        <v>377</v>
      </c>
    </row>
    <row r="4523" spans="1:44">
      <c r="A4523" s="4" t="s">
        <v>5</v>
      </c>
      <c r="B4523" s="4">
        <v>35836</v>
      </c>
      <c r="C4523" s="4">
        <v>2363</v>
      </c>
      <c r="D4523" s="5" t="s">
        <v>6632</v>
      </c>
      <c r="E4523" s="6" t="str">
        <f>HYPERLINK("https://inpn.mnhn.fr/espece/cd_nom/35836","Cortinarius violaceocinereus (Pers.) Fr., 1838")</f>
        <v>Cortinarius violaceocinereus (Pers.) Fr., 1838</v>
      </c>
      <c r="V4523" s="7" t="str">
        <f>HYPERLINK("#Liste_rouge!A"&amp;_xlfn.XMATCH("NT",Liste_rouge!A:A,2,1),"NT")</f>
        <v>NT</v>
      </c>
      <c r="W4523" s="4" t="str">
        <f>HYPERLINK("#Critères_liste_rouge!A$1","pr. B2abiii")</f>
        <v>pr. B2abiii</v>
      </c>
      <c r="AH4523" s="4" t="str">
        <f>HYPERLINK("#Statut_biogéographique!A"&amp;_xlfn.XMATCH("P",Statut_biogéographique!A:A,2,1),"P")</f>
        <v>P</v>
      </c>
      <c r="AP4523" s="4" t="s">
        <v>376</v>
      </c>
      <c r="AR4523" s="4" t="s">
        <v>377</v>
      </c>
    </row>
    <row r="4524" spans="1:44">
      <c r="A4524" s="4" t="s">
        <v>5</v>
      </c>
      <c r="B4524" s="4">
        <v>35841</v>
      </c>
      <c r="C4524" s="4">
        <v>985</v>
      </c>
      <c r="D4524" s="5" t="s">
        <v>6633</v>
      </c>
      <c r="E4524" s="6" t="str">
        <f>HYPERLINK("https://inpn.mnhn.fr/espece/cd_nom/35841","Cortinarius violaceus (L.) Gray, 1821")</f>
        <v>Cortinarius violaceus (L.) Gray, 1821</v>
      </c>
      <c r="F4524" s="5" t="s">
        <v>6634</v>
      </c>
      <c r="V4524" s="7" t="str">
        <f>HYPERLINK("#Liste_rouge!A"&amp;_xlfn.XMATCH("LC",Liste_rouge!A:A,2,1),"LC")</f>
        <v>LC</v>
      </c>
      <c r="AH4524" s="4" t="str">
        <f>HYPERLINK("#Statut_biogéographique!A"&amp;_xlfn.XMATCH("P",Statut_biogéographique!A:A,2,1),"P")</f>
        <v>P</v>
      </c>
      <c r="AP4524" s="4" t="s">
        <v>376</v>
      </c>
      <c r="AR4524" s="4" t="s">
        <v>377</v>
      </c>
    </row>
    <row r="4525" spans="1:44" ht="30">
      <c r="A4525" s="4" t="s">
        <v>5</v>
      </c>
      <c r="B4525" s="4">
        <v>35853</v>
      </c>
      <c r="C4525" s="4">
        <v>1888</v>
      </c>
      <c r="D4525" s="5" t="s">
        <v>6635</v>
      </c>
      <c r="E4525" s="6" t="str">
        <f>HYPERLINK("https://inpn.mnhn.fr/espece/cd_nom/35853","Cortinarius ophiopus f. pseudovulpinus (Rob.Henry &amp; Ramm) Cheype, 1997")</f>
        <v>Cortinarius ophiopus f. pseudovulpinus (Rob.Henry &amp; Ramm) Cheype, 1997</v>
      </c>
      <c r="F4525" s="5" t="s">
        <v>6636</v>
      </c>
      <c r="V4525" s="7" t="str">
        <f>HYPERLINK("#Liste_rouge!A"&amp;_xlfn.XMATCH("NT",Liste_rouge!A:A,2,1),"NT")</f>
        <v>NT</v>
      </c>
      <c r="W4525" s="4" t="str">
        <f>HYPERLINK("#Critères_liste_rouge!A$1","pr. B2abiii")</f>
        <v>pr. B2abiii</v>
      </c>
      <c r="Z4525" s="4" t="s">
        <v>447</v>
      </c>
      <c r="AA4525" s="4" t="s">
        <v>448</v>
      </c>
      <c r="AH4525" s="4" t="str">
        <f>HYPERLINK("#Statut_biogéographique!A"&amp;_xlfn.XMATCH("P",Statut_biogéographique!A:A,2,1),"P")</f>
        <v>P</v>
      </c>
      <c r="AP4525" s="4" t="s">
        <v>376</v>
      </c>
      <c r="AR4525" s="4" t="s">
        <v>377</v>
      </c>
    </row>
    <row r="4526" spans="1:44">
      <c r="A4526" s="4" t="s">
        <v>5</v>
      </c>
      <c r="B4526" s="4">
        <v>35857</v>
      </c>
      <c r="C4526" s="4">
        <v>2889</v>
      </c>
      <c r="D4526" s="5" t="s">
        <v>6637</v>
      </c>
      <c r="E4526" s="6" t="str">
        <f>HYPERLINK("https://inpn.mnhn.fr/espece/cd_nom/35857","Cortinarius xanthochlorus Rob.Henry, 1966")</f>
        <v>Cortinarius xanthochlorus Rob.Henry, 1966</v>
      </c>
      <c r="V4526" s="7" t="str">
        <f>HYPERLINK("#Liste_rouge!A"&amp;_xlfn.XMATCH("EN",Liste_rouge!A:A,2,1),"EN")</f>
        <v>EN</v>
      </c>
      <c r="W4526" s="4" t="str">
        <f>HYPERLINK("#Critères_liste_rouge!A$1","A2c")</f>
        <v>A2c</v>
      </c>
      <c r="Z4526" s="4" t="s">
        <v>695</v>
      </c>
      <c r="AA4526" s="4" t="s">
        <v>696</v>
      </c>
      <c r="AH4526" s="4" t="str">
        <f>HYPERLINK("#Statut_biogéographique!A"&amp;_xlfn.XMATCH("P",Statut_biogéographique!A:A,2,1),"P")</f>
        <v>P</v>
      </c>
      <c r="AP4526" s="4" t="s">
        <v>376</v>
      </c>
      <c r="AR4526" s="4" t="s">
        <v>377</v>
      </c>
    </row>
    <row r="4527" spans="1:44" ht="30">
      <c r="A4527" s="4" t="s">
        <v>5</v>
      </c>
      <c r="B4527" s="4">
        <v>35858</v>
      </c>
      <c r="C4527" s="4">
        <v>1857</v>
      </c>
      <c r="D4527" s="5" t="s">
        <v>6638</v>
      </c>
      <c r="E4527" s="6" t="str">
        <f>HYPERLINK("https://inpn.mnhn.fr/espece/cd_nom/35858","Cortinarius xanthophyllus (Cooke) Rob.Henry, 1943")</f>
        <v>Cortinarius xanthophyllus (Cooke) Rob.Henry, 1943</v>
      </c>
      <c r="F4527" s="5" t="s">
        <v>6639</v>
      </c>
      <c r="V4527" s="7" t="str">
        <f>HYPERLINK("#Liste_rouge!A"&amp;_xlfn.XMATCH("LC",Liste_rouge!A:A,2,1),"LC")</f>
        <v>LC</v>
      </c>
      <c r="Z4527" s="4" t="s">
        <v>447</v>
      </c>
      <c r="AA4527" s="4" t="s">
        <v>448</v>
      </c>
      <c r="AH4527" s="4" t="str">
        <f>HYPERLINK("#Statut_biogéographique!A"&amp;_xlfn.XMATCH("P",Statut_biogéographique!A:A,2,1),"P")</f>
        <v>P</v>
      </c>
      <c r="AP4527" s="4" t="s">
        <v>376</v>
      </c>
      <c r="AR4527" s="4" t="s">
        <v>377</v>
      </c>
    </row>
    <row r="4528" spans="1:44" ht="30">
      <c r="A4528" s="4" t="s">
        <v>5</v>
      </c>
      <c r="B4528" s="4">
        <v>35872</v>
      </c>
      <c r="C4528" s="4">
        <v>3948</v>
      </c>
      <c r="D4528" s="5" t="s">
        <v>6640</v>
      </c>
      <c r="E4528" s="6" t="str">
        <f>HYPERLINK("https://inpn.mnhn.fr/espece/cd_nom/35872","Flammulaster carpophilus (Fr.) Earle ex Vellinga, 1986")</f>
        <v>Flammulaster carpophilus (Fr.) Earle ex Vellinga, 1986</v>
      </c>
      <c r="F4528" s="5" t="s">
        <v>6641</v>
      </c>
      <c r="V4528" s="7" t="str">
        <f>HYPERLINK("#Liste_rouge!A"&amp;_xlfn.XMATCH("LC",Liste_rouge!A:A,2,1),"LC")</f>
        <v>LC</v>
      </c>
      <c r="AH4528" s="4" t="str">
        <f>HYPERLINK("#Statut_biogéographique!A"&amp;_xlfn.XMATCH("P",Statut_biogéographique!A:A,2,1),"P")</f>
        <v>P</v>
      </c>
      <c r="AP4528" s="4" t="s">
        <v>376</v>
      </c>
      <c r="AR4528" s="4" t="s">
        <v>377</v>
      </c>
    </row>
    <row r="4529" spans="1:44">
      <c r="A4529" s="4" t="s">
        <v>5</v>
      </c>
      <c r="B4529" s="4">
        <v>35886</v>
      </c>
      <c r="C4529" s="4">
        <v>5842</v>
      </c>
      <c r="D4529" s="5" t="s">
        <v>6642</v>
      </c>
      <c r="E4529" s="6" t="str">
        <f>HYPERLINK("https://inpn.mnhn.fr/espece/cd_nom/35886","Flammulaster gracilis (Quél.) Watling, 1967")</f>
        <v>Flammulaster gracilis (Quél.) Watling, 1967</v>
      </c>
      <c r="V4529" s="7" t="str">
        <f>HYPERLINK("#Liste_rouge!A"&amp;_xlfn.XMATCH("DD",Liste_rouge!A:A,2,1),"DD")</f>
        <v>DD</v>
      </c>
      <c r="AH4529" s="4" t="str">
        <f>HYPERLINK("#Statut_biogéographique!A"&amp;_xlfn.XMATCH("P",Statut_biogéographique!A:A,2,1),"P")</f>
        <v>P</v>
      </c>
      <c r="AP4529" s="4" t="s">
        <v>376</v>
      </c>
      <c r="AR4529" s="4" t="s">
        <v>377</v>
      </c>
    </row>
    <row r="4530" spans="1:44" ht="30">
      <c r="A4530" s="4" t="s">
        <v>5</v>
      </c>
      <c r="B4530" s="4">
        <v>35890</v>
      </c>
      <c r="C4530" s="4">
        <v>791</v>
      </c>
      <c r="D4530" s="5" t="s">
        <v>6643</v>
      </c>
      <c r="E4530" s="6" t="str">
        <f>HYPERLINK("https://inpn.mnhn.fr/espece/cd_nom/35890","Flammulaster granulosus (J.E.Lange) Watling, 1967")</f>
        <v>Flammulaster granulosus (J.E.Lange) Watling, 1967</v>
      </c>
      <c r="F4530" s="5" t="s">
        <v>6644</v>
      </c>
      <c r="V4530" s="7" t="str">
        <f>HYPERLINK("#Liste_rouge!A"&amp;_xlfn.XMATCH("LC",Liste_rouge!A:A,2,1),"LC")</f>
        <v>LC</v>
      </c>
      <c r="AH4530" s="4" t="str">
        <f>HYPERLINK("#Statut_biogéographique!A"&amp;_xlfn.XMATCH("P",Statut_biogéographique!A:A,2,1),"P")</f>
        <v>P</v>
      </c>
      <c r="AP4530" s="4" t="s">
        <v>376</v>
      </c>
      <c r="AR4530" s="4" t="s">
        <v>377</v>
      </c>
    </row>
    <row r="4531" spans="1:44">
      <c r="A4531" s="4" t="s">
        <v>5</v>
      </c>
      <c r="B4531" s="4">
        <v>35894</v>
      </c>
      <c r="C4531" s="4">
        <v>4480</v>
      </c>
      <c r="D4531" s="5" t="s">
        <v>6645</v>
      </c>
      <c r="E4531" s="6" t="str">
        <f>HYPERLINK("https://inpn.mnhn.fr/espece/cd_nom/35894","Flammulaster limulatoides P.D.Orton, 1984")</f>
        <v>Flammulaster limulatoides P.D.Orton, 1984</v>
      </c>
      <c r="V4531" s="7" t="str">
        <f>HYPERLINK("#Liste_rouge!A"&amp;_xlfn.XMATCH("DD",Liste_rouge!A:A,2,1),"DD")</f>
        <v>DD</v>
      </c>
      <c r="Z4531" s="4" t="s">
        <v>447</v>
      </c>
      <c r="AA4531" s="4" t="s">
        <v>448</v>
      </c>
      <c r="AH4531" s="4" t="str">
        <f>HYPERLINK("#Statut_biogéographique!A"&amp;_xlfn.XMATCH("P",Statut_biogéographique!A:A,2,1),"P")</f>
        <v>P</v>
      </c>
      <c r="AP4531" s="4" t="s">
        <v>376</v>
      </c>
      <c r="AR4531" s="4" t="s">
        <v>377</v>
      </c>
    </row>
    <row r="4532" spans="1:44" ht="30">
      <c r="A4532" s="4" t="s">
        <v>5</v>
      </c>
      <c r="B4532" s="4">
        <v>35896</v>
      </c>
      <c r="C4532" s="4">
        <v>3834</v>
      </c>
      <c r="D4532" s="5" t="s">
        <v>6646</v>
      </c>
      <c r="E4532" s="6" t="str">
        <f>HYPERLINK("https://inpn.mnhn.fr/espece/cd_nom/35896","Flammulaster limulatus (Fr.) Watling, 1967")</f>
        <v>Flammulaster limulatus (Fr.) Watling, 1967</v>
      </c>
      <c r="V4532" s="7" t="str">
        <f>HYPERLINK("#Liste_rouge!A"&amp;_xlfn.XMATCH("EN",Liste_rouge!A:A,2,1),"EN")</f>
        <v>EN</v>
      </c>
      <c r="W4532" s="4" t="str">
        <f>HYPERLINK("#Critères_liste_rouge!A$1","B2abiii")</f>
        <v>B2abiii</v>
      </c>
      <c r="Z4532" s="4" t="s">
        <v>447</v>
      </c>
      <c r="AA4532" s="4" t="s">
        <v>448</v>
      </c>
      <c r="AH4532" s="4" t="str">
        <f>HYPERLINK("#Statut_biogéographique!A"&amp;_xlfn.XMATCH("P",Statut_biogéographique!A:A,2,1),"P")</f>
        <v>P</v>
      </c>
      <c r="AP4532" s="4" t="s">
        <v>376</v>
      </c>
      <c r="AR4532" s="4" t="s">
        <v>377</v>
      </c>
    </row>
    <row r="4533" spans="1:44" ht="30">
      <c r="A4533" s="4" t="s">
        <v>5</v>
      </c>
      <c r="B4533" s="4">
        <v>35902</v>
      </c>
      <c r="C4533" s="4">
        <v>3316</v>
      </c>
      <c r="D4533" s="5" t="s">
        <v>6647</v>
      </c>
      <c r="E4533" s="6" t="str">
        <f>HYPERLINK("https://inpn.mnhn.fr/espece/cd_nom/35902","Flammulaster muricatus (Fr.) Watling, 1967")</f>
        <v>Flammulaster muricatus (Fr.) Watling, 1967</v>
      </c>
      <c r="V4533" s="7" t="str">
        <f>HYPERLINK("#Liste_rouge!A"&amp;_xlfn.XMATCH("NT",Liste_rouge!A:A,2,1),"NT")</f>
        <v>NT</v>
      </c>
      <c r="W4533" s="4" t="str">
        <f>HYPERLINK("#Critères_liste_rouge!A$1","pr. B2abiii")</f>
        <v>pr. B2abiii</v>
      </c>
      <c r="Z4533" s="4" t="s">
        <v>447</v>
      </c>
      <c r="AA4533" s="4" t="s">
        <v>448</v>
      </c>
      <c r="AH4533" s="4" t="str">
        <f>HYPERLINK("#Statut_biogéographique!A"&amp;_xlfn.XMATCH("P",Statut_biogéographique!A:A,2,1),"P")</f>
        <v>P</v>
      </c>
      <c r="AP4533" s="4" t="s">
        <v>376</v>
      </c>
      <c r="AR4533" s="4" t="s">
        <v>377</v>
      </c>
    </row>
    <row r="4534" spans="1:44" ht="30">
      <c r="A4534" s="4" t="s">
        <v>5</v>
      </c>
      <c r="B4534" s="4">
        <v>35907</v>
      </c>
      <c r="C4534" s="4">
        <v>2261</v>
      </c>
      <c r="D4534" s="5" t="s">
        <v>6648</v>
      </c>
      <c r="E4534" s="6" t="str">
        <f>HYPERLINK("https://inpn.mnhn.fr/espece/cd_nom/35907","Flammulaster rhombosporus (G.F.Atk.) Watling, 1967")</f>
        <v>Flammulaster rhombosporus (G.F.Atk.) Watling, 1967</v>
      </c>
      <c r="V4534" s="7" t="str">
        <f>HYPERLINK("#Liste_rouge!A"&amp;_xlfn.XMATCH("NT",Liste_rouge!A:A,2,1),"NT")</f>
        <v>NT</v>
      </c>
      <c r="W4534" s="4" t="str">
        <f>HYPERLINK("#Critères_liste_rouge!A$1","pr. B2abiii")</f>
        <v>pr. B2abiii</v>
      </c>
      <c r="Z4534" s="4" t="s">
        <v>447</v>
      </c>
      <c r="AA4534" s="4" t="s">
        <v>448</v>
      </c>
      <c r="AH4534" s="4" t="str">
        <f>HYPERLINK("#Statut_biogéographique!A"&amp;_xlfn.XMATCH("P",Statut_biogéographique!A:A,2,1),"P")</f>
        <v>P</v>
      </c>
      <c r="AP4534" s="4" t="s">
        <v>376</v>
      </c>
      <c r="AR4534" s="4" t="s">
        <v>377</v>
      </c>
    </row>
    <row r="4535" spans="1:44" ht="30">
      <c r="A4535" s="4" t="s">
        <v>5</v>
      </c>
      <c r="B4535" s="4">
        <v>35914</v>
      </c>
      <c r="C4535" s="4">
        <v>2869</v>
      </c>
      <c r="D4535" s="5" t="s">
        <v>6649</v>
      </c>
      <c r="E4535" s="6" t="str">
        <f>HYPERLINK("https://inpn.mnhn.fr/espece/cd_nom/35914","Flammulaster speireoides (Romagn.) Watling, 1967")</f>
        <v>Flammulaster speireoides (Romagn.) Watling, 1967</v>
      </c>
      <c r="V4535" s="7" t="str">
        <f>HYPERLINK("#Liste_rouge!A"&amp;_xlfn.XMATCH("DD",Liste_rouge!A:A,2,1),"DD")</f>
        <v>DD</v>
      </c>
      <c r="AH4535" s="4" t="str">
        <f>HYPERLINK("#Statut_biogéographique!A"&amp;_xlfn.XMATCH("P",Statut_biogéographique!A:A,2,1),"P")</f>
        <v>P</v>
      </c>
      <c r="AP4535" s="4" t="s">
        <v>376</v>
      </c>
      <c r="AR4535" s="4" t="s">
        <v>377</v>
      </c>
    </row>
    <row r="4536" spans="1:44" ht="30">
      <c r="A4536" s="4" t="s">
        <v>5</v>
      </c>
      <c r="B4536" s="4">
        <v>35915</v>
      </c>
      <c r="C4536" s="4">
        <v>2869</v>
      </c>
      <c r="D4536" s="5" t="s">
        <v>6650</v>
      </c>
      <c r="E4536" s="6" t="str">
        <f>HYPERLINK("https://inpn.mnhn.fr/espece/cd_nom/35915","Flammulaster pusillimus (P.D.Orton) Watling, 1967")</f>
        <v>Flammulaster pusillimus (P.D.Orton) Watling, 1967</v>
      </c>
      <c r="V4536" s="7" t="str">
        <f>HYPERLINK("#Liste_rouge!A"&amp;_xlfn.XMATCH("DD",Liste_rouge!A:A,2,1),"DD")</f>
        <v>DD</v>
      </c>
      <c r="AH4536" s="4" t="str">
        <f>HYPERLINK("#Statut_biogéographique!A"&amp;_xlfn.XMATCH("P",Statut_biogéographique!A:A,2,1),"P")</f>
        <v>P</v>
      </c>
      <c r="AP4536" s="4" t="s">
        <v>376</v>
      </c>
      <c r="AR4536" s="4" t="s">
        <v>377</v>
      </c>
    </row>
    <row r="4537" spans="1:44" ht="30">
      <c r="A4537" s="4" t="s">
        <v>5</v>
      </c>
      <c r="B4537" s="4">
        <v>35918</v>
      </c>
      <c r="C4537" s="4">
        <v>2260</v>
      </c>
      <c r="D4537" s="5" t="s">
        <v>6651</v>
      </c>
      <c r="E4537" s="6" t="str">
        <f>HYPERLINK("https://inpn.mnhn.fr/espece/cd_nom/35918","Flammulaster subincarnatus (Joss. &amp; Kühner) Watling, 1967")</f>
        <v>Flammulaster subincarnatus (Joss. &amp; Kühner) Watling, 1967</v>
      </c>
      <c r="V4537" s="7" t="str">
        <f>HYPERLINK("#Liste_rouge!A"&amp;_xlfn.XMATCH("LC",Liste_rouge!A:A,2,1),"LC")</f>
        <v>LC</v>
      </c>
      <c r="AH4537" s="4" t="str">
        <f>HYPERLINK("#Statut_biogéographique!A"&amp;_xlfn.XMATCH("P",Statut_biogéographique!A:A,2,1),"P")</f>
        <v>P</v>
      </c>
      <c r="AP4537" s="4" t="s">
        <v>376</v>
      </c>
      <c r="AR4537" s="4" t="s">
        <v>377</v>
      </c>
    </row>
    <row r="4538" spans="1:44">
      <c r="A4538" s="4" t="s">
        <v>5</v>
      </c>
      <c r="B4538" s="4">
        <v>35930</v>
      </c>
      <c r="C4538" s="4">
        <v>5960</v>
      </c>
      <c r="D4538" s="5" t="s">
        <v>6652</v>
      </c>
      <c r="E4538" s="6" t="str">
        <f>HYPERLINK("https://inpn.mnhn.fr/espece/cd_nom/35930","Galerina ampullaceocystis P.D.Orton, 1960")</f>
        <v>Galerina ampullaceocystis P.D.Orton, 1960</v>
      </c>
      <c r="AH4538" s="4" t="str">
        <f>HYPERLINK("#Statut_biogéographique!A"&amp;_xlfn.XMATCH("P",Statut_biogéographique!A:A,2,1),"P")</f>
        <v>P</v>
      </c>
      <c r="AP4538" s="4" t="s">
        <v>376</v>
      </c>
      <c r="AR4538" s="4" t="s">
        <v>377</v>
      </c>
    </row>
    <row r="4539" spans="1:44">
      <c r="A4539" s="4" t="s">
        <v>5</v>
      </c>
      <c r="B4539" s="4">
        <v>35931</v>
      </c>
      <c r="C4539" s="4">
        <v>5164</v>
      </c>
      <c r="D4539" s="5" t="s">
        <v>6653</v>
      </c>
      <c r="E4539" s="6" t="str">
        <f>HYPERLINK("https://inpn.mnhn.fr/espece/cd_nom/35931","Galerina annulata (J.Favre) Singer, 1973")</f>
        <v>Galerina annulata (J.Favre) Singer, 1973</v>
      </c>
      <c r="V4539" s="7" t="str">
        <f>HYPERLINK("#Liste_rouge!A"&amp;_xlfn.XMATCH("DD",Liste_rouge!A:A,2,1),"DD")</f>
        <v>DD</v>
      </c>
      <c r="Z4539" s="4" t="s">
        <v>443</v>
      </c>
      <c r="AA4539" s="4" t="s">
        <v>444</v>
      </c>
      <c r="AH4539" s="4" t="str">
        <f>HYPERLINK("#Statut_biogéographique!A"&amp;_xlfn.XMATCH("P",Statut_biogéographique!A:A,2,1),"P")</f>
        <v>P</v>
      </c>
      <c r="AP4539" s="4" t="s">
        <v>376</v>
      </c>
      <c r="AR4539" s="4" t="s">
        <v>377</v>
      </c>
    </row>
    <row r="4540" spans="1:44">
      <c r="A4540" s="4" t="s">
        <v>5</v>
      </c>
      <c r="B4540" s="4">
        <v>35932</v>
      </c>
      <c r="C4540" s="4">
        <v>5219</v>
      </c>
      <c r="D4540" s="5" t="s">
        <v>6654</v>
      </c>
      <c r="E4540" s="6" t="str">
        <f>HYPERLINK("https://inpn.mnhn.fr/espece/cd_nom/35932","Galerina atkinsoniana A.H.Sm., 1953")</f>
        <v>Galerina atkinsoniana A.H.Sm., 1953</v>
      </c>
      <c r="V4540" s="7" t="str">
        <f>HYPERLINK("#Liste_rouge!A"&amp;_xlfn.XMATCH("DD",Liste_rouge!A:A,2,1),"DD")</f>
        <v>DD</v>
      </c>
      <c r="AH4540" s="4" t="str">
        <f>HYPERLINK("#Statut_biogéographique!A"&amp;_xlfn.XMATCH("P",Statut_biogéographique!A:A,2,1),"P")</f>
        <v>P</v>
      </c>
      <c r="AP4540" s="4" t="s">
        <v>376</v>
      </c>
      <c r="AR4540" s="4" t="s">
        <v>377</v>
      </c>
    </row>
    <row r="4541" spans="1:44" ht="30">
      <c r="A4541" s="4" t="s">
        <v>5</v>
      </c>
      <c r="B4541" s="4">
        <v>35933</v>
      </c>
      <c r="C4541" s="4">
        <v>2008</v>
      </c>
      <c r="D4541" s="5" t="s">
        <v>6655</v>
      </c>
      <c r="E4541" s="6" t="str">
        <f>HYPERLINK("https://inpn.mnhn.fr/espece/cd_nom/35933","Galerina autumnalis (Peck) A.H.Sm. &amp; Singer, 1964")</f>
        <v>Galerina autumnalis (Peck) A.H.Sm. &amp; Singer, 1964</v>
      </c>
      <c r="F4541" s="5" t="s">
        <v>6656</v>
      </c>
      <c r="V4541" s="7" t="str">
        <f>HYPERLINK("#Liste_rouge!A"&amp;_xlfn.XMATCH("LC",Liste_rouge!A:A,2,1),"LC")</f>
        <v>LC</v>
      </c>
      <c r="AH4541" s="4" t="str">
        <f>HYPERLINK("#Statut_biogéographique!A"&amp;_xlfn.XMATCH("P",Statut_biogéographique!A:A,2,1),"P")</f>
        <v>P</v>
      </c>
      <c r="AP4541" s="4" t="s">
        <v>376</v>
      </c>
      <c r="AR4541" s="4" t="s">
        <v>377</v>
      </c>
    </row>
    <row r="4542" spans="1:44">
      <c r="A4542" s="4" t="s">
        <v>5</v>
      </c>
      <c r="B4542" s="4">
        <v>35941</v>
      </c>
      <c r="C4542" s="4">
        <v>5416</v>
      </c>
      <c r="D4542" s="5" t="s">
        <v>6657</v>
      </c>
      <c r="E4542" s="6" t="str">
        <f>HYPERLINK("https://inpn.mnhn.fr/espece/cd_nom/35941","Galerina calyptrata P.D.Orton, 1960")</f>
        <v>Galerina calyptrata P.D.Orton, 1960</v>
      </c>
      <c r="V4542" s="7" t="str">
        <f>HYPERLINK("#Liste_rouge!A"&amp;_xlfn.XMATCH("DD",Liste_rouge!A:A,2,1),"DD")</f>
        <v>DD</v>
      </c>
      <c r="AH4542" s="4" t="str">
        <f>HYPERLINK("#Statut_biogéographique!A"&amp;_xlfn.XMATCH("P",Statut_biogéographique!A:A,2,1),"P")</f>
        <v>P</v>
      </c>
      <c r="AP4542" s="4" t="s">
        <v>376</v>
      </c>
      <c r="AR4542" s="4" t="s">
        <v>377</v>
      </c>
    </row>
    <row r="4543" spans="1:44">
      <c r="A4543" s="4" t="s">
        <v>5</v>
      </c>
      <c r="B4543" s="4">
        <v>35951</v>
      </c>
      <c r="C4543" s="4">
        <v>5301</v>
      </c>
      <c r="D4543" s="5" t="s">
        <v>6658</v>
      </c>
      <c r="E4543" s="6" t="str">
        <f>HYPERLINK("https://inpn.mnhn.fr/espece/cd_nom/35951","Galerina cerina A.H.Sm. &amp; Singer, 1955")</f>
        <v>Galerina cerina A.H.Sm. &amp; Singer, 1955</v>
      </c>
      <c r="V4543" s="7" t="str">
        <f>HYPERLINK("#Liste_rouge!A"&amp;_xlfn.XMATCH("DD",Liste_rouge!A:A,2,1),"DD")</f>
        <v>DD</v>
      </c>
      <c r="AH4543" s="4" t="str">
        <f>HYPERLINK("#Statut_biogéographique!A"&amp;_xlfn.XMATCH("P",Statut_biogéographique!A:A,2,1),"P")</f>
        <v>P</v>
      </c>
      <c r="AP4543" s="4" t="s">
        <v>376</v>
      </c>
      <c r="AR4543" s="4" t="s">
        <v>377</v>
      </c>
    </row>
    <row r="4544" spans="1:44">
      <c r="A4544" s="4" t="s">
        <v>5</v>
      </c>
      <c r="B4544" s="4">
        <v>35953</v>
      </c>
      <c r="C4544" s="4">
        <v>5298</v>
      </c>
      <c r="D4544" s="5" t="s">
        <v>6659</v>
      </c>
      <c r="E4544" s="6" t="str">
        <f>HYPERLINK("https://inpn.mnhn.fr/espece/cd_nom/35953","Galerina cinctula P.D.Orton, 1960")</f>
        <v>Galerina cinctula P.D.Orton, 1960</v>
      </c>
      <c r="V4544" s="7" t="str">
        <f>HYPERLINK("#Liste_rouge!A"&amp;_xlfn.XMATCH("DD",Liste_rouge!A:A,2,1),"DD")</f>
        <v>DD</v>
      </c>
      <c r="AH4544" s="4" t="str">
        <f>HYPERLINK("#Statut_biogéographique!A"&amp;_xlfn.XMATCH("P",Statut_biogéographique!A:A,2,1),"P")</f>
        <v>P</v>
      </c>
      <c r="AP4544" s="4" t="s">
        <v>376</v>
      </c>
      <c r="AR4544" s="4" t="s">
        <v>377</v>
      </c>
    </row>
    <row r="4545" spans="1:44">
      <c r="A4545" s="4" t="s">
        <v>5</v>
      </c>
      <c r="B4545" s="4">
        <v>35960</v>
      </c>
      <c r="C4545" s="4">
        <v>1185</v>
      </c>
      <c r="D4545" s="5" t="s">
        <v>6660</v>
      </c>
      <c r="E4545" s="6" t="str">
        <f>HYPERLINK("https://inpn.mnhn.fr/espece/cd_nom/35960","Galerina embolus (Fr.) P.D.Orton, 1960")</f>
        <v>Galerina embolus (Fr.) P.D.Orton, 1960</v>
      </c>
      <c r="V4545" s="7" t="str">
        <f>HYPERLINK("#Liste_rouge!A"&amp;_xlfn.XMATCH("CR",Liste_rouge!A:A,2,1),"CR")</f>
        <v>CR</v>
      </c>
      <c r="W4545" s="4" t="str">
        <f>HYPERLINK("#Critères_liste_rouge!A$1","B2abiii")</f>
        <v>B2abiii</v>
      </c>
      <c r="Z4545" s="4" t="s">
        <v>447</v>
      </c>
      <c r="AA4545" s="4" t="s">
        <v>448</v>
      </c>
      <c r="AH4545" s="4" t="str">
        <f>HYPERLINK("#Statut_biogéographique!A"&amp;_xlfn.XMATCH("P",Statut_biogéographique!A:A,2,1),"P")</f>
        <v>P</v>
      </c>
      <c r="AP4545" s="4" t="s">
        <v>376</v>
      </c>
      <c r="AR4545" s="4" t="s">
        <v>377</v>
      </c>
    </row>
    <row r="4546" spans="1:44">
      <c r="A4546" s="4" t="s">
        <v>5</v>
      </c>
      <c r="B4546" s="4">
        <v>35969</v>
      </c>
      <c r="C4546" s="4">
        <v>2251</v>
      </c>
      <c r="D4546" s="5" t="s">
        <v>6661</v>
      </c>
      <c r="E4546" s="6" t="str">
        <f>HYPERLINK("https://inpn.mnhn.fr/espece/cd_nom/35969","Galerina gibbosa J.Favre, 1936")</f>
        <v>Galerina gibbosa J.Favre, 1936</v>
      </c>
      <c r="F4546" s="5" t="s">
        <v>6662</v>
      </c>
      <c r="AH4546" s="4" t="str">
        <f>HYPERLINK("#Statut_biogéographique!A"&amp;_xlfn.XMATCH("P",Statut_biogéographique!A:A,2,1),"P")</f>
        <v>P</v>
      </c>
      <c r="AP4546" s="4" t="s">
        <v>376</v>
      </c>
      <c r="AR4546" s="4" t="s">
        <v>377</v>
      </c>
    </row>
    <row r="4547" spans="1:44">
      <c r="A4547" s="4" t="s">
        <v>5</v>
      </c>
      <c r="B4547" s="4">
        <v>35980</v>
      </c>
      <c r="C4547" s="4">
        <v>5345</v>
      </c>
      <c r="D4547" s="5" t="s">
        <v>6663</v>
      </c>
      <c r="E4547" s="6" t="str">
        <f>HYPERLINK("https://inpn.mnhn.fr/espece/cd_nom/35980","Galerina hybrida Kühner, 1969")</f>
        <v>Galerina hybrida Kühner, 1969</v>
      </c>
      <c r="V4547" s="7" t="str">
        <f>HYPERLINK("#Liste_rouge!A"&amp;_xlfn.XMATCH("DD",Liste_rouge!A:A,2,1),"DD")</f>
        <v>DD</v>
      </c>
      <c r="Z4547" s="4" t="s">
        <v>443</v>
      </c>
      <c r="AA4547" s="4" t="s">
        <v>444</v>
      </c>
      <c r="AH4547" s="4" t="str">
        <f>HYPERLINK("#Statut_biogéographique!A"&amp;_xlfn.XMATCH("P",Statut_biogéographique!A:A,2,1),"P")</f>
        <v>P</v>
      </c>
      <c r="AP4547" s="4" t="s">
        <v>376</v>
      </c>
      <c r="AR4547" s="4" t="s">
        <v>377</v>
      </c>
    </row>
    <row r="4548" spans="1:44">
      <c r="A4548" s="4" t="s">
        <v>5</v>
      </c>
      <c r="B4548" s="4">
        <v>35983</v>
      </c>
      <c r="C4548" s="4">
        <v>2009</v>
      </c>
      <c r="D4548" s="5" t="s">
        <v>6664</v>
      </c>
      <c r="E4548" s="6" t="str">
        <f>HYPERLINK("https://inpn.mnhn.fr/espece/cd_nom/35983","Galerina hypnorum (Schrank) Kühner, 1935")</f>
        <v>Galerina hypnorum (Schrank) Kühner, 1935</v>
      </c>
      <c r="F4548" s="5" t="s">
        <v>6665</v>
      </c>
      <c r="V4548" s="7" t="str">
        <f>HYPERLINK("#Liste_rouge!A"&amp;_xlfn.XMATCH("LC",Liste_rouge!A:A,2,1),"LC")</f>
        <v>LC</v>
      </c>
      <c r="AH4548" s="4" t="str">
        <f>HYPERLINK("#Statut_biogéographique!A"&amp;_xlfn.XMATCH("P",Statut_biogéographique!A:A,2,1),"P")</f>
        <v>P</v>
      </c>
      <c r="AP4548" s="4" t="s">
        <v>376</v>
      </c>
      <c r="AR4548" s="4" t="s">
        <v>377</v>
      </c>
    </row>
    <row r="4549" spans="1:44">
      <c r="A4549" s="4" t="s">
        <v>5</v>
      </c>
      <c r="B4549" s="4">
        <v>35989</v>
      </c>
      <c r="C4549" s="4">
        <v>2252</v>
      </c>
      <c r="D4549" s="5" t="s">
        <v>6666</v>
      </c>
      <c r="E4549" s="6" t="str">
        <f>HYPERLINK("https://inpn.mnhn.fr/espece/cd_nom/35989","Galerina jaapii A.H.Sm. &amp; Singer, 1955")</f>
        <v>Galerina jaapii A.H.Sm. &amp; Singer, 1955</v>
      </c>
      <c r="V4549" s="7" t="str">
        <f>HYPERLINK("#Liste_rouge!A"&amp;_xlfn.XMATCH("VU",Liste_rouge!A:A,2,1),"VU")</f>
        <v>VU</v>
      </c>
      <c r="W4549" s="4" t="str">
        <f>HYPERLINK("#Critères_liste_rouge!A$1","D2")</f>
        <v>D2</v>
      </c>
      <c r="Z4549" s="4" t="s">
        <v>443</v>
      </c>
      <c r="AA4549" s="4" t="s">
        <v>444</v>
      </c>
      <c r="AH4549" s="4" t="str">
        <f>HYPERLINK("#Statut_biogéographique!A"&amp;_xlfn.XMATCH("P",Statut_biogéographique!A:A,2,1),"P")</f>
        <v>P</v>
      </c>
      <c r="AP4549" s="4" t="s">
        <v>376</v>
      </c>
      <c r="AR4549" s="4" t="s">
        <v>377</v>
      </c>
    </row>
    <row r="4550" spans="1:44">
      <c r="A4550" s="4" t="s">
        <v>5</v>
      </c>
      <c r="B4550" s="4">
        <v>35996</v>
      </c>
      <c r="C4550" s="4">
        <v>5488</v>
      </c>
      <c r="D4550" s="5" t="s">
        <v>6667</v>
      </c>
      <c r="E4550" s="6" t="str">
        <f>HYPERLINK("https://inpn.mnhn.fr/espece/cd_nom/35996","Galerina graminea (Velen.) Kühner, 1935")</f>
        <v>Galerina graminea (Velen.) Kühner, 1935</v>
      </c>
      <c r="F4550" s="5" t="s">
        <v>6668</v>
      </c>
      <c r="V4550" s="7" t="str">
        <f>HYPERLINK("#Liste_rouge!A"&amp;_xlfn.XMATCH("LC",Liste_rouge!A:A,2,1),"LC")</f>
        <v>LC</v>
      </c>
      <c r="AH4550" s="4" t="str">
        <f>HYPERLINK("#Statut_biogéographique!A"&amp;_xlfn.XMATCH("P",Statut_biogéographique!A:A,2,1),"P")</f>
        <v>P</v>
      </c>
      <c r="AP4550" s="4" t="s">
        <v>376</v>
      </c>
      <c r="AR4550" s="4" t="s">
        <v>377</v>
      </c>
    </row>
    <row r="4551" spans="1:44" ht="30">
      <c r="A4551" s="4" t="s">
        <v>5</v>
      </c>
      <c r="B4551" s="4">
        <v>36003</v>
      </c>
      <c r="C4551" s="4">
        <v>581</v>
      </c>
      <c r="D4551" s="5" t="s">
        <v>6669</v>
      </c>
      <c r="E4551" s="6" t="str">
        <f>HYPERLINK("https://inpn.mnhn.fr/espece/cd_nom/36003","Galerina marginata (Batsch) Kühner, 1935")</f>
        <v>Galerina marginata (Batsch) Kühner, 1935</v>
      </c>
      <c r="F4551" s="5" t="s">
        <v>6670</v>
      </c>
      <c r="V4551" s="7" t="str">
        <f>HYPERLINK("#Liste_rouge!A"&amp;_xlfn.XMATCH("LC",Liste_rouge!A:A,2,1),"LC")</f>
        <v>LC</v>
      </c>
      <c r="AH4551" s="4" t="str">
        <f>HYPERLINK("#Statut_biogéographique!A"&amp;_xlfn.XMATCH("P",Statut_biogéographique!A:A,2,1),"P")</f>
        <v>P</v>
      </c>
      <c r="AP4551" s="4" t="s">
        <v>376</v>
      </c>
      <c r="AR4551" s="4" t="s">
        <v>377</v>
      </c>
    </row>
    <row r="4552" spans="1:44">
      <c r="A4552" s="4" t="s">
        <v>5</v>
      </c>
      <c r="B4552" s="4">
        <v>36008</v>
      </c>
      <c r="C4552" s="4">
        <v>1682</v>
      </c>
      <c r="D4552" s="5" t="s">
        <v>6671</v>
      </c>
      <c r="E4552" s="6" t="str">
        <f>HYPERLINK("https://inpn.mnhn.fr/espece/cd_nom/36008","Galerina mniophila (Lasch) Kühner, 1935")</f>
        <v>Galerina mniophila (Lasch) Kühner, 1935</v>
      </c>
      <c r="V4552" s="7" t="str">
        <f>HYPERLINK("#Liste_rouge!A"&amp;_xlfn.XMATCH("DD",Liste_rouge!A:A,2,1),"DD")</f>
        <v>DD</v>
      </c>
      <c r="AH4552" s="4" t="str">
        <f>HYPERLINK("#Statut_biogéographique!A"&amp;_xlfn.XMATCH("P",Statut_biogéographique!A:A,2,1),"P")</f>
        <v>P</v>
      </c>
      <c r="AP4552" s="4" t="s">
        <v>376</v>
      </c>
      <c r="AR4552" s="4" t="s">
        <v>377</v>
      </c>
    </row>
    <row r="4553" spans="1:44">
      <c r="A4553" s="4" t="s">
        <v>5</v>
      </c>
      <c r="B4553" s="4">
        <v>36018</v>
      </c>
      <c r="C4553" s="4">
        <v>5632</v>
      </c>
      <c r="D4553" s="5" t="s">
        <v>6672</v>
      </c>
      <c r="E4553" s="6" t="str">
        <f>HYPERLINK("https://inpn.mnhn.fr/espece/cd_nom/36018","Galerina norvegica A.H.Sm., 1964")</f>
        <v>Galerina norvegica A.H.Sm., 1964</v>
      </c>
      <c r="V4553" s="7" t="str">
        <f>HYPERLINK("#Liste_rouge!A"&amp;_xlfn.XMATCH("DD",Liste_rouge!A:A,2,1),"DD")</f>
        <v>DD</v>
      </c>
      <c r="Z4553" s="4" t="s">
        <v>443</v>
      </c>
      <c r="AA4553" s="4" t="s">
        <v>444</v>
      </c>
      <c r="AH4553" s="4" t="str">
        <f>HYPERLINK("#Statut_biogéographique!A"&amp;_xlfn.XMATCH("P",Statut_biogéographique!A:A,2,1),"P")</f>
        <v>P</v>
      </c>
      <c r="AP4553" s="4" t="s">
        <v>376</v>
      </c>
      <c r="AR4553" s="4" t="s">
        <v>377</v>
      </c>
    </row>
    <row r="4554" spans="1:44">
      <c r="A4554" s="4" t="s">
        <v>5</v>
      </c>
      <c r="B4554" s="4">
        <v>36023</v>
      </c>
      <c r="C4554" s="4">
        <v>1109</v>
      </c>
      <c r="D4554" s="5" t="s">
        <v>6673</v>
      </c>
      <c r="E4554" s="6" t="str">
        <f>HYPERLINK("https://inpn.mnhn.fr/espece/cd_nom/36023","Galerina paludosa (Fr.) Kühner, 1935")</f>
        <v>Galerina paludosa (Fr.) Kühner, 1935</v>
      </c>
      <c r="F4554" s="5" t="s">
        <v>6674</v>
      </c>
      <c r="V4554" s="7" t="str">
        <f>HYPERLINK("#Liste_rouge!A"&amp;_xlfn.XMATCH("VU",Liste_rouge!A:A,2,1),"VU")</f>
        <v>VU</v>
      </c>
      <c r="W4554" s="4" t="str">
        <f>HYPERLINK("#Critères_liste_rouge!A$1","A2c")</f>
        <v>A2c</v>
      </c>
      <c r="Z4554" s="4" t="s">
        <v>447</v>
      </c>
      <c r="AA4554" s="4" t="s">
        <v>448</v>
      </c>
      <c r="AH4554" s="4" t="str">
        <f>HYPERLINK("#Statut_biogéographique!A"&amp;_xlfn.XMATCH("P",Statut_biogéographique!A:A,2,1),"P")</f>
        <v>P</v>
      </c>
      <c r="AP4554" s="4" t="s">
        <v>376</v>
      </c>
      <c r="AR4554" s="4" t="s">
        <v>377</v>
      </c>
    </row>
    <row r="4555" spans="1:44">
      <c r="A4555" s="4" t="s">
        <v>5</v>
      </c>
      <c r="B4555" s="4">
        <v>36029</v>
      </c>
      <c r="C4555" s="4">
        <v>6817</v>
      </c>
      <c r="D4555" s="5" t="s">
        <v>6675</v>
      </c>
      <c r="E4555" s="6" t="str">
        <f>HYPERLINK("https://inpn.mnhn.fr/espece/cd_nom/36029","Galerina perplexa A.H.Sm., 1964")</f>
        <v>Galerina perplexa A.H.Sm., 1964</v>
      </c>
      <c r="AH4555" s="4" t="str">
        <f>HYPERLINK("#Statut_biogéographique!A"&amp;_xlfn.XMATCH("P",Statut_biogéographique!A:A,2,1),"P")</f>
        <v>P</v>
      </c>
      <c r="AP4555" s="4" t="s">
        <v>376</v>
      </c>
      <c r="AR4555" s="4" t="s">
        <v>377</v>
      </c>
    </row>
    <row r="4556" spans="1:44">
      <c r="A4556" s="4" t="s">
        <v>5</v>
      </c>
      <c r="B4556" s="4">
        <v>36034</v>
      </c>
      <c r="C4556" s="4">
        <v>2249</v>
      </c>
      <c r="D4556" s="5" t="s">
        <v>6676</v>
      </c>
      <c r="E4556" s="6" t="str">
        <f>HYPERLINK("https://inpn.mnhn.fr/espece/cd_nom/36034","Galerina pseudobadipes Joss., 1955")</f>
        <v>Galerina pseudobadipes Joss., 1955</v>
      </c>
      <c r="F4556" s="5" t="s">
        <v>6677</v>
      </c>
      <c r="V4556" s="7" t="str">
        <f>HYPERLINK("#Liste_rouge!A"&amp;_xlfn.XMATCH("NT",Liste_rouge!A:A,2,1),"NT")</f>
        <v>NT</v>
      </c>
      <c r="W4556" s="4" t="str">
        <f>HYPERLINK("#Critères_liste_rouge!A$1","pr. B2abiii")</f>
        <v>pr. B2abiii</v>
      </c>
      <c r="AH4556" s="4" t="str">
        <f>HYPERLINK("#Statut_biogéographique!A"&amp;_xlfn.XMATCH("P",Statut_biogéographique!A:A,2,1),"P")</f>
        <v>P</v>
      </c>
      <c r="AP4556" s="4" t="s">
        <v>376</v>
      </c>
      <c r="AR4556" s="4" t="s">
        <v>377</v>
      </c>
    </row>
    <row r="4557" spans="1:44">
      <c r="A4557" s="4" t="s">
        <v>5</v>
      </c>
      <c r="B4557" s="4">
        <v>36037</v>
      </c>
      <c r="C4557" s="4">
        <v>5570</v>
      </c>
      <c r="D4557" s="5" t="s">
        <v>6678</v>
      </c>
      <c r="E4557" s="6" t="str">
        <f>HYPERLINK("https://inpn.mnhn.fr/espece/cd_nom/36037","Galerina pseudocamerina Singer, 1951")</f>
        <v>Galerina pseudocamerina Singer, 1951</v>
      </c>
      <c r="V4557" s="7" t="str">
        <f>HYPERLINK("#Liste_rouge!A"&amp;_xlfn.XMATCH("DD",Liste_rouge!A:A,2,1),"DD")</f>
        <v>DD</v>
      </c>
      <c r="AH4557" s="4" t="str">
        <f>HYPERLINK("#Statut_biogéographique!A"&amp;_xlfn.XMATCH("P",Statut_biogéographique!A:A,2,1),"P")</f>
        <v>P</v>
      </c>
      <c r="AP4557" s="4" t="s">
        <v>376</v>
      </c>
      <c r="AR4557" s="4" t="s">
        <v>377</v>
      </c>
    </row>
    <row r="4558" spans="1:44" ht="30">
      <c r="A4558" s="4" t="s">
        <v>5</v>
      </c>
      <c r="B4558" s="4">
        <v>36042</v>
      </c>
      <c r="C4558" s="4">
        <v>869</v>
      </c>
      <c r="D4558" s="5" t="s">
        <v>6679</v>
      </c>
      <c r="E4558" s="6" t="str">
        <f>HYPERLINK("https://inpn.mnhn.fr/espece/cd_nom/36042","Galerina pumila (Pers.) Singer, 1961")</f>
        <v>Galerina pumila (Pers.) Singer, 1961</v>
      </c>
      <c r="F4558" s="5" t="s">
        <v>6680</v>
      </c>
      <c r="V4558" s="7" t="str">
        <f>HYPERLINK("#Liste_rouge!A"&amp;_xlfn.XMATCH("LC",Liste_rouge!A:A,2,1),"LC")</f>
        <v>LC</v>
      </c>
      <c r="AH4558" s="4" t="str">
        <f>HYPERLINK("#Statut_biogéographique!A"&amp;_xlfn.XMATCH("P",Statut_biogéographique!A:A,2,1),"P")</f>
        <v>P</v>
      </c>
      <c r="AP4558" s="4" t="s">
        <v>376</v>
      </c>
      <c r="AR4558" s="4" t="s">
        <v>377</v>
      </c>
    </row>
    <row r="4559" spans="1:44">
      <c r="A4559" s="4" t="s">
        <v>5</v>
      </c>
      <c r="B4559" s="4">
        <v>36048</v>
      </c>
      <c r="C4559" s="4">
        <v>2254</v>
      </c>
      <c r="D4559" s="5" t="s">
        <v>6681</v>
      </c>
      <c r="E4559" s="6" t="str">
        <f>HYPERLINK("https://inpn.mnhn.fr/espece/cd_nom/36048","Galerina sahleri (Quél.) Kühner, 1948")</f>
        <v>Galerina sahleri (Quél.) Kühner, 1948</v>
      </c>
      <c r="V4559" s="7" t="str">
        <f>HYPERLINK("#Liste_rouge!A"&amp;_xlfn.XMATCH("NT",Liste_rouge!A:A,2,1),"NT")</f>
        <v>NT</v>
      </c>
      <c r="W4559" s="4" t="str">
        <f>HYPERLINK("#Critères_liste_rouge!A$1","pr. A2c")</f>
        <v>pr. A2c</v>
      </c>
      <c r="AH4559" s="4" t="str">
        <f>HYPERLINK("#Statut_biogéographique!A"&amp;_xlfn.XMATCH("P",Statut_biogéographique!A:A,2,1),"P")</f>
        <v>P</v>
      </c>
      <c r="AP4559" s="4" t="s">
        <v>376</v>
      </c>
      <c r="AR4559" s="4" t="s">
        <v>377</v>
      </c>
    </row>
    <row r="4560" spans="1:44">
      <c r="A4560" s="4" t="s">
        <v>5</v>
      </c>
      <c r="B4560" s="4">
        <v>36050</v>
      </c>
      <c r="C4560" s="4">
        <v>5306</v>
      </c>
      <c r="D4560" s="5" t="s">
        <v>6682</v>
      </c>
      <c r="E4560" s="6" t="str">
        <f>HYPERLINK("https://inpn.mnhn.fr/espece/cd_nom/36050","Galerina salicicola P.D.Orton, 1960")</f>
        <v>Galerina salicicola P.D.Orton, 1960</v>
      </c>
      <c r="V4560" s="7" t="str">
        <f>HYPERLINK("#Liste_rouge!A"&amp;_xlfn.XMATCH("DD",Liste_rouge!A:A,2,1),"DD")</f>
        <v>DD</v>
      </c>
      <c r="AH4560" s="4" t="str">
        <f>HYPERLINK("#Statut_biogéographique!A"&amp;_xlfn.XMATCH("P",Statut_biogéographique!A:A,2,1),"P")</f>
        <v>P</v>
      </c>
      <c r="AP4560" s="4" t="s">
        <v>376</v>
      </c>
      <c r="AR4560" s="4" t="s">
        <v>377</v>
      </c>
    </row>
    <row r="4561" spans="1:44">
      <c r="A4561" s="4" t="s">
        <v>5</v>
      </c>
      <c r="B4561" s="4">
        <v>36055</v>
      </c>
      <c r="C4561" s="4">
        <v>3162</v>
      </c>
      <c r="D4561" s="5" t="s">
        <v>6683</v>
      </c>
      <c r="E4561" s="6" t="str">
        <f>HYPERLINK("https://inpn.mnhn.fr/espece/cd_nom/36055","Galerina similis Kühner, 1973")</f>
        <v>Galerina similis Kühner, 1973</v>
      </c>
      <c r="V4561" s="7" t="str">
        <f>HYPERLINK("#Liste_rouge!A"&amp;_xlfn.XMATCH("DD",Liste_rouge!A:A,2,1),"DD")</f>
        <v>DD</v>
      </c>
      <c r="AH4561" s="4" t="str">
        <f>HYPERLINK("#Statut_biogéographique!A"&amp;_xlfn.XMATCH("P",Statut_biogéographique!A:A,2,1),"P")</f>
        <v>P</v>
      </c>
      <c r="AP4561" s="4" t="s">
        <v>376</v>
      </c>
      <c r="AR4561" s="4" t="s">
        <v>377</v>
      </c>
    </row>
    <row r="4562" spans="1:44" ht="30">
      <c r="A4562" s="4" t="s">
        <v>5</v>
      </c>
      <c r="B4562" s="4">
        <v>36056</v>
      </c>
      <c r="C4562" s="4">
        <v>3493</v>
      </c>
      <c r="D4562" s="5" t="s">
        <v>6684</v>
      </c>
      <c r="E4562" s="6" t="str">
        <f>HYPERLINK("https://inpn.mnhn.fr/espece/cd_nom/36056","Galerina sphagnicola (G.F.Atk.) A.H.Sm. &amp; Singer, 1964")</f>
        <v>Galerina sphagnicola (G.F.Atk.) A.H.Sm. &amp; Singer, 1964</v>
      </c>
      <c r="F4562" s="5" t="s">
        <v>6685</v>
      </c>
      <c r="V4562" s="7" t="str">
        <f>HYPERLINK("#Liste_rouge!A"&amp;_xlfn.XMATCH("VU",Liste_rouge!A:A,2,1),"VU")</f>
        <v>VU</v>
      </c>
      <c r="W4562" s="4" t="str">
        <f>HYPERLINK("#Critères_liste_rouge!A$1","A2c")</f>
        <v>A2c</v>
      </c>
      <c r="Z4562" s="4" t="s">
        <v>447</v>
      </c>
      <c r="AA4562" s="4" t="s">
        <v>448</v>
      </c>
      <c r="AH4562" s="4" t="str">
        <f>HYPERLINK("#Statut_biogéographique!A"&amp;_xlfn.XMATCH("P",Statut_biogéographique!A:A,2,1),"P")</f>
        <v>P</v>
      </c>
      <c r="AP4562" s="4" t="s">
        <v>376</v>
      </c>
      <c r="AR4562" s="4" t="s">
        <v>377</v>
      </c>
    </row>
    <row r="4563" spans="1:44">
      <c r="A4563" s="4" t="s">
        <v>5</v>
      </c>
      <c r="B4563" s="4">
        <v>36057</v>
      </c>
      <c r="C4563" s="4">
        <v>2255</v>
      </c>
      <c r="D4563" s="5" t="s">
        <v>6686</v>
      </c>
      <c r="E4563" s="6" t="str">
        <f>HYPERLINK("https://inpn.mnhn.fr/espece/cd_nom/36057","Galerina sphagnorum (Pers.) Kühner, 1935")</f>
        <v>Galerina sphagnorum (Pers.) Kühner, 1935</v>
      </c>
      <c r="F4563" s="5" t="s">
        <v>6687</v>
      </c>
      <c r="V4563" s="7" t="str">
        <f>HYPERLINK("#Liste_rouge!A"&amp;_xlfn.XMATCH("DD",Liste_rouge!A:A,2,1),"DD")</f>
        <v>DD</v>
      </c>
      <c r="AH4563" s="4" t="str">
        <f>HYPERLINK("#Statut_biogéographique!A"&amp;_xlfn.XMATCH("P",Statut_biogéographique!A:A,2,1),"P")</f>
        <v>P</v>
      </c>
      <c r="AP4563" s="4" t="s">
        <v>376</v>
      </c>
      <c r="AR4563" s="4" t="s">
        <v>377</v>
      </c>
    </row>
    <row r="4564" spans="1:44" ht="30">
      <c r="A4564" s="4" t="s">
        <v>5</v>
      </c>
      <c r="B4564" s="4">
        <v>36063</v>
      </c>
      <c r="C4564" s="4">
        <v>2528</v>
      </c>
      <c r="D4564" s="5" t="s">
        <v>6688</v>
      </c>
      <c r="E4564" s="6" t="str">
        <f>HYPERLINK("https://inpn.mnhn.fr/espece/cd_nom/36063","Galerina stylifera (G.F.Atk.) A.H.Sm. &amp; Singer, 1958")</f>
        <v>Galerina stylifera (G.F.Atk.) A.H.Sm. &amp; Singer, 1958</v>
      </c>
      <c r="F4564" s="5" t="s">
        <v>6689</v>
      </c>
      <c r="V4564" s="7" t="str">
        <f>HYPERLINK("#Liste_rouge!A"&amp;_xlfn.XMATCH("LC",Liste_rouge!A:A,2,1),"LC")</f>
        <v>LC</v>
      </c>
      <c r="AH4564" s="4" t="str">
        <f>HYPERLINK("#Statut_biogéographique!A"&amp;_xlfn.XMATCH("P",Statut_biogéographique!A:A,2,1),"P")</f>
        <v>P</v>
      </c>
      <c r="AP4564" s="4" t="s">
        <v>376</v>
      </c>
      <c r="AR4564" s="4" t="s">
        <v>377</v>
      </c>
    </row>
    <row r="4565" spans="1:44" ht="30">
      <c r="A4565" s="4" t="s">
        <v>5</v>
      </c>
      <c r="B4565" s="4">
        <v>36064</v>
      </c>
      <c r="C4565" s="4">
        <v>3462</v>
      </c>
      <c r="D4565" s="5" t="s">
        <v>6690</v>
      </c>
      <c r="E4565" s="6" t="str">
        <f>HYPERLINK("https://inpn.mnhn.fr/espece/cd_nom/36064","Galerina sideroides (Bull.) Kühner, 1935")</f>
        <v>Galerina sideroides (Bull.) Kühner, 1935</v>
      </c>
      <c r="F4565" s="5" t="s">
        <v>6691</v>
      </c>
      <c r="V4565" s="7" t="str">
        <f>HYPERLINK("#Liste_rouge!A"&amp;_xlfn.XMATCH("LC",Liste_rouge!A:A,2,1),"LC")</f>
        <v>LC</v>
      </c>
      <c r="AH4565" s="4" t="str">
        <f>HYPERLINK("#Statut_biogéographique!A"&amp;_xlfn.XMATCH("P",Statut_biogéographique!A:A,2,1),"P")</f>
        <v>P</v>
      </c>
      <c r="AP4565" s="4" t="s">
        <v>376</v>
      </c>
      <c r="AR4565" s="4" t="s">
        <v>377</v>
      </c>
    </row>
    <row r="4566" spans="1:44">
      <c r="A4566" s="4" t="s">
        <v>5</v>
      </c>
      <c r="B4566" s="4">
        <v>36069</v>
      </c>
      <c r="C4566" s="4">
        <v>6614</v>
      </c>
      <c r="D4566" s="5" t="s">
        <v>6692</v>
      </c>
      <c r="E4566" s="6" t="str">
        <f>HYPERLINK("https://inpn.mnhn.fr/espece/cd_nom/36069","Galerina subclavata Kühner, 1973")</f>
        <v>Galerina subclavata Kühner, 1973</v>
      </c>
      <c r="F4566" s="5" t="s">
        <v>6693</v>
      </c>
      <c r="AH4566" s="4" t="str">
        <f>HYPERLINK("#Statut_biogéographique!A"&amp;_xlfn.XMATCH("P",Statut_biogéographique!A:A,2,1),"P")</f>
        <v>P</v>
      </c>
      <c r="AP4566" s="4" t="s">
        <v>376</v>
      </c>
      <c r="AR4566" s="4" t="s">
        <v>377</v>
      </c>
    </row>
    <row r="4567" spans="1:44">
      <c r="A4567" s="4" t="s">
        <v>5</v>
      </c>
      <c r="B4567" s="4">
        <v>36074</v>
      </c>
      <c r="C4567" s="4">
        <v>6546</v>
      </c>
      <c r="D4567" s="5" t="s">
        <v>6694</v>
      </c>
      <c r="E4567" s="6" t="str">
        <f>HYPERLINK("https://inpn.mnhn.fr/espece/cd_nom/36074","Galerina terrestris V.L.Wells &amp; Kempton, 1969")</f>
        <v>Galerina terrestris V.L.Wells &amp; Kempton, 1969</v>
      </c>
      <c r="F4567" s="5" t="s">
        <v>6695</v>
      </c>
      <c r="AH4567" s="4" t="str">
        <f>HYPERLINK("#Statut_biogéographique!A"&amp;_xlfn.XMATCH("P",Statut_biogéographique!A:A,2,1),"P")</f>
        <v>P</v>
      </c>
      <c r="AP4567" s="4" t="s">
        <v>376</v>
      </c>
      <c r="AR4567" s="4" t="s">
        <v>377</v>
      </c>
    </row>
    <row r="4568" spans="1:44">
      <c r="A4568" s="4" t="s">
        <v>5</v>
      </c>
      <c r="B4568" s="4">
        <v>36079</v>
      </c>
      <c r="C4568" s="4">
        <v>2258</v>
      </c>
      <c r="D4568" s="5" t="s">
        <v>6696</v>
      </c>
      <c r="E4568" s="6" t="str">
        <f>HYPERLINK("https://inpn.mnhn.fr/espece/cd_nom/36079","Galerina triscopa (Fr.) Kühner, 1935")</f>
        <v>Galerina triscopa (Fr.) Kühner, 1935</v>
      </c>
      <c r="V4568" s="7" t="str">
        <f>HYPERLINK("#Liste_rouge!A"&amp;_xlfn.XMATCH("DD",Liste_rouge!A:A,2,1),"DD")</f>
        <v>DD</v>
      </c>
      <c r="AH4568" s="4" t="str">
        <f>HYPERLINK("#Statut_biogéographique!A"&amp;_xlfn.XMATCH("P",Statut_biogéographique!A:A,2,1),"P")</f>
        <v>P</v>
      </c>
      <c r="AP4568" s="4" t="s">
        <v>376</v>
      </c>
      <c r="AR4568" s="4" t="s">
        <v>377</v>
      </c>
    </row>
    <row r="4569" spans="1:44">
      <c r="A4569" s="4" t="s">
        <v>5</v>
      </c>
      <c r="B4569" s="4">
        <v>36084</v>
      </c>
      <c r="C4569" s="4">
        <v>2665</v>
      </c>
      <c r="D4569" s="5" t="s">
        <v>6697</v>
      </c>
      <c r="E4569" s="6" t="str">
        <f>HYPERLINK("https://inpn.mnhn.fr/espece/cd_nom/36084","Galerina uncialis (Britzelm.) Kühner, 1935")</f>
        <v>Galerina uncialis (Britzelm.) Kühner, 1935</v>
      </c>
      <c r="V4569" s="7" t="str">
        <f>HYPERLINK("#Liste_rouge!A"&amp;_xlfn.XMATCH("LC",Liste_rouge!A:A,2,1),"LC")</f>
        <v>LC</v>
      </c>
      <c r="AH4569" s="4" t="str">
        <f>HYPERLINK("#Statut_biogéographique!A"&amp;_xlfn.XMATCH("P",Statut_biogéographique!A:A,2,1),"P")</f>
        <v>P</v>
      </c>
      <c r="AP4569" s="4" t="s">
        <v>376</v>
      </c>
      <c r="AR4569" s="4" t="s">
        <v>377</v>
      </c>
    </row>
    <row r="4570" spans="1:44">
      <c r="A4570" s="4" t="s">
        <v>5</v>
      </c>
      <c r="B4570" s="4">
        <v>36087</v>
      </c>
      <c r="C4570" s="4">
        <v>2489</v>
      </c>
      <c r="D4570" s="5" t="s">
        <v>6698</v>
      </c>
      <c r="E4570" s="6" t="str">
        <f>HYPERLINK("https://inpn.mnhn.fr/espece/cd_nom/36087","Galerina unicolor (Vahl) Singer, 1936")</f>
        <v>Galerina unicolor (Vahl) Singer, 1936</v>
      </c>
      <c r="F4570" s="5" t="s">
        <v>6699</v>
      </c>
      <c r="V4570" s="7" t="str">
        <f>HYPERLINK("#Liste_rouge!A"&amp;_xlfn.XMATCH("VU",Liste_rouge!A:A,2,1),"VU")</f>
        <v>VU</v>
      </c>
      <c r="W4570" s="4" t="str">
        <f>HYPERLINK("#Critères_liste_rouge!A$1","A2c")</f>
        <v>A2c</v>
      </c>
      <c r="Z4570" s="4" t="s">
        <v>443</v>
      </c>
      <c r="AA4570" s="4" t="s">
        <v>444</v>
      </c>
      <c r="AH4570" s="4" t="str">
        <f>HYPERLINK("#Statut_biogéographique!A"&amp;_xlfn.XMATCH("P",Statut_biogéographique!A:A,2,1),"P")</f>
        <v>P</v>
      </c>
      <c r="AP4570" s="4" t="s">
        <v>376</v>
      </c>
      <c r="AR4570" s="4" t="s">
        <v>377</v>
      </c>
    </row>
    <row r="4571" spans="1:44">
      <c r="A4571" s="4" t="s">
        <v>5</v>
      </c>
      <c r="B4571" s="4">
        <v>36092</v>
      </c>
      <c r="C4571" s="4">
        <v>5160</v>
      </c>
      <c r="D4571" s="5" t="s">
        <v>6700</v>
      </c>
      <c r="E4571" s="6" t="str">
        <f>HYPERLINK("https://inpn.mnhn.fr/espece/cd_nom/36092","Galerina vittiformis (Fr.) Singer, 1950")</f>
        <v>Galerina vittiformis (Fr.) Singer, 1950</v>
      </c>
      <c r="V4571" s="7" t="str">
        <f>HYPERLINK("#Liste_rouge!A"&amp;_xlfn.XMATCH("DD",Liste_rouge!A:A,2,1),"DD")</f>
        <v>DD</v>
      </c>
      <c r="AH4571" s="4" t="str">
        <f>HYPERLINK("#Statut_biogéographique!A"&amp;_xlfn.XMATCH("P",Statut_biogéographique!A:A,2,1),"P")</f>
        <v>P</v>
      </c>
      <c r="AP4571" s="4" t="s">
        <v>376</v>
      </c>
      <c r="AR4571" s="4" t="s">
        <v>377</v>
      </c>
    </row>
    <row r="4572" spans="1:44">
      <c r="A4572" s="4" t="s">
        <v>5</v>
      </c>
      <c r="B4572" s="4">
        <v>36096</v>
      </c>
      <c r="C4572" s="4">
        <v>2253</v>
      </c>
      <c r="D4572" s="5" t="s">
        <v>6701</v>
      </c>
      <c r="E4572" s="6" t="str">
        <f>HYPERLINK("https://inpn.mnhn.fr/espece/cd_nom/36096","Galerina rubiginosa (Pers.) Kühner, 1935")</f>
        <v>Galerina rubiginosa (Pers.) Kühner, 1935</v>
      </c>
      <c r="V4572" s="7" t="str">
        <f>HYPERLINK("#Liste_rouge!A"&amp;_xlfn.XMATCH("DD",Liste_rouge!A:A,2,1),"DD")</f>
        <v>DD</v>
      </c>
      <c r="AH4572" s="4" t="str">
        <f>HYPERLINK("#Statut_biogéographique!A"&amp;_xlfn.XMATCH("P",Statut_biogéographique!A:A,2,1),"P")</f>
        <v>P</v>
      </c>
      <c r="AP4572" s="4" t="s">
        <v>376</v>
      </c>
      <c r="AR4572" s="4" t="s">
        <v>377</v>
      </c>
    </row>
    <row r="4573" spans="1:44">
      <c r="A4573" s="4" t="s">
        <v>5</v>
      </c>
      <c r="B4573" s="4">
        <v>36102</v>
      </c>
      <c r="C4573" s="4">
        <v>1000</v>
      </c>
      <c r="D4573" s="5" t="s">
        <v>6702</v>
      </c>
      <c r="E4573" s="6" t="str">
        <f>HYPERLINK("https://inpn.mnhn.fr/espece/cd_nom/36102","Hebeloma anthracophilum Maire, 1910")</f>
        <v>Hebeloma anthracophilum Maire, 1910</v>
      </c>
      <c r="F4573" s="5" t="s">
        <v>6703</v>
      </c>
      <c r="V4573" s="7" t="str">
        <f>HYPERLINK("#Liste_rouge!A"&amp;_xlfn.XMATCH("LC",Liste_rouge!A:A,2,1),"LC")</f>
        <v>LC</v>
      </c>
      <c r="AH4573" s="4" t="str">
        <f>HYPERLINK("#Statut_biogéographique!A"&amp;_xlfn.XMATCH("P",Statut_biogéographique!A:A,2,1),"P")</f>
        <v>P</v>
      </c>
      <c r="AP4573" s="4" t="s">
        <v>376</v>
      </c>
      <c r="AR4573" s="4" t="s">
        <v>377</v>
      </c>
    </row>
    <row r="4574" spans="1:44">
      <c r="A4574" s="4" t="s">
        <v>5</v>
      </c>
      <c r="B4574" s="4">
        <v>36109</v>
      </c>
      <c r="C4574" s="4">
        <v>2440</v>
      </c>
      <c r="D4574" s="5" t="s">
        <v>6704</v>
      </c>
      <c r="E4574" s="6" t="str">
        <f>HYPERLINK("https://inpn.mnhn.fr/espece/cd_nom/36109","Hebeloma circinans (Quél.) Sacc., 1891")</f>
        <v>Hebeloma circinans (Quél.) Sacc., 1891</v>
      </c>
      <c r="F4574" s="5" t="s">
        <v>6705</v>
      </c>
      <c r="V4574" s="7" t="str">
        <f>HYPERLINK("#Liste_rouge!A"&amp;_xlfn.XMATCH("RE",Liste_rouge!A:A,2,1),"RE")</f>
        <v>RE</v>
      </c>
      <c r="AH4574" s="4" t="str">
        <f>HYPERLINK("#Statut_biogéographique!A"&amp;_xlfn.XMATCH("P",Statut_biogéographique!A:A,2,1),"P")</f>
        <v>P</v>
      </c>
      <c r="AP4574" s="4" t="s">
        <v>376</v>
      </c>
      <c r="AR4574" s="4" t="s">
        <v>377</v>
      </c>
    </row>
    <row r="4575" spans="1:44">
      <c r="A4575" s="4" t="s">
        <v>5</v>
      </c>
      <c r="B4575" s="4">
        <v>36114</v>
      </c>
      <c r="C4575" s="4">
        <v>5307</v>
      </c>
      <c r="D4575" s="5" t="s">
        <v>6706</v>
      </c>
      <c r="E4575" s="6" t="str">
        <f>HYPERLINK("https://inpn.mnhn.fr/espece/cd_nom/36114","Hebeloma collariatum Bruchet, 1970")</f>
        <v>Hebeloma collariatum Bruchet, 1970</v>
      </c>
      <c r="F4575" s="5" t="s">
        <v>6707</v>
      </c>
      <c r="V4575" s="7" t="str">
        <f>HYPERLINK("#Liste_rouge!A"&amp;_xlfn.XMATCH("DD",Liste_rouge!A:A,2,1),"DD")</f>
        <v>DD</v>
      </c>
      <c r="AH4575" s="4" t="str">
        <f>HYPERLINK("#Statut_biogéographique!A"&amp;_xlfn.XMATCH("P",Statut_biogéographique!A:A,2,1),"P")</f>
        <v>P</v>
      </c>
      <c r="AP4575" s="4" t="s">
        <v>376</v>
      </c>
      <c r="AR4575" s="4" t="s">
        <v>377</v>
      </c>
    </row>
    <row r="4576" spans="1:44" ht="30">
      <c r="A4576" s="4" t="s">
        <v>5</v>
      </c>
      <c r="B4576" s="4">
        <v>36115</v>
      </c>
      <c r="C4576" s="4">
        <v>171</v>
      </c>
      <c r="D4576" s="5" t="s">
        <v>6708</v>
      </c>
      <c r="E4576" s="6" t="str">
        <f>HYPERLINK("https://inpn.mnhn.fr/espece/cd_nom/36115","Hebeloma crustuliniforme (Bull.) Quél., 1872")</f>
        <v>Hebeloma crustuliniforme (Bull.) Quél., 1872</v>
      </c>
      <c r="F4576" s="5" t="s">
        <v>6709</v>
      </c>
      <c r="V4576" s="7" t="str">
        <f>HYPERLINK("#Liste_rouge!A"&amp;_xlfn.XMATCH("LC",Liste_rouge!A:A,2,1),"LC")</f>
        <v>LC</v>
      </c>
      <c r="AH4576" s="4" t="str">
        <f>HYPERLINK("#Statut_biogéographique!A"&amp;_xlfn.XMATCH("P",Statut_biogéographique!A:A,2,1),"P")</f>
        <v>P</v>
      </c>
      <c r="AP4576" s="4" t="s">
        <v>376</v>
      </c>
      <c r="AR4576" s="4" t="s">
        <v>377</v>
      </c>
    </row>
    <row r="4577" spans="1:44">
      <c r="A4577" s="4" t="s">
        <v>5</v>
      </c>
      <c r="B4577" s="4">
        <v>36128</v>
      </c>
      <c r="C4577" s="4">
        <v>6869</v>
      </c>
      <c r="D4577" s="5" t="s">
        <v>6710</v>
      </c>
      <c r="E4577" s="6" t="str">
        <f>HYPERLINK("https://inpn.mnhn.fr/espece/cd_nom/36128","Hebeloma eburneum Malençon, 1970")</f>
        <v>Hebeloma eburneum Malençon, 1970</v>
      </c>
      <c r="F4577" s="5" t="s">
        <v>6711</v>
      </c>
      <c r="AH4577" s="4" t="str">
        <f>HYPERLINK("#Statut_biogéographique!A"&amp;_xlfn.XMATCH("P",Statut_biogéographique!A:A,2,1),"P")</f>
        <v>P</v>
      </c>
      <c r="AP4577" s="4" t="s">
        <v>376</v>
      </c>
      <c r="AR4577" s="4" t="s">
        <v>377</v>
      </c>
    </row>
    <row r="4578" spans="1:44">
      <c r="A4578" s="4" t="s">
        <v>5</v>
      </c>
      <c r="B4578" s="4">
        <v>36132</v>
      </c>
      <c r="C4578" s="4">
        <v>3196</v>
      </c>
      <c r="D4578" s="5" t="s">
        <v>6712</v>
      </c>
      <c r="E4578" s="6" t="str">
        <f>HYPERLINK("https://inpn.mnhn.fr/espece/cd_nom/36132","Hebeloma fastibile (Pers.) P.Kumm., 1871")</f>
        <v>Hebeloma fastibile (Pers.) P.Kumm., 1871</v>
      </c>
      <c r="F4578" s="5" t="s">
        <v>6713</v>
      </c>
      <c r="V4578" s="7" t="str">
        <f>HYPERLINK("#Liste_rouge!A"&amp;_xlfn.XMATCH("EN",Liste_rouge!A:A,2,1),"EN")</f>
        <v>EN</v>
      </c>
      <c r="W4578" s="4" t="str">
        <f>HYPERLINK("#Critères_liste_rouge!A$1","B2abiii")</f>
        <v>B2abiii</v>
      </c>
      <c r="Z4578" s="4" t="s">
        <v>443</v>
      </c>
      <c r="AA4578" s="4" t="s">
        <v>444</v>
      </c>
      <c r="AH4578" s="4" t="str">
        <f>HYPERLINK("#Statut_biogéographique!A"&amp;_xlfn.XMATCH("P",Statut_biogéographique!A:A,2,1),"P")</f>
        <v>P</v>
      </c>
      <c r="AP4578" s="4" t="s">
        <v>376</v>
      </c>
      <c r="AR4578" s="4" t="s">
        <v>377</v>
      </c>
    </row>
    <row r="4579" spans="1:44">
      <c r="A4579" s="4" t="s">
        <v>5</v>
      </c>
      <c r="B4579" s="4">
        <v>36139</v>
      </c>
      <c r="C4579" s="4">
        <v>5489</v>
      </c>
      <c r="D4579" s="5" t="s">
        <v>6714</v>
      </c>
      <c r="E4579" s="6" t="str">
        <f>HYPERLINK("https://inpn.mnhn.fr/espece/cd_nom/36139","Hebeloma fragilipes Romagn., 1965")</f>
        <v>Hebeloma fragilipes Romagn., 1965</v>
      </c>
      <c r="F4579" s="5" t="s">
        <v>6715</v>
      </c>
      <c r="V4579" s="7" t="str">
        <f>HYPERLINK("#Liste_rouge!A"&amp;_xlfn.XMATCH("DD",Liste_rouge!A:A,2,1),"DD")</f>
        <v>DD</v>
      </c>
      <c r="AH4579" s="4" t="str">
        <f>HYPERLINK("#Statut_biogéographique!A"&amp;_xlfn.XMATCH("P",Statut_biogéographique!A:A,2,1),"P")</f>
        <v>P</v>
      </c>
      <c r="AP4579" s="4" t="s">
        <v>376</v>
      </c>
      <c r="AR4579" s="4" t="s">
        <v>377</v>
      </c>
    </row>
    <row r="4580" spans="1:44">
      <c r="A4580" s="4" t="s">
        <v>5</v>
      </c>
      <c r="B4580" s="4">
        <v>36140</v>
      </c>
      <c r="C4580" s="4">
        <v>6439</v>
      </c>
      <c r="D4580" s="5" t="s">
        <v>6716</v>
      </c>
      <c r="E4580" s="6" t="str">
        <f>HYPERLINK("https://inpn.mnhn.fr/espece/cd_nom/36140","Hebeloma fusipes Bres., 1892")</f>
        <v>Hebeloma fusipes Bres., 1892</v>
      </c>
      <c r="AH4580" s="4" t="str">
        <f>HYPERLINK("#Statut_biogéographique!A"&amp;_xlfn.XMATCH("P",Statut_biogéographique!A:A,2,1),"P")</f>
        <v>P</v>
      </c>
      <c r="AP4580" s="4" t="s">
        <v>376</v>
      </c>
      <c r="AR4580" s="4" t="s">
        <v>377</v>
      </c>
    </row>
    <row r="4581" spans="1:44" ht="30">
      <c r="A4581" s="4" t="s">
        <v>5</v>
      </c>
      <c r="B4581" s="4">
        <v>36141</v>
      </c>
      <c r="C4581" s="4">
        <v>3317</v>
      </c>
      <c r="D4581" s="5" t="s">
        <v>6717</v>
      </c>
      <c r="E4581" s="6" t="str">
        <f>HYPERLINK("https://inpn.mnhn.fr/espece/cd_nom/36141","Hebeloma fusisporum Gröger &amp; Zschiesch., 1981")</f>
        <v>Hebeloma fusisporum Gröger &amp; Zschiesch., 1981</v>
      </c>
      <c r="F4581" s="5" t="s">
        <v>6718</v>
      </c>
      <c r="V4581" s="7" t="str">
        <f>HYPERLINK("#Liste_rouge!A"&amp;_xlfn.XMATCH("VU",Liste_rouge!A:A,2,1),"VU")</f>
        <v>VU</v>
      </c>
      <c r="W4581" s="4" t="str">
        <f>HYPERLINK("#Critères_liste_rouge!A$1","B2abiii")</f>
        <v>B2abiii</v>
      </c>
      <c r="Z4581" s="4" t="s">
        <v>443</v>
      </c>
      <c r="AA4581" s="4" t="s">
        <v>444</v>
      </c>
      <c r="AH4581" s="4" t="str">
        <f>HYPERLINK("#Statut_biogéographique!A"&amp;_xlfn.XMATCH("P",Statut_biogéographique!A:A,2,1),"P")</f>
        <v>P</v>
      </c>
      <c r="AP4581" s="4" t="s">
        <v>376</v>
      </c>
      <c r="AR4581" s="4" t="s">
        <v>377</v>
      </c>
    </row>
    <row r="4582" spans="1:44" ht="30">
      <c r="A4582" s="4" t="s">
        <v>5</v>
      </c>
      <c r="B4582" s="4">
        <v>36142</v>
      </c>
      <c r="C4582" s="4">
        <v>4056</v>
      </c>
      <c r="D4582" s="5" t="s">
        <v>6719</v>
      </c>
      <c r="E4582" s="6" t="str">
        <f>HYPERLINK("https://inpn.mnhn.fr/espece/cd_nom/36142","Hebeloma gigaspermum Gröger &amp; Zschiesch., 1981")</f>
        <v>Hebeloma gigaspermum Gröger &amp; Zschiesch., 1981</v>
      </c>
      <c r="F4582" s="5" t="s">
        <v>6720</v>
      </c>
      <c r="V4582" s="7" t="str">
        <f>HYPERLINK("#Liste_rouge!A"&amp;_xlfn.XMATCH("LC",Liste_rouge!A:A,2,1),"LC")</f>
        <v>LC</v>
      </c>
      <c r="AH4582" s="4" t="str">
        <f>HYPERLINK("#Statut_biogéographique!A"&amp;_xlfn.XMATCH("P",Statut_biogéographique!A:A,2,1),"P")</f>
        <v>P</v>
      </c>
      <c r="AP4582" s="4" t="s">
        <v>376</v>
      </c>
      <c r="AR4582" s="4" t="s">
        <v>377</v>
      </c>
    </row>
    <row r="4583" spans="1:44">
      <c r="A4583" s="4" t="s">
        <v>5</v>
      </c>
      <c r="B4583" s="4">
        <v>36143</v>
      </c>
      <c r="C4583" s="4">
        <v>2238</v>
      </c>
      <c r="D4583" s="5" t="s">
        <v>6721</v>
      </c>
      <c r="E4583" s="6" t="str">
        <f>HYPERLINK("https://inpn.mnhn.fr/espece/cd_nom/36143","Hebeloma helodes J.Favre, 1948")</f>
        <v>Hebeloma helodes J.Favre, 1948</v>
      </c>
      <c r="V4583" s="7" t="str">
        <f>HYPERLINK("#Liste_rouge!A"&amp;_xlfn.XMATCH("EN",Liste_rouge!A:A,2,1),"EN")</f>
        <v>EN</v>
      </c>
      <c r="W4583" s="4" t="str">
        <f>HYPERLINK("#Critères_liste_rouge!A$1","B2abiii")</f>
        <v>B2abiii</v>
      </c>
      <c r="Z4583" s="4" t="s">
        <v>695</v>
      </c>
      <c r="AA4583" s="4" t="s">
        <v>696</v>
      </c>
      <c r="AH4583" s="4" t="str">
        <f>HYPERLINK("#Statut_biogéographique!A"&amp;_xlfn.XMATCH("P",Statut_biogéographique!A:A,2,1),"P")</f>
        <v>P</v>
      </c>
      <c r="AP4583" s="4" t="s">
        <v>376</v>
      </c>
      <c r="AR4583" s="4" t="s">
        <v>377</v>
      </c>
    </row>
    <row r="4584" spans="1:44">
      <c r="A4584" s="4" t="s">
        <v>5</v>
      </c>
      <c r="B4584" s="4">
        <v>36146</v>
      </c>
      <c r="C4584" s="4">
        <v>973</v>
      </c>
      <c r="D4584" s="5" t="s">
        <v>6722</v>
      </c>
      <c r="E4584" s="6" t="str">
        <f>HYPERLINK("https://inpn.mnhn.fr/espece/cd_nom/36146","Hebeloma hiemale Bres., 1892")</f>
        <v>Hebeloma hiemale Bres., 1892</v>
      </c>
      <c r="F4584" s="5" t="s">
        <v>6723</v>
      </c>
      <c r="V4584" s="7" t="str">
        <f>HYPERLINK("#Liste_rouge!A"&amp;_xlfn.XMATCH("VU",Liste_rouge!A:A,2,1),"VU")</f>
        <v>VU</v>
      </c>
      <c r="W4584" s="4" t="str">
        <f>HYPERLINK("#Critères_liste_rouge!A$1","D2")</f>
        <v>D2</v>
      </c>
      <c r="Z4584" s="4" t="s">
        <v>443</v>
      </c>
      <c r="AA4584" s="4" t="s">
        <v>444</v>
      </c>
      <c r="AH4584" s="4" t="str">
        <f>HYPERLINK("#Statut_biogéographique!A"&amp;_xlfn.XMATCH("P",Statut_biogéographique!A:A,2,1),"P")</f>
        <v>P</v>
      </c>
      <c r="AP4584" s="4" t="s">
        <v>376</v>
      </c>
      <c r="AR4584" s="4" t="s">
        <v>377</v>
      </c>
    </row>
    <row r="4585" spans="1:44">
      <c r="A4585" s="4" t="s">
        <v>5</v>
      </c>
      <c r="B4585" s="4">
        <v>36147</v>
      </c>
      <c r="C4585" s="4">
        <v>6513</v>
      </c>
      <c r="D4585" s="5" t="s">
        <v>6724</v>
      </c>
      <c r="E4585" s="6" t="str">
        <f>HYPERLINK("https://inpn.mnhn.fr/espece/cd_nom/36147","Hebeloma ingratum Bruchet, 1970")</f>
        <v>Hebeloma ingratum Bruchet, 1970</v>
      </c>
      <c r="AH4585" s="4" t="str">
        <f>HYPERLINK("#Statut_biogéographique!A"&amp;_xlfn.XMATCH("P",Statut_biogéographique!A:A,2,1),"P")</f>
        <v>P</v>
      </c>
      <c r="AP4585" s="4" t="s">
        <v>376</v>
      </c>
      <c r="AR4585" s="4" t="s">
        <v>377</v>
      </c>
    </row>
    <row r="4586" spans="1:44">
      <c r="A4586" s="4" t="s">
        <v>5</v>
      </c>
      <c r="B4586" s="4">
        <v>36150</v>
      </c>
      <c r="C4586" s="4">
        <v>2014</v>
      </c>
      <c r="D4586" s="5" t="s">
        <v>6725</v>
      </c>
      <c r="E4586" s="6" t="str">
        <f>HYPERLINK("https://inpn.mnhn.fr/espece/cd_nom/36150","Hebeloma leucosarx P.D.Orton, 1960")</f>
        <v>Hebeloma leucosarx P.D.Orton, 1960</v>
      </c>
      <c r="F4586" s="5" t="s">
        <v>6726</v>
      </c>
      <c r="V4586" s="7" t="str">
        <f>HYPERLINK("#Liste_rouge!A"&amp;_xlfn.XMATCH("LC",Liste_rouge!A:A,2,1),"LC")</f>
        <v>LC</v>
      </c>
      <c r="Z4586" s="4" t="s">
        <v>447</v>
      </c>
      <c r="AA4586" s="4" t="s">
        <v>448</v>
      </c>
      <c r="AH4586" s="4" t="str">
        <f>HYPERLINK("#Statut_biogéographique!A"&amp;_xlfn.XMATCH("P",Statut_biogéographique!A:A,2,1),"P")</f>
        <v>P</v>
      </c>
      <c r="AP4586" s="4" t="s">
        <v>376</v>
      </c>
      <c r="AR4586" s="4" t="s">
        <v>377</v>
      </c>
    </row>
    <row r="4587" spans="1:44">
      <c r="A4587" s="4" t="s">
        <v>5</v>
      </c>
      <c r="B4587" s="4">
        <v>36153</v>
      </c>
      <c r="C4587" s="4">
        <v>5162</v>
      </c>
      <c r="D4587" s="5" t="s">
        <v>6727</v>
      </c>
      <c r="E4587" s="6" t="str">
        <f>HYPERLINK("https://inpn.mnhn.fr/espece/cd_nom/36153","Hebeloma lutense Romagn., 1965")</f>
        <v>Hebeloma lutense Romagn., 1965</v>
      </c>
      <c r="F4587" s="5" t="s">
        <v>6728</v>
      </c>
      <c r="V4587" s="7" t="str">
        <f>HYPERLINK("#Liste_rouge!A"&amp;_xlfn.XMATCH("EN",Liste_rouge!A:A,2,1),"EN")</f>
        <v>EN</v>
      </c>
      <c r="W4587" s="4" t="str">
        <f>HYPERLINK("#Critères_liste_rouge!A$1","B2abiii")</f>
        <v>B2abiii</v>
      </c>
      <c r="Z4587" s="4" t="s">
        <v>447</v>
      </c>
      <c r="AA4587" s="4" t="s">
        <v>448</v>
      </c>
      <c r="AH4587" s="4" t="str">
        <f>HYPERLINK("#Statut_biogéographique!A"&amp;_xlfn.XMATCH("P",Statut_biogéographique!A:A,2,1),"P")</f>
        <v>P</v>
      </c>
      <c r="AP4587" s="4" t="s">
        <v>376</v>
      </c>
      <c r="AR4587" s="4" t="s">
        <v>377</v>
      </c>
    </row>
    <row r="4588" spans="1:44" ht="30">
      <c r="A4588" s="4" t="s">
        <v>5</v>
      </c>
      <c r="B4588" s="4">
        <v>36159</v>
      </c>
      <c r="C4588" s="4">
        <v>486</v>
      </c>
      <c r="D4588" s="5" t="s">
        <v>6729</v>
      </c>
      <c r="E4588" s="6" t="str">
        <f>HYPERLINK("https://inpn.mnhn.fr/espece/cd_nom/36159","Hebeloma mesophaeum (Pers.) Quél., 1872")</f>
        <v>Hebeloma mesophaeum (Pers.) Quél., 1872</v>
      </c>
      <c r="F4588" s="5" t="s">
        <v>6730</v>
      </c>
      <c r="V4588" s="7" t="str">
        <f>HYPERLINK("#Liste_rouge!A"&amp;_xlfn.XMATCH("LC",Liste_rouge!A:A,2,1),"LC")</f>
        <v>LC</v>
      </c>
      <c r="AH4588" s="4" t="str">
        <f>HYPERLINK("#Statut_biogéographique!A"&amp;_xlfn.XMATCH("P",Statut_biogéographique!A:A,2,1),"P")</f>
        <v>P</v>
      </c>
      <c r="AP4588" s="4" t="s">
        <v>376</v>
      </c>
      <c r="AR4588" s="4" t="s">
        <v>377</v>
      </c>
    </row>
    <row r="4589" spans="1:44" ht="30">
      <c r="A4589" s="4" t="s">
        <v>5</v>
      </c>
      <c r="B4589" s="4">
        <v>36166</v>
      </c>
      <c r="C4589" s="4">
        <v>3318</v>
      </c>
      <c r="D4589" s="5" t="s">
        <v>6731</v>
      </c>
      <c r="E4589" s="6" t="str">
        <f>HYPERLINK("https://inpn.mnhn.fr/espece/cd_nom/36166","Hebeloma pallidoluctuosum Gröger &amp; Zschiesch., 1984")</f>
        <v>Hebeloma pallidoluctuosum Gröger &amp; Zschiesch., 1984</v>
      </c>
      <c r="F4589" s="5" t="s">
        <v>6732</v>
      </c>
      <c r="V4589" s="7" t="str">
        <f>HYPERLINK("#Liste_rouge!A"&amp;_xlfn.XMATCH("LC",Liste_rouge!A:A,2,1),"LC")</f>
        <v>LC</v>
      </c>
      <c r="AH4589" s="4" t="str">
        <f>HYPERLINK("#Statut_biogéographique!A"&amp;_xlfn.XMATCH("P",Statut_biogéographique!A:A,2,1),"P")</f>
        <v>P</v>
      </c>
      <c r="AP4589" s="4" t="s">
        <v>376</v>
      </c>
      <c r="AR4589" s="4" t="s">
        <v>377</v>
      </c>
    </row>
    <row r="4590" spans="1:44">
      <c r="A4590" s="4" t="s">
        <v>5</v>
      </c>
      <c r="B4590" s="4">
        <v>36171</v>
      </c>
      <c r="C4590" s="4">
        <v>840</v>
      </c>
      <c r="D4590" s="5" t="s">
        <v>6733</v>
      </c>
      <c r="E4590" s="6" t="str">
        <f>HYPERLINK("https://inpn.mnhn.fr/espece/cd_nom/36171","Hebeloma populinum Romagn., 1965")</f>
        <v>Hebeloma populinum Romagn., 1965</v>
      </c>
      <c r="F4590" s="5" t="s">
        <v>6734</v>
      </c>
      <c r="V4590" s="7" t="str">
        <f>HYPERLINK("#Liste_rouge!A"&amp;_xlfn.XMATCH("LC",Liste_rouge!A:A,2,1),"LC")</f>
        <v>LC</v>
      </c>
      <c r="AH4590" s="4" t="str">
        <f>HYPERLINK("#Statut_biogéographique!A"&amp;_xlfn.XMATCH("P",Statut_biogéographique!A:A,2,1),"P")</f>
        <v>P</v>
      </c>
      <c r="AP4590" s="4" t="s">
        <v>376</v>
      </c>
      <c r="AR4590" s="4" t="s">
        <v>377</v>
      </c>
    </row>
    <row r="4591" spans="1:44">
      <c r="A4591" s="4" t="s">
        <v>5</v>
      </c>
      <c r="B4591" s="4">
        <v>36179</v>
      </c>
      <c r="C4591" s="4">
        <v>3923</v>
      </c>
      <c r="D4591" s="5" t="s">
        <v>6735</v>
      </c>
      <c r="E4591" s="6" t="str">
        <f>HYPERLINK("https://inpn.mnhn.fr/espece/cd_nom/36179","Hebeloma pumilum J.E.Lange, 1940")</f>
        <v>Hebeloma pumilum J.E.Lange, 1940</v>
      </c>
      <c r="F4591" s="5" t="s">
        <v>6736</v>
      </c>
      <c r="V4591" s="7" t="str">
        <f>HYPERLINK("#Liste_rouge!A"&amp;_xlfn.XMATCH("EN",Liste_rouge!A:A,2,1),"EN")</f>
        <v>EN</v>
      </c>
      <c r="W4591" s="4" t="str">
        <f>HYPERLINK("#Critères_liste_rouge!A$1","B2abiii")</f>
        <v>B2abiii</v>
      </c>
      <c r="Z4591" s="4" t="s">
        <v>447</v>
      </c>
      <c r="AA4591" s="4" t="s">
        <v>448</v>
      </c>
      <c r="AH4591" s="4" t="str">
        <f>HYPERLINK("#Statut_biogéographique!A"&amp;_xlfn.XMATCH("P",Statut_biogéographique!A:A,2,1),"P")</f>
        <v>P</v>
      </c>
      <c r="AP4591" s="4" t="s">
        <v>376</v>
      </c>
      <c r="AR4591" s="4" t="s">
        <v>377</v>
      </c>
    </row>
    <row r="4592" spans="1:44">
      <c r="A4592" s="4" t="s">
        <v>5</v>
      </c>
      <c r="B4592" s="4">
        <v>36180</v>
      </c>
      <c r="C4592" s="4">
        <v>957</v>
      </c>
      <c r="D4592" s="5" t="s">
        <v>6737</v>
      </c>
      <c r="E4592" s="6" t="str">
        <f>HYPERLINK("https://inpn.mnhn.fr/espece/cd_nom/36180","Hebeloma pusillum J.E.Lange, 1940")</f>
        <v>Hebeloma pusillum J.E.Lange, 1940</v>
      </c>
      <c r="F4592" s="5" t="s">
        <v>6738</v>
      </c>
      <c r="V4592" s="7" t="str">
        <f>HYPERLINK("#Liste_rouge!A"&amp;_xlfn.XMATCH("VU",Liste_rouge!A:A,2,1),"VU")</f>
        <v>VU</v>
      </c>
      <c r="W4592" s="4" t="str">
        <f>HYPERLINK("#Critères_liste_rouge!A$1","A2c")</f>
        <v>A2c</v>
      </c>
      <c r="Z4592" s="4" t="s">
        <v>447</v>
      </c>
      <c r="AA4592" s="4" t="s">
        <v>448</v>
      </c>
      <c r="AH4592" s="4" t="str">
        <f>HYPERLINK("#Statut_biogéographique!A"&amp;_xlfn.XMATCH("P",Statut_biogéographique!A:A,2,1),"P")</f>
        <v>P</v>
      </c>
      <c r="AP4592" s="4" t="s">
        <v>376</v>
      </c>
      <c r="AR4592" s="4" t="s">
        <v>377</v>
      </c>
    </row>
    <row r="4593" spans="1:44">
      <c r="A4593" s="4" t="s">
        <v>5</v>
      </c>
      <c r="B4593" s="4">
        <v>36181</v>
      </c>
      <c r="C4593" s="4">
        <v>5753</v>
      </c>
      <c r="D4593" s="5" t="s">
        <v>6739</v>
      </c>
      <c r="E4593" s="6" t="str">
        <f>HYPERLINK("https://inpn.mnhn.fr/espece/cd_nom/36181","Hebeloma quercetorum Quadr., 1993")</f>
        <v>Hebeloma quercetorum Quadr., 1993</v>
      </c>
      <c r="AH4593" s="4" t="str">
        <f>HYPERLINK("#Statut_biogéographique!A"&amp;_xlfn.XMATCH("P",Statut_biogéographique!A:A,2,1),"P")</f>
        <v>P</v>
      </c>
      <c r="AP4593" s="4" t="s">
        <v>376</v>
      </c>
      <c r="AR4593" s="4" t="s">
        <v>377</v>
      </c>
    </row>
    <row r="4594" spans="1:44">
      <c r="A4594" s="4" t="s">
        <v>5</v>
      </c>
      <c r="B4594" s="4">
        <v>36182</v>
      </c>
      <c r="C4594" s="4">
        <v>240</v>
      </c>
      <c r="D4594" s="5" t="s">
        <v>6740</v>
      </c>
      <c r="E4594" s="6" t="str">
        <f>HYPERLINK("https://inpn.mnhn.fr/espece/cd_nom/36182","Hebeloma radicosum (Bull.) Ricken, 1911")</f>
        <v>Hebeloma radicosum (Bull.) Ricken, 1911</v>
      </c>
      <c r="F4594" s="5" t="s">
        <v>6741</v>
      </c>
      <c r="V4594" s="7" t="str">
        <f>HYPERLINK("#Liste_rouge!A"&amp;_xlfn.XMATCH("LC",Liste_rouge!A:A,2,1),"LC")</f>
        <v>LC</v>
      </c>
      <c r="AH4594" s="4" t="str">
        <f>HYPERLINK("#Statut_biogéographique!A"&amp;_xlfn.XMATCH("P",Statut_biogéographique!A:A,2,1),"P")</f>
        <v>P</v>
      </c>
      <c r="AP4594" s="4" t="s">
        <v>376</v>
      </c>
      <c r="AR4594" s="4" t="s">
        <v>377</v>
      </c>
    </row>
    <row r="4595" spans="1:44">
      <c r="A4595" s="4" t="s">
        <v>5</v>
      </c>
      <c r="B4595" s="4">
        <v>36188</v>
      </c>
      <c r="C4595" s="4">
        <v>572</v>
      </c>
      <c r="D4595" s="5" t="s">
        <v>6742</v>
      </c>
      <c r="E4595" s="6" t="str">
        <f>HYPERLINK("https://inpn.mnhn.fr/espece/cd_nom/36188","Hebeloma sacchariolens Quél., 1880")</f>
        <v>Hebeloma sacchariolens Quél., 1880</v>
      </c>
      <c r="F4595" s="5" t="s">
        <v>6743</v>
      </c>
      <c r="V4595" s="7" t="str">
        <f>HYPERLINK("#Liste_rouge!A"&amp;_xlfn.XMATCH("LC",Liste_rouge!A:A,2,1),"LC")</f>
        <v>LC</v>
      </c>
      <c r="AH4595" s="4" t="str">
        <f>HYPERLINK("#Statut_biogéographique!A"&amp;_xlfn.XMATCH("P",Statut_biogéographique!A:A,2,1),"P")</f>
        <v>P</v>
      </c>
      <c r="AP4595" s="4" t="s">
        <v>376</v>
      </c>
      <c r="AR4595" s="4" t="s">
        <v>377</v>
      </c>
    </row>
    <row r="4596" spans="1:44" ht="30">
      <c r="A4596" s="4" t="s">
        <v>5</v>
      </c>
      <c r="B4596" s="4">
        <v>36191</v>
      </c>
      <c r="C4596" s="4">
        <v>321</v>
      </c>
      <c r="D4596" s="5" t="s">
        <v>6744</v>
      </c>
      <c r="E4596" s="6" t="str">
        <f>HYPERLINK("https://inpn.mnhn.fr/espece/cd_nom/36191","Hebeloma sinapizans (Paulet) Gillet, 1876")</f>
        <v>Hebeloma sinapizans (Paulet) Gillet, 1876</v>
      </c>
      <c r="F4596" s="5" t="s">
        <v>6745</v>
      </c>
      <c r="V4596" s="7" t="str">
        <f>HYPERLINK("#Liste_rouge!A"&amp;_xlfn.XMATCH("LC",Liste_rouge!A:A,2,1),"LC")</f>
        <v>LC</v>
      </c>
      <c r="AH4596" s="4" t="str">
        <f>HYPERLINK("#Statut_biogéographique!A"&amp;_xlfn.XMATCH("P",Statut_biogéographique!A:A,2,1),"P")</f>
        <v>P</v>
      </c>
      <c r="AP4596" s="4" t="s">
        <v>376</v>
      </c>
      <c r="AR4596" s="4" t="s">
        <v>377</v>
      </c>
    </row>
    <row r="4597" spans="1:44">
      <c r="A4597" s="4" t="s">
        <v>5</v>
      </c>
      <c r="B4597" s="4">
        <v>36199</v>
      </c>
      <c r="C4597" s="4">
        <v>1031</v>
      </c>
      <c r="D4597" s="5" t="s">
        <v>6746</v>
      </c>
      <c r="E4597" s="6" t="str">
        <f>HYPERLINK("https://inpn.mnhn.fr/espece/cd_nom/36199","Hebeloma strophosum (Fr.) Sacc., 1887")</f>
        <v>Hebeloma strophosum (Fr.) Sacc., 1887</v>
      </c>
      <c r="V4597" s="7" t="str">
        <f>HYPERLINK("#Liste_rouge!A"&amp;_xlfn.XMATCH("EN",Liste_rouge!A:A,2,1),"EN")</f>
        <v>EN</v>
      </c>
      <c r="W4597" s="4" t="str">
        <f>HYPERLINK("#Critères_liste_rouge!A$1","B2abiii")</f>
        <v>B2abiii</v>
      </c>
      <c r="Z4597" s="4" t="s">
        <v>447</v>
      </c>
      <c r="AA4597" s="4" t="s">
        <v>448</v>
      </c>
      <c r="AH4597" s="4" t="str">
        <f>HYPERLINK("#Statut_biogéographique!A"&amp;_xlfn.XMATCH("P",Statut_biogéographique!A:A,2,1),"P")</f>
        <v>P</v>
      </c>
      <c r="AP4597" s="4" t="s">
        <v>376</v>
      </c>
      <c r="AR4597" s="4" t="s">
        <v>377</v>
      </c>
    </row>
    <row r="4598" spans="1:44">
      <c r="A4598" s="4" t="s">
        <v>5</v>
      </c>
      <c r="B4598" s="4">
        <v>36203</v>
      </c>
      <c r="C4598" s="4">
        <v>6616</v>
      </c>
      <c r="D4598" s="5">
        <v>36203</v>
      </c>
      <c r="E4598" s="6" t="str">
        <f>HYPERLINK("https://inpn.mnhn.fr/espece/cd_nom/36203","Hebeloma syrjense (P.Karst.) P.Karst., 1879")</f>
        <v>Hebeloma syrjense (P.Karst.) P.Karst., 1879</v>
      </c>
      <c r="V4598" s="7" t="str">
        <f>HYPERLINK("#Liste_rouge!A"&amp;_xlfn.XMATCH("EN",Liste_rouge!A:A,2,1),"EN")</f>
        <v>EN</v>
      </c>
      <c r="W4598" s="4" t="str">
        <f>HYPERLINK("#Critères_liste_rouge!A$1","B2abiii")</f>
        <v>B2abiii</v>
      </c>
      <c r="Z4598" s="4" t="s">
        <v>443</v>
      </c>
      <c r="AA4598" s="4" t="s">
        <v>444</v>
      </c>
      <c r="AH4598" s="4" t="str">
        <f>HYPERLINK("#Statut_biogéographique!A"&amp;_xlfn.XMATCH("P",Statut_biogéographique!A:A,2,1),"P")</f>
        <v>P</v>
      </c>
      <c r="AP4598" s="4" t="s">
        <v>376</v>
      </c>
      <c r="AR4598" s="4" t="s">
        <v>377</v>
      </c>
    </row>
    <row r="4599" spans="1:44">
      <c r="A4599" s="4" t="s">
        <v>5</v>
      </c>
      <c r="B4599" s="4">
        <v>36211</v>
      </c>
      <c r="C4599" s="4">
        <v>6452</v>
      </c>
      <c r="D4599" s="5" t="s">
        <v>6747</v>
      </c>
      <c r="E4599" s="6" t="str">
        <f>HYPERLINK("https://inpn.mnhn.fr/espece/cd_nom/36211","Hebeloma vaccinum Romagn., 1965")</f>
        <v>Hebeloma vaccinum Romagn., 1965</v>
      </c>
      <c r="AH4599" s="4" t="str">
        <f>HYPERLINK("#Statut_biogéographique!A"&amp;_xlfn.XMATCH("P",Statut_biogéographique!A:A,2,1),"P")</f>
        <v>P</v>
      </c>
      <c r="AP4599" s="4" t="s">
        <v>376</v>
      </c>
      <c r="AR4599" s="4" t="s">
        <v>377</v>
      </c>
    </row>
    <row r="4600" spans="1:44">
      <c r="A4600" s="4" t="s">
        <v>5</v>
      </c>
      <c r="B4600" s="4">
        <v>36217</v>
      </c>
      <c r="C4600" s="4">
        <v>3475</v>
      </c>
      <c r="D4600" s="5" t="s">
        <v>6748</v>
      </c>
      <c r="E4600" s="6" t="str">
        <f>HYPERLINK("https://inpn.mnhn.fr/espece/cd_nom/36217","Inocybe acuta Boud., 1917")</f>
        <v>Inocybe acuta Boud., 1917</v>
      </c>
      <c r="F4600" s="5" t="s">
        <v>6749</v>
      </c>
      <c r="V4600" s="7" t="str">
        <f>HYPERLINK("#Liste_rouge!A"&amp;_xlfn.XMATCH("NT",Liste_rouge!A:A,2,1),"NT")</f>
        <v>NT</v>
      </c>
      <c r="W4600" s="4" t="str">
        <f>HYPERLINK("#Critères_liste_rouge!A$1","pr. B2abiii")</f>
        <v>pr. B2abiii</v>
      </c>
      <c r="AH4600" s="4" t="str">
        <f>HYPERLINK("#Statut_biogéographique!A"&amp;_xlfn.XMATCH("P",Statut_biogéographique!A:A,2,1),"P")</f>
        <v>P</v>
      </c>
      <c r="AP4600" s="4" t="s">
        <v>376</v>
      </c>
      <c r="AR4600" s="4" t="s">
        <v>377</v>
      </c>
    </row>
    <row r="4601" spans="1:44">
      <c r="A4601" s="4" t="s">
        <v>5</v>
      </c>
      <c r="B4601" s="4">
        <v>36224</v>
      </c>
      <c r="C4601" s="4">
        <v>5493</v>
      </c>
      <c r="D4601" s="5" t="s">
        <v>6750</v>
      </c>
      <c r="E4601" s="6" t="str">
        <f>HYPERLINK("https://inpn.mnhn.fr/espece/cd_nom/36224","Inocybe agardhii (N.Lund) P.D.Orton, 1960")</f>
        <v>Inocybe agardhii (N.Lund) P.D.Orton, 1960</v>
      </c>
      <c r="V4601" s="7" t="str">
        <f>HYPERLINK("#Liste_rouge!A"&amp;_xlfn.XMATCH("EN",Liste_rouge!A:A,2,1),"EN")</f>
        <v>EN</v>
      </c>
      <c r="W4601" s="4" t="str">
        <f>HYPERLINK("#Critères_liste_rouge!A$1","B2abiii")</f>
        <v>B2abiii</v>
      </c>
      <c r="Z4601" s="4" t="s">
        <v>447</v>
      </c>
      <c r="AA4601" s="4" t="s">
        <v>448</v>
      </c>
      <c r="AH4601" s="4" t="str">
        <f>HYPERLINK("#Statut_biogéographique!A"&amp;_xlfn.XMATCH("P",Statut_biogéographique!A:A,2,1),"P")</f>
        <v>P</v>
      </c>
      <c r="AP4601" s="4" t="s">
        <v>376</v>
      </c>
      <c r="AR4601" s="4" t="s">
        <v>377</v>
      </c>
    </row>
    <row r="4602" spans="1:44">
      <c r="A4602" s="4" t="s">
        <v>5</v>
      </c>
      <c r="B4602" s="4">
        <v>36226</v>
      </c>
      <c r="C4602" s="4">
        <v>2996</v>
      </c>
      <c r="D4602" s="5" t="s">
        <v>6751</v>
      </c>
      <c r="E4602" s="6" t="str">
        <f>HYPERLINK("https://inpn.mnhn.fr/espece/cd_nom/36226","Inocybe albomarginata Velen., 1920")</f>
        <v>Inocybe albomarginata Velen., 1920</v>
      </c>
      <c r="F4602" s="5" t="s">
        <v>6752</v>
      </c>
      <c r="V4602" s="7" t="str">
        <f>HYPERLINK("#Liste_rouge!A"&amp;_xlfn.XMATCH("NT",Liste_rouge!A:A,2,1),"NT")</f>
        <v>NT</v>
      </c>
      <c r="W4602" s="4" t="str">
        <f>HYPERLINK("#Critères_liste_rouge!A$1","pr. B2abiii")</f>
        <v>pr. B2abiii</v>
      </c>
      <c r="AH4602" s="4" t="str">
        <f>HYPERLINK("#Statut_biogéographique!A"&amp;_xlfn.XMATCH("P",Statut_biogéographique!A:A,2,1),"P")</f>
        <v>P</v>
      </c>
      <c r="AP4602" s="4" t="s">
        <v>376</v>
      </c>
      <c r="AR4602" s="4" t="s">
        <v>377</v>
      </c>
    </row>
    <row r="4603" spans="1:44">
      <c r="A4603" s="4" t="s">
        <v>5</v>
      </c>
      <c r="B4603" s="4">
        <v>36228</v>
      </c>
      <c r="C4603" s="4">
        <v>5691</v>
      </c>
      <c r="D4603" s="5" t="s">
        <v>6753</v>
      </c>
      <c r="E4603" s="6" t="str">
        <f>HYPERLINK("https://inpn.mnhn.fr/espece/cd_nom/36228","Inocybe reducta J.E.Lange, 1940")</f>
        <v>Inocybe reducta J.E.Lange, 1940</v>
      </c>
      <c r="V4603" s="7" t="str">
        <f>HYPERLINK("#Liste_rouge!A"&amp;_xlfn.XMATCH("DD",Liste_rouge!A:A,2,1),"DD")</f>
        <v>DD</v>
      </c>
      <c r="AH4603" s="4" t="str">
        <f>HYPERLINK("#Statut_biogéographique!A"&amp;_xlfn.XMATCH("P",Statut_biogéographique!A:A,2,1),"P")</f>
        <v>P</v>
      </c>
      <c r="AP4603" s="4" t="s">
        <v>376</v>
      </c>
      <c r="AR4603" s="4" t="s">
        <v>377</v>
      </c>
    </row>
    <row r="4604" spans="1:44">
      <c r="A4604" s="4" t="s">
        <v>5</v>
      </c>
      <c r="B4604" s="4">
        <v>36230</v>
      </c>
      <c r="C4604" s="4">
        <v>1227</v>
      </c>
      <c r="D4604" s="5" t="s">
        <v>6754</v>
      </c>
      <c r="E4604" s="6" t="str">
        <f>HYPERLINK("https://inpn.mnhn.fr/espece/cd_nom/36230","Inocybe amblyspora Kühner, 1955")</f>
        <v>Inocybe amblyspora Kühner, 1955</v>
      </c>
      <c r="V4604" s="7" t="str">
        <f>HYPERLINK("#Liste_rouge!A"&amp;_xlfn.XMATCH("LC",Liste_rouge!A:A,2,1),"LC")</f>
        <v>LC</v>
      </c>
      <c r="AH4604" s="4" t="str">
        <f>HYPERLINK("#Statut_biogéographique!A"&amp;_xlfn.XMATCH("P",Statut_biogéographique!A:A,2,1),"P")</f>
        <v>P</v>
      </c>
      <c r="AP4604" s="4" t="s">
        <v>376</v>
      </c>
      <c r="AR4604" s="4" t="s">
        <v>377</v>
      </c>
    </row>
    <row r="4605" spans="1:44">
      <c r="A4605" s="4" t="s">
        <v>5</v>
      </c>
      <c r="B4605" s="4">
        <v>36234</v>
      </c>
      <c r="C4605" s="4">
        <v>2796</v>
      </c>
      <c r="D4605" s="5" t="s">
        <v>6755</v>
      </c>
      <c r="E4605" s="6" t="str">
        <f>HYPERLINK("https://inpn.mnhn.fr/espece/cd_nom/36234","Inocybe appendiculata Kühner, 1955")</f>
        <v>Inocybe appendiculata Kühner, 1955</v>
      </c>
      <c r="F4605" s="5" t="s">
        <v>6756</v>
      </c>
      <c r="V4605" s="7" t="str">
        <f>HYPERLINK("#Liste_rouge!A"&amp;_xlfn.XMATCH("NT",Liste_rouge!A:A,2,1),"NT")</f>
        <v>NT</v>
      </c>
      <c r="W4605" s="4" t="str">
        <f>HYPERLINK("#Critères_liste_rouge!A$1","pr. B2abiii")</f>
        <v>pr. B2abiii</v>
      </c>
      <c r="AH4605" s="4" t="str">
        <f>HYPERLINK("#Statut_biogéographique!A"&amp;_xlfn.XMATCH("P",Statut_biogéographique!A:A,2,1),"P")</f>
        <v>P</v>
      </c>
      <c r="AP4605" s="4" t="s">
        <v>376</v>
      </c>
      <c r="AR4605" s="4" t="s">
        <v>377</v>
      </c>
    </row>
    <row r="4606" spans="1:44">
      <c r="A4606" s="4" t="s">
        <v>5</v>
      </c>
      <c r="B4606" s="4">
        <v>36241</v>
      </c>
      <c r="C4606" s="4">
        <v>165</v>
      </c>
      <c r="D4606" s="5" t="s">
        <v>6757</v>
      </c>
      <c r="E4606" s="6" t="str">
        <f>HYPERLINK("https://inpn.mnhn.fr/espece/cd_nom/36241","Inocybe asterospora Quél., 1880")</f>
        <v>Inocybe asterospora Quél., 1880</v>
      </c>
      <c r="F4606" s="5" t="s">
        <v>6758</v>
      </c>
      <c r="V4606" s="7" t="str">
        <f>HYPERLINK("#Liste_rouge!A"&amp;_xlfn.XMATCH("LC",Liste_rouge!A:A,2,1),"LC")</f>
        <v>LC</v>
      </c>
      <c r="AH4606" s="4" t="str">
        <f>HYPERLINK("#Statut_biogéographique!A"&amp;_xlfn.XMATCH("P",Statut_biogéographique!A:A,2,1),"P")</f>
        <v>P</v>
      </c>
      <c r="AP4606" s="4" t="s">
        <v>376</v>
      </c>
      <c r="AR4606" s="4" t="s">
        <v>377</v>
      </c>
    </row>
    <row r="4607" spans="1:44">
      <c r="A4607" s="4" t="s">
        <v>5</v>
      </c>
      <c r="B4607" s="4">
        <v>36243</v>
      </c>
      <c r="C4607" s="4">
        <v>5494</v>
      </c>
      <c r="D4607" s="5" t="s">
        <v>6759</v>
      </c>
      <c r="E4607" s="6" t="str">
        <f>HYPERLINK("https://inpn.mnhn.fr/espece/cd_nom/36243","Inocybe aurantiifolia Beller, 1979")</f>
        <v>Inocybe aurantiifolia Beller, 1979</v>
      </c>
      <c r="F4607" s="5" t="s">
        <v>6760</v>
      </c>
      <c r="V4607" s="7" t="str">
        <f>HYPERLINK("#Liste_rouge!A"&amp;_xlfn.XMATCH("DD",Liste_rouge!A:A,2,1),"DD")</f>
        <v>DD</v>
      </c>
      <c r="AH4607" s="4" t="str">
        <f>HYPERLINK("#Statut_biogéographique!A"&amp;_xlfn.XMATCH("P",Statut_biogéographique!A:A,2,1),"P")</f>
        <v>P</v>
      </c>
      <c r="AP4607" s="4" t="s">
        <v>376</v>
      </c>
      <c r="AR4607" s="4" t="s">
        <v>377</v>
      </c>
    </row>
    <row r="4608" spans="1:44">
      <c r="A4608" s="4" t="s">
        <v>5</v>
      </c>
      <c r="B4608" s="4">
        <v>36245</v>
      </c>
      <c r="C4608" s="4">
        <v>3155</v>
      </c>
      <c r="D4608" s="5" t="s">
        <v>6761</v>
      </c>
      <c r="E4608" s="6" t="str">
        <f>HYPERLINK("https://inpn.mnhn.fr/espece/cd_nom/36245","Inocybe auricoma (Batsch) Sacc., 1887")</f>
        <v>Inocybe auricoma (Batsch) Sacc., 1887</v>
      </c>
      <c r="F4608" s="5" t="s">
        <v>6762</v>
      </c>
      <c r="V4608" s="7" t="str">
        <f>HYPERLINK("#Liste_rouge!A"&amp;_xlfn.XMATCH("EN",Liste_rouge!A:A,2,1),"EN")</f>
        <v>EN</v>
      </c>
      <c r="W4608" s="4" t="str">
        <f>HYPERLINK("#Critères_liste_rouge!A$1","B2abiii")</f>
        <v>B2abiii</v>
      </c>
      <c r="Z4608" s="4" t="s">
        <v>447</v>
      </c>
      <c r="AA4608" s="4" t="s">
        <v>448</v>
      </c>
      <c r="AH4608" s="4" t="str">
        <f>HYPERLINK("#Statut_biogéographique!A"&amp;_xlfn.XMATCH("P",Statut_biogéographique!A:A,2,1),"P")</f>
        <v>P</v>
      </c>
      <c r="AP4608" s="4" t="s">
        <v>376</v>
      </c>
      <c r="AR4608" s="4" t="s">
        <v>377</v>
      </c>
    </row>
    <row r="4609" spans="1:44">
      <c r="A4609" s="4" t="s">
        <v>5</v>
      </c>
      <c r="B4609" s="4">
        <v>36247</v>
      </c>
      <c r="C4609" s="4">
        <v>5422</v>
      </c>
      <c r="D4609" s="5" t="s">
        <v>6763</v>
      </c>
      <c r="E4609" s="6" t="str">
        <f>HYPERLINK("https://inpn.mnhn.fr/espece/cd_nom/36247","Inocybe ayeri Furrer-Ziogas, 1987")</f>
        <v>Inocybe ayeri Furrer-Ziogas, 1987</v>
      </c>
      <c r="F4609" s="5" t="s">
        <v>6764</v>
      </c>
      <c r="V4609" s="7" t="str">
        <f>HYPERLINK("#Liste_rouge!A"&amp;_xlfn.XMATCH("DD",Liste_rouge!A:A,2,1),"DD")</f>
        <v>DD</v>
      </c>
      <c r="AH4609" s="4" t="str">
        <f>HYPERLINK("#Statut_biogéographique!A"&amp;_xlfn.XMATCH("P",Statut_biogéographique!A:A,2,1),"P")</f>
        <v>P</v>
      </c>
      <c r="AP4609" s="4" t="s">
        <v>376</v>
      </c>
      <c r="AR4609" s="4" t="s">
        <v>377</v>
      </c>
    </row>
    <row r="4610" spans="1:44">
      <c r="A4610" s="4" t="s">
        <v>5</v>
      </c>
      <c r="B4610" s="4">
        <v>36250</v>
      </c>
      <c r="C4610" s="4">
        <v>1414</v>
      </c>
      <c r="D4610" s="5" t="s">
        <v>6765</v>
      </c>
      <c r="E4610" s="6" t="str">
        <f>HYPERLINK("https://inpn.mnhn.fr/espece/cd_nom/36250","Inocybe boltonii R.Heim, 1931")</f>
        <v>Inocybe boltonii R.Heim, 1931</v>
      </c>
      <c r="F4610" s="5" t="s">
        <v>6766</v>
      </c>
      <c r="V4610" s="7" t="str">
        <f>HYPERLINK("#Liste_rouge!A"&amp;_xlfn.XMATCH("NT",Liste_rouge!A:A,2,1),"NT")</f>
        <v>NT</v>
      </c>
      <c r="W4610" s="4" t="str">
        <f>HYPERLINK("#Critères_liste_rouge!A$1","pr. B2abiii")</f>
        <v>pr. B2abiii</v>
      </c>
      <c r="AH4610" s="4" t="str">
        <f>HYPERLINK("#Statut_biogéographique!A"&amp;_xlfn.XMATCH("P",Statut_biogéographique!A:A,2,1),"P")</f>
        <v>P</v>
      </c>
      <c r="AP4610" s="4" t="s">
        <v>376</v>
      </c>
      <c r="AR4610" s="4" t="s">
        <v>377</v>
      </c>
    </row>
    <row r="4611" spans="1:44">
      <c r="A4611" s="4" t="s">
        <v>5</v>
      </c>
      <c r="B4611" s="4">
        <v>36253</v>
      </c>
      <c r="D4611" s="5" t="s">
        <v>6767</v>
      </c>
      <c r="E4611" s="6" t="str">
        <f>HYPERLINK("https://inpn.mnhn.fr/espece/cd_nom/36253","Inocybe bongardii (Weinm.) Quél., 1872")</f>
        <v>Inocybe bongardii (Weinm.) Quél., 1872</v>
      </c>
      <c r="V4611" s="7" t="str">
        <f>HYPERLINK("#Liste_rouge!A"&amp;_xlfn.XMATCH("LC",Liste_rouge!A:A,2,1),"LC")</f>
        <v>LC</v>
      </c>
      <c r="AH4611" s="4" t="str">
        <f>HYPERLINK("#Statut_biogéographique!A"&amp;_xlfn.XMATCH("P",Statut_biogéographique!A:A,2,1),"P")</f>
        <v>P</v>
      </c>
      <c r="AP4611" s="4" t="s">
        <v>376</v>
      </c>
      <c r="AR4611" s="4" t="s">
        <v>377</v>
      </c>
    </row>
    <row r="4612" spans="1:44">
      <c r="A4612" s="4" t="s">
        <v>5</v>
      </c>
      <c r="B4612" s="4">
        <v>36256</v>
      </c>
      <c r="C4612" s="4">
        <v>2628</v>
      </c>
      <c r="D4612" s="5" t="s">
        <v>6768</v>
      </c>
      <c r="E4612" s="6" t="str">
        <f>HYPERLINK("https://inpn.mnhn.fr/espece/cd_nom/36256","Inocybe bresadolae Massee, 1904")</f>
        <v>Inocybe bresadolae Massee, 1904</v>
      </c>
      <c r="F4612" s="5" t="s">
        <v>6769</v>
      </c>
      <c r="V4612" s="7" t="str">
        <f>HYPERLINK("#Liste_rouge!A"&amp;_xlfn.XMATCH("EN",Liste_rouge!A:A,2,1),"EN")</f>
        <v>EN</v>
      </c>
      <c r="W4612" s="4" t="str">
        <f>HYPERLINK("#Critères_liste_rouge!A$1","B2abiii")</f>
        <v>B2abiii</v>
      </c>
      <c r="Z4612" s="4" t="s">
        <v>447</v>
      </c>
      <c r="AA4612" s="4" t="s">
        <v>448</v>
      </c>
      <c r="AH4612" s="4" t="str">
        <f>HYPERLINK("#Statut_biogéographique!A"&amp;_xlfn.XMATCH("P",Statut_biogéographique!A:A,2,1),"P")</f>
        <v>P</v>
      </c>
      <c r="AP4612" s="4" t="s">
        <v>376</v>
      </c>
      <c r="AR4612" s="4" t="s">
        <v>377</v>
      </c>
    </row>
    <row r="4613" spans="1:44" ht="30">
      <c r="A4613" s="4" t="s">
        <v>5</v>
      </c>
      <c r="B4613" s="4">
        <v>36260</v>
      </c>
      <c r="C4613" s="4">
        <v>3366</v>
      </c>
      <c r="D4613" s="5" t="s">
        <v>6770</v>
      </c>
      <c r="E4613" s="6" t="str">
        <f>HYPERLINK("https://inpn.mnhn.fr/espece/cd_nom/36260","Inocybe brunneoatra (R.Heim) P.D.Orton, 1960")</f>
        <v>Inocybe brunneoatra (R.Heim) P.D.Orton, 1960</v>
      </c>
      <c r="F4613" s="5" t="s">
        <v>6771</v>
      </c>
      <c r="V4613" s="7" t="str">
        <f>HYPERLINK("#Liste_rouge!A"&amp;_xlfn.XMATCH("NT",Liste_rouge!A:A,2,1),"NT")</f>
        <v>NT</v>
      </c>
      <c r="W4613" s="4" t="str">
        <f>HYPERLINK("#Critères_liste_rouge!A$1","pr. B2abiii")</f>
        <v>pr. B2abiii</v>
      </c>
      <c r="AH4613" s="4" t="str">
        <f>HYPERLINK("#Statut_biogéographique!A"&amp;_xlfn.XMATCH("P",Statut_biogéographique!A:A,2,1),"P")</f>
        <v>P</v>
      </c>
      <c r="AP4613" s="4" t="s">
        <v>376</v>
      </c>
      <c r="AR4613" s="4" t="s">
        <v>377</v>
      </c>
    </row>
    <row r="4614" spans="1:44" ht="30">
      <c r="A4614" s="4" t="s">
        <v>5</v>
      </c>
      <c r="B4614" s="4">
        <v>36262</v>
      </c>
      <c r="C4614" s="4">
        <v>6168</v>
      </c>
      <c r="D4614" s="5" t="s">
        <v>6772</v>
      </c>
      <c r="E4614" s="6" t="str">
        <f>HYPERLINK("https://inpn.mnhn.fr/espece/cd_nom/36262","Inocybe brunneorufa Stangl &amp; J.Veselský, 1971")</f>
        <v>Inocybe brunneorufa Stangl &amp; J.Veselský, 1971</v>
      </c>
      <c r="AH4614" s="4" t="str">
        <f>HYPERLINK("#Statut_biogéographique!A"&amp;_xlfn.XMATCH("P",Statut_biogéographique!A:A,2,1),"P")</f>
        <v>P</v>
      </c>
      <c r="AP4614" s="4" t="s">
        <v>376</v>
      </c>
      <c r="AR4614" s="4" t="s">
        <v>377</v>
      </c>
    </row>
    <row r="4615" spans="1:44">
      <c r="A4615" s="4" t="s">
        <v>5</v>
      </c>
      <c r="B4615" s="4">
        <v>36263</v>
      </c>
      <c r="D4615" s="5" t="s">
        <v>6773</v>
      </c>
      <c r="E4615" s="6" t="str">
        <f>HYPERLINK("https://inpn.mnhn.fr/espece/cd_nom/36263","Inocybe calamistrata (Fr.) Gillet, 1876")</f>
        <v>Inocybe calamistrata (Fr.) Gillet, 1876</v>
      </c>
      <c r="V4615" s="7" t="str">
        <f>HYPERLINK("#Liste_rouge!A"&amp;_xlfn.XMATCH("NT",Liste_rouge!A:A,2,1),"NT")</f>
        <v>NT</v>
      </c>
      <c r="W4615" s="4" t="str">
        <f>HYPERLINK("#Critères_liste_rouge!A$1","pr. A2c")</f>
        <v>pr. A2c</v>
      </c>
      <c r="AH4615" s="4" t="str">
        <f>HYPERLINK("#Statut_biogéographique!A"&amp;_xlfn.XMATCH("P",Statut_biogéographique!A:A,2,1),"P")</f>
        <v>P</v>
      </c>
      <c r="AP4615" s="4" t="s">
        <v>376</v>
      </c>
      <c r="AR4615" s="4" t="s">
        <v>377</v>
      </c>
    </row>
    <row r="4616" spans="1:44">
      <c r="A4616" s="4" t="s">
        <v>5</v>
      </c>
      <c r="B4616" s="4">
        <v>36267</v>
      </c>
      <c r="C4616" s="4">
        <v>2011</v>
      </c>
      <c r="D4616" s="5" t="s">
        <v>6774</v>
      </c>
      <c r="E4616" s="6" t="str">
        <f>HYPERLINK("https://inpn.mnhn.fr/espece/cd_nom/36267","Inocybe calospora Quél., 1881")</f>
        <v>Inocybe calospora Quél., 1881</v>
      </c>
      <c r="F4616" s="5" t="s">
        <v>6775</v>
      </c>
      <c r="V4616" s="7" t="str">
        <f>HYPERLINK("#Liste_rouge!A"&amp;_xlfn.XMATCH("NT",Liste_rouge!A:A,2,1),"NT")</f>
        <v>NT</v>
      </c>
      <c r="W4616" s="4" t="str">
        <f>HYPERLINK("#Critères_liste_rouge!A$1","pr. B2abiii")</f>
        <v>pr. B2abiii</v>
      </c>
      <c r="AH4616" s="4" t="str">
        <f>HYPERLINK("#Statut_biogéographique!A"&amp;_xlfn.XMATCH("P",Statut_biogéographique!A:A,2,1),"P")</f>
        <v>P</v>
      </c>
      <c r="AP4616" s="4" t="s">
        <v>376</v>
      </c>
      <c r="AR4616" s="4" t="s">
        <v>377</v>
      </c>
    </row>
    <row r="4617" spans="1:44">
      <c r="A4617" s="4" t="s">
        <v>5</v>
      </c>
      <c r="B4617" s="4">
        <v>36272</v>
      </c>
      <c r="D4617" s="5" t="s">
        <v>6776</v>
      </c>
      <c r="E4617" s="6" t="str">
        <f>HYPERLINK("https://inpn.mnhn.fr/espece/cd_nom/36272","Inocybe cervicolor (Pers.) Quél., 1886")</f>
        <v>Inocybe cervicolor (Pers.) Quél., 1886</v>
      </c>
      <c r="V4617" s="7" t="str">
        <f>HYPERLINK("#Liste_rouge!A"&amp;_xlfn.XMATCH("LC",Liste_rouge!A:A,2,1),"LC")</f>
        <v>LC</v>
      </c>
      <c r="AH4617" s="4" t="str">
        <f>HYPERLINK("#Statut_biogéographique!A"&amp;_xlfn.XMATCH("P",Statut_biogéographique!A:A,2,1),"P")</f>
        <v>P</v>
      </c>
      <c r="AP4617" s="4" t="s">
        <v>376</v>
      </c>
      <c r="AR4617" s="4" t="s">
        <v>377</v>
      </c>
    </row>
    <row r="4618" spans="1:44">
      <c r="A4618" s="4" t="s">
        <v>5</v>
      </c>
      <c r="B4618" s="4">
        <v>36276</v>
      </c>
      <c r="C4618" s="4">
        <v>1516</v>
      </c>
      <c r="D4618" s="5" t="s">
        <v>6777</v>
      </c>
      <c r="E4618" s="6" t="str">
        <f>HYPERLINK("https://inpn.mnhn.fr/espece/cd_nom/36276","Inocybe cincinnata (Fr.) Quél., 1872")</f>
        <v>Inocybe cincinnata (Fr.) Quél., 1872</v>
      </c>
      <c r="F4618" s="5" t="s">
        <v>6778</v>
      </c>
      <c r="V4618" s="7" t="str">
        <f>HYPERLINK("#Liste_rouge!A"&amp;_xlfn.XMATCH("LC",Liste_rouge!A:A,2,1),"LC")</f>
        <v>LC</v>
      </c>
      <c r="AH4618" s="4" t="str">
        <f>HYPERLINK("#Statut_biogéographique!A"&amp;_xlfn.XMATCH("P",Statut_biogéographique!A:A,2,1),"P")</f>
        <v>P</v>
      </c>
      <c r="AP4618" s="4" t="s">
        <v>376</v>
      </c>
      <c r="AR4618" s="4" t="s">
        <v>377</v>
      </c>
    </row>
    <row r="4619" spans="1:44">
      <c r="A4619" s="4" t="s">
        <v>5</v>
      </c>
      <c r="B4619" s="4">
        <v>36277</v>
      </c>
      <c r="C4619" s="4">
        <v>2721</v>
      </c>
      <c r="D4619" s="5" t="s">
        <v>6779</v>
      </c>
      <c r="E4619" s="6" t="str">
        <f>HYPERLINK("https://inpn.mnhn.fr/espece/cd_nom/36277","Inocybe cincinnatula Kühner, 1953")</f>
        <v>Inocybe cincinnatula Kühner, 1953</v>
      </c>
      <c r="F4619" s="5" t="s">
        <v>6780</v>
      </c>
      <c r="V4619" s="7" t="str">
        <f>HYPERLINK("#Liste_rouge!A"&amp;_xlfn.XMATCH("LC",Liste_rouge!A:A,2,1),"LC")</f>
        <v>LC</v>
      </c>
      <c r="AH4619" s="4" t="str">
        <f>HYPERLINK("#Statut_biogéographique!A"&amp;_xlfn.XMATCH("P",Statut_biogéographique!A:A,2,1),"P")</f>
        <v>P</v>
      </c>
      <c r="AP4619" s="4" t="s">
        <v>376</v>
      </c>
      <c r="AR4619" s="4" t="s">
        <v>377</v>
      </c>
    </row>
    <row r="4620" spans="1:44">
      <c r="A4620" s="4" t="s">
        <v>5</v>
      </c>
      <c r="B4620" s="4">
        <v>36279</v>
      </c>
      <c r="C4620" s="4">
        <v>5926</v>
      </c>
      <c r="D4620" s="5" t="s">
        <v>6781</v>
      </c>
      <c r="E4620" s="6" t="str">
        <f>HYPERLINK("https://inpn.mnhn.fr/espece/cd_nom/36279","Inocybe coelestium Kuyper, 1985")</f>
        <v>Inocybe coelestium Kuyper, 1985</v>
      </c>
      <c r="AH4620" s="4" t="str">
        <f>HYPERLINK("#Statut_biogéographique!A"&amp;_xlfn.XMATCH("P",Statut_biogéographique!A:A,2,1),"P")</f>
        <v>P</v>
      </c>
      <c r="AP4620" s="4" t="s">
        <v>376</v>
      </c>
      <c r="AR4620" s="4" t="s">
        <v>377</v>
      </c>
    </row>
    <row r="4621" spans="1:44">
      <c r="A4621" s="4" t="s">
        <v>5</v>
      </c>
      <c r="B4621" s="4">
        <v>36282</v>
      </c>
      <c r="C4621" s="4">
        <v>1517</v>
      </c>
      <c r="D4621" s="5" t="s">
        <v>6782</v>
      </c>
      <c r="E4621" s="6" t="str">
        <f>HYPERLINK("https://inpn.mnhn.fr/espece/cd_nom/36282","Inocybe cookei Bres., 1892")</f>
        <v>Inocybe cookei Bres., 1892</v>
      </c>
      <c r="F4621" s="5" t="s">
        <v>6783</v>
      </c>
      <c r="V4621" s="7" t="str">
        <f>HYPERLINK("#Liste_rouge!A"&amp;_xlfn.XMATCH("LC",Liste_rouge!A:A,2,1),"LC")</f>
        <v>LC</v>
      </c>
      <c r="AH4621" s="4" t="str">
        <f>HYPERLINK("#Statut_biogéographique!A"&amp;_xlfn.XMATCH("P",Statut_biogéographique!A:A,2,1),"P")</f>
        <v>P</v>
      </c>
      <c r="AP4621" s="4" t="s">
        <v>376</v>
      </c>
      <c r="AR4621" s="4" t="s">
        <v>377</v>
      </c>
    </row>
    <row r="4622" spans="1:44">
      <c r="A4622" s="4" t="s">
        <v>5</v>
      </c>
      <c r="B4622" s="4">
        <v>36285</v>
      </c>
      <c r="C4622" s="4">
        <v>374</v>
      </c>
      <c r="D4622" s="5" t="s">
        <v>6784</v>
      </c>
      <c r="E4622" s="6" t="str">
        <f>HYPERLINK("https://inpn.mnhn.fr/espece/cd_nom/36285","Inocybe corydalina Quél., 1875")</f>
        <v>Inocybe corydalina Quél., 1875</v>
      </c>
      <c r="F4622" s="5" t="s">
        <v>6785</v>
      </c>
      <c r="V4622" s="7" t="str">
        <f>HYPERLINK("#Liste_rouge!A"&amp;_xlfn.XMATCH("LC",Liste_rouge!A:A,2,1),"LC")</f>
        <v>LC</v>
      </c>
      <c r="AH4622" s="4" t="str">
        <f>HYPERLINK("#Statut_biogéographique!A"&amp;_xlfn.XMATCH("P",Statut_biogéographique!A:A,2,1),"P")</f>
        <v>P</v>
      </c>
      <c r="AP4622" s="4" t="s">
        <v>376</v>
      </c>
      <c r="AR4622" s="4" t="s">
        <v>377</v>
      </c>
    </row>
    <row r="4623" spans="1:44" ht="30">
      <c r="A4623" s="4" t="s">
        <v>5</v>
      </c>
      <c r="B4623" s="4">
        <v>36298</v>
      </c>
      <c r="C4623" s="4">
        <v>918</v>
      </c>
      <c r="D4623" s="5" t="s">
        <v>6786</v>
      </c>
      <c r="E4623" s="6" t="str">
        <f>HYPERLINK("https://inpn.mnhn.fr/espece/cd_nom/36298","Inocybe curvipes P.Karst., 1890")</f>
        <v>Inocybe curvipes P.Karst., 1890</v>
      </c>
      <c r="F4623" s="5" t="s">
        <v>6787</v>
      </c>
      <c r="V4623" s="7" t="str">
        <f>HYPERLINK("#Liste_rouge!A"&amp;_xlfn.XMATCH("LC",Liste_rouge!A:A,2,1),"LC")</f>
        <v>LC</v>
      </c>
      <c r="AH4623" s="4" t="str">
        <f>HYPERLINK("#Statut_biogéographique!A"&amp;_xlfn.XMATCH("P",Statut_biogéographique!A:A,2,1),"P")</f>
        <v>P</v>
      </c>
      <c r="AP4623" s="4" t="s">
        <v>376</v>
      </c>
      <c r="AR4623" s="4" t="s">
        <v>377</v>
      </c>
    </row>
    <row r="4624" spans="1:44">
      <c r="A4624" s="4" t="s">
        <v>5</v>
      </c>
      <c r="B4624" s="4">
        <v>36304</v>
      </c>
      <c r="D4624" s="5" t="s">
        <v>6788</v>
      </c>
      <c r="E4624" s="6" t="str">
        <f>HYPERLINK("https://inpn.mnhn.fr/espece/cd_nom/36304","Inocybe dulcamara (Pers.) P.Kumm., 1871")</f>
        <v>Inocybe dulcamara (Pers.) P.Kumm., 1871</v>
      </c>
      <c r="F4624" s="5" t="s">
        <v>4127</v>
      </c>
      <c r="V4624" s="7" t="str">
        <f>HYPERLINK("#Liste_rouge!A"&amp;_xlfn.XMATCH("LC",Liste_rouge!A:A,2,1),"LC")</f>
        <v>LC</v>
      </c>
      <c r="AH4624" s="4" t="str">
        <f>HYPERLINK("#Statut_biogéographique!A"&amp;_xlfn.XMATCH("P",Statut_biogéographique!A:A,2,1),"P")</f>
        <v>P</v>
      </c>
      <c r="AP4624" s="4" t="s">
        <v>376</v>
      </c>
      <c r="AR4624" s="4" t="s">
        <v>377</v>
      </c>
    </row>
    <row r="4625" spans="1:44" ht="30">
      <c r="A4625" s="4" t="s">
        <v>5</v>
      </c>
      <c r="B4625" s="4">
        <v>36309</v>
      </c>
      <c r="C4625" s="4">
        <v>207</v>
      </c>
      <c r="D4625" s="5" t="s">
        <v>6789</v>
      </c>
      <c r="E4625" s="6" t="str">
        <f>HYPERLINK("https://inpn.mnhn.fr/espece/cd_nom/36309","Inocybe fastigiata (Schaeff.) Quél., 1872")</f>
        <v>Inocybe fastigiata (Schaeff.) Quél., 1872</v>
      </c>
      <c r="F4625" s="5" t="s">
        <v>6790</v>
      </c>
      <c r="V4625" s="7" t="str">
        <f>HYPERLINK("#Liste_rouge!A"&amp;_xlfn.XMATCH("LC",Liste_rouge!A:A,2,1),"LC")</f>
        <v>LC</v>
      </c>
      <c r="AH4625" s="4" t="str">
        <f>HYPERLINK("#Statut_biogéographique!A"&amp;_xlfn.XMATCH("P",Statut_biogéographique!A:A,2,1),"P")</f>
        <v>P</v>
      </c>
      <c r="AP4625" s="4" t="s">
        <v>376</v>
      </c>
      <c r="AR4625" s="4" t="s">
        <v>377</v>
      </c>
    </row>
    <row r="4626" spans="1:44">
      <c r="A4626" s="4" t="s">
        <v>5</v>
      </c>
      <c r="B4626" s="4">
        <v>36310</v>
      </c>
      <c r="C4626" s="4">
        <v>5674</v>
      </c>
      <c r="D4626" s="5" t="s">
        <v>6791</v>
      </c>
      <c r="E4626" s="6" t="str">
        <f>HYPERLINK("https://inpn.mnhn.fr/espece/cd_nom/36310","Inocybe curreyi (Berk.) Sacc., 1887")</f>
        <v>Inocybe curreyi (Berk.) Sacc., 1887</v>
      </c>
      <c r="V4626" s="7" t="str">
        <f>HYPERLINK("#Liste_rouge!A"&amp;_xlfn.XMATCH("DD",Liste_rouge!A:A,2,1),"DD")</f>
        <v>DD</v>
      </c>
      <c r="AH4626" s="4" t="str">
        <f>HYPERLINK("#Statut_biogéographique!A"&amp;_xlfn.XMATCH("P",Statut_biogéographique!A:A,2,1),"P")</f>
        <v>P</v>
      </c>
      <c r="AP4626" s="4" t="s">
        <v>376</v>
      </c>
      <c r="AR4626" s="4" t="s">
        <v>377</v>
      </c>
    </row>
    <row r="4627" spans="1:44">
      <c r="A4627" s="4" t="s">
        <v>5</v>
      </c>
      <c r="B4627" s="4">
        <v>36317</v>
      </c>
      <c r="C4627" s="4">
        <v>1430</v>
      </c>
      <c r="D4627" s="5" t="s">
        <v>6792</v>
      </c>
      <c r="E4627" s="6" t="str">
        <f>HYPERLINK("https://inpn.mnhn.fr/espece/cd_nom/36317","Inocybe fibrosa (Sowerby) Gillet, 1876")</f>
        <v>Inocybe fibrosa (Sowerby) Gillet, 1876</v>
      </c>
      <c r="F4627" s="5" t="s">
        <v>6793</v>
      </c>
      <c r="V4627" s="7" t="str">
        <f>HYPERLINK("#Liste_rouge!A"&amp;_xlfn.XMATCH("EN",Liste_rouge!A:A,2,1),"EN")</f>
        <v>EN</v>
      </c>
      <c r="W4627" s="4" t="str">
        <f>HYPERLINK("#Critères_liste_rouge!A$1","A2c")</f>
        <v>A2c</v>
      </c>
      <c r="Z4627" s="4" t="s">
        <v>695</v>
      </c>
      <c r="AA4627" s="4" t="s">
        <v>696</v>
      </c>
      <c r="AH4627" s="4" t="str">
        <f>HYPERLINK("#Statut_biogéographique!A"&amp;_xlfn.XMATCH("P",Statut_biogéographique!A:A,2,1),"P")</f>
        <v>P</v>
      </c>
      <c r="AP4627" s="4" t="s">
        <v>376</v>
      </c>
      <c r="AR4627" s="4" t="s">
        <v>377</v>
      </c>
    </row>
    <row r="4628" spans="1:44">
      <c r="A4628" s="4" t="s">
        <v>5</v>
      </c>
      <c r="B4628" s="4">
        <v>36319</v>
      </c>
      <c r="C4628" s="4">
        <v>1518</v>
      </c>
      <c r="D4628" s="5" t="s">
        <v>6794</v>
      </c>
      <c r="E4628" s="6" t="str">
        <f>HYPERLINK("https://inpn.mnhn.fr/espece/cd_nom/36319","Inocybe fibrosoides Kühner, 1933")</f>
        <v>Inocybe fibrosoides Kühner, 1933</v>
      </c>
      <c r="F4628" s="5" t="s">
        <v>6795</v>
      </c>
      <c r="V4628" s="7" t="str">
        <f>HYPERLINK("#Liste_rouge!A"&amp;_xlfn.XMATCH("VU",Liste_rouge!A:A,2,1),"VU")</f>
        <v>VU</v>
      </c>
      <c r="W4628" s="4" t="str">
        <f>HYPERLINK("#Critères_liste_rouge!A$1","A2c")</f>
        <v>A2c</v>
      </c>
      <c r="Z4628" s="4" t="s">
        <v>447</v>
      </c>
      <c r="AA4628" s="4" t="s">
        <v>448</v>
      </c>
      <c r="AH4628" s="4" t="str">
        <f>HYPERLINK("#Statut_biogéographique!A"&amp;_xlfn.XMATCH("P",Statut_biogéographique!A:A,2,1),"P")</f>
        <v>P</v>
      </c>
      <c r="AP4628" s="4" t="s">
        <v>376</v>
      </c>
      <c r="AR4628" s="4" t="s">
        <v>377</v>
      </c>
    </row>
    <row r="4629" spans="1:44">
      <c r="A4629" s="4" t="s">
        <v>5</v>
      </c>
      <c r="B4629" s="4">
        <v>36322</v>
      </c>
      <c r="C4629" s="4">
        <v>5711</v>
      </c>
      <c r="D4629" s="5" t="s">
        <v>6796</v>
      </c>
      <c r="E4629" s="6" t="str">
        <f>HYPERLINK("https://inpn.mnhn.fr/espece/cd_nom/36322","Inocybe xanthocephala P.D.Orton, 1960")</f>
        <v>Inocybe xanthocephala P.D.Orton, 1960</v>
      </c>
      <c r="V4629" s="7" t="str">
        <f>HYPERLINK("#Liste_rouge!A"&amp;_xlfn.XMATCH("DD",Liste_rouge!A:A,2,1),"DD")</f>
        <v>DD</v>
      </c>
      <c r="AH4629" s="4" t="str">
        <f>HYPERLINK("#Statut_biogéographique!A"&amp;_xlfn.XMATCH("P",Statut_biogéographique!A:A,2,1),"P")</f>
        <v>P</v>
      </c>
      <c r="AP4629" s="4" t="s">
        <v>376</v>
      </c>
      <c r="AR4629" s="4" t="s">
        <v>377</v>
      </c>
    </row>
    <row r="4630" spans="1:44">
      <c r="A4630" s="4" t="s">
        <v>5</v>
      </c>
      <c r="B4630" s="4">
        <v>36325</v>
      </c>
      <c r="C4630" s="4">
        <v>2960</v>
      </c>
      <c r="D4630" s="5" t="s">
        <v>6797</v>
      </c>
      <c r="E4630" s="6" t="str">
        <f>HYPERLINK("https://inpn.mnhn.fr/espece/cd_nom/36325","Inocybe fulvella Bres., 1892")</f>
        <v>Inocybe fulvella Bres., 1892</v>
      </c>
      <c r="V4630" s="7" t="str">
        <f>HYPERLINK("#Liste_rouge!A"&amp;_xlfn.XMATCH("LC",Liste_rouge!A:A,2,1),"LC")</f>
        <v>LC</v>
      </c>
      <c r="AH4630" s="4" t="str">
        <f>HYPERLINK("#Statut_biogéographique!A"&amp;_xlfn.XMATCH("P",Statut_biogéographique!A:A,2,1),"P")</f>
        <v>P</v>
      </c>
      <c r="AP4630" s="4" t="s">
        <v>376</v>
      </c>
      <c r="AR4630" s="4" t="s">
        <v>377</v>
      </c>
    </row>
    <row r="4631" spans="1:44">
      <c r="A4631" s="4" t="s">
        <v>5</v>
      </c>
      <c r="B4631" s="4">
        <v>36329</v>
      </c>
      <c r="C4631" s="4">
        <v>5496</v>
      </c>
      <c r="D4631" s="5" t="s">
        <v>6798</v>
      </c>
      <c r="E4631" s="6" t="str">
        <f>HYPERLINK("https://inpn.mnhn.fr/espece/cd_nom/36329","Inocybe hypophaea Furrer-Ziogas, 1952")</f>
        <v>Inocybe hypophaea Furrer-Ziogas, 1952</v>
      </c>
      <c r="V4631" s="7" t="str">
        <f>HYPERLINK("#Liste_rouge!A"&amp;_xlfn.XMATCH("LC",Liste_rouge!A:A,2,1),"LC")</f>
        <v>LC</v>
      </c>
      <c r="AH4631" s="4" t="str">
        <f>HYPERLINK("#Statut_biogéographique!A"&amp;_xlfn.XMATCH("P",Statut_biogéographique!A:A,2,1),"P")</f>
        <v>P</v>
      </c>
      <c r="AP4631" s="4" t="s">
        <v>376</v>
      </c>
      <c r="AR4631" s="4" t="s">
        <v>377</v>
      </c>
    </row>
    <row r="4632" spans="1:44">
      <c r="A4632" s="4" t="s">
        <v>5</v>
      </c>
      <c r="B4632" s="4">
        <v>36332</v>
      </c>
      <c r="C4632" s="4">
        <v>5678</v>
      </c>
      <c r="D4632" s="5" t="s">
        <v>6799</v>
      </c>
      <c r="E4632" s="6" t="str">
        <f>HYPERLINK("https://inpn.mnhn.fr/espece/cd_nom/36332","Inocybe fuscomarginata Kühner, 1956")</f>
        <v>Inocybe fuscomarginata Kühner, 1956</v>
      </c>
      <c r="V4632" s="7" t="str">
        <f>HYPERLINK("#Liste_rouge!A"&amp;_xlfn.XMATCH("DD",Liste_rouge!A:A,2,1),"DD")</f>
        <v>DD</v>
      </c>
      <c r="Z4632" s="4" t="s">
        <v>443</v>
      </c>
      <c r="AA4632" s="4" t="s">
        <v>444</v>
      </c>
      <c r="AH4632" s="4" t="str">
        <f>HYPERLINK("#Statut_biogéographique!A"&amp;_xlfn.XMATCH("P",Statut_biogéographique!A:A,2,1),"P")</f>
        <v>P</v>
      </c>
      <c r="AP4632" s="4" t="s">
        <v>376</v>
      </c>
      <c r="AR4632" s="4" t="s">
        <v>377</v>
      </c>
    </row>
    <row r="4633" spans="1:44">
      <c r="A4633" s="4" t="s">
        <v>5</v>
      </c>
      <c r="B4633" s="4">
        <v>36336</v>
      </c>
      <c r="C4633" s="4">
        <v>3588</v>
      </c>
      <c r="D4633" s="5" t="s">
        <v>6800</v>
      </c>
      <c r="E4633" s="6" t="str">
        <f>HYPERLINK("https://inpn.mnhn.fr/espece/cd_nom/36336","Inocybe flocculosa Sacc., 1887")</f>
        <v>Inocybe flocculosa Sacc., 1887</v>
      </c>
      <c r="F4633" s="5" t="s">
        <v>6801</v>
      </c>
      <c r="V4633" s="7" t="str">
        <f>HYPERLINK("#Liste_rouge!A"&amp;_xlfn.XMATCH("LC",Liste_rouge!A:A,2,1),"LC")</f>
        <v>LC</v>
      </c>
      <c r="AH4633" s="4" t="str">
        <f>HYPERLINK("#Statut_biogéographique!A"&amp;_xlfn.XMATCH("P",Statut_biogéographique!A:A,2,1),"P")</f>
        <v>P</v>
      </c>
      <c r="AP4633" s="4" t="s">
        <v>376</v>
      </c>
      <c r="AR4633" s="4" t="s">
        <v>377</v>
      </c>
    </row>
    <row r="4634" spans="1:44">
      <c r="A4634" s="4" t="s">
        <v>5</v>
      </c>
      <c r="B4634" s="4">
        <v>36337</v>
      </c>
      <c r="C4634" s="4">
        <v>3508</v>
      </c>
      <c r="D4634" s="5" t="s">
        <v>6802</v>
      </c>
      <c r="E4634" s="6" t="str">
        <f>HYPERLINK("https://inpn.mnhn.fr/espece/cd_nom/36337","Inocybe subtigrina Kühner, 1955")</f>
        <v>Inocybe subtigrina Kühner, 1955</v>
      </c>
      <c r="V4634" s="7" t="str">
        <f>HYPERLINK("#Liste_rouge!A"&amp;_xlfn.XMATCH("LC",Liste_rouge!A:A,2,1),"LC")</f>
        <v>LC</v>
      </c>
      <c r="AH4634" s="4" t="str">
        <f>HYPERLINK("#Statut_biogéographique!A"&amp;_xlfn.XMATCH("P",Statut_biogéographique!A:A,2,1),"P")</f>
        <v>P</v>
      </c>
      <c r="AP4634" s="4" t="s">
        <v>376</v>
      </c>
      <c r="AR4634" s="4" t="s">
        <v>377</v>
      </c>
    </row>
    <row r="4635" spans="1:44" ht="30">
      <c r="A4635" s="4" t="s">
        <v>5</v>
      </c>
      <c r="B4635" s="4">
        <v>36338</v>
      </c>
      <c r="C4635" s="4">
        <v>304</v>
      </c>
      <c r="D4635" s="5" t="s">
        <v>6803</v>
      </c>
      <c r="E4635" s="6" t="str">
        <f>HYPERLINK("https://inpn.mnhn.fr/espece/cd_nom/36338","Inocybe geophylla (Bull.) P.Kumm., 1871")</f>
        <v>Inocybe geophylla (Bull.) P.Kumm., 1871</v>
      </c>
      <c r="F4635" s="5" t="s">
        <v>6804</v>
      </c>
      <c r="V4635" s="7" t="str">
        <f>HYPERLINK("#Liste_rouge!A"&amp;_xlfn.XMATCH("LC",Liste_rouge!A:A,2,1),"LC")</f>
        <v>LC</v>
      </c>
      <c r="AH4635" s="4" t="str">
        <f>HYPERLINK("#Statut_biogéographique!A"&amp;_xlfn.XMATCH("P",Statut_biogéographique!A:A,2,1),"P")</f>
        <v>P</v>
      </c>
      <c r="AP4635" s="4" t="s">
        <v>376</v>
      </c>
      <c r="AR4635" s="4" t="s">
        <v>377</v>
      </c>
    </row>
    <row r="4636" spans="1:44" ht="30">
      <c r="A4636" s="4" t="s">
        <v>5</v>
      </c>
      <c r="B4636" s="4">
        <v>36341</v>
      </c>
      <c r="C4636" s="4">
        <v>4669</v>
      </c>
      <c r="D4636" s="5" t="s">
        <v>6805</v>
      </c>
      <c r="E4636" s="6" t="str">
        <f>HYPERLINK("https://inpn.mnhn.fr/espece/cd_nom/36341","Inocybe geophylla var. fulva (Pat.) Sacc., 1887")</f>
        <v>Inocybe geophylla var. fulva (Pat.) Sacc., 1887</v>
      </c>
      <c r="F4636" s="5" t="s">
        <v>6806</v>
      </c>
      <c r="AH4636" s="4" t="str">
        <f>HYPERLINK("#Statut_biogéographique!A"&amp;_xlfn.XMATCH("P",Statut_biogéographique!A:A,2,1),"P")</f>
        <v>P</v>
      </c>
      <c r="AP4636" s="4" t="s">
        <v>376</v>
      </c>
      <c r="AR4636" s="4" t="s">
        <v>377</v>
      </c>
    </row>
    <row r="4637" spans="1:44" ht="30">
      <c r="A4637" s="4" t="s">
        <v>5</v>
      </c>
      <c r="B4637" s="4">
        <v>36342</v>
      </c>
      <c r="C4637" s="4">
        <v>305</v>
      </c>
      <c r="D4637" s="5" t="s">
        <v>6807</v>
      </c>
      <c r="E4637" s="6" t="str">
        <f>HYPERLINK("https://inpn.mnhn.fr/espece/cd_nom/36342","Inocybe geophylla var. lilacina (Peck) Gillet, 1876")</f>
        <v>Inocybe geophylla var. lilacina (Peck) Gillet, 1876</v>
      </c>
      <c r="F4637" s="5" t="s">
        <v>6808</v>
      </c>
      <c r="V4637" s="7" t="str">
        <f>HYPERLINK("#Liste_rouge!A"&amp;_xlfn.XMATCH("LC",Liste_rouge!A:A,2,1),"LC")</f>
        <v>LC</v>
      </c>
      <c r="AH4637" s="4" t="str">
        <f>HYPERLINK("#Statut_biogéographique!A"&amp;_xlfn.XMATCH("P",Statut_biogéographique!A:A,2,1),"P")</f>
        <v>P</v>
      </c>
      <c r="AP4637" s="4" t="s">
        <v>376</v>
      </c>
      <c r="AR4637" s="4" t="s">
        <v>377</v>
      </c>
    </row>
    <row r="4638" spans="1:44" ht="30">
      <c r="A4638" s="4" t="s">
        <v>5</v>
      </c>
      <c r="B4638" s="4">
        <v>36343</v>
      </c>
      <c r="C4638" s="4">
        <v>5811</v>
      </c>
      <c r="D4638" s="5" t="s">
        <v>6809</v>
      </c>
      <c r="E4638" s="6" t="str">
        <f>HYPERLINK("https://inpn.mnhn.fr/espece/cd_nom/36343","Inocybe geophylla var. violacea (Pat.) Sacc., 1887")</f>
        <v>Inocybe geophylla var. violacea (Pat.) Sacc., 1887</v>
      </c>
      <c r="F4638" s="5" t="s">
        <v>6810</v>
      </c>
      <c r="AH4638" s="4" t="str">
        <f>HYPERLINK("#Statut_biogéographique!A"&amp;_xlfn.XMATCH("P",Statut_biogéographique!A:A,2,1),"P")</f>
        <v>P</v>
      </c>
      <c r="AP4638" s="4" t="s">
        <v>376</v>
      </c>
      <c r="AR4638" s="4" t="s">
        <v>377</v>
      </c>
    </row>
    <row r="4639" spans="1:44">
      <c r="A4639" s="4" t="s">
        <v>5</v>
      </c>
      <c r="B4639" s="4">
        <v>36347</v>
      </c>
      <c r="C4639" s="4">
        <v>5939</v>
      </c>
      <c r="D4639" s="5" t="s">
        <v>6811</v>
      </c>
      <c r="E4639" s="6" t="str">
        <f>HYPERLINK("https://inpn.mnhn.fr/espece/cd_nom/36347","Inocybe geraniodora J.Favre, 1955")</f>
        <v>Inocybe geraniodora J.Favre, 1955</v>
      </c>
      <c r="AH4639" s="4" t="str">
        <f>HYPERLINK("#Statut_biogéographique!A"&amp;_xlfn.XMATCH("P",Statut_biogéographique!A:A,2,1),"P")</f>
        <v>P</v>
      </c>
      <c r="AP4639" s="4" t="s">
        <v>376</v>
      </c>
      <c r="AR4639" s="4" t="s">
        <v>377</v>
      </c>
    </row>
    <row r="4640" spans="1:44">
      <c r="A4640" s="4" t="s">
        <v>5</v>
      </c>
      <c r="B4640" s="4">
        <v>36348</v>
      </c>
      <c r="C4640" s="4">
        <v>3367</v>
      </c>
      <c r="D4640" s="5" t="s">
        <v>6812</v>
      </c>
      <c r="E4640" s="6" t="str">
        <f>HYPERLINK("https://inpn.mnhn.fr/espece/cd_nom/36348","Inocybe geraniolens Bon &amp; Beller, 1976")</f>
        <v>Inocybe geraniolens Bon &amp; Beller, 1976</v>
      </c>
      <c r="F4640" s="5" t="s">
        <v>6813</v>
      </c>
      <c r="V4640" s="7" t="str">
        <f>HYPERLINK("#Liste_rouge!A"&amp;_xlfn.XMATCH("DD",Liste_rouge!A:A,2,1),"DD")</f>
        <v>DD</v>
      </c>
      <c r="AH4640" s="4" t="str">
        <f>HYPERLINK("#Statut_biogéographique!A"&amp;_xlfn.XMATCH("P",Statut_biogéographique!A:A,2,1),"P")</f>
        <v>P</v>
      </c>
      <c r="AP4640" s="4" t="s">
        <v>376</v>
      </c>
      <c r="AR4640" s="4" t="s">
        <v>377</v>
      </c>
    </row>
    <row r="4641" spans="1:44">
      <c r="A4641" s="4" t="s">
        <v>5</v>
      </c>
      <c r="B4641" s="4">
        <v>36353</v>
      </c>
      <c r="C4641" s="4">
        <v>2967</v>
      </c>
      <c r="D4641" s="5" t="s">
        <v>6814</v>
      </c>
      <c r="E4641" s="6" t="str">
        <f>HYPERLINK("https://inpn.mnhn.fr/espece/cd_nom/36353","Inocybe abietis Kühner, 1955")</f>
        <v>Inocybe abietis Kühner, 1955</v>
      </c>
      <c r="F4641" s="5" t="s">
        <v>6815</v>
      </c>
      <c r="V4641" s="7" t="str">
        <f>HYPERLINK("#Liste_rouge!A"&amp;_xlfn.XMATCH("NT",Liste_rouge!A:A,2,1),"NT")</f>
        <v>NT</v>
      </c>
      <c r="W4641" s="4" t="str">
        <f>HYPERLINK("#Critères_liste_rouge!A$1","pr. B2abiii")</f>
        <v>pr. B2abiii</v>
      </c>
      <c r="AH4641" s="4" t="str">
        <f>HYPERLINK("#Statut_biogéographique!A"&amp;_xlfn.XMATCH("P",Statut_biogéographique!A:A,2,1),"P")</f>
        <v>P</v>
      </c>
      <c r="AP4641" s="4" t="s">
        <v>376</v>
      </c>
      <c r="AR4641" s="4" t="s">
        <v>377</v>
      </c>
    </row>
    <row r="4642" spans="1:44">
      <c r="A4642" s="4" t="s">
        <v>5</v>
      </c>
      <c r="B4642" s="4">
        <v>36355</v>
      </c>
      <c r="C4642" s="4">
        <v>5685</v>
      </c>
      <c r="D4642" s="5" t="s">
        <v>6816</v>
      </c>
      <c r="E4642" s="6" t="str">
        <f>HYPERLINK("https://inpn.mnhn.fr/espece/cd_nom/36355","Inocybe microspora J.E.Lange, 1917")</f>
        <v>Inocybe microspora J.E.Lange, 1917</v>
      </c>
      <c r="V4642" s="7" t="str">
        <f>HYPERLINK("#Liste_rouge!A"&amp;_xlfn.XMATCH("DD",Liste_rouge!A:A,2,1),"DD")</f>
        <v>DD</v>
      </c>
      <c r="AH4642" s="4" t="str">
        <f>HYPERLINK("#Statut_biogéographique!A"&amp;_xlfn.XMATCH("P",Statut_biogéographique!A:A,2,1),"P")</f>
        <v>P</v>
      </c>
      <c r="AP4642" s="4" t="s">
        <v>376</v>
      </c>
      <c r="AR4642" s="4" t="s">
        <v>377</v>
      </c>
    </row>
    <row r="4643" spans="1:44">
      <c r="A4643" s="4" t="s">
        <v>5</v>
      </c>
      <c r="B4643" s="4">
        <v>36362</v>
      </c>
      <c r="C4643" s="4">
        <v>585</v>
      </c>
      <c r="D4643" s="5">
        <v>36362</v>
      </c>
      <c r="E4643" s="6" t="str">
        <f>HYPERLINK("https://inpn.mnhn.fr/espece/cd_nom/36362","Inocybe grammata Quél., 1880")</f>
        <v>Inocybe grammata Quél., 1880</v>
      </c>
      <c r="F4643" s="5" t="s">
        <v>6817</v>
      </c>
      <c r="V4643" s="7" t="str">
        <f>HYPERLINK("#Liste_rouge!A"&amp;_xlfn.XMATCH("LC",Liste_rouge!A:A,2,1),"LC")</f>
        <v>LC</v>
      </c>
      <c r="AH4643" s="4" t="str">
        <f>HYPERLINK("#Statut_biogéographique!A"&amp;_xlfn.XMATCH("P",Statut_biogéographique!A:A,2,1),"P")</f>
        <v>P</v>
      </c>
      <c r="AP4643" s="4" t="s">
        <v>376</v>
      </c>
      <c r="AR4643" s="4" t="s">
        <v>377</v>
      </c>
    </row>
    <row r="4644" spans="1:44">
      <c r="A4644" s="4" t="s">
        <v>5</v>
      </c>
      <c r="B4644" s="4">
        <v>36364</v>
      </c>
      <c r="C4644" s="4">
        <v>1519</v>
      </c>
      <c r="D4644" s="5" t="s">
        <v>6818</v>
      </c>
      <c r="E4644" s="6" t="str">
        <f>HYPERLINK("https://inpn.mnhn.fr/espece/cd_nom/36364","Inocybe griseolilacina J.E.Lange, 1917")</f>
        <v>Inocybe griseolilacina J.E.Lange, 1917</v>
      </c>
      <c r="F4644" s="5" t="s">
        <v>6819</v>
      </c>
      <c r="V4644" s="7" t="str">
        <f>HYPERLINK("#Liste_rouge!A"&amp;_xlfn.XMATCH("LC",Liste_rouge!A:A,2,1),"LC")</f>
        <v>LC</v>
      </c>
      <c r="AH4644" s="4" t="str">
        <f>HYPERLINK("#Statut_biogéographique!A"&amp;_xlfn.XMATCH("P",Statut_biogéographique!A:A,2,1),"P")</f>
        <v>P</v>
      </c>
      <c r="AP4644" s="4" t="s">
        <v>376</v>
      </c>
      <c r="AR4644" s="4" t="s">
        <v>377</v>
      </c>
    </row>
    <row r="4645" spans="1:44">
      <c r="A4645" s="4" t="s">
        <v>5</v>
      </c>
      <c r="B4645" s="4">
        <v>36366</v>
      </c>
      <c r="C4645" s="4">
        <v>5682</v>
      </c>
      <c r="D4645" s="5" t="s">
        <v>6820</v>
      </c>
      <c r="E4645" s="6" t="str">
        <f>HYPERLINK("https://inpn.mnhn.fr/espece/cd_nom/36366","Inocybe griseovelata Kühner, 1955")</f>
        <v>Inocybe griseovelata Kühner, 1955</v>
      </c>
      <c r="V4645" s="7" t="str">
        <f>HYPERLINK("#Liste_rouge!A"&amp;_xlfn.XMATCH("EN",Liste_rouge!A:A,2,1),"EN")</f>
        <v>EN</v>
      </c>
      <c r="W4645" s="4" t="str">
        <f>HYPERLINK("#Critères_liste_rouge!A$1","B2abiii")</f>
        <v>B2abiii</v>
      </c>
      <c r="Z4645" s="4" t="s">
        <v>443</v>
      </c>
      <c r="AA4645" s="4" t="s">
        <v>444</v>
      </c>
      <c r="AH4645" s="4" t="str">
        <f>HYPERLINK("#Statut_biogéographique!A"&amp;_xlfn.XMATCH("P",Statut_biogéographique!A:A,2,1),"P")</f>
        <v>P</v>
      </c>
      <c r="AP4645" s="4" t="s">
        <v>376</v>
      </c>
      <c r="AR4645" s="4" t="s">
        <v>377</v>
      </c>
    </row>
    <row r="4646" spans="1:44">
      <c r="A4646" s="4" t="s">
        <v>5</v>
      </c>
      <c r="B4646" s="4">
        <v>36367</v>
      </c>
      <c r="C4646" s="4">
        <v>3730</v>
      </c>
      <c r="D4646" s="5" t="s">
        <v>6821</v>
      </c>
      <c r="E4646" s="6" t="str">
        <f>HYPERLINK("https://inpn.mnhn.fr/espece/cd_nom/36367","Inocybe gymnocarpa Kühner, 1953")</f>
        <v>Inocybe gymnocarpa Kühner, 1953</v>
      </c>
      <c r="V4646" s="7" t="str">
        <f>HYPERLINK("#Liste_rouge!A"&amp;_xlfn.XMATCH("EN",Liste_rouge!A:A,2,1),"EN")</f>
        <v>EN</v>
      </c>
      <c r="W4646" s="4" t="str">
        <f>HYPERLINK("#Critères_liste_rouge!A$1","B2abiii")</f>
        <v>B2abiii</v>
      </c>
      <c r="Z4646" s="4" t="s">
        <v>443</v>
      </c>
      <c r="AA4646" s="4" t="s">
        <v>444</v>
      </c>
      <c r="AH4646" s="4" t="str">
        <f>HYPERLINK("#Statut_biogéographique!A"&amp;_xlfn.XMATCH("P",Statut_biogéographique!A:A,2,1),"P")</f>
        <v>P</v>
      </c>
      <c r="AP4646" s="4" t="s">
        <v>376</v>
      </c>
      <c r="AR4646" s="4" t="s">
        <v>377</v>
      </c>
    </row>
    <row r="4647" spans="1:44" ht="30">
      <c r="A4647" s="4" t="s">
        <v>5</v>
      </c>
      <c r="B4647" s="4">
        <v>36368</v>
      </c>
      <c r="C4647" s="4">
        <v>2403</v>
      </c>
      <c r="D4647" s="5" t="s">
        <v>6822</v>
      </c>
      <c r="E4647" s="6" t="str">
        <f>HYPERLINK("https://inpn.mnhn.fr/espece/cd_nom/36368","Inocybe haemacta (Berk. &amp; Cooke) Sacc., 1887")</f>
        <v>Inocybe haemacta (Berk. &amp; Cooke) Sacc., 1887</v>
      </c>
      <c r="F4647" s="5" t="s">
        <v>6823</v>
      </c>
      <c r="V4647" s="7" t="str">
        <f>HYPERLINK("#Liste_rouge!A"&amp;_xlfn.XMATCH("EN",Liste_rouge!A:A,2,1),"EN")</f>
        <v>EN</v>
      </c>
      <c r="W4647" s="4" t="str">
        <f>HYPERLINK("#Critères_liste_rouge!A$1","B2abiii")</f>
        <v>B2abiii</v>
      </c>
      <c r="Z4647" s="4" t="s">
        <v>443</v>
      </c>
      <c r="AA4647" s="4" t="s">
        <v>444</v>
      </c>
      <c r="AH4647" s="4" t="str">
        <f>HYPERLINK("#Statut_biogéographique!A"&amp;_xlfn.XMATCH("P",Statut_biogéographique!A:A,2,1),"P")</f>
        <v>P</v>
      </c>
      <c r="AP4647" s="4" t="s">
        <v>376</v>
      </c>
      <c r="AR4647" s="4" t="s">
        <v>377</v>
      </c>
    </row>
    <row r="4648" spans="1:44">
      <c r="A4648" s="4" t="s">
        <v>5</v>
      </c>
      <c r="B4648" s="4">
        <v>36371</v>
      </c>
      <c r="C4648" s="4">
        <v>3323</v>
      </c>
      <c r="D4648" s="5" t="s">
        <v>6824</v>
      </c>
      <c r="E4648" s="6" t="str">
        <f>HYPERLINK("https://inpn.mnhn.fr/espece/cd_nom/36371","Inocybe heimiana Bon, 1984")</f>
        <v>Inocybe heimiana Bon, 1984</v>
      </c>
      <c r="F4648" s="5" t="s">
        <v>6825</v>
      </c>
      <c r="V4648" s="7" t="str">
        <f>HYPERLINK("#Liste_rouge!A"&amp;_xlfn.XMATCH("DD",Liste_rouge!A:A,2,1),"DD")</f>
        <v>DD</v>
      </c>
      <c r="AH4648" s="4" t="str">
        <f>HYPERLINK("#Statut_biogéographique!A"&amp;_xlfn.XMATCH("P",Statut_biogéographique!A:A,2,1),"P")</f>
        <v>P</v>
      </c>
      <c r="AP4648" s="4" t="s">
        <v>376</v>
      </c>
      <c r="AR4648" s="4" t="s">
        <v>377</v>
      </c>
    </row>
    <row r="4649" spans="1:44">
      <c r="A4649" s="4" t="s">
        <v>5</v>
      </c>
      <c r="B4649" s="4">
        <v>36374</v>
      </c>
      <c r="C4649" s="4">
        <v>1744</v>
      </c>
      <c r="D4649" s="5" t="s">
        <v>6826</v>
      </c>
      <c r="E4649" s="6" t="str">
        <f>HYPERLINK("https://inpn.mnhn.fr/espece/cd_nom/36374","Inocybe hirtella Bres., 1884")</f>
        <v>Inocybe hirtella Bres., 1884</v>
      </c>
      <c r="F4649" s="5" t="s">
        <v>6827</v>
      </c>
      <c r="V4649" s="7" t="str">
        <f>HYPERLINK("#Liste_rouge!A"&amp;_xlfn.XMATCH("LC",Liste_rouge!A:A,2,1),"LC")</f>
        <v>LC</v>
      </c>
      <c r="AH4649" s="4" t="str">
        <f>HYPERLINK("#Statut_biogéographique!A"&amp;_xlfn.XMATCH("P",Statut_biogéographique!A:A,2,1),"P")</f>
        <v>P</v>
      </c>
      <c r="AP4649" s="4" t="s">
        <v>376</v>
      </c>
      <c r="AR4649" s="4" t="s">
        <v>377</v>
      </c>
    </row>
    <row r="4650" spans="1:44">
      <c r="A4650" s="4" t="s">
        <v>5</v>
      </c>
      <c r="B4650" s="4">
        <v>36377</v>
      </c>
      <c r="C4650" s="4">
        <v>5683</v>
      </c>
      <c r="D4650" s="5" t="s">
        <v>6828</v>
      </c>
      <c r="E4650" s="6" t="str">
        <f>HYPERLINK("https://inpn.mnhn.fr/espece/cd_nom/36377","Inocybe hirtelloides Stangl &amp; J.Veselský, 1974")</f>
        <v>Inocybe hirtelloides Stangl &amp; J.Veselský, 1974</v>
      </c>
      <c r="V4650" s="7" t="str">
        <f>HYPERLINK("#Liste_rouge!A"&amp;_xlfn.XMATCH("DD",Liste_rouge!A:A,2,1),"DD")</f>
        <v>DD</v>
      </c>
      <c r="AH4650" s="4" t="str">
        <f>HYPERLINK("#Statut_biogéographique!A"&amp;_xlfn.XMATCH("P",Statut_biogéographique!A:A,2,1),"P")</f>
        <v>P</v>
      </c>
      <c r="AP4650" s="4" t="s">
        <v>376</v>
      </c>
      <c r="AR4650" s="4" t="s">
        <v>377</v>
      </c>
    </row>
    <row r="4651" spans="1:44">
      <c r="A4651" s="4" t="s">
        <v>5</v>
      </c>
      <c r="B4651" s="4">
        <v>36379</v>
      </c>
      <c r="C4651" s="4">
        <v>3157</v>
      </c>
      <c r="D4651" s="5" t="s">
        <v>6829</v>
      </c>
      <c r="E4651" s="6" t="str">
        <f>HYPERLINK("https://inpn.mnhn.fr/espece/cd_nom/36379","Inocybe hygrophorus Kühner, 1956")</f>
        <v>Inocybe hygrophorus Kühner, 1956</v>
      </c>
      <c r="F4651" s="5" t="s">
        <v>6830</v>
      </c>
      <c r="V4651" s="7" t="str">
        <f>HYPERLINK("#Liste_rouge!A"&amp;_xlfn.XMATCH("EN",Liste_rouge!A:A,2,1),"EN")</f>
        <v>EN</v>
      </c>
      <c r="W4651" s="4" t="str">
        <f>HYPERLINK("#Critères_liste_rouge!A$1","B2abiii")</f>
        <v>B2abiii</v>
      </c>
      <c r="Z4651" s="4" t="s">
        <v>447</v>
      </c>
      <c r="AA4651" s="4" t="s">
        <v>448</v>
      </c>
      <c r="AH4651" s="4" t="str">
        <f>HYPERLINK("#Statut_biogéographique!A"&amp;_xlfn.XMATCH("P",Statut_biogéographique!A:A,2,1),"P")</f>
        <v>P</v>
      </c>
      <c r="AP4651" s="4" t="s">
        <v>376</v>
      </c>
      <c r="AR4651" s="4" t="s">
        <v>377</v>
      </c>
    </row>
    <row r="4652" spans="1:44">
      <c r="A4652" s="4" t="s">
        <v>5</v>
      </c>
      <c r="B4652" s="4">
        <v>36380</v>
      </c>
      <c r="C4652" s="4">
        <v>2432</v>
      </c>
      <c r="D4652" s="5" t="s">
        <v>6831</v>
      </c>
      <c r="E4652" s="6" t="str">
        <f>HYPERLINK("https://inpn.mnhn.fr/espece/cd_nom/36380","Inocybe hystrix (Fr.) P.Karst., 1879")</f>
        <v>Inocybe hystrix (Fr.) P.Karst., 1879</v>
      </c>
      <c r="F4652" s="5" t="s">
        <v>6832</v>
      </c>
      <c r="V4652" s="7" t="str">
        <f>HYPERLINK("#Liste_rouge!A"&amp;_xlfn.XMATCH("EN",Liste_rouge!A:A,2,1),"EN")</f>
        <v>EN</v>
      </c>
      <c r="W4652" s="4" t="str">
        <f>HYPERLINK("#Critères_liste_rouge!A$1","B2abiii")</f>
        <v>B2abiii</v>
      </c>
      <c r="Z4652" s="4" t="s">
        <v>695</v>
      </c>
      <c r="AA4652" s="4" t="s">
        <v>696</v>
      </c>
      <c r="AH4652" s="4" t="str">
        <f>HYPERLINK("#Statut_biogéographique!A"&amp;_xlfn.XMATCH("P",Statut_biogéographique!A:A,2,1),"P")</f>
        <v>P</v>
      </c>
      <c r="AP4652" s="4" t="s">
        <v>376</v>
      </c>
      <c r="AR4652" s="4" t="s">
        <v>377</v>
      </c>
    </row>
    <row r="4653" spans="1:44" ht="30">
      <c r="A4653" s="4" t="s">
        <v>5</v>
      </c>
      <c r="B4653" s="4">
        <v>36388</v>
      </c>
      <c r="C4653" s="4">
        <v>3199</v>
      </c>
      <c r="D4653" s="5" t="s">
        <v>6833</v>
      </c>
      <c r="E4653" s="6" t="str">
        <f>HYPERLINK("https://inpn.mnhn.fr/espece/cd_nom/36388","Inocybe piriodora var. incarnata (Bres.) Maire")</f>
        <v>Inocybe piriodora var. incarnata (Bres.) Maire</v>
      </c>
      <c r="F4653" s="5" t="s">
        <v>6834</v>
      </c>
      <c r="V4653" s="7" t="str">
        <f>HYPERLINK("#Liste_rouge!A"&amp;_xlfn.XMATCH("LC",Liste_rouge!A:A,2,1),"LC")</f>
        <v>LC</v>
      </c>
      <c r="AH4653" s="4" t="str">
        <f>HYPERLINK("#Statut_biogéographique!A"&amp;_xlfn.XMATCH("P",Statut_biogéographique!A:A,2,1),"P")</f>
        <v>P</v>
      </c>
      <c r="AP4653" s="4" t="s">
        <v>376</v>
      </c>
      <c r="AR4653" s="4" t="s">
        <v>377</v>
      </c>
    </row>
    <row r="4654" spans="1:44">
      <c r="A4654" s="4" t="s">
        <v>5</v>
      </c>
      <c r="B4654" s="4">
        <v>36398</v>
      </c>
      <c r="C4654" s="4">
        <v>436</v>
      </c>
      <c r="D4654" s="5" t="s">
        <v>6835</v>
      </c>
      <c r="E4654" s="6" t="str">
        <f>HYPERLINK("https://inpn.mnhn.fr/espece/cd_nom/36398","Inocybe jurana (Pat.) Sacc., 1887")</f>
        <v>Inocybe jurana (Pat.) Sacc., 1887</v>
      </c>
      <c r="F4654" s="5" t="s">
        <v>6836</v>
      </c>
      <c r="V4654" s="7" t="str">
        <f>HYPERLINK("#Liste_rouge!A"&amp;_xlfn.XMATCH("LC",Liste_rouge!A:A,2,1),"LC")</f>
        <v>LC</v>
      </c>
      <c r="AH4654" s="4" t="str">
        <f>HYPERLINK("#Statut_biogéographique!A"&amp;_xlfn.XMATCH("P",Statut_biogéographique!A:A,2,1),"P")</f>
        <v>P</v>
      </c>
      <c r="AP4654" s="4" t="s">
        <v>376</v>
      </c>
      <c r="AR4654" s="4" t="s">
        <v>377</v>
      </c>
    </row>
    <row r="4655" spans="1:44">
      <c r="A4655" s="4" t="s">
        <v>5</v>
      </c>
      <c r="B4655" s="4">
        <v>36401</v>
      </c>
      <c r="C4655" s="4">
        <v>3244</v>
      </c>
      <c r="D4655" s="5" t="s">
        <v>6837</v>
      </c>
      <c r="E4655" s="6" t="str">
        <f>HYPERLINK("https://inpn.mnhn.fr/espece/cd_nom/36401","Inocybe rhodiola Bres., 1887")</f>
        <v>Inocybe rhodiola Bres., 1887</v>
      </c>
      <c r="V4655" s="7" t="str">
        <f>HYPERLINK("#Liste_rouge!A"&amp;_xlfn.XMATCH("RE",Liste_rouge!A:A,2,1),"RE")</f>
        <v>RE</v>
      </c>
      <c r="AH4655" s="4" t="str">
        <f>HYPERLINK("#Statut_biogéographique!A"&amp;_xlfn.XMATCH("P",Statut_biogéographique!A:A,2,1),"P")</f>
        <v>P</v>
      </c>
      <c r="AP4655" s="4" t="s">
        <v>376</v>
      </c>
      <c r="AR4655" s="4" t="s">
        <v>377</v>
      </c>
    </row>
    <row r="4656" spans="1:44">
      <c r="A4656" s="4" t="s">
        <v>5</v>
      </c>
      <c r="B4656" s="4">
        <v>36403</v>
      </c>
      <c r="C4656" s="4">
        <v>2000</v>
      </c>
      <c r="D4656" s="5" t="s">
        <v>6838</v>
      </c>
      <c r="E4656" s="6" t="str">
        <f>HYPERLINK("https://inpn.mnhn.fr/espece/cd_nom/36403","Inocybe eutheles (Fr.) Quél., 1880")</f>
        <v>Inocybe eutheles (Fr.) Quél., 1880</v>
      </c>
      <c r="V4656" s="7" t="str">
        <f>HYPERLINK("#Liste_rouge!A"&amp;_xlfn.XMATCH("LC",Liste_rouge!A:A,2,1),"LC")</f>
        <v>LC</v>
      </c>
      <c r="AH4656" s="4" t="str">
        <f>HYPERLINK("#Statut_biogéographique!A"&amp;_xlfn.XMATCH("P",Statut_biogéographique!A:A,2,1),"P")</f>
        <v>P</v>
      </c>
      <c r="AP4656" s="4" t="s">
        <v>376</v>
      </c>
      <c r="AR4656" s="4" t="s">
        <v>377</v>
      </c>
    </row>
    <row r="4657" spans="1:44">
      <c r="A4657" s="4" t="s">
        <v>5</v>
      </c>
      <c r="B4657" s="4">
        <v>36405</v>
      </c>
      <c r="C4657" s="4">
        <v>2018</v>
      </c>
      <c r="D4657" s="5" t="s">
        <v>6839</v>
      </c>
      <c r="E4657" s="6" t="str">
        <f>HYPERLINK("https://inpn.mnhn.fr/espece/cd_nom/36405","Inocybe sindonia (Fr.) P.Karst., 1879")</f>
        <v>Inocybe sindonia (Fr.) P.Karst., 1879</v>
      </c>
      <c r="F4657" s="5" t="s">
        <v>6840</v>
      </c>
      <c r="V4657" s="7" t="str">
        <f>HYPERLINK("#Liste_rouge!A"&amp;_xlfn.XMATCH("LC",Liste_rouge!A:A,2,1),"LC")</f>
        <v>LC</v>
      </c>
      <c r="AH4657" s="4" t="str">
        <f>HYPERLINK("#Statut_biogéographique!A"&amp;_xlfn.XMATCH("P",Statut_biogéographique!A:A,2,1),"P")</f>
        <v>P</v>
      </c>
      <c r="AP4657" s="4" t="s">
        <v>376</v>
      </c>
      <c r="AR4657" s="4" t="s">
        <v>377</v>
      </c>
    </row>
    <row r="4658" spans="1:44">
      <c r="A4658" s="4" t="s">
        <v>5</v>
      </c>
      <c r="B4658" s="4">
        <v>36406</v>
      </c>
      <c r="C4658" s="4">
        <v>2435</v>
      </c>
      <c r="D4658" s="5" t="s">
        <v>6841</v>
      </c>
      <c r="E4658" s="6" t="str">
        <f>HYPERLINK("https://inpn.mnhn.fr/espece/cd_nom/36406","Inocybe lacera (Fr.) P.Kumm., 1871")</f>
        <v>Inocybe lacera (Fr.) P.Kumm., 1871</v>
      </c>
      <c r="F4658" s="5" t="s">
        <v>6842</v>
      </c>
      <c r="V4658" s="7" t="str">
        <f>HYPERLINK("#Liste_rouge!A"&amp;_xlfn.XMATCH("LC",Liste_rouge!A:A,2,1),"LC")</f>
        <v>LC</v>
      </c>
      <c r="AH4658" s="4" t="str">
        <f>HYPERLINK("#Statut_biogéographique!A"&amp;_xlfn.XMATCH("P",Statut_biogéographique!A:A,2,1),"P")</f>
        <v>P</v>
      </c>
      <c r="AP4658" s="4" t="s">
        <v>376</v>
      </c>
      <c r="AR4658" s="4" t="s">
        <v>377</v>
      </c>
    </row>
    <row r="4659" spans="1:44">
      <c r="A4659" s="4" t="s">
        <v>5</v>
      </c>
      <c r="B4659" s="4">
        <v>36409</v>
      </c>
      <c r="D4659" s="5" t="s">
        <v>6843</v>
      </c>
      <c r="E4659" s="6" t="str">
        <f>HYPERLINK("https://inpn.mnhn.fr/espece/cd_nom/36409","Inocybe lanuginosa (Bull.) P.Kumm., 1871")</f>
        <v>Inocybe lanuginosa (Bull.) P.Kumm., 1871</v>
      </c>
      <c r="V4659" s="7" t="str">
        <f>HYPERLINK("#Liste_rouge!A"&amp;_xlfn.XMATCH("LC",Liste_rouge!A:A,2,1),"LC")</f>
        <v>LC</v>
      </c>
      <c r="AH4659" s="4" t="str">
        <f>HYPERLINK("#Statut_biogéographique!A"&amp;_xlfn.XMATCH("P",Statut_biogéographique!A:A,2,1),"P")</f>
        <v>P</v>
      </c>
      <c r="AP4659" s="4" t="s">
        <v>376</v>
      </c>
      <c r="AR4659" s="4" t="s">
        <v>377</v>
      </c>
    </row>
    <row r="4660" spans="1:44">
      <c r="A4660" s="4" t="s">
        <v>5</v>
      </c>
      <c r="B4660" s="4">
        <v>36415</v>
      </c>
      <c r="C4660" s="4">
        <v>3711</v>
      </c>
      <c r="D4660" s="5" t="s">
        <v>6844</v>
      </c>
      <c r="E4660" s="6" t="str">
        <f>HYPERLINK("https://inpn.mnhn.fr/espece/cd_nom/36415","Inocybe leptophylla G.F.Atk., 1918")</f>
        <v>Inocybe leptophylla G.F.Atk., 1918</v>
      </c>
      <c r="V4660" s="7" t="str">
        <f>HYPERLINK("#Liste_rouge!A"&amp;_xlfn.XMATCH("CR",Liste_rouge!A:A,2,1),"CR")</f>
        <v>CR</v>
      </c>
      <c r="W4660" s="4" t="str">
        <f>HYPERLINK("#Critères_liste_rouge!A$1","B2abiii")</f>
        <v>B2abiii</v>
      </c>
      <c r="Z4660" s="4" t="s">
        <v>695</v>
      </c>
      <c r="AA4660" s="4" t="s">
        <v>696</v>
      </c>
      <c r="AH4660" s="4" t="str">
        <f>HYPERLINK("#Statut_biogéographique!A"&amp;_xlfn.XMATCH("P",Statut_biogéographique!A:A,2,1),"P")</f>
        <v>P</v>
      </c>
      <c r="AP4660" s="4" t="s">
        <v>376</v>
      </c>
      <c r="AR4660" s="4" t="s">
        <v>377</v>
      </c>
    </row>
    <row r="4661" spans="1:44">
      <c r="A4661" s="4" t="s">
        <v>5</v>
      </c>
      <c r="B4661" s="4">
        <v>36416</v>
      </c>
      <c r="C4661" s="4">
        <v>5672</v>
      </c>
      <c r="D4661" s="5" t="s">
        <v>6845</v>
      </c>
      <c r="E4661" s="6" t="str">
        <f>HYPERLINK("https://inpn.mnhn.fr/espece/cd_nom/36416","Inocybe casimiri Velen., 1920")</f>
        <v>Inocybe casimiri Velen., 1920</v>
      </c>
      <c r="V4661" s="7" t="str">
        <f>HYPERLINK("#Liste_rouge!A"&amp;_xlfn.XMATCH("DD",Liste_rouge!A:A,2,1),"DD")</f>
        <v>DD</v>
      </c>
      <c r="AH4661" s="4" t="str">
        <f>HYPERLINK("#Statut_biogéographique!A"&amp;_xlfn.XMATCH("P",Statut_biogéographique!A:A,2,1),"P")</f>
        <v>P</v>
      </c>
      <c r="AP4661" s="4" t="s">
        <v>376</v>
      </c>
      <c r="AR4661" s="4" t="s">
        <v>377</v>
      </c>
    </row>
    <row r="4662" spans="1:44">
      <c r="A4662" s="4" t="s">
        <v>5</v>
      </c>
      <c r="B4662" s="4">
        <v>36418</v>
      </c>
      <c r="C4662" s="4">
        <v>5684</v>
      </c>
      <c r="D4662" s="5" t="s">
        <v>6846</v>
      </c>
      <c r="E4662" s="6" t="str">
        <f>HYPERLINK("https://inpn.mnhn.fr/espece/cd_nom/36418","Inocybe leucoblema Kühner, 1956")</f>
        <v>Inocybe leucoblema Kühner, 1956</v>
      </c>
      <c r="F4662" s="5" t="s">
        <v>6847</v>
      </c>
      <c r="V4662" s="7" t="str">
        <f>HYPERLINK("#Liste_rouge!A"&amp;_xlfn.XMATCH("DD",Liste_rouge!A:A,2,1),"DD")</f>
        <v>DD</v>
      </c>
      <c r="AH4662" s="4" t="str">
        <f>HYPERLINK("#Statut_biogéographique!A"&amp;_xlfn.XMATCH("P",Statut_biogéographique!A:A,2,1),"P")</f>
        <v>P</v>
      </c>
      <c r="AP4662" s="4" t="s">
        <v>376</v>
      </c>
      <c r="AR4662" s="4" t="s">
        <v>377</v>
      </c>
    </row>
    <row r="4663" spans="1:44">
      <c r="A4663" s="4" t="s">
        <v>5</v>
      </c>
      <c r="B4663" s="4">
        <v>36419</v>
      </c>
      <c r="C4663" s="4">
        <v>4671</v>
      </c>
      <c r="D4663" s="5" t="s">
        <v>6848</v>
      </c>
      <c r="E4663" s="6" t="str">
        <f>HYPERLINK("https://inpn.mnhn.fr/espece/cd_nom/36419","Inocybe lucifuga (Fr.) P.Kumm., 1871")</f>
        <v>Inocybe lucifuga (Fr.) P.Kumm., 1871</v>
      </c>
      <c r="V4663" s="7" t="str">
        <f>HYPERLINK("#Liste_rouge!A"&amp;_xlfn.XMATCH("RE",Liste_rouge!A:A,2,1),"RE")</f>
        <v>RE</v>
      </c>
      <c r="AH4663" s="4" t="str">
        <f>HYPERLINK("#Statut_biogéographique!A"&amp;_xlfn.XMATCH("P",Statut_biogéographique!A:A,2,1),"P")</f>
        <v>P</v>
      </c>
      <c r="AP4663" s="4" t="s">
        <v>376</v>
      </c>
      <c r="AR4663" s="4" t="s">
        <v>377</v>
      </c>
    </row>
    <row r="4664" spans="1:44">
      <c r="A4664" s="4" t="s">
        <v>5</v>
      </c>
      <c r="B4664" s="4">
        <v>36421</v>
      </c>
      <c r="C4664" s="4">
        <v>3002</v>
      </c>
      <c r="D4664" s="5" t="s">
        <v>6849</v>
      </c>
      <c r="E4664" s="6" t="str">
        <f>HYPERLINK("https://inpn.mnhn.fr/espece/cd_nom/36421","Inocybe lutescens Velen., 1920")</f>
        <v>Inocybe lutescens Velen., 1920</v>
      </c>
      <c r="F4664" s="5" t="s">
        <v>6850</v>
      </c>
      <c r="V4664" s="7" t="str">
        <f>HYPERLINK("#Liste_rouge!A"&amp;_xlfn.XMATCH("LC",Liste_rouge!A:A,2,1),"LC")</f>
        <v>LC</v>
      </c>
      <c r="AH4664" s="4" t="str">
        <f>HYPERLINK("#Statut_biogéographique!A"&amp;_xlfn.XMATCH("P",Statut_biogéographique!A:A,2,1),"P")</f>
        <v>P</v>
      </c>
      <c r="AP4664" s="4" t="s">
        <v>376</v>
      </c>
      <c r="AR4664" s="4" t="s">
        <v>377</v>
      </c>
    </row>
    <row r="4665" spans="1:44">
      <c r="A4665" s="4" t="s">
        <v>5</v>
      </c>
      <c r="B4665" s="4">
        <v>36423</v>
      </c>
      <c r="C4665" s="4">
        <v>1485</v>
      </c>
      <c r="D4665" s="5" t="s">
        <v>6851</v>
      </c>
      <c r="E4665" s="6" t="str">
        <f>HYPERLINK("https://inpn.mnhn.fr/espece/cd_nom/36423","Inocybe maculata Boud., 1885")</f>
        <v>Inocybe maculata Boud., 1885</v>
      </c>
      <c r="F4665" s="5" t="s">
        <v>6852</v>
      </c>
      <c r="V4665" s="7" t="str">
        <f>HYPERLINK("#Liste_rouge!A"&amp;_xlfn.XMATCH("LC",Liste_rouge!A:A,2,1),"LC")</f>
        <v>LC</v>
      </c>
      <c r="AH4665" s="4" t="str">
        <f>HYPERLINK("#Statut_biogéographique!A"&amp;_xlfn.XMATCH("P",Statut_biogéographique!A:A,2,1),"P")</f>
        <v>P</v>
      </c>
      <c r="AP4665" s="4" t="s">
        <v>376</v>
      </c>
      <c r="AR4665" s="4" t="s">
        <v>377</v>
      </c>
    </row>
    <row r="4666" spans="1:44">
      <c r="A4666" s="4" t="s">
        <v>5</v>
      </c>
      <c r="B4666" s="4">
        <v>36425</v>
      </c>
      <c r="C4666" s="4">
        <v>6426</v>
      </c>
      <c r="D4666" s="5" t="s">
        <v>6853</v>
      </c>
      <c r="E4666" s="6" t="str">
        <f>HYPERLINK("https://inpn.mnhn.fr/espece/cd_nom/36425","Inocybe maculata f. fulva Bon, 1991")</f>
        <v>Inocybe maculata f. fulva Bon, 1991</v>
      </c>
      <c r="F4666" s="5" t="s">
        <v>6854</v>
      </c>
      <c r="AH4666" s="4" t="str">
        <f>HYPERLINK("#Statut_biogéographique!A"&amp;_xlfn.XMATCH("P",Statut_biogéographique!A:A,2,1),"P")</f>
        <v>P</v>
      </c>
      <c r="AP4666" s="4" t="s">
        <v>376</v>
      </c>
      <c r="AR4666" s="4" t="s">
        <v>377</v>
      </c>
    </row>
    <row r="4667" spans="1:44">
      <c r="A4667" s="4" t="s">
        <v>5</v>
      </c>
      <c r="B4667" s="4">
        <v>36429</v>
      </c>
      <c r="C4667" s="4">
        <v>2840</v>
      </c>
      <c r="D4667" s="5" t="s">
        <v>6855</v>
      </c>
      <c r="E4667" s="6" t="str">
        <f>HYPERLINK("https://inpn.mnhn.fr/espece/cd_nom/36429","Inocybe margaritispora (Berk.) Sacc., 1887")</f>
        <v>Inocybe margaritispora (Berk.) Sacc., 1887</v>
      </c>
      <c r="F4667" s="5" t="s">
        <v>6856</v>
      </c>
      <c r="V4667" s="7" t="str">
        <f>HYPERLINK("#Liste_rouge!A"&amp;_xlfn.XMATCH("LC",Liste_rouge!A:A,2,1),"LC")</f>
        <v>LC</v>
      </c>
      <c r="AH4667" s="4" t="str">
        <f>HYPERLINK("#Statut_biogéographique!A"&amp;_xlfn.XMATCH("P",Statut_biogéographique!A:A,2,1),"P")</f>
        <v>P</v>
      </c>
      <c r="AP4667" s="4" t="s">
        <v>376</v>
      </c>
      <c r="AR4667" s="4" t="s">
        <v>377</v>
      </c>
    </row>
    <row r="4668" spans="1:44">
      <c r="A4668" s="4" t="s">
        <v>5</v>
      </c>
      <c r="B4668" s="4">
        <v>36435</v>
      </c>
      <c r="C4668" s="4">
        <v>3243</v>
      </c>
      <c r="D4668" s="5" t="s">
        <v>6857</v>
      </c>
      <c r="E4668" s="6" t="str">
        <f>HYPERLINK("https://inpn.mnhn.fr/espece/cd_nom/36435","Inocybe mixtilis (Britzelm.) Sacc., 1887")</f>
        <v>Inocybe mixtilis (Britzelm.) Sacc., 1887</v>
      </c>
      <c r="F4668" s="5" t="s">
        <v>6858</v>
      </c>
      <c r="V4668" s="7" t="str">
        <f>HYPERLINK("#Liste_rouge!A"&amp;_xlfn.XMATCH("LC",Liste_rouge!A:A,2,1),"LC")</f>
        <v>LC</v>
      </c>
      <c r="AH4668" s="4" t="str">
        <f>HYPERLINK("#Statut_biogéographique!A"&amp;_xlfn.XMATCH("P",Statut_biogéographique!A:A,2,1),"P")</f>
        <v>P</v>
      </c>
      <c r="AP4668" s="4" t="s">
        <v>376</v>
      </c>
      <c r="AR4668" s="4" t="s">
        <v>377</v>
      </c>
    </row>
    <row r="4669" spans="1:44">
      <c r="A4669" s="4" t="s">
        <v>5</v>
      </c>
      <c r="B4669" s="4">
        <v>36440</v>
      </c>
      <c r="D4669" s="5">
        <v>36440</v>
      </c>
      <c r="E4669" s="6" t="str">
        <f>HYPERLINK("https://inpn.mnhn.fr/espece/cd_nom/36440","Inocybe muricellata Bres., 1905")</f>
        <v>Inocybe muricellata Bres., 1905</v>
      </c>
      <c r="V4669" s="7" t="str">
        <f>HYPERLINK("#Liste_rouge!A"&amp;_xlfn.XMATCH("LC",Liste_rouge!A:A,2,1),"LC")</f>
        <v>LC</v>
      </c>
      <c r="AH4669" s="4" t="str">
        <f>HYPERLINK("#Statut_biogéographique!A"&amp;_xlfn.XMATCH("P",Statut_biogéographique!A:A,2,1),"P")</f>
        <v>P</v>
      </c>
      <c r="AP4669" s="4" t="s">
        <v>376</v>
      </c>
      <c r="AR4669" s="4" t="s">
        <v>377</v>
      </c>
    </row>
    <row r="4670" spans="1:44">
      <c r="A4670" s="4" t="s">
        <v>5</v>
      </c>
      <c r="B4670" s="4">
        <v>36443</v>
      </c>
      <c r="C4670" s="4">
        <v>2123</v>
      </c>
      <c r="D4670" s="5" t="s">
        <v>6859</v>
      </c>
      <c r="E4670" s="6" t="str">
        <f>HYPERLINK("https://inpn.mnhn.fr/espece/cd_nom/36443","Inocybe napipes J.E.Lange, 1917")</f>
        <v>Inocybe napipes J.E.Lange, 1917</v>
      </c>
      <c r="F4670" s="5" t="s">
        <v>6860</v>
      </c>
      <c r="V4670" s="7" t="str">
        <f>HYPERLINK("#Liste_rouge!A"&amp;_xlfn.XMATCH("VU",Liste_rouge!A:A,2,1),"VU")</f>
        <v>VU</v>
      </c>
      <c r="W4670" s="4" t="str">
        <f>HYPERLINK("#Critères_liste_rouge!A$1","A2c")</f>
        <v>A2c</v>
      </c>
      <c r="Z4670" s="4" t="s">
        <v>447</v>
      </c>
      <c r="AA4670" s="4" t="s">
        <v>448</v>
      </c>
      <c r="AH4670" s="4" t="str">
        <f>HYPERLINK("#Statut_biogéographique!A"&amp;_xlfn.XMATCH("P",Statut_biogéographique!A:A,2,1),"P")</f>
        <v>P</v>
      </c>
      <c r="AP4670" s="4" t="s">
        <v>376</v>
      </c>
      <c r="AR4670" s="4" t="s">
        <v>377</v>
      </c>
    </row>
    <row r="4671" spans="1:44">
      <c r="A4671" s="4" t="s">
        <v>5</v>
      </c>
      <c r="B4671" s="4">
        <v>36445</v>
      </c>
      <c r="C4671" s="4">
        <v>1520</v>
      </c>
      <c r="D4671" s="5" t="s">
        <v>6861</v>
      </c>
      <c r="E4671" s="6" t="str">
        <f>HYPERLINK("https://inpn.mnhn.fr/espece/cd_nom/36445","Inocybe nitidiuscula (Britzelm.) Lapl., 1894")</f>
        <v>Inocybe nitidiuscula (Britzelm.) Lapl., 1894</v>
      </c>
      <c r="F4671" s="5" t="s">
        <v>6862</v>
      </c>
      <c r="V4671" s="7" t="str">
        <f>HYPERLINK("#Liste_rouge!A"&amp;_xlfn.XMATCH("LC",Liste_rouge!A:A,2,1),"LC")</f>
        <v>LC</v>
      </c>
      <c r="AH4671" s="4" t="str">
        <f>HYPERLINK("#Statut_biogéographique!A"&amp;_xlfn.XMATCH("P",Statut_biogéographique!A:A,2,1),"P")</f>
        <v>P</v>
      </c>
      <c r="AP4671" s="4" t="s">
        <v>376</v>
      </c>
      <c r="AR4671" s="4" t="s">
        <v>377</v>
      </c>
    </row>
    <row r="4672" spans="1:44">
      <c r="A4672" s="4" t="s">
        <v>5</v>
      </c>
      <c r="B4672" s="4">
        <v>36449</v>
      </c>
      <c r="C4672" s="4">
        <v>5686</v>
      </c>
      <c r="D4672" s="5" t="s">
        <v>6863</v>
      </c>
      <c r="E4672" s="6" t="str">
        <f>HYPERLINK("https://inpn.mnhn.fr/espece/cd_nom/36449","Inocybe nobilis (R.Heim) Alessio, 1980")</f>
        <v>Inocybe nobilis (R.Heim) Alessio, 1980</v>
      </c>
      <c r="V4672" s="7" t="str">
        <f>HYPERLINK("#Liste_rouge!A"&amp;_xlfn.XMATCH("DD",Liste_rouge!A:A,2,1),"DD")</f>
        <v>DD</v>
      </c>
      <c r="AH4672" s="4" t="str">
        <f>HYPERLINK("#Statut_biogéographique!A"&amp;_xlfn.XMATCH("P",Statut_biogéographique!A:A,2,1),"P")</f>
        <v>P</v>
      </c>
      <c r="AP4672" s="4" t="s">
        <v>376</v>
      </c>
      <c r="AR4672" s="4" t="s">
        <v>377</v>
      </c>
    </row>
    <row r="4673" spans="1:44">
      <c r="A4673" s="4" t="s">
        <v>5</v>
      </c>
      <c r="B4673" s="4">
        <v>36450</v>
      </c>
      <c r="C4673" s="4">
        <v>5687</v>
      </c>
      <c r="D4673" s="5" t="s">
        <v>6864</v>
      </c>
      <c r="E4673" s="6" t="str">
        <f>HYPERLINK("https://inpn.mnhn.fr/espece/cd_nom/36450","Inocybe oblectabilis (Britzelm.) Sacc., 1895")</f>
        <v>Inocybe oblectabilis (Britzelm.) Sacc., 1895</v>
      </c>
      <c r="V4673" s="7" t="str">
        <f>HYPERLINK("#Liste_rouge!A"&amp;_xlfn.XMATCH("DD",Liste_rouge!A:A,2,1),"DD")</f>
        <v>DD</v>
      </c>
      <c r="AH4673" s="4" t="str">
        <f>HYPERLINK("#Statut_biogéographique!A"&amp;_xlfn.XMATCH("P",Statut_biogéographique!A:A,2,1),"P")</f>
        <v>P</v>
      </c>
      <c r="AP4673" s="4" t="s">
        <v>376</v>
      </c>
      <c r="AR4673" s="4" t="s">
        <v>377</v>
      </c>
    </row>
    <row r="4674" spans="1:44" ht="30">
      <c r="A4674" s="4" t="s">
        <v>5</v>
      </c>
      <c r="B4674" s="4">
        <v>36453</v>
      </c>
      <c r="C4674" s="4">
        <v>2722</v>
      </c>
      <c r="D4674" s="5" t="s">
        <v>6865</v>
      </c>
      <c r="E4674" s="6" t="str">
        <f>HYPERLINK("https://inpn.mnhn.fr/espece/cd_nom/36453","Inocybe obscura Gillet, 1876")</f>
        <v>Inocybe obscura Gillet, 1876</v>
      </c>
      <c r="F4674" s="5" t="s">
        <v>6866</v>
      </c>
      <c r="V4674" s="7" t="str">
        <f>HYPERLINK("#Liste_rouge!A"&amp;_xlfn.XMATCH("LC",Liste_rouge!A:A,2,1),"LC")</f>
        <v>LC</v>
      </c>
      <c r="AH4674" s="4" t="str">
        <f>HYPERLINK("#Statut_biogéographique!A"&amp;_xlfn.XMATCH("P",Statut_biogéographique!A:A,2,1),"P")</f>
        <v>P</v>
      </c>
      <c r="AP4674" s="4" t="s">
        <v>376</v>
      </c>
      <c r="AR4674" s="4" t="s">
        <v>377</v>
      </c>
    </row>
    <row r="4675" spans="1:44">
      <c r="A4675" s="4" t="s">
        <v>5</v>
      </c>
      <c r="B4675" s="4">
        <v>36454</v>
      </c>
      <c r="C4675" s="4">
        <v>4956</v>
      </c>
      <c r="D4675" s="5" t="s">
        <v>6867</v>
      </c>
      <c r="E4675" s="6" t="str">
        <f>HYPERLINK("https://inpn.mnhn.fr/espece/cd_nom/36454","Inocybe obscuroides P.D.Orton, 1960")</f>
        <v>Inocybe obscuroides P.D.Orton, 1960</v>
      </c>
      <c r="F4675" s="5" t="s">
        <v>6868</v>
      </c>
      <c r="V4675" s="7" t="str">
        <f>HYPERLINK("#Liste_rouge!A"&amp;_xlfn.XMATCH("EN",Liste_rouge!A:A,2,1),"EN")</f>
        <v>EN</v>
      </c>
      <c r="W4675" s="4" t="str">
        <f>HYPERLINK("#Critères_liste_rouge!A$1","B2abiii")</f>
        <v>B2abiii</v>
      </c>
      <c r="Z4675" s="4" t="s">
        <v>443</v>
      </c>
      <c r="AA4675" s="4" t="s">
        <v>444</v>
      </c>
      <c r="AH4675" s="4" t="str">
        <f>HYPERLINK("#Statut_biogéographique!A"&amp;_xlfn.XMATCH("P",Statut_biogéographique!A:A,2,1),"P")</f>
        <v>P</v>
      </c>
      <c r="AP4675" s="4" t="s">
        <v>376</v>
      </c>
      <c r="AR4675" s="4" t="s">
        <v>377</v>
      </c>
    </row>
    <row r="4676" spans="1:44" ht="30">
      <c r="A4676" s="4" t="s">
        <v>5</v>
      </c>
      <c r="B4676" s="4">
        <v>36456</v>
      </c>
      <c r="C4676" s="4">
        <v>6169</v>
      </c>
      <c r="D4676" s="5" t="s">
        <v>6869</v>
      </c>
      <c r="E4676" s="6" t="str">
        <f>HYPERLINK("https://inpn.mnhn.fr/espece/cd_nom/36456","Inocybe obscurobadia (J.Favre) Grund &amp; D.E.Stuntz, 1977")</f>
        <v>Inocybe obscurobadia (J.Favre) Grund &amp; D.E.Stuntz, 1977</v>
      </c>
      <c r="AH4676" s="4" t="str">
        <f>HYPERLINK("#Statut_biogéographique!A"&amp;_xlfn.XMATCH("P",Statut_biogéographique!A:A,2,1),"P")</f>
        <v>P</v>
      </c>
      <c r="AP4676" s="4" t="s">
        <v>376</v>
      </c>
      <c r="AR4676" s="4" t="s">
        <v>377</v>
      </c>
    </row>
    <row r="4677" spans="1:44">
      <c r="A4677" s="4" t="s">
        <v>5</v>
      </c>
      <c r="B4677" s="4">
        <v>36459</v>
      </c>
      <c r="C4677" s="4">
        <v>3326</v>
      </c>
      <c r="D4677" s="5" t="s">
        <v>6870</v>
      </c>
      <c r="E4677" s="6" t="str">
        <f>HYPERLINK("https://inpn.mnhn.fr/espece/cd_nom/36459","Inocybe obsoleta Romagn., 1953")</f>
        <v>Inocybe obsoleta Romagn., 1953</v>
      </c>
      <c r="F4677" s="5" t="s">
        <v>6871</v>
      </c>
      <c r="V4677" s="7" t="str">
        <f>HYPERLINK("#Liste_rouge!A"&amp;_xlfn.XMATCH("EN",Liste_rouge!A:A,2,1),"EN")</f>
        <v>EN</v>
      </c>
      <c r="W4677" s="4" t="str">
        <f>HYPERLINK("#Critères_liste_rouge!A$1","B2abiii")</f>
        <v>B2abiii</v>
      </c>
      <c r="Z4677" s="4" t="s">
        <v>443</v>
      </c>
      <c r="AA4677" s="4" t="s">
        <v>444</v>
      </c>
      <c r="AH4677" s="4" t="str">
        <f>HYPERLINK("#Statut_biogéographique!A"&amp;_xlfn.XMATCH("P",Statut_biogéographique!A:A,2,1),"P")</f>
        <v>P</v>
      </c>
      <c r="AP4677" s="4" t="s">
        <v>376</v>
      </c>
      <c r="AR4677" s="4" t="s">
        <v>377</v>
      </c>
    </row>
    <row r="4678" spans="1:44">
      <c r="A4678" s="4" t="s">
        <v>5</v>
      </c>
      <c r="B4678" s="4">
        <v>36460</v>
      </c>
      <c r="C4678" s="4">
        <v>3590</v>
      </c>
      <c r="D4678" s="5" t="s">
        <v>6872</v>
      </c>
      <c r="E4678" s="6" t="str">
        <f>HYPERLINK("https://inpn.mnhn.fr/espece/cd_nom/36460","Inocybe ochroalba Bruyl., 1970")</f>
        <v>Inocybe ochroalba Bruyl., 1970</v>
      </c>
      <c r="F4678" s="5" t="s">
        <v>6873</v>
      </c>
      <c r="V4678" s="7" t="str">
        <f>HYPERLINK("#Liste_rouge!A"&amp;_xlfn.XMATCH("DD",Liste_rouge!A:A,2,1),"DD")</f>
        <v>DD</v>
      </c>
      <c r="AH4678" s="4" t="str">
        <f>HYPERLINK("#Statut_biogéographique!A"&amp;_xlfn.XMATCH("P",Statut_biogéographique!A:A,2,1),"P")</f>
        <v>P</v>
      </c>
      <c r="AP4678" s="4" t="s">
        <v>376</v>
      </c>
      <c r="AR4678" s="4" t="s">
        <v>377</v>
      </c>
    </row>
    <row r="4679" spans="1:44">
      <c r="A4679" s="4" t="s">
        <v>5</v>
      </c>
      <c r="B4679" s="4">
        <v>36476</v>
      </c>
      <c r="C4679" s="4">
        <v>3504</v>
      </c>
      <c r="D4679" s="5" t="s">
        <v>6874</v>
      </c>
      <c r="E4679" s="6" t="str">
        <f>HYPERLINK("https://inpn.mnhn.fr/espece/cd_nom/36476","Inocybe pelargonium Kühner, 1955")</f>
        <v>Inocybe pelargonium Kühner, 1955</v>
      </c>
      <c r="F4679" s="5" t="s">
        <v>6813</v>
      </c>
      <c r="V4679" s="7" t="str">
        <f>HYPERLINK("#Liste_rouge!A"&amp;_xlfn.XMATCH("LC",Liste_rouge!A:A,2,1),"LC")</f>
        <v>LC</v>
      </c>
      <c r="AH4679" s="4" t="str">
        <f>HYPERLINK("#Statut_biogéographique!A"&amp;_xlfn.XMATCH("P",Statut_biogéographique!A:A,2,1),"P")</f>
        <v>P</v>
      </c>
      <c r="AP4679" s="4" t="s">
        <v>376</v>
      </c>
      <c r="AR4679" s="4" t="s">
        <v>377</v>
      </c>
    </row>
    <row r="4680" spans="1:44">
      <c r="A4680" s="4" t="s">
        <v>5</v>
      </c>
      <c r="B4680" s="4">
        <v>36478</v>
      </c>
      <c r="C4680" s="4">
        <v>5178</v>
      </c>
      <c r="D4680" s="5" t="s">
        <v>6875</v>
      </c>
      <c r="E4680" s="6" t="str">
        <f>HYPERLINK("https://inpn.mnhn.fr/espece/cd_nom/36478","Inocybe perbrevis (Weinm.) Gillet, 1876")</f>
        <v>Inocybe perbrevis (Weinm.) Gillet, 1876</v>
      </c>
      <c r="F4680" s="5" t="s">
        <v>6876</v>
      </c>
      <c r="V4680" s="7" t="str">
        <f>HYPERLINK("#Liste_rouge!A"&amp;_xlfn.XMATCH("DD",Liste_rouge!A:A,2,1),"DD")</f>
        <v>DD</v>
      </c>
      <c r="AH4680" s="4" t="str">
        <f>HYPERLINK("#Statut_biogéographique!A"&amp;_xlfn.XMATCH("P",Statut_biogéographique!A:A,2,1),"P")</f>
        <v>P</v>
      </c>
      <c r="AP4680" s="4" t="s">
        <v>376</v>
      </c>
      <c r="AR4680" s="4" t="s">
        <v>377</v>
      </c>
    </row>
    <row r="4681" spans="1:44">
      <c r="A4681" s="4" t="s">
        <v>5</v>
      </c>
      <c r="B4681" s="4">
        <v>36479</v>
      </c>
      <c r="C4681" s="4">
        <v>5757</v>
      </c>
      <c r="D4681" s="5" t="s">
        <v>6877</v>
      </c>
      <c r="E4681" s="6" t="str">
        <f>HYPERLINK("https://inpn.mnhn.fr/espece/cd_nom/36479","Inocybe perlata (Cooke) Sacc., 1887")</f>
        <v>Inocybe perlata (Cooke) Sacc., 1887</v>
      </c>
      <c r="AH4681" s="4" t="str">
        <f>HYPERLINK("#Statut_biogéographique!A"&amp;_xlfn.XMATCH("P",Statut_biogéographique!A:A,2,1),"P")</f>
        <v>P</v>
      </c>
      <c r="AP4681" s="4" t="s">
        <v>376</v>
      </c>
      <c r="AR4681" s="4" t="s">
        <v>377</v>
      </c>
    </row>
    <row r="4682" spans="1:44">
      <c r="A4682" s="4" t="s">
        <v>5</v>
      </c>
      <c r="B4682" s="4">
        <v>36480</v>
      </c>
      <c r="C4682" s="4">
        <v>4670</v>
      </c>
      <c r="D4682" s="5" t="s">
        <v>6878</v>
      </c>
      <c r="E4682" s="6" t="str">
        <f>HYPERLINK("https://inpn.mnhn.fr/espece/cd_nom/36480","Inocybe personata Kühner, 1955")</f>
        <v>Inocybe personata Kühner, 1955</v>
      </c>
      <c r="F4682" s="5" t="s">
        <v>6879</v>
      </c>
      <c r="V4682" s="7" t="str">
        <f>HYPERLINK("#Liste_rouge!A"&amp;_xlfn.XMATCH("RE",Liste_rouge!A:A,2,1),"RE")</f>
        <v>RE</v>
      </c>
      <c r="AH4682" s="4" t="str">
        <f>HYPERLINK("#Statut_biogéographique!A"&amp;_xlfn.XMATCH("P",Statut_biogéographique!A:A,2,1),"P")</f>
        <v>P</v>
      </c>
      <c r="AP4682" s="4" t="s">
        <v>376</v>
      </c>
      <c r="AR4682" s="4" t="s">
        <v>377</v>
      </c>
    </row>
    <row r="4683" spans="1:44">
      <c r="A4683" s="4" t="s">
        <v>5</v>
      </c>
      <c r="B4683" s="4">
        <v>36481</v>
      </c>
      <c r="C4683" s="4">
        <v>1521</v>
      </c>
      <c r="D4683" s="5" t="s">
        <v>6880</v>
      </c>
      <c r="E4683" s="6" t="str">
        <f>HYPERLINK("https://inpn.mnhn.fr/espece/cd_nom/36481","Inocybe petiginosa (Fr.) Gillet, 1876")</f>
        <v>Inocybe petiginosa (Fr.) Gillet, 1876</v>
      </c>
      <c r="F4683" s="5" t="s">
        <v>6881</v>
      </c>
      <c r="V4683" s="7" t="str">
        <f>HYPERLINK("#Liste_rouge!A"&amp;_xlfn.XMATCH("LC",Liste_rouge!A:A,2,1),"LC")</f>
        <v>LC</v>
      </c>
      <c r="AH4683" s="4" t="str">
        <f>HYPERLINK("#Statut_biogéographique!A"&amp;_xlfn.XMATCH("P",Statut_biogéographique!A:A,2,1),"P")</f>
        <v>P</v>
      </c>
      <c r="AP4683" s="4" t="s">
        <v>376</v>
      </c>
      <c r="AR4683" s="4" t="s">
        <v>377</v>
      </c>
    </row>
    <row r="4684" spans="1:44">
      <c r="A4684" s="4" t="s">
        <v>5</v>
      </c>
      <c r="B4684" s="4">
        <v>36485</v>
      </c>
      <c r="C4684" s="4">
        <v>3684</v>
      </c>
      <c r="D4684" s="5" t="s">
        <v>6882</v>
      </c>
      <c r="E4684" s="6" t="str">
        <f>HYPERLINK("https://inpn.mnhn.fr/espece/cd_nom/36485","Inocybe deglubens (Fr.) Gillet, 1874")</f>
        <v>Inocybe deglubens (Fr.) Gillet, 1874</v>
      </c>
      <c r="V4684" s="7" t="str">
        <f>HYPERLINK("#Liste_rouge!A"&amp;_xlfn.XMATCH("EN",Liste_rouge!A:A,2,1),"EN")</f>
        <v>EN</v>
      </c>
      <c r="W4684" s="4" t="str">
        <f>HYPERLINK("#Critères_liste_rouge!A$1","B2abiii")</f>
        <v>B2abiii</v>
      </c>
      <c r="Z4684" s="4" t="s">
        <v>443</v>
      </c>
      <c r="AA4684" s="4" t="s">
        <v>444</v>
      </c>
      <c r="AH4684" s="4" t="str">
        <f>HYPERLINK("#Statut_biogéographique!A"&amp;_xlfn.XMATCH("P",Statut_biogéographique!A:A,2,1),"P")</f>
        <v>P</v>
      </c>
      <c r="AP4684" s="4" t="s">
        <v>376</v>
      </c>
      <c r="AR4684" s="4" t="s">
        <v>377</v>
      </c>
    </row>
    <row r="4685" spans="1:44">
      <c r="A4685" s="4" t="s">
        <v>5</v>
      </c>
      <c r="B4685" s="4">
        <v>36488</v>
      </c>
      <c r="C4685" s="4">
        <v>1745</v>
      </c>
      <c r="D4685" s="5" t="s">
        <v>6883</v>
      </c>
      <c r="E4685" s="6" t="str">
        <f>HYPERLINK("https://inpn.mnhn.fr/espece/cd_nom/36488","Inocybe abjecta P.Karst., 1879")</f>
        <v>Inocybe abjecta P.Karst., 1879</v>
      </c>
      <c r="F4685" s="5" t="s">
        <v>6884</v>
      </c>
      <c r="V4685" s="7" t="str">
        <f>HYPERLINK("#Liste_rouge!A"&amp;_xlfn.XMATCH("DD",Liste_rouge!A:A,2,1),"DD")</f>
        <v>DD</v>
      </c>
      <c r="AH4685" s="4" t="str">
        <f>HYPERLINK("#Statut_biogéographique!A"&amp;_xlfn.XMATCH("P",Statut_biogéographique!A:A,2,1),"P")</f>
        <v>P</v>
      </c>
      <c r="AP4685" s="4" t="s">
        <v>376</v>
      </c>
      <c r="AR4685" s="4" t="s">
        <v>377</v>
      </c>
    </row>
    <row r="4686" spans="1:44" ht="30">
      <c r="A4686" s="4" t="s">
        <v>5</v>
      </c>
      <c r="B4686" s="4">
        <v>36490</v>
      </c>
      <c r="C4686" s="4">
        <v>1523</v>
      </c>
      <c r="D4686" s="5" t="s">
        <v>6885</v>
      </c>
      <c r="E4686" s="6" t="str">
        <f>HYPERLINK("https://inpn.mnhn.fr/espece/cd_nom/36490","Inocybe phaeodisca var. geophylloides Kühner, 1955")</f>
        <v>Inocybe phaeodisca var. geophylloides Kühner, 1955</v>
      </c>
      <c r="AH4686" s="4" t="str">
        <f>HYPERLINK("#Statut_biogéographique!A"&amp;_xlfn.XMATCH("P",Statut_biogéographique!A:A,2,1),"P")</f>
        <v>P</v>
      </c>
      <c r="AP4686" s="4" t="s">
        <v>376</v>
      </c>
      <c r="AR4686" s="4" t="s">
        <v>377</v>
      </c>
    </row>
    <row r="4687" spans="1:44">
      <c r="A4687" s="4" t="s">
        <v>5</v>
      </c>
      <c r="B4687" s="4">
        <v>36491</v>
      </c>
      <c r="C4687" s="4">
        <v>2529</v>
      </c>
      <c r="D4687" s="5" t="s">
        <v>6886</v>
      </c>
      <c r="E4687" s="6" t="str">
        <f>HYPERLINK("https://inpn.mnhn.fr/espece/cd_nom/36491","Inocybe pintureaui Duchemin, 1979")</f>
        <v>Inocybe pintureaui Duchemin, 1979</v>
      </c>
      <c r="V4687" s="7" t="str">
        <f>HYPERLINK("#Liste_rouge!A"&amp;_xlfn.XMATCH("DD",Liste_rouge!A:A,2,1),"DD")</f>
        <v>DD</v>
      </c>
      <c r="AH4687" s="4" t="str">
        <f>HYPERLINK("#Statut_biogéographique!A"&amp;_xlfn.XMATCH("P",Statut_biogéographique!A:A,2,1),"P")</f>
        <v>P</v>
      </c>
      <c r="AP4687" s="4" t="s">
        <v>376</v>
      </c>
      <c r="AR4687" s="4" t="s">
        <v>377</v>
      </c>
    </row>
    <row r="4688" spans="1:44">
      <c r="A4688" s="4" t="s">
        <v>5</v>
      </c>
      <c r="B4688" s="4">
        <v>36492</v>
      </c>
      <c r="C4688" s="4">
        <v>837</v>
      </c>
      <c r="D4688" s="5" t="s">
        <v>6887</v>
      </c>
      <c r="E4688" s="6" t="str">
        <f>HYPERLINK("https://inpn.mnhn.fr/espece/cd_nom/36492","Inocybe piriodora (Pers.) Kumm.")</f>
        <v>Inocybe piriodora (Pers.) Kumm.</v>
      </c>
      <c r="F4688" s="5" t="s">
        <v>6888</v>
      </c>
      <c r="V4688" s="7" t="str">
        <f>HYPERLINK("#Liste_rouge!A"&amp;_xlfn.XMATCH("LC",Liste_rouge!A:A,2,1),"LC")</f>
        <v>LC</v>
      </c>
      <c r="AH4688" s="4" t="str">
        <f>HYPERLINK("#Statut_biogéographique!A"&amp;_xlfn.XMATCH("P",Statut_biogéographique!A:A,2,1),"P")</f>
        <v>P</v>
      </c>
      <c r="AP4688" s="4" t="s">
        <v>376</v>
      </c>
      <c r="AR4688" s="4" t="s">
        <v>377</v>
      </c>
    </row>
    <row r="4689" spans="1:44">
      <c r="A4689" s="4" t="s">
        <v>5</v>
      </c>
      <c r="B4689" s="4">
        <v>36496</v>
      </c>
      <c r="C4689" s="4">
        <v>1524</v>
      </c>
      <c r="D4689" s="5" t="s">
        <v>6889</v>
      </c>
      <c r="E4689" s="6" t="str">
        <f>HYPERLINK("https://inpn.mnhn.fr/espece/cd_nom/36496","Inocybe pusio P.Karst., 1889")</f>
        <v>Inocybe pusio P.Karst., 1889</v>
      </c>
      <c r="F4689" s="5" t="s">
        <v>6890</v>
      </c>
      <c r="V4689" s="7" t="str">
        <f>HYPERLINK("#Liste_rouge!A"&amp;_xlfn.XMATCH("LC",Liste_rouge!A:A,2,1),"LC")</f>
        <v>LC</v>
      </c>
      <c r="AH4689" s="4" t="str">
        <f>HYPERLINK("#Statut_biogéographique!A"&amp;_xlfn.XMATCH("P",Statut_biogéographique!A:A,2,1),"P")</f>
        <v>P</v>
      </c>
      <c r="AP4689" s="4" t="s">
        <v>376</v>
      </c>
      <c r="AR4689" s="4" t="s">
        <v>377</v>
      </c>
    </row>
    <row r="4690" spans="1:44">
      <c r="A4690" s="4" t="s">
        <v>5</v>
      </c>
      <c r="B4690" s="4">
        <v>36500</v>
      </c>
      <c r="C4690" s="4">
        <v>3081</v>
      </c>
      <c r="D4690" s="5" t="s">
        <v>6891</v>
      </c>
      <c r="E4690" s="6" t="str">
        <f>HYPERLINK("https://inpn.mnhn.fr/espece/cd_nom/36500","Inocybe queletii Konrad, 1929")</f>
        <v>Inocybe queletii Konrad, 1929</v>
      </c>
      <c r="F4690" s="5" t="s">
        <v>6892</v>
      </c>
      <c r="V4690" s="7" t="str">
        <f>HYPERLINK("#Liste_rouge!A"&amp;_xlfn.XMATCH("NT",Liste_rouge!A:A,2,1),"NT")</f>
        <v>NT</v>
      </c>
      <c r="W4690" s="4" t="str">
        <f>HYPERLINK("#Critères_liste_rouge!A$1","pr. B2abiii")</f>
        <v>pr. B2abiii</v>
      </c>
      <c r="AH4690" s="4" t="str">
        <f>HYPERLINK("#Statut_biogéographique!A"&amp;_xlfn.XMATCH("P",Statut_biogéographique!A:A,2,1),"P")</f>
        <v>P</v>
      </c>
      <c r="AP4690" s="4" t="s">
        <v>376</v>
      </c>
      <c r="AR4690" s="4" t="s">
        <v>377</v>
      </c>
    </row>
    <row r="4691" spans="1:44">
      <c r="A4691" s="4" t="s">
        <v>5</v>
      </c>
      <c r="B4691" s="4">
        <v>36505</v>
      </c>
      <c r="C4691" s="4">
        <v>5643</v>
      </c>
      <c r="D4691" s="5">
        <v>36505</v>
      </c>
      <c r="E4691" s="6" t="str">
        <f>HYPERLINK("https://inpn.mnhn.fr/espece/cd_nom/36505","Inocybe salicis Kühner, 1955")</f>
        <v>Inocybe salicis Kühner, 1955</v>
      </c>
      <c r="F4691" s="5" t="s">
        <v>6893</v>
      </c>
      <c r="V4691" s="7" t="str">
        <f>HYPERLINK("#Liste_rouge!A"&amp;_xlfn.XMATCH("EN",Liste_rouge!A:A,2,1),"EN")</f>
        <v>EN</v>
      </c>
      <c r="W4691" s="4" t="str">
        <f>HYPERLINK("#Critères_liste_rouge!A$1","A2c")</f>
        <v>A2c</v>
      </c>
      <c r="Z4691" s="4" t="s">
        <v>695</v>
      </c>
      <c r="AA4691" s="4" t="s">
        <v>696</v>
      </c>
      <c r="AH4691" s="4" t="str">
        <f>HYPERLINK("#Statut_biogéographique!A"&amp;_xlfn.XMATCH("P",Statut_biogéographique!A:A,2,1),"P")</f>
        <v>P</v>
      </c>
      <c r="AP4691" s="4" t="s">
        <v>376</v>
      </c>
      <c r="AR4691" s="4" t="s">
        <v>377</v>
      </c>
    </row>
    <row r="4692" spans="1:44">
      <c r="A4692" s="4" t="s">
        <v>5</v>
      </c>
      <c r="B4692" s="4">
        <v>36510</v>
      </c>
      <c r="C4692" s="4">
        <v>2436</v>
      </c>
      <c r="D4692" s="5" t="s">
        <v>6894</v>
      </c>
      <c r="E4692" s="6" t="str">
        <f>HYPERLINK("https://inpn.mnhn.fr/espece/cd_nom/36510","Inocybe sambucina (Fr.) Quél., 1872")</f>
        <v>Inocybe sambucina (Fr.) Quél., 1872</v>
      </c>
      <c r="F4692" s="5" t="s">
        <v>6895</v>
      </c>
      <c r="V4692" s="7" t="str">
        <f>HYPERLINK("#Liste_rouge!A"&amp;_xlfn.XMATCH("LC",Liste_rouge!A:A,2,1),"LC")</f>
        <v>LC</v>
      </c>
      <c r="AH4692" s="4" t="str">
        <f>HYPERLINK("#Statut_biogéographique!A"&amp;_xlfn.XMATCH("P",Statut_biogéographique!A:A,2,1),"P")</f>
        <v>P</v>
      </c>
      <c r="AP4692" s="4" t="s">
        <v>376</v>
      </c>
      <c r="AR4692" s="4" t="s">
        <v>377</v>
      </c>
    </row>
    <row r="4693" spans="1:44">
      <c r="A4693" s="4" t="s">
        <v>5</v>
      </c>
      <c r="B4693" s="4">
        <v>36513</v>
      </c>
      <c r="C4693" s="4">
        <v>2437</v>
      </c>
      <c r="D4693" s="5" t="s">
        <v>6896</v>
      </c>
      <c r="E4693" s="6" t="str">
        <f>HYPERLINK("https://inpn.mnhn.fr/espece/cd_nom/36513","Inocybe scabelliformis Malençon, 1970")</f>
        <v>Inocybe scabelliformis Malençon, 1970</v>
      </c>
      <c r="AH4693" s="4" t="str">
        <f>HYPERLINK("#Statut_biogéographique!A"&amp;_xlfn.XMATCH("P",Statut_biogéographique!A:A,2,1),"P")</f>
        <v>P</v>
      </c>
      <c r="AP4693" s="4" t="s">
        <v>376</v>
      </c>
      <c r="AR4693" s="4" t="s">
        <v>377</v>
      </c>
    </row>
    <row r="4694" spans="1:44">
      <c r="A4694" s="4" t="s">
        <v>5</v>
      </c>
      <c r="B4694" s="4">
        <v>36516</v>
      </c>
      <c r="C4694" s="4">
        <v>3018</v>
      </c>
      <c r="D4694" s="5" t="s">
        <v>6897</v>
      </c>
      <c r="E4694" s="6" t="str">
        <f>HYPERLINK("https://inpn.mnhn.fr/espece/cd_nom/36516","Inocybe splendens R.Heim, 1932")</f>
        <v>Inocybe splendens R.Heim, 1932</v>
      </c>
      <c r="F4694" s="5" t="s">
        <v>6898</v>
      </c>
      <c r="V4694" s="7" t="str">
        <f>HYPERLINK("#Liste_rouge!A"&amp;_xlfn.XMATCH("LC",Liste_rouge!A:A,2,1),"LC")</f>
        <v>LC</v>
      </c>
      <c r="AH4694" s="4" t="str">
        <f>HYPERLINK("#Statut_biogéographique!A"&amp;_xlfn.XMATCH("P",Statut_biogéographique!A:A,2,1),"P")</f>
        <v>P</v>
      </c>
      <c r="AP4694" s="4" t="s">
        <v>376</v>
      </c>
      <c r="AR4694" s="4" t="s">
        <v>377</v>
      </c>
    </row>
    <row r="4695" spans="1:44">
      <c r="A4695" s="4" t="s">
        <v>5</v>
      </c>
      <c r="B4695" s="4">
        <v>36523</v>
      </c>
      <c r="C4695" s="4">
        <v>5498</v>
      </c>
      <c r="D4695" s="5" t="s">
        <v>6899</v>
      </c>
      <c r="E4695" s="6" t="str">
        <f>HYPERLINK("https://inpn.mnhn.fr/espece/cd_nom/36523","Inocybe phaeoleuca Kühner, 1955")</f>
        <v>Inocybe phaeoleuca Kühner, 1955</v>
      </c>
      <c r="V4695" s="7" t="str">
        <f>HYPERLINK("#Liste_rouge!A"&amp;_xlfn.XMATCH("DD",Liste_rouge!A:A,2,1),"DD")</f>
        <v>DD</v>
      </c>
      <c r="AH4695" s="4" t="str">
        <f>HYPERLINK("#Statut_biogéographique!A"&amp;_xlfn.XMATCH("P",Statut_biogéographique!A:A,2,1),"P")</f>
        <v>P</v>
      </c>
      <c r="AP4695" s="4" t="s">
        <v>376</v>
      </c>
      <c r="AR4695" s="4" t="s">
        <v>377</v>
      </c>
    </row>
    <row r="4696" spans="1:44">
      <c r="A4696" s="4" t="s">
        <v>5</v>
      </c>
      <c r="B4696" s="4">
        <v>36525</v>
      </c>
      <c r="C4696" s="4">
        <v>868</v>
      </c>
      <c r="D4696" s="5" t="s">
        <v>6900</v>
      </c>
      <c r="E4696" s="6" t="str">
        <f>HYPERLINK("https://inpn.mnhn.fr/espece/cd_nom/36525","Inocybe squamata J.E.Lange, 1917")</f>
        <v>Inocybe squamata J.E.Lange, 1917</v>
      </c>
      <c r="F4696" s="5" t="s">
        <v>6901</v>
      </c>
      <c r="V4696" s="7" t="str">
        <f>HYPERLINK("#Liste_rouge!A"&amp;_xlfn.XMATCH("VU",Liste_rouge!A:A,2,1),"VU")</f>
        <v>VU</v>
      </c>
      <c r="W4696" s="4" t="str">
        <f>HYPERLINK("#Critères_liste_rouge!A$1","A2c")</f>
        <v>A2c</v>
      </c>
      <c r="Z4696" s="4" t="s">
        <v>443</v>
      </c>
      <c r="AA4696" s="4" t="s">
        <v>444</v>
      </c>
      <c r="AH4696" s="4" t="str">
        <f>HYPERLINK("#Statut_biogéographique!A"&amp;_xlfn.XMATCH("P",Statut_biogéographique!A:A,2,1),"P")</f>
        <v>P</v>
      </c>
      <c r="AP4696" s="4" t="s">
        <v>376</v>
      </c>
      <c r="AR4696" s="4" t="s">
        <v>377</v>
      </c>
    </row>
    <row r="4697" spans="1:44">
      <c r="A4697" s="4" t="s">
        <v>5</v>
      </c>
      <c r="B4697" s="4">
        <v>36526</v>
      </c>
      <c r="C4697" s="4">
        <v>5499</v>
      </c>
      <c r="D4697" s="5" t="s">
        <v>6902</v>
      </c>
      <c r="E4697" s="6" t="str">
        <f>HYPERLINK("https://inpn.mnhn.fr/espece/cd_nom/36526","Inocybe squarrosa Rea, 1916")</f>
        <v>Inocybe squarrosa Rea, 1916</v>
      </c>
      <c r="V4697" s="7" t="str">
        <f>HYPERLINK("#Liste_rouge!A"&amp;_xlfn.XMATCH("DD",Liste_rouge!A:A,2,1),"DD")</f>
        <v>DD</v>
      </c>
      <c r="AH4697" s="4" t="str">
        <f>HYPERLINK("#Statut_biogéographique!A"&amp;_xlfn.XMATCH("P",Statut_biogéographique!A:A,2,1),"P")</f>
        <v>P</v>
      </c>
      <c r="AP4697" s="4" t="s">
        <v>376</v>
      </c>
      <c r="AR4697" s="4" t="s">
        <v>377</v>
      </c>
    </row>
    <row r="4698" spans="1:44">
      <c r="A4698" s="4" t="s">
        <v>5</v>
      </c>
      <c r="B4698" s="4">
        <v>36532</v>
      </c>
      <c r="C4698" s="4">
        <v>3592</v>
      </c>
      <c r="D4698" s="5" t="s">
        <v>6903</v>
      </c>
      <c r="E4698" s="6" t="str">
        <f>HYPERLINK("https://inpn.mnhn.fr/espece/cd_nom/36532","Inocybe subnudipes Kühner, 1955")</f>
        <v>Inocybe subnudipes Kühner, 1955</v>
      </c>
      <c r="AH4698" s="4" t="str">
        <f>HYPERLINK("#Statut_biogéographique!A"&amp;_xlfn.XMATCH("P",Statut_biogéographique!A:A,2,1),"P")</f>
        <v>P</v>
      </c>
      <c r="AP4698" s="4" t="s">
        <v>376</v>
      </c>
      <c r="AR4698" s="4" t="s">
        <v>377</v>
      </c>
    </row>
    <row r="4699" spans="1:44">
      <c r="A4699" s="4" t="s">
        <v>5</v>
      </c>
      <c r="B4699" s="4">
        <v>36535</v>
      </c>
      <c r="C4699" s="4">
        <v>3328</v>
      </c>
      <c r="D4699" s="5" t="s">
        <v>6904</v>
      </c>
      <c r="E4699" s="6" t="str">
        <f>HYPERLINK("https://inpn.mnhn.fr/espece/cd_nom/36535","Inocybe tarda Kühner, 1955")</f>
        <v>Inocybe tarda Kühner, 1955</v>
      </c>
      <c r="F4699" s="5" t="s">
        <v>6232</v>
      </c>
      <c r="V4699" s="7" t="str">
        <f>HYPERLINK("#Liste_rouge!A"&amp;_xlfn.XMATCH("NT",Liste_rouge!A:A,2,1),"NT")</f>
        <v>NT</v>
      </c>
      <c r="W4699" s="4" t="str">
        <f>HYPERLINK("#Critères_liste_rouge!A$1","pr. B2abiii")</f>
        <v>pr. B2abiii</v>
      </c>
      <c r="AH4699" s="4" t="str">
        <f>HYPERLINK("#Statut_biogéographique!A"&amp;_xlfn.XMATCH("P",Statut_biogéographique!A:A,2,1),"P")</f>
        <v>P</v>
      </c>
      <c r="AP4699" s="4" t="s">
        <v>376</v>
      </c>
      <c r="AR4699" s="4" t="s">
        <v>377</v>
      </c>
    </row>
    <row r="4700" spans="1:44">
      <c r="A4700" s="4" t="s">
        <v>5</v>
      </c>
      <c r="B4700" s="4">
        <v>36536</v>
      </c>
      <c r="C4700" s="4">
        <v>2404</v>
      </c>
      <c r="D4700" s="5" t="s">
        <v>6905</v>
      </c>
      <c r="E4700" s="6" t="str">
        <f>HYPERLINK("https://inpn.mnhn.fr/espece/cd_nom/36536","Inocybe tenebrosa Quél., 1885")</f>
        <v>Inocybe tenebrosa Quél., 1885</v>
      </c>
      <c r="F4700" s="5" t="s">
        <v>6906</v>
      </c>
      <c r="V4700" s="7" t="str">
        <f>HYPERLINK("#Liste_rouge!A"&amp;_xlfn.XMATCH("LC",Liste_rouge!A:A,2,1),"LC")</f>
        <v>LC</v>
      </c>
      <c r="AH4700" s="4" t="str">
        <f>HYPERLINK("#Statut_biogéographique!A"&amp;_xlfn.XMATCH("P",Statut_biogéographique!A:A,2,1),"P")</f>
        <v>P</v>
      </c>
      <c r="AP4700" s="4" t="s">
        <v>376</v>
      </c>
      <c r="AR4700" s="4" t="s">
        <v>377</v>
      </c>
    </row>
    <row r="4701" spans="1:44">
      <c r="A4701" s="4" t="s">
        <v>5</v>
      </c>
      <c r="B4701" s="4">
        <v>36539</v>
      </c>
      <c r="D4701" s="5" t="s">
        <v>6907</v>
      </c>
      <c r="E4701" s="6" t="str">
        <f>HYPERLINK("https://inpn.mnhn.fr/espece/cd_nom/36539","Inocybe terrigena (Fr.) Kuyper, 1985")</f>
        <v>Inocybe terrigena (Fr.) Kuyper, 1985</v>
      </c>
      <c r="V4701" s="7" t="str">
        <f>HYPERLINK("#Liste_rouge!A"&amp;_xlfn.XMATCH("VU",Liste_rouge!A:A,2,1),"VU")</f>
        <v>VU</v>
      </c>
      <c r="W4701" s="4" t="str">
        <f>HYPERLINK("#Critères_liste_rouge!A$1","A2c")</f>
        <v>A2c</v>
      </c>
      <c r="AH4701" s="4" t="str">
        <f>HYPERLINK("#Statut_biogéographique!A"&amp;_xlfn.XMATCH("P",Statut_biogéographique!A:A,2,1),"P")</f>
        <v>P</v>
      </c>
      <c r="AP4701" s="4" t="s">
        <v>376</v>
      </c>
      <c r="AR4701" s="4" t="s">
        <v>377</v>
      </c>
    </row>
    <row r="4702" spans="1:44">
      <c r="A4702" s="4" t="s">
        <v>5</v>
      </c>
      <c r="B4702" s="4">
        <v>36542</v>
      </c>
      <c r="C4702" s="4">
        <v>464</v>
      </c>
      <c r="D4702" s="5" t="s">
        <v>6908</v>
      </c>
      <c r="E4702" s="6" t="str">
        <f>HYPERLINK("https://inpn.mnhn.fr/espece/cd_nom/36542","Inocybe tigrina R.Heim, 1931")</f>
        <v>Inocybe tigrina R.Heim, 1931</v>
      </c>
      <c r="F4702" s="5" t="s">
        <v>6909</v>
      </c>
      <c r="V4702" s="7" t="str">
        <f>HYPERLINK("#Liste_rouge!A"&amp;_xlfn.XMATCH("EN",Liste_rouge!A:A,2,1),"EN")</f>
        <v>EN</v>
      </c>
      <c r="W4702" s="4" t="str">
        <f>HYPERLINK("#Critères_liste_rouge!A$1","B2abiii")</f>
        <v>B2abiii</v>
      </c>
      <c r="Z4702" s="4" t="s">
        <v>447</v>
      </c>
      <c r="AA4702" s="4" t="s">
        <v>448</v>
      </c>
      <c r="AH4702" s="4" t="str">
        <f>HYPERLINK("#Statut_biogéographique!A"&amp;_xlfn.XMATCH("P",Statut_biogéographique!A:A,2,1),"P")</f>
        <v>P</v>
      </c>
      <c r="AP4702" s="4" t="s">
        <v>376</v>
      </c>
      <c r="AR4702" s="4" t="s">
        <v>377</v>
      </c>
    </row>
    <row r="4703" spans="1:44">
      <c r="A4703" s="4" t="s">
        <v>5</v>
      </c>
      <c r="B4703" s="4">
        <v>36543</v>
      </c>
      <c r="C4703" s="4">
        <v>3369</v>
      </c>
      <c r="D4703" s="5" t="s">
        <v>6910</v>
      </c>
      <c r="E4703" s="6" t="str">
        <f>HYPERLINK("https://inpn.mnhn.fr/espece/cd_nom/36543","Inocybe tjallingiorum Kuyper, 1986")</f>
        <v>Inocybe tjallingiorum Kuyper, 1986</v>
      </c>
      <c r="V4703" s="7" t="str">
        <f>HYPERLINK("#Liste_rouge!A"&amp;_xlfn.XMATCH("DD",Liste_rouge!A:A,2,1),"DD")</f>
        <v>DD</v>
      </c>
      <c r="AH4703" s="4" t="str">
        <f>HYPERLINK("#Statut_biogéographique!A"&amp;_xlfn.XMATCH("P",Statut_biogéographique!A:A,2,1),"P")</f>
        <v>P</v>
      </c>
      <c r="AP4703" s="4" t="s">
        <v>376</v>
      </c>
      <c r="AR4703" s="4" t="s">
        <v>377</v>
      </c>
    </row>
    <row r="4704" spans="1:44">
      <c r="A4704" s="4" t="s">
        <v>5</v>
      </c>
      <c r="B4704" s="4">
        <v>36547</v>
      </c>
      <c r="C4704" s="4">
        <v>2402</v>
      </c>
      <c r="D4704" s="5" t="s">
        <v>6911</v>
      </c>
      <c r="E4704" s="6" t="str">
        <f>HYPERLINK("https://inpn.mnhn.fr/espece/cd_nom/36547","Inocybe tricolor Kühner, 1955")</f>
        <v>Inocybe tricolor Kühner, 1955</v>
      </c>
      <c r="F4704" s="5" t="s">
        <v>6912</v>
      </c>
      <c r="V4704" s="7" t="str">
        <f>HYPERLINK("#Liste_rouge!A"&amp;_xlfn.XMATCH("VU",Liste_rouge!A:A,2,1),"VU")</f>
        <v>VU</v>
      </c>
      <c r="W4704" s="4" t="str">
        <f>HYPERLINK("#Critères_liste_rouge!A$1","A2c")</f>
        <v>A2c</v>
      </c>
      <c r="Z4704" s="4" t="s">
        <v>443</v>
      </c>
      <c r="AA4704" s="4" t="s">
        <v>444</v>
      </c>
      <c r="AH4704" s="4" t="str">
        <f>HYPERLINK("#Statut_biogéographique!A"&amp;_xlfn.XMATCH("P",Statut_biogéographique!A:A,2,1),"P")</f>
        <v>P</v>
      </c>
      <c r="AP4704" s="4" t="s">
        <v>376</v>
      </c>
      <c r="AR4704" s="4" t="s">
        <v>377</v>
      </c>
    </row>
    <row r="4705" spans="1:44">
      <c r="A4705" s="4" t="s">
        <v>5</v>
      </c>
      <c r="B4705" s="4">
        <v>36550</v>
      </c>
      <c r="C4705" s="4">
        <v>3593</v>
      </c>
      <c r="D4705" s="5" t="s">
        <v>6913</v>
      </c>
      <c r="E4705" s="6" t="str">
        <f>HYPERLINK("https://inpn.mnhn.fr/espece/cd_nom/36550","Inocybe umbratica Quél., 1884")</f>
        <v>Inocybe umbratica Quél., 1884</v>
      </c>
      <c r="F4705" s="5" t="s">
        <v>6914</v>
      </c>
      <c r="V4705" s="7" t="str">
        <f>HYPERLINK("#Liste_rouge!A"&amp;_xlfn.XMATCH("DD",Liste_rouge!A:A,2,1),"DD")</f>
        <v>DD</v>
      </c>
      <c r="AH4705" s="4" t="str">
        <f>HYPERLINK("#Statut_biogéographique!A"&amp;_xlfn.XMATCH("P",Statut_biogéographique!A:A,2,1),"P")</f>
        <v>P</v>
      </c>
      <c r="AP4705" s="4" t="s">
        <v>376</v>
      </c>
      <c r="AR4705" s="4" t="s">
        <v>377</v>
      </c>
    </row>
    <row r="4706" spans="1:44" ht="30">
      <c r="A4706" s="4" t="s">
        <v>5</v>
      </c>
      <c r="B4706" s="4">
        <v>36553</v>
      </c>
      <c r="C4706" s="4">
        <v>1526</v>
      </c>
      <c r="D4706" s="5" t="s">
        <v>6915</v>
      </c>
      <c r="E4706" s="6" t="str">
        <f>HYPERLINK("https://inpn.mnhn.fr/espece/cd_nom/36553","Inocybe umbrina Bres., 1884")</f>
        <v>Inocybe umbrina Bres., 1884</v>
      </c>
      <c r="F4706" s="5" t="s">
        <v>6916</v>
      </c>
      <c r="V4706" s="7" t="str">
        <f>HYPERLINK("#Liste_rouge!A"&amp;_xlfn.XMATCH("LC",Liste_rouge!A:A,2,1),"LC")</f>
        <v>LC</v>
      </c>
      <c r="Z4706" s="4" t="s">
        <v>443</v>
      </c>
      <c r="AA4706" s="4" t="s">
        <v>444</v>
      </c>
      <c r="AH4706" s="4" t="str">
        <f>HYPERLINK("#Statut_biogéographique!A"&amp;_xlfn.XMATCH("P",Statut_biogéographique!A:A,2,1),"P")</f>
        <v>P</v>
      </c>
      <c r="AP4706" s="4" t="s">
        <v>376</v>
      </c>
      <c r="AR4706" s="4" t="s">
        <v>377</v>
      </c>
    </row>
    <row r="4707" spans="1:44">
      <c r="A4707" s="4" t="s">
        <v>5</v>
      </c>
      <c r="B4707" s="4">
        <v>36556</v>
      </c>
      <c r="C4707" s="4">
        <v>5726</v>
      </c>
      <c r="D4707" s="5" t="s">
        <v>6917</v>
      </c>
      <c r="E4707" s="6" t="str">
        <f>HYPERLINK("https://inpn.mnhn.fr/espece/cd_nom/36556","Inocybe vaccina Kühner, 1955")</f>
        <v>Inocybe vaccina Kühner, 1955</v>
      </c>
      <c r="Z4707" s="4" t="s">
        <v>443</v>
      </c>
      <c r="AA4707" s="4" t="s">
        <v>444</v>
      </c>
      <c r="AH4707" s="4" t="str">
        <f>HYPERLINK("#Statut_biogéographique!A"&amp;_xlfn.XMATCH("P",Statut_biogéographique!A:A,2,1),"P")</f>
        <v>P</v>
      </c>
      <c r="AP4707" s="4" t="s">
        <v>376</v>
      </c>
      <c r="AR4707" s="4" t="s">
        <v>377</v>
      </c>
    </row>
    <row r="4708" spans="1:44">
      <c r="A4708" s="4" t="s">
        <v>5</v>
      </c>
      <c r="B4708" s="4">
        <v>36578</v>
      </c>
      <c r="C4708" s="4">
        <v>6735</v>
      </c>
      <c r="D4708" s="5" t="s">
        <v>6918</v>
      </c>
      <c r="E4708" s="6" t="str">
        <f>HYPERLINK("https://inpn.mnhn.fr/espece/cd_nom/36578","Galerina pseudomycenopsis Pilát, 1954")</f>
        <v>Galerina pseudomycenopsis Pilát, 1954</v>
      </c>
      <c r="F4708" s="5" t="s">
        <v>6919</v>
      </c>
      <c r="AH4708" s="4" t="str">
        <f>HYPERLINK("#Statut_biogéographique!A"&amp;_xlfn.XMATCH("P",Statut_biogéographique!A:A,2,1),"P")</f>
        <v>P</v>
      </c>
      <c r="AP4708" s="4" t="s">
        <v>376</v>
      </c>
      <c r="AR4708" s="4" t="s">
        <v>377</v>
      </c>
    </row>
    <row r="4709" spans="1:44">
      <c r="A4709" s="4" t="s">
        <v>5</v>
      </c>
      <c r="B4709" s="4">
        <v>36599</v>
      </c>
      <c r="D4709" s="5" t="s">
        <v>6920</v>
      </c>
      <c r="E4709" s="6" t="str">
        <f>HYPERLINK("https://inpn.mnhn.fr/espece/cd_nom/36599","Simocybe centunculus (Fr.) P.Karst., 1879")</f>
        <v>Simocybe centunculus (Fr.) P.Karst., 1879</v>
      </c>
      <c r="V4709" s="7" t="str">
        <f>HYPERLINK("#Liste_rouge!A"&amp;_xlfn.XMATCH("LC",Liste_rouge!A:A,2,1),"LC")</f>
        <v>LC</v>
      </c>
      <c r="AH4709" s="4" t="str">
        <f>HYPERLINK("#Statut_biogéographique!A"&amp;_xlfn.XMATCH("P",Statut_biogéographique!A:A,2,1),"P")</f>
        <v>P</v>
      </c>
      <c r="AP4709" s="4" t="s">
        <v>376</v>
      </c>
      <c r="AR4709" s="4" t="s">
        <v>377</v>
      </c>
    </row>
    <row r="4710" spans="1:44">
      <c r="A4710" s="4" t="s">
        <v>5</v>
      </c>
      <c r="B4710" s="4">
        <v>36605</v>
      </c>
      <c r="D4710" s="5" t="s">
        <v>6921</v>
      </c>
      <c r="E4710" s="6" t="str">
        <f>HYPERLINK("https://inpn.mnhn.fr/espece/cd_nom/36605","Simocybe haustellaris (Fr.) Watling, 1981")</f>
        <v>Simocybe haustellaris (Fr.) Watling, 1981</v>
      </c>
      <c r="V4710" s="7" t="str">
        <f>HYPERLINK("#Liste_rouge!A"&amp;_xlfn.XMATCH("EN",Liste_rouge!A:A,2,1),"EN")</f>
        <v>EN</v>
      </c>
      <c r="W4710" s="4" t="str">
        <f>HYPERLINK("#Critères_liste_rouge!A$1","B2abiii")</f>
        <v>B2abiii</v>
      </c>
      <c r="AH4710" s="4" t="str">
        <f>HYPERLINK("#Statut_biogéographique!A"&amp;_xlfn.XMATCH("P",Statut_biogéographique!A:A,2,1),"P")</f>
        <v>P</v>
      </c>
      <c r="AP4710" s="4" t="s">
        <v>376</v>
      </c>
      <c r="AR4710" s="4" t="s">
        <v>377</v>
      </c>
    </row>
    <row r="4711" spans="1:44">
      <c r="A4711" s="4" t="s">
        <v>5</v>
      </c>
      <c r="B4711" s="4">
        <v>36616</v>
      </c>
      <c r="D4711" s="5" t="s">
        <v>6922</v>
      </c>
      <c r="E4711" s="6" t="str">
        <f>HYPERLINK("https://inpn.mnhn.fr/espece/cd_nom/36616","Simocybe reducta (Fr.) P.Karst., 1879")</f>
        <v>Simocybe reducta (Fr.) P.Karst., 1879</v>
      </c>
      <c r="V4711" s="7" t="str">
        <f>HYPERLINK("#Liste_rouge!A"&amp;_xlfn.XMATCH("DD",Liste_rouge!A:A,2,1),"DD")</f>
        <v>DD</v>
      </c>
      <c r="AH4711" s="4" t="str">
        <f>HYPERLINK("#Statut_biogéographique!A"&amp;_xlfn.XMATCH("P",Statut_biogéographique!A:A,2,1),"P")</f>
        <v>P</v>
      </c>
      <c r="AP4711" s="4" t="s">
        <v>376</v>
      </c>
      <c r="AR4711" s="4" t="s">
        <v>377</v>
      </c>
    </row>
    <row r="4712" spans="1:44" ht="30">
      <c r="A4712" s="4" t="s">
        <v>5</v>
      </c>
      <c r="B4712" s="4">
        <v>36627</v>
      </c>
      <c r="C4712" s="4">
        <v>31</v>
      </c>
      <c r="D4712" s="5" t="s">
        <v>6923</v>
      </c>
      <c r="E4712" s="6" t="str">
        <f>HYPERLINK("https://inpn.mnhn.fr/espece/cd_nom/36627","Rozites caperatus (Pers.) P.Karst., 1879")</f>
        <v>Rozites caperatus (Pers.) P.Karst., 1879</v>
      </c>
      <c r="F4712" s="5" t="s">
        <v>6924</v>
      </c>
      <c r="O4712" s="7" t="str">
        <f>HYPERLINK("#Liste_rouge!A"&amp;_xlfn.XMATCH("LC",Liste_rouge!A:A,2,1),"LC")</f>
        <v>LC</v>
      </c>
      <c r="V4712" s="7" t="str">
        <f>HYPERLINK("#Liste_rouge!A"&amp;_xlfn.XMATCH("LC",Liste_rouge!A:A,2,1),"LC")</f>
        <v>LC</v>
      </c>
      <c r="AH4712" s="4" t="str">
        <f>HYPERLINK("#Statut_biogéographique!A"&amp;_xlfn.XMATCH("P",Statut_biogéographique!A:A,2,1),"P")</f>
        <v>P</v>
      </c>
      <c r="AP4712" s="4" t="s">
        <v>376</v>
      </c>
      <c r="AR4712" s="4" t="s">
        <v>377</v>
      </c>
    </row>
    <row r="4713" spans="1:44" ht="30">
      <c r="A4713" s="4" t="s">
        <v>5</v>
      </c>
      <c r="B4713" s="4">
        <v>36640</v>
      </c>
      <c r="D4713" s="5" t="s">
        <v>6925</v>
      </c>
      <c r="E4713" s="6" t="str">
        <f>HYPERLINK("https://inpn.mnhn.fr/espece/cd_nom/36640","Tubaria confragosa (Fr.) Harmaja, 1978")</f>
        <v>Tubaria confragosa (Fr.) Harmaja, 1978</v>
      </c>
      <c r="F4713" s="5" t="s">
        <v>6926</v>
      </c>
      <c r="V4713" s="7" t="str">
        <f>HYPERLINK("#Liste_rouge!A"&amp;_xlfn.XMATCH("CR",Liste_rouge!A:A,2,1),"CR")</f>
        <v>CR</v>
      </c>
      <c r="W4713" s="4" t="str">
        <f>HYPERLINK("#Critères_liste_rouge!A$1","B2abiii")</f>
        <v>B2abiii</v>
      </c>
      <c r="AH4713" s="4" t="str">
        <f>HYPERLINK("#Statut_biogéographique!A"&amp;_xlfn.XMATCH("P",Statut_biogéographique!A:A,2,1),"P")</f>
        <v>P</v>
      </c>
      <c r="AP4713" s="4" t="s">
        <v>376</v>
      </c>
      <c r="AR4713" s="4" t="s">
        <v>377</v>
      </c>
    </row>
    <row r="4714" spans="1:44">
      <c r="A4714" s="4" t="s">
        <v>5</v>
      </c>
      <c r="B4714" s="4">
        <v>36643</v>
      </c>
      <c r="D4714" s="5" t="s">
        <v>6927</v>
      </c>
      <c r="E4714" s="6" t="str">
        <f>HYPERLINK("https://inpn.mnhn.fr/espece/cd_nom/36643","Tubaria conspersa (Pers.) Fayod, 1889")</f>
        <v>Tubaria conspersa (Pers.) Fayod, 1889</v>
      </c>
      <c r="F4714" s="5" t="s">
        <v>6928</v>
      </c>
      <c r="V4714" s="7" t="str">
        <f>HYPERLINK("#Liste_rouge!A"&amp;_xlfn.XMATCH("LC",Liste_rouge!A:A,2,1),"LC")</f>
        <v>LC</v>
      </c>
      <c r="AH4714" s="4" t="str">
        <f>HYPERLINK("#Statut_biogéographique!A"&amp;_xlfn.XMATCH("P",Statut_biogéographique!A:A,2,1),"P")</f>
        <v>P</v>
      </c>
      <c r="AP4714" s="4" t="s">
        <v>376</v>
      </c>
      <c r="AR4714" s="4" t="s">
        <v>377</v>
      </c>
    </row>
    <row r="4715" spans="1:44" ht="30">
      <c r="A4715" s="4" t="s">
        <v>5</v>
      </c>
      <c r="B4715" s="4">
        <v>36649</v>
      </c>
      <c r="D4715" s="5" t="s">
        <v>6929</v>
      </c>
      <c r="E4715" s="6" t="str">
        <f>HYPERLINK("https://inpn.mnhn.fr/espece/cd_nom/36649","Tubaria autochtona (Berk. &amp; Broome) Sacc., 1887")</f>
        <v>Tubaria autochtona (Berk. &amp; Broome) Sacc., 1887</v>
      </c>
      <c r="F4715" s="5" t="s">
        <v>6930</v>
      </c>
      <c r="V4715" s="7" t="str">
        <f>HYPERLINK("#Liste_rouge!A"&amp;_xlfn.XMATCH("LC",Liste_rouge!A:A,2,1),"LC")</f>
        <v>LC</v>
      </c>
      <c r="AH4715" s="4" t="str">
        <f>HYPERLINK("#Statut_biogéographique!A"&amp;_xlfn.XMATCH("P",Statut_biogéographique!A:A,2,1),"P")</f>
        <v>P</v>
      </c>
      <c r="AP4715" s="4" t="s">
        <v>376</v>
      </c>
      <c r="AR4715" s="4" t="s">
        <v>377</v>
      </c>
    </row>
    <row r="4716" spans="1:44" ht="30">
      <c r="A4716" s="4" t="s">
        <v>5</v>
      </c>
      <c r="B4716" s="4">
        <v>36650</v>
      </c>
      <c r="D4716" s="5" t="s">
        <v>6931</v>
      </c>
      <c r="E4716" s="6" t="str">
        <f>HYPERLINK("https://inpn.mnhn.fr/espece/cd_nom/36650","Tubaria ferruginea Maire ex E.Horak &amp; P.-A.Moreau, 2005")</f>
        <v>Tubaria ferruginea Maire ex E.Horak &amp; P.-A.Moreau, 2005</v>
      </c>
      <c r="F4716" s="5" t="s">
        <v>6932</v>
      </c>
      <c r="V4716" s="7" t="str">
        <f>HYPERLINK("#Liste_rouge!A"&amp;_xlfn.XMATCH("LC",Liste_rouge!A:A,2,1),"LC")</f>
        <v>LC</v>
      </c>
      <c r="AH4716" s="4" t="str">
        <f>HYPERLINK("#Statut_biogéographique!A"&amp;_xlfn.XMATCH("P",Statut_biogéographique!A:A,2,1),"P")</f>
        <v>P</v>
      </c>
      <c r="AP4716" s="4" t="s">
        <v>376</v>
      </c>
      <c r="AR4716" s="4" t="s">
        <v>377</v>
      </c>
    </row>
    <row r="4717" spans="1:44">
      <c r="A4717" s="4" t="s">
        <v>5</v>
      </c>
      <c r="B4717" s="4">
        <v>36652</v>
      </c>
      <c r="D4717" s="5" t="s">
        <v>6933</v>
      </c>
      <c r="E4717" s="6" t="str">
        <f>HYPERLINK("https://inpn.mnhn.fr/espece/cd_nom/36652","Tubaria furfuracea (Pers.) Gillet, 1876")</f>
        <v>Tubaria furfuracea (Pers.) Gillet, 1876</v>
      </c>
      <c r="F4717" s="5" t="s">
        <v>6934</v>
      </c>
      <c r="V4717" s="7" t="str">
        <f>HYPERLINK("#Liste_rouge!A"&amp;_xlfn.XMATCH("LC",Liste_rouge!A:A,2,1),"LC")</f>
        <v>LC</v>
      </c>
      <c r="AH4717" s="4" t="str">
        <f>HYPERLINK("#Statut_biogéographique!A"&amp;_xlfn.XMATCH("P",Statut_biogéographique!A:A,2,1),"P")</f>
        <v>P</v>
      </c>
      <c r="AP4717" s="4" t="s">
        <v>376</v>
      </c>
      <c r="AR4717" s="4" t="s">
        <v>377</v>
      </c>
    </row>
    <row r="4718" spans="1:44">
      <c r="A4718" s="4" t="s">
        <v>5</v>
      </c>
      <c r="B4718" s="4">
        <v>36655</v>
      </c>
      <c r="D4718" s="5" t="s">
        <v>6935</v>
      </c>
      <c r="E4718" s="6" t="str">
        <f>HYPERLINK("https://inpn.mnhn.fr/espece/cd_nom/36655","Tubaria hiemalis Romagn. ex Bon, 1973")</f>
        <v>Tubaria hiemalis Romagn. ex Bon, 1973</v>
      </c>
      <c r="F4718" s="5" t="s">
        <v>6936</v>
      </c>
      <c r="V4718" s="7" t="str">
        <f>HYPERLINK("#Liste_rouge!A"&amp;_xlfn.XMATCH("LC",Liste_rouge!A:A,2,1),"LC")</f>
        <v>LC</v>
      </c>
      <c r="AH4718" s="4" t="str">
        <f>HYPERLINK("#Statut_biogéographique!A"&amp;_xlfn.XMATCH("P",Statut_biogéographique!A:A,2,1),"P")</f>
        <v>P</v>
      </c>
      <c r="AP4718" s="4" t="s">
        <v>376</v>
      </c>
      <c r="AR4718" s="4" t="s">
        <v>377</v>
      </c>
    </row>
    <row r="4719" spans="1:44">
      <c r="A4719" s="4" t="s">
        <v>5</v>
      </c>
      <c r="B4719" s="4">
        <v>36672</v>
      </c>
      <c r="D4719" s="5">
        <v>36672</v>
      </c>
      <c r="E4719" s="6" t="str">
        <f>HYPERLINK("https://inpn.mnhn.fr/espece/cd_nom/36672","Tubaria romagnesiana Arnolds, 1982")</f>
        <v>Tubaria romagnesiana Arnolds, 1982</v>
      </c>
      <c r="F4719" s="5" t="s">
        <v>4097</v>
      </c>
      <c r="V4719" s="7" t="str">
        <f>HYPERLINK("#Liste_rouge!A"&amp;_xlfn.XMATCH("DD",Liste_rouge!A:A,2,1),"DD")</f>
        <v>DD</v>
      </c>
      <c r="AH4719" s="4" t="str">
        <f>HYPERLINK("#Statut_biogéographique!A"&amp;_xlfn.XMATCH("P",Statut_biogéographique!A:A,2,1),"P")</f>
        <v>P</v>
      </c>
      <c r="AP4719" s="4" t="s">
        <v>376</v>
      </c>
      <c r="AR4719" s="4" t="s">
        <v>377</v>
      </c>
    </row>
    <row r="4720" spans="1:44" ht="30">
      <c r="A4720" s="4" t="s">
        <v>5</v>
      </c>
      <c r="B4720" s="4">
        <v>36678</v>
      </c>
      <c r="D4720" s="5" t="s">
        <v>6937</v>
      </c>
      <c r="E4720" s="6" t="str">
        <f>HYPERLINK("https://inpn.mnhn.fr/espece/cd_nom/36678","Xeromphalina campanella (Batsch) Kühner &amp; Maire, 1934")</f>
        <v>Xeromphalina campanella (Batsch) Kühner &amp; Maire, 1934</v>
      </c>
      <c r="V4720" s="7" t="str">
        <f>HYPERLINK("#Liste_rouge!A"&amp;_xlfn.XMATCH("EN",Liste_rouge!A:A,2,1),"EN")</f>
        <v>EN</v>
      </c>
      <c r="W4720" s="4" t="str">
        <f>HYPERLINK("#Critères_liste_rouge!A$1","A2c")</f>
        <v>A2c</v>
      </c>
      <c r="AH4720" s="4" t="str">
        <f>HYPERLINK("#Statut_biogéographique!A"&amp;_xlfn.XMATCH("P",Statut_biogéographique!A:A,2,1),"P")</f>
        <v>P</v>
      </c>
      <c r="AP4720" s="4" t="s">
        <v>376</v>
      </c>
      <c r="AR4720" s="4" t="s">
        <v>377</v>
      </c>
    </row>
    <row r="4721" spans="1:44" ht="45">
      <c r="A4721" s="4" t="s">
        <v>5</v>
      </c>
      <c r="B4721" s="4">
        <v>36692</v>
      </c>
      <c r="C4721" s="4">
        <v>2954</v>
      </c>
      <c r="D4721" s="5" t="s">
        <v>6938</v>
      </c>
      <c r="E4721" s="6" t="str">
        <f>HYPERLINK("https://inpn.mnhn.fr/espece/cd_nom/36692","Agrocybe arvalis (Fr.) Singer, 1936")</f>
        <v>Agrocybe arvalis (Fr.) Singer, 1936</v>
      </c>
      <c r="V4721" s="7" t="str">
        <f>HYPERLINK("#Liste_rouge!A"&amp;_xlfn.XMATCH("VU",Liste_rouge!A:A,2,1),"VU")</f>
        <v>VU</v>
      </c>
      <c r="W4721" s="4" t="str">
        <f>HYPERLINK("#Critères_liste_rouge!A$1","B2abiii")</f>
        <v>B2abiii</v>
      </c>
      <c r="Z4721" s="4" t="s">
        <v>447</v>
      </c>
      <c r="AA4721" s="4" t="s">
        <v>448</v>
      </c>
      <c r="AH4721" s="4" t="str">
        <f>HYPERLINK("#Statut_biogéographique!A"&amp;_xlfn.XMATCH("P",Statut_biogéographique!A:A,2,1),"P")</f>
        <v>P</v>
      </c>
      <c r="AP4721" s="4" t="s">
        <v>376</v>
      </c>
      <c r="AR4721" s="4" t="s">
        <v>377</v>
      </c>
    </row>
    <row r="4722" spans="1:44" ht="30">
      <c r="A4722" s="4" t="s">
        <v>5</v>
      </c>
      <c r="B4722" s="4">
        <v>36695</v>
      </c>
      <c r="C4722" s="4">
        <v>2342</v>
      </c>
      <c r="D4722" s="5" t="s">
        <v>6939</v>
      </c>
      <c r="E4722" s="6" t="str">
        <f>HYPERLINK("https://inpn.mnhn.fr/espece/cd_nom/36695","Agrocybe brunneola (Fr.) Bon, 1980")</f>
        <v>Agrocybe brunneola (Fr.) Bon, 1980</v>
      </c>
      <c r="V4722" s="7" t="str">
        <f>HYPERLINK("#Liste_rouge!A"&amp;_xlfn.XMATCH("LC",Liste_rouge!A:A,2,1),"LC")</f>
        <v>LC</v>
      </c>
      <c r="AH4722" s="4" t="str">
        <f>HYPERLINK("#Statut_biogéographique!A"&amp;_xlfn.XMATCH("P",Statut_biogéographique!A:A,2,1),"P")</f>
        <v>P</v>
      </c>
      <c r="AP4722" s="4" t="s">
        <v>376</v>
      </c>
      <c r="AR4722" s="4" t="s">
        <v>377</v>
      </c>
    </row>
    <row r="4723" spans="1:44">
      <c r="A4723" s="4" t="s">
        <v>5</v>
      </c>
      <c r="B4723" s="4">
        <v>36707</v>
      </c>
      <c r="C4723" s="4">
        <v>2026</v>
      </c>
      <c r="D4723" s="5" t="s">
        <v>6940</v>
      </c>
      <c r="E4723" s="6" t="str">
        <f>HYPERLINK("https://inpn.mnhn.fr/espece/cd_nom/36707","Agrocybe firma (Peck) Singer, 1940")</f>
        <v>Agrocybe firma (Peck) Singer, 1940</v>
      </c>
      <c r="F4723" s="5" t="s">
        <v>6941</v>
      </c>
      <c r="V4723" s="7" t="str">
        <f>HYPERLINK("#Liste_rouge!A"&amp;_xlfn.XMATCH("VU",Liste_rouge!A:A,2,1),"VU")</f>
        <v>VU</v>
      </c>
      <c r="W4723" s="4" t="str">
        <f>HYPERLINK("#Critères_liste_rouge!A$1","D2")</f>
        <v>D2</v>
      </c>
      <c r="Z4723" s="4" t="s">
        <v>447</v>
      </c>
      <c r="AA4723" s="4" t="s">
        <v>448</v>
      </c>
      <c r="AH4723" s="4" t="str">
        <f>HYPERLINK("#Statut_biogéographique!A"&amp;_xlfn.XMATCH("P",Statut_biogéographique!A:A,2,1),"P")</f>
        <v>P</v>
      </c>
      <c r="AP4723" s="4" t="s">
        <v>376</v>
      </c>
      <c r="AR4723" s="4" t="s">
        <v>377</v>
      </c>
    </row>
    <row r="4724" spans="1:44" ht="30">
      <c r="A4724" s="4" t="s">
        <v>5</v>
      </c>
      <c r="B4724" s="4">
        <v>36711</v>
      </c>
      <c r="C4724" s="4">
        <v>199</v>
      </c>
      <c r="D4724" s="5" t="s">
        <v>6942</v>
      </c>
      <c r="E4724" s="6" t="str">
        <f>HYPERLINK("https://inpn.mnhn.fr/espece/cd_nom/36711","Agrocybe molesta (Lasch) Singer, 1978")</f>
        <v>Agrocybe molesta (Lasch) Singer, 1978</v>
      </c>
      <c r="F4724" s="5" t="s">
        <v>6943</v>
      </c>
      <c r="V4724" s="7" t="str">
        <f>HYPERLINK("#Liste_rouge!A"&amp;_xlfn.XMATCH("LC",Liste_rouge!A:A,2,1),"LC")</f>
        <v>LC</v>
      </c>
      <c r="AH4724" s="4" t="str">
        <f>HYPERLINK("#Statut_biogéographique!A"&amp;_xlfn.XMATCH("P",Statut_biogéographique!A:A,2,1),"P")</f>
        <v>P</v>
      </c>
      <c r="AP4724" s="4" t="s">
        <v>376</v>
      </c>
      <c r="AR4724" s="4" t="s">
        <v>377</v>
      </c>
    </row>
    <row r="4725" spans="1:44">
      <c r="A4725" s="4" t="s">
        <v>5</v>
      </c>
      <c r="B4725" s="4">
        <v>36721</v>
      </c>
      <c r="C4725" s="4">
        <v>7017</v>
      </c>
      <c r="D4725" s="5">
        <v>36721</v>
      </c>
      <c r="E4725" s="6" t="str">
        <f>HYPERLINK("https://inpn.mnhn.fr/espece/cd_nom/36721","Agrocybe pediades (Fr.) Fayod, 1889")</f>
        <v>Agrocybe pediades (Fr.) Fayod, 1889</v>
      </c>
      <c r="F4725" s="5" t="s">
        <v>6944</v>
      </c>
      <c r="V4725" s="7" t="str">
        <f>HYPERLINK("#Liste_rouge!A"&amp;_xlfn.XMATCH("LC",Liste_rouge!A:A,2,1),"LC")</f>
        <v>LC</v>
      </c>
      <c r="AH4725" s="4" t="str">
        <f>HYPERLINK("#Statut_biogéographique!A"&amp;_xlfn.XMATCH("P",Statut_biogéographique!A:A,2,1),"P")</f>
        <v>P</v>
      </c>
      <c r="AP4725" s="4" t="s">
        <v>376</v>
      </c>
      <c r="AR4725" s="4" t="s">
        <v>377</v>
      </c>
    </row>
    <row r="4726" spans="1:44" ht="30">
      <c r="A4726" s="4" t="s">
        <v>5</v>
      </c>
      <c r="B4726" s="4">
        <v>36724</v>
      </c>
      <c r="C4726" s="4">
        <v>93</v>
      </c>
      <c r="D4726" s="5" t="s">
        <v>6945</v>
      </c>
      <c r="E4726" s="6" t="str">
        <f>HYPERLINK("https://inpn.mnhn.fr/espece/cd_nom/36724","Agrocybe praecox (Pers.) Fayod, 1889")</f>
        <v>Agrocybe praecox (Pers.) Fayod, 1889</v>
      </c>
      <c r="F4726" s="5" t="s">
        <v>6946</v>
      </c>
      <c r="V4726" s="7" t="str">
        <f>HYPERLINK("#Liste_rouge!A"&amp;_xlfn.XMATCH("LC",Liste_rouge!A:A,2,1),"LC")</f>
        <v>LC</v>
      </c>
      <c r="AH4726" s="4" t="str">
        <f>HYPERLINK("#Statut_biogéographique!A"&amp;_xlfn.XMATCH("P",Statut_biogéographique!A:A,2,1),"P")</f>
        <v>P</v>
      </c>
      <c r="AP4726" s="4" t="s">
        <v>376</v>
      </c>
      <c r="AR4726" s="4" t="s">
        <v>377</v>
      </c>
    </row>
    <row r="4727" spans="1:44">
      <c r="A4727" s="4" t="s">
        <v>5</v>
      </c>
      <c r="B4727" s="4">
        <v>36733</v>
      </c>
      <c r="C4727" s="4">
        <v>7017</v>
      </c>
      <c r="D4727" s="5" t="s">
        <v>6947</v>
      </c>
      <c r="E4727" s="6" t="str">
        <f>HYPERLINK("https://inpn.mnhn.fr/espece/cd_nom/36733","Agrocybe semiorbicularis (Bull.) Fayod, 1889")</f>
        <v>Agrocybe semiorbicularis (Bull.) Fayod, 1889</v>
      </c>
      <c r="F4727" s="5" t="s">
        <v>6948</v>
      </c>
      <c r="V4727" s="7" t="str">
        <f>HYPERLINK("#Liste_rouge!A"&amp;_xlfn.XMATCH("LC",Liste_rouge!A:A,2,1),"LC")</f>
        <v>LC</v>
      </c>
      <c r="AH4727" s="4" t="str">
        <f>HYPERLINK("#Statut_biogéographique!A"&amp;_xlfn.XMATCH("P",Statut_biogéographique!A:A,2,1),"P")</f>
        <v>P</v>
      </c>
      <c r="AP4727" s="4" t="s">
        <v>376</v>
      </c>
      <c r="AR4727" s="4" t="s">
        <v>377</v>
      </c>
    </row>
    <row r="4728" spans="1:44" ht="30">
      <c r="A4728" s="4" t="s">
        <v>5</v>
      </c>
      <c r="B4728" s="4">
        <v>36736</v>
      </c>
      <c r="C4728" s="4">
        <v>93</v>
      </c>
      <c r="D4728" s="5" t="s">
        <v>6949</v>
      </c>
      <c r="E4728" s="6" t="str">
        <f>HYPERLINK("https://inpn.mnhn.fr/espece/cd_nom/36736","Agrocybe sphaleromorpha (Bull.) Fayod, 1889")</f>
        <v>Agrocybe sphaleromorpha (Bull.) Fayod, 1889</v>
      </c>
      <c r="F4728" s="5" t="s">
        <v>6950</v>
      </c>
      <c r="V4728" s="7" t="str">
        <f>HYPERLINK("#Liste_rouge!A"&amp;_xlfn.XMATCH("LC",Liste_rouge!A:A,2,1),"LC")</f>
        <v>LC</v>
      </c>
      <c r="AH4728" s="4" t="str">
        <f>HYPERLINK("#Statut_biogéographique!A"&amp;_xlfn.XMATCH("P",Statut_biogéographique!A:A,2,1),"P")</f>
        <v>P</v>
      </c>
      <c r="AP4728" s="4" t="s">
        <v>376</v>
      </c>
      <c r="AR4728" s="4" t="s">
        <v>377</v>
      </c>
    </row>
    <row r="4729" spans="1:44">
      <c r="A4729" s="4" t="s">
        <v>5</v>
      </c>
      <c r="B4729" s="4">
        <v>36748</v>
      </c>
      <c r="C4729" s="4">
        <v>3482</v>
      </c>
      <c r="D4729" s="5" t="s">
        <v>6951</v>
      </c>
      <c r="E4729" s="6" t="str">
        <f>HYPERLINK("https://inpn.mnhn.fr/espece/cd_nom/36748","Agrocybe vervacti (Fr.) Singer, 1936")</f>
        <v>Agrocybe vervacti (Fr.) Singer, 1936</v>
      </c>
      <c r="F4729" s="5" t="s">
        <v>6952</v>
      </c>
      <c r="V4729" s="7" t="str">
        <f>HYPERLINK("#Liste_rouge!A"&amp;_xlfn.XMATCH("EN",Liste_rouge!A:A,2,1),"EN")</f>
        <v>EN</v>
      </c>
      <c r="W4729" s="4" t="str">
        <f>HYPERLINK("#Critères_liste_rouge!A$1","B2abiii")</f>
        <v>B2abiii</v>
      </c>
      <c r="Z4729" s="4" t="s">
        <v>695</v>
      </c>
      <c r="AA4729" s="4" t="s">
        <v>696</v>
      </c>
      <c r="AH4729" s="4" t="str">
        <f>HYPERLINK("#Statut_biogéographique!A"&amp;_xlfn.XMATCH("P",Statut_biogéographique!A:A,2,1),"P")</f>
        <v>P</v>
      </c>
      <c r="AP4729" s="4" t="s">
        <v>376</v>
      </c>
      <c r="AR4729" s="4" t="s">
        <v>377</v>
      </c>
    </row>
    <row r="4730" spans="1:44">
      <c r="A4730" s="4" t="s">
        <v>5</v>
      </c>
      <c r="B4730" s="4">
        <v>36765</v>
      </c>
      <c r="C4730" s="4">
        <v>2953</v>
      </c>
      <c r="D4730" s="5" t="s">
        <v>6953</v>
      </c>
      <c r="E4730" s="6" t="str">
        <f>HYPERLINK("https://inpn.mnhn.fr/espece/cd_nom/36765","Bolbitius reticulatus (Pers.) Ricken, 1915")</f>
        <v>Bolbitius reticulatus (Pers.) Ricken, 1915</v>
      </c>
      <c r="F4730" s="5" t="s">
        <v>6954</v>
      </c>
      <c r="V4730" s="7" t="str">
        <f>HYPERLINK("#Liste_rouge!A"&amp;_xlfn.XMATCH("DD",Liste_rouge!A:A,2,1),"DD")</f>
        <v>DD</v>
      </c>
      <c r="Z4730" s="4" t="s">
        <v>443</v>
      </c>
      <c r="AA4730" s="4" t="s">
        <v>444</v>
      </c>
      <c r="AH4730" s="4" t="str">
        <f>HYPERLINK("#Statut_biogéographique!A"&amp;_xlfn.XMATCH("P",Statut_biogéographique!A:A,2,1),"P")</f>
        <v>P</v>
      </c>
      <c r="AP4730" s="4" t="s">
        <v>376</v>
      </c>
      <c r="AR4730" s="4" t="s">
        <v>377</v>
      </c>
    </row>
    <row r="4731" spans="1:44" ht="30">
      <c r="A4731" s="4" t="s">
        <v>5</v>
      </c>
      <c r="B4731" s="4">
        <v>36773</v>
      </c>
      <c r="C4731" s="4">
        <v>2262</v>
      </c>
      <c r="D4731" s="5" t="s">
        <v>6955</v>
      </c>
      <c r="E4731" s="6" t="str">
        <f>HYPERLINK("https://inpn.mnhn.fr/espece/cd_nom/36773","Bolbitius titubans (Bull.) Fr., 1838")</f>
        <v>Bolbitius titubans (Bull.) Fr., 1838</v>
      </c>
      <c r="F4731" s="5" t="s">
        <v>6956</v>
      </c>
      <c r="V4731" s="7" t="str">
        <f>HYPERLINK("#Liste_rouge!A"&amp;_xlfn.XMATCH("LC",Liste_rouge!A:A,2,1),"LC")</f>
        <v>LC</v>
      </c>
      <c r="AH4731" s="4" t="str">
        <f>HYPERLINK("#Statut_biogéographique!A"&amp;_xlfn.XMATCH("P",Statut_biogéographique!A:A,2,1),"P")</f>
        <v>P</v>
      </c>
      <c r="AP4731" s="4" t="s">
        <v>376</v>
      </c>
      <c r="AR4731" s="4" t="s">
        <v>377</v>
      </c>
    </row>
    <row r="4732" spans="1:44">
      <c r="A4732" s="4" t="s">
        <v>5</v>
      </c>
      <c r="B4732" s="4">
        <v>36777</v>
      </c>
      <c r="C4732" s="4">
        <v>4482</v>
      </c>
      <c r="D4732" s="5" t="s">
        <v>6957</v>
      </c>
      <c r="E4732" s="6" t="str">
        <f>HYPERLINK("https://inpn.mnhn.fr/espece/cd_nom/36777","Conocybe ambigua Watling, 1980")</f>
        <v>Conocybe ambigua Watling, 1980</v>
      </c>
      <c r="V4732" s="7" t="str">
        <f>HYPERLINK("#Liste_rouge!A"&amp;_xlfn.XMATCH("DD",Liste_rouge!A:A,2,1),"DD")</f>
        <v>DD</v>
      </c>
      <c r="AH4732" s="4" t="str">
        <f>HYPERLINK("#Statut_biogéographique!A"&amp;_xlfn.XMATCH("P",Statut_biogéographique!A:A,2,1),"P")</f>
        <v>P</v>
      </c>
      <c r="AP4732" s="4" t="s">
        <v>376</v>
      </c>
      <c r="AR4732" s="4" t="s">
        <v>377</v>
      </c>
    </row>
    <row r="4733" spans="1:44" ht="30">
      <c r="A4733" s="4" t="s">
        <v>5</v>
      </c>
      <c r="B4733" s="4">
        <v>36781</v>
      </c>
      <c r="C4733" s="4">
        <v>3919</v>
      </c>
      <c r="D4733" s="5" t="s">
        <v>6958</v>
      </c>
      <c r="E4733" s="6" t="str">
        <f>HYPERLINK("https://inpn.mnhn.fr/espece/cd_nom/36781","Conocybe anthracophila Maire &amp; Kühner ex Kühner &amp; Watling, 1983")</f>
        <v>Conocybe anthracophila Maire &amp; Kühner ex Kühner &amp; Watling, 1983</v>
      </c>
      <c r="F4733" s="5" t="s">
        <v>6959</v>
      </c>
      <c r="V4733" s="7" t="str">
        <f>HYPERLINK("#Liste_rouge!A"&amp;_xlfn.XMATCH("DD",Liste_rouge!A:A,2,1),"DD")</f>
        <v>DD</v>
      </c>
      <c r="AH4733" s="4" t="str">
        <f>HYPERLINK("#Statut_biogéographique!A"&amp;_xlfn.XMATCH("P",Statut_biogéographique!A:A,2,1),"P")</f>
        <v>P</v>
      </c>
      <c r="AP4733" s="4" t="s">
        <v>376</v>
      </c>
      <c r="AR4733" s="4" t="s">
        <v>377</v>
      </c>
    </row>
    <row r="4734" spans="1:44">
      <c r="A4734" s="4" t="s">
        <v>5</v>
      </c>
      <c r="B4734" s="4">
        <v>36783</v>
      </c>
      <c r="C4734" s="4">
        <v>4679</v>
      </c>
      <c r="D4734" s="5" t="s">
        <v>6960</v>
      </c>
      <c r="E4734" s="6" t="str">
        <f>HYPERLINK("https://inpn.mnhn.fr/espece/cd_nom/36783","Conocybe antipus (Lasch) Fayod, 1889")</f>
        <v>Conocybe antipus (Lasch) Fayod, 1889</v>
      </c>
      <c r="F4734" s="5" t="s">
        <v>6961</v>
      </c>
      <c r="V4734" s="7" t="str">
        <f>HYPERLINK("#Liste_rouge!A"&amp;_xlfn.XMATCH("RE",Liste_rouge!A:A,2,1),"RE")</f>
        <v>RE</v>
      </c>
      <c r="Z4734" s="4" t="s">
        <v>443</v>
      </c>
      <c r="AA4734" s="4" t="s">
        <v>444</v>
      </c>
      <c r="AH4734" s="4" t="str">
        <f>HYPERLINK("#Statut_biogéographique!A"&amp;_xlfn.XMATCH("P",Statut_biogéographique!A:A,2,1),"P")</f>
        <v>P</v>
      </c>
      <c r="AP4734" s="4" t="s">
        <v>376</v>
      </c>
      <c r="AR4734" s="4" t="s">
        <v>377</v>
      </c>
    </row>
    <row r="4735" spans="1:44" ht="30">
      <c r="A4735" s="4" t="s">
        <v>5</v>
      </c>
      <c r="B4735" s="4">
        <v>36791</v>
      </c>
      <c r="C4735" s="4">
        <v>6430</v>
      </c>
      <c r="D4735" s="5" t="s">
        <v>6962</v>
      </c>
      <c r="E4735" s="6" t="str">
        <f>HYPERLINK("https://inpn.mnhn.fr/espece/cd_nom/36791","Conocybe bulbifera (Kauffman) Romagn., 1944")</f>
        <v>Conocybe bulbifera (Kauffman) Romagn., 1944</v>
      </c>
      <c r="F4735" s="5" t="s">
        <v>6963</v>
      </c>
      <c r="AH4735" s="4" t="str">
        <f>HYPERLINK("#Statut_biogéographique!A"&amp;_xlfn.XMATCH("P",Statut_biogéographique!A:A,2,1),"P")</f>
        <v>P</v>
      </c>
      <c r="AP4735" s="4" t="s">
        <v>376</v>
      </c>
      <c r="AR4735" s="4" t="s">
        <v>377</v>
      </c>
    </row>
    <row r="4736" spans="1:44">
      <c r="A4736" s="4" t="s">
        <v>5</v>
      </c>
      <c r="B4736" s="4">
        <v>36807</v>
      </c>
      <c r="C4736" s="4">
        <v>3982</v>
      </c>
      <c r="D4736" s="5" t="s">
        <v>6964</v>
      </c>
      <c r="E4736" s="6" t="str">
        <f>HYPERLINK("https://inpn.mnhn.fr/espece/cd_nom/36807","Conocybe elegans Watling, 1983")</f>
        <v>Conocybe elegans Watling, 1983</v>
      </c>
      <c r="F4736" s="5" t="s">
        <v>6965</v>
      </c>
      <c r="V4736" s="7" t="str">
        <f>HYPERLINK("#Liste_rouge!A"&amp;_xlfn.XMATCH("DD",Liste_rouge!A:A,2,1),"DD")</f>
        <v>DD</v>
      </c>
      <c r="AH4736" s="4" t="str">
        <f>HYPERLINK("#Statut_biogéographique!A"&amp;_xlfn.XMATCH("P",Statut_biogéographique!A:A,2,1),"P")</f>
        <v>P</v>
      </c>
      <c r="AP4736" s="4" t="s">
        <v>376</v>
      </c>
      <c r="AR4736" s="4" t="s">
        <v>377</v>
      </c>
    </row>
    <row r="4737" spans="1:44">
      <c r="A4737" s="4" t="s">
        <v>5</v>
      </c>
      <c r="B4737" s="4">
        <v>36821</v>
      </c>
      <c r="C4737" s="4">
        <v>1557</v>
      </c>
      <c r="D4737" s="5" t="s">
        <v>6966</v>
      </c>
      <c r="E4737" s="6" t="str">
        <f>HYPERLINK("https://inpn.mnhn.fr/espece/cd_nom/36821","Conocybe intrusa (Peck) Singer, 1950")</f>
        <v>Conocybe intrusa (Peck) Singer, 1950</v>
      </c>
      <c r="F4737" s="5" t="s">
        <v>6967</v>
      </c>
      <c r="V4737" s="7" t="str">
        <f>HYPERLINK("#Liste_rouge!A"&amp;_xlfn.XMATCH("DD",Liste_rouge!A:A,2,1),"DD")</f>
        <v>DD</v>
      </c>
      <c r="AH4737" s="4" t="str">
        <f>HYPERLINK("#Statut_biogéographique!A"&amp;_xlfn.XMATCH("P",Statut_biogéographique!A:A,2,1),"P")</f>
        <v>P</v>
      </c>
      <c r="AP4737" s="4" t="s">
        <v>376</v>
      </c>
      <c r="AR4737" s="4" t="s">
        <v>377</v>
      </c>
    </row>
    <row r="4738" spans="1:44" ht="30">
      <c r="A4738" s="4" t="s">
        <v>5</v>
      </c>
      <c r="B4738" s="4">
        <v>36832</v>
      </c>
      <c r="C4738" s="4">
        <v>5198</v>
      </c>
      <c r="D4738" s="5" t="s">
        <v>6968</v>
      </c>
      <c r="E4738" s="6" t="str">
        <f>HYPERLINK("https://inpn.mnhn.fr/espece/cd_nom/36832","Conocybe leucopus Kühner ex Kühner &amp; Watling, 1983")</f>
        <v>Conocybe leucopus Kühner ex Kühner &amp; Watling, 1983</v>
      </c>
      <c r="F4738" s="5" t="s">
        <v>6969</v>
      </c>
      <c r="V4738" s="7" t="str">
        <f>HYPERLINK("#Liste_rouge!A"&amp;_xlfn.XMATCH("DD",Liste_rouge!A:A,2,1),"DD")</f>
        <v>DD</v>
      </c>
      <c r="AH4738" s="4" t="str">
        <f>HYPERLINK("#Statut_biogéographique!A"&amp;_xlfn.XMATCH("P",Statut_biogéographique!A:A,2,1),"P")</f>
        <v>P</v>
      </c>
      <c r="AP4738" s="4" t="s">
        <v>376</v>
      </c>
      <c r="AR4738" s="4" t="s">
        <v>377</v>
      </c>
    </row>
    <row r="4739" spans="1:44" ht="30">
      <c r="A4739" s="4" t="s">
        <v>5</v>
      </c>
      <c r="B4739" s="4">
        <v>36844</v>
      </c>
      <c r="C4739" s="4">
        <v>5400</v>
      </c>
      <c r="D4739" s="5" t="s">
        <v>6970</v>
      </c>
      <c r="E4739" s="6" t="str">
        <f>HYPERLINK("https://inpn.mnhn.fr/espece/cd_nom/36844","Conocybe moseri Watling, 1980")</f>
        <v>Conocybe moseri Watling, 1980</v>
      </c>
      <c r="F4739" s="5" t="s">
        <v>6971</v>
      </c>
      <c r="V4739" s="7" t="str">
        <f>HYPERLINK("#Liste_rouge!A"&amp;_xlfn.XMATCH("DD",Liste_rouge!A:A,2,1),"DD")</f>
        <v>DD</v>
      </c>
      <c r="AH4739" s="4" t="str">
        <f>HYPERLINK("#Statut_biogéographique!A"&amp;_xlfn.XMATCH("P",Statut_biogéographique!A:A,2,1),"P")</f>
        <v>P</v>
      </c>
      <c r="AP4739" s="4" t="s">
        <v>376</v>
      </c>
      <c r="AR4739" s="4" t="s">
        <v>377</v>
      </c>
    </row>
    <row r="4740" spans="1:44">
      <c r="A4740" s="4" t="s">
        <v>5</v>
      </c>
      <c r="B4740" s="4">
        <v>36856</v>
      </c>
      <c r="C4740" s="4">
        <v>2674</v>
      </c>
      <c r="D4740" s="5" t="s">
        <v>6972</v>
      </c>
      <c r="E4740" s="6" t="str">
        <f>HYPERLINK("https://inpn.mnhn.fr/espece/cd_nom/36856","Conocybe pilosella (Pers.) Kühner, 1935")</f>
        <v>Conocybe pilosella (Pers.) Kühner, 1935</v>
      </c>
      <c r="V4740" s="7" t="str">
        <f>HYPERLINK("#Liste_rouge!A"&amp;_xlfn.XMATCH("DD",Liste_rouge!A:A,2,1),"DD")</f>
        <v>DD</v>
      </c>
      <c r="Z4740" s="4" t="s">
        <v>443</v>
      </c>
      <c r="AA4740" s="4" t="s">
        <v>444</v>
      </c>
      <c r="AH4740" s="4" t="str">
        <f>HYPERLINK("#Statut_biogéographique!A"&amp;_xlfn.XMATCH("P",Statut_biogéographique!A:A,2,1),"P")</f>
        <v>P</v>
      </c>
      <c r="AP4740" s="4" t="s">
        <v>376</v>
      </c>
      <c r="AR4740" s="4" t="s">
        <v>377</v>
      </c>
    </row>
    <row r="4741" spans="1:44">
      <c r="A4741" s="4" t="s">
        <v>5</v>
      </c>
      <c r="B4741" s="4">
        <v>368621</v>
      </c>
      <c r="C4741" s="4">
        <v>5156</v>
      </c>
      <c r="D4741" s="5">
        <v>38013</v>
      </c>
      <c r="E4741" s="6" t="str">
        <f>HYPERLINK("https://inpn.mnhn.fr/espece/cd_nom/368621","Psalliota litoralis Wakef. &amp; A.Pearson, 1946")</f>
        <v>Psalliota litoralis Wakef. &amp; A.Pearson, 1946</v>
      </c>
      <c r="F4741" s="5" t="s">
        <v>6973</v>
      </c>
      <c r="V4741" s="7" t="str">
        <f>HYPERLINK("#Liste_rouge!A"&amp;_xlfn.XMATCH("DD",Liste_rouge!A:A,2,1),"DD")</f>
        <v>DD</v>
      </c>
      <c r="Z4741" s="4" t="s">
        <v>447</v>
      </c>
      <c r="AA4741" s="4" t="s">
        <v>448</v>
      </c>
      <c r="AH4741" s="4" t="str">
        <f>HYPERLINK("#Statut_biogéographique!A"&amp;_xlfn.XMATCH("P",Statut_biogéographique!A:A,2,1),"P")</f>
        <v>P</v>
      </c>
      <c r="AP4741" s="4" t="s">
        <v>376</v>
      </c>
      <c r="AR4741" s="4" t="s">
        <v>377</v>
      </c>
    </row>
    <row r="4742" spans="1:44">
      <c r="A4742" s="4" t="s">
        <v>5</v>
      </c>
      <c r="B4742" s="4">
        <v>36866</v>
      </c>
      <c r="C4742" s="4">
        <v>5273</v>
      </c>
      <c r="D4742" s="5" t="s">
        <v>6974</v>
      </c>
      <c r="E4742" s="6" t="str">
        <f>HYPERLINK("https://inpn.mnhn.fr/espece/cd_nom/36866","Conocybe pubescens (Gillet) Kühner, 1935")</f>
        <v>Conocybe pubescens (Gillet) Kühner, 1935</v>
      </c>
      <c r="V4742" s="7" t="str">
        <f>HYPERLINK("#Liste_rouge!A"&amp;_xlfn.XMATCH("DD",Liste_rouge!A:A,2,1),"DD")</f>
        <v>DD</v>
      </c>
      <c r="AH4742" s="4" t="str">
        <f>HYPERLINK("#Statut_biogéographique!A"&amp;_xlfn.XMATCH("P",Statut_biogéographique!A:A,2,1),"P")</f>
        <v>P</v>
      </c>
      <c r="AP4742" s="4" t="s">
        <v>376</v>
      </c>
      <c r="AR4742" s="4" t="s">
        <v>377</v>
      </c>
    </row>
    <row r="4743" spans="1:44">
      <c r="A4743" s="4" t="s">
        <v>5</v>
      </c>
      <c r="B4743" s="4">
        <v>36869</v>
      </c>
      <c r="C4743" s="4">
        <v>642</v>
      </c>
      <c r="D4743" s="5">
        <v>36869</v>
      </c>
      <c r="E4743" s="6" t="str">
        <f>HYPERLINK("https://inpn.mnhn.fr/espece/cd_nom/36869","Conocybe rickeniana P.D.Orton, 1960")</f>
        <v>Conocybe rickeniana P.D.Orton, 1960</v>
      </c>
      <c r="F4743" s="5" t="s">
        <v>6975</v>
      </c>
      <c r="V4743" s="7" t="str">
        <f>HYPERLINK("#Liste_rouge!A"&amp;_xlfn.XMATCH("LC",Liste_rouge!A:A,2,1),"LC")</f>
        <v>LC</v>
      </c>
      <c r="AH4743" s="4" t="str">
        <f>HYPERLINK("#Statut_biogéographique!A"&amp;_xlfn.XMATCH("P",Statut_biogéographique!A:A,2,1),"P")</f>
        <v>P</v>
      </c>
      <c r="AP4743" s="4" t="s">
        <v>376</v>
      </c>
      <c r="AR4743" s="4" t="s">
        <v>377</v>
      </c>
    </row>
    <row r="4744" spans="1:44">
      <c r="A4744" s="4" t="s">
        <v>5</v>
      </c>
      <c r="B4744" s="4">
        <v>36873</v>
      </c>
      <c r="C4744" s="4">
        <v>670</v>
      </c>
      <c r="D4744" s="5" t="s">
        <v>6976</v>
      </c>
      <c r="E4744" s="6" t="str">
        <f>HYPERLINK("https://inpn.mnhn.fr/espece/cd_nom/36873","Conocybe rickenii (Jul.Schäff.) Kühner, 1935")</f>
        <v>Conocybe rickenii (Jul.Schäff.) Kühner, 1935</v>
      </c>
      <c r="F4744" s="5" t="s">
        <v>6977</v>
      </c>
      <c r="V4744" s="7" t="str">
        <f>HYPERLINK("#Liste_rouge!A"&amp;_xlfn.XMATCH("LC",Liste_rouge!A:A,2,1),"LC")</f>
        <v>LC</v>
      </c>
      <c r="AH4744" s="4" t="str">
        <f>HYPERLINK("#Statut_biogéographique!A"&amp;_xlfn.XMATCH("P",Statut_biogéographique!A:A,2,1),"P")</f>
        <v>P</v>
      </c>
      <c r="AP4744" s="4" t="s">
        <v>376</v>
      </c>
      <c r="AR4744" s="4" t="s">
        <v>377</v>
      </c>
    </row>
    <row r="4745" spans="1:44">
      <c r="A4745" s="4" t="s">
        <v>5</v>
      </c>
      <c r="B4745" s="4">
        <v>36876</v>
      </c>
      <c r="C4745" s="4">
        <v>2736</v>
      </c>
      <c r="D4745" s="5" t="s">
        <v>6978</v>
      </c>
      <c r="E4745" s="6" t="str">
        <f>HYPERLINK("https://inpn.mnhn.fr/espece/cd_nom/36876","Conocybe rubiginosa Watling, 1980")</f>
        <v>Conocybe rubiginosa Watling, 1980</v>
      </c>
      <c r="V4745" s="7" t="str">
        <f>HYPERLINK("#Liste_rouge!A"&amp;_xlfn.XMATCH("DD",Liste_rouge!A:A,2,1),"DD")</f>
        <v>DD</v>
      </c>
      <c r="AH4745" s="4" t="str">
        <f>HYPERLINK("#Statut_biogéographique!A"&amp;_xlfn.XMATCH("P",Statut_biogéographique!A:A,2,1),"P")</f>
        <v>P</v>
      </c>
      <c r="AP4745" s="4" t="s">
        <v>376</v>
      </c>
      <c r="AR4745" s="4" t="s">
        <v>377</v>
      </c>
    </row>
    <row r="4746" spans="1:44" ht="30">
      <c r="A4746" s="4" t="s">
        <v>5</v>
      </c>
      <c r="B4746" s="4">
        <v>36877</v>
      </c>
      <c r="C4746" s="4">
        <v>4484</v>
      </c>
      <c r="D4746" s="5" t="s">
        <v>6979</v>
      </c>
      <c r="E4746" s="6" t="str">
        <f>HYPERLINK("https://inpn.mnhn.fr/espece/cd_nom/36877","Conocybe semiglobata Kühner &amp; Watling, 1980")</f>
        <v>Conocybe semiglobata Kühner &amp; Watling, 1980</v>
      </c>
      <c r="F4746" s="5" t="s">
        <v>6980</v>
      </c>
      <c r="V4746" s="7" t="str">
        <f>HYPERLINK("#Liste_rouge!A"&amp;_xlfn.XMATCH("DD",Liste_rouge!A:A,2,1),"DD")</f>
        <v>DD</v>
      </c>
      <c r="AH4746" s="4" t="str">
        <f>HYPERLINK("#Statut_biogéographique!A"&amp;_xlfn.XMATCH("P",Statut_biogéographique!A:A,2,1),"P")</f>
        <v>P</v>
      </c>
      <c r="AP4746" s="4" t="s">
        <v>376</v>
      </c>
      <c r="AR4746" s="4" t="s">
        <v>377</v>
      </c>
    </row>
    <row r="4747" spans="1:44">
      <c r="A4747" s="4" t="s">
        <v>5</v>
      </c>
      <c r="B4747" s="4">
        <v>36887</v>
      </c>
      <c r="C4747" s="4">
        <v>5858</v>
      </c>
      <c r="D4747" s="5" t="s">
        <v>6981</v>
      </c>
      <c r="E4747" s="6" t="str">
        <f>HYPERLINK("https://inpn.mnhn.fr/espece/cd_nom/36887","Conocybe rickeniana P.D.Orton, 1960")</f>
        <v>Conocybe rickeniana P.D.Orton, 1960</v>
      </c>
      <c r="AH4747" s="4" t="str">
        <f>HYPERLINK("#Statut_biogéographique!A"&amp;_xlfn.XMATCH("P",Statut_biogéographique!A:A,2,1),"P")</f>
        <v>P</v>
      </c>
      <c r="AP4747" s="4" t="s">
        <v>376</v>
      </c>
      <c r="AR4747" s="4" t="s">
        <v>377</v>
      </c>
    </row>
    <row r="4748" spans="1:44">
      <c r="A4748" s="4" t="s">
        <v>5</v>
      </c>
      <c r="B4748" s="4">
        <v>36889</v>
      </c>
      <c r="C4748" s="4">
        <v>587</v>
      </c>
      <c r="D4748" s="5" t="s">
        <v>6982</v>
      </c>
      <c r="E4748" s="6" t="str">
        <f>HYPERLINK("https://inpn.mnhn.fr/espece/cd_nom/36889","Conocybe subovalis Kühner &amp; Watling, 1980")</f>
        <v>Conocybe subovalis Kühner &amp; Watling, 1980</v>
      </c>
      <c r="F4748" s="5" t="s">
        <v>6983</v>
      </c>
      <c r="V4748" s="7" t="str">
        <f>HYPERLINK("#Liste_rouge!A"&amp;_xlfn.XMATCH("LC",Liste_rouge!A:A,2,1),"LC")</f>
        <v>LC</v>
      </c>
      <c r="AH4748" s="4" t="str">
        <f>HYPERLINK("#Statut_biogéographique!A"&amp;_xlfn.XMATCH("P",Statut_biogéographique!A:A,2,1),"P")</f>
        <v>P</v>
      </c>
      <c r="AP4748" s="4" t="s">
        <v>376</v>
      </c>
      <c r="AR4748" s="4" t="s">
        <v>377</v>
      </c>
    </row>
    <row r="4749" spans="1:44">
      <c r="A4749" s="4" t="s">
        <v>5</v>
      </c>
      <c r="B4749" s="4">
        <v>36896</v>
      </c>
      <c r="C4749" s="4">
        <v>423</v>
      </c>
      <c r="D4749" s="5" t="s">
        <v>6984</v>
      </c>
      <c r="E4749" s="6" t="str">
        <f>HYPERLINK("https://inpn.mnhn.fr/espece/cd_nom/36896","Conocybe tenera (Schaeff.) Fayod, 1889")</f>
        <v>Conocybe tenera (Schaeff.) Fayod, 1889</v>
      </c>
      <c r="F4749" s="5" t="s">
        <v>6985</v>
      </c>
      <c r="V4749" s="7" t="str">
        <f>HYPERLINK("#Liste_rouge!A"&amp;_xlfn.XMATCH("LC",Liste_rouge!A:A,2,1),"LC")</f>
        <v>LC</v>
      </c>
      <c r="AH4749" s="4" t="str">
        <f>HYPERLINK("#Statut_biogéographique!A"&amp;_xlfn.XMATCH("P",Statut_biogéographique!A:A,2,1),"P")</f>
        <v>P</v>
      </c>
      <c r="AP4749" s="4" t="s">
        <v>376</v>
      </c>
      <c r="AR4749" s="4" t="s">
        <v>377</v>
      </c>
    </row>
    <row r="4750" spans="1:44">
      <c r="A4750" s="4" t="s">
        <v>5</v>
      </c>
      <c r="B4750" s="4">
        <v>36920</v>
      </c>
      <c r="C4750" s="4">
        <v>509</v>
      </c>
      <c r="D4750" s="5" t="s">
        <v>6986</v>
      </c>
      <c r="E4750" s="6" t="str">
        <f>HYPERLINK("https://inpn.mnhn.fr/espece/cd_nom/36920","Gymnopilus hybridus (Gillet) Maire, 1933")</f>
        <v>Gymnopilus hybridus (Gillet) Maire, 1933</v>
      </c>
      <c r="F4750" s="5" t="s">
        <v>6987</v>
      </c>
      <c r="V4750" s="7" t="str">
        <f>HYPERLINK("#Liste_rouge!A"&amp;_xlfn.XMATCH("DD",Liste_rouge!A:A,2,1),"DD")</f>
        <v>DD</v>
      </c>
      <c r="AH4750" s="4" t="str">
        <f>HYPERLINK("#Statut_biogéographique!A"&amp;_xlfn.XMATCH("P",Statut_biogéographique!A:A,2,1),"P")</f>
        <v>P</v>
      </c>
      <c r="AP4750" s="4" t="s">
        <v>376</v>
      </c>
      <c r="AR4750" s="4" t="s">
        <v>377</v>
      </c>
    </row>
    <row r="4751" spans="1:44" ht="30">
      <c r="A4751" s="4" t="s">
        <v>5</v>
      </c>
      <c r="B4751" s="4">
        <v>36923</v>
      </c>
      <c r="C4751" s="4">
        <v>1456</v>
      </c>
      <c r="D4751" s="5" t="s">
        <v>6988</v>
      </c>
      <c r="E4751" s="6" t="str">
        <f>HYPERLINK("https://inpn.mnhn.fr/espece/cd_nom/36923","Gymnopilus junonius (Fr.) P.D.Orton, 1960")</f>
        <v>Gymnopilus junonius (Fr.) P.D.Orton, 1960</v>
      </c>
      <c r="F4751" s="5" t="s">
        <v>6989</v>
      </c>
      <c r="V4751" s="7" t="str">
        <f>HYPERLINK("#Liste_rouge!A"&amp;_xlfn.XMATCH("LC",Liste_rouge!A:A,2,1),"LC")</f>
        <v>LC</v>
      </c>
      <c r="AH4751" s="4" t="str">
        <f>HYPERLINK("#Statut_biogéographique!A"&amp;_xlfn.XMATCH("P",Statut_biogéographique!A:A,2,1),"P")</f>
        <v>P</v>
      </c>
      <c r="AP4751" s="4" t="s">
        <v>376</v>
      </c>
      <c r="AR4751" s="4" t="s">
        <v>377</v>
      </c>
    </row>
    <row r="4752" spans="1:44">
      <c r="A4752" s="4" t="s">
        <v>5</v>
      </c>
      <c r="B4752" s="4">
        <v>36927</v>
      </c>
      <c r="C4752" s="4">
        <v>2355</v>
      </c>
      <c r="D4752" s="5" t="s">
        <v>6990</v>
      </c>
      <c r="E4752" s="6" t="str">
        <f>HYPERLINK("https://inpn.mnhn.fr/espece/cd_nom/36927","Gymnopilus liquiritiae (Pers.) P.Karst., 1879")</f>
        <v>Gymnopilus liquiritiae (Pers.) P.Karst., 1879</v>
      </c>
      <c r="V4752" s="7" t="str">
        <f>HYPERLINK("#Liste_rouge!A"&amp;_xlfn.XMATCH("EN",Liste_rouge!A:A,2,1),"EN")</f>
        <v>EN</v>
      </c>
      <c r="W4752" s="4" t="str">
        <f>HYPERLINK("#Critères_liste_rouge!A$1","B2abiii")</f>
        <v>B2abiii</v>
      </c>
      <c r="Z4752" s="4" t="s">
        <v>447</v>
      </c>
      <c r="AA4752" s="4" t="s">
        <v>448</v>
      </c>
      <c r="AH4752" s="4" t="str">
        <f>HYPERLINK("#Statut_biogéographique!A"&amp;_xlfn.XMATCH("P",Statut_biogéographique!A:A,2,1),"P")</f>
        <v>P</v>
      </c>
      <c r="AP4752" s="4" t="s">
        <v>376</v>
      </c>
      <c r="AR4752" s="4" t="s">
        <v>377</v>
      </c>
    </row>
    <row r="4753" spans="1:44" ht="30">
      <c r="A4753" s="4" t="s">
        <v>5</v>
      </c>
      <c r="B4753" s="4">
        <v>36933</v>
      </c>
      <c r="C4753" s="4">
        <v>137</v>
      </c>
      <c r="D4753" s="5" t="s">
        <v>6991</v>
      </c>
      <c r="E4753" s="6" t="str">
        <f>HYPERLINK("https://inpn.mnhn.fr/espece/cd_nom/36933","Gymnopilus penetrans (Fr.) Murrill, 1912")</f>
        <v>Gymnopilus penetrans (Fr.) Murrill, 1912</v>
      </c>
      <c r="F4753" s="5" t="s">
        <v>6992</v>
      </c>
      <c r="V4753" s="7" t="str">
        <f>HYPERLINK("#Liste_rouge!A"&amp;_xlfn.XMATCH("LC",Liste_rouge!A:A,2,1),"LC")</f>
        <v>LC</v>
      </c>
      <c r="AH4753" s="4" t="str">
        <f>HYPERLINK("#Statut_biogéographique!A"&amp;_xlfn.XMATCH("P",Statut_biogéographique!A:A,2,1),"P")</f>
        <v>P</v>
      </c>
      <c r="AP4753" s="4" t="s">
        <v>376</v>
      </c>
      <c r="AR4753" s="4" t="s">
        <v>377</v>
      </c>
    </row>
    <row r="4754" spans="1:44">
      <c r="A4754" s="4" t="s">
        <v>5</v>
      </c>
      <c r="B4754" s="4">
        <v>36938</v>
      </c>
      <c r="C4754" s="4">
        <v>3195</v>
      </c>
      <c r="D4754" s="5" t="s">
        <v>6993</v>
      </c>
      <c r="E4754" s="6" t="str">
        <f>HYPERLINK("https://inpn.mnhn.fr/espece/cd_nom/36938","Gymnopilus picreus (Pers.) P.Karst., 1879")</f>
        <v>Gymnopilus picreus (Pers.) P.Karst., 1879</v>
      </c>
      <c r="F4754" s="5" t="s">
        <v>6994</v>
      </c>
      <c r="V4754" s="7" t="str">
        <f>HYPERLINK("#Liste_rouge!A"&amp;_xlfn.XMATCH("VU",Liste_rouge!A:A,2,1),"VU")</f>
        <v>VU</v>
      </c>
      <c r="W4754" s="4" t="str">
        <f>HYPERLINK("#Critères_liste_rouge!A$1","D2")</f>
        <v>D2</v>
      </c>
      <c r="Z4754" s="4" t="s">
        <v>447</v>
      </c>
      <c r="AA4754" s="4" t="s">
        <v>448</v>
      </c>
      <c r="AH4754" s="4" t="str">
        <f>HYPERLINK("#Statut_biogéographique!A"&amp;_xlfn.XMATCH("P",Statut_biogéographique!A:A,2,1),"P")</f>
        <v>P</v>
      </c>
      <c r="AP4754" s="4" t="s">
        <v>376</v>
      </c>
      <c r="AR4754" s="4" t="s">
        <v>377</v>
      </c>
    </row>
    <row r="4755" spans="1:44" ht="30">
      <c r="A4755" s="4" t="s">
        <v>5</v>
      </c>
      <c r="B4755" s="4">
        <v>36942</v>
      </c>
      <c r="C4755" s="4">
        <v>1946</v>
      </c>
      <c r="D4755" s="5" t="s">
        <v>6995</v>
      </c>
      <c r="E4755" s="6" t="str">
        <f>HYPERLINK("https://inpn.mnhn.fr/espece/cd_nom/36942","Gymnopilus sapineus (Fr.) Murrill, 1912")</f>
        <v>Gymnopilus sapineus (Fr.) Murrill, 1912</v>
      </c>
      <c r="F4755" s="5" t="s">
        <v>6996</v>
      </c>
      <c r="V4755" s="7" t="str">
        <f>HYPERLINK("#Liste_rouge!A"&amp;_xlfn.XMATCH("LC",Liste_rouge!A:A,2,1),"LC")</f>
        <v>LC</v>
      </c>
      <c r="Z4755" s="4" t="s">
        <v>443</v>
      </c>
      <c r="AA4755" s="4" t="s">
        <v>444</v>
      </c>
      <c r="AH4755" s="4" t="str">
        <f>HYPERLINK("#Statut_biogéographique!A"&amp;_xlfn.XMATCH("P",Statut_biogéographique!A:A,2,1),"P")</f>
        <v>P</v>
      </c>
      <c r="AP4755" s="4" t="s">
        <v>376</v>
      </c>
      <c r="AR4755" s="4" t="s">
        <v>377</v>
      </c>
    </row>
    <row r="4756" spans="1:44" ht="30">
      <c r="A4756" s="4" t="s">
        <v>5</v>
      </c>
      <c r="B4756" s="4">
        <v>36945</v>
      </c>
      <c r="C4756" s="4">
        <v>2846</v>
      </c>
      <c r="D4756" s="5" t="s">
        <v>6997</v>
      </c>
      <c r="E4756" s="6" t="str">
        <f>HYPERLINK("https://inpn.mnhn.fr/espece/cd_nom/36945","Gymnopilus stabilis (Weinm.) Kühner &amp; Romagn., 1985")</f>
        <v>Gymnopilus stabilis (Weinm.) Kühner &amp; Romagn., 1985</v>
      </c>
      <c r="V4756" s="7" t="str">
        <f>HYPERLINK("#Liste_rouge!A"&amp;_xlfn.XMATCH("NT",Liste_rouge!A:A,2,1),"NT")</f>
        <v>NT</v>
      </c>
      <c r="W4756" s="4" t="str">
        <f>HYPERLINK("#Critères_liste_rouge!A$1","pr. B2abiii")</f>
        <v>pr. B2abiii</v>
      </c>
      <c r="Z4756" s="4" t="s">
        <v>443</v>
      </c>
      <c r="AA4756" s="4" t="s">
        <v>444</v>
      </c>
      <c r="AH4756" s="4" t="str">
        <f>HYPERLINK("#Statut_biogéographique!A"&amp;_xlfn.XMATCH("P",Statut_biogéographique!A:A,2,1),"P")</f>
        <v>P</v>
      </c>
      <c r="AP4756" s="4" t="s">
        <v>376</v>
      </c>
      <c r="AR4756" s="4" t="s">
        <v>377</v>
      </c>
    </row>
    <row r="4757" spans="1:44" ht="30">
      <c r="A4757" s="4" t="s">
        <v>5</v>
      </c>
      <c r="B4757" s="4">
        <v>36957</v>
      </c>
      <c r="C4757" s="4">
        <v>245</v>
      </c>
      <c r="D4757" s="5" t="s">
        <v>6998</v>
      </c>
      <c r="E4757" s="6" t="str">
        <f>HYPERLINK("https://inpn.mnhn.fr/espece/cd_nom/36957","Hemipholiota populnea (Pers.) Bon, 1986")</f>
        <v>Hemipholiota populnea (Pers.) Bon, 1986</v>
      </c>
      <c r="F4757" s="5" t="s">
        <v>6999</v>
      </c>
      <c r="V4757" s="7" t="str">
        <f>HYPERLINK("#Liste_rouge!A"&amp;_xlfn.XMATCH("LC",Liste_rouge!A:A,2,1),"LC")</f>
        <v>LC</v>
      </c>
      <c r="AH4757" s="4" t="str">
        <f>HYPERLINK("#Statut_biogéographique!A"&amp;_xlfn.XMATCH("P",Statut_biogéographique!A:A,2,1),"P")</f>
        <v>P</v>
      </c>
      <c r="AP4757" s="4" t="s">
        <v>376</v>
      </c>
      <c r="AR4757" s="4" t="s">
        <v>377</v>
      </c>
    </row>
    <row r="4758" spans="1:44" ht="30">
      <c r="A4758" s="4" t="s">
        <v>5</v>
      </c>
      <c r="B4758" s="4">
        <v>36963</v>
      </c>
      <c r="C4758" s="4">
        <v>468</v>
      </c>
      <c r="D4758" s="5" t="s">
        <v>7000</v>
      </c>
      <c r="E4758" s="6" t="str">
        <f>HYPERLINK("https://inpn.mnhn.fr/espece/cd_nom/36963","Hypholoma capnoides (Fr.) P.Kumm., 1871")</f>
        <v>Hypholoma capnoides (Fr.) P.Kumm., 1871</v>
      </c>
      <c r="F4758" s="5" t="s">
        <v>7001</v>
      </c>
      <c r="O4758" s="7" t="str">
        <f>HYPERLINK("#Liste_rouge!A"&amp;_xlfn.XMATCH("LC",Liste_rouge!A:A,2,1),"LC")</f>
        <v>LC</v>
      </c>
      <c r="V4758" s="7" t="str">
        <f>HYPERLINK("#Liste_rouge!A"&amp;_xlfn.XMATCH("LC",Liste_rouge!A:A,2,1),"LC")</f>
        <v>LC</v>
      </c>
      <c r="AH4758" s="4" t="str">
        <f>HYPERLINK("#Statut_biogéographique!A"&amp;_xlfn.XMATCH("P",Statut_biogéographique!A:A,2,1),"P")</f>
        <v>P</v>
      </c>
      <c r="AP4758" s="4" t="s">
        <v>376</v>
      </c>
      <c r="AR4758" s="4" t="s">
        <v>377</v>
      </c>
    </row>
    <row r="4759" spans="1:44" ht="30">
      <c r="A4759" s="4" t="s">
        <v>5</v>
      </c>
      <c r="B4759" s="4">
        <v>36969</v>
      </c>
      <c r="C4759" s="4">
        <v>1548</v>
      </c>
      <c r="D4759" s="5" t="s">
        <v>7002</v>
      </c>
      <c r="E4759" s="6" t="str">
        <f>HYPERLINK("https://inpn.mnhn.fr/espece/cd_nom/36969","Hypholoma epixanthum (Fr.) Quél., 1872")</f>
        <v>Hypholoma epixanthum (Fr.) Quél., 1872</v>
      </c>
      <c r="F4759" s="5" t="s">
        <v>7003</v>
      </c>
      <c r="V4759" s="7" t="str">
        <f>HYPERLINK("#Liste_rouge!A"&amp;_xlfn.XMATCH("NT",Liste_rouge!A:A,2,1),"NT")</f>
        <v>NT</v>
      </c>
      <c r="W4759" s="4" t="str">
        <f>HYPERLINK("#Critères_liste_rouge!A$1","pr. B2abiii")</f>
        <v>pr. B2abiii</v>
      </c>
      <c r="AH4759" s="4" t="str">
        <f>HYPERLINK("#Statut_biogéographique!A"&amp;_xlfn.XMATCH("P",Statut_biogéographique!A:A,2,1),"P")</f>
        <v>P</v>
      </c>
      <c r="AP4759" s="4" t="s">
        <v>376</v>
      </c>
      <c r="AR4759" s="4" t="s">
        <v>377</v>
      </c>
    </row>
    <row r="4760" spans="1:44">
      <c r="A4760" s="4" t="s">
        <v>5</v>
      </c>
      <c r="B4760" s="4">
        <v>36971</v>
      </c>
      <c r="C4760" s="4">
        <v>4457</v>
      </c>
      <c r="D4760" s="5" t="s">
        <v>7004</v>
      </c>
      <c r="E4760" s="6" t="str">
        <f>HYPERLINK("https://inpn.mnhn.fr/espece/cd_nom/36971","Hypholoma ericaeoides P.D.Orton, 1960")</f>
        <v>Hypholoma ericaeoides P.D.Orton, 1960</v>
      </c>
      <c r="V4760" s="7" t="str">
        <f>HYPERLINK("#Liste_rouge!A"&amp;_xlfn.XMATCH("EN",Liste_rouge!A:A,2,1),"EN")</f>
        <v>EN</v>
      </c>
      <c r="W4760" s="4" t="str">
        <f>HYPERLINK("#Critères_liste_rouge!A$1","B2abiii")</f>
        <v>B2abiii</v>
      </c>
      <c r="Z4760" s="4" t="s">
        <v>695</v>
      </c>
      <c r="AA4760" s="4" t="s">
        <v>696</v>
      </c>
      <c r="AH4760" s="4" t="str">
        <f>HYPERLINK("#Statut_biogéographique!A"&amp;_xlfn.XMATCH("P",Statut_biogéographique!A:A,2,1),"P")</f>
        <v>P</v>
      </c>
      <c r="AP4760" s="4" t="s">
        <v>376</v>
      </c>
      <c r="AR4760" s="4" t="s">
        <v>377</v>
      </c>
    </row>
    <row r="4761" spans="1:44" ht="30">
      <c r="A4761" s="4" t="s">
        <v>5</v>
      </c>
      <c r="B4761" s="4">
        <v>36972</v>
      </c>
      <c r="C4761" s="4">
        <v>2182</v>
      </c>
      <c r="D4761" s="5" t="s">
        <v>7005</v>
      </c>
      <c r="E4761" s="6" t="str">
        <f>HYPERLINK("https://inpn.mnhn.fr/espece/cd_nom/36972","Hypholoma elongatum (Pers.) Ricken, 1915")</f>
        <v>Hypholoma elongatum (Pers.) Ricken, 1915</v>
      </c>
      <c r="F4761" s="5" t="s">
        <v>7006</v>
      </c>
      <c r="V4761" s="7" t="str">
        <f>HYPERLINK("#Liste_rouge!A"&amp;_xlfn.XMATCH("LC",Liste_rouge!A:A,2,1),"LC")</f>
        <v>LC</v>
      </c>
      <c r="Z4761" s="4" t="s">
        <v>447</v>
      </c>
      <c r="AA4761" s="4" t="s">
        <v>448</v>
      </c>
      <c r="AH4761" s="4" t="str">
        <f>HYPERLINK("#Statut_biogéographique!A"&amp;_xlfn.XMATCH("P",Statut_biogéographique!A:A,2,1),"P")</f>
        <v>P</v>
      </c>
      <c r="AP4761" s="4" t="s">
        <v>376</v>
      </c>
      <c r="AR4761" s="4" t="s">
        <v>377</v>
      </c>
    </row>
    <row r="4762" spans="1:44" ht="30">
      <c r="A4762" s="4" t="s">
        <v>5</v>
      </c>
      <c r="B4762" s="4">
        <v>36974</v>
      </c>
      <c r="C4762" s="4">
        <v>3095</v>
      </c>
      <c r="D4762" s="5" t="s">
        <v>7007</v>
      </c>
      <c r="E4762" s="6" t="str">
        <f>HYPERLINK("https://inpn.mnhn.fr/espece/cd_nom/36974","Hypholoma ericaeum (Pers.) Kühner, 1936")</f>
        <v>Hypholoma ericaeum (Pers.) Kühner, 1936</v>
      </c>
      <c r="V4762" s="7" t="str">
        <f>HYPERLINK("#Liste_rouge!A"&amp;_xlfn.XMATCH("EN",Liste_rouge!A:A,2,1),"EN")</f>
        <v>EN</v>
      </c>
      <c r="W4762" s="4" t="str">
        <f>HYPERLINK("#Critères_liste_rouge!A$1","B2abiii")</f>
        <v>B2abiii</v>
      </c>
      <c r="Z4762" s="4" t="s">
        <v>447</v>
      </c>
      <c r="AA4762" s="4" t="s">
        <v>448</v>
      </c>
      <c r="AH4762" s="4" t="str">
        <f>HYPERLINK("#Statut_biogéographique!A"&amp;_xlfn.XMATCH("P",Statut_biogéographique!A:A,2,1),"P")</f>
        <v>P</v>
      </c>
      <c r="AP4762" s="4" t="s">
        <v>376</v>
      </c>
      <c r="AR4762" s="4" t="s">
        <v>377</v>
      </c>
    </row>
    <row r="4763" spans="1:44" ht="45">
      <c r="A4763" s="4" t="s">
        <v>5</v>
      </c>
      <c r="B4763" s="4">
        <v>36977</v>
      </c>
      <c r="C4763" s="4">
        <v>103</v>
      </c>
      <c r="D4763" s="5" t="s">
        <v>7008</v>
      </c>
      <c r="E4763" s="6" t="str">
        <f>HYPERLINK("https://inpn.mnhn.fr/espece/cd_nom/36977","Hypholoma fasciculare (Huds.) P.Kumm., 1871")</f>
        <v>Hypholoma fasciculare (Huds.) P.Kumm., 1871</v>
      </c>
      <c r="F4763" s="5" t="s">
        <v>7009</v>
      </c>
      <c r="V4763" s="7" t="str">
        <f>HYPERLINK("#Liste_rouge!A"&amp;_xlfn.XMATCH("LC",Liste_rouge!A:A,2,1),"LC")</f>
        <v>LC</v>
      </c>
      <c r="AH4763" s="4" t="str">
        <f>HYPERLINK("#Statut_biogéographique!A"&amp;_xlfn.XMATCH("P",Statut_biogéographique!A:A,2,1),"P")</f>
        <v>P</v>
      </c>
      <c r="AP4763" s="4" t="s">
        <v>376</v>
      </c>
      <c r="AR4763" s="4" t="s">
        <v>377</v>
      </c>
    </row>
    <row r="4764" spans="1:44" ht="30">
      <c r="A4764" s="4" t="s">
        <v>5</v>
      </c>
      <c r="B4764" s="4">
        <v>36980</v>
      </c>
      <c r="C4764" s="4">
        <v>980</v>
      </c>
      <c r="D4764" s="5" t="s">
        <v>7010</v>
      </c>
      <c r="E4764" s="6" t="str">
        <f>HYPERLINK("https://inpn.mnhn.fr/espece/cd_nom/36980","Hypholoma fasciculare var. pusillum J.E.Lange, 1923")</f>
        <v>Hypholoma fasciculare var. pusillum J.E.Lange, 1923</v>
      </c>
      <c r="F4764" s="5" t="s">
        <v>7011</v>
      </c>
      <c r="V4764" s="7" t="str">
        <f>HYPERLINK("#Liste_rouge!A"&amp;_xlfn.XMATCH("LC",Liste_rouge!A:A,2,1),"LC")</f>
        <v>LC</v>
      </c>
      <c r="AH4764" s="4" t="str">
        <f>HYPERLINK("#Statut_biogéographique!A"&amp;_xlfn.XMATCH("P",Statut_biogéographique!A:A,2,1),"P")</f>
        <v>P</v>
      </c>
      <c r="AP4764" s="4" t="s">
        <v>376</v>
      </c>
      <c r="AR4764" s="4" t="s">
        <v>377</v>
      </c>
    </row>
    <row r="4765" spans="1:44" ht="30">
      <c r="A4765" s="4" t="s">
        <v>5</v>
      </c>
      <c r="B4765" s="4">
        <v>36981</v>
      </c>
      <c r="C4765" s="4">
        <v>914</v>
      </c>
      <c r="D4765" s="5" t="s">
        <v>7012</v>
      </c>
      <c r="E4765" s="6" t="str">
        <f>HYPERLINK("https://inpn.mnhn.fr/espece/cd_nom/36981","Hypholoma laeticolor (F.H.Møller) P.D.Orton, 1960")</f>
        <v>Hypholoma laeticolor (F.H.Møller) P.D.Orton, 1960</v>
      </c>
      <c r="F4765" s="5" t="s">
        <v>7013</v>
      </c>
      <c r="V4765" s="7" t="str">
        <f>HYPERLINK("#Liste_rouge!A"&amp;_xlfn.XMATCH("DD",Liste_rouge!A:A,2,1),"DD")</f>
        <v>DD</v>
      </c>
      <c r="AH4765" s="4" t="str">
        <f>HYPERLINK("#Statut_biogéographique!A"&amp;_xlfn.XMATCH("P",Statut_biogéographique!A:A,2,1),"P")</f>
        <v>P</v>
      </c>
      <c r="AP4765" s="4" t="s">
        <v>376</v>
      </c>
      <c r="AR4765" s="4" t="s">
        <v>377</v>
      </c>
    </row>
    <row r="4766" spans="1:44" ht="30">
      <c r="A4766" s="4" t="s">
        <v>5</v>
      </c>
      <c r="B4766" s="4">
        <v>36983</v>
      </c>
      <c r="C4766" s="4">
        <v>1010</v>
      </c>
      <c r="D4766" s="5" t="s">
        <v>7014</v>
      </c>
      <c r="E4766" s="6" t="str">
        <f>HYPERLINK("https://inpn.mnhn.fr/espece/cd_nom/36983","Hypholoma marginatum J.Schröt., 1889")</f>
        <v>Hypholoma marginatum J.Schröt., 1889</v>
      </c>
      <c r="F4766" s="5" t="s">
        <v>7015</v>
      </c>
      <c r="V4766" s="7" t="str">
        <f>HYPERLINK("#Liste_rouge!A"&amp;_xlfn.XMATCH("LC",Liste_rouge!A:A,2,1),"LC")</f>
        <v>LC</v>
      </c>
      <c r="AH4766" s="4" t="str">
        <f>HYPERLINK("#Statut_biogéographique!A"&amp;_xlfn.XMATCH("P",Statut_biogéographique!A:A,2,1),"P")</f>
        <v>P</v>
      </c>
      <c r="AP4766" s="4" t="s">
        <v>376</v>
      </c>
      <c r="AR4766" s="4" t="s">
        <v>377</v>
      </c>
    </row>
    <row r="4767" spans="1:44" ht="30">
      <c r="A4767" s="4" t="s">
        <v>5</v>
      </c>
      <c r="B4767" s="4">
        <v>36986</v>
      </c>
      <c r="C4767" s="4">
        <v>2263</v>
      </c>
      <c r="D4767" s="5" t="s">
        <v>7016</v>
      </c>
      <c r="E4767" s="6" t="str">
        <f>HYPERLINK("https://inpn.mnhn.fr/espece/cd_nom/36986","Hypholoma polytrichi (Fr.) Ricken, 1912")</f>
        <v>Hypholoma polytrichi (Fr.) Ricken, 1912</v>
      </c>
      <c r="F4767" s="5" t="s">
        <v>7017</v>
      </c>
      <c r="V4767" s="7" t="str">
        <f>HYPERLINK("#Liste_rouge!A"&amp;_xlfn.XMATCH("VU",Liste_rouge!A:A,2,1),"VU")</f>
        <v>VU</v>
      </c>
      <c r="W4767" s="4" t="str">
        <f>HYPERLINK("#Critères_liste_rouge!A$1","A2c")</f>
        <v>A2c</v>
      </c>
      <c r="Z4767" s="4" t="s">
        <v>447</v>
      </c>
      <c r="AA4767" s="4" t="s">
        <v>448</v>
      </c>
      <c r="AH4767" s="4" t="str">
        <f>HYPERLINK("#Statut_biogéographique!A"&amp;_xlfn.XMATCH("P",Statut_biogéographique!A:A,2,1),"P")</f>
        <v>P</v>
      </c>
      <c r="AP4767" s="4" t="s">
        <v>376</v>
      </c>
      <c r="AR4767" s="4" t="s">
        <v>377</v>
      </c>
    </row>
    <row r="4768" spans="1:44">
      <c r="A4768" s="4" t="s">
        <v>5</v>
      </c>
      <c r="B4768" s="4">
        <v>36992</v>
      </c>
      <c r="C4768" s="4">
        <v>5492</v>
      </c>
      <c r="D4768" s="5" t="s">
        <v>7018</v>
      </c>
      <c r="E4768" s="6" t="str">
        <f>HYPERLINK("https://inpn.mnhn.fr/espece/cd_nom/36992","Hypholoma subericaeum (Fr.) Kühner, 1936")</f>
        <v>Hypholoma subericaeum (Fr.) Kühner, 1936</v>
      </c>
      <c r="V4768" s="7" t="str">
        <f>HYPERLINK("#Liste_rouge!A"&amp;_xlfn.XMATCH("DD",Liste_rouge!A:A,2,1),"DD")</f>
        <v>DD</v>
      </c>
      <c r="AH4768" s="4" t="str">
        <f>HYPERLINK("#Statut_biogéographique!A"&amp;_xlfn.XMATCH("P",Statut_biogéographique!A:A,2,1),"P")</f>
        <v>P</v>
      </c>
      <c r="AP4768" s="4" t="s">
        <v>376</v>
      </c>
      <c r="AR4768" s="4" t="s">
        <v>377</v>
      </c>
    </row>
    <row r="4769" spans="1:44" ht="30">
      <c r="A4769" s="4" t="s">
        <v>5</v>
      </c>
      <c r="B4769" s="4">
        <v>36997</v>
      </c>
      <c r="C4769" s="4">
        <v>102</v>
      </c>
      <c r="D4769" s="5" t="s">
        <v>7019</v>
      </c>
      <c r="E4769" s="6" t="str">
        <f>HYPERLINK("https://inpn.mnhn.fr/espece/cd_nom/36997","Hypholoma lateritium (Schaeff.) P.Kumm., 1871")</f>
        <v>Hypholoma lateritium (Schaeff.) P.Kumm., 1871</v>
      </c>
      <c r="F4769" s="5" t="s">
        <v>7020</v>
      </c>
      <c r="V4769" s="7" t="str">
        <f>HYPERLINK("#Liste_rouge!A"&amp;_xlfn.XMATCH("LC",Liste_rouge!A:A,2,1),"LC")</f>
        <v>LC</v>
      </c>
      <c r="AH4769" s="4" t="str">
        <f>HYPERLINK("#Statut_biogéographique!A"&amp;_xlfn.XMATCH("P",Statut_biogéographique!A:A,2,1),"P")</f>
        <v>P</v>
      </c>
      <c r="AP4769" s="4" t="s">
        <v>376</v>
      </c>
      <c r="AR4769" s="4" t="s">
        <v>377</v>
      </c>
    </row>
    <row r="4770" spans="1:44" ht="30">
      <c r="A4770" s="4" t="s">
        <v>5</v>
      </c>
      <c r="B4770" s="4">
        <v>37002</v>
      </c>
      <c r="C4770" s="4">
        <v>21</v>
      </c>
      <c r="D4770" s="5" t="s">
        <v>7021</v>
      </c>
      <c r="E4770" s="6" t="str">
        <f>HYPERLINK("https://inpn.mnhn.fr/espece/cd_nom/37002","Kuehneromyces mutabilis (Schaeff.) Singer &amp; A.H.Sm., 1946")</f>
        <v>Kuehneromyces mutabilis (Schaeff.) Singer &amp; A.H.Sm., 1946</v>
      </c>
      <c r="F4770" s="5" t="s">
        <v>7022</v>
      </c>
      <c r="O4770" s="7" t="str">
        <f>HYPERLINK("#Liste_rouge!A"&amp;_xlfn.XMATCH("LC",Liste_rouge!A:A,2,1),"LC")</f>
        <v>LC</v>
      </c>
      <c r="V4770" s="7" t="str">
        <f>HYPERLINK("#Liste_rouge!A"&amp;_xlfn.XMATCH("LC",Liste_rouge!A:A,2,1),"LC")</f>
        <v>LC</v>
      </c>
      <c r="AH4770" s="4" t="str">
        <f>HYPERLINK("#Statut_biogéographique!A"&amp;_xlfn.XMATCH("P",Statut_biogéographique!A:A,2,1),"P")</f>
        <v>P</v>
      </c>
      <c r="AP4770" s="4" t="s">
        <v>376</v>
      </c>
      <c r="AR4770" s="4" t="s">
        <v>377</v>
      </c>
    </row>
    <row r="4771" spans="1:44" ht="30">
      <c r="A4771" s="4" t="s">
        <v>5</v>
      </c>
      <c r="B4771" s="4">
        <v>37018</v>
      </c>
      <c r="D4771" s="5" t="s">
        <v>7023</v>
      </c>
      <c r="E4771" s="6" t="str">
        <f>HYPERLINK("https://inpn.mnhn.fr/espece/cd_nom/37018","Panaeolus phalaenarum (Fr.) Quél., 1872")</f>
        <v>Panaeolus phalaenarum (Fr.) Quél., 1872</v>
      </c>
      <c r="AH4771" s="4" t="str">
        <f>HYPERLINK("#Statut_biogéographique!A"&amp;_xlfn.XMATCH("P",Statut_biogéographique!A:A,2,1),"P")</f>
        <v>P</v>
      </c>
      <c r="AP4771" s="4" t="s">
        <v>376</v>
      </c>
      <c r="AR4771" s="4" t="s">
        <v>377</v>
      </c>
    </row>
    <row r="4772" spans="1:44" ht="30">
      <c r="A4772" s="4" t="s">
        <v>5</v>
      </c>
      <c r="B4772" s="4">
        <v>37021</v>
      </c>
      <c r="D4772" s="5" t="s">
        <v>7024</v>
      </c>
      <c r="E4772" s="6" t="str">
        <f>HYPERLINK("https://inpn.mnhn.fr/espece/cd_nom/37021","Panaeolus ater (J.E.Lange) Kühner &amp; Romagn. ex Bon, 1985")</f>
        <v>Panaeolus ater (J.E.Lange) Kühner &amp; Romagn. ex Bon, 1985</v>
      </c>
      <c r="AH4772" s="4" t="str">
        <f>HYPERLINK("#Statut_biogéographique!A"&amp;_xlfn.XMATCH("P",Statut_biogéographique!A:A,2,1),"P")</f>
        <v>P</v>
      </c>
      <c r="AP4772" s="4" t="s">
        <v>376</v>
      </c>
      <c r="AR4772" s="4" t="s">
        <v>377</v>
      </c>
    </row>
    <row r="4773" spans="1:44">
      <c r="A4773" s="4" t="s">
        <v>5</v>
      </c>
      <c r="B4773" s="4">
        <v>37032</v>
      </c>
      <c r="D4773" s="5" t="s">
        <v>7025</v>
      </c>
      <c r="E4773" s="6" t="str">
        <f>HYPERLINK("https://inpn.mnhn.fr/espece/cd_nom/37032","Panaeolus fimicola (Pers.) Gillet, 1878")</f>
        <v>Panaeolus fimicola (Pers.) Gillet, 1878</v>
      </c>
      <c r="AH4773" s="4" t="str">
        <f>HYPERLINK("#Statut_biogéographique!A"&amp;_xlfn.XMATCH("P",Statut_biogéographique!A:A,2,1),"P")</f>
        <v>P</v>
      </c>
      <c r="AP4773" s="4" t="s">
        <v>376</v>
      </c>
      <c r="AR4773" s="4" t="s">
        <v>377</v>
      </c>
    </row>
    <row r="4774" spans="1:44" ht="30">
      <c r="A4774" s="4" t="s">
        <v>5</v>
      </c>
      <c r="B4774" s="4">
        <v>37033</v>
      </c>
      <c r="D4774" s="5" t="s">
        <v>7026</v>
      </c>
      <c r="E4774" s="6" t="str">
        <f>HYPERLINK("https://inpn.mnhn.fr/espece/cd_nom/37033","Panaeolus foenisecii (Pers.) J.Schröt., 1926")</f>
        <v>Panaeolus foenisecii (Pers.) J.Schröt., 1926</v>
      </c>
      <c r="V4774" s="7" t="str">
        <f>HYPERLINK("#Liste_rouge!A"&amp;_xlfn.XMATCH("LC",Liste_rouge!A:A,2,1),"LC")</f>
        <v>LC</v>
      </c>
      <c r="AH4774" s="4" t="str">
        <f>HYPERLINK("#Statut_biogéographique!A"&amp;_xlfn.XMATCH("P",Statut_biogéographique!A:A,2,1),"P")</f>
        <v>P</v>
      </c>
      <c r="AP4774" s="4" t="s">
        <v>376</v>
      </c>
      <c r="AR4774" s="4" t="s">
        <v>377</v>
      </c>
    </row>
    <row r="4775" spans="1:44">
      <c r="A4775" s="4" t="s">
        <v>5</v>
      </c>
      <c r="B4775" s="4">
        <v>37042</v>
      </c>
      <c r="D4775" s="5">
        <v>37042</v>
      </c>
      <c r="E4775" s="6" t="str">
        <f>HYPERLINK("https://inpn.mnhn.fr/espece/cd_nom/37042","Panaeolus olivaceus F.H.Møller, 1945")</f>
        <v>Panaeolus olivaceus F.H.Møller, 1945</v>
      </c>
      <c r="V4775" s="7" t="str">
        <f>HYPERLINK("#Liste_rouge!A"&amp;_xlfn.XMATCH("DD",Liste_rouge!A:A,2,1),"DD")</f>
        <v>DD</v>
      </c>
      <c r="AH4775" s="4" t="str">
        <f>HYPERLINK("#Statut_biogéographique!A"&amp;_xlfn.XMATCH("P",Statut_biogéographique!A:A,2,1),"P")</f>
        <v>P</v>
      </c>
      <c r="AP4775" s="4" t="s">
        <v>376</v>
      </c>
      <c r="AR4775" s="4" t="s">
        <v>377</v>
      </c>
    </row>
    <row r="4776" spans="1:44" ht="30">
      <c r="A4776" s="4" t="s">
        <v>5</v>
      </c>
      <c r="B4776" s="4">
        <v>37043</v>
      </c>
      <c r="D4776" s="5" t="s">
        <v>7027</v>
      </c>
      <c r="E4776" s="6" t="str">
        <f>HYPERLINK("https://inpn.mnhn.fr/espece/cd_nom/37043","Panaeolus papilionaceus (Bull.) Quél., 1872")</f>
        <v>Panaeolus papilionaceus (Bull.) Quél., 1872</v>
      </c>
      <c r="V4776" s="7" t="str">
        <f>HYPERLINK("#Liste_rouge!A"&amp;_xlfn.XMATCH("LC",Liste_rouge!A:A,2,1),"LC")</f>
        <v>LC</v>
      </c>
      <c r="AH4776" s="4" t="str">
        <f>HYPERLINK("#Statut_biogéographique!A"&amp;_xlfn.XMATCH("P",Statut_biogéographique!A:A,2,1),"P")</f>
        <v>P</v>
      </c>
      <c r="AP4776" s="4" t="s">
        <v>376</v>
      </c>
      <c r="AR4776" s="4" t="s">
        <v>377</v>
      </c>
    </row>
    <row r="4777" spans="1:44">
      <c r="A4777" s="4" t="s">
        <v>5</v>
      </c>
      <c r="B4777" s="4">
        <v>37047</v>
      </c>
      <c r="D4777" s="5" t="s">
        <v>7028</v>
      </c>
      <c r="E4777" s="6" t="str">
        <f>HYPERLINK("https://inpn.mnhn.fr/espece/cd_nom/37047","Panaeolus retirugis (Fr.) Gillet, 1878")</f>
        <v>Panaeolus retirugis (Fr.) Gillet, 1878</v>
      </c>
      <c r="V4777" s="7" t="str">
        <f>HYPERLINK("#Liste_rouge!A"&amp;_xlfn.XMATCH("EN",Liste_rouge!A:A,2,1),"EN")</f>
        <v>EN</v>
      </c>
      <c r="W4777" s="4" t="str">
        <f>HYPERLINK("#Critères_liste_rouge!A$1","B2abiii")</f>
        <v>B2abiii</v>
      </c>
      <c r="AH4777" s="4" t="str">
        <f>HYPERLINK("#Statut_biogéographique!A"&amp;_xlfn.XMATCH("P",Statut_biogéographique!A:A,2,1),"P")</f>
        <v>P</v>
      </c>
      <c r="AP4777" s="4" t="s">
        <v>376</v>
      </c>
      <c r="AR4777" s="4" t="s">
        <v>377</v>
      </c>
    </row>
    <row r="4778" spans="1:44">
      <c r="A4778" s="4" t="s">
        <v>5</v>
      </c>
      <c r="B4778" s="4">
        <v>37050</v>
      </c>
      <c r="D4778" s="5" t="s">
        <v>7029</v>
      </c>
      <c r="E4778" s="6" t="str">
        <f>HYPERLINK("https://inpn.mnhn.fr/espece/cd_nom/37050","Panaeolus rickenii Hora, 1960")</f>
        <v>Panaeolus rickenii Hora, 1960</v>
      </c>
      <c r="V4778" s="7" t="str">
        <f>HYPERLINK("#Liste_rouge!A"&amp;_xlfn.XMATCH("LC",Liste_rouge!A:A,2,1),"LC")</f>
        <v>LC</v>
      </c>
      <c r="AH4778" s="4" t="str">
        <f>HYPERLINK("#Statut_biogéographique!A"&amp;_xlfn.XMATCH("P",Statut_biogéographique!A:A,2,1),"P")</f>
        <v>P</v>
      </c>
      <c r="AP4778" s="4" t="s">
        <v>376</v>
      </c>
      <c r="AR4778" s="4" t="s">
        <v>377</v>
      </c>
    </row>
    <row r="4779" spans="1:44">
      <c r="A4779" s="4" t="s">
        <v>5</v>
      </c>
      <c r="B4779" s="4">
        <v>37052</v>
      </c>
      <c r="D4779" s="5" t="s">
        <v>7030</v>
      </c>
      <c r="E4779" s="6" t="str">
        <f>HYPERLINK("https://inpn.mnhn.fr/espece/cd_nom/37052","Panaeolus campanulatus (L.) Quél., 1872")</f>
        <v>Panaeolus campanulatus (L.) Quél., 1872</v>
      </c>
      <c r="V4779" s="7" t="str">
        <f>HYPERLINK("#Liste_rouge!A"&amp;_xlfn.XMATCH("LC",Liste_rouge!A:A,2,1),"LC")</f>
        <v>LC</v>
      </c>
      <c r="AH4779" s="4" t="str">
        <f>HYPERLINK("#Statut_biogéographique!A"&amp;_xlfn.XMATCH("P",Statut_biogéographique!A:A,2,1),"P")</f>
        <v>P</v>
      </c>
      <c r="AP4779" s="4" t="s">
        <v>376</v>
      </c>
      <c r="AR4779" s="4" t="s">
        <v>377</v>
      </c>
    </row>
    <row r="4780" spans="1:44" ht="30">
      <c r="A4780" s="4" t="s">
        <v>5</v>
      </c>
      <c r="B4780" s="4">
        <v>37053</v>
      </c>
      <c r="D4780" s="5" t="s">
        <v>7031</v>
      </c>
      <c r="E4780" s="6" t="str">
        <f>HYPERLINK("https://inpn.mnhn.fr/espece/cd_nom/37053","Panaeolus semiovatus (Sowerby) S.Lundell &amp; Nannf., 1938")</f>
        <v>Panaeolus semiovatus (Sowerby) S.Lundell &amp; Nannf., 1938</v>
      </c>
      <c r="V4780" s="7" t="str">
        <f>HYPERLINK("#Liste_rouge!A"&amp;_xlfn.XMATCH("LC",Liste_rouge!A:A,2,1),"LC")</f>
        <v>LC</v>
      </c>
      <c r="AH4780" s="4" t="str">
        <f>HYPERLINK("#Statut_biogéographique!A"&amp;_xlfn.XMATCH("P",Statut_biogéographique!A:A,2,1),"P")</f>
        <v>P</v>
      </c>
      <c r="AP4780" s="4" t="s">
        <v>376</v>
      </c>
      <c r="AR4780" s="4" t="s">
        <v>377</v>
      </c>
    </row>
    <row r="4781" spans="1:44">
      <c r="A4781" s="4" t="s">
        <v>5</v>
      </c>
      <c r="B4781" s="4">
        <v>37057</v>
      </c>
      <c r="D4781" s="5" t="s">
        <v>7032</v>
      </c>
      <c r="E4781" s="6" t="str">
        <f>HYPERLINK("https://inpn.mnhn.fr/espece/cd_nom/37057","Panaeolus sphinctrinus (Fr.) Quél., 1872")</f>
        <v>Panaeolus sphinctrinus (Fr.) Quél., 1872</v>
      </c>
      <c r="V4781" s="7" t="str">
        <f>HYPERLINK("#Liste_rouge!A"&amp;_xlfn.XMATCH("LC",Liste_rouge!A:A,2,1),"LC")</f>
        <v>LC</v>
      </c>
      <c r="AH4781" s="4" t="str">
        <f>HYPERLINK("#Statut_biogéographique!A"&amp;_xlfn.XMATCH("P",Statut_biogéographique!A:A,2,1),"P")</f>
        <v>P</v>
      </c>
      <c r="AP4781" s="4" t="s">
        <v>376</v>
      </c>
      <c r="AR4781" s="4" t="s">
        <v>377</v>
      </c>
    </row>
    <row r="4782" spans="1:44" ht="30">
      <c r="A4782" s="4" t="s">
        <v>5</v>
      </c>
      <c r="B4782" s="4">
        <v>37064</v>
      </c>
      <c r="D4782" s="5" t="s">
        <v>7033</v>
      </c>
      <c r="E4782" s="6" t="str">
        <f>HYPERLINK("https://inpn.mnhn.fr/espece/cd_nom/37064","Phaeomarasmius erinaceus (Fr.) Scherff. ex Romagn., 1937")</f>
        <v>Phaeomarasmius erinaceus (Fr.) Scherff. ex Romagn., 1937</v>
      </c>
      <c r="F4782" s="5" t="s">
        <v>7034</v>
      </c>
      <c r="V4782" s="7" t="str">
        <f>HYPERLINK("#Liste_rouge!A"&amp;_xlfn.XMATCH("EN",Liste_rouge!A:A,2,1),"EN")</f>
        <v>EN</v>
      </c>
      <c r="W4782" s="4" t="str">
        <f>HYPERLINK("#Critères_liste_rouge!A$1","B2abiii")</f>
        <v>B2abiii</v>
      </c>
      <c r="AH4782" s="4" t="str">
        <f>HYPERLINK("#Statut_biogéographique!A"&amp;_xlfn.XMATCH("P",Statut_biogéographique!A:A,2,1),"P")</f>
        <v>P</v>
      </c>
      <c r="AP4782" s="4" t="s">
        <v>376</v>
      </c>
      <c r="AR4782" s="4" t="s">
        <v>377</v>
      </c>
    </row>
    <row r="4783" spans="1:44" ht="45">
      <c r="A4783" s="4" t="s">
        <v>5</v>
      </c>
      <c r="B4783" s="4">
        <v>37074</v>
      </c>
      <c r="C4783" s="4">
        <v>871</v>
      </c>
      <c r="D4783" s="5" t="s">
        <v>7035</v>
      </c>
      <c r="E4783" s="6" t="str">
        <f>HYPERLINK("https://inpn.mnhn.fr/espece/cd_nom/37074","Pholiota alnicola (Fr.) Singer, 1951")</f>
        <v>Pholiota alnicola (Fr.) Singer, 1951</v>
      </c>
      <c r="F4783" s="5" t="s">
        <v>7036</v>
      </c>
      <c r="V4783" s="7" t="str">
        <f>HYPERLINK("#Liste_rouge!A"&amp;_xlfn.XMATCH("NT",Liste_rouge!A:A,2,1),"NT")</f>
        <v>NT</v>
      </c>
      <c r="W4783" s="4" t="str">
        <f>HYPERLINK("#Critères_liste_rouge!A$1","pr. A2c")</f>
        <v>pr. A2c</v>
      </c>
      <c r="AH4783" s="4" t="str">
        <f>HYPERLINK("#Statut_biogéographique!A"&amp;_xlfn.XMATCH("P",Statut_biogéographique!A:A,2,1),"P")</f>
        <v>P</v>
      </c>
      <c r="AP4783" s="4" t="s">
        <v>376</v>
      </c>
      <c r="AR4783" s="4" t="s">
        <v>377</v>
      </c>
    </row>
    <row r="4784" spans="1:44">
      <c r="A4784" s="4" t="s">
        <v>5</v>
      </c>
      <c r="B4784" s="4">
        <v>37082</v>
      </c>
      <c r="D4784" s="5" t="s">
        <v>7037</v>
      </c>
      <c r="E4784" s="6" t="str">
        <f>HYPERLINK("https://inpn.mnhn.fr/espece/cd_nom/37082","Pholiota astragalina (Fr.) Singer, 1951")</f>
        <v>Pholiota astragalina (Fr.) Singer, 1951</v>
      </c>
      <c r="V4784" s="7" t="str">
        <f>HYPERLINK("#Liste_rouge!A"&amp;_xlfn.XMATCH("LC",Liste_rouge!A:A,2,1),"LC")</f>
        <v>LC</v>
      </c>
      <c r="AH4784" s="4" t="str">
        <f>HYPERLINK("#Statut_biogéographique!A"&amp;_xlfn.XMATCH("P",Statut_biogéographique!A:A,2,1),"P")</f>
        <v>P</v>
      </c>
      <c r="AP4784" s="4" t="s">
        <v>376</v>
      </c>
      <c r="AR4784" s="4" t="s">
        <v>377</v>
      </c>
    </row>
    <row r="4785" spans="1:44" ht="30">
      <c r="A4785" s="4" t="s">
        <v>5</v>
      </c>
      <c r="B4785" s="4">
        <v>37089</v>
      </c>
      <c r="D4785" s="5" t="s">
        <v>7038</v>
      </c>
      <c r="E4785" s="6" t="str">
        <f>HYPERLINK("https://inpn.mnhn.fr/espece/cd_nom/37089","Pholiota cerifera (P.Karst.) P.Karst., 1879")</f>
        <v>Pholiota cerifera (P.Karst.) P.Karst., 1879</v>
      </c>
      <c r="V4785" s="7" t="str">
        <f>HYPERLINK("#Liste_rouge!A"&amp;_xlfn.XMATCH("DD",Liste_rouge!A:A,2,1),"DD")</f>
        <v>DD</v>
      </c>
      <c r="AH4785" s="4" t="str">
        <f>HYPERLINK("#Statut_biogéographique!A"&amp;_xlfn.XMATCH("P",Statut_biogéographique!A:A,2,1),"P")</f>
        <v>P</v>
      </c>
      <c r="AP4785" s="4" t="s">
        <v>376</v>
      </c>
      <c r="AR4785" s="4" t="s">
        <v>377</v>
      </c>
    </row>
    <row r="4786" spans="1:44">
      <c r="A4786" s="4" t="s">
        <v>5</v>
      </c>
      <c r="B4786" s="4">
        <v>37101</v>
      </c>
      <c r="D4786" s="5" t="s">
        <v>7039</v>
      </c>
      <c r="E4786" s="6" t="str">
        <f>HYPERLINK("https://inpn.mnhn.fr/espece/cd_nom/37101","Pholiota flammans (Batsch) P.Kumm., 1871")</f>
        <v>Pholiota flammans (Batsch) P.Kumm., 1871</v>
      </c>
      <c r="V4786" s="7" t="str">
        <f>HYPERLINK("#Liste_rouge!A"&amp;_xlfn.XMATCH("LC",Liste_rouge!A:A,2,1),"LC")</f>
        <v>LC</v>
      </c>
      <c r="AH4786" s="4" t="str">
        <f>HYPERLINK("#Statut_biogéographique!A"&amp;_xlfn.XMATCH("P",Statut_biogéographique!A:A,2,1),"P")</f>
        <v>P</v>
      </c>
      <c r="AP4786" s="4" t="s">
        <v>376</v>
      </c>
      <c r="AR4786" s="4" t="s">
        <v>377</v>
      </c>
    </row>
    <row r="4787" spans="1:44">
      <c r="A4787" s="4" t="s">
        <v>5</v>
      </c>
      <c r="B4787" s="4">
        <v>37108</v>
      </c>
      <c r="D4787" s="5" t="s">
        <v>7040</v>
      </c>
      <c r="E4787" s="6" t="str">
        <f>HYPERLINK("https://inpn.mnhn.fr/espece/cd_nom/37108","Pholiota gummosa (Lasch) Singer, 1951")</f>
        <v>Pholiota gummosa (Lasch) Singer, 1951</v>
      </c>
      <c r="V4787" s="7" t="str">
        <f>HYPERLINK("#Liste_rouge!A"&amp;_xlfn.XMATCH("LC",Liste_rouge!A:A,2,1),"LC")</f>
        <v>LC</v>
      </c>
      <c r="AH4787" s="4" t="str">
        <f>HYPERLINK("#Statut_biogéographique!A"&amp;_xlfn.XMATCH("P",Statut_biogéographique!A:A,2,1),"P")</f>
        <v>P</v>
      </c>
      <c r="AP4787" s="4" t="s">
        <v>376</v>
      </c>
      <c r="AR4787" s="4" t="s">
        <v>377</v>
      </c>
    </row>
    <row r="4788" spans="1:44" ht="30">
      <c r="A4788" s="4" t="s">
        <v>5</v>
      </c>
      <c r="B4788" s="4">
        <v>37113</v>
      </c>
      <c r="D4788" s="5" t="s">
        <v>7041</v>
      </c>
      <c r="E4788" s="6" t="str">
        <f>HYPERLINK("https://inpn.mnhn.fr/espece/cd_nom/37113","Pholiota highlandensis (Peck) A.H.Sm. &amp; Hesler, 1968")</f>
        <v>Pholiota highlandensis (Peck) A.H.Sm. &amp; Hesler, 1968</v>
      </c>
      <c r="V4788" s="7" t="str">
        <f>HYPERLINK("#Liste_rouge!A"&amp;_xlfn.XMATCH("NT",Liste_rouge!A:A,2,1),"NT")</f>
        <v>NT</v>
      </c>
      <c r="W4788" s="4" t="str">
        <f>HYPERLINK("#Critères_liste_rouge!A$1","pr. A2c")</f>
        <v>pr. A2c</v>
      </c>
      <c r="AH4788" s="4" t="str">
        <f>HYPERLINK("#Statut_biogéographique!A"&amp;_xlfn.XMATCH("P",Statut_biogéographique!A:A,2,1),"P")</f>
        <v>P</v>
      </c>
      <c r="AP4788" s="4" t="s">
        <v>376</v>
      </c>
      <c r="AR4788" s="4" t="s">
        <v>377</v>
      </c>
    </row>
    <row r="4789" spans="1:44">
      <c r="A4789" s="4" t="s">
        <v>5</v>
      </c>
      <c r="B4789" s="4">
        <v>37117</v>
      </c>
      <c r="D4789" s="5" t="s">
        <v>7042</v>
      </c>
      <c r="E4789" s="6" t="str">
        <f>HYPERLINK("https://inpn.mnhn.fr/espece/cd_nom/37117","Pholiota jahnii Tjall.-Beuk. &amp; Bas, 1986")</f>
        <v>Pholiota jahnii Tjall.-Beuk. &amp; Bas, 1986</v>
      </c>
      <c r="V4789" s="7" t="str">
        <f>HYPERLINK("#Liste_rouge!A"&amp;_xlfn.XMATCH("VU",Liste_rouge!A:A,2,1),"VU")</f>
        <v>VU</v>
      </c>
      <c r="W4789" s="4" t="str">
        <f>HYPERLINK("#Critères_liste_rouge!A$1","D2")</f>
        <v>D2</v>
      </c>
      <c r="AH4789" s="4" t="str">
        <f>HYPERLINK("#Statut_biogéographique!A"&amp;_xlfn.XMATCH("P",Statut_biogéographique!A:A,2,1),"P")</f>
        <v>P</v>
      </c>
      <c r="AP4789" s="4" t="s">
        <v>376</v>
      </c>
      <c r="AR4789" s="4" t="s">
        <v>377</v>
      </c>
    </row>
    <row r="4790" spans="1:44" ht="30">
      <c r="A4790" s="4" t="s">
        <v>5</v>
      </c>
      <c r="B4790" s="4">
        <v>37120</v>
      </c>
      <c r="D4790" s="5" t="s">
        <v>7043</v>
      </c>
      <c r="E4790" s="6" t="str">
        <f>HYPERLINK("https://inpn.mnhn.fr/espece/cd_nom/37120","Pholiota lenta (Pers.) Singer, 1951")</f>
        <v>Pholiota lenta (Pers.) Singer, 1951</v>
      </c>
      <c r="V4790" s="7" t="str">
        <f>HYPERLINK("#Liste_rouge!A"&amp;_xlfn.XMATCH("LC",Liste_rouge!A:A,2,1),"LC")</f>
        <v>LC</v>
      </c>
      <c r="AH4790" s="4" t="str">
        <f>HYPERLINK("#Statut_biogéographique!A"&amp;_xlfn.XMATCH("P",Statut_biogéographique!A:A,2,1),"P")</f>
        <v>P</v>
      </c>
      <c r="AP4790" s="4" t="s">
        <v>376</v>
      </c>
      <c r="AR4790" s="4" t="s">
        <v>377</v>
      </c>
    </row>
    <row r="4791" spans="1:44">
      <c r="A4791" s="4" t="s">
        <v>5</v>
      </c>
      <c r="B4791" s="4">
        <v>37124</v>
      </c>
      <c r="D4791" s="5" t="s">
        <v>7044</v>
      </c>
      <c r="E4791" s="6" t="str">
        <f>HYPERLINK("https://inpn.mnhn.fr/espece/cd_nom/37124","Pholiota lubrica (Pers.) Singer, 1951")</f>
        <v>Pholiota lubrica (Pers.) Singer, 1951</v>
      </c>
      <c r="V4791" s="7" t="str">
        <f>HYPERLINK("#Liste_rouge!A"&amp;_xlfn.XMATCH("NT",Liste_rouge!A:A,2,1),"NT")</f>
        <v>NT</v>
      </c>
      <c r="W4791" s="4" t="str">
        <f>HYPERLINK("#Critères_liste_rouge!A$1","pr. B2abiii")</f>
        <v>pr. B2abiii</v>
      </c>
      <c r="AH4791" s="4" t="str">
        <f>HYPERLINK("#Statut_biogéographique!A"&amp;_xlfn.XMATCH("P",Statut_biogéographique!A:A,2,1),"P")</f>
        <v>P</v>
      </c>
      <c r="AP4791" s="4" t="s">
        <v>376</v>
      </c>
      <c r="AR4791" s="4" t="s">
        <v>377</v>
      </c>
    </row>
    <row r="4792" spans="1:44">
      <c r="A4792" s="4" t="s">
        <v>5</v>
      </c>
      <c r="B4792" s="4">
        <v>37128</v>
      </c>
      <c r="D4792" s="5" t="s">
        <v>7045</v>
      </c>
      <c r="E4792" s="6" t="str">
        <f>HYPERLINK("https://inpn.mnhn.fr/espece/cd_nom/37128","Pholiota lucifera (Lasch) Quél., 1872")</f>
        <v>Pholiota lucifera (Lasch) Quél., 1872</v>
      </c>
      <c r="V4792" s="7" t="str">
        <f>HYPERLINK("#Liste_rouge!A"&amp;_xlfn.XMATCH("EN",Liste_rouge!A:A,2,1),"EN")</f>
        <v>EN</v>
      </c>
      <c r="W4792" s="4" t="str">
        <f>HYPERLINK("#Critères_liste_rouge!A$1","B2abiii")</f>
        <v>B2abiii</v>
      </c>
      <c r="AH4792" s="4" t="str">
        <f>HYPERLINK("#Statut_biogéographique!A"&amp;_xlfn.XMATCH("P",Statut_biogéographique!A:A,2,1),"P")</f>
        <v>P</v>
      </c>
      <c r="AP4792" s="4" t="s">
        <v>376</v>
      </c>
      <c r="AR4792" s="4" t="s">
        <v>377</v>
      </c>
    </row>
    <row r="4793" spans="1:44" ht="30">
      <c r="A4793" s="4" t="s">
        <v>5</v>
      </c>
      <c r="B4793" s="4">
        <v>37143</v>
      </c>
      <c r="D4793" s="5" t="s">
        <v>7046</v>
      </c>
      <c r="E4793" s="6" t="str">
        <f>HYPERLINK("https://inpn.mnhn.fr/espece/cd_nom/37143","Pholiota scamba (Fr.) M.M.Moser, 1986")</f>
        <v>Pholiota scamba (Fr.) M.M.Moser, 1986</v>
      </c>
      <c r="V4793" s="7" t="str">
        <f>HYPERLINK("#Liste_rouge!A"&amp;_xlfn.XMATCH("EN",Liste_rouge!A:A,2,1),"EN")</f>
        <v>EN</v>
      </c>
      <c r="W4793" s="4" t="str">
        <f>HYPERLINK("#Critères_liste_rouge!A$1","A2c")</f>
        <v>A2c</v>
      </c>
      <c r="AH4793" s="4" t="str">
        <f>HYPERLINK("#Statut_biogéographique!A"&amp;_xlfn.XMATCH("P",Statut_biogéographique!A:A,2,1),"P")</f>
        <v>P</v>
      </c>
      <c r="AP4793" s="4" t="s">
        <v>376</v>
      </c>
      <c r="AR4793" s="4" t="s">
        <v>377</v>
      </c>
    </row>
    <row r="4794" spans="1:44">
      <c r="A4794" s="4" t="s">
        <v>5</v>
      </c>
      <c r="B4794" s="4">
        <v>37148</v>
      </c>
      <c r="D4794" s="5" t="s">
        <v>7047</v>
      </c>
      <c r="E4794" s="6" t="str">
        <f>HYPERLINK("https://inpn.mnhn.fr/espece/cd_nom/37148","Pholiota spumosa (Fr.) Singer, 1948")</f>
        <v>Pholiota spumosa (Fr.) Singer, 1948</v>
      </c>
      <c r="V4794" s="7" t="str">
        <f>HYPERLINK("#Liste_rouge!A"&amp;_xlfn.XMATCH("VU",Liste_rouge!A:A,2,1),"VU")</f>
        <v>VU</v>
      </c>
      <c r="W4794" s="4" t="str">
        <f>HYPERLINK("#Critères_liste_rouge!A$1","A2c")</f>
        <v>A2c</v>
      </c>
      <c r="AH4794" s="4" t="str">
        <f>HYPERLINK("#Statut_biogéographique!A"&amp;_xlfn.XMATCH("P",Statut_biogéographique!A:A,2,1),"P")</f>
        <v>P</v>
      </c>
      <c r="AP4794" s="4" t="s">
        <v>376</v>
      </c>
      <c r="AR4794" s="4" t="s">
        <v>377</v>
      </c>
    </row>
    <row r="4795" spans="1:44">
      <c r="A4795" s="4" t="s">
        <v>5</v>
      </c>
      <c r="B4795" s="4">
        <v>37151</v>
      </c>
      <c r="D4795" s="5" t="s">
        <v>7048</v>
      </c>
      <c r="E4795" s="6" t="str">
        <f>HYPERLINK("https://inpn.mnhn.fr/espece/cd_nom/37151","Pholiota squarrosa (Vahl) P.Kumm., 1871")</f>
        <v>Pholiota squarrosa (Vahl) P.Kumm., 1871</v>
      </c>
      <c r="F4795" s="5" t="s">
        <v>1946</v>
      </c>
      <c r="V4795" s="7" t="str">
        <f>HYPERLINK("#Liste_rouge!A"&amp;_xlfn.XMATCH("LC",Liste_rouge!A:A,2,1),"LC")</f>
        <v>LC</v>
      </c>
      <c r="AH4795" s="4" t="str">
        <f>HYPERLINK("#Statut_biogéographique!A"&amp;_xlfn.XMATCH("P",Statut_biogéographique!A:A,2,1),"P")</f>
        <v>P</v>
      </c>
      <c r="AP4795" s="4" t="s">
        <v>376</v>
      </c>
      <c r="AR4795" s="4" t="s">
        <v>377</v>
      </c>
    </row>
    <row r="4796" spans="1:44" ht="30">
      <c r="A4796" s="4" t="s">
        <v>5</v>
      </c>
      <c r="B4796" s="4">
        <v>37160</v>
      </c>
      <c r="D4796" s="5" t="s">
        <v>7049</v>
      </c>
      <c r="E4796" s="6" t="str">
        <f>HYPERLINK("https://inpn.mnhn.fr/espece/cd_nom/37160","Pholiota tuberculosa (Schaeff.) P.Kumm., 1871")</f>
        <v>Pholiota tuberculosa (Schaeff.) P.Kumm., 1871</v>
      </c>
      <c r="V4796" s="7" t="str">
        <f>HYPERLINK("#Liste_rouge!A"&amp;_xlfn.XMATCH("LC",Liste_rouge!A:A,2,1),"LC")</f>
        <v>LC</v>
      </c>
      <c r="AH4796" s="4" t="str">
        <f>HYPERLINK("#Statut_biogéographique!A"&amp;_xlfn.XMATCH("P",Statut_biogéographique!A:A,2,1),"P")</f>
        <v>P</v>
      </c>
      <c r="AP4796" s="4" t="s">
        <v>376</v>
      </c>
      <c r="AR4796" s="4" t="s">
        <v>377</v>
      </c>
    </row>
    <row r="4797" spans="1:44" ht="30">
      <c r="A4797" s="4" t="s">
        <v>5</v>
      </c>
      <c r="B4797" s="4">
        <v>37168</v>
      </c>
      <c r="D4797" s="5" t="s">
        <v>7050</v>
      </c>
      <c r="E4797" s="6" t="str">
        <f>HYPERLINK("https://inpn.mnhn.fr/espece/cd_nom/37168","Pholiotina aeruginosa (Romagn.) M.M.Moser, 1978")</f>
        <v>Pholiotina aeruginosa (Romagn.) M.M.Moser, 1978</v>
      </c>
      <c r="V4797" s="7" t="str">
        <f>HYPERLINK("#Liste_rouge!A"&amp;_xlfn.XMATCH("EN",Liste_rouge!A:A,2,1),"EN")</f>
        <v>EN</v>
      </c>
      <c r="W4797" s="4" t="str">
        <f>HYPERLINK("#Critères_liste_rouge!A$1","B2abiii")</f>
        <v>B2abiii</v>
      </c>
      <c r="AH4797" s="4" t="str">
        <f>HYPERLINK("#Statut_biogéographique!A"&amp;_xlfn.XMATCH("P",Statut_biogéographique!A:A,2,1),"P")</f>
        <v>P</v>
      </c>
      <c r="AP4797" s="4" t="s">
        <v>376</v>
      </c>
      <c r="AR4797" s="4" t="s">
        <v>377</v>
      </c>
    </row>
    <row r="4798" spans="1:44" ht="30">
      <c r="A4798" s="4" t="s">
        <v>5</v>
      </c>
      <c r="B4798" s="4">
        <v>37170</v>
      </c>
      <c r="D4798" s="5" t="s">
        <v>7051</v>
      </c>
      <c r="E4798" s="6" t="str">
        <f>HYPERLINK("https://inpn.mnhn.fr/espece/cd_nom/37170","Pholiotina aporos (Kits van Wav.) Clémençon, 1976")</f>
        <v>Pholiotina aporos (Kits van Wav.) Clémençon, 1976</v>
      </c>
      <c r="V4798" s="7" t="str">
        <f>HYPERLINK("#Liste_rouge!A"&amp;_xlfn.XMATCH("LC",Liste_rouge!A:A,2,1),"LC")</f>
        <v>LC</v>
      </c>
      <c r="AH4798" s="4" t="str">
        <f>HYPERLINK("#Statut_biogéographique!A"&amp;_xlfn.XMATCH("P",Statut_biogéographique!A:A,2,1),"P")</f>
        <v>P</v>
      </c>
      <c r="AP4798" s="4" t="s">
        <v>376</v>
      </c>
      <c r="AR4798" s="4" t="s">
        <v>377</v>
      </c>
    </row>
    <row r="4799" spans="1:44" ht="30">
      <c r="A4799" s="4" t="s">
        <v>5</v>
      </c>
      <c r="B4799" s="4">
        <v>37176</v>
      </c>
      <c r="D4799" s="5" t="s">
        <v>7052</v>
      </c>
      <c r="E4799" s="6" t="str">
        <f>HYPERLINK("https://inpn.mnhn.fr/espece/cd_nom/37176","Pholiotina arrhenii (Fr.) Singer, 1973")</f>
        <v>Pholiotina arrhenii (Fr.) Singer, 1973</v>
      </c>
      <c r="V4799" s="7" t="str">
        <f>HYPERLINK("#Liste_rouge!A"&amp;_xlfn.XMATCH("LC",Liste_rouge!A:A,2,1),"LC")</f>
        <v>LC</v>
      </c>
      <c r="AH4799" s="4" t="str">
        <f>HYPERLINK("#Statut_biogéographique!A"&amp;_xlfn.XMATCH("P",Statut_biogéographique!A:A,2,1),"P")</f>
        <v>P</v>
      </c>
      <c r="AP4799" s="4" t="s">
        <v>376</v>
      </c>
      <c r="AR4799" s="4" t="s">
        <v>377</v>
      </c>
    </row>
    <row r="4800" spans="1:44" ht="30">
      <c r="A4800" s="4" t="s">
        <v>5</v>
      </c>
      <c r="B4800" s="4">
        <v>37184</v>
      </c>
      <c r="C4800" s="4">
        <v>6074</v>
      </c>
      <c r="D4800" s="5" t="s">
        <v>7053</v>
      </c>
      <c r="E4800" s="6" t="str">
        <f>HYPERLINK("https://inpn.mnhn.fr/espece/cd_nom/37184","Pholiotina brunnea (J.E.Lange &amp; Kühner ex Watling) Singer, 1973")</f>
        <v>Pholiotina brunnea (J.E.Lange &amp; Kühner ex Watling) Singer, 1973</v>
      </c>
      <c r="F4800" s="5" t="s">
        <v>7054</v>
      </c>
      <c r="AH4800" s="4" t="str">
        <f>HYPERLINK("#Statut_biogéographique!A"&amp;_xlfn.XMATCH("P",Statut_biogéographique!A:A,2,1),"P")</f>
        <v>P</v>
      </c>
      <c r="AP4800" s="4" t="s">
        <v>376</v>
      </c>
      <c r="AR4800" s="4" t="s">
        <v>377</v>
      </c>
    </row>
    <row r="4801" spans="1:44">
      <c r="A4801" s="4" t="s">
        <v>5</v>
      </c>
      <c r="B4801" s="4">
        <v>37189</v>
      </c>
      <c r="D4801" s="5" t="s">
        <v>7055</v>
      </c>
      <c r="E4801" s="6" t="str">
        <f>HYPERLINK("https://inpn.mnhn.fr/espece/cd_nom/37189","Stropharia albonitens (Fr.) Quél., 1875")</f>
        <v>Stropharia albonitens (Fr.) Quél., 1875</v>
      </c>
      <c r="V4801" s="7" t="str">
        <f>HYPERLINK("#Liste_rouge!A"&amp;_xlfn.XMATCH("VU",Liste_rouge!A:A,2,1),"VU")</f>
        <v>VU</v>
      </c>
      <c r="W4801" s="4" t="str">
        <f>HYPERLINK("#Critères_liste_rouge!A$1","A2c")</f>
        <v>A2c</v>
      </c>
      <c r="AH4801" s="4" t="str">
        <f>HYPERLINK("#Statut_biogéographique!A"&amp;_xlfn.XMATCH("P",Statut_biogéographique!A:A,2,1),"P")</f>
        <v>P</v>
      </c>
      <c r="AP4801" s="4" t="s">
        <v>376</v>
      </c>
      <c r="AR4801" s="4" t="s">
        <v>377</v>
      </c>
    </row>
    <row r="4802" spans="1:44">
      <c r="A4802" s="4" t="s">
        <v>5</v>
      </c>
      <c r="B4802" s="4">
        <v>37194</v>
      </c>
      <c r="D4802" s="5" t="s">
        <v>7056</v>
      </c>
      <c r="E4802" s="6" t="str">
        <f>HYPERLINK("https://inpn.mnhn.fr/espece/cd_nom/37194","Stropharia caerulea Kreisel, 1979")</f>
        <v>Stropharia caerulea Kreisel, 1979</v>
      </c>
      <c r="V4802" s="7" t="str">
        <f>HYPERLINK("#Liste_rouge!A"&amp;_xlfn.XMATCH("LC",Liste_rouge!A:A,2,1),"LC")</f>
        <v>LC</v>
      </c>
      <c r="AH4802" s="4" t="str">
        <f>HYPERLINK("#Statut_biogéographique!A"&amp;_xlfn.XMATCH("P",Statut_biogéographique!A:A,2,1),"P")</f>
        <v>P</v>
      </c>
      <c r="AP4802" s="4" t="s">
        <v>376</v>
      </c>
      <c r="AR4802" s="4" t="s">
        <v>377</v>
      </c>
    </row>
    <row r="4803" spans="1:44">
      <c r="A4803" s="4" t="s">
        <v>5</v>
      </c>
      <c r="B4803" s="4">
        <v>37198</v>
      </c>
      <c r="D4803" s="5" t="s">
        <v>7057</v>
      </c>
      <c r="E4803" s="6" t="str">
        <f>HYPERLINK("https://inpn.mnhn.fr/espece/cd_nom/37198","Stropharia coronilla (Bull.) Quél., 1872")</f>
        <v>Stropharia coronilla (Bull.) Quél., 1872</v>
      </c>
      <c r="F4803" s="5" t="s">
        <v>3809</v>
      </c>
      <c r="V4803" s="7" t="str">
        <f>HYPERLINK("#Liste_rouge!A"&amp;_xlfn.XMATCH("VU",Liste_rouge!A:A,2,1),"VU")</f>
        <v>VU</v>
      </c>
      <c r="W4803" s="4" t="str">
        <f>HYPERLINK("#Critères_liste_rouge!A$1","A2c")</f>
        <v>A2c</v>
      </c>
      <c r="AH4803" s="4" t="str">
        <f>HYPERLINK("#Statut_biogéographique!A"&amp;_xlfn.XMATCH("P",Statut_biogéographique!A:A,2,1),"P")</f>
        <v>P</v>
      </c>
      <c r="AP4803" s="4" t="s">
        <v>376</v>
      </c>
      <c r="AR4803" s="4" t="s">
        <v>377</v>
      </c>
    </row>
    <row r="4804" spans="1:44">
      <c r="A4804" s="4" t="s">
        <v>5</v>
      </c>
      <c r="B4804" s="4">
        <v>37205</v>
      </c>
      <c r="D4804" s="5" t="s">
        <v>7058</v>
      </c>
      <c r="E4804" s="6" t="str">
        <f>HYPERLINK("https://inpn.mnhn.fr/espece/cd_nom/37205","Stropharia inuncta (Fr.) Quél., 1872")</f>
        <v>Stropharia inuncta (Fr.) Quél., 1872</v>
      </c>
      <c r="V4804" s="7" t="str">
        <f>HYPERLINK("#Liste_rouge!A"&amp;_xlfn.XMATCH("EN",Liste_rouge!A:A,2,1),"EN")</f>
        <v>EN</v>
      </c>
      <c r="W4804" s="4" t="str">
        <f>HYPERLINK("#Critères_liste_rouge!A$1","A2c")</f>
        <v>A2c</v>
      </c>
      <c r="AH4804" s="4" t="str">
        <f>HYPERLINK("#Statut_biogéographique!A"&amp;_xlfn.XMATCH("P",Statut_biogéographique!A:A,2,1),"P")</f>
        <v>P</v>
      </c>
      <c r="AP4804" s="4" t="s">
        <v>376</v>
      </c>
      <c r="AR4804" s="4" t="s">
        <v>377</v>
      </c>
    </row>
    <row r="4805" spans="1:44">
      <c r="A4805" s="4" t="s">
        <v>5</v>
      </c>
      <c r="B4805" s="4">
        <v>37208</v>
      </c>
      <c r="D4805" s="5" t="s">
        <v>7059</v>
      </c>
      <c r="E4805" s="6" t="str">
        <f>HYPERLINK("https://inpn.mnhn.fr/espece/cd_nom/37208","Stropharia ochrocyanea Bon, 1972")</f>
        <v>Stropharia ochrocyanea Bon, 1972</v>
      </c>
      <c r="V4805" s="7" t="str">
        <f>HYPERLINK("#Liste_rouge!A"&amp;_xlfn.XMATCH("VU",Liste_rouge!A:A,2,1),"VU")</f>
        <v>VU</v>
      </c>
      <c r="W4805" s="4" t="str">
        <f>HYPERLINK("#Critères_liste_rouge!A$1","A2c")</f>
        <v>A2c</v>
      </c>
      <c r="AH4805" s="4" t="str">
        <f>HYPERLINK("#Statut_biogéographique!A"&amp;_xlfn.XMATCH("P",Statut_biogéographique!A:A,2,1),"P")</f>
        <v>P</v>
      </c>
      <c r="AP4805" s="4" t="s">
        <v>376</v>
      </c>
      <c r="AR4805" s="4" t="s">
        <v>377</v>
      </c>
    </row>
    <row r="4806" spans="1:44" ht="30">
      <c r="A4806" s="4" t="s">
        <v>5</v>
      </c>
      <c r="B4806" s="4">
        <v>37209</v>
      </c>
      <c r="D4806" s="5" t="s">
        <v>7060</v>
      </c>
      <c r="E4806" s="6" t="str">
        <f>HYPERLINK("https://inpn.mnhn.fr/espece/cd_nom/37209","Stropharia pseudocyanea (Desm.) Morgan, 1908")</f>
        <v>Stropharia pseudocyanea (Desm.) Morgan, 1908</v>
      </c>
      <c r="V4806" s="7" t="str">
        <f>HYPERLINK("#Liste_rouge!A"&amp;_xlfn.XMATCH("LC",Liste_rouge!A:A,2,1),"LC")</f>
        <v>LC</v>
      </c>
      <c r="AH4806" s="4" t="str">
        <f>HYPERLINK("#Statut_biogéographique!A"&amp;_xlfn.XMATCH("P",Statut_biogéographique!A:A,2,1),"P")</f>
        <v>P</v>
      </c>
      <c r="AP4806" s="4" t="s">
        <v>376</v>
      </c>
      <c r="AR4806" s="4" t="s">
        <v>377</v>
      </c>
    </row>
    <row r="4807" spans="1:44" ht="30">
      <c r="A4807" s="4" t="s">
        <v>5</v>
      </c>
      <c r="B4807" s="4">
        <v>37212</v>
      </c>
      <c r="D4807" s="5" t="s">
        <v>7061</v>
      </c>
      <c r="E4807" s="6" t="str">
        <f>HYPERLINK("https://inpn.mnhn.fr/espece/cd_nom/37212","Stropharia rugosoannulata Farl. ex Murrill, 1922")</f>
        <v>Stropharia rugosoannulata Farl. ex Murrill, 1922</v>
      </c>
      <c r="F4807" s="5" t="s">
        <v>7062</v>
      </c>
      <c r="V4807" s="7" t="str">
        <f>HYPERLINK("#Liste_rouge!A"&amp;_xlfn.XMATCH("EN",Liste_rouge!A:A,2,1),"EN")</f>
        <v>EN</v>
      </c>
      <c r="W4807" s="4" t="str">
        <f>HYPERLINK("#Critères_liste_rouge!A$1","B2abiii")</f>
        <v>B2abiii</v>
      </c>
      <c r="AH4807" s="4" t="str">
        <f>HYPERLINK("#Statut_biogéographique!A"&amp;_xlfn.XMATCH("P",Statut_biogéographique!A:A,2,1),"P")</f>
        <v>P</v>
      </c>
      <c r="AP4807" s="4" t="s">
        <v>376</v>
      </c>
      <c r="AR4807" s="4" t="s">
        <v>377</v>
      </c>
    </row>
    <row r="4808" spans="1:44" ht="30">
      <c r="A4808" s="4" t="s">
        <v>5</v>
      </c>
      <c r="B4808" s="4">
        <v>37233</v>
      </c>
      <c r="C4808" s="4">
        <v>45</v>
      </c>
      <c r="D4808" s="5" t="s">
        <v>7063</v>
      </c>
      <c r="E4808" s="6" t="str">
        <f>HYPERLINK("https://inpn.mnhn.fr/espece/cd_nom/37233","Coprinus atramentarius (Bull.) Fr., 1838")</f>
        <v>Coprinus atramentarius (Bull.) Fr., 1838</v>
      </c>
      <c r="F4808" s="5" t="s">
        <v>7064</v>
      </c>
      <c r="V4808" s="7" t="str">
        <f>HYPERLINK("#Liste_rouge!A"&amp;_xlfn.XMATCH("LC",Liste_rouge!A:A,2,1),"LC")</f>
        <v>LC</v>
      </c>
      <c r="AH4808" s="4" t="str">
        <f>HYPERLINK("#Statut_biogéographique!A"&amp;_xlfn.XMATCH("P",Statut_biogéographique!A:A,2,1),"P")</f>
        <v>P</v>
      </c>
      <c r="AP4808" s="4" t="s">
        <v>376</v>
      </c>
      <c r="AR4808" s="4" t="s">
        <v>377</v>
      </c>
    </row>
    <row r="4809" spans="1:44">
      <c r="A4809" s="4" t="s">
        <v>5</v>
      </c>
      <c r="B4809" s="4">
        <v>37243</v>
      </c>
      <c r="C4809" s="4">
        <v>5392</v>
      </c>
      <c r="D4809" s="5" t="s">
        <v>7065</v>
      </c>
      <c r="E4809" s="6" t="str">
        <f>HYPERLINK("https://inpn.mnhn.fr/espece/cd_nom/37243","Coprinus cinereofloccosus P.D.Orton, 1960")</f>
        <v>Coprinus cinereofloccosus P.D.Orton, 1960</v>
      </c>
      <c r="F4809" s="5" t="s">
        <v>7066</v>
      </c>
      <c r="V4809" s="7" t="str">
        <f>HYPERLINK("#Liste_rouge!A"&amp;_xlfn.XMATCH("LC",Liste_rouge!A:A,2,1),"LC")</f>
        <v>LC</v>
      </c>
      <c r="AH4809" s="4" t="str">
        <f>HYPERLINK("#Statut_biogéographique!A"&amp;_xlfn.XMATCH("P",Statut_biogéographique!A:A,2,1),"P")</f>
        <v>P</v>
      </c>
      <c r="AP4809" s="4" t="s">
        <v>376</v>
      </c>
      <c r="AR4809" s="4" t="s">
        <v>377</v>
      </c>
    </row>
    <row r="4810" spans="1:44">
      <c r="A4810" s="4" t="s">
        <v>5</v>
      </c>
      <c r="B4810" s="4">
        <v>37248</v>
      </c>
      <c r="C4810" s="4">
        <v>44</v>
      </c>
      <c r="D4810" s="5" t="s">
        <v>7067</v>
      </c>
      <c r="E4810" s="6" t="str">
        <f>HYPERLINK("https://inpn.mnhn.fr/espece/cd_nom/37248","Coprinus comatus (O.F.Müll.) Pers., 1797")</f>
        <v>Coprinus comatus (O.F.Müll.) Pers., 1797</v>
      </c>
      <c r="F4810" s="5" t="s">
        <v>7068</v>
      </c>
      <c r="O4810" s="7" t="str">
        <f>HYPERLINK("#Liste_rouge!A"&amp;_xlfn.XMATCH("LC",Liste_rouge!A:A,2,1),"LC")</f>
        <v>LC</v>
      </c>
      <c r="V4810" s="7" t="str">
        <f>HYPERLINK("#Liste_rouge!A"&amp;_xlfn.XMATCH("LC",Liste_rouge!A:A,2,1),"LC")</f>
        <v>LC</v>
      </c>
      <c r="AH4810" s="4" t="str">
        <f>HYPERLINK("#Statut_biogéographique!A"&amp;_xlfn.XMATCH("P",Statut_biogéographique!A:A,2,1),"P")</f>
        <v>P</v>
      </c>
      <c r="AP4810" s="4" t="s">
        <v>376</v>
      </c>
      <c r="AR4810" s="4" t="s">
        <v>377</v>
      </c>
    </row>
    <row r="4811" spans="1:44">
      <c r="A4811" s="4" t="s">
        <v>5</v>
      </c>
      <c r="B4811" s="4">
        <v>37311</v>
      </c>
      <c r="C4811" s="4">
        <v>5346</v>
      </c>
      <c r="D4811" s="5" t="s">
        <v>7069</v>
      </c>
      <c r="E4811" s="6" t="str">
        <f>HYPERLINK("https://inpn.mnhn.fr/espece/cd_nom/37311","Coprinus laanii Kits van Wav., 1968")</f>
        <v>Coprinus laanii Kits van Wav., 1968</v>
      </c>
      <c r="F4811" s="5" t="s">
        <v>7070</v>
      </c>
      <c r="V4811" s="7" t="str">
        <f>HYPERLINK("#Liste_rouge!A"&amp;_xlfn.XMATCH("DD",Liste_rouge!A:A,2,1),"DD")</f>
        <v>DD</v>
      </c>
      <c r="AH4811" s="4" t="str">
        <f>HYPERLINK("#Statut_biogéographique!A"&amp;_xlfn.XMATCH("P",Statut_biogéographique!A:A,2,1),"P")</f>
        <v>P</v>
      </c>
      <c r="AP4811" s="4" t="s">
        <v>376</v>
      </c>
      <c r="AR4811" s="4" t="s">
        <v>377</v>
      </c>
    </row>
    <row r="4812" spans="1:44">
      <c r="A4812" s="4" t="s">
        <v>5</v>
      </c>
      <c r="B4812" s="4">
        <v>37317</v>
      </c>
      <c r="D4812" s="5" t="s">
        <v>7071</v>
      </c>
      <c r="E4812" s="6" t="str">
        <f>HYPERLINK("https://inpn.mnhn.fr/espece/cd_nom/37317","Coprinus leiocephalus P.D.Orton, 1969")</f>
        <v>Coprinus leiocephalus P.D.Orton, 1969</v>
      </c>
      <c r="F4812" s="5" t="s">
        <v>3247</v>
      </c>
      <c r="V4812" s="7" t="str">
        <f>HYPERLINK("#Liste_rouge!A"&amp;_xlfn.XMATCH("DD",Liste_rouge!A:A,2,1),"DD")</f>
        <v>DD</v>
      </c>
      <c r="AH4812" s="4" t="str">
        <f>HYPERLINK("#Statut_biogéographique!A"&amp;_xlfn.XMATCH("P",Statut_biogéographique!A:A,2,1),"P")</f>
        <v>P</v>
      </c>
      <c r="AP4812" s="4" t="s">
        <v>376</v>
      </c>
      <c r="AR4812" s="4" t="s">
        <v>377</v>
      </c>
    </row>
    <row r="4813" spans="1:44">
      <c r="A4813" s="4" t="s">
        <v>5</v>
      </c>
      <c r="B4813" s="4">
        <v>37325</v>
      </c>
      <c r="C4813" s="4">
        <v>2269</v>
      </c>
      <c r="D4813" s="5" t="s">
        <v>7072</v>
      </c>
      <c r="E4813" s="6" t="str">
        <f>HYPERLINK("https://inpn.mnhn.fr/espece/cd_nom/37325","Coprinus martinii P.D.Orton, 1960")</f>
        <v>Coprinus martinii P.D.Orton, 1960</v>
      </c>
      <c r="F4813" s="5" t="s">
        <v>7073</v>
      </c>
      <c r="V4813" s="7" t="str">
        <f>HYPERLINK("#Liste_rouge!A"&amp;_xlfn.XMATCH("DD",Liste_rouge!A:A,2,1),"DD")</f>
        <v>DD</v>
      </c>
      <c r="Z4813" s="4" t="s">
        <v>447</v>
      </c>
      <c r="AA4813" s="4" t="s">
        <v>448</v>
      </c>
      <c r="AH4813" s="4" t="str">
        <f>HYPERLINK("#Statut_biogéographique!A"&amp;_xlfn.XMATCH("P",Statut_biogéographique!A:A,2,1),"P")</f>
        <v>P</v>
      </c>
      <c r="AP4813" s="4" t="s">
        <v>376</v>
      </c>
      <c r="AR4813" s="4" t="s">
        <v>377</v>
      </c>
    </row>
    <row r="4814" spans="1:44">
      <c r="A4814" s="4" t="s">
        <v>5</v>
      </c>
      <c r="B4814" s="4">
        <v>37340</v>
      </c>
      <c r="C4814" s="4">
        <v>6561</v>
      </c>
      <c r="D4814" s="5" t="s">
        <v>7074</v>
      </c>
      <c r="E4814" s="6" t="str">
        <f>HYPERLINK("https://inpn.mnhn.fr/espece/cd_nom/37340","Coprinus phlyctidosporus Romagn., 1945")</f>
        <v>Coprinus phlyctidosporus Romagn., 1945</v>
      </c>
      <c r="V4814" s="7" t="str">
        <f>HYPERLINK("#Liste_rouge!A"&amp;_xlfn.XMATCH("LC",Liste_rouge!A:A,2,1),"LC")</f>
        <v>LC</v>
      </c>
      <c r="AH4814" s="4" t="str">
        <f>HYPERLINK("#Statut_biogéographique!A"&amp;_xlfn.XMATCH("P",Statut_biogéographique!A:A,2,1),"P")</f>
        <v>P</v>
      </c>
      <c r="AP4814" s="4" t="s">
        <v>376</v>
      </c>
      <c r="AR4814" s="4" t="s">
        <v>377</v>
      </c>
    </row>
    <row r="4815" spans="1:44">
      <c r="A4815" s="4" t="s">
        <v>5</v>
      </c>
      <c r="B4815" s="4">
        <v>37379</v>
      </c>
      <c r="C4815" s="4">
        <v>753</v>
      </c>
      <c r="D4815" s="5" t="s">
        <v>7075</v>
      </c>
      <c r="E4815" s="6" t="str">
        <f>HYPERLINK("https://inpn.mnhn.fr/espece/cd_nom/37379","Coprinus sterquilinus (Fr.) Fr., 1838")</f>
        <v>Coprinus sterquilinus (Fr.) Fr., 1838</v>
      </c>
      <c r="F4815" s="5" t="s">
        <v>7076</v>
      </c>
      <c r="V4815" s="7" t="str">
        <f>HYPERLINK("#Liste_rouge!A"&amp;_xlfn.XMATCH("DD",Liste_rouge!A:A,2,1),"DD")</f>
        <v>DD</v>
      </c>
      <c r="AH4815" s="4" t="str">
        <f>HYPERLINK("#Statut_biogéographique!A"&amp;_xlfn.XMATCH("P",Statut_biogéographique!A:A,2,1),"P")</f>
        <v>P</v>
      </c>
      <c r="AP4815" s="4" t="s">
        <v>376</v>
      </c>
      <c r="AR4815" s="4" t="s">
        <v>377</v>
      </c>
    </row>
    <row r="4816" spans="1:44">
      <c r="A4816" s="4" t="s">
        <v>5</v>
      </c>
      <c r="B4816" s="4">
        <v>37384</v>
      </c>
      <c r="C4816" s="4">
        <v>5606</v>
      </c>
      <c r="D4816" s="5" t="s">
        <v>7077</v>
      </c>
      <c r="E4816" s="6" t="str">
        <f>HYPERLINK("https://inpn.mnhn.fr/espece/cd_nom/37384","Coprinus trisporus Kemp &amp; Watling, 1972")</f>
        <v>Coprinus trisporus Kemp &amp; Watling, 1972</v>
      </c>
      <c r="V4816" s="7" t="str">
        <f>HYPERLINK("#Liste_rouge!A"&amp;_xlfn.XMATCH("DD",Liste_rouge!A:A,2,1),"DD")</f>
        <v>DD</v>
      </c>
      <c r="AH4816" s="4" t="str">
        <f>HYPERLINK("#Statut_biogéographique!A"&amp;_xlfn.XMATCH("P",Statut_biogéographique!A:A,2,1),"P")</f>
        <v>P</v>
      </c>
      <c r="AP4816" s="4" t="s">
        <v>376</v>
      </c>
      <c r="AR4816" s="4" t="s">
        <v>377</v>
      </c>
    </row>
    <row r="4817" spans="1:44" ht="30">
      <c r="A4817" s="4" t="s">
        <v>5</v>
      </c>
      <c r="B4817" s="4">
        <v>37408</v>
      </c>
      <c r="D4817" s="5" t="s">
        <v>7078</v>
      </c>
      <c r="E4817" s="6" t="str">
        <f>HYPERLINK("https://inpn.mnhn.fr/espece/cd_nom/37408","Psathyrella artemisiae (Pass.) Konrad &amp; Maubl., 1949")</f>
        <v>Psathyrella artemisiae (Pass.) Konrad &amp; Maubl., 1949</v>
      </c>
      <c r="V4817" s="7" t="str">
        <f>HYPERLINK("#Liste_rouge!A"&amp;_xlfn.XMATCH("LC",Liste_rouge!A:A,2,1),"LC")</f>
        <v>LC</v>
      </c>
      <c r="AH4817" s="4" t="str">
        <f>HYPERLINK("#Statut_biogéographique!A"&amp;_xlfn.XMATCH("P",Statut_biogéographique!A:A,2,1),"P")</f>
        <v>P</v>
      </c>
      <c r="AP4817" s="4" t="s">
        <v>376</v>
      </c>
      <c r="AR4817" s="4" t="s">
        <v>377</v>
      </c>
    </row>
    <row r="4818" spans="1:44" ht="30">
      <c r="A4818" s="4" t="s">
        <v>5</v>
      </c>
      <c r="B4818" s="4">
        <v>37430</v>
      </c>
      <c r="D4818" s="5" t="s">
        <v>7079</v>
      </c>
      <c r="E4818" s="6" t="str">
        <f>HYPERLINK("https://inpn.mnhn.fr/espece/cd_nom/37430","Psathyrella bifrons (Berk.) A.H.Sm., 1941")</f>
        <v>Psathyrella bifrons (Berk.) A.H.Sm., 1941</v>
      </c>
      <c r="V4818" s="7" t="str">
        <f>HYPERLINK("#Liste_rouge!A"&amp;_xlfn.XMATCH("DD",Liste_rouge!A:A,2,1),"DD")</f>
        <v>DD</v>
      </c>
      <c r="AH4818" s="4" t="str">
        <f>HYPERLINK("#Statut_biogéographique!A"&amp;_xlfn.XMATCH("P",Statut_biogéographique!A:A,2,1),"P")</f>
        <v>P</v>
      </c>
      <c r="AP4818" s="4" t="s">
        <v>376</v>
      </c>
      <c r="AR4818" s="4" t="s">
        <v>377</v>
      </c>
    </row>
    <row r="4819" spans="1:44">
      <c r="A4819" s="4" t="s">
        <v>5</v>
      </c>
      <c r="B4819" s="4">
        <v>37434</v>
      </c>
      <c r="D4819" s="5" t="s">
        <v>7080</v>
      </c>
      <c r="E4819" s="6" t="str">
        <f>HYPERLINK("https://inpn.mnhn.fr/espece/cd_nom/37434","Psathyrella bipellis (Quél.) A.H.Sm., 1946")</f>
        <v>Psathyrella bipellis (Quél.) A.H.Sm., 1946</v>
      </c>
      <c r="V4819" s="7" t="str">
        <f>HYPERLINK("#Liste_rouge!A"&amp;_xlfn.XMATCH("DD",Liste_rouge!A:A,2,1),"DD")</f>
        <v>DD</v>
      </c>
      <c r="AH4819" s="4" t="str">
        <f>HYPERLINK("#Statut_biogéographique!A"&amp;_xlfn.XMATCH("P",Statut_biogéographique!A:A,2,1),"P")</f>
        <v>P</v>
      </c>
      <c r="AP4819" s="4" t="s">
        <v>376</v>
      </c>
      <c r="AR4819" s="4" t="s">
        <v>377</v>
      </c>
    </row>
    <row r="4820" spans="1:44" ht="60">
      <c r="A4820" s="4" t="s">
        <v>5</v>
      </c>
      <c r="B4820" s="4">
        <v>37440</v>
      </c>
      <c r="D4820" s="5" t="s">
        <v>7081</v>
      </c>
      <c r="E4820" s="6" t="str">
        <f>HYPERLINK("https://inpn.mnhn.fr/espece/cd_nom/37440","Psathyrella candolleana (Fr.) Maire, 1937")</f>
        <v>Psathyrella candolleana (Fr.) Maire, 1937</v>
      </c>
      <c r="F4820" s="5" t="s">
        <v>7082</v>
      </c>
      <c r="V4820" s="7" t="str">
        <f>HYPERLINK("#Liste_rouge!A"&amp;_xlfn.XMATCH("LC",Liste_rouge!A:A,2,1),"LC")</f>
        <v>LC</v>
      </c>
      <c r="AH4820" s="4" t="str">
        <f>HYPERLINK("#Statut_biogéographique!A"&amp;_xlfn.XMATCH("P",Statut_biogéographique!A:A,2,1),"P")</f>
        <v>P</v>
      </c>
      <c r="AP4820" s="4" t="s">
        <v>376</v>
      </c>
      <c r="AR4820" s="4" t="s">
        <v>377</v>
      </c>
    </row>
    <row r="4821" spans="1:44" ht="30">
      <c r="A4821" s="4" t="s">
        <v>5</v>
      </c>
      <c r="B4821" s="4">
        <v>37461</v>
      </c>
      <c r="D4821" s="5" t="s">
        <v>7083</v>
      </c>
      <c r="E4821" s="6" t="str">
        <f>HYPERLINK("https://inpn.mnhn.fr/espece/cd_nom/37461","Psathyrella chondroderma (Berk. &amp; Broome) A.H.Sm., 1941")</f>
        <v>Psathyrella chondroderma (Berk. &amp; Broome) A.H.Sm., 1941</v>
      </c>
      <c r="V4821" s="7" t="str">
        <f>HYPERLINK("#Liste_rouge!A"&amp;_xlfn.XMATCH("LC",Liste_rouge!A:A,2,1),"LC")</f>
        <v>LC</v>
      </c>
      <c r="AH4821" s="4" t="str">
        <f>HYPERLINK("#Statut_biogéographique!A"&amp;_xlfn.XMATCH("P",Statut_biogéographique!A:A,2,1),"P")</f>
        <v>P</v>
      </c>
      <c r="AP4821" s="4" t="s">
        <v>376</v>
      </c>
      <c r="AR4821" s="4" t="s">
        <v>377</v>
      </c>
    </row>
    <row r="4822" spans="1:44" ht="30">
      <c r="A4822" s="4" t="s">
        <v>5</v>
      </c>
      <c r="B4822" s="4">
        <v>37465</v>
      </c>
      <c r="D4822" s="5" t="s">
        <v>7084</v>
      </c>
      <c r="E4822" s="6" t="str">
        <f>HYPERLINK("https://inpn.mnhn.fr/espece/cd_nom/37465","Psathyrella clivensis (Berk. &amp; Broome) P.D.Orton, 1960")</f>
        <v>Psathyrella clivensis (Berk. &amp; Broome) P.D.Orton, 1960</v>
      </c>
      <c r="V4822" s="7" t="str">
        <f>HYPERLINK("#Liste_rouge!A"&amp;_xlfn.XMATCH("LC",Liste_rouge!A:A,2,1),"LC")</f>
        <v>LC</v>
      </c>
      <c r="AH4822" s="4" t="str">
        <f>HYPERLINK("#Statut_biogéographique!A"&amp;_xlfn.XMATCH("P",Statut_biogéographique!A:A,2,1),"P")</f>
        <v>P</v>
      </c>
      <c r="AP4822" s="4" t="s">
        <v>376</v>
      </c>
      <c r="AR4822" s="4" t="s">
        <v>377</v>
      </c>
    </row>
    <row r="4823" spans="1:44" ht="30">
      <c r="A4823" s="4" t="s">
        <v>5</v>
      </c>
      <c r="B4823" s="4">
        <v>37476</v>
      </c>
      <c r="D4823" s="5" t="s">
        <v>7085</v>
      </c>
      <c r="E4823" s="6" t="str">
        <f>HYPERLINK("https://inpn.mnhn.fr/espece/cd_nom/37476","Psathyrella cotonea (Quél.) Konrad &amp; Maubl., 1949")</f>
        <v>Psathyrella cotonea (Quél.) Konrad &amp; Maubl., 1949</v>
      </c>
      <c r="V4823" s="7" t="str">
        <f>HYPERLINK("#Liste_rouge!A"&amp;_xlfn.XMATCH("LC",Liste_rouge!A:A,2,1),"LC")</f>
        <v>LC</v>
      </c>
      <c r="AH4823" s="4" t="str">
        <f>HYPERLINK("#Statut_biogéographique!A"&amp;_xlfn.XMATCH("P",Statut_biogéographique!A:A,2,1),"P")</f>
        <v>P</v>
      </c>
      <c r="AP4823" s="4" t="s">
        <v>376</v>
      </c>
      <c r="AR4823" s="4" t="s">
        <v>377</v>
      </c>
    </row>
    <row r="4824" spans="1:44" ht="30">
      <c r="A4824" s="4" t="s">
        <v>5</v>
      </c>
      <c r="B4824" s="4">
        <v>37488</v>
      </c>
      <c r="D4824" s="5" t="s">
        <v>7086</v>
      </c>
      <c r="E4824" s="6" t="str">
        <f>HYPERLINK("https://inpn.mnhn.fr/espece/cd_nom/37488","Psathyrella fatua (Fr.) Konrad &amp; Maubl., 1949")</f>
        <v>Psathyrella fatua (Fr.) Konrad &amp; Maubl., 1949</v>
      </c>
      <c r="V4824" s="7" t="str">
        <f>HYPERLINK("#Liste_rouge!A"&amp;_xlfn.XMATCH("EN",Liste_rouge!A:A,2,1),"EN")</f>
        <v>EN</v>
      </c>
      <c r="W4824" s="4" t="str">
        <f>HYPERLINK("#Critères_liste_rouge!A$1","B2abiii")</f>
        <v>B2abiii</v>
      </c>
      <c r="AH4824" s="4" t="str">
        <f>HYPERLINK("#Statut_biogéographique!A"&amp;_xlfn.XMATCH("P",Statut_biogéographique!A:A,2,1),"P")</f>
        <v>P</v>
      </c>
      <c r="AP4824" s="4" t="s">
        <v>376</v>
      </c>
      <c r="AR4824" s="4" t="s">
        <v>377</v>
      </c>
    </row>
    <row r="4825" spans="1:44" ht="30">
      <c r="A4825" s="4" t="s">
        <v>5</v>
      </c>
      <c r="B4825" s="4">
        <v>37501</v>
      </c>
      <c r="D4825" s="5" t="s">
        <v>7087</v>
      </c>
      <c r="E4825" s="6" t="str">
        <f>HYPERLINK("https://inpn.mnhn.fr/espece/cd_nom/37501","Psathyrella fulvescens (Romagn.) M.M.Moser ex A.H.Sm., 1972")</f>
        <v>Psathyrella fulvescens (Romagn.) M.M.Moser ex A.H.Sm., 1972</v>
      </c>
      <c r="AH4825" s="4" t="str">
        <f>HYPERLINK("#Statut_biogéographique!A"&amp;_xlfn.XMATCH("P",Statut_biogéographique!A:A,2,1),"P")</f>
        <v>P</v>
      </c>
      <c r="AP4825" s="4" t="s">
        <v>376</v>
      </c>
      <c r="AR4825" s="4" t="s">
        <v>377</v>
      </c>
    </row>
    <row r="4826" spans="1:44" ht="45">
      <c r="A4826" s="4" t="s">
        <v>5</v>
      </c>
      <c r="B4826" s="4">
        <v>37515</v>
      </c>
      <c r="D4826" s="5" t="s">
        <v>7088</v>
      </c>
      <c r="E4826" s="6" t="str">
        <f>HYPERLINK("https://inpn.mnhn.fr/espece/cd_nom/37515","Psathyrella corrugis (Pers.) Konrad &amp; Maubl., 1949")</f>
        <v>Psathyrella corrugis (Pers.) Konrad &amp; Maubl., 1949</v>
      </c>
      <c r="V4826" s="7" t="str">
        <f>HYPERLINK("#Liste_rouge!A"&amp;_xlfn.XMATCH("LC",Liste_rouge!A:A,2,1),"LC (cd_nom 470025) - VU (cd_nom 37515)")</f>
        <v>LC (cd_nom 470025) - VU (cd_nom 37515)</v>
      </c>
      <c r="AH4826" s="4" t="str">
        <f>HYPERLINK("#Statut_biogéographique!A"&amp;_xlfn.XMATCH("P",Statut_biogéographique!A:A,2,1),"P")</f>
        <v>P</v>
      </c>
      <c r="AP4826" s="4" t="s">
        <v>376</v>
      </c>
      <c r="AR4826" s="4" t="s">
        <v>377</v>
      </c>
    </row>
    <row r="4827" spans="1:44">
      <c r="A4827" s="4" t="s">
        <v>5</v>
      </c>
      <c r="B4827" s="4">
        <v>37526</v>
      </c>
      <c r="D4827" s="5" t="s">
        <v>7089</v>
      </c>
      <c r="E4827" s="6" t="str">
        <f>HYPERLINK("https://inpn.mnhn.fr/espece/cd_nom/37526","Psathyrella hirta Peck, 1898")</f>
        <v>Psathyrella hirta Peck, 1898</v>
      </c>
      <c r="V4827" s="7" t="str">
        <f>HYPERLINK("#Liste_rouge!A"&amp;_xlfn.XMATCH("DD",Liste_rouge!A:A,2,1),"DD")</f>
        <v>DD</v>
      </c>
      <c r="AH4827" s="4" t="str">
        <f>HYPERLINK("#Statut_biogéographique!A"&amp;_xlfn.XMATCH("P",Statut_biogéographique!A:A,2,1),"P")</f>
        <v>P</v>
      </c>
      <c r="AP4827" s="4" t="s">
        <v>376</v>
      </c>
      <c r="AR4827" s="4" t="s">
        <v>377</v>
      </c>
    </row>
    <row r="4828" spans="1:44" ht="45">
      <c r="A4828" s="4" t="s">
        <v>5</v>
      </c>
      <c r="B4828" s="4">
        <v>37550</v>
      </c>
      <c r="C4828" s="4">
        <v>53</v>
      </c>
      <c r="D4828" s="5" t="s">
        <v>7090</v>
      </c>
      <c r="E4828" s="6" t="str">
        <f>HYPERLINK("https://inpn.mnhn.fr/espece/cd_nom/37550","Lacrymaria lacrymabunda (Bull.) Pat., 1887")</f>
        <v>Lacrymaria lacrymabunda (Bull.) Pat., 1887</v>
      </c>
      <c r="F4828" s="5" t="s">
        <v>7091</v>
      </c>
      <c r="V4828" s="7" t="str">
        <f>HYPERLINK("#Liste_rouge!A"&amp;_xlfn.XMATCH("LC",Liste_rouge!A:A,2,1),"LC")</f>
        <v>LC</v>
      </c>
      <c r="AH4828" s="4" t="str">
        <f>HYPERLINK("#Statut_biogéographique!A"&amp;_xlfn.XMATCH("P",Statut_biogéographique!A:A,2,1),"P")</f>
        <v>P</v>
      </c>
      <c r="AP4828" s="4" t="s">
        <v>376</v>
      </c>
      <c r="AR4828" s="4" t="s">
        <v>377</v>
      </c>
    </row>
    <row r="4829" spans="1:44" ht="30">
      <c r="A4829" s="4" t="s">
        <v>5</v>
      </c>
      <c r="B4829" s="4">
        <v>37553</v>
      </c>
      <c r="D4829" s="5" t="s">
        <v>7092</v>
      </c>
      <c r="E4829" s="6" t="str">
        <f>HYPERLINK("https://inpn.mnhn.fr/espece/cd_nom/37553","Psathyrella laevissima (Romagn.) Singer, 1969")</f>
        <v>Psathyrella laevissima (Romagn.) Singer, 1969</v>
      </c>
      <c r="V4829" s="7" t="str">
        <f>HYPERLINK("#Liste_rouge!A"&amp;_xlfn.XMATCH("VU",Liste_rouge!A:A,2,1),"VU")</f>
        <v>VU</v>
      </c>
      <c r="W4829" s="4" t="str">
        <f>HYPERLINK("#Critères_liste_rouge!A$1","D2")</f>
        <v>D2</v>
      </c>
      <c r="AH4829" s="4" t="str">
        <f>HYPERLINK("#Statut_biogéographique!A"&amp;_xlfn.XMATCH("P",Statut_biogéographique!A:A,2,1),"P")</f>
        <v>P</v>
      </c>
      <c r="AP4829" s="4" t="s">
        <v>376</v>
      </c>
      <c r="AR4829" s="4" t="s">
        <v>377</v>
      </c>
    </row>
    <row r="4830" spans="1:44" ht="30">
      <c r="A4830" s="4" t="s">
        <v>5</v>
      </c>
      <c r="B4830" s="4">
        <v>37556</v>
      </c>
      <c r="D4830" s="5" t="s">
        <v>7093</v>
      </c>
      <c r="E4830" s="6" t="str">
        <f>HYPERLINK("https://inpn.mnhn.fr/espece/cd_nom/37556","Psathyrella leucotephra (Berk. &amp; Broome) P.D.Orton, 1960")</f>
        <v>Psathyrella leucotephra (Berk. &amp; Broome) P.D.Orton, 1960</v>
      </c>
      <c r="V4830" s="7" t="str">
        <f>HYPERLINK("#Liste_rouge!A"&amp;_xlfn.XMATCH("LC",Liste_rouge!A:A,2,1),"LC")</f>
        <v>LC</v>
      </c>
      <c r="AH4830" s="4" t="str">
        <f>HYPERLINK("#Statut_biogéographique!A"&amp;_xlfn.XMATCH("P",Statut_biogéographique!A:A,2,1),"P")</f>
        <v>P</v>
      </c>
      <c r="AP4830" s="4" t="s">
        <v>376</v>
      </c>
      <c r="AR4830" s="4" t="s">
        <v>377</v>
      </c>
    </row>
    <row r="4831" spans="1:44" ht="30">
      <c r="A4831" s="4" t="s">
        <v>5</v>
      </c>
      <c r="B4831" s="4">
        <v>37565</v>
      </c>
      <c r="D4831" s="5" t="s">
        <v>7094</v>
      </c>
      <c r="E4831" s="6" t="str">
        <f>HYPERLINK("https://inpn.mnhn.fr/espece/cd_nom/37565","Psathyrella maculata (C.S.Parker) A.H.Sm., 1972")</f>
        <v>Psathyrella maculata (C.S.Parker) A.H.Sm., 1972</v>
      </c>
      <c r="V4831" s="7" t="str">
        <f>HYPERLINK("#Liste_rouge!A"&amp;_xlfn.XMATCH("LC",Liste_rouge!A:A,2,1),"LC")</f>
        <v>LC</v>
      </c>
      <c r="AH4831" s="4" t="str">
        <f>HYPERLINK("#Statut_biogéographique!A"&amp;_xlfn.XMATCH("P",Statut_biogéographique!A:A,2,1),"P")</f>
        <v>P</v>
      </c>
      <c r="AP4831" s="4" t="s">
        <v>376</v>
      </c>
      <c r="AR4831" s="4" t="s">
        <v>377</v>
      </c>
    </row>
    <row r="4832" spans="1:44" ht="30">
      <c r="A4832" s="4" t="s">
        <v>5</v>
      </c>
      <c r="B4832" s="4">
        <v>37590</v>
      </c>
      <c r="D4832" s="5" t="s">
        <v>7095</v>
      </c>
      <c r="E4832" s="6" t="str">
        <f>HYPERLINK("https://inpn.mnhn.fr/espece/cd_nom/37590","Phellinus hartigii (Allesch. &amp; Schnabl) Pat., 1903")</f>
        <v>Phellinus hartigii (Allesch. &amp; Schnabl) Pat., 1903</v>
      </c>
      <c r="F4832" s="5" t="s">
        <v>7096</v>
      </c>
      <c r="V4832" s="7" t="str">
        <f>HYPERLINK("#Liste_rouge!A"&amp;_xlfn.XMATCH("LC",Liste_rouge!A:A,2,1),"LC")</f>
        <v>LC</v>
      </c>
      <c r="AH4832" s="4" t="str">
        <f>HYPERLINK("#Statut_biogéographique!A"&amp;_xlfn.XMATCH("P",Statut_biogéographique!A:A,2,1),"P")</f>
        <v>P</v>
      </c>
      <c r="AP4832" s="4" t="s">
        <v>376</v>
      </c>
      <c r="AR4832" s="4" t="s">
        <v>377</v>
      </c>
    </row>
    <row r="4833" spans="1:44" ht="45">
      <c r="A4833" s="4" t="s">
        <v>5</v>
      </c>
      <c r="B4833" s="4">
        <v>37596</v>
      </c>
      <c r="D4833" s="5" t="s">
        <v>7097</v>
      </c>
      <c r="E4833" s="6" t="str">
        <f>HYPERLINK("https://inpn.mnhn.fr/espece/cd_nom/37596","Phellinus igniarius (L.) Quél., 1886")</f>
        <v>Phellinus igniarius (L.) Quél., 1886</v>
      </c>
      <c r="F4833" s="5" t="s">
        <v>7098</v>
      </c>
      <c r="V4833" s="7" t="str">
        <f>HYPERLINK("#Liste_rouge!A"&amp;_xlfn.XMATCH("LC",Liste_rouge!A:A,2,1),"LC (cd_nom 37596) - DD (cd_nom 465095)")</f>
        <v>LC (cd_nom 37596) - DD (cd_nom 465095)</v>
      </c>
      <c r="AH4833" s="4" t="str">
        <f>HYPERLINK("#Statut_biogéographique!A"&amp;_xlfn.XMATCH("P",Statut_biogéographique!A:A,2,1),"P")</f>
        <v>P</v>
      </c>
      <c r="AP4833" s="4" t="s">
        <v>376</v>
      </c>
      <c r="AR4833" s="4" t="s">
        <v>377</v>
      </c>
    </row>
    <row r="4834" spans="1:44" ht="30">
      <c r="A4834" s="4" t="s">
        <v>5</v>
      </c>
      <c r="B4834" s="4">
        <v>37600</v>
      </c>
      <c r="D4834" s="5" t="s">
        <v>7099</v>
      </c>
      <c r="E4834" s="6" t="str">
        <f>HYPERLINK("https://inpn.mnhn.fr/espece/cd_nom/37600","Phellinus laevigatus (P.Karst.) Bourdot &amp; Galzin, 1928")</f>
        <v>Phellinus laevigatus (P.Karst.) Bourdot &amp; Galzin, 1928</v>
      </c>
      <c r="F4834" s="5" t="s">
        <v>2677</v>
      </c>
      <c r="V4834" s="7" t="str">
        <f>HYPERLINK("#Liste_rouge!A"&amp;_xlfn.XMATCH("EN",Liste_rouge!A:A,2,1),"EN")</f>
        <v>EN</v>
      </c>
      <c r="W4834" s="4" t="str">
        <f>HYPERLINK("#Critères_liste_rouge!A$1","B2abiii")</f>
        <v>B2abiii</v>
      </c>
      <c r="AH4834" s="4" t="str">
        <f>HYPERLINK("#Statut_biogéographique!A"&amp;_xlfn.XMATCH("P",Statut_biogéographique!A:A,2,1),"P")</f>
        <v>P</v>
      </c>
      <c r="AP4834" s="4" t="s">
        <v>376</v>
      </c>
      <c r="AR4834" s="4" t="s">
        <v>377</v>
      </c>
    </row>
    <row r="4835" spans="1:44">
      <c r="A4835" s="4" t="s">
        <v>5</v>
      </c>
      <c r="B4835" s="4">
        <v>37626</v>
      </c>
      <c r="D4835" s="5" t="s">
        <v>7100</v>
      </c>
      <c r="E4835" s="6" t="str">
        <f>HYPERLINK("https://inpn.mnhn.fr/espece/cd_nom/37626","Phellinus rhamni (Bondartseva) H.Jahn, 1967")</f>
        <v>Phellinus rhamni (Bondartseva) H.Jahn, 1967</v>
      </c>
      <c r="V4835" s="7" t="str">
        <f>HYPERLINK("#Liste_rouge!A"&amp;_xlfn.XMATCH("DD",Liste_rouge!A:A,2,1),"DD")</f>
        <v>DD</v>
      </c>
      <c r="AH4835" s="4" t="str">
        <f>HYPERLINK("#Statut_biogéographique!A"&amp;_xlfn.XMATCH("P",Statut_biogéographique!A:A,2,1),"P")</f>
        <v>P</v>
      </c>
      <c r="AP4835" s="4" t="s">
        <v>376</v>
      </c>
      <c r="AR4835" s="4" t="s">
        <v>377</v>
      </c>
    </row>
    <row r="4836" spans="1:44" ht="30">
      <c r="A4836" s="4" t="s">
        <v>5</v>
      </c>
      <c r="B4836" s="4">
        <v>37643</v>
      </c>
      <c r="D4836" s="5" t="s">
        <v>7101</v>
      </c>
      <c r="E4836" s="6" t="str">
        <f>HYPERLINK("https://inpn.mnhn.fr/espece/cd_nom/37643","Phellinus tremulae (Bondartsev) Bondartsev &amp; P.N.Borisov, 1953")</f>
        <v>Phellinus tremulae (Bondartsev) Bondartsev &amp; P.N.Borisov, 1953</v>
      </c>
      <c r="F4836" s="5" t="s">
        <v>7102</v>
      </c>
      <c r="V4836" s="7" t="str">
        <f>HYPERLINK("#Liste_rouge!A"&amp;_xlfn.XMATCH("DD",Liste_rouge!A:A,2,1),"DD")</f>
        <v>DD</v>
      </c>
      <c r="AH4836" s="4" t="str">
        <f>HYPERLINK("#Statut_biogéographique!A"&amp;_xlfn.XMATCH("P",Statut_biogéographique!A:A,2,1),"P")</f>
        <v>P</v>
      </c>
      <c r="AP4836" s="4" t="s">
        <v>376</v>
      </c>
      <c r="AR4836" s="4" t="s">
        <v>377</v>
      </c>
    </row>
    <row r="4837" spans="1:44" ht="30">
      <c r="A4837" s="4" t="s">
        <v>5</v>
      </c>
      <c r="B4837" s="4">
        <v>37648</v>
      </c>
      <c r="D4837" s="5" t="s">
        <v>7103</v>
      </c>
      <c r="E4837" s="6" t="str">
        <f>HYPERLINK("https://inpn.mnhn.fr/espece/cd_nom/37648","Phellinus igniarius var. trivialis (Bres.) Niemelä, 1975")</f>
        <v>Phellinus igniarius var. trivialis (Bres.) Niemelä, 1975</v>
      </c>
      <c r="F4837" s="5" t="s">
        <v>7104</v>
      </c>
      <c r="V4837" s="7" t="str">
        <f>HYPERLINK("#Liste_rouge!A"&amp;_xlfn.XMATCH("LC",Liste_rouge!A:A,2,1),"LC")</f>
        <v>LC</v>
      </c>
      <c r="AH4837" s="4" t="str">
        <f>HYPERLINK("#Statut_biogéographique!A"&amp;_xlfn.XMATCH("P",Statut_biogéographique!A:A,2,1),"P")</f>
        <v>P</v>
      </c>
      <c r="AP4837" s="4" t="s">
        <v>376</v>
      </c>
      <c r="AR4837" s="4" t="s">
        <v>377</v>
      </c>
    </row>
    <row r="4838" spans="1:44" ht="30">
      <c r="A4838" s="4" t="s">
        <v>5</v>
      </c>
      <c r="B4838" s="4">
        <v>37652</v>
      </c>
      <c r="D4838" s="5" t="s">
        <v>7105</v>
      </c>
      <c r="E4838" s="6" t="str">
        <f>HYPERLINK("https://inpn.mnhn.fr/espece/cd_nom/37652","Phellinus pomaceus (Pers.) Maire, 1933")</f>
        <v>Phellinus pomaceus (Pers.) Maire, 1933</v>
      </c>
      <c r="V4838" s="7" t="str">
        <f>HYPERLINK("#Liste_rouge!A"&amp;_xlfn.XMATCH("LC",Liste_rouge!A:A,2,1),"LC")</f>
        <v>LC</v>
      </c>
      <c r="AH4838" s="4" t="str">
        <f>HYPERLINK("#Statut_biogéographique!A"&amp;_xlfn.XMATCH("P",Statut_biogéographique!A:A,2,1),"P")</f>
        <v>P</v>
      </c>
      <c r="AP4838" s="4" t="s">
        <v>376</v>
      </c>
      <c r="AR4838" s="4" t="s">
        <v>377</v>
      </c>
    </row>
    <row r="4839" spans="1:44" ht="30">
      <c r="A4839" s="4" t="s">
        <v>5</v>
      </c>
      <c r="B4839" s="4">
        <v>37658</v>
      </c>
      <c r="D4839" s="5" t="s">
        <v>7106</v>
      </c>
      <c r="E4839" s="6" t="str">
        <f>HYPERLINK("https://inpn.mnhn.fr/espece/cd_nom/37658","Phellodon confluens (Pers.) Pouzar, 1956")</f>
        <v>Phellodon confluens (Pers.) Pouzar, 1956</v>
      </c>
      <c r="V4839" s="7" t="str">
        <f>HYPERLINK("#Liste_rouge!A"&amp;_xlfn.XMATCH("LC",Liste_rouge!A:A,2,1),"LC")</f>
        <v>LC</v>
      </c>
      <c r="AH4839" s="4" t="str">
        <f>HYPERLINK("#Statut_biogéographique!A"&amp;_xlfn.XMATCH("P",Statut_biogéographique!A:A,2,1),"P")</f>
        <v>P</v>
      </c>
      <c r="AP4839" s="4" t="s">
        <v>376</v>
      </c>
      <c r="AR4839" s="4" t="s">
        <v>377</v>
      </c>
    </row>
    <row r="4840" spans="1:44" ht="30">
      <c r="A4840" s="4" t="s">
        <v>5</v>
      </c>
      <c r="B4840" s="4">
        <v>37662</v>
      </c>
      <c r="D4840" s="5" t="s">
        <v>7107</v>
      </c>
      <c r="E4840" s="6" t="str">
        <f>HYPERLINK("https://inpn.mnhn.fr/espece/cd_nom/37662","Phellodon melaleucus (Sw. ex Fr.) P.Karst., 1881")</f>
        <v>Phellodon melaleucus (Sw. ex Fr.) P.Karst., 1881</v>
      </c>
      <c r="V4840" s="7" t="str">
        <f>HYPERLINK("#Liste_rouge!A"&amp;_xlfn.XMATCH("EN",Liste_rouge!A:A,2,1),"EN")</f>
        <v>EN</v>
      </c>
      <c r="W4840" s="4" t="str">
        <f>HYPERLINK("#Critères_liste_rouge!A$1","B2abiii")</f>
        <v>B2abiii</v>
      </c>
      <c r="AH4840" s="4" t="str">
        <f>HYPERLINK("#Statut_biogéographique!A"&amp;_xlfn.XMATCH("P",Statut_biogéographique!A:A,2,1),"P")</f>
        <v>P</v>
      </c>
      <c r="AP4840" s="4" t="s">
        <v>376</v>
      </c>
      <c r="AR4840" s="4" t="s">
        <v>377</v>
      </c>
    </row>
    <row r="4841" spans="1:44" ht="30">
      <c r="A4841" s="4" t="s">
        <v>5</v>
      </c>
      <c r="B4841" s="4">
        <v>37666</v>
      </c>
      <c r="D4841" s="5" t="s">
        <v>7108</v>
      </c>
      <c r="E4841" s="6" t="str">
        <f>HYPERLINK("https://inpn.mnhn.fr/espece/cd_nom/37666","Phellodon niger (Fr.) P.Karst., 1881")</f>
        <v>Phellodon niger (Fr.) P.Karst., 1881</v>
      </c>
      <c r="F4841" s="5" t="s">
        <v>2606</v>
      </c>
      <c r="V4841" s="7" t="str">
        <f>HYPERLINK("#Liste_rouge!A"&amp;_xlfn.XMATCH("LC",Liste_rouge!A:A,2,1),"LC")</f>
        <v>LC</v>
      </c>
      <c r="AH4841" s="4" t="str">
        <f>HYPERLINK("#Statut_biogéographique!A"&amp;_xlfn.XMATCH("P",Statut_biogéographique!A:A,2,1),"P")</f>
        <v>P</v>
      </c>
      <c r="AP4841" s="4" t="s">
        <v>376</v>
      </c>
      <c r="AR4841" s="4" t="s">
        <v>377</v>
      </c>
    </row>
    <row r="4842" spans="1:44">
      <c r="A4842" s="4" t="s">
        <v>5</v>
      </c>
      <c r="B4842" s="4">
        <v>37670</v>
      </c>
      <c r="D4842" s="5" t="s">
        <v>7109</v>
      </c>
      <c r="E4842" s="6" t="str">
        <f>HYPERLINK("https://inpn.mnhn.fr/espece/cd_nom/37670","Phellodon tomentosus (L.) Banker, 1906")</f>
        <v>Phellodon tomentosus (L.) Banker, 1906</v>
      </c>
      <c r="V4842" s="7" t="str">
        <f>HYPERLINK("#Liste_rouge!A"&amp;_xlfn.XMATCH("NT",Liste_rouge!A:A,2,1),"NT")</f>
        <v>NT</v>
      </c>
      <c r="W4842" s="4" t="str">
        <f>HYPERLINK("#Critères_liste_rouge!A$1","pr. B2abiii")</f>
        <v>pr. B2abiii</v>
      </c>
      <c r="AH4842" s="4" t="str">
        <f>HYPERLINK("#Statut_biogéographique!A"&amp;_xlfn.XMATCH("P",Statut_biogéographique!A:A,2,1),"P")</f>
        <v>P</v>
      </c>
      <c r="AP4842" s="4" t="s">
        <v>376</v>
      </c>
      <c r="AR4842" s="4" t="s">
        <v>377</v>
      </c>
    </row>
    <row r="4843" spans="1:44">
      <c r="A4843" s="4" t="s">
        <v>5</v>
      </c>
      <c r="B4843" s="4">
        <v>37689</v>
      </c>
      <c r="D4843" s="5" t="s">
        <v>7110</v>
      </c>
      <c r="E4843" s="6" t="str">
        <f>HYPERLINK("https://inpn.mnhn.fr/espece/cd_nom/37689","Psathyrella mucrocystis A.H.Sm., 1972")</f>
        <v>Psathyrella mucrocystis A.H.Sm., 1972</v>
      </c>
      <c r="V4843" s="7" t="str">
        <f>HYPERLINK("#Liste_rouge!A"&amp;_xlfn.XMATCH("LC",Liste_rouge!A:A,2,1),"LC")</f>
        <v>LC</v>
      </c>
      <c r="AH4843" s="4" t="str">
        <f>HYPERLINK("#Statut_biogéographique!A"&amp;_xlfn.XMATCH("P",Statut_biogéographique!A:A,2,1),"P")</f>
        <v>P</v>
      </c>
      <c r="AP4843" s="4" t="s">
        <v>376</v>
      </c>
      <c r="AR4843" s="4" t="s">
        <v>377</v>
      </c>
    </row>
    <row r="4844" spans="1:44">
      <c r="A4844" s="4" t="s">
        <v>5</v>
      </c>
      <c r="B4844" s="4">
        <v>37692</v>
      </c>
      <c r="D4844" s="5" t="s">
        <v>7111</v>
      </c>
      <c r="E4844" s="6" t="str">
        <f>HYPERLINK("https://inpn.mnhn.fr/espece/cd_nom/37692","Psathyrella multipedata (Peck) A.H.Sm., 1941")</f>
        <v>Psathyrella multipedata (Peck) A.H.Sm., 1941</v>
      </c>
      <c r="V4844" s="7" t="str">
        <f>HYPERLINK("#Liste_rouge!A"&amp;_xlfn.XMATCH("LC",Liste_rouge!A:A,2,1),"LC")</f>
        <v>LC</v>
      </c>
      <c r="AH4844" s="4" t="str">
        <f>HYPERLINK("#Statut_biogéographique!A"&amp;_xlfn.XMATCH("P",Statut_biogéographique!A:A,2,1),"P")</f>
        <v>P</v>
      </c>
      <c r="AP4844" s="4" t="s">
        <v>376</v>
      </c>
      <c r="AR4844" s="4" t="s">
        <v>377</v>
      </c>
    </row>
    <row r="4845" spans="1:44">
      <c r="A4845" s="4" t="s">
        <v>5</v>
      </c>
      <c r="B4845" s="4">
        <v>37707</v>
      </c>
      <c r="D4845" s="5" t="s">
        <v>7112</v>
      </c>
      <c r="E4845" s="6" t="str">
        <f>HYPERLINK("https://inpn.mnhn.fr/espece/cd_nom/37707","Psathyrella obtusata (Pers.) A.H.Sm., 1941")</f>
        <v>Psathyrella obtusata (Pers.) A.H.Sm., 1941</v>
      </c>
      <c r="V4845" s="7" t="str">
        <f>HYPERLINK("#Liste_rouge!A"&amp;_xlfn.XMATCH("EN",Liste_rouge!A:A,2,1),"EN")</f>
        <v>EN</v>
      </c>
      <c r="W4845" s="4" t="str">
        <f>HYPERLINK("#Critères_liste_rouge!A$1","B2abiii")</f>
        <v>B2abiii</v>
      </c>
      <c r="AH4845" s="4" t="str">
        <f>HYPERLINK("#Statut_biogéographique!A"&amp;_xlfn.XMATCH("P",Statut_biogéographique!A:A,2,1),"P")</f>
        <v>P</v>
      </c>
      <c r="AP4845" s="4" t="s">
        <v>376</v>
      </c>
      <c r="AR4845" s="4" t="s">
        <v>377</v>
      </c>
    </row>
    <row r="4846" spans="1:44">
      <c r="A4846" s="4" t="s">
        <v>5</v>
      </c>
      <c r="B4846" s="4">
        <v>37717</v>
      </c>
      <c r="D4846" s="5">
        <v>37717</v>
      </c>
      <c r="E4846" s="6" t="str">
        <f>HYPERLINK("https://inpn.mnhn.fr/espece/cd_nom/37717","Psathyrella olympiana A.H.Sm., 1941")</f>
        <v>Psathyrella olympiana A.H.Sm., 1941</v>
      </c>
      <c r="V4846" s="7" t="str">
        <f>HYPERLINK("#Liste_rouge!A"&amp;_xlfn.XMATCH("VU",Liste_rouge!A:A,2,1),"VU")</f>
        <v>VU</v>
      </c>
      <c r="W4846" s="4" t="str">
        <f>HYPERLINK("#Critères_liste_rouge!A$1","B2abiii")</f>
        <v>B2abiii</v>
      </c>
      <c r="AH4846" s="4" t="str">
        <f>HYPERLINK("#Statut_biogéographique!A"&amp;_xlfn.XMATCH("P",Statut_biogéographique!A:A,2,1),"P")</f>
        <v>P</v>
      </c>
      <c r="AP4846" s="4" t="s">
        <v>376</v>
      </c>
      <c r="AR4846" s="4" t="s">
        <v>377</v>
      </c>
    </row>
    <row r="4847" spans="1:44" ht="30">
      <c r="A4847" s="4" t="s">
        <v>5</v>
      </c>
      <c r="B4847" s="4">
        <v>37737</v>
      </c>
      <c r="D4847" s="5" t="s">
        <v>7113</v>
      </c>
      <c r="E4847" s="6" t="str">
        <f>HYPERLINK("https://inpn.mnhn.fr/espece/cd_nom/37737","Psathyrella pellucidipes (Romagn.) M.M.Moser, 1978")</f>
        <v>Psathyrella pellucidipes (Romagn.) M.M.Moser, 1978</v>
      </c>
      <c r="AH4847" s="4" t="str">
        <f>HYPERLINK("#Statut_biogéographique!A"&amp;_xlfn.XMATCH("P",Statut_biogéographique!A:A,2,1),"P")</f>
        <v>P</v>
      </c>
      <c r="AP4847" s="4" t="s">
        <v>376</v>
      </c>
      <c r="AR4847" s="4" t="s">
        <v>377</v>
      </c>
    </row>
    <row r="4848" spans="1:44">
      <c r="A4848" s="4" t="s">
        <v>5</v>
      </c>
      <c r="B4848" s="4">
        <v>37745</v>
      </c>
      <c r="D4848" s="5" t="s">
        <v>7114</v>
      </c>
      <c r="E4848" s="6" t="str">
        <f>HYPERLINK("https://inpn.mnhn.fr/espece/cd_nom/37745","Psathyrella phegophila Romagn., 1985")</f>
        <v>Psathyrella phegophila Romagn., 1985</v>
      </c>
      <c r="V4848" s="7" t="str">
        <f>HYPERLINK("#Liste_rouge!A"&amp;_xlfn.XMATCH("DD",Liste_rouge!A:A,2,1),"DD")</f>
        <v>DD</v>
      </c>
      <c r="AH4848" s="4" t="str">
        <f>HYPERLINK("#Statut_biogéographique!A"&amp;_xlfn.XMATCH("P",Statut_biogéographique!A:A,2,1),"P")</f>
        <v>P</v>
      </c>
      <c r="AP4848" s="4" t="s">
        <v>376</v>
      </c>
      <c r="AR4848" s="4" t="s">
        <v>377</v>
      </c>
    </row>
    <row r="4849" spans="1:44" ht="45">
      <c r="A4849" s="4" t="s">
        <v>5</v>
      </c>
      <c r="B4849" s="4">
        <v>37748</v>
      </c>
      <c r="D4849" s="5" t="s">
        <v>7115</v>
      </c>
      <c r="E4849" s="6" t="str">
        <f>HYPERLINK("https://inpn.mnhn.fr/espece/cd_nom/37748","Psathyrella piluliformis (Bull.) P.D.Orton, 1969")</f>
        <v>Psathyrella piluliformis (Bull.) P.D.Orton, 1969</v>
      </c>
      <c r="F4849" s="5" t="s">
        <v>7116</v>
      </c>
      <c r="V4849" s="7" t="str">
        <f>HYPERLINK("#Liste_rouge!A"&amp;_xlfn.XMATCH("LC",Liste_rouge!A:A,2,1),"LC")</f>
        <v>LC</v>
      </c>
      <c r="AH4849" s="4" t="str">
        <f>HYPERLINK("#Statut_biogéographique!A"&amp;_xlfn.XMATCH("P",Statut_biogéographique!A:A,2,1),"P")</f>
        <v>P</v>
      </c>
      <c r="AP4849" s="4" t="s">
        <v>376</v>
      </c>
      <c r="AR4849" s="4" t="s">
        <v>377</v>
      </c>
    </row>
    <row r="4850" spans="1:44" ht="30">
      <c r="A4850" s="4" t="s">
        <v>5</v>
      </c>
      <c r="B4850" s="4">
        <v>37758</v>
      </c>
      <c r="C4850" s="4">
        <v>3245</v>
      </c>
      <c r="D4850" s="5" t="s">
        <v>7117</v>
      </c>
      <c r="E4850" s="6" t="str">
        <f>HYPERLINK("https://inpn.mnhn.fr/espece/cd_nom/37758","Psathyrella populina (Britzelm.) Kits van Wav., 1985")</f>
        <v>Psathyrella populina (Britzelm.) Kits van Wav., 1985</v>
      </c>
      <c r="F4850" s="5" t="s">
        <v>7118</v>
      </c>
      <c r="V4850" s="7" t="str">
        <f>HYPERLINK("#Liste_rouge!A"&amp;_xlfn.XMATCH("EN",Liste_rouge!A:A,2,1),"EN (cd_nom 37758) - DD (cd_nom 37761)")</f>
        <v>EN (cd_nom 37758) - DD (cd_nom 37761)</v>
      </c>
      <c r="W4850" s="4" t="str">
        <f>HYPERLINK("#Critères_liste_rouge!A$1","B2abiii (cd_nom 37758)")</f>
        <v>B2abiii (cd_nom 37758)</v>
      </c>
      <c r="Z4850" s="4" t="s">
        <v>447</v>
      </c>
      <c r="AA4850" s="4" t="s">
        <v>448</v>
      </c>
      <c r="AH4850" s="4" t="str">
        <f>HYPERLINK("#Statut_biogéographique!A"&amp;_xlfn.XMATCH("P",Statut_biogéographique!A:A,2,1),"P")</f>
        <v>P</v>
      </c>
      <c r="AP4850" s="4" t="s">
        <v>376</v>
      </c>
      <c r="AR4850" s="4" t="s">
        <v>377</v>
      </c>
    </row>
    <row r="4851" spans="1:44">
      <c r="A4851" s="4" t="s">
        <v>5</v>
      </c>
      <c r="B4851" s="4">
        <v>37762</v>
      </c>
      <c r="D4851" s="5" t="s">
        <v>7119</v>
      </c>
      <c r="E4851" s="6" t="str">
        <f>HYPERLINK("https://inpn.mnhn.fr/espece/cd_nom/37762","Psathyrella prona (Fr.) Gillet, 1878")</f>
        <v>Psathyrella prona (Fr.) Gillet, 1878</v>
      </c>
      <c r="V4851" s="7" t="str">
        <f>HYPERLINK("#Liste_rouge!A"&amp;_xlfn.XMATCH("LC",Liste_rouge!A:A,2,1),"LC")</f>
        <v>LC</v>
      </c>
      <c r="AH4851" s="4" t="str">
        <f>HYPERLINK("#Statut_biogéographique!A"&amp;_xlfn.XMATCH("P",Statut_biogéographique!A:A,2,1),"P")</f>
        <v>P</v>
      </c>
      <c r="AP4851" s="4" t="s">
        <v>376</v>
      </c>
      <c r="AR4851" s="4" t="s">
        <v>377</v>
      </c>
    </row>
    <row r="4852" spans="1:44" ht="30">
      <c r="A4852" s="4" t="s">
        <v>5</v>
      </c>
      <c r="B4852" s="4">
        <v>37776</v>
      </c>
      <c r="D4852" s="5" t="s">
        <v>7120</v>
      </c>
      <c r="E4852" s="6" t="str">
        <f>HYPERLINK("https://inpn.mnhn.fr/espece/cd_nom/37776","Psathyrella orbitarum (Romagn.) M.M.Moser, 1967")</f>
        <v>Psathyrella orbitarum (Romagn.) M.M.Moser, 1967</v>
      </c>
      <c r="AH4852" s="4" t="str">
        <f>HYPERLINK("#Statut_biogéographique!A"&amp;_xlfn.XMATCH("P",Statut_biogéographique!A:A,2,1),"P")</f>
        <v>P</v>
      </c>
      <c r="AP4852" s="4" t="s">
        <v>376</v>
      </c>
      <c r="AR4852" s="4" t="s">
        <v>377</v>
      </c>
    </row>
    <row r="4853" spans="1:44" ht="30">
      <c r="A4853" s="4" t="s">
        <v>5</v>
      </c>
      <c r="B4853" s="4">
        <v>37790</v>
      </c>
      <c r="D4853" s="5" t="s">
        <v>7121</v>
      </c>
      <c r="E4853" s="6" t="str">
        <f>HYPERLINK("https://inpn.mnhn.fr/espece/cd_nom/37790","Psathyrella pseudogracilis (Romagn.) M.M.Moser, 1967")</f>
        <v>Psathyrella pseudogracilis (Romagn.) M.M.Moser, 1967</v>
      </c>
      <c r="V4853" s="7" t="str">
        <f>HYPERLINK("#Liste_rouge!A"&amp;_xlfn.XMATCH("EN",Liste_rouge!A:A,2,1),"EN")</f>
        <v>EN</v>
      </c>
      <c r="W4853" s="4" t="str">
        <f>HYPERLINK("#Critères_liste_rouge!A$1","B2abiii")</f>
        <v>B2abiii</v>
      </c>
      <c r="AH4853" s="4" t="str">
        <f>HYPERLINK("#Statut_biogéographique!A"&amp;_xlfn.XMATCH("P",Statut_biogéographique!A:A,2,1),"P")</f>
        <v>P</v>
      </c>
      <c r="AP4853" s="4" t="s">
        <v>376</v>
      </c>
      <c r="AR4853" s="4" t="s">
        <v>377</v>
      </c>
    </row>
    <row r="4854" spans="1:44">
      <c r="A4854" s="4" t="s">
        <v>5</v>
      </c>
      <c r="B4854" s="4">
        <v>37793</v>
      </c>
      <c r="D4854" s="5" t="s">
        <v>7122</v>
      </c>
      <c r="E4854" s="6" t="str">
        <f>HYPERLINK("https://inpn.mnhn.fr/espece/cd_nom/37793","Psathyrella pygmaea (Bull.) Singer, 1951")</f>
        <v>Psathyrella pygmaea (Bull.) Singer, 1951</v>
      </c>
      <c r="V4854" s="7" t="str">
        <f>HYPERLINK("#Liste_rouge!A"&amp;_xlfn.XMATCH("EN",Liste_rouge!A:A,2,1),"EN")</f>
        <v>EN</v>
      </c>
      <c r="W4854" s="4" t="str">
        <f>HYPERLINK("#Critères_liste_rouge!A$1","B2abiii")</f>
        <v>B2abiii</v>
      </c>
      <c r="AH4854" s="4" t="str">
        <f>HYPERLINK("#Statut_biogéographique!A"&amp;_xlfn.XMATCH("P",Statut_biogéographique!A:A,2,1),"P")</f>
        <v>P</v>
      </c>
      <c r="AP4854" s="4" t="s">
        <v>376</v>
      </c>
      <c r="AR4854" s="4" t="s">
        <v>377</v>
      </c>
    </row>
    <row r="4855" spans="1:44" ht="30">
      <c r="A4855" s="4" t="s">
        <v>5</v>
      </c>
      <c r="B4855" s="4">
        <v>37800</v>
      </c>
      <c r="C4855" s="4">
        <v>563</v>
      </c>
      <c r="D4855" s="5" t="s">
        <v>7123</v>
      </c>
      <c r="E4855" s="6" t="str">
        <f>HYPERLINK("https://inpn.mnhn.fr/espece/cd_nom/37800","Lacrymaria pyrotricha (Holmsk.) Konrad &amp; Maubl., 1925")</f>
        <v>Lacrymaria pyrotricha (Holmsk.) Konrad &amp; Maubl., 1925</v>
      </c>
      <c r="F4855" s="5" t="s">
        <v>7124</v>
      </c>
      <c r="V4855" s="7" t="str">
        <f>HYPERLINK("#Liste_rouge!A"&amp;_xlfn.XMATCH("LC",Liste_rouge!A:A,2,1),"LC")</f>
        <v>LC</v>
      </c>
      <c r="AH4855" s="4" t="str">
        <f>HYPERLINK("#Statut_biogéographique!A"&amp;_xlfn.XMATCH("P",Statut_biogéographique!A:A,2,1),"P")</f>
        <v>P</v>
      </c>
      <c r="AP4855" s="4" t="s">
        <v>376</v>
      </c>
      <c r="AR4855" s="4" t="s">
        <v>377</v>
      </c>
    </row>
    <row r="4856" spans="1:44">
      <c r="A4856" s="4" t="s">
        <v>5</v>
      </c>
      <c r="B4856" s="4">
        <v>37809</v>
      </c>
      <c r="D4856" s="5" t="s">
        <v>7125</v>
      </c>
      <c r="E4856" s="6" t="str">
        <f>HYPERLINK("https://inpn.mnhn.fr/espece/cd_nom/37809","Psathyrella sarcocephala (Fr.) Singer, 1951")</f>
        <v>Psathyrella sarcocephala (Fr.) Singer, 1951</v>
      </c>
      <c r="V4856" s="7" t="str">
        <f>HYPERLINK("#Liste_rouge!A"&amp;_xlfn.XMATCH("EN",Liste_rouge!A:A,2,1),"EN")</f>
        <v>EN</v>
      </c>
      <c r="W4856" s="4" t="str">
        <f>HYPERLINK("#Critères_liste_rouge!A$1","B2abiii")</f>
        <v>B2abiii</v>
      </c>
      <c r="AH4856" s="4" t="str">
        <f>HYPERLINK("#Statut_biogéographique!A"&amp;_xlfn.XMATCH("P",Statut_biogéographique!A:A,2,1),"P")</f>
        <v>P</v>
      </c>
      <c r="AP4856" s="4" t="s">
        <v>376</v>
      </c>
      <c r="AR4856" s="4" t="s">
        <v>377</v>
      </c>
    </row>
    <row r="4857" spans="1:44" ht="30">
      <c r="A4857" s="4" t="s">
        <v>5</v>
      </c>
      <c r="B4857" s="4">
        <v>37825</v>
      </c>
      <c r="D4857" s="5" t="s">
        <v>7126</v>
      </c>
      <c r="E4857" s="6" t="str">
        <f>HYPERLINK("https://inpn.mnhn.fr/espece/cd_nom/37825","Psathyrella spadiceogrisea (Schaeff.) Maire, 1937")</f>
        <v>Psathyrella spadiceogrisea (Schaeff.) Maire, 1937</v>
      </c>
      <c r="V4857" s="7" t="str">
        <f>HYPERLINK("#Liste_rouge!A"&amp;_xlfn.XMATCH("LC",Liste_rouge!A:A,2,1),"LC")</f>
        <v>LC</v>
      </c>
      <c r="AH4857" s="4" t="str">
        <f>HYPERLINK("#Statut_biogéographique!A"&amp;_xlfn.XMATCH("P",Statut_biogéographique!A:A,2,1),"P")</f>
        <v>P</v>
      </c>
      <c r="AP4857" s="4" t="s">
        <v>376</v>
      </c>
      <c r="AR4857" s="4" t="s">
        <v>377</v>
      </c>
    </row>
    <row r="4858" spans="1:44">
      <c r="A4858" s="4" t="s">
        <v>5</v>
      </c>
      <c r="B4858" s="4">
        <v>37837</v>
      </c>
      <c r="D4858" s="5" t="s">
        <v>7127</v>
      </c>
      <c r="E4858" s="6" t="str">
        <f>HYPERLINK("https://inpn.mnhn.fr/espece/cd_nom/37837","Psathyrella sphagnicola (Maire) J.Favre, 1937")</f>
        <v>Psathyrella sphagnicola (Maire) J.Favre, 1937</v>
      </c>
      <c r="V4858" s="7" t="str">
        <f>HYPERLINK("#Liste_rouge!A"&amp;_xlfn.XMATCH("LC",Liste_rouge!A:A,2,1),"LC")</f>
        <v>LC</v>
      </c>
      <c r="AH4858" s="4" t="str">
        <f>HYPERLINK("#Statut_biogéographique!A"&amp;_xlfn.XMATCH("P",Statut_biogéographique!A:A,2,1),"P")</f>
        <v>P</v>
      </c>
      <c r="AP4858" s="4" t="s">
        <v>376</v>
      </c>
      <c r="AR4858" s="4" t="s">
        <v>377</v>
      </c>
    </row>
    <row r="4859" spans="1:44" ht="30">
      <c r="A4859" s="4" t="s">
        <v>5</v>
      </c>
      <c r="B4859" s="4">
        <v>37862</v>
      </c>
      <c r="D4859" s="5" t="s">
        <v>7128</v>
      </c>
      <c r="E4859" s="6" t="str">
        <f>HYPERLINK("https://inpn.mnhn.fr/espece/cd_nom/37862","Psathyrella tephrophylla (Romagn.) M.M.Moser, 1955")</f>
        <v>Psathyrella tephrophylla (Romagn.) M.M.Moser, 1955</v>
      </c>
      <c r="V4859" s="7" t="str">
        <f>HYPERLINK("#Liste_rouge!A"&amp;_xlfn.XMATCH("NT",Liste_rouge!A:A,2,1),"NT")</f>
        <v>NT</v>
      </c>
      <c r="W4859" s="4" t="str">
        <f>HYPERLINK("#Critères_liste_rouge!A$1","pr. B2abiii")</f>
        <v>pr. B2abiii</v>
      </c>
      <c r="AH4859" s="4" t="str">
        <f>HYPERLINK("#Statut_biogéographique!A"&amp;_xlfn.XMATCH("P",Statut_biogéographique!A:A,2,1),"P")</f>
        <v>P</v>
      </c>
      <c r="AP4859" s="4" t="s">
        <v>376</v>
      </c>
      <c r="AR4859" s="4" t="s">
        <v>377</v>
      </c>
    </row>
    <row r="4860" spans="1:44" ht="30">
      <c r="A4860" s="4" t="s">
        <v>5</v>
      </c>
      <c r="B4860" s="4">
        <v>37870</v>
      </c>
      <c r="D4860" s="5" t="s">
        <v>7129</v>
      </c>
      <c r="E4860" s="6" t="str">
        <f>HYPERLINK("https://inpn.mnhn.fr/espece/cd_nom/37870","Psathyrella typhae (Kalchbr.) A.Pearson &amp; Dennis, 1948")</f>
        <v>Psathyrella typhae (Kalchbr.) A.Pearson &amp; Dennis, 1948</v>
      </c>
      <c r="V4860" s="7" t="str">
        <f>HYPERLINK("#Liste_rouge!A"&amp;_xlfn.XMATCH("DD",Liste_rouge!A:A,2,1),"DD")</f>
        <v>DD</v>
      </c>
      <c r="AH4860" s="4" t="str">
        <f>HYPERLINK("#Statut_biogéographique!A"&amp;_xlfn.XMATCH("P",Statut_biogéographique!A:A,2,1),"P")</f>
        <v>P</v>
      </c>
      <c r="AP4860" s="4" t="s">
        <v>376</v>
      </c>
      <c r="AR4860" s="4" t="s">
        <v>377</v>
      </c>
    </row>
    <row r="4861" spans="1:44">
      <c r="A4861" s="4" t="s">
        <v>5</v>
      </c>
      <c r="B4861" s="4">
        <v>37875</v>
      </c>
      <c r="D4861" s="5">
        <v>37875</v>
      </c>
      <c r="E4861" s="6" t="str">
        <f>HYPERLINK("https://inpn.mnhn.fr/espece/cd_nom/37875","Psathyrella umbrina Kits van Wav., 1982")</f>
        <v>Psathyrella umbrina Kits van Wav., 1982</v>
      </c>
      <c r="AH4861" s="4" t="str">
        <f>HYPERLINK("#Statut_biogéographique!A"&amp;_xlfn.XMATCH("P",Statut_biogéographique!A:A,2,1),"P")</f>
        <v>P</v>
      </c>
      <c r="AP4861" s="4" t="s">
        <v>376</v>
      </c>
      <c r="AR4861" s="4" t="s">
        <v>377</v>
      </c>
    </row>
    <row r="4862" spans="1:44" ht="30">
      <c r="A4862" s="4" t="s">
        <v>5</v>
      </c>
      <c r="B4862" s="4">
        <v>37899</v>
      </c>
      <c r="C4862" s="4">
        <v>4453</v>
      </c>
      <c r="D4862" s="5" t="s">
        <v>7130</v>
      </c>
      <c r="E4862" s="6" t="str">
        <f>HYPERLINK("https://inpn.mnhn.fr/espece/cd_nom/37899","Agaricus altipes (F.H.Møller) F.H.Møller, 1951")</f>
        <v>Agaricus altipes (F.H.Møller) F.H.Møller, 1951</v>
      </c>
      <c r="F4862" s="5" t="s">
        <v>7131</v>
      </c>
      <c r="V4862" s="7" t="str">
        <f>HYPERLINK("#Liste_rouge!A"&amp;_xlfn.XMATCH("DD",Liste_rouge!A:A,2,1),"DD")</f>
        <v>DD</v>
      </c>
      <c r="Z4862" s="4" t="s">
        <v>447</v>
      </c>
      <c r="AA4862" s="4" t="s">
        <v>448</v>
      </c>
      <c r="AH4862" s="4" t="str">
        <f>HYPERLINK("#Statut_biogéographique!A"&amp;_xlfn.XMATCH("P",Statut_biogéographique!A:A,2,1),"P")</f>
        <v>P</v>
      </c>
      <c r="AP4862" s="4" t="s">
        <v>376</v>
      </c>
      <c r="AR4862" s="4" t="s">
        <v>377</v>
      </c>
    </row>
    <row r="4863" spans="1:44">
      <c r="A4863" s="4" t="s">
        <v>5</v>
      </c>
      <c r="B4863" s="4">
        <v>37905</v>
      </c>
      <c r="C4863" s="4">
        <v>24</v>
      </c>
      <c r="D4863" s="5" t="s">
        <v>7132</v>
      </c>
      <c r="E4863" s="6" t="str">
        <f>HYPERLINK("https://inpn.mnhn.fr/espece/cd_nom/37905","Agaricus arvensis Schaeff., 1774")</f>
        <v>Agaricus arvensis Schaeff., 1774</v>
      </c>
      <c r="F4863" s="5" t="s">
        <v>7133</v>
      </c>
      <c r="O4863" s="7" t="str">
        <f>HYPERLINK("#Liste_rouge!A"&amp;_xlfn.XMATCH("LC",Liste_rouge!A:A,2,1),"LC")</f>
        <v>LC</v>
      </c>
      <c r="V4863" s="7" t="str">
        <f>HYPERLINK("#Liste_rouge!A"&amp;_xlfn.XMATCH("VU",Liste_rouge!A:A,2,1),"VU")</f>
        <v>VU</v>
      </c>
      <c r="W4863" s="4" t="str">
        <f>HYPERLINK("#Critères_liste_rouge!A$1","A2c")</f>
        <v>A2c</v>
      </c>
      <c r="Z4863" s="4" t="s">
        <v>443</v>
      </c>
      <c r="AA4863" s="4" t="s">
        <v>444</v>
      </c>
      <c r="AH4863" s="4" t="str">
        <f>HYPERLINK("#Statut_biogéographique!A"&amp;_xlfn.XMATCH("P",Statut_biogéographique!A:A,2,1),"P")</f>
        <v>P</v>
      </c>
      <c r="AP4863" s="4" t="s">
        <v>376</v>
      </c>
      <c r="AR4863" s="4" t="s">
        <v>377</v>
      </c>
    </row>
    <row r="4864" spans="1:44" ht="45">
      <c r="A4864" s="4" t="s">
        <v>5</v>
      </c>
      <c r="B4864" s="4">
        <v>37926</v>
      </c>
      <c r="C4864" s="4">
        <v>1624</v>
      </c>
      <c r="D4864" s="5" t="s">
        <v>7134</v>
      </c>
      <c r="E4864" s="6" t="str">
        <f>HYPERLINK("https://inpn.mnhn.fr/espece/cd_nom/37926","Agaricus bitorquis (Quél.) Sacc., 1887")</f>
        <v>Agaricus bitorquis (Quél.) Sacc., 1887</v>
      </c>
      <c r="F4864" s="5" t="s">
        <v>7135</v>
      </c>
      <c r="O4864" s="7" t="str">
        <f>HYPERLINK("#Liste_rouge!A"&amp;_xlfn.XMATCH("LC",Liste_rouge!A:A,2,1),"LC")</f>
        <v>LC</v>
      </c>
      <c r="V4864" s="7" t="str">
        <f>HYPERLINK("#Liste_rouge!A"&amp;_xlfn.XMATCH("LC",Liste_rouge!A:A,2,1),"LC")</f>
        <v>LC</v>
      </c>
      <c r="AH4864" s="4" t="str">
        <f>HYPERLINK("#Statut_biogéographique!A"&amp;_xlfn.XMATCH("P",Statut_biogéographique!A:A,2,1),"P")</f>
        <v>P</v>
      </c>
      <c r="AP4864" s="4" t="s">
        <v>376</v>
      </c>
      <c r="AR4864" s="4" t="s">
        <v>377</v>
      </c>
    </row>
    <row r="4865" spans="1:44" ht="30">
      <c r="A4865" s="4" t="s">
        <v>5</v>
      </c>
      <c r="B4865" s="4">
        <v>37931</v>
      </c>
      <c r="C4865" s="4">
        <v>2848</v>
      </c>
      <c r="D4865" s="5" t="s">
        <v>7136</v>
      </c>
      <c r="E4865" s="6" t="str">
        <f>HYPERLINK("https://inpn.mnhn.fr/espece/cd_nom/37931","Agaricus bohusii Bon, 1983")</f>
        <v>Agaricus bohusii Bon, 1983</v>
      </c>
      <c r="F4865" s="5" t="s">
        <v>7137</v>
      </c>
      <c r="V4865" s="7" t="str">
        <f>HYPERLINK("#Liste_rouge!A"&amp;_xlfn.XMATCH("EN",Liste_rouge!A:A,2,1),"EN")</f>
        <v>EN</v>
      </c>
      <c r="W4865" s="4" t="str">
        <f>HYPERLINK("#Critères_liste_rouge!A$1","B2abiii")</f>
        <v>B2abiii</v>
      </c>
      <c r="Z4865" s="4" t="s">
        <v>447</v>
      </c>
      <c r="AA4865" s="4" t="s">
        <v>448</v>
      </c>
      <c r="AH4865" s="4" t="str">
        <f>HYPERLINK("#Statut_biogéographique!A"&amp;_xlfn.XMATCH("P",Statut_biogéographique!A:A,2,1),"P")</f>
        <v>P</v>
      </c>
      <c r="AP4865" s="4" t="s">
        <v>376</v>
      </c>
      <c r="AR4865" s="4" t="s">
        <v>377</v>
      </c>
    </row>
    <row r="4866" spans="1:44" ht="30">
      <c r="A4866" s="4" t="s">
        <v>5</v>
      </c>
      <c r="B4866" s="4">
        <v>37936</v>
      </c>
      <c r="C4866" s="4">
        <v>3939</v>
      </c>
      <c r="D4866" s="5" t="s">
        <v>7138</v>
      </c>
      <c r="E4866" s="6" t="str">
        <f>HYPERLINK("https://inpn.mnhn.fr/espece/cd_nom/37936","Agaricus bresadolanus Bohus, 1969")</f>
        <v>Agaricus bresadolanus Bohus, 1969</v>
      </c>
      <c r="F4866" s="5" t="s">
        <v>7139</v>
      </c>
      <c r="V4866" s="7" t="str">
        <f>HYPERLINK("#Liste_rouge!A"&amp;_xlfn.XMATCH("EN",Liste_rouge!A:A,2,1),"EN")</f>
        <v>EN</v>
      </c>
      <c r="W4866" s="4" t="str">
        <f>HYPERLINK("#Critères_liste_rouge!A$1","B2abiii")</f>
        <v>B2abiii</v>
      </c>
      <c r="Z4866" s="4" t="s">
        <v>447</v>
      </c>
      <c r="AA4866" s="4" t="s">
        <v>448</v>
      </c>
      <c r="AH4866" s="4" t="str">
        <f>HYPERLINK("#Statut_biogéographique!A"&amp;_xlfn.XMATCH("P",Statut_biogéographique!A:A,2,1),"P")</f>
        <v>P</v>
      </c>
      <c r="AP4866" s="4" t="s">
        <v>376</v>
      </c>
      <c r="AR4866" s="4" t="s">
        <v>377</v>
      </c>
    </row>
    <row r="4867" spans="1:44" ht="30">
      <c r="A4867" s="4" t="s">
        <v>5</v>
      </c>
      <c r="B4867" s="4">
        <v>37939</v>
      </c>
      <c r="C4867" s="4">
        <v>223</v>
      </c>
      <c r="D4867" s="5" t="s">
        <v>7140</v>
      </c>
      <c r="E4867" s="6" t="str">
        <f>HYPERLINK("https://inpn.mnhn.fr/espece/cd_nom/37939","Agaricus bisporus (J.E.Lange) Imbach, 1946")</f>
        <v>Agaricus bisporus (J.E.Lange) Imbach, 1946</v>
      </c>
      <c r="F4867" s="5" t="s">
        <v>7141</v>
      </c>
      <c r="V4867" s="7" t="str">
        <f>HYPERLINK("#Liste_rouge!A"&amp;_xlfn.XMATCH("VU",Liste_rouge!A:A,2,1),"VU")</f>
        <v>VU</v>
      </c>
      <c r="W4867" s="4" t="str">
        <f>HYPERLINK("#Critères_liste_rouge!A$1","A2c")</f>
        <v>A2c</v>
      </c>
      <c r="Z4867" s="4" t="s">
        <v>443</v>
      </c>
      <c r="AA4867" s="4" t="s">
        <v>444</v>
      </c>
      <c r="AH4867" s="4" t="str">
        <f>HYPERLINK("#Statut_biogéographique!A"&amp;_xlfn.XMATCH("P",Statut_biogéographique!A:A,2,1),"P")</f>
        <v>P</v>
      </c>
      <c r="AP4867" s="4" t="s">
        <v>376</v>
      </c>
      <c r="AR4867" s="4" t="s">
        <v>377</v>
      </c>
    </row>
    <row r="4868" spans="1:44">
      <c r="A4868" s="4" t="s">
        <v>5</v>
      </c>
      <c r="B4868" s="4">
        <v>37953</v>
      </c>
      <c r="C4868" s="4">
        <v>612</v>
      </c>
      <c r="D4868" s="5" t="s">
        <v>7142</v>
      </c>
      <c r="E4868" s="6" t="str">
        <f>HYPERLINK("https://inpn.mnhn.fr/espece/cd_nom/37953","Agaricus comtulus Fr., 1838")</f>
        <v>Agaricus comtulus Fr., 1838</v>
      </c>
      <c r="F4868" s="5" t="s">
        <v>7143</v>
      </c>
      <c r="V4868" s="7" t="str">
        <f>HYPERLINK("#Liste_rouge!A"&amp;_xlfn.XMATCH("VU",Liste_rouge!A:A,2,1),"VU")</f>
        <v>VU</v>
      </c>
      <c r="W4868" s="4" t="str">
        <f>HYPERLINK("#Critères_liste_rouge!A$1","A2c")</f>
        <v>A2c</v>
      </c>
      <c r="Z4868" s="4" t="s">
        <v>443</v>
      </c>
      <c r="AA4868" s="4" t="s">
        <v>444</v>
      </c>
      <c r="AH4868" s="4" t="str">
        <f>HYPERLINK("#Statut_biogéographique!A"&amp;_xlfn.XMATCH("P",Statut_biogéographique!A:A,2,1),"P")</f>
        <v>P</v>
      </c>
      <c r="AP4868" s="4" t="s">
        <v>376</v>
      </c>
      <c r="AR4868" s="4" t="s">
        <v>377</v>
      </c>
    </row>
    <row r="4869" spans="1:44" ht="30">
      <c r="A4869" s="4" t="s">
        <v>5</v>
      </c>
      <c r="B4869" s="4">
        <v>37956</v>
      </c>
      <c r="C4869" s="4">
        <v>964</v>
      </c>
      <c r="D4869" s="5" t="s">
        <v>7144</v>
      </c>
      <c r="E4869" s="6" t="str">
        <f>HYPERLINK("https://inpn.mnhn.fr/espece/cd_nom/37956","Agaricus cupreobrunneus (Jul.Schäff. &amp; Steer) Pilát, 1951")</f>
        <v>Agaricus cupreobrunneus (Jul.Schäff. &amp; Steer) Pilát, 1951</v>
      </c>
      <c r="F4869" s="5" t="s">
        <v>7145</v>
      </c>
      <c r="V4869" s="7" t="str">
        <f>HYPERLINK("#Liste_rouge!A"&amp;_xlfn.XMATCH("EN",Liste_rouge!A:A,2,1),"EN")</f>
        <v>EN</v>
      </c>
      <c r="W4869" s="4" t="str">
        <f>HYPERLINK("#Critères_liste_rouge!A$1","B2abiii")</f>
        <v>B2abiii</v>
      </c>
      <c r="Z4869" s="4" t="s">
        <v>447</v>
      </c>
      <c r="AA4869" s="4" t="s">
        <v>448</v>
      </c>
      <c r="AH4869" s="4" t="str">
        <f>HYPERLINK("#Statut_biogéographique!A"&amp;_xlfn.XMATCH("P",Statut_biogéographique!A:A,2,1),"P")</f>
        <v>P</v>
      </c>
      <c r="AP4869" s="4" t="s">
        <v>376</v>
      </c>
      <c r="AR4869" s="4" t="s">
        <v>377</v>
      </c>
    </row>
    <row r="4870" spans="1:44" ht="30">
      <c r="A4870" s="4" t="s">
        <v>5</v>
      </c>
      <c r="B4870" s="4">
        <v>37972</v>
      </c>
      <c r="C4870" s="4">
        <v>35</v>
      </c>
      <c r="D4870" s="5" t="s">
        <v>7146</v>
      </c>
      <c r="E4870" s="6" t="str">
        <f>HYPERLINK("https://inpn.mnhn.fr/espece/cd_nom/37972","Agaricus essettei Bon, 1983")</f>
        <v>Agaricus essettei Bon, 1983</v>
      </c>
      <c r="F4870" s="5" t="s">
        <v>7147</v>
      </c>
      <c r="V4870" s="7" t="str">
        <f>HYPERLINK("#Liste_rouge!A"&amp;_xlfn.XMATCH("LC",Liste_rouge!A:A,2,1),"LC")</f>
        <v>LC</v>
      </c>
      <c r="AH4870" s="4" t="str">
        <f>HYPERLINK("#Statut_biogéographique!A"&amp;_xlfn.XMATCH("P",Statut_biogéographique!A:A,2,1),"P")</f>
        <v>P</v>
      </c>
      <c r="AP4870" s="4" t="s">
        <v>376</v>
      </c>
      <c r="AR4870" s="4" t="s">
        <v>377</v>
      </c>
    </row>
    <row r="4871" spans="1:44" ht="30">
      <c r="A4871" s="4" t="s">
        <v>5</v>
      </c>
      <c r="B4871" s="4">
        <v>37976</v>
      </c>
      <c r="C4871" s="4">
        <v>1739</v>
      </c>
      <c r="D4871" s="5" t="s">
        <v>7148</v>
      </c>
      <c r="E4871" s="6" t="str">
        <f>HYPERLINK("https://inpn.mnhn.fr/espece/cd_nom/37976","Agaricus excellens F.H.Møller, 1952")</f>
        <v>Agaricus excellens F.H.Møller, 1952</v>
      </c>
      <c r="F4871" s="5" t="s">
        <v>7149</v>
      </c>
      <c r="V4871" s="7" t="str">
        <f>HYPERLINK("#Liste_rouge!A"&amp;_xlfn.XMATCH("LC",Liste_rouge!A:A,2,1),"LC")</f>
        <v>LC</v>
      </c>
      <c r="AH4871" s="4" t="str">
        <f>HYPERLINK("#Statut_biogéographique!A"&amp;_xlfn.XMATCH("P",Statut_biogéographique!A:A,2,1),"P")</f>
        <v>P</v>
      </c>
      <c r="AP4871" s="4" t="s">
        <v>376</v>
      </c>
      <c r="AR4871" s="4" t="s">
        <v>377</v>
      </c>
    </row>
    <row r="4872" spans="1:44">
      <c r="A4872" s="4" t="s">
        <v>5</v>
      </c>
      <c r="B4872" s="4">
        <v>37994</v>
      </c>
      <c r="C4872" s="4">
        <v>516</v>
      </c>
      <c r="D4872" s="5" t="s">
        <v>7150</v>
      </c>
      <c r="E4872" s="6" t="str">
        <f>HYPERLINK("https://inpn.mnhn.fr/espece/cd_nom/37994","Agaricus heimii Bon, 1985")</f>
        <v>Agaricus heimii Bon, 1985</v>
      </c>
      <c r="F4872" s="5" t="s">
        <v>7151</v>
      </c>
      <c r="V4872" s="7" t="str">
        <f>HYPERLINK("#Liste_rouge!A"&amp;_xlfn.XMATCH("LC",Liste_rouge!A:A,2,1),"LC")</f>
        <v>LC</v>
      </c>
      <c r="AH4872" s="4" t="str">
        <f>HYPERLINK("#Statut_biogéographique!A"&amp;_xlfn.XMATCH("P",Statut_biogéographique!A:A,2,1),"P")</f>
        <v>P</v>
      </c>
      <c r="AP4872" s="4" t="s">
        <v>376</v>
      </c>
      <c r="AR4872" s="4" t="s">
        <v>377</v>
      </c>
    </row>
    <row r="4873" spans="1:44">
      <c r="A4873" s="4" t="s">
        <v>5</v>
      </c>
      <c r="B4873" s="4">
        <v>38005</v>
      </c>
      <c r="C4873" s="4">
        <v>1462</v>
      </c>
      <c r="D4873" s="5">
        <v>38005</v>
      </c>
      <c r="E4873" s="6" t="str">
        <f>HYPERLINK("https://inpn.mnhn.fr/espece/cd_nom/38005","Agaricus langei (F.H.Møller) F.H.Møller, 1952")</f>
        <v>Agaricus langei (F.H.Møller) F.H.Møller, 1952</v>
      </c>
      <c r="F4873" s="5" t="s">
        <v>7152</v>
      </c>
      <c r="V4873" s="7" t="str">
        <f>HYPERLINK("#Liste_rouge!A"&amp;_xlfn.XMATCH("LC",Liste_rouge!A:A,2,1),"LC")</f>
        <v>LC</v>
      </c>
      <c r="W4873" s="4" t="str">
        <f>HYPERLINK("#Critères_liste_rouge!A$1","A2c")</f>
        <v>A2c</v>
      </c>
      <c r="Z4873" s="4" t="s">
        <v>443</v>
      </c>
      <c r="AA4873" s="4" t="s">
        <v>444</v>
      </c>
      <c r="AH4873" s="4" t="str">
        <f>HYPERLINK("#Statut_biogéographique!A"&amp;_xlfn.XMATCH("P",Statut_biogéographique!A:A,2,1),"P")</f>
        <v>P</v>
      </c>
      <c r="AP4873" s="4" t="s">
        <v>376</v>
      </c>
      <c r="AR4873" s="4" t="s">
        <v>377</v>
      </c>
    </row>
    <row r="4874" spans="1:44" ht="30">
      <c r="A4874" s="4" t="s">
        <v>5</v>
      </c>
      <c r="B4874" s="4">
        <v>38011</v>
      </c>
      <c r="C4874" s="4">
        <v>2176</v>
      </c>
      <c r="D4874" s="5" t="s">
        <v>7153</v>
      </c>
      <c r="E4874" s="6" t="str">
        <f>HYPERLINK("https://inpn.mnhn.fr/espece/cd_nom/38011","Agaricus leucotrichus F.H.Møller, 1952")</f>
        <v>Agaricus leucotrichus F.H.Møller, 1952</v>
      </c>
      <c r="F4874" s="5" t="s">
        <v>7154</v>
      </c>
      <c r="V4874" s="7" t="str">
        <f>HYPERLINK("#Liste_rouge!A"&amp;_xlfn.XMATCH("NT",Liste_rouge!A:A,2,1),"NT")</f>
        <v>NT</v>
      </c>
      <c r="W4874" s="4" t="str">
        <f>HYPERLINK("#Critères_liste_rouge!A$1","pr. B2abiii")</f>
        <v>pr. B2abiii</v>
      </c>
      <c r="AH4874" s="4" t="str">
        <f>HYPERLINK("#Statut_biogéographique!A"&amp;_xlfn.XMATCH("P",Statut_biogéographique!A:A,2,1),"P")</f>
        <v>P</v>
      </c>
      <c r="AP4874" s="4" t="s">
        <v>376</v>
      </c>
      <c r="AR4874" s="4" t="s">
        <v>377</v>
      </c>
    </row>
    <row r="4875" spans="1:44">
      <c r="A4875" s="4" t="s">
        <v>5</v>
      </c>
      <c r="B4875" s="4">
        <v>38020</v>
      </c>
      <c r="C4875" s="4">
        <v>1481</v>
      </c>
      <c r="D4875" s="5" t="s">
        <v>7155</v>
      </c>
      <c r="E4875" s="6" t="str">
        <f>HYPERLINK("https://inpn.mnhn.fr/espece/cd_nom/38020","Agaricus macrocarpus F.H.Møller, 1952")</f>
        <v>Agaricus macrocarpus F.H.Møller, 1952</v>
      </c>
      <c r="F4875" s="5" t="s">
        <v>7156</v>
      </c>
      <c r="V4875" s="7" t="str">
        <f>HYPERLINK("#Liste_rouge!A"&amp;_xlfn.XMATCH("LC",Liste_rouge!A:A,2,1),"LC")</f>
        <v>LC</v>
      </c>
      <c r="AH4875" s="4" t="str">
        <f>HYPERLINK("#Statut_biogéographique!A"&amp;_xlfn.XMATCH("P",Statut_biogéographique!A:A,2,1),"P")</f>
        <v>P</v>
      </c>
      <c r="AP4875" s="4" t="s">
        <v>376</v>
      </c>
      <c r="AR4875" s="4" t="s">
        <v>377</v>
      </c>
    </row>
    <row r="4876" spans="1:44">
      <c r="A4876" s="4" t="s">
        <v>5</v>
      </c>
      <c r="B4876" s="4">
        <v>38024</v>
      </c>
      <c r="C4876" s="4">
        <v>1269</v>
      </c>
      <c r="D4876" s="5" t="s">
        <v>7157</v>
      </c>
      <c r="E4876" s="6" t="str">
        <f>HYPERLINK("https://inpn.mnhn.fr/espece/cd_nom/38024","Agaricus maleolens F.H.Møller, 1952")</f>
        <v>Agaricus maleolens F.H.Møller, 1952</v>
      </c>
      <c r="F4876" s="5" t="s">
        <v>7158</v>
      </c>
      <c r="AH4876" s="4" t="str">
        <f>HYPERLINK("#Statut_biogéographique!A"&amp;_xlfn.XMATCH("P",Statut_biogéographique!A:A,2,1),"P")</f>
        <v>P</v>
      </c>
      <c r="AP4876" s="4" t="s">
        <v>376</v>
      </c>
      <c r="AR4876" s="4" t="s">
        <v>377</v>
      </c>
    </row>
    <row r="4877" spans="1:44">
      <c r="A4877" s="4" t="s">
        <v>5</v>
      </c>
      <c r="B4877" s="4">
        <v>38027</v>
      </c>
      <c r="C4877" s="4">
        <v>5156</v>
      </c>
      <c r="D4877" s="5" t="s">
        <v>7159</v>
      </c>
      <c r="E4877" s="6" t="str">
        <f>HYPERLINK("https://inpn.mnhn.fr/espece/cd_nom/38027","Psalliota litoralis Wakef. &amp; A.Pearson, 1946")</f>
        <v>Psalliota litoralis Wakef. &amp; A.Pearson, 1946</v>
      </c>
      <c r="F4877" s="5" t="s">
        <v>6973</v>
      </c>
      <c r="V4877" s="7" t="str">
        <f>HYPERLINK("#Liste_rouge!A"&amp;_xlfn.XMATCH("DD",Liste_rouge!A:A,2,1),"DD")</f>
        <v>DD</v>
      </c>
      <c r="Z4877" s="4" t="s">
        <v>447</v>
      </c>
      <c r="AA4877" s="4" t="s">
        <v>448</v>
      </c>
      <c r="AH4877" s="4" t="str">
        <f>HYPERLINK("#Statut_biogéographique!A"&amp;_xlfn.XMATCH("P",Statut_biogéographique!A:A,2,1),"P")</f>
        <v>P</v>
      </c>
      <c r="AP4877" s="4" t="s">
        <v>376</v>
      </c>
      <c r="AR4877" s="4" t="s">
        <v>377</v>
      </c>
    </row>
    <row r="4878" spans="1:44">
      <c r="A4878" s="4" t="s">
        <v>5</v>
      </c>
      <c r="B4878" s="4">
        <v>38028</v>
      </c>
      <c r="C4878" s="4">
        <v>4047</v>
      </c>
      <c r="D4878" s="5" t="s">
        <v>7160</v>
      </c>
      <c r="E4878" s="6" t="str">
        <f>HYPERLINK("https://inpn.mnhn.fr/espece/cd_nom/38028","Agaricus mediofuscus (F.H.Møller) Pilát, 1951")</f>
        <v>Agaricus mediofuscus (F.H.Møller) Pilát, 1951</v>
      </c>
      <c r="V4878" s="7" t="str">
        <f>HYPERLINK("#Liste_rouge!A"&amp;_xlfn.XMATCH("DD",Liste_rouge!A:A,2,1),"DD")</f>
        <v>DD</v>
      </c>
      <c r="AH4878" s="4" t="str">
        <f>HYPERLINK("#Statut_biogéographique!A"&amp;_xlfn.XMATCH("P",Statut_biogéographique!A:A,2,1),"P")</f>
        <v>P</v>
      </c>
      <c r="AP4878" s="4" t="s">
        <v>376</v>
      </c>
      <c r="AR4878" s="4" t="s">
        <v>377</v>
      </c>
    </row>
    <row r="4879" spans="1:44">
      <c r="A4879" s="4" t="s">
        <v>5</v>
      </c>
      <c r="B4879" s="4">
        <v>38050</v>
      </c>
      <c r="C4879" s="4">
        <v>3880</v>
      </c>
      <c r="D4879" s="5" t="s">
        <v>7161</v>
      </c>
      <c r="E4879" s="6" t="str">
        <f>HYPERLINK("https://inpn.mnhn.fr/espece/cd_nom/38050","Agaricus porphyrizon P.D.Orton, 1960")</f>
        <v>Agaricus porphyrizon P.D.Orton, 1960</v>
      </c>
      <c r="F4879" s="5" t="s">
        <v>7162</v>
      </c>
      <c r="V4879" s="7" t="str">
        <f>HYPERLINK("#Liste_rouge!A"&amp;_xlfn.XMATCH("NT",Liste_rouge!A:A,2,1),"NT")</f>
        <v>NT</v>
      </c>
      <c r="W4879" s="4" t="str">
        <f>HYPERLINK("#Critères_liste_rouge!A$1","pr. A2c")</f>
        <v>pr. A2c</v>
      </c>
      <c r="AH4879" s="4" t="str">
        <f>HYPERLINK("#Statut_biogéographique!A"&amp;_xlfn.XMATCH("P",Statut_biogéographique!A:A,2,1),"P")</f>
        <v>P</v>
      </c>
      <c r="AP4879" s="4" t="s">
        <v>376</v>
      </c>
      <c r="AR4879" s="4" t="s">
        <v>377</v>
      </c>
    </row>
    <row r="4880" spans="1:44">
      <c r="A4880" s="4" t="s">
        <v>5</v>
      </c>
      <c r="B4880" s="4">
        <v>38056</v>
      </c>
      <c r="C4880" s="4">
        <v>6421</v>
      </c>
      <c r="D4880" s="5" t="s">
        <v>7163</v>
      </c>
      <c r="E4880" s="6" t="str">
        <f>HYPERLINK("https://inpn.mnhn.fr/espece/cd_nom/38056","Agaricus porphyrocephalus F.H.Møller, 1952")</f>
        <v>Agaricus porphyrocephalus F.H.Møller, 1952</v>
      </c>
      <c r="F4880" s="5" t="s">
        <v>7164</v>
      </c>
      <c r="AH4880" s="4" t="str">
        <f>HYPERLINK("#Statut_biogéographique!A"&amp;_xlfn.XMATCH("P",Statut_biogéographique!A:A,2,1),"P")</f>
        <v>P</v>
      </c>
      <c r="AP4880" s="4" t="s">
        <v>376</v>
      </c>
      <c r="AR4880" s="4" t="s">
        <v>377</v>
      </c>
    </row>
    <row r="4881" spans="1:44" ht="30">
      <c r="A4881" s="4" t="s">
        <v>5</v>
      </c>
      <c r="B4881" s="4">
        <v>38069</v>
      </c>
      <c r="C4881" s="4">
        <v>5228</v>
      </c>
      <c r="D4881" s="5" t="s">
        <v>7165</v>
      </c>
      <c r="E4881" s="6" t="str">
        <f>HYPERLINK("https://inpn.mnhn.fr/espece/cd_nom/38069","Agaricus pseudopratensis (Bohus) Wasser, 1976")</f>
        <v>Agaricus pseudopratensis (Bohus) Wasser, 1976</v>
      </c>
      <c r="V4881" s="7" t="str">
        <f>HYPERLINK("#Liste_rouge!A"&amp;_xlfn.XMATCH("DD",Liste_rouge!A:A,2,1),"DD")</f>
        <v>DD</v>
      </c>
      <c r="AH4881" s="4" t="str">
        <f>HYPERLINK("#Statut_biogéographique!A"&amp;_xlfn.XMATCH("P",Statut_biogéographique!A:A,2,1),"P")</f>
        <v>P</v>
      </c>
      <c r="AP4881" s="4" t="s">
        <v>376</v>
      </c>
      <c r="AR4881" s="4" t="s">
        <v>377</v>
      </c>
    </row>
    <row r="4882" spans="1:44" ht="30">
      <c r="A4882" s="4" t="s">
        <v>5</v>
      </c>
      <c r="B4882" s="4">
        <v>38071</v>
      </c>
      <c r="C4882" s="4">
        <v>4491</v>
      </c>
      <c r="D4882" s="5" t="s">
        <v>7166</v>
      </c>
      <c r="E4882" s="6" t="str">
        <f>HYPERLINK("https://inpn.mnhn.fr/espece/cd_nom/38071","Agaricus pseudopratensis var. niveus Bohus, 1980")</f>
        <v>Agaricus pseudopratensis var. niveus Bohus, 1980</v>
      </c>
      <c r="AH4882" s="4" t="str">
        <f>HYPERLINK("#Statut_biogéographique!A"&amp;_xlfn.XMATCH("P",Statut_biogéographique!A:A,2,1),"P")</f>
        <v>P</v>
      </c>
      <c r="AP4882" s="4" t="s">
        <v>376</v>
      </c>
      <c r="AR4882" s="4" t="s">
        <v>377</v>
      </c>
    </row>
    <row r="4883" spans="1:44">
      <c r="A4883" s="4" t="s">
        <v>5</v>
      </c>
      <c r="B4883" s="4">
        <v>38072</v>
      </c>
      <c r="C4883" s="4">
        <v>1239</v>
      </c>
      <c r="D4883" s="5" t="s">
        <v>7167</v>
      </c>
      <c r="E4883" s="6" t="str">
        <f>HYPERLINK("https://inpn.mnhn.fr/espece/cd_nom/38072","Agaricus purpurellus F.H.Møller, 1952")</f>
        <v>Agaricus purpurellus F.H.Møller, 1952</v>
      </c>
      <c r="F4883" s="5" t="s">
        <v>7168</v>
      </c>
      <c r="V4883" s="7" t="str">
        <f>HYPERLINK("#Liste_rouge!A"&amp;_xlfn.XMATCH("EN",Liste_rouge!A:A,2,1),"EN")</f>
        <v>EN</v>
      </c>
      <c r="W4883" s="4" t="str">
        <f>HYPERLINK("#Critères_liste_rouge!A$1","B2abiii")</f>
        <v>B2abiii</v>
      </c>
      <c r="Z4883" s="4" t="s">
        <v>447</v>
      </c>
      <c r="AA4883" s="4" t="s">
        <v>448</v>
      </c>
      <c r="AH4883" s="4" t="str">
        <f>HYPERLINK("#Statut_biogéographique!A"&amp;_xlfn.XMATCH("P",Statut_biogéographique!A:A,2,1),"P")</f>
        <v>P</v>
      </c>
      <c r="AP4883" s="4" t="s">
        <v>376</v>
      </c>
      <c r="AR4883" s="4" t="s">
        <v>377</v>
      </c>
    </row>
    <row r="4884" spans="1:44" ht="30">
      <c r="A4884" s="4" t="s">
        <v>5</v>
      </c>
      <c r="B4884" s="4">
        <v>38077</v>
      </c>
      <c r="C4884" s="4">
        <v>159</v>
      </c>
      <c r="D4884" s="5" t="s">
        <v>7169</v>
      </c>
      <c r="E4884" s="6" t="str">
        <f>HYPERLINK("https://inpn.mnhn.fr/espece/cd_nom/38077","Agaricus semotus Fr., 1863")</f>
        <v>Agaricus semotus Fr., 1863</v>
      </c>
      <c r="F4884" s="5" t="s">
        <v>7170</v>
      </c>
      <c r="V4884" s="7" t="str">
        <f>HYPERLINK("#Liste_rouge!A"&amp;_xlfn.XMATCH("LC",Liste_rouge!A:A,2,1),"LC")</f>
        <v>LC</v>
      </c>
      <c r="AH4884" s="4" t="str">
        <f>HYPERLINK("#Statut_biogéographique!A"&amp;_xlfn.XMATCH("P",Statut_biogéographique!A:A,2,1),"P")</f>
        <v>P</v>
      </c>
      <c r="AP4884" s="4" t="s">
        <v>376</v>
      </c>
      <c r="AR4884" s="4" t="s">
        <v>377</v>
      </c>
    </row>
    <row r="4885" spans="1:44" ht="30">
      <c r="A4885" s="4" t="s">
        <v>5</v>
      </c>
      <c r="B4885" s="4">
        <v>38089</v>
      </c>
      <c r="C4885" s="4">
        <v>87</v>
      </c>
      <c r="D4885" s="5" t="s">
        <v>7171</v>
      </c>
      <c r="E4885" s="6" t="str">
        <f>HYPERLINK("https://inpn.mnhn.fr/espece/cd_nom/38089","Agaricus silvicola (Vittad.) Peck, 1872")</f>
        <v>Agaricus silvicola (Vittad.) Peck, 1872</v>
      </c>
      <c r="F4885" s="5" t="s">
        <v>7172</v>
      </c>
      <c r="V4885" s="7" t="str">
        <f>HYPERLINK("#Liste_rouge!A"&amp;_xlfn.XMATCH("LC",Liste_rouge!A:A,2,1),"LC")</f>
        <v>LC</v>
      </c>
      <c r="AH4885" s="4" t="str">
        <f>HYPERLINK("#Statut_biogéographique!A"&amp;_xlfn.XMATCH("P",Statut_biogéographique!A:A,2,1),"P")</f>
        <v>P</v>
      </c>
      <c r="AP4885" s="4" t="s">
        <v>376</v>
      </c>
      <c r="AR4885" s="4" t="s">
        <v>377</v>
      </c>
    </row>
    <row r="4886" spans="1:44">
      <c r="A4886" s="4" t="s">
        <v>5</v>
      </c>
      <c r="B4886" s="4">
        <v>38092</v>
      </c>
      <c r="C4886" s="4">
        <v>3791</v>
      </c>
      <c r="D4886" s="5" t="s">
        <v>7173</v>
      </c>
      <c r="E4886" s="6" t="str">
        <f>HYPERLINK("https://inpn.mnhn.fr/espece/cd_nom/38092","Agaricus spissicaulis F.H.Møller, 1952")</f>
        <v>Agaricus spissicaulis F.H.Møller, 1952</v>
      </c>
      <c r="F4886" s="5" t="s">
        <v>7174</v>
      </c>
      <c r="V4886" s="7" t="str">
        <f>HYPERLINK("#Liste_rouge!A"&amp;_xlfn.XMATCH("DD",Liste_rouge!A:A,2,1),"DD")</f>
        <v>DD</v>
      </c>
      <c r="Z4886" s="4" t="s">
        <v>447</v>
      </c>
      <c r="AA4886" s="4" t="s">
        <v>448</v>
      </c>
      <c r="AH4886" s="4" t="str">
        <f>HYPERLINK("#Statut_biogéographique!A"&amp;_xlfn.XMATCH("P",Statut_biogéographique!A:A,2,1),"P")</f>
        <v>P</v>
      </c>
      <c r="AP4886" s="4" t="s">
        <v>376</v>
      </c>
      <c r="AR4886" s="4" t="s">
        <v>377</v>
      </c>
    </row>
    <row r="4887" spans="1:44">
      <c r="A4887" s="4" t="s">
        <v>5</v>
      </c>
      <c r="B4887" s="4">
        <v>38095</v>
      </c>
      <c r="C4887" s="4">
        <v>2803</v>
      </c>
      <c r="D4887" s="5" t="s">
        <v>7175</v>
      </c>
      <c r="E4887" s="6" t="str">
        <f>HYPERLINK("https://inpn.mnhn.fr/espece/cd_nom/38095","Agaricus squamulifer (F.H.Møller) Pilát, 1951")</f>
        <v>Agaricus squamulifer (F.H.Møller) Pilát, 1951</v>
      </c>
      <c r="F4887" s="5" t="s">
        <v>7176</v>
      </c>
      <c r="V4887" s="7" t="str">
        <f>HYPERLINK("#Liste_rouge!A"&amp;_xlfn.XMATCH("EN",Liste_rouge!A:A,2,1),"EN")</f>
        <v>EN</v>
      </c>
      <c r="W4887" s="4" t="str">
        <f>HYPERLINK("#Critères_liste_rouge!A$1","B2abiii")</f>
        <v>B2abiii</v>
      </c>
      <c r="Z4887" s="4" t="s">
        <v>447</v>
      </c>
      <c r="AA4887" s="4" t="s">
        <v>448</v>
      </c>
      <c r="AH4887" s="4" t="str">
        <f>HYPERLINK("#Statut_biogéographique!A"&amp;_xlfn.XMATCH("P",Statut_biogéographique!A:A,2,1),"P")</f>
        <v>P</v>
      </c>
      <c r="AP4887" s="4" t="s">
        <v>376</v>
      </c>
      <c r="AR4887" s="4" t="s">
        <v>377</v>
      </c>
    </row>
    <row r="4888" spans="1:44" ht="30">
      <c r="A4888" s="4" t="s">
        <v>5</v>
      </c>
      <c r="B4888" s="4">
        <v>38103</v>
      </c>
      <c r="C4888" s="4">
        <v>5431</v>
      </c>
      <c r="D4888" s="5" t="s">
        <v>7177</v>
      </c>
      <c r="E4888" s="6" t="str">
        <f>HYPERLINK("https://inpn.mnhn.fr/espece/cd_nom/38103","Agaricus subfloccosus (J.E.Lange) Hlaváček, 1951")</f>
        <v>Agaricus subfloccosus (J.E.Lange) Hlaváček, 1951</v>
      </c>
      <c r="F4888" s="5" t="s">
        <v>7178</v>
      </c>
      <c r="V4888" s="7" t="str">
        <f>HYPERLINK("#Liste_rouge!A"&amp;_xlfn.XMATCH("DD",Liste_rouge!A:A,2,1),"DD")</f>
        <v>DD</v>
      </c>
      <c r="Z4888" s="4" t="s">
        <v>447</v>
      </c>
      <c r="AA4888" s="4" t="s">
        <v>448</v>
      </c>
      <c r="AH4888" s="4" t="str">
        <f>HYPERLINK("#Statut_biogéographique!A"&amp;_xlfn.XMATCH("P",Statut_biogéographique!A:A,2,1),"P")</f>
        <v>P</v>
      </c>
      <c r="AP4888" s="4" t="s">
        <v>376</v>
      </c>
      <c r="AR4888" s="4" t="s">
        <v>377</v>
      </c>
    </row>
    <row r="4889" spans="1:44" ht="30">
      <c r="A4889" s="4" t="s">
        <v>5</v>
      </c>
      <c r="B4889" s="4">
        <v>38107</v>
      </c>
      <c r="C4889" s="4">
        <v>3938</v>
      </c>
      <c r="D4889" s="5" t="s">
        <v>7179</v>
      </c>
      <c r="E4889" s="6" t="str">
        <f>HYPERLINK("https://inpn.mnhn.fr/espece/cd_nom/38107","Agaricus subperonatus (J.E.Lange) Singer, 1951")</f>
        <v>Agaricus subperonatus (J.E.Lange) Singer, 1951</v>
      </c>
      <c r="F4889" s="5" t="s">
        <v>7180</v>
      </c>
      <c r="Z4889" s="4" t="s">
        <v>447</v>
      </c>
      <c r="AA4889" s="4" t="s">
        <v>448</v>
      </c>
      <c r="AH4889" s="4" t="str">
        <f>HYPERLINK("#Statut_biogéographique!A"&amp;_xlfn.XMATCH("P",Statut_biogéographique!A:A,2,1),"P")</f>
        <v>P</v>
      </c>
      <c r="AP4889" s="4" t="s">
        <v>376</v>
      </c>
      <c r="AR4889" s="4" t="s">
        <v>377</v>
      </c>
    </row>
    <row r="4890" spans="1:44">
      <c r="A4890" s="4" t="s">
        <v>5</v>
      </c>
      <c r="B4890" s="4">
        <v>38118</v>
      </c>
      <c r="C4890" s="4">
        <v>4749</v>
      </c>
      <c r="D4890" s="5" t="s">
        <v>7181</v>
      </c>
      <c r="E4890" s="6" t="str">
        <f>HYPERLINK("https://inpn.mnhn.fr/espece/cd_nom/38118","Agaricus impudicus (Rea) Pilát, 1951")</f>
        <v>Agaricus impudicus (Rea) Pilát, 1951</v>
      </c>
      <c r="F4890" s="5" t="s">
        <v>7182</v>
      </c>
      <c r="V4890" s="7" t="str">
        <f>HYPERLINK("#Liste_rouge!A"&amp;_xlfn.XMATCH("DD",Liste_rouge!A:A,2,1),"DD")</f>
        <v>DD</v>
      </c>
      <c r="AH4890" s="4" t="str">
        <f>HYPERLINK("#Statut_biogéographique!A"&amp;_xlfn.XMATCH("P",Statut_biogéographique!A:A,2,1),"P")</f>
        <v>P</v>
      </c>
      <c r="AP4890" s="4" t="s">
        <v>376</v>
      </c>
      <c r="AR4890" s="4" t="s">
        <v>377</v>
      </c>
    </row>
    <row r="4891" spans="1:44">
      <c r="A4891" s="4" t="s">
        <v>5</v>
      </c>
      <c r="B4891" s="4">
        <v>38130</v>
      </c>
      <c r="C4891" s="4">
        <v>1738</v>
      </c>
      <c r="D4891" s="5">
        <v>469085</v>
      </c>
      <c r="E4891" s="6" t="str">
        <f>HYPERLINK("https://inpn.mnhn.fr/espece/cd_nom/38130","Agaricus xanthodermus Genev., 1876")</f>
        <v>Agaricus xanthodermus Genev., 1876</v>
      </c>
      <c r="F4891" s="5" t="s">
        <v>7183</v>
      </c>
      <c r="O4891" s="7" t="str">
        <f>HYPERLINK("#Liste_rouge!A"&amp;_xlfn.XMATCH("LC",Liste_rouge!A:A,2,1),"LC")</f>
        <v>LC</v>
      </c>
      <c r="V4891" s="7" t="str">
        <f>HYPERLINK("#Liste_rouge!A"&amp;_xlfn.XMATCH("DD",Liste_rouge!A:A,2,1),"DD")</f>
        <v>DD</v>
      </c>
      <c r="W4891" s="4" t="str">
        <f>HYPERLINK("#Critères_liste_rouge!A$1","A2c")</f>
        <v>A2c</v>
      </c>
      <c r="Z4891" s="4" t="s">
        <v>443</v>
      </c>
      <c r="AA4891" s="4" t="s">
        <v>444</v>
      </c>
      <c r="AH4891" s="4" t="str">
        <f>HYPERLINK("#Statut_biogéographique!A"&amp;_xlfn.XMATCH("P",Statut_biogéographique!A:A,2,1),"P")</f>
        <v>P</v>
      </c>
      <c r="AP4891" s="4" t="s">
        <v>376</v>
      </c>
      <c r="AR4891" s="4" t="s">
        <v>377</v>
      </c>
    </row>
    <row r="4892" spans="1:44" ht="30">
      <c r="A4892" s="4" t="s">
        <v>5</v>
      </c>
      <c r="B4892" s="4">
        <v>38140</v>
      </c>
      <c r="C4892" s="4">
        <v>1660</v>
      </c>
      <c r="D4892" s="5" t="s">
        <v>7184</v>
      </c>
      <c r="E4892" s="6" t="str">
        <f>HYPERLINK("https://inpn.mnhn.fr/espece/cd_nom/38140","Chamaemyces fracidus (Fr.) Donk, 1962")</f>
        <v>Chamaemyces fracidus (Fr.) Donk, 1962</v>
      </c>
      <c r="F4892" s="5" t="s">
        <v>7185</v>
      </c>
      <c r="V4892" s="7" t="str">
        <f>HYPERLINK("#Liste_rouge!A"&amp;_xlfn.XMATCH("NT",Liste_rouge!A:A,2,1),"NT")</f>
        <v>NT</v>
      </c>
      <c r="W4892" s="4" t="str">
        <f>HYPERLINK("#Critères_liste_rouge!A$1","pr. B2abiii")</f>
        <v>pr. B2abiii</v>
      </c>
      <c r="AH4892" s="4" t="str">
        <f>HYPERLINK("#Statut_biogéographique!A"&amp;_xlfn.XMATCH("P",Statut_biogéographique!A:A,2,1),"P")</f>
        <v>P</v>
      </c>
      <c r="AP4892" s="4" t="s">
        <v>376</v>
      </c>
      <c r="AR4892" s="4" t="s">
        <v>377</v>
      </c>
    </row>
    <row r="4893" spans="1:44">
      <c r="A4893" s="4" t="s">
        <v>5</v>
      </c>
      <c r="B4893" s="4">
        <v>38153</v>
      </c>
      <c r="C4893" s="4">
        <v>4504</v>
      </c>
      <c r="D4893" s="5" t="s">
        <v>7186</v>
      </c>
      <c r="E4893" s="6" t="str">
        <f>HYPERLINK("https://inpn.mnhn.fr/espece/cd_nom/38153","Cystoderma ambrosii (Bres.) Singer, 1943")</f>
        <v>Cystoderma ambrosii (Bres.) Singer, 1943</v>
      </c>
      <c r="V4893" s="7" t="str">
        <f>HYPERLINK("#Liste_rouge!A"&amp;_xlfn.XMATCH("DD",Liste_rouge!A:A,2,1),"DD")</f>
        <v>DD</v>
      </c>
      <c r="Z4893" s="4" t="s">
        <v>447</v>
      </c>
      <c r="AA4893" s="4" t="s">
        <v>448</v>
      </c>
      <c r="AH4893" s="4" t="str">
        <f>HYPERLINK("#Statut_biogéographique!A"&amp;_xlfn.XMATCH("P",Statut_biogéographique!A:A,2,1),"P")</f>
        <v>P</v>
      </c>
      <c r="AP4893" s="4" t="s">
        <v>376</v>
      </c>
      <c r="AR4893" s="4" t="s">
        <v>377</v>
      </c>
    </row>
    <row r="4894" spans="1:44" ht="30">
      <c r="A4894" s="4" t="s">
        <v>5</v>
      </c>
      <c r="B4894" s="4">
        <v>38156</v>
      </c>
      <c r="C4894" s="4">
        <v>142</v>
      </c>
      <c r="D4894" s="5" t="s">
        <v>7187</v>
      </c>
      <c r="E4894" s="6" t="str">
        <f>HYPERLINK("https://inpn.mnhn.fr/espece/cd_nom/38156","Cystoderma amianthinum (Scop.) Fayod, 1889")</f>
        <v>Cystoderma amianthinum (Scop.) Fayod, 1889</v>
      </c>
      <c r="F4894" s="5" t="s">
        <v>7188</v>
      </c>
      <c r="V4894" s="7" t="str">
        <f>HYPERLINK("#Liste_rouge!A"&amp;_xlfn.XMATCH("LC",Liste_rouge!A:A,2,1),"LC")</f>
        <v>LC</v>
      </c>
      <c r="AH4894" s="4" t="str">
        <f>HYPERLINK("#Statut_biogéographique!A"&amp;_xlfn.XMATCH("P",Statut_biogéographique!A:A,2,1),"P")</f>
        <v>P</v>
      </c>
      <c r="AP4894" s="4" t="s">
        <v>376</v>
      </c>
      <c r="AR4894" s="4" t="s">
        <v>377</v>
      </c>
    </row>
    <row r="4895" spans="1:44" ht="45">
      <c r="A4895" s="4" t="s">
        <v>5</v>
      </c>
      <c r="B4895" s="4">
        <v>38162</v>
      </c>
      <c r="C4895" s="4">
        <v>142</v>
      </c>
      <c r="D4895" s="5" t="s">
        <v>7189</v>
      </c>
      <c r="E4895" s="6" t="str">
        <f>HYPERLINK("https://inpn.mnhn.fr/espece/cd_nom/38162","Cystoderma amianthinum f. rugosoreticulatum (F.Lorinser) A.H.Sm. &amp; Singer, 1945")</f>
        <v>Cystoderma amianthinum f. rugosoreticulatum (F.Lorinser) A.H.Sm. &amp; Singer, 1945</v>
      </c>
      <c r="F4895" s="5" t="s">
        <v>7188</v>
      </c>
      <c r="V4895" s="7" t="str">
        <f>HYPERLINK("#Liste_rouge!A"&amp;_xlfn.XMATCH("LC",Liste_rouge!A:A,2,1),"LC")</f>
        <v>LC</v>
      </c>
      <c r="AH4895" s="4" t="str">
        <f>HYPERLINK("#Statut_biogéographique!A"&amp;_xlfn.XMATCH("P",Statut_biogéographique!A:A,2,1),"P")</f>
        <v>P</v>
      </c>
      <c r="AP4895" s="4" t="s">
        <v>376</v>
      </c>
      <c r="AR4895" s="4" t="s">
        <v>377</v>
      </c>
    </row>
    <row r="4896" spans="1:44" ht="30">
      <c r="A4896" s="4" t="s">
        <v>5</v>
      </c>
      <c r="B4896" s="4">
        <v>38165</v>
      </c>
      <c r="C4896" s="4">
        <v>730</v>
      </c>
      <c r="D4896" s="5" t="s">
        <v>7190</v>
      </c>
      <c r="E4896" s="6" t="str">
        <f>HYPERLINK("https://inpn.mnhn.fr/espece/cd_nom/38165","Cystoderma carcharias (Pers.) Fayod, 1889")</f>
        <v>Cystoderma carcharias (Pers.) Fayod, 1889</v>
      </c>
      <c r="F4896" s="5" t="s">
        <v>7191</v>
      </c>
      <c r="V4896" s="7" t="str">
        <f>HYPERLINK("#Liste_rouge!A"&amp;_xlfn.XMATCH("LC",Liste_rouge!A:A,2,1),"LC")</f>
        <v>LC</v>
      </c>
      <c r="AH4896" s="4" t="str">
        <f>HYPERLINK("#Statut_biogéographique!A"&amp;_xlfn.XMATCH("P",Statut_biogéographique!A:A,2,1),"P")</f>
        <v>P</v>
      </c>
      <c r="AP4896" s="4" t="s">
        <v>376</v>
      </c>
      <c r="AR4896" s="4" t="s">
        <v>377</v>
      </c>
    </row>
    <row r="4897" spans="1:44">
      <c r="A4897" s="4" t="s">
        <v>5</v>
      </c>
      <c r="B4897" s="4">
        <v>38169</v>
      </c>
      <c r="C4897" s="4">
        <v>382</v>
      </c>
      <c r="D4897" s="5" t="s">
        <v>7192</v>
      </c>
      <c r="E4897" s="6" t="str">
        <f>HYPERLINK("https://inpn.mnhn.fr/espece/cd_nom/38169","Cystoderma fallax A.H.Sm. &amp; Singer, 1945")</f>
        <v>Cystoderma fallax A.H.Sm. &amp; Singer, 1945</v>
      </c>
      <c r="F4897" s="5" t="s">
        <v>7193</v>
      </c>
      <c r="V4897" s="7" t="str">
        <f>HYPERLINK("#Liste_rouge!A"&amp;_xlfn.XMATCH("LC",Liste_rouge!A:A,2,1),"LC")</f>
        <v>LC</v>
      </c>
      <c r="AH4897" s="4" t="str">
        <f>HYPERLINK("#Statut_biogéographique!A"&amp;_xlfn.XMATCH("P",Statut_biogéographique!A:A,2,1),"P")</f>
        <v>P</v>
      </c>
      <c r="AP4897" s="4" t="s">
        <v>376</v>
      </c>
      <c r="AR4897" s="4" t="s">
        <v>377</v>
      </c>
    </row>
    <row r="4898" spans="1:44" ht="30">
      <c r="A4898" s="4" t="s">
        <v>5</v>
      </c>
      <c r="B4898" s="4">
        <v>38170</v>
      </c>
      <c r="C4898" s="4">
        <v>2373</v>
      </c>
      <c r="D4898" s="5" t="s">
        <v>7194</v>
      </c>
      <c r="E4898" s="6" t="str">
        <f>HYPERLINK("https://inpn.mnhn.fr/espece/cd_nom/38170","Cystoderma granulosum (Batsch) Fayod, 1889")</f>
        <v>Cystoderma granulosum (Batsch) Fayod, 1889</v>
      </c>
      <c r="F4898" s="5" t="s">
        <v>7195</v>
      </c>
      <c r="V4898" s="7" t="str">
        <f>HYPERLINK("#Liste_rouge!A"&amp;_xlfn.XMATCH("LC",Liste_rouge!A:A,2,1),"LC")</f>
        <v>LC</v>
      </c>
      <c r="AH4898" s="4" t="str">
        <f>HYPERLINK("#Statut_biogéographique!A"&amp;_xlfn.XMATCH("P",Statut_biogéographique!A:A,2,1),"P")</f>
        <v>P</v>
      </c>
      <c r="AP4898" s="4" t="s">
        <v>376</v>
      </c>
      <c r="AR4898" s="4" t="s">
        <v>377</v>
      </c>
    </row>
    <row r="4899" spans="1:44" ht="30">
      <c r="A4899" s="4" t="s">
        <v>5</v>
      </c>
      <c r="B4899" s="4">
        <v>38174</v>
      </c>
      <c r="C4899" s="4">
        <v>1678</v>
      </c>
      <c r="D4899" s="5" t="s">
        <v>7196</v>
      </c>
      <c r="E4899" s="6" t="str">
        <f>HYPERLINK("https://inpn.mnhn.fr/espece/cd_nom/38174","Cystoderma jasonis (Cooke &amp; Massee) Harmaja, 1978")</f>
        <v>Cystoderma jasonis (Cooke &amp; Massee) Harmaja, 1978</v>
      </c>
      <c r="V4899" s="7" t="str">
        <f>HYPERLINK("#Liste_rouge!A"&amp;_xlfn.XMATCH("LC",Liste_rouge!A:A,2,1),"LC")</f>
        <v>LC</v>
      </c>
      <c r="AH4899" s="4" t="str">
        <f>HYPERLINK("#Statut_biogéographique!A"&amp;_xlfn.XMATCH("P",Statut_biogéographique!A:A,2,1),"P")</f>
        <v>P</v>
      </c>
      <c r="AP4899" s="4" t="s">
        <v>376</v>
      </c>
      <c r="AR4899" s="4" t="s">
        <v>377</v>
      </c>
    </row>
    <row r="4900" spans="1:44">
      <c r="A4900" s="4" t="s">
        <v>5</v>
      </c>
      <c r="B4900" s="4">
        <v>38184</v>
      </c>
      <c r="C4900" s="4">
        <v>4450</v>
      </c>
      <c r="D4900" s="5" t="s">
        <v>7197</v>
      </c>
      <c r="E4900" s="6" t="str">
        <f>HYPERLINK("https://inpn.mnhn.fr/espece/cd_nom/38184","Cystoderma simulatum P.D.Orton, 1960")</f>
        <v>Cystoderma simulatum P.D.Orton, 1960</v>
      </c>
      <c r="V4900" s="7" t="str">
        <f>HYPERLINK("#Liste_rouge!A"&amp;_xlfn.XMATCH("VU",Liste_rouge!A:A,2,1),"VU")</f>
        <v>VU</v>
      </c>
      <c r="W4900" s="4" t="str">
        <f>HYPERLINK("#Critères_liste_rouge!A$1","D2")</f>
        <v>D2</v>
      </c>
      <c r="Z4900" s="4" t="s">
        <v>447</v>
      </c>
      <c r="AA4900" s="4" t="s">
        <v>448</v>
      </c>
      <c r="AH4900" s="4" t="str">
        <f>HYPERLINK("#Statut_biogéographique!A"&amp;_xlfn.XMATCH("P",Statut_biogéographique!A:A,2,1),"P")</f>
        <v>P</v>
      </c>
      <c r="AP4900" s="4" t="s">
        <v>376</v>
      </c>
      <c r="AR4900" s="4" t="s">
        <v>377</v>
      </c>
    </row>
    <row r="4901" spans="1:44">
      <c r="A4901" s="4" t="s">
        <v>5</v>
      </c>
      <c r="B4901" s="4">
        <v>38187</v>
      </c>
      <c r="C4901" s="4">
        <v>2623</v>
      </c>
      <c r="D4901" s="5" t="s">
        <v>7198</v>
      </c>
      <c r="E4901" s="6" t="str">
        <f>HYPERLINK("https://inpn.mnhn.fr/espece/cd_nom/38187","Cystoderma superbum Huijsman, 1956")</f>
        <v>Cystoderma superbum Huijsman, 1956</v>
      </c>
      <c r="F4901" s="5" t="s">
        <v>7199</v>
      </c>
      <c r="V4901" s="7" t="str">
        <f>HYPERLINK("#Liste_rouge!A"&amp;_xlfn.XMATCH("EN",Liste_rouge!A:A,2,1),"EN")</f>
        <v>EN</v>
      </c>
      <c r="W4901" s="4" t="str">
        <f>HYPERLINK("#Critères_liste_rouge!A$1","B2abiii")</f>
        <v>B2abiii</v>
      </c>
      <c r="Z4901" s="4" t="s">
        <v>447</v>
      </c>
      <c r="AA4901" s="4" t="s">
        <v>448</v>
      </c>
      <c r="AH4901" s="4" t="str">
        <f>HYPERLINK("#Statut_biogéographique!A"&amp;_xlfn.XMATCH("P",Statut_biogéographique!A:A,2,1),"P")</f>
        <v>P</v>
      </c>
      <c r="AP4901" s="4" t="s">
        <v>376</v>
      </c>
      <c r="AR4901" s="4" t="s">
        <v>377</v>
      </c>
    </row>
    <row r="4902" spans="1:44" ht="45">
      <c r="A4902" s="4" t="s">
        <v>5</v>
      </c>
      <c r="B4902" s="4">
        <v>38192</v>
      </c>
      <c r="C4902" s="4">
        <v>2006</v>
      </c>
      <c r="D4902" s="5" t="s">
        <v>7200</v>
      </c>
      <c r="E4902" s="6" t="str">
        <f>HYPERLINK("https://inpn.mnhn.fr/espece/cd_nom/38192","Cystoderma cinnabarinum (Alb. &amp; Schwein.) Fayod, 1889")</f>
        <v>Cystoderma cinnabarinum (Alb. &amp; Schwein.) Fayod, 1889</v>
      </c>
      <c r="F4902" s="5" t="s">
        <v>7201</v>
      </c>
      <c r="V4902" s="7" t="str">
        <f>HYPERLINK("#Liste_rouge!A"&amp;_xlfn.XMATCH("NT",Liste_rouge!A:A,2,1),"NT")</f>
        <v>NT</v>
      </c>
      <c r="W4902" s="4" t="str">
        <f>HYPERLINK("#Critères_liste_rouge!A$1","pr. B2abiii")</f>
        <v>pr. B2abiii</v>
      </c>
      <c r="AH4902" s="4" t="str">
        <f>HYPERLINK("#Statut_biogéographique!A"&amp;_xlfn.XMATCH("P",Statut_biogéographique!A:A,2,1),"P")</f>
        <v>P</v>
      </c>
      <c r="AP4902" s="4" t="s">
        <v>376</v>
      </c>
      <c r="AR4902" s="4" t="s">
        <v>377</v>
      </c>
    </row>
    <row r="4903" spans="1:44" ht="30">
      <c r="A4903" s="4" t="s">
        <v>5</v>
      </c>
      <c r="B4903" s="4">
        <v>38196</v>
      </c>
      <c r="C4903" s="4">
        <v>3754</v>
      </c>
      <c r="D4903" s="5" t="s">
        <v>7202</v>
      </c>
      <c r="E4903" s="6" t="str">
        <f>HYPERLINK("https://inpn.mnhn.fr/espece/cd_nom/38196","Cystoderma cinnabarinum var. claricolor Romagn., 1961")</f>
        <v>Cystoderma cinnabarinum var. claricolor Romagn., 1961</v>
      </c>
      <c r="V4903" s="7" t="str">
        <f>HYPERLINK("#Liste_rouge!A"&amp;_xlfn.XMATCH("DD",Liste_rouge!A:A,2,1),"DD")</f>
        <v>DD</v>
      </c>
      <c r="AH4903" s="4" t="str">
        <f>HYPERLINK("#Statut_biogéographique!A"&amp;_xlfn.XMATCH("P",Statut_biogéographique!A:A,2,1),"P")</f>
        <v>P</v>
      </c>
      <c r="AP4903" s="4" t="s">
        <v>376</v>
      </c>
      <c r="AR4903" s="4" t="s">
        <v>377</v>
      </c>
    </row>
    <row r="4904" spans="1:44" ht="30">
      <c r="A4904" s="4" t="s">
        <v>5</v>
      </c>
      <c r="B4904" s="4">
        <v>38201</v>
      </c>
      <c r="C4904" s="4">
        <v>543</v>
      </c>
      <c r="D4904" s="5" t="s">
        <v>7203</v>
      </c>
      <c r="E4904" s="6" t="str">
        <f>HYPERLINK("https://inpn.mnhn.fr/espece/cd_nom/38201","Cystolepiota adulterina (F.H.Møller) Bon, 1977")</f>
        <v>Cystolepiota adulterina (F.H.Møller) Bon, 1977</v>
      </c>
      <c r="F4904" s="5" t="s">
        <v>7204</v>
      </c>
      <c r="V4904" s="7" t="str">
        <f>HYPERLINK("#Liste_rouge!A"&amp;_xlfn.XMATCH("LC",Liste_rouge!A:A,2,1),"LC")</f>
        <v>LC</v>
      </c>
      <c r="AH4904" s="4" t="str">
        <f>HYPERLINK("#Statut_biogéographique!A"&amp;_xlfn.XMATCH("P",Statut_biogéographique!A:A,2,1),"P")</f>
        <v>P</v>
      </c>
      <c r="AP4904" s="4" t="s">
        <v>376</v>
      </c>
      <c r="AR4904" s="4" t="s">
        <v>377</v>
      </c>
    </row>
    <row r="4905" spans="1:44" ht="30">
      <c r="A4905" s="4" t="s">
        <v>5</v>
      </c>
      <c r="B4905" s="4">
        <v>38206</v>
      </c>
      <c r="C4905" s="4">
        <v>5399</v>
      </c>
      <c r="D4905" s="5" t="s">
        <v>7205</v>
      </c>
      <c r="E4905" s="6" t="str">
        <f>HYPERLINK("https://inpn.mnhn.fr/espece/cd_nom/38206","Cystolepiota adulterina var. subadulterina (Bon) Bon, 1993")</f>
        <v>Cystolepiota adulterina var. subadulterina (Bon) Bon, 1993</v>
      </c>
      <c r="V4905" s="7" t="str">
        <f>HYPERLINK("#Liste_rouge!A"&amp;_xlfn.XMATCH("DD",Liste_rouge!A:A,2,1),"DD")</f>
        <v>DD</v>
      </c>
      <c r="AH4905" s="4" t="str">
        <f>HYPERLINK("#Statut_biogéographique!A"&amp;_xlfn.XMATCH("P",Statut_biogéographique!A:A,2,1),"P")</f>
        <v>P</v>
      </c>
      <c r="AP4905" s="4" t="s">
        <v>376</v>
      </c>
      <c r="AR4905" s="4" t="s">
        <v>377</v>
      </c>
    </row>
    <row r="4906" spans="1:44" ht="30">
      <c r="A4906" s="4" t="s">
        <v>5</v>
      </c>
      <c r="B4906" s="4">
        <v>38209</v>
      </c>
      <c r="C4906" s="4">
        <v>254</v>
      </c>
      <c r="D4906" s="5" t="s">
        <v>7206</v>
      </c>
      <c r="E4906" s="6" t="str">
        <f>HYPERLINK("https://inpn.mnhn.fr/espece/cd_nom/38209","Cystolepiota bucknallii (Berk. &amp; Broome) Singer &amp; Clémençon, 1972")</f>
        <v>Cystolepiota bucknallii (Berk. &amp; Broome) Singer &amp; Clémençon, 1972</v>
      </c>
      <c r="F4906" s="5" t="s">
        <v>7207</v>
      </c>
      <c r="V4906" s="7" t="str">
        <f>HYPERLINK("#Liste_rouge!A"&amp;_xlfn.XMATCH("LC",Liste_rouge!A:A,2,1),"LC")</f>
        <v>LC</v>
      </c>
      <c r="AH4906" s="4" t="str">
        <f>HYPERLINK("#Statut_biogéographique!A"&amp;_xlfn.XMATCH("P",Statut_biogéographique!A:A,2,1),"P")</f>
        <v>P</v>
      </c>
      <c r="AP4906" s="4" t="s">
        <v>376</v>
      </c>
      <c r="AR4906" s="4" t="s">
        <v>377</v>
      </c>
    </row>
    <row r="4907" spans="1:44">
      <c r="A4907" s="4" t="s">
        <v>5</v>
      </c>
      <c r="B4907" s="4">
        <v>38219</v>
      </c>
      <c r="C4907" s="4">
        <v>2320</v>
      </c>
      <c r="D4907" s="5" t="s">
        <v>7208</v>
      </c>
      <c r="E4907" s="6" t="str">
        <f>HYPERLINK("https://inpn.mnhn.fr/espece/cd_nom/38219","Cystolepiota hetieri (Boud.) Singer, 1973")</f>
        <v>Cystolepiota hetieri (Boud.) Singer, 1973</v>
      </c>
      <c r="F4907" s="5" t="s">
        <v>3982</v>
      </c>
      <c r="V4907" s="7" t="str">
        <f>HYPERLINK("#Liste_rouge!A"&amp;_xlfn.XMATCH("NT",Liste_rouge!A:A,2,1),"NT")</f>
        <v>NT</v>
      </c>
      <c r="W4907" s="4" t="str">
        <f>HYPERLINK("#Critères_liste_rouge!A$1","pr. B2abiii")</f>
        <v>pr. B2abiii</v>
      </c>
      <c r="AH4907" s="4" t="str">
        <f>HYPERLINK("#Statut_biogéographique!A"&amp;_xlfn.XMATCH("P",Statut_biogéographique!A:A,2,1),"P")</f>
        <v>P</v>
      </c>
      <c r="AP4907" s="4" t="s">
        <v>376</v>
      </c>
      <c r="AR4907" s="4" t="s">
        <v>377</v>
      </c>
    </row>
    <row r="4908" spans="1:44">
      <c r="A4908" s="4" t="s">
        <v>5</v>
      </c>
      <c r="B4908" s="4">
        <v>38225</v>
      </c>
      <c r="C4908" s="4">
        <v>5027</v>
      </c>
      <c r="D4908" s="5" t="s">
        <v>7209</v>
      </c>
      <c r="E4908" s="6" t="str">
        <f>HYPERLINK("https://inpn.mnhn.fr/espece/cd_nom/38225","Cystolepiota langei (Locq.) Bon, 1993")</f>
        <v>Cystolepiota langei (Locq.) Bon, 1993</v>
      </c>
      <c r="F4908" s="5" t="s">
        <v>7210</v>
      </c>
      <c r="V4908" s="7" t="str">
        <f>HYPERLINK("#Liste_rouge!A"&amp;_xlfn.XMATCH("DD",Liste_rouge!A:A,2,1),"DD")</f>
        <v>DD</v>
      </c>
      <c r="AH4908" s="4" t="str">
        <f>HYPERLINK("#Statut_biogéographique!A"&amp;_xlfn.XMATCH("P",Statut_biogéographique!A:A,2,1),"P")</f>
        <v>P</v>
      </c>
      <c r="AP4908" s="4" t="s">
        <v>376</v>
      </c>
      <c r="AR4908" s="4" t="s">
        <v>377</v>
      </c>
    </row>
    <row r="4909" spans="1:44">
      <c r="A4909" s="4" t="s">
        <v>5</v>
      </c>
      <c r="B4909" s="4">
        <v>38238</v>
      </c>
      <c r="C4909" s="4">
        <v>2811</v>
      </c>
      <c r="D4909" s="5" t="s">
        <v>7211</v>
      </c>
      <c r="E4909" s="6" t="str">
        <f>HYPERLINK("https://inpn.mnhn.fr/espece/cd_nom/38238","Cystolepiota moelleri Knudsen, 1978")</f>
        <v>Cystolepiota moelleri Knudsen, 1978</v>
      </c>
      <c r="F4909" s="5" t="s">
        <v>7212</v>
      </c>
      <c r="V4909" s="7" t="str">
        <f>HYPERLINK("#Liste_rouge!A"&amp;_xlfn.XMATCH("EN",Liste_rouge!A:A,2,1),"EN")</f>
        <v>EN</v>
      </c>
      <c r="W4909" s="4" t="str">
        <f>HYPERLINK("#Critères_liste_rouge!A$1","B2abiii")</f>
        <v>B2abiii</v>
      </c>
      <c r="Z4909" s="4" t="s">
        <v>447</v>
      </c>
      <c r="AA4909" s="4" t="s">
        <v>448</v>
      </c>
      <c r="AH4909" s="4" t="str">
        <f>HYPERLINK("#Statut_biogéographique!A"&amp;_xlfn.XMATCH("P",Statut_biogéographique!A:A,2,1),"P")</f>
        <v>P</v>
      </c>
      <c r="AP4909" s="4" t="s">
        <v>376</v>
      </c>
      <c r="AR4909" s="4" t="s">
        <v>377</v>
      </c>
    </row>
    <row r="4910" spans="1:44" ht="30">
      <c r="A4910" s="4" t="s">
        <v>5</v>
      </c>
      <c r="B4910" s="4">
        <v>38241</v>
      </c>
      <c r="C4910" s="4">
        <v>709</v>
      </c>
      <c r="D4910" s="5" t="s">
        <v>7213</v>
      </c>
      <c r="E4910" s="6" t="str">
        <f>HYPERLINK("https://inpn.mnhn.fr/espece/cd_nom/38241","Cystolepiota sistrata (Fr.) Singer ex Bon &amp; Bellù, 1985")</f>
        <v>Cystolepiota sistrata (Fr.) Singer ex Bon &amp; Bellù, 1985</v>
      </c>
      <c r="V4910" s="7" t="str">
        <f>HYPERLINK("#Liste_rouge!A"&amp;_xlfn.XMATCH("EN",Liste_rouge!A:A,2,1),"EN")</f>
        <v>EN</v>
      </c>
      <c r="W4910" s="4" t="str">
        <f>HYPERLINK("#Critères_liste_rouge!A$1","B2abiii")</f>
        <v>B2abiii</v>
      </c>
      <c r="Z4910" s="4" t="s">
        <v>447</v>
      </c>
      <c r="AA4910" s="4" t="s">
        <v>448</v>
      </c>
      <c r="AH4910" s="4" t="str">
        <f>HYPERLINK("#Statut_biogéographique!A"&amp;_xlfn.XMATCH("P",Statut_biogéographique!A:A,2,1),"P")</f>
        <v>P</v>
      </c>
      <c r="AP4910" s="4" t="s">
        <v>376</v>
      </c>
      <c r="AR4910" s="4" t="s">
        <v>377</v>
      </c>
    </row>
    <row r="4911" spans="1:44" ht="30">
      <c r="A4911" s="4" t="s">
        <v>5</v>
      </c>
      <c r="B4911" s="4">
        <v>38242</v>
      </c>
      <c r="C4911" s="4">
        <v>2723</v>
      </c>
      <c r="D4911" s="5" t="s">
        <v>7214</v>
      </c>
      <c r="E4911" s="6" t="str">
        <f>HYPERLINK("https://inpn.mnhn.fr/espece/cd_nom/38242","Cystolepiota seminuda (Lasch) Bon, 1976")</f>
        <v>Cystolepiota seminuda (Lasch) Bon, 1976</v>
      </c>
      <c r="V4911" s="7" t="str">
        <f>HYPERLINK("#Liste_rouge!A"&amp;_xlfn.XMATCH("LC",Liste_rouge!A:A,2,1),"LC")</f>
        <v>LC</v>
      </c>
      <c r="AH4911" s="4" t="str">
        <f>HYPERLINK("#Statut_biogéographique!A"&amp;_xlfn.XMATCH("P",Statut_biogéographique!A:A,2,1),"P")</f>
        <v>P</v>
      </c>
      <c r="AP4911" s="4" t="s">
        <v>376</v>
      </c>
      <c r="AR4911" s="4" t="s">
        <v>377</v>
      </c>
    </row>
    <row r="4912" spans="1:44" ht="30">
      <c r="A4912" s="4" t="s">
        <v>5</v>
      </c>
      <c r="B4912" s="4">
        <v>38251</v>
      </c>
      <c r="C4912" s="4">
        <v>613</v>
      </c>
      <c r="D4912" s="5" t="s">
        <v>7215</v>
      </c>
      <c r="E4912" s="6" t="str">
        <f>HYPERLINK("https://inpn.mnhn.fr/espece/cd_nom/38251","Echinoderma asperum (Pers.) Bon, 1991")</f>
        <v>Echinoderma asperum (Pers.) Bon, 1991</v>
      </c>
      <c r="F4912" s="5" t="s">
        <v>7216</v>
      </c>
      <c r="V4912" s="7" t="str">
        <f>HYPERLINK("#Liste_rouge!A"&amp;_xlfn.XMATCH("LC",Liste_rouge!A:A,2,1),"LC")</f>
        <v>LC</v>
      </c>
      <c r="AH4912" s="4" t="str">
        <f>HYPERLINK("#Statut_biogéographique!A"&amp;_xlfn.XMATCH("P",Statut_biogéographique!A:A,2,1),"P")</f>
        <v>P</v>
      </c>
      <c r="AP4912" s="4" t="s">
        <v>376</v>
      </c>
      <c r="AR4912" s="4" t="s">
        <v>377</v>
      </c>
    </row>
    <row r="4913" spans="1:44">
      <c r="A4913" s="4" t="s">
        <v>5</v>
      </c>
      <c r="B4913" s="4">
        <v>38260</v>
      </c>
      <c r="C4913" s="4">
        <v>3284</v>
      </c>
      <c r="D4913" s="5" t="s">
        <v>7217</v>
      </c>
      <c r="E4913" s="6" t="str">
        <f>HYPERLINK("https://inpn.mnhn.fr/espece/cd_nom/38260","Echinoderma calcicola (Knudsen) Bon, 1991")</f>
        <v>Echinoderma calcicola (Knudsen) Bon, 1991</v>
      </c>
      <c r="F4913" s="5" t="s">
        <v>7218</v>
      </c>
      <c r="V4913" s="7" t="str">
        <f>HYPERLINK("#Liste_rouge!A"&amp;_xlfn.XMATCH("EN",Liste_rouge!A:A,2,1),"EN")</f>
        <v>EN</v>
      </c>
      <c r="W4913" s="4" t="str">
        <f>HYPERLINK("#Critères_liste_rouge!A$1","B2abiii")</f>
        <v>B2abiii</v>
      </c>
      <c r="Z4913" s="4" t="s">
        <v>447</v>
      </c>
      <c r="AA4913" s="4" t="s">
        <v>448</v>
      </c>
      <c r="AH4913" s="4" t="str">
        <f>HYPERLINK("#Statut_biogéographique!A"&amp;_xlfn.XMATCH("P",Statut_biogéographique!A:A,2,1),"P")</f>
        <v>P</v>
      </c>
      <c r="AP4913" s="4" t="s">
        <v>376</v>
      </c>
      <c r="AR4913" s="4" t="s">
        <v>377</v>
      </c>
    </row>
    <row r="4914" spans="1:44">
      <c r="A4914" s="4" t="s">
        <v>5</v>
      </c>
      <c r="B4914" s="4">
        <v>38265</v>
      </c>
      <c r="C4914" s="4">
        <v>6134</v>
      </c>
      <c r="D4914" s="5" t="s">
        <v>7219</v>
      </c>
      <c r="E4914" s="6" t="str">
        <f>HYPERLINK("https://inpn.mnhn.fr/espece/cd_nom/38265","Echinoderma carinii (Bres.) Bon, 1991")</f>
        <v>Echinoderma carinii (Bres.) Bon, 1991</v>
      </c>
      <c r="AH4914" s="4" t="str">
        <f>HYPERLINK("#Statut_biogéographique!A"&amp;_xlfn.XMATCH("P",Statut_biogéographique!A:A,2,1),"P")</f>
        <v>P</v>
      </c>
      <c r="AP4914" s="4" t="s">
        <v>376</v>
      </c>
      <c r="AR4914" s="4" t="s">
        <v>377</v>
      </c>
    </row>
    <row r="4915" spans="1:44" ht="30">
      <c r="A4915" s="4" t="s">
        <v>5</v>
      </c>
      <c r="B4915" s="4">
        <v>38267</v>
      </c>
      <c r="C4915" s="4">
        <v>2906</v>
      </c>
      <c r="D4915" s="5" t="s">
        <v>7220</v>
      </c>
      <c r="E4915" s="6" t="str">
        <f>HYPERLINK("https://inpn.mnhn.fr/espece/cd_nom/38267","Echinoderma echinaceum (J.E.Lange) Bon, 1991")</f>
        <v>Echinoderma echinaceum (J.E.Lange) Bon, 1991</v>
      </c>
      <c r="F4915" s="5" t="s">
        <v>7221</v>
      </c>
      <c r="V4915" s="7" t="str">
        <f>HYPERLINK("#Liste_rouge!A"&amp;_xlfn.XMATCH("LC",Liste_rouge!A:A,2,1),"LC")</f>
        <v>LC</v>
      </c>
      <c r="AH4915" s="4" t="str">
        <f>HYPERLINK("#Statut_biogéographique!A"&amp;_xlfn.XMATCH("P",Statut_biogéographique!A:A,2,1),"P")</f>
        <v>P</v>
      </c>
      <c r="AP4915" s="4" t="s">
        <v>376</v>
      </c>
      <c r="AR4915" s="4" t="s">
        <v>377</v>
      </c>
    </row>
    <row r="4916" spans="1:44" ht="30">
      <c r="A4916" s="4" t="s">
        <v>5</v>
      </c>
      <c r="B4916" s="4">
        <v>38278</v>
      </c>
      <c r="C4916" s="4">
        <v>2361</v>
      </c>
      <c r="D4916" s="5" t="s">
        <v>7222</v>
      </c>
      <c r="E4916" s="6" t="str">
        <f>HYPERLINK("https://inpn.mnhn.fr/espece/cd_nom/38278","Echinoderma friesii (Lasch) Bon, 1993")</f>
        <v>Echinoderma friesii (Lasch) Bon, 1993</v>
      </c>
      <c r="F4916" s="5" t="s">
        <v>7223</v>
      </c>
      <c r="V4916" s="7" t="str">
        <f>HYPERLINK("#Liste_rouge!A"&amp;_xlfn.XMATCH("RE",Liste_rouge!A:A,2,1),"RE")</f>
        <v>RE</v>
      </c>
      <c r="AH4916" s="4" t="str">
        <f>HYPERLINK("#Statut_biogéographique!A"&amp;_xlfn.XMATCH("P",Statut_biogéographique!A:A,2,1),"P")</f>
        <v>P</v>
      </c>
      <c r="AP4916" s="4" t="s">
        <v>376</v>
      </c>
      <c r="AR4916" s="4" t="s">
        <v>377</v>
      </c>
    </row>
    <row r="4917" spans="1:44" ht="30">
      <c r="A4917" s="4" t="s">
        <v>5</v>
      </c>
      <c r="B4917" s="4">
        <v>38280</v>
      </c>
      <c r="C4917" s="4">
        <v>999</v>
      </c>
      <c r="D4917" s="5" t="s">
        <v>7224</v>
      </c>
      <c r="E4917" s="6" t="str">
        <f>HYPERLINK("https://inpn.mnhn.fr/espece/cd_nom/38280","Echinoderma hystrix (F.H.Møller &amp; J.E.Lange) Bon, 1991")</f>
        <v>Echinoderma hystrix (F.H.Møller &amp; J.E.Lange) Bon, 1991</v>
      </c>
      <c r="F4917" s="5" t="s">
        <v>7225</v>
      </c>
      <c r="V4917" s="7" t="str">
        <f>HYPERLINK("#Liste_rouge!A"&amp;_xlfn.XMATCH("LC",Liste_rouge!A:A,2,1),"LC")</f>
        <v>LC</v>
      </c>
      <c r="AH4917" s="4" t="str">
        <f>HYPERLINK("#Statut_biogéographique!A"&amp;_xlfn.XMATCH("P",Statut_biogéographique!A:A,2,1),"P")</f>
        <v>P</v>
      </c>
      <c r="AP4917" s="4" t="s">
        <v>376</v>
      </c>
      <c r="AR4917" s="4" t="s">
        <v>377</v>
      </c>
    </row>
    <row r="4918" spans="1:44" ht="30">
      <c r="A4918" s="4" t="s">
        <v>5</v>
      </c>
      <c r="B4918" s="4">
        <v>38283</v>
      </c>
      <c r="C4918" s="4">
        <v>3285</v>
      </c>
      <c r="D4918" s="5" t="s">
        <v>7226</v>
      </c>
      <c r="E4918" s="6" t="str">
        <f>HYPERLINK("https://inpn.mnhn.fr/espece/cd_nom/38283","Echinoderma perplexum (Knudsen) Bon, 1991")</f>
        <v>Echinoderma perplexum (Knudsen) Bon, 1991</v>
      </c>
      <c r="F4918" s="5" t="s">
        <v>7227</v>
      </c>
      <c r="V4918" s="7" t="str">
        <f>HYPERLINK("#Liste_rouge!A"&amp;_xlfn.XMATCH("DD",Liste_rouge!A:A,2,1),"DD")</f>
        <v>DD</v>
      </c>
      <c r="AH4918" s="4" t="str">
        <f>HYPERLINK("#Statut_biogéographique!A"&amp;_xlfn.XMATCH("P",Statut_biogéographique!A:A,2,1),"P")</f>
        <v>P</v>
      </c>
      <c r="AP4918" s="4" t="s">
        <v>376</v>
      </c>
      <c r="AR4918" s="4" t="s">
        <v>377</v>
      </c>
    </row>
    <row r="4919" spans="1:44">
      <c r="A4919" s="4" t="s">
        <v>5</v>
      </c>
      <c r="B4919" s="4">
        <v>38293</v>
      </c>
      <c r="D4919" s="5" t="s">
        <v>7228</v>
      </c>
      <c r="E4919" s="6" t="str">
        <f>HYPERLINK("https://inpn.mnhn.fr/espece/cd_nom/38293","Lepiota alba (Bres.) Sacc., 1887")</f>
        <v>Lepiota alba (Bres.) Sacc., 1887</v>
      </c>
      <c r="V4919" s="7" t="str">
        <f>HYPERLINK("#Liste_rouge!A"&amp;_xlfn.XMATCH("EN",Liste_rouge!A:A,2,1),"EN")</f>
        <v>EN</v>
      </c>
      <c r="W4919" s="4" t="str">
        <f>HYPERLINK("#Critères_liste_rouge!A$1","A2c")</f>
        <v>A2c</v>
      </c>
      <c r="AH4919" s="4" t="str">
        <f>HYPERLINK("#Statut_biogéographique!A"&amp;_xlfn.XMATCH("P",Statut_biogéographique!A:A,2,1),"P")</f>
        <v>P</v>
      </c>
      <c r="AP4919" s="4" t="s">
        <v>376</v>
      </c>
      <c r="AR4919" s="4" t="s">
        <v>377</v>
      </c>
    </row>
    <row r="4920" spans="1:44">
      <c r="A4920" s="4" t="s">
        <v>5</v>
      </c>
      <c r="B4920" s="4">
        <v>38302</v>
      </c>
      <c r="D4920" s="5" t="s">
        <v>7229</v>
      </c>
      <c r="E4920" s="6" t="str">
        <f>HYPERLINK("https://inpn.mnhn.fr/espece/cd_nom/38302","Lepiota boudieri Bres., 1884")</f>
        <v>Lepiota boudieri Bres., 1884</v>
      </c>
      <c r="V4920" s="7" t="str">
        <f>HYPERLINK("#Liste_rouge!A"&amp;_xlfn.XMATCH("LC",Liste_rouge!A:A,2,1),"LC")</f>
        <v>LC</v>
      </c>
      <c r="AH4920" s="4" t="str">
        <f>HYPERLINK("#Statut_biogéographique!A"&amp;_xlfn.XMATCH("P",Statut_biogéographique!A:A,2,1),"P")</f>
        <v>P</v>
      </c>
      <c r="AP4920" s="4" t="s">
        <v>376</v>
      </c>
      <c r="AR4920" s="4" t="s">
        <v>377</v>
      </c>
    </row>
    <row r="4921" spans="1:44" ht="30">
      <c r="A4921" s="4" t="s">
        <v>5</v>
      </c>
      <c r="B4921" s="4">
        <v>38303</v>
      </c>
      <c r="D4921" s="5" t="s">
        <v>7230</v>
      </c>
      <c r="E4921" s="6" t="str">
        <f>HYPERLINK("https://inpn.mnhn.fr/espece/cd_nom/38303","Lepiota brunneoincarnata Chodat &amp; C.Martín, 1889")</f>
        <v>Lepiota brunneoincarnata Chodat &amp; C.Martín, 1889</v>
      </c>
      <c r="F4921" s="5" t="s">
        <v>4558</v>
      </c>
      <c r="V4921" s="7" t="str">
        <f>HYPERLINK("#Liste_rouge!A"&amp;_xlfn.XMATCH("VU",Liste_rouge!A:A,2,1),"VU")</f>
        <v>VU</v>
      </c>
      <c r="W4921" s="4" t="str">
        <f>HYPERLINK("#Critères_liste_rouge!A$1","A2c")</f>
        <v>A2c</v>
      </c>
      <c r="AH4921" s="4" t="str">
        <f>HYPERLINK("#Statut_biogéographique!A"&amp;_xlfn.XMATCH("P",Statut_biogéographique!A:A,2,1),"P")</f>
        <v>P</v>
      </c>
      <c r="AP4921" s="4" t="s">
        <v>376</v>
      </c>
      <c r="AR4921" s="4" t="s">
        <v>377</v>
      </c>
    </row>
    <row r="4922" spans="1:44">
      <c r="A4922" s="4" t="s">
        <v>5</v>
      </c>
      <c r="B4922" s="4">
        <v>38309</v>
      </c>
      <c r="D4922" s="5">
        <v>38309</v>
      </c>
      <c r="E4922" s="6" t="str">
        <f>HYPERLINK("https://inpn.mnhn.fr/espece/cd_nom/38309","Lepiota castanea Quél., 1881")</f>
        <v>Lepiota castanea Quél., 1881</v>
      </c>
      <c r="F4922" s="5" t="s">
        <v>4660</v>
      </c>
      <c r="V4922" s="7" t="str">
        <f>HYPERLINK("#Liste_rouge!A"&amp;_xlfn.XMATCH("LC",Liste_rouge!A:A,2,1),"LC")</f>
        <v>LC</v>
      </c>
      <c r="AH4922" s="4" t="str">
        <f>HYPERLINK("#Statut_biogéographique!A"&amp;_xlfn.XMATCH("P",Statut_biogéographique!A:A,2,1),"P")</f>
        <v>P</v>
      </c>
      <c r="AP4922" s="4" t="s">
        <v>376</v>
      </c>
      <c r="AR4922" s="4" t="s">
        <v>377</v>
      </c>
    </row>
    <row r="4923" spans="1:44">
      <c r="A4923" s="4" t="s">
        <v>5</v>
      </c>
      <c r="B4923" s="4">
        <v>38310</v>
      </c>
      <c r="D4923" s="5" t="s">
        <v>7231</v>
      </c>
      <c r="E4923" s="6" t="str">
        <f>HYPERLINK("https://inpn.mnhn.fr/espece/cd_nom/38310","Lepiota clypeolaria (Bull.) P.Kumm., 1871")</f>
        <v>Lepiota clypeolaria (Bull.) P.Kumm., 1871</v>
      </c>
      <c r="F4923" s="5" t="s">
        <v>1412</v>
      </c>
      <c r="V4923" s="7" t="str">
        <f>HYPERLINK("#Liste_rouge!A"&amp;_xlfn.XMATCH("LC",Liste_rouge!A:A,2,1),"LC")</f>
        <v>LC</v>
      </c>
      <c r="AH4923" s="4" t="str">
        <f>HYPERLINK("#Statut_biogéographique!A"&amp;_xlfn.XMATCH("P",Statut_biogéographique!A:A,2,1),"P")</f>
        <v>P</v>
      </c>
      <c r="AP4923" s="4" t="s">
        <v>376</v>
      </c>
      <c r="AR4923" s="4" t="s">
        <v>377</v>
      </c>
    </row>
    <row r="4924" spans="1:44" ht="30">
      <c r="A4924" s="4" t="s">
        <v>5</v>
      </c>
      <c r="B4924" s="4">
        <v>38323</v>
      </c>
      <c r="D4924" s="5" t="s">
        <v>7232</v>
      </c>
      <c r="E4924" s="6" t="str">
        <f>HYPERLINK("https://inpn.mnhn.fr/espece/cd_nom/38323","Lepiota cristata (Bolton) P.Kumm., 1871")</f>
        <v>Lepiota cristata (Bolton) P.Kumm., 1871</v>
      </c>
      <c r="F4924" s="5" t="s">
        <v>7233</v>
      </c>
      <c r="V4924" s="7" t="str">
        <f>HYPERLINK("#Liste_rouge!A"&amp;_xlfn.XMATCH("LC",Liste_rouge!A:A,2,1),"LC")</f>
        <v>LC</v>
      </c>
      <c r="AH4924" s="4" t="str">
        <f>HYPERLINK("#Statut_biogéographique!A"&amp;_xlfn.XMATCH("P",Statut_biogéographique!A:A,2,1),"P")</f>
        <v>P</v>
      </c>
      <c r="AP4924" s="4" t="s">
        <v>376</v>
      </c>
      <c r="AR4924" s="4" t="s">
        <v>377</v>
      </c>
    </row>
    <row r="4925" spans="1:44">
      <c r="A4925" s="4" t="s">
        <v>5</v>
      </c>
      <c r="B4925" s="4">
        <v>38327</v>
      </c>
      <c r="D4925" s="5">
        <v>38327</v>
      </c>
      <c r="E4925" s="6" t="str">
        <f>HYPERLINK("https://inpn.mnhn.fr/espece/cd_nom/38327","Lepiota cristata var. pallidior Bon, 1981")</f>
        <v>Lepiota cristata var. pallidior Bon, 1981</v>
      </c>
      <c r="AH4925" s="4" t="str">
        <f>HYPERLINK("#Statut_biogéographique!A"&amp;_xlfn.XMATCH("P",Statut_biogéographique!A:A,2,1),"P")</f>
        <v>P</v>
      </c>
      <c r="AP4925" s="4" t="s">
        <v>376</v>
      </c>
      <c r="AR4925" s="4" t="s">
        <v>377</v>
      </c>
    </row>
    <row r="4926" spans="1:44">
      <c r="A4926" s="4" t="s">
        <v>5</v>
      </c>
      <c r="B4926" s="4">
        <v>38333</v>
      </c>
      <c r="D4926" s="5" t="s">
        <v>7234</v>
      </c>
      <c r="E4926" s="6" t="str">
        <f>HYPERLINK("https://inpn.mnhn.fr/espece/cd_nom/38333","Lepiota erminea (Fr.) P.Kumm., 1871")</f>
        <v>Lepiota erminea (Fr.) P.Kumm., 1871</v>
      </c>
      <c r="V4926" s="7" t="str">
        <f>HYPERLINK("#Liste_rouge!A"&amp;_xlfn.XMATCH("EN",Liste_rouge!A:A,2,1),"EN")</f>
        <v>EN</v>
      </c>
      <c r="W4926" s="4" t="str">
        <f>HYPERLINK("#Critères_liste_rouge!A$1","B2abiii")</f>
        <v>B2abiii</v>
      </c>
      <c r="AH4926" s="4" t="str">
        <f>HYPERLINK("#Statut_biogéographique!A"&amp;_xlfn.XMATCH("P",Statut_biogéographique!A:A,2,1),"P")</f>
        <v>P</v>
      </c>
      <c r="AP4926" s="4" t="s">
        <v>376</v>
      </c>
      <c r="AR4926" s="4" t="s">
        <v>377</v>
      </c>
    </row>
    <row r="4927" spans="1:44">
      <c r="A4927" s="4" t="s">
        <v>5</v>
      </c>
      <c r="B4927" s="4">
        <v>38337</v>
      </c>
      <c r="D4927" s="5" t="s">
        <v>7235</v>
      </c>
      <c r="E4927" s="6" t="str">
        <f>HYPERLINK("https://inpn.mnhn.fr/espece/cd_nom/38337","Lepiota felina (Pers.) P.Karst., 1879")</f>
        <v>Lepiota felina (Pers.) P.Karst., 1879</v>
      </c>
      <c r="V4927" s="7" t="str">
        <f>HYPERLINK("#Liste_rouge!A"&amp;_xlfn.XMATCH("NT",Liste_rouge!A:A,2,1),"NT")</f>
        <v>NT</v>
      </c>
      <c r="W4927" s="4" t="str">
        <f>HYPERLINK("#Critères_liste_rouge!A$1","pr. A2c")</f>
        <v>pr. A2c</v>
      </c>
      <c r="AH4927" s="4" t="str">
        <f>HYPERLINK("#Statut_biogéographique!A"&amp;_xlfn.XMATCH("P",Statut_biogéographique!A:A,2,1),"P")</f>
        <v>P</v>
      </c>
      <c r="AP4927" s="4" t="s">
        <v>376</v>
      </c>
      <c r="AR4927" s="4" t="s">
        <v>377</v>
      </c>
    </row>
    <row r="4928" spans="1:44">
      <c r="A4928" s="4" t="s">
        <v>5</v>
      </c>
      <c r="B4928" s="4">
        <v>38350</v>
      </c>
      <c r="D4928" s="5" t="s">
        <v>7236</v>
      </c>
      <c r="E4928" s="6" t="str">
        <f>HYPERLINK("https://inpn.mnhn.fr/espece/cd_nom/38350","Lepiota grangei (Eyre) Kühner, 1934")</f>
        <v>Lepiota grangei (Eyre) Kühner, 1934</v>
      </c>
      <c r="V4928" s="7" t="str">
        <f>HYPERLINK("#Liste_rouge!A"&amp;_xlfn.XMATCH("EN",Liste_rouge!A:A,2,1),"EN")</f>
        <v>EN</v>
      </c>
      <c r="W4928" s="4" t="str">
        <f>HYPERLINK("#Critères_liste_rouge!A$1","B2abiii")</f>
        <v>B2abiii</v>
      </c>
      <c r="AH4928" s="4" t="str">
        <f>HYPERLINK("#Statut_biogéographique!A"&amp;_xlfn.XMATCH("P",Statut_biogéographique!A:A,2,1),"P")</f>
        <v>P</v>
      </c>
      <c r="AP4928" s="4" t="s">
        <v>376</v>
      </c>
      <c r="AR4928" s="4" t="s">
        <v>377</v>
      </c>
    </row>
    <row r="4929" spans="1:44">
      <c r="A4929" s="4" t="s">
        <v>5</v>
      </c>
      <c r="B4929" s="4">
        <v>38356</v>
      </c>
      <c r="D4929" s="5">
        <v>38356</v>
      </c>
      <c r="E4929" s="6" t="str">
        <f>HYPERLINK("https://inpn.mnhn.fr/espece/cd_nom/38356","Lepiota griseovirens Maire, 1928")</f>
        <v>Lepiota griseovirens Maire, 1928</v>
      </c>
      <c r="V4929" s="7" t="str">
        <f>HYPERLINK("#Liste_rouge!A"&amp;_xlfn.XMATCH("DD",Liste_rouge!A:A,2,1),"DD")</f>
        <v>DD</v>
      </c>
      <c r="AH4929" s="4" t="str">
        <f>HYPERLINK("#Statut_biogéographique!A"&amp;_xlfn.XMATCH("P",Statut_biogéographique!A:A,2,1),"P")</f>
        <v>P</v>
      </c>
      <c r="AP4929" s="4" t="s">
        <v>376</v>
      </c>
      <c r="AR4929" s="4" t="s">
        <v>377</v>
      </c>
    </row>
    <row r="4930" spans="1:44">
      <c r="A4930" s="4" t="s">
        <v>5</v>
      </c>
      <c r="B4930" s="4">
        <v>38359</v>
      </c>
      <c r="D4930" s="5">
        <v>38359</v>
      </c>
      <c r="E4930" s="6" t="str">
        <f>HYPERLINK("https://inpn.mnhn.fr/espece/cd_nom/38359","Lepiota helveola Bres., 1882")</f>
        <v>Lepiota helveola Bres., 1882</v>
      </c>
      <c r="F4930" s="5" t="s">
        <v>7237</v>
      </c>
      <c r="V4930" s="7" t="str">
        <f>HYPERLINK("#Liste_rouge!A"&amp;_xlfn.XMATCH("EN",Liste_rouge!A:A,2,1),"EN")</f>
        <v>EN</v>
      </c>
      <c r="W4930" s="4" t="str">
        <f>HYPERLINK("#Critères_liste_rouge!A$1","B2abiii")</f>
        <v>B2abiii</v>
      </c>
      <c r="AH4930" s="4" t="str">
        <f>HYPERLINK("#Statut_biogéographique!A"&amp;_xlfn.XMATCH("P",Statut_biogéographique!A:A,2,1),"P")</f>
        <v>P</v>
      </c>
      <c r="AP4930" s="4" t="s">
        <v>376</v>
      </c>
      <c r="AR4930" s="4" t="s">
        <v>377</v>
      </c>
    </row>
    <row r="4931" spans="1:44">
      <c r="A4931" s="4" t="s">
        <v>5</v>
      </c>
      <c r="B4931" s="4">
        <v>38365</v>
      </c>
      <c r="D4931" s="5" t="s">
        <v>7238</v>
      </c>
      <c r="E4931" s="6" t="str">
        <f>HYPERLINK("https://inpn.mnhn.fr/espece/cd_nom/38365","Lepiota ignipes Locq. ex Bon, 1978")</f>
        <v>Lepiota ignipes Locq. ex Bon, 1978</v>
      </c>
      <c r="V4931" s="7" t="str">
        <f>HYPERLINK("#Liste_rouge!A"&amp;_xlfn.XMATCH("LC",Liste_rouge!A:A,2,1),"LC")</f>
        <v>LC</v>
      </c>
      <c r="AH4931" s="4" t="str">
        <f>HYPERLINK("#Statut_biogéographique!A"&amp;_xlfn.XMATCH("P",Statut_biogéographique!A:A,2,1),"P")</f>
        <v>P</v>
      </c>
      <c r="AP4931" s="4" t="s">
        <v>376</v>
      </c>
      <c r="AR4931" s="4" t="s">
        <v>377</v>
      </c>
    </row>
    <row r="4932" spans="1:44">
      <c r="A4932" s="4" t="s">
        <v>5</v>
      </c>
      <c r="B4932" s="4">
        <v>38368</v>
      </c>
      <c r="D4932" s="5" t="s">
        <v>7239</v>
      </c>
      <c r="E4932" s="6" t="str">
        <f>HYPERLINK("https://inpn.mnhn.fr/espece/cd_nom/38368","Lepiota ignivolvata Bousset &amp; Joss., 1948")</f>
        <v>Lepiota ignivolvata Bousset &amp; Joss., 1948</v>
      </c>
      <c r="F4932" s="5" t="s">
        <v>7240</v>
      </c>
      <c r="V4932" s="7" t="str">
        <f>HYPERLINK("#Liste_rouge!A"&amp;_xlfn.XMATCH("NT",Liste_rouge!A:A,2,1),"NT")</f>
        <v>NT</v>
      </c>
      <c r="W4932" s="4" t="str">
        <f>HYPERLINK("#Critères_liste_rouge!A$1","pr. B2abiii")</f>
        <v>pr. B2abiii</v>
      </c>
      <c r="AH4932" s="4" t="str">
        <f>HYPERLINK("#Statut_biogéographique!A"&amp;_xlfn.XMATCH("P",Statut_biogéographique!A:A,2,1),"P")</f>
        <v>P</v>
      </c>
      <c r="AP4932" s="4" t="s">
        <v>376</v>
      </c>
      <c r="AR4932" s="4" t="s">
        <v>377</v>
      </c>
    </row>
    <row r="4933" spans="1:44">
      <c r="A4933" s="4" t="s">
        <v>5</v>
      </c>
      <c r="B4933" s="4">
        <v>38374</v>
      </c>
      <c r="D4933" s="5" t="s">
        <v>7241</v>
      </c>
      <c r="E4933" s="6" t="str">
        <f>HYPERLINK("https://inpn.mnhn.fr/espece/cd_nom/38374","Lepiota josserandii Bon &amp; Boiffard, 1974")</f>
        <v>Lepiota josserandii Bon &amp; Boiffard, 1974</v>
      </c>
      <c r="V4933" s="7" t="str">
        <f>HYPERLINK("#Liste_rouge!A"&amp;_xlfn.XMATCH("NT",Liste_rouge!A:A,2,1),"NT")</f>
        <v>NT</v>
      </c>
      <c r="W4933" s="4" t="str">
        <f>HYPERLINK("#Critères_liste_rouge!A$1","pr. B2abiii")</f>
        <v>pr. B2abiii</v>
      </c>
      <c r="AH4933" s="4" t="str">
        <f>HYPERLINK("#Statut_biogéographique!A"&amp;_xlfn.XMATCH("P",Statut_biogéographique!A:A,2,1),"P")</f>
        <v>P</v>
      </c>
      <c r="AP4933" s="4" t="s">
        <v>376</v>
      </c>
      <c r="AR4933" s="4" t="s">
        <v>377</v>
      </c>
    </row>
    <row r="4934" spans="1:44">
      <c r="A4934" s="4" t="s">
        <v>5</v>
      </c>
      <c r="B4934" s="4">
        <v>38379</v>
      </c>
      <c r="D4934" s="5" t="s">
        <v>7242</v>
      </c>
      <c r="E4934" s="6" t="str">
        <f>HYPERLINK("https://inpn.mnhn.fr/espece/cd_nom/38379","Lepiota kuehneriana Locq., 1956")</f>
        <v>Lepiota kuehneriana Locq., 1956</v>
      </c>
      <c r="V4934" s="7" t="str">
        <f>HYPERLINK("#Liste_rouge!A"&amp;_xlfn.XMATCH("LC",Liste_rouge!A:A,2,1),"LC")</f>
        <v>LC</v>
      </c>
      <c r="AH4934" s="4" t="str">
        <f>HYPERLINK("#Statut_biogéographique!A"&amp;_xlfn.XMATCH("P",Statut_biogéographique!A:A,2,1),"P")</f>
        <v>P</v>
      </c>
      <c r="AP4934" s="4" t="s">
        <v>376</v>
      </c>
      <c r="AR4934" s="4" t="s">
        <v>377</v>
      </c>
    </row>
    <row r="4935" spans="1:44">
      <c r="A4935" s="4" t="s">
        <v>5</v>
      </c>
      <c r="B4935" s="4">
        <v>38384</v>
      </c>
      <c r="D4935" s="5">
        <v>38384</v>
      </c>
      <c r="E4935" s="6" t="str">
        <f>HYPERLINK("https://inpn.mnhn.fr/espece/cd_nom/38384","Lepiota oreadiformis Velen., 1920")</f>
        <v>Lepiota oreadiformis Velen., 1920</v>
      </c>
      <c r="AH4935" s="4" t="str">
        <f>HYPERLINK("#Statut_biogéographique!A"&amp;_xlfn.XMATCH("P",Statut_biogéographique!A:A,2,1),"P")</f>
        <v>P</v>
      </c>
      <c r="AP4935" s="4" t="s">
        <v>376</v>
      </c>
      <c r="AR4935" s="4" t="s">
        <v>377</v>
      </c>
    </row>
    <row r="4936" spans="1:44">
      <c r="A4936" s="4" t="s">
        <v>5</v>
      </c>
      <c r="B4936" s="4">
        <v>38389</v>
      </c>
      <c r="D4936" s="5" t="s">
        <v>7243</v>
      </c>
      <c r="E4936" s="6" t="str">
        <f>HYPERLINK("https://inpn.mnhn.fr/espece/cd_nom/38389","Lepiota lilacea Bres., 1892")</f>
        <v>Lepiota lilacea Bres., 1892</v>
      </c>
      <c r="V4936" s="7" t="str">
        <f>HYPERLINK("#Liste_rouge!A"&amp;_xlfn.XMATCH("VU",Liste_rouge!A:A,2,1),"VU")</f>
        <v>VU</v>
      </c>
      <c r="W4936" s="4" t="str">
        <f>HYPERLINK("#Critères_liste_rouge!A$1","A2c")</f>
        <v>A2c</v>
      </c>
      <c r="AH4936" s="4" t="str">
        <f>HYPERLINK("#Statut_biogéographique!A"&amp;_xlfn.XMATCH("P",Statut_biogéographique!A:A,2,1),"P")</f>
        <v>P</v>
      </c>
      <c r="AP4936" s="4" t="s">
        <v>376</v>
      </c>
      <c r="AR4936" s="4" t="s">
        <v>377</v>
      </c>
    </row>
    <row r="4937" spans="1:44" ht="30">
      <c r="A4937" s="4" t="s">
        <v>5</v>
      </c>
      <c r="B4937" s="4">
        <v>38407</v>
      </c>
      <c r="D4937" s="5" t="s">
        <v>7244</v>
      </c>
      <c r="E4937" s="6" t="str">
        <f>HYPERLINK("https://inpn.mnhn.fr/espece/cd_nom/38407","Lepiota ochraceosulfurescens Locq. ex Bon, 1985")</f>
        <v>Lepiota ochraceosulfurescens Locq. ex Bon, 1985</v>
      </c>
      <c r="V4937" s="7" t="str">
        <f>HYPERLINK("#Liste_rouge!A"&amp;_xlfn.XMATCH("LC",Liste_rouge!A:A,2,1),"LC")</f>
        <v>LC</v>
      </c>
      <c r="AH4937" s="4" t="str">
        <f>HYPERLINK("#Statut_biogéographique!A"&amp;_xlfn.XMATCH("P",Statut_biogéographique!A:A,2,1),"P")</f>
        <v>P</v>
      </c>
      <c r="AP4937" s="4" t="s">
        <v>376</v>
      </c>
      <c r="AR4937" s="4" t="s">
        <v>377</v>
      </c>
    </row>
    <row r="4938" spans="1:44">
      <c r="A4938" s="4" t="s">
        <v>5</v>
      </c>
      <c r="B4938" s="4">
        <v>38412</v>
      </c>
      <c r="D4938" s="5" t="s">
        <v>7245</v>
      </c>
      <c r="E4938" s="6" t="str">
        <f>HYPERLINK("https://inpn.mnhn.fr/espece/cd_nom/38412","Lepiota parvannulata (Lasch) Gillet, 1874")</f>
        <v>Lepiota parvannulata (Lasch) Gillet, 1874</v>
      </c>
      <c r="AH4938" s="4" t="str">
        <f>HYPERLINK("#Statut_biogéographique!A"&amp;_xlfn.XMATCH("P",Statut_biogéographique!A:A,2,1),"P")</f>
        <v>P</v>
      </c>
      <c r="AP4938" s="4" t="s">
        <v>376</v>
      </c>
      <c r="AR4938" s="4" t="s">
        <v>377</v>
      </c>
    </row>
    <row r="4939" spans="1:44" ht="30">
      <c r="A4939" s="4" t="s">
        <v>5</v>
      </c>
      <c r="B4939" s="4">
        <v>38416</v>
      </c>
      <c r="D4939" s="5">
        <v>38416</v>
      </c>
      <c r="E4939" s="6" t="str">
        <f>HYPERLINK("https://inpn.mnhn.fr/espece/cd_nom/38416","Lepiota pseudohelveola Kühner ex Hora, 1960")</f>
        <v>Lepiota pseudohelveola Kühner ex Hora, 1960</v>
      </c>
      <c r="V4939" s="7" t="str">
        <f>HYPERLINK("#Liste_rouge!A"&amp;_xlfn.XMATCH("LC",Liste_rouge!A:A,2,1),"LC")</f>
        <v>LC</v>
      </c>
      <c r="AH4939" s="4" t="str">
        <f>HYPERLINK("#Statut_biogéographique!A"&amp;_xlfn.XMATCH("P",Statut_biogéographique!A:A,2,1),"P")</f>
        <v>P</v>
      </c>
      <c r="AP4939" s="4" t="s">
        <v>376</v>
      </c>
      <c r="AR4939" s="4" t="s">
        <v>377</v>
      </c>
    </row>
    <row r="4940" spans="1:44" ht="30">
      <c r="A4940" s="4" t="s">
        <v>5</v>
      </c>
      <c r="B4940" s="4">
        <v>38422</v>
      </c>
      <c r="D4940" s="5" t="s">
        <v>7246</v>
      </c>
      <c r="E4940" s="6" t="str">
        <f>HYPERLINK("https://inpn.mnhn.fr/espece/cd_nom/38422","Lepiota rhodorhiza Romagn. &amp; Locquin ex P.D. Orton")</f>
        <v>Lepiota rhodorhiza Romagn. &amp; Locquin ex P.D. Orton</v>
      </c>
      <c r="AH4940" s="4" t="str">
        <f>HYPERLINK("#Statut_biogéographique!A"&amp;_xlfn.XMATCH("P",Statut_biogéographique!A:A,2,1),"P")</f>
        <v>P</v>
      </c>
      <c r="AP4940" s="4" t="s">
        <v>376</v>
      </c>
      <c r="AR4940" s="4" t="s">
        <v>377</v>
      </c>
    </row>
    <row r="4941" spans="1:44">
      <c r="A4941" s="4" t="s">
        <v>5</v>
      </c>
      <c r="B4941" s="4">
        <v>38429</v>
      </c>
      <c r="D4941" s="5">
        <v>38429</v>
      </c>
      <c r="E4941" s="6" t="str">
        <f>HYPERLINK("https://inpn.mnhn.fr/espece/cd_nom/38429","Lepiota rufipes Morgan, 1906")</f>
        <v>Lepiota rufipes Morgan, 1906</v>
      </c>
      <c r="AH4941" s="4" t="str">
        <f>HYPERLINK("#Statut_biogéographique!A"&amp;_xlfn.XMATCH("P",Statut_biogéographique!A:A,2,1),"P")</f>
        <v>P</v>
      </c>
      <c r="AP4941" s="4" t="s">
        <v>376</v>
      </c>
      <c r="AR4941" s="4" t="s">
        <v>377</v>
      </c>
    </row>
    <row r="4942" spans="1:44">
      <c r="A4942" s="4" t="s">
        <v>5</v>
      </c>
      <c r="B4942" s="4">
        <v>38448</v>
      </c>
      <c r="D4942" s="5" t="s">
        <v>7247</v>
      </c>
      <c r="E4942" s="6" t="str">
        <f>HYPERLINK("https://inpn.mnhn.fr/espece/cd_nom/38448","Lepiota subincarnata J.E.Lange, 1940")</f>
        <v>Lepiota subincarnata J.E.Lange, 1940</v>
      </c>
      <c r="V4942" s="7" t="str">
        <f>HYPERLINK("#Liste_rouge!A"&amp;_xlfn.XMATCH("EN",Liste_rouge!A:A,2,1),"EN")</f>
        <v>EN</v>
      </c>
      <c r="W4942" s="4" t="str">
        <f>HYPERLINK("#Critères_liste_rouge!A$1","B2abiii")</f>
        <v>B2abiii</v>
      </c>
      <c r="AH4942" s="4" t="str">
        <f>HYPERLINK("#Statut_biogéographique!A"&amp;_xlfn.XMATCH("P",Statut_biogéographique!A:A,2,1),"P")</f>
        <v>P</v>
      </c>
      <c r="AP4942" s="4" t="s">
        <v>376</v>
      </c>
      <c r="AR4942" s="4" t="s">
        <v>377</v>
      </c>
    </row>
    <row r="4943" spans="1:44">
      <c r="A4943" s="4" t="s">
        <v>5</v>
      </c>
      <c r="B4943" s="4">
        <v>38450</v>
      </c>
      <c r="D4943" s="5" t="s">
        <v>7248</v>
      </c>
      <c r="E4943" s="6" t="str">
        <f>HYPERLINK("https://inpn.mnhn.fr/espece/cd_nom/38450","Lepiota sublaevigata Bon &amp; Boiffard, 1980")</f>
        <v>Lepiota sublaevigata Bon &amp; Boiffard, 1980</v>
      </c>
      <c r="V4943" s="7" t="str">
        <f>HYPERLINK("#Liste_rouge!A"&amp;_xlfn.XMATCH("EN",Liste_rouge!A:A,2,1),"EN")</f>
        <v>EN</v>
      </c>
      <c r="W4943" s="4" t="str">
        <f>HYPERLINK("#Critères_liste_rouge!A$1","A2c")</f>
        <v>A2c</v>
      </c>
      <c r="AH4943" s="4" t="str">
        <f>HYPERLINK("#Statut_biogéographique!A"&amp;_xlfn.XMATCH("P",Statut_biogéographique!A:A,2,1),"P")</f>
        <v>P</v>
      </c>
      <c r="AP4943" s="4" t="s">
        <v>376</v>
      </c>
      <c r="AR4943" s="4" t="s">
        <v>377</v>
      </c>
    </row>
    <row r="4944" spans="1:44">
      <c r="A4944" s="4" t="s">
        <v>5</v>
      </c>
      <c r="B4944" s="4">
        <v>38454</v>
      </c>
      <c r="D4944" s="5" t="s">
        <v>7249</v>
      </c>
      <c r="E4944" s="6" t="str">
        <f>HYPERLINK("https://inpn.mnhn.fr/espece/cd_nom/38454","Lepiota ventriosospora D.A.Reid, 1958")</f>
        <v>Lepiota ventriosospora D.A.Reid, 1958</v>
      </c>
      <c r="V4944" s="7" t="str">
        <f>HYPERLINK("#Liste_rouge!A"&amp;_xlfn.XMATCH("LC",Liste_rouge!A:A,2,1),"LC")</f>
        <v>LC</v>
      </c>
      <c r="AH4944" s="4" t="str">
        <f>HYPERLINK("#Statut_biogéographique!A"&amp;_xlfn.XMATCH("P",Statut_biogéographique!A:A,2,1),"P")</f>
        <v>P</v>
      </c>
      <c r="AP4944" s="4" t="s">
        <v>376</v>
      </c>
      <c r="AR4944" s="4" t="s">
        <v>377</v>
      </c>
    </row>
    <row r="4945" spans="1:44">
      <c r="A4945" s="4" t="s">
        <v>5</v>
      </c>
      <c r="B4945" s="4">
        <v>38457</v>
      </c>
      <c r="D4945" s="5">
        <v>38457</v>
      </c>
      <c r="E4945" s="6" t="str">
        <f>HYPERLINK("https://inpn.mnhn.fr/espece/cd_nom/38457","Lepiota ventriosospora var. fulva Bon, 1974")</f>
        <v>Lepiota ventriosospora var. fulva Bon, 1974</v>
      </c>
      <c r="AH4945" s="4" t="str">
        <f>HYPERLINK("#Statut_biogéographique!A"&amp;_xlfn.XMATCH("P",Statut_biogéographique!A:A,2,1),"P")</f>
        <v>P</v>
      </c>
      <c r="AP4945" s="4" t="s">
        <v>376</v>
      </c>
      <c r="AR4945" s="4" t="s">
        <v>377</v>
      </c>
    </row>
    <row r="4946" spans="1:44" ht="30">
      <c r="A4946" s="4" t="s">
        <v>5</v>
      </c>
      <c r="B4946" s="4">
        <v>38467</v>
      </c>
      <c r="D4946" s="5" t="s">
        <v>7250</v>
      </c>
      <c r="E4946" s="6" t="str">
        <f>HYPERLINK("https://inpn.mnhn.fr/espece/cd_nom/38467","Leucoagaricus badhamii (Berk. &amp; Broome) Singer, 1951")</f>
        <v>Leucoagaricus badhamii (Berk. &amp; Broome) Singer, 1951</v>
      </c>
      <c r="V4946" s="7" t="str">
        <f>HYPERLINK("#Liste_rouge!A"&amp;_xlfn.XMATCH("LC",Liste_rouge!A:A,2,1),"LC")</f>
        <v>LC</v>
      </c>
      <c r="AH4946" s="4" t="str">
        <f>HYPERLINK("#Statut_biogéographique!A"&amp;_xlfn.XMATCH("P",Statut_biogéographique!A:A,2,1),"P")</f>
        <v>P</v>
      </c>
      <c r="AP4946" s="4" t="s">
        <v>376</v>
      </c>
      <c r="AR4946" s="4" t="s">
        <v>377</v>
      </c>
    </row>
    <row r="4947" spans="1:44" ht="30">
      <c r="A4947" s="4" t="s">
        <v>5</v>
      </c>
      <c r="B4947" s="4">
        <v>38486</v>
      </c>
      <c r="D4947" s="5" t="s">
        <v>7251</v>
      </c>
      <c r="E4947" s="6" t="str">
        <f>HYPERLINK("https://inpn.mnhn.fr/espece/cd_nom/38486","Leucoagaricus brunneocingulatus (P.D.Orton) Bon, 1976")</f>
        <v>Leucoagaricus brunneocingulatus (P.D.Orton) Bon, 1976</v>
      </c>
      <c r="V4947" s="7" t="str">
        <f>HYPERLINK("#Liste_rouge!A"&amp;_xlfn.XMATCH("DD",Liste_rouge!A:A,2,1),"DD")</f>
        <v>DD</v>
      </c>
      <c r="AH4947" s="4" t="str">
        <f>HYPERLINK("#Statut_biogéographique!A"&amp;_xlfn.XMATCH("P",Statut_biogéographique!A:A,2,1),"P")</f>
        <v>P</v>
      </c>
      <c r="AP4947" s="4" t="s">
        <v>376</v>
      </c>
      <c r="AR4947" s="4" t="s">
        <v>377</v>
      </c>
    </row>
    <row r="4948" spans="1:44" ht="30">
      <c r="A4948" s="4" t="s">
        <v>5</v>
      </c>
      <c r="B4948" s="4">
        <v>38495</v>
      </c>
      <c r="D4948" s="5" t="s">
        <v>7252</v>
      </c>
      <c r="E4948" s="6" t="str">
        <f>HYPERLINK("https://inpn.mnhn.fr/espece/cd_nom/38495","Leucoagaricus cinerascens (Quél.) Bon &amp; Boiffard, 1978")</f>
        <v>Leucoagaricus cinerascens (Quél.) Bon &amp; Boiffard, 1978</v>
      </c>
      <c r="V4948" s="7" t="str">
        <f>HYPERLINK("#Liste_rouge!A"&amp;_xlfn.XMATCH("EN",Liste_rouge!A:A,2,1),"EN")</f>
        <v>EN</v>
      </c>
      <c r="W4948" s="4" t="str">
        <f>HYPERLINK("#Critères_liste_rouge!A$1","A2c")</f>
        <v>A2c</v>
      </c>
      <c r="AH4948" s="4" t="str">
        <f>HYPERLINK("#Statut_biogéographique!A"&amp;_xlfn.XMATCH("P",Statut_biogéographique!A:A,2,1),"P")</f>
        <v>P</v>
      </c>
      <c r="AP4948" s="4" t="s">
        <v>376</v>
      </c>
      <c r="AR4948" s="4" t="s">
        <v>377</v>
      </c>
    </row>
    <row r="4949" spans="1:44" ht="30">
      <c r="A4949" s="4" t="s">
        <v>5</v>
      </c>
      <c r="B4949" s="4">
        <v>38501</v>
      </c>
      <c r="D4949" s="5" t="s">
        <v>7253</v>
      </c>
      <c r="E4949" s="6" t="str">
        <f>HYPERLINK("https://inpn.mnhn.fr/espece/cd_nom/38501","Leucoagaricus croceovelutinus (Bon &amp; Boiffard) Bon, 1976")</f>
        <v>Leucoagaricus croceovelutinus (Bon &amp; Boiffard) Bon, 1976</v>
      </c>
      <c r="V4949" s="7" t="str">
        <f>HYPERLINK("#Liste_rouge!A"&amp;_xlfn.XMATCH("DD",Liste_rouge!A:A,2,1),"DD")</f>
        <v>DD</v>
      </c>
      <c r="AH4949" s="4" t="str">
        <f>HYPERLINK("#Statut_biogéographique!A"&amp;_xlfn.XMATCH("P",Statut_biogéographique!A:A,2,1),"P")</f>
        <v>P</v>
      </c>
      <c r="AP4949" s="4" t="s">
        <v>376</v>
      </c>
      <c r="AR4949" s="4" t="s">
        <v>377</v>
      </c>
    </row>
    <row r="4950" spans="1:44" ht="30">
      <c r="A4950" s="4" t="s">
        <v>5</v>
      </c>
      <c r="B4950" s="4">
        <v>38521</v>
      </c>
      <c r="D4950" s="5" t="s">
        <v>7254</v>
      </c>
      <c r="E4950" s="6" t="str">
        <f>HYPERLINK("https://inpn.mnhn.fr/espece/cd_nom/38521","Leucoagaricus griseodiscus (Bon) Bon &amp; Migl., 1991")</f>
        <v>Leucoagaricus griseodiscus (Bon) Bon &amp; Migl., 1991</v>
      </c>
      <c r="V4950" s="7" t="str">
        <f>HYPERLINK("#Liste_rouge!A"&amp;_xlfn.XMATCH("DD",Liste_rouge!A:A,2,1),"DD")</f>
        <v>DD</v>
      </c>
      <c r="AH4950" s="4" t="str">
        <f>HYPERLINK("#Statut_biogéographique!A"&amp;_xlfn.XMATCH("P",Statut_biogéographique!A:A,2,1),"P")</f>
        <v>P</v>
      </c>
      <c r="AP4950" s="4" t="s">
        <v>376</v>
      </c>
      <c r="AR4950" s="4" t="s">
        <v>377</v>
      </c>
    </row>
    <row r="4951" spans="1:44" ht="30">
      <c r="A4951" s="4" t="s">
        <v>5</v>
      </c>
      <c r="B4951" s="4">
        <v>38524</v>
      </c>
      <c r="D4951" s="5" t="s">
        <v>7255</v>
      </c>
      <c r="E4951" s="6" t="str">
        <f>HYPERLINK("https://inpn.mnhn.fr/espece/cd_nom/38524","Leucoagaricus holosericeus (Gillet) M.M.Moser, 1967")</f>
        <v>Leucoagaricus holosericeus (Gillet) M.M.Moser, 1967</v>
      </c>
      <c r="V4951" s="7" t="str">
        <f>HYPERLINK("#Liste_rouge!A"&amp;_xlfn.XMATCH("EN",Liste_rouge!A:A,2,1),"EN")</f>
        <v>EN</v>
      </c>
      <c r="W4951" s="4" t="str">
        <f>HYPERLINK("#Critères_liste_rouge!A$1","B2abiii")</f>
        <v>B2abiii</v>
      </c>
      <c r="AH4951" s="4" t="str">
        <f>HYPERLINK("#Statut_biogéographique!A"&amp;_xlfn.XMATCH("P",Statut_biogéographique!A:A,2,1),"P")</f>
        <v>P</v>
      </c>
      <c r="AP4951" s="4" t="s">
        <v>376</v>
      </c>
      <c r="AR4951" s="4" t="s">
        <v>377</v>
      </c>
    </row>
    <row r="4952" spans="1:44" ht="30">
      <c r="A4952" s="4" t="s">
        <v>5</v>
      </c>
      <c r="B4952" s="4">
        <v>38534</v>
      </c>
      <c r="D4952" s="5" t="s">
        <v>7256</v>
      </c>
      <c r="E4952" s="6" t="str">
        <f>HYPERLINK("https://inpn.mnhn.fr/espece/cd_nom/38534","Leucoagaricus leucothites (Vittad.) Wasser, 1977")</f>
        <v>Leucoagaricus leucothites (Vittad.) Wasser, 1977</v>
      </c>
      <c r="F4952" s="5" t="s">
        <v>3993</v>
      </c>
      <c r="V4952" s="7" t="str">
        <f>HYPERLINK("#Liste_rouge!A"&amp;_xlfn.XMATCH("LC",Liste_rouge!A:A,2,1),"LC")</f>
        <v>LC</v>
      </c>
      <c r="AH4952" s="4" t="str">
        <f>HYPERLINK("#Statut_biogéographique!A"&amp;_xlfn.XMATCH("P",Statut_biogéographique!A:A,2,1),"P")</f>
        <v>P</v>
      </c>
      <c r="AP4952" s="4" t="s">
        <v>376</v>
      </c>
      <c r="AR4952" s="4" t="s">
        <v>377</v>
      </c>
    </row>
    <row r="4953" spans="1:44">
      <c r="A4953" s="4" t="s">
        <v>5</v>
      </c>
      <c r="B4953" s="4">
        <v>38583</v>
      </c>
      <c r="D4953" s="5" t="s">
        <v>7257</v>
      </c>
      <c r="E4953" s="6" t="str">
        <f>HYPERLINK("https://inpn.mnhn.fr/espece/cd_nom/38583","Leucoagaricus subcretaceus Bon, 1983")</f>
        <v>Leucoagaricus subcretaceus Bon, 1983</v>
      </c>
      <c r="V4953" s="7" t="str">
        <f>HYPERLINK("#Liste_rouge!A"&amp;_xlfn.XMATCH("EN",Liste_rouge!A:A,2,1),"EN")</f>
        <v>EN</v>
      </c>
      <c r="W4953" s="4" t="str">
        <f>HYPERLINK("#Critères_liste_rouge!A$1","B2abiii")</f>
        <v>B2abiii</v>
      </c>
      <c r="AH4953" s="4" t="str">
        <f>HYPERLINK("#Statut_biogéographique!A"&amp;_xlfn.XMATCH("P",Statut_biogéographique!A:A,2,1),"P")</f>
        <v>P</v>
      </c>
      <c r="AP4953" s="4" t="s">
        <v>376</v>
      </c>
      <c r="AR4953" s="4" t="s">
        <v>377</v>
      </c>
    </row>
    <row r="4954" spans="1:44" ht="30">
      <c r="A4954" s="4" t="s">
        <v>5</v>
      </c>
      <c r="B4954" s="4">
        <v>38586</v>
      </c>
      <c r="D4954" s="5" t="s">
        <v>7258</v>
      </c>
      <c r="E4954" s="6" t="str">
        <f>HYPERLINK("https://inpn.mnhn.fr/espece/cd_nom/38586","Leucoagaricus sublittoralis (Kühner ex Hora) Singer, 1969")</f>
        <v>Leucoagaricus sublittoralis (Kühner ex Hora) Singer, 1969</v>
      </c>
      <c r="V4954" s="7" t="str">
        <f>HYPERLINK("#Liste_rouge!A"&amp;_xlfn.XMATCH("DD",Liste_rouge!A:A,2,1),"DD")</f>
        <v>DD</v>
      </c>
      <c r="AH4954" s="4" t="str">
        <f>HYPERLINK("#Statut_biogéographique!A"&amp;_xlfn.XMATCH("P",Statut_biogéographique!A:A,2,1),"P")</f>
        <v>P</v>
      </c>
      <c r="AP4954" s="4" t="s">
        <v>376</v>
      </c>
      <c r="AR4954" s="4" t="s">
        <v>377</v>
      </c>
    </row>
    <row r="4955" spans="1:44">
      <c r="A4955" s="4" t="s">
        <v>5</v>
      </c>
      <c r="B4955" s="4">
        <v>38613</v>
      </c>
      <c r="D4955" s="5" t="s">
        <v>7259</v>
      </c>
      <c r="E4955" s="6" t="str">
        <f>HYPERLINK("https://inpn.mnhn.fr/espece/cd_nom/38613","Leucocoprinus cretatus Locq.ex Lanzoni, 1986")</f>
        <v>Leucocoprinus cretatus Locq.ex Lanzoni, 1986</v>
      </c>
      <c r="V4955" s="7" t="str">
        <f>HYPERLINK("#Liste_rouge!A"&amp;_xlfn.XMATCH("EN",Liste_rouge!A:A,2,1),"EN")</f>
        <v>EN</v>
      </c>
      <c r="W4955" s="4" t="str">
        <f>HYPERLINK("#Critères_liste_rouge!A$1","A2c")</f>
        <v>A2c</v>
      </c>
      <c r="AH4955" s="4" t="str">
        <f>HYPERLINK("#Statut_biogéographique!A"&amp;_xlfn.XMATCH("P",Statut_biogéographique!A:A,2,1),"P")</f>
        <v>P</v>
      </c>
      <c r="AP4955" s="4" t="s">
        <v>376</v>
      </c>
      <c r="AR4955" s="4" t="s">
        <v>377</v>
      </c>
    </row>
    <row r="4956" spans="1:44" ht="45">
      <c r="A4956" s="4" t="s">
        <v>5</v>
      </c>
      <c r="B4956" s="4">
        <v>38625</v>
      </c>
      <c r="D4956" s="5" t="s">
        <v>7260</v>
      </c>
      <c r="E4956" s="6" t="str">
        <f>HYPERLINK("https://inpn.mnhn.fr/espece/cd_nom/38625","Leucocoprinus birnbaumii (Corda) Singer, 1962")</f>
        <v>Leucocoprinus birnbaumii (Corda) Singer, 1962</v>
      </c>
      <c r="F4956" s="5" t="s">
        <v>7261</v>
      </c>
      <c r="AH4956" s="4" t="str">
        <f>HYPERLINK("#Statut_biogéographique!A"&amp;_xlfn.XMATCH("P",Statut_biogéographique!A:A,2,1),"P")</f>
        <v>P</v>
      </c>
      <c r="AP4956" s="4" t="s">
        <v>376</v>
      </c>
      <c r="AR4956" s="4" t="s">
        <v>377</v>
      </c>
    </row>
    <row r="4957" spans="1:44" ht="30">
      <c r="A4957" s="4" t="s">
        <v>5</v>
      </c>
      <c r="B4957" s="4">
        <v>38647</v>
      </c>
      <c r="D4957" s="5" t="s">
        <v>7262</v>
      </c>
      <c r="E4957" s="6" t="str">
        <f>HYPERLINK("https://inpn.mnhn.fr/espece/cd_nom/38647","Macrolepiota excoriata (Schaeff.) Wasser, 1978")</f>
        <v>Macrolepiota excoriata (Schaeff.) Wasser, 1978</v>
      </c>
      <c r="F4957" s="5" t="s">
        <v>1876</v>
      </c>
      <c r="V4957" s="7" t="str">
        <f>HYPERLINK("#Liste_rouge!A"&amp;_xlfn.XMATCH("LC",Liste_rouge!A:A,2,1),"LC")</f>
        <v>LC</v>
      </c>
      <c r="AH4957" s="4" t="str">
        <f>HYPERLINK("#Statut_biogéographique!A"&amp;_xlfn.XMATCH("P",Statut_biogéographique!A:A,2,1),"P")</f>
        <v>P</v>
      </c>
      <c r="AP4957" s="4" t="s">
        <v>376</v>
      </c>
      <c r="AR4957" s="4" t="s">
        <v>377</v>
      </c>
    </row>
    <row r="4958" spans="1:44" ht="30">
      <c r="A4958" s="4" t="s">
        <v>5</v>
      </c>
      <c r="B4958" s="4">
        <v>38666</v>
      </c>
      <c r="D4958" s="5" t="s">
        <v>7263</v>
      </c>
      <c r="E4958" s="6" t="str">
        <f>HYPERLINK("https://inpn.mnhn.fr/espece/cd_nom/38666","Macrolepiota konradii (Huijsman ex P.D.Orton) M.M.Moser, 1967")</f>
        <v>Macrolepiota konradii (Huijsman ex P.D.Orton) M.M.Moser, 1967</v>
      </c>
      <c r="V4958" s="7" t="str">
        <f>HYPERLINK("#Liste_rouge!A"&amp;_xlfn.XMATCH("LC",Liste_rouge!A:A,2,1),"LC")</f>
        <v>LC</v>
      </c>
      <c r="AH4958" s="4" t="str">
        <f>HYPERLINK("#Statut_biogéographique!A"&amp;_xlfn.XMATCH("P",Statut_biogéographique!A:A,2,1),"P")</f>
        <v>P</v>
      </c>
      <c r="AP4958" s="4" t="s">
        <v>376</v>
      </c>
      <c r="AR4958" s="4" t="s">
        <v>377</v>
      </c>
    </row>
    <row r="4959" spans="1:44">
      <c r="A4959" s="4" t="s">
        <v>5</v>
      </c>
      <c r="B4959" s="4">
        <v>38670</v>
      </c>
      <c r="D4959" s="5" t="s">
        <v>7264</v>
      </c>
      <c r="E4959" s="6" t="str">
        <f>HYPERLINK("https://inpn.mnhn.fr/espece/cd_nom/38670","Macrolepiota mastoidea (Fr.) Singer, 1951")</f>
        <v>Macrolepiota mastoidea (Fr.) Singer, 1951</v>
      </c>
      <c r="F4959" s="5" t="s">
        <v>7265</v>
      </c>
      <c r="V4959" s="7" t="str">
        <f>HYPERLINK("#Liste_rouge!A"&amp;_xlfn.XMATCH("LC",Liste_rouge!A:A,2,1),"LC")</f>
        <v>LC</v>
      </c>
      <c r="AH4959" s="4" t="str">
        <f>HYPERLINK("#Statut_biogéographique!A"&amp;_xlfn.XMATCH("P",Statut_biogéographique!A:A,2,1),"P")</f>
        <v>P</v>
      </c>
      <c r="AP4959" s="4" t="s">
        <v>376</v>
      </c>
      <c r="AR4959" s="4" t="s">
        <v>377</v>
      </c>
    </row>
    <row r="4960" spans="1:44" ht="30">
      <c r="A4960" s="4" t="s">
        <v>5</v>
      </c>
      <c r="B4960" s="4">
        <v>38682</v>
      </c>
      <c r="D4960" s="5" t="s">
        <v>7266</v>
      </c>
      <c r="E4960" s="6" t="str">
        <f>HYPERLINK("https://inpn.mnhn.fr/espece/cd_nom/38682","Macrolepiota procera (Scop.) Singer, 1948")</f>
        <v>Macrolepiota procera (Scop.) Singer, 1948</v>
      </c>
      <c r="F4960" s="5" t="s">
        <v>7267</v>
      </c>
      <c r="V4960" s="7" t="str">
        <f>HYPERLINK("#Liste_rouge!A"&amp;_xlfn.XMATCH("LC",Liste_rouge!A:A,2,1),"LC")</f>
        <v>LC</v>
      </c>
      <c r="AH4960" s="4" t="str">
        <f>HYPERLINK("#Statut_biogéographique!A"&amp;_xlfn.XMATCH("P",Statut_biogéographique!A:A,2,1),"P")</f>
        <v>P</v>
      </c>
      <c r="AP4960" s="4" t="s">
        <v>376</v>
      </c>
      <c r="AR4960" s="4" t="s">
        <v>377</v>
      </c>
    </row>
    <row r="4961" spans="1:44">
      <c r="A4961" s="4" t="s">
        <v>5</v>
      </c>
      <c r="B4961" s="4">
        <v>38689</v>
      </c>
      <c r="D4961" s="5" t="s">
        <v>7268</v>
      </c>
      <c r="E4961" s="6" t="str">
        <f>HYPERLINK("https://inpn.mnhn.fr/espece/cd_nom/38689","Macrolepiota fuliginosa (Barla) Bon, 1977")</f>
        <v>Macrolepiota fuliginosa (Barla) Bon, 1977</v>
      </c>
      <c r="V4961" s="7" t="str">
        <f>HYPERLINK("#Liste_rouge!A"&amp;_xlfn.XMATCH("LC",Liste_rouge!A:A,2,1),"LC")</f>
        <v>LC</v>
      </c>
      <c r="AH4961" s="4" t="str">
        <f>HYPERLINK("#Statut_biogéographique!A"&amp;_xlfn.XMATCH("P",Statut_biogéographique!A:A,2,1),"P")</f>
        <v>P</v>
      </c>
      <c r="AP4961" s="4" t="s">
        <v>376</v>
      </c>
      <c r="AR4961" s="4" t="s">
        <v>377</v>
      </c>
    </row>
    <row r="4962" spans="1:44" ht="30">
      <c r="A4962" s="4" t="s">
        <v>5</v>
      </c>
      <c r="B4962" s="4">
        <v>38714</v>
      </c>
      <c r="D4962" s="5" t="s">
        <v>7269</v>
      </c>
      <c r="E4962" s="6" t="str">
        <f>HYPERLINK("https://inpn.mnhn.fr/espece/cd_nom/38714","Macrolepiota rickenii (Velen.) Bellù &amp; Lanzoni, 1987")</f>
        <v>Macrolepiota rickenii (Velen.) Bellù &amp; Lanzoni, 1987</v>
      </c>
      <c r="F4962" s="5" t="s">
        <v>7270</v>
      </c>
      <c r="V4962" s="7" t="str">
        <f>HYPERLINK("#Liste_rouge!A"&amp;_xlfn.XMATCH("LC",Liste_rouge!A:A,2,1),"LC")</f>
        <v>LC</v>
      </c>
      <c r="AH4962" s="4" t="str">
        <f>HYPERLINK("#Statut_biogéographique!A"&amp;_xlfn.XMATCH("P",Statut_biogéographique!A:A,2,1),"P")</f>
        <v>P</v>
      </c>
      <c r="AP4962" s="4" t="s">
        <v>376</v>
      </c>
      <c r="AR4962" s="4" t="s">
        <v>377</v>
      </c>
    </row>
    <row r="4963" spans="1:44" ht="60">
      <c r="A4963" s="4" t="s">
        <v>5</v>
      </c>
      <c r="B4963" s="4">
        <v>38730</v>
      </c>
      <c r="D4963" s="5" t="s">
        <v>7271</v>
      </c>
      <c r="E4963" s="6" t="str">
        <f>HYPERLINK("https://inpn.mnhn.fr/espece/cd_nom/38730","Melanophyllum haematospermum (Bull.) Kreisel, 1984")</f>
        <v>Melanophyllum haematospermum (Bull.) Kreisel, 1984</v>
      </c>
      <c r="F4963" s="5" t="s">
        <v>7272</v>
      </c>
      <c r="V4963" s="7" t="str">
        <f>HYPERLINK("#Liste_rouge!A"&amp;_xlfn.XMATCH("LC",Liste_rouge!A:A,2,1),"LC")</f>
        <v>LC</v>
      </c>
      <c r="AH4963" s="4" t="str">
        <f>HYPERLINK("#Statut_biogéographique!A"&amp;_xlfn.XMATCH("P",Statut_biogéographique!A:A,2,1),"P")</f>
        <v>P</v>
      </c>
      <c r="AP4963" s="4" t="s">
        <v>376</v>
      </c>
      <c r="AR4963" s="4" t="s">
        <v>377</v>
      </c>
    </row>
    <row r="4964" spans="1:44" ht="30">
      <c r="A4964" s="4" t="s">
        <v>5</v>
      </c>
      <c r="B4964" s="4">
        <v>38735</v>
      </c>
      <c r="D4964" s="5" t="s">
        <v>7273</v>
      </c>
      <c r="E4964" s="6" t="str">
        <f>HYPERLINK("https://inpn.mnhn.fr/espece/cd_nom/38735","Phaeolepiota aurea (Matt.) Maire, 1928")</f>
        <v>Phaeolepiota aurea (Matt.) Maire, 1928</v>
      </c>
      <c r="V4964" s="7" t="str">
        <f>HYPERLINK("#Liste_rouge!A"&amp;_xlfn.XMATCH("EN",Liste_rouge!A:A,2,1),"EN")</f>
        <v>EN</v>
      </c>
      <c r="W4964" s="4" t="str">
        <f>HYPERLINK("#Critères_liste_rouge!A$1","B2abiii")</f>
        <v>B2abiii</v>
      </c>
      <c r="AH4964" s="4" t="str">
        <f>HYPERLINK("#Statut_biogéographique!A"&amp;_xlfn.XMATCH("P",Statut_biogéographique!A:A,2,1),"P")</f>
        <v>P</v>
      </c>
      <c r="AP4964" s="4" t="s">
        <v>376</v>
      </c>
      <c r="AR4964" s="4" t="s">
        <v>377</v>
      </c>
    </row>
    <row r="4965" spans="1:44" ht="30">
      <c r="A4965" s="4" t="s">
        <v>5</v>
      </c>
      <c r="B4965" s="4">
        <v>38739</v>
      </c>
      <c r="D4965" s="5" t="s">
        <v>7274</v>
      </c>
      <c r="E4965" s="6" t="str">
        <f>HYPERLINK("https://inpn.mnhn.fr/espece/cd_nom/38739","Pulverolepiota pulverulenta (Huijsman) Bon, 1993")</f>
        <v>Pulverolepiota pulverulenta (Huijsman) Bon, 1993</v>
      </c>
      <c r="V4965" s="7" t="str">
        <f>HYPERLINK("#Liste_rouge!A"&amp;_xlfn.XMATCH("DD",Liste_rouge!A:A,2,1),"DD")</f>
        <v>DD</v>
      </c>
      <c r="AH4965" s="4" t="str">
        <f>HYPERLINK("#Statut_biogéographique!A"&amp;_xlfn.XMATCH("P",Statut_biogéographique!A:A,2,1),"P")</f>
        <v>P</v>
      </c>
      <c r="AP4965" s="4" t="s">
        <v>376</v>
      </c>
      <c r="AR4965" s="4" t="s">
        <v>377</v>
      </c>
    </row>
    <row r="4966" spans="1:44" ht="30">
      <c r="A4966" s="4" t="s">
        <v>5</v>
      </c>
      <c r="B4966" s="4">
        <v>38773</v>
      </c>
      <c r="D4966" s="5" t="s">
        <v>7275</v>
      </c>
      <c r="E4966" s="6" t="str">
        <f>HYPERLINK("https://inpn.mnhn.fr/espece/cd_nom/38773","Sericeomyces serenus (Fr.) Heinem., 1978")</f>
        <v>Sericeomyces serenus (Fr.) Heinem., 1978</v>
      </c>
      <c r="V4966" s="7" t="str">
        <f>HYPERLINK("#Liste_rouge!A"&amp;_xlfn.XMATCH("NT",Liste_rouge!A:A,2,1),"NT")</f>
        <v>NT</v>
      </c>
      <c r="W4966" s="4" t="str">
        <f>HYPERLINK("#Critères_liste_rouge!A$1","pr. A2c")</f>
        <v>pr. A2c</v>
      </c>
      <c r="AH4966" s="4" t="str">
        <f>HYPERLINK("#Statut_biogéographique!A"&amp;_xlfn.XMATCH("P",Statut_biogéographique!A:A,2,1),"P")</f>
        <v>P</v>
      </c>
      <c r="AP4966" s="4" t="s">
        <v>376</v>
      </c>
      <c r="AR4966" s="4" t="s">
        <v>377</v>
      </c>
    </row>
    <row r="4967" spans="1:44" ht="30">
      <c r="A4967" s="4" t="s">
        <v>5</v>
      </c>
      <c r="B4967" s="4">
        <v>38795</v>
      </c>
      <c r="D4967" s="5" t="s">
        <v>7276</v>
      </c>
      <c r="E4967" s="6" t="str">
        <f>HYPERLINK("https://inpn.mnhn.fr/espece/cd_nom/38795","Pluteus alborugosus Kühner &amp; Romagn., 1953")</f>
        <v>Pluteus alborugosus Kühner &amp; Romagn., 1953</v>
      </c>
      <c r="AH4967" s="4" t="str">
        <f>HYPERLINK("#Statut_biogéographique!A"&amp;_xlfn.XMATCH("P",Statut_biogéographique!A:A,2,1),"P")</f>
        <v>P</v>
      </c>
      <c r="AP4967" s="4" t="s">
        <v>376</v>
      </c>
      <c r="AR4967" s="4" t="s">
        <v>377</v>
      </c>
    </row>
    <row r="4968" spans="1:44">
      <c r="A4968" s="4" t="s">
        <v>5</v>
      </c>
      <c r="B4968" s="4">
        <v>38796</v>
      </c>
      <c r="D4968" s="5">
        <v>38796</v>
      </c>
      <c r="E4968" s="6" t="str">
        <f>HYPERLINK("https://inpn.mnhn.fr/espece/cd_nom/38796","Pluteus inquilinus Romagn., 1979")</f>
        <v>Pluteus inquilinus Romagn., 1979</v>
      </c>
      <c r="V4968" s="7" t="str">
        <f>HYPERLINK("#Liste_rouge!A"&amp;_xlfn.XMATCH("NT",Liste_rouge!A:A,2,1),"NT")</f>
        <v>NT</v>
      </c>
      <c r="W4968" s="4" t="str">
        <f>HYPERLINK("#Critères_liste_rouge!A$1","pr. B2abiii")</f>
        <v>pr. B2abiii</v>
      </c>
      <c r="AH4968" s="4" t="str">
        <f>HYPERLINK("#Statut_biogéographique!A"&amp;_xlfn.XMATCH("P",Statut_biogéographique!A:A,2,1),"P")</f>
        <v>P</v>
      </c>
      <c r="AP4968" s="4" t="s">
        <v>376</v>
      </c>
      <c r="AR4968" s="4" t="s">
        <v>377</v>
      </c>
    </row>
    <row r="4969" spans="1:44">
      <c r="A4969" s="4" t="s">
        <v>5</v>
      </c>
      <c r="B4969" s="4">
        <v>38801</v>
      </c>
      <c r="D4969" s="5" t="s">
        <v>7277</v>
      </c>
      <c r="E4969" s="6" t="str">
        <f>HYPERLINK("https://inpn.mnhn.fr/espece/cd_nom/38801","Pluteus tricuspidatus Velen., 1939")</f>
        <v>Pluteus tricuspidatus Velen., 1939</v>
      </c>
      <c r="V4969" s="7" t="str">
        <f>HYPERLINK("#Liste_rouge!A"&amp;_xlfn.XMATCH("LC",Liste_rouge!A:A,2,1),"LC")</f>
        <v>LC</v>
      </c>
      <c r="AH4969" s="4" t="str">
        <f>HYPERLINK("#Statut_biogéographique!A"&amp;_xlfn.XMATCH("P",Statut_biogéographique!A:A,2,1),"P")</f>
        <v>P</v>
      </c>
      <c r="AP4969" s="4" t="s">
        <v>376</v>
      </c>
      <c r="AR4969" s="4" t="s">
        <v>377</v>
      </c>
    </row>
    <row r="4970" spans="1:44">
      <c r="A4970" s="4" t="s">
        <v>5</v>
      </c>
      <c r="B4970" s="4">
        <v>38807</v>
      </c>
      <c r="D4970" s="5" t="s">
        <v>7278</v>
      </c>
      <c r="E4970" s="6" t="str">
        <f>HYPERLINK("https://inpn.mnhn.fr/espece/cd_nom/38807","Pluteus boudieri P.D.Orton, 1960")</f>
        <v>Pluteus boudieri P.D.Orton, 1960</v>
      </c>
      <c r="V4970" s="7" t="str">
        <f>HYPERLINK("#Liste_rouge!A"&amp;_xlfn.XMATCH("LC",Liste_rouge!A:A,2,1),"LC")</f>
        <v>LC</v>
      </c>
      <c r="AH4970" s="4" t="str">
        <f>HYPERLINK("#Statut_biogéographique!A"&amp;_xlfn.XMATCH("P",Statut_biogéographique!A:A,2,1),"P")</f>
        <v>P</v>
      </c>
      <c r="AP4970" s="4" t="s">
        <v>376</v>
      </c>
      <c r="AR4970" s="4" t="s">
        <v>377</v>
      </c>
    </row>
    <row r="4971" spans="1:44">
      <c r="A4971" s="4" t="s">
        <v>5</v>
      </c>
      <c r="B4971" s="4">
        <v>38810</v>
      </c>
      <c r="D4971" s="5">
        <v>38810</v>
      </c>
      <c r="E4971" s="6" t="str">
        <f>HYPERLINK("https://inpn.mnhn.fr/espece/cd_nom/38810","Pluteus brunneoradiatus Bonnard, 1987")</f>
        <v>Pluteus brunneoradiatus Bonnard, 1987</v>
      </c>
      <c r="V4971" s="7" t="str">
        <f>HYPERLINK("#Liste_rouge!A"&amp;_xlfn.XMATCH("NT",Liste_rouge!A:A,2,1),"NT")</f>
        <v>NT</v>
      </c>
      <c r="W4971" s="4" t="str">
        <f>HYPERLINK("#Critères_liste_rouge!A$1","pr. B2abiii")</f>
        <v>pr. B2abiii</v>
      </c>
      <c r="AH4971" s="4" t="str">
        <f>HYPERLINK("#Statut_biogéographique!A"&amp;_xlfn.XMATCH("P",Statut_biogéographique!A:A,2,1),"P")</f>
        <v>P</v>
      </c>
      <c r="AP4971" s="4" t="s">
        <v>376</v>
      </c>
      <c r="AR4971" s="4" t="s">
        <v>377</v>
      </c>
    </row>
    <row r="4972" spans="1:44" ht="30">
      <c r="A4972" s="4" t="s">
        <v>5</v>
      </c>
      <c r="B4972" s="4">
        <v>38811</v>
      </c>
      <c r="D4972" s="5" t="s">
        <v>7279</v>
      </c>
      <c r="E4972" s="6" t="str">
        <f>HYPERLINK("https://inpn.mnhn.fr/espece/cd_nom/38811","Pluteus cervinus (Schaeff.) P.Kumm., 1871")</f>
        <v>Pluteus cervinus (Schaeff.) P.Kumm., 1871</v>
      </c>
      <c r="F4972" s="5" t="s">
        <v>3428</v>
      </c>
      <c r="V4972" s="7" t="str">
        <f>HYPERLINK("#Liste_rouge!A"&amp;_xlfn.XMATCH("LC",Liste_rouge!A:A,2,1),"LC")</f>
        <v>LC</v>
      </c>
      <c r="AH4972" s="4" t="str">
        <f>HYPERLINK("#Statut_biogéographique!A"&amp;_xlfn.XMATCH("P",Statut_biogéographique!A:A,2,1),"P")</f>
        <v>P</v>
      </c>
      <c r="AP4972" s="4" t="s">
        <v>376</v>
      </c>
      <c r="AR4972" s="4" t="s">
        <v>377</v>
      </c>
    </row>
    <row r="4973" spans="1:44">
      <c r="A4973" s="4" t="s">
        <v>5</v>
      </c>
      <c r="B4973" s="4">
        <v>38815</v>
      </c>
      <c r="D4973" s="5" t="s">
        <v>7280</v>
      </c>
      <c r="E4973" s="6" t="str">
        <f>HYPERLINK("https://inpn.mnhn.fr/espece/cd_nom/38815","Pluteus chrysophaeus (Schaeff.) Quél., 1872")</f>
        <v>Pluteus chrysophaeus (Schaeff.) Quél., 1872</v>
      </c>
      <c r="V4973" s="7" t="str">
        <f>HYPERLINK("#Liste_rouge!A"&amp;_xlfn.XMATCH("LC",Liste_rouge!A:A,2,1),"LC")</f>
        <v>LC</v>
      </c>
      <c r="AH4973" s="4" t="str">
        <f>HYPERLINK("#Statut_biogéographique!A"&amp;_xlfn.XMATCH("P",Statut_biogéographique!A:A,2,1),"P")</f>
        <v>P</v>
      </c>
      <c r="AP4973" s="4" t="s">
        <v>376</v>
      </c>
      <c r="AR4973" s="4" t="s">
        <v>377</v>
      </c>
    </row>
    <row r="4974" spans="1:44">
      <c r="A4974" s="4" t="s">
        <v>5</v>
      </c>
      <c r="B4974" s="4">
        <v>38818</v>
      </c>
      <c r="D4974" s="5" t="s">
        <v>7281</v>
      </c>
      <c r="E4974" s="6" t="str">
        <f>HYPERLINK("https://inpn.mnhn.fr/espece/cd_nom/38818","Pluteus cinereofuscus J.E.Lange, 1917")</f>
        <v>Pluteus cinereofuscus J.E.Lange, 1917</v>
      </c>
      <c r="V4974" s="7" t="str">
        <f>HYPERLINK("#Liste_rouge!A"&amp;_xlfn.XMATCH("NT",Liste_rouge!A:A,2,1),"NT")</f>
        <v>NT</v>
      </c>
      <c r="W4974" s="4" t="str">
        <f>HYPERLINK("#Critères_liste_rouge!A$1","pr. B2abiii")</f>
        <v>pr. B2abiii</v>
      </c>
      <c r="AH4974" s="4" t="str">
        <f>HYPERLINK("#Statut_biogéographique!A"&amp;_xlfn.XMATCH("P",Statut_biogéographique!A:A,2,1),"P")</f>
        <v>P</v>
      </c>
      <c r="AP4974" s="4" t="s">
        <v>376</v>
      </c>
      <c r="AR4974" s="4" t="s">
        <v>377</v>
      </c>
    </row>
    <row r="4975" spans="1:44">
      <c r="A4975" s="4" t="s">
        <v>5</v>
      </c>
      <c r="B4975" s="4">
        <v>38821</v>
      </c>
      <c r="D4975" s="5" t="s">
        <v>7282</v>
      </c>
      <c r="E4975" s="6" t="str">
        <f>HYPERLINK("https://inpn.mnhn.fr/espece/cd_nom/38821","Pluteus curtisii Berk., 1887")</f>
        <v>Pluteus curtisii Berk., 1887</v>
      </c>
      <c r="V4975" s="7" t="str">
        <f>HYPERLINK("#Liste_rouge!A"&amp;_xlfn.XMATCH("DD",Liste_rouge!A:A,2,1),"DD")</f>
        <v>DD</v>
      </c>
      <c r="AH4975" s="4" t="str">
        <f>HYPERLINK("#Statut_biogéographique!A"&amp;_xlfn.XMATCH("P",Statut_biogéographique!A:A,2,1),"P")</f>
        <v>P</v>
      </c>
      <c r="AP4975" s="4" t="s">
        <v>376</v>
      </c>
      <c r="AR4975" s="4" t="s">
        <v>377</v>
      </c>
    </row>
    <row r="4976" spans="1:44">
      <c r="A4976" s="4" t="s">
        <v>5</v>
      </c>
      <c r="B4976" s="4">
        <v>38826</v>
      </c>
      <c r="D4976" s="5">
        <v>38826</v>
      </c>
      <c r="E4976" s="6" t="str">
        <f>HYPERLINK("https://inpn.mnhn.fr/espece/cd_nom/38826","Pluteus depauperatus Romagn., 1956")</f>
        <v>Pluteus depauperatus Romagn., 1956</v>
      </c>
      <c r="V4976" s="7" t="str">
        <f>HYPERLINK("#Liste_rouge!A"&amp;_xlfn.XMATCH("LC",Liste_rouge!A:A,2,1),"LC")</f>
        <v>LC</v>
      </c>
      <c r="AH4976" s="4" t="str">
        <f>HYPERLINK("#Statut_biogéographique!A"&amp;_xlfn.XMATCH("P",Statut_biogéographique!A:A,2,1),"P")</f>
        <v>P</v>
      </c>
      <c r="AP4976" s="4" t="s">
        <v>376</v>
      </c>
      <c r="AR4976" s="4" t="s">
        <v>377</v>
      </c>
    </row>
    <row r="4977" spans="1:44">
      <c r="A4977" s="4" t="s">
        <v>5</v>
      </c>
      <c r="B4977" s="4">
        <v>38828</v>
      </c>
      <c r="D4977" s="5" t="s">
        <v>7283</v>
      </c>
      <c r="E4977" s="6" t="str">
        <f>HYPERLINK("https://inpn.mnhn.fr/espece/cd_nom/38828","Pluteus diettrichii Bres., 1905")</f>
        <v>Pluteus diettrichii Bres., 1905</v>
      </c>
      <c r="V4977" s="7" t="str">
        <f>HYPERLINK("#Liste_rouge!A"&amp;_xlfn.XMATCH("LC",Liste_rouge!A:A,2,1),"LC")</f>
        <v>LC</v>
      </c>
      <c r="AH4977" s="4" t="str">
        <f>HYPERLINK("#Statut_biogéographique!A"&amp;_xlfn.XMATCH("P",Statut_biogéographique!A:A,2,1),"P")</f>
        <v>P</v>
      </c>
      <c r="AP4977" s="4" t="s">
        <v>376</v>
      </c>
      <c r="AR4977" s="4" t="s">
        <v>377</v>
      </c>
    </row>
    <row r="4978" spans="1:44">
      <c r="A4978" s="4" t="s">
        <v>5</v>
      </c>
      <c r="B4978" s="4">
        <v>38831</v>
      </c>
      <c r="D4978" s="5" t="s">
        <v>7284</v>
      </c>
      <c r="E4978" s="6" t="str">
        <f>HYPERLINK("https://inpn.mnhn.fr/espece/cd_nom/38831","Pluteus ephebeus (Fr.) Gillet, 1876")</f>
        <v>Pluteus ephebeus (Fr.) Gillet, 1876</v>
      </c>
      <c r="V4978" s="7" t="str">
        <f>HYPERLINK("#Liste_rouge!A"&amp;_xlfn.XMATCH("NT",Liste_rouge!A:A,2,1),"NT")</f>
        <v>NT</v>
      </c>
      <c r="W4978" s="4" t="str">
        <f>HYPERLINK("#Critères_liste_rouge!A$1","pr. B2abiii")</f>
        <v>pr. B2abiii</v>
      </c>
      <c r="AH4978" s="4" t="str">
        <f>HYPERLINK("#Statut_biogéographique!A"&amp;_xlfn.XMATCH("P",Statut_biogéographique!A:A,2,1),"P")</f>
        <v>P</v>
      </c>
      <c r="AP4978" s="4" t="s">
        <v>376</v>
      </c>
      <c r="AR4978" s="4" t="s">
        <v>377</v>
      </c>
    </row>
    <row r="4979" spans="1:44">
      <c r="A4979" s="4" t="s">
        <v>5</v>
      </c>
      <c r="B4979" s="4">
        <v>38832</v>
      </c>
      <c r="D4979" s="5">
        <v>38832</v>
      </c>
      <c r="E4979" s="6" t="str">
        <f>HYPERLINK("https://inpn.mnhn.fr/espece/cd_nom/38832","Pluteus murinus Bres., 1905")</f>
        <v>Pluteus murinus Bres., 1905</v>
      </c>
      <c r="AH4979" s="4" t="str">
        <f>HYPERLINK("#Statut_biogéographique!A"&amp;_xlfn.XMATCH("P",Statut_biogéographique!A:A,2,1),"P")</f>
        <v>P</v>
      </c>
      <c r="AP4979" s="4" t="s">
        <v>376</v>
      </c>
      <c r="AR4979" s="4" t="s">
        <v>377</v>
      </c>
    </row>
    <row r="4980" spans="1:44">
      <c r="A4980" s="4" t="s">
        <v>5</v>
      </c>
      <c r="B4980" s="4">
        <v>38834</v>
      </c>
      <c r="D4980" s="5" t="s">
        <v>7285</v>
      </c>
      <c r="E4980" s="6" t="str">
        <f>HYPERLINK("https://inpn.mnhn.fr/espece/cd_nom/38834","Pluteus exiguus (Pat.) Sacc., 1887")</f>
        <v>Pluteus exiguus (Pat.) Sacc., 1887</v>
      </c>
      <c r="V4980" s="7" t="str">
        <f>HYPERLINK("#Liste_rouge!A"&amp;_xlfn.XMATCH("NT",Liste_rouge!A:A,2,1),"NT")</f>
        <v>NT</v>
      </c>
      <c r="W4980" s="4" t="str">
        <f>HYPERLINK("#Critères_liste_rouge!A$1","pr. B2abiii")</f>
        <v>pr. B2abiii</v>
      </c>
      <c r="AH4980" s="4" t="str">
        <f>HYPERLINK("#Statut_biogéographique!A"&amp;_xlfn.XMATCH("P",Statut_biogéographique!A:A,2,1),"P")</f>
        <v>P</v>
      </c>
      <c r="AP4980" s="4" t="s">
        <v>376</v>
      </c>
      <c r="AR4980" s="4" t="s">
        <v>377</v>
      </c>
    </row>
    <row r="4981" spans="1:44">
      <c r="A4981" s="4" t="s">
        <v>5</v>
      </c>
      <c r="B4981" s="4">
        <v>38838</v>
      </c>
      <c r="D4981" s="5">
        <v>38838</v>
      </c>
      <c r="E4981" s="6" t="str">
        <f>HYPERLINK("https://inpn.mnhn.fr/espece/cd_nom/38838","Pluteus godeyi Gillet, 1876")</f>
        <v>Pluteus godeyi Gillet, 1876</v>
      </c>
      <c r="V4981" s="7" t="str">
        <f>HYPERLINK("#Liste_rouge!A"&amp;_xlfn.XMATCH("NT",Liste_rouge!A:A,2,1),"NT")</f>
        <v>NT</v>
      </c>
      <c r="W4981" s="4" t="str">
        <f>HYPERLINK("#Critères_liste_rouge!A$1","pr. A2c")</f>
        <v>pr. A2c</v>
      </c>
      <c r="AH4981" s="4" t="str">
        <f>HYPERLINK("#Statut_biogéographique!A"&amp;_xlfn.XMATCH("P",Statut_biogéographique!A:A,2,1),"P")</f>
        <v>P</v>
      </c>
      <c r="AP4981" s="4" t="s">
        <v>376</v>
      </c>
      <c r="AR4981" s="4" t="s">
        <v>377</v>
      </c>
    </row>
    <row r="4982" spans="1:44">
      <c r="A4982" s="4" t="s">
        <v>5</v>
      </c>
      <c r="B4982" s="4">
        <v>38841</v>
      </c>
      <c r="D4982" s="5">
        <v>38841</v>
      </c>
      <c r="E4982" s="6" t="str">
        <f>HYPERLINK("https://inpn.mnhn.fr/espece/cd_nom/38841","Pluteus granulatus Bres., 1881")</f>
        <v>Pluteus granulatus Bres., 1881</v>
      </c>
      <c r="V4982" s="7" t="str">
        <f>HYPERLINK("#Liste_rouge!A"&amp;_xlfn.XMATCH("NT",Liste_rouge!A:A,2,1),"NT")</f>
        <v>NT</v>
      </c>
      <c r="W4982" s="4" t="str">
        <f>HYPERLINK("#Critères_liste_rouge!A$1","pr. B2abiii")</f>
        <v>pr. B2abiii</v>
      </c>
      <c r="AH4982" s="4" t="str">
        <f>HYPERLINK("#Statut_biogéographique!A"&amp;_xlfn.XMATCH("P",Statut_biogéographique!A:A,2,1),"P")</f>
        <v>P</v>
      </c>
      <c r="AP4982" s="4" t="s">
        <v>376</v>
      </c>
      <c r="AR4982" s="4" t="s">
        <v>377</v>
      </c>
    </row>
    <row r="4983" spans="1:44">
      <c r="A4983" s="4" t="s">
        <v>5</v>
      </c>
      <c r="B4983" s="4">
        <v>38843</v>
      </c>
      <c r="D4983" s="5">
        <v>38843</v>
      </c>
      <c r="E4983" s="6" t="str">
        <f>HYPERLINK("https://inpn.mnhn.fr/espece/cd_nom/38843","Pluteus griseoluridus P.D.Orton, 1984")</f>
        <v>Pluteus griseoluridus P.D.Orton, 1984</v>
      </c>
      <c r="V4983" s="7" t="str">
        <f>HYPERLINK("#Liste_rouge!A"&amp;_xlfn.XMATCH("EN",Liste_rouge!A:A,2,1),"EN")</f>
        <v>EN</v>
      </c>
      <c r="W4983" s="4" t="str">
        <f>HYPERLINK("#Critères_liste_rouge!A$1","B2abiii")</f>
        <v>B2abiii</v>
      </c>
      <c r="AH4983" s="4" t="str">
        <f>HYPERLINK("#Statut_biogéographique!A"&amp;_xlfn.XMATCH("P",Statut_biogéographique!A:A,2,1),"P")</f>
        <v>P</v>
      </c>
      <c r="AP4983" s="4" t="s">
        <v>376</v>
      </c>
      <c r="AR4983" s="4" t="s">
        <v>377</v>
      </c>
    </row>
    <row r="4984" spans="1:44">
      <c r="A4984" s="4" t="s">
        <v>5</v>
      </c>
      <c r="B4984" s="4">
        <v>38845</v>
      </c>
      <c r="D4984" s="5" t="s">
        <v>7286</v>
      </c>
      <c r="E4984" s="6" t="str">
        <f>HYPERLINK("https://inpn.mnhn.fr/espece/cd_nom/38845","Pluteus griseopus P.D.Orton, 1960")</f>
        <v>Pluteus griseopus P.D.Orton, 1960</v>
      </c>
      <c r="F4984" s="5" t="s">
        <v>1479</v>
      </c>
      <c r="V4984" s="7" t="str">
        <f>HYPERLINK("#Liste_rouge!A"&amp;_xlfn.XMATCH("DD",Liste_rouge!A:A,2,1),"DD")</f>
        <v>DD</v>
      </c>
      <c r="AH4984" s="4" t="str">
        <f>HYPERLINK("#Statut_biogéographique!A"&amp;_xlfn.XMATCH("P",Statut_biogéographique!A:A,2,1),"P")</f>
        <v>P</v>
      </c>
      <c r="AP4984" s="4" t="s">
        <v>376</v>
      </c>
      <c r="AR4984" s="4" t="s">
        <v>377</v>
      </c>
    </row>
    <row r="4985" spans="1:44">
      <c r="A4985" s="4" t="s">
        <v>5</v>
      </c>
      <c r="B4985" s="4">
        <v>38847</v>
      </c>
      <c r="D4985" s="5">
        <v>38847</v>
      </c>
      <c r="E4985" s="6" t="str">
        <f>HYPERLINK("https://inpn.mnhn.fr/espece/cd_nom/38847","Pluteus hiatulus Romagn., 1953")</f>
        <v>Pluteus hiatulus Romagn., 1953</v>
      </c>
      <c r="V4985" s="7" t="str">
        <f>HYPERLINK("#Liste_rouge!A"&amp;_xlfn.XMATCH("EN",Liste_rouge!A:A,2,1),"EN")</f>
        <v>EN</v>
      </c>
      <c r="W4985" s="4" t="str">
        <f>HYPERLINK("#Critères_liste_rouge!A$1","B2abiii")</f>
        <v>B2abiii</v>
      </c>
      <c r="AH4985" s="4" t="str">
        <f>HYPERLINK("#Statut_biogéographique!A"&amp;_xlfn.XMATCH("P",Statut_biogéographique!A:A,2,1),"P")</f>
        <v>P</v>
      </c>
      <c r="AP4985" s="4" t="s">
        <v>376</v>
      </c>
      <c r="AR4985" s="4" t="s">
        <v>377</v>
      </c>
    </row>
    <row r="4986" spans="1:44">
      <c r="A4986" s="4" t="s">
        <v>5</v>
      </c>
      <c r="B4986" s="4">
        <v>38849</v>
      </c>
      <c r="D4986" s="5" t="s">
        <v>7287</v>
      </c>
      <c r="E4986" s="6" t="str">
        <f>HYPERLINK("https://inpn.mnhn.fr/espece/cd_nom/38849","Pluteus hispidulus (Fr.) Gillet, 1876")</f>
        <v>Pluteus hispidulus (Fr.) Gillet, 1876</v>
      </c>
      <c r="V4986" s="7" t="str">
        <f>HYPERLINK("#Liste_rouge!A"&amp;_xlfn.XMATCH("LC",Liste_rouge!A:A,2,1),"LC")</f>
        <v>LC</v>
      </c>
      <c r="AH4986" s="4" t="str">
        <f>HYPERLINK("#Statut_biogéographique!A"&amp;_xlfn.XMATCH("P",Statut_biogéographique!A:A,2,1),"P")</f>
        <v>P</v>
      </c>
      <c r="AP4986" s="4" t="s">
        <v>376</v>
      </c>
      <c r="AR4986" s="4" t="s">
        <v>377</v>
      </c>
    </row>
    <row r="4987" spans="1:44">
      <c r="A4987" s="4" t="s">
        <v>5</v>
      </c>
      <c r="B4987" s="4">
        <v>38853</v>
      </c>
      <c r="D4987" s="5">
        <v>38853</v>
      </c>
      <c r="E4987" s="6" t="str">
        <f>HYPERLINK("https://inpn.mnhn.fr/espece/cd_nom/38853","Pluteus insidiosus Vellinga &amp; Schreurs, 1985")</f>
        <v>Pluteus insidiosus Vellinga &amp; Schreurs, 1985</v>
      </c>
      <c r="V4987" s="7" t="str">
        <f>HYPERLINK("#Liste_rouge!A"&amp;_xlfn.XMATCH("EN",Liste_rouge!A:A,2,1),"EN")</f>
        <v>EN</v>
      </c>
      <c r="W4987" s="4" t="str">
        <f>HYPERLINK("#Critères_liste_rouge!A$1","B2abiii")</f>
        <v>B2abiii</v>
      </c>
      <c r="AH4987" s="4" t="str">
        <f>HYPERLINK("#Statut_biogéographique!A"&amp;_xlfn.XMATCH("P",Statut_biogéographique!A:A,2,1),"P")</f>
        <v>P</v>
      </c>
      <c r="AP4987" s="4" t="s">
        <v>376</v>
      </c>
      <c r="AR4987" s="4" t="s">
        <v>377</v>
      </c>
    </row>
    <row r="4988" spans="1:44">
      <c r="A4988" s="4" t="s">
        <v>5</v>
      </c>
      <c r="B4988" s="4">
        <v>38859</v>
      </c>
      <c r="D4988" s="5" t="s">
        <v>7288</v>
      </c>
      <c r="E4988" s="6" t="str">
        <f>HYPERLINK("https://inpn.mnhn.fr/espece/cd_nom/38859","Pluteus luctuosus Boud., 1905")</f>
        <v>Pluteus luctuosus Boud., 1905</v>
      </c>
      <c r="V4988" s="7" t="str">
        <f>HYPERLINK("#Liste_rouge!A"&amp;_xlfn.XMATCH("LC",Liste_rouge!A:A,2,1),"LC")</f>
        <v>LC</v>
      </c>
      <c r="AH4988" s="4" t="str">
        <f>HYPERLINK("#Statut_biogéographique!A"&amp;_xlfn.XMATCH("P",Statut_biogéographique!A:A,2,1),"P")</f>
        <v>P</v>
      </c>
      <c r="AP4988" s="4" t="s">
        <v>376</v>
      </c>
      <c r="AR4988" s="4" t="s">
        <v>377</v>
      </c>
    </row>
    <row r="4989" spans="1:44">
      <c r="A4989" s="4" t="s">
        <v>5</v>
      </c>
      <c r="B4989" s="4">
        <v>38865</v>
      </c>
      <c r="D4989" s="5">
        <v>38865</v>
      </c>
      <c r="E4989" s="6" t="str">
        <f>HYPERLINK("https://inpn.mnhn.fr/espece/cd_nom/38865","Pluteus luteovirens Rea, 1927")</f>
        <v>Pluteus luteovirens Rea, 1927</v>
      </c>
      <c r="V4989" s="7" t="str">
        <f>HYPERLINK("#Liste_rouge!A"&amp;_xlfn.XMATCH("EN",Liste_rouge!A:A,2,1),"EN")</f>
        <v>EN</v>
      </c>
      <c r="W4989" s="4" t="str">
        <f>HYPERLINK("#Critères_liste_rouge!A$1","B2abiii")</f>
        <v>B2abiii</v>
      </c>
      <c r="AH4989" s="4" t="str">
        <f>HYPERLINK("#Statut_biogéographique!A"&amp;_xlfn.XMATCH("P",Statut_biogéographique!A:A,2,1),"P")</f>
        <v>P</v>
      </c>
      <c r="AP4989" s="4" t="s">
        <v>376</v>
      </c>
      <c r="AR4989" s="4" t="s">
        <v>377</v>
      </c>
    </row>
    <row r="4990" spans="1:44">
      <c r="A4990" s="4" t="s">
        <v>5</v>
      </c>
      <c r="B4990" s="4">
        <v>38868</v>
      </c>
      <c r="D4990" s="5" t="s">
        <v>7289</v>
      </c>
      <c r="E4990" s="6" t="str">
        <f>HYPERLINK("https://inpn.mnhn.fr/espece/cd_nom/38868","Pluteus nanus (Pers.) P.Kumm., 1871")</f>
        <v>Pluteus nanus (Pers.) P.Kumm., 1871</v>
      </c>
      <c r="F4990" s="5" t="s">
        <v>7290</v>
      </c>
      <c r="V4990" s="7" t="str">
        <f>HYPERLINK("#Liste_rouge!A"&amp;_xlfn.XMATCH("LC",Liste_rouge!A:A,2,1),"LC")</f>
        <v>LC</v>
      </c>
      <c r="AH4990" s="4" t="str">
        <f>HYPERLINK("#Statut_biogéographique!A"&amp;_xlfn.XMATCH("P",Statut_biogéographique!A:A,2,1),"P")</f>
        <v>P</v>
      </c>
      <c r="AP4990" s="4" t="s">
        <v>376</v>
      </c>
      <c r="AR4990" s="4" t="s">
        <v>377</v>
      </c>
    </row>
    <row r="4991" spans="1:44">
      <c r="A4991" s="4" t="s">
        <v>5</v>
      </c>
      <c r="B4991" s="4">
        <v>38874</v>
      </c>
      <c r="D4991" s="5" t="s">
        <v>7291</v>
      </c>
      <c r="E4991" s="6" t="str">
        <f>HYPERLINK("https://inpn.mnhn.fr/espece/cd_nom/38874","Pluteus pellitus (Pers.) P.Kumm., 1871")</f>
        <v>Pluteus pellitus (Pers.) P.Kumm., 1871</v>
      </c>
      <c r="V4991" s="7" t="str">
        <f>HYPERLINK("#Liste_rouge!A"&amp;_xlfn.XMATCH("EN",Liste_rouge!A:A,2,1),"EN")</f>
        <v>EN</v>
      </c>
      <c r="W4991" s="4" t="str">
        <f>HYPERLINK("#Critères_liste_rouge!A$1","B2abiii")</f>
        <v>B2abiii</v>
      </c>
      <c r="AH4991" s="4" t="str">
        <f>HYPERLINK("#Statut_biogéographique!A"&amp;_xlfn.XMATCH("P",Statut_biogéographique!A:A,2,1),"P")</f>
        <v>P</v>
      </c>
      <c r="AP4991" s="4" t="s">
        <v>376</v>
      </c>
      <c r="AR4991" s="4" t="s">
        <v>377</v>
      </c>
    </row>
    <row r="4992" spans="1:44" ht="30">
      <c r="A4992" s="4" t="s">
        <v>5</v>
      </c>
      <c r="B4992" s="4">
        <v>38877</v>
      </c>
      <c r="D4992" s="5" t="s">
        <v>7292</v>
      </c>
      <c r="E4992" s="6" t="str">
        <f>HYPERLINK("https://inpn.mnhn.fr/espece/cd_nom/38877","Pluteus phlebophorus (Ditmar) P.Kumm., 1871")</f>
        <v>Pluteus phlebophorus (Ditmar) P.Kumm., 1871</v>
      </c>
      <c r="F4992" s="5" t="s">
        <v>7293</v>
      </c>
      <c r="V4992" s="7" t="str">
        <f>HYPERLINK("#Liste_rouge!A"&amp;_xlfn.XMATCH("LC",Liste_rouge!A:A,2,1),"LC")</f>
        <v>LC</v>
      </c>
      <c r="AH4992" s="4" t="str">
        <f>HYPERLINK("#Statut_biogéographique!A"&amp;_xlfn.XMATCH("P",Statut_biogéographique!A:A,2,1),"P")</f>
        <v>P</v>
      </c>
      <c r="AP4992" s="4" t="s">
        <v>376</v>
      </c>
      <c r="AR4992" s="4" t="s">
        <v>377</v>
      </c>
    </row>
    <row r="4993" spans="1:44">
      <c r="A4993" s="4" t="s">
        <v>5</v>
      </c>
      <c r="B4993" s="4">
        <v>38881</v>
      </c>
      <c r="D4993" s="5" t="s">
        <v>7294</v>
      </c>
      <c r="E4993" s="6" t="str">
        <f>HYPERLINK("https://inpn.mnhn.fr/espece/cd_nom/38881","Pluteus podospileus Sacc. &amp; Cub., 1887")</f>
        <v>Pluteus podospileus Sacc. &amp; Cub., 1887</v>
      </c>
      <c r="V4993" s="7" t="str">
        <f>HYPERLINK("#Liste_rouge!A"&amp;_xlfn.XMATCH("EN",Liste_rouge!A:A,2,1),"EN")</f>
        <v>EN</v>
      </c>
      <c r="W4993" s="4" t="str">
        <f>HYPERLINK("#Critères_liste_rouge!A$1","B2abiii")</f>
        <v>B2abiii</v>
      </c>
      <c r="AH4993" s="4" t="str">
        <f>HYPERLINK("#Statut_biogéographique!A"&amp;_xlfn.XMATCH("P",Statut_biogéographique!A:A,2,1),"P")</f>
        <v>P</v>
      </c>
      <c r="AP4993" s="4" t="s">
        <v>376</v>
      </c>
      <c r="AR4993" s="4" t="s">
        <v>377</v>
      </c>
    </row>
    <row r="4994" spans="1:44">
      <c r="A4994" s="4" t="s">
        <v>5</v>
      </c>
      <c r="B4994" s="4">
        <v>38885</v>
      </c>
      <c r="D4994" s="5">
        <v>38885</v>
      </c>
      <c r="E4994" s="6" t="str">
        <f>HYPERLINK("https://inpn.mnhn.fr/espece/cd_nom/38885","Pluteus pouzarianus Singer, 1983")</f>
        <v>Pluteus pouzarianus Singer, 1983</v>
      </c>
      <c r="V4994" s="7" t="str">
        <f>HYPERLINK("#Liste_rouge!A"&amp;_xlfn.XMATCH("LC",Liste_rouge!A:A,2,1),"LC")</f>
        <v>LC</v>
      </c>
      <c r="AH4994" s="4" t="str">
        <f>HYPERLINK("#Statut_biogéographique!A"&amp;_xlfn.XMATCH("P",Statut_biogéographique!A:A,2,1),"P")</f>
        <v>P</v>
      </c>
      <c r="AP4994" s="4" t="s">
        <v>376</v>
      </c>
      <c r="AR4994" s="4" t="s">
        <v>377</v>
      </c>
    </row>
    <row r="4995" spans="1:44">
      <c r="A4995" s="4" t="s">
        <v>5</v>
      </c>
      <c r="B4995" s="4">
        <v>38888</v>
      </c>
      <c r="D4995" s="5">
        <v>38888</v>
      </c>
      <c r="E4995" s="6" t="str">
        <f>HYPERLINK("https://inpn.mnhn.fr/espece/cd_nom/38888","Pluteus punctipes P.D.Orton, 1960")</f>
        <v>Pluteus punctipes P.D.Orton, 1960</v>
      </c>
      <c r="V4995" s="7" t="str">
        <f>HYPERLINK("#Liste_rouge!A"&amp;_xlfn.XMATCH("DD",Liste_rouge!A:A,2,1),"DD")</f>
        <v>DD</v>
      </c>
      <c r="AH4995" s="4" t="str">
        <f>HYPERLINK("#Statut_biogéographique!A"&amp;_xlfn.XMATCH("P",Statut_biogéographique!A:A,2,1),"P")</f>
        <v>P</v>
      </c>
      <c r="AP4995" s="4" t="s">
        <v>376</v>
      </c>
      <c r="AR4995" s="4" t="s">
        <v>377</v>
      </c>
    </row>
    <row r="4996" spans="1:44" ht="30">
      <c r="A4996" s="4" t="s">
        <v>5</v>
      </c>
      <c r="B4996" s="4">
        <v>38891</v>
      </c>
      <c r="D4996" s="5" t="s">
        <v>7295</v>
      </c>
      <c r="E4996" s="6" t="str">
        <f>HYPERLINK("https://inpn.mnhn.fr/espece/cd_nom/38891","Pluteus romellii (Britzelm.) Sacc., 1895")</f>
        <v>Pluteus romellii (Britzelm.) Sacc., 1895</v>
      </c>
      <c r="V4996" s="7" t="str">
        <f>HYPERLINK("#Liste_rouge!A"&amp;_xlfn.XMATCH("LC",Liste_rouge!A:A,2,1),"LC")</f>
        <v>LC</v>
      </c>
      <c r="AH4996" s="4" t="str">
        <f>HYPERLINK("#Statut_biogéographique!A"&amp;_xlfn.XMATCH("P",Statut_biogéographique!A:A,2,1),"P")</f>
        <v>P</v>
      </c>
      <c r="AP4996" s="4" t="s">
        <v>376</v>
      </c>
      <c r="AR4996" s="4" t="s">
        <v>377</v>
      </c>
    </row>
    <row r="4997" spans="1:44">
      <c r="A4997" s="4" t="s">
        <v>5</v>
      </c>
      <c r="B4997" s="4">
        <v>38895</v>
      </c>
      <c r="D4997" s="5" t="s">
        <v>7296</v>
      </c>
      <c r="E4997" s="6" t="str">
        <f>HYPERLINK("https://inpn.mnhn.fr/espece/cd_nom/38895","Pluteus roseipes Höhn., 1902")</f>
        <v>Pluteus roseipes Höhn., 1902</v>
      </c>
      <c r="V4997" s="7" t="str">
        <f>HYPERLINK("#Liste_rouge!A"&amp;_xlfn.XMATCH("LC",Liste_rouge!A:A,2,1),"LC")</f>
        <v>LC</v>
      </c>
      <c r="AH4997" s="4" t="str">
        <f>HYPERLINK("#Statut_biogéographique!A"&amp;_xlfn.XMATCH("P",Statut_biogéographique!A:A,2,1),"P")</f>
        <v>P</v>
      </c>
      <c r="AP4997" s="4" t="s">
        <v>376</v>
      </c>
      <c r="AR4997" s="4" t="s">
        <v>377</v>
      </c>
    </row>
    <row r="4998" spans="1:44">
      <c r="A4998" s="4" t="s">
        <v>5</v>
      </c>
      <c r="B4998" s="4">
        <v>38898</v>
      </c>
      <c r="D4998" s="5" t="s">
        <v>7297</v>
      </c>
      <c r="E4998" s="6" t="str">
        <f>HYPERLINK("https://inpn.mnhn.fr/espece/cd_nom/38898","Pluteus salicinus (Pers.) P.Kumm., 1871")</f>
        <v>Pluteus salicinus (Pers.) P.Kumm., 1871</v>
      </c>
      <c r="F4998" s="5" t="s">
        <v>7298</v>
      </c>
      <c r="V4998" s="7" t="str">
        <f>HYPERLINK("#Liste_rouge!A"&amp;_xlfn.XMATCH("LC",Liste_rouge!A:A,2,1),"LC")</f>
        <v>LC</v>
      </c>
      <c r="AH4998" s="4" t="str">
        <f>HYPERLINK("#Statut_biogéographique!A"&amp;_xlfn.XMATCH("P",Statut_biogéographique!A:A,2,1),"P")</f>
        <v>P</v>
      </c>
      <c r="AP4998" s="4" t="s">
        <v>376</v>
      </c>
      <c r="AR4998" s="4" t="s">
        <v>377</v>
      </c>
    </row>
    <row r="4999" spans="1:44">
      <c r="A4999" s="4" t="s">
        <v>5</v>
      </c>
      <c r="B4999" s="4">
        <v>38902</v>
      </c>
      <c r="D4999" s="5">
        <v>38902</v>
      </c>
      <c r="E4999" s="6" t="str">
        <f>HYPERLINK("https://inpn.mnhn.fr/espece/cd_nom/38902","Pluteus satur Kühner &amp; Romagn., 1956")</f>
        <v>Pluteus satur Kühner &amp; Romagn., 1956</v>
      </c>
      <c r="V4999" s="7" t="str">
        <f>HYPERLINK("#Liste_rouge!A"&amp;_xlfn.XMATCH("EN",Liste_rouge!A:A,2,1),"EN")</f>
        <v>EN</v>
      </c>
      <c r="W4999" s="4" t="str">
        <f>HYPERLINK("#Critères_liste_rouge!A$1","B2abiii")</f>
        <v>B2abiii</v>
      </c>
      <c r="AH4999" s="4" t="str">
        <f>HYPERLINK("#Statut_biogéographique!A"&amp;_xlfn.XMATCH("P",Statut_biogéographique!A:A,2,1),"P")</f>
        <v>P</v>
      </c>
      <c r="AP4999" s="4" t="s">
        <v>376</v>
      </c>
      <c r="AR4999" s="4" t="s">
        <v>377</v>
      </c>
    </row>
    <row r="5000" spans="1:44">
      <c r="A5000" s="4" t="s">
        <v>5</v>
      </c>
      <c r="B5000" s="4">
        <v>38903</v>
      </c>
      <c r="D5000" s="5" t="s">
        <v>7299</v>
      </c>
      <c r="E5000" s="6" t="str">
        <f>HYPERLINK("https://inpn.mnhn.fr/espece/cd_nom/38903","Pluteus pallescens P.D.Orton, 1960")</f>
        <v>Pluteus pallescens P.D.Orton, 1960</v>
      </c>
      <c r="V5000" s="7" t="str">
        <f>HYPERLINK("#Liste_rouge!A"&amp;_xlfn.XMATCH("LC",Liste_rouge!A:A,2,1),"LC")</f>
        <v>LC</v>
      </c>
      <c r="AH5000" s="4" t="str">
        <f>HYPERLINK("#Statut_biogéographique!A"&amp;_xlfn.XMATCH("P",Statut_biogéographique!A:A,2,1),"P")</f>
        <v>P</v>
      </c>
      <c r="AP5000" s="4" t="s">
        <v>376</v>
      </c>
      <c r="AR5000" s="4" t="s">
        <v>377</v>
      </c>
    </row>
    <row r="5001" spans="1:44">
      <c r="A5001" s="4" t="s">
        <v>5</v>
      </c>
      <c r="B5001" s="4">
        <v>38907</v>
      </c>
      <c r="D5001" s="5" t="s">
        <v>7300</v>
      </c>
      <c r="E5001" s="6" t="str">
        <f>HYPERLINK("https://inpn.mnhn.fr/espece/cd_nom/38907","Pluteus minutissimus Maire, 1937")</f>
        <v>Pluteus minutissimus Maire, 1937</v>
      </c>
      <c r="V5001" s="7" t="str">
        <f>HYPERLINK("#Liste_rouge!A"&amp;_xlfn.XMATCH("LC",Liste_rouge!A:A,2,1),"LC")</f>
        <v>LC</v>
      </c>
      <c r="AH5001" s="4" t="str">
        <f>HYPERLINK("#Statut_biogéographique!A"&amp;_xlfn.XMATCH("P",Statut_biogéographique!A:A,2,1),"P")</f>
        <v>P</v>
      </c>
      <c r="AP5001" s="4" t="s">
        <v>376</v>
      </c>
      <c r="AR5001" s="4" t="s">
        <v>377</v>
      </c>
    </row>
    <row r="5002" spans="1:44" ht="30">
      <c r="A5002" s="4" t="s">
        <v>5</v>
      </c>
      <c r="B5002" s="4">
        <v>38910</v>
      </c>
      <c r="D5002" s="5" t="s">
        <v>7301</v>
      </c>
      <c r="E5002" s="6" t="str">
        <f>HYPERLINK("https://inpn.mnhn.fr/espece/cd_nom/38910","Pluteus thomsonii (Berk. &amp; Broome) Dennis, 1948")</f>
        <v>Pluteus thomsonii (Berk. &amp; Broome) Dennis, 1948</v>
      </c>
      <c r="V5002" s="7" t="str">
        <f>HYPERLINK("#Liste_rouge!A"&amp;_xlfn.XMATCH("LC",Liste_rouge!A:A,2,1),"LC")</f>
        <v>LC</v>
      </c>
      <c r="AH5002" s="4" t="str">
        <f>HYPERLINK("#Statut_biogéographique!A"&amp;_xlfn.XMATCH("P",Statut_biogéographique!A:A,2,1),"P")</f>
        <v>P</v>
      </c>
      <c r="AP5002" s="4" t="s">
        <v>376</v>
      </c>
      <c r="AR5002" s="4" t="s">
        <v>377</v>
      </c>
    </row>
    <row r="5003" spans="1:44">
      <c r="A5003" s="4" t="s">
        <v>5</v>
      </c>
      <c r="B5003" s="4">
        <v>38914</v>
      </c>
      <c r="D5003" s="5" t="s">
        <v>7302</v>
      </c>
      <c r="E5003" s="6" t="str">
        <f>HYPERLINK("https://inpn.mnhn.fr/espece/cd_nom/38914","Pluteus umbrosus (Pers.) P.Kumm., 1871")</f>
        <v>Pluteus umbrosus (Pers.) P.Kumm., 1871</v>
      </c>
      <c r="F5003" s="5" t="s">
        <v>7303</v>
      </c>
      <c r="V5003" s="7" t="str">
        <f>HYPERLINK("#Liste_rouge!A"&amp;_xlfn.XMATCH("NT",Liste_rouge!A:A,2,1),"NT")</f>
        <v>NT</v>
      </c>
      <c r="W5003" s="4" t="str">
        <f>HYPERLINK("#Critères_liste_rouge!A$1","pr. A2c")</f>
        <v>pr. A2c</v>
      </c>
      <c r="AH5003" s="4" t="str">
        <f>HYPERLINK("#Statut_biogéographique!A"&amp;_xlfn.XMATCH("P",Statut_biogéographique!A:A,2,1),"P")</f>
        <v>P</v>
      </c>
      <c r="AP5003" s="4" t="s">
        <v>376</v>
      </c>
      <c r="AR5003" s="4" t="s">
        <v>377</v>
      </c>
    </row>
    <row r="5004" spans="1:44">
      <c r="A5004" s="4" t="s">
        <v>5</v>
      </c>
      <c r="B5004" s="4">
        <v>38922</v>
      </c>
      <c r="D5004" s="5" t="s">
        <v>7304</v>
      </c>
      <c r="E5004" s="6" t="str">
        <f>HYPERLINK("https://inpn.mnhn.fr/espece/cd_nom/38922","Volvariella bombycina (Schaeff.) Singer, 1951")</f>
        <v>Volvariella bombycina (Schaeff.) Singer, 1951</v>
      </c>
      <c r="F5004" s="5" t="s">
        <v>3714</v>
      </c>
      <c r="V5004" s="7" t="str">
        <f>HYPERLINK("#Liste_rouge!A"&amp;_xlfn.XMATCH("CR",Liste_rouge!A:A,2,1),"CR")</f>
        <v>CR</v>
      </c>
      <c r="W5004" s="4" t="str">
        <f>HYPERLINK("#Critères_liste_rouge!A$1","B2abiii")</f>
        <v>B2abiii</v>
      </c>
      <c r="AH5004" s="4" t="str">
        <f>HYPERLINK("#Statut_biogéographique!A"&amp;_xlfn.XMATCH("P",Statut_biogéographique!A:A,2,1),"P")</f>
        <v>P</v>
      </c>
      <c r="AP5004" s="4" t="s">
        <v>376</v>
      </c>
      <c r="AR5004" s="4" t="s">
        <v>377</v>
      </c>
    </row>
    <row r="5005" spans="1:44" ht="30">
      <c r="A5005" s="4" t="s">
        <v>5</v>
      </c>
      <c r="B5005" s="4">
        <v>38930</v>
      </c>
      <c r="D5005" s="5" t="s">
        <v>7305</v>
      </c>
      <c r="E5005" s="6" t="str">
        <f>HYPERLINK("https://inpn.mnhn.fr/espece/cd_nom/38930","Volvariella hypopithys (Fr.) Shaffer, 1957")</f>
        <v>Volvariella hypopithys (Fr.) Shaffer, 1957</v>
      </c>
      <c r="V5005" s="7" t="str">
        <f>HYPERLINK("#Liste_rouge!A"&amp;_xlfn.XMATCH("LC",Liste_rouge!A:A,2,1),"LC")</f>
        <v>LC</v>
      </c>
      <c r="AH5005" s="4" t="str">
        <f>HYPERLINK("#Statut_biogéographique!A"&amp;_xlfn.XMATCH("P",Statut_biogéographique!A:A,2,1),"P")</f>
        <v>P</v>
      </c>
      <c r="AP5005" s="4" t="s">
        <v>376</v>
      </c>
      <c r="AR5005" s="4" t="s">
        <v>377</v>
      </c>
    </row>
    <row r="5006" spans="1:44" ht="30">
      <c r="A5006" s="4" t="s">
        <v>5</v>
      </c>
      <c r="B5006" s="4">
        <v>38936</v>
      </c>
      <c r="D5006" s="5" t="s">
        <v>7306</v>
      </c>
      <c r="E5006" s="6" t="str">
        <f>HYPERLINK("https://inpn.mnhn.fr/espece/cd_nom/38936","Volvariella murinella (Quél.) M.M.Moser ex Dennis, P.D.Orton &amp; Hora, 1960")</f>
        <v>Volvariella murinella (Quél.) M.M.Moser ex Dennis, P.D.Orton &amp; Hora, 1960</v>
      </c>
      <c r="V5006" s="7" t="str">
        <f>HYPERLINK("#Liste_rouge!A"&amp;_xlfn.XMATCH("LC",Liste_rouge!A:A,2,1),"LC")</f>
        <v>LC</v>
      </c>
      <c r="AH5006" s="4" t="str">
        <f>HYPERLINK("#Statut_biogéographique!A"&amp;_xlfn.XMATCH("P",Statut_biogéographique!A:A,2,1),"P")</f>
        <v>P</v>
      </c>
      <c r="AP5006" s="4" t="s">
        <v>376</v>
      </c>
      <c r="AR5006" s="4" t="s">
        <v>377</v>
      </c>
    </row>
    <row r="5007" spans="1:44">
      <c r="A5007" s="4" t="s">
        <v>5</v>
      </c>
      <c r="B5007" s="4">
        <v>38940</v>
      </c>
      <c r="D5007" s="5" t="s">
        <v>7307</v>
      </c>
      <c r="E5007" s="6" t="str">
        <f>HYPERLINK("https://inpn.mnhn.fr/espece/cd_nom/38940","Volvariella pusilla (Pers.) Singer, 1951")</f>
        <v>Volvariella pusilla (Pers.) Singer, 1951</v>
      </c>
      <c r="F5007" s="5" t="s">
        <v>7308</v>
      </c>
      <c r="V5007" s="7" t="str">
        <f>HYPERLINK("#Liste_rouge!A"&amp;_xlfn.XMATCH("NT",Liste_rouge!A:A,2,1),"NT")</f>
        <v>NT</v>
      </c>
      <c r="W5007" s="4" t="str">
        <f>HYPERLINK("#Critères_liste_rouge!A$1","pr. B2abiii")</f>
        <v>pr. B2abiii</v>
      </c>
      <c r="AH5007" s="4" t="str">
        <f>HYPERLINK("#Statut_biogéographique!A"&amp;_xlfn.XMATCH("P",Statut_biogéographique!A:A,2,1),"P")</f>
        <v>P</v>
      </c>
      <c r="AP5007" s="4" t="s">
        <v>376</v>
      </c>
      <c r="AR5007" s="4" t="s">
        <v>377</v>
      </c>
    </row>
    <row r="5008" spans="1:44">
      <c r="A5008" s="4" t="s">
        <v>5</v>
      </c>
      <c r="B5008" s="4">
        <v>38950</v>
      </c>
      <c r="D5008" s="5" t="s">
        <v>7309</v>
      </c>
      <c r="E5008" s="6" t="str">
        <f>HYPERLINK("https://inpn.mnhn.fr/espece/cd_nom/38950","Volvariella surrecta (Knapp) Singer, 1951")</f>
        <v>Volvariella surrecta (Knapp) Singer, 1951</v>
      </c>
      <c r="F5008" s="5" t="s">
        <v>990</v>
      </c>
      <c r="V5008" s="7" t="str">
        <f>HYPERLINK("#Liste_rouge!A"&amp;_xlfn.XMATCH("LC",Liste_rouge!A:A,2,1),"LC")</f>
        <v>LC</v>
      </c>
      <c r="AH5008" s="4" t="str">
        <f>HYPERLINK("#Statut_biogéographique!A"&amp;_xlfn.XMATCH("P",Statut_biogéographique!A:A,2,1),"P")</f>
        <v>P</v>
      </c>
      <c r="AP5008" s="4" t="s">
        <v>376</v>
      </c>
      <c r="AR5008" s="4" t="s">
        <v>377</v>
      </c>
    </row>
    <row r="5009" spans="1:44" ht="30">
      <c r="A5009" s="4" t="s">
        <v>5</v>
      </c>
      <c r="B5009" s="4">
        <v>38954</v>
      </c>
      <c r="D5009" s="5" t="s">
        <v>7310</v>
      </c>
      <c r="E5009" s="6" t="str">
        <f>HYPERLINK("https://inpn.mnhn.fr/espece/cd_nom/38954","Volvariella taylori (Berk. &amp; Broome) Singer, 1951")</f>
        <v>Volvariella taylori (Berk. &amp; Broome) Singer, 1951</v>
      </c>
      <c r="V5009" s="7" t="str">
        <f>HYPERLINK("#Liste_rouge!A"&amp;_xlfn.XMATCH("EN",Liste_rouge!A:A,2,1),"EN")</f>
        <v>EN</v>
      </c>
      <c r="W5009" s="4" t="str">
        <f>HYPERLINK("#Critères_liste_rouge!A$1","B2abiii")</f>
        <v>B2abiii</v>
      </c>
      <c r="AH5009" s="4" t="str">
        <f>HYPERLINK("#Statut_biogéographique!A"&amp;_xlfn.XMATCH("P",Statut_biogéographique!A:A,2,1),"P")</f>
        <v>P</v>
      </c>
      <c r="AP5009" s="4" t="s">
        <v>376</v>
      </c>
      <c r="AR5009" s="4" t="s">
        <v>377</v>
      </c>
    </row>
    <row r="5010" spans="1:44">
      <c r="A5010" s="4" t="s">
        <v>5</v>
      </c>
      <c r="B5010" s="4">
        <v>38958</v>
      </c>
      <c r="D5010" s="5" t="s">
        <v>7311</v>
      </c>
      <c r="E5010" s="6" t="str">
        <f>HYPERLINK("https://inpn.mnhn.fr/espece/cd_nom/38958","Volvariella volvacea (Bull.) Singer, 1951")</f>
        <v>Volvariella volvacea (Bull.) Singer, 1951</v>
      </c>
      <c r="F5010" s="5" t="s">
        <v>7312</v>
      </c>
      <c r="AH5010" s="4" t="str">
        <f>HYPERLINK("#Statut_biogéographique!A"&amp;_xlfn.XMATCH("P",Statut_biogéographique!A:A,2,1),"P")</f>
        <v>P</v>
      </c>
      <c r="AP5010" s="4" t="s">
        <v>376</v>
      </c>
      <c r="AR5010" s="4" t="s">
        <v>377</v>
      </c>
    </row>
    <row r="5011" spans="1:44">
      <c r="A5011" s="4" t="s">
        <v>5</v>
      </c>
      <c r="B5011" s="4">
        <v>38968</v>
      </c>
      <c r="C5011" s="4">
        <v>2819</v>
      </c>
      <c r="D5011" s="5" t="s">
        <v>7313</v>
      </c>
      <c r="E5011" s="6" t="str">
        <f>HYPERLINK("https://inpn.mnhn.fr/espece/cd_nom/38968","Amanita argentea Huijsman, 1959")</f>
        <v>Amanita argentea Huijsman, 1959</v>
      </c>
      <c r="F5011" s="5" t="s">
        <v>7314</v>
      </c>
      <c r="V5011" s="7" t="str">
        <f>HYPERLINK("#Liste_rouge!A"&amp;_xlfn.XMATCH("LC",Liste_rouge!A:A,2,1),"LC")</f>
        <v>LC</v>
      </c>
      <c r="AH5011" s="4" t="str">
        <f>HYPERLINK("#Statut_biogéographique!A"&amp;_xlfn.XMATCH("P",Statut_biogéographique!A:A,2,1),"P")</f>
        <v>P</v>
      </c>
      <c r="AP5011" s="4" t="s">
        <v>376</v>
      </c>
      <c r="AR5011" s="4" t="s">
        <v>377</v>
      </c>
    </row>
    <row r="5012" spans="1:44">
      <c r="A5012" s="4" t="s">
        <v>5</v>
      </c>
      <c r="B5012" s="4">
        <v>38972</v>
      </c>
      <c r="C5012" s="4">
        <v>539</v>
      </c>
      <c r="D5012" s="5" t="s">
        <v>7315</v>
      </c>
      <c r="E5012" s="6" t="str">
        <f>HYPERLINK("https://inpn.mnhn.fr/espece/cd_nom/38972","Amanita queletii Bon &amp; Dennis, 1985")</f>
        <v>Amanita queletii Bon &amp; Dennis, 1985</v>
      </c>
      <c r="F5012" s="5" t="s">
        <v>7316</v>
      </c>
      <c r="V5012" s="7" t="str">
        <f>HYPERLINK("#Liste_rouge!A"&amp;_xlfn.XMATCH("LC",Liste_rouge!A:A,2,1),"LC")</f>
        <v>LC</v>
      </c>
      <c r="AH5012" s="4" t="str">
        <f>HYPERLINK("#Statut_biogéographique!A"&amp;_xlfn.XMATCH("P",Statut_biogéographique!A:A,2,1),"P")</f>
        <v>P</v>
      </c>
      <c r="AP5012" s="4" t="s">
        <v>376</v>
      </c>
      <c r="AR5012" s="4" t="s">
        <v>377</v>
      </c>
    </row>
    <row r="5013" spans="1:44">
      <c r="A5013" s="4" t="s">
        <v>5</v>
      </c>
      <c r="B5013" s="4">
        <v>38975</v>
      </c>
      <c r="C5013" s="4">
        <v>2640</v>
      </c>
      <c r="D5013" s="5" t="s">
        <v>7317</v>
      </c>
      <c r="E5013" s="6" t="str">
        <f>HYPERLINK("https://inpn.mnhn.fr/espece/cd_nom/38975","Amanita asteropus Sabo ex Romagn., 1982")</f>
        <v>Amanita asteropus Sabo ex Romagn., 1982</v>
      </c>
      <c r="F5013" s="5" t="s">
        <v>7318</v>
      </c>
      <c r="V5013" s="7" t="str">
        <f>HYPERLINK("#Liste_rouge!A"&amp;_xlfn.XMATCH("DD",Liste_rouge!A:A,2,1),"DD")</f>
        <v>DD</v>
      </c>
      <c r="AH5013" s="4" t="str">
        <f>HYPERLINK("#Statut_biogéographique!A"&amp;_xlfn.XMATCH("P",Statut_biogéographique!A:A,2,1),"P")</f>
        <v>P</v>
      </c>
      <c r="AP5013" s="4" t="s">
        <v>376</v>
      </c>
      <c r="AR5013" s="4" t="s">
        <v>377</v>
      </c>
    </row>
    <row r="5014" spans="1:44">
      <c r="A5014" s="4" t="s">
        <v>5</v>
      </c>
      <c r="B5014" s="4">
        <v>38981</v>
      </c>
      <c r="C5014" s="4">
        <v>67</v>
      </c>
      <c r="D5014" s="5" t="s">
        <v>7319</v>
      </c>
      <c r="E5014" s="6" t="str">
        <f>HYPERLINK("https://inpn.mnhn.fr/espece/cd_nom/38981","Amanita battarrae (Boud.) Bon, 1985")</f>
        <v>Amanita battarrae (Boud.) Bon, 1985</v>
      </c>
      <c r="F5014" s="5" t="s">
        <v>7320</v>
      </c>
      <c r="V5014" s="7" t="str">
        <f>HYPERLINK("#Liste_rouge!A"&amp;_xlfn.XMATCH("LC",Liste_rouge!A:A,2,1),"LC")</f>
        <v>LC</v>
      </c>
      <c r="AH5014" s="4" t="str">
        <f>HYPERLINK("#Statut_biogéographique!A"&amp;_xlfn.XMATCH("P",Statut_biogéographique!A:A,2,1),"P")</f>
        <v>P</v>
      </c>
      <c r="AP5014" s="4" t="s">
        <v>376</v>
      </c>
      <c r="AR5014" s="4" t="s">
        <v>377</v>
      </c>
    </row>
    <row r="5015" spans="1:44" ht="30">
      <c r="A5015" s="4" t="s">
        <v>5</v>
      </c>
      <c r="B5015" s="4">
        <v>38982</v>
      </c>
      <c r="C5015" s="4">
        <v>5798</v>
      </c>
      <c r="D5015" s="5" t="s">
        <v>7321</v>
      </c>
      <c r="E5015" s="6" t="str">
        <f>HYPERLINK("https://inpn.mnhn.fr/espece/cd_nom/38982","Amanita umbrinolutea (Secr. ex Gillet) Bataille, 1910")</f>
        <v>Amanita umbrinolutea (Secr. ex Gillet) Bataille, 1910</v>
      </c>
      <c r="F5015" s="5" t="s">
        <v>7322</v>
      </c>
      <c r="AH5015" s="4" t="str">
        <f>HYPERLINK("#Statut_biogéographique!A"&amp;_xlfn.XMATCH("P",Statut_biogéographique!A:A,2,1),"P")</f>
        <v>P</v>
      </c>
      <c r="AP5015" s="4" t="s">
        <v>376</v>
      </c>
      <c r="AR5015" s="4" t="s">
        <v>377</v>
      </c>
    </row>
    <row r="5016" spans="1:44">
      <c r="A5016" s="4" t="s">
        <v>5</v>
      </c>
      <c r="B5016" s="4">
        <v>38985</v>
      </c>
      <c r="C5016" s="4">
        <v>1810</v>
      </c>
      <c r="D5016" s="5" t="s">
        <v>7323</v>
      </c>
      <c r="E5016" s="6" t="str">
        <f>HYPERLINK("https://inpn.mnhn.fr/espece/cd_nom/38985","Amanita beckeri Huijsman, 1962")</f>
        <v>Amanita beckeri Huijsman, 1962</v>
      </c>
      <c r="F5016" s="5" t="s">
        <v>7324</v>
      </c>
      <c r="V5016" s="7" t="str">
        <f>HYPERLINK("#Liste_rouge!A"&amp;_xlfn.XMATCH("LC",Liste_rouge!A:A,2,1),"LC")</f>
        <v>LC</v>
      </c>
      <c r="AH5016" s="4" t="str">
        <f>HYPERLINK("#Statut_biogéographique!A"&amp;_xlfn.XMATCH("P",Statut_biogéographique!A:A,2,1),"P")</f>
        <v>P</v>
      </c>
      <c r="AP5016" s="4" t="s">
        <v>376</v>
      </c>
      <c r="AR5016" s="4" t="s">
        <v>377</v>
      </c>
    </row>
    <row r="5017" spans="1:44">
      <c r="A5017" s="4" t="s">
        <v>5</v>
      </c>
      <c r="B5017" s="4">
        <v>38993</v>
      </c>
      <c r="C5017" s="4">
        <v>659</v>
      </c>
      <c r="D5017" s="5" t="s">
        <v>7325</v>
      </c>
      <c r="E5017" s="6" t="str">
        <f>HYPERLINK("https://inpn.mnhn.fr/espece/cd_nom/38993","Amanita caesarea (Scop.) Pers., 1801")</f>
        <v>Amanita caesarea (Scop.) Pers., 1801</v>
      </c>
      <c r="F5017" s="5" t="s">
        <v>7326</v>
      </c>
      <c r="O5017" s="7" t="str">
        <f>HYPERLINK("#Liste_rouge!A"&amp;_xlfn.XMATCH("LC",Liste_rouge!A:A,2,1),"LC")</f>
        <v>LC</v>
      </c>
      <c r="V5017" s="7" t="str">
        <f>HYPERLINK("#Liste_rouge!A"&amp;_xlfn.XMATCH("LC",Liste_rouge!A:A,2,1),"LC")</f>
        <v>LC</v>
      </c>
      <c r="AH5017" s="4" t="str">
        <f>HYPERLINK("#Statut_biogéographique!A"&amp;_xlfn.XMATCH("P",Statut_biogéographique!A:A,2,1),"P")</f>
        <v>P</v>
      </c>
      <c r="AP5017" s="4" t="s">
        <v>376</v>
      </c>
      <c r="AR5017" s="4" t="s">
        <v>377</v>
      </c>
    </row>
    <row r="5018" spans="1:44" ht="30">
      <c r="A5018" s="4" t="s">
        <v>5</v>
      </c>
      <c r="B5018" s="4">
        <v>38997</v>
      </c>
      <c r="C5018" s="4">
        <v>5</v>
      </c>
      <c r="D5018" s="5" t="s">
        <v>7327</v>
      </c>
      <c r="E5018" s="6" t="str">
        <f>HYPERLINK("https://inpn.mnhn.fr/espece/cd_nom/38997","Amanita ceciliae (Berk. &amp; Broome) Bas, 1984")</f>
        <v>Amanita ceciliae (Berk. &amp; Broome) Bas, 1984</v>
      </c>
      <c r="F5018" s="5" t="s">
        <v>7328</v>
      </c>
      <c r="V5018" s="7" t="str">
        <f>HYPERLINK("#Liste_rouge!A"&amp;_xlfn.XMATCH("LC",Liste_rouge!A:A,2,1),"LC")</f>
        <v>LC</v>
      </c>
      <c r="AH5018" s="4" t="str">
        <f>HYPERLINK("#Statut_biogéographique!A"&amp;_xlfn.XMATCH("P",Statut_biogéographique!A:A,2,1),"P")</f>
        <v>P</v>
      </c>
      <c r="AP5018" s="4" t="s">
        <v>376</v>
      </c>
      <c r="AR5018" s="4" t="s">
        <v>377</v>
      </c>
    </row>
    <row r="5019" spans="1:44" ht="30">
      <c r="A5019" s="4" t="s">
        <v>5</v>
      </c>
      <c r="B5019" s="4">
        <v>39001</v>
      </c>
      <c r="C5019" s="4">
        <v>101</v>
      </c>
      <c r="D5019" s="5" t="s">
        <v>7329</v>
      </c>
      <c r="E5019" s="6" t="str">
        <f>HYPERLINK("https://inpn.mnhn.fr/espece/cd_nom/39001","Amanita citrina Pers., 1797")</f>
        <v>Amanita citrina Pers., 1797</v>
      </c>
      <c r="F5019" s="5" t="s">
        <v>7330</v>
      </c>
      <c r="V5019" s="7" t="str">
        <f>HYPERLINK("#Liste_rouge!A"&amp;_xlfn.XMATCH("LC",Liste_rouge!A:A,2,1),"LC")</f>
        <v>LC</v>
      </c>
      <c r="AH5019" s="4" t="str">
        <f>HYPERLINK("#Statut_biogéographique!A"&amp;_xlfn.XMATCH("P",Statut_biogéographique!A:A,2,1),"P")</f>
        <v>P</v>
      </c>
      <c r="AP5019" s="4" t="s">
        <v>376</v>
      </c>
      <c r="AR5019" s="4" t="s">
        <v>377</v>
      </c>
    </row>
    <row r="5020" spans="1:44" ht="30">
      <c r="A5020" s="4" t="s">
        <v>5</v>
      </c>
      <c r="B5020" s="4">
        <v>39005</v>
      </c>
      <c r="C5020" s="4">
        <v>1076</v>
      </c>
      <c r="D5020" s="5" t="s">
        <v>7331</v>
      </c>
      <c r="E5020" s="6" t="str">
        <f>HYPERLINK("https://inpn.mnhn.fr/espece/cd_nom/39005","Amanita citrina f. alba (Pers.) Quél., 1892")</f>
        <v>Amanita citrina f. alba (Pers.) Quél., 1892</v>
      </c>
      <c r="F5020" s="5" t="s">
        <v>7332</v>
      </c>
      <c r="V5020" s="7" t="str">
        <f>HYPERLINK("#Liste_rouge!A"&amp;_xlfn.XMATCH("LC",Liste_rouge!A:A,2,1),"LC")</f>
        <v>LC</v>
      </c>
      <c r="AH5020" s="4" t="str">
        <f>HYPERLINK("#Statut_biogéographique!A"&amp;_xlfn.XMATCH("P",Statut_biogéographique!A:A,2,1),"P")</f>
        <v>P</v>
      </c>
      <c r="AP5020" s="4" t="s">
        <v>376</v>
      </c>
      <c r="AR5020" s="4" t="s">
        <v>377</v>
      </c>
    </row>
    <row r="5021" spans="1:44">
      <c r="A5021" s="4" t="s">
        <v>5</v>
      </c>
      <c r="B5021" s="4">
        <v>39011</v>
      </c>
      <c r="C5021" s="4">
        <v>2801</v>
      </c>
      <c r="D5021" s="5" t="s">
        <v>7333</v>
      </c>
      <c r="E5021" s="6" t="str">
        <f>HYPERLINK("https://inpn.mnhn.fr/espece/cd_nom/39011","Amanita curtipes E.-J.Gilbert, 1941")</f>
        <v>Amanita curtipes E.-J.Gilbert, 1941</v>
      </c>
      <c r="F5021" s="5" t="s">
        <v>7334</v>
      </c>
      <c r="V5021" s="7" t="str">
        <f>HYPERLINK("#Liste_rouge!A"&amp;_xlfn.XMATCH("EN",Liste_rouge!A:A,2,1),"EN")</f>
        <v>EN</v>
      </c>
      <c r="W5021" s="4" t="str">
        <f>HYPERLINK("#Critères_liste_rouge!A$1","B2abiii")</f>
        <v>B2abiii</v>
      </c>
      <c r="Z5021" s="4" t="s">
        <v>695</v>
      </c>
      <c r="AA5021" s="4" t="s">
        <v>696</v>
      </c>
      <c r="AH5021" s="4" t="str">
        <f>HYPERLINK("#Statut_biogéographique!A"&amp;_xlfn.XMATCH("P",Statut_biogéographique!A:A,2,1),"P")</f>
        <v>P</v>
      </c>
      <c r="AP5021" s="4" t="s">
        <v>376</v>
      </c>
      <c r="AR5021" s="4" t="s">
        <v>377</v>
      </c>
    </row>
    <row r="5022" spans="1:44">
      <c r="A5022" s="4" t="s">
        <v>5</v>
      </c>
      <c r="B5022" s="4">
        <v>39013</v>
      </c>
      <c r="C5022" s="4">
        <v>1740</v>
      </c>
      <c r="D5022" s="5" t="s">
        <v>7335</v>
      </c>
      <c r="E5022" s="6" t="str">
        <f>HYPERLINK("https://inpn.mnhn.fr/espece/cd_nom/39013","Amanita decipiens (Trimbach) Jacquet., 1992")</f>
        <v>Amanita decipiens (Trimbach) Jacquet., 1992</v>
      </c>
      <c r="F5022" s="5" t="s">
        <v>7336</v>
      </c>
      <c r="V5022" s="7" t="str">
        <f>HYPERLINK("#Liste_rouge!A"&amp;_xlfn.XMATCH("EN",Liste_rouge!A:A,2,1),"EN")</f>
        <v>EN</v>
      </c>
      <c r="W5022" s="4" t="str">
        <f>HYPERLINK("#Critères_liste_rouge!A$1","B2abiii")</f>
        <v>B2abiii</v>
      </c>
      <c r="Z5022" s="4" t="s">
        <v>695</v>
      </c>
      <c r="AA5022" s="4" t="s">
        <v>696</v>
      </c>
      <c r="AH5022" s="4" t="str">
        <f>HYPERLINK("#Statut_biogéographique!A"&amp;_xlfn.XMATCH("P",Statut_biogéographique!A:A,2,1),"P")</f>
        <v>P</v>
      </c>
      <c r="AP5022" s="4" t="s">
        <v>376</v>
      </c>
      <c r="AR5022" s="4" t="s">
        <v>377</v>
      </c>
    </row>
    <row r="5023" spans="1:44" ht="30">
      <c r="A5023" s="4" t="s">
        <v>5</v>
      </c>
      <c r="B5023" s="4">
        <v>39017</v>
      </c>
      <c r="C5023" s="4">
        <v>432</v>
      </c>
      <c r="D5023" s="5" t="s">
        <v>7337</v>
      </c>
      <c r="E5023" s="6" t="str">
        <f>HYPERLINK("https://inpn.mnhn.fr/espece/cd_nom/39017","Amanita echinocephala (Vittad.) Quél., 1872")</f>
        <v>Amanita echinocephala (Vittad.) Quél., 1872</v>
      </c>
      <c r="F5023" s="5" t="s">
        <v>7338</v>
      </c>
      <c r="V5023" s="7" t="str">
        <f>HYPERLINK("#Liste_rouge!A"&amp;_xlfn.XMATCH("LC",Liste_rouge!A:A,2,1),"LC")</f>
        <v>LC</v>
      </c>
      <c r="Z5023" s="4" t="s">
        <v>447</v>
      </c>
      <c r="AA5023" s="4" t="s">
        <v>448</v>
      </c>
      <c r="AH5023" s="4" t="str">
        <f>HYPERLINK("#Statut_biogéographique!A"&amp;_xlfn.XMATCH("P",Statut_biogéographique!A:A,2,1),"P")</f>
        <v>P</v>
      </c>
      <c r="AP5023" s="4" t="s">
        <v>376</v>
      </c>
      <c r="AR5023" s="4" t="s">
        <v>377</v>
      </c>
    </row>
    <row r="5024" spans="1:44" ht="30">
      <c r="A5024" s="4" t="s">
        <v>5</v>
      </c>
      <c r="B5024" s="4">
        <v>39020</v>
      </c>
      <c r="C5024" s="4">
        <v>285</v>
      </c>
      <c r="D5024" s="5" t="s">
        <v>7339</v>
      </c>
      <c r="E5024" s="6" t="str">
        <f>HYPERLINK("https://inpn.mnhn.fr/espece/cd_nom/39020","Amanita eliae Quél., 1872")</f>
        <v>Amanita eliae Quél., 1872</v>
      </c>
      <c r="F5024" s="5" t="s">
        <v>7340</v>
      </c>
      <c r="V5024" s="7" t="str">
        <f>HYPERLINK("#Liste_rouge!A"&amp;_xlfn.XMATCH("NT",Liste_rouge!A:A,2,1),"NT")</f>
        <v>NT</v>
      </c>
      <c r="W5024" s="4" t="str">
        <f>HYPERLINK("#Critères_liste_rouge!A$1","pr. A2c")</f>
        <v>pr. A2c</v>
      </c>
      <c r="Z5024" s="4" t="s">
        <v>447</v>
      </c>
      <c r="AA5024" s="4" t="s">
        <v>448</v>
      </c>
      <c r="AH5024" s="4" t="str">
        <f>HYPERLINK("#Statut_biogéographique!A"&amp;_xlfn.XMATCH("P",Statut_biogéographique!A:A,2,1),"P")</f>
        <v>P</v>
      </c>
      <c r="AP5024" s="4" t="s">
        <v>376</v>
      </c>
      <c r="AR5024" s="4" t="s">
        <v>377</v>
      </c>
    </row>
    <row r="5025" spans="1:44" ht="60">
      <c r="A5025" s="4" t="s">
        <v>5</v>
      </c>
      <c r="B5025" s="4">
        <v>39025</v>
      </c>
      <c r="C5025" s="4">
        <v>357</v>
      </c>
      <c r="D5025" s="5" t="s">
        <v>7341</v>
      </c>
      <c r="E5025" s="6" t="str">
        <f>HYPERLINK("https://inpn.mnhn.fr/espece/cd_nom/39025","Amanita excelsa (Fr.) Bertill., 1866")</f>
        <v>Amanita excelsa (Fr.) Bertill., 1866</v>
      </c>
      <c r="F5025" s="5" t="s">
        <v>7342</v>
      </c>
      <c r="V5025" s="7" t="str">
        <f>HYPERLINK("#Liste_rouge!A"&amp;_xlfn.XMATCH("LC",Liste_rouge!A:A,2,1),"LC")</f>
        <v>LC</v>
      </c>
      <c r="AH5025" s="4" t="str">
        <f>HYPERLINK("#Statut_biogéographique!A"&amp;_xlfn.XMATCH("P",Statut_biogéographique!A:A,2,1),"P")</f>
        <v>P</v>
      </c>
      <c r="AP5025" s="4" t="s">
        <v>376</v>
      </c>
      <c r="AR5025" s="4" t="s">
        <v>377</v>
      </c>
    </row>
    <row r="5026" spans="1:44">
      <c r="A5026" s="4" t="s">
        <v>5</v>
      </c>
      <c r="B5026" s="4">
        <v>39037</v>
      </c>
      <c r="C5026" s="4">
        <v>2599</v>
      </c>
      <c r="D5026" s="5" t="s">
        <v>7343</v>
      </c>
      <c r="E5026" s="6" t="str">
        <f>HYPERLINK("https://inpn.mnhn.fr/espece/cd_nom/39037","Amanita friabilis (P.Karst.) Bas, 1974")</f>
        <v>Amanita friabilis (P.Karst.) Bas, 1974</v>
      </c>
      <c r="F5026" s="5" t="s">
        <v>7344</v>
      </c>
      <c r="V5026" s="7" t="str">
        <f>HYPERLINK("#Liste_rouge!A"&amp;_xlfn.XMATCH("NT",Liste_rouge!A:A,2,1),"NT")</f>
        <v>NT</v>
      </c>
      <c r="W5026" s="4" t="str">
        <f>HYPERLINK("#Critères_liste_rouge!A$1","pr. B2a")</f>
        <v>pr. B2a</v>
      </c>
      <c r="Z5026" s="4" t="s">
        <v>695</v>
      </c>
      <c r="AA5026" s="4" t="s">
        <v>696</v>
      </c>
      <c r="AH5026" s="4" t="str">
        <f>HYPERLINK("#Statut_biogéographique!A"&amp;_xlfn.XMATCH("P",Statut_biogéographique!A:A,2,1),"P")</f>
        <v>P</v>
      </c>
      <c r="AP5026" s="4" t="s">
        <v>376</v>
      </c>
      <c r="AR5026" s="4" t="s">
        <v>377</v>
      </c>
    </row>
    <row r="5027" spans="1:44" ht="30">
      <c r="A5027" s="4" t="s">
        <v>5</v>
      </c>
      <c r="B5027" s="4">
        <v>39040</v>
      </c>
      <c r="C5027" s="4">
        <v>153</v>
      </c>
      <c r="D5027" s="5" t="s">
        <v>7345</v>
      </c>
      <c r="E5027" s="6" t="str">
        <f>HYPERLINK("https://inpn.mnhn.fr/espece/cd_nom/39040","Amanita fulva Fr., 1815")</f>
        <v>Amanita fulva Fr., 1815</v>
      </c>
      <c r="F5027" s="5" t="s">
        <v>7346</v>
      </c>
      <c r="V5027" s="7" t="str">
        <f>HYPERLINK("#Liste_rouge!A"&amp;_xlfn.XMATCH("LC",Liste_rouge!A:A,2,1),"LC")</f>
        <v>LC</v>
      </c>
      <c r="AH5027" s="4" t="str">
        <f>HYPERLINK("#Statut_biogéographique!A"&amp;_xlfn.XMATCH("P",Statut_biogéographique!A:A,2,1),"P")</f>
        <v>P</v>
      </c>
      <c r="AP5027" s="4" t="s">
        <v>376</v>
      </c>
      <c r="AR5027" s="4" t="s">
        <v>377</v>
      </c>
    </row>
    <row r="5028" spans="1:44" ht="30">
      <c r="A5028" s="4" t="s">
        <v>5</v>
      </c>
      <c r="B5028" s="4">
        <v>39055</v>
      </c>
      <c r="C5028" s="4">
        <v>182</v>
      </c>
      <c r="D5028" s="5" t="s">
        <v>7347</v>
      </c>
      <c r="E5028" s="6" t="str">
        <f>HYPERLINK("https://inpn.mnhn.fr/espece/cd_nom/39055","Amanita junquillea Quél., 1877")</f>
        <v>Amanita junquillea Quél., 1877</v>
      </c>
      <c r="F5028" s="5" t="s">
        <v>7348</v>
      </c>
      <c r="V5028" s="7" t="str">
        <f>HYPERLINK("#Liste_rouge!A"&amp;_xlfn.XMATCH("LC",Liste_rouge!A:A,2,1),"LC")</f>
        <v>LC</v>
      </c>
      <c r="AH5028" s="4" t="str">
        <f>HYPERLINK("#Statut_biogéographique!A"&amp;_xlfn.XMATCH("P",Statut_biogéographique!A:A,2,1),"P")</f>
        <v>P</v>
      </c>
      <c r="AP5028" s="4" t="s">
        <v>376</v>
      </c>
      <c r="AR5028" s="4" t="s">
        <v>377</v>
      </c>
    </row>
    <row r="5029" spans="1:44">
      <c r="A5029" s="4" t="s">
        <v>5</v>
      </c>
      <c r="B5029" s="4">
        <v>39063</v>
      </c>
      <c r="C5029" s="4">
        <v>4804</v>
      </c>
      <c r="D5029" s="5" t="s">
        <v>7349</v>
      </c>
      <c r="E5029" s="6" t="str">
        <f>HYPERLINK("https://inpn.mnhn.fr/espece/cd_nom/39063","Amanita lepiotoides Barla, 1886")</f>
        <v>Amanita lepiotoides Barla, 1886</v>
      </c>
      <c r="F5029" s="5" t="s">
        <v>7350</v>
      </c>
      <c r="O5029" s="7" t="str">
        <f>HYPERLINK("#Liste_rouge!A"&amp;_xlfn.XMATCH("NT",Liste_rouge!A:A,2,1),"NT")</f>
        <v>NT</v>
      </c>
      <c r="V5029" s="7" t="str">
        <f>HYPERLINK("#Liste_rouge!A"&amp;_xlfn.XMATCH("DD",Liste_rouge!A:A,2,1),"DD")</f>
        <v>DD</v>
      </c>
      <c r="Z5029" s="4" t="s">
        <v>443</v>
      </c>
      <c r="AA5029" s="4" t="s">
        <v>444</v>
      </c>
      <c r="AH5029" s="4" t="str">
        <f>HYPERLINK("#Statut_biogéographique!A"&amp;_xlfn.XMATCH("P",Statut_biogéographique!A:A,2,1),"P")</f>
        <v>P</v>
      </c>
      <c r="AP5029" s="4" t="s">
        <v>376</v>
      </c>
      <c r="AR5029" s="4" t="s">
        <v>377</v>
      </c>
    </row>
    <row r="5030" spans="1:44" ht="30">
      <c r="A5030" s="4" t="s">
        <v>5</v>
      </c>
      <c r="B5030" s="4">
        <v>39066</v>
      </c>
      <c r="C5030" s="4">
        <v>448</v>
      </c>
      <c r="D5030" s="5" t="s">
        <v>7351</v>
      </c>
      <c r="E5030" s="6" t="str">
        <f>HYPERLINK("https://inpn.mnhn.fr/espece/cd_nom/39066","Amanita lividopallescens var. tigrina Romagn. ex Bon, 1986")</f>
        <v>Amanita lividopallescens var. tigrina Romagn. ex Bon, 1986</v>
      </c>
      <c r="F5030" s="5" t="s">
        <v>7352</v>
      </c>
      <c r="V5030" s="7" t="str">
        <f>HYPERLINK("#Liste_rouge!A"&amp;_xlfn.XMATCH("DD",Liste_rouge!A:A,2,1),"DD")</f>
        <v>DD</v>
      </c>
      <c r="W5030" s="4" t="str">
        <f>HYPERLINK("#Critères_liste_rouge!A$1","pr. A2c")</f>
        <v>pr. A2c</v>
      </c>
      <c r="AH5030" s="4" t="str">
        <f>HYPERLINK("#Statut_biogéographique!A"&amp;_xlfn.XMATCH("P",Statut_biogéographique!A:A,2,1),"P")</f>
        <v>P</v>
      </c>
      <c r="AP5030" s="4" t="s">
        <v>376</v>
      </c>
      <c r="AR5030" s="4" t="s">
        <v>377</v>
      </c>
    </row>
    <row r="5031" spans="1:44">
      <c r="A5031" s="4" t="s">
        <v>5</v>
      </c>
      <c r="B5031" s="4">
        <v>39069</v>
      </c>
      <c r="D5031" s="5">
        <v>39069</v>
      </c>
      <c r="E5031" s="6" t="str">
        <f>HYPERLINK("https://inpn.mnhn.fr/espece/cd_nom/39069","Amanita mairei Foley, 1949")</f>
        <v>Amanita mairei Foley, 1949</v>
      </c>
      <c r="F5031" s="5" t="s">
        <v>7314</v>
      </c>
      <c r="V5031" s="7" t="str">
        <f>HYPERLINK("#Liste_rouge!A"&amp;_xlfn.XMATCH("DD",Liste_rouge!A:A,2,1),"DD")</f>
        <v>DD</v>
      </c>
      <c r="AH5031" s="4" t="str">
        <f>HYPERLINK("#Statut_biogéographique!A"&amp;_xlfn.XMATCH("P",Statut_biogéographique!A:A,2,1),"P")</f>
        <v>P</v>
      </c>
      <c r="AP5031" s="4" t="s">
        <v>376</v>
      </c>
      <c r="AR5031" s="4" t="s">
        <v>377</v>
      </c>
    </row>
    <row r="5032" spans="1:44" ht="30">
      <c r="A5032" s="4" t="s">
        <v>5</v>
      </c>
      <c r="B5032" s="4">
        <v>39071</v>
      </c>
      <c r="C5032" s="4">
        <v>5872</v>
      </c>
      <c r="D5032" s="5" t="s">
        <v>7353</v>
      </c>
      <c r="E5032" s="6" t="str">
        <f>HYPERLINK("https://inpn.mnhn.fr/espece/cd_nom/39071","Amanita huijsmanii F.Massart &amp; Rouzeau, 1990")</f>
        <v>Amanita huijsmanii F.Massart &amp; Rouzeau, 1990</v>
      </c>
      <c r="F5032" s="5" t="s">
        <v>7354</v>
      </c>
      <c r="AH5032" s="4" t="str">
        <f>HYPERLINK("#Statut_biogéographique!A"&amp;_xlfn.XMATCH("P",Statut_biogéographique!A:A,2,1),"P")</f>
        <v>P</v>
      </c>
      <c r="AP5032" s="4" t="s">
        <v>376</v>
      </c>
      <c r="AR5032" s="4" t="s">
        <v>377</v>
      </c>
    </row>
    <row r="5033" spans="1:44" ht="30">
      <c r="A5033" s="4" t="s">
        <v>5</v>
      </c>
      <c r="B5033" s="4">
        <v>39075</v>
      </c>
      <c r="D5033" s="5" t="s">
        <v>7355</v>
      </c>
      <c r="E5033" s="6" t="str">
        <f>HYPERLINK("https://inpn.mnhn.fr/espece/cd_nom/39075","Amanita malleata (Piane ex Bon) Contu, 1986")</f>
        <v>Amanita malleata (Piane ex Bon) Contu, 1986</v>
      </c>
      <c r="V5033" s="7" t="str">
        <f>HYPERLINK("#Liste_rouge!A"&amp;_xlfn.XMATCH("DD",Liste_rouge!A:A,2,1),"DD")</f>
        <v>DD</v>
      </c>
      <c r="AH5033" s="4" t="str">
        <f>HYPERLINK("#Statut_biogéographique!A"&amp;_xlfn.XMATCH("P",Statut_biogéographique!A:A,2,1),"P")</f>
        <v>P</v>
      </c>
      <c r="AP5033" s="4" t="s">
        <v>376</v>
      </c>
      <c r="AR5033" s="4" t="s">
        <v>377</v>
      </c>
    </row>
    <row r="5034" spans="1:44" ht="30">
      <c r="A5034" s="4" t="s">
        <v>5</v>
      </c>
      <c r="B5034" s="4">
        <v>39079</v>
      </c>
      <c r="C5034" s="4">
        <v>104</v>
      </c>
      <c r="D5034" s="5" t="s">
        <v>7356</v>
      </c>
      <c r="E5034" s="6" t="str">
        <f>HYPERLINK("https://inpn.mnhn.fr/espece/cd_nom/39079","Amanita muscaria (L.) Lam., 1783")</f>
        <v>Amanita muscaria (L.) Lam., 1783</v>
      </c>
      <c r="F5034" s="5" t="s">
        <v>7357</v>
      </c>
      <c r="V5034" s="7" t="str">
        <f>HYPERLINK("#Liste_rouge!A"&amp;_xlfn.XMATCH("LC",Liste_rouge!A:A,2,1),"LC")</f>
        <v>LC</v>
      </c>
      <c r="AH5034" s="4" t="str">
        <f>HYPERLINK("#Statut_biogéographique!A"&amp;_xlfn.XMATCH("P",Statut_biogéographique!A:A,2,1),"P")</f>
        <v>P</v>
      </c>
      <c r="AP5034" s="4" t="s">
        <v>376</v>
      </c>
      <c r="AR5034" s="4" t="s">
        <v>377</v>
      </c>
    </row>
    <row r="5035" spans="1:44" ht="30">
      <c r="A5035" s="4" t="s">
        <v>5</v>
      </c>
      <c r="B5035" s="4">
        <v>39082</v>
      </c>
      <c r="C5035" s="4">
        <v>595</v>
      </c>
      <c r="D5035" s="5" t="s">
        <v>7358</v>
      </c>
      <c r="E5035" s="6" t="str">
        <f>HYPERLINK("https://inpn.mnhn.fr/espece/cd_nom/39082","Amanita muscaria var. aureola (Kalchbr.) Quél., 1886")</f>
        <v>Amanita muscaria var. aureola (Kalchbr.) Quél., 1886</v>
      </c>
      <c r="F5035" s="5" t="s">
        <v>7359</v>
      </c>
      <c r="V5035" s="7" t="str">
        <f>HYPERLINK("#Liste_rouge!A"&amp;_xlfn.XMATCH("DD",Liste_rouge!A:A,2,1),"DD")</f>
        <v>DD</v>
      </c>
      <c r="AH5035" s="4" t="str">
        <f>HYPERLINK("#Statut_biogéographique!A"&amp;_xlfn.XMATCH("P",Statut_biogéographique!A:A,2,1),"P")</f>
        <v>P</v>
      </c>
      <c r="AP5035" s="4" t="s">
        <v>376</v>
      </c>
      <c r="AR5035" s="4" t="s">
        <v>377</v>
      </c>
    </row>
    <row r="5036" spans="1:44" ht="30">
      <c r="A5036" s="4" t="s">
        <v>5</v>
      </c>
      <c r="B5036" s="4">
        <v>39092</v>
      </c>
      <c r="C5036" s="4">
        <v>1470</v>
      </c>
      <c r="D5036" s="5" t="s">
        <v>7360</v>
      </c>
      <c r="E5036" s="6" t="str">
        <f>HYPERLINK("https://inpn.mnhn.fr/espece/cd_nom/39092","Amanita ovoidea (Bull.) Link, 1833")</f>
        <v>Amanita ovoidea (Bull.) Link, 1833</v>
      </c>
      <c r="F5036" s="5" t="s">
        <v>7361</v>
      </c>
      <c r="V5036" s="7" t="str">
        <f>HYPERLINK("#Liste_rouge!A"&amp;_xlfn.XMATCH("CR",Liste_rouge!A:A,2,1),"CR")</f>
        <v>CR</v>
      </c>
      <c r="W5036" s="4" t="str">
        <f>HYPERLINK("#Critères_liste_rouge!A$1","B2abiii")</f>
        <v>B2abiii</v>
      </c>
      <c r="Z5036" s="4" t="s">
        <v>512</v>
      </c>
      <c r="AA5036" s="4" t="s">
        <v>513</v>
      </c>
      <c r="AH5036" s="4" t="str">
        <f>HYPERLINK("#Statut_biogéographique!A"&amp;_xlfn.XMATCH("P",Statut_biogéographique!A:A,2,1),"P")</f>
        <v>P</v>
      </c>
      <c r="AP5036" s="4" t="s">
        <v>376</v>
      </c>
      <c r="AR5036" s="4" t="s">
        <v>377</v>
      </c>
    </row>
    <row r="5037" spans="1:44">
      <c r="A5037" s="4" t="s">
        <v>5</v>
      </c>
      <c r="B5037" s="4">
        <v>39096</v>
      </c>
      <c r="C5037" s="4">
        <v>1432</v>
      </c>
      <c r="D5037" s="5" t="s">
        <v>7362</v>
      </c>
      <c r="E5037" s="6" t="str">
        <f>HYPERLINK("https://inpn.mnhn.fr/espece/cd_nom/39096","Amanita pachyvolvata (Bon) Krieglst., 1984")</f>
        <v>Amanita pachyvolvata (Bon) Krieglst., 1984</v>
      </c>
      <c r="F5037" s="5" t="s">
        <v>7363</v>
      </c>
      <c r="V5037" s="7" t="str">
        <f>HYPERLINK("#Liste_rouge!A"&amp;_xlfn.XMATCH("NT",Liste_rouge!A:A,2,1),"NT")</f>
        <v>NT</v>
      </c>
      <c r="W5037" s="4" t="str">
        <f>HYPERLINK("#Critères_liste_rouge!A$1","pr. B2abiii")</f>
        <v>pr. B2abiii</v>
      </c>
      <c r="AH5037" s="4" t="str">
        <f>HYPERLINK("#Statut_biogéographique!A"&amp;_xlfn.XMATCH("P",Statut_biogéographique!A:A,2,1),"P")</f>
        <v>P</v>
      </c>
      <c r="AP5037" s="4" t="s">
        <v>376</v>
      </c>
      <c r="AR5037" s="4" t="s">
        <v>377</v>
      </c>
    </row>
    <row r="5038" spans="1:44">
      <c r="A5038" s="4" t="s">
        <v>5</v>
      </c>
      <c r="B5038" s="4">
        <v>39097</v>
      </c>
      <c r="C5038" s="4">
        <v>856</v>
      </c>
      <c r="D5038" s="5" t="s">
        <v>7364</v>
      </c>
      <c r="E5038" s="6" t="str">
        <f>HYPERLINK("https://inpn.mnhn.fr/espece/cd_nom/39097","Amanita magnivolvata Aalto, 1974")</f>
        <v>Amanita magnivolvata Aalto, 1974</v>
      </c>
      <c r="F5038" s="5" t="s">
        <v>7363</v>
      </c>
      <c r="V5038" s="7" t="str">
        <f>HYPERLINK("#Liste_rouge!A"&amp;_xlfn.XMATCH("VU",Liste_rouge!A:A,2,1),"VU")</f>
        <v>VU</v>
      </c>
      <c r="W5038" s="4" t="str">
        <f>HYPERLINK("#Critères_liste_rouge!A$1","A2c")</f>
        <v>A2c</v>
      </c>
      <c r="Z5038" s="4" t="s">
        <v>447</v>
      </c>
      <c r="AA5038" s="4" t="s">
        <v>448</v>
      </c>
      <c r="AH5038" s="4" t="str">
        <f>HYPERLINK("#Statut_biogéographique!A"&amp;_xlfn.XMATCH("P",Statut_biogéographique!A:A,2,1),"P")</f>
        <v>P</v>
      </c>
      <c r="AP5038" s="4" t="s">
        <v>376</v>
      </c>
      <c r="AR5038" s="4" t="s">
        <v>377</v>
      </c>
    </row>
    <row r="5039" spans="1:44">
      <c r="A5039" s="4" t="s">
        <v>5</v>
      </c>
      <c r="B5039" s="4">
        <v>39099</v>
      </c>
      <c r="C5039" s="4">
        <v>241</v>
      </c>
      <c r="D5039" s="5" t="s">
        <v>7365</v>
      </c>
      <c r="E5039" s="6" t="str">
        <f>HYPERLINK("https://inpn.mnhn.fr/espece/cd_nom/39099","Amanita pantherina (DC.) Krombh., 1846")</f>
        <v>Amanita pantherina (DC.) Krombh., 1846</v>
      </c>
      <c r="F5039" s="5" t="s">
        <v>7366</v>
      </c>
      <c r="V5039" s="7" t="str">
        <f>HYPERLINK("#Liste_rouge!A"&amp;_xlfn.XMATCH("LC",Liste_rouge!A:A,2,1),"LC")</f>
        <v>LC</v>
      </c>
      <c r="AH5039" s="4" t="str">
        <f>HYPERLINK("#Statut_biogéographique!A"&amp;_xlfn.XMATCH("P",Statut_biogéographique!A:A,2,1),"P")</f>
        <v>P</v>
      </c>
      <c r="AP5039" s="4" t="s">
        <v>376</v>
      </c>
      <c r="AR5039" s="4" t="s">
        <v>377</v>
      </c>
    </row>
    <row r="5040" spans="1:44" ht="30">
      <c r="A5040" s="4" t="s">
        <v>5</v>
      </c>
      <c r="B5040" s="4">
        <v>39102</v>
      </c>
      <c r="C5040" s="4">
        <v>2456</v>
      </c>
      <c r="D5040" s="5" t="s">
        <v>7367</v>
      </c>
      <c r="E5040" s="6" t="str">
        <f>HYPERLINK("https://inpn.mnhn.fr/espece/cd_nom/39102","Amanita pantherina f. abietum (E.-J.Gilbert) Neville &amp; Poumarat, 2004")</f>
        <v>Amanita pantherina f. abietum (E.-J.Gilbert) Neville &amp; Poumarat, 2004</v>
      </c>
      <c r="F5040" s="5" t="s">
        <v>7368</v>
      </c>
      <c r="V5040" s="7" t="str">
        <f>HYPERLINK("#Liste_rouge!A"&amp;_xlfn.XMATCH("LC",Liste_rouge!A:A,2,1),"LC")</f>
        <v>LC</v>
      </c>
      <c r="AH5040" s="4" t="str">
        <f>HYPERLINK("#Statut_biogéographique!A"&amp;_xlfn.XMATCH("P",Statut_biogéographique!A:A,2,1),"P")</f>
        <v>P</v>
      </c>
      <c r="AP5040" s="4" t="s">
        <v>376</v>
      </c>
      <c r="AR5040" s="4" t="s">
        <v>377</v>
      </c>
    </row>
    <row r="5041" spans="1:44" ht="45">
      <c r="A5041" s="4" t="s">
        <v>5</v>
      </c>
      <c r="B5041" s="4">
        <v>39106</v>
      </c>
      <c r="C5041" s="4">
        <v>122</v>
      </c>
      <c r="D5041" s="5" t="s">
        <v>7369</v>
      </c>
      <c r="E5041" s="6" t="str">
        <f>HYPERLINK("https://inpn.mnhn.fr/espece/cd_nom/39106","Amanita phalloides (Vaill. ex Fr.) Link, 1833")</f>
        <v>Amanita phalloides (Vaill. ex Fr.) Link, 1833</v>
      </c>
      <c r="F5041" s="5" t="s">
        <v>7370</v>
      </c>
      <c r="V5041" s="7" t="str">
        <f>HYPERLINK("#Liste_rouge!A"&amp;_xlfn.XMATCH("LC",Liste_rouge!A:A,2,1),"LC")</f>
        <v>LC</v>
      </c>
      <c r="AH5041" s="4" t="str">
        <f>HYPERLINK("#Statut_biogéographique!A"&amp;_xlfn.XMATCH("P",Statut_biogéographique!A:A,2,1),"P")</f>
        <v>P</v>
      </c>
      <c r="AP5041" s="4" t="s">
        <v>376</v>
      </c>
      <c r="AR5041" s="4" t="s">
        <v>377</v>
      </c>
    </row>
    <row r="5042" spans="1:44" ht="30">
      <c r="A5042" s="4" t="s">
        <v>5</v>
      </c>
      <c r="B5042" s="4">
        <v>39109</v>
      </c>
      <c r="C5042" s="4">
        <v>686</v>
      </c>
      <c r="D5042" s="5" t="s">
        <v>7371</v>
      </c>
      <c r="E5042" s="6" t="str">
        <f>HYPERLINK("https://inpn.mnhn.fr/espece/cd_nom/39109","Amanita phalloides var. alba Costantin &amp; L.M.Dufour, 1895")</f>
        <v>Amanita phalloides var. alba Costantin &amp; L.M.Dufour, 1895</v>
      </c>
      <c r="F5042" s="5" t="s">
        <v>7372</v>
      </c>
      <c r="V5042" s="7" t="str">
        <f>HYPERLINK("#Liste_rouge!A"&amp;_xlfn.XMATCH("LC",Liste_rouge!A:A,2,1),"LC")</f>
        <v>LC</v>
      </c>
      <c r="AH5042" s="4" t="str">
        <f>HYPERLINK("#Statut_biogéographique!A"&amp;_xlfn.XMATCH("P",Statut_biogéographique!A:A,2,1),"P")</f>
        <v>P</v>
      </c>
      <c r="AP5042" s="4" t="s">
        <v>376</v>
      </c>
      <c r="AR5042" s="4" t="s">
        <v>377</v>
      </c>
    </row>
    <row r="5043" spans="1:44">
      <c r="A5043" s="4" t="s">
        <v>5</v>
      </c>
      <c r="B5043" s="4">
        <v>39113</v>
      </c>
      <c r="C5043" s="4">
        <v>695</v>
      </c>
      <c r="D5043" s="5" t="s">
        <v>7373</v>
      </c>
      <c r="E5043" s="6" t="str">
        <f>HYPERLINK("https://inpn.mnhn.fr/espece/cd_nom/39113","Amanita plumbea (Schaeff.) Secretan")</f>
        <v>Amanita plumbea (Schaeff.) Secretan</v>
      </c>
      <c r="F5043" s="5" t="s">
        <v>7374</v>
      </c>
      <c r="V5043" s="7" t="str">
        <f>HYPERLINK("#Liste_rouge!A"&amp;_xlfn.XMATCH("LC",Liste_rouge!A:A,2,1),"LC")</f>
        <v>LC</v>
      </c>
      <c r="AH5043" s="4" t="str">
        <f>HYPERLINK("#Statut_biogéographique!A"&amp;_xlfn.XMATCH("P",Statut_biogéographique!A:A,2,1),"P")</f>
        <v>P</v>
      </c>
      <c r="AP5043" s="4" t="s">
        <v>376</v>
      </c>
      <c r="AR5043" s="4" t="s">
        <v>377</v>
      </c>
    </row>
    <row r="5044" spans="1:44" ht="30">
      <c r="A5044" s="4" t="s">
        <v>5</v>
      </c>
      <c r="B5044" s="4">
        <v>39119</v>
      </c>
      <c r="C5044" s="4">
        <v>289</v>
      </c>
      <c r="D5044" s="5" t="s">
        <v>7375</v>
      </c>
      <c r="E5044" s="6" t="str">
        <f>HYPERLINK("https://inpn.mnhn.fr/espece/cd_nom/39119","Amanita porphyria Alb. &amp; Schwein., 1805")</f>
        <v>Amanita porphyria Alb. &amp; Schwein., 1805</v>
      </c>
      <c r="F5044" s="5" t="s">
        <v>7376</v>
      </c>
      <c r="V5044" s="7" t="str">
        <f>HYPERLINK("#Liste_rouge!A"&amp;_xlfn.XMATCH("LC",Liste_rouge!A:A,2,1),"LC")</f>
        <v>LC</v>
      </c>
      <c r="AH5044" s="4" t="str">
        <f>HYPERLINK("#Statut_biogéographique!A"&amp;_xlfn.XMATCH("P",Statut_biogéographique!A:A,2,1),"P")</f>
        <v>P</v>
      </c>
      <c r="AP5044" s="4" t="s">
        <v>376</v>
      </c>
      <c r="AR5044" s="4" t="s">
        <v>377</v>
      </c>
    </row>
    <row r="5045" spans="1:44">
      <c r="A5045" s="4" t="s">
        <v>5</v>
      </c>
      <c r="B5045" s="4">
        <v>39123</v>
      </c>
      <c r="C5045" s="4">
        <v>3843</v>
      </c>
      <c r="D5045" s="5" t="s">
        <v>7377</v>
      </c>
      <c r="E5045" s="6" t="str">
        <f>HYPERLINK("https://inpn.mnhn.fr/espece/cd_nom/39123","Amanita pseudoregalis Pluvinage, 1991")</f>
        <v>Amanita pseudoregalis Pluvinage, 1991</v>
      </c>
      <c r="F5045" s="5" t="s">
        <v>7378</v>
      </c>
      <c r="V5045" s="7" t="str">
        <f>HYPERLINK("#Liste_rouge!A"&amp;_xlfn.XMATCH("CR",Liste_rouge!A:A,2,1),"CR")</f>
        <v>CR</v>
      </c>
      <c r="W5045" s="4" t="str">
        <f>HYPERLINK("#Critères_liste_rouge!A$1","B2abiii")</f>
        <v>B2abiii</v>
      </c>
      <c r="Z5045" s="4" t="s">
        <v>695</v>
      </c>
      <c r="AA5045" s="4" t="s">
        <v>696</v>
      </c>
      <c r="AH5045" s="4" t="str">
        <f>HYPERLINK("#Statut_biogéographique!A"&amp;_xlfn.XMATCH("P",Statut_biogéographique!A:A,2,1),"P")</f>
        <v>P</v>
      </c>
      <c r="AP5045" s="4" t="s">
        <v>376</v>
      </c>
      <c r="AR5045" s="4" t="s">
        <v>377</v>
      </c>
    </row>
    <row r="5046" spans="1:44" ht="30">
      <c r="A5046" s="4" t="s">
        <v>5</v>
      </c>
      <c r="B5046" s="4">
        <v>39125</v>
      </c>
      <c r="C5046" s="4">
        <v>4048</v>
      </c>
      <c r="D5046" s="5" t="s">
        <v>7379</v>
      </c>
      <c r="E5046" s="6" t="str">
        <f>HYPERLINK("https://inpn.mnhn.fr/espece/cd_nom/39125","Amanita regalis (Fr.) Michael, 1904")</f>
        <v>Amanita regalis (Fr.) Michael, 1904</v>
      </c>
      <c r="F5046" s="5" t="s">
        <v>7380</v>
      </c>
      <c r="AH5046" s="4" t="str">
        <f>HYPERLINK("#Statut_biogéographique!A"&amp;_xlfn.XMATCH("P",Statut_biogéographique!A:A,2,1),"P")</f>
        <v>P</v>
      </c>
      <c r="AP5046" s="4" t="s">
        <v>376</v>
      </c>
      <c r="AR5046" s="4" t="s">
        <v>377</v>
      </c>
    </row>
    <row r="5047" spans="1:44" ht="30">
      <c r="A5047" s="4" t="s">
        <v>5</v>
      </c>
      <c r="B5047" s="4">
        <v>39128</v>
      </c>
      <c r="C5047" s="4">
        <v>6</v>
      </c>
      <c r="D5047" s="5" t="s">
        <v>7381</v>
      </c>
      <c r="E5047" s="6" t="str">
        <f>HYPERLINK("https://inpn.mnhn.fr/espece/cd_nom/39128","Amanita rubescens Pers., 1797")</f>
        <v>Amanita rubescens Pers., 1797</v>
      </c>
      <c r="F5047" s="5" t="s">
        <v>7382</v>
      </c>
      <c r="V5047" s="7" t="str">
        <f>HYPERLINK("#Liste_rouge!A"&amp;_xlfn.XMATCH("LC",Liste_rouge!A:A,2,1),"LC")</f>
        <v>LC</v>
      </c>
      <c r="AH5047" s="4" t="str">
        <f>HYPERLINK("#Statut_biogéographique!A"&amp;_xlfn.XMATCH("P",Statut_biogéographique!A:A,2,1),"P")</f>
        <v>P</v>
      </c>
      <c r="AP5047" s="4" t="s">
        <v>376</v>
      </c>
      <c r="AR5047" s="4" t="s">
        <v>377</v>
      </c>
    </row>
    <row r="5048" spans="1:44" ht="30">
      <c r="A5048" s="4" t="s">
        <v>5</v>
      </c>
      <c r="B5048" s="4">
        <v>39135</v>
      </c>
      <c r="C5048" s="4">
        <v>531</v>
      </c>
      <c r="D5048" s="5" t="s">
        <v>7383</v>
      </c>
      <c r="E5048" s="6" t="str">
        <f>HYPERLINK("https://inpn.mnhn.fr/espece/cd_nom/39135","Amanita rubescens f. annulosulfurea (Gillet) J.E.Lange, 1915")</f>
        <v>Amanita rubescens f. annulosulfurea (Gillet) J.E.Lange, 1915</v>
      </c>
      <c r="F5048" s="5" t="s">
        <v>7384</v>
      </c>
      <c r="V5048" s="7" t="str">
        <f>HYPERLINK("#Liste_rouge!A"&amp;_xlfn.XMATCH("LC",Liste_rouge!A:A,2,1),"LC")</f>
        <v>LC</v>
      </c>
      <c r="AH5048" s="4" t="str">
        <f>HYPERLINK("#Statut_biogéographique!A"&amp;_xlfn.XMATCH("P",Statut_biogéographique!A:A,2,1),"P")</f>
        <v>P</v>
      </c>
      <c r="AP5048" s="4" t="s">
        <v>376</v>
      </c>
      <c r="AR5048" s="4" t="s">
        <v>377</v>
      </c>
    </row>
    <row r="5049" spans="1:44">
      <c r="A5049" s="4" t="s">
        <v>5</v>
      </c>
      <c r="B5049" s="4">
        <v>39137</v>
      </c>
      <c r="C5049" s="4">
        <v>5886</v>
      </c>
      <c r="D5049" s="5" t="s">
        <v>7385</v>
      </c>
      <c r="E5049" s="6" t="str">
        <f>HYPERLINK("https://inpn.mnhn.fr/espece/cd_nom/39137","Amanita spadicea Pers., 1797")</f>
        <v>Amanita spadicea Pers., 1797</v>
      </c>
      <c r="F5049" s="5" t="s">
        <v>7386</v>
      </c>
      <c r="AH5049" s="4" t="str">
        <f>HYPERLINK("#Statut_biogéographique!A"&amp;_xlfn.XMATCH("P",Statut_biogéographique!A:A,2,1),"P")</f>
        <v>P</v>
      </c>
      <c r="AP5049" s="4" t="s">
        <v>376</v>
      </c>
      <c r="AR5049" s="4" t="s">
        <v>377</v>
      </c>
    </row>
    <row r="5050" spans="1:44" ht="30">
      <c r="A5050" s="4" t="s">
        <v>5</v>
      </c>
      <c r="B5050" s="4">
        <v>39146</v>
      </c>
      <c r="C5050" s="4">
        <v>428</v>
      </c>
      <c r="D5050" s="5" t="s">
        <v>7387</v>
      </c>
      <c r="E5050" s="6" t="str">
        <f>HYPERLINK("https://inpn.mnhn.fr/espece/cd_nom/39146","Amanita strobiliformis (Paulet ex Vittad.) Bertill., 1866")</f>
        <v>Amanita strobiliformis (Paulet ex Vittad.) Bertill., 1866</v>
      </c>
      <c r="F5050" s="5" t="s">
        <v>7388</v>
      </c>
      <c r="V5050" s="7" t="str">
        <f>HYPERLINK("#Liste_rouge!A"&amp;_xlfn.XMATCH("LC",Liste_rouge!A:A,2,1),"LC")</f>
        <v>LC</v>
      </c>
      <c r="Z5050" s="4" t="s">
        <v>443</v>
      </c>
      <c r="AA5050" s="4" t="s">
        <v>444</v>
      </c>
      <c r="AH5050" s="4" t="str">
        <f>HYPERLINK("#Statut_biogéographique!A"&amp;_xlfn.XMATCH("P",Statut_biogéographique!A:A,2,1),"P")</f>
        <v>P</v>
      </c>
      <c r="AP5050" s="4" t="s">
        <v>376</v>
      </c>
      <c r="AR5050" s="4" t="s">
        <v>377</v>
      </c>
    </row>
    <row r="5051" spans="1:44" ht="30">
      <c r="A5051" s="4" t="s">
        <v>5</v>
      </c>
      <c r="B5051" s="4">
        <v>39150</v>
      </c>
      <c r="C5051" s="4">
        <v>834</v>
      </c>
      <c r="D5051" s="5" t="s">
        <v>7389</v>
      </c>
      <c r="E5051" s="6" t="str">
        <f>HYPERLINK("https://inpn.mnhn.fr/espece/cd_nom/39150","Amanita submembranacea (Bon) Gröger, 1979")</f>
        <v>Amanita submembranacea (Bon) Gröger, 1979</v>
      </c>
      <c r="F5051" s="5" t="s">
        <v>7390</v>
      </c>
      <c r="V5051" s="7" t="str">
        <f>HYPERLINK("#Liste_rouge!A"&amp;_xlfn.XMATCH("LC",Liste_rouge!A:A,2,1),"LC")</f>
        <v>LC</v>
      </c>
      <c r="Z5051" s="4" t="s">
        <v>447</v>
      </c>
      <c r="AA5051" s="4" t="s">
        <v>448</v>
      </c>
      <c r="AH5051" s="4" t="str">
        <f>HYPERLINK("#Statut_biogéographique!A"&amp;_xlfn.XMATCH("P",Statut_biogéographique!A:A,2,1),"P")</f>
        <v>P</v>
      </c>
      <c r="AP5051" s="4" t="s">
        <v>376</v>
      </c>
      <c r="AR5051" s="4" t="s">
        <v>377</v>
      </c>
    </row>
    <row r="5052" spans="1:44" ht="30">
      <c r="A5052" s="4" t="s">
        <v>5</v>
      </c>
      <c r="B5052" s="4">
        <v>39153</v>
      </c>
      <c r="C5052" s="4">
        <v>6597</v>
      </c>
      <c r="D5052" s="5" t="s">
        <v>7391</v>
      </c>
      <c r="E5052" s="6" t="str">
        <f>HYPERLINK("https://inpn.mnhn.fr/espece/cd_nom/39153","Amanita submembranacea var. griseoargentata Contu, 1986")</f>
        <v>Amanita submembranacea var. griseoargentata Contu, 1986</v>
      </c>
      <c r="F5052" s="5" t="s">
        <v>7392</v>
      </c>
      <c r="AH5052" s="4" t="str">
        <f>HYPERLINK("#Statut_biogéographique!A"&amp;_xlfn.XMATCH("P",Statut_biogéographique!A:A,2,1),"P")</f>
        <v>P</v>
      </c>
      <c r="AP5052" s="4" t="s">
        <v>376</v>
      </c>
      <c r="AR5052" s="4" t="s">
        <v>377</v>
      </c>
    </row>
    <row r="5053" spans="1:44" ht="30">
      <c r="A5053" s="4" t="s">
        <v>5</v>
      </c>
      <c r="B5053" s="4">
        <v>39155</v>
      </c>
      <c r="C5053" s="4">
        <v>33</v>
      </c>
      <c r="D5053" s="5" t="s">
        <v>7393</v>
      </c>
      <c r="E5053" s="6" t="str">
        <f>HYPERLINK("https://inpn.mnhn.fr/espece/cd_nom/39155","Amanita vaginata (Bull.) Lam., 1783")</f>
        <v>Amanita vaginata (Bull.) Lam., 1783</v>
      </c>
      <c r="F5053" s="5" t="s">
        <v>7394</v>
      </c>
      <c r="V5053" s="7" t="str">
        <f>HYPERLINK("#Liste_rouge!A"&amp;_xlfn.XMATCH("LC",Liste_rouge!A:A,2,1),"LC")</f>
        <v>LC</v>
      </c>
      <c r="AH5053" s="4" t="str">
        <f>HYPERLINK("#Statut_biogéographique!A"&amp;_xlfn.XMATCH("P",Statut_biogéographique!A:A,2,1),"P")</f>
        <v>P</v>
      </c>
      <c r="AP5053" s="4" t="s">
        <v>376</v>
      </c>
      <c r="AR5053" s="4" t="s">
        <v>377</v>
      </c>
    </row>
    <row r="5054" spans="1:44">
      <c r="A5054" s="4" t="s">
        <v>5</v>
      </c>
      <c r="B5054" s="4">
        <v>39165</v>
      </c>
      <c r="C5054" s="4">
        <v>5208</v>
      </c>
      <c r="D5054" s="5" t="s">
        <v>7395</v>
      </c>
      <c r="E5054" s="6" t="str">
        <f>HYPERLINK("https://inpn.mnhn.fr/espece/cd_nom/39165","Amanita badia (Schaeff.) Bon &amp; Contu, 1985")</f>
        <v>Amanita badia (Schaeff.) Bon &amp; Contu, 1985</v>
      </c>
      <c r="F5054" s="5" t="s">
        <v>7396</v>
      </c>
      <c r="V5054" s="7" t="str">
        <f>HYPERLINK("#Liste_rouge!A"&amp;_xlfn.XMATCH("EN",Liste_rouge!A:A,2,1),"EN")</f>
        <v>EN</v>
      </c>
      <c r="W5054" s="4" t="str">
        <f>HYPERLINK("#Critères_liste_rouge!A$1","B2abiii")</f>
        <v>B2abiii</v>
      </c>
      <c r="Z5054" s="4" t="s">
        <v>695</v>
      </c>
      <c r="AA5054" s="4" t="s">
        <v>696</v>
      </c>
      <c r="AH5054" s="4" t="str">
        <f>HYPERLINK("#Statut_biogéographique!A"&amp;_xlfn.XMATCH("P",Statut_biogéographique!A:A,2,1),"P")</f>
        <v>P</v>
      </c>
      <c r="AP5054" s="4" t="s">
        <v>376</v>
      </c>
      <c r="AR5054" s="4" t="s">
        <v>377</v>
      </c>
    </row>
    <row r="5055" spans="1:44">
      <c r="A5055" s="4" t="s">
        <v>5</v>
      </c>
      <c r="B5055" s="4">
        <v>39168</v>
      </c>
      <c r="C5055" s="4">
        <v>105</v>
      </c>
      <c r="D5055" s="5" t="s">
        <v>7397</v>
      </c>
      <c r="E5055" s="6" t="str">
        <f>HYPERLINK("https://inpn.mnhn.fr/espece/cd_nom/39168","Amanita crocea (Quél.) Singer, 1951")</f>
        <v>Amanita crocea (Quél.) Singer, 1951</v>
      </c>
      <c r="F5055" s="5" t="s">
        <v>7398</v>
      </c>
      <c r="V5055" s="7" t="str">
        <f>HYPERLINK("#Liste_rouge!A"&amp;_xlfn.XMATCH("LC",Liste_rouge!A:A,2,1),"LC")</f>
        <v>LC</v>
      </c>
      <c r="AH5055" s="4" t="str">
        <f>HYPERLINK("#Statut_biogéographique!A"&amp;_xlfn.XMATCH("P",Statut_biogéographique!A:A,2,1),"P")</f>
        <v>P</v>
      </c>
      <c r="AP5055" s="4" t="s">
        <v>376</v>
      </c>
      <c r="AR5055" s="4" t="s">
        <v>377</v>
      </c>
    </row>
    <row r="5056" spans="1:44" ht="30">
      <c r="A5056" s="4" t="s">
        <v>5</v>
      </c>
      <c r="B5056" s="4">
        <v>39177</v>
      </c>
      <c r="C5056" s="4">
        <v>630</v>
      </c>
      <c r="D5056" s="5" t="s">
        <v>7399</v>
      </c>
      <c r="E5056" s="6" t="str">
        <f>HYPERLINK("https://inpn.mnhn.fr/espece/cd_nom/39177","Amanita verna (Bull.) Lam., 1783")</f>
        <v>Amanita verna (Bull.) Lam., 1783</v>
      </c>
      <c r="F5056" s="5" t="s">
        <v>7400</v>
      </c>
      <c r="V5056" s="7" t="str">
        <f>HYPERLINK("#Liste_rouge!A"&amp;_xlfn.XMATCH("VU",Liste_rouge!A:A,2,1),"VU")</f>
        <v>VU</v>
      </c>
      <c r="W5056" s="4" t="str">
        <f>HYPERLINK("#Critères_liste_rouge!A$1","A2c")</f>
        <v>A2c</v>
      </c>
      <c r="Z5056" s="4" t="s">
        <v>447</v>
      </c>
      <c r="AA5056" s="4" t="s">
        <v>448</v>
      </c>
      <c r="AH5056" s="4" t="str">
        <f>HYPERLINK("#Statut_biogéographique!A"&amp;_xlfn.XMATCH("P",Statut_biogéographique!A:A,2,1),"P")</f>
        <v>P</v>
      </c>
      <c r="AP5056" s="4" t="s">
        <v>376</v>
      </c>
      <c r="AR5056" s="4" t="s">
        <v>377</v>
      </c>
    </row>
    <row r="5057" spans="1:44" ht="30">
      <c r="A5057" s="4" t="s">
        <v>5</v>
      </c>
      <c r="B5057" s="4">
        <v>39179</v>
      </c>
      <c r="C5057" s="4">
        <v>1373</v>
      </c>
      <c r="D5057" s="5" t="s">
        <v>7401</v>
      </c>
      <c r="E5057" s="6" t="str">
        <f>HYPERLINK("https://inpn.mnhn.fr/espece/cd_nom/39179","Amanita virosa Bertill., 1866")</f>
        <v>Amanita virosa Bertill., 1866</v>
      </c>
      <c r="F5057" s="5" t="s">
        <v>7402</v>
      </c>
      <c r="V5057" s="7" t="str">
        <f>HYPERLINK("#Liste_rouge!A"&amp;_xlfn.XMATCH("LC",Liste_rouge!A:A,2,1),"LC")</f>
        <v>LC</v>
      </c>
      <c r="Z5057" s="4" t="s">
        <v>447</v>
      </c>
      <c r="AA5057" s="4" t="s">
        <v>448</v>
      </c>
      <c r="AH5057" s="4" t="str">
        <f>HYPERLINK("#Statut_biogéographique!A"&amp;_xlfn.XMATCH("P",Statut_biogéographique!A:A,2,1),"P")</f>
        <v>P</v>
      </c>
      <c r="AP5057" s="4" t="s">
        <v>376</v>
      </c>
      <c r="AR5057" s="4" t="s">
        <v>377</v>
      </c>
    </row>
    <row r="5058" spans="1:44" ht="30">
      <c r="A5058" s="4" t="s">
        <v>5</v>
      </c>
      <c r="B5058" s="4">
        <v>39192</v>
      </c>
      <c r="D5058" s="5" t="s">
        <v>7403</v>
      </c>
      <c r="E5058" s="6" t="str">
        <f>HYPERLINK("https://inpn.mnhn.fr/espece/cd_nom/39192","Limacella furnacea (Letell.) E.-J.Gilbert, 1928")</f>
        <v>Limacella furnacea (Letell.) E.-J.Gilbert, 1928</v>
      </c>
      <c r="V5058" s="7" t="str">
        <f>HYPERLINK("#Liste_rouge!A"&amp;_xlfn.XMATCH("CR",Liste_rouge!A:A,2,1),"CR")</f>
        <v>CR</v>
      </c>
      <c r="W5058" s="4" t="str">
        <f>HYPERLINK("#Critères_liste_rouge!A$1","B2abiii")</f>
        <v>B2abiii</v>
      </c>
      <c r="AH5058" s="4" t="str">
        <f>HYPERLINK("#Statut_biogéographique!A"&amp;_xlfn.XMATCH("P",Statut_biogéographique!A:A,2,1),"P")</f>
        <v>P</v>
      </c>
      <c r="AP5058" s="4" t="s">
        <v>376</v>
      </c>
      <c r="AR5058" s="4" t="s">
        <v>377</v>
      </c>
    </row>
    <row r="5059" spans="1:44">
      <c r="A5059" s="4" t="s">
        <v>5</v>
      </c>
      <c r="B5059" s="4">
        <v>39195</v>
      </c>
      <c r="D5059" s="5" t="s">
        <v>7404</v>
      </c>
      <c r="E5059" s="6" t="str">
        <f>HYPERLINK("https://inpn.mnhn.fr/espece/cd_nom/39195","Limacella glioderma (Fr.) Maire, 1926")</f>
        <v>Limacella glioderma (Fr.) Maire, 1926</v>
      </c>
      <c r="F5059" s="5" t="s">
        <v>3070</v>
      </c>
      <c r="V5059" s="7" t="str">
        <f>HYPERLINK("#Liste_rouge!A"&amp;_xlfn.XMATCH("EN",Liste_rouge!A:A,2,1),"EN")</f>
        <v>EN</v>
      </c>
      <c r="W5059" s="4" t="str">
        <f>HYPERLINK("#Critères_liste_rouge!A$1","A2c")</f>
        <v>A2c</v>
      </c>
      <c r="AH5059" s="4" t="str">
        <f>HYPERLINK("#Statut_biogéographique!A"&amp;_xlfn.XMATCH("P",Statut_biogéographique!A:A,2,1),"P")</f>
        <v>P</v>
      </c>
      <c r="AP5059" s="4" t="s">
        <v>376</v>
      </c>
      <c r="AR5059" s="4" t="s">
        <v>377</v>
      </c>
    </row>
    <row r="5060" spans="1:44" ht="30">
      <c r="A5060" s="4" t="s">
        <v>5</v>
      </c>
      <c r="B5060" s="4">
        <v>39203</v>
      </c>
      <c r="D5060" s="5" t="s">
        <v>7405</v>
      </c>
      <c r="E5060" s="6" t="str">
        <f>HYPERLINK("https://inpn.mnhn.fr/espece/cd_nom/39203","Limacella illinita (Fr.) Maire, 1933")</f>
        <v>Limacella illinita (Fr.) Maire, 1933</v>
      </c>
      <c r="V5060" s="7" t="str">
        <f>HYPERLINK("#Liste_rouge!A"&amp;_xlfn.XMATCH("DD",Liste_rouge!A:A,2,1),"DD")</f>
        <v>DD</v>
      </c>
      <c r="AH5060" s="4" t="str">
        <f>HYPERLINK("#Statut_biogéographique!A"&amp;_xlfn.XMATCH("P",Statut_biogéographique!A:A,2,1),"P")</f>
        <v>P</v>
      </c>
      <c r="AP5060" s="4" t="s">
        <v>376</v>
      </c>
      <c r="AR5060" s="4" t="s">
        <v>377</v>
      </c>
    </row>
    <row r="5061" spans="1:44">
      <c r="A5061" s="4" t="s">
        <v>5</v>
      </c>
      <c r="B5061" s="4">
        <v>39207</v>
      </c>
      <c r="D5061" s="5" t="s">
        <v>7406</v>
      </c>
      <c r="E5061" s="6" t="str">
        <f>HYPERLINK("https://inpn.mnhn.fr/espece/cd_nom/39207","Limacella ochraceolutea P.D.Orton, 1969")</f>
        <v>Limacella ochraceolutea P.D.Orton, 1969</v>
      </c>
      <c r="V5061" s="7" t="str">
        <f>HYPERLINK("#Liste_rouge!A"&amp;_xlfn.XMATCH("DD",Liste_rouge!A:A,2,1),"DD")</f>
        <v>DD</v>
      </c>
      <c r="AH5061" s="4" t="str">
        <f>HYPERLINK("#Statut_biogéographique!A"&amp;_xlfn.XMATCH("P",Statut_biogéographique!A:A,2,1),"P")</f>
        <v>P</v>
      </c>
      <c r="AP5061" s="4" t="s">
        <v>376</v>
      </c>
      <c r="AR5061" s="4" t="s">
        <v>377</v>
      </c>
    </row>
    <row r="5062" spans="1:44" ht="30">
      <c r="A5062" s="4" t="s">
        <v>5</v>
      </c>
      <c r="B5062" s="4">
        <v>39211</v>
      </c>
      <c r="D5062" s="5">
        <v>39211</v>
      </c>
      <c r="E5062" s="6" t="str">
        <f>HYPERLINK("https://inpn.mnhn.fr/espece/cd_nom/39211","Limacella vinosorubescens Furrer-Ziogas, 1969")</f>
        <v>Limacella vinosorubescens Furrer-Ziogas, 1969</v>
      </c>
      <c r="V5062" s="7" t="str">
        <f>HYPERLINK("#Liste_rouge!A"&amp;_xlfn.XMATCH("NT",Liste_rouge!A:A,2,1),"NT")</f>
        <v>NT</v>
      </c>
      <c r="W5062" s="4" t="str">
        <f>HYPERLINK("#Critères_liste_rouge!A$1","pr. A2c")</f>
        <v>pr. A2c</v>
      </c>
      <c r="AH5062" s="4" t="str">
        <f>HYPERLINK("#Statut_biogéographique!A"&amp;_xlfn.XMATCH("P",Statut_biogéographique!A:A,2,1),"P")</f>
        <v>P</v>
      </c>
      <c r="AP5062" s="4" t="s">
        <v>376</v>
      </c>
      <c r="AR5062" s="4" t="s">
        <v>377</v>
      </c>
    </row>
    <row r="5063" spans="1:44">
      <c r="A5063" s="4" t="s">
        <v>5</v>
      </c>
      <c r="B5063" s="4">
        <v>39216</v>
      </c>
      <c r="C5063" s="4">
        <v>458</v>
      </c>
      <c r="D5063" s="5" t="s">
        <v>7407</v>
      </c>
      <c r="E5063" s="6" t="str">
        <f>HYPERLINK("https://inpn.mnhn.fr/espece/cd_nom/39216","Lactarius acerrimus Britzelm., 1893")</f>
        <v>Lactarius acerrimus Britzelm., 1893</v>
      </c>
      <c r="F5063" s="5" t="s">
        <v>7408</v>
      </c>
      <c r="V5063" s="7" t="str">
        <f>HYPERLINK("#Liste_rouge!A"&amp;_xlfn.XMATCH("LC",Liste_rouge!A:A,2,1),"LC")</f>
        <v>LC</v>
      </c>
      <c r="AH5063" s="4" t="str">
        <f>HYPERLINK("#Statut_biogéographique!A"&amp;_xlfn.XMATCH("P",Statut_biogéographique!A:A,2,1),"P")</f>
        <v>P</v>
      </c>
      <c r="AP5063" s="4" t="s">
        <v>376</v>
      </c>
      <c r="AR5063" s="4" t="s">
        <v>377</v>
      </c>
    </row>
    <row r="5064" spans="1:44">
      <c r="A5064" s="4" t="s">
        <v>5</v>
      </c>
      <c r="B5064" s="4">
        <v>39219</v>
      </c>
      <c r="C5064" s="4">
        <v>2339</v>
      </c>
      <c r="D5064" s="5" t="s">
        <v>7409</v>
      </c>
      <c r="E5064" s="6" t="str">
        <f>HYPERLINK("https://inpn.mnhn.fr/espece/cd_nom/39219","Lactarius acris (Bolton) Gray, 1821")</f>
        <v>Lactarius acris (Bolton) Gray, 1821</v>
      </c>
      <c r="F5064" s="5" t="s">
        <v>7410</v>
      </c>
      <c r="V5064" s="7" t="str">
        <f>HYPERLINK("#Liste_rouge!A"&amp;_xlfn.XMATCH("LC",Liste_rouge!A:A,2,1),"LC")</f>
        <v>LC</v>
      </c>
      <c r="AH5064" s="4" t="str">
        <f>HYPERLINK("#Statut_biogéographique!A"&amp;_xlfn.XMATCH("P",Statut_biogéographique!A:A,2,1),"P")</f>
        <v>P</v>
      </c>
      <c r="AP5064" s="4" t="s">
        <v>376</v>
      </c>
      <c r="AR5064" s="4" t="s">
        <v>377</v>
      </c>
    </row>
    <row r="5065" spans="1:44">
      <c r="A5065" s="4" t="s">
        <v>5</v>
      </c>
      <c r="B5065" s="4">
        <v>39222</v>
      </c>
      <c r="C5065" s="4">
        <v>1379</v>
      </c>
      <c r="D5065" s="5" t="s">
        <v>7411</v>
      </c>
      <c r="E5065" s="6" t="str">
        <f>HYPERLINK("https://inpn.mnhn.fr/espece/cd_nom/39222","Lactarius albocarneus Britzelm., 1895")</f>
        <v>Lactarius albocarneus Britzelm., 1895</v>
      </c>
      <c r="F5065" s="5" t="s">
        <v>7412</v>
      </c>
      <c r="V5065" s="7" t="str">
        <f>HYPERLINK("#Liste_rouge!A"&amp;_xlfn.XMATCH("LC",Liste_rouge!A:A,2,1),"LC")</f>
        <v>LC</v>
      </c>
      <c r="Z5065" s="4" t="s">
        <v>447</v>
      </c>
      <c r="AA5065" s="4" t="s">
        <v>448</v>
      </c>
      <c r="AH5065" s="4" t="str">
        <f>HYPERLINK("#Statut_biogéographique!A"&amp;_xlfn.XMATCH("P",Statut_biogéographique!A:A,2,1),"P")</f>
        <v>P</v>
      </c>
      <c r="AP5065" s="4" t="s">
        <v>376</v>
      </c>
      <c r="AR5065" s="4" t="s">
        <v>377</v>
      </c>
    </row>
    <row r="5066" spans="1:44">
      <c r="A5066" s="4" t="s">
        <v>5</v>
      </c>
      <c r="B5066" s="4">
        <v>39230</v>
      </c>
      <c r="C5066" s="4">
        <v>977</v>
      </c>
      <c r="D5066" s="5" t="s">
        <v>7413</v>
      </c>
      <c r="E5066" s="6" t="str">
        <f>HYPERLINK("https://inpn.mnhn.fr/espece/cd_nom/39230","Lactarius aspideus (Fr.) Fr., 1838")</f>
        <v>Lactarius aspideus (Fr.) Fr., 1838</v>
      </c>
      <c r="F5066" s="5" t="s">
        <v>7414</v>
      </c>
      <c r="V5066" s="7" t="str">
        <f>HYPERLINK("#Liste_rouge!A"&amp;_xlfn.XMATCH("EN",Liste_rouge!A:A,2,1),"EN")</f>
        <v>EN</v>
      </c>
      <c r="W5066" s="4" t="str">
        <f>HYPERLINK("#Critères_liste_rouge!A$1","A2c")</f>
        <v>A2c</v>
      </c>
      <c r="Z5066" s="4" t="s">
        <v>695</v>
      </c>
      <c r="AA5066" s="4" t="s">
        <v>696</v>
      </c>
      <c r="AH5066" s="4" t="str">
        <f>HYPERLINK("#Statut_biogéographique!A"&amp;_xlfn.XMATCH("P",Statut_biogéographique!A:A,2,1),"P")</f>
        <v>P</v>
      </c>
      <c r="AP5066" s="4" t="s">
        <v>376</v>
      </c>
      <c r="AR5066" s="4" t="s">
        <v>377</v>
      </c>
    </row>
    <row r="5067" spans="1:44">
      <c r="A5067" s="4" t="s">
        <v>5</v>
      </c>
      <c r="B5067" s="4">
        <v>39233</v>
      </c>
      <c r="C5067" s="4">
        <v>166</v>
      </c>
      <c r="D5067" s="5" t="s">
        <v>7415</v>
      </c>
      <c r="E5067" s="6" t="str">
        <f>HYPERLINK("https://inpn.mnhn.fr/espece/cd_nom/39233","Lactarius aurantiacus (Pers.) Gray, 1821")</f>
        <v>Lactarius aurantiacus (Pers.) Gray, 1821</v>
      </c>
      <c r="F5067" s="5" t="s">
        <v>7416</v>
      </c>
      <c r="V5067" s="7" t="str">
        <f>HYPERLINK("#Liste_rouge!A"&amp;_xlfn.XMATCH("LC",Liste_rouge!A:A,2,1),"LC")</f>
        <v>LC</v>
      </c>
      <c r="AH5067" s="4" t="str">
        <f>HYPERLINK("#Statut_biogéographique!A"&amp;_xlfn.XMATCH("P",Statut_biogéographique!A:A,2,1),"P")</f>
        <v>P</v>
      </c>
      <c r="AP5067" s="4" t="s">
        <v>376</v>
      </c>
      <c r="AR5067" s="4" t="s">
        <v>377</v>
      </c>
    </row>
    <row r="5068" spans="1:44">
      <c r="A5068" s="4" t="s">
        <v>5</v>
      </c>
      <c r="B5068" s="4">
        <v>39236</v>
      </c>
      <c r="C5068" s="4">
        <v>1985</v>
      </c>
      <c r="D5068" s="5" t="s">
        <v>7417</v>
      </c>
      <c r="E5068" s="6" t="str">
        <f>HYPERLINK("https://inpn.mnhn.fr/espece/cd_nom/39236","Lactarius aurantiofulvus J.Blum ex Bon, 1985")</f>
        <v>Lactarius aurantiofulvus J.Blum ex Bon, 1985</v>
      </c>
      <c r="F5068" s="5" t="s">
        <v>7418</v>
      </c>
      <c r="V5068" s="7" t="str">
        <f>HYPERLINK("#Liste_rouge!A"&amp;_xlfn.XMATCH("LC",Liste_rouge!A:A,2,1),"LC")</f>
        <v>LC</v>
      </c>
      <c r="AH5068" s="4" t="str">
        <f>HYPERLINK("#Statut_biogéographique!A"&amp;_xlfn.XMATCH("P",Statut_biogéographique!A:A,2,1),"P")</f>
        <v>P</v>
      </c>
      <c r="AP5068" s="4" t="s">
        <v>376</v>
      </c>
      <c r="AR5068" s="4" t="s">
        <v>377</v>
      </c>
    </row>
    <row r="5069" spans="1:44" ht="30">
      <c r="A5069" s="4" t="s">
        <v>5</v>
      </c>
      <c r="B5069" s="4">
        <v>39240</v>
      </c>
      <c r="C5069" s="4">
        <v>1459</v>
      </c>
      <c r="D5069" s="5" t="s">
        <v>7419</v>
      </c>
      <c r="E5069" s="6" t="str">
        <f>HYPERLINK("https://inpn.mnhn.fr/espece/cd_nom/39240","Lactarius badiosanguineus Kühner &amp; Romagn., 1954")</f>
        <v>Lactarius badiosanguineus Kühner &amp; Romagn., 1954</v>
      </c>
      <c r="F5069" s="5" t="s">
        <v>7420</v>
      </c>
      <c r="V5069" s="7" t="str">
        <f>HYPERLINK("#Liste_rouge!A"&amp;_xlfn.XMATCH("LC",Liste_rouge!A:A,2,1),"LC")</f>
        <v>LC</v>
      </c>
      <c r="AH5069" s="4" t="str">
        <f>HYPERLINK("#Statut_biogéographique!A"&amp;_xlfn.XMATCH("P",Statut_biogéographique!A:A,2,1),"P")</f>
        <v>P</v>
      </c>
      <c r="AP5069" s="4" t="s">
        <v>376</v>
      </c>
      <c r="AR5069" s="4" t="s">
        <v>377</v>
      </c>
    </row>
    <row r="5070" spans="1:44">
      <c r="A5070" s="4" t="s">
        <v>5</v>
      </c>
      <c r="B5070" s="4">
        <v>39246</v>
      </c>
      <c r="C5070" s="4">
        <v>370</v>
      </c>
      <c r="D5070" s="5" t="s">
        <v>7421</v>
      </c>
      <c r="E5070" s="6" t="str">
        <f>HYPERLINK("https://inpn.mnhn.fr/espece/cd_nom/39246","Lactarius blennius (Fr.) Fr., 1838")</f>
        <v>Lactarius blennius (Fr.) Fr., 1838</v>
      </c>
      <c r="F5070" s="5" t="s">
        <v>7422</v>
      </c>
      <c r="V5070" s="7" t="str">
        <f>HYPERLINK("#Liste_rouge!A"&amp;_xlfn.XMATCH("LC",Liste_rouge!A:A,2,1),"LC")</f>
        <v>LC</v>
      </c>
      <c r="AH5070" s="4" t="str">
        <f>HYPERLINK("#Statut_biogéographique!A"&amp;_xlfn.XMATCH("P",Statut_biogéographique!A:A,2,1),"P")</f>
        <v>P</v>
      </c>
      <c r="AP5070" s="4" t="s">
        <v>376</v>
      </c>
      <c r="AR5070" s="4" t="s">
        <v>377</v>
      </c>
    </row>
    <row r="5071" spans="1:44">
      <c r="A5071" s="4" t="s">
        <v>5</v>
      </c>
      <c r="B5071" s="4">
        <v>39247</v>
      </c>
      <c r="C5071" s="4">
        <v>1001</v>
      </c>
      <c r="D5071" s="5" t="s">
        <v>7423</v>
      </c>
      <c r="E5071" s="6" t="str">
        <f>HYPERLINK("https://inpn.mnhn.fr/espece/cd_nom/39247","Lactarius blennius f. virescens J.E.Lange, 1940")</f>
        <v>Lactarius blennius f. virescens J.E.Lange, 1940</v>
      </c>
      <c r="F5071" s="5" t="s">
        <v>7424</v>
      </c>
      <c r="V5071" s="7" t="str">
        <f>HYPERLINK("#Liste_rouge!A"&amp;_xlfn.XMATCH("LC",Liste_rouge!A:A,2,1),"LC")</f>
        <v>LC</v>
      </c>
      <c r="AH5071" s="4" t="str">
        <f>HYPERLINK("#Statut_biogéographique!A"&amp;_xlfn.XMATCH("P",Statut_biogéographique!A:A,2,1),"P")</f>
        <v>P</v>
      </c>
      <c r="AP5071" s="4" t="s">
        <v>376</v>
      </c>
      <c r="AR5071" s="4" t="s">
        <v>377</v>
      </c>
    </row>
    <row r="5072" spans="1:44">
      <c r="A5072" s="4" t="s">
        <v>5</v>
      </c>
      <c r="B5072" s="4">
        <v>39255</v>
      </c>
      <c r="C5072" s="4">
        <v>1478</v>
      </c>
      <c r="D5072" s="5" t="s">
        <v>7425</v>
      </c>
      <c r="E5072" s="6" t="str">
        <f>HYPERLINK("https://inpn.mnhn.fr/espece/cd_nom/39255","Lactarius britannicus D.A.Reid, 1969")</f>
        <v>Lactarius britannicus D.A.Reid, 1969</v>
      </c>
      <c r="F5072" s="5" t="s">
        <v>7426</v>
      </c>
      <c r="V5072" s="7" t="str">
        <f>HYPERLINK("#Liste_rouge!A"&amp;_xlfn.XMATCH("LC",Liste_rouge!A:A,2,1),"LC")</f>
        <v>LC</v>
      </c>
      <c r="AH5072" s="4" t="str">
        <f>HYPERLINK("#Statut_biogéographique!A"&amp;_xlfn.XMATCH("P",Statut_biogéographique!A:A,2,1),"P")</f>
        <v>P</v>
      </c>
      <c r="AP5072" s="4" t="s">
        <v>376</v>
      </c>
      <c r="AR5072" s="4" t="s">
        <v>377</v>
      </c>
    </row>
    <row r="5073" spans="1:44">
      <c r="A5073" s="4" t="s">
        <v>5</v>
      </c>
      <c r="B5073" s="4">
        <v>39261</v>
      </c>
      <c r="C5073" s="4">
        <v>369</v>
      </c>
      <c r="D5073" s="5" t="s">
        <v>7427</v>
      </c>
      <c r="E5073" s="6" t="str">
        <f>HYPERLINK("https://inpn.mnhn.fr/espece/cd_nom/39261","Lactarius camphoratus (Bull.) Fr., 1838")</f>
        <v>Lactarius camphoratus (Bull.) Fr., 1838</v>
      </c>
      <c r="F5073" s="5" t="s">
        <v>7428</v>
      </c>
      <c r="V5073" s="7" t="str">
        <f>HYPERLINK("#Liste_rouge!A"&amp;_xlfn.XMATCH("LC",Liste_rouge!A:A,2,1),"LC")</f>
        <v>LC</v>
      </c>
      <c r="AH5073" s="4" t="str">
        <f>HYPERLINK("#Statut_biogéographique!A"&amp;_xlfn.XMATCH("P",Statut_biogéographique!A:A,2,1),"P")</f>
        <v>P</v>
      </c>
      <c r="AP5073" s="4" t="s">
        <v>376</v>
      </c>
      <c r="AR5073" s="4" t="s">
        <v>377</v>
      </c>
    </row>
    <row r="5074" spans="1:44">
      <c r="A5074" s="4" t="s">
        <v>5</v>
      </c>
      <c r="B5074" s="4">
        <v>39264</v>
      </c>
      <c r="C5074" s="4">
        <v>1226</v>
      </c>
      <c r="D5074" s="5" t="s">
        <v>7429</v>
      </c>
      <c r="E5074" s="6" t="str">
        <f>HYPERLINK("https://inpn.mnhn.fr/espece/cd_nom/39264","Lactarius chrysorrheus Fr., 1838")</f>
        <v>Lactarius chrysorrheus Fr., 1838</v>
      </c>
      <c r="F5074" s="5" t="s">
        <v>4264</v>
      </c>
      <c r="V5074" s="7" t="str">
        <f>HYPERLINK("#Liste_rouge!A"&amp;_xlfn.XMATCH("LC",Liste_rouge!A:A,2,1),"LC")</f>
        <v>LC</v>
      </c>
      <c r="AH5074" s="4" t="str">
        <f>HYPERLINK("#Statut_biogéographique!A"&amp;_xlfn.XMATCH("P",Statut_biogéographique!A:A,2,1),"P")</f>
        <v>P</v>
      </c>
      <c r="AP5074" s="4" t="s">
        <v>376</v>
      </c>
      <c r="AR5074" s="4" t="s">
        <v>377</v>
      </c>
    </row>
    <row r="5075" spans="1:44">
      <c r="A5075" s="4" t="s">
        <v>5</v>
      </c>
      <c r="B5075" s="4">
        <v>39268</v>
      </c>
      <c r="C5075" s="4">
        <v>299</v>
      </c>
      <c r="D5075" s="5" t="s">
        <v>7430</v>
      </c>
      <c r="E5075" s="6" t="str">
        <f>HYPERLINK("https://inpn.mnhn.fr/espece/cd_nom/39268","Lactarius circellatus Fr., 1838")</f>
        <v>Lactarius circellatus Fr., 1838</v>
      </c>
      <c r="F5075" s="5" t="s">
        <v>7431</v>
      </c>
      <c r="V5075" s="7" t="str">
        <f>HYPERLINK("#Liste_rouge!A"&amp;_xlfn.XMATCH("LC",Liste_rouge!A:A,2,1),"LC")</f>
        <v>LC</v>
      </c>
      <c r="AH5075" s="4" t="str">
        <f>HYPERLINK("#Statut_biogéographique!A"&amp;_xlfn.XMATCH("P",Statut_biogéographique!A:A,2,1),"P")</f>
        <v>P</v>
      </c>
      <c r="AP5075" s="4" t="s">
        <v>376</v>
      </c>
      <c r="AR5075" s="4" t="s">
        <v>377</v>
      </c>
    </row>
    <row r="5076" spans="1:44">
      <c r="A5076" s="4" t="s">
        <v>5</v>
      </c>
      <c r="B5076" s="4">
        <v>39273</v>
      </c>
      <c r="C5076" s="4">
        <v>1457</v>
      </c>
      <c r="D5076" s="5" t="s">
        <v>7432</v>
      </c>
      <c r="E5076" s="6" t="str">
        <f>HYPERLINK("https://inpn.mnhn.fr/espece/cd_nom/39273","Lactarius citriolens Pouzar, 1968")</f>
        <v>Lactarius citriolens Pouzar, 1968</v>
      </c>
      <c r="F5076" s="5" t="s">
        <v>7433</v>
      </c>
      <c r="V5076" s="7" t="str">
        <f>HYPERLINK("#Liste_rouge!A"&amp;_xlfn.XMATCH("EN",Liste_rouge!A:A,2,1),"EN")</f>
        <v>EN</v>
      </c>
      <c r="W5076" s="4" t="str">
        <f>HYPERLINK("#Critères_liste_rouge!A$1","A2c")</f>
        <v>A2c</v>
      </c>
      <c r="Z5076" s="4" t="s">
        <v>695</v>
      </c>
      <c r="AA5076" s="4" t="s">
        <v>696</v>
      </c>
      <c r="AH5076" s="4" t="str">
        <f>HYPERLINK("#Statut_biogéographique!A"&amp;_xlfn.XMATCH("P",Statut_biogéographique!A:A,2,1),"P")</f>
        <v>P</v>
      </c>
      <c r="AP5076" s="4" t="s">
        <v>376</v>
      </c>
      <c r="AR5076" s="4" t="s">
        <v>377</v>
      </c>
    </row>
    <row r="5077" spans="1:44" ht="30">
      <c r="A5077" s="4" t="s">
        <v>5</v>
      </c>
      <c r="B5077" s="4">
        <v>39279</v>
      </c>
      <c r="C5077" s="4">
        <v>261</v>
      </c>
      <c r="D5077" s="5" t="s">
        <v>7434</v>
      </c>
      <c r="E5077" s="6" t="str">
        <f>HYPERLINK("https://inpn.mnhn.fr/espece/cd_nom/39279","Lactarius controversus Pers., 1800")</f>
        <v>Lactarius controversus Pers., 1800</v>
      </c>
      <c r="F5077" s="5" t="s">
        <v>7435</v>
      </c>
      <c r="V5077" s="7" t="str">
        <f>HYPERLINK("#Liste_rouge!A"&amp;_xlfn.XMATCH("LC",Liste_rouge!A:A,2,1),"LC")</f>
        <v>LC</v>
      </c>
      <c r="AH5077" s="4" t="str">
        <f>HYPERLINK("#Statut_biogéographique!A"&amp;_xlfn.XMATCH("P",Statut_biogéographique!A:A,2,1),"P")</f>
        <v>P</v>
      </c>
      <c r="AP5077" s="4" t="s">
        <v>376</v>
      </c>
      <c r="AR5077" s="4" t="s">
        <v>377</v>
      </c>
    </row>
    <row r="5078" spans="1:44">
      <c r="A5078" s="4" t="s">
        <v>5</v>
      </c>
      <c r="B5078" s="4">
        <v>39282</v>
      </c>
      <c r="C5078" s="4">
        <v>797</v>
      </c>
      <c r="D5078" s="5" t="s">
        <v>7436</v>
      </c>
      <c r="E5078" s="6" t="str">
        <f>HYPERLINK("https://inpn.mnhn.fr/espece/cd_nom/39282","Lactarius cremor Fr., 1838")</f>
        <v>Lactarius cremor Fr., 1838</v>
      </c>
      <c r="F5078" s="5" t="s">
        <v>7437</v>
      </c>
      <c r="V5078" s="7" t="str">
        <f>HYPERLINK("#Liste_rouge!A"&amp;_xlfn.XMATCH("LC",Liste_rouge!A:A,2,1),"LC")</f>
        <v>LC</v>
      </c>
      <c r="AH5078" s="4" t="str">
        <f>HYPERLINK("#Statut_biogéographique!A"&amp;_xlfn.XMATCH("P",Statut_biogéographique!A:A,2,1),"P")</f>
        <v>P</v>
      </c>
      <c r="AP5078" s="4" t="s">
        <v>376</v>
      </c>
      <c r="AR5078" s="4" t="s">
        <v>377</v>
      </c>
    </row>
    <row r="5079" spans="1:44">
      <c r="A5079" s="4" t="s">
        <v>5</v>
      </c>
      <c r="B5079" s="4">
        <v>39284</v>
      </c>
      <c r="C5079" s="4">
        <v>2490</v>
      </c>
      <c r="D5079" s="5" t="s">
        <v>7438</v>
      </c>
      <c r="E5079" s="6" t="str">
        <f>HYPERLINK("https://inpn.mnhn.fr/espece/cd_nom/39284","Lactarius cyathuliformis Bon, 1978")</f>
        <v>Lactarius cyathuliformis Bon, 1978</v>
      </c>
      <c r="F5079" s="5" t="s">
        <v>7439</v>
      </c>
      <c r="V5079" s="7" t="str">
        <f>HYPERLINK("#Liste_rouge!A"&amp;_xlfn.XMATCH("VU",Liste_rouge!A:A,2,1),"VU")</f>
        <v>VU</v>
      </c>
      <c r="W5079" s="4" t="str">
        <f>HYPERLINK("#Critères_liste_rouge!A$1","A2c")</f>
        <v>A2c</v>
      </c>
      <c r="Z5079" s="4" t="s">
        <v>447</v>
      </c>
      <c r="AA5079" s="4" t="s">
        <v>448</v>
      </c>
      <c r="AH5079" s="4" t="str">
        <f>HYPERLINK("#Statut_biogéographique!A"&amp;_xlfn.XMATCH("P",Statut_biogéographique!A:A,2,1),"P")</f>
        <v>P</v>
      </c>
      <c r="AP5079" s="4" t="s">
        <v>376</v>
      </c>
      <c r="AR5079" s="4" t="s">
        <v>377</v>
      </c>
    </row>
    <row r="5080" spans="1:44">
      <c r="A5080" s="4" t="s">
        <v>5</v>
      </c>
      <c r="B5080" s="4">
        <v>39285</v>
      </c>
      <c r="C5080" s="4">
        <v>474</v>
      </c>
      <c r="D5080" s="5" t="s">
        <v>7440</v>
      </c>
      <c r="E5080" s="6" t="str">
        <f>HYPERLINK("https://inpn.mnhn.fr/espece/cd_nom/39285","Lactarius decipiens Quél., 1886")</f>
        <v>Lactarius decipiens Quél., 1886</v>
      </c>
      <c r="F5080" s="5" t="s">
        <v>7441</v>
      </c>
      <c r="V5080" s="7" t="str">
        <f>HYPERLINK("#Liste_rouge!A"&amp;_xlfn.XMATCH("LC",Liste_rouge!A:A,2,1),"LC")</f>
        <v>LC</v>
      </c>
      <c r="AH5080" s="4" t="str">
        <f>HYPERLINK("#Statut_biogéographique!A"&amp;_xlfn.XMATCH("P",Statut_biogéographique!A:A,2,1),"P")</f>
        <v>P</v>
      </c>
      <c r="AP5080" s="4" t="s">
        <v>376</v>
      </c>
      <c r="AR5080" s="4" t="s">
        <v>377</v>
      </c>
    </row>
    <row r="5081" spans="1:44">
      <c r="A5081" s="4" t="s">
        <v>5</v>
      </c>
      <c r="B5081" s="4">
        <v>39288</v>
      </c>
      <c r="C5081" s="4">
        <v>1132</v>
      </c>
      <c r="D5081" s="5" t="s">
        <v>7442</v>
      </c>
      <c r="E5081" s="6" t="str">
        <f>HYPERLINK("https://inpn.mnhn.fr/espece/cd_nom/39288","Lactarius deliciosus (L.) Gray, 1821")</f>
        <v>Lactarius deliciosus (L.) Gray, 1821</v>
      </c>
      <c r="F5081" s="5" t="s">
        <v>7443</v>
      </c>
      <c r="V5081" s="7" t="str">
        <f>HYPERLINK("#Liste_rouge!A"&amp;_xlfn.XMATCH("LC",Liste_rouge!A:A,2,1),"LC")</f>
        <v>LC</v>
      </c>
      <c r="AH5081" s="4" t="str">
        <f>HYPERLINK("#Statut_biogéographique!A"&amp;_xlfn.XMATCH("P",Statut_biogéographique!A:A,2,1),"P")</f>
        <v>P</v>
      </c>
      <c r="AP5081" s="4" t="s">
        <v>376</v>
      </c>
      <c r="AR5081" s="4" t="s">
        <v>377</v>
      </c>
    </row>
    <row r="5082" spans="1:44">
      <c r="A5082" s="4" t="s">
        <v>5</v>
      </c>
      <c r="B5082" s="4">
        <v>39289</v>
      </c>
      <c r="C5082" s="4">
        <v>236</v>
      </c>
      <c r="D5082" s="5" t="s">
        <v>7444</v>
      </c>
      <c r="E5082" s="6" t="str">
        <f>HYPERLINK("https://inpn.mnhn.fr/espece/cd_nom/39289","Lactarius deterrimus Gröger, 1968")</f>
        <v>Lactarius deterrimus Gröger, 1968</v>
      </c>
      <c r="F5082" s="5" t="s">
        <v>7445</v>
      </c>
      <c r="V5082" s="7" t="str">
        <f>HYPERLINK("#Liste_rouge!A"&amp;_xlfn.XMATCH("LC",Liste_rouge!A:A,2,1),"LC")</f>
        <v>LC</v>
      </c>
      <c r="AH5082" s="4" t="str">
        <f>HYPERLINK("#Statut_biogéographique!A"&amp;_xlfn.XMATCH("P",Statut_biogéographique!A:A,2,1),"P")</f>
        <v>P</v>
      </c>
      <c r="AP5082" s="4" t="s">
        <v>376</v>
      </c>
      <c r="AR5082" s="4" t="s">
        <v>377</v>
      </c>
    </row>
    <row r="5083" spans="1:44">
      <c r="A5083" s="4" t="s">
        <v>5</v>
      </c>
      <c r="B5083" s="4">
        <v>39294</v>
      </c>
      <c r="C5083" s="4">
        <v>1756</v>
      </c>
      <c r="D5083" s="5" t="s">
        <v>7446</v>
      </c>
      <c r="E5083" s="6" t="str">
        <f>HYPERLINK("https://inpn.mnhn.fr/espece/cd_nom/39294","Lactarius evosmus Kühner &amp; Romagn., 1954")</f>
        <v>Lactarius evosmus Kühner &amp; Romagn., 1954</v>
      </c>
      <c r="F5083" s="5" t="s">
        <v>7447</v>
      </c>
      <c r="V5083" s="7" t="str">
        <f>HYPERLINK("#Liste_rouge!A"&amp;_xlfn.XMATCH("LC",Liste_rouge!A:A,2,1),"LC")</f>
        <v>LC</v>
      </c>
      <c r="AH5083" s="4" t="str">
        <f>HYPERLINK("#Statut_biogéographique!A"&amp;_xlfn.XMATCH("P",Statut_biogéographique!A:A,2,1),"P")</f>
        <v>P</v>
      </c>
      <c r="AP5083" s="4" t="s">
        <v>376</v>
      </c>
      <c r="AR5083" s="4" t="s">
        <v>377</v>
      </c>
    </row>
    <row r="5084" spans="1:44">
      <c r="A5084" s="4" t="s">
        <v>5</v>
      </c>
      <c r="B5084" s="4">
        <v>39297</v>
      </c>
      <c r="C5084" s="4">
        <v>3752</v>
      </c>
      <c r="D5084" s="5" t="s">
        <v>7448</v>
      </c>
      <c r="E5084" s="6" t="str">
        <f>HYPERLINK("https://inpn.mnhn.fr/espece/cd_nom/39297","Lactarius fascinans (Fr.) Fr., 1838")</f>
        <v>Lactarius fascinans (Fr.) Fr., 1838</v>
      </c>
      <c r="F5084" s="5" t="s">
        <v>7449</v>
      </c>
      <c r="V5084" s="7" t="str">
        <f>HYPERLINK("#Liste_rouge!A"&amp;_xlfn.XMATCH("CR",Liste_rouge!A:A,2,1),"CR")</f>
        <v>CR</v>
      </c>
      <c r="W5084" s="4" t="str">
        <f>HYPERLINK("#Critères_liste_rouge!A$1","B2abiii")</f>
        <v>B2abiii</v>
      </c>
      <c r="Z5084" s="4" t="s">
        <v>695</v>
      </c>
      <c r="AA5084" s="4" t="s">
        <v>696</v>
      </c>
      <c r="AH5084" s="4" t="str">
        <f>HYPERLINK("#Statut_biogéographique!A"&amp;_xlfn.XMATCH("P",Statut_biogéographique!A:A,2,1),"P")</f>
        <v>P</v>
      </c>
      <c r="AP5084" s="4" t="s">
        <v>376</v>
      </c>
      <c r="AR5084" s="4" t="s">
        <v>377</v>
      </c>
    </row>
    <row r="5085" spans="1:44">
      <c r="A5085" s="4" t="s">
        <v>5</v>
      </c>
      <c r="B5085" s="4">
        <v>39299</v>
      </c>
      <c r="C5085" s="4">
        <v>1021</v>
      </c>
      <c r="D5085" s="5" t="s">
        <v>7450</v>
      </c>
      <c r="E5085" s="6" t="str">
        <f>HYPERLINK("https://inpn.mnhn.fr/espece/cd_nom/39299","Lactarius flavidus Boud., 1887")</f>
        <v>Lactarius flavidus Boud., 1887</v>
      </c>
      <c r="F5085" s="5" t="s">
        <v>7451</v>
      </c>
      <c r="V5085" s="7" t="str">
        <f>HYPERLINK("#Liste_rouge!A"&amp;_xlfn.XMATCH("NT",Liste_rouge!A:A,2,1),"NT")</f>
        <v>NT</v>
      </c>
      <c r="W5085" s="4" t="str">
        <f>HYPERLINK("#Critères_liste_rouge!A$1","pr. A2c")</f>
        <v>pr. A2c</v>
      </c>
      <c r="Z5085" s="4" t="s">
        <v>447</v>
      </c>
      <c r="AA5085" s="4" t="s">
        <v>448</v>
      </c>
      <c r="AH5085" s="4" t="str">
        <f>HYPERLINK("#Statut_biogéographique!A"&amp;_xlfn.XMATCH("P",Statut_biogéographique!A:A,2,1),"P")</f>
        <v>P</v>
      </c>
      <c r="AP5085" s="4" t="s">
        <v>376</v>
      </c>
      <c r="AR5085" s="4" t="s">
        <v>377</v>
      </c>
    </row>
    <row r="5086" spans="1:44">
      <c r="A5086" s="4" t="s">
        <v>5</v>
      </c>
      <c r="B5086" s="4">
        <v>39302</v>
      </c>
      <c r="C5086" s="4">
        <v>138</v>
      </c>
      <c r="D5086" s="5" t="s">
        <v>7452</v>
      </c>
      <c r="E5086" s="6" t="str">
        <f>HYPERLINK("https://inpn.mnhn.fr/espece/cd_nom/39302","Lactarius fluens Boud., 1899")</f>
        <v>Lactarius fluens Boud., 1899</v>
      </c>
      <c r="F5086" s="5" t="s">
        <v>7453</v>
      </c>
      <c r="V5086" s="7" t="str">
        <f>HYPERLINK("#Liste_rouge!A"&amp;_xlfn.XMATCH("LC",Liste_rouge!A:A,2,1),"LC")</f>
        <v>LC</v>
      </c>
      <c r="AH5086" s="4" t="str">
        <f>HYPERLINK("#Statut_biogéographique!A"&amp;_xlfn.XMATCH("P",Statut_biogéographique!A:A,2,1),"P")</f>
        <v>P</v>
      </c>
      <c r="AP5086" s="4" t="s">
        <v>376</v>
      </c>
      <c r="AR5086" s="4" t="s">
        <v>377</v>
      </c>
    </row>
    <row r="5087" spans="1:44">
      <c r="A5087" s="4" t="s">
        <v>5</v>
      </c>
      <c r="B5087" s="4">
        <v>39305</v>
      </c>
      <c r="C5087" s="4">
        <v>5866</v>
      </c>
      <c r="D5087" s="5" t="s">
        <v>7454</v>
      </c>
      <c r="E5087" s="6" t="str">
        <f>HYPERLINK("https://inpn.mnhn.fr/espece/cd_nom/39305","Lactarius fraxineus Romagn., 1964")</f>
        <v>Lactarius fraxineus Romagn., 1964</v>
      </c>
      <c r="F5087" s="5" t="s">
        <v>7455</v>
      </c>
      <c r="Z5087" s="4" t="s">
        <v>447</v>
      </c>
      <c r="AA5087" s="4" t="s">
        <v>448</v>
      </c>
      <c r="AH5087" s="4" t="str">
        <f>HYPERLINK("#Statut_biogéographique!A"&amp;_xlfn.XMATCH("P",Statut_biogéographique!A:A,2,1),"P")</f>
        <v>P</v>
      </c>
      <c r="AP5087" s="4" t="s">
        <v>376</v>
      </c>
      <c r="AR5087" s="4" t="s">
        <v>377</v>
      </c>
    </row>
    <row r="5088" spans="1:44">
      <c r="A5088" s="4" t="s">
        <v>5</v>
      </c>
      <c r="B5088" s="4">
        <v>39306</v>
      </c>
      <c r="C5088" s="4">
        <v>308</v>
      </c>
      <c r="D5088" s="5" t="s">
        <v>7456</v>
      </c>
      <c r="E5088" s="6" t="str">
        <f>HYPERLINK("https://inpn.mnhn.fr/espece/cd_nom/39306","Lactarius fuliginosus (Fr.) Fr., 1838")</f>
        <v>Lactarius fuliginosus (Fr.) Fr., 1838</v>
      </c>
      <c r="F5088" s="5" t="s">
        <v>7457</v>
      </c>
      <c r="V5088" s="7" t="str">
        <f>HYPERLINK("#Liste_rouge!A"&amp;_xlfn.XMATCH("LC",Liste_rouge!A:A,2,1),"LC")</f>
        <v>LC</v>
      </c>
      <c r="AH5088" s="4" t="str">
        <f>HYPERLINK("#Statut_biogéographique!A"&amp;_xlfn.XMATCH("P",Statut_biogéographique!A:A,2,1),"P")</f>
        <v>P</v>
      </c>
      <c r="AP5088" s="4" t="s">
        <v>376</v>
      </c>
      <c r="AR5088" s="4" t="s">
        <v>377</v>
      </c>
    </row>
    <row r="5089" spans="1:44">
      <c r="A5089" s="4" t="s">
        <v>5</v>
      </c>
      <c r="B5089" s="4">
        <v>39307</v>
      </c>
      <c r="C5089" s="4">
        <v>371</v>
      </c>
      <c r="D5089" s="5" t="s">
        <v>7458</v>
      </c>
      <c r="E5089" s="6" t="str">
        <f>HYPERLINK("https://inpn.mnhn.fr/espece/cd_nom/39307","Lactarius azonites (Bull.) Fr., 1838")</f>
        <v>Lactarius azonites (Bull.) Fr., 1838</v>
      </c>
      <c r="F5089" s="5" t="s">
        <v>7459</v>
      </c>
      <c r="V5089" s="7" t="str">
        <f>HYPERLINK("#Liste_rouge!A"&amp;_xlfn.XMATCH("LC",Liste_rouge!A:A,2,1),"LC")</f>
        <v>LC</v>
      </c>
      <c r="AH5089" s="4" t="str">
        <f>HYPERLINK("#Statut_biogéographique!A"&amp;_xlfn.XMATCH("P",Statut_biogéographique!A:A,2,1),"P")</f>
        <v>P</v>
      </c>
      <c r="AP5089" s="4" t="s">
        <v>376</v>
      </c>
      <c r="AR5089" s="4" t="s">
        <v>377</v>
      </c>
    </row>
    <row r="5090" spans="1:44">
      <c r="A5090" s="4" t="s">
        <v>5</v>
      </c>
      <c r="B5090" s="4">
        <v>39310</v>
      </c>
      <c r="C5090" s="4">
        <v>712</v>
      </c>
      <c r="D5090" s="5" t="s">
        <v>7460</v>
      </c>
      <c r="E5090" s="6" t="str">
        <f>HYPERLINK("https://inpn.mnhn.fr/espece/cd_nom/39310","Lactarius fulvissimus Romagn., 1954")</f>
        <v>Lactarius fulvissimus Romagn., 1954</v>
      </c>
      <c r="F5090" s="5" t="s">
        <v>7461</v>
      </c>
      <c r="V5090" s="7" t="str">
        <f>HYPERLINK("#Liste_rouge!A"&amp;_xlfn.XMATCH("LC",Liste_rouge!A:A,2,1),"LC")</f>
        <v>LC</v>
      </c>
      <c r="AH5090" s="4" t="str">
        <f>HYPERLINK("#Statut_biogéographique!A"&amp;_xlfn.XMATCH("P",Statut_biogéographique!A:A,2,1),"P")</f>
        <v>P</v>
      </c>
      <c r="AP5090" s="4" t="s">
        <v>376</v>
      </c>
      <c r="AR5090" s="4" t="s">
        <v>377</v>
      </c>
    </row>
    <row r="5091" spans="1:44">
      <c r="A5091" s="4" t="s">
        <v>5</v>
      </c>
      <c r="B5091" s="4">
        <v>39313</v>
      </c>
      <c r="C5091" s="4">
        <v>2824</v>
      </c>
      <c r="D5091" s="5" t="s">
        <v>7462</v>
      </c>
      <c r="E5091" s="6" t="str">
        <f>HYPERLINK("https://inpn.mnhn.fr/espece/cd_nom/39313","Lactarius fuscus Rolland, 1899")</f>
        <v>Lactarius fuscus Rolland, 1899</v>
      </c>
      <c r="F5091" s="5" t="s">
        <v>7463</v>
      </c>
      <c r="V5091" s="7" t="str">
        <f>HYPERLINK("#Liste_rouge!A"&amp;_xlfn.XMATCH("EN",Liste_rouge!A:A,2,1),"EN")</f>
        <v>EN</v>
      </c>
      <c r="W5091" s="4" t="str">
        <f>HYPERLINK("#Critères_liste_rouge!A$1","A2c")</f>
        <v>A2c</v>
      </c>
      <c r="Z5091" s="4" t="s">
        <v>695</v>
      </c>
      <c r="AA5091" s="4" t="s">
        <v>696</v>
      </c>
      <c r="AH5091" s="4" t="str">
        <f>HYPERLINK("#Statut_biogéographique!A"&amp;_xlfn.XMATCH("P",Statut_biogéographique!A:A,2,1),"P")</f>
        <v>P</v>
      </c>
      <c r="AP5091" s="4" t="s">
        <v>376</v>
      </c>
      <c r="AR5091" s="4" t="s">
        <v>377</v>
      </c>
    </row>
    <row r="5092" spans="1:44">
      <c r="A5092" s="4" t="s">
        <v>5</v>
      </c>
      <c r="B5092" s="4">
        <v>39321</v>
      </c>
      <c r="C5092" s="4">
        <v>1284</v>
      </c>
      <c r="D5092" s="5" t="s">
        <v>7464</v>
      </c>
      <c r="E5092" s="6" t="str">
        <f>HYPERLINK("https://inpn.mnhn.fr/espece/cd_nom/39321","Lactarius helvus (Fr.) Fr., 1838")</f>
        <v>Lactarius helvus (Fr.) Fr., 1838</v>
      </c>
      <c r="F5092" s="5" t="s">
        <v>7465</v>
      </c>
      <c r="V5092" s="7" t="str">
        <f>HYPERLINK("#Liste_rouge!A"&amp;_xlfn.XMATCH("NT",Liste_rouge!A:A,2,1),"NT")</f>
        <v>NT</v>
      </c>
      <c r="W5092" s="4" t="str">
        <f>HYPERLINK("#Critères_liste_rouge!A$1","pr. A2c")</f>
        <v>pr. A2c</v>
      </c>
      <c r="Z5092" s="4" t="s">
        <v>447</v>
      </c>
      <c r="AA5092" s="4" t="s">
        <v>448</v>
      </c>
      <c r="AH5092" s="4" t="str">
        <f>HYPERLINK("#Statut_biogéographique!A"&amp;_xlfn.XMATCH("P",Statut_biogéographique!A:A,2,1),"P")</f>
        <v>P</v>
      </c>
      <c r="AP5092" s="4" t="s">
        <v>376</v>
      </c>
      <c r="AR5092" s="4" t="s">
        <v>377</v>
      </c>
    </row>
    <row r="5093" spans="1:44">
      <c r="A5093" s="4" t="s">
        <v>5</v>
      </c>
      <c r="B5093" s="4">
        <v>39326</v>
      </c>
      <c r="C5093" s="4">
        <v>228</v>
      </c>
      <c r="D5093" s="5" t="s">
        <v>7466</v>
      </c>
      <c r="E5093" s="6" t="str">
        <f>HYPERLINK("https://inpn.mnhn.fr/espece/cd_nom/39326","Lactarius hepaticus Plowr., 1905")</f>
        <v>Lactarius hepaticus Plowr., 1905</v>
      </c>
      <c r="F5093" s="5" t="s">
        <v>7467</v>
      </c>
      <c r="V5093" s="7" t="str">
        <f>HYPERLINK("#Liste_rouge!A"&amp;_xlfn.XMATCH("EN",Liste_rouge!A:A,2,1),"EN")</f>
        <v>EN</v>
      </c>
      <c r="W5093" s="4" t="str">
        <f>HYPERLINK("#Critères_liste_rouge!A$1","A2c")</f>
        <v>A2c</v>
      </c>
      <c r="Z5093" s="4" t="s">
        <v>447</v>
      </c>
      <c r="AA5093" s="4" t="s">
        <v>448</v>
      </c>
      <c r="AH5093" s="4" t="str">
        <f>HYPERLINK("#Statut_biogéographique!A"&amp;_xlfn.XMATCH("P",Statut_biogéographique!A:A,2,1),"P")</f>
        <v>P</v>
      </c>
      <c r="AP5093" s="4" t="s">
        <v>376</v>
      </c>
      <c r="AR5093" s="4" t="s">
        <v>377</v>
      </c>
    </row>
    <row r="5094" spans="1:44">
      <c r="A5094" s="4" t="s">
        <v>5</v>
      </c>
      <c r="B5094" s="4">
        <v>39329</v>
      </c>
      <c r="C5094" s="4">
        <v>1541</v>
      </c>
      <c r="D5094" s="5" t="s">
        <v>7468</v>
      </c>
      <c r="E5094" s="6" t="str">
        <f>HYPERLINK("https://inpn.mnhn.fr/espece/cd_nom/39329","Lactarius hysginus (Fr.) Fr., 1838")</f>
        <v>Lactarius hysginus (Fr.) Fr., 1838</v>
      </c>
      <c r="F5094" s="5" t="s">
        <v>7469</v>
      </c>
      <c r="V5094" s="7" t="str">
        <f>HYPERLINK("#Liste_rouge!A"&amp;_xlfn.XMATCH("LC",Liste_rouge!A:A,2,1),"LC")</f>
        <v>LC</v>
      </c>
      <c r="AH5094" s="4" t="str">
        <f>HYPERLINK("#Statut_biogéographique!A"&amp;_xlfn.XMATCH("P",Statut_biogéographique!A:A,2,1),"P")</f>
        <v>P</v>
      </c>
      <c r="AP5094" s="4" t="s">
        <v>376</v>
      </c>
      <c r="AR5094" s="4" t="s">
        <v>377</v>
      </c>
    </row>
    <row r="5095" spans="1:44">
      <c r="A5095" s="4" t="s">
        <v>5</v>
      </c>
      <c r="B5095" s="4">
        <v>39335</v>
      </c>
      <c r="C5095" s="4">
        <v>4889</v>
      </c>
      <c r="D5095" s="5" t="s">
        <v>7470</v>
      </c>
      <c r="E5095" s="6" t="str">
        <f>HYPERLINK("https://inpn.mnhn.fr/espece/cd_nom/39335","Lactarius illyricus Piltaver, 1992")</f>
        <v>Lactarius illyricus Piltaver, 1992</v>
      </c>
      <c r="F5095" s="5" t="s">
        <v>7471</v>
      </c>
      <c r="V5095" s="7" t="str">
        <f>HYPERLINK("#Liste_rouge!A"&amp;_xlfn.XMATCH("DD",Liste_rouge!A:A,2,1),"DD")</f>
        <v>DD</v>
      </c>
      <c r="AH5095" s="4" t="str">
        <f>HYPERLINK("#Statut_biogéographique!A"&amp;_xlfn.XMATCH("P",Statut_biogéographique!A:A,2,1),"P")</f>
        <v>P</v>
      </c>
      <c r="AP5095" s="4" t="s">
        <v>376</v>
      </c>
      <c r="AR5095" s="4" t="s">
        <v>377</v>
      </c>
    </row>
    <row r="5096" spans="1:44">
      <c r="A5096" s="4" t="s">
        <v>5</v>
      </c>
      <c r="B5096" s="4">
        <v>39341</v>
      </c>
      <c r="C5096" s="4">
        <v>2877</v>
      </c>
      <c r="D5096" s="5" t="s">
        <v>7472</v>
      </c>
      <c r="E5096" s="6" t="str">
        <f>HYPERLINK("https://inpn.mnhn.fr/espece/cd_nom/39341","Lactarius intermedius (Fr. ?) Cooke")</f>
        <v>Lactarius intermedius (Fr. ?) Cooke</v>
      </c>
      <c r="F5096" s="5" t="s">
        <v>7473</v>
      </c>
      <c r="V5096" s="7" t="str">
        <f>HYPERLINK("#Liste_rouge!A"&amp;_xlfn.XMATCH("LC",Liste_rouge!A:A,2,1),"LC")</f>
        <v>LC</v>
      </c>
      <c r="AH5096" s="4" t="str">
        <f>HYPERLINK("#Statut_biogéographique!A"&amp;_xlfn.XMATCH("P",Statut_biogéographique!A:A,2,1),"P")</f>
        <v>P</v>
      </c>
      <c r="AP5096" s="4" t="s">
        <v>376</v>
      </c>
      <c r="AR5096" s="4" t="s">
        <v>377</v>
      </c>
    </row>
    <row r="5097" spans="1:44">
      <c r="A5097" s="4" t="s">
        <v>5</v>
      </c>
      <c r="B5097" s="4">
        <v>39346</v>
      </c>
      <c r="C5097" s="4">
        <v>2400</v>
      </c>
      <c r="D5097" s="5" t="s">
        <v>7474</v>
      </c>
      <c r="E5097" s="6" t="str">
        <f>HYPERLINK("https://inpn.mnhn.fr/espece/cd_nom/39346","Lactarius lacunarum Romagn. ex Hora, 1960")</f>
        <v>Lactarius lacunarum Romagn. ex Hora, 1960</v>
      </c>
      <c r="F5097" s="5" t="s">
        <v>7475</v>
      </c>
      <c r="V5097" s="7" t="str">
        <f>HYPERLINK("#Liste_rouge!A"&amp;_xlfn.XMATCH("LC",Liste_rouge!A:A,2,1),"LC")</f>
        <v>LC</v>
      </c>
      <c r="AH5097" s="4" t="str">
        <f>HYPERLINK("#Statut_biogéographique!A"&amp;_xlfn.XMATCH("P",Statut_biogéographique!A:A,2,1),"P")</f>
        <v>P</v>
      </c>
      <c r="AP5097" s="4" t="s">
        <v>376</v>
      </c>
      <c r="AR5097" s="4" t="s">
        <v>377</v>
      </c>
    </row>
    <row r="5098" spans="1:44">
      <c r="A5098" s="4" t="s">
        <v>5</v>
      </c>
      <c r="B5098" s="4">
        <v>39354</v>
      </c>
      <c r="C5098" s="4">
        <v>455</v>
      </c>
      <c r="D5098" s="5" t="s">
        <v>7476</v>
      </c>
      <c r="E5098" s="6" t="str">
        <f>HYPERLINK("https://inpn.mnhn.fr/espece/cd_nom/39354","Lactarius lignyotus Fr., 1857")</f>
        <v>Lactarius lignyotus Fr., 1857</v>
      </c>
      <c r="F5098" s="5" t="s">
        <v>7477</v>
      </c>
      <c r="V5098" s="7" t="str">
        <f>HYPERLINK("#Liste_rouge!A"&amp;_xlfn.XMATCH("VU",Liste_rouge!A:A,2,1),"VU")</f>
        <v>VU</v>
      </c>
      <c r="W5098" s="4" t="str">
        <f>HYPERLINK("#Critères_liste_rouge!A$1","A2c")</f>
        <v>A2c</v>
      </c>
      <c r="Z5098" s="4" t="s">
        <v>447</v>
      </c>
      <c r="AA5098" s="4" t="s">
        <v>448</v>
      </c>
      <c r="AH5098" s="4" t="str">
        <f>HYPERLINK("#Statut_biogéographique!A"&amp;_xlfn.XMATCH("P",Statut_biogéographique!A:A,2,1),"P")</f>
        <v>P</v>
      </c>
      <c r="AP5098" s="4" t="s">
        <v>376</v>
      </c>
      <c r="AR5098" s="4" t="s">
        <v>377</v>
      </c>
    </row>
    <row r="5099" spans="1:44">
      <c r="A5099" s="4" t="s">
        <v>5</v>
      </c>
      <c r="B5099" s="4">
        <v>39357</v>
      </c>
      <c r="C5099" s="4">
        <v>1020</v>
      </c>
      <c r="D5099" s="5" t="s">
        <v>7478</v>
      </c>
      <c r="E5099" s="6" t="str">
        <f>HYPERLINK("https://inpn.mnhn.fr/espece/cd_nom/39357","Lactarius lilacinus Fr., 1838")</f>
        <v>Lactarius lilacinus Fr., 1838</v>
      </c>
      <c r="F5099" s="5" t="s">
        <v>7479</v>
      </c>
      <c r="V5099" s="7" t="str">
        <f>HYPERLINK("#Liste_rouge!A"&amp;_xlfn.XMATCH("VU",Liste_rouge!A:A,2,1),"VU")</f>
        <v>VU</v>
      </c>
      <c r="W5099" s="4" t="str">
        <f>HYPERLINK("#Critères_liste_rouge!A$1","A2c")</f>
        <v>A2c</v>
      </c>
      <c r="Z5099" s="4" t="s">
        <v>447</v>
      </c>
      <c r="AA5099" s="4" t="s">
        <v>448</v>
      </c>
      <c r="AH5099" s="4" t="str">
        <f>HYPERLINK("#Statut_biogéographique!A"&amp;_xlfn.XMATCH("P",Statut_biogéographique!A:A,2,1),"P")</f>
        <v>P</v>
      </c>
      <c r="AP5099" s="4" t="s">
        <v>376</v>
      </c>
      <c r="AR5099" s="4" t="s">
        <v>377</v>
      </c>
    </row>
    <row r="5100" spans="1:44">
      <c r="A5100" s="4" t="s">
        <v>5</v>
      </c>
      <c r="B5100" s="4">
        <v>39358</v>
      </c>
      <c r="C5100" s="4">
        <v>3100</v>
      </c>
      <c r="D5100" s="5" t="s">
        <v>7480</v>
      </c>
      <c r="E5100" s="6" t="str">
        <f>HYPERLINK("https://inpn.mnhn.fr/espece/cd_nom/39358","Lactarius luridus (Pers.) Gray, 1821")</f>
        <v>Lactarius luridus (Pers.) Gray, 1821</v>
      </c>
      <c r="F5100" s="5" t="s">
        <v>7481</v>
      </c>
      <c r="V5100" s="7" t="str">
        <f>HYPERLINK("#Liste_rouge!A"&amp;_xlfn.XMATCH("NT",Liste_rouge!A:A,2,1),"NT")</f>
        <v>NT</v>
      </c>
      <c r="W5100" s="4" t="str">
        <f>HYPERLINK("#Critères_liste_rouge!A$1","pr. A2c")</f>
        <v>pr. A2c</v>
      </c>
      <c r="AH5100" s="4" t="str">
        <f>HYPERLINK("#Statut_biogéographique!A"&amp;_xlfn.XMATCH("P",Statut_biogéographique!A:A,2,1),"P")</f>
        <v>P</v>
      </c>
      <c r="AP5100" s="4" t="s">
        <v>376</v>
      </c>
      <c r="AR5100" s="4" t="s">
        <v>377</v>
      </c>
    </row>
    <row r="5101" spans="1:44">
      <c r="A5101" s="4" t="s">
        <v>5</v>
      </c>
      <c r="B5101" s="4">
        <v>39361</v>
      </c>
      <c r="C5101" s="4">
        <v>3901</v>
      </c>
      <c r="D5101" s="5" t="s">
        <v>7482</v>
      </c>
      <c r="E5101" s="6" t="str">
        <f>HYPERLINK("https://inpn.mnhn.fr/espece/cd_nom/39361","Lactarius mairei Malençon, 1939")</f>
        <v>Lactarius mairei Malençon, 1939</v>
      </c>
      <c r="F5101" s="5" t="s">
        <v>7483</v>
      </c>
      <c r="V5101" s="7" t="str">
        <f>HYPERLINK("#Liste_rouge!A"&amp;_xlfn.XMATCH("DD",Liste_rouge!A:A,2,1),"DD")</f>
        <v>DD</v>
      </c>
      <c r="Z5101" s="4" t="s">
        <v>443</v>
      </c>
      <c r="AA5101" s="4" t="s">
        <v>444</v>
      </c>
      <c r="AH5101" s="4" t="str">
        <f>HYPERLINK("#Statut_biogéographique!A"&amp;_xlfn.XMATCH("P",Statut_biogéographique!A:A,2,1),"P")</f>
        <v>P</v>
      </c>
      <c r="AP5101" s="4" t="s">
        <v>376</v>
      </c>
      <c r="AR5101" s="4" t="s">
        <v>377</v>
      </c>
    </row>
    <row r="5102" spans="1:44">
      <c r="A5102" s="4" t="s">
        <v>5</v>
      </c>
      <c r="B5102" s="4">
        <v>39366</v>
      </c>
      <c r="C5102" s="4">
        <v>177</v>
      </c>
      <c r="D5102" s="5" t="s">
        <v>7484</v>
      </c>
      <c r="E5102" s="6" t="str">
        <f>HYPERLINK("https://inpn.mnhn.fr/espece/cd_nom/39366","Lactarius mitissimus (Fr.) Fr., 1838")</f>
        <v>Lactarius mitissimus (Fr.) Fr., 1838</v>
      </c>
      <c r="F5102" s="5" t="s">
        <v>7485</v>
      </c>
      <c r="V5102" s="7" t="str">
        <f>HYPERLINK("#Liste_rouge!A"&amp;_xlfn.XMATCH("LC",Liste_rouge!A:A,2,1),"LC")</f>
        <v>LC</v>
      </c>
      <c r="AH5102" s="4" t="str">
        <f>HYPERLINK("#Statut_biogéographique!A"&amp;_xlfn.XMATCH("P",Statut_biogéographique!A:A,2,1),"P")</f>
        <v>P</v>
      </c>
      <c r="AP5102" s="4" t="s">
        <v>376</v>
      </c>
      <c r="AR5102" s="4" t="s">
        <v>377</v>
      </c>
    </row>
    <row r="5103" spans="1:44">
      <c r="A5103" s="4" t="s">
        <v>5</v>
      </c>
      <c r="B5103" s="4">
        <v>39370</v>
      </c>
      <c r="C5103" s="4">
        <v>442</v>
      </c>
      <c r="D5103" s="5" t="s">
        <v>7486</v>
      </c>
      <c r="E5103" s="6" t="str">
        <f>HYPERLINK("https://inpn.mnhn.fr/espece/cd_nom/39370","Lactarius musteus Fr., 1838")</f>
        <v>Lactarius musteus Fr., 1838</v>
      </c>
      <c r="F5103" s="5" t="s">
        <v>7487</v>
      </c>
      <c r="V5103" s="7" t="str">
        <f>HYPERLINK("#Liste_rouge!A"&amp;_xlfn.XMATCH("EN",Liste_rouge!A:A,2,1),"EN")</f>
        <v>EN</v>
      </c>
      <c r="W5103" s="4" t="str">
        <f>HYPERLINK("#Critères_liste_rouge!A$1","A2c")</f>
        <v>A2c</v>
      </c>
      <c r="Z5103" s="4" t="s">
        <v>695</v>
      </c>
      <c r="AA5103" s="4" t="s">
        <v>696</v>
      </c>
      <c r="AH5103" s="4" t="str">
        <f>HYPERLINK("#Statut_biogéographique!A"&amp;_xlfn.XMATCH("P",Statut_biogéographique!A:A,2,1),"P")</f>
        <v>P</v>
      </c>
      <c r="AP5103" s="4" t="s">
        <v>376</v>
      </c>
      <c r="AR5103" s="4" t="s">
        <v>377</v>
      </c>
    </row>
    <row r="5104" spans="1:44" ht="30">
      <c r="A5104" s="4" t="s">
        <v>5</v>
      </c>
      <c r="B5104" s="4">
        <v>39373</v>
      </c>
      <c r="C5104" s="4">
        <v>1814</v>
      </c>
      <c r="D5104" s="5" t="s">
        <v>7488</v>
      </c>
      <c r="E5104" s="6" t="str">
        <f>HYPERLINK("https://inpn.mnhn.fr/espece/cd_nom/39373","Lactarius obscuratus (Lasch) Fr., 1838")</f>
        <v>Lactarius obscuratus (Lasch) Fr., 1838</v>
      </c>
      <c r="F5104" s="5" t="s">
        <v>7489</v>
      </c>
      <c r="V5104" s="7" t="str">
        <f>HYPERLINK("#Liste_rouge!A"&amp;_xlfn.XMATCH("LC",Liste_rouge!A:A,2,1),"LC")</f>
        <v>LC</v>
      </c>
      <c r="Z5104" s="4" t="s">
        <v>447</v>
      </c>
      <c r="AA5104" s="4" t="s">
        <v>448</v>
      </c>
      <c r="AH5104" s="4" t="str">
        <f>HYPERLINK("#Statut_biogéographique!A"&amp;_xlfn.XMATCH("P",Statut_biogéographique!A:A,2,1),"P")</f>
        <v>P</v>
      </c>
      <c r="AP5104" s="4" t="s">
        <v>376</v>
      </c>
      <c r="AR5104" s="4" t="s">
        <v>377</v>
      </c>
    </row>
    <row r="5105" spans="1:44">
      <c r="A5105" s="4" t="s">
        <v>5</v>
      </c>
      <c r="B5105" s="4">
        <v>39377</v>
      </c>
      <c r="C5105" s="4">
        <v>2159</v>
      </c>
      <c r="D5105" s="5" t="s">
        <v>7490</v>
      </c>
      <c r="E5105" s="6" t="str">
        <f>HYPERLINK("https://inpn.mnhn.fr/espece/cd_nom/39377","Lactarius omphaliformis Romagn., 1974")</f>
        <v>Lactarius omphaliformis Romagn., 1974</v>
      </c>
      <c r="F5105" s="5" t="s">
        <v>7491</v>
      </c>
      <c r="V5105" s="7" t="str">
        <f>HYPERLINK("#Liste_rouge!A"&amp;_xlfn.XMATCH("EN",Liste_rouge!A:A,2,1),"EN")</f>
        <v>EN</v>
      </c>
      <c r="W5105" s="4" t="str">
        <f>HYPERLINK("#Critères_liste_rouge!A$1","A2c")</f>
        <v>A2c</v>
      </c>
      <c r="Z5105" s="4" t="s">
        <v>447</v>
      </c>
      <c r="AA5105" s="4" t="s">
        <v>448</v>
      </c>
      <c r="AH5105" s="4" t="str">
        <f>HYPERLINK("#Statut_biogéographique!A"&amp;_xlfn.XMATCH("P",Statut_biogéographique!A:A,2,1),"P")</f>
        <v>P</v>
      </c>
      <c r="AP5105" s="4" t="s">
        <v>376</v>
      </c>
      <c r="AR5105" s="4" t="s">
        <v>377</v>
      </c>
    </row>
    <row r="5106" spans="1:44">
      <c r="A5106" s="4" t="s">
        <v>5</v>
      </c>
      <c r="B5106" s="4">
        <v>39380</v>
      </c>
      <c r="C5106" s="4">
        <v>627</v>
      </c>
      <c r="D5106" s="5" t="s">
        <v>7492</v>
      </c>
      <c r="E5106" s="6" t="str">
        <f>HYPERLINK("https://inpn.mnhn.fr/espece/cd_nom/39380","Lactarius pallidus Pers., 1797")</f>
        <v>Lactarius pallidus Pers., 1797</v>
      </c>
      <c r="F5106" s="5" t="s">
        <v>7493</v>
      </c>
      <c r="V5106" s="7" t="str">
        <f>HYPERLINK("#Liste_rouge!A"&amp;_xlfn.XMATCH("LC",Liste_rouge!A:A,2,1),"LC")</f>
        <v>LC</v>
      </c>
      <c r="AH5106" s="4" t="str">
        <f>HYPERLINK("#Statut_biogéographique!A"&amp;_xlfn.XMATCH("P",Statut_biogéographique!A:A,2,1),"P")</f>
        <v>P</v>
      </c>
      <c r="AP5106" s="4" t="s">
        <v>376</v>
      </c>
      <c r="AR5106" s="4" t="s">
        <v>377</v>
      </c>
    </row>
    <row r="5107" spans="1:44">
      <c r="A5107" s="4" t="s">
        <v>5</v>
      </c>
      <c r="B5107" s="4">
        <v>39383</v>
      </c>
      <c r="C5107" s="4">
        <v>925</v>
      </c>
      <c r="D5107" s="5" t="s">
        <v>7494</v>
      </c>
      <c r="E5107" s="6" t="str">
        <f>HYPERLINK("https://inpn.mnhn.fr/espece/cd_nom/39383","Lactarius pergamenus (Sw.) Fr., 1838")</f>
        <v>Lactarius pergamenus (Sw.) Fr., 1838</v>
      </c>
      <c r="F5107" s="5" t="s">
        <v>7495</v>
      </c>
      <c r="V5107" s="7" t="str">
        <f>HYPERLINK("#Liste_rouge!A"&amp;_xlfn.XMATCH("LC",Liste_rouge!A:A,2,1),"LC")</f>
        <v>LC</v>
      </c>
      <c r="AH5107" s="4" t="str">
        <f>HYPERLINK("#Statut_biogéographique!A"&amp;_xlfn.XMATCH("P",Statut_biogéographique!A:A,2,1),"P")</f>
        <v>P</v>
      </c>
      <c r="AP5107" s="4" t="s">
        <v>376</v>
      </c>
      <c r="AR5107" s="4" t="s">
        <v>377</v>
      </c>
    </row>
    <row r="5108" spans="1:44">
      <c r="A5108" s="4" t="s">
        <v>5</v>
      </c>
      <c r="B5108" s="4">
        <v>39385</v>
      </c>
      <c r="C5108" s="4">
        <v>561</v>
      </c>
      <c r="D5108" s="5" t="s">
        <v>7496</v>
      </c>
      <c r="E5108" s="6" t="str">
        <f>HYPERLINK("https://inpn.mnhn.fr/espece/cd_nom/39385","Lactarius picinus Fr., 1838")</f>
        <v>Lactarius picinus Fr., 1838</v>
      </c>
      <c r="F5108" s="5" t="s">
        <v>7497</v>
      </c>
      <c r="V5108" s="7" t="str">
        <f>HYPERLINK("#Liste_rouge!A"&amp;_xlfn.XMATCH("LC",Liste_rouge!A:A,2,1),"LC")</f>
        <v>LC</v>
      </c>
      <c r="AH5108" s="4" t="str">
        <f>HYPERLINK("#Statut_biogéographique!A"&amp;_xlfn.XMATCH("P",Statut_biogéographique!A:A,2,1),"P")</f>
        <v>P</v>
      </c>
      <c r="AP5108" s="4" t="s">
        <v>376</v>
      </c>
      <c r="AR5108" s="4" t="s">
        <v>377</v>
      </c>
    </row>
    <row r="5109" spans="1:44">
      <c r="A5109" s="4" t="s">
        <v>5</v>
      </c>
      <c r="B5109" s="4">
        <v>39388</v>
      </c>
      <c r="C5109" s="4">
        <v>3762</v>
      </c>
      <c r="D5109" s="5" t="s">
        <v>7498</v>
      </c>
      <c r="E5109" s="6" t="str">
        <f>HYPERLINK("https://inpn.mnhn.fr/espece/cd_nom/39388","Lactarius pinastri Romagn., 1980")</f>
        <v>Lactarius pinastri Romagn., 1980</v>
      </c>
      <c r="F5109" s="5" t="s">
        <v>7499</v>
      </c>
      <c r="V5109" s="7" t="str">
        <f>HYPERLINK("#Liste_rouge!A"&amp;_xlfn.XMATCH("LC",Liste_rouge!A:A,2,1),"LC")</f>
        <v>LC</v>
      </c>
      <c r="AH5109" s="4" t="str">
        <f>HYPERLINK("#Statut_biogéographique!A"&amp;_xlfn.XMATCH("P",Statut_biogéographique!A:A,2,1),"P")</f>
        <v>P</v>
      </c>
      <c r="AP5109" s="4" t="s">
        <v>376</v>
      </c>
      <c r="AR5109" s="4" t="s">
        <v>377</v>
      </c>
    </row>
    <row r="5110" spans="1:44" ht="30">
      <c r="A5110" s="4" t="s">
        <v>5</v>
      </c>
      <c r="B5110" s="4">
        <v>39396</v>
      </c>
      <c r="C5110" s="4">
        <v>426</v>
      </c>
      <c r="D5110" s="5" t="s">
        <v>7500</v>
      </c>
      <c r="E5110" s="6" t="str">
        <f>HYPERLINK("https://inpn.mnhn.fr/espece/cd_nom/39396","Lactarius turpis (Weinm.) Fr., 1838")</f>
        <v>Lactarius turpis (Weinm.) Fr., 1838</v>
      </c>
      <c r="F5110" s="5" t="s">
        <v>7501</v>
      </c>
      <c r="V5110" s="7" t="str">
        <f>HYPERLINK("#Liste_rouge!A"&amp;_xlfn.XMATCH("LC",Liste_rouge!A:A,2,1),"LC")</f>
        <v>LC</v>
      </c>
      <c r="AH5110" s="4" t="str">
        <f>HYPERLINK("#Statut_biogéographique!A"&amp;_xlfn.XMATCH("P",Statut_biogéographique!A:A,2,1),"P")</f>
        <v>P</v>
      </c>
      <c r="AP5110" s="4" t="s">
        <v>376</v>
      </c>
      <c r="AR5110" s="4" t="s">
        <v>377</v>
      </c>
    </row>
    <row r="5111" spans="1:44">
      <c r="A5111" s="4" t="s">
        <v>5</v>
      </c>
      <c r="B5111" s="4">
        <v>39397</v>
      </c>
      <c r="C5111" s="4">
        <v>725</v>
      </c>
      <c r="D5111" s="5" t="s">
        <v>7502</v>
      </c>
      <c r="E5111" s="6" t="str">
        <f>HYPERLINK("https://inpn.mnhn.fr/espece/cd_nom/39397","Lactarius porninsis Rolland, 1890")</f>
        <v>Lactarius porninsis Rolland, 1890</v>
      </c>
      <c r="F5111" s="5" t="s">
        <v>7503</v>
      </c>
      <c r="V5111" s="7" t="str">
        <f>HYPERLINK("#Liste_rouge!A"&amp;_xlfn.XMATCH("EN",Liste_rouge!A:A,2,1),"EN")</f>
        <v>EN</v>
      </c>
      <c r="W5111" s="4" t="str">
        <f>HYPERLINK("#Critères_liste_rouge!A$1","B2abiii")</f>
        <v>B2abiii</v>
      </c>
      <c r="Z5111" s="4" t="s">
        <v>443</v>
      </c>
      <c r="AA5111" s="4" t="s">
        <v>444</v>
      </c>
      <c r="AH5111" s="4" t="str">
        <f>HYPERLINK("#Statut_biogéographique!A"&amp;_xlfn.XMATCH("P",Statut_biogéographique!A:A,2,1),"P")</f>
        <v>P</v>
      </c>
      <c r="AP5111" s="4" t="s">
        <v>376</v>
      </c>
      <c r="AR5111" s="4" t="s">
        <v>377</v>
      </c>
    </row>
    <row r="5112" spans="1:44">
      <c r="A5112" s="4" t="s">
        <v>5</v>
      </c>
      <c r="B5112" s="4">
        <v>39401</v>
      </c>
      <c r="C5112" s="4">
        <v>1375</v>
      </c>
      <c r="D5112" s="5" t="s">
        <v>7504</v>
      </c>
      <c r="E5112" s="6" t="str">
        <f>HYPERLINK("https://inpn.mnhn.fr/espece/cd_nom/39401","Lactarius pterosporus Romagn., 1949")</f>
        <v>Lactarius pterosporus Romagn., 1949</v>
      </c>
      <c r="F5112" s="5" t="s">
        <v>7505</v>
      </c>
      <c r="V5112" s="7" t="str">
        <f>HYPERLINK("#Liste_rouge!A"&amp;_xlfn.XMATCH("LC",Liste_rouge!A:A,2,1),"LC")</f>
        <v>LC</v>
      </c>
      <c r="AH5112" s="4" t="str">
        <f>HYPERLINK("#Statut_biogéographique!A"&amp;_xlfn.XMATCH("P",Statut_biogéographique!A:A,2,1),"P")</f>
        <v>P</v>
      </c>
      <c r="AP5112" s="4" t="s">
        <v>376</v>
      </c>
      <c r="AR5112" s="4" t="s">
        <v>377</v>
      </c>
    </row>
    <row r="5113" spans="1:44" ht="30">
      <c r="A5113" s="4" t="s">
        <v>5</v>
      </c>
      <c r="B5113" s="4">
        <v>39404</v>
      </c>
      <c r="C5113" s="4">
        <v>969</v>
      </c>
      <c r="D5113" s="5" t="s">
        <v>7506</v>
      </c>
      <c r="E5113" s="6" t="str">
        <f>HYPERLINK("https://inpn.mnhn.fr/espece/cd_nom/39404","Lactarius pubescens Fr., 1838")</f>
        <v>Lactarius pubescens Fr., 1838</v>
      </c>
      <c r="F5113" s="5" t="s">
        <v>7507</v>
      </c>
      <c r="V5113" s="7" t="str">
        <f>HYPERLINK("#Liste_rouge!A"&amp;_xlfn.XMATCH("LC",Liste_rouge!A:A,2,1),"LC")</f>
        <v>LC</v>
      </c>
      <c r="AH5113" s="4" t="str">
        <f>HYPERLINK("#Statut_biogéographique!A"&amp;_xlfn.XMATCH("P",Statut_biogéographique!A:A,2,1),"P")</f>
        <v>P</v>
      </c>
      <c r="AP5113" s="4" t="s">
        <v>376</v>
      </c>
      <c r="AR5113" s="4" t="s">
        <v>377</v>
      </c>
    </row>
    <row r="5114" spans="1:44">
      <c r="A5114" s="4" t="s">
        <v>5</v>
      </c>
      <c r="B5114" s="4">
        <v>39409</v>
      </c>
      <c r="C5114" s="4">
        <v>160</v>
      </c>
      <c r="D5114" s="5" t="s">
        <v>7508</v>
      </c>
      <c r="E5114" s="6" t="str">
        <f>HYPERLINK("https://inpn.mnhn.fr/espece/cd_nom/39409","Lactarius pyrogalus (Bull.) Fr., 1838")</f>
        <v>Lactarius pyrogalus (Bull.) Fr., 1838</v>
      </c>
      <c r="F5114" s="5" t="s">
        <v>7509</v>
      </c>
      <c r="V5114" s="7" t="str">
        <f>HYPERLINK("#Liste_rouge!A"&amp;_xlfn.XMATCH("LC",Liste_rouge!A:A,2,1),"LC")</f>
        <v>LC</v>
      </c>
      <c r="AH5114" s="4" t="str">
        <f>HYPERLINK("#Statut_biogéographique!A"&amp;_xlfn.XMATCH("P",Statut_biogéographique!A:A,2,1),"P")</f>
        <v>P</v>
      </c>
      <c r="AP5114" s="4" t="s">
        <v>376</v>
      </c>
      <c r="AR5114" s="4" t="s">
        <v>377</v>
      </c>
    </row>
    <row r="5115" spans="1:44">
      <c r="A5115" s="4" t="s">
        <v>5</v>
      </c>
      <c r="B5115" s="4">
        <v>39413</v>
      </c>
      <c r="C5115" s="4">
        <v>3372</v>
      </c>
      <c r="D5115" s="5" t="s">
        <v>7510</v>
      </c>
      <c r="E5115" s="6" t="str">
        <f>HYPERLINK("https://inpn.mnhn.fr/espece/cd_nom/39413","Lactarius quieticolor Romagn., 1958")</f>
        <v>Lactarius quieticolor Romagn., 1958</v>
      </c>
      <c r="F5115" s="5" t="s">
        <v>7511</v>
      </c>
      <c r="V5115" s="7" t="str">
        <f>HYPERLINK("#Liste_rouge!A"&amp;_xlfn.XMATCH("EN",Liste_rouge!A:A,2,1),"EN")</f>
        <v>EN</v>
      </c>
      <c r="W5115" s="4" t="str">
        <f>HYPERLINK("#Critères_liste_rouge!A$1","B2abiii")</f>
        <v>B2abiii</v>
      </c>
      <c r="Z5115" s="4" t="s">
        <v>447</v>
      </c>
      <c r="AA5115" s="4" t="s">
        <v>448</v>
      </c>
      <c r="AH5115" s="4" t="str">
        <f>HYPERLINK("#Statut_biogéographique!A"&amp;_xlfn.XMATCH("P",Statut_biogéographique!A:A,2,1),"P")</f>
        <v>P</v>
      </c>
      <c r="AP5115" s="4" t="s">
        <v>376</v>
      </c>
      <c r="AR5115" s="4" t="s">
        <v>377</v>
      </c>
    </row>
    <row r="5116" spans="1:44">
      <c r="A5116" s="4" t="s">
        <v>5</v>
      </c>
      <c r="B5116" s="4">
        <v>39415</v>
      </c>
      <c r="C5116" s="4">
        <v>218</v>
      </c>
      <c r="D5116" s="5" t="s">
        <v>7512</v>
      </c>
      <c r="E5116" s="6" t="str">
        <f>HYPERLINK("https://inpn.mnhn.fr/espece/cd_nom/39415","Lactarius quietus (Fr.) Fr., 1838")</f>
        <v>Lactarius quietus (Fr.) Fr., 1838</v>
      </c>
      <c r="F5116" s="5" t="s">
        <v>7513</v>
      </c>
      <c r="V5116" s="7" t="str">
        <f>HYPERLINK("#Liste_rouge!A"&amp;_xlfn.XMATCH("LC",Liste_rouge!A:A,2,1),"LC")</f>
        <v>LC</v>
      </c>
      <c r="AH5116" s="4" t="str">
        <f>HYPERLINK("#Statut_biogéographique!A"&amp;_xlfn.XMATCH("P",Statut_biogéographique!A:A,2,1),"P")</f>
        <v>P</v>
      </c>
      <c r="AP5116" s="4" t="s">
        <v>376</v>
      </c>
      <c r="AR5116" s="4" t="s">
        <v>377</v>
      </c>
    </row>
    <row r="5117" spans="1:44">
      <c r="A5117" s="4" t="s">
        <v>5</v>
      </c>
      <c r="B5117" s="4">
        <v>39418</v>
      </c>
      <c r="C5117" s="4">
        <v>1374</v>
      </c>
      <c r="D5117" s="5" t="s">
        <v>7514</v>
      </c>
      <c r="E5117" s="6" t="str">
        <f>HYPERLINK("https://inpn.mnhn.fr/espece/cd_nom/39418","Lactarius repraesentaneus Britzelm., 1885")</f>
        <v>Lactarius repraesentaneus Britzelm., 1885</v>
      </c>
      <c r="F5117" s="5" t="s">
        <v>7515</v>
      </c>
      <c r="V5117" s="7" t="str">
        <f>HYPERLINK("#Liste_rouge!A"&amp;_xlfn.XMATCH("EN",Liste_rouge!A:A,2,1),"EN")</f>
        <v>EN</v>
      </c>
      <c r="W5117" s="4" t="str">
        <f>HYPERLINK("#Critères_liste_rouge!A$1","B2abiii")</f>
        <v>B2abiii</v>
      </c>
      <c r="Z5117" s="4" t="s">
        <v>695</v>
      </c>
      <c r="AA5117" s="4" t="s">
        <v>696</v>
      </c>
      <c r="AH5117" s="4" t="str">
        <f>HYPERLINK("#Statut_biogéographique!A"&amp;_xlfn.XMATCH("P",Statut_biogéographique!A:A,2,1),"P")</f>
        <v>P</v>
      </c>
      <c r="AP5117" s="4" t="s">
        <v>376</v>
      </c>
      <c r="AR5117" s="4" t="s">
        <v>377</v>
      </c>
    </row>
    <row r="5118" spans="1:44">
      <c r="A5118" s="4" t="s">
        <v>5</v>
      </c>
      <c r="B5118" s="4">
        <v>39434</v>
      </c>
      <c r="C5118" s="4">
        <v>1755</v>
      </c>
      <c r="D5118" s="5" t="s">
        <v>7516</v>
      </c>
      <c r="E5118" s="6" t="str">
        <f>HYPERLINK("https://inpn.mnhn.fr/espece/cd_nom/39434","Lactarius rubrocinctus Fr., 1863")</f>
        <v>Lactarius rubrocinctus Fr., 1863</v>
      </c>
      <c r="F5118" s="5" t="s">
        <v>7517</v>
      </c>
      <c r="V5118" s="7" t="str">
        <f>HYPERLINK("#Liste_rouge!A"&amp;_xlfn.XMATCH("EN",Liste_rouge!A:A,2,1),"EN")</f>
        <v>EN</v>
      </c>
      <c r="W5118" s="4" t="str">
        <f>HYPERLINK("#Critères_liste_rouge!A$1","B2abiii")</f>
        <v>B2abiii</v>
      </c>
      <c r="Z5118" s="4" t="s">
        <v>447</v>
      </c>
      <c r="AA5118" s="4" t="s">
        <v>448</v>
      </c>
      <c r="AH5118" s="4" t="str">
        <f>HYPERLINK("#Statut_biogéographique!A"&amp;_xlfn.XMATCH("P",Statut_biogéographique!A:A,2,1),"P")</f>
        <v>P</v>
      </c>
      <c r="AP5118" s="4" t="s">
        <v>376</v>
      </c>
      <c r="AR5118" s="4" t="s">
        <v>377</v>
      </c>
    </row>
    <row r="5119" spans="1:44">
      <c r="A5119" s="4" t="s">
        <v>5</v>
      </c>
      <c r="B5119" s="4">
        <v>39436</v>
      </c>
      <c r="C5119" s="4">
        <v>725</v>
      </c>
      <c r="D5119" s="5">
        <v>39436</v>
      </c>
      <c r="E5119" s="6" t="str">
        <f>HYPERLINK("https://inpn.mnhn.fr/espece/cd_nom/39436","Lactarius porninsis Rolland, 1890")</f>
        <v>Lactarius porninsis Rolland, 1890</v>
      </c>
      <c r="V5119" s="7" t="str">
        <f>HYPERLINK("#Liste_rouge!A"&amp;_xlfn.XMATCH("EN",Liste_rouge!A:A,2,1),"EN")</f>
        <v>EN</v>
      </c>
      <c r="W5119" s="4" t="str">
        <f>HYPERLINK("#Critères_liste_rouge!A$1","B2abiii")</f>
        <v>B2abiii</v>
      </c>
      <c r="Z5119" s="4" t="s">
        <v>443</v>
      </c>
      <c r="AA5119" s="4" t="s">
        <v>444</v>
      </c>
      <c r="AH5119" s="4" t="str">
        <f>HYPERLINK("#Statut_biogéographique!A"&amp;_xlfn.XMATCH("P",Statut_biogéographique!A:A,2,1),"P")</f>
        <v>P</v>
      </c>
      <c r="AP5119" s="4" t="s">
        <v>376</v>
      </c>
      <c r="AR5119" s="4" t="s">
        <v>377</v>
      </c>
    </row>
    <row r="5120" spans="1:44">
      <c r="A5120" s="4" t="s">
        <v>5</v>
      </c>
      <c r="B5120" s="4">
        <v>39437</v>
      </c>
      <c r="C5120" s="4">
        <v>292</v>
      </c>
      <c r="D5120" s="5" t="s">
        <v>7518</v>
      </c>
      <c r="E5120" s="6" t="str">
        <f>HYPERLINK("https://inpn.mnhn.fr/espece/cd_nom/39437","Lactarius rufus (Scop.) Fr., 1838")</f>
        <v>Lactarius rufus (Scop.) Fr., 1838</v>
      </c>
      <c r="F5120" s="5" t="s">
        <v>7519</v>
      </c>
      <c r="V5120" s="7" t="str">
        <f>HYPERLINK("#Liste_rouge!A"&amp;_xlfn.XMATCH("LC",Liste_rouge!A:A,2,1),"LC")</f>
        <v>LC</v>
      </c>
      <c r="AH5120" s="4" t="str">
        <f>HYPERLINK("#Statut_biogéographique!A"&amp;_xlfn.XMATCH("P",Statut_biogéographique!A:A,2,1),"P")</f>
        <v>P</v>
      </c>
      <c r="AP5120" s="4" t="s">
        <v>376</v>
      </c>
      <c r="AR5120" s="4" t="s">
        <v>377</v>
      </c>
    </row>
    <row r="5121" spans="1:44">
      <c r="A5121" s="4" t="s">
        <v>5</v>
      </c>
      <c r="B5121" s="4">
        <v>39442</v>
      </c>
      <c r="C5121" s="4">
        <v>330</v>
      </c>
      <c r="D5121" s="5" t="s">
        <v>7520</v>
      </c>
      <c r="E5121" s="6" t="str">
        <f>HYPERLINK("https://inpn.mnhn.fr/espece/cd_nom/39442","Lactarius ruginosus Romagn., 1957")</f>
        <v>Lactarius ruginosus Romagn., 1957</v>
      </c>
      <c r="F5121" s="5" t="s">
        <v>7521</v>
      </c>
      <c r="V5121" s="7" t="str">
        <f>HYPERLINK("#Liste_rouge!A"&amp;_xlfn.XMATCH("LC",Liste_rouge!A:A,2,1),"LC")</f>
        <v>LC</v>
      </c>
      <c r="AH5121" s="4" t="str">
        <f>HYPERLINK("#Statut_biogéographique!A"&amp;_xlfn.XMATCH("P",Statut_biogéographique!A:A,2,1),"P")</f>
        <v>P</v>
      </c>
      <c r="AP5121" s="4" t="s">
        <v>376</v>
      </c>
      <c r="AR5121" s="4" t="s">
        <v>377</v>
      </c>
    </row>
    <row r="5122" spans="1:44">
      <c r="A5122" s="4" t="s">
        <v>5</v>
      </c>
      <c r="B5122" s="4">
        <v>39445</v>
      </c>
      <c r="C5122" s="4">
        <v>291</v>
      </c>
      <c r="D5122" s="5" t="s">
        <v>7522</v>
      </c>
      <c r="E5122" s="6" t="str">
        <f>HYPERLINK("https://inpn.mnhn.fr/espece/cd_nom/39445","Lactarius salmonicolor R.Heim &amp; Leclair, 1953")</f>
        <v>Lactarius salmonicolor R.Heim &amp; Leclair, 1953</v>
      </c>
      <c r="F5122" s="5" t="s">
        <v>7523</v>
      </c>
      <c r="V5122" s="7" t="str">
        <f>HYPERLINK("#Liste_rouge!A"&amp;_xlfn.XMATCH("LC",Liste_rouge!A:A,2,1),"LC")</f>
        <v>LC</v>
      </c>
      <c r="AH5122" s="4" t="str">
        <f>HYPERLINK("#Statut_biogéographique!A"&amp;_xlfn.XMATCH("P",Statut_biogéographique!A:A,2,1),"P")</f>
        <v>P</v>
      </c>
      <c r="AP5122" s="4" t="s">
        <v>376</v>
      </c>
      <c r="AR5122" s="4" t="s">
        <v>377</v>
      </c>
    </row>
    <row r="5123" spans="1:44">
      <c r="A5123" s="4" t="s">
        <v>5</v>
      </c>
      <c r="B5123" s="4">
        <v>39448</v>
      </c>
      <c r="C5123" s="4">
        <v>1283</v>
      </c>
      <c r="D5123" s="5" t="s">
        <v>7524</v>
      </c>
      <c r="E5123" s="6" t="str">
        <f>HYPERLINK("https://inpn.mnhn.fr/espece/cd_nom/39448","Lactarius sanguifluus (Paulet) Fr., 1838")</f>
        <v>Lactarius sanguifluus (Paulet) Fr., 1838</v>
      </c>
      <c r="F5123" s="5" t="s">
        <v>7525</v>
      </c>
      <c r="V5123" s="7" t="str">
        <f>HYPERLINK("#Liste_rouge!A"&amp;_xlfn.XMATCH("EN",Liste_rouge!A:A,2,1),"EN")</f>
        <v>EN</v>
      </c>
      <c r="W5123" s="4" t="str">
        <f>HYPERLINK("#Critères_liste_rouge!A$1","A2c")</f>
        <v>A2c</v>
      </c>
      <c r="Z5123" s="4" t="s">
        <v>447</v>
      </c>
      <c r="AA5123" s="4" t="s">
        <v>448</v>
      </c>
      <c r="AH5123" s="4" t="str">
        <f>HYPERLINK("#Statut_biogéographique!A"&amp;_xlfn.XMATCH("P",Statut_biogéographique!A:A,2,1),"P")</f>
        <v>P</v>
      </c>
      <c r="AP5123" s="4" t="s">
        <v>376</v>
      </c>
      <c r="AR5123" s="4" t="s">
        <v>377</v>
      </c>
    </row>
    <row r="5124" spans="1:44">
      <c r="A5124" s="4" t="s">
        <v>5</v>
      </c>
      <c r="B5124" s="4">
        <v>39452</v>
      </c>
      <c r="D5124" s="5" t="s">
        <v>7526</v>
      </c>
      <c r="E5124" s="6" t="str">
        <f>HYPERLINK("https://inpn.mnhn.fr/espece/cd_nom/39452","Lactarius favrei H.Jahn, 1982")</f>
        <v>Lactarius favrei H.Jahn, 1982</v>
      </c>
      <c r="V5124" s="7" t="str">
        <f>HYPERLINK("#Liste_rouge!A"&amp;_xlfn.XMATCH("LC",Liste_rouge!A:A,2,1),"LC")</f>
        <v>LC</v>
      </c>
      <c r="AH5124" s="4" t="str">
        <f>HYPERLINK("#Statut_biogéographique!A"&amp;_xlfn.XMATCH("P",Statut_biogéographique!A:A,2,1),"P")</f>
        <v>P</v>
      </c>
      <c r="AP5124" s="4" t="s">
        <v>376</v>
      </c>
      <c r="AR5124" s="4" t="s">
        <v>377</v>
      </c>
    </row>
    <row r="5125" spans="1:44">
      <c r="A5125" s="4" t="s">
        <v>5</v>
      </c>
      <c r="B5125" s="4">
        <v>39454</v>
      </c>
      <c r="C5125" s="4">
        <v>433</v>
      </c>
      <c r="D5125" s="5" t="s">
        <v>7527</v>
      </c>
      <c r="E5125" s="6" t="str">
        <f>HYPERLINK("https://inpn.mnhn.fr/espece/cd_nom/39454","Lactarius scrobiculatus (Scop.) Fr., 1838")</f>
        <v>Lactarius scrobiculatus (Scop.) Fr., 1838</v>
      </c>
      <c r="F5125" s="5" t="s">
        <v>7528</v>
      </c>
      <c r="V5125" s="7" t="str">
        <f>HYPERLINK("#Liste_rouge!A"&amp;_xlfn.XMATCH("LC",Liste_rouge!A:A,2,1),"LC")</f>
        <v>LC</v>
      </c>
      <c r="AH5125" s="4" t="str">
        <f>HYPERLINK("#Statut_biogéographique!A"&amp;_xlfn.XMATCH("P",Statut_biogéographique!A:A,2,1),"P")</f>
        <v>P</v>
      </c>
      <c r="AP5125" s="4" t="s">
        <v>376</v>
      </c>
      <c r="AR5125" s="4" t="s">
        <v>377</v>
      </c>
    </row>
    <row r="5126" spans="1:44" ht="30">
      <c r="A5126" s="4" t="s">
        <v>5</v>
      </c>
      <c r="B5126" s="4">
        <v>39455</v>
      </c>
      <c r="C5126" s="4">
        <v>820</v>
      </c>
      <c r="D5126" s="5" t="s">
        <v>7529</v>
      </c>
      <c r="E5126" s="6" t="str">
        <f>HYPERLINK("https://inpn.mnhn.fr/espece/cd_nom/39455","Lactarius semisanguifluus R.Heim &amp; Leclair, 1950")</f>
        <v>Lactarius semisanguifluus R.Heim &amp; Leclair, 1950</v>
      </c>
      <c r="F5126" s="5" t="s">
        <v>7530</v>
      </c>
      <c r="V5126" s="7" t="str">
        <f>HYPERLINK("#Liste_rouge!A"&amp;_xlfn.XMATCH("LC",Liste_rouge!A:A,2,1),"LC")</f>
        <v>LC</v>
      </c>
      <c r="AH5126" s="4" t="str">
        <f>HYPERLINK("#Statut_biogéographique!A"&amp;_xlfn.XMATCH("P",Statut_biogéographique!A:A,2,1),"P")</f>
        <v>P</v>
      </c>
      <c r="AP5126" s="4" t="s">
        <v>376</v>
      </c>
      <c r="AR5126" s="4" t="s">
        <v>377</v>
      </c>
    </row>
    <row r="5127" spans="1:44">
      <c r="A5127" s="4" t="s">
        <v>5</v>
      </c>
      <c r="B5127" s="4">
        <v>39456</v>
      </c>
      <c r="C5127" s="4">
        <v>1646</v>
      </c>
      <c r="D5127" s="5" t="s">
        <v>7531</v>
      </c>
      <c r="E5127" s="6" t="str">
        <f>HYPERLINK("https://inpn.mnhn.fr/espece/cd_nom/39456","Lactarius serifluus (DC.) Fr., 1838")</f>
        <v>Lactarius serifluus (DC.) Fr., 1838</v>
      </c>
      <c r="F5127" s="5" t="s">
        <v>7532</v>
      </c>
      <c r="V5127" s="7" t="str">
        <f>HYPERLINK("#Liste_rouge!A"&amp;_xlfn.XMATCH("LC",Liste_rouge!A:A,2,1),"LC")</f>
        <v>LC</v>
      </c>
      <c r="AH5127" s="4" t="str">
        <f>HYPERLINK("#Statut_biogéographique!A"&amp;_xlfn.XMATCH("P",Statut_biogéographique!A:A,2,1),"P")</f>
        <v>P</v>
      </c>
      <c r="AP5127" s="4" t="s">
        <v>376</v>
      </c>
      <c r="AR5127" s="4" t="s">
        <v>377</v>
      </c>
    </row>
    <row r="5128" spans="1:44">
      <c r="A5128" s="4" t="s">
        <v>5</v>
      </c>
      <c r="B5128" s="4">
        <v>39459</v>
      </c>
      <c r="C5128" s="4">
        <v>537</v>
      </c>
      <c r="D5128" s="5" t="s">
        <v>7533</v>
      </c>
      <c r="E5128" s="6" t="str">
        <f>HYPERLINK("https://inpn.mnhn.fr/espece/cd_nom/39459","Lactarius sphagneti (Fr.) Neuhoff, 1956")</f>
        <v>Lactarius sphagneti (Fr.) Neuhoff, 1956</v>
      </c>
      <c r="F5128" s="5" t="s">
        <v>7534</v>
      </c>
      <c r="V5128" s="7" t="str">
        <f>HYPERLINK("#Liste_rouge!A"&amp;_xlfn.XMATCH("LC",Liste_rouge!A:A,2,1),"LC")</f>
        <v>LC</v>
      </c>
      <c r="W5128" s="4" t="str">
        <f>HYPERLINK("#Critères_liste_rouge!A$1","pr. A2c")</f>
        <v>pr. A2c</v>
      </c>
      <c r="Z5128" s="4" t="s">
        <v>447</v>
      </c>
      <c r="AA5128" s="4" t="s">
        <v>448</v>
      </c>
      <c r="AH5128" s="4" t="str">
        <f>HYPERLINK("#Statut_biogéographique!A"&amp;_xlfn.XMATCH("P",Statut_biogéographique!A:A,2,1),"P")</f>
        <v>P</v>
      </c>
      <c r="AP5128" s="4" t="s">
        <v>376</v>
      </c>
      <c r="AR5128" s="4" t="s">
        <v>377</v>
      </c>
    </row>
    <row r="5129" spans="1:44">
      <c r="A5129" s="4" t="s">
        <v>5</v>
      </c>
      <c r="B5129" s="4">
        <v>39461</v>
      </c>
      <c r="C5129" s="4">
        <v>296</v>
      </c>
      <c r="D5129" s="5" t="s">
        <v>7535</v>
      </c>
      <c r="E5129" s="6" t="str">
        <f>HYPERLINK("https://inpn.mnhn.fr/espece/cd_nom/39461","Lactarius spinosulus Quél. &amp; Le Bret., 1880")</f>
        <v>Lactarius spinosulus Quél. &amp; Le Bret., 1880</v>
      </c>
      <c r="F5129" s="5" t="s">
        <v>7536</v>
      </c>
      <c r="V5129" s="7" t="str">
        <f>HYPERLINK("#Liste_rouge!A"&amp;_xlfn.XMATCH("VU",Liste_rouge!A:A,2,1),"VU")</f>
        <v>VU</v>
      </c>
      <c r="W5129" s="4" t="str">
        <f>HYPERLINK("#Critères_liste_rouge!A$1","B2abiii")</f>
        <v>B2abiii</v>
      </c>
      <c r="Z5129" s="4" t="s">
        <v>447</v>
      </c>
      <c r="AA5129" s="4" t="s">
        <v>448</v>
      </c>
      <c r="AH5129" s="4" t="str">
        <f>HYPERLINK("#Statut_biogéographique!A"&amp;_xlfn.XMATCH("P",Statut_biogéographique!A:A,2,1),"P")</f>
        <v>P</v>
      </c>
      <c r="AP5129" s="4" t="s">
        <v>376</v>
      </c>
      <c r="AR5129" s="4" t="s">
        <v>377</v>
      </c>
    </row>
    <row r="5130" spans="1:44">
      <c r="A5130" s="4" t="s">
        <v>5</v>
      </c>
      <c r="B5130" s="4">
        <v>39465</v>
      </c>
      <c r="C5130" s="4">
        <v>537</v>
      </c>
      <c r="D5130" s="5" t="s">
        <v>7537</v>
      </c>
      <c r="E5130" s="6" t="str">
        <f>HYPERLINK("https://inpn.mnhn.fr/espece/cd_nom/39465","Lactarius subdulcis (Pers.) Gray, 1821")</f>
        <v>Lactarius subdulcis (Pers.) Gray, 1821</v>
      </c>
      <c r="F5130" s="5" t="s">
        <v>7538</v>
      </c>
      <c r="V5130" s="7" t="str">
        <f>HYPERLINK("#Liste_rouge!A"&amp;_xlfn.XMATCH("LC",Liste_rouge!A:A,2,1),"LC")</f>
        <v>LC</v>
      </c>
      <c r="AH5130" s="4" t="str">
        <f>HYPERLINK("#Statut_biogéographique!A"&amp;_xlfn.XMATCH("P",Statut_biogéographique!A:A,2,1),"P")</f>
        <v>P</v>
      </c>
      <c r="AP5130" s="4" t="s">
        <v>376</v>
      </c>
      <c r="AR5130" s="4" t="s">
        <v>377</v>
      </c>
    </row>
    <row r="5131" spans="1:44">
      <c r="A5131" s="4" t="s">
        <v>5</v>
      </c>
      <c r="B5131" s="4">
        <v>39468</v>
      </c>
      <c r="C5131" s="4">
        <v>6619</v>
      </c>
      <c r="D5131" s="5" t="s">
        <v>7539</v>
      </c>
      <c r="E5131" s="6" t="str">
        <f>HYPERLINK("https://inpn.mnhn.fr/espece/cd_nom/39468","Lactarius subruginosus J.Blum ex Bon, 1985")</f>
        <v>Lactarius subruginosus J.Blum ex Bon, 1985</v>
      </c>
      <c r="F5131" s="5" t="s">
        <v>7540</v>
      </c>
      <c r="AH5131" s="4" t="str">
        <f>HYPERLINK("#Statut_biogéographique!A"&amp;_xlfn.XMATCH("P",Statut_biogéographique!A:A,2,1),"P")</f>
        <v>P</v>
      </c>
      <c r="AP5131" s="4" t="s">
        <v>376</v>
      </c>
      <c r="AR5131" s="4" t="s">
        <v>377</v>
      </c>
    </row>
    <row r="5132" spans="1:44">
      <c r="A5132" s="4" t="s">
        <v>5</v>
      </c>
      <c r="B5132" s="4">
        <v>39475</v>
      </c>
      <c r="C5132" s="4">
        <v>2662</v>
      </c>
      <c r="D5132" s="5" t="s">
        <v>7541</v>
      </c>
      <c r="E5132" s="6" t="str">
        <f>HYPERLINK("https://inpn.mnhn.fr/espece/cd_nom/39475","Lactarius subumbonatus Lindgr., 1845")</f>
        <v>Lactarius subumbonatus Lindgr., 1845</v>
      </c>
      <c r="F5132" s="5" t="s">
        <v>7542</v>
      </c>
      <c r="V5132" s="7" t="str">
        <f>HYPERLINK("#Liste_rouge!A"&amp;_xlfn.XMATCH("LC",Liste_rouge!A:A,2,1),"LC")</f>
        <v>LC</v>
      </c>
      <c r="AH5132" s="4" t="str">
        <f>HYPERLINK("#Statut_biogéographique!A"&amp;_xlfn.XMATCH("P",Statut_biogéographique!A:A,2,1),"P")</f>
        <v>P</v>
      </c>
      <c r="AP5132" s="4" t="s">
        <v>376</v>
      </c>
      <c r="AR5132" s="4" t="s">
        <v>377</v>
      </c>
    </row>
    <row r="5133" spans="1:44">
      <c r="A5133" s="4" t="s">
        <v>5</v>
      </c>
      <c r="B5133" s="4">
        <v>39478</v>
      </c>
      <c r="C5133" s="4">
        <v>422</v>
      </c>
      <c r="D5133" s="5" t="s">
        <v>7543</v>
      </c>
      <c r="E5133" s="6" t="str">
        <f>HYPERLINK("https://inpn.mnhn.fr/espece/cd_nom/39478","Lactarius tabidus Fr., 1838")</f>
        <v>Lactarius tabidus Fr., 1838</v>
      </c>
      <c r="F5133" s="5" t="s">
        <v>7544</v>
      </c>
      <c r="V5133" s="7" t="str">
        <f>HYPERLINK("#Liste_rouge!A"&amp;_xlfn.XMATCH("LC",Liste_rouge!A:A,2,1),"LC")</f>
        <v>LC</v>
      </c>
      <c r="AH5133" s="4" t="str">
        <f>HYPERLINK("#Statut_biogéographique!A"&amp;_xlfn.XMATCH("P",Statut_biogéographique!A:A,2,1),"P")</f>
        <v>P</v>
      </c>
      <c r="AP5133" s="4" t="s">
        <v>376</v>
      </c>
      <c r="AR5133" s="4" t="s">
        <v>377</v>
      </c>
    </row>
    <row r="5134" spans="1:44" ht="30">
      <c r="A5134" s="4" t="s">
        <v>5</v>
      </c>
      <c r="B5134" s="4">
        <v>39489</v>
      </c>
      <c r="C5134" s="4">
        <v>226</v>
      </c>
      <c r="D5134" s="5" t="s">
        <v>7545</v>
      </c>
      <c r="E5134" s="6" t="str">
        <f>HYPERLINK("https://inpn.mnhn.fr/espece/cd_nom/39489","Lactarius torminosus (Schaeff.) Pers., 1797")</f>
        <v>Lactarius torminosus (Schaeff.) Pers., 1797</v>
      </c>
      <c r="F5134" s="5" t="s">
        <v>7546</v>
      </c>
      <c r="V5134" s="7" t="str">
        <f>HYPERLINK("#Liste_rouge!A"&amp;_xlfn.XMATCH("LC",Liste_rouge!A:A,2,1),"LC")</f>
        <v>LC</v>
      </c>
      <c r="AH5134" s="4" t="str">
        <f>HYPERLINK("#Statut_biogéographique!A"&amp;_xlfn.XMATCH("P",Statut_biogéographique!A:A,2,1),"P")</f>
        <v>P</v>
      </c>
      <c r="AP5134" s="4" t="s">
        <v>376</v>
      </c>
      <c r="AR5134" s="4" t="s">
        <v>377</v>
      </c>
    </row>
    <row r="5135" spans="1:44">
      <c r="A5135" s="4" t="s">
        <v>5</v>
      </c>
      <c r="B5135" s="4">
        <v>39491</v>
      </c>
      <c r="C5135" s="4">
        <v>454</v>
      </c>
      <c r="D5135" s="5" t="s">
        <v>7547</v>
      </c>
      <c r="E5135" s="6" t="str">
        <f>HYPERLINK("https://inpn.mnhn.fr/espece/cd_nom/39491","Lactarius trivialis (Fr.) Fr., 1838")</f>
        <v>Lactarius trivialis (Fr.) Fr., 1838</v>
      </c>
      <c r="F5135" s="5" t="s">
        <v>7548</v>
      </c>
      <c r="V5135" s="7" t="str">
        <f>HYPERLINK("#Liste_rouge!A"&amp;_xlfn.XMATCH("LC",Liste_rouge!A:A,2,1),"LC")</f>
        <v>LC</v>
      </c>
      <c r="Z5135" s="4" t="s">
        <v>447</v>
      </c>
      <c r="AA5135" s="4" t="s">
        <v>448</v>
      </c>
      <c r="AH5135" s="4" t="str">
        <f>HYPERLINK("#Statut_biogéographique!A"&amp;_xlfn.XMATCH("P",Statut_biogéographique!A:A,2,1),"P")</f>
        <v>P</v>
      </c>
      <c r="AP5135" s="4" t="s">
        <v>376</v>
      </c>
      <c r="AR5135" s="4" t="s">
        <v>377</v>
      </c>
    </row>
    <row r="5136" spans="1:44">
      <c r="A5136" s="4" t="s">
        <v>5</v>
      </c>
      <c r="B5136" s="4">
        <v>39494</v>
      </c>
      <c r="C5136" s="4">
        <v>623</v>
      </c>
      <c r="D5136" s="5" t="s">
        <v>7549</v>
      </c>
      <c r="E5136" s="6" t="str">
        <f>HYPERLINK("https://inpn.mnhn.fr/espece/cd_nom/39494","Lactarius uvidus (Fr.) Fr., 1838")</f>
        <v>Lactarius uvidus (Fr.) Fr., 1838</v>
      </c>
      <c r="F5136" s="5" t="s">
        <v>7550</v>
      </c>
      <c r="V5136" s="7" t="str">
        <f>HYPERLINK("#Liste_rouge!A"&amp;_xlfn.XMATCH("LC",Liste_rouge!A:A,2,1),"LC")</f>
        <v>LC</v>
      </c>
      <c r="AH5136" s="4" t="str">
        <f>HYPERLINK("#Statut_biogéographique!A"&amp;_xlfn.XMATCH("P",Statut_biogéographique!A:A,2,1),"P")</f>
        <v>P</v>
      </c>
      <c r="AP5136" s="4" t="s">
        <v>376</v>
      </c>
      <c r="AR5136" s="4" t="s">
        <v>377</v>
      </c>
    </row>
    <row r="5137" spans="1:44">
      <c r="A5137" s="4" t="s">
        <v>5</v>
      </c>
      <c r="B5137" s="4">
        <v>39504</v>
      </c>
      <c r="C5137" s="4">
        <v>307</v>
      </c>
      <c r="D5137" s="5" t="s">
        <v>7551</v>
      </c>
      <c r="E5137" s="6" t="str">
        <f>HYPERLINK("https://inpn.mnhn.fr/espece/cd_nom/39504","Lactarius vietus (Fr.) Fr., 1838")</f>
        <v>Lactarius vietus (Fr.) Fr., 1838</v>
      </c>
      <c r="F5137" s="5" t="s">
        <v>7552</v>
      </c>
      <c r="V5137" s="7" t="str">
        <f>HYPERLINK("#Liste_rouge!A"&amp;_xlfn.XMATCH("NT",Liste_rouge!A:A,2,1),"NT")</f>
        <v>NT</v>
      </c>
      <c r="W5137" s="4" t="str">
        <f>HYPERLINK("#Critères_liste_rouge!A$1","pr. A2c")</f>
        <v>pr. A2c</v>
      </c>
      <c r="AH5137" s="4" t="str">
        <f>HYPERLINK("#Statut_biogéographique!A"&amp;_xlfn.XMATCH("P",Statut_biogéographique!A:A,2,1),"P")</f>
        <v>P</v>
      </c>
      <c r="AP5137" s="4" t="s">
        <v>376</v>
      </c>
      <c r="AR5137" s="4" t="s">
        <v>377</v>
      </c>
    </row>
    <row r="5138" spans="1:44" ht="30">
      <c r="A5138" s="4" t="s">
        <v>5</v>
      </c>
      <c r="B5138" s="4">
        <v>39509</v>
      </c>
      <c r="C5138" s="4">
        <v>2937</v>
      </c>
      <c r="D5138" s="5" t="s">
        <v>7553</v>
      </c>
      <c r="E5138" s="6" t="str">
        <f>HYPERLINK("https://inpn.mnhn.fr/espece/cd_nom/39509","Lactarius vinosus (Quél.) Bataille, 1908")</f>
        <v>Lactarius vinosus (Quél.) Bataille, 1908</v>
      </c>
      <c r="F5138" s="5" t="s">
        <v>7554</v>
      </c>
      <c r="V5138" s="7" t="str">
        <f>HYPERLINK("#Liste_rouge!A"&amp;_xlfn.XMATCH("DD",Liste_rouge!A:A,2,1),"DD")</f>
        <v>DD</v>
      </c>
      <c r="AH5138" s="4" t="str">
        <f>HYPERLINK("#Statut_biogéographique!A"&amp;_xlfn.XMATCH("P",Statut_biogéographique!A:A,2,1),"P")</f>
        <v>P</v>
      </c>
      <c r="AP5138" s="4" t="s">
        <v>376</v>
      </c>
      <c r="AR5138" s="4" t="s">
        <v>377</v>
      </c>
    </row>
    <row r="5139" spans="1:44">
      <c r="A5139" s="4" t="s">
        <v>5</v>
      </c>
      <c r="B5139" s="4">
        <v>39512</v>
      </c>
      <c r="C5139" s="4">
        <v>1956</v>
      </c>
      <c r="D5139" s="5" t="s">
        <v>7555</v>
      </c>
      <c r="E5139" s="6" t="str">
        <f>HYPERLINK("https://inpn.mnhn.fr/espece/cd_nom/39512","Lactarius violascens (J.Otto) Fr., 1838")</f>
        <v>Lactarius violascens (J.Otto) Fr., 1838</v>
      </c>
      <c r="F5139" s="5" t="s">
        <v>7556</v>
      </c>
      <c r="V5139" s="7" t="str">
        <f>HYPERLINK("#Liste_rouge!A"&amp;_xlfn.XMATCH("LC",Liste_rouge!A:A,2,1),"LC")</f>
        <v>LC</v>
      </c>
      <c r="AH5139" s="4" t="str">
        <f>HYPERLINK("#Statut_biogéographique!A"&amp;_xlfn.XMATCH("P",Statut_biogéographique!A:A,2,1),"P")</f>
        <v>P</v>
      </c>
      <c r="AP5139" s="4" t="s">
        <v>376</v>
      </c>
      <c r="AR5139" s="4" t="s">
        <v>377</v>
      </c>
    </row>
    <row r="5140" spans="1:44" ht="30">
      <c r="A5140" s="4" t="s">
        <v>5</v>
      </c>
      <c r="B5140" s="4">
        <v>39522</v>
      </c>
      <c r="C5140" s="4">
        <v>716</v>
      </c>
      <c r="D5140" s="5" t="s">
        <v>7557</v>
      </c>
      <c r="E5140" s="6" t="str">
        <f>HYPERLINK("https://inpn.mnhn.fr/espece/cd_nom/39522","Lactarius zonarius (Bull.) Fr., 1838")</f>
        <v>Lactarius zonarius (Bull.) Fr., 1838</v>
      </c>
      <c r="F5140" s="5" t="s">
        <v>7558</v>
      </c>
      <c r="V5140" s="7" t="str">
        <f>HYPERLINK("#Liste_rouge!A"&amp;_xlfn.XMATCH("LC",Liste_rouge!A:A,2,1),"LC")</f>
        <v>LC</v>
      </c>
      <c r="AH5140" s="4" t="str">
        <f>HYPERLINK("#Statut_biogéographique!A"&amp;_xlfn.XMATCH("P",Statut_biogéographique!A:A,2,1),"P")</f>
        <v>P</v>
      </c>
      <c r="AP5140" s="4" t="s">
        <v>376</v>
      </c>
      <c r="AR5140" s="4" t="s">
        <v>377</v>
      </c>
    </row>
    <row r="5141" spans="1:44">
      <c r="A5141" s="4" t="s">
        <v>5</v>
      </c>
      <c r="B5141" s="4">
        <v>39528</v>
      </c>
      <c r="D5141" s="5" t="s">
        <v>7559</v>
      </c>
      <c r="E5141" s="6" t="str">
        <f>HYPERLINK("https://inpn.mnhn.fr/espece/cd_nom/39528","Russula acetolens Rauschert, 1989")</f>
        <v>Russula acetolens Rauschert, 1989</v>
      </c>
      <c r="F5141" s="5" t="s">
        <v>4507</v>
      </c>
      <c r="V5141" s="7" t="str">
        <f>HYPERLINK("#Liste_rouge!A"&amp;_xlfn.XMATCH("LC",Liste_rouge!A:A,2,1),"LC")</f>
        <v>LC</v>
      </c>
      <c r="AH5141" s="4" t="str">
        <f>HYPERLINK("#Statut_biogéographique!A"&amp;_xlfn.XMATCH("P",Statut_biogéographique!A:A,2,1),"P")</f>
        <v>P</v>
      </c>
      <c r="AP5141" s="4" t="s">
        <v>376</v>
      </c>
      <c r="AR5141" s="4" t="s">
        <v>377</v>
      </c>
    </row>
    <row r="5142" spans="1:44">
      <c r="A5142" s="4" t="s">
        <v>5</v>
      </c>
      <c r="B5142" s="4">
        <v>39532</v>
      </c>
      <c r="D5142" s="5" t="s">
        <v>7560</v>
      </c>
      <c r="E5142" s="6" t="str">
        <f>HYPERLINK("https://inpn.mnhn.fr/espece/cd_nom/39532","Russula acrifolia Romagn., 1997")</f>
        <v>Russula acrifolia Romagn., 1997</v>
      </c>
      <c r="F5142" s="5" t="s">
        <v>3580</v>
      </c>
      <c r="V5142" s="7" t="str">
        <f>HYPERLINK("#Liste_rouge!A"&amp;_xlfn.XMATCH("LC",Liste_rouge!A:A,2,1),"LC")</f>
        <v>LC</v>
      </c>
      <c r="AH5142" s="4" t="str">
        <f>HYPERLINK("#Statut_biogéographique!A"&amp;_xlfn.XMATCH("P",Statut_biogéographique!A:A,2,1),"P")</f>
        <v>P</v>
      </c>
      <c r="AP5142" s="4" t="s">
        <v>376</v>
      </c>
      <c r="AR5142" s="4" t="s">
        <v>377</v>
      </c>
    </row>
    <row r="5143" spans="1:44">
      <c r="A5143" s="4" t="s">
        <v>5</v>
      </c>
      <c r="B5143" s="4">
        <v>39536</v>
      </c>
      <c r="D5143" s="5" t="s">
        <v>7561</v>
      </c>
      <c r="E5143" s="6" t="str">
        <f>HYPERLINK("https://inpn.mnhn.fr/espece/cd_nom/39536","Russula adulterina (Fr.) Peck, 1888")</f>
        <v>Russula adulterina (Fr.) Peck, 1888</v>
      </c>
      <c r="F5143" s="5" t="s">
        <v>2490</v>
      </c>
      <c r="V5143" s="7" t="str">
        <f>HYPERLINK("#Liste_rouge!A"&amp;_xlfn.XMATCH("LC",Liste_rouge!A:A,2,1),"LC")</f>
        <v>LC</v>
      </c>
      <c r="AH5143" s="4" t="str">
        <f>HYPERLINK("#Statut_biogéographique!A"&amp;_xlfn.XMATCH("P",Statut_biogéographique!A:A,2,1),"P")</f>
        <v>P</v>
      </c>
      <c r="AP5143" s="4" t="s">
        <v>376</v>
      </c>
      <c r="AR5143" s="4" t="s">
        <v>377</v>
      </c>
    </row>
    <row r="5144" spans="1:44">
      <c r="A5144" s="4" t="s">
        <v>5</v>
      </c>
      <c r="B5144" s="4">
        <v>39538</v>
      </c>
      <c r="D5144" s="5" t="s">
        <v>7562</v>
      </c>
      <c r="E5144" s="6" t="str">
        <f>HYPERLINK("https://inpn.mnhn.fr/espece/cd_nom/39538","Russula adusta (Pers.) Fr., 1838")</f>
        <v>Russula adusta (Pers.) Fr., 1838</v>
      </c>
      <c r="F5144" s="5" t="s">
        <v>4336</v>
      </c>
      <c r="V5144" s="7" t="str">
        <f>HYPERLINK("#Liste_rouge!A"&amp;_xlfn.XMATCH("EN",Liste_rouge!A:A,2,1),"EN")</f>
        <v>EN</v>
      </c>
      <c r="W5144" s="4" t="str">
        <f>HYPERLINK("#Critères_liste_rouge!A$1","B2abiii")</f>
        <v>B2abiii</v>
      </c>
      <c r="AH5144" s="4" t="str">
        <f>HYPERLINK("#Statut_biogéographique!A"&amp;_xlfn.XMATCH("P",Statut_biogéographique!A:A,2,1),"P")</f>
        <v>P</v>
      </c>
      <c r="AP5144" s="4" t="s">
        <v>376</v>
      </c>
      <c r="AR5144" s="4" t="s">
        <v>377</v>
      </c>
    </row>
    <row r="5145" spans="1:44">
      <c r="A5145" s="4" t="s">
        <v>5</v>
      </c>
      <c r="B5145" s="4">
        <v>39545</v>
      </c>
      <c r="D5145" s="5" t="s">
        <v>7563</v>
      </c>
      <c r="E5145" s="6" t="str">
        <f>HYPERLINK("https://inpn.mnhn.fr/espece/cd_nom/39545","Russula aeruginea Lindblad ex Fr., 1863")</f>
        <v>Russula aeruginea Lindblad ex Fr., 1863</v>
      </c>
      <c r="F5145" s="5" t="s">
        <v>7564</v>
      </c>
      <c r="O5145" s="7" t="str">
        <f>HYPERLINK("#Liste_rouge!A"&amp;_xlfn.XMATCH("LC",Liste_rouge!A:A,2,1),"LC")</f>
        <v>LC</v>
      </c>
      <c r="V5145" s="7" t="str">
        <f>HYPERLINK("#Liste_rouge!A"&amp;_xlfn.XMATCH("NT",Liste_rouge!A:A,2,1),"NT")</f>
        <v>NT</v>
      </c>
      <c r="W5145" s="4" t="str">
        <f>HYPERLINK("#Critères_liste_rouge!A$1","pr. A2c")</f>
        <v>pr. A2c</v>
      </c>
      <c r="AH5145" s="4" t="str">
        <f>HYPERLINK("#Statut_biogéographique!A"&amp;_xlfn.XMATCH("P",Statut_biogéographique!A:A,2,1),"P")</f>
        <v>P</v>
      </c>
      <c r="AP5145" s="4" t="s">
        <v>376</v>
      </c>
      <c r="AR5145" s="4" t="s">
        <v>377</v>
      </c>
    </row>
    <row r="5146" spans="1:44">
      <c r="A5146" s="4" t="s">
        <v>5</v>
      </c>
      <c r="B5146" s="4">
        <v>39548</v>
      </c>
      <c r="D5146" s="5" t="s">
        <v>7565</v>
      </c>
      <c r="E5146" s="6" t="str">
        <f>HYPERLINK("https://inpn.mnhn.fr/espece/cd_nom/39548","Russula albonigra (Krombh.) Fr., 1874")</f>
        <v>Russula albonigra (Krombh.) Fr., 1874</v>
      </c>
      <c r="F5146" s="5" t="s">
        <v>4120</v>
      </c>
      <c r="V5146" s="7" t="str">
        <f>HYPERLINK("#Liste_rouge!A"&amp;_xlfn.XMATCH("LC",Liste_rouge!A:A,2,1),"LC")</f>
        <v>LC</v>
      </c>
      <c r="AH5146" s="4" t="str">
        <f>HYPERLINK("#Statut_biogéographique!A"&amp;_xlfn.XMATCH("P",Statut_biogéographique!A:A,2,1),"P")</f>
        <v>P</v>
      </c>
      <c r="AP5146" s="4" t="s">
        <v>376</v>
      </c>
      <c r="AR5146" s="4" t="s">
        <v>377</v>
      </c>
    </row>
    <row r="5147" spans="1:44">
      <c r="A5147" s="4" t="s">
        <v>5</v>
      </c>
      <c r="B5147" s="4">
        <v>39558</v>
      </c>
      <c r="D5147" s="5" t="s">
        <v>7566</v>
      </c>
      <c r="E5147" s="6" t="str">
        <f>HYPERLINK("https://inpn.mnhn.fr/espece/cd_nom/39558","Russula alutacea (Fr.) Fr., 1838")</f>
        <v>Russula alutacea (Fr.) Fr., 1838</v>
      </c>
      <c r="F5147" s="5" t="s">
        <v>4880</v>
      </c>
      <c r="V5147" s="7" t="str">
        <f>HYPERLINK("#Liste_rouge!A"&amp;_xlfn.XMATCH("VU",Liste_rouge!A:A,2,1),"VU")</f>
        <v>VU</v>
      </c>
      <c r="W5147" s="4" t="str">
        <f>HYPERLINK("#Critères_liste_rouge!A$1","A2c")</f>
        <v>A2c</v>
      </c>
      <c r="AH5147" s="4" t="str">
        <f>HYPERLINK("#Statut_biogéographique!A"&amp;_xlfn.XMATCH("P",Statut_biogéographique!A:A,2,1),"P")</f>
        <v>P</v>
      </c>
      <c r="AP5147" s="4" t="s">
        <v>376</v>
      </c>
      <c r="AR5147" s="4" t="s">
        <v>377</v>
      </c>
    </row>
    <row r="5148" spans="1:44">
      <c r="A5148" s="4" t="s">
        <v>5</v>
      </c>
      <c r="B5148" s="4">
        <v>39560</v>
      </c>
      <c r="D5148" s="5" t="s">
        <v>7567</v>
      </c>
      <c r="E5148" s="6" t="str">
        <f>HYPERLINK("https://inpn.mnhn.fr/espece/cd_nom/39560","Russula amara Kučera, 1927")</f>
        <v>Russula amara Kučera, 1927</v>
      </c>
      <c r="F5148" s="5" t="s">
        <v>3905</v>
      </c>
      <c r="V5148" s="7" t="str">
        <f>HYPERLINK("#Liste_rouge!A"&amp;_xlfn.XMATCH("LC",Liste_rouge!A:A,2,1),"LC")</f>
        <v>LC</v>
      </c>
      <c r="AH5148" s="4" t="str">
        <f>HYPERLINK("#Statut_biogéographique!A"&amp;_xlfn.XMATCH("P",Statut_biogéographique!A:A,2,1),"P")</f>
        <v>P</v>
      </c>
      <c r="AP5148" s="4" t="s">
        <v>376</v>
      </c>
      <c r="AR5148" s="4" t="s">
        <v>377</v>
      </c>
    </row>
    <row r="5149" spans="1:44" ht="30">
      <c r="A5149" s="4" t="s">
        <v>5</v>
      </c>
      <c r="B5149" s="4">
        <v>39564</v>
      </c>
      <c r="D5149" s="5" t="s">
        <v>7568</v>
      </c>
      <c r="E5149" s="6" t="str">
        <f>HYPERLINK("https://inpn.mnhn.fr/espece/cd_nom/39564","Russula amarissima Romagn. &amp; E.-J.Gilbert, 1943")</f>
        <v>Russula amarissima Romagn. &amp; E.-J.Gilbert, 1943</v>
      </c>
      <c r="F5149" s="5" t="s">
        <v>496</v>
      </c>
      <c r="V5149" s="7" t="str">
        <f>HYPERLINK("#Liste_rouge!A"&amp;_xlfn.XMATCH("DD",Liste_rouge!A:A,2,1),"DD")</f>
        <v>DD</v>
      </c>
      <c r="AH5149" s="4" t="str">
        <f>HYPERLINK("#Statut_biogéographique!A"&amp;_xlfn.XMATCH("P",Statut_biogéographique!A:A,2,1),"P")</f>
        <v>P</v>
      </c>
      <c r="AP5149" s="4" t="s">
        <v>376</v>
      </c>
      <c r="AR5149" s="4" t="s">
        <v>377</v>
      </c>
    </row>
    <row r="5150" spans="1:44">
      <c r="A5150" s="4" t="s">
        <v>5</v>
      </c>
      <c r="B5150" s="4">
        <v>39566</v>
      </c>
      <c r="D5150" s="5" t="s">
        <v>7569</v>
      </c>
      <c r="E5150" s="6" t="str">
        <f>HYPERLINK("https://inpn.mnhn.fr/espece/cd_nom/39566","Russula amethystina Quél., 1898")</f>
        <v>Russula amethystina Quél., 1898</v>
      </c>
      <c r="F5150" s="5" t="s">
        <v>4427</v>
      </c>
      <c r="V5150" s="7" t="str">
        <f>HYPERLINK("#Liste_rouge!A"&amp;_xlfn.XMATCH("LC",Liste_rouge!A:A,2,1),"LC")</f>
        <v>LC</v>
      </c>
      <c r="AH5150" s="4" t="str">
        <f>HYPERLINK("#Statut_biogéographique!A"&amp;_xlfn.XMATCH("P",Statut_biogéographique!A:A,2,1),"P")</f>
        <v>P</v>
      </c>
      <c r="AP5150" s="4" t="s">
        <v>376</v>
      </c>
      <c r="AR5150" s="4" t="s">
        <v>377</v>
      </c>
    </row>
    <row r="5151" spans="1:44">
      <c r="A5151" s="4" t="s">
        <v>5</v>
      </c>
      <c r="B5151" s="4">
        <v>39569</v>
      </c>
      <c r="D5151" s="5" t="s">
        <v>7570</v>
      </c>
      <c r="E5151" s="6" t="str">
        <f>HYPERLINK("https://inpn.mnhn.fr/espece/cd_nom/39569","Russula amoena Quél., 1881")</f>
        <v>Russula amoena Quél., 1881</v>
      </c>
      <c r="F5151" s="5" t="s">
        <v>2548</v>
      </c>
      <c r="V5151" s="7" t="str">
        <f>HYPERLINK("#Liste_rouge!A"&amp;_xlfn.XMATCH("LC",Liste_rouge!A:A,2,1),"LC")</f>
        <v>LC</v>
      </c>
      <c r="AH5151" s="4" t="str">
        <f>HYPERLINK("#Statut_biogéographique!A"&amp;_xlfn.XMATCH("P",Statut_biogéographique!A:A,2,1),"P")</f>
        <v>P</v>
      </c>
      <c r="AP5151" s="4" t="s">
        <v>376</v>
      </c>
      <c r="AR5151" s="4" t="s">
        <v>377</v>
      </c>
    </row>
    <row r="5152" spans="1:44">
      <c r="A5152" s="4" t="s">
        <v>5</v>
      </c>
      <c r="B5152" s="4">
        <v>39573</v>
      </c>
      <c r="D5152" s="5">
        <v>39573</v>
      </c>
      <c r="E5152" s="6" t="str">
        <f>HYPERLINK("https://inpn.mnhn.fr/espece/cd_nom/39573","Russula amoenicolor Romagn., 1962")</f>
        <v>Russula amoenicolor Romagn., 1962</v>
      </c>
      <c r="F5152" s="5" t="s">
        <v>732</v>
      </c>
      <c r="V5152" s="7" t="str">
        <f>HYPERLINK("#Liste_rouge!A"&amp;_xlfn.XMATCH("LC",Liste_rouge!A:A,2,1),"LC")</f>
        <v>LC</v>
      </c>
      <c r="AH5152" s="4" t="str">
        <f>HYPERLINK("#Statut_biogéographique!A"&amp;_xlfn.XMATCH("P",Statut_biogéographique!A:A,2,1),"P")</f>
        <v>P</v>
      </c>
      <c r="AP5152" s="4" t="s">
        <v>376</v>
      </c>
      <c r="AR5152" s="4" t="s">
        <v>377</v>
      </c>
    </row>
    <row r="5153" spans="1:44">
      <c r="A5153" s="4" t="s">
        <v>5</v>
      </c>
      <c r="B5153" s="4">
        <v>39576</v>
      </c>
      <c r="D5153" s="5" t="s">
        <v>7571</v>
      </c>
      <c r="E5153" s="6" t="str">
        <f>HYPERLINK("https://inpn.mnhn.fr/espece/cd_nom/39576","Russula amoenicolor f. olivacea Maire, 1978")</f>
        <v>Russula amoenicolor f. olivacea Maire, 1978</v>
      </c>
      <c r="AH5153" s="4" t="str">
        <f>HYPERLINK("#Statut_biogéographique!A"&amp;_xlfn.XMATCH("P",Statut_biogéographique!A:A,2,1),"P")</f>
        <v>P</v>
      </c>
      <c r="AP5153" s="4" t="s">
        <v>376</v>
      </c>
      <c r="AR5153" s="4" t="s">
        <v>377</v>
      </c>
    </row>
    <row r="5154" spans="1:44">
      <c r="A5154" s="4" t="s">
        <v>5</v>
      </c>
      <c r="B5154" s="4">
        <v>39579</v>
      </c>
      <c r="D5154" s="5">
        <v>39579</v>
      </c>
      <c r="E5154" s="6" t="str">
        <f>HYPERLINK("https://inpn.mnhn.fr/espece/cd_nom/39579","Russula amoenolens Romagn., 1952")</f>
        <v>Russula amoenolens Romagn., 1952</v>
      </c>
      <c r="F5154" s="5" t="s">
        <v>4039</v>
      </c>
      <c r="V5154" s="7" t="str">
        <f>HYPERLINK("#Liste_rouge!A"&amp;_xlfn.XMATCH("LC",Liste_rouge!A:A,2,1),"LC")</f>
        <v>LC</v>
      </c>
      <c r="AH5154" s="4" t="str">
        <f>HYPERLINK("#Statut_biogéographique!A"&amp;_xlfn.XMATCH("P",Statut_biogéographique!A:A,2,1),"P")</f>
        <v>P</v>
      </c>
      <c r="AP5154" s="4" t="s">
        <v>376</v>
      </c>
      <c r="AR5154" s="4" t="s">
        <v>377</v>
      </c>
    </row>
    <row r="5155" spans="1:44">
      <c r="A5155" s="4" t="s">
        <v>5</v>
      </c>
      <c r="B5155" s="4">
        <v>39584</v>
      </c>
      <c r="D5155" s="5">
        <v>39584</v>
      </c>
      <c r="E5155" s="6" t="str">
        <f>HYPERLINK("https://inpn.mnhn.fr/espece/cd_nom/39584","Russula anatina Romagn., 1967")</f>
        <v>Russula anatina Romagn., 1967</v>
      </c>
      <c r="F5155" s="5" t="s">
        <v>4581</v>
      </c>
      <c r="V5155" s="7" t="str">
        <f>HYPERLINK("#Liste_rouge!A"&amp;_xlfn.XMATCH("EN",Liste_rouge!A:A,2,1),"EN")</f>
        <v>EN</v>
      </c>
      <c r="W5155" s="4" t="str">
        <f>HYPERLINK("#Critères_liste_rouge!A$1","B2abiii")</f>
        <v>B2abiii</v>
      </c>
      <c r="AH5155" s="4" t="str">
        <f>HYPERLINK("#Statut_biogéographique!A"&amp;_xlfn.XMATCH("P",Statut_biogéographique!A:A,2,1),"P")</f>
        <v>P</v>
      </c>
      <c r="AP5155" s="4" t="s">
        <v>376</v>
      </c>
      <c r="AR5155" s="4" t="s">
        <v>377</v>
      </c>
    </row>
    <row r="5156" spans="1:44">
      <c r="A5156" s="4" t="s">
        <v>5</v>
      </c>
      <c r="B5156" s="4">
        <v>39587</v>
      </c>
      <c r="D5156" s="5">
        <v>39587</v>
      </c>
      <c r="E5156" s="6" t="str">
        <f>HYPERLINK("https://inpn.mnhn.fr/espece/cd_nom/39587","Russula anthracina Romagn., 1962")</f>
        <v>Russula anthracina Romagn., 1962</v>
      </c>
      <c r="F5156" s="5" t="s">
        <v>1352</v>
      </c>
      <c r="V5156" s="7" t="str">
        <f>HYPERLINK("#Liste_rouge!A"&amp;_xlfn.XMATCH("LC",Liste_rouge!A:A,2,1),"LC")</f>
        <v>LC</v>
      </c>
      <c r="AH5156" s="4" t="str">
        <f>HYPERLINK("#Statut_biogéographique!A"&amp;_xlfn.XMATCH("P",Statut_biogéographique!A:A,2,1),"P")</f>
        <v>P</v>
      </c>
      <c r="AP5156" s="4" t="s">
        <v>376</v>
      </c>
      <c r="AR5156" s="4" t="s">
        <v>377</v>
      </c>
    </row>
    <row r="5157" spans="1:44" ht="30">
      <c r="A5157" s="4" t="s">
        <v>5</v>
      </c>
      <c r="B5157" s="4">
        <v>39589</v>
      </c>
      <c r="D5157" s="5">
        <v>39589</v>
      </c>
      <c r="E5157" s="6" t="str">
        <f>HYPERLINK("https://inpn.mnhn.fr/espece/cd_nom/39589","Russula anthracina var. carneifolia Romagn., 1962")</f>
        <v>Russula anthracina var. carneifolia Romagn., 1962</v>
      </c>
      <c r="F5157" s="5" t="s">
        <v>7572</v>
      </c>
      <c r="V5157" s="7" t="str">
        <f>HYPERLINK("#Liste_rouge!A"&amp;_xlfn.XMATCH("LC",Liste_rouge!A:A,2,1),"LC")</f>
        <v>LC</v>
      </c>
      <c r="AH5157" s="4" t="str">
        <f>HYPERLINK("#Statut_biogéographique!A"&amp;_xlfn.XMATCH("P",Statut_biogéographique!A:A,2,1),"P")</f>
        <v>P</v>
      </c>
      <c r="AP5157" s="4" t="s">
        <v>376</v>
      </c>
      <c r="AR5157" s="4" t="s">
        <v>377</v>
      </c>
    </row>
    <row r="5158" spans="1:44">
      <c r="A5158" s="4" t="s">
        <v>5</v>
      </c>
      <c r="B5158" s="4">
        <v>39590</v>
      </c>
      <c r="D5158" s="5">
        <v>39590</v>
      </c>
      <c r="E5158" s="6" t="str">
        <f>HYPERLINK("https://inpn.mnhn.fr/espece/cd_nom/39590","Russula anthracina var. insipida Romagn.")</f>
        <v>Russula anthracina var. insipida Romagn.</v>
      </c>
      <c r="F5158" s="5" t="s">
        <v>3101</v>
      </c>
      <c r="V5158" s="7" t="str">
        <f>HYPERLINK("#Liste_rouge!A"&amp;_xlfn.XMATCH("LC",Liste_rouge!A:A,2,1),"LC")</f>
        <v>LC</v>
      </c>
      <c r="AH5158" s="4" t="str">
        <f>HYPERLINK("#Statut_biogéographique!A"&amp;_xlfn.XMATCH("P",Statut_biogéographique!A:A,2,1),"P")</f>
        <v>P</v>
      </c>
      <c r="AP5158" s="4" t="s">
        <v>376</v>
      </c>
      <c r="AR5158" s="4" t="s">
        <v>377</v>
      </c>
    </row>
    <row r="5159" spans="1:44">
      <c r="A5159" s="4" t="s">
        <v>5</v>
      </c>
      <c r="B5159" s="4">
        <v>39595</v>
      </c>
      <c r="D5159" s="5" t="s">
        <v>7573</v>
      </c>
      <c r="E5159" s="6" t="str">
        <f>HYPERLINK("https://inpn.mnhn.fr/espece/cd_nom/39595","Russula aquosa Leclair, 1933")</f>
        <v>Russula aquosa Leclair, 1933</v>
      </c>
      <c r="F5159" s="5" t="s">
        <v>2731</v>
      </c>
      <c r="V5159" s="7" t="str">
        <f>HYPERLINK("#Liste_rouge!A"&amp;_xlfn.XMATCH("EN",Liste_rouge!A:A,2,1),"EN")</f>
        <v>EN</v>
      </c>
      <c r="W5159" s="4" t="str">
        <f>HYPERLINK("#Critères_liste_rouge!A$1","A2c")</f>
        <v>A2c</v>
      </c>
      <c r="AH5159" s="4" t="str">
        <f>HYPERLINK("#Statut_biogéographique!A"&amp;_xlfn.XMATCH("P",Statut_biogéographique!A:A,2,1),"P")</f>
        <v>P</v>
      </c>
      <c r="AP5159" s="4" t="s">
        <v>376</v>
      </c>
      <c r="AR5159" s="4" t="s">
        <v>377</v>
      </c>
    </row>
    <row r="5160" spans="1:44">
      <c r="A5160" s="4" t="s">
        <v>5</v>
      </c>
      <c r="B5160" s="4">
        <v>39598</v>
      </c>
      <c r="D5160" s="5" t="s">
        <v>7574</v>
      </c>
      <c r="E5160" s="6" t="str">
        <f>HYPERLINK("https://inpn.mnhn.fr/espece/cd_nom/39598","Russula artesiana Bon, 1984")</f>
        <v>Russula artesiana Bon, 1984</v>
      </c>
      <c r="F5160" s="5" t="s">
        <v>7575</v>
      </c>
      <c r="V5160" s="7" t="str">
        <f>HYPERLINK("#Liste_rouge!A"&amp;_xlfn.XMATCH("LC",Liste_rouge!A:A,2,1),"LC")</f>
        <v>LC</v>
      </c>
      <c r="AH5160" s="4" t="str">
        <f>HYPERLINK("#Statut_biogéographique!A"&amp;_xlfn.XMATCH("P",Statut_biogéographique!A:A,2,1),"P")</f>
        <v>P</v>
      </c>
      <c r="AP5160" s="4" t="s">
        <v>376</v>
      </c>
      <c r="AR5160" s="4" t="s">
        <v>377</v>
      </c>
    </row>
    <row r="5161" spans="1:44">
      <c r="A5161" s="4" t="s">
        <v>5</v>
      </c>
      <c r="B5161" s="4">
        <v>39602</v>
      </c>
      <c r="D5161" s="5">
        <v>39602</v>
      </c>
      <c r="E5161" s="6" t="str">
        <f>HYPERLINK("https://inpn.mnhn.fr/espece/cd_nom/39602","Russula atrorubens Quél., 1898")</f>
        <v>Russula atrorubens Quél., 1898</v>
      </c>
      <c r="F5161" s="5" t="s">
        <v>1600</v>
      </c>
      <c r="V5161" s="7" t="str">
        <f>HYPERLINK("#Liste_rouge!A"&amp;_xlfn.XMATCH("NT",Liste_rouge!A:A,2,1),"NT")</f>
        <v>NT</v>
      </c>
      <c r="W5161" s="4" t="str">
        <f>HYPERLINK("#Critères_liste_rouge!A$1","pr. B2abiii")</f>
        <v>pr. B2abiii</v>
      </c>
      <c r="AH5161" s="4" t="str">
        <f>HYPERLINK("#Statut_biogéographique!A"&amp;_xlfn.XMATCH("P",Statut_biogéographique!A:A,2,1),"P")</f>
        <v>P</v>
      </c>
      <c r="AP5161" s="4" t="s">
        <v>376</v>
      </c>
      <c r="AR5161" s="4" t="s">
        <v>377</v>
      </c>
    </row>
    <row r="5162" spans="1:44">
      <c r="A5162" s="4" t="s">
        <v>5</v>
      </c>
      <c r="B5162" s="4">
        <v>39605</v>
      </c>
      <c r="D5162" s="5" t="s">
        <v>7576</v>
      </c>
      <c r="E5162" s="6" t="str">
        <f>HYPERLINK("https://inpn.mnhn.fr/espece/cd_nom/39605","Russula aurea Pers., 1796")</f>
        <v>Russula aurea Pers., 1796</v>
      </c>
      <c r="F5162" s="5" t="s">
        <v>7577</v>
      </c>
      <c r="V5162" s="7" t="str">
        <f>HYPERLINK("#Liste_rouge!A"&amp;_xlfn.XMATCH("LC",Liste_rouge!A:A,2,1),"LC")</f>
        <v>LC</v>
      </c>
      <c r="AH5162" s="4" t="str">
        <f>HYPERLINK("#Statut_biogéographique!A"&amp;_xlfn.XMATCH("P",Statut_biogéographique!A:A,2,1),"P")</f>
        <v>P</v>
      </c>
      <c r="AP5162" s="4" t="s">
        <v>376</v>
      </c>
      <c r="AR5162" s="4" t="s">
        <v>377</v>
      </c>
    </row>
    <row r="5163" spans="1:44" ht="30">
      <c r="A5163" s="4" t="s">
        <v>5</v>
      </c>
      <c r="B5163" s="4">
        <v>39608</v>
      </c>
      <c r="D5163" s="5" t="s">
        <v>7578</v>
      </c>
      <c r="E5163" s="6" t="str">
        <f>HYPERLINK("https://inpn.mnhn.fr/espece/cd_nom/39608","Russula aurea var. axantha (Romagn.) Bon, 1987")</f>
        <v>Russula aurea var. axantha (Romagn.) Bon, 1987</v>
      </c>
      <c r="F5163" s="5" t="s">
        <v>7577</v>
      </c>
      <c r="AH5163" s="4" t="str">
        <f>HYPERLINK("#Statut_biogéographique!A"&amp;_xlfn.XMATCH("P",Statut_biogéographique!A:A,2,1),"P")</f>
        <v>P</v>
      </c>
      <c r="AP5163" s="4" t="s">
        <v>376</v>
      </c>
      <c r="AR5163" s="4" t="s">
        <v>377</v>
      </c>
    </row>
    <row r="5164" spans="1:44">
      <c r="A5164" s="4" t="s">
        <v>5</v>
      </c>
      <c r="B5164" s="4">
        <v>39610</v>
      </c>
      <c r="D5164" s="5" t="s">
        <v>7579</v>
      </c>
      <c r="E5164" s="6" t="str">
        <f>HYPERLINK("https://inpn.mnhn.fr/espece/cd_nom/39610","Russula aurora Krombh., 1836")</f>
        <v>Russula aurora Krombh., 1836</v>
      </c>
      <c r="F5164" s="5" t="s">
        <v>7580</v>
      </c>
      <c r="V5164" s="7" t="str">
        <f>HYPERLINK("#Liste_rouge!A"&amp;_xlfn.XMATCH("LC",Liste_rouge!A:A,2,1),"LC")</f>
        <v>LC</v>
      </c>
      <c r="AH5164" s="4" t="str">
        <f>HYPERLINK("#Statut_biogéographique!A"&amp;_xlfn.XMATCH("P",Statut_biogéographique!A:A,2,1),"P")</f>
        <v>P</v>
      </c>
      <c r="AP5164" s="4" t="s">
        <v>376</v>
      </c>
      <c r="AR5164" s="4" t="s">
        <v>377</v>
      </c>
    </row>
    <row r="5165" spans="1:44">
      <c r="A5165" s="4" t="s">
        <v>5</v>
      </c>
      <c r="B5165" s="4">
        <v>39620</v>
      </c>
      <c r="D5165" s="5">
        <v>39620</v>
      </c>
      <c r="E5165" s="6" t="str">
        <f>HYPERLINK("https://inpn.mnhn.fr/espece/cd_nom/39620","Russula azurea Bres., 1882")</f>
        <v>Russula azurea Bres., 1882</v>
      </c>
      <c r="F5165" s="5" t="s">
        <v>1515</v>
      </c>
      <c r="V5165" s="7" t="str">
        <f>HYPERLINK("#Liste_rouge!A"&amp;_xlfn.XMATCH("EN",Liste_rouge!A:A,2,1),"EN")</f>
        <v>EN</v>
      </c>
      <c r="W5165" s="4" t="str">
        <f>HYPERLINK("#Critères_liste_rouge!A$1","A2c")</f>
        <v>A2c</v>
      </c>
      <c r="AH5165" s="4" t="str">
        <f>HYPERLINK("#Statut_biogéographique!A"&amp;_xlfn.XMATCH("P",Statut_biogéographique!A:A,2,1),"P")</f>
        <v>P</v>
      </c>
      <c r="AP5165" s="4" t="s">
        <v>376</v>
      </c>
      <c r="AR5165" s="4" t="s">
        <v>377</v>
      </c>
    </row>
    <row r="5166" spans="1:44">
      <c r="A5166" s="4" t="s">
        <v>5</v>
      </c>
      <c r="B5166" s="4">
        <v>39621</v>
      </c>
      <c r="D5166" s="5" t="s">
        <v>7581</v>
      </c>
      <c r="E5166" s="6" t="str">
        <f>HYPERLINK("https://inpn.mnhn.fr/espece/cd_nom/39621","Russula badia Quél., 1881")</f>
        <v>Russula badia Quél., 1881</v>
      </c>
      <c r="F5166" s="5" t="s">
        <v>7582</v>
      </c>
      <c r="V5166" s="7" t="str">
        <f>HYPERLINK("#Liste_rouge!A"&amp;_xlfn.XMATCH("LC",Liste_rouge!A:A,2,1),"LC")</f>
        <v>LC</v>
      </c>
      <c r="AH5166" s="4" t="str">
        <f>HYPERLINK("#Statut_biogéographique!A"&amp;_xlfn.XMATCH("P",Statut_biogéographique!A:A,2,1),"P")</f>
        <v>P</v>
      </c>
      <c r="AP5166" s="4" t="s">
        <v>376</v>
      </c>
      <c r="AR5166" s="4" t="s">
        <v>377</v>
      </c>
    </row>
    <row r="5167" spans="1:44">
      <c r="A5167" s="4" t="s">
        <v>5</v>
      </c>
      <c r="B5167" s="4">
        <v>39633</v>
      </c>
      <c r="D5167" s="5" t="s">
        <v>7583</v>
      </c>
      <c r="E5167" s="6" t="str">
        <f>HYPERLINK("https://inpn.mnhn.fr/espece/cd_nom/39633","Russula laeta Jul.Schäff., 1952")</f>
        <v>Russula laeta Jul.Schäff., 1952</v>
      </c>
      <c r="F5167" s="5" t="s">
        <v>1338</v>
      </c>
      <c r="V5167" s="7" t="str">
        <f>HYPERLINK("#Liste_rouge!A"&amp;_xlfn.XMATCH("EN",Liste_rouge!A:A,2,1),"EN")</f>
        <v>EN</v>
      </c>
      <c r="W5167" s="4" t="str">
        <f>HYPERLINK("#Critères_liste_rouge!A$1","B2abiii")</f>
        <v>B2abiii</v>
      </c>
      <c r="AH5167" s="4" t="str">
        <f>HYPERLINK("#Statut_biogéographique!A"&amp;_xlfn.XMATCH("P",Statut_biogéographique!A:A,2,1),"P")</f>
        <v>P</v>
      </c>
      <c r="AP5167" s="4" t="s">
        <v>376</v>
      </c>
      <c r="AR5167" s="4" t="s">
        <v>377</v>
      </c>
    </row>
    <row r="5168" spans="1:44">
      <c r="A5168" s="4" t="s">
        <v>5</v>
      </c>
      <c r="B5168" s="4">
        <v>39636</v>
      </c>
      <c r="D5168" s="5" t="s">
        <v>7584</v>
      </c>
      <c r="E5168" s="6" t="str">
        <f>HYPERLINK("https://inpn.mnhn.fr/espece/cd_nom/39636","Russula brunneoviolacea Crawshay, 1930")</f>
        <v>Russula brunneoviolacea Crawshay, 1930</v>
      </c>
      <c r="F5168" s="5" t="s">
        <v>1099</v>
      </c>
      <c r="V5168" s="7" t="str">
        <f>HYPERLINK("#Liste_rouge!A"&amp;_xlfn.XMATCH("LC",Liste_rouge!A:A,2,1),"LC")</f>
        <v>LC</v>
      </c>
      <c r="AH5168" s="4" t="str">
        <f>HYPERLINK("#Statut_biogéographique!A"&amp;_xlfn.XMATCH("P",Statut_biogéographique!A:A,2,1),"P")</f>
        <v>P</v>
      </c>
      <c r="AP5168" s="4" t="s">
        <v>376</v>
      </c>
      <c r="AR5168" s="4" t="s">
        <v>377</v>
      </c>
    </row>
    <row r="5169" spans="1:44">
      <c r="A5169" s="4" t="s">
        <v>5</v>
      </c>
      <c r="B5169" s="4">
        <v>39646</v>
      </c>
      <c r="D5169" s="5">
        <v>39646</v>
      </c>
      <c r="E5169" s="6" t="str">
        <f>HYPERLINK("https://inpn.mnhn.fr/espece/cd_nom/39646","Russula carminipes J.Blum, 1954")</f>
        <v>Russula carminipes J.Blum, 1954</v>
      </c>
      <c r="F5169" s="5" t="s">
        <v>3946</v>
      </c>
      <c r="V5169" s="7" t="str">
        <f>HYPERLINK("#Liste_rouge!A"&amp;_xlfn.XMATCH("NT",Liste_rouge!A:A,2,1),"NT")</f>
        <v>NT</v>
      </c>
      <c r="W5169" s="4" t="str">
        <f>HYPERLINK("#Critères_liste_rouge!A$1","pr. B2abiii")</f>
        <v>pr. B2abiii</v>
      </c>
      <c r="AH5169" s="4" t="str">
        <f>HYPERLINK("#Statut_biogéographique!A"&amp;_xlfn.XMATCH("P",Statut_biogéographique!A:A,2,1),"P")</f>
        <v>P</v>
      </c>
      <c r="AP5169" s="4" t="s">
        <v>376</v>
      </c>
      <c r="AR5169" s="4" t="s">
        <v>377</v>
      </c>
    </row>
    <row r="5170" spans="1:44">
      <c r="A5170" s="4" t="s">
        <v>5</v>
      </c>
      <c r="B5170" s="4">
        <v>39647</v>
      </c>
      <c r="D5170" s="5">
        <v>39647</v>
      </c>
      <c r="E5170" s="6" t="str">
        <f>HYPERLINK("https://inpn.mnhn.fr/espece/cd_nom/39647","Russula carpini R.Girard &amp; Heinem., 1956")</f>
        <v>Russula carpini R.Girard &amp; Heinem., 1956</v>
      </c>
      <c r="F5170" s="5" t="s">
        <v>3566</v>
      </c>
      <c r="V5170" s="7" t="str">
        <f>HYPERLINK("#Liste_rouge!A"&amp;_xlfn.XMATCH("NT",Liste_rouge!A:A,2,1),"NT")</f>
        <v>NT</v>
      </c>
      <c r="W5170" s="4" t="str">
        <f>HYPERLINK("#Critères_liste_rouge!A$1","pr. B2abiii")</f>
        <v>pr. B2abiii</v>
      </c>
      <c r="AH5170" s="4" t="str">
        <f>HYPERLINK("#Statut_biogéographique!A"&amp;_xlfn.XMATCH("P",Statut_biogéographique!A:A,2,1),"P")</f>
        <v>P</v>
      </c>
      <c r="AP5170" s="4" t="s">
        <v>376</v>
      </c>
      <c r="AR5170" s="4" t="s">
        <v>377</v>
      </c>
    </row>
    <row r="5171" spans="1:44" ht="30">
      <c r="A5171" s="4" t="s">
        <v>5</v>
      </c>
      <c r="B5171" s="4">
        <v>39652</v>
      </c>
      <c r="D5171" s="5" t="s">
        <v>7585</v>
      </c>
      <c r="E5171" s="6" t="str">
        <f>HYPERLINK("https://inpn.mnhn.fr/espece/cd_nom/39652","Russula chloroides (Krombh.) Bres., 1900")</f>
        <v>Russula chloroides (Krombh.) Bres., 1900</v>
      </c>
      <c r="F5171" s="5" t="s">
        <v>4759</v>
      </c>
      <c r="V5171" s="7" t="str">
        <f>HYPERLINK("#Liste_rouge!A"&amp;_xlfn.XMATCH("LC",Liste_rouge!A:A,2,1),"LC")</f>
        <v>LC</v>
      </c>
      <c r="AH5171" s="4" t="str">
        <f>HYPERLINK("#Statut_biogéographique!A"&amp;_xlfn.XMATCH("P",Statut_biogéographique!A:A,2,1),"P")</f>
        <v>P</v>
      </c>
      <c r="AP5171" s="4" t="s">
        <v>376</v>
      </c>
      <c r="AR5171" s="4" t="s">
        <v>377</v>
      </c>
    </row>
    <row r="5172" spans="1:44">
      <c r="A5172" s="4" t="s">
        <v>5</v>
      </c>
      <c r="B5172" s="4">
        <v>39656</v>
      </c>
      <c r="D5172" s="5" t="s">
        <v>7586</v>
      </c>
      <c r="E5172" s="6" t="str">
        <f>HYPERLINK("https://inpn.mnhn.fr/espece/cd_nom/39656","Russula cicatricata Romagn. ex Bon, 1987")</f>
        <v>Russula cicatricata Romagn. ex Bon, 1987</v>
      </c>
      <c r="F5172" s="5" t="s">
        <v>7587</v>
      </c>
      <c r="V5172" s="7" t="str">
        <f>HYPERLINK("#Liste_rouge!A"&amp;_xlfn.XMATCH("NT",Liste_rouge!A:A,2,1),"NT")</f>
        <v>NT</v>
      </c>
      <c r="W5172" s="4" t="str">
        <f>HYPERLINK("#Critères_liste_rouge!A$1","pr. B2abiii")</f>
        <v>pr. B2abiii</v>
      </c>
      <c r="AH5172" s="4" t="str">
        <f>HYPERLINK("#Statut_biogéographique!A"&amp;_xlfn.XMATCH("P",Statut_biogéographique!A:A,2,1),"P")</f>
        <v>P</v>
      </c>
      <c r="AP5172" s="4" t="s">
        <v>376</v>
      </c>
      <c r="AR5172" s="4" t="s">
        <v>377</v>
      </c>
    </row>
    <row r="5173" spans="1:44">
      <c r="A5173" s="4" t="s">
        <v>5</v>
      </c>
      <c r="B5173" s="4">
        <v>39664</v>
      </c>
      <c r="D5173" s="5" t="s">
        <v>7588</v>
      </c>
      <c r="E5173" s="6" t="str">
        <f>HYPERLINK("https://inpn.mnhn.fr/espece/cd_nom/39664","Russula claroflava Grove, 1888")</f>
        <v>Russula claroflava Grove, 1888</v>
      </c>
      <c r="F5173" s="5" t="s">
        <v>1687</v>
      </c>
      <c r="O5173" s="7" t="str">
        <f>HYPERLINK("#Liste_rouge!A"&amp;_xlfn.XMATCH("LC",Liste_rouge!A:A,2,1),"LC")</f>
        <v>LC</v>
      </c>
      <c r="V5173" s="7" t="str">
        <f>HYPERLINK("#Liste_rouge!A"&amp;_xlfn.XMATCH("VU",Liste_rouge!A:A,2,1),"VU")</f>
        <v>VU</v>
      </c>
      <c r="W5173" s="4" t="str">
        <f>HYPERLINK("#Critères_liste_rouge!A$1","A2c")</f>
        <v>A2c</v>
      </c>
      <c r="AH5173" s="4" t="str">
        <f>HYPERLINK("#Statut_biogéographique!A"&amp;_xlfn.XMATCH("P",Statut_biogéographique!A:A,2,1),"P")</f>
        <v>P</v>
      </c>
      <c r="AP5173" s="4" t="s">
        <v>376</v>
      </c>
      <c r="AR5173" s="4" t="s">
        <v>377</v>
      </c>
    </row>
    <row r="5174" spans="1:44">
      <c r="A5174" s="4" t="s">
        <v>5</v>
      </c>
      <c r="B5174" s="4">
        <v>39668</v>
      </c>
      <c r="D5174" s="5" t="s">
        <v>7589</v>
      </c>
      <c r="E5174" s="6" t="str">
        <f>HYPERLINK("https://inpn.mnhn.fr/espece/cd_nom/39668","Russula consobrina (Fr.) Fr., 1838")</f>
        <v>Russula consobrina (Fr.) Fr., 1838</v>
      </c>
      <c r="F5174" s="5" t="s">
        <v>3279</v>
      </c>
      <c r="V5174" s="7" t="str">
        <f>HYPERLINK("#Liste_rouge!A"&amp;_xlfn.XMATCH("VU",Liste_rouge!A:A,2,1),"VU")</f>
        <v>VU</v>
      </c>
      <c r="W5174" s="4" t="str">
        <f>HYPERLINK("#Critères_liste_rouge!A$1","B2abiii")</f>
        <v>B2abiii</v>
      </c>
      <c r="AH5174" s="4" t="str">
        <f>HYPERLINK("#Statut_biogéographique!A"&amp;_xlfn.XMATCH("P",Statut_biogéographique!A:A,2,1),"P")</f>
        <v>P</v>
      </c>
      <c r="AP5174" s="4" t="s">
        <v>376</v>
      </c>
      <c r="AR5174" s="4" t="s">
        <v>377</v>
      </c>
    </row>
    <row r="5175" spans="1:44">
      <c r="A5175" s="4" t="s">
        <v>5</v>
      </c>
      <c r="B5175" s="4">
        <v>39669</v>
      </c>
      <c r="D5175" s="5">
        <v>39669</v>
      </c>
      <c r="E5175" s="6" t="str">
        <f>HYPERLINK("https://inpn.mnhn.fr/espece/cd_nom/39669","Russula cremeoavellanea Singer, 1936")</f>
        <v>Russula cremeoavellanea Singer, 1936</v>
      </c>
      <c r="F5175" s="5" t="s">
        <v>3313</v>
      </c>
      <c r="V5175" s="7" t="str">
        <f>HYPERLINK("#Liste_rouge!A"&amp;_xlfn.XMATCH("DD",Liste_rouge!A:A,2,1),"DD")</f>
        <v>DD</v>
      </c>
      <c r="AH5175" s="4" t="str">
        <f>HYPERLINK("#Statut_biogéographique!A"&amp;_xlfn.XMATCH("P",Statut_biogéographique!A:A,2,1),"P")</f>
        <v>P</v>
      </c>
      <c r="AP5175" s="4" t="s">
        <v>376</v>
      </c>
      <c r="AR5175" s="4" t="s">
        <v>377</v>
      </c>
    </row>
    <row r="5176" spans="1:44">
      <c r="A5176" s="4" t="s">
        <v>5</v>
      </c>
      <c r="B5176" s="4">
        <v>39671</v>
      </c>
      <c r="D5176" s="5" t="s">
        <v>7590</v>
      </c>
      <c r="E5176" s="6" t="str">
        <f>HYPERLINK("https://inpn.mnhn.fr/espece/cd_nom/39671","Russula cuprea Krombh., 1845")</f>
        <v>Russula cuprea Krombh., 1845</v>
      </c>
      <c r="F5176" s="5" t="s">
        <v>3903</v>
      </c>
      <c r="V5176" s="7" t="str">
        <f>HYPERLINK("#Liste_rouge!A"&amp;_xlfn.XMATCH("VU",Liste_rouge!A:A,2,1),"VU")</f>
        <v>VU</v>
      </c>
      <c r="W5176" s="4" t="str">
        <f>HYPERLINK("#Critères_liste_rouge!A$1","D2")</f>
        <v>D2</v>
      </c>
      <c r="AH5176" s="4" t="str">
        <f>HYPERLINK("#Statut_biogéographique!A"&amp;_xlfn.XMATCH("P",Statut_biogéographique!A:A,2,1),"P")</f>
        <v>P</v>
      </c>
      <c r="AP5176" s="4" t="s">
        <v>376</v>
      </c>
      <c r="AR5176" s="4" t="s">
        <v>377</v>
      </c>
    </row>
    <row r="5177" spans="1:44" ht="30">
      <c r="A5177" s="4" t="s">
        <v>5</v>
      </c>
      <c r="B5177" s="4">
        <v>39676</v>
      </c>
      <c r="D5177" s="5">
        <v>39676</v>
      </c>
      <c r="E5177" s="6" t="str">
        <f>HYPERLINK("https://inpn.mnhn.fr/espece/cd_nom/39676","Russula curtipes F.H.Møller &amp; Jul.Schäff., 1935")</f>
        <v>Russula curtipes F.H.Møller &amp; Jul.Schäff., 1935</v>
      </c>
      <c r="F5177" s="5" t="s">
        <v>4679</v>
      </c>
      <c r="V5177" s="7" t="str">
        <f>HYPERLINK("#Liste_rouge!A"&amp;_xlfn.XMATCH("EN",Liste_rouge!A:A,2,1),"EN")</f>
        <v>EN</v>
      </c>
      <c r="W5177" s="4" t="str">
        <f>HYPERLINK("#Critères_liste_rouge!A$1","B2abiii")</f>
        <v>B2abiii</v>
      </c>
      <c r="AH5177" s="4" t="str">
        <f>HYPERLINK("#Statut_biogéographique!A"&amp;_xlfn.XMATCH("P",Statut_biogéographique!A:A,2,1),"P")</f>
        <v>P</v>
      </c>
      <c r="AP5177" s="4" t="s">
        <v>376</v>
      </c>
      <c r="AR5177" s="4" t="s">
        <v>377</v>
      </c>
    </row>
    <row r="5178" spans="1:44">
      <c r="A5178" s="4" t="s">
        <v>5</v>
      </c>
      <c r="B5178" s="4">
        <v>39678</v>
      </c>
      <c r="D5178" s="5" t="s">
        <v>7591</v>
      </c>
      <c r="E5178" s="6" t="str">
        <f>HYPERLINK("https://inpn.mnhn.fr/espece/cd_nom/39678","Russula cutefracta Cooke, 1881")</f>
        <v>Russula cutefracta Cooke, 1881</v>
      </c>
      <c r="F5178" s="5" t="s">
        <v>7592</v>
      </c>
      <c r="V5178" s="7" t="str">
        <f>HYPERLINK("#Liste_rouge!A"&amp;_xlfn.XMATCH("LC",Liste_rouge!A:A,2,1),"LC")</f>
        <v>LC</v>
      </c>
      <c r="AH5178" s="4" t="str">
        <f>HYPERLINK("#Statut_biogéographique!A"&amp;_xlfn.XMATCH("P",Statut_biogéographique!A:A,2,1),"P")</f>
        <v>P</v>
      </c>
      <c r="AP5178" s="4" t="s">
        <v>376</v>
      </c>
      <c r="AR5178" s="4" t="s">
        <v>377</v>
      </c>
    </row>
    <row r="5179" spans="1:44">
      <c r="A5179" s="4" t="s">
        <v>5</v>
      </c>
      <c r="B5179" s="4">
        <v>39680</v>
      </c>
      <c r="D5179" s="5" t="s">
        <v>7593</v>
      </c>
      <c r="E5179" s="6" t="str">
        <f>HYPERLINK("https://inpn.mnhn.fr/espece/cd_nom/39680","Russula cyanoxantha (Schaeff.) Fr., 1863")</f>
        <v>Russula cyanoxantha (Schaeff.) Fr., 1863</v>
      </c>
      <c r="F5179" s="5" t="s">
        <v>2098</v>
      </c>
      <c r="V5179" s="7" t="str">
        <f>HYPERLINK("#Liste_rouge!A"&amp;_xlfn.XMATCH("LC",Liste_rouge!A:A,2,1),"LC")</f>
        <v>LC</v>
      </c>
      <c r="AH5179" s="4" t="str">
        <f>HYPERLINK("#Statut_biogéographique!A"&amp;_xlfn.XMATCH("P",Statut_biogéographique!A:A,2,1),"P")</f>
        <v>P</v>
      </c>
      <c r="AP5179" s="4" t="s">
        <v>376</v>
      </c>
      <c r="AR5179" s="4" t="s">
        <v>377</v>
      </c>
    </row>
    <row r="5180" spans="1:44" ht="30">
      <c r="A5180" s="4" t="s">
        <v>5</v>
      </c>
      <c r="B5180" s="4">
        <v>39683</v>
      </c>
      <c r="D5180" s="5" t="s">
        <v>7594</v>
      </c>
      <c r="E5180" s="6" t="str">
        <f>HYPERLINK("https://inpn.mnhn.fr/espece/cd_nom/39683","Russula decipiens (Singer) Kühner &amp; Romagn., 1953")</f>
        <v>Russula decipiens (Singer) Kühner &amp; Romagn., 1953</v>
      </c>
      <c r="F5180" s="5" t="s">
        <v>4066</v>
      </c>
      <c r="V5180" s="7" t="str">
        <f>HYPERLINK("#Liste_rouge!A"&amp;_xlfn.XMATCH("NT",Liste_rouge!A:A,2,1),"NT")</f>
        <v>NT</v>
      </c>
      <c r="W5180" s="4" t="str">
        <f>HYPERLINK("#Critères_liste_rouge!A$1","pr. B2abiii")</f>
        <v>pr. B2abiii</v>
      </c>
      <c r="AH5180" s="4" t="str">
        <f>HYPERLINK("#Statut_biogéographique!A"&amp;_xlfn.XMATCH("P",Statut_biogéographique!A:A,2,1),"P")</f>
        <v>P</v>
      </c>
      <c r="AP5180" s="4" t="s">
        <v>376</v>
      </c>
      <c r="AR5180" s="4" t="s">
        <v>377</v>
      </c>
    </row>
    <row r="5181" spans="1:44">
      <c r="A5181" s="4" t="s">
        <v>5</v>
      </c>
      <c r="B5181" s="4">
        <v>39685</v>
      </c>
      <c r="D5181" s="5" t="s">
        <v>7595</v>
      </c>
      <c r="E5181" s="6" t="str">
        <f>HYPERLINK("https://inpn.mnhn.fr/espece/cd_nom/39685","Russula decolorans (Fr.) Fr., 1838")</f>
        <v>Russula decolorans (Fr.) Fr., 1838</v>
      </c>
      <c r="F5181" s="5" t="s">
        <v>2683</v>
      </c>
      <c r="O5181" s="7" t="str">
        <f>HYPERLINK("#Liste_rouge!A"&amp;_xlfn.XMATCH("LC",Liste_rouge!A:A,2,1),"LC")</f>
        <v>LC</v>
      </c>
      <c r="V5181" s="7" t="str">
        <f>HYPERLINK("#Liste_rouge!A"&amp;_xlfn.XMATCH("VU",Liste_rouge!A:A,2,1),"VU")</f>
        <v>VU</v>
      </c>
      <c r="W5181" s="4" t="str">
        <f>HYPERLINK("#Critères_liste_rouge!A$1","A2c")</f>
        <v>A2c</v>
      </c>
      <c r="AH5181" s="4" t="str">
        <f>HYPERLINK("#Statut_biogéographique!A"&amp;_xlfn.XMATCH("P",Statut_biogéographique!A:A,2,1),"P")</f>
        <v>P</v>
      </c>
      <c r="AP5181" s="4" t="s">
        <v>376</v>
      </c>
      <c r="AR5181" s="4" t="s">
        <v>377</v>
      </c>
    </row>
    <row r="5182" spans="1:44" ht="30">
      <c r="A5182" s="4" t="s">
        <v>5</v>
      </c>
      <c r="B5182" s="4">
        <v>39686</v>
      </c>
      <c r="D5182" s="5" t="s">
        <v>7596</v>
      </c>
      <c r="E5182" s="6" t="str">
        <f>HYPERLINK("https://inpn.mnhn.fr/espece/cd_nom/39686","Russula delica Fr., 1838")</f>
        <v>Russula delica Fr., 1838</v>
      </c>
      <c r="F5182" s="5" t="s">
        <v>7597</v>
      </c>
      <c r="V5182" s="7" t="str">
        <f>HYPERLINK("#Liste_rouge!A"&amp;_xlfn.XMATCH("LC",Liste_rouge!A:A,2,1),"LC")</f>
        <v>LC</v>
      </c>
      <c r="AH5182" s="4" t="str">
        <f>HYPERLINK("#Statut_biogéographique!A"&amp;_xlfn.XMATCH("P",Statut_biogéographique!A:A,2,1),"P")</f>
        <v>P</v>
      </c>
      <c r="AP5182" s="4" t="s">
        <v>376</v>
      </c>
      <c r="AR5182" s="4" t="s">
        <v>377</v>
      </c>
    </row>
    <row r="5183" spans="1:44">
      <c r="A5183" s="4" t="s">
        <v>5</v>
      </c>
      <c r="B5183" s="4">
        <v>39689</v>
      </c>
      <c r="D5183" s="5" t="s">
        <v>7598</v>
      </c>
      <c r="E5183" s="6" t="str">
        <f>HYPERLINK("https://inpn.mnhn.fr/espece/cd_nom/39689","Russula densifolia Secr. ex Gillet, 1876")</f>
        <v>Russula densifolia Secr. ex Gillet, 1876</v>
      </c>
      <c r="F5183" s="5" t="s">
        <v>2480</v>
      </c>
      <c r="V5183" s="7" t="str">
        <f>HYPERLINK("#Liste_rouge!A"&amp;_xlfn.XMATCH("LC",Liste_rouge!A:A,2,1),"LC")</f>
        <v>LC</v>
      </c>
      <c r="AH5183" s="4" t="str">
        <f>HYPERLINK("#Statut_biogéographique!A"&amp;_xlfn.XMATCH("P",Statut_biogéographique!A:A,2,1),"P")</f>
        <v>P</v>
      </c>
      <c r="AP5183" s="4" t="s">
        <v>376</v>
      </c>
      <c r="AR5183" s="4" t="s">
        <v>377</v>
      </c>
    </row>
    <row r="5184" spans="1:44">
      <c r="A5184" s="4" t="s">
        <v>5</v>
      </c>
      <c r="B5184" s="4">
        <v>39691</v>
      </c>
      <c r="D5184" s="5" t="s">
        <v>7599</v>
      </c>
      <c r="E5184" s="6" t="str">
        <f>HYPERLINK("https://inpn.mnhn.fr/espece/cd_nom/39691","Russula densissima Romagn., 1980")</f>
        <v>Russula densissima Romagn., 1980</v>
      </c>
      <c r="F5184" s="5" t="s">
        <v>2362</v>
      </c>
      <c r="V5184" s="7" t="str">
        <f>HYPERLINK("#Liste_rouge!A"&amp;_xlfn.XMATCH("EN",Liste_rouge!A:A,2,1),"EN")</f>
        <v>EN</v>
      </c>
      <c r="W5184" s="4" t="str">
        <f>HYPERLINK("#Critères_liste_rouge!A$1","B2abiii")</f>
        <v>B2abiii</v>
      </c>
      <c r="AH5184" s="4" t="str">
        <f>HYPERLINK("#Statut_biogéographique!A"&amp;_xlfn.XMATCH("P",Statut_biogéographique!A:A,2,1),"P")</f>
        <v>P</v>
      </c>
      <c r="AP5184" s="4" t="s">
        <v>376</v>
      </c>
      <c r="AR5184" s="4" t="s">
        <v>377</v>
      </c>
    </row>
    <row r="5185" spans="1:44">
      <c r="A5185" s="4" t="s">
        <v>5</v>
      </c>
      <c r="B5185" s="4">
        <v>39707</v>
      </c>
      <c r="D5185" s="5" t="s">
        <v>7600</v>
      </c>
      <c r="E5185" s="6" t="str">
        <f>HYPERLINK("https://inpn.mnhn.fr/espece/cd_nom/39707","Russula emetica (Schaeff.) Pers., 1796")</f>
        <v>Russula emetica (Schaeff.) Pers., 1796</v>
      </c>
      <c r="F5185" s="5" t="s">
        <v>4935</v>
      </c>
      <c r="V5185" s="7" t="str">
        <f>HYPERLINK("#Liste_rouge!A"&amp;_xlfn.XMATCH("LC",Liste_rouge!A:A,2,1),"LC")</f>
        <v>LC</v>
      </c>
      <c r="AH5185" s="4" t="str">
        <f>HYPERLINK("#Statut_biogéographique!A"&amp;_xlfn.XMATCH("P",Statut_biogéographique!A:A,2,1),"P")</f>
        <v>P</v>
      </c>
      <c r="AP5185" s="4" t="s">
        <v>376</v>
      </c>
      <c r="AR5185" s="4" t="s">
        <v>377</v>
      </c>
    </row>
    <row r="5186" spans="1:44">
      <c r="A5186" s="4" t="s">
        <v>5</v>
      </c>
      <c r="B5186" s="4">
        <v>39710</v>
      </c>
      <c r="D5186" s="5" t="s">
        <v>7601</v>
      </c>
      <c r="E5186" s="6" t="str">
        <f>HYPERLINK("https://inpn.mnhn.fr/espece/cd_nom/39710","Russula betularum Hora, 1960")</f>
        <v>Russula betularum Hora, 1960</v>
      </c>
      <c r="F5186" s="5" t="s">
        <v>1081</v>
      </c>
      <c r="V5186" s="7" t="str">
        <f>HYPERLINK("#Liste_rouge!A"&amp;_xlfn.XMATCH("LC",Liste_rouge!A:A,2,1),"LC")</f>
        <v>LC</v>
      </c>
      <c r="AH5186" s="4" t="str">
        <f>HYPERLINK("#Statut_biogéographique!A"&amp;_xlfn.XMATCH("P",Statut_biogéographique!A:A,2,1),"P")</f>
        <v>P</v>
      </c>
      <c r="AP5186" s="4" t="s">
        <v>376</v>
      </c>
      <c r="AR5186" s="4" t="s">
        <v>377</v>
      </c>
    </row>
    <row r="5187" spans="1:44">
      <c r="A5187" s="4" t="s">
        <v>5</v>
      </c>
      <c r="B5187" s="4">
        <v>39720</v>
      </c>
      <c r="D5187" s="5" t="s">
        <v>7602</v>
      </c>
      <c r="E5187" s="6" t="str">
        <f>HYPERLINK("https://inpn.mnhn.fr/espece/cd_nom/39720","Russula silvestris (Singer) Reumaux, 1996")</f>
        <v>Russula silvestris (Singer) Reumaux, 1996</v>
      </c>
      <c r="F5187" s="5" t="s">
        <v>1951</v>
      </c>
      <c r="V5187" s="7" t="str">
        <f>HYPERLINK("#Liste_rouge!A"&amp;_xlfn.XMATCH("LC",Liste_rouge!A:A,2,1),"LC")</f>
        <v>LC</v>
      </c>
      <c r="AH5187" s="4" t="str">
        <f>HYPERLINK("#Statut_biogéographique!A"&amp;_xlfn.XMATCH("P",Statut_biogéographique!A:A,2,1),"P")</f>
        <v>P</v>
      </c>
      <c r="AP5187" s="4" t="s">
        <v>376</v>
      </c>
      <c r="AR5187" s="4" t="s">
        <v>377</v>
      </c>
    </row>
    <row r="5188" spans="1:44" ht="30">
      <c r="A5188" s="4" t="s">
        <v>5</v>
      </c>
      <c r="B5188" s="4">
        <v>39726</v>
      </c>
      <c r="D5188" s="5" t="s">
        <v>7603</v>
      </c>
      <c r="E5188" s="6" t="str">
        <f>HYPERLINK("https://inpn.mnhn.fr/espece/cd_nom/39726","Russula exalbicans (Pers.) Melzer &amp; Zvára, 1928")</f>
        <v>Russula exalbicans (Pers.) Melzer &amp; Zvára, 1928</v>
      </c>
      <c r="F5188" s="5" t="s">
        <v>3060</v>
      </c>
      <c r="V5188" s="7" t="str">
        <f>HYPERLINK("#Liste_rouge!A"&amp;_xlfn.XMATCH("LC",Liste_rouge!A:A,2,1),"LC")</f>
        <v>LC</v>
      </c>
      <c r="AH5188" s="4" t="str">
        <f>HYPERLINK("#Statut_biogéographique!A"&amp;_xlfn.XMATCH("P",Statut_biogéographique!A:A,2,1),"P")</f>
        <v>P</v>
      </c>
      <c r="AP5188" s="4" t="s">
        <v>376</v>
      </c>
      <c r="AR5188" s="4" t="s">
        <v>377</v>
      </c>
    </row>
    <row r="5189" spans="1:44">
      <c r="A5189" s="4" t="s">
        <v>5</v>
      </c>
      <c r="B5189" s="4">
        <v>39733</v>
      </c>
      <c r="D5189" s="5">
        <v>39733</v>
      </c>
      <c r="E5189" s="6" t="str">
        <f>HYPERLINK("https://inpn.mnhn.fr/espece/cd_nom/39733","Russula faginea Romagn., 1967")</f>
        <v>Russula faginea Romagn., 1967</v>
      </c>
      <c r="F5189" s="5" t="s">
        <v>935</v>
      </c>
      <c r="V5189" s="7" t="str">
        <f>HYPERLINK("#Liste_rouge!A"&amp;_xlfn.XMATCH("LC",Liste_rouge!A:A,2,1),"LC")</f>
        <v>LC</v>
      </c>
      <c r="AH5189" s="4" t="str">
        <f>HYPERLINK("#Statut_biogéographique!A"&amp;_xlfn.XMATCH("P",Statut_biogéographique!A:A,2,1),"P")</f>
        <v>P</v>
      </c>
      <c r="AP5189" s="4" t="s">
        <v>376</v>
      </c>
      <c r="AR5189" s="4" t="s">
        <v>377</v>
      </c>
    </row>
    <row r="5190" spans="1:44">
      <c r="A5190" s="4" t="s">
        <v>5</v>
      </c>
      <c r="B5190" s="4">
        <v>39737</v>
      </c>
      <c r="D5190" s="5" t="s">
        <v>7604</v>
      </c>
      <c r="E5190" s="6" t="str">
        <f>HYPERLINK("https://inpn.mnhn.fr/espece/cd_nom/39737","Russula farinipes Romell, 1893")</f>
        <v>Russula farinipes Romell, 1893</v>
      </c>
      <c r="F5190" s="5" t="s">
        <v>4184</v>
      </c>
      <c r="V5190" s="7" t="str">
        <f>HYPERLINK("#Liste_rouge!A"&amp;_xlfn.XMATCH("LC",Liste_rouge!A:A,2,1),"LC")</f>
        <v>LC</v>
      </c>
      <c r="AH5190" s="4" t="str">
        <f>HYPERLINK("#Statut_biogéographique!A"&amp;_xlfn.XMATCH("P",Statut_biogéographique!A:A,2,1),"P")</f>
        <v>P</v>
      </c>
      <c r="AP5190" s="4" t="s">
        <v>376</v>
      </c>
      <c r="AR5190" s="4" t="s">
        <v>377</v>
      </c>
    </row>
    <row r="5191" spans="1:44">
      <c r="A5191" s="4" t="s">
        <v>5</v>
      </c>
      <c r="B5191" s="4">
        <v>39741</v>
      </c>
      <c r="D5191" s="5" t="s">
        <v>7605</v>
      </c>
      <c r="E5191" s="6" t="str">
        <f>HYPERLINK("https://inpn.mnhn.fr/espece/cd_nom/39741","Russula fellea (Fr.) Fr., 1838")</f>
        <v>Russula fellea (Fr.) Fr., 1838</v>
      </c>
      <c r="F5191" s="5" t="s">
        <v>2555</v>
      </c>
      <c r="V5191" s="7" t="str">
        <f>HYPERLINK("#Liste_rouge!A"&amp;_xlfn.XMATCH("LC",Liste_rouge!A:A,2,1),"LC")</f>
        <v>LC</v>
      </c>
      <c r="AH5191" s="4" t="str">
        <f>HYPERLINK("#Statut_biogéographique!A"&amp;_xlfn.XMATCH("P",Statut_biogéographique!A:A,2,1),"P")</f>
        <v>P</v>
      </c>
      <c r="AP5191" s="4" t="s">
        <v>376</v>
      </c>
      <c r="AR5191" s="4" t="s">
        <v>377</v>
      </c>
    </row>
    <row r="5192" spans="1:44">
      <c r="A5192" s="4" t="s">
        <v>5</v>
      </c>
      <c r="B5192" s="4">
        <v>39744</v>
      </c>
      <c r="D5192" s="5" t="s">
        <v>7606</v>
      </c>
      <c r="E5192" s="6" t="str">
        <f>HYPERLINK("https://inpn.mnhn.fr/espece/cd_nom/39744","Russula firmula Jul.Schäff., 1940")</f>
        <v>Russula firmula Jul.Schäff., 1940</v>
      </c>
      <c r="F5192" s="5" t="s">
        <v>7607</v>
      </c>
      <c r="V5192" s="7" t="str">
        <f>HYPERLINK("#Liste_rouge!A"&amp;_xlfn.XMATCH("LC",Liste_rouge!A:A,2,1),"LC")</f>
        <v>LC</v>
      </c>
      <c r="AH5192" s="4" t="str">
        <f>HYPERLINK("#Statut_biogéographique!A"&amp;_xlfn.XMATCH("P",Statut_biogéographique!A:A,2,1),"P")</f>
        <v>P</v>
      </c>
      <c r="AP5192" s="4" t="s">
        <v>376</v>
      </c>
      <c r="AR5192" s="4" t="s">
        <v>377</v>
      </c>
    </row>
    <row r="5193" spans="1:44">
      <c r="A5193" s="4" t="s">
        <v>5</v>
      </c>
      <c r="B5193" s="4">
        <v>39751</v>
      </c>
      <c r="D5193" s="5" t="s">
        <v>7608</v>
      </c>
      <c r="E5193" s="6" t="str">
        <f>HYPERLINK("https://inpn.mnhn.fr/espece/cd_nom/39751","Russula foetens Pers., 1796")</f>
        <v>Russula foetens Pers., 1796</v>
      </c>
      <c r="F5193" s="5" t="s">
        <v>4007</v>
      </c>
      <c r="V5193" s="7" t="str">
        <f>HYPERLINK("#Liste_rouge!A"&amp;_xlfn.XMATCH("LC",Liste_rouge!A:A,2,1),"LC")</f>
        <v>LC</v>
      </c>
      <c r="AH5193" s="4" t="str">
        <f>HYPERLINK("#Statut_biogéographique!A"&amp;_xlfn.XMATCH("P",Statut_biogéographique!A:A,2,1),"P")</f>
        <v>P</v>
      </c>
      <c r="AP5193" s="4" t="s">
        <v>376</v>
      </c>
      <c r="AR5193" s="4" t="s">
        <v>377</v>
      </c>
    </row>
    <row r="5194" spans="1:44">
      <c r="A5194" s="4" t="s">
        <v>5</v>
      </c>
      <c r="B5194" s="4">
        <v>39756</v>
      </c>
      <c r="D5194" s="5" t="s">
        <v>7609</v>
      </c>
      <c r="E5194" s="6" t="str">
        <f>HYPERLINK("https://inpn.mnhn.fr/espece/cd_nom/39756","Russula fragilis Fr., 1838")</f>
        <v>Russula fragilis Fr., 1838</v>
      </c>
      <c r="F5194" s="5" t="s">
        <v>2840</v>
      </c>
      <c r="V5194" s="7" t="str">
        <f>HYPERLINK("#Liste_rouge!A"&amp;_xlfn.XMATCH("LC",Liste_rouge!A:A,2,1),"LC")</f>
        <v>LC</v>
      </c>
      <c r="AH5194" s="4" t="str">
        <f>HYPERLINK("#Statut_biogéographique!A"&amp;_xlfn.XMATCH("P",Statut_biogéographique!A:A,2,1),"P")</f>
        <v>P</v>
      </c>
      <c r="AP5194" s="4" t="s">
        <v>376</v>
      </c>
      <c r="AR5194" s="4" t="s">
        <v>377</v>
      </c>
    </row>
    <row r="5195" spans="1:44">
      <c r="A5195" s="4" t="s">
        <v>5</v>
      </c>
      <c r="B5195" s="4">
        <v>39766</v>
      </c>
      <c r="D5195" s="5" t="s">
        <v>7610</v>
      </c>
      <c r="E5195" s="6" t="str">
        <f>HYPERLINK("https://inpn.mnhn.fr/espece/cd_nom/39766","Russula knauthii (Singer) Hora, 1960")</f>
        <v>Russula knauthii (Singer) Hora, 1960</v>
      </c>
      <c r="F5195" s="5" t="s">
        <v>3759</v>
      </c>
      <c r="AH5195" s="4" t="str">
        <f>HYPERLINK("#Statut_biogéographique!A"&amp;_xlfn.XMATCH("P",Statut_biogéographique!A:A,2,1),"P")</f>
        <v>P</v>
      </c>
      <c r="AP5195" s="4" t="s">
        <v>376</v>
      </c>
      <c r="AR5195" s="4" t="s">
        <v>377</v>
      </c>
    </row>
    <row r="5196" spans="1:44">
      <c r="A5196" s="4" t="s">
        <v>5</v>
      </c>
      <c r="B5196" s="4">
        <v>39777</v>
      </c>
      <c r="D5196" s="5" t="s">
        <v>7611</v>
      </c>
      <c r="E5196" s="6" t="str">
        <f>HYPERLINK("https://inpn.mnhn.fr/espece/cd_nom/39777","Russula fuscorubra (Bres.) J.Blum, 1951")</f>
        <v>Russula fuscorubra (Bres.) J.Blum, 1951</v>
      </c>
      <c r="V5196" s="7" t="str">
        <f>HYPERLINK("#Liste_rouge!A"&amp;_xlfn.XMATCH("NT",Liste_rouge!A:A,2,1),"NT")</f>
        <v>NT</v>
      </c>
      <c r="W5196" s="4" t="str">
        <f>HYPERLINK("#Critères_liste_rouge!A$1","pr. B2abiii")</f>
        <v>pr. B2abiii</v>
      </c>
      <c r="AH5196" s="4" t="str">
        <f>HYPERLINK("#Statut_biogéographique!A"&amp;_xlfn.XMATCH("P",Statut_biogéographique!A:A,2,1),"P")</f>
        <v>P</v>
      </c>
      <c r="AP5196" s="4" t="s">
        <v>376</v>
      </c>
      <c r="AR5196" s="4" t="s">
        <v>377</v>
      </c>
    </row>
    <row r="5197" spans="1:44">
      <c r="A5197" s="4" t="s">
        <v>5</v>
      </c>
      <c r="B5197" s="4">
        <v>39780</v>
      </c>
      <c r="D5197" s="5" t="s">
        <v>7612</v>
      </c>
      <c r="E5197" s="6" t="str">
        <f>HYPERLINK("https://inpn.mnhn.fr/espece/cd_nom/39780","Russula fuscorubroides Bon, 1976")</f>
        <v>Russula fuscorubroides Bon, 1976</v>
      </c>
      <c r="V5197" s="7" t="str">
        <f>HYPERLINK("#Liste_rouge!A"&amp;_xlfn.XMATCH("NT",Liste_rouge!A:A,2,1),"NT")</f>
        <v>NT</v>
      </c>
      <c r="W5197" s="4" t="str">
        <f>HYPERLINK("#Critères_liste_rouge!A$1","pr. A2c")</f>
        <v>pr. A2c</v>
      </c>
      <c r="AH5197" s="4" t="str">
        <f>HYPERLINK("#Statut_biogéographique!A"&amp;_xlfn.XMATCH("P",Statut_biogéographique!A:A,2,1),"P")</f>
        <v>P</v>
      </c>
      <c r="AP5197" s="4" t="s">
        <v>376</v>
      </c>
      <c r="AR5197" s="4" t="s">
        <v>377</v>
      </c>
    </row>
    <row r="5198" spans="1:44">
      <c r="A5198" s="4" t="s">
        <v>5</v>
      </c>
      <c r="B5198" s="4">
        <v>39788</v>
      </c>
      <c r="D5198" s="5" t="s">
        <v>7613</v>
      </c>
      <c r="E5198" s="6" t="str">
        <f>HYPERLINK("https://inpn.mnhn.fr/espece/cd_nom/39788","Russula gracillima Jul.Schäff., 1931")</f>
        <v>Russula gracillima Jul.Schäff., 1931</v>
      </c>
      <c r="F5198" s="5" t="s">
        <v>3478</v>
      </c>
      <c r="V5198" s="7" t="str">
        <f>HYPERLINK("#Liste_rouge!A"&amp;_xlfn.XMATCH("EN",Liste_rouge!A:A,2,1),"EN")</f>
        <v>EN</v>
      </c>
      <c r="W5198" s="4" t="str">
        <f>HYPERLINK("#Critères_liste_rouge!A$1","A2c")</f>
        <v>A2c</v>
      </c>
      <c r="AH5198" s="4" t="str">
        <f>HYPERLINK("#Statut_biogéographique!A"&amp;_xlfn.XMATCH("P",Statut_biogéographique!A:A,2,1),"P")</f>
        <v>P</v>
      </c>
      <c r="AP5198" s="4" t="s">
        <v>376</v>
      </c>
      <c r="AR5198" s="4" t="s">
        <v>377</v>
      </c>
    </row>
    <row r="5199" spans="1:44">
      <c r="A5199" s="4" t="s">
        <v>5</v>
      </c>
      <c r="B5199" s="4">
        <v>39791</v>
      </c>
      <c r="D5199" s="5" t="s">
        <v>7614</v>
      </c>
      <c r="E5199" s="6" t="str">
        <f>HYPERLINK("https://inpn.mnhn.fr/espece/cd_nom/39791","Russula graveolens Romell, 1885")</f>
        <v>Russula graveolens Romell, 1885</v>
      </c>
      <c r="F5199" s="5" t="s">
        <v>7615</v>
      </c>
      <c r="V5199" s="7" t="str">
        <f>HYPERLINK("#Liste_rouge!A"&amp;_xlfn.XMATCH("LC",Liste_rouge!A:A,2,1),"LC")</f>
        <v>LC</v>
      </c>
      <c r="AH5199" s="4" t="str">
        <f>HYPERLINK("#Statut_biogéographique!A"&amp;_xlfn.XMATCH("P",Statut_biogéographique!A:A,2,1),"P")</f>
        <v>P</v>
      </c>
      <c r="AP5199" s="4" t="s">
        <v>376</v>
      </c>
      <c r="AR5199" s="4" t="s">
        <v>377</v>
      </c>
    </row>
    <row r="5200" spans="1:44">
      <c r="A5200" s="4" t="s">
        <v>5</v>
      </c>
      <c r="B5200" s="4">
        <v>39794</v>
      </c>
      <c r="D5200" s="5" t="s">
        <v>7616</v>
      </c>
      <c r="E5200" s="6" t="str">
        <f>HYPERLINK("https://inpn.mnhn.fr/espece/cd_nom/39794","Russula grisea Fr., 1838")</f>
        <v>Russula grisea Fr., 1838</v>
      </c>
      <c r="F5200" s="5" t="s">
        <v>2860</v>
      </c>
      <c r="V5200" s="7" t="str">
        <f>HYPERLINK("#Liste_rouge!A"&amp;_xlfn.XMATCH("LC",Liste_rouge!A:A,2,1),"LC")</f>
        <v>LC</v>
      </c>
      <c r="AH5200" s="4" t="str">
        <f>HYPERLINK("#Statut_biogéographique!A"&amp;_xlfn.XMATCH("P",Statut_biogéographique!A:A,2,1),"P")</f>
        <v>P</v>
      </c>
      <c r="AP5200" s="4" t="s">
        <v>376</v>
      </c>
      <c r="AR5200" s="4" t="s">
        <v>377</v>
      </c>
    </row>
    <row r="5201" spans="1:44" ht="30">
      <c r="A5201" s="4" t="s">
        <v>5</v>
      </c>
      <c r="B5201" s="4">
        <v>39799</v>
      </c>
      <c r="D5201" s="5" t="s">
        <v>7617</v>
      </c>
      <c r="E5201" s="6" t="str">
        <f>HYPERLINK("https://inpn.mnhn.fr/espece/cd_nom/39799","Russula grisea var. pictipes (Cooke) Romagn. ex Bon, 1982")</f>
        <v>Russula grisea var. pictipes (Cooke) Romagn. ex Bon, 1982</v>
      </c>
      <c r="AH5201" s="4" t="str">
        <f>HYPERLINK("#Statut_biogéographique!A"&amp;_xlfn.XMATCH("P",Statut_biogéographique!A:A,2,1),"P")</f>
        <v>P</v>
      </c>
      <c r="AP5201" s="4" t="s">
        <v>376</v>
      </c>
      <c r="AR5201" s="4" t="s">
        <v>377</v>
      </c>
    </row>
    <row r="5202" spans="1:44" ht="30">
      <c r="A5202" s="4" t="s">
        <v>5</v>
      </c>
      <c r="B5202" s="4">
        <v>39803</v>
      </c>
      <c r="D5202" s="5" t="s">
        <v>7618</v>
      </c>
      <c r="E5202" s="6" t="str">
        <f>HYPERLINK("https://inpn.mnhn.fr/espece/cd_nom/39803","Russula griseascens (Bon &amp; Gaugué) Marti, 1984")</f>
        <v>Russula griseascens (Bon &amp; Gaugué) Marti, 1984</v>
      </c>
      <c r="F5202" s="5" t="s">
        <v>4931</v>
      </c>
      <c r="V5202" s="7" t="str">
        <f>HYPERLINK("#Liste_rouge!A"&amp;_xlfn.XMATCH("NT",Liste_rouge!A:A,2,1),"NT")</f>
        <v>NT</v>
      </c>
      <c r="W5202" s="4" t="str">
        <f>HYPERLINK("#Critères_liste_rouge!A$1","pr. B2a")</f>
        <v>pr. B2a</v>
      </c>
      <c r="AH5202" s="4" t="str">
        <f>HYPERLINK("#Statut_biogéographique!A"&amp;_xlfn.XMATCH("P",Statut_biogéographique!A:A,2,1),"P")</f>
        <v>P</v>
      </c>
      <c r="AP5202" s="4" t="s">
        <v>376</v>
      </c>
      <c r="AR5202" s="4" t="s">
        <v>377</v>
      </c>
    </row>
    <row r="5203" spans="1:44">
      <c r="A5203" s="4" t="s">
        <v>5</v>
      </c>
      <c r="B5203" s="4">
        <v>39809</v>
      </c>
      <c r="D5203" s="5">
        <v>39809</v>
      </c>
      <c r="E5203" s="6" t="str">
        <f>HYPERLINK("https://inpn.mnhn.fr/espece/cd_nom/39809","Russula helodes Melzer, 1929")</f>
        <v>Russula helodes Melzer, 1929</v>
      </c>
      <c r="F5203" s="5" t="s">
        <v>1666</v>
      </c>
      <c r="V5203" s="7" t="str">
        <f>HYPERLINK("#Liste_rouge!A"&amp;_xlfn.XMATCH("CR",Liste_rouge!A:A,2,1),"CR")</f>
        <v>CR</v>
      </c>
      <c r="W5203" s="4" t="str">
        <f>HYPERLINK("#Critères_liste_rouge!A$1","B2abiii")</f>
        <v>B2abiii</v>
      </c>
      <c r="AH5203" s="4" t="str">
        <f>HYPERLINK("#Statut_biogéographique!A"&amp;_xlfn.XMATCH("P",Statut_biogéographique!A:A,2,1),"P")</f>
        <v>P</v>
      </c>
      <c r="AP5203" s="4" t="s">
        <v>376</v>
      </c>
      <c r="AR5203" s="4" t="s">
        <v>377</v>
      </c>
    </row>
    <row r="5204" spans="1:44">
      <c r="A5204" s="4" t="s">
        <v>5</v>
      </c>
      <c r="B5204" s="4">
        <v>39810</v>
      </c>
      <c r="D5204" s="5" t="s">
        <v>7619</v>
      </c>
      <c r="E5204" s="6" t="str">
        <f>HYPERLINK("https://inpn.mnhn.fr/espece/cd_nom/39810","Russula heterophylla (Fr.) Fr., 1838")</f>
        <v>Russula heterophylla (Fr.) Fr., 1838</v>
      </c>
      <c r="F5204" s="5" t="s">
        <v>3663</v>
      </c>
      <c r="V5204" s="7" t="str">
        <f>HYPERLINK("#Liste_rouge!A"&amp;_xlfn.XMATCH("LC",Liste_rouge!A:A,2,1),"LC")</f>
        <v>LC</v>
      </c>
      <c r="AH5204" s="4" t="str">
        <f>HYPERLINK("#Statut_biogéographique!A"&amp;_xlfn.XMATCH("P",Statut_biogéographique!A:A,2,1),"P")</f>
        <v>P</v>
      </c>
      <c r="AP5204" s="4" t="s">
        <v>376</v>
      </c>
      <c r="AR5204" s="4" t="s">
        <v>377</v>
      </c>
    </row>
    <row r="5205" spans="1:44">
      <c r="A5205" s="4" t="s">
        <v>5</v>
      </c>
      <c r="B5205" s="4">
        <v>39816</v>
      </c>
      <c r="D5205" s="5">
        <v>39816</v>
      </c>
      <c r="E5205" s="6" t="str">
        <f>HYPERLINK("https://inpn.mnhn.fr/espece/cd_nom/39816","Russula illota Romagn., 1954")</f>
        <v>Russula illota Romagn., 1954</v>
      </c>
      <c r="F5205" s="5" t="s">
        <v>7620</v>
      </c>
      <c r="V5205" s="7" t="str">
        <f>HYPERLINK("#Liste_rouge!A"&amp;_xlfn.XMATCH("LC",Liste_rouge!A:A,2,1),"LC")</f>
        <v>LC</v>
      </c>
      <c r="AH5205" s="4" t="str">
        <f>HYPERLINK("#Statut_biogéographique!A"&amp;_xlfn.XMATCH("P",Statut_biogéographique!A:A,2,1),"P")</f>
        <v>P</v>
      </c>
      <c r="AP5205" s="4" t="s">
        <v>376</v>
      </c>
      <c r="AR5205" s="4" t="s">
        <v>377</v>
      </c>
    </row>
    <row r="5206" spans="1:44">
      <c r="A5206" s="4" t="s">
        <v>5</v>
      </c>
      <c r="B5206" s="4">
        <v>39824</v>
      </c>
      <c r="D5206" s="5" t="s">
        <v>7621</v>
      </c>
      <c r="E5206" s="6" t="str">
        <f>HYPERLINK("https://inpn.mnhn.fr/espece/cd_nom/39824","Russula insignis Quél., 1888")</f>
        <v>Russula insignis Quél., 1888</v>
      </c>
      <c r="F5206" s="5" t="s">
        <v>3389</v>
      </c>
      <c r="V5206" s="7" t="str">
        <f>HYPERLINK("#Liste_rouge!A"&amp;_xlfn.XMATCH("VU",Liste_rouge!A:A,2,1),"VU")</f>
        <v>VU</v>
      </c>
      <c r="W5206" s="4" t="str">
        <f>HYPERLINK("#Critères_liste_rouge!A$1","A2c")</f>
        <v>A2c</v>
      </c>
      <c r="AH5206" s="4" t="str">
        <f>HYPERLINK("#Statut_biogéographique!A"&amp;_xlfn.XMATCH("P",Statut_biogéographique!A:A,2,1),"P")</f>
        <v>P</v>
      </c>
      <c r="AP5206" s="4" t="s">
        <v>376</v>
      </c>
      <c r="AR5206" s="4" t="s">
        <v>377</v>
      </c>
    </row>
    <row r="5207" spans="1:44">
      <c r="A5207" s="4" t="s">
        <v>5</v>
      </c>
      <c r="B5207" s="4">
        <v>39827</v>
      </c>
      <c r="D5207" s="5" t="s">
        <v>7622</v>
      </c>
      <c r="E5207" s="6" t="str">
        <f>HYPERLINK("https://inpn.mnhn.fr/espece/cd_nom/39827","Russula integra (L.) Fr., 1838")</f>
        <v>Russula integra (L.) Fr., 1838</v>
      </c>
      <c r="F5207" s="5" t="s">
        <v>7623</v>
      </c>
      <c r="V5207" s="7" t="str">
        <f>HYPERLINK("#Liste_rouge!A"&amp;_xlfn.XMATCH("LC",Liste_rouge!A:A,2,1),"LC")</f>
        <v>LC</v>
      </c>
      <c r="AH5207" s="4" t="str">
        <f>HYPERLINK("#Statut_biogéographique!A"&amp;_xlfn.XMATCH("P",Statut_biogéographique!A:A,2,1),"P")</f>
        <v>P</v>
      </c>
      <c r="AP5207" s="4" t="s">
        <v>376</v>
      </c>
      <c r="AR5207" s="4" t="s">
        <v>377</v>
      </c>
    </row>
    <row r="5208" spans="1:44" ht="30">
      <c r="A5208" s="4" t="s">
        <v>5</v>
      </c>
      <c r="B5208" s="4">
        <v>39833</v>
      </c>
      <c r="D5208" s="5" t="s">
        <v>7624</v>
      </c>
      <c r="E5208" s="6" t="str">
        <f>HYPERLINK("https://inpn.mnhn.fr/espece/cd_nom/39833","Russula integra f. purpurella (Singer) Romagn. ex Bon, 1986")</f>
        <v>Russula integra f. purpurella (Singer) Romagn. ex Bon, 1986</v>
      </c>
      <c r="AH5208" s="4" t="str">
        <f>HYPERLINK("#Statut_biogéographique!A"&amp;_xlfn.XMATCH("P",Statut_biogéographique!A:A,2,1),"P")</f>
        <v>P</v>
      </c>
      <c r="AP5208" s="4" t="s">
        <v>376</v>
      </c>
      <c r="AR5208" s="4" t="s">
        <v>377</v>
      </c>
    </row>
    <row r="5209" spans="1:44">
      <c r="A5209" s="4" t="s">
        <v>5</v>
      </c>
      <c r="B5209" s="4">
        <v>39835</v>
      </c>
      <c r="D5209" s="5">
        <v>39835</v>
      </c>
      <c r="E5209" s="6" t="str">
        <f>HYPERLINK("https://inpn.mnhn.fr/espece/cd_nom/39835","Russula ionochlora Romagn., 1952")</f>
        <v>Russula ionochlora Romagn., 1952</v>
      </c>
      <c r="F5209" s="5" t="s">
        <v>4333</v>
      </c>
      <c r="V5209" s="7" t="str">
        <f>HYPERLINK("#Liste_rouge!A"&amp;_xlfn.XMATCH("NT",Liste_rouge!A:A,2,1),"NT")</f>
        <v>NT</v>
      </c>
      <c r="W5209" s="4" t="str">
        <f>HYPERLINK("#Critères_liste_rouge!A$1","pr. A2c")</f>
        <v>pr. A2c</v>
      </c>
      <c r="AH5209" s="4" t="str">
        <f>HYPERLINK("#Statut_biogéographique!A"&amp;_xlfn.XMATCH("P",Statut_biogéographique!A:A,2,1),"P")</f>
        <v>P</v>
      </c>
      <c r="AP5209" s="4" t="s">
        <v>376</v>
      </c>
      <c r="AR5209" s="4" t="s">
        <v>377</v>
      </c>
    </row>
    <row r="5210" spans="1:44" ht="30">
      <c r="A5210" s="4" t="s">
        <v>5</v>
      </c>
      <c r="B5210" s="4">
        <v>39841</v>
      </c>
      <c r="D5210" s="5" t="s">
        <v>7625</v>
      </c>
      <c r="E5210" s="6" t="str">
        <f>HYPERLINK("https://inpn.mnhn.fr/espece/cd_nom/39841","Russula atropurpurea (Krombh.) Britzelm., 1893")</f>
        <v>Russula atropurpurea (Krombh.) Britzelm., 1893</v>
      </c>
      <c r="F5210" s="5" t="s">
        <v>1987</v>
      </c>
      <c r="V5210" s="7" t="str">
        <f>HYPERLINK("#Liste_rouge!A"&amp;_xlfn.XMATCH("LC",Liste_rouge!A:A,2,1),"LC")</f>
        <v>LC</v>
      </c>
      <c r="AH5210" s="4" t="str">
        <f>HYPERLINK("#Statut_biogéographique!A"&amp;_xlfn.XMATCH("P",Statut_biogéographique!A:A,2,1),"P")</f>
        <v>P</v>
      </c>
      <c r="AP5210" s="4" t="s">
        <v>376</v>
      </c>
      <c r="AR5210" s="4" t="s">
        <v>377</v>
      </c>
    </row>
    <row r="5211" spans="1:44" ht="30">
      <c r="A5211" s="4" t="s">
        <v>5</v>
      </c>
      <c r="B5211" s="4">
        <v>39853</v>
      </c>
      <c r="D5211" s="5" t="s">
        <v>7626</v>
      </c>
      <c r="E5211" s="6" t="str">
        <f>HYPERLINK("https://inpn.mnhn.fr/espece/cd_nom/39853","Russula atropurpurea f. dissidens Zvára, 1931")</f>
        <v>Russula atropurpurea f. dissidens Zvára, 1931</v>
      </c>
      <c r="AH5211" s="4" t="str">
        <f>HYPERLINK("#Statut_biogéographique!A"&amp;_xlfn.XMATCH("P",Statut_biogéographique!A:A,2,1),"P")</f>
        <v>P</v>
      </c>
      <c r="AP5211" s="4" t="s">
        <v>376</v>
      </c>
      <c r="AR5211" s="4" t="s">
        <v>377</v>
      </c>
    </row>
    <row r="5212" spans="1:44">
      <c r="A5212" s="4" t="s">
        <v>5</v>
      </c>
      <c r="B5212" s="4">
        <v>39854</v>
      </c>
      <c r="D5212" s="5">
        <v>39854</v>
      </c>
      <c r="E5212" s="6" t="str">
        <f>HYPERLINK("https://inpn.mnhn.fr/espece/cd_nom/39854","Russula langei Bon, 1970")</f>
        <v>Russula langei Bon, 1970</v>
      </c>
      <c r="F5212" s="5" t="s">
        <v>2346</v>
      </c>
      <c r="V5212" s="7" t="str">
        <f>HYPERLINK("#Liste_rouge!A"&amp;_xlfn.XMATCH("LC",Liste_rouge!A:A,2,1),"LC")</f>
        <v>LC</v>
      </c>
      <c r="AH5212" s="4" t="str">
        <f>HYPERLINK("#Statut_biogéographique!A"&amp;_xlfn.XMATCH("P",Statut_biogéographique!A:A,2,1),"P")</f>
        <v>P</v>
      </c>
      <c r="AP5212" s="4" t="s">
        <v>376</v>
      </c>
      <c r="AR5212" s="4" t="s">
        <v>377</v>
      </c>
    </row>
    <row r="5213" spans="1:44">
      <c r="A5213" s="4" t="s">
        <v>5</v>
      </c>
      <c r="B5213" s="4">
        <v>39856</v>
      </c>
      <c r="D5213" s="5">
        <v>39856</v>
      </c>
      <c r="E5213" s="6" t="str">
        <f>HYPERLINK("https://inpn.mnhn.fr/espece/cd_nom/39856","Russula laricina Velen., 1920")</f>
        <v>Russula laricina Velen., 1920</v>
      </c>
      <c r="F5213" s="5" t="s">
        <v>848</v>
      </c>
      <c r="V5213" s="7" t="str">
        <f>HYPERLINK("#Liste_rouge!A"&amp;_xlfn.XMATCH("DD",Liste_rouge!A:A,2,1),"DD")</f>
        <v>DD</v>
      </c>
      <c r="AH5213" s="4" t="str">
        <f>HYPERLINK("#Statut_biogéographique!A"&amp;_xlfn.XMATCH("P",Statut_biogéographique!A:A,2,1),"P")</f>
        <v>P</v>
      </c>
      <c r="AP5213" s="4" t="s">
        <v>376</v>
      </c>
      <c r="AR5213" s="4" t="s">
        <v>377</v>
      </c>
    </row>
    <row r="5214" spans="1:44">
      <c r="A5214" s="4" t="s">
        <v>5</v>
      </c>
      <c r="B5214" s="4">
        <v>39860</v>
      </c>
      <c r="D5214" s="5">
        <v>39860</v>
      </c>
      <c r="E5214" s="6" t="str">
        <f>HYPERLINK("https://inpn.mnhn.fr/espece/cd_nom/39860","Russula lateritia Quél., 1886")</f>
        <v>Russula lateritia Quél., 1886</v>
      </c>
      <c r="V5214" s="7" t="str">
        <f>HYPERLINK("#Liste_rouge!A"&amp;_xlfn.XMATCH("LC",Liste_rouge!A:A,2,1),"LC")</f>
        <v>LC</v>
      </c>
      <c r="AH5214" s="4" t="str">
        <f>HYPERLINK("#Statut_biogéographique!A"&amp;_xlfn.XMATCH("P",Statut_biogéographique!A:A,2,1),"P")</f>
        <v>P</v>
      </c>
      <c r="AP5214" s="4" t="s">
        <v>376</v>
      </c>
      <c r="AR5214" s="4" t="s">
        <v>377</v>
      </c>
    </row>
    <row r="5215" spans="1:44">
      <c r="A5215" s="4" t="s">
        <v>5</v>
      </c>
      <c r="B5215" s="4">
        <v>39868</v>
      </c>
      <c r="D5215" s="5" t="s">
        <v>7627</v>
      </c>
      <c r="E5215" s="6" t="str">
        <f>HYPERLINK("https://inpn.mnhn.fr/espece/cd_nom/39868","Russula fragrantissima Romagn., 1967")</f>
        <v>Russula fragrantissima Romagn., 1967</v>
      </c>
      <c r="V5215" s="7" t="str">
        <f>HYPERLINK("#Liste_rouge!A"&amp;_xlfn.XMATCH("EN",Liste_rouge!A:A,2,1),"EN")</f>
        <v>EN</v>
      </c>
      <c r="W5215" s="4" t="str">
        <f>HYPERLINK("#Critères_liste_rouge!A$1","A2c")</f>
        <v>A2c</v>
      </c>
      <c r="AH5215" s="4" t="str">
        <f>HYPERLINK("#Statut_biogéographique!A"&amp;_xlfn.XMATCH("P",Statut_biogéographique!A:A,2,1),"P")</f>
        <v>P</v>
      </c>
      <c r="AP5215" s="4" t="s">
        <v>376</v>
      </c>
      <c r="AR5215" s="4" t="s">
        <v>377</v>
      </c>
    </row>
    <row r="5216" spans="1:44" ht="30">
      <c r="A5216" s="4" t="s">
        <v>5</v>
      </c>
      <c r="B5216" s="4">
        <v>39873</v>
      </c>
      <c r="D5216" s="5" t="s">
        <v>7628</v>
      </c>
      <c r="E5216" s="6" t="str">
        <f>HYPERLINK("https://inpn.mnhn.fr/espece/cd_nom/39873","Russula lepida var. lactea (Fr.) F.H.Møller &amp; Jul.Schäff., 1952")</f>
        <v>Russula lepida var. lactea (Fr.) F.H.Møller &amp; Jul.Schäff., 1952</v>
      </c>
      <c r="AH5216" s="4" t="str">
        <f>HYPERLINK("#Statut_biogéographique!A"&amp;_xlfn.XMATCH("P",Statut_biogéographique!A:A,2,1),"P")</f>
        <v>P</v>
      </c>
      <c r="AP5216" s="4" t="s">
        <v>376</v>
      </c>
      <c r="AR5216" s="4" t="s">
        <v>377</v>
      </c>
    </row>
    <row r="5217" spans="1:44">
      <c r="A5217" s="4" t="s">
        <v>5</v>
      </c>
      <c r="B5217" s="4">
        <v>39877</v>
      </c>
      <c r="D5217" s="5">
        <v>39877</v>
      </c>
      <c r="E5217" s="6" t="str">
        <f>HYPERLINK("https://inpn.mnhn.fr/espece/cd_nom/39877","Russula lilacea Quél., 1877")</f>
        <v>Russula lilacea Quél., 1877</v>
      </c>
      <c r="F5217" s="5" t="s">
        <v>4160</v>
      </c>
      <c r="V5217" s="7" t="str">
        <f>HYPERLINK("#Liste_rouge!A"&amp;_xlfn.XMATCH("LC",Liste_rouge!A:A,2,1),"LC")</f>
        <v>LC</v>
      </c>
      <c r="AH5217" s="4" t="str">
        <f>HYPERLINK("#Statut_biogéographique!A"&amp;_xlfn.XMATCH("P",Statut_biogéographique!A:A,2,1),"P")</f>
        <v>P</v>
      </c>
      <c r="AP5217" s="4" t="s">
        <v>376</v>
      </c>
      <c r="AR5217" s="4" t="s">
        <v>377</v>
      </c>
    </row>
    <row r="5218" spans="1:44">
      <c r="A5218" s="4" t="s">
        <v>5</v>
      </c>
      <c r="B5218" s="4">
        <v>39878</v>
      </c>
      <c r="D5218" s="5" t="s">
        <v>7629</v>
      </c>
      <c r="E5218" s="6" t="str">
        <f>HYPERLINK("https://inpn.mnhn.fr/espece/cd_nom/39878","Russula lilacea var. carnicolor Bres., 1892")</f>
        <v>Russula lilacea var. carnicolor Bres., 1892</v>
      </c>
      <c r="AH5218" s="4" t="str">
        <f>HYPERLINK("#Statut_biogéographique!A"&amp;_xlfn.XMATCH("P",Statut_biogéographique!A:A,2,1),"P")</f>
        <v>P</v>
      </c>
      <c r="AP5218" s="4" t="s">
        <v>376</v>
      </c>
      <c r="AR5218" s="4" t="s">
        <v>377</v>
      </c>
    </row>
    <row r="5219" spans="1:44">
      <c r="A5219" s="4" t="s">
        <v>5</v>
      </c>
      <c r="B5219" s="4">
        <v>39884</v>
      </c>
      <c r="D5219" s="5">
        <v>39884</v>
      </c>
      <c r="E5219" s="6" t="str">
        <f>HYPERLINK("https://inpn.mnhn.fr/espece/cd_nom/39884","Russula lutensis Romagn., 1940")</f>
        <v>Russula lutensis Romagn., 1940</v>
      </c>
      <c r="F5219" s="5" t="s">
        <v>3979</v>
      </c>
      <c r="V5219" s="7" t="str">
        <f>HYPERLINK("#Liste_rouge!A"&amp;_xlfn.XMATCH("DD",Liste_rouge!A:A,2,1),"DD")</f>
        <v>DD</v>
      </c>
      <c r="AH5219" s="4" t="str">
        <f>HYPERLINK("#Statut_biogéographique!A"&amp;_xlfn.XMATCH("P",Statut_biogéographique!A:A,2,1),"P")</f>
        <v>P</v>
      </c>
      <c r="AP5219" s="4" t="s">
        <v>376</v>
      </c>
      <c r="AR5219" s="4" t="s">
        <v>377</v>
      </c>
    </row>
    <row r="5220" spans="1:44">
      <c r="A5220" s="4" t="s">
        <v>5</v>
      </c>
      <c r="B5220" s="4">
        <v>39887</v>
      </c>
      <c r="D5220" s="5">
        <v>39887</v>
      </c>
      <c r="E5220" s="6" t="str">
        <f>HYPERLINK("https://inpn.mnhn.fr/espece/cd_nom/39887","Russula luteotacta Rea, 1922")</f>
        <v>Russula luteotacta Rea, 1922</v>
      </c>
      <c r="F5220" s="5" t="s">
        <v>2572</v>
      </c>
      <c r="V5220" s="7" t="str">
        <f>HYPERLINK("#Liste_rouge!A"&amp;_xlfn.XMATCH("LC",Liste_rouge!A:A,2,1),"LC")</f>
        <v>LC</v>
      </c>
      <c r="AH5220" s="4" t="str">
        <f>HYPERLINK("#Statut_biogéographique!A"&amp;_xlfn.XMATCH("P",Statut_biogéographique!A:A,2,1),"P")</f>
        <v>P</v>
      </c>
      <c r="AP5220" s="4" t="s">
        <v>376</v>
      </c>
      <c r="AR5220" s="4" t="s">
        <v>377</v>
      </c>
    </row>
    <row r="5221" spans="1:44" ht="30">
      <c r="A5221" s="4" t="s">
        <v>5</v>
      </c>
      <c r="B5221" s="4">
        <v>39890</v>
      </c>
      <c r="D5221" s="5" t="s">
        <v>7630</v>
      </c>
      <c r="E5221" s="6" t="str">
        <f>HYPERLINK("https://inpn.mnhn.fr/espece/cd_nom/39890","Russula luteotacta var. oligophylla (Zvára) J. Schäffer")</f>
        <v>Russula luteotacta var. oligophylla (Zvára) J. Schäffer</v>
      </c>
      <c r="AH5221" s="4" t="str">
        <f>HYPERLINK("#Statut_biogéographique!A"&amp;_xlfn.XMATCH("P",Statut_biogéographique!A:A,2,1),"P")</f>
        <v>P</v>
      </c>
      <c r="AP5221" s="4" t="s">
        <v>376</v>
      </c>
      <c r="AR5221" s="4" t="s">
        <v>377</v>
      </c>
    </row>
    <row r="5222" spans="1:44">
      <c r="A5222" s="4" t="s">
        <v>5</v>
      </c>
      <c r="B5222" s="4">
        <v>39897</v>
      </c>
      <c r="D5222" s="5" t="s">
        <v>7631</v>
      </c>
      <c r="E5222" s="6" t="str">
        <f>HYPERLINK("https://inpn.mnhn.fr/espece/cd_nom/39897","Russula maculata Quél., 1878")</f>
        <v>Russula maculata Quél., 1878</v>
      </c>
      <c r="F5222" s="5" t="s">
        <v>1270</v>
      </c>
      <c r="V5222" s="7" t="str">
        <f>HYPERLINK("#Liste_rouge!A"&amp;_xlfn.XMATCH("NT",Liste_rouge!A:A,2,1),"NT")</f>
        <v>NT</v>
      </c>
      <c r="W5222" s="4" t="str">
        <f>HYPERLINK("#Critères_liste_rouge!A$1","pr. B2abiii")</f>
        <v>pr. B2abiii</v>
      </c>
      <c r="AH5222" s="4" t="str">
        <f>HYPERLINK("#Statut_biogéographique!A"&amp;_xlfn.XMATCH("P",Statut_biogéographique!A:A,2,1),"P")</f>
        <v>P</v>
      </c>
      <c r="AP5222" s="4" t="s">
        <v>376</v>
      </c>
      <c r="AR5222" s="4" t="s">
        <v>377</v>
      </c>
    </row>
    <row r="5223" spans="1:44">
      <c r="A5223" s="4" t="s">
        <v>5</v>
      </c>
      <c r="B5223" s="4">
        <v>39904</v>
      </c>
      <c r="D5223" s="5" t="s">
        <v>7632</v>
      </c>
      <c r="E5223" s="6" t="str">
        <f>HYPERLINK("https://inpn.mnhn.fr/espece/cd_nom/39904","Russula medullata Romagn., 1997")</f>
        <v>Russula medullata Romagn., 1997</v>
      </c>
      <c r="F5223" s="5" t="s">
        <v>652</v>
      </c>
      <c r="V5223" s="7" t="str">
        <f>HYPERLINK("#Liste_rouge!A"&amp;_xlfn.XMATCH("NT",Liste_rouge!A:A,2,1),"NT")</f>
        <v>NT</v>
      </c>
      <c r="W5223" s="4" t="str">
        <f>HYPERLINK("#Critères_liste_rouge!A$1","pr. B2abiii")</f>
        <v>pr. B2abiii</v>
      </c>
      <c r="AH5223" s="4" t="str">
        <f>HYPERLINK("#Statut_biogéographique!A"&amp;_xlfn.XMATCH("P",Statut_biogéographique!A:A,2,1),"P")</f>
        <v>P</v>
      </c>
      <c r="AP5223" s="4" t="s">
        <v>376</v>
      </c>
      <c r="AR5223" s="4" t="s">
        <v>377</v>
      </c>
    </row>
    <row r="5224" spans="1:44">
      <c r="A5224" s="4" t="s">
        <v>5</v>
      </c>
      <c r="B5224" s="4">
        <v>39907</v>
      </c>
      <c r="D5224" s="5">
        <v>39907</v>
      </c>
      <c r="E5224" s="6" t="str">
        <f>HYPERLINK("https://inpn.mnhn.fr/espece/cd_nom/39907","Russula melitodes Romagn., 1943")</f>
        <v>Russula melitodes Romagn., 1943</v>
      </c>
      <c r="F5224" s="5" t="s">
        <v>7633</v>
      </c>
      <c r="V5224" s="7" t="str">
        <f>HYPERLINK("#Liste_rouge!A"&amp;_xlfn.XMATCH("VU",Liste_rouge!A:A,2,1),"VU")</f>
        <v>VU</v>
      </c>
      <c r="W5224" s="4" t="str">
        <f>HYPERLINK("#Critères_liste_rouge!A$1","A2c")</f>
        <v>A2c</v>
      </c>
      <c r="AH5224" s="4" t="str">
        <f>HYPERLINK("#Statut_biogéographique!A"&amp;_xlfn.XMATCH("P",Statut_biogéographique!A:A,2,1),"P")</f>
        <v>P</v>
      </c>
      <c r="AP5224" s="4" t="s">
        <v>376</v>
      </c>
      <c r="AR5224" s="4" t="s">
        <v>377</v>
      </c>
    </row>
    <row r="5225" spans="1:44">
      <c r="A5225" s="4" t="s">
        <v>5</v>
      </c>
      <c r="B5225" s="4">
        <v>39909</v>
      </c>
      <c r="D5225" s="5">
        <v>39909</v>
      </c>
      <c r="E5225" s="6" t="str">
        <f>HYPERLINK("https://inpn.mnhn.fr/espece/cd_nom/39909","Russula melliolens Quél., 1898")</f>
        <v>Russula melliolens Quél., 1898</v>
      </c>
      <c r="F5225" s="5" t="s">
        <v>3847</v>
      </c>
      <c r="V5225" s="7" t="str">
        <f>HYPERLINK("#Liste_rouge!A"&amp;_xlfn.XMATCH("NT",Liste_rouge!A:A,2,1),"NT")</f>
        <v>NT</v>
      </c>
      <c r="W5225" s="4" t="str">
        <f>HYPERLINK("#Critères_liste_rouge!A$1","pr. B2abiii")</f>
        <v>pr. B2abiii</v>
      </c>
      <c r="AH5225" s="4" t="str">
        <f>HYPERLINK("#Statut_biogéographique!A"&amp;_xlfn.XMATCH("P",Statut_biogéographique!A:A,2,1),"P")</f>
        <v>P</v>
      </c>
      <c r="AP5225" s="4" t="s">
        <v>376</v>
      </c>
      <c r="AR5225" s="4" t="s">
        <v>377</v>
      </c>
    </row>
    <row r="5226" spans="1:44">
      <c r="A5226" s="4" t="s">
        <v>5</v>
      </c>
      <c r="B5226" s="4">
        <v>39913</v>
      </c>
      <c r="D5226" s="5" t="s">
        <v>7634</v>
      </c>
      <c r="E5226" s="6" t="str">
        <f>HYPERLINK("https://inpn.mnhn.fr/espece/cd_nom/39913","Russula minutula Velen., 1920")</f>
        <v>Russula minutula Velen., 1920</v>
      </c>
      <c r="F5226" s="5" t="s">
        <v>4957</v>
      </c>
      <c r="V5226" s="7" t="str">
        <f>HYPERLINK("#Liste_rouge!A"&amp;_xlfn.XMATCH("VU",Liste_rouge!A:A,2,1),"VU")</f>
        <v>VU</v>
      </c>
      <c r="W5226" s="4" t="str">
        <f>HYPERLINK("#Critères_liste_rouge!A$1","A2c")</f>
        <v>A2c</v>
      </c>
      <c r="AH5226" s="4" t="str">
        <f>HYPERLINK("#Statut_biogéographique!A"&amp;_xlfn.XMATCH("P",Statut_biogéographique!A:A,2,1),"P")</f>
        <v>P</v>
      </c>
      <c r="AP5226" s="4" t="s">
        <v>376</v>
      </c>
      <c r="AR5226" s="4" t="s">
        <v>377</v>
      </c>
    </row>
    <row r="5227" spans="1:44">
      <c r="A5227" s="4" t="s">
        <v>5</v>
      </c>
      <c r="B5227" s="4">
        <v>39914</v>
      </c>
      <c r="D5227" s="5" t="s">
        <v>7635</v>
      </c>
      <c r="E5227" s="6" t="str">
        <f>HYPERLINK("https://inpn.mnhn.fr/espece/cd_nom/39914","Russula mollis Quél., 1883")</f>
        <v>Russula mollis Quél., 1883</v>
      </c>
      <c r="V5227" s="7" t="str">
        <f>HYPERLINK("#Liste_rouge!A"&amp;_xlfn.XMATCH("LC",Liste_rouge!A:A,2,1),"LC")</f>
        <v>LC</v>
      </c>
      <c r="AH5227" s="4" t="str">
        <f>HYPERLINK("#Statut_biogéographique!A"&amp;_xlfn.XMATCH("P",Statut_biogéographique!A:A,2,1),"P")</f>
        <v>P</v>
      </c>
      <c r="AP5227" s="4" t="s">
        <v>376</v>
      </c>
      <c r="AR5227" s="4" t="s">
        <v>377</v>
      </c>
    </row>
    <row r="5228" spans="1:44">
      <c r="A5228" s="4" t="s">
        <v>5</v>
      </c>
      <c r="B5228" s="4">
        <v>39920</v>
      </c>
      <c r="D5228" s="5" t="s">
        <v>7636</v>
      </c>
      <c r="E5228" s="6" t="str">
        <f>HYPERLINK("https://inpn.mnhn.fr/espece/cd_nom/39920","Russula mustelina Fr., 1838")</f>
        <v>Russula mustelina Fr., 1838</v>
      </c>
      <c r="F5228" s="5" t="s">
        <v>2186</v>
      </c>
      <c r="V5228" s="7" t="str">
        <f>HYPERLINK("#Liste_rouge!A"&amp;_xlfn.XMATCH("LC",Liste_rouge!A:A,2,1),"LC")</f>
        <v>LC</v>
      </c>
      <c r="AH5228" s="4" t="str">
        <f>HYPERLINK("#Statut_biogéographique!A"&amp;_xlfn.XMATCH("P",Statut_biogéographique!A:A,2,1),"P")</f>
        <v>P</v>
      </c>
      <c r="AP5228" s="4" t="s">
        <v>376</v>
      </c>
      <c r="AR5228" s="4" t="s">
        <v>377</v>
      </c>
    </row>
    <row r="5229" spans="1:44">
      <c r="A5229" s="4" t="s">
        <v>5</v>
      </c>
      <c r="B5229" s="4">
        <v>39924</v>
      </c>
      <c r="D5229" s="5" t="s">
        <v>7637</v>
      </c>
      <c r="E5229" s="6" t="str">
        <f>HYPERLINK("https://inpn.mnhn.fr/espece/cd_nom/39924","Russula nauseosa (Pers.) Fr., 1838")</f>
        <v>Russula nauseosa (Pers.) Fr., 1838</v>
      </c>
      <c r="F5229" s="5" t="s">
        <v>7638</v>
      </c>
      <c r="V5229" s="7" t="str">
        <f>HYPERLINK("#Liste_rouge!A"&amp;_xlfn.XMATCH("LC",Liste_rouge!A:A,2,1),"LC")</f>
        <v>LC</v>
      </c>
      <c r="AH5229" s="4" t="str">
        <f>HYPERLINK("#Statut_biogéographique!A"&amp;_xlfn.XMATCH("P",Statut_biogéographique!A:A,2,1),"P")</f>
        <v>P</v>
      </c>
      <c r="AP5229" s="4" t="s">
        <v>376</v>
      </c>
      <c r="AR5229" s="4" t="s">
        <v>377</v>
      </c>
    </row>
    <row r="5230" spans="1:44">
      <c r="A5230" s="4" t="s">
        <v>5</v>
      </c>
      <c r="B5230" s="4">
        <v>39925</v>
      </c>
      <c r="D5230" s="5" t="s">
        <v>7639</v>
      </c>
      <c r="E5230" s="6" t="str">
        <f>HYPERLINK("https://inpn.mnhn.fr/espece/cd_nom/39925","Russula nigricans Fr., 1838")</f>
        <v>Russula nigricans Fr., 1838</v>
      </c>
      <c r="F5230" s="5" t="s">
        <v>3410</v>
      </c>
      <c r="V5230" s="7" t="str">
        <f>HYPERLINK("#Liste_rouge!A"&amp;_xlfn.XMATCH("LC",Liste_rouge!A:A,2,1),"LC")</f>
        <v>LC</v>
      </c>
      <c r="AH5230" s="4" t="str">
        <f>HYPERLINK("#Statut_biogéographique!A"&amp;_xlfn.XMATCH("P",Statut_biogéographique!A:A,2,1),"P")</f>
        <v>P</v>
      </c>
      <c r="AP5230" s="4" t="s">
        <v>376</v>
      </c>
      <c r="AR5230" s="4" t="s">
        <v>377</v>
      </c>
    </row>
    <row r="5231" spans="1:44">
      <c r="A5231" s="4" t="s">
        <v>5</v>
      </c>
      <c r="B5231" s="4">
        <v>39927</v>
      </c>
      <c r="D5231" s="5" t="s">
        <v>7640</v>
      </c>
      <c r="E5231" s="6" t="str">
        <f>HYPERLINK("https://inpn.mnhn.fr/espece/cd_nom/39927","Russula nitida (Pers.) Fr., 1838")</f>
        <v>Russula nitida (Pers.) Fr., 1838</v>
      </c>
      <c r="F5231" s="5" t="s">
        <v>7641</v>
      </c>
      <c r="V5231" s="7" t="str">
        <f>HYPERLINK("#Liste_rouge!A"&amp;_xlfn.XMATCH("NT",Liste_rouge!A:A,2,1),"NT")</f>
        <v>NT</v>
      </c>
      <c r="W5231" s="4" t="str">
        <f>HYPERLINK("#Critères_liste_rouge!A$1","pr. B2a")</f>
        <v>pr. B2a</v>
      </c>
      <c r="AH5231" s="4" t="str">
        <f>HYPERLINK("#Statut_biogéographique!A"&amp;_xlfn.XMATCH("P",Statut_biogéographique!A:A,2,1),"P")</f>
        <v>P</v>
      </c>
      <c r="AP5231" s="4" t="s">
        <v>376</v>
      </c>
      <c r="AR5231" s="4" t="s">
        <v>377</v>
      </c>
    </row>
    <row r="5232" spans="1:44">
      <c r="A5232" s="4" t="s">
        <v>5</v>
      </c>
      <c r="B5232" s="4">
        <v>39932</v>
      </c>
      <c r="D5232" s="5" t="s">
        <v>7642</v>
      </c>
      <c r="E5232" s="6" t="str">
        <f>HYPERLINK("https://inpn.mnhn.fr/espece/cd_nom/39932","Russula nobilis Velen., 1920")</f>
        <v>Russula nobilis Velen., 1920</v>
      </c>
      <c r="F5232" s="5" t="s">
        <v>2706</v>
      </c>
      <c r="V5232" s="7" t="str">
        <f>HYPERLINK("#Liste_rouge!A"&amp;_xlfn.XMATCH("LC",Liste_rouge!A:A,2,1),"LC")</f>
        <v>LC</v>
      </c>
      <c r="AH5232" s="4" t="str">
        <f>HYPERLINK("#Statut_biogéographique!A"&amp;_xlfn.XMATCH("P",Statut_biogéographique!A:A,2,1),"P")</f>
        <v>P</v>
      </c>
      <c r="AP5232" s="4" t="s">
        <v>376</v>
      </c>
      <c r="AR5232" s="4" t="s">
        <v>377</v>
      </c>
    </row>
    <row r="5233" spans="1:44">
      <c r="A5233" s="4" t="s">
        <v>5</v>
      </c>
      <c r="B5233" s="4">
        <v>39939</v>
      </c>
      <c r="D5233" s="5" t="s">
        <v>7643</v>
      </c>
      <c r="E5233" s="6" t="str">
        <f>HYPERLINK("https://inpn.mnhn.fr/espece/cd_nom/39939","Russula ochroleuca Pers.")</f>
        <v>Russula ochroleuca Pers.</v>
      </c>
      <c r="F5233" s="5" t="s">
        <v>2439</v>
      </c>
      <c r="V5233" s="7" t="str">
        <f>HYPERLINK("#Liste_rouge!A"&amp;_xlfn.XMATCH("LC",Liste_rouge!A:A,2,1),"LC")</f>
        <v>LC</v>
      </c>
      <c r="AH5233" s="4" t="str">
        <f>HYPERLINK("#Statut_biogéographique!A"&amp;_xlfn.XMATCH("P",Statut_biogéographique!A:A,2,1),"P")</f>
        <v>P</v>
      </c>
      <c r="AP5233" s="4" t="s">
        <v>376</v>
      </c>
      <c r="AR5233" s="4" t="s">
        <v>377</v>
      </c>
    </row>
    <row r="5234" spans="1:44" ht="30">
      <c r="A5234" s="4" t="s">
        <v>5</v>
      </c>
      <c r="B5234" s="4">
        <v>39942</v>
      </c>
      <c r="D5234" s="5" t="s">
        <v>7644</v>
      </c>
      <c r="E5234" s="6" t="str">
        <f>HYPERLINK("https://inpn.mnhn.fr/espece/cd_nom/39942","Russula ochroleuca var. granulosa (Cooke) Rea, 1922")</f>
        <v>Russula ochroleuca var. granulosa (Cooke) Rea, 1922</v>
      </c>
      <c r="AH5234" s="4" t="str">
        <f>HYPERLINK("#Statut_biogéographique!A"&amp;_xlfn.XMATCH("P",Statut_biogéographique!A:A,2,1),"P")</f>
        <v>P</v>
      </c>
      <c r="AP5234" s="4" t="s">
        <v>376</v>
      </c>
      <c r="AR5234" s="4" t="s">
        <v>377</v>
      </c>
    </row>
    <row r="5235" spans="1:44">
      <c r="A5235" s="4" t="s">
        <v>5</v>
      </c>
      <c r="B5235" s="4">
        <v>39946</v>
      </c>
      <c r="D5235" s="5">
        <v>39946</v>
      </c>
      <c r="E5235" s="6" t="str">
        <f>HYPERLINK("https://inpn.mnhn.fr/espece/cd_nom/39946","Russula odorata Romagn., 1950")</f>
        <v>Russula odorata Romagn., 1950</v>
      </c>
      <c r="F5235" s="5" t="s">
        <v>3068</v>
      </c>
      <c r="V5235" s="7" t="str">
        <f>HYPERLINK("#Liste_rouge!A"&amp;_xlfn.XMATCH("DD",Liste_rouge!A:A,2,1),"DD")</f>
        <v>DD</v>
      </c>
      <c r="AH5235" s="4" t="str">
        <f>HYPERLINK("#Statut_biogéographique!A"&amp;_xlfn.XMATCH("P",Statut_biogéographique!A:A,2,1),"P")</f>
        <v>P</v>
      </c>
      <c r="AP5235" s="4" t="s">
        <v>376</v>
      </c>
      <c r="AR5235" s="4" t="s">
        <v>377</v>
      </c>
    </row>
    <row r="5236" spans="1:44">
      <c r="A5236" s="4" t="s">
        <v>5</v>
      </c>
      <c r="B5236" s="4">
        <v>39948</v>
      </c>
      <c r="D5236" s="5" t="s">
        <v>7645</v>
      </c>
      <c r="E5236" s="6" t="str">
        <f>HYPERLINK("https://inpn.mnhn.fr/espece/cd_nom/39948","Russula olivacea (Schaeff.) Fr., 1838")</f>
        <v>Russula olivacea (Schaeff.) Fr., 1838</v>
      </c>
      <c r="F5236" s="5" t="s">
        <v>3499</v>
      </c>
      <c r="V5236" s="7" t="str">
        <f>HYPERLINK("#Liste_rouge!A"&amp;_xlfn.XMATCH("LC",Liste_rouge!A:A,2,1),"LC")</f>
        <v>LC</v>
      </c>
      <c r="AH5236" s="4" t="str">
        <f>HYPERLINK("#Statut_biogéographique!A"&amp;_xlfn.XMATCH("P",Statut_biogéographique!A:A,2,1),"P")</f>
        <v>P</v>
      </c>
      <c r="AP5236" s="4" t="s">
        <v>376</v>
      </c>
      <c r="AR5236" s="4" t="s">
        <v>377</v>
      </c>
    </row>
    <row r="5237" spans="1:44" ht="30">
      <c r="A5237" s="4" t="s">
        <v>5</v>
      </c>
      <c r="B5237" s="4">
        <v>39951</v>
      </c>
      <c r="D5237" s="5" t="s">
        <v>7646</v>
      </c>
      <c r="E5237" s="6" t="str">
        <f>HYPERLINK("https://inpn.mnhn.fr/espece/cd_nom/39951","Russula olivacea var. pavonina (Bres.) Reumaux, 1997")</f>
        <v>Russula olivacea var. pavonina (Bres.) Reumaux, 1997</v>
      </c>
      <c r="AH5237" s="4" t="str">
        <f>HYPERLINK("#Statut_biogéographique!A"&amp;_xlfn.XMATCH("P",Statut_biogéographique!A:A,2,1),"P")</f>
        <v>P</v>
      </c>
      <c r="AP5237" s="4" t="s">
        <v>376</v>
      </c>
      <c r="AR5237" s="4" t="s">
        <v>377</v>
      </c>
    </row>
    <row r="5238" spans="1:44">
      <c r="A5238" s="4" t="s">
        <v>5</v>
      </c>
      <c r="B5238" s="4">
        <v>39962</v>
      </c>
      <c r="D5238" s="5">
        <v>39962</v>
      </c>
      <c r="E5238" s="6" t="str">
        <f>HYPERLINK("https://inpn.mnhn.fr/espece/cd_nom/39962","Russula paludosa Britzelm., 1891")</f>
        <v>Russula paludosa Britzelm., 1891</v>
      </c>
      <c r="F5238" s="5" t="s">
        <v>3970</v>
      </c>
      <c r="O5238" s="7" t="str">
        <f>HYPERLINK("#Liste_rouge!A"&amp;_xlfn.XMATCH("LC",Liste_rouge!A:A,2,1),"LC")</f>
        <v>LC</v>
      </c>
      <c r="V5238" s="7" t="str">
        <f>HYPERLINK("#Liste_rouge!A"&amp;_xlfn.XMATCH("EN",Liste_rouge!A:A,2,1),"EN")</f>
        <v>EN</v>
      </c>
      <c r="W5238" s="4" t="str">
        <f>HYPERLINK("#Critères_liste_rouge!A$1","A2c")</f>
        <v>A2c</v>
      </c>
      <c r="AH5238" s="4" t="str">
        <f>HYPERLINK("#Statut_biogéographique!A"&amp;_xlfn.XMATCH("P",Statut_biogéographique!A:A,2,1),"P")</f>
        <v>P</v>
      </c>
      <c r="AP5238" s="4" t="s">
        <v>376</v>
      </c>
      <c r="AR5238" s="4" t="s">
        <v>377</v>
      </c>
    </row>
    <row r="5239" spans="1:44">
      <c r="A5239" s="4" t="s">
        <v>5</v>
      </c>
      <c r="B5239" s="4">
        <v>39966</v>
      </c>
      <c r="D5239" s="5" t="s">
        <v>7647</v>
      </c>
      <c r="E5239" s="6" t="str">
        <f>HYPERLINK("https://inpn.mnhn.fr/espece/cd_nom/39966","Russula parazurea Jul.Schäff., 1931")</f>
        <v>Russula parazurea Jul.Schäff., 1931</v>
      </c>
      <c r="F5239" s="5" t="s">
        <v>1440</v>
      </c>
      <c r="V5239" s="7" t="str">
        <f>HYPERLINK("#Liste_rouge!A"&amp;_xlfn.XMATCH("NT",Liste_rouge!A:A,2,1),"NT")</f>
        <v>NT</v>
      </c>
      <c r="W5239" s="4" t="str">
        <f>HYPERLINK("#Critères_liste_rouge!A$1","pr. A2c")</f>
        <v>pr. A2c</v>
      </c>
      <c r="AH5239" s="4" t="str">
        <f>HYPERLINK("#Statut_biogéographique!A"&amp;_xlfn.XMATCH("P",Statut_biogéographique!A:A,2,1),"P")</f>
        <v>P</v>
      </c>
      <c r="AP5239" s="4" t="s">
        <v>376</v>
      </c>
      <c r="AR5239" s="4" t="s">
        <v>377</v>
      </c>
    </row>
    <row r="5240" spans="1:44">
      <c r="A5240" s="4" t="s">
        <v>5</v>
      </c>
      <c r="B5240" s="4">
        <v>39970</v>
      </c>
      <c r="D5240" s="5" t="s">
        <v>7648</v>
      </c>
      <c r="E5240" s="6" t="str">
        <f>HYPERLINK("https://inpn.mnhn.fr/espece/cd_nom/39970","Russula pectinata Fr., 1838")</f>
        <v>Russula pectinata Fr., 1838</v>
      </c>
      <c r="F5240" s="5" t="s">
        <v>4260</v>
      </c>
      <c r="V5240" s="7" t="str">
        <f>HYPERLINK("#Liste_rouge!A"&amp;_xlfn.XMATCH("LC",Liste_rouge!A:A,2,1),"LC")</f>
        <v>LC</v>
      </c>
      <c r="AH5240" s="4" t="str">
        <f>HYPERLINK("#Statut_biogéographique!A"&amp;_xlfn.XMATCH("P",Statut_biogéographique!A:A,2,1),"P")</f>
        <v>P</v>
      </c>
      <c r="AP5240" s="4" t="s">
        <v>376</v>
      </c>
      <c r="AR5240" s="4" t="s">
        <v>377</v>
      </c>
    </row>
    <row r="5241" spans="1:44">
      <c r="A5241" s="4" t="s">
        <v>5</v>
      </c>
      <c r="B5241" s="4">
        <v>39973</v>
      </c>
      <c r="D5241" s="5">
        <v>39973</v>
      </c>
      <c r="E5241" s="6" t="str">
        <f>HYPERLINK("https://inpn.mnhn.fr/espece/cd_nom/39973","Russula pelargonia Niolle, 1941")</f>
        <v>Russula pelargonia Niolle, 1941</v>
      </c>
      <c r="F5241" s="5" t="s">
        <v>3473</v>
      </c>
      <c r="V5241" s="7" t="str">
        <f>HYPERLINK("#Liste_rouge!A"&amp;_xlfn.XMATCH("LC",Liste_rouge!A:A,2,1),"LC")</f>
        <v>LC</v>
      </c>
      <c r="AH5241" s="4" t="str">
        <f>HYPERLINK("#Statut_biogéographique!A"&amp;_xlfn.XMATCH("P",Statut_biogéographique!A:A,2,1),"P")</f>
        <v>P</v>
      </c>
      <c r="AP5241" s="4" t="s">
        <v>376</v>
      </c>
      <c r="AR5241" s="4" t="s">
        <v>377</v>
      </c>
    </row>
    <row r="5242" spans="1:44">
      <c r="A5242" s="4" t="s">
        <v>5</v>
      </c>
      <c r="B5242" s="4">
        <v>39977</v>
      </c>
      <c r="D5242" s="5" t="s">
        <v>7649</v>
      </c>
      <c r="E5242" s="6" t="str">
        <f>HYPERLINK("https://inpn.mnhn.fr/espece/cd_nom/39977","Russula persicina Krombh., 1845")</f>
        <v>Russula persicina Krombh., 1845</v>
      </c>
      <c r="F5242" s="5" t="s">
        <v>559</v>
      </c>
      <c r="V5242" s="7" t="str">
        <f>HYPERLINK("#Liste_rouge!A"&amp;_xlfn.XMATCH("EN",Liste_rouge!A:A,2,1),"EN")</f>
        <v>EN</v>
      </c>
      <c r="W5242" s="4" t="str">
        <f>HYPERLINK("#Critères_liste_rouge!A$1","B2abiii")</f>
        <v>B2abiii</v>
      </c>
      <c r="AH5242" s="4" t="str">
        <f>HYPERLINK("#Statut_biogéographique!A"&amp;_xlfn.XMATCH("P",Statut_biogéographique!A:A,2,1),"P")</f>
        <v>P</v>
      </c>
      <c r="AP5242" s="4" t="s">
        <v>376</v>
      </c>
      <c r="AR5242" s="4" t="s">
        <v>377</v>
      </c>
    </row>
    <row r="5243" spans="1:44" ht="30">
      <c r="A5243" s="4" t="s">
        <v>5</v>
      </c>
      <c r="B5243" s="4">
        <v>39986</v>
      </c>
      <c r="D5243" s="5" t="s">
        <v>7650</v>
      </c>
      <c r="E5243" s="6" t="str">
        <f>HYPERLINK("https://inpn.mnhn.fr/espece/cd_nom/39986","Russula pseudoaeruginea (Romagn.) Kuyper &amp; Vuure, 1985")</f>
        <v>Russula pseudoaeruginea (Romagn.) Kuyper &amp; Vuure, 1985</v>
      </c>
      <c r="V5243" s="7" t="str">
        <f>HYPERLINK("#Liste_rouge!A"&amp;_xlfn.XMATCH("NT",Liste_rouge!A:A,2,1),"NT")</f>
        <v>NT</v>
      </c>
      <c r="W5243" s="4" t="str">
        <f>HYPERLINK("#Critères_liste_rouge!A$1","pr. B2abiii")</f>
        <v>pr. B2abiii</v>
      </c>
      <c r="AH5243" s="4" t="str">
        <f>HYPERLINK("#Statut_biogéographique!A"&amp;_xlfn.XMATCH("P",Statut_biogéographique!A:A,2,1),"P")</f>
        <v>P</v>
      </c>
      <c r="AP5243" s="4" t="s">
        <v>376</v>
      </c>
      <c r="AR5243" s="4" t="s">
        <v>377</v>
      </c>
    </row>
    <row r="5244" spans="1:44">
      <c r="A5244" s="4" t="s">
        <v>5</v>
      </c>
      <c r="B5244" s="4">
        <v>39994</v>
      </c>
      <c r="D5244" s="5">
        <v>39994</v>
      </c>
      <c r="E5244" s="6" t="str">
        <f>HYPERLINK("https://inpn.mnhn.fr/espece/cd_nom/39994","Russula pseudointegra Arnould &amp; Goris, 1907")</f>
        <v>Russula pseudointegra Arnould &amp; Goris, 1907</v>
      </c>
      <c r="F5244" s="5" t="s">
        <v>1896</v>
      </c>
      <c r="V5244" s="7" t="str">
        <f>HYPERLINK("#Liste_rouge!A"&amp;_xlfn.XMATCH("LC",Liste_rouge!A:A,2,1),"LC")</f>
        <v>LC</v>
      </c>
      <c r="AH5244" s="4" t="str">
        <f>HYPERLINK("#Statut_biogéographique!A"&amp;_xlfn.XMATCH("P",Statut_biogéographique!A:A,2,1),"P")</f>
        <v>P</v>
      </c>
      <c r="AP5244" s="4" t="s">
        <v>376</v>
      </c>
      <c r="AR5244" s="4" t="s">
        <v>377</v>
      </c>
    </row>
    <row r="5245" spans="1:44">
      <c r="A5245" s="4" t="s">
        <v>5</v>
      </c>
      <c r="B5245" s="4">
        <v>39999</v>
      </c>
      <c r="D5245" s="5">
        <v>39999</v>
      </c>
      <c r="E5245" s="6" t="str">
        <f>HYPERLINK("https://inpn.mnhn.fr/espece/cd_nom/39999","Russula pseudoromellii J.Blum ex Bon, 1986")</f>
        <v>Russula pseudoromellii J.Blum ex Bon, 1986</v>
      </c>
      <c r="V5245" s="7" t="str">
        <f>HYPERLINK("#Liste_rouge!A"&amp;_xlfn.XMATCH("LC",Liste_rouge!A:A,2,1),"LC")</f>
        <v>LC</v>
      </c>
      <c r="AH5245" s="4" t="str">
        <f>HYPERLINK("#Statut_biogéographique!A"&amp;_xlfn.XMATCH("P",Statut_biogéographique!A:A,2,1),"P")</f>
        <v>P</v>
      </c>
      <c r="AP5245" s="4" t="s">
        <v>376</v>
      </c>
      <c r="AR5245" s="4" t="s">
        <v>377</v>
      </c>
    </row>
    <row r="5246" spans="1:44">
      <c r="A5246" s="4" t="s">
        <v>5</v>
      </c>
      <c r="B5246" s="4">
        <v>40000</v>
      </c>
      <c r="D5246" s="5">
        <v>40000</v>
      </c>
      <c r="E5246" s="6" t="str">
        <f>HYPERLINK("https://inpn.mnhn.fr/espece/cd_nom/40000","Russula puellaris Fr., 1838")</f>
        <v>Russula puellaris Fr., 1838</v>
      </c>
      <c r="F5246" s="5" t="s">
        <v>7651</v>
      </c>
      <c r="V5246" s="7" t="str">
        <f>HYPERLINK("#Liste_rouge!A"&amp;_xlfn.XMATCH("LC",Liste_rouge!A:A,2,1),"LC")</f>
        <v>LC</v>
      </c>
      <c r="AH5246" s="4" t="str">
        <f>HYPERLINK("#Statut_biogéographique!A"&amp;_xlfn.XMATCH("P",Statut_biogéographique!A:A,2,1),"P")</f>
        <v>P</v>
      </c>
      <c r="AP5246" s="4" t="s">
        <v>376</v>
      </c>
      <c r="AR5246" s="4" t="s">
        <v>377</v>
      </c>
    </row>
    <row r="5247" spans="1:44" ht="30">
      <c r="A5247" s="4" t="s">
        <v>5</v>
      </c>
      <c r="B5247" s="4">
        <v>40001</v>
      </c>
      <c r="D5247" s="5" t="s">
        <v>7652</v>
      </c>
      <c r="E5247" s="6" t="str">
        <f>HYPERLINK("https://inpn.mnhn.fr/espece/cd_nom/40001","Russula puellaris var. minutalis (Britzelm.) Singer, 1926")</f>
        <v>Russula puellaris var. minutalis (Britzelm.) Singer, 1926</v>
      </c>
      <c r="AH5247" s="4" t="str">
        <f>HYPERLINK("#Statut_biogéographique!A"&amp;_xlfn.XMATCH("P",Statut_biogéographique!A:A,2,1),"P")</f>
        <v>P</v>
      </c>
      <c r="AP5247" s="4" t="s">
        <v>376</v>
      </c>
      <c r="AR5247" s="4" t="s">
        <v>377</v>
      </c>
    </row>
    <row r="5248" spans="1:44" ht="30">
      <c r="A5248" s="4" t="s">
        <v>5</v>
      </c>
      <c r="B5248" s="4">
        <v>40003</v>
      </c>
      <c r="D5248" s="5">
        <v>40003</v>
      </c>
      <c r="E5248" s="6" t="str">
        <f>HYPERLINK("https://inpn.mnhn.fr/espece/cd_nom/40003","Russula puellula Ebbesen, F.H.Møller &amp; Jul.Schäff., 1937")</f>
        <v>Russula puellula Ebbesen, F.H.Møller &amp; Jul.Schäff., 1937</v>
      </c>
      <c r="F5248" s="5" t="s">
        <v>2251</v>
      </c>
      <c r="V5248" s="7" t="str">
        <f>HYPERLINK("#Liste_rouge!A"&amp;_xlfn.XMATCH("LC",Liste_rouge!A:A,2,1),"LC")</f>
        <v>LC</v>
      </c>
      <c r="AH5248" s="4" t="str">
        <f>HYPERLINK("#Statut_biogéographique!A"&amp;_xlfn.XMATCH("P",Statut_biogéographique!A:A,2,1),"P")</f>
        <v>P</v>
      </c>
      <c r="AP5248" s="4" t="s">
        <v>376</v>
      </c>
      <c r="AR5248" s="4" t="s">
        <v>377</v>
      </c>
    </row>
    <row r="5249" spans="1:44">
      <c r="A5249" s="4" t="s">
        <v>5</v>
      </c>
      <c r="B5249" s="4">
        <v>40009</v>
      </c>
      <c r="D5249" s="5" t="s">
        <v>7653</v>
      </c>
      <c r="E5249" s="6" t="str">
        <f>HYPERLINK("https://inpn.mnhn.fr/espece/cd_nom/40009","Russula queletii Fr., 1872")</f>
        <v>Russula queletii Fr., 1872</v>
      </c>
      <c r="F5249" s="5" t="s">
        <v>7654</v>
      </c>
      <c r="V5249" s="7" t="str">
        <f>HYPERLINK("#Liste_rouge!A"&amp;_xlfn.XMATCH("LC",Liste_rouge!A:A,2,1),"LC")</f>
        <v>LC</v>
      </c>
      <c r="AH5249" s="4" t="str">
        <f>HYPERLINK("#Statut_biogéographique!A"&amp;_xlfn.XMATCH("P",Statut_biogéographique!A:A,2,1),"P")</f>
        <v>P</v>
      </c>
      <c r="AP5249" s="4" t="s">
        <v>376</v>
      </c>
      <c r="AR5249" s="4" t="s">
        <v>377</v>
      </c>
    </row>
    <row r="5250" spans="1:44">
      <c r="A5250" s="4" t="s">
        <v>5</v>
      </c>
      <c r="B5250" s="4">
        <v>40025</v>
      </c>
      <c r="D5250" s="5">
        <v>40025</v>
      </c>
      <c r="E5250" s="6" t="str">
        <f>HYPERLINK("https://inpn.mnhn.fr/espece/cd_nom/40025","Russula romellii Maire, 1910")</f>
        <v>Russula romellii Maire, 1910</v>
      </c>
      <c r="F5250" s="5" t="s">
        <v>7655</v>
      </c>
      <c r="V5250" s="7" t="str">
        <f>HYPERLINK("#Liste_rouge!A"&amp;_xlfn.XMATCH("LC",Liste_rouge!A:A,2,1),"LC")</f>
        <v>LC</v>
      </c>
      <c r="AH5250" s="4" t="str">
        <f>HYPERLINK("#Statut_biogéographique!A"&amp;_xlfn.XMATCH("P",Statut_biogéographique!A:A,2,1),"P")</f>
        <v>P</v>
      </c>
      <c r="AP5250" s="4" t="s">
        <v>376</v>
      </c>
      <c r="AR5250" s="4" t="s">
        <v>377</v>
      </c>
    </row>
    <row r="5251" spans="1:44">
      <c r="A5251" s="4" t="s">
        <v>5</v>
      </c>
      <c r="B5251" s="4">
        <v>40028</v>
      </c>
      <c r="D5251" s="5" t="s">
        <v>7656</v>
      </c>
      <c r="E5251" s="6" t="str">
        <f>HYPERLINK("https://inpn.mnhn.fr/espece/cd_nom/40028","Russula roseipes Secr. ex Bres., 1883")</f>
        <v>Russula roseipes Secr. ex Bres., 1883</v>
      </c>
      <c r="V5251" s="7" t="str">
        <f>HYPERLINK("#Liste_rouge!A"&amp;_xlfn.XMATCH("EN",Liste_rouge!A:A,2,1),"EN")</f>
        <v>EN</v>
      </c>
      <c r="W5251" s="4" t="str">
        <f>HYPERLINK("#Critères_liste_rouge!A$1","B2abiii")</f>
        <v>B2abiii</v>
      </c>
      <c r="AH5251" s="4" t="str">
        <f>HYPERLINK("#Statut_biogéographique!A"&amp;_xlfn.XMATCH("P",Statut_biogéographique!A:A,2,1),"P")</f>
        <v>P</v>
      </c>
      <c r="AP5251" s="4" t="s">
        <v>376</v>
      </c>
      <c r="AR5251" s="4" t="s">
        <v>377</v>
      </c>
    </row>
    <row r="5252" spans="1:44" ht="30">
      <c r="A5252" s="4" t="s">
        <v>5</v>
      </c>
      <c r="B5252" s="4">
        <v>40033</v>
      </c>
      <c r="D5252" s="5" t="s">
        <v>7657</v>
      </c>
      <c r="E5252" s="6" t="str">
        <f>HYPERLINK("https://inpn.mnhn.fr/espece/cd_nom/40033","Russula rubra (Lam.) Fr., 1838")</f>
        <v>Russula rubra (Lam.) Fr., 1838</v>
      </c>
      <c r="F5252" s="5" t="s">
        <v>1253</v>
      </c>
      <c r="V5252" s="7" t="str">
        <f>HYPERLINK("#Liste_rouge!A"&amp;_xlfn.XMATCH("EN",Liste_rouge!A:A,2,1),"EN")</f>
        <v>EN</v>
      </c>
      <c r="W5252" s="4" t="str">
        <f>HYPERLINK("#Critères_liste_rouge!A$1","A2c")</f>
        <v>A2c</v>
      </c>
      <c r="AH5252" s="4" t="str">
        <f>HYPERLINK("#Statut_biogéographique!A"&amp;_xlfn.XMATCH("P",Statut_biogéographique!A:A,2,1),"P")</f>
        <v>P</v>
      </c>
      <c r="AP5252" s="4" t="s">
        <v>376</v>
      </c>
      <c r="AR5252" s="4" t="s">
        <v>377</v>
      </c>
    </row>
    <row r="5253" spans="1:44">
      <c r="A5253" s="4" t="s">
        <v>5</v>
      </c>
      <c r="B5253" s="4">
        <v>40036</v>
      </c>
      <c r="D5253" s="5" t="s">
        <v>7658</v>
      </c>
      <c r="E5253" s="6" t="str">
        <f>HYPERLINK("https://inpn.mnhn.fr/espece/cd_nom/40036","Russula rubroalba (Singer) Romagn., 1967")</f>
        <v>Russula rubroalba (Singer) Romagn., 1967</v>
      </c>
      <c r="F5253" s="5" t="s">
        <v>1366</v>
      </c>
      <c r="V5253" s="7" t="str">
        <f>HYPERLINK("#Liste_rouge!A"&amp;_xlfn.XMATCH("EN",Liste_rouge!A:A,2,1),"EN")</f>
        <v>EN</v>
      </c>
      <c r="W5253" s="4" t="str">
        <f>HYPERLINK("#Critères_liste_rouge!A$1","B2abiii")</f>
        <v>B2abiii</v>
      </c>
      <c r="AH5253" s="4" t="str">
        <f>HYPERLINK("#Statut_biogéographique!A"&amp;_xlfn.XMATCH("P",Statut_biogéographique!A:A,2,1),"P")</f>
        <v>P</v>
      </c>
      <c r="AP5253" s="4" t="s">
        <v>376</v>
      </c>
      <c r="AR5253" s="4" t="s">
        <v>377</v>
      </c>
    </row>
    <row r="5254" spans="1:44" ht="30">
      <c r="A5254" s="4" t="s">
        <v>5</v>
      </c>
      <c r="B5254" s="4">
        <v>40044</v>
      </c>
      <c r="D5254" s="5" t="s">
        <v>7659</v>
      </c>
      <c r="E5254" s="6" t="str">
        <f>HYPERLINK("https://inpn.mnhn.fr/espece/cd_nom/40044","Russula sanguinaria (Schumach.) Rauschert, 1989")</f>
        <v>Russula sanguinaria (Schumach.) Rauschert, 1989</v>
      </c>
      <c r="F5254" s="5" t="s">
        <v>3734</v>
      </c>
      <c r="V5254" s="7" t="str">
        <f>HYPERLINK("#Liste_rouge!A"&amp;_xlfn.XMATCH("LC",Liste_rouge!A:A,2,1),"LC")</f>
        <v>LC</v>
      </c>
      <c r="AH5254" s="4" t="str">
        <f>HYPERLINK("#Statut_biogéographique!A"&amp;_xlfn.XMATCH("P",Statut_biogéographique!A:A,2,1),"P")</f>
        <v>P</v>
      </c>
      <c r="AP5254" s="4" t="s">
        <v>376</v>
      </c>
      <c r="AR5254" s="4" t="s">
        <v>377</v>
      </c>
    </row>
    <row r="5255" spans="1:44" ht="30">
      <c r="A5255" s="4" t="s">
        <v>5</v>
      </c>
      <c r="B5255" s="4">
        <v>40048</v>
      </c>
      <c r="D5255" s="5" t="s">
        <v>7660</v>
      </c>
      <c r="E5255" s="6" t="str">
        <f>HYPERLINK("https://inpn.mnhn.fr/espece/cd_nom/40048","Russula sanguinaria var. confusa (Velen.) Bon, 1994")</f>
        <v>Russula sanguinaria var. confusa (Velen.) Bon, 1994</v>
      </c>
      <c r="AH5255" s="4" t="str">
        <f>HYPERLINK("#Statut_biogéographique!A"&amp;_xlfn.XMATCH("P",Statut_biogéographique!A:A,2,1),"P")</f>
        <v>P</v>
      </c>
      <c r="AP5255" s="4" t="s">
        <v>376</v>
      </c>
      <c r="AR5255" s="4" t="s">
        <v>377</v>
      </c>
    </row>
    <row r="5256" spans="1:44">
      <c r="A5256" s="4" t="s">
        <v>5</v>
      </c>
      <c r="B5256" s="4">
        <v>40056</v>
      </c>
      <c r="D5256" s="5">
        <v>40056</v>
      </c>
      <c r="E5256" s="6" t="str">
        <f>HYPERLINK("https://inpn.mnhn.fr/espece/cd_nom/40056","Russula sericatula Romagn., 1958")</f>
        <v>Russula sericatula Romagn., 1958</v>
      </c>
      <c r="F5256" s="5" t="s">
        <v>1170</v>
      </c>
      <c r="V5256" s="7" t="str">
        <f>HYPERLINK("#Liste_rouge!A"&amp;_xlfn.XMATCH("CR",Liste_rouge!A:A,2,1),"CR")</f>
        <v>CR</v>
      </c>
      <c r="W5256" s="4" t="str">
        <f>HYPERLINK("#Critères_liste_rouge!A$1","B2abiii")</f>
        <v>B2abiii</v>
      </c>
      <c r="AH5256" s="4" t="str">
        <f>HYPERLINK("#Statut_biogéographique!A"&amp;_xlfn.XMATCH("P",Statut_biogéographique!A:A,2,1),"P")</f>
        <v>P</v>
      </c>
      <c r="AP5256" s="4" t="s">
        <v>376</v>
      </c>
      <c r="AR5256" s="4" t="s">
        <v>377</v>
      </c>
    </row>
    <row r="5257" spans="1:44">
      <c r="A5257" s="4" t="s">
        <v>5</v>
      </c>
      <c r="B5257" s="4">
        <v>40060</v>
      </c>
      <c r="D5257" s="5" t="s">
        <v>7661</v>
      </c>
      <c r="E5257" s="6" t="str">
        <f>HYPERLINK("https://inpn.mnhn.fr/espece/cd_nom/40060","Russula solaris Ferd. &amp; Winge, 1924")</f>
        <v>Russula solaris Ferd. &amp; Winge, 1924</v>
      </c>
      <c r="F5257" s="5" t="s">
        <v>3618</v>
      </c>
      <c r="V5257" s="7" t="str">
        <f>HYPERLINK("#Liste_rouge!A"&amp;_xlfn.XMATCH("EN",Liste_rouge!A:A,2,1),"EN")</f>
        <v>EN</v>
      </c>
      <c r="W5257" s="4" t="str">
        <f>HYPERLINK("#Critères_liste_rouge!A$1","A2c")</f>
        <v>A2c</v>
      </c>
      <c r="AH5257" s="4" t="str">
        <f>HYPERLINK("#Statut_biogéographique!A"&amp;_xlfn.XMATCH("P",Statut_biogéographique!A:A,2,1),"P")</f>
        <v>P</v>
      </c>
      <c r="AP5257" s="4" t="s">
        <v>376</v>
      </c>
      <c r="AR5257" s="4" t="s">
        <v>377</v>
      </c>
    </row>
    <row r="5258" spans="1:44">
      <c r="A5258" s="4" t="s">
        <v>5</v>
      </c>
      <c r="B5258" s="4">
        <v>40061</v>
      </c>
      <c r="D5258" s="5" t="s">
        <v>7662</v>
      </c>
      <c r="E5258" s="6" t="str">
        <f>HYPERLINK("https://inpn.mnhn.fr/espece/cd_nom/40061","Russula sororia (Fr.) Romell, 1891")</f>
        <v>Russula sororia (Fr.) Romell, 1891</v>
      </c>
      <c r="F5258" s="5" t="s">
        <v>7663</v>
      </c>
      <c r="V5258" s="7" t="str">
        <f>HYPERLINK("#Liste_rouge!A"&amp;_xlfn.XMATCH("EN",Liste_rouge!A:A,2,1),"EN")</f>
        <v>EN</v>
      </c>
      <c r="W5258" s="4" t="str">
        <f>HYPERLINK("#Critères_liste_rouge!A$1","B2abiii")</f>
        <v>B2abiii</v>
      </c>
      <c r="AH5258" s="4" t="str">
        <f>HYPERLINK("#Statut_biogéographique!A"&amp;_xlfn.XMATCH("P",Statut_biogéographique!A:A,2,1),"P")</f>
        <v>P</v>
      </c>
      <c r="AP5258" s="4" t="s">
        <v>376</v>
      </c>
      <c r="AR5258" s="4" t="s">
        <v>377</v>
      </c>
    </row>
    <row r="5259" spans="1:44">
      <c r="A5259" s="4" t="s">
        <v>5</v>
      </c>
      <c r="B5259" s="4">
        <v>40066</v>
      </c>
      <c r="D5259" s="5">
        <v>40066</v>
      </c>
      <c r="E5259" s="6" t="str">
        <f>HYPERLINK("https://inpn.mnhn.fr/espece/cd_nom/40066","Russula stenotricha Romagn., 1962")</f>
        <v>Russula stenotricha Romagn., 1962</v>
      </c>
      <c r="AH5259" s="4" t="str">
        <f>HYPERLINK("#Statut_biogéographique!A"&amp;_xlfn.XMATCH("P",Statut_biogéographique!A:A,2,1),"P")</f>
        <v>P</v>
      </c>
      <c r="AP5259" s="4" t="s">
        <v>376</v>
      </c>
      <c r="AR5259" s="4" t="s">
        <v>377</v>
      </c>
    </row>
    <row r="5260" spans="1:44">
      <c r="A5260" s="4" t="s">
        <v>5</v>
      </c>
      <c r="B5260" s="4">
        <v>40071</v>
      </c>
      <c r="D5260" s="5" t="s">
        <v>7664</v>
      </c>
      <c r="E5260" s="6" t="str">
        <f>HYPERLINK("https://inpn.mnhn.fr/espece/cd_nom/40071","Russula subfoetens W.G.Sm., 1873")</f>
        <v>Russula subfoetens W.G.Sm., 1873</v>
      </c>
      <c r="F5260" s="5" t="s">
        <v>4399</v>
      </c>
      <c r="V5260" s="7" t="str">
        <f>HYPERLINK("#Liste_rouge!A"&amp;_xlfn.XMATCH("LC",Liste_rouge!A:A,2,1),"LC")</f>
        <v>LC</v>
      </c>
      <c r="AH5260" s="4" t="str">
        <f>HYPERLINK("#Statut_biogéographique!A"&amp;_xlfn.XMATCH("P",Statut_biogéographique!A:A,2,1),"P")</f>
        <v>P</v>
      </c>
      <c r="AP5260" s="4" t="s">
        <v>376</v>
      </c>
      <c r="AR5260" s="4" t="s">
        <v>377</v>
      </c>
    </row>
    <row r="5261" spans="1:44" ht="30">
      <c r="A5261" s="4" t="s">
        <v>5</v>
      </c>
      <c r="B5261" s="4">
        <v>40076</v>
      </c>
      <c r="D5261" s="5" t="s">
        <v>7665</v>
      </c>
      <c r="E5261" s="6" t="str">
        <f>HYPERLINK("https://inpn.mnhn.fr/espece/cd_nom/40076","Russula grata Britzelm., 1893")</f>
        <v>Russula grata Britzelm., 1893</v>
      </c>
      <c r="F5261" s="5" t="s">
        <v>7666</v>
      </c>
      <c r="V5261" s="7" t="str">
        <f>HYPERLINK("#Liste_rouge!A"&amp;_xlfn.XMATCH("LC",Liste_rouge!A:A,2,1),"LC (cd_nom 39862) - RE (cd_nom 40074)")</f>
        <v>LC (cd_nom 39862) - RE (cd_nom 40074)</v>
      </c>
      <c r="AH5261" s="4" t="str">
        <f>HYPERLINK("#Statut_biogéographique!A"&amp;_xlfn.XMATCH("P",Statut_biogéographique!A:A,2,1),"P")</f>
        <v>P</v>
      </c>
      <c r="AP5261" s="4" t="s">
        <v>376</v>
      </c>
      <c r="AR5261" s="4" t="s">
        <v>377</v>
      </c>
    </row>
    <row r="5262" spans="1:44">
      <c r="A5262" s="4" t="s">
        <v>5</v>
      </c>
      <c r="B5262" s="4">
        <v>40080</v>
      </c>
      <c r="D5262" s="5" t="s">
        <v>7667</v>
      </c>
      <c r="E5262" s="6" t="str">
        <f>HYPERLINK("https://inpn.mnhn.fr/espece/cd_nom/40080","Russula subrubens (J.E.Lange) Bon, 1972")</f>
        <v>Russula subrubens (J.E.Lange) Bon, 1972</v>
      </c>
      <c r="F5262" s="5" t="s">
        <v>7668</v>
      </c>
      <c r="V5262" s="7" t="str">
        <f>HYPERLINK("#Liste_rouge!A"&amp;_xlfn.XMATCH("CR",Liste_rouge!A:A,2,1),"CR")</f>
        <v>CR</v>
      </c>
      <c r="W5262" s="4" t="str">
        <f>HYPERLINK("#Critères_liste_rouge!A$1","B2abiii")</f>
        <v>B2abiii</v>
      </c>
      <c r="AH5262" s="4" t="str">
        <f>HYPERLINK("#Statut_biogéographique!A"&amp;_xlfn.XMATCH("P",Statut_biogéographique!A:A,2,1),"P")</f>
        <v>P</v>
      </c>
      <c r="AP5262" s="4" t="s">
        <v>376</v>
      </c>
      <c r="AR5262" s="4" t="s">
        <v>377</v>
      </c>
    </row>
    <row r="5263" spans="1:44">
      <c r="A5263" s="4" t="s">
        <v>5</v>
      </c>
      <c r="B5263" s="4">
        <v>40087</v>
      </c>
      <c r="D5263" s="5">
        <v>40087</v>
      </c>
      <c r="E5263" s="6" t="str">
        <f>HYPERLINK("https://inpn.mnhn.fr/espece/cd_nom/40087","Russula tinctipes J.Blum ex Bon, 1986")</f>
        <v>Russula tinctipes J.Blum ex Bon, 1986</v>
      </c>
      <c r="F5263" s="5" t="s">
        <v>4954</v>
      </c>
      <c r="V5263" s="7" t="str">
        <f>HYPERLINK("#Liste_rouge!A"&amp;_xlfn.XMATCH("DD",Liste_rouge!A:A,2,1),"DD")</f>
        <v>DD</v>
      </c>
      <c r="AH5263" s="4" t="str">
        <f>HYPERLINK("#Statut_biogéographique!A"&amp;_xlfn.XMATCH("P",Statut_biogéographique!A:A,2,1),"P")</f>
        <v>P</v>
      </c>
      <c r="AP5263" s="4" t="s">
        <v>376</v>
      </c>
      <c r="AR5263" s="4" t="s">
        <v>377</v>
      </c>
    </row>
    <row r="5264" spans="1:44">
      <c r="A5264" s="4" t="s">
        <v>5</v>
      </c>
      <c r="B5264" s="4">
        <v>40088</v>
      </c>
      <c r="D5264" s="5" t="s">
        <v>7669</v>
      </c>
      <c r="E5264" s="6" t="str">
        <f>HYPERLINK("https://inpn.mnhn.fr/espece/cd_nom/40088","Russula torulosa Bres., 1929")</f>
        <v>Russula torulosa Bres., 1929</v>
      </c>
      <c r="F5264" s="5" t="s">
        <v>7670</v>
      </c>
      <c r="V5264" s="7" t="str">
        <f>HYPERLINK("#Liste_rouge!A"&amp;_xlfn.XMATCH("LC",Liste_rouge!A:A,2,1),"LC")</f>
        <v>LC</v>
      </c>
      <c r="AH5264" s="4" t="str">
        <f>HYPERLINK("#Statut_biogéographique!A"&amp;_xlfn.XMATCH("P",Statut_biogéographique!A:A,2,1),"P")</f>
        <v>P</v>
      </c>
      <c r="AP5264" s="4" t="s">
        <v>376</v>
      </c>
      <c r="AR5264" s="4" t="s">
        <v>377</v>
      </c>
    </row>
    <row r="5265" spans="1:44">
      <c r="A5265" s="4" t="s">
        <v>5</v>
      </c>
      <c r="B5265" s="4">
        <v>40089</v>
      </c>
      <c r="D5265" s="5">
        <v>40089</v>
      </c>
      <c r="E5265" s="6" t="str">
        <f>HYPERLINK("https://inpn.mnhn.fr/espece/cd_nom/40089","Russula turci Bres., 1882")</f>
        <v>Russula turci Bres., 1882</v>
      </c>
      <c r="F5265" s="5" t="s">
        <v>7671</v>
      </c>
      <c r="V5265" s="7" t="str">
        <f>HYPERLINK("#Liste_rouge!A"&amp;_xlfn.XMATCH("LC",Liste_rouge!A:A,2,1),"LC")</f>
        <v>LC</v>
      </c>
      <c r="AH5265" s="4" t="str">
        <f>HYPERLINK("#Statut_biogéographique!A"&amp;_xlfn.XMATCH("P",Statut_biogéographique!A:A,2,1),"P")</f>
        <v>P</v>
      </c>
      <c r="AP5265" s="4" t="s">
        <v>376</v>
      </c>
      <c r="AR5265" s="4" t="s">
        <v>377</v>
      </c>
    </row>
    <row r="5266" spans="1:44">
      <c r="A5266" s="4" t="s">
        <v>5</v>
      </c>
      <c r="B5266" s="4">
        <v>40095</v>
      </c>
      <c r="D5266" s="5">
        <v>40095</v>
      </c>
      <c r="E5266" s="6" t="str">
        <f>HYPERLINK("https://inpn.mnhn.fr/espece/cd_nom/40095","Russula unicolor Romagn., 1967")</f>
        <v>Russula unicolor Romagn., 1967</v>
      </c>
      <c r="V5266" s="7" t="str">
        <f>HYPERLINK("#Liste_rouge!A"&amp;_xlfn.XMATCH("DD",Liste_rouge!A:A,2,1),"DD")</f>
        <v>DD</v>
      </c>
      <c r="AH5266" s="4" t="str">
        <f>HYPERLINK("#Statut_biogéographique!A"&amp;_xlfn.XMATCH("P",Statut_biogéographique!A:A,2,1),"P")</f>
        <v>P</v>
      </c>
      <c r="AP5266" s="4" t="s">
        <v>376</v>
      </c>
      <c r="AR5266" s="4" t="s">
        <v>377</v>
      </c>
    </row>
    <row r="5267" spans="1:44">
      <c r="A5267" s="4" t="s">
        <v>5</v>
      </c>
      <c r="B5267" s="4">
        <v>40096</v>
      </c>
      <c r="D5267" s="5">
        <v>40096</v>
      </c>
      <c r="E5267" s="6" t="str">
        <f>HYPERLINK("https://inpn.mnhn.fr/espece/cd_nom/40096","Russula urens Romell ex Singer, 1926")</f>
        <v>Russula urens Romell ex Singer, 1926</v>
      </c>
      <c r="F5267" s="5" t="s">
        <v>470</v>
      </c>
      <c r="V5267" s="7" t="str">
        <f>HYPERLINK("#Liste_rouge!A"&amp;_xlfn.XMATCH("EN",Liste_rouge!A:A,2,1),"EN")</f>
        <v>EN</v>
      </c>
      <c r="W5267" s="4" t="str">
        <f>HYPERLINK("#Critères_liste_rouge!A$1","B2abiii")</f>
        <v>B2abiii</v>
      </c>
      <c r="AH5267" s="4" t="str">
        <f>HYPERLINK("#Statut_biogéographique!A"&amp;_xlfn.XMATCH("P",Statut_biogéographique!A:A,2,1),"P")</f>
        <v>P</v>
      </c>
      <c r="AP5267" s="4" t="s">
        <v>376</v>
      </c>
      <c r="AR5267" s="4" t="s">
        <v>377</v>
      </c>
    </row>
    <row r="5268" spans="1:44">
      <c r="A5268" s="4" t="s">
        <v>5</v>
      </c>
      <c r="B5268" s="4">
        <v>40102</v>
      </c>
      <c r="D5268" s="5">
        <v>40102</v>
      </c>
      <c r="E5268" s="6" t="str">
        <f>HYPERLINK("https://inpn.mnhn.fr/espece/cd_nom/40102","Russula versatilis Romagn., 1962")</f>
        <v>Russula versatilis Romagn., 1962</v>
      </c>
      <c r="F5268" s="5" t="s">
        <v>2687</v>
      </c>
      <c r="V5268" s="7" t="str">
        <f>HYPERLINK("#Liste_rouge!A"&amp;_xlfn.XMATCH("VU",Liste_rouge!A:A,2,1),"VU")</f>
        <v>VU</v>
      </c>
      <c r="W5268" s="4" t="str">
        <f>HYPERLINK("#Critères_liste_rouge!A$1","A2c")</f>
        <v>A2c</v>
      </c>
      <c r="AH5268" s="4" t="str">
        <f>HYPERLINK("#Statut_biogéographique!A"&amp;_xlfn.XMATCH("P",Statut_biogéographique!A:A,2,1),"P")</f>
        <v>P</v>
      </c>
      <c r="AP5268" s="4" t="s">
        <v>376</v>
      </c>
      <c r="AR5268" s="4" t="s">
        <v>377</v>
      </c>
    </row>
    <row r="5269" spans="1:44">
      <c r="A5269" s="4" t="s">
        <v>5</v>
      </c>
      <c r="B5269" s="4">
        <v>40103</v>
      </c>
      <c r="D5269" s="5">
        <v>40103</v>
      </c>
      <c r="E5269" s="6" t="str">
        <f>HYPERLINK("https://inpn.mnhn.fr/espece/cd_nom/40103","Russula versicolor Jul.Schäff., 1931")</f>
        <v>Russula versicolor Jul.Schäff., 1931</v>
      </c>
      <c r="F5269" s="5" t="s">
        <v>2198</v>
      </c>
      <c r="V5269" s="7" t="str">
        <f>HYPERLINK("#Liste_rouge!A"&amp;_xlfn.XMATCH("LC",Liste_rouge!A:A,2,1),"LC")</f>
        <v>LC</v>
      </c>
      <c r="AH5269" s="4" t="str">
        <f>HYPERLINK("#Statut_biogéographique!A"&amp;_xlfn.XMATCH("P",Statut_biogéographique!A:A,2,1),"P")</f>
        <v>P</v>
      </c>
      <c r="AP5269" s="4" t="s">
        <v>376</v>
      </c>
      <c r="AR5269" s="4" t="s">
        <v>377</v>
      </c>
    </row>
    <row r="5270" spans="1:44">
      <c r="A5270" s="4" t="s">
        <v>5</v>
      </c>
      <c r="B5270" s="4">
        <v>40110</v>
      </c>
      <c r="D5270" s="5" t="s">
        <v>7672</v>
      </c>
      <c r="E5270" s="6" t="str">
        <f>HYPERLINK("https://inpn.mnhn.fr/espece/cd_nom/40110","Russula vesca Fr., 1836")</f>
        <v>Russula vesca Fr., 1836</v>
      </c>
      <c r="F5270" s="5" t="s">
        <v>811</v>
      </c>
      <c r="O5270" s="7" t="str">
        <f>HYPERLINK("#Liste_rouge!A"&amp;_xlfn.XMATCH("LC",Liste_rouge!A:A,2,1),"LC")</f>
        <v>LC</v>
      </c>
      <c r="V5270" s="7" t="str">
        <f>HYPERLINK("#Liste_rouge!A"&amp;_xlfn.XMATCH("LC",Liste_rouge!A:A,2,1),"LC")</f>
        <v>LC</v>
      </c>
      <c r="AH5270" s="4" t="str">
        <f>HYPERLINK("#Statut_biogéographique!A"&amp;_xlfn.XMATCH("P",Statut_biogéographique!A:A,2,1),"P")</f>
        <v>P</v>
      </c>
      <c r="AP5270" s="4" t="s">
        <v>376</v>
      </c>
      <c r="AR5270" s="4" t="s">
        <v>377</v>
      </c>
    </row>
    <row r="5271" spans="1:44">
      <c r="A5271" s="4" t="s">
        <v>5</v>
      </c>
      <c r="B5271" s="4">
        <v>40113</v>
      </c>
      <c r="D5271" s="5" t="s">
        <v>7673</v>
      </c>
      <c r="E5271" s="6" t="str">
        <f>HYPERLINK("https://inpn.mnhn.fr/espece/cd_nom/40113","Russula vesca f. avellanea Melzer &amp; Zvara")</f>
        <v>Russula vesca f. avellanea Melzer &amp; Zvara</v>
      </c>
      <c r="AH5271" s="4" t="str">
        <f>HYPERLINK("#Statut_biogéographique!A"&amp;_xlfn.XMATCH("P",Statut_biogéographique!A:A,2,1),"P")</f>
        <v>P</v>
      </c>
      <c r="AP5271" s="4" t="s">
        <v>376</v>
      </c>
      <c r="AR5271" s="4" t="s">
        <v>377</v>
      </c>
    </row>
    <row r="5272" spans="1:44">
      <c r="A5272" s="4" t="s">
        <v>5</v>
      </c>
      <c r="B5272" s="4">
        <v>40115</v>
      </c>
      <c r="D5272" s="5">
        <v>40115</v>
      </c>
      <c r="E5272" s="6" t="str">
        <f>HYPERLINK("https://inpn.mnhn.fr/espece/cd_nom/40115","Russula vesca f. neglecta (Singer)")</f>
        <v>Russula vesca f. neglecta (Singer)</v>
      </c>
      <c r="AH5272" s="4" t="str">
        <f>HYPERLINK("#Statut_biogéographique!A"&amp;_xlfn.XMATCH("P",Statut_biogéographique!A:A,2,1),"P")</f>
        <v>P</v>
      </c>
      <c r="AP5272" s="4" t="s">
        <v>376</v>
      </c>
      <c r="AR5272" s="4" t="s">
        <v>377</v>
      </c>
    </row>
    <row r="5273" spans="1:44">
      <c r="A5273" s="4" t="s">
        <v>5</v>
      </c>
      <c r="B5273" s="4">
        <v>40121</v>
      </c>
      <c r="D5273" s="5" t="s">
        <v>7674</v>
      </c>
      <c r="E5273" s="6" t="str">
        <f>HYPERLINK("https://inpn.mnhn.fr/espece/cd_nom/40121","Russula veternosa Fr., 1838")</f>
        <v>Russula veternosa Fr., 1838</v>
      </c>
      <c r="F5273" s="5" t="s">
        <v>3213</v>
      </c>
      <c r="V5273" s="7" t="str">
        <f>HYPERLINK("#Liste_rouge!A"&amp;_xlfn.XMATCH("LC",Liste_rouge!A:A,2,1),"LC")</f>
        <v>LC</v>
      </c>
      <c r="AH5273" s="4" t="str">
        <f>HYPERLINK("#Statut_biogéographique!A"&amp;_xlfn.XMATCH("P",Statut_biogéographique!A:A,2,1),"P")</f>
        <v>P</v>
      </c>
      <c r="AP5273" s="4" t="s">
        <v>376</v>
      </c>
      <c r="AR5273" s="4" t="s">
        <v>377</v>
      </c>
    </row>
    <row r="5274" spans="1:44">
      <c r="A5274" s="4" t="s">
        <v>5</v>
      </c>
      <c r="B5274" s="4">
        <v>40123</v>
      </c>
      <c r="D5274" s="5" t="s">
        <v>7675</v>
      </c>
      <c r="E5274" s="6" t="str">
        <f>HYPERLINK("https://inpn.mnhn.fr/espece/cd_nom/40123","Russula vinosa Lindblad, 1901")</f>
        <v>Russula vinosa Lindblad, 1901</v>
      </c>
      <c r="F5274" s="5" t="s">
        <v>4690</v>
      </c>
      <c r="O5274" s="7" t="str">
        <f>HYPERLINK("#Liste_rouge!A"&amp;_xlfn.XMATCH("LC",Liste_rouge!A:A,2,1),"LC")</f>
        <v>LC</v>
      </c>
      <c r="V5274" s="7" t="str">
        <f>HYPERLINK("#Liste_rouge!A"&amp;_xlfn.XMATCH("VU",Liste_rouge!A:A,2,1),"VU")</f>
        <v>VU</v>
      </c>
      <c r="W5274" s="4" t="str">
        <f>HYPERLINK("#Critères_liste_rouge!A$1","B2abiii")</f>
        <v>B2abiii</v>
      </c>
      <c r="AH5274" s="4" t="str">
        <f>HYPERLINK("#Statut_biogéographique!A"&amp;_xlfn.XMATCH("P",Statut_biogéographique!A:A,2,1),"P")</f>
        <v>P</v>
      </c>
      <c r="AP5274" s="4" t="s">
        <v>376</v>
      </c>
      <c r="AR5274" s="4" t="s">
        <v>377</v>
      </c>
    </row>
    <row r="5275" spans="1:44" ht="30">
      <c r="A5275" s="4" t="s">
        <v>5</v>
      </c>
      <c r="B5275" s="4">
        <v>40126</v>
      </c>
      <c r="D5275" s="5" t="s">
        <v>7676</v>
      </c>
      <c r="E5275" s="6" t="str">
        <f>HYPERLINK("https://inpn.mnhn.fr/espece/cd_nom/40126","Russula vinosobrunnea (Bres.) Romagn., 1967")</f>
        <v>Russula vinosobrunnea (Bres.) Romagn., 1967</v>
      </c>
      <c r="F5275" s="5" t="s">
        <v>2163</v>
      </c>
      <c r="V5275" s="7" t="str">
        <f>HYPERLINK("#Liste_rouge!A"&amp;_xlfn.XMATCH("DD",Liste_rouge!A:A,2,1),"DD")</f>
        <v>DD</v>
      </c>
      <c r="AH5275" s="4" t="str">
        <f>HYPERLINK("#Statut_biogéographique!A"&amp;_xlfn.XMATCH("P",Statut_biogéographique!A:A,2,1),"P")</f>
        <v>P</v>
      </c>
      <c r="AP5275" s="4" t="s">
        <v>376</v>
      </c>
      <c r="AR5275" s="4" t="s">
        <v>377</v>
      </c>
    </row>
    <row r="5276" spans="1:44">
      <c r="A5276" s="4" t="s">
        <v>5</v>
      </c>
      <c r="B5276" s="4">
        <v>40130</v>
      </c>
      <c r="D5276" s="5">
        <v>40130</v>
      </c>
      <c r="E5276" s="6" t="str">
        <f>HYPERLINK("https://inpn.mnhn.fr/espece/cd_nom/40130","Russula vinosopurpurea Jul.Schäff., 1938")</f>
        <v>Russula vinosopurpurea Jul.Schäff., 1938</v>
      </c>
      <c r="F5276" s="5" t="s">
        <v>2441</v>
      </c>
      <c r="V5276" s="7" t="str">
        <f>HYPERLINK("#Liste_rouge!A"&amp;_xlfn.XMATCH("DD",Liste_rouge!A:A,2,1),"DD")</f>
        <v>DD</v>
      </c>
      <c r="AH5276" s="4" t="str">
        <f>HYPERLINK("#Statut_biogéographique!A"&amp;_xlfn.XMATCH("P",Statut_biogéographique!A:A,2,1),"P")</f>
        <v>P</v>
      </c>
      <c r="AP5276" s="4" t="s">
        <v>376</v>
      </c>
      <c r="AR5276" s="4" t="s">
        <v>377</v>
      </c>
    </row>
    <row r="5277" spans="1:44">
      <c r="A5277" s="4" t="s">
        <v>5</v>
      </c>
      <c r="B5277" s="4">
        <v>40133</v>
      </c>
      <c r="D5277" s="5" t="s">
        <v>7677</v>
      </c>
      <c r="E5277" s="6" t="str">
        <f>HYPERLINK("https://inpn.mnhn.fr/espece/cd_nom/40133","Russula violeipes Quél., 1898")</f>
        <v>Russula violeipes Quél., 1898</v>
      </c>
      <c r="F5277" s="5" t="s">
        <v>1525</v>
      </c>
      <c r="V5277" s="7" t="str">
        <f>HYPERLINK("#Liste_rouge!A"&amp;_xlfn.XMATCH("LC",Liste_rouge!A:A,2,1),"LC")</f>
        <v>LC</v>
      </c>
      <c r="AH5277" s="4" t="str">
        <f>HYPERLINK("#Statut_biogéographique!A"&amp;_xlfn.XMATCH("P",Statut_biogéographique!A:A,2,1),"P")</f>
        <v>P</v>
      </c>
      <c r="AP5277" s="4" t="s">
        <v>376</v>
      </c>
      <c r="AR5277" s="4" t="s">
        <v>377</v>
      </c>
    </row>
    <row r="5278" spans="1:44">
      <c r="A5278" s="4" t="s">
        <v>5</v>
      </c>
      <c r="B5278" s="4">
        <v>40137</v>
      </c>
      <c r="D5278" s="5" t="s">
        <v>7678</v>
      </c>
      <c r="E5278" s="6" t="str">
        <f>HYPERLINK("https://inpn.mnhn.fr/espece/cd_nom/40137","Russula olivascens Fr., 1863")</f>
        <v>Russula olivascens Fr., 1863</v>
      </c>
      <c r="V5278" s="7" t="str">
        <f>HYPERLINK("#Liste_rouge!A"&amp;_xlfn.XMATCH("LC",Liste_rouge!A:A,2,1),"LC")</f>
        <v>LC</v>
      </c>
      <c r="AH5278" s="4" t="str">
        <f>HYPERLINK("#Statut_biogéographique!A"&amp;_xlfn.XMATCH("P",Statut_biogéographique!A:A,2,1),"P")</f>
        <v>P</v>
      </c>
      <c r="AP5278" s="4" t="s">
        <v>376</v>
      </c>
      <c r="AR5278" s="4" t="s">
        <v>377</v>
      </c>
    </row>
    <row r="5279" spans="1:44">
      <c r="A5279" s="4" t="s">
        <v>5</v>
      </c>
      <c r="B5279" s="4">
        <v>40139</v>
      </c>
      <c r="D5279" s="5" t="s">
        <v>7679</v>
      </c>
      <c r="E5279" s="6" t="str">
        <f>HYPERLINK("https://inpn.mnhn.fr/espece/cd_nom/40139","Russula virescens (Schaeff.) Fr., 1836")</f>
        <v>Russula virescens (Schaeff.) Fr., 1836</v>
      </c>
      <c r="F5279" s="5" t="s">
        <v>7680</v>
      </c>
      <c r="V5279" s="7" t="str">
        <f>HYPERLINK("#Liste_rouge!A"&amp;_xlfn.XMATCH("LC",Liste_rouge!A:A,2,1),"LC")</f>
        <v>LC</v>
      </c>
      <c r="AH5279" s="4" t="str">
        <f>HYPERLINK("#Statut_biogéographique!A"&amp;_xlfn.XMATCH("P",Statut_biogéographique!A:A,2,1),"P")</f>
        <v>P</v>
      </c>
      <c r="AP5279" s="4" t="s">
        <v>376</v>
      </c>
      <c r="AR5279" s="4" t="s">
        <v>377</v>
      </c>
    </row>
    <row r="5280" spans="1:44">
      <c r="A5280" s="4" t="s">
        <v>5</v>
      </c>
      <c r="B5280" s="4">
        <v>40142</v>
      </c>
      <c r="D5280" s="5">
        <v>40142</v>
      </c>
      <c r="E5280" s="6" t="str">
        <f>HYPERLINK("https://inpn.mnhn.fr/espece/cd_nom/40142","Russula viscida Kudřna, 1928")</f>
        <v>Russula viscida Kudřna, 1928</v>
      </c>
      <c r="F5280" s="5" t="s">
        <v>7681</v>
      </c>
      <c r="V5280" s="7" t="str">
        <f>HYPERLINK("#Liste_rouge!A"&amp;_xlfn.XMATCH("LC",Liste_rouge!A:A,2,1),"LC")</f>
        <v>LC</v>
      </c>
      <c r="AH5280" s="4" t="str">
        <f>HYPERLINK("#Statut_biogéographique!A"&amp;_xlfn.XMATCH("P",Statut_biogéographique!A:A,2,1),"P")</f>
        <v>P</v>
      </c>
      <c r="AP5280" s="4" t="s">
        <v>376</v>
      </c>
      <c r="AR5280" s="4" t="s">
        <v>377</v>
      </c>
    </row>
    <row r="5281" spans="1:44">
      <c r="A5281" s="4" t="s">
        <v>5</v>
      </c>
      <c r="B5281" s="4">
        <v>40147</v>
      </c>
      <c r="D5281" s="5" t="s">
        <v>7682</v>
      </c>
      <c r="E5281" s="6" t="str">
        <f>HYPERLINK("https://inpn.mnhn.fr/espece/cd_nom/40147","Russula xerampelina (Schaeff.) Fr., 1838")</f>
        <v>Russula xerampelina (Schaeff.) Fr., 1838</v>
      </c>
      <c r="F5281" s="5" t="s">
        <v>7683</v>
      </c>
      <c r="V5281" s="7" t="str">
        <f>HYPERLINK("#Liste_rouge!A"&amp;_xlfn.XMATCH("LC",Liste_rouge!A:A,2,1),"LC")</f>
        <v>LC</v>
      </c>
      <c r="AH5281" s="4" t="str">
        <f>HYPERLINK("#Statut_biogéographique!A"&amp;_xlfn.XMATCH("P",Statut_biogéographique!A:A,2,1),"P")</f>
        <v>P</v>
      </c>
      <c r="AP5281" s="4" t="s">
        <v>376</v>
      </c>
      <c r="AR5281" s="4" t="s">
        <v>377</v>
      </c>
    </row>
    <row r="5282" spans="1:44" ht="30">
      <c r="A5282" s="4" t="s">
        <v>5</v>
      </c>
      <c r="B5282" s="4">
        <v>40175</v>
      </c>
      <c r="D5282" s="5" t="s">
        <v>7684</v>
      </c>
      <c r="E5282" s="6" t="str">
        <f>HYPERLINK("https://inpn.mnhn.fr/espece/cd_nom/40175","Octavianina asterosperma (Vittad.) Kuntze, 1898")</f>
        <v>Octavianina asterosperma (Vittad.) Kuntze, 1898</v>
      </c>
      <c r="V5282" s="7" t="str">
        <f>HYPERLINK("#Liste_rouge!A"&amp;_xlfn.XMATCH("DD",Liste_rouge!A:A,2,1),"DD")</f>
        <v>DD</v>
      </c>
      <c r="AH5282" s="4" t="str">
        <f>HYPERLINK("#Statut_biogéographique!A"&amp;_xlfn.XMATCH("P",Statut_biogéographique!A:A,2,1),"P")</f>
        <v>P</v>
      </c>
      <c r="AP5282" s="4" t="s">
        <v>376</v>
      </c>
      <c r="AR5282" s="4" t="s">
        <v>377</v>
      </c>
    </row>
    <row r="5283" spans="1:44" ht="45">
      <c r="A5283" s="4" t="s">
        <v>5</v>
      </c>
      <c r="B5283" s="4">
        <v>40179</v>
      </c>
      <c r="C5283" s="4">
        <v>1005</v>
      </c>
      <c r="D5283" s="5" t="s">
        <v>7685</v>
      </c>
      <c r="E5283" s="6" t="str">
        <f>HYPERLINK("https://inpn.mnhn.fr/espece/cd_nom/40179","Astraeus hygrometricus (Pers.) Morgan, 1889")</f>
        <v>Astraeus hygrometricus (Pers.) Morgan, 1889</v>
      </c>
      <c r="F5283" s="5" t="s">
        <v>7686</v>
      </c>
      <c r="V5283" s="7" t="str">
        <f>HYPERLINK("#Liste_rouge!A"&amp;_xlfn.XMATCH("LC",Liste_rouge!A:A,2,1),"LC")</f>
        <v>LC</v>
      </c>
      <c r="AH5283" s="4" t="str">
        <f>HYPERLINK("#Statut_biogéographique!A"&amp;_xlfn.XMATCH("P",Statut_biogéographique!A:A,2,1),"P")</f>
        <v>P</v>
      </c>
      <c r="AP5283" s="4" t="s">
        <v>376</v>
      </c>
      <c r="AR5283" s="4" t="s">
        <v>377</v>
      </c>
    </row>
    <row r="5284" spans="1:44">
      <c r="A5284" s="4" t="s">
        <v>5</v>
      </c>
      <c r="B5284" s="4">
        <v>40183</v>
      </c>
      <c r="C5284" s="4">
        <v>1195</v>
      </c>
      <c r="D5284" s="5" t="s">
        <v>7687</v>
      </c>
      <c r="E5284" s="6" t="str">
        <f>HYPERLINK("https://inpn.mnhn.fr/espece/cd_nom/40183","Battarraea phalloides (Dicks.) Pers.")</f>
        <v>Battarraea phalloides (Dicks.) Pers.</v>
      </c>
      <c r="F5284" s="5" t="s">
        <v>7688</v>
      </c>
      <c r="V5284" s="7" t="str">
        <f>HYPERLINK("#Liste_rouge!A"&amp;_xlfn.XMATCH("RE",Liste_rouge!A:A,2,1),"RE")</f>
        <v>RE</v>
      </c>
      <c r="AH5284" s="4" t="str">
        <f>HYPERLINK("#Statut_biogéographique!A"&amp;_xlfn.XMATCH("P",Statut_biogéographique!A:A,2,1),"P")</f>
        <v>P</v>
      </c>
      <c r="AP5284" s="4" t="s">
        <v>376</v>
      </c>
      <c r="AR5284" s="4" t="s">
        <v>377</v>
      </c>
    </row>
    <row r="5285" spans="1:44" ht="30">
      <c r="A5285" s="4" t="s">
        <v>5</v>
      </c>
      <c r="B5285" s="4">
        <v>40188</v>
      </c>
      <c r="C5285" s="4">
        <v>3161</v>
      </c>
      <c r="D5285" s="5" t="s">
        <v>7689</v>
      </c>
      <c r="E5285" s="6" t="str">
        <f>HYPERLINK("https://inpn.mnhn.fr/espece/cd_nom/40188","Bovista aestivalis (Bonord.) Demoulin, 1979")</f>
        <v>Bovista aestivalis (Bonord.) Demoulin, 1979</v>
      </c>
      <c r="V5285" s="7" t="str">
        <f>HYPERLINK("#Liste_rouge!A"&amp;_xlfn.XMATCH("EN",Liste_rouge!A:A,2,1),"EN")</f>
        <v>EN</v>
      </c>
      <c r="W5285" s="4" t="str">
        <f>HYPERLINK("#Critères_liste_rouge!A$1","B2abiii")</f>
        <v>B2abiii</v>
      </c>
      <c r="Z5285" s="4" t="s">
        <v>447</v>
      </c>
      <c r="AA5285" s="4" t="s">
        <v>448</v>
      </c>
      <c r="AH5285" s="4" t="str">
        <f>HYPERLINK("#Statut_biogéographique!A"&amp;_xlfn.XMATCH("P",Statut_biogéographique!A:A,2,1),"P")</f>
        <v>P</v>
      </c>
      <c r="AP5285" s="4" t="s">
        <v>376</v>
      </c>
      <c r="AR5285" s="4" t="s">
        <v>377</v>
      </c>
    </row>
    <row r="5286" spans="1:44">
      <c r="A5286" s="4" t="s">
        <v>5</v>
      </c>
      <c r="B5286" s="4">
        <v>40201</v>
      </c>
      <c r="C5286" s="4">
        <v>2758</v>
      </c>
      <c r="D5286" s="5" t="s">
        <v>7690</v>
      </c>
      <c r="E5286" s="6" t="str">
        <f>HYPERLINK("https://inpn.mnhn.fr/espece/cd_nom/40201","Bovista nigrescens Pers., 1794")</f>
        <v>Bovista nigrescens Pers., 1794</v>
      </c>
      <c r="F5286" s="5" t="s">
        <v>7691</v>
      </c>
      <c r="V5286" s="7" t="str">
        <f>HYPERLINK("#Liste_rouge!A"&amp;_xlfn.XMATCH("EN",Liste_rouge!A:A,2,1),"EN")</f>
        <v>EN</v>
      </c>
      <c r="W5286" s="4" t="str">
        <f>HYPERLINK("#Critères_liste_rouge!A$1","B2abiii")</f>
        <v>B2abiii</v>
      </c>
      <c r="Z5286" s="4" t="s">
        <v>447</v>
      </c>
      <c r="AA5286" s="4" t="s">
        <v>448</v>
      </c>
      <c r="AH5286" s="4" t="str">
        <f>HYPERLINK("#Statut_biogéographique!A"&amp;_xlfn.XMATCH("P",Statut_biogéographique!A:A,2,1),"P")</f>
        <v>P</v>
      </c>
      <c r="AP5286" s="4" t="s">
        <v>376</v>
      </c>
      <c r="AR5286" s="4" t="s">
        <v>377</v>
      </c>
    </row>
    <row r="5287" spans="1:44">
      <c r="A5287" s="4" t="s">
        <v>5</v>
      </c>
      <c r="B5287" s="4">
        <v>40205</v>
      </c>
      <c r="C5287" s="4">
        <v>2271</v>
      </c>
      <c r="D5287" s="5" t="s">
        <v>7692</v>
      </c>
      <c r="E5287" s="6" t="str">
        <f>HYPERLINK("https://inpn.mnhn.fr/espece/cd_nom/40205","Bovista paludosa Lév., 1846")</f>
        <v>Bovista paludosa Lév., 1846</v>
      </c>
      <c r="F5287" s="5" t="s">
        <v>7693</v>
      </c>
      <c r="O5287" s="7" t="str">
        <f>HYPERLINK("#Liste_rouge!A"&amp;_xlfn.XMATCH("VU",Liste_rouge!A:A,2,1),"VU")</f>
        <v>VU</v>
      </c>
      <c r="V5287" s="7" t="str">
        <f>HYPERLINK("#Liste_rouge!A"&amp;_xlfn.XMATCH("EN",Liste_rouge!A:A,2,1),"EN")</f>
        <v>EN</v>
      </c>
      <c r="W5287" s="4" t="str">
        <f>HYPERLINK("#Critères_liste_rouge!A$1","B2abiii")</f>
        <v>B2abiii</v>
      </c>
      <c r="Z5287" s="4" t="s">
        <v>695</v>
      </c>
      <c r="AA5287" s="4" t="s">
        <v>696</v>
      </c>
      <c r="AH5287" s="4" t="str">
        <f>HYPERLINK("#Statut_biogéographique!A"&amp;_xlfn.XMATCH("P",Statut_biogéographique!A:A,2,1),"P")</f>
        <v>P</v>
      </c>
      <c r="AP5287" s="4" t="s">
        <v>376</v>
      </c>
      <c r="AR5287" s="4" t="s">
        <v>377</v>
      </c>
    </row>
    <row r="5288" spans="1:44" ht="30">
      <c r="A5288" s="4" t="s">
        <v>5</v>
      </c>
      <c r="B5288" s="4">
        <v>40208</v>
      </c>
      <c r="C5288" s="4">
        <v>211</v>
      </c>
      <c r="D5288" s="5" t="s">
        <v>7694</v>
      </c>
      <c r="E5288" s="6" t="str">
        <f>HYPERLINK("https://inpn.mnhn.fr/espece/cd_nom/40208","Bovista plumbea Pers., 1795")</f>
        <v>Bovista plumbea Pers., 1795</v>
      </c>
      <c r="F5288" s="5" t="s">
        <v>7695</v>
      </c>
      <c r="V5288" s="7" t="str">
        <f>HYPERLINK("#Liste_rouge!A"&amp;_xlfn.XMATCH("LC",Liste_rouge!A:A,2,1),"LC")</f>
        <v>LC</v>
      </c>
      <c r="AH5288" s="4" t="str">
        <f>HYPERLINK("#Statut_biogéographique!A"&amp;_xlfn.XMATCH("P",Statut_biogéographique!A:A,2,1),"P")</f>
        <v>P</v>
      </c>
      <c r="AP5288" s="4" t="s">
        <v>376</v>
      </c>
      <c r="AR5288" s="4" t="s">
        <v>377</v>
      </c>
    </row>
    <row r="5289" spans="1:44" ht="30">
      <c r="A5289" s="4" t="s">
        <v>5</v>
      </c>
      <c r="B5289" s="4">
        <v>40211</v>
      </c>
      <c r="C5289" s="4">
        <v>3458</v>
      </c>
      <c r="D5289" s="5" t="s">
        <v>7696</v>
      </c>
      <c r="E5289" s="6" t="str">
        <f>HYPERLINK("https://inpn.mnhn.fr/espece/cd_nom/40211","Bovista pusilla (Batsch) Pers., 1801")</f>
        <v>Bovista pusilla (Batsch) Pers., 1801</v>
      </c>
      <c r="F5289" s="5" t="s">
        <v>7697</v>
      </c>
      <c r="AH5289" s="4" t="str">
        <f>HYPERLINK("#Statut_biogéographique!A"&amp;_xlfn.XMATCH("P",Statut_biogéographique!A:A,2,1),"P")</f>
        <v>P</v>
      </c>
      <c r="AP5289" s="4" t="s">
        <v>376</v>
      </c>
      <c r="AR5289" s="4" t="s">
        <v>377</v>
      </c>
    </row>
    <row r="5290" spans="1:44" ht="30">
      <c r="A5290" s="4" t="s">
        <v>5</v>
      </c>
      <c r="B5290" s="4">
        <v>40230</v>
      </c>
      <c r="C5290" s="4">
        <v>5175</v>
      </c>
      <c r="D5290" s="5" t="s">
        <v>7698</v>
      </c>
      <c r="E5290" s="6" t="str">
        <f>HYPERLINK("https://inpn.mnhn.fr/espece/cd_nom/40230","Calvatia cyathiformis (Bosc) Morgan, 1890")</f>
        <v>Calvatia cyathiformis (Bosc) Morgan, 1890</v>
      </c>
      <c r="F5290" s="5" t="s">
        <v>7699</v>
      </c>
      <c r="V5290" s="7" t="str">
        <f>HYPERLINK("#Liste_rouge!A"&amp;_xlfn.XMATCH("LC",Liste_rouge!A:A,2,1),"LC")</f>
        <v>LC</v>
      </c>
      <c r="AH5290" s="4" t="str">
        <f>HYPERLINK("#Statut_biogéographique!A"&amp;_xlfn.XMATCH("P",Statut_biogéographique!A:A,2,1),"P")</f>
        <v>P</v>
      </c>
      <c r="AP5290" s="4" t="s">
        <v>376</v>
      </c>
      <c r="AR5290" s="4" t="s">
        <v>377</v>
      </c>
    </row>
    <row r="5291" spans="1:44" ht="45">
      <c r="A5291" s="4" t="s">
        <v>5</v>
      </c>
      <c r="B5291" s="4">
        <v>40234</v>
      </c>
      <c r="D5291" s="5" t="s">
        <v>7700</v>
      </c>
      <c r="E5291" s="6" t="str">
        <f>HYPERLINK("https://inpn.mnhn.fr/espece/cd_nom/40234","Calvatia excipuliformis (Scop.) Perdeck, 1950")</f>
        <v>Calvatia excipuliformis (Scop.) Perdeck, 1950</v>
      </c>
      <c r="V5291" s="7" t="str">
        <f>HYPERLINK("#Liste_rouge!A"&amp;_xlfn.XMATCH("LC",Liste_rouge!A:A,2,1),"LC")</f>
        <v>LC</v>
      </c>
      <c r="AH5291" s="4" t="str">
        <f>HYPERLINK("#Statut_biogéographique!A"&amp;_xlfn.XMATCH("P",Statut_biogéographique!A:A,2,1),"P")</f>
        <v>P</v>
      </c>
      <c r="AP5291" s="4" t="s">
        <v>376</v>
      </c>
      <c r="AR5291" s="4" t="s">
        <v>377</v>
      </c>
    </row>
    <row r="5292" spans="1:44" ht="30">
      <c r="A5292" s="4" t="s">
        <v>5</v>
      </c>
      <c r="B5292" s="4">
        <v>40248</v>
      </c>
      <c r="D5292" s="5" t="s">
        <v>7701</v>
      </c>
      <c r="E5292" s="6" t="str">
        <f>HYPERLINK("https://inpn.mnhn.fr/espece/cd_nom/40248","Calvatia utriformis (Bull.) Jaap, 1918")</f>
        <v>Calvatia utriformis (Bull.) Jaap, 1918</v>
      </c>
      <c r="V5292" s="7" t="str">
        <f>HYPERLINK("#Liste_rouge!A"&amp;_xlfn.XMATCH("VU",Liste_rouge!A:A,2,1),"VU")</f>
        <v>VU</v>
      </c>
      <c r="W5292" s="4" t="str">
        <f>HYPERLINK("#Critères_liste_rouge!A$1","A2c")</f>
        <v>A2c</v>
      </c>
      <c r="AH5292" s="4" t="str">
        <f>HYPERLINK("#Statut_biogéographique!A"&amp;_xlfn.XMATCH("P",Statut_biogéographique!A:A,2,1),"P")</f>
        <v>P</v>
      </c>
      <c r="AP5292" s="4" t="s">
        <v>376</v>
      </c>
      <c r="AR5292" s="4" t="s">
        <v>377</v>
      </c>
    </row>
    <row r="5293" spans="1:44">
      <c r="A5293" s="4" t="s">
        <v>5</v>
      </c>
      <c r="B5293" s="4">
        <v>40253</v>
      </c>
      <c r="C5293" s="4">
        <v>3007</v>
      </c>
      <c r="D5293" s="5" t="s">
        <v>7702</v>
      </c>
      <c r="E5293" s="6" t="str">
        <f>HYPERLINK("https://inpn.mnhn.fr/espece/cd_nom/40253","Chamonixia caespitosa Rolland, 1899")</f>
        <v>Chamonixia caespitosa Rolland, 1899</v>
      </c>
      <c r="V5293" s="7" t="str">
        <f>HYPERLINK("#Liste_rouge!A"&amp;_xlfn.XMATCH("EN",Liste_rouge!A:A,2,1),"EN")</f>
        <v>EN</v>
      </c>
      <c r="W5293" s="4" t="str">
        <f>HYPERLINK("#Critères_liste_rouge!A$1","B2abiii")</f>
        <v>B2abiii</v>
      </c>
      <c r="Z5293" s="4" t="s">
        <v>695</v>
      </c>
      <c r="AA5293" s="4" t="s">
        <v>696</v>
      </c>
      <c r="AH5293" s="4" t="str">
        <f>HYPERLINK("#Statut_biogéographique!A"&amp;_xlfn.XMATCH("P",Statut_biogéographique!A:A,2,1),"P")</f>
        <v>P</v>
      </c>
      <c r="AP5293" s="4" t="s">
        <v>376</v>
      </c>
      <c r="AR5293" s="4" t="s">
        <v>377</v>
      </c>
    </row>
    <row r="5294" spans="1:44" ht="30">
      <c r="A5294" s="4" t="s">
        <v>5</v>
      </c>
      <c r="B5294" s="4">
        <v>40256</v>
      </c>
      <c r="C5294" s="4">
        <v>235</v>
      </c>
      <c r="D5294" s="5" t="s">
        <v>7703</v>
      </c>
      <c r="E5294" s="6" t="str">
        <f>HYPERLINK("https://inpn.mnhn.fr/espece/cd_nom/40256","Clathrus archeri (Berk.) Dring, 1980")</f>
        <v>Clathrus archeri (Berk.) Dring, 1980</v>
      </c>
      <c r="F5294" s="5" t="s">
        <v>7704</v>
      </c>
      <c r="AH5294" s="4" t="str">
        <f>HYPERLINK("#Statut_biogéographique!A"&amp;_xlfn.XMATCH("I",Statut_biogéographique!A:A,2,1),"I")</f>
        <v>I</v>
      </c>
      <c r="AP5294" s="4" t="s">
        <v>376</v>
      </c>
      <c r="AR5294" s="4" t="s">
        <v>377</v>
      </c>
    </row>
    <row r="5295" spans="1:44" ht="30">
      <c r="A5295" s="4" t="s">
        <v>5</v>
      </c>
      <c r="B5295" s="4">
        <v>40260</v>
      </c>
      <c r="C5295" s="4">
        <v>2466</v>
      </c>
      <c r="D5295" s="5" t="s">
        <v>7705</v>
      </c>
      <c r="E5295" s="6" t="str">
        <f>HYPERLINK("https://inpn.mnhn.fr/espece/cd_nom/40260","Clathrus ruber P.Micheli ex Pers., 1801")</f>
        <v>Clathrus ruber P.Micheli ex Pers., 1801</v>
      </c>
      <c r="F5295" s="5" t="s">
        <v>7706</v>
      </c>
      <c r="AH5295" s="4" t="str">
        <f>HYPERLINK("#Statut_biogéographique!A"&amp;_xlfn.XMATCH("P",Statut_biogéographique!A:A,2,1),"P")</f>
        <v>P</v>
      </c>
      <c r="AP5295" s="4" t="s">
        <v>376</v>
      </c>
      <c r="AR5295" s="4" t="s">
        <v>377</v>
      </c>
    </row>
    <row r="5296" spans="1:44" ht="30">
      <c r="A5296" s="4" t="s">
        <v>5</v>
      </c>
      <c r="B5296" s="4">
        <v>40268</v>
      </c>
      <c r="C5296" s="4">
        <v>2370</v>
      </c>
      <c r="D5296" s="5" t="s">
        <v>7707</v>
      </c>
      <c r="E5296" s="6" t="str">
        <f>HYPERLINK("https://inpn.mnhn.fr/espece/cd_nom/40268","Crucibulum laeve (Huds.) Kambly, 1936")</f>
        <v>Crucibulum laeve (Huds.) Kambly, 1936</v>
      </c>
      <c r="F5296" s="5" t="s">
        <v>7708</v>
      </c>
      <c r="V5296" s="7" t="str">
        <f>HYPERLINK("#Liste_rouge!A"&amp;_xlfn.XMATCH("LC",Liste_rouge!A:A,2,1),"LC")</f>
        <v>LC</v>
      </c>
      <c r="AH5296" s="4" t="str">
        <f>HYPERLINK("#Statut_biogéographique!A"&amp;_xlfn.XMATCH("P",Statut_biogéographique!A:A,2,1),"P")</f>
        <v>P</v>
      </c>
      <c r="AP5296" s="4" t="s">
        <v>376</v>
      </c>
      <c r="AR5296" s="4" t="s">
        <v>377</v>
      </c>
    </row>
    <row r="5297" spans="1:44" ht="30">
      <c r="A5297" s="4" t="s">
        <v>5</v>
      </c>
      <c r="B5297" s="4">
        <v>40273</v>
      </c>
      <c r="C5297" s="4">
        <v>1299</v>
      </c>
      <c r="D5297" s="5" t="s">
        <v>7709</v>
      </c>
      <c r="E5297" s="6" t="str">
        <f>HYPERLINK("https://inpn.mnhn.fr/espece/cd_nom/40273","Cyathus olla (Batsch) Pers., 1801")</f>
        <v>Cyathus olla (Batsch) Pers., 1801</v>
      </c>
      <c r="F5297" s="5" t="s">
        <v>7710</v>
      </c>
      <c r="V5297" s="7" t="str">
        <f>HYPERLINK("#Liste_rouge!A"&amp;_xlfn.XMATCH("LC",Liste_rouge!A:A,2,1),"LC")</f>
        <v>LC</v>
      </c>
      <c r="Z5297" s="4" t="s">
        <v>443</v>
      </c>
      <c r="AA5297" s="4" t="s">
        <v>444</v>
      </c>
      <c r="AH5297" s="4" t="str">
        <f>HYPERLINK("#Statut_biogéographique!A"&amp;_xlfn.XMATCH("P",Statut_biogéographique!A:A,2,1),"P")</f>
        <v>P</v>
      </c>
      <c r="AP5297" s="4" t="s">
        <v>376</v>
      </c>
      <c r="AR5297" s="4" t="s">
        <v>377</v>
      </c>
    </row>
    <row r="5298" spans="1:44" ht="30">
      <c r="A5298" s="4" t="s">
        <v>5</v>
      </c>
      <c r="B5298" s="4">
        <v>40277</v>
      </c>
      <c r="C5298" s="4">
        <v>3121</v>
      </c>
      <c r="D5298" s="5" t="s">
        <v>7711</v>
      </c>
      <c r="E5298" s="6" t="str">
        <f>HYPERLINK("https://inpn.mnhn.fr/espece/cd_nom/40277","Cyathus stercoreus (Schwein.) De Toni, 1888")</f>
        <v>Cyathus stercoreus (Schwein.) De Toni, 1888</v>
      </c>
      <c r="F5298" s="5" t="s">
        <v>7712</v>
      </c>
      <c r="V5298" s="7" t="str">
        <f>HYPERLINK("#Liste_rouge!A"&amp;_xlfn.XMATCH("DD",Liste_rouge!A:A,2,1),"DD")</f>
        <v>DD</v>
      </c>
      <c r="AH5298" s="4" t="str">
        <f>HYPERLINK("#Statut_biogéographique!A"&amp;_xlfn.XMATCH("P",Statut_biogéographique!A:A,2,1),"P")</f>
        <v>P</v>
      </c>
      <c r="AP5298" s="4" t="s">
        <v>376</v>
      </c>
      <c r="AR5298" s="4" t="s">
        <v>377</v>
      </c>
    </row>
    <row r="5299" spans="1:44">
      <c r="A5299" s="4" t="s">
        <v>5</v>
      </c>
      <c r="B5299" s="4">
        <v>40281</v>
      </c>
      <c r="C5299" s="4">
        <v>208</v>
      </c>
      <c r="D5299" s="5" t="s">
        <v>7713</v>
      </c>
      <c r="E5299" s="6" t="str">
        <f>HYPERLINK("https://inpn.mnhn.fr/espece/cd_nom/40281","Cyathus striatus (Huds.) Willd., 1787")</f>
        <v>Cyathus striatus (Huds.) Willd., 1787</v>
      </c>
      <c r="F5299" s="5" t="s">
        <v>7714</v>
      </c>
      <c r="V5299" s="7" t="str">
        <f>HYPERLINK("#Liste_rouge!A"&amp;_xlfn.XMATCH("LC",Liste_rouge!A:A,2,1),"LC")</f>
        <v>LC</v>
      </c>
      <c r="AH5299" s="4" t="str">
        <f>HYPERLINK("#Statut_biogéographique!A"&amp;_xlfn.XMATCH("P",Statut_biogéographique!A:A,2,1),"P")</f>
        <v>P</v>
      </c>
      <c r="AP5299" s="4" t="s">
        <v>376</v>
      </c>
      <c r="AR5299" s="4" t="s">
        <v>377</v>
      </c>
    </row>
    <row r="5300" spans="1:44">
      <c r="A5300" s="4" t="s">
        <v>5</v>
      </c>
      <c r="B5300" s="4">
        <v>40301</v>
      </c>
      <c r="C5300" s="4">
        <v>2276</v>
      </c>
      <c r="D5300" s="5" t="s">
        <v>7715</v>
      </c>
      <c r="E5300" s="6" t="str">
        <f>HYPERLINK("https://inpn.mnhn.fr/espece/cd_nom/40301","Gastrosporium simplex Mattir., 1903")</f>
        <v>Gastrosporium simplex Mattir., 1903</v>
      </c>
      <c r="V5300" s="7" t="str">
        <f>HYPERLINK("#Liste_rouge!A"&amp;_xlfn.XMATCH("EN",Liste_rouge!A:A,2,1),"EN")</f>
        <v>EN</v>
      </c>
      <c r="W5300" s="4" t="str">
        <f>HYPERLINK("#Critères_liste_rouge!A$1","B2abiii")</f>
        <v>B2abiii</v>
      </c>
      <c r="Z5300" s="4" t="s">
        <v>443</v>
      </c>
      <c r="AA5300" s="4" t="s">
        <v>444</v>
      </c>
      <c r="AH5300" s="4" t="str">
        <f>HYPERLINK("#Statut_biogéographique!A"&amp;_xlfn.XMATCH("P",Statut_biogéographique!A:A,2,1),"P")</f>
        <v>P</v>
      </c>
      <c r="AP5300" s="4" t="s">
        <v>376</v>
      </c>
      <c r="AR5300" s="4" t="s">
        <v>377</v>
      </c>
    </row>
    <row r="5301" spans="1:44">
      <c r="A5301" s="4" t="s">
        <v>5</v>
      </c>
      <c r="B5301" s="4">
        <v>40347</v>
      </c>
      <c r="C5301" s="4">
        <v>2557</v>
      </c>
      <c r="D5301" s="5" t="s">
        <v>7716</v>
      </c>
      <c r="E5301" s="6" t="str">
        <f>HYPERLINK("https://inpn.mnhn.fr/espece/cd_nom/40347","Geastrum fornicatum (Huds.) Hook., 1821")</f>
        <v>Geastrum fornicatum (Huds.) Hook., 1821</v>
      </c>
      <c r="F5301" s="5" t="s">
        <v>7717</v>
      </c>
      <c r="V5301" s="7" t="str">
        <f>HYPERLINK("#Liste_rouge!A"&amp;_xlfn.XMATCH("EN",Liste_rouge!A:A,2,1),"EN")</f>
        <v>EN</v>
      </c>
      <c r="W5301" s="4" t="str">
        <f>HYPERLINK("#Critères_liste_rouge!A$1","B2abiii")</f>
        <v>B2abiii</v>
      </c>
      <c r="Z5301" s="4" t="s">
        <v>447</v>
      </c>
      <c r="AA5301" s="4" t="s">
        <v>448</v>
      </c>
      <c r="AH5301" s="4" t="str">
        <f>HYPERLINK("#Statut_biogéographique!A"&amp;_xlfn.XMATCH("P",Statut_biogéographique!A:A,2,1),"P")</f>
        <v>P</v>
      </c>
      <c r="AP5301" s="4" t="s">
        <v>376</v>
      </c>
      <c r="AR5301" s="4" t="s">
        <v>377</v>
      </c>
    </row>
    <row r="5302" spans="1:44">
      <c r="A5302" s="4" t="s">
        <v>5</v>
      </c>
      <c r="B5302" s="4">
        <v>40355</v>
      </c>
      <c r="C5302" s="4">
        <v>3572</v>
      </c>
      <c r="D5302" s="5" t="s">
        <v>7718</v>
      </c>
      <c r="E5302" s="6" t="str">
        <f>HYPERLINK("https://inpn.mnhn.fr/espece/cd_nom/40355","Geastrum minimum Schwein., 1822")</f>
        <v>Geastrum minimum Schwein., 1822</v>
      </c>
      <c r="V5302" s="7" t="str">
        <f>HYPERLINK("#Liste_rouge!A"&amp;_xlfn.XMATCH("EN",Liste_rouge!A:A,2,1),"EN")</f>
        <v>EN</v>
      </c>
      <c r="W5302" s="4" t="str">
        <f>HYPERLINK("#Critères_liste_rouge!A$1","B2abiii")</f>
        <v>B2abiii</v>
      </c>
      <c r="Z5302" s="4" t="s">
        <v>695</v>
      </c>
      <c r="AA5302" s="4" t="s">
        <v>696</v>
      </c>
      <c r="AH5302" s="4" t="str">
        <f>HYPERLINK("#Statut_biogéographique!A"&amp;_xlfn.XMATCH("P",Statut_biogéographique!A:A,2,1),"P")</f>
        <v>P</v>
      </c>
      <c r="AP5302" s="4" t="s">
        <v>376</v>
      </c>
      <c r="AR5302" s="4" t="s">
        <v>377</v>
      </c>
    </row>
    <row r="5303" spans="1:44">
      <c r="A5303" s="4" t="s">
        <v>5</v>
      </c>
      <c r="B5303" s="4">
        <v>40360</v>
      </c>
      <c r="C5303" s="4">
        <v>3857</v>
      </c>
      <c r="D5303" s="5" t="s">
        <v>7719</v>
      </c>
      <c r="E5303" s="6" t="str">
        <f>HYPERLINK("https://inpn.mnhn.fr/espece/cd_nom/40360","Geastrum pectinatum Pers., 1801")</f>
        <v>Geastrum pectinatum Pers., 1801</v>
      </c>
      <c r="F5303" s="5" t="s">
        <v>7720</v>
      </c>
      <c r="V5303" s="7" t="str">
        <f>HYPERLINK("#Liste_rouge!A"&amp;_xlfn.XMATCH("DD",Liste_rouge!A:A,2,1),"DD")</f>
        <v>DD</v>
      </c>
      <c r="AH5303" s="4" t="str">
        <f>HYPERLINK("#Statut_biogéographique!A"&amp;_xlfn.XMATCH("P",Statut_biogéographique!A:A,2,1),"P")</f>
        <v>P</v>
      </c>
      <c r="AP5303" s="4" t="s">
        <v>376</v>
      </c>
      <c r="AR5303" s="4" t="s">
        <v>377</v>
      </c>
    </row>
    <row r="5304" spans="1:44">
      <c r="A5304" s="4" t="s">
        <v>5</v>
      </c>
      <c r="B5304" s="4">
        <v>40367</v>
      </c>
      <c r="C5304" s="4">
        <v>684</v>
      </c>
      <c r="D5304" s="5" t="s">
        <v>7721</v>
      </c>
      <c r="E5304" s="6" t="str">
        <f>HYPERLINK("https://inpn.mnhn.fr/espece/cd_nom/40367","Geastrum quadrifidum Pers., 1794")</f>
        <v>Geastrum quadrifidum Pers., 1794</v>
      </c>
      <c r="F5304" s="5" t="s">
        <v>7722</v>
      </c>
      <c r="V5304" s="7" t="str">
        <f>HYPERLINK("#Liste_rouge!A"&amp;_xlfn.XMATCH("LC",Liste_rouge!A:A,2,1),"LC")</f>
        <v>LC</v>
      </c>
      <c r="AH5304" s="4" t="str">
        <f>HYPERLINK("#Statut_biogéographique!A"&amp;_xlfn.XMATCH("P",Statut_biogéographique!A:A,2,1),"P")</f>
        <v>P</v>
      </c>
      <c r="AP5304" s="4" t="s">
        <v>376</v>
      </c>
      <c r="AR5304" s="4" t="s">
        <v>377</v>
      </c>
    </row>
    <row r="5305" spans="1:44">
      <c r="A5305" s="4" t="s">
        <v>5</v>
      </c>
      <c r="B5305" s="4">
        <v>40370</v>
      </c>
      <c r="C5305" s="4">
        <v>3087</v>
      </c>
      <c r="D5305" s="5" t="s">
        <v>7723</v>
      </c>
      <c r="E5305" s="6" t="str">
        <f>HYPERLINK("https://inpn.mnhn.fr/espece/cd_nom/40370","Geastrum rufescens Pers., 1801")</f>
        <v>Geastrum rufescens Pers., 1801</v>
      </c>
      <c r="V5305" s="7" t="str">
        <f>HYPERLINK("#Liste_rouge!A"&amp;_xlfn.XMATCH("EN",Liste_rouge!A:A,2,1),"EN")</f>
        <v>EN</v>
      </c>
      <c r="W5305" s="4" t="str">
        <f>HYPERLINK("#Critères_liste_rouge!A$1","B2abiii")</f>
        <v>B2abiii</v>
      </c>
      <c r="Z5305" s="4" t="s">
        <v>447</v>
      </c>
      <c r="AA5305" s="4" t="s">
        <v>448</v>
      </c>
      <c r="AH5305" s="4" t="str">
        <f>HYPERLINK("#Statut_biogéographique!A"&amp;_xlfn.XMATCH("P",Statut_biogéographique!A:A,2,1),"P")</f>
        <v>P</v>
      </c>
      <c r="AP5305" s="4" t="s">
        <v>376</v>
      </c>
      <c r="AR5305" s="4" t="s">
        <v>377</v>
      </c>
    </row>
    <row r="5306" spans="1:44">
      <c r="A5306" s="4" t="s">
        <v>5</v>
      </c>
      <c r="B5306" s="4">
        <v>40373</v>
      </c>
      <c r="C5306" s="4">
        <v>3573</v>
      </c>
      <c r="D5306" s="5" t="s">
        <v>7724</v>
      </c>
      <c r="E5306" s="6" t="str">
        <f>HYPERLINK("https://inpn.mnhn.fr/espece/cd_nom/40373","Geastrum saccatum Fr., 1829")</f>
        <v>Geastrum saccatum Fr., 1829</v>
      </c>
      <c r="F5306" s="5" t="s">
        <v>7725</v>
      </c>
      <c r="V5306" s="7" t="str">
        <f>HYPERLINK("#Liste_rouge!A"&amp;_xlfn.XMATCH("EN",Liste_rouge!A:A,2,1),"EN")</f>
        <v>EN</v>
      </c>
      <c r="W5306" s="4" t="str">
        <f>HYPERLINK("#Critères_liste_rouge!A$1","B2abiii")</f>
        <v>B2abiii</v>
      </c>
      <c r="Z5306" s="4" t="s">
        <v>447</v>
      </c>
      <c r="AA5306" s="4" t="s">
        <v>448</v>
      </c>
      <c r="AH5306" s="4" t="str">
        <f>HYPERLINK("#Statut_biogéographique!A"&amp;_xlfn.XMATCH("P",Statut_biogéographique!A:A,2,1),"P")</f>
        <v>P</v>
      </c>
      <c r="AP5306" s="4" t="s">
        <v>376</v>
      </c>
      <c r="AR5306" s="4" t="s">
        <v>377</v>
      </c>
    </row>
    <row r="5307" spans="1:44">
      <c r="A5307" s="4" t="s">
        <v>5</v>
      </c>
      <c r="B5307" s="4">
        <v>40374</v>
      </c>
      <c r="C5307" s="4">
        <v>3090</v>
      </c>
      <c r="D5307" s="5" t="s">
        <v>7726</v>
      </c>
      <c r="E5307" s="6" t="str">
        <f>HYPERLINK("https://inpn.mnhn.fr/espece/cd_nom/40374","Geastrum schmidelii Vittad., 1842")</f>
        <v>Geastrum schmidelii Vittad., 1842</v>
      </c>
      <c r="F5307" s="5" t="s">
        <v>7727</v>
      </c>
      <c r="V5307" s="7" t="str">
        <f>HYPERLINK("#Liste_rouge!A"&amp;_xlfn.XMATCH("EN",Liste_rouge!A:A,2,1),"EN")</f>
        <v>EN</v>
      </c>
      <c r="W5307" s="4" t="str">
        <f>HYPERLINK("#Critères_liste_rouge!A$1","B2abiii")</f>
        <v>B2abiii</v>
      </c>
      <c r="Z5307" s="4" t="s">
        <v>447</v>
      </c>
      <c r="AA5307" s="4" t="s">
        <v>448</v>
      </c>
      <c r="AH5307" s="4" t="str">
        <f>HYPERLINK("#Statut_biogéographique!A"&amp;_xlfn.XMATCH("P",Statut_biogéographique!A:A,2,1),"P")</f>
        <v>P</v>
      </c>
      <c r="AP5307" s="4" t="s">
        <v>376</v>
      </c>
      <c r="AR5307" s="4" t="s">
        <v>377</v>
      </c>
    </row>
    <row r="5308" spans="1:44">
      <c r="A5308" s="4" t="s">
        <v>5</v>
      </c>
      <c r="B5308" s="4">
        <v>40377</v>
      </c>
      <c r="C5308" s="4">
        <v>956</v>
      </c>
      <c r="D5308" s="5" t="s">
        <v>7728</v>
      </c>
      <c r="E5308" s="6" t="str">
        <f>HYPERLINK("https://inpn.mnhn.fr/espece/cd_nom/40377","Geastrum sessile Pouzar, 1971")</f>
        <v>Geastrum sessile Pouzar, 1971</v>
      </c>
      <c r="F5308" s="5" t="s">
        <v>7729</v>
      </c>
      <c r="V5308" s="7" t="str">
        <f>HYPERLINK("#Liste_rouge!A"&amp;_xlfn.XMATCH("LC",Liste_rouge!A:A,2,1),"LC")</f>
        <v>LC</v>
      </c>
      <c r="AH5308" s="4" t="str">
        <f>HYPERLINK("#Statut_biogéographique!A"&amp;_xlfn.XMATCH("P",Statut_biogéographique!A:A,2,1),"P")</f>
        <v>P</v>
      </c>
      <c r="AP5308" s="4" t="s">
        <v>376</v>
      </c>
      <c r="AR5308" s="4" t="s">
        <v>377</v>
      </c>
    </row>
    <row r="5309" spans="1:44">
      <c r="A5309" s="4" t="s">
        <v>5</v>
      </c>
      <c r="B5309" s="4">
        <v>40382</v>
      </c>
      <c r="C5309" s="4">
        <v>4729</v>
      </c>
      <c r="D5309" s="5" t="s">
        <v>7730</v>
      </c>
      <c r="E5309" s="6" t="str">
        <f>HYPERLINK("https://inpn.mnhn.fr/espece/cd_nom/40382","Geastrum smardae V.J.Staněk, 1956")</f>
        <v>Geastrum smardae V.J.Staněk, 1956</v>
      </c>
      <c r="V5309" s="7" t="str">
        <f>HYPERLINK("#Liste_rouge!A"&amp;_xlfn.XMATCH("RE",Liste_rouge!A:A,2,1),"RE")</f>
        <v>RE</v>
      </c>
      <c r="Z5309" s="4" t="s">
        <v>443</v>
      </c>
      <c r="AA5309" s="4" t="s">
        <v>444</v>
      </c>
      <c r="AH5309" s="4" t="str">
        <f>HYPERLINK("#Statut_biogéographique!A"&amp;_xlfn.XMATCH("P",Statut_biogéographique!A:A,2,1),"P")</f>
        <v>P</v>
      </c>
      <c r="AP5309" s="4" t="s">
        <v>376</v>
      </c>
      <c r="AR5309" s="4" t="s">
        <v>377</v>
      </c>
    </row>
    <row r="5310" spans="1:44">
      <c r="A5310" s="4" t="s">
        <v>5</v>
      </c>
      <c r="B5310" s="4">
        <v>40385</v>
      </c>
      <c r="C5310" s="4">
        <v>3263</v>
      </c>
      <c r="D5310" s="5" t="s">
        <v>7731</v>
      </c>
      <c r="E5310" s="6" t="str">
        <f>HYPERLINK("https://inpn.mnhn.fr/espece/cd_nom/40385","Geastrum striatum DC., 1805")</f>
        <v>Geastrum striatum DC., 1805</v>
      </c>
      <c r="F5310" s="5" t="s">
        <v>7732</v>
      </c>
      <c r="V5310" s="7" t="str">
        <f>HYPERLINK("#Liste_rouge!A"&amp;_xlfn.XMATCH("EN",Liste_rouge!A:A,2,1),"EN")</f>
        <v>EN</v>
      </c>
      <c r="W5310" s="4" t="str">
        <f>HYPERLINK("#Critères_liste_rouge!A$1","B2abiii")</f>
        <v>B2abiii</v>
      </c>
      <c r="Z5310" s="4" t="s">
        <v>447</v>
      </c>
      <c r="AA5310" s="4" t="s">
        <v>448</v>
      </c>
      <c r="AH5310" s="4" t="str">
        <f>HYPERLINK("#Statut_biogéographique!A"&amp;_xlfn.XMATCH("P",Statut_biogéographique!A:A,2,1),"P")</f>
        <v>P</v>
      </c>
      <c r="AP5310" s="4" t="s">
        <v>376</v>
      </c>
      <c r="AR5310" s="4" t="s">
        <v>377</v>
      </c>
    </row>
    <row r="5311" spans="1:44" ht="30">
      <c r="A5311" s="4" t="s">
        <v>5</v>
      </c>
      <c r="B5311" s="4">
        <v>40388</v>
      </c>
      <c r="C5311" s="4">
        <v>3858</v>
      </c>
      <c r="D5311" s="5" t="s">
        <v>7733</v>
      </c>
      <c r="E5311" s="6" t="str">
        <f>HYPERLINK("https://inpn.mnhn.fr/espece/cd_nom/40388","Geastrum triplex Jungh., 1840")</f>
        <v>Geastrum triplex Jungh., 1840</v>
      </c>
      <c r="F5311" s="5" t="s">
        <v>7734</v>
      </c>
      <c r="V5311" s="7" t="str">
        <f>HYPERLINK("#Liste_rouge!A"&amp;_xlfn.XMATCH("DD",Liste_rouge!A:A,2,1),"DD")</f>
        <v>DD</v>
      </c>
      <c r="AH5311" s="4" t="str">
        <f>HYPERLINK("#Statut_biogéographique!A"&amp;_xlfn.XMATCH("P",Statut_biogéographique!A:A,2,1),"P")</f>
        <v>P</v>
      </c>
      <c r="AP5311" s="4" t="s">
        <v>376</v>
      </c>
      <c r="AR5311" s="4" t="s">
        <v>377</v>
      </c>
    </row>
    <row r="5312" spans="1:44">
      <c r="A5312" s="4" t="s">
        <v>5</v>
      </c>
      <c r="B5312" s="4">
        <v>40406</v>
      </c>
      <c r="C5312" s="4">
        <v>5291</v>
      </c>
      <c r="D5312" s="5" t="s">
        <v>7735</v>
      </c>
      <c r="E5312" s="6" t="str">
        <f>HYPERLINK("https://inpn.mnhn.fr/espece/cd_nom/40406","Hydnangium carneum Wallr., 1839")</f>
        <v>Hydnangium carneum Wallr., 1839</v>
      </c>
      <c r="V5312" s="7" t="str">
        <f>HYPERLINK("#Liste_rouge!A"&amp;_xlfn.XMATCH("DD",Liste_rouge!A:A,2,1),"DD")</f>
        <v>DD</v>
      </c>
      <c r="AH5312" s="4" t="str">
        <f>HYPERLINK("#Statut_biogéographique!A"&amp;_xlfn.XMATCH("P",Statut_biogéographique!A:A,2,1),"P")</f>
        <v>P</v>
      </c>
      <c r="AP5312" s="4" t="s">
        <v>376</v>
      </c>
      <c r="AR5312" s="4" t="s">
        <v>377</v>
      </c>
    </row>
    <row r="5313" spans="1:44">
      <c r="A5313" s="4" t="s">
        <v>5</v>
      </c>
      <c r="B5313" s="4">
        <v>40416</v>
      </c>
      <c r="C5313" s="4">
        <v>6574</v>
      </c>
      <c r="D5313" s="5" t="s">
        <v>7736</v>
      </c>
      <c r="E5313" s="6" t="str">
        <f>HYPERLINK("https://inpn.mnhn.fr/espece/cd_nom/40416","Hymenogaster arenarius Tul. &amp; C.Tul., 1844")</f>
        <v>Hymenogaster arenarius Tul. &amp; C.Tul., 1844</v>
      </c>
      <c r="AH5313" s="4" t="str">
        <f>HYPERLINK("#Statut_biogéographique!A"&amp;_xlfn.XMATCH("P",Statut_biogéographique!A:A,2,1),"P")</f>
        <v>P</v>
      </c>
      <c r="AP5313" s="4" t="s">
        <v>376</v>
      </c>
      <c r="AR5313" s="4" t="s">
        <v>377</v>
      </c>
    </row>
    <row r="5314" spans="1:44">
      <c r="A5314" s="4" t="s">
        <v>5</v>
      </c>
      <c r="B5314" s="4">
        <v>40422</v>
      </c>
      <c r="C5314" s="4">
        <v>6017</v>
      </c>
      <c r="D5314" s="5" t="s">
        <v>7737</v>
      </c>
      <c r="E5314" s="6" t="str">
        <f>HYPERLINK("https://inpn.mnhn.fr/espece/cd_nom/40422","Hymenogaster cerebellum Cavara, 1893")</f>
        <v>Hymenogaster cerebellum Cavara, 1893</v>
      </c>
      <c r="AH5314" s="4" t="str">
        <f>HYPERLINK("#Statut_biogéographique!A"&amp;_xlfn.XMATCH("P",Statut_biogéographique!A:A,2,1),"P")</f>
        <v>P</v>
      </c>
      <c r="AP5314" s="4" t="s">
        <v>376</v>
      </c>
      <c r="AR5314" s="4" t="s">
        <v>377</v>
      </c>
    </row>
    <row r="5315" spans="1:44">
      <c r="A5315" s="4" t="s">
        <v>5</v>
      </c>
      <c r="B5315" s="4">
        <v>40435</v>
      </c>
      <c r="C5315" s="4">
        <v>4731</v>
      </c>
      <c r="D5315" s="5" t="s">
        <v>7738</v>
      </c>
      <c r="E5315" s="6" t="str">
        <f>HYPERLINK("https://inpn.mnhn.fr/espece/cd_nom/40435","Hymenogaster luteus Vittad., 1831")</f>
        <v>Hymenogaster luteus Vittad., 1831</v>
      </c>
      <c r="V5315" s="7" t="str">
        <f>HYPERLINK("#Liste_rouge!A"&amp;_xlfn.XMATCH("RE",Liste_rouge!A:A,2,1),"RE")</f>
        <v>RE</v>
      </c>
      <c r="AH5315" s="4" t="str">
        <f>HYPERLINK("#Statut_biogéographique!A"&amp;_xlfn.XMATCH("P",Statut_biogéographique!A:A,2,1),"P")</f>
        <v>P</v>
      </c>
      <c r="AP5315" s="4" t="s">
        <v>376</v>
      </c>
      <c r="AR5315" s="4" t="s">
        <v>377</v>
      </c>
    </row>
    <row r="5316" spans="1:44">
      <c r="A5316" s="4" t="s">
        <v>5</v>
      </c>
      <c r="B5316" s="4">
        <v>40443</v>
      </c>
      <c r="C5316" s="4">
        <v>6344</v>
      </c>
      <c r="D5316" s="5" t="s">
        <v>7739</v>
      </c>
      <c r="E5316" s="6" t="str">
        <f>HYPERLINK("https://inpn.mnhn.fr/espece/cd_nom/40443","Hymenogaster olivaceus Vittad., 1831")</f>
        <v>Hymenogaster olivaceus Vittad., 1831</v>
      </c>
      <c r="V5316" s="7" t="str">
        <f>HYPERLINK("#Liste_rouge!A"&amp;_xlfn.XMATCH("DD",Liste_rouge!A:A,2,1),"DD")</f>
        <v>DD</v>
      </c>
      <c r="AH5316" s="4" t="str">
        <f>HYPERLINK("#Statut_biogéographique!A"&amp;_xlfn.XMATCH("P",Statut_biogéographique!A:A,2,1),"P")</f>
        <v>P</v>
      </c>
      <c r="AP5316" s="4" t="s">
        <v>376</v>
      </c>
      <c r="AR5316" s="4" t="s">
        <v>377</v>
      </c>
    </row>
    <row r="5317" spans="1:44">
      <c r="A5317" s="4" t="s">
        <v>5</v>
      </c>
      <c r="B5317" s="4">
        <v>40452</v>
      </c>
      <c r="C5317" s="4">
        <v>6685</v>
      </c>
      <c r="D5317" s="5" t="s">
        <v>7740</v>
      </c>
      <c r="E5317" s="6" t="str">
        <f>HYPERLINK("https://inpn.mnhn.fr/espece/cd_nom/40452","Hymenogaster spictensis Pat., 1914")</f>
        <v>Hymenogaster spictensis Pat., 1914</v>
      </c>
      <c r="AH5317" s="4" t="str">
        <f>HYPERLINK("#Statut_biogéographique!A"&amp;_xlfn.XMATCH("P",Statut_biogéographique!A:A,2,1),"P")</f>
        <v>P</v>
      </c>
      <c r="AP5317" s="4" t="s">
        <v>376</v>
      </c>
      <c r="AR5317" s="4" t="s">
        <v>377</v>
      </c>
    </row>
    <row r="5318" spans="1:44">
      <c r="A5318" s="4" t="s">
        <v>5</v>
      </c>
      <c r="B5318" s="4">
        <v>40466</v>
      </c>
      <c r="C5318" s="4">
        <v>4732</v>
      </c>
      <c r="D5318" s="5" t="s">
        <v>7741</v>
      </c>
      <c r="E5318" s="6" t="str">
        <f>HYPERLINK("https://inpn.mnhn.fr/espece/cd_nom/40466","Hymenogaster vulgaris Tul. &amp; C.Tul., 1846")</f>
        <v>Hymenogaster vulgaris Tul. &amp; C.Tul., 1846</v>
      </c>
      <c r="V5318" s="7" t="str">
        <f>HYPERLINK("#Liste_rouge!A"&amp;_xlfn.XMATCH("RE",Liste_rouge!A:A,2,1),"RE")</f>
        <v>RE</v>
      </c>
      <c r="AH5318" s="4" t="str">
        <f>HYPERLINK("#Statut_biogéographique!A"&amp;_xlfn.XMATCH("P",Statut_biogéographique!A:A,2,1),"P")</f>
        <v>P</v>
      </c>
      <c r="AP5318" s="4" t="s">
        <v>376</v>
      </c>
      <c r="AR5318" s="4" t="s">
        <v>377</v>
      </c>
    </row>
    <row r="5319" spans="1:44">
      <c r="A5319" s="4" t="s">
        <v>5</v>
      </c>
      <c r="B5319" s="4">
        <v>40475</v>
      </c>
      <c r="C5319" s="4">
        <v>3499</v>
      </c>
      <c r="D5319" s="5" t="s">
        <v>7742</v>
      </c>
      <c r="E5319" s="6" t="str">
        <f>HYPERLINK("https://inpn.mnhn.fr/espece/cd_nom/40475","Hysterangium clathroides Vittad., 1831")</f>
        <v>Hysterangium clathroides Vittad., 1831</v>
      </c>
      <c r="V5319" s="7" t="str">
        <f>HYPERLINK("#Liste_rouge!A"&amp;_xlfn.XMATCH("EN",Liste_rouge!A:A,2,1),"EN")</f>
        <v>EN</v>
      </c>
      <c r="W5319" s="4" t="str">
        <f>HYPERLINK("#Critères_liste_rouge!A$1","B2abiii")</f>
        <v>B2abiii</v>
      </c>
      <c r="Z5319" s="4" t="s">
        <v>447</v>
      </c>
      <c r="AA5319" s="4" t="s">
        <v>448</v>
      </c>
      <c r="AH5319" s="4" t="str">
        <f>HYPERLINK("#Statut_biogéographique!A"&amp;_xlfn.XMATCH("P",Statut_biogéographique!A:A,2,1),"P")</f>
        <v>P</v>
      </c>
      <c r="AP5319" s="4" t="s">
        <v>376</v>
      </c>
      <c r="AR5319" s="4" t="s">
        <v>377</v>
      </c>
    </row>
    <row r="5320" spans="1:44">
      <c r="A5320" s="4" t="s">
        <v>5</v>
      </c>
      <c r="B5320" s="4">
        <v>40489</v>
      </c>
      <c r="C5320" s="4">
        <v>4733</v>
      </c>
      <c r="D5320" s="5" t="s">
        <v>7743</v>
      </c>
      <c r="E5320" s="6" t="str">
        <f>HYPERLINK("https://inpn.mnhn.fr/espece/cd_nom/40489","Hysterangium separabile Zeller, 1941")</f>
        <v>Hysterangium separabile Zeller, 1941</v>
      </c>
      <c r="V5320" s="7" t="str">
        <f>HYPERLINK("#Liste_rouge!A"&amp;_xlfn.XMATCH("RE",Liste_rouge!A:A,2,1),"RE")</f>
        <v>RE</v>
      </c>
      <c r="AH5320" s="4" t="str">
        <f>HYPERLINK("#Statut_biogéographique!A"&amp;_xlfn.XMATCH("P",Statut_biogéographique!A:A,2,1),"P")</f>
        <v>P</v>
      </c>
      <c r="AP5320" s="4" t="s">
        <v>376</v>
      </c>
      <c r="AR5320" s="4" t="s">
        <v>377</v>
      </c>
    </row>
    <row r="5321" spans="1:44" ht="30">
      <c r="A5321" s="4" t="s">
        <v>5</v>
      </c>
      <c r="B5321" s="4">
        <v>40499</v>
      </c>
      <c r="C5321" s="4">
        <v>1368</v>
      </c>
      <c r="D5321" s="5" t="s">
        <v>7744</v>
      </c>
      <c r="E5321" s="6" t="str">
        <f>HYPERLINK("https://inpn.mnhn.fr/espece/cd_nom/40499","Langermannia gigantea (Batsch) Rostk., 1839")</f>
        <v>Langermannia gigantea (Batsch) Rostk., 1839</v>
      </c>
      <c r="F5321" s="5" t="s">
        <v>7745</v>
      </c>
      <c r="V5321" s="7" t="str">
        <f>HYPERLINK("#Liste_rouge!A"&amp;_xlfn.XMATCH("LC",Liste_rouge!A:A,2,1),"LC")</f>
        <v>LC</v>
      </c>
      <c r="AH5321" s="4" t="str">
        <f>HYPERLINK("#Statut_biogéographique!A"&amp;_xlfn.XMATCH("P",Statut_biogéographique!A:A,2,1),"P")</f>
        <v>P</v>
      </c>
      <c r="AP5321" s="4" t="s">
        <v>376</v>
      </c>
      <c r="AR5321" s="4" t="s">
        <v>377</v>
      </c>
    </row>
    <row r="5322" spans="1:44">
      <c r="A5322" s="4" t="s">
        <v>5</v>
      </c>
      <c r="B5322" s="4">
        <v>40506</v>
      </c>
      <c r="C5322" s="4">
        <v>2357</v>
      </c>
      <c r="D5322" s="5" t="s">
        <v>7746</v>
      </c>
      <c r="E5322" s="6" t="str">
        <f>HYPERLINK("https://inpn.mnhn.fr/espece/cd_nom/40506","Hydnangium virescens Quél., 1875")</f>
        <v>Hydnangium virescens Quél., 1875</v>
      </c>
      <c r="V5322" s="7" t="str">
        <f>HYPERLINK("#Liste_rouge!A"&amp;_xlfn.XMATCH("RE",Liste_rouge!A:A,2,1),"RE")</f>
        <v>RE</v>
      </c>
      <c r="AH5322" s="4" t="str">
        <f>HYPERLINK("#Statut_biogéographique!A"&amp;_xlfn.XMATCH("P",Statut_biogéographique!A:A,2,1),"P")</f>
        <v>P</v>
      </c>
      <c r="AP5322" s="4" t="s">
        <v>376</v>
      </c>
      <c r="AR5322" s="4" t="s">
        <v>377</v>
      </c>
    </row>
    <row r="5323" spans="1:44">
      <c r="A5323" s="4" t="s">
        <v>5</v>
      </c>
      <c r="B5323" s="4">
        <v>40525</v>
      </c>
      <c r="D5323" s="5" t="s">
        <v>7747</v>
      </c>
      <c r="E5323" s="6" t="str">
        <f>HYPERLINK("https://inpn.mnhn.fr/espece/cd_nom/40525","Lycoperdon echinatum Pers., 1794")</f>
        <v>Lycoperdon echinatum Pers., 1794</v>
      </c>
      <c r="F5323" s="5" t="s">
        <v>7748</v>
      </c>
      <c r="V5323" s="7" t="str">
        <f>HYPERLINK("#Liste_rouge!A"&amp;_xlfn.XMATCH("LC",Liste_rouge!A:A,2,1),"LC")</f>
        <v>LC</v>
      </c>
      <c r="AH5323" s="4" t="str">
        <f>HYPERLINK("#Statut_biogéographique!A"&amp;_xlfn.XMATCH("P",Statut_biogéographique!A:A,2,1),"P")</f>
        <v>P</v>
      </c>
      <c r="AP5323" s="4" t="s">
        <v>376</v>
      </c>
      <c r="AR5323" s="4" t="s">
        <v>377</v>
      </c>
    </row>
    <row r="5324" spans="1:44">
      <c r="A5324" s="4" t="s">
        <v>5</v>
      </c>
      <c r="B5324" s="4">
        <v>40534</v>
      </c>
      <c r="D5324" s="5" t="s">
        <v>7749</v>
      </c>
      <c r="E5324" s="6" t="str">
        <f>HYPERLINK("https://inpn.mnhn.fr/espece/cd_nom/40534","Lycoperdon foetidum Bonord., 1851")</f>
        <v>Lycoperdon foetidum Bonord., 1851</v>
      </c>
      <c r="V5324" s="7" t="str">
        <f>HYPERLINK("#Liste_rouge!A"&amp;_xlfn.XMATCH("LC",Liste_rouge!A:A,2,1),"LC")</f>
        <v>LC</v>
      </c>
      <c r="AH5324" s="4" t="str">
        <f>HYPERLINK("#Statut_biogéographique!A"&amp;_xlfn.XMATCH("P",Statut_biogéographique!A:A,2,1),"P")</f>
        <v>P</v>
      </c>
      <c r="AP5324" s="4" t="s">
        <v>376</v>
      </c>
      <c r="AR5324" s="4" t="s">
        <v>377</v>
      </c>
    </row>
    <row r="5325" spans="1:44">
      <c r="A5325" s="4" t="s">
        <v>5</v>
      </c>
      <c r="B5325" s="4">
        <v>40539</v>
      </c>
      <c r="D5325" s="5" t="s">
        <v>7750</v>
      </c>
      <c r="E5325" s="6" t="str">
        <f>HYPERLINK("https://inpn.mnhn.fr/espece/cd_nom/40539","Lycoperdon lividum Pers., 1809")</f>
        <v>Lycoperdon lividum Pers., 1809</v>
      </c>
      <c r="V5325" s="7" t="str">
        <f>HYPERLINK("#Liste_rouge!A"&amp;_xlfn.XMATCH("EN",Liste_rouge!A:A,2,1),"EN")</f>
        <v>EN</v>
      </c>
      <c r="W5325" s="4" t="str">
        <f>HYPERLINK("#Critères_liste_rouge!A$1","A2c")</f>
        <v>A2c</v>
      </c>
      <c r="AH5325" s="4" t="str">
        <f>HYPERLINK("#Statut_biogéographique!A"&amp;_xlfn.XMATCH("P",Statut_biogéographique!A:A,2,1),"P")</f>
        <v>P</v>
      </c>
      <c r="AP5325" s="4" t="s">
        <v>376</v>
      </c>
      <c r="AR5325" s="4" t="s">
        <v>377</v>
      </c>
    </row>
    <row r="5326" spans="1:44">
      <c r="A5326" s="4" t="s">
        <v>5</v>
      </c>
      <c r="B5326" s="4">
        <v>40550</v>
      </c>
      <c r="D5326" s="5" t="s">
        <v>7751</v>
      </c>
      <c r="E5326" s="6" t="str">
        <f>HYPERLINK("https://inpn.mnhn.fr/espece/cd_nom/40550","Lycoperdon molle Pers., 1801")</f>
        <v>Lycoperdon molle Pers., 1801</v>
      </c>
      <c r="V5326" s="7" t="str">
        <f>HYPERLINK("#Liste_rouge!A"&amp;_xlfn.XMATCH("LC",Liste_rouge!A:A,2,1),"LC")</f>
        <v>LC</v>
      </c>
      <c r="AH5326" s="4" t="str">
        <f>HYPERLINK("#Statut_biogéographique!A"&amp;_xlfn.XMATCH("P",Statut_biogéographique!A:A,2,1),"P")</f>
        <v>P</v>
      </c>
      <c r="AP5326" s="4" t="s">
        <v>376</v>
      </c>
      <c r="AR5326" s="4" t="s">
        <v>377</v>
      </c>
    </row>
    <row r="5327" spans="1:44">
      <c r="A5327" s="4" t="s">
        <v>5</v>
      </c>
      <c r="B5327" s="4">
        <v>40561</v>
      </c>
      <c r="D5327" s="5" t="s">
        <v>7752</v>
      </c>
      <c r="E5327" s="6" t="str">
        <f>HYPERLINK("https://inpn.mnhn.fr/espece/cd_nom/40561","Lycoperdon perlatum Pers., 1796")</f>
        <v>Lycoperdon perlatum Pers., 1796</v>
      </c>
      <c r="F5327" s="5" t="s">
        <v>7753</v>
      </c>
      <c r="O5327" s="7" t="str">
        <f>HYPERLINK("#Liste_rouge!A"&amp;_xlfn.XMATCH("LC",Liste_rouge!A:A,2,1),"LC")</f>
        <v>LC</v>
      </c>
      <c r="V5327" s="7" t="str">
        <f>HYPERLINK("#Liste_rouge!A"&amp;_xlfn.XMATCH("LC",Liste_rouge!A:A,2,1),"LC")</f>
        <v>LC</v>
      </c>
      <c r="AH5327" s="4" t="str">
        <f>HYPERLINK("#Statut_biogéographique!A"&amp;_xlfn.XMATCH("P",Statut_biogéographique!A:A,2,1),"P")</f>
        <v>P</v>
      </c>
      <c r="AP5327" s="4" t="s">
        <v>376</v>
      </c>
      <c r="AR5327" s="4" t="s">
        <v>377</v>
      </c>
    </row>
    <row r="5328" spans="1:44">
      <c r="A5328" s="4" t="s">
        <v>5</v>
      </c>
      <c r="B5328" s="4">
        <v>40569</v>
      </c>
      <c r="D5328" s="5" t="s">
        <v>7754</v>
      </c>
      <c r="E5328" s="6" t="str">
        <f>HYPERLINK("https://inpn.mnhn.fr/espece/cd_nom/40569","Lycoperdon umbrinum Pers., 1801")</f>
        <v>Lycoperdon umbrinum Pers., 1801</v>
      </c>
      <c r="V5328" s="7" t="str">
        <f>HYPERLINK("#Liste_rouge!A"&amp;_xlfn.XMATCH("LC",Liste_rouge!A:A,2,1),"LC")</f>
        <v>LC</v>
      </c>
      <c r="AH5328" s="4" t="str">
        <f>HYPERLINK("#Statut_biogéographique!A"&amp;_xlfn.XMATCH("P",Statut_biogéographique!A:A,2,1),"P")</f>
        <v>P</v>
      </c>
      <c r="AP5328" s="4" t="s">
        <v>376</v>
      </c>
      <c r="AR5328" s="4" t="s">
        <v>377</v>
      </c>
    </row>
    <row r="5329" spans="1:44" ht="30">
      <c r="A5329" s="4" t="s">
        <v>5</v>
      </c>
      <c r="B5329" s="4">
        <v>40599</v>
      </c>
      <c r="C5329" s="4">
        <v>3172</v>
      </c>
      <c r="D5329" s="5">
        <v>855831</v>
      </c>
      <c r="E5329" s="6" t="str">
        <f>HYPERLINK("https://inpn.mnhn.fr/espece/cd_nom/40599","Melanogaster variegatus (Vittad.) Tul. &amp; C.Tul., 1851")</f>
        <v>Melanogaster variegatus (Vittad.) Tul. &amp; C.Tul., 1851</v>
      </c>
      <c r="F5329" s="5" t="s">
        <v>7755</v>
      </c>
      <c r="V5329" s="7" t="str">
        <f>HYPERLINK("#Liste_rouge!A"&amp;_xlfn.XMATCH("NT",Liste_rouge!A:A,2,1),"NT")</f>
        <v>NT</v>
      </c>
      <c r="W5329" s="4" t="str">
        <f>HYPERLINK("#Critères_liste_rouge!A$1","pr. B2abiii")</f>
        <v>pr. B2abiii</v>
      </c>
      <c r="AH5329" s="4" t="str">
        <f>HYPERLINK("#Statut_biogéographique!A"&amp;_xlfn.XMATCH("P",Statut_biogéographique!A:A,2,1),"P")</f>
        <v>P</v>
      </c>
      <c r="AP5329" s="4" t="s">
        <v>376</v>
      </c>
      <c r="AR5329" s="4" t="s">
        <v>377</v>
      </c>
    </row>
    <row r="5330" spans="1:44">
      <c r="A5330" s="4" t="s">
        <v>5</v>
      </c>
      <c r="B5330" s="4">
        <v>40611</v>
      </c>
      <c r="D5330" s="5" t="s">
        <v>7756</v>
      </c>
      <c r="E5330" s="6" t="str">
        <f>HYPERLINK("https://inpn.mnhn.fr/espece/cd_nom/40611","Mutinus caninus (Huds.) Fr., 1849")</f>
        <v>Mutinus caninus (Huds.) Fr., 1849</v>
      </c>
      <c r="F5330" s="5" t="s">
        <v>7757</v>
      </c>
      <c r="V5330" s="7" t="str">
        <f>HYPERLINK("#Liste_rouge!A"&amp;_xlfn.XMATCH("LC",Liste_rouge!A:A,2,1),"LC")</f>
        <v>LC</v>
      </c>
      <c r="AH5330" s="4" t="str">
        <f>HYPERLINK("#Statut_biogéographique!A"&amp;_xlfn.XMATCH("P",Statut_biogéographique!A:A,2,1),"P")</f>
        <v>P</v>
      </c>
      <c r="AP5330" s="4" t="s">
        <v>376</v>
      </c>
      <c r="AR5330" s="4" t="s">
        <v>377</v>
      </c>
    </row>
    <row r="5331" spans="1:44" ht="30">
      <c r="A5331" s="4" t="s">
        <v>5</v>
      </c>
      <c r="B5331" s="4">
        <v>40632</v>
      </c>
      <c r="D5331" s="5" t="s">
        <v>7758</v>
      </c>
      <c r="E5331" s="6" t="str">
        <f>HYPERLINK("https://inpn.mnhn.fr/espece/cd_nom/40632","Nidularia deformis (Willd.) Fr., 1817")</f>
        <v>Nidularia deformis (Willd.) Fr., 1817</v>
      </c>
      <c r="V5331" s="7" t="str">
        <f>HYPERLINK("#Liste_rouge!A"&amp;_xlfn.XMATCH("DD",Liste_rouge!A:A,2,1),"DD")</f>
        <v>DD</v>
      </c>
      <c r="AH5331" s="4" t="str">
        <f>HYPERLINK("#Statut_biogéographique!A"&amp;_xlfn.XMATCH("P",Statut_biogéographique!A:A,2,1),"P")</f>
        <v>P</v>
      </c>
      <c r="AP5331" s="4" t="s">
        <v>376</v>
      </c>
      <c r="AR5331" s="4" t="s">
        <v>377</v>
      </c>
    </row>
    <row r="5332" spans="1:44" ht="30">
      <c r="A5332" s="4" t="s">
        <v>5</v>
      </c>
      <c r="B5332" s="4">
        <v>40654</v>
      </c>
      <c r="D5332" s="5" t="s">
        <v>7759</v>
      </c>
      <c r="E5332" s="6" t="str">
        <f>HYPERLINK("https://inpn.mnhn.fr/espece/cd_nom/40654","Phallus impudicus L., 1753")</f>
        <v>Phallus impudicus L., 1753</v>
      </c>
      <c r="F5332" s="5" t="s">
        <v>7760</v>
      </c>
      <c r="V5332" s="7" t="str">
        <f>HYPERLINK("#Liste_rouge!A"&amp;_xlfn.XMATCH("LC",Liste_rouge!A:A,2,1),"LC")</f>
        <v>LC</v>
      </c>
      <c r="AH5332" s="4" t="str">
        <f>HYPERLINK("#Statut_biogéographique!A"&amp;_xlfn.XMATCH("P",Statut_biogéographique!A:A,2,1),"P")</f>
        <v>P</v>
      </c>
      <c r="AP5332" s="4" t="s">
        <v>376</v>
      </c>
      <c r="AR5332" s="4" t="s">
        <v>377</v>
      </c>
    </row>
    <row r="5333" spans="1:44">
      <c r="A5333" s="4" t="s">
        <v>5</v>
      </c>
      <c r="B5333" s="4">
        <v>40674</v>
      </c>
      <c r="D5333" s="5">
        <v>40674</v>
      </c>
      <c r="E5333" s="6" t="str">
        <f>HYPERLINK("https://inpn.mnhn.fr/espece/cd_nom/40674","Queletia mirabilis Fr., 1872")</f>
        <v>Queletia mirabilis Fr., 1872</v>
      </c>
      <c r="V5333" s="7" t="str">
        <f>HYPERLINK("#Liste_rouge!A"&amp;_xlfn.XMATCH("CR",Liste_rouge!A:A,2,1),"CR")</f>
        <v>CR</v>
      </c>
      <c r="W5333" s="4" t="str">
        <f>HYPERLINK("#Critères_liste_rouge!A$1","B2abiii")</f>
        <v>B2abiii</v>
      </c>
      <c r="AH5333" s="4" t="str">
        <f>HYPERLINK("#Statut_biogéographique!A"&amp;_xlfn.XMATCH("P",Statut_biogéographique!A:A,2,1),"P")</f>
        <v>P</v>
      </c>
      <c r="AP5333" s="4" t="s">
        <v>376</v>
      </c>
      <c r="AR5333" s="4" t="s">
        <v>377</v>
      </c>
    </row>
    <row r="5334" spans="1:44" ht="45">
      <c r="A5334" s="4" t="s">
        <v>5</v>
      </c>
      <c r="B5334" s="4">
        <v>40679</v>
      </c>
      <c r="D5334" s="5" t="s">
        <v>7761</v>
      </c>
      <c r="E5334" s="6" t="str">
        <f>HYPERLINK("https://inpn.mnhn.fr/espece/cd_nom/40679","Rhizopogon roseolus (Corda) Th.Fr., 1909")</f>
        <v>Rhizopogon roseolus (Corda) Th.Fr., 1909</v>
      </c>
      <c r="F5334" s="5" t="s">
        <v>1364</v>
      </c>
      <c r="V5334" s="7" t="str">
        <f>HYPERLINK("#Liste_rouge!A"&amp;_xlfn.XMATCH("EN",Liste_rouge!A:A,2,1),"EN")</f>
        <v>EN</v>
      </c>
      <c r="W5334" s="4" t="str">
        <f>HYPERLINK("#Critères_liste_rouge!A$1","B2abiii")</f>
        <v>B2abiii</v>
      </c>
      <c r="AH5334" s="4" t="str">
        <f>HYPERLINK("#Statut_biogéographique!A"&amp;_xlfn.XMATCH("P",Statut_biogéographique!A:A,2,1),"P")</f>
        <v>P</v>
      </c>
      <c r="AP5334" s="4" t="s">
        <v>376</v>
      </c>
      <c r="AR5334" s="4" t="s">
        <v>377</v>
      </c>
    </row>
    <row r="5335" spans="1:44" ht="30">
      <c r="A5335" s="4" t="s">
        <v>5</v>
      </c>
      <c r="B5335" s="4">
        <v>40686</v>
      </c>
      <c r="D5335" s="5" t="s">
        <v>7762</v>
      </c>
      <c r="E5335" s="6" t="str">
        <f>HYPERLINK("https://inpn.mnhn.fr/espece/cd_nom/40686","Rhizopogon luteolus Fr., 1817")</f>
        <v>Rhizopogon luteolus Fr., 1817</v>
      </c>
      <c r="F5335" s="5" t="s">
        <v>7763</v>
      </c>
      <c r="V5335" s="7" t="str">
        <f>HYPERLINK("#Liste_rouge!A"&amp;_xlfn.XMATCH("EN",Liste_rouge!A:A,2,1),"EN")</f>
        <v>EN</v>
      </c>
      <c r="W5335" s="4" t="str">
        <f>HYPERLINK("#Critères_liste_rouge!A$1","A2c")</f>
        <v>A2c</v>
      </c>
      <c r="AH5335" s="4" t="str">
        <f>HYPERLINK("#Statut_biogéographique!A"&amp;_xlfn.XMATCH("P",Statut_biogéographique!A:A,2,1),"P")</f>
        <v>P</v>
      </c>
      <c r="AP5335" s="4" t="s">
        <v>376</v>
      </c>
      <c r="AR5335" s="4" t="s">
        <v>377</v>
      </c>
    </row>
    <row r="5336" spans="1:44">
      <c r="A5336" s="4" t="s">
        <v>5</v>
      </c>
      <c r="B5336" s="4">
        <v>40707</v>
      </c>
      <c r="D5336" s="5" t="s">
        <v>7764</v>
      </c>
      <c r="E5336" s="6" t="str">
        <f>HYPERLINK("https://inpn.mnhn.fr/espece/cd_nom/40707","Scleroderma areolatum Ehrenb., 1818")</f>
        <v>Scleroderma areolatum Ehrenb., 1818</v>
      </c>
      <c r="F5336" s="5" t="s">
        <v>7765</v>
      </c>
      <c r="V5336" s="7" t="str">
        <f>HYPERLINK("#Liste_rouge!A"&amp;_xlfn.XMATCH("LC",Liste_rouge!A:A,2,1),"LC")</f>
        <v>LC</v>
      </c>
      <c r="AH5336" s="4" t="str">
        <f>HYPERLINK("#Statut_biogéographique!A"&amp;_xlfn.XMATCH("P",Statut_biogéographique!A:A,2,1),"P")</f>
        <v>P</v>
      </c>
      <c r="AP5336" s="4" t="s">
        <v>376</v>
      </c>
      <c r="AR5336" s="4" t="s">
        <v>377</v>
      </c>
    </row>
    <row r="5337" spans="1:44">
      <c r="A5337" s="4" t="s">
        <v>5</v>
      </c>
      <c r="B5337" s="4">
        <v>40710</v>
      </c>
      <c r="D5337" s="5" t="s">
        <v>7766</v>
      </c>
      <c r="E5337" s="6" t="str">
        <f>HYPERLINK("https://inpn.mnhn.fr/espece/cd_nom/40710","Scleroderma bovista Fr., 1829")</f>
        <v>Scleroderma bovista Fr., 1829</v>
      </c>
      <c r="V5337" s="7" t="str">
        <f>HYPERLINK("#Liste_rouge!A"&amp;_xlfn.XMATCH("EN",Liste_rouge!A:A,2,1),"EN")</f>
        <v>EN</v>
      </c>
      <c r="W5337" s="4" t="str">
        <f>HYPERLINK("#Critères_liste_rouge!A$1","A2c")</f>
        <v>A2c</v>
      </c>
      <c r="AH5337" s="4" t="str">
        <f>HYPERLINK("#Statut_biogéographique!A"&amp;_xlfn.XMATCH("P",Statut_biogéographique!A:A,2,1),"P")</f>
        <v>P</v>
      </c>
      <c r="AP5337" s="4" t="s">
        <v>376</v>
      </c>
      <c r="AR5337" s="4" t="s">
        <v>377</v>
      </c>
    </row>
    <row r="5338" spans="1:44" ht="45">
      <c r="A5338" s="4" t="s">
        <v>5</v>
      </c>
      <c r="B5338" s="4">
        <v>40716</v>
      </c>
      <c r="D5338" s="5" t="s">
        <v>7767</v>
      </c>
      <c r="E5338" s="6" t="str">
        <f>HYPERLINK("https://inpn.mnhn.fr/espece/cd_nom/40716","Scleroderma citrinum Pers., 1801")</f>
        <v>Scleroderma citrinum Pers., 1801</v>
      </c>
      <c r="F5338" s="5" t="s">
        <v>7768</v>
      </c>
      <c r="V5338" s="7" t="str">
        <f>HYPERLINK("#Liste_rouge!A"&amp;_xlfn.XMATCH("LC",Liste_rouge!A:A,2,1),"LC")</f>
        <v>LC</v>
      </c>
      <c r="AH5338" s="4" t="str">
        <f>HYPERLINK("#Statut_biogéographique!A"&amp;_xlfn.XMATCH("P",Statut_biogéographique!A:A,2,1),"P")</f>
        <v>P</v>
      </c>
      <c r="AP5338" s="4" t="s">
        <v>376</v>
      </c>
      <c r="AR5338" s="4" t="s">
        <v>377</v>
      </c>
    </row>
    <row r="5339" spans="1:44">
      <c r="A5339" s="4" t="s">
        <v>5</v>
      </c>
      <c r="B5339" s="4">
        <v>40718</v>
      </c>
      <c r="D5339" s="5" t="s">
        <v>7769</v>
      </c>
      <c r="E5339" s="6" t="str">
        <f>HYPERLINK("https://inpn.mnhn.fr/espece/cd_nom/40718","Scleroderma geaster Fr., 1829")</f>
        <v>Scleroderma geaster Fr., 1829</v>
      </c>
      <c r="F5339" s="5" t="s">
        <v>7770</v>
      </c>
      <c r="V5339" s="7" t="str">
        <f>HYPERLINK("#Liste_rouge!A"&amp;_xlfn.XMATCH("RE",Liste_rouge!A:A,2,1),"RE")</f>
        <v>RE</v>
      </c>
      <c r="AH5339" s="4" t="str">
        <f>HYPERLINK("#Statut_biogéographique!A"&amp;_xlfn.XMATCH("P",Statut_biogéographique!A:A,2,1),"P")</f>
        <v>P</v>
      </c>
      <c r="AP5339" s="4" t="s">
        <v>376</v>
      </c>
      <c r="AR5339" s="4" t="s">
        <v>377</v>
      </c>
    </row>
    <row r="5340" spans="1:44">
      <c r="A5340" s="4" t="s">
        <v>5</v>
      </c>
      <c r="B5340" s="4">
        <v>40723</v>
      </c>
      <c r="D5340" s="5" t="s">
        <v>7771</v>
      </c>
      <c r="E5340" s="6" t="str">
        <f>HYPERLINK("https://inpn.mnhn.fr/espece/cd_nom/40723","Scleroderma verrucosum (Bull.) Pers., 1801")</f>
        <v>Scleroderma verrucosum (Bull.) Pers., 1801</v>
      </c>
      <c r="F5340" s="5" t="s">
        <v>766</v>
      </c>
      <c r="V5340" s="7" t="str">
        <f>HYPERLINK("#Liste_rouge!A"&amp;_xlfn.XMATCH("LC",Liste_rouge!A:A,2,1),"LC")</f>
        <v>LC</v>
      </c>
      <c r="AH5340" s="4" t="str">
        <f>HYPERLINK("#Statut_biogéographique!A"&amp;_xlfn.XMATCH("P",Statut_biogéographique!A:A,2,1),"P")</f>
        <v>P</v>
      </c>
      <c r="AP5340" s="4" t="s">
        <v>376</v>
      </c>
      <c r="AR5340" s="4" t="s">
        <v>377</v>
      </c>
    </row>
    <row r="5341" spans="1:44">
      <c r="A5341" s="4" t="s">
        <v>5</v>
      </c>
      <c r="B5341" s="4">
        <v>40750</v>
      </c>
      <c r="D5341" s="5" t="s">
        <v>7772</v>
      </c>
      <c r="E5341" s="6" t="str">
        <f>HYPERLINK("https://inpn.mnhn.fr/espece/cd_nom/40750","Sphaerobolus stellatus Tode, 1790")</f>
        <v>Sphaerobolus stellatus Tode, 1790</v>
      </c>
      <c r="AH5341" s="4" t="str">
        <f>HYPERLINK("#Statut_biogéographique!A"&amp;_xlfn.XMATCH("P",Statut_biogéographique!A:A,2,1),"P")</f>
        <v>P</v>
      </c>
      <c r="AP5341" s="4" t="s">
        <v>376</v>
      </c>
      <c r="AR5341" s="4" t="s">
        <v>377</v>
      </c>
    </row>
    <row r="5342" spans="1:44">
      <c r="A5342" s="4" t="s">
        <v>5</v>
      </c>
      <c r="B5342" s="4">
        <v>40790</v>
      </c>
      <c r="D5342" s="5" t="s">
        <v>7773</v>
      </c>
      <c r="E5342" s="6" t="str">
        <f>HYPERLINK("https://inpn.mnhn.fr/espece/cd_nom/40790","Tulostoma brumale Pers., 1794")</f>
        <v>Tulostoma brumale Pers., 1794</v>
      </c>
      <c r="V5342" s="7" t="str">
        <f>HYPERLINK("#Liste_rouge!A"&amp;_xlfn.XMATCH("LC",Liste_rouge!A:A,2,1),"LC")</f>
        <v>LC</v>
      </c>
      <c r="AH5342" s="4" t="str">
        <f>HYPERLINK("#Statut_biogéographique!A"&amp;_xlfn.XMATCH("P",Statut_biogéographique!A:A,2,1),"P")</f>
        <v>P</v>
      </c>
      <c r="AP5342" s="4" t="s">
        <v>376</v>
      </c>
      <c r="AR5342" s="4" t="s">
        <v>377</v>
      </c>
    </row>
    <row r="5343" spans="1:44" ht="30">
      <c r="A5343" s="4" t="s">
        <v>5</v>
      </c>
      <c r="B5343" s="4">
        <v>40808</v>
      </c>
      <c r="D5343" s="5" t="s">
        <v>7774</v>
      </c>
      <c r="E5343" s="6" t="str">
        <f>HYPERLINK("https://inpn.mnhn.fr/espece/cd_nom/40808","Vascellum pratense (Pers.) Kreisel, 1962")</f>
        <v>Vascellum pratense (Pers.) Kreisel, 1962</v>
      </c>
      <c r="F5343" s="5" t="s">
        <v>7775</v>
      </c>
      <c r="V5343" s="7" t="str">
        <f>HYPERLINK("#Liste_rouge!A"&amp;_xlfn.XMATCH("LC",Liste_rouge!A:A,2,1),"LC")</f>
        <v>LC</v>
      </c>
      <c r="AH5343" s="4" t="str">
        <f>HYPERLINK("#Statut_biogéographique!A"&amp;_xlfn.XMATCH("P",Statut_biogéographique!A:A,2,1),"P")</f>
        <v>P</v>
      </c>
      <c r="AP5343" s="4" t="s">
        <v>376</v>
      </c>
      <c r="AR5343" s="4" t="s">
        <v>377</v>
      </c>
    </row>
    <row r="5344" spans="1:44">
      <c r="A5344" s="4" t="s">
        <v>5</v>
      </c>
      <c r="B5344" s="4">
        <v>40826</v>
      </c>
      <c r="C5344" s="4">
        <v>2886</v>
      </c>
      <c r="D5344" s="5" t="s">
        <v>7776</v>
      </c>
      <c r="E5344" s="6" t="str">
        <f>HYPERLINK("https://inpn.mnhn.fr/espece/cd_nom/40826","Clavicorona pyxidata (Pers.) Doty, 1947")</f>
        <v>Clavicorona pyxidata (Pers.) Doty, 1947</v>
      </c>
      <c r="F5344" s="5" t="s">
        <v>7777</v>
      </c>
      <c r="V5344" s="7" t="str">
        <f>HYPERLINK("#Liste_rouge!A"&amp;_xlfn.XMATCH("LC",Liste_rouge!A:A,2,1),"LC")</f>
        <v>LC</v>
      </c>
      <c r="AH5344" s="4" t="str">
        <f>HYPERLINK("#Statut_biogéographique!A"&amp;_xlfn.XMATCH("P",Statut_biogéographique!A:A,2,1),"P")</f>
        <v>P</v>
      </c>
      <c r="AP5344" s="4" t="s">
        <v>376</v>
      </c>
      <c r="AR5344" s="4" t="s">
        <v>377</v>
      </c>
    </row>
    <row r="5345" spans="1:44">
      <c r="A5345" s="4" t="s">
        <v>5</v>
      </c>
      <c r="B5345" s="4">
        <v>40838</v>
      </c>
      <c r="C5345" s="4">
        <v>2476</v>
      </c>
      <c r="D5345" s="5" t="s">
        <v>7778</v>
      </c>
      <c r="E5345" s="6" t="str">
        <f>HYPERLINK("https://inpn.mnhn.fr/espece/cd_nom/40838","Clavaria argillacea Pers., 1797")</f>
        <v>Clavaria argillacea Pers., 1797</v>
      </c>
      <c r="F5345" s="5" t="s">
        <v>7779</v>
      </c>
      <c r="V5345" s="7" t="str">
        <f>HYPERLINK("#Liste_rouge!A"&amp;_xlfn.XMATCH("RE",Liste_rouge!A:A,2,1),"RE")</f>
        <v>RE</v>
      </c>
      <c r="Z5345" s="4" t="s">
        <v>695</v>
      </c>
      <c r="AA5345" s="4" t="s">
        <v>696</v>
      </c>
      <c r="AH5345" s="4" t="str">
        <f>HYPERLINK("#Statut_biogéographique!A"&amp;_xlfn.XMATCH("P",Statut_biogéographique!A:A,2,1),"P")</f>
        <v>P</v>
      </c>
      <c r="AP5345" s="4" t="s">
        <v>376</v>
      </c>
      <c r="AR5345" s="4" t="s">
        <v>377</v>
      </c>
    </row>
    <row r="5346" spans="1:44">
      <c r="A5346" s="4" t="s">
        <v>5</v>
      </c>
      <c r="B5346" s="4">
        <v>40841</v>
      </c>
      <c r="C5346" s="4">
        <v>6222</v>
      </c>
      <c r="D5346" s="5" t="s">
        <v>7780</v>
      </c>
      <c r="E5346" s="6" t="str">
        <f>HYPERLINK("https://inpn.mnhn.fr/espece/cd_nom/40841","Clavaria atrobadia Corner, 1950")</f>
        <v>Clavaria atrobadia Corner, 1950</v>
      </c>
      <c r="AH5346" s="4" t="str">
        <f>HYPERLINK("#Statut_biogéographique!A"&amp;_xlfn.XMATCH("P",Statut_biogéographique!A:A,2,1),"P")</f>
        <v>P</v>
      </c>
      <c r="AP5346" s="4" t="s">
        <v>376</v>
      </c>
      <c r="AR5346" s="4" t="s">
        <v>377</v>
      </c>
    </row>
    <row r="5347" spans="1:44">
      <c r="A5347" s="4" t="s">
        <v>5</v>
      </c>
      <c r="B5347" s="4">
        <v>40848</v>
      </c>
      <c r="C5347" s="4">
        <v>3541</v>
      </c>
      <c r="D5347" s="5" t="s">
        <v>7781</v>
      </c>
      <c r="E5347" s="6" t="str">
        <f>HYPERLINK("https://inpn.mnhn.fr/espece/cd_nom/40848","Clavaria acuta Sowerby, 1801")</f>
        <v>Clavaria acuta Sowerby, 1801</v>
      </c>
      <c r="F5347" s="5" t="s">
        <v>7782</v>
      </c>
      <c r="V5347" s="7" t="str">
        <f>HYPERLINK("#Liste_rouge!A"&amp;_xlfn.XMATCH("LC",Liste_rouge!A:A,2,1),"LC")</f>
        <v>LC</v>
      </c>
      <c r="AH5347" s="4" t="str">
        <f>HYPERLINK("#Statut_biogéographique!A"&amp;_xlfn.XMATCH("P",Statut_biogéographique!A:A,2,1),"P")</f>
        <v>P</v>
      </c>
      <c r="AP5347" s="4" t="s">
        <v>376</v>
      </c>
      <c r="AR5347" s="4" t="s">
        <v>377</v>
      </c>
    </row>
    <row r="5348" spans="1:44">
      <c r="A5348" s="4" t="s">
        <v>5</v>
      </c>
      <c r="B5348" s="4">
        <v>40851</v>
      </c>
      <c r="C5348" s="4">
        <v>832</v>
      </c>
      <c r="D5348" s="5" t="s">
        <v>7783</v>
      </c>
      <c r="E5348" s="6" t="str">
        <f>HYPERLINK("https://inpn.mnhn.fr/espece/cd_nom/40851","Clavaria fragilis Holmsk., 1790")</f>
        <v>Clavaria fragilis Holmsk., 1790</v>
      </c>
      <c r="F5348" s="5" t="s">
        <v>7784</v>
      </c>
      <c r="V5348" s="7" t="str">
        <f>HYPERLINK("#Liste_rouge!A"&amp;_xlfn.XMATCH("VU",Liste_rouge!A:A,2,1),"VU")</f>
        <v>VU</v>
      </c>
      <c r="W5348" s="4" t="str">
        <f>HYPERLINK("#Critères_liste_rouge!A$1","A2c")</f>
        <v>A2c</v>
      </c>
      <c r="Z5348" s="4" t="s">
        <v>443</v>
      </c>
      <c r="AA5348" s="4" t="s">
        <v>444</v>
      </c>
      <c r="AH5348" s="4" t="str">
        <f>HYPERLINK("#Statut_biogéographique!A"&amp;_xlfn.XMATCH("P",Statut_biogéographique!A:A,2,1),"P")</f>
        <v>P</v>
      </c>
      <c r="AP5348" s="4" t="s">
        <v>376</v>
      </c>
      <c r="AR5348" s="4" t="s">
        <v>377</v>
      </c>
    </row>
    <row r="5349" spans="1:44">
      <c r="A5349" s="4" t="s">
        <v>5</v>
      </c>
      <c r="B5349" s="4">
        <v>40855</v>
      </c>
      <c r="C5349" s="4">
        <v>1009</v>
      </c>
      <c r="D5349" s="5" t="s">
        <v>7785</v>
      </c>
      <c r="E5349" s="6" t="str">
        <f>HYPERLINK("https://inpn.mnhn.fr/espece/cd_nom/40855","Clavaria fumosa Pers., 1796")</f>
        <v>Clavaria fumosa Pers., 1796</v>
      </c>
      <c r="F5349" s="5" t="s">
        <v>7786</v>
      </c>
      <c r="V5349" s="7" t="str">
        <f>HYPERLINK("#Liste_rouge!A"&amp;_xlfn.XMATCH("VU",Liste_rouge!A:A,2,1),"VU")</f>
        <v>VU</v>
      </c>
      <c r="W5349" s="4" t="str">
        <f>HYPERLINK("#Critères_liste_rouge!A$1","A2c")</f>
        <v>A2c</v>
      </c>
      <c r="Z5349" s="4" t="s">
        <v>447</v>
      </c>
      <c r="AA5349" s="4" t="s">
        <v>448</v>
      </c>
      <c r="AH5349" s="4" t="str">
        <f>HYPERLINK("#Statut_biogéographique!A"&amp;_xlfn.XMATCH("P",Statut_biogéographique!A:A,2,1),"P")</f>
        <v>P</v>
      </c>
      <c r="AP5349" s="4" t="s">
        <v>376</v>
      </c>
      <c r="AR5349" s="4" t="s">
        <v>377</v>
      </c>
    </row>
    <row r="5350" spans="1:44">
      <c r="A5350" s="4" t="s">
        <v>5</v>
      </c>
      <c r="B5350" s="4">
        <v>40856</v>
      </c>
      <c r="C5350" s="4">
        <v>3233</v>
      </c>
      <c r="D5350" s="5" t="s">
        <v>7787</v>
      </c>
      <c r="E5350" s="6" t="str">
        <f>HYPERLINK("https://inpn.mnhn.fr/espece/cd_nom/40856","Clavaria greletii Boud., 1917")</f>
        <v>Clavaria greletii Boud., 1917</v>
      </c>
      <c r="F5350" s="5" t="s">
        <v>7788</v>
      </c>
      <c r="V5350" s="7" t="str">
        <f>HYPERLINK("#Liste_rouge!A"&amp;_xlfn.XMATCH("CR",Liste_rouge!A:A,2,1),"CR")</f>
        <v>CR</v>
      </c>
      <c r="W5350" s="4" t="str">
        <f>HYPERLINK("#Critères_liste_rouge!A$1","B2abiii")</f>
        <v>B2abiii</v>
      </c>
      <c r="Z5350" s="4" t="s">
        <v>695</v>
      </c>
      <c r="AA5350" s="4" t="s">
        <v>696</v>
      </c>
      <c r="AH5350" s="4" t="str">
        <f>HYPERLINK("#Statut_biogéographique!A"&amp;_xlfn.XMATCH("P",Statut_biogéographique!A:A,2,1),"P")</f>
        <v>P</v>
      </c>
      <c r="AP5350" s="4" t="s">
        <v>376</v>
      </c>
      <c r="AR5350" s="4" t="s">
        <v>377</v>
      </c>
    </row>
    <row r="5351" spans="1:44">
      <c r="A5351" s="4" t="s">
        <v>5</v>
      </c>
      <c r="B5351" s="4">
        <v>40857</v>
      </c>
      <c r="C5351" s="4">
        <v>3854</v>
      </c>
      <c r="D5351" s="5" t="s">
        <v>7789</v>
      </c>
      <c r="E5351" s="6" t="str">
        <f>HYPERLINK("https://inpn.mnhn.fr/espece/cd_nom/40857","Clavaria incarnata Weinm., 1836")</f>
        <v>Clavaria incarnata Weinm., 1836</v>
      </c>
      <c r="F5351" s="5" t="s">
        <v>7790</v>
      </c>
      <c r="V5351" s="7" t="str">
        <f>HYPERLINK("#Liste_rouge!A"&amp;_xlfn.XMATCH("CR",Liste_rouge!A:A,2,1),"CR")</f>
        <v>CR</v>
      </c>
      <c r="W5351" s="4" t="str">
        <f>HYPERLINK("#Critères_liste_rouge!A$1","B2abiii")</f>
        <v>B2abiii</v>
      </c>
      <c r="Z5351" s="4" t="s">
        <v>695</v>
      </c>
      <c r="AA5351" s="4" t="s">
        <v>696</v>
      </c>
      <c r="AH5351" s="4" t="str">
        <f>HYPERLINK("#Statut_biogéographique!A"&amp;_xlfn.XMATCH("P",Statut_biogéographique!A:A,2,1),"P")</f>
        <v>P</v>
      </c>
      <c r="AP5351" s="4" t="s">
        <v>376</v>
      </c>
      <c r="AR5351" s="4" t="s">
        <v>377</v>
      </c>
    </row>
    <row r="5352" spans="1:44" ht="30">
      <c r="A5352" s="4" t="s">
        <v>5</v>
      </c>
      <c r="B5352" s="4">
        <v>40868</v>
      </c>
      <c r="C5352" s="4">
        <v>3764</v>
      </c>
      <c r="D5352" s="5" t="s">
        <v>7791</v>
      </c>
      <c r="E5352" s="6" t="str">
        <f>HYPERLINK("https://inpn.mnhn.fr/espece/cd_nom/40868","Clavaria argillacea var. sphagnicola Corner, 1950")</f>
        <v>Clavaria argillacea var. sphagnicola Corner, 1950</v>
      </c>
      <c r="F5352" s="5" t="s">
        <v>7792</v>
      </c>
      <c r="V5352" s="7" t="str">
        <f>HYPERLINK("#Liste_rouge!A"&amp;_xlfn.XMATCH("CR",Liste_rouge!A:A,2,1),"CR")</f>
        <v>CR</v>
      </c>
      <c r="W5352" s="4" t="str">
        <f>HYPERLINK("#Critères_liste_rouge!A$1","B2abiii")</f>
        <v>B2abiii</v>
      </c>
      <c r="Z5352" s="4" t="s">
        <v>695</v>
      </c>
      <c r="AA5352" s="4" t="s">
        <v>696</v>
      </c>
      <c r="AH5352" s="4" t="str">
        <f>HYPERLINK("#Statut_biogéographique!A"&amp;_xlfn.XMATCH("P",Statut_biogéographique!A:A,2,1),"P")</f>
        <v>P</v>
      </c>
      <c r="AP5352" s="4" t="s">
        <v>376</v>
      </c>
      <c r="AR5352" s="4" t="s">
        <v>377</v>
      </c>
    </row>
    <row r="5353" spans="1:44">
      <c r="A5353" s="4" t="s">
        <v>5</v>
      </c>
      <c r="B5353" s="4">
        <v>40870</v>
      </c>
      <c r="C5353" s="4">
        <v>3187</v>
      </c>
      <c r="D5353" s="5" t="s">
        <v>7793</v>
      </c>
      <c r="E5353" s="6" t="str">
        <f>HYPERLINK("https://inpn.mnhn.fr/espece/cd_nom/40870","Clavaria straminea Cotton, 1911")</f>
        <v>Clavaria straminea Cotton, 1911</v>
      </c>
      <c r="F5353" s="5" t="s">
        <v>7794</v>
      </c>
      <c r="V5353" s="7" t="str">
        <f>HYPERLINK("#Liste_rouge!A"&amp;_xlfn.XMATCH("VU",Liste_rouge!A:A,2,1),"VU")</f>
        <v>VU</v>
      </c>
      <c r="W5353" s="4" t="str">
        <f>HYPERLINK("#Critères_liste_rouge!A$1","A2c")</f>
        <v>A2c</v>
      </c>
      <c r="Z5353" s="4" t="s">
        <v>447</v>
      </c>
      <c r="AA5353" s="4" t="s">
        <v>448</v>
      </c>
      <c r="AH5353" s="4" t="str">
        <f>HYPERLINK("#Statut_biogéographique!A"&amp;_xlfn.XMATCH("P",Statut_biogéographique!A:A,2,1),"P")</f>
        <v>P</v>
      </c>
      <c r="AP5353" s="4" t="s">
        <v>376</v>
      </c>
      <c r="AR5353" s="4" t="s">
        <v>377</v>
      </c>
    </row>
    <row r="5354" spans="1:44">
      <c r="A5354" s="4" t="s">
        <v>5</v>
      </c>
      <c r="B5354" s="4">
        <v>40872</v>
      </c>
      <c r="C5354" s="4">
        <v>3034</v>
      </c>
      <c r="D5354" s="5" t="s">
        <v>7795</v>
      </c>
      <c r="E5354" s="6" t="str">
        <f>HYPERLINK("https://inpn.mnhn.fr/espece/cd_nom/40872","Clavaria zollingeri Lév., 1846")</f>
        <v>Clavaria zollingeri Lév., 1846</v>
      </c>
      <c r="F5354" s="5" t="s">
        <v>7796</v>
      </c>
      <c r="V5354" s="7" t="str">
        <f>HYPERLINK("#Liste_rouge!A"&amp;_xlfn.XMATCH("EN",Liste_rouge!A:A,2,1),"EN")</f>
        <v>EN</v>
      </c>
      <c r="W5354" s="4" t="str">
        <f>HYPERLINK("#Critères_liste_rouge!A$1","B2abiii")</f>
        <v>B2abiii</v>
      </c>
      <c r="Z5354" s="4" t="s">
        <v>695</v>
      </c>
      <c r="AA5354" s="4" t="s">
        <v>696</v>
      </c>
      <c r="AH5354" s="4" t="str">
        <f>HYPERLINK("#Statut_biogéographique!A"&amp;_xlfn.XMATCH("P",Statut_biogéographique!A:A,2,1),"P")</f>
        <v>P</v>
      </c>
      <c r="AP5354" s="4" t="s">
        <v>376</v>
      </c>
      <c r="AR5354" s="4" t="s">
        <v>377</v>
      </c>
    </row>
    <row r="5355" spans="1:44">
      <c r="A5355" s="4" t="s">
        <v>5</v>
      </c>
      <c r="B5355" s="4">
        <v>40883</v>
      </c>
      <c r="C5355" s="4">
        <v>319</v>
      </c>
      <c r="D5355" s="5" t="s">
        <v>7797</v>
      </c>
      <c r="E5355" s="6" t="str">
        <f>HYPERLINK("https://inpn.mnhn.fr/espece/cd_nom/40883","Clavariadelphus pistillaris (L.) Donk, 1933")</f>
        <v>Clavariadelphus pistillaris (L.) Donk, 1933</v>
      </c>
      <c r="F5355" s="5" t="s">
        <v>7798</v>
      </c>
      <c r="V5355" s="7" t="str">
        <f>HYPERLINK("#Liste_rouge!A"&amp;_xlfn.XMATCH("LC",Liste_rouge!A:A,2,1),"LC")</f>
        <v>LC</v>
      </c>
      <c r="AH5355" s="4" t="str">
        <f>HYPERLINK("#Statut_biogéographique!A"&amp;_xlfn.XMATCH("P",Statut_biogéographique!A:A,2,1),"P")</f>
        <v>P</v>
      </c>
      <c r="AP5355" s="4" t="s">
        <v>376</v>
      </c>
      <c r="AR5355" s="4" t="s">
        <v>377</v>
      </c>
    </row>
    <row r="5356" spans="1:44">
      <c r="A5356" s="4" t="s">
        <v>5</v>
      </c>
      <c r="B5356" s="4">
        <v>40887</v>
      </c>
      <c r="C5356" s="4">
        <v>661</v>
      </c>
      <c r="D5356" s="5" t="s">
        <v>7799</v>
      </c>
      <c r="E5356" s="6" t="str">
        <f>HYPERLINK("https://inpn.mnhn.fr/espece/cd_nom/40887","Clavariadelphus truncatus Donk, 1933")</f>
        <v>Clavariadelphus truncatus Donk, 1933</v>
      </c>
      <c r="F5356" s="5" t="s">
        <v>7800</v>
      </c>
      <c r="V5356" s="7" t="str">
        <f>HYPERLINK("#Liste_rouge!A"&amp;_xlfn.XMATCH("LC",Liste_rouge!A:A,2,1),"LC")</f>
        <v>LC</v>
      </c>
      <c r="AH5356" s="4" t="str">
        <f>HYPERLINK("#Statut_biogéographique!A"&amp;_xlfn.XMATCH("P",Statut_biogéographique!A:A,2,1),"P")</f>
        <v>P</v>
      </c>
      <c r="AP5356" s="4" t="s">
        <v>376</v>
      </c>
      <c r="AR5356" s="4" t="s">
        <v>377</v>
      </c>
    </row>
    <row r="5357" spans="1:44">
      <c r="A5357" s="4" t="s">
        <v>5</v>
      </c>
      <c r="B5357" s="4">
        <v>40893</v>
      </c>
      <c r="C5357" s="4">
        <v>6202</v>
      </c>
      <c r="D5357" s="5" t="s">
        <v>7801</v>
      </c>
      <c r="E5357" s="6" t="str">
        <f>HYPERLINK("https://inpn.mnhn.fr/espece/cd_nom/40893","Clavicorona taxophila (Thom) Doty, 1947")</f>
        <v>Clavicorona taxophila (Thom) Doty, 1947</v>
      </c>
      <c r="F5357" s="5" t="s">
        <v>7802</v>
      </c>
      <c r="AH5357" s="4" t="str">
        <f>HYPERLINK("#Statut_biogéographique!A"&amp;_xlfn.XMATCH("P",Statut_biogéographique!A:A,2,1),"P")</f>
        <v>P</v>
      </c>
      <c r="AP5357" s="4" t="s">
        <v>376</v>
      </c>
      <c r="AR5357" s="4" t="s">
        <v>377</v>
      </c>
    </row>
    <row r="5358" spans="1:44" ht="30">
      <c r="A5358" s="4" t="s">
        <v>5</v>
      </c>
      <c r="B5358" s="4">
        <v>40899</v>
      </c>
      <c r="C5358" s="4">
        <v>298</v>
      </c>
      <c r="D5358" s="5" t="s">
        <v>7803</v>
      </c>
      <c r="E5358" s="6" t="str">
        <f>HYPERLINK("https://inpn.mnhn.fr/espece/cd_nom/40899","Clavulina cinerea (Bull.) J.Schröt., 1888")</f>
        <v>Clavulina cinerea (Bull.) J.Schröt., 1888</v>
      </c>
      <c r="F5358" s="5" t="s">
        <v>7804</v>
      </c>
      <c r="V5358" s="7" t="str">
        <f>HYPERLINK("#Liste_rouge!A"&amp;_xlfn.XMATCH("LC",Liste_rouge!A:A,2,1),"LC")</f>
        <v>LC</v>
      </c>
      <c r="AH5358" s="4" t="str">
        <f>HYPERLINK("#Statut_biogéographique!A"&amp;_xlfn.XMATCH("P",Statut_biogéographique!A:A,2,1),"P")</f>
        <v>P</v>
      </c>
      <c r="AP5358" s="4" t="s">
        <v>376</v>
      </c>
      <c r="AR5358" s="4" t="s">
        <v>377</v>
      </c>
    </row>
    <row r="5359" spans="1:44" ht="30">
      <c r="A5359" s="4" t="s">
        <v>5</v>
      </c>
      <c r="B5359" s="4">
        <v>40904</v>
      </c>
      <c r="C5359" s="4">
        <v>4712</v>
      </c>
      <c r="D5359" s="5" t="s">
        <v>7805</v>
      </c>
      <c r="E5359" s="6" t="str">
        <f>HYPERLINK("https://inpn.mnhn.fr/espece/cd_nom/40904","Clavulina cinerea f. sublilascens (Bourdot &amp; Galzin) Bon &amp; Courtec., 1987")</f>
        <v>Clavulina cinerea f. sublilascens (Bourdot &amp; Galzin) Bon &amp; Courtec., 1987</v>
      </c>
      <c r="F5359" s="5" t="s">
        <v>7806</v>
      </c>
      <c r="V5359" s="7" t="str">
        <f>HYPERLINK("#Liste_rouge!A"&amp;_xlfn.XMATCH("DD",Liste_rouge!A:A,2,1),"DD")</f>
        <v>DD</v>
      </c>
      <c r="AH5359" s="4" t="str">
        <f>HYPERLINK("#Statut_biogéographique!A"&amp;_xlfn.XMATCH("P",Statut_biogéographique!A:A,2,1),"P")</f>
        <v>P</v>
      </c>
      <c r="AP5359" s="4" t="s">
        <v>376</v>
      </c>
      <c r="AR5359" s="4" t="s">
        <v>377</v>
      </c>
    </row>
    <row r="5360" spans="1:44" ht="45">
      <c r="A5360" s="4" t="s">
        <v>5</v>
      </c>
      <c r="B5360" s="4">
        <v>40905</v>
      </c>
      <c r="C5360" s="4">
        <v>297</v>
      </c>
      <c r="D5360" s="5" t="s">
        <v>7807</v>
      </c>
      <c r="E5360" s="6" t="str">
        <f>HYPERLINK("https://inpn.mnhn.fr/espece/cd_nom/40905","Clavulina coralloides (L.) J.Schröt., 1888")</f>
        <v>Clavulina coralloides (L.) J.Schröt., 1888</v>
      </c>
      <c r="F5360" s="5" t="s">
        <v>7808</v>
      </c>
      <c r="V5360" s="7" t="str">
        <f>HYPERLINK("#Liste_rouge!A"&amp;_xlfn.XMATCH("LC",Liste_rouge!A:A,2,1),"LC")</f>
        <v>LC</v>
      </c>
      <c r="AH5360" s="4" t="str">
        <f>HYPERLINK("#Statut_biogéographique!A"&amp;_xlfn.XMATCH("P",Statut_biogéographique!A:A,2,1),"P")</f>
        <v>P</v>
      </c>
      <c r="AP5360" s="4" t="s">
        <v>376</v>
      </c>
      <c r="AR5360" s="4" t="s">
        <v>377</v>
      </c>
    </row>
    <row r="5361" spans="1:44" ht="30">
      <c r="A5361" s="4" t="s">
        <v>5</v>
      </c>
      <c r="B5361" s="4">
        <v>40912</v>
      </c>
      <c r="C5361" s="4">
        <v>334</v>
      </c>
      <c r="D5361" s="5" t="s">
        <v>7809</v>
      </c>
      <c r="E5361" s="6" t="str">
        <f>HYPERLINK("https://inpn.mnhn.fr/espece/cd_nom/40912","Clavulina rugosa (Bull.) J.Schröt., 1888")</f>
        <v>Clavulina rugosa (Bull.) J.Schröt., 1888</v>
      </c>
      <c r="F5361" s="5" t="s">
        <v>7810</v>
      </c>
      <c r="V5361" s="7" t="str">
        <f>HYPERLINK("#Liste_rouge!A"&amp;_xlfn.XMATCH("LC",Liste_rouge!A:A,2,1),"LC")</f>
        <v>LC</v>
      </c>
      <c r="AH5361" s="4" t="str">
        <f>HYPERLINK("#Statut_biogéographique!A"&amp;_xlfn.XMATCH("P",Statut_biogéographique!A:A,2,1),"P")</f>
        <v>P</v>
      </c>
      <c r="AP5361" s="4" t="s">
        <v>376</v>
      </c>
      <c r="AR5361" s="4" t="s">
        <v>377</v>
      </c>
    </row>
    <row r="5362" spans="1:44">
      <c r="A5362" s="4" t="s">
        <v>5</v>
      </c>
      <c r="B5362" s="4">
        <v>40918</v>
      </c>
      <c r="C5362" s="4">
        <v>3014</v>
      </c>
      <c r="D5362" s="5" t="s">
        <v>7811</v>
      </c>
      <c r="E5362" s="6" t="str">
        <f>HYPERLINK("https://inpn.mnhn.fr/espece/cd_nom/40918","Clavaria asterospora Pat., 1886")</f>
        <v>Clavaria asterospora Pat., 1886</v>
      </c>
      <c r="F5362" s="5" t="s">
        <v>7812</v>
      </c>
      <c r="V5362" s="7" t="str">
        <f>HYPERLINK("#Liste_rouge!A"&amp;_xlfn.XMATCH("EN",Liste_rouge!A:A,2,1),"EN")</f>
        <v>EN</v>
      </c>
      <c r="W5362" s="4" t="str">
        <f>HYPERLINK("#Critères_liste_rouge!A$1","B2abiii")</f>
        <v>B2abiii</v>
      </c>
      <c r="Z5362" s="4" t="s">
        <v>447</v>
      </c>
      <c r="AA5362" s="4" t="s">
        <v>448</v>
      </c>
      <c r="AH5362" s="4" t="str">
        <f>HYPERLINK("#Statut_biogéographique!A"&amp;_xlfn.XMATCH("P",Statut_biogéographique!A:A,2,1),"P")</f>
        <v>P</v>
      </c>
      <c r="AP5362" s="4" t="s">
        <v>376</v>
      </c>
      <c r="AR5362" s="4" t="s">
        <v>377</v>
      </c>
    </row>
    <row r="5363" spans="1:44" ht="30">
      <c r="A5363" s="4" t="s">
        <v>5</v>
      </c>
      <c r="B5363" s="4">
        <v>40925</v>
      </c>
      <c r="C5363" s="4">
        <v>870</v>
      </c>
      <c r="D5363" s="5" t="s">
        <v>7813</v>
      </c>
      <c r="E5363" s="6" t="str">
        <f>HYPERLINK("https://inpn.mnhn.fr/espece/cd_nom/40925","Clavulinopsis corniculata (Schaeff.) Corner, 1950")</f>
        <v>Clavulinopsis corniculata (Schaeff.) Corner, 1950</v>
      </c>
      <c r="F5363" s="5" t="s">
        <v>7814</v>
      </c>
      <c r="V5363" s="7" t="str">
        <f>HYPERLINK("#Liste_rouge!A"&amp;_xlfn.XMATCH("LC",Liste_rouge!A:A,2,1),"LC")</f>
        <v>LC</v>
      </c>
      <c r="AH5363" s="4" t="str">
        <f>HYPERLINK("#Statut_biogéographique!A"&amp;_xlfn.XMATCH("P",Statut_biogéographique!A:A,2,1),"P")</f>
        <v>P</v>
      </c>
      <c r="AP5363" s="4" t="s">
        <v>376</v>
      </c>
      <c r="AR5363" s="4" t="s">
        <v>377</v>
      </c>
    </row>
    <row r="5364" spans="1:44" ht="30">
      <c r="A5364" s="4" t="s">
        <v>5</v>
      </c>
      <c r="B5364" s="4">
        <v>40933</v>
      </c>
      <c r="C5364" s="4">
        <v>2475</v>
      </c>
      <c r="D5364" s="5" t="s">
        <v>7815</v>
      </c>
      <c r="E5364" s="6" t="str">
        <f>HYPERLINK("https://inpn.mnhn.fr/espece/cd_nom/40933","Clavulinopsis fusiformis (Sowerby) Corner, 1950")</f>
        <v>Clavulinopsis fusiformis (Sowerby) Corner, 1950</v>
      </c>
      <c r="F5364" s="5" t="s">
        <v>7816</v>
      </c>
      <c r="V5364" s="7" t="str">
        <f>HYPERLINK("#Liste_rouge!A"&amp;_xlfn.XMATCH("NT",Liste_rouge!A:A,2,1),"NT")</f>
        <v>NT</v>
      </c>
      <c r="W5364" s="4" t="str">
        <f>HYPERLINK("#Critères_liste_rouge!A$1","pr. B2abiii")</f>
        <v>pr. B2abiii</v>
      </c>
      <c r="AH5364" s="4" t="str">
        <f>HYPERLINK("#Statut_biogéographique!A"&amp;_xlfn.XMATCH("P",Statut_biogéographique!A:A,2,1),"P")</f>
        <v>P</v>
      </c>
      <c r="AP5364" s="4" t="s">
        <v>376</v>
      </c>
      <c r="AR5364" s="4" t="s">
        <v>377</v>
      </c>
    </row>
    <row r="5365" spans="1:44" ht="30">
      <c r="A5365" s="4" t="s">
        <v>5</v>
      </c>
      <c r="B5365" s="4">
        <v>40934</v>
      </c>
      <c r="C5365" s="4">
        <v>3189</v>
      </c>
      <c r="D5365" s="5" t="s">
        <v>7817</v>
      </c>
      <c r="E5365" s="6" t="str">
        <f>HYPERLINK("https://inpn.mnhn.fr/espece/cd_nom/40934","Clavulinopsis laeticolor (Berk. &amp; M.A.Curtis) R.H.Petersen, 1965")</f>
        <v>Clavulinopsis laeticolor (Berk. &amp; M.A.Curtis) R.H.Petersen, 1965</v>
      </c>
      <c r="F5365" s="5" t="s">
        <v>7818</v>
      </c>
      <c r="V5365" s="7" t="str">
        <f>HYPERLINK("#Liste_rouge!A"&amp;_xlfn.XMATCH("EN",Liste_rouge!A:A,2,1),"EN")</f>
        <v>EN</v>
      </c>
      <c r="W5365" s="4" t="str">
        <f>HYPERLINK("#Critères_liste_rouge!A$1","B2abiii")</f>
        <v>B2abiii</v>
      </c>
      <c r="Z5365" s="4" t="s">
        <v>447</v>
      </c>
      <c r="AA5365" s="4" t="s">
        <v>448</v>
      </c>
      <c r="AH5365" s="4" t="str">
        <f>HYPERLINK("#Statut_biogéographique!A"&amp;_xlfn.XMATCH("P",Statut_biogéographique!A:A,2,1),"P")</f>
        <v>P</v>
      </c>
      <c r="AP5365" s="4" t="s">
        <v>376</v>
      </c>
      <c r="AR5365" s="4" t="s">
        <v>377</v>
      </c>
    </row>
    <row r="5366" spans="1:44">
      <c r="A5366" s="4" t="s">
        <v>5</v>
      </c>
      <c r="B5366" s="4">
        <v>40944</v>
      </c>
      <c r="C5366" s="4">
        <v>3190</v>
      </c>
      <c r="D5366" s="5" t="s">
        <v>7819</v>
      </c>
      <c r="E5366" s="6" t="str">
        <f>HYPERLINK("https://inpn.mnhn.fr/espece/cd_nom/40944","Clavulinopsis umbrinella (Sacc.) Corner, 1950")</f>
        <v>Clavulinopsis umbrinella (Sacc.) Corner, 1950</v>
      </c>
      <c r="F5366" s="5" t="s">
        <v>7820</v>
      </c>
      <c r="V5366" s="7" t="str">
        <f>HYPERLINK("#Liste_rouge!A"&amp;_xlfn.XMATCH("EN",Liste_rouge!A:A,2,1),"EN")</f>
        <v>EN</v>
      </c>
      <c r="W5366" s="4" t="str">
        <f>HYPERLINK("#Critères_liste_rouge!A$1","A2c")</f>
        <v>A2c</v>
      </c>
      <c r="Z5366" s="4" t="s">
        <v>447</v>
      </c>
      <c r="AA5366" s="4" t="s">
        <v>448</v>
      </c>
      <c r="AH5366" s="4" t="str">
        <f>HYPERLINK("#Statut_biogéographique!A"&amp;_xlfn.XMATCH("P",Statut_biogéographique!A:A,2,1),"P")</f>
        <v>P</v>
      </c>
      <c r="AP5366" s="4" t="s">
        <v>376</v>
      </c>
      <c r="AR5366" s="4" t="s">
        <v>377</v>
      </c>
    </row>
    <row r="5367" spans="1:44">
      <c r="A5367" s="4" t="s">
        <v>5</v>
      </c>
      <c r="B5367" s="4">
        <v>40955</v>
      </c>
      <c r="D5367" s="5" t="s">
        <v>7821</v>
      </c>
      <c r="E5367" s="6" t="str">
        <f>HYPERLINK("https://inpn.mnhn.fr/espece/cd_nom/40955","Lentaria albovinacea (Pilát) Pilát, 1970")</f>
        <v>Lentaria albovinacea (Pilát) Pilát, 1970</v>
      </c>
      <c r="V5367" s="7" t="str">
        <f>HYPERLINK("#Liste_rouge!A"&amp;_xlfn.XMATCH("EN",Liste_rouge!A:A,2,1),"EN")</f>
        <v>EN</v>
      </c>
      <c r="W5367" s="4" t="str">
        <f>HYPERLINK("#Critères_liste_rouge!A$1","B2abiii")</f>
        <v>B2abiii</v>
      </c>
      <c r="AH5367" s="4" t="str">
        <f>HYPERLINK("#Statut_biogéographique!A"&amp;_xlfn.XMATCH("P",Statut_biogéographique!A:A,2,1),"P")</f>
        <v>P</v>
      </c>
      <c r="AP5367" s="4" t="s">
        <v>376</v>
      </c>
      <c r="AR5367" s="4" t="s">
        <v>377</v>
      </c>
    </row>
    <row r="5368" spans="1:44" ht="30">
      <c r="A5368" s="4" t="s">
        <v>5</v>
      </c>
      <c r="B5368" s="4">
        <v>40981</v>
      </c>
      <c r="D5368" s="5" t="s">
        <v>7822</v>
      </c>
      <c r="E5368" s="6" t="str">
        <f>HYPERLINK("https://inpn.mnhn.fr/espece/cd_nom/40981","Macrotyphula fistulosa (Holmsk.) R.H.Petersen, 1972")</f>
        <v>Macrotyphula fistulosa (Holmsk.) R.H.Petersen, 1972</v>
      </c>
      <c r="F5368" s="5" t="s">
        <v>4150</v>
      </c>
      <c r="V5368" s="7" t="str">
        <f>HYPERLINK("#Liste_rouge!A"&amp;_xlfn.XMATCH("LC",Liste_rouge!A:A,2,1),"LC")</f>
        <v>LC</v>
      </c>
      <c r="AH5368" s="4" t="str">
        <f>HYPERLINK("#Statut_biogéographique!A"&amp;_xlfn.XMATCH("P",Statut_biogéographique!A:A,2,1),"P")</f>
        <v>P</v>
      </c>
      <c r="AP5368" s="4" t="s">
        <v>376</v>
      </c>
      <c r="AR5368" s="4" t="s">
        <v>377</v>
      </c>
    </row>
    <row r="5369" spans="1:44" ht="30">
      <c r="A5369" s="4" t="s">
        <v>5</v>
      </c>
      <c r="B5369" s="4">
        <v>40991</v>
      </c>
      <c r="D5369" s="5" t="s">
        <v>7823</v>
      </c>
      <c r="E5369" s="6" t="str">
        <f>HYPERLINK("https://inpn.mnhn.fr/espece/cd_nom/40991","Multiclavula mucida (Pers.) R.H.Petersen, 1967")</f>
        <v>Multiclavula mucida (Pers.) R.H.Petersen, 1967</v>
      </c>
      <c r="V5369" s="7" t="str">
        <f>HYPERLINK("#Liste_rouge!A"&amp;_xlfn.XMATCH("VU",Liste_rouge!A:A,2,1),"VU")</f>
        <v>VU</v>
      </c>
      <c r="W5369" s="4" t="str">
        <f>HYPERLINK("#Critères_liste_rouge!A$1","B2abiii")</f>
        <v>B2abiii</v>
      </c>
      <c r="AH5369" s="4" t="str">
        <f>HYPERLINK("#Statut_biogéographique!A"&amp;_xlfn.XMATCH("P",Statut_biogéographique!A:A,2,1),"P")</f>
        <v>P</v>
      </c>
      <c r="AP5369" s="4" t="s">
        <v>376</v>
      </c>
      <c r="AR5369" s="4" t="s">
        <v>377</v>
      </c>
    </row>
    <row r="5370" spans="1:44">
      <c r="A5370" s="4" t="s">
        <v>5</v>
      </c>
      <c r="B5370" s="4">
        <v>41004</v>
      </c>
      <c r="D5370" s="5" t="s">
        <v>7824</v>
      </c>
      <c r="E5370" s="6" t="str">
        <f>HYPERLINK("https://inpn.mnhn.fr/espece/cd_nom/41004","Ramaria aurea (Schaeff.) Quél., 1888")</f>
        <v>Ramaria aurea (Schaeff.) Quél., 1888</v>
      </c>
      <c r="F5370" s="5" t="s">
        <v>7825</v>
      </c>
      <c r="V5370" s="7" t="str">
        <f>HYPERLINK("#Liste_rouge!A"&amp;_xlfn.XMATCH("LC",Liste_rouge!A:A,2,1),"LC")</f>
        <v>LC</v>
      </c>
      <c r="AH5370" s="4" t="str">
        <f>HYPERLINK("#Statut_biogéographique!A"&amp;_xlfn.XMATCH("P",Statut_biogéographique!A:A,2,1),"P")</f>
        <v>P</v>
      </c>
      <c r="AP5370" s="4" t="s">
        <v>376</v>
      </c>
      <c r="AR5370" s="4" t="s">
        <v>377</v>
      </c>
    </row>
    <row r="5371" spans="1:44">
      <c r="A5371" s="4" t="s">
        <v>5</v>
      </c>
      <c r="B5371" s="4">
        <v>41007</v>
      </c>
      <c r="D5371" s="5" t="s">
        <v>7826</v>
      </c>
      <c r="E5371" s="6" t="str">
        <f>HYPERLINK("https://inpn.mnhn.fr/espece/cd_nom/41007","Ramaria bataillei (Maire) Corner, 1950")</f>
        <v>Ramaria bataillei (Maire) Corner, 1950</v>
      </c>
      <c r="F5371" s="5" t="s">
        <v>7827</v>
      </c>
      <c r="V5371" s="7" t="str">
        <f>HYPERLINK("#Liste_rouge!A"&amp;_xlfn.XMATCH("LC",Liste_rouge!A:A,2,1),"LC")</f>
        <v>LC</v>
      </c>
      <c r="AH5371" s="4" t="str">
        <f>HYPERLINK("#Statut_biogéographique!A"&amp;_xlfn.XMATCH("P",Statut_biogéographique!A:A,2,1),"P")</f>
        <v>P</v>
      </c>
      <c r="AP5371" s="4" t="s">
        <v>376</v>
      </c>
      <c r="AR5371" s="4" t="s">
        <v>377</v>
      </c>
    </row>
    <row r="5372" spans="1:44">
      <c r="A5372" s="4" t="s">
        <v>5</v>
      </c>
      <c r="B5372" s="4">
        <v>41009</v>
      </c>
      <c r="D5372" s="5" t="s">
        <v>7828</v>
      </c>
      <c r="E5372" s="6" t="str">
        <f>HYPERLINK("https://inpn.mnhn.fr/espece/cd_nom/41009","Ramaria botrytis (Pers.) Bourdot, 1894")</f>
        <v>Ramaria botrytis (Pers.) Bourdot, 1894</v>
      </c>
      <c r="F5372" s="5" t="s">
        <v>7829</v>
      </c>
      <c r="V5372" s="7" t="str">
        <f>HYPERLINK("#Liste_rouge!A"&amp;_xlfn.XMATCH("NT",Liste_rouge!A:A,2,1),"NT")</f>
        <v>NT</v>
      </c>
      <c r="W5372" s="4" t="str">
        <f>HYPERLINK("#Critères_liste_rouge!A$1","pr. B2abiii")</f>
        <v>pr. B2abiii</v>
      </c>
      <c r="AH5372" s="4" t="str">
        <f>HYPERLINK("#Statut_biogéographique!A"&amp;_xlfn.XMATCH("P",Statut_biogéographique!A:A,2,1),"P")</f>
        <v>P</v>
      </c>
      <c r="AP5372" s="4" t="s">
        <v>376</v>
      </c>
      <c r="AR5372" s="4" t="s">
        <v>377</v>
      </c>
    </row>
    <row r="5373" spans="1:44">
      <c r="A5373" s="4" t="s">
        <v>5</v>
      </c>
      <c r="B5373" s="4">
        <v>41029</v>
      </c>
      <c r="D5373" s="5" t="s">
        <v>7830</v>
      </c>
      <c r="E5373" s="6" t="str">
        <f>HYPERLINK("https://inpn.mnhn.fr/espece/cd_nom/41029","Ramaria fennica (P.Karst.) Ricken, 1920")</f>
        <v>Ramaria fennica (P.Karst.) Ricken, 1920</v>
      </c>
      <c r="F5373" s="5" t="s">
        <v>7831</v>
      </c>
      <c r="V5373" s="7" t="str">
        <f>HYPERLINK("#Liste_rouge!A"&amp;_xlfn.XMATCH("NT",Liste_rouge!A:A,2,1),"NT")</f>
        <v>NT</v>
      </c>
      <c r="W5373" s="4" t="str">
        <f>HYPERLINK("#Critères_liste_rouge!A$1","pr. B2abiii")</f>
        <v>pr. B2abiii</v>
      </c>
      <c r="AH5373" s="4" t="str">
        <f>HYPERLINK("#Statut_biogéographique!A"&amp;_xlfn.XMATCH("P",Statut_biogéographique!A:A,2,1),"P")</f>
        <v>P</v>
      </c>
      <c r="AP5373" s="4" t="s">
        <v>376</v>
      </c>
      <c r="AR5373" s="4" t="s">
        <v>377</v>
      </c>
    </row>
    <row r="5374" spans="1:44">
      <c r="A5374" s="4" t="s">
        <v>5</v>
      </c>
      <c r="B5374" s="4">
        <v>41035</v>
      </c>
      <c r="D5374" s="5" t="s">
        <v>7832</v>
      </c>
      <c r="E5374" s="6" t="str">
        <f>HYPERLINK("https://inpn.mnhn.fr/espece/cd_nom/41035","Ramaria flava (Schaeff.) Quél., 1888")</f>
        <v>Ramaria flava (Schaeff.) Quél., 1888</v>
      </c>
      <c r="F5374" s="5" t="s">
        <v>7833</v>
      </c>
      <c r="AH5374" s="4" t="str">
        <f>HYPERLINK("#Statut_biogéographique!A"&amp;_xlfn.XMATCH("P",Statut_biogéographique!A:A,2,1),"P")</f>
        <v>P</v>
      </c>
      <c r="AP5374" s="4" t="s">
        <v>376</v>
      </c>
      <c r="AR5374" s="4" t="s">
        <v>377</v>
      </c>
    </row>
    <row r="5375" spans="1:44" ht="30">
      <c r="A5375" s="4" t="s">
        <v>5</v>
      </c>
      <c r="B5375" s="4">
        <v>41038</v>
      </c>
      <c r="D5375" s="5" t="s">
        <v>7834</v>
      </c>
      <c r="E5375" s="6" t="str">
        <f>HYPERLINK("https://inpn.mnhn.fr/espece/cd_nom/41038","Ramaria flavescens (Schaeff.) R.H.Petersen, 1974")</f>
        <v>Ramaria flavescens (Schaeff.) R.H.Petersen, 1974</v>
      </c>
      <c r="F5375" s="5" t="s">
        <v>7835</v>
      </c>
      <c r="V5375" s="7" t="str">
        <f>HYPERLINK("#Liste_rouge!A"&amp;_xlfn.XMATCH("LC",Liste_rouge!A:A,2,1),"LC")</f>
        <v>LC</v>
      </c>
      <c r="AH5375" s="4" t="str">
        <f>HYPERLINK("#Statut_biogéographique!A"&amp;_xlfn.XMATCH("P",Statut_biogéographique!A:A,2,1),"P")</f>
        <v>P</v>
      </c>
      <c r="AP5375" s="4" t="s">
        <v>376</v>
      </c>
      <c r="AR5375" s="4" t="s">
        <v>377</v>
      </c>
    </row>
    <row r="5376" spans="1:44">
      <c r="A5376" s="4" t="s">
        <v>5</v>
      </c>
      <c r="B5376" s="4">
        <v>41047</v>
      </c>
      <c r="D5376" s="5" t="s">
        <v>7836</v>
      </c>
      <c r="E5376" s="6" t="str">
        <f>HYPERLINK("https://inpn.mnhn.fr/espece/cd_nom/41047","Ramaria formosa (Pers.) Quél., 1888")</f>
        <v>Ramaria formosa (Pers.) Quél., 1888</v>
      </c>
      <c r="F5376" s="5" t="s">
        <v>7837</v>
      </c>
      <c r="V5376" s="7" t="str">
        <f>HYPERLINK("#Liste_rouge!A"&amp;_xlfn.XMATCH("LC",Liste_rouge!A:A,2,1),"LC")</f>
        <v>LC</v>
      </c>
      <c r="AH5376" s="4" t="str">
        <f>HYPERLINK("#Statut_biogéographique!A"&amp;_xlfn.XMATCH("P",Statut_biogéographique!A:A,2,1),"P")</f>
        <v>P</v>
      </c>
      <c r="AP5376" s="4" t="s">
        <v>376</v>
      </c>
      <c r="AR5376" s="4" t="s">
        <v>377</v>
      </c>
    </row>
    <row r="5377" spans="1:44">
      <c r="A5377" s="4" t="s">
        <v>5</v>
      </c>
      <c r="B5377" s="4">
        <v>41052</v>
      </c>
      <c r="D5377" s="5" t="s">
        <v>7838</v>
      </c>
      <c r="E5377" s="6" t="str">
        <f>HYPERLINK("https://inpn.mnhn.fr/espece/cd_nom/41052","Ramaria gracilis (Pers.) Quél., 1888")</f>
        <v>Ramaria gracilis (Pers.) Quél., 1888</v>
      </c>
      <c r="F5377" s="5" t="s">
        <v>7839</v>
      </c>
      <c r="V5377" s="7" t="str">
        <f>HYPERLINK("#Liste_rouge!A"&amp;_xlfn.XMATCH("LC",Liste_rouge!A:A,2,1),"LC")</f>
        <v>LC</v>
      </c>
      <c r="AH5377" s="4" t="str">
        <f>HYPERLINK("#Statut_biogéographique!A"&amp;_xlfn.XMATCH("P",Statut_biogéographique!A:A,2,1),"P")</f>
        <v>P</v>
      </c>
      <c r="AP5377" s="4" t="s">
        <v>376</v>
      </c>
      <c r="AR5377" s="4" t="s">
        <v>377</v>
      </c>
    </row>
    <row r="5378" spans="1:44">
      <c r="A5378" s="4" t="s">
        <v>5</v>
      </c>
      <c r="B5378" s="4">
        <v>41059</v>
      </c>
      <c r="D5378" s="5" t="s">
        <v>7840</v>
      </c>
      <c r="E5378" s="6" t="str">
        <f>HYPERLINK("https://inpn.mnhn.fr/espece/cd_nom/41059","Ramaria largentii Marr &amp; D.E.Stuntz, 1974")</f>
        <v>Ramaria largentii Marr &amp; D.E.Stuntz, 1974</v>
      </c>
      <c r="F5378" s="5" t="s">
        <v>7841</v>
      </c>
      <c r="V5378" s="7" t="str">
        <f>HYPERLINK("#Liste_rouge!A"&amp;_xlfn.XMATCH("LC",Liste_rouge!A:A,2,1),"LC")</f>
        <v>LC</v>
      </c>
      <c r="AH5378" s="4" t="str">
        <f>HYPERLINK("#Statut_biogéographique!A"&amp;_xlfn.XMATCH("P",Statut_biogéographique!A:A,2,1),"P")</f>
        <v>P</v>
      </c>
      <c r="AP5378" s="4" t="s">
        <v>376</v>
      </c>
      <c r="AR5378" s="4" t="s">
        <v>377</v>
      </c>
    </row>
    <row r="5379" spans="1:44">
      <c r="A5379" s="4" t="s">
        <v>5</v>
      </c>
      <c r="B5379" s="4">
        <v>41068</v>
      </c>
      <c r="D5379" s="5">
        <v>41068</v>
      </c>
      <c r="E5379" s="6" t="str">
        <f>HYPERLINK("https://inpn.mnhn.fr/espece/cd_nom/41068","Ramaria neoformosa R.H.Petersen, 1976")</f>
        <v>Ramaria neoformosa R.H.Petersen, 1976</v>
      </c>
      <c r="F5379" s="5" t="s">
        <v>7842</v>
      </c>
      <c r="V5379" s="7" t="str">
        <f>HYPERLINK("#Liste_rouge!A"&amp;_xlfn.XMATCH("EN",Liste_rouge!A:A,2,1),"EN")</f>
        <v>EN</v>
      </c>
      <c r="W5379" s="4" t="str">
        <f>HYPERLINK("#Critères_liste_rouge!A$1","B2abiii")</f>
        <v>B2abiii</v>
      </c>
      <c r="AH5379" s="4" t="str">
        <f>HYPERLINK("#Statut_biogéographique!A"&amp;_xlfn.XMATCH("P",Statut_biogéographique!A:A,2,1),"P")</f>
        <v>P</v>
      </c>
      <c r="AP5379" s="4" t="s">
        <v>376</v>
      </c>
      <c r="AR5379" s="4" t="s">
        <v>377</v>
      </c>
    </row>
    <row r="5380" spans="1:44">
      <c r="A5380" s="4" t="s">
        <v>5</v>
      </c>
      <c r="B5380" s="4">
        <v>41093</v>
      </c>
      <c r="D5380" s="5" t="s">
        <v>7843</v>
      </c>
      <c r="E5380" s="6" t="str">
        <f>HYPERLINK("https://inpn.mnhn.fr/espece/cd_nom/41093","Ramaria sanguinea (Pers.) Quél., 1888")</f>
        <v>Ramaria sanguinea (Pers.) Quél., 1888</v>
      </c>
      <c r="V5380" s="7" t="str">
        <f>HYPERLINK("#Liste_rouge!A"&amp;_xlfn.XMATCH("EN",Liste_rouge!A:A,2,1),"EN")</f>
        <v>EN</v>
      </c>
      <c r="W5380" s="4" t="str">
        <f>HYPERLINK("#Critères_liste_rouge!A$1","B2abiii")</f>
        <v>B2abiii</v>
      </c>
      <c r="AH5380" s="4" t="str">
        <f>HYPERLINK("#Statut_biogéographique!A"&amp;_xlfn.XMATCH("P",Statut_biogéographique!A:A,2,1),"P")</f>
        <v>P</v>
      </c>
      <c r="AP5380" s="4" t="s">
        <v>376</v>
      </c>
      <c r="AR5380" s="4" t="s">
        <v>377</v>
      </c>
    </row>
    <row r="5381" spans="1:44">
      <c r="A5381" s="4" t="s">
        <v>5</v>
      </c>
      <c r="B5381" s="4">
        <v>41105</v>
      </c>
      <c r="D5381" s="5" t="s">
        <v>7844</v>
      </c>
      <c r="E5381" s="6" t="str">
        <f>HYPERLINK("https://inpn.mnhn.fr/espece/cd_nom/41105","Ramaria strasseri (Bres.) Corner, 1950")</f>
        <v>Ramaria strasseri (Bres.) Corner, 1950</v>
      </c>
      <c r="V5381" s="7" t="str">
        <f>HYPERLINK("#Liste_rouge!A"&amp;_xlfn.XMATCH("VU",Liste_rouge!A:A,2,1),"VU")</f>
        <v>VU</v>
      </c>
      <c r="W5381" s="4" t="str">
        <f>HYPERLINK("#Critères_liste_rouge!A$1","B2abiii")</f>
        <v>B2abiii</v>
      </c>
      <c r="AH5381" s="4" t="str">
        <f>HYPERLINK("#Statut_biogéographique!A"&amp;_xlfn.XMATCH("P",Statut_biogéographique!A:A,2,1),"P")</f>
        <v>P</v>
      </c>
      <c r="AP5381" s="4" t="s">
        <v>376</v>
      </c>
      <c r="AR5381" s="4" t="s">
        <v>377</v>
      </c>
    </row>
    <row r="5382" spans="1:44">
      <c r="A5382" s="4" t="s">
        <v>5</v>
      </c>
      <c r="B5382" s="4">
        <v>41107</v>
      </c>
      <c r="D5382" s="5" t="s">
        <v>7845</v>
      </c>
      <c r="E5382" s="6" t="str">
        <f>HYPERLINK("https://inpn.mnhn.fr/espece/cd_nom/41107","Ramaria stricta (Pers.) Quél., 1888")</f>
        <v>Ramaria stricta (Pers.) Quél., 1888</v>
      </c>
      <c r="F5382" s="5" t="s">
        <v>7846</v>
      </c>
      <c r="V5382" s="7" t="str">
        <f>HYPERLINK("#Liste_rouge!A"&amp;_xlfn.XMATCH("LC",Liste_rouge!A:A,2,1),"LC (cd_nom 41107) - EN (cd_nom 41020)")</f>
        <v>LC (cd_nom 41107) - EN (cd_nom 41020)</v>
      </c>
      <c r="AH5382" s="4" t="str">
        <f>HYPERLINK("#Statut_biogéographique!A"&amp;_xlfn.XMATCH("P",Statut_biogéographique!A:A,2,1),"P")</f>
        <v>P</v>
      </c>
      <c r="AP5382" s="4" t="s">
        <v>376</v>
      </c>
      <c r="AR5382" s="4" t="s">
        <v>377</v>
      </c>
    </row>
    <row r="5383" spans="1:44">
      <c r="A5383" s="4" t="s">
        <v>5</v>
      </c>
      <c r="B5383" s="4">
        <v>41115</v>
      </c>
      <c r="D5383" s="5" t="s">
        <v>7847</v>
      </c>
      <c r="E5383" s="6" t="str">
        <f>HYPERLINK("https://inpn.mnhn.fr/espece/cd_nom/41115","Ramaria subbotrytis (Coker) Corner, 1950")</f>
        <v>Ramaria subbotrytis (Coker) Corner, 1950</v>
      </c>
      <c r="F5383" s="5" t="s">
        <v>7848</v>
      </c>
      <c r="V5383" s="7" t="str">
        <f>HYPERLINK("#Liste_rouge!A"&amp;_xlfn.XMATCH("VU",Liste_rouge!A:A,2,1),"VU")</f>
        <v>VU</v>
      </c>
      <c r="W5383" s="4" t="str">
        <f>HYPERLINK("#Critères_liste_rouge!A$1","A2c")</f>
        <v>A2c</v>
      </c>
      <c r="AH5383" s="4" t="str">
        <f>HYPERLINK("#Statut_biogéographique!A"&amp;_xlfn.XMATCH("P",Statut_biogéographique!A:A,2,1),"P")</f>
        <v>P</v>
      </c>
      <c r="AP5383" s="4" t="s">
        <v>376</v>
      </c>
      <c r="AR5383" s="4" t="s">
        <v>377</v>
      </c>
    </row>
    <row r="5384" spans="1:44">
      <c r="A5384" s="4" t="s">
        <v>5</v>
      </c>
      <c r="B5384" s="4">
        <v>41122</v>
      </c>
      <c r="D5384" s="5" t="s">
        <v>7849</v>
      </c>
      <c r="E5384" s="6" t="str">
        <f>HYPERLINK("https://inpn.mnhn.fr/espece/cd_nom/41122","Ramaria testaceoflava (Bres.) Corner, 1950")</f>
        <v>Ramaria testaceoflava (Bres.) Corner, 1950</v>
      </c>
      <c r="V5384" s="7" t="str">
        <f>HYPERLINK("#Liste_rouge!A"&amp;_xlfn.XMATCH("EN",Liste_rouge!A:A,2,1),"EN")</f>
        <v>EN</v>
      </c>
      <c r="W5384" s="4" t="str">
        <f>HYPERLINK("#Critères_liste_rouge!A$1","B2abiii")</f>
        <v>B2abiii</v>
      </c>
      <c r="AH5384" s="4" t="str">
        <f>HYPERLINK("#Statut_biogéographique!A"&amp;_xlfn.XMATCH("P",Statut_biogéographique!A:A,2,1),"P")</f>
        <v>P</v>
      </c>
      <c r="AP5384" s="4" t="s">
        <v>376</v>
      </c>
      <c r="AR5384" s="4" t="s">
        <v>377</v>
      </c>
    </row>
    <row r="5385" spans="1:44" ht="30">
      <c r="A5385" s="4" t="s">
        <v>5</v>
      </c>
      <c r="B5385" s="4">
        <v>41151</v>
      </c>
      <c r="C5385" s="4">
        <v>967</v>
      </c>
      <c r="D5385" s="5" t="s">
        <v>7850</v>
      </c>
      <c r="E5385" s="6" t="str">
        <f>HYPERLINK("https://inpn.mnhn.fr/espece/cd_nom/41151","Clavulinopsis helvola (Pers.) Corner, 1950")</f>
        <v>Clavulinopsis helvola (Pers.) Corner, 1950</v>
      </c>
      <c r="F5385" s="5" t="s">
        <v>7851</v>
      </c>
      <c r="V5385" s="7" t="str">
        <f>HYPERLINK("#Liste_rouge!A"&amp;_xlfn.XMATCH("NT",Liste_rouge!A:A,2,1),"NT")</f>
        <v>NT</v>
      </c>
      <c r="W5385" s="4" t="str">
        <f>HYPERLINK("#Critères_liste_rouge!A$1","pr. A2c")</f>
        <v>pr. A2c</v>
      </c>
      <c r="AH5385" s="4" t="str">
        <f>HYPERLINK("#Statut_biogéographique!A"&amp;_xlfn.XMATCH("P",Statut_biogéographique!A:A,2,1),"P")</f>
        <v>P</v>
      </c>
      <c r="AP5385" s="4" t="s">
        <v>376</v>
      </c>
      <c r="AR5385" s="4" t="s">
        <v>377</v>
      </c>
    </row>
    <row r="5386" spans="1:44">
      <c r="A5386" s="4" t="s">
        <v>5</v>
      </c>
      <c r="B5386" s="4">
        <v>41153</v>
      </c>
      <c r="D5386" s="5" t="s">
        <v>7852</v>
      </c>
      <c r="E5386" s="6" t="str">
        <f>HYPERLINK("https://inpn.mnhn.fr/espece/cd_nom/41153","Ramariopsis kunzei (Fr.) Corner, 1950")</f>
        <v>Ramariopsis kunzei (Fr.) Corner, 1950</v>
      </c>
      <c r="F5386" s="5" t="s">
        <v>7853</v>
      </c>
      <c r="V5386" s="7" t="str">
        <f>HYPERLINK("#Liste_rouge!A"&amp;_xlfn.XMATCH("EN",Liste_rouge!A:A,2,1),"EN")</f>
        <v>EN</v>
      </c>
      <c r="W5386" s="4" t="str">
        <f>HYPERLINK("#Critères_liste_rouge!A$1","B2abiii")</f>
        <v>B2abiii</v>
      </c>
      <c r="AH5386" s="4" t="str">
        <f>HYPERLINK("#Statut_biogéographique!A"&amp;_xlfn.XMATCH("P",Statut_biogéographique!A:A,2,1),"P")</f>
        <v>P</v>
      </c>
      <c r="AP5386" s="4" t="s">
        <v>376</v>
      </c>
      <c r="AR5386" s="4" t="s">
        <v>377</v>
      </c>
    </row>
    <row r="5387" spans="1:44">
      <c r="A5387" s="4" t="s">
        <v>5</v>
      </c>
      <c r="B5387" s="4">
        <v>41160</v>
      </c>
      <c r="D5387" s="5" t="s">
        <v>7854</v>
      </c>
      <c r="E5387" s="6" t="str">
        <f>HYPERLINK("https://inpn.mnhn.fr/espece/cd_nom/41160","Clavulinopsis luteoalba (Rea) Corner, 1950")</f>
        <v>Clavulinopsis luteoalba (Rea) Corner, 1950</v>
      </c>
      <c r="F5387" s="5" t="s">
        <v>7855</v>
      </c>
      <c r="V5387" s="7" t="str">
        <f>HYPERLINK("#Liste_rouge!A"&amp;_xlfn.XMATCH("EN",Liste_rouge!A:A,2,1),"EN")</f>
        <v>EN</v>
      </c>
      <c r="W5387" s="4" t="str">
        <f>HYPERLINK("#Critères_liste_rouge!A$1","B2abiii")</f>
        <v>B2abiii</v>
      </c>
      <c r="AH5387" s="4" t="str">
        <f>HYPERLINK("#Statut_biogéographique!A"&amp;_xlfn.XMATCH("P",Statut_biogéographique!A:A,2,1),"P")</f>
        <v>P</v>
      </c>
      <c r="AP5387" s="4" t="s">
        <v>376</v>
      </c>
      <c r="AR5387" s="4" t="s">
        <v>377</v>
      </c>
    </row>
    <row r="5388" spans="1:44">
      <c r="A5388" s="4" t="s">
        <v>5</v>
      </c>
      <c r="B5388" s="4">
        <v>41161</v>
      </c>
      <c r="D5388" s="5" t="s">
        <v>7856</v>
      </c>
      <c r="E5388" s="6" t="str">
        <f>HYPERLINK("https://inpn.mnhn.fr/espece/cd_nom/41161","Ramariopsis macropus (Pers.) Paechn., 1987")</f>
        <v>Ramariopsis macropus (Pers.) Paechn., 1987</v>
      </c>
      <c r="AH5388" s="4" t="str">
        <f>HYPERLINK("#Statut_biogéographique!A"&amp;_xlfn.XMATCH("P",Statut_biogéographique!A:A,2,1),"P")</f>
        <v>P</v>
      </c>
      <c r="AP5388" s="4" t="s">
        <v>376</v>
      </c>
      <c r="AR5388" s="4" t="s">
        <v>377</v>
      </c>
    </row>
    <row r="5389" spans="1:44">
      <c r="A5389" s="4" t="s">
        <v>5</v>
      </c>
      <c r="B5389" s="4">
        <v>41165</v>
      </c>
      <c r="D5389" s="5" t="s">
        <v>7857</v>
      </c>
      <c r="E5389" s="6" t="str">
        <f>HYPERLINK("https://inpn.mnhn.fr/espece/cd_nom/41165","Ramariopsis pulchella (Boud.) Corner, 1950")</f>
        <v>Ramariopsis pulchella (Boud.) Corner, 1950</v>
      </c>
      <c r="F5389" s="5" t="s">
        <v>7858</v>
      </c>
      <c r="V5389" s="7" t="str">
        <f>HYPERLINK("#Liste_rouge!A"&amp;_xlfn.XMATCH("DD",Liste_rouge!A:A,2,1),"DD")</f>
        <v>DD</v>
      </c>
      <c r="AH5389" s="4" t="str">
        <f>HYPERLINK("#Statut_biogéographique!A"&amp;_xlfn.XMATCH("P",Statut_biogéographique!A:A,2,1),"P")</f>
        <v>P</v>
      </c>
      <c r="AP5389" s="4" t="s">
        <v>376</v>
      </c>
      <c r="AR5389" s="4" t="s">
        <v>377</v>
      </c>
    </row>
    <row r="5390" spans="1:44" ht="30">
      <c r="A5390" s="4" t="s">
        <v>5</v>
      </c>
      <c r="B5390" s="4">
        <v>41195</v>
      </c>
      <c r="D5390" s="5" t="s">
        <v>7859</v>
      </c>
      <c r="E5390" s="6" t="str">
        <f>HYPERLINK("https://inpn.mnhn.fr/espece/cd_nom/41195","Typhula erythropus (Pers.) Fr., 1818")</f>
        <v>Typhula erythropus (Pers.) Fr., 1818</v>
      </c>
      <c r="F5390" s="5" t="s">
        <v>7860</v>
      </c>
      <c r="V5390" s="7" t="str">
        <f>HYPERLINK("#Liste_rouge!A"&amp;_xlfn.XMATCH("NT",Liste_rouge!A:A,2,1),"NT")</f>
        <v>NT</v>
      </c>
      <c r="W5390" s="4" t="str">
        <f>HYPERLINK("#Critères_liste_rouge!A$1","pr. A2c")</f>
        <v>pr. A2c</v>
      </c>
      <c r="AH5390" s="4" t="str">
        <f>HYPERLINK("#Statut_biogéographique!A"&amp;_xlfn.XMATCH("P",Statut_biogéographique!A:A,2,1),"P")</f>
        <v>P</v>
      </c>
      <c r="AP5390" s="4" t="s">
        <v>376</v>
      </c>
      <c r="AR5390" s="4" t="s">
        <v>377</v>
      </c>
    </row>
    <row r="5391" spans="1:44">
      <c r="A5391" s="4" t="s">
        <v>5</v>
      </c>
      <c r="B5391" s="4">
        <v>41225</v>
      </c>
      <c r="D5391" s="5" t="s">
        <v>7861</v>
      </c>
      <c r="E5391" s="6" t="str">
        <f>HYPERLINK("https://inpn.mnhn.fr/espece/cd_nom/41225","Typhula phacorrhiza (Reichard) Fr., 1818")</f>
        <v>Typhula phacorrhiza (Reichard) Fr., 1818</v>
      </c>
      <c r="V5391" s="7" t="str">
        <f>HYPERLINK("#Liste_rouge!A"&amp;_xlfn.XMATCH("VU",Liste_rouge!A:A,2,1),"VU")</f>
        <v>VU</v>
      </c>
      <c r="W5391" s="4" t="str">
        <f>HYPERLINK("#Critères_liste_rouge!A$1","D2")</f>
        <v>D2</v>
      </c>
      <c r="AH5391" s="4" t="str">
        <f>HYPERLINK("#Statut_biogéographique!A"&amp;_xlfn.XMATCH("P",Statut_biogéographique!A:A,2,1),"P")</f>
        <v>P</v>
      </c>
      <c r="AP5391" s="4" t="s">
        <v>376</v>
      </c>
      <c r="AR5391" s="4" t="s">
        <v>377</v>
      </c>
    </row>
    <row r="5392" spans="1:44">
      <c r="A5392" s="4" t="s">
        <v>5</v>
      </c>
      <c r="B5392" s="4">
        <v>41235</v>
      </c>
      <c r="D5392" s="5" t="s">
        <v>7862</v>
      </c>
      <c r="E5392" s="6" t="str">
        <f>HYPERLINK("https://inpn.mnhn.fr/espece/cd_nom/41235","Typhula sclerotioides (Pers.) Fr., 1838")</f>
        <v>Typhula sclerotioides (Pers.) Fr., 1838</v>
      </c>
      <c r="V5392" s="7" t="str">
        <f>HYPERLINK("#Liste_rouge!A"&amp;_xlfn.XMATCH("DD",Liste_rouge!A:A,2,1),"DD")</f>
        <v>DD</v>
      </c>
      <c r="AH5392" s="4" t="str">
        <f>HYPERLINK("#Statut_biogéographique!A"&amp;_xlfn.XMATCH("P",Statut_biogéographique!A:A,2,1),"P")</f>
        <v>P</v>
      </c>
      <c r="AP5392" s="4" t="s">
        <v>376</v>
      </c>
      <c r="AR5392" s="4" t="s">
        <v>377</v>
      </c>
    </row>
    <row r="5393" spans="1:44" ht="45">
      <c r="A5393" s="4" t="s">
        <v>5</v>
      </c>
      <c r="B5393" s="4">
        <v>41251</v>
      </c>
      <c r="D5393" s="5" t="s">
        <v>7863</v>
      </c>
      <c r="E5393" s="6" t="str">
        <f>HYPERLINK("https://inpn.mnhn.fr/espece/cd_nom/41251","Typhula setipes (Grev.) Berthier, 1976")</f>
        <v>Typhula setipes (Grev.) Berthier, 1976</v>
      </c>
      <c r="V5393" s="7" t="str">
        <f>HYPERLINK("#Liste_rouge!A"&amp;_xlfn.XMATCH("DD",Liste_rouge!A:A,2,1),"DD")</f>
        <v>DD</v>
      </c>
      <c r="AH5393" s="4" t="str">
        <f>HYPERLINK("#Statut_biogéographique!A"&amp;_xlfn.XMATCH("P",Statut_biogéographique!A:A,2,1),"P")</f>
        <v>P</v>
      </c>
      <c r="AP5393" s="4" t="s">
        <v>376</v>
      </c>
      <c r="AR5393" s="4" t="s">
        <v>377</v>
      </c>
    </row>
    <row r="5394" spans="1:44" ht="75">
      <c r="A5394" s="4" t="s">
        <v>5</v>
      </c>
      <c r="B5394" s="4">
        <v>41255</v>
      </c>
      <c r="C5394" s="4">
        <v>521</v>
      </c>
      <c r="D5394" s="5" t="s">
        <v>7864</v>
      </c>
      <c r="E5394" s="6" t="str">
        <f>HYPERLINK("https://inpn.mnhn.fr/espece/cd_nom/41255","Abortiporus biennis (Bull.) Singer, 1944")</f>
        <v>Abortiporus biennis (Bull.) Singer, 1944</v>
      </c>
      <c r="F5394" s="5" t="s">
        <v>7865</v>
      </c>
      <c r="V5394" s="7" t="str">
        <f>HYPERLINK("#Liste_rouge!A"&amp;_xlfn.XMATCH("LC",Liste_rouge!A:A,2,1),"LC")</f>
        <v>LC</v>
      </c>
      <c r="AH5394" s="4" t="str">
        <f>HYPERLINK("#Statut_biogéographique!A"&amp;_xlfn.XMATCH("P",Statut_biogéographique!A:A,2,1),"P")</f>
        <v>P</v>
      </c>
      <c r="AP5394" s="4" t="s">
        <v>376</v>
      </c>
      <c r="AR5394" s="4" t="s">
        <v>377</v>
      </c>
    </row>
    <row r="5395" spans="1:44" ht="30">
      <c r="A5395" s="4" t="s">
        <v>5</v>
      </c>
      <c r="B5395" s="4">
        <v>41260</v>
      </c>
      <c r="C5395" s="4">
        <v>7020</v>
      </c>
      <c r="D5395" s="5" t="s">
        <v>7866</v>
      </c>
      <c r="E5395" s="6" t="str">
        <f>HYPERLINK("https://inpn.mnhn.fr/espece/cd_nom/41260","Loweomyces fractipes (Berk. &amp; M.A.Curtis) Jülich, 1982")</f>
        <v>Loweomyces fractipes (Berk. &amp; M.A.Curtis) Jülich, 1982</v>
      </c>
      <c r="F5395" s="5" t="s">
        <v>7867</v>
      </c>
      <c r="V5395" s="7" t="str">
        <f>HYPERLINK("#Liste_rouge!A"&amp;_xlfn.XMATCH("DD",Liste_rouge!A:A,2,1),"DD")</f>
        <v>DD</v>
      </c>
      <c r="Z5395" s="4" t="s">
        <v>695</v>
      </c>
      <c r="AA5395" s="4" t="s">
        <v>696</v>
      </c>
      <c r="AH5395" s="4" t="str">
        <f>HYPERLINK("#Statut_biogéographique!A"&amp;_xlfn.XMATCH("P",Statut_biogéographique!A:A,2,1),"P")</f>
        <v>P</v>
      </c>
      <c r="AP5395" s="4" t="s">
        <v>376</v>
      </c>
      <c r="AR5395" s="4" t="s">
        <v>377</v>
      </c>
    </row>
    <row r="5396" spans="1:44">
      <c r="A5396" s="4" t="s">
        <v>5</v>
      </c>
      <c r="B5396" s="4">
        <v>41289</v>
      </c>
      <c r="D5396" s="5" t="s">
        <v>7868</v>
      </c>
      <c r="E5396" s="6" t="str">
        <f>HYPERLINK("https://inpn.mnhn.fr/espece/cd_nom/41289","Platygloea effusa J.Schröt., 1887")</f>
        <v>Platygloea effusa J.Schröt., 1887</v>
      </c>
      <c r="V5396" s="7" t="str">
        <f>HYPERLINK("#Liste_rouge!A"&amp;_xlfn.XMATCH("DD",Liste_rouge!A:A,2,1),"DD")</f>
        <v>DD</v>
      </c>
      <c r="AH5396" s="4" t="str">
        <f>HYPERLINK("#Statut_biogéographique!A"&amp;_xlfn.XMATCH("P",Statut_biogéographique!A:A,2,1),"P")</f>
        <v>P</v>
      </c>
      <c r="AP5396" s="4" t="s">
        <v>376</v>
      </c>
      <c r="AR5396" s="4" t="s">
        <v>377</v>
      </c>
    </row>
    <row r="5397" spans="1:44" ht="30">
      <c r="A5397" s="4" t="s">
        <v>5</v>
      </c>
      <c r="B5397" s="4">
        <v>41311</v>
      </c>
      <c r="C5397" s="4">
        <v>3521</v>
      </c>
      <c r="D5397" s="5" t="s">
        <v>7869</v>
      </c>
      <c r="E5397" s="6" t="str">
        <f>HYPERLINK("https://inpn.mnhn.fr/espece/cd_nom/41311","Aleurodiscus disciformis (DC.) Pat., 1894")</f>
        <v>Aleurodiscus disciformis (DC.) Pat., 1894</v>
      </c>
      <c r="V5397" s="7" t="str">
        <f>HYPERLINK("#Liste_rouge!A"&amp;_xlfn.XMATCH("NT",Liste_rouge!A:A,2,1),"NT")</f>
        <v>NT</v>
      </c>
      <c r="W5397" s="4" t="str">
        <f>HYPERLINK("#Critères_liste_rouge!A$1","pr. B2abiii")</f>
        <v>pr. B2abiii</v>
      </c>
      <c r="Z5397" s="4" t="s">
        <v>447</v>
      </c>
      <c r="AA5397" s="4" t="s">
        <v>448</v>
      </c>
      <c r="AH5397" s="4" t="str">
        <f>HYPERLINK("#Statut_biogéographique!A"&amp;_xlfn.XMATCH("P",Statut_biogéographique!A:A,2,1),"P")</f>
        <v>P</v>
      </c>
      <c r="AP5397" s="4" t="s">
        <v>376</v>
      </c>
      <c r="AR5397" s="4" t="s">
        <v>377</v>
      </c>
    </row>
    <row r="5398" spans="1:44" ht="30">
      <c r="A5398" s="4" t="s">
        <v>5</v>
      </c>
      <c r="B5398" s="4">
        <v>41319</v>
      </c>
      <c r="C5398" s="4">
        <v>605</v>
      </c>
      <c r="D5398" s="5" t="s">
        <v>7870</v>
      </c>
      <c r="E5398" s="6" t="str">
        <f>HYPERLINK("https://inpn.mnhn.fr/espece/cd_nom/41319","Aleurodiscus amorphus (Pers.) J.Schröt., 1888")</f>
        <v>Aleurodiscus amorphus (Pers.) J.Schröt., 1888</v>
      </c>
      <c r="F5398" s="5" t="s">
        <v>7871</v>
      </c>
      <c r="V5398" s="7" t="str">
        <f>HYPERLINK("#Liste_rouge!A"&amp;_xlfn.XMATCH("LC",Liste_rouge!A:A,2,1),"LC")</f>
        <v>LC</v>
      </c>
      <c r="AH5398" s="4" t="str">
        <f>HYPERLINK("#Statut_biogéographique!A"&amp;_xlfn.XMATCH("P",Statut_biogéographique!A:A,2,1),"P")</f>
        <v>P</v>
      </c>
      <c r="AP5398" s="4" t="s">
        <v>376</v>
      </c>
      <c r="AR5398" s="4" t="s">
        <v>377</v>
      </c>
    </row>
    <row r="5399" spans="1:44">
      <c r="A5399" s="4" t="s">
        <v>5</v>
      </c>
      <c r="B5399" s="4">
        <v>41329</v>
      </c>
      <c r="C5399" s="4">
        <v>2617</v>
      </c>
      <c r="D5399" s="5" t="s">
        <v>7872</v>
      </c>
      <c r="E5399" s="6" t="str">
        <f>HYPERLINK("https://inpn.mnhn.fr/espece/cd_nom/41329","Cyphella digitalis (Alb. &amp; Schwein.) Fr., 1822")</f>
        <v>Cyphella digitalis (Alb. &amp; Schwein.) Fr., 1822</v>
      </c>
      <c r="F5399" s="5" t="s">
        <v>7873</v>
      </c>
      <c r="V5399" s="7" t="str">
        <f>HYPERLINK("#Liste_rouge!A"&amp;_xlfn.XMATCH("NT",Liste_rouge!A:A,2,1),"NT")</f>
        <v>NT</v>
      </c>
      <c r="W5399" s="4" t="str">
        <f>HYPERLINK("#Critères_liste_rouge!A$1","pr. B2abiii")</f>
        <v>pr. B2abiii</v>
      </c>
      <c r="Z5399" s="4" t="s">
        <v>443</v>
      </c>
      <c r="AA5399" s="4" t="s">
        <v>444</v>
      </c>
      <c r="AH5399" s="4" t="str">
        <f>HYPERLINK("#Statut_biogéographique!A"&amp;_xlfn.XMATCH("P",Statut_biogéographique!A:A,2,1),"P")</f>
        <v>P</v>
      </c>
      <c r="AP5399" s="4" t="s">
        <v>376</v>
      </c>
      <c r="AR5399" s="4" t="s">
        <v>377</v>
      </c>
    </row>
    <row r="5400" spans="1:44" ht="30">
      <c r="A5400" s="4" t="s">
        <v>5</v>
      </c>
      <c r="B5400" s="4">
        <v>41334</v>
      </c>
      <c r="C5400" s="4">
        <v>1276</v>
      </c>
      <c r="D5400" s="5" t="s">
        <v>7874</v>
      </c>
      <c r="E5400" s="6" t="str">
        <f>HYPERLINK("https://inpn.mnhn.fr/espece/cd_nom/41334","Aleurodiscus wakefieldiae Boidin &amp; Beller, 1967")</f>
        <v>Aleurodiscus wakefieldiae Boidin &amp; Beller, 1967</v>
      </c>
      <c r="V5400" s="7" t="str">
        <f>HYPERLINK("#Liste_rouge!A"&amp;_xlfn.XMATCH("LC",Liste_rouge!A:A,2,1),"LC")</f>
        <v>LC</v>
      </c>
      <c r="AH5400" s="4" t="str">
        <f>HYPERLINK("#Statut_biogéographique!A"&amp;_xlfn.XMATCH("P",Statut_biogéographique!A:A,2,1),"P")</f>
        <v>P</v>
      </c>
      <c r="AP5400" s="4" t="s">
        <v>376</v>
      </c>
      <c r="AR5400" s="4" t="s">
        <v>377</v>
      </c>
    </row>
    <row r="5401" spans="1:44" ht="45">
      <c r="A5401" s="4" t="s">
        <v>5</v>
      </c>
      <c r="B5401" s="4">
        <v>41341</v>
      </c>
      <c r="C5401" s="4">
        <v>879</v>
      </c>
      <c r="D5401" s="5" t="s">
        <v>7875</v>
      </c>
      <c r="E5401" s="6" t="str">
        <f>HYPERLINK("https://inpn.mnhn.fr/espece/cd_nom/41341","Amphinema byssoides (Pers.) J.Erikss., 1958")</f>
        <v>Amphinema byssoides (Pers.) J.Erikss., 1958</v>
      </c>
      <c r="V5401" s="7" t="str">
        <f>HYPERLINK("#Liste_rouge!A"&amp;_xlfn.XMATCH("LC",Liste_rouge!A:A,2,1),"LC")</f>
        <v>LC</v>
      </c>
      <c r="AH5401" s="4" t="str">
        <f>HYPERLINK("#Statut_biogéographique!A"&amp;_xlfn.XMATCH("P",Statut_biogéographique!A:A,2,1),"P")</f>
        <v>P</v>
      </c>
      <c r="AP5401" s="4" t="s">
        <v>376</v>
      </c>
      <c r="AR5401" s="4" t="s">
        <v>377</v>
      </c>
    </row>
    <row r="5402" spans="1:44" ht="30">
      <c r="A5402" s="4" t="s">
        <v>5</v>
      </c>
      <c r="B5402" s="4">
        <v>41355</v>
      </c>
      <c r="C5402" s="4">
        <v>4523</v>
      </c>
      <c r="D5402" s="5" t="s">
        <v>7876</v>
      </c>
      <c r="E5402" s="6" t="str">
        <f>HYPERLINK("https://inpn.mnhn.fr/espece/cd_nom/41355","Amylocorticium cebennense (Bourdot) Pouzar, 1959")</f>
        <v>Amylocorticium cebennense (Bourdot) Pouzar, 1959</v>
      </c>
      <c r="V5402" s="7" t="str">
        <f>HYPERLINK("#Liste_rouge!A"&amp;_xlfn.XMATCH("DD",Liste_rouge!A:A,2,1),"DD")</f>
        <v>DD</v>
      </c>
      <c r="AH5402" s="4" t="str">
        <f>HYPERLINK("#Statut_biogéographique!A"&amp;_xlfn.XMATCH("P",Statut_biogéographique!A:A,2,1),"P")</f>
        <v>P</v>
      </c>
      <c r="AP5402" s="4" t="s">
        <v>376</v>
      </c>
      <c r="AR5402" s="4" t="s">
        <v>377</v>
      </c>
    </row>
    <row r="5403" spans="1:44" ht="30">
      <c r="A5403" s="4" t="s">
        <v>5</v>
      </c>
      <c r="B5403" s="4">
        <v>41358</v>
      </c>
      <c r="C5403" s="4">
        <v>4513</v>
      </c>
      <c r="D5403" s="5" t="s">
        <v>7877</v>
      </c>
      <c r="E5403" s="6" t="str">
        <f>HYPERLINK("https://inpn.mnhn.fr/espece/cd_nom/41358","Athelopsis lacerata (Litsch.) J.Erikss. &amp; Ryvarden, 1973")</f>
        <v>Athelopsis lacerata (Litsch.) J.Erikss. &amp; Ryvarden, 1973</v>
      </c>
      <c r="V5403" s="7" t="str">
        <f>HYPERLINK("#Liste_rouge!A"&amp;_xlfn.XMATCH("DD",Liste_rouge!A:A,2,1),"DD")</f>
        <v>DD</v>
      </c>
      <c r="AH5403" s="4" t="str">
        <f>HYPERLINK("#Statut_biogéographique!A"&amp;_xlfn.XMATCH("P",Statut_biogéographique!A:A,2,1),"P")</f>
        <v>P</v>
      </c>
      <c r="AP5403" s="4" t="s">
        <v>376</v>
      </c>
      <c r="AR5403" s="4" t="s">
        <v>377</v>
      </c>
    </row>
    <row r="5404" spans="1:44" ht="30">
      <c r="A5404" s="4" t="s">
        <v>5</v>
      </c>
      <c r="B5404" s="4">
        <v>41384</v>
      </c>
      <c r="C5404" s="4">
        <v>888</v>
      </c>
      <c r="D5404" s="5" t="s">
        <v>7878</v>
      </c>
      <c r="E5404" s="6" t="str">
        <f>HYPERLINK("https://inpn.mnhn.fr/espece/cd_nom/41384","Amylostereum areolatum (Chaillet ex Fr.) Boidin, 1958")</f>
        <v>Amylostereum areolatum (Chaillet ex Fr.) Boidin, 1958</v>
      </c>
      <c r="V5404" s="7" t="str">
        <f>HYPERLINK("#Liste_rouge!A"&amp;_xlfn.XMATCH("LC",Liste_rouge!A:A,2,1),"LC")</f>
        <v>LC</v>
      </c>
      <c r="AH5404" s="4" t="str">
        <f>HYPERLINK("#Statut_biogéographique!A"&amp;_xlfn.XMATCH("P",Statut_biogéographique!A:A,2,1),"P")</f>
        <v>P</v>
      </c>
      <c r="AP5404" s="4" t="s">
        <v>376</v>
      </c>
      <c r="AR5404" s="4" t="s">
        <v>377</v>
      </c>
    </row>
    <row r="5405" spans="1:44">
      <c r="A5405" s="4" t="s">
        <v>5</v>
      </c>
      <c r="B5405" s="4">
        <v>41387</v>
      </c>
      <c r="C5405" s="4">
        <v>2383</v>
      </c>
      <c r="D5405" s="5" t="s">
        <v>7879</v>
      </c>
      <c r="E5405" s="6" t="str">
        <f>HYPERLINK("https://inpn.mnhn.fr/espece/cd_nom/41387","Amylostereum chailletii (Pers.) Boidin, 1958")</f>
        <v>Amylostereum chailletii (Pers.) Boidin, 1958</v>
      </c>
      <c r="V5405" s="7" t="str">
        <f>HYPERLINK("#Liste_rouge!A"&amp;_xlfn.XMATCH("LC",Liste_rouge!A:A,2,1),"LC")</f>
        <v>LC</v>
      </c>
      <c r="AH5405" s="4" t="str">
        <f>HYPERLINK("#Statut_biogéographique!A"&amp;_xlfn.XMATCH("P",Statut_biogéographique!A:A,2,1),"P")</f>
        <v>P</v>
      </c>
      <c r="AP5405" s="4" t="s">
        <v>376</v>
      </c>
      <c r="AR5405" s="4" t="s">
        <v>377</v>
      </c>
    </row>
    <row r="5406" spans="1:44" ht="30">
      <c r="A5406" s="4" t="s">
        <v>5</v>
      </c>
      <c r="B5406" s="4">
        <v>41391</v>
      </c>
      <c r="C5406" s="4">
        <v>3175</v>
      </c>
      <c r="D5406" s="5" t="s">
        <v>7880</v>
      </c>
      <c r="E5406" s="6" t="str">
        <f>HYPERLINK("https://inpn.mnhn.fr/espece/cd_nom/41391","Amylostereum laevigatum (Fr.) Boidin, 1958")</f>
        <v>Amylostereum laevigatum (Fr.) Boidin, 1958</v>
      </c>
      <c r="V5406" s="7" t="str">
        <f>HYPERLINK("#Liste_rouge!A"&amp;_xlfn.XMATCH("LC",Liste_rouge!A:A,2,1),"LC")</f>
        <v>LC</v>
      </c>
      <c r="AH5406" s="4" t="str">
        <f>HYPERLINK("#Statut_biogéographique!A"&amp;_xlfn.XMATCH("P",Statut_biogéographique!A:A,2,1),"P")</f>
        <v>P</v>
      </c>
      <c r="AP5406" s="4" t="s">
        <v>376</v>
      </c>
      <c r="AR5406" s="4" t="s">
        <v>377</v>
      </c>
    </row>
    <row r="5407" spans="1:44">
      <c r="A5407" s="4" t="s">
        <v>5</v>
      </c>
      <c r="B5407" s="4">
        <v>41406</v>
      </c>
      <c r="C5407" s="4">
        <v>5128</v>
      </c>
      <c r="D5407" s="5" t="s">
        <v>7881</v>
      </c>
      <c r="E5407" s="6" t="str">
        <f>HYPERLINK("https://inpn.mnhn.fr/espece/cd_nom/41406","Anthina flammea (Jungh.) Fr., 1832")</f>
        <v>Anthina flammea (Jungh.) Fr., 1832</v>
      </c>
      <c r="V5407" s="7" t="str">
        <f>HYPERLINK("#Liste_rouge!A"&amp;_xlfn.XMATCH("DD",Liste_rouge!A:A,2,1),"DD")</f>
        <v>DD</v>
      </c>
      <c r="AH5407" s="4" t="str">
        <f>HYPERLINK("#Statut_biogéographique!A"&amp;_xlfn.XMATCH("D",Statut_biogéographique!A:A,2,1),"D")</f>
        <v>D</v>
      </c>
      <c r="AP5407" s="4" t="s">
        <v>376</v>
      </c>
      <c r="AR5407" s="4" t="s">
        <v>377</v>
      </c>
    </row>
    <row r="5408" spans="1:44" ht="45">
      <c r="A5408" s="4" t="s">
        <v>5</v>
      </c>
      <c r="B5408" s="4">
        <v>41408</v>
      </c>
      <c r="C5408" s="4">
        <v>405</v>
      </c>
      <c r="D5408" s="5" t="s">
        <v>7882</v>
      </c>
      <c r="E5408" s="6" t="str">
        <f>HYPERLINK("https://inpn.mnhn.fr/espece/cd_nom/41408","Antrodia albida (Fr.) Donk, 1966")</f>
        <v>Antrodia albida (Fr.) Donk, 1966</v>
      </c>
      <c r="F5408" s="5" t="s">
        <v>7883</v>
      </c>
      <c r="V5408" s="7" t="str">
        <f>HYPERLINK("#Liste_rouge!A"&amp;_xlfn.XMATCH("DD",Liste_rouge!A:A,2,1),"DD")</f>
        <v>DD</v>
      </c>
      <c r="AH5408" s="4" t="str">
        <f>HYPERLINK("#Statut_biogéographique!A"&amp;_xlfn.XMATCH("P",Statut_biogéographique!A:A,2,1),"P")</f>
        <v>P</v>
      </c>
      <c r="AP5408" s="4" t="s">
        <v>376</v>
      </c>
      <c r="AR5408" s="4" t="s">
        <v>377</v>
      </c>
    </row>
    <row r="5409" spans="1:44">
      <c r="A5409" s="4" t="s">
        <v>5</v>
      </c>
      <c r="B5409" s="4">
        <v>41415</v>
      </c>
      <c r="C5409" s="4">
        <v>6931</v>
      </c>
      <c r="D5409" s="5" t="s">
        <v>7884</v>
      </c>
      <c r="E5409" s="6" t="str">
        <f>HYPERLINK("https://inpn.mnhn.fr/espece/cd_nom/41415","Antrodia heteromorpha (Fr.) Donk, 1966")</f>
        <v>Antrodia heteromorpha (Fr.) Donk, 1966</v>
      </c>
      <c r="F5409" s="5" t="s">
        <v>7885</v>
      </c>
      <c r="AH5409" s="4" t="str">
        <f>HYPERLINK("#Statut_biogéographique!A"&amp;_xlfn.XMATCH("P",Statut_biogéographique!A:A,2,1),"P")</f>
        <v>P</v>
      </c>
      <c r="AP5409" s="4" t="s">
        <v>376</v>
      </c>
      <c r="AR5409" s="4" t="s">
        <v>377</v>
      </c>
    </row>
    <row r="5410" spans="1:44" ht="30">
      <c r="A5410" s="4" t="s">
        <v>5</v>
      </c>
      <c r="B5410" s="4">
        <v>41425</v>
      </c>
      <c r="C5410" s="4">
        <v>4505</v>
      </c>
      <c r="D5410" s="5" t="s">
        <v>7886</v>
      </c>
      <c r="E5410" s="6" t="str">
        <f>HYPERLINK("https://inpn.mnhn.fr/espece/cd_nom/41425","Antrodia macra (Sommerf.) Niemelä, 1985")</f>
        <v>Antrodia macra (Sommerf.) Niemelä, 1985</v>
      </c>
      <c r="F5410" s="5" t="s">
        <v>7887</v>
      </c>
      <c r="V5410" s="7" t="str">
        <f>HYPERLINK("#Liste_rouge!A"&amp;_xlfn.XMATCH("DD",Liste_rouge!A:A,2,1),"DD")</f>
        <v>DD</v>
      </c>
      <c r="Z5410" s="4" t="s">
        <v>447</v>
      </c>
      <c r="AA5410" s="4" t="s">
        <v>448</v>
      </c>
      <c r="AH5410" s="4" t="str">
        <f>HYPERLINK("#Statut_biogéographique!A"&amp;_xlfn.XMATCH("P",Statut_biogéographique!A:A,2,1),"P")</f>
        <v>P</v>
      </c>
      <c r="AP5410" s="4" t="s">
        <v>376</v>
      </c>
      <c r="AR5410" s="4" t="s">
        <v>377</v>
      </c>
    </row>
    <row r="5411" spans="1:44" ht="30">
      <c r="A5411" s="4" t="s">
        <v>5</v>
      </c>
      <c r="B5411" s="4">
        <v>41434</v>
      </c>
      <c r="C5411" s="4">
        <v>4931</v>
      </c>
      <c r="D5411" s="5" t="s">
        <v>7888</v>
      </c>
      <c r="E5411" s="6" t="str">
        <f>HYPERLINK("https://inpn.mnhn.fr/espece/cd_nom/41434","Antrodia ramentacea (Berk. &amp; Broome) Donk, 1966")</f>
        <v>Antrodia ramentacea (Berk. &amp; Broome) Donk, 1966</v>
      </c>
      <c r="V5411" s="7" t="str">
        <f>HYPERLINK("#Liste_rouge!A"&amp;_xlfn.XMATCH("DD",Liste_rouge!A:A,2,1),"DD")</f>
        <v>DD</v>
      </c>
      <c r="AH5411" s="4" t="str">
        <f>HYPERLINK("#Statut_biogéographique!A"&amp;_xlfn.XMATCH("P",Statut_biogéographique!A:A,2,1),"P")</f>
        <v>P</v>
      </c>
      <c r="AP5411" s="4" t="s">
        <v>376</v>
      </c>
      <c r="AR5411" s="4" t="s">
        <v>377</v>
      </c>
    </row>
    <row r="5412" spans="1:44" ht="30">
      <c r="A5412" s="4" t="s">
        <v>5</v>
      </c>
      <c r="B5412" s="4">
        <v>41437</v>
      </c>
      <c r="C5412" s="4">
        <v>890</v>
      </c>
      <c r="D5412" s="5" t="s">
        <v>7889</v>
      </c>
      <c r="E5412" s="6" t="str">
        <f>HYPERLINK("https://inpn.mnhn.fr/espece/cd_nom/41437","Antrodia serialis (Fr.) Donk, 1966")</f>
        <v>Antrodia serialis (Fr.) Donk, 1966</v>
      </c>
      <c r="V5412" s="7" t="str">
        <f>HYPERLINK("#Liste_rouge!A"&amp;_xlfn.XMATCH("LC",Liste_rouge!A:A,2,1),"LC")</f>
        <v>LC</v>
      </c>
      <c r="AH5412" s="4" t="str">
        <f>HYPERLINK("#Statut_biogéographique!A"&amp;_xlfn.XMATCH("P",Statut_biogéographique!A:A,2,1),"P")</f>
        <v>P</v>
      </c>
      <c r="AP5412" s="4" t="s">
        <v>376</v>
      </c>
      <c r="AR5412" s="4" t="s">
        <v>377</v>
      </c>
    </row>
    <row r="5413" spans="1:44" ht="60">
      <c r="A5413" s="4" t="s">
        <v>5</v>
      </c>
      <c r="B5413" s="4">
        <v>41449</v>
      </c>
      <c r="C5413" s="4">
        <v>3529</v>
      </c>
      <c r="D5413" s="5" t="s">
        <v>7890</v>
      </c>
      <c r="E5413" s="6" t="str">
        <f>HYPERLINK("https://inpn.mnhn.fr/espece/cd_nom/41449","Antrodia xantha (Fr.) Ryvarden, 1973")</f>
        <v>Antrodia xantha (Fr.) Ryvarden, 1973</v>
      </c>
      <c r="V5413" s="7" t="str">
        <f>HYPERLINK("#Liste_rouge!A"&amp;_xlfn.XMATCH("DD",Liste_rouge!A:A,2,1),"DD")</f>
        <v>DD</v>
      </c>
      <c r="Z5413" s="4" t="s">
        <v>443</v>
      </c>
      <c r="AA5413" s="4" t="s">
        <v>444</v>
      </c>
      <c r="AH5413" s="4" t="str">
        <f>HYPERLINK("#Statut_biogéographique!A"&amp;_xlfn.XMATCH("P",Statut_biogéographique!A:A,2,1),"P")</f>
        <v>P</v>
      </c>
      <c r="AP5413" s="4" t="s">
        <v>376</v>
      </c>
      <c r="AR5413" s="4" t="s">
        <v>377</v>
      </c>
    </row>
    <row r="5414" spans="1:44">
      <c r="A5414" s="4" t="s">
        <v>5</v>
      </c>
      <c r="B5414" s="4">
        <v>41465</v>
      </c>
      <c r="C5414" s="4">
        <v>6210</v>
      </c>
      <c r="D5414" s="5" t="s">
        <v>7891</v>
      </c>
      <c r="E5414" s="6" t="str">
        <f>HYPERLINK("https://inpn.mnhn.fr/espece/cd_nom/41465","Antrodiella parasitica Vampola, 1991")</f>
        <v>Antrodiella parasitica Vampola, 1991</v>
      </c>
      <c r="AH5414" s="4" t="str">
        <f>HYPERLINK("#Statut_biogéographique!A"&amp;_xlfn.XMATCH("P",Statut_biogéographique!A:A,2,1),"P")</f>
        <v>P</v>
      </c>
      <c r="AP5414" s="4" t="s">
        <v>376</v>
      </c>
      <c r="AR5414" s="4" t="s">
        <v>377</v>
      </c>
    </row>
    <row r="5415" spans="1:44" ht="30">
      <c r="A5415" s="4" t="s">
        <v>5</v>
      </c>
      <c r="B5415" s="4">
        <v>41477</v>
      </c>
      <c r="C5415" s="4">
        <v>7056</v>
      </c>
      <c r="D5415" s="5" t="s">
        <v>7892</v>
      </c>
      <c r="E5415" s="6" t="str">
        <f>HYPERLINK("https://inpn.mnhn.fr/espece/cd_nom/41477","Aphanobasidium filicinum (Bourdot) Jülich, 1979")</f>
        <v>Aphanobasidium filicinum (Bourdot) Jülich, 1979</v>
      </c>
      <c r="AH5415" s="4" t="str">
        <f>HYPERLINK("#Statut_biogéographique!A"&amp;_xlfn.XMATCH("P",Statut_biogéographique!A:A,2,1),"P")</f>
        <v>P</v>
      </c>
      <c r="AP5415" s="4" t="s">
        <v>376</v>
      </c>
      <c r="AR5415" s="4" t="s">
        <v>377</v>
      </c>
    </row>
    <row r="5416" spans="1:44" ht="30">
      <c r="A5416" s="4" t="s">
        <v>5</v>
      </c>
      <c r="B5416" s="4">
        <v>41484</v>
      </c>
      <c r="C5416" s="4">
        <v>3530</v>
      </c>
      <c r="D5416" s="5" t="s">
        <v>7893</v>
      </c>
      <c r="E5416" s="6" t="str">
        <f>HYPERLINK("https://inpn.mnhn.fr/espece/cd_nom/41484","Aphanobasidium pseudotsugae (Burt) Boidin &amp; Gilles, 1989")</f>
        <v>Aphanobasidium pseudotsugae (Burt) Boidin &amp; Gilles, 1989</v>
      </c>
      <c r="AH5416" s="4" t="str">
        <f>HYPERLINK("#Statut_biogéographique!A"&amp;_xlfn.XMATCH("P",Statut_biogéographique!A:A,2,1),"P")</f>
        <v>P</v>
      </c>
      <c r="AP5416" s="4" t="s">
        <v>376</v>
      </c>
      <c r="AR5416" s="4" t="s">
        <v>377</v>
      </c>
    </row>
    <row r="5417" spans="1:44" ht="30">
      <c r="A5417" s="4" t="s">
        <v>5</v>
      </c>
      <c r="B5417" s="4">
        <v>41508</v>
      </c>
      <c r="C5417" s="4">
        <v>3531</v>
      </c>
      <c r="D5417" s="5" t="s">
        <v>7894</v>
      </c>
      <c r="E5417" s="6" t="str">
        <f>HYPERLINK("https://inpn.mnhn.fr/espece/cd_nom/41508","Athelia alnicola (Bourdot &amp; Galzin) Jülich, 1972")</f>
        <v>Athelia alnicola (Bourdot &amp; Galzin) Jülich, 1972</v>
      </c>
      <c r="V5417" s="7" t="str">
        <f>HYPERLINK("#Liste_rouge!A"&amp;_xlfn.XMATCH("DD",Liste_rouge!A:A,2,1),"DD")</f>
        <v>DD</v>
      </c>
      <c r="AH5417" s="4" t="str">
        <f>HYPERLINK("#Statut_biogéographique!A"&amp;_xlfn.XMATCH("P",Statut_biogéographique!A:A,2,1),"P")</f>
        <v>P</v>
      </c>
      <c r="AP5417" s="4" t="s">
        <v>376</v>
      </c>
      <c r="AR5417" s="4" t="s">
        <v>377</v>
      </c>
    </row>
    <row r="5418" spans="1:44">
      <c r="A5418" s="4" t="s">
        <v>5</v>
      </c>
      <c r="B5418" s="4">
        <v>41510</v>
      </c>
      <c r="C5418" s="4">
        <v>6228</v>
      </c>
      <c r="D5418" s="5" t="s">
        <v>7895</v>
      </c>
      <c r="E5418" s="6" t="str">
        <f>HYPERLINK("https://inpn.mnhn.fr/espece/cd_nom/41510","Athelia arachnoidea (Berk.) Jülich, 1972")</f>
        <v>Athelia arachnoidea (Berk.) Jülich, 1972</v>
      </c>
      <c r="AH5418" s="4" t="str">
        <f>HYPERLINK("#Statut_biogéographique!A"&amp;_xlfn.XMATCH("P",Statut_biogéographique!A:A,2,1),"P")</f>
        <v>P</v>
      </c>
      <c r="AP5418" s="4" t="s">
        <v>376</v>
      </c>
      <c r="AR5418" s="4" t="s">
        <v>377</v>
      </c>
    </row>
    <row r="5419" spans="1:44" ht="30">
      <c r="A5419" s="4" t="s">
        <v>5</v>
      </c>
      <c r="B5419" s="4">
        <v>41520</v>
      </c>
      <c r="C5419" s="4">
        <v>900</v>
      </c>
      <c r="D5419" s="5" t="s">
        <v>7896</v>
      </c>
      <c r="E5419" s="6" t="str">
        <f>HYPERLINK("https://inpn.mnhn.fr/espece/cd_nom/41520","Athelia epiphylla Pers., 1818")</f>
        <v>Athelia epiphylla Pers., 1818</v>
      </c>
      <c r="V5419" s="7" t="str">
        <f>HYPERLINK("#Liste_rouge!A"&amp;_xlfn.XMATCH("LC",Liste_rouge!A:A,2,1),"LC")</f>
        <v>LC</v>
      </c>
      <c r="AH5419" s="4" t="str">
        <f>HYPERLINK("#Statut_biogéographique!A"&amp;_xlfn.XMATCH("P",Statut_biogéographique!A:A,2,1),"P")</f>
        <v>P</v>
      </c>
      <c r="AP5419" s="4" t="s">
        <v>376</v>
      </c>
      <c r="AR5419" s="4" t="s">
        <v>377</v>
      </c>
    </row>
    <row r="5420" spans="1:44">
      <c r="A5420" s="4" t="s">
        <v>5</v>
      </c>
      <c r="B5420" s="4">
        <v>41523</v>
      </c>
      <c r="C5420" s="4">
        <v>5303</v>
      </c>
      <c r="D5420" s="5" t="s">
        <v>7897</v>
      </c>
      <c r="E5420" s="6" t="str">
        <f>HYPERLINK("https://inpn.mnhn.fr/espece/cd_nom/41523","Athelia fibulata M.P.Christ., 1960")</f>
        <v>Athelia fibulata M.P.Christ., 1960</v>
      </c>
      <c r="V5420" s="7" t="str">
        <f>HYPERLINK("#Liste_rouge!A"&amp;_xlfn.XMATCH("DD",Liste_rouge!A:A,2,1),"DD")</f>
        <v>DD</v>
      </c>
      <c r="AH5420" s="4" t="str">
        <f>HYPERLINK("#Statut_biogéographique!A"&amp;_xlfn.XMATCH("P",Statut_biogéographique!A:A,2,1),"P")</f>
        <v>P</v>
      </c>
      <c r="AP5420" s="4" t="s">
        <v>376</v>
      </c>
      <c r="AR5420" s="4" t="s">
        <v>377</v>
      </c>
    </row>
    <row r="5421" spans="1:44">
      <c r="A5421" s="4" t="s">
        <v>5</v>
      </c>
      <c r="B5421" s="4">
        <v>41524</v>
      </c>
      <c r="C5421" s="4">
        <v>3863</v>
      </c>
      <c r="D5421" s="5" t="s">
        <v>7898</v>
      </c>
      <c r="E5421" s="6" t="str">
        <f>HYPERLINK("https://inpn.mnhn.fr/espece/cd_nom/41524","Athelia neuhoffii (Bres.) Donk, 1957")</f>
        <v>Athelia neuhoffii (Bres.) Donk, 1957</v>
      </c>
      <c r="V5421" s="7" t="str">
        <f>HYPERLINK("#Liste_rouge!A"&amp;_xlfn.XMATCH("DD",Liste_rouge!A:A,2,1),"DD")</f>
        <v>DD</v>
      </c>
      <c r="AH5421" s="4" t="str">
        <f>HYPERLINK("#Statut_biogéographique!A"&amp;_xlfn.XMATCH("P",Statut_biogéographique!A:A,2,1),"P")</f>
        <v>P</v>
      </c>
      <c r="AP5421" s="4" t="s">
        <v>376</v>
      </c>
      <c r="AR5421" s="4" t="s">
        <v>377</v>
      </c>
    </row>
    <row r="5422" spans="1:44" ht="30">
      <c r="A5422" s="4" t="s">
        <v>5</v>
      </c>
      <c r="B5422" s="4">
        <v>41551</v>
      </c>
      <c r="C5422" s="4">
        <v>3177</v>
      </c>
      <c r="D5422" s="5" t="s">
        <v>7899</v>
      </c>
      <c r="E5422" s="6" t="str">
        <f>HYPERLINK("https://inpn.mnhn.fr/espece/cd_nom/41551","Athelopsis glaucina (Bourdot &amp; Galzin) Oberw. ex Parmasto, 1968")</f>
        <v>Athelopsis glaucina (Bourdot &amp; Galzin) Oberw. ex Parmasto, 1968</v>
      </c>
      <c r="V5422" s="7" t="str">
        <f>HYPERLINK("#Liste_rouge!A"&amp;_xlfn.XMATCH("DD",Liste_rouge!A:A,2,1),"DD")</f>
        <v>DD</v>
      </c>
      <c r="AH5422" s="4" t="str">
        <f>HYPERLINK("#Statut_biogéographique!A"&amp;_xlfn.XMATCH("P",Statut_biogéographique!A:A,2,1),"P")</f>
        <v>P</v>
      </c>
      <c r="AP5422" s="4" t="s">
        <v>376</v>
      </c>
      <c r="AR5422" s="4" t="s">
        <v>377</v>
      </c>
    </row>
    <row r="5423" spans="1:44" ht="30">
      <c r="A5423" s="4" t="s">
        <v>5</v>
      </c>
      <c r="B5423" s="4">
        <v>41559</v>
      </c>
      <c r="C5423" s="4">
        <v>3178</v>
      </c>
      <c r="D5423" s="5" t="s">
        <v>7900</v>
      </c>
      <c r="E5423" s="6" t="str">
        <f>HYPERLINK("https://inpn.mnhn.fr/espece/cd_nom/41559","Athelopsis subinconspicua (Litsch.) Jülich, 1975")</f>
        <v>Athelopsis subinconspicua (Litsch.) Jülich, 1975</v>
      </c>
      <c r="V5423" s="7" t="str">
        <f>HYPERLINK("#Liste_rouge!A"&amp;_xlfn.XMATCH("DD",Liste_rouge!A:A,2,1),"DD")</f>
        <v>DD</v>
      </c>
      <c r="AH5423" s="4" t="str">
        <f>HYPERLINK("#Statut_biogéographique!A"&amp;_xlfn.XMATCH("P",Statut_biogéographique!A:A,2,1),"P")</f>
        <v>P</v>
      </c>
      <c r="AP5423" s="4" t="s">
        <v>376</v>
      </c>
      <c r="AR5423" s="4" t="s">
        <v>377</v>
      </c>
    </row>
    <row r="5424" spans="1:44" ht="45">
      <c r="A5424" s="4" t="s">
        <v>5</v>
      </c>
      <c r="B5424" s="4">
        <v>41571</v>
      </c>
      <c r="C5424" s="4">
        <v>411</v>
      </c>
      <c r="D5424" s="5" t="s">
        <v>7901</v>
      </c>
      <c r="E5424" s="6" t="str">
        <f>HYPERLINK("https://inpn.mnhn.fr/espece/cd_nom/41571","Auricularia auricula-judae (Bull.) Quél., 1886")</f>
        <v>Auricularia auricula-judae (Bull.) Quél., 1886</v>
      </c>
      <c r="F5424" s="5" t="s">
        <v>7902</v>
      </c>
      <c r="V5424" s="7" t="str">
        <f>HYPERLINK("#Liste_rouge!A"&amp;_xlfn.XMATCH("LC",Liste_rouge!A:A,2,1),"LC")</f>
        <v>LC</v>
      </c>
      <c r="AH5424" s="4" t="str">
        <f>HYPERLINK("#Statut_biogéographique!A"&amp;_xlfn.XMATCH("P",Statut_biogéographique!A:A,2,1),"P")</f>
        <v>P</v>
      </c>
      <c r="AP5424" s="4" t="s">
        <v>376</v>
      </c>
      <c r="AR5424" s="4" t="s">
        <v>377</v>
      </c>
    </row>
    <row r="5425" spans="1:44" ht="45">
      <c r="A5425" s="4" t="s">
        <v>5</v>
      </c>
      <c r="B5425" s="4">
        <v>41575</v>
      </c>
      <c r="C5425" s="4">
        <v>349</v>
      </c>
      <c r="D5425" s="5" t="s">
        <v>7903</v>
      </c>
      <c r="E5425" s="6" t="str">
        <f>HYPERLINK("https://inpn.mnhn.fr/espece/cd_nom/41575","Auricularia mesenterica (Dicks.) Pers., 1822")</f>
        <v>Auricularia mesenterica (Dicks.) Pers., 1822</v>
      </c>
      <c r="F5425" s="5" t="s">
        <v>7904</v>
      </c>
      <c r="V5425" s="7" t="str">
        <f>HYPERLINK("#Liste_rouge!A"&amp;_xlfn.XMATCH("LC",Liste_rouge!A:A,2,1),"LC")</f>
        <v>LC</v>
      </c>
      <c r="AH5425" s="4" t="str">
        <f>HYPERLINK("#Statut_biogéographique!A"&amp;_xlfn.XMATCH("P",Statut_biogéographique!A:A,2,1),"P")</f>
        <v>P</v>
      </c>
      <c r="AP5425" s="4" t="s">
        <v>376</v>
      </c>
      <c r="AR5425" s="4" t="s">
        <v>377</v>
      </c>
    </row>
    <row r="5426" spans="1:44" ht="30">
      <c r="A5426" s="4" t="s">
        <v>5</v>
      </c>
      <c r="B5426" s="4">
        <v>41587</v>
      </c>
      <c r="C5426" s="4">
        <v>4923</v>
      </c>
      <c r="D5426" s="5" t="s">
        <v>7905</v>
      </c>
      <c r="E5426" s="6" t="str">
        <f>HYPERLINK("https://inpn.mnhn.fr/espece/cd_nom/41587","Auriporia aurulenta A.David, Tortič &amp; Jelić, 1975")</f>
        <v>Auriporia aurulenta A.David, Tortič &amp; Jelić, 1975</v>
      </c>
      <c r="V5426" s="7" t="str">
        <f>HYPERLINK("#Liste_rouge!A"&amp;_xlfn.XMATCH("DD",Liste_rouge!A:A,2,1),"DD")</f>
        <v>DD</v>
      </c>
      <c r="AH5426" s="4" t="str">
        <f>HYPERLINK("#Statut_biogéographique!A"&amp;_xlfn.XMATCH("P",Statut_biogéographique!A:A,2,1),"P")</f>
        <v>P</v>
      </c>
      <c r="AP5426" s="4" t="s">
        <v>376</v>
      </c>
      <c r="AR5426" s="4" t="s">
        <v>377</v>
      </c>
    </row>
    <row r="5427" spans="1:44">
      <c r="A5427" s="4" t="s">
        <v>5</v>
      </c>
      <c r="B5427" s="4">
        <v>41589</v>
      </c>
      <c r="C5427" s="4">
        <v>1218</v>
      </c>
      <c r="D5427" s="5" t="s">
        <v>7906</v>
      </c>
      <c r="E5427" s="6" t="str">
        <f>HYPERLINK("https://inpn.mnhn.fr/espece/cd_nom/41589","Auriscalpium vulgare Gray, 1821")</f>
        <v>Auriscalpium vulgare Gray, 1821</v>
      </c>
      <c r="F5427" s="5" t="s">
        <v>7907</v>
      </c>
      <c r="V5427" s="7" t="str">
        <f>HYPERLINK("#Liste_rouge!A"&amp;_xlfn.XMATCH("LC",Liste_rouge!A:A,2,1),"LC")</f>
        <v>LC</v>
      </c>
      <c r="AH5427" s="4" t="str">
        <f>HYPERLINK("#Statut_biogéographique!A"&amp;_xlfn.XMATCH("P",Statut_biogéographique!A:A,2,1),"P")</f>
        <v>P</v>
      </c>
      <c r="AP5427" s="4" t="s">
        <v>376</v>
      </c>
      <c r="AR5427" s="4" t="s">
        <v>377</v>
      </c>
    </row>
    <row r="5428" spans="1:44" ht="30">
      <c r="A5428" s="4" t="s">
        <v>5</v>
      </c>
      <c r="B5428" s="4">
        <v>41593</v>
      </c>
      <c r="C5428" s="4">
        <v>2171</v>
      </c>
      <c r="D5428" s="5" t="s">
        <v>7908</v>
      </c>
      <c r="E5428" s="6" t="str">
        <f>HYPERLINK("https://inpn.mnhn.fr/espece/cd_nom/41593","Bankera fuligineoalba (J.C.Schmidt) Coker &amp; Beers ex Pouzar, 1955")</f>
        <v>Bankera fuligineoalba (J.C.Schmidt) Coker &amp; Beers ex Pouzar, 1955</v>
      </c>
      <c r="V5428" s="7" t="str">
        <f>HYPERLINK("#Liste_rouge!A"&amp;_xlfn.XMATCH("VU",Liste_rouge!A:A,2,1),"VU")</f>
        <v>VU</v>
      </c>
      <c r="W5428" s="4" t="str">
        <f>HYPERLINK("#Critères_liste_rouge!A$1","D2")</f>
        <v>D2</v>
      </c>
      <c r="Z5428" s="4" t="s">
        <v>695</v>
      </c>
      <c r="AA5428" s="4" t="s">
        <v>696</v>
      </c>
      <c r="AH5428" s="4" t="str">
        <f>HYPERLINK("#Statut_biogéographique!A"&amp;_xlfn.XMATCH("P",Statut_biogéographique!A:A,2,1),"P")</f>
        <v>P</v>
      </c>
      <c r="AP5428" s="4" t="s">
        <v>376</v>
      </c>
      <c r="AR5428" s="4" t="s">
        <v>377</v>
      </c>
    </row>
    <row r="5429" spans="1:44" ht="60">
      <c r="A5429" s="4" t="s">
        <v>5</v>
      </c>
      <c r="B5429" s="4">
        <v>41622</v>
      </c>
      <c r="C5429" s="4">
        <v>187</v>
      </c>
      <c r="D5429" s="5" t="s">
        <v>7909</v>
      </c>
      <c r="E5429" s="6" t="str">
        <f>HYPERLINK("https://inpn.mnhn.fr/espece/cd_nom/41622","Bjerkandera adusta (Willd.) P.Karst., 1879")</f>
        <v>Bjerkandera adusta (Willd.) P.Karst., 1879</v>
      </c>
      <c r="F5429" s="5" t="s">
        <v>7910</v>
      </c>
      <c r="V5429" s="7" t="str">
        <f>HYPERLINK("#Liste_rouge!A"&amp;_xlfn.XMATCH("LC",Liste_rouge!A:A,2,1),"LC")</f>
        <v>LC</v>
      </c>
      <c r="AH5429" s="4" t="str">
        <f>HYPERLINK("#Statut_biogéographique!A"&amp;_xlfn.XMATCH("P",Statut_biogéographique!A:A,2,1),"P")</f>
        <v>P</v>
      </c>
      <c r="AP5429" s="4" t="s">
        <v>376</v>
      </c>
      <c r="AR5429" s="4" t="s">
        <v>377</v>
      </c>
    </row>
    <row r="5430" spans="1:44" ht="60">
      <c r="A5430" s="4" t="s">
        <v>5</v>
      </c>
      <c r="B5430" s="4">
        <v>41630</v>
      </c>
      <c r="C5430" s="4">
        <v>1287</v>
      </c>
      <c r="D5430" s="5" t="s">
        <v>7911</v>
      </c>
      <c r="E5430" s="6" t="str">
        <f>HYPERLINK("https://inpn.mnhn.fr/espece/cd_nom/41630","Bjerkandera fumosa (Pers.) P.Karst., 1879")</f>
        <v>Bjerkandera fumosa (Pers.) P.Karst., 1879</v>
      </c>
      <c r="F5430" s="5" t="s">
        <v>7912</v>
      </c>
      <c r="V5430" s="7" t="str">
        <f>HYPERLINK("#Liste_rouge!A"&amp;_xlfn.XMATCH("NT",Liste_rouge!A:A,2,1),"NT")</f>
        <v>NT</v>
      </c>
      <c r="W5430" s="4" t="str">
        <f>HYPERLINK("#Critères_liste_rouge!A$1","pr. B2abiii")</f>
        <v>pr. B2abiii</v>
      </c>
      <c r="Z5430" s="4" t="s">
        <v>447</v>
      </c>
      <c r="AA5430" s="4" t="s">
        <v>448</v>
      </c>
      <c r="AH5430" s="4" t="str">
        <f>HYPERLINK("#Statut_biogéographique!A"&amp;_xlfn.XMATCH("P",Statut_biogéographique!A:A,2,1),"P")</f>
        <v>P</v>
      </c>
      <c r="AP5430" s="4" t="s">
        <v>376</v>
      </c>
      <c r="AR5430" s="4" t="s">
        <v>377</v>
      </c>
    </row>
    <row r="5431" spans="1:44" ht="30">
      <c r="A5431" s="4" t="s">
        <v>5</v>
      </c>
      <c r="B5431" s="4">
        <v>41637</v>
      </c>
      <c r="C5431" s="4">
        <v>3533</v>
      </c>
      <c r="D5431" s="5" t="s">
        <v>7913</v>
      </c>
      <c r="E5431" s="6" t="str">
        <f>HYPERLINK("https://inpn.mnhn.fr/espece/cd_nom/41637","Boidinia furfuracea (Bres.) Stalpers &amp; Hjortstam, 1982")</f>
        <v>Boidinia furfuracea (Bres.) Stalpers &amp; Hjortstam, 1982</v>
      </c>
      <c r="V5431" s="7" t="str">
        <f>HYPERLINK("#Liste_rouge!A"&amp;_xlfn.XMATCH("DD",Liste_rouge!A:A,2,1),"DD")</f>
        <v>DD</v>
      </c>
      <c r="AH5431" s="4" t="str">
        <f>HYPERLINK("#Statut_biogéographique!A"&amp;_xlfn.XMATCH("P",Statut_biogéographique!A:A,2,1),"P")</f>
        <v>P</v>
      </c>
      <c r="AP5431" s="4" t="s">
        <v>376</v>
      </c>
      <c r="AR5431" s="4" t="s">
        <v>377</v>
      </c>
    </row>
    <row r="5432" spans="1:44" ht="30">
      <c r="A5432" s="4" t="s">
        <v>5</v>
      </c>
      <c r="B5432" s="4">
        <v>41645</v>
      </c>
      <c r="D5432" s="5" t="s">
        <v>7914</v>
      </c>
      <c r="E5432" s="6" t="str">
        <f>HYPERLINK("https://inpn.mnhn.fr/espece/cd_nom/41645","Boletopsis subsquamosa (L.) Kotl. &amp; Pouzar, 1957")</f>
        <v>Boletopsis subsquamosa (L.) Kotl. &amp; Pouzar, 1957</v>
      </c>
      <c r="AH5432" s="4" t="str">
        <f>HYPERLINK("#Statut_biogéographique!A"&amp;_xlfn.XMATCH("P",Statut_biogéographique!A:A,2,1),"P")</f>
        <v>P</v>
      </c>
      <c r="AP5432" s="4" t="s">
        <v>376</v>
      </c>
      <c r="AR5432" s="4" t="s">
        <v>377</v>
      </c>
    </row>
    <row r="5433" spans="1:44" ht="30">
      <c r="A5433" s="4" t="s">
        <v>5</v>
      </c>
      <c r="B5433" s="4">
        <v>41649</v>
      </c>
      <c r="C5433" s="4">
        <v>825</v>
      </c>
      <c r="D5433" s="5" t="s">
        <v>7915</v>
      </c>
      <c r="E5433" s="6" t="str">
        <f>HYPERLINK("https://inpn.mnhn.fr/espece/cd_nom/41649","Bondarzewia mesenterica (Schaeff.) Kreisel, 1984")</f>
        <v>Bondarzewia mesenterica (Schaeff.) Kreisel, 1984</v>
      </c>
      <c r="F5433" s="5" t="s">
        <v>7916</v>
      </c>
      <c r="V5433" s="7" t="str">
        <f>HYPERLINK("#Liste_rouge!A"&amp;_xlfn.XMATCH("LC",Liste_rouge!A:A,2,1),"LC")</f>
        <v>LC</v>
      </c>
      <c r="Z5433" s="4" t="s">
        <v>447</v>
      </c>
      <c r="AA5433" s="4" t="s">
        <v>448</v>
      </c>
      <c r="AH5433" s="4" t="str">
        <f>HYPERLINK("#Statut_biogéographique!A"&amp;_xlfn.XMATCH("P",Statut_biogéographique!A:A,2,1),"P")</f>
        <v>P</v>
      </c>
      <c r="AP5433" s="4" t="s">
        <v>376</v>
      </c>
      <c r="AR5433" s="4" t="s">
        <v>377</v>
      </c>
    </row>
    <row r="5434" spans="1:44" ht="30">
      <c r="A5434" s="4" t="s">
        <v>5</v>
      </c>
      <c r="B5434" s="4">
        <v>41660</v>
      </c>
      <c r="C5434" s="4">
        <v>5300</v>
      </c>
      <c r="D5434" s="5" t="s">
        <v>7917</v>
      </c>
      <c r="E5434" s="6" t="str">
        <f>HYPERLINK("https://inpn.mnhn.fr/espece/cd_nom/41660","Botryobasidium aureum Parmasto, 1965")</f>
        <v>Botryobasidium aureum Parmasto, 1965</v>
      </c>
      <c r="V5434" s="7" t="str">
        <f>HYPERLINK("#Liste_rouge!A"&amp;_xlfn.XMATCH("DD",Liste_rouge!A:A,2,1),"DD")</f>
        <v>DD</v>
      </c>
      <c r="AH5434" s="4" t="str">
        <f>HYPERLINK("#Statut_biogéographique!A"&amp;_xlfn.XMATCH("P",Statut_biogéographique!A:A,2,1),"P")</f>
        <v>P</v>
      </c>
      <c r="AP5434" s="4" t="s">
        <v>376</v>
      </c>
      <c r="AR5434" s="4" t="s">
        <v>377</v>
      </c>
    </row>
    <row r="5435" spans="1:44" ht="30">
      <c r="A5435" s="4" t="s">
        <v>5</v>
      </c>
      <c r="B5435" s="4">
        <v>41661</v>
      </c>
      <c r="C5435" s="4">
        <v>7113</v>
      </c>
      <c r="D5435" s="5" t="s">
        <v>7918</v>
      </c>
      <c r="E5435" s="6" t="str">
        <f>HYPERLINK("https://inpn.mnhn.fr/espece/cd_nom/41661","Botryobasidium botryosum (Bres.) J.Erikss., 1958")</f>
        <v>Botryobasidium botryosum (Bres.) J.Erikss., 1958</v>
      </c>
      <c r="V5435" s="7" t="str">
        <f>HYPERLINK("#Liste_rouge!A"&amp;_xlfn.XMATCH("DD",Liste_rouge!A:A,2,1),"DD")</f>
        <v>DD</v>
      </c>
      <c r="AH5435" s="4" t="str">
        <f>HYPERLINK("#Statut_biogéographique!A"&amp;_xlfn.XMATCH("P",Statut_biogéographique!A:A,2,1),"P")</f>
        <v>P</v>
      </c>
      <c r="AP5435" s="4" t="s">
        <v>376</v>
      </c>
      <c r="AR5435" s="4" t="s">
        <v>377</v>
      </c>
    </row>
    <row r="5436" spans="1:44" ht="30">
      <c r="A5436" s="4" t="s">
        <v>5</v>
      </c>
      <c r="B5436" s="4">
        <v>41662</v>
      </c>
      <c r="C5436" s="4">
        <v>7113</v>
      </c>
      <c r="D5436" s="5" t="s">
        <v>7919</v>
      </c>
      <c r="E5436" s="6" t="str">
        <f>HYPERLINK("https://inpn.mnhn.fr/espece/cd_nom/41662","Botryobasidium botryosum (Bres.) J.Erikss., 1958")</f>
        <v>Botryobasidium botryosum (Bres.) J.Erikss., 1958</v>
      </c>
      <c r="V5436" s="7" t="str">
        <f>HYPERLINK("#Liste_rouge!A"&amp;_xlfn.XMATCH("DD",Liste_rouge!A:A,2,1),"DD")</f>
        <v>DD</v>
      </c>
      <c r="AH5436" s="4" t="str">
        <f>HYPERLINK("#Statut_biogéographique!A"&amp;_xlfn.XMATCH("P",Statut_biogéographique!A:A,2,1),"P")</f>
        <v>P</v>
      </c>
      <c r="AP5436" s="4" t="s">
        <v>376</v>
      </c>
      <c r="AR5436" s="4" t="s">
        <v>377</v>
      </c>
    </row>
    <row r="5437" spans="1:44">
      <c r="A5437" s="4" t="s">
        <v>5</v>
      </c>
      <c r="B5437" s="4">
        <v>41666</v>
      </c>
      <c r="C5437" s="4">
        <v>6524</v>
      </c>
      <c r="D5437" s="5" t="s">
        <v>7920</v>
      </c>
      <c r="E5437" s="6" t="str">
        <f>HYPERLINK("https://inpn.mnhn.fr/espece/cd_nom/41666","Botryobasidium conspersum J.Erikss., 1958")</f>
        <v>Botryobasidium conspersum J.Erikss., 1958</v>
      </c>
      <c r="AH5437" s="4" t="str">
        <f>HYPERLINK("#Statut_biogéographique!A"&amp;_xlfn.XMATCH("P",Statut_biogéographique!A:A,2,1),"P")</f>
        <v>P</v>
      </c>
      <c r="AP5437" s="4" t="s">
        <v>376</v>
      </c>
      <c r="AR5437" s="4" t="s">
        <v>377</v>
      </c>
    </row>
    <row r="5438" spans="1:44" ht="30">
      <c r="A5438" s="4" t="s">
        <v>5</v>
      </c>
      <c r="B5438" s="4">
        <v>41667</v>
      </c>
      <c r="C5438" s="4">
        <v>6726</v>
      </c>
      <c r="D5438" s="5" t="s">
        <v>7921</v>
      </c>
      <c r="E5438" s="6" t="str">
        <f>HYPERLINK("https://inpn.mnhn.fr/espece/cd_nom/41667","Botryobasidium danicum J.Erikss. &amp; Hjortstam, 1969")</f>
        <v>Botryobasidium danicum J.Erikss. &amp; Hjortstam, 1969</v>
      </c>
      <c r="AH5438" s="4" t="str">
        <f>HYPERLINK("#Statut_biogéographique!A"&amp;_xlfn.XMATCH("P",Statut_biogéographique!A:A,2,1),"P")</f>
        <v>P</v>
      </c>
      <c r="AP5438" s="4" t="s">
        <v>376</v>
      </c>
      <c r="AR5438" s="4" t="s">
        <v>377</v>
      </c>
    </row>
    <row r="5439" spans="1:44" ht="30">
      <c r="A5439" s="4" t="s">
        <v>5</v>
      </c>
      <c r="B5439" s="4">
        <v>41673</v>
      </c>
      <c r="C5439" s="4">
        <v>5962</v>
      </c>
      <c r="D5439" s="5" t="s">
        <v>7922</v>
      </c>
      <c r="E5439" s="6" t="str">
        <f>HYPERLINK("https://inpn.mnhn.fr/espece/cd_nom/41673","Botryobasidium laeve (J.Erikss.) Parmasto, 1965")</f>
        <v>Botryobasidium laeve (J.Erikss.) Parmasto, 1965</v>
      </c>
      <c r="AH5439" s="4" t="str">
        <f>HYPERLINK("#Statut_biogéographique!A"&amp;_xlfn.XMATCH("P",Statut_biogéographique!A:A,2,1),"P")</f>
        <v>P</v>
      </c>
      <c r="AP5439" s="4" t="s">
        <v>376</v>
      </c>
      <c r="AR5439" s="4" t="s">
        <v>377</v>
      </c>
    </row>
    <row r="5440" spans="1:44">
      <c r="A5440" s="4" t="s">
        <v>5</v>
      </c>
      <c r="B5440" s="4">
        <v>41675</v>
      </c>
      <c r="C5440" s="4">
        <v>6227</v>
      </c>
      <c r="D5440" s="5" t="s">
        <v>7923</v>
      </c>
      <c r="E5440" s="6" t="str">
        <f>HYPERLINK("https://inpn.mnhn.fr/espece/cd_nom/41675","Botryobasidium medium J.Erikss., 1958")</f>
        <v>Botryobasidium medium J.Erikss., 1958</v>
      </c>
      <c r="AH5440" s="4" t="str">
        <f>HYPERLINK("#Statut_biogéographique!A"&amp;_xlfn.XMATCH("P",Statut_biogéographique!A:A,2,1),"P")</f>
        <v>P</v>
      </c>
      <c r="AP5440" s="4" t="s">
        <v>376</v>
      </c>
      <c r="AR5440" s="4" t="s">
        <v>377</v>
      </c>
    </row>
    <row r="5441" spans="1:44">
      <c r="A5441" s="4" t="s">
        <v>5</v>
      </c>
      <c r="B5441" s="4">
        <v>41676</v>
      </c>
      <c r="C5441" s="4">
        <v>6548</v>
      </c>
      <c r="D5441" s="5" t="s">
        <v>7924</v>
      </c>
      <c r="E5441" s="6" t="str">
        <f>HYPERLINK("https://inpn.mnhn.fr/espece/cd_nom/41676","Botryobasidium obtusisporum J.Erikss., 1958")</f>
        <v>Botryobasidium obtusisporum J.Erikss., 1958</v>
      </c>
      <c r="AH5441" s="4" t="str">
        <f>HYPERLINK("#Statut_biogéographique!A"&amp;_xlfn.XMATCH("P",Statut_biogéographique!A:A,2,1),"P")</f>
        <v>P</v>
      </c>
      <c r="AP5441" s="4" t="s">
        <v>376</v>
      </c>
      <c r="AR5441" s="4" t="s">
        <v>377</v>
      </c>
    </row>
    <row r="5442" spans="1:44" ht="30">
      <c r="A5442" s="4" t="s">
        <v>5</v>
      </c>
      <c r="B5442" s="4">
        <v>41683</v>
      </c>
      <c r="C5442" s="4">
        <v>3183</v>
      </c>
      <c r="D5442" s="5" t="s">
        <v>7925</v>
      </c>
      <c r="E5442" s="6" t="str">
        <f>HYPERLINK("https://inpn.mnhn.fr/espece/cd_nom/41683","Botryobasidium subcoronatum (Höhn. &amp; Litsch.) Donk, 1931")</f>
        <v>Botryobasidium subcoronatum (Höhn. &amp; Litsch.) Donk, 1931</v>
      </c>
      <c r="V5442" s="7" t="str">
        <f>HYPERLINK("#Liste_rouge!A"&amp;_xlfn.XMATCH("DD",Liste_rouge!A:A,2,1),"DD")</f>
        <v>DD</v>
      </c>
      <c r="AH5442" s="4" t="str">
        <f>HYPERLINK("#Statut_biogéographique!A"&amp;_xlfn.XMATCH("P",Statut_biogéographique!A:A,2,1),"P")</f>
        <v>P</v>
      </c>
      <c r="AP5442" s="4" t="s">
        <v>376</v>
      </c>
      <c r="AR5442" s="4" t="s">
        <v>377</v>
      </c>
    </row>
    <row r="5443" spans="1:44" ht="30">
      <c r="A5443" s="4" t="s">
        <v>5</v>
      </c>
      <c r="B5443" s="4">
        <v>41696</v>
      </c>
      <c r="C5443" s="4">
        <v>3537</v>
      </c>
      <c r="D5443" s="5" t="s">
        <v>7926</v>
      </c>
      <c r="E5443" s="6" t="str">
        <f>HYPERLINK("https://inpn.mnhn.fr/espece/cd_nom/41696","Brevicellicium olivascens (Bres.) K.H.Larss. &amp; Hjortstam, 1978")</f>
        <v>Brevicellicium olivascens (Bres.) K.H.Larss. &amp; Hjortstam, 1978</v>
      </c>
      <c r="V5443" s="7" t="str">
        <f>HYPERLINK("#Liste_rouge!A"&amp;_xlfn.XMATCH("DD",Liste_rouge!A:A,2,1),"DD")</f>
        <v>DD</v>
      </c>
      <c r="AH5443" s="4" t="str">
        <f>HYPERLINK("#Statut_biogéographique!A"&amp;_xlfn.XMATCH("P",Statut_biogéographique!A:A,2,1),"P")</f>
        <v>P</v>
      </c>
      <c r="AP5443" s="4" t="s">
        <v>376</v>
      </c>
      <c r="AR5443" s="4" t="s">
        <v>377</v>
      </c>
    </row>
    <row r="5444" spans="1:44" ht="30">
      <c r="A5444" s="4" t="s">
        <v>5</v>
      </c>
      <c r="B5444" s="4">
        <v>41706</v>
      </c>
      <c r="C5444" s="4">
        <v>1970</v>
      </c>
      <c r="D5444" s="5" t="s">
        <v>7927</v>
      </c>
      <c r="E5444" s="6" t="str">
        <f>HYPERLINK("https://inpn.mnhn.fr/espece/cd_nom/41706","Bulbillomyces farinosus (Bres.) Jülich, 1974")</f>
        <v>Bulbillomyces farinosus (Bres.) Jülich, 1974</v>
      </c>
      <c r="V5444" s="7" t="str">
        <f>HYPERLINK("#Liste_rouge!A"&amp;_xlfn.XMATCH("LC",Liste_rouge!A:A,2,1),"LC")</f>
        <v>LC</v>
      </c>
      <c r="AH5444" s="4" t="str">
        <f>HYPERLINK("#Statut_biogéographique!A"&amp;_xlfn.XMATCH("P",Statut_biogéographique!A:A,2,1),"P")</f>
        <v>P</v>
      </c>
      <c r="AP5444" s="4" t="s">
        <v>376</v>
      </c>
      <c r="AR5444" s="4" t="s">
        <v>377</v>
      </c>
    </row>
    <row r="5445" spans="1:44" ht="30">
      <c r="A5445" s="4" t="s">
        <v>5</v>
      </c>
      <c r="B5445" s="4">
        <v>41712</v>
      </c>
      <c r="C5445" s="4">
        <v>2899</v>
      </c>
      <c r="D5445" s="5" t="s">
        <v>7928</v>
      </c>
      <c r="E5445" s="6" t="str">
        <f>HYPERLINK("https://inpn.mnhn.fr/espece/cd_nom/41712","Byssocorticium atrovirens (Fr.) Bondartsev &amp; Singer, 1944")</f>
        <v>Byssocorticium atrovirens (Fr.) Bondartsev &amp; Singer, 1944</v>
      </c>
      <c r="V5445" s="7" t="str">
        <f>HYPERLINK("#Liste_rouge!A"&amp;_xlfn.XMATCH("DD",Liste_rouge!A:A,2,1),"DD")</f>
        <v>DD</v>
      </c>
      <c r="AH5445" s="4" t="str">
        <f>HYPERLINK("#Statut_biogéographique!A"&amp;_xlfn.XMATCH("P",Statut_biogéographique!A:A,2,1),"P")</f>
        <v>P</v>
      </c>
      <c r="AP5445" s="4" t="s">
        <v>376</v>
      </c>
      <c r="AR5445" s="4" t="s">
        <v>377</v>
      </c>
    </row>
    <row r="5446" spans="1:44" ht="30">
      <c r="A5446" s="4" t="s">
        <v>5</v>
      </c>
      <c r="B5446" s="4">
        <v>41713</v>
      </c>
      <c r="C5446" s="4">
        <v>4527</v>
      </c>
      <c r="D5446" s="5" t="s">
        <v>7929</v>
      </c>
      <c r="E5446" s="6" t="str">
        <f>HYPERLINK("https://inpn.mnhn.fr/espece/cd_nom/41713","Byssocorticium pulchrum (S.Lundell) M.P.Christ., 1960")</f>
        <v>Byssocorticium pulchrum (S.Lundell) M.P.Christ., 1960</v>
      </c>
      <c r="V5446" s="7" t="str">
        <f>HYPERLINK("#Liste_rouge!A"&amp;_xlfn.XMATCH("DD",Liste_rouge!A:A,2,1),"DD")</f>
        <v>DD</v>
      </c>
      <c r="AH5446" s="4" t="str">
        <f>HYPERLINK("#Statut_biogéographique!A"&amp;_xlfn.XMATCH("P",Statut_biogéographique!A:A,2,1),"P")</f>
        <v>P</v>
      </c>
      <c r="AP5446" s="4" t="s">
        <v>376</v>
      </c>
      <c r="AR5446" s="4" t="s">
        <v>377</v>
      </c>
    </row>
    <row r="5447" spans="1:44" ht="30">
      <c r="A5447" s="4" t="s">
        <v>5</v>
      </c>
      <c r="B5447" s="4">
        <v>41741</v>
      </c>
      <c r="C5447" s="4">
        <v>6413</v>
      </c>
      <c r="D5447" s="5" t="s">
        <v>7930</v>
      </c>
      <c r="E5447" s="6" t="str">
        <f>HYPERLINK("https://inpn.mnhn.fr/espece/cd_nom/41741","Calathella eruciformis (P.Micheli ex Batsch) D.A.Reid, 1964")</f>
        <v>Calathella eruciformis (P.Micheli ex Batsch) D.A.Reid, 1964</v>
      </c>
      <c r="AH5447" s="4" t="str">
        <f>HYPERLINK("#Statut_biogéographique!A"&amp;_xlfn.XMATCH("P",Statut_biogéographique!A:A,2,1),"P")</f>
        <v>P</v>
      </c>
      <c r="AP5447" s="4" t="s">
        <v>376</v>
      </c>
      <c r="AR5447" s="4" t="s">
        <v>377</v>
      </c>
    </row>
    <row r="5448" spans="1:44" ht="30">
      <c r="A5448" s="4" t="s">
        <v>5</v>
      </c>
      <c r="B5448" s="4">
        <v>41746</v>
      </c>
      <c r="C5448" s="4">
        <v>4723</v>
      </c>
      <c r="D5448" s="5" t="s">
        <v>7931</v>
      </c>
      <c r="E5448" s="6" t="str">
        <f>HYPERLINK("https://inpn.mnhn.fr/espece/cd_nom/41746","Calocera cornea (Batsch) Fr., 1827")</f>
        <v>Calocera cornea (Batsch) Fr., 1827</v>
      </c>
      <c r="F5448" s="5" t="s">
        <v>7932</v>
      </c>
      <c r="V5448" s="7" t="str">
        <f>HYPERLINK("#Liste_rouge!A"&amp;_xlfn.XMATCH("LC",Liste_rouge!A:A,2,1),"LC")</f>
        <v>LC</v>
      </c>
      <c r="AH5448" s="4" t="str">
        <f>HYPERLINK("#Statut_biogéographique!A"&amp;_xlfn.XMATCH("P",Statut_biogéographique!A:A,2,1),"P")</f>
        <v>P</v>
      </c>
      <c r="AP5448" s="4" t="s">
        <v>376</v>
      </c>
      <c r="AR5448" s="4" t="s">
        <v>377</v>
      </c>
    </row>
    <row r="5449" spans="1:44">
      <c r="A5449" s="4" t="s">
        <v>5</v>
      </c>
      <c r="B5449" s="4">
        <v>41751</v>
      </c>
      <c r="C5449" s="4">
        <v>801</v>
      </c>
      <c r="D5449" s="5" t="s">
        <v>7933</v>
      </c>
      <c r="E5449" s="6" t="str">
        <f>HYPERLINK("https://inpn.mnhn.fr/espece/cd_nom/41751","Calocera glossoides (Pers.) Fr., 1827")</f>
        <v>Calocera glossoides (Pers.) Fr., 1827</v>
      </c>
      <c r="V5449" s="7" t="str">
        <f>HYPERLINK("#Liste_rouge!A"&amp;_xlfn.XMATCH("DD",Liste_rouge!A:A,2,1),"DD")</f>
        <v>DD</v>
      </c>
      <c r="Z5449" s="4" t="s">
        <v>443</v>
      </c>
      <c r="AA5449" s="4" t="s">
        <v>444</v>
      </c>
      <c r="AH5449" s="4" t="str">
        <f>HYPERLINK("#Statut_biogéographique!A"&amp;_xlfn.XMATCH("P",Statut_biogéographique!A:A,2,1),"P")</f>
        <v>P</v>
      </c>
      <c r="AP5449" s="4" t="s">
        <v>376</v>
      </c>
      <c r="AR5449" s="4" t="s">
        <v>377</v>
      </c>
    </row>
    <row r="5450" spans="1:44" ht="30">
      <c r="A5450" s="4" t="s">
        <v>5</v>
      </c>
      <c r="B5450" s="4">
        <v>41755</v>
      </c>
      <c r="C5450" s="4">
        <v>362</v>
      </c>
      <c r="D5450" s="5" t="s">
        <v>7934</v>
      </c>
      <c r="E5450" s="6" t="str">
        <f>HYPERLINK("https://inpn.mnhn.fr/espece/cd_nom/41755","Calocera viscosa (Pers.) Fr., 1821")</f>
        <v>Calocera viscosa (Pers.) Fr., 1821</v>
      </c>
      <c r="F5450" s="5" t="s">
        <v>7935</v>
      </c>
      <c r="V5450" s="7" t="str">
        <f>HYPERLINK("#Liste_rouge!A"&amp;_xlfn.XMATCH("LC",Liste_rouge!A:A,2,1),"LC")</f>
        <v>LC</v>
      </c>
      <c r="AH5450" s="4" t="str">
        <f>HYPERLINK("#Statut_biogéographique!A"&amp;_xlfn.XMATCH("P",Statut_biogéographique!A:A,2,1),"P")</f>
        <v>P</v>
      </c>
      <c r="AP5450" s="4" t="s">
        <v>376</v>
      </c>
      <c r="AR5450" s="4" t="s">
        <v>377</v>
      </c>
    </row>
    <row r="5451" spans="1:44" ht="30">
      <c r="A5451" s="4" t="s">
        <v>5</v>
      </c>
      <c r="B5451" s="4">
        <v>41759</v>
      </c>
      <c r="C5451" s="4">
        <v>3864</v>
      </c>
      <c r="D5451" s="5" t="s">
        <v>7936</v>
      </c>
      <c r="E5451" s="6" t="str">
        <f>HYPERLINK("https://inpn.mnhn.fr/espece/cd_nom/41759","Calyptella campanula (Nees) W.B.Cooke, 1961")</f>
        <v>Calyptella campanula (Nees) W.B.Cooke, 1961</v>
      </c>
      <c r="V5451" s="7" t="str">
        <f>HYPERLINK("#Liste_rouge!A"&amp;_xlfn.XMATCH("DD",Liste_rouge!A:A,2,1),"DD")</f>
        <v>DD</v>
      </c>
      <c r="AH5451" s="4" t="str">
        <f>HYPERLINK("#Statut_biogéographique!A"&amp;_xlfn.XMATCH("P",Statut_biogéographique!A:A,2,1),"P")</f>
        <v>P</v>
      </c>
      <c r="AP5451" s="4" t="s">
        <v>376</v>
      </c>
      <c r="AR5451" s="4" t="s">
        <v>377</v>
      </c>
    </row>
    <row r="5452" spans="1:44">
      <c r="A5452" s="4" t="s">
        <v>5</v>
      </c>
      <c r="B5452" s="4">
        <v>41770</v>
      </c>
      <c r="C5452" s="4">
        <v>6909</v>
      </c>
      <c r="D5452" s="5" t="s">
        <v>7937</v>
      </c>
      <c r="E5452" s="6" t="str">
        <f>HYPERLINK("https://inpn.mnhn.fr/espece/cd_nom/41770","Didymosphaeria conoidea Niessl, 1875")</f>
        <v>Didymosphaeria conoidea Niessl, 1875</v>
      </c>
      <c r="AH5452" s="4" t="str">
        <f>HYPERLINK("#Statut_biogéographique!A"&amp;_xlfn.XMATCH("P",Statut_biogéographique!A:A,2,1),"P")</f>
        <v>P</v>
      </c>
      <c r="AP5452" s="4" t="s">
        <v>376</v>
      </c>
      <c r="AR5452" s="4" t="s">
        <v>377</v>
      </c>
    </row>
    <row r="5453" spans="1:44">
      <c r="A5453" s="4" t="s">
        <v>5</v>
      </c>
      <c r="B5453" s="4">
        <v>41826</v>
      </c>
      <c r="C5453" s="4">
        <v>698</v>
      </c>
      <c r="D5453" s="5" t="s">
        <v>7938</v>
      </c>
      <c r="E5453" s="6" t="str">
        <f>HYPERLINK("https://inpn.mnhn.fr/espece/cd_nom/41826","Cellypha goldbachii (Weinm.) Donk, 1959")</f>
        <v>Cellypha goldbachii (Weinm.) Donk, 1959</v>
      </c>
      <c r="V5453" s="7" t="str">
        <f>HYPERLINK("#Liste_rouge!A"&amp;_xlfn.XMATCH("DD",Liste_rouge!A:A,2,1),"DD")</f>
        <v>DD</v>
      </c>
      <c r="AH5453" s="4" t="str">
        <f>HYPERLINK("#Statut_biogéographique!A"&amp;_xlfn.XMATCH("P",Statut_biogéographique!A:A,2,1),"P")</f>
        <v>P</v>
      </c>
      <c r="AP5453" s="4" t="s">
        <v>376</v>
      </c>
      <c r="AR5453" s="4" t="s">
        <v>377</v>
      </c>
    </row>
    <row r="5454" spans="1:44">
      <c r="A5454" s="4" t="s">
        <v>5</v>
      </c>
      <c r="B5454" s="4">
        <v>41854</v>
      </c>
      <c r="C5454" s="4">
        <v>2916</v>
      </c>
      <c r="D5454" s="5" t="s">
        <v>7939</v>
      </c>
      <c r="E5454" s="6" t="str">
        <f>HYPERLINK("https://inpn.mnhn.fr/espece/cd_nom/41854","Ceraceomyces sublaevis (Bres.) Jülich, 1972")</f>
        <v>Ceraceomyces sublaevis (Bres.) Jülich, 1972</v>
      </c>
      <c r="V5454" s="7" t="str">
        <f>HYPERLINK("#Liste_rouge!A"&amp;_xlfn.XMATCH("DD",Liste_rouge!A:A,2,1),"DD")</f>
        <v>DD</v>
      </c>
      <c r="AH5454" s="4" t="str">
        <f>HYPERLINK("#Statut_biogéographique!A"&amp;_xlfn.XMATCH("P",Statut_biogéographique!A:A,2,1),"P")</f>
        <v>P</v>
      </c>
      <c r="AP5454" s="4" t="s">
        <v>376</v>
      </c>
      <c r="AR5454" s="4" t="s">
        <v>377</v>
      </c>
    </row>
    <row r="5455" spans="1:44">
      <c r="A5455" s="4" t="s">
        <v>5</v>
      </c>
      <c r="B5455" s="4">
        <v>41862</v>
      </c>
      <c r="C5455" s="4">
        <v>6904</v>
      </c>
      <c r="D5455" s="5" t="s">
        <v>7940</v>
      </c>
      <c r="E5455" s="6" t="str">
        <f>HYPERLINK("https://inpn.mnhn.fr/espece/cd_nom/41862","Ceraceomyces tessulatus (Cooke) Jülich, 1972")</f>
        <v>Ceraceomyces tessulatus (Cooke) Jülich, 1972</v>
      </c>
      <c r="AH5455" s="4" t="str">
        <f>HYPERLINK("#Statut_biogéographique!A"&amp;_xlfn.XMATCH("P",Statut_biogéographique!A:A,2,1),"P")</f>
        <v>P</v>
      </c>
      <c r="AP5455" s="4" t="s">
        <v>376</v>
      </c>
      <c r="AR5455" s="4" t="s">
        <v>377</v>
      </c>
    </row>
    <row r="5456" spans="1:44">
      <c r="A5456" s="4" t="s">
        <v>5</v>
      </c>
      <c r="B5456" s="4">
        <v>41883</v>
      </c>
      <c r="C5456" s="4">
        <v>2695</v>
      </c>
      <c r="D5456" s="5" t="s">
        <v>7941</v>
      </c>
      <c r="E5456" s="6" t="str">
        <f>HYPERLINK("https://inpn.mnhn.fr/espece/cd_nom/41883","Ceriporia excelsa Parmasto, 1959")</f>
        <v>Ceriporia excelsa Parmasto, 1959</v>
      </c>
      <c r="V5456" s="7" t="str">
        <f>HYPERLINK("#Liste_rouge!A"&amp;_xlfn.XMATCH("DD",Liste_rouge!A:A,2,1),"DD")</f>
        <v>DD</v>
      </c>
      <c r="Z5456" s="4" t="s">
        <v>443</v>
      </c>
      <c r="AA5456" s="4" t="s">
        <v>444</v>
      </c>
      <c r="AH5456" s="4" t="str">
        <f>HYPERLINK("#Statut_biogéographique!A"&amp;_xlfn.XMATCH("P",Statut_biogéographique!A:A,2,1),"P")</f>
        <v>P</v>
      </c>
      <c r="AP5456" s="4" t="s">
        <v>376</v>
      </c>
      <c r="AR5456" s="4" t="s">
        <v>377</v>
      </c>
    </row>
    <row r="5457" spans="1:44" ht="30">
      <c r="A5457" s="4" t="s">
        <v>5</v>
      </c>
      <c r="B5457" s="4">
        <v>41886</v>
      </c>
      <c r="C5457" s="4">
        <v>2696</v>
      </c>
      <c r="D5457" s="5" t="s">
        <v>7942</v>
      </c>
      <c r="E5457" s="6" t="str">
        <f>HYPERLINK("https://inpn.mnhn.fr/espece/cd_nom/41886","Ceriporia purpurea (Fr.) Donk, 1971")</f>
        <v>Ceriporia purpurea (Fr.) Donk, 1971</v>
      </c>
      <c r="V5457" s="7" t="str">
        <f>HYPERLINK("#Liste_rouge!A"&amp;_xlfn.XMATCH("DD",Liste_rouge!A:A,2,1),"DD")</f>
        <v>DD</v>
      </c>
      <c r="Z5457" s="4" t="s">
        <v>443</v>
      </c>
      <c r="AA5457" s="4" t="s">
        <v>444</v>
      </c>
      <c r="AH5457" s="4" t="str">
        <f>HYPERLINK("#Statut_biogéographique!A"&amp;_xlfn.XMATCH("P",Statut_biogéographique!A:A,2,1),"P")</f>
        <v>P</v>
      </c>
      <c r="AP5457" s="4" t="s">
        <v>376</v>
      </c>
      <c r="AR5457" s="4" t="s">
        <v>377</v>
      </c>
    </row>
    <row r="5458" spans="1:44" ht="30">
      <c r="A5458" s="4" t="s">
        <v>5</v>
      </c>
      <c r="B5458" s="4">
        <v>41891</v>
      </c>
      <c r="C5458" s="4">
        <v>2697</v>
      </c>
      <c r="D5458" s="5" t="s">
        <v>7943</v>
      </c>
      <c r="E5458" s="6" t="str">
        <f>HYPERLINK("https://inpn.mnhn.fr/espece/cd_nom/41891","Ceriporia reticulata (Hoffm.) Domański, 1963")</f>
        <v>Ceriporia reticulata (Hoffm.) Domański, 1963</v>
      </c>
      <c r="V5458" s="7" t="str">
        <f>HYPERLINK("#Liste_rouge!A"&amp;_xlfn.XMATCH("DD",Liste_rouge!A:A,2,1),"DD")</f>
        <v>DD</v>
      </c>
      <c r="Z5458" s="4" t="s">
        <v>447</v>
      </c>
      <c r="AA5458" s="4" t="s">
        <v>448</v>
      </c>
      <c r="AH5458" s="4" t="str">
        <f>HYPERLINK("#Statut_biogéographique!A"&amp;_xlfn.XMATCH("P",Statut_biogéographique!A:A,2,1),"P")</f>
        <v>P</v>
      </c>
      <c r="AP5458" s="4" t="s">
        <v>376</v>
      </c>
      <c r="AR5458" s="4" t="s">
        <v>377</v>
      </c>
    </row>
    <row r="5459" spans="1:44" ht="30">
      <c r="A5459" s="4" t="s">
        <v>5</v>
      </c>
      <c r="B5459" s="4">
        <v>41897</v>
      </c>
      <c r="C5459" s="4">
        <v>2698</v>
      </c>
      <c r="D5459" s="5" t="s">
        <v>7944</v>
      </c>
      <c r="E5459" s="6" t="str">
        <f>HYPERLINK("https://inpn.mnhn.fr/espece/cd_nom/41897","Ceriporia viridans (Berk. &amp; Broome) Donk, 1933")</f>
        <v>Ceriporia viridans (Berk. &amp; Broome) Donk, 1933</v>
      </c>
      <c r="V5459" s="7" t="str">
        <f>HYPERLINK("#Liste_rouge!A"&amp;_xlfn.XMATCH("DD",Liste_rouge!A:A,2,1),"DD")</f>
        <v>DD</v>
      </c>
      <c r="AH5459" s="4" t="str">
        <f>HYPERLINK("#Statut_biogéographique!A"&amp;_xlfn.XMATCH("P",Statut_biogéographique!A:A,2,1),"P")</f>
        <v>P</v>
      </c>
      <c r="AP5459" s="4" t="s">
        <v>376</v>
      </c>
      <c r="AR5459" s="4" t="s">
        <v>377</v>
      </c>
    </row>
    <row r="5460" spans="1:44" ht="30">
      <c r="A5460" s="4" t="s">
        <v>5</v>
      </c>
      <c r="B5460" s="4">
        <v>41902</v>
      </c>
      <c r="C5460" s="4">
        <v>4696</v>
      </c>
      <c r="D5460" s="5" t="s">
        <v>7945</v>
      </c>
      <c r="E5460" s="6" t="str">
        <f>HYPERLINK("https://inpn.mnhn.fr/espece/cd_nom/41902","Ceriporiopsis aneirina (Sommerf.) Domański, 1963")</f>
        <v>Ceriporiopsis aneirina (Sommerf.) Domański, 1963</v>
      </c>
      <c r="V5460" s="7" t="str">
        <f>HYPERLINK("#Liste_rouge!A"&amp;_xlfn.XMATCH("DD",Liste_rouge!A:A,2,1),"DD")</f>
        <v>DD</v>
      </c>
      <c r="Z5460" s="4" t="s">
        <v>443</v>
      </c>
      <c r="AA5460" s="4" t="s">
        <v>444</v>
      </c>
      <c r="AH5460" s="4" t="str">
        <f>HYPERLINK("#Statut_biogéographique!A"&amp;_xlfn.XMATCH("P",Statut_biogéographique!A:A,2,1),"P")</f>
        <v>P</v>
      </c>
      <c r="AP5460" s="4" t="s">
        <v>376</v>
      </c>
      <c r="AR5460" s="4" t="s">
        <v>377</v>
      </c>
    </row>
    <row r="5461" spans="1:44" ht="30">
      <c r="A5461" s="4" t="s">
        <v>5</v>
      </c>
      <c r="B5461" s="4">
        <v>41906</v>
      </c>
      <c r="C5461" s="4">
        <v>5123</v>
      </c>
      <c r="D5461" s="5" t="s">
        <v>7946</v>
      </c>
      <c r="E5461" s="6" t="str">
        <f>HYPERLINK("https://inpn.mnhn.fr/espece/cd_nom/41906","Ceriporiopsis gilvescens (Bres.) Domański, 1963")</f>
        <v>Ceriporiopsis gilvescens (Bres.) Domański, 1963</v>
      </c>
      <c r="V5461" s="7" t="str">
        <f>HYPERLINK("#Liste_rouge!A"&amp;_xlfn.XMATCH("DD",Liste_rouge!A:A,2,1),"DD")</f>
        <v>DD</v>
      </c>
      <c r="Z5461" s="4" t="s">
        <v>443</v>
      </c>
      <c r="AA5461" s="4" t="s">
        <v>444</v>
      </c>
      <c r="AH5461" s="4" t="str">
        <f>HYPERLINK("#Statut_biogéographique!A"&amp;_xlfn.XMATCH("P",Statut_biogéographique!A:A,2,1),"P")</f>
        <v>P</v>
      </c>
      <c r="AP5461" s="4" t="s">
        <v>376</v>
      </c>
      <c r="AR5461" s="4" t="s">
        <v>377</v>
      </c>
    </row>
    <row r="5462" spans="1:44" ht="30">
      <c r="A5462" s="4" t="s">
        <v>5</v>
      </c>
      <c r="B5462" s="4">
        <v>41915</v>
      </c>
      <c r="C5462" s="4">
        <v>6860</v>
      </c>
      <c r="D5462" s="5" t="s">
        <v>7947</v>
      </c>
      <c r="E5462" s="6" t="str">
        <f>HYPERLINK("https://inpn.mnhn.fr/espece/cd_nom/41915","Gloeoporus pannocinctus (Romell) J.Erikss., 1958")</f>
        <v>Gloeoporus pannocinctus (Romell) J.Erikss., 1958</v>
      </c>
      <c r="AH5462" s="4" t="str">
        <f>HYPERLINK("#Statut_biogéographique!A"&amp;_xlfn.XMATCH("P",Statut_biogéographique!A:A,2,1),"P")</f>
        <v>P</v>
      </c>
      <c r="AP5462" s="4" t="s">
        <v>376</v>
      </c>
      <c r="AR5462" s="4" t="s">
        <v>377</v>
      </c>
    </row>
    <row r="5463" spans="1:44" ht="30">
      <c r="A5463" s="4" t="s">
        <v>5</v>
      </c>
      <c r="B5463" s="4">
        <v>41918</v>
      </c>
      <c r="C5463" s="4">
        <v>7162</v>
      </c>
      <c r="D5463" s="5" t="s">
        <v>7948</v>
      </c>
      <c r="E5463" s="6" t="str">
        <f>HYPERLINK("https://inpn.mnhn.fr/espece/cd_nom/41918","Ceriporiopsis resinascens (Romell) Domański, 1963")</f>
        <v>Ceriporiopsis resinascens (Romell) Domański, 1963</v>
      </c>
      <c r="AH5463" s="4" t="str">
        <f>HYPERLINK("#Statut_biogéographique!A"&amp;_xlfn.XMATCH("P",Statut_biogéographique!A:A,2,1),"P")</f>
        <v>P</v>
      </c>
      <c r="AP5463" s="4" t="s">
        <v>376</v>
      </c>
      <c r="AR5463" s="4" t="s">
        <v>377</v>
      </c>
    </row>
    <row r="5464" spans="1:44" ht="30">
      <c r="A5464" s="4" t="s">
        <v>5</v>
      </c>
      <c r="B5464" s="4">
        <v>41926</v>
      </c>
      <c r="C5464" s="4">
        <v>1564</v>
      </c>
      <c r="D5464" s="5" t="s">
        <v>7949</v>
      </c>
      <c r="E5464" s="6" t="str">
        <f>HYPERLINK("https://inpn.mnhn.fr/espece/cd_nom/41926","Cerocorticium confluens (Fr.) Jülich &amp; Stalpers, 1980")</f>
        <v>Cerocorticium confluens (Fr.) Jülich &amp; Stalpers, 1980</v>
      </c>
      <c r="V5464" s="7" t="str">
        <f>HYPERLINK("#Liste_rouge!A"&amp;_xlfn.XMATCH("LC",Liste_rouge!A:A,2,1),"LC")</f>
        <v>LC</v>
      </c>
      <c r="AH5464" s="4" t="str">
        <f>HYPERLINK("#Statut_biogéographique!A"&amp;_xlfn.XMATCH("P",Statut_biogéographique!A:A,2,1),"P")</f>
        <v>P</v>
      </c>
      <c r="AP5464" s="4" t="s">
        <v>376</v>
      </c>
      <c r="AR5464" s="4" t="s">
        <v>377</v>
      </c>
    </row>
    <row r="5465" spans="1:44" ht="45">
      <c r="A5465" s="4" t="s">
        <v>5</v>
      </c>
      <c r="B5465" s="4">
        <v>41930</v>
      </c>
      <c r="C5465" s="4">
        <v>887</v>
      </c>
      <c r="D5465" s="5" t="s">
        <v>7950</v>
      </c>
      <c r="E5465" s="6" t="str">
        <f>HYPERLINK("https://inpn.mnhn.fr/espece/cd_nom/41930","Cerocorticium molare (Chaillet ex Fr.) Jülich &amp; Stalpers, 1980")</f>
        <v>Cerocorticium molare (Chaillet ex Fr.) Jülich &amp; Stalpers, 1980</v>
      </c>
      <c r="V5465" s="7" t="str">
        <f>HYPERLINK("#Liste_rouge!A"&amp;_xlfn.XMATCH("LC",Liste_rouge!A:A,2,1),"LC")</f>
        <v>LC</v>
      </c>
      <c r="AH5465" s="4" t="str">
        <f>HYPERLINK("#Statut_biogéographique!A"&amp;_xlfn.XMATCH("P",Statut_biogéographique!A:A,2,1),"P")</f>
        <v>P</v>
      </c>
      <c r="AP5465" s="4" t="s">
        <v>376</v>
      </c>
      <c r="AR5465" s="4" t="s">
        <v>377</v>
      </c>
    </row>
    <row r="5466" spans="1:44" ht="45">
      <c r="A5466" s="4" t="s">
        <v>5</v>
      </c>
      <c r="B5466" s="4">
        <v>41939</v>
      </c>
      <c r="C5466" s="4">
        <v>894</v>
      </c>
      <c r="D5466" s="5" t="s">
        <v>7951</v>
      </c>
      <c r="E5466" s="6" t="str">
        <f>HYPERLINK("https://inpn.mnhn.fr/espece/cd_nom/41939","Cerrena unicolor (Bull.) Murrill, 1903")</f>
        <v>Cerrena unicolor (Bull.) Murrill, 1903</v>
      </c>
      <c r="F5466" s="5" t="s">
        <v>7952</v>
      </c>
      <c r="V5466" s="7" t="str">
        <f>HYPERLINK("#Liste_rouge!A"&amp;_xlfn.XMATCH("LC",Liste_rouge!A:A,2,1),"LC")</f>
        <v>LC</v>
      </c>
      <c r="AH5466" s="4" t="str">
        <f>HYPERLINK("#Statut_biogéographique!A"&amp;_xlfn.XMATCH("P",Statut_biogéographique!A:A,2,1),"P")</f>
        <v>P</v>
      </c>
      <c r="AP5466" s="4" t="s">
        <v>376</v>
      </c>
      <c r="AR5466" s="4" t="s">
        <v>377</v>
      </c>
    </row>
    <row r="5467" spans="1:44" ht="30">
      <c r="A5467" s="4" t="s">
        <v>5</v>
      </c>
      <c r="B5467" s="4">
        <v>41952</v>
      </c>
      <c r="C5467" s="4">
        <v>1362</v>
      </c>
      <c r="D5467" s="5" t="s">
        <v>7953</v>
      </c>
      <c r="E5467" s="6" t="str">
        <f>HYPERLINK("https://inpn.mnhn.fr/espece/cd_nom/41952","Chondrostereum purpureum (Pers.) Pouzar, 1959")</f>
        <v>Chondrostereum purpureum (Pers.) Pouzar, 1959</v>
      </c>
      <c r="F5467" s="5" t="s">
        <v>7954</v>
      </c>
      <c r="V5467" s="7" t="str">
        <f>HYPERLINK("#Liste_rouge!A"&amp;_xlfn.XMATCH("LC",Liste_rouge!A:A,2,1),"LC")</f>
        <v>LC</v>
      </c>
      <c r="AH5467" s="4" t="str">
        <f>HYPERLINK("#Statut_biogéographique!A"&amp;_xlfn.XMATCH("P",Statut_biogéographique!A:A,2,1),"P")</f>
        <v>P</v>
      </c>
      <c r="AP5467" s="4" t="s">
        <v>376</v>
      </c>
      <c r="AR5467" s="4" t="s">
        <v>377</v>
      </c>
    </row>
    <row r="5468" spans="1:44" ht="45">
      <c r="A5468" s="4" t="s">
        <v>5</v>
      </c>
      <c r="B5468" s="4">
        <v>41963</v>
      </c>
      <c r="C5468" s="4">
        <v>4710</v>
      </c>
      <c r="D5468" s="5" t="s">
        <v>7955</v>
      </c>
      <c r="E5468" s="6" t="str">
        <f>HYPERLINK("https://inpn.mnhn.fr/espece/cd_nom/41963","Chromocyphella galeata (Schumach.) W.B.Cooke, 1961")</f>
        <v>Chromocyphella galeata (Schumach.) W.B.Cooke, 1961</v>
      </c>
      <c r="V5468" s="7" t="str">
        <f>HYPERLINK("#Liste_rouge!A"&amp;_xlfn.XMATCH("DD",Liste_rouge!A:A,2,1),"DD")</f>
        <v>DD</v>
      </c>
      <c r="AH5468" s="4" t="str">
        <f>HYPERLINK("#Statut_biogéographique!A"&amp;_xlfn.XMATCH("P",Statut_biogéographique!A:A,2,1),"P")</f>
        <v>P</v>
      </c>
      <c r="AP5468" s="4" t="s">
        <v>376</v>
      </c>
      <c r="AR5468" s="4" t="s">
        <v>377</v>
      </c>
    </row>
    <row r="5469" spans="1:44" ht="30">
      <c r="A5469" s="4" t="s">
        <v>5</v>
      </c>
      <c r="B5469" s="4">
        <v>41971</v>
      </c>
      <c r="C5469" s="4">
        <v>2896</v>
      </c>
      <c r="D5469" s="5" t="s">
        <v>7956</v>
      </c>
      <c r="E5469" s="6" t="str">
        <f>HYPERLINK("https://inpn.mnhn.fr/espece/cd_nom/41971","Cinereomyces lindbladii (Berk.) Jülich, 1982")</f>
        <v>Cinereomyces lindbladii (Berk.) Jülich, 1982</v>
      </c>
      <c r="V5469" s="7" t="str">
        <f>HYPERLINK("#Liste_rouge!A"&amp;_xlfn.XMATCH("LC",Liste_rouge!A:A,2,1),"LC")</f>
        <v>LC</v>
      </c>
      <c r="AH5469" s="4" t="str">
        <f>HYPERLINK("#Statut_biogéographique!A"&amp;_xlfn.XMATCH("P",Statut_biogéographique!A:A,2,1),"P")</f>
        <v>P</v>
      </c>
      <c r="AP5469" s="4" t="s">
        <v>376</v>
      </c>
      <c r="AR5469" s="4" t="s">
        <v>377</v>
      </c>
    </row>
    <row r="5470" spans="1:44" ht="30">
      <c r="A5470" s="4" t="s">
        <v>5</v>
      </c>
      <c r="B5470" s="4">
        <v>41983</v>
      </c>
      <c r="C5470" s="4">
        <v>1444</v>
      </c>
      <c r="D5470" s="5" t="s">
        <v>7957</v>
      </c>
      <c r="E5470" s="6" t="str">
        <f>HYPERLINK("https://inpn.mnhn.fr/espece/cd_nom/41983","Climacocystis borealis (Fr.) Kotl. &amp; Pouzar, 1958")</f>
        <v>Climacocystis borealis (Fr.) Kotl. &amp; Pouzar, 1958</v>
      </c>
      <c r="F5470" s="5" t="s">
        <v>7958</v>
      </c>
      <c r="V5470" s="7" t="str">
        <f>HYPERLINK("#Liste_rouge!A"&amp;_xlfn.XMATCH("LC",Liste_rouge!A:A,2,1),"LC")</f>
        <v>LC</v>
      </c>
      <c r="Z5470" s="4" t="s">
        <v>447</v>
      </c>
      <c r="AA5470" s="4" t="s">
        <v>448</v>
      </c>
      <c r="AH5470" s="4" t="str">
        <f>HYPERLINK("#Statut_biogéographique!A"&amp;_xlfn.XMATCH("P",Statut_biogéographique!A:A,2,1),"P")</f>
        <v>P</v>
      </c>
      <c r="AP5470" s="4" t="s">
        <v>376</v>
      </c>
      <c r="AR5470" s="4" t="s">
        <v>377</v>
      </c>
    </row>
    <row r="5471" spans="1:44">
      <c r="A5471" s="4" t="s">
        <v>5</v>
      </c>
      <c r="B5471" s="4">
        <v>41996</v>
      </c>
      <c r="C5471" s="4">
        <v>1040</v>
      </c>
      <c r="D5471" s="5" t="s">
        <v>7959</v>
      </c>
      <c r="E5471" s="6" t="str">
        <f>HYPERLINK("https://inpn.mnhn.fr/espece/cd_nom/41996","Coltricia cinnamomea (Jacq.) Murrill, 1904")</f>
        <v>Coltricia cinnamomea (Jacq.) Murrill, 1904</v>
      </c>
      <c r="F5471" s="5" t="s">
        <v>7960</v>
      </c>
      <c r="V5471" s="7" t="str">
        <f>HYPERLINK("#Liste_rouge!A"&amp;_xlfn.XMATCH("DD",Liste_rouge!A:A,2,1),"DD")</f>
        <v>DD</v>
      </c>
      <c r="AH5471" s="4" t="str">
        <f>HYPERLINK("#Statut_biogéographique!A"&amp;_xlfn.XMATCH("P",Statut_biogéographique!A:A,2,1),"P")</f>
        <v>P</v>
      </c>
      <c r="AP5471" s="4" t="s">
        <v>376</v>
      </c>
      <c r="AR5471" s="4" t="s">
        <v>377</v>
      </c>
    </row>
    <row r="5472" spans="1:44" ht="30">
      <c r="A5472" s="4" t="s">
        <v>5</v>
      </c>
      <c r="B5472" s="4">
        <v>41999</v>
      </c>
      <c r="C5472" s="4">
        <v>2833</v>
      </c>
      <c r="D5472" s="5" t="s">
        <v>7961</v>
      </c>
      <c r="E5472" s="6" t="str">
        <f>HYPERLINK("https://inpn.mnhn.fr/espece/cd_nom/41999","Coltricia montagnei (Fr.) Murrill, 1920")</f>
        <v>Coltricia montagnei (Fr.) Murrill, 1920</v>
      </c>
      <c r="V5472" s="7" t="str">
        <f>HYPERLINK("#Liste_rouge!A"&amp;_xlfn.XMATCH("RE",Liste_rouge!A:A,2,1),"RE")</f>
        <v>RE</v>
      </c>
      <c r="AH5472" s="4" t="str">
        <f>HYPERLINK("#Statut_biogéographique!A"&amp;_xlfn.XMATCH("P",Statut_biogéographique!A:A,2,1),"P")</f>
        <v>P</v>
      </c>
      <c r="AP5472" s="4" t="s">
        <v>376</v>
      </c>
      <c r="AR5472" s="4" t="s">
        <v>377</v>
      </c>
    </row>
    <row r="5473" spans="1:44" ht="45">
      <c r="A5473" s="4" t="s">
        <v>5</v>
      </c>
      <c r="B5473" s="4">
        <v>42002</v>
      </c>
      <c r="C5473" s="4">
        <v>676</v>
      </c>
      <c r="D5473" s="5" t="s">
        <v>7962</v>
      </c>
      <c r="E5473" s="6" t="str">
        <f>HYPERLINK("https://inpn.mnhn.fr/espece/cd_nom/42002","Coltricia perennis (L.) Murrill, 1903")</f>
        <v>Coltricia perennis (L.) Murrill, 1903</v>
      </c>
      <c r="F5473" s="5" t="s">
        <v>7963</v>
      </c>
      <c r="V5473" s="7" t="str">
        <f>HYPERLINK("#Liste_rouge!A"&amp;_xlfn.XMATCH("LC",Liste_rouge!A:A,2,1),"LC")</f>
        <v>LC</v>
      </c>
      <c r="AH5473" s="4" t="str">
        <f>HYPERLINK("#Statut_biogéographique!A"&amp;_xlfn.XMATCH("P",Statut_biogéographique!A:A,2,1),"P")</f>
        <v>P</v>
      </c>
      <c r="AP5473" s="4" t="s">
        <v>376</v>
      </c>
      <c r="AR5473" s="4" t="s">
        <v>377</v>
      </c>
    </row>
    <row r="5474" spans="1:44">
      <c r="A5474" s="4" t="s">
        <v>5</v>
      </c>
      <c r="B5474" s="4">
        <v>42017</v>
      </c>
      <c r="C5474" s="4">
        <v>3547</v>
      </c>
      <c r="D5474" s="5" t="s">
        <v>7964</v>
      </c>
      <c r="E5474" s="6" t="str">
        <f>HYPERLINK("https://inpn.mnhn.fr/espece/cd_nom/42017","Coniophora arida (Fr.) P.Karst., 1868")</f>
        <v>Coniophora arida (Fr.) P.Karst., 1868</v>
      </c>
      <c r="V5474" s="7" t="str">
        <f>HYPERLINK("#Liste_rouge!A"&amp;_xlfn.XMATCH("DD",Liste_rouge!A:A,2,1),"DD")</f>
        <v>DD</v>
      </c>
      <c r="AH5474" s="4" t="str">
        <f>HYPERLINK("#Statut_biogéographique!A"&amp;_xlfn.XMATCH("P",Statut_biogéographique!A:A,2,1),"P")</f>
        <v>P</v>
      </c>
      <c r="AP5474" s="4" t="s">
        <v>376</v>
      </c>
      <c r="AR5474" s="4" t="s">
        <v>377</v>
      </c>
    </row>
    <row r="5475" spans="1:44">
      <c r="A5475" s="4" t="s">
        <v>5</v>
      </c>
      <c r="B5475" s="4">
        <v>42030</v>
      </c>
      <c r="C5475" s="4">
        <v>6857</v>
      </c>
      <c r="D5475" s="5" t="s">
        <v>7965</v>
      </c>
      <c r="E5475" s="6" t="str">
        <f>HYPERLINK("https://inpn.mnhn.fr/espece/cd_nom/42030","Coniophora olivacea (Fr.) P.Karst., 1882")</f>
        <v>Coniophora olivacea (Fr.) P.Karst., 1882</v>
      </c>
      <c r="AH5475" s="4" t="str">
        <f>HYPERLINK("#Statut_biogéographique!A"&amp;_xlfn.XMATCH("P",Statut_biogéographique!A:A,2,1),"P")</f>
        <v>P</v>
      </c>
      <c r="AP5475" s="4" t="s">
        <v>376</v>
      </c>
      <c r="AR5475" s="4" t="s">
        <v>377</v>
      </c>
    </row>
    <row r="5476" spans="1:44" ht="60">
      <c r="A5476" s="4" t="s">
        <v>5</v>
      </c>
      <c r="B5476" s="4">
        <v>42064</v>
      </c>
      <c r="C5476" s="4">
        <v>844</v>
      </c>
      <c r="D5476" s="5" t="s">
        <v>7966</v>
      </c>
      <c r="E5476" s="6" t="str">
        <f>HYPERLINK("https://inpn.mnhn.fr/espece/cd_nom/42064","Cotylidia pannosa (Sowerby) D.A.Reid, 1965")</f>
        <v>Cotylidia pannosa (Sowerby) D.A.Reid, 1965</v>
      </c>
      <c r="V5476" s="7" t="str">
        <f>HYPERLINK("#Liste_rouge!A"&amp;_xlfn.XMATCH("LC",Liste_rouge!A:A,2,1),"LC")</f>
        <v>LC</v>
      </c>
      <c r="AH5476" s="4" t="str">
        <f>HYPERLINK("#Statut_biogéographique!A"&amp;_xlfn.XMATCH("P",Statut_biogéographique!A:A,2,1),"P")</f>
        <v>P</v>
      </c>
      <c r="AP5476" s="4" t="s">
        <v>376</v>
      </c>
      <c r="AR5476" s="4" t="s">
        <v>377</v>
      </c>
    </row>
    <row r="5477" spans="1:44">
      <c r="A5477" s="4" t="s">
        <v>5</v>
      </c>
      <c r="B5477" s="4">
        <v>42073</v>
      </c>
      <c r="C5477" s="4">
        <v>2575</v>
      </c>
      <c r="D5477" s="5" t="s">
        <v>7967</v>
      </c>
      <c r="E5477" s="6" t="str">
        <f>HYPERLINK("https://inpn.mnhn.fr/espece/cd_nom/42073","Craterocolla cerasi (Schumach.) Bref., 1888")</f>
        <v>Craterocolla cerasi (Schumach.) Bref., 1888</v>
      </c>
      <c r="V5477" s="7" t="str">
        <f>HYPERLINK("#Liste_rouge!A"&amp;_xlfn.XMATCH("DD",Liste_rouge!A:A,2,1),"DD")</f>
        <v>DD</v>
      </c>
      <c r="AH5477" s="4" t="str">
        <f>HYPERLINK("#Statut_biogéographique!A"&amp;_xlfn.XMATCH("P",Statut_biogéographique!A:A,2,1),"P")</f>
        <v>P</v>
      </c>
      <c r="AP5477" s="4" t="s">
        <v>376</v>
      </c>
      <c r="AR5477" s="4" t="s">
        <v>377</v>
      </c>
    </row>
    <row r="5478" spans="1:44" ht="30">
      <c r="A5478" s="4" t="s">
        <v>5</v>
      </c>
      <c r="B5478" s="4">
        <v>42080</v>
      </c>
      <c r="C5478" s="4">
        <v>2163</v>
      </c>
      <c r="D5478" s="5" t="s">
        <v>7968</v>
      </c>
      <c r="E5478" s="6" t="str">
        <f>HYPERLINK("https://inpn.mnhn.fr/espece/cd_nom/42080","Hericium cirrhatum (Pers.) Nikol., 1950")</f>
        <v>Hericium cirrhatum (Pers.) Nikol., 1950</v>
      </c>
      <c r="V5478" s="7" t="str">
        <f>HYPERLINK("#Liste_rouge!A"&amp;_xlfn.XMATCH("EN",Liste_rouge!A:A,2,1),"EN")</f>
        <v>EN</v>
      </c>
      <c r="W5478" s="4" t="str">
        <f>HYPERLINK("#Critères_liste_rouge!A$1","A2c")</f>
        <v>A2c</v>
      </c>
      <c r="Z5478" s="4" t="s">
        <v>512</v>
      </c>
      <c r="AA5478" s="4" t="s">
        <v>513</v>
      </c>
      <c r="AH5478" s="4" t="str">
        <f>HYPERLINK("#Statut_biogéographique!A"&amp;_xlfn.XMATCH("P",Statut_biogéographique!A:A,2,1),"P")</f>
        <v>P</v>
      </c>
      <c r="AP5478" s="4" t="s">
        <v>376</v>
      </c>
      <c r="AR5478" s="4" t="s">
        <v>377</v>
      </c>
    </row>
    <row r="5479" spans="1:44" ht="30">
      <c r="A5479" s="4" t="s">
        <v>5</v>
      </c>
      <c r="B5479" s="4">
        <v>42083</v>
      </c>
      <c r="C5479" s="4">
        <v>5566</v>
      </c>
      <c r="D5479" s="5" t="s">
        <v>7969</v>
      </c>
      <c r="E5479" s="6" t="str">
        <f>HYPERLINK("https://inpn.mnhn.fr/espece/cd_nom/42083","Cristinia gallica (Pilát) Jülich, 1975")</f>
        <v>Cristinia gallica (Pilát) Jülich, 1975</v>
      </c>
      <c r="V5479" s="7" t="str">
        <f>HYPERLINK("#Liste_rouge!A"&amp;_xlfn.XMATCH("DD",Liste_rouge!A:A,2,1),"DD")</f>
        <v>DD</v>
      </c>
      <c r="AH5479" s="4" t="str">
        <f>HYPERLINK("#Statut_biogéographique!A"&amp;_xlfn.XMATCH("P",Statut_biogéographique!A:A,2,1),"P")</f>
        <v>P</v>
      </c>
      <c r="AP5479" s="4" t="s">
        <v>376</v>
      </c>
      <c r="AR5479" s="4" t="s">
        <v>377</v>
      </c>
    </row>
    <row r="5480" spans="1:44">
      <c r="A5480" s="4" t="s">
        <v>5</v>
      </c>
      <c r="B5480" s="4">
        <v>42086</v>
      </c>
      <c r="C5480" s="4">
        <v>3249</v>
      </c>
      <c r="D5480" s="5" t="s">
        <v>7970</v>
      </c>
      <c r="E5480" s="6" t="str">
        <f>HYPERLINK("https://inpn.mnhn.fr/espece/cd_nom/42086","Cristinia helvetica (Pers.) Parmasto, 1968")</f>
        <v>Cristinia helvetica (Pers.) Parmasto, 1968</v>
      </c>
      <c r="V5480" s="7" t="str">
        <f>HYPERLINK("#Liste_rouge!A"&amp;_xlfn.XMATCH("DD",Liste_rouge!A:A,2,1),"DD")</f>
        <v>DD</v>
      </c>
      <c r="AH5480" s="4" t="str">
        <f>HYPERLINK("#Statut_biogéographique!A"&amp;_xlfn.XMATCH("P",Statut_biogéographique!A:A,2,1),"P")</f>
        <v>P</v>
      </c>
      <c r="AP5480" s="4" t="s">
        <v>376</v>
      </c>
      <c r="AR5480" s="4" t="s">
        <v>377</v>
      </c>
    </row>
    <row r="5481" spans="1:44" ht="30">
      <c r="A5481" s="4" t="s">
        <v>5</v>
      </c>
      <c r="B5481" s="4">
        <v>42102</v>
      </c>
      <c r="C5481" s="4">
        <v>4535</v>
      </c>
      <c r="D5481" s="5" t="s">
        <v>7971</v>
      </c>
      <c r="E5481" s="6" t="str">
        <f>HYPERLINK("https://inpn.mnhn.fr/espece/cd_nom/42102","Cystostereum subabruptum (Bourdot &amp; Galzin) J.Erikss. &amp; Ryvarden, 1975")</f>
        <v>Cystostereum subabruptum (Bourdot &amp; Galzin) J.Erikss. &amp; Ryvarden, 1975</v>
      </c>
      <c r="V5481" s="7" t="str">
        <f>HYPERLINK("#Liste_rouge!A"&amp;_xlfn.XMATCH("DD",Liste_rouge!A:A,2,1),"DD")</f>
        <v>DD</v>
      </c>
      <c r="AH5481" s="4" t="str">
        <f>HYPERLINK("#Statut_biogéographique!A"&amp;_xlfn.XMATCH("P",Statut_biogéographique!A:A,2,1),"P")</f>
        <v>P</v>
      </c>
      <c r="AP5481" s="4" t="s">
        <v>376</v>
      </c>
      <c r="AR5481" s="4" t="s">
        <v>377</v>
      </c>
    </row>
    <row r="5482" spans="1:44">
      <c r="A5482" s="4" t="s">
        <v>5</v>
      </c>
      <c r="B5482" s="4">
        <v>42133</v>
      </c>
      <c r="C5482" s="4">
        <v>2807</v>
      </c>
      <c r="D5482" s="5" t="s">
        <v>7972</v>
      </c>
      <c r="E5482" s="6" t="str">
        <f>HYPERLINK("https://inpn.mnhn.fr/espece/cd_nom/42133","Cytidia salicina (Fr.) Burt, 1924")</f>
        <v>Cytidia salicina (Fr.) Burt, 1924</v>
      </c>
      <c r="F5482" s="5" t="s">
        <v>7973</v>
      </c>
      <c r="V5482" s="7" t="str">
        <f>HYPERLINK("#Liste_rouge!A"&amp;_xlfn.XMATCH("EN",Liste_rouge!A:A,2,1),"EN")</f>
        <v>EN</v>
      </c>
      <c r="W5482" s="4" t="str">
        <f>HYPERLINK("#Critères_liste_rouge!A$1","B2abiii")</f>
        <v>B2abiii</v>
      </c>
      <c r="Z5482" s="4" t="s">
        <v>447</v>
      </c>
      <c r="AA5482" s="4" t="s">
        <v>448</v>
      </c>
      <c r="AH5482" s="4" t="str">
        <f>HYPERLINK("#Statut_biogéographique!A"&amp;_xlfn.XMATCH("P",Statut_biogéographique!A:A,2,1),"P")</f>
        <v>P</v>
      </c>
      <c r="AP5482" s="4" t="s">
        <v>376</v>
      </c>
      <c r="AR5482" s="4" t="s">
        <v>377</v>
      </c>
    </row>
    <row r="5483" spans="1:44">
      <c r="A5483" s="4" t="s">
        <v>5</v>
      </c>
      <c r="B5483" s="4">
        <v>42140</v>
      </c>
      <c r="C5483" s="4">
        <v>3835</v>
      </c>
      <c r="D5483" s="5" t="s">
        <v>7974</v>
      </c>
      <c r="E5483" s="6" t="str">
        <f>HYPERLINK("https://inpn.mnhn.fr/espece/cd_nom/42140","Dacrymyces capitatus Schwein., 1832")</f>
        <v>Dacrymyces capitatus Schwein., 1832</v>
      </c>
      <c r="V5483" s="7" t="str">
        <f>HYPERLINK("#Liste_rouge!A"&amp;_xlfn.XMATCH("LC",Liste_rouge!A:A,2,1),"LC")</f>
        <v>LC</v>
      </c>
      <c r="AH5483" s="4" t="str">
        <f>HYPERLINK("#Statut_biogéographique!A"&amp;_xlfn.XMATCH("P",Statut_biogéographique!A:A,2,1),"P")</f>
        <v>P</v>
      </c>
      <c r="AP5483" s="4" t="s">
        <v>376</v>
      </c>
      <c r="AR5483" s="4" t="s">
        <v>377</v>
      </c>
    </row>
    <row r="5484" spans="1:44">
      <c r="A5484" s="4" t="s">
        <v>5</v>
      </c>
      <c r="B5484" s="4">
        <v>42145</v>
      </c>
      <c r="C5484" s="4">
        <v>3922</v>
      </c>
      <c r="D5484" s="5" t="s">
        <v>7975</v>
      </c>
      <c r="E5484" s="6" t="str">
        <f>HYPERLINK("https://inpn.mnhn.fr/espece/cd_nom/42145","Dacrymyces palmatus Bres., 1904")</f>
        <v>Dacrymyces palmatus Bres., 1904</v>
      </c>
      <c r="F5484" s="5" t="s">
        <v>7976</v>
      </c>
      <c r="V5484" s="7" t="str">
        <f>HYPERLINK("#Liste_rouge!A"&amp;_xlfn.XMATCH("DD",Liste_rouge!A:A,2,1),"DD")</f>
        <v>DD</v>
      </c>
      <c r="AH5484" s="4" t="str">
        <f>HYPERLINK("#Statut_biogéographique!A"&amp;_xlfn.XMATCH("P",Statut_biogéographique!A:A,2,1),"P")</f>
        <v>P</v>
      </c>
      <c r="AP5484" s="4" t="s">
        <v>376</v>
      </c>
      <c r="AR5484" s="4" t="s">
        <v>377</v>
      </c>
    </row>
    <row r="5485" spans="1:44" ht="30">
      <c r="A5485" s="4" t="s">
        <v>5</v>
      </c>
      <c r="B5485" s="4">
        <v>42161</v>
      </c>
      <c r="C5485" s="4">
        <v>363</v>
      </c>
      <c r="D5485" s="5" t="s">
        <v>7977</v>
      </c>
      <c r="E5485" s="6" t="str">
        <f>HYPERLINK("https://inpn.mnhn.fr/espece/cd_nom/42161","Dacrymyces stillatus Nees, 1816")</f>
        <v>Dacrymyces stillatus Nees, 1816</v>
      </c>
      <c r="F5485" s="5" t="s">
        <v>7978</v>
      </c>
      <c r="V5485" s="7" t="str">
        <f>HYPERLINK("#Liste_rouge!A"&amp;_xlfn.XMATCH("LC",Liste_rouge!A:A,2,1),"LC")</f>
        <v>LC</v>
      </c>
      <c r="AH5485" s="4" t="str">
        <f>HYPERLINK("#Statut_biogéographique!A"&amp;_xlfn.XMATCH("P",Statut_biogéographique!A:A,2,1),"P")</f>
        <v>P</v>
      </c>
      <c r="AP5485" s="4" t="s">
        <v>376</v>
      </c>
      <c r="AR5485" s="4" t="s">
        <v>377</v>
      </c>
    </row>
    <row r="5486" spans="1:44" ht="30">
      <c r="A5486" s="4" t="s">
        <v>5</v>
      </c>
      <c r="B5486" s="4">
        <v>42172</v>
      </c>
      <c r="C5486" s="4">
        <v>6047</v>
      </c>
      <c r="D5486" s="5" t="s">
        <v>7979</v>
      </c>
      <c r="E5486" s="6" t="str">
        <f>HYPERLINK("https://inpn.mnhn.fr/espece/cd_nom/42172","Dacryobolus karstenii (Bres.) Oberw. ex Parmasto, 1968")</f>
        <v>Dacryobolus karstenii (Bres.) Oberw. ex Parmasto, 1968</v>
      </c>
      <c r="F5486" s="5" t="s">
        <v>7980</v>
      </c>
      <c r="AH5486" s="4" t="str">
        <f>HYPERLINK("#Statut_biogéographique!A"&amp;_xlfn.XMATCH("P",Statut_biogéographique!A:A,2,1),"P")</f>
        <v>P</v>
      </c>
      <c r="AP5486" s="4" t="s">
        <v>376</v>
      </c>
      <c r="AR5486" s="4" t="s">
        <v>377</v>
      </c>
    </row>
    <row r="5487" spans="1:44">
      <c r="A5487" s="4" t="s">
        <v>5</v>
      </c>
      <c r="B5487" s="4">
        <v>42185</v>
      </c>
      <c r="C5487" s="4">
        <v>407</v>
      </c>
      <c r="D5487" s="5" t="s">
        <v>7981</v>
      </c>
      <c r="E5487" s="6" t="str">
        <f>HYPERLINK("https://inpn.mnhn.fr/espece/cd_nom/42185","Daedalea quercina (L.) Pers., 1801")</f>
        <v>Daedalea quercina (L.) Pers., 1801</v>
      </c>
      <c r="F5487" s="5" t="s">
        <v>7982</v>
      </c>
      <c r="V5487" s="7" t="str">
        <f>HYPERLINK("#Liste_rouge!A"&amp;_xlfn.XMATCH("LC",Liste_rouge!A:A,2,1),"LC")</f>
        <v>LC</v>
      </c>
      <c r="AH5487" s="4" t="str">
        <f>HYPERLINK("#Statut_biogéographique!A"&amp;_xlfn.XMATCH("P",Statut_biogéographique!A:A,2,1),"P")</f>
        <v>P</v>
      </c>
      <c r="AP5487" s="4" t="s">
        <v>376</v>
      </c>
      <c r="AR5487" s="4" t="s">
        <v>377</v>
      </c>
    </row>
    <row r="5488" spans="1:44" ht="30">
      <c r="A5488" s="4" t="s">
        <v>5</v>
      </c>
      <c r="B5488" s="4">
        <v>42194</v>
      </c>
      <c r="C5488" s="4">
        <v>360</v>
      </c>
      <c r="D5488" s="5" t="s">
        <v>7983</v>
      </c>
      <c r="E5488" s="6" t="str">
        <f>HYPERLINK("https://inpn.mnhn.fr/espece/cd_nom/42194","Daedaleopsis tricolor (Bull.) Bondartsev &amp; Singer, 1941")</f>
        <v>Daedaleopsis tricolor (Bull.) Bondartsev &amp; Singer, 1941</v>
      </c>
      <c r="F5488" s="5" t="s">
        <v>7984</v>
      </c>
      <c r="V5488" s="7" t="str">
        <f>HYPERLINK("#Liste_rouge!A"&amp;_xlfn.XMATCH("LC",Liste_rouge!A:A,2,1),"LC")</f>
        <v>LC</v>
      </c>
      <c r="AH5488" s="4" t="str">
        <f>HYPERLINK("#Statut_biogéographique!A"&amp;_xlfn.XMATCH("P",Statut_biogéographique!A:A,2,1),"P")</f>
        <v>P</v>
      </c>
      <c r="AP5488" s="4" t="s">
        <v>376</v>
      </c>
      <c r="AR5488" s="4" t="s">
        <v>377</v>
      </c>
    </row>
    <row r="5489" spans="1:44">
      <c r="A5489" s="4" t="s">
        <v>5</v>
      </c>
      <c r="B5489" s="4">
        <v>42198</v>
      </c>
      <c r="C5489" s="4">
        <v>1116</v>
      </c>
      <c r="D5489" s="5" t="s">
        <v>7985</v>
      </c>
      <c r="E5489" s="6" t="str">
        <f>HYPERLINK("https://inpn.mnhn.fr/espece/cd_nom/42198","Datronia mollis (Sommerf.) Donk, 1966")</f>
        <v>Datronia mollis (Sommerf.) Donk, 1966</v>
      </c>
      <c r="F5489" s="5" t="s">
        <v>7986</v>
      </c>
      <c r="V5489" s="7" t="str">
        <f>HYPERLINK("#Liste_rouge!A"&amp;_xlfn.XMATCH("LC",Liste_rouge!A:A,2,1),"LC")</f>
        <v>LC</v>
      </c>
      <c r="AH5489" s="4" t="str">
        <f>HYPERLINK("#Statut_biogéographique!A"&amp;_xlfn.XMATCH("P",Statut_biogéographique!A:A,2,1),"P")</f>
        <v>P</v>
      </c>
      <c r="AP5489" s="4" t="s">
        <v>376</v>
      </c>
      <c r="AR5489" s="4" t="s">
        <v>377</v>
      </c>
    </row>
    <row r="5490" spans="1:44">
      <c r="A5490" s="4" t="s">
        <v>5</v>
      </c>
      <c r="B5490" s="4">
        <v>42202</v>
      </c>
      <c r="C5490" s="4">
        <v>1584</v>
      </c>
      <c r="D5490" s="5" t="s">
        <v>7987</v>
      </c>
      <c r="E5490" s="6" t="str">
        <f>HYPERLINK("https://inpn.mnhn.fr/espece/cd_nom/42202","Datronia stereoides (Fr.) Ryvarden, 1967")</f>
        <v>Datronia stereoides (Fr.) Ryvarden, 1967</v>
      </c>
      <c r="V5490" s="7" t="str">
        <f>HYPERLINK("#Liste_rouge!A"&amp;_xlfn.XMATCH("EN",Liste_rouge!A:A,2,1),"EN")</f>
        <v>EN</v>
      </c>
      <c r="W5490" s="4" t="str">
        <f>HYPERLINK("#Critères_liste_rouge!A$1","B2abiii")</f>
        <v>B2abiii</v>
      </c>
      <c r="Z5490" s="4" t="s">
        <v>447</v>
      </c>
      <c r="AA5490" s="4" t="s">
        <v>448</v>
      </c>
      <c r="AH5490" s="4" t="str">
        <f>HYPERLINK("#Statut_biogéographique!A"&amp;_xlfn.XMATCH("P",Statut_biogéographique!A:A,2,1),"P")</f>
        <v>P</v>
      </c>
      <c r="AP5490" s="4" t="s">
        <v>376</v>
      </c>
      <c r="AR5490" s="4" t="s">
        <v>377</v>
      </c>
    </row>
    <row r="5491" spans="1:44" ht="30">
      <c r="A5491" s="4" t="s">
        <v>5</v>
      </c>
      <c r="B5491" s="4">
        <v>42216</v>
      </c>
      <c r="C5491" s="4">
        <v>72</v>
      </c>
      <c r="D5491" s="5" t="s">
        <v>7988</v>
      </c>
      <c r="E5491" s="6" t="str">
        <f>HYPERLINK("https://inpn.mnhn.fr/espece/cd_nom/42216","Dendropolyporus umbellatus (Pers.) Jülich, 1982")</f>
        <v>Dendropolyporus umbellatus (Pers.) Jülich, 1982</v>
      </c>
      <c r="F5491" s="5" t="s">
        <v>7989</v>
      </c>
      <c r="V5491" s="7" t="str">
        <f>HYPERLINK("#Liste_rouge!A"&amp;_xlfn.XMATCH("NT",Liste_rouge!A:A,2,1),"NT")</f>
        <v>NT</v>
      </c>
      <c r="W5491" s="4" t="str">
        <f>HYPERLINK("#Critères_liste_rouge!A$1","pr. A2c")</f>
        <v>pr. A2c</v>
      </c>
      <c r="AH5491" s="4" t="str">
        <f>HYPERLINK("#Statut_biogéographique!A"&amp;_xlfn.XMATCH("P",Statut_biogéographique!A:A,2,1),"P")</f>
        <v>P</v>
      </c>
      <c r="AP5491" s="4" t="s">
        <v>376</v>
      </c>
      <c r="AR5491" s="4" t="s">
        <v>377</v>
      </c>
    </row>
    <row r="5492" spans="1:44" ht="30">
      <c r="A5492" s="4" t="s">
        <v>5</v>
      </c>
      <c r="B5492" s="4">
        <v>42221</v>
      </c>
      <c r="C5492" s="4">
        <v>3562</v>
      </c>
      <c r="D5492" s="5" t="s">
        <v>7990</v>
      </c>
      <c r="E5492" s="6" t="str">
        <f>HYPERLINK("https://inpn.mnhn.fr/espece/cd_nom/42221","Dendrothele acerina (Pers.) P.A.Lemke, 1965")</f>
        <v>Dendrothele acerina (Pers.) P.A.Lemke, 1965</v>
      </c>
      <c r="V5492" s="7" t="str">
        <f>HYPERLINK("#Liste_rouge!A"&amp;_xlfn.XMATCH("DD",Liste_rouge!A:A,2,1),"DD")</f>
        <v>DD</v>
      </c>
      <c r="AH5492" s="4" t="str">
        <f>HYPERLINK("#Statut_biogéographique!A"&amp;_xlfn.XMATCH("P",Statut_biogéographique!A:A,2,1),"P")</f>
        <v>P</v>
      </c>
      <c r="AP5492" s="4" t="s">
        <v>376</v>
      </c>
      <c r="AR5492" s="4" t="s">
        <v>377</v>
      </c>
    </row>
    <row r="5493" spans="1:44" ht="30">
      <c r="A5493" s="4" t="s">
        <v>5</v>
      </c>
      <c r="B5493" s="4">
        <v>42225</v>
      </c>
      <c r="C5493" s="4">
        <v>2913</v>
      </c>
      <c r="D5493" s="5" t="s">
        <v>7991</v>
      </c>
      <c r="E5493" s="6" t="str">
        <f>HYPERLINK("https://inpn.mnhn.fr/espece/cd_nom/42225","Dendrothele alliacea (Quél.) P.A.Lemke, 1965")</f>
        <v>Dendrothele alliacea (Quél.) P.A.Lemke, 1965</v>
      </c>
      <c r="V5493" s="7" t="str">
        <f>HYPERLINK("#Liste_rouge!A"&amp;_xlfn.XMATCH("DD",Liste_rouge!A:A,2,1),"DD")</f>
        <v>DD</v>
      </c>
      <c r="AH5493" s="4" t="str">
        <f>HYPERLINK("#Statut_biogéographique!A"&amp;_xlfn.XMATCH("P",Statut_biogéographique!A:A,2,1),"P")</f>
        <v>P</v>
      </c>
      <c r="AP5493" s="4" t="s">
        <v>376</v>
      </c>
      <c r="AR5493" s="4" t="s">
        <v>377</v>
      </c>
    </row>
    <row r="5494" spans="1:44" ht="30">
      <c r="A5494" s="4" t="s">
        <v>5</v>
      </c>
      <c r="B5494" s="4">
        <v>42243</v>
      </c>
      <c r="C5494" s="4">
        <v>5127</v>
      </c>
      <c r="D5494" s="5" t="s">
        <v>7992</v>
      </c>
      <c r="E5494" s="6" t="str">
        <f>HYPERLINK("https://inpn.mnhn.fr/espece/cd_nom/42243","Dentipellis fragilis (Pers.) Donk, 1962")</f>
        <v>Dentipellis fragilis (Pers.) Donk, 1962</v>
      </c>
      <c r="F5494" s="5" t="s">
        <v>7993</v>
      </c>
      <c r="V5494" s="7" t="str">
        <f>HYPERLINK("#Liste_rouge!A"&amp;_xlfn.XMATCH("DD",Liste_rouge!A:A,2,1),"DD")</f>
        <v>DD</v>
      </c>
      <c r="Z5494" s="4" t="s">
        <v>695</v>
      </c>
      <c r="AA5494" s="4" t="s">
        <v>696</v>
      </c>
      <c r="AH5494" s="4" t="str">
        <f>HYPERLINK("#Statut_biogéographique!A"&amp;_xlfn.XMATCH("P",Statut_biogéographique!A:A,2,1),"P")</f>
        <v>P</v>
      </c>
      <c r="AP5494" s="4" t="s">
        <v>376</v>
      </c>
      <c r="AR5494" s="4" t="s">
        <v>377</v>
      </c>
    </row>
    <row r="5495" spans="1:44" ht="30">
      <c r="A5495" s="4" t="s">
        <v>5</v>
      </c>
      <c r="B5495" s="4">
        <v>42252</v>
      </c>
      <c r="C5495" s="4">
        <v>1579</v>
      </c>
      <c r="D5495" s="5" t="s">
        <v>7994</v>
      </c>
      <c r="E5495" s="6" t="str">
        <f>HYPERLINK("https://inpn.mnhn.fr/espece/cd_nom/42252","Dichomitus campestris (Quél.) Domański &amp; Orlicz, 1966")</f>
        <v>Dichomitus campestris (Quél.) Domański &amp; Orlicz, 1966</v>
      </c>
      <c r="F5495" s="5" t="s">
        <v>7995</v>
      </c>
      <c r="V5495" s="7" t="str">
        <f>HYPERLINK("#Liste_rouge!A"&amp;_xlfn.XMATCH("LC",Liste_rouge!A:A,2,1),"LC")</f>
        <v>LC</v>
      </c>
      <c r="AH5495" s="4" t="str">
        <f>HYPERLINK("#Statut_biogéographique!A"&amp;_xlfn.XMATCH("P",Statut_biogéographique!A:A,2,1),"P")</f>
        <v>P</v>
      </c>
      <c r="AP5495" s="4" t="s">
        <v>376</v>
      </c>
      <c r="AR5495" s="4" t="s">
        <v>377</v>
      </c>
    </row>
    <row r="5496" spans="1:44" ht="45">
      <c r="A5496" s="4" t="s">
        <v>5</v>
      </c>
      <c r="B5496" s="4">
        <v>42286</v>
      </c>
      <c r="C5496" s="4">
        <v>3131</v>
      </c>
      <c r="D5496" s="5" t="s">
        <v>7996</v>
      </c>
      <c r="E5496" s="6" t="str">
        <f>HYPERLINK("https://inpn.mnhn.fr/espece/cd_nom/42286","Donkioporia expansa (Desm.) Kotl. &amp; Pouzar, 1973")</f>
        <v>Donkioporia expansa (Desm.) Kotl. &amp; Pouzar, 1973</v>
      </c>
      <c r="V5496" s="7" t="str">
        <f>HYPERLINK("#Liste_rouge!A"&amp;_xlfn.XMATCH("DD",Liste_rouge!A:A,2,1),"DD")</f>
        <v>DD</v>
      </c>
      <c r="AH5496" s="4" t="str">
        <f>HYPERLINK("#Statut_biogéographique!A"&amp;_xlfn.XMATCH("P",Statut_biogéographique!A:A,2,1),"P")</f>
        <v>P</v>
      </c>
      <c r="AP5496" s="4" t="s">
        <v>376</v>
      </c>
      <c r="AR5496" s="4" t="s">
        <v>377</v>
      </c>
    </row>
    <row r="5497" spans="1:44" ht="30">
      <c r="A5497" s="4" t="s">
        <v>5</v>
      </c>
      <c r="B5497" s="4">
        <v>42305</v>
      </c>
      <c r="C5497" s="4">
        <v>3566</v>
      </c>
      <c r="D5497" s="5" t="s">
        <v>7997</v>
      </c>
      <c r="E5497" s="6" t="str">
        <f>HYPERLINK("https://inpn.mnhn.fr/espece/cd_nom/42305","Eichleriella deglubens (Berk. &amp; Broome) D.A.Reid, 1970")</f>
        <v>Eichleriella deglubens (Berk. &amp; Broome) D.A.Reid, 1970</v>
      </c>
      <c r="V5497" s="7" t="str">
        <f>HYPERLINK("#Liste_rouge!A"&amp;_xlfn.XMATCH("DD",Liste_rouge!A:A,2,1),"DD")</f>
        <v>DD</v>
      </c>
      <c r="AH5497" s="4" t="str">
        <f>HYPERLINK("#Statut_biogéographique!A"&amp;_xlfn.XMATCH("P",Statut_biogéographique!A:A,2,1),"P")</f>
        <v>P</v>
      </c>
      <c r="AP5497" s="4" t="s">
        <v>376</v>
      </c>
      <c r="AR5497" s="4" t="s">
        <v>377</v>
      </c>
    </row>
    <row r="5498" spans="1:44" ht="30">
      <c r="A5498" s="4" t="s">
        <v>5</v>
      </c>
      <c r="B5498" s="4">
        <v>42317</v>
      </c>
      <c r="C5498" s="4">
        <v>5751</v>
      </c>
      <c r="D5498" s="5" t="s">
        <v>7998</v>
      </c>
      <c r="E5498" s="6" t="str">
        <f>HYPERLINK("https://inpn.mnhn.fr/espece/cd_nom/42317","Epithele typhae (Pers.) Pat., 1900")</f>
        <v>Epithele typhae (Pers.) Pat., 1900</v>
      </c>
      <c r="Z5498" s="4" t="s">
        <v>443</v>
      </c>
      <c r="AA5498" s="4" t="s">
        <v>444</v>
      </c>
      <c r="AH5498" s="4" t="str">
        <f>HYPERLINK("#Statut_biogéographique!A"&amp;_xlfn.XMATCH("P",Statut_biogéographique!A:A,2,1),"P")</f>
        <v>P</v>
      </c>
      <c r="AP5498" s="4" t="s">
        <v>376</v>
      </c>
      <c r="AR5498" s="4" t="s">
        <v>377</v>
      </c>
    </row>
    <row r="5499" spans="1:44" ht="30">
      <c r="A5499" s="4" t="s">
        <v>5</v>
      </c>
      <c r="B5499" s="4">
        <v>42323</v>
      </c>
      <c r="C5499" s="4">
        <v>5441</v>
      </c>
      <c r="D5499" s="5" t="s">
        <v>7999</v>
      </c>
      <c r="E5499" s="6" t="str">
        <f>HYPERLINK("https://inpn.mnhn.fr/espece/cd_nom/42323","Erythricium laetum (P.Karst.) J.Erikss. &amp; Hjortstam, 1970")</f>
        <v>Erythricium laetum (P.Karst.) J.Erikss. &amp; Hjortstam, 1970</v>
      </c>
      <c r="V5499" s="7" t="str">
        <f>HYPERLINK("#Liste_rouge!A"&amp;_xlfn.XMATCH("DD",Liste_rouge!A:A,2,1),"DD")</f>
        <v>DD</v>
      </c>
      <c r="AH5499" s="4" t="str">
        <f>HYPERLINK("#Statut_biogéographique!A"&amp;_xlfn.XMATCH("P",Statut_biogéographique!A:A,2,1),"P")</f>
        <v>P</v>
      </c>
      <c r="AP5499" s="4" t="s">
        <v>376</v>
      </c>
      <c r="AR5499" s="4" t="s">
        <v>377</v>
      </c>
    </row>
    <row r="5500" spans="1:44">
      <c r="A5500" s="4" t="s">
        <v>5</v>
      </c>
      <c r="B5500" s="4">
        <v>42331</v>
      </c>
      <c r="C5500" s="4">
        <v>193</v>
      </c>
      <c r="D5500" s="5" t="s">
        <v>8000</v>
      </c>
      <c r="E5500" s="6" t="str">
        <f>HYPERLINK("https://inpn.mnhn.fr/espece/cd_nom/42331","Exidia glandulosa (Bull.) Fr., 1822")</f>
        <v>Exidia glandulosa (Bull.) Fr., 1822</v>
      </c>
      <c r="F5500" s="5" t="s">
        <v>8001</v>
      </c>
      <c r="V5500" s="7" t="str">
        <f>HYPERLINK("#Liste_rouge!A"&amp;_xlfn.XMATCH("LC",Liste_rouge!A:A,2,1),"LC")</f>
        <v>LC</v>
      </c>
      <c r="AH5500" s="4" t="str">
        <f>HYPERLINK("#Statut_biogéographique!A"&amp;_xlfn.XMATCH("P",Statut_biogéographique!A:A,2,1),"P")</f>
        <v>P</v>
      </c>
      <c r="AP5500" s="4" t="s">
        <v>376</v>
      </c>
      <c r="AR5500" s="4" t="s">
        <v>377</v>
      </c>
    </row>
    <row r="5501" spans="1:44">
      <c r="A5501" s="4" t="s">
        <v>5</v>
      </c>
      <c r="B5501" s="4">
        <v>42332</v>
      </c>
      <c r="C5501" s="4">
        <v>6775</v>
      </c>
      <c r="D5501" s="5">
        <v>42332</v>
      </c>
      <c r="E5501" s="6" t="str">
        <f>HYPERLINK("https://inpn.mnhn.fr/espece/cd_nom/42332","Exidia nigricans (With.) P.Roberts, 2009")</f>
        <v>Exidia nigricans (With.) P.Roberts, 2009</v>
      </c>
      <c r="AH5501" s="4" t="str">
        <f>HYPERLINK("#Statut_biogéographique!A"&amp;_xlfn.XMATCH("P",Statut_biogéographique!A:A,2,1),"P")</f>
        <v>P</v>
      </c>
      <c r="AP5501" s="4" t="s">
        <v>376</v>
      </c>
      <c r="AR5501" s="4" t="s">
        <v>377</v>
      </c>
    </row>
    <row r="5502" spans="1:44" ht="30">
      <c r="A5502" s="4" t="s">
        <v>5</v>
      </c>
      <c r="B5502" s="4">
        <v>42337</v>
      </c>
      <c r="C5502" s="4">
        <v>493</v>
      </c>
      <c r="D5502" s="5" t="s">
        <v>8002</v>
      </c>
      <c r="E5502" s="6" t="str">
        <f>HYPERLINK("https://inpn.mnhn.fr/espece/cd_nom/42337","Exidia recisa (Ditmar) Fr., 1822")</f>
        <v>Exidia recisa (Ditmar) Fr., 1822</v>
      </c>
      <c r="F5502" s="5" t="s">
        <v>8003</v>
      </c>
      <c r="V5502" s="7" t="str">
        <f>HYPERLINK("#Liste_rouge!A"&amp;_xlfn.XMATCH("LC",Liste_rouge!A:A,2,1),"LC")</f>
        <v>LC</v>
      </c>
      <c r="AH5502" s="4" t="str">
        <f>HYPERLINK("#Statut_biogéographique!A"&amp;_xlfn.XMATCH("P",Statut_biogéographique!A:A,2,1),"P")</f>
        <v>P</v>
      </c>
      <c r="AP5502" s="4" t="s">
        <v>376</v>
      </c>
      <c r="AR5502" s="4" t="s">
        <v>377</v>
      </c>
    </row>
    <row r="5503" spans="1:44">
      <c r="A5503" s="4" t="s">
        <v>5</v>
      </c>
      <c r="B5503" s="4">
        <v>42340</v>
      </c>
      <c r="C5503" s="4">
        <v>5897</v>
      </c>
      <c r="D5503" s="5" t="s">
        <v>8004</v>
      </c>
      <c r="E5503" s="6" t="str">
        <f>HYPERLINK("https://inpn.mnhn.fr/espece/cd_nom/42340","Exidia repanda Fr., 1822")</f>
        <v>Exidia repanda Fr., 1822</v>
      </c>
      <c r="F5503" s="5" t="s">
        <v>8005</v>
      </c>
      <c r="AH5503" s="4" t="str">
        <f>HYPERLINK("#Statut_biogéographique!A"&amp;_xlfn.XMATCH("P",Statut_biogéographique!A:A,2,1),"P")</f>
        <v>P</v>
      </c>
      <c r="AP5503" s="4" t="s">
        <v>376</v>
      </c>
      <c r="AR5503" s="4" t="s">
        <v>377</v>
      </c>
    </row>
    <row r="5504" spans="1:44" ht="30">
      <c r="A5504" s="4" t="s">
        <v>5</v>
      </c>
      <c r="B5504" s="4">
        <v>42343</v>
      </c>
      <c r="C5504" s="4">
        <v>341</v>
      </c>
      <c r="D5504" s="5" t="s">
        <v>8006</v>
      </c>
      <c r="E5504" s="6" t="str">
        <f>HYPERLINK("https://inpn.mnhn.fr/espece/cd_nom/42343","Exidia thuretiana (Lév.) Fr., 1874")</f>
        <v>Exidia thuretiana (Lév.) Fr., 1874</v>
      </c>
      <c r="V5504" s="7" t="str">
        <f>HYPERLINK("#Liste_rouge!A"&amp;_xlfn.XMATCH("LC",Liste_rouge!A:A,2,1),"LC")</f>
        <v>LC</v>
      </c>
      <c r="AH5504" s="4" t="str">
        <f>HYPERLINK("#Statut_biogéographique!A"&amp;_xlfn.XMATCH("P",Statut_biogéographique!A:A,2,1),"P")</f>
        <v>P</v>
      </c>
      <c r="AP5504" s="4" t="s">
        <v>376</v>
      </c>
      <c r="AR5504" s="4" t="s">
        <v>377</v>
      </c>
    </row>
    <row r="5505" spans="1:44">
      <c r="A5505" s="4" t="s">
        <v>5</v>
      </c>
      <c r="B5505" s="4">
        <v>42346</v>
      </c>
      <c r="C5505" s="4">
        <v>2096</v>
      </c>
      <c r="D5505" s="5" t="s">
        <v>8007</v>
      </c>
      <c r="E5505" s="6" t="str">
        <f>HYPERLINK("https://inpn.mnhn.fr/espece/cd_nom/42346","Exidia truncata Fr., 1822")</f>
        <v>Exidia truncata Fr., 1822</v>
      </c>
      <c r="F5505" s="5" t="s">
        <v>8008</v>
      </c>
      <c r="V5505" s="7" t="str">
        <f>HYPERLINK("#Liste_rouge!A"&amp;_xlfn.XMATCH("LC",Liste_rouge!A:A,2,1),"LC")</f>
        <v>LC</v>
      </c>
      <c r="AH5505" s="4" t="str">
        <f>HYPERLINK("#Statut_biogéographique!A"&amp;_xlfn.XMATCH("P",Statut_biogéographique!A:A,2,1),"P")</f>
        <v>P</v>
      </c>
      <c r="AP5505" s="4" t="s">
        <v>376</v>
      </c>
      <c r="AR5505" s="4" t="s">
        <v>377</v>
      </c>
    </row>
    <row r="5506" spans="1:44">
      <c r="A5506" s="4" t="s">
        <v>5</v>
      </c>
      <c r="B5506" s="4">
        <v>42349</v>
      </c>
      <c r="C5506" s="4">
        <v>5487</v>
      </c>
      <c r="D5506" s="5" t="s">
        <v>8009</v>
      </c>
      <c r="E5506" s="6" t="str">
        <f>HYPERLINK("https://inpn.mnhn.fr/espece/cd_nom/42349","Exidia umbrinella Bres., 1900")</f>
        <v>Exidia umbrinella Bres., 1900</v>
      </c>
      <c r="V5506" s="7" t="str">
        <f>HYPERLINK("#Liste_rouge!A"&amp;_xlfn.XMATCH("DD",Liste_rouge!A:A,2,1),"DD")</f>
        <v>DD</v>
      </c>
      <c r="AH5506" s="4" t="str">
        <f>HYPERLINK("#Statut_biogéographique!A"&amp;_xlfn.XMATCH("P",Statut_biogéographique!A:A,2,1),"P")</f>
        <v>P</v>
      </c>
      <c r="AP5506" s="4" t="s">
        <v>376</v>
      </c>
      <c r="AR5506" s="4" t="s">
        <v>377</v>
      </c>
    </row>
    <row r="5507" spans="1:44" ht="30">
      <c r="A5507" s="4" t="s">
        <v>5</v>
      </c>
      <c r="B5507" s="4">
        <v>42352</v>
      </c>
      <c r="C5507" s="4">
        <v>3297</v>
      </c>
      <c r="D5507" s="5" t="s">
        <v>8010</v>
      </c>
      <c r="E5507" s="6" t="str">
        <f>HYPERLINK("https://inpn.mnhn.fr/espece/cd_nom/42352","Exidiopsis calcea (Pers.) K.Wells, 1962")</f>
        <v>Exidiopsis calcea (Pers.) K.Wells, 1962</v>
      </c>
      <c r="V5507" s="7" t="str">
        <f>HYPERLINK("#Liste_rouge!A"&amp;_xlfn.XMATCH("DD",Liste_rouge!A:A,2,1),"DD")</f>
        <v>DD</v>
      </c>
      <c r="AH5507" s="4" t="str">
        <f>HYPERLINK("#Statut_biogéographique!A"&amp;_xlfn.XMATCH("P",Statut_biogéographique!A:A,2,1),"P")</f>
        <v>P</v>
      </c>
      <c r="AP5507" s="4" t="s">
        <v>376</v>
      </c>
      <c r="AR5507" s="4" t="s">
        <v>377</v>
      </c>
    </row>
    <row r="5508" spans="1:44" ht="45">
      <c r="A5508" s="4" t="s">
        <v>5</v>
      </c>
      <c r="B5508" s="4">
        <v>42358</v>
      </c>
      <c r="C5508" s="4">
        <v>512</v>
      </c>
      <c r="D5508" s="5" t="s">
        <v>8011</v>
      </c>
      <c r="E5508" s="6" t="str">
        <f>HYPERLINK("https://inpn.mnhn.fr/espece/cd_nom/42358","Exidiopsis effusa (Bref. ex Sacc.) Möller, 1895")</f>
        <v>Exidiopsis effusa (Bref. ex Sacc.) Möller, 1895</v>
      </c>
      <c r="F5508" s="5" t="s">
        <v>8012</v>
      </c>
      <c r="V5508" s="7" t="str">
        <f>HYPERLINK("#Liste_rouge!A"&amp;_xlfn.XMATCH("DD",Liste_rouge!A:A,2,1),"DD")</f>
        <v>DD</v>
      </c>
      <c r="AH5508" s="4" t="str">
        <f>HYPERLINK("#Statut_biogéographique!A"&amp;_xlfn.XMATCH("P",Statut_biogéographique!A:A,2,1),"P")</f>
        <v>P</v>
      </c>
      <c r="AP5508" s="4" t="s">
        <v>376</v>
      </c>
      <c r="AR5508" s="4" t="s">
        <v>377</v>
      </c>
    </row>
    <row r="5509" spans="1:44" ht="30">
      <c r="A5509" s="4" t="s">
        <v>5</v>
      </c>
      <c r="B5509" s="4">
        <v>42366</v>
      </c>
      <c r="C5509" s="4">
        <v>3875</v>
      </c>
      <c r="D5509" s="5" t="s">
        <v>8013</v>
      </c>
      <c r="E5509" s="6" t="str">
        <f>HYPERLINK("https://inpn.mnhn.fr/espece/cd_nom/42366","Exidiopsis grisea (Bres.) Bourdot &amp; Maire, 1920")</f>
        <v>Exidiopsis grisea (Bres.) Bourdot &amp; Maire, 1920</v>
      </c>
      <c r="AH5509" s="4" t="str">
        <f>HYPERLINK("#Statut_biogéographique!A"&amp;_xlfn.XMATCH("P",Statut_biogéographique!A:A,2,1),"P")</f>
        <v>P</v>
      </c>
      <c r="AP5509" s="4" t="s">
        <v>376</v>
      </c>
      <c r="AR5509" s="4" t="s">
        <v>377</v>
      </c>
    </row>
    <row r="5510" spans="1:44">
      <c r="A5510" s="4" t="s">
        <v>5</v>
      </c>
      <c r="B5510" s="4">
        <v>42390</v>
      </c>
      <c r="C5510" s="4">
        <v>4806</v>
      </c>
      <c r="D5510" s="5" t="s">
        <v>8014</v>
      </c>
      <c r="E5510" s="6" t="str">
        <f>HYPERLINK("https://inpn.mnhn.fr/espece/cd_nom/42390","Exobasidium japonicum Shirai, 1896")</f>
        <v>Exobasidium japonicum Shirai, 1896</v>
      </c>
      <c r="AH5510" s="4" t="str">
        <f>HYPERLINK("#Statut_biogéographique!A"&amp;_xlfn.XMATCH("P",Statut_biogéographique!A:A,2,1),"P")</f>
        <v>P</v>
      </c>
      <c r="AP5510" s="4" t="s">
        <v>376</v>
      </c>
      <c r="AR5510" s="4" t="s">
        <v>377</v>
      </c>
    </row>
    <row r="5511" spans="1:44">
      <c r="A5511" s="4" t="s">
        <v>5</v>
      </c>
      <c r="B5511" s="4">
        <v>42392</v>
      </c>
      <c r="C5511" s="4">
        <v>1449</v>
      </c>
      <c r="D5511" s="5" t="s">
        <v>8015</v>
      </c>
      <c r="E5511" s="6" t="str">
        <f>HYPERLINK("https://inpn.mnhn.fr/espece/cd_nom/42392","Exobasidium karstenii Sacc. &amp; Trotter, 1912")</f>
        <v>Exobasidium karstenii Sacc. &amp; Trotter, 1912</v>
      </c>
      <c r="F5511" s="5" t="s">
        <v>8016</v>
      </c>
      <c r="V5511" s="7" t="str">
        <f>HYPERLINK("#Liste_rouge!A"&amp;_xlfn.XMATCH("DD",Liste_rouge!A:A,2,1),"DD")</f>
        <v>DD</v>
      </c>
      <c r="AH5511" s="4" t="str">
        <f>HYPERLINK("#Statut_biogéographique!A"&amp;_xlfn.XMATCH("P",Statut_biogéographique!A:A,2,1),"P")</f>
        <v>P</v>
      </c>
      <c r="AP5511" s="4" t="s">
        <v>376</v>
      </c>
      <c r="AR5511" s="4" t="s">
        <v>377</v>
      </c>
    </row>
    <row r="5512" spans="1:44">
      <c r="A5512" s="4" t="s">
        <v>5</v>
      </c>
      <c r="B5512" s="4">
        <v>42396</v>
      </c>
      <c r="C5512" s="4">
        <v>2294</v>
      </c>
      <c r="D5512" s="5" t="s">
        <v>8017</v>
      </c>
      <c r="E5512" s="6" t="str">
        <f>HYPERLINK("https://inpn.mnhn.fr/espece/cd_nom/42396","Exobasidium oxycocci Rostr. ex Shear, 1907")</f>
        <v>Exobasidium oxycocci Rostr. ex Shear, 1907</v>
      </c>
      <c r="F5512" s="5" t="s">
        <v>8018</v>
      </c>
      <c r="V5512" s="7" t="str">
        <f>HYPERLINK("#Liste_rouge!A"&amp;_xlfn.XMATCH("DD",Liste_rouge!A:A,2,1),"DD")</f>
        <v>DD</v>
      </c>
      <c r="AH5512" s="4" t="str">
        <f>HYPERLINK("#Statut_biogéographique!A"&amp;_xlfn.XMATCH("P",Statut_biogéographique!A:A,2,1),"P")</f>
        <v>P</v>
      </c>
      <c r="AP5512" s="4" t="s">
        <v>376</v>
      </c>
      <c r="AR5512" s="4" t="s">
        <v>377</v>
      </c>
    </row>
    <row r="5513" spans="1:44">
      <c r="A5513" s="4" t="s">
        <v>5</v>
      </c>
      <c r="B5513" s="4">
        <v>42397</v>
      </c>
      <c r="C5513" s="4">
        <v>4011</v>
      </c>
      <c r="D5513" s="5" t="s">
        <v>8019</v>
      </c>
      <c r="E5513" s="6" t="str">
        <f>HYPERLINK("https://inpn.mnhn.fr/espece/cd_nom/42397","Exobasidium pachysporum Nannf., 1981")</f>
        <v>Exobasidium pachysporum Nannf., 1981</v>
      </c>
      <c r="V5513" s="7" t="str">
        <f>HYPERLINK("#Liste_rouge!A"&amp;_xlfn.XMATCH("DD",Liste_rouge!A:A,2,1),"DD")</f>
        <v>DD</v>
      </c>
      <c r="AH5513" s="4" t="str">
        <f>HYPERLINK("#Statut_biogéographique!A"&amp;_xlfn.XMATCH("P",Statut_biogéographique!A:A,2,1),"P")</f>
        <v>P</v>
      </c>
      <c r="AP5513" s="4" t="s">
        <v>376</v>
      </c>
      <c r="AR5513" s="4" t="s">
        <v>377</v>
      </c>
    </row>
    <row r="5514" spans="1:44">
      <c r="A5514" s="4" t="s">
        <v>5</v>
      </c>
      <c r="B5514" s="4">
        <v>42400</v>
      </c>
      <c r="C5514" s="4">
        <v>2294</v>
      </c>
      <c r="D5514" s="5" t="s">
        <v>8020</v>
      </c>
      <c r="E5514" s="6" t="str">
        <f>HYPERLINK("https://inpn.mnhn.fr/espece/cd_nom/42400","Exobasidium rostrupii Nannf., 1981")</f>
        <v>Exobasidium rostrupii Nannf., 1981</v>
      </c>
      <c r="F5514" s="5" t="s">
        <v>8018</v>
      </c>
      <c r="V5514" s="7" t="str">
        <f>HYPERLINK("#Liste_rouge!A"&amp;_xlfn.XMATCH("DD",Liste_rouge!A:A,2,1),"DD")</f>
        <v>DD</v>
      </c>
      <c r="AH5514" s="4" t="str">
        <f>HYPERLINK("#Statut_biogéographique!A"&amp;_xlfn.XMATCH("P",Statut_biogéographique!A:A,2,1),"P")</f>
        <v>P</v>
      </c>
      <c r="AP5514" s="4" t="s">
        <v>376</v>
      </c>
      <c r="AR5514" s="4" t="s">
        <v>377</v>
      </c>
    </row>
    <row r="5515" spans="1:44">
      <c r="A5515" s="4" t="s">
        <v>5</v>
      </c>
      <c r="B5515" s="4">
        <v>42408</v>
      </c>
      <c r="C5515" s="4">
        <v>741</v>
      </c>
      <c r="D5515" s="5" t="s">
        <v>8021</v>
      </c>
      <c r="E5515" s="6" t="str">
        <f>HYPERLINK("https://inpn.mnhn.fr/espece/cd_nom/42408","Exobasidium vaccinii (Fuckel) Woronin, 1867")</f>
        <v>Exobasidium vaccinii (Fuckel) Woronin, 1867</v>
      </c>
      <c r="F5515" s="5" t="s">
        <v>8022</v>
      </c>
      <c r="V5515" s="7" t="str">
        <f>HYPERLINK("#Liste_rouge!A"&amp;_xlfn.XMATCH("DD",Liste_rouge!A:A,2,1),"DD")</f>
        <v>DD</v>
      </c>
      <c r="AH5515" s="4" t="str">
        <f>HYPERLINK("#Statut_biogéographique!A"&amp;_xlfn.XMATCH("P",Statut_biogéographique!A:A,2,1),"P")</f>
        <v>P</v>
      </c>
      <c r="AP5515" s="4" t="s">
        <v>376</v>
      </c>
      <c r="AR5515" s="4" t="s">
        <v>377</v>
      </c>
    </row>
    <row r="5516" spans="1:44" ht="30">
      <c r="A5516" s="4" t="s">
        <v>5</v>
      </c>
      <c r="B5516" s="4">
        <v>42439</v>
      </c>
      <c r="C5516" s="4">
        <v>1353</v>
      </c>
      <c r="D5516" s="5" t="s">
        <v>8023</v>
      </c>
      <c r="E5516" s="6" t="str">
        <f>HYPERLINK("https://inpn.mnhn.fr/espece/cd_nom/42439","Fibulomyces septentrionalis (J.Erikss.) Jülich, 1972")</f>
        <v>Fibulomyces septentrionalis (J.Erikss.) Jülich, 1972</v>
      </c>
      <c r="AH5516" s="4" t="str">
        <f>HYPERLINK("#Statut_biogéographique!A"&amp;_xlfn.XMATCH("P",Statut_biogéographique!A:A,2,1),"P")</f>
        <v>P</v>
      </c>
      <c r="AP5516" s="4" t="s">
        <v>376</v>
      </c>
      <c r="AR5516" s="4" t="s">
        <v>377</v>
      </c>
    </row>
    <row r="5517" spans="1:44">
      <c r="A5517" s="4" t="s">
        <v>5</v>
      </c>
      <c r="B5517" s="4">
        <v>42445</v>
      </c>
      <c r="C5517" s="4">
        <v>16</v>
      </c>
      <c r="D5517" s="5" t="s">
        <v>8024</v>
      </c>
      <c r="E5517" s="6" t="str">
        <f>HYPERLINK("https://inpn.mnhn.fr/espece/cd_nom/42445","Fistulina hepatica (Schaeff.) With., 1801")</f>
        <v>Fistulina hepatica (Schaeff.) With., 1801</v>
      </c>
      <c r="F5517" s="5" t="s">
        <v>8025</v>
      </c>
      <c r="V5517" s="7" t="str">
        <f>HYPERLINK("#Liste_rouge!A"&amp;_xlfn.XMATCH("LC",Liste_rouge!A:A,2,1),"LC")</f>
        <v>LC</v>
      </c>
      <c r="AH5517" s="4" t="str">
        <f>HYPERLINK("#Statut_biogéographique!A"&amp;_xlfn.XMATCH("P",Statut_biogéographique!A:A,2,1),"P")</f>
        <v>P</v>
      </c>
      <c r="AP5517" s="4" t="s">
        <v>376</v>
      </c>
      <c r="AR5517" s="4" t="s">
        <v>377</v>
      </c>
    </row>
    <row r="5518" spans="1:44" ht="30">
      <c r="A5518" s="4" t="s">
        <v>5</v>
      </c>
      <c r="B5518" s="4">
        <v>42469</v>
      </c>
      <c r="C5518" s="4">
        <v>6603</v>
      </c>
      <c r="D5518" s="5" t="s">
        <v>8026</v>
      </c>
      <c r="E5518" s="6" t="str">
        <f>HYPERLINK("https://inpn.mnhn.fr/espece/cd_nom/42469","Flagelloscypha marxmuelleri Agerer &amp; H. Schmit-Heckel")</f>
        <v>Flagelloscypha marxmuelleri Agerer &amp; H. Schmit-Heckel</v>
      </c>
      <c r="AH5518" s="4" t="str">
        <f>HYPERLINK("#Statut_biogéographique!A"&amp;_xlfn.XMATCH("P",Statut_biogéographique!A:A,2,1),"P")</f>
        <v>P</v>
      </c>
      <c r="AP5518" s="4" t="s">
        <v>376</v>
      </c>
      <c r="AR5518" s="4" t="s">
        <v>377</v>
      </c>
    </row>
    <row r="5519" spans="1:44" ht="45">
      <c r="A5519" s="4" t="s">
        <v>5</v>
      </c>
      <c r="B5519" s="4">
        <v>42470</v>
      </c>
      <c r="C5519" s="4">
        <v>5898</v>
      </c>
      <c r="D5519" s="5" t="s">
        <v>8027</v>
      </c>
      <c r="E5519" s="6" t="str">
        <f>HYPERLINK("https://inpn.mnhn.fr/espece/cd_nom/42470","Flagelloscypha minutissima (Burt) Donk, 1951")</f>
        <v>Flagelloscypha minutissima (Burt) Donk, 1951</v>
      </c>
      <c r="AH5519" s="4" t="str">
        <f>HYPERLINK("#Statut_biogéographique!A"&amp;_xlfn.XMATCH("P",Statut_biogéographique!A:A,2,1),"P")</f>
        <v>P</v>
      </c>
      <c r="AP5519" s="4" t="s">
        <v>376</v>
      </c>
      <c r="AR5519" s="4" t="s">
        <v>377</v>
      </c>
    </row>
    <row r="5520" spans="1:44">
      <c r="A5520" s="4" t="s">
        <v>5</v>
      </c>
      <c r="B5520" s="4">
        <v>42480</v>
      </c>
      <c r="C5520" s="4">
        <v>4351</v>
      </c>
      <c r="D5520" s="5" t="s">
        <v>8028</v>
      </c>
      <c r="E5520" s="6" t="str">
        <f>HYPERLINK("https://inpn.mnhn.fr/espece/cd_nom/42480","Lachnella ciliata (Saut.) W.B.Cooke, 1961")</f>
        <v>Lachnella ciliata (Saut.) W.B.Cooke, 1961</v>
      </c>
      <c r="F5520" s="5" t="s">
        <v>8029</v>
      </c>
      <c r="V5520" s="7" t="str">
        <f>HYPERLINK("#Liste_rouge!A"&amp;_xlfn.XMATCH("DD",Liste_rouge!A:A,2,1),"DD")</f>
        <v>DD</v>
      </c>
      <c r="AH5520" s="4" t="str">
        <f>HYPERLINK("#Statut_biogéographique!A"&amp;_xlfn.XMATCH("P",Statut_biogéographique!A:A,2,1),"P")</f>
        <v>P</v>
      </c>
      <c r="AP5520" s="4" t="s">
        <v>376</v>
      </c>
      <c r="AR5520" s="4" t="s">
        <v>377</v>
      </c>
    </row>
    <row r="5521" spans="1:44" ht="30">
      <c r="A5521" s="4" t="s">
        <v>5</v>
      </c>
      <c r="B5521" s="4">
        <v>42504</v>
      </c>
      <c r="C5521" s="4">
        <v>408</v>
      </c>
      <c r="D5521" s="5" t="s">
        <v>8030</v>
      </c>
      <c r="E5521" s="6" t="str">
        <f>HYPERLINK("https://inpn.mnhn.fr/espece/cd_nom/42504","Fomes fomentarius (L.) Fr., 1849")</f>
        <v>Fomes fomentarius (L.) Fr., 1849</v>
      </c>
      <c r="F5521" s="5" t="s">
        <v>8031</v>
      </c>
      <c r="V5521" s="7" t="str">
        <f>HYPERLINK("#Liste_rouge!A"&amp;_xlfn.XMATCH("LC",Liste_rouge!A:A,2,1),"LC")</f>
        <v>LC</v>
      </c>
      <c r="AH5521" s="4" t="str">
        <f>HYPERLINK("#Statut_biogéographique!A"&amp;_xlfn.XMATCH("P",Statut_biogéographique!A:A,2,1),"P")</f>
        <v>P</v>
      </c>
      <c r="AP5521" s="4" t="s">
        <v>376</v>
      </c>
      <c r="AR5521" s="4" t="s">
        <v>377</v>
      </c>
    </row>
    <row r="5522" spans="1:44" ht="60">
      <c r="A5522" s="4" t="s">
        <v>5</v>
      </c>
      <c r="B5522" s="4">
        <v>42514</v>
      </c>
      <c r="C5522" s="4">
        <v>190</v>
      </c>
      <c r="D5522" s="5" t="s">
        <v>8032</v>
      </c>
      <c r="E5522" s="6" t="str">
        <f>HYPERLINK("https://inpn.mnhn.fr/espece/cd_nom/42514","Fomitopsis pinicola (Sw.) P.Karst., 1881")</f>
        <v>Fomitopsis pinicola (Sw.) P.Karst., 1881</v>
      </c>
      <c r="F5522" s="5" t="s">
        <v>8033</v>
      </c>
      <c r="V5522" s="7" t="str">
        <f>HYPERLINK("#Liste_rouge!A"&amp;_xlfn.XMATCH("LC",Liste_rouge!A:A,2,1),"LC")</f>
        <v>LC</v>
      </c>
      <c r="AH5522" s="4" t="str">
        <f>HYPERLINK("#Statut_biogéographique!A"&amp;_xlfn.XMATCH("P",Statut_biogéographique!A:A,2,1),"P")</f>
        <v>P</v>
      </c>
      <c r="AP5522" s="4" t="s">
        <v>376</v>
      </c>
      <c r="AR5522" s="4" t="s">
        <v>377</v>
      </c>
    </row>
    <row r="5523" spans="1:44" ht="45">
      <c r="A5523" s="4" t="s">
        <v>5</v>
      </c>
      <c r="B5523" s="4">
        <v>42524</v>
      </c>
      <c r="C5523" s="4">
        <v>2371</v>
      </c>
      <c r="D5523" s="5" t="s">
        <v>8034</v>
      </c>
      <c r="E5523" s="6" t="str">
        <f>HYPERLINK("https://inpn.mnhn.fr/espece/cd_nom/42524","Funalia gallica (Fr.) Bondartsev &amp; Singer, 1941")</f>
        <v>Funalia gallica (Fr.) Bondartsev &amp; Singer, 1941</v>
      </c>
      <c r="F5523" s="5" t="s">
        <v>8035</v>
      </c>
      <c r="V5523" s="7" t="str">
        <f>HYPERLINK("#Liste_rouge!A"&amp;_xlfn.XMATCH("DD",Liste_rouge!A:A,2,1),"DD")</f>
        <v>DD</v>
      </c>
      <c r="AH5523" s="4" t="str">
        <f>HYPERLINK("#Statut_biogéographique!A"&amp;_xlfn.XMATCH("P",Statut_biogéographique!A:A,2,1),"P")</f>
        <v>P</v>
      </c>
      <c r="AP5523" s="4" t="s">
        <v>376</v>
      </c>
      <c r="AR5523" s="4" t="s">
        <v>377</v>
      </c>
    </row>
    <row r="5524" spans="1:44" ht="30">
      <c r="A5524" s="4" t="s">
        <v>5</v>
      </c>
      <c r="B5524" s="4">
        <v>42528</v>
      </c>
      <c r="C5524" s="4">
        <v>2108</v>
      </c>
      <c r="D5524" s="5" t="s">
        <v>8036</v>
      </c>
      <c r="E5524" s="6" t="str">
        <f>HYPERLINK("https://inpn.mnhn.fr/espece/cd_nom/42528","Funalia trogii (Berk.) Bondartsev &amp; Singer, 1941")</f>
        <v>Funalia trogii (Berk.) Bondartsev &amp; Singer, 1941</v>
      </c>
      <c r="F5524" s="5" t="s">
        <v>8037</v>
      </c>
      <c r="V5524" s="7" t="str">
        <f>HYPERLINK("#Liste_rouge!A"&amp;_xlfn.XMATCH("LC",Liste_rouge!A:A,2,1),"LC")</f>
        <v>LC</v>
      </c>
      <c r="AH5524" s="4" t="str">
        <f>HYPERLINK("#Statut_biogéographique!A"&amp;_xlfn.XMATCH("P",Statut_biogéographique!A:A,2,1),"P")</f>
        <v>P</v>
      </c>
      <c r="AP5524" s="4" t="s">
        <v>376</v>
      </c>
      <c r="AR5524" s="4" t="s">
        <v>377</v>
      </c>
    </row>
    <row r="5525" spans="1:44">
      <c r="A5525" s="4" t="s">
        <v>5</v>
      </c>
      <c r="B5525" s="4">
        <v>42534</v>
      </c>
      <c r="C5525" s="4">
        <v>6336</v>
      </c>
      <c r="D5525" s="5" t="s">
        <v>8038</v>
      </c>
      <c r="E5525" s="6" t="str">
        <f>HYPERLINK("https://inpn.mnhn.fr/espece/cd_nom/42534","Galzinia incrustans Parmasto, 1965")</f>
        <v>Galzinia incrustans Parmasto, 1965</v>
      </c>
      <c r="AH5525" s="4" t="str">
        <f>HYPERLINK("#Statut_biogéographique!A"&amp;_xlfn.XMATCH("P",Statut_biogéographique!A:A,2,1),"P")</f>
        <v>P</v>
      </c>
      <c r="AP5525" s="4" t="s">
        <v>376</v>
      </c>
      <c r="AR5525" s="4" t="s">
        <v>377</v>
      </c>
    </row>
    <row r="5526" spans="1:44" ht="30">
      <c r="A5526" s="4" t="s">
        <v>5</v>
      </c>
      <c r="B5526" s="4">
        <v>42542</v>
      </c>
      <c r="C5526" s="4">
        <v>1534</v>
      </c>
      <c r="D5526" s="5" t="s">
        <v>8039</v>
      </c>
      <c r="E5526" s="6" t="str">
        <f>HYPERLINK("https://inpn.mnhn.fr/espece/cd_nom/42542","Ganoderma australe (Fr.) Pat., 1889")</f>
        <v>Ganoderma australe (Fr.) Pat., 1889</v>
      </c>
      <c r="F5526" s="5" t="s">
        <v>8040</v>
      </c>
      <c r="V5526" s="7" t="str">
        <f>HYPERLINK("#Liste_rouge!A"&amp;_xlfn.XMATCH("LC",Liste_rouge!A:A,2,1),"LC")</f>
        <v>LC</v>
      </c>
      <c r="AH5526" s="4" t="str">
        <f>HYPERLINK("#Statut_biogéographique!A"&amp;_xlfn.XMATCH("P",Statut_biogéographique!A:A,2,1),"P")</f>
        <v>P</v>
      </c>
      <c r="AP5526" s="4" t="s">
        <v>376</v>
      </c>
      <c r="AR5526" s="4" t="s">
        <v>377</v>
      </c>
    </row>
    <row r="5527" spans="1:44">
      <c r="A5527" s="4" t="s">
        <v>5</v>
      </c>
      <c r="B5527" s="4">
        <v>42544</v>
      </c>
      <c r="C5527" s="4">
        <v>813</v>
      </c>
      <c r="D5527" s="5" t="s">
        <v>8041</v>
      </c>
      <c r="E5527" s="6" t="str">
        <f>HYPERLINK("https://inpn.mnhn.fr/espece/cd_nom/42544","Ganoderma carnosum Pat., 1889")</f>
        <v>Ganoderma carnosum Pat., 1889</v>
      </c>
      <c r="F5527" s="5" t="s">
        <v>8042</v>
      </c>
      <c r="V5527" s="7" t="str">
        <f>HYPERLINK("#Liste_rouge!A"&amp;_xlfn.XMATCH("LC",Liste_rouge!A:A,2,1),"LC")</f>
        <v>LC</v>
      </c>
      <c r="AH5527" s="4" t="str">
        <f>HYPERLINK("#Statut_biogéographique!A"&amp;_xlfn.XMATCH("P",Statut_biogéographique!A:A,2,1),"P")</f>
        <v>P</v>
      </c>
      <c r="AP5527" s="4" t="s">
        <v>376</v>
      </c>
      <c r="AR5527" s="4" t="s">
        <v>377</v>
      </c>
    </row>
    <row r="5528" spans="1:44" ht="30">
      <c r="A5528" s="4" t="s">
        <v>5</v>
      </c>
      <c r="B5528" s="4">
        <v>42549</v>
      </c>
      <c r="C5528" s="4">
        <v>183</v>
      </c>
      <c r="D5528" s="5" t="s">
        <v>8043</v>
      </c>
      <c r="E5528" s="6" t="str">
        <f>HYPERLINK("https://inpn.mnhn.fr/espece/cd_nom/42549","Ganoderma applanatum (Pers.) Pat., 1887")</f>
        <v>Ganoderma applanatum (Pers.) Pat., 1887</v>
      </c>
      <c r="F5528" s="5" t="s">
        <v>8044</v>
      </c>
      <c r="V5528" s="7" t="str">
        <f>HYPERLINK("#Liste_rouge!A"&amp;_xlfn.XMATCH("LC",Liste_rouge!A:A,2,1),"LC")</f>
        <v>LC</v>
      </c>
      <c r="AH5528" s="4" t="str">
        <f>HYPERLINK("#Statut_biogéographique!A"&amp;_xlfn.XMATCH("P",Statut_biogéographique!A:A,2,1),"P")</f>
        <v>P</v>
      </c>
      <c r="AP5528" s="4" t="s">
        <v>376</v>
      </c>
      <c r="AR5528" s="4" t="s">
        <v>377</v>
      </c>
    </row>
    <row r="5529" spans="1:44" ht="30">
      <c r="A5529" s="4" t="s">
        <v>5</v>
      </c>
      <c r="B5529" s="4">
        <v>42551</v>
      </c>
      <c r="C5529" s="4">
        <v>109</v>
      </c>
      <c r="D5529" s="5" t="s">
        <v>8045</v>
      </c>
      <c r="E5529" s="6" t="str">
        <f>HYPERLINK("https://inpn.mnhn.fr/espece/cd_nom/42551","Ganoderma lucidum (Curtis) P.Karst., 1881")</f>
        <v>Ganoderma lucidum (Curtis) P.Karst., 1881</v>
      </c>
      <c r="F5529" s="5" t="s">
        <v>8046</v>
      </c>
      <c r="V5529" s="7" t="str">
        <f>HYPERLINK("#Liste_rouge!A"&amp;_xlfn.XMATCH("LC",Liste_rouge!A:A,2,1),"LC")</f>
        <v>LC</v>
      </c>
      <c r="AH5529" s="4" t="str">
        <f>HYPERLINK("#Statut_biogéographique!A"&amp;_xlfn.XMATCH("P",Statut_biogéographique!A:A,2,1),"P")</f>
        <v>P</v>
      </c>
      <c r="AP5529" s="4" t="s">
        <v>376</v>
      </c>
      <c r="AR5529" s="4" t="s">
        <v>377</v>
      </c>
    </row>
    <row r="5530" spans="1:44">
      <c r="A5530" s="4" t="s">
        <v>5</v>
      </c>
      <c r="B5530" s="4">
        <v>42554</v>
      </c>
      <c r="C5530" s="4">
        <v>3080</v>
      </c>
      <c r="D5530" s="5" t="s">
        <v>8047</v>
      </c>
      <c r="E5530" s="6" t="str">
        <f>HYPERLINK("https://inpn.mnhn.fr/espece/cd_nom/42554","Ganoderma pfeifferi Bres., 1889")</f>
        <v>Ganoderma pfeifferi Bres., 1889</v>
      </c>
      <c r="F5530" s="5" t="s">
        <v>8048</v>
      </c>
      <c r="V5530" s="7" t="str">
        <f>HYPERLINK("#Liste_rouge!A"&amp;_xlfn.XMATCH("NT",Liste_rouge!A:A,2,1),"NT")</f>
        <v>NT</v>
      </c>
      <c r="W5530" s="4" t="str">
        <f>HYPERLINK("#Critères_liste_rouge!A$1","pr. B2abiii")</f>
        <v>pr. B2abiii</v>
      </c>
      <c r="Z5530" s="4" t="s">
        <v>447</v>
      </c>
      <c r="AA5530" s="4" t="s">
        <v>448</v>
      </c>
      <c r="AH5530" s="4" t="str">
        <f>HYPERLINK("#Statut_biogéographique!A"&amp;_xlfn.XMATCH("P",Statut_biogéographique!A:A,2,1),"P")</f>
        <v>P</v>
      </c>
      <c r="AP5530" s="4" t="s">
        <v>376</v>
      </c>
      <c r="AR5530" s="4" t="s">
        <v>377</v>
      </c>
    </row>
    <row r="5531" spans="1:44">
      <c r="A5531" s="4" t="s">
        <v>5</v>
      </c>
      <c r="B5531" s="4">
        <v>42558</v>
      </c>
      <c r="C5531" s="4">
        <v>3092</v>
      </c>
      <c r="D5531" s="5" t="s">
        <v>8049</v>
      </c>
      <c r="E5531" s="6" t="str">
        <f>HYPERLINK("https://inpn.mnhn.fr/espece/cd_nom/42558","Ganoderma resinaceum Boud., 1889")</f>
        <v>Ganoderma resinaceum Boud., 1889</v>
      </c>
      <c r="F5531" s="5" t="s">
        <v>8050</v>
      </c>
      <c r="V5531" s="7" t="str">
        <f>HYPERLINK("#Liste_rouge!A"&amp;_xlfn.XMATCH("LC",Liste_rouge!A:A,2,1),"LC")</f>
        <v>LC</v>
      </c>
      <c r="Z5531" s="4" t="s">
        <v>443</v>
      </c>
      <c r="AA5531" s="4" t="s">
        <v>444</v>
      </c>
      <c r="AH5531" s="4" t="str">
        <f>HYPERLINK("#Statut_biogéographique!A"&amp;_xlfn.XMATCH("P",Statut_biogéographique!A:A,2,1),"P")</f>
        <v>P</v>
      </c>
      <c r="AP5531" s="4" t="s">
        <v>376</v>
      </c>
      <c r="AR5531" s="4" t="s">
        <v>377</v>
      </c>
    </row>
    <row r="5532" spans="1:44">
      <c r="A5532" s="4" t="s">
        <v>5</v>
      </c>
      <c r="B5532" s="4">
        <v>42561</v>
      </c>
      <c r="C5532" s="4">
        <v>4449</v>
      </c>
      <c r="D5532" s="5" t="s">
        <v>8051</v>
      </c>
      <c r="E5532" s="6" t="str">
        <f>HYPERLINK("https://inpn.mnhn.fr/espece/cd_nom/42561","Ganoderma valesiacum Boud., 1895")</f>
        <v>Ganoderma valesiacum Boud., 1895</v>
      </c>
      <c r="F5532" s="5" t="s">
        <v>8052</v>
      </c>
      <c r="V5532" s="7" t="str">
        <f>HYPERLINK("#Liste_rouge!A"&amp;_xlfn.XMATCH("DD",Liste_rouge!A:A,2,1),"DD")</f>
        <v>DD</v>
      </c>
      <c r="AH5532" s="4" t="str">
        <f>HYPERLINK("#Statut_biogéographique!A"&amp;_xlfn.XMATCH("P",Statut_biogéographique!A:A,2,1),"P")</f>
        <v>P</v>
      </c>
      <c r="AP5532" s="4" t="s">
        <v>376</v>
      </c>
      <c r="AR5532" s="4" t="s">
        <v>377</v>
      </c>
    </row>
    <row r="5533" spans="1:44">
      <c r="A5533" s="4" t="s">
        <v>5</v>
      </c>
      <c r="B5533" s="4">
        <v>42593</v>
      </c>
      <c r="D5533" s="5" t="s">
        <v>8053</v>
      </c>
      <c r="E5533" s="6" t="str">
        <f>HYPERLINK("https://inpn.mnhn.fr/espece/cd_nom/42593","Megalocystidium luridum (Bres.) Jülich, 1978")</f>
        <v>Megalocystidium luridum (Bres.) Jülich, 1978</v>
      </c>
      <c r="AH5533" s="4" t="str">
        <f>HYPERLINK("#Statut_biogéographique!A"&amp;_xlfn.XMATCH("P",Statut_biogéographique!A:A,2,1),"P")</f>
        <v>P</v>
      </c>
      <c r="AP5533" s="4" t="s">
        <v>376</v>
      </c>
      <c r="AR5533" s="4" t="s">
        <v>377</v>
      </c>
    </row>
    <row r="5534" spans="1:44" ht="30">
      <c r="A5534" s="4" t="s">
        <v>5</v>
      </c>
      <c r="B5534" s="4">
        <v>42598</v>
      </c>
      <c r="C5534" s="4">
        <v>2893</v>
      </c>
      <c r="D5534" s="5" t="s">
        <v>8054</v>
      </c>
      <c r="E5534" s="6" t="str">
        <f>HYPERLINK("https://inpn.mnhn.fr/espece/cd_nom/42598","Gloeocystidiellum porosum (Berk. &amp; M.A.Curtis) Donk, 1931")</f>
        <v>Gloeocystidiellum porosum (Berk. &amp; M.A.Curtis) Donk, 1931</v>
      </c>
      <c r="V5534" s="7" t="str">
        <f>HYPERLINK("#Liste_rouge!A"&amp;_xlfn.XMATCH("LC",Liste_rouge!A:A,2,1),"LC")</f>
        <v>LC</v>
      </c>
      <c r="AH5534" s="4" t="str">
        <f>HYPERLINK("#Statut_biogéographique!A"&amp;_xlfn.XMATCH("P",Statut_biogéographique!A:A,2,1),"P")</f>
        <v>P</v>
      </c>
      <c r="AP5534" s="4" t="s">
        <v>376</v>
      </c>
      <c r="AR5534" s="4" t="s">
        <v>377</v>
      </c>
    </row>
    <row r="5535" spans="1:44" ht="30">
      <c r="A5535" s="4" t="s">
        <v>5</v>
      </c>
      <c r="B5535" s="4">
        <v>42603</v>
      </c>
      <c r="C5535" s="4">
        <v>1165</v>
      </c>
      <c r="D5535" s="5" t="s">
        <v>8055</v>
      </c>
      <c r="E5535" s="6" t="str">
        <f>HYPERLINK("https://inpn.mnhn.fr/espece/cd_nom/42603","Gloeophyllum abietinum (Bull.) P.Karst., 1882")</f>
        <v>Gloeophyllum abietinum (Bull.) P.Karst., 1882</v>
      </c>
      <c r="F5535" s="5" t="s">
        <v>8056</v>
      </c>
      <c r="V5535" s="7" t="str">
        <f>HYPERLINK("#Liste_rouge!A"&amp;_xlfn.XMATCH("LC",Liste_rouge!A:A,2,1),"LC")</f>
        <v>LC</v>
      </c>
      <c r="AH5535" s="4" t="str">
        <f>HYPERLINK("#Statut_biogéographique!A"&amp;_xlfn.XMATCH("P",Statut_biogéographique!A:A,2,1),"P")</f>
        <v>P</v>
      </c>
      <c r="AP5535" s="4" t="s">
        <v>376</v>
      </c>
      <c r="AR5535" s="4" t="s">
        <v>377</v>
      </c>
    </row>
    <row r="5536" spans="1:44" ht="30">
      <c r="A5536" s="4" t="s">
        <v>5</v>
      </c>
      <c r="B5536" s="4">
        <v>42607</v>
      </c>
      <c r="C5536" s="4">
        <v>533</v>
      </c>
      <c r="D5536" s="5" t="s">
        <v>8057</v>
      </c>
      <c r="E5536" s="6" t="str">
        <f>HYPERLINK("https://inpn.mnhn.fr/espece/cd_nom/42607","Gloeophyllum odoratum (Wulfen) Imazeki, 1943")</f>
        <v>Gloeophyllum odoratum (Wulfen) Imazeki, 1943</v>
      </c>
      <c r="F5536" s="5" t="s">
        <v>8058</v>
      </c>
      <c r="V5536" s="7" t="str">
        <f>HYPERLINK("#Liste_rouge!A"&amp;_xlfn.XMATCH("LC",Liste_rouge!A:A,2,1),"LC")</f>
        <v>LC</v>
      </c>
      <c r="AH5536" s="4" t="str">
        <f>HYPERLINK("#Statut_biogéographique!A"&amp;_xlfn.XMATCH("P",Statut_biogéographique!A:A,2,1),"P")</f>
        <v>P</v>
      </c>
      <c r="AP5536" s="4" t="s">
        <v>376</v>
      </c>
      <c r="AR5536" s="4" t="s">
        <v>377</v>
      </c>
    </row>
    <row r="5537" spans="1:44" ht="30">
      <c r="A5537" s="4" t="s">
        <v>5</v>
      </c>
      <c r="B5537" s="4">
        <v>42614</v>
      </c>
      <c r="C5537" s="4">
        <v>506</v>
      </c>
      <c r="D5537" s="5" t="s">
        <v>8059</v>
      </c>
      <c r="E5537" s="6" t="str">
        <f>HYPERLINK("https://inpn.mnhn.fr/espece/cd_nom/42614","Gloeophyllum sepiarium (Wulfen) P.Karst., 1882")</f>
        <v>Gloeophyllum sepiarium (Wulfen) P.Karst., 1882</v>
      </c>
      <c r="F5537" s="5" t="s">
        <v>8060</v>
      </c>
      <c r="V5537" s="7" t="str">
        <f>HYPERLINK("#Liste_rouge!A"&amp;_xlfn.XMATCH("LC",Liste_rouge!A:A,2,1),"LC")</f>
        <v>LC</v>
      </c>
      <c r="AH5537" s="4" t="str">
        <f>HYPERLINK("#Statut_biogéographique!A"&amp;_xlfn.XMATCH("P",Statut_biogéographique!A:A,2,1),"P")</f>
        <v>P</v>
      </c>
      <c r="AP5537" s="4" t="s">
        <v>376</v>
      </c>
      <c r="AR5537" s="4" t="s">
        <v>377</v>
      </c>
    </row>
    <row r="5538" spans="1:44" ht="45">
      <c r="A5538" s="4" t="s">
        <v>5</v>
      </c>
      <c r="B5538" s="4">
        <v>42621</v>
      </c>
      <c r="C5538" s="4">
        <v>3079</v>
      </c>
      <c r="D5538" s="5" t="s">
        <v>8061</v>
      </c>
      <c r="E5538" s="6" t="str">
        <f>HYPERLINK("https://inpn.mnhn.fr/espece/cd_nom/42621","Gloeophyllum trabeum (Pers.) Murrill, 1908")</f>
        <v>Gloeophyllum trabeum (Pers.) Murrill, 1908</v>
      </c>
      <c r="F5538" s="5" t="s">
        <v>8062</v>
      </c>
      <c r="V5538" s="7" t="str">
        <f>HYPERLINK("#Liste_rouge!A"&amp;_xlfn.XMATCH("LC",Liste_rouge!A:A,2,1),"LC")</f>
        <v>LC</v>
      </c>
      <c r="AH5538" s="4" t="str">
        <f>HYPERLINK("#Statut_biogéographique!A"&amp;_xlfn.XMATCH("P",Statut_biogéographique!A:A,2,1),"P")</f>
        <v>P</v>
      </c>
      <c r="AP5538" s="4" t="s">
        <v>376</v>
      </c>
      <c r="AR5538" s="4" t="s">
        <v>377</v>
      </c>
    </row>
    <row r="5539" spans="1:44">
      <c r="A5539" s="4" t="s">
        <v>5</v>
      </c>
      <c r="B5539" s="4">
        <v>42626</v>
      </c>
      <c r="C5539" s="4">
        <v>2051</v>
      </c>
      <c r="D5539" s="5" t="s">
        <v>8063</v>
      </c>
      <c r="E5539" s="6" t="str">
        <f>HYPERLINK("https://inpn.mnhn.fr/espece/cd_nom/42626","Gloeoporus dichrous (Fr.) Bres., 1912")</f>
        <v>Gloeoporus dichrous (Fr.) Bres., 1912</v>
      </c>
      <c r="F5539" s="5" t="s">
        <v>8064</v>
      </c>
      <c r="V5539" s="7" t="str">
        <f>HYPERLINK("#Liste_rouge!A"&amp;_xlfn.XMATCH("LC",Liste_rouge!A:A,2,1),"LC")</f>
        <v>LC</v>
      </c>
      <c r="AH5539" s="4" t="str">
        <f>HYPERLINK("#Statut_biogéographique!A"&amp;_xlfn.XMATCH("P",Statut_biogéographique!A:A,2,1),"P")</f>
        <v>P</v>
      </c>
      <c r="AP5539" s="4" t="s">
        <v>376</v>
      </c>
      <c r="AR5539" s="4" t="s">
        <v>377</v>
      </c>
    </row>
    <row r="5540" spans="1:44">
      <c r="A5540" s="4" t="s">
        <v>5</v>
      </c>
      <c r="B5540" s="4">
        <v>42632</v>
      </c>
      <c r="C5540" s="4">
        <v>4797</v>
      </c>
      <c r="D5540" s="5" t="s">
        <v>8065</v>
      </c>
      <c r="E5540" s="6" t="str">
        <f>HYPERLINK("https://inpn.mnhn.fr/espece/cd_nom/42632","Gloiodon strigosus (Sw.) P.Karst., 1879")</f>
        <v>Gloiodon strigosus (Sw.) P.Karst., 1879</v>
      </c>
      <c r="V5540" s="7" t="str">
        <f>HYPERLINK("#Liste_rouge!A"&amp;_xlfn.XMATCH("DD",Liste_rouge!A:A,2,1),"DD")</f>
        <v>DD</v>
      </c>
      <c r="Z5540" s="4" t="s">
        <v>447</v>
      </c>
      <c r="AA5540" s="4" t="s">
        <v>448</v>
      </c>
      <c r="AH5540" s="4" t="str">
        <f>HYPERLINK("#Statut_biogéographique!A"&amp;_xlfn.XMATCH("P",Statut_biogéographique!A:A,2,1),"P")</f>
        <v>P</v>
      </c>
      <c r="AP5540" s="4" t="s">
        <v>376</v>
      </c>
      <c r="AR5540" s="4" t="s">
        <v>377</v>
      </c>
    </row>
    <row r="5541" spans="1:44" ht="30">
      <c r="A5541" s="4" t="s">
        <v>5</v>
      </c>
      <c r="B5541" s="4">
        <v>42644</v>
      </c>
      <c r="C5541" s="4">
        <v>41</v>
      </c>
      <c r="D5541" s="5" t="s">
        <v>8066</v>
      </c>
      <c r="E5541" s="6" t="str">
        <f>HYPERLINK("https://inpn.mnhn.fr/espece/cd_nom/42644","Grifola frondosa (Dicks.) Gray, 1821")</f>
        <v>Grifola frondosa (Dicks.) Gray, 1821</v>
      </c>
      <c r="F5541" s="5" t="s">
        <v>8067</v>
      </c>
      <c r="V5541" s="7" t="str">
        <f>HYPERLINK("#Liste_rouge!A"&amp;_xlfn.XMATCH("LC",Liste_rouge!A:A,2,1),"LC")</f>
        <v>LC</v>
      </c>
      <c r="AH5541" s="4" t="str">
        <f>HYPERLINK("#Statut_biogéographique!A"&amp;_xlfn.XMATCH("P",Statut_biogéographique!A:A,2,1),"P")</f>
        <v>P</v>
      </c>
      <c r="AP5541" s="4" t="s">
        <v>376</v>
      </c>
      <c r="AR5541" s="4" t="s">
        <v>377</v>
      </c>
    </row>
    <row r="5542" spans="1:44" ht="45">
      <c r="A5542" s="4" t="s">
        <v>5</v>
      </c>
      <c r="B5542" s="4">
        <v>42660</v>
      </c>
      <c r="C5542" s="4">
        <v>2602</v>
      </c>
      <c r="D5542" s="5" t="s">
        <v>8068</v>
      </c>
      <c r="E5542" s="6" t="str">
        <f>HYPERLINK("https://inpn.mnhn.fr/espece/cd_nom/42660","Gymnosporangium clavariiforme (Wulfen) DC., 1805")</f>
        <v>Gymnosporangium clavariiforme (Wulfen) DC., 1805</v>
      </c>
      <c r="V5542" s="7" t="str">
        <f>HYPERLINK("#Liste_rouge!A"&amp;_xlfn.XMATCH("DD",Liste_rouge!A:A,2,1),"DD")</f>
        <v>DD</v>
      </c>
      <c r="AH5542" s="4" t="str">
        <f>HYPERLINK("#Statut_biogéographique!A"&amp;_xlfn.XMATCH("P",Statut_biogéographique!A:A,2,1),"P")</f>
        <v>P</v>
      </c>
      <c r="AP5542" s="4" t="s">
        <v>376</v>
      </c>
      <c r="AR5542" s="4" t="s">
        <v>377</v>
      </c>
    </row>
    <row r="5543" spans="1:44" ht="30">
      <c r="A5543" s="4" t="s">
        <v>5</v>
      </c>
      <c r="B5543" s="4">
        <v>42662</v>
      </c>
      <c r="C5543" s="4">
        <v>2135</v>
      </c>
      <c r="D5543" s="5" t="s">
        <v>8069</v>
      </c>
      <c r="E5543" s="6" t="str">
        <f>HYPERLINK("https://inpn.mnhn.fr/espece/cd_nom/42662","Gymnosporangium tremelloides R.Hartig, 1882")</f>
        <v>Gymnosporangium tremelloides R.Hartig, 1882</v>
      </c>
      <c r="V5543" s="7" t="str">
        <f>HYPERLINK("#Liste_rouge!A"&amp;_xlfn.XMATCH("DD",Liste_rouge!A:A,2,1),"DD")</f>
        <v>DD</v>
      </c>
      <c r="AH5543" s="4" t="str">
        <f>HYPERLINK("#Statut_biogéographique!A"&amp;_xlfn.XMATCH("P",Statut_biogéographique!A:A,2,1),"P")</f>
        <v>P</v>
      </c>
      <c r="AP5543" s="4" t="s">
        <v>376</v>
      </c>
      <c r="AR5543" s="4" t="s">
        <v>377</v>
      </c>
    </row>
    <row r="5544" spans="1:44" ht="45">
      <c r="A5544" s="4" t="s">
        <v>5</v>
      </c>
      <c r="B5544" s="4">
        <v>42664</v>
      </c>
      <c r="C5544" s="4">
        <v>2358</v>
      </c>
      <c r="D5544" s="5" t="s">
        <v>8070</v>
      </c>
      <c r="E5544" s="6" t="str">
        <f>HYPERLINK("https://inpn.mnhn.fr/espece/cd_nom/42664","Hapalopilus croceus (Pers.) Donk, 1933")</f>
        <v>Hapalopilus croceus (Pers.) Donk, 1933</v>
      </c>
      <c r="F5544" s="5" t="s">
        <v>8071</v>
      </c>
      <c r="Z5544" s="4" t="s">
        <v>695</v>
      </c>
      <c r="AA5544" s="4" t="s">
        <v>696</v>
      </c>
      <c r="AH5544" s="4" t="str">
        <f>HYPERLINK("#Statut_biogéographique!A"&amp;_xlfn.XMATCH("P",Statut_biogéographique!A:A,2,1),"P")</f>
        <v>P</v>
      </c>
      <c r="AP5544" s="4" t="s">
        <v>376</v>
      </c>
      <c r="AR5544" s="4" t="s">
        <v>377</v>
      </c>
    </row>
    <row r="5545" spans="1:44" ht="30">
      <c r="A5545" s="4" t="s">
        <v>5</v>
      </c>
      <c r="B5545" s="4">
        <v>42667</v>
      </c>
      <c r="C5545" s="4">
        <v>833</v>
      </c>
      <c r="D5545" s="5" t="s">
        <v>8072</v>
      </c>
      <c r="E5545" s="6" t="str">
        <f>HYPERLINK("https://inpn.mnhn.fr/espece/cd_nom/42667","Hapalopilus rutilans (Pers.) Murrill, 1904")</f>
        <v>Hapalopilus rutilans (Pers.) Murrill, 1904</v>
      </c>
      <c r="F5545" s="5" t="s">
        <v>8073</v>
      </c>
      <c r="V5545" s="7" t="str">
        <f>HYPERLINK("#Liste_rouge!A"&amp;_xlfn.XMATCH("LC",Liste_rouge!A:A,2,1),"LC")</f>
        <v>LC</v>
      </c>
      <c r="AH5545" s="4" t="str">
        <f>HYPERLINK("#Statut_biogéographique!A"&amp;_xlfn.XMATCH("P",Statut_biogéographique!A:A,2,1),"P")</f>
        <v>P</v>
      </c>
      <c r="AP5545" s="4" t="s">
        <v>376</v>
      </c>
      <c r="AR5545" s="4" t="s">
        <v>377</v>
      </c>
    </row>
    <row r="5546" spans="1:44" ht="30">
      <c r="A5546" s="4" t="s">
        <v>5</v>
      </c>
      <c r="B5546" s="4">
        <v>42672</v>
      </c>
      <c r="C5546" s="4">
        <v>4697</v>
      </c>
      <c r="D5546" s="5" t="s">
        <v>8074</v>
      </c>
      <c r="E5546" s="6" t="str">
        <f>HYPERLINK("https://inpn.mnhn.fr/espece/cd_nom/42672","Hapalopilus salmonicolor (Berk. &amp; M.A.Curtis) Pouzar, 1967")</f>
        <v>Hapalopilus salmonicolor (Berk. &amp; M.A.Curtis) Pouzar, 1967</v>
      </c>
      <c r="F5546" s="5" t="s">
        <v>8075</v>
      </c>
      <c r="V5546" s="7" t="str">
        <f>HYPERLINK("#Liste_rouge!A"&amp;_xlfn.XMATCH("DD",Liste_rouge!A:A,2,1),"DD")</f>
        <v>DD</v>
      </c>
      <c r="Z5546" s="4" t="s">
        <v>447</v>
      </c>
      <c r="AA5546" s="4" t="s">
        <v>448</v>
      </c>
      <c r="AH5546" s="4" t="str">
        <f>HYPERLINK("#Statut_biogéographique!A"&amp;_xlfn.XMATCH("P",Statut_biogéographique!A:A,2,1),"P")</f>
        <v>P</v>
      </c>
      <c r="AP5546" s="4" t="s">
        <v>376</v>
      </c>
      <c r="AR5546" s="4" t="s">
        <v>377</v>
      </c>
    </row>
    <row r="5547" spans="1:44" ht="30">
      <c r="A5547" s="4" t="s">
        <v>5</v>
      </c>
      <c r="B5547" s="4">
        <v>42682</v>
      </c>
      <c r="C5547" s="4">
        <v>4727</v>
      </c>
      <c r="D5547" s="5" t="s">
        <v>8076</v>
      </c>
      <c r="E5547" s="6" t="str">
        <f>HYPERLINK("https://inpn.mnhn.fr/espece/cd_nom/42682","Helicobasidium brebissonii (Desm.) Donk, 1958")</f>
        <v>Helicobasidium brebissonii (Desm.) Donk, 1958</v>
      </c>
      <c r="AH5547" s="4" t="str">
        <f>HYPERLINK("#Statut_biogéographique!A"&amp;_xlfn.XMATCH("P",Statut_biogéographique!A:A,2,1),"P")</f>
        <v>P</v>
      </c>
      <c r="AP5547" s="4" t="s">
        <v>376</v>
      </c>
      <c r="AR5547" s="4" t="s">
        <v>377</v>
      </c>
    </row>
    <row r="5548" spans="1:44" ht="30">
      <c r="A5548" s="4" t="s">
        <v>5</v>
      </c>
      <c r="B5548" s="4">
        <v>42694</v>
      </c>
      <c r="C5548" s="4">
        <v>4707</v>
      </c>
      <c r="D5548" s="5" t="s">
        <v>8077</v>
      </c>
      <c r="E5548" s="6" t="str">
        <f>HYPERLINK("https://inpn.mnhn.fr/espece/cd_nom/42694","Henningsomyces candidus (Pers.) Kuntze, 1898")</f>
        <v>Henningsomyces candidus (Pers.) Kuntze, 1898</v>
      </c>
      <c r="V5548" s="7" t="str">
        <f>HYPERLINK("#Liste_rouge!A"&amp;_xlfn.XMATCH("DD",Liste_rouge!A:A,2,1),"DD")</f>
        <v>DD</v>
      </c>
      <c r="Z5548" s="4" t="s">
        <v>443</v>
      </c>
      <c r="AA5548" s="4" t="s">
        <v>444</v>
      </c>
      <c r="AH5548" s="4" t="str">
        <f>HYPERLINK("#Statut_biogéographique!A"&amp;_xlfn.XMATCH("P",Statut_biogéographique!A:A,2,1),"P")</f>
        <v>P</v>
      </c>
      <c r="AP5548" s="4" t="s">
        <v>376</v>
      </c>
      <c r="AR5548" s="4" t="s">
        <v>377</v>
      </c>
    </row>
    <row r="5549" spans="1:44">
      <c r="A5549" s="4" t="s">
        <v>5</v>
      </c>
      <c r="B5549" s="4">
        <v>42702</v>
      </c>
      <c r="C5549" s="4">
        <v>2472</v>
      </c>
      <c r="D5549" s="5" t="s">
        <v>8078</v>
      </c>
      <c r="E5549" s="6" t="str">
        <f>HYPERLINK("https://inpn.mnhn.fr/espece/cd_nom/42702","Hericium clathroides (Pall.) Pers., 1797")</f>
        <v>Hericium clathroides (Pall.) Pers., 1797</v>
      </c>
      <c r="F5549" s="5" t="s">
        <v>8079</v>
      </c>
      <c r="V5549" s="7" t="str">
        <f>HYPERLINK("#Liste_rouge!A"&amp;_xlfn.XMATCH("RE",Liste_rouge!A:A,2,1),"RE")</f>
        <v>RE</v>
      </c>
      <c r="Z5549" s="4" t="s">
        <v>512</v>
      </c>
      <c r="AA5549" s="4" t="s">
        <v>513</v>
      </c>
      <c r="AH5549" s="4" t="str">
        <f>HYPERLINK("#Statut_biogéographique!A"&amp;_xlfn.XMATCH("P",Statut_biogéographique!A:A,2,1),"P")</f>
        <v>P</v>
      </c>
      <c r="AP5549" s="4" t="s">
        <v>376</v>
      </c>
      <c r="AR5549" s="4" t="s">
        <v>377</v>
      </c>
    </row>
    <row r="5550" spans="1:44">
      <c r="A5550" s="4" t="s">
        <v>5</v>
      </c>
      <c r="B5550" s="4">
        <v>42709</v>
      </c>
      <c r="C5550" s="4">
        <v>3767</v>
      </c>
      <c r="D5550" s="5" t="s">
        <v>8080</v>
      </c>
      <c r="E5550" s="6" t="str">
        <f>HYPERLINK("https://inpn.mnhn.fr/espece/cd_nom/42709","Hericium flagellum (Scop.) Pers., 1797")</f>
        <v>Hericium flagellum (Scop.) Pers., 1797</v>
      </c>
      <c r="F5550" s="5" t="s">
        <v>8081</v>
      </c>
      <c r="V5550" s="7" t="str">
        <f>HYPERLINK("#Liste_rouge!A"&amp;_xlfn.XMATCH("CR",Liste_rouge!A:A,2,1),"CR")</f>
        <v>CR</v>
      </c>
      <c r="W5550" s="4" t="str">
        <f>HYPERLINK("#Critères_liste_rouge!A$1","B2abiii")</f>
        <v>B2abiii</v>
      </c>
      <c r="Z5550" s="4" t="s">
        <v>512</v>
      </c>
      <c r="AA5550" s="4" t="s">
        <v>513</v>
      </c>
      <c r="AH5550" s="4" t="str">
        <f>HYPERLINK("#Statut_biogéographique!A"&amp;_xlfn.XMATCH("P",Statut_biogéographique!A:A,2,1),"P")</f>
        <v>P</v>
      </c>
      <c r="AP5550" s="4" t="s">
        <v>376</v>
      </c>
      <c r="AR5550" s="4" t="s">
        <v>377</v>
      </c>
    </row>
    <row r="5551" spans="1:44" ht="45">
      <c r="A5551" s="4" t="s">
        <v>5</v>
      </c>
      <c r="B5551" s="4">
        <v>42712</v>
      </c>
      <c r="C5551" s="4">
        <v>3085</v>
      </c>
      <c r="D5551" s="5" t="s">
        <v>8082</v>
      </c>
      <c r="E5551" s="6" t="str">
        <f>HYPERLINK("https://inpn.mnhn.fr/espece/cd_nom/42712","Hericium coralloides (Scop.) Pers., 1794")</f>
        <v>Hericium coralloides (Scop.) Pers., 1794</v>
      </c>
      <c r="F5551" s="5" t="s">
        <v>8083</v>
      </c>
      <c r="V5551" s="7" t="str">
        <f>HYPERLINK("#Liste_rouge!A"&amp;_xlfn.XMATCH("DD",Liste_rouge!A:A,2,1),"DD")</f>
        <v>DD</v>
      </c>
      <c r="Z5551" s="4" t="s">
        <v>512</v>
      </c>
      <c r="AA5551" s="4" t="s">
        <v>513</v>
      </c>
      <c r="AH5551" s="4" t="str">
        <f>HYPERLINK("#Statut_biogéographique!A"&amp;_xlfn.XMATCH("P",Statut_biogéographique!A:A,2,1),"P")</f>
        <v>P</v>
      </c>
      <c r="AP5551" s="4" t="s">
        <v>376</v>
      </c>
      <c r="AR5551" s="4" t="s">
        <v>377</v>
      </c>
    </row>
    <row r="5552" spans="1:44">
      <c r="A5552" s="4" t="s">
        <v>5</v>
      </c>
      <c r="B5552" s="4">
        <v>42716</v>
      </c>
      <c r="C5552" s="4">
        <v>3306</v>
      </c>
      <c r="D5552" s="5" t="s">
        <v>8084</v>
      </c>
      <c r="E5552" s="6" t="str">
        <f>HYPERLINK("https://inpn.mnhn.fr/espece/cd_nom/42716","Herpobasidium filicinum (Rostr.) Lind, 1908")</f>
        <v>Herpobasidium filicinum (Rostr.) Lind, 1908</v>
      </c>
      <c r="V5552" s="7" t="str">
        <f>HYPERLINK("#Liste_rouge!A"&amp;_xlfn.XMATCH("DD",Liste_rouge!A:A,2,1),"DD")</f>
        <v>DD</v>
      </c>
      <c r="AH5552" s="4" t="str">
        <f>HYPERLINK("#Statut_biogéographique!A"&amp;_xlfn.XMATCH("P",Statut_biogéographique!A:A,2,1),"P")</f>
        <v>P</v>
      </c>
      <c r="AP5552" s="4" t="s">
        <v>376</v>
      </c>
      <c r="AR5552" s="4" t="s">
        <v>377</v>
      </c>
    </row>
    <row r="5553" spans="1:44" ht="60">
      <c r="A5553" s="4" t="s">
        <v>5</v>
      </c>
      <c r="B5553" s="4">
        <v>42721</v>
      </c>
      <c r="C5553" s="4">
        <v>354</v>
      </c>
      <c r="D5553" s="5" t="s">
        <v>8085</v>
      </c>
      <c r="E5553" s="6" t="str">
        <f>HYPERLINK("https://inpn.mnhn.fr/espece/cd_nom/42721","Heterobasidion annosum (Fr.) Bref., 1888")</f>
        <v>Heterobasidion annosum (Fr.) Bref., 1888</v>
      </c>
      <c r="F5553" s="5" t="s">
        <v>8086</v>
      </c>
      <c r="V5553" s="7" t="str">
        <f>HYPERLINK("#Liste_rouge!A"&amp;_xlfn.XMATCH("LC",Liste_rouge!A:A,2,1),"LC")</f>
        <v>LC</v>
      </c>
      <c r="AH5553" s="4" t="str">
        <f>HYPERLINK("#Statut_biogéographique!A"&amp;_xlfn.XMATCH("P",Statut_biogéographique!A:A,2,1),"P")</f>
        <v>P</v>
      </c>
      <c r="AP5553" s="4" t="s">
        <v>376</v>
      </c>
      <c r="AR5553" s="4" t="s">
        <v>377</v>
      </c>
    </row>
    <row r="5554" spans="1:44" ht="30">
      <c r="A5554" s="4" t="s">
        <v>5</v>
      </c>
      <c r="B5554" s="4">
        <v>42737</v>
      </c>
      <c r="C5554" s="4">
        <v>2165</v>
      </c>
      <c r="D5554" s="5" t="s">
        <v>8087</v>
      </c>
      <c r="E5554" s="6" t="str">
        <f>HYPERLINK("https://inpn.mnhn.fr/espece/cd_nom/42737","Hydnellum aurantiacum (Batsch) P.Karst., 1879")</f>
        <v>Hydnellum aurantiacum (Batsch) P.Karst., 1879</v>
      </c>
      <c r="F5554" s="5" t="s">
        <v>8088</v>
      </c>
      <c r="V5554" s="7" t="str">
        <f>HYPERLINK("#Liste_rouge!A"&amp;_xlfn.XMATCH("VU",Liste_rouge!A:A,2,1),"VU")</f>
        <v>VU</v>
      </c>
      <c r="W5554" s="4" t="str">
        <f>HYPERLINK("#Critères_liste_rouge!A$1","A2c")</f>
        <v>A2c</v>
      </c>
      <c r="Z5554" s="4" t="s">
        <v>447</v>
      </c>
      <c r="AA5554" s="4" t="s">
        <v>448</v>
      </c>
      <c r="AH5554" s="4" t="str">
        <f>HYPERLINK("#Statut_biogéographique!A"&amp;_xlfn.XMATCH("P",Statut_biogéographique!A:A,2,1),"P")</f>
        <v>P</v>
      </c>
      <c r="AP5554" s="4" t="s">
        <v>376</v>
      </c>
      <c r="AR5554" s="4" t="s">
        <v>377</v>
      </c>
    </row>
    <row r="5555" spans="1:44" ht="30">
      <c r="A5555" s="4" t="s">
        <v>5</v>
      </c>
      <c r="B5555" s="4">
        <v>42741</v>
      </c>
      <c r="C5555" s="4">
        <v>5253</v>
      </c>
      <c r="D5555" s="5" t="s">
        <v>8089</v>
      </c>
      <c r="E5555" s="6" t="str">
        <f>HYPERLINK("https://inpn.mnhn.fr/espece/cd_nom/42741","Hydnellum auratile (Britzelm.) Maas Geest., 1959")</f>
        <v>Hydnellum auratile (Britzelm.) Maas Geest., 1959</v>
      </c>
      <c r="V5555" s="7" t="str">
        <f>HYPERLINK("#Liste_rouge!A"&amp;_xlfn.XMATCH("DD",Liste_rouge!A:A,2,1),"DD")</f>
        <v>DD</v>
      </c>
      <c r="Z5555" s="4" t="s">
        <v>447</v>
      </c>
      <c r="AA5555" s="4" t="s">
        <v>448</v>
      </c>
      <c r="AH5555" s="4" t="str">
        <f>HYPERLINK("#Statut_biogéographique!A"&amp;_xlfn.XMATCH("P",Statut_biogéographique!A:A,2,1),"P")</f>
        <v>P</v>
      </c>
      <c r="AP5555" s="4" t="s">
        <v>376</v>
      </c>
      <c r="AR5555" s="4" t="s">
        <v>377</v>
      </c>
    </row>
    <row r="5556" spans="1:44" ht="30">
      <c r="A5556" s="4" t="s">
        <v>5</v>
      </c>
      <c r="B5556" s="4">
        <v>42743</v>
      </c>
      <c r="C5556" s="4">
        <v>440</v>
      </c>
      <c r="D5556" s="5" t="s">
        <v>8090</v>
      </c>
      <c r="E5556" s="6" t="str">
        <f>HYPERLINK("https://inpn.mnhn.fr/espece/cd_nom/42743","Hydnellum caeruleum (Hornem.) P.Karst., 1879")</f>
        <v>Hydnellum caeruleum (Hornem.) P.Karst., 1879</v>
      </c>
      <c r="F5556" s="5" t="s">
        <v>8091</v>
      </c>
      <c r="V5556" s="7" t="str">
        <f>HYPERLINK("#Liste_rouge!A"&amp;_xlfn.XMATCH("EN",Liste_rouge!A:A,2,1),"EN")</f>
        <v>EN</v>
      </c>
      <c r="W5556" s="4" t="str">
        <f>HYPERLINK("#Critères_liste_rouge!A$1","B2abiii")</f>
        <v>B2abiii</v>
      </c>
      <c r="Z5556" s="4" t="s">
        <v>695</v>
      </c>
      <c r="AA5556" s="4" t="s">
        <v>696</v>
      </c>
      <c r="AH5556" s="4" t="str">
        <f>HYPERLINK("#Statut_biogéographique!A"&amp;_xlfn.XMATCH("P",Statut_biogéographique!A:A,2,1),"P")</f>
        <v>P</v>
      </c>
      <c r="AP5556" s="4" t="s">
        <v>376</v>
      </c>
      <c r="AR5556" s="4" t="s">
        <v>377</v>
      </c>
    </row>
    <row r="5557" spans="1:44">
      <c r="A5557" s="4" t="s">
        <v>5</v>
      </c>
      <c r="B5557" s="4">
        <v>42748</v>
      </c>
      <c r="C5557" s="4">
        <v>4348</v>
      </c>
      <c r="D5557" s="5" t="s">
        <v>8092</v>
      </c>
      <c r="E5557" s="6" t="str">
        <f>HYPERLINK("https://inpn.mnhn.fr/espece/cd_nom/42748","Hydnellum compactum (Pers.) P.Karst., 1879")</f>
        <v>Hydnellum compactum (Pers.) P.Karst., 1879</v>
      </c>
      <c r="F5557" s="5" t="s">
        <v>8093</v>
      </c>
      <c r="V5557" s="7" t="str">
        <f>HYPERLINK("#Liste_rouge!A"&amp;_xlfn.XMATCH("DD",Liste_rouge!A:A,2,1),"DD")</f>
        <v>DD</v>
      </c>
      <c r="Z5557" s="4" t="s">
        <v>695</v>
      </c>
      <c r="AA5557" s="4" t="s">
        <v>696</v>
      </c>
      <c r="AH5557" s="4" t="str">
        <f>HYPERLINK("#Statut_biogéographique!A"&amp;_xlfn.XMATCH("P",Statut_biogéographique!A:A,2,1),"P")</f>
        <v>P</v>
      </c>
      <c r="AP5557" s="4" t="s">
        <v>376</v>
      </c>
      <c r="AR5557" s="4" t="s">
        <v>377</v>
      </c>
    </row>
    <row r="5558" spans="1:44" ht="30">
      <c r="A5558" s="4" t="s">
        <v>5</v>
      </c>
      <c r="B5558" s="4">
        <v>42751</v>
      </c>
      <c r="C5558" s="4">
        <v>829</v>
      </c>
      <c r="D5558" s="5" t="s">
        <v>8094</v>
      </c>
      <c r="E5558" s="6" t="str">
        <f>HYPERLINK("https://inpn.mnhn.fr/espece/cd_nom/42751","Hydnellum concrescens (Pers.) Banker, 1906")</f>
        <v>Hydnellum concrescens (Pers.) Banker, 1906</v>
      </c>
      <c r="F5558" s="5" t="s">
        <v>8095</v>
      </c>
      <c r="V5558" s="7" t="str">
        <f>HYPERLINK("#Liste_rouge!A"&amp;_xlfn.XMATCH("NT",Liste_rouge!A:A,2,1),"NT")</f>
        <v>NT</v>
      </c>
      <c r="W5558" s="4" t="str">
        <f>HYPERLINK("#Critères_liste_rouge!A$1","pr. B2abiii")</f>
        <v>pr. B2abiii</v>
      </c>
      <c r="AH5558" s="4" t="str">
        <f>HYPERLINK("#Statut_biogéographique!A"&amp;_xlfn.XMATCH("P",Statut_biogéographique!A:A,2,1),"P")</f>
        <v>P</v>
      </c>
      <c r="AP5558" s="4" t="s">
        <v>376</v>
      </c>
      <c r="AR5558" s="4" t="s">
        <v>377</v>
      </c>
    </row>
    <row r="5559" spans="1:44" ht="30">
      <c r="A5559" s="4" t="s">
        <v>5</v>
      </c>
      <c r="B5559" s="4">
        <v>42757</v>
      </c>
      <c r="C5559" s="4">
        <v>683</v>
      </c>
      <c r="D5559" s="5" t="s">
        <v>8096</v>
      </c>
      <c r="E5559" s="6" t="str">
        <f>HYPERLINK("https://inpn.mnhn.fr/espece/cd_nom/42757","Hydnellum ferrugineum (Fr.) P.Karst., 1879")</f>
        <v>Hydnellum ferrugineum (Fr.) P.Karst., 1879</v>
      </c>
      <c r="F5559" s="5" t="s">
        <v>8097</v>
      </c>
      <c r="V5559" s="7" t="str">
        <f>HYPERLINK("#Liste_rouge!A"&amp;_xlfn.XMATCH("NT",Liste_rouge!A:A,2,1),"NT")</f>
        <v>NT</v>
      </c>
      <c r="W5559" s="4" t="str">
        <f>HYPERLINK("#Critères_liste_rouge!A$1","pr. B2abiii")</f>
        <v>pr. B2abiii</v>
      </c>
      <c r="AH5559" s="4" t="str">
        <f>HYPERLINK("#Statut_biogéographique!A"&amp;_xlfn.XMATCH("P",Statut_biogéographique!A:A,2,1),"P")</f>
        <v>P</v>
      </c>
      <c r="AP5559" s="4" t="s">
        <v>376</v>
      </c>
      <c r="AR5559" s="4" t="s">
        <v>377</v>
      </c>
    </row>
    <row r="5560" spans="1:44" ht="30">
      <c r="A5560" s="4" t="s">
        <v>5</v>
      </c>
      <c r="B5560" s="4">
        <v>42762</v>
      </c>
      <c r="C5560" s="4">
        <v>3084</v>
      </c>
      <c r="D5560" s="5" t="s">
        <v>8098</v>
      </c>
      <c r="E5560" s="6" t="str">
        <f>HYPERLINK("https://inpn.mnhn.fr/espece/cd_nom/42762","Hydnellum geogenium (Fr.) Banker, 1913")</f>
        <v>Hydnellum geogenium (Fr.) Banker, 1913</v>
      </c>
      <c r="F5560" s="5" t="s">
        <v>8099</v>
      </c>
      <c r="V5560" s="7" t="str">
        <f>HYPERLINK("#Liste_rouge!A"&amp;_xlfn.XMATCH("NT",Liste_rouge!A:A,2,1),"NT")</f>
        <v>NT</v>
      </c>
      <c r="W5560" s="4" t="str">
        <f>HYPERLINK("#Critères_liste_rouge!A$1","pr. B2abiii")</f>
        <v>pr. B2abiii</v>
      </c>
      <c r="AH5560" s="4" t="str">
        <f>HYPERLINK("#Statut_biogéographique!A"&amp;_xlfn.XMATCH("P",Statut_biogéographique!A:A,2,1),"P")</f>
        <v>P</v>
      </c>
      <c r="AP5560" s="4" t="s">
        <v>376</v>
      </c>
      <c r="AR5560" s="4" t="s">
        <v>377</v>
      </c>
    </row>
    <row r="5561" spans="1:44">
      <c r="A5561" s="4" t="s">
        <v>5</v>
      </c>
      <c r="B5561" s="4">
        <v>42767</v>
      </c>
      <c r="C5561" s="4">
        <v>2366</v>
      </c>
      <c r="D5561" s="5" t="s">
        <v>8100</v>
      </c>
      <c r="E5561" s="6" t="str">
        <f>HYPERLINK("https://inpn.mnhn.fr/espece/cd_nom/42767","Hydnellum mirabile (Fr.) P.Karst., 1879")</f>
        <v>Hydnellum mirabile (Fr.) P.Karst., 1879</v>
      </c>
      <c r="F5561" s="5" t="s">
        <v>8101</v>
      </c>
      <c r="V5561" s="7" t="str">
        <f>HYPERLINK("#Liste_rouge!A"&amp;_xlfn.XMATCH("RE",Liste_rouge!A:A,2,1),"RE")</f>
        <v>RE</v>
      </c>
      <c r="Z5561" s="4" t="s">
        <v>695</v>
      </c>
      <c r="AA5561" s="4" t="s">
        <v>696</v>
      </c>
      <c r="AH5561" s="4" t="str">
        <f>HYPERLINK("#Statut_biogéographique!A"&amp;_xlfn.XMATCH("P",Statut_biogéographique!A:A,2,1),"P")</f>
        <v>P</v>
      </c>
      <c r="AP5561" s="4" t="s">
        <v>376</v>
      </c>
      <c r="AR5561" s="4" t="s">
        <v>377</v>
      </c>
    </row>
    <row r="5562" spans="1:44">
      <c r="A5562" s="4" t="s">
        <v>5</v>
      </c>
      <c r="B5562" s="4">
        <v>42771</v>
      </c>
      <c r="C5562" s="4">
        <v>3173</v>
      </c>
      <c r="D5562" s="5" t="s">
        <v>8102</v>
      </c>
      <c r="E5562" s="6" t="str">
        <f>HYPERLINK("https://inpn.mnhn.fr/espece/cd_nom/42771","Hydnellum peckii Banker, 1912")</f>
        <v>Hydnellum peckii Banker, 1912</v>
      </c>
      <c r="F5562" s="5" t="s">
        <v>8103</v>
      </c>
      <c r="V5562" s="7" t="str">
        <f>HYPERLINK("#Liste_rouge!A"&amp;_xlfn.XMATCH("VU",Liste_rouge!A:A,2,1),"VU")</f>
        <v>VU</v>
      </c>
      <c r="W5562" s="4" t="str">
        <f>HYPERLINK("#Critères_liste_rouge!A$1","B2abiii")</f>
        <v>B2abiii</v>
      </c>
      <c r="Z5562" s="4" t="s">
        <v>447</v>
      </c>
      <c r="AA5562" s="4" t="s">
        <v>448</v>
      </c>
      <c r="AH5562" s="4" t="str">
        <f>HYPERLINK("#Statut_biogéographique!A"&amp;_xlfn.XMATCH("P",Statut_biogéographique!A:A,2,1),"P")</f>
        <v>P</v>
      </c>
      <c r="AP5562" s="4" t="s">
        <v>376</v>
      </c>
      <c r="AR5562" s="4" t="s">
        <v>377</v>
      </c>
    </row>
    <row r="5563" spans="1:44">
      <c r="A5563" s="4" t="s">
        <v>5</v>
      </c>
      <c r="B5563" s="4">
        <v>42775</v>
      </c>
      <c r="C5563" s="4">
        <v>1272</v>
      </c>
      <c r="D5563" s="5" t="s">
        <v>8104</v>
      </c>
      <c r="E5563" s="6" t="str">
        <f>HYPERLINK("https://inpn.mnhn.fr/espece/cd_nom/42775","Hydnellum scrobiculatum (Fr.) P.Karst., 1879")</f>
        <v>Hydnellum scrobiculatum (Fr.) P.Karst., 1879</v>
      </c>
      <c r="F5563" s="5" t="s">
        <v>8105</v>
      </c>
      <c r="V5563" s="7" t="str">
        <f>HYPERLINK("#Liste_rouge!A"&amp;_xlfn.XMATCH("LC",Liste_rouge!A:A,2,1),"LC")</f>
        <v>LC</v>
      </c>
      <c r="AH5563" s="4" t="str">
        <f>HYPERLINK("#Statut_biogéographique!A"&amp;_xlfn.XMATCH("P",Statut_biogéographique!A:A,2,1),"P")</f>
        <v>P</v>
      </c>
      <c r="AP5563" s="4" t="s">
        <v>376</v>
      </c>
      <c r="AR5563" s="4" t="s">
        <v>377</v>
      </c>
    </row>
    <row r="5564" spans="1:44">
      <c r="A5564" s="4" t="s">
        <v>5</v>
      </c>
      <c r="B5564" s="4">
        <v>42784</v>
      </c>
      <c r="C5564" s="4">
        <v>780</v>
      </c>
      <c r="D5564" s="5" t="s">
        <v>8106</v>
      </c>
      <c r="E5564" s="6" t="str">
        <f>HYPERLINK("https://inpn.mnhn.fr/espece/cd_nom/42784","Hydnellum suaveolens (Scop.) P.Karst., 1879")</f>
        <v>Hydnellum suaveolens (Scop.) P.Karst., 1879</v>
      </c>
      <c r="F5564" s="5" t="s">
        <v>8107</v>
      </c>
      <c r="V5564" s="7" t="str">
        <f>HYPERLINK("#Liste_rouge!A"&amp;_xlfn.XMATCH("LC",Liste_rouge!A:A,2,1),"LC")</f>
        <v>LC</v>
      </c>
      <c r="AH5564" s="4" t="str">
        <f>HYPERLINK("#Statut_biogéographique!A"&amp;_xlfn.XMATCH("P",Statut_biogéographique!A:A,2,1),"P")</f>
        <v>P</v>
      </c>
      <c r="AP5564" s="4" t="s">
        <v>376</v>
      </c>
      <c r="AR5564" s="4" t="s">
        <v>377</v>
      </c>
    </row>
    <row r="5565" spans="1:44">
      <c r="A5565" s="4" t="s">
        <v>5</v>
      </c>
      <c r="B5565" s="4">
        <v>42792</v>
      </c>
      <c r="C5565" s="4">
        <v>19</v>
      </c>
      <c r="D5565" s="5" t="s">
        <v>8108</v>
      </c>
      <c r="E5565" s="6" t="str">
        <f>HYPERLINK("https://inpn.mnhn.fr/espece/cd_nom/42792","Hydnum repandum L., 1753")</f>
        <v>Hydnum repandum L., 1753</v>
      </c>
      <c r="F5565" s="5" t="s">
        <v>8109</v>
      </c>
      <c r="O5565" s="7" t="str">
        <f>HYPERLINK("#Liste_rouge!A"&amp;_xlfn.XMATCH("LC",Liste_rouge!A:A,2,1),"LC")</f>
        <v>LC</v>
      </c>
      <c r="V5565" s="7" t="str">
        <f>HYPERLINK("#Liste_rouge!A"&amp;_xlfn.XMATCH("LC",Liste_rouge!A:A,2,1),"LC")</f>
        <v>LC</v>
      </c>
      <c r="AH5565" s="4" t="str">
        <f>HYPERLINK("#Statut_biogéographique!A"&amp;_xlfn.XMATCH("P",Statut_biogéographique!A:A,2,1),"P")</f>
        <v>P</v>
      </c>
      <c r="AP5565" s="4" t="s">
        <v>376</v>
      </c>
      <c r="AR5565" s="4" t="s">
        <v>377</v>
      </c>
    </row>
    <row r="5566" spans="1:44">
      <c r="A5566" s="4" t="s">
        <v>5</v>
      </c>
      <c r="B5566" s="4">
        <v>42796</v>
      </c>
      <c r="C5566" s="4">
        <v>17</v>
      </c>
      <c r="D5566" s="5" t="s">
        <v>8110</v>
      </c>
      <c r="E5566" s="6" t="str">
        <f>HYPERLINK("https://inpn.mnhn.fr/espece/cd_nom/42796","Hydnum rufescens Pers., 1800")</f>
        <v>Hydnum rufescens Pers., 1800</v>
      </c>
      <c r="F5566" s="5" t="s">
        <v>8111</v>
      </c>
      <c r="V5566" s="7" t="str">
        <f>HYPERLINK("#Liste_rouge!A"&amp;_xlfn.XMATCH("LC",Liste_rouge!A:A,2,1),"LC")</f>
        <v>LC</v>
      </c>
      <c r="AH5566" s="4" t="str">
        <f>HYPERLINK("#Statut_biogéographique!A"&amp;_xlfn.XMATCH("P",Statut_biogéographique!A:A,2,1),"P")</f>
        <v>P</v>
      </c>
      <c r="AP5566" s="4" t="s">
        <v>376</v>
      </c>
      <c r="AR5566" s="4" t="s">
        <v>377</v>
      </c>
    </row>
    <row r="5567" spans="1:44" ht="30">
      <c r="A5567" s="4" t="s">
        <v>5</v>
      </c>
      <c r="B5567" s="4">
        <v>42800</v>
      </c>
      <c r="C5567" s="4">
        <v>2712</v>
      </c>
      <c r="D5567" s="5" t="s">
        <v>8112</v>
      </c>
      <c r="E5567" s="6" t="str">
        <f>HYPERLINK("https://inpn.mnhn.fr/espece/cd_nom/42800","Hymenochaete cinnamomea (Pers.) Bres., 1897")</f>
        <v>Hymenochaete cinnamomea (Pers.) Bres., 1897</v>
      </c>
      <c r="F5567" s="5" t="s">
        <v>8113</v>
      </c>
      <c r="V5567" s="7" t="str">
        <f>HYPERLINK("#Liste_rouge!A"&amp;_xlfn.XMATCH("DD",Liste_rouge!A:A,2,1),"DD")</f>
        <v>DD</v>
      </c>
      <c r="AH5567" s="4" t="str">
        <f>HYPERLINK("#Statut_biogéographique!A"&amp;_xlfn.XMATCH("P",Statut_biogéographique!A:A,2,1),"P")</f>
        <v>P</v>
      </c>
      <c r="AP5567" s="4" t="s">
        <v>376</v>
      </c>
      <c r="AR5567" s="4" t="s">
        <v>377</v>
      </c>
    </row>
    <row r="5568" spans="1:44">
      <c r="A5568" s="4" t="s">
        <v>5</v>
      </c>
      <c r="B5568" s="4">
        <v>42804</v>
      </c>
      <c r="C5568" s="4">
        <v>1568</v>
      </c>
      <c r="D5568" s="5" t="s">
        <v>8114</v>
      </c>
      <c r="E5568" s="6" t="str">
        <f>HYPERLINK("https://inpn.mnhn.fr/espece/cd_nom/42804","Hymenochaete corrugata (Fr.) Lév., 1846")</f>
        <v>Hymenochaete corrugata (Fr.) Lév., 1846</v>
      </c>
      <c r="V5568" s="7" t="str">
        <f>HYPERLINK("#Liste_rouge!A"&amp;_xlfn.XMATCH("LC",Liste_rouge!A:A,2,1),"LC")</f>
        <v>LC</v>
      </c>
      <c r="AH5568" s="4" t="str">
        <f>HYPERLINK("#Statut_biogéographique!A"&amp;_xlfn.XMATCH("P",Statut_biogéographique!A:A,2,1),"P")</f>
        <v>P</v>
      </c>
      <c r="AP5568" s="4" t="s">
        <v>376</v>
      </c>
      <c r="AR5568" s="4" t="s">
        <v>377</v>
      </c>
    </row>
    <row r="5569" spans="1:44" ht="30">
      <c r="A5569" s="4" t="s">
        <v>5</v>
      </c>
      <c r="B5569" s="4">
        <v>42807</v>
      </c>
      <c r="C5569" s="4">
        <v>1219</v>
      </c>
      <c r="D5569" s="5" t="s">
        <v>8115</v>
      </c>
      <c r="E5569" s="6" t="str">
        <f>HYPERLINK("https://inpn.mnhn.fr/espece/cd_nom/42807","Hymenochaete cruenta (Pers.) Donk, 1959")</f>
        <v>Hymenochaete cruenta (Pers.) Donk, 1959</v>
      </c>
      <c r="V5569" s="7" t="str">
        <f>HYPERLINK("#Liste_rouge!A"&amp;_xlfn.XMATCH("VU",Liste_rouge!A:A,2,1),"VU")</f>
        <v>VU</v>
      </c>
      <c r="W5569" s="4" t="str">
        <f>HYPERLINK("#Critères_liste_rouge!A$1","A2c")</f>
        <v>A2c</v>
      </c>
      <c r="Z5569" s="4" t="s">
        <v>443</v>
      </c>
      <c r="AA5569" s="4" t="s">
        <v>444</v>
      </c>
      <c r="AH5569" s="4" t="str">
        <f>HYPERLINK("#Statut_biogéographique!A"&amp;_xlfn.XMATCH("P",Statut_biogéographique!A:A,2,1),"P")</f>
        <v>P</v>
      </c>
      <c r="AP5569" s="4" t="s">
        <v>376</v>
      </c>
      <c r="AR5569" s="4" t="s">
        <v>377</v>
      </c>
    </row>
    <row r="5570" spans="1:44" ht="30">
      <c r="A5570" s="4" t="s">
        <v>5</v>
      </c>
      <c r="B5570" s="4">
        <v>42815</v>
      </c>
      <c r="C5570" s="4">
        <v>410</v>
      </c>
      <c r="D5570" s="5" t="s">
        <v>8116</v>
      </c>
      <c r="E5570" s="6" t="str">
        <f>HYPERLINK("https://inpn.mnhn.fr/espece/cd_nom/42815","Hymenochaete rubiginosa (Dicks.) Lév., 1846")</f>
        <v>Hymenochaete rubiginosa (Dicks.) Lév., 1846</v>
      </c>
      <c r="F5570" s="5" t="s">
        <v>8117</v>
      </c>
      <c r="V5570" s="7" t="str">
        <f>HYPERLINK("#Liste_rouge!A"&amp;_xlfn.XMATCH("LC",Liste_rouge!A:A,2,1),"LC")</f>
        <v>LC</v>
      </c>
      <c r="AH5570" s="4" t="str">
        <f>HYPERLINK("#Statut_biogéographique!A"&amp;_xlfn.XMATCH("P",Statut_biogéographique!A:A,2,1),"P")</f>
        <v>P</v>
      </c>
      <c r="AP5570" s="4" t="s">
        <v>376</v>
      </c>
      <c r="AR5570" s="4" t="s">
        <v>377</v>
      </c>
    </row>
    <row r="5571" spans="1:44" ht="45">
      <c r="A5571" s="4" t="s">
        <v>5</v>
      </c>
      <c r="B5571" s="4">
        <v>42820</v>
      </c>
      <c r="D5571" s="5" t="s">
        <v>8118</v>
      </c>
      <c r="E5571" s="6" t="str">
        <f>HYPERLINK("https://inpn.mnhn.fr/espece/cd_nom/42820","Hymenochaete tabacina (Sowerby) Lév., 1846")</f>
        <v>Hymenochaete tabacina (Sowerby) Lév., 1846</v>
      </c>
      <c r="V5571" s="7" t="str">
        <f>HYPERLINK("#Liste_rouge!A"&amp;_xlfn.XMATCH("LC",Liste_rouge!A:A,2,1),"LC")</f>
        <v>LC</v>
      </c>
      <c r="AH5571" s="4" t="str">
        <f>HYPERLINK("#Statut_biogéographique!A"&amp;_xlfn.XMATCH("P",Statut_biogéographique!A:A,2,1),"P")</f>
        <v>P</v>
      </c>
      <c r="AP5571" s="4" t="s">
        <v>376</v>
      </c>
      <c r="AR5571" s="4" t="s">
        <v>377</v>
      </c>
    </row>
    <row r="5572" spans="1:44" ht="30">
      <c r="A5572" s="4" t="s">
        <v>5</v>
      </c>
      <c r="B5572" s="4">
        <v>42827</v>
      </c>
      <c r="C5572" s="4">
        <v>3348</v>
      </c>
      <c r="D5572" s="5" t="s">
        <v>8119</v>
      </c>
      <c r="E5572" s="6" t="str">
        <f>HYPERLINK("https://inpn.mnhn.fr/espece/cd_nom/42827","Hyphoderma argillaceum (Bres.) Donk, 1957")</f>
        <v>Hyphoderma argillaceum (Bres.) Donk, 1957</v>
      </c>
      <c r="V5572" s="7" t="str">
        <f>HYPERLINK("#Liste_rouge!A"&amp;_xlfn.XMATCH("DD",Liste_rouge!A:A,2,1),"DD")</f>
        <v>DD</v>
      </c>
      <c r="AH5572" s="4" t="str">
        <f>HYPERLINK("#Statut_biogéographique!A"&amp;_xlfn.XMATCH("P",Statut_biogéographique!A:A,2,1),"P")</f>
        <v>P</v>
      </c>
      <c r="AP5572" s="4" t="s">
        <v>376</v>
      </c>
      <c r="AR5572" s="4" t="s">
        <v>377</v>
      </c>
    </row>
    <row r="5573" spans="1:44" ht="30">
      <c r="A5573" s="4" t="s">
        <v>5</v>
      </c>
      <c r="B5573" s="4">
        <v>42833</v>
      </c>
      <c r="C5573" s="4">
        <v>3349</v>
      </c>
      <c r="D5573" s="5" t="s">
        <v>8120</v>
      </c>
      <c r="E5573" s="6" t="str">
        <f>HYPERLINK("https://inpn.mnhn.fr/espece/cd_nom/42833","Hyphoderma capitatum J.Erikss. &amp; Å.Strid, 1975")</f>
        <v>Hyphoderma capitatum J.Erikss. &amp; Å.Strid, 1975</v>
      </c>
      <c r="V5573" s="7" t="str">
        <f>HYPERLINK("#Liste_rouge!A"&amp;_xlfn.XMATCH("DD",Liste_rouge!A:A,2,1),"DD")</f>
        <v>DD</v>
      </c>
      <c r="Z5573" s="4" t="s">
        <v>443</v>
      </c>
      <c r="AA5573" s="4" t="s">
        <v>444</v>
      </c>
      <c r="AH5573" s="4" t="str">
        <f>HYPERLINK("#Statut_biogéographique!A"&amp;_xlfn.XMATCH("P",Statut_biogéographique!A:A,2,1),"P")</f>
        <v>P</v>
      </c>
      <c r="AP5573" s="4" t="s">
        <v>376</v>
      </c>
      <c r="AR5573" s="4" t="s">
        <v>377</v>
      </c>
    </row>
    <row r="5574" spans="1:44" ht="30">
      <c r="A5574" s="4" t="s">
        <v>5</v>
      </c>
      <c r="B5574" s="4">
        <v>42836</v>
      </c>
      <c r="C5574" s="4">
        <v>3350</v>
      </c>
      <c r="D5574" s="5" t="s">
        <v>8121</v>
      </c>
      <c r="E5574" s="6" t="str">
        <f>HYPERLINK("https://inpn.mnhn.fr/espece/cd_nom/42836","Hyphoderma cremeoalbum (Höhn. &amp; Litsch.) Jülich, 1974")</f>
        <v>Hyphoderma cremeoalbum (Höhn. &amp; Litsch.) Jülich, 1974</v>
      </c>
      <c r="V5574" s="7" t="str">
        <f>HYPERLINK("#Liste_rouge!A"&amp;_xlfn.XMATCH("DD",Liste_rouge!A:A,2,1),"DD")</f>
        <v>DD</v>
      </c>
      <c r="AH5574" s="4" t="str">
        <f>HYPERLINK("#Statut_biogéographique!A"&amp;_xlfn.XMATCH("P",Statut_biogéographique!A:A,2,1),"P")</f>
        <v>P</v>
      </c>
      <c r="AP5574" s="4" t="s">
        <v>376</v>
      </c>
      <c r="AR5574" s="4" t="s">
        <v>377</v>
      </c>
    </row>
    <row r="5575" spans="1:44" ht="30">
      <c r="A5575" s="4" t="s">
        <v>5</v>
      </c>
      <c r="B5575" s="4">
        <v>42838</v>
      </c>
      <c r="C5575" s="4">
        <v>4859</v>
      </c>
      <c r="D5575" s="5" t="s">
        <v>8122</v>
      </c>
      <c r="E5575" s="6" t="str">
        <f>HYPERLINK("https://inpn.mnhn.fr/espece/cd_nom/42838","Hyphoderma definitum (H.S.Jacks.) Donk, 1957")</f>
        <v>Hyphoderma definitum (H.S.Jacks.) Donk, 1957</v>
      </c>
      <c r="V5575" s="7" t="str">
        <f>HYPERLINK("#Liste_rouge!A"&amp;_xlfn.XMATCH("DD",Liste_rouge!A:A,2,1),"DD")</f>
        <v>DD</v>
      </c>
      <c r="AH5575" s="4" t="str">
        <f>HYPERLINK("#Statut_biogéographique!A"&amp;_xlfn.XMATCH("P",Statut_biogéographique!A:A,2,1),"P")</f>
        <v>P</v>
      </c>
      <c r="AP5575" s="4" t="s">
        <v>376</v>
      </c>
      <c r="AR5575" s="4" t="s">
        <v>377</v>
      </c>
    </row>
    <row r="5576" spans="1:44" ht="30">
      <c r="A5576" s="4" t="s">
        <v>5</v>
      </c>
      <c r="B5576" s="4">
        <v>42851</v>
      </c>
      <c r="C5576" s="4">
        <v>3351</v>
      </c>
      <c r="D5576" s="5" t="s">
        <v>8123</v>
      </c>
      <c r="E5576" s="6" t="str">
        <f>HYPERLINK("https://inpn.mnhn.fr/espece/cd_nom/42851","Hyphoderma litschaueri (Burt) J.Erikss. &amp; Å.Strid, 1975")</f>
        <v>Hyphoderma litschaueri (Burt) J.Erikss. &amp; Å.Strid, 1975</v>
      </c>
      <c r="V5576" s="7" t="str">
        <f>HYPERLINK("#Liste_rouge!A"&amp;_xlfn.XMATCH("DD",Liste_rouge!A:A,2,1),"DD")</f>
        <v>DD</v>
      </c>
      <c r="AH5576" s="4" t="str">
        <f>HYPERLINK("#Statut_biogéographique!A"&amp;_xlfn.XMATCH("P",Statut_biogéographique!A:A,2,1),"P")</f>
        <v>P</v>
      </c>
      <c r="AP5576" s="4" t="s">
        <v>376</v>
      </c>
      <c r="AR5576" s="4" t="s">
        <v>377</v>
      </c>
    </row>
    <row r="5577" spans="1:44">
      <c r="A5577" s="4" t="s">
        <v>5</v>
      </c>
      <c r="B5577" s="4">
        <v>42870</v>
      </c>
      <c r="C5577" s="4">
        <v>4541</v>
      </c>
      <c r="D5577" s="5" t="s">
        <v>8124</v>
      </c>
      <c r="E5577" s="6" t="str">
        <f>HYPERLINK("https://inpn.mnhn.fr/espece/cd_nom/42870","Hyphoderma mutatum (Peck) Donk, 1957")</f>
        <v>Hyphoderma mutatum (Peck) Donk, 1957</v>
      </c>
      <c r="V5577" s="7" t="str">
        <f>HYPERLINK("#Liste_rouge!A"&amp;_xlfn.XMATCH("DD",Liste_rouge!A:A,2,1),"DD")</f>
        <v>DD</v>
      </c>
      <c r="AH5577" s="4" t="str">
        <f>HYPERLINK("#Statut_biogéographique!A"&amp;_xlfn.XMATCH("P",Statut_biogéographique!A:A,2,1),"P")</f>
        <v>P</v>
      </c>
      <c r="AP5577" s="4" t="s">
        <v>376</v>
      </c>
      <c r="AR5577" s="4" t="s">
        <v>377</v>
      </c>
    </row>
    <row r="5578" spans="1:44" ht="30">
      <c r="A5578" s="4" t="s">
        <v>5</v>
      </c>
      <c r="B5578" s="4">
        <v>42874</v>
      </c>
      <c r="C5578" s="4">
        <v>2909</v>
      </c>
      <c r="D5578" s="5" t="s">
        <v>8125</v>
      </c>
      <c r="E5578" s="6" t="str">
        <f>HYPERLINK("https://inpn.mnhn.fr/espece/cd_nom/42874","Hyphoderma obtusiforme J.Erikss. &amp; Å.Strid, 1975")</f>
        <v>Hyphoderma obtusiforme J.Erikss. &amp; Å.Strid, 1975</v>
      </c>
      <c r="V5578" s="7" t="str">
        <f>HYPERLINK("#Liste_rouge!A"&amp;_xlfn.XMATCH("DD",Liste_rouge!A:A,2,1),"DD")</f>
        <v>DD</v>
      </c>
      <c r="AH5578" s="4" t="str">
        <f>HYPERLINK("#Statut_biogéographique!A"&amp;_xlfn.XMATCH("P",Statut_biogéographique!A:A,2,1),"P")</f>
        <v>P</v>
      </c>
      <c r="AP5578" s="4" t="s">
        <v>376</v>
      </c>
      <c r="AR5578" s="4" t="s">
        <v>377</v>
      </c>
    </row>
    <row r="5579" spans="1:44" ht="30">
      <c r="A5579" s="4" t="s">
        <v>5</v>
      </c>
      <c r="B5579" s="4">
        <v>42882</v>
      </c>
      <c r="C5579" s="4">
        <v>3352</v>
      </c>
      <c r="D5579" s="5" t="s">
        <v>8126</v>
      </c>
      <c r="E5579" s="6" t="str">
        <f>HYPERLINK("https://inpn.mnhn.fr/espece/cd_nom/42882","Hyphoderma praetermissum (P.Karst.) J.Erikss. &amp; Å.Strid, 1975")</f>
        <v>Hyphoderma praetermissum (P.Karst.) J.Erikss. &amp; Å.Strid, 1975</v>
      </c>
      <c r="V5579" s="7" t="str">
        <f>HYPERLINK("#Liste_rouge!A"&amp;_xlfn.XMATCH("DD",Liste_rouge!A:A,2,1),"DD")</f>
        <v>DD</v>
      </c>
      <c r="AH5579" s="4" t="str">
        <f>HYPERLINK("#Statut_biogéographique!A"&amp;_xlfn.XMATCH("P",Statut_biogéographique!A:A,2,1),"P")</f>
        <v>P</v>
      </c>
      <c r="AP5579" s="4" t="s">
        <v>376</v>
      </c>
      <c r="AR5579" s="4" t="s">
        <v>377</v>
      </c>
    </row>
    <row r="5580" spans="1:44" ht="30">
      <c r="A5580" s="4" t="s">
        <v>5</v>
      </c>
      <c r="B5580" s="4">
        <v>42894</v>
      </c>
      <c r="C5580" s="4">
        <v>3353</v>
      </c>
      <c r="D5580" s="5" t="s">
        <v>8127</v>
      </c>
      <c r="E5580" s="6" t="str">
        <f>HYPERLINK("https://inpn.mnhn.fr/espece/cd_nom/42894","Hyphoderma roseocremeum (Bres.) Donk, 1957")</f>
        <v>Hyphoderma roseocremeum (Bres.) Donk, 1957</v>
      </c>
      <c r="V5580" s="7" t="str">
        <f>HYPERLINK("#Liste_rouge!A"&amp;_xlfn.XMATCH("DD",Liste_rouge!A:A,2,1),"DD")</f>
        <v>DD</v>
      </c>
      <c r="AH5580" s="4" t="str">
        <f>HYPERLINK("#Statut_biogéographique!A"&amp;_xlfn.XMATCH("P",Statut_biogéographique!A:A,2,1),"P")</f>
        <v>P</v>
      </c>
      <c r="AP5580" s="4" t="s">
        <v>376</v>
      </c>
      <c r="AR5580" s="4" t="s">
        <v>377</v>
      </c>
    </row>
    <row r="5581" spans="1:44">
      <c r="A5581" s="4" t="s">
        <v>5</v>
      </c>
      <c r="B5581" s="4">
        <v>42897</v>
      </c>
      <c r="C5581" s="4">
        <v>2414</v>
      </c>
      <c r="D5581" s="5" t="s">
        <v>8128</v>
      </c>
      <c r="E5581" s="6" t="str">
        <f>HYPERLINK("https://inpn.mnhn.fr/espece/cd_nom/42897","Hyphoderma setigerum (Fr.) Donk, 1957")</f>
        <v>Hyphoderma setigerum (Fr.) Donk, 1957</v>
      </c>
      <c r="V5581" s="7" t="str">
        <f>HYPERLINK("#Liste_rouge!A"&amp;_xlfn.XMATCH("DD",Liste_rouge!A:A,2,1),"DD")</f>
        <v>DD</v>
      </c>
      <c r="AH5581" s="4" t="str">
        <f>HYPERLINK("#Statut_biogéographique!A"&amp;_xlfn.XMATCH("P",Statut_biogéographique!A:A,2,1),"P")</f>
        <v>P</v>
      </c>
      <c r="AP5581" s="4" t="s">
        <v>376</v>
      </c>
      <c r="AR5581" s="4" t="s">
        <v>377</v>
      </c>
    </row>
    <row r="5582" spans="1:44" ht="30">
      <c r="A5582" s="4" t="s">
        <v>5</v>
      </c>
      <c r="B5582" s="4">
        <v>42910</v>
      </c>
      <c r="C5582" s="4">
        <v>3354</v>
      </c>
      <c r="D5582" s="5" t="s">
        <v>8129</v>
      </c>
      <c r="E5582" s="6" t="str">
        <f>HYPERLINK("https://inpn.mnhn.fr/espece/cd_nom/42910","Hyphodermella corrugata (Fr.) J.Erikss. &amp; Ryvarden, 1976")</f>
        <v>Hyphodermella corrugata (Fr.) J.Erikss. &amp; Ryvarden, 1976</v>
      </c>
      <c r="V5582" s="7" t="str">
        <f>HYPERLINK("#Liste_rouge!A"&amp;_xlfn.XMATCH("DD",Liste_rouge!A:A,2,1),"DD")</f>
        <v>DD</v>
      </c>
      <c r="AH5582" s="4" t="str">
        <f>HYPERLINK("#Statut_biogéographique!A"&amp;_xlfn.XMATCH("P",Statut_biogéographique!A:A,2,1),"P")</f>
        <v>P</v>
      </c>
      <c r="AP5582" s="4" t="s">
        <v>376</v>
      </c>
      <c r="AR5582" s="4" t="s">
        <v>377</v>
      </c>
    </row>
    <row r="5583" spans="1:44">
      <c r="A5583" s="4" t="s">
        <v>5</v>
      </c>
      <c r="B5583" s="4">
        <v>42932</v>
      </c>
      <c r="C5583" s="4">
        <v>3356</v>
      </c>
      <c r="D5583" s="5" t="s">
        <v>8130</v>
      </c>
      <c r="E5583" s="6" t="str">
        <f>HYPERLINK("https://inpn.mnhn.fr/espece/cd_nom/42932","Hyphodontia alutaria (Burt) J.Erikss., 1958")</f>
        <v>Hyphodontia alutaria (Burt) J.Erikss., 1958</v>
      </c>
      <c r="V5583" s="7" t="str">
        <f>HYPERLINK("#Liste_rouge!A"&amp;_xlfn.XMATCH("DD",Liste_rouge!A:A,2,1),"DD")</f>
        <v>DD</v>
      </c>
      <c r="AH5583" s="4" t="str">
        <f>HYPERLINK("#Statut_biogéographique!A"&amp;_xlfn.XMATCH("P",Statut_biogéographique!A:A,2,1),"P")</f>
        <v>P</v>
      </c>
      <c r="AP5583" s="4" t="s">
        <v>376</v>
      </c>
      <c r="AR5583" s="4" t="s">
        <v>377</v>
      </c>
    </row>
    <row r="5584" spans="1:44">
      <c r="A5584" s="4" t="s">
        <v>5</v>
      </c>
      <c r="B5584" s="4">
        <v>42936</v>
      </c>
      <c r="C5584" s="4">
        <v>3870</v>
      </c>
      <c r="D5584" s="5" t="s">
        <v>8131</v>
      </c>
      <c r="E5584" s="6" t="str">
        <f>HYPERLINK("https://inpn.mnhn.fr/espece/cd_nom/42936","Hyphodontia arguta (Fr.) J.Erikss., 1958")</f>
        <v>Hyphodontia arguta (Fr.) J.Erikss., 1958</v>
      </c>
      <c r="V5584" s="7" t="str">
        <f>HYPERLINK("#Liste_rouge!A"&amp;_xlfn.XMATCH("DD",Liste_rouge!A:A,2,1),"DD")</f>
        <v>DD</v>
      </c>
      <c r="AH5584" s="4" t="str">
        <f>HYPERLINK("#Statut_biogéographique!A"&amp;_xlfn.XMATCH("P",Statut_biogéographique!A:A,2,1),"P")</f>
        <v>P</v>
      </c>
      <c r="AP5584" s="4" t="s">
        <v>376</v>
      </c>
      <c r="AR5584" s="4" t="s">
        <v>377</v>
      </c>
    </row>
    <row r="5585" spans="1:44" ht="30">
      <c r="A5585" s="4" t="s">
        <v>5</v>
      </c>
      <c r="B5585" s="4">
        <v>42943</v>
      </c>
      <c r="D5585" s="5" t="s">
        <v>8132</v>
      </c>
      <c r="E5585" s="6" t="str">
        <f>HYPERLINK("https://inpn.mnhn.fr/espece/cd_nom/42943","Hyphodontia granulosa (Pers.) Bernicchia, 1988")</f>
        <v>Hyphodontia granulosa (Pers.) Bernicchia, 1988</v>
      </c>
      <c r="AH5585" s="4" t="str">
        <f>HYPERLINK("#Statut_biogéographique!A"&amp;_xlfn.XMATCH("P",Statut_biogéographique!A:A,2,1),"P")</f>
        <v>P</v>
      </c>
      <c r="AP5585" s="4" t="s">
        <v>376</v>
      </c>
      <c r="AR5585" s="4" t="s">
        <v>377</v>
      </c>
    </row>
    <row r="5586" spans="1:44" ht="30">
      <c r="A5586" s="4" t="s">
        <v>5</v>
      </c>
      <c r="B5586" s="4">
        <v>42947</v>
      </c>
      <c r="C5586" s="4">
        <v>2709</v>
      </c>
      <c r="D5586" s="5" t="s">
        <v>8133</v>
      </c>
      <c r="E5586" s="6" t="str">
        <f>HYPERLINK("https://inpn.mnhn.fr/espece/cd_nom/42947","Kneiffiella barba-jovis (Bull.) P.Karst., 1889")</f>
        <v>Kneiffiella barba-jovis (Bull.) P.Karst., 1889</v>
      </c>
      <c r="V5586" s="7" t="str">
        <f>HYPERLINK("#Liste_rouge!A"&amp;_xlfn.XMATCH("LC",Liste_rouge!A:A,2,1),"LC")</f>
        <v>LC</v>
      </c>
      <c r="AH5586" s="4" t="str">
        <f>HYPERLINK("#Statut_biogéographique!A"&amp;_xlfn.XMATCH("P",Statut_biogéographique!A:A,2,1),"P")</f>
        <v>P</v>
      </c>
      <c r="AP5586" s="4" t="s">
        <v>376</v>
      </c>
      <c r="AR5586" s="4" t="s">
        <v>377</v>
      </c>
    </row>
    <row r="5587" spans="1:44" ht="30">
      <c r="A5587" s="4" t="s">
        <v>5</v>
      </c>
      <c r="B5587" s="4">
        <v>42953</v>
      </c>
      <c r="C5587" s="4">
        <v>3358</v>
      </c>
      <c r="D5587" s="5" t="s">
        <v>8134</v>
      </c>
      <c r="E5587" s="6" t="str">
        <f>HYPERLINK("https://inpn.mnhn.fr/espece/cd_nom/42953","Hyphodontia cineracea (Bourdot &amp; Galzin) J.Erikss. &amp; Hjortstam, 1976")</f>
        <v>Hyphodontia cineracea (Bourdot &amp; Galzin) J.Erikss. &amp; Hjortstam, 1976</v>
      </c>
      <c r="V5587" s="7" t="str">
        <f>HYPERLINK("#Liste_rouge!A"&amp;_xlfn.XMATCH("DD",Liste_rouge!A:A,2,1),"DD")</f>
        <v>DD</v>
      </c>
      <c r="AH5587" s="4" t="str">
        <f>HYPERLINK("#Statut_biogéographique!A"&amp;_xlfn.XMATCH("P",Statut_biogéographique!A:A,2,1),"P")</f>
        <v>P</v>
      </c>
      <c r="AP5587" s="4" t="s">
        <v>376</v>
      </c>
      <c r="AR5587" s="4" t="s">
        <v>377</v>
      </c>
    </row>
    <row r="5588" spans="1:44" ht="30">
      <c r="A5588" s="4" t="s">
        <v>5</v>
      </c>
      <c r="B5588" s="4">
        <v>42957</v>
      </c>
      <c r="C5588" s="4">
        <v>2412</v>
      </c>
      <c r="D5588" s="5" t="s">
        <v>8135</v>
      </c>
      <c r="E5588" s="6" t="str">
        <f>HYPERLINK("https://inpn.mnhn.fr/espece/cd_nom/42957","Hyphodontia crustosa (Pers.) J.Erikss., 1958")</f>
        <v>Hyphodontia crustosa (Pers.) J.Erikss., 1958</v>
      </c>
      <c r="V5588" s="7" t="str">
        <f>HYPERLINK("#Liste_rouge!A"&amp;_xlfn.XMATCH("LC",Liste_rouge!A:A,2,1),"LC")</f>
        <v>LC</v>
      </c>
      <c r="AH5588" s="4" t="str">
        <f>HYPERLINK("#Statut_biogéographique!A"&amp;_xlfn.XMATCH("P",Statut_biogéographique!A:A,2,1),"P")</f>
        <v>P</v>
      </c>
      <c r="AP5588" s="4" t="s">
        <v>376</v>
      </c>
      <c r="AR5588" s="4" t="s">
        <v>377</v>
      </c>
    </row>
    <row r="5589" spans="1:44">
      <c r="A5589" s="4" t="s">
        <v>5</v>
      </c>
      <c r="B5589" s="4">
        <v>42987</v>
      </c>
      <c r="C5589" s="4">
        <v>3582</v>
      </c>
      <c r="D5589" s="5" t="s">
        <v>8136</v>
      </c>
      <c r="E5589" s="6" t="str">
        <f>HYPERLINK("https://inpn.mnhn.fr/espece/cd_nom/42987","Hyphodontia pallidula (Bres.) J.Erikss., 1958")</f>
        <v>Hyphodontia pallidula (Bres.) J.Erikss., 1958</v>
      </c>
      <c r="V5589" s="7" t="str">
        <f>HYPERLINK("#Liste_rouge!A"&amp;_xlfn.XMATCH("DD",Liste_rouge!A:A,2,1),"DD")</f>
        <v>DD</v>
      </c>
      <c r="AH5589" s="4" t="str">
        <f>HYPERLINK("#Statut_biogéographique!A"&amp;_xlfn.XMATCH("P",Statut_biogéographique!A:A,2,1),"P")</f>
        <v>P</v>
      </c>
      <c r="AP5589" s="4" t="s">
        <v>376</v>
      </c>
      <c r="AR5589" s="4" t="s">
        <v>377</v>
      </c>
    </row>
    <row r="5590" spans="1:44">
      <c r="A5590" s="4" t="s">
        <v>5</v>
      </c>
      <c r="B5590" s="4">
        <v>42994</v>
      </c>
      <c r="C5590" s="4">
        <v>2413</v>
      </c>
      <c r="D5590" s="5" t="s">
        <v>8137</v>
      </c>
      <c r="E5590" s="6" t="str">
        <f>HYPERLINK("https://inpn.mnhn.fr/espece/cd_nom/42994","Hyphodontia pruni (Lasch) Svrček, 1973")</f>
        <v>Hyphodontia pruni (Lasch) Svrček, 1973</v>
      </c>
      <c r="V5590" s="7" t="str">
        <f>HYPERLINK("#Liste_rouge!A"&amp;_xlfn.XMATCH("LC",Liste_rouge!A:A,2,1),"LC")</f>
        <v>LC</v>
      </c>
      <c r="AH5590" s="4" t="str">
        <f>HYPERLINK("#Statut_biogéographique!A"&amp;_xlfn.XMATCH("P",Statut_biogéographique!A:A,2,1),"P")</f>
        <v>P</v>
      </c>
      <c r="AP5590" s="4" t="s">
        <v>376</v>
      </c>
      <c r="AR5590" s="4" t="s">
        <v>377</v>
      </c>
    </row>
    <row r="5591" spans="1:44" ht="30">
      <c r="A5591" s="4" t="s">
        <v>5</v>
      </c>
      <c r="B5591" s="4">
        <v>42998</v>
      </c>
      <c r="C5591" s="4">
        <v>2942</v>
      </c>
      <c r="D5591" s="5" t="s">
        <v>8138</v>
      </c>
      <c r="E5591" s="6" t="str">
        <f>HYPERLINK("https://inpn.mnhn.fr/espece/cd_nom/42998","Hyphodontia quercina (Pers.) J.Erikss., 1958")</f>
        <v>Hyphodontia quercina (Pers.) J.Erikss., 1958</v>
      </c>
      <c r="V5591" s="7" t="str">
        <f>HYPERLINK("#Liste_rouge!A"&amp;_xlfn.XMATCH("DD",Liste_rouge!A:A,2,1),"DD")</f>
        <v>DD</v>
      </c>
      <c r="AH5591" s="4" t="str">
        <f>HYPERLINK("#Statut_biogéographique!A"&amp;_xlfn.XMATCH("P",Statut_biogéographique!A:A,2,1),"P")</f>
        <v>P</v>
      </c>
      <c r="AP5591" s="4" t="s">
        <v>376</v>
      </c>
      <c r="AR5591" s="4" t="s">
        <v>377</v>
      </c>
    </row>
    <row r="5592" spans="1:44" ht="30">
      <c r="A5592" s="4" t="s">
        <v>5</v>
      </c>
      <c r="B5592" s="4">
        <v>43012</v>
      </c>
      <c r="C5592" s="4">
        <v>3360</v>
      </c>
      <c r="D5592" s="5" t="s">
        <v>8139</v>
      </c>
      <c r="E5592" s="6" t="str">
        <f>HYPERLINK("https://inpn.mnhn.fr/espece/cd_nom/43012","Hyphodontia subalutacea (P.Karst.) J.Erikss., 1958")</f>
        <v>Hyphodontia subalutacea (P.Karst.) J.Erikss., 1958</v>
      </c>
      <c r="V5592" s="7" t="str">
        <f>HYPERLINK("#Liste_rouge!A"&amp;_xlfn.XMATCH("DD",Liste_rouge!A:A,2,1),"DD")</f>
        <v>DD</v>
      </c>
      <c r="AH5592" s="4" t="str">
        <f>HYPERLINK("#Statut_biogéographique!A"&amp;_xlfn.XMATCH("P",Statut_biogéographique!A:A,2,1),"P")</f>
        <v>P</v>
      </c>
      <c r="AP5592" s="4" t="s">
        <v>376</v>
      </c>
      <c r="AR5592" s="4" t="s">
        <v>377</v>
      </c>
    </row>
    <row r="5593" spans="1:44" ht="30">
      <c r="A5593" s="4" t="s">
        <v>5</v>
      </c>
      <c r="B5593" s="4">
        <v>43019</v>
      </c>
      <c r="C5593" s="4">
        <v>6195</v>
      </c>
      <c r="D5593" s="5" t="s">
        <v>8140</v>
      </c>
      <c r="E5593" s="6" t="str">
        <f>HYPERLINK("https://inpn.mnhn.fr/espece/cd_nom/43019","Hypochnella violacea Auersw. ex J.Schröt., 1888")</f>
        <v>Hypochnella violacea Auersw. ex J.Schröt., 1888</v>
      </c>
      <c r="AH5593" s="4" t="str">
        <f>HYPERLINK("#Statut_biogéographique!A"&amp;_xlfn.XMATCH("P",Statut_biogéographique!A:A,2,1),"P")</f>
        <v>P</v>
      </c>
      <c r="AP5593" s="4" t="s">
        <v>376</v>
      </c>
      <c r="AR5593" s="4" t="s">
        <v>377</v>
      </c>
    </row>
    <row r="5594" spans="1:44" ht="30">
      <c r="A5594" s="4" t="s">
        <v>5</v>
      </c>
      <c r="B5594" s="4">
        <v>43029</v>
      </c>
      <c r="C5594" s="4">
        <v>6338</v>
      </c>
      <c r="D5594" s="5" t="s">
        <v>8141</v>
      </c>
      <c r="E5594" s="6" t="str">
        <f>HYPERLINK("https://inpn.mnhn.fr/espece/cd_nom/43029","Hypochniciellum ovoideum (Jülich) Hjortstam &amp; Ryvarden, 1980")</f>
        <v>Hypochniciellum ovoideum (Jülich) Hjortstam &amp; Ryvarden, 1980</v>
      </c>
      <c r="AH5594" s="4" t="str">
        <f>HYPERLINK("#Statut_biogéographique!A"&amp;_xlfn.XMATCH("P",Statut_biogéographique!A:A,2,1),"P")</f>
        <v>P</v>
      </c>
      <c r="AP5594" s="4" t="s">
        <v>376</v>
      </c>
      <c r="AR5594" s="4" t="s">
        <v>377</v>
      </c>
    </row>
    <row r="5595" spans="1:44" ht="30">
      <c r="A5595" s="4" t="s">
        <v>5</v>
      </c>
      <c r="B5595" s="4">
        <v>43035</v>
      </c>
      <c r="C5595" s="4">
        <v>4236</v>
      </c>
      <c r="D5595" s="5" t="s">
        <v>8142</v>
      </c>
      <c r="E5595" s="6" t="str">
        <f>HYPERLINK("https://inpn.mnhn.fr/espece/cd_nom/43035","Hypochnicium bombycinum (Sommerf.) J.Erikss., 1958")</f>
        <v>Hypochnicium bombycinum (Sommerf.) J.Erikss., 1958</v>
      </c>
      <c r="V5595" s="7" t="str">
        <f>HYPERLINK("#Liste_rouge!A"&amp;_xlfn.XMATCH("DD",Liste_rouge!A:A,2,1),"DD")</f>
        <v>DD</v>
      </c>
      <c r="AH5595" s="4" t="str">
        <f>HYPERLINK("#Statut_biogéographique!A"&amp;_xlfn.XMATCH("P",Statut_biogéographique!A:A,2,1),"P")</f>
        <v>P</v>
      </c>
      <c r="AP5595" s="4" t="s">
        <v>376</v>
      </c>
      <c r="AR5595" s="4" t="s">
        <v>377</v>
      </c>
    </row>
    <row r="5596" spans="1:44" ht="30">
      <c r="A5596" s="4" t="s">
        <v>5</v>
      </c>
      <c r="B5596" s="4">
        <v>43047</v>
      </c>
      <c r="C5596" s="4">
        <v>3583</v>
      </c>
      <c r="D5596" s="5" t="s">
        <v>8143</v>
      </c>
      <c r="E5596" s="6" t="str">
        <f>HYPERLINK("https://inpn.mnhn.fr/espece/cd_nom/43047","Hypochnicium eichleri (Bres. ex Sacc. &amp; P.Syd.) J.Erikss. &amp; Ryvarden, 1976")</f>
        <v>Hypochnicium eichleri (Bres. ex Sacc. &amp; P.Syd.) J.Erikss. &amp; Ryvarden, 1976</v>
      </c>
      <c r="AH5596" s="4" t="str">
        <f>HYPERLINK("#Statut_biogéographique!A"&amp;_xlfn.XMATCH("P",Statut_biogéographique!A:A,2,1),"P")</f>
        <v>P</v>
      </c>
      <c r="AP5596" s="4" t="s">
        <v>376</v>
      </c>
      <c r="AR5596" s="4" t="s">
        <v>377</v>
      </c>
    </row>
    <row r="5597" spans="1:44" ht="30">
      <c r="A5597" s="4" t="s">
        <v>5</v>
      </c>
      <c r="B5597" s="4">
        <v>43050</v>
      </c>
      <c r="C5597" s="4">
        <v>3584</v>
      </c>
      <c r="D5597" s="5" t="s">
        <v>8144</v>
      </c>
      <c r="E5597" s="6" t="str">
        <f>HYPERLINK("https://inpn.mnhn.fr/espece/cd_nom/43050","Hypochnicium erikssonii Hallenb. &amp; Hjortstam, 1990")</f>
        <v>Hypochnicium erikssonii Hallenb. &amp; Hjortstam, 1990</v>
      </c>
      <c r="Z5597" s="4" t="s">
        <v>443</v>
      </c>
      <c r="AA5597" s="4" t="s">
        <v>444</v>
      </c>
      <c r="AH5597" s="4" t="str">
        <f>HYPERLINK("#Statut_biogéographique!A"&amp;_xlfn.XMATCH("P",Statut_biogéographique!A:A,2,1),"P")</f>
        <v>P</v>
      </c>
      <c r="AP5597" s="4" t="s">
        <v>376</v>
      </c>
      <c r="AR5597" s="4" t="s">
        <v>377</v>
      </c>
    </row>
    <row r="5598" spans="1:44" ht="30">
      <c r="A5598" s="4" t="s">
        <v>5</v>
      </c>
      <c r="B5598" s="4">
        <v>43060</v>
      </c>
      <c r="C5598" s="4">
        <v>3362</v>
      </c>
      <c r="D5598" s="5" t="s">
        <v>8145</v>
      </c>
      <c r="E5598" s="6" t="str">
        <f>HYPERLINK("https://inpn.mnhn.fr/espece/cd_nom/43060","Hypochnicium lundellii (Bourdot) J.Erikss., 1958")</f>
        <v>Hypochnicium lundellii (Bourdot) J.Erikss., 1958</v>
      </c>
      <c r="AH5598" s="4" t="str">
        <f>HYPERLINK("#Statut_biogéographique!A"&amp;_xlfn.XMATCH("P",Statut_biogéographique!A:A,2,1),"P")</f>
        <v>P</v>
      </c>
      <c r="AP5598" s="4" t="s">
        <v>376</v>
      </c>
      <c r="AR5598" s="4" t="s">
        <v>377</v>
      </c>
    </row>
    <row r="5599" spans="1:44" ht="30">
      <c r="A5599" s="4" t="s">
        <v>5</v>
      </c>
      <c r="B5599" s="4">
        <v>43062</v>
      </c>
      <c r="C5599" s="4">
        <v>2898</v>
      </c>
      <c r="D5599" s="5" t="s">
        <v>8146</v>
      </c>
      <c r="E5599" s="6" t="str">
        <f>HYPERLINK("https://inpn.mnhn.fr/espece/cd_nom/43062","Hypochnicium punctulatum (Cooke) J.Erikss., 1958")</f>
        <v>Hypochnicium punctulatum (Cooke) J.Erikss., 1958</v>
      </c>
      <c r="AH5599" s="4" t="str">
        <f>HYPERLINK("#Statut_biogéographique!A"&amp;_xlfn.XMATCH("P",Statut_biogéographique!A:A,2,1),"P")</f>
        <v>P</v>
      </c>
      <c r="AP5599" s="4" t="s">
        <v>376</v>
      </c>
      <c r="AR5599" s="4" t="s">
        <v>377</v>
      </c>
    </row>
    <row r="5600" spans="1:44" ht="30">
      <c r="A5600" s="4" t="s">
        <v>5</v>
      </c>
      <c r="B5600" s="4">
        <v>43071</v>
      </c>
      <c r="C5600" s="4">
        <v>489</v>
      </c>
      <c r="D5600" s="5" t="s">
        <v>8147</v>
      </c>
      <c r="E5600" s="6" t="str">
        <f>HYPERLINK("https://inpn.mnhn.fr/espece/cd_nom/43071","Hypochnicium vellereum (Ellis &amp; Cragin) Parmasto, 1968")</f>
        <v>Hypochnicium vellereum (Ellis &amp; Cragin) Parmasto, 1968</v>
      </c>
      <c r="F5600" s="5" t="s">
        <v>8148</v>
      </c>
      <c r="V5600" s="7" t="str">
        <f>HYPERLINK("#Liste_rouge!A"&amp;_xlfn.XMATCH("DD",Liste_rouge!A:A,2,1),"DD")</f>
        <v>DD</v>
      </c>
      <c r="Z5600" s="4" t="s">
        <v>443</v>
      </c>
      <c r="AA5600" s="4" t="s">
        <v>444</v>
      </c>
      <c r="AH5600" s="4" t="str">
        <f>HYPERLINK("#Statut_biogéographique!A"&amp;_xlfn.XMATCH("P",Statut_biogéographique!A:A,2,1),"P")</f>
        <v>P</v>
      </c>
      <c r="AP5600" s="4" t="s">
        <v>376</v>
      </c>
      <c r="AR5600" s="4" t="s">
        <v>377</v>
      </c>
    </row>
    <row r="5601" spans="1:44">
      <c r="A5601" s="4" t="s">
        <v>5</v>
      </c>
      <c r="B5601" s="4">
        <v>43086</v>
      </c>
      <c r="C5601" s="4">
        <v>742</v>
      </c>
      <c r="D5601" s="5" t="s">
        <v>8149</v>
      </c>
      <c r="E5601" s="6" t="str">
        <f>HYPERLINK("https://inpn.mnhn.fr/espece/cd_nom/43086","Inonotus cuticularis (Bull.) P.Karst., 1879")</f>
        <v>Inonotus cuticularis (Bull.) P.Karst., 1879</v>
      </c>
      <c r="F5601" s="5" t="s">
        <v>8150</v>
      </c>
      <c r="V5601" s="7" t="str">
        <f>HYPERLINK("#Liste_rouge!A"&amp;_xlfn.XMATCH("LC",Liste_rouge!A:A,2,1),"LC")</f>
        <v>LC</v>
      </c>
      <c r="Z5601" s="4" t="s">
        <v>443</v>
      </c>
      <c r="AA5601" s="4" t="s">
        <v>444</v>
      </c>
      <c r="AH5601" s="4" t="str">
        <f>HYPERLINK("#Statut_biogéographique!A"&amp;_xlfn.XMATCH("P",Statut_biogéographique!A:A,2,1),"P")</f>
        <v>P</v>
      </c>
      <c r="AP5601" s="4" t="s">
        <v>376</v>
      </c>
      <c r="AR5601" s="4" t="s">
        <v>377</v>
      </c>
    </row>
    <row r="5602" spans="1:44">
      <c r="A5602" s="4" t="s">
        <v>5</v>
      </c>
      <c r="B5602" s="4">
        <v>43094</v>
      </c>
      <c r="C5602" s="4">
        <v>4489</v>
      </c>
      <c r="D5602" s="5" t="s">
        <v>8151</v>
      </c>
      <c r="E5602" s="6" t="str">
        <f>HYPERLINK("https://inpn.mnhn.fr/espece/cd_nom/43094","Inonotus dryophilus (Berk.) Murrill, 1904")</f>
        <v>Inonotus dryophilus (Berk.) Murrill, 1904</v>
      </c>
      <c r="F5602" s="5" t="s">
        <v>8152</v>
      </c>
      <c r="AH5602" s="4" t="str">
        <f>HYPERLINK("#Statut_biogéographique!A"&amp;_xlfn.XMATCH("P",Statut_biogéographique!A:A,2,1),"P")</f>
        <v>P</v>
      </c>
      <c r="AP5602" s="4" t="s">
        <v>376</v>
      </c>
      <c r="AR5602" s="4" t="s">
        <v>377</v>
      </c>
    </row>
    <row r="5603" spans="1:44" ht="30">
      <c r="A5603" s="4" t="s">
        <v>5</v>
      </c>
      <c r="B5603" s="4">
        <v>43103</v>
      </c>
      <c r="C5603" s="4">
        <v>610</v>
      </c>
      <c r="D5603" s="5" t="s">
        <v>8153</v>
      </c>
      <c r="E5603" s="6" t="str">
        <f>HYPERLINK("https://inpn.mnhn.fr/espece/cd_nom/43103","Inonotus hispidus (Bull.) P.Karst., 1879")</f>
        <v>Inonotus hispidus (Bull.) P.Karst., 1879</v>
      </c>
      <c r="F5603" s="5" t="s">
        <v>8154</v>
      </c>
      <c r="V5603" s="7" t="str">
        <f>HYPERLINK("#Liste_rouge!A"&amp;_xlfn.XMATCH("LC",Liste_rouge!A:A,2,1),"LC")</f>
        <v>LC</v>
      </c>
      <c r="AH5603" s="4" t="str">
        <f>HYPERLINK("#Statut_biogéographique!A"&amp;_xlfn.XMATCH("P",Statut_biogéographique!A:A,2,1),"P")</f>
        <v>P</v>
      </c>
      <c r="AP5603" s="4" t="s">
        <v>376</v>
      </c>
      <c r="AR5603" s="4" t="s">
        <v>377</v>
      </c>
    </row>
    <row r="5604" spans="1:44" ht="30">
      <c r="A5604" s="4" t="s">
        <v>5</v>
      </c>
      <c r="B5604" s="4">
        <v>43108</v>
      </c>
      <c r="C5604" s="4">
        <v>3032</v>
      </c>
      <c r="D5604" s="5" t="s">
        <v>8155</v>
      </c>
      <c r="E5604" s="6" t="str">
        <f>HYPERLINK("https://inpn.mnhn.fr/espece/cd_nom/43108","Inonotus nodulosus (Fr.) P.Karst., 1882")</f>
        <v>Inonotus nodulosus (Fr.) P.Karst., 1882</v>
      </c>
      <c r="F5604" s="5" t="s">
        <v>8156</v>
      </c>
      <c r="V5604" s="7" t="str">
        <f>HYPERLINK("#Liste_rouge!A"&amp;_xlfn.XMATCH("NT",Liste_rouge!A:A,2,1),"NT")</f>
        <v>NT</v>
      </c>
      <c r="W5604" s="4" t="str">
        <f>HYPERLINK("#Critères_liste_rouge!A$1","pr. B2abiii")</f>
        <v>pr. B2abiii</v>
      </c>
      <c r="Z5604" s="4" t="s">
        <v>443</v>
      </c>
      <c r="AA5604" s="4" t="s">
        <v>444</v>
      </c>
      <c r="AH5604" s="4" t="str">
        <f>HYPERLINK("#Statut_biogéographique!A"&amp;_xlfn.XMATCH("P",Statut_biogéographique!A:A,2,1),"P")</f>
        <v>P</v>
      </c>
      <c r="AP5604" s="4" t="s">
        <v>376</v>
      </c>
      <c r="AR5604" s="4" t="s">
        <v>377</v>
      </c>
    </row>
    <row r="5605" spans="1:44" ht="30">
      <c r="A5605" s="4" t="s">
        <v>5</v>
      </c>
      <c r="B5605" s="4">
        <v>43113</v>
      </c>
      <c r="C5605" s="4">
        <v>2346</v>
      </c>
      <c r="D5605" s="5" t="s">
        <v>8157</v>
      </c>
      <c r="E5605" s="6" t="str">
        <f>HYPERLINK("https://inpn.mnhn.fr/espece/cd_nom/43113","Inonotus obliquus (Fr.) Pilát, 1942")</f>
        <v>Inonotus obliquus (Fr.) Pilát, 1942</v>
      </c>
      <c r="F5605" s="5" t="s">
        <v>8158</v>
      </c>
      <c r="V5605" s="7" t="str">
        <f>HYPERLINK("#Liste_rouge!A"&amp;_xlfn.XMATCH("LC",Liste_rouge!A:A,2,1),"LC")</f>
        <v>LC</v>
      </c>
      <c r="Z5605" s="4" t="s">
        <v>447</v>
      </c>
      <c r="AA5605" s="4" t="s">
        <v>448</v>
      </c>
      <c r="AH5605" s="4" t="str">
        <f>HYPERLINK("#Statut_biogéographique!A"&amp;_xlfn.XMATCH("P",Statut_biogéographique!A:A,2,1),"P")</f>
        <v>P</v>
      </c>
      <c r="AP5605" s="4" t="s">
        <v>376</v>
      </c>
      <c r="AR5605" s="4" t="s">
        <v>377</v>
      </c>
    </row>
    <row r="5606" spans="1:44" ht="60">
      <c r="A5606" s="4" t="s">
        <v>5</v>
      </c>
      <c r="B5606" s="4">
        <v>43122</v>
      </c>
      <c r="C5606" s="4">
        <v>1535</v>
      </c>
      <c r="D5606" s="5" t="s">
        <v>8159</v>
      </c>
      <c r="E5606" s="6" t="str">
        <f>HYPERLINK("https://inpn.mnhn.fr/espece/cd_nom/43122","Inonotus rheades (Pers.) Bondartsev &amp; Singer, 1941")</f>
        <v>Inonotus rheades (Pers.) Bondartsev &amp; Singer, 1941</v>
      </c>
      <c r="F5606" s="5" t="s">
        <v>8160</v>
      </c>
      <c r="V5606" s="7" t="str">
        <f>HYPERLINK("#Liste_rouge!A"&amp;_xlfn.XMATCH("LC",Liste_rouge!A:A,2,1),"LC")</f>
        <v>LC</v>
      </c>
      <c r="AH5606" s="4" t="str">
        <f>HYPERLINK("#Statut_biogéographique!A"&amp;_xlfn.XMATCH("P",Statut_biogéographique!A:A,2,1),"P")</f>
        <v>P</v>
      </c>
      <c r="AP5606" s="4" t="s">
        <v>376</v>
      </c>
      <c r="AR5606" s="4" t="s">
        <v>377</v>
      </c>
    </row>
    <row r="5607" spans="1:44" ht="30">
      <c r="A5607" s="4" t="s">
        <v>5</v>
      </c>
      <c r="B5607" s="4">
        <v>43140</v>
      </c>
      <c r="C5607" s="4">
        <v>2394</v>
      </c>
      <c r="D5607" s="5" t="s">
        <v>8161</v>
      </c>
      <c r="E5607" s="6" t="str">
        <f>HYPERLINK("https://inpn.mnhn.fr/espece/cd_nom/43140","Irpex lacteus (Fr.) Fr., 1828")</f>
        <v>Irpex lacteus (Fr.) Fr., 1828</v>
      </c>
      <c r="F5607" s="5" t="s">
        <v>8162</v>
      </c>
      <c r="V5607" s="7" t="str">
        <f>HYPERLINK("#Liste_rouge!A"&amp;_xlfn.XMATCH("NT",Liste_rouge!A:A,2,1),"NT")</f>
        <v>NT</v>
      </c>
      <c r="W5607" s="4" t="str">
        <f>HYPERLINK("#Critères_liste_rouge!A$1","pr. B2abiii")</f>
        <v>pr. B2abiii</v>
      </c>
      <c r="AH5607" s="4" t="str">
        <f>HYPERLINK("#Statut_biogéographique!A"&amp;_xlfn.XMATCH("P",Statut_biogéographique!A:A,2,1),"P")</f>
        <v>P</v>
      </c>
      <c r="AP5607" s="4" t="s">
        <v>376</v>
      </c>
      <c r="AR5607" s="4" t="s">
        <v>377</v>
      </c>
    </row>
    <row r="5608" spans="1:44" ht="30">
      <c r="A5608" s="4" t="s">
        <v>5</v>
      </c>
      <c r="B5608" s="4">
        <v>43151</v>
      </c>
      <c r="C5608" s="4">
        <v>1730</v>
      </c>
      <c r="D5608" s="5" t="s">
        <v>8163</v>
      </c>
      <c r="E5608" s="6" t="str">
        <f>HYPERLINK("https://inpn.mnhn.fr/espece/cd_nom/43151","Ischnoderma benzoinum (Wahlenb.) P.Karst., 1881")</f>
        <v>Ischnoderma benzoinum (Wahlenb.) P.Karst., 1881</v>
      </c>
      <c r="F5608" s="5" t="s">
        <v>8164</v>
      </c>
      <c r="V5608" s="7" t="str">
        <f>HYPERLINK("#Liste_rouge!A"&amp;_xlfn.XMATCH("LC",Liste_rouge!A:A,2,1),"LC")</f>
        <v>LC</v>
      </c>
      <c r="AH5608" s="4" t="str">
        <f>HYPERLINK("#Statut_biogéographique!A"&amp;_xlfn.XMATCH("P",Statut_biogéographique!A:A,2,1),"P")</f>
        <v>P</v>
      </c>
      <c r="AP5608" s="4" t="s">
        <v>376</v>
      </c>
      <c r="AR5608" s="4" t="s">
        <v>377</v>
      </c>
    </row>
    <row r="5609" spans="1:44" ht="30">
      <c r="A5609" s="4" t="s">
        <v>5</v>
      </c>
      <c r="B5609" s="4">
        <v>43155</v>
      </c>
      <c r="C5609" s="4">
        <v>1787</v>
      </c>
      <c r="D5609" s="5" t="s">
        <v>8165</v>
      </c>
      <c r="E5609" s="6" t="str">
        <f>HYPERLINK("https://inpn.mnhn.fr/espece/cd_nom/43155","Ischnoderma resinosum (Schrad.) P.Karst., 1879")</f>
        <v>Ischnoderma resinosum (Schrad.) P.Karst., 1879</v>
      </c>
      <c r="F5609" s="5" t="s">
        <v>8166</v>
      </c>
      <c r="V5609" s="7" t="str">
        <f>HYPERLINK("#Liste_rouge!A"&amp;_xlfn.XMATCH("DD",Liste_rouge!A:A,2,1),"DD")</f>
        <v>DD</v>
      </c>
      <c r="Z5609" s="4" t="s">
        <v>443</v>
      </c>
      <c r="AA5609" s="4" t="s">
        <v>444</v>
      </c>
      <c r="AH5609" s="4" t="str">
        <f>HYPERLINK("#Statut_biogéographique!A"&amp;_xlfn.XMATCH("P",Statut_biogéographique!A:A,2,1),"P")</f>
        <v>P</v>
      </c>
      <c r="AP5609" s="4" t="s">
        <v>376</v>
      </c>
      <c r="AR5609" s="4" t="s">
        <v>377</v>
      </c>
    </row>
    <row r="5610" spans="1:44" ht="45">
      <c r="A5610" s="4" t="s">
        <v>5</v>
      </c>
      <c r="B5610" s="4">
        <v>43159</v>
      </c>
      <c r="D5610" s="5" t="s">
        <v>8167</v>
      </c>
      <c r="E5610" s="6" t="str">
        <f>HYPERLINK("https://inpn.mnhn.fr/espece/cd_nom/43159","Podofomes trogii (Fr.) Pouzar, 1971")</f>
        <v>Podofomes trogii (Fr.) Pouzar, 1971</v>
      </c>
      <c r="F5610" s="5" t="s">
        <v>8168</v>
      </c>
      <c r="V5610" s="7" t="str">
        <f>HYPERLINK("#Liste_rouge!A"&amp;_xlfn.XMATCH("LC",Liste_rouge!A:A,2,1),"LC")</f>
        <v>LC</v>
      </c>
      <c r="AH5610" s="4" t="str">
        <f>HYPERLINK("#Statut_biogéographique!A"&amp;_xlfn.XMATCH("P",Statut_biogéographique!A:A,2,1),"P")</f>
        <v>P</v>
      </c>
      <c r="AP5610" s="4" t="s">
        <v>376</v>
      </c>
      <c r="AR5610" s="4" t="s">
        <v>377</v>
      </c>
    </row>
    <row r="5611" spans="1:44" ht="30">
      <c r="A5611" s="4" t="s">
        <v>5</v>
      </c>
      <c r="B5611" s="4">
        <v>43163</v>
      </c>
      <c r="C5611" s="4">
        <v>3270</v>
      </c>
      <c r="D5611" s="5" t="s">
        <v>8169</v>
      </c>
      <c r="E5611" s="6" t="str">
        <f>HYPERLINK("https://inpn.mnhn.fr/espece/cd_nom/43163","Jaapia ochroleuca (Bres.) Nannf. &amp; J.Erikss., 1953")</f>
        <v>Jaapia ochroleuca (Bres.) Nannf. &amp; J.Erikss., 1953</v>
      </c>
      <c r="AH5611" s="4" t="str">
        <f>HYPERLINK("#Statut_biogéographique!A"&amp;_xlfn.XMATCH("P",Statut_biogéographique!A:A,2,1),"P")</f>
        <v>P</v>
      </c>
      <c r="AP5611" s="4" t="s">
        <v>376</v>
      </c>
      <c r="AR5611" s="4" t="s">
        <v>377</v>
      </c>
    </row>
    <row r="5612" spans="1:44" ht="30">
      <c r="A5612" s="4" t="s">
        <v>5</v>
      </c>
      <c r="B5612" s="4">
        <v>43213</v>
      </c>
      <c r="C5612" s="4">
        <v>1015</v>
      </c>
      <c r="D5612" s="5" t="s">
        <v>8170</v>
      </c>
      <c r="E5612" s="6" t="str">
        <f>HYPERLINK("https://inpn.mnhn.fr/espece/cd_nom/43213","Corticium roseum Pers., 1794")</f>
        <v>Corticium roseum Pers., 1794</v>
      </c>
      <c r="F5612" s="5" t="s">
        <v>8171</v>
      </c>
      <c r="V5612" s="7" t="str">
        <f>HYPERLINK("#Liste_rouge!A"&amp;_xlfn.XMATCH("DD",Liste_rouge!A:A,2,1),"DD")</f>
        <v>DD</v>
      </c>
      <c r="AH5612" s="4" t="str">
        <f>HYPERLINK("#Statut_biogéographique!A"&amp;_xlfn.XMATCH("P",Statut_biogéographique!A:A,2,1),"P")</f>
        <v>P</v>
      </c>
      <c r="AP5612" s="4" t="s">
        <v>376</v>
      </c>
      <c r="AR5612" s="4" t="s">
        <v>377</v>
      </c>
    </row>
    <row r="5613" spans="1:44" ht="45">
      <c r="A5613" s="4" t="s">
        <v>5</v>
      </c>
      <c r="B5613" s="4">
        <v>43216</v>
      </c>
      <c r="C5613" s="4">
        <v>98</v>
      </c>
      <c r="D5613" s="5" t="s">
        <v>8172</v>
      </c>
      <c r="E5613" s="6" t="str">
        <f>HYPERLINK("https://inpn.mnhn.fr/espece/cd_nom/43216","Laetiporus sulphureus (Bull.) Murrill, 1920")</f>
        <v>Laetiporus sulphureus (Bull.) Murrill, 1920</v>
      </c>
      <c r="F5613" s="5" t="s">
        <v>8173</v>
      </c>
      <c r="V5613" s="7" t="str">
        <f>HYPERLINK("#Liste_rouge!A"&amp;_xlfn.XMATCH("LC",Liste_rouge!A:A,2,1),"LC")</f>
        <v>LC</v>
      </c>
      <c r="AH5613" s="4" t="str">
        <f>HYPERLINK("#Statut_biogéographique!A"&amp;_xlfn.XMATCH("P",Statut_biogéographique!A:A,2,1),"P")</f>
        <v>P</v>
      </c>
      <c r="AP5613" s="4" t="s">
        <v>376</v>
      </c>
      <c r="AR5613" s="4" t="s">
        <v>377</v>
      </c>
    </row>
    <row r="5614" spans="1:44" ht="30">
      <c r="A5614" s="4" t="s">
        <v>5</v>
      </c>
      <c r="B5614" s="4">
        <v>43227</v>
      </c>
      <c r="C5614" s="4">
        <v>3359</v>
      </c>
      <c r="D5614" s="5" t="s">
        <v>8174</v>
      </c>
      <c r="E5614" s="6" t="str">
        <f>HYPERLINK("https://inpn.mnhn.fr/espece/cd_nom/43227","Hypochnicium detriticum (Bourdot) J.Erikss. &amp; Ryvarden, 1976")</f>
        <v>Hypochnicium detriticum (Bourdot) J.Erikss. &amp; Ryvarden, 1976</v>
      </c>
      <c r="V5614" s="7" t="str">
        <f>HYPERLINK("#Liste_rouge!A"&amp;_xlfn.XMATCH("DD",Liste_rouge!A:A,2,1),"DD")</f>
        <v>DD</v>
      </c>
      <c r="AH5614" s="4" t="str">
        <f>HYPERLINK("#Statut_biogéographique!A"&amp;_xlfn.XMATCH("P",Statut_biogéographique!A:A,2,1),"P")</f>
        <v>P</v>
      </c>
      <c r="AP5614" s="4" t="s">
        <v>376</v>
      </c>
      <c r="AR5614" s="4" t="s">
        <v>377</v>
      </c>
    </row>
    <row r="5615" spans="1:44" ht="30">
      <c r="A5615" s="4" t="s">
        <v>5</v>
      </c>
      <c r="B5615" s="4">
        <v>43232</v>
      </c>
      <c r="C5615" s="4">
        <v>1611</v>
      </c>
      <c r="D5615" s="5" t="s">
        <v>8175</v>
      </c>
      <c r="E5615" s="6" t="str">
        <f>HYPERLINK("https://inpn.mnhn.fr/espece/cd_nom/43232","Fomitopsis officinalis (Vill.) Bondartsev &amp; Singer, 1941")</f>
        <v>Fomitopsis officinalis (Vill.) Bondartsev &amp; Singer, 1941</v>
      </c>
      <c r="F5615" s="5" t="s">
        <v>8176</v>
      </c>
      <c r="AH5615" s="4" t="str">
        <f>HYPERLINK("#Statut_biogéographique!A"&amp;_xlfn.XMATCH("P",Statut_biogéographique!A:A,2,1),"P")</f>
        <v>P</v>
      </c>
      <c r="AP5615" s="4" t="s">
        <v>376</v>
      </c>
      <c r="AR5615" s="4" t="s">
        <v>377</v>
      </c>
    </row>
    <row r="5616" spans="1:44" ht="30">
      <c r="A5616" s="4" t="s">
        <v>5</v>
      </c>
      <c r="B5616" s="4">
        <v>43242</v>
      </c>
      <c r="C5616" s="4">
        <v>1477</v>
      </c>
      <c r="D5616" s="5" t="s">
        <v>8177</v>
      </c>
      <c r="E5616" s="6" t="str">
        <f>HYPERLINK("https://inpn.mnhn.fr/espece/cd_nom/43242","Laxitextum bicolor (Pers.) Lentz, 1956")</f>
        <v>Laxitextum bicolor (Pers.) Lentz, 1956</v>
      </c>
      <c r="F5616" s="5" t="s">
        <v>8178</v>
      </c>
      <c r="V5616" s="7" t="str">
        <f>HYPERLINK("#Liste_rouge!A"&amp;_xlfn.XMATCH("LC",Liste_rouge!A:A,2,1),"LC")</f>
        <v>LC</v>
      </c>
      <c r="AH5616" s="4" t="str">
        <f>HYPERLINK("#Statut_biogéographique!A"&amp;_xlfn.XMATCH("P",Statut_biogéographique!A:A,2,1),"P")</f>
        <v>P</v>
      </c>
      <c r="AP5616" s="4" t="s">
        <v>376</v>
      </c>
      <c r="AR5616" s="4" t="s">
        <v>377</v>
      </c>
    </row>
    <row r="5617" spans="1:44" ht="45">
      <c r="A5617" s="4" t="s">
        <v>5</v>
      </c>
      <c r="B5617" s="4">
        <v>43251</v>
      </c>
      <c r="D5617" s="5" t="s">
        <v>8179</v>
      </c>
      <c r="E5617" s="6" t="str">
        <f>HYPERLINK("https://inpn.mnhn.fr/espece/cd_nom/43251","Lenzites betulinus (L.) Fr., 1838")</f>
        <v>Lenzites betulinus (L.) Fr., 1838</v>
      </c>
      <c r="F5617" s="5" t="s">
        <v>8180</v>
      </c>
      <c r="V5617" s="7" t="str">
        <f>HYPERLINK("#Liste_rouge!A"&amp;_xlfn.XMATCH("LC",Liste_rouge!A:A,2,1),"LC")</f>
        <v>LC</v>
      </c>
      <c r="AH5617" s="4" t="str">
        <f>HYPERLINK("#Statut_biogéographique!A"&amp;_xlfn.XMATCH("P",Statut_biogéographique!A:A,2,1),"P")</f>
        <v>P</v>
      </c>
      <c r="AP5617" s="4" t="s">
        <v>376</v>
      </c>
      <c r="AR5617" s="4" t="s">
        <v>377</v>
      </c>
    </row>
    <row r="5618" spans="1:44" ht="30">
      <c r="A5618" s="4" t="s">
        <v>5</v>
      </c>
      <c r="B5618" s="4">
        <v>43264</v>
      </c>
      <c r="D5618" s="5" t="s">
        <v>8181</v>
      </c>
      <c r="E5618" s="6" t="str">
        <f>HYPERLINK("https://inpn.mnhn.fr/espece/cd_nom/43264","Leptoporus mollis (Pers.) Pilát, 1937")</f>
        <v>Leptoporus mollis (Pers.) Pilát, 1937</v>
      </c>
      <c r="F5618" s="5" t="s">
        <v>688</v>
      </c>
      <c r="V5618" s="7" t="str">
        <f>HYPERLINK("#Liste_rouge!A"&amp;_xlfn.XMATCH("LC",Liste_rouge!A:A,2,1),"LC")</f>
        <v>LC</v>
      </c>
      <c r="AH5618" s="4" t="str">
        <f>HYPERLINK("#Statut_biogéographique!A"&amp;_xlfn.XMATCH("P",Statut_biogéographique!A:A,2,1),"P")</f>
        <v>P</v>
      </c>
      <c r="AP5618" s="4" t="s">
        <v>376</v>
      </c>
      <c r="AR5618" s="4" t="s">
        <v>377</v>
      </c>
    </row>
    <row r="5619" spans="1:44" ht="30">
      <c r="A5619" s="4" t="s">
        <v>5</v>
      </c>
      <c r="B5619" s="4">
        <v>43329</v>
      </c>
      <c r="D5619" s="5">
        <v>43329</v>
      </c>
      <c r="E5619" s="6" t="str">
        <f>HYPERLINK("https://inpn.mnhn.fr/espece/cd_nom/43329","Lobulicium occultum K.H.Larss. &amp; Hjortstam, 1982")</f>
        <v>Lobulicium occultum K.H.Larss. &amp; Hjortstam, 1982</v>
      </c>
      <c r="V5619" s="7" t="str">
        <f>HYPERLINK("#Liste_rouge!A"&amp;_xlfn.XMATCH("DD",Liste_rouge!A:A,2,1),"DD")</f>
        <v>DD</v>
      </c>
      <c r="AH5619" s="4" t="str">
        <f>HYPERLINK("#Statut_biogéographique!A"&amp;_xlfn.XMATCH("P",Statut_biogéographique!A:A,2,1),"P")</f>
        <v>P</v>
      </c>
      <c r="AP5619" s="4" t="s">
        <v>376</v>
      </c>
      <c r="AR5619" s="4" t="s">
        <v>377</v>
      </c>
    </row>
    <row r="5620" spans="1:44" ht="30">
      <c r="A5620" s="4" t="s">
        <v>5</v>
      </c>
      <c r="B5620" s="4">
        <v>43347</v>
      </c>
      <c r="D5620" s="5" t="s">
        <v>8182</v>
      </c>
      <c r="E5620" s="6" t="str">
        <f>HYPERLINK("https://inpn.mnhn.fr/espece/cd_nom/43347","Luellia recondita (H.S.Jacks.) K.H.Larss. &amp; Hjortstam, 1974")</f>
        <v>Luellia recondita (H.S.Jacks.) K.H.Larss. &amp; Hjortstam, 1974</v>
      </c>
      <c r="AH5620" s="4" t="str">
        <f>HYPERLINK("#Statut_biogéographique!A"&amp;_xlfn.XMATCH("P",Statut_biogéographique!A:A,2,1),"P")</f>
        <v>P</v>
      </c>
      <c r="AP5620" s="4" t="s">
        <v>376</v>
      </c>
      <c r="AR5620" s="4" t="s">
        <v>377</v>
      </c>
    </row>
    <row r="5621" spans="1:44" ht="45">
      <c r="A5621" s="4" t="s">
        <v>5</v>
      </c>
      <c r="B5621" s="4">
        <v>43385</v>
      </c>
      <c r="D5621" s="5" t="s">
        <v>8183</v>
      </c>
      <c r="E5621" s="6" t="str">
        <f>HYPERLINK("https://inpn.mnhn.fr/espece/cd_nom/43385","Meripilus giganteus (Pers.) P.Karst., 1882")</f>
        <v>Meripilus giganteus (Pers.) P.Karst., 1882</v>
      </c>
      <c r="F5621" s="5" t="s">
        <v>4294</v>
      </c>
      <c r="V5621" s="7" t="str">
        <f>HYPERLINK("#Liste_rouge!A"&amp;_xlfn.XMATCH("LC",Liste_rouge!A:A,2,1),"LC")</f>
        <v>LC</v>
      </c>
      <c r="AH5621" s="4" t="str">
        <f>HYPERLINK("#Statut_biogéographique!A"&amp;_xlfn.XMATCH("P",Statut_biogéographique!A:A,2,1),"P")</f>
        <v>P</v>
      </c>
      <c r="AP5621" s="4" t="s">
        <v>376</v>
      </c>
      <c r="AR5621" s="4" t="s">
        <v>377</v>
      </c>
    </row>
    <row r="5622" spans="1:44" ht="75">
      <c r="A5622" s="4" t="s">
        <v>5</v>
      </c>
      <c r="B5622" s="4">
        <v>43390</v>
      </c>
      <c r="D5622" s="5" t="s">
        <v>8184</v>
      </c>
      <c r="E5622" s="6" t="str">
        <f>HYPERLINK("https://inpn.mnhn.fr/espece/cd_nom/43390","Merismodes anomalus (Pers.) Singer, 1975")</f>
        <v>Merismodes anomalus (Pers.) Singer, 1975</v>
      </c>
      <c r="V5622" s="7" t="str">
        <f>HYPERLINK("#Liste_rouge!A"&amp;_xlfn.XMATCH("LC",Liste_rouge!A:A,2,1),"LC")</f>
        <v>LC</v>
      </c>
      <c r="AH5622" s="4" t="str">
        <f>HYPERLINK("#Statut_biogéographique!A"&amp;_xlfn.XMATCH("P",Statut_biogéographique!A:A,2,1),"P")</f>
        <v>P</v>
      </c>
      <c r="AP5622" s="4" t="s">
        <v>376</v>
      </c>
      <c r="AR5622" s="4" t="s">
        <v>377</v>
      </c>
    </row>
    <row r="5623" spans="1:44" ht="30">
      <c r="A5623" s="4" t="s">
        <v>5</v>
      </c>
      <c r="B5623" s="4">
        <v>43407</v>
      </c>
      <c r="C5623" s="4">
        <v>743</v>
      </c>
      <c r="D5623" s="5" t="s">
        <v>8185</v>
      </c>
      <c r="E5623" s="6" t="str">
        <f>HYPERLINK("https://inpn.mnhn.fr/espece/cd_nom/43407","Meruliopsis corium (Pers.) Ginns, 1976")</f>
        <v>Meruliopsis corium (Pers.) Ginns, 1976</v>
      </c>
      <c r="F5623" s="5" t="s">
        <v>8186</v>
      </c>
      <c r="V5623" s="7" t="str">
        <f>HYPERLINK("#Liste_rouge!A"&amp;_xlfn.XMATCH("LC",Liste_rouge!A:A,2,1),"LC")</f>
        <v>LC</v>
      </c>
      <c r="AH5623" s="4" t="str">
        <f>HYPERLINK("#Statut_biogéographique!A"&amp;_xlfn.XMATCH("P",Statut_biogéographique!A:A,2,1),"P")</f>
        <v>P</v>
      </c>
      <c r="AP5623" s="4" t="s">
        <v>376</v>
      </c>
      <c r="AR5623" s="4" t="s">
        <v>377</v>
      </c>
    </row>
    <row r="5624" spans="1:44" ht="30">
      <c r="A5624" s="4" t="s">
        <v>5</v>
      </c>
      <c r="B5624" s="4">
        <v>43412</v>
      </c>
      <c r="C5624" s="4">
        <v>353</v>
      </c>
      <c r="D5624" s="5" t="s">
        <v>8187</v>
      </c>
      <c r="E5624" s="6" t="str">
        <f>HYPERLINK("https://inpn.mnhn.fr/espece/cd_nom/43412","Gloeoporus taxicola (Pers.) Gilb. &amp; Ryvarden, 1985")</f>
        <v>Gloeoporus taxicola (Pers.) Gilb. &amp; Ryvarden, 1985</v>
      </c>
      <c r="V5624" s="7" t="str">
        <f>HYPERLINK("#Liste_rouge!A"&amp;_xlfn.XMATCH("EN",Liste_rouge!A:A,2,1),"EN")</f>
        <v>EN</v>
      </c>
      <c r="W5624" s="4" t="str">
        <f>HYPERLINK("#Critères_liste_rouge!A$1","B2abiii")</f>
        <v>B2abiii</v>
      </c>
      <c r="Z5624" s="4" t="s">
        <v>447</v>
      </c>
      <c r="AA5624" s="4" t="s">
        <v>448</v>
      </c>
      <c r="AH5624" s="4" t="str">
        <f>HYPERLINK("#Statut_biogéographique!A"&amp;_xlfn.XMATCH("P",Statut_biogéographique!A:A,2,1),"P")</f>
        <v>P</v>
      </c>
      <c r="AP5624" s="4" t="s">
        <v>376</v>
      </c>
      <c r="AR5624" s="4" t="s">
        <v>377</v>
      </c>
    </row>
    <row r="5625" spans="1:44" ht="30">
      <c r="A5625" s="4" t="s">
        <v>5</v>
      </c>
      <c r="B5625" s="4">
        <v>43419</v>
      </c>
      <c r="D5625" s="5" t="s">
        <v>8188</v>
      </c>
      <c r="E5625" s="6" t="str">
        <f>HYPERLINK("https://inpn.mnhn.fr/espece/cd_nom/43419","Phlebia tremellosa (Schrad.) Nakasone &amp; Burds., 1984")</f>
        <v>Phlebia tremellosa (Schrad.) Nakasone &amp; Burds., 1984</v>
      </c>
      <c r="V5625" s="7" t="str">
        <f>HYPERLINK("#Liste_rouge!A"&amp;_xlfn.XMATCH("LC",Liste_rouge!A:A,2,1),"LC")</f>
        <v>LC</v>
      </c>
      <c r="AH5625" s="4" t="str">
        <f>HYPERLINK("#Statut_biogéographique!A"&amp;_xlfn.XMATCH("P",Statut_biogéographique!A:A,2,1),"P")</f>
        <v>P</v>
      </c>
      <c r="AP5625" s="4" t="s">
        <v>376</v>
      </c>
      <c r="AR5625" s="4" t="s">
        <v>377</v>
      </c>
    </row>
    <row r="5626" spans="1:44" ht="30">
      <c r="A5626" s="4" t="s">
        <v>5</v>
      </c>
      <c r="B5626" s="4">
        <v>43475</v>
      </c>
      <c r="C5626" s="4">
        <v>2658</v>
      </c>
      <c r="D5626" s="5" t="s">
        <v>8189</v>
      </c>
      <c r="E5626" s="6" t="str">
        <f>HYPERLINK("https://inpn.mnhn.fr/espece/cd_nom/43475","Myxarium nucleatum Wallr., 1833")</f>
        <v>Myxarium nucleatum Wallr., 1833</v>
      </c>
      <c r="Z5626" s="4" t="s">
        <v>443</v>
      </c>
      <c r="AA5626" s="4" t="s">
        <v>444</v>
      </c>
      <c r="AH5626" s="4" t="str">
        <f>HYPERLINK("#Statut_biogéographique!A"&amp;_xlfn.XMATCH("P",Statut_biogéographique!A:A,2,1),"P")</f>
        <v>P</v>
      </c>
      <c r="AP5626" s="4" t="s">
        <v>376</v>
      </c>
      <c r="AR5626" s="4" t="s">
        <v>377</v>
      </c>
    </row>
    <row r="5627" spans="1:44">
      <c r="A5627" s="4" t="s">
        <v>5</v>
      </c>
      <c r="B5627" s="4">
        <v>43536</v>
      </c>
      <c r="D5627" s="5" t="s">
        <v>8190</v>
      </c>
      <c r="E5627" s="6" t="str">
        <f>HYPERLINK("https://inpn.mnhn.fr/espece/cd_nom/43536","Postia lowei (Pilát) Jülich, 1982")</f>
        <v>Postia lowei (Pilát) Jülich, 1982</v>
      </c>
      <c r="V5627" s="7" t="str">
        <f>HYPERLINK("#Liste_rouge!A"&amp;_xlfn.XMATCH("DD",Liste_rouge!A:A,2,1),"DD")</f>
        <v>DD</v>
      </c>
      <c r="AH5627" s="4" t="str">
        <f>HYPERLINK("#Statut_biogéographique!A"&amp;_xlfn.XMATCH("P",Statut_biogéographique!A:A,2,1),"P")</f>
        <v>P</v>
      </c>
      <c r="AP5627" s="4" t="s">
        <v>376</v>
      </c>
      <c r="AR5627" s="4" t="s">
        <v>377</v>
      </c>
    </row>
    <row r="5628" spans="1:44" ht="45">
      <c r="A5628" s="4" t="s">
        <v>5</v>
      </c>
      <c r="B5628" s="4">
        <v>43580</v>
      </c>
      <c r="D5628" s="5" t="s">
        <v>8191</v>
      </c>
      <c r="E5628" s="6" t="str">
        <f>HYPERLINK("https://inpn.mnhn.fr/espece/cd_nom/43580","Postia tephroleuca (Fr.) Jülich, 1982")</f>
        <v>Postia tephroleuca (Fr.) Jülich, 1982</v>
      </c>
      <c r="F5628" s="5" t="s">
        <v>8192</v>
      </c>
      <c r="V5628" s="7" t="str">
        <f>HYPERLINK("#Liste_rouge!A"&amp;_xlfn.XMATCH("LC",Liste_rouge!A:A,2,1),"LC")</f>
        <v>LC</v>
      </c>
      <c r="AH5628" s="4" t="str">
        <f>HYPERLINK("#Statut_biogéographique!A"&amp;_xlfn.XMATCH("P",Statut_biogéographique!A:A,2,1),"P")</f>
        <v>P</v>
      </c>
      <c r="AP5628" s="4" t="s">
        <v>376</v>
      </c>
      <c r="AR5628" s="4" t="s">
        <v>377</v>
      </c>
    </row>
    <row r="5629" spans="1:44">
      <c r="A5629" s="4" t="s">
        <v>5</v>
      </c>
      <c r="B5629" s="4">
        <v>43584</v>
      </c>
      <c r="D5629" s="5" t="s">
        <v>8193</v>
      </c>
      <c r="E5629" s="6" t="str">
        <f>HYPERLINK("https://inpn.mnhn.fr/espece/cd_nom/43584","Postia undosa (Peck) Jülich, 1982")</f>
        <v>Postia undosa (Peck) Jülich, 1982</v>
      </c>
      <c r="V5629" s="7" t="str">
        <f>HYPERLINK("#Liste_rouge!A"&amp;_xlfn.XMATCH("NT",Liste_rouge!A:A,2,1),"NT")</f>
        <v>NT</v>
      </c>
      <c r="W5629" s="4" t="str">
        <f>HYPERLINK("#Critères_liste_rouge!A$1","pr. B2abiii")</f>
        <v>pr. B2abiii</v>
      </c>
      <c r="AH5629" s="4" t="str">
        <f>HYPERLINK("#Statut_biogéographique!A"&amp;_xlfn.XMATCH("P",Statut_biogéographique!A:A,2,1),"P")</f>
        <v>P</v>
      </c>
      <c r="AP5629" s="4" t="s">
        <v>376</v>
      </c>
      <c r="AR5629" s="4" t="s">
        <v>377</v>
      </c>
    </row>
    <row r="5630" spans="1:44" ht="30">
      <c r="A5630" s="4" t="s">
        <v>5</v>
      </c>
      <c r="B5630" s="4">
        <v>43619</v>
      </c>
      <c r="D5630" s="5" t="s">
        <v>8194</v>
      </c>
      <c r="E5630" s="6" t="str">
        <f>HYPERLINK("https://inpn.mnhn.fr/espece/cd_nom/43619","Oxyporus populinus (Schumach.) Donk, 1933")</f>
        <v>Oxyporus populinus (Schumach.) Donk, 1933</v>
      </c>
      <c r="F5630" s="5" t="s">
        <v>538</v>
      </c>
      <c r="V5630" s="7" t="str">
        <f>HYPERLINK("#Liste_rouge!A"&amp;_xlfn.XMATCH("NT",Liste_rouge!A:A,2,1),"NT")</f>
        <v>NT</v>
      </c>
      <c r="W5630" s="4" t="str">
        <f>HYPERLINK("#Critères_liste_rouge!A$1","pr. A2c")</f>
        <v>pr. A2c</v>
      </c>
      <c r="AH5630" s="4" t="str">
        <f>HYPERLINK("#Statut_biogéographique!A"&amp;_xlfn.XMATCH("P",Statut_biogéographique!A:A,2,1),"P")</f>
        <v>P</v>
      </c>
      <c r="AP5630" s="4" t="s">
        <v>376</v>
      </c>
      <c r="AR5630" s="4" t="s">
        <v>377</v>
      </c>
    </row>
    <row r="5631" spans="1:44">
      <c r="A5631" s="4" t="s">
        <v>5</v>
      </c>
      <c r="B5631" s="4">
        <v>43661</v>
      </c>
      <c r="D5631" s="5" t="s">
        <v>8195</v>
      </c>
      <c r="E5631" s="6" t="str">
        <f>HYPERLINK("https://inpn.mnhn.fr/espece/cd_nom/43661","Peniophora cinerea (Pers.) Cooke, 1879")</f>
        <v>Peniophora cinerea (Pers.) Cooke, 1879</v>
      </c>
      <c r="V5631" s="7" t="str">
        <f>HYPERLINK("#Liste_rouge!A"&amp;_xlfn.XMATCH("LC",Liste_rouge!A:A,2,1),"LC")</f>
        <v>LC</v>
      </c>
      <c r="AH5631" s="4" t="str">
        <f>HYPERLINK("#Statut_biogéographique!A"&amp;_xlfn.XMATCH("P",Statut_biogéographique!A:A,2,1),"P")</f>
        <v>P</v>
      </c>
      <c r="AP5631" s="4" t="s">
        <v>376</v>
      </c>
      <c r="AR5631" s="4" t="s">
        <v>377</v>
      </c>
    </row>
    <row r="5632" spans="1:44">
      <c r="A5632" s="4" t="s">
        <v>5</v>
      </c>
      <c r="B5632" s="4">
        <v>43665</v>
      </c>
      <c r="D5632" s="5">
        <v>43665</v>
      </c>
      <c r="E5632" s="6" t="str">
        <f>HYPERLINK("https://inpn.mnhn.fr/espece/cd_nom/43665","Peniophora erikssonii Boidin, 1957")</f>
        <v>Peniophora erikssonii Boidin, 1957</v>
      </c>
      <c r="V5632" s="7" t="str">
        <f>HYPERLINK("#Liste_rouge!A"&amp;_xlfn.XMATCH("DD",Liste_rouge!A:A,2,1),"DD")</f>
        <v>DD</v>
      </c>
      <c r="AH5632" s="4" t="str">
        <f>HYPERLINK("#Statut_biogéographique!A"&amp;_xlfn.XMATCH("P",Statut_biogéographique!A:A,2,1),"P")</f>
        <v>P</v>
      </c>
      <c r="AP5632" s="4" t="s">
        <v>376</v>
      </c>
      <c r="AR5632" s="4" t="s">
        <v>377</v>
      </c>
    </row>
    <row r="5633" spans="1:44">
      <c r="A5633" s="4" t="s">
        <v>5</v>
      </c>
      <c r="B5633" s="4">
        <v>43669</v>
      </c>
      <c r="D5633" s="5" t="s">
        <v>8196</v>
      </c>
      <c r="E5633" s="6" t="str">
        <f>HYPERLINK("https://inpn.mnhn.fr/espece/cd_nom/43669","Peniophora proxima Bres., 1913")</f>
        <v>Peniophora proxima Bres., 1913</v>
      </c>
      <c r="V5633" s="7" t="str">
        <f>HYPERLINK("#Liste_rouge!A"&amp;_xlfn.XMATCH("DD",Liste_rouge!A:A,2,1),"DD")</f>
        <v>DD</v>
      </c>
      <c r="AH5633" s="4" t="str">
        <f>HYPERLINK("#Statut_biogéographique!A"&amp;_xlfn.XMATCH("P",Statut_biogéographique!A:A,2,1),"P")</f>
        <v>P</v>
      </c>
      <c r="AP5633" s="4" t="s">
        <v>376</v>
      </c>
      <c r="AR5633" s="4" t="s">
        <v>377</v>
      </c>
    </row>
    <row r="5634" spans="1:44">
      <c r="A5634" s="4" t="s">
        <v>5</v>
      </c>
      <c r="B5634" s="4">
        <v>43670</v>
      </c>
      <c r="D5634" s="5" t="s">
        <v>8197</v>
      </c>
      <c r="E5634" s="6" t="str">
        <f>HYPERLINK("https://inpn.mnhn.fr/espece/cd_nom/43670","Peniophora incarnata (Pers.) P.Karst., 1889")</f>
        <v>Peniophora incarnata (Pers.) P.Karst., 1889</v>
      </c>
      <c r="V5634" s="7" t="str">
        <f>HYPERLINK("#Liste_rouge!A"&amp;_xlfn.XMATCH("LC",Liste_rouge!A:A,2,1),"LC")</f>
        <v>LC</v>
      </c>
      <c r="AH5634" s="4" t="str">
        <f>HYPERLINK("#Statut_biogéographique!A"&amp;_xlfn.XMATCH("P",Statut_biogéographique!A:A,2,1),"P")</f>
        <v>P</v>
      </c>
      <c r="AP5634" s="4" t="s">
        <v>376</v>
      </c>
      <c r="AR5634" s="4" t="s">
        <v>377</v>
      </c>
    </row>
    <row r="5635" spans="1:44" ht="30">
      <c r="A5635" s="4" t="s">
        <v>5</v>
      </c>
      <c r="B5635" s="4">
        <v>43675</v>
      </c>
      <c r="D5635" s="5" t="s">
        <v>8198</v>
      </c>
      <c r="E5635" s="6" t="str">
        <f>HYPERLINK("https://inpn.mnhn.fr/espece/cd_nom/43675","Peniophora laeta (Fr.) Donk, 1957")</f>
        <v>Peniophora laeta (Fr.) Donk, 1957</v>
      </c>
      <c r="V5635" s="7" t="str">
        <f>HYPERLINK("#Liste_rouge!A"&amp;_xlfn.XMATCH("DD",Liste_rouge!A:A,2,1),"DD")</f>
        <v>DD</v>
      </c>
      <c r="AH5635" s="4" t="str">
        <f>HYPERLINK("#Statut_biogéographique!A"&amp;_xlfn.XMATCH("P",Statut_biogéographique!A:A,2,1),"P")</f>
        <v>P</v>
      </c>
      <c r="AP5635" s="4" t="s">
        <v>376</v>
      </c>
      <c r="AR5635" s="4" t="s">
        <v>377</v>
      </c>
    </row>
    <row r="5636" spans="1:44" ht="30">
      <c r="A5636" s="4" t="s">
        <v>5</v>
      </c>
      <c r="B5636" s="4">
        <v>43683</v>
      </c>
      <c r="D5636" s="5" t="s">
        <v>8199</v>
      </c>
      <c r="E5636" s="6" t="str">
        <f>HYPERLINK("https://inpn.mnhn.fr/espece/cd_nom/43683","Peniophora limitata (Chaillet ex Fr.) Cooke, 1879")</f>
        <v>Peniophora limitata (Chaillet ex Fr.) Cooke, 1879</v>
      </c>
      <c r="V5636" s="7" t="str">
        <f>HYPERLINK("#Liste_rouge!A"&amp;_xlfn.XMATCH("DD",Liste_rouge!A:A,2,1),"DD")</f>
        <v>DD</v>
      </c>
      <c r="AH5636" s="4" t="str">
        <f>HYPERLINK("#Statut_biogéographique!A"&amp;_xlfn.XMATCH("P",Statut_biogéographique!A:A,2,1),"P")</f>
        <v>P</v>
      </c>
      <c r="AP5636" s="4" t="s">
        <v>376</v>
      </c>
      <c r="AR5636" s="4" t="s">
        <v>377</v>
      </c>
    </row>
    <row r="5637" spans="1:44">
      <c r="A5637" s="4" t="s">
        <v>5</v>
      </c>
      <c r="B5637" s="4">
        <v>43687</v>
      </c>
      <c r="D5637" s="5" t="s">
        <v>8200</v>
      </c>
      <c r="E5637" s="6" t="str">
        <f>HYPERLINK("https://inpn.mnhn.fr/espece/cd_nom/43687","Peniophora lycii (Pers.) Höhn. &amp; Litsch., 1907")</f>
        <v>Peniophora lycii (Pers.) Höhn. &amp; Litsch., 1907</v>
      </c>
      <c r="V5637" s="7" t="str">
        <f>HYPERLINK("#Liste_rouge!A"&amp;_xlfn.XMATCH("DD",Liste_rouge!A:A,2,1),"DD")</f>
        <v>DD</v>
      </c>
      <c r="AH5637" s="4" t="str">
        <f>HYPERLINK("#Statut_biogéographique!A"&amp;_xlfn.XMATCH("P",Statut_biogéographique!A:A,2,1),"P")</f>
        <v>P</v>
      </c>
      <c r="AP5637" s="4" t="s">
        <v>376</v>
      </c>
      <c r="AR5637" s="4" t="s">
        <v>377</v>
      </c>
    </row>
    <row r="5638" spans="1:44" ht="30">
      <c r="A5638" s="4" t="s">
        <v>5</v>
      </c>
      <c r="B5638" s="4">
        <v>43694</v>
      </c>
      <c r="D5638" s="5" t="s">
        <v>8201</v>
      </c>
      <c r="E5638" s="6" t="str">
        <f>HYPERLINK("https://inpn.mnhn.fr/espece/cd_nom/43694","Peniophora nuda (Fr.) Bres., 1897")</f>
        <v>Peniophora nuda (Fr.) Bres., 1897</v>
      </c>
      <c r="V5638" s="7" t="str">
        <f>HYPERLINK("#Liste_rouge!A"&amp;_xlfn.XMATCH("DD",Liste_rouge!A:A,2,1),"DD")</f>
        <v>DD</v>
      </c>
      <c r="AH5638" s="4" t="str">
        <f>HYPERLINK("#Statut_biogéographique!A"&amp;_xlfn.XMATCH("P",Statut_biogéographique!A:A,2,1),"P")</f>
        <v>P</v>
      </c>
      <c r="AP5638" s="4" t="s">
        <v>376</v>
      </c>
      <c r="AR5638" s="4" t="s">
        <v>377</v>
      </c>
    </row>
    <row r="5639" spans="1:44" ht="30">
      <c r="A5639" s="4" t="s">
        <v>5</v>
      </c>
      <c r="B5639" s="4">
        <v>43708</v>
      </c>
      <c r="D5639" s="5" t="s">
        <v>8202</v>
      </c>
      <c r="E5639" s="6" t="str">
        <f>HYPERLINK("https://inpn.mnhn.fr/espece/cd_nom/43708","Peniophora polygonia (Pers.) Bourdot &amp; Galzin, 1928")</f>
        <v>Peniophora polygonia (Pers.) Bourdot &amp; Galzin, 1928</v>
      </c>
      <c r="V5639" s="7" t="str">
        <f>HYPERLINK("#Liste_rouge!A"&amp;_xlfn.XMATCH("DD",Liste_rouge!A:A,2,1),"DD")</f>
        <v>DD</v>
      </c>
      <c r="AH5639" s="4" t="str">
        <f>HYPERLINK("#Statut_biogéographique!A"&amp;_xlfn.XMATCH("P",Statut_biogéographique!A:A,2,1),"P")</f>
        <v>P</v>
      </c>
      <c r="AP5639" s="4" t="s">
        <v>376</v>
      </c>
      <c r="AR5639" s="4" t="s">
        <v>377</v>
      </c>
    </row>
    <row r="5640" spans="1:44" ht="30">
      <c r="A5640" s="4" t="s">
        <v>5</v>
      </c>
      <c r="B5640" s="4">
        <v>43713</v>
      </c>
      <c r="D5640" s="5" t="s">
        <v>8203</v>
      </c>
      <c r="E5640" s="6" t="str">
        <f>HYPERLINK("https://inpn.mnhn.fr/espece/cd_nom/43713","Peniophora quercina (Pers.) Cooke, 1879")</f>
        <v>Peniophora quercina (Pers.) Cooke, 1879</v>
      </c>
      <c r="V5640" s="7" t="str">
        <f>HYPERLINK("#Liste_rouge!A"&amp;_xlfn.XMATCH("LC",Liste_rouge!A:A,2,1),"LC")</f>
        <v>LC</v>
      </c>
      <c r="AH5640" s="4" t="str">
        <f>HYPERLINK("#Statut_biogéographique!A"&amp;_xlfn.XMATCH("P",Statut_biogéographique!A:A,2,1),"P")</f>
        <v>P</v>
      </c>
      <c r="AP5640" s="4" t="s">
        <v>376</v>
      </c>
      <c r="AR5640" s="4" t="s">
        <v>377</v>
      </c>
    </row>
    <row r="5641" spans="1:44" ht="30">
      <c r="A5641" s="4" t="s">
        <v>5</v>
      </c>
      <c r="B5641" s="4">
        <v>43720</v>
      </c>
      <c r="D5641" s="5" t="s">
        <v>8204</v>
      </c>
      <c r="E5641" s="6" t="str">
        <f>HYPERLINK("https://inpn.mnhn.fr/espece/cd_nom/43720","Peniophora rufomarginata (Pers.) Bourdot &amp; Galzin, 1913")</f>
        <v>Peniophora rufomarginata (Pers.) Bourdot &amp; Galzin, 1913</v>
      </c>
      <c r="V5641" s="7" t="str">
        <f>HYPERLINK("#Liste_rouge!A"&amp;_xlfn.XMATCH("VU",Liste_rouge!A:A,2,1),"VU")</f>
        <v>VU</v>
      </c>
      <c r="W5641" s="4" t="str">
        <f>HYPERLINK("#Critères_liste_rouge!A$1","D2")</f>
        <v>D2</v>
      </c>
      <c r="AH5641" s="4" t="str">
        <f>HYPERLINK("#Statut_biogéographique!A"&amp;_xlfn.XMATCH("P",Statut_biogéographique!A:A,2,1),"P")</f>
        <v>P</v>
      </c>
      <c r="AP5641" s="4" t="s">
        <v>376</v>
      </c>
      <c r="AR5641" s="4" t="s">
        <v>377</v>
      </c>
    </row>
    <row r="5642" spans="1:44" ht="45">
      <c r="A5642" s="4" t="s">
        <v>5</v>
      </c>
      <c r="B5642" s="4">
        <v>43732</v>
      </c>
      <c r="D5642" s="5" t="s">
        <v>8205</v>
      </c>
      <c r="E5642" s="6" t="str">
        <f>HYPERLINK("https://inpn.mnhn.fr/espece/cd_nom/43732","Perenniporia fraxinea (Bull.) Ryvarden, 1978")</f>
        <v>Perenniporia fraxinea (Bull.) Ryvarden, 1978</v>
      </c>
      <c r="F5642" s="5" t="s">
        <v>713</v>
      </c>
      <c r="V5642" s="7" t="str">
        <f>HYPERLINK("#Liste_rouge!A"&amp;_xlfn.XMATCH("LC",Liste_rouge!A:A,2,1),"LC")</f>
        <v>LC</v>
      </c>
      <c r="AH5642" s="4" t="str">
        <f>HYPERLINK("#Statut_biogéographique!A"&amp;_xlfn.XMATCH("P",Statut_biogéographique!A:A,2,1),"P")</f>
        <v>P</v>
      </c>
      <c r="AP5642" s="4" t="s">
        <v>376</v>
      </c>
      <c r="AR5642" s="4" t="s">
        <v>377</v>
      </c>
    </row>
    <row r="5643" spans="1:44" ht="30">
      <c r="A5643" s="4" t="s">
        <v>5</v>
      </c>
      <c r="B5643" s="4">
        <v>43791</v>
      </c>
      <c r="D5643" s="5" t="s">
        <v>8206</v>
      </c>
      <c r="E5643" s="6" t="str">
        <f>HYPERLINK("https://inpn.mnhn.fr/espece/cd_nom/43791","Phanerochaete calotricha (P.Karst.) J.Erikss. &amp; Ryvarden, 1978")</f>
        <v>Phanerochaete calotricha (P.Karst.) J.Erikss. &amp; Ryvarden, 1978</v>
      </c>
      <c r="AH5643" s="4" t="str">
        <f>HYPERLINK("#Statut_biogéographique!A"&amp;_xlfn.XMATCH("P",Statut_biogéographique!A:A,2,1),"P")</f>
        <v>P</v>
      </c>
      <c r="AP5643" s="4" t="s">
        <v>376</v>
      </c>
      <c r="AR5643" s="4" t="s">
        <v>377</v>
      </c>
    </row>
    <row r="5644" spans="1:44" ht="30">
      <c r="A5644" s="4" t="s">
        <v>5</v>
      </c>
      <c r="B5644" s="4">
        <v>43803</v>
      </c>
      <c r="D5644" s="5" t="s">
        <v>8207</v>
      </c>
      <c r="E5644" s="6" t="str">
        <f>HYPERLINK("https://inpn.mnhn.fr/espece/cd_nom/43803","Phanerochaete galactites (Bourdot &amp; Galzin) J.Erikss. &amp; Ryvarden, 1978")</f>
        <v>Phanerochaete galactites (Bourdot &amp; Galzin) J.Erikss. &amp; Ryvarden, 1978</v>
      </c>
      <c r="AH5644" s="4" t="str">
        <f>HYPERLINK("#Statut_biogéographique!A"&amp;_xlfn.XMATCH("P",Statut_biogéographique!A:A,2,1),"P")</f>
        <v>P</v>
      </c>
      <c r="AP5644" s="4" t="s">
        <v>376</v>
      </c>
      <c r="AR5644" s="4" t="s">
        <v>377</v>
      </c>
    </row>
    <row r="5645" spans="1:44">
      <c r="A5645" s="4" t="s">
        <v>5</v>
      </c>
      <c r="B5645" s="4">
        <v>438055</v>
      </c>
      <c r="C5645" s="4">
        <v>6812</v>
      </c>
      <c r="D5645" s="5" t="s">
        <v>8208</v>
      </c>
      <c r="E5645" s="6" t="str">
        <f>HYPERLINK("https://inpn.mnhn.fr/espece/cd_nom/438055","Campanella caesia Romagn., 1981")</f>
        <v>Campanella caesia Romagn., 1981</v>
      </c>
      <c r="F5645" s="5" t="s">
        <v>8209</v>
      </c>
      <c r="AH5645" s="4" t="str">
        <f>HYPERLINK("#Statut_biogéographique!A"&amp;_xlfn.XMATCH("P",Statut_biogéographique!A:A,2,1),"P")</f>
        <v>P</v>
      </c>
      <c r="AP5645" s="4" t="s">
        <v>376</v>
      </c>
      <c r="AR5645" s="4" t="s">
        <v>377</v>
      </c>
    </row>
    <row r="5646" spans="1:44">
      <c r="A5646" s="4" t="s">
        <v>5</v>
      </c>
      <c r="B5646" s="4">
        <v>438063</v>
      </c>
      <c r="C5646" s="4">
        <v>2700</v>
      </c>
      <c r="D5646" s="5" t="s">
        <v>8210</v>
      </c>
      <c r="E5646" s="6" t="str">
        <f>HYPERLINK("https://inpn.mnhn.fr/espece/cd_nom/438063","Conocybe echinata (Velen.) Singer, 1989")</f>
        <v>Conocybe echinata (Velen.) Singer, 1989</v>
      </c>
      <c r="F5646" s="5" t="s">
        <v>8211</v>
      </c>
      <c r="V5646" s="7" t="str">
        <f>HYPERLINK("#Liste_rouge!A"&amp;_xlfn.XMATCH("NT",Liste_rouge!A:A,2,1),"NT")</f>
        <v>NT</v>
      </c>
      <c r="W5646" s="4" t="str">
        <f>HYPERLINK("#Critères_liste_rouge!A$1","pr. A2c")</f>
        <v>pr. A2c</v>
      </c>
      <c r="AH5646" s="4" t="str">
        <f>HYPERLINK("#Statut_biogéographique!A"&amp;_xlfn.XMATCH("P",Statut_biogéographique!A:A,2,1),"P")</f>
        <v>P</v>
      </c>
      <c r="AP5646" s="4" t="s">
        <v>376</v>
      </c>
      <c r="AR5646" s="4" t="s">
        <v>377</v>
      </c>
    </row>
    <row r="5647" spans="1:44" ht="30">
      <c r="A5647" s="4" t="s">
        <v>5</v>
      </c>
      <c r="B5647" s="4">
        <v>438064</v>
      </c>
      <c r="C5647" s="4">
        <v>3945</v>
      </c>
      <c r="D5647" s="5" t="s">
        <v>8212</v>
      </c>
      <c r="E5647" s="6" t="str">
        <f>HYPERLINK("https://inpn.mnhn.fr/espece/cd_nom/438064","Conocybe pulchella (Velen.) Hauskn. &amp; Svrček, 1999")</f>
        <v>Conocybe pulchella (Velen.) Hauskn. &amp; Svrček, 1999</v>
      </c>
      <c r="V5647" s="7" t="str">
        <f>HYPERLINK("#Liste_rouge!A"&amp;_xlfn.XMATCH("DD",Liste_rouge!A:A,2,1),"DD")</f>
        <v>DD</v>
      </c>
      <c r="AH5647" s="4" t="str">
        <f>HYPERLINK("#Statut_biogéographique!A"&amp;_xlfn.XMATCH("P",Statut_biogéographique!A:A,2,1),"P")</f>
        <v>P</v>
      </c>
      <c r="AP5647" s="4" t="s">
        <v>376</v>
      </c>
      <c r="AR5647" s="4" t="s">
        <v>377</v>
      </c>
    </row>
    <row r="5648" spans="1:44">
      <c r="A5648" s="4" t="s">
        <v>5</v>
      </c>
      <c r="B5648" s="4">
        <v>438066</v>
      </c>
      <c r="C5648" s="4">
        <v>2991</v>
      </c>
      <c r="D5648" s="5" t="s">
        <v>8213</v>
      </c>
      <c r="E5648" s="6" t="str">
        <f>HYPERLINK("https://inpn.mnhn.fr/espece/cd_nom/438066","Cortinarius casimiri (Velen.) Huijsman, 1955")</f>
        <v>Cortinarius casimiri (Velen.) Huijsman, 1955</v>
      </c>
      <c r="V5648" s="7" t="str">
        <f>HYPERLINK("#Liste_rouge!A"&amp;_xlfn.XMATCH("LC",Liste_rouge!A:A,2,1),"LC")</f>
        <v>LC</v>
      </c>
      <c r="AH5648" s="4" t="str">
        <f>HYPERLINK("#Statut_biogéographique!A"&amp;_xlfn.XMATCH("P",Statut_biogéographique!A:A,2,1),"P")</f>
        <v>P</v>
      </c>
      <c r="AP5648" s="4" t="s">
        <v>376</v>
      </c>
      <c r="AR5648" s="4" t="s">
        <v>377</v>
      </c>
    </row>
    <row r="5649" spans="1:44">
      <c r="A5649" s="4" t="s">
        <v>5</v>
      </c>
      <c r="B5649" s="4">
        <v>438067</v>
      </c>
      <c r="C5649" s="4">
        <v>3221</v>
      </c>
      <c r="D5649" s="5" t="s">
        <v>8214</v>
      </c>
      <c r="E5649" s="6" t="str">
        <f>HYPERLINK("https://inpn.mnhn.fr/espece/cd_nom/438067","Cortinarius galeobdolon Melot, 1995")</f>
        <v>Cortinarius galeobdolon Melot, 1995</v>
      </c>
      <c r="V5649" s="7" t="str">
        <f>HYPERLINK("#Liste_rouge!A"&amp;_xlfn.XMATCH("LC",Liste_rouge!A:A,2,1),"LC")</f>
        <v>LC</v>
      </c>
      <c r="AH5649" s="4" t="str">
        <f>HYPERLINK("#Statut_biogéographique!A"&amp;_xlfn.XMATCH("P",Statut_biogéographique!A:A,2,1),"P")</f>
        <v>P</v>
      </c>
      <c r="AP5649" s="4" t="s">
        <v>376</v>
      </c>
      <c r="AR5649" s="4" t="s">
        <v>377</v>
      </c>
    </row>
    <row r="5650" spans="1:44">
      <c r="A5650" s="4" t="s">
        <v>5</v>
      </c>
      <c r="B5650" s="4">
        <v>438068</v>
      </c>
      <c r="C5650" s="4">
        <v>5522</v>
      </c>
      <c r="D5650" s="5" t="s">
        <v>8215</v>
      </c>
      <c r="E5650" s="6" t="str">
        <f>HYPERLINK("https://inpn.mnhn.fr/espece/cd_nom/438068","Cortinarius lepidus Moënne-Locc., 1997")</f>
        <v>Cortinarius lepidus Moënne-Locc., 1997</v>
      </c>
      <c r="V5650" s="7" t="str">
        <f>HYPERLINK("#Liste_rouge!A"&amp;_xlfn.XMATCH("DD",Liste_rouge!A:A,2,1),"DD")</f>
        <v>DD</v>
      </c>
      <c r="AH5650" s="4" t="str">
        <f>HYPERLINK("#Statut_biogéographique!A"&amp;_xlfn.XMATCH("P",Statut_biogéographique!A:A,2,1),"P")</f>
        <v>P</v>
      </c>
      <c r="AP5650" s="4" t="s">
        <v>376</v>
      </c>
      <c r="AR5650" s="4" t="s">
        <v>377</v>
      </c>
    </row>
    <row r="5651" spans="1:44" ht="30">
      <c r="A5651" s="4" t="s">
        <v>5</v>
      </c>
      <c r="B5651" s="4">
        <v>43809</v>
      </c>
      <c r="D5651" s="5" t="s">
        <v>8216</v>
      </c>
      <c r="E5651" s="6" t="str">
        <f>HYPERLINK("https://inpn.mnhn.fr/espece/cd_nom/43809","Phanerochaete laevis (Fr.) J.Erikss. &amp; Ryvarden, 1978")</f>
        <v>Phanerochaete laevis (Fr.) J.Erikss. &amp; Ryvarden, 1978</v>
      </c>
      <c r="AH5651" s="4" t="str">
        <f>HYPERLINK("#Statut_biogéographique!A"&amp;_xlfn.XMATCH("P",Statut_biogéographique!A:A,2,1),"P")</f>
        <v>P</v>
      </c>
      <c r="AP5651" s="4" t="s">
        <v>376</v>
      </c>
      <c r="AR5651" s="4" t="s">
        <v>377</v>
      </c>
    </row>
    <row r="5652" spans="1:44">
      <c r="A5652" s="4" t="s">
        <v>5</v>
      </c>
      <c r="B5652" s="4">
        <v>438112</v>
      </c>
      <c r="D5652" s="5">
        <v>438112</v>
      </c>
      <c r="E5652" s="6" t="str">
        <f>HYPERLINK("https://inpn.mnhn.fr/espece/cd_nom/438112","Peziza merdae Donadini, 1978")</f>
        <v>Peziza merdae Donadini, 1978</v>
      </c>
      <c r="AH5652" s="4" t="str">
        <f>HYPERLINK("#Statut_biogéographique!A"&amp;_xlfn.XMATCH("P",Statut_biogéographique!A:A,2,1),"P")</f>
        <v>P</v>
      </c>
      <c r="AP5652" s="4" t="s">
        <v>376</v>
      </c>
      <c r="AR5652" s="4" t="s">
        <v>377</v>
      </c>
    </row>
    <row r="5653" spans="1:44">
      <c r="A5653" s="4" t="s">
        <v>5</v>
      </c>
      <c r="B5653" s="4">
        <v>438140</v>
      </c>
      <c r="D5653" s="5">
        <v>438140</v>
      </c>
      <c r="E5653" s="6" t="str">
        <f>HYPERLINK("https://inpn.mnhn.fr/espece/cd_nom/438140","Skeletocutis carneogrisea A.David, 1982")</f>
        <v>Skeletocutis carneogrisea A.David, 1982</v>
      </c>
      <c r="AH5653" s="4" t="str">
        <f>HYPERLINK("#Statut_biogéographique!A"&amp;_xlfn.XMATCH("P",Statut_biogéographique!A:A,2,1),"P")</f>
        <v>P</v>
      </c>
      <c r="AP5653" s="4" t="s">
        <v>376</v>
      </c>
      <c r="AR5653" s="4" t="s">
        <v>377</v>
      </c>
    </row>
    <row r="5654" spans="1:44">
      <c r="A5654" s="4" t="s">
        <v>5</v>
      </c>
      <c r="B5654" s="4">
        <v>438152</v>
      </c>
      <c r="D5654" s="5" t="s">
        <v>8217</v>
      </c>
      <c r="E5654" s="6" t="str">
        <f>HYPERLINK("https://inpn.mnhn.fr/espece/cd_nom/438152","Vuilleminia alni Boidin, Lanq. &amp; Gilles, 1994")</f>
        <v>Vuilleminia alni Boidin, Lanq. &amp; Gilles, 1994</v>
      </c>
      <c r="AH5654" s="4" t="str">
        <f>HYPERLINK("#Statut_biogéographique!A"&amp;_xlfn.XMATCH("P",Statut_biogéographique!A:A,2,1),"P")</f>
        <v>P</v>
      </c>
      <c r="AP5654" s="4" t="s">
        <v>376</v>
      </c>
      <c r="AR5654" s="4" t="s">
        <v>377</v>
      </c>
    </row>
    <row r="5655" spans="1:44" ht="30">
      <c r="A5655" s="4" t="s">
        <v>5</v>
      </c>
      <c r="B5655" s="4">
        <v>43819</v>
      </c>
      <c r="D5655" s="5" t="s">
        <v>8218</v>
      </c>
      <c r="E5655" s="6" t="str">
        <f>HYPERLINK("https://inpn.mnhn.fr/espece/cd_nom/43819","Phanerochaete sanguinea (Fr.) Pouzar, 1973")</f>
        <v>Phanerochaete sanguinea (Fr.) Pouzar, 1973</v>
      </c>
      <c r="AH5655" s="4" t="str">
        <f>HYPERLINK("#Statut_biogéographique!A"&amp;_xlfn.XMATCH("P",Statut_biogéographique!A:A,2,1),"P")</f>
        <v>P</v>
      </c>
      <c r="AP5655" s="4" t="s">
        <v>376</v>
      </c>
      <c r="AR5655" s="4" t="s">
        <v>377</v>
      </c>
    </row>
    <row r="5656" spans="1:44" ht="30">
      <c r="A5656" s="4" t="s">
        <v>5</v>
      </c>
      <c r="B5656" s="4">
        <v>43823</v>
      </c>
      <c r="D5656" s="5" t="s">
        <v>8219</v>
      </c>
      <c r="E5656" s="6" t="str">
        <f>HYPERLINK("https://inpn.mnhn.fr/espece/cd_nom/43823","Phanerochaete sordida (P.Karst.) J.Erikss. &amp; Ryvarden, 1978")</f>
        <v>Phanerochaete sordida (P.Karst.) J.Erikss. &amp; Ryvarden, 1978</v>
      </c>
      <c r="AH5656" s="4" t="str">
        <f>HYPERLINK("#Statut_biogéographique!A"&amp;_xlfn.XMATCH("P",Statut_biogéographique!A:A,2,1),"P")</f>
        <v>P</v>
      </c>
      <c r="AP5656" s="4" t="s">
        <v>376</v>
      </c>
      <c r="AR5656" s="4" t="s">
        <v>377</v>
      </c>
    </row>
    <row r="5657" spans="1:44">
      <c r="A5657" s="4" t="s">
        <v>5</v>
      </c>
      <c r="B5657" s="4">
        <v>43832</v>
      </c>
      <c r="D5657" s="5" t="s">
        <v>8220</v>
      </c>
      <c r="E5657" s="6" t="str">
        <f>HYPERLINK("https://inpn.mnhn.fr/espece/cd_nom/43832","Phanerochaete velutina (DC.) P.Karst., 1898")</f>
        <v>Phanerochaete velutina (DC.) P.Karst., 1898</v>
      </c>
      <c r="AH5657" s="4" t="str">
        <f>HYPERLINK("#Statut_biogéographique!A"&amp;_xlfn.XMATCH("P",Statut_biogéographique!A:A,2,1),"P")</f>
        <v>P</v>
      </c>
      <c r="AP5657" s="4" t="s">
        <v>376</v>
      </c>
      <c r="AR5657" s="4" t="s">
        <v>377</v>
      </c>
    </row>
    <row r="5658" spans="1:44" ht="30">
      <c r="A5658" s="4" t="s">
        <v>5</v>
      </c>
      <c r="B5658" s="4">
        <v>43841</v>
      </c>
      <c r="D5658" s="5" t="s">
        <v>8221</v>
      </c>
      <c r="E5658" s="6" t="str">
        <f>HYPERLINK("https://inpn.mnhn.fr/espece/cd_nom/43841","Phellinus chrysoloma (Fr.) Donk, 1971")</f>
        <v>Phellinus chrysoloma (Fr.) Donk, 1971</v>
      </c>
      <c r="V5658" s="7" t="str">
        <f>HYPERLINK("#Liste_rouge!A"&amp;_xlfn.XMATCH("DD",Liste_rouge!A:A,2,1),"DD")</f>
        <v>DD</v>
      </c>
      <c r="AH5658" s="4" t="str">
        <f>HYPERLINK("#Statut_biogéographique!A"&amp;_xlfn.XMATCH("P",Statut_biogéographique!A:A,2,1),"P")</f>
        <v>P</v>
      </c>
      <c r="AP5658" s="4" t="s">
        <v>376</v>
      </c>
      <c r="AR5658" s="4" t="s">
        <v>377</v>
      </c>
    </row>
    <row r="5659" spans="1:44" ht="30">
      <c r="A5659" s="4" t="s">
        <v>5</v>
      </c>
      <c r="B5659" s="4">
        <v>43864</v>
      </c>
      <c r="C5659" s="4">
        <v>2033</v>
      </c>
      <c r="D5659" s="5" t="s">
        <v>8222</v>
      </c>
      <c r="E5659" s="6" t="str">
        <f>HYPERLINK("https://inpn.mnhn.fr/espece/cd_nom/43864","Crustoderma corneum (Bourdot &amp; Galzin) Nakasone, 1984")</f>
        <v>Crustoderma corneum (Bourdot &amp; Galzin) Nakasone, 1984</v>
      </c>
      <c r="V5659" s="7" t="str">
        <f>HYPERLINK("#Liste_rouge!A"&amp;_xlfn.XMATCH("DD",Liste_rouge!A:A,2,1),"DD")</f>
        <v>DD</v>
      </c>
      <c r="Z5659" s="4" t="s">
        <v>443</v>
      </c>
      <c r="AA5659" s="4" t="s">
        <v>444</v>
      </c>
      <c r="AH5659" s="4" t="str">
        <f>HYPERLINK("#Statut_biogéographique!A"&amp;_xlfn.XMATCH("P",Statut_biogéographique!A:A,2,1),"P")</f>
        <v>P</v>
      </c>
      <c r="AP5659" s="4" t="s">
        <v>376</v>
      </c>
      <c r="AR5659" s="4" t="s">
        <v>377</v>
      </c>
    </row>
    <row r="5660" spans="1:44">
      <c r="A5660" s="4" t="s">
        <v>5</v>
      </c>
      <c r="B5660" s="4">
        <v>43900</v>
      </c>
      <c r="D5660" s="5" t="s">
        <v>8223</v>
      </c>
      <c r="E5660" s="6" t="str">
        <f>HYPERLINK("https://inpn.mnhn.fr/espece/cd_nom/43900","Phlebia livida (Pers.) Bres., 1897")</f>
        <v>Phlebia livida (Pers.) Bres., 1897</v>
      </c>
      <c r="V5660" s="7" t="str">
        <f>HYPERLINK("#Liste_rouge!A"&amp;_xlfn.XMATCH("EN",Liste_rouge!A:A,2,1),"EN")</f>
        <v>EN</v>
      </c>
      <c r="W5660" s="4" t="str">
        <f>HYPERLINK("#Critères_liste_rouge!A$1","B2abiii")</f>
        <v>B2abiii</v>
      </c>
      <c r="AH5660" s="4" t="str">
        <f>HYPERLINK("#Statut_biogéographique!A"&amp;_xlfn.XMATCH("P",Statut_biogéographique!A:A,2,1),"P")</f>
        <v>P</v>
      </c>
      <c r="AP5660" s="4" t="s">
        <v>376</v>
      </c>
      <c r="AR5660" s="4" t="s">
        <v>377</v>
      </c>
    </row>
    <row r="5661" spans="1:44" ht="30">
      <c r="A5661" s="4" t="s">
        <v>5</v>
      </c>
      <c r="B5661" s="4">
        <v>43906</v>
      </c>
      <c r="D5661" s="5" t="s">
        <v>8224</v>
      </c>
      <c r="E5661" s="6" t="str">
        <f>HYPERLINK("https://inpn.mnhn.fr/espece/cd_nom/43906","Phlebia merismoides (Fr.) Fr., 1821")</f>
        <v>Phlebia merismoides (Fr.) Fr., 1821</v>
      </c>
      <c r="V5661" s="7" t="str">
        <f>HYPERLINK("#Liste_rouge!A"&amp;_xlfn.XMATCH("LC",Liste_rouge!A:A,2,1),"LC")</f>
        <v>LC</v>
      </c>
      <c r="AH5661" s="4" t="str">
        <f>HYPERLINK("#Statut_biogéographique!A"&amp;_xlfn.XMATCH("P",Statut_biogéographique!A:A,2,1),"P")</f>
        <v>P</v>
      </c>
      <c r="AP5661" s="4" t="s">
        <v>376</v>
      </c>
      <c r="AR5661" s="4" t="s">
        <v>377</v>
      </c>
    </row>
    <row r="5662" spans="1:44" ht="30">
      <c r="A5662" s="4" t="s">
        <v>5</v>
      </c>
      <c r="B5662" s="4">
        <v>43919</v>
      </c>
      <c r="D5662" s="5" t="s">
        <v>8225</v>
      </c>
      <c r="E5662" s="6" t="str">
        <f>HYPERLINK("https://inpn.mnhn.fr/espece/cd_nom/43919","Phlebia rufa (Pers.) M.P.Christ., 1960")</f>
        <v>Phlebia rufa (Pers.) M.P.Christ., 1960</v>
      </c>
      <c r="V5662" s="7" t="str">
        <f>HYPERLINK("#Liste_rouge!A"&amp;_xlfn.XMATCH("LC",Liste_rouge!A:A,2,1),"LC")</f>
        <v>LC</v>
      </c>
      <c r="AH5662" s="4" t="str">
        <f>HYPERLINK("#Statut_biogéographique!A"&amp;_xlfn.XMATCH("P",Statut_biogéographique!A:A,2,1),"P")</f>
        <v>P</v>
      </c>
      <c r="AP5662" s="4" t="s">
        <v>376</v>
      </c>
      <c r="AR5662" s="4" t="s">
        <v>377</v>
      </c>
    </row>
    <row r="5663" spans="1:44" ht="30">
      <c r="A5663" s="4" t="s">
        <v>5</v>
      </c>
      <c r="B5663" s="4">
        <v>43993</v>
      </c>
      <c r="D5663" s="5" t="s">
        <v>8226</v>
      </c>
      <c r="E5663" s="6" t="str">
        <f>HYPERLINK("https://inpn.mnhn.fr/espece/cd_nom/43993","Physisporinus vitreus (Pers.) P.Karst., 1889")</f>
        <v>Physisporinus vitreus (Pers.) P.Karst., 1889</v>
      </c>
      <c r="V5663" s="7" t="str">
        <f>HYPERLINK("#Liste_rouge!A"&amp;_xlfn.XMATCH("LC",Liste_rouge!A:A,2,1),"LC")</f>
        <v>LC</v>
      </c>
      <c r="AH5663" s="4" t="str">
        <f>HYPERLINK("#Statut_biogéographique!A"&amp;_xlfn.XMATCH("P",Statut_biogéographique!A:A,2,1),"P")</f>
        <v>P</v>
      </c>
      <c r="AP5663" s="4" t="s">
        <v>376</v>
      </c>
      <c r="AR5663" s="4" t="s">
        <v>377</v>
      </c>
    </row>
    <row r="5664" spans="1:44">
      <c r="A5664" s="4" t="s">
        <v>5</v>
      </c>
      <c r="B5664" s="4">
        <v>44003</v>
      </c>
      <c r="D5664" s="5" t="s">
        <v>8227</v>
      </c>
      <c r="E5664" s="6" t="str">
        <f>HYPERLINK("https://inpn.mnhn.fr/espece/cd_nom/44003","Piloderma byssinum (P.Karst.) Jülich, 1969")</f>
        <v>Piloderma byssinum (P.Karst.) Jülich, 1969</v>
      </c>
      <c r="V5664" s="7" t="str">
        <f>HYPERLINK("#Liste_rouge!A"&amp;_xlfn.XMATCH("DD",Liste_rouge!A:A,2,1),"DD")</f>
        <v>DD</v>
      </c>
      <c r="AH5664" s="4" t="str">
        <f>HYPERLINK("#Statut_biogéographique!A"&amp;_xlfn.XMATCH("P",Statut_biogéographique!A:A,2,1),"P")</f>
        <v>P</v>
      </c>
      <c r="AP5664" s="4" t="s">
        <v>376</v>
      </c>
      <c r="AR5664" s="4" t="s">
        <v>377</v>
      </c>
    </row>
    <row r="5665" spans="1:44">
      <c r="A5665" s="4" t="s">
        <v>5</v>
      </c>
      <c r="B5665" s="4">
        <v>44010</v>
      </c>
      <c r="D5665" s="5" t="s">
        <v>8228</v>
      </c>
      <c r="E5665" s="6" t="str">
        <f>HYPERLINK("https://inpn.mnhn.fr/espece/cd_nom/44010","Piloderma bicolor (Peck) Jülich, 1969")</f>
        <v>Piloderma bicolor (Peck) Jülich, 1969</v>
      </c>
      <c r="V5665" s="7" t="str">
        <f>HYPERLINK("#Liste_rouge!A"&amp;_xlfn.XMATCH("DD",Liste_rouge!A:A,2,1),"DD")</f>
        <v>DD</v>
      </c>
      <c r="AH5665" s="4" t="str">
        <f>HYPERLINK("#Statut_biogéographique!A"&amp;_xlfn.XMATCH("P",Statut_biogéographique!A:A,2,1),"P")</f>
        <v>P</v>
      </c>
      <c r="AP5665" s="4" t="s">
        <v>376</v>
      </c>
      <c r="AR5665" s="4" t="s">
        <v>377</v>
      </c>
    </row>
    <row r="5666" spans="1:44" ht="30">
      <c r="A5666" s="4" t="s">
        <v>5</v>
      </c>
      <c r="B5666" s="4">
        <v>44020</v>
      </c>
      <c r="C5666" s="4">
        <v>189</v>
      </c>
      <c r="D5666" s="5" t="s">
        <v>8229</v>
      </c>
      <c r="E5666" s="6" t="str">
        <f>HYPERLINK("https://inpn.mnhn.fr/espece/cd_nom/44020","Piptoporus betulinus (Bull.) P.Karst., 1881")</f>
        <v>Piptoporus betulinus (Bull.) P.Karst., 1881</v>
      </c>
      <c r="F5666" s="5" t="s">
        <v>8230</v>
      </c>
      <c r="V5666" s="7" t="str">
        <f>HYPERLINK("#Liste_rouge!A"&amp;_xlfn.XMATCH("LC",Liste_rouge!A:A,2,1),"LC")</f>
        <v>LC</v>
      </c>
      <c r="AH5666" s="4" t="str">
        <f>HYPERLINK("#Statut_biogéographique!A"&amp;_xlfn.XMATCH("P",Statut_biogéographique!A:A,2,1),"P")</f>
        <v>P</v>
      </c>
      <c r="AP5666" s="4" t="s">
        <v>376</v>
      </c>
      <c r="AR5666" s="4" t="s">
        <v>377</v>
      </c>
    </row>
    <row r="5667" spans="1:44">
      <c r="A5667" s="4" t="s">
        <v>5</v>
      </c>
      <c r="B5667" s="4">
        <v>44029</v>
      </c>
      <c r="D5667" s="5" t="s">
        <v>8231</v>
      </c>
      <c r="E5667" s="6" t="str">
        <f>HYPERLINK("https://inpn.mnhn.fr/espece/cd_nom/44029","Plicatura nivea (Fr.) P.Karst., 1889")</f>
        <v>Plicatura nivea (Fr.) P.Karst., 1889</v>
      </c>
      <c r="V5667" s="7" t="str">
        <f>HYPERLINK("#Liste_rouge!A"&amp;_xlfn.XMATCH("DD",Liste_rouge!A:A,2,1),"DD")</f>
        <v>DD</v>
      </c>
      <c r="AH5667" s="4" t="str">
        <f>HYPERLINK("#Statut_biogéographique!A"&amp;_xlfn.XMATCH("P",Statut_biogéographique!A:A,2,1),"P")</f>
        <v>P</v>
      </c>
      <c r="AP5667" s="4" t="s">
        <v>376</v>
      </c>
      <c r="AR5667" s="4" t="s">
        <v>377</v>
      </c>
    </row>
    <row r="5668" spans="1:44" ht="30">
      <c r="A5668" s="4" t="s">
        <v>5</v>
      </c>
      <c r="B5668" s="4">
        <v>44033</v>
      </c>
      <c r="D5668" s="5" t="s">
        <v>8232</v>
      </c>
      <c r="E5668" s="6" t="str">
        <f>HYPERLINK("https://inpn.mnhn.fr/espece/cd_nom/44033","Plicaturopsis crispa (Pers.) D.A.Reid, 1964")</f>
        <v>Plicaturopsis crispa (Pers.) D.A.Reid, 1964</v>
      </c>
      <c r="V5668" s="7" t="str">
        <f>HYPERLINK("#Liste_rouge!A"&amp;_xlfn.XMATCH("LC",Liste_rouge!A:A,2,1),"LC")</f>
        <v>LC</v>
      </c>
      <c r="AH5668" s="4" t="str">
        <f>HYPERLINK("#Statut_biogéographique!A"&amp;_xlfn.XMATCH("P",Statut_biogéographique!A:A,2,1),"P")</f>
        <v>P</v>
      </c>
      <c r="AP5668" s="4" t="s">
        <v>376</v>
      </c>
      <c r="AR5668" s="4" t="s">
        <v>377</v>
      </c>
    </row>
    <row r="5669" spans="1:44" ht="30">
      <c r="A5669" s="4" t="s">
        <v>5</v>
      </c>
      <c r="B5669" s="4">
        <v>44038</v>
      </c>
      <c r="D5669" s="5" t="s">
        <v>8233</v>
      </c>
      <c r="E5669" s="6" t="str">
        <f>HYPERLINK("https://inpn.mnhn.fr/espece/cd_nom/44038","Podoscypha multizonata (Berk. &amp; Broome) Pat., 1928")</f>
        <v>Podoscypha multizonata (Berk. &amp; Broome) Pat., 1928</v>
      </c>
      <c r="V5669" s="7" t="str">
        <f>HYPERLINK("#Liste_rouge!A"&amp;_xlfn.XMATCH("EN",Liste_rouge!A:A,2,1),"EN")</f>
        <v>EN</v>
      </c>
      <c r="W5669" s="4" t="str">
        <f>HYPERLINK("#Critères_liste_rouge!A$1","B2abiii")</f>
        <v>B2abiii</v>
      </c>
      <c r="AH5669" s="4" t="str">
        <f>HYPERLINK("#Statut_biogéographique!A"&amp;_xlfn.XMATCH("P",Statut_biogéographique!A:A,2,1),"P")</f>
        <v>P</v>
      </c>
      <c r="AP5669" s="4" t="s">
        <v>376</v>
      </c>
      <c r="AR5669" s="4" t="s">
        <v>377</v>
      </c>
    </row>
    <row r="5670" spans="1:44" ht="30">
      <c r="A5670" s="4" t="s">
        <v>5</v>
      </c>
      <c r="B5670" s="4">
        <v>44070</v>
      </c>
      <c r="D5670" s="5" t="s">
        <v>8234</v>
      </c>
      <c r="E5670" s="6" t="str">
        <f>HYPERLINK("https://inpn.mnhn.fr/espece/cd_nom/44070","Polyporus ciliatus Fr., 1815")</f>
        <v>Polyporus ciliatus Fr., 1815</v>
      </c>
      <c r="F5670" s="5" t="s">
        <v>3860</v>
      </c>
      <c r="V5670" s="7" t="str">
        <f>HYPERLINK("#Liste_rouge!A"&amp;_xlfn.XMATCH("LC",Liste_rouge!A:A,2,1),"LC")</f>
        <v>LC</v>
      </c>
      <c r="AH5670" s="4" t="str">
        <f>HYPERLINK("#Statut_biogéographique!A"&amp;_xlfn.XMATCH("P",Statut_biogéographique!A:A,2,1),"P")</f>
        <v>P</v>
      </c>
      <c r="AP5670" s="4" t="s">
        <v>376</v>
      </c>
      <c r="AR5670" s="4" t="s">
        <v>377</v>
      </c>
    </row>
    <row r="5671" spans="1:44" ht="45">
      <c r="A5671" s="4" t="s">
        <v>5</v>
      </c>
      <c r="B5671" s="4">
        <v>44073</v>
      </c>
      <c r="D5671" s="5" t="s">
        <v>8235</v>
      </c>
      <c r="E5671" s="6" t="str">
        <f>HYPERLINK("https://inpn.mnhn.fr/espece/cd_nom/44073","Polyporus melanopus (Pers.) Fr., 1821")</f>
        <v>Polyporus melanopus (Pers.) Fr., 1821</v>
      </c>
      <c r="F5671" s="5" t="s">
        <v>2779</v>
      </c>
      <c r="V5671" s="7" t="str">
        <f>HYPERLINK("#Liste_rouge!A"&amp;_xlfn.XMATCH("LC",Liste_rouge!A:A,2,1),"LC")</f>
        <v>LC</v>
      </c>
      <c r="AH5671" s="4" t="str">
        <f>HYPERLINK("#Statut_biogéographique!A"&amp;_xlfn.XMATCH("P",Statut_biogéographique!A:A,2,1),"P")</f>
        <v>P</v>
      </c>
      <c r="AP5671" s="4" t="s">
        <v>376</v>
      </c>
      <c r="AR5671" s="4" t="s">
        <v>377</v>
      </c>
    </row>
    <row r="5672" spans="1:44" ht="60">
      <c r="A5672" s="4" t="s">
        <v>5</v>
      </c>
      <c r="B5672" s="4">
        <v>44088</v>
      </c>
      <c r="C5672" s="4">
        <v>256</v>
      </c>
      <c r="D5672" s="5" t="s">
        <v>8236</v>
      </c>
      <c r="E5672" s="6" t="str">
        <f>HYPERLINK("https://inpn.mnhn.fr/espece/cd_nom/44088","Polyporus squamosus (Huds.) Fr., 1821")</f>
        <v>Polyporus squamosus (Huds.) Fr., 1821</v>
      </c>
      <c r="F5672" s="5" t="s">
        <v>8237</v>
      </c>
      <c r="V5672" s="7" t="str">
        <f>HYPERLINK("#Liste_rouge!A"&amp;_xlfn.XMATCH("NT",Liste_rouge!A:A,2,1),"NT")</f>
        <v>NT</v>
      </c>
      <c r="W5672" s="4" t="str">
        <f>HYPERLINK("#Critères_liste_rouge!A$1","pr. A2c")</f>
        <v>pr. A2c</v>
      </c>
      <c r="Z5672" s="4" t="s">
        <v>443</v>
      </c>
      <c r="AA5672" s="4" t="s">
        <v>444</v>
      </c>
      <c r="AH5672" s="4" t="str">
        <f>HYPERLINK("#Statut_biogéographique!A"&amp;_xlfn.XMATCH("P",Statut_biogéographique!A:A,2,1),"P")</f>
        <v>P</v>
      </c>
      <c r="AP5672" s="4" t="s">
        <v>376</v>
      </c>
      <c r="AR5672" s="4" t="s">
        <v>377</v>
      </c>
    </row>
    <row r="5673" spans="1:44" ht="45">
      <c r="A5673" s="4" t="s">
        <v>5</v>
      </c>
      <c r="B5673" s="4">
        <v>44095</v>
      </c>
      <c r="D5673" s="5" t="s">
        <v>8238</v>
      </c>
      <c r="E5673" s="6" t="str">
        <f>HYPERLINK("https://inpn.mnhn.fr/espece/cd_nom/44095","Polyporus tuberaster (Jacq. ex Pers.) Fr., 1821")</f>
        <v>Polyporus tuberaster (Jacq. ex Pers.) Fr., 1821</v>
      </c>
      <c r="F5673" s="5" t="s">
        <v>1708</v>
      </c>
      <c r="V5673" s="7" t="str">
        <f>HYPERLINK("#Liste_rouge!A"&amp;_xlfn.XMATCH("LC",Liste_rouge!A:A,2,1),"LC")</f>
        <v>LC</v>
      </c>
      <c r="AH5673" s="4" t="str">
        <f>HYPERLINK("#Statut_biogéographique!A"&amp;_xlfn.XMATCH("P",Statut_biogéographique!A:A,2,1),"P")</f>
        <v>P</v>
      </c>
      <c r="AP5673" s="4" t="s">
        <v>376</v>
      </c>
      <c r="AR5673" s="4" t="s">
        <v>377</v>
      </c>
    </row>
    <row r="5674" spans="1:44" ht="30">
      <c r="A5674" s="4" t="s">
        <v>5</v>
      </c>
      <c r="B5674" s="4">
        <v>44138</v>
      </c>
      <c r="D5674" s="5" t="s">
        <v>8239</v>
      </c>
      <c r="E5674" s="6" t="str">
        <f>HYPERLINK("https://inpn.mnhn.fr/espece/cd_nom/44138","Pseudohydnum gelatinosum (Scop.) P.Karst., 1868")</f>
        <v>Pseudohydnum gelatinosum (Scop.) P.Karst., 1868</v>
      </c>
      <c r="F5674" s="5" t="s">
        <v>8240</v>
      </c>
      <c r="V5674" s="7" t="str">
        <f>HYPERLINK("#Liste_rouge!A"&amp;_xlfn.XMATCH("LC",Liste_rouge!A:A,2,1),"LC")</f>
        <v>LC</v>
      </c>
      <c r="AH5674" s="4" t="str">
        <f>HYPERLINK("#Statut_biogéographique!A"&amp;_xlfn.XMATCH("P",Statut_biogéographique!A:A,2,1),"P")</f>
        <v>P</v>
      </c>
      <c r="AP5674" s="4" t="s">
        <v>376</v>
      </c>
      <c r="AR5674" s="4" t="s">
        <v>377</v>
      </c>
    </row>
    <row r="5675" spans="1:44" ht="30">
      <c r="A5675" s="4" t="s">
        <v>5</v>
      </c>
      <c r="B5675" s="4">
        <v>44154</v>
      </c>
      <c r="D5675" s="5" t="s">
        <v>8241</v>
      </c>
      <c r="E5675" s="6" t="str">
        <f>HYPERLINK("https://inpn.mnhn.fr/espece/cd_nom/44154","Pseudotomentella mucidula (P.Karst.) Svrček, 1958")</f>
        <v>Pseudotomentella mucidula (P.Karst.) Svrček, 1958</v>
      </c>
      <c r="AH5675" s="4" t="str">
        <f>HYPERLINK("#Statut_biogéographique!A"&amp;_xlfn.XMATCH("P",Statut_biogéographique!A:A,2,1),"P")</f>
        <v>P</v>
      </c>
      <c r="AP5675" s="4" t="s">
        <v>376</v>
      </c>
      <c r="AR5675" s="4" t="s">
        <v>377</v>
      </c>
    </row>
    <row r="5676" spans="1:44">
      <c r="A5676" s="4" t="s">
        <v>5</v>
      </c>
      <c r="B5676" s="4">
        <v>44177</v>
      </c>
      <c r="D5676" s="5" t="s">
        <v>8242</v>
      </c>
      <c r="E5676" s="6" t="str">
        <f>HYPERLINK("https://inpn.mnhn.fr/espece/cd_nom/44177","Pterula multifida (Chevall.) Fr., 1863")</f>
        <v>Pterula multifida (Chevall.) Fr., 1863</v>
      </c>
      <c r="V5676" s="7" t="str">
        <f>HYPERLINK("#Liste_rouge!A"&amp;_xlfn.XMATCH("LC",Liste_rouge!A:A,2,1),"LC")</f>
        <v>LC</v>
      </c>
      <c r="AH5676" s="4" t="str">
        <f>HYPERLINK("#Statut_biogéographique!A"&amp;_xlfn.XMATCH("P",Statut_biogéographique!A:A,2,1),"P")</f>
        <v>P</v>
      </c>
      <c r="AP5676" s="4" t="s">
        <v>376</v>
      </c>
      <c r="AR5676" s="4" t="s">
        <v>377</v>
      </c>
    </row>
    <row r="5677" spans="1:44">
      <c r="A5677" s="4" t="s">
        <v>5</v>
      </c>
      <c r="B5677" s="4">
        <v>44192</v>
      </c>
      <c r="D5677" s="5" t="s">
        <v>8243</v>
      </c>
      <c r="E5677" s="6" t="str">
        <f>HYPERLINK("https://inpn.mnhn.fr/espece/cd_nom/44192","Terana caerulea (Lam.) Kuntze, 1891")</f>
        <v>Terana caerulea (Lam.) Kuntze, 1891</v>
      </c>
      <c r="V5677" s="7" t="str">
        <f>HYPERLINK("#Liste_rouge!A"&amp;_xlfn.XMATCH("NT",Liste_rouge!A:A,2,1),"NT")</f>
        <v>NT</v>
      </c>
      <c r="W5677" s="4" t="str">
        <f>HYPERLINK("#Critères_liste_rouge!A$1","pr. A2c")</f>
        <v>pr. A2c</v>
      </c>
      <c r="AH5677" s="4" t="str">
        <f>HYPERLINK("#Statut_biogéographique!A"&amp;_xlfn.XMATCH("P",Statut_biogéographique!A:A,2,1),"P")</f>
        <v>P</v>
      </c>
      <c r="AP5677" s="4" t="s">
        <v>376</v>
      </c>
      <c r="AR5677" s="4" t="s">
        <v>377</v>
      </c>
    </row>
    <row r="5678" spans="1:44" ht="30">
      <c r="A5678" s="4" t="s">
        <v>5</v>
      </c>
      <c r="B5678" s="4">
        <v>44204</v>
      </c>
      <c r="D5678" s="5" t="s">
        <v>8244</v>
      </c>
      <c r="E5678" s="6" t="str">
        <f>HYPERLINK("https://inpn.mnhn.fr/espece/cd_nom/44204","Pycnoporellus fulgens (Fr.) Donk, 1971")</f>
        <v>Pycnoporellus fulgens (Fr.) Donk, 1971</v>
      </c>
      <c r="F5678" s="5" t="s">
        <v>2851</v>
      </c>
      <c r="V5678" s="7" t="str">
        <f>HYPERLINK("#Liste_rouge!A"&amp;_xlfn.XMATCH("LC",Liste_rouge!A:A,2,1),"LC")</f>
        <v>LC</v>
      </c>
      <c r="AH5678" s="4" t="str">
        <f>HYPERLINK("#Statut_biogéographique!A"&amp;_xlfn.XMATCH("P",Statut_biogéographique!A:A,2,1),"P")</f>
        <v>P</v>
      </c>
      <c r="AP5678" s="4" t="s">
        <v>376</v>
      </c>
      <c r="AR5678" s="4" t="s">
        <v>377</v>
      </c>
    </row>
    <row r="5679" spans="1:44" ht="30">
      <c r="A5679" s="4" t="s">
        <v>5</v>
      </c>
      <c r="B5679" s="4">
        <v>44209</v>
      </c>
      <c r="D5679" s="5" t="s">
        <v>8245</v>
      </c>
      <c r="E5679" s="6" t="str">
        <f>HYPERLINK("https://inpn.mnhn.fr/espece/cd_nom/44209","Pycnoporus cinnabarinus (Jacq.) P.Karst., 1881")</f>
        <v>Pycnoporus cinnabarinus (Jacq.) P.Karst., 1881</v>
      </c>
      <c r="F5679" s="5" t="s">
        <v>8246</v>
      </c>
      <c r="V5679" s="7" t="str">
        <f>HYPERLINK("#Liste_rouge!A"&amp;_xlfn.XMATCH("LC",Liste_rouge!A:A,2,1),"LC")</f>
        <v>LC</v>
      </c>
      <c r="AH5679" s="4" t="str">
        <f>HYPERLINK("#Statut_biogéographique!A"&amp;_xlfn.XMATCH("P",Statut_biogéographique!A:A,2,1),"P")</f>
        <v>P</v>
      </c>
      <c r="AP5679" s="4" t="s">
        <v>376</v>
      </c>
      <c r="AR5679" s="4" t="s">
        <v>377</v>
      </c>
    </row>
    <row r="5680" spans="1:44" ht="30">
      <c r="A5680" s="4" t="s">
        <v>5</v>
      </c>
      <c r="B5680" s="4">
        <v>44245</v>
      </c>
      <c r="D5680" s="5" t="s">
        <v>8247</v>
      </c>
      <c r="E5680" s="6" t="str">
        <f>HYPERLINK("https://inpn.mnhn.fr/espece/cd_nom/44245","Resinicium bicolor (Alb. &amp; Schwein.) Parmasto, 1968")</f>
        <v>Resinicium bicolor (Alb. &amp; Schwein.) Parmasto, 1968</v>
      </c>
      <c r="AH5680" s="4" t="str">
        <f>HYPERLINK("#Statut_biogéographique!A"&amp;_xlfn.XMATCH("P",Statut_biogéographique!A:A,2,1),"P")</f>
        <v>P</v>
      </c>
      <c r="AP5680" s="4" t="s">
        <v>376</v>
      </c>
      <c r="AR5680" s="4" t="s">
        <v>377</v>
      </c>
    </row>
    <row r="5681" spans="1:44" ht="45">
      <c r="A5681" s="4" t="s">
        <v>5</v>
      </c>
      <c r="B5681" s="4">
        <v>44261</v>
      </c>
      <c r="D5681" s="5" t="s">
        <v>8248</v>
      </c>
      <c r="E5681" s="6" t="str">
        <f>HYPERLINK("https://inpn.mnhn.fr/espece/cd_nom/44261","Physisporinus sanguinolentus (Alb. &amp; Schwein.) Pilát, 1940")</f>
        <v>Physisporinus sanguinolentus (Alb. &amp; Schwein.) Pilát, 1940</v>
      </c>
      <c r="F5681" s="5" t="s">
        <v>3423</v>
      </c>
      <c r="V5681" s="7" t="str">
        <f>HYPERLINK("#Liste_rouge!A"&amp;_xlfn.XMATCH("LC",Liste_rouge!A:A,2,1),"LC")</f>
        <v>LC</v>
      </c>
      <c r="AH5681" s="4" t="str">
        <f>HYPERLINK("#Statut_biogéographique!A"&amp;_xlfn.XMATCH("P",Statut_biogéographique!A:A,2,1),"P")</f>
        <v>P</v>
      </c>
      <c r="AP5681" s="4" t="s">
        <v>376</v>
      </c>
      <c r="AR5681" s="4" t="s">
        <v>377</v>
      </c>
    </row>
    <row r="5682" spans="1:44" ht="30">
      <c r="A5682" s="4" t="s">
        <v>5</v>
      </c>
      <c r="B5682" s="4">
        <v>44284</v>
      </c>
      <c r="D5682" s="5">
        <v>44284</v>
      </c>
      <c r="E5682" s="6" t="str">
        <f>HYPERLINK("https://inpn.mnhn.fr/espece/cd_nom/44284","Sarcodon glaucopus Maas Geest. &amp; Nannf., 1969")</f>
        <v>Sarcodon glaucopus Maas Geest. &amp; Nannf., 1969</v>
      </c>
      <c r="V5682" s="7" t="str">
        <f>HYPERLINK("#Liste_rouge!A"&amp;_xlfn.XMATCH("EN",Liste_rouge!A:A,2,1),"EN")</f>
        <v>EN</v>
      </c>
      <c r="W5682" s="4" t="str">
        <f>HYPERLINK("#Critères_liste_rouge!A$1","B2abiii")</f>
        <v>B2abiii</v>
      </c>
      <c r="AH5682" s="4" t="str">
        <f>HYPERLINK("#Statut_biogéographique!A"&amp;_xlfn.XMATCH("P",Statut_biogéographique!A:A,2,1),"P")</f>
        <v>P</v>
      </c>
      <c r="AP5682" s="4" t="s">
        <v>376</v>
      </c>
      <c r="AR5682" s="4" t="s">
        <v>377</v>
      </c>
    </row>
    <row r="5683" spans="1:44">
      <c r="A5683" s="4" t="s">
        <v>5</v>
      </c>
      <c r="B5683" s="4">
        <v>44306</v>
      </c>
      <c r="D5683" s="5" t="s">
        <v>8249</v>
      </c>
      <c r="E5683" s="6" t="str">
        <f>HYPERLINK("https://inpn.mnhn.fr/espece/cd_nom/44306","Sarcodon scabrosus (Fr.) P.Karst., 1881")</f>
        <v>Sarcodon scabrosus (Fr.) P.Karst., 1881</v>
      </c>
      <c r="V5683" s="7" t="str">
        <f>HYPERLINK("#Liste_rouge!A"&amp;_xlfn.XMATCH("EN",Liste_rouge!A:A,2,1),"EN")</f>
        <v>EN</v>
      </c>
      <c r="W5683" s="4" t="str">
        <f>HYPERLINK("#Critères_liste_rouge!A$1","B2abiii")</f>
        <v>B2abiii</v>
      </c>
      <c r="AH5683" s="4" t="str">
        <f>HYPERLINK("#Statut_biogéographique!A"&amp;_xlfn.XMATCH("P",Statut_biogéographique!A:A,2,1),"P")</f>
        <v>P</v>
      </c>
      <c r="AP5683" s="4" t="s">
        <v>376</v>
      </c>
      <c r="AR5683" s="4" t="s">
        <v>377</v>
      </c>
    </row>
    <row r="5684" spans="1:44" ht="45">
      <c r="A5684" s="4" t="s">
        <v>5</v>
      </c>
      <c r="B5684" s="4">
        <v>44335</v>
      </c>
      <c r="D5684" s="5" t="s">
        <v>8250</v>
      </c>
      <c r="E5684" s="6" t="str">
        <f>HYPERLINK("https://inpn.mnhn.fr/espece/cd_nom/44335","Schizopora paradoxa (Schrad.) Donk, 1967")</f>
        <v>Schizopora paradoxa (Schrad.) Donk, 1967</v>
      </c>
      <c r="V5684" s="7" t="str">
        <f>HYPERLINK("#Liste_rouge!A"&amp;_xlfn.XMATCH("LC",Liste_rouge!A:A,2,1),"LC")</f>
        <v>LC</v>
      </c>
      <c r="AH5684" s="4" t="str">
        <f>HYPERLINK("#Statut_biogéographique!A"&amp;_xlfn.XMATCH("P",Statut_biogéographique!A:A,2,1),"P")</f>
        <v>P</v>
      </c>
      <c r="AP5684" s="4" t="s">
        <v>376</v>
      </c>
      <c r="AR5684" s="4" t="s">
        <v>377</v>
      </c>
    </row>
    <row r="5685" spans="1:44" ht="30">
      <c r="A5685" s="4" t="s">
        <v>5</v>
      </c>
      <c r="B5685" s="4">
        <v>44352</v>
      </c>
      <c r="D5685" s="5" t="s">
        <v>8251</v>
      </c>
      <c r="E5685" s="6" t="str">
        <f>HYPERLINK("https://inpn.mnhn.fr/espece/cd_nom/44352","Scopuloides rimosa (Cooke) Jülich, 1982")</f>
        <v>Scopuloides rimosa (Cooke) Jülich, 1982</v>
      </c>
      <c r="AH5685" s="4" t="str">
        <f>HYPERLINK("#Statut_biogéographique!A"&amp;_xlfn.XMATCH("P",Statut_biogéographique!A:A,2,1),"P")</f>
        <v>P</v>
      </c>
      <c r="AP5685" s="4" t="s">
        <v>376</v>
      </c>
      <c r="AR5685" s="4" t="s">
        <v>377</v>
      </c>
    </row>
    <row r="5686" spans="1:44" ht="30">
      <c r="A5686" s="4" t="s">
        <v>5</v>
      </c>
      <c r="B5686" s="4">
        <v>44358</v>
      </c>
      <c r="D5686" s="5" t="s">
        <v>8252</v>
      </c>
      <c r="E5686" s="6" t="str">
        <f>HYPERLINK("https://inpn.mnhn.fr/espece/cd_nom/44358","Scutiger confluens (Alb. &amp; Schwein.) Bondartsev &amp; Singer, 1941")</f>
        <v>Scutiger confluens (Alb. &amp; Schwein.) Bondartsev &amp; Singer, 1941</v>
      </c>
      <c r="F5686" s="5" t="s">
        <v>3147</v>
      </c>
      <c r="O5686" s="7" t="str">
        <f>HYPERLINK("#Liste_rouge!A"&amp;_xlfn.XMATCH("LC",Liste_rouge!A:A,2,1),"LC")</f>
        <v>LC</v>
      </c>
      <c r="V5686" s="7" t="str">
        <f>HYPERLINK("#Liste_rouge!A"&amp;_xlfn.XMATCH("VU",Liste_rouge!A:A,2,1),"VU")</f>
        <v>VU</v>
      </c>
      <c r="W5686" s="4" t="str">
        <f>HYPERLINK("#Critères_liste_rouge!A$1","B2abiii")</f>
        <v>B2abiii</v>
      </c>
      <c r="AH5686" s="4" t="str">
        <f>HYPERLINK("#Statut_biogéographique!A"&amp;_xlfn.XMATCH("P",Statut_biogéographique!A:A,2,1),"P")</f>
        <v>P</v>
      </c>
      <c r="AP5686" s="4" t="s">
        <v>376</v>
      </c>
      <c r="AR5686" s="4" t="s">
        <v>377</v>
      </c>
    </row>
    <row r="5687" spans="1:44" ht="30">
      <c r="A5687" s="4" t="s">
        <v>5</v>
      </c>
      <c r="B5687" s="4">
        <v>44366</v>
      </c>
      <c r="D5687" s="5" t="s">
        <v>8253</v>
      </c>
      <c r="E5687" s="6" t="str">
        <f>HYPERLINK("https://inpn.mnhn.fr/espece/cd_nom/44366","Scutiger ovinus (Schaeff.) Murrill, 1920")</f>
        <v>Scutiger ovinus (Schaeff.) Murrill, 1920</v>
      </c>
      <c r="F5687" s="5" t="s">
        <v>1199</v>
      </c>
      <c r="V5687" s="7" t="str">
        <f>HYPERLINK("#Liste_rouge!A"&amp;_xlfn.XMATCH("NT",Liste_rouge!A:A,2,1),"NT")</f>
        <v>NT</v>
      </c>
      <c r="W5687" s="4" t="str">
        <f>HYPERLINK("#Critères_liste_rouge!A$1","pr. B2abiii")</f>
        <v>pr. B2abiii</v>
      </c>
      <c r="AH5687" s="4" t="str">
        <f>HYPERLINK("#Statut_biogéographique!A"&amp;_xlfn.XMATCH("P",Statut_biogéographique!A:A,2,1),"P")</f>
        <v>P</v>
      </c>
      <c r="AP5687" s="4" t="s">
        <v>376</v>
      </c>
      <c r="AR5687" s="4" t="s">
        <v>377</v>
      </c>
    </row>
    <row r="5688" spans="1:44" ht="45">
      <c r="A5688" s="4" t="s">
        <v>5</v>
      </c>
      <c r="B5688" s="4">
        <v>44370</v>
      </c>
      <c r="D5688" s="5" t="s">
        <v>8254</v>
      </c>
      <c r="E5688" s="6" t="str">
        <f>HYPERLINK("https://inpn.mnhn.fr/espece/cd_nom/44370","Scutiger pes-caprae (Pers.) Bondartsev &amp; Singer, 1941")</f>
        <v>Scutiger pes-caprae (Pers.) Bondartsev &amp; Singer, 1941</v>
      </c>
      <c r="F5688" s="5" t="s">
        <v>2673</v>
      </c>
      <c r="V5688" s="7" t="str">
        <f>HYPERLINK("#Liste_rouge!A"&amp;_xlfn.XMATCH("NT",Liste_rouge!A:A,2,1),"NT")</f>
        <v>NT</v>
      </c>
      <c r="W5688" s="4" t="str">
        <f>HYPERLINK("#Critères_liste_rouge!A$1","pr. A2c")</f>
        <v>pr. A2c</v>
      </c>
      <c r="AH5688" s="4" t="str">
        <f>HYPERLINK("#Statut_biogéographique!A"&amp;_xlfn.XMATCH("P",Statut_biogéographique!A:A,2,1),"P")</f>
        <v>P</v>
      </c>
      <c r="AP5688" s="4" t="s">
        <v>376</v>
      </c>
      <c r="AR5688" s="4" t="s">
        <v>377</v>
      </c>
    </row>
    <row r="5689" spans="1:44" ht="30">
      <c r="A5689" s="4" t="s">
        <v>5</v>
      </c>
      <c r="B5689" s="4">
        <v>44376</v>
      </c>
      <c r="D5689" s="5" t="s">
        <v>8255</v>
      </c>
      <c r="E5689" s="6" t="str">
        <f>HYPERLINK("https://inpn.mnhn.fr/espece/cd_nom/44376","Albatrellus subrubescens (Murrill) Pouzar, 1972")</f>
        <v>Albatrellus subrubescens (Murrill) Pouzar, 1972</v>
      </c>
      <c r="V5689" s="7" t="str">
        <f>HYPERLINK("#Liste_rouge!A"&amp;_xlfn.XMATCH("DD",Liste_rouge!A:A,2,1),"DD")</f>
        <v>DD</v>
      </c>
      <c r="AH5689" s="4" t="str">
        <f>HYPERLINK("#Statut_biogéographique!A"&amp;_xlfn.XMATCH("P",Statut_biogéographique!A:A,2,1),"P")</f>
        <v>P</v>
      </c>
      <c r="AP5689" s="4" t="s">
        <v>376</v>
      </c>
      <c r="AR5689" s="4" t="s">
        <v>377</v>
      </c>
    </row>
    <row r="5690" spans="1:44">
      <c r="A5690" s="4" t="s">
        <v>5</v>
      </c>
      <c r="B5690" s="4">
        <v>44388</v>
      </c>
      <c r="D5690" s="5" t="s">
        <v>8256</v>
      </c>
      <c r="E5690" s="6" t="str">
        <f>HYPERLINK("https://inpn.mnhn.fr/espece/cd_nom/44388","Scytinostroma odoratum (Fr.) Donk, 1956")</f>
        <v>Scytinostroma odoratum (Fr.) Donk, 1956</v>
      </c>
      <c r="V5690" s="7" t="str">
        <f>HYPERLINK("#Liste_rouge!A"&amp;_xlfn.XMATCH("DD",Liste_rouge!A:A,2,1),"DD")</f>
        <v>DD</v>
      </c>
      <c r="AH5690" s="4" t="str">
        <f>HYPERLINK("#Statut_biogéographique!A"&amp;_xlfn.XMATCH("P",Statut_biogéographique!A:A,2,1),"P")</f>
        <v>P</v>
      </c>
      <c r="AP5690" s="4" t="s">
        <v>376</v>
      </c>
      <c r="AR5690" s="4" t="s">
        <v>377</v>
      </c>
    </row>
    <row r="5691" spans="1:44" ht="30">
      <c r="A5691" s="4" t="s">
        <v>5</v>
      </c>
      <c r="B5691" s="4">
        <v>44407</v>
      </c>
      <c r="D5691" s="5" t="s">
        <v>8257</v>
      </c>
      <c r="E5691" s="6" t="str">
        <f>HYPERLINK("https://inpn.mnhn.fr/espece/cd_nom/44407","Sebacina epigaea (Berk. &amp; Broome) Bourdot &amp; Galzin, 1928")</f>
        <v>Sebacina epigaea (Berk. &amp; Broome) Bourdot &amp; Galzin, 1928</v>
      </c>
      <c r="AH5691" s="4" t="str">
        <f>HYPERLINK("#Statut_biogéographique!A"&amp;_xlfn.XMATCH("P",Statut_biogéographique!A:A,2,1),"P")</f>
        <v>P</v>
      </c>
      <c r="AP5691" s="4" t="s">
        <v>376</v>
      </c>
      <c r="AR5691" s="4" t="s">
        <v>377</v>
      </c>
    </row>
    <row r="5692" spans="1:44" ht="30">
      <c r="A5692" s="4" t="s">
        <v>5</v>
      </c>
      <c r="B5692" s="4">
        <v>44413</v>
      </c>
      <c r="D5692" s="5" t="s">
        <v>8258</v>
      </c>
      <c r="E5692" s="6" t="str">
        <f>HYPERLINK("https://inpn.mnhn.fr/espece/cd_nom/44413","Sebacina incrustans (Pers.) Tul. &amp; C.Tul., 1871")</f>
        <v>Sebacina incrustans (Pers.) Tul. &amp; C.Tul., 1871</v>
      </c>
      <c r="V5692" s="7" t="str">
        <f>HYPERLINK("#Liste_rouge!A"&amp;_xlfn.XMATCH("LC",Liste_rouge!A:A,2,1),"LC")</f>
        <v>LC</v>
      </c>
      <c r="AH5692" s="4" t="str">
        <f>HYPERLINK("#Statut_biogéographique!A"&amp;_xlfn.XMATCH("P",Statut_biogéographique!A:A,2,1),"P")</f>
        <v>P</v>
      </c>
      <c r="AP5692" s="4" t="s">
        <v>376</v>
      </c>
      <c r="AR5692" s="4" t="s">
        <v>377</v>
      </c>
    </row>
    <row r="5693" spans="1:44" ht="45">
      <c r="A5693" s="4" t="s">
        <v>5</v>
      </c>
      <c r="B5693" s="4">
        <v>44438</v>
      </c>
      <c r="D5693" s="5" t="s">
        <v>8259</v>
      </c>
      <c r="E5693" s="6" t="str">
        <f>HYPERLINK("https://inpn.mnhn.fr/espece/cd_nom/44438","Serpula lacrymans (Wulfen) J.Schröt., 1888")</f>
        <v>Serpula lacrymans (Wulfen) J.Schröt., 1888</v>
      </c>
      <c r="F5693" s="5" t="s">
        <v>8260</v>
      </c>
      <c r="AH5693" s="4" t="str">
        <f>HYPERLINK("#Statut_biogéographique!A"&amp;_xlfn.XMATCH("P",Statut_biogéographique!A:A,2,1),"P")</f>
        <v>P</v>
      </c>
      <c r="AP5693" s="4" t="s">
        <v>376</v>
      </c>
      <c r="AR5693" s="4" t="s">
        <v>377</v>
      </c>
    </row>
    <row r="5694" spans="1:44">
      <c r="A5694" s="4" t="s">
        <v>5</v>
      </c>
      <c r="B5694" s="4">
        <v>44446</v>
      </c>
      <c r="C5694" s="4">
        <v>4709</v>
      </c>
      <c r="D5694" s="5" t="s">
        <v>8261</v>
      </c>
      <c r="E5694" s="6" t="str">
        <f>HYPERLINK("https://inpn.mnhn.fr/espece/cd_nom/44446","Seticyphella niveola (Sacc.) Agerer, 1983")</f>
        <v>Seticyphella niveola (Sacc.) Agerer, 1983</v>
      </c>
      <c r="F5694" s="5" t="s">
        <v>8262</v>
      </c>
      <c r="AH5694" s="4" t="str">
        <f>HYPERLINK("#Statut_biogéographique!A"&amp;_xlfn.XMATCH("P",Statut_biogéographique!A:A,2,1),"P")</f>
        <v>P</v>
      </c>
      <c r="AP5694" s="4" t="s">
        <v>376</v>
      </c>
      <c r="AR5694" s="4" t="s">
        <v>377</v>
      </c>
    </row>
    <row r="5695" spans="1:44">
      <c r="A5695" s="4" t="s">
        <v>5</v>
      </c>
      <c r="B5695" s="4">
        <v>44462</v>
      </c>
      <c r="D5695" s="5" t="s">
        <v>8263</v>
      </c>
      <c r="E5695" s="6" t="str">
        <f>HYPERLINK("https://inpn.mnhn.fr/espece/cd_nom/44462","Sistotrema confluens Pers., 1794")</f>
        <v>Sistotrema confluens Pers., 1794</v>
      </c>
      <c r="V5695" s="7" t="str">
        <f>HYPERLINK("#Liste_rouge!A"&amp;_xlfn.XMATCH("VU",Liste_rouge!A:A,2,1),"VU")</f>
        <v>VU</v>
      </c>
      <c r="W5695" s="4" t="str">
        <f>HYPERLINK("#Critères_liste_rouge!A$1","A2c")</f>
        <v>A2c</v>
      </c>
      <c r="AH5695" s="4" t="str">
        <f>HYPERLINK("#Statut_biogéographique!A"&amp;_xlfn.XMATCH("P",Statut_biogéographique!A:A,2,1),"P")</f>
        <v>P</v>
      </c>
      <c r="AP5695" s="4" t="s">
        <v>376</v>
      </c>
      <c r="AR5695" s="4" t="s">
        <v>377</v>
      </c>
    </row>
    <row r="5696" spans="1:44" ht="30">
      <c r="A5696" s="4" t="s">
        <v>5</v>
      </c>
      <c r="B5696" s="4">
        <v>44470</v>
      </c>
      <c r="D5696" s="5" t="s">
        <v>8264</v>
      </c>
      <c r="E5696" s="6" t="str">
        <f>HYPERLINK("https://inpn.mnhn.fr/espece/cd_nom/44470","Sistotrema diademiferum (Bourdot &amp; Galzin) Donk, 1956")</f>
        <v>Sistotrema diademiferum (Bourdot &amp; Galzin) Donk, 1956</v>
      </c>
      <c r="AH5696" s="4" t="str">
        <f>HYPERLINK("#Statut_biogéographique!A"&amp;_xlfn.XMATCH("P",Statut_biogéographique!A:A,2,1),"P")</f>
        <v>P</v>
      </c>
      <c r="AP5696" s="4" t="s">
        <v>376</v>
      </c>
      <c r="AR5696" s="4" t="s">
        <v>377</v>
      </c>
    </row>
    <row r="5697" spans="1:44" ht="30">
      <c r="A5697" s="4" t="s">
        <v>5</v>
      </c>
      <c r="B5697" s="4">
        <v>44479</v>
      </c>
      <c r="D5697" s="5" t="s">
        <v>8265</v>
      </c>
      <c r="E5697" s="6" t="str">
        <f>HYPERLINK("https://inpn.mnhn.fr/espece/cd_nom/44479","Sistotrema hispanicum M.Dueñas, Ryvarden &amp; Tellería, 1988")</f>
        <v>Sistotrema hispanicum M.Dueñas, Ryvarden &amp; Tellería, 1988</v>
      </c>
      <c r="AH5697" s="4" t="str">
        <f>HYPERLINK("#Statut_biogéographique!A"&amp;_xlfn.XMATCH("P",Statut_biogéographique!A:A,2,1),"P")</f>
        <v>P</v>
      </c>
      <c r="AP5697" s="4" t="s">
        <v>376</v>
      </c>
      <c r="AR5697" s="4" t="s">
        <v>377</v>
      </c>
    </row>
    <row r="5698" spans="1:44" ht="30">
      <c r="A5698" s="4" t="s">
        <v>5</v>
      </c>
      <c r="B5698" s="4">
        <v>44484</v>
      </c>
      <c r="D5698" s="5">
        <v>44484</v>
      </c>
      <c r="E5698" s="6" t="str">
        <f>HYPERLINK("https://inpn.mnhn.fr/espece/cd_nom/44484","Sistotrema oblongisporum M.P.Christ. &amp; Hauerslev, 1960")</f>
        <v>Sistotrema oblongisporum M.P.Christ. &amp; Hauerslev, 1960</v>
      </c>
      <c r="AH5698" s="4" t="str">
        <f>HYPERLINK("#Statut_biogéographique!A"&amp;_xlfn.XMATCH("P",Statut_biogéographique!A:A,2,1),"P")</f>
        <v>P</v>
      </c>
      <c r="AP5698" s="4" t="s">
        <v>376</v>
      </c>
      <c r="AR5698" s="4" t="s">
        <v>377</v>
      </c>
    </row>
    <row r="5699" spans="1:44" ht="30">
      <c r="A5699" s="4" t="s">
        <v>5</v>
      </c>
      <c r="B5699" s="4">
        <v>44506</v>
      </c>
      <c r="D5699" s="5" t="s">
        <v>8266</v>
      </c>
      <c r="E5699" s="6" t="str">
        <f>HYPERLINK("https://inpn.mnhn.fr/espece/cd_nom/44506","Sistotremastrum niveocremeum (Höhn. &amp; Litsch.) J.Erikss., 1958")</f>
        <v>Sistotremastrum niveocremeum (Höhn. &amp; Litsch.) J.Erikss., 1958</v>
      </c>
      <c r="V5699" s="7" t="str">
        <f>HYPERLINK("#Liste_rouge!A"&amp;_xlfn.XMATCH("DD",Liste_rouge!A:A,2,1),"DD")</f>
        <v>DD</v>
      </c>
      <c r="AH5699" s="4" t="str">
        <f>HYPERLINK("#Statut_biogéographique!A"&amp;_xlfn.XMATCH("P",Statut_biogéographique!A:A,2,1),"P")</f>
        <v>P</v>
      </c>
      <c r="AP5699" s="4" t="s">
        <v>376</v>
      </c>
      <c r="AR5699" s="4" t="s">
        <v>377</v>
      </c>
    </row>
    <row r="5700" spans="1:44" ht="30">
      <c r="A5700" s="4" t="s">
        <v>5</v>
      </c>
      <c r="B5700" s="4">
        <v>44518</v>
      </c>
      <c r="D5700" s="5" t="s">
        <v>8267</v>
      </c>
      <c r="E5700" s="6" t="str">
        <f>HYPERLINK("https://inpn.mnhn.fr/espece/cd_nom/44518","Skeletocutis amorpha (Fr.) Kotl. &amp; Pouzar, 1958")</f>
        <v>Skeletocutis amorpha (Fr.) Kotl. &amp; Pouzar, 1958</v>
      </c>
      <c r="F5700" s="5" t="s">
        <v>3959</v>
      </c>
      <c r="V5700" s="7" t="str">
        <f>HYPERLINK("#Liste_rouge!A"&amp;_xlfn.XMATCH("LC",Liste_rouge!A:A,2,1),"LC")</f>
        <v>LC</v>
      </c>
      <c r="AH5700" s="4" t="str">
        <f>HYPERLINK("#Statut_biogéographique!A"&amp;_xlfn.XMATCH("P",Statut_biogéographique!A:A,2,1),"P")</f>
        <v>P</v>
      </c>
      <c r="AP5700" s="4" t="s">
        <v>376</v>
      </c>
      <c r="AR5700" s="4" t="s">
        <v>377</v>
      </c>
    </row>
    <row r="5701" spans="1:44" ht="30">
      <c r="A5701" s="4" t="s">
        <v>5</v>
      </c>
      <c r="B5701" s="4">
        <v>44536</v>
      </c>
      <c r="D5701" s="5" t="s">
        <v>8268</v>
      </c>
      <c r="E5701" s="6" t="str">
        <f>HYPERLINK("https://inpn.mnhn.fr/espece/cd_nom/44536","Skeletocutis subincarnata (Peck) Jean Keller, 1979")</f>
        <v>Skeletocutis subincarnata (Peck) Jean Keller, 1979</v>
      </c>
      <c r="V5701" s="7" t="str">
        <f>HYPERLINK("#Liste_rouge!A"&amp;_xlfn.XMATCH("DD",Liste_rouge!A:A,2,1),"DD")</f>
        <v>DD</v>
      </c>
      <c r="AH5701" s="4" t="str">
        <f>HYPERLINK("#Statut_biogéographique!A"&amp;_xlfn.XMATCH("P",Statut_biogéographique!A:A,2,1),"P")</f>
        <v>P</v>
      </c>
      <c r="AP5701" s="4" t="s">
        <v>376</v>
      </c>
      <c r="AR5701" s="4" t="s">
        <v>377</v>
      </c>
    </row>
    <row r="5702" spans="1:44">
      <c r="A5702" s="4" t="s">
        <v>5</v>
      </c>
      <c r="B5702" s="4">
        <v>44554</v>
      </c>
      <c r="D5702" s="5" t="s">
        <v>8269</v>
      </c>
      <c r="E5702" s="6" t="str">
        <f>HYPERLINK("https://inpn.mnhn.fr/espece/cd_nom/44554","Sparassis brevipes Krombh., 1834")</f>
        <v>Sparassis brevipes Krombh., 1834</v>
      </c>
      <c r="F5702" s="5" t="s">
        <v>8270</v>
      </c>
      <c r="V5702" s="7" t="str">
        <f>HYPERLINK("#Liste_rouge!A"&amp;_xlfn.XMATCH("DD",Liste_rouge!A:A,2,1),"DD (cd_nom 44554) - LC (cd_nom 44555)")</f>
        <v>DD (cd_nom 44554) - LC (cd_nom 44555)</v>
      </c>
      <c r="AH5702" s="4" t="str">
        <f>HYPERLINK("#Statut_biogéographique!A"&amp;_xlfn.XMATCH("P",Statut_biogéographique!A:A,2,1),"P")</f>
        <v>P</v>
      </c>
      <c r="AP5702" s="4" t="s">
        <v>376</v>
      </c>
      <c r="AR5702" s="4" t="s">
        <v>377</v>
      </c>
    </row>
    <row r="5703" spans="1:44">
      <c r="A5703" s="4" t="s">
        <v>5</v>
      </c>
      <c r="B5703" s="4">
        <v>44557</v>
      </c>
      <c r="D5703" s="5" t="s">
        <v>8271</v>
      </c>
      <c r="E5703" s="6" t="str">
        <f>HYPERLINK("https://inpn.mnhn.fr/espece/cd_nom/44557","Sparassis crispa (Wulfen) Fr., 1821")</f>
        <v>Sparassis crispa (Wulfen) Fr., 1821</v>
      </c>
      <c r="F5703" s="5" t="s">
        <v>8272</v>
      </c>
      <c r="V5703" s="7" t="str">
        <f>HYPERLINK("#Liste_rouge!A"&amp;_xlfn.XMATCH("LC",Liste_rouge!A:A,2,1),"LC")</f>
        <v>LC</v>
      </c>
      <c r="AH5703" s="4" t="str">
        <f>HYPERLINK("#Statut_biogéographique!A"&amp;_xlfn.XMATCH("P",Statut_biogéographique!A:A,2,1),"P")</f>
        <v>P</v>
      </c>
      <c r="AP5703" s="4" t="s">
        <v>376</v>
      </c>
      <c r="AR5703" s="4" t="s">
        <v>377</v>
      </c>
    </row>
    <row r="5704" spans="1:44" ht="30">
      <c r="A5704" s="4" t="s">
        <v>5</v>
      </c>
      <c r="B5704" s="4">
        <v>44568</v>
      </c>
      <c r="D5704" s="5" t="s">
        <v>8273</v>
      </c>
      <c r="E5704" s="6" t="str">
        <f>HYPERLINK("https://inpn.mnhn.fr/espece/cd_nom/44568","Spongipellis pachyodon (Pers.) Kotl. &amp; Pouzar, 1965")</f>
        <v>Spongipellis pachyodon (Pers.) Kotl. &amp; Pouzar, 1965</v>
      </c>
      <c r="F5704" s="5" t="s">
        <v>490</v>
      </c>
      <c r="V5704" s="7" t="str">
        <f>HYPERLINK("#Liste_rouge!A"&amp;_xlfn.XMATCH("LC",Liste_rouge!A:A,2,1),"LC")</f>
        <v>LC</v>
      </c>
      <c r="AH5704" s="4" t="str">
        <f>HYPERLINK("#Statut_biogéographique!A"&amp;_xlfn.XMATCH("P",Statut_biogéographique!A:A,2,1),"P")</f>
        <v>P</v>
      </c>
      <c r="AP5704" s="4" t="s">
        <v>376</v>
      </c>
      <c r="AR5704" s="4" t="s">
        <v>377</v>
      </c>
    </row>
    <row r="5705" spans="1:44">
      <c r="A5705" s="4" t="s">
        <v>5</v>
      </c>
      <c r="B5705" s="4">
        <v>44619</v>
      </c>
      <c r="D5705" s="5" t="s">
        <v>8274</v>
      </c>
      <c r="E5705" s="6" t="str">
        <f>HYPERLINK("https://inpn.mnhn.fr/espece/cd_nom/44619","Stereum gausapatum (Fr.) Fr., 1874")</f>
        <v>Stereum gausapatum (Fr.) Fr., 1874</v>
      </c>
      <c r="V5705" s="7" t="str">
        <f>HYPERLINK("#Liste_rouge!A"&amp;_xlfn.XMATCH("LC",Liste_rouge!A:A,2,1),"LC")</f>
        <v>LC</v>
      </c>
      <c r="AH5705" s="4" t="str">
        <f>HYPERLINK("#Statut_biogéographique!A"&amp;_xlfn.XMATCH("P",Statut_biogéographique!A:A,2,1),"P")</f>
        <v>P</v>
      </c>
      <c r="AP5705" s="4" t="s">
        <v>376</v>
      </c>
      <c r="AR5705" s="4" t="s">
        <v>377</v>
      </c>
    </row>
    <row r="5706" spans="1:44">
      <c r="A5706" s="4" t="s">
        <v>5</v>
      </c>
      <c r="B5706" s="4">
        <v>44622</v>
      </c>
      <c r="D5706" s="5" t="s">
        <v>8275</v>
      </c>
      <c r="E5706" s="6" t="str">
        <f>HYPERLINK("https://inpn.mnhn.fr/espece/cd_nom/44622","Stereum hirsutum (Willd.) Pers., 1800")</f>
        <v>Stereum hirsutum (Willd.) Pers., 1800</v>
      </c>
      <c r="F5706" s="5" t="s">
        <v>2717</v>
      </c>
      <c r="V5706" s="7" t="str">
        <f>HYPERLINK("#Liste_rouge!A"&amp;_xlfn.XMATCH("LC",Liste_rouge!A:A,2,1),"LC")</f>
        <v>LC</v>
      </c>
      <c r="AH5706" s="4" t="str">
        <f>HYPERLINK("#Statut_biogéographique!A"&amp;_xlfn.XMATCH("P",Statut_biogéographique!A:A,2,1),"P")</f>
        <v>P</v>
      </c>
      <c r="AP5706" s="4" t="s">
        <v>376</v>
      </c>
      <c r="AR5706" s="4" t="s">
        <v>377</v>
      </c>
    </row>
    <row r="5707" spans="1:44">
      <c r="A5707" s="4" t="s">
        <v>5</v>
      </c>
      <c r="B5707" s="4">
        <v>44625</v>
      </c>
      <c r="D5707" s="5">
        <v>44625</v>
      </c>
      <c r="E5707" s="6" t="str">
        <f>HYPERLINK("https://inpn.mnhn.fr/espece/cd_nom/44625","Stereum insignitum Quél., 1890")</f>
        <v>Stereum insignitum Quél., 1890</v>
      </c>
      <c r="F5707" s="5" t="s">
        <v>2691</v>
      </c>
      <c r="V5707" s="7" t="str">
        <f>HYPERLINK("#Liste_rouge!A"&amp;_xlfn.XMATCH("LC",Liste_rouge!A:A,2,1),"LC")</f>
        <v>LC</v>
      </c>
      <c r="AH5707" s="4" t="str">
        <f>HYPERLINK("#Statut_biogéographique!A"&amp;_xlfn.XMATCH("P",Statut_biogéographique!A:A,2,1),"P")</f>
        <v>P</v>
      </c>
      <c r="AP5707" s="4" t="s">
        <v>376</v>
      </c>
      <c r="AR5707" s="4" t="s">
        <v>377</v>
      </c>
    </row>
    <row r="5708" spans="1:44" ht="30">
      <c r="A5708" s="4" t="s">
        <v>5</v>
      </c>
      <c r="B5708" s="4">
        <v>44627</v>
      </c>
      <c r="D5708" s="5" t="s">
        <v>8276</v>
      </c>
      <c r="E5708" s="6" t="str">
        <f>HYPERLINK("https://inpn.mnhn.fr/espece/cd_nom/44627","Stereum ochraceoflavum (Schwein.) Sacc., 1888")</f>
        <v>Stereum ochraceoflavum (Schwein.) Sacc., 1888</v>
      </c>
      <c r="V5708" s="7" t="str">
        <f>HYPERLINK("#Liste_rouge!A"&amp;_xlfn.XMATCH("LC",Liste_rouge!A:A,2,1),"LC")</f>
        <v>LC</v>
      </c>
      <c r="AH5708" s="4" t="str">
        <f>HYPERLINK("#Statut_biogéographique!A"&amp;_xlfn.XMATCH("P",Statut_biogéographique!A:A,2,1),"P")</f>
        <v>P</v>
      </c>
      <c r="AP5708" s="4" t="s">
        <v>376</v>
      </c>
      <c r="AR5708" s="4" t="s">
        <v>377</v>
      </c>
    </row>
    <row r="5709" spans="1:44">
      <c r="A5709" s="4" t="s">
        <v>5</v>
      </c>
      <c r="B5709" s="4">
        <v>44632</v>
      </c>
      <c r="D5709" s="5" t="s">
        <v>8277</v>
      </c>
      <c r="E5709" s="6" t="str">
        <f>HYPERLINK("https://inpn.mnhn.fr/espece/cd_nom/44632","Stereum rugosum Pers., 1794")</f>
        <v>Stereum rugosum Pers., 1794</v>
      </c>
      <c r="V5709" s="7" t="str">
        <f>HYPERLINK("#Liste_rouge!A"&amp;_xlfn.XMATCH("LC",Liste_rouge!A:A,2,1),"LC")</f>
        <v>LC</v>
      </c>
      <c r="AH5709" s="4" t="str">
        <f>HYPERLINK("#Statut_biogéographique!A"&amp;_xlfn.XMATCH("P",Statut_biogéographique!A:A,2,1),"P")</f>
        <v>P</v>
      </c>
      <c r="AP5709" s="4" t="s">
        <v>376</v>
      </c>
      <c r="AR5709" s="4" t="s">
        <v>377</v>
      </c>
    </row>
    <row r="5710" spans="1:44" ht="30">
      <c r="A5710" s="4" t="s">
        <v>5</v>
      </c>
      <c r="B5710" s="4">
        <v>44636</v>
      </c>
      <c r="D5710" s="5" t="s">
        <v>8278</v>
      </c>
      <c r="E5710" s="6" t="str">
        <f>HYPERLINK("https://inpn.mnhn.fr/espece/cd_nom/44636","Stereum sanguinolentum (Alb. &amp; Schwein.) Fr., 1838")</f>
        <v>Stereum sanguinolentum (Alb. &amp; Schwein.) Fr., 1838</v>
      </c>
      <c r="F5710" s="5" t="s">
        <v>632</v>
      </c>
      <c r="V5710" s="7" t="str">
        <f>HYPERLINK("#Liste_rouge!A"&amp;_xlfn.XMATCH("LC",Liste_rouge!A:A,2,1),"LC")</f>
        <v>LC</v>
      </c>
      <c r="AH5710" s="4" t="str">
        <f>HYPERLINK("#Statut_biogéographique!A"&amp;_xlfn.XMATCH("P",Statut_biogéographique!A:A,2,1),"P")</f>
        <v>P</v>
      </c>
      <c r="AP5710" s="4" t="s">
        <v>376</v>
      </c>
      <c r="AR5710" s="4" t="s">
        <v>377</v>
      </c>
    </row>
    <row r="5711" spans="1:44">
      <c r="A5711" s="4" t="s">
        <v>5</v>
      </c>
      <c r="B5711" s="4">
        <v>44641</v>
      </c>
      <c r="D5711" s="5" t="s">
        <v>8279</v>
      </c>
      <c r="E5711" s="6" t="str">
        <f>HYPERLINK("https://inpn.mnhn.fr/espece/cd_nom/44641","Stereum subtomentosum Pouzar, 1964")</f>
        <v>Stereum subtomentosum Pouzar, 1964</v>
      </c>
      <c r="F5711" s="5" t="s">
        <v>2691</v>
      </c>
      <c r="V5711" s="7" t="str">
        <f>HYPERLINK("#Liste_rouge!A"&amp;_xlfn.XMATCH("LC",Liste_rouge!A:A,2,1),"LC")</f>
        <v>LC</v>
      </c>
      <c r="AH5711" s="4" t="str">
        <f>HYPERLINK("#Statut_biogéographique!A"&amp;_xlfn.XMATCH("P",Statut_biogéographique!A:A,2,1),"P")</f>
        <v>P</v>
      </c>
      <c r="AP5711" s="4" t="s">
        <v>376</v>
      </c>
      <c r="AR5711" s="4" t="s">
        <v>377</v>
      </c>
    </row>
    <row r="5712" spans="1:44" ht="45">
      <c r="A5712" s="4" t="s">
        <v>5</v>
      </c>
      <c r="B5712" s="4">
        <v>44686</v>
      </c>
      <c r="D5712" s="5" t="s">
        <v>8280</v>
      </c>
      <c r="E5712" s="6" t="str">
        <f>HYPERLINK("https://inpn.mnhn.fr/espece/cd_nom/44686","Subulicystidium longisporum (Pat.) Parmasto, 1968")</f>
        <v>Subulicystidium longisporum (Pat.) Parmasto, 1968</v>
      </c>
      <c r="AH5712" s="4" t="str">
        <f>HYPERLINK("#Statut_biogéographique!A"&amp;_xlfn.XMATCH("P",Statut_biogéographique!A:A,2,1),"P")</f>
        <v>P</v>
      </c>
      <c r="AP5712" s="4" t="s">
        <v>376</v>
      </c>
      <c r="AR5712" s="4" t="s">
        <v>377</v>
      </c>
    </row>
    <row r="5713" spans="1:44">
      <c r="A5713" s="4" t="s">
        <v>5</v>
      </c>
      <c r="B5713" s="4">
        <v>44706</v>
      </c>
      <c r="D5713" s="5" t="s">
        <v>8281</v>
      </c>
      <c r="E5713" s="6" t="str">
        <f>HYPERLINK("https://inpn.mnhn.fr/espece/cd_nom/44706","Thelephora anthocephala (Bull.) Fr., 1838")</f>
        <v>Thelephora anthocephala (Bull.) Fr., 1838</v>
      </c>
      <c r="V5713" s="7" t="str">
        <f>HYPERLINK("#Liste_rouge!A"&amp;_xlfn.XMATCH("LC",Liste_rouge!A:A,2,1),"LC")</f>
        <v>LC</v>
      </c>
      <c r="AH5713" s="4" t="str">
        <f>HYPERLINK("#Statut_biogéographique!A"&amp;_xlfn.XMATCH("P",Statut_biogéographique!A:A,2,1),"P")</f>
        <v>P</v>
      </c>
      <c r="AP5713" s="4" t="s">
        <v>376</v>
      </c>
      <c r="AR5713" s="4" t="s">
        <v>377</v>
      </c>
    </row>
    <row r="5714" spans="1:44" ht="30">
      <c r="A5714" s="4" t="s">
        <v>5</v>
      </c>
      <c r="B5714" s="4">
        <v>44710</v>
      </c>
      <c r="D5714" s="5" t="s">
        <v>8282</v>
      </c>
      <c r="E5714" s="6" t="str">
        <f>HYPERLINK("https://inpn.mnhn.fr/espece/cd_nom/44710","Thelephora anthocephala var. clavularis (Fr.) Quél., 1886")</f>
        <v>Thelephora anthocephala var. clavularis (Fr.) Quél., 1886</v>
      </c>
      <c r="AH5714" s="4" t="str">
        <f>HYPERLINK("#Statut_biogéographique!A"&amp;_xlfn.XMATCH("P",Statut_biogéographique!A:A,2,1),"P")</f>
        <v>P</v>
      </c>
      <c r="AP5714" s="4" t="s">
        <v>376</v>
      </c>
      <c r="AR5714" s="4" t="s">
        <v>377</v>
      </c>
    </row>
    <row r="5715" spans="1:44">
      <c r="A5715" s="4" t="s">
        <v>5</v>
      </c>
      <c r="B5715" s="4">
        <v>44715</v>
      </c>
      <c r="D5715" s="5" t="s">
        <v>8283</v>
      </c>
      <c r="E5715" s="6" t="str">
        <f>HYPERLINK("https://inpn.mnhn.fr/espece/cd_nom/44715","Thelephora atrocitrina Quél., 1875")</f>
        <v>Thelephora atrocitrina Quél., 1875</v>
      </c>
      <c r="V5715" s="7" t="str">
        <f>HYPERLINK("#Liste_rouge!A"&amp;_xlfn.XMATCH("LC",Liste_rouge!A:A,2,1),"LC")</f>
        <v>LC</v>
      </c>
      <c r="AH5715" s="4" t="str">
        <f>HYPERLINK("#Statut_biogéographique!A"&amp;_xlfn.XMATCH("P",Statut_biogéographique!A:A,2,1),"P")</f>
        <v>P</v>
      </c>
      <c r="AP5715" s="4" t="s">
        <v>376</v>
      </c>
      <c r="AR5715" s="4" t="s">
        <v>377</v>
      </c>
    </row>
    <row r="5716" spans="1:44" ht="30">
      <c r="A5716" s="4" t="s">
        <v>5</v>
      </c>
      <c r="B5716" s="4">
        <v>44717</v>
      </c>
      <c r="D5716" s="5" t="s">
        <v>8284</v>
      </c>
      <c r="E5716" s="6" t="str">
        <f>HYPERLINK("https://inpn.mnhn.fr/espece/cd_nom/44717","Thelephora caryophyllea (Schaeff.) Pers., 1801")</f>
        <v>Thelephora caryophyllea (Schaeff.) Pers., 1801</v>
      </c>
      <c r="V5716" s="7" t="str">
        <f>HYPERLINK("#Liste_rouge!A"&amp;_xlfn.XMATCH("VU",Liste_rouge!A:A,2,1),"VU")</f>
        <v>VU</v>
      </c>
      <c r="W5716" s="4" t="str">
        <f>HYPERLINK("#Critères_liste_rouge!A$1","D2")</f>
        <v>D2</v>
      </c>
      <c r="AH5716" s="4" t="str">
        <f>HYPERLINK("#Statut_biogéographique!A"&amp;_xlfn.XMATCH("P",Statut_biogéographique!A:A,2,1),"P")</f>
        <v>P</v>
      </c>
      <c r="AP5716" s="4" t="s">
        <v>376</v>
      </c>
      <c r="AR5716" s="4" t="s">
        <v>377</v>
      </c>
    </row>
    <row r="5717" spans="1:44">
      <c r="A5717" s="4" t="s">
        <v>5</v>
      </c>
      <c r="B5717" s="4">
        <v>44730</v>
      </c>
      <c r="D5717" s="5" t="s">
        <v>8285</v>
      </c>
      <c r="E5717" s="6" t="str">
        <f>HYPERLINK("https://inpn.mnhn.fr/espece/cd_nom/44730","Thelephora mollissima Fr.")</f>
        <v>Thelephora mollissima Fr.</v>
      </c>
      <c r="V5717" s="7" t="str">
        <f>HYPERLINK("#Liste_rouge!A"&amp;_xlfn.XMATCH("VU",Liste_rouge!A:A,2,1),"VU")</f>
        <v>VU</v>
      </c>
      <c r="W5717" s="4" t="str">
        <f>HYPERLINK("#Critères_liste_rouge!A$1","D2")</f>
        <v>D2</v>
      </c>
      <c r="AH5717" s="4" t="str">
        <f>HYPERLINK("#Statut_biogéographique!A"&amp;_xlfn.XMATCH("P",Statut_biogéographique!A:A,2,1),"P")</f>
        <v>P</v>
      </c>
      <c r="AP5717" s="4" t="s">
        <v>376</v>
      </c>
      <c r="AR5717" s="4" t="s">
        <v>377</v>
      </c>
    </row>
    <row r="5718" spans="1:44">
      <c r="A5718" s="4" t="s">
        <v>5</v>
      </c>
      <c r="B5718" s="4">
        <v>44732</v>
      </c>
      <c r="D5718" s="5" t="s">
        <v>8286</v>
      </c>
      <c r="E5718" s="6" t="str">
        <f>HYPERLINK("https://inpn.mnhn.fr/espece/cd_nom/44732","Thelephora intybacea Pers., 1801")</f>
        <v>Thelephora intybacea Pers., 1801</v>
      </c>
      <c r="V5718" s="7" t="str">
        <f>HYPERLINK("#Liste_rouge!A"&amp;_xlfn.XMATCH("DD",Liste_rouge!A:A,2,1),"DD")</f>
        <v>DD</v>
      </c>
      <c r="AH5718" s="4" t="str">
        <f>HYPERLINK("#Statut_biogéographique!A"&amp;_xlfn.XMATCH("P",Statut_biogéographique!A:A,2,1),"P")</f>
        <v>P</v>
      </c>
      <c r="AP5718" s="4" t="s">
        <v>376</v>
      </c>
      <c r="AR5718" s="4" t="s">
        <v>377</v>
      </c>
    </row>
    <row r="5719" spans="1:44">
      <c r="A5719" s="4" t="s">
        <v>5</v>
      </c>
      <c r="B5719" s="4">
        <v>44737</v>
      </c>
      <c r="D5719" s="5" t="s">
        <v>8287</v>
      </c>
      <c r="E5719" s="6" t="str">
        <f>HYPERLINK("https://inpn.mnhn.fr/espece/cd_nom/44737","Thelephora penicillata (Pers.) Fr., 1821")</f>
        <v>Thelephora penicillata (Pers.) Fr., 1821</v>
      </c>
      <c r="AH5719" s="4" t="str">
        <f>HYPERLINK("#Statut_biogéographique!A"&amp;_xlfn.XMATCH("P",Statut_biogéographique!A:A,2,1),"P")</f>
        <v>P</v>
      </c>
      <c r="AP5719" s="4" t="s">
        <v>376</v>
      </c>
      <c r="AR5719" s="4" t="s">
        <v>377</v>
      </c>
    </row>
    <row r="5720" spans="1:44">
      <c r="A5720" s="4" t="s">
        <v>5</v>
      </c>
      <c r="B5720" s="4">
        <v>44740</v>
      </c>
      <c r="D5720" s="5" t="s">
        <v>8288</v>
      </c>
      <c r="E5720" s="6" t="str">
        <f>HYPERLINK("https://inpn.mnhn.fr/espece/cd_nom/44740","Thelephora spiculosa (Fr.) Fr., 1838")</f>
        <v>Thelephora spiculosa (Fr.) Fr., 1838</v>
      </c>
      <c r="V5720" s="7" t="str">
        <f>HYPERLINK("#Liste_rouge!A"&amp;_xlfn.XMATCH("LC",Liste_rouge!A:A,2,1),"LC")</f>
        <v>LC</v>
      </c>
      <c r="AH5720" s="4" t="str">
        <f>HYPERLINK("#Statut_biogéographique!A"&amp;_xlfn.XMATCH("P",Statut_biogéographique!A:A,2,1),"P")</f>
        <v>P</v>
      </c>
      <c r="AP5720" s="4" t="s">
        <v>376</v>
      </c>
      <c r="AR5720" s="4" t="s">
        <v>377</v>
      </c>
    </row>
    <row r="5721" spans="1:44">
      <c r="A5721" s="4" t="s">
        <v>5</v>
      </c>
      <c r="B5721" s="4">
        <v>44743</v>
      </c>
      <c r="D5721" s="5" t="s">
        <v>8289</v>
      </c>
      <c r="E5721" s="6" t="str">
        <f>HYPERLINK("https://inpn.mnhn.fr/espece/cd_nom/44743","Thelephora terrestris Ehrh., 1793")</f>
        <v>Thelephora terrestris Ehrh., 1793</v>
      </c>
      <c r="V5721" s="7" t="str">
        <f>HYPERLINK("#Liste_rouge!A"&amp;_xlfn.XMATCH("LC",Liste_rouge!A:A,2,1),"LC")</f>
        <v>LC</v>
      </c>
      <c r="AH5721" s="4" t="str">
        <f>HYPERLINK("#Statut_biogéographique!A"&amp;_xlfn.XMATCH("P",Statut_biogéographique!A:A,2,1),"P")</f>
        <v>P</v>
      </c>
      <c r="AP5721" s="4" t="s">
        <v>376</v>
      </c>
      <c r="AR5721" s="4" t="s">
        <v>377</v>
      </c>
    </row>
    <row r="5722" spans="1:44" ht="60">
      <c r="A5722" s="4" t="s">
        <v>5</v>
      </c>
      <c r="B5722" s="4">
        <v>44784</v>
      </c>
      <c r="D5722" s="5" t="s">
        <v>8290</v>
      </c>
      <c r="E5722" s="6" t="str">
        <f>HYPERLINK("https://inpn.mnhn.fr/espece/cd_nom/44784","Tomentella ellisii (Sacc.) Jülich &amp; Stalpers, 1980")</f>
        <v>Tomentella ellisii (Sacc.) Jülich &amp; Stalpers, 1980</v>
      </c>
      <c r="AH5722" s="4" t="str">
        <f>HYPERLINK("#Statut_biogéographique!A"&amp;_xlfn.XMATCH("P",Statut_biogéographique!A:A,2,1),"P")</f>
        <v>P</v>
      </c>
      <c r="AP5722" s="4" t="s">
        <v>376</v>
      </c>
      <c r="AR5722" s="4" t="s">
        <v>377</v>
      </c>
    </row>
    <row r="5723" spans="1:44" ht="30">
      <c r="A5723" s="4" t="s">
        <v>5</v>
      </c>
      <c r="B5723" s="4">
        <v>44830</v>
      </c>
      <c r="D5723" s="5" t="s">
        <v>8291</v>
      </c>
      <c r="E5723" s="6" t="str">
        <f>HYPERLINK("https://inpn.mnhn.fr/espece/cd_nom/44830","Tomentella sublilacina (Ellis &amp; Holw.) Wakef., 1962")</f>
        <v>Tomentella sublilacina (Ellis &amp; Holw.) Wakef., 1962</v>
      </c>
      <c r="AH5723" s="4" t="str">
        <f>HYPERLINK("#Statut_biogéographique!A"&amp;_xlfn.XMATCH("P",Statut_biogéographique!A:A,2,1),"P")</f>
        <v>P</v>
      </c>
      <c r="AP5723" s="4" t="s">
        <v>376</v>
      </c>
      <c r="AR5723" s="4" t="s">
        <v>377</v>
      </c>
    </row>
    <row r="5724" spans="1:44" ht="30">
      <c r="A5724" s="4" t="s">
        <v>5</v>
      </c>
      <c r="B5724" s="4">
        <v>44834</v>
      </c>
      <c r="D5724" s="5" t="s">
        <v>8292</v>
      </c>
      <c r="E5724" s="6" t="str">
        <f>HYPERLINK("https://inpn.mnhn.fr/espece/cd_nom/44834","Tomentella terrestris (Berk. &amp; Broome) M.J.Larsen, 1974")</f>
        <v>Tomentella terrestris (Berk. &amp; Broome) M.J.Larsen, 1974</v>
      </c>
      <c r="AH5724" s="4" t="str">
        <f>HYPERLINK("#Statut_biogéographique!A"&amp;_xlfn.XMATCH("P",Statut_biogéographique!A:A,2,1),"P")</f>
        <v>P</v>
      </c>
      <c r="AP5724" s="4" t="s">
        <v>376</v>
      </c>
      <c r="AR5724" s="4" t="s">
        <v>377</v>
      </c>
    </row>
    <row r="5725" spans="1:44" ht="30">
      <c r="A5725" s="4" t="s">
        <v>5</v>
      </c>
      <c r="B5725" s="4">
        <v>44869</v>
      </c>
      <c r="D5725" s="5" t="s">
        <v>8293</v>
      </c>
      <c r="E5725" s="6" t="str">
        <f>HYPERLINK("https://inpn.mnhn.fr/espece/cd_nom/44869","Tomentellopsis echinospora (Ellis) Hjortstam, 1970")</f>
        <v>Tomentellopsis echinospora (Ellis) Hjortstam, 1970</v>
      </c>
      <c r="AH5725" s="4" t="str">
        <f>HYPERLINK("#Statut_biogéographique!A"&amp;_xlfn.XMATCH("P",Statut_biogéographique!A:A,2,1),"P")</f>
        <v>P</v>
      </c>
      <c r="AP5725" s="4" t="s">
        <v>376</v>
      </c>
      <c r="AR5725" s="4" t="s">
        <v>377</v>
      </c>
    </row>
    <row r="5726" spans="1:44" ht="30">
      <c r="A5726" s="4" t="s">
        <v>5</v>
      </c>
      <c r="B5726" s="4">
        <v>44877</v>
      </c>
      <c r="D5726" s="5" t="s">
        <v>8294</v>
      </c>
      <c r="E5726" s="6" t="str">
        <f>HYPERLINK("https://inpn.mnhn.fr/espece/cd_nom/44877","Tomentellopsis zygodesmoides (Ellis) Hjortstam, 1974")</f>
        <v>Tomentellopsis zygodesmoides (Ellis) Hjortstam, 1974</v>
      </c>
      <c r="AH5726" s="4" t="str">
        <f>HYPERLINK("#Statut_biogéographique!A"&amp;_xlfn.XMATCH("P",Statut_biogéographique!A:A,2,1),"P")</f>
        <v>P</v>
      </c>
      <c r="AP5726" s="4" t="s">
        <v>376</v>
      </c>
      <c r="AR5726" s="4" t="s">
        <v>377</v>
      </c>
    </row>
    <row r="5727" spans="1:44">
      <c r="A5727" s="4" t="s">
        <v>5</v>
      </c>
      <c r="B5727" s="4">
        <v>44887</v>
      </c>
      <c r="D5727" s="5" t="s">
        <v>8295</v>
      </c>
      <c r="E5727" s="6" t="str">
        <f>HYPERLINK("https://inpn.mnhn.fr/espece/cd_nom/44887","Trametes gibbosa (Pers.) Fr., 1838")</f>
        <v>Trametes gibbosa (Pers.) Fr., 1838</v>
      </c>
      <c r="F5727" s="5" t="s">
        <v>2793</v>
      </c>
      <c r="V5727" s="7" t="str">
        <f>HYPERLINK("#Liste_rouge!A"&amp;_xlfn.XMATCH("LC",Liste_rouge!A:A,2,1),"LC")</f>
        <v>LC</v>
      </c>
      <c r="AH5727" s="4" t="str">
        <f>HYPERLINK("#Statut_biogéographique!A"&amp;_xlfn.XMATCH("P",Statut_biogéographique!A:A,2,1),"P")</f>
        <v>P</v>
      </c>
      <c r="AP5727" s="4" t="s">
        <v>376</v>
      </c>
      <c r="AR5727" s="4" t="s">
        <v>377</v>
      </c>
    </row>
    <row r="5728" spans="1:44" ht="45">
      <c r="A5728" s="4" t="s">
        <v>5</v>
      </c>
      <c r="B5728" s="4">
        <v>44890</v>
      </c>
      <c r="D5728" s="5" t="s">
        <v>8296</v>
      </c>
      <c r="E5728" s="6" t="str">
        <f>HYPERLINK("https://inpn.mnhn.fr/espece/cd_nom/44890","Trametes hirsuta (Wulfen) Pilát, 1939")</f>
        <v>Trametes hirsuta (Wulfen) Pilát, 1939</v>
      </c>
      <c r="F5728" s="5" t="s">
        <v>3505</v>
      </c>
      <c r="V5728" s="7" t="str">
        <f>HYPERLINK("#Liste_rouge!A"&amp;_xlfn.XMATCH("LC",Liste_rouge!A:A,2,1),"LC")</f>
        <v>LC</v>
      </c>
      <c r="AH5728" s="4" t="str">
        <f>HYPERLINK("#Statut_biogéographique!A"&amp;_xlfn.XMATCH("P",Statut_biogéographique!A:A,2,1),"P")</f>
        <v>P</v>
      </c>
      <c r="AP5728" s="4" t="s">
        <v>376</v>
      </c>
      <c r="AR5728" s="4" t="s">
        <v>377</v>
      </c>
    </row>
    <row r="5729" spans="1:44" ht="45">
      <c r="A5729" s="4" t="s">
        <v>5</v>
      </c>
      <c r="B5729" s="4">
        <v>44901</v>
      </c>
      <c r="D5729" s="5" t="s">
        <v>8297</v>
      </c>
      <c r="E5729" s="6" t="str">
        <f>HYPERLINK("https://inpn.mnhn.fr/espece/cd_nom/44901","Trametes pubescens (Schumach.) Pilát, 1939")</f>
        <v>Trametes pubescens (Schumach.) Pilát, 1939</v>
      </c>
      <c r="F5729" s="5" t="s">
        <v>4924</v>
      </c>
      <c r="V5729" s="7" t="str">
        <f>HYPERLINK("#Liste_rouge!A"&amp;_xlfn.XMATCH("LC",Liste_rouge!A:A,2,1),"LC")</f>
        <v>LC</v>
      </c>
      <c r="AH5729" s="4" t="str">
        <f>HYPERLINK("#Statut_biogéographique!A"&amp;_xlfn.XMATCH("P",Statut_biogéographique!A:A,2,1),"P")</f>
        <v>P</v>
      </c>
      <c r="AP5729" s="4" t="s">
        <v>376</v>
      </c>
      <c r="AR5729" s="4" t="s">
        <v>377</v>
      </c>
    </row>
    <row r="5730" spans="1:44" ht="30">
      <c r="A5730" s="4" t="s">
        <v>5</v>
      </c>
      <c r="B5730" s="4">
        <v>44905</v>
      </c>
      <c r="D5730" s="5" t="s">
        <v>8298</v>
      </c>
      <c r="E5730" s="6" t="str">
        <f>HYPERLINK("https://inpn.mnhn.fr/espece/cd_nom/44905","Trametes suaveolens (L.) Fr., 1838")</f>
        <v>Trametes suaveolens (L.) Fr., 1838</v>
      </c>
      <c r="F5730" s="5" t="s">
        <v>2872</v>
      </c>
      <c r="V5730" s="7" t="str">
        <f>HYPERLINK("#Liste_rouge!A"&amp;_xlfn.XMATCH("VU",Liste_rouge!A:A,2,1),"VU")</f>
        <v>VU</v>
      </c>
      <c r="W5730" s="4" t="str">
        <f>HYPERLINK("#Critères_liste_rouge!A$1","B2abiii")</f>
        <v>B2abiii</v>
      </c>
      <c r="AH5730" s="4" t="str">
        <f>HYPERLINK("#Statut_biogéographique!A"&amp;_xlfn.XMATCH("P",Statut_biogéographique!A:A,2,1),"P")</f>
        <v>P</v>
      </c>
      <c r="AP5730" s="4" t="s">
        <v>376</v>
      </c>
      <c r="AR5730" s="4" t="s">
        <v>377</v>
      </c>
    </row>
    <row r="5731" spans="1:44" ht="30">
      <c r="A5731" s="4" t="s">
        <v>5</v>
      </c>
      <c r="B5731" s="4">
        <v>44911</v>
      </c>
      <c r="D5731" s="5" t="s">
        <v>8299</v>
      </c>
      <c r="E5731" s="6" t="str">
        <f>HYPERLINK("https://inpn.mnhn.fr/espece/cd_nom/44911","Trametes versicolor (L.) Lloyd, 1921")</f>
        <v>Trametes versicolor (L.) Lloyd, 1921</v>
      </c>
      <c r="F5731" s="5" t="s">
        <v>8300</v>
      </c>
      <c r="V5731" s="7" t="str">
        <f>HYPERLINK("#Liste_rouge!A"&amp;_xlfn.XMATCH("LC",Liste_rouge!A:A,2,1),"LC")</f>
        <v>LC</v>
      </c>
      <c r="AH5731" s="4" t="str">
        <f>HYPERLINK("#Statut_biogéographique!A"&amp;_xlfn.XMATCH("P",Statut_biogéographique!A:A,2,1),"P")</f>
        <v>P</v>
      </c>
      <c r="AP5731" s="4" t="s">
        <v>376</v>
      </c>
      <c r="AR5731" s="4" t="s">
        <v>377</v>
      </c>
    </row>
    <row r="5732" spans="1:44" ht="30">
      <c r="A5732" s="4" t="s">
        <v>5</v>
      </c>
      <c r="B5732" s="4">
        <v>44926</v>
      </c>
      <c r="D5732" s="5" t="s">
        <v>8301</v>
      </c>
      <c r="E5732" s="6" t="str">
        <f>HYPERLINK("https://inpn.mnhn.fr/espece/cd_nom/44926","Trechispora cohaerens (Schwein.) Jülich &amp; Stalpers, 1980")</f>
        <v>Trechispora cohaerens (Schwein.) Jülich &amp; Stalpers, 1980</v>
      </c>
      <c r="AH5732" s="4" t="str">
        <f>HYPERLINK("#Statut_biogéographique!A"&amp;_xlfn.XMATCH("P",Statut_biogéographique!A:A,2,1),"P")</f>
        <v>P</v>
      </c>
      <c r="AP5732" s="4" t="s">
        <v>376</v>
      </c>
      <c r="AR5732" s="4" t="s">
        <v>377</v>
      </c>
    </row>
    <row r="5733" spans="1:44" ht="30">
      <c r="A5733" s="4" t="s">
        <v>5</v>
      </c>
      <c r="B5733" s="4">
        <v>44929</v>
      </c>
      <c r="D5733" s="5" t="s">
        <v>8302</v>
      </c>
      <c r="E5733" s="6" t="str">
        <f>HYPERLINK("https://inpn.mnhn.fr/espece/cd_nom/44929","Trechispora confinis (Bourdot &amp; Galzin) Liberta, 1966")</f>
        <v>Trechispora confinis (Bourdot &amp; Galzin) Liberta, 1966</v>
      </c>
      <c r="V5733" s="7" t="str">
        <f>HYPERLINK("#Liste_rouge!A"&amp;_xlfn.XMATCH("EN",Liste_rouge!A:A,2,1),"EN")</f>
        <v>EN</v>
      </c>
      <c r="W5733" s="4" t="str">
        <f>HYPERLINK("#Critères_liste_rouge!A$1","B2abiii")</f>
        <v>B2abiii</v>
      </c>
      <c r="AH5733" s="4" t="str">
        <f>HYPERLINK("#Statut_biogéographique!A"&amp;_xlfn.XMATCH("P",Statut_biogéographique!A:A,2,1),"P")</f>
        <v>P</v>
      </c>
      <c r="AP5733" s="4" t="s">
        <v>376</v>
      </c>
      <c r="AR5733" s="4" t="s">
        <v>377</v>
      </c>
    </row>
    <row r="5734" spans="1:44" ht="30">
      <c r="A5734" s="4" t="s">
        <v>5</v>
      </c>
      <c r="B5734" s="4">
        <v>44948</v>
      </c>
      <c r="D5734" s="5" t="s">
        <v>8303</v>
      </c>
      <c r="E5734" s="6" t="str">
        <f>HYPERLINK("https://inpn.mnhn.fr/espece/cd_nom/44948","Trechispora mollusca (Pers.) Liberta, 1974")</f>
        <v>Trechispora mollusca (Pers.) Liberta, 1974</v>
      </c>
      <c r="AH5734" s="4" t="str">
        <f>HYPERLINK("#Statut_biogéographique!A"&amp;_xlfn.XMATCH("P",Statut_biogéographique!A:A,2,1),"P")</f>
        <v>P</v>
      </c>
      <c r="AP5734" s="4" t="s">
        <v>376</v>
      </c>
      <c r="AR5734" s="4" t="s">
        <v>377</v>
      </c>
    </row>
    <row r="5735" spans="1:44" ht="30">
      <c r="A5735" s="4" t="s">
        <v>5</v>
      </c>
      <c r="B5735" s="4">
        <v>44959</v>
      </c>
      <c r="D5735" s="5" t="s">
        <v>8304</v>
      </c>
      <c r="E5735" s="6" t="str">
        <f>HYPERLINK("https://inpn.mnhn.fr/espece/cd_nom/44959","Trechispora stevensonii (Berk. &amp; Broome) K.H.Larss., 1995")</f>
        <v>Trechispora stevensonii (Berk. &amp; Broome) K.H.Larss., 1995</v>
      </c>
      <c r="AH5735" s="4" t="str">
        <f>HYPERLINK("#Statut_biogéographique!A"&amp;_xlfn.XMATCH("P",Statut_biogéographique!A:A,2,1),"P")</f>
        <v>P</v>
      </c>
      <c r="AP5735" s="4" t="s">
        <v>376</v>
      </c>
      <c r="AR5735" s="4" t="s">
        <v>377</v>
      </c>
    </row>
    <row r="5736" spans="1:44">
      <c r="A5736" s="4" t="s">
        <v>5</v>
      </c>
      <c r="B5736" s="4">
        <v>44975</v>
      </c>
      <c r="D5736" s="5" t="s">
        <v>8305</v>
      </c>
      <c r="E5736" s="6" t="str">
        <f>HYPERLINK("https://inpn.mnhn.fr/espece/cd_nom/44975","Tremella encephala Willd.")</f>
        <v>Tremella encephala Willd.</v>
      </c>
      <c r="AH5736" s="4" t="str">
        <f>HYPERLINK("#Statut_biogéographique!A"&amp;_xlfn.XMATCH("P",Statut_biogéographique!A:A,2,1),"P")</f>
        <v>P</v>
      </c>
      <c r="AP5736" s="4" t="s">
        <v>376</v>
      </c>
      <c r="AR5736" s="4" t="s">
        <v>377</v>
      </c>
    </row>
    <row r="5737" spans="1:44">
      <c r="A5737" s="4" t="s">
        <v>5</v>
      </c>
      <c r="B5737" s="4">
        <v>44992</v>
      </c>
      <c r="D5737" s="5" t="s">
        <v>8306</v>
      </c>
      <c r="E5737" s="6" t="str">
        <f>HYPERLINK("https://inpn.mnhn.fr/espece/cd_nom/44992","Tremella mesenterica Retz., 1769")</f>
        <v>Tremella mesenterica Retz., 1769</v>
      </c>
      <c r="F5737" s="5" t="s">
        <v>3266</v>
      </c>
      <c r="V5737" s="7" t="str">
        <f>HYPERLINK("#Liste_rouge!A"&amp;_xlfn.XMATCH("LC",Liste_rouge!A:A,2,1),"LC")</f>
        <v>LC</v>
      </c>
      <c r="AH5737" s="4" t="str">
        <f>HYPERLINK("#Statut_biogéographique!A"&amp;_xlfn.XMATCH("P",Statut_biogéographique!A:A,2,1),"P")</f>
        <v>P</v>
      </c>
      <c r="AP5737" s="4" t="s">
        <v>376</v>
      </c>
      <c r="AR5737" s="4" t="s">
        <v>377</v>
      </c>
    </row>
    <row r="5738" spans="1:44" ht="30">
      <c r="A5738" s="4" t="s">
        <v>5</v>
      </c>
      <c r="B5738" s="4">
        <v>45016</v>
      </c>
      <c r="C5738" s="4">
        <v>4720</v>
      </c>
      <c r="D5738" s="5" t="s">
        <v>8307</v>
      </c>
      <c r="E5738" s="6" t="str">
        <f>HYPERLINK("https://inpn.mnhn.fr/espece/cd_nom/45016","Tremellodendropsis tuberosa (Grev.) D.A.Crawford, 1954")</f>
        <v>Tremellodendropsis tuberosa (Grev.) D.A.Crawford, 1954</v>
      </c>
      <c r="V5738" s="7" t="str">
        <f>HYPERLINK("#Liste_rouge!A"&amp;_xlfn.XMATCH("DD",Liste_rouge!A:A,2,1),"DD")</f>
        <v>DD</v>
      </c>
      <c r="AH5738" s="4" t="str">
        <f>HYPERLINK("#Statut_biogéographique!A"&amp;_xlfn.XMATCH("P",Statut_biogéographique!A:A,2,1),"P")</f>
        <v>P</v>
      </c>
      <c r="AP5738" s="4" t="s">
        <v>376</v>
      </c>
      <c r="AR5738" s="4" t="s">
        <v>377</v>
      </c>
    </row>
    <row r="5739" spans="1:44" ht="30">
      <c r="A5739" s="4" t="s">
        <v>5</v>
      </c>
      <c r="B5739" s="4">
        <v>45020</v>
      </c>
      <c r="C5739" s="4">
        <v>429</v>
      </c>
      <c r="D5739" s="5" t="s">
        <v>8308</v>
      </c>
      <c r="E5739" s="6" t="str">
        <f>HYPERLINK("https://inpn.mnhn.fr/espece/cd_nom/45020","Tremiscus helvelloides (DC.) Donk, 1958")</f>
        <v>Tremiscus helvelloides (DC.) Donk, 1958</v>
      </c>
      <c r="F5739" s="5" t="s">
        <v>8309</v>
      </c>
      <c r="V5739" s="7" t="str">
        <f>HYPERLINK("#Liste_rouge!A"&amp;_xlfn.XMATCH("LC",Liste_rouge!A:A,2,1),"LC")</f>
        <v>LC</v>
      </c>
      <c r="AH5739" s="4" t="str">
        <f>HYPERLINK("#Statut_biogéographique!A"&amp;_xlfn.XMATCH("P",Statut_biogéographique!A:A,2,1),"P")</f>
        <v>P</v>
      </c>
      <c r="AP5739" s="4" t="s">
        <v>376</v>
      </c>
      <c r="AR5739" s="4" t="s">
        <v>377</v>
      </c>
    </row>
    <row r="5740" spans="1:44" ht="30">
      <c r="A5740" s="4" t="s">
        <v>5</v>
      </c>
      <c r="B5740" s="4">
        <v>45025</v>
      </c>
      <c r="D5740" s="5" t="s">
        <v>8310</v>
      </c>
      <c r="E5740" s="6" t="str">
        <f>HYPERLINK("https://inpn.mnhn.fr/espece/cd_nom/45025","Trichaptum abietinum (Pers. ex J.F.Gmel.) Ryvarden, 1972")</f>
        <v>Trichaptum abietinum (Pers. ex J.F.Gmel.) Ryvarden, 1972</v>
      </c>
      <c r="F5740" s="5" t="s">
        <v>4351</v>
      </c>
      <c r="V5740" s="7" t="str">
        <f>HYPERLINK("#Liste_rouge!A"&amp;_xlfn.XMATCH("LC",Liste_rouge!A:A,2,1),"LC")</f>
        <v>LC</v>
      </c>
      <c r="AH5740" s="4" t="str">
        <f>HYPERLINK("#Statut_biogéographique!A"&amp;_xlfn.XMATCH("P",Statut_biogéographique!A:A,2,1),"P")</f>
        <v>P</v>
      </c>
      <c r="AP5740" s="4" t="s">
        <v>376</v>
      </c>
      <c r="AR5740" s="4" t="s">
        <v>377</v>
      </c>
    </row>
    <row r="5741" spans="1:44" ht="45">
      <c r="A5741" s="4" t="s">
        <v>5</v>
      </c>
      <c r="B5741" s="4">
        <v>45035</v>
      </c>
      <c r="D5741" s="5" t="s">
        <v>8311</v>
      </c>
      <c r="E5741" s="6" t="str">
        <f>HYPERLINK("https://inpn.mnhn.fr/espece/cd_nom/45035","Trichaptum fuscoviolaceum (Ehrenb.) Ryvarden, 1972")</f>
        <v>Trichaptum fuscoviolaceum (Ehrenb.) Ryvarden, 1972</v>
      </c>
      <c r="F5741" s="5" t="s">
        <v>8312</v>
      </c>
      <c r="V5741" s="7" t="str">
        <f>HYPERLINK("#Liste_rouge!A"&amp;_xlfn.XMATCH("LC",Liste_rouge!A:A,2,1),"LC")</f>
        <v>LC</v>
      </c>
      <c r="AH5741" s="4" t="str">
        <f>HYPERLINK("#Statut_biogéographique!A"&amp;_xlfn.XMATCH("P",Statut_biogéographique!A:A,2,1),"P")</f>
        <v>P</v>
      </c>
      <c r="AP5741" s="4" t="s">
        <v>376</v>
      </c>
      <c r="AR5741" s="4" t="s">
        <v>377</v>
      </c>
    </row>
    <row r="5742" spans="1:44" ht="30">
      <c r="A5742" s="4" t="s">
        <v>5</v>
      </c>
      <c r="B5742" s="4">
        <v>45076</v>
      </c>
      <c r="D5742" s="5" t="s">
        <v>8313</v>
      </c>
      <c r="E5742" s="6" t="str">
        <f>HYPERLINK("https://inpn.mnhn.fr/espece/cd_nom/45076","Tubulicrinis medius (Bourdot &amp; Galzin) Oberw., 1966")</f>
        <v>Tubulicrinis medius (Bourdot &amp; Galzin) Oberw., 1966</v>
      </c>
      <c r="AH5742" s="4" t="str">
        <f>HYPERLINK("#Statut_biogéographique!A"&amp;_xlfn.XMATCH("P",Statut_biogéographique!A:A,2,1),"P")</f>
        <v>P</v>
      </c>
      <c r="AP5742" s="4" t="s">
        <v>376</v>
      </c>
      <c r="AR5742" s="4" t="s">
        <v>377</v>
      </c>
    </row>
    <row r="5743" spans="1:44" ht="30">
      <c r="A5743" s="4" t="s">
        <v>5</v>
      </c>
      <c r="B5743" s="4">
        <v>45081</v>
      </c>
      <c r="D5743" s="5" t="s">
        <v>8314</v>
      </c>
      <c r="E5743" s="6" t="str">
        <f>HYPERLINK("https://inpn.mnhn.fr/espece/cd_nom/45081","Tubulicrinis regificus (H.S.Jacks. &amp; Dearden) Donk, 1956")</f>
        <v>Tubulicrinis regificus (H.S.Jacks. &amp; Dearden) Donk, 1956</v>
      </c>
      <c r="AH5743" s="4" t="str">
        <f>HYPERLINK("#Statut_biogéographique!A"&amp;_xlfn.XMATCH("P",Statut_biogéographique!A:A,2,1),"P")</f>
        <v>P</v>
      </c>
      <c r="AP5743" s="4" t="s">
        <v>376</v>
      </c>
      <c r="AR5743" s="4" t="s">
        <v>377</v>
      </c>
    </row>
    <row r="5744" spans="1:44" ht="30">
      <c r="A5744" s="4" t="s">
        <v>5</v>
      </c>
      <c r="B5744" s="4">
        <v>45097</v>
      </c>
      <c r="D5744" s="5">
        <v>45097</v>
      </c>
      <c r="E5744" s="6" t="str">
        <f>HYPERLINK("https://inpn.mnhn.fr/espece/cd_nom/45097","Tulasnella allantospora Wakef. &amp; A.Pearson, 1923")</f>
        <v>Tulasnella allantospora Wakef. &amp; A.Pearson, 1923</v>
      </c>
      <c r="AH5744" s="4" t="str">
        <f>HYPERLINK("#Statut_biogéographique!A"&amp;_xlfn.XMATCH("P",Statut_biogéographique!A:A,2,1),"P")</f>
        <v>P</v>
      </c>
      <c r="AP5744" s="4" t="s">
        <v>376</v>
      </c>
      <c r="AR5744" s="4" t="s">
        <v>377</v>
      </c>
    </row>
    <row r="5745" spans="1:44">
      <c r="A5745" s="4" t="s">
        <v>5</v>
      </c>
      <c r="B5745" s="4">
        <v>45121</v>
      </c>
      <c r="D5745" s="5" t="s">
        <v>8315</v>
      </c>
      <c r="E5745" s="6" t="str">
        <f>HYPERLINK("https://inpn.mnhn.fr/espece/cd_nom/45121","Tulasnella hyalina Höhn. &amp; Litsch., 1908")</f>
        <v>Tulasnella hyalina Höhn. &amp; Litsch., 1908</v>
      </c>
      <c r="AH5745" s="4" t="str">
        <f>HYPERLINK("#Statut_biogéographique!A"&amp;_xlfn.XMATCH("P",Statut_biogéographique!A:A,2,1),"P")</f>
        <v>P</v>
      </c>
      <c r="AP5745" s="4" t="s">
        <v>376</v>
      </c>
      <c r="AR5745" s="4" t="s">
        <v>377</v>
      </c>
    </row>
    <row r="5746" spans="1:44" ht="30">
      <c r="A5746" s="4" t="s">
        <v>5</v>
      </c>
      <c r="B5746" s="4">
        <v>45144</v>
      </c>
      <c r="D5746" s="5" t="s">
        <v>8316</v>
      </c>
      <c r="E5746" s="6" t="str">
        <f>HYPERLINK("https://inpn.mnhn.fr/espece/cd_nom/45144","Tulasnella violea (Quél.) Bourdot &amp; Galzin, 1909")</f>
        <v>Tulasnella violea (Quél.) Bourdot &amp; Galzin, 1909</v>
      </c>
      <c r="AH5746" s="4" t="str">
        <f>HYPERLINK("#Statut_biogéographique!A"&amp;_xlfn.XMATCH("P",Statut_biogéographique!A:A,2,1),"P")</f>
        <v>P</v>
      </c>
      <c r="AP5746" s="4" t="s">
        <v>376</v>
      </c>
      <c r="AR5746" s="4" t="s">
        <v>377</v>
      </c>
    </row>
    <row r="5747" spans="1:44">
      <c r="A5747" s="4" t="s">
        <v>5</v>
      </c>
      <c r="B5747" s="4">
        <v>45148</v>
      </c>
      <c r="D5747" s="5" t="s">
        <v>8317</v>
      </c>
      <c r="E5747" s="6" t="str">
        <f>HYPERLINK("https://inpn.mnhn.fr/espece/cd_nom/45148","Tylospora asterophora (Bonord.) Donk, 1960")</f>
        <v>Tylospora asterophora (Bonord.) Donk, 1960</v>
      </c>
      <c r="V5747" s="7" t="str">
        <f>HYPERLINK("#Liste_rouge!A"&amp;_xlfn.XMATCH("DD",Liste_rouge!A:A,2,1),"DD")</f>
        <v>DD</v>
      </c>
      <c r="AH5747" s="4" t="str">
        <f>HYPERLINK("#Statut_biogéographique!A"&amp;_xlfn.XMATCH("P",Statut_biogéographique!A:A,2,1),"P")</f>
        <v>P</v>
      </c>
      <c r="AP5747" s="4" t="s">
        <v>376</v>
      </c>
      <c r="AR5747" s="4" t="s">
        <v>377</v>
      </c>
    </row>
    <row r="5748" spans="1:44">
      <c r="A5748" s="4" t="s">
        <v>5</v>
      </c>
      <c r="B5748" s="4">
        <v>45151</v>
      </c>
      <c r="D5748" s="5" t="s">
        <v>8318</v>
      </c>
      <c r="E5748" s="6" t="str">
        <f>HYPERLINK("https://inpn.mnhn.fr/espece/cd_nom/45151","Tylospora fibrillosa (Burt) Donk, 1960")</f>
        <v>Tylospora fibrillosa (Burt) Donk, 1960</v>
      </c>
      <c r="AH5748" s="4" t="str">
        <f>HYPERLINK("#Statut_biogéographique!A"&amp;_xlfn.XMATCH("P",Statut_biogéographique!A:A,2,1),"P")</f>
        <v>P</v>
      </c>
      <c r="AP5748" s="4" t="s">
        <v>376</v>
      </c>
      <c r="AR5748" s="4" t="s">
        <v>377</v>
      </c>
    </row>
    <row r="5749" spans="1:44">
      <c r="A5749" s="4" t="s">
        <v>5</v>
      </c>
      <c r="B5749" s="4">
        <v>45158</v>
      </c>
      <c r="D5749" s="5" t="s">
        <v>8319</v>
      </c>
      <c r="E5749" s="6" t="str">
        <f>HYPERLINK("https://inpn.mnhn.fr/espece/cd_nom/45158","Tyromyces chioneus (Fr.) P.Karst., 1881")</f>
        <v>Tyromyces chioneus (Fr.) P.Karst., 1881</v>
      </c>
      <c r="F5749" s="5" t="s">
        <v>3045</v>
      </c>
      <c r="V5749" s="7" t="str">
        <f>HYPERLINK("#Liste_rouge!A"&amp;_xlfn.XMATCH("LC",Liste_rouge!A:A,2,1),"LC")</f>
        <v>LC</v>
      </c>
      <c r="AH5749" s="4" t="str">
        <f>HYPERLINK("#Statut_biogéographique!A"&amp;_xlfn.XMATCH("P",Statut_biogéographique!A:A,2,1),"P")</f>
        <v>P</v>
      </c>
      <c r="AP5749" s="4" t="s">
        <v>376</v>
      </c>
      <c r="AR5749" s="4" t="s">
        <v>377</v>
      </c>
    </row>
    <row r="5750" spans="1:44" ht="30">
      <c r="A5750" s="4" t="s">
        <v>5</v>
      </c>
      <c r="B5750" s="4">
        <v>45162</v>
      </c>
      <c r="D5750" s="5" t="s">
        <v>8320</v>
      </c>
      <c r="E5750" s="6" t="str">
        <f>HYPERLINK("https://inpn.mnhn.fr/espece/cd_nom/45162","Tyromyces kmetii (Bres.) Bondartsev &amp; Singer, 1941")</f>
        <v>Tyromyces kmetii (Bres.) Bondartsev &amp; Singer, 1941</v>
      </c>
      <c r="V5750" s="7" t="str">
        <f>HYPERLINK("#Liste_rouge!A"&amp;_xlfn.XMATCH("DD",Liste_rouge!A:A,2,1),"DD")</f>
        <v>DD</v>
      </c>
      <c r="AH5750" s="4" t="str">
        <f>HYPERLINK("#Statut_biogéographique!A"&amp;_xlfn.XMATCH("P",Statut_biogéographique!A:A,2,1),"P")</f>
        <v>P</v>
      </c>
      <c r="AP5750" s="4" t="s">
        <v>376</v>
      </c>
      <c r="AR5750" s="4" t="s">
        <v>377</v>
      </c>
    </row>
    <row r="5751" spans="1:44" ht="30">
      <c r="A5751" s="4" t="s">
        <v>5</v>
      </c>
      <c r="B5751" s="4">
        <v>45192</v>
      </c>
      <c r="D5751" s="5" t="s">
        <v>8321</v>
      </c>
      <c r="E5751" s="6" t="str">
        <f>HYPERLINK("https://inpn.mnhn.fr/espece/cd_nom/45192","Veluticeps abietina (Pers.) Hjortstam &amp; Tellería, 1990")</f>
        <v>Veluticeps abietina (Pers.) Hjortstam &amp; Tellería, 1990</v>
      </c>
      <c r="V5751" s="7" t="str">
        <f>HYPERLINK("#Liste_rouge!A"&amp;_xlfn.XMATCH("LC",Liste_rouge!A:A,2,1),"LC")</f>
        <v>LC</v>
      </c>
      <c r="AH5751" s="4" t="str">
        <f>HYPERLINK("#Statut_biogéographique!A"&amp;_xlfn.XMATCH("P",Statut_biogéographique!A:A,2,1),"P")</f>
        <v>P</v>
      </c>
      <c r="AP5751" s="4" t="s">
        <v>376</v>
      </c>
      <c r="AR5751" s="4" t="s">
        <v>377</v>
      </c>
    </row>
    <row r="5752" spans="1:44">
      <c r="A5752" s="4" t="s">
        <v>5</v>
      </c>
      <c r="B5752" s="4">
        <v>45214</v>
      </c>
      <c r="D5752" s="5" t="s">
        <v>8322</v>
      </c>
      <c r="E5752" s="6" t="str">
        <f>HYPERLINK("https://inpn.mnhn.fr/espece/cd_nom/45214","Vuilleminia comedens (Nees) Maire, 1902")</f>
        <v>Vuilleminia comedens (Nees) Maire, 1902</v>
      </c>
      <c r="V5752" s="7" t="str">
        <f>HYPERLINK("#Liste_rouge!A"&amp;_xlfn.XMATCH("LC",Liste_rouge!A:A,2,1),"LC")</f>
        <v>LC</v>
      </c>
      <c r="AH5752" s="4" t="str">
        <f>HYPERLINK("#Statut_biogéographique!A"&amp;_xlfn.XMATCH("P",Statut_biogéographique!A:A,2,1),"P")</f>
        <v>P</v>
      </c>
      <c r="AP5752" s="4" t="s">
        <v>376</v>
      </c>
      <c r="AR5752" s="4" t="s">
        <v>377</v>
      </c>
    </row>
    <row r="5753" spans="1:44">
      <c r="A5753" s="4" t="s">
        <v>5</v>
      </c>
      <c r="B5753" s="4">
        <v>45217</v>
      </c>
      <c r="D5753" s="5">
        <v>45217</v>
      </c>
      <c r="E5753" s="6" t="str">
        <f>HYPERLINK("https://inpn.mnhn.fr/espece/cd_nom/45217","Vuilleminia coryli Boidin, Lanq. &amp; Gilles, 1989")</f>
        <v>Vuilleminia coryli Boidin, Lanq. &amp; Gilles, 1989</v>
      </c>
      <c r="AH5753" s="4" t="str">
        <f>HYPERLINK("#Statut_biogéographique!A"&amp;_xlfn.XMATCH("P",Statut_biogéographique!A:A,2,1),"P")</f>
        <v>P</v>
      </c>
      <c r="AP5753" s="4" t="s">
        <v>376</v>
      </c>
      <c r="AR5753" s="4" t="s">
        <v>377</v>
      </c>
    </row>
    <row r="5754" spans="1:44">
      <c r="A5754" s="4" t="s">
        <v>5</v>
      </c>
      <c r="B5754" s="4">
        <v>45218</v>
      </c>
      <c r="D5754" s="5">
        <v>45218</v>
      </c>
      <c r="E5754" s="6" t="str">
        <f>HYPERLINK("https://inpn.mnhn.fr/espece/cd_nom/45218","Vuilleminia cystidiata Parmasto, 1965")</f>
        <v>Vuilleminia cystidiata Parmasto, 1965</v>
      </c>
      <c r="AH5754" s="4" t="str">
        <f>HYPERLINK("#Statut_biogéographique!A"&amp;_xlfn.XMATCH("P",Statut_biogéographique!A:A,2,1),"P")</f>
        <v>P</v>
      </c>
      <c r="AP5754" s="4" t="s">
        <v>376</v>
      </c>
      <c r="AR5754" s="4" t="s">
        <v>377</v>
      </c>
    </row>
    <row r="5755" spans="1:44">
      <c r="A5755" s="4" t="s">
        <v>5</v>
      </c>
      <c r="B5755" s="4">
        <v>45249</v>
      </c>
      <c r="D5755" s="5">
        <v>45249</v>
      </c>
      <c r="E5755" s="6" t="str">
        <f>HYPERLINK("https://inpn.mnhn.fr/espece/cd_nom/45249","Xenolachne longicornis Hauerslev, 1977")</f>
        <v>Xenolachne longicornis Hauerslev, 1977</v>
      </c>
      <c r="AH5755" s="4" t="str">
        <f>HYPERLINK("#Statut_biogéographique!A"&amp;_xlfn.XMATCH("P",Statut_biogéographique!A:A,2,1),"P")</f>
        <v>P</v>
      </c>
      <c r="AP5755" s="4" t="s">
        <v>376</v>
      </c>
      <c r="AR5755" s="4" t="s">
        <v>377</v>
      </c>
    </row>
    <row r="5756" spans="1:44" ht="30">
      <c r="A5756" s="4" t="s">
        <v>5</v>
      </c>
      <c r="B5756" s="4">
        <v>45278</v>
      </c>
      <c r="C5756" s="4">
        <v>6897</v>
      </c>
      <c r="D5756" s="5" t="s">
        <v>8323</v>
      </c>
      <c r="E5756" s="6" t="str">
        <f>HYPERLINK("https://inpn.mnhn.fr/espece/cd_nom/45278","Acanthonitschkea tristis (J.Kickx f.) Nannf., 1975")</f>
        <v>Acanthonitschkea tristis (J.Kickx f.) Nannf., 1975</v>
      </c>
      <c r="AH5756" s="4" t="str">
        <f>HYPERLINK("#Statut_biogéographique!A"&amp;_xlfn.XMATCH("P",Statut_biogéographique!A:A,2,1),"P")</f>
        <v>P</v>
      </c>
      <c r="AP5756" s="4" t="s">
        <v>376</v>
      </c>
      <c r="AR5756" s="4" t="s">
        <v>377</v>
      </c>
    </row>
    <row r="5757" spans="1:44">
      <c r="A5757" s="4" t="s">
        <v>5</v>
      </c>
      <c r="B5757" s="4">
        <v>45300</v>
      </c>
      <c r="C5757" s="4">
        <v>4429</v>
      </c>
      <c r="D5757" s="5" t="s">
        <v>8324</v>
      </c>
      <c r="E5757" s="6" t="str">
        <f>HYPERLINK("https://inpn.mnhn.fr/espece/cd_nom/45300","Acrospermum compressum Tode, 1790")</f>
        <v>Acrospermum compressum Tode, 1790</v>
      </c>
      <c r="AH5757" s="4" t="str">
        <f>HYPERLINK("#Statut_biogéographique!A"&amp;_xlfn.XMATCH("P",Statut_biogéographique!A:A,2,1),"P")</f>
        <v>P</v>
      </c>
      <c r="AP5757" s="4" t="s">
        <v>376</v>
      </c>
      <c r="AR5757" s="4" t="s">
        <v>377</v>
      </c>
    </row>
    <row r="5758" spans="1:44">
      <c r="A5758" s="4" t="s">
        <v>5</v>
      </c>
      <c r="B5758" s="4">
        <v>45304</v>
      </c>
      <c r="C5758" s="4">
        <v>3980</v>
      </c>
      <c r="D5758" s="5" t="s">
        <v>8325</v>
      </c>
      <c r="E5758" s="6" t="str">
        <f>HYPERLINK("https://inpn.mnhn.fr/espece/cd_nom/45304","Actidium hysterioides Fr., 1818")</f>
        <v>Actidium hysterioides Fr., 1818</v>
      </c>
      <c r="AH5758" s="4" t="str">
        <f>HYPERLINK("#Statut_biogéographique!A"&amp;_xlfn.XMATCH("P",Statut_biogéographique!A:A,2,1),"P")</f>
        <v>P</v>
      </c>
      <c r="AP5758" s="4" t="s">
        <v>376</v>
      </c>
      <c r="AR5758" s="4" t="s">
        <v>377</v>
      </c>
    </row>
    <row r="5759" spans="1:44">
      <c r="A5759" s="4" t="s">
        <v>5</v>
      </c>
      <c r="B5759" s="4">
        <v>45323</v>
      </c>
      <c r="C5759" s="4">
        <v>899</v>
      </c>
      <c r="D5759" s="5" t="s">
        <v>8326</v>
      </c>
      <c r="E5759" s="6" t="str">
        <f>HYPERLINK("https://inpn.mnhn.fr/espece/cd_nom/45323","Albotricha acutipila (P.Karst.) Raitv., 1970")</f>
        <v>Albotricha acutipila (P.Karst.) Raitv., 1970</v>
      </c>
      <c r="AH5759" s="4" t="str">
        <f>HYPERLINK("#Statut_biogéographique!A"&amp;_xlfn.XMATCH("P",Statut_biogéographique!A:A,2,1),"P")</f>
        <v>P</v>
      </c>
      <c r="AP5759" s="4" t="s">
        <v>376</v>
      </c>
      <c r="AR5759" s="4" t="s">
        <v>377</v>
      </c>
    </row>
    <row r="5760" spans="1:44">
      <c r="A5760" s="4" t="s">
        <v>5</v>
      </c>
      <c r="B5760" s="4">
        <v>45332</v>
      </c>
      <c r="C5760" s="4">
        <v>450</v>
      </c>
      <c r="D5760" s="5" t="s">
        <v>8327</v>
      </c>
      <c r="E5760" s="6" t="str">
        <f>HYPERLINK("https://inpn.mnhn.fr/espece/cd_nom/45332","Aleuria aurantia var. flavida (Phill.) Boud.")</f>
        <v>Aleuria aurantia var. flavida (Phill.) Boud.</v>
      </c>
      <c r="F5760" s="5" t="s">
        <v>8328</v>
      </c>
      <c r="V5760" s="7" t="str">
        <f>HYPERLINK("#Liste_rouge!A"&amp;_xlfn.XMATCH("LC",Liste_rouge!A:A,2,1),"LC")</f>
        <v>LC</v>
      </c>
      <c r="AH5760" s="4" t="str">
        <f>HYPERLINK("#Statut_biogéographique!A"&amp;_xlfn.XMATCH("D",Statut_biogéographique!A:A,2,1),"D")</f>
        <v>D</v>
      </c>
      <c r="AP5760" s="4" t="s">
        <v>376</v>
      </c>
      <c r="AR5760" s="4" t="s">
        <v>377</v>
      </c>
    </row>
    <row r="5761" spans="1:44" ht="30">
      <c r="A5761" s="4" t="s">
        <v>5</v>
      </c>
      <c r="B5761" s="4">
        <v>45336</v>
      </c>
      <c r="C5761" s="4">
        <v>4371</v>
      </c>
      <c r="D5761" s="5" t="s">
        <v>8329</v>
      </c>
      <c r="E5761" s="6" t="str">
        <f>HYPERLINK("https://inpn.mnhn.fr/espece/cd_nom/45336","Aleuria cestrica (Ellis &amp; Everh.) Seaver, 1928")</f>
        <v>Aleuria cestrica (Ellis &amp; Everh.) Seaver, 1928</v>
      </c>
      <c r="V5761" s="7" t="str">
        <f>HYPERLINK("#Liste_rouge!A"&amp;_xlfn.XMATCH("DD",Liste_rouge!A:A,2,1),"DD")</f>
        <v>DD</v>
      </c>
      <c r="AH5761" s="4" t="str">
        <f>HYPERLINK("#Statut_biogéographique!A"&amp;_xlfn.XMATCH("P",Statut_biogéographique!A:A,2,1),"P")</f>
        <v>P</v>
      </c>
      <c r="AP5761" s="4" t="s">
        <v>376</v>
      </c>
      <c r="AR5761" s="4" t="s">
        <v>377</v>
      </c>
    </row>
    <row r="5762" spans="1:44" ht="30">
      <c r="A5762" s="4" t="s">
        <v>5</v>
      </c>
      <c r="B5762" s="4">
        <v>45338</v>
      </c>
      <c r="C5762" s="4">
        <v>2999</v>
      </c>
      <c r="D5762" s="5" t="s">
        <v>8330</v>
      </c>
      <c r="E5762" s="6" t="str">
        <f>HYPERLINK("https://inpn.mnhn.fr/espece/cd_nom/45338","Aleuria luteonitens (Berk. &amp; Broome) Gillet, 1886")</f>
        <v>Aleuria luteonitens (Berk. &amp; Broome) Gillet, 1886</v>
      </c>
      <c r="V5762" s="7" t="str">
        <f>HYPERLINK("#Liste_rouge!A"&amp;_xlfn.XMATCH("EN",Liste_rouge!A:A,2,1),"EN")</f>
        <v>EN</v>
      </c>
      <c r="W5762" s="4" t="str">
        <f>HYPERLINK("#Critères_liste_rouge!A$1","B2abiii")</f>
        <v>B2abiii</v>
      </c>
      <c r="Z5762" s="4" t="s">
        <v>447</v>
      </c>
      <c r="AA5762" s="4" t="s">
        <v>448</v>
      </c>
      <c r="AH5762" s="4" t="str">
        <f>HYPERLINK("#Statut_biogéographique!A"&amp;_xlfn.XMATCH("P",Statut_biogéographique!A:A,2,1),"P")</f>
        <v>P</v>
      </c>
      <c r="AP5762" s="4" t="s">
        <v>376</v>
      </c>
      <c r="AR5762" s="4" t="s">
        <v>377</v>
      </c>
    </row>
    <row r="5763" spans="1:44" ht="30">
      <c r="A5763" s="4" t="s">
        <v>5</v>
      </c>
      <c r="B5763" s="4">
        <v>45369</v>
      </c>
      <c r="C5763" s="4">
        <v>2687</v>
      </c>
      <c r="D5763" s="5" t="s">
        <v>8331</v>
      </c>
      <c r="E5763" s="6" t="str">
        <f>HYPERLINK("https://inpn.mnhn.fr/espece/cd_nom/45369","Amphisphaerella xylostei (Pers.) Rulamort, 1986")</f>
        <v>Amphisphaerella xylostei (Pers.) Rulamort, 1986</v>
      </c>
      <c r="AH5763" s="4" t="str">
        <f>HYPERLINK("#Statut_biogéographique!A"&amp;_xlfn.XMATCH("P",Statut_biogéographique!A:A,2,1),"P")</f>
        <v>P</v>
      </c>
      <c r="AP5763" s="4" t="s">
        <v>376</v>
      </c>
      <c r="AR5763" s="4" t="s">
        <v>377</v>
      </c>
    </row>
    <row r="5764" spans="1:44" ht="30">
      <c r="A5764" s="4" t="s">
        <v>5</v>
      </c>
      <c r="B5764" s="4">
        <v>45373</v>
      </c>
      <c r="C5764" s="4">
        <v>3525</v>
      </c>
      <c r="D5764" s="5" t="s">
        <v>8332</v>
      </c>
      <c r="E5764" s="6" t="str">
        <f>HYPERLINK("https://inpn.mnhn.fr/espece/cd_nom/45373","Amphisphaeria millepunctata (Fuckel) Petr., 1923")</f>
        <v>Amphisphaeria millepunctata (Fuckel) Petr., 1923</v>
      </c>
      <c r="AH5764" s="4" t="str">
        <f>HYPERLINK("#Statut_biogéographique!A"&amp;_xlfn.XMATCH("P",Statut_biogéographique!A:A,2,1),"P")</f>
        <v>P</v>
      </c>
      <c r="AP5764" s="4" t="s">
        <v>376</v>
      </c>
      <c r="AR5764" s="4" t="s">
        <v>377</v>
      </c>
    </row>
    <row r="5765" spans="1:44" ht="30">
      <c r="A5765" s="4" t="s">
        <v>5</v>
      </c>
      <c r="B5765" s="4">
        <v>45378</v>
      </c>
      <c r="C5765" s="4">
        <v>4266</v>
      </c>
      <c r="D5765" s="5" t="s">
        <v>8333</v>
      </c>
      <c r="E5765" s="6" t="str">
        <f>HYPERLINK("https://inpn.mnhn.fr/espece/cd_nom/45378","Amphisphaeria vibratilis (Fuckel) E.Müll., 1962")</f>
        <v>Amphisphaeria vibratilis (Fuckel) E.Müll., 1962</v>
      </c>
      <c r="AH5765" s="4" t="str">
        <f>HYPERLINK("#Statut_biogéographique!A"&amp;_xlfn.XMATCH("P",Statut_biogéographique!A:A,2,1),"P")</f>
        <v>P</v>
      </c>
      <c r="AP5765" s="4" t="s">
        <v>376</v>
      </c>
      <c r="AR5765" s="4" t="s">
        <v>377</v>
      </c>
    </row>
    <row r="5766" spans="1:44" ht="30">
      <c r="A5766" s="4" t="s">
        <v>5</v>
      </c>
      <c r="B5766" s="4">
        <v>45381</v>
      </c>
      <c r="C5766" s="4">
        <v>4137</v>
      </c>
      <c r="D5766" s="5" t="s">
        <v>8334</v>
      </c>
      <c r="E5766" s="6" t="str">
        <f>HYPERLINK("https://inpn.mnhn.fr/espece/cd_nom/45381","Anisogramma virgultorum (Fr.) Theiss. &amp; Syd., 1917")</f>
        <v>Anisogramma virgultorum (Fr.) Theiss. &amp; Syd., 1917</v>
      </c>
      <c r="AH5766" s="4" t="str">
        <f>HYPERLINK("#Statut_biogéographique!A"&amp;_xlfn.XMATCH("P",Statut_biogéographique!A:A,2,1),"P")</f>
        <v>P</v>
      </c>
      <c r="AP5766" s="4" t="s">
        <v>376</v>
      </c>
      <c r="AR5766" s="4" t="s">
        <v>377</v>
      </c>
    </row>
    <row r="5767" spans="1:44">
      <c r="A5767" s="4" t="s">
        <v>5</v>
      </c>
      <c r="B5767" s="4">
        <v>45404</v>
      </c>
      <c r="C5767" s="4">
        <v>4141</v>
      </c>
      <c r="D5767" s="5" t="s">
        <v>8335</v>
      </c>
      <c r="E5767" s="6" t="str">
        <f>HYPERLINK("https://inpn.mnhn.fr/espece/cd_nom/45404","Anthostoma decipiens (DC.) Nitschke, 1867")</f>
        <v>Anthostoma decipiens (DC.) Nitschke, 1867</v>
      </c>
      <c r="AH5767" s="4" t="str">
        <f>HYPERLINK("#Statut_biogéographique!A"&amp;_xlfn.XMATCH("P",Statut_biogéographique!A:A,2,1),"P")</f>
        <v>P</v>
      </c>
      <c r="AP5767" s="4" t="s">
        <v>376</v>
      </c>
      <c r="AR5767" s="4" t="s">
        <v>377</v>
      </c>
    </row>
    <row r="5768" spans="1:44" ht="30">
      <c r="A5768" s="4" t="s">
        <v>5</v>
      </c>
      <c r="B5768" s="4">
        <v>45414</v>
      </c>
      <c r="C5768" s="4">
        <v>3967</v>
      </c>
      <c r="D5768" s="5" t="s">
        <v>8336</v>
      </c>
      <c r="E5768" s="6" t="str">
        <f>HYPERLINK("https://inpn.mnhn.fr/espece/cd_nom/45414","Anthostomella appendiculosa (Berk. &amp; Broome) Sacc., 1881")</f>
        <v>Anthostomella appendiculosa (Berk. &amp; Broome) Sacc., 1881</v>
      </c>
      <c r="AH5768" s="4" t="str">
        <f>HYPERLINK("#Statut_biogéographique!A"&amp;_xlfn.XMATCH("P",Statut_biogéographique!A:A,2,1),"P")</f>
        <v>P</v>
      </c>
      <c r="AP5768" s="4" t="s">
        <v>376</v>
      </c>
      <c r="AR5768" s="4" t="s">
        <v>377</v>
      </c>
    </row>
    <row r="5769" spans="1:44">
      <c r="A5769" s="4" t="s">
        <v>5</v>
      </c>
      <c r="B5769" s="4">
        <v>45419</v>
      </c>
      <c r="C5769" s="4">
        <v>3526</v>
      </c>
      <c r="D5769" s="5" t="s">
        <v>8337</v>
      </c>
      <c r="E5769" s="6" t="str">
        <f>HYPERLINK("https://inpn.mnhn.fr/espece/cd_nom/45419","Anthostomella clypeoides Rehm, 1909")</f>
        <v>Anthostomella clypeoides Rehm, 1909</v>
      </c>
      <c r="AH5769" s="4" t="str">
        <f>HYPERLINK("#Statut_biogéographique!A"&amp;_xlfn.XMATCH("P",Statut_biogéographique!A:A,2,1),"P")</f>
        <v>P</v>
      </c>
      <c r="AP5769" s="4" t="s">
        <v>376</v>
      </c>
      <c r="AR5769" s="4" t="s">
        <v>377</v>
      </c>
    </row>
    <row r="5770" spans="1:44">
      <c r="A5770" s="4" t="s">
        <v>5</v>
      </c>
      <c r="B5770" s="4">
        <v>45436</v>
      </c>
      <c r="C5770" s="4">
        <v>4297</v>
      </c>
      <c r="D5770" s="5" t="s">
        <v>8338</v>
      </c>
      <c r="E5770" s="6" t="str">
        <f>HYPERLINK("https://inpn.mnhn.fr/espece/cd_nom/45436","Anthostomella tomicoides Sacc., 1875")</f>
        <v>Anthostomella tomicoides Sacc., 1875</v>
      </c>
      <c r="AH5770" s="4" t="str">
        <f>HYPERLINK("#Statut_biogéographique!A"&amp;_xlfn.XMATCH("P",Statut_biogéographique!A:A,2,1),"P")</f>
        <v>P</v>
      </c>
      <c r="AP5770" s="4" t="s">
        <v>376</v>
      </c>
      <c r="AR5770" s="4" t="s">
        <v>377</v>
      </c>
    </row>
    <row r="5771" spans="1:44" ht="30">
      <c r="A5771" s="4" t="s">
        <v>5</v>
      </c>
      <c r="B5771" s="4">
        <v>45443</v>
      </c>
      <c r="C5771" s="4">
        <v>1155</v>
      </c>
      <c r="D5771" s="5" t="s">
        <v>8339</v>
      </c>
      <c r="E5771" s="6" t="str">
        <f>HYPERLINK("https://inpn.mnhn.fr/espece/cd_nom/45443","Anthracobia macrocystis (Cooke) Boud., 1907")</f>
        <v>Anthracobia macrocystis (Cooke) Boud., 1907</v>
      </c>
      <c r="V5771" s="7" t="str">
        <f>HYPERLINK("#Liste_rouge!A"&amp;_xlfn.XMATCH("LC",Liste_rouge!A:A,2,1),"LC")</f>
        <v>LC</v>
      </c>
      <c r="AH5771" s="4" t="str">
        <f>HYPERLINK("#Statut_biogéographique!A"&amp;_xlfn.XMATCH("P",Statut_biogéographique!A:A,2,1),"P")</f>
        <v>P</v>
      </c>
      <c r="AP5771" s="4" t="s">
        <v>376</v>
      </c>
      <c r="AR5771" s="4" t="s">
        <v>377</v>
      </c>
    </row>
    <row r="5772" spans="1:44">
      <c r="A5772" s="4" t="s">
        <v>5</v>
      </c>
      <c r="B5772" s="4">
        <v>45447</v>
      </c>
      <c r="C5772" s="4">
        <v>3527</v>
      </c>
      <c r="D5772" s="5" t="s">
        <v>8340</v>
      </c>
      <c r="E5772" s="6" t="str">
        <f>HYPERLINK("https://inpn.mnhn.fr/espece/cd_nom/45447","Anthracobia maurilabra (Cooke) Boud., 1907")</f>
        <v>Anthracobia maurilabra (Cooke) Boud., 1907</v>
      </c>
      <c r="V5772" s="7" t="str">
        <f>HYPERLINK("#Liste_rouge!A"&amp;_xlfn.XMATCH("LC",Liste_rouge!A:A,2,1),"LC")</f>
        <v>LC</v>
      </c>
      <c r="AH5772" s="4" t="str">
        <f>HYPERLINK("#Statut_biogéographique!A"&amp;_xlfn.XMATCH("P",Statut_biogéographique!A:A,2,1),"P")</f>
        <v>P</v>
      </c>
      <c r="AP5772" s="4" t="s">
        <v>376</v>
      </c>
      <c r="AR5772" s="4" t="s">
        <v>377</v>
      </c>
    </row>
    <row r="5773" spans="1:44" ht="45">
      <c r="A5773" s="4" t="s">
        <v>5</v>
      </c>
      <c r="B5773" s="4">
        <v>45450</v>
      </c>
      <c r="C5773" s="4">
        <v>3528</v>
      </c>
      <c r="D5773" s="5" t="s">
        <v>8341</v>
      </c>
      <c r="E5773" s="6" t="str">
        <f>HYPERLINK("https://inpn.mnhn.fr/espece/cd_nom/45450","Anthracobia melaloma (Alb. &amp; Schwein.) Arnould, 1893")</f>
        <v>Anthracobia melaloma (Alb. &amp; Schwein.) Arnould, 1893</v>
      </c>
      <c r="V5773" s="7" t="str">
        <f>HYPERLINK("#Liste_rouge!A"&amp;_xlfn.XMATCH("LC",Liste_rouge!A:A,2,1),"LC")</f>
        <v>LC</v>
      </c>
      <c r="AH5773" s="4" t="str">
        <f>HYPERLINK("#Statut_biogéographique!A"&amp;_xlfn.XMATCH("P",Statut_biogéographique!A:A,2,1),"P")</f>
        <v>P</v>
      </c>
      <c r="AP5773" s="4" t="s">
        <v>376</v>
      </c>
      <c r="AR5773" s="4" t="s">
        <v>377</v>
      </c>
    </row>
    <row r="5774" spans="1:44" ht="30">
      <c r="A5774" s="4" t="s">
        <v>5</v>
      </c>
      <c r="B5774" s="4">
        <v>45453</v>
      </c>
      <c r="C5774" s="4">
        <v>4494</v>
      </c>
      <c r="D5774" s="5" t="s">
        <v>8342</v>
      </c>
      <c r="E5774" s="6" t="str">
        <f>HYPERLINK("https://inpn.mnhn.fr/espece/cd_nom/45453","Anthracobia subatra (Rehm) M.M.Moser, 1963")</f>
        <v>Anthracobia subatra (Rehm) M.M.Moser, 1963</v>
      </c>
      <c r="V5774" s="7" t="str">
        <f>HYPERLINK("#Liste_rouge!A"&amp;_xlfn.XMATCH("DD",Liste_rouge!A:A,2,1),"DD")</f>
        <v>DD</v>
      </c>
      <c r="AH5774" s="4" t="str">
        <f>HYPERLINK("#Statut_biogéographique!A"&amp;_xlfn.XMATCH("P",Statut_biogéographique!A:A,2,1),"P")</f>
        <v>P</v>
      </c>
      <c r="AP5774" s="4" t="s">
        <v>376</v>
      </c>
      <c r="AR5774" s="4" t="s">
        <v>377</v>
      </c>
    </row>
    <row r="5775" spans="1:44" ht="30">
      <c r="A5775" s="4" t="s">
        <v>5</v>
      </c>
      <c r="B5775" s="4">
        <v>45455</v>
      </c>
      <c r="C5775" s="4">
        <v>5453</v>
      </c>
      <c r="D5775" s="5" t="s">
        <v>8343</v>
      </c>
      <c r="E5775" s="6" t="str">
        <f>HYPERLINK("https://inpn.mnhn.fr/espece/cd_nom/45455","Anthracobia tristis (Sacc., E.Bommer &amp; M.Rousseau) Boud., 1907")</f>
        <v>Anthracobia tristis (Sacc., E.Bommer &amp; M.Rousseau) Boud., 1907</v>
      </c>
      <c r="AH5775" s="4" t="str">
        <f>HYPERLINK("#Statut_biogéographique!A"&amp;_xlfn.XMATCH("P",Statut_biogéographique!A:A,2,1),"P")</f>
        <v>P</v>
      </c>
      <c r="AP5775" s="4" t="s">
        <v>376</v>
      </c>
      <c r="AR5775" s="4" t="s">
        <v>377</v>
      </c>
    </row>
    <row r="5776" spans="1:44" ht="30">
      <c r="A5776" s="4" t="s">
        <v>5</v>
      </c>
      <c r="B5776" s="4">
        <v>45464</v>
      </c>
      <c r="C5776" s="4">
        <v>1119</v>
      </c>
      <c r="D5776" s="5" t="s">
        <v>8344</v>
      </c>
      <c r="E5776" s="6" t="str">
        <f>HYPERLINK("https://inpn.mnhn.fr/espece/cd_nom/45464","Hypomyces chrysospermus Tul. &amp; C.Tul., 1860")</f>
        <v>Hypomyces chrysospermus Tul. &amp; C.Tul., 1860</v>
      </c>
      <c r="AH5776" s="4" t="str">
        <f>HYPERLINK("#Statut_biogéographique!A"&amp;_xlfn.XMATCH("P",Statut_biogéographique!A:A,2,1),"P")</f>
        <v>P</v>
      </c>
      <c r="AP5776" s="4" t="s">
        <v>376</v>
      </c>
      <c r="AR5776" s="4" t="s">
        <v>377</v>
      </c>
    </row>
    <row r="5777" spans="1:44" ht="30">
      <c r="A5777" s="4" t="s">
        <v>5</v>
      </c>
      <c r="B5777" s="4">
        <v>45469</v>
      </c>
      <c r="C5777" s="4">
        <v>2530</v>
      </c>
      <c r="D5777" s="5" t="s">
        <v>8345</v>
      </c>
      <c r="E5777" s="6" t="str">
        <f>HYPERLINK("https://inpn.mnhn.fr/espece/cd_nom/45469","Apiognomonia errabunda (Roberge ex Desm.) Höhn., 1918")</f>
        <v>Apiognomonia errabunda (Roberge ex Desm.) Höhn., 1918</v>
      </c>
      <c r="F5777" s="5" t="s">
        <v>8346</v>
      </c>
      <c r="AH5777" s="4" t="str">
        <f>HYPERLINK("#Statut_biogéographique!A"&amp;_xlfn.XMATCH("P",Statut_biogéographique!A:A,2,1),"P")</f>
        <v>P</v>
      </c>
      <c r="AP5777" s="4" t="s">
        <v>376</v>
      </c>
      <c r="AR5777" s="4" t="s">
        <v>377</v>
      </c>
    </row>
    <row r="5778" spans="1:44">
      <c r="A5778" s="4" t="s">
        <v>5</v>
      </c>
      <c r="B5778" s="4">
        <v>45535</v>
      </c>
      <c r="C5778" s="4">
        <v>6357</v>
      </c>
      <c r="D5778" s="5" t="s">
        <v>8347</v>
      </c>
      <c r="E5778" s="6" t="str">
        <f>HYPERLINK("https://inpn.mnhn.fr/espece/cd_nom/45535","Arachnopeziza aranea (De Not.) Boud., 1907")</f>
        <v>Arachnopeziza aranea (De Not.) Boud., 1907</v>
      </c>
      <c r="AH5778" s="4" t="str">
        <f>HYPERLINK("#Statut_biogéographique!A"&amp;_xlfn.XMATCH("P",Statut_biogéographique!A:A,2,1),"P")</f>
        <v>P</v>
      </c>
      <c r="AP5778" s="4" t="s">
        <v>376</v>
      </c>
      <c r="AR5778" s="4" t="s">
        <v>377</v>
      </c>
    </row>
    <row r="5779" spans="1:44" ht="30">
      <c r="A5779" s="4" t="s">
        <v>5</v>
      </c>
      <c r="B5779" s="4">
        <v>45538</v>
      </c>
      <c r="C5779" s="4">
        <v>2689</v>
      </c>
      <c r="D5779" s="5" t="s">
        <v>8348</v>
      </c>
      <c r="E5779" s="6" t="str">
        <f>HYPERLINK("https://inpn.mnhn.fr/espece/cd_nom/45538","Arachnopeziza aurata Fuckel, 1870")</f>
        <v>Arachnopeziza aurata Fuckel, 1870</v>
      </c>
      <c r="V5779" s="7" t="str">
        <f>HYPERLINK("#Liste_rouge!A"&amp;_xlfn.XMATCH("NT",Liste_rouge!A:A,2,1),"NT")</f>
        <v>NT</v>
      </c>
      <c r="W5779" s="4" t="str">
        <f>HYPERLINK("#Critères_liste_rouge!A$1","pr. A2c")</f>
        <v>pr. A2c</v>
      </c>
      <c r="AH5779" s="4" t="str">
        <f>HYPERLINK("#Statut_biogéographique!A"&amp;_xlfn.XMATCH("P",Statut_biogéographique!A:A,2,1),"P")</f>
        <v>P</v>
      </c>
      <c r="AP5779" s="4" t="s">
        <v>376</v>
      </c>
      <c r="AR5779" s="4" t="s">
        <v>377</v>
      </c>
    </row>
    <row r="5780" spans="1:44" ht="45">
      <c r="A5780" s="4" t="s">
        <v>5</v>
      </c>
      <c r="B5780" s="4">
        <v>45542</v>
      </c>
      <c r="C5780" s="4">
        <v>3849</v>
      </c>
      <c r="D5780" s="5" t="s">
        <v>8349</v>
      </c>
      <c r="E5780" s="6" t="str">
        <f>HYPERLINK("https://inpn.mnhn.fr/espece/cd_nom/45542","Arachnopeziza aurelia (Pers.) Fuckel, 1870")</f>
        <v>Arachnopeziza aurelia (Pers.) Fuckel, 1870</v>
      </c>
      <c r="V5780" s="7" t="str">
        <f>HYPERLINK("#Liste_rouge!A"&amp;_xlfn.XMATCH("NT",Liste_rouge!A:A,2,1),"NT")</f>
        <v>NT</v>
      </c>
      <c r="W5780" s="4" t="str">
        <f>HYPERLINK("#Critères_liste_rouge!A$1","pr. A2c")</f>
        <v>pr. A2c</v>
      </c>
      <c r="Z5780" s="4" t="s">
        <v>447</v>
      </c>
      <c r="AA5780" s="4" t="s">
        <v>448</v>
      </c>
      <c r="AH5780" s="4" t="str">
        <f>HYPERLINK("#Statut_biogéographique!A"&amp;_xlfn.XMATCH("P",Statut_biogéographique!A:A,2,1),"P")</f>
        <v>P</v>
      </c>
      <c r="AP5780" s="4" t="s">
        <v>376</v>
      </c>
      <c r="AR5780" s="4" t="s">
        <v>377</v>
      </c>
    </row>
    <row r="5781" spans="1:44" ht="30">
      <c r="A5781" s="4" t="s">
        <v>5</v>
      </c>
      <c r="B5781" s="4">
        <v>45552</v>
      </c>
      <c r="C5781" s="4">
        <v>6349</v>
      </c>
      <c r="D5781" s="5" t="s">
        <v>8350</v>
      </c>
      <c r="E5781" s="6" t="str">
        <f>HYPERLINK("https://inpn.mnhn.fr/espece/cd_nom/45552","Arachnopeziza trabinelloides (Rehm) Korf, 1952")</f>
        <v>Arachnopeziza trabinelloides (Rehm) Korf, 1952</v>
      </c>
      <c r="AH5781" s="4" t="str">
        <f>HYPERLINK("#Statut_biogéographique!A"&amp;_xlfn.XMATCH("P",Statut_biogéographique!A:A,2,1),"P")</f>
        <v>P</v>
      </c>
      <c r="AP5781" s="4" t="s">
        <v>376</v>
      </c>
      <c r="AR5781" s="4" t="s">
        <v>377</v>
      </c>
    </row>
    <row r="5782" spans="1:44">
      <c r="A5782" s="4" t="s">
        <v>5</v>
      </c>
      <c r="B5782" s="4">
        <v>45565</v>
      </c>
      <c r="C5782" s="4">
        <v>4288</v>
      </c>
      <c r="D5782" s="5" t="s">
        <v>8351</v>
      </c>
      <c r="E5782" s="6" t="str">
        <f>HYPERLINK("https://inpn.mnhn.fr/espece/cd_nom/45565","Arnium mendax N.Lundq., 1972")</f>
        <v>Arnium mendax N.Lundq., 1972</v>
      </c>
      <c r="AH5782" s="4" t="str">
        <f>HYPERLINK("#Statut_biogéographique!A"&amp;_xlfn.XMATCH("P",Statut_biogéographique!A:A,2,1),"P")</f>
        <v>P</v>
      </c>
      <c r="AP5782" s="4" t="s">
        <v>376</v>
      </c>
      <c r="AR5782" s="4" t="s">
        <v>377</v>
      </c>
    </row>
    <row r="5783" spans="1:44" ht="30">
      <c r="A5783" s="4" t="s">
        <v>5</v>
      </c>
      <c r="B5783" s="4">
        <v>45566</v>
      </c>
      <c r="C5783" s="4">
        <v>3990</v>
      </c>
      <c r="D5783" s="5" t="s">
        <v>8352</v>
      </c>
      <c r="E5783" s="6" t="str">
        <f>HYPERLINK("https://inpn.mnhn.fr/espece/cd_nom/45566","Arnium olerum (Fr.) N.Lundq. &amp; J.C.Krug, 1972")</f>
        <v>Arnium olerum (Fr.) N.Lundq. &amp; J.C.Krug, 1972</v>
      </c>
      <c r="AH5783" s="4" t="str">
        <f>HYPERLINK("#Statut_biogéographique!A"&amp;_xlfn.XMATCH("P",Statut_biogéographique!A:A,2,1),"P")</f>
        <v>P</v>
      </c>
      <c r="AP5783" s="4" t="s">
        <v>376</v>
      </c>
      <c r="AR5783" s="4" t="s">
        <v>377</v>
      </c>
    </row>
    <row r="5784" spans="1:44" ht="30">
      <c r="A5784" s="4" t="s">
        <v>5</v>
      </c>
      <c r="B5784" s="4">
        <v>45600</v>
      </c>
      <c r="C5784" s="4">
        <v>3163</v>
      </c>
      <c r="D5784" s="5" t="s">
        <v>8353</v>
      </c>
      <c r="E5784" s="6" t="str">
        <f>HYPERLINK("https://inpn.mnhn.fr/espece/cd_nom/45600","Ascobolus albidus P.Crouan &amp; H.Crouan, 1858")</f>
        <v>Ascobolus albidus P.Crouan &amp; H.Crouan, 1858</v>
      </c>
      <c r="AH5784" s="4" t="str">
        <f>HYPERLINK("#Statut_biogéographique!A"&amp;_xlfn.XMATCH("P",Statut_biogéographique!A:A,2,1),"P")</f>
        <v>P</v>
      </c>
      <c r="AP5784" s="4" t="s">
        <v>376</v>
      </c>
      <c r="AR5784" s="4" t="s">
        <v>377</v>
      </c>
    </row>
    <row r="5785" spans="1:44">
      <c r="A5785" s="4" t="s">
        <v>5</v>
      </c>
      <c r="B5785" s="4">
        <v>45603</v>
      </c>
      <c r="C5785" s="4">
        <v>5154</v>
      </c>
      <c r="D5785" s="5" t="s">
        <v>8354</v>
      </c>
      <c r="E5785" s="6" t="str">
        <f>HYPERLINK("https://inpn.mnhn.fr/espece/cd_nom/45603","Ascobolus behnitziensis Kirschst., 1906")</f>
        <v>Ascobolus behnitziensis Kirschst., 1906</v>
      </c>
      <c r="AH5785" s="4" t="str">
        <f>HYPERLINK("#Statut_biogéographique!A"&amp;_xlfn.XMATCH("P",Statut_biogéographique!A:A,2,1),"P")</f>
        <v>P</v>
      </c>
      <c r="AP5785" s="4" t="s">
        <v>376</v>
      </c>
      <c r="AR5785" s="4" t="s">
        <v>377</v>
      </c>
    </row>
    <row r="5786" spans="1:44">
      <c r="A5786" s="4" t="s">
        <v>5</v>
      </c>
      <c r="B5786" s="4">
        <v>45604</v>
      </c>
      <c r="C5786" s="4">
        <v>106</v>
      </c>
      <c r="D5786" s="5" t="s">
        <v>8355</v>
      </c>
      <c r="E5786" s="6" t="str">
        <f>HYPERLINK("https://inpn.mnhn.fr/espece/cd_nom/45604","Ascobolus boudieri Quél., 1880")</f>
        <v>Ascobolus boudieri Quél., 1880</v>
      </c>
      <c r="AH5786" s="4" t="str">
        <f>HYPERLINK("#Statut_biogéographique!A"&amp;_xlfn.XMATCH("P",Statut_biogéographique!A:A,2,1),"P")</f>
        <v>P</v>
      </c>
      <c r="AP5786" s="4" t="s">
        <v>376</v>
      </c>
      <c r="AR5786" s="4" t="s">
        <v>377</v>
      </c>
    </row>
    <row r="5787" spans="1:44" ht="90">
      <c r="A5787" s="4" t="s">
        <v>5</v>
      </c>
      <c r="B5787" s="4">
        <v>45606</v>
      </c>
      <c r="C5787" s="4">
        <v>3260</v>
      </c>
      <c r="D5787" s="5" t="s">
        <v>8356</v>
      </c>
      <c r="E5787" s="6" t="str">
        <f>HYPERLINK("https://inpn.mnhn.fr/espece/cd_nom/45606","Ascobolus brassicae P.Crouan &amp; H.Crouan, 1857")</f>
        <v>Ascobolus brassicae P.Crouan &amp; H.Crouan, 1857</v>
      </c>
      <c r="AH5787" s="4" t="str">
        <f>HYPERLINK("#Statut_biogéographique!A"&amp;_xlfn.XMATCH("P",Statut_biogéographique!A:A,2,1),"P")</f>
        <v>P</v>
      </c>
      <c r="AP5787" s="4" t="s">
        <v>376</v>
      </c>
      <c r="AR5787" s="4" t="s">
        <v>377</v>
      </c>
    </row>
    <row r="5788" spans="1:44">
      <c r="A5788" s="4" t="s">
        <v>5</v>
      </c>
      <c r="B5788" s="4">
        <v>45610</v>
      </c>
      <c r="C5788" s="4">
        <v>2277</v>
      </c>
      <c r="D5788" s="5">
        <v>868236</v>
      </c>
      <c r="E5788" s="6" t="str">
        <f>HYPERLINK("https://inpn.mnhn.fr/espece/cd_nom/45610","Ascobolus carbonarius P.Karst., 1870")</f>
        <v>Ascobolus carbonarius P.Karst., 1870</v>
      </c>
      <c r="V5788" s="7" t="str">
        <f>HYPERLINK("#Liste_rouge!A"&amp;_xlfn.XMATCH("VU",Liste_rouge!A:A,2,1),"VU")</f>
        <v>VU</v>
      </c>
      <c r="W5788" s="4" t="str">
        <f>HYPERLINK("#Critères_liste_rouge!A$1","B2abiii")</f>
        <v>B2abiii</v>
      </c>
      <c r="Z5788" s="4" t="s">
        <v>443</v>
      </c>
      <c r="AA5788" s="4" t="s">
        <v>444</v>
      </c>
      <c r="AH5788" s="4" t="str">
        <f>HYPERLINK("#Statut_biogéographique!A"&amp;_xlfn.XMATCH("P",Statut_biogéographique!A:A,2,1),"P")</f>
        <v>P</v>
      </c>
      <c r="AP5788" s="4" t="s">
        <v>376</v>
      </c>
      <c r="AR5788" s="4" t="s">
        <v>377</v>
      </c>
    </row>
    <row r="5789" spans="1:44">
      <c r="A5789" s="4" t="s">
        <v>5</v>
      </c>
      <c r="B5789" s="4">
        <v>45615</v>
      </c>
      <c r="C5789" s="4">
        <v>2428</v>
      </c>
      <c r="D5789" s="5" t="s">
        <v>8357</v>
      </c>
      <c r="E5789" s="6" t="str">
        <f>HYPERLINK("https://inpn.mnhn.fr/espece/cd_nom/45615","Ascobolus crenulatus P.Karst., 1868")</f>
        <v>Ascobolus crenulatus P.Karst., 1868</v>
      </c>
      <c r="AH5789" s="4" t="str">
        <f>HYPERLINK("#Statut_biogéographique!A"&amp;_xlfn.XMATCH("P",Statut_biogéographique!A:A,2,1),"P")</f>
        <v>P</v>
      </c>
      <c r="AP5789" s="4" t="s">
        <v>376</v>
      </c>
      <c r="AR5789" s="4" t="s">
        <v>377</v>
      </c>
    </row>
    <row r="5790" spans="1:44">
      <c r="A5790" s="4" t="s">
        <v>5</v>
      </c>
      <c r="B5790" s="4">
        <v>45618</v>
      </c>
      <c r="C5790" s="4">
        <v>3301</v>
      </c>
      <c r="D5790" s="5" t="s">
        <v>8358</v>
      </c>
      <c r="E5790" s="6" t="str">
        <f>HYPERLINK("https://inpn.mnhn.fr/espece/cd_nom/45618","Ascobolus degluptus Brumm., 1967")</f>
        <v>Ascobolus degluptus Brumm., 1967</v>
      </c>
      <c r="AH5790" s="4" t="str">
        <f>HYPERLINK("#Statut_biogéographique!A"&amp;_xlfn.XMATCH("P",Statut_biogéographique!A:A,2,1),"P")</f>
        <v>P</v>
      </c>
      <c r="AP5790" s="4" t="s">
        <v>376</v>
      </c>
      <c r="AR5790" s="4" t="s">
        <v>377</v>
      </c>
    </row>
    <row r="5791" spans="1:44">
      <c r="A5791" s="4" t="s">
        <v>5</v>
      </c>
      <c r="B5791" s="4">
        <v>45619</v>
      </c>
      <c r="C5791" s="4">
        <v>3897</v>
      </c>
      <c r="D5791" s="5" t="s">
        <v>8359</v>
      </c>
      <c r="E5791" s="6" t="str">
        <f>HYPERLINK("https://inpn.mnhn.fr/espece/cd_nom/45619","Ascobolus denudatus Fr., 1822")</f>
        <v>Ascobolus denudatus Fr., 1822</v>
      </c>
      <c r="AH5791" s="4" t="str">
        <f>HYPERLINK("#Statut_biogéographique!A"&amp;_xlfn.XMATCH("P",Statut_biogéographique!A:A,2,1),"P")</f>
        <v>P</v>
      </c>
      <c r="AP5791" s="4" t="s">
        <v>376</v>
      </c>
      <c r="AR5791" s="4" t="s">
        <v>377</v>
      </c>
    </row>
    <row r="5792" spans="1:44">
      <c r="A5792" s="4" t="s">
        <v>5</v>
      </c>
      <c r="B5792" s="4">
        <v>45627</v>
      </c>
      <c r="C5792" s="4">
        <v>3898</v>
      </c>
      <c r="D5792" s="5" t="s">
        <v>8360</v>
      </c>
      <c r="E5792" s="6" t="str">
        <f>HYPERLINK("https://inpn.mnhn.fr/espece/cd_nom/45627","Ascobolus foliicola Berk. &amp; Broome, 1873")</f>
        <v>Ascobolus foliicola Berk. &amp; Broome, 1873</v>
      </c>
      <c r="AH5792" s="4" t="str">
        <f>HYPERLINK("#Statut_biogéographique!A"&amp;_xlfn.XMATCH("P",Statut_biogéographique!A:A,2,1),"P")</f>
        <v>P</v>
      </c>
      <c r="AP5792" s="4" t="s">
        <v>376</v>
      </c>
      <c r="AR5792" s="4" t="s">
        <v>377</v>
      </c>
    </row>
    <row r="5793" spans="1:44" ht="45">
      <c r="A5793" s="4" t="s">
        <v>5</v>
      </c>
      <c r="B5793" s="4">
        <v>45629</v>
      </c>
      <c r="C5793" s="4">
        <v>3165</v>
      </c>
      <c r="D5793" s="5" t="s">
        <v>8361</v>
      </c>
      <c r="E5793" s="6" t="str">
        <f>HYPERLINK("https://inpn.mnhn.fr/espece/cd_nom/45629","Ascobolus furfuraceus Pers., 1794")</f>
        <v>Ascobolus furfuraceus Pers., 1794</v>
      </c>
      <c r="AH5793" s="4" t="str">
        <f>HYPERLINK("#Statut_biogéographique!A"&amp;_xlfn.XMATCH("P",Statut_biogéographique!A:A,2,1),"P")</f>
        <v>P</v>
      </c>
      <c r="AP5793" s="4" t="s">
        <v>376</v>
      </c>
      <c r="AR5793" s="4" t="s">
        <v>377</v>
      </c>
    </row>
    <row r="5794" spans="1:44">
      <c r="A5794" s="4" t="s">
        <v>5</v>
      </c>
      <c r="B5794" s="4">
        <v>45632</v>
      </c>
      <c r="C5794" s="4">
        <v>201</v>
      </c>
      <c r="D5794" s="5" t="s">
        <v>8362</v>
      </c>
      <c r="E5794" s="6" t="str">
        <f>HYPERLINK("https://inpn.mnhn.fr/espece/cd_nom/45632","Ascobolus geophilus Seaver, 1916")</f>
        <v>Ascobolus geophilus Seaver, 1916</v>
      </c>
      <c r="AH5794" s="4" t="str">
        <f>HYPERLINK("#Statut_biogéographique!A"&amp;_xlfn.XMATCH("P",Statut_biogéographique!A:A,2,1),"P")</f>
        <v>P</v>
      </c>
      <c r="AP5794" s="4" t="s">
        <v>376</v>
      </c>
      <c r="AR5794" s="4" t="s">
        <v>377</v>
      </c>
    </row>
    <row r="5795" spans="1:44">
      <c r="A5795" s="4" t="s">
        <v>5</v>
      </c>
      <c r="B5795" s="4">
        <v>45634</v>
      </c>
      <c r="C5795" s="4">
        <v>3899</v>
      </c>
      <c r="D5795" s="5" t="s">
        <v>8363</v>
      </c>
      <c r="E5795" s="6" t="str">
        <f>HYPERLINK("https://inpn.mnhn.fr/espece/cd_nom/45634","Ascobolus lignatilis Alb. &amp; Schwein., 1805")</f>
        <v>Ascobolus lignatilis Alb. &amp; Schwein., 1805</v>
      </c>
      <c r="AH5795" s="4" t="str">
        <f>HYPERLINK("#Statut_biogéographique!A"&amp;_xlfn.XMATCH("P",Statut_biogéographique!A:A,2,1),"P")</f>
        <v>P</v>
      </c>
      <c r="AP5795" s="4" t="s">
        <v>376</v>
      </c>
      <c r="AR5795" s="4" t="s">
        <v>377</v>
      </c>
    </row>
    <row r="5796" spans="1:44">
      <c r="A5796" s="4" t="s">
        <v>5</v>
      </c>
      <c r="B5796" s="4">
        <v>45638</v>
      </c>
      <c r="C5796" s="4">
        <v>5733</v>
      </c>
      <c r="D5796" s="5" t="s">
        <v>8364</v>
      </c>
      <c r="E5796" s="6" t="str">
        <f>HYPERLINK("https://inpn.mnhn.fr/espece/cd_nom/45638","Ascobolus michaudii Boud., 1907")</f>
        <v>Ascobolus michaudii Boud., 1907</v>
      </c>
      <c r="AH5796" s="4" t="str">
        <f>HYPERLINK("#Statut_biogéographique!A"&amp;_xlfn.XMATCH("P",Statut_biogéographique!A:A,2,1),"P")</f>
        <v>P</v>
      </c>
      <c r="AP5796" s="4" t="s">
        <v>376</v>
      </c>
      <c r="AR5796" s="4" t="s">
        <v>377</v>
      </c>
    </row>
    <row r="5797" spans="1:44">
      <c r="A5797" s="4" t="s">
        <v>5</v>
      </c>
      <c r="B5797" s="4">
        <v>45640</v>
      </c>
      <c r="C5797" s="4">
        <v>3900</v>
      </c>
      <c r="D5797" s="5" t="s">
        <v>8365</v>
      </c>
      <c r="E5797" s="6" t="str">
        <f>HYPERLINK("https://inpn.mnhn.fr/espece/cd_nom/45640","Ascobolus minutus Boud., 1888")</f>
        <v>Ascobolus minutus Boud., 1888</v>
      </c>
      <c r="AH5797" s="4" t="str">
        <f>HYPERLINK("#Statut_biogéographique!A"&amp;_xlfn.XMATCH("P",Statut_biogéographique!A:A,2,1),"P")</f>
        <v>P</v>
      </c>
      <c r="AP5797" s="4" t="s">
        <v>376</v>
      </c>
      <c r="AR5797" s="4" t="s">
        <v>377</v>
      </c>
    </row>
    <row r="5798" spans="1:44">
      <c r="A5798" s="4" t="s">
        <v>5</v>
      </c>
      <c r="B5798" s="4">
        <v>45643</v>
      </c>
      <c r="C5798" s="4">
        <v>318</v>
      </c>
      <c r="D5798" s="5" t="s">
        <v>8366</v>
      </c>
      <c r="E5798" s="6" t="str">
        <f>HYPERLINK("https://inpn.mnhn.fr/espece/cd_nom/45643","Ascobolus pusillus Boud., 1878")</f>
        <v>Ascobolus pusillus Boud., 1878</v>
      </c>
      <c r="V5798" s="7" t="str">
        <f>HYPERLINK("#Liste_rouge!A"&amp;_xlfn.XMATCH("DD",Liste_rouge!A:A,2,1),"DD")</f>
        <v>DD</v>
      </c>
      <c r="AH5798" s="4" t="str">
        <f>HYPERLINK("#Statut_biogéographique!A"&amp;_xlfn.XMATCH("P",Statut_biogéographique!A:A,2,1),"P")</f>
        <v>P</v>
      </c>
      <c r="AP5798" s="4" t="s">
        <v>376</v>
      </c>
      <c r="AR5798" s="4" t="s">
        <v>377</v>
      </c>
    </row>
    <row r="5799" spans="1:44">
      <c r="A5799" s="4" t="s">
        <v>5</v>
      </c>
      <c r="B5799" s="4">
        <v>45645</v>
      </c>
      <c r="C5799" s="4">
        <v>571</v>
      </c>
      <c r="D5799" s="5" t="s">
        <v>8367</v>
      </c>
      <c r="E5799" s="6" t="str">
        <f>HYPERLINK("https://inpn.mnhn.fr/espece/cd_nom/45645","Ascobolus roseopurpurascens Rehm, 1895")</f>
        <v>Ascobolus roseopurpurascens Rehm, 1895</v>
      </c>
      <c r="AH5799" s="4" t="str">
        <f>HYPERLINK("#Statut_biogéographique!A"&amp;_xlfn.XMATCH("P",Statut_biogéographique!A:A,2,1),"P")</f>
        <v>P</v>
      </c>
      <c r="AP5799" s="4" t="s">
        <v>376</v>
      </c>
      <c r="AR5799" s="4" t="s">
        <v>377</v>
      </c>
    </row>
    <row r="5800" spans="1:44">
      <c r="A5800" s="4" t="s">
        <v>5</v>
      </c>
      <c r="B5800" s="4">
        <v>45648</v>
      </c>
      <c r="C5800" s="4">
        <v>3164</v>
      </c>
      <c r="D5800" s="5" t="s">
        <v>8368</v>
      </c>
      <c r="E5800" s="6" t="str">
        <f>HYPERLINK("https://inpn.mnhn.fr/espece/cd_nom/45648","Ascobolus stictoideus Speg., 1879")</f>
        <v>Ascobolus stictoideus Speg., 1879</v>
      </c>
      <c r="AH5800" s="4" t="str">
        <f>HYPERLINK("#Statut_biogéographique!A"&amp;_xlfn.XMATCH("P",Statut_biogéographique!A:A,2,1),"P")</f>
        <v>P</v>
      </c>
      <c r="AP5800" s="4" t="s">
        <v>376</v>
      </c>
      <c r="AR5800" s="4" t="s">
        <v>377</v>
      </c>
    </row>
    <row r="5801" spans="1:44" ht="30">
      <c r="A5801" s="4" t="s">
        <v>5</v>
      </c>
      <c r="B5801" s="4">
        <v>45655</v>
      </c>
      <c r="C5801" s="4">
        <v>2918</v>
      </c>
      <c r="D5801" s="5" t="s">
        <v>8369</v>
      </c>
      <c r="E5801" s="6" t="str">
        <f>HYPERLINK("https://inpn.mnhn.fr/espece/cd_nom/45655","Ascocorticium anomalum (Ellis &amp; Harkn.) J.Schröt., 1897")</f>
        <v>Ascocorticium anomalum (Ellis &amp; Harkn.) J.Schröt., 1897</v>
      </c>
      <c r="V5801" s="7" t="str">
        <f>HYPERLINK("#Liste_rouge!A"&amp;_xlfn.XMATCH("DD",Liste_rouge!A:A,2,1),"DD")</f>
        <v>DD</v>
      </c>
      <c r="AH5801" s="4" t="str">
        <f>HYPERLINK("#Statut_biogéographique!A"&amp;_xlfn.XMATCH("P",Statut_biogéographique!A:A,2,1),"P")</f>
        <v>P</v>
      </c>
      <c r="AP5801" s="4" t="s">
        <v>376</v>
      </c>
      <c r="AR5801" s="4" t="s">
        <v>377</v>
      </c>
    </row>
    <row r="5802" spans="1:44" ht="30">
      <c r="A5802" s="4" t="s">
        <v>5</v>
      </c>
      <c r="B5802" s="4">
        <v>45658</v>
      </c>
      <c r="C5802" s="4">
        <v>2186</v>
      </c>
      <c r="D5802" s="5" t="s">
        <v>8370</v>
      </c>
      <c r="E5802" s="6" t="str">
        <f>HYPERLINK("https://inpn.mnhn.fr/espece/cd_nom/45658","Ascocoryne cylichnium (Tul.) Korf, 1971")</f>
        <v>Ascocoryne cylichnium (Tul.) Korf, 1971</v>
      </c>
      <c r="V5802" s="7" t="str">
        <f>HYPERLINK("#Liste_rouge!A"&amp;_xlfn.XMATCH("LC",Liste_rouge!A:A,2,1),"LC")</f>
        <v>LC</v>
      </c>
      <c r="AH5802" s="4" t="str">
        <f>HYPERLINK("#Statut_biogéographique!A"&amp;_xlfn.XMATCH("P",Statut_biogéographique!A:A,2,1),"P")</f>
        <v>P</v>
      </c>
      <c r="AP5802" s="4" t="s">
        <v>376</v>
      </c>
      <c r="AR5802" s="4" t="s">
        <v>377</v>
      </c>
    </row>
    <row r="5803" spans="1:44" ht="45">
      <c r="A5803" s="4" t="s">
        <v>5</v>
      </c>
      <c r="B5803" s="4">
        <v>45662</v>
      </c>
      <c r="C5803" s="4">
        <v>1153</v>
      </c>
      <c r="D5803" s="5" t="s">
        <v>8371</v>
      </c>
      <c r="E5803" s="6" t="str">
        <f>HYPERLINK("https://inpn.mnhn.fr/espece/cd_nom/45662","Ascocoryne sarcoides (Jacq.) J.W.Groves &amp; D.E.Wilson, 1967")</f>
        <v>Ascocoryne sarcoides (Jacq.) J.W.Groves &amp; D.E.Wilson, 1967</v>
      </c>
      <c r="F5803" s="5" t="s">
        <v>8372</v>
      </c>
      <c r="V5803" s="7" t="str">
        <f>HYPERLINK("#Liste_rouge!A"&amp;_xlfn.XMATCH("LC",Liste_rouge!A:A,2,1),"LC")</f>
        <v>LC</v>
      </c>
      <c r="AH5803" s="4" t="str">
        <f>HYPERLINK("#Statut_biogéographique!A"&amp;_xlfn.XMATCH("P",Statut_biogéographique!A:A,2,1),"P")</f>
        <v>P</v>
      </c>
      <c r="AP5803" s="4" t="s">
        <v>376</v>
      </c>
      <c r="AR5803" s="4" t="s">
        <v>377</v>
      </c>
    </row>
    <row r="5804" spans="1:44">
      <c r="A5804" s="4" t="s">
        <v>5</v>
      </c>
      <c r="B5804" s="4">
        <v>45666</v>
      </c>
      <c r="C5804" s="4">
        <v>4869</v>
      </c>
      <c r="D5804" s="5" t="s">
        <v>8373</v>
      </c>
      <c r="E5804" s="6" t="str">
        <f>HYPERLINK("https://inpn.mnhn.fr/espece/cd_nom/45666","Ascocoryne solitaria (Rehm) Dennis, 1971")</f>
        <v>Ascocoryne solitaria (Rehm) Dennis, 1971</v>
      </c>
      <c r="F5804" s="5" t="s">
        <v>8374</v>
      </c>
      <c r="AH5804" s="4" t="str">
        <f>HYPERLINK("#Statut_biogéographique!A"&amp;_xlfn.XMATCH("P",Statut_biogéographique!A:A,2,1),"P")</f>
        <v>P</v>
      </c>
      <c r="AP5804" s="4" t="s">
        <v>376</v>
      </c>
      <c r="AR5804" s="4" t="s">
        <v>377</v>
      </c>
    </row>
    <row r="5805" spans="1:44" ht="30">
      <c r="A5805" s="4" t="s">
        <v>5</v>
      </c>
      <c r="B5805" s="4">
        <v>45672</v>
      </c>
      <c r="C5805" s="4">
        <v>2691</v>
      </c>
      <c r="D5805" s="5" t="s">
        <v>8375</v>
      </c>
      <c r="E5805" s="6" t="str">
        <f>HYPERLINK("https://inpn.mnhn.fr/espece/cd_nom/45672","Ascodichaena rugosa Butin, 1977")</f>
        <v>Ascodichaena rugosa Butin, 1977</v>
      </c>
      <c r="AH5805" s="4" t="str">
        <f>HYPERLINK("#Statut_biogéographique!A"&amp;_xlfn.XMATCH("P",Statut_biogéographique!A:A,2,1),"P")</f>
        <v>P</v>
      </c>
      <c r="AP5805" s="4" t="s">
        <v>376</v>
      </c>
      <c r="AR5805" s="4" t="s">
        <v>377</v>
      </c>
    </row>
    <row r="5806" spans="1:44">
      <c r="A5806" s="4" t="s">
        <v>5</v>
      </c>
      <c r="B5806" s="4">
        <v>45692</v>
      </c>
      <c r="C5806" s="4">
        <v>2692</v>
      </c>
      <c r="D5806" s="5" t="s">
        <v>8376</v>
      </c>
      <c r="E5806" s="6" t="str">
        <f>HYPERLINK("https://inpn.mnhn.fr/espece/cd_nom/45692","Ascotremella faginea (Peck) Seaver, 1930")</f>
        <v>Ascotremella faginea (Peck) Seaver, 1930</v>
      </c>
      <c r="V5806" s="7" t="str">
        <f>HYPERLINK("#Liste_rouge!A"&amp;_xlfn.XMATCH("VU",Liste_rouge!A:A,2,1),"VU")</f>
        <v>VU</v>
      </c>
      <c r="W5806" s="4" t="str">
        <f>HYPERLINK("#Critères_liste_rouge!A$1","D2")</f>
        <v>D2</v>
      </c>
      <c r="Z5806" s="4" t="s">
        <v>447</v>
      </c>
      <c r="AA5806" s="4" t="s">
        <v>448</v>
      </c>
      <c r="AH5806" s="4" t="str">
        <f>HYPERLINK("#Statut_biogéographique!A"&amp;_xlfn.XMATCH("P",Statut_biogéographique!A:A,2,1),"P")</f>
        <v>P</v>
      </c>
      <c r="AP5806" s="4" t="s">
        <v>376</v>
      </c>
      <c r="AR5806" s="4" t="s">
        <v>377</v>
      </c>
    </row>
    <row r="5807" spans="1:44">
      <c r="A5807" s="4" t="s">
        <v>5</v>
      </c>
      <c r="B5807" s="4">
        <v>45696</v>
      </c>
      <c r="C5807" s="4">
        <v>1183</v>
      </c>
      <c r="D5807" s="5" t="s">
        <v>8377</v>
      </c>
      <c r="E5807" s="6" t="str">
        <f>HYPERLINK("https://inpn.mnhn.fr/espece/cd_nom/45696","Ascotricha chartarum Berk., 1838")</f>
        <v>Ascotricha chartarum Berk., 1838</v>
      </c>
      <c r="AH5807" s="4" t="str">
        <f>HYPERLINK("#Statut_biogéographique!A"&amp;_xlfn.XMATCH("P",Statut_biogéographique!A:A,2,1),"P")</f>
        <v>P</v>
      </c>
      <c r="AP5807" s="4" t="s">
        <v>376</v>
      </c>
      <c r="AR5807" s="4" t="s">
        <v>377</v>
      </c>
    </row>
    <row r="5808" spans="1:44">
      <c r="A5808" s="4" t="s">
        <v>5</v>
      </c>
      <c r="B5808" s="4">
        <v>45701</v>
      </c>
      <c r="C5808" s="4">
        <v>4790</v>
      </c>
      <c r="D5808" s="5" t="s">
        <v>8378</v>
      </c>
      <c r="E5808" s="6" t="str">
        <f>HYPERLINK("https://inpn.mnhn.fr/espece/cd_nom/45701","Ascozonus leveilleanus (Phill.) Boud.")</f>
        <v>Ascozonus leveilleanus (Phill.) Boud.</v>
      </c>
      <c r="AH5808" s="4" t="str">
        <f>HYPERLINK("#Statut_biogéographique!A"&amp;_xlfn.XMATCH("P",Statut_biogéographique!A:A,2,1),"P")</f>
        <v>P</v>
      </c>
      <c r="AP5808" s="4" t="s">
        <v>376</v>
      </c>
      <c r="AR5808" s="4" t="s">
        <v>377</v>
      </c>
    </row>
    <row r="5809" spans="1:44" ht="30">
      <c r="A5809" s="4" t="s">
        <v>5</v>
      </c>
      <c r="B5809" s="4">
        <v>45706</v>
      </c>
      <c r="C5809" s="4">
        <v>2441</v>
      </c>
      <c r="D5809" s="5" t="s">
        <v>8379</v>
      </c>
      <c r="E5809" s="6" t="str">
        <f>HYPERLINK("https://inpn.mnhn.fr/espece/cd_nom/45706","Ascozonus woolhopensis (Renny) Boud., 1907")</f>
        <v>Ascozonus woolhopensis (Renny) Boud., 1907</v>
      </c>
      <c r="V5809" s="7" t="str">
        <f>HYPERLINK("#Liste_rouge!A"&amp;_xlfn.XMATCH("DD",Liste_rouge!A:A,2,1),"DD")</f>
        <v>DD</v>
      </c>
      <c r="AH5809" s="4" t="str">
        <f>HYPERLINK("#Statut_biogéographique!A"&amp;_xlfn.XMATCH("P",Statut_biogéographique!A:A,2,1),"P")</f>
        <v>P</v>
      </c>
      <c r="AP5809" s="4" t="s">
        <v>376</v>
      </c>
      <c r="AR5809" s="4" t="s">
        <v>377</v>
      </c>
    </row>
    <row r="5810" spans="1:44" ht="30">
      <c r="A5810" s="4" t="s">
        <v>5</v>
      </c>
      <c r="B5810" s="4">
        <v>45714</v>
      </c>
      <c r="C5810" s="4">
        <v>6446</v>
      </c>
      <c r="D5810" s="5" t="s">
        <v>8380</v>
      </c>
      <c r="E5810" s="6" t="str">
        <f>HYPERLINK("https://inpn.mnhn.fr/espece/cd_nom/45714","Asteromassaria macrospora (Desm.) Höhn., 1917")</f>
        <v>Asteromassaria macrospora (Desm.) Höhn., 1917</v>
      </c>
      <c r="AH5810" s="4" t="str">
        <f>HYPERLINK("#Statut_biogéographique!A"&amp;_xlfn.XMATCH("P",Statut_biogéographique!A:A,2,1),"P")</f>
        <v>P</v>
      </c>
      <c r="AP5810" s="4" t="s">
        <v>376</v>
      </c>
      <c r="AR5810" s="4" t="s">
        <v>377</v>
      </c>
    </row>
    <row r="5811" spans="1:44">
      <c r="A5811" s="4" t="s">
        <v>5</v>
      </c>
      <c r="B5811" s="4">
        <v>45748</v>
      </c>
      <c r="C5811" s="4">
        <v>6641</v>
      </c>
      <c r="D5811" s="5" t="s">
        <v>8381</v>
      </c>
      <c r="E5811" s="6" t="str">
        <f>HYPERLINK("https://inpn.mnhn.fr/espece/cd_nom/45748","Niptera excelsior (P.Karst.) Dennis, 1972")</f>
        <v>Niptera excelsior (P.Karst.) Dennis, 1972</v>
      </c>
      <c r="AH5811" s="4" t="str">
        <f>HYPERLINK("#Statut_biogéographique!A"&amp;_xlfn.XMATCH("P",Statut_biogéographique!A:A,2,1),"P")</f>
        <v>P</v>
      </c>
      <c r="AP5811" s="4" t="s">
        <v>376</v>
      </c>
      <c r="AR5811" s="4" t="s">
        <v>377</v>
      </c>
    </row>
    <row r="5812" spans="1:44">
      <c r="A5812" s="4" t="s">
        <v>5</v>
      </c>
      <c r="B5812" s="4">
        <v>45777</v>
      </c>
      <c r="C5812" s="4">
        <v>1775</v>
      </c>
      <c r="D5812" s="5" t="s">
        <v>8382</v>
      </c>
      <c r="E5812" s="6" t="str">
        <f>HYPERLINK("https://inpn.mnhn.fr/espece/cd_nom/45777","Bertia moriformis (Tode) De Not., 1844")</f>
        <v>Bertia moriformis (Tode) De Not., 1844</v>
      </c>
      <c r="V5812" s="7" t="str">
        <f>HYPERLINK("#Liste_rouge!A"&amp;_xlfn.XMATCH("LC",Liste_rouge!A:A,2,1),"LC")</f>
        <v>LC</v>
      </c>
      <c r="AH5812" s="4" t="str">
        <f>HYPERLINK("#Statut_biogéographique!A"&amp;_xlfn.XMATCH("P",Statut_biogéographique!A:A,2,1),"P")</f>
        <v>P</v>
      </c>
      <c r="AP5812" s="4" t="s">
        <v>376</v>
      </c>
      <c r="AR5812" s="4" t="s">
        <v>377</v>
      </c>
    </row>
    <row r="5813" spans="1:44" ht="30">
      <c r="A5813" s="4" t="s">
        <v>5</v>
      </c>
      <c r="B5813" s="4">
        <v>45789</v>
      </c>
      <c r="C5813" s="4">
        <v>1773</v>
      </c>
      <c r="D5813" s="5" t="s">
        <v>8383</v>
      </c>
      <c r="E5813" s="6" t="str">
        <f>HYPERLINK("https://inpn.mnhn.fr/espece/cd_nom/45789","Biscogniauxia nummularia (Bull.) Kuntze, 1891")</f>
        <v>Biscogniauxia nummularia (Bull.) Kuntze, 1891</v>
      </c>
      <c r="V5813" s="7" t="str">
        <f>HYPERLINK("#Liste_rouge!A"&amp;_xlfn.XMATCH("LC",Liste_rouge!A:A,2,1),"LC")</f>
        <v>LC</v>
      </c>
      <c r="AH5813" s="4" t="str">
        <f>HYPERLINK("#Statut_biogéographique!A"&amp;_xlfn.XMATCH("P",Statut_biogéographique!A:A,2,1),"P")</f>
        <v>P</v>
      </c>
      <c r="AP5813" s="4" t="s">
        <v>376</v>
      </c>
      <c r="AR5813" s="4" t="s">
        <v>377</v>
      </c>
    </row>
    <row r="5814" spans="1:44" ht="30">
      <c r="A5814" s="4" t="s">
        <v>5</v>
      </c>
      <c r="B5814" s="4">
        <v>45799</v>
      </c>
      <c r="C5814" s="4">
        <v>456</v>
      </c>
      <c r="D5814" s="5" t="s">
        <v>8384</v>
      </c>
      <c r="E5814" s="6" t="str">
        <f>HYPERLINK("https://inpn.mnhn.fr/espece/cd_nom/45799","Bisporella citrina (Batsch) Korf &amp; S.E.Carp., 1974")</f>
        <v>Bisporella citrina (Batsch) Korf &amp; S.E.Carp., 1974</v>
      </c>
      <c r="F5814" s="5" t="s">
        <v>8385</v>
      </c>
      <c r="V5814" s="7" t="str">
        <f>HYPERLINK("#Liste_rouge!A"&amp;_xlfn.XMATCH("LC",Liste_rouge!A:A,2,1),"LC")</f>
        <v>LC</v>
      </c>
      <c r="AH5814" s="4" t="str">
        <f>HYPERLINK("#Statut_biogéographique!A"&amp;_xlfn.XMATCH("P",Statut_biogéographique!A:A,2,1),"P")</f>
        <v>P</v>
      </c>
      <c r="AP5814" s="4" t="s">
        <v>376</v>
      </c>
      <c r="AR5814" s="4" t="s">
        <v>377</v>
      </c>
    </row>
    <row r="5815" spans="1:44" ht="45">
      <c r="A5815" s="4" t="s">
        <v>5</v>
      </c>
      <c r="B5815" s="4">
        <v>45807</v>
      </c>
      <c r="C5815" s="4">
        <v>607</v>
      </c>
      <c r="D5815" s="5" t="s">
        <v>8386</v>
      </c>
      <c r="E5815" s="6" t="str">
        <f>HYPERLINK("https://inpn.mnhn.fr/espece/cd_nom/45807","Bisporella pallescens (Pers.) S.E.Carp. &amp; Korf, 1974")</f>
        <v>Bisporella pallescens (Pers.) S.E.Carp. &amp; Korf, 1974</v>
      </c>
      <c r="F5815" s="5" t="s">
        <v>8387</v>
      </c>
      <c r="V5815" s="7" t="str">
        <f>HYPERLINK("#Liste_rouge!A"&amp;_xlfn.XMATCH("DD",Liste_rouge!A:A,2,1),"DD")</f>
        <v>DD</v>
      </c>
      <c r="AH5815" s="4" t="str">
        <f>HYPERLINK("#Statut_biogéographique!A"&amp;_xlfn.XMATCH("P",Statut_biogéographique!A:A,2,1),"P")</f>
        <v>P</v>
      </c>
      <c r="AP5815" s="4" t="s">
        <v>376</v>
      </c>
      <c r="AR5815" s="4" t="s">
        <v>377</v>
      </c>
    </row>
    <row r="5816" spans="1:44" ht="30">
      <c r="A5816" s="4" t="s">
        <v>5</v>
      </c>
      <c r="B5816" s="4">
        <v>45810</v>
      </c>
      <c r="C5816" s="4">
        <v>6632</v>
      </c>
      <c r="D5816" s="5" t="s">
        <v>8388</v>
      </c>
      <c r="E5816" s="6" t="str">
        <f>HYPERLINK("https://inpn.mnhn.fr/espece/cd_nom/45810","Bisporella scolochloae (De Not.) Spooner, 1984")</f>
        <v>Bisporella scolochloae (De Not.) Spooner, 1984</v>
      </c>
      <c r="AH5816" s="4" t="str">
        <f>HYPERLINK("#Statut_biogéographique!A"&amp;_xlfn.XMATCH("P",Statut_biogéographique!A:A,2,1),"P")</f>
        <v>P</v>
      </c>
      <c r="AP5816" s="4" t="s">
        <v>376</v>
      </c>
      <c r="AR5816" s="4" t="s">
        <v>377</v>
      </c>
    </row>
    <row r="5817" spans="1:44">
      <c r="A5817" s="4" t="s">
        <v>5</v>
      </c>
      <c r="B5817" s="4">
        <v>45812</v>
      </c>
      <c r="C5817" s="4">
        <v>4867</v>
      </c>
      <c r="D5817" s="5">
        <v>45805</v>
      </c>
      <c r="E5817" s="6" t="str">
        <f>HYPERLINK("https://inpn.mnhn.fr/espece/cd_nom/45812","Bisporella subpallida (Rehm) Dennis, 1978")</f>
        <v>Bisporella subpallida (Rehm) Dennis, 1978</v>
      </c>
      <c r="F5817" s="5" t="s">
        <v>8389</v>
      </c>
      <c r="AH5817" s="4" t="str">
        <f>HYPERLINK("#Statut_biogéographique!A"&amp;_xlfn.XMATCH("P",Statut_biogéographique!A:A,2,1),"P")</f>
        <v>P</v>
      </c>
      <c r="AP5817" s="4" t="s">
        <v>376</v>
      </c>
      <c r="AR5817" s="4" t="s">
        <v>377</v>
      </c>
    </row>
    <row r="5818" spans="1:44">
      <c r="A5818" s="4" t="s">
        <v>5</v>
      </c>
      <c r="B5818" s="4">
        <v>45815</v>
      </c>
      <c r="C5818" s="4">
        <v>2352</v>
      </c>
      <c r="D5818" s="5" t="s">
        <v>8390</v>
      </c>
      <c r="E5818" s="6" t="str">
        <f>HYPERLINK("https://inpn.mnhn.fr/espece/cd_nom/45815","Bisporella sulfurina (Quél.) S.E.Carp., 1974")</f>
        <v>Bisporella sulfurina (Quél.) S.E.Carp., 1974</v>
      </c>
      <c r="F5818" s="5" t="s">
        <v>8391</v>
      </c>
      <c r="AH5818" s="4" t="str">
        <f>HYPERLINK("#Statut_biogéographique!A"&amp;_xlfn.XMATCH("P",Statut_biogéographique!A:A,2,1),"P")</f>
        <v>P</v>
      </c>
      <c r="AP5818" s="4" t="s">
        <v>376</v>
      </c>
      <c r="AR5818" s="4" t="s">
        <v>377</v>
      </c>
    </row>
    <row r="5819" spans="1:44" ht="30">
      <c r="A5819" s="4" t="s">
        <v>5</v>
      </c>
      <c r="B5819" s="4">
        <v>45819</v>
      </c>
      <c r="C5819" s="4">
        <v>3991</v>
      </c>
      <c r="D5819" s="5" t="s">
        <v>8392</v>
      </c>
      <c r="E5819" s="6" t="str">
        <f>HYPERLINK("https://inpn.mnhn.fr/espece/cd_nom/45819","Bombardia bombarda (Batsch) J.Schröt., 1893")</f>
        <v>Bombardia bombarda (Batsch) J.Schröt., 1893</v>
      </c>
      <c r="AH5819" s="4" t="str">
        <f>HYPERLINK("#Statut_biogéographique!A"&amp;_xlfn.XMATCH("P",Statut_biogéographique!A:A,2,1),"P")</f>
        <v>P</v>
      </c>
      <c r="AP5819" s="4" t="s">
        <v>376</v>
      </c>
      <c r="AR5819" s="4" t="s">
        <v>377</v>
      </c>
    </row>
    <row r="5820" spans="1:44" ht="30">
      <c r="A5820" s="4" t="s">
        <v>5</v>
      </c>
      <c r="B5820" s="4">
        <v>45823</v>
      </c>
      <c r="C5820" s="4">
        <v>665</v>
      </c>
      <c r="D5820" s="5">
        <v>45823</v>
      </c>
      <c r="E5820" s="6" t="str">
        <f>HYPERLINK("https://inpn.mnhn.fr/espece/cd_nom/45823","Bombardioidea stercoris (DC.) N.Lundq., 1972")</f>
        <v>Bombardioidea stercoris (DC.) N.Lundq., 1972</v>
      </c>
      <c r="AH5820" s="4" t="str">
        <f>HYPERLINK("#Statut_biogéographique!A"&amp;_xlfn.XMATCH("P",Statut_biogéographique!A:A,2,1),"P")</f>
        <v>P</v>
      </c>
      <c r="AP5820" s="4" t="s">
        <v>376</v>
      </c>
      <c r="AR5820" s="4" t="s">
        <v>377</v>
      </c>
    </row>
    <row r="5821" spans="1:44" ht="30">
      <c r="A5821" s="4" t="s">
        <v>5</v>
      </c>
      <c r="B5821" s="4">
        <v>45827</v>
      </c>
      <c r="C5821" s="4">
        <v>3136</v>
      </c>
      <c r="D5821" s="5" t="s">
        <v>8393</v>
      </c>
      <c r="E5821" s="6" t="str">
        <f>HYPERLINK("https://inpn.mnhn.fr/espece/cd_nom/45827","Botryosphaeria dothidea (Moug.) Ces. &amp; De Not., 1863")</f>
        <v>Botryosphaeria dothidea (Moug.) Ces. &amp; De Not., 1863</v>
      </c>
      <c r="AH5821" s="4" t="str">
        <f>HYPERLINK("#Statut_biogéographique!A"&amp;_xlfn.XMATCH("P",Statut_biogéographique!A:A,2,1),"P")</f>
        <v>P</v>
      </c>
      <c r="AP5821" s="4" t="s">
        <v>376</v>
      </c>
      <c r="AR5821" s="4" t="s">
        <v>377</v>
      </c>
    </row>
    <row r="5822" spans="1:44" ht="30">
      <c r="A5822" s="4" t="s">
        <v>5</v>
      </c>
      <c r="B5822" s="4">
        <v>45828</v>
      </c>
      <c r="C5822" s="4">
        <v>3973</v>
      </c>
      <c r="D5822" s="5" t="s">
        <v>8394</v>
      </c>
      <c r="E5822" s="6" t="str">
        <f>HYPERLINK("https://inpn.mnhn.fr/espece/cd_nom/45828","Botryosphaeria festucae (Lib.) Arx &amp; E.Müll., 1954")</f>
        <v>Botryosphaeria festucae (Lib.) Arx &amp; E.Müll., 1954</v>
      </c>
      <c r="AH5822" s="4" t="str">
        <f>HYPERLINK("#Statut_biogéographique!A"&amp;_xlfn.XMATCH("P",Statut_biogéographique!A:A,2,1),"P")</f>
        <v>P</v>
      </c>
      <c r="AP5822" s="4" t="s">
        <v>376</v>
      </c>
      <c r="AR5822" s="4" t="s">
        <v>377</v>
      </c>
    </row>
    <row r="5823" spans="1:44" ht="30">
      <c r="A5823" s="4" t="s">
        <v>5</v>
      </c>
      <c r="B5823" s="4">
        <v>45833</v>
      </c>
      <c r="C5823" s="4">
        <v>3536</v>
      </c>
      <c r="D5823" s="5" t="s">
        <v>8395</v>
      </c>
      <c r="E5823" s="6" t="str">
        <f>HYPERLINK("https://inpn.mnhn.fr/espece/cd_nom/45833","Botryosphaeria obtusa (Schwein.) Shoemaker, 1964")</f>
        <v>Botryosphaeria obtusa (Schwein.) Shoemaker, 1964</v>
      </c>
      <c r="AH5823" s="4" t="str">
        <f>HYPERLINK("#Statut_biogéographique!A"&amp;_xlfn.XMATCH("P",Statut_biogéographique!A:A,2,1),"P")</f>
        <v>P</v>
      </c>
      <c r="AP5823" s="4" t="s">
        <v>376</v>
      </c>
      <c r="AR5823" s="4" t="s">
        <v>377</v>
      </c>
    </row>
    <row r="5824" spans="1:44">
      <c r="A5824" s="4" t="s">
        <v>5</v>
      </c>
      <c r="B5824" s="4">
        <v>45840</v>
      </c>
      <c r="C5824" s="4">
        <v>6232</v>
      </c>
      <c r="D5824" s="5" t="s">
        <v>8396</v>
      </c>
      <c r="E5824" s="6" t="str">
        <f>HYPERLINK("https://inpn.mnhn.fr/espece/cd_nom/45840","Botryosphaeria stevensii Shoemaker, 1964")</f>
        <v>Botryosphaeria stevensii Shoemaker, 1964</v>
      </c>
      <c r="AH5824" s="4" t="str">
        <f>HYPERLINK("#Statut_biogéographique!A"&amp;_xlfn.XMATCH("P",Statut_biogéographique!A:A,2,1),"P")</f>
        <v>P</v>
      </c>
      <c r="AP5824" s="4" t="s">
        <v>376</v>
      </c>
      <c r="AR5824" s="4" t="s">
        <v>377</v>
      </c>
    </row>
    <row r="5825" spans="1:44" ht="30">
      <c r="A5825" s="4" t="s">
        <v>5</v>
      </c>
      <c r="B5825" s="4">
        <v>45843</v>
      </c>
      <c r="C5825" s="4">
        <v>5875</v>
      </c>
      <c r="D5825" s="5" t="s">
        <v>8397</v>
      </c>
      <c r="E5825" s="6" t="str">
        <f>HYPERLINK("https://inpn.mnhn.fr/espece/cd_nom/45843","Botryotinia calthae Hennebert &amp; M.E.Elliott, 1963")</f>
        <v>Botryotinia calthae Hennebert &amp; M.E.Elliott, 1963</v>
      </c>
      <c r="Z5825" s="4" t="s">
        <v>443</v>
      </c>
      <c r="AA5825" s="4" t="s">
        <v>444</v>
      </c>
      <c r="AH5825" s="4" t="str">
        <f>HYPERLINK("#Statut_biogéographique!A"&amp;_xlfn.XMATCH("P",Statut_biogéographique!A:A,2,1),"P")</f>
        <v>P</v>
      </c>
      <c r="AP5825" s="4" t="s">
        <v>376</v>
      </c>
      <c r="AR5825" s="4" t="s">
        <v>377</v>
      </c>
    </row>
    <row r="5826" spans="1:44" ht="30">
      <c r="A5826" s="4" t="s">
        <v>5</v>
      </c>
      <c r="B5826" s="4">
        <v>45859</v>
      </c>
      <c r="C5826" s="4">
        <v>848</v>
      </c>
      <c r="D5826" s="5" t="s">
        <v>8398</v>
      </c>
      <c r="E5826" s="6" t="str">
        <f>HYPERLINK("https://inpn.mnhn.fr/espece/cd_nom/45859","Botryotinia ranunculi Hennebert &amp; J.W.Groves, 1963")</f>
        <v>Botryotinia ranunculi Hennebert &amp; J.W.Groves, 1963</v>
      </c>
      <c r="AH5826" s="4" t="str">
        <f>HYPERLINK("#Statut_biogéographique!A"&amp;_xlfn.XMATCH("P",Statut_biogéographique!A:A,2,1),"P")</f>
        <v>P</v>
      </c>
      <c r="AP5826" s="4" t="s">
        <v>376</v>
      </c>
      <c r="AR5826" s="4" t="s">
        <v>377</v>
      </c>
    </row>
    <row r="5827" spans="1:44">
      <c r="A5827" s="4" t="s">
        <v>5</v>
      </c>
      <c r="B5827" s="4">
        <v>45865</v>
      </c>
      <c r="C5827" s="4">
        <v>3740</v>
      </c>
      <c r="D5827" s="5" t="s">
        <v>8399</v>
      </c>
      <c r="E5827" s="6" t="str">
        <f>HYPERLINK("https://inpn.mnhn.fr/espece/cd_nom/45865","Boudiera areolata Cooke &amp; W.Phillips, 1877")</f>
        <v>Boudiera areolata Cooke &amp; W.Phillips, 1877</v>
      </c>
      <c r="V5827" s="7" t="str">
        <f>HYPERLINK("#Liste_rouge!A"&amp;_xlfn.XMATCH("DD",Liste_rouge!A:A,2,1),"DD")</f>
        <v>DD</v>
      </c>
      <c r="AH5827" s="4" t="str">
        <f>HYPERLINK("#Statut_biogéographique!A"&amp;_xlfn.XMATCH("P",Statut_biogéographique!A:A,2,1),"P")</f>
        <v>P</v>
      </c>
      <c r="AP5827" s="4" t="s">
        <v>376</v>
      </c>
      <c r="AR5827" s="4" t="s">
        <v>377</v>
      </c>
    </row>
    <row r="5828" spans="1:44">
      <c r="A5828" s="4" t="s">
        <v>5</v>
      </c>
      <c r="B5828" s="4">
        <v>45873</v>
      </c>
      <c r="C5828" s="4">
        <v>3905</v>
      </c>
      <c r="D5828" s="5" t="s">
        <v>8400</v>
      </c>
      <c r="E5828" s="6" t="str">
        <f>HYPERLINK("https://inpn.mnhn.fr/espece/cd_nom/45873","Brunnipila fuscescens (Pers.) Baral, 1985")</f>
        <v>Brunnipila fuscescens (Pers.) Baral, 1985</v>
      </c>
      <c r="AH5828" s="4" t="str">
        <f>HYPERLINK("#Statut_biogéographique!A"&amp;_xlfn.XMATCH("P",Statut_biogéographique!A:A,2,1),"P")</f>
        <v>P</v>
      </c>
      <c r="AP5828" s="4" t="s">
        <v>376</v>
      </c>
      <c r="AR5828" s="4" t="s">
        <v>377</v>
      </c>
    </row>
    <row r="5829" spans="1:44" ht="30">
      <c r="A5829" s="4" t="s">
        <v>5</v>
      </c>
      <c r="B5829" s="4">
        <v>45896</v>
      </c>
      <c r="C5829" s="4">
        <v>5185</v>
      </c>
      <c r="D5829" s="5" t="s">
        <v>8401</v>
      </c>
      <c r="E5829" s="6" t="str">
        <f>HYPERLINK("https://inpn.mnhn.fr/espece/cd_nom/45896","Bryoscyphus dicrani (Ade &amp; Höhn.) Spooner, 1984")</f>
        <v>Bryoscyphus dicrani (Ade &amp; Höhn.) Spooner, 1984</v>
      </c>
      <c r="AH5829" s="4" t="str">
        <f>HYPERLINK("#Statut_biogéographique!A"&amp;_xlfn.XMATCH("P",Statut_biogéographique!A:A,2,1),"P")</f>
        <v>P</v>
      </c>
      <c r="AP5829" s="4" t="s">
        <v>376</v>
      </c>
      <c r="AR5829" s="4" t="s">
        <v>377</v>
      </c>
    </row>
    <row r="5830" spans="1:44">
      <c r="A5830" s="4" t="s">
        <v>5</v>
      </c>
      <c r="B5830" s="4">
        <v>45908</v>
      </c>
      <c r="C5830" s="4">
        <v>1295</v>
      </c>
      <c r="D5830" s="5" t="s">
        <v>8402</v>
      </c>
      <c r="E5830" s="6" t="str">
        <f>HYPERLINK("https://inpn.mnhn.fr/espece/cd_nom/45908","Bulgaria inquinans (Pers.) Fr., 1822")</f>
        <v>Bulgaria inquinans (Pers.) Fr., 1822</v>
      </c>
      <c r="F5830" s="5" t="s">
        <v>8403</v>
      </c>
      <c r="V5830" s="7" t="str">
        <f>HYPERLINK("#Liste_rouge!A"&amp;_xlfn.XMATCH("LC",Liste_rouge!A:A,2,1),"LC")</f>
        <v>LC</v>
      </c>
      <c r="AH5830" s="4" t="str">
        <f>HYPERLINK("#Statut_biogéographique!A"&amp;_xlfn.XMATCH("P",Statut_biogéographique!A:A,2,1),"P")</f>
        <v>P</v>
      </c>
      <c r="AP5830" s="4" t="s">
        <v>376</v>
      </c>
      <c r="AR5830" s="4" t="s">
        <v>377</v>
      </c>
    </row>
    <row r="5831" spans="1:44" ht="30">
      <c r="A5831" s="4" t="s">
        <v>5</v>
      </c>
      <c r="B5831" s="4">
        <v>45927</v>
      </c>
      <c r="C5831" s="4">
        <v>821</v>
      </c>
      <c r="D5831" s="5" t="s">
        <v>8404</v>
      </c>
      <c r="E5831" s="6" t="str">
        <f>HYPERLINK("https://inpn.mnhn.fr/espece/cd_nom/45927","Hypomyces lateritius (Fr.) Tul. &amp; C.Tul., 1860")</f>
        <v>Hypomyces lateritius (Fr.) Tul. &amp; C.Tul., 1860</v>
      </c>
      <c r="AH5831" s="4" t="str">
        <f>HYPERLINK("#Statut_biogéographique!A"&amp;_xlfn.XMATCH("P",Statut_biogéographique!A:A,2,1),"P")</f>
        <v>P</v>
      </c>
      <c r="AP5831" s="4" t="s">
        <v>376</v>
      </c>
      <c r="AR5831" s="4" t="s">
        <v>377</v>
      </c>
    </row>
    <row r="5832" spans="1:44" ht="45">
      <c r="A5832" s="4" t="s">
        <v>5</v>
      </c>
      <c r="B5832" s="4">
        <v>45945</v>
      </c>
      <c r="D5832" s="5" t="s">
        <v>8405</v>
      </c>
      <c r="E5832" s="6" t="str">
        <f>HYPERLINK("https://inpn.mnhn.fr/espece/cd_nom/45945","Calicium salicinum Pers., 1794")</f>
        <v>Calicium salicinum Pers., 1794</v>
      </c>
      <c r="AH5832" s="4" t="str">
        <f>HYPERLINK("#Statut_biogéographique!A"&amp;_xlfn.XMATCH("P",Statut_biogéographique!A:A,2,1),"P")</f>
        <v>P</v>
      </c>
      <c r="AP5832" s="4" t="s">
        <v>376</v>
      </c>
      <c r="AR5832" s="4" t="s">
        <v>377</v>
      </c>
    </row>
    <row r="5833" spans="1:44" ht="30">
      <c r="A5833" s="4" t="s">
        <v>5</v>
      </c>
      <c r="B5833" s="4">
        <v>45949</v>
      </c>
      <c r="C5833" s="4">
        <v>7124</v>
      </c>
      <c r="D5833" s="5" t="s">
        <v>8406</v>
      </c>
      <c r="E5833" s="6" t="str">
        <f>HYPERLINK("https://inpn.mnhn.fr/espece/cd_nom/45949","Calloria neglecta (Lib.) B.Hein, 1976")</f>
        <v>Calloria neglecta (Lib.) B.Hein, 1976</v>
      </c>
      <c r="AH5833" s="4" t="str">
        <f>HYPERLINK("#Statut_biogéographique!A"&amp;_xlfn.XMATCH("P",Statut_biogéographique!A:A,2,1),"P")</f>
        <v>P</v>
      </c>
      <c r="AP5833" s="4" t="s">
        <v>376</v>
      </c>
      <c r="AR5833" s="4" t="s">
        <v>377</v>
      </c>
    </row>
    <row r="5834" spans="1:44" ht="30">
      <c r="A5834" s="4" t="s">
        <v>5</v>
      </c>
      <c r="B5834" s="4">
        <v>45962</v>
      </c>
      <c r="C5834" s="4">
        <v>3501</v>
      </c>
      <c r="D5834" s="5" t="s">
        <v>8407</v>
      </c>
      <c r="E5834" s="6" t="str">
        <f>HYPERLINK("https://inpn.mnhn.fr/espece/cd_nom/45962","Caloscypha fulgens (Pers.) Boud., 1907")</f>
        <v>Caloscypha fulgens (Pers.) Boud., 1907</v>
      </c>
      <c r="F5834" s="5" t="s">
        <v>8408</v>
      </c>
      <c r="V5834" s="7" t="str">
        <f>HYPERLINK("#Liste_rouge!A"&amp;_xlfn.XMATCH("LC",Liste_rouge!A:A,2,1),"LC")</f>
        <v>LC</v>
      </c>
      <c r="Z5834" s="4" t="s">
        <v>443</v>
      </c>
      <c r="AA5834" s="4" t="s">
        <v>444</v>
      </c>
      <c r="AH5834" s="4" t="str">
        <f>HYPERLINK("#Statut_biogéographique!A"&amp;_xlfn.XMATCH("P",Statut_biogéographique!A:A,2,1),"P")</f>
        <v>P</v>
      </c>
      <c r="AP5834" s="4" t="s">
        <v>376</v>
      </c>
      <c r="AR5834" s="4" t="s">
        <v>377</v>
      </c>
    </row>
    <row r="5835" spans="1:44" ht="45">
      <c r="A5835" s="4" t="s">
        <v>5</v>
      </c>
      <c r="B5835" s="4">
        <v>45988</v>
      </c>
      <c r="C5835" s="4">
        <v>6331</v>
      </c>
      <c r="D5835" s="5" t="s">
        <v>8409</v>
      </c>
      <c r="E5835" s="6" t="str">
        <f>HYPERLINK("https://inpn.mnhn.fr/espece/cd_nom/45988","Calycellina chlorinella (Ces.) Dennis, 1975")</f>
        <v>Calycellina chlorinella (Ces.) Dennis, 1975</v>
      </c>
      <c r="AH5835" s="4" t="str">
        <f>HYPERLINK("#Statut_biogéographique!A"&amp;_xlfn.XMATCH("P",Statut_biogéographique!A:A,2,1),"P")</f>
        <v>P</v>
      </c>
      <c r="AP5835" s="4" t="s">
        <v>376</v>
      </c>
      <c r="AR5835" s="4" t="s">
        <v>377</v>
      </c>
    </row>
    <row r="5836" spans="1:44" ht="30">
      <c r="A5836" s="4" t="s">
        <v>5</v>
      </c>
      <c r="B5836" s="4">
        <v>46000</v>
      </c>
      <c r="C5836" s="4">
        <v>5573</v>
      </c>
      <c r="D5836" s="5" t="s">
        <v>8410</v>
      </c>
      <c r="E5836" s="6" t="str">
        <f>HYPERLINK("https://inpn.mnhn.fr/espece/cd_nom/46000","Calycellina juniperina (K.Holm &amp; L.Holm) Spooner, 1984")</f>
        <v>Calycellina juniperina (K.Holm &amp; L.Holm) Spooner, 1984</v>
      </c>
      <c r="AH5836" s="4" t="str">
        <f>HYPERLINK("#Statut_biogéographique!A"&amp;_xlfn.XMATCH("P",Statut_biogéographique!A:A,2,1),"P")</f>
        <v>P</v>
      </c>
      <c r="AP5836" s="4" t="s">
        <v>376</v>
      </c>
      <c r="AR5836" s="4" t="s">
        <v>377</v>
      </c>
    </row>
    <row r="5837" spans="1:44">
      <c r="A5837" s="4" t="s">
        <v>5</v>
      </c>
      <c r="B5837" s="4">
        <v>46062</v>
      </c>
      <c r="C5837" s="4">
        <v>3114</v>
      </c>
      <c r="D5837" s="5" t="s">
        <v>8411</v>
      </c>
      <c r="E5837" s="6" t="str">
        <f>HYPERLINK("https://inpn.mnhn.fr/espece/cd_nom/46062","Camarops polysperma (Mont.) J.H.Mill., 1930")</f>
        <v>Camarops polysperma (Mont.) J.H.Mill., 1930</v>
      </c>
      <c r="V5837" s="7" t="str">
        <f>HYPERLINK("#Liste_rouge!A"&amp;_xlfn.XMATCH("DD",Liste_rouge!A:A,2,1),"DD")</f>
        <v>DD</v>
      </c>
      <c r="Z5837" s="4" t="s">
        <v>443</v>
      </c>
      <c r="AA5837" s="4" t="s">
        <v>444</v>
      </c>
      <c r="AH5837" s="4" t="str">
        <f>HYPERLINK("#Statut_biogéographique!A"&amp;_xlfn.XMATCH("P",Statut_biogéographique!A:A,2,1),"P")</f>
        <v>P</v>
      </c>
      <c r="AP5837" s="4" t="s">
        <v>376</v>
      </c>
      <c r="AR5837" s="4" t="s">
        <v>377</v>
      </c>
    </row>
    <row r="5838" spans="1:44">
      <c r="A5838" s="4" t="s">
        <v>5</v>
      </c>
      <c r="B5838" s="4">
        <v>46073</v>
      </c>
      <c r="C5838" s="4">
        <v>4254</v>
      </c>
      <c r="D5838" s="5" t="s">
        <v>8412</v>
      </c>
      <c r="E5838" s="6" t="str">
        <f>HYPERLINK("https://inpn.mnhn.fr/espece/cd_nom/46073","Catinella olivacea (Batsch) Boud., 1907")</f>
        <v>Catinella olivacea (Batsch) Boud., 1907</v>
      </c>
      <c r="V5838" s="7" t="str">
        <f>HYPERLINK("#Liste_rouge!A"&amp;_xlfn.XMATCH("DD",Liste_rouge!A:A,2,1),"DD")</f>
        <v>DD</v>
      </c>
      <c r="Z5838" s="4" t="s">
        <v>443</v>
      </c>
      <c r="AA5838" s="4" t="s">
        <v>444</v>
      </c>
      <c r="AH5838" s="4" t="str">
        <f>HYPERLINK("#Statut_biogéographique!A"&amp;_xlfn.XMATCH("P",Statut_biogéographique!A:A,2,1),"P")</f>
        <v>P</v>
      </c>
      <c r="AP5838" s="4" t="s">
        <v>376</v>
      </c>
      <c r="AR5838" s="4" t="s">
        <v>377</v>
      </c>
    </row>
    <row r="5839" spans="1:44">
      <c r="A5839" s="4" t="s">
        <v>5</v>
      </c>
      <c r="B5839" s="4">
        <v>46077</v>
      </c>
      <c r="C5839" s="4">
        <v>4139</v>
      </c>
      <c r="D5839" s="5" t="s">
        <v>8413</v>
      </c>
      <c r="E5839" s="6" t="str">
        <f>HYPERLINK("https://inpn.mnhn.fr/espece/cd_nom/46077","Caudospora taleola (Fr.) Starbäck, 1889")</f>
        <v>Caudospora taleola (Fr.) Starbäck, 1889</v>
      </c>
      <c r="AH5839" s="4" t="str">
        <f>HYPERLINK("#Statut_biogéographique!A"&amp;_xlfn.XMATCH("P",Statut_biogéographique!A:A,2,1),"P")</f>
        <v>P</v>
      </c>
      <c r="AP5839" s="4" t="s">
        <v>376</v>
      </c>
      <c r="AR5839" s="4" t="s">
        <v>377</v>
      </c>
    </row>
    <row r="5840" spans="1:44">
      <c r="A5840" s="4" t="s">
        <v>5</v>
      </c>
      <c r="B5840" s="4">
        <v>46087</v>
      </c>
      <c r="C5840" s="4">
        <v>4244</v>
      </c>
      <c r="D5840" s="5" t="s">
        <v>8414</v>
      </c>
      <c r="E5840" s="6" t="str">
        <f>HYPERLINK("https://inpn.mnhn.fr/espece/cd_nom/46087","Cenangium ferruginosum Fr., 1818")</f>
        <v>Cenangium ferruginosum Fr., 1818</v>
      </c>
      <c r="V5840" s="7" t="str">
        <f>HYPERLINK("#Liste_rouge!A"&amp;_xlfn.XMATCH("DD",Liste_rouge!A:A,2,1),"DD")</f>
        <v>DD</v>
      </c>
      <c r="AH5840" s="4" t="str">
        <f>HYPERLINK("#Statut_biogéographique!A"&amp;_xlfn.XMATCH("P",Statut_biogéographique!A:A,2,1),"P")</f>
        <v>P</v>
      </c>
      <c r="AP5840" s="4" t="s">
        <v>376</v>
      </c>
      <c r="AR5840" s="4" t="s">
        <v>377</v>
      </c>
    </row>
    <row r="5841" spans="1:44" ht="30">
      <c r="A5841" s="4" t="s">
        <v>5</v>
      </c>
      <c r="B5841" s="4">
        <v>46102</v>
      </c>
      <c r="C5841" s="4">
        <v>2694</v>
      </c>
      <c r="D5841" s="5" t="s">
        <v>8415</v>
      </c>
      <c r="E5841" s="6" t="str">
        <f>HYPERLINK("https://inpn.mnhn.fr/espece/cd_nom/46102","Ceratosphaeria lampadophora (Berk. &amp; Broome) Niessl, 1876")</f>
        <v>Ceratosphaeria lampadophora (Berk. &amp; Broome) Niessl, 1876</v>
      </c>
      <c r="AH5841" s="4" t="str">
        <f>HYPERLINK("#Statut_biogéographique!A"&amp;_xlfn.XMATCH("P",Statut_biogéographique!A:A,2,1),"P")</f>
        <v>P</v>
      </c>
      <c r="AP5841" s="4" t="s">
        <v>376</v>
      </c>
      <c r="AR5841" s="4" t="s">
        <v>377</v>
      </c>
    </row>
    <row r="5842" spans="1:44">
      <c r="A5842" s="4" t="s">
        <v>5</v>
      </c>
      <c r="B5842" s="4">
        <v>46114</v>
      </c>
      <c r="C5842" s="4">
        <v>3965</v>
      </c>
      <c r="D5842" s="5" t="s">
        <v>8416</v>
      </c>
      <c r="E5842" s="6" t="str">
        <f>HYPERLINK("https://inpn.mnhn.fr/espece/cd_nom/46114","Cercophora coprophila (Fr.) N.Lundq., 1972")</f>
        <v>Cercophora coprophila (Fr.) N.Lundq., 1972</v>
      </c>
      <c r="AH5842" s="4" t="str">
        <f>HYPERLINK("#Statut_biogéographique!A"&amp;_xlfn.XMATCH("P",Statut_biogéographique!A:A,2,1),"P")</f>
        <v>P</v>
      </c>
      <c r="AP5842" s="4" t="s">
        <v>376</v>
      </c>
      <c r="AR5842" s="4" t="s">
        <v>377</v>
      </c>
    </row>
    <row r="5843" spans="1:44">
      <c r="A5843" s="4" t="s">
        <v>5</v>
      </c>
      <c r="B5843" s="4">
        <v>46118</v>
      </c>
      <c r="C5843" s="4">
        <v>4291</v>
      </c>
      <c r="D5843" s="5" t="s">
        <v>8417</v>
      </c>
      <c r="E5843" s="6" t="str">
        <f>HYPERLINK("https://inpn.mnhn.fr/espece/cd_nom/46118","Cercophora mirabilis Fuckel, 1870")</f>
        <v>Cercophora mirabilis Fuckel, 1870</v>
      </c>
      <c r="AH5843" s="4" t="str">
        <f>HYPERLINK("#Statut_biogéographique!A"&amp;_xlfn.XMATCH("P",Statut_biogéographique!A:A,2,1),"P")</f>
        <v>P</v>
      </c>
      <c r="AP5843" s="4" t="s">
        <v>376</v>
      </c>
      <c r="AR5843" s="4" t="s">
        <v>377</v>
      </c>
    </row>
    <row r="5844" spans="1:44">
      <c r="A5844" s="4" t="s">
        <v>5</v>
      </c>
      <c r="B5844" s="4">
        <v>461253</v>
      </c>
      <c r="C5844" s="4">
        <v>4300</v>
      </c>
      <c r="D5844" s="5" t="s">
        <v>8418</v>
      </c>
      <c r="E5844" s="6" t="str">
        <f>HYPERLINK("https://inpn.mnhn.fr/espece/cd_nom/461253","Cortinarius russeoides M.M.Moser, 1952")</f>
        <v>Cortinarius russeoides M.M.Moser, 1952</v>
      </c>
      <c r="V5844" s="7" t="str">
        <f>HYPERLINK("#Liste_rouge!A"&amp;_xlfn.XMATCH("LC",Liste_rouge!A:A,2,1),"LC")</f>
        <v>LC</v>
      </c>
      <c r="AH5844" s="4" t="str">
        <f>HYPERLINK("#Statut_biogéographique!A"&amp;_xlfn.XMATCH("P",Statut_biogéographique!A:A,2,1),"P")</f>
        <v>P</v>
      </c>
      <c r="AP5844" s="4" t="s">
        <v>376</v>
      </c>
      <c r="AR5844" s="4" t="s">
        <v>377</v>
      </c>
    </row>
    <row r="5845" spans="1:44" ht="30">
      <c r="A5845" s="4" t="s">
        <v>5</v>
      </c>
      <c r="B5845" s="4">
        <v>461266</v>
      </c>
      <c r="C5845" s="4">
        <v>5475</v>
      </c>
      <c r="D5845" s="5" t="s">
        <v>8419</v>
      </c>
      <c r="E5845" s="6" t="str">
        <f>HYPERLINK("https://inpn.mnhn.fr/espece/cd_nom/461266","Cortinarius reverendissimus Bidaud, Moënne-Locc. &amp; Reumaux, 2000")</f>
        <v>Cortinarius reverendissimus Bidaud, Moënne-Locc. &amp; Reumaux, 2000</v>
      </c>
      <c r="F5845" s="5" t="s">
        <v>6243</v>
      </c>
      <c r="V5845" s="7" t="str">
        <f>HYPERLINK("#Liste_rouge!A"&amp;_xlfn.XMATCH("DD",Liste_rouge!A:A,2,1),"DD")</f>
        <v>DD</v>
      </c>
      <c r="AH5845" s="4" t="str">
        <f>HYPERLINK("#Statut_biogéographique!A"&amp;_xlfn.XMATCH("P",Statut_biogéographique!A:A,2,1),"P")</f>
        <v>P</v>
      </c>
      <c r="AP5845" s="4" t="s">
        <v>376</v>
      </c>
      <c r="AR5845" s="4" t="s">
        <v>377</v>
      </c>
    </row>
    <row r="5846" spans="1:44" ht="30">
      <c r="A5846" s="4" t="s">
        <v>5</v>
      </c>
      <c r="B5846" s="4">
        <v>461270</v>
      </c>
      <c r="C5846" s="4">
        <v>4073</v>
      </c>
      <c r="D5846" s="5" t="s">
        <v>8420</v>
      </c>
      <c r="E5846" s="6" t="str">
        <f>HYPERLINK("https://inpn.mnhn.fr/espece/cd_nom/461270","Cortinarius rickenii Rob.Henry ex Bidaud, Moënne-Locc. &amp; Reumaux, 2000")</f>
        <v>Cortinarius rickenii Rob.Henry ex Bidaud, Moënne-Locc. &amp; Reumaux, 2000</v>
      </c>
      <c r="V5846" s="7" t="str">
        <f>HYPERLINK("#Liste_rouge!A"&amp;_xlfn.XMATCH("DD",Liste_rouge!A:A,2,1),"DD")</f>
        <v>DD</v>
      </c>
      <c r="AH5846" s="4" t="str">
        <f>HYPERLINK("#Statut_biogéographique!A"&amp;_xlfn.XMATCH("P",Statut_biogéographique!A:A,2,1),"P")</f>
        <v>P</v>
      </c>
      <c r="AP5846" s="4" t="s">
        <v>376</v>
      </c>
      <c r="AR5846" s="4" t="s">
        <v>377</v>
      </c>
    </row>
    <row r="5847" spans="1:44">
      <c r="A5847" s="4" t="s">
        <v>5</v>
      </c>
      <c r="B5847" s="4">
        <v>461271</v>
      </c>
      <c r="C5847" s="4">
        <v>1661</v>
      </c>
      <c r="D5847" s="5" t="s">
        <v>8421</v>
      </c>
      <c r="E5847" s="6" t="str">
        <f>HYPERLINK("https://inpn.mnhn.fr/espece/cd_nom/461271","Cortinarius riculatus Fr., 1838")</f>
        <v>Cortinarius riculatus Fr., 1838</v>
      </c>
      <c r="V5847" s="7" t="str">
        <f>HYPERLINK("#Liste_rouge!A"&amp;_xlfn.XMATCH("NT",Liste_rouge!A:A,2,1),"NT")</f>
        <v>NT</v>
      </c>
      <c r="W5847" s="4" t="str">
        <f>HYPERLINK("#Critères_liste_rouge!A$1","pr. B2abiii")</f>
        <v>pr. B2abiii</v>
      </c>
      <c r="AH5847" s="4" t="str">
        <f>HYPERLINK("#Statut_biogéographique!A"&amp;_xlfn.XMATCH("P",Statut_biogéographique!A:A,2,1),"P")</f>
        <v>P</v>
      </c>
      <c r="AP5847" s="4" t="s">
        <v>376</v>
      </c>
      <c r="AR5847" s="4" t="s">
        <v>377</v>
      </c>
    </row>
    <row r="5848" spans="1:44" ht="30">
      <c r="A5848" s="4" t="s">
        <v>5</v>
      </c>
      <c r="B5848" s="4">
        <v>461279</v>
      </c>
      <c r="C5848" s="4">
        <v>3894</v>
      </c>
      <c r="D5848" s="5" t="s">
        <v>8422</v>
      </c>
      <c r="E5848" s="6" t="str">
        <f>HYPERLINK("https://inpn.mnhn.fr/espece/cd_nom/461279","Cortinarius rosargutus Chevassut &amp; Rob.Henry, 1978")</f>
        <v>Cortinarius rosargutus Chevassut &amp; Rob.Henry, 1978</v>
      </c>
      <c r="V5848" s="7" t="str">
        <f>HYPERLINK("#Liste_rouge!A"&amp;_xlfn.XMATCH("VU",Liste_rouge!A:A,2,1),"VU")</f>
        <v>VU</v>
      </c>
      <c r="W5848" s="4" t="str">
        <f>HYPERLINK("#Critères_liste_rouge!A$1","D2")</f>
        <v>D2</v>
      </c>
      <c r="Z5848" s="4" t="s">
        <v>443</v>
      </c>
      <c r="AA5848" s="4" t="s">
        <v>444</v>
      </c>
      <c r="AH5848" s="4" t="str">
        <f>HYPERLINK("#Statut_biogéographique!A"&amp;_xlfn.XMATCH("P",Statut_biogéographique!A:A,2,1),"P")</f>
        <v>P</v>
      </c>
      <c r="AP5848" s="4" t="s">
        <v>376</v>
      </c>
      <c r="AR5848" s="4" t="s">
        <v>377</v>
      </c>
    </row>
    <row r="5849" spans="1:44" ht="30">
      <c r="A5849" s="4" t="s">
        <v>5</v>
      </c>
      <c r="B5849" s="4">
        <v>461299</v>
      </c>
      <c r="C5849" s="4">
        <v>6093</v>
      </c>
      <c r="D5849" s="5" t="s">
        <v>8423</v>
      </c>
      <c r="E5849" s="6" t="str">
        <f>HYPERLINK("https://inpn.mnhn.fr/espece/cd_nom/461299","Cortinarius salmoneotomentosus Rob.Henry, 1977")</f>
        <v>Cortinarius salmoneotomentosus Rob.Henry, 1977</v>
      </c>
      <c r="AH5849" s="4" t="str">
        <f>HYPERLINK("#Statut_biogéographique!A"&amp;_xlfn.XMATCH("P",Statut_biogéographique!A:A,2,1),"P")</f>
        <v>P</v>
      </c>
      <c r="AP5849" s="4" t="s">
        <v>376</v>
      </c>
      <c r="AR5849" s="4" t="s">
        <v>377</v>
      </c>
    </row>
    <row r="5850" spans="1:44">
      <c r="A5850" s="4" t="s">
        <v>5</v>
      </c>
      <c r="B5850" s="4">
        <v>461301</v>
      </c>
      <c r="C5850" s="4">
        <v>3003</v>
      </c>
      <c r="D5850" s="5" t="s">
        <v>8424</v>
      </c>
      <c r="E5850" s="6" t="str">
        <f>HYPERLINK("https://inpn.mnhn.fr/espece/cd_nom/461301","Cortinarius rusticus P.Karst., 1883")</f>
        <v>Cortinarius rusticus P.Karst., 1883</v>
      </c>
      <c r="F5850" s="5" t="s">
        <v>8425</v>
      </c>
      <c r="V5850" s="7" t="str">
        <f>HYPERLINK("#Liste_rouge!A"&amp;_xlfn.XMATCH("NT",Liste_rouge!A:A,2,1),"NT")</f>
        <v>NT</v>
      </c>
      <c r="W5850" s="4" t="str">
        <f>HYPERLINK("#Critères_liste_rouge!A$1","pr. B2abiii")</f>
        <v>pr. B2abiii</v>
      </c>
      <c r="AH5850" s="4" t="str">
        <f>HYPERLINK("#Statut_biogéographique!A"&amp;_xlfn.XMATCH("P",Statut_biogéographique!A:A,2,1),"P")</f>
        <v>P</v>
      </c>
      <c r="AP5850" s="4" t="s">
        <v>376</v>
      </c>
      <c r="AR5850" s="4" t="s">
        <v>377</v>
      </c>
    </row>
    <row r="5851" spans="1:44">
      <c r="A5851" s="4" t="s">
        <v>5</v>
      </c>
      <c r="B5851" s="4">
        <v>461313</v>
      </c>
      <c r="C5851" s="4">
        <v>385</v>
      </c>
      <c r="D5851" s="5" t="s">
        <v>8426</v>
      </c>
      <c r="E5851" s="6" t="str">
        <f>HYPERLINK("https://inpn.mnhn.fr/espece/cd_nom/461313","Cortinarius scutulatus (Fr.) Fr., 1838")</f>
        <v>Cortinarius scutulatus (Fr.) Fr., 1838</v>
      </c>
      <c r="F5851" s="5" t="s">
        <v>8427</v>
      </c>
      <c r="V5851" s="7" t="str">
        <f>HYPERLINK("#Liste_rouge!A"&amp;_xlfn.XMATCH("LC",Liste_rouge!A:A,2,1),"LC")</f>
        <v>LC</v>
      </c>
      <c r="AH5851" s="4" t="str">
        <f>HYPERLINK("#Statut_biogéographique!A"&amp;_xlfn.XMATCH("P",Statut_biogéographique!A:A,2,1),"P")</f>
        <v>P</v>
      </c>
      <c r="AP5851" s="4" t="s">
        <v>376</v>
      </c>
      <c r="AR5851" s="4" t="s">
        <v>377</v>
      </c>
    </row>
    <row r="5852" spans="1:44">
      <c r="A5852" s="4" t="s">
        <v>5</v>
      </c>
      <c r="B5852" s="4">
        <v>461319</v>
      </c>
      <c r="C5852" s="4">
        <v>6734</v>
      </c>
      <c r="D5852" s="5">
        <v>461319</v>
      </c>
      <c r="E5852" s="6" t="str">
        <f>HYPERLINK("https://inpn.mnhn.fr/espece/cd_nom/461319","Cortinarius pseudorusticus Bidaud, 2002")</f>
        <v>Cortinarius pseudorusticus Bidaud, 2002</v>
      </c>
      <c r="F5852" s="5" t="s">
        <v>8428</v>
      </c>
      <c r="AH5852" s="4" t="str">
        <f>HYPERLINK("#Statut_biogéographique!A"&amp;_xlfn.XMATCH("P",Statut_biogéographique!A:A,2,1),"P")</f>
        <v>P</v>
      </c>
      <c r="AP5852" s="4" t="s">
        <v>376</v>
      </c>
      <c r="AR5852" s="4" t="s">
        <v>377</v>
      </c>
    </row>
    <row r="5853" spans="1:44">
      <c r="A5853" s="4" t="s">
        <v>5</v>
      </c>
      <c r="B5853" s="4">
        <v>461320</v>
      </c>
      <c r="C5853" s="4">
        <v>5806</v>
      </c>
      <c r="D5853" s="5" t="s">
        <v>8429</v>
      </c>
      <c r="E5853" s="6" t="str">
        <f>HYPERLINK("https://inpn.mnhn.fr/espece/cd_nom/461320","Cortinarius pseudorubricosus Reumaux, 1990")</f>
        <v>Cortinarius pseudorubricosus Reumaux, 1990</v>
      </c>
      <c r="F5853" s="5" t="s">
        <v>8430</v>
      </c>
      <c r="AH5853" s="4" t="str">
        <f>HYPERLINK("#Statut_biogéographique!A"&amp;_xlfn.XMATCH("P",Statut_biogéographique!A:A,2,1),"P")</f>
        <v>P</v>
      </c>
      <c r="AP5853" s="4" t="s">
        <v>376</v>
      </c>
      <c r="AR5853" s="4" t="s">
        <v>377</v>
      </c>
    </row>
    <row r="5854" spans="1:44">
      <c r="A5854" s="4" t="s">
        <v>5</v>
      </c>
      <c r="B5854" s="4">
        <v>461327</v>
      </c>
      <c r="C5854" s="4">
        <v>6092</v>
      </c>
      <c r="D5854" s="5">
        <v>461327</v>
      </c>
      <c r="E5854" s="6" t="str">
        <f>HYPERLINK("https://inpn.mnhn.fr/espece/cd_nom/461327","Cortinarius pseudoparvus Bidaud, 2001")</f>
        <v>Cortinarius pseudoparvus Bidaud, 2001</v>
      </c>
      <c r="F5854" s="5" t="s">
        <v>8431</v>
      </c>
      <c r="AH5854" s="4" t="str">
        <f>HYPERLINK("#Statut_biogéographique!A"&amp;_xlfn.XMATCH("P",Statut_biogéographique!A:A,2,1),"P")</f>
        <v>P</v>
      </c>
      <c r="AP5854" s="4" t="s">
        <v>376</v>
      </c>
      <c r="AR5854" s="4" t="s">
        <v>377</v>
      </c>
    </row>
    <row r="5855" spans="1:44">
      <c r="A5855" s="4" t="s">
        <v>5</v>
      </c>
      <c r="B5855" s="4">
        <v>461328</v>
      </c>
      <c r="C5855" s="4">
        <v>6092</v>
      </c>
      <c r="D5855" s="5" t="s">
        <v>8432</v>
      </c>
      <c r="E5855" s="6" t="str">
        <f>HYPERLINK("https://inpn.mnhn.fr/espece/cd_nom/461328","Cortinarius pseudoparvus Bidaud, 2001")</f>
        <v>Cortinarius pseudoparvus Bidaud, 2001</v>
      </c>
      <c r="F5855" s="5" t="s">
        <v>8431</v>
      </c>
      <c r="AH5855" s="4" t="str">
        <f>HYPERLINK("#Statut_biogéographique!A"&amp;_xlfn.XMATCH("P",Statut_biogéographique!A:A,2,1),"P")</f>
        <v>P</v>
      </c>
      <c r="AP5855" s="4" t="s">
        <v>376</v>
      </c>
      <c r="AR5855" s="4" t="s">
        <v>377</v>
      </c>
    </row>
    <row r="5856" spans="1:44" ht="30">
      <c r="A5856" s="4" t="s">
        <v>5</v>
      </c>
      <c r="B5856" s="4">
        <v>461329</v>
      </c>
      <c r="C5856" s="4">
        <v>3217</v>
      </c>
      <c r="D5856" s="5" t="s">
        <v>8433</v>
      </c>
      <c r="E5856" s="6" t="str">
        <f>HYPERLINK("https://inpn.mnhn.fr/espece/cd_nom/461329","Cortinarius rhaebopus (M.M.Moser) M.M.Moser, 1967")</f>
        <v>Cortinarius rhaebopus (M.M.Moser) M.M.Moser, 1967</v>
      </c>
      <c r="F5856" s="5" t="s">
        <v>8434</v>
      </c>
      <c r="Z5856" s="4" t="s">
        <v>447</v>
      </c>
      <c r="AA5856" s="4" t="s">
        <v>448</v>
      </c>
      <c r="AH5856" s="4" t="str">
        <f>HYPERLINK("#Statut_biogéographique!A"&amp;_xlfn.XMATCH("P",Statut_biogéographique!A:A,2,1),"P")</f>
        <v>P</v>
      </c>
      <c r="AP5856" s="4" t="s">
        <v>376</v>
      </c>
      <c r="AR5856" s="4" t="s">
        <v>377</v>
      </c>
    </row>
    <row r="5857" spans="1:44" ht="30">
      <c r="A5857" s="4" t="s">
        <v>5</v>
      </c>
      <c r="B5857" s="4">
        <v>46133</v>
      </c>
      <c r="D5857" s="5" t="s">
        <v>8435</v>
      </c>
      <c r="E5857" s="6" t="str">
        <f>HYPERLINK("https://inpn.mnhn.fr/espece/cd_nom/46133","Chaenotheca chrysocephala (Ach.) Th.Fr., 1860")</f>
        <v>Chaenotheca chrysocephala (Ach.) Th.Fr., 1860</v>
      </c>
      <c r="AH5857" s="4" t="str">
        <f>HYPERLINK("#Statut_biogéographique!A"&amp;_xlfn.XMATCH("P",Statut_biogéographique!A:A,2,1),"P")</f>
        <v>P</v>
      </c>
      <c r="AP5857" s="4" t="s">
        <v>376</v>
      </c>
      <c r="AR5857" s="4" t="s">
        <v>377</v>
      </c>
    </row>
    <row r="5858" spans="1:44" ht="30">
      <c r="A5858" s="4" t="s">
        <v>5</v>
      </c>
      <c r="B5858" s="4">
        <v>461332</v>
      </c>
      <c r="C5858" s="4">
        <v>1889</v>
      </c>
      <c r="D5858" s="5">
        <v>461332</v>
      </c>
      <c r="E5858" s="6" t="str">
        <f>HYPERLINK("https://inpn.mnhn.fr/espece/cd_nom/461332","Cortinarius pseudocyanites Rob.Henry ex Bidaud &amp; Reumaux, 2005")</f>
        <v>Cortinarius pseudocyanites Rob.Henry ex Bidaud &amp; Reumaux, 2005</v>
      </c>
      <c r="F5858" s="5" t="s">
        <v>8436</v>
      </c>
      <c r="V5858" s="7" t="str">
        <f>HYPERLINK("#Liste_rouge!A"&amp;_xlfn.XMATCH("NT",Liste_rouge!A:A,2,1),"NT")</f>
        <v>NT</v>
      </c>
      <c r="W5858" s="4" t="str">
        <f>HYPERLINK("#Critères_liste_rouge!A$1","pr. B2abiii")</f>
        <v>pr. B2abiii</v>
      </c>
      <c r="Z5858" s="4" t="s">
        <v>447</v>
      </c>
      <c r="AA5858" s="4" t="s">
        <v>448</v>
      </c>
      <c r="AH5858" s="4" t="str">
        <f>HYPERLINK("#Statut_biogéographique!A"&amp;_xlfn.XMATCH("P",Statut_biogéographique!A:A,2,1),"P")</f>
        <v>P</v>
      </c>
      <c r="AP5858" s="4" t="s">
        <v>376</v>
      </c>
      <c r="AR5858" s="4" t="s">
        <v>377</v>
      </c>
    </row>
    <row r="5859" spans="1:44" ht="30">
      <c r="A5859" s="4" t="s">
        <v>5</v>
      </c>
      <c r="B5859" s="4">
        <v>461333</v>
      </c>
      <c r="C5859" s="4">
        <v>3239</v>
      </c>
      <c r="D5859" s="5" t="s">
        <v>8437</v>
      </c>
      <c r="E5859" s="6" t="str">
        <f>HYPERLINK("https://inpn.mnhn.fr/espece/cd_nom/461333","Cortinarius pseudocyanopus Rob.Henry, 1996")</f>
        <v>Cortinarius pseudocyanopus Rob.Henry, 1996</v>
      </c>
      <c r="F5859" s="5" t="s">
        <v>8438</v>
      </c>
      <c r="V5859" s="7" t="str">
        <f>HYPERLINK("#Liste_rouge!A"&amp;_xlfn.XMATCH("EN",Liste_rouge!A:A,2,1),"EN")</f>
        <v>EN</v>
      </c>
      <c r="W5859" s="4" t="str">
        <f>HYPERLINK("#Critères_liste_rouge!A$1","B2abiii")</f>
        <v>B2abiii</v>
      </c>
      <c r="Z5859" s="4" t="s">
        <v>443</v>
      </c>
      <c r="AA5859" s="4" t="s">
        <v>444</v>
      </c>
      <c r="AH5859" s="4" t="str">
        <f>HYPERLINK("#Statut_biogéographique!A"&amp;_xlfn.XMATCH("P",Statut_biogéographique!A:A,2,1),"P")</f>
        <v>P</v>
      </c>
      <c r="AP5859" s="4" t="s">
        <v>376</v>
      </c>
      <c r="AR5859" s="4" t="s">
        <v>377</v>
      </c>
    </row>
    <row r="5860" spans="1:44" ht="30">
      <c r="A5860" s="4" t="s">
        <v>5</v>
      </c>
      <c r="B5860" s="4">
        <v>461335</v>
      </c>
      <c r="C5860" s="4">
        <v>1921</v>
      </c>
      <c r="D5860" s="5" t="s">
        <v>8439</v>
      </c>
      <c r="E5860" s="6" t="str">
        <f>HYPERLINK("https://inpn.mnhn.fr/espece/cd_nom/461335","Cortinarius pseudoduracinus Rob.Henry, 1938")</f>
        <v>Cortinarius pseudoduracinus Rob.Henry, 1938</v>
      </c>
      <c r="F5860" s="5" t="s">
        <v>8440</v>
      </c>
      <c r="V5860" s="7" t="str">
        <f>HYPERLINK("#Liste_rouge!A"&amp;_xlfn.XMATCH("DD",Liste_rouge!A:A,2,1),"DD")</f>
        <v>DD</v>
      </c>
      <c r="AH5860" s="4" t="str">
        <f>HYPERLINK("#Statut_biogéographique!A"&amp;_xlfn.XMATCH("P",Statut_biogéographique!A:A,2,1),"P")</f>
        <v>P</v>
      </c>
      <c r="AP5860" s="4" t="s">
        <v>376</v>
      </c>
      <c r="AR5860" s="4" t="s">
        <v>377</v>
      </c>
    </row>
    <row r="5861" spans="1:44" ht="30">
      <c r="A5861" s="4" t="s">
        <v>5</v>
      </c>
      <c r="B5861" s="4">
        <v>461344</v>
      </c>
      <c r="C5861" s="4">
        <v>6324</v>
      </c>
      <c r="D5861" s="5">
        <v>461344</v>
      </c>
      <c r="E5861" s="6" t="str">
        <f>HYPERLINK("https://inpn.mnhn.fr/espece/cd_nom/461344","Cortinarius variiformis var. luteocingulatus (Bidaud &amp; Fillion) Bidaud, 2000")</f>
        <v>Cortinarius variiformis var. luteocingulatus (Bidaud &amp; Fillion) Bidaud, 2000</v>
      </c>
      <c r="AH5861" s="4" t="str">
        <f>HYPERLINK("#Statut_biogéographique!A"&amp;_xlfn.XMATCH("P",Statut_biogéographique!A:A,2,1),"P")</f>
        <v>P</v>
      </c>
      <c r="AP5861" s="4" t="s">
        <v>376</v>
      </c>
      <c r="AR5861" s="4" t="s">
        <v>377</v>
      </c>
    </row>
    <row r="5862" spans="1:44" ht="30">
      <c r="A5862" s="4" t="s">
        <v>5</v>
      </c>
      <c r="B5862" s="4">
        <v>461347</v>
      </c>
      <c r="C5862" s="4">
        <v>3004</v>
      </c>
      <c r="D5862" s="5" t="s">
        <v>8441</v>
      </c>
      <c r="E5862" s="6" t="str">
        <f>HYPERLINK("https://inpn.mnhn.fr/espece/cd_nom/461347","Cortinarius pseudosulfureus R. Henry ex P.D. Orton")</f>
        <v>Cortinarius pseudosulfureus R. Henry ex P.D. Orton</v>
      </c>
      <c r="F5862" s="5" t="s">
        <v>8442</v>
      </c>
      <c r="V5862" s="7" t="str">
        <f>HYPERLINK("#Liste_rouge!A"&amp;_xlfn.XMATCH("LC",Liste_rouge!A:A,2,1),"LC")</f>
        <v>LC</v>
      </c>
      <c r="AH5862" s="4" t="str">
        <f>HYPERLINK("#Statut_biogéographique!A"&amp;_xlfn.XMATCH("P",Statut_biogéographique!A:A,2,1),"P")</f>
        <v>P</v>
      </c>
      <c r="AP5862" s="4" t="s">
        <v>376</v>
      </c>
      <c r="AR5862" s="4" t="s">
        <v>377</v>
      </c>
    </row>
    <row r="5863" spans="1:44" ht="30">
      <c r="A5863" s="4" t="s">
        <v>5</v>
      </c>
      <c r="B5863" s="4">
        <v>461350</v>
      </c>
      <c r="C5863" s="4">
        <v>5850</v>
      </c>
      <c r="D5863" s="5" t="s">
        <v>8443</v>
      </c>
      <c r="E5863" s="6" t="str">
        <f>HYPERLINK("https://inpn.mnhn.fr/espece/cd_nom/461350","Cortinarius rapaceoides Bidaud, G.Riousset &amp; Riousset, 2000")</f>
        <v>Cortinarius rapaceoides Bidaud, G.Riousset &amp; Riousset, 2000</v>
      </c>
      <c r="AH5863" s="4" t="str">
        <f>HYPERLINK("#Statut_biogéographique!A"&amp;_xlfn.XMATCH("P",Statut_biogéographique!A:A,2,1),"P")</f>
        <v>P</v>
      </c>
      <c r="AP5863" s="4" t="s">
        <v>376</v>
      </c>
      <c r="AR5863" s="4" t="s">
        <v>377</v>
      </c>
    </row>
    <row r="5864" spans="1:44">
      <c r="A5864" s="4" t="s">
        <v>5</v>
      </c>
      <c r="B5864" s="4">
        <v>461364</v>
      </c>
      <c r="C5864" s="4">
        <v>1901</v>
      </c>
      <c r="D5864" s="5" t="s">
        <v>8444</v>
      </c>
      <c r="E5864" s="6" t="str">
        <f>HYPERLINK("https://inpn.mnhn.fr/espece/cd_nom/461364","Cortinarius pseudovenetus Rob.Henry, 1961")</f>
        <v>Cortinarius pseudovenetus Rob.Henry, 1961</v>
      </c>
      <c r="F5864" s="5" t="s">
        <v>8445</v>
      </c>
      <c r="V5864" s="7" t="str">
        <f>HYPERLINK("#Liste_rouge!A"&amp;_xlfn.XMATCH("DD",Liste_rouge!A:A,2,1),"DD")</f>
        <v>DD</v>
      </c>
      <c r="AH5864" s="4" t="str">
        <f>HYPERLINK("#Statut_biogéographique!A"&amp;_xlfn.XMATCH("P",Statut_biogéographique!A:A,2,1),"P")</f>
        <v>P</v>
      </c>
      <c r="AP5864" s="4" t="s">
        <v>376</v>
      </c>
      <c r="AR5864" s="4" t="s">
        <v>377</v>
      </c>
    </row>
    <row r="5865" spans="1:44">
      <c r="A5865" s="4" t="s">
        <v>5</v>
      </c>
      <c r="B5865" s="4">
        <v>461366</v>
      </c>
      <c r="C5865" s="4">
        <v>5893</v>
      </c>
      <c r="D5865" s="5" t="s">
        <v>8446</v>
      </c>
      <c r="E5865" s="6" t="str">
        <f>HYPERLINK("https://inpn.mnhn.fr/espece/cd_nom/461366","Cortinarius pulverobtusus Rob.Henry, 1968")</f>
        <v>Cortinarius pulverobtusus Rob.Henry, 1968</v>
      </c>
      <c r="AH5865" s="4" t="str">
        <f>HYPERLINK("#Statut_biogéographique!A"&amp;_xlfn.XMATCH("P",Statut_biogéographique!A:A,2,1),"P")</f>
        <v>P</v>
      </c>
      <c r="AP5865" s="4" t="s">
        <v>376</v>
      </c>
      <c r="AR5865" s="4" t="s">
        <v>377</v>
      </c>
    </row>
    <row r="5866" spans="1:44" ht="30">
      <c r="A5866" s="4" t="s">
        <v>5</v>
      </c>
      <c r="B5866" s="4">
        <v>461382</v>
      </c>
      <c r="C5866" s="4">
        <v>3710</v>
      </c>
      <c r="D5866" s="5" t="s">
        <v>8447</v>
      </c>
      <c r="E5866" s="6" t="str">
        <f>HYPERLINK("https://inpn.mnhn.fr/espece/cd_nom/461382","Cortinarius subhelvolus Moënne-Locc. &amp; Reumaux, 1997")</f>
        <v>Cortinarius subhelvolus Moënne-Locc. &amp; Reumaux, 1997</v>
      </c>
      <c r="V5866" s="7" t="str">
        <f>HYPERLINK("#Liste_rouge!A"&amp;_xlfn.XMATCH("DD",Liste_rouge!A:A,2,1),"DD")</f>
        <v>DD</v>
      </c>
      <c r="AH5866" s="4" t="str">
        <f>HYPERLINK("#Statut_biogéographique!A"&amp;_xlfn.XMATCH("P",Statut_biogéographique!A:A,2,1),"P")</f>
        <v>P</v>
      </c>
      <c r="AP5866" s="4" t="s">
        <v>376</v>
      </c>
      <c r="AR5866" s="4" t="s">
        <v>377</v>
      </c>
    </row>
    <row r="5867" spans="1:44">
      <c r="A5867" s="4" t="s">
        <v>5</v>
      </c>
      <c r="B5867" s="4">
        <v>461385</v>
      </c>
      <c r="C5867" s="4">
        <v>717</v>
      </c>
      <c r="D5867" s="5">
        <v>511344</v>
      </c>
      <c r="E5867" s="6" t="str">
        <f>HYPERLINK("https://inpn.mnhn.fr/espece/cd_nom/461385","Cortinarius gracilior Jul.Schäff., 1947")</f>
        <v>Cortinarius gracilior Jul.Schäff., 1947</v>
      </c>
      <c r="V5867" s="7" t="str">
        <f>HYPERLINK("#Liste_rouge!A"&amp;_xlfn.XMATCH("DD",Liste_rouge!A:A,2,1),"DD")</f>
        <v>DD</v>
      </c>
      <c r="Z5867" s="4" t="s">
        <v>447</v>
      </c>
      <c r="AA5867" s="4" t="s">
        <v>448</v>
      </c>
      <c r="AH5867" s="4" t="str">
        <f>HYPERLINK("#Statut_biogéographique!A"&amp;_xlfn.XMATCH("P",Statut_biogéographique!A:A,2,1),"P")</f>
        <v>P</v>
      </c>
      <c r="AP5867" s="4" t="s">
        <v>376</v>
      </c>
      <c r="AR5867" s="4" t="s">
        <v>377</v>
      </c>
    </row>
    <row r="5868" spans="1:44" ht="30">
      <c r="A5868" s="4" t="s">
        <v>5</v>
      </c>
      <c r="B5868" s="4">
        <v>461400</v>
      </c>
      <c r="C5868" s="4">
        <v>1870</v>
      </c>
      <c r="D5868" s="5" t="s">
        <v>8448</v>
      </c>
      <c r="E5868" s="6" t="str">
        <f>HYPERLINK("https://inpn.mnhn.fr/espece/cd_nom/461400","Cortinarius subdecolorans M.Langl. &amp; Reumaux, 2000")</f>
        <v>Cortinarius subdecolorans M.Langl. &amp; Reumaux, 2000</v>
      </c>
      <c r="F5868" s="5" t="s">
        <v>6243</v>
      </c>
      <c r="V5868" s="7" t="str">
        <f>HYPERLINK("#Liste_rouge!A"&amp;_xlfn.XMATCH("LC",Liste_rouge!A:A,2,1),"LC")</f>
        <v>LC</v>
      </c>
      <c r="AH5868" s="4" t="str">
        <f>HYPERLINK("#Statut_biogéographique!A"&amp;_xlfn.XMATCH("P",Statut_biogéographique!A:A,2,1),"P")</f>
        <v>P</v>
      </c>
      <c r="AP5868" s="4" t="s">
        <v>376</v>
      </c>
      <c r="AR5868" s="4" t="s">
        <v>377</v>
      </c>
    </row>
    <row r="5869" spans="1:44" ht="30">
      <c r="A5869" s="4" t="s">
        <v>5</v>
      </c>
      <c r="B5869" s="4">
        <v>461404</v>
      </c>
      <c r="C5869" s="4">
        <v>1920</v>
      </c>
      <c r="D5869" s="5" t="s">
        <v>8449</v>
      </c>
      <c r="E5869" s="6" t="str">
        <f>HYPERLINK("https://inpn.mnhn.fr/espece/cd_nom/461404","Cortinarius subduracinus Rob.Henry ex Bidaud &amp; Moënne-Locc., 2008")</f>
        <v>Cortinarius subduracinus Rob.Henry ex Bidaud &amp; Moënne-Locc., 2008</v>
      </c>
      <c r="F5869" s="5" t="s">
        <v>8450</v>
      </c>
      <c r="V5869" s="7" t="str">
        <f>HYPERLINK("#Liste_rouge!A"&amp;_xlfn.XMATCH("DD",Liste_rouge!A:A,2,1),"DD")</f>
        <v>DD</v>
      </c>
      <c r="AH5869" s="4" t="str">
        <f>HYPERLINK("#Statut_biogéographique!A"&amp;_xlfn.XMATCH("P",Statut_biogéographique!A:A,2,1),"P")</f>
        <v>P</v>
      </c>
      <c r="AP5869" s="4" t="s">
        <v>376</v>
      </c>
      <c r="AR5869" s="4" t="s">
        <v>377</v>
      </c>
    </row>
    <row r="5870" spans="1:44">
      <c r="A5870" s="4" t="s">
        <v>5</v>
      </c>
      <c r="B5870" s="4">
        <v>461405</v>
      </c>
      <c r="C5870" s="4">
        <v>3837</v>
      </c>
      <c r="D5870" s="5">
        <v>511335</v>
      </c>
      <c r="E5870" s="6" t="str">
        <f>HYPERLINK("https://inpn.mnhn.fr/espece/cd_nom/461405","Cortinarius mucosus (Bull.) J.Kickx f., 1867")</f>
        <v>Cortinarius mucosus (Bull.) J.Kickx f., 1867</v>
      </c>
      <c r="V5870" s="7" t="str">
        <f>HYPERLINK("#Liste_rouge!A"&amp;_xlfn.XMATCH("EN",Liste_rouge!A:A,2,1),"EN")</f>
        <v>EN</v>
      </c>
      <c r="W5870" s="4" t="str">
        <f>HYPERLINK("#Critères_liste_rouge!A$1","B2abiii")</f>
        <v>B2abiii</v>
      </c>
      <c r="Z5870" s="4" t="s">
        <v>447</v>
      </c>
      <c r="AA5870" s="4" t="s">
        <v>448</v>
      </c>
      <c r="AH5870" s="4" t="str">
        <f>HYPERLINK("#Statut_biogéographique!A"&amp;_xlfn.XMATCH("P",Statut_biogéographique!A:A,2,1),"P")</f>
        <v>P</v>
      </c>
      <c r="AP5870" s="4" t="s">
        <v>376</v>
      </c>
      <c r="AR5870" s="4" t="s">
        <v>377</v>
      </c>
    </row>
    <row r="5871" spans="1:44">
      <c r="A5871" s="4" t="s">
        <v>5</v>
      </c>
      <c r="B5871" s="4">
        <v>461408</v>
      </c>
      <c r="C5871" s="4">
        <v>643</v>
      </c>
      <c r="D5871" s="5" t="s">
        <v>8451</v>
      </c>
      <c r="E5871" s="6" t="str">
        <f>HYPERLINK("https://inpn.mnhn.fr/espece/cd_nom/461408","Cortinarius pseudosalor J.E.Lange, 1940")</f>
        <v>Cortinarius pseudosalor J.E.Lange, 1940</v>
      </c>
      <c r="F5871" s="5" t="s">
        <v>6406</v>
      </c>
      <c r="V5871" s="7" t="str">
        <f>HYPERLINK("#Liste_rouge!A"&amp;_xlfn.XMATCH("VU",Liste_rouge!A:A,2,1),"VU")</f>
        <v>VU</v>
      </c>
      <c r="W5871" s="4" t="str">
        <f>HYPERLINK("#Critères_liste_rouge!A$1","D2")</f>
        <v>D2</v>
      </c>
      <c r="Z5871" s="4" t="s">
        <v>443</v>
      </c>
      <c r="AA5871" s="4" t="s">
        <v>444</v>
      </c>
      <c r="AH5871" s="4" t="str">
        <f>HYPERLINK("#Statut_biogéographique!A"&amp;_xlfn.XMATCH("P",Statut_biogéographique!A:A,2,1),"P")</f>
        <v>P</v>
      </c>
      <c r="AP5871" s="4" t="s">
        <v>376</v>
      </c>
      <c r="AR5871" s="4" t="s">
        <v>377</v>
      </c>
    </row>
    <row r="5872" spans="1:44">
      <c r="A5872" s="4" t="s">
        <v>5</v>
      </c>
      <c r="B5872" s="4">
        <v>461409</v>
      </c>
      <c r="C5872" s="4">
        <v>5894</v>
      </c>
      <c r="D5872" s="5">
        <v>461409</v>
      </c>
      <c r="E5872" s="6" t="str">
        <f>HYPERLINK("https://inpn.mnhn.fr/espece/cd_nom/461409","Cortinarius subsaturninus Rob.Henry, 1938")</f>
        <v>Cortinarius subsaturninus Rob.Henry, 1938</v>
      </c>
      <c r="F5872" s="5" t="s">
        <v>8452</v>
      </c>
      <c r="AH5872" s="4" t="str">
        <f>HYPERLINK("#Statut_biogéographique!A"&amp;_xlfn.XMATCH("P",Statut_biogéographique!A:A,2,1),"P")</f>
        <v>P</v>
      </c>
      <c r="AP5872" s="4" t="s">
        <v>376</v>
      </c>
      <c r="AR5872" s="4" t="s">
        <v>377</v>
      </c>
    </row>
    <row r="5873" spans="1:44">
      <c r="A5873" s="4" t="s">
        <v>5</v>
      </c>
      <c r="B5873" s="4">
        <v>461414</v>
      </c>
      <c r="C5873" s="4">
        <v>2838</v>
      </c>
      <c r="D5873" s="5" t="s">
        <v>8453</v>
      </c>
      <c r="E5873" s="6" t="str">
        <f>HYPERLINK("https://inpn.mnhn.fr/espece/cd_nom/461414","Cortinarius subrhacodes Rob.Henry, 1989")</f>
        <v>Cortinarius subrhacodes Rob.Henry, 1989</v>
      </c>
      <c r="V5873" s="7" t="str">
        <f>HYPERLINK("#Liste_rouge!A"&amp;_xlfn.XMATCH("EN",Liste_rouge!A:A,2,1),"EN")</f>
        <v>EN</v>
      </c>
      <c r="W5873" s="4" t="str">
        <f>HYPERLINK("#Critères_liste_rouge!A$1","B2abiii")</f>
        <v>B2abiii</v>
      </c>
      <c r="Z5873" s="4" t="s">
        <v>443</v>
      </c>
      <c r="AA5873" s="4" t="s">
        <v>444</v>
      </c>
      <c r="AH5873" s="4" t="str">
        <f>HYPERLINK("#Statut_biogéographique!A"&amp;_xlfn.XMATCH("P",Statut_biogéographique!A:A,2,1),"P")</f>
        <v>P</v>
      </c>
      <c r="AP5873" s="4" t="s">
        <v>376</v>
      </c>
      <c r="AR5873" s="4" t="s">
        <v>377</v>
      </c>
    </row>
    <row r="5874" spans="1:44">
      <c r="A5874" s="4" t="s">
        <v>5</v>
      </c>
      <c r="B5874" s="4">
        <v>461418</v>
      </c>
      <c r="C5874" s="4">
        <v>2656</v>
      </c>
      <c r="D5874" s="5" t="s">
        <v>8454</v>
      </c>
      <c r="E5874" s="6" t="str">
        <f>HYPERLINK("https://inpn.mnhn.fr/espece/cd_nom/461418","Cortinarius subscandens Rob.Henry, 1969")</f>
        <v>Cortinarius subscandens Rob.Henry, 1969</v>
      </c>
      <c r="V5874" s="7" t="str">
        <f>HYPERLINK("#Liste_rouge!A"&amp;_xlfn.XMATCH("NT",Liste_rouge!A:A,2,1),"NT")</f>
        <v>NT</v>
      </c>
      <c r="W5874" s="4" t="str">
        <f>HYPERLINK("#Critères_liste_rouge!A$1","pr. A2c")</f>
        <v>pr. A2c</v>
      </c>
      <c r="AH5874" s="4" t="str">
        <f>HYPERLINK("#Statut_biogéographique!A"&amp;_xlfn.XMATCH("P",Statut_biogéographique!A:A,2,1),"P")</f>
        <v>P</v>
      </c>
      <c r="AP5874" s="4" t="s">
        <v>376</v>
      </c>
      <c r="AR5874" s="4" t="s">
        <v>377</v>
      </c>
    </row>
    <row r="5875" spans="1:44">
      <c r="A5875" s="4" t="s">
        <v>5</v>
      </c>
      <c r="B5875" s="4">
        <v>461424</v>
      </c>
      <c r="C5875" s="4">
        <v>5894</v>
      </c>
      <c r="D5875" s="5" t="s">
        <v>8455</v>
      </c>
      <c r="E5875" s="6" t="str">
        <f>HYPERLINK("https://inpn.mnhn.fr/espece/cd_nom/461424","Cortinarius subsaturninus Rob.Henry, 1938")</f>
        <v>Cortinarius subsaturninus Rob.Henry, 1938</v>
      </c>
      <c r="F5875" s="5" t="s">
        <v>8452</v>
      </c>
      <c r="AH5875" s="4" t="str">
        <f>HYPERLINK("#Statut_biogéographique!A"&amp;_xlfn.XMATCH("P",Statut_biogéographique!A:A,2,1),"P")</f>
        <v>P</v>
      </c>
      <c r="AP5875" s="4" t="s">
        <v>376</v>
      </c>
      <c r="AR5875" s="4" t="s">
        <v>377</v>
      </c>
    </row>
    <row r="5876" spans="1:44">
      <c r="A5876" s="4" t="s">
        <v>5</v>
      </c>
      <c r="B5876" s="4">
        <v>461426</v>
      </c>
      <c r="C5876" s="4">
        <v>3703</v>
      </c>
      <c r="D5876" s="5" t="s">
        <v>8456</v>
      </c>
      <c r="E5876" s="6" t="str">
        <f>HYPERLINK("https://inpn.mnhn.fr/espece/cd_nom/461426","Cortinarius subconcrescens R. Henry")</f>
        <v>Cortinarius subconcrescens R. Henry</v>
      </c>
      <c r="F5876" s="5" t="s">
        <v>8457</v>
      </c>
      <c r="V5876" s="7" t="str">
        <f>HYPERLINK("#Liste_rouge!A"&amp;_xlfn.XMATCH("DD",Liste_rouge!A:A,2,1),"DD")</f>
        <v>DD</v>
      </c>
      <c r="AH5876" s="4" t="str">
        <f>HYPERLINK("#Statut_biogéographique!A"&amp;_xlfn.XMATCH("P",Statut_biogéographique!A:A,2,1),"P")</f>
        <v>P</v>
      </c>
      <c r="AP5876" s="4" t="s">
        <v>376</v>
      </c>
      <c r="AR5876" s="4" t="s">
        <v>377</v>
      </c>
    </row>
    <row r="5877" spans="1:44">
      <c r="A5877" s="4" t="s">
        <v>5</v>
      </c>
      <c r="B5877" s="4">
        <v>461427</v>
      </c>
      <c r="C5877" s="4">
        <v>5420</v>
      </c>
      <c r="D5877" s="5" t="s">
        <v>8458</v>
      </c>
      <c r="E5877" s="6" t="str">
        <f>HYPERLINK("https://inpn.mnhn.fr/espece/cd_nom/461427","Cortinarius sublatisporus Svrček, 1968")</f>
        <v>Cortinarius sublatisporus Svrček, 1968</v>
      </c>
      <c r="V5877" s="7" t="str">
        <f>HYPERLINK("#Liste_rouge!A"&amp;_xlfn.XMATCH("DD",Liste_rouge!A:A,2,1),"DD")</f>
        <v>DD</v>
      </c>
      <c r="Z5877" s="4" t="s">
        <v>443</v>
      </c>
      <c r="AA5877" s="4" t="s">
        <v>444</v>
      </c>
      <c r="AH5877" s="4" t="str">
        <f>HYPERLINK("#Statut_biogéographique!A"&amp;_xlfn.XMATCH("P",Statut_biogéographique!A:A,2,1),"P")</f>
        <v>P</v>
      </c>
      <c r="AP5877" s="4" t="s">
        <v>376</v>
      </c>
      <c r="AR5877" s="4" t="s">
        <v>377</v>
      </c>
    </row>
    <row r="5878" spans="1:44" ht="30">
      <c r="A5878" s="4" t="s">
        <v>5</v>
      </c>
      <c r="B5878" s="4">
        <v>461429</v>
      </c>
      <c r="C5878" s="4">
        <v>859</v>
      </c>
      <c r="D5878" s="5" t="s">
        <v>8459</v>
      </c>
      <c r="E5878" s="6" t="str">
        <f>HYPERLINK("https://inpn.mnhn.fr/espece/cd_nom/461429","Cortinarius sublubricus (Jul.Schäff. ex M.M.Moser) M.M.Moser, 1967")</f>
        <v>Cortinarius sublubricus (Jul.Schäff. ex M.M.Moser) M.M.Moser, 1967</v>
      </c>
      <c r="V5878" s="7" t="str">
        <f>HYPERLINK("#Liste_rouge!A"&amp;_xlfn.XMATCH("DD",Liste_rouge!A:A,2,1),"DD")</f>
        <v>DD</v>
      </c>
      <c r="AH5878" s="4" t="str">
        <f>HYPERLINK("#Statut_biogéographique!A"&amp;_xlfn.XMATCH("P",Statut_biogéographique!A:A,2,1),"P")</f>
        <v>P</v>
      </c>
      <c r="AP5878" s="4" t="s">
        <v>376</v>
      </c>
      <c r="AR5878" s="4" t="s">
        <v>377</v>
      </c>
    </row>
    <row r="5879" spans="1:44" ht="30">
      <c r="A5879" s="4" t="s">
        <v>5</v>
      </c>
      <c r="B5879" s="4">
        <v>461438</v>
      </c>
      <c r="C5879" s="4">
        <v>3246</v>
      </c>
      <c r="D5879" s="5" t="s">
        <v>8460</v>
      </c>
      <c r="E5879" s="6" t="str">
        <f>HYPERLINK("https://inpn.mnhn.fr/espece/cd_nom/461438","Cortinarius subolivaceus Bidaud, Moënne-Locc. &amp; Reumaux, 2000")</f>
        <v>Cortinarius subolivaceus Bidaud, Moënne-Locc. &amp; Reumaux, 2000</v>
      </c>
      <c r="V5879" s="7" t="str">
        <f>HYPERLINK("#Liste_rouge!A"&amp;_xlfn.XMATCH("DD",Liste_rouge!A:A,2,1),"DD")</f>
        <v>DD</v>
      </c>
      <c r="AH5879" s="4" t="str">
        <f>HYPERLINK("#Statut_biogéographique!A"&amp;_xlfn.XMATCH("P",Statut_biogéographique!A:A,2,1),"P")</f>
        <v>P</v>
      </c>
      <c r="AP5879" s="4" t="s">
        <v>376</v>
      </c>
      <c r="AR5879" s="4" t="s">
        <v>377</v>
      </c>
    </row>
    <row r="5880" spans="1:44" ht="30">
      <c r="A5880" s="4" t="s">
        <v>5</v>
      </c>
      <c r="B5880" s="4">
        <v>461448</v>
      </c>
      <c r="C5880" s="4">
        <v>2232</v>
      </c>
      <c r="D5880" s="5" t="s">
        <v>8461</v>
      </c>
      <c r="E5880" s="6" t="str">
        <f>HYPERLINK("https://inpn.mnhn.fr/espece/cd_nom/461448","Cortinarius sphagnogenus (M.M.Moser) Nezdojm., 1976")</f>
        <v>Cortinarius sphagnogenus (M.M.Moser) Nezdojm., 1976</v>
      </c>
      <c r="V5880" s="7" t="str">
        <f>HYPERLINK("#Liste_rouge!A"&amp;_xlfn.XMATCH("LC",Liste_rouge!A:A,2,1),"LC")</f>
        <v>LC</v>
      </c>
      <c r="AH5880" s="4" t="str">
        <f>HYPERLINK("#Statut_biogéographique!A"&amp;_xlfn.XMATCH("P",Statut_biogéographique!A:A,2,1),"P")</f>
        <v>P</v>
      </c>
      <c r="AP5880" s="4" t="s">
        <v>376</v>
      </c>
      <c r="AR5880" s="4" t="s">
        <v>377</v>
      </c>
    </row>
    <row r="5881" spans="1:44">
      <c r="A5881" s="4" t="s">
        <v>5</v>
      </c>
      <c r="B5881" s="4">
        <v>461454</v>
      </c>
      <c r="C5881" s="4">
        <v>5477</v>
      </c>
      <c r="D5881" s="5" t="s">
        <v>8462</v>
      </c>
      <c r="E5881" s="6" t="str">
        <f>HYPERLINK("https://inpn.mnhn.fr/espece/cd_nom/461454","Cortinarius spectabilis M.M.Moser, 1952")</f>
        <v>Cortinarius spectabilis M.M.Moser, 1952</v>
      </c>
      <c r="V5881" s="7" t="str">
        <f>HYPERLINK("#Liste_rouge!A"&amp;_xlfn.XMATCH("DD",Liste_rouge!A:A,2,1),"DD")</f>
        <v>DD</v>
      </c>
      <c r="Z5881" s="4" t="s">
        <v>443</v>
      </c>
      <c r="AA5881" s="4" t="s">
        <v>444</v>
      </c>
      <c r="AH5881" s="4" t="str">
        <f>HYPERLINK("#Statut_biogéographique!A"&amp;_xlfn.XMATCH("P",Statut_biogéographique!A:A,2,1),"P")</f>
        <v>P</v>
      </c>
      <c r="AP5881" s="4" t="s">
        <v>376</v>
      </c>
      <c r="AR5881" s="4" t="s">
        <v>377</v>
      </c>
    </row>
    <row r="5882" spans="1:44" ht="30">
      <c r="A5882" s="4" t="s">
        <v>5</v>
      </c>
      <c r="B5882" s="4">
        <v>461462</v>
      </c>
      <c r="C5882" s="4">
        <v>5126</v>
      </c>
      <c r="D5882" s="5" t="s">
        <v>8463</v>
      </c>
      <c r="E5882" s="6" t="str">
        <f>HYPERLINK("https://inpn.mnhn.fr/espece/cd_nom/461462","Cortinarius speciosior Fr.ex Bidaud, Moënne-Locc. &amp; Reumaux, 1997")</f>
        <v>Cortinarius speciosior Fr.ex Bidaud, Moënne-Locc. &amp; Reumaux, 1997</v>
      </c>
      <c r="V5882" s="7" t="str">
        <f>HYPERLINK("#Liste_rouge!A"&amp;_xlfn.XMATCH("DD",Liste_rouge!A:A,2,1),"DD")</f>
        <v>DD</v>
      </c>
      <c r="AH5882" s="4" t="str">
        <f>HYPERLINK("#Statut_biogéographique!A"&amp;_xlfn.XMATCH("P",Statut_biogéographique!A:A,2,1),"P")</f>
        <v>P</v>
      </c>
      <c r="AP5882" s="4" t="s">
        <v>376</v>
      </c>
      <c r="AR5882" s="4" t="s">
        <v>377</v>
      </c>
    </row>
    <row r="5883" spans="1:44">
      <c r="A5883" s="4" t="s">
        <v>5</v>
      </c>
      <c r="B5883" s="4">
        <v>461469</v>
      </c>
      <c r="C5883" s="4">
        <v>2059</v>
      </c>
      <c r="D5883" s="5" t="s">
        <v>8464</v>
      </c>
      <c r="E5883" s="6" t="str">
        <f>HYPERLINK("https://inpn.mnhn.fr/espece/cd_nom/461469","Cortinarius spadiceus Fr., 1838")</f>
        <v>Cortinarius spadiceus Fr., 1838</v>
      </c>
      <c r="V5883" s="7" t="str">
        <f>HYPERLINK("#Liste_rouge!A"&amp;_xlfn.XMATCH("EN",Liste_rouge!A:A,2,1),"EN")</f>
        <v>EN</v>
      </c>
      <c r="W5883" s="4" t="str">
        <f>HYPERLINK("#Critères_liste_rouge!A$1","B2abiii")</f>
        <v>B2abiii</v>
      </c>
      <c r="Z5883" s="4" t="s">
        <v>443</v>
      </c>
      <c r="AA5883" s="4" t="s">
        <v>444</v>
      </c>
      <c r="AH5883" s="4" t="str">
        <f>HYPERLINK("#Statut_biogéographique!A"&amp;_xlfn.XMATCH("P",Statut_biogéographique!A:A,2,1),"P")</f>
        <v>P</v>
      </c>
      <c r="AP5883" s="4" t="s">
        <v>376</v>
      </c>
      <c r="AR5883" s="4" t="s">
        <v>377</v>
      </c>
    </row>
    <row r="5884" spans="1:44">
      <c r="A5884" s="4" t="s">
        <v>5</v>
      </c>
      <c r="B5884" s="4">
        <v>461473</v>
      </c>
      <c r="C5884" s="4">
        <v>6734</v>
      </c>
      <c r="D5884" s="5" t="s">
        <v>8465</v>
      </c>
      <c r="E5884" s="6" t="str">
        <f>HYPERLINK("https://inpn.mnhn.fr/espece/cd_nom/461473","Cortinarius pseudorusticus Bidaud, 2002")</f>
        <v>Cortinarius pseudorusticus Bidaud, 2002</v>
      </c>
      <c r="F5884" s="5" t="s">
        <v>8428</v>
      </c>
      <c r="AH5884" s="4" t="str">
        <f>HYPERLINK("#Statut_biogéographique!A"&amp;_xlfn.XMATCH("P",Statut_biogéographique!A:A,2,1),"P")</f>
        <v>P</v>
      </c>
      <c r="AP5884" s="4" t="s">
        <v>376</v>
      </c>
      <c r="AR5884" s="4" t="s">
        <v>377</v>
      </c>
    </row>
    <row r="5885" spans="1:44" ht="30">
      <c r="A5885" s="4" t="s">
        <v>5</v>
      </c>
      <c r="B5885" s="4">
        <v>461484</v>
      </c>
      <c r="C5885" s="4">
        <v>5895</v>
      </c>
      <c r="D5885" s="5" t="s">
        <v>8466</v>
      </c>
      <c r="E5885" s="6" t="str">
        <f>HYPERLINK("https://inpn.mnhn.fr/espece/cd_nom/461484","Cortinarius subbrunneus Bidaud, Carteret &amp; Reumaux, 2009")</f>
        <v>Cortinarius subbrunneus Bidaud, Carteret &amp; Reumaux, 2009</v>
      </c>
      <c r="AH5885" s="4" t="str">
        <f>HYPERLINK("#Statut_biogéographique!A"&amp;_xlfn.XMATCH("P",Statut_biogéographique!A:A,2,1),"P")</f>
        <v>P</v>
      </c>
      <c r="AP5885" s="4" t="s">
        <v>376</v>
      </c>
      <c r="AR5885" s="4" t="s">
        <v>377</v>
      </c>
    </row>
    <row r="5886" spans="1:44" ht="30">
      <c r="A5886" s="4" t="s">
        <v>5</v>
      </c>
      <c r="B5886" s="4">
        <v>461489</v>
      </c>
      <c r="C5886" s="4">
        <v>3219</v>
      </c>
      <c r="D5886" s="5" t="s">
        <v>8467</v>
      </c>
      <c r="E5886" s="6" t="str">
        <f>HYPERLINK("https://inpn.mnhn.fr/espece/cd_nom/461489","Cortinarius pseudocephalixus Bidaud &amp; Moënne-Locc., 2000")</f>
        <v>Cortinarius pseudocephalixus Bidaud &amp; Moënne-Locc., 2000</v>
      </c>
      <c r="V5886" s="7" t="str">
        <f>HYPERLINK("#Liste_rouge!A"&amp;_xlfn.XMATCH("DD",Liste_rouge!A:A,2,1),"DD")</f>
        <v>DD</v>
      </c>
      <c r="AH5886" s="4" t="str">
        <f>HYPERLINK("#Statut_biogéographique!A"&amp;_xlfn.XMATCH("P",Statut_biogéographique!A:A,2,1),"P")</f>
        <v>P</v>
      </c>
      <c r="AP5886" s="4" t="s">
        <v>376</v>
      </c>
      <c r="AR5886" s="4" t="s">
        <v>377</v>
      </c>
    </row>
    <row r="5887" spans="1:44" ht="30">
      <c r="A5887" s="4" t="s">
        <v>5</v>
      </c>
      <c r="B5887" s="4">
        <v>461492</v>
      </c>
      <c r="C5887" s="4">
        <v>6115</v>
      </c>
      <c r="D5887" s="5" t="s">
        <v>8468</v>
      </c>
      <c r="E5887" s="6" t="str">
        <f>HYPERLINK("https://inpn.mnhn.fr/espece/cd_nom/461492","Cortinarius squamulifer Bidaud &amp; Reumaux, 1997")</f>
        <v>Cortinarius squamulifer Bidaud &amp; Reumaux, 1997</v>
      </c>
      <c r="F5887" s="5" t="s">
        <v>8469</v>
      </c>
      <c r="AH5887" s="4" t="str">
        <f>HYPERLINK("#Statut_biogéographique!A"&amp;_xlfn.XMATCH("P",Statut_biogéographique!A:A,2,1),"P")</f>
        <v>P</v>
      </c>
      <c r="AP5887" s="4" t="s">
        <v>376</v>
      </c>
      <c r="AR5887" s="4" t="s">
        <v>377</v>
      </c>
    </row>
    <row r="5888" spans="1:44">
      <c r="A5888" s="4" t="s">
        <v>5</v>
      </c>
      <c r="B5888" s="4">
        <v>461504</v>
      </c>
      <c r="C5888" s="4">
        <v>3057</v>
      </c>
      <c r="D5888" s="5" t="s">
        <v>8470</v>
      </c>
      <c r="E5888" s="6" t="str">
        <f>HYPERLINK("https://inpn.mnhn.fr/espece/cd_nom/461504","Cortinarius moserianus Bohus, 1970")</f>
        <v>Cortinarius moserianus Bohus, 1970</v>
      </c>
      <c r="F5888" s="5" t="s">
        <v>8471</v>
      </c>
      <c r="V5888" s="7" t="str">
        <f>HYPERLINK("#Liste_rouge!A"&amp;_xlfn.XMATCH("EN",Liste_rouge!A:A,2,1),"EN")</f>
        <v>EN</v>
      </c>
      <c r="W5888" s="4" t="str">
        <f>HYPERLINK("#Critères_liste_rouge!A$1","B2abiii")</f>
        <v>B2abiii</v>
      </c>
      <c r="Z5888" s="4" t="s">
        <v>447</v>
      </c>
      <c r="AA5888" s="4" t="s">
        <v>448</v>
      </c>
      <c r="AH5888" s="4" t="str">
        <f>HYPERLINK("#Statut_biogéographique!A"&amp;_xlfn.XMATCH("P",Statut_biogéographique!A:A,2,1),"P")</f>
        <v>P</v>
      </c>
      <c r="AP5888" s="4" t="s">
        <v>376</v>
      </c>
      <c r="AR5888" s="4" t="s">
        <v>377</v>
      </c>
    </row>
    <row r="5889" spans="1:44" ht="30">
      <c r="A5889" s="4" t="s">
        <v>5</v>
      </c>
      <c r="B5889" s="4">
        <v>461506</v>
      </c>
      <c r="C5889" s="4">
        <v>6367</v>
      </c>
      <c r="D5889" s="5" t="s">
        <v>8472</v>
      </c>
      <c r="E5889" s="6" t="str">
        <f>HYPERLINK("https://inpn.mnhn.fr/espece/cd_nom/461506","Cortinarius neotriumphans Bidaud, Moënne-Locc. &amp; Reumaux, 2000")</f>
        <v>Cortinarius neotriumphans Bidaud, Moënne-Locc. &amp; Reumaux, 2000</v>
      </c>
      <c r="AH5889" s="4" t="str">
        <f>HYPERLINK("#Statut_biogéographique!A"&amp;_xlfn.XMATCH("P",Statut_biogéographique!A:A,2,1),"P")</f>
        <v>P</v>
      </c>
      <c r="AP5889" s="4" t="s">
        <v>376</v>
      </c>
      <c r="AR5889" s="4" t="s">
        <v>377</v>
      </c>
    </row>
    <row r="5890" spans="1:44" ht="30">
      <c r="A5890" s="4" t="s">
        <v>5</v>
      </c>
      <c r="B5890" s="4">
        <v>461510</v>
      </c>
      <c r="C5890" s="4">
        <v>5724</v>
      </c>
      <c r="D5890" s="5" t="s">
        <v>8473</v>
      </c>
      <c r="E5890" s="6" t="str">
        <f>HYPERLINK("https://inpn.mnhn.fr/espece/cd_nom/461510","Cortinarius nauseosmus Bidaud, Moënne-Locc. &amp; Reumaux, 1997")</f>
        <v>Cortinarius nauseosmus Bidaud, Moënne-Locc. &amp; Reumaux, 1997</v>
      </c>
      <c r="V5890" s="7" t="str">
        <f>HYPERLINK("#Liste_rouge!A"&amp;_xlfn.XMATCH("DD",Liste_rouge!A:A,2,1),"DD")</f>
        <v>DD</v>
      </c>
      <c r="AH5890" s="4" t="str">
        <f>HYPERLINK("#Statut_biogéographique!A"&amp;_xlfn.XMATCH("P",Statut_biogéographique!A:A,2,1),"P")</f>
        <v>P</v>
      </c>
      <c r="AP5890" s="4" t="s">
        <v>376</v>
      </c>
      <c r="AR5890" s="4" t="s">
        <v>377</v>
      </c>
    </row>
    <row r="5891" spans="1:44">
      <c r="A5891" s="4" t="s">
        <v>5</v>
      </c>
      <c r="B5891" s="4">
        <v>461517</v>
      </c>
      <c r="C5891" s="4">
        <v>5891</v>
      </c>
      <c r="D5891" s="5" t="s">
        <v>8474</v>
      </c>
      <c r="E5891" s="6" t="str">
        <f>HYPERLINK("https://inpn.mnhn.fr/espece/cd_nom/461517","Cortinarius muricinicolor Moënne-Locc., 1996")</f>
        <v>Cortinarius muricinicolor Moënne-Locc., 1996</v>
      </c>
      <c r="AH5891" s="4" t="str">
        <f>HYPERLINK("#Statut_biogéographique!A"&amp;_xlfn.XMATCH("P",Statut_biogéographique!A:A,2,1),"P")</f>
        <v>P</v>
      </c>
      <c r="AP5891" s="4" t="s">
        <v>376</v>
      </c>
      <c r="AR5891" s="4" t="s">
        <v>377</v>
      </c>
    </row>
    <row r="5892" spans="1:44">
      <c r="A5892" s="4" t="s">
        <v>5</v>
      </c>
      <c r="B5892" s="4">
        <v>461519</v>
      </c>
      <c r="C5892" s="4">
        <v>5860</v>
      </c>
      <c r="D5892" s="5" t="s">
        <v>8475</v>
      </c>
      <c r="E5892" s="6" t="str">
        <f>HYPERLINK("https://inpn.mnhn.fr/espece/cd_nom/461519","Cortinarius montanus Kauffman, 1932")</f>
        <v>Cortinarius montanus Kauffman, 1932</v>
      </c>
      <c r="F5892" s="5" t="s">
        <v>8476</v>
      </c>
      <c r="AH5892" s="4" t="str">
        <f>HYPERLINK("#Statut_biogéographique!A"&amp;_xlfn.XMATCH("P",Statut_biogéographique!A:A,2,1),"P")</f>
        <v>P</v>
      </c>
      <c r="AP5892" s="4" t="s">
        <v>376</v>
      </c>
      <c r="AR5892" s="4" t="s">
        <v>377</v>
      </c>
    </row>
    <row r="5893" spans="1:44">
      <c r="A5893" s="4" t="s">
        <v>5</v>
      </c>
      <c r="B5893" s="4">
        <v>461534</v>
      </c>
      <c r="C5893" s="4">
        <v>3021</v>
      </c>
      <c r="D5893" s="5">
        <v>511009</v>
      </c>
      <c r="E5893" s="6" t="str">
        <f>HYPERLINK("https://inpn.mnhn.fr/espece/cd_nom/461534","Cortinarius nymphaecolor Reumaux, 1993")</f>
        <v>Cortinarius nymphaecolor Reumaux, 1993</v>
      </c>
      <c r="F5893" s="5" t="s">
        <v>6425</v>
      </c>
      <c r="Z5893" s="4" t="s">
        <v>447</v>
      </c>
      <c r="AA5893" s="4" t="s">
        <v>448</v>
      </c>
      <c r="AH5893" s="4" t="str">
        <f>HYPERLINK("#Statut_biogéographique!A"&amp;_xlfn.XMATCH("P",Statut_biogéographique!A:A,2,1),"P")</f>
        <v>P</v>
      </c>
      <c r="AP5893" s="4" t="s">
        <v>376</v>
      </c>
      <c r="AR5893" s="4" t="s">
        <v>377</v>
      </c>
    </row>
    <row r="5894" spans="1:44">
      <c r="A5894" s="4" t="s">
        <v>5</v>
      </c>
      <c r="B5894" s="4">
        <v>461537</v>
      </c>
      <c r="C5894" s="4">
        <v>6028</v>
      </c>
      <c r="D5894" s="5" t="s">
        <v>8477</v>
      </c>
      <c r="E5894" s="6" t="str">
        <f>HYPERLINK("https://inpn.mnhn.fr/espece/cd_nom/461537","Cortinarius obtusotinctus Rob.Henry, 1968")</f>
        <v>Cortinarius obtusotinctus Rob.Henry, 1968</v>
      </c>
      <c r="AH5894" s="4" t="str">
        <f>HYPERLINK("#Statut_biogéographique!A"&amp;_xlfn.XMATCH("P",Statut_biogéographique!A:A,2,1),"P")</f>
        <v>P</v>
      </c>
      <c r="AP5894" s="4" t="s">
        <v>376</v>
      </c>
      <c r="AR5894" s="4" t="s">
        <v>377</v>
      </c>
    </row>
    <row r="5895" spans="1:44" ht="30">
      <c r="A5895" s="4" t="s">
        <v>5</v>
      </c>
      <c r="B5895" s="4">
        <v>461548</v>
      </c>
      <c r="C5895" s="4">
        <v>5433</v>
      </c>
      <c r="D5895" s="5" t="s">
        <v>8478</v>
      </c>
      <c r="E5895" s="6" t="str">
        <f>HYPERLINK("https://inpn.mnhn.fr/espece/cd_nom/461548","Cortinarius ochroleucoides Bidaud, Moënne-Locc. &amp; Reumaux, 2000")</f>
        <v>Cortinarius ochroleucoides Bidaud, Moënne-Locc. &amp; Reumaux, 2000</v>
      </c>
      <c r="V5895" s="7" t="str">
        <f>HYPERLINK("#Liste_rouge!A"&amp;_xlfn.XMATCH("DD",Liste_rouge!A:A,2,1),"DD")</f>
        <v>DD</v>
      </c>
      <c r="AH5895" s="4" t="str">
        <f>HYPERLINK("#Statut_biogéographique!A"&amp;_xlfn.XMATCH("P",Statut_biogéographique!A:A,2,1),"P")</f>
        <v>P</v>
      </c>
      <c r="AP5895" s="4" t="s">
        <v>376</v>
      </c>
      <c r="AR5895" s="4" t="s">
        <v>377</v>
      </c>
    </row>
    <row r="5896" spans="1:44">
      <c r="A5896" s="4" t="s">
        <v>5</v>
      </c>
      <c r="B5896" s="4">
        <v>461557</v>
      </c>
      <c r="C5896" s="4">
        <v>6554</v>
      </c>
      <c r="D5896" s="5" t="s">
        <v>8479</v>
      </c>
      <c r="E5896" s="6" t="str">
        <f>HYPERLINK("https://inpn.mnhn.fr/espece/cd_nom/461557","Cortinarius obtusorum Rob.Henry, 1968")</f>
        <v>Cortinarius obtusorum Rob.Henry, 1968</v>
      </c>
      <c r="AH5896" s="4" t="str">
        <f>HYPERLINK("#Statut_biogéographique!A"&amp;_xlfn.XMATCH("P",Statut_biogéographique!A:A,2,1),"P")</f>
        <v>P</v>
      </c>
      <c r="AP5896" s="4" t="s">
        <v>376</v>
      </c>
      <c r="AR5896" s="4" t="s">
        <v>377</v>
      </c>
    </row>
    <row r="5897" spans="1:44">
      <c r="A5897" s="4" t="s">
        <v>5</v>
      </c>
      <c r="B5897" s="4">
        <v>461560</v>
      </c>
      <c r="C5897" s="4">
        <v>643</v>
      </c>
      <c r="D5897" s="5">
        <v>35660</v>
      </c>
      <c r="E5897" s="6" t="str">
        <f>HYPERLINK("https://inpn.mnhn.fr/espece/cd_nom/461560","Cortinarius pseudosalor J.E.Lange, 1940")</f>
        <v>Cortinarius pseudosalor J.E.Lange, 1940</v>
      </c>
      <c r="F5897" s="5" t="s">
        <v>6406</v>
      </c>
      <c r="V5897" s="7" t="str">
        <f>HYPERLINK("#Liste_rouge!A"&amp;_xlfn.XMATCH("VU",Liste_rouge!A:A,2,1),"VU")</f>
        <v>VU</v>
      </c>
      <c r="W5897" s="4" t="str">
        <f>HYPERLINK("#Critères_liste_rouge!A$1","D2")</f>
        <v>D2</v>
      </c>
      <c r="Z5897" s="4" t="s">
        <v>443</v>
      </c>
      <c r="AA5897" s="4" t="s">
        <v>444</v>
      </c>
      <c r="AH5897" s="4" t="str">
        <f>HYPERLINK("#Statut_biogéographique!A"&amp;_xlfn.XMATCH("P",Statut_biogéographique!A:A,2,1),"P")</f>
        <v>P</v>
      </c>
      <c r="AP5897" s="4" t="s">
        <v>376</v>
      </c>
      <c r="AR5897" s="4" t="s">
        <v>377</v>
      </c>
    </row>
    <row r="5898" spans="1:44">
      <c r="A5898" s="4" t="s">
        <v>5</v>
      </c>
      <c r="B5898" s="4">
        <v>461584</v>
      </c>
      <c r="C5898" s="4">
        <v>2644</v>
      </c>
      <c r="D5898" s="5" t="s">
        <v>8480</v>
      </c>
      <c r="E5898" s="6" t="str">
        <f>HYPERLINK("https://inpn.mnhn.fr/espece/cd_nom/461584","Cortinarius lilacinopes Britzelm., 1895")</f>
        <v>Cortinarius lilacinopes Britzelm., 1895</v>
      </c>
      <c r="F5898" s="5" t="s">
        <v>8481</v>
      </c>
      <c r="V5898" s="7" t="str">
        <f>HYPERLINK("#Liste_rouge!A"&amp;_xlfn.XMATCH("EN",Liste_rouge!A:A,2,1),"EN")</f>
        <v>EN</v>
      </c>
      <c r="W5898" s="4" t="str">
        <f>HYPERLINK("#Critères_liste_rouge!A$1","B2abiii")</f>
        <v>B2abiii</v>
      </c>
      <c r="Z5898" s="4" t="s">
        <v>443</v>
      </c>
      <c r="AA5898" s="4" t="s">
        <v>444</v>
      </c>
      <c r="AH5898" s="4" t="str">
        <f>HYPERLINK("#Statut_biogéographique!A"&amp;_xlfn.XMATCH("P",Statut_biogéographique!A:A,2,1),"P")</f>
        <v>P</v>
      </c>
      <c r="AP5898" s="4" t="s">
        <v>376</v>
      </c>
      <c r="AR5898" s="4" t="s">
        <v>377</v>
      </c>
    </row>
    <row r="5899" spans="1:44" ht="30">
      <c r="A5899" s="4" t="s">
        <v>5</v>
      </c>
      <c r="B5899" s="4">
        <v>461587</v>
      </c>
      <c r="C5899" s="4">
        <v>239</v>
      </c>
      <c r="D5899" s="5" t="s">
        <v>8482</v>
      </c>
      <c r="E5899" s="6" t="str">
        <f>HYPERLINK("https://inpn.mnhn.fr/espece/cd_nom/461587","Cortinarius livido-ochraceus (Berk.) Berk., 1860")</f>
        <v>Cortinarius livido-ochraceus (Berk.) Berk., 1860</v>
      </c>
      <c r="V5899" s="7" t="str">
        <f>HYPERLINK("#Liste_rouge!A"&amp;_xlfn.XMATCH("LC",Liste_rouge!A:A,2,1),"LC")</f>
        <v>LC</v>
      </c>
      <c r="AH5899" s="4" t="str">
        <f>HYPERLINK("#Statut_biogéographique!A"&amp;_xlfn.XMATCH("P",Statut_biogéographique!A:A,2,1),"P")</f>
        <v>P</v>
      </c>
      <c r="AP5899" s="4" t="s">
        <v>376</v>
      </c>
      <c r="AR5899" s="4" t="s">
        <v>377</v>
      </c>
    </row>
    <row r="5900" spans="1:44">
      <c r="A5900" s="4" t="s">
        <v>5</v>
      </c>
      <c r="B5900" s="4">
        <v>461590</v>
      </c>
      <c r="C5900" s="4">
        <v>2884</v>
      </c>
      <c r="D5900" s="5" t="s">
        <v>8483</v>
      </c>
      <c r="E5900" s="6" t="str">
        <f>HYPERLINK("https://inpn.mnhn.fr/espece/cd_nom/461590","Cortinarius lustratus Fr., 1838")</f>
        <v>Cortinarius lustratus Fr., 1838</v>
      </c>
      <c r="V5900" s="7" t="str">
        <f>HYPERLINK("#Liste_rouge!A"&amp;_xlfn.XMATCH("DD",Liste_rouge!A:A,2,1),"DD")</f>
        <v>DD</v>
      </c>
      <c r="Z5900" s="4" t="s">
        <v>443</v>
      </c>
      <c r="AA5900" s="4" t="s">
        <v>444</v>
      </c>
      <c r="AH5900" s="4" t="str">
        <f>HYPERLINK("#Statut_biogéographique!A"&amp;_xlfn.XMATCH("P",Statut_biogéographique!A:A,2,1),"P")</f>
        <v>P</v>
      </c>
      <c r="AP5900" s="4" t="s">
        <v>376</v>
      </c>
      <c r="AR5900" s="4" t="s">
        <v>377</v>
      </c>
    </row>
    <row r="5901" spans="1:44">
      <c r="A5901" s="4" t="s">
        <v>5</v>
      </c>
      <c r="B5901" s="4">
        <v>461593</v>
      </c>
      <c r="C5901" s="4">
        <v>6160</v>
      </c>
      <c r="D5901" s="5" t="s">
        <v>8484</v>
      </c>
      <c r="E5901" s="6" t="str">
        <f>HYPERLINK("https://inpn.mnhn.fr/espece/cd_nom/461593","Cortinarius ludibriosus Carteret, 2000")</f>
        <v>Cortinarius ludibriosus Carteret, 2000</v>
      </c>
      <c r="AH5901" s="4" t="str">
        <f>HYPERLINK("#Statut_biogéographique!A"&amp;_xlfn.XMATCH("P",Statut_biogéographique!A:A,2,1),"P")</f>
        <v>P</v>
      </c>
      <c r="AP5901" s="4" t="s">
        <v>376</v>
      </c>
      <c r="AR5901" s="4" t="s">
        <v>377</v>
      </c>
    </row>
    <row r="5902" spans="1:44" ht="30">
      <c r="A5902" s="4" t="s">
        <v>5</v>
      </c>
      <c r="B5902" s="4">
        <v>461594</v>
      </c>
      <c r="C5902" s="4">
        <v>4672</v>
      </c>
      <c r="D5902" s="5">
        <v>510966</v>
      </c>
      <c r="E5902" s="6" t="str">
        <f>HYPERLINK("https://inpn.mnhn.fr/espece/cd_nom/461594","Cortinarius ludificabilis Moënne-Locc. &amp; Reumaux, 1996")</f>
        <v>Cortinarius ludificabilis Moënne-Locc. &amp; Reumaux, 1996</v>
      </c>
      <c r="V5902" s="7" t="str">
        <f>HYPERLINK("#Liste_rouge!A"&amp;_xlfn.XMATCH("RE",Liste_rouge!A:A,2,1),"RE")</f>
        <v>RE</v>
      </c>
      <c r="AH5902" s="4" t="str">
        <f>HYPERLINK("#Statut_biogéographique!A"&amp;_xlfn.XMATCH("P",Statut_biogéographique!A:A,2,1),"P")</f>
        <v>P</v>
      </c>
      <c r="AP5902" s="4" t="s">
        <v>376</v>
      </c>
      <c r="AR5902" s="4" t="s">
        <v>377</v>
      </c>
    </row>
    <row r="5903" spans="1:44">
      <c r="A5903" s="4" t="s">
        <v>5</v>
      </c>
      <c r="B5903" s="4">
        <v>461598</v>
      </c>
      <c r="C5903" s="4">
        <v>3237</v>
      </c>
      <c r="D5903" s="5" t="s">
        <v>8485</v>
      </c>
      <c r="E5903" s="6" t="str">
        <f>HYPERLINK("https://inpn.mnhn.fr/espece/cd_nom/461598","Cortinarius metrodii Rob.Henry, 1985")</f>
        <v>Cortinarius metrodii Rob.Henry, 1985</v>
      </c>
      <c r="F5903" s="5" t="s">
        <v>8486</v>
      </c>
      <c r="V5903" s="7" t="str">
        <f>HYPERLINK("#Liste_rouge!A"&amp;_xlfn.XMATCH("DD",Liste_rouge!A:A,2,1),"DD")</f>
        <v>DD</v>
      </c>
      <c r="AH5903" s="4" t="str">
        <f>HYPERLINK("#Statut_biogéographique!A"&amp;_xlfn.XMATCH("P",Statut_biogéographique!A:A,2,1),"P")</f>
        <v>P</v>
      </c>
      <c r="AP5903" s="4" t="s">
        <v>376</v>
      </c>
      <c r="AR5903" s="4" t="s">
        <v>377</v>
      </c>
    </row>
    <row r="5904" spans="1:44" ht="30">
      <c r="A5904" s="4" t="s">
        <v>5</v>
      </c>
      <c r="B5904" s="4">
        <v>461605</v>
      </c>
      <c r="C5904" s="4">
        <v>6153</v>
      </c>
      <c r="D5904" s="5" t="s">
        <v>8487</v>
      </c>
      <c r="E5904" s="6" t="str">
        <f>HYPERLINK("https://inpn.mnhn.fr/espece/cd_nom/461605","Cortinarius melliolens Jul.Schäff. ex P.D.Orton, 1960")</f>
        <v>Cortinarius melliolens Jul.Schäff. ex P.D.Orton, 1960</v>
      </c>
      <c r="F5904" s="5" t="s">
        <v>8488</v>
      </c>
      <c r="AH5904" s="4" t="str">
        <f>HYPERLINK("#Statut_biogéographique!A"&amp;_xlfn.XMATCH("P",Statut_biogéographique!A:A,2,1),"P")</f>
        <v>P</v>
      </c>
      <c r="AP5904" s="4" t="s">
        <v>376</v>
      </c>
      <c r="AR5904" s="4" t="s">
        <v>377</v>
      </c>
    </row>
    <row r="5905" spans="1:44">
      <c r="A5905" s="4" t="s">
        <v>5</v>
      </c>
      <c r="B5905" s="4">
        <v>461612</v>
      </c>
      <c r="C5905" s="4">
        <v>1486</v>
      </c>
      <c r="D5905" s="5" t="s">
        <v>8489</v>
      </c>
      <c r="E5905" s="6" t="str">
        <f>HYPERLINK("https://inpn.mnhn.fr/espece/cd_nom/461612","Cortinarius minicolor Rob.Henry, 1989")</f>
        <v>Cortinarius minicolor Rob.Henry, 1989</v>
      </c>
      <c r="F5905" s="5" t="s">
        <v>8490</v>
      </c>
      <c r="V5905" s="7" t="str">
        <f>HYPERLINK("#Liste_rouge!A"&amp;_xlfn.XMATCH("LC",Liste_rouge!A:A,2,1),"LC")</f>
        <v>LC</v>
      </c>
      <c r="Z5905" s="4" t="s">
        <v>443</v>
      </c>
      <c r="AA5905" s="4" t="s">
        <v>444</v>
      </c>
      <c r="AH5905" s="4" t="str">
        <f>HYPERLINK("#Statut_biogéographique!A"&amp;_xlfn.XMATCH("P",Statut_biogéographique!A:A,2,1),"P")</f>
        <v>P</v>
      </c>
      <c r="AP5905" s="4" t="s">
        <v>376</v>
      </c>
      <c r="AR5905" s="4" t="s">
        <v>377</v>
      </c>
    </row>
    <row r="5906" spans="1:44">
      <c r="A5906" s="4" t="s">
        <v>5</v>
      </c>
      <c r="B5906" s="4">
        <v>461618</v>
      </c>
      <c r="C5906" s="4">
        <v>6363</v>
      </c>
      <c r="D5906" s="5" t="s">
        <v>8491</v>
      </c>
      <c r="E5906" s="6" t="str">
        <f>HYPERLINK("https://inpn.mnhn.fr/espece/cd_nom/461618","Cortinarius magus Moënne-Locc., 2001")</f>
        <v>Cortinarius magus Moënne-Locc., 2001</v>
      </c>
      <c r="AH5906" s="4" t="str">
        <f>HYPERLINK("#Statut_biogéographique!A"&amp;_xlfn.XMATCH("P",Statut_biogéographique!A:A,2,1),"P")</f>
        <v>P</v>
      </c>
      <c r="AP5906" s="4" t="s">
        <v>376</v>
      </c>
      <c r="AR5906" s="4" t="s">
        <v>377</v>
      </c>
    </row>
    <row r="5907" spans="1:44">
      <c r="A5907" s="4" t="s">
        <v>5</v>
      </c>
      <c r="B5907" s="4">
        <v>461637</v>
      </c>
      <c r="C5907" s="4">
        <v>6612</v>
      </c>
      <c r="D5907" s="5" t="s">
        <v>8492</v>
      </c>
      <c r="E5907" s="6" t="str">
        <f>HYPERLINK("https://inpn.mnhn.fr/espece/cd_nom/461637","Cortinarius pini Brandrud, 1996")</f>
        <v>Cortinarius pini Brandrud, 1996</v>
      </c>
      <c r="AH5907" s="4" t="str">
        <f>HYPERLINK("#Statut_biogéographique!A"&amp;_xlfn.XMATCH("P",Statut_biogéographique!A:A,2,1),"P")</f>
        <v>P</v>
      </c>
      <c r="AP5907" s="4" t="s">
        <v>376</v>
      </c>
      <c r="AR5907" s="4" t="s">
        <v>377</v>
      </c>
    </row>
    <row r="5908" spans="1:44" ht="30">
      <c r="A5908" s="4" t="s">
        <v>5</v>
      </c>
      <c r="B5908" s="4">
        <v>461646</v>
      </c>
      <c r="C5908" s="4">
        <v>6118</v>
      </c>
      <c r="D5908" s="5" t="s">
        <v>8493</v>
      </c>
      <c r="E5908" s="6" t="str">
        <f>HYPERLINK("https://inpn.mnhn.fr/espece/cd_nom/461646","Cortinarius ochropudorinus Rob.Henry ex Bidaud &amp; Reumaux, 2006")</f>
        <v>Cortinarius ochropudorinus Rob.Henry ex Bidaud &amp; Reumaux, 2006</v>
      </c>
      <c r="AH5908" s="4" t="str">
        <f>HYPERLINK("#Statut_biogéographique!A"&amp;_xlfn.XMATCH("P",Statut_biogéographique!A:A,2,1),"P")</f>
        <v>P</v>
      </c>
      <c r="AP5908" s="4" t="s">
        <v>376</v>
      </c>
      <c r="AR5908" s="4" t="s">
        <v>377</v>
      </c>
    </row>
    <row r="5909" spans="1:44">
      <c r="A5909" s="4" t="s">
        <v>5</v>
      </c>
      <c r="B5909" s="4">
        <v>461648</v>
      </c>
      <c r="C5909" s="4">
        <v>1867</v>
      </c>
      <c r="D5909" s="5">
        <v>511117</v>
      </c>
      <c r="E5909" s="6" t="str">
        <f>HYPERLINK("https://inpn.mnhn.fr/espece/cd_nom/461648","Cortinarius fulgentissimus Reumaux, 2003")</f>
        <v>Cortinarius fulgentissimus Reumaux, 2003</v>
      </c>
      <c r="F5909" s="5" t="s">
        <v>6460</v>
      </c>
      <c r="Z5909" s="4" t="s">
        <v>447</v>
      </c>
      <c r="AA5909" s="4" t="s">
        <v>448</v>
      </c>
      <c r="AH5909" s="4" t="str">
        <f>HYPERLINK("#Statut_biogéographique!A"&amp;_xlfn.XMATCH("P",Statut_biogéographique!A:A,2,1),"P")</f>
        <v>P</v>
      </c>
      <c r="AP5909" s="4" t="s">
        <v>376</v>
      </c>
      <c r="AR5909" s="4" t="s">
        <v>377</v>
      </c>
    </row>
    <row r="5910" spans="1:44">
      <c r="A5910" s="4" t="s">
        <v>5</v>
      </c>
      <c r="B5910" s="4">
        <v>461649</v>
      </c>
      <c r="C5910" s="4">
        <v>6408</v>
      </c>
      <c r="D5910" s="5">
        <v>511118</v>
      </c>
      <c r="E5910" s="6" t="str">
        <f>HYPERLINK("https://inpn.mnhn.fr/espece/cd_nom/461649","Cortinarius nigrocuspidatus Kauffman, 1921")</f>
        <v>Cortinarius nigrocuspidatus Kauffman, 1921</v>
      </c>
      <c r="AH5910" s="4" t="str">
        <f>HYPERLINK("#Statut_biogéographique!A"&amp;_xlfn.XMATCH("P",Statut_biogéographique!A:A,2,1),"P")</f>
        <v>P</v>
      </c>
      <c r="AP5910" s="4" t="s">
        <v>376</v>
      </c>
      <c r="AR5910" s="4" t="s">
        <v>377</v>
      </c>
    </row>
    <row r="5911" spans="1:44" ht="30">
      <c r="A5911" s="4" t="s">
        <v>5</v>
      </c>
      <c r="B5911" s="4">
        <v>46166</v>
      </c>
      <c r="C5911" s="4">
        <v>4269</v>
      </c>
      <c r="D5911" s="5" t="s">
        <v>8494</v>
      </c>
      <c r="E5911" s="6" t="str">
        <f>HYPERLINK("https://inpn.mnhn.fr/espece/cd_nom/46166","Chaetosphaerella phaeostroma (Durieu &amp; Mont.) E.Müll. &amp; C.Booth, 1972")</f>
        <v>Chaetosphaerella phaeostroma (Durieu &amp; Mont.) E.Müll. &amp; C.Booth, 1972</v>
      </c>
      <c r="AH5911" s="4" t="str">
        <f>HYPERLINK("#Statut_biogéographique!A"&amp;_xlfn.XMATCH("P",Statut_biogéographique!A:A,2,1),"P")</f>
        <v>P</v>
      </c>
      <c r="AP5911" s="4" t="s">
        <v>376</v>
      </c>
      <c r="AR5911" s="4" t="s">
        <v>377</v>
      </c>
    </row>
    <row r="5912" spans="1:44">
      <c r="A5912" s="4" t="s">
        <v>5</v>
      </c>
      <c r="B5912" s="4">
        <v>461687</v>
      </c>
      <c r="C5912" s="4">
        <v>4676</v>
      </c>
      <c r="D5912" s="5" t="s">
        <v>8495</v>
      </c>
      <c r="E5912" s="6" t="str">
        <f>HYPERLINK("https://inpn.mnhn.fr/espece/cd_nom/461687","Cortinarius praesignis Britzelm., 1894")</f>
        <v>Cortinarius praesignis Britzelm., 1894</v>
      </c>
      <c r="V5912" s="7" t="str">
        <f>HYPERLINK("#Liste_rouge!A"&amp;_xlfn.XMATCH("RE",Liste_rouge!A:A,2,1),"RE")</f>
        <v>RE</v>
      </c>
      <c r="AH5912" s="4" t="str">
        <f>HYPERLINK("#Statut_biogéographique!A"&amp;_xlfn.XMATCH("P",Statut_biogéographique!A:A,2,1),"P")</f>
        <v>P</v>
      </c>
      <c r="AP5912" s="4" t="s">
        <v>376</v>
      </c>
      <c r="AR5912" s="4" t="s">
        <v>377</v>
      </c>
    </row>
    <row r="5913" spans="1:44">
      <c r="A5913" s="4" t="s">
        <v>5</v>
      </c>
      <c r="B5913" s="4">
        <v>461691</v>
      </c>
      <c r="C5913" s="4">
        <v>1546</v>
      </c>
      <c r="D5913" s="5" t="s">
        <v>8496</v>
      </c>
      <c r="E5913" s="6" t="str">
        <f>HYPERLINK("https://inpn.mnhn.fr/espece/cd_nom/461691","Cortinarius atrovirens Kalchbr., 1874")</f>
        <v>Cortinarius atrovirens Kalchbr., 1874</v>
      </c>
      <c r="F5913" s="5" t="s">
        <v>6484</v>
      </c>
      <c r="V5913" s="7" t="str">
        <f>HYPERLINK("#Liste_rouge!A"&amp;_xlfn.XMATCH("LC",Liste_rouge!A:A,2,1),"LC")</f>
        <v>LC</v>
      </c>
      <c r="Z5913" s="4" t="s">
        <v>447</v>
      </c>
      <c r="AA5913" s="4" t="s">
        <v>448</v>
      </c>
      <c r="AH5913" s="4" t="str">
        <f>HYPERLINK("#Statut_biogéographique!A"&amp;_xlfn.XMATCH("P",Statut_biogéographique!A:A,2,1),"P")</f>
        <v>P</v>
      </c>
      <c r="AP5913" s="4" t="s">
        <v>376</v>
      </c>
      <c r="AR5913" s="4" t="s">
        <v>377</v>
      </c>
    </row>
    <row r="5914" spans="1:44">
      <c r="A5914" s="4" t="s">
        <v>5</v>
      </c>
      <c r="B5914" s="4">
        <v>461696</v>
      </c>
      <c r="C5914" s="4">
        <v>6090</v>
      </c>
      <c r="D5914" s="5" t="s">
        <v>8497</v>
      </c>
      <c r="E5914" s="6" t="str">
        <f>HYPERLINK("https://inpn.mnhn.fr/espece/cd_nom/461696","Cortinarius paludinellus Moënne-Locc., 2003")</f>
        <v>Cortinarius paludinellus Moënne-Locc., 2003</v>
      </c>
      <c r="AH5914" s="4" t="str">
        <f>HYPERLINK("#Statut_biogéographique!A"&amp;_xlfn.XMATCH("P",Statut_biogéographique!A:A,2,1),"P")</f>
        <v>P</v>
      </c>
      <c r="AP5914" s="4" t="s">
        <v>376</v>
      </c>
      <c r="AR5914" s="4" t="s">
        <v>377</v>
      </c>
    </row>
    <row r="5915" spans="1:44">
      <c r="A5915" s="4" t="s">
        <v>5</v>
      </c>
      <c r="B5915" s="4">
        <v>461701</v>
      </c>
      <c r="C5915" s="4">
        <v>3768</v>
      </c>
      <c r="D5915" s="5" t="s">
        <v>8498</v>
      </c>
      <c r="E5915" s="6" t="str">
        <f>HYPERLINK("https://inpn.mnhn.fr/espece/cd_nom/461701","Cortinarius pallidophyllus Reumaux, 2008")</f>
        <v>Cortinarius pallidophyllus Reumaux, 2008</v>
      </c>
      <c r="F5915" s="5" t="s">
        <v>6147</v>
      </c>
      <c r="V5915" s="7" t="str">
        <f>HYPERLINK("#Liste_rouge!A"&amp;_xlfn.XMATCH("DD",Liste_rouge!A:A,2,1),"DD")</f>
        <v>DD</v>
      </c>
      <c r="AH5915" s="4" t="str">
        <f>HYPERLINK("#Statut_biogéographique!A"&amp;_xlfn.XMATCH("P",Statut_biogéographique!A:A,2,1),"P")</f>
        <v>P</v>
      </c>
      <c r="AP5915" s="4" t="s">
        <v>376</v>
      </c>
      <c r="AR5915" s="4" t="s">
        <v>377</v>
      </c>
    </row>
    <row r="5916" spans="1:44" ht="30">
      <c r="A5916" s="4" t="s">
        <v>5</v>
      </c>
      <c r="B5916" s="4">
        <v>461707</v>
      </c>
      <c r="C5916" s="4">
        <v>4153</v>
      </c>
      <c r="D5916" s="5" t="s">
        <v>8499</v>
      </c>
      <c r="E5916" s="6" t="str">
        <f>HYPERLINK("https://inpn.mnhn.fr/espece/cd_nom/461707","Cortinarius percomium Rob.Henry ex Bidaud &amp; Reumaux, 2004")</f>
        <v>Cortinarius percomium Rob.Henry ex Bidaud &amp; Reumaux, 2004</v>
      </c>
      <c r="V5916" s="7" t="str">
        <f>HYPERLINK("#Liste_rouge!A"&amp;_xlfn.XMATCH("DD",Liste_rouge!A:A,2,1),"DD")</f>
        <v>DD</v>
      </c>
      <c r="AH5916" s="4" t="str">
        <f>HYPERLINK("#Statut_biogéographique!A"&amp;_xlfn.XMATCH("P",Statut_biogéographique!A:A,2,1),"P")</f>
        <v>P</v>
      </c>
      <c r="AP5916" s="4" t="s">
        <v>376</v>
      </c>
      <c r="AR5916" s="4" t="s">
        <v>377</v>
      </c>
    </row>
    <row r="5917" spans="1:44">
      <c r="A5917" s="4" t="s">
        <v>5</v>
      </c>
      <c r="B5917" s="4">
        <v>461711</v>
      </c>
      <c r="C5917" s="4">
        <v>5474</v>
      </c>
      <c r="D5917" s="5" t="s">
        <v>8500</v>
      </c>
      <c r="E5917" s="6" t="str">
        <f>HYPERLINK("https://inpn.mnhn.fr/espece/cd_nom/461711","Cortinarius olidoamarus A.Favre, 1986")</f>
        <v>Cortinarius olidoamarus A.Favre, 1986</v>
      </c>
      <c r="V5917" s="7" t="str">
        <f>HYPERLINK("#Liste_rouge!A"&amp;_xlfn.XMATCH("DD",Liste_rouge!A:A,2,1),"DD")</f>
        <v>DD</v>
      </c>
      <c r="AH5917" s="4" t="str">
        <f>HYPERLINK("#Statut_biogéographique!A"&amp;_xlfn.XMATCH("P",Statut_biogéographique!A:A,2,1),"P")</f>
        <v>P</v>
      </c>
      <c r="AP5917" s="4" t="s">
        <v>376</v>
      </c>
      <c r="AR5917" s="4" t="s">
        <v>377</v>
      </c>
    </row>
    <row r="5918" spans="1:44" ht="30">
      <c r="A5918" s="4" t="s">
        <v>5</v>
      </c>
      <c r="B5918" s="4">
        <v>461717</v>
      </c>
      <c r="C5918" s="4">
        <v>3556</v>
      </c>
      <c r="D5918" s="5" t="s">
        <v>8501</v>
      </c>
      <c r="E5918" s="6" t="str">
        <f>HYPERLINK("https://inpn.mnhn.fr/espece/cd_nom/461717","Cortinarius ophiopus Peck, 1878")</f>
        <v>Cortinarius ophiopus Peck, 1878</v>
      </c>
      <c r="F5918" s="5" t="s">
        <v>6636</v>
      </c>
      <c r="V5918" s="7" t="str">
        <f>HYPERLINK("#Liste_rouge!A"&amp;_xlfn.XMATCH("LC",Liste_rouge!A:A,2,1),"LC")</f>
        <v>LC</v>
      </c>
      <c r="AH5918" s="4" t="str">
        <f>HYPERLINK("#Statut_biogéographique!A"&amp;_xlfn.XMATCH("P",Statut_biogéographique!A:A,2,1),"P")</f>
        <v>P</v>
      </c>
      <c r="AP5918" s="4" t="s">
        <v>376</v>
      </c>
      <c r="AR5918" s="4" t="s">
        <v>377</v>
      </c>
    </row>
    <row r="5919" spans="1:44" ht="30">
      <c r="A5919" s="4" t="s">
        <v>5</v>
      </c>
      <c r="B5919" s="4">
        <v>461725</v>
      </c>
      <c r="C5919" s="4">
        <v>6406</v>
      </c>
      <c r="D5919" s="5" t="s">
        <v>8502</v>
      </c>
      <c r="E5919" s="6" t="str">
        <f>HYPERLINK("https://inpn.mnhn.fr/espece/cd_nom/461725","Cortinarius pantherinus Jul.Schäff. ex Reumaux, 2004")</f>
        <v>Cortinarius pantherinus Jul.Schäff. ex Reumaux, 2004</v>
      </c>
      <c r="AH5919" s="4" t="str">
        <f>HYPERLINK("#Statut_biogéographique!A"&amp;_xlfn.XMATCH("P",Statut_biogéographique!A:A,2,1),"P")</f>
        <v>P</v>
      </c>
      <c r="AP5919" s="4" t="s">
        <v>376</v>
      </c>
      <c r="AR5919" s="4" t="s">
        <v>377</v>
      </c>
    </row>
    <row r="5920" spans="1:44">
      <c r="A5920" s="4" t="s">
        <v>5</v>
      </c>
      <c r="B5920" s="4">
        <v>461726</v>
      </c>
      <c r="C5920" s="4">
        <v>3558</v>
      </c>
      <c r="D5920" s="5" t="s">
        <v>8503</v>
      </c>
      <c r="E5920" s="6" t="str">
        <f>HYPERLINK("https://inpn.mnhn.fr/espece/cd_nom/461726","Cortinarius parvulisemen Rob.Henry, 1961")</f>
        <v>Cortinarius parvulisemen Rob.Henry, 1961</v>
      </c>
      <c r="V5920" s="7" t="str">
        <f>HYPERLINK("#Liste_rouge!A"&amp;_xlfn.XMATCH("DD",Liste_rouge!A:A,2,1),"DD")</f>
        <v>DD</v>
      </c>
      <c r="AH5920" s="4" t="str">
        <f>HYPERLINK("#Statut_biogéographique!A"&amp;_xlfn.XMATCH("P",Statut_biogéographique!A:A,2,1),"P")</f>
        <v>P</v>
      </c>
      <c r="AP5920" s="4" t="s">
        <v>376</v>
      </c>
      <c r="AR5920" s="4" t="s">
        <v>377</v>
      </c>
    </row>
    <row r="5921" spans="1:44">
      <c r="A5921" s="4" t="s">
        <v>5</v>
      </c>
      <c r="B5921" s="4">
        <v>461728</v>
      </c>
      <c r="C5921" s="4">
        <v>965</v>
      </c>
      <c r="D5921" s="5" t="s">
        <v>8504</v>
      </c>
      <c r="E5921" s="6" t="str">
        <f>HYPERLINK("https://inpn.mnhn.fr/espece/cd_nom/461728","Cortinarius parvulus Rob.Henry, 1941")</f>
        <v>Cortinarius parvulus Rob.Henry, 1941</v>
      </c>
      <c r="V5921" s="7" t="str">
        <f>HYPERLINK("#Liste_rouge!A"&amp;_xlfn.XMATCH("LC",Liste_rouge!A:A,2,1),"LC")</f>
        <v>LC</v>
      </c>
      <c r="AH5921" s="4" t="str">
        <f>HYPERLINK("#Statut_biogéographique!A"&amp;_xlfn.XMATCH("P",Statut_biogéographique!A:A,2,1),"P")</f>
        <v>P</v>
      </c>
      <c r="AP5921" s="4" t="s">
        <v>376</v>
      </c>
      <c r="AR5921" s="4" t="s">
        <v>377</v>
      </c>
    </row>
    <row r="5922" spans="1:44">
      <c r="A5922" s="4" t="s">
        <v>5</v>
      </c>
      <c r="B5922" s="4">
        <v>461732</v>
      </c>
      <c r="C5922" s="4">
        <v>3063</v>
      </c>
      <c r="D5922" s="5" t="s">
        <v>8505</v>
      </c>
      <c r="E5922" s="6" t="str">
        <f>HYPERLINK("https://inpn.mnhn.fr/espece/cd_nom/461732","Cortinarius parherpeticus Rob.Henry, 1952")</f>
        <v>Cortinarius parherpeticus Rob.Henry, 1952</v>
      </c>
      <c r="V5922" s="7" t="str">
        <f>HYPERLINK("#Liste_rouge!A"&amp;_xlfn.XMATCH("EN",Liste_rouge!A:A,2,1),"EN")</f>
        <v>EN</v>
      </c>
      <c r="W5922" s="4" t="str">
        <f>HYPERLINK("#Critères_liste_rouge!A$1","B2abiii")</f>
        <v>B2abiii</v>
      </c>
      <c r="Z5922" s="4" t="s">
        <v>443</v>
      </c>
      <c r="AA5922" s="4" t="s">
        <v>444</v>
      </c>
      <c r="AH5922" s="4" t="str">
        <f>HYPERLINK("#Statut_biogéographique!A"&amp;_xlfn.XMATCH("P",Statut_biogéographique!A:A,2,1),"P")</f>
        <v>P</v>
      </c>
      <c r="AP5922" s="4" t="s">
        <v>376</v>
      </c>
      <c r="AR5922" s="4" t="s">
        <v>377</v>
      </c>
    </row>
    <row r="5923" spans="1:44">
      <c r="A5923" s="4" t="s">
        <v>5</v>
      </c>
      <c r="B5923" s="4">
        <v>461739</v>
      </c>
      <c r="C5923" s="4">
        <v>4152</v>
      </c>
      <c r="D5923" s="5" t="s">
        <v>8506</v>
      </c>
      <c r="E5923" s="6" t="str">
        <f>HYPERLINK("https://inpn.mnhn.fr/espece/cd_nom/461739","Cortinarius patibilis Brandrud &amp; Melot, 1983")</f>
        <v>Cortinarius patibilis Brandrud &amp; Melot, 1983</v>
      </c>
      <c r="V5923" s="7" t="str">
        <f>HYPERLINK("#Liste_rouge!A"&amp;_xlfn.XMATCH("DD",Liste_rouge!A:A,2,1),"DD")</f>
        <v>DD</v>
      </c>
      <c r="AH5923" s="4" t="str">
        <f>HYPERLINK("#Statut_biogéographique!A"&amp;_xlfn.XMATCH("P",Statut_biogéographique!A:A,2,1),"P")</f>
        <v>P</v>
      </c>
      <c r="AP5923" s="4" t="s">
        <v>376</v>
      </c>
      <c r="AR5923" s="4" t="s">
        <v>377</v>
      </c>
    </row>
    <row r="5924" spans="1:44" ht="30">
      <c r="A5924" s="4" t="s">
        <v>5</v>
      </c>
      <c r="B5924" s="4">
        <v>461750</v>
      </c>
      <c r="C5924" s="4">
        <v>2984</v>
      </c>
      <c r="D5924" s="5" t="s">
        <v>8507</v>
      </c>
      <c r="E5924" s="6" t="str">
        <f>HYPERLINK("https://inpn.mnhn.fr/espece/cd_nom/461750","Cortinarius parasuaveolens (Bon &amp; Trescol) Bidaud, Moënne-Locc. &amp; Reumaux, 2000")</f>
        <v>Cortinarius parasuaveolens (Bon &amp; Trescol) Bidaud, Moënne-Locc. &amp; Reumaux, 2000</v>
      </c>
      <c r="V5924" s="7" t="str">
        <f>HYPERLINK("#Liste_rouge!A"&amp;_xlfn.XMATCH("EN",Liste_rouge!A:A,2,1),"EN")</f>
        <v>EN</v>
      </c>
      <c r="W5924" s="4" t="str">
        <f>HYPERLINK("#Critères_liste_rouge!A$1","B2abiii")</f>
        <v>B2abiii</v>
      </c>
      <c r="Z5924" s="4" t="s">
        <v>447</v>
      </c>
      <c r="AA5924" s="4" t="s">
        <v>448</v>
      </c>
      <c r="AH5924" s="4" t="str">
        <f>HYPERLINK("#Statut_biogéographique!A"&amp;_xlfn.XMATCH("P",Statut_biogéographique!A:A,2,1),"P")</f>
        <v>P</v>
      </c>
      <c r="AP5924" s="4" t="s">
        <v>376</v>
      </c>
      <c r="AR5924" s="4" t="s">
        <v>377</v>
      </c>
    </row>
    <row r="5925" spans="1:44">
      <c r="A5925" s="4" t="s">
        <v>5</v>
      </c>
      <c r="B5925" s="4">
        <v>461753</v>
      </c>
      <c r="C5925" s="4">
        <v>4969</v>
      </c>
      <c r="D5925" s="5" t="s">
        <v>8508</v>
      </c>
      <c r="E5925" s="6" t="str">
        <f>HYPERLINK("https://inpn.mnhn.fr/espece/cd_nom/461753","Cortinarius pardipes Rob.Henry, 1985")</f>
        <v>Cortinarius pardipes Rob.Henry, 1985</v>
      </c>
      <c r="V5925" s="7" t="str">
        <f>HYPERLINK("#Liste_rouge!A"&amp;_xlfn.XMATCH("DD",Liste_rouge!A:A,2,1),"DD")</f>
        <v>DD</v>
      </c>
      <c r="AH5925" s="4" t="str">
        <f>HYPERLINK("#Statut_biogéographique!A"&amp;_xlfn.XMATCH("P",Statut_biogéographique!A:A,2,1),"P")</f>
        <v>P</v>
      </c>
      <c r="AP5925" s="4" t="s">
        <v>376</v>
      </c>
      <c r="AR5925" s="4" t="s">
        <v>377</v>
      </c>
    </row>
    <row r="5926" spans="1:44">
      <c r="A5926" s="4" t="s">
        <v>5</v>
      </c>
      <c r="B5926" s="4">
        <v>461754</v>
      </c>
      <c r="C5926" s="4">
        <v>1867</v>
      </c>
      <c r="D5926" s="5" t="s">
        <v>8509</v>
      </c>
      <c r="E5926" s="6" t="str">
        <f>HYPERLINK("https://inpn.mnhn.fr/espece/cd_nom/461754","Cortinarius fulgentissimus Reumaux, 2003")</f>
        <v>Cortinarius fulgentissimus Reumaux, 2003</v>
      </c>
      <c r="F5926" s="5" t="s">
        <v>6460</v>
      </c>
      <c r="Z5926" s="4" t="s">
        <v>447</v>
      </c>
      <c r="AA5926" s="4" t="s">
        <v>448</v>
      </c>
      <c r="AH5926" s="4" t="str">
        <f>HYPERLINK("#Statut_biogéographique!A"&amp;_xlfn.XMATCH("P",Statut_biogéographique!A:A,2,1),"P")</f>
        <v>P</v>
      </c>
      <c r="AP5926" s="4" t="s">
        <v>376</v>
      </c>
      <c r="AR5926" s="4" t="s">
        <v>377</v>
      </c>
    </row>
    <row r="5927" spans="1:44" ht="30">
      <c r="A5927" s="4" t="s">
        <v>5</v>
      </c>
      <c r="B5927" s="4">
        <v>461765</v>
      </c>
      <c r="C5927" s="4">
        <v>5752</v>
      </c>
      <c r="D5927" s="5" t="s">
        <v>8510</v>
      </c>
      <c r="E5927" s="6" t="str">
        <f>HYPERLINK("https://inpn.mnhn.fr/espece/cd_nom/461765","Flammulina elastica (Sacc.) Redhead &amp; R.H.Petersen, 1999")</f>
        <v>Flammulina elastica (Sacc.) Redhead &amp; R.H.Petersen, 1999</v>
      </c>
      <c r="F5927" s="5" t="s">
        <v>8511</v>
      </c>
      <c r="AH5927" s="4" t="str">
        <f>HYPERLINK("#Statut_biogéographique!A"&amp;_xlfn.XMATCH("P",Statut_biogéographique!A:A,2,1),"P")</f>
        <v>P</v>
      </c>
      <c r="AP5927" s="4" t="s">
        <v>376</v>
      </c>
      <c r="AR5927" s="4" t="s">
        <v>377</v>
      </c>
    </row>
    <row r="5928" spans="1:44" ht="30">
      <c r="A5928" s="4" t="s">
        <v>5</v>
      </c>
      <c r="B5928" s="4">
        <v>461773</v>
      </c>
      <c r="C5928" s="4">
        <v>922</v>
      </c>
      <c r="D5928" s="5" t="s">
        <v>8512</v>
      </c>
      <c r="E5928" s="6" t="str">
        <f>HYPERLINK("https://inpn.mnhn.fr/espece/cd_nom/461773","Entyloma veronicae (Halst.) Lagerh., 1891")</f>
        <v>Entyloma veronicae (Halst.) Lagerh., 1891</v>
      </c>
      <c r="AH5928" s="4" t="str">
        <f>HYPERLINK("#Statut_biogéographique!A"&amp;_xlfn.XMATCH("P",Statut_biogéographique!A:A,2,1),"P")</f>
        <v>P</v>
      </c>
      <c r="AP5928" s="4" t="s">
        <v>376</v>
      </c>
      <c r="AR5928" s="4" t="s">
        <v>377</v>
      </c>
    </row>
    <row r="5929" spans="1:44">
      <c r="A5929" s="4" t="s">
        <v>5</v>
      </c>
      <c r="B5929" s="4">
        <v>461780</v>
      </c>
      <c r="C5929" s="4">
        <v>3298</v>
      </c>
      <c r="D5929" s="5" t="s">
        <v>8513</v>
      </c>
      <c r="E5929" s="6" t="str">
        <f>HYPERLINK("https://inpn.mnhn.fr/espece/cd_nom/461780","Exidiopsis pulverea Hauerslev, 1993")</f>
        <v>Exidiopsis pulverea Hauerslev, 1993</v>
      </c>
      <c r="V5929" s="7" t="str">
        <f>HYPERLINK("#Liste_rouge!A"&amp;_xlfn.XMATCH("DD",Liste_rouge!A:A,2,1),"DD")</f>
        <v>DD</v>
      </c>
      <c r="AH5929" s="4" t="str">
        <f>HYPERLINK("#Statut_biogéographique!A"&amp;_xlfn.XMATCH("P",Statut_biogéographique!A:A,2,1),"P")</f>
        <v>P</v>
      </c>
      <c r="AP5929" s="4" t="s">
        <v>376</v>
      </c>
      <c r="AR5929" s="4" t="s">
        <v>377</v>
      </c>
    </row>
    <row r="5930" spans="1:44" ht="30">
      <c r="A5930" s="4" t="s">
        <v>5</v>
      </c>
      <c r="B5930" s="4">
        <v>461781</v>
      </c>
      <c r="C5930" s="4">
        <v>2686</v>
      </c>
      <c r="D5930" s="5" t="s">
        <v>8514</v>
      </c>
      <c r="E5930" s="6" t="str">
        <f>HYPERLINK("https://inpn.mnhn.fr/espece/cd_nom/461781","Exobasidium juelianum Nannf., 1981")</f>
        <v>Exobasidium juelianum Nannf., 1981</v>
      </c>
      <c r="V5930" s="7" t="str">
        <f>HYPERLINK("#Liste_rouge!A"&amp;_xlfn.XMATCH("DD",Liste_rouge!A:A,2,1),"DD")</f>
        <v>DD</v>
      </c>
      <c r="AH5930" s="4" t="str">
        <f>HYPERLINK("#Statut_biogéographique!A"&amp;_xlfn.XMATCH("P",Statut_biogéographique!A:A,2,1),"P")</f>
        <v>P</v>
      </c>
      <c r="AP5930" s="4" t="s">
        <v>376</v>
      </c>
      <c r="AR5930" s="4" t="s">
        <v>377</v>
      </c>
    </row>
    <row r="5931" spans="1:44">
      <c r="A5931" s="4" t="s">
        <v>5</v>
      </c>
      <c r="B5931" s="4">
        <v>461783</v>
      </c>
      <c r="C5931" s="4">
        <v>5545</v>
      </c>
      <c r="D5931" s="5" t="s">
        <v>8515</v>
      </c>
      <c r="E5931" s="6" t="str">
        <f>HYPERLINK("https://inpn.mnhn.fr/espece/cd_nom/461783","Exobasidium vaccinii-uliginosi Boud., 1894")</f>
        <v>Exobasidium vaccinii-uliginosi Boud., 1894</v>
      </c>
      <c r="F5931" s="5" t="s">
        <v>8516</v>
      </c>
      <c r="V5931" s="7" t="str">
        <f>HYPERLINK("#Liste_rouge!A"&amp;_xlfn.XMATCH("DD",Liste_rouge!A:A,2,1),"DD")</f>
        <v>DD</v>
      </c>
      <c r="AH5931" s="4" t="str">
        <f>HYPERLINK("#Statut_biogéographique!A"&amp;_xlfn.XMATCH("P",Statut_biogéographique!A:A,2,1),"P")</f>
        <v>P</v>
      </c>
      <c r="AP5931" s="4" t="s">
        <v>376</v>
      </c>
      <c r="AR5931" s="4" t="s">
        <v>377</v>
      </c>
    </row>
    <row r="5932" spans="1:44" ht="30">
      <c r="A5932" s="4" t="s">
        <v>5</v>
      </c>
      <c r="B5932" s="4">
        <v>461786</v>
      </c>
      <c r="C5932" s="4">
        <v>2671</v>
      </c>
      <c r="D5932" s="5" t="s">
        <v>8517</v>
      </c>
      <c r="E5932" s="6" t="str">
        <f>HYPERLINK("https://inpn.mnhn.fr/espece/cd_nom/461786","Episphaeria fraxinicola (Berk. &amp; Broome) Donk, 1962")</f>
        <v>Episphaeria fraxinicola (Berk. &amp; Broome) Donk, 1962</v>
      </c>
      <c r="V5932" s="7" t="str">
        <f>HYPERLINK("#Liste_rouge!A"&amp;_xlfn.XMATCH("DD",Liste_rouge!A:A,2,1),"DD")</f>
        <v>DD</v>
      </c>
      <c r="AH5932" s="4" t="str">
        <f>HYPERLINK("#Statut_biogéographique!A"&amp;_xlfn.XMATCH("P",Statut_biogéographique!A:A,2,1),"P")</f>
        <v>P</v>
      </c>
      <c r="AP5932" s="4" t="s">
        <v>376</v>
      </c>
      <c r="AR5932" s="4" t="s">
        <v>377</v>
      </c>
    </row>
    <row r="5933" spans="1:44" ht="30">
      <c r="A5933" s="4" t="s">
        <v>5</v>
      </c>
      <c r="B5933" s="4">
        <v>461795</v>
      </c>
      <c r="C5933" s="4">
        <v>2257</v>
      </c>
      <c r="D5933" s="5" t="s">
        <v>8518</v>
      </c>
      <c r="E5933" s="6" t="str">
        <f>HYPERLINK("https://inpn.mnhn.fr/espece/cd_nom/461795","Galerina mairei Boutev. &amp; P.-A.Moreau, 2005")</f>
        <v>Galerina mairei Boutev. &amp; P.-A.Moreau, 2005</v>
      </c>
      <c r="V5933" s="7" t="str">
        <f>HYPERLINK("#Liste_rouge!A"&amp;_xlfn.XMATCH("LC",Liste_rouge!A:A,2,1),"LC")</f>
        <v>LC</v>
      </c>
      <c r="AH5933" s="4" t="str">
        <f>HYPERLINK("#Statut_biogéographique!A"&amp;_xlfn.XMATCH("P",Statut_biogéographique!A:A,2,1),"P")</f>
        <v>P</v>
      </c>
      <c r="AP5933" s="4" t="s">
        <v>376</v>
      </c>
      <c r="AR5933" s="4" t="s">
        <v>377</v>
      </c>
    </row>
    <row r="5934" spans="1:44" ht="30">
      <c r="A5934" s="4" t="s">
        <v>5</v>
      </c>
      <c r="B5934" s="4">
        <v>461796</v>
      </c>
      <c r="C5934" s="4">
        <v>2340</v>
      </c>
      <c r="D5934" s="5" t="s">
        <v>8519</v>
      </c>
      <c r="E5934" s="6" t="str">
        <f>HYPERLINK("https://inpn.mnhn.fr/espece/cd_nom/461796","Gautiera morchellaeformis Vittad.")</f>
        <v>Gautiera morchellaeformis Vittad.</v>
      </c>
      <c r="V5934" s="7" t="str">
        <f>HYPERLINK("#Liste_rouge!A"&amp;_xlfn.XMATCH("EN",Liste_rouge!A:A,2,1),"EN")</f>
        <v>EN</v>
      </c>
      <c r="W5934" s="4" t="str">
        <f>HYPERLINK("#Critères_liste_rouge!A$1","B2abiii")</f>
        <v>B2abiii</v>
      </c>
      <c r="Z5934" s="4" t="s">
        <v>447</v>
      </c>
      <c r="AA5934" s="4" t="s">
        <v>448</v>
      </c>
      <c r="AH5934" s="4" t="str">
        <f>HYPERLINK("#Statut_biogéographique!A"&amp;_xlfn.XMATCH("P",Statut_biogéographique!A:A,2,1),"P")</f>
        <v>P</v>
      </c>
      <c r="AP5934" s="4" t="s">
        <v>376</v>
      </c>
      <c r="AR5934" s="4" t="s">
        <v>377</v>
      </c>
    </row>
    <row r="5935" spans="1:44">
      <c r="A5935" s="4" t="s">
        <v>5</v>
      </c>
      <c r="B5935" s="4">
        <v>461802</v>
      </c>
      <c r="C5935" s="4">
        <v>6164</v>
      </c>
      <c r="D5935" s="5" t="s">
        <v>8520</v>
      </c>
      <c r="E5935" s="6" t="str">
        <f>HYPERLINK("https://inpn.mnhn.fr/espece/cd_nom/461802","Gamundia striatula (Kühner) Raithelh., 1983")</f>
        <v>Gamundia striatula (Kühner) Raithelh., 1983</v>
      </c>
      <c r="AH5935" s="4" t="str">
        <f>HYPERLINK("#Statut_biogéographique!A"&amp;_xlfn.XMATCH("P",Statut_biogéographique!A:A,2,1),"P")</f>
        <v>P</v>
      </c>
      <c r="AP5935" s="4" t="s">
        <v>376</v>
      </c>
      <c r="AR5935" s="4" t="s">
        <v>377</v>
      </c>
    </row>
    <row r="5936" spans="1:44">
      <c r="A5936" s="4" t="s">
        <v>5</v>
      </c>
      <c r="B5936" s="4">
        <v>461807</v>
      </c>
      <c r="D5936" s="5" t="s">
        <v>8521</v>
      </c>
      <c r="E5936" s="6" t="str">
        <f>HYPERLINK("https://inpn.mnhn.fr/espece/cd_nom/461807","Fuscoporia ferrea (Pers.) G.Cunn., 1948")</f>
        <v>Fuscoporia ferrea (Pers.) G.Cunn., 1948</v>
      </c>
      <c r="F5936" s="5" t="s">
        <v>1428</v>
      </c>
      <c r="V5936" s="7" t="str">
        <f>HYPERLINK("#Liste_rouge!A"&amp;_xlfn.XMATCH("LC",Liste_rouge!A:A,2,1),"LC")</f>
        <v>LC</v>
      </c>
      <c r="AH5936" s="4" t="str">
        <f>HYPERLINK("#Statut_biogéographique!A"&amp;_xlfn.XMATCH("P",Statut_biogéographique!A:A,2,1),"P")</f>
        <v>P</v>
      </c>
      <c r="AP5936" s="4" t="s">
        <v>376</v>
      </c>
      <c r="AR5936" s="4" t="s">
        <v>377</v>
      </c>
    </row>
    <row r="5937" spans="1:44" ht="45">
      <c r="A5937" s="4" t="s">
        <v>5</v>
      </c>
      <c r="B5937" s="4">
        <v>461808</v>
      </c>
      <c r="C5937" s="4">
        <v>744</v>
      </c>
      <c r="D5937" s="5" t="s">
        <v>8522</v>
      </c>
      <c r="E5937" s="6" t="str">
        <f>HYPERLINK("https://inpn.mnhn.fr/espece/cd_nom/461808","Fuscoporia ferruginosa (Schrad.) Murrill, 1907")</f>
        <v>Fuscoporia ferruginosa (Schrad.) Murrill, 1907</v>
      </c>
      <c r="F5937" s="5" t="s">
        <v>8523</v>
      </c>
      <c r="V5937" s="7" t="str">
        <f>HYPERLINK("#Liste_rouge!A"&amp;_xlfn.XMATCH("LC",Liste_rouge!A:A,2,1),"LC")</f>
        <v>LC</v>
      </c>
      <c r="AH5937" s="4" t="str">
        <f>HYPERLINK("#Statut_biogéographique!A"&amp;_xlfn.XMATCH("P",Statut_biogéographique!A:A,2,1),"P")</f>
        <v>P</v>
      </c>
      <c r="AP5937" s="4" t="s">
        <v>376</v>
      </c>
      <c r="AR5937" s="4" t="s">
        <v>377</v>
      </c>
    </row>
    <row r="5938" spans="1:44" ht="30">
      <c r="A5938" s="4" t="s">
        <v>5</v>
      </c>
      <c r="B5938" s="4">
        <v>46181</v>
      </c>
      <c r="C5938" s="4">
        <v>2699</v>
      </c>
      <c r="D5938" s="5" t="s">
        <v>8524</v>
      </c>
      <c r="E5938" s="6" t="str">
        <f>HYPERLINK("https://inpn.mnhn.fr/espece/cd_nom/46181","Chaetosphaeria myriocarpa (Fr.) C.Booth, 1957")</f>
        <v>Chaetosphaeria myriocarpa (Fr.) C.Booth, 1957</v>
      </c>
      <c r="AH5938" s="4" t="str">
        <f>HYPERLINK("#Statut_biogéographique!A"&amp;_xlfn.XMATCH("P",Statut_biogéographique!A:A,2,1),"P")</f>
        <v>P</v>
      </c>
      <c r="AP5938" s="4" t="s">
        <v>376</v>
      </c>
      <c r="AR5938" s="4" t="s">
        <v>377</v>
      </c>
    </row>
    <row r="5939" spans="1:44">
      <c r="A5939" s="4" t="s">
        <v>5</v>
      </c>
      <c r="B5939" s="4">
        <v>461813</v>
      </c>
      <c r="C5939" s="4">
        <v>6468</v>
      </c>
      <c r="D5939" s="5" t="s">
        <v>8525</v>
      </c>
      <c r="E5939" s="6" t="str">
        <f>HYPERLINK("https://inpn.mnhn.fr/espece/cd_nom/461813","Galerina arctica (Singer) Nezdojm., 1982")</f>
        <v>Galerina arctica (Singer) Nezdojm., 1982</v>
      </c>
      <c r="F5939" s="5" t="s">
        <v>8526</v>
      </c>
      <c r="AH5939" s="4" t="str">
        <f>HYPERLINK("#Statut_biogéographique!A"&amp;_xlfn.XMATCH("P",Statut_biogéographique!A:A,2,1),"P")</f>
        <v>P</v>
      </c>
      <c r="AP5939" s="4" t="s">
        <v>376</v>
      </c>
      <c r="AR5939" s="4" t="s">
        <v>377</v>
      </c>
    </row>
    <row r="5940" spans="1:44" ht="30">
      <c r="A5940" s="4" t="s">
        <v>5</v>
      </c>
      <c r="B5940" s="4">
        <v>461814</v>
      </c>
      <c r="C5940" s="4">
        <v>5204</v>
      </c>
      <c r="D5940" s="5" t="s">
        <v>8527</v>
      </c>
      <c r="E5940" s="6" t="str">
        <f>HYPERLINK("https://inpn.mnhn.fr/espece/cd_nom/461814","Galerina badipus (Pers.) Kühner, 1935")</f>
        <v>Galerina badipus (Pers.) Kühner, 1935</v>
      </c>
      <c r="F5940" s="5" t="s">
        <v>8528</v>
      </c>
      <c r="V5940" s="7" t="str">
        <f>HYPERLINK("#Liste_rouge!A"&amp;_xlfn.XMATCH("LC",Liste_rouge!A:A,2,1),"LC")</f>
        <v>LC</v>
      </c>
      <c r="AH5940" s="4" t="str">
        <f>HYPERLINK("#Statut_biogéographique!A"&amp;_xlfn.XMATCH("P",Statut_biogéographique!A:A,2,1),"P")</f>
        <v>P</v>
      </c>
      <c r="AP5940" s="4" t="s">
        <v>376</v>
      </c>
      <c r="AR5940" s="4" t="s">
        <v>377</v>
      </c>
    </row>
    <row r="5941" spans="1:44">
      <c r="A5941" s="4" t="s">
        <v>5</v>
      </c>
      <c r="B5941" s="4">
        <v>461815</v>
      </c>
      <c r="C5941" s="4">
        <v>2250</v>
      </c>
      <c r="D5941" s="5" t="s">
        <v>8529</v>
      </c>
      <c r="E5941" s="6" t="str">
        <f>HYPERLINK("https://inpn.mnhn.fr/espece/cd_nom/461815","Galerina clavata (Velen.) Kühner, 1935")</f>
        <v>Galerina clavata (Velen.) Kühner, 1935</v>
      </c>
      <c r="V5941" s="7" t="str">
        <f>HYPERLINK("#Liste_rouge!A"&amp;_xlfn.XMATCH("VU",Liste_rouge!A:A,2,1),"VU")</f>
        <v>VU</v>
      </c>
      <c r="W5941" s="4" t="str">
        <f>HYPERLINK("#Critères_liste_rouge!A$1","A2c")</f>
        <v>A2c</v>
      </c>
      <c r="Z5941" s="4" t="s">
        <v>443</v>
      </c>
      <c r="AA5941" s="4" t="s">
        <v>444</v>
      </c>
      <c r="AH5941" s="4" t="str">
        <f>HYPERLINK("#Statut_biogéographique!A"&amp;_xlfn.XMATCH("P",Statut_biogéographique!A:A,2,1),"P")</f>
        <v>P</v>
      </c>
      <c r="AP5941" s="4" t="s">
        <v>376</v>
      </c>
      <c r="AR5941" s="4" t="s">
        <v>377</v>
      </c>
    </row>
    <row r="5942" spans="1:44">
      <c r="A5942" s="4" t="s">
        <v>5</v>
      </c>
      <c r="B5942" s="4">
        <v>461827</v>
      </c>
      <c r="C5942" s="4">
        <v>4381</v>
      </c>
      <c r="D5942" s="5" t="s">
        <v>8530</v>
      </c>
      <c r="E5942" s="6" t="str">
        <f>HYPERLINK("https://inpn.mnhn.fr/espece/cd_nom/461827","Entyloma calendulae (Oudem.) de Bary, 1874")</f>
        <v>Entyloma calendulae (Oudem.) de Bary, 1874</v>
      </c>
      <c r="AH5942" s="4" t="str">
        <f>HYPERLINK("#Statut_biogéographique!A"&amp;_xlfn.XMATCH("P",Statut_biogéographique!A:A,2,1),"P")</f>
        <v>P</v>
      </c>
      <c r="AP5942" s="4" t="s">
        <v>376</v>
      </c>
      <c r="AR5942" s="4" t="s">
        <v>377</v>
      </c>
    </row>
    <row r="5943" spans="1:44">
      <c r="A5943" s="4" t="s">
        <v>5</v>
      </c>
      <c r="B5943" s="4">
        <v>461831</v>
      </c>
      <c r="C5943" s="4">
        <v>4352</v>
      </c>
      <c r="D5943" s="5" t="s">
        <v>8531</v>
      </c>
      <c r="E5943" s="6" t="str">
        <f>HYPERLINK("https://inpn.mnhn.fr/espece/cd_nom/461831","Entyloma bellidiastri Maire, 1907")</f>
        <v>Entyloma bellidiastri Maire, 1907</v>
      </c>
      <c r="AH5943" s="4" t="str">
        <f>HYPERLINK("#Statut_biogéographique!A"&amp;_xlfn.XMATCH("P",Statut_biogéographique!A:A,2,1),"P")</f>
        <v>P</v>
      </c>
      <c r="AP5943" s="4" t="s">
        <v>376</v>
      </c>
      <c r="AR5943" s="4" t="s">
        <v>377</v>
      </c>
    </row>
    <row r="5944" spans="1:44">
      <c r="A5944" s="4" t="s">
        <v>5</v>
      </c>
      <c r="B5944" s="4">
        <v>461850</v>
      </c>
      <c r="C5944" s="4">
        <v>6799</v>
      </c>
      <c r="D5944" s="5" t="s">
        <v>8532</v>
      </c>
      <c r="E5944" s="6" t="str">
        <f>HYPERLINK("https://inpn.mnhn.fr/espece/cd_nom/461850","Entyloma ranunculi-repentis Sternon, 1925")</f>
        <v>Entyloma ranunculi-repentis Sternon, 1925</v>
      </c>
      <c r="AH5944" s="4" t="str">
        <f>HYPERLINK("#Statut_biogéographique!A"&amp;_xlfn.XMATCH("P",Statut_biogéographique!A:A,2,1),"P")</f>
        <v>P</v>
      </c>
      <c r="AP5944" s="4" t="s">
        <v>376</v>
      </c>
      <c r="AR5944" s="4" t="s">
        <v>377</v>
      </c>
    </row>
    <row r="5945" spans="1:44" ht="30">
      <c r="A5945" s="4" t="s">
        <v>5</v>
      </c>
      <c r="B5945" s="4">
        <v>461867</v>
      </c>
      <c r="C5945" s="4">
        <v>2864</v>
      </c>
      <c r="D5945" s="5" t="s">
        <v>8533</v>
      </c>
      <c r="E5945" s="6" t="str">
        <f>HYPERLINK("https://inpn.mnhn.fr/espece/cd_nom/461867","Gerhardtia borealis (Fr.) Contu &amp; A.Ortega, 2002")</f>
        <v>Gerhardtia borealis (Fr.) Contu &amp; A.Ortega, 2002</v>
      </c>
      <c r="V5945" s="7" t="str">
        <f>HYPERLINK("#Liste_rouge!A"&amp;_xlfn.XMATCH("NT",Liste_rouge!A:A,2,1),"NT")</f>
        <v>NT</v>
      </c>
      <c r="W5945" s="4" t="str">
        <f>HYPERLINK("#Critères_liste_rouge!A$1","pr. B2abiii")</f>
        <v>pr. B2abiii</v>
      </c>
      <c r="Z5945" s="4" t="s">
        <v>447</v>
      </c>
      <c r="AA5945" s="4" t="s">
        <v>448</v>
      </c>
      <c r="AH5945" s="4" t="str">
        <f>HYPERLINK("#Statut_biogéographique!A"&amp;_xlfn.XMATCH("P",Statut_biogéographique!A:A,2,1),"P")</f>
        <v>P</v>
      </c>
      <c r="AP5945" s="4" t="s">
        <v>376</v>
      </c>
      <c r="AR5945" s="4" t="s">
        <v>377</v>
      </c>
    </row>
    <row r="5946" spans="1:44" ht="30">
      <c r="A5946" s="4" t="s">
        <v>5</v>
      </c>
      <c r="B5946" s="4">
        <v>461872</v>
      </c>
      <c r="C5946" s="4">
        <v>6536</v>
      </c>
      <c r="D5946" s="5" t="s">
        <v>8534</v>
      </c>
      <c r="E5946" s="6" t="str">
        <f>HYPERLINK("https://inpn.mnhn.fr/espece/cd_nom/461872","Entyloma microsporum (Unger) J.Schröt., 1874")</f>
        <v>Entyloma microsporum (Unger) J.Schröt., 1874</v>
      </c>
      <c r="AH5946" s="4" t="str">
        <f>HYPERLINK("#Statut_biogéographique!A"&amp;_xlfn.XMATCH("P",Statut_biogéographique!A:A,2,1),"P")</f>
        <v>P</v>
      </c>
      <c r="AP5946" s="4" t="s">
        <v>376</v>
      </c>
      <c r="AR5946" s="4" t="s">
        <v>377</v>
      </c>
    </row>
    <row r="5947" spans="1:44">
      <c r="A5947" s="4" t="s">
        <v>5</v>
      </c>
      <c r="B5947" s="4">
        <v>461873</v>
      </c>
      <c r="C5947" s="4">
        <v>4027</v>
      </c>
      <c r="D5947" s="5" t="s">
        <v>8535</v>
      </c>
      <c r="E5947" s="6" t="str">
        <f>HYPERLINK("https://inpn.mnhn.fr/espece/cd_nom/461873","Entyloma hieracii Syd. &amp; P.Syd., 1924")</f>
        <v>Entyloma hieracii Syd. &amp; P.Syd., 1924</v>
      </c>
      <c r="AH5947" s="4" t="str">
        <f>HYPERLINK("#Statut_biogéographique!A"&amp;_xlfn.XMATCH("P",Statut_biogéographique!A:A,2,1),"P")</f>
        <v>P</v>
      </c>
      <c r="AP5947" s="4" t="s">
        <v>376</v>
      </c>
      <c r="AR5947" s="4" t="s">
        <v>377</v>
      </c>
    </row>
    <row r="5948" spans="1:44" ht="30">
      <c r="A5948" s="4" t="s">
        <v>5</v>
      </c>
      <c r="B5948" s="4">
        <v>461882</v>
      </c>
      <c r="C5948" s="4">
        <v>5899</v>
      </c>
      <c r="D5948" s="5" t="s">
        <v>8536</v>
      </c>
      <c r="E5948" s="6" t="str">
        <f>HYPERLINK("https://inpn.mnhn.fr/espece/cd_nom/461882","Hemimycena mauretanica (Maire) Singer, 1943")</f>
        <v>Hemimycena mauretanica (Maire) Singer, 1943</v>
      </c>
      <c r="AH5948" s="4" t="str">
        <f>HYPERLINK("#Statut_biogéographique!A"&amp;_xlfn.XMATCH("P",Statut_biogéographique!A:A,2,1),"P")</f>
        <v>P</v>
      </c>
      <c r="AP5948" s="4" t="s">
        <v>376</v>
      </c>
      <c r="AR5948" s="4" t="s">
        <v>377</v>
      </c>
    </row>
    <row r="5949" spans="1:44" ht="45">
      <c r="A5949" s="4" t="s">
        <v>5</v>
      </c>
      <c r="B5949" s="4">
        <v>461885</v>
      </c>
      <c r="C5949" s="4">
        <v>547</v>
      </c>
      <c r="D5949" s="5" t="s">
        <v>8537</v>
      </c>
      <c r="E5949" s="6" t="str">
        <f>HYPERLINK("https://inpn.mnhn.fr/espece/cd_nom/461885","Hericium erinaceus (Bull.) Pers., 1797")</f>
        <v>Hericium erinaceus (Bull.) Pers., 1797</v>
      </c>
      <c r="F5949" s="5" t="s">
        <v>8538</v>
      </c>
      <c r="V5949" s="7" t="str">
        <f>HYPERLINK("#Liste_rouge!A"&amp;_xlfn.XMATCH("CR",Liste_rouge!A:A,2,1),"CR")</f>
        <v>CR</v>
      </c>
      <c r="W5949" s="4" t="str">
        <f>HYPERLINK("#Critères_liste_rouge!A$1","B2abiii")</f>
        <v>B2abiii</v>
      </c>
      <c r="Z5949" s="4" t="s">
        <v>512</v>
      </c>
      <c r="AA5949" s="4" t="s">
        <v>513</v>
      </c>
      <c r="AH5949" s="4" t="str">
        <f>HYPERLINK("#Statut_biogéographique!A"&amp;_xlfn.XMATCH("P",Statut_biogéographique!A:A,2,1),"P")</f>
        <v>P</v>
      </c>
      <c r="AP5949" s="4" t="s">
        <v>376</v>
      </c>
      <c r="AR5949" s="4" t="s">
        <v>377</v>
      </c>
    </row>
    <row r="5950" spans="1:44" ht="30">
      <c r="A5950" s="4" t="s">
        <v>5</v>
      </c>
      <c r="B5950" s="4">
        <v>461887</v>
      </c>
      <c r="C5950" s="4">
        <v>3008</v>
      </c>
      <c r="D5950" s="5" t="s">
        <v>8539</v>
      </c>
      <c r="E5950" s="6" t="str">
        <f>HYPERLINK("https://inpn.mnhn.fr/espece/cd_nom/461887","Hemistropharia albocrenulata (Peck) Jacobsson &amp; E.Larss., 2007")</f>
        <v>Hemistropharia albocrenulata (Peck) Jacobsson &amp; E.Larss., 2007</v>
      </c>
      <c r="V5950" s="7" t="str">
        <f>HYPERLINK("#Liste_rouge!A"&amp;_xlfn.XMATCH("LC",Liste_rouge!A:A,2,1),"LC")</f>
        <v>LC</v>
      </c>
      <c r="AH5950" s="4" t="str">
        <f>HYPERLINK("#Statut_biogéographique!A"&amp;_xlfn.XMATCH("P",Statut_biogéographique!A:A,2,1),"P")</f>
        <v>P</v>
      </c>
      <c r="AP5950" s="4" t="s">
        <v>376</v>
      </c>
      <c r="AR5950" s="4" t="s">
        <v>377</v>
      </c>
    </row>
    <row r="5951" spans="1:44">
      <c r="A5951" s="4" t="s">
        <v>5</v>
      </c>
      <c r="B5951" s="4">
        <v>461900</v>
      </c>
      <c r="C5951" s="4">
        <v>826</v>
      </c>
      <c r="D5951" s="5" t="s">
        <v>8540</v>
      </c>
      <c r="E5951" s="6" t="str">
        <f>HYPERLINK("https://inpn.mnhn.fr/espece/cd_nom/461900","Hebeloma theobrominum Quadr., 1987")</f>
        <v>Hebeloma theobrominum Quadr., 1987</v>
      </c>
      <c r="F5951" s="5" t="s">
        <v>8541</v>
      </c>
      <c r="V5951" s="7" t="str">
        <f>HYPERLINK("#Liste_rouge!A"&amp;_xlfn.XMATCH("LC",Liste_rouge!A:A,2,1),"LC")</f>
        <v>LC</v>
      </c>
      <c r="AH5951" s="4" t="str">
        <f>HYPERLINK("#Statut_biogéographique!A"&amp;_xlfn.XMATCH("P",Statut_biogéographique!A:A,2,1),"P")</f>
        <v>P</v>
      </c>
      <c r="AP5951" s="4" t="s">
        <v>376</v>
      </c>
      <c r="AR5951" s="4" t="s">
        <v>377</v>
      </c>
    </row>
    <row r="5952" spans="1:44">
      <c r="A5952" s="4" t="s">
        <v>5</v>
      </c>
      <c r="B5952" s="4">
        <v>461913</v>
      </c>
      <c r="C5952" s="4">
        <v>4926</v>
      </c>
      <c r="D5952" s="5" t="s">
        <v>8542</v>
      </c>
      <c r="E5952" s="6" t="str">
        <f>HYPERLINK("https://inpn.mnhn.fr/espece/cd_nom/461913","Hygrocybe comosa Bas &amp; Arnolds, 2007")</f>
        <v>Hygrocybe comosa Bas &amp; Arnolds, 2007</v>
      </c>
      <c r="V5952" s="7" t="str">
        <f>HYPERLINK("#Liste_rouge!A"&amp;_xlfn.XMATCH("CR",Liste_rouge!A:A,2,1),"CR")</f>
        <v>CR</v>
      </c>
      <c r="W5952" s="4" t="str">
        <f>HYPERLINK("#Critères_liste_rouge!A$1","B2abiii")</f>
        <v>B2abiii</v>
      </c>
      <c r="Z5952" s="4" t="s">
        <v>447</v>
      </c>
      <c r="AA5952" s="4" t="s">
        <v>448</v>
      </c>
      <c r="AH5952" s="4" t="str">
        <f>HYPERLINK("#Statut_biogéographique!A"&amp;_xlfn.XMATCH("P",Statut_biogéographique!A:A,2,1),"P")</f>
        <v>P</v>
      </c>
      <c r="AP5952" s="4" t="s">
        <v>376</v>
      </c>
      <c r="AR5952" s="4" t="s">
        <v>377</v>
      </c>
    </row>
    <row r="5953" spans="1:44">
      <c r="A5953" s="4" t="s">
        <v>5</v>
      </c>
      <c r="B5953" s="4">
        <v>461915</v>
      </c>
      <c r="C5953" s="4">
        <v>3036</v>
      </c>
      <c r="D5953" s="5" t="s">
        <v>8543</v>
      </c>
      <c r="E5953" s="6" t="str">
        <f>HYPERLINK("https://inpn.mnhn.fr/espece/cd_nom/461915","Hydnellum spongiosipes (Peck) Pouzar, 1960")</f>
        <v>Hydnellum spongiosipes (Peck) Pouzar, 1960</v>
      </c>
      <c r="F5953" s="5" t="s">
        <v>3438</v>
      </c>
      <c r="V5953" s="7" t="str">
        <f>HYPERLINK("#Liste_rouge!A"&amp;_xlfn.XMATCH("LC",Liste_rouge!A:A,2,1),"LC")</f>
        <v>LC</v>
      </c>
      <c r="AH5953" s="4" t="str">
        <f>HYPERLINK("#Statut_biogéographique!A"&amp;_xlfn.XMATCH("P",Statut_biogéographique!A:A,2,1),"P")</f>
        <v>P</v>
      </c>
      <c r="AP5953" s="4" t="s">
        <v>376</v>
      </c>
      <c r="AR5953" s="4" t="s">
        <v>377</v>
      </c>
    </row>
    <row r="5954" spans="1:44" ht="30">
      <c r="A5954" s="4" t="s">
        <v>5</v>
      </c>
      <c r="B5954" s="4">
        <v>461918</v>
      </c>
      <c r="C5954" s="4">
        <v>5705</v>
      </c>
      <c r="D5954" s="5" t="s">
        <v>8544</v>
      </c>
      <c r="E5954" s="6" t="str">
        <f>HYPERLINK("https://inpn.mnhn.fr/espece/cd_nom/461918","Hydropus kauffmanii (A.H.Sm.) P.-A.Moreau &amp; Courtec., 2004")</f>
        <v>Hydropus kauffmanii (A.H.Sm.) P.-A.Moreau &amp; Courtec., 2004</v>
      </c>
      <c r="F5954" s="5" t="s">
        <v>8545</v>
      </c>
      <c r="V5954" s="7" t="str">
        <f>HYPERLINK("#Liste_rouge!A"&amp;_xlfn.XMATCH("DD",Liste_rouge!A:A,2,1),"DD")</f>
        <v>DD</v>
      </c>
      <c r="Z5954" s="4" t="s">
        <v>447</v>
      </c>
      <c r="AA5954" s="4" t="s">
        <v>448</v>
      </c>
      <c r="AH5954" s="4" t="str">
        <f>HYPERLINK("#Statut_biogéographique!A"&amp;_xlfn.XMATCH("P",Statut_biogéographique!A:A,2,1),"P")</f>
        <v>P</v>
      </c>
      <c r="AP5954" s="4" t="s">
        <v>376</v>
      </c>
      <c r="AR5954" s="4" t="s">
        <v>377</v>
      </c>
    </row>
    <row r="5955" spans="1:44">
      <c r="A5955" s="4" t="s">
        <v>5</v>
      </c>
      <c r="B5955" s="4">
        <v>461920</v>
      </c>
      <c r="C5955" s="4">
        <v>1734</v>
      </c>
      <c r="D5955" s="5" t="s">
        <v>8546</v>
      </c>
      <c r="E5955" s="6" t="str">
        <f>HYPERLINK("https://inpn.mnhn.fr/espece/cd_nom/461920","Hygrocybe aurantioviscida Arnolds, 1982")</f>
        <v>Hygrocybe aurantioviscida Arnolds, 1982</v>
      </c>
      <c r="V5955" s="7" t="str">
        <f>HYPERLINK("#Liste_rouge!A"&amp;_xlfn.XMATCH("VU",Liste_rouge!A:A,2,1),"VU")</f>
        <v>VU</v>
      </c>
      <c r="W5955" s="4" t="str">
        <f>HYPERLINK("#Critères_liste_rouge!A$1","A2c")</f>
        <v>A2c</v>
      </c>
      <c r="Z5955" s="4" t="s">
        <v>447</v>
      </c>
      <c r="AA5955" s="4" t="s">
        <v>448</v>
      </c>
      <c r="AH5955" s="4" t="str">
        <f>HYPERLINK("#Statut_biogéographique!A"&amp;_xlfn.XMATCH("P",Statut_biogéographique!A:A,2,1),"P")</f>
        <v>P</v>
      </c>
      <c r="AP5955" s="4" t="s">
        <v>376</v>
      </c>
      <c r="AR5955" s="4" t="s">
        <v>377</v>
      </c>
    </row>
    <row r="5956" spans="1:44">
      <c r="A5956" s="4" t="s">
        <v>5</v>
      </c>
      <c r="B5956" s="4">
        <v>461921</v>
      </c>
      <c r="C5956" s="4">
        <v>4399</v>
      </c>
      <c r="D5956" s="5" t="s">
        <v>8547</v>
      </c>
      <c r="E5956" s="6" t="str">
        <f>HYPERLINK("https://inpn.mnhn.fr/espece/cd_nom/461921","Hyalopsora polypodii (Pers.) Magnus, 1901")</f>
        <v>Hyalopsora polypodii (Pers.) Magnus, 1901</v>
      </c>
      <c r="V5956" s="7" t="str">
        <f>HYPERLINK("#Liste_rouge!A"&amp;_xlfn.XMATCH("DD",Liste_rouge!A:A,2,1),"DD")</f>
        <v>DD</v>
      </c>
      <c r="AH5956" s="4" t="str">
        <f>HYPERLINK("#Statut_biogéographique!A"&amp;_xlfn.XMATCH("P",Statut_biogéographique!A:A,2,1),"P")</f>
        <v>P</v>
      </c>
      <c r="AP5956" s="4" t="s">
        <v>376</v>
      </c>
      <c r="AR5956" s="4" t="s">
        <v>377</v>
      </c>
    </row>
    <row r="5957" spans="1:44">
      <c r="A5957" s="4" t="s">
        <v>5</v>
      </c>
      <c r="B5957" s="4">
        <v>461926</v>
      </c>
      <c r="C5957" s="4">
        <v>6657</v>
      </c>
      <c r="D5957" s="5" t="s">
        <v>8548</v>
      </c>
      <c r="E5957" s="6" t="str">
        <f>HYPERLINK("https://inpn.mnhn.fr/espece/cd_nom/461926","Hygrocybe veselskyi Singer &amp; Kuthan, 1976")</f>
        <v>Hygrocybe veselskyi Singer &amp; Kuthan, 1976</v>
      </c>
      <c r="F5957" s="5" t="s">
        <v>8549</v>
      </c>
      <c r="AH5957" s="4" t="str">
        <f>HYPERLINK("#Statut_biogéographique!A"&amp;_xlfn.XMATCH("P",Statut_biogéographique!A:A,2,1),"P")</f>
        <v>P</v>
      </c>
      <c r="AP5957" s="4" t="s">
        <v>376</v>
      </c>
      <c r="AR5957" s="4" t="s">
        <v>377</v>
      </c>
    </row>
    <row r="5958" spans="1:44" ht="30">
      <c r="A5958" s="4" t="s">
        <v>5</v>
      </c>
      <c r="B5958" s="4">
        <v>461928</v>
      </c>
      <c r="C5958" s="4">
        <v>6050</v>
      </c>
      <c r="D5958" s="5" t="s">
        <v>8550</v>
      </c>
      <c r="E5958" s="6" t="str">
        <f>HYPERLINK("https://inpn.mnhn.fr/espece/cd_nom/461928","Hydropus nitens Maas Geest. &amp; Hauskn., 1993")</f>
        <v>Hydropus nitens Maas Geest. &amp; Hauskn., 1993</v>
      </c>
      <c r="AH5958" s="4" t="str">
        <f>HYPERLINK("#Statut_biogéographique!A"&amp;_xlfn.XMATCH("P",Statut_biogéographique!A:A,2,1),"P")</f>
        <v>P</v>
      </c>
      <c r="AP5958" s="4" t="s">
        <v>376</v>
      </c>
      <c r="AR5958" s="4" t="s">
        <v>377</v>
      </c>
    </row>
    <row r="5959" spans="1:44" ht="30">
      <c r="A5959" s="4" t="s">
        <v>5</v>
      </c>
      <c r="B5959" s="4">
        <v>461934</v>
      </c>
      <c r="C5959" s="4">
        <v>5616</v>
      </c>
      <c r="D5959" s="5" t="s">
        <v>8551</v>
      </c>
      <c r="E5959" s="6" t="str">
        <f>HYPERLINK("https://inpn.mnhn.fr/espece/cd_nom/461934","Hohenbuehelia angustata (Berk.) Singer, 1951")</f>
        <v>Hohenbuehelia angustata (Berk.) Singer, 1951</v>
      </c>
      <c r="V5959" s="7" t="str">
        <f>HYPERLINK("#Liste_rouge!A"&amp;_xlfn.XMATCH("DD",Liste_rouge!A:A,2,1),"DD")</f>
        <v>DD</v>
      </c>
      <c r="AH5959" s="4" t="str">
        <f>HYPERLINK("#Statut_biogéographique!A"&amp;_xlfn.XMATCH("P",Statut_biogéographique!A:A,2,1),"P")</f>
        <v>P</v>
      </c>
      <c r="AP5959" s="4" t="s">
        <v>376</v>
      </c>
      <c r="AR5959" s="4" t="s">
        <v>377</v>
      </c>
    </row>
    <row r="5960" spans="1:44" ht="45">
      <c r="A5960" s="4" t="s">
        <v>5</v>
      </c>
      <c r="B5960" s="4">
        <v>461941</v>
      </c>
      <c r="C5960" s="4">
        <v>1273</v>
      </c>
      <c r="D5960" s="5" t="s">
        <v>8552</v>
      </c>
      <c r="E5960" s="6" t="str">
        <f>HYPERLINK("https://inpn.mnhn.fr/espece/cd_nom/461941","Hohenbuehelia tremula (Schaeff.) Thorn &amp; G.L.Barron, 1986")</f>
        <v>Hohenbuehelia tremula (Schaeff.) Thorn &amp; G.L.Barron, 1986</v>
      </c>
      <c r="F5960" s="5" t="s">
        <v>8553</v>
      </c>
      <c r="V5960" s="7" t="str">
        <f>HYPERLINK("#Liste_rouge!A"&amp;_xlfn.XMATCH("EN",Liste_rouge!A:A,2,1),"EN")</f>
        <v>EN</v>
      </c>
      <c r="W5960" s="4" t="str">
        <f>HYPERLINK("#Critères_liste_rouge!A$1","B2abiii")</f>
        <v>B2abiii</v>
      </c>
      <c r="Z5960" s="4" t="s">
        <v>447</v>
      </c>
      <c r="AA5960" s="4" t="s">
        <v>448</v>
      </c>
      <c r="AH5960" s="4" t="str">
        <f>HYPERLINK("#Statut_biogéographique!A"&amp;_xlfn.XMATCH("P",Statut_biogéographique!A:A,2,1),"P")</f>
        <v>P</v>
      </c>
      <c r="AP5960" s="4" t="s">
        <v>376</v>
      </c>
      <c r="AR5960" s="4" t="s">
        <v>377</v>
      </c>
    </row>
    <row r="5961" spans="1:44" ht="30">
      <c r="A5961" s="4" t="s">
        <v>5</v>
      </c>
      <c r="B5961" s="4">
        <v>461944</v>
      </c>
      <c r="C5961" s="4">
        <v>4538</v>
      </c>
      <c r="D5961" s="5" t="s">
        <v>8554</v>
      </c>
      <c r="E5961" s="6" t="str">
        <f>HYPERLINK("https://inpn.mnhn.fr/espece/cd_nom/461944","Hohenbuehelia auriscalpium (Maire) Singer, 1951")</f>
        <v>Hohenbuehelia auriscalpium (Maire) Singer, 1951</v>
      </c>
      <c r="F5961" s="5" t="s">
        <v>8555</v>
      </c>
      <c r="V5961" s="7" t="str">
        <f>HYPERLINK("#Liste_rouge!A"&amp;_xlfn.XMATCH("DD",Liste_rouge!A:A,2,1),"DD")</f>
        <v>DD</v>
      </c>
      <c r="Z5961" s="4" t="s">
        <v>447</v>
      </c>
      <c r="AA5961" s="4" t="s">
        <v>448</v>
      </c>
      <c r="AH5961" s="4" t="str">
        <f>HYPERLINK("#Statut_biogéographique!A"&amp;_xlfn.XMATCH("P",Statut_biogéographique!A:A,2,1),"P")</f>
        <v>P</v>
      </c>
      <c r="AP5961" s="4" t="s">
        <v>376</v>
      </c>
      <c r="AR5961" s="4" t="s">
        <v>377</v>
      </c>
    </row>
    <row r="5962" spans="1:44">
      <c r="A5962" s="4" t="s">
        <v>5</v>
      </c>
      <c r="B5962" s="4">
        <v>461946</v>
      </c>
      <c r="C5962" s="4">
        <v>2244</v>
      </c>
      <c r="D5962" s="5" t="s">
        <v>8556</v>
      </c>
      <c r="E5962" s="6" t="str">
        <f>HYPERLINK("https://inpn.mnhn.fr/espece/cd_nom/461946","Gymnopilus josserandii Antonín, 2000")</f>
        <v>Gymnopilus josserandii Antonín, 2000</v>
      </c>
      <c r="V5962" s="7" t="str">
        <f>HYPERLINK("#Liste_rouge!A"&amp;_xlfn.XMATCH("NT",Liste_rouge!A:A,2,1),"NT")</f>
        <v>NT</v>
      </c>
      <c r="W5962" s="4" t="str">
        <f>HYPERLINK("#Critères_liste_rouge!A$1","pr. B2abiii")</f>
        <v>pr. B2abiii</v>
      </c>
      <c r="Z5962" s="4" t="s">
        <v>447</v>
      </c>
      <c r="AA5962" s="4" t="s">
        <v>448</v>
      </c>
      <c r="AH5962" s="4" t="str">
        <f>HYPERLINK("#Statut_biogéographique!A"&amp;_xlfn.XMATCH("P",Statut_biogéographique!A:A,2,1),"P")</f>
        <v>P</v>
      </c>
      <c r="AP5962" s="4" t="s">
        <v>376</v>
      </c>
      <c r="AR5962" s="4" t="s">
        <v>377</v>
      </c>
    </row>
    <row r="5963" spans="1:44">
      <c r="A5963" s="4" t="s">
        <v>5</v>
      </c>
      <c r="B5963" s="4">
        <v>461959</v>
      </c>
      <c r="C5963" s="4">
        <v>5397</v>
      </c>
      <c r="D5963" s="5" t="s">
        <v>8557</v>
      </c>
      <c r="E5963" s="6" t="str">
        <f>HYPERLINK("https://inpn.mnhn.fr/espece/cd_nom/461959","Hebeloma stenocystis J.Favre, 1960")</f>
        <v>Hebeloma stenocystis J.Favre, 1960</v>
      </c>
      <c r="V5963" s="7" t="str">
        <f>HYPERLINK("#Liste_rouge!A"&amp;_xlfn.XMATCH("DD",Liste_rouge!A:A,2,1),"DD")</f>
        <v>DD</v>
      </c>
      <c r="AH5963" s="4" t="str">
        <f>HYPERLINK("#Statut_biogéographique!A"&amp;_xlfn.XMATCH("P",Statut_biogéographique!A:A,2,1),"P")</f>
        <v>P</v>
      </c>
      <c r="AP5963" s="4" t="s">
        <v>376</v>
      </c>
      <c r="AR5963" s="4" t="s">
        <v>377</v>
      </c>
    </row>
    <row r="5964" spans="1:44" ht="30">
      <c r="A5964" s="4" t="s">
        <v>5</v>
      </c>
      <c r="B5964" s="4">
        <v>461963</v>
      </c>
      <c r="C5964" s="4">
        <v>4532</v>
      </c>
      <c r="D5964" s="5" t="s">
        <v>8558</v>
      </c>
      <c r="E5964" s="6" t="str">
        <f>HYPERLINK("https://inpn.mnhn.fr/espece/cd_nom/461963","Gerronema subspadiceum (J.E.Lange) Bon, 1996")</f>
        <v>Gerronema subspadiceum (J.E.Lange) Bon, 1996</v>
      </c>
      <c r="F5964" s="5" t="s">
        <v>8559</v>
      </c>
      <c r="V5964" s="7" t="str">
        <f>HYPERLINK("#Liste_rouge!A"&amp;_xlfn.XMATCH("DD",Liste_rouge!A:A,2,1),"DD")</f>
        <v>DD</v>
      </c>
      <c r="AH5964" s="4" t="str">
        <f>HYPERLINK("#Statut_biogéographique!A"&amp;_xlfn.XMATCH("P",Statut_biogéographique!A:A,2,1),"P")</f>
        <v>P</v>
      </c>
      <c r="AP5964" s="4" t="s">
        <v>376</v>
      </c>
      <c r="AR5964" s="4" t="s">
        <v>377</v>
      </c>
    </row>
    <row r="5965" spans="1:44" ht="30">
      <c r="A5965" s="4" t="s">
        <v>5</v>
      </c>
      <c r="B5965" s="4">
        <v>461965</v>
      </c>
      <c r="C5965" s="4">
        <v>3827</v>
      </c>
      <c r="D5965" s="5" t="s">
        <v>8560</v>
      </c>
      <c r="E5965" s="6" t="str">
        <f>HYPERLINK("https://inpn.mnhn.fr/espece/cd_nom/461965","Gerronema xanthophyllum (Bres.) Norvell, Redhead &amp; Ammirati, 1994")</f>
        <v>Gerronema xanthophyllum (Bres.) Norvell, Redhead &amp; Ammirati, 1994</v>
      </c>
      <c r="V5965" s="7" t="str">
        <f>HYPERLINK("#Liste_rouge!A"&amp;_xlfn.XMATCH("EN",Liste_rouge!A:A,2,1),"EN")</f>
        <v>EN</v>
      </c>
      <c r="W5965" s="4" t="str">
        <f>HYPERLINK("#Critères_liste_rouge!A$1","B2abiii")</f>
        <v>B2abiii</v>
      </c>
      <c r="Z5965" s="4" t="s">
        <v>447</v>
      </c>
      <c r="AA5965" s="4" t="s">
        <v>448</v>
      </c>
      <c r="AH5965" s="4" t="str">
        <f>HYPERLINK("#Statut_biogéographique!A"&amp;_xlfn.XMATCH("P",Statut_biogéographique!A:A,2,1),"P")</f>
        <v>P</v>
      </c>
      <c r="AP5965" s="4" t="s">
        <v>376</v>
      </c>
      <c r="AR5965" s="4" t="s">
        <v>377</v>
      </c>
    </row>
    <row r="5966" spans="1:44" ht="30">
      <c r="A5966" s="4" t="s">
        <v>5</v>
      </c>
      <c r="B5966" s="4">
        <v>461969</v>
      </c>
      <c r="C5966" s="4">
        <v>3303</v>
      </c>
      <c r="D5966" s="5" t="s">
        <v>8561</v>
      </c>
      <c r="E5966" s="6" t="str">
        <f>HYPERLINK("https://inpn.mnhn.fr/espece/cd_nom/461969","Gloiothele citrina (Pers.) Ginns &amp; G.W.Freeman, 1994")</f>
        <v>Gloiothele citrina (Pers.) Ginns &amp; G.W.Freeman, 1994</v>
      </c>
      <c r="V5966" s="7" t="str">
        <f>HYPERLINK("#Liste_rouge!A"&amp;_xlfn.XMATCH("DD",Liste_rouge!A:A,2,1),"DD")</f>
        <v>DD</v>
      </c>
      <c r="AH5966" s="4" t="str">
        <f>HYPERLINK("#Statut_biogéographique!A"&amp;_xlfn.XMATCH("P",Statut_biogéographique!A:A,2,1),"P")</f>
        <v>P</v>
      </c>
      <c r="AP5966" s="4" t="s">
        <v>376</v>
      </c>
      <c r="AR5966" s="4" t="s">
        <v>377</v>
      </c>
    </row>
    <row r="5967" spans="1:44">
      <c r="A5967" s="4" t="s">
        <v>5</v>
      </c>
      <c r="B5967" s="4">
        <v>461976</v>
      </c>
      <c r="C5967" s="4">
        <v>2240</v>
      </c>
      <c r="D5967" s="5">
        <v>36200</v>
      </c>
      <c r="E5967" s="6" t="str">
        <f>HYPERLINK("https://inpn.mnhn.fr/espece/cd_nom/461976","Hebeloma flammuloides Romagn., 1983")</f>
        <v>Hebeloma flammuloides Romagn., 1983</v>
      </c>
      <c r="F5967" s="5" t="s">
        <v>8562</v>
      </c>
      <c r="V5967" s="7" t="str">
        <f>HYPERLINK("#Liste_rouge!A"&amp;_xlfn.XMATCH("DD",Liste_rouge!A:A,2,1),"DD")</f>
        <v>DD</v>
      </c>
      <c r="Z5967" s="4" t="s">
        <v>447</v>
      </c>
      <c r="AA5967" s="4" t="s">
        <v>448</v>
      </c>
      <c r="AH5967" s="4" t="str">
        <f>HYPERLINK("#Statut_biogéographique!A"&amp;_xlfn.XMATCH("P",Statut_biogéographique!A:A,2,1),"P")</f>
        <v>P</v>
      </c>
      <c r="AP5967" s="4" t="s">
        <v>376</v>
      </c>
      <c r="AR5967" s="4" t="s">
        <v>377</v>
      </c>
    </row>
    <row r="5968" spans="1:44">
      <c r="A5968" s="4" t="s">
        <v>5</v>
      </c>
      <c r="B5968" s="4">
        <v>461980</v>
      </c>
      <c r="C5968" s="4">
        <v>5230</v>
      </c>
      <c r="D5968" s="5">
        <v>36108</v>
      </c>
      <c r="E5968" s="6" t="str">
        <f>HYPERLINK("https://inpn.mnhn.fr/espece/cd_nom/461980","Hebeloma clavulipes Romagn., 1965")</f>
        <v>Hebeloma clavulipes Romagn., 1965</v>
      </c>
      <c r="F5968" s="5" t="s">
        <v>8563</v>
      </c>
      <c r="V5968" s="7" t="str">
        <f>HYPERLINK("#Liste_rouge!A"&amp;_xlfn.XMATCH("DD",Liste_rouge!A:A,2,1),"DD")</f>
        <v>DD</v>
      </c>
      <c r="Z5968" s="4" t="s">
        <v>443</v>
      </c>
      <c r="AA5968" s="4" t="s">
        <v>444</v>
      </c>
      <c r="AH5968" s="4" t="str">
        <f>HYPERLINK("#Statut_biogéographique!A"&amp;_xlfn.XMATCH("P",Statut_biogéographique!A:A,2,1),"P")</f>
        <v>P</v>
      </c>
      <c r="AP5968" s="4" t="s">
        <v>376</v>
      </c>
      <c r="AR5968" s="4" t="s">
        <v>377</v>
      </c>
    </row>
    <row r="5969" spans="1:44">
      <c r="A5969" s="4" t="s">
        <v>5</v>
      </c>
      <c r="B5969" s="4">
        <v>461985</v>
      </c>
      <c r="C5969" s="4">
        <v>2004</v>
      </c>
      <c r="D5969" s="5" t="s">
        <v>8564</v>
      </c>
      <c r="E5969" s="6" t="str">
        <f>HYPERLINK("https://inpn.mnhn.fr/espece/cd_nom/461985","Hebeloma odoratissimum Britzelm., 1891")</f>
        <v>Hebeloma odoratissimum Britzelm., 1891</v>
      </c>
      <c r="F5969" s="5" t="s">
        <v>8565</v>
      </c>
      <c r="V5969" s="7" t="str">
        <f>HYPERLINK("#Liste_rouge!A"&amp;_xlfn.XMATCH("VU",Liste_rouge!A:A,2,1),"VU")</f>
        <v>VU</v>
      </c>
      <c r="W5969" s="4" t="str">
        <f>HYPERLINK("#Critères_liste_rouge!A$1","B2abiii")</f>
        <v>B2abiii</v>
      </c>
      <c r="Z5969" s="4" t="s">
        <v>447</v>
      </c>
      <c r="AA5969" s="4" t="s">
        <v>448</v>
      </c>
      <c r="AH5969" s="4" t="str">
        <f>HYPERLINK("#Statut_biogéographique!A"&amp;_xlfn.XMATCH("P",Statut_biogéographique!A:A,2,1),"P")</f>
        <v>P</v>
      </c>
      <c r="AP5969" s="4" t="s">
        <v>376</v>
      </c>
      <c r="AR5969" s="4" t="s">
        <v>377</v>
      </c>
    </row>
    <row r="5970" spans="1:44" ht="30">
      <c r="A5970" s="4" t="s">
        <v>5</v>
      </c>
      <c r="B5970" s="4">
        <v>461986</v>
      </c>
      <c r="C5970" s="4">
        <v>457</v>
      </c>
      <c r="D5970" s="5" t="s">
        <v>8566</v>
      </c>
      <c r="E5970" s="6" t="str">
        <f>HYPERLINK("https://inpn.mnhn.fr/espece/cd_nom/461986","Hebeloma laterinum (Batsch) Vesterh., 2005")</f>
        <v>Hebeloma laterinum (Batsch) Vesterh., 2005</v>
      </c>
      <c r="F5970" s="5" t="s">
        <v>8567</v>
      </c>
      <c r="V5970" s="7" t="str">
        <f>HYPERLINK("#Liste_rouge!A"&amp;_xlfn.XMATCH("LC",Liste_rouge!A:A,2,1),"LC")</f>
        <v>LC</v>
      </c>
      <c r="AH5970" s="4" t="str">
        <f>HYPERLINK("#Statut_biogéographique!A"&amp;_xlfn.XMATCH("P",Statut_biogéographique!A:A,2,1),"P")</f>
        <v>P</v>
      </c>
      <c r="AP5970" s="4" t="s">
        <v>376</v>
      </c>
      <c r="AR5970" s="4" t="s">
        <v>377</v>
      </c>
    </row>
    <row r="5971" spans="1:44">
      <c r="A5971" s="4" t="s">
        <v>5</v>
      </c>
      <c r="B5971" s="4">
        <v>461989</v>
      </c>
      <c r="C5971" s="4">
        <v>866</v>
      </c>
      <c r="D5971" s="5" t="s">
        <v>8568</v>
      </c>
      <c r="E5971" s="6" t="str">
        <f>HYPERLINK("https://inpn.mnhn.fr/espece/cd_nom/461989","Hebeloma ochroalbidum Bohus, 1972")</f>
        <v>Hebeloma ochroalbidum Bohus, 1972</v>
      </c>
      <c r="F5971" s="5" t="s">
        <v>8569</v>
      </c>
      <c r="V5971" s="7" t="str">
        <f>HYPERLINK("#Liste_rouge!A"&amp;_xlfn.XMATCH("DD",Liste_rouge!A:A,2,1),"DD")</f>
        <v>DD</v>
      </c>
      <c r="AH5971" s="4" t="str">
        <f>HYPERLINK("#Statut_biogéographique!A"&amp;_xlfn.XMATCH("P",Statut_biogéographique!A:A,2,1),"P")</f>
        <v>P</v>
      </c>
      <c r="AP5971" s="4" t="s">
        <v>376</v>
      </c>
      <c r="AR5971" s="4" t="s">
        <v>377</v>
      </c>
    </row>
    <row r="5972" spans="1:44" ht="30">
      <c r="A5972" s="4" t="s">
        <v>5</v>
      </c>
      <c r="B5972" s="4">
        <v>461992</v>
      </c>
      <c r="C5972" s="4">
        <v>1123</v>
      </c>
      <c r="D5972" s="5" t="s">
        <v>8570</v>
      </c>
      <c r="E5972" s="6" t="str">
        <f>HYPERLINK("https://inpn.mnhn.fr/espece/cd_nom/461992","Gymnosporangium sabinae (Dicks.) G.Winter, 1884")</f>
        <v>Gymnosporangium sabinae (Dicks.) G.Winter, 1884</v>
      </c>
      <c r="V5972" s="7" t="str">
        <f>HYPERLINK("#Liste_rouge!A"&amp;_xlfn.XMATCH("DD",Liste_rouge!A:A,2,1),"DD")</f>
        <v>DD</v>
      </c>
      <c r="AH5972" s="4" t="str">
        <f>HYPERLINK("#Statut_biogéographique!A"&amp;_xlfn.XMATCH("P",Statut_biogéographique!A:A,2,1),"P")</f>
        <v>P</v>
      </c>
      <c r="AP5972" s="4" t="s">
        <v>376</v>
      </c>
      <c r="AR5972" s="4" t="s">
        <v>377</v>
      </c>
    </row>
    <row r="5973" spans="1:44" ht="30">
      <c r="A5973" s="4" t="s">
        <v>5</v>
      </c>
      <c r="B5973" s="4">
        <v>461993</v>
      </c>
      <c r="C5973" s="4">
        <v>5669</v>
      </c>
      <c r="D5973" s="5" t="s">
        <v>8571</v>
      </c>
      <c r="E5973" s="6" t="str">
        <f>HYPERLINK("https://inpn.mnhn.fr/espece/cd_nom/461993","Entoloma tibiicystidiatum Arnolds &amp; Noordel., 1979")</f>
        <v>Entoloma tibiicystidiatum Arnolds &amp; Noordel., 1979</v>
      </c>
      <c r="V5973" s="7" t="str">
        <f>HYPERLINK("#Liste_rouge!A"&amp;_xlfn.XMATCH("DD",Liste_rouge!A:A,2,1),"DD")</f>
        <v>DD</v>
      </c>
      <c r="Z5973" s="4" t="s">
        <v>443</v>
      </c>
      <c r="AA5973" s="4" t="s">
        <v>444</v>
      </c>
      <c r="AH5973" s="4" t="str">
        <f>HYPERLINK("#Statut_biogéographique!A"&amp;_xlfn.XMATCH("P",Statut_biogéographique!A:A,2,1),"P")</f>
        <v>P</v>
      </c>
      <c r="AP5973" s="4" t="s">
        <v>376</v>
      </c>
      <c r="AR5973" s="4" t="s">
        <v>377</v>
      </c>
    </row>
    <row r="5974" spans="1:44">
      <c r="A5974" s="4" t="s">
        <v>5</v>
      </c>
      <c r="B5974" s="4">
        <v>461996</v>
      </c>
      <c r="C5974" s="4">
        <v>2517</v>
      </c>
      <c r="D5974" s="5" t="s">
        <v>8572</v>
      </c>
      <c r="E5974" s="6" t="str">
        <f>HYPERLINK("https://inpn.mnhn.fr/espece/cd_nom/461996","Gymnosporangium confusum Plowr., 1889")</f>
        <v>Gymnosporangium confusum Plowr., 1889</v>
      </c>
      <c r="V5974" s="7" t="str">
        <f>HYPERLINK("#Liste_rouge!A"&amp;_xlfn.XMATCH("DD",Liste_rouge!A:A,2,1),"DD")</f>
        <v>DD</v>
      </c>
      <c r="AH5974" s="4" t="str">
        <f>HYPERLINK("#Statut_biogéographique!A"&amp;_xlfn.XMATCH("P",Statut_biogéographique!A:A,2,1),"P")</f>
        <v>P</v>
      </c>
      <c r="AP5974" s="4" t="s">
        <v>376</v>
      </c>
      <c r="AR5974" s="4" t="s">
        <v>377</v>
      </c>
    </row>
    <row r="5975" spans="1:44" ht="30">
      <c r="A5975" s="4" t="s">
        <v>5</v>
      </c>
      <c r="B5975" s="4">
        <v>462001</v>
      </c>
      <c r="C5975" s="4">
        <v>2214</v>
      </c>
      <c r="D5975" s="5" t="s">
        <v>8573</v>
      </c>
      <c r="E5975" s="6" t="str">
        <f>HYPERLINK("https://inpn.mnhn.fr/espece/cd_nom/462001","Gyroflexus brevibasidiatus (Singer) Raithelh., 1981")</f>
        <v>Gyroflexus brevibasidiatus (Singer) Raithelh., 1981</v>
      </c>
      <c r="F5975" s="5" t="s">
        <v>8574</v>
      </c>
      <c r="V5975" s="7" t="str">
        <f>HYPERLINK("#Liste_rouge!A"&amp;_xlfn.XMATCH("VU",Liste_rouge!A:A,2,1),"VU")</f>
        <v>VU</v>
      </c>
      <c r="W5975" s="4" t="str">
        <f>HYPERLINK("#Critères_liste_rouge!A$1","B2abiii")</f>
        <v>B2abiii</v>
      </c>
      <c r="Z5975" s="4" t="s">
        <v>447</v>
      </c>
      <c r="AA5975" s="4" t="s">
        <v>448</v>
      </c>
      <c r="AH5975" s="4" t="str">
        <f>HYPERLINK("#Statut_biogéographique!A"&amp;_xlfn.XMATCH("P",Statut_biogéographique!A:A,2,1),"P")</f>
        <v>P</v>
      </c>
      <c r="AP5975" s="4" t="s">
        <v>376</v>
      </c>
      <c r="AR5975" s="4" t="s">
        <v>377</v>
      </c>
    </row>
    <row r="5976" spans="1:44" ht="30">
      <c r="A5976" s="4" t="s">
        <v>5</v>
      </c>
      <c r="B5976" s="4">
        <v>46201</v>
      </c>
      <c r="C5976" s="4">
        <v>1184</v>
      </c>
      <c r="D5976" s="5" t="s">
        <v>8575</v>
      </c>
      <c r="E5976" s="6" t="str">
        <f>HYPERLINK("https://inpn.mnhn.fr/espece/cd_nom/46201","Cheilymenia fimicola (Bagl.) Dennis, 1978")</f>
        <v>Cheilymenia fimicola (Bagl.) Dennis, 1978</v>
      </c>
      <c r="V5976" s="7" t="str">
        <f>HYPERLINK("#Liste_rouge!A"&amp;_xlfn.XMATCH("DD",Liste_rouge!A:A,2,1),"DD")</f>
        <v>DD</v>
      </c>
      <c r="AH5976" s="4" t="str">
        <f>HYPERLINK("#Statut_biogéographique!A"&amp;_xlfn.XMATCH("P",Statut_biogéographique!A:A,2,1),"P")</f>
        <v>P</v>
      </c>
      <c r="AP5976" s="4" t="s">
        <v>376</v>
      </c>
      <c r="AR5976" s="4" t="s">
        <v>377</v>
      </c>
    </row>
    <row r="5977" spans="1:44">
      <c r="A5977" s="4" t="s">
        <v>5</v>
      </c>
      <c r="B5977" s="4">
        <v>462010</v>
      </c>
      <c r="C5977" s="4">
        <v>7006</v>
      </c>
      <c r="D5977" s="5" t="s">
        <v>8576</v>
      </c>
      <c r="E5977" s="6" t="str">
        <f>HYPERLINK("https://inpn.mnhn.fr/espece/cd_nom/462010","Cortinarius xanthocephalus P.D.Orton, 1960")</f>
        <v>Cortinarius xanthocephalus P.D.Orton, 1960</v>
      </c>
      <c r="AH5977" s="4" t="str">
        <f>HYPERLINK("#Statut_biogéographique!A"&amp;_xlfn.XMATCH("P",Statut_biogéographique!A:A,2,1),"P")</f>
        <v>P</v>
      </c>
      <c r="AP5977" s="4" t="s">
        <v>376</v>
      </c>
      <c r="AR5977" s="4" t="s">
        <v>377</v>
      </c>
    </row>
    <row r="5978" spans="1:44">
      <c r="A5978" s="4" t="s">
        <v>5</v>
      </c>
      <c r="B5978" s="4">
        <v>462025</v>
      </c>
      <c r="C5978" s="4">
        <v>3075</v>
      </c>
      <c r="D5978" s="5" t="s">
        <v>8577</v>
      </c>
      <c r="E5978" s="6" t="str">
        <f>HYPERLINK("https://inpn.mnhn.fr/espece/cd_nom/462025","Cortinarius variiformis Malençon, 1970")</f>
        <v>Cortinarius variiformis Malençon, 1970</v>
      </c>
      <c r="F5978" s="5" t="s">
        <v>8578</v>
      </c>
      <c r="V5978" s="7" t="str">
        <f>HYPERLINK("#Liste_rouge!A"&amp;_xlfn.XMATCH("EN",Liste_rouge!A:A,2,1),"EN")</f>
        <v>EN</v>
      </c>
      <c r="W5978" s="4" t="str">
        <f>HYPERLINK("#Critères_liste_rouge!A$1","B2abiii")</f>
        <v>B2abiii</v>
      </c>
      <c r="Z5978" s="4" t="s">
        <v>443</v>
      </c>
      <c r="AA5978" s="4" t="s">
        <v>444</v>
      </c>
      <c r="AH5978" s="4" t="str">
        <f>HYPERLINK("#Statut_biogéographique!A"&amp;_xlfn.XMATCH("P",Statut_biogéographique!A:A,2,1),"P")</f>
        <v>P</v>
      </c>
      <c r="AP5978" s="4" t="s">
        <v>376</v>
      </c>
      <c r="AR5978" s="4" t="s">
        <v>377</v>
      </c>
    </row>
    <row r="5979" spans="1:44">
      <c r="A5979" s="4" t="s">
        <v>5</v>
      </c>
      <c r="B5979" s="4">
        <v>462026</v>
      </c>
      <c r="C5979" s="4">
        <v>3846</v>
      </c>
      <c r="D5979" s="5" t="s">
        <v>8579</v>
      </c>
      <c r="E5979" s="6" t="str">
        <f>HYPERLINK("https://inpn.mnhn.fr/espece/cd_nom/462026","Cortinarius variipes Rob.Henry, 1977")</f>
        <v>Cortinarius variipes Rob.Henry, 1977</v>
      </c>
      <c r="F5979" s="5" t="s">
        <v>8580</v>
      </c>
      <c r="V5979" s="7" t="str">
        <f>HYPERLINK("#Liste_rouge!A"&amp;_xlfn.XMATCH("EN",Liste_rouge!A:A,2,1),"EN")</f>
        <v>EN</v>
      </c>
      <c r="W5979" s="4" t="str">
        <f>HYPERLINK("#Critères_liste_rouge!A$1","B2abiii")</f>
        <v>B2abiii</v>
      </c>
      <c r="Z5979" s="4" t="s">
        <v>443</v>
      </c>
      <c r="AA5979" s="4" t="s">
        <v>444</v>
      </c>
      <c r="AH5979" s="4" t="str">
        <f>HYPERLINK("#Statut_biogéographique!A"&amp;_xlfn.XMATCH("P",Statut_biogéographique!A:A,2,1),"P")</f>
        <v>P</v>
      </c>
      <c r="AP5979" s="4" t="s">
        <v>376</v>
      </c>
      <c r="AR5979" s="4" t="s">
        <v>377</v>
      </c>
    </row>
    <row r="5980" spans="1:44">
      <c r="A5980" s="4" t="s">
        <v>5</v>
      </c>
      <c r="B5980" s="4">
        <v>462032</v>
      </c>
      <c r="C5980" s="4">
        <v>4156</v>
      </c>
      <c r="D5980" s="5" t="s">
        <v>8581</v>
      </c>
      <c r="E5980" s="6" t="str">
        <f>HYPERLINK("https://inpn.mnhn.fr/espece/cd_nom/462032","Cortinarius vernus H.Lindstr. &amp; Melot, 1994")</f>
        <v>Cortinarius vernus H.Lindstr. &amp; Melot, 1994</v>
      </c>
      <c r="F5980" s="5" t="s">
        <v>8582</v>
      </c>
      <c r="V5980" s="7" t="str">
        <f>HYPERLINK("#Liste_rouge!A"&amp;_xlfn.XMATCH("EN",Liste_rouge!A:A,2,1),"EN")</f>
        <v>EN</v>
      </c>
      <c r="W5980" s="4" t="str">
        <f>HYPERLINK("#Critères_liste_rouge!A$1","B2abiii")</f>
        <v>B2abiii</v>
      </c>
      <c r="Z5980" s="4" t="s">
        <v>443</v>
      </c>
      <c r="AA5980" s="4" t="s">
        <v>444</v>
      </c>
      <c r="AH5980" s="4" t="str">
        <f>HYPERLINK("#Statut_biogéographique!A"&amp;_xlfn.XMATCH("P",Statut_biogéographique!A:A,2,1),"P")</f>
        <v>P</v>
      </c>
      <c r="AP5980" s="4" t="s">
        <v>376</v>
      </c>
      <c r="AR5980" s="4" t="s">
        <v>377</v>
      </c>
    </row>
    <row r="5981" spans="1:44">
      <c r="A5981" s="4" t="s">
        <v>5</v>
      </c>
      <c r="B5981" s="4">
        <v>462033</v>
      </c>
      <c r="C5981" s="4">
        <v>6024</v>
      </c>
      <c r="D5981" s="5" t="s">
        <v>8583</v>
      </c>
      <c r="E5981" s="6" t="str">
        <f>HYPERLINK("https://inpn.mnhn.fr/espece/cd_nom/462033","Cortinarius vilior (P.Karst.) Garnier")</f>
        <v>Cortinarius vilior (P.Karst.) Garnier</v>
      </c>
      <c r="AH5981" s="4" t="str">
        <f>HYPERLINK("#Statut_biogéographique!A"&amp;_xlfn.XMATCH("P",Statut_biogéographique!A:A,2,1),"P")</f>
        <v>P</v>
      </c>
      <c r="AP5981" s="4" t="s">
        <v>376</v>
      </c>
      <c r="AR5981" s="4" t="s">
        <v>377</v>
      </c>
    </row>
    <row r="5982" spans="1:44">
      <c r="A5982" s="4" t="s">
        <v>5</v>
      </c>
      <c r="B5982" s="4">
        <v>462037</v>
      </c>
      <c r="C5982" s="4">
        <v>3051</v>
      </c>
      <c r="D5982" s="5">
        <v>511489</v>
      </c>
      <c r="E5982" s="6" t="str">
        <f>HYPERLINK("https://inpn.mnhn.fr/espece/cd_nom/462037","Cortinarius xanthoochraceus P.D.Orton, 1960")</f>
        <v>Cortinarius xanthoochraceus P.D.Orton, 1960</v>
      </c>
      <c r="F5982" s="5" t="s">
        <v>6373</v>
      </c>
      <c r="V5982" s="7" t="str">
        <f>HYPERLINK("#Liste_rouge!A"&amp;_xlfn.XMATCH("EN",Liste_rouge!A:A,2,1),"EN")</f>
        <v>EN</v>
      </c>
      <c r="W5982" s="4" t="str">
        <f>HYPERLINK("#Critères_liste_rouge!A$1","B2abiii")</f>
        <v>B2abiii</v>
      </c>
      <c r="Z5982" s="4" t="s">
        <v>443</v>
      </c>
      <c r="AA5982" s="4" t="s">
        <v>444</v>
      </c>
      <c r="AH5982" s="4" t="str">
        <f>HYPERLINK("#Statut_biogéographique!A"&amp;_xlfn.XMATCH("P",Statut_biogéographique!A:A,2,1),"P")</f>
        <v>P</v>
      </c>
      <c r="AP5982" s="4" t="s">
        <v>376</v>
      </c>
      <c r="AR5982" s="4" t="s">
        <v>377</v>
      </c>
    </row>
    <row r="5983" spans="1:44">
      <c r="A5983" s="4" t="s">
        <v>5</v>
      </c>
      <c r="B5983" s="4">
        <v>462038</v>
      </c>
      <c r="C5983" s="4">
        <v>5807</v>
      </c>
      <c r="D5983" s="5" t="s">
        <v>8584</v>
      </c>
      <c r="E5983" s="6" t="str">
        <f>HYPERLINK("https://inpn.mnhn.fr/espece/cd_nom/462038","Cortinarius velicopia Kauffman, 1918")</f>
        <v>Cortinarius velicopia Kauffman, 1918</v>
      </c>
      <c r="F5983" s="5" t="s">
        <v>6108</v>
      </c>
      <c r="AH5983" s="4" t="str">
        <f>HYPERLINK("#Statut_biogéographique!A"&amp;_xlfn.XMATCH("P",Statut_biogéographique!A:A,2,1),"P")</f>
        <v>P</v>
      </c>
      <c r="AP5983" s="4" t="s">
        <v>376</v>
      </c>
      <c r="AR5983" s="4" t="s">
        <v>377</v>
      </c>
    </row>
    <row r="5984" spans="1:44">
      <c r="A5984" s="4" t="s">
        <v>5</v>
      </c>
      <c r="B5984" s="4">
        <v>462043</v>
      </c>
      <c r="C5984" s="4">
        <v>2763</v>
      </c>
      <c r="D5984" s="5" t="s">
        <v>8585</v>
      </c>
      <c r="E5984" s="6" t="str">
        <f>HYPERLINK("https://inpn.mnhn.fr/espece/cd_nom/462043","Crepidotus subverrucisporus Pilát, 1949")</f>
        <v>Crepidotus subverrucisporus Pilát, 1949</v>
      </c>
      <c r="F5984" s="5" t="s">
        <v>8586</v>
      </c>
      <c r="V5984" s="7" t="str">
        <f>HYPERLINK("#Liste_rouge!A"&amp;_xlfn.XMATCH("LC",Liste_rouge!A:A,2,1),"LC")</f>
        <v>LC</v>
      </c>
      <c r="AH5984" s="4" t="str">
        <f>HYPERLINK("#Statut_biogéographique!A"&amp;_xlfn.XMATCH("P",Statut_biogéographique!A:A,2,1),"P")</f>
        <v>P</v>
      </c>
      <c r="AP5984" s="4" t="s">
        <v>376</v>
      </c>
      <c r="AR5984" s="4" t="s">
        <v>377</v>
      </c>
    </row>
    <row r="5985" spans="1:44">
      <c r="A5985" s="4" t="s">
        <v>5</v>
      </c>
      <c r="B5985" s="4">
        <v>462044</v>
      </c>
      <c r="C5985" s="4">
        <v>2765</v>
      </c>
      <c r="D5985" s="5" t="s">
        <v>8587</v>
      </c>
      <c r="E5985" s="6" t="str">
        <f>HYPERLINK("https://inpn.mnhn.fr/espece/cd_nom/462044","Crepidotus versutus Peck, 1887")</f>
        <v>Crepidotus versutus Peck, 1887</v>
      </c>
      <c r="V5985" s="7" t="str">
        <f>HYPERLINK("#Liste_rouge!A"&amp;_xlfn.XMATCH("DD",Liste_rouge!A:A,2,1),"DD")</f>
        <v>DD</v>
      </c>
      <c r="AH5985" s="4" t="str">
        <f>HYPERLINK("#Statut_biogéographique!A"&amp;_xlfn.XMATCH("P",Statut_biogéographique!A:A,2,1),"P")</f>
        <v>P</v>
      </c>
      <c r="AP5985" s="4" t="s">
        <v>376</v>
      </c>
      <c r="AR5985" s="4" t="s">
        <v>377</v>
      </c>
    </row>
    <row r="5986" spans="1:44" ht="30">
      <c r="A5986" s="4" t="s">
        <v>5</v>
      </c>
      <c r="B5986" s="4">
        <v>462049</v>
      </c>
      <c r="C5986" s="4">
        <v>2638</v>
      </c>
      <c r="D5986" s="5" t="s">
        <v>8588</v>
      </c>
      <c r="E5986" s="6" t="str">
        <f>HYPERLINK("https://inpn.mnhn.fr/espece/cd_nom/462049","Cronartium flaccidum (Alb. &amp; Schwein.) G.Winter, 1880")</f>
        <v>Cronartium flaccidum (Alb. &amp; Schwein.) G.Winter, 1880</v>
      </c>
      <c r="F5986" s="5" t="s">
        <v>8589</v>
      </c>
      <c r="V5986" s="7" t="str">
        <f>HYPERLINK("#Liste_rouge!A"&amp;_xlfn.XMATCH("DD",Liste_rouge!A:A,2,1),"DD")</f>
        <v>DD</v>
      </c>
      <c r="AH5986" s="4" t="str">
        <f>HYPERLINK("#Statut_biogéographique!A"&amp;_xlfn.XMATCH("P",Statut_biogéographique!A:A,2,1),"P")</f>
        <v>P</v>
      </c>
      <c r="AP5986" s="4" t="s">
        <v>376</v>
      </c>
      <c r="AR5986" s="4" t="s">
        <v>377</v>
      </c>
    </row>
    <row r="5987" spans="1:44">
      <c r="A5987" s="4" t="s">
        <v>5</v>
      </c>
      <c r="B5987" s="4">
        <v>462052</v>
      </c>
      <c r="C5987" s="4">
        <v>946</v>
      </c>
      <c r="D5987" s="5" t="s">
        <v>8590</v>
      </c>
      <c r="E5987" s="6" t="str">
        <f>HYPERLINK("https://inpn.mnhn.fr/espece/cd_nom/462052","Cronartium ribicola J.C.Fisch., 1872")</f>
        <v>Cronartium ribicola J.C.Fisch., 1872</v>
      </c>
      <c r="F5987" s="5" t="s">
        <v>8589</v>
      </c>
      <c r="V5987" s="7" t="str">
        <f>HYPERLINK("#Liste_rouge!A"&amp;_xlfn.XMATCH("DD",Liste_rouge!A:A,2,1),"DD")</f>
        <v>DD</v>
      </c>
      <c r="AH5987" s="4" t="str">
        <f>HYPERLINK("#Statut_biogéographique!A"&amp;_xlfn.XMATCH("P",Statut_biogéographique!A:A,2,1),"P")</f>
        <v>P</v>
      </c>
      <c r="AP5987" s="4" t="s">
        <v>376</v>
      </c>
      <c r="AR5987" s="4" t="s">
        <v>377</v>
      </c>
    </row>
    <row r="5988" spans="1:44" ht="45">
      <c r="A5988" s="4" t="s">
        <v>5</v>
      </c>
      <c r="B5988" s="4">
        <v>462054</v>
      </c>
      <c r="C5988" s="4">
        <v>530</v>
      </c>
      <c r="D5988" s="5" t="s">
        <v>8591</v>
      </c>
      <c r="E5988" s="6" t="str">
        <f>HYPERLINK("https://inpn.mnhn.fr/espece/cd_nom/462054","Crinipellis scabella (Alb. &amp; Schwein.) Murrill, 1915")</f>
        <v>Crinipellis scabella (Alb. &amp; Schwein.) Murrill, 1915</v>
      </c>
      <c r="F5988" s="5" t="s">
        <v>8592</v>
      </c>
      <c r="V5988" s="7" t="str">
        <f>HYPERLINK("#Liste_rouge!A"&amp;_xlfn.XMATCH("EN",Liste_rouge!A:A,2,1),"EN")</f>
        <v>EN</v>
      </c>
      <c r="W5988" s="4" t="str">
        <f>HYPERLINK("#Critères_liste_rouge!A$1","A2c")</f>
        <v>A2c</v>
      </c>
      <c r="Z5988" s="4" t="s">
        <v>447</v>
      </c>
      <c r="AA5988" s="4" t="s">
        <v>448</v>
      </c>
      <c r="AH5988" s="4" t="str">
        <f>HYPERLINK("#Statut_biogéographique!A"&amp;_xlfn.XMATCH("P",Statut_biogéographique!A:A,2,1),"P")</f>
        <v>P</v>
      </c>
      <c r="AP5988" s="4" t="s">
        <v>376</v>
      </c>
      <c r="AR5988" s="4" t="s">
        <v>377</v>
      </c>
    </row>
    <row r="5989" spans="1:44" ht="30">
      <c r="A5989" s="4" t="s">
        <v>5</v>
      </c>
      <c r="B5989" s="4">
        <v>462055</v>
      </c>
      <c r="C5989" s="4">
        <v>1262</v>
      </c>
      <c r="D5989" s="5" t="s">
        <v>8593</v>
      </c>
      <c r="E5989" s="6" t="str">
        <f>HYPERLINK("https://inpn.mnhn.fr/espece/cd_nom/462055","Craterellus lutescens (Fr.) Fr., 1838")</f>
        <v>Craterellus lutescens (Fr.) Fr., 1838</v>
      </c>
      <c r="F5989" s="5" t="s">
        <v>8594</v>
      </c>
      <c r="V5989" s="7" t="str">
        <f>HYPERLINK("#Liste_rouge!A"&amp;_xlfn.XMATCH("LC",Liste_rouge!A:A,2,1),"LC")</f>
        <v>LC</v>
      </c>
      <c r="AH5989" s="4" t="str">
        <f>HYPERLINK("#Statut_biogéographique!A"&amp;_xlfn.XMATCH("P",Statut_biogéographique!A:A,2,1),"P")</f>
        <v>P</v>
      </c>
      <c r="AP5989" s="4" t="s">
        <v>376</v>
      </c>
      <c r="AR5989" s="4" t="s">
        <v>377</v>
      </c>
    </row>
    <row r="5990" spans="1:44">
      <c r="A5990" s="4" t="s">
        <v>5</v>
      </c>
      <c r="B5990" s="4">
        <v>462056</v>
      </c>
      <c r="C5990" s="4">
        <v>2646</v>
      </c>
      <c r="D5990" s="5" t="s">
        <v>8595</v>
      </c>
      <c r="E5990" s="6" t="str">
        <f>HYPERLINK("https://inpn.mnhn.fr/espece/cd_nom/462056","Cortinarius vagneti Rob.Henry, 1986")</f>
        <v>Cortinarius vagneti Rob.Henry, 1986</v>
      </c>
      <c r="F5990" s="5" t="s">
        <v>8596</v>
      </c>
      <c r="V5990" s="7" t="str">
        <f>HYPERLINK("#Liste_rouge!A"&amp;_xlfn.XMATCH("NT",Liste_rouge!A:A,2,1),"NT")</f>
        <v>NT</v>
      </c>
      <c r="W5990" s="4" t="str">
        <f>HYPERLINK("#Critères_liste_rouge!A$1","pr. B2abiii")</f>
        <v>pr. B2abiii</v>
      </c>
      <c r="AH5990" s="4" t="str">
        <f>HYPERLINK("#Statut_biogéographique!A"&amp;_xlfn.XMATCH("P",Statut_biogéographique!A:A,2,1),"P")</f>
        <v>P</v>
      </c>
      <c r="AP5990" s="4" t="s">
        <v>376</v>
      </c>
      <c r="AR5990" s="4" t="s">
        <v>377</v>
      </c>
    </row>
    <row r="5991" spans="1:44" ht="30">
      <c r="A5991" s="4" t="s">
        <v>5</v>
      </c>
      <c r="B5991" s="4">
        <v>462062</v>
      </c>
      <c r="C5991" s="4">
        <v>3895</v>
      </c>
      <c r="D5991" s="5" t="s">
        <v>8597</v>
      </c>
      <c r="E5991" s="6" t="str">
        <f>HYPERLINK("https://inpn.mnhn.fr/espece/cd_nom/462062","Craterellus luteocomus (H.E.Bigelow) Vila, 2006")</f>
        <v>Craterellus luteocomus (H.E.Bigelow) Vila, 2006</v>
      </c>
      <c r="F5991" s="5" t="s">
        <v>8598</v>
      </c>
      <c r="V5991" s="7" t="str">
        <f>HYPERLINK("#Liste_rouge!A"&amp;_xlfn.XMATCH("DD",Liste_rouge!A:A,2,1),"DD")</f>
        <v>DD</v>
      </c>
      <c r="AH5991" s="4" t="str">
        <f>HYPERLINK("#Statut_biogéographique!A"&amp;_xlfn.XMATCH("P",Statut_biogéographique!A:A,2,1),"P")</f>
        <v>P</v>
      </c>
      <c r="AP5991" s="4" t="s">
        <v>376</v>
      </c>
      <c r="AR5991" s="4" t="s">
        <v>377</v>
      </c>
    </row>
    <row r="5992" spans="1:44" ht="30">
      <c r="A5992" s="4" t="s">
        <v>5</v>
      </c>
      <c r="B5992" s="4">
        <v>462064</v>
      </c>
      <c r="C5992" s="4">
        <v>983</v>
      </c>
      <c r="D5992" s="5" t="s">
        <v>8599</v>
      </c>
      <c r="E5992" s="6" t="str">
        <f>HYPERLINK("https://inpn.mnhn.fr/espece/cd_nom/462064","Craterellus melanoxeros (Desm.) Pérez-De-Greg., 2000")</f>
        <v>Craterellus melanoxeros (Desm.) Pérez-De-Greg., 2000</v>
      </c>
      <c r="F5992" s="5" t="s">
        <v>8600</v>
      </c>
      <c r="V5992" s="7" t="str">
        <f>HYPERLINK("#Liste_rouge!A"&amp;_xlfn.XMATCH("LC",Liste_rouge!A:A,2,1),"LC")</f>
        <v>LC</v>
      </c>
      <c r="Z5992" s="4" t="s">
        <v>447</v>
      </c>
      <c r="AA5992" s="4" t="s">
        <v>448</v>
      </c>
      <c r="AH5992" s="4" t="str">
        <f>HYPERLINK("#Statut_biogéographique!A"&amp;_xlfn.XMATCH("P",Statut_biogéographique!A:A,2,1),"P")</f>
        <v>P</v>
      </c>
      <c r="AP5992" s="4" t="s">
        <v>376</v>
      </c>
      <c r="AR5992" s="4" t="s">
        <v>377</v>
      </c>
    </row>
    <row r="5993" spans="1:44">
      <c r="A5993" s="4" t="s">
        <v>5</v>
      </c>
      <c r="B5993" s="4">
        <v>462065</v>
      </c>
      <c r="C5993" s="4">
        <v>1281</v>
      </c>
      <c r="D5993" s="5">
        <v>511548</v>
      </c>
      <c r="E5993" s="6" t="str">
        <f>HYPERLINK("https://inpn.mnhn.fr/espece/cd_nom/462065","Craterellus tubaeformis (Fr.) Quél., 1888")</f>
        <v>Craterellus tubaeformis (Fr.) Quél., 1888</v>
      </c>
      <c r="F5993" s="5" t="s">
        <v>8601</v>
      </c>
      <c r="V5993" s="7" t="str">
        <f>HYPERLINK("#Liste_rouge!A"&amp;_xlfn.XMATCH("DD",Liste_rouge!A:A,2,1),"DD")</f>
        <v>DD</v>
      </c>
      <c r="AH5993" s="4" t="str">
        <f>HYPERLINK("#Statut_biogéographique!A"&amp;_xlfn.XMATCH("P",Statut_biogéographique!A:A,2,1),"P")</f>
        <v>P</v>
      </c>
      <c r="AP5993" s="4" t="s">
        <v>376</v>
      </c>
      <c r="AR5993" s="4" t="s">
        <v>377</v>
      </c>
    </row>
    <row r="5994" spans="1:44">
      <c r="A5994" s="4" t="s">
        <v>5</v>
      </c>
      <c r="B5994" s="4">
        <v>462067</v>
      </c>
      <c r="C5994" s="4">
        <v>5707</v>
      </c>
      <c r="D5994" s="5" t="s">
        <v>8602</v>
      </c>
      <c r="E5994" s="6" t="str">
        <f>HYPERLINK("https://inpn.mnhn.fr/espece/cd_nom/462067","Crepidotus brunneoroseus Courtec., 1994")</f>
        <v>Crepidotus brunneoroseus Courtec., 1994</v>
      </c>
      <c r="V5994" s="7" t="str">
        <f>HYPERLINK("#Liste_rouge!A"&amp;_xlfn.XMATCH("DD",Liste_rouge!A:A,2,1),"DD")</f>
        <v>DD</v>
      </c>
      <c r="Z5994" s="4" t="s">
        <v>447</v>
      </c>
      <c r="AA5994" s="4" t="s">
        <v>448</v>
      </c>
      <c r="AH5994" s="4" t="str">
        <f>HYPERLINK("#Statut_biogéographique!A"&amp;_xlfn.XMATCH("P",Statut_biogéographique!A:A,2,1),"P")</f>
        <v>P</v>
      </c>
      <c r="AP5994" s="4" t="s">
        <v>376</v>
      </c>
      <c r="AR5994" s="4" t="s">
        <v>377</v>
      </c>
    </row>
    <row r="5995" spans="1:44" ht="30">
      <c r="A5995" s="4" t="s">
        <v>5</v>
      </c>
      <c r="B5995" s="4">
        <v>462070</v>
      </c>
      <c r="C5995" s="4">
        <v>816</v>
      </c>
      <c r="D5995" s="5" t="s">
        <v>8603</v>
      </c>
      <c r="E5995" s="6" t="str">
        <f>HYPERLINK("https://inpn.mnhn.fr/espece/cd_nom/462070","Craterellus ianthinoxanthus (Maire) Pérez-De-Greg., 2000")</f>
        <v>Craterellus ianthinoxanthus (Maire) Pérez-De-Greg., 2000</v>
      </c>
      <c r="F5995" s="5" t="s">
        <v>8604</v>
      </c>
      <c r="V5995" s="7" t="str">
        <f>HYPERLINK("#Liste_rouge!A"&amp;_xlfn.XMATCH("LC",Liste_rouge!A:A,2,1),"LC")</f>
        <v>LC</v>
      </c>
      <c r="AH5995" s="4" t="str">
        <f>HYPERLINK("#Statut_biogéographique!A"&amp;_xlfn.XMATCH("P",Statut_biogéographique!A:A,2,1),"P")</f>
        <v>P</v>
      </c>
      <c r="AP5995" s="4" t="s">
        <v>376</v>
      </c>
      <c r="AR5995" s="4" t="s">
        <v>377</v>
      </c>
    </row>
    <row r="5996" spans="1:44">
      <c r="A5996" s="4" t="s">
        <v>5</v>
      </c>
      <c r="B5996" s="4">
        <v>462072</v>
      </c>
      <c r="C5996" s="4">
        <v>1922</v>
      </c>
      <c r="D5996" s="5" t="s">
        <v>8605</v>
      </c>
      <c r="E5996" s="6" t="str">
        <f>HYPERLINK("https://inpn.mnhn.fr/espece/cd_nom/462072","Cortinarius thalliotinctus R.Henry, 1973")</f>
        <v>Cortinarius thalliotinctus R.Henry, 1973</v>
      </c>
      <c r="V5996" s="7" t="str">
        <f>HYPERLINK("#Liste_rouge!A"&amp;_xlfn.XMATCH("RE",Liste_rouge!A:A,2,1),"RE")</f>
        <v>RE</v>
      </c>
      <c r="AH5996" s="4" t="str">
        <f>HYPERLINK("#Statut_biogéographique!A"&amp;_xlfn.XMATCH("P",Statut_biogéographique!A:A,2,1),"P")</f>
        <v>P</v>
      </c>
      <c r="AP5996" s="4" t="s">
        <v>376</v>
      </c>
      <c r="AR5996" s="4" t="s">
        <v>377</v>
      </c>
    </row>
    <row r="5997" spans="1:44">
      <c r="A5997" s="4" t="s">
        <v>5</v>
      </c>
      <c r="B5997" s="4">
        <v>462097</v>
      </c>
      <c r="C5997" s="4">
        <v>5518</v>
      </c>
      <c r="D5997" s="5">
        <v>511374</v>
      </c>
      <c r="E5997" s="6" t="str">
        <f>HYPERLINK("https://inpn.mnhn.fr/espece/cd_nom/462097","Cortinarius argenteopileatus Nezdojm., 1983")</f>
        <v>Cortinarius argenteopileatus Nezdojm., 1983</v>
      </c>
      <c r="V5997" s="7" t="str">
        <f>HYPERLINK("#Liste_rouge!A"&amp;_xlfn.XMATCH("EN",Liste_rouge!A:A,2,1),"EN")</f>
        <v>EN</v>
      </c>
      <c r="W5997" s="4" t="str">
        <f>HYPERLINK("#Critères_liste_rouge!A$1","B2abiii")</f>
        <v>B2abiii</v>
      </c>
      <c r="Z5997" s="4" t="s">
        <v>443</v>
      </c>
      <c r="AA5997" s="4" t="s">
        <v>444</v>
      </c>
      <c r="AH5997" s="4" t="str">
        <f>HYPERLINK("#Statut_biogéographique!A"&amp;_xlfn.XMATCH("P",Statut_biogéographique!A:A,2,1),"P")</f>
        <v>P</v>
      </c>
      <c r="AP5997" s="4" t="s">
        <v>376</v>
      </c>
      <c r="AR5997" s="4" t="s">
        <v>377</v>
      </c>
    </row>
    <row r="5998" spans="1:44">
      <c r="A5998" s="4" t="s">
        <v>5</v>
      </c>
      <c r="B5998" s="4">
        <v>462115</v>
      </c>
      <c r="C5998" s="4">
        <v>5478</v>
      </c>
      <c r="D5998" s="5" t="s">
        <v>8606</v>
      </c>
      <c r="E5998" s="6" t="str">
        <f>HYPERLINK("https://inpn.mnhn.fr/espece/cd_nom/462115","Cortinarius uraceus Fr., 1838")</f>
        <v>Cortinarius uraceus Fr., 1838</v>
      </c>
      <c r="V5998" s="7" t="str">
        <f>HYPERLINK("#Liste_rouge!A"&amp;_xlfn.XMATCH("VU",Liste_rouge!A:A,2,1),"VU")</f>
        <v>VU</v>
      </c>
      <c r="W5998" s="4" t="str">
        <f>HYPERLINK("#Critères_liste_rouge!A$1","D2")</f>
        <v>D2</v>
      </c>
      <c r="Z5998" s="4" t="s">
        <v>443</v>
      </c>
      <c r="AA5998" s="4" t="s">
        <v>444</v>
      </c>
      <c r="AH5998" s="4" t="str">
        <f>HYPERLINK("#Statut_biogéographique!A"&amp;_xlfn.XMATCH("P",Statut_biogéographique!A:A,2,1),"P")</f>
        <v>P</v>
      </c>
      <c r="AP5998" s="4" t="s">
        <v>376</v>
      </c>
      <c r="AR5998" s="4" t="s">
        <v>377</v>
      </c>
    </row>
    <row r="5999" spans="1:44" ht="30">
      <c r="A5999" s="4" t="s">
        <v>5</v>
      </c>
      <c r="B5999" s="4">
        <v>462119</v>
      </c>
      <c r="C5999" s="4">
        <v>863</v>
      </c>
      <c r="D5999" s="5" t="s">
        <v>8607</v>
      </c>
      <c r="E5999" s="6" t="str">
        <f>HYPERLINK("https://inpn.mnhn.fr/espece/cd_nom/462119","Cuphophyllus angustifolius (Murrill) Bon, 1985")</f>
        <v>Cuphophyllus angustifolius (Murrill) Bon, 1985</v>
      </c>
      <c r="F5999" s="5" t="s">
        <v>8608</v>
      </c>
      <c r="V5999" s="7" t="str">
        <f>HYPERLINK("#Liste_rouge!A"&amp;_xlfn.XMATCH("CR",Liste_rouge!A:A,2,1),"CR")</f>
        <v>CR</v>
      </c>
      <c r="W5999" s="4" t="str">
        <f>HYPERLINK("#Critères_liste_rouge!A$1","B2abiii")</f>
        <v>B2abiii</v>
      </c>
      <c r="Z5999" s="4" t="s">
        <v>695</v>
      </c>
      <c r="AA5999" s="4" t="s">
        <v>696</v>
      </c>
      <c r="AH5999" s="4" t="str">
        <f>HYPERLINK("#Statut_biogéographique!A"&amp;_xlfn.XMATCH("P",Statut_biogéographique!A:A,2,1),"P")</f>
        <v>P</v>
      </c>
      <c r="AP5999" s="4" t="s">
        <v>376</v>
      </c>
      <c r="AR5999" s="4" t="s">
        <v>377</v>
      </c>
    </row>
    <row r="6000" spans="1:44">
      <c r="A6000" s="4" t="s">
        <v>5</v>
      </c>
      <c r="B6000" s="4">
        <v>462134</v>
      </c>
      <c r="C6000" s="4">
        <v>3286</v>
      </c>
      <c r="D6000" s="5" t="s">
        <v>8609</v>
      </c>
      <c r="E6000" s="6" t="str">
        <f>HYPERLINK("https://inpn.mnhn.fr/espece/cd_nom/462134","Entoloma caeruleofloccosum Noordel.")</f>
        <v>Entoloma caeruleofloccosum Noordel.</v>
      </c>
      <c r="V6000" s="7" t="str">
        <f>HYPERLINK("#Liste_rouge!A"&amp;_xlfn.XMATCH("EN",Liste_rouge!A:A,2,1),"EN")</f>
        <v>EN</v>
      </c>
      <c r="W6000" s="4" t="str">
        <f>HYPERLINK("#Critères_liste_rouge!A$1","A2c")</f>
        <v>A2c</v>
      </c>
      <c r="Z6000" s="4" t="s">
        <v>447</v>
      </c>
      <c r="AA6000" s="4" t="s">
        <v>448</v>
      </c>
      <c r="AH6000" s="4" t="str">
        <f>HYPERLINK("#Statut_biogéographique!A"&amp;_xlfn.XMATCH("P",Statut_biogéographique!A:A,2,1),"P")</f>
        <v>P</v>
      </c>
      <c r="AP6000" s="4" t="s">
        <v>376</v>
      </c>
      <c r="AR6000" s="4" t="s">
        <v>377</v>
      </c>
    </row>
    <row r="6001" spans="1:44" ht="30">
      <c r="A6001" s="4" t="s">
        <v>5</v>
      </c>
      <c r="B6001" s="4">
        <v>462138</v>
      </c>
      <c r="C6001" s="4">
        <v>6071</v>
      </c>
      <c r="D6001" s="5" t="s">
        <v>8610</v>
      </c>
      <c r="E6001" s="6" t="str">
        <f>HYPERLINK("https://inpn.mnhn.fr/espece/cd_nom/462138","Entoloma fridolfingense Noordel. &amp; Lohmeyer, 1995")</f>
        <v>Entoloma fridolfingense Noordel. &amp; Lohmeyer, 1995</v>
      </c>
      <c r="Z6001" s="4" t="s">
        <v>447</v>
      </c>
      <c r="AA6001" s="4" t="s">
        <v>448</v>
      </c>
      <c r="AH6001" s="4" t="str">
        <f>HYPERLINK("#Statut_biogéographique!A"&amp;_xlfn.XMATCH("P",Statut_biogéographique!A:A,2,1),"P")</f>
        <v>P</v>
      </c>
      <c r="AP6001" s="4" t="s">
        <v>376</v>
      </c>
      <c r="AR6001" s="4" t="s">
        <v>377</v>
      </c>
    </row>
    <row r="6002" spans="1:44">
      <c r="A6002" s="4" t="s">
        <v>5</v>
      </c>
      <c r="B6002" s="4">
        <v>46214</v>
      </c>
      <c r="C6002" s="4">
        <v>3743</v>
      </c>
      <c r="D6002" s="5" t="s">
        <v>8611</v>
      </c>
      <c r="E6002" s="6" t="str">
        <f>HYPERLINK("https://inpn.mnhn.fr/espece/cd_nom/46214","Cheilymenia raripila (W.Phillips) Dennis, 1960")</f>
        <v>Cheilymenia raripila (W.Phillips) Dennis, 1960</v>
      </c>
      <c r="AH6002" s="4" t="str">
        <f>HYPERLINK("#Statut_biogéographique!A"&amp;_xlfn.XMATCH("P",Statut_biogéographique!A:A,2,1),"P")</f>
        <v>P</v>
      </c>
      <c r="AP6002" s="4" t="s">
        <v>376</v>
      </c>
      <c r="AR6002" s="4" t="s">
        <v>377</v>
      </c>
    </row>
    <row r="6003" spans="1:44" ht="30">
      <c r="A6003" s="4" t="s">
        <v>5</v>
      </c>
      <c r="B6003" s="4">
        <v>462142</v>
      </c>
      <c r="C6003" s="4">
        <v>5290</v>
      </c>
      <c r="D6003" s="5" t="s">
        <v>8612</v>
      </c>
      <c r="E6003" s="6" t="str">
        <f>HYPERLINK("https://inpn.mnhn.fr/espece/cd_nom/462142","Entoloma eximium Romagn. ex Noordel., 2004")</f>
        <v>Entoloma eximium Romagn. ex Noordel., 2004</v>
      </c>
      <c r="V6003" s="7" t="str">
        <f>HYPERLINK("#Liste_rouge!A"&amp;_xlfn.XMATCH("DD",Liste_rouge!A:A,2,1),"DD")</f>
        <v>DD</v>
      </c>
      <c r="AH6003" s="4" t="str">
        <f>HYPERLINK("#Statut_biogéographique!A"&amp;_xlfn.XMATCH("P",Statut_biogéographique!A:A,2,1),"P")</f>
        <v>P</v>
      </c>
      <c r="AP6003" s="4" t="s">
        <v>376</v>
      </c>
      <c r="AR6003" s="4" t="s">
        <v>377</v>
      </c>
    </row>
    <row r="6004" spans="1:44" ht="30">
      <c r="A6004" s="4" t="s">
        <v>5</v>
      </c>
      <c r="B6004" s="4">
        <v>462146</v>
      </c>
      <c r="C6004" s="4">
        <v>2201</v>
      </c>
      <c r="D6004" s="5" t="s">
        <v>8613</v>
      </c>
      <c r="E6004" s="6" t="str">
        <f>HYPERLINK("https://inpn.mnhn.fr/espece/cd_nom/462146","Entoloma chalybaeum (Pers.) Zerova, 1979")</f>
        <v>Entoloma chalybaeum (Pers.) Zerova, 1979</v>
      </c>
      <c r="V6004" s="7" t="str">
        <f>HYPERLINK("#Liste_rouge!A"&amp;_xlfn.XMATCH("VU",Liste_rouge!A:A,2,1),"VU")</f>
        <v>VU</v>
      </c>
      <c r="W6004" s="4" t="str">
        <f>HYPERLINK("#Critères_liste_rouge!A$1","A2c")</f>
        <v>A2c</v>
      </c>
      <c r="Z6004" s="4" t="s">
        <v>447</v>
      </c>
      <c r="AA6004" s="4" t="s">
        <v>448</v>
      </c>
      <c r="AH6004" s="4" t="str">
        <f>HYPERLINK("#Statut_biogéographique!A"&amp;_xlfn.XMATCH("P",Statut_biogéographique!A:A,2,1),"P")</f>
        <v>P</v>
      </c>
      <c r="AP6004" s="4" t="s">
        <v>376</v>
      </c>
      <c r="AR6004" s="4" t="s">
        <v>377</v>
      </c>
    </row>
    <row r="6005" spans="1:44" ht="30">
      <c r="A6005" s="4" t="s">
        <v>5</v>
      </c>
      <c r="B6005" s="4">
        <v>462147</v>
      </c>
      <c r="C6005" s="4">
        <v>6658</v>
      </c>
      <c r="D6005" s="5" t="s">
        <v>8614</v>
      </c>
      <c r="E6005" s="6" t="str">
        <f>HYPERLINK("https://inpn.mnhn.fr/espece/cd_nom/462147","Entoloma cettoi Noordel., Hauskn. &amp; Zuccher., 1994")</f>
        <v>Entoloma cettoi Noordel., Hauskn. &amp; Zuccher., 1994</v>
      </c>
      <c r="F6005" s="5" t="s">
        <v>8615</v>
      </c>
      <c r="AH6005" s="4" t="str">
        <f>HYPERLINK("#Statut_biogéographique!A"&amp;_xlfn.XMATCH("P",Statut_biogéographique!A:A,2,1),"P")</f>
        <v>P</v>
      </c>
      <c r="AP6005" s="4" t="s">
        <v>376</v>
      </c>
      <c r="AR6005" s="4" t="s">
        <v>377</v>
      </c>
    </row>
    <row r="6006" spans="1:44" ht="30">
      <c r="A6006" s="4" t="s">
        <v>5</v>
      </c>
      <c r="B6006" s="4">
        <v>462153</v>
      </c>
      <c r="C6006" s="4">
        <v>4664</v>
      </c>
      <c r="D6006" s="5" t="s">
        <v>8616</v>
      </c>
      <c r="E6006" s="6" t="str">
        <f>HYPERLINK("https://inpn.mnhn.fr/espece/cd_nom/462153","Entoloma aranaeosum (Quél.) Moser")</f>
        <v>Entoloma aranaeosum (Quél.) Moser</v>
      </c>
      <c r="V6006" s="7" t="str">
        <f>HYPERLINK("#Liste_rouge!A"&amp;_xlfn.XMATCH("EN",Liste_rouge!A:A,2,1),"EN")</f>
        <v>EN</v>
      </c>
      <c r="W6006" s="4" t="str">
        <f>HYPERLINK("#Critères_liste_rouge!A$1","B2abiii")</f>
        <v>B2abiii</v>
      </c>
      <c r="Z6006" s="4" t="s">
        <v>447</v>
      </c>
      <c r="AA6006" s="4" t="s">
        <v>448</v>
      </c>
      <c r="AH6006" s="4" t="str">
        <f>HYPERLINK("#Statut_biogéographique!A"&amp;_xlfn.XMATCH("P",Statut_biogéographique!A:A,2,1),"P")</f>
        <v>P</v>
      </c>
      <c r="AP6006" s="4" t="s">
        <v>376</v>
      </c>
      <c r="AR6006" s="4" t="s">
        <v>377</v>
      </c>
    </row>
    <row r="6007" spans="1:44" ht="30">
      <c r="A6007" s="4" t="s">
        <v>5</v>
      </c>
      <c r="B6007" s="4">
        <v>462157</v>
      </c>
      <c r="C6007" s="4">
        <v>5592</v>
      </c>
      <c r="D6007" s="5" t="s">
        <v>8617</v>
      </c>
      <c r="E6007" s="6" t="str">
        <f>HYPERLINK("https://inpn.mnhn.fr/espece/cd_nom/462157","Entoloma caliginosum (Romagn. &amp; J.Favre) Bon &amp; Courtec., 1987")</f>
        <v>Entoloma caliginosum (Romagn. &amp; J.Favre) Bon &amp; Courtec., 1987</v>
      </c>
      <c r="V6007" s="7" t="str">
        <f>HYPERLINK("#Liste_rouge!A"&amp;_xlfn.XMATCH("DD",Liste_rouge!A:A,2,1),"DD")</f>
        <v>DD</v>
      </c>
      <c r="Z6007" s="4" t="s">
        <v>447</v>
      </c>
      <c r="AA6007" s="4" t="s">
        <v>448</v>
      </c>
      <c r="AH6007" s="4" t="str">
        <f>HYPERLINK("#Statut_biogéographique!A"&amp;_xlfn.XMATCH("P",Statut_biogéographique!A:A,2,1),"P")</f>
        <v>P</v>
      </c>
      <c r="AP6007" s="4" t="s">
        <v>376</v>
      </c>
      <c r="AR6007" s="4" t="s">
        <v>377</v>
      </c>
    </row>
    <row r="6008" spans="1:44" ht="30">
      <c r="A6008" s="4" t="s">
        <v>5</v>
      </c>
      <c r="B6008" s="4">
        <v>462160</v>
      </c>
      <c r="C6008" s="4">
        <v>5482</v>
      </c>
      <c r="D6008" s="5" t="s">
        <v>8618</v>
      </c>
      <c r="E6008" s="6" t="str">
        <f>HYPERLINK("https://inpn.mnhn.fr/espece/cd_nom/462160","Entoloma brunneoserrulatum Eyssart. &amp; Noordel., 2002")</f>
        <v>Entoloma brunneoserrulatum Eyssart. &amp; Noordel., 2002</v>
      </c>
      <c r="V6008" s="7" t="str">
        <f>HYPERLINK("#Liste_rouge!A"&amp;_xlfn.XMATCH("DD",Liste_rouge!A:A,2,1),"DD")</f>
        <v>DD</v>
      </c>
      <c r="Z6008" s="4" t="s">
        <v>443</v>
      </c>
      <c r="AA6008" s="4" t="s">
        <v>444</v>
      </c>
      <c r="AH6008" s="4" t="str">
        <f>HYPERLINK("#Statut_biogéographique!A"&amp;_xlfn.XMATCH("P",Statut_biogéographique!A:A,2,1),"P")</f>
        <v>P</v>
      </c>
      <c r="AP6008" s="4" t="s">
        <v>376</v>
      </c>
      <c r="AR6008" s="4" t="s">
        <v>377</v>
      </c>
    </row>
    <row r="6009" spans="1:44" ht="30">
      <c r="A6009" s="4" t="s">
        <v>5</v>
      </c>
      <c r="B6009" s="4">
        <v>462167</v>
      </c>
      <c r="C6009" s="4">
        <v>3706</v>
      </c>
      <c r="D6009" s="5" t="s">
        <v>8619</v>
      </c>
      <c r="E6009" s="6" t="str">
        <f>HYPERLINK("https://inpn.mnhn.fr/espece/cd_nom/462167","Entoloma pernitrosum (P.D.Orton) P.D.Orton, 1981")</f>
        <v>Entoloma pernitrosum (P.D.Orton) P.D.Orton, 1981</v>
      </c>
      <c r="V6009" s="7" t="str">
        <f>HYPERLINK("#Liste_rouge!A"&amp;_xlfn.XMATCH("DD",Liste_rouge!A:A,2,1),"DD")</f>
        <v>DD</v>
      </c>
      <c r="Z6009" s="4" t="s">
        <v>443</v>
      </c>
      <c r="AA6009" s="4" t="s">
        <v>444</v>
      </c>
      <c r="AH6009" s="4" t="str">
        <f>HYPERLINK("#Statut_biogéographique!A"&amp;_xlfn.XMATCH("P",Statut_biogéographique!A:A,2,1),"P")</f>
        <v>P</v>
      </c>
      <c r="AP6009" s="4" t="s">
        <v>376</v>
      </c>
      <c r="AR6009" s="4" t="s">
        <v>377</v>
      </c>
    </row>
    <row r="6010" spans="1:44">
      <c r="A6010" s="4" t="s">
        <v>5</v>
      </c>
      <c r="B6010" s="4">
        <v>462168</v>
      </c>
      <c r="C6010" s="4">
        <v>4174</v>
      </c>
      <c r="D6010" s="5" t="s">
        <v>8620</v>
      </c>
      <c r="E6010" s="6" t="str">
        <f>HYPERLINK("https://inpn.mnhn.fr/espece/cd_nom/462168","Entoloma plebejoides (Schulzer) Noordel.")</f>
        <v>Entoloma plebejoides (Schulzer) Noordel.</v>
      </c>
      <c r="V6010" s="7" t="str">
        <f>HYPERLINK("#Liste_rouge!A"&amp;_xlfn.XMATCH("DD",Liste_rouge!A:A,2,1),"DD")</f>
        <v>DD</v>
      </c>
      <c r="AH6010" s="4" t="str">
        <f>HYPERLINK("#Statut_biogéographique!A"&amp;_xlfn.XMATCH("P",Statut_biogéographique!A:A,2,1),"P")</f>
        <v>P</v>
      </c>
      <c r="AP6010" s="4" t="s">
        <v>376</v>
      </c>
      <c r="AR6010" s="4" t="s">
        <v>377</v>
      </c>
    </row>
    <row r="6011" spans="1:44">
      <c r="A6011" s="4" t="s">
        <v>5</v>
      </c>
      <c r="B6011" s="4">
        <v>462169</v>
      </c>
      <c r="C6011" s="4">
        <v>5419</v>
      </c>
      <c r="D6011" s="5" t="s">
        <v>8621</v>
      </c>
      <c r="E6011" s="6" t="str">
        <f>HYPERLINK("https://inpn.mnhn.fr/espece/cd_nom/462169","Entoloma pseudocaelestinum Arnolds")</f>
        <v>Entoloma pseudocaelestinum Arnolds</v>
      </c>
      <c r="V6011" s="7" t="str">
        <f>HYPERLINK("#Liste_rouge!A"&amp;_xlfn.XMATCH("DD",Liste_rouge!A:A,2,1),"DD")</f>
        <v>DD</v>
      </c>
      <c r="Z6011" s="4" t="s">
        <v>447</v>
      </c>
      <c r="AA6011" s="4" t="s">
        <v>448</v>
      </c>
      <c r="AH6011" s="4" t="str">
        <f>HYPERLINK("#Statut_biogéographique!A"&amp;_xlfn.XMATCH("P",Statut_biogéographique!A:A,2,1),"P")</f>
        <v>P</v>
      </c>
      <c r="AP6011" s="4" t="s">
        <v>376</v>
      </c>
      <c r="AR6011" s="4" t="s">
        <v>377</v>
      </c>
    </row>
    <row r="6012" spans="1:44">
      <c r="A6012" s="4" t="s">
        <v>5</v>
      </c>
      <c r="B6012" s="4">
        <v>46217</v>
      </c>
      <c r="C6012" s="4">
        <v>2574</v>
      </c>
      <c r="D6012" s="5" t="s">
        <v>8622</v>
      </c>
      <c r="E6012" s="6" t="str">
        <f>HYPERLINK("https://inpn.mnhn.fr/espece/cd_nom/46217","Cheilymenia rubra Roum. ex Boud., 1907")</f>
        <v>Cheilymenia rubra Roum. ex Boud., 1907</v>
      </c>
      <c r="V6012" s="7" t="str">
        <f>HYPERLINK("#Liste_rouge!A"&amp;_xlfn.XMATCH("DD",Liste_rouge!A:A,2,1),"DD")</f>
        <v>DD</v>
      </c>
      <c r="AH6012" s="4" t="str">
        <f>HYPERLINK("#Statut_biogéographique!A"&amp;_xlfn.XMATCH("P",Statut_biogéographique!A:A,2,1),"P")</f>
        <v>P</v>
      </c>
      <c r="AP6012" s="4" t="s">
        <v>376</v>
      </c>
      <c r="AR6012" s="4" t="s">
        <v>377</v>
      </c>
    </row>
    <row r="6013" spans="1:44" ht="30">
      <c r="A6013" s="4" t="s">
        <v>5</v>
      </c>
      <c r="B6013" s="4">
        <v>462184</v>
      </c>
      <c r="C6013" s="4">
        <v>4080</v>
      </c>
      <c r="D6013" s="5" t="s">
        <v>8623</v>
      </c>
      <c r="E6013" s="6" t="str">
        <f>HYPERLINK("https://inpn.mnhn.fr/espece/cd_nom/462184","Entoloma incarnatofuscescens (Britzelm.) Noordel., 1985")</f>
        <v>Entoloma incarnatofuscescens (Britzelm.) Noordel., 1985</v>
      </c>
      <c r="V6013" s="7" t="str">
        <f>HYPERLINK("#Liste_rouge!A"&amp;_xlfn.XMATCH("DD",Liste_rouge!A:A,2,1),"DD")</f>
        <v>DD</v>
      </c>
      <c r="AH6013" s="4" t="str">
        <f>HYPERLINK("#Statut_biogéographique!A"&amp;_xlfn.XMATCH("P",Statut_biogéographique!A:A,2,1),"P")</f>
        <v>P</v>
      </c>
      <c r="AP6013" s="4" t="s">
        <v>376</v>
      </c>
      <c r="AR6013" s="4" t="s">
        <v>377</v>
      </c>
    </row>
    <row r="6014" spans="1:44">
      <c r="A6014" s="4" t="s">
        <v>5</v>
      </c>
      <c r="B6014" s="4">
        <v>462186</v>
      </c>
      <c r="C6014" s="4">
        <v>3293</v>
      </c>
      <c r="D6014" s="5" t="s">
        <v>8624</v>
      </c>
      <c r="E6014" s="6" t="str">
        <f>HYPERLINK("https://inpn.mnhn.fr/espece/cd_nom/462186","Entoloma infulum (Fr.) Zerov ex Noordel.")</f>
        <v>Entoloma infulum (Fr.) Zerov ex Noordel.</v>
      </c>
      <c r="V6014" s="7" t="str">
        <f>HYPERLINK("#Liste_rouge!A"&amp;_xlfn.XMATCH("VU",Liste_rouge!A:A,2,1),"VU")</f>
        <v>VU</v>
      </c>
      <c r="W6014" s="4" t="str">
        <f>HYPERLINK("#Critères_liste_rouge!A$1","B2abiii")</f>
        <v>B2abiii</v>
      </c>
      <c r="Z6014" s="4" t="s">
        <v>447</v>
      </c>
      <c r="AA6014" s="4" t="s">
        <v>448</v>
      </c>
      <c r="AH6014" s="4" t="str">
        <f>HYPERLINK("#Statut_biogéographique!A"&amp;_xlfn.XMATCH("P",Statut_biogéographique!A:A,2,1),"P")</f>
        <v>P</v>
      </c>
      <c r="AP6014" s="4" t="s">
        <v>376</v>
      </c>
      <c r="AR6014" s="4" t="s">
        <v>377</v>
      </c>
    </row>
    <row r="6015" spans="1:44" ht="30">
      <c r="A6015" s="4" t="s">
        <v>5</v>
      </c>
      <c r="B6015" s="4">
        <v>462187</v>
      </c>
      <c r="C6015" s="4">
        <v>2348</v>
      </c>
      <c r="D6015" s="5" t="s">
        <v>8625</v>
      </c>
      <c r="E6015" s="6" t="str">
        <f>HYPERLINK("https://inpn.mnhn.fr/espece/cd_nom/462187","Entoloma parkense (Fr.) Noordel.")</f>
        <v>Entoloma parkense (Fr.) Noordel.</v>
      </c>
      <c r="V6015" s="7" t="str">
        <f>HYPERLINK("#Liste_rouge!A"&amp;_xlfn.XMATCH("EN",Liste_rouge!A:A,2,1),"EN")</f>
        <v>EN</v>
      </c>
      <c r="W6015" s="4" t="str">
        <f>HYPERLINK("#Critères_liste_rouge!A$1","B2abiii")</f>
        <v>B2abiii</v>
      </c>
      <c r="Z6015" s="4" t="s">
        <v>447</v>
      </c>
      <c r="AA6015" s="4" t="s">
        <v>448</v>
      </c>
      <c r="AH6015" s="4" t="str">
        <f>HYPERLINK("#Statut_biogéographique!A"&amp;_xlfn.XMATCH("P",Statut_biogéographique!A:A,2,1),"P")</f>
        <v>P</v>
      </c>
      <c r="AP6015" s="4" t="s">
        <v>376</v>
      </c>
      <c r="AR6015" s="4" t="s">
        <v>377</v>
      </c>
    </row>
    <row r="6016" spans="1:44" ht="30">
      <c r="A6016" s="4" t="s">
        <v>5</v>
      </c>
      <c r="B6016" s="4">
        <v>462189</v>
      </c>
      <c r="C6016" s="4">
        <v>4665</v>
      </c>
      <c r="D6016" s="5" t="s">
        <v>8626</v>
      </c>
      <c r="E6016" s="6" t="str">
        <f>HYPERLINK("https://inpn.mnhn.fr/espece/cd_nom/462189","Entoloma griseorubellum (Lasch) Kalamees &amp; Urbonas, 1986")</f>
        <v>Entoloma griseorubellum (Lasch) Kalamees &amp; Urbonas, 1986</v>
      </c>
      <c r="V6016" s="7" t="str">
        <f>HYPERLINK("#Liste_rouge!A"&amp;_xlfn.XMATCH("RE",Liste_rouge!A:A,2,1),"RE")</f>
        <v>RE</v>
      </c>
      <c r="AH6016" s="4" t="str">
        <f>HYPERLINK("#Statut_biogéographique!A"&amp;_xlfn.XMATCH("P",Statut_biogéographique!A:A,2,1),"P")</f>
        <v>P</v>
      </c>
      <c r="AP6016" s="4" t="s">
        <v>376</v>
      </c>
      <c r="AR6016" s="4" t="s">
        <v>377</v>
      </c>
    </row>
    <row r="6017" spans="1:44">
      <c r="A6017" s="4" t="s">
        <v>5</v>
      </c>
      <c r="B6017" s="4">
        <v>46219</v>
      </c>
      <c r="C6017" s="4">
        <v>3949</v>
      </c>
      <c r="D6017" s="5" t="s">
        <v>8627</v>
      </c>
      <c r="E6017" s="6" t="str">
        <f>HYPERLINK("https://inpn.mnhn.fr/espece/cd_nom/46219","Cheilymenia stercorea (Pers.) Boud., 1907")</f>
        <v>Cheilymenia stercorea (Pers.) Boud., 1907</v>
      </c>
      <c r="AH6017" s="4" t="str">
        <f>HYPERLINK("#Statut_biogéographique!A"&amp;_xlfn.XMATCH("P",Statut_biogéographique!A:A,2,1),"P")</f>
        <v>P</v>
      </c>
      <c r="AP6017" s="4" t="s">
        <v>376</v>
      </c>
      <c r="AR6017" s="4" t="s">
        <v>377</v>
      </c>
    </row>
    <row r="6018" spans="1:44" ht="30">
      <c r="A6018" s="4" t="s">
        <v>5</v>
      </c>
      <c r="B6018" s="4">
        <v>462194</v>
      </c>
      <c r="C6018" s="4">
        <v>2205</v>
      </c>
      <c r="D6018" s="5" t="s">
        <v>8628</v>
      </c>
      <c r="E6018" s="6" t="str">
        <f>HYPERLINK("https://inpn.mnhn.fr/espece/cd_nom/462194","Entoloma nigrocinnamomeum (Kalchbr. &amp; Schulzer) Sacc., 1887")</f>
        <v>Entoloma nigrocinnamomeum (Kalchbr. &amp; Schulzer) Sacc., 1887</v>
      </c>
      <c r="V6018" s="7" t="str">
        <f>HYPERLINK("#Liste_rouge!A"&amp;_xlfn.XMATCH("RE",Liste_rouge!A:A,2,1),"RE")</f>
        <v>RE</v>
      </c>
      <c r="AH6018" s="4" t="str">
        <f>HYPERLINK("#Statut_biogéographique!A"&amp;_xlfn.XMATCH("P",Statut_biogéographique!A:A,2,1),"P")</f>
        <v>P</v>
      </c>
      <c r="AP6018" s="4" t="s">
        <v>376</v>
      </c>
      <c r="AR6018" s="4" t="s">
        <v>377</v>
      </c>
    </row>
    <row r="6019" spans="1:44" ht="30">
      <c r="A6019" s="4" t="s">
        <v>5</v>
      </c>
      <c r="B6019" s="4">
        <v>462200</v>
      </c>
      <c r="C6019" s="4">
        <v>2390</v>
      </c>
      <c r="D6019" s="5" t="s">
        <v>8629</v>
      </c>
      <c r="E6019" s="6" t="str">
        <f>HYPERLINK("https://inpn.mnhn.fr/espece/cd_nom/462200","Dendrocorticium macrosporum (Bres.) Boidin, Lanq. &amp; Duhem, 1996")</f>
        <v>Dendrocorticium macrosporum (Bres.) Boidin, Lanq. &amp; Duhem, 1996</v>
      </c>
      <c r="V6019" s="7" t="str">
        <f>HYPERLINK("#Liste_rouge!A"&amp;_xlfn.XMATCH("LC",Liste_rouge!A:A,2,1),"LC")</f>
        <v>LC</v>
      </c>
      <c r="AH6019" s="4" t="str">
        <f>HYPERLINK("#Statut_biogéographique!A"&amp;_xlfn.XMATCH("P",Statut_biogéographique!A:A,2,1),"P")</f>
        <v>P</v>
      </c>
      <c r="AP6019" s="4" t="s">
        <v>376</v>
      </c>
      <c r="AR6019" s="4" t="s">
        <v>377</v>
      </c>
    </row>
    <row r="6020" spans="1:44" ht="30">
      <c r="A6020" s="4" t="s">
        <v>5</v>
      </c>
      <c r="B6020" s="4">
        <v>462203</v>
      </c>
      <c r="C6020" s="4">
        <v>1971</v>
      </c>
      <c r="D6020" s="5" t="s">
        <v>8630</v>
      </c>
      <c r="E6020" s="6" t="str">
        <f>HYPERLINK("https://inpn.mnhn.fr/espece/cd_nom/462203","Dendrocollybia racemosa (Pers.) R.H.Petersen &amp; Redhead, 2001")</f>
        <v>Dendrocollybia racemosa (Pers.) R.H.Petersen &amp; Redhead, 2001</v>
      </c>
      <c r="F6020" s="5" t="s">
        <v>8631</v>
      </c>
      <c r="V6020" s="7" t="str">
        <f>HYPERLINK("#Liste_rouge!A"&amp;_xlfn.XMATCH("LC",Liste_rouge!A:A,2,1),"LC")</f>
        <v>LC</v>
      </c>
      <c r="Z6020" s="4" t="s">
        <v>443</v>
      </c>
      <c r="AA6020" s="4" t="s">
        <v>444</v>
      </c>
      <c r="AH6020" s="4" t="str">
        <f>HYPERLINK("#Statut_biogéographique!A"&amp;_xlfn.XMATCH("P",Statut_biogéographique!A:A,2,1),"P")</f>
        <v>P</v>
      </c>
      <c r="AP6020" s="4" t="s">
        <v>376</v>
      </c>
      <c r="AR6020" s="4" t="s">
        <v>377</v>
      </c>
    </row>
    <row r="6021" spans="1:44">
      <c r="A6021" s="4" t="s">
        <v>5</v>
      </c>
      <c r="B6021" s="4">
        <v>462205</v>
      </c>
      <c r="C6021" s="4">
        <v>5620</v>
      </c>
      <c r="D6021" s="5" t="s">
        <v>8632</v>
      </c>
      <c r="E6021" s="6" t="str">
        <f>HYPERLINK("https://inpn.mnhn.fr/espece/cd_nom/462205","Dacrymyces variisporus McNabb, 1973")</f>
        <v>Dacrymyces variisporus McNabb, 1973</v>
      </c>
      <c r="V6021" s="7" t="str">
        <f>HYPERLINK("#Liste_rouge!A"&amp;_xlfn.XMATCH("DD",Liste_rouge!A:A,2,1),"DD")</f>
        <v>DD</v>
      </c>
      <c r="AH6021" s="4" t="str">
        <f>HYPERLINK("#Statut_biogéographique!A"&amp;_xlfn.XMATCH("P",Statut_biogéographique!A:A,2,1),"P")</f>
        <v>P</v>
      </c>
      <c r="AP6021" s="4" t="s">
        <v>376</v>
      </c>
      <c r="AR6021" s="4" t="s">
        <v>377</v>
      </c>
    </row>
    <row r="6022" spans="1:44" ht="30">
      <c r="A6022" s="4" t="s">
        <v>5</v>
      </c>
      <c r="B6022" s="4">
        <v>462215</v>
      </c>
      <c r="C6022" s="4">
        <v>1960</v>
      </c>
      <c r="D6022" s="5" t="s">
        <v>8633</v>
      </c>
      <c r="E6022" s="6" t="str">
        <f>HYPERLINK("https://inpn.mnhn.fr/espece/cd_nom/462215","Cuphophyllus borealis (Peck) Bon ex Courtec., 1985")</f>
        <v>Cuphophyllus borealis (Peck) Bon ex Courtec., 1985</v>
      </c>
      <c r="F6022" s="5" t="s">
        <v>8634</v>
      </c>
      <c r="V6022" s="7" t="str">
        <f>HYPERLINK("#Liste_rouge!A"&amp;_xlfn.XMATCH("VU",Liste_rouge!A:A,2,1),"VU")</f>
        <v>VU</v>
      </c>
      <c r="W6022" s="4" t="str">
        <f>HYPERLINK("#Critères_liste_rouge!A$1","A2c")</f>
        <v>A2c</v>
      </c>
      <c r="Z6022" s="4" t="s">
        <v>447</v>
      </c>
      <c r="AA6022" s="4" t="s">
        <v>448</v>
      </c>
      <c r="AH6022" s="4" t="str">
        <f>HYPERLINK("#Statut_biogéographique!A"&amp;_xlfn.XMATCH("P",Statut_biogéographique!A:A,2,1),"P")</f>
        <v>P</v>
      </c>
      <c r="AP6022" s="4" t="s">
        <v>376</v>
      </c>
      <c r="AR6022" s="4" t="s">
        <v>377</v>
      </c>
    </row>
    <row r="6023" spans="1:44" ht="30">
      <c r="A6023" s="4" t="s">
        <v>5</v>
      </c>
      <c r="B6023" s="4">
        <v>462225</v>
      </c>
      <c r="C6023" s="4">
        <v>6696</v>
      </c>
      <c r="D6023" s="5" t="s">
        <v>8635</v>
      </c>
      <c r="E6023" s="6" t="str">
        <f>HYPERLINK("https://inpn.mnhn.fr/espece/cd_nom/462225","Cystostereum murrayi (Berk. &amp; M.A.Curtis) Pouzar, 1959")</f>
        <v>Cystostereum murrayi (Berk. &amp; M.A.Curtis) Pouzar, 1959</v>
      </c>
      <c r="F6023" s="5" t="s">
        <v>8636</v>
      </c>
      <c r="AH6023" s="4" t="str">
        <f>HYPERLINK("#Statut_biogéographique!A"&amp;_xlfn.XMATCH("P",Statut_biogéographique!A:A,2,1),"P")</f>
        <v>P</v>
      </c>
      <c r="AP6023" s="4" t="s">
        <v>376</v>
      </c>
      <c r="AR6023" s="4" t="s">
        <v>377</v>
      </c>
    </row>
    <row r="6024" spans="1:44" ht="45">
      <c r="A6024" s="4" t="s">
        <v>5</v>
      </c>
      <c r="B6024" s="4">
        <v>462228</v>
      </c>
      <c r="C6024" s="4">
        <v>2386</v>
      </c>
      <c r="D6024" s="5" t="s">
        <v>8637</v>
      </c>
      <c r="E6024" s="6" t="str">
        <f>HYPERLINK("https://inpn.mnhn.fr/espece/cd_nom/462228","Cylindrobasidium laeve (Pers.) Chamuris, 1984")</f>
        <v>Cylindrobasidium laeve (Pers.) Chamuris, 1984</v>
      </c>
      <c r="V6024" s="7" t="str">
        <f>HYPERLINK("#Liste_rouge!A"&amp;_xlfn.XMATCH("LC",Liste_rouge!A:A,2,1),"LC")</f>
        <v>LC</v>
      </c>
      <c r="AH6024" s="4" t="str">
        <f>HYPERLINK("#Statut_biogéographique!A"&amp;_xlfn.XMATCH("P",Statut_biogéographique!A:A,2,1),"P")</f>
        <v>P</v>
      </c>
      <c r="AP6024" s="4" t="s">
        <v>376</v>
      </c>
      <c r="AR6024" s="4" t="s">
        <v>377</v>
      </c>
    </row>
    <row r="6025" spans="1:44" ht="30">
      <c r="A6025" s="4" t="s">
        <v>5</v>
      </c>
      <c r="B6025" s="4">
        <v>462234</v>
      </c>
      <c r="C6025" s="4">
        <v>5311</v>
      </c>
      <c r="D6025" s="5" t="s">
        <v>8638</v>
      </c>
      <c r="E6025" s="6" t="str">
        <f>HYPERLINK("https://inpn.mnhn.fr/espece/cd_nom/462234","Echinoderma jacobii (Vellinga &amp; Knudsen) Rald, Heilmann-Clausen &amp; C. Lange")</f>
        <v>Echinoderma jacobii (Vellinga &amp; Knudsen) Rald, Heilmann-Clausen &amp; C. Lange</v>
      </c>
      <c r="V6025" s="7" t="str">
        <f>HYPERLINK("#Liste_rouge!A"&amp;_xlfn.XMATCH("DD",Liste_rouge!A:A,2,1),"DD")</f>
        <v>DD</v>
      </c>
      <c r="AH6025" s="4" t="str">
        <f>HYPERLINK("#Statut_biogéographique!A"&amp;_xlfn.XMATCH("P",Statut_biogéographique!A:A,2,1),"P")</f>
        <v>P</v>
      </c>
      <c r="AP6025" s="4" t="s">
        <v>376</v>
      </c>
      <c r="AR6025" s="4" t="s">
        <v>377</v>
      </c>
    </row>
    <row r="6026" spans="1:44" ht="30">
      <c r="A6026" s="4" t="s">
        <v>5</v>
      </c>
      <c r="B6026" s="4">
        <v>462237</v>
      </c>
      <c r="C6026" s="4">
        <v>4382</v>
      </c>
      <c r="D6026" s="5" t="s">
        <v>8639</v>
      </c>
      <c r="E6026" s="6" t="str">
        <f>HYPERLINK("https://inpn.mnhn.fr/espece/cd_nom/462237","Doassansia sagittariae (Fuckel) J.C.Fisch., 1884")</f>
        <v>Doassansia sagittariae (Fuckel) J.C.Fisch., 1884</v>
      </c>
      <c r="AH6026" s="4" t="str">
        <f>HYPERLINK("#Statut_biogéographique!A"&amp;_xlfn.XMATCH("P",Statut_biogéographique!A:A,2,1),"P")</f>
        <v>P</v>
      </c>
      <c r="AP6026" s="4" t="s">
        <v>376</v>
      </c>
      <c r="AR6026" s="4" t="s">
        <v>377</v>
      </c>
    </row>
    <row r="6027" spans="1:44" ht="30">
      <c r="A6027" s="4" t="s">
        <v>5</v>
      </c>
      <c r="B6027" s="4">
        <v>46224</v>
      </c>
      <c r="C6027" s="4">
        <v>1214</v>
      </c>
      <c r="D6027" s="5" t="s">
        <v>8640</v>
      </c>
      <c r="E6027" s="6" t="str">
        <f>HYPERLINK("https://inpn.mnhn.fr/espece/cd_nom/46224","Cheilymenia theleboloides (Alb. &amp; Schwein.) Boud., 1907")</f>
        <v>Cheilymenia theleboloides (Alb. &amp; Schwein.) Boud., 1907</v>
      </c>
      <c r="V6027" s="7" t="str">
        <f>HYPERLINK("#Liste_rouge!A"&amp;_xlfn.XMATCH("DD",Liste_rouge!A:A,2,1),"DD")</f>
        <v>DD</v>
      </c>
      <c r="Z6027" s="4" t="s">
        <v>443</v>
      </c>
      <c r="AA6027" s="4" t="s">
        <v>444</v>
      </c>
      <c r="AH6027" s="4" t="str">
        <f>HYPERLINK("#Statut_biogéographique!A"&amp;_xlfn.XMATCH("P",Statut_biogéographique!A:A,2,1),"P")</f>
        <v>P</v>
      </c>
      <c r="AP6027" s="4" t="s">
        <v>376</v>
      </c>
      <c r="AR6027" s="4" t="s">
        <v>377</v>
      </c>
    </row>
    <row r="6028" spans="1:44" ht="30">
      <c r="A6028" s="4" t="s">
        <v>5</v>
      </c>
      <c r="B6028" s="4">
        <v>462243</v>
      </c>
      <c r="C6028" s="4">
        <v>919</v>
      </c>
      <c r="D6028" s="5" t="s">
        <v>8641</v>
      </c>
      <c r="E6028" s="6" t="str">
        <f>HYPERLINK("https://inpn.mnhn.fr/espece/cd_nom/462243","Cumminsiella mirabilissima (Peck) Nannf., 1947")</f>
        <v>Cumminsiella mirabilissima (Peck) Nannf., 1947</v>
      </c>
      <c r="V6028" s="7" t="str">
        <f>HYPERLINK("#Liste_rouge!A"&amp;_xlfn.XMATCH("DD",Liste_rouge!A:A,2,1),"DD")</f>
        <v>DD</v>
      </c>
      <c r="AH6028" s="4" t="str">
        <f>HYPERLINK("#Statut_biogéographique!A"&amp;_xlfn.XMATCH("P",Statut_biogéographique!A:A,2,1),"P")</f>
        <v>P</v>
      </c>
      <c r="AP6028" s="4" t="s">
        <v>376</v>
      </c>
      <c r="AR6028" s="4" t="s">
        <v>377</v>
      </c>
    </row>
    <row r="6029" spans="1:44" ht="30">
      <c r="A6029" s="4" t="s">
        <v>5</v>
      </c>
      <c r="B6029" s="4">
        <v>462244</v>
      </c>
      <c r="C6029" s="4">
        <v>4165</v>
      </c>
      <c r="D6029" s="5" t="s">
        <v>8642</v>
      </c>
      <c r="E6029" s="6" t="str">
        <f>HYPERLINK("https://inpn.mnhn.fr/espece/cd_nom/462244","Echinoderma pseudoasperulum (Knudsen) Bon, 1991")</f>
        <v>Echinoderma pseudoasperulum (Knudsen) Bon, 1991</v>
      </c>
      <c r="V6029" s="7" t="str">
        <f>HYPERLINK("#Liste_rouge!A"&amp;_xlfn.XMATCH("DD",Liste_rouge!A:A,2,1),"DD")</f>
        <v>DD</v>
      </c>
      <c r="AH6029" s="4" t="str">
        <f>HYPERLINK("#Statut_biogéographique!A"&amp;_xlfn.XMATCH("P",Statut_biogéographique!A:A,2,1),"P")</f>
        <v>P</v>
      </c>
      <c r="AP6029" s="4" t="s">
        <v>376</v>
      </c>
      <c r="AR6029" s="4" t="s">
        <v>377</v>
      </c>
    </row>
    <row r="6030" spans="1:44">
      <c r="A6030" s="4" t="s">
        <v>5</v>
      </c>
      <c r="B6030" s="4">
        <v>462247</v>
      </c>
      <c r="C6030" s="4">
        <v>3281</v>
      </c>
      <c r="D6030" s="5" t="s">
        <v>8643</v>
      </c>
      <c r="E6030" s="6" t="str">
        <f>HYPERLINK("https://inpn.mnhn.fr/espece/cd_nom/462247","Dermoloma phaeopodium P.D.Orton, 1980")</f>
        <v>Dermoloma phaeopodium P.D.Orton, 1980</v>
      </c>
      <c r="V6030" s="7" t="str">
        <f>HYPERLINK("#Liste_rouge!A"&amp;_xlfn.XMATCH("CR",Liste_rouge!A:A,2,1),"CR")</f>
        <v>CR</v>
      </c>
      <c r="W6030" s="4" t="str">
        <f>HYPERLINK("#Critères_liste_rouge!A$1","B2abiii")</f>
        <v>B2abiii</v>
      </c>
      <c r="Z6030" s="4" t="s">
        <v>695</v>
      </c>
      <c r="AA6030" s="4" t="s">
        <v>696</v>
      </c>
      <c r="AH6030" s="4" t="str">
        <f>HYPERLINK("#Statut_biogéographique!A"&amp;_xlfn.XMATCH("P",Statut_biogéographique!A:A,2,1),"P")</f>
        <v>P</v>
      </c>
      <c r="AP6030" s="4" t="s">
        <v>376</v>
      </c>
      <c r="AR6030" s="4" t="s">
        <v>377</v>
      </c>
    </row>
    <row r="6031" spans="1:44" ht="30">
      <c r="A6031" s="4" t="s">
        <v>5</v>
      </c>
      <c r="B6031" s="4">
        <v>462253</v>
      </c>
      <c r="C6031" s="4">
        <v>1229</v>
      </c>
      <c r="D6031" s="5" t="s">
        <v>8644</v>
      </c>
      <c r="E6031" s="6" t="str">
        <f>HYPERLINK("https://inpn.mnhn.fr/espece/cd_nom/462253","Endophyllum sempervivi (Alb. &amp; Schwein.) de Bary, 1863")</f>
        <v>Endophyllum sempervivi (Alb. &amp; Schwein.) de Bary, 1863</v>
      </c>
      <c r="V6031" s="7" t="str">
        <f>HYPERLINK("#Liste_rouge!A"&amp;_xlfn.XMATCH("DD",Liste_rouge!A:A,2,1),"DD")</f>
        <v>DD</v>
      </c>
      <c r="AH6031" s="4" t="str">
        <f>HYPERLINK("#Statut_biogéographique!A"&amp;_xlfn.XMATCH("P",Statut_biogéographique!A:A,2,1),"P")</f>
        <v>P</v>
      </c>
      <c r="AP6031" s="4" t="s">
        <v>376</v>
      </c>
      <c r="AR6031" s="4" t="s">
        <v>377</v>
      </c>
    </row>
    <row r="6032" spans="1:44" ht="30">
      <c r="A6032" s="4" t="s">
        <v>5</v>
      </c>
      <c r="B6032" s="4">
        <v>462254</v>
      </c>
      <c r="C6032" s="4">
        <v>579</v>
      </c>
      <c r="D6032" s="5" t="s">
        <v>8645</v>
      </c>
      <c r="E6032" s="6" t="str">
        <f>HYPERLINK("https://inpn.mnhn.fr/espece/cd_nom/462254","Ditiola pezizaeformis (Lév.) D.A. Reid")</f>
        <v>Ditiola pezizaeformis (Lév.) D.A. Reid</v>
      </c>
      <c r="V6032" s="7" t="str">
        <f>HYPERLINK("#Liste_rouge!A"&amp;_xlfn.XMATCH("LC",Liste_rouge!A:A,2,1),"LC")</f>
        <v>LC</v>
      </c>
      <c r="AH6032" s="4" t="str">
        <f>HYPERLINK("#Statut_biogéographique!A"&amp;_xlfn.XMATCH("P",Statut_biogéographique!A:A,2,1),"P")</f>
        <v>P</v>
      </c>
      <c r="AP6032" s="4" t="s">
        <v>376</v>
      </c>
      <c r="AR6032" s="4" t="s">
        <v>377</v>
      </c>
    </row>
    <row r="6033" spans="1:44">
      <c r="A6033" s="4" t="s">
        <v>5</v>
      </c>
      <c r="B6033" s="4">
        <v>462261</v>
      </c>
      <c r="C6033" s="4">
        <v>2369</v>
      </c>
      <c r="D6033" s="5" t="s">
        <v>8646</v>
      </c>
      <c r="E6033" s="6" t="str">
        <f>HYPERLINK("https://inpn.mnhn.fr/espece/cd_nom/462261","Clavulinopsis subtilis (Pers.) Corner, 1950")</f>
        <v>Clavulinopsis subtilis (Pers.) Corner, 1950</v>
      </c>
      <c r="F6033" s="5" t="s">
        <v>8647</v>
      </c>
      <c r="V6033" s="7" t="str">
        <f>HYPERLINK("#Liste_rouge!A"&amp;_xlfn.XMATCH("NT",Liste_rouge!A:A,2,1),"NT")</f>
        <v>NT</v>
      </c>
      <c r="W6033" s="4" t="str">
        <f>HYPERLINK("#Critères_liste_rouge!A$1","pr. A2c")</f>
        <v>pr. A2c</v>
      </c>
      <c r="AH6033" s="4" t="str">
        <f>HYPERLINK("#Statut_biogéographique!A"&amp;_xlfn.XMATCH("P",Statut_biogéographique!A:A,2,1),"P")</f>
        <v>P</v>
      </c>
      <c r="AP6033" s="4" t="s">
        <v>376</v>
      </c>
      <c r="AR6033" s="4" t="s">
        <v>377</v>
      </c>
    </row>
    <row r="6034" spans="1:44">
      <c r="A6034" s="4" t="s">
        <v>5</v>
      </c>
      <c r="B6034" s="4">
        <v>462265</v>
      </c>
      <c r="C6034" s="4">
        <v>4600</v>
      </c>
      <c r="D6034" s="5" t="s">
        <v>8648</v>
      </c>
      <c r="E6034" s="6" t="str">
        <f>HYPERLINK("https://inpn.mnhn.fr/espece/cd_nom/462265","Clitocybe font-queri R.Heim, 1934")</f>
        <v>Clitocybe font-queri R.Heim, 1934</v>
      </c>
      <c r="F6034" s="5" t="s">
        <v>8649</v>
      </c>
      <c r="V6034" s="7" t="str">
        <f>HYPERLINK("#Liste_rouge!A"&amp;_xlfn.XMATCH("EN",Liste_rouge!A:A,2,1),"EN")</f>
        <v>EN</v>
      </c>
      <c r="W6034" s="4" t="str">
        <f>HYPERLINK("#Critères_liste_rouge!A$1","B2abiii")</f>
        <v>B2abiii</v>
      </c>
      <c r="Z6034" s="4" t="s">
        <v>695</v>
      </c>
      <c r="AA6034" s="4" t="s">
        <v>696</v>
      </c>
      <c r="AH6034" s="4" t="str">
        <f>HYPERLINK("#Statut_biogéographique!A"&amp;_xlfn.XMATCH("P",Statut_biogéographique!A:A,2,1),"P")</f>
        <v>P</v>
      </c>
      <c r="AP6034" s="4" t="s">
        <v>376</v>
      </c>
      <c r="AR6034" s="4" t="s">
        <v>377</v>
      </c>
    </row>
    <row r="6035" spans="1:44">
      <c r="A6035" s="4" t="s">
        <v>5</v>
      </c>
      <c r="B6035" s="4">
        <v>462270</v>
      </c>
      <c r="C6035" s="4">
        <v>3206</v>
      </c>
      <c r="D6035" s="5" t="s">
        <v>8650</v>
      </c>
      <c r="E6035" s="6" t="str">
        <f>HYPERLINK("https://inpn.mnhn.fr/espece/cd_nom/462270","Clitocybe collina (Velen.) Klán, 1979")</f>
        <v>Clitocybe collina (Velen.) Klán, 1979</v>
      </c>
      <c r="F6035" s="5" t="s">
        <v>8651</v>
      </c>
      <c r="V6035" s="7" t="str">
        <f>HYPERLINK("#Liste_rouge!A"&amp;_xlfn.XMATCH("VU",Liste_rouge!A:A,2,1),"VU")</f>
        <v>VU</v>
      </c>
      <c r="W6035" s="4" t="str">
        <f>HYPERLINK("#Critères_liste_rouge!A$1","B2abiii")</f>
        <v>B2abiii</v>
      </c>
      <c r="Z6035" s="4" t="s">
        <v>447</v>
      </c>
      <c r="AA6035" s="4" t="s">
        <v>448</v>
      </c>
      <c r="AH6035" s="4" t="str">
        <f>HYPERLINK("#Statut_biogéographique!A"&amp;_xlfn.XMATCH("P",Statut_biogéographique!A:A,2,1),"P")</f>
        <v>P</v>
      </c>
      <c r="AP6035" s="4" t="s">
        <v>376</v>
      </c>
      <c r="AR6035" s="4" t="s">
        <v>377</v>
      </c>
    </row>
    <row r="6036" spans="1:44">
      <c r="A6036" s="4" t="s">
        <v>5</v>
      </c>
      <c r="B6036" s="4">
        <v>462275</v>
      </c>
      <c r="D6036" s="5" t="s">
        <v>8652</v>
      </c>
      <c r="E6036" s="6" t="str">
        <f>HYPERLINK("https://inpn.mnhn.fr/espece/cd_nom/462275","Chrysomyxa rhododendri (DC.) de Bary, 1879")</f>
        <v>Chrysomyxa rhododendri (DC.) de Bary, 1879</v>
      </c>
      <c r="AH6036" s="4" t="str">
        <f>HYPERLINK("#Statut_biogéographique!A"&amp;_xlfn.XMATCH("P",Statut_biogéographique!A:A,2,1),"P")</f>
        <v>P</v>
      </c>
      <c r="AP6036" s="4" t="s">
        <v>376</v>
      </c>
      <c r="AR6036" s="4" t="s">
        <v>377</v>
      </c>
    </row>
    <row r="6037" spans="1:44" ht="30">
      <c r="A6037" s="4" t="s">
        <v>5</v>
      </c>
      <c r="B6037" s="4">
        <v>462287</v>
      </c>
      <c r="C6037" s="4">
        <v>4531</v>
      </c>
      <c r="D6037" s="5" t="s">
        <v>8653</v>
      </c>
      <c r="E6037" s="6" t="str">
        <f>HYPERLINK("https://inpn.mnhn.fr/espece/cd_nom/462287","Clavulicium vinososcabens (Burt) Pouzar, 1982")</f>
        <v>Clavulicium vinososcabens (Burt) Pouzar, 1982</v>
      </c>
      <c r="V6037" s="7" t="str">
        <f>HYPERLINK("#Liste_rouge!A"&amp;_xlfn.XMATCH("EN",Liste_rouge!A:A,2,1),"EN")</f>
        <v>EN</v>
      </c>
      <c r="W6037" s="4" t="str">
        <f>HYPERLINK("#Critères_liste_rouge!A$1","B2abiii")</f>
        <v>B2abiii</v>
      </c>
      <c r="Z6037" s="4" t="s">
        <v>447</v>
      </c>
      <c r="AA6037" s="4" t="s">
        <v>448</v>
      </c>
      <c r="AH6037" s="4" t="str">
        <f>HYPERLINK("#Statut_biogéographique!A"&amp;_xlfn.XMATCH("P",Statut_biogéographique!A:A,2,1),"P")</f>
        <v>P</v>
      </c>
      <c r="AP6037" s="4" t="s">
        <v>376</v>
      </c>
      <c r="AR6037" s="4" t="s">
        <v>377</v>
      </c>
    </row>
    <row r="6038" spans="1:44">
      <c r="A6038" s="4" t="s">
        <v>5</v>
      </c>
      <c r="B6038" s="4">
        <v>462290</v>
      </c>
      <c r="C6038" s="4">
        <v>7196</v>
      </c>
      <c r="D6038" s="5" t="s">
        <v>8654</v>
      </c>
      <c r="E6038" s="6" t="str">
        <f>HYPERLINK("https://inpn.mnhn.fr/espece/cd_nom/462290","Clitocybe inflatipes M.M.Moser, 1995")</f>
        <v>Clitocybe inflatipes M.M.Moser, 1995</v>
      </c>
      <c r="F6038" s="5" t="s">
        <v>8655</v>
      </c>
      <c r="V6038" s="7" t="str">
        <f>HYPERLINK("#Liste_rouge!A"&amp;_xlfn.XMATCH("DD",Liste_rouge!A:A,2,1),"DD")</f>
        <v>DD</v>
      </c>
      <c r="AH6038" s="4" t="str">
        <f>HYPERLINK("#Statut_biogéographique!A"&amp;_xlfn.XMATCH("P",Statut_biogéographique!A:A,2,1),"P")</f>
        <v>P</v>
      </c>
      <c r="AP6038" s="4" t="s">
        <v>376</v>
      </c>
      <c r="AR6038" s="4" t="s">
        <v>377</v>
      </c>
    </row>
    <row r="6039" spans="1:44" ht="30">
      <c r="A6039" s="4" t="s">
        <v>5</v>
      </c>
      <c r="B6039" s="4">
        <v>462295</v>
      </c>
      <c r="C6039" s="4">
        <v>5638</v>
      </c>
      <c r="D6039" s="5" t="s">
        <v>8656</v>
      </c>
      <c r="E6039" s="6" t="str">
        <f>HYPERLINK("https://inpn.mnhn.fr/espece/cd_nom/462295","Clitopilus cystidiatus Hauskn. &amp; Noordel., 1999")</f>
        <v>Clitopilus cystidiatus Hauskn. &amp; Noordel., 1999</v>
      </c>
      <c r="F6039" s="5" t="s">
        <v>8657</v>
      </c>
      <c r="AH6039" s="4" t="str">
        <f>HYPERLINK("#Statut_biogéographique!A"&amp;_xlfn.XMATCH("P",Statut_biogéographique!A:A,2,1),"P")</f>
        <v>P</v>
      </c>
      <c r="AP6039" s="4" t="s">
        <v>376</v>
      </c>
      <c r="AR6039" s="4" t="s">
        <v>377</v>
      </c>
    </row>
    <row r="6040" spans="1:44">
      <c r="A6040" s="4" t="s">
        <v>5</v>
      </c>
      <c r="B6040" s="4">
        <v>462296</v>
      </c>
      <c r="C6040" s="4">
        <v>3312</v>
      </c>
      <c r="D6040" s="5" t="s">
        <v>8658</v>
      </c>
      <c r="E6040" s="6" t="str">
        <f>HYPERLINK("https://inpn.mnhn.fr/espece/cd_nom/462296","Clitopilus omphaliformis Joss., 1941")</f>
        <v>Clitopilus omphaliformis Joss., 1941</v>
      </c>
      <c r="F6040" s="5" t="s">
        <v>8659</v>
      </c>
      <c r="V6040" s="7" t="str">
        <f>HYPERLINK("#Liste_rouge!A"&amp;_xlfn.XMATCH("DD",Liste_rouge!A:A,2,1),"DD")</f>
        <v>DD</v>
      </c>
      <c r="AH6040" s="4" t="str">
        <f>HYPERLINK("#Statut_biogéographique!A"&amp;_xlfn.XMATCH("P",Statut_biogéographique!A:A,2,1),"P")</f>
        <v>P</v>
      </c>
      <c r="AP6040" s="4" t="s">
        <v>376</v>
      </c>
      <c r="AR6040" s="4" t="s">
        <v>377</v>
      </c>
    </row>
    <row r="6041" spans="1:44">
      <c r="A6041" s="4" t="s">
        <v>5</v>
      </c>
      <c r="B6041" s="4">
        <v>462308</v>
      </c>
      <c r="C6041" s="4">
        <v>6608</v>
      </c>
      <c r="D6041" s="5" t="s">
        <v>8660</v>
      </c>
      <c r="E6041" s="6" t="str">
        <f>HYPERLINK("https://inpn.mnhn.fr/espece/cd_nom/462308","Clitocybe pruniodora (Maire) Singer, 1943")</f>
        <v>Clitocybe pruniodora (Maire) Singer, 1943</v>
      </c>
      <c r="AH6041" s="4" t="str">
        <f>HYPERLINK("#Statut_biogéographique!A"&amp;_xlfn.XMATCH("P",Statut_biogéographique!A:A,2,1),"P")</f>
        <v>P</v>
      </c>
      <c r="AP6041" s="4" t="s">
        <v>376</v>
      </c>
      <c r="AR6041" s="4" t="s">
        <v>377</v>
      </c>
    </row>
    <row r="6042" spans="1:44" ht="30">
      <c r="A6042" s="4" t="s">
        <v>5</v>
      </c>
      <c r="B6042" s="4">
        <v>462312</v>
      </c>
      <c r="C6042" s="4">
        <v>3694</v>
      </c>
      <c r="D6042" s="5" t="s">
        <v>8661</v>
      </c>
      <c r="E6042" s="6" t="str">
        <f>HYPERLINK("https://inpn.mnhn.fr/espece/cd_nom/462312","Clitocybe maxima (P.Gaertn., G.Mey. &amp; Scherb.) P.Kumm., 1871")</f>
        <v>Clitocybe maxima (P.Gaertn., G.Mey. &amp; Scherb.) P.Kumm., 1871</v>
      </c>
      <c r="F6042" s="5" t="s">
        <v>8662</v>
      </c>
      <c r="V6042" s="7" t="str">
        <f>HYPERLINK("#Liste_rouge!A"&amp;_xlfn.XMATCH("VU",Liste_rouge!A:A,2,1),"VU")</f>
        <v>VU</v>
      </c>
      <c r="W6042" s="4" t="str">
        <f>HYPERLINK("#Critères_liste_rouge!A$1","A2c")</f>
        <v>A2c</v>
      </c>
      <c r="Z6042" s="4" t="s">
        <v>443</v>
      </c>
      <c r="AA6042" s="4" t="s">
        <v>444</v>
      </c>
      <c r="AH6042" s="4" t="str">
        <f>HYPERLINK("#Statut_biogéographique!A"&amp;_xlfn.XMATCH("P",Statut_biogéographique!A:A,2,1),"P")</f>
        <v>P</v>
      </c>
      <c r="AP6042" s="4" t="s">
        <v>376</v>
      </c>
      <c r="AR6042" s="4" t="s">
        <v>377</v>
      </c>
    </row>
    <row r="6043" spans="1:44">
      <c r="A6043" s="4" t="s">
        <v>5</v>
      </c>
      <c r="B6043" s="4">
        <v>462321</v>
      </c>
      <c r="C6043" s="4">
        <v>5217</v>
      </c>
      <c r="D6043" s="5" t="s">
        <v>8663</v>
      </c>
      <c r="E6043" s="6" t="str">
        <f>HYPERLINK("https://inpn.mnhn.fr/espece/cd_nom/462321","Clitocybe senilis (Fr.) Gillet, 1874")</f>
        <v>Clitocybe senilis (Fr.) Gillet, 1874</v>
      </c>
      <c r="F6043" s="5" t="s">
        <v>8664</v>
      </c>
      <c r="V6043" s="7" t="str">
        <f>HYPERLINK("#Liste_rouge!A"&amp;_xlfn.XMATCH("DD",Liste_rouge!A:A,2,1),"DD")</f>
        <v>DD</v>
      </c>
      <c r="Z6043" s="4" t="s">
        <v>695</v>
      </c>
      <c r="AA6043" s="4" t="s">
        <v>696</v>
      </c>
      <c r="AH6043" s="4" t="str">
        <f>HYPERLINK("#Statut_biogéographique!A"&amp;_xlfn.XMATCH("P",Statut_biogéographique!A:A,2,1),"P")</f>
        <v>P</v>
      </c>
      <c r="AP6043" s="4" t="s">
        <v>376</v>
      </c>
      <c r="AR6043" s="4" t="s">
        <v>377</v>
      </c>
    </row>
    <row r="6044" spans="1:44">
      <c r="A6044" s="4" t="s">
        <v>5</v>
      </c>
      <c r="B6044" s="4">
        <v>462323</v>
      </c>
      <c r="C6044" s="4">
        <v>5194</v>
      </c>
      <c r="D6044" s="5" t="s">
        <v>8665</v>
      </c>
      <c r="E6044" s="6" t="str">
        <f>HYPERLINK("https://inpn.mnhn.fr/espece/cd_nom/462323","Clitocybe paludosa Raithelh., 1971")</f>
        <v>Clitocybe paludosa Raithelh., 1971</v>
      </c>
      <c r="F6044" s="5" t="s">
        <v>8666</v>
      </c>
      <c r="V6044" s="7" t="str">
        <f>HYPERLINK("#Liste_rouge!A"&amp;_xlfn.XMATCH("DD",Liste_rouge!A:A,2,1),"DD")</f>
        <v>DD</v>
      </c>
      <c r="AH6044" s="4" t="str">
        <f>HYPERLINK("#Statut_biogéographique!A"&amp;_xlfn.XMATCH("P",Statut_biogéographique!A:A,2,1),"P")</f>
        <v>P</v>
      </c>
      <c r="AP6044" s="4" t="s">
        <v>376</v>
      </c>
      <c r="AR6044" s="4" t="s">
        <v>377</v>
      </c>
    </row>
    <row r="6045" spans="1:44" ht="30">
      <c r="A6045" s="4" t="s">
        <v>5</v>
      </c>
      <c r="B6045" s="4">
        <v>462324</v>
      </c>
      <c r="C6045" s="4">
        <v>3514</v>
      </c>
      <c r="D6045" s="5" t="s">
        <v>8667</v>
      </c>
      <c r="E6045" s="6" t="str">
        <f>HYPERLINK("https://inpn.mnhn.fr/espece/cd_nom/462324","Cantharellus pseudominimus Eyssart. &amp; Buyck, 1999")</f>
        <v>Cantharellus pseudominimus Eyssart. &amp; Buyck, 1999</v>
      </c>
      <c r="F6045" s="5" t="s">
        <v>8668</v>
      </c>
      <c r="V6045" s="7" t="str">
        <f>HYPERLINK("#Liste_rouge!A"&amp;_xlfn.XMATCH("EN",Liste_rouge!A:A,2,1),"EN")</f>
        <v>EN</v>
      </c>
      <c r="W6045" s="4" t="str">
        <f>HYPERLINK("#Critères_liste_rouge!A$1","B2abiii")</f>
        <v>B2abiii</v>
      </c>
      <c r="Z6045" s="4" t="s">
        <v>447</v>
      </c>
      <c r="AA6045" s="4" t="s">
        <v>448</v>
      </c>
      <c r="AH6045" s="4" t="str">
        <f>HYPERLINK("#Statut_biogéographique!A"&amp;_xlfn.XMATCH("P",Statut_biogéographique!A:A,2,1),"P")</f>
        <v>P</v>
      </c>
      <c r="AP6045" s="4" t="s">
        <v>376</v>
      </c>
      <c r="AR6045" s="4" t="s">
        <v>377</v>
      </c>
    </row>
    <row r="6046" spans="1:44" ht="60">
      <c r="A6046" s="4" t="s">
        <v>5</v>
      </c>
      <c r="B6046" s="4">
        <v>462339</v>
      </c>
      <c r="C6046" s="4">
        <v>7148</v>
      </c>
      <c r="D6046" s="5" t="s">
        <v>8669</v>
      </c>
      <c r="E6046" s="6" t="str">
        <f>HYPERLINK("https://inpn.mnhn.fr/espece/cd_nom/462339","Cantharellopsis prescotii (Weinm.) Kuyper, 1986")</f>
        <v>Cantharellopsis prescotii (Weinm.) Kuyper, 1986</v>
      </c>
      <c r="F6046" s="5" t="s">
        <v>8670</v>
      </c>
      <c r="V6046" s="7" t="str">
        <f>HYPERLINK("#Liste_rouge!A"&amp;_xlfn.XMATCH("EN",Liste_rouge!A:A,2,1),"EN")</f>
        <v>EN</v>
      </c>
      <c r="W6046" s="4" t="str">
        <f>HYPERLINK("#Critères_liste_rouge!A$1","B2abiii")</f>
        <v>B2abiii</v>
      </c>
      <c r="Z6046" s="4" t="s">
        <v>447</v>
      </c>
      <c r="AA6046" s="4" t="s">
        <v>448</v>
      </c>
      <c r="AH6046" s="4" t="str">
        <f>HYPERLINK("#Statut_biogéographique!A"&amp;_xlfn.XMATCH("P",Statut_biogéographique!A:A,2,1),"P")</f>
        <v>P</v>
      </c>
      <c r="AP6046" s="4" t="s">
        <v>376</v>
      </c>
      <c r="AR6046" s="4" t="s">
        <v>377</v>
      </c>
    </row>
    <row r="6047" spans="1:44" ht="30">
      <c r="A6047" s="4" t="s">
        <v>5</v>
      </c>
      <c r="B6047" s="4">
        <v>46234</v>
      </c>
      <c r="C6047" s="4">
        <v>4243</v>
      </c>
      <c r="D6047" s="5" t="s">
        <v>8671</v>
      </c>
      <c r="E6047" s="6" t="str">
        <f>HYPERLINK("https://inpn.mnhn.fr/espece/cd_nom/46234","Chlorencoelia versiformis (Pers.) J.R.Dixon, 1975")</f>
        <v>Chlorencoelia versiformis (Pers.) J.R.Dixon, 1975</v>
      </c>
      <c r="V6047" s="7" t="str">
        <f>HYPERLINK("#Liste_rouge!A"&amp;_xlfn.XMATCH("DD",Liste_rouge!A:A,2,1),"DD")</f>
        <v>DD</v>
      </c>
      <c r="AH6047" s="4" t="str">
        <f>HYPERLINK("#Statut_biogéographique!A"&amp;_xlfn.XMATCH("P",Statut_biogéographique!A:A,2,1),"P")</f>
        <v>P</v>
      </c>
      <c r="AP6047" s="4" t="s">
        <v>376</v>
      </c>
      <c r="AR6047" s="4" t="s">
        <v>377</v>
      </c>
    </row>
    <row r="6048" spans="1:44">
      <c r="A6048" s="4" t="s">
        <v>5</v>
      </c>
      <c r="B6048" s="4">
        <v>462349</v>
      </c>
      <c r="C6048" s="4">
        <v>675</v>
      </c>
      <c r="D6048" s="5" t="s">
        <v>8672</v>
      </c>
      <c r="E6048" s="6" t="str">
        <f>HYPERLINK("https://inpn.mnhn.fr/espece/cd_nom/462349","Cantharellus henrici Eyssart. &amp; Buyck, 2000")</f>
        <v>Cantharellus henrici Eyssart. &amp; Buyck, 2000</v>
      </c>
      <c r="F6048" s="5" t="s">
        <v>8673</v>
      </c>
      <c r="V6048" s="7" t="str">
        <f>HYPERLINK("#Liste_rouge!A"&amp;_xlfn.XMATCH("DD",Liste_rouge!A:A,2,1),"DD")</f>
        <v>DD</v>
      </c>
      <c r="AH6048" s="4" t="str">
        <f>HYPERLINK("#Statut_biogéographique!A"&amp;_xlfn.XMATCH("P",Statut_biogéographique!A:A,2,1),"P")</f>
        <v>P</v>
      </c>
      <c r="AP6048" s="4" t="s">
        <v>376</v>
      </c>
      <c r="AR6048" s="4" t="s">
        <v>377</v>
      </c>
    </row>
    <row r="6049" spans="1:44" ht="30">
      <c r="A6049" s="4" t="s">
        <v>5</v>
      </c>
      <c r="B6049" s="4">
        <v>462350</v>
      </c>
      <c r="C6049" s="4">
        <v>5739</v>
      </c>
      <c r="D6049" s="5" t="s">
        <v>8674</v>
      </c>
      <c r="E6049" s="6" t="str">
        <f>HYPERLINK("https://inpn.mnhn.fr/espece/cd_nom/462350","Cantharellus lilacinopruinatus Hermitte, Eyssart. &amp; Poumarat, 2005")</f>
        <v>Cantharellus lilacinopruinatus Hermitte, Eyssart. &amp; Poumarat, 2005</v>
      </c>
      <c r="F6049" s="5" t="s">
        <v>8675</v>
      </c>
      <c r="AH6049" s="4" t="str">
        <f>HYPERLINK("#Statut_biogéographique!A"&amp;_xlfn.XMATCH("P",Statut_biogéographique!A:A,2,1),"P")</f>
        <v>P</v>
      </c>
      <c r="AP6049" s="4" t="s">
        <v>376</v>
      </c>
      <c r="AR6049" s="4" t="s">
        <v>377</v>
      </c>
    </row>
    <row r="6050" spans="1:44" ht="30">
      <c r="A6050" s="4" t="s">
        <v>5</v>
      </c>
      <c r="B6050" s="4">
        <v>462351</v>
      </c>
      <c r="C6050" s="4">
        <v>3540</v>
      </c>
      <c r="D6050" s="5" t="s">
        <v>8676</v>
      </c>
      <c r="E6050" s="6" t="str">
        <f>HYPERLINK("https://inpn.mnhn.fr/espece/cd_nom/462351","Cantharellus neglectus (M.Souché) Eyssart. &amp; Buyck, 2000")</f>
        <v>Cantharellus neglectus (M.Souché) Eyssart. &amp; Buyck, 2000</v>
      </c>
      <c r="F6050" s="5" t="s">
        <v>8677</v>
      </c>
      <c r="V6050" s="7" t="str">
        <f>HYPERLINK("#Liste_rouge!A"&amp;_xlfn.XMATCH("NT",Liste_rouge!A:A,2,1),"NT")</f>
        <v>NT</v>
      </c>
      <c r="W6050" s="4" t="str">
        <f>HYPERLINK("#Critères_liste_rouge!A$1","pr. B2abiii")</f>
        <v>pr. B2abiii</v>
      </c>
      <c r="AH6050" s="4" t="str">
        <f>HYPERLINK("#Statut_biogéographique!A"&amp;_xlfn.XMATCH("P",Statut_biogéographique!A:A,2,1),"P")</f>
        <v>P</v>
      </c>
      <c r="AP6050" s="4" t="s">
        <v>376</v>
      </c>
      <c r="AR6050" s="4" t="s">
        <v>377</v>
      </c>
    </row>
    <row r="6051" spans="1:44" ht="30">
      <c r="A6051" s="4" t="s">
        <v>5</v>
      </c>
      <c r="B6051" s="4">
        <v>462352</v>
      </c>
      <c r="C6051" s="4">
        <v>4528</v>
      </c>
      <c r="D6051" s="5" t="s">
        <v>8678</v>
      </c>
      <c r="E6051" s="6" t="str">
        <f>HYPERLINK("https://inpn.mnhn.fr/espece/cd_nom/462352","Cantharellus parviluteus Fern.Sas., Pérez-De-Greg. &amp; Eyssart., 2004")</f>
        <v>Cantharellus parviluteus Fern.Sas., Pérez-De-Greg. &amp; Eyssart., 2004</v>
      </c>
      <c r="V6051" s="7" t="str">
        <f>HYPERLINK("#Liste_rouge!A"&amp;_xlfn.XMATCH("DD",Liste_rouge!A:A,2,1),"DD")</f>
        <v>DD</v>
      </c>
      <c r="AH6051" s="4" t="str">
        <f>HYPERLINK("#Statut_biogéographique!A"&amp;_xlfn.XMATCH("P",Statut_biogéographique!A:A,2,1),"P")</f>
        <v>P</v>
      </c>
      <c r="AP6051" s="4" t="s">
        <v>376</v>
      </c>
      <c r="AR6051" s="4" t="s">
        <v>377</v>
      </c>
    </row>
    <row r="6052" spans="1:44" ht="30">
      <c r="A6052" s="4" t="s">
        <v>5</v>
      </c>
      <c r="B6052" s="4">
        <v>462354</v>
      </c>
      <c r="C6052" s="4">
        <v>3185</v>
      </c>
      <c r="D6052" s="5" t="s">
        <v>8679</v>
      </c>
      <c r="E6052" s="6" t="str">
        <f>HYPERLINK("https://inpn.mnhn.fr/espece/cd_nom/462354","Candelabrochaete septocystidiata (Burt) H.H. Burdsall")</f>
        <v>Candelabrochaete septocystidiata (Burt) H.H. Burdsall</v>
      </c>
      <c r="V6052" s="7" t="str">
        <f>HYPERLINK("#Liste_rouge!A"&amp;_xlfn.XMATCH("DD",Liste_rouge!A:A,2,1),"DD")</f>
        <v>DD</v>
      </c>
      <c r="Z6052" s="4" t="s">
        <v>443</v>
      </c>
      <c r="AA6052" s="4" t="s">
        <v>444</v>
      </c>
      <c r="AH6052" s="4" t="str">
        <f>HYPERLINK("#Statut_biogéographique!A"&amp;_xlfn.XMATCH("P",Statut_biogéographique!A:A,2,1),"P")</f>
        <v>P</v>
      </c>
      <c r="AP6052" s="4" t="s">
        <v>376</v>
      </c>
      <c r="AR6052" s="4" t="s">
        <v>377</v>
      </c>
    </row>
    <row r="6053" spans="1:44" ht="45">
      <c r="A6053" s="4" t="s">
        <v>5</v>
      </c>
      <c r="B6053" s="4">
        <v>462357</v>
      </c>
      <c r="C6053" s="4">
        <v>822</v>
      </c>
      <c r="D6053" s="5" t="s">
        <v>8680</v>
      </c>
      <c r="E6053" s="6" t="str">
        <f>HYPERLINK("https://inpn.mnhn.fr/espece/cd_nom/462357","Chlorophyllum brunneum (Farl. &amp; Burt) Vellinga, 2002")</f>
        <v>Chlorophyllum brunneum (Farl. &amp; Burt) Vellinga, 2002</v>
      </c>
      <c r="F6053" s="5" t="s">
        <v>8681</v>
      </c>
      <c r="V6053" s="7" t="str">
        <f>HYPERLINK("#Liste_rouge!A"&amp;_xlfn.XMATCH("LC",Liste_rouge!A:A,2,1),"LC")</f>
        <v>LC</v>
      </c>
      <c r="AH6053" s="4" t="str">
        <f>HYPERLINK("#Statut_biogéographique!A"&amp;_xlfn.XMATCH("P",Statut_biogéographique!A:A,2,1),"P")</f>
        <v>P</v>
      </c>
      <c r="AP6053" s="4" t="s">
        <v>376</v>
      </c>
      <c r="AR6053" s="4" t="s">
        <v>377</v>
      </c>
    </row>
    <row r="6054" spans="1:44" ht="30">
      <c r="A6054" s="4" t="s">
        <v>5</v>
      </c>
      <c r="B6054" s="4">
        <v>462359</v>
      </c>
      <c r="C6054" s="4">
        <v>130</v>
      </c>
      <c r="D6054" s="5" t="s">
        <v>8682</v>
      </c>
      <c r="E6054" s="6" t="str">
        <f>HYPERLINK("https://inpn.mnhn.fr/espece/cd_nom/462359","Chlorophyllum rhacodes (Vittad.) Vellinga, 2002")</f>
        <v>Chlorophyllum rhacodes (Vittad.) Vellinga, 2002</v>
      </c>
      <c r="F6054" s="5" t="s">
        <v>8683</v>
      </c>
      <c r="V6054" s="7" t="str">
        <f>HYPERLINK("#Liste_rouge!A"&amp;_xlfn.XMATCH("LC",Liste_rouge!A:A,2,1),"LC")</f>
        <v>LC</v>
      </c>
      <c r="AH6054" s="4" t="str">
        <f>HYPERLINK("#Statut_biogéographique!A"&amp;_xlfn.XMATCH("P",Statut_biogéographique!A:A,2,1),"P")</f>
        <v>P</v>
      </c>
      <c r="AP6054" s="4" t="s">
        <v>376</v>
      </c>
      <c r="AR6054" s="4" t="s">
        <v>377</v>
      </c>
    </row>
    <row r="6055" spans="1:44" ht="45">
      <c r="A6055" s="4" t="s">
        <v>5</v>
      </c>
      <c r="B6055" s="4">
        <v>462366</v>
      </c>
      <c r="C6055" s="4">
        <v>2005</v>
      </c>
      <c r="D6055" s="5" t="s">
        <v>8684</v>
      </c>
      <c r="E6055" s="6" t="str">
        <f>HYPERLINK("https://inpn.mnhn.fr/espece/cd_nom/462366","Chrysomphalina grossula (Pers.) Norvell, Redhead &amp; Ammirati, 1994")</f>
        <v>Chrysomphalina grossula (Pers.) Norvell, Redhead &amp; Ammirati, 1994</v>
      </c>
      <c r="V6055" s="7" t="str">
        <f>HYPERLINK("#Liste_rouge!A"&amp;_xlfn.XMATCH("LC",Liste_rouge!A:A,2,1),"LC")</f>
        <v>LC</v>
      </c>
      <c r="Z6055" s="4" t="s">
        <v>443</v>
      </c>
      <c r="AA6055" s="4" t="s">
        <v>444</v>
      </c>
      <c r="AH6055" s="4" t="str">
        <f>HYPERLINK("#Statut_biogéographique!A"&amp;_xlfn.XMATCH("P",Statut_biogéographique!A:A,2,1),"P")</f>
        <v>P</v>
      </c>
      <c r="AP6055" s="4" t="s">
        <v>376</v>
      </c>
      <c r="AR6055" s="4" t="s">
        <v>377</v>
      </c>
    </row>
    <row r="6056" spans="1:44" ht="30">
      <c r="A6056" s="4" t="s">
        <v>5</v>
      </c>
      <c r="B6056" s="4">
        <v>462374</v>
      </c>
      <c r="C6056" s="4">
        <v>6906</v>
      </c>
      <c r="D6056" s="5" t="s">
        <v>8685</v>
      </c>
      <c r="E6056" s="6" t="str">
        <f>HYPERLINK("https://inpn.mnhn.fr/espece/cd_nom/462374","Ceriporia mellita (Bourdot &amp; Galzin) Bondartsev &amp; Singer, 1941")</f>
        <v>Ceriporia mellita (Bourdot &amp; Galzin) Bondartsev &amp; Singer, 1941</v>
      </c>
      <c r="AH6056" s="4" t="str">
        <f>HYPERLINK("#Statut_biogéographique!A"&amp;_xlfn.XMATCH("P",Statut_biogéographique!A:A,2,1),"P")</f>
        <v>P</v>
      </c>
      <c r="AP6056" s="4" t="s">
        <v>376</v>
      </c>
      <c r="AR6056" s="4" t="s">
        <v>377</v>
      </c>
    </row>
    <row r="6057" spans="1:44" ht="30">
      <c r="A6057" s="4" t="s">
        <v>5</v>
      </c>
      <c r="B6057" s="4">
        <v>462379</v>
      </c>
      <c r="C6057" s="4">
        <v>6606</v>
      </c>
      <c r="D6057" s="5" t="s">
        <v>8686</v>
      </c>
      <c r="E6057" s="6" t="str">
        <f>HYPERLINK("https://inpn.mnhn.fr/espece/cd_nom/462379","Ceriporia aurantiocarnescens (Henn.) M.Pieri &amp; B.Rivoire, 1997")</f>
        <v>Ceriporia aurantiocarnescens (Henn.) M.Pieri &amp; B.Rivoire, 1997</v>
      </c>
      <c r="AH6057" s="4" t="str">
        <f>HYPERLINK("#Statut_biogéographique!A"&amp;_xlfn.XMATCH("P",Statut_biogéographique!A:A,2,1),"P")</f>
        <v>P</v>
      </c>
      <c r="AP6057" s="4" t="s">
        <v>376</v>
      </c>
      <c r="AR6057" s="4" t="s">
        <v>377</v>
      </c>
    </row>
    <row r="6058" spans="1:44" ht="45">
      <c r="A6058" s="4" t="s">
        <v>5</v>
      </c>
      <c r="B6058" s="4">
        <v>462380</v>
      </c>
      <c r="C6058" s="4">
        <v>4891</v>
      </c>
      <c r="D6058" s="5" t="s">
        <v>8687</v>
      </c>
      <c r="E6058" s="6" t="str">
        <f>HYPERLINK("https://inpn.mnhn.fr/espece/cd_nom/462380","Ceriporiopsis mucida (Pers.) Gilb. &amp; Ryvarden, 1985")</f>
        <v>Ceriporiopsis mucida (Pers.) Gilb. &amp; Ryvarden, 1985</v>
      </c>
      <c r="F6058" s="5" t="s">
        <v>8688</v>
      </c>
      <c r="V6058" s="7" t="str">
        <f>HYPERLINK("#Liste_rouge!A"&amp;_xlfn.XMATCH("DD",Liste_rouge!A:A,2,1),"DD")</f>
        <v>DD</v>
      </c>
      <c r="Z6058" s="4" t="s">
        <v>447</v>
      </c>
      <c r="AA6058" s="4" t="s">
        <v>448</v>
      </c>
      <c r="AH6058" s="4" t="str">
        <f>HYPERLINK("#Statut_biogéographique!A"&amp;_xlfn.XMATCH("P",Statut_biogéographique!A:A,2,1),"P")</f>
        <v>P</v>
      </c>
      <c r="AP6058" s="4" t="s">
        <v>376</v>
      </c>
      <c r="AR6058" s="4" t="s">
        <v>377</v>
      </c>
    </row>
    <row r="6059" spans="1:44" ht="30">
      <c r="A6059" s="4" t="s">
        <v>5</v>
      </c>
      <c r="B6059" s="4">
        <v>46239</v>
      </c>
      <c r="C6059" s="4">
        <v>439</v>
      </c>
      <c r="D6059" s="5" t="s">
        <v>8689</v>
      </c>
      <c r="E6059" s="6" t="str">
        <f>HYPERLINK("https://inpn.mnhn.fr/espece/cd_nom/46239","Chlorociboria aeruginascens (Nyl.) Kanouse ex C.S.Ramamurthi, Korf &amp; L.R.Batra, 1958")</f>
        <v>Chlorociboria aeruginascens (Nyl.) Kanouse ex C.S.Ramamurthi, Korf &amp; L.R.Batra, 1958</v>
      </c>
      <c r="F6059" s="5" t="s">
        <v>8690</v>
      </c>
      <c r="V6059" s="7" t="str">
        <f>HYPERLINK("#Liste_rouge!A"&amp;_xlfn.XMATCH("LC",Liste_rouge!A:A,2,1),"LC")</f>
        <v>LC</v>
      </c>
      <c r="AH6059" s="4" t="str">
        <f>HYPERLINK("#Statut_biogéographique!A"&amp;_xlfn.XMATCH("P",Statut_biogéographique!A:A,2,1),"P")</f>
        <v>P</v>
      </c>
      <c r="AP6059" s="4" t="s">
        <v>376</v>
      </c>
      <c r="AR6059" s="4" t="s">
        <v>377</v>
      </c>
    </row>
    <row r="6060" spans="1:44">
      <c r="A6060" s="4" t="s">
        <v>5</v>
      </c>
      <c r="B6060" s="4">
        <v>462397</v>
      </c>
      <c r="C6060" s="4">
        <v>6768</v>
      </c>
      <c r="D6060" s="5" t="s">
        <v>8691</v>
      </c>
      <c r="E6060" s="6" t="str">
        <f>HYPERLINK("https://inpn.mnhn.fr/espece/cd_nom/462397","Coprinus levisticolens E.Ludw. &amp; P.Roux, 1995")</f>
        <v>Coprinus levisticolens E.Ludw. &amp; P.Roux, 1995</v>
      </c>
      <c r="F6060" s="5" t="s">
        <v>8692</v>
      </c>
      <c r="AH6060" s="4" t="str">
        <f>HYPERLINK("#Statut_biogéographique!A"&amp;_xlfn.XMATCH("P",Statut_biogéographique!A:A,2,1),"P")</f>
        <v>P</v>
      </c>
      <c r="AP6060" s="4" t="s">
        <v>376</v>
      </c>
      <c r="AR6060" s="4" t="s">
        <v>377</v>
      </c>
    </row>
    <row r="6061" spans="1:44" ht="30">
      <c r="A6061" s="4" t="s">
        <v>5</v>
      </c>
      <c r="B6061" s="4">
        <v>46242</v>
      </c>
      <c r="D6061" s="5" t="s">
        <v>8693</v>
      </c>
      <c r="E6061" s="6" t="str">
        <f>HYPERLINK("https://inpn.mnhn.fr/espece/cd_nom/46242","Chlorociboria aeruginosa (Oeder) Seaver ex C.S.Ramamurthi, Korf &amp; L.R.Batra, 1958")</f>
        <v>Chlorociboria aeruginosa (Oeder) Seaver ex C.S.Ramamurthi, Korf &amp; L.R.Batra, 1958</v>
      </c>
      <c r="AH6061" s="4" t="str">
        <f>HYPERLINK("#Statut_biogéographique!A"&amp;_xlfn.XMATCH("P",Statut_biogéographique!A:A,2,1),"P")</f>
        <v>P</v>
      </c>
      <c r="AP6061" s="4" t="s">
        <v>376</v>
      </c>
      <c r="AR6061" s="4" t="s">
        <v>377</v>
      </c>
    </row>
    <row r="6062" spans="1:44">
      <c r="A6062" s="4" t="s">
        <v>5</v>
      </c>
      <c r="B6062" s="4">
        <v>462432</v>
      </c>
      <c r="C6062" s="4">
        <v>1455</v>
      </c>
      <c r="D6062" s="5" t="s">
        <v>8694</v>
      </c>
      <c r="E6062" s="6" t="str">
        <f>HYPERLINK("https://inpn.mnhn.fr/espece/cd_nom/462432","Cortinarius lilacinicolor Reumaux, 1996")</f>
        <v>Cortinarius lilacinicolor Reumaux, 1996</v>
      </c>
      <c r="V6062" s="7" t="str">
        <f>HYPERLINK("#Liste_rouge!A"&amp;_xlfn.XMATCH("DD",Liste_rouge!A:A,2,1),"DD")</f>
        <v>DD</v>
      </c>
      <c r="AH6062" s="4" t="str">
        <f>HYPERLINK("#Statut_biogéographique!A"&amp;_xlfn.XMATCH("P",Statut_biogéographique!A:A,2,1),"P")</f>
        <v>P</v>
      </c>
      <c r="AP6062" s="4" t="s">
        <v>376</v>
      </c>
      <c r="AR6062" s="4" t="s">
        <v>377</v>
      </c>
    </row>
    <row r="6063" spans="1:44">
      <c r="A6063" s="4" t="s">
        <v>5</v>
      </c>
      <c r="B6063" s="4">
        <v>462443</v>
      </c>
      <c r="C6063" s="4">
        <v>5928</v>
      </c>
      <c r="D6063" s="5" t="s">
        <v>8695</v>
      </c>
      <c r="E6063" s="6" t="str">
        <f>HYPERLINK("https://inpn.mnhn.fr/espece/cd_nom/462443","Coprinus scobicola P.D.Orton, 1972")</f>
        <v>Coprinus scobicola P.D.Orton, 1972</v>
      </c>
      <c r="AH6063" s="4" t="str">
        <f>HYPERLINK("#Statut_biogéographique!A"&amp;_xlfn.XMATCH("P",Statut_biogéographique!A:A,2,1),"P")</f>
        <v>P</v>
      </c>
      <c r="AP6063" s="4" t="s">
        <v>376</v>
      </c>
      <c r="AR6063" s="4" t="s">
        <v>377</v>
      </c>
    </row>
    <row r="6064" spans="1:44">
      <c r="A6064" s="4" t="s">
        <v>5</v>
      </c>
      <c r="B6064" s="4">
        <v>462444</v>
      </c>
      <c r="C6064" s="4">
        <v>5459</v>
      </c>
      <c r="D6064" s="5" t="s">
        <v>8696</v>
      </c>
      <c r="E6064" s="6" t="str">
        <f>HYPERLINK("https://inpn.mnhn.fr/espece/cd_nom/462444","Coprinus spelaiophilus Bas &amp; Uljé, 1999")</f>
        <v>Coprinus spelaiophilus Bas &amp; Uljé, 1999</v>
      </c>
      <c r="V6064" s="7" t="str">
        <f>HYPERLINK("#Liste_rouge!A"&amp;_xlfn.XMATCH("DD",Liste_rouge!A:A,2,1),"DD")</f>
        <v>DD</v>
      </c>
      <c r="AH6064" s="4" t="str">
        <f>HYPERLINK("#Statut_biogéographique!A"&amp;_xlfn.XMATCH("P",Statut_biogéographique!A:A,2,1),"P")</f>
        <v>P</v>
      </c>
      <c r="AP6064" s="4" t="s">
        <v>376</v>
      </c>
      <c r="AR6064" s="4" t="s">
        <v>377</v>
      </c>
    </row>
    <row r="6065" spans="1:44">
      <c r="A6065" s="4" t="s">
        <v>5</v>
      </c>
      <c r="B6065" s="4">
        <v>462456</v>
      </c>
      <c r="C6065" s="4">
        <v>4807</v>
      </c>
      <c r="D6065" s="5" t="s">
        <v>8697</v>
      </c>
      <c r="E6065" s="6" t="str">
        <f>HYPERLINK("https://inpn.mnhn.fr/espece/cd_nom/462456","Collybia luxurians Peck, 1897")</f>
        <v>Collybia luxurians Peck, 1897</v>
      </c>
      <c r="F6065" s="5" t="s">
        <v>8698</v>
      </c>
      <c r="V6065" s="7" t="str">
        <f>HYPERLINK("#Liste_rouge!A"&amp;_xlfn.XMATCH("DD",Liste_rouge!A:A,2,1),"DD")</f>
        <v>DD</v>
      </c>
      <c r="AH6065" s="4" t="str">
        <f>HYPERLINK("#Statut_biogéographique!A"&amp;_xlfn.XMATCH("P",Statut_biogéographique!A:A,2,1),"P")</f>
        <v>P</v>
      </c>
      <c r="AP6065" s="4" t="s">
        <v>376</v>
      </c>
      <c r="AR6065" s="4" t="s">
        <v>377</v>
      </c>
    </row>
    <row r="6066" spans="1:44" ht="30">
      <c r="A6066" s="4" t="s">
        <v>5</v>
      </c>
      <c r="B6066" s="4">
        <v>462460</v>
      </c>
      <c r="C6066" s="4">
        <v>3516</v>
      </c>
      <c r="D6066" s="5" t="s">
        <v>8699</v>
      </c>
      <c r="E6066" s="6" t="str">
        <f>HYPERLINK("https://inpn.mnhn.fr/espece/cd_nom/462460","Collybia huijsmanii (Antonín &amp; Noordel.) Bon, 1998")</f>
        <v>Collybia huijsmanii (Antonín &amp; Noordel.) Bon, 1998</v>
      </c>
      <c r="F6066" s="5" t="s">
        <v>8700</v>
      </c>
      <c r="V6066" s="7" t="str">
        <f>HYPERLINK("#Liste_rouge!A"&amp;_xlfn.XMATCH("DD",Liste_rouge!A:A,2,1),"DD")</f>
        <v>DD</v>
      </c>
      <c r="AH6066" s="4" t="str">
        <f>HYPERLINK("#Statut_biogéographique!A"&amp;_xlfn.XMATCH("P",Statut_biogéographique!A:A,2,1),"P")</f>
        <v>P</v>
      </c>
      <c r="AP6066" s="4" t="s">
        <v>376</v>
      </c>
      <c r="AR6066" s="4" t="s">
        <v>377</v>
      </c>
    </row>
    <row r="6067" spans="1:44">
      <c r="A6067" s="4" t="s">
        <v>5</v>
      </c>
      <c r="B6067" s="4">
        <v>462465</v>
      </c>
      <c r="C6067" s="4">
        <v>1405</v>
      </c>
      <c r="D6067" s="5" t="s">
        <v>8701</v>
      </c>
      <c r="E6067" s="6" t="str">
        <f>HYPERLINK("https://inpn.mnhn.fr/espece/cd_nom/462465","Coleosporium tussilaginis (Pers.) Tul., 1854")</f>
        <v>Coleosporium tussilaginis (Pers.) Tul., 1854</v>
      </c>
      <c r="V6067" s="7" t="str">
        <f>HYPERLINK("#Liste_rouge!A"&amp;_xlfn.XMATCH("DD",Liste_rouge!A:A,2,1),"DD")</f>
        <v>DD</v>
      </c>
      <c r="AH6067" s="4" t="str">
        <f>HYPERLINK("#Statut_biogéographique!A"&amp;_xlfn.XMATCH("P",Statut_biogéographique!A:A,2,1),"P")</f>
        <v>P</v>
      </c>
      <c r="AP6067" s="4" t="s">
        <v>376</v>
      </c>
      <c r="AR6067" s="4" t="s">
        <v>377</v>
      </c>
    </row>
    <row r="6068" spans="1:44" ht="45">
      <c r="A6068" s="4" t="s">
        <v>5</v>
      </c>
      <c r="B6068" s="4">
        <v>462473</v>
      </c>
      <c r="C6068" s="4">
        <v>851</v>
      </c>
      <c r="D6068" s="5" t="s">
        <v>8702</v>
      </c>
      <c r="E6068" s="6" t="str">
        <f>HYPERLINK("https://inpn.mnhn.fr/espece/cd_nom/462473","Collybia erythropus (Pers.) P.Kumm., 1871")</f>
        <v>Collybia erythropus (Pers.) P.Kumm., 1871</v>
      </c>
      <c r="F6068" s="5" t="s">
        <v>8703</v>
      </c>
      <c r="V6068" s="7" t="str">
        <f>HYPERLINK("#Liste_rouge!A"&amp;_xlfn.XMATCH("LC",Liste_rouge!A:A,2,1),"LC")</f>
        <v>LC</v>
      </c>
      <c r="AH6068" s="4" t="str">
        <f>HYPERLINK("#Statut_biogéographique!A"&amp;_xlfn.XMATCH("P",Statut_biogéographique!A:A,2,1),"P")</f>
        <v>P</v>
      </c>
      <c r="AP6068" s="4" t="s">
        <v>376</v>
      </c>
      <c r="AR6068" s="4" t="s">
        <v>377</v>
      </c>
    </row>
    <row r="6069" spans="1:44">
      <c r="A6069" s="4" t="s">
        <v>5</v>
      </c>
      <c r="B6069" s="4">
        <v>462477</v>
      </c>
      <c r="C6069" s="4">
        <v>1448</v>
      </c>
      <c r="D6069" s="5" t="s">
        <v>8704</v>
      </c>
      <c r="E6069" s="6" t="str">
        <f>HYPERLINK("https://inpn.mnhn.fr/espece/cd_nom/462477","Collybia brassicolens (Romagn.) Bon, 1998")</f>
        <v>Collybia brassicolens (Romagn.) Bon, 1998</v>
      </c>
      <c r="F6069" s="5" t="s">
        <v>8705</v>
      </c>
      <c r="V6069" s="7" t="str">
        <f>HYPERLINK("#Liste_rouge!A"&amp;_xlfn.XMATCH("LC",Liste_rouge!A:A,2,1),"LC")</f>
        <v>LC</v>
      </c>
      <c r="AH6069" s="4" t="str">
        <f>HYPERLINK("#Statut_biogéographique!A"&amp;_xlfn.XMATCH("P",Statut_biogéographique!A:A,2,1),"P")</f>
        <v>P</v>
      </c>
      <c r="AP6069" s="4" t="s">
        <v>376</v>
      </c>
      <c r="AR6069" s="4" t="s">
        <v>377</v>
      </c>
    </row>
    <row r="6070" spans="1:44" ht="30">
      <c r="A6070" s="4" t="s">
        <v>5</v>
      </c>
      <c r="B6070" s="4">
        <v>462486</v>
      </c>
      <c r="C6070" s="4">
        <v>5197</v>
      </c>
      <c r="D6070" s="5" t="s">
        <v>8706</v>
      </c>
      <c r="E6070" s="6" t="str">
        <f>HYPERLINK("https://inpn.mnhn.fr/espece/cd_nom/462486","Conocybe velutipes (Velen.) Hauskn. &amp; Svrček, 1999")</f>
        <v>Conocybe velutipes (Velen.) Hauskn. &amp; Svrček, 1999</v>
      </c>
      <c r="F6070" s="5" t="s">
        <v>8707</v>
      </c>
      <c r="V6070" s="7" t="str">
        <f>HYPERLINK("#Liste_rouge!A"&amp;_xlfn.XMATCH("DD",Liste_rouge!A:A,2,1),"DD")</f>
        <v>DD</v>
      </c>
      <c r="AH6070" s="4" t="str">
        <f>HYPERLINK("#Statut_biogéographique!A"&amp;_xlfn.XMATCH("P",Statut_biogéographique!A:A,2,1),"P")</f>
        <v>P</v>
      </c>
      <c r="AP6070" s="4" t="s">
        <v>376</v>
      </c>
      <c r="AR6070" s="4" t="s">
        <v>377</v>
      </c>
    </row>
    <row r="6071" spans="1:44" ht="30">
      <c r="A6071" s="4" t="s">
        <v>5</v>
      </c>
      <c r="B6071" s="4">
        <v>462488</v>
      </c>
      <c r="C6071" s="4">
        <v>6944</v>
      </c>
      <c r="D6071" s="5" t="s">
        <v>8708</v>
      </c>
      <c r="E6071" s="6" t="str">
        <f>HYPERLINK("https://inpn.mnhn.fr/espece/cd_nom/462488","Contumyces rosellus (M.M.Moser) Redhead, Moncalvo, Vilgalys &amp; Lutzoni, 2002")</f>
        <v>Contumyces rosellus (M.M.Moser) Redhead, Moncalvo, Vilgalys &amp; Lutzoni, 2002</v>
      </c>
      <c r="F6071" s="5" t="s">
        <v>8709</v>
      </c>
      <c r="AH6071" s="4" t="str">
        <f>HYPERLINK("#Statut_biogéographique!A"&amp;_xlfn.XMATCH("P",Statut_biogéographique!A:A,2,1),"P")</f>
        <v>P</v>
      </c>
      <c r="AP6071" s="4" t="s">
        <v>376</v>
      </c>
      <c r="AR6071" s="4" t="s">
        <v>377</v>
      </c>
    </row>
    <row r="6072" spans="1:44">
      <c r="A6072" s="4" t="s">
        <v>5</v>
      </c>
      <c r="B6072" s="4">
        <v>46250</v>
      </c>
      <c r="C6072" s="4">
        <v>5265</v>
      </c>
      <c r="D6072" s="5" t="s">
        <v>8710</v>
      </c>
      <c r="E6072" s="6" t="str">
        <f>HYPERLINK("https://inpn.mnhn.fr/espece/cd_nom/46250","Chloroscypha sabinae (Fuckel) Dennis, 1954")</f>
        <v>Chloroscypha sabinae (Fuckel) Dennis, 1954</v>
      </c>
      <c r="AH6072" s="4" t="str">
        <f>HYPERLINK("#Statut_biogéographique!A"&amp;_xlfn.XMATCH("P",Statut_biogéographique!A:A,2,1),"P")</f>
        <v>P</v>
      </c>
      <c r="AP6072" s="4" t="s">
        <v>376</v>
      </c>
      <c r="AR6072" s="4" t="s">
        <v>377</v>
      </c>
    </row>
    <row r="6073" spans="1:44" ht="60">
      <c r="A6073" s="4" t="s">
        <v>5</v>
      </c>
      <c r="B6073" s="4">
        <v>462501</v>
      </c>
      <c r="C6073" s="4">
        <v>2832</v>
      </c>
      <c r="D6073" s="5" t="s">
        <v>8711</v>
      </c>
      <c r="E6073" s="6" t="str">
        <f>HYPERLINK("https://inpn.mnhn.fr/espece/cd_nom/462501","Conocybe apala (Fr.) Arnolds, 2003")</f>
        <v>Conocybe apala (Fr.) Arnolds, 2003</v>
      </c>
      <c r="F6073" s="5" t="s">
        <v>8712</v>
      </c>
      <c r="V6073" s="7" t="str">
        <f>HYPERLINK("#Liste_rouge!A"&amp;_xlfn.XMATCH("LC",Liste_rouge!A:A,2,1),"LC")</f>
        <v>LC</v>
      </c>
      <c r="AH6073" s="4" t="str">
        <f>HYPERLINK("#Statut_biogéographique!A"&amp;_xlfn.XMATCH("P",Statut_biogéographique!A:A,2,1),"P")</f>
        <v>P</v>
      </c>
      <c r="AP6073" s="4" t="s">
        <v>376</v>
      </c>
      <c r="AR6073" s="4" t="s">
        <v>377</v>
      </c>
    </row>
    <row r="6074" spans="1:44" ht="30">
      <c r="A6074" s="4" t="s">
        <v>5</v>
      </c>
      <c r="B6074" s="4">
        <v>462506</v>
      </c>
      <c r="C6074" s="4">
        <v>5275</v>
      </c>
      <c r="D6074" s="5" t="s">
        <v>8713</v>
      </c>
      <c r="E6074" s="6" t="str">
        <f>HYPERLINK("https://inpn.mnhn.fr/espece/cd_nom/462506","Conocybe fuscimarginata (Murrill) Singer, 1969")</f>
        <v>Conocybe fuscimarginata (Murrill) Singer, 1969</v>
      </c>
      <c r="V6074" s="7" t="str">
        <f>HYPERLINK("#Liste_rouge!A"&amp;_xlfn.XMATCH("DD",Liste_rouge!A:A,2,1),"DD")</f>
        <v>DD</v>
      </c>
      <c r="AH6074" s="4" t="str">
        <f>HYPERLINK("#Statut_biogéographique!A"&amp;_xlfn.XMATCH("P",Statut_biogéographique!A:A,2,1),"P")</f>
        <v>P</v>
      </c>
      <c r="AP6074" s="4" t="s">
        <v>376</v>
      </c>
      <c r="AR6074" s="4" t="s">
        <v>377</v>
      </c>
    </row>
    <row r="6075" spans="1:44">
      <c r="A6075" s="4" t="s">
        <v>5</v>
      </c>
      <c r="B6075" s="4">
        <v>462508</v>
      </c>
      <c r="C6075" s="4">
        <v>267</v>
      </c>
      <c r="D6075" s="5" t="s">
        <v>8714</v>
      </c>
      <c r="E6075" s="6" t="str">
        <f>HYPERLINK("https://inpn.mnhn.fr/espece/cd_nom/462508","Conocybe inocybeoides Watling, 1980")</f>
        <v>Conocybe inocybeoides Watling, 1980</v>
      </c>
      <c r="F6075" s="5" t="s">
        <v>6963</v>
      </c>
      <c r="V6075" s="7" t="str">
        <f>HYPERLINK("#Liste_rouge!A"&amp;_xlfn.XMATCH("DD",Liste_rouge!A:A,2,1),"DD")</f>
        <v>DD</v>
      </c>
      <c r="AH6075" s="4" t="str">
        <f>HYPERLINK("#Statut_biogéographique!A"&amp;_xlfn.XMATCH("P",Statut_biogéographique!A:A,2,1),"P")</f>
        <v>P</v>
      </c>
      <c r="AP6075" s="4" t="s">
        <v>376</v>
      </c>
      <c r="AR6075" s="4" t="s">
        <v>377</v>
      </c>
    </row>
    <row r="6076" spans="1:44">
      <c r="A6076" s="4" t="s">
        <v>5</v>
      </c>
      <c r="B6076" s="4">
        <v>462518</v>
      </c>
      <c r="C6076" s="4">
        <v>4522</v>
      </c>
      <c r="D6076" s="5" t="s">
        <v>8715</v>
      </c>
      <c r="E6076" s="6" t="str">
        <f>HYPERLINK("https://inpn.mnhn.fr/espece/cd_nom/462518","Amanita dryophila Consiglio &amp; Contu, 1999")</f>
        <v>Amanita dryophila Consiglio &amp; Contu, 1999</v>
      </c>
      <c r="F6076" s="5" t="s">
        <v>8716</v>
      </c>
      <c r="V6076" s="7" t="str">
        <f>HYPERLINK("#Liste_rouge!A"&amp;_xlfn.XMATCH("DD",Liste_rouge!A:A,2,1),"DD")</f>
        <v>DD</v>
      </c>
      <c r="AH6076" s="4" t="str">
        <f>HYPERLINK("#Statut_biogéographique!A"&amp;_xlfn.XMATCH("P",Statut_biogéographique!A:A,2,1),"P")</f>
        <v>P</v>
      </c>
      <c r="AP6076" s="4" t="s">
        <v>376</v>
      </c>
      <c r="AR6076" s="4" t="s">
        <v>377</v>
      </c>
    </row>
    <row r="6077" spans="1:44">
      <c r="A6077" s="4" t="s">
        <v>5</v>
      </c>
      <c r="B6077" s="4">
        <v>462523</v>
      </c>
      <c r="C6077" s="4">
        <v>6700</v>
      </c>
      <c r="D6077" s="5" t="s">
        <v>8717</v>
      </c>
      <c r="E6077" s="6" t="str">
        <f>HYPERLINK("https://inpn.mnhn.fr/espece/cd_nom/462523","Amanita albogrisescens Contu, 2000")</f>
        <v>Amanita albogrisescens Contu, 2000</v>
      </c>
      <c r="AH6077" s="4" t="str">
        <f>HYPERLINK("#Statut_biogéographique!A"&amp;_xlfn.XMATCH("P",Statut_biogéographique!A:A,2,1),"P")</f>
        <v>P</v>
      </c>
      <c r="AP6077" s="4" t="s">
        <v>376</v>
      </c>
      <c r="AR6077" s="4" t="s">
        <v>377</v>
      </c>
    </row>
    <row r="6078" spans="1:44" ht="30">
      <c r="A6078" s="4" t="s">
        <v>5</v>
      </c>
      <c r="B6078" s="4">
        <v>462529</v>
      </c>
      <c r="C6078" s="4">
        <v>3882</v>
      </c>
      <c r="D6078" s="5" t="s">
        <v>8718</v>
      </c>
      <c r="E6078" s="6" t="str">
        <f>HYPERLINK("https://inpn.mnhn.fr/espece/cd_nom/462529","Camarophyllopsis phaeophylla (Romagn.) Arnolds, 1986")</f>
        <v>Camarophyllopsis phaeophylla (Romagn.) Arnolds, 1986</v>
      </c>
      <c r="F6078" s="5" t="s">
        <v>8719</v>
      </c>
      <c r="V6078" s="7" t="str">
        <f>HYPERLINK("#Liste_rouge!A"&amp;_xlfn.XMATCH("CR",Liste_rouge!A:A,2,1),"CR")</f>
        <v>CR</v>
      </c>
      <c r="W6078" s="4" t="str">
        <f>HYPERLINK("#Critères_liste_rouge!A$1","B2abiii")</f>
        <v>B2abiii</v>
      </c>
      <c r="Z6078" s="4" t="s">
        <v>695</v>
      </c>
      <c r="AA6078" s="4" t="s">
        <v>696</v>
      </c>
      <c r="AH6078" s="4" t="str">
        <f>HYPERLINK("#Statut_biogéographique!A"&amp;_xlfn.XMATCH("P",Statut_biogéographique!A:A,2,1),"P")</f>
        <v>P</v>
      </c>
      <c r="AP6078" s="4" t="s">
        <v>376</v>
      </c>
      <c r="AR6078" s="4" t="s">
        <v>377</v>
      </c>
    </row>
    <row r="6079" spans="1:44" ht="30">
      <c r="A6079" s="4" t="s">
        <v>5</v>
      </c>
      <c r="B6079" s="4">
        <v>462530</v>
      </c>
      <c r="C6079" s="4">
        <v>389</v>
      </c>
      <c r="D6079" s="5" t="s">
        <v>8720</v>
      </c>
      <c r="E6079" s="6" t="str">
        <f>HYPERLINK("https://inpn.mnhn.fr/espece/cd_nom/462530","Agaricus urinascens (Jul.Schäff. &amp; F.H.Møller) Singer, 1951")</f>
        <v>Agaricus urinascens (Jul.Schäff. &amp; F.H.Møller) Singer, 1951</v>
      </c>
      <c r="F6079" s="5" t="s">
        <v>8721</v>
      </c>
      <c r="V6079" s="7" t="str">
        <f>HYPERLINK("#Liste_rouge!A"&amp;_xlfn.XMATCH("VU",Liste_rouge!A:A,2,1),"VU")</f>
        <v>VU</v>
      </c>
      <c r="W6079" s="4" t="str">
        <f>HYPERLINK("#Critères_liste_rouge!A$1","A2c")</f>
        <v>A2c</v>
      </c>
      <c r="Z6079" s="4" t="s">
        <v>447</v>
      </c>
      <c r="AA6079" s="4" t="s">
        <v>448</v>
      </c>
      <c r="AH6079" s="4" t="str">
        <f>HYPERLINK("#Statut_biogéographique!A"&amp;_xlfn.XMATCH("P",Statut_biogéographique!A:A,2,1),"P")</f>
        <v>P</v>
      </c>
      <c r="AP6079" s="4" t="s">
        <v>376</v>
      </c>
      <c r="AR6079" s="4" t="s">
        <v>377</v>
      </c>
    </row>
    <row r="6080" spans="1:44">
      <c r="A6080" s="4" t="s">
        <v>5</v>
      </c>
      <c r="B6080" s="4">
        <v>462535</v>
      </c>
      <c r="C6080" s="4">
        <v>277</v>
      </c>
      <c r="D6080" s="5" t="s">
        <v>8722</v>
      </c>
      <c r="E6080" s="6" t="str">
        <f>HYPERLINK("https://inpn.mnhn.fr/espece/cd_nom/462535","Agrocybe elatella (P.Karst.) Vesterh., 1989")</f>
        <v>Agrocybe elatella (P.Karst.) Vesterh., 1989</v>
      </c>
      <c r="F6080" s="5" t="s">
        <v>8723</v>
      </c>
      <c r="V6080" s="7" t="str">
        <f>HYPERLINK("#Liste_rouge!A"&amp;_xlfn.XMATCH("VU",Liste_rouge!A:A,2,1),"VU")</f>
        <v>VU</v>
      </c>
      <c r="W6080" s="4" t="str">
        <f>HYPERLINK("#Critères_liste_rouge!A$1","B2abiii")</f>
        <v>B2abiii</v>
      </c>
      <c r="Z6080" s="4" t="s">
        <v>447</v>
      </c>
      <c r="AA6080" s="4" t="s">
        <v>448</v>
      </c>
      <c r="AH6080" s="4" t="str">
        <f>HYPERLINK("#Statut_biogéographique!A"&amp;_xlfn.XMATCH("P",Statut_biogéographique!A:A,2,1),"P")</f>
        <v>P</v>
      </c>
      <c r="AP6080" s="4" t="s">
        <v>376</v>
      </c>
      <c r="AR6080" s="4" t="s">
        <v>377</v>
      </c>
    </row>
    <row r="6081" spans="1:44" ht="30">
      <c r="A6081" s="4" t="s">
        <v>5</v>
      </c>
      <c r="B6081" s="4">
        <v>462536</v>
      </c>
      <c r="C6081" s="4">
        <v>7373</v>
      </c>
      <c r="D6081" s="5" t="s">
        <v>8724</v>
      </c>
      <c r="E6081" s="6" t="str">
        <f>HYPERLINK("https://inpn.mnhn.fr/espece/cd_nom/462536","Alnicola inculta (Peck) Singer, 1962")</f>
        <v>Alnicola inculta (Peck) Singer, 1962</v>
      </c>
      <c r="F6081" s="5" t="s">
        <v>8725</v>
      </c>
      <c r="AH6081" s="4" t="str">
        <f>HYPERLINK("#Statut_biogéographique!A"&amp;_xlfn.XMATCH("P",Statut_biogéographique!A:A,2,1),"P")</f>
        <v>P</v>
      </c>
      <c r="AP6081" s="4" t="s">
        <v>376</v>
      </c>
      <c r="AR6081" s="4" t="s">
        <v>377</v>
      </c>
    </row>
    <row r="6082" spans="1:44">
      <c r="A6082" s="4" t="s">
        <v>5</v>
      </c>
      <c r="B6082" s="4">
        <v>462538</v>
      </c>
      <c r="C6082" s="4">
        <v>6199</v>
      </c>
      <c r="D6082" s="5" t="s">
        <v>8726</v>
      </c>
      <c r="E6082" s="6" t="str">
        <f>HYPERLINK("https://inpn.mnhn.fr/espece/cd_nom/462538","Agrocybe rivulosa Nauta, 2003")</f>
        <v>Agrocybe rivulosa Nauta, 2003</v>
      </c>
      <c r="F6082" s="5" t="s">
        <v>8727</v>
      </c>
      <c r="AH6082" s="4" t="str">
        <f>HYPERLINK("#Statut_biogéographique!A"&amp;_xlfn.XMATCH("P",Statut_biogéographique!A:A,2,1),"P")</f>
        <v>P</v>
      </c>
      <c r="AP6082" s="4" t="s">
        <v>376</v>
      </c>
      <c r="AR6082" s="4" t="s">
        <v>377</v>
      </c>
    </row>
    <row r="6083" spans="1:44">
      <c r="A6083" s="4" t="s">
        <v>5</v>
      </c>
      <c r="B6083" s="4">
        <v>462539</v>
      </c>
      <c r="C6083" s="4">
        <v>5413</v>
      </c>
      <c r="D6083" s="5" t="s">
        <v>8728</v>
      </c>
      <c r="E6083" s="6" t="str">
        <f>HYPERLINK("https://inpn.mnhn.fr/espece/cd_nom/462539","Agrocybe splendida Clémençon, 1977")</f>
        <v>Agrocybe splendida Clémençon, 1977</v>
      </c>
      <c r="F6083" s="5" t="s">
        <v>8729</v>
      </c>
      <c r="V6083" s="7" t="str">
        <f>HYPERLINK("#Liste_rouge!A"&amp;_xlfn.XMATCH("DD",Liste_rouge!A:A,2,1),"DD")</f>
        <v>DD</v>
      </c>
      <c r="AH6083" s="4" t="str">
        <f>HYPERLINK("#Statut_biogéographique!A"&amp;_xlfn.XMATCH("P",Statut_biogéographique!A:A,2,1),"P")</f>
        <v>P</v>
      </c>
      <c r="AP6083" s="4" t="s">
        <v>376</v>
      </c>
      <c r="AR6083" s="4" t="s">
        <v>377</v>
      </c>
    </row>
    <row r="6084" spans="1:44">
      <c r="A6084" s="4" t="s">
        <v>5</v>
      </c>
      <c r="B6084" s="4">
        <v>462540</v>
      </c>
      <c r="C6084" s="4">
        <v>4920</v>
      </c>
      <c r="D6084" s="5" t="s">
        <v>8730</v>
      </c>
      <c r="E6084" s="6" t="str">
        <f>HYPERLINK("https://inpn.mnhn.fr/espece/cd_nom/462540","Albatrellus citrinus Ryman, 2003")</f>
        <v>Albatrellus citrinus Ryman, 2003</v>
      </c>
      <c r="F6084" s="5" t="s">
        <v>8731</v>
      </c>
      <c r="V6084" s="7" t="str">
        <f>HYPERLINK("#Liste_rouge!A"&amp;_xlfn.XMATCH("DD",Liste_rouge!A:A,2,1),"DD")</f>
        <v>DD</v>
      </c>
      <c r="AH6084" s="4" t="str">
        <f>HYPERLINK("#Statut_biogéographique!A"&amp;_xlfn.XMATCH("P",Statut_biogéographique!A:A,2,1),"P")</f>
        <v>P</v>
      </c>
      <c r="AP6084" s="4" t="s">
        <v>376</v>
      </c>
      <c r="AR6084" s="4" t="s">
        <v>377</v>
      </c>
    </row>
    <row r="6085" spans="1:44">
      <c r="A6085" s="4" t="s">
        <v>5</v>
      </c>
      <c r="B6085" s="4">
        <v>462542</v>
      </c>
      <c r="C6085" s="4">
        <v>5147</v>
      </c>
      <c r="D6085" s="5" t="s">
        <v>8732</v>
      </c>
      <c r="E6085" s="6" t="str">
        <f>HYPERLINK("https://inpn.mnhn.fr/espece/cd_nom/462542","Amanita proxima Dumée, 1916")</f>
        <v>Amanita proxima Dumée, 1916</v>
      </c>
      <c r="F6085" s="5" t="s">
        <v>8733</v>
      </c>
      <c r="V6085" s="7" t="str">
        <f>HYPERLINK("#Liste_rouge!A"&amp;_xlfn.XMATCH("DD",Liste_rouge!A:A,2,1),"DD")</f>
        <v>DD</v>
      </c>
      <c r="AH6085" s="4" t="str">
        <f>HYPERLINK("#Statut_biogéographique!A"&amp;_xlfn.XMATCH("P",Statut_biogéographique!A:A,2,1),"P")</f>
        <v>P</v>
      </c>
      <c r="AP6085" s="4" t="s">
        <v>376</v>
      </c>
      <c r="AR6085" s="4" t="s">
        <v>377</v>
      </c>
    </row>
    <row r="6086" spans="1:44">
      <c r="A6086" s="4" t="s">
        <v>5</v>
      </c>
      <c r="B6086" s="4">
        <v>462551</v>
      </c>
      <c r="C6086" s="4">
        <v>4379</v>
      </c>
      <c r="D6086" s="5" t="s">
        <v>8734</v>
      </c>
      <c r="E6086" s="6" t="str">
        <f>HYPERLINK("https://inpn.mnhn.fr/espece/cd_nom/462551","Anthracoidea caricis (Pers.) Bref., 1895")</f>
        <v>Anthracoidea caricis (Pers.) Bref., 1895</v>
      </c>
      <c r="AH6086" s="4" t="str">
        <f>HYPERLINK("#Statut_biogéographique!A"&amp;_xlfn.XMATCH("P",Statut_biogéographique!A:A,2,1),"P")</f>
        <v>P</v>
      </c>
      <c r="AP6086" s="4" t="s">
        <v>376</v>
      </c>
      <c r="AR6086" s="4" t="s">
        <v>377</v>
      </c>
    </row>
    <row r="6087" spans="1:44" ht="30">
      <c r="A6087" s="4" t="s">
        <v>5</v>
      </c>
      <c r="B6087" s="4">
        <v>462560</v>
      </c>
      <c r="C6087" s="4">
        <v>82</v>
      </c>
      <c r="D6087" s="5" t="s">
        <v>8735</v>
      </c>
      <c r="E6087" s="6" t="str">
        <f>HYPERLINK("https://inpn.mnhn.fr/espece/cd_nom/462560","Ampulloclitocybe clavipes (Pers.) Redhead, Lutzoni, Moncalvo &amp; Vilgalys, 2002")</f>
        <v>Ampulloclitocybe clavipes (Pers.) Redhead, Lutzoni, Moncalvo &amp; Vilgalys, 2002</v>
      </c>
      <c r="F6087" s="5" t="s">
        <v>8736</v>
      </c>
      <c r="V6087" s="7" t="str">
        <f>HYPERLINK("#Liste_rouge!A"&amp;_xlfn.XMATCH("LC",Liste_rouge!A:A,2,1),"LC")</f>
        <v>LC</v>
      </c>
      <c r="AH6087" s="4" t="str">
        <f>HYPERLINK("#Statut_biogéographique!A"&amp;_xlfn.XMATCH("P",Statut_biogéographique!A:A,2,1),"P")</f>
        <v>P</v>
      </c>
      <c r="AP6087" s="4" t="s">
        <v>376</v>
      </c>
      <c r="AR6087" s="4" t="s">
        <v>377</v>
      </c>
    </row>
    <row r="6088" spans="1:44">
      <c r="A6088" s="4" t="s">
        <v>5</v>
      </c>
      <c r="B6088" s="4">
        <v>462562</v>
      </c>
      <c r="C6088" s="4">
        <v>5873</v>
      </c>
      <c r="D6088" s="5" t="s">
        <v>8737</v>
      </c>
      <c r="E6088" s="6" t="str">
        <f>HYPERLINK("https://inpn.mnhn.fr/espece/cd_nom/462562","Amanita pseudofriabilis Courtec. [ined.]")</f>
        <v>Amanita pseudofriabilis Courtec. [ined.]</v>
      </c>
      <c r="AH6088" s="4" t="str">
        <f>HYPERLINK("#Statut_biogéographique!A"&amp;_xlfn.XMATCH("P",Statut_biogéographique!A:A,2,1),"P")</f>
        <v>P</v>
      </c>
      <c r="AP6088" s="4" t="s">
        <v>376</v>
      </c>
      <c r="AR6088" s="4" t="s">
        <v>377</v>
      </c>
    </row>
    <row r="6089" spans="1:44" ht="30">
      <c r="A6089" s="4" t="s">
        <v>5</v>
      </c>
      <c r="B6089" s="4">
        <v>462563</v>
      </c>
      <c r="C6089" s="4">
        <v>5874</v>
      </c>
      <c r="D6089" s="5" t="s">
        <v>8738</v>
      </c>
      <c r="E6089" s="6" t="str">
        <f>HYPERLINK("https://inpn.mnhn.fr/espece/cd_nom/462563","Amanita simulans Contu, 1999")</f>
        <v>Amanita simulans Contu, 1999</v>
      </c>
      <c r="F6089" s="5" t="s">
        <v>8739</v>
      </c>
      <c r="Z6089" s="4" t="s">
        <v>695</v>
      </c>
      <c r="AA6089" s="4" t="s">
        <v>696</v>
      </c>
      <c r="AH6089" s="4" t="str">
        <f>HYPERLINK("#Statut_biogéographique!A"&amp;_xlfn.XMATCH("P",Statut_biogéographique!A:A,2,1),"P")</f>
        <v>P</v>
      </c>
      <c r="AP6089" s="4" t="s">
        <v>376</v>
      </c>
      <c r="AR6089" s="4" t="s">
        <v>377</v>
      </c>
    </row>
    <row r="6090" spans="1:44" ht="30">
      <c r="A6090" s="4" t="s">
        <v>5</v>
      </c>
      <c r="B6090" s="4">
        <v>462567</v>
      </c>
      <c r="C6090" s="4">
        <v>4700</v>
      </c>
      <c r="D6090" s="5" t="s">
        <v>8740</v>
      </c>
      <c r="E6090" s="6" t="str">
        <f>HYPERLINK("https://inpn.mnhn.fr/espece/cd_nom/462567","Amaurodon viridis (Alb. &amp; Schwein.) J.Schröt., 1888")</f>
        <v>Amaurodon viridis (Alb. &amp; Schwein.) J.Schröt., 1888</v>
      </c>
      <c r="V6090" s="7" t="str">
        <f>HYPERLINK("#Liste_rouge!A"&amp;_xlfn.XMATCH("DD",Liste_rouge!A:A,2,1),"DD")</f>
        <v>DD</v>
      </c>
      <c r="AH6090" s="4" t="str">
        <f>HYPERLINK("#Statut_biogéographique!A"&amp;_xlfn.XMATCH("P",Statut_biogéographique!A:A,2,1),"P")</f>
        <v>P</v>
      </c>
      <c r="AP6090" s="4" t="s">
        <v>376</v>
      </c>
      <c r="AR6090" s="4" t="s">
        <v>377</v>
      </c>
    </row>
    <row r="6091" spans="1:44">
      <c r="A6091" s="4" t="s">
        <v>5</v>
      </c>
      <c r="B6091" s="4">
        <v>462568</v>
      </c>
      <c r="C6091" s="4">
        <v>5659</v>
      </c>
      <c r="D6091" s="5" t="s">
        <v>8741</v>
      </c>
      <c r="E6091" s="6" t="str">
        <f>HYPERLINK("https://inpn.mnhn.fr/espece/cd_nom/462568","Amanita praelongipes Kärcher &amp; Contu, 2000")</f>
        <v>Amanita praelongipes Kärcher &amp; Contu, 2000</v>
      </c>
      <c r="F6091" s="5" t="s">
        <v>8742</v>
      </c>
      <c r="V6091" s="7" t="str">
        <f>HYPERLINK("#Liste_rouge!A"&amp;_xlfn.XMATCH("DD",Liste_rouge!A:A,2,1),"DD")</f>
        <v>DD</v>
      </c>
      <c r="AH6091" s="4" t="str">
        <f>HYPERLINK("#Statut_biogéographique!A"&amp;_xlfn.XMATCH("P",Statut_biogéographique!A:A,2,1),"P")</f>
        <v>P</v>
      </c>
      <c r="AP6091" s="4" t="s">
        <v>376</v>
      </c>
      <c r="AR6091" s="4" t="s">
        <v>377</v>
      </c>
    </row>
    <row r="6092" spans="1:44" ht="30">
      <c r="A6092" s="4" t="s">
        <v>5</v>
      </c>
      <c r="B6092" s="4">
        <v>462608</v>
      </c>
      <c r="C6092" s="4">
        <v>5191</v>
      </c>
      <c r="D6092" s="5" t="s">
        <v>8743</v>
      </c>
      <c r="E6092" s="6" t="str">
        <f>HYPERLINK("https://inpn.mnhn.fr/espece/cd_nom/462608","Agaricus alboargillascens (A.Pearson) Bon, 1985")</f>
        <v>Agaricus alboargillascens (A.Pearson) Bon, 1985</v>
      </c>
      <c r="V6092" s="7" t="str">
        <f>HYPERLINK("#Liste_rouge!A"&amp;_xlfn.XMATCH("DD",Liste_rouge!A:A,2,1),"DD")</f>
        <v>DD</v>
      </c>
      <c r="AH6092" s="4" t="str">
        <f>HYPERLINK("#Statut_biogéographique!A"&amp;_xlfn.XMATCH("P",Statut_biogéographique!A:A,2,1),"P")</f>
        <v>P</v>
      </c>
      <c r="AP6092" s="4" t="s">
        <v>376</v>
      </c>
      <c r="AR6092" s="4" t="s">
        <v>377</v>
      </c>
    </row>
    <row r="6093" spans="1:44">
      <c r="A6093" s="4" t="s">
        <v>5</v>
      </c>
      <c r="B6093" s="4">
        <v>46261</v>
      </c>
      <c r="C6093" s="4">
        <v>526</v>
      </c>
      <c r="D6093" s="5" t="s">
        <v>8744</v>
      </c>
      <c r="E6093" s="6" t="str">
        <f>HYPERLINK("https://inpn.mnhn.fr/espece/cd_nom/46261","Choiromyces venosus (Fr.) Th.Fr., 1909")</f>
        <v>Choiromyces venosus (Fr.) Th.Fr., 1909</v>
      </c>
      <c r="AH6093" s="4" t="str">
        <f>HYPERLINK("#Statut_biogéographique!A"&amp;_xlfn.XMATCH("P",Statut_biogéographique!A:A,2,1),"P")</f>
        <v>P</v>
      </c>
      <c r="AP6093" s="4" t="s">
        <v>376</v>
      </c>
      <c r="AR6093" s="4" t="s">
        <v>377</v>
      </c>
    </row>
    <row r="6094" spans="1:44" ht="60">
      <c r="A6094" s="4" t="s">
        <v>5</v>
      </c>
      <c r="B6094" s="4">
        <v>462610</v>
      </c>
      <c r="C6094" s="4">
        <v>710</v>
      </c>
      <c r="D6094" s="5" t="s">
        <v>8745</v>
      </c>
      <c r="E6094" s="6" t="str">
        <f>HYPERLINK("https://inpn.mnhn.fr/espece/cd_nom/462610","Agaricus moelleri Wasser, 1976")</f>
        <v>Agaricus moelleri Wasser, 1976</v>
      </c>
      <c r="F6094" s="5" t="s">
        <v>8746</v>
      </c>
      <c r="V6094" s="7" t="str">
        <f>HYPERLINK("#Liste_rouge!A"&amp;_xlfn.XMATCH("LC",Liste_rouge!A:A,2,1),"LC")</f>
        <v>LC</v>
      </c>
      <c r="AH6094" s="4" t="str">
        <f>HYPERLINK("#Statut_biogéographique!A"&amp;_xlfn.XMATCH("P",Statut_biogéographique!A:A,2,1),"P")</f>
        <v>P</v>
      </c>
      <c r="AP6094" s="4" t="s">
        <v>376</v>
      </c>
      <c r="AR6094" s="4" t="s">
        <v>377</v>
      </c>
    </row>
    <row r="6095" spans="1:44" ht="30">
      <c r="A6095" s="4" t="s">
        <v>5</v>
      </c>
      <c r="B6095" s="4">
        <v>462615</v>
      </c>
      <c r="C6095" s="4">
        <v>612</v>
      </c>
      <c r="D6095" s="5" t="s">
        <v>8747</v>
      </c>
      <c r="E6095" s="6" t="str">
        <f>HYPERLINK("https://inpn.mnhn.fr/espece/cd_nom/462615","Agaricus huijsmanii Courtec., 2008")</f>
        <v>Agaricus huijsmanii Courtec., 2008</v>
      </c>
      <c r="F6095" s="5" t="s">
        <v>8748</v>
      </c>
      <c r="V6095" s="7" t="str">
        <f>HYPERLINK("#Liste_rouge!A"&amp;_xlfn.XMATCH("VU",Liste_rouge!A:A,2,1),"VU")</f>
        <v>VU</v>
      </c>
      <c r="W6095" s="4" t="str">
        <f>HYPERLINK("#Critères_liste_rouge!A$1","A2c")</f>
        <v>A2c</v>
      </c>
      <c r="Z6095" s="4" t="s">
        <v>443</v>
      </c>
      <c r="AA6095" s="4" t="s">
        <v>444</v>
      </c>
      <c r="AH6095" s="4" t="str">
        <f>HYPERLINK("#Statut_biogéographique!A"&amp;_xlfn.XMATCH("P",Statut_biogéographique!A:A,2,1),"P")</f>
        <v>P</v>
      </c>
      <c r="AP6095" s="4" t="s">
        <v>376</v>
      </c>
      <c r="AR6095" s="4" t="s">
        <v>377</v>
      </c>
    </row>
    <row r="6096" spans="1:44" ht="45">
      <c r="A6096" s="4" t="s">
        <v>5</v>
      </c>
      <c r="B6096" s="4">
        <v>462623</v>
      </c>
      <c r="C6096" s="4">
        <v>6238</v>
      </c>
      <c r="D6096" s="5" t="s">
        <v>8749</v>
      </c>
      <c r="E6096" s="6" t="str">
        <f>HYPERLINK("https://inpn.mnhn.fr/espece/cd_nom/462623","Agaricus cappellianus Hlaváček, 1987")</f>
        <v>Agaricus cappellianus Hlaváček, 1987</v>
      </c>
      <c r="F6096" s="5" t="s">
        <v>8750</v>
      </c>
      <c r="AH6096" s="4" t="str">
        <f>HYPERLINK("#Statut_biogéographique!A"&amp;_xlfn.XMATCH("P",Statut_biogéographique!A:A,2,1),"P")</f>
        <v>P</v>
      </c>
      <c r="AP6096" s="4" t="s">
        <v>376</v>
      </c>
      <c r="AR6096" s="4" t="s">
        <v>377</v>
      </c>
    </row>
    <row r="6097" spans="1:44" ht="30">
      <c r="A6097" s="4" t="s">
        <v>5</v>
      </c>
      <c r="B6097" s="4">
        <v>462625</v>
      </c>
      <c r="C6097" s="4">
        <v>361</v>
      </c>
      <c r="D6097" s="5" t="s">
        <v>8751</v>
      </c>
      <c r="E6097" s="6" t="str">
        <f>HYPERLINK("https://inpn.mnhn.fr/espece/cd_nom/462625","Agaricus augustus Fr., 1838")</f>
        <v>Agaricus augustus Fr., 1838</v>
      </c>
      <c r="F6097" s="5" t="s">
        <v>8752</v>
      </c>
      <c r="V6097" s="7" t="str">
        <f>HYPERLINK("#Liste_rouge!A"&amp;_xlfn.XMATCH("LC",Liste_rouge!A:A,2,1),"LC")</f>
        <v>LC</v>
      </c>
      <c r="AH6097" s="4" t="str">
        <f>HYPERLINK("#Statut_biogéographique!A"&amp;_xlfn.XMATCH("P",Statut_biogéographique!A:A,2,1),"P")</f>
        <v>P</v>
      </c>
      <c r="AP6097" s="4" t="s">
        <v>376</v>
      </c>
      <c r="AR6097" s="4" t="s">
        <v>377</v>
      </c>
    </row>
    <row r="6098" spans="1:44" ht="30">
      <c r="A6098" s="4" t="s">
        <v>5</v>
      </c>
      <c r="B6098" s="4">
        <v>462638</v>
      </c>
      <c r="C6098" s="4">
        <v>23</v>
      </c>
      <c r="D6098" s="5" t="s">
        <v>8753</v>
      </c>
      <c r="E6098" s="6" t="str">
        <f>HYPERLINK("https://inpn.mnhn.fr/espece/cd_nom/462638","Agaricus campestris L., 1753")</f>
        <v>Agaricus campestris L., 1753</v>
      </c>
      <c r="F6098" s="5" t="s">
        <v>8754</v>
      </c>
      <c r="O6098" s="7" t="str">
        <f>HYPERLINK("#Liste_rouge!A"&amp;_xlfn.XMATCH("LC",Liste_rouge!A:A,2,1),"LC")</f>
        <v>LC</v>
      </c>
      <c r="V6098" s="7" t="str">
        <f>HYPERLINK("#Liste_rouge!A"&amp;_xlfn.XMATCH("VU",Liste_rouge!A:A,2,1),"VU")</f>
        <v>VU</v>
      </c>
      <c r="W6098" s="4" t="str">
        <f>HYPERLINK("#Critères_liste_rouge!A$1","A2c")</f>
        <v>A2c</v>
      </c>
      <c r="Z6098" s="4" t="s">
        <v>443</v>
      </c>
      <c r="AA6098" s="4" t="s">
        <v>444</v>
      </c>
      <c r="AH6098" s="4" t="str">
        <f>HYPERLINK("#Statut_biogéographique!A"&amp;_xlfn.XMATCH("P",Statut_biogéographique!A:A,2,1),"P")</f>
        <v>P</v>
      </c>
      <c r="AP6098" s="4" t="s">
        <v>376</v>
      </c>
      <c r="AR6098" s="4" t="s">
        <v>377</v>
      </c>
    </row>
    <row r="6099" spans="1:44" ht="30">
      <c r="A6099" s="4" t="s">
        <v>5</v>
      </c>
      <c r="B6099" s="4">
        <v>462641</v>
      </c>
      <c r="C6099" s="4">
        <v>1451</v>
      </c>
      <c r="D6099" s="5" t="s">
        <v>8755</v>
      </c>
      <c r="E6099" s="6" t="str">
        <f>HYPERLINK("https://inpn.mnhn.fr/espece/cd_nom/462641","Bolbitius variicolor G.F.Atk., 1900")</f>
        <v>Bolbitius variicolor G.F.Atk., 1900</v>
      </c>
      <c r="F6099" s="5" t="s">
        <v>8756</v>
      </c>
      <c r="V6099" s="7" t="str">
        <f>HYPERLINK("#Liste_rouge!A"&amp;_xlfn.XMATCH("NT",Liste_rouge!A:A,2,1),"NT")</f>
        <v>NT</v>
      </c>
      <c r="W6099" s="4" t="str">
        <f>HYPERLINK("#Critères_liste_rouge!A$1","pr. B2abiii")</f>
        <v>pr. B2abiii</v>
      </c>
      <c r="AH6099" s="4" t="str">
        <f>HYPERLINK("#Statut_biogéographique!A"&amp;_xlfn.XMATCH("P",Statut_biogéographique!A:A,2,1),"P")</f>
        <v>P</v>
      </c>
      <c r="AP6099" s="4" t="s">
        <v>376</v>
      </c>
      <c r="AR6099" s="4" t="s">
        <v>377</v>
      </c>
    </row>
    <row r="6100" spans="1:44">
      <c r="A6100" s="4" t="s">
        <v>5</v>
      </c>
      <c r="B6100" s="4">
        <v>462644</v>
      </c>
      <c r="C6100" s="4">
        <v>5405</v>
      </c>
      <c r="D6100" s="5" t="s">
        <v>8757</v>
      </c>
      <c r="E6100" s="6" t="str">
        <f>HYPERLINK("https://inpn.mnhn.fr/espece/cd_nom/462644","Bolbitius incarnatus Hongo, 1958")</f>
        <v>Bolbitius incarnatus Hongo, 1958</v>
      </c>
      <c r="V6100" s="7" t="str">
        <f>HYPERLINK("#Liste_rouge!A"&amp;_xlfn.XMATCH("DD",Liste_rouge!A:A,2,1),"DD")</f>
        <v>DD</v>
      </c>
      <c r="AH6100" s="4" t="str">
        <f>HYPERLINK("#Statut_biogéographique!A"&amp;_xlfn.XMATCH("P",Statut_biogéographique!A:A,2,1),"P")</f>
        <v>P</v>
      </c>
      <c r="AP6100" s="4" t="s">
        <v>376</v>
      </c>
      <c r="AR6100" s="4" t="s">
        <v>377</v>
      </c>
    </row>
    <row r="6101" spans="1:44" ht="30">
      <c r="A6101" s="4" t="s">
        <v>5</v>
      </c>
      <c r="B6101" s="4">
        <v>462655</v>
      </c>
      <c r="C6101" s="4">
        <v>5597</v>
      </c>
      <c r="D6101" s="5" t="s">
        <v>8758</v>
      </c>
      <c r="E6101" s="6" t="str">
        <f>HYPERLINK("https://inpn.mnhn.fr/espece/cd_nom/462655","Arrhenia umbratilis (Fr.) Redhead, Lutzoni, Moncalvo &amp; Vilgalys, 2002")</f>
        <v>Arrhenia umbratilis (Fr.) Redhead, Lutzoni, Moncalvo &amp; Vilgalys, 2002</v>
      </c>
      <c r="V6101" s="7" t="str">
        <f>HYPERLINK("#Liste_rouge!A"&amp;_xlfn.XMATCH("DD",Liste_rouge!A:A,2,1),"DD")</f>
        <v>DD</v>
      </c>
      <c r="AH6101" s="4" t="str">
        <f>HYPERLINK("#Statut_biogéographique!A"&amp;_xlfn.XMATCH("P",Statut_biogéographique!A:A,2,1),"P")</f>
        <v>P</v>
      </c>
      <c r="AP6101" s="4" t="s">
        <v>376</v>
      </c>
      <c r="AR6101" s="4" t="s">
        <v>377</v>
      </c>
    </row>
    <row r="6102" spans="1:44" ht="30">
      <c r="A6102" s="4" t="s">
        <v>5</v>
      </c>
      <c r="B6102" s="4">
        <v>462656</v>
      </c>
      <c r="C6102" s="4">
        <v>5594</v>
      </c>
      <c r="D6102" s="5" t="s">
        <v>8759</v>
      </c>
      <c r="E6102" s="6" t="str">
        <f>HYPERLINK("https://inpn.mnhn.fr/espece/cd_nom/462656","Arrhenia velutipes (P.D.Orton) Redhead, Lutzoni, Moncalvo &amp; Vilgalys, 2002")</f>
        <v>Arrhenia velutipes (P.D.Orton) Redhead, Lutzoni, Moncalvo &amp; Vilgalys, 2002</v>
      </c>
      <c r="F6102" s="5" t="s">
        <v>8760</v>
      </c>
      <c r="V6102" s="7" t="str">
        <f>HYPERLINK("#Liste_rouge!A"&amp;_xlfn.XMATCH("DD",Liste_rouge!A:A,2,1),"DD")</f>
        <v>DD</v>
      </c>
      <c r="AH6102" s="4" t="str">
        <f>HYPERLINK("#Statut_biogéographique!A"&amp;_xlfn.XMATCH("P",Statut_biogéographique!A:A,2,1),"P")</f>
        <v>P</v>
      </c>
      <c r="AP6102" s="4" t="s">
        <v>376</v>
      </c>
      <c r="AR6102" s="4" t="s">
        <v>377</v>
      </c>
    </row>
    <row r="6103" spans="1:44" ht="30">
      <c r="A6103" s="4" t="s">
        <v>5</v>
      </c>
      <c r="B6103" s="4">
        <v>462659</v>
      </c>
      <c r="C6103" s="4">
        <v>6282</v>
      </c>
      <c r="D6103" s="5" t="s">
        <v>8761</v>
      </c>
      <c r="E6103" s="6" t="str">
        <f>HYPERLINK("https://inpn.mnhn.fr/espece/cd_nom/462659","Arrhenia wallacei (P.D.Orton) P.-A.Moreau &amp; Courtec., 2008")</f>
        <v>Arrhenia wallacei (P.D.Orton) P.-A.Moreau &amp; Courtec., 2008</v>
      </c>
      <c r="AH6103" s="4" t="str">
        <f>HYPERLINK("#Statut_biogéographique!A"&amp;_xlfn.XMATCH("P",Statut_biogéographique!A:A,2,1),"P")</f>
        <v>P</v>
      </c>
      <c r="AP6103" s="4" t="s">
        <v>376</v>
      </c>
      <c r="AR6103" s="4" t="s">
        <v>377</v>
      </c>
    </row>
    <row r="6104" spans="1:44" ht="45">
      <c r="A6104" s="4" t="s">
        <v>5</v>
      </c>
      <c r="B6104" s="4">
        <v>462667</v>
      </c>
      <c r="C6104" s="4">
        <v>3853</v>
      </c>
      <c r="D6104" s="5" t="s">
        <v>8762</v>
      </c>
      <c r="E6104" s="6" t="str">
        <f>HYPERLINK("https://inpn.mnhn.fr/espece/cd_nom/462667","Bankera cinerea (Bull.) Rauschert, 1988")</f>
        <v>Bankera cinerea (Bull.) Rauschert, 1988</v>
      </c>
      <c r="V6104" s="7" t="str">
        <f>HYPERLINK("#Liste_rouge!A"&amp;_xlfn.XMATCH("EN",Liste_rouge!A:A,2,1),"EN")</f>
        <v>EN</v>
      </c>
      <c r="W6104" s="4" t="str">
        <f>HYPERLINK("#Critères_liste_rouge!A$1","B2abiii")</f>
        <v>B2abiii</v>
      </c>
      <c r="Z6104" s="4" t="s">
        <v>695</v>
      </c>
      <c r="AA6104" s="4" t="s">
        <v>696</v>
      </c>
      <c r="AH6104" s="4" t="str">
        <f>HYPERLINK("#Statut_biogéographique!A"&amp;_xlfn.XMATCH("P",Statut_biogéographique!A:A,2,1),"P")</f>
        <v>P</v>
      </c>
      <c r="AP6104" s="4" t="s">
        <v>376</v>
      </c>
      <c r="AR6104" s="4" t="s">
        <v>377</v>
      </c>
    </row>
    <row r="6105" spans="1:44" ht="30">
      <c r="A6105" s="4" t="s">
        <v>5</v>
      </c>
      <c r="B6105" s="4">
        <v>462679</v>
      </c>
      <c r="C6105" s="4">
        <v>5409</v>
      </c>
      <c r="D6105" s="5" t="s">
        <v>8763</v>
      </c>
      <c r="E6105" s="6" t="str">
        <f>HYPERLINK("https://inpn.mnhn.fr/espece/cd_nom/462679","Calyptella griseopallida (Weinm.) Park.-Rhodes, 1954")</f>
        <v>Calyptella griseopallida (Weinm.) Park.-Rhodes, 1954</v>
      </c>
      <c r="V6105" s="7" t="str">
        <f>HYPERLINK("#Liste_rouge!A"&amp;_xlfn.XMATCH("DD",Liste_rouge!A:A,2,1),"DD")</f>
        <v>DD</v>
      </c>
      <c r="AH6105" s="4" t="str">
        <f>HYPERLINK("#Statut_biogéographique!A"&amp;_xlfn.XMATCH("P",Statut_biogéographique!A:A,2,1),"P")</f>
        <v>P</v>
      </c>
      <c r="AP6105" s="4" t="s">
        <v>376</v>
      </c>
      <c r="AR6105" s="4" t="s">
        <v>377</v>
      </c>
    </row>
    <row r="6106" spans="1:44">
      <c r="A6106" s="4" t="s">
        <v>5</v>
      </c>
      <c r="B6106" s="4">
        <v>462680</v>
      </c>
      <c r="C6106" s="4">
        <v>2672</v>
      </c>
      <c r="D6106" s="5" t="s">
        <v>8764</v>
      </c>
      <c r="E6106" s="6" t="str">
        <f>HYPERLINK("https://inpn.mnhn.fr/espece/cd_nom/462680","Calyptella ochracea Boud.")</f>
        <v>Calyptella ochracea Boud.</v>
      </c>
      <c r="F6106" s="5" t="s">
        <v>8765</v>
      </c>
      <c r="V6106" s="7" t="str">
        <f>HYPERLINK("#Liste_rouge!A"&amp;_xlfn.XMATCH("DD",Liste_rouge!A:A,2,1),"DD")</f>
        <v>DD</v>
      </c>
      <c r="AH6106" s="4" t="str">
        <f>HYPERLINK("#Statut_biogéographique!A"&amp;_xlfn.XMATCH("P",Statut_biogéographique!A:A,2,1),"P")</f>
        <v>P</v>
      </c>
      <c r="AP6106" s="4" t="s">
        <v>376</v>
      </c>
      <c r="AR6106" s="4" t="s">
        <v>377</v>
      </c>
    </row>
    <row r="6107" spans="1:44" ht="30">
      <c r="A6107" s="4" t="s">
        <v>5</v>
      </c>
      <c r="B6107" s="4">
        <v>462683</v>
      </c>
      <c r="C6107" s="4">
        <v>5007</v>
      </c>
      <c r="D6107" s="5" t="s">
        <v>8766</v>
      </c>
      <c r="E6107" s="6" t="str">
        <f>HYPERLINK("https://inpn.mnhn.fr/espece/cd_nom/462683","Camarophyllopsis atrovelutina (Romagn.) Argaud, 2002")</f>
        <v>Camarophyllopsis atrovelutina (Romagn.) Argaud, 2002</v>
      </c>
      <c r="F6107" s="5" t="s">
        <v>8767</v>
      </c>
      <c r="V6107" s="7" t="str">
        <f>HYPERLINK("#Liste_rouge!A"&amp;_xlfn.XMATCH("CR",Liste_rouge!A:A,2,1),"CR")</f>
        <v>CR</v>
      </c>
      <c r="W6107" s="4" t="str">
        <f>HYPERLINK("#Critères_liste_rouge!A$1","B2abiii")</f>
        <v>B2abiii</v>
      </c>
      <c r="Z6107" s="4" t="s">
        <v>695</v>
      </c>
      <c r="AA6107" s="4" t="s">
        <v>696</v>
      </c>
      <c r="AH6107" s="4" t="str">
        <f>HYPERLINK("#Statut_biogéographique!A"&amp;_xlfn.XMATCH("P",Statut_biogéographique!A:A,2,1),"P")</f>
        <v>P</v>
      </c>
      <c r="AP6107" s="4" t="s">
        <v>376</v>
      </c>
      <c r="AR6107" s="4" t="s">
        <v>377</v>
      </c>
    </row>
    <row r="6108" spans="1:44" ht="30">
      <c r="A6108" s="4" t="s">
        <v>5</v>
      </c>
      <c r="B6108" s="4">
        <v>462687</v>
      </c>
      <c r="C6108" s="4">
        <v>2216</v>
      </c>
      <c r="D6108" s="5" t="s">
        <v>8768</v>
      </c>
      <c r="E6108" s="6" t="str">
        <f>HYPERLINK("https://inpn.mnhn.fr/espece/cd_nom/462687","Arrhenia sphagnicola (Berk.) Redhead, Lutzoni, Moncalvo &amp; Vilgalys, 2002")</f>
        <v>Arrhenia sphagnicola (Berk.) Redhead, Lutzoni, Moncalvo &amp; Vilgalys, 2002</v>
      </c>
      <c r="F6108" s="5" t="s">
        <v>8769</v>
      </c>
      <c r="V6108" s="7" t="str">
        <f>HYPERLINK("#Liste_rouge!A"&amp;_xlfn.XMATCH("EN",Liste_rouge!A:A,2,1),"EN")</f>
        <v>EN</v>
      </c>
      <c r="W6108" s="4" t="str">
        <f>HYPERLINK("#Critères_liste_rouge!A$1","B2abiii")</f>
        <v>B2abiii</v>
      </c>
      <c r="Z6108" s="4" t="s">
        <v>695</v>
      </c>
      <c r="AA6108" s="4" t="s">
        <v>696</v>
      </c>
      <c r="AH6108" s="4" t="str">
        <f>HYPERLINK("#Statut_biogéographique!A"&amp;_xlfn.XMATCH("P",Statut_biogéographique!A:A,2,1),"P")</f>
        <v>P</v>
      </c>
      <c r="AP6108" s="4" t="s">
        <v>376</v>
      </c>
      <c r="AR6108" s="4" t="s">
        <v>377</v>
      </c>
    </row>
    <row r="6109" spans="1:44" ht="45">
      <c r="A6109" s="4" t="s">
        <v>5</v>
      </c>
      <c r="B6109" s="4">
        <v>462699</v>
      </c>
      <c r="C6109" s="4">
        <v>2839</v>
      </c>
      <c r="D6109" s="5" t="s">
        <v>8770</v>
      </c>
      <c r="E6109" s="6" t="str">
        <f>HYPERLINK("https://inpn.mnhn.fr/espece/cd_nom/462699","Buchwaldoboletus hemichrysus (Berk. &amp; M.A.Curtis) Pilát, 1969")</f>
        <v>Buchwaldoboletus hemichrysus (Berk. &amp; M.A.Curtis) Pilát, 1969</v>
      </c>
      <c r="V6109" s="7" t="str">
        <f>HYPERLINK("#Liste_rouge!A"&amp;_xlfn.XMATCH("RE",Liste_rouge!A:A,2,1),"RE")</f>
        <v>RE</v>
      </c>
      <c r="Z6109" s="4" t="s">
        <v>447</v>
      </c>
      <c r="AA6109" s="4" t="s">
        <v>448</v>
      </c>
      <c r="AH6109" s="4" t="str">
        <f>HYPERLINK("#Statut_biogéographique!A"&amp;_xlfn.XMATCH("P",Statut_biogéographique!A:A,2,1),"P")</f>
        <v>P</v>
      </c>
      <c r="AP6109" s="4" t="s">
        <v>376</v>
      </c>
      <c r="AR6109" s="4" t="s">
        <v>377</v>
      </c>
    </row>
    <row r="6110" spans="1:44" ht="30">
      <c r="A6110" s="4" t="s">
        <v>5</v>
      </c>
      <c r="B6110" s="4">
        <v>462700</v>
      </c>
      <c r="C6110" s="4">
        <v>3855</v>
      </c>
      <c r="D6110" s="5" t="s">
        <v>8771</v>
      </c>
      <c r="E6110" s="6" t="str">
        <f>HYPERLINK("https://inpn.mnhn.fr/espece/cd_nom/462700","Buchwaldoboletus lignicola (Kallenb.) Pilát, 1969")</f>
        <v>Buchwaldoboletus lignicola (Kallenb.) Pilát, 1969</v>
      </c>
      <c r="F6110" s="5" t="s">
        <v>8772</v>
      </c>
      <c r="O6110" s="7" t="str">
        <f>HYPERLINK("#Liste_rouge!A"&amp;_xlfn.XMATCH("VU",Liste_rouge!A:A,2,1),"VU")</f>
        <v>VU</v>
      </c>
      <c r="V6110" s="7" t="str">
        <f>HYPERLINK("#Liste_rouge!A"&amp;_xlfn.XMATCH("CR",Liste_rouge!A:A,2,1),"CR")</f>
        <v>CR</v>
      </c>
      <c r="W6110" s="4" t="str">
        <f>HYPERLINK("#Critères_liste_rouge!A$1","B2abiii")</f>
        <v>B2abiii</v>
      </c>
      <c r="Z6110" s="4" t="s">
        <v>695</v>
      </c>
      <c r="AA6110" s="4" t="s">
        <v>696</v>
      </c>
      <c r="AH6110" s="4" t="str">
        <f>HYPERLINK("#Statut_biogéographique!A"&amp;_xlfn.XMATCH("P",Statut_biogéographique!A:A,2,1),"P")</f>
        <v>P</v>
      </c>
      <c r="AP6110" s="4" t="s">
        <v>376</v>
      </c>
      <c r="AR6110" s="4" t="s">
        <v>377</v>
      </c>
    </row>
    <row r="6111" spans="1:44">
      <c r="A6111" s="4" t="s">
        <v>5</v>
      </c>
      <c r="B6111" s="4">
        <v>462714</v>
      </c>
      <c r="C6111" s="4">
        <v>4525</v>
      </c>
      <c r="D6111" s="5" t="s">
        <v>8773</v>
      </c>
      <c r="E6111" s="6" t="str">
        <f>HYPERLINK("https://inpn.mnhn.fr/espece/cd_nom/462714","Antrodiella faginea Vampola &amp; Pouzar, 1996")</f>
        <v>Antrodiella faginea Vampola &amp; Pouzar, 1996</v>
      </c>
      <c r="V6111" s="7" t="str">
        <f>HYPERLINK("#Liste_rouge!A"&amp;_xlfn.XMATCH("DD",Liste_rouge!A:A,2,1),"DD")</f>
        <v>DD</v>
      </c>
      <c r="AH6111" s="4" t="str">
        <f>HYPERLINK("#Statut_biogéographique!A"&amp;_xlfn.XMATCH("P",Statut_biogéographique!A:A,2,1),"P")</f>
        <v>P</v>
      </c>
      <c r="AP6111" s="4" t="s">
        <v>376</v>
      </c>
      <c r="AR6111" s="4" t="s">
        <v>377</v>
      </c>
    </row>
    <row r="6112" spans="1:44" ht="30">
      <c r="A6112" s="4" t="s">
        <v>5</v>
      </c>
      <c r="B6112" s="4">
        <v>462734</v>
      </c>
      <c r="C6112" s="4">
        <v>6604</v>
      </c>
      <c r="D6112" s="5" t="s">
        <v>8774</v>
      </c>
      <c r="E6112" s="6" t="str">
        <f>HYPERLINK("https://inpn.mnhn.fr/espece/cd_nom/462734","Arrhenia peltigerina (Peck) Redhead, Lutzoni, Moncalvo &amp; Vilgalys, 2002")</f>
        <v>Arrhenia peltigerina (Peck) Redhead, Lutzoni, Moncalvo &amp; Vilgalys, 2002</v>
      </c>
      <c r="AH6112" s="4" t="str">
        <f>HYPERLINK("#Statut_biogéographique!A"&amp;_xlfn.XMATCH("P",Statut_biogéographique!A:A,2,1),"P")</f>
        <v>P</v>
      </c>
      <c r="AP6112" s="4" t="s">
        <v>376</v>
      </c>
      <c r="AR6112" s="4" t="s">
        <v>377</v>
      </c>
    </row>
    <row r="6113" spans="1:44" ht="30">
      <c r="A6113" s="4" t="s">
        <v>5</v>
      </c>
      <c r="B6113" s="4">
        <v>462737</v>
      </c>
      <c r="C6113" s="4">
        <v>6070</v>
      </c>
      <c r="D6113" s="5" t="s">
        <v>8775</v>
      </c>
      <c r="E6113" s="6" t="str">
        <f>HYPERLINK("https://inpn.mnhn.fr/espece/cd_nom/462737","Arrhenia obatra (J.Favre) Redhead, Lutzoni, Moncalvo &amp; Vilgalys, 2002")</f>
        <v>Arrhenia obatra (J.Favre) Redhead, Lutzoni, Moncalvo &amp; Vilgalys, 2002</v>
      </c>
      <c r="F6113" s="5" t="s">
        <v>8776</v>
      </c>
      <c r="Z6113" s="4" t="s">
        <v>447</v>
      </c>
      <c r="AA6113" s="4" t="s">
        <v>448</v>
      </c>
      <c r="AH6113" s="4" t="str">
        <f>HYPERLINK("#Statut_biogéographique!A"&amp;_xlfn.XMATCH("P",Statut_biogéographique!A:A,2,1),"P")</f>
        <v>P</v>
      </c>
      <c r="AP6113" s="4" t="s">
        <v>376</v>
      </c>
      <c r="AR6113" s="4" t="s">
        <v>377</v>
      </c>
    </row>
    <row r="6114" spans="1:44" ht="30">
      <c r="A6114" s="4" t="s">
        <v>5</v>
      </c>
      <c r="B6114" s="4">
        <v>462738</v>
      </c>
      <c r="C6114" s="4">
        <v>5467</v>
      </c>
      <c r="D6114" s="5" t="s">
        <v>8777</v>
      </c>
      <c r="E6114" s="6" t="str">
        <f>HYPERLINK("https://inpn.mnhn.fr/espece/cd_nom/462738","Arrhenia obscurata (D.A.Reid) Redhead, Lutzoni, Moncalvo &amp; Vilgalys, 2002")</f>
        <v>Arrhenia obscurata (D.A.Reid) Redhead, Lutzoni, Moncalvo &amp; Vilgalys, 2002</v>
      </c>
      <c r="F6114" s="5" t="s">
        <v>8778</v>
      </c>
      <c r="V6114" s="7" t="str">
        <f>HYPERLINK("#Liste_rouge!A"&amp;_xlfn.XMATCH("EN",Liste_rouge!A:A,2,1),"EN")</f>
        <v>EN</v>
      </c>
      <c r="W6114" s="4" t="str">
        <f>HYPERLINK("#Critères_liste_rouge!A$1","B2abiii")</f>
        <v>B2abiii</v>
      </c>
      <c r="Z6114" s="4" t="s">
        <v>447</v>
      </c>
      <c r="AA6114" s="4" t="s">
        <v>448</v>
      </c>
      <c r="AH6114" s="4" t="str">
        <f>HYPERLINK("#Statut_biogéographique!A"&amp;_xlfn.XMATCH("P",Statut_biogéographique!A:A,2,1),"P")</f>
        <v>P</v>
      </c>
      <c r="AP6114" s="4" t="s">
        <v>376</v>
      </c>
      <c r="AR6114" s="4" t="s">
        <v>377</v>
      </c>
    </row>
    <row r="6115" spans="1:44" ht="30">
      <c r="A6115" s="4" t="s">
        <v>5</v>
      </c>
      <c r="B6115" s="4">
        <v>462739</v>
      </c>
      <c r="C6115" s="4">
        <v>1469</v>
      </c>
      <c r="D6115" s="5" t="s">
        <v>8779</v>
      </c>
      <c r="E6115" s="6" t="str">
        <f>HYPERLINK("https://inpn.mnhn.fr/espece/cd_nom/462739","Arrhenia oniscus (Fr.) Redhead, Lutzoni, Moncalvo &amp; Vilgalys, 2002")</f>
        <v>Arrhenia oniscus (Fr.) Redhead, Lutzoni, Moncalvo &amp; Vilgalys, 2002</v>
      </c>
      <c r="F6115" s="5" t="s">
        <v>8780</v>
      </c>
      <c r="V6115" s="7" t="str">
        <f>HYPERLINK("#Liste_rouge!A"&amp;_xlfn.XMATCH("EN",Liste_rouge!A:A,2,1),"EN")</f>
        <v>EN</v>
      </c>
      <c r="W6115" s="4" t="str">
        <f>HYPERLINK("#Critères_liste_rouge!A$1","B2abiii")</f>
        <v>B2abiii</v>
      </c>
      <c r="Z6115" s="4" t="s">
        <v>695</v>
      </c>
      <c r="AA6115" s="4" t="s">
        <v>696</v>
      </c>
      <c r="AH6115" s="4" t="str">
        <f>HYPERLINK("#Statut_biogéographique!A"&amp;_xlfn.XMATCH("P",Statut_biogéographique!A:A,2,1),"P")</f>
        <v>P</v>
      </c>
      <c r="AP6115" s="4" t="s">
        <v>376</v>
      </c>
      <c r="AR6115" s="4" t="s">
        <v>377</v>
      </c>
    </row>
    <row r="6116" spans="1:44" ht="30">
      <c r="A6116" s="4" t="s">
        <v>5</v>
      </c>
      <c r="B6116" s="4">
        <v>462743</v>
      </c>
      <c r="C6116" s="4">
        <v>2215</v>
      </c>
      <c r="D6116" s="5" t="s">
        <v>8781</v>
      </c>
      <c r="E6116" s="6" t="str">
        <f>HYPERLINK("https://inpn.mnhn.fr/espece/cd_nom/462743","Arrhenia philonotis (Lasch) Redhead, Lutzoni, Moncalvo &amp; Vilgalys, 2002")</f>
        <v>Arrhenia philonotis (Lasch) Redhead, Lutzoni, Moncalvo &amp; Vilgalys, 2002</v>
      </c>
      <c r="V6116" s="7" t="str">
        <f>HYPERLINK("#Liste_rouge!A"&amp;_xlfn.XMATCH("VU",Liste_rouge!A:A,2,1),"VU")</f>
        <v>VU</v>
      </c>
      <c r="W6116" s="4" t="str">
        <f>HYPERLINK("#Critères_liste_rouge!A$1","A2c")</f>
        <v>A2c</v>
      </c>
      <c r="Z6116" s="4" t="s">
        <v>695</v>
      </c>
      <c r="AA6116" s="4" t="s">
        <v>696</v>
      </c>
      <c r="AH6116" s="4" t="str">
        <f>HYPERLINK("#Statut_biogéographique!A"&amp;_xlfn.XMATCH("P",Statut_biogéographique!A:A,2,1),"P")</f>
        <v>P</v>
      </c>
      <c r="AP6116" s="4" t="s">
        <v>376</v>
      </c>
      <c r="AR6116" s="4" t="s">
        <v>377</v>
      </c>
    </row>
    <row r="6117" spans="1:44" ht="30">
      <c r="A6117" s="4" t="s">
        <v>5</v>
      </c>
      <c r="B6117" s="4">
        <v>462744</v>
      </c>
      <c r="C6117" s="4">
        <v>3139</v>
      </c>
      <c r="D6117" s="5" t="s">
        <v>8782</v>
      </c>
      <c r="E6117" s="6" t="str">
        <f>HYPERLINK("https://inpn.mnhn.fr/espece/cd_nom/462744","Arrhenia rickenii (Hora) Watling, 1989")</f>
        <v>Arrhenia rickenii (Hora) Watling, 1989</v>
      </c>
      <c r="F6117" s="5" t="s">
        <v>8783</v>
      </c>
      <c r="V6117" s="7" t="str">
        <f>HYPERLINK("#Liste_rouge!A"&amp;_xlfn.XMATCH("NT",Liste_rouge!A:A,2,1),"NT")</f>
        <v>NT</v>
      </c>
      <c r="W6117" s="4" t="str">
        <f>HYPERLINK("#Critères_liste_rouge!A$1","pr. B2abiii")</f>
        <v>pr. B2abiii</v>
      </c>
      <c r="AH6117" s="4" t="str">
        <f>HYPERLINK("#Statut_biogéographique!A"&amp;_xlfn.XMATCH("P",Statut_biogéographique!A:A,2,1),"P")</f>
        <v>P</v>
      </c>
      <c r="AP6117" s="4" t="s">
        <v>376</v>
      </c>
      <c r="AR6117" s="4" t="s">
        <v>377</v>
      </c>
    </row>
    <row r="6118" spans="1:44" ht="30">
      <c r="A6118" s="4" t="s">
        <v>5</v>
      </c>
      <c r="B6118" s="4">
        <v>462746</v>
      </c>
      <c r="C6118" s="4">
        <v>4362</v>
      </c>
      <c r="D6118" s="5" t="s">
        <v>8784</v>
      </c>
      <c r="E6118" s="6" t="str">
        <f>HYPERLINK("https://inpn.mnhn.fr/espece/cd_nom/462746","Arrhenia rustica (Fr.) Redhead, Lutzoni, Moncalvo &amp; Vilgalys, 2002")</f>
        <v>Arrhenia rustica (Fr.) Redhead, Lutzoni, Moncalvo &amp; Vilgalys, 2002</v>
      </c>
      <c r="V6118" s="7" t="str">
        <f>HYPERLINK("#Liste_rouge!A"&amp;_xlfn.XMATCH("RE",Liste_rouge!A:A,2,1),"RE")</f>
        <v>RE</v>
      </c>
      <c r="AH6118" s="4" t="str">
        <f>HYPERLINK("#Statut_biogéographique!A"&amp;_xlfn.XMATCH("P",Statut_biogéographique!A:A,2,1),"P")</f>
        <v>P</v>
      </c>
      <c r="AP6118" s="4" t="s">
        <v>376</v>
      </c>
      <c r="AR6118" s="4" t="s">
        <v>377</v>
      </c>
    </row>
    <row r="6119" spans="1:44" ht="30">
      <c r="A6119" s="4" t="s">
        <v>5</v>
      </c>
      <c r="B6119" s="4">
        <v>462751</v>
      </c>
      <c r="C6119" s="4">
        <v>4526</v>
      </c>
      <c r="D6119" s="5" t="s">
        <v>8785</v>
      </c>
      <c r="E6119" s="6" t="str">
        <f>HYPERLINK("https://inpn.mnhn.fr/espece/cd_nom/462751","Antrodiella serpula (P.Karst.) Spirin &amp; Niemelä, 2006")</f>
        <v>Antrodiella serpula (P.Karst.) Spirin &amp; Niemelä, 2006</v>
      </c>
      <c r="F6119" s="5" t="s">
        <v>8786</v>
      </c>
      <c r="V6119" s="7" t="str">
        <f>HYPERLINK("#Liste_rouge!A"&amp;_xlfn.XMATCH("DD",Liste_rouge!A:A,2,1),"DD")</f>
        <v>DD</v>
      </c>
      <c r="Z6119" s="4" t="s">
        <v>443</v>
      </c>
      <c r="AA6119" s="4" t="s">
        <v>444</v>
      </c>
      <c r="AH6119" s="4" t="str">
        <f>HYPERLINK("#Statut_biogéographique!A"&amp;_xlfn.XMATCH("P",Statut_biogéographique!A:A,2,1),"P")</f>
        <v>P</v>
      </c>
      <c r="AP6119" s="4" t="s">
        <v>376</v>
      </c>
      <c r="AR6119" s="4" t="s">
        <v>377</v>
      </c>
    </row>
    <row r="6120" spans="1:44" ht="45">
      <c r="A6120" s="4" t="s">
        <v>5</v>
      </c>
      <c r="B6120" s="4">
        <v>462758</v>
      </c>
      <c r="C6120" s="4">
        <v>6480</v>
      </c>
      <c r="D6120" s="5" t="s">
        <v>8787</v>
      </c>
      <c r="E6120" s="6" t="str">
        <f>HYPERLINK("https://inpn.mnhn.fr/espece/cd_nom/462758","Arrhenia subglobispora (G.Moreno, Heykoop &amp; E.Horak) Redhead, Lutzoni, Moncalvo &amp; Vilgalys, 2002")</f>
        <v>Arrhenia subglobispora (G.Moreno, Heykoop &amp; E.Horak) Redhead, Lutzoni, Moncalvo &amp; Vilgalys, 2002</v>
      </c>
      <c r="AH6120" s="4" t="str">
        <f>HYPERLINK("#Statut_biogéographique!A"&amp;_xlfn.XMATCH("P",Statut_biogéographique!A:A,2,1),"P")</f>
        <v>P</v>
      </c>
      <c r="AP6120" s="4" t="s">
        <v>376</v>
      </c>
      <c r="AR6120" s="4" t="s">
        <v>377</v>
      </c>
    </row>
    <row r="6121" spans="1:44" ht="60">
      <c r="A6121" s="4" t="s">
        <v>5</v>
      </c>
      <c r="B6121" s="4">
        <v>462759</v>
      </c>
      <c r="C6121" s="4">
        <v>823</v>
      </c>
      <c r="D6121" s="5" t="s">
        <v>8788</v>
      </c>
      <c r="E6121" s="6" t="str">
        <f>HYPERLINK("https://inpn.mnhn.fr/espece/cd_nom/462759","Armillaria socialis (DC.) Herink, 1973")</f>
        <v>Armillaria socialis (DC.) Herink, 1973</v>
      </c>
      <c r="F6121" s="5" t="s">
        <v>8789</v>
      </c>
      <c r="V6121" s="7" t="str">
        <f>HYPERLINK("#Liste_rouge!A"&amp;_xlfn.XMATCH("LC",Liste_rouge!A:A,2,1),"LC")</f>
        <v>LC</v>
      </c>
      <c r="AH6121" s="4" t="str">
        <f>HYPERLINK("#Statut_biogéographique!A"&amp;_xlfn.XMATCH("P",Statut_biogéographique!A:A,2,1),"P")</f>
        <v>P</v>
      </c>
      <c r="AP6121" s="4" t="s">
        <v>376</v>
      </c>
      <c r="AR6121" s="4" t="s">
        <v>377</v>
      </c>
    </row>
    <row r="6122" spans="1:44" ht="30">
      <c r="A6122" s="4" t="s">
        <v>5</v>
      </c>
      <c r="B6122" s="4">
        <v>46276</v>
      </c>
      <c r="C6122" s="4">
        <v>966</v>
      </c>
      <c r="D6122" s="5" t="s">
        <v>8790</v>
      </c>
      <c r="E6122" s="6" t="str">
        <f>HYPERLINK("https://inpn.mnhn.fr/espece/cd_nom/46276","Ciboria batschiana (Zopf) N.F.Buchw., 1947")</f>
        <v>Ciboria batschiana (Zopf) N.F.Buchw., 1947</v>
      </c>
      <c r="F6122" s="5" t="s">
        <v>8791</v>
      </c>
      <c r="V6122" s="7" t="str">
        <f>HYPERLINK("#Liste_rouge!A"&amp;_xlfn.XMATCH("LC",Liste_rouge!A:A,2,1),"LC")</f>
        <v>LC</v>
      </c>
      <c r="AH6122" s="4" t="str">
        <f>HYPERLINK("#Statut_biogéographique!A"&amp;_xlfn.XMATCH("P",Statut_biogéographique!A:A,2,1),"P")</f>
        <v>P</v>
      </c>
      <c r="AP6122" s="4" t="s">
        <v>376</v>
      </c>
      <c r="AR6122" s="4" t="s">
        <v>377</v>
      </c>
    </row>
    <row r="6123" spans="1:44" ht="30">
      <c r="A6123" s="4" t="s">
        <v>5</v>
      </c>
      <c r="B6123" s="4">
        <v>462764</v>
      </c>
      <c r="C6123" s="4">
        <v>1108</v>
      </c>
      <c r="D6123" s="5" t="s">
        <v>8792</v>
      </c>
      <c r="E6123" s="6" t="str">
        <f>HYPERLINK("https://inpn.mnhn.fr/espece/cd_nom/462764","Arrhenia favrei (Watling) P.-A.Moreau &amp; Courtec., 2008")</f>
        <v>Arrhenia favrei (Watling) P.-A.Moreau &amp; Courtec., 2008</v>
      </c>
      <c r="V6123" s="7" t="str">
        <f>HYPERLINK("#Liste_rouge!A"&amp;_xlfn.XMATCH("CR",Liste_rouge!A:A,2,1),"CR")</f>
        <v>CR</v>
      </c>
      <c r="W6123" s="4" t="str">
        <f>HYPERLINK("#Critères_liste_rouge!A$1","B2abiii")</f>
        <v>B2abiii</v>
      </c>
      <c r="Z6123" s="4" t="s">
        <v>695</v>
      </c>
      <c r="AA6123" s="4" t="s">
        <v>696</v>
      </c>
      <c r="AH6123" s="4" t="str">
        <f>HYPERLINK("#Statut_biogéographique!A"&amp;_xlfn.XMATCH("P",Statut_biogéographique!A:A,2,1),"P")</f>
        <v>P</v>
      </c>
      <c r="AP6123" s="4" t="s">
        <v>376</v>
      </c>
      <c r="AR6123" s="4" t="s">
        <v>377</v>
      </c>
    </row>
    <row r="6124" spans="1:44">
      <c r="A6124" s="4" t="s">
        <v>5</v>
      </c>
      <c r="B6124" s="4">
        <v>462771</v>
      </c>
      <c r="C6124" s="4">
        <v>6701</v>
      </c>
      <c r="D6124" s="5" t="s">
        <v>8793</v>
      </c>
      <c r="E6124" s="6" t="str">
        <f>HYPERLINK("https://inpn.mnhn.fr/espece/cd_nom/462771","Cortinarius flavescentipes Reumaux, 1996")</f>
        <v>Cortinarius flavescentipes Reumaux, 1996</v>
      </c>
      <c r="AH6124" s="4" t="str">
        <f>HYPERLINK("#Statut_biogéographique!A"&amp;_xlfn.XMATCH("P",Statut_biogéographique!A:A,2,1),"P")</f>
        <v>P</v>
      </c>
      <c r="AP6124" s="4" t="s">
        <v>376</v>
      </c>
      <c r="AR6124" s="4" t="s">
        <v>377</v>
      </c>
    </row>
    <row r="6125" spans="1:44" ht="30">
      <c r="A6125" s="4" t="s">
        <v>5</v>
      </c>
      <c r="B6125" s="4">
        <v>462782</v>
      </c>
      <c r="C6125" s="4">
        <v>3220</v>
      </c>
      <c r="D6125" s="5" t="s">
        <v>8794</v>
      </c>
      <c r="E6125" s="6" t="str">
        <f>HYPERLINK("https://inpn.mnhn.fr/espece/cd_nom/462782","Cortinarius fusipes (P.Karst.) Bidaud, Moënne-Locc. &amp; Reumaux, 1997")</f>
        <v>Cortinarius fusipes (P.Karst.) Bidaud, Moënne-Locc. &amp; Reumaux, 1997</v>
      </c>
      <c r="F6125" s="5" t="s">
        <v>8795</v>
      </c>
      <c r="V6125" s="7" t="str">
        <f>HYPERLINK("#Liste_rouge!A"&amp;_xlfn.XMATCH("DD",Liste_rouge!A:A,2,1),"DD")</f>
        <v>DD</v>
      </c>
      <c r="AH6125" s="4" t="str">
        <f>HYPERLINK("#Statut_biogéographique!A"&amp;_xlfn.XMATCH("P",Statut_biogéographique!A:A,2,1),"P")</f>
        <v>P</v>
      </c>
      <c r="AP6125" s="4" t="s">
        <v>376</v>
      </c>
      <c r="AR6125" s="4" t="s">
        <v>377</v>
      </c>
    </row>
    <row r="6126" spans="1:44">
      <c r="A6126" s="4" t="s">
        <v>5</v>
      </c>
      <c r="B6126" s="4">
        <v>462785</v>
      </c>
      <c r="C6126" s="4">
        <v>2799</v>
      </c>
      <c r="D6126" s="5" t="s">
        <v>8796</v>
      </c>
      <c r="E6126" s="6" t="str">
        <f>HYPERLINK("https://inpn.mnhn.fr/espece/cd_nom/462785","Cortinarius extricabilis Britzelm., 1885")</f>
        <v>Cortinarius extricabilis Britzelm., 1885</v>
      </c>
      <c r="V6126" s="7" t="str">
        <f>HYPERLINK("#Liste_rouge!A"&amp;_xlfn.XMATCH("EN",Liste_rouge!A:A,2,1),"EN")</f>
        <v>EN</v>
      </c>
      <c r="W6126" s="4" t="str">
        <f>HYPERLINK("#Critères_liste_rouge!A$1","B2abiii")</f>
        <v>B2abiii</v>
      </c>
      <c r="Z6126" s="4" t="s">
        <v>443</v>
      </c>
      <c r="AA6126" s="4" t="s">
        <v>444</v>
      </c>
      <c r="AH6126" s="4" t="str">
        <f>HYPERLINK("#Statut_biogéographique!A"&amp;_xlfn.XMATCH("P",Statut_biogéographique!A:A,2,1),"P")</f>
        <v>P</v>
      </c>
      <c r="AP6126" s="4" t="s">
        <v>376</v>
      </c>
      <c r="AR6126" s="4" t="s">
        <v>377</v>
      </c>
    </row>
    <row r="6127" spans="1:44">
      <c r="A6127" s="4" t="s">
        <v>5</v>
      </c>
      <c r="B6127" s="4">
        <v>462786</v>
      </c>
      <c r="C6127" s="4">
        <v>2395</v>
      </c>
      <c r="D6127" s="5" t="s">
        <v>8797</v>
      </c>
      <c r="E6127" s="6" t="str">
        <f>HYPERLINK("https://inpn.mnhn.fr/espece/cd_nom/462786","Cortinarius fagetorum M.M.Moser, 1967")</f>
        <v>Cortinarius fagetorum M.M.Moser, 1967</v>
      </c>
      <c r="F6127" s="5" t="s">
        <v>8798</v>
      </c>
      <c r="V6127" s="7" t="str">
        <f>HYPERLINK("#Liste_rouge!A"&amp;_xlfn.XMATCH("LC",Liste_rouge!A:A,2,1),"LC")</f>
        <v>LC</v>
      </c>
      <c r="AH6127" s="4" t="str">
        <f>HYPERLINK("#Statut_biogéographique!A"&amp;_xlfn.XMATCH("P",Statut_biogéographique!A:A,2,1),"P")</f>
        <v>P</v>
      </c>
      <c r="AP6127" s="4" t="s">
        <v>376</v>
      </c>
      <c r="AR6127" s="4" t="s">
        <v>377</v>
      </c>
    </row>
    <row r="6128" spans="1:44">
      <c r="A6128" s="4" t="s">
        <v>5</v>
      </c>
      <c r="B6128" s="4">
        <v>46280</v>
      </c>
      <c r="C6128" s="4">
        <v>4238</v>
      </c>
      <c r="D6128" s="5" t="s">
        <v>8799</v>
      </c>
      <c r="E6128" s="6" t="str">
        <f>HYPERLINK("https://inpn.mnhn.fr/espece/cd_nom/46280","Ciboria caucus (Rebent.) Fuckel, 1870")</f>
        <v>Ciboria caucus (Rebent.) Fuckel, 1870</v>
      </c>
      <c r="F6128" s="5" t="s">
        <v>8800</v>
      </c>
      <c r="AH6128" s="4" t="str">
        <f>HYPERLINK("#Statut_biogéographique!A"&amp;_xlfn.XMATCH("P",Statut_biogéographique!A:A,2,1),"P")</f>
        <v>P</v>
      </c>
      <c r="AP6128" s="4" t="s">
        <v>376</v>
      </c>
      <c r="AR6128" s="4" t="s">
        <v>377</v>
      </c>
    </row>
    <row r="6129" spans="1:44" ht="30">
      <c r="A6129" s="4" t="s">
        <v>5</v>
      </c>
      <c r="B6129" s="4">
        <v>462811</v>
      </c>
      <c r="C6129" s="4">
        <v>6020</v>
      </c>
      <c r="D6129" s="5" t="s">
        <v>8801</v>
      </c>
      <c r="E6129" s="6" t="str">
        <f>HYPERLINK("https://inpn.mnhn.fr/espece/cd_nom/462811","Cortinarius acutellus Bidaud &amp; Moënne-Locc., 2003")</f>
        <v>Cortinarius acutellus Bidaud &amp; Moënne-Locc., 2003</v>
      </c>
      <c r="AH6129" s="4" t="str">
        <f>HYPERLINK("#Statut_biogéographique!A"&amp;_xlfn.XMATCH("P",Statut_biogéographique!A:A,2,1),"P")</f>
        <v>P</v>
      </c>
      <c r="AP6129" s="4" t="s">
        <v>376</v>
      </c>
      <c r="AR6129" s="4" t="s">
        <v>377</v>
      </c>
    </row>
    <row r="6130" spans="1:44">
      <c r="A6130" s="4" t="s">
        <v>5</v>
      </c>
      <c r="B6130" s="4">
        <v>462814</v>
      </c>
      <c r="C6130" s="4">
        <v>5852</v>
      </c>
      <c r="D6130" s="5" t="s">
        <v>8802</v>
      </c>
      <c r="E6130" s="6" t="str">
        <f>HYPERLINK("https://inpn.mnhn.fr/espece/cd_nom/462814","Cortinarius euprasinus Rob.Henry, 1989")</f>
        <v>Cortinarius euprasinus Rob.Henry, 1989</v>
      </c>
      <c r="AH6130" s="4" t="str">
        <f>HYPERLINK("#Statut_biogéographique!A"&amp;_xlfn.XMATCH("P",Statut_biogéographique!A:A,2,1),"P")</f>
        <v>P</v>
      </c>
      <c r="AP6130" s="4" t="s">
        <v>376</v>
      </c>
      <c r="AR6130" s="4" t="s">
        <v>377</v>
      </c>
    </row>
    <row r="6131" spans="1:44">
      <c r="A6131" s="4" t="s">
        <v>5</v>
      </c>
      <c r="B6131" s="4">
        <v>462816</v>
      </c>
      <c r="C6131" s="4">
        <v>3049</v>
      </c>
      <c r="D6131" s="5" t="s">
        <v>8803</v>
      </c>
      <c r="E6131" s="6" t="str">
        <f>HYPERLINK("https://inpn.mnhn.fr/espece/cd_nom/462816","Cortinarius flos-paludis Melot, 1980")</f>
        <v>Cortinarius flos-paludis Melot, 1980</v>
      </c>
      <c r="V6131" s="7" t="str">
        <f>HYPERLINK("#Liste_rouge!A"&amp;_xlfn.XMATCH("DD",Liste_rouge!A:A,2,1),"DD")</f>
        <v>DD</v>
      </c>
      <c r="Z6131" s="4" t="s">
        <v>443</v>
      </c>
      <c r="AA6131" s="4" t="s">
        <v>444</v>
      </c>
      <c r="AH6131" s="4" t="str">
        <f>HYPERLINK("#Statut_biogéographique!A"&amp;_xlfn.XMATCH("P",Statut_biogéographique!A:A,2,1),"P")</f>
        <v>P</v>
      </c>
      <c r="AP6131" s="4" t="s">
        <v>376</v>
      </c>
      <c r="AR6131" s="4" t="s">
        <v>377</v>
      </c>
    </row>
    <row r="6132" spans="1:44">
      <c r="A6132" s="4" t="s">
        <v>5</v>
      </c>
      <c r="B6132" s="4">
        <v>462819</v>
      </c>
      <c r="C6132" s="4">
        <v>6941</v>
      </c>
      <c r="D6132" s="5">
        <v>462819</v>
      </c>
      <c r="E6132" s="6" t="str">
        <f>HYPERLINK("https://inpn.mnhn.fr/espece/cd_nom/462819","Cortinarius fulminatus Reumaux, 2003")</f>
        <v>Cortinarius fulminatus Reumaux, 2003</v>
      </c>
      <c r="AH6132" s="4" t="str">
        <f>HYPERLINK("#Statut_biogéographique!A"&amp;_xlfn.XMATCH("P",Statut_biogéographique!A:A,2,1),"P")</f>
        <v>P</v>
      </c>
      <c r="AP6132" s="4" t="s">
        <v>376</v>
      </c>
      <c r="AR6132" s="4" t="s">
        <v>377</v>
      </c>
    </row>
    <row r="6133" spans="1:44">
      <c r="A6133" s="4" t="s">
        <v>5</v>
      </c>
      <c r="B6133" s="4">
        <v>462823</v>
      </c>
      <c r="C6133" s="4">
        <v>1867</v>
      </c>
      <c r="D6133" s="5">
        <v>510792</v>
      </c>
      <c r="E6133" s="6" t="str">
        <f>HYPERLINK("https://inpn.mnhn.fr/espece/cd_nom/462823","Cortinarius fulgentissimus Reumaux, 2003")</f>
        <v>Cortinarius fulgentissimus Reumaux, 2003</v>
      </c>
      <c r="F6133" s="5" t="s">
        <v>6460</v>
      </c>
      <c r="Z6133" s="4" t="s">
        <v>447</v>
      </c>
      <c r="AA6133" s="4" t="s">
        <v>448</v>
      </c>
      <c r="AH6133" s="4" t="str">
        <f>HYPERLINK("#Statut_biogéographique!A"&amp;_xlfn.XMATCH("P",Statut_biogéographique!A:A,2,1),"P")</f>
        <v>P</v>
      </c>
      <c r="AP6133" s="4" t="s">
        <v>376</v>
      </c>
      <c r="AR6133" s="4" t="s">
        <v>377</v>
      </c>
    </row>
    <row r="6134" spans="1:44">
      <c r="A6134" s="4" t="s">
        <v>5</v>
      </c>
      <c r="B6134" s="4">
        <v>462829</v>
      </c>
      <c r="C6134" s="4">
        <v>3692</v>
      </c>
      <c r="D6134" s="5" t="s">
        <v>8804</v>
      </c>
      <c r="E6134" s="6" t="str">
        <f>HYPERLINK("https://inpn.mnhn.fr/espece/cd_nom/462829","Cortinarius danilii R. Henry")</f>
        <v>Cortinarius danilii R. Henry</v>
      </c>
      <c r="V6134" s="7" t="str">
        <f>HYPERLINK("#Liste_rouge!A"&amp;_xlfn.XMATCH("EN",Liste_rouge!A:A,2,1),"EN")</f>
        <v>EN</v>
      </c>
      <c r="W6134" s="4" t="str">
        <f>HYPERLINK("#Critères_liste_rouge!A$1","B2abiii")</f>
        <v>B2abiii</v>
      </c>
      <c r="Z6134" s="4" t="s">
        <v>443</v>
      </c>
      <c r="AA6134" s="4" t="s">
        <v>444</v>
      </c>
      <c r="AH6134" s="4" t="str">
        <f>HYPERLINK("#Statut_biogéographique!A"&amp;_xlfn.XMATCH("P",Statut_biogéographique!A:A,2,1),"P")</f>
        <v>P</v>
      </c>
      <c r="AP6134" s="4" t="s">
        <v>376</v>
      </c>
      <c r="AR6134" s="4" t="s">
        <v>377</v>
      </c>
    </row>
    <row r="6135" spans="1:44">
      <c r="A6135" s="4" t="s">
        <v>5</v>
      </c>
      <c r="B6135" s="4">
        <v>462834</v>
      </c>
      <c r="C6135" s="4">
        <v>971</v>
      </c>
      <c r="D6135" s="5" t="s">
        <v>8805</v>
      </c>
      <c r="E6135" s="6" t="str">
        <f>HYPERLINK("https://inpn.mnhn.fr/espece/cd_nom/462834","Cortinarius dibaphus Fr., 1838")</f>
        <v>Cortinarius dibaphus Fr., 1838</v>
      </c>
      <c r="F6135" s="5" t="s">
        <v>8806</v>
      </c>
      <c r="V6135" s="7" t="str">
        <f>HYPERLINK("#Liste_rouge!A"&amp;_xlfn.XMATCH("LC",Liste_rouge!A:A,2,1),"LC")</f>
        <v>LC</v>
      </c>
      <c r="AH6135" s="4" t="str">
        <f>HYPERLINK("#Statut_biogéographique!A"&amp;_xlfn.XMATCH("P",Statut_biogéographique!A:A,2,1),"P")</f>
        <v>P</v>
      </c>
      <c r="AP6135" s="4" t="s">
        <v>376</v>
      </c>
      <c r="AR6135" s="4" t="s">
        <v>377</v>
      </c>
    </row>
    <row r="6136" spans="1:44">
      <c r="A6136" s="4" t="s">
        <v>5</v>
      </c>
      <c r="B6136" s="4">
        <v>462836</v>
      </c>
      <c r="C6136" s="4">
        <v>5406</v>
      </c>
      <c r="D6136" s="5" t="s">
        <v>8807</v>
      </c>
      <c r="E6136" s="6" t="str">
        <f>HYPERLINK("https://inpn.mnhn.fr/espece/cd_nom/462836","Cortinarius diabolicus (Fr.) Fr., 1838")</f>
        <v>Cortinarius diabolicus (Fr.) Fr., 1838</v>
      </c>
      <c r="F6136" s="5" t="s">
        <v>8808</v>
      </c>
      <c r="V6136" s="7" t="str">
        <f>HYPERLINK("#Liste_rouge!A"&amp;_xlfn.XMATCH("LC",Liste_rouge!A:A,2,1),"LC")</f>
        <v>LC</v>
      </c>
      <c r="AH6136" s="4" t="str">
        <f>HYPERLINK("#Statut_biogéographique!A"&amp;_xlfn.XMATCH("P",Statut_biogéographique!A:A,2,1),"P")</f>
        <v>P</v>
      </c>
      <c r="AP6136" s="4" t="s">
        <v>376</v>
      </c>
      <c r="AR6136" s="4" t="s">
        <v>377</v>
      </c>
    </row>
    <row r="6137" spans="1:44">
      <c r="A6137" s="4" t="s">
        <v>5</v>
      </c>
      <c r="B6137" s="4">
        <v>46284</v>
      </c>
      <c r="C6137" s="4">
        <v>849</v>
      </c>
      <c r="D6137" s="5" t="s">
        <v>8809</v>
      </c>
      <c r="E6137" s="6" t="str">
        <f>HYPERLINK("https://inpn.mnhn.fr/espece/cd_nom/46284","Ciboria rufofusca (O.Weberb.) Sacc., 1889")</f>
        <v>Ciboria rufofusca (O.Weberb.) Sacc., 1889</v>
      </c>
      <c r="F6137" s="5" t="s">
        <v>8810</v>
      </c>
      <c r="V6137" s="7" t="str">
        <f>HYPERLINK("#Liste_rouge!A"&amp;_xlfn.XMATCH("LC",Liste_rouge!A:A,2,1),"LC")</f>
        <v>LC</v>
      </c>
      <c r="AH6137" s="4" t="str">
        <f>HYPERLINK("#Statut_biogéographique!A"&amp;_xlfn.XMATCH("P",Statut_biogéographique!A:A,2,1),"P")</f>
        <v>P</v>
      </c>
      <c r="AP6137" s="4" t="s">
        <v>376</v>
      </c>
      <c r="AR6137" s="4" t="s">
        <v>377</v>
      </c>
    </row>
    <row r="6138" spans="1:44">
      <c r="A6138" s="4" t="s">
        <v>5</v>
      </c>
      <c r="B6138" s="4">
        <v>462844</v>
      </c>
      <c r="C6138" s="4">
        <v>2429</v>
      </c>
      <c r="D6138" s="5" t="s">
        <v>8811</v>
      </c>
      <c r="E6138" s="6" t="str">
        <f>HYPERLINK("https://inpn.mnhn.fr/espece/cd_nom/462844","Cortinarius cyanopus Secr. ex Fr., 1838")</f>
        <v>Cortinarius cyanopus Secr. ex Fr., 1838</v>
      </c>
      <c r="V6138" s="7" t="str">
        <f>HYPERLINK("#Liste_rouge!A"&amp;_xlfn.XMATCH("EN",Liste_rouge!A:A,2,1),"EN")</f>
        <v>EN</v>
      </c>
      <c r="W6138" s="4" t="str">
        <f>HYPERLINK("#Critères_liste_rouge!A$1","B2abiii")</f>
        <v>B2abiii</v>
      </c>
      <c r="Z6138" s="4" t="s">
        <v>695</v>
      </c>
      <c r="AA6138" s="4" t="s">
        <v>696</v>
      </c>
      <c r="AH6138" s="4" t="str">
        <f>HYPERLINK("#Statut_biogéographique!A"&amp;_xlfn.XMATCH("P",Statut_biogéographique!A:A,2,1),"P")</f>
        <v>P</v>
      </c>
      <c r="AP6138" s="4" t="s">
        <v>376</v>
      </c>
      <c r="AR6138" s="4" t="s">
        <v>377</v>
      </c>
    </row>
    <row r="6139" spans="1:44" ht="30">
      <c r="A6139" s="4" t="s">
        <v>5</v>
      </c>
      <c r="B6139" s="4">
        <v>462848</v>
      </c>
      <c r="C6139" s="4">
        <v>6511</v>
      </c>
      <c r="D6139" s="5">
        <v>510665</v>
      </c>
      <c r="E6139" s="6" t="str">
        <f>HYPERLINK("https://inpn.mnhn.fr/espece/cd_nom/462848","Cortinarius cuprescens Eyssart. &amp; Bidaud, 2003")</f>
        <v>Cortinarius cuprescens Eyssart. &amp; Bidaud, 2003</v>
      </c>
      <c r="F6139" s="5" t="s">
        <v>6497</v>
      </c>
      <c r="AH6139" s="4" t="str">
        <f>HYPERLINK("#Statut_biogéographique!A"&amp;_xlfn.XMATCH("P",Statut_biogéographique!A:A,2,1),"P")</f>
        <v>P</v>
      </c>
      <c r="AP6139" s="4" t="s">
        <v>376</v>
      </c>
      <c r="AR6139" s="4" t="s">
        <v>377</v>
      </c>
    </row>
    <row r="6140" spans="1:44" ht="30">
      <c r="A6140" s="4" t="s">
        <v>5</v>
      </c>
      <c r="B6140" s="4">
        <v>462850</v>
      </c>
      <c r="C6140" s="4">
        <v>5521</v>
      </c>
      <c r="D6140" s="5" t="s">
        <v>8812</v>
      </c>
      <c r="E6140" s="6" t="str">
        <f>HYPERLINK("https://inpn.mnhn.fr/espece/cd_nom/462850","Cortinarius decipientoides Moënne-Locc. &amp; Reumaux, 1988")</f>
        <v>Cortinarius decipientoides Moënne-Locc. &amp; Reumaux, 1988</v>
      </c>
      <c r="V6140" s="7" t="str">
        <f>HYPERLINK("#Liste_rouge!A"&amp;_xlfn.XMATCH("DD",Liste_rouge!A:A,2,1),"DD")</f>
        <v>DD</v>
      </c>
      <c r="AH6140" s="4" t="str">
        <f>HYPERLINK("#Statut_biogéographique!A"&amp;_xlfn.XMATCH("P",Statut_biogéographique!A:A,2,1),"P")</f>
        <v>P</v>
      </c>
      <c r="AP6140" s="4" t="s">
        <v>376</v>
      </c>
      <c r="AR6140" s="4" t="s">
        <v>377</v>
      </c>
    </row>
    <row r="6141" spans="1:44">
      <c r="A6141" s="4" t="s">
        <v>5</v>
      </c>
      <c r="B6141" s="4">
        <v>462852</v>
      </c>
      <c r="C6141" s="4">
        <v>1496</v>
      </c>
      <c r="D6141" s="5" t="s">
        <v>8813</v>
      </c>
      <c r="E6141" s="6" t="str">
        <f>HYPERLINK("https://inpn.mnhn.fr/espece/cd_nom/462852","Cortinarius decipiens (Pers.) Fr., 1838")</f>
        <v>Cortinarius decipiens (Pers.) Fr., 1838</v>
      </c>
      <c r="F6141" s="5" t="s">
        <v>8814</v>
      </c>
      <c r="V6141" s="7" t="str">
        <f>HYPERLINK("#Liste_rouge!A"&amp;_xlfn.XMATCH("LC",Liste_rouge!A:A,2,1),"LC")</f>
        <v>LC</v>
      </c>
      <c r="AH6141" s="4" t="str">
        <f>HYPERLINK("#Statut_biogéographique!A"&amp;_xlfn.XMATCH("P",Statut_biogéographique!A:A,2,1),"P")</f>
        <v>P</v>
      </c>
      <c r="AP6141" s="4" t="s">
        <v>376</v>
      </c>
      <c r="AR6141" s="4" t="s">
        <v>377</v>
      </c>
    </row>
    <row r="6142" spans="1:44">
      <c r="A6142" s="4" t="s">
        <v>5</v>
      </c>
      <c r="B6142" s="4">
        <v>462855</v>
      </c>
      <c r="C6142" s="4">
        <v>1837</v>
      </c>
      <c r="D6142" s="5" t="s">
        <v>8815</v>
      </c>
      <c r="E6142" s="6" t="str">
        <f>HYPERLINK("https://inpn.mnhn.fr/espece/cd_nom/462855","Cortinarius cylindripes Kauffman, 1905")</f>
        <v>Cortinarius cylindripes Kauffman, 1905</v>
      </c>
      <c r="F6142" s="5" t="s">
        <v>6409</v>
      </c>
      <c r="V6142" s="7" t="str">
        <f>HYPERLINK("#Liste_rouge!A"&amp;_xlfn.XMATCH("LC",Liste_rouge!A:A,2,1),"LC")</f>
        <v>LC</v>
      </c>
      <c r="Z6142" s="4" t="s">
        <v>447</v>
      </c>
      <c r="AA6142" s="4" t="s">
        <v>448</v>
      </c>
      <c r="AH6142" s="4" t="str">
        <f>HYPERLINK("#Statut_biogéographique!A"&amp;_xlfn.XMATCH("P",Statut_biogéographique!A:A,2,1),"P")</f>
        <v>P</v>
      </c>
      <c r="AP6142" s="4" t="s">
        <v>376</v>
      </c>
      <c r="AR6142" s="4" t="s">
        <v>377</v>
      </c>
    </row>
    <row r="6143" spans="1:44" ht="30">
      <c r="A6143" s="4" t="s">
        <v>5</v>
      </c>
      <c r="B6143" s="4">
        <v>46286</v>
      </c>
      <c r="C6143" s="4">
        <v>4304</v>
      </c>
      <c r="D6143" s="5" t="s">
        <v>8816</v>
      </c>
      <c r="E6143" s="6" t="str">
        <f>HYPERLINK("https://inpn.mnhn.fr/espece/cd_nom/46286","Ciboria viridifusca (Fuckel) Höhn., 1926")</f>
        <v>Ciboria viridifusca (Fuckel) Höhn., 1926</v>
      </c>
      <c r="F6143" s="5" t="s">
        <v>8817</v>
      </c>
      <c r="V6143" s="7" t="str">
        <f>HYPERLINK("#Liste_rouge!A"&amp;_xlfn.XMATCH("DD",Liste_rouge!A:A,2,1),"DD")</f>
        <v>DD</v>
      </c>
      <c r="Z6143" s="4" t="s">
        <v>443</v>
      </c>
      <c r="AA6143" s="4" t="s">
        <v>444</v>
      </c>
      <c r="AH6143" s="4" t="str">
        <f>HYPERLINK("#Statut_biogéographique!A"&amp;_xlfn.XMATCH("P",Statut_biogéographique!A:A,2,1),"P")</f>
        <v>P</v>
      </c>
      <c r="AP6143" s="4" t="s">
        <v>376</v>
      </c>
      <c r="AR6143" s="4" t="s">
        <v>377</v>
      </c>
    </row>
    <row r="6144" spans="1:44">
      <c r="A6144" s="4" t="s">
        <v>5</v>
      </c>
      <c r="B6144" s="4">
        <v>462860</v>
      </c>
      <c r="C6144" s="4">
        <v>2821</v>
      </c>
      <c r="D6144" s="5" t="s">
        <v>8818</v>
      </c>
      <c r="E6144" s="6" t="str">
        <f>HYPERLINK("https://inpn.mnhn.fr/espece/cd_nom/462860","Cortinarius emunctus Fr., 1838")</f>
        <v>Cortinarius emunctus Fr., 1838</v>
      </c>
      <c r="V6144" s="7" t="str">
        <f>HYPERLINK("#Liste_rouge!A"&amp;_xlfn.XMATCH("LC",Liste_rouge!A:A,2,1),"LC")</f>
        <v>LC</v>
      </c>
      <c r="AH6144" s="4" t="str">
        <f>HYPERLINK("#Statut_biogéographique!A"&amp;_xlfn.XMATCH("P",Statut_biogéographique!A:A,2,1),"P")</f>
        <v>P</v>
      </c>
      <c r="AP6144" s="4" t="s">
        <v>376</v>
      </c>
      <c r="AR6144" s="4" t="s">
        <v>377</v>
      </c>
    </row>
    <row r="6145" spans="1:44">
      <c r="A6145" s="4" t="s">
        <v>5</v>
      </c>
      <c r="B6145" s="4">
        <v>462867</v>
      </c>
      <c r="C6145" s="4">
        <v>734</v>
      </c>
      <c r="D6145" s="5" t="s">
        <v>8819</v>
      </c>
      <c r="E6145" s="6" t="str">
        <f>HYPERLINK("https://inpn.mnhn.fr/espece/cd_nom/462867","Cortinarius emollitus Fr., 1838")</f>
        <v>Cortinarius emollitus Fr., 1838</v>
      </c>
      <c r="V6145" s="7" t="str">
        <f>HYPERLINK("#Liste_rouge!A"&amp;_xlfn.XMATCH("LC",Liste_rouge!A:A,2,1),"LC")</f>
        <v>LC</v>
      </c>
      <c r="AH6145" s="4" t="str">
        <f>HYPERLINK("#Statut_biogéographique!A"&amp;_xlfn.XMATCH("P",Statut_biogéographique!A:A,2,1),"P")</f>
        <v>P</v>
      </c>
      <c r="AP6145" s="4" t="s">
        <v>376</v>
      </c>
      <c r="AR6145" s="4" t="s">
        <v>377</v>
      </c>
    </row>
    <row r="6146" spans="1:44" ht="30">
      <c r="A6146" s="4" t="s">
        <v>5</v>
      </c>
      <c r="B6146" s="4">
        <v>462868</v>
      </c>
      <c r="C6146" s="4">
        <v>1436</v>
      </c>
      <c r="D6146" s="5" t="s">
        <v>8820</v>
      </c>
      <c r="E6146" s="6" t="str">
        <f>HYPERLINK("https://inpn.mnhn.fr/espece/cd_nom/462868","Cortinarius elegantior (Fr.) Fr., 1838")</f>
        <v>Cortinarius elegantior (Fr.) Fr., 1838</v>
      </c>
      <c r="F6146" s="5" t="s">
        <v>8821</v>
      </c>
      <c r="V6146" s="7" t="str">
        <f>HYPERLINK("#Liste_rouge!A"&amp;_xlfn.XMATCH("LC",Liste_rouge!A:A,2,1),"LC")</f>
        <v>LC</v>
      </c>
      <c r="AH6146" s="4" t="str">
        <f>HYPERLINK("#Statut_biogéographique!A"&amp;_xlfn.XMATCH("P",Statut_biogéographique!A:A,2,1),"P")</f>
        <v>P</v>
      </c>
      <c r="AP6146" s="4" t="s">
        <v>376</v>
      </c>
      <c r="AR6146" s="4" t="s">
        <v>377</v>
      </c>
    </row>
    <row r="6147" spans="1:44">
      <c r="A6147" s="4" t="s">
        <v>5</v>
      </c>
      <c r="B6147" s="4">
        <v>462871</v>
      </c>
      <c r="C6147" s="4">
        <v>6119</v>
      </c>
      <c r="D6147" s="5" t="s">
        <v>8822</v>
      </c>
      <c r="E6147" s="6" t="str">
        <f>HYPERLINK("https://inpn.mnhn.fr/espece/cd_nom/462871","Cortinarius erythrinellus Reumaux, 1988")</f>
        <v>Cortinarius erythrinellus Reumaux, 1988</v>
      </c>
      <c r="AH6147" s="4" t="str">
        <f>HYPERLINK("#Statut_biogéographique!A"&amp;_xlfn.XMATCH("P",Statut_biogéographique!A:A,2,1),"P")</f>
        <v>P</v>
      </c>
      <c r="AP6147" s="4" t="s">
        <v>376</v>
      </c>
      <c r="AR6147" s="4" t="s">
        <v>377</v>
      </c>
    </row>
    <row r="6148" spans="1:44">
      <c r="A6148" s="4" t="s">
        <v>5</v>
      </c>
      <c r="B6148" s="4">
        <v>462883</v>
      </c>
      <c r="C6148" s="4">
        <v>3768</v>
      </c>
      <c r="D6148" s="5">
        <v>462883</v>
      </c>
      <c r="E6148" s="6" t="str">
        <f>HYPERLINK("https://inpn.mnhn.fr/espece/cd_nom/462883","Cortinarius pallidophyllus Reumaux, 2008")</f>
        <v>Cortinarius pallidophyllus Reumaux, 2008</v>
      </c>
      <c r="F6148" s="5" t="s">
        <v>6147</v>
      </c>
      <c r="V6148" s="7" t="str">
        <f>HYPERLINK("#Liste_rouge!A"&amp;_xlfn.XMATCH("DD",Liste_rouge!A:A,2,1),"DD")</f>
        <v>DD</v>
      </c>
      <c r="AH6148" s="4" t="str">
        <f>HYPERLINK("#Statut_biogéographique!A"&amp;_xlfn.XMATCH("P",Statut_biogéographique!A:A,2,1),"P")</f>
        <v>P</v>
      </c>
      <c r="AP6148" s="4" t="s">
        <v>376</v>
      </c>
      <c r="AR6148" s="4" t="s">
        <v>377</v>
      </c>
    </row>
    <row r="6149" spans="1:44">
      <c r="A6149" s="4" t="s">
        <v>5</v>
      </c>
      <c r="B6149" s="4">
        <v>462884</v>
      </c>
      <c r="C6149" s="4">
        <v>5471</v>
      </c>
      <c r="D6149" s="5" t="s">
        <v>8823</v>
      </c>
      <c r="E6149" s="6" t="str">
        <f>HYPERLINK("https://inpn.mnhn.fr/espece/cd_nom/462884","Cortinarius disjungundus P.Karst.")</f>
        <v>Cortinarius disjungundus P.Karst.</v>
      </c>
      <c r="V6149" s="7" t="str">
        <f>HYPERLINK("#Liste_rouge!A"&amp;_xlfn.XMATCH("DD",Liste_rouge!A:A,2,1),"DD")</f>
        <v>DD</v>
      </c>
      <c r="AH6149" s="4" t="str">
        <f>HYPERLINK("#Statut_biogéographique!A"&amp;_xlfn.XMATCH("P",Statut_biogéographique!A:A,2,1),"P")</f>
        <v>P</v>
      </c>
      <c r="AP6149" s="4" t="s">
        <v>376</v>
      </c>
      <c r="AR6149" s="4" t="s">
        <v>377</v>
      </c>
    </row>
    <row r="6150" spans="1:44">
      <c r="A6150" s="4" t="s">
        <v>5</v>
      </c>
      <c r="B6150" s="4">
        <v>462887</v>
      </c>
      <c r="C6150" s="4">
        <v>6448</v>
      </c>
      <c r="D6150" s="5" t="s">
        <v>8824</v>
      </c>
      <c r="E6150" s="6" t="str">
        <f>HYPERLINK("https://inpn.mnhn.fr/espece/cd_nom/462887","Cortinarius earinus Romagn., 1977")</f>
        <v>Cortinarius earinus Romagn., 1977</v>
      </c>
      <c r="AH6150" s="4" t="str">
        <f>HYPERLINK("#Statut_biogéographique!A"&amp;_xlfn.XMATCH("P",Statut_biogéographique!A:A,2,1),"P")</f>
        <v>P</v>
      </c>
      <c r="AP6150" s="4" t="s">
        <v>376</v>
      </c>
      <c r="AR6150" s="4" t="s">
        <v>377</v>
      </c>
    </row>
    <row r="6151" spans="1:44">
      <c r="A6151" s="4" t="s">
        <v>5</v>
      </c>
      <c r="B6151" s="4">
        <v>462891</v>
      </c>
      <c r="C6151" s="4">
        <v>5436</v>
      </c>
      <c r="D6151" s="5" t="s">
        <v>8825</v>
      </c>
      <c r="E6151" s="6" t="str">
        <f>HYPERLINK("https://inpn.mnhn.fr/espece/cd_nom/462891","Cortinarius duracinobtusus Rob.Henry, 1970")</f>
        <v>Cortinarius duracinobtusus Rob.Henry, 1970</v>
      </c>
      <c r="V6151" s="7" t="str">
        <f>HYPERLINK("#Liste_rouge!A"&amp;_xlfn.XMATCH("DD",Liste_rouge!A:A,2,1),"DD")</f>
        <v>DD</v>
      </c>
      <c r="AH6151" s="4" t="str">
        <f>HYPERLINK("#Statut_biogéographique!A"&amp;_xlfn.XMATCH("P",Statut_biogéographique!A:A,2,1),"P")</f>
        <v>P</v>
      </c>
      <c r="AP6151" s="4" t="s">
        <v>376</v>
      </c>
      <c r="AR6151" s="4" t="s">
        <v>377</v>
      </c>
    </row>
    <row r="6152" spans="1:44">
      <c r="A6152" s="4" t="s">
        <v>5</v>
      </c>
      <c r="B6152" s="4">
        <v>462902</v>
      </c>
      <c r="C6152" s="4">
        <v>3040</v>
      </c>
      <c r="D6152" s="5" t="s">
        <v>8826</v>
      </c>
      <c r="E6152" s="6" t="str">
        <f>HYPERLINK("https://inpn.mnhn.fr/espece/cd_nom/462902","Cortinarius inurbanus Britzelm., 1892")</f>
        <v>Cortinarius inurbanus Britzelm., 1892</v>
      </c>
      <c r="V6152" s="7" t="str">
        <f>HYPERLINK("#Liste_rouge!A"&amp;_xlfn.XMATCH("EN",Liste_rouge!A:A,2,1),"EN")</f>
        <v>EN</v>
      </c>
      <c r="W6152" s="4" t="str">
        <f>HYPERLINK("#Critères_liste_rouge!A$1","B2abiii")</f>
        <v>B2abiii</v>
      </c>
      <c r="Z6152" s="4" t="s">
        <v>443</v>
      </c>
      <c r="AA6152" s="4" t="s">
        <v>444</v>
      </c>
      <c r="AH6152" s="4" t="str">
        <f>HYPERLINK("#Statut_biogéographique!A"&amp;_xlfn.XMATCH("P",Statut_biogéographique!A:A,2,1),"P")</f>
        <v>P</v>
      </c>
      <c r="AP6152" s="4" t="s">
        <v>376</v>
      </c>
      <c r="AR6152" s="4" t="s">
        <v>377</v>
      </c>
    </row>
    <row r="6153" spans="1:44">
      <c r="A6153" s="4" t="s">
        <v>5</v>
      </c>
      <c r="B6153" s="4">
        <v>462903</v>
      </c>
      <c r="C6153" s="4">
        <v>3015</v>
      </c>
      <c r="D6153" s="5" t="s">
        <v>8827</v>
      </c>
      <c r="E6153" s="6" t="str">
        <f>HYPERLINK("https://inpn.mnhn.fr/espece/cd_nom/462903","Cortinarius intentus Fr., 1838")</f>
        <v>Cortinarius intentus Fr., 1838</v>
      </c>
      <c r="V6153" s="7" t="str">
        <f>HYPERLINK("#Liste_rouge!A"&amp;_xlfn.XMATCH("NT",Liste_rouge!A:A,2,1),"NT")</f>
        <v>NT</v>
      </c>
      <c r="W6153" s="4" t="str">
        <f>HYPERLINK("#Critères_liste_rouge!A$1","pr. B2a")</f>
        <v>pr. B2a</v>
      </c>
      <c r="AH6153" s="4" t="str">
        <f>HYPERLINK("#Statut_biogéographique!A"&amp;_xlfn.XMATCH("P",Statut_biogéographique!A:A,2,1),"P")</f>
        <v>P</v>
      </c>
      <c r="AP6153" s="4" t="s">
        <v>376</v>
      </c>
      <c r="AR6153" s="4" t="s">
        <v>377</v>
      </c>
    </row>
    <row r="6154" spans="1:44">
      <c r="A6154" s="4" t="s">
        <v>5</v>
      </c>
      <c r="B6154" s="4">
        <v>462906</v>
      </c>
      <c r="C6154" s="4">
        <v>5698</v>
      </c>
      <c r="D6154" s="5" t="s">
        <v>8828</v>
      </c>
      <c r="E6154" s="6" t="str">
        <f>HYPERLINK("https://inpn.mnhn.fr/espece/cd_nom/462906","Cortinarius imbricatoides Rob.Henry, 1989")</f>
        <v>Cortinarius imbricatoides Rob.Henry, 1989</v>
      </c>
      <c r="V6154" s="7" t="str">
        <f>HYPERLINK("#Liste_rouge!A"&amp;_xlfn.XMATCH("DD",Liste_rouge!A:A,2,1),"DD")</f>
        <v>DD</v>
      </c>
      <c r="AH6154" s="4" t="str">
        <f>HYPERLINK("#Statut_biogéographique!A"&amp;_xlfn.XMATCH("P",Statut_biogéographique!A:A,2,1),"P")</f>
        <v>P</v>
      </c>
      <c r="AP6154" s="4" t="s">
        <v>376</v>
      </c>
      <c r="AR6154" s="4" t="s">
        <v>377</v>
      </c>
    </row>
    <row r="6155" spans="1:44">
      <c r="A6155" s="4" t="s">
        <v>5</v>
      </c>
      <c r="B6155" s="4">
        <v>462911</v>
      </c>
      <c r="C6155" s="4">
        <v>6159</v>
      </c>
      <c r="D6155" s="5" t="s">
        <v>8829</v>
      </c>
      <c r="E6155" s="6" t="str">
        <f>HYPERLINK("https://inpn.mnhn.fr/espece/cd_nom/462911","Cortinarius impolitus Kauffman, 1918")</f>
        <v>Cortinarius impolitus Kauffman, 1918</v>
      </c>
      <c r="AH6155" s="4" t="str">
        <f>HYPERLINK("#Statut_biogéographique!A"&amp;_xlfn.XMATCH("P",Statut_biogéographique!A:A,2,1),"P")</f>
        <v>P</v>
      </c>
      <c r="AP6155" s="4" t="s">
        <v>376</v>
      </c>
      <c r="AR6155" s="4" t="s">
        <v>377</v>
      </c>
    </row>
    <row r="6156" spans="1:44" ht="30">
      <c r="A6156" s="4" t="s">
        <v>5</v>
      </c>
      <c r="B6156" s="4">
        <v>462920</v>
      </c>
      <c r="C6156" s="4">
        <v>3041</v>
      </c>
      <c r="D6156" s="5" t="s">
        <v>8830</v>
      </c>
      <c r="E6156" s="6" t="str">
        <f>HYPERLINK("https://inpn.mnhn.fr/espece/cd_nom/462920","Cortinarius inocyboides (Velen.) G.Garnier, 1991")</f>
        <v>Cortinarius inocyboides (Velen.) G.Garnier, 1991</v>
      </c>
      <c r="V6156" s="7" t="str">
        <f>HYPERLINK("#Liste_rouge!A"&amp;_xlfn.XMATCH("EN",Liste_rouge!A:A,2,1),"EN")</f>
        <v>EN</v>
      </c>
      <c r="W6156" s="4" t="str">
        <f>HYPERLINK("#Critères_liste_rouge!A$1","B2abiii")</f>
        <v>B2abiii</v>
      </c>
      <c r="Z6156" s="4" t="s">
        <v>447</v>
      </c>
      <c r="AA6156" s="4" t="s">
        <v>448</v>
      </c>
      <c r="AH6156" s="4" t="str">
        <f>HYPERLINK("#Statut_biogéographique!A"&amp;_xlfn.XMATCH("P",Statut_biogéographique!A:A,2,1),"P")</f>
        <v>P</v>
      </c>
      <c r="AP6156" s="4" t="s">
        <v>376</v>
      </c>
      <c r="AR6156" s="4" t="s">
        <v>377</v>
      </c>
    </row>
    <row r="6157" spans="1:44" ht="30">
      <c r="A6157" s="4" t="s">
        <v>5</v>
      </c>
      <c r="B6157" s="4">
        <v>462927</v>
      </c>
      <c r="C6157" s="4">
        <v>3093</v>
      </c>
      <c r="D6157" s="5" t="s">
        <v>8831</v>
      </c>
      <c r="E6157" s="6" t="str">
        <f>HYPERLINK("https://inpn.mnhn.fr/espece/cd_nom/462927","Cortinarius latobalteatus (Jul.Schäff.) M.M.Moser, 1967")</f>
        <v>Cortinarius latobalteatus (Jul.Schäff.) M.M.Moser, 1967</v>
      </c>
      <c r="V6157" s="7" t="str">
        <f>HYPERLINK("#Liste_rouge!A"&amp;_xlfn.XMATCH("EN",Liste_rouge!A:A,2,1),"EN")</f>
        <v>EN</v>
      </c>
      <c r="W6157" s="4" t="str">
        <f>HYPERLINK("#Critères_liste_rouge!A$1","B2abiii")</f>
        <v>B2abiii</v>
      </c>
      <c r="Z6157" s="4" t="s">
        <v>443</v>
      </c>
      <c r="AA6157" s="4" t="s">
        <v>444</v>
      </c>
      <c r="AH6157" s="4" t="str">
        <f>HYPERLINK("#Statut_biogéographique!A"&amp;_xlfn.XMATCH("P",Statut_biogéographique!A:A,2,1),"P")</f>
        <v>P</v>
      </c>
      <c r="AP6157" s="4" t="s">
        <v>376</v>
      </c>
      <c r="AR6157" s="4" t="s">
        <v>377</v>
      </c>
    </row>
    <row r="6158" spans="1:44">
      <c r="A6158" s="4" t="s">
        <v>5</v>
      </c>
      <c r="B6158" s="4">
        <v>462930</v>
      </c>
      <c r="C6158" s="4">
        <v>5890</v>
      </c>
      <c r="D6158" s="5" t="s">
        <v>8832</v>
      </c>
      <c r="E6158" s="6" t="str">
        <f>HYPERLINK("https://inpn.mnhn.fr/espece/cd_nom/462930","Cortinarius legitimus Britzelm., 1885")</f>
        <v>Cortinarius legitimus Britzelm., 1885</v>
      </c>
      <c r="AH6158" s="4" t="str">
        <f>HYPERLINK("#Statut_biogéographique!A"&amp;_xlfn.XMATCH("P",Statut_biogéographique!A:A,2,1),"P")</f>
        <v>P</v>
      </c>
      <c r="AP6158" s="4" t="s">
        <v>376</v>
      </c>
      <c r="AR6158" s="4" t="s">
        <v>377</v>
      </c>
    </row>
    <row r="6159" spans="1:44">
      <c r="A6159" s="4" t="s">
        <v>5</v>
      </c>
      <c r="B6159" s="4">
        <v>462936</v>
      </c>
      <c r="C6159" s="4">
        <v>1136</v>
      </c>
      <c r="D6159" s="5" t="s">
        <v>8833</v>
      </c>
      <c r="E6159" s="6" t="str">
        <f>HYPERLINK("https://inpn.mnhn.fr/espece/cd_nom/462936","Cortinarius leucophaetus R. Henry")</f>
        <v>Cortinarius leucophaetus R. Henry</v>
      </c>
      <c r="V6159" s="7" t="str">
        <f>HYPERLINK("#Liste_rouge!A"&amp;_xlfn.XMATCH("DD",Liste_rouge!A:A,2,1),"DD")</f>
        <v>DD</v>
      </c>
      <c r="AH6159" s="4" t="str">
        <f>HYPERLINK("#Statut_biogéographique!A"&amp;_xlfn.XMATCH("P",Statut_biogéographique!A:A,2,1),"P")</f>
        <v>P</v>
      </c>
      <c r="AP6159" s="4" t="s">
        <v>376</v>
      </c>
      <c r="AR6159" s="4" t="s">
        <v>377</v>
      </c>
    </row>
    <row r="6160" spans="1:44">
      <c r="A6160" s="4" t="s">
        <v>5</v>
      </c>
      <c r="B6160" s="4">
        <v>462947</v>
      </c>
      <c r="C6160" s="4">
        <v>835</v>
      </c>
      <c r="D6160" s="5" t="s">
        <v>8834</v>
      </c>
      <c r="E6160" s="6" t="str">
        <f>HYPERLINK("https://inpn.mnhn.fr/espece/cd_nom/462947","Cortinarius juranus (R. Henry) R. Henry")</f>
        <v>Cortinarius juranus (R. Henry) R. Henry</v>
      </c>
      <c r="F6160" s="5" t="s">
        <v>8835</v>
      </c>
      <c r="V6160" s="7" t="str">
        <f>HYPERLINK("#Liste_rouge!A"&amp;_xlfn.XMATCH("LC",Liste_rouge!A:A,2,1),"LC")</f>
        <v>LC</v>
      </c>
      <c r="AH6160" s="4" t="str">
        <f>HYPERLINK("#Statut_biogéographique!A"&amp;_xlfn.XMATCH("P",Statut_biogéographique!A:A,2,1),"P")</f>
        <v>P</v>
      </c>
      <c r="AP6160" s="4" t="s">
        <v>376</v>
      </c>
      <c r="AR6160" s="4" t="s">
        <v>377</v>
      </c>
    </row>
    <row r="6161" spans="1:44" ht="30">
      <c r="A6161" s="4" t="s">
        <v>5</v>
      </c>
      <c r="B6161" s="4">
        <v>462950</v>
      </c>
      <c r="C6161" s="4">
        <v>6063</v>
      </c>
      <c r="D6161" s="5" t="s">
        <v>8836</v>
      </c>
      <c r="E6161" s="6" t="str">
        <f>HYPERLINK("https://inpn.mnhn.fr/espece/cd_nom/462950","Cortinarius lacustris Moënne-Locc. &amp; Reumaux, 1997")</f>
        <v>Cortinarius lacustris Moënne-Locc. &amp; Reumaux, 1997</v>
      </c>
      <c r="AH6161" s="4" t="str">
        <f>HYPERLINK("#Statut_biogéographique!A"&amp;_xlfn.XMATCH("P",Statut_biogéographique!A:A,2,1),"P")</f>
        <v>P</v>
      </c>
      <c r="AP6161" s="4" t="s">
        <v>376</v>
      </c>
      <c r="AR6161" s="4" t="s">
        <v>377</v>
      </c>
    </row>
    <row r="6162" spans="1:44">
      <c r="A6162" s="4" t="s">
        <v>5</v>
      </c>
      <c r="B6162" s="4">
        <v>462957</v>
      </c>
      <c r="C6162" s="4">
        <v>2988</v>
      </c>
      <c r="D6162" s="5" t="s">
        <v>8837</v>
      </c>
      <c r="E6162" s="6" t="str">
        <f>HYPERLINK("https://inpn.mnhn.fr/espece/cd_nom/462957","Cortinarius caerulescens (Schaeff.) Fr., 1838")</f>
        <v>Cortinarius caerulescens (Schaeff.) Fr., 1838</v>
      </c>
      <c r="O6162" s="7" t="str">
        <f>HYPERLINK("#Liste_rouge!A"&amp;_xlfn.XMATCH("VU",Liste_rouge!A:A,2,1),"VU")</f>
        <v>VU</v>
      </c>
      <c r="V6162" s="7" t="str">
        <f>HYPERLINK("#Liste_rouge!A"&amp;_xlfn.XMATCH("LC",Liste_rouge!A:A,2,1),"LC")</f>
        <v>LC</v>
      </c>
      <c r="AH6162" s="4" t="str">
        <f>HYPERLINK("#Statut_biogéographique!A"&amp;_xlfn.XMATCH("P",Statut_biogéographique!A:A,2,1),"P")</f>
        <v>P</v>
      </c>
      <c r="AP6162" s="4" t="s">
        <v>376</v>
      </c>
      <c r="AR6162" s="4" t="s">
        <v>377</v>
      </c>
    </row>
    <row r="6163" spans="1:44" ht="30">
      <c r="A6163" s="4" t="s">
        <v>5</v>
      </c>
      <c r="B6163" s="4">
        <v>462963</v>
      </c>
      <c r="C6163" s="4">
        <v>3039</v>
      </c>
      <c r="D6163" s="5" t="s">
        <v>8838</v>
      </c>
      <c r="E6163" s="6" t="str">
        <f>HYPERLINK("https://inpn.mnhn.fr/espece/cd_nom/462963","Cortinarius griseascens Rob.Henry ex Bidaud, Moënne-Locc. &amp; Reumaux, 1997")</f>
        <v>Cortinarius griseascens Rob.Henry ex Bidaud, Moënne-Locc. &amp; Reumaux, 1997</v>
      </c>
      <c r="V6163" s="7" t="str">
        <f>HYPERLINK("#Liste_rouge!A"&amp;_xlfn.XMATCH("EN",Liste_rouge!A:A,2,1),"EN")</f>
        <v>EN</v>
      </c>
      <c r="W6163" s="4" t="str">
        <f>HYPERLINK("#Critères_liste_rouge!A$1","B2abiii")</f>
        <v>B2abiii</v>
      </c>
      <c r="Z6163" s="4" t="s">
        <v>443</v>
      </c>
      <c r="AA6163" s="4" t="s">
        <v>444</v>
      </c>
      <c r="AH6163" s="4" t="str">
        <f>HYPERLINK("#Statut_biogéographique!A"&amp;_xlfn.XMATCH("P",Statut_biogéographique!A:A,2,1),"P")</f>
        <v>P</v>
      </c>
      <c r="AP6163" s="4" t="s">
        <v>376</v>
      </c>
      <c r="AR6163" s="4" t="s">
        <v>377</v>
      </c>
    </row>
    <row r="6164" spans="1:44">
      <c r="A6164" s="4" t="s">
        <v>5</v>
      </c>
      <c r="B6164" s="4">
        <v>462966</v>
      </c>
      <c r="C6164" s="4">
        <v>5888</v>
      </c>
      <c r="D6164" s="5" t="s">
        <v>8839</v>
      </c>
      <c r="E6164" s="6" t="str">
        <f>HYPERLINK("https://inpn.mnhn.fr/espece/cd_nom/462966","Cortinarius gratus Reumaux, 2008")</f>
        <v>Cortinarius gratus Reumaux, 2008</v>
      </c>
      <c r="AH6164" s="4" t="str">
        <f>HYPERLINK("#Statut_biogéographique!A"&amp;_xlfn.XMATCH("P",Statut_biogéographique!A:A,2,1),"P")</f>
        <v>P</v>
      </c>
      <c r="AP6164" s="4" t="s">
        <v>376</v>
      </c>
      <c r="AR6164" s="4" t="s">
        <v>377</v>
      </c>
    </row>
    <row r="6165" spans="1:44" ht="30">
      <c r="A6165" s="4" t="s">
        <v>5</v>
      </c>
      <c r="B6165" s="4">
        <v>462977</v>
      </c>
      <c r="C6165" s="4">
        <v>2233</v>
      </c>
      <c r="D6165" s="5" t="s">
        <v>8840</v>
      </c>
      <c r="E6165" s="6" t="str">
        <f>HYPERLINK("https://inpn.mnhn.fr/espece/cd_nom/462977","Cortinarius giacomoi Bidaud, Moënne-Locc. &amp; Reumaux, 2000")</f>
        <v>Cortinarius giacomoi Bidaud, Moënne-Locc. &amp; Reumaux, 2000</v>
      </c>
      <c r="V6165" s="7" t="str">
        <f>HYPERLINK("#Liste_rouge!A"&amp;_xlfn.XMATCH("LC",Liste_rouge!A:A,2,1),"LC")</f>
        <v>LC</v>
      </c>
      <c r="AH6165" s="4" t="str">
        <f>HYPERLINK("#Statut_biogéographique!A"&amp;_xlfn.XMATCH("P",Statut_biogéographique!A:A,2,1),"P")</f>
        <v>P</v>
      </c>
      <c r="AP6165" s="4" t="s">
        <v>376</v>
      </c>
      <c r="AR6165" s="4" t="s">
        <v>377</v>
      </c>
    </row>
    <row r="6166" spans="1:44" ht="30">
      <c r="A6166" s="4" t="s">
        <v>5</v>
      </c>
      <c r="B6166" s="4">
        <v>462986</v>
      </c>
      <c r="C6166" s="4">
        <v>5697</v>
      </c>
      <c r="D6166" s="5" t="s">
        <v>8841</v>
      </c>
      <c r="E6166" s="6" t="str">
        <f>HYPERLINK("https://inpn.mnhn.fr/espece/cd_nom/462986","Cortinarius hygrophilus Bidaud, Fillion &amp; Moënne-Locc., 2000")</f>
        <v>Cortinarius hygrophilus Bidaud, Fillion &amp; Moënne-Locc., 2000</v>
      </c>
      <c r="V6166" s="7" t="str">
        <f>HYPERLINK("#Liste_rouge!A"&amp;_xlfn.XMATCH("DD",Liste_rouge!A:A,2,1),"DD")</f>
        <v>DD</v>
      </c>
      <c r="Z6166" s="4" t="s">
        <v>443</v>
      </c>
      <c r="AA6166" s="4" t="s">
        <v>444</v>
      </c>
      <c r="AH6166" s="4" t="str">
        <f>HYPERLINK("#Statut_biogéographique!A"&amp;_xlfn.XMATCH("P",Statut_biogéographique!A:A,2,1),"P")</f>
        <v>P</v>
      </c>
      <c r="AP6166" s="4" t="s">
        <v>376</v>
      </c>
      <c r="AR6166" s="4" t="s">
        <v>377</v>
      </c>
    </row>
    <row r="6167" spans="1:44">
      <c r="A6167" s="4" t="s">
        <v>5</v>
      </c>
      <c r="B6167" s="4">
        <v>462996</v>
      </c>
      <c r="C6167" s="4">
        <v>3035</v>
      </c>
      <c r="D6167" s="5" t="s">
        <v>8842</v>
      </c>
      <c r="E6167" s="6" t="str">
        <f>HYPERLINK("https://inpn.mnhn.fr/espece/cd_nom/462996","Cortinarius hysginicolor Bidaud, 1995")</f>
        <v>Cortinarius hysginicolor Bidaud, 1995</v>
      </c>
      <c r="V6167" s="7" t="str">
        <f>HYPERLINK("#Liste_rouge!A"&amp;_xlfn.XMATCH("EN",Liste_rouge!A:A,2,1),"EN")</f>
        <v>EN</v>
      </c>
      <c r="W6167" s="4" t="str">
        <f>HYPERLINK("#Critères_liste_rouge!A$1","B2abiii")</f>
        <v>B2abiii</v>
      </c>
      <c r="Z6167" s="4" t="s">
        <v>443</v>
      </c>
      <c r="AA6167" s="4" t="s">
        <v>444</v>
      </c>
      <c r="AH6167" s="4" t="str">
        <f>HYPERLINK("#Statut_biogéographique!A"&amp;_xlfn.XMATCH("P",Statut_biogéographique!A:A,2,1),"P")</f>
        <v>P</v>
      </c>
      <c r="AP6167" s="4" t="s">
        <v>376</v>
      </c>
      <c r="AR6167" s="4" t="s">
        <v>377</v>
      </c>
    </row>
    <row r="6168" spans="1:44">
      <c r="A6168" s="4" t="s">
        <v>5</v>
      </c>
      <c r="B6168" s="4">
        <v>463001</v>
      </c>
      <c r="C6168" s="4">
        <v>6849</v>
      </c>
      <c r="D6168" s="5" t="s">
        <v>8843</v>
      </c>
      <c r="E6168" s="6" t="str">
        <f>HYPERLINK("https://inpn.mnhn.fr/espece/cd_nom/463001","Cortinarius humolens Brandrud, 1998")</f>
        <v>Cortinarius humolens Brandrud, 1998</v>
      </c>
      <c r="AH6168" s="4" t="str">
        <f>HYPERLINK("#Statut_biogéographique!A"&amp;_xlfn.XMATCH("P",Statut_biogéographique!A:A,2,1),"P")</f>
        <v>P</v>
      </c>
      <c r="AP6168" s="4" t="s">
        <v>376</v>
      </c>
      <c r="AR6168" s="4" t="s">
        <v>377</v>
      </c>
    </row>
    <row r="6169" spans="1:44">
      <c r="A6169" s="4" t="s">
        <v>5</v>
      </c>
      <c r="B6169" s="4">
        <v>463005</v>
      </c>
      <c r="C6169" s="4">
        <v>4151</v>
      </c>
      <c r="D6169" s="5" t="s">
        <v>8844</v>
      </c>
      <c r="E6169" s="6" t="str">
        <f>HYPERLINK("https://inpn.mnhn.fr/espece/cd_nom/463005","Cortinarius herbarum Rob.Henry, 1952")</f>
        <v>Cortinarius herbarum Rob.Henry, 1952</v>
      </c>
      <c r="V6169" s="7" t="str">
        <f>HYPERLINK("#Liste_rouge!A"&amp;_xlfn.XMATCH("DD",Liste_rouge!A:A,2,1),"DD")</f>
        <v>DD</v>
      </c>
      <c r="AH6169" s="4" t="str">
        <f>HYPERLINK("#Statut_biogéographique!A"&amp;_xlfn.XMATCH("P",Statut_biogéographique!A:A,2,1),"P")</f>
        <v>P</v>
      </c>
      <c r="AP6169" s="4" t="s">
        <v>376</v>
      </c>
      <c r="AR6169" s="4" t="s">
        <v>377</v>
      </c>
    </row>
    <row r="6170" spans="1:44" ht="30">
      <c r="A6170" s="4" t="s">
        <v>5</v>
      </c>
      <c r="B6170" s="4">
        <v>463008</v>
      </c>
      <c r="C6170" s="4">
        <v>4314</v>
      </c>
      <c r="D6170" s="5" t="s">
        <v>8845</v>
      </c>
      <c r="E6170" s="6" t="str">
        <f>HYPERLINK("https://inpn.mnhn.fr/espece/cd_nom/463008","Cortinarius hoffmannii (Reumaux) Reumaux, 2001")</f>
        <v>Cortinarius hoffmannii (Reumaux) Reumaux, 2001</v>
      </c>
      <c r="V6170" s="7" t="str">
        <f>HYPERLINK("#Liste_rouge!A"&amp;_xlfn.XMATCH("DD",Liste_rouge!A:A,2,1),"DD")</f>
        <v>DD</v>
      </c>
      <c r="AH6170" s="4" t="str">
        <f>HYPERLINK("#Statut_biogéographique!A"&amp;_xlfn.XMATCH("P",Statut_biogéographique!A:A,2,1),"P")</f>
        <v>P</v>
      </c>
      <c r="AP6170" s="4" t="s">
        <v>376</v>
      </c>
      <c r="AR6170" s="4" t="s">
        <v>377</v>
      </c>
    </row>
    <row r="6171" spans="1:44" ht="30">
      <c r="A6171" s="4" t="s">
        <v>5</v>
      </c>
      <c r="B6171" s="4">
        <v>463012</v>
      </c>
      <c r="C6171" s="4">
        <v>3235</v>
      </c>
      <c r="D6171" s="5" t="s">
        <v>8846</v>
      </c>
      <c r="E6171" s="6" t="str">
        <f>HYPERLINK("https://inpn.mnhn.fr/espece/cd_nom/463012","Cortinarius hinnuleoradicatus Bidaud, Moënne-Locc. &amp; Reumaux, 1997")</f>
        <v>Cortinarius hinnuleoradicatus Bidaud, Moënne-Locc. &amp; Reumaux, 1997</v>
      </c>
      <c r="V6171" s="7" t="str">
        <f>HYPERLINK("#Liste_rouge!A"&amp;_xlfn.XMATCH("DD",Liste_rouge!A:A,2,1),"DD")</f>
        <v>DD</v>
      </c>
      <c r="AH6171" s="4" t="str">
        <f>HYPERLINK("#Statut_biogéographique!A"&amp;_xlfn.XMATCH("P",Statut_biogéographique!A:A,2,1),"P")</f>
        <v>P</v>
      </c>
      <c r="AP6171" s="4" t="s">
        <v>376</v>
      </c>
      <c r="AR6171" s="4" t="s">
        <v>377</v>
      </c>
    </row>
    <row r="6172" spans="1:44">
      <c r="A6172" s="4" t="s">
        <v>5</v>
      </c>
      <c r="B6172" s="4">
        <v>463016</v>
      </c>
      <c r="C6172" s="4">
        <v>6089</v>
      </c>
      <c r="D6172" s="5" t="s">
        <v>8847</v>
      </c>
      <c r="E6172" s="6" t="str">
        <f>HYPERLINK("https://inpn.mnhn.fr/espece/cd_nom/463016","Cortinarius hircinoides Reumaux, 2002")</f>
        <v>Cortinarius hircinoides Reumaux, 2002</v>
      </c>
      <c r="F6172" s="5" t="s">
        <v>8848</v>
      </c>
      <c r="AH6172" s="4" t="str">
        <f>HYPERLINK("#Statut_biogéographique!A"&amp;_xlfn.XMATCH("P",Statut_biogéographique!A:A,2,1),"P")</f>
        <v>P</v>
      </c>
      <c r="AP6172" s="4" t="s">
        <v>376</v>
      </c>
      <c r="AR6172" s="4" t="s">
        <v>377</v>
      </c>
    </row>
    <row r="6173" spans="1:44">
      <c r="A6173" s="4" t="s">
        <v>5</v>
      </c>
      <c r="B6173" s="4">
        <v>463026</v>
      </c>
      <c r="C6173" s="4">
        <v>3837</v>
      </c>
      <c r="D6173" s="5" t="s">
        <v>8849</v>
      </c>
      <c r="E6173" s="6" t="str">
        <f>HYPERLINK("https://inpn.mnhn.fr/espece/cd_nom/463026","Cortinarius arvinaceus Fr., 1838")</f>
        <v>Cortinarius arvinaceus Fr., 1838</v>
      </c>
      <c r="V6173" s="7" t="str">
        <f>HYPERLINK("#Liste_rouge!A"&amp;_xlfn.XMATCH("EN",Liste_rouge!A:A,2,1),"EN")</f>
        <v>EN</v>
      </c>
      <c r="W6173" s="4" t="str">
        <f>HYPERLINK("#Critères_liste_rouge!A$1","B2abiii")</f>
        <v>B2abiii</v>
      </c>
      <c r="Z6173" s="4" t="s">
        <v>447</v>
      </c>
      <c r="AA6173" s="4" t="s">
        <v>448</v>
      </c>
      <c r="AH6173" s="4" t="str">
        <f>HYPERLINK("#Statut_biogéographique!A"&amp;_xlfn.XMATCH("P",Statut_biogéographique!A:A,2,1),"P")</f>
        <v>P</v>
      </c>
      <c r="AP6173" s="4" t="s">
        <v>376</v>
      </c>
      <c r="AR6173" s="4" t="s">
        <v>377</v>
      </c>
    </row>
    <row r="6174" spans="1:44" ht="30">
      <c r="A6174" s="4" t="s">
        <v>5</v>
      </c>
      <c r="B6174" s="4">
        <v>463028</v>
      </c>
      <c r="C6174" s="4">
        <v>1664</v>
      </c>
      <c r="D6174" s="5" t="s">
        <v>8850</v>
      </c>
      <c r="E6174" s="6" t="str">
        <f>HYPERLINK("https://inpn.mnhn.fr/espece/cd_nom/463028","Cortinarius arquatus (Alb. &amp; Schwein.) Fr., 1838")</f>
        <v>Cortinarius arquatus (Alb. &amp; Schwein.) Fr., 1838</v>
      </c>
      <c r="V6174" s="7" t="str">
        <f>HYPERLINK("#Liste_rouge!A"&amp;_xlfn.XMATCH("LC",Liste_rouge!A:A,2,1),"LC")</f>
        <v>LC</v>
      </c>
      <c r="Z6174" s="4" t="s">
        <v>443</v>
      </c>
      <c r="AA6174" s="4" t="s">
        <v>444</v>
      </c>
      <c r="AH6174" s="4" t="str">
        <f>HYPERLINK("#Statut_biogéographique!A"&amp;_xlfn.XMATCH("P",Statut_biogéographique!A:A,2,1),"P")</f>
        <v>P</v>
      </c>
      <c r="AP6174" s="4" t="s">
        <v>376</v>
      </c>
      <c r="AR6174" s="4" t="s">
        <v>377</v>
      </c>
    </row>
    <row r="6175" spans="1:44">
      <c r="A6175" s="4" t="s">
        <v>5</v>
      </c>
      <c r="B6175" s="4">
        <v>463037</v>
      </c>
      <c r="C6175" s="4">
        <v>2624</v>
      </c>
      <c r="D6175" s="5" t="s">
        <v>8851</v>
      </c>
      <c r="E6175" s="6" t="str">
        <f>HYPERLINK("https://inpn.mnhn.fr/espece/cd_nom/463037","Cortinarius arenatus (Pers.) Fr., 1838")</f>
        <v>Cortinarius arenatus (Pers.) Fr., 1838</v>
      </c>
      <c r="V6175" s="7" t="str">
        <f>HYPERLINK("#Liste_rouge!A"&amp;_xlfn.XMATCH("EN",Liste_rouge!A:A,2,1),"EN")</f>
        <v>EN</v>
      </c>
      <c r="W6175" s="4" t="str">
        <f>HYPERLINK("#Critères_liste_rouge!A$1","B2abiii")</f>
        <v>B2abiii</v>
      </c>
      <c r="Z6175" s="4" t="s">
        <v>443</v>
      </c>
      <c r="AA6175" s="4" t="s">
        <v>444</v>
      </c>
      <c r="AH6175" s="4" t="str">
        <f>HYPERLINK("#Statut_biogéographique!A"&amp;_xlfn.XMATCH("P",Statut_biogéographique!A:A,2,1),"P")</f>
        <v>P</v>
      </c>
      <c r="AP6175" s="4" t="s">
        <v>376</v>
      </c>
      <c r="AR6175" s="4" t="s">
        <v>377</v>
      </c>
    </row>
    <row r="6176" spans="1:44">
      <c r="A6176" s="4" t="s">
        <v>5</v>
      </c>
      <c r="B6176" s="4">
        <v>463042</v>
      </c>
      <c r="C6176" s="4">
        <v>4049</v>
      </c>
      <c r="D6176" s="5" t="s">
        <v>8852</v>
      </c>
      <c r="E6176" s="6" t="str">
        <f>HYPERLINK("https://inpn.mnhn.fr/espece/cd_nom/463042","Cortinarius argilopallidus J. Schäffer")</f>
        <v>Cortinarius argilopallidus J. Schäffer</v>
      </c>
      <c r="F6176" s="5" t="s">
        <v>8853</v>
      </c>
      <c r="V6176" s="7" t="str">
        <f>HYPERLINK("#Liste_rouge!A"&amp;_xlfn.XMATCH("DD",Liste_rouge!A:A,2,1),"DD")</f>
        <v>DD</v>
      </c>
      <c r="AH6176" s="4" t="str">
        <f>HYPERLINK("#Statut_biogéographique!A"&amp;_xlfn.XMATCH("P",Statut_biogéographique!A:A,2,1),"P")</f>
        <v>P</v>
      </c>
      <c r="AP6176" s="4" t="s">
        <v>376</v>
      </c>
      <c r="AR6176" s="4" t="s">
        <v>377</v>
      </c>
    </row>
    <row r="6177" spans="1:44">
      <c r="A6177" s="4" t="s">
        <v>5</v>
      </c>
      <c r="B6177" s="4">
        <v>463044</v>
      </c>
      <c r="C6177" s="4">
        <v>6120</v>
      </c>
      <c r="D6177" s="5" t="s">
        <v>8854</v>
      </c>
      <c r="E6177" s="6" t="str">
        <f>HYPERLINK("https://inpn.mnhn.fr/espece/cd_nom/463044","Cortinarius argutiformis Rob.Henry, 1961")</f>
        <v>Cortinarius argutiformis Rob.Henry, 1961</v>
      </c>
      <c r="AH6177" s="4" t="str">
        <f>HYPERLINK("#Statut_biogéographique!A"&amp;_xlfn.XMATCH("P",Statut_biogéographique!A:A,2,1),"P")</f>
        <v>P</v>
      </c>
      <c r="AP6177" s="4" t="s">
        <v>376</v>
      </c>
      <c r="AR6177" s="4" t="s">
        <v>377</v>
      </c>
    </row>
    <row r="6178" spans="1:44">
      <c r="A6178" s="4" t="s">
        <v>5</v>
      </c>
      <c r="B6178" s="4">
        <v>463047</v>
      </c>
      <c r="C6178" s="4">
        <v>5470</v>
      </c>
      <c r="D6178" s="5" t="s">
        <v>8855</v>
      </c>
      <c r="E6178" s="6" t="str">
        <f>HYPERLINK("https://inpn.mnhn.fr/espece/cd_nom/463047","Cortinarius aurantiotinctus Bidaud, 2001")</f>
        <v>Cortinarius aurantiotinctus Bidaud, 2001</v>
      </c>
      <c r="V6178" s="7" t="str">
        <f>HYPERLINK("#Liste_rouge!A"&amp;_xlfn.XMATCH("DD",Liste_rouge!A:A,2,1),"DD")</f>
        <v>DD</v>
      </c>
      <c r="Z6178" s="4" t="s">
        <v>443</v>
      </c>
      <c r="AA6178" s="4" t="s">
        <v>444</v>
      </c>
      <c r="AH6178" s="4" t="str">
        <f>HYPERLINK("#Statut_biogéographique!A"&amp;_xlfn.XMATCH("P",Statut_biogéographique!A:A,2,1),"P")</f>
        <v>P</v>
      </c>
      <c r="AP6178" s="4" t="s">
        <v>376</v>
      </c>
      <c r="AR6178" s="4" t="s">
        <v>377</v>
      </c>
    </row>
    <row r="6179" spans="1:44" ht="30">
      <c r="A6179" s="4" t="s">
        <v>5</v>
      </c>
      <c r="B6179" s="4">
        <v>463053</v>
      </c>
      <c r="C6179" s="4">
        <v>2185</v>
      </c>
      <c r="D6179" s="5" t="s">
        <v>8856</v>
      </c>
      <c r="E6179" s="6" t="str">
        <f>HYPERLINK("https://inpn.mnhn.fr/espece/cd_nom/463053","Cortinarius barbarorum Bidaud, Moënne-Locc. &amp; Reumaux, 2001")</f>
        <v>Cortinarius barbarorum Bidaud, Moënne-Locc. &amp; Reumaux, 2001</v>
      </c>
      <c r="V6179" s="7" t="str">
        <f>HYPERLINK("#Liste_rouge!A"&amp;_xlfn.XMATCH("LC",Liste_rouge!A:A,2,1),"LC")</f>
        <v>LC</v>
      </c>
      <c r="AH6179" s="4" t="str">
        <f>HYPERLINK("#Statut_biogéographique!A"&amp;_xlfn.XMATCH("P",Statut_biogéographique!A:A,2,1),"P")</f>
        <v>P</v>
      </c>
      <c r="AP6179" s="4" t="s">
        <v>376</v>
      </c>
      <c r="AR6179" s="4" t="s">
        <v>377</v>
      </c>
    </row>
    <row r="6180" spans="1:44" ht="30">
      <c r="A6180" s="4" t="s">
        <v>5</v>
      </c>
      <c r="B6180" s="4">
        <v>463064</v>
      </c>
      <c r="C6180" s="4">
        <v>5519</v>
      </c>
      <c r="D6180" s="5" t="s">
        <v>8857</v>
      </c>
      <c r="E6180" s="6" t="str">
        <f>HYPERLINK("https://inpn.mnhn.fr/espece/cd_nom/463064","Cortinarius basililaceus A.Pearson ex P.D.Orton, 1984")</f>
        <v>Cortinarius basililaceus A.Pearson ex P.D.Orton, 1984</v>
      </c>
      <c r="V6180" s="7" t="str">
        <f>HYPERLINK("#Liste_rouge!A"&amp;_xlfn.XMATCH("DD",Liste_rouge!A:A,2,1),"DD")</f>
        <v>DD</v>
      </c>
      <c r="AH6180" s="4" t="str">
        <f>HYPERLINK("#Statut_biogéographique!A"&amp;_xlfn.XMATCH("P",Statut_biogéographique!A:A,2,1),"P")</f>
        <v>P</v>
      </c>
      <c r="AP6180" s="4" t="s">
        <v>376</v>
      </c>
      <c r="AR6180" s="4" t="s">
        <v>377</v>
      </c>
    </row>
    <row r="6181" spans="1:44">
      <c r="A6181" s="4" t="s">
        <v>5</v>
      </c>
      <c r="B6181" s="4">
        <v>463085</v>
      </c>
      <c r="C6181" s="4">
        <v>5623</v>
      </c>
      <c r="D6181" s="5" t="s">
        <v>8858</v>
      </c>
      <c r="E6181" s="6" t="str">
        <f>HYPERLINK("https://inpn.mnhn.fr/espece/cd_nom/463085","Cortinarius aleuriodor Rob.Henry, 1981")</f>
        <v>Cortinarius aleuriodor Rob.Henry, 1981</v>
      </c>
      <c r="F6181" s="5" t="s">
        <v>8859</v>
      </c>
      <c r="AH6181" s="4" t="str">
        <f>HYPERLINK("#Statut_biogéographique!A"&amp;_xlfn.XMATCH("P",Statut_biogéographique!A:A,2,1),"P")</f>
        <v>P</v>
      </c>
      <c r="AP6181" s="4" t="s">
        <v>376</v>
      </c>
      <c r="AR6181" s="4" t="s">
        <v>377</v>
      </c>
    </row>
    <row r="6182" spans="1:44">
      <c r="A6182" s="4" t="s">
        <v>5</v>
      </c>
      <c r="B6182" s="4">
        <v>463087</v>
      </c>
      <c r="C6182" s="4">
        <v>3549</v>
      </c>
      <c r="D6182" s="5" t="s">
        <v>8860</v>
      </c>
      <c r="E6182" s="6" t="str">
        <f>HYPERLINK("https://inpn.mnhn.fr/espece/cd_nom/463087","Cortinarius alborufescens Imler, 1955")</f>
        <v>Cortinarius alborufescens Imler, 1955</v>
      </c>
      <c r="V6182" s="7" t="str">
        <f>HYPERLINK("#Liste_rouge!A"&amp;_xlfn.XMATCH("DD",Liste_rouge!A:A,2,1),"DD")</f>
        <v>DD</v>
      </c>
      <c r="AH6182" s="4" t="str">
        <f>HYPERLINK("#Statut_biogéographique!A"&amp;_xlfn.XMATCH("P",Statut_biogéographique!A:A,2,1),"P")</f>
        <v>P</v>
      </c>
      <c r="AP6182" s="4" t="s">
        <v>376</v>
      </c>
      <c r="AR6182" s="4" t="s">
        <v>377</v>
      </c>
    </row>
    <row r="6183" spans="1:44">
      <c r="A6183" s="4" t="s">
        <v>5</v>
      </c>
      <c r="B6183" s="4">
        <v>463093</v>
      </c>
      <c r="C6183" s="4">
        <v>6323</v>
      </c>
      <c r="D6183" s="5" t="s">
        <v>8861</v>
      </c>
      <c r="E6183" s="6" t="str">
        <f>HYPERLINK("https://inpn.mnhn.fr/espece/cd_nom/463093","Cortinarius albocyaneus Fr., 1851")</f>
        <v>Cortinarius albocyaneus Fr., 1851</v>
      </c>
      <c r="AH6183" s="4" t="str">
        <f>HYPERLINK("#Statut_biogéographique!A"&amp;_xlfn.XMATCH("P",Statut_biogéographique!A:A,2,1),"P")</f>
        <v>P</v>
      </c>
      <c r="AP6183" s="4" t="s">
        <v>376</v>
      </c>
      <c r="AR6183" s="4" t="s">
        <v>377</v>
      </c>
    </row>
    <row r="6184" spans="1:44">
      <c r="A6184" s="4" t="s">
        <v>5</v>
      </c>
      <c r="B6184" s="4">
        <v>463095</v>
      </c>
      <c r="C6184" s="4">
        <v>6555</v>
      </c>
      <c r="D6184" s="5">
        <v>463095</v>
      </c>
      <c r="E6184" s="6" t="str">
        <f>HYPERLINK("https://inpn.mnhn.fr/espece/cd_nom/463095","Cortinarius unimodus Britzelm., 1885")</f>
        <v>Cortinarius unimodus Britzelm., 1885</v>
      </c>
      <c r="AH6184" s="4" t="str">
        <f>HYPERLINK("#Statut_biogéographique!A"&amp;_xlfn.XMATCH("P",Statut_biogéographique!A:A,2,1),"P")</f>
        <v>P</v>
      </c>
      <c r="AP6184" s="4" t="s">
        <v>376</v>
      </c>
      <c r="AR6184" s="4" t="s">
        <v>377</v>
      </c>
    </row>
    <row r="6185" spans="1:44">
      <c r="A6185" s="4" t="s">
        <v>5</v>
      </c>
      <c r="B6185" s="4">
        <v>463101</v>
      </c>
      <c r="C6185" s="4">
        <v>5636</v>
      </c>
      <c r="D6185" s="5" t="s">
        <v>8862</v>
      </c>
      <c r="E6185" s="6" t="str">
        <f>HYPERLINK("https://inpn.mnhn.fr/espece/cd_nom/463101","Cortinarius acutostriatulus Rob.Henry, 1968")</f>
        <v>Cortinarius acutostriatulus Rob.Henry, 1968</v>
      </c>
      <c r="V6185" s="7" t="str">
        <f>HYPERLINK("#Liste_rouge!A"&amp;_xlfn.XMATCH("DD",Liste_rouge!A:A,2,1),"DD")</f>
        <v>DD</v>
      </c>
      <c r="Z6185" s="4" t="s">
        <v>447</v>
      </c>
      <c r="AA6185" s="4" t="s">
        <v>448</v>
      </c>
      <c r="AH6185" s="4" t="str">
        <f>HYPERLINK("#Statut_biogéographique!A"&amp;_xlfn.XMATCH("P",Statut_biogéographique!A:A,2,1),"P")</f>
        <v>P</v>
      </c>
      <c r="AP6185" s="4" t="s">
        <v>376</v>
      </c>
      <c r="AR6185" s="4" t="s">
        <v>377</v>
      </c>
    </row>
    <row r="6186" spans="1:44">
      <c r="A6186" s="4" t="s">
        <v>5</v>
      </c>
      <c r="B6186" s="4">
        <v>463115</v>
      </c>
      <c r="C6186" s="4">
        <v>2978</v>
      </c>
      <c r="D6186" s="5">
        <v>463115</v>
      </c>
      <c r="E6186" s="6" t="str">
        <f>HYPERLINK("https://inpn.mnhn.fr/espece/cd_nom/463115","Cortinarius angelesianus A.H.Sm., 1944")</f>
        <v>Cortinarius angelesianus A.H.Sm., 1944</v>
      </c>
      <c r="V6186" s="7" t="str">
        <f>HYPERLINK("#Liste_rouge!A"&amp;_xlfn.XMATCH("EN",Liste_rouge!A:A,2,1),"EN")</f>
        <v>EN</v>
      </c>
      <c r="W6186" s="4" t="str">
        <f>HYPERLINK("#Critères_liste_rouge!A$1","B2abiii")</f>
        <v>B2abiii</v>
      </c>
      <c r="Z6186" s="4" t="s">
        <v>447</v>
      </c>
      <c r="AA6186" s="4" t="s">
        <v>448</v>
      </c>
      <c r="AH6186" s="4" t="str">
        <f>HYPERLINK("#Statut_biogéographique!A"&amp;_xlfn.XMATCH("P",Statut_biogéographique!A:A,2,1),"P")</f>
        <v>P</v>
      </c>
      <c r="AP6186" s="4" t="s">
        <v>376</v>
      </c>
      <c r="AR6186" s="4" t="s">
        <v>377</v>
      </c>
    </row>
    <row r="6187" spans="1:44" ht="30">
      <c r="A6187" s="4" t="s">
        <v>5</v>
      </c>
      <c r="B6187" s="4">
        <v>463119</v>
      </c>
      <c r="C6187" s="4">
        <v>4533</v>
      </c>
      <c r="D6187" s="5" t="s">
        <v>8863</v>
      </c>
      <c r="E6187" s="6" t="str">
        <f>HYPERLINK("https://inpn.mnhn.fr/espece/cd_nom/463119","Cortinarius anomalochrascens Chevassut &amp; Rob.Henry, 1986")</f>
        <v>Cortinarius anomalochrascens Chevassut &amp; Rob.Henry, 1986</v>
      </c>
      <c r="V6187" s="7" t="str">
        <f>HYPERLINK("#Liste_rouge!A"&amp;_xlfn.XMATCH("DD",Liste_rouge!A:A,2,1),"DD")</f>
        <v>DD</v>
      </c>
      <c r="AH6187" s="4" t="str">
        <f>HYPERLINK("#Statut_biogéographique!A"&amp;_xlfn.XMATCH("P",Statut_biogéographique!A:A,2,1),"P")</f>
        <v>P</v>
      </c>
      <c r="AP6187" s="4" t="s">
        <v>376</v>
      </c>
      <c r="AR6187" s="4" t="s">
        <v>377</v>
      </c>
    </row>
    <row r="6188" spans="1:44">
      <c r="A6188" s="4" t="s">
        <v>5</v>
      </c>
      <c r="B6188" s="4">
        <v>463127</v>
      </c>
      <c r="C6188" s="4">
        <v>6555</v>
      </c>
      <c r="D6188" s="5" t="s">
        <v>8864</v>
      </c>
      <c r="E6188" s="6" t="str">
        <f>HYPERLINK("https://inpn.mnhn.fr/espece/cd_nom/463127","Cortinarius unimodus Britzelm., 1885")</f>
        <v>Cortinarius unimodus Britzelm., 1885</v>
      </c>
      <c r="AH6188" s="4" t="str">
        <f>HYPERLINK("#Statut_biogéographique!A"&amp;_xlfn.XMATCH("P",Statut_biogéographique!A:A,2,1),"P")</f>
        <v>P</v>
      </c>
      <c r="AP6188" s="4" t="s">
        <v>376</v>
      </c>
      <c r="AR6188" s="4" t="s">
        <v>377</v>
      </c>
    </row>
    <row r="6189" spans="1:44">
      <c r="A6189" s="4" t="s">
        <v>5</v>
      </c>
      <c r="B6189" s="4">
        <v>463128</v>
      </c>
      <c r="C6189" s="4">
        <v>3704</v>
      </c>
      <c r="D6189" s="5" t="s">
        <v>8865</v>
      </c>
      <c r="E6189" s="6" t="str">
        <f>HYPERLINK("https://inpn.mnhn.fr/espece/cd_nom/463128","Cortinarius alutaceofulvus Britzelm., 1894")</f>
        <v>Cortinarius alutaceofulvus Britzelm., 1894</v>
      </c>
      <c r="V6189" s="7" t="str">
        <f>HYPERLINK("#Liste_rouge!A"&amp;_xlfn.XMATCH("DD",Liste_rouge!A:A,2,1),"DD")</f>
        <v>DD</v>
      </c>
      <c r="AH6189" s="4" t="str">
        <f>HYPERLINK("#Statut_biogéographique!A"&amp;_xlfn.XMATCH("P",Statut_biogéographique!A:A,2,1),"P")</f>
        <v>P</v>
      </c>
      <c r="AP6189" s="4" t="s">
        <v>376</v>
      </c>
      <c r="AR6189" s="4" t="s">
        <v>377</v>
      </c>
    </row>
    <row r="6190" spans="1:44">
      <c r="A6190" s="4" t="s">
        <v>5</v>
      </c>
      <c r="B6190" s="4">
        <v>463129</v>
      </c>
      <c r="C6190" s="4">
        <v>1924</v>
      </c>
      <c r="D6190" s="5" t="s">
        <v>8866</v>
      </c>
      <c r="E6190" s="6" t="str">
        <f>HYPERLINK("https://inpn.mnhn.fr/espece/cd_nom/463129","Cortinarius bonamei Rob.Henry, 1970")</f>
        <v>Cortinarius bonamei Rob.Henry, 1970</v>
      </c>
      <c r="F6190" s="5" t="s">
        <v>8867</v>
      </c>
      <c r="V6190" s="7" t="str">
        <f>HYPERLINK("#Liste_rouge!A"&amp;_xlfn.XMATCH("VU",Liste_rouge!A:A,2,1),"VU")</f>
        <v>VU</v>
      </c>
      <c r="W6190" s="4" t="str">
        <f>HYPERLINK("#Critères_liste_rouge!A$1","B2abiii")</f>
        <v>B2abiii</v>
      </c>
      <c r="Z6190" s="4" t="s">
        <v>443</v>
      </c>
      <c r="AA6190" s="4" t="s">
        <v>444</v>
      </c>
      <c r="AH6190" s="4" t="str">
        <f>HYPERLINK("#Statut_biogéographique!A"&amp;_xlfn.XMATCH("P",Statut_biogéographique!A:A,2,1),"P")</f>
        <v>P</v>
      </c>
      <c r="AP6190" s="4" t="s">
        <v>376</v>
      </c>
      <c r="AR6190" s="4" t="s">
        <v>377</v>
      </c>
    </row>
    <row r="6191" spans="1:44">
      <c r="A6191" s="4" t="s">
        <v>5</v>
      </c>
      <c r="B6191" s="4">
        <v>46313</v>
      </c>
      <c r="C6191" s="4">
        <v>3127</v>
      </c>
      <c r="D6191" s="5" t="s">
        <v>8868</v>
      </c>
      <c r="E6191" s="6" t="str">
        <f>HYPERLINK("https://inpn.mnhn.fr/espece/cd_nom/46313","Cistella acuum (Alb. &amp; Schwein.) Svrček, 1959")</f>
        <v>Cistella acuum (Alb. &amp; Schwein.) Svrček, 1959</v>
      </c>
      <c r="AH6191" s="4" t="str">
        <f>HYPERLINK("#Statut_biogéographique!A"&amp;_xlfn.XMATCH("P",Statut_biogéographique!A:A,2,1),"P")</f>
        <v>P</v>
      </c>
      <c r="AP6191" s="4" t="s">
        <v>376</v>
      </c>
      <c r="AR6191" s="4" t="s">
        <v>377</v>
      </c>
    </row>
    <row r="6192" spans="1:44" ht="30">
      <c r="A6192" s="4" t="s">
        <v>5</v>
      </c>
      <c r="B6192" s="4">
        <v>463143</v>
      </c>
      <c r="C6192" s="4">
        <v>6121</v>
      </c>
      <c r="D6192" s="5">
        <v>510426</v>
      </c>
      <c r="E6192" s="6" t="str">
        <f>HYPERLINK("https://inpn.mnhn.fr/espece/cd_nom/463143","Cortinarius glaucopus var. fibrosipes (Britzelm.) Reumaux, 2008")</f>
        <v>Cortinarius glaucopus var. fibrosipes (Britzelm.) Reumaux, 2008</v>
      </c>
      <c r="AH6192" s="4" t="str">
        <f>HYPERLINK("#Statut_biogéographique!A"&amp;_xlfn.XMATCH("P",Statut_biogéographique!A:A,2,1),"P")</f>
        <v>P</v>
      </c>
      <c r="AP6192" s="4" t="s">
        <v>376</v>
      </c>
      <c r="AR6192" s="4" t="s">
        <v>377</v>
      </c>
    </row>
    <row r="6193" spans="1:44">
      <c r="A6193" s="4" t="s">
        <v>5</v>
      </c>
      <c r="B6193" s="4">
        <v>463150</v>
      </c>
      <c r="C6193" s="4">
        <v>5936</v>
      </c>
      <c r="D6193" s="5" t="s">
        <v>8869</v>
      </c>
      <c r="E6193" s="6" t="str">
        <f>HYPERLINK("https://inpn.mnhn.fr/espece/cd_nom/463150","Cortinarius collocandus Britzelm., 1892")</f>
        <v>Cortinarius collocandus Britzelm., 1892</v>
      </c>
      <c r="AH6193" s="4" t="str">
        <f>HYPERLINK("#Statut_biogéographique!A"&amp;_xlfn.XMATCH("P",Statut_biogéographique!A:A,2,1),"P")</f>
        <v>P</v>
      </c>
      <c r="AP6193" s="4" t="s">
        <v>376</v>
      </c>
      <c r="AR6193" s="4" t="s">
        <v>377</v>
      </c>
    </row>
    <row r="6194" spans="1:44">
      <c r="A6194" s="4" t="s">
        <v>5</v>
      </c>
      <c r="B6194" s="4">
        <v>463152</v>
      </c>
      <c r="C6194" s="4">
        <v>1837</v>
      </c>
      <c r="D6194" s="5">
        <v>510620</v>
      </c>
      <c r="E6194" s="6" t="str">
        <f>HYPERLINK("https://inpn.mnhn.fr/espece/cd_nom/463152","Cortinarius cylindripes Kauffman, 1905")</f>
        <v>Cortinarius cylindripes Kauffman, 1905</v>
      </c>
      <c r="F6194" s="5" t="s">
        <v>6409</v>
      </c>
      <c r="V6194" s="7" t="str">
        <f>HYPERLINK("#Liste_rouge!A"&amp;_xlfn.XMATCH("LC",Liste_rouge!A:A,2,1),"LC")</f>
        <v>LC</v>
      </c>
      <c r="Z6194" s="4" t="s">
        <v>447</v>
      </c>
      <c r="AA6194" s="4" t="s">
        <v>448</v>
      </c>
      <c r="AH6194" s="4" t="str">
        <f>HYPERLINK("#Statut_biogéographique!A"&amp;_xlfn.XMATCH("P",Statut_biogéographique!A:A,2,1),"P")</f>
        <v>P</v>
      </c>
      <c r="AP6194" s="4" t="s">
        <v>376</v>
      </c>
      <c r="AR6194" s="4" t="s">
        <v>377</v>
      </c>
    </row>
    <row r="6195" spans="1:44">
      <c r="A6195" s="4" t="s">
        <v>5</v>
      </c>
      <c r="B6195" s="4">
        <v>463154</v>
      </c>
      <c r="C6195" s="4">
        <v>5637</v>
      </c>
      <c r="D6195" s="5" t="s">
        <v>8870</v>
      </c>
      <c r="E6195" s="6" t="str">
        <f>HYPERLINK("https://inpn.mnhn.fr/espece/cd_nom/463154","Cortinarius cohabitans P.Karst., 1878")</f>
        <v>Cortinarius cohabitans P.Karst., 1878</v>
      </c>
      <c r="AH6195" s="4" t="str">
        <f>HYPERLINK("#Statut_biogéographique!A"&amp;_xlfn.XMATCH("P",Statut_biogéographique!A:A,2,1),"P")</f>
        <v>P</v>
      </c>
      <c r="AP6195" s="4" t="s">
        <v>376</v>
      </c>
      <c r="AR6195" s="4" t="s">
        <v>377</v>
      </c>
    </row>
    <row r="6196" spans="1:44">
      <c r="A6196" s="4" t="s">
        <v>5</v>
      </c>
      <c r="B6196" s="4">
        <v>463157</v>
      </c>
      <c r="C6196" s="4">
        <v>3044</v>
      </c>
      <c r="D6196" s="5" t="s">
        <v>8871</v>
      </c>
      <c r="E6196" s="6" t="str">
        <f>HYPERLINK("https://inpn.mnhn.fr/espece/cd_nom/463157","Cortinarius coalescens Kärcher &amp; Seibt, 1988")</f>
        <v>Cortinarius coalescens Kärcher &amp; Seibt, 1988</v>
      </c>
      <c r="V6196" s="7" t="str">
        <f>HYPERLINK("#Liste_rouge!A"&amp;_xlfn.XMATCH("DD",Liste_rouge!A:A,2,1),"DD")</f>
        <v>DD</v>
      </c>
      <c r="AH6196" s="4" t="str">
        <f>HYPERLINK("#Statut_biogéographique!A"&amp;_xlfn.XMATCH("P",Statut_biogéographique!A:A,2,1),"P")</f>
        <v>P</v>
      </c>
      <c r="AP6196" s="4" t="s">
        <v>376</v>
      </c>
      <c r="AR6196" s="4" t="s">
        <v>377</v>
      </c>
    </row>
    <row r="6197" spans="1:44">
      <c r="A6197" s="4" t="s">
        <v>5</v>
      </c>
      <c r="B6197" s="4">
        <v>463159</v>
      </c>
      <c r="C6197" s="4">
        <v>3837</v>
      </c>
      <c r="D6197" s="5">
        <v>510592</v>
      </c>
      <c r="E6197" s="6" t="str">
        <f>HYPERLINK("https://inpn.mnhn.fr/espece/cd_nom/463159","Cortinarius mucosus (Bull.) J.Kickx f., 1867")</f>
        <v>Cortinarius mucosus (Bull.) J.Kickx f., 1867</v>
      </c>
      <c r="V6197" s="7" t="str">
        <f>HYPERLINK("#Liste_rouge!A"&amp;_xlfn.XMATCH("EN",Liste_rouge!A:A,2,1),"EN")</f>
        <v>EN</v>
      </c>
      <c r="W6197" s="4" t="str">
        <f>HYPERLINK("#Critères_liste_rouge!A$1","B2abiii")</f>
        <v>B2abiii</v>
      </c>
      <c r="Z6197" s="4" t="s">
        <v>447</v>
      </c>
      <c r="AA6197" s="4" t="s">
        <v>448</v>
      </c>
      <c r="AH6197" s="4" t="str">
        <f>HYPERLINK("#Statut_biogéographique!A"&amp;_xlfn.XMATCH("P",Statut_biogéographique!A:A,2,1),"P")</f>
        <v>P</v>
      </c>
      <c r="AP6197" s="4" t="s">
        <v>376</v>
      </c>
      <c r="AR6197" s="4" t="s">
        <v>377</v>
      </c>
    </row>
    <row r="6198" spans="1:44">
      <c r="A6198" s="4" t="s">
        <v>5</v>
      </c>
      <c r="B6198" s="4">
        <v>463170</v>
      </c>
      <c r="C6198" s="4">
        <v>5800</v>
      </c>
      <c r="D6198" s="5" t="s">
        <v>8872</v>
      </c>
      <c r="E6198" s="6" t="str">
        <f>HYPERLINK("https://inpn.mnhn.fr/espece/cd_nom/463170","Cortinarius clarobaltoides Rob.Henry, 1989")</f>
        <v>Cortinarius clarobaltoides Rob.Henry, 1989</v>
      </c>
      <c r="AH6198" s="4" t="str">
        <f>HYPERLINK("#Statut_biogéographique!A"&amp;_xlfn.XMATCH("P",Statut_biogéographique!A:A,2,1),"P")</f>
        <v>P</v>
      </c>
      <c r="AP6198" s="4" t="s">
        <v>376</v>
      </c>
      <c r="AR6198" s="4" t="s">
        <v>377</v>
      </c>
    </row>
    <row r="6199" spans="1:44" ht="30">
      <c r="A6199" s="4" t="s">
        <v>5</v>
      </c>
      <c r="B6199" s="4">
        <v>463187</v>
      </c>
      <c r="C6199" s="4">
        <v>6088</v>
      </c>
      <c r="D6199" s="5" t="s">
        <v>8873</v>
      </c>
      <c r="E6199" s="6" t="str">
        <f>HYPERLINK("https://inpn.mnhn.fr/espece/cd_nom/463187","Cortinarius croceolutescens Rob.Henry ex Bidaud, Moënne-Locc. &amp; Reumaux, 2000")</f>
        <v>Cortinarius croceolutescens Rob.Henry ex Bidaud, Moënne-Locc. &amp; Reumaux, 2000</v>
      </c>
      <c r="AH6199" s="4" t="str">
        <f>HYPERLINK("#Statut_biogéographique!A"&amp;_xlfn.XMATCH("P",Statut_biogéographique!A:A,2,1),"P")</f>
        <v>P</v>
      </c>
      <c r="AP6199" s="4" t="s">
        <v>376</v>
      </c>
      <c r="AR6199" s="4" t="s">
        <v>377</v>
      </c>
    </row>
    <row r="6200" spans="1:44">
      <c r="A6200" s="4" t="s">
        <v>5</v>
      </c>
      <c r="B6200" s="4">
        <v>463189</v>
      </c>
      <c r="C6200" s="4">
        <v>3554</v>
      </c>
      <c r="D6200" s="5" t="s">
        <v>8874</v>
      </c>
      <c r="E6200" s="6" t="str">
        <f>HYPERLINK("https://inpn.mnhn.fr/espece/cd_nom/463189","Cortinarius lignicola Bidaud, 1994")</f>
        <v>Cortinarius lignicola Bidaud, 1994</v>
      </c>
      <c r="V6200" s="7" t="str">
        <f>HYPERLINK("#Liste_rouge!A"&amp;_xlfn.XMATCH("DD",Liste_rouge!A:A,2,1),"DD")</f>
        <v>DD</v>
      </c>
      <c r="AH6200" s="4" t="str">
        <f>HYPERLINK("#Statut_biogéographique!A"&amp;_xlfn.XMATCH("P",Statut_biogéographique!A:A,2,1),"P")</f>
        <v>P</v>
      </c>
      <c r="AP6200" s="4" t="s">
        <v>376</v>
      </c>
      <c r="AR6200" s="4" t="s">
        <v>377</v>
      </c>
    </row>
    <row r="6201" spans="1:44">
      <c r="A6201" s="4" t="s">
        <v>5</v>
      </c>
      <c r="B6201" s="4">
        <v>463196</v>
      </c>
      <c r="C6201" s="4">
        <v>3045</v>
      </c>
      <c r="D6201" s="5" t="s">
        <v>8875</v>
      </c>
      <c r="E6201" s="6" t="str">
        <f>HYPERLINK("https://inpn.mnhn.fr/espece/cd_nom/463196","Cortinarius conicus (Velen.) Rob.Henry, 1942")</f>
        <v>Cortinarius conicus (Velen.) Rob.Henry, 1942</v>
      </c>
      <c r="V6201" s="7" t="str">
        <f>HYPERLINK("#Liste_rouge!A"&amp;_xlfn.XMATCH("VU",Liste_rouge!A:A,2,1),"VU")</f>
        <v>VU</v>
      </c>
      <c r="W6201" s="4" t="str">
        <f>HYPERLINK("#Critères_liste_rouge!A$1","D2")</f>
        <v>D2</v>
      </c>
      <c r="Z6201" s="4" t="s">
        <v>443</v>
      </c>
      <c r="AA6201" s="4" t="s">
        <v>444</v>
      </c>
      <c r="AH6201" s="4" t="str">
        <f>HYPERLINK("#Statut_biogéographique!A"&amp;_xlfn.XMATCH("P",Statut_biogéographique!A:A,2,1),"P")</f>
        <v>P</v>
      </c>
      <c r="AP6201" s="4" t="s">
        <v>376</v>
      </c>
      <c r="AR6201" s="4" t="s">
        <v>377</v>
      </c>
    </row>
    <row r="6202" spans="1:44">
      <c r="A6202" s="4" t="s">
        <v>5</v>
      </c>
      <c r="B6202" s="4">
        <v>463201</v>
      </c>
      <c r="C6202" s="4">
        <v>6148</v>
      </c>
      <c r="D6202" s="5">
        <v>463201</v>
      </c>
      <c r="E6202" s="6" t="str">
        <f>HYPERLINK("https://inpn.mnhn.fr/espece/cd_nom/463201","Cortinarius cookeanus Rob.Henry, 1988")</f>
        <v>Cortinarius cookeanus Rob.Henry, 1988</v>
      </c>
      <c r="O6202" s="7" t="str">
        <f>HYPERLINK("#Liste_rouge!A"&amp;_xlfn.XMATCH("VU",Liste_rouge!A:A,2,1),"VU")</f>
        <v>VU</v>
      </c>
      <c r="V6202" s="7" t="str">
        <f>HYPERLINK("#Liste_rouge!A"&amp;_xlfn.XMATCH("LC",Liste_rouge!A:A,2,1),"LC")</f>
        <v>LC</v>
      </c>
      <c r="Z6202" s="4" t="s">
        <v>447</v>
      </c>
      <c r="AA6202" s="4" t="s">
        <v>448</v>
      </c>
      <c r="AH6202" s="4" t="str">
        <f>HYPERLINK("#Statut_biogéographique!A"&amp;_xlfn.XMATCH("P",Statut_biogéographique!A:A,2,1),"P")</f>
        <v>P</v>
      </c>
      <c r="AP6202" s="4" t="s">
        <v>376</v>
      </c>
      <c r="AR6202" s="4" t="s">
        <v>377</v>
      </c>
    </row>
    <row r="6203" spans="1:44">
      <c r="A6203" s="4" t="s">
        <v>5</v>
      </c>
      <c r="B6203" s="4">
        <v>463207</v>
      </c>
      <c r="C6203" s="4">
        <v>1851</v>
      </c>
      <c r="D6203" s="5" t="s">
        <v>8876</v>
      </c>
      <c r="E6203" s="6" t="str">
        <f>HYPERLINK("https://inpn.mnhn.fr/espece/cd_nom/463207","Cortinarius caesiocyaneus Britzelm., 1895")</f>
        <v>Cortinarius caesiocyaneus Britzelm., 1895</v>
      </c>
      <c r="F6203" s="5" t="s">
        <v>6108</v>
      </c>
      <c r="V6203" s="7" t="str">
        <f>HYPERLINK("#Liste_rouge!A"&amp;_xlfn.XMATCH("LC",Liste_rouge!A:A,2,1),"LC")</f>
        <v>LC</v>
      </c>
      <c r="W6203" s="4" t="str">
        <f>HYPERLINK("#Critères_liste_rouge!A$1","pr. B2abiii")</f>
        <v>pr. B2abiii</v>
      </c>
      <c r="Z6203" s="4" t="s">
        <v>447</v>
      </c>
      <c r="AA6203" s="4" t="s">
        <v>448</v>
      </c>
      <c r="AH6203" s="4" t="str">
        <f>HYPERLINK("#Statut_biogéographique!A"&amp;_xlfn.XMATCH("P",Statut_biogéographique!A:A,2,1),"P")</f>
        <v>P</v>
      </c>
      <c r="AP6203" s="4" t="s">
        <v>376</v>
      </c>
      <c r="AR6203" s="4" t="s">
        <v>377</v>
      </c>
    </row>
    <row r="6204" spans="1:44">
      <c r="A6204" s="4" t="s">
        <v>5</v>
      </c>
      <c r="B6204" s="4">
        <v>463209</v>
      </c>
      <c r="C6204" s="4">
        <v>5599</v>
      </c>
      <c r="D6204" s="5" t="s">
        <v>8877</v>
      </c>
      <c r="E6204" s="6" t="str">
        <f>HYPERLINK("https://inpn.mnhn.fr/espece/cd_nom/463209","Cortinarius irregularis (Bolt.) Fr.")</f>
        <v>Cortinarius irregularis (Bolt.) Fr.</v>
      </c>
      <c r="V6204" s="7" t="str">
        <f>HYPERLINK("#Liste_rouge!A"&amp;_xlfn.XMATCH("DD",Liste_rouge!A:A,2,1),"DD")</f>
        <v>DD</v>
      </c>
      <c r="AH6204" s="4" t="str">
        <f>HYPERLINK("#Statut_biogéographique!A"&amp;_xlfn.XMATCH("P",Statut_biogéographique!A:A,2,1),"P")</f>
        <v>P</v>
      </c>
      <c r="AP6204" s="4" t="s">
        <v>376</v>
      </c>
      <c r="AR6204" s="4" t="s">
        <v>377</v>
      </c>
    </row>
    <row r="6205" spans="1:44" ht="30">
      <c r="A6205" s="4" t="s">
        <v>5</v>
      </c>
      <c r="B6205" s="4">
        <v>463216</v>
      </c>
      <c r="C6205" s="4">
        <v>5435</v>
      </c>
      <c r="D6205" s="5" t="s">
        <v>8878</v>
      </c>
      <c r="E6205" s="6" t="str">
        <f>HYPERLINK("https://inpn.mnhn.fr/espece/cd_nom/463216","Cortinarius caesiolatens Rob.Henry ex Bidaud &amp; Reumaux, 2004")</f>
        <v>Cortinarius caesiolatens Rob.Henry ex Bidaud &amp; Reumaux, 2004</v>
      </c>
      <c r="V6205" s="7" t="str">
        <f>HYPERLINK("#Liste_rouge!A"&amp;_xlfn.XMATCH("DD",Liste_rouge!A:A,2,1),"DD")</f>
        <v>DD</v>
      </c>
      <c r="AH6205" s="4" t="str">
        <f>HYPERLINK("#Statut_biogéographique!A"&amp;_xlfn.XMATCH("P",Statut_biogéographique!A:A,2,1),"P")</f>
        <v>P</v>
      </c>
      <c r="AP6205" s="4" t="s">
        <v>376</v>
      </c>
      <c r="AR6205" s="4" t="s">
        <v>377</v>
      </c>
    </row>
    <row r="6206" spans="1:44">
      <c r="A6206" s="4" t="s">
        <v>5</v>
      </c>
      <c r="B6206" s="4">
        <v>463219</v>
      </c>
      <c r="C6206" s="4">
        <v>1486</v>
      </c>
      <c r="D6206" s="5" t="s">
        <v>8879</v>
      </c>
      <c r="E6206" s="6" t="str">
        <f>HYPERLINK("https://inpn.mnhn.fr/espece/cd_nom/463219","Cortinarius minicolor Rob.Henry, 1989")</f>
        <v>Cortinarius minicolor Rob.Henry, 1989</v>
      </c>
      <c r="F6206" s="5" t="s">
        <v>8490</v>
      </c>
      <c r="V6206" s="7" t="str">
        <f>HYPERLINK("#Liste_rouge!A"&amp;_xlfn.XMATCH("LC",Liste_rouge!A:A,2,1),"LC")</f>
        <v>LC</v>
      </c>
      <c r="Z6206" s="4" t="s">
        <v>443</v>
      </c>
      <c r="AA6206" s="4" t="s">
        <v>444</v>
      </c>
      <c r="AH6206" s="4" t="str">
        <f>HYPERLINK("#Statut_biogéographique!A"&amp;_xlfn.XMATCH("P",Statut_biogéographique!A:A,2,1),"P")</f>
        <v>P</v>
      </c>
      <c r="AP6206" s="4" t="s">
        <v>376</v>
      </c>
      <c r="AR6206" s="4" t="s">
        <v>377</v>
      </c>
    </row>
    <row r="6207" spans="1:44" ht="30">
      <c r="A6207" s="4" t="s">
        <v>5</v>
      </c>
      <c r="B6207" s="4">
        <v>463226</v>
      </c>
      <c r="C6207" s="4">
        <v>3891</v>
      </c>
      <c r="D6207" s="5" t="s">
        <v>8880</v>
      </c>
      <c r="E6207" s="6" t="str">
        <f>HYPERLINK("https://inpn.mnhn.fr/espece/cd_nom/463226","Cortinarius bonii Bidaud, Moënne-Locc. &amp; Reumaux, 2001")</f>
        <v>Cortinarius bonii Bidaud, Moënne-Locc. &amp; Reumaux, 2001</v>
      </c>
      <c r="F6207" s="5" t="s">
        <v>8881</v>
      </c>
      <c r="AH6207" s="4" t="str">
        <f>HYPERLINK("#Statut_biogéographique!A"&amp;_xlfn.XMATCH("P",Statut_biogéographique!A:A,2,1),"P")</f>
        <v>P</v>
      </c>
      <c r="AP6207" s="4" t="s">
        <v>376</v>
      </c>
      <c r="AR6207" s="4" t="s">
        <v>377</v>
      </c>
    </row>
    <row r="6208" spans="1:44">
      <c r="A6208" s="4" t="s">
        <v>5</v>
      </c>
      <c r="B6208" s="4">
        <v>463239</v>
      </c>
      <c r="C6208" s="4">
        <v>3089</v>
      </c>
      <c r="D6208" s="5" t="s">
        <v>8882</v>
      </c>
      <c r="E6208" s="6" t="str">
        <f>HYPERLINK("https://inpn.mnhn.fr/espece/cd_nom/463239","Cortinarius cephalixolargus Rob.Henry, 1977")</f>
        <v>Cortinarius cephalixolargus Rob.Henry, 1977</v>
      </c>
      <c r="V6208" s="7" t="str">
        <f>HYPERLINK("#Liste_rouge!A"&amp;_xlfn.XMATCH("EN",Liste_rouge!A:A,2,1),"EN")</f>
        <v>EN</v>
      </c>
      <c r="W6208" s="4" t="str">
        <f>HYPERLINK("#Critères_liste_rouge!A$1","B2abiii")</f>
        <v>B2abiii</v>
      </c>
      <c r="Z6208" s="4" t="s">
        <v>443</v>
      </c>
      <c r="AA6208" s="4" t="s">
        <v>444</v>
      </c>
      <c r="AH6208" s="4" t="str">
        <f>HYPERLINK("#Statut_biogéographique!A"&amp;_xlfn.XMATCH("P",Statut_biogéographique!A:A,2,1),"P")</f>
        <v>P</v>
      </c>
      <c r="AP6208" s="4" t="s">
        <v>376</v>
      </c>
      <c r="AR6208" s="4" t="s">
        <v>377</v>
      </c>
    </row>
    <row r="6209" spans="1:44">
      <c r="A6209" s="4" t="s">
        <v>5</v>
      </c>
      <c r="B6209" s="4">
        <v>463246</v>
      </c>
      <c r="C6209" s="4">
        <v>3064</v>
      </c>
      <c r="D6209" s="5" t="s">
        <v>8883</v>
      </c>
      <c r="E6209" s="6" t="str">
        <f>HYPERLINK("https://inpn.mnhn.fr/espece/cd_nom/463246","Cortinarius catharinae Consiglio, 1997")</f>
        <v>Cortinarius catharinae Consiglio, 1997</v>
      </c>
      <c r="F6209" s="5" t="s">
        <v>6463</v>
      </c>
      <c r="V6209" s="7" t="str">
        <f>HYPERLINK("#Liste_rouge!A"&amp;_xlfn.XMATCH("EN",Liste_rouge!A:A,2,1),"EN")</f>
        <v>EN</v>
      </c>
      <c r="W6209" s="4" t="str">
        <f>HYPERLINK("#Critères_liste_rouge!A$1","B2abiii")</f>
        <v>B2abiii</v>
      </c>
      <c r="Z6209" s="4" t="s">
        <v>443</v>
      </c>
      <c r="AA6209" s="4" t="s">
        <v>444</v>
      </c>
      <c r="AH6209" s="4" t="str">
        <f>HYPERLINK("#Statut_biogéographique!A"&amp;_xlfn.XMATCH("P",Statut_biogéographique!A:A,2,1),"P")</f>
        <v>P</v>
      </c>
      <c r="AP6209" s="4" t="s">
        <v>376</v>
      </c>
      <c r="AR6209" s="4" t="s">
        <v>377</v>
      </c>
    </row>
    <row r="6210" spans="1:44">
      <c r="A6210" s="4" t="s">
        <v>5</v>
      </c>
      <c r="B6210" s="4">
        <v>463249</v>
      </c>
      <c r="C6210" s="4">
        <v>1867</v>
      </c>
      <c r="D6210" s="5">
        <v>510573</v>
      </c>
      <c r="E6210" s="6" t="str">
        <f>HYPERLINK("https://inpn.mnhn.fr/espece/cd_nom/463249","Cortinarius fulgentissimus Reumaux, 2003")</f>
        <v>Cortinarius fulgentissimus Reumaux, 2003</v>
      </c>
      <c r="F6210" s="5" t="s">
        <v>6460</v>
      </c>
      <c r="Z6210" s="4" t="s">
        <v>447</v>
      </c>
      <c r="AA6210" s="4" t="s">
        <v>448</v>
      </c>
      <c r="AH6210" s="4" t="str">
        <f>HYPERLINK("#Statut_biogéographique!A"&amp;_xlfn.XMATCH("P",Statut_biogéographique!A:A,2,1),"P")</f>
        <v>P</v>
      </c>
      <c r="AP6210" s="4" t="s">
        <v>376</v>
      </c>
      <c r="AR6210" s="4" t="s">
        <v>377</v>
      </c>
    </row>
    <row r="6211" spans="1:44">
      <c r="A6211" s="4" t="s">
        <v>5</v>
      </c>
      <c r="B6211" s="4">
        <v>463252</v>
      </c>
      <c r="C6211" s="4">
        <v>5799</v>
      </c>
      <c r="D6211" s="5" t="s">
        <v>8884</v>
      </c>
      <c r="E6211" s="6" t="str">
        <f>HYPERLINK("https://inpn.mnhn.fr/espece/cd_nom/463252","Cortinarius chromatophilus R. Henry")</f>
        <v>Cortinarius chromatophilus R. Henry</v>
      </c>
      <c r="AH6211" s="4" t="str">
        <f>HYPERLINK("#Statut_biogéographique!A"&amp;_xlfn.XMATCH("P",Statut_biogéographique!A:A,2,1),"P")</f>
        <v>P</v>
      </c>
      <c r="AP6211" s="4" t="s">
        <v>376</v>
      </c>
      <c r="AR6211" s="4" t="s">
        <v>377</v>
      </c>
    </row>
    <row r="6212" spans="1:44">
      <c r="A6212" s="4" t="s">
        <v>5</v>
      </c>
      <c r="B6212" s="4">
        <v>463253</v>
      </c>
      <c r="C6212" s="4">
        <v>6555</v>
      </c>
      <c r="D6212" s="5">
        <v>463253</v>
      </c>
      <c r="E6212" s="6" t="str">
        <f>HYPERLINK("https://inpn.mnhn.fr/espece/cd_nom/463253","Cortinarius unimodus Britzelm., 1885")</f>
        <v>Cortinarius unimodus Britzelm., 1885</v>
      </c>
      <c r="AH6212" s="4" t="str">
        <f>HYPERLINK("#Statut_biogéographique!A"&amp;_xlfn.XMATCH("P",Statut_biogéographique!A:A,2,1),"P")</f>
        <v>P</v>
      </c>
      <c r="AP6212" s="4" t="s">
        <v>376</v>
      </c>
      <c r="AR6212" s="4" t="s">
        <v>377</v>
      </c>
    </row>
    <row r="6213" spans="1:44">
      <c r="A6213" s="4" t="s">
        <v>5</v>
      </c>
      <c r="B6213" s="4">
        <v>463257</v>
      </c>
      <c r="C6213" s="4">
        <v>7323</v>
      </c>
      <c r="D6213" s="5" t="s">
        <v>8885</v>
      </c>
      <c r="E6213" s="6" t="str">
        <f>HYPERLINK("https://inpn.mnhn.fr/espece/cd_nom/463257","Cortinarius calyptophaeus Rob.Henry, 1984")</f>
        <v>Cortinarius calyptophaeus Rob.Henry, 1984</v>
      </c>
      <c r="Z6213" s="4" t="s">
        <v>443</v>
      </c>
      <c r="AA6213" s="4" t="s">
        <v>444</v>
      </c>
      <c r="AH6213" s="4" t="str">
        <f>HYPERLINK("#Statut_biogéographique!A"&amp;_xlfn.XMATCH("P",Statut_biogéographique!A:A,2,1),"P")</f>
        <v>P</v>
      </c>
      <c r="AP6213" s="4" t="s">
        <v>376</v>
      </c>
      <c r="AR6213" s="4" t="s">
        <v>377</v>
      </c>
    </row>
    <row r="6214" spans="1:44" ht="30">
      <c r="A6214" s="4" t="s">
        <v>5</v>
      </c>
      <c r="B6214" s="4">
        <v>463260</v>
      </c>
      <c r="C6214" s="4">
        <v>2990</v>
      </c>
      <c r="D6214" s="5" t="s">
        <v>8886</v>
      </c>
      <c r="E6214" s="6" t="str">
        <f>HYPERLINK("https://inpn.mnhn.fr/espece/cd_nom/463260","Cortinarius camptoros Brandrud &amp; Melot, 1983")</f>
        <v>Cortinarius camptoros Brandrud &amp; Melot, 1983</v>
      </c>
      <c r="O6214" s="7" t="str">
        <f>HYPERLINK("#Liste_rouge!A"&amp;_xlfn.XMATCH("VU",Liste_rouge!A:A,2,1),"VU")</f>
        <v>VU</v>
      </c>
      <c r="V6214" s="7" t="str">
        <f>HYPERLINK("#Liste_rouge!A"&amp;_xlfn.XMATCH("EN",Liste_rouge!A:A,2,1),"EN")</f>
        <v>EN</v>
      </c>
      <c r="W6214" s="4" t="str">
        <f>HYPERLINK("#Critères_liste_rouge!A$1","B2abiii")</f>
        <v>B2abiii</v>
      </c>
      <c r="Z6214" s="4" t="s">
        <v>447</v>
      </c>
      <c r="AA6214" s="4" t="s">
        <v>448</v>
      </c>
      <c r="AH6214" s="4" t="str">
        <f>HYPERLINK("#Statut_biogéographique!A"&amp;_xlfn.XMATCH("P",Statut_biogéographique!A:A,2,1),"P")</f>
        <v>P</v>
      </c>
      <c r="AP6214" s="4" t="s">
        <v>376</v>
      </c>
      <c r="AR6214" s="4" t="s">
        <v>377</v>
      </c>
    </row>
    <row r="6215" spans="1:44">
      <c r="A6215" s="4" t="s">
        <v>5</v>
      </c>
      <c r="B6215" s="4">
        <v>463265</v>
      </c>
      <c r="C6215" s="4">
        <v>1894</v>
      </c>
      <c r="D6215" s="5" t="s">
        <v>8887</v>
      </c>
      <c r="E6215" s="6" t="str">
        <f>HYPERLINK("https://inpn.mnhn.fr/espece/cd_nom/463265","Cortinarius caninoides Rob.Henry, 1985")</f>
        <v>Cortinarius caninoides Rob.Henry, 1985</v>
      </c>
      <c r="V6215" s="7" t="str">
        <f>HYPERLINK("#Liste_rouge!A"&amp;_xlfn.XMATCH("DD",Liste_rouge!A:A,2,1),"DD")</f>
        <v>DD</v>
      </c>
      <c r="AH6215" s="4" t="str">
        <f>HYPERLINK("#Statut_biogéographique!A"&amp;_xlfn.XMATCH("P",Statut_biogéographique!A:A,2,1),"P")</f>
        <v>P</v>
      </c>
      <c r="AP6215" s="4" t="s">
        <v>376</v>
      </c>
      <c r="AR6215" s="4" t="s">
        <v>377</v>
      </c>
    </row>
    <row r="6216" spans="1:44" ht="30">
      <c r="A6216" s="4" t="s">
        <v>5</v>
      </c>
      <c r="B6216" s="4">
        <v>463266</v>
      </c>
      <c r="C6216" s="4">
        <v>616</v>
      </c>
      <c r="D6216" s="5" t="s">
        <v>8888</v>
      </c>
      <c r="E6216" s="6" t="str">
        <f>HYPERLINK("https://inpn.mnhn.fr/espece/cd_nom/463266","Cortinarius caninus (Fr.) Fr., 1838")</f>
        <v>Cortinarius caninus (Fr.) Fr., 1838</v>
      </c>
      <c r="F6216" s="5" t="s">
        <v>8889</v>
      </c>
      <c r="V6216" s="7" t="str">
        <f>HYPERLINK("#Liste_rouge!A"&amp;_xlfn.XMATCH("LC",Liste_rouge!A:A,2,1),"LC")</f>
        <v>LC</v>
      </c>
      <c r="AH6216" s="4" t="str">
        <f>HYPERLINK("#Statut_biogéographique!A"&amp;_xlfn.XMATCH("P",Statut_biogéographique!A:A,2,1),"P")</f>
        <v>P</v>
      </c>
      <c r="AP6216" s="4" t="s">
        <v>376</v>
      </c>
      <c r="AR6216" s="4" t="s">
        <v>377</v>
      </c>
    </row>
    <row r="6217" spans="1:44">
      <c r="A6217" s="4" t="s">
        <v>5</v>
      </c>
      <c r="B6217" s="4">
        <v>463285</v>
      </c>
      <c r="D6217" s="5" t="s">
        <v>8890</v>
      </c>
      <c r="E6217" s="6" t="str">
        <f>HYPERLINK("https://inpn.mnhn.fr/espece/cd_nom/463285","Russula font-queri Singer, 1947")</f>
        <v>Russula font-queri Singer, 1947</v>
      </c>
      <c r="F6217" s="5" t="s">
        <v>4170</v>
      </c>
      <c r="V6217" s="7" t="str">
        <f>HYPERLINK("#Liste_rouge!A"&amp;_xlfn.XMATCH("CR",Liste_rouge!A:A,2,1),"CR")</f>
        <v>CR</v>
      </c>
      <c r="W6217" s="4" t="str">
        <f>HYPERLINK("#Critères_liste_rouge!A$1","B2abiii")</f>
        <v>B2abiii</v>
      </c>
      <c r="AH6217" s="4" t="str">
        <f>HYPERLINK("#Statut_biogéographique!A"&amp;_xlfn.XMATCH("P",Statut_biogéographique!A:A,2,1),"P")</f>
        <v>P</v>
      </c>
      <c r="AP6217" s="4" t="s">
        <v>376</v>
      </c>
      <c r="AR6217" s="4" t="s">
        <v>377</v>
      </c>
    </row>
    <row r="6218" spans="1:44">
      <c r="A6218" s="4" t="s">
        <v>5</v>
      </c>
      <c r="B6218" s="4">
        <v>463299</v>
      </c>
      <c r="D6218" s="5" t="s">
        <v>8891</v>
      </c>
      <c r="E6218" s="6" t="str">
        <f>HYPERLINK("https://inpn.mnhn.fr/espece/cd_nom/463299","Russula intermedia P.Karst., 1888")</f>
        <v>Russula intermedia P.Karst., 1888</v>
      </c>
      <c r="V6218" s="7" t="str">
        <f>HYPERLINK("#Liste_rouge!A"&amp;_xlfn.XMATCH("LC",Liste_rouge!A:A,2,1),"LC")</f>
        <v>LC</v>
      </c>
      <c r="AH6218" s="4" t="str">
        <f>HYPERLINK("#Statut_biogéographique!A"&amp;_xlfn.XMATCH("P",Statut_biogéographique!A:A,2,1),"P")</f>
        <v>P</v>
      </c>
      <c r="AP6218" s="4" t="s">
        <v>376</v>
      </c>
      <c r="AR6218" s="4" t="s">
        <v>377</v>
      </c>
    </row>
    <row r="6219" spans="1:44">
      <c r="A6219" s="4" t="s">
        <v>5</v>
      </c>
      <c r="B6219" s="4">
        <v>46331</v>
      </c>
      <c r="C6219" s="4">
        <v>6201</v>
      </c>
      <c r="D6219" s="5" t="s">
        <v>8892</v>
      </c>
      <c r="E6219" s="6" t="str">
        <f>HYPERLINK("https://inpn.mnhn.fr/espece/cd_nom/46331","Cistellina stereicola (Cooke) Raitv., 1979")</f>
        <v>Cistellina stereicola (Cooke) Raitv., 1979</v>
      </c>
      <c r="AH6219" s="4" t="str">
        <f>HYPERLINK("#Statut_biogéographique!A"&amp;_xlfn.XMATCH("D",Statut_biogéographique!A:A,2,1),"D")</f>
        <v>D</v>
      </c>
      <c r="AP6219" s="4" t="s">
        <v>376</v>
      </c>
      <c r="AR6219" s="4" t="s">
        <v>377</v>
      </c>
    </row>
    <row r="6220" spans="1:44" ht="30">
      <c r="A6220" s="4" t="s">
        <v>5</v>
      </c>
      <c r="B6220" s="4">
        <v>463334</v>
      </c>
      <c r="D6220" s="5" t="s">
        <v>8893</v>
      </c>
      <c r="E6220" s="6" t="str">
        <f>HYPERLINK("https://inpn.mnhn.fr/espece/cd_nom/463334","Roridomyces roridus (Fr.) Rexer, 1994")</f>
        <v>Roridomyces roridus (Fr.) Rexer, 1994</v>
      </c>
      <c r="V6220" s="7" t="str">
        <f>HYPERLINK("#Liste_rouge!A"&amp;_xlfn.XMATCH("LC",Liste_rouge!A:A,2,1),"LC")</f>
        <v>LC</v>
      </c>
      <c r="AH6220" s="4" t="str">
        <f>HYPERLINK("#Statut_biogéographique!A"&amp;_xlfn.XMATCH("P",Statut_biogéographique!A:A,2,1),"P")</f>
        <v>P</v>
      </c>
      <c r="AP6220" s="4" t="s">
        <v>376</v>
      </c>
      <c r="AR6220" s="4" t="s">
        <v>377</v>
      </c>
    </row>
    <row r="6221" spans="1:44" ht="30">
      <c r="A6221" s="4" t="s">
        <v>5</v>
      </c>
      <c r="B6221" s="4">
        <v>463344</v>
      </c>
      <c r="D6221" s="5" t="s">
        <v>8894</v>
      </c>
      <c r="E6221" s="6" t="str">
        <f>HYPERLINK("https://inpn.mnhn.fr/espece/cd_nom/463344","Rugosomyces pseudoflammula (J.E.Lange) Bon, 1991")</f>
        <v>Rugosomyces pseudoflammula (J.E.Lange) Bon, 1991</v>
      </c>
      <c r="V6221" s="7" t="str">
        <f>HYPERLINK("#Liste_rouge!A"&amp;_xlfn.XMATCH("LC",Liste_rouge!A:A,2,1),"LC")</f>
        <v>LC</v>
      </c>
      <c r="AH6221" s="4" t="str">
        <f>HYPERLINK("#Statut_biogéographique!A"&amp;_xlfn.XMATCH("P",Statut_biogéographique!A:A,2,1),"P")</f>
        <v>P</v>
      </c>
      <c r="AP6221" s="4" t="s">
        <v>376</v>
      </c>
      <c r="AR6221" s="4" t="s">
        <v>377</v>
      </c>
    </row>
    <row r="6222" spans="1:44" ht="30">
      <c r="A6222" s="4" t="s">
        <v>5</v>
      </c>
      <c r="B6222" s="4">
        <v>463350</v>
      </c>
      <c r="C6222" s="4">
        <v>2181</v>
      </c>
      <c r="D6222" s="5" t="s">
        <v>8895</v>
      </c>
      <c r="E6222" s="6" t="str">
        <f>HYPERLINK("https://inpn.mnhn.fr/espece/cd_nom/463350","Hygrophoropsis fuscosquamula P.D.Orton, 1960")</f>
        <v>Hygrophoropsis fuscosquamula P.D.Orton, 1960</v>
      </c>
      <c r="F6222" s="5" t="s">
        <v>8896</v>
      </c>
      <c r="V6222" s="7" t="str">
        <f>HYPERLINK("#Liste_rouge!A"&amp;_xlfn.XMATCH("NT",Liste_rouge!A:A,2,1),"NT")</f>
        <v>NT</v>
      </c>
      <c r="W6222" s="4" t="str">
        <f>HYPERLINK("#Critères_liste_rouge!A$1","pr. A2c")</f>
        <v>pr. A2c</v>
      </c>
      <c r="AH6222" s="4" t="str">
        <f>HYPERLINK("#Statut_biogéographique!A"&amp;_xlfn.XMATCH("P",Statut_biogéographique!A:A,2,1),"P")</f>
        <v>P</v>
      </c>
      <c r="AP6222" s="4" t="s">
        <v>376</v>
      </c>
      <c r="AR6222" s="4" t="s">
        <v>377</v>
      </c>
    </row>
    <row r="6223" spans="1:44">
      <c r="A6223" s="4" t="s">
        <v>5</v>
      </c>
      <c r="B6223" s="4">
        <v>463396</v>
      </c>
      <c r="D6223" s="5" t="s">
        <v>8897</v>
      </c>
      <c r="E6223" s="6" t="str">
        <f>HYPERLINK("https://inpn.mnhn.fr/espece/cd_nom/463396","Russula cavipes Britzelm., 1893")</f>
        <v>Russula cavipes Britzelm., 1893</v>
      </c>
      <c r="F6223" s="5" t="s">
        <v>3654</v>
      </c>
      <c r="V6223" s="7" t="str">
        <f>HYPERLINK("#Liste_rouge!A"&amp;_xlfn.XMATCH("LC",Liste_rouge!A:A,2,1),"LC")</f>
        <v>LC</v>
      </c>
      <c r="AH6223" s="4" t="str">
        <f>HYPERLINK("#Statut_biogéographique!A"&amp;_xlfn.XMATCH("P",Statut_biogéographique!A:A,2,1),"P")</f>
        <v>P</v>
      </c>
      <c r="AP6223" s="4" t="s">
        <v>376</v>
      </c>
      <c r="AR6223" s="4" t="s">
        <v>377</v>
      </c>
    </row>
    <row r="6224" spans="1:44" ht="60">
      <c r="A6224" s="4" t="s">
        <v>5</v>
      </c>
      <c r="B6224" s="4">
        <v>46340</v>
      </c>
      <c r="C6224" s="4">
        <v>4239</v>
      </c>
      <c r="D6224" s="5" t="s">
        <v>8898</v>
      </c>
      <c r="E6224" s="6" t="str">
        <f>HYPERLINK("https://inpn.mnhn.fr/espece/cd_nom/46340","Claussenomyces atrovirens (Pers.) Korf &amp; Abawi, 1971")</f>
        <v>Claussenomyces atrovirens (Pers.) Korf &amp; Abawi, 1971</v>
      </c>
      <c r="AH6224" s="4" t="str">
        <f>HYPERLINK("#Statut_biogéographique!A"&amp;_xlfn.XMATCH("P",Statut_biogéographique!A:A,2,1),"P")</f>
        <v>P</v>
      </c>
      <c r="AP6224" s="4" t="s">
        <v>376</v>
      </c>
      <c r="AR6224" s="4" t="s">
        <v>377</v>
      </c>
    </row>
    <row r="6225" spans="1:44" ht="30">
      <c r="A6225" s="4" t="s">
        <v>5</v>
      </c>
      <c r="B6225" s="4">
        <v>463412</v>
      </c>
      <c r="C6225" s="4">
        <v>1979</v>
      </c>
      <c r="D6225" s="5" t="s">
        <v>8899</v>
      </c>
      <c r="E6225" s="6" t="str">
        <f>HYPERLINK("https://inpn.mnhn.fr/espece/cd_nom/463412","Setulipes quercophilus (Pouzar) Antonín, 1987")</f>
        <v>Setulipes quercophilus (Pouzar) Antonín, 1987</v>
      </c>
      <c r="F6225" s="5" t="s">
        <v>8900</v>
      </c>
      <c r="V6225" s="7" t="str">
        <f>HYPERLINK("#Liste_rouge!A"&amp;_xlfn.XMATCH("LC",Liste_rouge!A:A,2,1),"LC")</f>
        <v>LC</v>
      </c>
      <c r="AH6225" s="4" t="str">
        <f>HYPERLINK("#Statut_biogéographique!A"&amp;_xlfn.XMATCH("P",Statut_biogéographique!A:A,2,1),"P")</f>
        <v>P</v>
      </c>
      <c r="AP6225" s="4" t="s">
        <v>376</v>
      </c>
      <c r="AR6225" s="4" t="s">
        <v>377</v>
      </c>
    </row>
    <row r="6226" spans="1:44" ht="30">
      <c r="A6226" s="4" t="s">
        <v>5</v>
      </c>
      <c r="B6226" s="4">
        <v>463422</v>
      </c>
      <c r="D6226" s="5" t="s">
        <v>8901</v>
      </c>
      <c r="E6226" s="6" t="str">
        <f>HYPERLINK("https://inpn.mnhn.fr/espece/cd_nom/463422","Simocybe coniophora (Romagn.) Watling, 1981")</f>
        <v>Simocybe coniophora (Romagn.) Watling, 1981</v>
      </c>
      <c r="V6226" s="7" t="str">
        <f>HYPERLINK("#Liste_rouge!A"&amp;_xlfn.XMATCH("DD",Liste_rouge!A:A,2,1),"DD")</f>
        <v>DD</v>
      </c>
      <c r="AH6226" s="4" t="str">
        <f>HYPERLINK("#Statut_biogéographique!A"&amp;_xlfn.XMATCH("P",Statut_biogéographique!A:A,2,1),"P")</f>
        <v>P</v>
      </c>
      <c r="AP6226" s="4" t="s">
        <v>376</v>
      </c>
      <c r="AR6226" s="4" t="s">
        <v>377</v>
      </c>
    </row>
    <row r="6227" spans="1:44" ht="30">
      <c r="A6227" s="4" t="s">
        <v>5</v>
      </c>
      <c r="B6227" s="4">
        <v>463424</v>
      </c>
      <c r="D6227" s="5" t="s">
        <v>8902</v>
      </c>
      <c r="E6227" s="6" t="str">
        <f>HYPERLINK("https://inpn.mnhn.fr/espece/cd_nom/463424","Simocybe geraniolens (Clowez &amp; G.Díaz) E.Ludw., 2001")</f>
        <v>Simocybe geraniolens (Clowez &amp; G.Díaz) E.Ludw., 2001</v>
      </c>
      <c r="AH6227" s="4" t="str">
        <f>HYPERLINK("#Statut_biogéographique!A"&amp;_xlfn.XMATCH("P",Statut_biogéographique!A:A,2,1),"P")</f>
        <v>P</v>
      </c>
      <c r="AP6227" s="4" t="s">
        <v>376</v>
      </c>
      <c r="AR6227" s="4" t="s">
        <v>377</v>
      </c>
    </row>
    <row r="6228" spans="1:44">
      <c r="A6228" s="4" t="s">
        <v>5</v>
      </c>
      <c r="B6228" s="4">
        <v>463453</v>
      </c>
      <c r="D6228" s="5" t="s">
        <v>8903</v>
      </c>
      <c r="E6228" s="6" t="str">
        <f>HYPERLINK("https://inpn.mnhn.fr/espece/cd_nom/463453","Sparassis spathulata (Schwein.) Fr., 1828")</f>
        <v>Sparassis spathulata (Schwein.) Fr., 1828</v>
      </c>
      <c r="AH6228" s="4" t="str">
        <f>HYPERLINK("#Statut_biogéographique!A"&amp;_xlfn.XMATCH("P",Statut_biogéographique!A:A,2,1),"P")</f>
        <v>P</v>
      </c>
      <c r="AP6228" s="4" t="s">
        <v>376</v>
      </c>
      <c r="AR6228" s="4" t="s">
        <v>377</v>
      </c>
    </row>
    <row r="6229" spans="1:44" ht="30">
      <c r="A6229" s="4" t="s">
        <v>5</v>
      </c>
      <c r="B6229" s="4">
        <v>46347</v>
      </c>
      <c r="C6229" s="4">
        <v>3960</v>
      </c>
      <c r="D6229" s="5" t="s">
        <v>8904</v>
      </c>
      <c r="E6229" s="6" t="str">
        <f>HYPERLINK("https://inpn.mnhn.fr/espece/cd_nom/46347","Claussenomyces prasinulus (P.Karst.) Korf &amp; Abawi, 1971")</f>
        <v>Claussenomyces prasinulus (P.Karst.) Korf &amp; Abawi, 1971</v>
      </c>
      <c r="V6229" s="7" t="str">
        <f>HYPERLINK("#Liste_rouge!A"&amp;_xlfn.XMATCH("DD",Liste_rouge!A:A,2,1),"DD")</f>
        <v>DD</v>
      </c>
      <c r="AH6229" s="4" t="str">
        <f>HYPERLINK("#Statut_biogéographique!A"&amp;_xlfn.XMATCH("P",Statut_biogéographique!A:A,2,1),"P")</f>
        <v>P</v>
      </c>
      <c r="AP6229" s="4" t="s">
        <v>376</v>
      </c>
      <c r="AR6229" s="4" t="s">
        <v>377</v>
      </c>
    </row>
    <row r="6230" spans="1:44" ht="30">
      <c r="A6230" s="4" t="s">
        <v>5</v>
      </c>
      <c r="B6230" s="4">
        <v>463479</v>
      </c>
      <c r="D6230" s="5" t="s">
        <v>8905</v>
      </c>
      <c r="E6230" s="6" t="str">
        <f>HYPERLINK("https://inpn.mnhn.fr/espece/cd_nom/463479","Russula risigallina (Batsch) Sacc., 1915")</f>
        <v>Russula risigallina (Batsch) Sacc., 1915</v>
      </c>
      <c r="F6230" s="5" t="s">
        <v>8906</v>
      </c>
      <c r="V6230" s="7" t="str">
        <f>HYPERLINK("#Liste_rouge!A"&amp;_xlfn.XMATCH("LC",Liste_rouge!A:A,2,1),"LC")</f>
        <v>LC</v>
      </c>
      <c r="AH6230" s="4" t="str">
        <f>HYPERLINK("#Statut_biogéographique!A"&amp;_xlfn.XMATCH("P",Statut_biogéographique!A:A,2,1),"P")</f>
        <v>P</v>
      </c>
      <c r="AP6230" s="4" t="s">
        <v>376</v>
      </c>
      <c r="AR6230" s="4" t="s">
        <v>377</v>
      </c>
    </row>
    <row r="6231" spans="1:44" ht="30">
      <c r="A6231" s="4" t="s">
        <v>5</v>
      </c>
      <c r="B6231" s="4">
        <v>463486</v>
      </c>
      <c r="D6231" s="5" t="s">
        <v>8907</v>
      </c>
      <c r="E6231" s="6" t="str">
        <f>HYPERLINK("https://inpn.mnhn.fr/espece/cd_nom/463486","Russula sardonia Fr., 1838")</f>
        <v>Russula sardonia Fr., 1838</v>
      </c>
      <c r="F6231" s="5" t="s">
        <v>2963</v>
      </c>
      <c r="V6231" s="7" t="str">
        <f>HYPERLINK("#Liste_rouge!A"&amp;_xlfn.XMATCH("LC",Liste_rouge!A:A,2,1),"LC")</f>
        <v>LC</v>
      </c>
      <c r="AH6231" s="4" t="str">
        <f>HYPERLINK("#Statut_biogéographique!A"&amp;_xlfn.XMATCH("P",Statut_biogéographique!A:A,2,1),"P")</f>
        <v>P</v>
      </c>
      <c r="AP6231" s="4" t="s">
        <v>376</v>
      </c>
      <c r="AR6231" s="4" t="s">
        <v>377</v>
      </c>
    </row>
    <row r="6232" spans="1:44">
      <c r="A6232" s="4" t="s">
        <v>5</v>
      </c>
      <c r="B6232" s="4">
        <v>463490</v>
      </c>
      <c r="D6232" s="5">
        <v>463490</v>
      </c>
      <c r="E6232" s="6" t="str">
        <f>HYPERLINK("https://inpn.mnhn.fr/espece/cd_nom/463490","Russula roseicolor J.Blum, 1952")</f>
        <v>Russula roseicolor J.Blum, 1952</v>
      </c>
      <c r="F6232" s="5" t="s">
        <v>1406</v>
      </c>
      <c r="V6232" s="7" t="str">
        <f>HYPERLINK("#Liste_rouge!A"&amp;_xlfn.XMATCH("DD",Liste_rouge!A:A,2,1),"DD")</f>
        <v>DD</v>
      </c>
      <c r="AH6232" s="4" t="str">
        <f>HYPERLINK("#Statut_biogéographique!A"&amp;_xlfn.XMATCH("P",Statut_biogéographique!A:A,2,1),"P")</f>
        <v>P</v>
      </c>
      <c r="AP6232" s="4" t="s">
        <v>376</v>
      </c>
      <c r="AR6232" s="4" t="s">
        <v>377</v>
      </c>
    </row>
    <row r="6233" spans="1:44" ht="30">
      <c r="A6233" s="4" t="s">
        <v>5</v>
      </c>
      <c r="B6233" s="4">
        <v>463500</v>
      </c>
      <c r="D6233" s="5" t="s">
        <v>8908</v>
      </c>
      <c r="E6233" s="6" t="str">
        <f>HYPERLINK("https://inpn.mnhn.fr/espece/cd_nom/463500","Scytinotus violaceofulvus (Batsch) Courtec., 2008")</f>
        <v>Scytinotus violaceofulvus (Batsch) Courtec., 2008</v>
      </c>
      <c r="V6233" s="7" t="str">
        <f>HYPERLINK("#Liste_rouge!A"&amp;_xlfn.XMATCH("LC",Liste_rouge!A:A,2,1),"LC")</f>
        <v>LC</v>
      </c>
      <c r="AH6233" s="4" t="str">
        <f>HYPERLINK("#Statut_biogéographique!A"&amp;_xlfn.XMATCH("P",Statut_biogéographique!A:A,2,1),"P")</f>
        <v>P</v>
      </c>
      <c r="AP6233" s="4" t="s">
        <v>376</v>
      </c>
      <c r="AR6233" s="4" t="s">
        <v>377</v>
      </c>
    </row>
    <row r="6234" spans="1:44" ht="30">
      <c r="A6234" s="4" t="s">
        <v>5</v>
      </c>
      <c r="B6234" s="4">
        <v>463510</v>
      </c>
      <c r="D6234" s="5" t="s">
        <v>8909</v>
      </c>
      <c r="E6234" s="6" t="str">
        <f>HYPERLINK("https://inpn.mnhn.fr/espece/cd_nom/463510","Sarcodon imbricatum (L.) P.Karst., 1881")</f>
        <v>Sarcodon imbricatum (L.) P.Karst., 1881</v>
      </c>
      <c r="F6234" s="5" t="s">
        <v>8910</v>
      </c>
      <c r="V6234" s="7" t="str">
        <f>HYPERLINK("#Liste_rouge!A"&amp;_xlfn.XMATCH("LC",Liste_rouge!A:A,2,1),"LC")</f>
        <v>LC</v>
      </c>
      <c r="AH6234" s="4" t="str">
        <f>HYPERLINK("#Statut_biogéographique!A"&amp;_xlfn.XMATCH("P",Statut_biogéographique!A:A,2,1),"P")</f>
        <v>P</v>
      </c>
      <c r="AP6234" s="4" t="s">
        <v>376</v>
      </c>
      <c r="AR6234" s="4" t="s">
        <v>377</v>
      </c>
    </row>
    <row r="6235" spans="1:44">
      <c r="A6235" s="4" t="s">
        <v>5</v>
      </c>
      <c r="B6235" s="4">
        <v>463512</v>
      </c>
      <c r="D6235" s="5" t="s">
        <v>8911</v>
      </c>
      <c r="E6235" s="6" t="str">
        <f>HYPERLINK("https://inpn.mnhn.fr/espece/cd_nom/463512","Sarcodon versipelle (Fr.) Quél.")</f>
        <v>Sarcodon versipelle (Fr.) Quél.</v>
      </c>
      <c r="V6235" s="7" t="str">
        <f>HYPERLINK("#Liste_rouge!A"&amp;_xlfn.XMATCH("VU",Liste_rouge!A:A,2,1),"VU")</f>
        <v>VU</v>
      </c>
      <c r="W6235" s="4" t="str">
        <f>HYPERLINK("#Critères_liste_rouge!A$1","A2c")</f>
        <v>A2c</v>
      </c>
      <c r="AH6235" s="4" t="str">
        <f>HYPERLINK("#Statut_biogéographique!A"&amp;_xlfn.XMATCH("P",Statut_biogéographique!A:A,2,1),"P")</f>
        <v>P</v>
      </c>
      <c r="AP6235" s="4" t="s">
        <v>376</v>
      </c>
      <c r="AR6235" s="4" t="s">
        <v>377</v>
      </c>
    </row>
    <row r="6236" spans="1:44" ht="30">
      <c r="A6236" s="4" t="s">
        <v>5</v>
      </c>
      <c r="B6236" s="4">
        <v>463518</v>
      </c>
      <c r="D6236" s="5" t="s">
        <v>8912</v>
      </c>
      <c r="E6236" s="6" t="str">
        <f>HYPERLINK("https://inpn.mnhn.fr/espece/cd_nom/463518","Schizopora radula (Pers.) Hallenb., 1983")</f>
        <v>Schizopora radula (Pers.) Hallenb., 1983</v>
      </c>
      <c r="AH6236" s="4" t="str">
        <f>HYPERLINK("#Statut_biogéographique!A"&amp;_xlfn.XMATCH("P",Statut_biogéographique!A:A,2,1),"P")</f>
        <v>P</v>
      </c>
      <c r="AP6236" s="4" t="s">
        <v>376</v>
      </c>
      <c r="AR6236" s="4" t="s">
        <v>377</v>
      </c>
    </row>
    <row r="6237" spans="1:44" ht="30">
      <c r="A6237" s="4" t="s">
        <v>5</v>
      </c>
      <c r="B6237" s="4">
        <v>463522</v>
      </c>
      <c r="D6237" s="5" t="s">
        <v>8913</v>
      </c>
      <c r="E6237" s="6" t="str">
        <f>HYPERLINK("https://inpn.mnhn.fr/espece/cd_nom/463522","Sarcomyxa serotina (Pers.) P.Karst., 1891")</f>
        <v>Sarcomyxa serotina (Pers.) P.Karst., 1891</v>
      </c>
      <c r="V6237" s="7" t="str">
        <f>HYPERLINK("#Liste_rouge!A"&amp;_xlfn.XMATCH("LC",Liste_rouge!A:A,2,1),"LC")</f>
        <v>LC</v>
      </c>
      <c r="AH6237" s="4" t="str">
        <f>HYPERLINK("#Statut_biogéographique!A"&amp;_xlfn.XMATCH("P",Statut_biogéographique!A:A,2,1),"P")</f>
        <v>P</v>
      </c>
      <c r="AP6237" s="4" t="s">
        <v>376</v>
      </c>
      <c r="AR6237" s="4" t="s">
        <v>377</v>
      </c>
    </row>
    <row r="6238" spans="1:44">
      <c r="A6238" s="4" t="s">
        <v>5</v>
      </c>
      <c r="B6238" s="4">
        <v>463532</v>
      </c>
      <c r="D6238" s="5" t="s">
        <v>8914</v>
      </c>
      <c r="E6238" s="6" t="str">
        <f>HYPERLINK("https://inpn.mnhn.fr/espece/cd_nom/463532","Puccinia praecox Bubák, 1898")</f>
        <v>Puccinia praecox Bubák, 1898</v>
      </c>
      <c r="AH6238" s="4" t="str">
        <f>HYPERLINK("#Statut_biogéographique!A"&amp;_xlfn.XMATCH("P",Statut_biogéographique!A:A,2,1),"P")</f>
        <v>P</v>
      </c>
      <c r="AP6238" s="4" t="s">
        <v>376</v>
      </c>
      <c r="AR6238" s="4" t="s">
        <v>377</v>
      </c>
    </row>
    <row r="6239" spans="1:44">
      <c r="A6239" s="4" t="s">
        <v>5</v>
      </c>
      <c r="B6239" s="4">
        <v>46354</v>
      </c>
      <c r="C6239" s="4">
        <v>3188</v>
      </c>
      <c r="D6239" s="5" t="s">
        <v>8915</v>
      </c>
      <c r="E6239" s="6" t="str">
        <f>HYPERLINK("https://inpn.mnhn.fr/espece/cd_nom/46354","Claviceps microcephala (Wallr.) Tul., 1853")</f>
        <v>Claviceps microcephala (Wallr.) Tul., 1853</v>
      </c>
      <c r="F6239" s="5" t="s">
        <v>8916</v>
      </c>
      <c r="V6239" s="7" t="str">
        <f>HYPERLINK("#Liste_rouge!A"&amp;_xlfn.XMATCH("LC",Liste_rouge!A:A,2,1),"LC")</f>
        <v>LC</v>
      </c>
      <c r="AH6239" s="4" t="str">
        <f>HYPERLINK("#Statut_biogéographique!A"&amp;_xlfn.XMATCH("P",Statut_biogéographique!A:A,2,1),"P")</f>
        <v>P</v>
      </c>
      <c r="AP6239" s="4" t="s">
        <v>376</v>
      </c>
      <c r="AR6239" s="4" t="s">
        <v>377</v>
      </c>
    </row>
    <row r="6240" spans="1:44">
      <c r="A6240" s="4" t="s">
        <v>5</v>
      </c>
      <c r="B6240" s="4">
        <v>463578</v>
      </c>
      <c r="D6240" s="5" t="s">
        <v>8917</v>
      </c>
      <c r="E6240" s="6" t="str">
        <f>HYPERLINK("https://inpn.mnhn.fr/espece/cd_nom/463578","Puccinia pulverulenta Grev., 1824")</f>
        <v>Puccinia pulverulenta Grev., 1824</v>
      </c>
      <c r="AH6240" s="4" t="str">
        <f>HYPERLINK("#Statut_biogéographique!A"&amp;_xlfn.XMATCH("P",Statut_biogéographique!A:A,2,1),"P")</f>
        <v>P</v>
      </c>
      <c r="AP6240" s="4" t="s">
        <v>376</v>
      </c>
      <c r="AR6240" s="4" t="s">
        <v>377</v>
      </c>
    </row>
    <row r="6241" spans="1:44" ht="30">
      <c r="A6241" s="4" t="s">
        <v>5</v>
      </c>
      <c r="B6241" s="4">
        <v>463592</v>
      </c>
      <c r="C6241" s="4">
        <v>2104</v>
      </c>
      <c r="D6241" s="5" t="s">
        <v>8918</v>
      </c>
      <c r="E6241" s="6" t="str">
        <f>HYPERLINK("https://inpn.mnhn.fr/espece/cd_nom/463592","Puccinia magnusiana Körn., 1876")</f>
        <v>Puccinia magnusiana Körn., 1876</v>
      </c>
      <c r="AH6241" s="4" t="str">
        <f>HYPERLINK("#Statut_biogéographique!A"&amp;_xlfn.XMATCH("P",Statut_biogéographique!A:A,2,1),"P")</f>
        <v>P</v>
      </c>
      <c r="AP6241" s="4" t="s">
        <v>376</v>
      </c>
      <c r="AR6241" s="4" t="s">
        <v>377</v>
      </c>
    </row>
    <row r="6242" spans="1:44">
      <c r="A6242" s="4" t="s">
        <v>5</v>
      </c>
      <c r="B6242" s="4">
        <v>463601</v>
      </c>
      <c r="D6242" s="5" t="s">
        <v>8919</v>
      </c>
      <c r="E6242" s="6" t="str">
        <f>HYPERLINK("https://inpn.mnhn.fr/espece/cd_nom/463601","Puccinia lapsanae Fuckel, 1860")</f>
        <v>Puccinia lapsanae Fuckel, 1860</v>
      </c>
      <c r="AH6242" s="4" t="str">
        <f>HYPERLINK("#Statut_biogéographique!A"&amp;_xlfn.XMATCH("P",Statut_biogéographique!A:A,2,1),"P")</f>
        <v>P</v>
      </c>
      <c r="AP6242" s="4" t="s">
        <v>376</v>
      </c>
      <c r="AR6242" s="4" t="s">
        <v>377</v>
      </c>
    </row>
    <row r="6243" spans="1:44">
      <c r="A6243" s="4" t="s">
        <v>5</v>
      </c>
      <c r="B6243" s="4">
        <v>463652</v>
      </c>
      <c r="D6243" s="5">
        <v>463652</v>
      </c>
      <c r="E6243" s="6" t="str">
        <f>HYPERLINK("https://inpn.mnhn.fr/espece/cd_nom/463652","Ramaria gypsea Schild, 1982")</f>
        <v>Ramaria gypsea Schild, 1982</v>
      </c>
      <c r="V6243" s="7" t="str">
        <f>HYPERLINK("#Liste_rouge!A"&amp;_xlfn.XMATCH("VU",Liste_rouge!A:A,2,1),"VU")</f>
        <v>VU</v>
      </c>
      <c r="W6243" s="4" t="str">
        <f>HYPERLINK("#Critères_liste_rouge!A$1","D2")</f>
        <v>D2</v>
      </c>
      <c r="AH6243" s="4" t="str">
        <f>HYPERLINK("#Statut_biogéographique!A"&amp;_xlfn.XMATCH("P",Statut_biogéographique!A:A,2,1),"P")</f>
        <v>P</v>
      </c>
      <c r="AP6243" s="4" t="s">
        <v>376</v>
      </c>
      <c r="AR6243" s="4" t="s">
        <v>377</v>
      </c>
    </row>
    <row r="6244" spans="1:44" ht="30">
      <c r="A6244" s="4" t="s">
        <v>5</v>
      </c>
      <c r="B6244" s="4">
        <v>463674</v>
      </c>
      <c r="D6244" s="5" t="s">
        <v>8920</v>
      </c>
      <c r="E6244" s="6" t="str">
        <f>HYPERLINK("https://inpn.mnhn.fr/espece/cd_nom/463674","Pucciniastrum epilobii (Pers.) G.H.Otth, 1861")</f>
        <v>Pucciniastrum epilobii (Pers.) G.H.Otth, 1861</v>
      </c>
      <c r="AH6244" s="4" t="str">
        <f>HYPERLINK("#Statut_biogéographique!A"&amp;_xlfn.XMATCH("P",Statut_biogéographique!A:A,2,1),"P")</f>
        <v>P</v>
      </c>
      <c r="AP6244" s="4" t="s">
        <v>376</v>
      </c>
      <c r="AR6244" s="4" t="s">
        <v>377</v>
      </c>
    </row>
    <row r="6245" spans="1:44">
      <c r="A6245" s="4" t="s">
        <v>5</v>
      </c>
      <c r="B6245" s="4">
        <v>463678</v>
      </c>
      <c r="D6245" s="5" t="s">
        <v>8921</v>
      </c>
      <c r="E6245" s="6" t="str">
        <f>HYPERLINK("https://inpn.mnhn.fr/espece/cd_nom/463678","Ramaria pallida (Schaeff.) Ricken, 1920")</f>
        <v>Ramaria pallida (Schaeff.) Ricken, 1920</v>
      </c>
      <c r="F6245" s="5" t="s">
        <v>8922</v>
      </c>
      <c r="V6245" s="7" t="str">
        <f>HYPERLINK("#Liste_rouge!A"&amp;_xlfn.XMATCH("LC",Liste_rouge!A:A,2,1),"LC")</f>
        <v>LC</v>
      </c>
      <c r="AH6245" s="4" t="str">
        <f>HYPERLINK("#Statut_biogéographique!A"&amp;_xlfn.XMATCH("P",Statut_biogéographique!A:A,2,1),"P")</f>
        <v>P</v>
      </c>
      <c r="AP6245" s="4" t="s">
        <v>376</v>
      </c>
      <c r="AR6245" s="4" t="s">
        <v>377</v>
      </c>
    </row>
    <row r="6246" spans="1:44" ht="30">
      <c r="A6246" s="4" t="s">
        <v>5</v>
      </c>
      <c r="B6246" s="4">
        <v>463679</v>
      </c>
      <c r="D6246" s="5" t="s">
        <v>8923</v>
      </c>
      <c r="E6246" s="6" t="str">
        <f>HYPERLINK("https://inpn.mnhn.fr/espece/cd_nom/463679","Pucciniastrum agrimoniae (Dietel) Tranzschel, 1895")</f>
        <v>Pucciniastrum agrimoniae (Dietel) Tranzschel, 1895</v>
      </c>
      <c r="AH6246" s="4" t="str">
        <f>HYPERLINK("#Statut_biogéographique!A"&amp;_xlfn.XMATCH("P",Statut_biogéographique!A:A,2,1),"P")</f>
        <v>P</v>
      </c>
      <c r="AP6246" s="4" t="s">
        <v>376</v>
      </c>
      <c r="AR6246" s="4" t="s">
        <v>377</v>
      </c>
    </row>
    <row r="6247" spans="1:44" ht="30">
      <c r="A6247" s="4" t="s">
        <v>5</v>
      </c>
      <c r="B6247" s="4">
        <v>463684</v>
      </c>
      <c r="D6247" s="5" t="s">
        <v>8924</v>
      </c>
      <c r="E6247" s="6" t="str">
        <f>HYPERLINK("https://inpn.mnhn.fr/espece/cd_nom/463684","Rhizomarasmius undatus (Berk.) R.H.Petersen, 2000")</f>
        <v>Rhizomarasmius undatus (Berk.) R.H.Petersen, 2000</v>
      </c>
      <c r="V6247" s="7" t="str">
        <f>HYPERLINK("#Liste_rouge!A"&amp;_xlfn.XMATCH("DD",Liste_rouge!A:A,2,1),"DD")</f>
        <v>DD</v>
      </c>
      <c r="AH6247" s="4" t="str">
        <f>HYPERLINK("#Statut_biogéographique!A"&amp;_xlfn.XMATCH("P",Statut_biogéographique!A:A,2,1),"P")</f>
        <v>P</v>
      </c>
      <c r="AP6247" s="4" t="s">
        <v>376</v>
      </c>
      <c r="AR6247" s="4" t="s">
        <v>377</v>
      </c>
    </row>
    <row r="6248" spans="1:44" ht="30">
      <c r="A6248" s="4" t="s">
        <v>5</v>
      </c>
      <c r="B6248" s="4">
        <v>463688</v>
      </c>
      <c r="D6248" s="5" t="s">
        <v>8925</v>
      </c>
      <c r="E6248" s="6" t="str">
        <f>HYPERLINK("https://inpn.mnhn.fr/espece/cd_nom/463688","Resupinatus conspersus (Pers.) Thorn, Moncalvo &amp; Redhead, 2006")</f>
        <v>Resupinatus conspersus (Pers.) Thorn, Moncalvo &amp; Redhead, 2006</v>
      </c>
      <c r="V6248" s="7" t="str">
        <f>HYPERLINK("#Liste_rouge!A"&amp;_xlfn.XMATCH("EN",Liste_rouge!A:A,2,1),"EN")</f>
        <v>EN</v>
      </c>
      <c r="W6248" s="4" t="str">
        <f>HYPERLINK("#Critères_liste_rouge!A$1","B2abiii")</f>
        <v>B2abiii</v>
      </c>
      <c r="AH6248" s="4" t="str">
        <f>HYPERLINK("#Statut_biogéographique!A"&amp;_xlfn.XMATCH("P",Statut_biogéographique!A:A,2,1),"P")</f>
        <v>P</v>
      </c>
      <c r="AP6248" s="4" t="s">
        <v>376</v>
      </c>
      <c r="AR6248" s="4" t="s">
        <v>377</v>
      </c>
    </row>
    <row r="6249" spans="1:44" ht="30">
      <c r="A6249" s="4" t="s">
        <v>5</v>
      </c>
      <c r="B6249" s="4">
        <v>46370</v>
      </c>
      <c r="C6249" s="4">
        <v>3987</v>
      </c>
      <c r="D6249" s="5" t="s">
        <v>8926</v>
      </c>
      <c r="E6249" s="6" t="str">
        <f>HYPERLINK("https://inpn.mnhn.fr/espece/cd_nom/46370","Clypeosphaeria mamillana (Fr.) Lambotte, 1880")</f>
        <v>Clypeosphaeria mamillana (Fr.) Lambotte, 1880</v>
      </c>
      <c r="AH6249" s="4" t="str">
        <f>HYPERLINK("#Statut_biogéographique!A"&amp;_xlfn.XMATCH("P",Statut_biogéographique!A:A,2,1),"P")</f>
        <v>P</v>
      </c>
      <c r="AP6249" s="4" t="s">
        <v>376</v>
      </c>
      <c r="AR6249" s="4" t="s">
        <v>377</v>
      </c>
    </row>
    <row r="6250" spans="1:44" ht="30">
      <c r="A6250" s="4" t="s">
        <v>5</v>
      </c>
      <c r="B6250" s="4">
        <v>463703</v>
      </c>
      <c r="C6250" s="4">
        <v>2474</v>
      </c>
      <c r="D6250" s="5" t="s">
        <v>8927</v>
      </c>
      <c r="E6250" s="6" t="str">
        <f>HYPERLINK("https://inpn.mnhn.fr/espece/cd_nom/463703","Ramaria rufescens (Schaeff.) Corner, 1950")</f>
        <v>Ramaria rufescens (Schaeff.) Corner, 1950</v>
      </c>
      <c r="F6250" s="5" t="s">
        <v>8928</v>
      </c>
      <c r="O6250" s="7" t="str">
        <f>HYPERLINK("#Liste_rouge!A"&amp;_xlfn.XMATCH("NT",Liste_rouge!A:A,2,1),"NT")</f>
        <v>NT</v>
      </c>
      <c r="V6250" s="7" t="str">
        <f>HYPERLINK("#Liste_rouge!A"&amp;_xlfn.XMATCH("VU",Liste_rouge!A:A,2,1),"VU")</f>
        <v>VU</v>
      </c>
      <c r="W6250" s="4" t="str">
        <f>HYPERLINK("#Critères_liste_rouge!A$1","A2c")</f>
        <v>A2c</v>
      </c>
      <c r="Z6250" s="4" t="s">
        <v>447</v>
      </c>
      <c r="AA6250" s="4" t="s">
        <v>448</v>
      </c>
      <c r="AH6250" s="4" t="str">
        <f>HYPERLINK("#Statut_biogéographique!A"&amp;_xlfn.XMATCH("P",Statut_biogéographique!A:A,2,1),"P")</f>
        <v>P</v>
      </c>
      <c r="AP6250" s="4" t="s">
        <v>376</v>
      </c>
      <c r="AR6250" s="4" t="s">
        <v>377</v>
      </c>
    </row>
    <row r="6251" spans="1:44">
      <c r="A6251" s="4" t="s">
        <v>5</v>
      </c>
      <c r="B6251" s="4">
        <v>463792</v>
      </c>
      <c r="D6251" s="5" t="s">
        <v>8929</v>
      </c>
      <c r="E6251" s="6" t="str">
        <f>HYPERLINK("https://inpn.mnhn.fr/espece/cd_nom/463792","Uromyces fallens (Arthur) Barthol., 1928")</f>
        <v>Uromyces fallens (Arthur) Barthol., 1928</v>
      </c>
      <c r="AH6251" s="4" t="str">
        <f>HYPERLINK("#Statut_biogéographique!A"&amp;_xlfn.XMATCH("P",Statut_biogéographique!A:A,2,1),"P")</f>
        <v>P</v>
      </c>
      <c r="AP6251" s="4" t="s">
        <v>376</v>
      </c>
      <c r="AR6251" s="4" t="s">
        <v>377</v>
      </c>
    </row>
    <row r="6252" spans="1:44" ht="30">
      <c r="A6252" s="4" t="s">
        <v>5</v>
      </c>
      <c r="B6252" s="4">
        <v>463801</v>
      </c>
      <c r="D6252" s="5" t="s">
        <v>8930</v>
      </c>
      <c r="E6252" s="6" t="str">
        <f>HYPERLINK("https://inpn.mnhn.fr/espece/cd_nom/463801","Uromyces genistae-tinctoriae (Pers.) Fuckel ex G.Winter, 1884")</f>
        <v>Uromyces genistae-tinctoriae (Pers.) Fuckel ex G.Winter, 1884</v>
      </c>
      <c r="AH6252" s="4" t="str">
        <f>HYPERLINK("#Statut_biogéographique!A"&amp;_xlfn.XMATCH("P",Statut_biogéographique!A:A,2,1),"P")</f>
        <v>P</v>
      </c>
      <c r="AP6252" s="4" t="s">
        <v>376</v>
      </c>
      <c r="AR6252" s="4" t="s">
        <v>377</v>
      </c>
    </row>
    <row r="6253" spans="1:44" ht="30">
      <c r="A6253" s="4" t="s">
        <v>5</v>
      </c>
      <c r="B6253" s="4">
        <v>463810</v>
      </c>
      <c r="D6253" s="5" t="s">
        <v>8931</v>
      </c>
      <c r="E6253" s="6" t="str">
        <f>HYPERLINK("https://inpn.mnhn.fr/espece/cd_nom/463810","Uromyces nerviphilus (Grognot) Hotson, 1925")</f>
        <v>Uromyces nerviphilus (Grognot) Hotson, 1925</v>
      </c>
      <c r="AH6253" s="4" t="str">
        <f>HYPERLINK("#Statut_biogéographique!A"&amp;_xlfn.XMATCH("P",Statut_biogéographique!A:A,2,1),"P")</f>
        <v>P</v>
      </c>
      <c r="AP6253" s="4" t="s">
        <v>376</v>
      </c>
      <c r="AR6253" s="4" t="s">
        <v>377</v>
      </c>
    </row>
    <row r="6254" spans="1:44">
      <c r="A6254" s="4" t="s">
        <v>5</v>
      </c>
      <c r="B6254" s="4">
        <v>463812</v>
      </c>
      <c r="D6254" s="5">
        <v>463812</v>
      </c>
      <c r="E6254" s="6" t="str">
        <f>HYPERLINK("https://inpn.mnhn.fr/espece/cd_nom/463812","Uromyces minor J.Schröt., 1887")</f>
        <v>Uromyces minor J.Schröt., 1887</v>
      </c>
      <c r="AH6254" s="4" t="str">
        <f>HYPERLINK("#Statut_biogéographique!A"&amp;_xlfn.XMATCH("P",Statut_biogéographique!A:A,2,1),"P")</f>
        <v>P</v>
      </c>
      <c r="AP6254" s="4" t="s">
        <v>376</v>
      </c>
      <c r="AR6254" s="4" t="s">
        <v>377</v>
      </c>
    </row>
    <row r="6255" spans="1:44">
      <c r="A6255" s="4" t="s">
        <v>5</v>
      </c>
      <c r="B6255" s="4">
        <v>463847</v>
      </c>
      <c r="D6255" s="5" t="s">
        <v>8932</v>
      </c>
      <c r="E6255" s="6" t="str">
        <f>HYPERLINK("https://inpn.mnhn.fr/espece/cd_nom/463847","Uromyces aconiti Fuckel, 1884")</f>
        <v>Uromyces aconiti Fuckel, 1884</v>
      </c>
      <c r="AH6255" s="4" t="str">
        <f>HYPERLINK("#Statut_biogéographique!A"&amp;_xlfn.XMATCH("P",Statut_biogéographique!A:A,2,1),"P")</f>
        <v>P</v>
      </c>
      <c r="AP6255" s="4" t="s">
        <v>376</v>
      </c>
      <c r="AR6255" s="4" t="s">
        <v>377</v>
      </c>
    </row>
    <row r="6256" spans="1:44">
      <c r="A6256" s="4" t="s">
        <v>5</v>
      </c>
      <c r="B6256" s="4">
        <v>463852</v>
      </c>
      <c r="D6256" s="5" t="s">
        <v>8933</v>
      </c>
      <c r="E6256" s="6" t="str">
        <f>HYPERLINK("https://inpn.mnhn.fr/espece/cd_nom/463852","Uromyces excavatus (DC.) Magnus, 1847")</f>
        <v>Uromyces excavatus (DC.) Magnus, 1847</v>
      </c>
      <c r="AH6256" s="4" t="str">
        <f>HYPERLINK("#Statut_biogéographique!A"&amp;_xlfn.XMATCH("P",Statut_biogéographique!A:A,2,1),"P")</f>
        <v>P</v>
      </c>
      <c r="AP6256" s="4" t="s">
        <v>376</v>
      </c>
      <c r="AR6256" s="4" t="s">
        <v>377</v>
      </c>
    </row>
    <row r="6257" spans="1:44">
      <c r="A6257" s="4" t="s">
        <v>5</v>
      </c>
      <c r="B6257" s="4">
        <v>463908</v>
      </c>
      <c r="D6257" s="5" t="s">
        <v>8934</v>
      </c>
      <c r="E6257" s="6" t="str">
        <f>HYPERLINK("https://inpn.mnhn.fr/espece/cd_nom/463908","Ustilago vaillantii Tul. &amp; C.Tul., 1847")</f>
        <v>Ustilago vaillantii Tul. &amp; C.Tul., 1847</v>
      </c>
      <c r="AH6257" s="4" t="str">
        <f>HYPERLINK("#Statut_biogéographique!A"&amp;_xlfn.XMATCH("P",Statut_biogéographique!A:A,2,1),"P")</f>
        <v>P</v>
      </c>
      <c r="AP6257" s="4" t="s">
        <v>376</v>
      </c>
      <c r="AR6257" s="4" t="s">
        <v>377</v>
      </c>
    </row>
    <row r="6258" spans="1:44" ht="30">
      <c r="A6258" s="4" t="s">
        <v>5</v>
      </c>
      <c r="B6258" s="4">
        <v>463940</v>
      </c>
      <c r="D6258" s="5" t="s">
        <v>8935</v>
      </c>
      <c r="E6258" s="6" t="str">
        <f>HYPERLINK("https://inpn.mnhn.fr/espece/cd_nom/463940","Xerocomus communis (Bull.) Bon, 1985")</f>
        <v>Xerocomus communis (Bull.) Bon, 1985</v>
      </c>
      <c r="F6258" s="5" t="s">
        <v>8936</v>
      </c>
      <c r="V6258" s="7" t="str">
        <f>HYPERLINK("#Liste_rouge!A"&amp;_xlfn.XMATCH("NT",Liste_rouge!A:A,2,1),"NT")</f>
        <v>NT</v>
      </c>
      <c r="W6258" s="4" t="str">
        <f>HYPERLINK("#Critères_liste_rouge!A$1","pr. B2abiii")</f>
        <v>pr. B2abiii</v>
      </c>
      <c r="AH6258" s="4" t="str">
        <f>HYPERLINK("#Statut_biogéographique!A"&amp;_xlfn.XMATCH("P",Statut_biogéographique!A:A,2,1),"P")</f>
        <v>P</v>
      </c>
      <c r="AP6258" s="4" t="s">
        <v>376</v>
      </c>
      <c r="AR6258" s="4" t="s">
        <v>377</v>
      </c>
    </row>
    <row r="6259" spans="1:44" ht="45">
      <c r="A6259" s="4" t="s">
        <v>5</v>
      </c>
      <c r="B6259" s="4">
        <v>463945</v>
      </c>
      <c r="D6259" s="5" t="s">
        <v>8937</v>
      </c>
      <c r="E6259" s="6" t="str">
        <f>HYPERLINK("https://inpn.mnhn.fr/espece/cd_nom/463945","Xerula pudens (Pers.) Singer, 1951")</f>
        <v>Xerula pudens (Pers.) Singer, 1951</v>
      </c>
      <c r="F6259" s="5" t="s">
        <v>8938</v>
      </c>
      <c r="V6259" s="7" t="str">
        <f>HYPERLINK("#Liste_rouge!A"&amp;_xlfn.XMATCH("NT",Liste_rouge!A:A,2,1),"NT")</f>
        <v>NT</v>
      </c>
      <c r="W6259" s="4" t="str">
        <f>HYPERLINK("#Critères_liste_rouge!A$1","pr. A2c")</f>
        <v>pr. A2c</v>
      </c>
      <c r="AH6259" s="4" t="str">
        <f>HYPERLINK("#Statut_biogéographique!A"&amp;_xlfn.XMATCH("P",Statut_biogéographique!A:A,2,1),"P")</f>
        <v>P</v>
      </c>
      <c r="AP6259" s="4" t="s">
        <v>376</v>
      </c>
      <c r="AR6259" s="4" t="s">
        <v>377</v>
      </c>
    </row>
    <row r="6260" spans="1:44" ht="30">
      <c r="A6260" s="4" t="s">
        <v>5</v>
      </c>
      <c r="B6260" s="4">
        <v>464014</v>
      </c>
      <c r="D6260" s="5" t="s">
        <v>8939</v>
      </c>
      <c r="E6260" s="6" t="str">
        <f>HYPERLINK("https://inpn.mnhn.fr/espece/cd_nom/464014","Uromyces valerianae (Schumach.) Fuckel, 1870")</f>
        <v>Uromyces valerianae (Schumach.) Fuckel, 1870</v>
      </c>
      <c r="AH6260" s="4" t="str">
        <f>HYPERLINK("#Statut_biogéographique!A"&amp;_xlfn.XMATCH("P",Statut_biogéographique!A:A,2,1),"P")</f>
        <v>P</v>
      </c>
      <c r="AP6260" s="4" t="s">
        <v>376</v>
      </c>
      <c r="AR6260" s="4" t="s">
        <v>377</v>
      </c>
    </row>
    <row r="6261" spans="1:44">
      <c r="A6261" s="4" t="s">
        <v>5</v>
      </c>
      <c r="B6261" s="4">
        <v>464021</v>
      </c>
      <c r="D6261" s="5" t="s">
        <v>8940</v>
      </c>
      <c r="E6261" s="6" t="str">
        <f>HYPERLINK("https://inpn.mnhn.fr/espece/cd_nom/464021","Uromyces viciae-fabae (Pers.) J.Schröt., 1875")</f>
        <v>Uromyces viciae-fabae (Pers.) J.Schröt., 1875</v>
      </c>
      <c r="AH6261" s="4" t="str">
        <f>HYPERLINK("#Statut_biogéographique!A"&amp;_xlfn.XMATCH("P",Statut_biogéographique!A:A,2,1),"P")</f>
        <v>P</v>
      </c>
      <c r="AP6261" s="4" t="s">
        <v>376</v>
      </c>
      <c r="AR6261" s="4" t="s">
        <v>377</v>
      </c>
    </row>
    <row r="6262" spans="1:44">
      <c r="A6262" s="4" t="s">
        <v>5</v>
      </c>
      <c r="B6262" s="4">
        <v>464023</v>
      </c>
      <c r="D6262" s="5" t="s">
        <v>8941</v>
      </c>
      <c r="E6262" s="6" t="str">
        <f>HYPERLINK("https://inpn.mnhn.fr/espece/cd_nom/464023","Urosporellina mitis (Pers.) E.Horak, 1968")</f>
        <v>Urosporellina mitis (Pers.) E.Horak, 1968</v>
      </c>
      <c r="V6262" s="7" t="str">
        <f>HYPERLINK("#Liste_rouge!A"&amp;_xlfn.XMATCH("LC",Liste_rouge!A:A,2,1),"LC")</f>
        <v>LC</v>
      </c>
      <c r="AH6262" s="4" t="str">
        <f>HYPERLINK("#Statut_biogéographique!A"&amp;_xlfn.XMATCH("P",Statut_biogéographique!A:A,2,1),"P")</f>
        <v>P</v>
      </c>
      <c r="AP6262" s="4" t="s">
        <v>376</v>
      </c>
      <c r="AR6262" s="4" t="s">
        <v>377</v>
      </c>
    </row>
    <row r="6263" spans="1:44">
      <c r="A6263" s="4" t="s">
        <v>5</v>
      </c>
      <c r="B6263" s="4">
        <v>46404</v>
      </c>
      <c r="C6263" s="4">
        <v>755</v>
      </c>
      <c r="D6263" s="5" t="s">
        <v>8942</v>
      </c>
      <c r="E6263" s="6" t="str">
        <f>HYPERLINK("https://inpn.mnhn.fr/espece/cd_nom/46404","Colpoma quercinum (Pers.) Wallr., 1833")</f>
        <v>Colpoma quercinum (Pers.) Wallr., 1833</v>
      </c>
      <c r="V6263" s="7" t="str">
        <f>HYPERLINK("#Liste_rouge!A"&amp;_xlfn.XMATCH("LC",Liste_rouge!A:A,2,1),"LC")</f>
        <v>LC</v>
      </c>
      <c r="AH6263" s="4" t="str">
        <f>HYPERLINK("#Statut_biogéographique!A"&amp;_xlfn.XMATCH("P",Statut_biogéographique!A:A,2,1),"P")</f>
        <v>P</v>
      </c>
      <c r="AP6263" s="4" t="s">
        <v>376</v>
      </c>
      <c r="AR6263" s="4" t="s">
        <v>377</v>
      </c>
    </row>
    <row r="6264" spans="1:44" ht="30">
      <c r="A6264" s="4" t="s">
        <v>5</v>
      </c>
      <c r="B6264" s="4">
        <v>464069</v>
      </c>
      <c r="D6264" s="5" t="s">
        <v>8943</v>
      </c>
      <c r="E6264" s="6" t="str">
        <f>HYPERLINK("https://inpn.mnhn.fr/espece/cd_nom/464069","Trechispora hymenocystis (Berk. &amp; Broome) K.H.Larss., 1994")</f>
        <v>Trechispora hymenocystis (Berk. &amp; Broome) K.H.Larss., 1994</v>
      </c>
      <c r="AH6264" s="4" t="str">
        <f>HYPERLINK("#Statut_biogéographique!A"&amp;_xlfn.XMATCH("P",Statut_biogéographique!A:A,2,1),"P")</f>
        <v>P</v>
      </c>
      <c r="AP6264" s="4" t="s">
        <v>376</v>
      </c>
      <c r="AR6264" s="4" t="s">
        <v>377</v>
      </c>
    </row>
    <row r="6265" spans="1:44">
      <c r="A6265" s="4" t="s">
        <v>5</v>
      </c>
      <c r="B6265" s="4">
        <v>464078</v>
      </c>
      <c r="D6265" s="5" t="s">
        <v>8944</v>
      </c>
      <c r="E6265" s="6" t="str">
        <f>HYPERLINK("https://inpn.mnhn.fr/espece/cd_nom/464078","Tomentella stuposa (Link) Stalpers, 1984")</f>
        <v>Tomentella stuposa (Link) Stalpers, 1984</v>
      </c>
      <c r="AH6265" s="4" t="str">
        <f>HYPERLINK("#Statut_biogéographique!A"&amp;_xlfn.XMATCH("P",Statut_biogéographique!A:A,2,1),"P")</f>
        <v>P</v>
      </c>
      <c r="AP6265" s="4" t="s">
        <v>376</v>
      </c>
      <c r="AR6265" s="4" t="s">
        <v>377</v>
      </c>
    </row>
    <row r="6266" spans="1:44" ht="30">
      <c r="A6266" s="4" t="s">
        <v>5</v>
      </c>
      <c r="B6266" s="4">
        <v>464082</v>
      </c>
      <c r="D6266" s="5" t="s">
        <v>8945</v>
      </c>
      <c r="E6266" s="6" t="str">
        <f>HYPERLINK("https://inpn.mnhn.fr/espece/cd_nom/464082","Tomentella lapida (Pers.) Stalpers, 1984")</f>
        <v>Tomentella lapida (Pers.) Stalpers, 1984</v>
      </c>
      <c r="AH6266" s="4" t="str">
        <f>HYPERLINK("#Statut_biogéographique!A"&amp;_xlfn.XMATCH("P",Statut_biogéographique!A:A,2,1),"P")</f>
        <v>P</v>
      </c>
      <c r="AP6266" s="4" t="s">
        <v>376</v>
      </c>
      <c r="AR6266" s="4" t="s">
        <v>377</v>
      </c>
    </row>
    <row r="6267" spans="1:44" ht="30">
      <c r="A6267" s="4" t="s">
        <v>5</v>
      </c>
      <c r="B6267" s="4">
        <v>464086</v>
      </c>
      <c r="D6267" s="5" t="s">
        <v>8946</v>
      </c>
      <c r="E6267" s="6" t="str">
        <f>HYPERLINK("https://inpn.mnhn.fr/espece/cd_nom/464086","Trametes ochracea (Pers.) Gilb. &amp; Ryvarden, 1987")</f>
        <v>Trametes ochracea (Pers.) Gilb. &amp; Ryvarden, 1987</v>
      </c>
      <c r="F6267" s="5" t="s">
        <v>8947</v>
      </c>
      <c r="V6267" s="7" t="str">
        <f>HYPERLINK("#Liste_rouge!A"&amp;_xlfn.XMATCH("LC",Liste_rouge!A:A,2,1),"LC")</f>
        <v>LC</v>
      </c>
      <c r="AH6267" s="4" t="str">
        <f>HYPERLINK("#Statut_biogéographique!A"&amp;_xlfn.XMATCH("P",Statut_biogéographique!A:A,2,1),"P")</f>
        <v>P</v>
      </c>
      <c r="AP6267" s="4" t="s">
        <v>376</v>
      </c>
      <c r="AR6267" s="4" t="s">
        <v>377</v>
      </c>
    </row>
    <row r="6268" spans="1:44">
      <c r="A6268" s="4" t="s">
        <v>5</v>
      </c>
      <c r="B6268" s="4">
        <v>46410</v>
      </c>
      <c r="C6268" s="4">
        <v>5015</v>
      </c>
      <c r="D6268" s="5" t="s">
        <v>8948</v>
      </c>
      <c r="E6268" s="6" t="str">
        <f>HYPERLINK("https://inpn.mnhn.fr/espece/cd_nom/46410","Coniochaeta hansenii (Oudem.) Cain, 1934")</f>
        <v>Coniochaeta hansenii (Oudem.) Cain, 1934</v>
      </c>
      <c r="AH6268" s="4" t="str">
        <f>HYPERLINK("#Statut_biogéographique!A"&amp;_xlfn.XMATCH("P",Statut_biogéographique!A:A,2,1),"P")</f>
        <v>P</v>
      </c>
      <c r="AP6268" s="4" t="s">
        <v>376</v>
      </c>
      <c r="AR6268" s="4" t="s">
        <v>377</v>
      </c>
    </row>
    <row r="6269" spans="1:44">
      <c r="A6269" s="4" t="s">
        <v>5</v>
      </c>
      <c r="B6269" s="4">
        <v>46411</v>
      </c>
      <c r="C6269" s="4">
        <v>5016</v>
      </c>
      <c r="D6269" s="5" t="s">
        <v>8949</v>
      </c>
      <c r="E6269" s="6" t="str">
        <f>HYPERLINK("https://inpn.mnhn.fr/espece/cd_nom/46411","Coniochaeta leucoplaca (Sacc.) Cain, 1934")</f>
        <v>Coniochaeta leucoplaca (Sacc.) Cain, 1934</v>
      </c>
      <c r="AH6269" s="4" t="str">
        <f>HYPERLINK("#Statut_biogéographique!A"&amp;_xlfn.XMATCH("P",Statut_biogéographique!A:A,2,1),"P")</f>
        <v>P</v>
      </c>
      <c r="AP6269" s="4" t="s">
        <v>376</v>
      </c>
      <c r="AR6269" s="4" t="s">
        <v>377</v>
      </c>
    </row>
    <row r="6270" spans="1:44" ht="30">
      <c r="A6270" s="4" t="s">
        <v>5</v>
      </c>
      <c r="B6270" s="4">
        <v>464117</v>
      </c>
      <c r="D6270" s="5" t="s">
        <v>8950</v>
      </c>
      <c r="E6270" s="6" t="str">
        <f>HYPERLINK("https://inpn.mnhn.fr/espece/cd_nom/464117","Stropharia melanosperma (Bull.) Gillet, 1878")</f>
        <v>Stropharia melanosperma (Bull.) Gillet, 1878</v>
      </c>
      <c r="V6270" s="7" t="str">
        <f>HYPERLINK("#Liste_rouge!A"&amp;_xlfn.XMATCH("NT",Liste_rouge!A:A,2,1),"NT")</f>
        <v>NT</v>
      </c>
      <c r="W6270" s="4" t="str">
        <f>HYPERLINK("#Critères_liste_rouge!A$1","pr. B2abiii")</f>
        <v>pr. B2abiii</v>
      </c>
      <c r="AH6270" s="4" t="str">
        <f>HYPERLINK("#Statut_biogéographique!A"&amp;_xlfn.XMATCH("P",Statut_biogéographique!A:A,2,1),"P")</f>
        <v>P</v>
      </c>
      <c r="AP6270" s="4" t="s">
        <v>376</v>
      </c>
      <c r="AR6270" s="4" t="s">
        <v>377</v>
      </c>
    </row>
    <row r="6271" spans="1:44">
      <c r="A6271" s="4" t="s">
        <v>5</v>
      </c>
      <c r="B6271" s="4">
        <v>46412</v>
      </c>
      <c r="C6271" s="4">
        <v>6458</v>
      </c>
      <c r="D6271" s="5">
        <v>873328</v>
      </c>
      <c r="E6271" s="6" t="str">
        <f>HYPERLINK("https://inpn.mnhn.fr/espece/cd_nom/46412","Coniochaeta ligniaria (Grev.) Cooke, 1887")</f>
        <v>Coniochaeta ligniaria (Grev.) Cooke, 1887</v>
      </c>
      <c r="AH6271" s="4" t="str">
        <f>HYPERLINK("#Statut_biogéographique!A"&amp;_xlfn.XMATCH("D",Statut_biogéographique!A:A,2,1),"D")</f>
        <v>D</v>
      </c>
      <c r="AP6271" s="4" t="s">
        <v>376</v>
      </c>
      <c r="AR6271" s="4" t="s">
        <v>377</v>
      </c>
    </row>
    <row r="6272" spans="1:44" ht="30">
      <c r="A6272" s="4" t="s">
        <v>5</v>
      </c>
      <c r="B6272" s="4">
        <v>464121</v>
      </c>
      <c r="D6272" s="5" t="s">
        <v>8951</v>
      </c>
      <c r="E6272" s="6" t="str">
        <f>HYPERLINK("https://inpn.mnhn.fr/espece/cd_nom/464121","Thanatephorus fusisporus (J.Schröt.) Hauerslev &amp; P.Roberts, 1996")</f>
        <v>Thanatephorus fusisporus (J.Schröt.) Hauerslev &amp; P.Roberts, 1996</v>
      </c>
      <c r="V6272" s="7" t="str">
        <f>HYPERLINK("#Liste_rouge!A"&amp;_xlfn.XMATCH("DD",Liste_rouge!A:A,2,1),"DD")</f>
        <v>DD</v>
      </c>
      <c r="AH6272" s="4" t="str">
        <f>HYPERLINK("#Statut_biogéographique!A"&amp;_xlfn.XMATCH("P",Statut_biogéographique!A:A,2,1),"P")</f>
        <v>P</v>
      </c>
      <c r="AP6272" s="4" t="s">
        <v>376</v>
      </c>
      <c r="AR6272" s="4" t="s">
        <v>377</v>
      </c>
    </row>
    <row r="6273" spans="1:44" ht="30">
      <c r="A6273" s="4" t="s">
        <v>5</v>
      </c>
      <c r="B6273" s="4">
        <v>464142</v>
      </c>
      <c r="D6273" s="5" t="s">
        <v>8952</v>
      </c>
      <c r="E6273" s="6" t="str">
        <f>HYPERLINK("https://inpn.mnhn.fr/espece/cd_nom/464142","Tapinella atrotomentosa (Batsch) Šutara, 1992")</f>
        <v>Tapinella atrotomentosa (Batsch) Šutara, 1992</v>
      </c>
      <c r="F6273" s="5" t="s">
        <v>583</v>
      </c>
      <c r="V6273" s="7" t="str">
        <f>HYPERLINK("#Liste_rouge!A"&amp;_xlfn.XMATCH("LC",Liste_rouge!A:A,2,1),"LC")</f>
        <v>LC</v>
      </c>
      <c r="AH6273" s="4" t="str">
        <f>HYPERLINK("#Statut_biogéographique!A"&amp;_xlfn.XMATCH("P",Statut_biogéographique!A:A,2,1),"P")</f>
        <v>P</v>
      </c>
      <c r="AP6273" s="4" t="s">
        <v>376</v>
      </c>
      <c r="AR6273" s="4" t="s">
        <v>377</v>
      </c>
    </row>
    <row r="6274" spans="1:44" ht="60">
      <c r="A6274" s="4" t="s">
        <v>5</v>
      </c>
      <c r="B6274" s="4">
        <v>464152</v>
      </c>
      <c r="D6274" s="5" t="s">
        <v>8953</v>
      </c>
      <c r="E6274" s="6" t="str">
        <f>HYPERLINK("https://inpn.mnhn.fr/espece/cd_nom/464152","Tapinella panuoides (Fr.) E.-J.Gilbert, 1931")</f>
        <v>Tapinella panuoides (Fr.) E.-J.Gilbert, 1931</v>
      </c>
      <c r="V6274" s="7" t="str">
        <f>HYPERLINK("#Liste_rouge!A"&amp;_xlfn.XMATCH("LC",Liste_rouge!A:A,2,1),"LC")</f>
        <v>LC</v>
      </c>
      <c r="AH6274" s="4" t="str">
        <f>HYPERLINK("#Statut_biogéographique!A"&amp;_xlfn.XMATCH("P",Statut_biogéographique!A:A,2,1),"P")</f>
        <v>P</v>
      </c>
      <c r="AP6274" s="4" t="s">
        <v>376</v>
      </c>
      <c r="AR6274" s="4" t="s">
        <v>377</v>
      </c>
    </row>
    <row r="6275" spans="1:44" ht="30">
      <c r="A6275" s="4" t="s">
        <v>5</v>
      </c>
      <c r="B6275" s="4">
        <v>464216</v>
      </c>
      <c r="D6275" s="5" t="s">
        <v>8954</v>
      </c>
      <c r="E6275" s="6" t="str">
        <f>HYPERLINK("https://inpn.mnhn.fr/espece/cd_nom/464216","Tricholoma sulphureum (Bull.) P.Kumm., 1871")</f>
        <v>Tricholoma sulphureum (Bull.) P.Kumm., 1871</v>
      </c>
      <c r="F6275" s="5" t="s">
        <v>1149</v>
      </c>
      <c r="V6275" s="7" t="str">
        <f>HYPERLINK("#Liste_rouge!A"&amp;_xlfn.XMATCH("LC",Liste_rouge!A:A,2,1),"LC")</f>
        <v>LC</v>
      </c>
      <c r="AH6275" s="4" t="str">
        <f>HYPERLINK("#Statut_biogéographique!A"&amp;_xlfn.XMATCH("P",Statut_biogéographique!A:A,2,1),"P")</f>
        <v>P</v>
      </c>
      <c r="AP6275" s="4" t="s">
        <v>376</v>
      </c>
      <c r="AR6275" s="4" t="s">
        <v>377</v>
      </c>
    </row>
    <row r="6276" spans="1:44" ht="30">
      <c r="A6276" s="4" t="s">
        <v>5</v>
      </c>
      <c r="B6276" s="4">
        <v>464222</v>
      </c>
      <c r="D6276" s="5" t="s">
        <v>8955</v>
      </c>
      <c r="E6276" s="6" t="str">
        <f>HYPERLINK("https://inpn.mnhn.fr/espece/cd_nom/464222","Tricholoma filamentosum (Alessio) Alessio, 1988")</f>
        <v>Tricholoma filamentosum (Alessio) Alessio, 1988</v>
      </c>
      <c r="V6276" s="7" t="str">
        <f>HYPERLINK("#Liste_rouge!A"&amp;_xlfn.XMATCH("EN",Liste_rouge!A:A,2,1),"EN")</f>
        <v>EN</v>
      </c>
      <c r="W6276" s="4" t="str">
        <f>HYPERLINK("#Critères_liste_rouge!A$1","B2abiii")</f>
        <v>B2abiii</v>
      </c>
      <c r="AH6276" s="4" t="str">
        <f>HYPERLINK("#Statut_biogéographique!A"&amp;_xlfn.XMATCH("P",Statut_biogéographique!A:A,2,1),"P")</f>
        <v>P</v>
      </c>
      <c r="AP6276" s="4" t="s">
        <v>376</v>
      </c>
      <c r="AR6276" s="4" t="s">
        <v>377</v>
      </c>
    </row>
    <row r="6277" spans="1:44" ht="30">
      <c r="A6277" s="4" t="s">
        <v>5</v>
      </c>
      <c r="B6277" s="4">
        <v>464225</v>
      </c>
      <c r="D6277" s="5" t="s">
        <v>8956</v>
      </c>
      <c r="E6277" s="6" t="str">
        <f>HYPERLINK("https://inpn.mnhn.fr/espece/cd_nom/464225","Tricholomella constricta (Fr.) Zerova ex Kalamees, 1992")</f>
        <v>Tricholomella constricta (Fr.) Zerova ex Kalamees, 1992</v>
      </c>
      <c r="V6277" s="7" t="str">
        <f>HYPERLINK("#Liste_rouge!A"&amp;_xlfn.XMATCH("NT",Liste_rouge!A:A,2,1),"NT")</f>
        <v>NT</v>
      </c>
      <c r="W6277" s="4" t="str">
        <f>HYPERLINK("#Critères_liste_rouge!A$1","pr. B2abiii")</f>
        <v>pr. B2abiii</v>
      </c>
      <c r="AH6277" s="4" t="str">
        <f>HYPERLINK("#Statut_biogéographique!A"&amp;_xlfn.XMATCH("P",Statut_biogéographique!A:A,2,1),"P")</f>
        <v>P</v>
      </c>
      <c r="AP6277" s="4" t="s">
        <v>376</v>
      </c>
      <c r="AR6277" s="4" t="s">
        <v>377</v>
      </c>
    </row>
    <row r="6278" spans="1:44" ht="30">
      <c r="A6278" s="4" t="s">
        <v>5</v>
      </c>
      <c r="B6278" s="4">
        <v>464226</v>
      </c>
      <c r="D6278" s="5" t="s">
        <v>8957</v>
      </c>
      <c r="E6278" s="6" t="str">
        <f>HYPERLINK("https://inpn.mnhn.fr/espece/cd_nom/464226","Tricholomella leucocephala (Bull.) Zerova ex Bon, 1999")</f>
        <v>Tricholomella leucocephala (Bull.) Zerova ex Bon, 1999</v>
      </c>
      <c r="V6278" s="7" t="str">
        <f>HYPERLINK("#Liste_rouge!A"&amp;_xlfn.XMATCH("EN",Liste_rouge!A:A,2,1),"EN")</f>
        <v>EN</v>
      </c>
      <c r="W6278" s="4" t="str">
        <f>HYPERLINK("#Critères_liste_rouge!A$1","B2abiii")</f>
        <v>B2abiii</v>
      </c>
      <c r="AH6278" s="4" t="str">
        <f>HYPERLINK("#Statut_biogéographique!A"&amp;_xlfn.XMATCH("P",Statut_biogéographique!A:A,2,1),"P")</f>
        <v>P</v>
      </c>
      <c r="AP6278" s="4" t="s">
        <v>376</v>
      </c>
      <c r="AR6278" s="4" t="s">
        <v>377</v>
      </c>
    </row>
    <row r="6279" spans="1:44" ht="30">
      <c r="A6279" s="4" t="s">
        <v>5</v>
      </c>
      <c r="B6279" s="4">
        <v>46423</v>
      </c>
      <c r="C6279" s="4">
        <v>3997</v>
      </c>
      <c r="D6279" s="5" t="s">
        <v>8958</v>
      </c>
      <c r="E6279" s="6" t="str">
        <f>HYPERLINK("https://inpn.mnhn.fr/espece/cd_nom/46423","Coniochaeta scatigena (Berk. &amp; Broome) Cain, 1934")</f>
        <v>Coniochaeta scatigena (Berk. &amp; Broome) Cain, 1934</v>
      </c>
      <c r="AH6279" s="4" t="str">
        <f>HYPERLINK("#Statut_biogéographique!A"&amp;_xlfn.XMATCH("P",Statut_biogéographique!A:A,2,1),"P")</f>
        <v>P</v>
      </c>
      <c r="AP6279" s="4" t="s">
        <v>376</v>
      </c>
      <c r="AR6279" s="4" t="s">
        <v>377</v>
      </c>
    </row>
    <row r="6280" spans="1:44" ht="30">
      <c r="A6280" s="4" t="s">
        <v>5</v>
      </c>
      <c r="B6280" s="4">
        <v>464236</v>
      </c>
      <c r="D6280" s="5" t="s">
        <v>8959</v>
      </c>
      <c r="E6280" s="6" t="str">
        <f>HYPERLINK("https://inpn.mnhn.fr/espece/cd_nom/464236","Trechispora sphaerospora (Maire) Parmasto, 1968")</f>
        <v>Trechispora sphaerospora (Maire) Parmasto, 1968</v>
      </c>
      <c r="AH6280" s="4" t="str">
        <f>HYPERLINK("#Statut_biogéographique!A"&amp;_xlfn.XMATCH("P",Statut_biogéographique!A:A,2,1),"P")</f>
        <v>P</v>
      </c>
      <c r="AP6280" s="4" t="s">
        <v>376</v>
      </c>
      <c r="AR6280" s="4" t="s">
        <v>377</v>
      </c>
    </row>
    <row r="6281" spans="1:44" ht="30">
      <c r="A6281" s="4" t="s">
        <v>5</v>
      </c>
      <c r="B6281" s="4">
        <v>464238</v>
      </c>
      <c r="D6281" s="5" t="s">
        <v>8960</v>
      </c>
      <c r="E6281" s="6" t="str">
        <f>HYPERLINK("https://inpn.mnhn.fr/espece/cd_nom/464238","Tricholoma frondosae Kalamees &amp; Shchukin, 2001")</f>
        <v>Tricholoma frondosae Kalamees &amp; Shchukin, 2001</v>
      </c>
      <c r="AH6281" s="4" t="str">
        <f>HYPERLINK("#Statut_biogéographique!A"&amp;_xlfn.XMATCH("P",Statut_biogéographique!A:A,2,1),"P")</f>
        <v>P</v>
      </c>
      <c r="AP6281" s="4" t="s">
        <v>376</v>
      </c>
      <c r="AR6281" s="4" t="s">
        <v>377</v>
      </c>
    </row>
    <row r="6282" spans="1:44">
      <c r="A6282" s="4" t="s">
        <v>5</v>
      </c>
      <c r="B6282" s="4">
        <v>464239</v>
      </c>
      <c r="D6282" s="5">
        <v>464239</v>
      </c>
      <c r="E6282" s="6" t="str">
        <f>HYPERLINK("https://inpn.mnhn.fr/espece/cd_nom/464239","Tremella aurantia Schwein., 1822")</f>
        <v>Tremella aurantia Schwein., 1822</v>
      </c>
      <c r="AH6282" s="4" t="str">
        <f>HYPERLINK("#Statut_biogéographique!A"&amp;_xlfn.XMATCH("P",Statut_biogéographique!A:A,2,1),"P")</f>
        <v>P</v>
      </c>
      <c r="AP6282" s="4" t="s">
        <v>376</v>
      </c>
      <c r="AR6282" s="4" t="s">
        <v>377</v>
      </c>
    </row>
    <row r="6283" spans="1:44">
      <c r="A6283" s="4" t="s">
        <v>5</v>
      </c>
      <c r="B6283" s="4">
        <v>464240</v>
      </c>
      <c r="D6283" s="5" t="s">
        <v>8961</v>
      </c>
      <c r="E6283" s="6" t="str">
        <f>HYPERLINK("https://inpn.mnhn.fr/espece/cd_nom/464240","Triphragmium ulmariae (DC.) Link, 1825")</f>
        <v>Triphragmium ulmariae (DC.) Link, 1825</v>
      </c>
      <c r="AH6283" s="4" t="str">
        <f>HYPERLINK("#Statut_biogéographique!A"&amp;_xlfn.XMATCH("P",Statut_biogéographique!A:A,2,1),"P")</f>
        <v>P</v>
      </c>
      <c r="AP6283" s="4" t="s">
        <v>376</v>
      </c>
      <c r="AR6283" s="4" t="s">
        <v>377</v>
      </c>
    </row>
    <row r="6284" spans="1:44">
      <c r="A6284" s="4" t="s">
        <v>5</v>
      </c>
      <c r="B6284" s="4">
        <v>464244</v>
      </c>
      <c r="D6284" s="5" t="s">
        <v>8962</v>
      </c>
      <c r="E6284" s="6" t="str">
        <f>HYPERLINK("https://inpn.mnhn.fr/espece/cd_nom/464244","Tricholoma bresadolanum Clémençon, 1977")</f>
        <v>Tricholoma bresadolanum Clémençon, 1977</v>
      </c>
      <c r="V6284" s="7" t="str">
        <f>HYPERLINK("#Liste_rouge!A"&amp;_xlfn.XMATCH("NT",Liste_rouge!A:A,2,1),"NT")</f>
        <v>NT</v>
      </c>
      <c r="W6284" s="4" t="str">
        <f>HYPERLINK("#Critères_liste_rouge!A$1","pr. B2abiii")</f>
        <v>pr. B2abiii</v>
      </c>
      <c r="AH6284" s="4" t="str">
        <f>HYPERLINK("#Statut_biogéographique!A"&amp;_xlfn.XMATCH("P",Statut_biogéographique!A:A,2,1),"P")</f>
        <v>P</v>
      </c>
      <c r="AP6284" s="4" t="s">
        <v>376</v>
      </c>
      <c r="AR6284" s="4" t="s">
        <v>377</v>
      </c>
    </row>
    <row r="6285" spans="1:44">
      <c r="A6285" s="4" t="s">
        <v>5</v>
      </c>
      <c r="B6285" s="4">
        <v>464248</v>
      </c>
      <c r="D6285" s="5">
        <v>464248</v>
      </c>
      <c r="E6285" s="6" t="str">
        <f>HYPERLINK("https://inpn.mnhn.fr/espece/cd_nom/464248","Typhula erumpens Corner, 1970")</f>
        <v>Typhula erumpens Corner, 1970</v>
      </c>
      <c r="V6285" s="7" t="str">
        <f>HYPERLINK("#Liste_rouge!A"&amp;_xlfn.XMATCH("DD",Liste_rouge!A:A,2,1),"DD")</f>
        <v>DD</v>
      </c>
      <c r="AH6285" s="4" t="str">
        <f>HYPERLINK("#Statut_biogéographique!A"&amp;_xlfn.XMATCH("P",Statut_biogéographique!A:A,2,1),"P")</f>
        <v>P</v>
      </c>
      <c r="AP6285" s="4" t="s">
        <v>376</v>
      </c>
      <c r="AR6285" s="4" t="s">
        <v>377</v>
      </c>
    </row>
    <row r="6286" spans="1:44">
      <c r="A6286" s="4" t="s">
        <v>5</v>
      </c>
      <c r="B6286" s="4">
        <v>46426</v>
      </c>
      <c r="C6286" s="4">
        <v>4902</v>
      </c>
      <c r="D6286" s="5" t="s">
        <v>8963</v>
      </c>
      <c r="E6286" s="6" t="str">
        <f>HYPERLINK("https://inpn.mnhn.fr/espece/cd_nom/46426","Coniochaeta sordaria (Fr.) Petr., 1953")</f>
        <v>Coniochaeta sordaria (Fr.) Petr., 1953</v>
      </c>
      <c r="AH6286" s="4" t="str">
        <f>HYPERLINK("#Statut_biogéographique!A"&amp;_xlfn.XMATCH("P",Statut_biogéographique!A:A,2,1),"P")</f>
        <v>P</v>
      </c>
      <c r="AP6286" s="4" t="s">
        <v>376</v>
      </c>
      <c r="AR6286" s="4" t="s">
        <v>377</v>
      </c>
    </row>
    <row r="6287" spans="1:44" ht="30">
      <c r="A6287" s="4" t="s">
        <v>5</v>
      </c>
      <c r="B6287" s="4">
        <v>46428</v>
      </c>
      <c r="C6287" s="4">
        <v>1531</v>
      </c>
      <c r="D6287" s="5" t="s">
        <v>8964</v>
      </c>
      <c r="E6287" s="6" t="str">
        <f>HYPERLINK("https://inpn.mnhn.fr/espece/cd_nom/46428","Coniochaeta subcorticalis (Fuckel) Cooke, 1887")</f>
        <v>Coniochaeta subcorticalis (Fuckel) Cooke, 1887</v>
      </c>
      <c r="AH6287" s="4" t="str">
        <f>HYPERLINK("#Statut_biogéographique!A"&amp;_xlfn.XMATCH("P",Statut_biogéographique!A:A,2,1),"P")</f>
        <v>P</v>
      </c>
      <c r="AP6287" s="4" t="s">
        <v>376</v>
      </c>
      <c r="AR6287" s="4" t="s">
        <v>377</v>
      </c>
    </row>
    <row r="6288" spans="1:44" ht="30">
      <c r="A6288" s="4" t="s">
        <v>5</v>
      </c>
      <c r="B6288" s="4">
        <v>464285</v>
      </c>
      <c r="D6288" s="5" t="s">
        <v>8965</v>
      </c>
      <c r="E6288" s="6" t="str">
        <f>HYPERLINK("https://inpn.mnhn.fr/espece/cd_nom/464285","Macrotyphula juncea (Alb. &amp; Schwein.) Berthier, 1974")</f>
        <v>Macrotyphula juncea (Alb. &amp; Schwein.) Berthier, 1974</v>
      </c>
      <c r="V6288" s="7" t="str">
        <f>HYPERLINK("#Liste_rouge!A"&amp;_xlfn.XMATCH("LC",Liste_rouge!A:A,2,1),"LC")</f>
        <v>LC</v>
      </c>
      <c r="AH6288" s="4" t="str">
        <f>HYPERLINK("#Statut_biogéographique!A"&amp;_xlfn.XMATCH("P",Statut_biogéographique!A:A,2,1),"P")</f>
        <v>P</v>
      </c>
      <c r="AP6288" s="4" t="s">
        <v>376</v>
      </c>
      <c r="AR6288" s="4" t="s">
        <v>377</v>
      </c>
    </row>
    <row r="6289" spans="1:44">
      <c r="A6289" s="4" t="s">
        <v>5</v>
      </c>
      <c r="B6289" s="4">
        <v>464290</v>
      </c>
      <c r="D6289" s="5" t="s">
        <v>8966</v>
      </c>
      <c r="E6289" s="6" t="str">
        <f>HYPERLINK("https://inpn.mnhn.fr/espece/cd_nom/464290","Lyophyllum macrosporum Singer, 1943")</f>
        <v>Lyophyllum macrosporum Singer, 1943</v>
      </c>
      <c r="V6289" s="7" t="str">
        <f>HYPERLINK("#Liste_rouge!A"&amp;_xlfn.XMATCH("DD",Liste_rouge!A:A,2,1),"DD")</f>
        <v>DD</v>
      </c>
      <c r="AH6289" s="4" t="str">
        <f>HYPERLINK("#Statut_biogéographique!A"&amp;_xlfn.XMATCH("P",Statut_biogéographique!A:A,2,1),"P")</f>
        <v>P</v>
      </c>
      <c r="AP6289" s="4" t="s">
        <v>376</v>
      </c>
      <c r="AR6289" s="4" t="s">
        <v>377</v>
      </c>
    </row>
    <row r="6290" spans="1:44" ht="30">
      <c r="A6290" s="4" t="s">
        <v>5</v>
      </c>
      <c r="B6290" s="4">
        <v>464291</v>
      </c>
      <c r="D6290" s="5" t="s">
        <v>8967</v>
      </c>
      <c r="E6290" s="6" t="str">
        <f>HYPERLINK("https://inpn.mnhn.fr/espece/cd_nom/464291","Lyophyllum maas-geesterani Clémençon &amp; Winterh., 1992")</f>
        <v>Lyophyllum maas-geesterani Clémençon &amp; Winterh., 1992</v>
      </c>
      <c r="V6290" s="7" t="str">
        <f>HYPERLINK("#Liste_rouge!A"&amp;_xlfn.XMATCH("DD",Liste_rouge!A:A,2,1),"DD")</f>
        <v>DD</v>
      </c>
      <c r="AH6290" s="4" t="str">
        <f>HYPERLINK("#Statut_biogéographique!A"&amp;_xlfn.XMATCH("P",Statut_biogéographique!A:A,2,1),"P")</f>
        <v>P</v>
      </c>
      <c r="AP6290" s="4" t="s">
        <v>376</v>
      </c>
      <c r="AR6290" s="4" t="s">
        <v>377</v>
      </c>
    </row>
    <row r="6291" spans="1:44" ht="30">
      <c r="A6291" s="4" t="s">
        <v>5</v>
      </c>
      <c r="B6291" s="4">
        <v>464299</v>
      </c>
      <c r="D6291" s="5" t="s">
        <v>8968</v>
      </c>
      <c r="E6291" s="6" t="str">
        <f>HYPERLINK("https://inpn.mnhn.fr/espece/cd_nom/464299","Loreleia marchantiae (Singer &amp; Clémençon) Redhead, Moncalvo, Vilgalys &amp; Lutzoni, 2002")</f>
        <v>Loreleia marchantiae (Singer &amp; Clémençon) Redhead, Moncalvo, Vilgalys &amp; Lutzoni, 2002</v>
      </c>
      <c r="V6291" s="7" t="str">
        <f>HYPERLINK("#Liste_rouge!A"&amp;_xlfn.XMATCH("NT",Liste_rouge!A:A,2,1),"NT")</f>
        <v>NT</v>
      </c>
      <c r="W6291" s="4" t="str">
        <f>HYPERLINK("#Critères_liste_rouge!A$1","pr. B2a")</f>
        <v>pr. B2a</v>
      </c>
      <c r="AH6291" s="4" t="str">
        <f>HYPERLINK("#Statut_biogéographique!A"&amp;_xlfn.XMATCH("P",Statut_biogéographique!A:A,2,1),"P")</f>
        <v>P</v>
      </c>
      <c r="AP6291" s="4" t="s">
        <v>376</v>
      </c>
      <c r="AR6291" s="4" t="s">
        <v>377</v>
      </c>
    </row>
    <row r="6292" spans="1:44" ht="30">
      <c r="A6292" s="4" t="s">
        <v>5</v>
      </c>
      <c r="B6292" s="4">
        <v>464300</v>
      </c>
      <c r="D6292" s="5" t="s">
        <v>8969</v>
      </c>
      <c r="E6292" s="6" t="str">
        <f>HYPERLINK("https://inpn.mnhn.fr/espece/cd_nom/464300","Loreleia postii (Fr.) Redhead, Moncalvo, Vilgalys &amp; Lutzoni, 2002")</f>
        <v>Loreleia postii (Fr.) Redhead, Moncalvo, Vilgalys &amp; Lutzoni, 2002</v>
      </c>
      <c r="V6292" s="7" t="str">
        <f>HYPERLINK("#Liste_rouge!A"&amp;_xlfn.XMATCH("CR",Liste_rouge!A:A,2,1),"CR")</f>
        <v>CR</v>
      </c>
      <c r="W6292" s="4" t="str">
        <f>HYPERLINK("#Critères_liste_rouge!A$1","B2abiii")</f>
        <v>B2abiii</v>
      </c>
      <c r="AH6292" s="4" t="str">
        <f>HYPERLINK("#Statut_biogéographique!A"&amp;_xlfn.XMATCH("P",Statut_biogéographique!A:A,2,1),"P")</f>
        <v>P</v>
      </c>
      <c r="AP6292" s="4" t="s">
        <v>376</v>
      </c>
      <c r="AR6292" s="4" t="s">
        <v>377</v>
      </c>
    </row>
    <row r="6293" spans="1:44">
      <c r="A6293" s="4" t="s">
        <v>5</v>
      </c>
      <c r="B6293" s="4">
        <v>464310</v>
      </c>
      <c r="D6293" s="5" t="s">
        <v>8970</v>
      </c>
      <c r="E6293" s="6" t="str">
        <f>HYPERLINK("https://inpn.mnhn.fr/espece/cd_nom/464310","Lycoperdon mammaeforme Pers., 1801")</f>
        <v>Lycoperdon mammaeforme Pers., 1801</v>
      </c>
      <c r="V6293" s="7" t="str">
        <f>HYPERLINK("#Liste_rouge!A"&amp;_xlfn.XMATCH("NT",Liste_rouge!A:A,2,1),"NT")</f>
        <v>NT</v>
      </c>
      <c r="W6293" s="4" t="str">
        <f>HYPERLINK("#Critères_liste_rouge!A$1","pr. A2c")</f>
        <v>pr. A2c</v>
      </c>
      <c r="AH6293" s="4" t="str">
        <f>HYPERLINK("#Statut_biogéographique!A"&amp;_xlfn.XMATCH("P",Statut_biogéographique!A:A,2,1),"P")</f>
        <v>P</v>
      </c>
      <c r="AP6293" s="4" t="s">
        <v>376</v>
      </c>
      <c r="AR6293" s="4" t="s">
        <v>377</v>
      </c>
    </row>
    <row r="6294" spans="1:44" ht="30">
      <c r="A6294" s="4" t="s">
        <v>5</v>
      </c>
      <c r="B6294" s="4">
        <v>464311</v>
      </c>
      <c r="D6294" s="5" t="s">
        <v>8971</v>
      </c>
      <c r="E6294" s="6" t="str">
        <f>HYPERLINK("https://inpn.mnhn.fr/espece/cd_nom/464311","Melampsora aecidioides Plowr.")</f>
        <v>Melampsora aecidioides Plowr.</v>
      </c>
      <c r="AH6294" s="4" t="str">
        <f>HYPERLINK("#Statut_biogéographique!A"&amp;_xlfn.XMATCH("P",Statut_biogéographique!A:A,2,1),"P")</f>
        <v>P</v>
      </c>
      <c r="AP6294" s="4" t="s">
        <v>376</v>
      </c>
      <c r="AR6294" s="4" t="s">
        <v>377</v>
      </c>
    </row>
    <row r="6295" spans="1:44" ht="30">
      <c r="A6295" s="4" t="s">
        <v>5</v>
      </c>
      <c r="B6295" s="4">
        <v>464314</v>
      </c>
      <c r="D6295" s="5" t="s">
        <v>8972</v>
      </c>
      <c r="E6295" s="6" t="str">
        <f>HYPERLINK("https://inpn.mnhn.fr/espece/cd_nom/464314","Marasmius wynneae Berk. &amp; Broome, 1859")</f>
        <v>Marasmius wynneae Berk. &amp; Broome, 1859</v>
      </c>
      <c r="V6295" s="7" t="str">
        <f>HYPERLINK("#Liste_rouge!A"&amp;_xlfn.XMATCH("LC",Liste_rouge!A:A,2,1),"LC")</f>
        <v>LC</v>
      </c>
      <c r="AH6295" s="4" t="str">
        <f>HYPERLINK("#Statut_biogéographique!A"&amp;_xlfn.XMATCH("P",Statut_biogéographique!A:A,2,1),"P")</f>
        <v>P</v>
      </c>
      <c r="AP6295" s="4" t="s">
        <v>376</v>
      </c>
      <c r="AR6295" s="4" t="s">
        <v>377</v>
      </c>
    </row>
    <row r="6296" spans="1:44">
      <c r="A6296" s="4" t="s">
        <v>5</v>
      </c>
      <c r="B6296" s="4">
        <v>464317</v>
      </c>
      <c r="D6296" s="5">
        <v>464317</v>
      </c>
      <c r="E6296" s="6" t="str">
        <f>HYPERLINK("https://inpn.mnhn.fr/espece/cd_nom/464317","Marasmius tenuiparietalis Singer, 1969")</f>
        <v>Marasmius tenuiparietalis Singer, 1969</v>
      </c>
      <c r="V6296" s="7" t="str">
        <f>HYPERLINK("#Liste_rouge!A"&amp;_xlfn.XMATCH("LC",Liste_rouge!A:A,2,1),"LC")</f>
        <v>LC</v>
      </c>
      <c r="AH6296" s="4" t="str">
        <f>HYPERLINK("#Statut_biogéographique!A"&amp;_xlfn.XMATCH("P",Statut_biogéographique!A:A,2,1),"P")</f>
        <v>P</v>
      </c>
      <c r="AP6296" s="4" t="s">
        <v>376</v>
      </c>
      <c r="AR6296" s="4" t="s">
        <v>377</v>
      </c>
    </row>
    <row r="6297" spans="1:44">
      <c r="A6297" s="4" t="s">
        <v>5</v>
      </c>
      <c r="B6297" s="4">
        <v>464320</v>
      </c>
      <c r="C6297" s="4">
        <v>896</v>
      </c>
      <c r="D6297" s="5" t="s">
        <v>8973</v>
      </c>
      <c r="E6297" s="6" t="str">
        <f>HYPERLINK("https://inpn.mnhn.fr/espece/cd_nom/464320","Melampsora allii-fragilis Kleb., 1901")</f>
        <v>Melampsora allii-fragilis Kleb., 1901</v>
      </c>
      <c r="AH6297" s="4" t="str">
        <f>HYPERLINK("#Statut_biogéographique!A"&amp;_xlfn.XMATCH("P",Statut_biogéographique!A:A,2,1),"P")</f>
        <v>P</v>
      </c>
      <c r="AP6297" s="4" t="s">
        <v>376</v>
      </c>
      <c r="AR6297" s="4" t="s">
        <v>377</v>
      </c>
    </row>
    <row r="6298" spans="1:44" ht="30">
      <c r="A6298" s="4" t="s">
        <v>5</v>
      </c>
      <c r="B6298" s="4">
        <v>464324</v>
      </c>
      <c r="D6298" s="5" t="s">
        <v>8974</v>
      </c>
      <c r="E6298" s="6" t="str">
        <f>HYPERLINK("https://inpn.mnhn.fr/espece/cd_nom/464324","Melampsora caprearum Thüm., 1877")</f>
        <v>Melampsora caprearum Thüm., 1877</v>
      </c>
      <c r="AH6298" s="4" t="str">
        <f>HYPERLINK("#Statut_biogéographique!A"&amp;_xlfn.XMATCH("P",Statut_biogéographique!A:A,2,1),"P")</f>
        <v>P</v>
      </c>
      <c r="AP6298" s="4" t="s">
        <v>376</v>
      </c>
      <c r="AR6298" s="4" t="s">
        <v>377</v>
      </c>
    </row>
    <row r="6299" spans="1:44" ht="75">
      <c r="A6299" s="4" t="s">
        <v>5</v>
      </c>
      <c r="B6299" s="4">
        <v>464328</v>
      </c>
      <c r="C6299" s="4">
        <v>544</v>
      </c>
      <c r="D6299" s="5" t="s">
        <v>8975</v>
      </c>
      <c r="E6299" s="6" t="str">
        <f>HYPERLINK("https://inpn.mnhn.fr/espece/cd_nom/464328","Lichenomphalia umbellifera (L.) Redhead, Lutzoni, Moncalvo &amp; Vilgalys, 2002")</f>
        <v>Lichenomphalia umbellifera (L.) Redhead, Lutzoni, Moncalvo &amp; Vilgalys, 2002</v>
      </c>
      <c r="F6299" s="5" t="s">
        <v>8976</v>
      </c>
      <c r="V6299" s="7" t="str">
        <f>HYPERLINK("#Liste_rouge!A"&amp;_xlfn.XMATCH("NT",Liste_rouge!A:A,2,1),"NT")</f>
        <v>NT</v>
      </c>
      <c r="W6299" s="4" t="str">
        <f>HYPERLINK("#Critères_liste_rouge!A$1","pr. A2c")</f>
        <v>pr. A2c</v>
      </c>
      <c r="Z6299" s="4" t="s">
        <v>447</v>
      </c>
      <c r="AA6299" s="4" t="s">
        <v>448</v>
      </c>
      <c r="AH6299" s="4" t="str">
        <f>HYPERLINK("#Statut_biogéographique!A"&amp;_xlfn.XMATCH("P",Statut_biogéographique!A:A,2,1),"P")</f>
        <v>P</v>
      </c>
      <c r="AP6299" s="4" t="s">
        <v>376</v>
      </c>
      <c r="AR6299" s="4" t="s">
        <v>377</v>
      </c>
    </row>
    <row r="6300" spans="1:44">
      <c r="A6300" s="4" t="s">
        <v>5</v>
      </c>
      <c r="B6300" s="4">
        <v>464333</v>
      </c>
      <c r="D6300" s="5" t="s">
        <v>8977</v>
      </c>
      <c r="E6300" s="6" t="str">
        <f>HYPERLINK("https://inpn.mnhn.fr/espece/cd_nom/464333","Marasmius torquescens Quél., 1872")</f>
        <v>Marasmius torquescens Quél., 1872</v>
      </c>
      <c r="V6300" s="7" t="str">
        <f>HYPERLINK("#Liste_rouge!A"&amp;_xlfn.XMATCH("NT",Liste_rouge!A:A,2,1),"NT")</f>
        <v>NT</v>
      </c>
      <c r="W6300" s="4" t="str">
        <f>HYPERLINK("#Critères_liste_rouge!A$1","pr. B2abiii")</f>
        <v>pr. B2abiii</v>
      </c>
      <c r="AH6300" s="4" t="str">
        <f>HYPERLINK("#Statut_biogéographique!A"&amp;_xlfn.XMATCH("P",Statut_biogéographique!A:A,2,1),"P")</f>
        <v>P</v>
      </c>
      <c r="AP6300" s="4" t="s">
        <v>376</v>
      </c>
      <c r="AR6300" s="4" t="s">
        <v>377</v>
      </c>
    </row>
    <row r="6301" spans="1:44">
      <c r="A6301" s="4" t="s">
        <v>5</v>
      </c>
      <c r="B6301" s="4">
        <v>464342</v>
      </c>
      <c r="D6301" s="5" t="s">
        <v>8978</v>
      </c>
      <c r="E6301" s="6" t="str">
        <f>HYPERLINK("https://inpn.mnhn.fr/espece/cd_nom/464342","Marasmius cespitum Quél., 1894")</f>
        <v>Marasmius cespitum Quél., 1894</v>
      </c>
      <c r="V6301" s="7" t="str">
        <f>HYPERLINK("#Liste_rouge!A"&amp;_xlfn.XMATCH("EN",Liste_rouge!A:A,2,1),"EN")</f>
        <v>EN</v>
      </c>
      <c r="W6301" s="4" t="str">
        <f>HYPERLINK("#Critères_liste_rouge!A$1","B2abiii")</f>
        <v>B2abiii</v>
      </c>
      <c r="AH6301" s="4" t="str">
        <f>HYPERLINK("#Statut_biogéographique!A"&amp;_xlfn.XMATCH("P",Statut_biogéographique!A:A,2,1),"P")</f>
        <v>P</v>
      </c>
      <c r="AP6301" s="4" t="s">
        <v>376</v>
      </c>
      <c r="AR6301" s="4" t="s">
        <v>377</v>
      </c>
    </row>
    <row r="6302" spans="1:44" ht="30">
      <c r="A6302" s="4" t="s">
        <v>5</v>
      </c>
      <c r="B6302" s="4">
        <v>464345</v>
      </c>
      <c r="D6302" s="5" t="s">
        <v>8979</v>
      </c>
      <c r="E6302" s="6" t="str">
        <f>HYPERLINK("https://inpn.mnhn.fr/espece/cd_nom/464345","Lepista calathus (Fr.) Bon, 1980")</f>
        <v>Lepista calathus (Fr.) Bon, 1980</v>
      </c>
      <c r="AH6302" s="4" t="str">
        <f>HYPERLINK("#Statut_biogéographique!A"&amp;_xlfn.XMATCH("P",Statut_biogéographique!A:A,2,1),"P")</f>
        <v>P</v>
      </c>
      <c r="AP6302" s="4" t="s">
        <v>376</v>
      </c>
      <c r="AR6302" s="4" t="s">
        <v>377</v>
      </c>
    </row>
    <row r="6303" spans="1:44">
      <c r="A6303" s="4" t="s">
        <v>5</v>
      </c>
      <c r="B6303" s="4">
        <v>464351</v>
      </c>
      <c r="D6303" s="5" t="s">
        <v>8980</v>
      </c>
      <c r="E6303" s="6" t="str">
        <f>HYPERLINK("https://inpn.mnhn.fr/espece/cd_nom/464351","Lepiota pilodes Vellinga &amp; Huijser, 1993")</f>
        <v>Lepiota pilodes Vellinga &amp; Huijser, 1993</v>
      </c>
      <c r="V6303" s="7" t="str">
        <f>HYPERLINK("#Liste_rouge!A"&amp;_xlfn.XMATCH("DD",Liste_rouge!A:A,2,1),"DD")</f>
        <v>DD</v>
      </c>
      <c r="AH6303" s="4" t="str">
        <f>HYPERLINK("#Statut_biogéographique!A"&amp;_xlfn.XMATCH("P",Statut_biogéographique!A:A,2,1),"P")</f>
        <v>P</v>
      </c>
      <c r="AP6303" s="4" t="s">
        <v>376</v>
      </c>
      <c r="AR6303" s="4" t="s">
        <v>377</v>
      </c>
    </row>
    <row r="6304" spans="1:44" ht="30">
      <c r="A6304" s="4" t="s">
        <v>5</v>
      </c>
      <c r="B6304" s="4">
        <v>464355</v>
      </c>
      <c r="D6304" s="5" t="s">
        <v>8981</v>
      </c>
      <c r="E6304" s="6" t="str">
        <f>HYPERLINK("https://inpn.mnhn.fr/espece/cd_nom/464355","Lepiota fuscovinacea F.H.Møller &amp; J.E.Lange, 1940")</f>
        <v>Lepiota fuscovinacea F.H.Møller &amp; J.E.Lange, 1940</v>
      </c>
      <c r="F6304" s="5" t="s">
        <v>8982</v>
      </c>
      <c r="V6304" s="7" t="str">
        <f>HYPERLINK("#Liste_rouge!A"&amp;_xlfn.XMATCH("EN",Liste_rouge!A:A,2,1),"EN")</f>
        <v>EN</v>
      </c>
      <c r="W6304" s="4" t="str">
        <f>HYPERLINK("#Critères_liste_rouge!A$1","A2c")</f>
        <v>A2c</v>
      </c>
      <c r="AH6304" s="4" t="str">
        <f>HYPERLINK("#Statut_biogéographique!A"&amp;_xlfn.XMATCH("P",Statut_biogéographique!A:A,2,1),"P")</f>
        <v>P</v>
      </c>
      <c r="AP6304" s="4" t="s">
        <v>376</v>
      </c>
      <c r="AR6304" s="4" t="s">
        <v>377</v>
      </c>
    </row>
    <row r="6305" spans="1:44" ht="30">
      <c r="A6305" s="4" t="s">
        <v>5</v>
      </c>
      <c r="B6305" s="4">
        <v>464360</v>
      </c>
      <c r="D6305" s="5" t="s">
        <v>8983</v>
      </c>
      <c r="E6305" s="6" t="str">
        <f>HYPERLINK("https://inpn.mnhn.fr/espece/cd_nom/464360","Lentaria subcaulescens (Rebent.) Rauschert, 1987")</f>
        <v>Lentaria subcaulescens (Rebent.) Rauschert, 1987</v>
      </c>
      <c r="V6305" s="7" t="str">
        <f>HYPERLINK("#Liste_rouge!A"&amp;_xlfn.XMATCH("RE",Liste_rouge!A:A,2,1),"RE")</f>
        <v>RE</v>
      </c>
      <c r="AH6305" s="4" t="str">
        <f>HYPERLINK("#Statut_biogéographique!A"&amp;_xlfn.XMATCH("P",Statut_biogéographique!A:A,2,1),"P")</f>
        <v>P</v>
      </c>
      <c r="AP6305" s="4" t="s">
        <v>376</v>
      </c>
      <c r="AR6305" s="4" t="s">
        <v>377</v>
      </c>
    </row>
    <row r="6306" spans="1:44" ht="45">
      <c r="A6306" s="4" t="s">
        <v>5</v>
      </c>
      <c r="B6306" s="4">
        <v>464375</v>
      </c>
      <c r="D6306" s="5" t="s">
        <v>8984</v>
      </c>
      <c r="E6306" s="6" t="str">
        <f>HYPERLINK("https://inpn.mnhn.fr/espece/cd_nom/464375","Lepista panaeolus (Fr.) P.Karst., 1879")</f>
        <v>Lepista panaeolus (Fr.) P.Karst., 1879</v>
      </c>
      <c r="F6306" s="5" t="s">
        <v>8985</v>
      </c>
      <c r="V6306" s="7" t="str">
        <f>HYPERLINK("#Liste_rouge!A"&amp;_xlfn.XMATCH("EN",Liste_rouge!A:A,2,1),"EN")</f>
        <v>EN</v>
      </c>
      <c r="W6306" s="4" t="str">
        <f>HYPERLINK("#Critères_liste_rouge!A$1","A2c")</f>
        <v>A2c</v>
      </c>
      <c r="AH6306" s="4" t="str">
        <f>HYPERLINK("#Statut_biogéographique!A"&amp;_xlfn.XMATCH("P",Statut_biogéographique!A:A,2,1),"P")</f>
        <v>P</v>
      </c>
      <c r="AP6306" s="4" t="s">
        <v>376</v>
      </c>
      <c r="AR6306" s="4" t="s">
        <v>377</v>
      </c>
    </row>
    <row r="6307" spans="1:44">
      <c r="A6307" s="4" t="s">
        <v>5</v>
      </c>
      <c r="B6307" s="4">
        <v>46443</v>
      </c>
      <c r="C6307" s="4">
        <v>5018</v>
      </c>
      <c r="D6307" s="5" t="s">
        <v>8986</v>
      </c>
      <c r="E6307" s="6" t="str">
        <f>HYPERLINK("https://inpn.mnhn.fr/espece/cd_nom/46443","Coprotus albidus (Boud.) Kimbr., 1967")</f>
        <v>Coprotus albidus (Boud.) Kimbr., 1967</v>
      </c>
      <c r="AH6307" s="4" t="str">
        <f>HYPERLINK("#Statut_biogéographique!A"&amp;_xlfn.XMATCH("P",Statut_biogéographique!A:A,2,1),"P")</f>
        <v>P</v>
      </c>
      <c r="AP6307" s="4" t="s">
        <v>376</v>
      </c>
      <c r="AR6307" s="4" t="s">
        <v>377</v>
      </c>
    </row>
    <row r="6308" spans="1:44">
      <c r="A6308" s="4" t="s">
        <v>5</v>
      </c>
      <c r="B6308" s="4">
        <v>464449</v>
      </c>
      <c r="D6308" s="5" t="s">
        <v>8987</v>
      </c>
      <c r="E6308" s="6" t="str">
        <f>HYPERLINK("https://inpn.mnhn.fr/espece/cd_nom/464449","Mycena ammoniaca (Fr.) Quél., 1872")</f>
        <v>Mycena ammoniaca (Fr.) Quél., 1872</v>
      </c>
      <c r="V6308" s="7" t="str">
        <f>HYPERLINK("#Liste_rouge!A"&amp;_xlfn.XMATCH("LC",Liste_rouge!A:A,2,1),"LC")</f>
        <v>LC</v>
      </c>
      <c r="AH6308" s="4" t="str">
        <f>HYPERLINK("#Statut_biogéographique!A"&amp;_xlfn.XMATCH("P",Statut_biogéographique!A:A,2,1),"P")</f>
        <v>P</v>
      </c>
      <c r="AP6308" s="4" t="s">
        <v>376</v>
      </c>
      <c r="AR6308" s="4" t="s">
        <v>377</v>
      </c>
    </row>
    <row r="6309" spans="1:44" ht="30">
      <c r="A6309" s="4" t="s">
        <v>5</v>
      </c>
      <c r="B6309" s="4">
        <v>46446</v>
      </c>
      <c r="C6309" s="4">
        <v>5748</v>
      </c>
      <c r="D6309" s="5" t="s">
        <v>8988</v>
      </c>
      <c r="E6309" s="6" t="str">
        <f>HYPERLINK("https://inpn.mnhn.fr/espece/cd_nom/46446","Coprotus aurora (P.Crouan &amp; H.Crouan) K.S.Thind &amp; Waraitch, 1971")</f>
        <v>Coprotus aurora (P.Crouan &amp; H.Crouan) K.S.Thind &amp; Waraitch, 1971</v>
      </c>
      <c r="AH6309" s="4" t="str">
        <f>HYPERLINK("#Statut_biogéographique!A"&amp;_xlfn.XMATCH("D",Statut_biogéographique!A:A,2,1),"D")</f>
        <v>D</v>
      </c>
      <c r="AP6309" s="4" t="s">
        <v>376</v>
      </c>
      <c r="AR6309" s="4" t="s">
        <v>377</v>
      </c>
    </row>
    <row r="6310" spans="1:44">
      <c r="A6310" s="4" t="s">
        <v>5</v>
      </c>
      <c r="B6310" s="4">
        <v>464472</v>
      </c>
      <c r="D6310" s="5" t="s">
        <v>8989</v>
      </c>
      <c r="E6310" s="6" t="str">
        <f>HYPERLINK("https://inpn.mnhn.fr/espece/cd_nom/464472","Melampsora ribesii-purpureae Kleb., 1901")</f>
        <v>Melampsora ribesii-purpureae Kleb., 1901</v>
      </c>
      <c r="AH6310" s="4" t="str">
        <f>HYPERLINK("#Statut_biogéographique!A"&amp;_xlfn.XMATCH("P",Statut_biogéographique!A:A,2,1),"P")</f>
        <v>P</v>
      </c>
      <c r="AP6310" s="4" t="s">
        <v>376</v>
      </c>
      <c r="AR6310" s="4" t="s">
        <v>377</v>
      </c>
    </row>
    <row r="6311" spans="1:44" ht="30">
      <c r="A6311" s="4" t="s">
        <v>5</v>
      </c>
      <c r="B6311" s="4">
        <v>464487</v>
      </c>
      <c r="D6311" s="5" t="s">
        <v>8990</v>
      </c>
      <c r="E6311" s="6" t="str">
        <f>HYPERLINK("https://inpn.mnhn.fr/espece/cd_nom/464487","Melampsora euphorbiae-dulcis G.H.Otth, 1869")</f>
        <v>Melampsora euphorbiae-dulcis G.H.Otth, 1869</v>
      </c>
      <c r="AH6311" s="4" t="str">
        <f>HYPERLINK("#Statut_biogéographique!A"&amp;_xlfn.XMATCH("P",Statut_biogéographique!A:A,2,1),"P")</f>
        <v>P</v>
      </c>
      <c r="AP6311" s="4" t="s">
        <v>376</v>
      </c>
      <c r="AR6311" s="4" t="s">
        <v>377</v>
      </c>
    </row>
    <row r="6312" spans="1:44">
      <c r="A6312" s="4" t="s">
        <v>5</v>
      </c>
      <c r="B6312" s="4">
        <v>464489</v>
      </c>
      <c r="D6312" s="5" t="s">
        <v>8991</v>
      </c>
      <c r="E6312" s="6" t="str">
        <f>HYPERLINK("https://inpn.mnhn.fr/espece/cd_nom/464489","Melampsora evonymi-caprearum Kleb.")</f>
        <v>Melampsora evonymi-caprearum Kleb.</v>
      </c>
      <c r="AH6312" s="4" t="str">
        <f>HYPERLINK("#Statut_biogéographique!A"&amp;_xlfn.XMATCH("P",Statut_biogéographique!A:A,2,1),"P")</f>
        <v>P</v>
      </c>
      <c r="AP6312" s="4" t="s">
        <v>376</v>
      </c>
      <c r="AR6312" s="4" t="s">
        <v>377</v>
      </c>
    </row>
    <row r="6313" spans="1:44">
      <c r="A6313" s="4" t="s">
        <v>5</v>
      </c>
      <c r="B6313" s="4">
        <v>464495</v>
      </c>
      <c r="D6313" s="5" t="s">
        <v>8992</v>
      </c>
      <c r="E6313" s="6" t="str">
        <f>HYPERLINK("https://inpn.mnhn.fr/espece/cd_nom/464495","Melampsora larici-tremulae Kleb., 1897")</f>
        <v>Melampsora larici-tremulae Kleb., 1897</v>
      </c>
      <c r="AH6313" s="4" t="str">
        <f>HYPERLINK("#Statut_biogéographique!A"&amp;_xlfn.XMATCH("P",Statut_biogéographique!A:A,2,1),"P")</f>
        <v>P</v>
      </c>
      <c r="AP6313" s="4" t="s">
        <v>376</v>
      </c>
      <c r="AR6313" s="4" t="s">
        <v>377</v>
      </c>
    </row>
    <row r="6314" spans="1:44">
      <c r="A6314" s="4" t="s">
        <v>5</v>
      </c>
      <c r="B6314" s="4">
        <v>464506</v>
      </c>
      <c r="D6314" s="5" t="s">
        <v>8993</v>
      </c>
      <c r="E6314" s="6" t="str">
        <f>HYPERLINK("https://inpn.mnhn.fr/espece/cd_nom/464506","Melanoleuca parisiorum R.Haller Aar., 1953")</f>
        <v>Melanoleuca parisiorum R.Haller Aar., 1953</v>
      </c>
      <c r="V6314" s="7" t="str">
        <f>HYPERLINK("#Liste_rouge!A"&amp;_xlfn.XMATCH("DD",Liste_rouge!A:A,2,1),"DD")</f>
        <v>DD</v>
      </c>
      <c r="AH6314" s="4" t="str">
        <f>HYPERLINK("#Statut_biogéographique!A"&amp;_xlfn.XMATCH("P",Statut_biogéographique!A:A,2,1),"P")</f>
        <v>P</v>
      </c>
      <c r="AP6314" s="4" t="s">
        <v>376</v>
      </c>
      <c r="AR6314" s="4" t="s">
        <v>377</v>
      </c>
    </row>
    <row r="6315" spans="1:44" ht="45">
      <c r="A6315" s="4" t="s">
        <v>5</v>
      </c>
      <c r="B6315" s="4">
        <v>464514</v>
      </c>
      <c r="D6315" s="5" t="s">
        <v>8994</v>
      </c>
      <c r="E6315" s="6" t="str">
        <f>HYPERLINK("https://inpn.mnhn.fr/espece/cd_nom/464514","Meottomyces dissimulans (Berk. &amp; Broome) Vizzini, 2008")</f>
        <v>Meottomyces dissimulans (Berk. &amp; Broome) Vizzini, 2008</v>
      </c>
      <c r="V6315" s="7" t="str">
        <f>HYPERLINK("#Liste_rouge!A"&amp;_xlfn.XMATCH("DD",Liste_rouge!A:A,2,1),"DD")</f>
        <v>DD</v>
      </c>
      <c r="AH6315" s="4" t="str">
        <f>HYPERLINK("#Statut_biogéographique!A"&amp;_xlfn.XMATCH("P",Statut_biogéographique!A:A,2,1),"P")</f>
        <v>P</v>
      </c>
      <c r="AP6315" s="4" t="s">
        <v>376</v>
      </c>
      <c r="AR6315" s="4" t="s">
        <v>377</v>
      </c>
    </row>
    <row r="6316" spans="1:44" ht="30">
      <c r="A6316" s="4" t="s">
        <v>5</v>
      </c>
      <c r="B6316" s="4">
        <v>46452</v>
      </c>
      <c r="C6316" s="4">
        <v>3211</v>
      </c>
      <c r="D6316" s="5" t="s">
        <v>8995</v>
      </c>
      <c r="E6316" s="6" t="str">
        <f>HYPERLINK("https://inpn.mnhn.fr/espece/cd_nom/46452","Coprotus granuliformis (P.Crouan &amp; H.Crouan) Kimbr., 1967")</f>
        <v>Coprotus granuliformis (P.Crouan &amp; H.Crouan) Kimbr., 1967</v>
      </c>
      <c r="AH6316" s="4" t="str">
        <f>HYPERLINK("#Statut_biogéographique!A"&amp;_xlfn.XMATCH("P",Statut_biogéographique!A:A,2,1),"P")</f>
        <v>P</v>
      </c>
      <c r="AP6316" s="4" t="s">
        <v>376</v>
      </c>
      <c r="AR6316" s="4" t="s">
        <v>377</v>
      </c>
    </row>
    <row r="6317" spans="1:44" ht="30">
      <c r="A6317" s="4" t="s">
        <v>5</v>
      </c>
      <c r="B6317" s="4">
        <v>464520</v>
      </c>
      <c r="D6317" s="5" t="s">
        <v>8996</v>
      </c>
      <c r="E6317" s="6" t="str">
        <f>HYPERLINK("https://inpn.mnhn.fr/espece/cd_nom/464520","Melampsorella caryophyllacearum (DC.) J.Schröt., 1874")</f>
        <v>Melampsorella caryophyllacearum (DC.) J.Schröt., 1874</v>
      </c>
      <c r="F6317" s="5" t="s">
        <v>8997</v>
      </c>
      <c r="AH6317" s="4" t="str">
        <f>HYPERLINK("#Statut_biogéographique!A"&amp;_xlfn.XMATCH("P",Statut_biogéographique!A:A,2,1),"P")</f>
        <v>P</v>
      </c>
      <c r="AP6317" s="4" t="s">
        <v>376</v>
      </c>
      <c r="AR6317" s="4" t="s">
        <v>377</v>
      </c>
    </row>
    <row r="6318" spans="1:44" ht="30">
      <c r="A6318" s="4" t="s">
        <v>5</v>
      </c>
      <c r="B6318" s="4">
        <v>464523</v>
      </c>
      <c r="D6318" s="5" t="s">
        <v>8998</v>
      </c>
      <c r="E6318" s="6" t="str">
        <f>HYPERLINK("https://inpn.mnhn.fr/espece/cd_nom/464523","Melampsoridium betulinum (Pers.) Kleb., 1899")</f>
        <v>Melampsoridium betulinum (Pers.) Kleb., 1899</v>
      </c>
      <c r="AH6318" s="4" t="str">
        <f>HYPERLINK("#Statut_biogéographique!A"&amp;_xlfn.XMATCH("P",Statut_biogéographique!A:A,2,1),"P")</f>
        <v>P</v>
      </c>
      <c r="AP6318" s="4" t="s">
        <v>376</v>
      </c>
      <c r="AR6318" s="4" t="s">
        <v>377</v>
      </c>
    </row>
    <row r="6319" spans="1:44">
      <c r="A6319" s="4" t="s">
        <v>5</v>
      </c>
      <c r="B6319" s="4">
        <v>464524</v>
      </c>
      <c r="C6319" s="4">
        <v>896</v>
      </c>
      <c r="D6319" s="5" t="s">
        <v>8999</v>
      </c>
      <c r="E6319" s="6" t="str">
        <f>HYPERLINK("https://inpn.mnhn.fr/espece/cd_nom/464524","Melampsora salicis-albae Kleb., 1901")</f>
        <v>Melampsora salicis-albae Kleb., 1901</v>
      </c>
      <c r="AH6319" s="4" t="str">
        <f>HYPERLINK("#Statut_biogéographique!A"&amp;_xlfn.XMATCH("P",Statut_biogéographique!A:A,2,1),"P")</f>
        <v>P</v>
      </c>
      <c r="AP6319" s="4" t="s">
        <v>376</v>
      </c>
      <c r="AR6319" s="4" t="s">
        <v>377</v>
      </c>
    </row>
    <row r="6320" spans="1:44">
      <c r="A6320" s="4" t="s">
        <v>5</v>
      </c>
      <c r="B6320" s="4">
        <v>464526</v>
      </c>
      <c r="D6320" s="5" t="s">
        <v>9000</v>
      </c>
      <c r="E6320" s="6" t="str">
        <f>HYPERLINK("https://inpn.mnhn.fr/espece/cd_nom/464526","Melanogaster broomeianus Berk., 1843")</f>
        <v>Melanogaster broomeianus Berk., 1843</v>
      </c>
      <c r="V6320" s="7" t="str">
        <f>HYPERLINK("#Liste_rouge!A"&amp;_xlfn.XMATCH("EN",Liste_rouge!A:A,2,1),"EN")</f>
        <v>EN</v>
      </c>
      <c r="W6320" s="4" t="str">
        <f>HYPERLINK("#Critères_liste_rouge!A$1","B2abiii")</f>
        <v>B2abiii</v>
      </c>
      <c r="AH6320" s="4" t="str">
        <f>HYPERLINK("#Statut_biogéographique!A"&amp;_xlfn.XMATCH("P",Statut_biogéographique!A:A,2,1),"P")</f>
        <v>P</v>
      </c>
      <c r="AP6320" s="4" t="s">
        <v>376</v>
      </c>
      <c r="AR6320" s="4" t="s">
        <v>377</v>
      </c>
    </row>
    <row r="6321" spans="1:44">
      <c r="A6321" s="4" t="s">
        <v>5</v>
      </c>
      <c r="B6321" s="4">
        <v>464545</v>
      </c>
      <c r="C6321" s="4">
        <v>2275</v>
      </c>
      <c r="D6321" s="5" t="s">
        <v>9001</v>
      </c>
      <c r="E6321" s="6" t="str">
        <f>HYPERLINK("https://inpn.mnhn.fr/espece/cd_nom/464545","Inocybe henryi Reumaux, 1999")</f>
        <v>Inocybe henryi Reumaux, 1999</v>
      </c>
      <c r="F6321" s="5" t="s">
        <v>9002</v>
      </c>
      <c r="V6321" s="7" t="str">
        <f>HYPERLINK("#Liste_rouge!A"&amp;_xlfn.XMATCH("EN",Liste_rouge!A:A,2,1),"EN")</f>
        <v>EN</v>
      </c>
      <c r="W6321" s="4" t="str">
        <f>HYPERLINK("#Critères_liste_rouge!A$1","B2abiii")</f>
        <v>B2abiii</v>
      </c>
      <c r="Z6321" s="4" t="s">
        <v>443</v>
      </c>
      <c r="AA6321" s="4" t="s">
        <v>444</v>
      </c>
      <c r="AH6321" s="4" t="str">
        <f>HYPERLINK("#Statut_biogéographique!A"&amp;_xlfn.XMATCH("P",Statut_biogéographique!A:A,2,1),"P")</f>
        <v>P</v>
      </c>
      <c r="AP6321" s="4" t="s">
        <v>376</v>
      </c>
      <c r="AR6321" s="4" t="s">
        <v>377</v>
      </c>
    </row>
    <row r="6322" spans="1:44">
      <c r="A6322" s="4" t="s">
        <v>5</v>
      </c>
      <c r="B6322" s="4">
        <v>464547</v>
      </c>
      <c r="C6322" s="4">
        <v>7005</v>
      </c>
      <c r="D6322" s="5" t="s">
        <v>9003</v>
      </c>
      <c r="E6322" s="6" t="str">
        <f>HYPERLINK("https://inpn.mnhn.fr/espece/cd_nom/464547","Inocybe fuscescentipes Kühner, 1988")</f>
        <v>Inocybe fuscescentipes Kühner, 1988</v>
      </c>
      <c r="AH6322" s="4" t="str">
        <f>HYPERLINK("#Statut_biogéographique!A"&amp;_xlfn.XMATCH("P",Statut_biogéographique!A:A,2,1),"P")</f>
        <v>P</v>
      </c>
      <c r="AP6322" s="4" t="s">
        <v>376</v>
      </c>
      <c r="AR6322" s="4" t="s">
        <v>377</v>
      </c>
    </row>
    <row r="6323" spans="1:44">
      <c r="A6323" s="4" t="s">
        <v>5</v>
      </c>
      <c r="B6323" s="4">
        <v>464551</v>
      </c>
      <c r="C6323" s="4">
        <v>5675</v>
      </c>
      <c r="D6323" s="5" t="s">
        <v>9004</v>
      </c>
      <c r="E6323" s="6" t="str">
        <f>HYPERLINK("https://inpn.mnhn.fr/espece/cd_nom/464551","Inocybe exiguispora Alessio, 1987")</f>
        <v>Inocybe exiguispora Alessio, 1987</v>
      </c>
      <c r="V6323" s="7" t="str">
        <f>HYPERLINK("#Liste_rouge!A"&amp;_xlfn.XMATCH("DD",Liste_rouge!A:A,2,1),"DD")</f>
        <v>DD</v>
      </c>
      <c r="AH6323" s="4" t="str">
        <f>HYPERLINK("#Statut_biogéographique!A"&amp;_xlfn.XMATCH("P",Statut_biogéographique!A:A,2,1),"P")</f>
        <v>P</v>
      </c>
      <c r="AP6323" s="4" t="s">
        <v>376</v>
      </c>
      <c r="AR6323" s="4" t="s">
        <v>377</v>
      </c>
    </row>
    <row r="6324" spans="1:44">
      <c r="A6324" s="4" t="s">
        <v>5</v>
      </c>
      <c r="B6324" s="4">
        <v>464560</v>
      </c>
      <c r="C6324" s="4">
        <v>7007</v>
      </c>
      <c r="D6324" s="5" t="s">
        <v>9005</v>
      </c>
      <c r="E6324" s="6" t="str">
        <f>HYPERLINK("https://inpn.mnhn.fr/espece/cd_nom/464560","Inocybe grammopodia Malençon, 1970")</f>
        <v>Inocybe grammopodia Malençon, 1970</v>
      </c>
      <c r="F6324" s="5" t="s">
        <v>9006</v>
      </c>
      <c r="AH6324" s="4" t="str">
        <f>HYPERLINK("#Statut_biogéographique!A"&amp;_xlfn.XMATCH("P",Statut_biogéographique!A:A,2,1),"P")</f>
        <v>P</v>
      </c>
      <c r="AP6324" s="4" t="s">
        <v>376</v>
      </c>
      <c r="AR6324" s="4" t="s">
        <v>377</v>
      </c>
    </row>
    <row r="6325" spans="1:44">
      <c r="A6325" s="4" t="s">
        <v>5</v>
      </c>
      <c r="B6325" s="4">
        <v>464564</v>
      </c>
      <c r="C6325" s="4">
        <v>3507</v>
      </c>
      <c r="D6325" s="5" t="s">
        <v>9007</v>
      </c>
      <c r="E6325" s="6" t="str">
        <f>HYPERLINK("https://inpn.mnhn.fr/espece/cd_nom/464564","Inocybe langei R.Heim, 1931")</f>
        <v>Inocybe langei R.Heim, 1931</v>
      </c>
      <c r="F6325" s="5" t="s">
        <v>9008</v>
      </c>
      <c r="V6325" s="7" t="str">
        <f>HYPERLINK("#Liste_rouge!A"&amp;_xlfn.XMATCH("NT",Liste_rouge!A:A,2,1),"NT")</f>
        <v>NT</v>
      </c>
      <c r="W6325" s="4" t="str">
        <f>HYPERLINK("#Critères_liste_rouge!A$1","pr. B2abiii")</f>
        <v>pr. B2abiii</v>
      </c>
      <c r="AH6325" s="4" t="str">
        <f>HYPERLINK("#Statut_biogéographique!A"&amp;_xlfn.XMATCH("P",Statut_biogéographique!A:A,2,1),"P")</f>
        <v>P</v>
      </c>
      <c r="AP6325" s="4" t="s">
        <v>376</v>
      </c>
      <c r="AR6325" s="4" t="s">
        <v>377</v>
      </c>
    </row>
    <row r="6326" spans="1:44" ht="30">
      <c r="A6326" s="4" t="s">
        <v>5</v>
      </c>
      <c r="B6326" s="4">
        <v>464567</v>
      </c>
      <c r="C6326" s="4">
        <v>6077</v>
      </c>
      <c r="D6326" s="5">
        <v>464567</v>
      </c>
      <c r="E6326" s="6" t="str">
        <f>HYPERLINK("https://inpn.mnhn.fr/espece/cd_nom/464567","Inocybe oreadoides Carteret, 2000")</f>
        <v>Inocybe oreadoides Carteret, 2000</v>
      </c>
      <c r="F6326" s="5" t="s">
        <v>9009</v>
      </c>
      <c r="V6326" s="7" t="str">
        <f>HYPERLINK("#Liste_rouge!A"&amp;_xlfn.XMATCH("LC",Liste_rouge!A:A,2,1),"LC")</f>
        <v>LC</v>
      </c>
      <c r="Z6326" s="4" t="s">
        <v>443</v>
      </c>
      <c r="AA6326" s="4" t="s">
        <v>444</v>
      </c>
      <c r="AH6326" s="4" t="str">
        <f>HYPERLINK("#Statut_biogéographique!A"&amp;_xlfn.XMATCH("P",Statut_biogéographique!A:A,2,1),"P")</f>
        <v>P</v>
      </c>
      <c r="AP6326" s="4" t="s">
        <v>376</v>
      </c>
      <c r="AR6326" s="4" t="s">
        <v>377</v>
      </c>
    </row>
    <row r="6327" spans="1:44">
      <c r="A6327" s="4" t="s">
        <v>5</v>
      </c>
      <c r="B6327" s="4">
        <v>464576</v>
      </c>
      <c r="C6327" s="4">
        <v>5690</v>
      </c>
      <c r="D6327" s="5" t="s">
        <v>9010</v>
      </c>
      <c r="E6327" s="6" t="str">
        <f>HYPERLINK("https://inpn.mnhn.fr/espece/cd_nom/464576","Inocybe piceae Stangl &amp; Schwöbel, 1985")</f>
        <v>Inocybe piceae Stangl &amp; Schwöbel, 1985</v>
      </c>
      <c r="V6327" s="7" t="str">
        <f>HYPERLINK("#Liste_rouge!A"&amp;_xlfn.XMATCH("DD",Liste_rouge!A:A,2,1),"DD")</f>
        <v>DD</v>
      </c>
      <c r="AH6327" s="4" t="str">
        <f>HYPERLINK("#Statut_biogéographique!A"&amp;_xlfn.XMATCH("P",Statut_biogéographique!A:A,2,1),"P")</f>
        <v>P</v>
      </c>
      <c r="AP6327" s="4" t="s">
        <v>376</v>
      </c>
      <c r="AR6327" s="4" t="s">
        <v>377</v>
      </c>
    </row>
    <row r="6328" spans="1:44">
      <c r="A6328" s="4" t="s">
        <v>5</v>
      </c>
      <c r="B6328" s="4">
        <v>464583</v>
      </c>
      <c r="C6328" s="4">
        <v>5836</v>
      </c>
      <c r="D6328" s="5" t="s">
        <v>9011</v>
      </c>
      <c r="E6328" s="6" t="str">
        <f>HYPERLINK("https://inpn.mnhn.fr/espece/cd_nom/464583","Inocybe melliolens Kühner, 1988")</f>
        <v>Inocybe melliolens Kühner, 1988</v>
      </c>
      <c r="V6328" s="7" t="str">
        <f>HYPERLINK("#Liste_rouge!A"&amp;_xlfn.XMATCH("DD",Liste_rouge!A:A,2,1),"DD")</f>
        <v>DD</v>
      </c>
      <c r="AH6328" s="4" t="str">
        <f>HYPERLINK("#Statut_biogéographique!A"&amp;_xlfn.XMATCH("P",Statut_biogéographique!A:A,2,1),"P")</f>
        <v>P</v>
      </c>
      <c r="AP6328" s="4" t="s">
        <v>376</v>
      </c>
      <c r="AR6328" s="4" t="s">
        <v>377</v>
      </c>
    </row>
    <row r="6329" spans="1:44" ht="30">
      <c r="A6329" s="4" t="s">
        <v>5</v>
      </c>
      <c r="B6329" s="4">
        <v>46459</v>
      </c>
      <c r="C6329" s="4">
        <v>6220</v>
      </c>
      <c r="D6329" s="5" t="s">
        <v>9012</v>
      </c>
      <c r="E6329" s="6" t="str">
        <f>HYPERLINK("https://inpn.mnhn.fr/espece/cd_nom/46459","Coprotus niveus (Fuckel) Kimbr., Luck-Allen &amp; Cain, 1972")</f>
        <v>Coprotus niveus (Fuckel) Kimbr., Luck-Allen &amp; Cain, 1972</v>
      </c>
      <c r="AH6329" s="4" t="str">
        <f>HYPERLINK("#Statut_biogéographique!A"&amp;_xlfn.XMATCH("P",Statut_biogéographique!A:A,2,1),"P")</f>
        <v>P</v>
      </c>
      <c r="AP6329" s="4" t="s">
        <v>376</v>
      </c>
      <c r="AR6329" s="4" t="s">
        <v>377</v>
      </c>
    </row>
    <row r="6330" spans="1:44">
      <c r="A6330" s="4" t="s">
        <v>5</v>
      </c>
      <c r="B6330" s="4">
        <v>464590</v>
      </c>
      <c r="C6330" s="4">
        <v>5673</v>
      </c>
      <c r="D6330" s="5" t="s">
        <v>9013</v>
      </c>
      <c r="E6330" s="6" t="str">
        <f>HYPERLINK("https://inpn.mnhn.fr/espece/cd_nom/464590","Inocybe mycenoides Kuyper, 1986")</f>
        <v>Inocybe mycenoides Kuyper, 1986</v>
      </c>
      <c r="V6330" s="7" t="str">
        <f>HYPERLINK("#Liste_rouge!A"&amp;_xlfn.XMATCH("DD",Liste_rouge!A:A,2,1),"DD")</f>
        <v>DD</v>
      </c>
      <c r="AH6330" s="4" t="str">
        <f>HYPERLINK("#Statut_biogéographique!A"&amp;_xlfn.XMATCH("P",Statut_biogéographique!A:A,2,1),"P")</f>
        <v>P</v>
      </c>
      <c r="AP6330" s="4" t="s">
        <v>376</v>
      </c>
      <c r="AR6330" s="4" t="s">
        <v>377</v>
      </c>
    </row>
    <row r="6331" spans="1:44">
      <c r="A6331" s="4" t="s">
        <v>5</v>
      </c>
      <c r="B6331" s="4">
        <v>464594</v>
      </c>
      <c r="C6331" s="4">
        <v>3683</v>
      </c>
      <c r="D6331" s="5" t="s">
        <v>9014</v>
      </c>
      <c r="E6331" s="6" t="str">
        <f>HYPERLINK("https://inpn.mnhn.fr/espece/cd_nom/464594","Inocybe microfastigiata Kühner, 1988")</f>
        <v>Inocybe microfastigiata Kühner, 1988</v>
      </c>
      <c r="V6331" s="7" t="str">
        <f>HYPERLINK("#Liste_rouge!A"&amp;_xlfn.XMATCH("EN",Liste_rouge!A:A,2,1),"EN")</f>
        <v>EN</v>
      </c>
      <c r="W6331" s="4" t="str">
        <f>HYPERLINK("#Critères_liste_rouge!A$1","B2abiii")</f>
        <v>B2abiii</v>
      </c>
      <c r="Z6331" s="4" t="s">
        <v>443</v>
      </c>
      <c r="AA6331" s="4" t="s">
        <v>444</v>
      </c>
      <c r="AH6331" s="4" t="str">
        <f>HYPERLINK("#Statut_biogéographique!A"&amp;_xlfn.XMATCH("P",Statut_biogéographique!A:A,2,1),"P")</f>
        <v>P</v>
      </c>
      <c r="AP6331" s="4" t="s">
        <v>376</v>
      </c>
      <c r="AR6331" s="4" t="s">
        <v>377</v>
      </c>
    </row>
    <row r="6332" spans="1:44" ht="30">
      <c r="A6332" s="4" t="s">
        <v>5</v>
      </c>
      <c r="B6332" s="4">
        <v>464596</v>
      </c>
      <c r="C6332" s="4">
        <v>2898</v>
      </c>
      <c r="D6332" s="5">
        <v>513757</v>
      </c>
      <c r="E6332" s="6" t="str">
        <f>HYPERLINK("https://inpn.mnhn.fr/espece/cd_nom/464596","Hypochnicium cremicolor (Bres.) H.Nilsson &amp; Hallenb., 2003")</f>
        <v>Hypochnicium cremicolor (Bres.) H.Nilsson &amp; Hallenb., 2003</v>
      </c>
      <c r="F6332" s="5" t="s">
        <v>9015</v>
      </c>
      <c r="AH6332" s="4" t="str">
        <f>HYPERLINK("#Statut_biogéographique!A"&amp;_xlfn.XMATCH("P",Statut_biogéographique!A:A,2,1),"P")</f>
        <v>P</v>
      </c>
      <c r="AP6332" s="4" t="s">
        <v>376</v>
      </c>
      <c r="AR6332" s="4" t="s">
        <v>377</v>
      </c>
    </row>
    <row r="6333" spans="1:44" ht="30">
      <c r="A6333" s="4" t="s">
        <v>5</v>
      </c>
      <c r="B6333" s="4">
        <v>46461</v>
      </c>
      <c r="C6333" s="4">
        <v>3913</v>
      </c>
      <c r="D6333" s="5" t="s">
        <v>9016</v>
      </c>
      <c r="E6333" s="6" t="str">
        <f>HYPERLINK("https://inpn.mnhn.fr/espece/cd_nom/46461","Coprotus ochraceus (P.Crouan &amp; H.Crouan) J.Moravec, 1971")</f>
        <v>Coprotus ochraceus (P.Crouan &amp; H.Crouan) J.Moravec, 1971</v>
      </c>
      <c r="AH6333" s="4" t="str">
        <f>HYPERLINK("#Statut_biogéographique!A"&amp;_xlfn.XMATCH("P",Statut_biogéographique!A:A,2,1),"P")</f>
        <v>P</v>
      </c>
      <c r="AP6333" s="4" t="s">
        <v>376</v>
      </c>
      <c r="AR6333" s="4" t="s">
        <v>377</v>
      </c>
    </row>
    <row r="6334" spans="1:44" ht="30">
      <c r="A6334" s="4" t="s">
        <v>5</v>
      </c>
      <c r="B6334" s="4">
        <v>464611</v>
      </c>
      <c r="C6334" s="4">
        <v>713</v>
      </c>
      <c r="D6334" s="5" t="s">
        <v>9017</v>
      </c>
      <c r="E6334" s="6" t="str">
        <f>HYPERLINK("https://inpn.mnhn.fr/espece/cd_nom/464611","Hygrophorus penarioides Jacobsson &amp; E.Larss., 2007")</f>
        <v>Hygrophorus penarioides Jacobsson &amp; E.Larss., 2007</v>
      </c>
      <c r="F6334" s="5" t="s">
        <v>9018</v>
      </c>
      <c r="Z6334" s="4" t="s">
        <v>443</v>
      </c>
      <c r="AA6334" s="4" t="s">
        <v>444</v>
      </c>
      <c r="AH6334" s="4" t="str">
        <f>HYPERLINK("#Statut_biogéographique!A"&amp;_xlfn.XMATCH("P",Statut_biogéographique!A:A,2,1),"P")</f>
        <v>P</v>
      </c>
      <c r="AP6334" s="4" t="s">
        <v>376</v>
      </c>
      <c r="AR6334" s="4" t="s">
        <v>377</v>
      </c>
    </row>
    <row r="6335" spans="1:44">
      <c r="A6335" s="4" t="s">
        <v>5</v>
      </c>
      <c r="B6335" s="4">
        <v>464617</v>
      </c>
      <c r="C6335" s="4">
        <v>6346</v>
      </c>
      <c r="D6335" s="5" t="s">
        <v>9019</v>
      </c>
      <c r="E6335" s="6" t="str">
        <f>HYPERLINK("https://inpn.mnhn.fr/espece/cd_nom/464617","Hymenogaster hessei Soehner, 1923")</f>
        <v>Hymenogaster hessei Soehner, 1923</v>
      </c>
      <c r="AH6335" s="4" t="str">
        <f>HYPERLINK("#Statut_biogéographique!A"&amp;_xlfn.XMATCH("P",Statut_biogéographique!A:A,2,1),"P")</f>
        <v>P</v>
      </c>
      <c r="AP6335" s="4" t="s">
        <v>376</v>
      </c>
      <c r="AR6335" s="4" t="s">
        <v>377</v>
      </c>
    </row>
    <row r="6336" spans="1:44" ht="30">
      <c r="A6336" s="4" t="s">
        <v>5</v>
      </c>
      <c r="B6336" s="4">
        <v>464622</v>
      </c>
      <c r="C6336" s="4">
        <v>4862</v>
      </c>
      <c r="D6336" s="5" t="s">
        <v>9020</v>
      </c>
      <c r="E6336" s="6" t="str">
        <f>HYPERLINK("https://inpn.mnhn.fr/espece/cd_nom/464622","Hyphoderma occidentale (D.P.Rogers) Boidin &amp; Gilles, 1994")</f>
        <v>Hyphoderma occidentale (D.P.Rogers) Boidin &amp; Gilles, 1994</v>
      </c>
      <c r="V6336" s="7" t="str">
        <f>HYPERLINK("#Liste_rouge!A"&amp;_xlfn.XMATCH("DD",Liste_rouge!A:A,2,1),"DD")</f>
        <v>DD</v>
      </c>
      <c r="AH6336" s="4" t="str">
        <f>HYPERLINK("#Statut_biogéographique!A"&amp;_xlfn.XMATCH("P",Statut_biogéographique!A:A,2,1),"P")</f>
        <v>P</v>
      </c>
      <c r="AP6336" s="4" t="s">
        <v>376</v>
      </c>
      <c r="AR6336" s="4" t="s">
        <v>377</v>
      </c>
    </row>
    <row r="6337" spans="1:44">
      <c r="A6337" s="4" t="s">
        <v>5</v>
      </c>
      <c r="B6337" s="4">
        <v>464626</v>
      </c>
      <c r="C6337" s="4">
        <v>5316</v>
      </c>
      <c r="D6337" s="5" t="s">
        <v>9021</v>
      </c>
      <c r="E6337" s="6" t="str">
        <f>HYPERLINK("https://inpn.mnhn.fr/espece/cd_nom/464626","Inocybe catalaunica Singer, 1947")</f>
        <v>Inocybe catalaunica Singer, 1947</v>
      </c>
      <c r="V6337" s="7" t="str">
        <f>HYPERLINK("#Liste_rouge!A"&amp;_xlfn.XMATCH("DD",Liste_rouge!A:A,2,1),"DD")</f>
        <v>DD</v>
      </c>
      <c r="AH6337" s="4" t="str">
        <f>HYPERLINK("#Statut_biogéographique!A"&amp;_xlfn.XMATCH("P",Statut_biogéographique!A:A,2,1),"P")</f>
        <v>P</v>
      </c>
      <c r="AP6337" s="4" t="s">
        <v>376</v>
      </c>
      <c r="AR6337" s="4" t="s">
        <v>377</v>
      </c>
    </row>
    <row r="6338" spans="1:44">
      <c r="A6338" s="4" t="s">
        <v>5</v>
      </c>
      <c r="B6338" s="4">
        <v>464631</v>
      </c>
      <c r="C6338" s="4">
        <v>5671</v>
      </c>
      <c r="D6338" s="5" t="s">
        <v>9022</v>
      </c>
      <c r="E6338" s="6" t="str">
        <f>HYPERLINK("https://inpn.mnhn.fr/espece/cd_nom/464631","Inocybe brunneotomentosa Huijsman, 1978")</f>
        <v>Inocybe brunneotomentosa Huijsman, 1978</v>
      </c>
      <c r="V6338" s="7" t="str">
        <f>HYPERLINK("#Liste_rouge!A"&amp;_xlfn.XMATCH("DD",Liste_rouge!A:A,2,1),"DD")</f>
        <v>DD</v>
      </c>
      <c r="AH6338" s="4" t="str">
        <f>HYPERLINK("#Statut_biogéographique!A"&amp;_xlfn.XMATCH("P",Statut_biogéographique!A:A,2,1),"P")</f>
        <v>P</v>
      </c>
      <c r="AP6338" s="4" t="s">
        <v>376</v>
      </c>
      <c r="AR6338" s="4" t="s">
        <v>377</v>
      </c>
    </row>
    <row r="6339" spans="1:44">
      <c r="A6339" s="4" t="s">
        <v>5</v>
      </c>
      <c r="B6339" s="4">
        <v>464644</v>
      </c>
      <c r="C6339" s="4">
        <v>2382</v>
      </c>
      <c r="D6339" s="5" t="s">
        <v>9023</v>
      </c>
      <c r="E6339" s="6" t="str">
        <f>HYPERLINK("https://inpn.mnhn.fr/espece/cd_nom/464644","Hypsizygus tessulatus (Bull.) Singer, 1947")</f>
        <v>Hypsizygus tessulatus (Bull.) Singer, 1947</v>
      </c>
      <c r="F6339" s="5" t="s">
        <v>9024</v>
      </c>
      <c r="V6339" s="7" t="str">
        <f>HYPERLINK("#Liste_rouge!A"&amp;_xlfn.XMATCH("EN",Liste_rouge!A:A,2,1),"EN")</f>
        <v>EN</v>
      </c>
      <c r="W6339" s="4" t="str">
        <f>HYPERLINK("#Critères_liste_rouge!A$1","B2abiii")</f>
        <v>B2abiii</v>
      </c>
      <c r="Z6339" s="4" t="s">
        <v>695</v>
      </c>
      <c r="AA6339" s="4" t="s">
        <v>696</v>
      </c>
      <c r="AH6339" s="4" t="str">
        <f>HYPERLINK("#Statut_biogéographique!A"&amp;_xlfn.XMATCH("P",Statut_biogéographique!A:A,2,1),"P")</f>
        <v>P</v>
      </c>
      <c r="AP6339" s="4" t="s">
        <v>376</v>
      </c>
      <c r="AR6339" s="4" t="s">
        <v>377</v>
      </c>
    </row>
    <row r="6340" spans="1:44" ht="30">
      <c r="A6340" s="4" t="s">
        <v>5</v>
      </c>
      <c r="B6340" s="4">
        <v>464645</v>
      </c>
      <c r="C6340" s="4">
        <v>2380</v>
      </c>
      <c r="D6340" s="5" t="s">
        <v>9025</v>
      </c>
      <c r="E6340" s="6" t="str">
        <f>HYPERLINK("https://inpn.mnhn.fr/espece/cd_nom/464645","Hypsizygus ulmarius (Bull.) Redhead, 1984")</f>
        <v>Hypsizygus ulmarius (Bull.) Redhead, 1984</v>
      </c>
      <c r="F6340" s="5" t="s">
        <v>9026</v>
      </c>
      <c r="V6340" s="7" t="str">
        <f>HYPERLINK("#Liste_rouge!A"&amp;_xlfn.XMATCH("EN",Liste_rouge!A:A,2,1),"EN")</f>
        <v>EN</v>
      </c>
      <c r="W6340" s="4" t="str">
        <f>HYPERLINK("#Critères_liste_rouge!A$1","A2c")</f>
        <v>A2c</v>
      </c>
      <c r="Z6340" s="4" t="s">
        <v>695</v>
      </c>
      <c r="AA6340" s="4" t="s">
        <v>696</v>
      </c>
      <c r="AH6340" s="4" t="str">
        <f>HYPERLINK("#Statut_biogéographique!A"&amp;_xlfn.XMATCH("P",Statut_biogéographique!A:A,2,1),"P")</f>
        <v>P</v>
      </c>
      <c r="AP6340" s="4" t="s">
        <v>376</v>
      </c>
      <c r="AR6340" s="4" t="s">
        <v>377</v>
      </c>
    </row>
    <row r="6341" spans="1:44">
      <c r="A6341" s="4" t="s">
        <v>5</v>
      </c>
      <c r="B6341" s="4">
        <v>464651</v>
      </c>
      <c r="C6341" s="4">
        <v>5981</v>
      </c>
      <c r="D6341" s="5" t="s">
        <v>9027</v>
      </c>
      <c r="E6341" s="6" t="str">
        <f>HYPERLINK("https://inpn.mnhn.fr/espece/cd_nom/464651","Inocybe alnea Stangl, 1979")</f>
        <v>Inocybe alnea Stangl, 1979</v>
      </c>
      <c r="F6341" s="5" t="s">
        <v>9028</v>
      </c>
      <c r="Z6341" s="4" t="s">
        <v>447</v>
      </c>
      <c r="AA6341" s="4" t="s">
        <v>448</v>
      </c>
      <c r="AH6341" s="4" t="str">
        <f>HYPERLINK("#Statut_biogéographique!A"&amp;_xlfn.XMATCH("P",Statut_biogéographique!A:A,2,1),"P")</f>
        <v>P</v>
      </c>
      <c r="AP6341" s="4" t="s">
        <v>376</v>
      </c>
      <c r="AR6341" s="4" t="s">
        <v>377</v>
      </c>
    </row>
    <row r="6342" spans="1:44">
      <c r="A6342" s="4" t="s">
        <v>5</v>
      </c>
      <c r="B6342" s="4">
        <v>464655</v>
      </c>
      <c r="C6342" s="4">
        <v>2401</v>
      </c>
      <c r="D6342" s="5" t="s">
        <v>9029</v>
      </c>
      <c r="E6342" s="6" t="str">
        <f>HYPERLINK("https://inpn.mnhn.fr/espece/cd_nom/464655","Inocybe armeniaca Huijsman, 1974")</f>
        <v>Inocybe armeniaca Huijsman, 1974</v>
      </c>
      <c r="F6342" s="5" t="s">
        <v>9030</v>
      </c>
      <c r="V6342" s="7" t="str">
        <f>HYPERLINK("#Liste_rouge!A"&amp;_xlfn.XMATCH("EN",Liste_rouge!A:A,2,1),"EN")</f>
        <v>EN</v>
      </c>
      <c r="W6342" s="4" t="str">
        <f>HYPERLINK("#Critères_liste_rouge!A$1","B2abiii")</f>
        <v>B2abiii</v>
      </c>
      <c r="Z6342" s="4" t="s">
        <v>447</v>
      </c>
      <c r="AA6342" s="4" t="s">
        <v>448</v>
      </c>
      <c r="AH6342" s="4" t="str">
        <f>HYPERLINK("#Statut_biogéographique!A"&amp;_xlfn.XMATCH("P",Statut_biogéographique!A:A,2,1),"P")</f>
        <v>P</v>
      </c>
      <c r="AP6342" s="4" t="s">
        <v>376</v>
      </c>
      <c r="AR6342" s="4" t="s">
        <v>377</v>
      </c>
    </row>
    <row r="6343" spans="1:44">
      <c r="A6343" s="4" t="s">
        <v>5</v>
      </c>
      <c r="B6343" s="4">
        <v>464656</v>
      </c>
      <c r="D6343" s="5">
        <v>464656</v>
      </c>
      <c r="E6343" s="6" t="str">
        <f>HYPERLINK("https://inpn.mnhn.fr/espece/cd_nom/464656","Inocybe armoricana R.Heim, 1931")</f>
        <v>Inocybe armoricana R.Heim, 1931</v>
      </c>
      <c r="AH6343" s="4" t="str">
        <f>HYPERLINK("#Statut_biogéographique!A"&amp;_xlfn.XMATCH("P",Statut_biogéographique!A:A,2,1),"P")</f>
        <v>P</v>
      </c>
      <c r="AP6343" s="4" t="s">
        <v>376</v>
      </c>
      <c r="AR6343" s="4" t="s">
        <v>377</v>
      </c>
    </row>
    <row r="6344" spans="1:44" ht="45">
      <c r="A6344" s="4" t="s">
        <v>5</v>
      </c>
      <c r="B6344" s="4">
        <v>464670</v>
      </c>
      <c r="C6344" s="4">
        <v>3847</v>
      </c>
      <c r="D6344" s="5" t="s">
        <v>9031</v>
      </c>
      <c r="E6344" s="6" t="str">
        <f>HYPERLINK("https://inpn.mnhn.fr/espece/cd_nom/464670","Kuehneromyces lignicola (Peck) Redhead, 1984")</f>
        <v>Kuehneromyces lignicola (Peck) Redhead, 1984</v>
      </c>
      <c r="F6344" s="5" t="s">
        <v>9032</v>
      </c>
      <c r="V6344" s="7" t="str">
        <f>HYPERLINK("#Liste_rouge!A"&amp;_xlfn.XMATCH("EN",Liste_rouge!A:A,2,1),"EN")</f>
        <v>EN</v>
      </c>
      <c r="W6344" s="4" t="str">
        <f>HYPERLINK("#Critères_liste_rouge!A$1","B2abiii")</f>
        <v>B2abiii</v>
      </c>
      <c r="Z6344" s="4" t="s">
        <v>695</v>
      </c>
      <c r="AA6344" s="4" t="s">
        <v>696</v>
      </c>
      <c r="AH6344" s="4" t="str">
        <f>HYPERLINK("#Statut_biogéographique!A"&amp;_xlfn.XMATCH("P",Statut_biogéographique!A:A,2,1),"P")</f>
        <v>P</v>
      </c>
      <c r="AP6344" s="4" t="s">
        <v>376</v>
      </c>
      <c r="AR6344" s="4" t="s">
        <v>377</v>
      </c>
    </row>
    <row r="6345" spans="1:44" ht="30">
      <c r="A6345" s="4" t="s">
        <v>5</v>
      </c>
      <c r="B6345" s="4">
        <v>464674</v>
      </c>
      <c r="C6345" s="4">
        <v>1298</v>
      </c>
      <c r="D6345" s="5" t="s">
        <v>9033</v>
      </c>
      <c r="E6345" s="6" t="str">
        <f>HYPERLINK("https://inpn.mnhn.fr/espece/cd_nom/464674","Irpex lacer (P.Karst.) Niemelä, 2002")</f>
        <v>Irpex lacer (P.Karst.) Niemelä, 2002</v>
      </c>
      <c r="AH6345" s="4" t="str">
        <f>HYPERLINK("#Statut_biogéographique!A"&amp;_xlfn.XMATCH("P",Statut_biogéographique!A:A,2,1),"P")</f>
        <v>P</v>
      </c>
      <c r="AP6345" s="4" t="s">
        <v>376</v>
      </c>
      <c r="AR6345" s="4" t="s">
        <v>377</v>
      </c>
    </row>
    <row r="6346" spans="1:44" ht="30">
      <c r="A6346" s="4" t="s">
        <v>5</v>
      </c>
      <c r="B6346" s="4">
        <v>464678</v>
      </c>
      <c r="C6346" s="4">
        <v>881</v>
      </c>
      <c r="D6346" s="5" t="s">
        <v>9034</v>
      </c>
      <c r="E6346" s="6" t="str">
        <f>HYPERLINK("https://inpn.mnhn.fr/espece/cd_nom/464678","Irpex nitidus (Pers.) Saaren. &amp; Kotir., 2002")</f>
        <v>Irpex nitidus (Pers.) Saaren. &amp; Kotir., 2002</v>
      </c>
      <c r="F6346" s="5" t="s">
        <v>9035</v>
      </c>
      <c r="AH6346" s="4" t="str">
        <f>HYPERLINK("#Statut_biogéographique!A"&amp;_xlfn.XMATCH("P",Statut_biogéographique!A:A,2,1),"P")</f>
        <v>P</v>
      </c>
      <c r="AP6346" s="4" t="s">
        <v>376</v>
      </c>
      <c r="AR6346" s="4" t="s">
        <v>377</v>
      </c>
    </row>
    <row r="6347" spans="1:44">
      <c r="A6347" s="4" t="s">
        <v>5</v>
      </c>
      <c r="B6347" s="4">
        <v>464687</v>
      </c>
      <c r="D6347" s="5" t="s">
        <v>9036</v>
      </c>
      <c r="E6347" s="6" t="str">
        <f>HYPERLINK("https://inpn.mnhn.fr/espece/cd_nom/464687","Lactarius flexuosus Gray, 1821")</f>
        <v>Lactarius flexuosus Gray, 1821</v>
      </c>
      <c r="F6347" s="5" t="s">
        <v>9037</v>
      </c>
      <c r="V6347" s="7" t="str">
        <f>HYPERLINK("#Liste_rouge!A"&amp;_xlfn.XMATCH("NT",Liste_rouge!A:A,2,1),"NT")</f>
        <v>NT</v>
      </c>
      <c r="W6347" s="4" t="str">
        <f>HYPERLINK("#Critères_liste_rouge!A$1","pr. B2abiii")</f>
        <v>pr. B2abiii</v>
      </c>
      <c r="AH6347" s="4" t="str">
        <f>HYPERLINK("#Statut_biogéographique!A"&amp;_xlfn.XMATCH("P",Statut_biogéographique!A:A,2,1),"P")</f>
        <v>P</v>
      </c>
      <c r="AP6347" s="4" t="s">
        <v>376</v>
      </c>
      <c r="AR6347" s="4" t="s">
        <v>377</v>
      </c>
    </row>
    <row r="6348" spans="1:44" ht="30">
      <c r="A6348" s="4" t="s">
        <v>5</v>
      </c>
      <c r="B6348" s="4">
        <v>464691</v>
      </c>
      <c r="C6348" s="4">
        <v>4479</v>
      </c>
      <c r="D6348" s="5" t="s">
        <v>9038</v>
      </c>
      <c r="E6348" s="6" t="str">
        <f>HYPERLINK("https://inpn.mnhn.fr/espece/cd_nom/464691","Leccinum alboroseolum (J.Blum) Lannoy &amp; Estadès, 1994")</f>
        <v>Leccinum alboroseolum (J.Blum) Lannoy &amp; Estadès, 1994</v>
      </c>
      <c r="F6348" s="5" t="s">
        <v>9039</v>
      </c>
      <c r="V6348" s="7" t="str">
        <f>HYPERLINK("#Liste_rouge!A"&amp;_xlfn.XMATCH("DD",Liste_rouge!A:A,2,1),"DD")</f>
        <v>DD</v>
      </c>
      <c r="Z6348" s="4" t="s">
        <v>443</v>
      </c>
      <c r="AA6348" s="4" t="s">
        <v>444</v>
      </c>
      <c r="AH6348" s="4" t="str">
        <f>HYPERLINK("#Statut_biogéographique!A"&amp;_xlfn.XMATCH("P",Statut_biogéographique!A:A,2,1),"P")</f>
        <v>P</v>
      </c>
      <c r="AP6348" s="4" t="s">
        <v>376</v>
      </c>
      <c r="AR6348" s="4" t="s">
        <v>377</v>
      </c>
    </row>
    <row r="6349" spans="1:44">
      <c r="A6349" s="4" t="s">
        <v>5</v>
      </c>
      <c r="B6349" s="4">
        <v>464692</v>
      </c>
      <c r="C6349" s="4">
        <v>225</v>
      </c>
      <c r="D6349" s="5" t="s">
        <v>9040</v>
      </c>
      <c r="E6349" s="6" t="str">
        <f>HYPERLINK("https://inpn.mnhn.fr/espece/cd_nom/464692","Leccinum avellaneum (J.Blum) Bon, 1979")</f>
        <v>Leccinum avellaneum (J.Blum) Bon, 1979</v>
      </c>
      <c r="F6349" s="5" t="s">
        <v>5096</v>
      </c>
      <c r="V6349" s="7" t="str">
        <f>HYPERLINK("#Liste_rouge!A"&amp;_xlfn.XMATCH("NT",Liste_rouge!A:A,2,1),"NT")</f>
        <v>NT</v>
      </c>
      <c r="W6349" s="4" t="str">
        <f>HYPERLINK("#Critères_liste_rouge!A$1","pr. B2abiii")</f>
        <v>pr. B2abiii</v>
      </c>
      <c r="Z6349" s="4" t="s">
        <v>9041</v>
      </c>
      <c r="AA6349" s="4" t="s">
        <v>444</v>
      </c>
      <c r="AH6349" s="4" t="str">
        <f>HYPERLINK("#Statut_biogéographique!A"&amp;_xlfn.XMATCH("P",Statut_biogéographique!A:A,2,1),"P")</f>
        <v>P</v>
      </c>
      <c r="AP6349" s="4" t="s">
        <v>376</v>
      </c>
      <c r="AR6349" s="4" t="s">
        <v>377</v>
      </c>
    </row>
    <row r="6350" spans="1:44" ht="45">
      <c r="A6350" s="4" t="s">
        <v>5</v>
      </c>
      <c r="B6350" s="4">
        <v>464696</v>
      </c>
      <c r="C6350" s="4">
        <v>574</v>
      </c>
      <c r="D6350" s="5" t="s">
        <v>9042</v>
      </c>
      <c r="E6350" s="6" t="str">
        <f>HYPERLINK("https://inpn.mnhn.fr/espece/cd_nom/464696","Leccinum floccopus (E.-J.Gilbert) Redeuilh, 1990")</f>
        <v>Leccinum floccopus (E.-J.Gilbert) Redeuilh, 1990</v>
      </c>
      <c r="F6350" s="5" t="s">
        <v>9043</v>
      </c>
      <c r="V6350" s="7" t="str">
        <f>HYPERLINK("#Liste_rouge!A"&amp;_xlfn.XMATCH("VU",Liste_rouge!A:A,2,1),"VU")</f>
        <v>VU</v>
      </c>
      <c r="W6350" s="4" t="str">
        <f>HYPERLINK("#Critères_liste_rouge!A$1","A2c")</f>
        <v>A2c</v>
      </c>
      <c r="Z6350" s="4" t="s">
        <v>447</v>
      </c>
      <c r="AA6350" s="4" t="s">
        <v>448</v>
      </c>
      <c r="AH6350" s="4" t="str">
        <f>HYPERLINK("#Statut_biogéographique!A"&amp;_xlfn.XMATCH("P",Statut_biogéographique!A:A,2,1),"P")</f>
        <v>P</v>
      </c>
      <c r="AP6350" s="4" t="s">
        <v>376</v>
      </c>
      <c r="AR6350" s="4" t="s">
        <v>377</v>
      </c>
    </row>
    <row r="6351" spans="1:44">
      <c r="A6351" s="4" t="s">
        <v>5</v>
      </c>
      <c r="B6351" s="4">
        <v>464701</v>
      </c>
      <c r="D6351" s="5" t="s">
        <v>9044</v>
      </c>
      <c r="E6351" s="6" t="str">
        <f>HYPERLINK("https://inpn.mnhn.fr/espece/cd_nom/464701","Leccinum piceinum Pilát &amp; Dermek, 1974")</f>
        <v>Leccinum piceinum Pilát &amp; Dermek, 1974</v>
      </c>
      <c r="V6351" s="7" t="str">
        <f>HYPERLINK("#Liste_rouge!A"&amp;_xlfn.XMATCH("LC",Liste_rouge!A:A,2,1),"LC")</f>
        <v>LC</v>
      </c>
      <c r="AH6351" s="4" t="str">
        <f>HYPERLINK("#Statut_biogéographique!A"&amp;_xlfn.XMATCH("P",Statut_biogéographique!A:A,2,1),"P")</f>
        <v>P</v>
      </c>
      <c r="AP6351" s="4" t="s">
        <v>376</v>
      </c>
      <c r="AR6351" s="4" t="s">
        <v>377</v>
      </c>
    </row>
    <row r="6352" spans="1:44">
      <c r="A6352" s="4" t="s">
        <v>5</v>
      </c>
      <c r="B6352" s="4">
        <v>464707</v>
      </c>
      <c r="C6352" s="4">
        <v>262</v>
      </c>
      <c r="D6352" s="5" t="s">
        <v>9045</v>
      </c>
      <c r="E6352" s="6" t="str">
        <f>HYPERLINK("https://inpn.mnhn.fr/espece/cd_nom/464707","Lactarius glyciosmus (Fr.) Fr., 1838")</f>
        <v>Lactarius glyciosmus (Fr.) Fr., 1838</v>
      </c>
      <c r="F6352" s="5" t="s">
        <v>9046</v>
      </c>
      <c r="V6352" s="7" t="str">
        <f>HYPERLINK("#Liste_rouge!A"&amp;_xlfn.XMATCH("LC",Liste_rouge!A:A,2,1),"LC")</f>
        <v>LC</v>
      </c>
      <c r="AH6352" s="4" t="str">
        <f>HYPERLINK("#Statut_biogéographique!A"&amp;_xlfn.XMATCH("P",Statut_biogéographique!A:A,2,1),"P")</f>
        <v>P</v>
      </c>
      <c r="AP6352" s="4" t="s">
        <v>376</v>
      </c>
      <c r="AR6352" s="4" t="s">
        <v>377</v>
      </c>
    </row>
    <row r="6353" spans="1:44">
      <c r="A6353" s="4" t="s">
        <v>5</v>
      </c>
      <c r="B6353" s="4">
        <v>464708</v>
      </c>
      <c r="C6353" s="4">
        <v>6403</v>
      </c>
      <c r="D6353" s="5" t="s">
        <v>9047</v>
      </c>
      <c r="E6353" s="6" t="str">
        <f>HYPERLINK("https://inpn.mnhn.fr/espece/cd_nom/464708","Lactarius helodes A.Favre &amp; Guichard, 2002")</f>
        <v>Lactarius helodes A.Favre &amp; Guichard, 2002</v>
      </c>
      <c r="F6353" s="5" t="s">
        <v>9048</v>
      </c>
      <c r="AH6353" s="4" t="str">
        <f>HYPERLINK("#Statut_biogéographique!A"&amp;_xlfn.XMATCH("P",Statut_biogéographique!A:A,2,1),"P")</f>
        <v>P</v>
      </c>
      <c r="AP6353" s="4" t="s">
        <v>376</v>
      </c>
      <c r="AR6353" s="4" t="s">
        <v>377</v>
      </c>
    </row>
    <row r="6354" spans="1:44">
      <c r="A6354" s="4" t="s">
        <v>5</v>
      </c>
      <c r="B6354" s="4">
        <v>464710</v>
      </c>
      <c r="D6354" s="5" t="s">
        <v>9049</v>
      </c>
      <c r="E6354" s="6" t="str">
        <f>HYPERLINK("https://inpn.mnhn.fr/espece/cd_nom/464710","Lactarius mammosus Fr., 1838")</f>
        <v>Lactarius mammosus Fr., 1838</v>
      </c>
      <c r="V6354" s="7" t="str">
        <f>HYPERLINK("#Liste_rouge!A"&amp;_xlfn.XMATCH("LC",Liste_rouge!A:A,2,1),"LC")</f>
        <v>LC</v>
      </c>
      <c r="AH6354" s="4" t="str">
        <f>HYPERLINK("#Statut_biogéographique!A"&amp;_xlfn.XMATCH("P",Statut_biogéographique!A:A,2,1),"P")</f>
        <v>P</v>
      </c>
      <c r="AP6354" s="4" t="s">
        <v>376</v>
      </c>
      <c r="AR6354" s="4" t="s">
        <v>377</v>
      </c>
    </row>
    <row r="6355" spans="1:44">
      <c r="A6355" s="4" t="s">
        <v>5</v>
      </c>
      <c r="B6355" s="4">
        <v>464719</v>
      </c>
      <c r="C6355" s="4">
        <v>5600</v>
      </c>
      <c r="D6355" s="5" t="s">
        <v>9050</v>
      </c>
      <c r="E6355" s="6" t="str">
        <f>HYPERLINK("https://inpn.mnhn.fr/espece/cd_nom/464719","Lactarius utilis (Weinm.) Fr., 1863")</f>
        <v>Lactarius utilis (Weinm.) Fr., 1863</v>
      </c>
      <c r="V6355" s="7" t="str">
        <f>HYPERLINK("#Liste_rouge!A"&amp;_xlfn.XMATCH("DD",Liste_rouge!A:A,2,1),"DD")</f>
        <v>DD</v>
      </c>
      <c r="Z6355" s="4" t="s">
        <v>447</v>
      </c>
      <c r="AA6355" s="4" t="s">
        <v>448</v>
      </c>
      <c r="AH6355" s="4" t="str">
        <f>HYPERLINK("#Statut_biogéographique!A"&amp;_xlfn.XMATCH("P",Statut_biogéographique!A:A,2,1),"P")</f>
        <v>P</v>
      </c>
      <c r="AP6355" s="4" t="s">
        <v>376</v>
      </c>
      <c r="AR6355" s="4" t="s">
        <v>377</v>
      </c>
    </row>
    <row r="6356" spans="1:44">
      <c r="A6356" s="4" t="s">
        <v>5</v>
      </c>
      <c r="B6356" s="4">
        <v>464728</v>
      </c>
      <c r="C6356" s="4">
        <v>3587</v>
      </c>
      <c r="D6356" s="5" t="s">
        <v>9051</v>
      </c>
      <c r="E6356" s="6" t="str">
        <f>HYPERLINK("https://inpn.mnhn.fr/espece/cd_nom/464728","Inocybe soluta Velen., 1920")</f>
        <v>Inocybe soluta Velen., 1920</v>
      </c>
      <c r="V6356" s="7" t="str">
        <f>HYPERLINK("#Liste_rouge!A"&amp;_xlfn.XMATCH("LC",Liste_rouge!A:A,2,1),"LC")</f>
        <v>LC</v>
      </c>
      <c r="AH6356" s="4" t="str">
        <f>HYPERLINK("#Statut_biogéographique!A"&amp;_xlfn.XMATCH("P",Statut_biogéographique!A:A,2,1),"P")</f>
        <v>P</v>
      </c>
      <c r="AP6356" s="4" t="s">
        <v>376</v>
      </c>
      <c r="AR6356" s="4" t="s">
        <v>377</v>
      </c>
    </row>
    <row r="6357" spans="1:44">
      <c r="A6357" s="4" t="s">
        <v>5</v>
      </c>
      <c r="B6357" s="4">
        <v>464732</v>
      </c>
      <c r="C6357" s="4">
        <v>3677</v>
      </c>
      <c r="D6357" s="5" t="s">
        <v>9052</v>
      </c>
      <c r="E6357" s="6" t="str">
        <f>HYPERLINK("https://inpn.mnhn.fr/espece/cd_nom/464732","Inocybe striata Bres., 1930")</f>
        <v>Inocybe striata Bres., 1930</v>
      </c>
      <c r="F6357" s="5" t="s">
        <v>9053</v>
      </c>
      <c r="V6357" s="7" t="str">
        <f>HYPERLINK("#Liste_rouge!A"&amp;_xlfn.XMATCH("DD",Liste_rouge!A:A,2,1),"DD")</f>
        <v>DD</v>
      </c>
      <c r="AH6357" s="4" t="str">
        <f>HYPERLINK("#Statut_biogéographique!A"&amp;_xlfn.XMATCH("P",Statut_biogéographique!A:A,2,1),"P")</f>
        <v>P</v>
      </c>
      <c r="AP6357" s="4" t="s">
        <v>376</v>
      </c>
      <c r="AR6357" s="4" t="s">
        <v>377</v>
      </c>
    </row>
    <row r="6358" spans="1:44">
      <c r="A6358" s="4" t="s">
        <v>5</v>
      </c>
      <c r="B6358" s="4">
        <v>464733</v>
      </c>
      <c r="C6358" s="4">
        <v>3327</v>
      </c>
      <c r="D6358" s="5" t="s">
        <v>9054</v>
      </c>
      <c r="E6358" s="6" t="str">
        <f>HYPERLINK("https://inpn.mnhn.fr/espece/cd_nom/464733","Inocybe striatorimosa P.D.Orton, 1960")</f>
        <v>Inocybe striatorimosa P.D.Orton, 1960</v>
      </c>
      <c r="V6358" s="7" t="str">
        <f>HYPERLINK("#Liste_rouge!A"&amp;_xlfn.XMATCH("EN",Liste_rouge!A:A,2,1),"EN")</f>
        <v>EN</v>
      </c>
      <c r="W6358" s="4" t="str">
        <f>HYPERLINK("#Critères_liste_rouge!A$1","B2abiii")</f>
        <v>B2abiii</v>
      </c>
      <c r="Z6358" s="4" t="s">
        <v>443</v>
      </c>
      <c r="AA6358" s="4" t="s">
        <v>444</v>
      </c>
      <c r="AH6358" s="4" t="str">
        <f>HYPERLINK("#Statut_biogéographique!A"&amp;_xlfn.XMATCH("P",Statut_biogéographique!A:A,2,1),"P")</f>
        <v>P</v>
      </c>
      <c r="AP6358" s="4" t="s">
        <v>376</v>
      </c>
      <c r="AR6358" s="4" t="s">
        <v>377</v>
      </c>
    </row>
    <row r="6359" spans="1:44" ht="30">
      <c r="A6359" s="4" t="s">
        <v>5</v>
      </c>
      <c r="B6359" s="4">
        <v>464735</v>
      </c>
      <c r="C6359" s="4">
        <v>3435</v>
      </c>
      <c r="D6359" s="5" t="s">
        <v>9055</v>
      </c>
      <c r="E6359" s="6" t="str">
        <f>HYPERLINK("https://inpn.mnhn.fr/espece/cd_nom/464735","Irpex fimbriatus (Pers.) Kotir. &amp; Saaren., 2002")</f>
        <v>Irpex fimbriatus (Pers.) Kotir. &amp; Saaren., 2002</v>
      </c>
      <c r="AH6359" s="4" t="str">
        <f>HYPERLINK("#Statut_biogéographique!A"&amp;_xlfn.XMATCH("P",Statut_biogéographique!A:A,2,1),"P")</f>
        <v>P</v>
      </c>
      <c r="AP6359" s="4" t="s">
        <v>376</v>
      </c>
      <c r="AR6359" s="4" t="s">
        <v>377</v>
      </c>
    </row>
    <row r="6360" spans="1:44">
      <c r="A6360" s="4" t="s">
        <v>5</v>
      </c>
      <c r="B6360" s="4">
        <v>464737</v>
      </c>
      <c r="C6360" s="4">
        <v>3368</v>
      </c>
      <c r="D6360" s="5" t="s">
        <v>9056</v>
      </c>
      <c r="E6360" s="6" t="str">
        <f>HYPERLINK("https://inpn.mnhn.fr/espece/cd_nom/464737","Inocybe quietiodor Bon, 1976")</f>
        <v>Inocybe quietiodor Bon, 1976</v>
      </c>
      <c r="F6360" s="5" t="s">
        <v>9057</v>
      </c>
      <c r="V6360" s="7" t="str">
        <f>HYPERLINK("#Liste_rouge!A"&amp;_xlfn.XMATCH("DD",Liste_rouge!A:A,2,1),"DD")</f>
        <v>DD</v>
      </c>
      <c r="AH6360" s="4" t="str">
        <f>HYPERLINK("#Statut_biogéographique!A"&amp;_xlfn.XMATCH("P",Statut_biogéographique!A:A,2,1),"P")</f>
        <v>P</v>
      </c>
      <c r="AP6360" s="4" t="s">
        <v>376</v>
      </c>
      <c r="AR6360" s="4" t="s">
        <v>377</v>
      </c>
    </row>
    <row r="6361" spans="1:44">
      <c r="A6361" s="4" t="s">
        <v>5</v>
      </c>
      <c r="B6361" s="4">
        <v>464738</v>
      </c>
      <c r="D6361" s="5" t="s">
        <v>9058</v>
      </c>
      <c r="E6361" s="6" t="str">
        <f>HYPERLINK("https://inpn.mnhn.fr/espece/cd_nom/464738","Leccinum variicolor Watling, 1969")</f>
        <v>Leccinum variicolor Watling, 1969</v>
      </c>
      <c r="F6361" s="5" t="s">
        <v>9059</v>
      </c>
      <c r="V6361" s="7" t="str">
        <f>HYPERLINK("#Liste_rouge!A"&amp;_xlfn.XMATCH("LC",Liste_rouge!A:A,2,1),"LC")</f>
        <v>LC</v>
      </c>
      <c r="AH6361" s="4" t="str">
        <f>HYPERLINK("#Statut_biogéographique!A"&amp;_xlfn.XMATCH("P",Statut_biogéographique!A:A,2,1),"P")</f>
        <v>P</v>
      </c>
      <c r="AP6361" s="4" t="s">
        <v>376</v>
      </c>
      <c r="AR6361" s="4" t="s">
        <v>377</v>
      </c>
    </row>
    <row r="6362" spans="1:44" ht="30">
      <c r="A6362" s="4" t="s">
        <v>5</v>
      </c>
      <c r="B6362" s="4">
        <v>464756</v>
      </c>
      <c r="C6362" s="4">
        <v>2969</v>
      </c>
      <c r="D6362" s="5" t="s">
        <v>9060</v>
      </c>
      <c r="E6362" s="6" t="str">
        <f>HYPERLINK("https://inpn.mnhn.fr/espece/cd_nom/464756","Inocybe umbrinella Bres., 1905")</f>
        <v>Inocybe umbrinella Bres., 1905</v>
      </c>
      <c r="F6362" s="5" t="s">
        <v>9061</v>
      </c>
      <c r="V6362" s="7" t="str">
        <f>HYPERLINK("#Liste_rouge!A"&amp;_xlfn.XMATCH("LC",Liste_rouge!A:A,2,1),"LC")</f>
        <v>LC</v>
      </c>
      <c r="AH6362" s="4" t="str">
        <f>HYPERLINK("#Statut_biogéographique!A"&amp;_xlfn.XMATCH("P",Statut_biogéographique!A:A,2,1),"P")</f>
        <v>P</v>
      </c>
      <c r="AP6362" s="4" t="s">
        <v>376</v>
      </c>
      <c r="AR6362" s="4" t="s">
        <v>377</v>
      </c>
    </row>
    <row r="6363" spans="1:44" ht="30">
      <c r="A6363" s="4" t="s">
        <v>5</v>
      </c>
      <c r="B6363" s="4">
        <v>464759</v>
      </c>
      <c r="C6363" s="4">
        <v>3200</v>
      </c>
      <c r="D6363" s="5" t="s">
        <v>9062</v>
      </c>
      <c r="E6363" s="6" t="str">
        <f>HYPERLINK("https://inpn.mnhn.fr/espece/cd_nom/464759","Inocybe tenuicystidiata E.Horak &amp; Stangl, 1980")</f>
        <v>Inocybe tenuicystidiata E.Horak &amp; Stangl, 1980</v>
      </c>
      <c r="F6363" s="5" t="s">
        <v>9063</v>
      </c>
      <c r="V6363" s="7" t="str">
        <f>HYPERLINK("#Liste_rouge!A"&amp;_xlfn.XMATCH("NT",Liste_rouge!A:A,2,1),"NT")</f>
        <v>NT</v>
      </c>
      <c r="W6363" s="4" t="str">
        <f>HYPERLINK("#Critères_liste_rouge!A$1","pr. B2abiii")</f>
        <v>pr. B2abiii</v>
      </c>
      <c r="AH6363" s="4" t="str">
        <f>HYPERLINK("#Statut_biogéographique!A"&amp;_xlfn.XMATCH("P",Statut_biogéographique!A:A,2,1),"P")</f>
        <v>P</v>
      </c>
      <c r="AP6363" s="4" t="s">
        <v>376</v>
      </c>
      <c r="AR6363" s="4" t="s">
        <v>377</v>
      </c>
    </row>
    <row r="6364" spans="1:44">
      <c r="A6364" s="4" t="s">
        <v>5</v>
      </c>
      <c r="B6364" s="4">
        <v>464760</v>
      </c>
      <c r="C6364" s="4">
        <v>5500</v>
      </c>
      <c r="D6364" s="5" t="s">
        <v>9064</v>
      </c>
      <c r="E6364" s="6" t="str">
        <f>HYPERLINK("https://inpn.mnhn.fr/espece/cd_nom/464760","Inocybe velenovskyi Boursier &amp; Kühner, 1928")</f>
        <v>Inocybe velenovskyi Boursier &amp; Kühner, 1928</v>
      </c>
      <c r="V6364" s="7" t="str">
        <f>HYPERLINK("#Liste_rouge!A"&amp;_xlfn.XMATCH("DD",Liste_rouge!A:A,2,1),"DD")</f>
        <v>DD</v>
      </c>
      <c r="AH6364" s="4" t="str">
        <f>HYPERLINK("#Statut_biogéographique!A"&amp;_xlfn.XMATCH("P",Statut_biogéographique!A:A,2,1),"P")</f>
        <v>P</v>
      </c>
      <c r="AP6364" s="4" t="s">
        <v>376</v>
      </c>
      <c r="AR6364" s="4" t="s">
        <v>377</v>
      </c>
    </row>
    <row r="6365" spans="1:44">
      <c r="A6365" s="4" t="s">
        <v>5</v>
      </c>
      <c r="B6365" s="4">
        <v>464762</v>
      </c>
      <c r="D6365" s="5" t="s">
        <v>9065</v>
      </c>
      <c r="E6365" s="6" t="str">
        <f>HYPERLINK("https://inpn.mnhn.fr/espece/cd_nom/464762","Inonotus polymorphus (Rostk.) Pilát, 1940")</f>
        <v>Inonotus polymorphus (Rostk.) Pilát, 1940</v>
      </c>
      <c r="AH6365" s="4" t="str">
        <f>HYPERLINK("#Statut_biogéographique!A"&amp;_xlfn.XMATCH("P",Statut_biogéographique!A:A,2,1),"P")</f>
        <v>P</v>
      </c>
      <c r="AP6365" s="4" t="s">
        <v>376</v>
      </c>
      <c r="AR6365" s="4" t="s">
        <v>377</v>
      </c>
    </row>
    <row r="6366" spans="1:44" ht="30">
      <c r="A6366" s="4" t="s">
        <v>5</v>
      </c>
      <c r="B6366" s="4">
        <v>464764</v>
      </c>
      <c r="C6366" s="4">
        <v>4890</v>
      </c>
      <c r="D6366" s="5" t="s">
        <v>9066</v>
      </c>
      <c r="E6366" s="6" t="str">
        <f>HYPERLINK("https://inpn.mnhn.fr/espece/cd_nom/464764","Irpex bourdotii (Saliba &amp; A.David) Kotir. &amp; Saaren., 2002")</f>
        <v>Irpex bourdotii (Saliba &amp; A.David) Kotir. &amp; Saaren., 2002</v>
      </c>
      <c r="V6366" s="7" t="str">
        <f>HYPERLINK("#Liste_rouge!A"&amp;_xlfn.XMATCH("DD",Liste_rouge!A:A,2,1),"DD")</f>
        <v>DD</v>
      </c>
      <c r="AH6366" s="4" t="str">
        <f>HYPERLINK("#Statut_biogéographique!A"&amp;_xlfn.XMATCH("P",Statut_biogéographique!A:A,2,1),"P")</f>
        <v>P</v>
      </c>
      <c r="AP6366" s="4" t="s">
        <v>376</v>
      </c>
      <c r="AR6366" s="4" t="s">
        <v>377</v>
      </c>
    </row>
    <row r="6367" spans="1:44">
      <c r="A6367" s="4" t="s">
        <v>5</v>
      </c>
      <c r="B6367" s="4">
        <v>464781</v>
      </c>
      <c r="C6367" s="4">
        <v>6368</v>
      </c>
      <c r="D6367" s="5" t="s">
        <v>9067</v>
      </c>
      <c r="E6367" s="6" t="str">
        <f>HYPERLINK("https://inpn.mnhn.fr/espece/cd_nom/464781","Inocybe tabacina Furrer-Ziogas, 1952")</f>
        <v>Inocybe tabacina Furrer-Ziogas, 1952</v>
      </c>
      <c r="F6367" s="5" t="s">
        <v>9068</v>
      </c>
      <c r="AH6367" s="4" t="str">
        <f>HYPERLINK("#Statut_biogéographique!A"&amp;_xlfn.XMATCH("P",Statut_biogéographique!A:A,2,1),"P")</f>
        <v>P</v>
      </c>
      <c r="AP6367" s="4" t="s">
        <v>376</v>
      </c>
      <c r="AR6367" s="4" t="s">
        <v>377</v>
      </c>
    </row>
    <row r="6368" spans="1:44" ht="30">
      <c r="A6368" s="4" t="s">
        <v>5</v>
      </c>
      <c r="B6368" s="4">
        <v>46479</v>
      </c>
      <c r="D6368" s="5" t="s">
        <v>9069</v>
      </c>
      <c r="E6368" s="6" t="str">
        <f>HYPERLINK("https://inpn.mnhn.fr/espece/cd_nom/46479","Cordyceps entomorrhiza (Dicks.) Fr., 1849")</f>
        <v>Cordyceps entomorrhiza (Dicks.) Fr., 1849</v>
      </c>
      <c r="AH6368" s="4" t="str">
        <f>HYPERLINK("#Statut_biogéographique!A"&amp;_xlfn.XMATCH("P",Statut_biogéographique!A:A,2,1),"P")</f>
        <v>P</v>
      </c>
      <c r="AP6368" s="4" t="s">
        <v>376</v>
      </c>
      <c r="AR6368" s="4" t="s">
        <v>377</v>
      </c>
    </row>
    <row r="6369" spans="1:44" ht="30">
      <c r="A6369" s="4" t="s">
        <v>5</v>
      </c>
      <c r="B6369" s="4">
        <v>46481</v>
      </c>
      <c r="D6369" s="5" t="s">
        <v>9070</v>
      </c>
      <c r="E6369" s="6" t="str">
        <f>HYPERLINK("https://inpn.mnhn.fr/espece/cd_nom/46481","Cordyceps gracilis (Grev.) Durieu &amp; Mont., 1848")</f>
        <v>Cordyceps gracilis (Grev.) Durieu &amp; Mont., 1848</v>
      </c>
      <c r="AH6369" s="4" t="str">
        <f>HYPERLINK("#Statut_biogéographique!A"&amp;_xlfn.XMATCH("P",Statut_biogéographique!A:A,2,1),"P")</f>
        <v>P</v>
      </c>
      <c r="AP6369" s="4" t="s">
        <v>376</v>
      </c>
      <c r="AR6369" s="4" t="s">
        <v>377</v>
      </c>
    </row>
    <row r="6370" spans="1:44" ht="45">
      <c r="A6370" s="4" t="s">
        <v>5</v>
      </c>
      <c r="B6370" s="4">
        <v>464823</v>
      </c>
      <c r="D6370" s="5" t="s">
        <v>9071</v>
      </c>
      <c r="E6370" s="6" t="str">
        <f>HYPERLINK("https://inpn.mnhn.fr/espece/cd_nom/464823","Puccinia caricina DC., 1815")</f>
        <v>Puccinia caricina DC., 1815</v>
      </c>
      <c r="AH6370" s="4" t="str">
        <f>HYPERLINK("#Statut_biogéographique!A"&amp;_xlfn.XMATCH("P",Statut_biogéographique!A:A,2,1),"P")</f>
        <v>P</v>
      </c>
      <c r="AP6370" s="4" t="s">
        <v>376</v>
      </c>
      <c r="AR6370" s="4" t="s">
        <v>377</v>
      </c>
    </row>
    <row r="6371" spans="1:44">
      <c r="A6371" s="4" t="s">
        <v>5</v>
      </c>
      <c r="B6371" s="4">
        <v>46484</v>
      </c>
      <c r="D6371" s="5" t="s">
        <v>9072</v>
      </c>
      <c r="E6371" s="6" t="str">
        <f>HYPERLINK("https://inpn.mnhn.fr/espece/cd_nom/46484","Cordyceps larvicola Quél., 1879")</f>
        <v>Cordyceps larvicola Quél., 1879</v>
      </c>
      <c r="AH6371" s="4" t="str">
        <f>HYPERLINK("#Statut_biogéographique!A"&amp;_xlfn.XMATCH("P",Statut_biogéographique!A:A,2,1),"P")</f>
        <v>P</v>
      </c>
      <c r="AP6371" s="4" t="s">
        <v>376</v>
      </c>
      <c r="AR6371" s="4" t="s">
        <v>377</v>
      </c>
    </row>
    <row r="6372" spans="1:44">
      <c r="A6372" s="4" t="s">
        <v>5</v>
      </c>
      <c r="B6372" s="4">
        <v>464843</v>
      </c>
      <c r="D6372" s="5">
        <v>464843</v>
      </c>
      <c r="E6372" s="6" t="str">
        <f>HYPERLINK("https://inpn.mnhn.fr/espece/cd_nom/464843","Puccinia buxi DC., 1815")</f>
        <v>Puccinia buxi DC., 1815</v>
      </c>
      <c r="AH6372" s="4" t="str">
        <f>HYPERLINK("#Statut_biogéographique!A"&amp;_xlfn.XMATCH("P",Statut_biogéographique!A:A,2,1),"P")</f>
        <v>P</v>
      </c>
      <c r="AP6372" s="4" t="s">
        <v>376</v>
      </c>
      <c r="AR6372" s="4" t="s">
        <v>377</v>
      </c>
    </row>
    <row r="6373" spans="1:44">
      <c r="A6373" s="4" t="s">
        <v>5</v>
      </c>
      <c r="B6373" s="4">
        <v>464848</v>
      </c>
      <c r="D6373" s="5" t="s">
        <v>9073</v>
      </c>
      <c r="E6373" s="6" t="str">
        <f>HYPERLINK("https://inpn.mnhn.fr/espece/cd_nom/464848","Psilocybe fimetaria (P.D.Orton) Watling, 1967")</f>
        <v>Psilocybe fimetaria (P.D.Orton) Watling, 1967</v>
      </c>
      <c r="AH6373" s="4" t="str">
        <f>HYPERLINK("#Statut_biogéographique!A"&amp;_xlfn.XMATCH("P",Statut_biogéographique!A:A,2,1),"P")</f>
        <v>P</v>
      </c>
      <c r="AP6373" s="4" t="s">
        <v>376</v>
      </c>
      <c r="AR6373" s="4" t="s">
        <v>377</v>
      </c>
    </row>
    <row r="6374" spans="1:44" ht="45">
      <c r="A6374" s="4" t="s">
        <v>5</v>
      </c>
      <c r="B6374" s="4">
        <v>46486</v>
      </c>
      <c r="C6374" s="4">
        <v>1371</v>
      </c>
      <c r="D6374" s="5" t="s">
        <v>9074</v>
      </c>
      <c r="E6374" s="6" t="str">
        <f>HYPERLINK("https://inpn.mnhn.fr/espece/cd_nom/46486","Cordyceps militaris (L.) Fr., 1818")</f>
        <v>Cordyceps militaris (L.) Fr., 1818</v>
      </c>
      <c r="F6374" s="5" t="s">
        <v>9075</v>
      </c>
      <c r="V6374" s="7" t="str">
        <f>HYPERLINK("#Liste_rouge!A"&amp;_xlfn.XMATCH("LC",Liste_rouge!A:A,2,1),"LC")</f>
        <v>LC</v>
      </c>
      <c r="AH6374" s="4" t="str">
        <f>HYPERLINK("#Statut_biogéographique!A"&amp;_xlfn.XMATCH("P",Statut_biogéographique!A:A,2,1),"P")</f>
        <v>P</v>
      </c>
      <c r="AP6374" s="4" t="s">
        <v>376</v>
      </c>
      <c r="AR6374" s="4" t="s">
        <v>377</v>
      </c>
    </row>
    <row r="6375" spans="1:44" ht="30">
      <c r="A6375" s="4" t="s">
        <v>5</v>
      </c>
      <c r="B6375" s="4">
        <v>464864</v>
      </c>
      <c r="D6375" s="5">
        <v>464864</v>
      </c>
      <c r="E6375" s="6" t="str">
        <f>HYPERLINK("https://inpn.mnhn.fr/espece/cd_nom/464864","Pseudobaeospora pyrifera Bas &amp; L.G.Krieglst., 1998")</f>
        <v>Pseudobaeospora pyrifera Bas &amp; L.G.Krieglst., 1998</v>
      </c>
      <c r="V6375" s="7" t="str">
        <f>HYPERLINK("#Liste_rouge!A"&amp;_xlfn.XMATCH("CR",Liste_rouge!A:A,2,1),"CR")</f>
        <v>CR</v>
      </c>
      <c r="W6375" s="4" t="str">
        <f>HYPERLINK("#Critères_liste_rouge!A$1","B2abiii")</f>
        <v>B2abiii</v>
      </c>
      <c r="AH6375" s="4" t="str">
        <f>HYPERLINK("#Statut_biogéographique!A"&amp;_xlfn.XMATCH("P",Statut_biogéographique!A:A,2,1),"P")</f>
        <v>P</v>
      </c>
      <c r="AP6375" s="4" t="s">
        <v>376</v>
      </c>
      <c r="AR6375" s="4" t="s">
        <v>377</v>
      </c>
    </row>
    <row r="6376" spans="1:44" ht="30">
      <c r="A6376" s="4" t="s">
        <v>5</v>
      </c>
      <c r="B6376" s="4">
        <v>464866</v>
      </c>
      <c r="D6376" s="5" t="s">
        <v>9076</v>
      </c>
      <c r="E6376" s="6" t="str">
        <f>HYPERLINK("https://inpn.mnhn.fr/espece/cd_nom/464866","Pseudoboletus parasiticus (Bull.) Šutara, 1991")</f>
        <v>Pseudoboletus parasiticus (Bull.) Šutara, 1991</v>
      </c>
      <c r="F6376" s="5" t="s">
        <v>4754</v>
      </c>
      <c r="V6376" s="7" t="str">
        <f>HYPERLINK("#Liste_rouge!A"&amp;_xlfn.XMATCH("LC",Liste_rouge!A:A,2,1),"LC")</f>
        <v>LC</v>
      </c>
      <c r="AH6376" s="4" t="str">
        <f>HYPERLINK("#Statut_biogéographique!A"&amp;_xlfn.XMATCH("P",Statut_biogéographique!A:A,2,1),"P")</f>
        <v>P</v>
      </c>
      <c r="AP6376" s="4" t="s">
        <v>376</v>
      </c>
      <c r="AR6376" s="4" t="s">
        <v>377</v>
      </c>
    </row>
    <row r="6377" spans="1:44" ht="30">
      <c r="A6377" s="4" t="s">
        <v>5</v>
      </c>
      <c r="B6377" s="4">
        <v>464870</v>
      </c>
      <c r="D6377" s="5" t="s">
        <v>9077</v>
      </c>
      <c r="E6377" s="6" t="str">
        <f>HYPERLINK("https://inpn.mnhn.fr/espece/cd_nom/464870","Pseudoomphalina graveolens (S.Petersen) Contu &amp; La Rocca, 1999")</f>
        <v>Pseudoomphalina graveolens (S.Petersen) Contu &amp; La Rocca, 1999</v>
      </c>
      <c r="V6377" s="7" t="str">
        <f>HYPERLINK("#Liste_rouge!A"&amp;_xlfn.XMATCH("NT",Liste_rouge!A:A,2,1),"NT")</f>
        <v>NT</v>
      </c>
      <c r="W6377" s="4" t="str">
        <f>HYPERLINK("#Critères_liste_rouge!A$1","pr. B2abiii")</f>
        <v>pr. B2abiii</v>
      </c>
      <c r="AH6377" s="4" t="str">
        <f>HYPERLINK("#Statut_biogéographique!A"&amp;_xlfn.XMATCH("P",Statut_biogéographique!A:A,2,1),"P")</f>
        <v>P</v>
      </c>
      <c r="AP6377" s="4" t="s">
        <v>376</v>
      </c>
      <c r="AR6377" s="4" t="s">
        <v>377</v>
      </c>
    </row>
    <row r="6378" spans="1:44" ht="30">
      <c r="A6378" s="4" t="s">
        <v>5</v>
      </c>
      <c r="B6378" s="4">
        <v>464876</v>
      </c>
      <c r="C6378" s="4">
        <v>3686</v>
      </c>
      <c r="D6378" s="5" t="s">
        <v>9078</v>
      </c>
      <c r="E6378" s="6" t="str">
        <f>HYPERLINK("https://inpn.mnhn.fr/espece/cd_nom/464876","Psilocybe crobula (Fr.) Singer, 1962")</f>
        <v>Psilocybe crobula (Fr.) Singer, 1962</v>
      </c>
      <c r="F6378" s="5" t="s">
        <v>9079</v>
      </c>
      <c r="V6378" s="7" t="str">
        <f>HYPERLINK("#Liste_rouge!A"&amp;_xlfn.XMATCH("DD",Liste_rouge!A:A,2,1),"DD")</f>
        <v>DD</v>
      </c>
      <c r="AH6378" s="4" t="str">
        <f>HYPERLINK("#Statut_biogéographique!A"&amp;_xlfn.XMATCH("P",Statut_biogéographique!A:A,2,1),"P")</f>
        <v>P</v>
      </c>
      <c r="AP6378" s="4" t="s">
        <v>376</v>
      </c>
      <c r="AR6378" s="4" t="s">
        <v>377</v>
      </c>
    </row>
    <row r="6379" spans="1:44">
      <c r="A6379" s="4" t="s">
        <v>5</v>
      </c>
      <c r="B6379" s="4">
        <v>464899</v>
      </c>
      <c r="D6379" s="5" t="s">
        <v>9080</v>
      </c>
      <c r="E6379" s="6" t="str">
        <f>HYPERLINK("https://inpn.mnhn.fr/espece/cd_nom/464899","Puccinia acetosae (Schumach.) Körn., 1876")</f>
        <v>Puccinia acetosae (Schumach.) Körn., 1876</v>
      </c>
      <c r="AH6379" s="4" t="str">
        <f>HYPERLINK("#Statut_biogéographique!A"&amp;_xlfn.XMATCH("P",Statut_biogéographique!A:A,2,1),"P")</f>
        <v>P</v>
      </c>
      <c r="AP6379" s="4" t="s">
        <v>376</v>
      </c>
      <c r="AR6379" s="4" t="s">
        <v>377</v>
      </c>
    </row>
    <row r="6380" spans="1:44">
      <c r="A6380" s="4" t="s">
        <v>5</v>
      </c>
      <c r="B6380" s="4">
        <v>464907</v>
      </c>
      <c r="D6380" s="5" t="s">
        <v>9081</v>
      </c>
      <c r="E6380" s="6" t="str">
        <f>HYPERLINK("https://inpn.mnhn.fr/espece/cd_nom/464907","Puccinia allii (DC.) F.Rudolphi, 1829")</f>
        <v>Puccinia allii (DC.) F.Rudolphi, 1829</v>
      </c>
      <c r="AH6380" s="4" t="str">
        <f>HYPERLINK("#Statut_biogéographique!A"&amp;_xlfn.XMATCH("P",Statut_biogéographique!A:A,2,1),"P")</f>
        <v>P</v>
      </c>
      <c r="AP6380" s="4" t="s">
        <v>376</v>
      </c>
      <c r="AR6380" s="4" t="s">
        <v>377</v>
      </c>
    </row>
    <row r="6381" spans="1:44" ht="45">
      <c r="A6381" s="4" t="s">
        <v>5</v>
      </c>
      <c r="B6381" s="4">
        <v>46492</v>
      </c>
      <c r="D6381" s="5" t="s">
        <v>9082</v>
      </c>
      <c r="E6381" s="6" t="str">
        <f>HYPERLINK("https://inpn.mnhn.fr/espece/cd_nom/46492","Cordyceps sphecocephala (Klotzsch ex Berk.) Berk. &amp; M.A.Curtis, 1868")</f>
        <v>Cordyceps sphecocephala (Klotzsch ex Berk.) Berk. &amp; M.A.Curtis, 1868</v>
      </c>
      <c r="AH6381" s="4" t="str">
        <f>HYPERLINK("#Statut_biogéographique!A"&amp;_xlfn.XMATCH("P",Statut_biogéographique!A:A,2,1),"P")</f>
        <v>P</v>
      </c>
      <c r="AP6381" s="4" t="s">
        <v>376</v>
      </c>
      <c r="AR6381" s="4" t="s">
        <v>377</v>
      </c>
    </row>
    <row r="6382" spans="1:44">
      <c r="A6382" s="4" t="s">
        <v>5</v>
      </c>
      <c r="B6382" s="4">
        <v>46493</v>
      </c>
      <c r="C6382" s="4">
        <v>5221</v>
      </c>
      <c r="D6382" s="5" t="s">
        <v>9083</v>
      </c>
      <c r="E6382" s="6" t="str">
        <f>HYPERLINK("https://inpn.mnhn.fr/espece/cd_nom/46493","Cordyceps tuberculata (Lebert) Maire, 1917")</f>
        <v>Cordyceps tuberculata (Lebert) Maire, 1917</v>
      </c>
      <c r="AH6382" s="4" t="str">
        <f>HYPERLINK("#Statut_biogéographique!A"&amp;_xlfn.XMATCH("P",Statut_biogéographique!A:A,2,1),"P")</f>
        <v>P</v>
      </c>
      <c r="AP6382" s="4" t="s">
        <v>376</v>
      </c>
      <c r="AR6382" s="4" t="s">
        <v>377</v>
      </c>
    </row>
    <row r="6383" spans="1:44">
      <c r="A6383" s="4" t="s">
        <v>5</v>
      </c>
      <c r="B6383" s="4">
        <v>464952</v>
      </c>
      <c r="D6383" s="5" t="s">
        <v>9084</v>
      </c>
      <c r="E6383" s="6" t="str">
        <f>HYPERLINK("https://inpn.mnhn.fr/espece/cd_nom/464952","Puccinia isiacae (Thüm.) G.Winter, 1887")</f>
        <v>Puccinia isiacae (Thüm.) G.Winter, 1887</v>
      </c>
      <c r="AH6383" s="4" t="str">
        <f>HYPERLINK("#Statut_biogéographique!A"&amp;_xlfn.XMATCH("P",Statut_biogéographique!A:A,2,1),"P")</f>
        <v>P</v>
      </c>
      <c r="AP6383" s="4" t="s">
        <v>376</v>
      </c>
      <c r="AR6383" s="4" t="s">
        <v>377</v>
      </c>
    </row>
    <row r="6384" spans="1:44">
      <c r="A6384" s="4" t="s">
        <v>5</v>
      </c>
      <c r="B6384" s="4">
        <v>464983</v>
      </c>
      <c r="D6384" s="5">
        <v>464983</v>
      </c>
      <c r="E6384" s="6" t="str">
        <f>HYPERLINK("https://inpn.mnhn.fr/espece/cd_nom/464983","Puccinia cnici-oleracei Pers., 1823")</f>
        <v>Puccinia cnici-oleracei Pers., 1823</v>
      </c>
      <c r="AH6384" s="4" t="str">
        <f>HYPERLINK("#Statut_biogéographique!A"&amp;_xlfn.XMATCH("P",Statut_biogéographique!A:A,2,1),"P")</f>
        <v>P</v>
      </c>
      <c r="AP6384" s="4" t="s">
        <v>376</v>
      </c>
      <c r="AR6384" s="4" t="s">
        <v>377</v>
      </c>
    </row>
    <row r="6385" spans="1:44" ht="75">
      <c r="A6385" s="4" t="s">
        <v>5</v>
      </c>
      <c r="B6385" s="4">
        <v>465040</v>
      </c>
      <c r="D6385" s="5" t="s">
        <v>9085</v>
      </c>
      <c r="E6385" s="6" t="str">
        <f>HYPERLINK("https://inpn.mnhn.fr/espece/cd_nom/465040","Phaeolus schweinitzii (Fr.) Pat., 1900")</f>
        <v>Phaeolus schweinitzii (Fr.) Pat., 1900</v>
      </c>
      <c r="F6385" s="5" t="s">
        <v>9086</v>
      </c>
      <c r="V6385" s="7" t="str">
        <f>HYPERLINK("#Liste_rouge!A"&amp;_xlfn.XMATCH("LC",Liste_rouge!A:A,2,1),"LC")</f>
        <v>LC</v>
      </c>
      <c r="AH6385" s="4" t="str">
        <f>HYPERLINK("#Statut_biogéographique!A"&amp;_xlfn.XMATCH("P",Statut_biogéographique!A:A,2,1),"P")</f>
        <v>P</v>
      </c>
      <c r="AP6385" s="4" t="s">
        <v>376</v>
      </c>
      <c r="AR6385" s="4" t="s">
        <v>377</v>
      </c>
    </row>
    <row r="6386" spans="1:44">
      <c r="A6386" s="4" t="s">
        <v>5</v>
      </c>
      <c r="B6386" s="4">
        <v>465044</v>
      </c>
      <c r="D6386" s="5" t="s">
        <v>9087</v>
      </c>
      <c r="E6386" s="6" t="str">
        <f>HYPERLINK("https://inpn.mnhn.fr/espece/cd_nom/465044","Peniophora pithya (Pers.) J.Erikss., 1950")</f>
        <v>Peniophora pithya (Pers.) J.Erikss., 1950</v>
      </c>
      <c r="AH6386" s="4" t="str">
        <f>HYPERLINK("#Statut_biogéographique!A"&amp;_xlfn.XMATCH("P",Statut_biogéographique!A:A,2,1),"P")</f>
        <v>P</v>
      </c>
      <c r="AP6386" s="4" t="s">
        <v>376</v>
      </c>
      <c r="AR6386" s="4" t="s">
        <v>377</v>
      </c>
    </row>
    <row r="6387" spans="1:44" ht="30">
      <c r="A6387" s="4" t="s">
        <v>5</v>
      </c>
      <c r="B6387" s="4">
        <v>465052</v>
      </c>
      <c r="D6387" s="5" t="s">
        <v>9088</v>
      </c>
      <c r="E6387" s="6" t="str">
        <f>HYPERLINK("https://inpn.mnhn.fr/espece/cd_nom/465052","Panaeolus acuminatus (P.Kumm.) Quél., 1872")</f>
        <v>Panaeolus acuminatus (P.Kumm.) Quél., 1872</v>
      </c>
      <c r="V6387" s="7" t="str">
        <f>HYPERLINK("#Liste_rouge!A"&amp;_xlfn.XMATCH("DD",Liste_rouge!A:A,2,1),"DD")</f>
        <v>DD</v>
      </c>
      <c r="AH6387" s="4" t="str">
        <f>HYPERLINK("#Statut_biogéographique!A"&amp;_xlfn.XMATCH("P",Statut_biogéographique!A:A,2,1),"P")</f>
        <v>P</v>
      </c>
      <c r="AP6387" s="4" t="s">
        <v>376</v>
      </c>
      <c r="AR6387" s="4" t="s">
        <v>377</v>
      </c>
    </row>
    <row r="6388" spans="1:44" ht="30">
      <c r="A6388" s="4" t="s">
        <v>5</v>
      </c>
      <c r="B6388" s="4">
        <v>465068</v>
      </c>
      <c r="D6388" s="5" t="s">
        <v>9089</v>
      </c>
      <c r="E6388" s="6" t="str">
        <f>HYPERLINK("https://inpn.mnhn.fr/espece/cd_nom/465068","Phlebia fuscoatra (Fr.) Nakasone, 1997")</f>
        <v>Phlebia fuscoatra (Fr.) Nakasone, 1997</v>
      </c>
      <c r="AH6388" s="4" t="str">
        <f>HYPERLINK("#Statut_biogéographique!A"&amp;_xlfn.XMATCH("P",Statut_biogéographique!A:A,2,1),"P")</f>
        <v>P</v>
      </c>
      <c r="AP6388" s="4" t="s">
        <v>376</v>
      </c>
      <c r="AR6388" s="4" t="s">
        <v>377</v>
      </c>
    </row>
    <row r="6389" spans="1:44" ht="30">
      <c r="A6389" s="4" t="s">
        <v>5</v>
      </c>
      <c r="B6389" s="4">
        <v>465069</v>
      </c>
      <c r="C6389" s="4">
        <v>2248</v>
      </c>
      <c r="D6389" s="5" t="s">
        <v>9090</v>
      </c>
      <c r="E6389" s="6" t="str">
        <f>HYPERLINK("https://inpn.mnhn.fr/espece/cd_nom/465069","Phaeonematoloma myosotis (Fr.) Bon, 1994")</f>
        <v>Phaeonematoloma myosotis (Fr.) Bon, 1994</v>
      </c>
      <c r="V6389" s="7" t="str">
        <f>HYPERLINK("#Liste_rouge!A"&amp;_xlfn.XMATCH("EN",Liste_rouge!A:A,2,1),"EN")</f>
        <v>EN</v>
      </c>
      <c r="W6389" s="4" t="str">
        <f>HYPERLINK("#Critères_liste_rouge!A$1","B2abiii")</f>
        <v>B2abiii</v>
      </c>
      <c r="Z6389" s="4" t="s">
        <v>695</v>
      </c>
      <c r="AA6389" s="4" t="s">
        <v>696</v>
      </c>
      <c r="AH6389" s="4" t="str">
        <f>HYPERLINK("#Statut_biogéographique!A"&amp;_xlfn.XMATCH("P",Statut_biogéographique!A:A,2,1),"P")</f>
        <v>P</v>
      </c>
      <c r="AP6389" s="4" t="s">
        <v>376</v>
      </c>
      <c r="AR6389" s="4" t="s">
        <v>377</v>
      </c>
    </row>
    <row r="6390" spans="1:44">
      <c r="A6390" s="4" t="s">
        <v>5</v>
      </c>
      <c r="B6390" s="4">
        <v>465081</v>
      </c>
      <c r="D6390" s="5" t="s">
        <v>9091</v>
      </c>
      <c r="E6390" s="6" t="str">
        <f>HYPERLINK("https://inpn.mnhn.fr/espece/cd_nom/465081","Phlebia uda (Fr.) Nakasone, 1997")</f>
        <v>Phlebia uda (Fr.) Nakasone, 1997</v>
      </c>
      <c r="AH6390" s="4" t="str">
        <f>HYPERLINK("#Statut_biogéographique!A"&amp;_xlfn.XMATCH("P",Statut_biogéographique!A:A,2,1),"P")</f>
        <v>P</v>
      </c>
      <c r="AP6390" s="4" t="s">
        <v>376</v>
      </c>
      <c r="AR6390" s="4" t="s">
        <v>377</v>
      </c>
    </row>
    <row r="6391" spans="1:44" ht="30">
      <c r="A6391" s="4" t="s">
        <v>5</v>
      </c>
      <c r="B6391" s="4">
        <v>465084</v>
      </c>
      <c r="D6391" s="5" t="s">
        <v>9092</v>
      </c>
      <c r="E6391" s="6" t="str">
        <f>HYPERLINK("https://inpn.mnhn.fr/espece/cd_nom/465084","Phanerochaete radicata (Henn.) Nakasone, C.R.Bergman &amp; Burds., 1994")</f>
        <v>Phanerochaete radicata (Henn.) Nakasone, C.R.Bergman &amp; Burds., 1994</v>
      </c>
      <c r="AH6391" s="4" t="str">
        <f>HYPERLINK("#Statut_biogéographique!A"&amp;_xlfn.XMATCH("P",Statut_biogéographique!A:A,2,1),"P")</f>
        <v>P</v>
      </c>
      <c r="AP6391" s="4" t="s">
        <v>376</v>
      </c>
      <c r="AR6391" s="4" t="s">
        <v>377</v>
      </c>
    </row>
    <row r="6392" spans="1:44" ht="75">
      <c r="A6392" s="4" t="s">
        <v>5</v>
      </c>
      <c r="B6392" s="4">
        <v>465090</v>
      </c>
      <c r="D6392" s="5" t="s">
        <v>9093</v>
      </c>
      <c r="E6392" s="6" t="str">
        <f>HYPERLINK("https://inpn.mnhn.fr/espece/cd_nom/465090","Phlebia aurea (Fr.) Nakasone, 1997")</f>
        <v>Phlebia aurea (Fr.) Nakasone, 1997</v>
      </c>
      <c r="V6392" s="7" t="str">
        <f>HYPERLINK("#Liste_rouge!A"&amp;_xlfn.XMATCH("DD",Liste_rouge!A:A,2,1),"DD")</f>
        <v>DD</v>
      </c>
      <c r="AH6392" s="4" t="str">
        <f>HYPERLINK("#Statut_biogéographique!A"&amp;_xlfn.XMATCH("P",Statut_biogéographique!A:A,2,1),"P")</f>
        <v>P</v>
      </c>
      <c r="AP6392" s="4" t="s">
        <v>376</v>
      </c>
      <c r="AR6392" s="4" t="s">
        <v>377</v>
      </c>
    </row>
    <row r="6393" spans="1:44" ht="30">
      <c r="A6393" s="4" t="s">
        <v>5</v>
      </c>
      <c r="B6393" s="4">
        <v>465094</v>
      </c>
      <c r="D6393" s="5" t="s">
        <v>9094</v>
      </c>
      <c r="E6393" s="6" t="str">
        <f>HYPERLINK("https://inpn.mnhn.fr/espece/cd_nom/465094","Phellinidium ferrugineofuscum (P.Karst.) Fiasson &amp; Niemelä, 1984")</f>
        <v>Phellinidium ferrugineofuscum (P.Karst.) Fiasson &amp; Niemelä, 1984</v>
      </c>
      <c r="AH6393" s="4" t="str">
        <f>HYPERLINK("#Statut_biogéographique!A"&amp;_xlfn.XMATCH("P",Statut_biogéographique!A:A,2,1),"P")</f>
        <v>P</v>
      </c>
      <c r="AP6393" s="4" t="s">
        <v>376</v>
      </c>
      <c r="AR6393" s="4" t="s">
        <v>377</v>
      </c>
    </row>
    <row r="6394" spans="1:44">
      <c r="A6394" s="4" t="s">
        <v>5</v>
      </c>
      <c r="B6394" s="4">
        <v>465097</v>
      </c>
      <c r="D6394" s="5" t="s">
        <v>9095</v>
      </c>
      <c r="E6394" s="6" t="str">
        <f>HYPERLINK("https://inpn.mnhn.fr/espece/cd_nom/465097","Phellinus lundellii Niemelä, 1972")</f>
        <v>Phellinus lundellii Niemelä, 1972</v>
      </c>
      <c r="V6394" s="7" t="str">
        <f>HYPERLINK("#Liste_rouge!A"&amp;_xlfn.XMATCH("DD",Liste_rouge!A:A,2,1),"DD")</f>
        <v>DD</v>
      </c>
      <c r="AH6394" s="4" t="str">
        <f>HYPERLINK("#Statut_biogéographique!A"&amp;_xlfn.XMATCH("P",Statut_biogéographique!A:A,2,1),"P")</f>
        <v>P</v>
      </c>
      <c r="AP6394" s="4" t="s">
        <v>376</v>
      </c>
      <c r="AR6394" s="4" t="s">
        <v>377</v>
      </c>
    </row>
    <row r="6395" spans="1:44" ht="30">
      <c r="A6395" s="4" t="s">
        <v>5</v>
      </c>
      <c r="B6395" s="4">
        <v>46510</v>
      </c>
      <c r="C6395" s="4">
        <v>1983</v>
      </c>
      <c r="D6395" s="5" t="s">
        <v>9096</v>
      </c>
      <c r="E6395" s="6" t="str">
        <f>HYPERLINK("https://inpn.mnhn.fr/espece/cd_nom/46510","Hypocrea gelatinosa (Tode) Fr., 1849")</f>
        <v>Hypocrea gelatinosa (Tode) Fr., 1849</v>
      </c>
      <c r="F6395" s="5" t="s">
        <v>9097</v>
      </c>
      <c r="AH6395" s="4" t="str">
        <f>HYPERLINK("#Statut_biogéographique!A"&amp;_xlfn.XMATCH("P",Statut_biogéographique!A:A,2,1),"P")</f>
        <v>P</v>
      </c>
      <c r="AP6395" s="4" t="s">
        <v>376</v>
      </c>
      <c r="AR6395" s="4" t="s">
        <v>377</v>
      </c>
    </row>
    <row r="6396" spans="1:44">
      <c r="A6396" s="4" t="s">
        <v>5</v>
      </c>
      <c r="B6396" s="4">
        <v>465100</v>
      </c>
      <c r="D6396" s="5">
        <v>465100</v>
      </c>
      <c r="E6396" s="6" t="str">
        <f>HYPERLINK("https://inpn.mnhn.fr/espece/cd_nom/465100","Mycena hemisphaerica Peck, 1894")</f>
        <v>Mycena hemisphaerica Peck, 1894</v>
      </c>
      <c r="V6396" s="7" t="str">
        <f>HYPERLINK("#Liste_rouge!A"&amp;_xlfn.XMATCH("EN",Liste_rouge!A:A,2,1),"EN")</f>
        <v>EN</v>
      </c>
      <c r="W6396" s="4" t="str">
        <f>HYPERLINK("#Critères_liste_rouge!A$1","B2abiii")</f>
        <v>B2abiii</v>
      </c>
      <c r="AH6396" s="4" t="str">
        <f>HYPERLINK("#Statut_biogéographique!A"&amp;_xlfn.XMATCH("P",Statut_biogéographique!A:A,2,1),"P")</f>
        <v>P</v>
      </c>
      <c r="AP6396" s="4" t="s">
        <v>376</v>
      </c>
      <c r="AR6396" s="4" t="s">
        <v>377</v>
      </c>
    </row>
    <row r="6397" spans="1:44">
      <c r="A6397" s="4" t="s">
        <v>5</v>
      </c>
      <c r="B6397" s="4">
        <v>465104</v>
      </c>
      <c r="D6397" s="5" t="s">
        <v>9098</v>
      </c>
      <c r="E6397" s="6" t="str">
        <f>HYPERLINK("https://inpn.mnhn.fr/espece/cd_nom/465104","Mycena renatii Quél., 1886")</f>
        <v>Mycena renatii Quél., 1886</v>
      </c>
      <c r="V6397" s="7" t="str">
        <f>HYPERLINK("#Liste_rouge!A"&amp;_xlfn.XMATCH("LC",Liste_rouge!A:A,2,1),"LC")</f>
        <v>LC</v>
      </c>
      <c r="AH6397" s="4" t="str">
        <f>HYPERLINK("#Statut_biogéographique!A"&amp;_xlfn.XMATCH("P",Statut_biogéographique!A:A,2,1),"P")</f>
        <v>P</v>
      </c>
      <c r="AP6397" s="4" t="s">
        <v>376</v>
      </c>
      <c r="AR6397" s="4" t="s">
        <v>377</v>
      </c>
    </row>
    <row r="6398" spans="1:44" ht="30">
      <c r="A6398" s="4" t="s">
        <v>5</v>
      </c>
      <c r="B6398" s="4">
        <v>465109</v>
      </c>
      <c r="D6398" s="5" t="s">
        <v>9099</v>
      </c>
      <c r="E6398" s="6" t="str">
        <f>HYPERLINK("https://inpn.mnhn.fr/espece/cd_nom/465109","Mycena plumipes (Kalchbr.) P.-A.Moreau, 2003")</f>
        <v>Mycena plumipes (Kalchbr.) P.-A.Moreau, 2003</v>
      </c>
      <c r="V6398" s="7" t="str">
        <f>HYPERLINK("#Liste_rouge!A"&amp;_xlfn.XMATCH("LC",Liste_rouge!A:A,2,1),"LC")</f>
        <v>LC</v>
      </c>
      <c r="AH6398" s="4" t="str">
        <f>HYPERLINK("#Statut_biogéographique!A"&amp;_xlfn.XMATCH("P",Statut_biogéographique!A:A,2,1),"P")</f>
        <v>P</v>
      </c>
      <c r="AP6398" s="4" t="s">
        <v>376</v>
      </c>
      <c r="AR6398" s="4" t="s">
        <v>377</v>
      </c>
    </row>
    <row r="6399" spans="1:44">
      <c r="A6399" s="4" t="s">
        <v>5</v>
      </c>
      <c r="B6399" s="4">
        <v>465113</v>
      </c>
      <c r="D6399" s="5">
        <v>465113</v>
      </c>
      <c r="E6399" s="6" t="str">
        <f>HYPERLINK("https://inpn.mnhn.fr/espece/cd_nom/465113","Mycena maurella Robich, 1992")</f>
        <v>Mycena maurella Robich, 1992</v>
      </c>
      <c r="V6399" s="7" t="str">
        <f>HYPERLINK("#Liste_rouge!A"&amp;_xlfn.XMATCH("DD",Liste_rouge!A:A,2,1),"DD")</f>
        <v>DD</v>
      </c>
      <c r="AH6399" s="4" t="str">
        <f>HYPERLINK("#Statut_biogéographique!A"&amp;_xlfn.XMATCH("P",Statut_biogéographique!A:A,2,1),"P")</f>
        <v>P</v>
      </c>
      <c r="AP6399" s="4" t="s">
        <v>376</v>
      </c>
      <c r="AR6399" s="4" t="s">
        <v>377</v>
      </c>
    </row>
    <row r="6400" spans="1:44" ht="30">
      <c r="A6400" s="4" t="s">
        <v>5</v>
      </c>
      <c r="B6400" s="4">
        <v>465124</v>
      </c>
      <c r="D6400" s="5" t="s">
        <v>9100</v>
      </c>
      <c r="E6400" s="6" t="str">
        <f>HYPERLINK("https://inpn.mnhn.fr/espece/cd_nom/465124","Mycena filopes (Bull.) P.Kumm., 1871")</f>
        <v>Mycena filopes (Bull.) P.Kumm., 1871</v>
      </c>
      <c r="V6400" s="7" t="str">
        <f>HYPERLINK("#Liste_rouge!A"&amp;_xlfn.XMATCH("LC",Liste_rouge!A:A,2,1),"LC")</f>
        <v>LC</v>
      </c>
      <c r="AH6400" s="4" t="str">
        <f>HYPERLINK("#Statut_biogéographique!A"&amp;_xlfn.XMATCH("P",Statut_biogéographique!A:A,2,1),"P")</f>
        <v>P</v>
      </c>
      <c r="AP6400" s="4" t="s">
        <v>376</v>
      </c>
      <c r="AR6400" s="4" t="s">
        <v>377</v>
      </c>
    </row>
    <row r="6401" spans="1:44" ht="45">
      <c r="A6401" s="4" t="s">
        <v>5</v>
      </c>
      <c r="B6401" s="4">
        <v>465137</v>
      </c>
      <c r="D6401" s="5" t="s">
        <v>9101</v>
      </c>
      <c r="E6401" s="6" t="str">
        <f>HYPERLINK("https://inpn.mnhn.fr/espece/cd_nom/465137","Neolentinus suffrutescens (Brot.) T.W.May &amp; A.E.Wood, 1995")</f>
        <v>Neolentinus suffrutescens (Brot.) T.W.May &amp; A.E.Wood, 1995</v>
      </c>
      <c r="V6401" s="7" t="str">
        <f>HYPERLINK("#Liste_rouge!A"&amp;_xlfn.XMATCH("EN",Liste_rouge!A:A,2,1),"EN")</f>
        <v>EN</v>
      </c>
      <c r="W6401" s="4" t="str">
        <f>HYPERLINK("#Critères_liste_rouge!A$1","B2abiii")</f>
        <v>B2abiii</v>
      </c>
      <c r="AH6401" s="4" t="str">
        <f>HYPERLINK("#Statut_biogéographique!A"&amp;_xlfn.XMATCH("P",Statut_biogéographique!A:A,2,1),"P")</f>
        <v>P</v>
      </c>
      <c r="AP6401" s="4" t="s">
        <v>376</v>
      </c>
      <c r="AR6401" s="4" t="s">
        <v>377</v>
      </c>
    </row>
    <row r="6402" spans="1:44" ht="45">
      <c r="A6402" s="4" t="s">
        <v>5</v>
      </c>
      <c r="B6402" s="4">
        <v>465139</v>
      </c>
      <c r="D6402" s="5" t="s">
        <v>9102</v>
      </c>
      <c r="E6402" s="6" t="str">
        <f>HYPERLINK("https://inpn.mnhn.fr/espece/cd_nom/465139","Neolentinus degener (Kalchbr.) Hrouda, 2001")</f>
        <v>Neolentinus degener (Kalchbr.) Hrouda, 2001</v>
      </c>
      <c r="V6402" s="7" t="str">
        <f>HYPERLINK("#Liste_rouge!A"&amp;_xlfn.XMATCH("EN",Liste_rouge!A:A,2,1),"EN")</f>
        <v>EN</v>
      </c>
      <c r="W6402" s="4" t="str">
        <f>HYPERLINK("#Critères_liste_rouge!A$1","A2c")</f>
        <v>A2c</v>
      </c>
      <c r="AH6402" s="4" t="str">
        <f>HYPERLINK("#Statut_biogéographique!A"&amp;_xlfn.XMATCH("P",Statut_biogéographique!A:A,2,1),"P")</f>
        <v>P</v>
      </c>
      <c r="AP6402" s="4" t="s">
        <v>376</v>
      </c>
      <c r="AR6402" s="4" t="s">
        <v>377</v>
      </c>
    </row>
    <row r="6403" spans="1:44" ht="30">
      <c r="A6403" s="4" t="s">
        <v>5</v>
      </c>
      <c r="B6403" s="4">
        <v>465142</v>
      </c>
      <c r="D6403" s="5" t="s">
        <v>9103</v>
      </c>
      <c r="E6403" s="6" t="str">
        <f>HYPERLINK("https://inpn.mnhn.fr/espece/cd_nom/465142","Ochropsora ariae (Fuckel) Ramsb., 1914")</f>
        <v>Ochropsora ariae (Fuckel) Ramsb., 1914</v>
      </c>
      <c r="AH6403" s="4" t="str">
        <f>HYPERLINK("#Statut_biogéographique!A"&amp;_xlfn.XMATCH("P",Statut_biogéographique!A:A,2,1),"P")</f>
        <v>P</v>
      </c>
      <c r="AP6403" s="4" t="s">
        <v>376</v>
      </c>
      <c r="AR6403" s="4" t="s">
        <v>377</v>
      </c>
    </row>
    <row r="6404" spans="1:44">
      <c r="A6404" s="4" t="s">
        <v>5</v>
      </c>
      <c r="B6404" s="4">
        <v>465152</v>
      </c>
      <c r="D6404" s="5" t="s">
        <v>9104</v>
      </c>
      <c r="E6404" s="6" t="str">
        <f>HYPERLINK("https://inpn.mnhn.fr/espece/cd_nom/465152","Mycena zephirus (Fr.) P.Kumm., 1871")</f>
        <v>Mycena zephirus (Fr.) P.Kumm., 1871</v>
      </c>
      <c r="V6404" s="7" t="str">
        <f>HYPERLINK("#Liste_rouge!A"&amp;_xlfn.XMATCH("LC",Liste_rouge!A:A,2,1),"LC")</f>
        <v>LC</v>
      </c>
      <c r="AH6404" s="4" t="str">
        <f>HYPERLINK("#Statut_biogéographique!A"&amp;_xlfn.XMATCH("P",Statut_biogéographique!A:A,2,1),"P")</f>
        <v>P</v>
      </c>
      <c r="AP6404" s="4" t="s">
        <v>376</v>
      </c>
      <c r="AR6404" s="4" t="s">
        <v>377</v>
      </c>
    </row>
    <row r="6405" spans="1:44" ht="30">
      <c r="A6405" s="4" t="s">
        <v>5</v>
      </c>
      <c r="B6405" s="4">
        <v>465161</v>
      </c>
      <c r="D6405" s="5" t="s">
        <v>9105</v>
      </c>
      <c r="E6405" s="6" t="str">
        <f>HYPERLINK("https://inpn.mnhn.fr/espece/cd_nom/465161","Neolentinus adhaerens (Alb. &amp; Schwein.) Redhead &amp; Ginns, 1985")</f>
        <v>Neolentinus adhaerens (Alb. &amp; Schwein.) Redhead &amp; Ginns, 1985</v>
      </c>
      <c r="V6405" s="7" t="str">
        <f>HYPERLINK("#Liste_rouge!A"&amp;_xlfn.XMATCH("LC",Liste_rouge!A:A,2,1),"LC")</f>
        <v>LC</v>
      </c>
      <c r="AH6405" s="4" t="str">
        <f>HYPERLINK("#Statut_biogéographique!A"&amp;_xlfn.XMATCH("P",Statut_biogéographique!A:A,2,1),"P")</f>
        <v>P</v>
      </c>
      <c r="AP6405" s="4" t="s">
        <v>376</v>
      </c>
      <c r="AR6405" s="4" t="s">
        <v>377</v>
      </c>
    </row>
    <row r="6406" spans="1:44" ht="30">
      <c r="A6406" s="4" t="s">
        <v>5</v>
      </c>
      <c r="B6406" s="4">
        <v>465170</v>
      </c>
      <c r="D6406" s="5" t="s">
        <v>9106</v>
      </c>
      <c r="E6406" s="6" t="str">
        <f>HYPERLINK("https://inpn.mnhn.fr/espece/cd_nom/465170","Psathyrella exalbicans (Romagn.) M.M.Moser, 1955")</f>
        <v>Psathyrella exalbicans (Romagn.) M.M.Moser, 1955</v>
      </c>
      <c r="AH6406" s="4" t="str">
        <f>HYPERLINK("#Statut_biogéographique!A"&amp;_xlfn.XMATCH("P",Statut_biogéographique!A:A,2,1),"P")</f>
        <v>P</v>
      </c>
      <c r="AP6406" s="4" t="s">
        <v>376</v>
      </c>
      <c r="AR6406" s="4" t="s">
        <v>377</v>
      </c>
    </row>
    <row r="6407" spans="1:44" ht="30">
      <c r="A6407" s="4" t="s">
        <v>5</v>
      </c>
      <c r="B6407" s="4">
        <v>465176</v>
      </c>
      <c r="D6407" s="5" t="s">
        <v>9107</v>
      </c>
      <c r="E6407" s="6" t="str">
        <f>HYPERLINK("https://inpn.mnhn.fr/espece/cd_nom/465176","Psathyrella battarrae (Fr.) Konrad &amp; Maubl., 1949")</f>
        <v>Psathyrella battarrae (Fr.) Konrad &amp; Maubl., 1949</v>
      </c>
      <c r="AH6407" s="4" t="str">
        <f>HYPERLINK("#Statut_biogéographique!A"&amp;_xlfn.XMATCH("P",Statut_biogéographique!A:A,2,1),"P")</f>
        <v>P</v>
      </c>
      <c r="AP6407" s="4" t="s">
        <v>376</v>
      </c>
      <c r="AR6407" s="4" t="s">
        <v>377</v>
      </c>
    </row>
    <row r="6408" spans="1:44" ht="30">
      <c r="A6408" s="4" t="s">
        <v>5</v>
      </c>
      <c r="B6408" s="4">
        <v>465185</v>
      </c>
      <c r="D6408" s="5" t="s">
        <v>9108</v>
      </c>
      <c r="E6408" s="6" t="str">
        <f>HYPERLINK("https://inpn.mnhn.fr/espece/cd_nom/465185","Postia ptychogaster (F.Ludw.) Vesterh., 1996")</f>
        <v>Postia ptychogaster (F.Ludw.) Vesterh., 1996</v>
      </c>
      <c r="F6408" s="5" t="s">
        <v>2300</v>
      </c>
      <c r="V6408" s="7" t="str">
        <f>HYPERLINK("#Liste_rouge!A"&amp;_xlfn.XMATCH("DD",Liste_rouge!A:A,2,1),"DD")</f>
        <v>DD</v>
      </c>
      <c r="AH6408" s="4" t="str">
        <f>HYPERLINK("#Statut_biogéographique!A"&amp;_xlfn.XMATCH("P",Statut_biogéographique!A:A,2,1),"P")</f>
        <v>P</v>
      </c>
      <c r="AP6408" s="4" t="s">
        <v>376</v>
      </c>
      <c r="AR6408" s="4" t="s">
        <v>377</v>
      </c>
    </row>
    <row r="6409" spans="1:44" ht="30">
      <c r="A6409" s="4" t="s">
        <v>5</v>
      </c>
      <c r="B6409" s="4">
        <v>465190</v>
      </c>
      <c r="D6409" s="5" t="s">
        <v>9109</v>
      </c>
      <c r="E6409" s="6" t="str">
        <f>HYPERLINK("https://inpn.mnhn.fr/espece/cd_nom/465190","Protoglossum niveum (Vittad.) T.W.May, 1995")</f>
        <v>Protoglossum niveum (Vittad.) T.W.May, 1995</v>
      </c>
      <c r="V6409" s="7" t="str">
        <f>HYPERLINK("#Liste_rouge!A"&amp;_xlfn.XMATCH("DD",Liste_rouge!A:A,2,1),"DD")</f>
        <v>DD</v>
      </c>
      <c r="AH6409" s="4" t="str">
        <f>HYPERLINK("#Statut_biogéographique!A"&amp;_xlfn.XMATCH("P",Statut_biogéographique!A:A,2,1),"P")</f>
        <v>P</v>
      </c>
      <c r="AP6409" s="4" t="s">
        <v>376</v>
      </c>
      <c r="AR6409" s="4" t="s">
        <v>377</v>
      </c>
    </row>
    <row r="6410" spans="1:44">
      <c r="A6410" s="4" t="s">
        <v>5</v>
      </c>
      <c r="B6410" s="4">
        <v>46521</v>
      </c>
      <c r="C6410" s="4">
        <v>5879</v>
      </c>
      <c r="D6410" s="5" t="s">
        <v>9110</v>
      </c>
      <c r="E6410" s="6" t="str">
        <f>HYPERLINK("https://inpn.mnhn.fr/espece/cd_nom/46521","Pezizella amenti (Batsch) Dennis, 1956")</f>
        <v>Pezizella amenti (Batsch) Dennis, 1956</v>
      </c>
      <c r="AH6410" s="4" t="str">
        <f>HYPERLINK("#Statut_biogéographique!A"&amp;_xlfn.XMATCH("P",Statut_biogéographique!A:A,2,1),"P")</f>
        <v>P</v>
      </c>
      <c r="AP6410" s="4" t="s">
        <v>376</v>
      </c>
      <c r="AR6410" s="4" t="s">
        <v>377</v>
      </c>
    </row>
    <row r="6411" spans="1:44" ht="30">
      <c r="A6411" s="4" t="s">
        <v>5</v>
      </c>
      <c r="B6411" s="4">
        <v>465214</v>
      </c>
      <c r="D6411" s="5" t="s">
        <v>9111</v>
      </c>
      <c r="E6411" s="6" t="str">
        <f>HYPERLINK("https://inpn.mnhn.fr/espece/cd_nom/465214","Psathyrella microrhiza (Lasch) Konrad &amp; Maubl., 1949")</f>
        <v>Psathyrella microrhiza (Lasch) Konrad &amp; Maubl., 1949</v>
      </c>
      <c r="V6411" s="7" t="str">
        <f>HYPERLINK("#Liste_rouge!A"&amp;_xlfn.XMATCH("LC",Liste_rouge!A:A,2,1),"LC")</f>
        <v>LC</v>
      </c>
      <c r="AH6411" s="4" t="str">
        <f>HYPERLINK("#Statut_biogéographique!A"&amp;_xlfn.XMATCH("P",Statut_biogéographique!A:A,2,1),"P")</f>
        <v>P</v>
      </c>
      <c r="AP6411" s="4" t="s">
        <v>376</v>
      </c>
      <c r="AR6411" s="4" t="s">
        <v>377</v>
      </c>
    </row>
    <row r="6412" spans="1:44" ht="30">
      <c r="A6412" s="4" t="s">
        <v>5</v>
      </c>
      <c r="B6412" s="4">
        <v>465219</v>
      </c>
      <c r="D6412" s="5" t="s">
        <v>9112</v>
      </c>
      <c r="E6412" s="6" t="str">
        <f>HYPERLINK("https://inpn.mnhn.fr/espece/cd_nom/465219","Psathyrella picta (Romagn.) Romagn. ex Bon, 1983")</f>
        <v>Psathyrella picta (Romagn.) Romagn. ex Bon, 1983</v>
      </c>
      <c r="AH6412" s="4" t="str">
        <f>HYPERLINK("#Statut_biogéographique!A"&amp;_xlfn.XMATCH("P",Statut_biogéographique!A:A,2,1),"P")</f>
        <v>P</v>
      </c>
      <c r="AP6412" s="4" t="s">
        <v>376</v>
      </c>
      <c r="AR6412" s="4" t="s">
        <v>377</v>
      </c>
    </row>
    <row r="6413" spans="1:44" ht="30">
      <c r="A6413" s="4" t="s">
        <v>5</v>
      </c>
      <c r="B6413" s="4">
        <v>465220</v>
      </c>
      <c r="D6413" s="5" t="s">
        <v>9113</v>
      </c>
      <c r="E6413" s="6" t="str">
        <f>HYPERLINK("https://inpn.mnhn.fr/espece/cd_nom/465220","Psathyrella polycystis (Romagn.) M.M.Moser ex Kits van Wav., 1976")</f>
        <v>Psathyrella polycystis (Romagn.) M.M.Moser ex Kits van Wav., 1976</v>
      </c>
      <c r="V6413" s="7" t="str">
        <f>HYPERLINK("#Liste_rouge!A"&amp;_xlfn.XMATCH("DD",Liste_rouge!A:A,2,1),"DD")</f>
        <v>DD</v>
      </c>
      <c r="AH6413" s="4" t="str">
        <f>HYPERLINK("#Statut_biogéographique!A"&amp;_xlfn.XMATCH("P",Statut_biogéographique!A:A,2,1),"P")</f>
        <v>P</v>
      </c>
      <c r="AP6413" s="4" t="s">
        <v>376</v>
      </c>
      <c r="AR6413" s="4" t="s">
        <v>377</v>
      </c>
    </row>
    <row r="6414" spans="1:44" ht="30">
      <c r="A6414" s="4" t="s">
        <v>5</v>
      </c>
      <c r="B6414" s="4">
        <v>465226</v>
      </c>
      <c r="D6414" s="5" t="s">
        <v>9114</v>
      </c>
      <c r="E6414" s="6" t="str">
        <f>HYPERLINK("https://inpn.mnhn.fr/espece/cd_nom/465226","Phragmidium potentillae (Pers.) P.Karst., 1878")</f>
        <v>Phragmidium potentillae (Pers.) P.Karst., 1878</v>
      </c>
      <c r="AH6414" s="4" t="str">
        <f>HYPERLINK("#Statut_biogéographique!A"&amp;_xlfn.XMATCH("P",Statut_biogéographique!A:A,2,1),"P")</f>
        <v>P</v>
      </c>
      <c r="AP6414" s="4" t="s">
        <v>376</v>
      </c>
      <c r="AR6414" s="4" t="s">
        <v>377</v>
      </c>
    </row>
    <row r="6415" spans="1:44" ht="30">
      <c r="A6415" s="4" t="s">
        <v>5</v>
      </c>
      <c r="B6415" s="4">
        <v>465227</v>
      </c>
      <c r="D6415" s="5" t="s">
        <v>9115</v>
      </c>
      <c r="E6415" s="6" t="str">
        <f>HYPERLINK("https://inpn.mnhn.fr/espece/cd_nom/465227","Phragmidium violaceum (Schultz) Brockm., 1863")</f>
        <v>Phragmidium violaceum (Schultz) Brockm., 1863</v>
      </c>
      <c r="AH6415" s="4" t="str">
        <f>HYPERLINK("#Statut_biogéographique!A"&amp;_xlfn.XMATCH("P",Statut_biogéographique!A:A,2,1),"P")</f>
        <v>P</v>
      </c>
      <c r="AP6415" s="4" t="s">
        <v>376</v>
      </c>
      <c r="AR6415" s="4" t="s">
        <v>377</v>
      </c>
    </row>
    <row r="6416" spans="1:44">
      <c r="A6416" s="4" t="s">
        <v>5</v>
      </c>
      <c r="B6416" s="4">
        <v>465230</v>
      </c>
      <c r="D6416" s="5" t="s">
        <v>9116</v>
      </c>
      <c r="E6416" s="6" t="str">
        <f>HYPERLINK("https://inpn.mnhn.fr/espece/cd_nom/465230","Phragmidium fusiforme J.Schröt., 1870")</f>
        <v>Phragmidium fusiforme J.Schröt., 1870</v>
      </c>
      <c r="AH6416" s="4" t="str">
        <f>HYPERLINK("#Statut_biogéographique!A"&amp;_xlfn.XMATCH("P",Statut_biogéographique!A:A,2,1),"P")</f>
        <v>P</v>
      </c>
      <c r="AP6416" s="4" t="s">
        <v>376</v>
      </c>
      <c r="AR6416" s="4" t="s">
        <v>377</v>
      </c>
    </row>
    <row r="6417" spans="1:44">
      <c r="A6417" s="4" t="s">
        <v>5</v>
      </c>
      <c r="B6417" s="4">
        <v>465234</v>
      </c>
      <c r="D6417" s="5" t="s">
        <v>9117</v>
      </c>
      <c r="E6417" s="6" t="str">
        <f>HYPERLINK("https://inpn.mnhn.fr/espece/cd_nom/465234","Pholiotina velata (Velen.) Hauskn., 1999")</f>
        <v>Pholiotina velata (Velen.) Hauskn., 1999</v>
      </c>
      <c r="V6417" s="7" t="str">
        <f>HYPERLINK("#Liste_rouge!A"&amp;_xlfn.XMATCH("DD",Liste_rouge!A:A,2,1),"DD")</f>
        <v>DD</v>
      </c>
      <c r="AH6417" s="4" t="str">
        <f>HYPERLINK("#Statut_biogéographique!A"&amp;_xlfn.XMATCH("P",Statut_biogéographique!A:A,2,1),"P")</f>
        <v>P</v>
      </c>
      <c r="AP6417" s="4" t="s">
        <v>376</v>
      </c>
      <c r="AR6417" s="4" t="s">
        <v>377</v>
      </c>
    </row>
    <row r="6418" spans="1:44" ht="30">
      <c r="A6418" s="4" t="s">
        <v>5</v>
      </c>
      <c r="B6418" s="4">
        <v>465236</v>
      </c>
      <c r="D6418" s="5" t="s">
        <v>9118</v>
      </c>
      <c r="E6418" s="6" t="str">
        <f>HYPERLINK("https://inpn.mnhn.fr/espece/cd_nom/465236","Phragmidium rubi (Pers.) G.Winter, 1884")</f>
        <v>Phragmidium rubi (Pers.) G.Winter, 1884</v>
      </c>
      <c r="AH6418" s="4" t="str">
        <f>HYPERLINK("#Statut_biogéographique!A"&amp;_xlfn.XMATCH("P",Statut_biogéographique!A:A,2,1),"P")</f>
        <v>P</v>
      </c>
      <c r="AP6418" s="4" t="s">
        <v>376</v>
      </c>
      <c r="AR6418" s="4" t="s">
        <v>377</v>
      </c>
    </row>
    <row r="6419" spans="1:44" ht="30">
      <c r="A6419" s="4" t="s">
        <v>5</v>
      </c>
      <c r="B6419" s="4">
        <v>465238</v>
      </c>
      <c r="D6419" s="5" t="s">
        <v>9119</v>
      </c>
      <c r="E6419" s="6" t="str">
        <f>HYPERLINK("https://inpn.mnhn.fr/espece/cd_nom/465238","Phragmidium sanguisorbae (DC.) J.Schröt., 1887")</f>
        <v>Phragmidium sanguisorbae (DC.) J.Schröt., 1887</v>
      </c>
      <c r="AH6419" s="4" t="str">
        <f>HYPERLINK("#Statut_biogéographique!A"&amp;_xlfn.XMATCH("P",Statut_biogéographique!A:A,2,1),"P")</f>
        <v>P</v>
      </c>
      <c r="AP6419" s="4" t="s">
        <v>376</v>
      </c>
      <c r="AR6419" s="4" t="s">
        <v>377</v>
      </c>
    </row>
    <row r="6420" spans="1:44">
      <c r="A6420" s="4" t="s">
        <v>5</v>
      </c>
      <c r="B6420" s="4">
        <v>465239</v>
      </c>
      <c r="D6420" s="5">
        <v>465239</v>
      </c>
      <c r="E6420" s="6" t="str">
        <f>HYPERLINK("https://inpn.mnhn.fr/espece/cd_nom/465239","Phragmidium tuberculatum Jul.Müll., 1885")</f>
        <v>Phragmidium tuberculatum Jul.Müll., 1885</v>
      </c>
      <c r="AH6420" s="4" t="str">
        <f>HYPERLINK("#Statut_biogéographique!A"&amp;_xlfn.XMATCH("P",Statut_biogéographique!A:A,2,1),"P")</f>
        <v>P</v>
      </c>
      <c r="AP6420" s="4" t="s">
        <v>376</v>
      </c>
      <c r="AR6420" s="4" t="s">
        <v>377</v>
      </c>
    </row>
    <row r="6421" spans="1:44" ht="30">
      <c r="A6421" s="4" t="s">
        <v>5</v>
      </c>
      <c r="B6421" s="4">
        <v>465241</v>
      </c>
      <c r="D6421" s="5" t="s">
        <v>9120</v>
      </c>
      <c r="E6421" s="6" t="str">
        <f>HYPERLINK("https://inpn.mnhn.fr/espece/cd_nom/465241","Phragmidium mucronatum (Pers.) Schltdl., 1824")</f>
        <v>Phragmidium mucronatum (Pers.) Schltdl., 1824</v>
      </c>
      <c r="AH6421" s="4" t="str">
        <f>HYPERLINK("#Statut_biogéographique!A"&amp;_xlfn.XMATCH("P",Statut_biogéographique!A:A,2,1),"P")</f>
        <v>P</v>
      </c>
      <c r="AP6421" s="4" t="s">
        <v>376</v>
      </c>
      <c r="AR6421" s="4" t="s">
        <v>377</v>
      </c>
    </row>
    <row r="6422" spans="1:44" ht="30">
      <c r="A6422" s="4" t="s">
        <v>5</v>
      </c>
      <c r="B6422" s="4">
        <v>465245</v>
      </c>
      <c r="D6422" s="5" t="s">
        <v>9121</v>
      </c>
      <c r="E6422" s="6" t="str">
        <f>HYPERLINK("https://inpn.mnhn.fr/espece/cd_nom/465245","Pholiota adiposa (Batsch) P.Kumm., 1871")</f>
        <v>Pholiota adiposa (Batsch) P.Kumm., 1871</v>
      </c>
      <c r="V6422" s="7" t="str">
        <f>HYPERLINK("#Liste_rouge!A"&amp;_xlfn.XMATCH("LC",Liste_rouge!A:A,2,1),"LC")</f>
        <v>LC</v>
      </c>
      <c r="AH6422" s="4" t="str">
        <f>HYPERLINK("#Statut_biogéographique!A"&amp;_xlfn.XMATCH("P",Statut_biogéographique!A:A,2,1),"P")</f>
        <v>P</v>
      </c>
      <c r="AP6422" s="4" t="s">
        <v>376</v>
      </c>
      <c r="AR6422" s="4" t="s">
        <v>377</v>
      </c>
    </row>
    <row r="6423" spans="1:44">
      <c r="A6423" s="4" t="s">
        <v>5</v>
      </c>
      <c r="B6423" s="4">
        <v>465249</v>
      </c>
      <c r="D6423" s="5" t="s">
        <v>9122</v>
      </c>
      <c r="E6423" s="6" t="str">
        <f>HYPERLINK("https://inpn.mnhn.fr/espece/cd_nom/465249","Pholiota limonella (Peck) Sacc., 1887")</f>
        <v>Pholiota limonella (Peck) Sacc., 1887</v>
      </c>
      <c r="V6423" s="7" t="str">
        <f>HYPERLINK("#Liste_rouge!A"&amp;_xlfn.XMATCH("NT",Liste_rouge!A:A,2,1),"NT")</f>
        <v>NT</v>
      </c>
      <c r="W6423" s="4" t="str">
        <f>HYPERLINK("#Critères_liste_rouge!A$1","pr. B2abiii")</f>
        <v>pr. B2abiii</v>
      </c>
      <c r="AH6423" s="4" t="str">
        <f>HYPERLINK("#Statut_biogéographique!A"&amp;_xlfn.XMATCH("P",Statut_biogéographique!A:A,2,1),"P")</f>
        <v>P</v>
      </c>
      <c r="AP6423" s="4" t="s">
        <v>376</v>
      </c>
      <c r="AR6423" s="4" t="s">
        <v>377</v>
      </c>
    </row>
    <row r="6424" spans="1:44" ht="45">
      <c r="A6424" s="4" t="s">
        <v>5</v>
      </c>
      <c r="B6424" s="4">
        <v>46526</v>
      </c>
      <c r="C6424" s="4">
        <v>4876</v>
      </c>
      <c r="D6424" s="5" t="s">
        <v>9123</v>
      </c>
      <c r="E6424" s="6" t="str">
        <f>HYPERLINK("https://inpn.mnhn.fr/espece/cd_nom/46526","Crocicreas coronatum (Bull.) S.E.Carp., 1980")</f>
        <v>Crocicreas coronatum (Bull.) S.E.Carp., 1980</v>
      </c>
      <c r="AH6424" s="4" t="str">
        <f>HYPERLINK("#Statut_biogéographique!A"&amp;_xlfn.XMATCH("P",Statut_biogéographique!A:A,2,1),"P")</f>
        <v>P</v>
      </c>
      <c r="AP6424" s="4" t="s">
        <v>376</v>
      </c>
      <c r="AR6424" s="4" t="s">
        <v>377</v>
      </c>
    </row>
    <row r="6425" spans="1:44">
      <c r="A6425" s="4" t="s">
        <v>5</v>
      </c>
      <c r="B6425" s="4">
        <v>465260</v>
      </c>
      <c r="D6425" s="5">
        <v>465260</v>
      </c>
      <c r="E6425" s="6" t="str">
        <f>HYPERLINK("https://inpn.mnhn.fr/espece/cd_nom/465260","Pluteus primus Bonnard, 1991")</f>
        <v>Pluteus primus Bonnard, 1991</v>
      </c>
      <c r="AH6425" s="4" t="str">
        <f>HYPERLINK("#Statut_biogéographique!A"&amp;_xlfn.XMATCH("P",Statut_biogéographique!A:A,2,1),"P")</f>
        <v>P</v>
      </c>
      <c r="AP6425" s="4" t="s">
        <v>376</v>
      </c>
      <c r="AR6425" s="4" t="s">
        <v>377</v>
      </c>
    </row>
    <row r="6426" spans="1:44">
      <c r="A6426" s="4" t="s">
        <v>5</v>
      </c>
      <c r="B6426" s="4">
        <v>465266</v>
      </c>
      <c r="D6426" s="5" t="s">
        <v>9124</v>
      </c>
      <c r="E6426" s="6" t="str">
        <f>HYPERLINK("https://inpn.mnhn.fr/espece/cd_nom/465266","Pluteus leoninus (Schaeff.) P.Kumm., 1871")</f>
        <v>Pluteus leoninus (Schaeff.) P.Kumm., 1871</v>
      </c>
      <c r="F6426" s="5" t="s">
        <v>9125</v>
      </c>
      <c r="V6426" s="7" t="str">
        <f>HYPERLINK("#Liste_rouge!A"&amp;_xlfn.XMATCH("LC",Liste_rouge!A:A,2,1),"LC")</f>
        <v>LC</v>
      </c>
      <c r="AH6426" s="4" t="str">
        <f>HYPERLINK("#Statut_biogéographique!A"&amp;_xlfn.XMATCH("P",Statut_biogéographique!A:A,2,1),"P")</f>
        <v>P</v>
      </c>
      <c r="AP6426" s="4" t="s">
        <v>376</v>
      </c>
      <c r="AR6426" s="4" t="s">
        <v>377</v>
      </c>
    </row>
    <row r="6427" spans="1:44" ht="30">
      <c r="A6427" s="4" t="s">
        <v>5</v>
      </c>
      <c r="B6427" s="4">
        <v>465269</v>
      </c>
      <c r="D6427" s="5" t="s">
        <v>9126</v>
      </c>
      <c r="E6427" s="6" t="str">
        <f>HYPERLINK("https://inpn.mnhn.fr/espece/cd_nom/465269","Porodaedalea pini (Brot.) Murrill, 1905")</f>
        <v>Porodaedalea pini (Brot.) Murrill, 1905</v>
      </c>
      <c r="F6427" s="5" t="s">
        <v>654</v>
      </c>
      <c r="V6427" s="7" t="str">
        <f>HYPERLINK("#Liste_rouge!A"&amp;_xlfn.XMATCH("EN",Liste_rouge!A:A,2,1),"EN")</f>
        <v>EN</v>
      </c>
      <c r="W6427" s="4" t="str">
        <f>HYPERLINK("#Critères_liste_rouge!A$1","B2abiii")</f>
        <v>B2abiii</v>
      </c>
      <c r="AH6427" s="4" t="str">
        <f>HYPERLINK("#Statut_biogéographique!A"&amp;_xlfn.XMATCH("P",Statut_biogéographique!A:A,2,1),"P")</f>
        <v>P</v>
      </c>
      <c r="AP6427" s="4" t="s">
        <v>376</v>
      </c>
      <c r="AR6427" s="4" t="s">
        <v>377</v>
      </c>
    </row>
    <row r="6428" spans="1:44" ht="30">
      <c r="A6428" s="4" t="s">
        <v>5</v>
      </c>
      <c r="B6428" s="4">
        <v>465270</v>
      </c>
      <c r="D6428" s="5" t="s">
        <v>9127</v>
      </c>
      <c r="E6428" s="6" t="str">
        <f>HYPERLINK("https://inpn.mnhn.fr/espece/cd_nom/465270","Porostereum spadiceum (Pers.) Hjortstam &amp; Ryvarden, 1990")</f>
        <v>Porostereum spadiceum (Pers.) Hjortstam &amp; Ryvarden, 1990</v>
      </c>
      <c r="V6428" s="7" t="str">
        <f>HYPERLINK("#Liste_rouge!A"&amp;_xlfn.XMATCH("LC",Liste_rouge!A:A,2,1),"LC")</f>
        <v>LC</v>
      </c>
      <c r="AH6428" s="4" t="str">
        <f>HYPERLINK("#Statut_biogéographique!A"&amp;_xlfn.XMATCH("P",Statut_biogéographique!A:A,2,1),"P")</f>
        <v>P</v>
      </c>
      <c r="AP6428" s="4" t="s">
        <v>376</v>
      </c>
      <c r="AR6428" s="4" t="s">
        <v>377</v>
      </c>
    </row>
    <row r="6429" spans="1:44" ht="60">
      <c r="A6429" s="4" t="s">
        <v>5</v>
      </c>
      <c r="B6429" s="4">
        <v>465278</v>
      </c>
      <c r="D6429" s="5" t="s">
        <v>9128</v>
      </c>
      <c r="E6429" s="6" t="str">
        <f>HYPERLINK("https://inpn.mnhn.fr/espece/cd_nom/465278","Pisolithus arhizus (Scop.) Rauschert, 1959")</f>
        <v>Pisolithus arhizus (Scop.) Rauschert, 1959</v>
      </c>
      <c r="V6429" s="7" t="str">
        <f>HYPERLINK("#Liste_rouge!A"&amp;_xlfn.XMATCH("CR",Liste_rouge!A:A,2,1),"CR")</f>
        <v>CR</v>
      </c>
      <c r="W6429" s="4" t="str">
        <f>HYPERLINK("#Critères_liste_rouge!A$1","B2abiii")</f>
        <v>B2abiii</v>
      </c>
      <c r="AH6429" s="4" t="str">
        <f>HYPERLINK("#Statut_biogéographique!A"&amp;_xlfn.XMATCH("P",Statut_biogéographique!A:A,2,1),"P")</f>
        <v>P</v>
      </c>
      <c r="AP6429" s="4" t="s">
        <v>376</v>
      </c>
      <c r="AR6429" s="4" t="s">
        <v>377</v>
      </c>
    </row>
    <row r="6430" spans="1:44" ht="30">
      <c r="A6430" s="4" t="s">
        <v>5</v>
      </c>
      <c r="B6430" s="4">
        <v>465280</v>
      </c>
      <c r="D6430" s="5" t="s">
        <v>9129</v>
      </c>
      <c r="E6430" s="6" t="str">
        <f>HYPERLINK("https://inpn.mnhn.fr/espece/cd_nom/465280","Pluteus petasatus (Fr.) Gillet, 1876")</f>
        <v>Pluteus petasatus (Fr.) Gillet, 1876</v>
      </c>
      <c r="V6430" s="7" t="str">
        <f>HYPERLINK("#Liste_rouge!A"&amp;_xlfn.XMATCH("NT",Liste_rouge!A:A,2,1),"NT")</f>
        <v>NT</v>
      </c>
      <c r="W6430" s="4" t="str">
        <f>HYPERLINK("#Critères_liste_rouge!A$1","pr. B2abiii")</f>
        <v>pr. B2abiii</v>
      </c>
      <c r="AH6430" s="4" t="str">
        <f>HYPERLINK("#Statut_biogéographique!A"&amp;_xlfn.XMATCH("P",Statut_biogéographique!A:A,2,1),"P")</f>
        <v>P</v>
      </c>
      <c r="AP6430" s="4" t="s">
        <v>376</v>
      </c>
      <c r="AR6430" s="4" t="s">
        <v>377</v>
      </c>
    </row>
    <row r="6431" spans="1:44" ht="30">
      <c r="A6431" s="4" t="s">
        <v>5</v>
      </c>
      <c r="B6431" s="4">
        <v>465282</v>
      </c>
      <c r="D6431" s="5" t="s">
        <v>9130</v>
      </c>
      <c r="E6431" s="6" t="str">
        <f>HYPERLINK("https://inpn.mnhn.fr/espece/cd_nom/465282","Postia balsamea (Peck) Jülich, 1982")</f>
        <v>Postia balsamea (Peck) Jülich, 1982</v>
      </c>
      <c r="V6431" s="7" t="str">
        <f>HYPERLINK("#Liste_rouge!A"&amp;_xlfn.XMATCH("LC",Liste_rouge!A:A,2,1),"LC")</f>
        <v>LC</v>
      </c>
      <c r="AH6431" s="4" t="str">
        <f>HYPERLINK("#Statut_biogéographique!A"&amp;_xlfn.XMATCH("P",Statut_biogéographique!A:A,2,1),"P")</f>
        <v>P</v>
      </c>
      <c r="AP6431" s="4" t="s">
        <v>376</v>
      </c>
      <c r="AR6431" s="4" t="s">
        <v>377</v>
      </c>
    </row>
    <row r="6432" spans="1:44" ht="30">
      <c r="A6432" s="4" t="s">
        <v>5</v>
      </c>
      <c r="B6432" s="4">
        <v>465283</v>
      </c>
      <c r="D6432" s="5" t="s">
        <v>9131</v>
      </c>
      <c r="E6432" s="6" t="str">
        <f>HYPERLINK("https://inpn.mnhn.fr/espece/cd_nom/465283","Pleurocybella porrigens (Pers.) Singer, 1947")</f>
        <v>Pleurocybella porrigens (Pers.) Singer, 1947</v>
      </c>
      <c r="V6432" s="7" t="str">
        <f>HYPERLINK("#Liste_rouge!A"&amp;_xlfn.XMATCH("VU",Liste_rouge!A:A,2,1),"VU")</f>
        <v>VU</v>
      </c>
      <c r="W6432" s="4" t="str">
        <f>HYPERLINK("#Critères_liste_rouge!A$1","A2c")</f>
        <v>A2c</v>
      </c>
      <c r="AH6432" s="4" t="str">
        <f>HYPERLINK("#Statut_biogéographique!A"&amp;_xlfn.XMATCH("P",Statut_biogéographique!A:A,2,1),"P")</f>
        <v>P</v>
      </c>
      <c r="AP6432" s="4" t="s">
        <v>376</v>
      </c>
      <c r="AR6432" s="4" t="s">
        <v>377</v>
      </c>
    </row>
    <row r="6433" spans="1:44" ht="45">
      <c r="A6433" s="4" t="s">
        <v>5</v>
      </c>
      <c r="B6433" s="4">
        <v>46530</v>
      </c>
      <c r="C6433" s="4">
        <v>5563</v>
      </c>
      <c r="D6433" s="5" t="s">
        <v>9132</v>
      </c>
      <c r="E6433" s="6" t="str">
        <f>HYPERLINK("https://inpn.mnhn.fr/espece/cd_nom/46530","Crocicreas culmicola (Desm.) S.E.Carp., 1980")</f>
        <v>Crocicreas culmicola (Desm.) S.E.Carp., 1980</v>
      </c>
      <c r="AH6433" s="4" t="str">
        <f>HYPERLINK("#Statut_biogéographique!A"&amp;_xlfn.XMATCH("P",Statut_biogéographique!A:A,2,1),"P")</f>
        <v>P</v>
      </c>
      <c r="AP6433" s="4" t="s">
        <v>376</v>
      </c>
      <c r="AR6433" s="4" t="s">
        <v>377</v>
      </c>
    </row>
    <row r="6434" spans="1:44" ht="120">
      <c r="A6434" s="4" t="s">
        <v>5</v>
      </c>
      <c r="B6434" s="4">
        <v>46534</v>
      </c>
      <c r="C6434" s="4">
        <v>6267</v>
      </c>
      <c r="D6434" s="5" t="s">
        <v>9133</v>
      </c>
      <c r="E6434" s="6" t="str">
        <f>HYPERLINK("https://inpn.mnhn.fr/espece/cd_nom/46534","Crocicreas cyathoideum (Bull.) S.E.Carp., 1980")</f>
        <v>Crocicreas cyathoideum (Bull.) S.E.Carp., 1980</v>
      </c>
      <c r="AH6434" s="4" t="str">
        <f>HYPERLINK("#Statut_biogéographique!A"&amp;_xlfn.XMATCH("P",Statut_biogéographique!A:A,2,1),"P")</f>
        <v>P</v>
      </c>
      <c r="AP6434" s="4" t="s">
        <v>376</v>
      </c>
      <c r="AR6434" s="4" t="s">
        <v>377</v>
      </c>
    </row>
    <row r="6435" spans="1:44">
      <c r="A6435" s="4" t="s">
        <v>5</v>
      </c>
      <c r="B6435" s="4">
        <v>46564</v>
      </c>
      <c r="C6435" s="4">
        <v>5564</v>
      </c>
      <c r="D6435" s="5" t="s">
        <v>9134</v>
      </c>
      <c r="E6435" s="6" t="str">
        <f>HYPERLINK("https://inpn.mnhn.fr/espece/cd_nom/46564","Crocicreas pallidum (Velen.) S.E.Carp., 1980")</f>
        <v>Crocicreas pallidum (Velen.) S.E.Carp., 1980</v>
      </c>
      <c r="AH6435" s="4" t="str">
        <f>HYPERLINK("#Statut_biogéographique!A"&amp;_xlfn.XMATCH("P",Statut_biogéographique!A:A,2,1),"P")</f>
        <v>P</v>
      </c>
      <c r="AP6435" s="4" t="s">
        <v>376</v>
      </c>
      <c r="AR6435" s="4" t="s">
        <v>377</v>
      </c>
    </row>
    <row r="6436" spans="1:44">
      <c r="A6436" s="4" t="s">
        <v>5</v>
      </c>
      <c r="B6436" s="4">
        <v>46605</v>
      </c>
      <c r="C6436" s="4">
        <v>4258</v>
      </c>
      <c r="D6436" s="5" t="s">
        <v>9135</v>
      </c>
      <c r="E6436" s="6" t="str">
        <f>HYPERLINK("https://inpn.mnhn.fr/espece/cd_nom/46605","Cryptodiscus pallidus (Pers.) Corda, 1838")</f>
        <v>Cryptodiscus pallidus (Pers.) Corda, 1838</v>
      </c>
      <c r="AH6436" s="4" t="str">
        <f>HYPERLINK("#Statut_biogéographique!A"&amp;_xlfn.XMATCH("P",Statut_biogéographique!A:A,2,1),"P")</f>
        <v>P</v>
      </c>
      <c r="AP6436" s="4" t="s">
        <v>376</v>
      </c>
      <c r="AR6436" s="4" t="s">
        <v>377</v>
      </c>
    </row>
    <row r="6437" spans="1:44" ht="30">
      <c r="A6437" s="4" t="s">
        <v>5</v>
      </c>
      <c r="B6437" s="4">
        <v>46618</v>
      </c>
      <c r="C6437" s="4">
        <v>2932</v>
      </c>
      <c r="D6437" s="5" t="s">
        <v>9136</v>
      </c>
      <c r="E6437" s="6" t="str">
        <f>HYPERLINK("https://inpn.mnhn.fr/espece/cd_nom/46618","Cryptosphaeria eunomia (Fr.) Fuckel, 1870")</f>
        <v>Cryptosphaeria eunomia (Fr.) Fuckel, 1870</v>
      </c>
      <c r="AH6437" s="4" t="str">
        <f>HYPERLINK("#Statut_biogéographique!A"&amp;_xlfn.XMATCH("P",Statut_biogéographique!A:A,2,1),"P")</f>
        <v>P</v>
      </c>
      <c r="AP6437" s="4" t="s">
        <v>376</v>
      </c>
      <c r="AR6437" s="4" t="s">
        <v>377</v>
      </c>
    </row>
    <row r="6438" spans="1:44">
      <c r="A6438" s="4" t="s">
        <v>5</v>
      </c>
      <c r="B6438" s="4">
        <v>46632</v>
      </c>
      <c r="C6438" s="4">
        <v>4903</v>
      </c>
      <c r="D6438" s="5" t="s">
        <v>9137</v>
      </c>
      <c r="E6438" s="6" t="str">
        <f>HYPERLINK("https://inpn.mnhn.fr/espece/cd_nom/46632","Cryptovalsa protracta (Pers.) De Not., 1863")</f>
        <v>Cryptovalsa protracta (Pers.) De Not., 1863</v>
      </c>
      <c r="AH6438" s="4" t="str">
        <f>HYPERLINK("#Statut_biogéographique!A"&amp;_xlfn.XMATCH("P",Statut_biogéographique!A:A,2,1),"P")</f>
        <v>P</v>
      </c>
      <c r="AP6438" s="4" t="s">
        <v>376</v>
      </c>
      <c r="AR6438" s="4" t="s">
        <v>377</v>
      </c>
    </row>
    <row r="6439" spans="1:44" ht="30">
      <c r="A6439" s="4" t="s">
        <v>5</v>
      </c>
      <c r="B6439" s="4">
        <v>46642</v>
      </c>
      <c r="C6439" s="4">
        <v>3262</v>
      </c>
      <c r="D6439" s="5" t="s">
        <v>9138</v>
      </c>
      <c r="E6439" s="6" t="str">
        <f>HYPERLINK("https://inpn.mnhn.fr/espece/cd_nom/46642","Cucurbitaria berberidis (Pers.) Gray, 1821")</f>
        <v>Cucurbitaria berberidis (Pers.) Gray, 1821</v>
      </c>
      <c r="AH6439" s="4" t="str">
        <f>HYPERLINK("#Statut_biogéographique!A"&amp;_xlfn.XMATCH("P",Statut_biogéographique!A:A,2,1),"P")</f>
        <v>P</v>
      </c>
      <c r="AP6439" s="4" t="s">
        <v>376</v>
      </c>
      <c r="AR6439" s="4" t="s">
        <v>377</v>
      </c>
    </row>
    <row r="6440" spans="1:44">
      <c r="A6440" s="4" t="s">
        <v>5</v>
      </c>
      <c r="B6440" s="4">
        <v>46644</v>
      </c>
      <c r="C6440" s="4">
        <v>4447</v>
      </c>
      <c r="D6440" s="5" t="s">
        <v>9139</v>
      </c>
      <c r="E6440" s="6" t="str">
        <f>HYPERLINK("https://inpn.mnhn.fr/espece/cd_nom/46644","Cucurbitaria coronillae Sacc., 1883")</f>
        <v>Cucurbitaria coronillae Sacc., 1883</v>
      </c>
      <c r="AH6440" s="4" t="str">
        <f>HYPERLINK("#Statut_biogéographique!A"&amp;_xlfn.XMATCH("P",Statut_biogéographique!A:A,2,1),"P")</f>
        <v>P</v>
      </c>
      <c r="AP6440" s="4" t="s">
        <v>376</v>
      </c>
      <c r="AR6440" s="4" t="s">
        <v>377</v>
      </c>
    </row>
    <row r="6441" spans="1:44">
      <c r="A6441" s="4" t="s">
        <v>5</v>
      </c>
      <c r="B6441" s="4">
        <v>46657</v>
      </c>
      <c r="C6441" s="4">
        <v>1466</v>
      </c>
      <c r="D6441" s="5" t="s">
        <v>9140</v>
      </c>
      <c r="E6441" s="6" t="str">
        <f>HYPERLINK("https://inpn.mnhn.fr/espece/cd_nom/46657","Cudonia circinans (Pers.) Fr., 1849")</f>
        <v>Cudonia circinans (Pers.) Fr., 1849</v>
      </c>
      <c r="F6441" s="5" t="s">
        <v>9141</v>
      </c>
      <c r="V6441" s="7" t="str">
        <f>HYPERLINK("#Liste_rouge!A"&amp;_xlfn.XMATCH("LC",Liste_rouge!A:A,2,1),"LC")</f>
        <v>LC</v>
      </c>
      <c r="AH6441" s="4" t="str">
        <f>HYPERLINK("#Statut_biogéographique!A"&amp;_xlfn.XMATCH("P",Statut_biogéographique!A:A,2,1),"P")</f>
        <v>P</v>
      </c>
      <c r="AP6441" s="4" t="s">
        <v>376</v>
      </c>
      <c r="AR6441" s="4" t="s">
        <v>377</v>
      </c>
    </row>
    <row r="6442" spans="1:44">
      <c r="A6442" s="4" t="s">
        <v>5</v>
      </c>
      <c r="B6442" s="4">
        <v>46660</v>
      </c>
      <c r="C6442" s="4">
        <v>4922</v>
      </c>
      <c r="D6442" s="5" t="s">
        <v>9142</v>
      </c>
      <c r="E6442" s="6" t="str">
        <f>HYPERLINK("https://inpn.mnhn.fr/espece/cd_nom/46660","Cudonia confusa Bres., 1892")</f>
        <v>Cudonia confusa Bres., 1892</v>
      </c>
      <c r="F6442" s="5" t="s">
        <v>9143</v>
      </c>
      <c r="V6442" s="7" t="str">
        <f>HYPERLINK("#Liste_rouge!A"&amp;_xlfn.XMATCH("DD",Liste_rouge!A:A,2,1),"DD")</f>
        <v>DD</v>
      </c>
      <c r="AH6442" s="4" t="str">
        <f>HYPERLINK("#Statut_biogéographique!A"&amp;_xlfn.XMATCH("P",Statut_biogéographique!A:A,2,1),"P")</f>
        <v>P</v>
      </c>
      <c r="AP6442" s="4" t="s">
        <v>376</v>
      </c>
      <c r="AR6442" s="4" t="s">
        <v>377</v>
      </c>
    </row>
    <row r="6443" spans="1:44">
      <c r="A6443" s="4" t="s">
        <v>5</v>
      </c>
      <c r="B6443" s="4">
        <v>46662</v>
      </c>
      <c r="C6443" s="4">
        <v>1972</v>
      </c>
      <c r="D6443" s="5" t="s">
        <v>9144</v>
      </c>
      <c r="E6443" s="6" t="str">
        <f>HYPERLINK("https://inpn.mnhn.fr/espece/cd_nom/46662","Cudoniella acicularis (Bull.) J.Schröt., 1893")</f>
        <v>Cudoniella acicularis (Bull.) J.Schröt., 1893</v>
      </c>
      <c r="V6443" s="7" t="str">
        <f>HYPERLINK("#Liste_rouge!A"&amp;_xlfn.XMATCH("LC",Liste_rouge!A:A,2,1),"LC")</f>
        <v>LC</v>
      </c>
      <c r="AH6443" s="4" t="str">
        <f>HYPERLINK("#Statut_biogéographique!A"&amp;_xlfn.XMATCH("P",Statut_biogéographique!A:A,2,1),"P")</f>
        <v>P</v>
      </c>
      <c r="AP6443" s="4" t="s">
        <v>376</v>
      </c>
      <c r="AR6443" s="4" t="s">
        <v>377</v>
      </c>
    </row>
    <row r="6444" spans="1:44" ht="45">
      <c r="A6444" s="4" t="s">
        <v>5</v>
      </c>
      <c r="B6444" s="4">
        <v>46668</v>
      </c>
      <c r="C6444" s="4">
        <v>1102</v>
      </c>
      <c r="D6444" s="5" t="s">
        <v>9145</v>
      </c>
      <c r="E6444" s="6" t="str">
        <f>HYPERLINK("https://inpn.mnhn.fr/espece/cd_nom/46668","Cudoniella clavus (Alb. &amp; Schwein.) Dennis, 1964")</f>
        <v>Cudoniella clavus (Alb. &amp; Schwein.) Dennis, 1964</v>
      </c>
      <c r="V6444" s="7" t="str">
        <f>HYPERLINK("#Liste_rouge!A"&amp;_xlfn.XMATCH("NT",Liste_rouge!A:A,2,1),"NT")</f>
        <v>NT</v>
      </c>
      <c r="W6444" s="4" t="str">
        <f>HYPERLINK("#Critères_liste_rouge!A$1","pr. A2c")</f>
        <v>pr. A2c</v>
      </c>
      <c r="AH6444" s="4" t="str">
        <f>HYPERLINK("#Statut_biogéographique!A"&amp;_xlfn.XMATCH("P",Statut_biogéographique!A:A,2,1),"P")</f>
        <v>P</v>
      </c>
      <c r="AP6444" s="4" t="s">
        <v>376</v>
      </c>
      <c r="AR6444" s="4" t="s">
        <v>377</v>
      </c>
    </row>
    <row r="6445" spans="1:44" ht="30">
      <c r="A6445" s="4" t="s">
        <v>5</v>
      </c>
      <c r="B6445" s="4">
        <v>46706</v>
      </c>
      <c r="C6445" s="4">
        <v>409</v>
      </c>
      <c r="D6445" s="5" t="s">
        <v>9146</v>
      </c>
      <c r="E6445" s="6" t="str">
        <f>HYPERLINK("https://inpn.mnhn.fr/espece/cd_nom/46706","Daldinia concentrica (Bolton) Ces. &amp; De Not., 1863")</f>
        <v>Daldinia concentrica (Bolton) Ces. &amp; De Not., 1863</v>
      </c>
      <c r="F6445" s="5" t="s">
        <v>9147</v>
      </c>
      <c r="V6445" s="7" t="str">
        <f>HYPERLINK("#Liste_rouge!A"&amp;_xlfn.XMATCH("LC",Liste_rouge!A:A,2,1),"LC")</f>
        <v>LC</v>
      </c>
      <c r="AH6445" s="4" t="str">
        <f>HYPERLINK("#Statut_biogéographique!A"&amp;_xlfn.XMATCH("P",Statut_biogéographique!A:A,2,1),"P")</f>
        <v>P</v>
      </c>
      <c r="AP6445" s="4" t="s">
        <v>376</v>
      </c>
      <c r="AR6445" s="4" t="s">
        <v>377</v>
      </c>
    </row>
    <row r="6446" spans="1:44">
      <c r="A6446" s="4" t="s">
        <v>5</v>
      </c>
      <c r="B6446" s="4">
        <v>46714</v>
      </c>
      <c r="C6446" s="4">
        <v>2464</v>
      </c>
      <c r="D6446" s="5" t="s">
        <v>9148</v>
      </c>
      <c r="E6446" s="6" t="str">
        <f>HYPERLINK("https://inpn.mnhn.fr/espece/cd_nom/46714","Ascobolus immersus Pers., 1794")</f>
        <v>Ascobolus immersus Pers., 1794</v>
      </c>
      <c r="AH6446" s="4" t="str">
        <f>HYPERLINK("#Statut_biogéographique!A"&amp;_xlfn.XMATCH("P",Statut_biogéographique!A:A,2,1),"P")</f>
        <v>P</v>
      </c>
      <c r="AP6446" s="4" t="s">
        <v>376</v>
      </c>
      <c r="AR6446" s="4" t="s">
        <v>377</v>
      </c>
    </row>
    <row r="6447" spans="1:44">
      <c r="A6447" s="4" t="s">
        <v>5</v>
      </c>
      <c r="B6447" s="4">
        <v>46719</v>
      </c>
      <c r="C6447" s="4">
        <v>2789</v>
      </c>
      <c r="D6447" s="5" t="s">
        <v>9149</v>
      </c>
      <c r="E6447" s="6" t="str">
        <f>HYPERLINK("https://inpn.mnhn.fr/espece/cd_nom/46719","Dasyscyphella crystallina (Fuckel) Raitv., 1970")</f>
        <v>Dasyscyphella crystallina (Fuckel) Raitv., 1970</v>
      </c>
      <c r="AH6447" s="4" t="str">
        <f>HYPERLINK("#Statut_biogéographique!A"&amp;_xlfn.XMATCH("P",Statut_biogéographique!A:A,2,1),"P")</f>
        <v>P</v>
      </c>
      <c r="AP6447" s="4" t="s">
        <v>376</v>
      </c>
      <c r="AR6447" s="4" t="s">
        <v>377</v>
      </c>
    </row>
    <row r="6448" spans="1:44" ht="30">
      <c r="A6448" s="4" t="s">
        <v>5</v>
      </c>
      <c r="B6448" s="4">
        <v>46725</v>
      </c>
      <c r="C6448" s="4">
        <v>1078</v>
      </c>
      <c r="D6448" s="5" t="s">
        <v>9150</v>
      </c>
      <c r="E6448" s="6" t="str">
        <f>HYPERLINK("https://inpn.mnhn.fr/espece/cd_nom/46725","Dasyscyphella nivea (R.Hedw.) Raitv., 1970")</f>
        <v>Dasyscyphella nivea (R.Hedw.) Raitv., 1970</v>
      </c>
      <c r="V6448" s="7" t="str">
        <f>HYPERLINK("#Liste_rouge!A"&amp;_xlfn.XMATCH("LC",Liste_rouge!A:A,2,1),"LC")</f>
        <v>LC</v>
      </c>
      <c r="AH6448" s="4" t="str">
        <f>HYPERLINK("#Statut_biogéographique!A"&amp;_xlfn.XMATCH("P",Statut_biogéographique!A:A,2,1),"P")</f>
        <v>P</v>
      </c>
      <c r="AP6448" s="4" t="s">
        <v>376</v>
      </c>
      <c r="AR6448" s="4" t="s">
        <v>377</v>
      </c>
    </row>
    <row r="6449" spans="1:44">
      <c r="A6449" s="4" t="s">
        <v>5</v>
      </c>
      <c r="B6449" s="4">
        <v>46764</v>
      </c>
      <c r="C6449" s="4">
        <v>6792</v>
      </c>
      <c r="D6449" s="5" t="s">
        <v>9151</v>
      </c>
      <c r="E6449" s="6" t="str">
        <f>HYPERLINK("https://inpn.mnhn.fr/espece/cd_nom/46764","Lachnum carneolum (Sacc.) Rehm, 1893")</f>
        <v>Lachnum carneolum (Sacc.) Rehm, 1893</v>
      </c>
      <c r="AH6449" s="4" t="str">
        <f>HYPERLINK("#Statut_biogéographique!A"&amp;_xlfn.XMATCH("P",Statut_biogéographique!A:A,2,1),"P")</f>
        <v>P</v>
      </c>
      <c r="AP6449" s="4" t="s">
        <v>376</v>
      </c>
      <c r="AR6449" s="4" t="s">
        <v>377</v>
      </c>
    </row>
    <row r="6450" spans="1:44">
      <c r="A6450" s="4" t="s">
        <v>5</v>
      </c>
      <c r="B6450" s="4">
        <v>46778</v>
      </c>
      <c r="C6450" s="4">
        <v>5880</v>
      </c>
      <c r="D6450" s="5" t="s">
        <v>9152</v>
      </c>
      <c r="E6450" s="6" t="str">
        <f>HYPERLINK("https://inpn.mnhn.fr/espece/cd_nom/46778","Lachnum controversum (Cooke) Rehm, 1888")</f>
        <v>Lachnum controversum (Cooke) Rehm, 1888</v>
      </c>
      <c r="AH6450" s="4" t="str">
        <f>HYPERLINK("#Statut_biogéographique!A"&amp;_xlfn.XMATCH("P",Statut_biogéographique!A:A,2,1),"P")</f>
        <v>P</v>
      </c>
      <c r="AP6450" s="4" t="s">
        <v>376</v>
      </c>
      <c r="AR6450" s="4" t="s">
        <v>377</v>
      </c>
    </row>
    <row r="6451" spans="1:44" ht="30">
      <c r="A6451" s="4" t="s">
        <v>5</v>
      </c>
      <c r="B6451" s="4">
        <v>46786</v>
      </c>
      <c r="C6451" s="4">
        <v>4801</v>
      </c>
      <c r="D6451" s="5" t="s">
        <v>9153</v>
      </c>
      <c r="E6451" s="6" t="str">
        <f>HYPERLINK("https://inpn.mnhn.fr/espece/cd_nom/46786","Lachnum diminutum (Roberge ex Desm.) Rehm, 1888")</f>
        <v>Lachnum diminutum (Roberge ex Desm.) Rehm, 1888</v>
      </c>
      <c r="AH6451" s="4" t="str">
        <f>HYPERLINK("#Statut_biogéographique!A"&amp;_xlfn.XMATCH("P",Statut_biogéographique!A:A,2,1),"P")</f>
        <v>P</v>
      </c>
      <c r="AP6451" s="4" t="s">
        <v>376</v>
      </c>
      <c r="AR6451" s="4" t="s">
        <v>377</v>
      </c>
    </row>
    <row r="6452" spans="1:44">
      <c r="A6452" s="4" t="s">
        <v>5</v>
      </c>
      <c r="B6452" s="4">
        <v>46796</v>
      </c>
      <c r="C6452" s="4">
        <v>6433</v>
      </c>
      <c r="D6452" s="5" t="s">
        <v>9154</v>
      </c>
      <c r="E6452" s="6" t="str">
        <f>HYPERLINK("https://inpn.mnhn.fr/espece/cd_nom/46796","Dasyscyphus fascicularis (Velen.) Le Gal, 1939")</f>
        <v>Dasyscyphus fascicularis (Velen.) Le Gal, 1939</v>
      </c>
      <c r="AH6452" s="4" t="str">
        <f>HYPERLINK("#Statut_biogéographique!A"&amp;_xlfn.XMATCH("P",Statut_biogéographique!A:A,2,1),"P")</f>
        <v>P</v>
      </c>
      <c r="AP6452" s="4" t="s">
        <v>376</v>
      </c>
      <c r="AR6452" s="4" t="s">
        <v>377</v>
      </c>
    </row>
    <row r="6453" spans="1:44">
      <c r="A6453" s="4" t="s">
        <v>5</v>
      </c>
      <c r="B6453" s="4">
        <v>46831</v>
      </c>
      <c r="C6453" s="4">
        <v>5759</v>
      </c>
      <c r="D6453" s="5" t="s">
        <v>9155</v>
      </c>
      <c r="E6453" s="6" t="str">
        <f>HYPERLINK("https://inpn.mnhn.fr/espece/cd_nom/46831","Lachnum pudibundum (Quél.) J.Schröt., 1893")</f>
        <v>Lachnum pudibundum (Quél.) J.Schröt., 1893</v>
      </c>
      <c r="AH6453" s="4" t="str">
        <f>HYPERLINK("#Statut_biogéographique!A"&amp;_xlfn.XMATCH("P",Statut_biogéographique!A:A,2,1),"P")</f>
        <v>P</v>
      </c>
      <c r="AP6453" s="4" t="s">
        <v>376</v>
      </c>
      <c r="AR6453" s="4" t="s">
        <v>377</v>
      </c>
    </row>
    <row r="6454" spans="1:44">
      <c r="A6454" s="4" t="s">
        <v>5</v>
      </c>
      <c r="B6454" s="4">
        <v>46865</v>
      </c>
      <c r="C6454" s="4">
        <v>4157</v>
      </c>
      <c r="D6454" s="5" t="s">
        <v>9156</v>
      </c>
      <c r="E6454" s="6" t="str">
        <f>HYPERLINK("https://inpn.mnhn.fr/espece/cd_nom/46865","Delitschia didyma Auersw., 1866")</f>
        <v>Delitschia didyma Auersw., 1866</v>
      </c>
      <c r="AH6454" s="4" t="str">
        <f>HYPERLINK("#Statut_biogéographique!A"&amp;_xlfn.XMATCH("P",Statut_biogéographique!A:A,2,1),"P")</f>
        <v>P</v>
      </c>
      <c r="AP6454" s="4" t="s">
        <v>376</v>
      </c>
      <c r="AR6454" s="4" t="s">
        <v>377</v>
      </c>
    </row>
    <row r="6455" spans="1:44">
      <c r="A6455" s="4" t="s">
        <v>5</v>
      </c>
      <c r="B6455" s="4">
        <v>46867</v>
      </c>
      <c r="C6455" s="4">
        <v>3280</v>
      </c>
      <c r="D6455" s="5" t="s">
        <v>9157</v>
      </c>
      <c r="E6455" s="6" t="str">
        <f>HYPERLINK("https://inpn.mnhn.fr/espece/cd_nom/46867","Delitschia marchalii Berl. &amp; Voglino, 1886")</f>
        <v>Delitschia marchalii Berl. &amp; Voglino, 1886</v>
      </c>
      <c r="AH6455" s="4" t="str">
        <f>HYPERLINK("#Statut_biogéographique!A"&amp;_xlfn.XMATCH("P",Statut_biogéographique!A:A,2,1),"P")</f>
        <v>P</v>
      </c>
      <c r="AP6455" s="4" t="s">
        <v>376</v>
      </c>
      <c r="AR6455" s="4" t="s">
        <v>377</v>
      </c>
    </row>
    <row r="6456" spans="1:44" ht="30">
      <c r="A6456" s="4" t="s">
        <v>5</v>
      </c>
      <c r="B6456" s="4">
        <v>46876</v>
      </c>
      <c r="C6456" s="4">
        <v>6068</v>
      </c>
      <c r="D6456" s="5" t="s">
        <v>9158</v>
      </c>
      <c r="E6456" s="6" t="str">
        <f>HYPERLINK("https://inpn.mnhn.fr/espece/cd_nom/46876","Dematioscypha dematiicola (Berk. &amp; Broome) Svrček, 1977")</f>
        <v>Dematioscypha dematiicola (Berk. &amp; Broome) Svrček, 1977</v>
      </c>
      <c r="AH6456" s="4" t="str">
        <f>HYPERLINK("#Statut_biogéographique!A"&amp;_xlfn.XMATCH("P",Statut_biogéographique!A:A,2,1),"P")</f>
        <v>P</v>
      </c>
      <c r="AP6456" s="4" t="s">
        <v>376</v>
      </c>
      <c r="AR6456" s="4" t="s">
        <v>377</v>
      </c>
    </row>
    <row r="6457" spans="1:44">
      <c r="A6457" s="4" t="s">
        <v>5</v>
      </c>
      <c r="B6457" s="4">
        <v>46901</v>
      </c>
      <c r="C6457" s="4">
        <v>3563</v>
      </c>
      <c r="D6457" s="5" t="s">
        <v>9159</v>
      </c>
      <c r="E6457" s="6" t="str">
        <f>HYPERLINK("https://inpn.mnhn.fr/espece/cd_nom/46901","Dermea cerasi (Pers.) Fr., 1825")</f>
        <v>Dermea cerasi (Pers.) Fr., 1825</v>
      </c>
      <c r="AH6457" s="4" t="str">
        <f>HYPERLINK("#Statut_biogéographique!A"&amp;_xlfn.XMATCH("P",Statut_biogéographique!A:A,2,1),"P")</f>
        <v>P</v>
      </c>
      <c r="AP6457" s="4" t="s">
        <v>376</v>
      </c>
      <c r="AR6457" s="4" t="s">
        <v>377</v>
      </c>
    </row>
    <row r="6458" spans="1:44">
      <c r="A6458" s="4" t="s">
        <v>5</v>
      </c>
      <c r="B6458" s="4">
        <v>46906</v>
      </c>
      <c r="C6458" s="4">
        <v>4247</v>
      </c>
      <c r="D6458" s="5" t="s">
        <v>9160</v>
      </c>
      <c r="E6458" s="6" t="str">
        <f>HYPERLINK("https://inpn.mnhn.fr/espece/cd_nom/46906","Dermea prunastri (Pers.) Fr.")</f>
        <v>Dermea prunastri (Pers.) Fr.</v>
      </c>
      <c r="AH6458" s="4" t="str">
        <f>HYPERLINK("#Statut_biogéographique!A"&amp;_xlfn.XMATCH("P",Statut_biogéographique!A:A,2,1),"P")</f>
        <v>P</v>
      </c>
      <c r="AP6458" s="4" t="s">
        <v>376</v>
      </c>
      <c r="AR6458" s="4" t="s">
        <v>377</v>
      </c>
    </row>
    <row r="6459" spans="1:44" ht="30">
      <c r="A6459" s="4" t="s">
        <v>5</v>
      </c>
      <c r="B6459" s="4">
        <v>469067</v>
      </c>
      <c r="C6459" s="4">
        <v>3160</v>
      </c>
      <c r="D6459" s="5" t="s">
        <v>9161</v>
      </c>
      <c r="E6459" s="6" t="str">
        <f>HYPERLINK("https://inpn.mnhn.fr/espece/cd_nom/469067","Agaricus bitorquis var. validus (F.H.Møller) Bon &amp; Cappelli, 1983")</f>
        <v>Agaricus bitorquis var. validus (F.H.Møller) Bon &amp; Cappelli, 1983</v>
      </c>
      <c r="F6459" s="5" t="s">
        <v>9162</v>
      </c>
      <c r="V6459" s="7" t="str">
        <f>HYPERLINK("#Liste_rouge!A"&amp;_xlfn.XMATCH("DD",Liste_rouge!A:A,2,1),"DD")</f>
        <v>DD</v>
      </c>
      <c r="AH6459" s="4" t="str">
        <f>HYPERLINK("#Statut_biogéographique!A"&amp;_xlfn.XMATCH("P",Statut_biogéographique!A:A,2,1),"P")</f>
        <v>P</v>
      </c>
      <c r="AP6459" s="4" t="s">
        <v>376</v>
      </c>
      <c r="AR6459" s="4" t="s">
        <v>377</v>
      </c>
    </row>
    <row r="6460" spans="1:44" ht="30">
      <c r="A6460" s="4" t="s">
        <v>5</v>
      </c>
      <c r="B6460" s="4">
        <v>469068</v>
      </c>
      <c r="C6460" s="4">
        <v>3957</v>
      </c>
      <c r="D6460" s="5" t="s">
        <v>9163</v>
      </c>
      <c r="E6460" s="6" t="str">
        <f>HYPERLINK("https://inpn.mnhn.fr/espece/cd_nom/469068","Agaricus campestris var. equestris (F.H.Møller) Pilát, 1951")</f>
        <v>Agaricus campestris var. equestris (F.H.Møller) Pilát, 1951</v>
      </c>
      <c r="V6460" s="7" t="str">
        <f>HYPERLINK("#Liste_rouge!A"&amp;_xlfn.XMATCH("DD",Liste_rouge!A:A,2,1),"DD")</f>
        <v>DD</v>
      </c>
      <c r="AH6460" s="4" t="str">
        <f>HYPERLINK("#Statut_biogéographique!A"&amp;_xlfn.XMATCH("P",Statut_biogéographique!A:A,2,1),"P")</f>
        <v>P</v>
      </c>
      <c r="AP6460" s="4" t="s">
        <v>376</v>
      </c>
      <c r="AR6460" s="4" t="s">
        <v>377</v>
      </c>
    </row>
    <row r="6461" spans="1:44" ht="30">
      <c r="A6461" s="4" t="s">
        <v>5</v>
      </c>
      <c r="B6461" s="4">
        <v>469072</v>
      </c>
      <c r="C6461" s="4">
        <v>3783</v>
      </c>
      <c r="D6461" s="5" t="s">
        <v>9164</v>
      </c>
      <c r="E6461" s="6" t="str">
        <f>HYPERLINK("https://inpn.mnhn.fr/espece/cd_nom/469072","Agaricus campestris var. squamulosus (Rea) Pilát, 1951")</f>
        <v>Agaricus campestris var. squamulosus (Rea) Pilát, 1951</v>
      </c>
      <c r="F6461" s="5" t="s">
        <v>9165</v>
      </c>
      <c r="V6461" s="7" t="str">
        <f>HYPERLINK("#Liste_rouge!A"&amp;_xlfn.XMATCH("DD",Liste_rouge!A:A,2,1),"DD")</f>
        <v>DD</v>
      </c>
      <c r="AH6461" s="4" t="str">
        <f>HYPERLINK("#Statut_biogéographique!A"&amp;_xlfn.XMATCH("P",Statut_biogéographique!A:A,2,1),"P")</f>
        <v>P</v>
      </c>
      <c r="AP6461" s="4" t="s">
        <v>376</v>
      </c>
      <c r="AR6461" s="4" t="s">
        <v>377</v>
      </c>
    </row>
    <row r="6462" spans="1:44" ht="30">
      <c r="A6462" s="4" t="s">
        <v>5</v>
      </c>
      <c r="B6462" s="4">
        <v>469076</v>
      </c>
      <c r="C6462" s="4">
        <v>4</v>
      </c>
      <c r="D6462" s="5" t="s">
        <v>9166</v>
      </c>
      <c r="E6462" s="6" t="str">
        <f>HYPERLINK("https://inpn.mnhn.fr/espece/cd_nom/469076","Agaricus osecanus var. nivescens (F.H.Møller) Courtec., 2008")</f>
        <v>Agaricus osecanus var. nivescens (F.H.Møller) Courtec., 2008</v>
      </c>
      <c r="F6462" s="5" t="s">
        <v>9167</v>
      </c>
      <c r="V6462" s="7" t="str">
        <f>HYPERLINK("#Liste_rouge!A"&amp;_xlfn.XMATCH("VU",Liste_rouge!A:A,2,1),"VU")</f>
        <v>VU</v>
      </c>
      <c r="W6462" s="4" t="str">
        <f>HYPERLINK("#Critères_liste_rouge!A$1","A2c")</f>
        <v>A2c</v>
      </c>
      <c r="Z6462" s="4" t="s">
        <v>443</v>
      </c>
      <c r="AA6462" s="4" t="s">
        <v>444</v>
      </c>
      <c r="AH6462" s="4" t="str">
        <f>HYPERLINK("#Statut_biogéographique!A"&amp;_xlfn.XMATCH("P",Statut_biogéographique!A:A,2,1),"P")</f>
        <v>P</v>
      </c>
      <c r="AP6462" s="4" t="s">
        <v>376</v>
      </c>
      <c r="AR6462" s="4" t="s">
        <v>377</v>
      </c>
    </row>
    <row r="6463" spans="1:44">
      <c r="A6463" s="4" t="s">
        <v>5</v>
      </c>
      <c r="B6463" s="4">
        <v>46909</v>
      </c>
      <c r="C6463" s="4">
        <v>3731</v>
      </c>
      <c r="D6463" s="5" t="s">
        <v>9168</v>
      </c>
      <c r="E6463" s="6" t="str">
        <f>HYPERLINK("https://inpn.mnhn.fr/espece/cd_nom/46909","Desmazierella acicola Lib., 1829")</f>
        <v>Desmazierella acicola Lib., 1829</v>
      </c>
      <c r="AH6463" s="4" t="str">
        <f>HYPERLINK("#Statut_biogéographique!A"&amp;_xlfn.XMATCH("P",Statut_biogéographique!A:A,2,1),"P")</f>
        <v>P</v>
      </c>
      <c r="AP6463" s="4" t="s">
        <v>376</v>
      </c>
      <c r="AR6463" s="4" t="s">
        <v>377</v>
      </c>
    </row>
    <row r="6464" spans="1:44" ht="30">
      <c r="A6464" s="4" t="s">
        <v>5</v>
      </c>
      <c r="B6464" s="4">
        <v>469098</v>
      </c>
      <c r="C6464" s="4">
        <v>4858</v>
      </c>
      <c r="D6464" s="5" t="s">
        <v>9169</v>
      </c>
      <c r="E6464" s="6" t="str">
        <f>HYPERLINK("https://inpn.mnhn.fr/espece/cd_nom/469098","Amanita citrina var. intermedia Neville, Poumarat &amp; Hermitte, 2004")</f>
        <v>Amanita citrina var. intermedia Neville, Poumarat &amp; Hermitte, 2004</v>
      </c>
      <c r="F6464" s="5" t="s">
        <v>9170</v>
      </c>
      <c r="V6464" s="7" t="str">
        <f>HYPERLINK("#Liste_rouge!A"&amp;_xlfn.XMATCH("EN",Liste_rouge!A:A,2,1),"EN")</f>
        <v>EN</v>
      </c>
      <c r="W6464" s="4" t="str">
        <f>HYPERLINK("#Critères_liste_rouge!A$1","B2abiii")</f>
        <v>B2abiii</v>
      </c>
      <c r="Z6464" s="4" t="s">
        <v>447</v>
      </c>
      <c r="AA6464" s="4" t="s">
        <v>448</v>
      </c>
      <c r="AH6464" s="4" t="str">
        <f>HYPERLINK("#Statut_biogéographique!A"&amp;_xlfn.XMATCH("P",Statut_biogéographique!A:A,2,1),"P")</f>
        <v>P</v>
      </c>
      <c r="AP6464" s="4" t="s">
        <v>376</v>
      </c>
      <c r="AR6464" s="4" t="s">
        <v>377</v>
      </c>
    </row>
    <row r="6465" spans="1:44" ht="30">
      <c r="A6465" s="4" t="s">
        <v>5</v>
      </c>
      <c r="B6465" s="4">
        <v>469104</v>
      </c>
      <c r="C6465" s="4">
        <v>3076</v>
      </c>
      <c r="D6465" s="5" t="s">
        <v>9171</v>
      </c>
      <c r="E6465" s="6" t="str">
        <f>HYPERLINK("https://inpn.mnhn.fr/espece/cd_nom/469104","Amanita echinocephala var. subbeillei (Neville &amp; Poumarat) Traverso, 1999")</f>
        <v>Amanita echinocephala var. subbeillei (Neville &amp; Poumarat) Traverso, 1999</v>
      </c>
      <c r="V6465" s="7" t="str">
        <f>HYPERLINK("#Liste_rouge!A"&amp;_xlfn.XMATCH("EN",Liste_rouge!A:A,2,1),"EN")</f>
        <v>EN</v>
      </c>
      <c r="W6465" s="4" t="str">
        <f>HYPERLINK("#Critères_liste_rouge!A$1","B2abiii")</f>
        <v>B2abiii</v>
      </c>
      <c r="Z6465" s="4" t="s">
        <v>695</v>
      </c>
      <c r="AA6465" s="4" t="s">
        <v>696</v>
      </c>
      <c r="AH6465" s="4" t="str">
        <f>HYPERLINK("#Statut_biogéographique!A"&amp;_xlfn.XMATCH("P",Statut_biogéographique!A:A,2,1),"P")</f>
        <v>P</v>
      </c>
      <c r="AP6465" s="4" t="s">
        <v>376</v>
      </c>
      <c r="AR6465" s="4" t="s">
        <v>377</v>
      </c>
    </row>
    <row r="6466" spans="1:44" ht="30">
      <c r="A6466" s="4" t="s">
        <v>5</v>
      </c>
      <c r="B6466" s="4">
        <v>469106</v>
      </c>
      <c r="C6466" s="4">
        <v>5384</v>
      </c>
      <c r="D6466" s="5" t="s">
        <v>9172</v>
      </c>
      <c r="E6466" s="6" t="str">
        <f>HYPERLINK("https://inpn.mnhn.fr/espece/cd_nom/469106","Amanita eliae var. griseovelata (Bertault) Migl. &amp; Camboni, 2000")</f>
        <v>Amanita eliae var. griseovelata (Bertault) Migl. &amp; Camboni, 2000</v>
      </c>
      <c r="F6466" s="5" t="s">
        <v>9173</v>
      </c>
      <c r="V6466" s="7" t="str">
        <f>HYPERLINK("#Liste_rouge!A"&amp;_xlfn.XMATCH("DD",Liste_rouge!A:A,2,1),"DD")</f>
        <v>DD</v>
      </c>
      <c r="AH6466" s="4" t="str">
        <f>HYPERLINK("#Statut_biogéographique!A"&amp;_xlfn.XMATCH("P",Statut_biogéographique!A:A,2,1),"P")</f>
        <v>P</v>
      </c>
      <c r="AP6466" s="4" t="s">
        <v>376</v>
      </c>
      <c r="AR6466" s="4" t="s">
        <v>377</v>
      </c>
    </row>
    <row r="6467" spans="1:44" ht="30">
      <c r="A6467" s="4" t="s">
        <v>5</v>
      </c>
      <c r="B6467" s="4">
        <v>469108</v>
      </c>
      <c r="C6467" s="4">
        <v>6827</v>
      </c>
      <c r="D6467" s="5" t="s">
        <v>9174</v>
      </c>
      <c r="E6467" s="6" t="str">
        <f>HYPERLINK("https://inpn.mnhn.fr/espece/cd_nom/469108","Amanita excelsa f. subcandida Neville &amp; Poumarat, 2004")</f>
        <v>Amanita excelsa f. subcandida Neville &amp; Poumarat, 2004</v>
      </c>
      <c r="F6467" s="5" t="s">
        <v>9175</v>
      </c>
      <c r="AH6467" s="4" t="str">
        <f>HYPERLINK("#Statut_biogéographique!A"&amp;_xlfn.XMATCH("P",Statut_biogéographique!A:A,2,1),"P")</f>
        <v>P</v>
      </c>
      <c r="AP6467" s="4" t="s">
        <v>376</v>
      </c>
      <c r="AR6467" s="4" t="s">
        <v>377</v>
      </c>
    </row>
    <row r="6468" spans="1:44" ht="30">
      <c r="A6468" s="4" t="s">
        <v>5</v>
      </c>
      <c r="B6468" s="4">
        <v>469109</v>
      </c>
      <c r="C6468" s="4">
        <v>8</v>
      </c>
      <c r="D6468" s="5" t="s">
        <v>9176</v>
      </c>
      <c r="E6468" s="6" t="str">
        <f>HYPERLINK("https://inpn.mnhn.fr/espece/cd_nom/469109","Amanita excelsa var. spissa (Fr.) Neville &amp; Poumarat, 2004")</f>
        <v>Amanita excelsa var. spissa (Fr.) Neville &amp; Poumarat, 2004</v>
      </c>
      <c r="F6468" s="5" t="s">
        <v>9177</v>
      </c>
      <c r="V6468" s="7" t="str">
        <f>HYPERLINK("#Liste_rouge!A"&amp;_xlfn.XMATCH("LC",Liste_rouge!A:A,2,1),"LC")</f>
        <v>LC</v>
      </c>
      <c r="AH6468" s="4" t="str">
        <f>HYPERLINK("#Statut_biogéographique!A"&amp;_xlfn.XMATCH("P",Statut_biogéographique!A:A,2,1),"P")</f>
        <v>P</v>
      </c>
      <c r="AP6468" s="4" t="s">
        <v>376</v>
      </c>
      <c r="AR6468" s="4" t="s">
        <v>377</v>
      </c>
    </row>
    <row r="6469" spans="1:44" ht="30">
      <c r="A6469" s="4" t="s">
        <v>5</v>
      </c>
      <c r="B6469" s="4">
        <v>469117</v>
      </c>
      <c r="C6469" s="4">
        <v>2121</v>
      </c>
      <c r="D6469" s="5" t="s">
        <v>9178</v>
      </c>
      <c r="E6469" s="6" t="str">
        <f>HYPERLINK("https://inpn.mnhn.fr/espece/cd_nom/469117","Amanita junquillea f. gracilis (E.-J. Gilbert) Veselý")</f>
        <v>Amanita junquillea f. gracilis (E.-J. Gilbert) Veselý</v>
      </c>
      <c r="F6469" s="5" t="s">
        <v>9179</v>
      </c>
      <c r="V6469" s="7" t="str">
        <f>HYPERLINK("#Liste_rouge!A"&amp;_xlfn.XMATCH("DD",Liste_rouge!A:A,2,1),"DD")</f>
        <v>DD</v>
      </c>
      <c r="AH6469" s="4" t="str">
        <f>HYPERLINK("#Statut_biogéographique!A"&amp;_xlfn.XMATCH("P",Statut_biogéographique!A:A,2,1),"P")</f>
        <v>P</v>
      </c>
      <c r="AP6469" s="4" t="s">
        <v>376</v>
      </c>
      <c r="AR6469" s="4" t="s">
        <v>377</v>
      </c>
    </row>
    <row r="6470" spans="1:44" ht="30">
      <c r="A6470" s="4" t="s">
        <v>5</v>
      </c>
      <c r="B6470" s="4">
        <v>469121</v>
      </c>
      <c r="C6470" s="4">
        <v>448</v>
      </c>
      <c r="D6470" s="5" t="s">
        <v>9180</v>
      </c>
      <c r="E6470" s="6" t="str">
        <f>HYPERLINK("https://inpn.mnhn.fr/espece/cd_nom/469121","Amanita lividopallescens var. tigrina Romagn. ex Bon, 1986")</f>
        <v>Amanita lividopallescens var. tigrina Romagn. ex Bon, 1986</v>
      </c>
      <c r="F6470" s="5" t="s">
        <v>9181</v>
      </c>
      <c r="V6470" s="7" t="str">
        <f>HYPERLINK("#Liste_rouge!A"&amp;_xlfn.XMATCH("DD",Liste_rouge!A:A,2,1),"DD")</f>
        <v>DD</v>
      </c>
      <c r="W6470" s="4" t="str">
        <f>HYPERLINK("#Critères_liste_rouge!A$1","pr. A2c")</f>
        <v>pr. A2c</v>
      </c>
      <c r="AH6470" s="4" t="str">
        <f>HYPERLINK("#Statut_biogéographique!A"&amp;_xlfn.XMATCH("P",Statut_biogéographique!A:A,2,1),"P")</f>
        <v>P</v>
      </c>
      <c r="AP6470" s="4" t="s">
        <v>376</v>
      </c>
      <c r="AR6470" s="4" t="s">
        <v>377</v>
      </c>
    </row>
    <row r="6471" spans="1:44" ht="30">
      <c r="A6471" s="4" t="s">
        <v>5</v>
      </c>
      <c r="B6471" s="4">
        <v>469123</v>
      </c>
      <c r="C6471" s="4">
        <v>729</v>
      </c>
      <c r="D6471" s="5">
        <v>508323</v>
      </c>
      <c r="E6471" s="6" t="str">
        <f>HYPERLINK("https://inpn.mnhn.fr/espece/cd_nom/469123","Amanita muscaria f. flavivolvata (Singer) Neville &amp; Poumarat, 2002")</f>
        <v>Amanita muscaria f. flavivolvata (Singer) Neville &amp; Poumarat, 2002</v>
      </c>
      <c r="F6471" s="5" t="s">
        <v>9182</v>
      </c>
      <c r="V6471" s="7" t="str">
        <f>HYPERLINK("#Liste_rouge!A"&amp;_xlfn.XMATCH("DD",Liste_rouge!A:A,2,1),"DD")</f>
        <v>DD</v>
      </c>
      <c r="AH6471" s="4" t="str">
        <f>HYPERLINK("#Statut_biogéographique!A"&amp;_xlfn.XMATCH("P",Statut_biogéographique!A:A,2,1),"P")</f>
        <v>P</v>
      </c>
      <c r="AP6471" s="4" t="s">
        <v>376</v>
      </c>
      <c r="AR6471" s="4" t="s">
        <v>377</v>
      </c>
    </row>
    <row r="6472" spans="1:44" ht="30">
      <c r="A6472" s="4" t="s">
        <v>5</v>
      </c>
      <c r="B6472" s="4">
        <v>469128</v>
      </c>
      <c r="C6472" s="4">
        <v>3751</v>
      </c>
      <c r="D6472" s="5" t="s">
        <v>9183</v>
      </c>
      <c r="E6472" s="6" t="str">
        <f>HYPERLINK("https://inpn.mnhn.fr/espece/cd_nom/469128","Amanita muscaria var. fuligineoverrucosa Neville, Poumarat &amp; B.Clément, 2002")</f>
        <v>Amanita muscaria var. fuligineoverrucosa Neville, Poumarat &amp; B.Clément, 2002</v>
      </c>
      <c r="F6472" s="5" t="s">
        <v>9184</v>
      </c>
      <c r="V6472" s="7" t="str">
        <f>HYPERLINK("#Liste_rouge!A"&amp;_xlfn.XMATCH("VU",Liste_rouge!A:A,2,1),"VU")</f>
        <v>VU</v>
      </c>
      <c r="W6472" s="4" t="str">
        <f>HYPERLINK("#Critères_liste_rouge!A$1","B2abiii")</f>
        <v>B2abiii</v>
      </c>
      <c r="Z6472" s="4" t="s">
        <v>443</v>
      </c>
      <c r="AA6472" s="4" t="s">
        <v>444</v>
      </c>
      <c r="AH6472" s="4" t="str">
        <f>HYPERLINK("#Statut_biogéographique!A"&amp;_xlfn.XMATCH("P",Statut_biogéographique!A:A,2,1),"P")</f>
        <v>P</v>
      </c>
      <c r="AP6472" s="4" t="s">
        <v>376</v>
      </c>
      <c r="AR6472" s="4" t="s">
        <v>377</v>
      </c>
    </row>
    <row r="6473" spans="1:44" ht="30">
      <c r="A6473" s="4" t="s">
        <v>5</v>
      </c>
      <c r="B6473" s="4">
        <v>469151</v>
      </c>
      <c r="C6473" s="4">
        <v>2372</v>
      </c>
      <c r="D6473" s="5" t="s">
        <v>9185</v>
      </c>
      <c r="E6473" s="6" t="str">
        <f>HYPERLINK("https://inpn.mnhn.fr/espece/cd_nom/469151","Amanita strobiliformis subf. pellita (Paulet ex Bertill.) Neville &amp; Poumarat, 1996")</f>
        <v>Amanita strobiliformis subf. pellita (Paulet ex Bertill.) Neville &amp; Poumarat, 1996</v>
      </c>
      <c r="V6473" s="7" t="str">
        <f>HYPERLINK("#Liste_rouge!A"&amp;_xlfn.XMATCH("DD",Liste_rouge!A:A,2,1),"DD")</f>
        <v>DD</v>
      </c>
      <c r="AH6473" s="4" t="str">
        <f>HYPERLINK("#Statut_biogéographique!A"&amp;_xlfn.XMATCH("P",Statut_biogéographique!A:A,2,1),"P")</f>
        <v>P</v>
      </c>
      <c r="AP6473" s="4" t="s">
        <v>376</v>
      </c>
      <c r="AR6473" s="4" t="s">
        <v>377</v>
      </c>
    </row>
    <row r="6474" spans="1:44" ht="30">
      <c r="A6474" s="4" t="s">
        <v>5</v>
      </c>
      <c r="B6474" s="4">
        <v>469153</v>
      </c>
      <c r="C6474" s="4">
        <v>3829</v>
      </c>
      <c r="D6474" s="5" t="s">
        <v>9186</v>
      </c>
      <c r="E6474" s="6" t="str">
        <f>HYPERLINK("https://inpn.mnhn.fr/espece/cd_nom/469153","Amanita umbrinolutea var. fuscoolivacea Kühner ex Contu, 1989")</f>
        <v>Amanita umbrinolutea var. fuscoolivacea Kühner ex Contu, 1989</v>
      </c>
      <c r="F6474" s="5" t="s">
        <v>9187</v>
      </c>
      <c r="V6474" s="7" t="str">
        <f>HYPERLINK("#Liste_rouge!A"&amp;_xlfn.XMATCH("EN",Liste_rouge!A:A,2,1),"EN")</f>
        <v>EN</v>
      </c>
      <c r="W6474" s="4" t="str">
        <f>HYPERLINK("#Critères_liste_rouge!A$1","B2abiii")</f>
        <v>B2abiii</v>
      </c>
      <c r="Z6474" s="4" t="s">
        <v>447</v>
      </c>
      <c r="AA6474" s="4" t="s">
        <v>448</v>
      </c>
      <c r="AH6474" s="4" t="str">
        <f>HYPERLINK("#Statut_biogéographique!A"&amp;_xlfn.XMATCH("P",Statut_biogéographique!A:A,2,1),"P")</f>
        <v>P</v>
      </c>
      <c r="AP6474" s="4" t="s">
        <v>376</v>
      </c>
      <c r="AR6474" s="4" t="s">
        <v>377</v>
      </c>
    </row>
    <row r="6475" spans="1:44">
      <c r="A6475" s="4" t="s">
        <v>5</v>
      </c>
      <c r="B6475" s="4">
        <v>469154</v>
      </c>
      <c r="C6475" s="4">
        <v>253</v>
      </c>
      <c r="D6475" s="5" t="s">
        <v>9188</v>
      </c>
      <c r="E6475" s="6" t="str">
        <f>HYPERLINK("https://inpn.mnhn.fr/espece/cd_nom/469154","Amanita vaginata f. alba (Bull.) Vesely")</f>
        <v>Amanita vaginata f. alba (Bull.) Vesely</v>
      </c>
      <c r="F6475" s="5" t="s">
        <v>9189</v>
      </c>
      <c r="V6475" s="7" t="str">
        <f>HYPERLINK("#Liste_rouge!A"&amp;_xlfn.XMATCH("LC",Liste_rouge!A:A,2,1),"LC")</f>
        <v>LC</v>
      </c>
      <c r="AH6475" s="4" t="str">
        <f>HYPERLINK("#Statut_biogéographique!A"&amp;_xlfn.XMATCH("P",Statut_biogéographique!A:A,2,1),"P")</f>
        <v>P</v>
      </c>
      <c r="AP6475" s="4" t="s">
        <v>376</v>
      </c>
      <c r="AR6475" s="4" t="s">
        <v>377</v>
      </c>
    </row>
    <row r="6476" spans="1:44" ht="30">
      <c r="A6476" s="4" t="s">
        <v>5</v>
      </c>
      <c r="B6476" s="4">
        <v>469163</v>
      </c>
      <c r="C6476" s="4">
        <v>1373</v>
      </c>
      <c r="D6476" s="5" t="s">
        <v>9190</v>
      </c>
      <c r="E6476" s="6" t="str">
        <f>HYPERLINK("https://inpn.mnhn.fr/espece/cd_nom/469163","Amanita virosa var. levipes Neville &amp; Poumarat, 2004")</f>
        <v>Amanita virosa var. levipes Neville &amp; Poumarat, 2004</v>
      </c>
      <c r="F6476" s="5" t="s">
        <v>9191</v>
      </c>
      <c r="V6476" s="7" t="str">
        <f>HYPERLINK("#Liste_rouge!A"&amp;_xlfn.XMATCH("LC",Liste_rouge!A:A,2,1),"LC")</f>
        <v>LC</v>
      </c>
      <c r="Z6476" s="4" t="s">
        <v>447</v>
      </c>
      <c r="AA6476" s="4" t="s">
        <v>448</v>
      </c>
      <c r="AH6476" s="4" t="str">
        <f>HYPERLINK("#Statut_biogéographique!A"&amp;_xlfn.XMATCH("P",Statut_biogéographique!A:A,2,1),"P")</f>
        <v>P</v>
      </c>
      <c r="AP6476" s="4" t="s">
        <v>376</v>
      </c>
      <c r="AR6476" s="4" t="s">
        <v>377</v>
      </c>
    </row>
    <row r="6477" spans="1:44" ht="30">
      <c r="A6477" s="4" t="s">
        <v>5</v>
      </c>
      <c r="B6477" s="4">
        <v>469165</v>
      </c>
      <c r="C6477" s="4">
        <v>830</v>
      </c>
      <c r="D6477" s="5" t="s">
        <v>9192</v>
      </c>
      <c r="E6477" s="6" t="str">
        <f>HYPERLINK("https://inpn.mnhn.fr/espece/cd_nom/469165","Armillaria cepistipes f. pseudobulbosa Romagn. &amp; Marxm., 1983")</f>
        <v>Armillaria cepistipes f. pseudobulbosa Romagn. &amp; Marxm., 1983</v>
      </c>
      <c r="F6477" s="5" t="s">
        <v>9193</v>
      </c>
      <c r="V6477" s="7" t="str">
        <f>HYPERLINK("#Liste_rouge!A"&amp;_xlfn.XMATCH("DD",Liste_rouge!A:A,2,1),"DD")</f>
        <v>DD</v>
      </c>
      <c r="AH6477" s="4" t="str">
        <f>HYPERLINK("#Statut_biogéographique!A"&amp;_xlfn.XMATCH("P",Statut_biogéographique!A:A,2,1),"P")</f>
        <v>P</v>
      </c>
      <c r="AP6477" s="4" t="s">
        <v>376</v>
      </c>
      <c r="AR6477" s="4" t="s">
        <v>377</v>
      </c>
    </row>
    <row r="6478" spans="1:44" ht="30">
      <c r="A6478" s="4" t="s">
        <v>5</v>
      </c>
      <c r="B6478" s="4">
        <v>469173</v>
      </c>
      <c r="C6478" s="4">
        <v>2262</v>
      </c>
      <c r="D6478" s="5" t="s">
        <v>9194</v>
      </c>
      <c r="E6478" s="6" t="str">
        <f>HYPERLINK("https://inpn.mnhn.fr/espece/cd_nom/469173","Bolbitius titubans (Bull.) Fr., 1838")</f>
        <v>Bolbitius titubans (Bull.) Fr., 1838</v>
      </c>
      <c r="F6478" s="5" t="s">
        <v>9195</v>
      </c>
      <c r="V6478" s="7" t="str">
        <f>HYPERLINK("#Liste_rouge!A"&amp;_xlfn.XMATCH("LC",Liste_rouge!A:A,2,1),"LC")</f>
        <v>LC</v>
      </c>
      <c r="AH6478" s="4" t="str">
        <f>HYPERLINK("#Statut_biogéographique!A"&amp;_xlfn.XMATCH("P",Statut_biogéographique!A:A,2,1),"P")</f>
        <v>P</v>
      </c>
      <c r="AP6478" s="4" t="s">
        <v>376</v>
      </c>
      <c r="AR6478" s="4" t="s">
        <v>377</v>
      </c>
    </row>
    <row r="6479" spans="1:44" ht="30">
      <c r="A6479" s="4" t="s">
        <v>5</v>
      </c>
      <c r="B6479" s="4">
        <v>469187</v>
      </c>
      <c r="C6479" s="4">
        <v>4234</v>
      </c>
      <c r="D6479" s="5" t="s">
        <v>9196</v>
      </c>
      <c r="E6479" s="6" t="str">
        <f>HYPERLINK("https://inpn.mnhn.fr/espece/cd_nom/469187","Boletus pinophilus f. fuscoruber (Forq.) Estadès &amp; Lannoy, 2001")</f>
        <v>Boletus pinophilus f. fuscoruber (Forq.) Estadès &amp; Lannoy, 2001</v>
      </c>
      <c r="V6479" s="7" t="str">
        <f>HYPERLINK("#Liste_rouge!A"&amp;_xlfn.XMATCH("DD",Liste_rouge!A:A,2,1),"DD")</f>
        <v>DD</v>
      </c>
      <c r="AH6479" s="4" t="str">
        <f>HYPERLINK("#Statut_biogéographique!A"&amp;_xlfn.XMATCH("P",Statut_biogéographique!A:A,2,1),"P")</f>
        <v>P</v>
      </c>
      <c r="AP6479" s="4" t="s">
        <v>376</v>
      </c>
      <c r="AR6479" s="4" t="s">
        <v>377</v>
      </c>
    </row>
    <row r="6480" spans="1:44">
      <c r="A6480" s="4" t="s">
        <v>5</v>
      </c>
      <c r="B6480" s="4">
        <v>46920</v>
      </c>
      <c r="C6480" s="4">
        <v>1051</v>
      </c>
      <c r="D6480" s="5" t="s">
        <v>9197</v>
      </c>
      <c r="E6480" s="6" t="str">
        <f>HYPERLINK("https://inpn.mnhn.fr/espece/cd_nom/46920","Diaporthe carpini (Pers.) Fuckel, 1870")</f>
        <v>Diaporthe carpini (Pers.) Fuckel, 1870</v>
      </c>
      <c r="AH6480" s="4" t="str">
        <f>HYPERLINK("#Statut_biogéographique!A"&amp;_xlfn.XMATCH("P",Statut_biogéographique!A:A,2,1),"P")</f>
        <v>P</v>
      </c>
      <c r="AP6480" s="4" t="s">
        <v>376</v>
      </c>
      <c r="AR6480" s="4" t="s">
        <v>377</v>
      </c>
    </row>
    <row r="6481" spans="1:44">
      <c r="A6481" s="4" t="s">
        <v>5</v>
      </c>
      <c r="B6481" s="4">
        <v>469204</v>
      </c>
      <c r="C6481" s="4">
        <v>2131</v>
      </c>
      <c r="D6481" s="5" t="s">
        <v>9198</v>
      </c>
      <c r="E6481" s="6" t="str">
        <f>HYPERLINK("https://inpn.mnhn.fr/espece/cd_nom/469204","Cantharellus cibarius var. albidus Maire, 1937")</f>
        <v>Cantharellus cibarius var. albidus Maire, 1937</v>
      </c>
      <c r="F6481" s="5" t="s">
        <v>9199</v>
      </c>
      <c r="V6481" s="7" t="str">
        <f>HYPERLINK("#Liste_rouge!A"&amp;_xlfn.XMATCH("DD",Liste_rouge!A:A,2,1),"DD")</f>
        <v>DD</v>
      </c>
      <c r="AH6481" s="4" t="str">
        <f>HYPERLINK("#Statut_biogéographique!A"&amp;_xlfn.XMATCH("P",Statut_biogéographique!A:A,2,1),"P")</f>
        <v>P</v>
      </c>
      <c r="AP6481" s="4" t="s">
        <v>376</v>
      </c>
      <c r="AR6481" s="4" t="s">
        <v>377</v>
      </c>
    </row>
    <row r="6482" spans="1:44" ht="30">
      <c r="A6482" s="4" t="s">
        <v>5</v>
      </c>
      <c r="B6482" s="4">
        <v>469207</v>
      </c>
      <c r="C6482" s="4">
        <v>3513</v>
      </c>
      <c r="D6482" s="5" t="s">
        <v>9200</v>
      </c>
      <c r="E6482" s="6" t="str">
        <f>HYPERLINK("https://inpn.mnhn.fr/espece/cd_nom/469207","Cantharellus cibarius var. flavipes R.Heim ex Eyssart. &amp; Buyck, 2000")</f>
        <v>Cantharellus cibarius var. flavipes R.Heim ex Eyssart. &amp; Buyck, 2000</v>
      </c>
      <c r="F6482" s="5" t="s">
        <v>9201</v>
      </c>
      <c r="V6482" s="7" t="str">
        <f>HYPERLINK("#Liste_rouge!A"&amp;_xlfn.XMATCH("DD",Liste_rouge!A:A,2,1),"DD")</f>
        <v>DD</v>
      </c>
      <c r="AH6482" s="4" t="str">
        <f>HYPERLINK("#Statut_biogéographique!A"&amp;_xlfn.XMATCH("P",Statut_biogéographique!A:A,2,1),"P")</f>
        <v>P</v>
      </c>
      <c r="AP6482" s="4" t="s">
        <v>376</v>
      </c>
      <c r="AR6482" s="4" t="s">
        <v>377</v>
      </c>
    </row>
    <row r="6483" spans="1:44" ht="30">
      <c r="A6483" s="4" t="s">
        <v>5</v>
      </c>
      <c r="B6483" s="4">
        <v>469210</v>
      </c>
      <c r="C6483" s="4">
        <v>3918</v>
      </c>
      <c r="D6483" s="5" t="s">
        <v>9202</v>
      </c>
      <c r="E6483" s="6" t="str">
        <f>HYPERLINK("https://inpn.mnhn.fr/espece/cd_nom/469210","Cantharellus cibarius var. squamulosus (A.Blytt) Eyssart. &amp; Buyck, 2000")</f>
        <v>Cantharellus cibarius var. squamulosus (A.Blytt) Eyssart. &amp; Buyck, 2000</v>
      </c>
      <c r="F6483" s="5" t="s">
        <v>9203</v>
      </c>
      <c r="V6483" s="7" t="str">
        <f>HYPERLINK("#Liste_rouge!A"&amp;_xlfn.XMATCH("DD",Liste_rouge!A:A,2,1),"DD")</f>
        <v>DD</v>
      </c>
      <c r="AH6483" s="4" t="str">
        <f>HYPERLINK("#Statut_biogéographique!A"&amp;_xlfn.XMATCH("P",Statut_biogéographique!A:A,2,1),"P")</f>
        <v>P</v>
      </c>
      <c r="AP6483" s="4" t="s">
        <v>376</v>
      </c>
      <c r="AR6483" s="4" t="s">
        <v>377</v>
      </c>
    </row>
    <row r="6484" spans="1:44" ht="30">
      <c r="A6484" s="4" t="s">
        <v>5</v>
      </c>
      <c r="B6484" s="4">
        <v>46922</v>
      </c>
      <c r="C6484" s="4">
        <v>3564</v>
      </c>
      <c r="D6484" s="5" t="s">
        <v>9204</v>
      </c>
      <c r="E6484" s="6" t="str">
        <f>HYPERLINK("https://inpn.mnhn.fr/espece/cd_nom/46922","Diaporthe circumscripta G.H.Otth ex Fuckel, 1870")</f>
        <v>Diaporthe circumscripta G.H.Otth ex Fuckel, 1870</v>
      </c>
      <c r="AH6484" s="4" t="str">
        <f>HYPERLINK("#Statut_biogéographique!A"&amp;_xlfn.XMATCH("P",Statut_biogéographique!A:A,2,1),"P")</f>
        <v>P</v>
      </c>
      <c r="AP6484" s="4" t="s">
        <v>376</v>
      </c>
      <c r="AR6484" s="4" t="s">
        <v>377</v>
      </c>
    </row>
    <row r="6485" spans="1:44" ht="30">
      <c r="A6485" s="4" t="s">
        <v>5</v>
      </c>
      <c r="B6485" s="4">
        <v>469220</v>
      </c>
      <c r="C6485" s="4">
        <v>4711</v>
      </c>
      <c r="D6485" s="5" t="s">
        <v>9205</v>
      </c>
      <c r="E6485" s="6" t="str">
        <f>HYPERLINK("https://inpn.mnhn.fr/espece/cd_nom/469220","Clavulina cinerea f. subcristata (Bourdot &amp; Galzin) Bon &amp; Courtec., 1987")</f>
        <v>Clavulina cinerea f. subcristata (Bourdot &amp; Galzin) Bon &amp; Courtec., 1987</v>
      </c>
      <c r="F6485" s="5" t="s">
        <v>9206</v>
      </c>
      <c r="V6485" s="7" t="str">
        <f>HYPERLINK("#Liste_rouge!A"&amp;_xlfn.XMATCH("DD",Liste_rouge!A:A,2,1),"DD")</f>
        <v>DD</v>
      </c>
      <c r="AH6485" s="4" t="str">
        <f>HYPERLINK("#Statut_biogéographique!A"&amp;_xlfn.XMATCH("P",Statut_biogéographique!A:A,2,1),"P")</f>
        <v>P</v>
      </c>
      <c r="AP6485" s="4" t="s">
        <v>376</v>
      </c>
      <c r="AR6485" s="4" t="s">
        <v>377</v>
      </c>
    </row>
    <row r="6486" spans="1:44" ht="30">
      <c r="A6486" s="4" t="s">
        <v>5</v>
      </c>
      <c r="B6486" s="4">
        <v>469223</v>
      </c>
      <c r="C6486" s="4">
        <v>1440</v>
      </c>
      <c r="D6486" s="5" t="s">
        <v>9207</v>
      </c>
      <c r="E6486" s="6" t="str">
        <f>HYPERLINK("https://inpn.mnhn.fr/espece/cd_nom/469223","Clavulina coralloides f. bicolor (Donk) Franchi &amp; M.Marchetti, 2000")</f>
        <v>Clavulina coralloides f. bicolor (Donk) Franchi &amp; M.Marchetti, 2000</v>
      </c>
      <c r="F6486" s="5" t="s">
        <v>9208</v>
      </c>
      <c r="AH6486" s="4" t="str">
        <f>HYPERLINK("#Statut_biogéographique!A"&amp;_xlfn.XMATCH("P",Statut_biogéographique!A:A,2,1),"P")</f>
        <v>P</v>
      </c>
      <c r="AP6486" s="4" t="s">
        <v>376</v>
      </c>
      <c r="AR6486" s="4" t="s">
        <v>377</v>
      </c>
    </row>
    <row r="6487" spans="1:44" ht="30">
      <c r="A6487" s="4" t="s">
        <v>5</v>
      </c>
      <c r="B6487" s="4">
        <v>469228</v>
      </c>
      <c r="C6487" s="4">
        <v>2368</v>
      </c>
      <c r="D6487" s="5" t="s">
        <v>9209</v>
      </c>
      <c r="E6487" s="6" t="str">
        <f>HYPERLINK("https://inpn.mnhn.fr/espece/cd_nom/469228","Clavulina rugosa var. canaliculata (Fr.) Corner, 1950")</f>
        <v>Clavulina rugosa var. canaliculata (Fr.) Corner, 1950</v>
      </c>
      <c r="F6487" s="5" t="s">
        <v>9210</v>
      </c>
      <c r="AH6487" s="4" t="str">
        <f>HYPERLINK("#Statut_biogéographique!A"&amp;_xlfn.XMATCH("P",Statut_biogéographique!A:A,2,1),"P")</f>
        <v>P</v>
      </c>
      <c r="AP6487" s="4" t="s">
        <v>376</v>
      </c>
      <c r="AR6487" s="4" t="s">
        <v>377</v>
      </c>
    </row>
    <row r="6488" spans="1:44" ht="30">
      <c r="A6488" s="4" t="s">
        <v>5</v>
      </c>
      <c r="B6488" s="4">
        <v>469233</v>
      </c>
      <c r="C6488" s="4">
        <v>4715</v>
      </c>
      <c r="D6488" s="5" t="s">
        <v>9211</v>
      </c>
      <c r="E6488" s="6" t="str">
        <f>HYPERLINK("https://inpn.mnhn.fr/espece/cd_nom/469233","Clavulinopsis helvola var. geoglossoides Corner, 1950")</f>
        <v>Clavulinopsis helvola var. geoglossoides Corner, 1950</v>
      </c>
      <c r="F6488" s="5" t="s">
        <v>9212</v>
      </c>
      <c r="V6488" s="7" t="str">
        <f>HYPERLINK("#Liste_rouge!A"&amp;_xlfn.XMATCH("RE",Liste_rouge!A:A,2,1),"RE")</f>
        <v>RE</v>
      </c>
      <c r="Z6488" s="4" t="s">
        <v>443</v>
      </c>
      <c r="AA6488" s="4" t="s">
        <v>444</v>
      </c>
      <c r="AH6488" s="4" t="str">
        <f>HYPERLINK("#Statut_biogéographique!A"&amp;_xlfn.XMATCH("P",Statut_biogéographique!A:A,2,1),"P")</f>
        <v>P</v>
      </c>
      <c r="AP6488" s="4" t="s">
        <v>376</v>
      </c>
      <c r="AR6488" s="4" t="s">
        <v>377</v>
      </c>
    </row>
    <row r="6489" spans="1:44" ht="30">
      <c r="A6489" s="4" t="s">
        <v>5</v>
      </c>
      <c r="B6489" s="4">
        <v>469236</v>
      </c>
      <c r="C6489" s="4">
        <v>3941</v>
      </c>
      <c r="D6489" s="5" t="s">
        <v>9213</v>
      </c>
      <c r="E6489" s="6" t="str">
        <f>HYPERLINK("https://inpn.mnhn.fr/espece/cd_nom/469236","Clitocybe dealbata var. augeana (Mont.) Raithelh., 1971")</f>
        <v>Clitocybe dealbata var. augeana (Mont.) Raithelh., 1971</v>
      </c>
      <c r="V6489" s="7" t="str">
        <f>HYPERLINK("#Liste_rouge!A"&amp;_xlfn.XMATCH("EN",Liste_rouge!A:A,2,1),"EN")</f>
        <v>EN</v>
      </c>
      <c r="W6489" s="4" t="str">
        <f>HYPERLINK("#Critères_liste_rouge!A$1","B2abiii")</f>
        <v>B2abiii</v>
      </c>
      <c r="Z6489" s="4" t="s">
        <v>443</v>
      </c>
      <c r="AA6489" s="4" t="s">
        <v>444</v>
      </c>
      <c r="AH6489" s="4" t="str">
        <f>HYPERLINK("#Statut_biogéographique!A"&amp;_xlfn.XMATCH("P",Statut_biogéographique!A:A,2,1),"P")</f>
        <v>P</v>
      </c>
      <c r="AP6489" s="4" t="s">
        <v>376</v>
      </c>
      <c r="AR6489" s="4" t="s">
        <v>377</v>
      </c>
    </row>
    <row r="6490" spans="1:44" ht="30">
      <c r="A6490" s="4" t="s">
        <v>5</v>
      </c>
      <c r="B6490" s="4">
        <v>469237</v>
      </c>
      <c r="C6490" s="4">
        <v>3543</v>
      </c>
      <c r="D6490" s="5" t="s">
        <v>9214</v>
      </c>
      <c r="E6490" s="6" t="str">
        <f>HYPERLINK("https://inpn.mnhn.fr/espece/cd_nom/469237","Clitocybe dealbata var. minor (Cooke) Bon, 1982")</f>
        <v>Clitocybe dealbata var. minor (Cooke) Bon, 1982</v>
      </c>
      <c r="F6490" s="5" t="s">
        <v>9215</v>
      </c>
      <c r="V6490" s="7" t="str">
        <f>HYPERLINK("#Liste_rouge!A"&amp;_xlfn.XMATCH("DD",Liste_rouge!A:A,2,1),"DD")</f>
        <v>DD</v>
      </c>
      <c r="AH6490" s="4" t="str">
        <f>HYPERLINK("#Statut_biogéographique!A"&amp;_xlfn.XMATCH("P",Statut_biogéographique!A:A,2,1),"P")</f>
        <v>P</v>
      </c>
      <c r="AP6490" s="4" t="s">
        <v>376</v>
      </c>
      <c r="AR6490" s="4" t="s">
        <v>377</v>
      </c>
    </row>
    <row r="6491" spans="1:44">
      <c r="A6491" s="4" t="s">
        <v>5</v>
      </c>
      <c r="B6491" s="4">
        <v>469241</v>
      </c>
      <c r="C6491" s="4">
        <v>3770</v>
      </c>
      <c r="D6491" s="5" t="s">
        <v>9216</v>
      </c>
      <c r="E6491" s="6" t="str">
        <f>HYPERLINK("https://inpn.mnhn.fr/espece/cd_nom/469241","Clitocybe odora f. alba J.E. Lange")</f>
        <v>Clitocybe odora f. alba J.E. Lange</v>
      </c>
      <c r="F6491" s="5" t="s">
        <v>9217</v>
      </c>
      <c r="V6491" s="7" t="str">
        <f>HYPERLINK("#Liste_rouge!A"&amp;_xlfn.XMATCH("DD",Liste_rouge!A:A,2,1),"DD")</f>
        <v>DD</v>
      </c>
      <c r="AH6491" s="4" t="str">
        <f>HYPERLINK("#Statut_biogéographique!A"&amp;_xlfn.XMATCH("P",Statut_biogéographique!A:A,2,1),"P")</f>
        <v>P</v>
      </c>
      <c r="AP6491" s="4" t="s">
        <v>376</v>
      </c>
      <c r="AR6491" s="4" t="s">
        <v>377</v>
      </c>
    </row>
    <row r="6492" spans="1:44" ht="30">
      <c r="A6492" s="4" t="s">
        <v>5</v>
      </c>
      <c r="B6492" s="4">
        <v>469243</v>
      </c>
      <c r="C6492" s="4">
        <v>5206</v>
      </c>
      <c r="D6492" s="5" t="s">
        <v>9218</v>
      </c>
      <c r="E6492" s="6" t="str">
        <f>HYPERLINK("https://inpn.mnhn.fr/espece/cd_nom/469243","Clitocybe phaeophthalma var. gibboides (Raithelh.) Bon, 1996")</f>
        <v>Clitocybe phaeophthalma var. gibboides (Raithelh.) Bon, 1996</v>
      </c>
      <c r="V6492" s="7" t="str">
        <f>HYPERLINK("#Liste_rouge!A"&amp;_xlfn.XMATCH("DD",Liste_rouge!A:A,2,1),"DD")</f>
        <v>DD</v>
      </c>
      <c r="AH6492" s="4" t="str">
        <f>HYPERLINK("#Statut_biogéographique!A"&amp;_xlfn.XMATCH("P",Statut_biogéographique!A:A,2,1),"P")</f>
        <v>P</v>
      </c>
      <c r="AP6492" s="4" t="s">
        <v>376</v>
      </c>
      <c r="AR6492" s="4" t="s">
        <v>377</v>
      </c>
    </row>
    <row r="6493" spans="1:44">
      <c r="A6493" s="4" t="s">
        <v>5</v>
      </c>
      <c r="B6493" s="4">
        <v>469249</v>
      </c>
      <c r="C6493" s="4">
        <v>5195</v>
      </c>
      <c r="D6493" s="5">
        <v>31974</v>
      </c>
      <c r="E6493" s="6" t="str">
        <f>HYPERLINK("https://inpn.mnhn.fr/espece/cd_nom/469249","Clitocybe trulliformis (Fr.) P.Karst., 1879")</f>
        <v>Clitocybe trulliformis (Fr.) P.Karst., 1879</v>
      </c>
      <c r="V6493" s="7" t="str">
        <f>HYPERLINK("#Liste_rouge!A"&amp;_xlfn.XMATCH("DD",Liste_rouge!A:A,2,1),"DD")</f>
        <v>DD</v>
      </c>
      <c r="AH6493" s="4" t="str">
        <f>HYPERLINK("#Statut_biogéographique!A"&amp;_xlfn.XMATCH("P",Statut_biogéographique!A:A,2,1),"P")</f>
        <v>P</v>
      </c>
      <c r="AP6493" s="4" t="s">
        <v>376</v>
      </c>
      <c r="AR6493" s="4" t="s">
        <v>377</v>
      </c>
    </row>
    <row r="6494" spans="1:44">
      <c r="A6494" s="4" t="s">
        <v>5</v>
      </c>
      <c r="B6494" s="4">
        <v>469250</v>
      </c>
      <c r="C6494" s="4">
        <v>2615</v>
      </c>
      <c r="D6494" s="5" t="s">
        <v>9219</v>
      </c>
      <c r="E6494" s="6" t="str">
        <f>HYPERLINK("https://inpn.mnhn.fr/espece/cd_nom/469250","Clitocybula lacerata var. odorata Bon, 1991")</f>
        <v>Clitocybula lacerata var. odorata Bon, 1991</v>
      </c>
      <c r="F6494" s="5" t="s">
        <v>9220</v>
      </c>
      <c r="V6494" s="7" t="str">
        <f>HYPERLINK("#Liste_rouge!A"&amp;_xlfn.XMATCH("DD",Liste_rouge!A:A,2,1),"DD")</f>
        <v>DD</v>
      </c>
      <c r="Z6494" s="4" t="s">
        <v>447</v>
      </c>
      <c r="AA6494" s="4" t="s">
        <v>448</v>
      </c>
      <c r="AH6494" s="4" t="str">
        <f>HYPERLINK("#Statut_biogéographique!A"&amp;_xlfn.XMATCH("P",Statut_biogéographique!A:A,2,1),"P")</f>
        <v>P</v>
      </c>
      <c r="AP6494" s="4" t="s">
        <v>376</v>
      </c>
      <c r="AR6494" s="4" t="s">
        <v>377</v>
      </c>
    </row>
    <row r="6495" spans="1:44">
      <c r="A6495" s="4" t="s">
        <v>5</v>
      </c>
      <c r="B6495" s="4">
        <v>46926</v>
      </c>
      <c r="C6495" s="4">
        <v>6887</v>
      </c>
      <c r="D6495" s="5" t="s">
        <v>9221</v>
      </c>
      <c r="E6495" s="6" t="str">
        <f>HYPERLINK("https://inpn.mnhn.fr/espece/cd_nom/46926","Diaporthe decedens (Fr.) Fuckel, 1871")</f>
        <v>Diaporthe decedens (Fr.) Fuckel, 1871</v>
      </c>
      <c r="AH6495" s="4" t="str">
        <f>HYPERLINK("#Statut_biogéographique!A"&amp;_xlfn.XMATCH("P",Statut_biogéographique!A:A,2,1),"P")</f>
        <v>P</v>
      </c>
      <c r="AP6495" s="4" t="s">
        <v>376</v>
      </c>
      <c r="AR6495" s="4" t="s">
        <v>377</v>
      </c>
    </row>
    <row r="6496" spans="1:44">
      <c r="A6496" s="4" t="s">
        <v>5</v>
      </c>
      <c r="B6496" s="4">
        <v>46931</v>
      </c>
      <c r="C6496" s="4">
        <v>6778</v>
      </c>
      <c r="D6496" s="5">
        <v>873960</v>
      </c>
      <c r="E6496" s="6" t="str">
        <f>HYPERLINK("https://inpn.mnhn.fr/espece/cd_nom/46931","Diaporthe eres Nitschke, 1870")</f>
        <v>Diaporthe eres Nitschke, 1870</v>
      </c>
      <c r="AH6496" s="4" t="str">
        <f>HYPERLINK("#Statut_biogéographique!A"&amp;_xlfn.XMATCH("P",Statut_biogéographique!A:A,2,1),"P")</f>
        <v>P</v>
      </c>
      <c r="AP6496" s="4" t="s">
        <v>376</v>
      </c>
      <c r="AR6496" s="4" t="s">
        <v>377</v>
      </c>
    </row>
    <row r="6497" spans="1:44" ht="30">
      <c r="A6497" s="4" t="s">
        <v>5</v>
      </c>
      <c r="B6497" s="4">
        <v>469319</v>
      </c>
      <c r="C6497" s="4">
        <v>2981</v>
      </c>
      <c r="D6497" s="5" t="s">
        <v>9222</v>
      </c>
      <c r="E6497" s="6" t="str">
        <f>HYPERLINK("https://inpn.mnhn.fr/espece/cd_nom/469319","Cortinarius boudieri var. pseudoarcuatus Rob.Henry, 1988")</f>
        <v>Cortinarius boudieri var. pseudoarcuatus Rob.Henry, 1988</v>
      </c>
      <c r="V6497" s="7" t="str">
        <f>HYPERLINK("#Liste_rouge!A"&amp;_xlfn.XMATCH("DD",Liste_rouge!A:A,2,1),"DD")</f>
        <v>DD</v>
      </c>
      <c r="AH6497" s="4" t="str">
        <f>HYPERLINK("#Statut_biogéographique!A"&amp;_xlfn.XMATCH("P",Statut_biogéographique!A:A,2,1),"P")</f>
        <v>P</v>
      </c>
      <c r="AP6497" s="4" t="s">
        <v>376</v>
      </c>
      <c r="AR6497" s="4" t="s">
        <v>377</v>
      </c>
    </row>
    <row r="6498" spans="1:44" ht="30">
      <c r="A6498" s="4" t="s">
        <v>5</v>
      </c>
      <c r="B6498" s="4">
        <v>469354</v>
      </c>
      <c r="C6498" s="4">
        <v>1893</v>
      </c>
      <c r="D6498" s="5" t="s">
        <v>9223</v>
      </c>
      <c r="E6498" s="6" t="str">
        <f>HYPERLINK("https://inpn.mnhn.fr/espece/cd_nom/469354","Cortinarius caninus var. saugetii Rob.Henry, 1988")</f>
        <v>Cortinarius caninus var. saugetii Rob.Henry, 1988</v>
      </c>
      <c r="V6498" s="7" t="str">
        <f>HYPERLINK("#Liste_rouge!A"&amp;_xlfn.XMATCH("DD",Liste_rouge!A:A,2,1),"DD")</f>
        <v>DD</v>
      </c>
      <c r="AH6498" s="4" t="str">
        <f>HYPERLINK("#Statut_biogéographique!A"&amp;_xlfn.XMATCH("P",Statut_biogéographique!A:A,2,1),"P")</f>
        <v>P</v>
      </c>
      <c r="AP6498" s="4" t="s">
        <v>376</v>
      </c>
      <c r="AR6498" s="4" t="s">
        <v>377</v>
      </c>
    </row>
    <row r="6499" spans="1:44">
      <c r="A6499" s="4" t="s">
        <v>5</v>
      </c>
      <c r="B6499" s="4">
        <v>46936</v>
      </c>
      <c r="C6499" s="4">
        <v>6898</v>
      </c>
      <c r="D6499" s="5" t="s">
        <v>9224</v>
      </c>
      <c r="E6499" s="6" t="str">
        <f>HYPERLINK("https://inpn.mnhn.fr/espece/cd_nom/46936","Diaporthe fibrosa (Pers.) Fuckel, 1870")</f>
        <v>Diaporthe fibrosa (Pers.) Fuckel, 1870</v>
      </c>
      <c r="AH6499" s="4" t="str">
        <f>HYPERLINK("#Statut_biogéographique!A"&amp;_xlfn.XMATCH("P",Statut_biogéographique!A:A,2,1),"P")</f>
        <v>P</v>
      </c>
      <c r="AP6499" s="4" t="s">
        <v>376</v>
      </c>
      <c r="AR6499" s="4" t="s">
        <v>377</v>
      </c>
    </row>
    <row r="6500" spans="1:44" ht="45">
      <c r="A6500" s="4" t="s">
        <v>5</v>
      </c>
      <c r="B6500" s="4">
        <v>469361</v>
      </c>
      <c r="C6500" s="4">
        <v>3550</v>
      </c>
      <c r="D6500" s="5" t="s">
        <v>9225</v>
      </c>
      <c r="E6500" s="6" t="str">
        <f>HYPERLINK("https://inpn.mnhn.fr/espece/cd_nom/469361","Cortinarius cinnamomeoluteus var. porphyreovelatus (M.M.Moser) G.Garnier, 1991")</f>
        <v>Cortinarius cinnamomeoluteus var. porphyreovelatus (M.M.Moser) G.Garnier, 1991</v>
      </c>
      <c r="F6500" s="5" t="s">
        <v>9226</v>
      </c>
      <c r="V6500" s="7" t="str">
        <f>HYPERLINK("#Liste_rouge!A"&amp;_xlfn.XMATCH("DD",Liste_rouge!A:A,2,1),"DD")</f>
        <v>DD</v>
      </c>
      <c r="AH6500" s="4" t="str">
        <f>HYPERLINK("#Statut_biogéographique!A"&amp;_xlfn.XMATCH("P",Statut_biogéographique!A:A,2,1),"P")</f>
        <v>P</v>
      </c>
      <c r="AP6500" s="4" t="s">
        <v>376</v>
      </c>
      <c r="AR6500" s="4" t="s">
        <v>377</v>
      </c>
    </row>
    <row r="6501" spans="1:44">
      <c r="A6501" s="4" t="s">
        <v>5</v>
      </c>
      <c r="B6501" s="4">
        <v>469363</v>
      </c>
      <c r="C6501" s="4">
        <v>2988</v>
      </c>
      <c r="D6501" s="5" t="s">
        <v>9227</v>
      </c>
      <c r="E6501" s="6" t="str">
        <f>HYPERLINK("https://inpn.mnhn.fr/espece/cd_nom/469363","Cortinarius caerulescens (Schaeff.) Fr., 1838")</f>
        <v>Cortinarius caerulescens (Schaeff.) Fr., 1838</v>
      </c>
      <c r="O6501" s="7" t="str">
        <f>HYPERLINK("#Liste_rouge!A"&amp;_xlfn.XMATCH("VU",Liste_rouge!A:A,2,1),"VU")</f>
        <v>VU</v>
      </c>
      <c r="V6501" s="7" t="str">
        <f>HYPERLINK("#Liste_rouge!A"&amp;_xlfn.XMATCH("LC",Liste_rouge!A:A,2,1),"LC")</f>
        <v>LC</v>
      </c>
      <c r="AH6501" s="4" t="str">
        <f>HYPERLINK("#Statut_biogéographique!A"&amp;_xlfn.XMATCH("P",Statut_biogéographique!A:A,2,1),"P")</f>
        <v>P</v>
      </c>
      <c r="AP6501" s="4" t="s">
        <v>376</v>
      </c>
      <c r="AR6501" s="4" t="s">
        <v>377</v>
      </c>
    </row>
    <row r="6502" spans="1:44" ht="30">
      <c r="A6502" s="4" t="s">
        <v>5</v>
      </c>
      <c r="B6502" s="4">
        <v>469366</v>
      </c>
      <c r="C6502" s="4">
        <v>2829</v>
      </c>
      <c r="D6502" s="5" t="s">
        <v>9228</v>
      </c>
      <c r="E6502" s="6" t="str">
        <f>HYPERLINK("https://inpn.mnhn.fr/espece/cd_nom/469366","Cortinarius claricolor var. immissus (Schläpf.-Bernh.) Nezdojm., 1983")</f>
        <v>Cortinarius claricolor var. immissus (Schläpf.-Bernh.) Nezdojm., 1983</v>
      </c>
      <c r="V6502" s="7" t="str">
        <f>HYPERLINK("#Liste_rouge!A"&amp;_xlfn.XMATCH("DD",Liste_rouge!A:A,2,1),"DD")</f>
        <v>DD</v>
      </c>
      <c r="AH6502" s="4" t="str">
        <f>HYPERLINK("#Statut_biogéographique!A"&amp;_xlfn.XMATCH("P",Statut_biogéographique!A:A,2,1),"P")</f>
        <v>P</v>
      </c>
      <c r="AP6502" s="4" t="s">
        <v>376</v>
      </c>
      <c r="AR6502" s="4" t="s">
        <v>377</v>
      </c>
    </row>
    <row r="6503" spans="1:44" ht="30">
      <c r="A6503" s="4" t="s">
        <v>5</v>
      </c>
      <c r="B6503" s="4">
        <v>469371</v>
      </c>
      <c r="C6503" s="4">
        <v>1652</v>
      </c>
      <c r="D6503" s="5" t="s">
        <v>9229</v>
      </c>
      <c r="E6503" s="6" t="str">
        <f>HYPERLINK("https://inpn.mnhn.fr/espece/cd_nom/469371","Cortinarius claricolor var. subturmalis Bon &amp; Gaugué, 1973")</f>
        <v>Cortinarius claricolor var. subturmalis Bon &amp; Gaugué, 1973</v>
      </c>
      <c r="V6503" s="7" t="str">
        <f>HYPERLINK("#Liste_rouge!A"&amp;_xlfn.XMATCH("DD",Liste_rouge!A:A,2,1),"DD")</f>
        <v>DD</v>
      </c>
      <c r="AH6503" s="4" t="str">
        <f>HYPERLINK("#Statut_biogéographique!A"&amp;_xlfn.XMATCH("P",Statut_biogéographique!A:A,2,1),"P")</f>
        <v>P</v>
      </c>
      <c r="AP6503" s="4" t="s">
        <v>376</v>
      </c>
      <c r="AR6503" s="4" t="s">
        <v>377</v>
      </c>
    </row>
    <row r="6504" spans="1:44" ht="30">
      <c r="A6504" s="4" t="s">
        <v>5</v>
      </c>
      <c r="B6504" s="4">
        <v>469382</v>
      </c>
      <c r="C6504" s="4">
        <v>4128</v>
      </c>
      <c r="D6504" s="5" t="s">
        <v>9230</v>
      </c>
      <c r="E6504" s="6" t="str">
        <f>HYPERLINK("https://inpn.mnhn.fr/espece/cd_nom/469382","Cortinarius cotoneus var. mellinus (Britzelm.) Garnier")</f>
        <v>Cortinarius cotoneus var. mellinus (Britzelm.) Garnier</v>
      </c>
      <c r="V6504" s="7" t="str">
        <f>HYPERLINK("#Liste_rouge!A"&amp;_xlfn.XMATCH("DD",Liste_rouge!A:A,2,1),"DD")</f>
        <v>DD</v>
      </c>
      <c r="AH6504" s="4" t="str">
        <f>HYPERLINK("#Statut_biogéographique!A"&amp;_xlfn.XMATCH("P",Statut_biogéographique!A:A,2,1),"P")</f>
        <v>P</v>
      </c>
      <c r="AP6504" s="4" t="s">
        <v>376</v>
      </c>
      <c r="AR6504" s="4" t="s">
        <v>377</v>
      </c>
    </row>
    <row r="6505" spans="1:44" ht="30">
      <c r="A6505" s="4" t="s">
        <v>5</v>
      </c>
      <c r="B6505" s="4">
        <v>469389</v>
      </c>
      <c r="C6505" s="4">
        <v>1315</v>
      </c>
      <c r="D6505" s="5" t="s">
        <v>9231</v>
      </c>
      <c r="E6505" s="6" t="str">
        <f>HYPERLINK("https://inpn.mnhn.fr/espece/cd_nom/469389","Cortinarius cyanobasalis var. sabaudiae Moënne-Locc., 1996")</f>
        <v>Cortinarius cyanobasalis var. sabaudiae Moënne-Locc., 1996</v>
      </c>
      <c r="V6505" s="7" t="str">
        <f>HYPERLINK("#Liste_rouge!A"&amp;_xlfn.XMATCH("DD",Liste_rouge!A:A,2,1),"DD")</f>
        <v>DD</v>
      </c>
      <c r="AH6505" s="4" t="str">
        <f>HYPERLINK("#Statut_biogéographique!A"&amp;_xlfn.XMATCH("P",Statut_biogéographique!A:A,2,1),"P")</f>
        <v>P</v>
      </c>
      <c r="AP6505" s="4" t="s">
        <v>376</v>
      </c>
      <c r="AR6505" s="4" t="s">
        <v>377</v>
      </c>
    </row>
    <row r="6506" spans="1:44" ht="30">
      <c r="A6506" s="4" t="s">
        <v>5</v>
      </c>
      <c r="B6506" s="4">
        <v>469390</v>
      </c>
      <c r="C6506" s="4">
        <v>4672</v>
      </c>
      <c r="D6506" s="5" t="s">
        <v>9232</v>
      </c>
      <c r="E6506" s="6" t="str">
        <f>HYPERLINK("https://inpn.mnhn.fr/espece/cd_nom/469390","Cortinarius ludificabilis Moënne-Locc. &amp; Reumaux, 1996")</f>
        <v>Cortinarius ludificabilis Moënne-Locc. &amp; Reumaux, 1996</v>
      </c>
      <c r="V6506" s="7" t="str">
        <f>HYPERLINK("#Liste_rouge!A"&amp;_xlfn.XMATCH("RE",Liste_rouge!A:A,2,1),"RE")</f>
        <v>RE</v>
      </c>
      <c r="AH6506" s="4" t="str">
        <f>HYPERLINK("#Statut_biogéographique!A"&amp;_xlfn.XMATCH("P",Statut_biogéographique!A:A,2,1),"P")</f>
        <v>P</v>
      </c>
      <c r="AP6506" s="4" t="s">
        <v>376</v>
      </c>
      <c r="AR6506" s="4" t="s">
        <v>377</v>
      </c>
    </row>
    <row r="6507" spans="1:44" ht="30">
      <c r="A6507" s="4" t="s">
        <v>5</v>
      </c>
      <c r="B6507" s="4">
        <v>469393</v>
      </c>
      <c r="C6507" s="4">
        <v>5315</v>
      </c>
      <c r="D6507" s="5" t="s">
        <v>9233</v>
      </c>
      <c r="E6507" s="6" t="str">
        <f>HYPERLINK("https://inpn.mnhn.fr/espece/cd_nom/469393","Cortinarius decipiens f. saliceticola Reumaux &amp; Carteret, 2001")</f>
        <v>Cortinarius decipiens f. saliceticola Reumaux &amp; Carteret, 2001</v>
      </c>
      <c r="V6507" s="7" t="str">
        <f>HYPERLINK("#Liste_rouge!A"&amp;_xlfn.XMATCH("DD",Liste_rouge!A:A,2,1),"DD")</f>
        <v>DD</v>
      </c>
      <c r="AH6507" s="4" t="str">
        <f>HYPERLINK("#Statut_biogéographique!A"&amp;_xlfn.XMATCH("P",Statut_biogéographique!A:A,2,1),"P")</f>
        <v>P</v>
      </c>
      <c r="AP6507" s="4" t="s">
        <v>376</v>
      </c>
      <c r="AR6507" s="4" t="s">
        <v>377</v>
      </c>
    </row>
    <row r="6508" spans="1:44">
      <c r="A6508" s="4" t="s">
        <v>5</v>
      </c>
      <c r="B6508" s="4">
        <v>469407</v>
      </c>
      <c r="C6508" s="4">
        <v>1836</v>
      </c>
      <c r="D6508" s="5" t="s">
        <v>9234</v>
      </c>
      <c r="E6508" s="6" t="str">
        <f>HYPERLINK("https://inpn.mnhn.fr/espece/cd_nom/469407","Cortinarius nemorosus Rob.Henry, 1936")</f>
        <v>Cortinarius nemorosus Rob.Henry, 1936</v>
      </c>
      <c r="V6508" s="7" t="str">
        <f>HYPERLINK("#Liste_rouge!A"&amp;_xlfn.XMATCH("DD",Liste_rouge!A:A,2,1),"DD")</f>
        <v>DD</v>
      </c>
      <c r="AH6508" s="4" t="str">
        <f>HYPERLINK("#Statut_biogéographique!A"&amp;_xlfn.XMATCH("P",Statut_biogéographique!A:A,2,1),"P")</f>
        <v>P</v>
      </c>
      <c r="AP6508" s="4" t="s">
        <v>376</v>
      </c>
      <c r="AR6508" s="4" t="s">
        <v>377</v>
      </c>
    </row>
    <row r="6509" spans="1:44" ht="30">
      <c r="A6509" s="4" t="s">
        <v>5</v>
      </c>
      <c r="B6509" s="4">
        <v>469409</v>
      </c>
      <c r="C6509" s="4">
        <v>3697</v>
      </c>
      <c r="D6509" s="5" t="s">
        <v>9235</v>
      </c>
      <c r="E6509" s="6" t="str">
        <f>HYPERLINK("https://inpn.mnhn.fr/espece/cd_nom/469409","Cortinarius dionysae f. olivaceus Rob.Henry ex Bidaud &amp; Carteret, 2008")</f>
        <v>Cortinarius dionysae f. olivaceus Rob.Henry ex Bidaud &amp; Carteret, 2008</v>
      </c>
      <c r="V6509" s="7" t="str">
        <f>HYPERLINK("#Liste_rouge!A"&amp;_xlfn.XMATCH("DD",Liste_rouge!A:A,2,1),"DD")</f>
        <v>DD</v>
      </c>
      <c r="AH6509" s="4" t="str">
        <f>HYPERLINK("#Statut_biogéographique!A"&amp;_xlfn.XMATCH("P",Statut_biogéographique!A:A,2,1),"P")</f>
        <v>P</v>
      </c>
      <c r="AP6509" s="4" t="s">
        <v>376</v>
      </c>
      <c r="AR6509" s="4" t="s">
        <v>377</v>
      </c>
    </row>
    <row r="6510" spans="1:44" ht="30">
      <c r="A6510" s="4" t="s">
        <v>5</v>
      </c>
      <c r="B6510" s="4">
        <v>469414</v>
      </c>
      <c r="C6510" s="4">
        <v>3920</v>
      </c>
      <c r="D6510" s="5" t="s">
        <v>9236</v>
      </c>
      <c r="E6510" s="6" t="str">
        <f>HYPERLINK("https://inpn.mnhn.fr/espece/cd_nom/469414","Cortinarius elatior f. griseolividus Reumaux, 2000")</f>
        <v>Cortinarius elatior f. griseolividus Reumaux, 2000</v>
      </c>
      <c r="F6510" s="5" t="s">
        <v>9237</v>
      </c>
      <c r="V6510" s="7" t="str">
        <f>HYPERLINK("#Liste_rouge!A"&amp;_xlfn.XMATCH("DD",Liste_rouge!A:A,2,1),"DD")</f>
        <v>DD</v>
      </c>
      <c r="AH6510" s="4" t="str">
        <f>HYPERLINK("#Statut_biogéographique!A"&amp;_xlfn.XMATCH("P",Statut_biogéographique!A:A,2,1),"P")</f>
        <v>P</v>
      </c>
      <c r="AP6510" s="4" t="s">
        <v>376</v>
      </c>
      <c r="AR6510" s="4" t="s">
        <v>377</v>
      </c>
    </row>
    <row r="6511" spans="1:44" ht="30">
      <c r="A6511" s="4" t="s">
        <v>5</v>
      </c>
      <c r="B6511" s="4">
        <v>469423</v>
      </c>
      <c r="C6511" s="4">
        <v>5803</v>
      </c>
      <c r="D6511" s="5" t="s">
        <v>9238</v>
      </c>
      <c r="E6511" s="6" t="str">
        <f>HYPERLINK("https://inpn.mnhn.fr/espece/cd_nom/469423","Cortinarius eufulmineus var. testudineus Bidaud &amp; Consiglio, 2000")</f>
        <v>Cortinarius eufulmineus var. testudineus Bidaud &amp; Consiglio, 2000</v>
      </c>
      <c r="AH6511" s="4" t="str">
        <f>HYPERLINK("#Statut_biogéographique!A"&amp;_xlfn.XMATCH("P",Statut_biogéographique!A:A,2,1),"P")</f>
        <v>P</v>
      </c>
      <c r="AP6511" s="4" t="s">
        <v>376</v>
      </c>
      <c r="AR6511" s="4" t="s">
        <v>377</v>
      </c>
    </row>
    <row r="6512" spans="1:44" ht="30">
      <c r="A6512" s="4" t="s">
        <v>5</v>
      </c>
      <c r="B6512" s="4">
        <v>469435</v>
      </c>
      <c r="C6512" s="4">
        <v>2241</v>
      </c>
      <c r="D6512" s="5" t="s">
        <v>9239</v>
      </c>
      <c r="E6512" s="6" t="str">
        <f>HYPERLINK("https://inpn.mnhn.fr/espece/cd_nom/469435","Cortinarius fulvoochrascens var. umbrinus (Moser) Quadraccia")</f>
        <v>Cortinarius fulvoochrascens var. umbrinus (Moser) Quadraccia</v>
      </c>
      <c r="V6512" s="7" t="str">
        <f>HYPERLINK("#Liste_rouge!A"&amp;_xlfn.XMATCH("DD",Liste_rouge!A:A,2,1),"DD")</f>
        <v>DD</v>
      </c>
      <c r="AH6512" s="4" t="str">
        <f>HYPERLINK("#Statut_biogéographique!A"&amp;_xlfn.XMATCH("P",Statut_biogéographique!A:A,2,1),"P")</f>
        <v>P</v>
      </c>
      <c r="AP6512" s="4" t="s">
        <v>376</v>
      </c>
      <c r="AR6512" s="4" t="s">
        <v>377</v>
      </c>
    </row>
    <row r="6513" spans="1:44" ht="30">
      <c r="A6513" s="4" t="s">
        <v>5</v>
      </c>
      <c r="B6513" s="4">
        <v>469443</v>
      </c>
      <c r="C6513" s="4">
        <v>6121</v>
      </c>
      <c r="D6513" s="5" t="s">
        <v>9240</v>
      </c>
      <c r="E6513" s="6" t="str">
        <f>HYPERLINK("https://inpn.mnhn.fr/espece/cd_nom/469443","Cortinarius glaucopus var. fibrosipes (Britzelm.) Reumaux, 2008")</f>
        <v>Cortinarius glaucopus var. fibrosipes (Britzelm.) Reumaux, 2008</v>
      </c>
      <c r="AH6513" s="4" t="str">
        <f>HYPERLINK("#Statut_biogéographique!A"&amp;_xlfn.XMATCH("P",Statut_biogéographique!A:A,2,1),"P")</f>
        <v>P</v>
      </c>
      <c r="AP6513" s="4" t="s">
        <v>376</v>
      </c>
      <c r="AR6513" s="4" t="s">
        <v>377</v>
      </c>
    </row>
    <row r="6514" spans="1:44" ht="30">
      <c r="A6514" s="4" t="s">
        <v>5</v>
      </c>
      <c r="B6514" s="4">
        <v>469451</v>
      </c>
      <c r="C6514" s="4">
        <v>5585</v>
      </c>
      <c r="D6514" s="5" t="s">
        <v>9241</v>
      </c>
      <c r="E6514" s="6" t="str">
        <f>HYPERLINK("https://inpn.mnhn.fr/espece/cd_nom/469451","Cortinarius herculeus f. violascens Rob.Henry, 1989")</f>
        <v>Cortinarius herculeus f. violascens Rob.Henry, 1989</v>
      </c>
      <c r="AH6514" s="4" t="str">
        <f>HYPERLINK("#Statut_biogéographique!A"&amp;_xlfn.XMATCH("P",Statut_biogéographique!A:A,2,1),"P")</f>
        <v>P</v>
      </c>
      <c r="AP6514" s="4" t="s">
        <v>376</v>
      </c>
      <c r="AR6514" s="4" t="s">
        <v>377</v>
      </c>
    </row>
    <row r="6515" spans="1:44" ht="30">
      <c r="A6515" s="4" t="s">
        <v>5</v>
      </c>
      <c r="B6515" s="4">
        <v>469455</v>
      </c>
      <c r="C6515" s="4">
        <v>1899</v>
      </c>
      <c r="D6515" s="5" t="s">
        <v>9242</v>
      </c>
      <c r="E6515" s="6" t="str">
        <f>HYPERLINK("https://inpn.mnhn.fr/espece/cd_nom/469455","Cortinarius hinnuleus var. luteolus Rob.Henry ex Bidaud, Moënne-Locc. &amp; Reumaux, 1997")</f>
        <v>Cortinarius hinnuleus var. luteolus Rob.Henry ex Bidaud, Moënne-Locc. &amp; Reumaux, 1997</v>
      </c>
      <c r="V6515" s="7" t="str">
        <f>HYPERLINK("#Liste_rouge!A"&amp;_xlfn.XMATCH("DD",Liste_rouge!A:A,2,1),"DD")</f>
        <v>DD</v>
      </c>
      <c r="AH6515" s="4" t="str">
        <f>HYPERLINK("#Statut_biogéographique!A"&amp;_xlfn.XMATCH("P",Statut_biogéographique!A:A,2,1),"P")</f>
        <v>P</v>
      </c>
      <c r="AP6515" s="4" t="s">
        <v>376</v>
      </c>
      <c r="AR6515" s="4" t="s">
        <v>377</v>
      </c>
    </row>
    <row r="6516" spans="1:44" ht="30">
      <c r="A6516" s="4" t="s">
        <v>5</v>
      </c>
      <c r="B6516" s="4">
        <v>469457</v>
      </c>
      <c r="C6516" s="4">
        <v>3235</v>
      </c>
      <c r="D6516" s="5">
        <v>510866</v>
      </c>
      <c r="E6516" s="6" t="str">
        <f>HYPERLINK("https://inpn.mnhn.fr/espece/cd_nom/469457","Cortinarius hinnuleoradicatus Bidaud, Moënne-Locc. &amp; Reumaux, 1997")</f>
        <v>Cortinarius hinnuleoradicatus Bidaud, Moënne-Locc. &amp; Reumaux, 1997</v>
      </c>
      <c r="V6516" s="7" t="str">
        <f>HYPERLINK("#Liste_rouge!A"&amp;_xlfn.XMATCH("DD",Liste_rouge!A:A,2,1),"DD")</f>
        <v>DD</v>
      </c>
      <c r="AH6516" s="4" t="str">
        <f>HYPERLINK("#Statut_biogéographique!A"&amp;_xlfn.XMATCH("P",Statut_biogéographique!A:A,2,1),"P")</f>
        <v>P</v>
      </c>
      <c r="AP6516" s="4" t="s">
        <v>376</v>
      </c>
      <c r="AR6516" s="4" t="s">
        <v>377</v>
      </c>
    </row>
    <row r="6517" spans="1:44" ht="30">
      <c r="A6517" s="4" t="s">
        <v>5</v>
      </c>
      <c r="B6517" s="4">
        <v>469468</v>
      </c>
      <c r="C6517" s="4">
        <v>6157</v>
      </c>
      <c r="D6517" s="5" t="s">
        <v>9243</v>
      </c>
      <c r="E6517" s="6" t="str">
        <f>HYPERLINK("https://inpn.mnhn.fr/espece/cd_nom/469468","Cortinarius kunicensis var. caespitosus Moënne-Locc., 2001")</f>
        <v>Cortinarius kunicensis var. caespitosus Moënne-Locc., 2001</v>
      </c>
      <c r="AH6517" s="4" t="str">
        <f>HYPERLINK("#Statut_biogéographique!A"&amp;_xlfn.XMATCH("P",Statut_biogéographique!A:A,2,1),"P")</f>
        <v>P</v>
      </c>
      <c r="AP6517" s="4" t="s">
        <v>376</v>
      </c>
      <c r="AR6517" s="4" t="s">
        <v>377</v>
      </c>
    </row>
    <row r="6518" spans="1:44">
      <c r="A6518" s="4" t="s">
        <v>5</v>
      </c>
      <c r="B6518" s="4">
        <v>469472</v>
      </c>
      <c r="C6518" s="4">
        <v>548</v>
      </c>
      <c r="D6518" s="5">
        <v>469472</v>
      </c>
      <c r="E6518" s="6" t="str">
        <f>HYPERLINK("https://inpn.mnhn.fr/espece/cd_nom/469472","Cortinarius largus Fr., 1838")</f>
        <v>Cortinarius largus Fr., 1838</v>
      </c>
      <c r="V6518" s="7" t="str">
        <f>HYPERLINK("#Liste_rouge!A"&amp;_xlfn.XMATCH("LC",Liste_rouge!A:A,2,1),"LC")</f>
        <v>LC</v>
      </c>
      <c r="AH6518" s="4" t="str">
        <f>HYPERLINK("#Statut_biogéographique!A"&amp;_xlfn.XMATCH("P",Statut_biogéographique!A:A,2,1),"P")</f>
        <v>P</v>
      </c>
      <c r="AP6518" s="4" t="s">
        <v>376</v>
      </c>
      <c r="AR6518" s="4" t="s">
        <v>377</v>
      </c>
    </row>
    <row r="6519" spans="1:44" ht="30">
      <c r="A6519" s="4" t="s">
        <v>5</v>
      </c>
      <c r="B6519" s="4">
        <v>469477</v>
      </c>
      <c r="C6519" s="4">
        <v>6026</v>
      </c>
      <c r="D6519" s="5" t="s">
        <v>9244</v>
      </c>
      <c r="E6519" s="6" t="str">
        <f>HYPERLINK("https://inpn.mnhn.fr/espece/cd_nom/469477","Cortinarius malachius f. cholagogus Bidaud, Moënne-Locc. &amp; Reumaux, 2002")</f>
        <v>Cortinarius malachius f. cholagogus Bidaud, Moënne-Locc. &amp; Reumaux, 2002</v>
      </c>
      <c r="AH6519" s="4" t="str">
        <f>HYPERLINK("#Statut_biogéographique!A"&amp;_xlfn.XMATCH("P",Statut_biogéographique!A:A,2,1),"P")</f>
        <v>P</v>
      </c>
      <c r="AP6519" s="4" t="s">
        <v>376</v>
      </c>
      <c r="AR6519" s="4" t="s">
        <v>377</v>
      </c>
    </row>
    <row r="6520" spans="1:44" ht="30">
      <c r="A6520" s="4" t="s">
        <v>5</v>
      </c>
      <c r="B6520" s="4">
        <v>469489</v>
      </c>
      <c r="C6520" s="4">
        <v>2875</v>
      </c>
      <c r="D6520" s="5" t="s">
        <v>9245</v>
      </c>
      <c r="E6520" s="6" t="str">
        <f>HYPERLINK("https://inpn.mnhn.fr/espece/cd_nom/469489","Cortinarius mussivus f. bulbopodius (Chevassut &amp; Rob.Henry) Melot, 1987")</f>
        <v>Cortinarius mussivus f. bulbopodius (Chevassut &amp; Rob.Henry) Melot, 1987</v>
      </c>
      <c r="F6520" s="5" t="s">
        <v>9246</v>
      </c>
      <c r="V6520" s="7" t="str">
        <f>HYPERLINK("#Liste_rouge!A"&amp;_xlfn.XMATCH("DD",Liste_rouge!A:A,2,1),"DD")</f>
        <v>DD</v>
      </c>
      <c r="AH6520" s="4" t="str">
        <f>HYPERLINK("#Statut_biogéographique!A"&amp;_xlfn.XMATCH("P",Statut_biogéographique!A:A,2,1),"P")</f>
        <v>P</v>
      </c>
      <c r="AP6520" s="4" t="s">
        <v>376</v>
      </c>
      <c r="AR6520" s="4" t="s">
        <v>377</v>
      </c>
    </row>
    <row r="6521" spans="1:44" ht="30">
      <c r="A6521" s="4" t="s">
        <v>5</v>
      </c>
      <c r="B6521" s="4">
        <v>469497</v>
      </c>
      <c r="C6521" s="4">
        <v>5854</v>
      </c>
      <c r="D6521" s="5" t="s">
        <v>9247</v>
      </c>
      <c r="E6521" s="6" t="str">
        <f>HYPERLINK("https://inpn.mnhn.fr/espece/cd_nom/469497","Cortinarius olidus var. caput-megaerae Bidaud, Moënne-Locc. &amp; Reumaux, 2000")</f>
        <v>Cortinarius olidus var. caput-megaerae Bidaud, Moënne-Locc. &amp; Reumaux, 2000</v>
      </c>
      <c r="AH6521" s="4" t="str">
        <f>HYPERLINK("#Statut_biogéographique!A"&amp;_xlfn.XMATCH("P",Statut_biogéographique!A:A,2,1),"P")</f>
        <v>P</v>
      </c>
      <c r="AP6521" s="4" t="s">
        <v>376</v>
      </c>
      <c r="AR6521" s="4" t="s">
        <v>377</v>
      </c>
    </row>
    <row r="6522" spans="1:44" ht="45">
      <c r="A6522" s="4" t="s">
        <v>5</v>
      </c>
      <c r="B6522" s="4">
        <v>469498</v>
      </c>
      <c r="C6522" s="4">
        <v>1063</v>
      </c>
      <c r="D6522" s="5" t="s">
        <v>9248</v>
      </c>
      <c r="E6522" s="6" t="str">
        <f>HYPERLINK("https://inpn.mnhn.fr/espece/cd_nom/469498","Cortinarius ophiopus f. fluryi (M.M.Moser) Bidaud, Moënne-Locc., Reumaux &amp; Rob.Henry, 2000")</f>
        <v>Cortinarius ophiopus f. fluryi (M.M.Moser) Bidaud, Moënne-Locc., Reumaux &amp; Rob.Henry, 2000</v>
      </c>
      <c r="V6522" s="7" t="str">
        <f>HYPERLINK("#Liste_rouge!A"&amp;_xlfn.XMATCH("DD",Liste_rouge!A:A,2,1),"DD")</f>
        <v>DD</v>
      </c>
      <c r="AH6522" s="4" t="str">
        <f>HYPERLINK("#Statut_biogéographique!A"&amp;_xlfn.XMATCH("P",Statut_biogéographique!A:A,2,1),"P")</f>
        <v>P</v>
      </c>
      <c r="AP6522" s="4" t="s">
        <v>376</v>
      </c>
      <c r="AR6522" s="4" t="s">
        <v>377</v>
      </c>
    </row>
    <row r="6523" spans="1:44" ht="30">
      <c r="A6523" s="4" t="s">
        <v>5</v>
      </c>
      <c r="B6523" s="4">
        <v>469500</v>
      </c>
      <c r="C6523" s="4">
        <v>1888</v>
      </c>
      <c r="D6523" s="5" t="s">
        <v>9249</v>
      </c>
      <c r="E6523" s="6" t="str">
        <f>HYPERLINK("https://inpn.mnhn.fr/espece/cd_nom/469500","Cortinarius ophiopus f. pseudovulpinus (Rob.Henry &amp; Ramm) Cheype, 1997")</f>
        <v>Cortinarius ophiopus f. pseudovulpinus (Rob.Henry &amp; Ramm) Cheype, 1997</v>
      </c>
      <c r="F6523" s="5" t="s">
        <v>6636</v>
      </c>
      <c r="V6523" s="7" t="str">
        <f>HYPERLINK("#Liste_rouge!A"&amp;_xlfn.XMATCH("NT",Liste_rouge!A:A,2,1),"NT")</f>
        <v>NT</v>
      </c>
      <c r="W6523" s="4" t="str">
        <f>HYPERLINK("#Critères_liste_rouge!A$1","pr. B2abiii")</f>
        <v>pr. B2abiii</v>
      </c>
      <c r="Z6523" s="4" t="s">
        <v>447</v>
      </c>
      <c r="AA6523" s="4" t="s">
        <v>448</v>
      </c>
      <c r="AH6523" s="4" t="str">
        <f>HYPERLINK("#Statut_biogéographique!A"&amp;_xlfn.XMATCH("P",Statut_biogéographique!A:A,2,1),"P")</f>
        <v>P</v>
      </c>
      <c r="AP6523" s="4" t="s">
        <v>376</v>
      </c>
      <c r="AR6523" s="4" t="s">
        <v>377</v>
      </c>
    </row>
    <row r="6524" spans="1:44" ht="30">
      <c r="A6524" s="4" t="s">
        <v>5</v>
      </c>
      <c r="B6524" s="4">
        <v>469501</v>
      </c>
      <c r="C6524" s="4">
        <v>4323</v>
      </c>
      <c r="D6524" s="5" t="s">
        <v>9250</v>
      </c>
      <c r="E6524" s="6" t="str">
        <f>HYPERLINK("https://inpn.mnhn.fr/espece/cd_nom/469501","Cortinarius orellanus var. rutilans (Quél.) Moënne-Locc. &amp; Reumaux, 2005")</f>
        <v>Cortinarius orellanus var. rutilans (Quél.) Moënne-Locc. &amp; Reumaux, 2005</v>
      </c>
      <c r="V6524" s="7" t="str">
        <f>HYPERLINK("#Liste_rouge!A"&amp;_xlfn.XMATCH("DD",Liste_rouge!A:A,2,1),"DD")</f>
        <v>DD</v>
      </c>
      <c r="AH6524" s="4" t="str">
        <f>HYPERLINK("#Statut_biogéographique!A"&amp;_xlfn.XMATCH("P",Statut_biogéographique!A:A,2,1),"P")</f>
        <v>P</v>
      </c>
      <c r="AP6524" s="4" t="s">
        <v>376</v>
      </c>
      <c r="AR6524" s="4" t="s">
        <v>377</v>
      </c>
    </row>
    <row r="6525" spans="1:44" ht="45">
      <c r="A6525" s="4" t="s">
        <v>5</v>
      </c>
      <c r="B6525" s="4">
        <v>469512</v>
      </c>
      <c r="C6525" s="4">
        <v>7295</v>
      </c>
      <c r="D6525" s="5">
        <v>35151</v>
      </c>
      <c r="E6525" s="6" t="str">
        <f>HYPERLINK("https://inpn.mnhn.fr/espece/cd_nom/469512","Cortinarius polymorphus var. luteoimmarginatus (Rob.Henry) Bidaud &amp; Reumaux, 2006")</f>
        <v>Cortinarius polymorphus var. luteoimmarginatus (Rob.Henry) Bidaud &amp; Reumaux, 2006</v>
      </c>
      <c r="AH6525" s="4" t="str">
        <f>HYPERLINK("#Statut_biogéographique!A"&amp;_xlfn.XMATCH("P",Statut_biogéographique!A:A,2,1),"P")</f>
        <v>P</v>
      </c>
      <c r="AP6525" s="4" t="s">
        <v>376</v>
      </c>
      <c r="AR6525" s="4" t="s">
        <v>377</v>
      </c>
    </row>
    <row r="6526" spans="1:44">
      <c r="A6526" s="4" t="s">
        <v>5</v>
      </c>
      <c r="B6526" s="4">
        <v>469516</v>
      </c>
      <c r="C6526" s="4">
        <v>1916</v>
      </c>
      <c r="D6526" s="5" t="s">
        <v>9251</v>
      </c>
      <c r="E6526" s="6" t="str">
        <f>HYPERLINK("https://inpn.mnhn.fr/espece/cd_nom/469516","Cortinarius privignoides Rob.Henry, 1985")</f>
        <v>Cortinarius privignoides Rob.Henry, 1985</v>
      </c>
      <c r="V6526" s="7" t="str">
        <f>HYPERLINK("#Liste_rouge!A"&amp;_xlfn.XMATCH("LC",Liste_rouge!A:A,2,1),"LC")</f>
        <v>LC</v>
      </c>
      <c r="AH6526" s="4" t="str">
        <f>HYPERLINK("#Statut_biogéographique!A"&amp;_xlfn.XMATCH("P",Statut_biogéographique!A:A,2,1),"P")</f>
        <v>P</v>
      </c>
      <c r="AP6526" s="4" t="s">
        <v>376</v>
      </c>
      <c r="AR6526" s="4" t="s">
        <v>377</v>
      </c>
    </row>
    <row r="6527" spans="1:44" ht="45">
      <c r="A6527" s="4" t="s">
        <v>5</v>
      </c>
      <c r="B6527" s="4">
        <v>469523</v>
      </c>
      <c r="C6527" s="4">
        <v>601</v>
      </c>
      <c r="D6527" s="5" t="s">
        <v>9252</v>
      </c>
      <c r="E6527" s="6" t="str">
        <f>HYPERLINK("https://inpn.mnhn.fr/espece/cd_nom/469523","Cortinarius pseudocrassus var. subcrassus (Rob.Henry) Bidaud, Moënne-Locc., Reumaux &amp; Rob.Henry, 2000")</f>
        <v>Cortinarius pseudocrassus var. subcrassus (Rob.Henry) Bidaud, Moënne-Locc., Reumaux &amp; Rob.Henry, 2000</v>
      </c>
      <c r="V6527" s="7" t="str">
        <f>HYPERLINK("#Liste_rouge!A"&amp;_xlfn.XMATCH("DD",Liste_rouge!A:A,2,1),"DD")</f>
        <v>DD</v>
      </c>
      <c r="AH6527" s="4" t="str">
        <f>HYPERLINK("#Statut_biogéographique!A"&amp;_xlfn.XMATCH("P",Statut_biogéographique!A:A,2,1),"P")</f>
        <v>P</v>
      </c>
      <c r="AP6527" s="4" t="s">
        <v>376</v>
      </c>
      <c r="AR6527" s="4" t="s">
        <v>377</v>
      </c>
    </row>
    <row r="6528" spans="1:44" ht="45">
      <c r="A6528" s="4" t="s">
        <v>5</v>
      </c>
      <c r="B6528" s="4">
        <v>469527</v>
      </c>
      <c r="C6528" s="4">
        <v>5887</v>
      </c>
      <c r="D6528" s="5" t="s">
        <v>9253</v>
      </c>
      <c r="E6528" s="6" t="str">
        <f>HYPERLINK("https://inpn.mnhn.fr/espece/cd_nom/469527","Cortinarius pseudosulfureus var. citrinovirens (R. Henry) Bidaud, P. Moënne-Loccoz &amp; Reumaux")</f>
        <v>Cortinarius pseudosulfureus var. citrinovirens (R. Henry) Bidaud, P. Moënne-Loccoz &amp; Reumaux</v>
      </c>
      <c r="AH6528" s="4" t="str">
        <f>HYPERLINK("#Statut_biogéographique!A"&amp;_xlfn.XMATCH("P",Statut_biogéographique!A:A,2,1),"P")</f>
        <v>P</v>
      </c>
      <c r="AP6528" s="4" t="s">
        <v>376</v>
      </c>
      <c r="AR6528" s="4" t="s">
        <v>377</v>
      </c>
    </row>
    <row r="6529" spans="1:44">
      <c r="A6529" s="4" t="s">
        <v>5</v>
      </c>
      <c r="B6529" s="4">
        <v>46953</v>
      </c>
      <c r="C6529" s="4">
        <v>2780</v>
      </c>
      <c r="D6529" s="5" t="s">
        <v>9254</v>
      </c>
      <c r="E6529" s="6" t="str">
        <f>HYPERLINK("https://inpn.mnhn.fr/espece/cd_nom/46953","Diaporthe oncostoma (Duby) Fuckel, 1870")</f>
        <v>Diaporthe oncostoma (Duby) Fuckel, 1870</v>
      </c>
      <c r="AH6529" s="4" t="str">
        <f>HYPERLINK("#Statut_biogéographique!A"&amp;_xlfn.XMATCH("P",Statut_biogéographique!A:A,2,1),"P")</f>
        <v>P</v>
      </c>
      <c r="AP6529" s="4" t="s">
        <v>376</v>
      </c>
      <c r="AR6529" s="4" t="s">
        <v>377</v>
      </c>
    </row>
    <row r="6530" spans="1:44" ht="45">
      <c r="A6530" s="4" t="s">
        <v>5</v>
      </c>
      <c r="B6530" s="4">
        <v>469539</v>
      </c>
      <c r="C6530" s="4">
        <v>5934</v>
      </c>
      <c r="D6530" s="5" t="s">
        <v>9255</v>
      </c>
      <c r="E6530" s="6" t="str">
        <f>HYPERLINK("https://inpn.mnhn.fr/espece/cd_nom/469539","Cortinarius salmoneotomentosus var. pseudoparagaudis Bidaud, Moënne-Locc. &amp; Reumaux, 1995")</f>
        <v>Cortinarius salmoneotomentosus var. pseudoparagaudis Bidaud, Moënne-Locc. &amp; Reumaux, 1995</v>
      </c>
      <c r="AH6530" s="4" t="str">
        <f>HYPERLINK("#Statut_biogéographique!A"&amp;_xlfn.XMATCH("P",Statut_biogéographique!A:A,2,1),"P")</f>
        <v>P</v>
      </c>
      <c r="AP6530" s="4" t="s">
        <v>376</v>
      </c>
      <c r="AR6530" s="4" t="s">
        <v>377</v>
      </c>
    </row>
    <row r="6531" spans="1:44" ht="30">
      <c r="A6531" s="4" t="s">
        <v>5</v>
      </c>
      <c r="B6531" s="4">
        <v>469571</v>
      </c>
      <c r="C6531" s="4">
        <v>4345</v>
      </c>
      <c r="D6531" s="5" t="s">
        <v>9256</v>
      </c>
      <c r="E6531" s="6" t="str">
        <f>HYPERLINK("https://inpn.mnhn.fr/espece/cd_nom/469571","Cortinarius torvus f. obesipes Bidaud, Moënne-Locc. &amp; Reumaux, 1999")</f>
        <v>Cortinarius torvus f. obesipes Bidaud, Moënne-Locc. &amp; Reumaux, 1999</v>
      </c>
      <c r="V6531" s="7" t="str">
        <f>HYPERLINK("#Liste_rouge!A"&amp;_xlfn.XMATCH("DD",Liste_rouge!A:A,2,1),"DD")</f>
        <v>DD</v>
      </c>
      <c r="AH6531" s="4" t="str">
        <f>HYPERLINK("#Statut_biogéographique!A"&amp;_xlfn.XMATCH("P",Statut_biogéographique!A:A,2,1),"P")</f>
        <v>P</v>
      </c>
      <c r="AP6531" s="4" t="s">
        <v>376</v>
      </c>
      <c r="AR6531" s="4" t="s">
        <v>377</v>
      </c>
    </row>
    <row r="6532" spans="1:44" ht="30">
      <c r="A6532" s="4" t="s">
        <v>5</v>
      </c>
      <c r="B6532" s="4">
        <v>469573</v>
      </c>
      <c r="C6532" s="4">
        <v>1873</v>
      </c>
      <c r="D6532" s="5" t="s">
        <v>9257</v>
      </c>
      <c r="E6532" s="6" t="str">
        <f>HYPERLINK("https://inpn.mnhn.fr/espece/cd_nom/469573","Cortinarius traganus var. finitimus (Weinm.) Rea, 1922")</f>
        <v>Cortinarius traganus var. finitimus (Weinm.) Rea, 1922</v>
      </c>
      <c r="F6532" s="5" t="s">
        <v>9258</v>
      </c>
      <c r="V6532" s="7" t="str">
        <f>HYPERLINK("#Liste_rouge!A"&amp;_xlfn.XMATCH("LC",Liste_rouge!A:A,2,1),"LC")</f>
        <v>LC</v>
      </c>
      <c r="AH6532" s="4" t="str">
        <f>HYPERLINK("#Statut_biogéographique!A"&amp;_xlfn.XMATCH("P",Statut_biogéographique!A:A,2,1),"P")</f>
        <v>P</v>
      </c>
      <c r="AP6532" s="4" t="s">
        <v>376</v>
      </c>
      <c r="AR6532" s="4" t="s">
        <v>377</v>
      </c>
    </row>
    <row r="6533" spans="1:44" ht="30">
      <c r="A6533" s="4" t="s">
        <v>5</v>
      </c>
      <c r="B6533" s="4">
        <v>469578</v>
      </c>
      <c r="C6533" s="4">
        <v>1095</v>
      </c>
      <c r="D6533" s="5" t="s">
        <v>9259</v>
      </c>
      <c r="E6533" s="6" t="str">
        <f>HYPERLINK("https://inpn.mnhn.fr/espece/cd_nom/469578","Cortinarius triumphans f. spectabilis Reumaux, 1999")</f>
        <v>Cortinarius triumphans f. spectabilis Reumaux, 1999</v>
      </c>
      <c r="F6533" s="5" t="s">
        <v>9260</v>
      </c>
      <c r="V6533" s="7" t="str">
        <f>HYPERLINK("#Liste_rouge!A"&amp;_xlfn.XMATCH("DD",Liste_rouge!A:A,2,1),"DD")</f>
        <v>DD</v>
      </c>
      <c r="AH6533" s="4" t="str">
        <f>HYPERLINK("#Statut_biogéographique!A"&amp;_xlfn.XMATCH("P",Statut_biogéographique!A:A,2,1),"P")</f>
        <v>P</v>
      </c>
      <c r="AP6533" s="4" t="s">
        <v>376</v>
      </c>
      <c r="AR6533" s="4" t="s">
        <v>377</v>
      </c>
    </row>
    <row r="6534" spans="1:44" ht="30">
      <c r="A6534" s="4" t="s">
        <v>5</v>
      </c>
      <c r="B6534" s="4">
        <v>469580</v>
      </c>
      <c r="C6534" s="4">
        <v>5856</v>
      </c>
      <c r="D6534" s="5" t="s">
        <v>9261</v>
      </c>
      <c r="E6534" s="6" t="str">
        <f>HYPERLINK("https://inpn.mnhn.fr/espece/cd_nom/469580","Cortinarius trivialis f. luteolus (Gillet) Rob.Henry, 2000")</f>
        <v>Cortinarius trivialis f. luteolus (Gillet) Rob.Henry, 2000</v>
      </c>
      <c r="F6534" s="5" t="s">
        <v>9262</v>
      </c>
      <c r="AH6534" s="4" t="str">
        <f>HYPERLINK("#Statut_biogéographique!A"&amp;_xlfn.XMATCH("P",Statut_biogéographique!A:A,2,1),"P")</f>
        <v>P</v>
      </c>
      <c r="AP6534" s="4" t="s">
        <v>376</v>
      </c>
      <c r="AR6534" s="4" t="s">
        <v>377</v>
      </c>
    </row>
    <row r="6535" spans="1:44" ht="30">
      <c r="A6535" s="4" t="s">
        <v>5</v>
      </c>
      <c r="B6535" s="4">
        <v>469593</v>
      </c>
      <c r="C6535" s="4">
        <v>3559</v>
      </c>
      <c r="D6535" s="5" t="s">
        <v>9263</v>
      </c>
      <c r="E6535" s="6" t="str">
        <f>HYPERLINK("https://inpn.mnhn.fr/espece/cd_nom/469593","Cortinarius variecolor var. marginatus (Moser) Moser ex Quadraccia")</f>
        <v>Cortinarius variecolor var. marginatus (Moser) Moser ex Quadraccia</v>
      </c>
      <c r="V6535" s="7" t="str">
        <f>HYPERLINK("#Liste_rouge!A"&amp;_xlfn.XMATCH("DD",Liste_rouge!A:A,2,1),"DD")</f>
        <v>DD</v>
      </c>
      <c r="AH6535" s="4" t="str">
        <f>HYPERLINK("#Statut_biogéographique!A"&amp;_xlfn.XMATCH("P",Statut_biogéographique!A:A,2,1),"P")</f>
        <v>P</v>
      </c>
      <c r="AP6535" s="4" t="s">
        <v>376</v>
      </c>
      <c r="AR6535" s="4" t="s">
        <v>377</v>
      </c>
    </row>
    <row r="6536" spans="1:44" ht="30">
      <c r="A6536" s="4" t="s">
        <v>5</v>
      </c>
      <c r="B6536" s="4">
        <v>469595</v>
      </c>
      <c r="C6536" s="4">
        <v>6324</v>
      </c>
      <c r="D6536" s="5" t="s">
        <v>9264</v>
      </c>
      <c r="E6536" s="6" t="str">
        <f>HYPERLINK("https://inpn.mnhn.fr/espece/cd_nom/469595","Cortinarius variiformis var. luteocingulatus (Bidaud &amp; Fillion) Bidaud, 2000")</f>
        <v>Cortinarius variiformis var. luteocingulatus (Bidaud &amp; Fillion) Bidaud, 2000</v>
      </c>
      <c r="AH6536" s="4" t="str">
        <f>HYPERLINK("#Statut_biogéographique!A"&amp;_xlfn.XMATCH("P",Statut_biogéographique!A:A,2,1),"P")</f>
        <v>P</v>
      </c>
      <c r="AP6536" s="4" t="s">
        <v>376</v>
      </c>
      <c r="AR6536" s="4" t="s">
        <v>377</v>
      </c>
    </row>
    <row r="6537" spans="1:44" ht="30">
      <c r="A6537" s="4" t="s">
        <v>5</v>
      </c>
      <c r="B6537" s="4">
        <v>469596</v>
      </c>
      <c r="C6537" s="4">
        <v>6032</v>
      </c>
      <c r="D6537" s="5" t="s">
        <v>9265</v>
      </c>
      <c r="E6537" s="6" t="str">
        <f>HYPERLINK("https://inpn.mnhn.fr/espece/cd_nom/469596","Cortinarius variipes var. janthinophyllus M.M.Moser, 1995")</f>
        <v>Cortinarius variipes var. janthinophyllus M.M.Moser, 1995</v>
      </c>
      <c r="AH6537" s="4" t="str">
        <f>HYPERLINK("#Statut_biogéographique!A"&amp;_xlfn.XMATCH("P",Statut_biogéographique!A:A,2,1),"P")</f>
        <v>P</v>
      </c>
      <c r="AP6537" s="4" t="s">
        <v>376</v>
      </c>
      <c r="AR6537" s="4" t="s">
        <v>377</v>
      </c>
    </row>
    <row r="6538" spans="1:44" ht="30">
      <c r="A6538" s="4" t="s">
        <v>5</v>
      </c>
      <c r="B6538" s="4">
        <v>469599</v>
      </c>
      <c r="C6538" s="4">
        <v>4452</v>
      </c>
      <c r="D6538" s="5">
        <v>469599</v>
      </c>
      <c r="E6538" s="6" t="str">
        <f>HYPERLINK("https://inpn.mnhn.fr/espece/cd_nom/469599","Cortinarius vibratilis var. bresadolae Kühner, 1959")</f>
        <v>Cortinarius vibratilis var. bresadolae Kühner, 1959</v>
      </c>
      <c r="V6538" s="7" t="str">
        <f>HYPERLINK("#Liste_rouge!A"&amp;_xlfn.XMATCH("DD",Liste_rouge!A:A,2,1),"DD")</f>
        <v>DD</v>
      </c>
      <c r="AH6538" s="4" t="str">
        <f>HYPERLINK("#Statut_biogéographique!A"&amp;_xlfn.XMATCH("P",Statut_biogéographique!A:A,2,1),"P")</f>
        <v>P</v>
      </c>
      <c r="AP6538" s="4" t="s">
        <v>376</v>
      </c>
      <c r="AR6538" s="4" t="s">
        <v>377</v>
      </c>
    </row>
    <row r="6539" spans="1:44" ht="30">
      <c r="A6539" s="4" t="s">
        <v>5</v>
      </c>
      <c r="B6539" s="4">
        <v>469600</v>
      </c>
      <c r="C6539" s="4">
        <v>4452</v>
      </c>
      <c r="D6539" s="5" t="s">
        <v>9266</v>
      </c>
      <c r="E6539" s="6" t="str">
        <f>HYPERLINK("https://inpn.mnhn.fr/espece/cd_nom/469600","Cortinarius vibratilis var. bresadolae Kühner, 1959")</f>
        <v>Cortinarius vibratilis var. bresadolae Kühner, 1959</v>
      </c>
      <c r="V6539" s="7" t="str">
        <f>HYPERLINK("#Liste_rouge!A"&amp;_xlfn.XMATCH("DD",Liste_rouge!A:A,2,1),"DD")</f>
        <v>DD</v>
      </c>
      <c r="AH6539" s="4" t="str">
        <f>HYPERLINK("#Statut_biogéographique!A"&amp;_xlfn.XMATCH("P",Statut_biogéographique!A:A,2,1),"P")</f>
        <v>P</v>
      </c>
      <c r="AP6539" s="4" t="s">
        <v>376</v>
      </c>
      <c r="AR6539" s="4" t="s">
        <v>377</v>
      </c>
    </row>
    <row r="6540" spans="1:44" ht="45">
      <c r="A6540" s="4" t="s">
        <v>5</v>
      </c>
      <c r="B6540" s="4">
        <v>469602</v>
      </c>
      <c r="C6540" s="4">
        <v>2668</v>
      </c>
      <c r="D6540" s="5" t="s">
        <v>9267</v>
      </c>
      <c r="E6540" s="6" t="str">
        <f>HYPERLINK("https://inpn.mnhn.fr/espece/cd_nom/469602","Cortinarius violaceocinctus var. quisalius (Rob.Henry &amp; Ramm) Bidaud, Moënne-Locc. &amp; Reumaux, 1996")</f>
        <v>Cortinarius violaceocinctus var. quisalius (Rob.Henry &amp; Ramm) Bidaud, Moënne-Locc. &amp; Reumaux, 1996</v>
      </c>
      <c r="V6540" s="7" t="str">
        <f>HYPERLINK("#Liste_rouge!A"&amp;_xlfn.XMATCH("EN",Liste_rouge!A:A,2,1),"EN")</f>
        <v>EN</v>
      </c>
      <c r="W6540" s="4" t="str">
        <f>HYPERLINK("#Critères_liste_rouge!A$1","B2abiii")</f>
        <v>B2abiii</v>
      </c>
      <c r="Z6540" s="4" t="s">
        <v>443</v>
      </c>
      <c r="AA6540" s="4" t="s">
        <v>444</v>
      </c>
      <c r="AH6540" s="4" t="str">
        <f>HYPERLINK("#Statut_biogéographique!A"&amp;_xlfn.XMATCH("P",Statut_biogéographique!A:A,2,1),"P")</f>
        <v>P</v>
      </c>
      <c r="AP6540" s="4" t="s">
        <v>376</v>
      </c>
      <c r="AR6540" s="4" t="s">
        <v>377</v>
      </c>
    </row>
    <row r="6541" spans="1:44" ht="45">
      <c r="A6541" s="4" t="s">
        <v>5</v>
      </c>
      <c r="B6541" s="4">
        <v>469604</v>
      </c>
      <c r="C6541" s="4">
        <v>1652</v>
      </c>
      <c r="D6541" s="5" t="s">
        <v>9268</v>
      </c>
      <c r="E6541" s="6" t="str">
        <f>HYPERLINK("https://inpn.mnhn.fr/espece/cd_nom/469604","Cortinarius vulpinus f. albomarginatus P.D.Orton ex Bidaud, Moënne-Locc., Reumaux &amp; Rob.Henry, 2000")</f>
        <v>Cortinarius vulpinus f. albomarginatus P.D.Orton ex Bidaud, Moënne-Locc., Reumaux &amp; Rob.Henry, 2000</v>
      </c>
      <c r="V6541" s="7" t="str">
        <f>HYPERLINK("#Liste_rouge!A"&amp;_xlfn.XMATCH("DD",Liste_rouge!A:A,2,1),"DD")</f>
        <v>DD</v>
      </c>
      <c r="AH6541" s="4" t="str">
        <f>HYPERLINK("#Statut_biogéographique!A"&amp;_xlfn.XMATCH("P",Statut_biogéographique!A:A,2,1),"P")</f>
        <v>P</v>
      </c>
      <c r="AP6541" s="4" t="s">
        <v>376</v>
      </c>
      <c r="AR6541" s="4" t="s">
        <v>377</v>
      </c>
    </row>
    <row r="6542" spans="1:44" ht="30">
      <c r="A6542" s="4" t="s">
        <v>5</v>
      </c>
      <c r="B6542" s="4">
        <v>469610</v>
      </c>
      <c r="C6542" s="4">
        <v>2175</v>
      </c>
      <c r="D6542" s="5" t="s">
        <v>9269</v>
      </c>
      <c r="E6542" s="6" t="str">
        <f>HYPERLINK("https://inpn.mnhn.fr/espece/cd_nom/469610","Craterellus lutescens f. niveipes (Schild &amp; Wäfler) Blanco-Dios, 2011")</f>
        <v>Craterellus lutescens f. niveipes (Schild &amp; Wäfler) Blanco-Dios, 2011</v>
      </c>
      <c r="F6542" s="5" t="s">
        <v>9270</v>
      </c>
      <c r="V6542" s="7" t="str">
        <f>HYPERLINK("#Liste_rouge!A"&amp;_xlfn.XMATCH("DD",Liste_rouge!A:A,2,1),"DD")</f>
        <v>DD</v>
      </c>
      <c r="AH6542" s="4" t="str">
        <f>HYPERLINK("#Statut_biogéographique!A"&amp;_xlfn.XMATCH("P",Statut_biogéographique!A:A,2,1),"P")</f>
        <v>P</v>
      </c>
      <c r="AP6542" s="4" t="s">
        <v>376</v>
      </c>
      <c r="AR6542" s="4" t="s">
        <v>377</v>
      </c>
    </row>
    <row r="6543" spans="1:44" ht="30">
      <c r="A6543" s="4" t="s">
        <v>5</v>
      </c>
      <c r="B6543" s="4">
        <v>469613</v>
      </c>
      <c r="C6543" s="4">
        <v>437</v>
      </c>
      <c r="D6543" s="5" t="s">
        <v>9271</v>
      </c>
      <c r="E6543" s="6" t="str">
        <f>HYPERLINK("https://inpn.mnhn.fr/espece/cd_nom/469613","Craterellus sinuosus var. crispus (Sowerby) Eyssartier &amp; Courtec.")</f>
        <v>Craterellus sinuosus var. crispus (Sowerby) Eyssartier &amp; Courtec.</v>
      </c>
      <c r="F6543" s="5" t="s">
        <v>9272</v>
      </c>
      <c r="AH6543" s="4" t="str">
        <f>HYPERLINK("#Statut_biogéographique!A"&amp;_xlfn.XMATCH("P",Statut_biogéographique!A:A,2,1),"P")</f>
        <v>P</v>
      </c>
      <c r="AP6543" s="4" t="s">
        <v>376</v>
      </c>
      <c r="AR6543" s="4" t="s">
        <v>377</v>
      </c>
    </row>
    <row r="6544" spans="1:44" ht="30">
      <c r="A6544" s="4" t="s">
        <v>5</v>
      </c>
      <c r="B6544" s="4">
        <v>469623</v>
      </c>
      <c r="C6544" s="4">
        <v>530</v>
      </c>
      <c r="D6544" s="5" t="s">
        <v>9273</v>
      </c>
      <c r="E6544" s="6" t="str">
        <f>HYPERLINK("https://inpn.mnhn.fr/espece/cd_nom/469623","Crinipellis scabella (Alb. &amp; Schwein.) Murrill, 1915")</f>
        <v>Crinipellis scabella (Alb. &amp; Schwein.) Murrill, 1915</v>
      </c>
      <c r="F6544" s="5" t="s">
        <v>8592</v>
      </c>
      <c r="V6544" s="7" t="str">
        <f>HYPERLINK("#Liste_rouge!A"&amp;_xlfn.XMATCH("EN",Liste_rouge!A:A,2,1),"EN")</f>
        <v>EN</v>
      </c>
      <c r="W6544" s="4" t="str">
        <f>HYPERLINK("#Critères_liste_rouge!A$1","A2c")</f>
        <v>A2c</v>
      </c>
      <c r="Z6544" s="4" t="s">
        <v>447</v>
      </c>
      <c r="AA6544" s="4" t="s">
        <v>448</v>
      </c>
      <c r="AH6544" s="4" t="str">
        <f>HYPERLINK("#Statut_biogéographique!A"&amp;_xlfn.XMATCH("P",Statut_biogéographique!A:A,2,1),"P")</f>
        <v>P</v>
      </c>
      <c r="AP6544" s="4" t="s">
        <v>376</v>
      </c>
      <c r="AR6544" s="4" t="s">
        <v>377</v>
      </c>
    </row>
    <row r="6545" spans="1:44" ht="30">
      <c r="A6545" s="4" t="s">
        <v>5</v>
      </c>
      <c r="B6545" s="4">
        <v>469627</v>
      </c>
      <c r="C6545" s="4">
        <v>3278</v>
      </c>
      <c r="D6545" s="5">
        <v>469627</v>
      </c>
      <c r="E6545" s="6" t="str">
        <f>HYPERLINK("https://inpn.mnhn.fr/espece/cd_nom/469627","Cuphophyllus cereopallidus f. bisporiger Bon, 1989")</f>
        <v>Cuphophyllus cereopallidus f. bisporiger Bon, 1989</v>
      </c>
      <c r="V6545" s="7" t="str">
        <f>HYPERLINK("#Liste_rouge!A"&amp;_xlfn.XMATCH("DD",Liste_rouge!A:A,2,1),"DD")</f>
        <v>DD</v>
      </c>
      <c r="W6545" s="4" t="str">
        <f>HYPERLINK("#Critères_liste_rouge!A$1","A2c")</f>
        <v>A2c</v>
      </c>
      <c r="Z6545" s="4" t="s">
        <v>447</v>
      </c>
      <c r="AA6545" s="4" t="s">
        <v>448</v>
      </c>
      <c r="AH6545" s="4" t="str">
        <f>HYPERLINK("#Statut_biogéographique!A"&amp;_xlfn.XMATCH("P",Statut_biogéographique!A:A,2,1),"P")</f>
        <v>P</v>
      </c>
      <c r="AP6545" s="4" t="s">
        <v>376</v>
      </c>
      <c r="AR6545" s="4" t="s">
        <v>377</v>
      </c>
    </row>
    <row r="6546" spans="1:44" ht="30">
      <c r="A6546" s="4" t="s">
        <v>5</v>
      </c>
      <c r="B6546" s="4">
        <v>469641</v>
      </c>
      <c r="C6546" s="4">
        <v>216</v>
      </c>
      <c r="D6546" s="5" t="s">
        <v>9274</v>
      </c>
      <c r="E6546" s="6" t="str">
        <f>HYPERLINK("https://inpn.mnhn.fr/espece/cd_nom/469641","Entoloma chalybaeum var. lazulinum (Fr.) Noordel., 1984")</f>
        <v>Entoloma chalybaeum var. lazulinum (Fr.) Noordel., 1984</v>
      </c>
      <c r="V6546" s="7" t="str">
        <f>HYPERLINK("#Liste_rouge!A"&amp;_xlfn.XMATCH("EN",Liste_rouge!A:A,2,1),"EN")</f>
        <v>EN</v>
      </c>
      <c r="W6546" s="4" t="str">
        <f>HYPERLINK("#Critères_liste_rouge!A$1","A2c")</f>
        <v>A2c</v>
      </c>
      <c r="Z6546" s="4" t="s">
        <v>447</v>
      </c>
      <c r="AA6546" s="4" t="s">
        <v>448</v>
      </c>
      <c r="AH6546" s="4" t="str">
        <f>HYPERLINK("#Statut_biogéographique!A"&amp;_xlfn.XMATCH("P",Statut_biogéographique!A:A,2,1),"P")</f>
        <v>P</v>
      </c>
      <c r="AP6546" s="4" t="s">
        <v>376</v>
      </c>
      <c r="AR6546" s="4" t="s">
        <v>377</v>
      </c>
    </row>
    <row r="6547" spans="1:44">
      <c r="A6547" s="4" t="s">
        <v>5</v>
      </c>
      <c r="B6547" s="4">
        <v>46968</v>
      </c>
      <c r="C6547" s="4">
        <v>4260</v>
      </c>
      <c r="D6547" s="5" t="s">
        <v>9275</v>
      </c>
      <c r="E6547" s="6" t="str">
        <f>HYPERLINK("https://inpn.mnhn.fr/espece/cd_nom/46968","Diaporthe strumella (Fr.) Fuckel, 1870")</f>
        <v>Diaporthe strumella (Fr.) Fuckel, 1870</v>
      </c>
      <c r="AH6547" s="4" t="str">
        <f>HYPERLINK("#Statut_biogéographique!A"&amp;_xlfn.XMATCH("P",Statut_biogéographique!A:A,2,1),"P")</f>
        <v>P</v>
      </c>
      <c r="AP6547" s="4" t="s">
        <v>376</v>
      </c>
      <c r="AR6547" s="4" t="s">
        <v>377</v>
      </c>
    </row>
    <row r="6548" spans="1:44" ht="30">
      <c r="A6548" s="4" t="s">
        <v>5</v>
      </c>
      <c r="B6548" s="4">
        <v>469681</v>
      </c>
      <c r="C6548" s="4">
        <v>4667</v>
      </c>
      <c r="D6548" s="5" t="s">
        <v>9276</v>
      </c>
      <c r="E6548" s="6" t="str">
        <f>HYPERLINK("https://inpn.mnhn.fr/espece/cd_nom/469681","Entoloma undatum var. viarum (Fr.) Courtec., 1983")</f>
        <v>Entoloma undatum var. viarum (Fr.) Courtec., 1983</v>
      </c>
      <c r="V6548" s="7" t="str">
        <f>HYPERLINK("#Liste_rouge!A"&amp;_xlfn.XMATCH("DD",Liste_rouge!A:A,2,1),"DD")</f>
        <v>DD</v>
      </c>
      <c r="AH6548" s="4" t="str">
        <f>HYPERLINK("#Statut_biogéographique!A"&amp;_xlfn.XMATCH("P",Statut_biogéographique!A:A,2,1),"P")</f>
        <v>P</v>
      </c>
      <c r="AP6548" s="4" t="s">
        <v>376</v>
      </c>
      <c r="AR6548" s="4" t="s">
        <v>377</v>
      </c>
    </row>
    <row r="6549" spans="1:44">
      <c r="A6549" s="4" t="s">
        <v>5</v>
      </c>
      <c r="B6549" s="4">
        <v>469686</v>
      </c>
      <c r="C6549" s="4">
        <v>6863</v>
      </c>
      <c r="D6549" s="5" t="s">
        <v>9277</v>
      </c>
      <c r="E6549" s="6" t="str">
        <f>HYPERLINK("https://inpn.mnhn.fr/espece/cd_nom/469686","Exidia saccharina f. carnea Raitv., 1971")</f>
        <v>Exidia saccharina f. carnea Raitv., 1971</v>
      </c>
      <c r="F6549" s="5" t="s">
        <v>9278</v>
      </c>
      <c r="AH6549" s="4" t="str">
        <f>HYPERLINK("#Statut_biogéographique!A"&amp;_xlfn.XMATCH("P",Statut_biogéographique!A:A,2,1),"P")</f>
        <v>P</v>
      </c>
      <c r="AP6549" s="4" t="s">
        <v>376</v>
      </c>
      <c r="AR6549" s="4" t="s">
        <v>377</v>
      </c>
    </row>
    <row r="6550" spans="1:44" ht="30">
      <c r="A6550" s="4" t="s">
        <v>5</v>
      </c>
      <c r="B6550" s="4">
        <v>469692</v>
      </c>
      <c r="C6550" s="4">
        <v>4059</v>
      </c>
      <c r="D6550" s="5" t="s">
        <v>9279</v>
      </c>
      <c r="E6550" s="6" t="str">
        <f>HYPERLINK("https://inpn.mnhn.fr/espece/cd_nom/469692","Galerina annulata f. megaspora (Kühner) Bon, 1991")</f>
        <v>Galerina annulata f. megaspora (Kühner) Bon, 1991</v>
      </c>
      <c r="V6550" s="7" t="str">
        <f>HYPERLINK("#Liste_rouge!A"&amp;_xlfn.XMATCH("DD",Liste_rouge!A:A,2,1),"DD")</f>
        <v>DD</v>
      </c>
      <c r="Z6550" s="4" t="s">
        <v>443</v>
      </c>
      <c r="AA6550" s="4" t="s">
        <v>444</v>
      </c>
      <c r="AH6550" s="4" t="str">
        <f>HYPERLINK("#Statut_biogéographique!A"&amp;_xlfn.XMATCH("P",Statut_biogéographique!A:A,2,1),"P")</f>
        <v>P</v>
      </c>
      <c r="AP6550" s="4" t="s">
        <v>376</v>
      </c>
      <c r="AR6550" s="4" t="s">
        <v>377</v>
      </c>
    </row>
    <row r="6551" spans="1:44" ht="30">
      <c r="A6551" s="4" t="s">
        <v>5</v>
      </c>
      <c r="B6551" s="4">
        <v>469693</v>
      </c>
      <c r="C6551" s="4">
        <v>5219</v>
      </c>
      <c r="D6551" s="5" t="s">
        <v>9280</v>
      </c>
      <c r="E6551" s="6" t="str">
        <f>HYPERLINK("https://inpn.mnhn.fr/espece/cd_nom/469693","Galerina atkinsoniana var. sphagnorum A.H.Sm., 1964")</f>
        <v>Galerina atkinsoniana var. sphagnorum A.H.Sm., 1964</v>
      </c>
      <c r="V6551" s="7" t="str">
        <f>HYPERLINK("#Liste_rouge!A"&amp;_xlfn.XMATCH("DD",Liste_rouge!A:A,2,1),"DD")</f>
        <v>DD</v>
      </c>
      <c r="AH6551" s="4" t="str">
        <f>HYPERLINK("#Statut_biogéographique!A"&amp;_xlfn.XMATCH("P",Statut_biogéographique!A:A,2,1),"P")</f>
        <v>P</v>
      </c>
      <c r="AP6551" s="4" t="s">
        <v>376</v>
      </c>
      <c r="AR6551" s="4" t="s">
        <v>377</v>
      </c>
    </row>
    <row r="6552" spans="1:44" ht="30">
      <c r="A6552" s="4" t="s">
        <v>5</v>
      </c>
      <c r="B6552" s="4">
        <v>469694</v>
      </c>
      <c r="C6552" s="4">
        <v>5317</v>
      </c>
      <c r="D6552" s="5" t="s">
        <v>9281</v>
      </c>
      <c r="E6552" s="6" t="str">
        <f>HYPERLINK("https://inpn.mnhn.fr/espece/cd_nom/469694","Galerina muricellospora var. pachyspora (A.H.Sm. &amp; Singer) Courtec., 1985")</f>
        <v>Galerina muricellospora var. pachyspora (A.H.Sm. &amp; Singer) Courtec., 1985</v>
      </c>
      <c r="F6552" s="5" t="s">
        <v>9282</v>
      </c>
      <c r="V6552" s="7" t="str">
        <f>HYPERLINK("#Liste_rouge!A"&amp;_xlfn.XMATCH("DD",Liste_rouge!A:A,2,1),"DD")</f>
        <v>DD</v>
      </c>
      <c r="AH6552" s="4" t="str">
        <f>HYPERLINK("#Statut_biogéographique!A"&amp;_xlfn.XMATCH("P",Statut_biogéographique!A:A,2,1),"P")</f>
        <v>P</v>
      </c>
      <c r="AP6552" s="4" t="s">
        <v>376</v>
      </c>
      <c r="AR6552" s="4" t="s">
        <v>377</v>
      </c>
    </row>
    <row r="6553" spans="1:44" ht="30">
      <c r="A6553" s="4" t="s">
        <v>5</v>
      </c>
      <c r="B6553" s="4">
        <v>469700</v>
      </c>
      <c r="C6553" s="4">
        <v>677</v>
      </c>
      <c r="D6553" s="5" t="s">
        <v>9283</v>
      </c>
      <c r="E6553" s="6" t="str">
        <f>HYPERLINK("https://inpn.mnhn.fr/espece/cd_nom/469700","Gyroporus cyanescens f. immutabilis J.Charb., C.Lej. &amp; M.Xavier, 2001")</f>
        <v>Gyroporus cyanescens f. immutabilis J.Charb., C.Lej. &amp; M.Xavier, 2001</v>
      </c>
      <c r="F6553" s="5" t="s">
        <v>9284</v>
      </c>
      <c r="V6553" s="7" t="str">
        <f>HYPERLINK("#Liste_rouge!A"&amp;_xlfn.XMATCH("LC",Liste_rouge!A:A,2,1),"LC")</f>
        <v>LC</v>
      </c>
      <c r="AH6553" s="4" t="str">
        <f>HYPERLINK("#Statut_biogéographique!A"&amp;_xlfn.XMATCH("P",Statut_biogéographique!A:A,2,1),"P")</f>
        <v>P</v>
      </c>
      <c r="AP6553" s="4" t="s">
        <v>376</v>
      </c>
      <c r="AR6553" s="4" t="s">
        <v>377</v>
      </c>
    </row>
    <row r="6554" spans="1:44" ht="30">
      <c r="A6554" s="4" t="s">
        <v>5</v>
      </c>
      <c r="B6554" s="4">
        <v>469703</v>
      </c>
      <c r="C6554" s="4">
        <v>3773</v>
      </c>
      <c r="D6554" s="5" t="s">
        <v>9285</v>
      </c>
      <c r="E6554" s="6" t="str">
        <f>HYPERLINK("https://inpn.mnhn.fr/espece/cd_nom/469703","Hebeloma mesophaeum var. cremeovelatum Bon &amp; Quadr., 1985")</f>
        <v>Hebeloma mesophaeum var. cremeovelatum Bon &amp; Quadr., 1985</v>
      </c>
      <c r="V6554" s="7" t="str">
        <f>HYPERLINK("#Liste_rouge!A"&amp;_xlfn.XMATCH("DD",Liste_rouge!A:A,2,1),"DD")</f>
        <v>DD</v>
      </c>
      <c r="AH6554" s="4" t="str">
        <f>HYPERLINK("#Statut_biogéographique!A"&amp;_xlfn.XMATCH("P",Statut_biogéographique!A:A,2,1),"P")</f>
        <v>P</v>
      </c>
      <c r="AP6554" s="4" t="s">
        <v>376</v>
      </c>
      <c r="AR6554" s="4" t="s">
        <v>377</v>
      </c>
    </row>
    <row r="6555" spans="1:44" ht="30">
      <c r="A6555" s="4" t="s">
        <v>5</v>
      </c>
      <c r="B6555" s="4">
        <v>469704</v>
      </c>
      <c r="C6555" s="4">
        <v>3958</v>
      </c>
      <c r="D6555" s="5" t="s">
        <v>9286</v>
      </c>
      <c r="E6555" s="6" t="str">
        <f>HYPERLINK("https://inpn.mnhn.fr/espece/cd_nom/469704","Hebeloma mesophaeum var. holophaeum (Fr.) Sacc., 1887")</f>
        <v>Hebeloma mesophaeum var. holophaeum (Fr.) Sacc., 1887</v>
      </c>
      <c r="V6555" s="7" t="str">
        <f>HYPERLINK("#Liste_rouge!A"&amp;_xlfn.XMATCH("DD",Liste_rouge!A:A,2,1),"DD")</f>
        <v>DD</v>
      </c>
      <c r="AH6555" s="4" t="str">
        <f>HYPERLINK("#Statut_biogéographique!A"&amp;_xlfn.XMATCH("P",Statut_biogéographique!A:A,2,1),"P")</f>
        <v>P</v>
      </c>
      <c r="AP6555" s="4" t="s">
        <v>376</v>
      </c>
      <c r="AR6555" s="4" t="s">
        <v>377</v>
      </c>
    </row>
    <row r="6556" spans="1:44" ht="30">
      <c r="A6556" s="4" t="s">
        <v>5</v>
      </c>
      <c r="B6556" s="4">
        <v>469713</v>
      </c>
      <c r="C6556" s="4">
        <v>4706</v>
      </c>
      <c r="D6556" s="5" t="s">
        <v>9287</v>
      </c>
      <c r="E6556" s="6" t="str">
        <f>HYPERLINK("https://inpn.mnhn.fr/espece/cd_nom/469713","Hemimycena lactea var. tetraspora (Kühner &amp; Valla) Courtec., 1986")</f>
        <v>Hemimycena lactea var. tetraspora (Kühner &amp; Valla) Courtec., 1986</v>
      </c>
      <c r="V6556" s="7" t="str">
        <f>HYPERLINK("#Liste_rouge!A"&amp;_xlfn.XMATCH("DD",Liste_rouge!A:A,2,1),"DD")</f>
        <v>DD</v>
      </c>
      <c r="AH6556" s="4" t="str">
        <f>HYPERLINK("#Statut_biogéographique!A"&amp;_xlfn.XMATCH("P",Statut_biogéographique!A:A,2,1),"P")</f>
        <v>P</v>
      </c>
      <c r="AP6556" s="4" t="s">
        <v>376</v>
      </c>
      <c r="AR6556" s="4" t="s">
        <v>377</v>
      </c>
    </row>
    <row r="6557" spans="1:44" ht="30">
      <c r="A6557" s="4" t="s">
        <v>5</v>
      </c>
      <c r="B6557" s="4">
        <v>469719</v>
      </c>
      <c r="C6557" s="4">
        <v>3307</v>
      </c>
      <c r="D6557" s="5" t="s">
        <v>9288</v>
      </c>
      <c r="E6557" s="6" t="str">
        <f>HYPERLINK("https://inpn.mnhn.fr/espece/cd_nom/469719","Hohenbuehelia fluxilis var. grisea (Peck) P.Roux, 2008")</f>
        <v>Hohenbuehelia fluxilis var. grisea (Peck) P.Roux, 2008</v>
      </c>
      <c r="F6557" s="5" t="s">
        <v>9289</v>
      </c>
      <c r="V6557" s="7" t="str">
        <f>HYPERLINK("#Liste_rouge!A"&amp;_xlfn.XMATCH("DD",Liste_rouge!A:A,2,1),"DD")</f>
        <v>DD</v>
      </c>
      <c r="Z6557" s="4" t="s">
        <v>447</v>
      </c>
      <c r="AA6557" s="4" t="s">
        <v>448</v>
      </c>
      <c r="AH6557" s="4" t="str">
        <f>HYPERLINK("#Statut_biogéographique!A"&amp;_xlfn.XMATCH("P",Statut_biogéographique!A:A,2,1),"P")</f>
        <v>P</v>
      </c>
      <c r="AP6557" s="4" t="s">
        <v>376</v>
      </c>
      <c r="AR6557" s="4" t="s">
        <v>377</v>
      </c>
    </row>
    <row r="6558" spans="1:44" ht="30">
      <c r="A6558" s="4" t="s">
        <v>5</v>
      </c>
      <c r="B6558" s="4">
        <v>469723</v>
      </c>
      <c r="C6558" s="4">
        <v>3797</v>
      </c>
      <c r="D6558" s="5" t="s">
        <v>9290</v>
      </c>
      <c r="E6558" s="6" t="str">
        <f>HYPERLINK("https://inpn.mnhn.fr/espece/cd_nom/469723","Hydnum repandum var. album (Quél.) Rea, 1922")</f>
        <v>Hydnum repandum var. album (Quél.) Rea, 1922</v>
      </c>
      <c r="F6558" s="5" t="s">
        <v>9291</v>
      </c>
      <c r="V6558" s="7" t="str">
        <f>HYPERLINK("#Liste_rouge!A"&amp;_xlfn.XMATCH("LC",Liste_rouge!A:A,2,1),"LC")</f>
        <v>LC</v>
      </c>
      <c r="AH6558" s="4" t="str">
        <f>HYPERLINK("#Statut_biogéographique!A"&amp;_xlfn.XMATCH("P",Statut_biogéographique!A:A,2,1),"P")</f>
        <v>P</v>
      </c>
      <c r="AP6558" s="4" t="s">
        <v>376</v>
      </c>
      <c r="AR6558" s="4" t="s">
        <v>377</v>
      </c>
    </row>
    <row r="6559" spans="1:44" ht="30">
      <c r="A6559" s="4" t="s">
        <v>5</v>
      </c>
      <c r="B6559" s="4">
        <v>469731</v>
      </c>
      <c r="C6559" s="4">
        <v>1638</v>
      </c>
      <c r="D6559" s="5" t="s">
        <v>9292</v>
      </c>
      <c r="E6559" s="6" t="str">
        <f>HYPERLINK("https://inpn.mnhn.fr/espece/cd_nom/469731","Hygrocybe conica var. tristis (Bres.) Heinem., 1963")</f>
        <v>Hygrocybe conica var. tristis (Bres.) Heinem., 1963</v>
      </c>
      <c r="F6559" s="5" t="s">
        <v>9293</v>
      </c>
      <c r="V6559" s="7" t="str">
        <f>HYPERLINK("#Liste_rouge!A"&amp;_xlfn.XMATCH("DD",Liste_rouge!A:A,2,1),"DD")</f>
        <v>DD</v>
      </c>
      <c r="AH6559" s="4" t="str">
        <f>HYPERLINK("#Statut_biogéographique!A"&amp;_xlfn.XMATCH("P",Statut_biogéographique!A:A,2,1),"P")</f>
        <v>P</v>
      </c>
      <c r="AP6559" s="4" t="s">
        <v>376</v>
      </c>
      <c r="AR6559" s="4" t="s">
        <v>377</v>
      </c>
    </row>
    <row r="6560" spans="1:44" ht="30">
      <c r="A6560" s="4" t="s">
        <v>5</v>
      </c>
      <c r="B6560" s="4">
        <v>469732</v>
      </c>
      <c r="C6560" s="4">
        <v>1144</v>
      </c>
      <c r="D6560" s="5" t="s">
        <v>9294</v>
      </c>
      <c r="E6560" s="6" t="str">
        <f>HYPERLINK("https://inpn.mnhn.fr/espece/cd_nom/469732","Hygrocybe fornicata var. streptopus (Fr.) Arnolds, 1985")</f>
        <v>Hygrocybe fornicata var. streptopus (Fr.) Arnolds, 1985</v>
      </c>
      <c r="V6560" s="7" t="str">
        <f>HYPERLINK("#Liste_rouge!A"&amp;_xlfn.XMATCH("EN",Liste_rouge!A:A,2,1),"EN")</f>
        <v>EN</v>
      </c>
      <c r="W6560" s="4" t="str">
        <f>HYPERLINK("#Critères_liste_rouge!A$1","B2abiii")</f>
        <v>B2abiii</v>
      </c>
      <c r="Z6560" s="4" t="s">
        <v>447</v>
      </c>
      <c r="AA6560" s="4" t="s">
        <v>448</v>
      </c>
      <c r="AH6560" s="4" t="str">
        <f>HYPERLINK("#Statut_biogéographique!A"&amp;_xlfn.XMATCH("P",Statut_biogéographique!A:A,2,1),"P")</f>
        <v>P</v>
      </c>
      <c r="AP6560" s="4" t="s">
        <v>376</v>
      </c>
      <c r="AR6560" s="4" t="s">
        <v>377</v>
      </c>
    </row>
    <row r="6561" spans="1:44">
      <c r="A6561" s="4" t="s">
        <v>5</v>
      </c>
      <c r="B6561" s="4">
        <v>469733</v>
      </c>
      <c r="C6561" s="4">
        <v>4940</v>
      </c>
      <c r="D6561" s="5" t="s">
        <v>9295</v>
      </c>
      <c r="E6561" s="6" t="str">
        <f>HYPERLINK("https://inpn.mnhn.fr/espece/cd_nom/469733","Hygrocybe glutinipes var. rubra Bon, 1983")</f>
        <v>Hygrocybe glutinipes var. rubra Bon, 1983</v>
      </c>
      <c r="F6561" s="5" t="s">
        <v>9296</v>
      </c>
      <c r="V6561" s="7" t="str">
        <f>HYPERLINK("#Liste_rouge!A"&amp;_xlfn.XMATCH("DD",Liste_rouge!A:A,2,1),"DD")</f>
        <v>DD</v>
      </c>
      <c r="Z6561" s="4" t="s">
        <v>447</v>
      </c>
      <c r="AA6561" s="4" t="s">
        <v>448</v>
      </c>
      <c r="AH6561" s="4" t="str">
        <f>HYPERLINK("#Statut_biogéographique!A"&amp;_xlfn.XMATCH("P",Statut_biogéographique!A:A,2,1),"P")</f>
        <v>P</v>
      </c>
      <c r="AP6561" s="4" t="s">
        <v>376</v>
      </c>
      <c r="AR6561" s="4" t="s">
        <v>377</v>
      </c>
    </row>
    <row r="6562" spans="1:44" ht="30">
      <c r="A6562" s="4" t="s">
        <v>5</v>
      </c>
      <c r="B6562" s="4">
        <v>469739</v>
      </c>
      <c r="C6562" s="4">
        <v>5174</v>
      </c>
      <c r="D6562" s="5" t="s">
        <v>9297</v>
      </c>
      <c r="E6562" s="6" t="str">
        <f>HYPERLINK("https://inpn.mnhn.fr/espece/cd_nom/469739","Hygrocybe konradii var. pseudopersistens Bon, 1978")</f>
        <v>Hygrocybe konradii var. pseudopersistens Bon, 1978</v>
      </c>
      <c r="V6562" s="7" t="str">
        <f>HYPERLINK("#Liste_rouge!A"&amp;_xlfn.XMATCH("DD",Liste_rouge!A:A,2,1),"DD")</f>
        <v>DD</v>
      </c>
      <c r="Z6562" s="4" t="s">
        <v>695</v>
      </c>
      <c r="AA6562" s="4" t="s">
        <v>696</v>
      </c>
      <c r="AH6562" s="4" t="str">
        <f>HYPERLINK("#Statut_biogéographique!A"&amp;_xlfn.XMATCH("P",Statut_biogéographique!A:A,2,1),"P")</f>
        <v>P</v>
      </c>
      <c r="AP6562" s="4" t="s">
        <v>376</v>
      </c>
      <c r="AR6562" s="4" t="s">
        <v>377</v>
      </c>
    </row>
    <row r="6563" spans="1:44" ht="30">
      <c r="A6563" s="4" t="s">
        <v>5</v>
      </c>
      <c r="B6563" s="4">
        <v>469747</v>
      </c>
      <c r="C6563" s="4">
        <v>1976</v>
      </c>
      <c r="D6563" s="5" t="s">
        <v>9298</v>
      </c>
      <c r="E6563" s="6" t="str">
        <f>HYPERLINK("https://inpn.mnhn.fr/espece/cd_nom/469747","Hygrophoropsis aurantiaca var. pallida (Cooke) Kühner &amp; Romagn., 1953")</f>
        <v>Hygrophoropsis aurantiaca var. pallida (Cooke) Kühner &amp; Romagn., 1953</v>
      </c>
      <c r="F6563" s="5" t="s">
        <v>9299</v>
      </c>
      <c r="V6563" s="7" t="str">
        <f>HYPERLINK("#Liste_rouge!A"&amp;_xlfn.XMATCH("DD",Liste_rouge!A:A,2,1),"DD")</f>
        <v>DD</v>
      </c>
      <c r="Z6563" s="4" t="s">
        <v>443</v>
      </c>
      <c r="AA6563" s="4" t="s">
        <v>444</v>
      </c>
      <c r="AH6563" s="4" t="str">
        <f>HYPERLINK("#Statut_biogéographique!A"&amp;_xlfn.XMATCH("P",Statut_biogéographique!A:A,2,1),"P")</f>
        <v>P</v>
      </c>
      <c r="AP6563" s="4" t="s">
        <v>376</v>
      </c>
      <c r="AR6563" s="4" t="s">
        <v>377</v>
      </c>
    </row>
    <row r="6564" spans="1:44" ht="30">
      <c r="A6564" s="4" t="s">
        <v>5</v>
      </c>
      <c r="B6564" s="4">
        <v>469749</v>
      </c>
      <c r="C6564" s="4">
        <v>3198</v>
      </c>
      <c r="D6564" s="5" t="s">
        <v>9300</v>
      </c>
      <c r="E6564" s="6" t="str">
        <f>HYPERLINK("https://inpn.mnhn.fr/espece/cd_nom/469749","Hygrophorus agathosmus f. albus Candusso, 1997")</f>
        <v>Hygrophorus agathosmus f. albus Candusso, 1997</v>
      </c>
      <c r="F6564" s="5" t="s">
        <v>9301</v>
      </c>
      <c r="V6564" s="7" t="str">
        <f>HYPERLINK("#Liste_rouge!A"&amp;_xlfn.XMATCH("LC",Liste_rouge!A:A,2,1),"LC")</f>
        <v>LC</v>
      </c>
      <c r="AH6564" s="4" t="str">
        <f>HYPERLINK("#Statut_biogéographique!A"&amp;_xlfn.XMATCH("P",Statut_biogéographique!A:A,2,1),"P")</f>
        <v>P</v>
      </c>
      <c r="AP6564" s="4" t="s">
        <v>376</v>
      </c>
      <c r="AR6564" s="4" t="s">
        <v>377</v>
      </c>
    </row>
    <row r="6565" spans="1:44" ht="30">
      <c r="A6565" s="4" t="s">
        <v>5</v>
      </c>
      <c r="B6565" s="4">
        <v>469758</v>
      </c>
      <c r="C6565" s="4">
        <v>1548</v>
      </c>
      <c r="D6565" s="5" t="s">
        <v>9302</v>
      </c>
      <c r="E6565" s="6" t="str">
        <f>HYPERLINK("https://inpn.mnhn.fr/espece/cd_nom/469758","Hypholoma epixanthum var. radicosum (J.E.Lange) Bon &amp; P.Roux, 2003")</f>
        <v>Hypholoma epixanthum var. radicosum (J.E.Lange) Bon &amp; P.Roux, 2003</v>
      </c>
      <c r="F6565" s="5" t="s">
        <v>7003</v>
      </c>
      <c r="V6565" s="7" t="str">
        <f>HYPERLINK("#Liste_rouge!A"&amp;_xlfn.XMATCH("LC",Liste_rouge!A:A,2,1),"LC")</f>
        <v>LC</v>
      </c>
      <c r="W6565" s="4" t="str">
        <f>HYPERLINK("#Critères_liste_rouge!A$1","pr. B2abiii")</f>
        <v>pr. B2abiii</v>
      </c>
      <c r="AH6565" s="4" t="str">
        <f>HYPERLINK("#Statut_biogéographique!A"&amp;_xlfn.XMATCH("P",Statut_biogéographique!A:A,2,1),"P")</f>
        <v>P</v>
      </c>
      <c r="AP6565" s="4" t="s">
        <v>376</v>
      </c>
      <c r="AR6565" s="4" t="s">
        <v>377</v>
      </c>
    </row>
    <row r="6566" spans="1:44" ht="30">
      <c r="A6566" s="4" t="s">
        <v>5</v>
      </c>
      <c r="B6566" s="4">
        <v>469760</v>
      </c>
      <c r="C6566" s="4">
        <v>2158</v>
      </c>
      <c r="D6566" s="5" t="s">
        <v>9303</v>
      </c>
      <c r="E6566" s="6" t="str">
        <f>HYPERLINK("https://inpn.mnhn.fr/espece/cd_nom/469760","Hypholoma lateritium var. pomposum (Bolton) P.Roux &amp; Guy García, 2006")</f>
        <v>Hypholoma lateritium var. pomposum (Bolton) P.Roux &amp; Guy García, 2006</v>
      </c>
      <c r="F6566" s="5" t="s">
        <v>9304</v>
      </c>
      <c r="V6566" s="7" t="str">
        <f>HYPERLINK("#Liste_rouge!A"&amp;_xlfn.XMATCH("DD",Liste_rouge!A:A,2,1),"DD")</f>
        <v>DD</v>
      </c>
      <c r="AH6566" s="4" t="str">
        <f>HYPERLINK("#Statut_biogéographique!A"&amp;_xlfn.XMATCH("P",Statut_biogéographique!A:A,2,1),"P")</f>
        <v>P</v>
      </c>
      <c r="AP6566" s="4" t="s">
        <v>376</v>
      </c>
      <c r="AR6566" s="4" t="s">
        <v>377</v>
      </c>
    </row>
    <row r="6567" spans="1:44" ht="30">
      <c r="A6567" s="4" t="s">
        <v>5</v>
      </c>
      <c r="B6567" s="4">
        <v>469769</v>
      </c>
      <c r="C6567" s="4">
        <v>3325</v>
      </c>
      <c r="D6567" s="5" t="s">
        <v>9305</v>
      </c>
      <c r="E6567" s="6" t="str">
        <f>HYPERLINK("https://inpn.mnhn.fr/espece/cd_nom/469769","Inocybe curvipes var. globocystis (Velen.) Bon, 1998")</f>
        <v>Inocybe curvipes var. globocystis (Velen.) Bon, 1998</v>
      </c>
      <c r="F6567" s="5" t="s">
        <v>9306</v>
      </c>
      <c r="Z6567" s="4" t="s">
        <v>443</v>
      </c>
      <c r="AA6567" s="4" t="s">
        <v>444</v>
      </c>
      <c r="AH6567" s="4" t="str">
        <f>HYPERLINK("#Statut_biogéographique!A"&amp;_xlfn.XMATCH("P",Statut_biogéographique!A:A,2,1),"P")</f>
        <v>P</v>
      </c>
      <c r="AP6567" s="4" t="s">
        <v>376</v>
      </c>
      <c r="AR6567" s="4" t="s">
        <v>377</v>
      </c>
    </row>
    <row r="6568" spans="1:44" ht="30">
      <c r="A6568" s="4" t="s">
        <v>5</v>
      </c>
      <c r="B6568" s="4">
        <v>469785</v>
      </c>
      <c r="C6568" s="4">
        <v>2018</v>
      </c>
      <c r="D6568" s="5" t="s">
        <v>9307</v>
      </c>
      <c r="E6568" s="6" t="str">
        <f>HYPERLINK("https://inpn.mnhn.fr/espece/cd_nom/469785","Inocybe eutheles var. kuehneri (Stangl &amp; J.Veselský) Reumaux, 1984")</f>
        <v>Inocybe eutheles var. kuehneri (Stangl &amp; J.Veselský) Reumaux, 1984</v>
      </c>
      <c r="F6568" s="5" t="s">
        <v>9308</v>
      </c>
      <c r="V6568" s="7" t="str">
        <f>HYPERLINK("#Liste_rouge!A"&amp;_xlfn.XMATCH("LC",Liste_rouge!A:A,2,1),"LC")</f>
        <v>LC</v>
      </c>
      <c r="AH6568" s="4" t="str">
        <f>HYPERLINK("#Statut_biogéographique!A"&amp;_xlfn.XMATCH("P",Statut_biogéographique!A:A,2,1),"P")</f>
        <v>P</v>
      </c>
      <c r="AP6568" s="4" t="s">
        <v>376</v>
      </c>
      <c r="AR6568" s="4" t="s">
        <v>377</v>
      </c>
    </row>
    <row r="6569" spans="1:44">
      <c r="A6569" s="4" t="s">
        <v>5</v>
      </c>
      <c r="B6569" s="4">
        <v>469786</v>
      </c>
      <c r="C6569" s="4">
        <v>5408</v>
      </c>
      <c r="D6569" s="5" t="s">
        <v>9309</v>
      </c>
      <c r="E6569" s="6" t="str">
        <f>HYPERLINK("https://inpn.mnhn.fr/espece/cd_nom/469786","Inocybe fastigiata f. argentata Kühner, 1956")</f>
        <v>Inocybe fastigiata f. argentata Kühner, 1956</v>
      </c>
      <c r="AH6569" s="4" t="str">
        <f>HYPERLINK("#Statut_biogéographique!A"&amp;_xlfn.XMATCH("P",Statut_biogéographique!A:A,2,1),"P")</f>
        <v>P</v>
      </c>
      <c r="AP6569" s="4" t="s">
        <v>376</v>
      </c>
      <c r="AR6569" s="4" t="s">
        <v>377</v>
      </c>
    </row>
    <row r="6570" spans="1:44">
      <c r="A6570" s="4" t="s">
        <v>5</v>
      </c>
      <c r="B6570" s="4">
        <v>46980</v>
      </c>
      <c r="C6570" s="4">
        <v>414</v>
      </c>
      <c r="D6570" s="5" t="s">
        <v>9310</v>
      </c>
      <c r="E6570" s="6" t="str">
        <f>HYPERLINK("https://inpn.mnhn.fr/espece/cd_nom/46980","Diatrype bullata (Hoffm.) Fr., 1849")</f>
        <v>Diatrype bullata (Hoffm.) Fr., 1849</v>
      </c>
      <c r="F6570" s="5" t="s">
        <v>9311</v>
      </c>
      <c r="V6570" s="7" t="str">
        <f>HYPERLINK("#Liste_rouge!A"&amp;_xlfn.XMATCH("LC",Liste_rouge!A:A,2,1),"LC")</f>
        <v>LC</v>
      </c>
      <c r="AH6570" s="4" t="str">
        <f>HYPERLINK("#Statut_biogéographique!A"&amp;_xlfn.XMATCH("P",Statut_biogéographique!A:A,2,1),"P")</f>
        <v>P</v>
      </c>
      <c r="AP6570" s="4" t="s">
        <v>376</v>
      </c>
      <c r="AR6570" s="4" t="s">
        <v>377</v>
      </c>
    </row>
    <row r="6571" spans="1:44">
      <c r="A6571" s="4" t="s">
        <v>5</v>
      </c>
      <c r="B6571" s="4">
        <v>469805</v>
      </c>
      <c r="C6571" s="4">
        <v>2460</v>
      </c>
      <c r="D6571" s="5" t="s">
        <v>9312</v>
      </c>
      <c r="E6571" s="6" t="str">
        <f>HYPERLINK("https://inpn.mnhn.fr/espece/cd_nom/469805","Inocybe lacera f. griseolilacinoides Bon")</f>
        <v>Inocybe lacera f. griseolilacinoides Bon</v>
      </c>
      <c r="Z6571" s="4" t="s">
        <v>447</v>
      </c>
      <c r="AA6571" s="4" t="s">
        <v>448</v>
      </c>
      <c r="AH6571" s="4" t="str">
        <f>HYPERLINK("#Statut_biogéographique!A"&amp;_xlfn.XMATCH("P",Statut_biogéographique!A:A,2,1),"P")</f>
        <v>P</v>
      </c>
      <c r="AP6571" s="4" t="s">
        <v>376</v>
      </c>
      <c r="AR6571" s="4" t="s">
        <v>377</v>
      </c>
    </row>
    <row r="6572" spans="1:44">
      <c r="A6572" s="4" t="s">
        <v>5</v>
      </c>
      <c r="B6572" s="4">
        <v>469807</v>
      </c>
      <c r="C6572" s="4">
        <v>5497</v>
      </c>
      <c r="D6572" s="5" t="s">
        <v>9313</v>
      </c>
      <c r="E6572" s="6" t="str">
        <f>HYPERLINK("https://inpn.mnhn.fr/espece/cd_nom/469807","Inocybe lacera f. luteophylla Bon, 1979")</f>
        <v>Inocybe lacera f. luteophylla Bon, 1979</v>
      </c>
      <c r="AH6572" s="4" t="str">
        <f>HYPERLINK("#Statut_biogéographique!A"&amp;_xlfn.XMATCH("P",Statut_biogéographique!A:A,2,1),"P")</f>
        <v>P</v>
      </c>
      <c r="AP6572" s="4" t="s">
        <v>376</v>
      </c>
      <c r="AR6572" s="4" t="s">
        <v>377</v>
      </c>
    </row>
    <row r="6573" spans="1:44">
      <c r="A6573" s="4" t="s">
        <v>5</v>
      </c>
      <c r="B6573" s="4">
        <v>469811</v>
      </c>
      <c r="C6573" s="4">
        <v>4058</v>
      </c>
      <c r="D6573" s="5" t="s">
        <v>9314</v>
      </c>
      <c r="E6573" s="6" t="str">
        <f>HYPERLINK("https://inpn.mnhn.fr/espece/cd_nom/469811","Inocybe lacera var. helobia Kuyper, 1986")</f>
        <v>Inocybe lacera var. helobia Kuyper, 1986</v>
      </c>
      <c r="Z6573" s="4" t="s">
        <v>447</v>
      </c>
      <c r="AA6573" s="4" t="s">
        <v>448</v>
      </c>
      <c r="AH6573" s="4" t="str">
        <f>HYPERLINK("#Statut_biogéographique!A"&amp;_xlfn.XMATCH("P",Statut_biogéographique!A:A,2,1),"P")</f>
        <v>P</v>
      </c>
      <c r="AP6573" s="4" t="s">
        <v>376</v>
      </c>
      <c r="AR6573" s="4" t="s">
        <v>377</v>
      </c>
    </row>
    <row r="6574" spans="1:44" ht="30">
      <c r="A6574" s="4" t="s">
        <v>5</v>
      </c>
      <c r="B6574" s="4">
        <v>469815</v>
      </c>
      <c r="C6574" s="4">
        <v>2242</v>
      </c>
      <c r="D6574" s="5" t="s">
        <v>9315</v>
      </c>
      <c r="E6574" s="6" t="str">
        <f>HYPERLINK("https://inpn.mnhn.fr/espece/cd_nom/469815","Inocybe lanuginosa var. ovatocystis (Boursier &amp; Kühner) Stangl, 1989")</f>
        <v>Inocybe lanuginosa var. ovatocystis (Boursier &amp; Kühner) Stangl, 1989</v>
      </c>
      <c r="AH6574" s="4" t="str">
        <f>HYPERLINK("#Statut_biogéographique!A"&amp;_xlfn.XMATCH("P",Statut_biogéographique!A:A,2,1),"P")</f>
        <v>P</v>
      </c>
      <c r="AP6574" s="4" t="s">
        <v>376</v>
      </c>
      <c r="AR6574" s="4" t="s">
        <v>377</v>
      </c>
    </row>
    <row r="6575" spans="1:44">
      <c r="A6575" s="4" t="s">
        <v>5</v>
      </c>
      <c r="B6575" s="4">
        <v>469820</v>
      </c>
      <c r="C6575" s="4">
        <v>5812</v>
      </c>
      <c r="D6575" s="5" t="s">
        <v>9316</v>
      </c>
      <c r="E6575" s="6" t="str">
        <f>HYPERLINK("https://inpn.mnhn.fr/espece/cd_nom/469820","Inocybe mixtilis var. aurata Alessio, 1980")</f>
        <v>Inocybe mixtilis var. aurata Alessio, 1980</v>
      </c>
      <c r="AH6575" s="4" t="str">
        <f>HYPERLINK("#Statut_biogéographique!A"&amp;_xlfn.XMATCH("P",Statut_biogéographique!A:A,2,1),"P")</f>
        <v>P</v>
      </c>
      <c r="AP6575" s="4" t="s">
        <v>376</v>
      </c>
      <c r="AR6575" s="4" t="s">
        <v>377</v>
      </c>
    </row>
    <row r="6576" spans="1:44">
      <c r="A6576" s="4" t="s">
        <v>5</v>
      </c>
      <c r="B6576" s="4">
        <v>46983</v>
      </c>
      <c r="C6576" s="4">
        <v>347</v>
      </c>
      <c r="D6576" s="5" t="s">
        <v>9317</v>
      </c>
      <c r="E6576" s="6" t="str">
        <f>HYPERLINK("https://inpn.mnhn.fr/espece/cd_nom/46983","Diatrype disciformis (Hoffm.) Fr., 1849")</f>
        <v>Diatrype disciformis (Hoffm.) Fr., 1849</v>
      </c>
      <c r="F6576" s="5" t="s">
        <v>9318</v>
      </c>
      <c r="V6576" s="7" t="str">
        <f>HYPERLINK("#Liste_rouge!A"&amp;_xlfn.XMATCH("LC",Liste_rouge!A:A,2,1),"LC")</f>
        <v>LC</v>
      </c>
      <c r="AH6576" s="4" t="str">
        <f>HYPERLINK("#Statut_biogéographique!A"&amp;_xlfn.XMATCH("P",Statut_biogéographique!A:A,2,1),"P")</f>
        <v>P</v>
      </c>
      <c r="AP6576" s="4" t="s">
        <v>376</v>
      </c>
      <c r="AR6576" s="4" t="s">
        <v>377</v>
      </c>
    </row>
    <row r="6577" spans="1:44" ht="30">
      <c r="A6577" s="4" t="s">
        <v>5</v>
      </c>
      <c r="B6577" s="4">
        <v>469841</v>
      </c>
      <c r="C6577" s="4">
        <v>5719</v>
      </c>
      <c r="D6577" s="5" t="s">
        <v>9319</v>
      </c>
      <c r="E6577" s="6" t="str">
        <f>HYPERLINK("https://inpn.mnhn.fr/espece/cd_nom/469841","Inocybe xanthocephala f. roseipes (Bon) Bon, 1983")</f>
        <v>Inocybe xanthocephala f. roseipes (Bon) Bon, 1983</v>
      </c>
      <c r="V6577" s="7" t="str">
        <f>HYPERLINK("#Liste_rouge!A"&amp;_xlfn.XMATCH("DD",Liste_rouge!A:A,2,1),"DD")</f>
        <v>DD</v>
      </c>
      <c r="Z6577" s="4" t="s">
        <v>443</v>
      </c>
      <c r="AA6577" s="4" t="s">
        <v>444</v>
      </c>
      <c r="AH6577" s="4" t="str">
        <f>HYPERLINK("#Statut_biogéographique!A"&amp;_xlfn.XMATCH("P",Statut_biogéographique!A:A,2,1),"P")</f>
        <v>P</v>
      </c>
      <c r="AP6577" s="4" t="s">
        <v>376</v>
      </c>
      <c r="AR6577" s="4" t="s">
        <v>377</v>
      </c>
    </row>
    <row r="6578" spans="1:44" ht="30">
      <c r="A6578" s="4" t="s">
        <v>5</v>
      </c>
      <c r="B6578" s="4">
        <v>469857</v>
      </c>
      <c r="C6578" s="4">
        <v>5978</v>
      </c>
      <c r="D6578" s="5" t="s">
        <v>9320</v>
      </c>
      <c r="E6578" s="6" t="str">
        <f>HYPERLINK("https://inpn.mnhn.fr/espece/cd_nom/469857","Lactarius azonites f. virgineus (J.E.Lange) Verbeken, 1998")</f>
        <v>Lactarius azonites f. virgineus (J.E.Lange) Verbeken, 1998</v>
      </c>
      <c r="F6578" s="5" t="s">
        <v>9321</v>
      </c>
      <c r="AH6578" s="4" t="str">
        <f>HYPERLINK("#Statut_biogéographique!A"&amp;_xlfn.XMATCH("P",Statut_biogéographique!A:A,2,1),"P")</f>
        <v>P</v>
      </c>
      <c r="AP6578" s="4" t="s">
        <v>376</v>
      </c>
      <c r="AR6578" s="4" t="s">
        <v>377</v>
      </c>
    </row>
    <row r="6579" spans="1:44" ht="30">
      <c r="A6579" s="4" t="s">
        <v>5</v>
      </c>
      <c r="B6579" s="4">
        <v>46986</v>
      </c>
      <c r="C6579" s="4">
        <v>406</v>
      </c>
      <c r="D6579" s="5" t="s">
        <v>9322</v>
      </c>
      <c r="E6579" s="6" t="str">
        <f>HYPERLINK("https://inpn.mnhn.fr/espece/cd_nom/46986","Diatrype stigma (Hoffm.) Fr., 1849")</f>
        <v>Diatrype stigma (Hoffm.) Fr., 1849</v>
      </c>
      <c r="V6579" s="7" t="str">
        <f>HYPERLINK("#Liste_rouge!A"&amp;_xlfn.XMATCH("LC",Liste_rouge!A:A,2,1),"LC")</f>
        <v>LC</v>
      </c>
      <c r="AH6579" s="4" t="str">
        <f>HYPERLINK("#Statut_biogéographique!A"&amp;_xlfn.XMATCH("P",Statut_biogéographique!A:A,2,1),"P")</f>
        <v>P</v>
      </c>
      <c r="AP6579" s="4" t="s">
        <v>376</v>
      </c>
      <c r="AR6579" s="4" t="s">
        <v>377</v>
      </c>
    </row>
    <row r="6580" spans="1:44" ht="30">
      <c r="A6580" s="4" t="s">
        <v>5</v>
      </c>
      <c r="B6580" s="4">
        <v>469861</v>
      </c>
      <c r="C6580" s="4">
        <v>3202</v>
      </c>
      <c r="D6580" s="5" t="s">
        <v>9323</v>
      </c>
      <c r="E6580" s="6" t="str">
        <f>HYPERLINK("https://inpn.mnhn.fr/espece/cd_nom/469861","Lactarius britannicus f. pseudofulvissimus (Bon) Basso, 1999")</f>
        <v>Lactarius britannicus f. pseudofulvissimus (Bon) Basso, 1999</v>
      </c>
      <c r="F6580" s="5" t="s">
        <v>9324</v>
      </c>
      <c r="AH6580" s="4" t="str">
        <f>HYPERLINK("#Statut_biogéographique!A"&amp;_xlfn.XMATCH("P",Statut_biogéographique!A:A,2,1),"P")</f>
        <v>P</v>
      </c>
      <c r="AP6580" s="4" t="s">
        <v>376</v>
      </c>
      <c r="AR6580" s="4" t="s">
        <v>377</v>
      </c>
    </row>
    <row r="6581" spans="1:44" ht="30">
      <c r="A6581" s="4" t="s">
        <v>5</v>
      </c>
      <c r="B6581" s="4">
        <v>469864</v>
      </c>
      <c r="C6581" s="4">
        <v>1170</v>
      </c>
      <c r="D6581" s="5" t="s">
        <v>9325</v>
      </c>
      <c r="E6581" s="6" t="str">
        <f>HYPERLINK("https://inpn.mnhn.fr/espece/cd_nom/469864","Lactarius deliciosus f. rubescens J.Aug.Schmitt, 1974")</f>
        <v>Lactarius deliciosus f. rubescens J.Aug.Schmitt, 1974</v>
      </c>
      <c r="F6581" s="5" t="s">
        <v>9326</v>
      </c>
      <c r="AH6581" s="4" t="str">
        <f>HYPERLINK("#Statut_biogéographique!A"&amp;_xlfn.XMATCH("P",Statut_biogéographique!A:A,2,1),"P")</f>
        <v>P</v>
      </c>
      <c r="AP6581" s="4" t="s">
        <v>376</v>
      </c>
      <c r="AR6581" s="4" t="s">
        <v>377</v>
      </c>
    </row>
    <row r="6582" spans="1:44" ht="30">
      <c r="A6582" s="4" t="s">
        <v>5</v>
      </c>
      <c r="B6582" s="4">
        <v>469870</v>
      </c>
      <c r="C6582" s="4">
        <v>2273</v>
      </c>
      <c r="D6582" s="5" t="s">
        <v>9327</v>
      </c>
      <c r="E6582" s="6" t="str">
        <f>HYPERLINK("https://inpn.mnhn.fr/espece/cd_nom/469870","Lactarius quieticolor var. hemicyaneus (Romagn.) Basso, 1999")</f>
        <v>Lactarius quieticolor var. hemicyaneus (Romagn.) Basso, 1999</v>
      </c>
      <c r="F6582" s="5" t="s">
        <v>9328</v>
      </c>
      <c r="V6582" s="7" t="str">
        <f>HYPERLINK("#Liste_rouge!A"&amp;_xlfn.XMATCH("EN",Liste_rouge!A:A,2,1),"EN")</f>
        <v>EN</v>
      </c>
      <c r="W6582" s="4" t="str">
        <f>HYPERLINK("#Critères_liste_rouge!A$1","B2abiii")</f>
        <v>B2abiii</v>
      </c>
      <c r="Z6582" s="4" t="s">
        <v>447</v>
      </c>
      <c r="AA6582" s="4" t="s">
        <v>448</v>
      </c>
      <c r="AH6582" s="4" t="str">
        <f>HYPERLINK("#Statut_biogéographique!A"&amp;_xlfn.XMATCH("P",Statut_biogéographique!A:A,2,1),"P")</f>
        <v>P</v>
      </c>
      <c r="AP6582" s="4" t="s">
        <v>376</v>
      </c>
      <c r="AR6582" s="4" t="s">
        <v>377</v>
      </c>
    </row>
    <row r="6583" spans="1:44">
      <c r="A6583" s="4" t="s">
        <v>5</v>
      </c>
      <c r="B6583" s="4">
        <v>469874</v>
      </c>
      <c r="C6583" s="4">
        <v>3329</v>
      </c>
      <c r="D6583" s="5" t="s">
        <v>9329</v>
      </c>
      <c r="E6583" s="6" t="str">
        <f>HYPERLINK("https://inpn.mnhn.fr/espece/cd_nom/469874","Lactarius trivialis var. minor J.Blum, 1966")</f>
        <v>Lactarius trivialis var. minor J.Blum, 1966</v>
      </c>
      <c r="F6583" s="5" t="s">
        <v>9330</v>
      </c>
      <c r="AH6583" s="4" t="str">
        <f>HYPERLINK("#Statut_biogéographique!A"&amp;_xlfn.XMATCH("P",Statut_biogéographique!A:A,2,1),"P")</f>
        <v>P</v>
      </c>
      <c r="AP6583" s="4" t="s">
        <v>376</v>
      </c>
      <c r="AR6583" s="4" t="s">
        <v>377</v>
      </c>
    </row>
    <row r="6584" spans="1:44" ht="30">
      <c r="A6584" s="4" t="s">
        <v>5</v>
      </c>
      <c r="B6584" s="4">
        <v>469877</v>
      </c>
      <c r="C6584" s="4">
        <v>4796</v>
      </c>
      <c r="D6584" s="5" t="s">
        <v>9331</v>
      </c>
      <c r="E6584" s="6" t="str">
        <f>HYPERLINK("https://inpn.mnhn.fr/espece/cd_nom/469877","Lactarius uvidus var. candidulus Neuhoff, 1956")</f>
        <v>Lactarius uvidus var. candidulus Neuhoff, 1956</v>
      </c>
      <c r="V6584" s="7" t="str">
        <f>HYPERLINK("#Liste_rouge!A"&amp;_xlfn.XMATCH("EN",Liste_rouge!A:A,2,1),"EN")</f>
        <v>EN</v>
      </c>
      <c r="W6584" s="4" t="str">
        <f>HYPERLINK("#Critères_liste_rouge!A$1","B2abiii")</f>
        <v>B2abiii</v>
      </c>
      <c r="Z6584" s="4" t="s">
        <v>447</v>
      </c>
      <c r="AA6584" s="4" t="s">
        <v>448</v>
      </c>
      <c r="AH6584" s="4" t="str">
        <f>HYPERLINK("#Statut_biogéographique!A"&amp;_xlfn.XMATCH("P",Statut_biogéographique!A:A,2,1),"P")</f>
        <v>P</v>
      </c>
      <c r="AP6584" s="4" t="s">
        <v>376</v>
      </c>
      <c r="AR6584" s="4" t="s">
        <v>377</v>
      </c>
    </row>
    <row r="6585" spans="1:44">
      <c r="A6585" s="4" t="s">
        <v>5</v>
      </c>
      <c r="B6585" s="4">
        <v>469878</v>
      </c>
      <c r="C6585" s="4">
        <v>1266</v>
      </c>
      <c r="D6585" s="5" t="s">
        <v>9332</v>
      </c>
      <c r="E6585" s="6" t="str">
        <f>HYPERLINK("https://inpn.mnhn.fr/espece/cd_nom/469878","Lactarius uvidus var. pallidus Bres., 1915")</f>
        <v>Lactarius uvidus var. pallidus Bres., 1915</v>
      </c>
      <c r="F6585" s="5" t="s">
        <v>9333</v>
      </c>
      <c r="V6585" s="7" t="str">
        <f>HYPERLINK("#Liste_rouge!A"&amp;_xlfn.XMATCH("DD",Liste_rouge!A:A,2,1),"DD")</f>
        <v>DD</v>
      </c>
      <c r="AH6585" s="4" t="str">
        <f>HYPERLINK("#Statut_biogéographique!A"&amp;_xlfn.XMATCH("P",Statut_biogéographique!A:A,2,1),"P")</f>
        <v>P</v>
      </c>
      <c r="AP6585" s="4" t="s">
        <v>376</v>
      </c>
      <c r="AR6585" s="4" t="s">
        <v>377</v>
      </c>
    </row>
    <row r="6586" spans="1:44" ht="30">
      <c r="A6586" s="4" t="s">
        <v>5</v>
      </c>
      <c r="B6586" s="4">
        <v>469886</v>
      </c>
      <c r="C6586" s="4">
        <v>78</v>
      </c>
      <c r="D6586" s="5" t="s">
        <v>9334</v>
      </c>
      <c r="E6586" s="6" t="str">
        <f>HYPERLINK("https://inpn.mnhn.fr/espece/cd_nom/469886","Leccinum duriusculum f. robustum Lannoy &amp; Estadès, 1994")</f>
        <v>Leccinum duriusculum f. robustum Lannoy &amp; Estadès, 1994</v>
      </c>
      <c r="F6586" s="5" t="s">
        <v>9335</v>
      </c>
      <c r="V6586" s="7" t="str">
        <f>HYPERLINK("#Liste_rouge!A"&amp;_xlfn.XMATCH("LC",Liste_rouge!A:A,2,1),"LC")</f>
        <v>LC</v>
      </c>
      <c r="AH6586" s="4" t="str">
        <f>HYPERLINK("#Statut_biogéographique!A"&amp;_xlfn.XMATCH("P",Statut_biogéographique!A:A,2,1),"P")</f>
        <v>P</v>
      </c>
      <c r="AP6586" s="4" t="s">
        <v>376</v>
      </c>
      <c r="AR6586" s="4" t="s">
        <v>377</v>
      </c>
    </row>
    <row r="6587" spans="1:44" ht="30">
      <c r="A6587" s="4" t="s">
        <v>5</v>
      </c>
      <c r="B6587" s="4">
        <v>469901</v>
      </c>
      <c r="D6587" s="5" t="s">
        <v>9336</v>
      </c>
      <c r="E6587" s="6" t="str">
        <f>HYPERLINK("https://inpn.mnhn.fr/espece/cd_nom/469901","Lepiota oreadiformis var. laevigata (J.E.Lange) Bon, 1993")</f>
        <v>Lepiota oreadiformis var. laevigata (J.E.Lange) Bon, 1993</v>
      </c>
      <c r="V6587" s="7" t="str">
        <f>HYPERLINK("#Liste_rouge!A"&amp;_xlfn.XMATCH("CR",Liste_rouge!A:A,2,1),"CR")</f>
        <v>CR</v>
      </c>
      <c r="W6587" s="4" t="str">
        <f>HYPERLINK("#Critères_liste_rouge!A$1","B2abiii")</f>
        <v>B2abiii</v>
      </c>
      <c r="AH6587" s="4" t="str">
        <f>HYPERLINK("#Statut_biogéographique!A"&amp;_xlfn.XMATCH("P",Statut_biogéographique!A:A,2,1),"P")</f>
        <v>P</v>
      </c>
      <c r="AP6587" s="4" t="s">
        <v>376</v>
      </c>
      <c r="AR6587" s="4" t="s">
        <v>377</v>
      </c>
    </row>
    <row r="6588" spans="1:44" ht="30">
      <c r="A6588" s="4" t="s">
        <v>5</v>
      </c>
      <c r="B6588" s="4">
        <v>469910</v>
      </c>
      <c r="D6588" s="5" t="s">
        <v>9337</v>
      </c>
      <c r="E6588" s="6" t="str">
        <f>HYPERLINK("https://inpn.mnhn.fr/espece/cd_nom/469910","Lepista panaeolus var. nimbata (Batsch) Bon, 1985")</f>
        <v>Lepista panaeolus var. nimbata (Batsch) Bon, 1985</v>
      </c>
      <c r="AH6588" s="4" t="str">
        <f>HYPERLINK("#Statut_biogéographique!A"&amp;_xlfn.XMATCH("P",Statut_biogéographique!A:A,2,1),"P")</f>
        <v>P</v>
      </c>
      <c r="AP6588" s="4" t="s">
        <v>376</v>
      </c>
      <c r="AR6588" s="4" t="s">
        <v>377</v>
      </c>
    </row>
    <row r="6589" spans="1:44" ht="30">
      <c r="A6589" s="4" t="s">
        <v>5</v>
      </c>
      <c r="B6589" s="4">
        <v>469913</v>
      </c>
      <c r="D6589" s="5" t="s">
        <v>9338</v>
      </c>
      <c r="E6589" s="6" t="str">
        <f>HYPERLINK("https://inpn.mnhn.fr/espece/cd_nom/469913","Lepista sordida var. umbonata (Bon) Bon, 1980")</f>
        <v>Lepista sordida var. umbonata (Bon) Bon, 1980</v>
      </c>
      <c r="AH6589" s="4" t="str">
        <f>HYPERLINK("#Statut_biogéographique!A"&amp;_xlfn.XMATCH("P",Statut_biogéographique!A:A,2,1),"P")</f>
        <v>P</v>
      </c>
      <c r="AP6589" s="4" t="s">
        <v>376</v>
      </c>
      <c r="AR6589" s="4" t="s">
        <v>377</v>
      </c>
    </row>
    <row r="6590" spans="1:44">
      <c r="A6590" s="4" t="s">
        <v>5</v>
      </c>
      <c r="B6590" s="4">
        <v>46992</v>
      </c>
      <c r="C6590" s="4">
        <v>2931</v>
      </c>
      <c r="D6590" s="5">
        <v>46992</v>
      </c>
      <c r="E6590" s="6" t="str">
        <f>HYPERLINK("https://inpn.mnhn.fr/espece/cd_nom/46992","Diatrypella favacea (Fr.) Ces. &amp; De Not., 1863")</f>
        <v>Diatrypella favacea (Fr.) Ces. &amp; De Not., 1863</v>
      </c>
      <c r="V6590" s="7" t="str">
        <f>HYPERLINK("#Liste_rouge!A"&amp;_xlfn.XMATCH("LC",Liste_rouge!A:A,2,1),"LC")</f>
        <v>LC</v>
      </c>
      <c r="AH6590" s="4" t="str">
        <f>HYPERLINK("#Statut_biogéographique!A"&amp;_xlfn.XMATCH("P",Statut_biogéographique!A:A,2,1),"P")</f>
        <v>P</v>
      </c>
      <c r="AP6590" s="4" t="s">
        <v>376</v>
      </c>
      <c r="AR6590" s="4" t="s">
        <v>377</v>
      </c>
    </row>
    <row r="6591" spans="1:44" ht="30">
      <c r="A6591" s="4" t="s">
        <v>5</v>
      </c>
      <c r="B6591" s="4">
        <v>469939</v>
      </c>
      <c r="D6591" s="5" t="s">
        <v>9339</v>
      </c>
      <c r="E6591" s="6" t="str">
        <f>HYPERLINK("https://inpn.mnhn.fr/espece/cd_nom/469939","Melanoleuca decembris var. pseudorasilis Bon, 1990")</f>
        <v>Melanoleuca decembris var. pseudorasilis Bon, 1990</v>
      </c>
      <c r="V6591" s="7" t="str">
        <f>HYPERLINK("#Liste_rouge!A"&amp;_xlfn.XMATCH("VU",Liste_rouge!A:A,2,1),"VU")</f>
        <v>VU</v>
      </c>
      <c r="W6591" s="4" t="str">
        <f>HYPERLINK("#Critères_liste_rouge!A$1","A2c")</f>
        <v>A2c</v>
      </c>
      <c r="AH6591" s="4" t="str">
        <f>HYPERLINK("#Statut_biogéographique!A"&amp;_xlfn.XMATCH("P",Statut_biogéographique!A:A,2,1),"P")</f>
        <v>P</v>
      </c>
      <c r="AP6591" s="4" t="s">
        <v>376</v>
      </c>
      <c r="AR6591" s="4" t="s">
        <v>377</v>
      </c>
    </row>
    <row r="6592" spans="1:44" ht="30">
      <c r="A6592" s="4" t="s">
        <v>5</v>
      </c>
      <c r="B6592" s="4">
        <v>46995</v>
      </c>
      <c r="C6592" s="4">
        <v>751</v>
      </c>
      <c r="D6592" s="5" t="s">
        <v>9340</v>
      </c>
      <c r="E6592" s="6" t="str">
        <f>HYPERLINK("https://inpn.mnhn.fr/espece/cd_nom/46995","Diatrypella quercina (Pers.) Cooke, 1866")</f>
        <v>Diatrypella quercina (Pers.) Cooke, 1866</v>
      </c>
      <c r="V6592" s="7" t="str">
        <f>HYPERLINK("#Liste_rouge!A"&amp;_xlfn.XMATCH("LC",Liste_rouge!A:A,2,1),"LC")</f>
        <v>LC</v>
      </c>
      <c r="AH6592" s="4" t="str">
        <f>HYPERLINK("#Statut_biogéographique!A"&amp;_xlfn.XMATCH("P",Statut_biogéographique!A:A,2,1),"P")</f>
        <v>P</v>
      </c>
      <c r="AP6592" s="4" t="s">
        <v>376</v>
      </c>
      <c r="AR6592" s="4" t="s">
        <v>377</v>
      </c>
    </row>
    <row r="6593" spans="1:44" ht="30">
      <c r="A6593" s="4" t="s">
        <v>5</v>
      </c>
      <c r="B6593" s="4">
        <v>469960</v>
      </c>
      <c r="D6593" s="5" t="s">
        <v>9341</v>
      </c>
      <c r="E6593" s="6" t="str">
        <f>HYPERLINK("https://inpn.mnhn.fr/espece/cd_nom/469960","Mycena inclinata f. albopilea Derbsch &amp; J.Aug.Schmitt ex Robich &amp; Consiglio, 2005")</f>
        <v>Mycena inclinata f. albopilea Derbsch &amp; J.Aug.Schmitt ex Robich &amp; Consiglio, 2005</v>
      </c>
      <c r="AH6593" s="4" t="str">
        <f>HYPERLINK("#Statut_biogéographique!A"&amp;_xlfn.XMATCH("P",Statut_biogéographique!A:A,2,1),"P")</f>
        <v>P</v>
      </c>
      <c r="AP6593" s="4" t="s">
        <v>376</v>
      </c>
      <c r="AR6593" s="4" t="s">
        <v>377</v>
      </c>
    </row>
    <row r="6594" spans="1:44">
      <c r="A6594" s="4" t="s">
        <v>5</v>
      </c>
      <c r="B6594" s="4">
        <v>469968</v>
      </c>
      <c r="D6594" s="5">
        <v>469968</v>
      </c>
      <c r="E6594" s="6" t="str">
        <f>HYPERLINK("https://inpn.mnhn.fr/espece/cd_nom/469968","Mycena rosea f. candida Robich, 2005")</f>
        <v>Mycena rosea f. candida Robich, 2005</v>
      </c>
      <c r="V6594" s="7" t="str">
        <f>HYPERLINK("#Liste_rouge!A"&amp;_xlfn.XMATCH("DD",Liste_rouge!A:A,2,1),"DD")</f>
        <v>DD</v>
      </c>
      <c r="AH6594" s="4" t="str">
        <f>HYPERLINK("#Statut_biogéographique!A"&amp;_xlfn.XMATCH("P",Statut_biogéographique!A:A,2,1),"P")</f>
        <v>P</v>
      </c>
      <c r="AP6594" s="4" t="s">
        <v>376</v>
      </c>
      <c r="AR6594" s="4" t="s">
        <v>377</v>
      </c>
    </row>
    <row r="6595" spans="1:44" ht="45">
      <c r="A6595" s="4" t="s">
        <v>5</v>
      </c>
      <c r="B6595" s="4">
        <v>469973</v>
      </c>
      <c r="D6595" s="5" t="s">
        <v>9342</v>
      </c>
      <c r="E6595" s="6" t="str">
        <f>HYPERLINK("https://inpn.mnhn.fr/espece/cd_nom/469973","Neolentinus adhaerens var. inadhaerens (Malençon &amp; Bertault) C.Bouvet &amp; Sugny, 1998")</f>
        <v>Neolentinus adhaerens var. inadhaerens (Malençon &amp; Bertault) C.Bouvet &amp; Sugny, 1998</v>
      </c>
      <c r="V6595" s="7" t="str">
        <f>HYPERLINK("#Liste_rouge!A"&amp;_xlfn.XMATCH("DD",Liste_rouge!A:A,2,1),"DD")</f>
        <v>DD</v>
      </c>
      <c r="AH6595" s="4" t="str">
        <f>HYPERLINK("#Statut_biogéographique!A"&amp;_xlfn.XMATCH("P",Statut_biogéographique!A:A,2,1),"P")</f>
        <v>P</v>
      </c>
      <c r="AP6595" s="4" t="s">
        <v>376</v>
      </c>
      <c r="AR6595" s="4" t="s">
        <v>377</v>
      </c>
    </row>
    <row r="6596" spans="1:44" ht="45">
      <c r="A6596" s="4" t="s">
        <v>5</v>
      </c>
      <c r="B6596" s="4">
        <v>469991</v>
      </c>
      <c r="D6596" s="5" t="s">
        <v>9343</v>
      </c>
      <c r="E6596" s="6" t="str">
        <f>HYPERLINK("https://inpn.mnhn.fr/espece/cd_nom/469991","Pholiota conissans var. graminis (Quél.) Bon &amp; P.Roux, 2008")</f>
        <v>Pholiota conissans var. graminis (Quél.) Bon &amp; P.Roux, 2008</v>
      </c>
      <c r="V6596" s="7" t="str">
        <f>HYPERLINK("#Liste_rouge!A"&amp;_xlfn.XMATCH("NT",Liste_rouge!A:A,2,1),"NT")</f>
        <v>NT</v>
      </c>
      <c r="W6596" s="4" t="str">
        <f>HYPERLINK("#Critères_liste_rouge!A$1","pr. B2abiii")</f>
        <v>pr. B2abiii</v>
      </c>
      <c r="AH6596" s="4" t="str">
        <f>HYPERLINK("#Statut_biogéographique!A"&amp;_xlfn.XMATCH("P",Statut_biogéographique!A:A,2,1),"P")</f>
        <v>P</v>
      </c>
      <c r="AP6596" s="4" t="s">
        <v>376</v>
      </c>
      <c r="AR6596" s="4" t="s">
        <v>377</v>
      </c>
    </row>
    <row r="6597" spans="1:44" ht="30">
      <c r="A6597" s="4" t="s">
        <v>5</v>
      </c>
      <c r="B6597" s="4">
        <v>470051</v>
      </c>
      <c r="D6597" s="5" t="s">
        <v>9344</v>
      </c>
      <c r="E6597" s="6" t="str">
        <f>HYPERLINK("https://inpn.mnhn.fr/espece/cd_nom/470051","Ramaria fennica var. fumigata (Peck) Schild, 1995")</f>
        <v>Ramaria fennica var. fumigata (Peck) Schild, 1995</v>
      </c>
      <c r="V6597" s="7" t="str">
        <f>HYPERLINK("#Liste_rouge!A"&amp;_xlfn.XMATCH("VU",Liste_rouge!A:A,2,1),"VU")</f>
        <v>VU</v>
      </c>
      <c r="W6597" s="4" t="str">
        <f>HYPERLINK("#Critères_liste_rouge!A$1","D2")</f>
        <v>D2</v>
      </c>
      <c r="AH6597" s="4" t="str">
        <f>HYPERLINK("#Statut_biogéographique!A"&amp;_xlfn.XMATCH("P",Statut_biogéographique!A:A,2,1),"P")</f>
        <v>P</v>
      </c>
      <c r="AP6597" s="4" t="s">
        <v>376</v>
      </c>
      <c r="AR6597" s="4" t="s">
        <v>377</v>
      </c>
    </row>
    <row r="6598" spans="1:44" ht="30">
      <c r="A6598" s="4" t="s">
        <v>5</v>
      </c>
      <c r="B6598" s="4">
        <v>470066</v>
      </c>
      <c r="D6598" s="5" t="s">
        <v>9345</v>
      </c>
      <c r="E6598" s="6" t="str">
        <f>HYPERLINK("https://inpn.mnhn.fr/espece/cd_nom/470066","Rickenella fibula var. hydrina (Fr.) Krieglst., 1991")</f>
        <v>Rickenella fibula var. hydrina (Fr.) Krieglst., 1991</v>
      </c>
      <c r="V6598" s="7" t="str">
        <f>HYPERLINK("#Liste_rouge!A"&amp;_xlfn.XMATCH("NT",Liste_rouge!A:A,2,1),"NT")</f>
        <v>NT</v>
      </c>
      <c r="W6598" s="4" t="str">
        <f>HYPERLINK("#Critères_liste_rouge!A$1","pr. A2c")</f>
        <v>pr. A2c</v>
      </c>
      <c r="AH6598" s="4" t="str">
        <f>HYPERLINK("#Statut_biogéographique!A"&amp;_xlfn.XMATCH("P",Statut_biogéographique!A:A,2,1),"P")</f>
        <v>P</v>
      </c>
      <c r="AP6598" s="4" t="s">
        <v>376</v>
      </c>
      <c r="AR6598" s="4" t="s">
        <v>377</v>
      </c>
    </row>
    <row r="6599" spans="1:44" ht="30">
      <c r="A6599" s="4" t="s">
        <v>5</v>
      </c>
      <c r="B6599" s="4">
        <v>470080</v>
      </c>
      <c r="D6599" s="5" t="s">
        <v>9346</v>
      </c>
      <c r="E6599" s="6" t="str">
        <f>HYPERLINK("https://inpn.mnhn.fr/espece/cd_nom/470080","Russula aurora var. cretacea Melzer &amp; Zvára, 1928")</f>
        <v>Russula aurora var. cretacea Melzer &amp; Zvára, 1928</v>
      </c>
      <c r="AH6599" s="4" t="str">
        <f>HYPERLINK("#Statut_biogéographique!A"&amp;_xlfn.XMATCH("P",Statut_biogéographique!A:A,2,1),"P")</f>
        <v>P</v>
      </c>
      <c r="AP6599" s="4" t="s">
        <v>376</v>
      </c>
      <c r="AR6599" s="4" t="s">
        <v>377</v>
      </c>
    </row>
    <row r="6600" spans="1:44">
      <c r="A6600" s="4" t="s">
        <v>5</v>
      </c>
      <c r="B6600" s="4">
        <v>470086</v>
      </c>
      <c r="D6600" s="5">
        <v>470086</v>
      </c>
      <c r="E6600" s="6" t="str">
        <f>HYPERLINK("https://inpn.mnhn.fr/espece/cd_nom/470086","Russula cavipes var. abietina Bon, 1987")</f>
        <v>Russula cavipes var. abietina Bon, 1987</v>
      </c>
      <c r="V6600" s="7" t="str">
        <f>HYPERLINK("#Liste_rouge!A"&amp;_xlfn.XMATCH("LC",Liste_rouge!A:A,2,1),"LC")</f>
        <v>LC</v>
      </c>
      <c r="AH6600" s="4" t="str">
        <f>HYPERLINK("#Statut_biogéographique!A"&amp;_xlfn.XMATCH("P",Statut_biogéographique!A:A,2,1),"P")</f>
        <v>P</v>
      </c>
      <c r="AP6600" s="4" t="s">
        <v>376</v>
      </c>
      <c r="AR6600" s="4" t="s">
        <v>377</v>
      </c>
    </row>
    <row r="6601" spans="1:44" ht="30">
      <c r="A6601" s="4" t="s">
        <v>5</v>
      </c>
      <c r="B6601" s="4">
        <v>47009</v>
      </c>
      <c r="C6601" s="4">
        <v>4426</v>
      </c>
      <c r="D6601" s="5" t="s">
        <v>9347</v>
      </c>
      <c r="E6601" s="6" t="str">
        <f>HYPERLINK("https://inpn.mnhn.fr/espece/cd_nom/47009","Didymascella tetraspora (W.Phillips &amp; Keith) Maire, 1927")</f>
        <v>Didymascella tetraspora (W.Phillips &amp; Keith) Maire, 1927</v>
      </c>
      <c r="AH6601" s="4" t="str">
        <f>HYPERLINK("#Statut_biogéographique!A"&amp;_xlfn.XMATCH("P",Statut_biogéographique!A:A,2,1),"P")</f>
        <v>P</v>
      </c>
      <c r="AP6601" s="4" t="s">
        <v>376</v>
      </c>
      <c r="AR6601" s="4" t="s">
        <v>377</v>
      </c>
    </row>
    <row r="6602" spans="1:44" ht="30">
      <c r="A6602" s="4" t="s">
        <v>5</v>
      </c>
      <c r="B6602" s="4">
        <v>470099</v>
      </c>
      <c r="D6602" s="5" t="s">
        <v>9348</v>
      </c>
      <c r="E6602" s="6" t="str">
        <f>HYPERLINK("https://inpn.mnhn.fr/espece/cd_nom/470099","Russula cyanoxantha f. peltereaui Singer, 1925")</f>
        <v>Russula cyanoxantha f. peltereaui Singer, 1925</v>
      </c>
      <c r="F6602" s="5" t="s">
        <v>3387</v>
      </c>
      <c r="V6602" s="7" t="str">
        <f>HYPERLINK("#Liste_rouge!A"&amp;_xlfn.XMATCH("LC",Liste_rouge!A:A,2,1),"LC")</f>
        <v>LC</v>
      </c>
      <c r="AH6602" s="4" t="str">
        <f>HYPERLINK("#Statut_biogéographique!A"&amp;_xlfn.XMATCH("P",Statut_biogéographique!A:A,2,1),"P")</f>
        <v>P</v>
      </c>
      <c r="AP6602" s="4" t="s">
        <v>376</v>
      </c>
      <c r="AR6602" s="4" t="s">
        <v>377</v>
      </c>
    </row>
    <row r="6603" spans="1:44" ht="30">
      <c r="A6603" s="4" t="s">
        <v>5</v>
      </c>
      <c r="B6603" s="4">
        <v>470112</v>
      </c>
      <c r="D6603" s="5" t="s">
        <v>9349</v>
      </c>
      <c r="E6603" s="6" t="str">
        <f>HYPERLINK("https://inpn.mnhn.fr/espece/cd_nom/470112","Russula emetica var. longipes (Singer) Romagn.")</f>
        <v>Russula emetica var. longipes (Singer) Romagn.</v>
      </c>
      <c r="AH6603" s="4" t="str">
        <f>HYPERLINK("#Statut_biogéographique!A"&amp;_xlfn.XMATCH("P",Statut_biogéographique!A:A,2,1),"P")</f>
        <v>P</v>
      </c>
      <c r="AP6603" s="4" t="s">
        <v>376</v>
      </c>
      <c r="AR6603" s="4" t="s">
        <v>377</v>
      </c>
    </row>
    <row r="6604" spans="1:44">
      <c r="A6604" s="4" t="s">
        <v>5</v>
      </c>
      <c r="B6604" s="4">
        <v>47014</v>
      </c>
      <c r="C6604" s="4">
        <v>1356</v>
      </c>
      <c r="D6604" s="5" t="s">
        <v>9350</v>
      </c>
      <c r="E6604" s="6" t="str">
        <f>HYPERLINK("https://inpn.mnhn.fr/espece/cd_nom/47014","Didymella applanata (Niessl) Sacc., 1882")</f>
        <v>Didymella applanata (Niessl) Sacc., 1882</v>
      </c>
      <c r="AH6604" s="4" t="str">
        <f>HYPERLINK("#Statut_biogéographique!A"&amp;_xlfn.XMATCH("P",Statut_biogéographique!A:A,2,1),"P")</f>
        <v>P</v>
      </c>
      <c r="AP6604" s="4" t="s">
        <v>376</v>
      </c>
      <c r="AR6604" s="4" t="s">
        <v>377</v>
      </c>
    </row>
    <row r="6605" spans="1:44">
      <c r="A6605" s="4" t="s">
        <v>5</v>
      </c>
      <c r="B6605" s="4">
        <v>47015</v>
      </c>
      <c r="C6605" s="4">
        <v>4894</v>
      </c>
      <c r="D6605" s="5" t="s">
        <v>9351</v>
      </c>
      <c r="E6605" s="6" t="str">
        <f>HYPERLINK("https://inpn.mnhn.fr/espece/cd_nom/47015","Didymella bryoniae (Fuckel) Rehm, 1881")</f>
        <v>Didymella bryoniae (Fuckel) Rehm, 1881</v>
      </c>
      <c r="AH6605" s="4" t="str">
        <f>HYPERLINK("#Statut_biogéographique!A"&amp;_xlfn.XMATCH("P",Statut_biogéographique!A:A,2,1),"P")</f>
        <v>P</v>
      </c>
      <c r="AP6605" s="4" t="s">
        <v>376</v>
      </c>
      <c r="AR6605" s="4" t="s">
        <v>377</v>
      </c>
    </row>
    <row r="6606" spans="1:44">
      <c r="A6606" s="4" t="s">
        <v>5</v>
      </c>
      <c r="B6606" s="4">
        <v>470162</v>
      </c>
      <c r="D6606" s="5" t="s">
        <v>9352</v>
      </c>
      <c r="E6606" s="6" t="str">
        <f>HYPERLINK("https://inpn.mnhn.fr/espece/cd_nom/470162","Russula nitida f. heterosperma (Singer) Bon")</f>
        <v>Russula nitida f. heterosperma (Singer) Bon</v>
      </c>
      <c r="AH6606" s="4" t="str">
        <f>HYPERLINK("#Statut_biogéographique!A"&amp;_xlfn.XMATCH("P",Statut_biogéographique!A:A,2,1),"P")</f>
        <v>P</v>
      </c>
      <c r="AP6606" s="4" t="s">
        <v>376</v>
      </c>
      <c r="AR6606" s="4" t="s">
        <v>377</v>
      </c>
    </row>
    <row r="6607" spans="1:44" ht="30">
      <c r="A6607" s="4" t="s">
        <v>5</v>
      </c>
      <c r="B6607" s="4">
        <v>470187</v>
      </c>
      <c r="D6607" s="5" t="s">
        <v>9353</v>
      </c>
      <c r="E6607" s="6" t="str">
        <f>HYPERLINK("https://inpn.mnhn.fr/espece/cd_nom/470187","Russula risigallina f. luteorosella (Britzelm.) Bon, 1986")</f>
        <v>Russula risigallina f. luteorosella (Britzelm.) Bon, 1986</v>
      </c>
      <c r="F6607" s="5" t="s">
        <v>3243</v>
      </c>
      <c r="V6607" s="7" t="str">
        <f>HYPERLINK("#Liste_rouge!A"&amp;_xlfn.XMATCH("LC",Liste_rouge!A:A,2,1),"LC")</f>
        <v>LC</v>
      </c>
      <c r="AH6607" s="4" t="str">
        <f>HYPERLINK("#Statut_biogéographique!A"&amp;_xlfn.XMATCH("P",Statut_biogéographique!A:A,2,1),"P")</f>
        <v>P</v>
      </c>
      <c r="AP6607" s="4" t="s">
        <v>376</v>
      </c>
      <c r="AR6607" s="4" t="s">
        <v>377</v>
      </c>
    </row>
    <row r="6608" spans="1:44">
      <c r="A6608" s="4" t="s">
        <v>5</v>
      </c>
      <c r="B6608" s="4">
        <v>470200</v>
      </c>
      <c r="D6608" s="5" t="s">
        <v>9354</v>
      </c>
      <c r="E6608" s="6" t="str">
        <f>HYPERLINK("https://inpn.mnhn.fr/espece/cd_nom/470200","Russula sardonia f. viridis (Singer) Bon")</f>
        <v>Russula sardonia f. viridis (Singer) Bon</v>
      </c>
      <c r="AH6608" s="4" t="str">
        <f>HYPERLINK("#Statut_biogéographique!A"&amp;_xlfn.XMATCH("P",Statut_biogéographique!A:A,2,1),"P")</f>
        <v>P</v>
      </c>
      <c r="AP6608" s="4" t="s">
        <v>376</v>
      </c>
      <c r="AR6608" s="4" t="s">
        <v>377</v>
      </c>
    </row>
    <row r="6609" spans="1:44" ht="30">
      <c r="A6609" s="4" t="s">
        <v>5</v>
      </c>
      <c r="B6609" s="4">
        <v>470212</v>
      </c>
      <c r="D6609" s="5" t="s">
        <v>9355</v>
      </c>
      <c r="E6609" s="6" t="str">
        <f>HYPERLINK("https://inpn.mnhn.fr/espece/cd_nom/470212","Russula torulosa f. luteovirens Boud. ex Bon, 1986")</f>
        <v>Russula torulosa f. luteovirens Boud. ex Bon, 1986</v>
      </c>
      <c r="AH6609" s="4" t="str">
        <f>HYPERLINK("#Statut_biogéographique!A"&amp;_xlfn.XMATCH("P",Statut_biogéographique!A:A,2,1),"P")</f>
        <v>P</v>
      </c>
      <c r="AP6609" s="4" t="s">
        <v>376</v>
      </c>
      <c r="AR6609" s="4" t="s">
        <v>377</v>
      </c>
    </row>
    <row r="6610" spans="1:44" ht="30">
      <c r="A6610" s="4" t="s">
        <v>5</v>
      </c>
      <c r="B6610" s="4">
        <v>470221</v>
      </c>
      <c r="D6610" s="5" t="s">
        <v>9356</v>
      </c>
      <c r="E6610" s="6" t="str">
        <f>HYPERLINK("https://inpn.mnhn.fr/espece/cd_nom/470221","Russula violeipes f. citrina (Quél.) Maire, 1910")</f>
        <v>Russula violeipes f. citrina (Quél.) Maire, 1910</v>
      </c>
      <c r="F6610" s="5" t="s">
        <v>4005</v>
      </c>
      <c r="V6610" s="7" t="str">
        <f>HYPERLINK("#Liste_rouge!A"&amp;_xlfn.XMATCH("LC",Liste_rouge!A:A,2,1),"LC")</f>
        <v>LC</v>
      </c>
      <c r="AH6610" s="4" t="str">
        <f>HYPERLINK("#Statut_biogéographique!A"&amp;_xlfn.XMATCH("P",Statut_biogéographique!A:A,2,1),"P")</f>
        <v>P</v>
      </c>
      <c r="AP6610" s="4" t="s">
        <v>376</v>
      </c>
      <c r="AR6610" s="4" t="s">
        <v>377</v>
      </c>
    </row>
    <row r="6611" spans="1:44" ht="30">
      <c r="A6611" s="4" t="s">
        <v>5</v>
      </c>
      <c r="B6611" s="4">
        <v>470228</v>
      </c>
      <c r="D6611" s="5" t="s">
        <v>9357</v>
      </c>
      <c r="E6611" s="6" t="str">
        <f>HYPERLINK("https://inpn.mnhn.fr/espece/cd_nom/470228","Simocybe centunculus var. filopes (Romagn.) Senn-Irlet, 1995")</f>
        <v>Simocybe centunculus var. filopes (Romagn.) Senn-Irlet, 1995</v>
      </c>
      <c r="AH6611" s="4" t="str">
        <f>HYPERLINK("#Statut_biogéographique!A"&amp;_xlfn.XMATCH("P",Statut_biogéographique!A:A,2,1),"P")</f>
        <v>P</v>
      </c>
      <c r="AP6611" s="4" t="s">
        <v>376</v>
      </c>
      <c r="AR6611" s="4" t="s">
        <v>377</v>
      </c>
    </row>
    <row r="6612" spans="1:44" ht="30">
      <c r="A6612" s="4" t="s">
        <v>5</v>
      </c>
      <c r="B6612" s="4">
        <v>470229</v>
      </c>
      <c r="D6612" s="5" t="s">
        <v>9358</v>
      </c>
      <c r="E6612" s="6" t="str">
        <f>HYPERLINK("https://inpn.mnhn.fr/espece/cd_nom/470229","Simocybe haustellaris f. rubi (Berk.) [comb. ined.]")</f>
        <v>Simocybe haustellaris f. rubi (Berk.) [comb. ined.]</v>
      </c>
      <c r="V6612" s="7" t="str">
        <f>HYPERLINK("#Liste_rouge!A"&amp;_xlfn.XMATCH("DD",Liste_rouge!A:A,2,1),"DD (cd_nom 519109) - EN (cd_nom 470229)")</f>
        <v>DD (cd_nom 519109) - EN (cd_nom 470229)</v>
      </c>
      <c r="AH6612" s="4" t="str">
        <f>HYPERLINK("#Statut_biogéographique!A"&amp;_xlfn.XMATCH("P",Statut_biogéographique!A:A,2,1),"P")</f>
        <v>P</v>
      </c>
      <c r="AP6612" s="4" t="s">
        <v>376</v>
      </c>
      <c r="AR6612" s="4" t="s">
        <v>377</v>
      </c>
    </row>
    <row r="6613" spans="1:44" ht="30">
      <c r="A6613" s="4" t="s">
        <v>5</v>
      </c>
      <c r="B6613" s="4">
        <v>470235</v>
      </c>
      <c r="D6613" s="5" t="s">
        <v>9359</v>
      </c>
      <c r="E6613" s="6" t="str">
        <f>HYPERLINK("https://inpn.mnhn.fr/espece/cd_nom/470235","Stropharia rugosoannulata f. lutea Hongo, 1952")</f>
        <v>Stropharia rugosoannulata f. lutea Hongo, 1952</v>
      </c>
      <c r="V6613" s="7" t="str">
        <f>HYPERLINK("#Liste_rouge!A"&amp;_xlfn.XMATCH("LC",Liste_rouge!A:A,2,1),"LC")</f>
        <v>LC</v>
      </c>
      <c r="AH6613" s="4" t="str">
        <f>HYPERLINK("#Statut_biogéographique!A"&amp;_xlfn.XMATCH("P",Statut_biogéographique!A:A,2,1),"P")</f>
        <v>P</v>
      </c>
      <c r="AP6613" s="4" t="s">
        <v>376</v>
      </c>
      <c r="AR6613" s="4" t="s">
        <v>377</v>
      </c>
    </row>
    <row r="6614" spans="1:44" ht="30">
      <c r="A6614" s="4" t="s">
        <v>5</v>
      </c>
      <c r="B6614" s="4">
        <v>470251</v>
      </c>
      <c r="D6614" s="5" t="s">
        <v>9360</v>
      </c>
      <c r="E6614" s="6" t="str">
        <f>HYPERLINK("https://inpn.mnhn.fr/espece/cd_nom/470251","Tephrocybe plexipes f. atra (Kühner &amp; Romagn.) P.-A.Moreau &amp; Courtec., 2008")</f>
        <v>Tephrocybe plexipes f. atra (Kühner &amp; Romagn.) P.-A.Moreau &amp; Courtec., 2008</v>
      </c>
      <c r="AH6614" s="4" t="str">
        <f>HYPERLINK("#Statut_biogéographique!A"&amp;_xlfn.XMATCH("P",Statut_biogéographique!A:A,2,1),"P")</f>
        <v>P</v>
      </c>
      <c r="AP6614" s="4" t="s">
        <v>376</v>
      </c>
      <c r="AR6614" s="4" t="s">
        <v>377</v>
      </c>
    </row>
    <row r="6615" spans="1:44" ht="30">
      <c r="A6615" s="4" t="s">
        <v>5</v>
      </c>
      <c r="B6615" s="4">
        <v>470280</v>
      </c>
      <c r="D6615" s="5" t="s">
        <v>9361</v>
      </c>
      <c r="E6615" s="6" t="str">
        <f>HYPERLINK("https://inpn.mnhn.fr/espece/cd_nom/470280","Tricholoma saponaceum f. ardosiacum (Bres.) Bon, 1974")</f>
        <v>Tricholoma saponaceum f. ardosiacum (Bres.) Bon, 1974</v>
      </c>
      <c r="V6615" s="7" t="str">
        <f>HYPERLINK("#Liste_rouge!A"&amp;_xlfn.XMATCH("LC",Liste_rouge!A:A,2,1),"LC")</f>
        <v>LC</v>
      </c>
      <c r="AH6615" s="4" t="str">
        <f>HYPERLINK("#Statut_biogéographique!A"&amp;_xlfn.XMATCH("P",Statut_biogéographique!A:A,2,1),"P")</f>
        <v>P</v>
      </c>
      <c r="AP6615" s="4" t="s">
        <v>376</v>
      </c>
      <c r="AR6615" s="4" t="s">
        <v>377</v>
      </c>
    </row>
    <row r="6616" spans="1:44" ht="30">
      <c r="A6616" s="4" t="s">
        <v>5</v>
      </c>
      <c r="B6616" s="4">
        <v>470285</v>
      </c>
      <c r="D6616" s="5">
        <v>470285</v>
      </c>
      <c r="E6616" s="6" t="str">
        <f>HYPERLINK("https://inpn.mnhn.fr/espece/cd_nom/470285","Tricholoma scalpturatum f. album C.E.Hermos. &amp; Jul.Sánchez, 1994")</f>
        <v>Tricholoma scalpturatum f. album C.E.Hermos. &amp; Jul.Sánchez, 1994</v>
      </c>
      <c r="AH6616" s="4" t="str">
        <f>HYPERLINK("#Statut_biogéographique!A"&amp;_xlfn.XMATCH("P",Statut_biogéographique!A:A,2,1),"P")</f>
        <v>P</v>
      </c>
      <c r="AP6616" s="4" t="s">
        <v>376</v>
      </c>
      <c r="AR6616" s="4" t="s">
        <v>377</v>
      </c>
    </row>
    <row r="6617" spans="1:44">
      <c r="A6617" s="4" t="s">
        <v>5</v>
      </c>
      <c r="B6617" s="4">
        <v>470288</v>
      </c>
      <c r="D6617" s="5">
        <v>470288</v>
      </c>
      <c r="E6617" s="6" t="str">
        <f>HYPERLINK("https://inpn.mnhn.fr/espece/cd_nom/470288","Tricholoma sciodes var. virgatoides Bon, 1974")</f>
        <v>Tricholoma sciodes var. virgatoides Bon, 1974</v>
      </c>
      <c r="AH6617" s="4" t="str">
        <f>HYPERLINK("#Statut_biogéographique!A"&amp;_xlfn.XMATCH("P",Statut_biogéographique!A:A,2,1),"P")</f>
        <v>P</v>
      </c>
      <c r="AP6617" s="4" t="s">
        <v>376</v>
      </c>
      <c r="AR6617" s="4" t="s">
        <v>377</v>
      </c>
    </row>
    <row r="6618" spans="1:44">
      <c r="A6618" s="4" t="s">
        <v>5</v>
      </c>
      <c r="B6618" s="4">
        <v>470296</v>
      </c>
      <c r="D6618" s="5">
        <v>470296</v>
      </c>
      <c r="E6618" s="6" t="str">
        <f>HYPERLINK("https://inpn.mnhn.fr/espece/cd_nom/470296","Tricholoma virgatum f. roseipes Bon, 1974")</f>
        <v>Tricholoma virgatum f. roseipes Bon, 1974</v>
      </c>
      <c r="AH6618" s="4" t="str">
        <f>HYPERLINK("#Statut_biogéographique!A"&amp;_xlfn.XMATCH("P",Statut_biogéographique!A:A,2,1),"P")</f>
        <v>P</v>
      </c>
      <c r="AP6618" s="4" t="s">
        <v>376</v>
      </c>
      <c r="AR6618" s="4" t="s">
        <v>377</v>
      </c>
    </row>
    <row r="6619" spans="1:44" ht="30">
      <c r="A6619" s="4" t="s">
        <v>5</v>
      </c>
      <c r="B6619" s="4">
        <v>470309</v>
      </c>
      <c r="D6619" s="5" t="s">
        <v>9362</v>
      </c>
      <c r="E6619" s="6" t="str">
        <f>HYPERLINK("https://inpn.mnhn.fr/espece/cd_nom/470309","Xerocomus ferrugineus f. citrinovirens (Watling) Redeuilh")</f>
        <v>Xerocomus ferrugineus f. citrinovirens (Watling) Redeuilh</v>
      </c>
      <c r="AH6619" s="4" t="str">
        <f>HYPERLINK("#Statut_biogéographique!A"&amp;_xlfn.XMATCH("P",Statut_biogéographique!A:A,2,1),"P")</f>
        <v>P</v>
      </c>
      <c r="AP6619" s="4" t="s">
        <v>376</v>
      </c>
      <c r="AR6619" s="4" t="s">
        <v>377</v>
      </c>
    </row>
    <row r="6620" spans="1:44" ht="30">
      <c r="A6620" s="4" t="s">
        <v>5</v>
      </c>
      <c r="B6620" s="4">
        <v>470313</v>
      </c>
      <c r="D6620" s="5" t="s">
        <v>9363</v>
      </c>
      <c r="E6620" s="6" t="str">
        <f>HYPERLINK("https://inpn.mnhn.fr/espece/cd_nom/470313","Xerula pudens var. fusca (Lucand ex Quél.) Dörfelt, 1982")</f>
        <v>Xerula pudens var. fusca (Lucand ex Quél.) Dörfelt, 1982</v>
      </c>
      <c r="AH6620" s="4" t="str">
        <f>HYPERLINK("#Statut_biogéographique!A"&amp;_xlfn.XMATCH("P",Statut_biogéographique!A:A,2,1),"P")</f>
        <v>P</v>
      </c>
      <c r="AP6620" s="4" t="s">
        <v>376</v>
      </c>
      <c r="AR6620" s="4" t="s">
        <v>377</v>
      </c>
    </row>
    <row r="6621" spans="1:44" ht="30">
      <c r="A6621" s="4" t="s">
        <v>5</v>
      </c>
      <c r="B6621" s="4">
        <v>470315</v>
      </c>
      <c r="D6621" s="5" t="s">
        <v>9364</v>
      </c>
      <c r="E6621" s="6" t="str">
        <f>HYPERLINK("https://inpn.mnhn.fr/espece/cd_nom/470315","Xerula radicata f. marginata (Konrad &amp; Maubl.) R.H.Petersen, 2008")</f>
        <v>Xerula radicata f. marginata (Konrad &amp; Maubl.) R.H.Petersen, 2008</v>
      </c>
      <c r="V6621" s="7" t="str">
        <f>HYPERLINK("#Liste_rouge!A"&amp;_xlfn.XMATCH("LC",Liste_rouge!A:A,2,1),"LC")</f>
        <v>LC</v>
      </c>
      <c r="AH6621" s="4" t="str">
        <f>HYPERLINK("#Statut_biogéographique!A"&amp;_xlfn.XMATCH("P",Statut_biogéographique!A:A,2,1),"P")</f>
        <v>P</v>
      </c>
      <c r="AP6621" s="4" t="s">
        <v>376</v>
      </c>
      <c r="AR6621" s="4" t="s">
        <v>377</v>
      </c>
    </row>
    <row r="6622" spans="1:44">
      <c r="A6622" s="4" t="s">
        <v>5</v>
      </c>
      <c r="B6622" s="4">
        <v>470316</v>
      </c>
      <c r="D6622" s="5" t="s">
        <v>9365</v>
      </c>
      <c r="E6622" s="6" t="str">
        <f>HYPERLINK("https://inpn.mnhn.fr/espece/cd_nom/470316","Xerula radicata var. alba Dörfelt, 1983")</f>
        <v>Xerula radicata var. alba Dörfelt, 1983</v>
      </c>
      <c r="AH6622" s="4" t="str">
        <f>HYPERLINK("#Statut_biogéographique!A"&amp;_xlfn.XMATCH("P",Statut_biogéographique!A:A,2,1),"P")</f>
        <v>P</v>
      </c>
      <c r="AP6622" s="4" t="s">
        <v>376</v>
      </c>
      <c r="AR6622" s="4" t="s">
        <v>377</v>
      </c>
    </row>
    <row r="6623" spans="1:44" ht="30">
      <c r="A6623" s="4" t="s">
        <v>5</v>
      </c>
      <c r="B6623" s="4">
        <v>47057</v>
      </c>
      <c r="C6623" s="4">
        <v>2715</v>
      </c>
      <c r="D6623" s="5" t="s">
        <v>9366</v>
      </c>
      <c r="E6623" s="6" t="str">
        <f>HYPERLINK("https://inpn.mnhn.fr/espece/cd_nom/47057","Diplocarpa bloxamii (Berk. ex W.Phillips) Seaver, 1937")</f>
        <v>Diplocarpa bloxamii (Berk. ex W.Phillips) Seaver, 1937</v>
      </c>
      <c r="AH6623" s="4" t="str">
        <f>HYPERLINK("#Statut_biogéographique!A"&amp;_xlfn.XMATCH("P",Statut_biogéographique!A:A,2,1),"P")</f>
        <v>P</v>
      </c>
      <c r="AP6623" s="4" t="s">
        <v>376</v>
      </c>
      <c r="AR6623" s="4" t="s">
        <v>377</v>
      </c>
    </row>
    <row r="6624" spans="1:44">
      <c r="A6624" s="4" t="s">
        <v>5</v>
      </c>
      <c r="B6624" s="4">
        <v>47063</v>
      </c>
      <c r="C6624" s="4">
        <v>2075</v>
      </c>
      <c r="D6624" s="5" t="s">
        <v>9367</v>
      </c>
      <c r="E6624" s="6" t="str">
        <f>HYPERLINK("https://inpn.mnhn.fr/espece/cd_nom/47063","Diplocarpon mespili (Sorauer) B.Sutton, 1980")</f>
        <v>Diplocarpon mespili (Sorauer) B.Sutton, 1980</v>
      </c>
      <c r="AH6624" s="4" t="str">
        <f>HYPERLINK("#Statut_biogéographique!A"&amp;_xlfn.XMATCH("P",Statut_biogéographique!A:A,2,1),"P")</f>
        <v>P</v>
      </c>
      <c r="AP6624" s="4" t="s">
        <v>376</v>
      </c>
      <c r="AR6624" s="4" t="s">
        <v>377</v>
      </c>
    </row>
    <row r="6625" spans="1:44">
      <c r="A6625" s="4" t="s">
        <v>5</v>
      </c>
      <c r="B6625" s="4">
        <v>47071</v>
      </c>
      <c r="C6625" s="4">
        <v>6829</v>
      </c>
      <c r="D6625" s="5" t="s">
        <v>9368</v>
      </c>
      <c r="E6625" s="6" t="str">
        <f>HYPERLINK("https://inpn.mnhn.fr/espece/cd_nom/47071","Laetinaevia bresadolae (Rehm) Petr., 1940")</f>
        <v>Laetinaevia bresadolae (Rehm) Petr., 1940</v>
      </c>
      <c r="AH6625" s="4" t="str">
        <f>HYPERLINK("#Statut_biogéographique!A"&amp;_xlfn.XMATCH("P",Statut_biogéographique!A:A,2,1),"P")</f>
        <v>P</v>
      </c>
      <c r="AP6625" s="4" t="s">
        <v>376</v>
      </c>
      <c r="AR6625" s="4" t="s">
        <v>377</v>
      </c>
    </row>
    <row r="6626" spans="1:44">
      <c r="A6626" s="4" t="s">
        <v>5</v>
      </c>
      <c r="B6626" s="4">
        <v>47129</v>
      </c>
      <c r="C6626" s="4">
        <v>6242</v>
      </c>
      <c r="D6626" s="5" t="s">
        <v>9369</v>
      </c>
      <c r="E6626" s="6" t="str">
        <f>HYPERLINK("https://inpn.mnhn.fr/espece/cd_nom/47129","Gyromitra melaleuca (Bres.) Donadini, 1976")</f>
        <v>Gyromitra melaleuca (Bres.) Donadini, 1976</v>
      </c>
      <c r="F6626" s="5" t="s">
        <v>9370</v>
      </c>
      <c r="AH6626" s="4" t="str">
        <f>HYPERLINK("#Statut_biogéographique!A"&amp;_xlfn.XMATCH("P",Statut_biogéographique!A:A,2,1),"P")</f>
        <v>P</v>
      </c>
      <c r="AP6626" s="4" t="s">
        <v>376</v>
      </c>
      <c r="AR6626" s="4" t="s">
        <v>377</v>
      </c>
    </row>
    <row r="6627" spans="1:44">
      <c r="A6627" s="4" t="s">
        <v>5</v>
      </c>
      <c r="B6627" s="4">
        <v>47133</v>
      </c>
      <c r="C6627" s="4">
        <v>2684</v>
      </c>
      <c r="D6627" s="5" t="s">
        <v>9371</v>
      </c>
      <c r="E6627" s="6" t="str">
        <f>HYPERLINK("https://inpn.mnhn.fr/espece/cd_nom/47133","Discina ancilis (Pers.) Sacc., 1889")</f>
        <v>Discina ancilis (Pers.) Sacc., 1889</v>
      </c>
      <c r="F6627" s="5" t="s">
        <v>9372</v>
      </c>
      <c r="V6627" s="7" t="str">
        <f>HYPERLINK("#Liste_rouge!A"&amp;_xlfn.XMATCH("LC",Liste_rouge!A:A,2,1),"LC")</f>
        <v>LC</v>
      </c>
      <c r="AH6627" s="4" t="str">
        <f>HYPERLINK("#Statut_biogéographique!A"&amp;_xlfn.XMATCH("P",Statut_biogéographique!A:A,2,1),"P")</f>
        <v>P</v>
      </c>
      <c r="AP6627" s="4" t="s">
        <v>376</v>
      </c>
      <c r="AR6627" s="4" t="s">
        <v>377</v>
      </c>
    </row>
    <row r="6628" spans="1:44">
      <c r="A6628" s="4" t="s">
        <v>5</v>
      </c>
      <c r="B6628" s="4">
        <v>47140</v>
      </c>
      <c r="C6628" s="4">
        <v>4868</v>
      </c>
      <c r="D6628" s="5" t="s">
        <v>9373</v>
      </c>
      <c r="E6628" s="6" t="str">
        <f>HYPERLINK("https://inpn.mnhn.fr/espece/cd_nom/47140","Discinella badicolor Boud., 1888")</f>
        <v>Discinella badicolor Boud., 1888</v>
      </c>
      <c r="AH6628" s="4" t="str">
        <f>HYPERLINK("#Statut_biogéographique!A"&amp;_xlfn.XMATCH("P",Statut_biogéographique!A:A,2,1),"P")</f>
        <v>P</v>
      </c>
      <c r="AP6628" s="4" t="s">
        <v>376</v>
      </c>
      <c r="AR6628" s="4" t="s">
        <v>377</v>
      </c>
    </row>
    <row r="6629" spans="1:44">
      <c r="A6629" s="4" t="s">
        <v>5</v>
      </c>
      <c r="B6629" s="4">
        <v>47154</v>
      </c>
      <c r="C6629" s="4">
        <v>2956</v>
      </c>
      <c r="D6629" s="5" t="s">
        <v>9374</v>
      </c>
      <c r="E6629" s="6" t="str">
        <f>HYPERLINK("https://inpn.mnhn.fr/espece/cd_nom/47154","Disciotis maturescens Boud., 1891")</f>
        <v>Disciotis maturescens Boud., 1891</v>
      </c>
      <c r="V6629" s="7" t="str">
        <f>HYPERLINK("#Liste_rouge!A"&amp;_xlfn.XMATCH("CR",Liste_rouge!A:A,2,1),"CR")</f>
        <v>CR</v>
      </c>
      <c r="W6629" s="4" t="str">
        <f>HYPERLINK("#Critères_liste_rouge!A$1","B2abiii")</f>
        <v>B2abiii</v>
      </c>
      <c r="Z6629" s="4" t="s">
        <v>447</v>
      </c>
      <c r="AA6629" s="4" t="s">
        <v>448</v>
      </c>
      <c r="AH6629" s="4" t="str">
        <f>HYPERLINK("#Statut_biogéographique!A"&amp;_xlfn.XMATCH("P",Statut_biogéographique!A:A,2,1),"P")</f>
        <v>P</v>
      </c>
      <c r="AP6629" s="4" t="s">
        <v>376</v>
      </c>
      <c r="AR6629" s="4" t="s">
        <v>377</v>
      </c>
    </row>
    <row r="6630" spans="1:44">
      <c r="A6630" s="4" t="s">
        <v>5</v>
      </c>
      <c r="B6630" s="4">
        <v>47157</v>
      </c>
      <c r="C6630" s="4">
        <v>515</v>
      </c>
      <c r="D6630" s="5" t="s">
        <v>9375</v>
      </c>
      <c r="E6630" s="6" t="str">
        <f>HYPERLINK("https://inpn.mnhn.fr/espece/cd_nom/47157","Disciotis venosa (Pers.) Arnould, 1893")</f>
        <v>Disciotis venosa (Pers.) Arnould, 1893</v>
      </c>
      <c r="F6630" s="5" t="s">
        <v>9376</v>
      </c>
      <c r="AH6630" s="4" t="str">
        <f>HYPERLINK("#Statut_biogéographique!A"&amp;_xlfn.XMATCH("P",Statut_biogéographique!A:A,2,1),"P")</f>
        <v>P</v>
      </c>
      <c r="AP6630" s="4" t="s">
        <v>376</v>
      </c>
      <c r="AR6630" s="4" t="s">
        <v>377</v>
      </c>
    </row>
    <row r="6631" spans="1:44">
      <c r="A6631" s="4" t="s">
        <v>5</v>
      </c>
      <c r="B6631" s="4">
        <v>471608</v>
      </c>
      <c r="C6631" s="4">
        <v>6509</v>
      </c>
      <c r="D6631" s="5" t="s">
        <v>9377</v>
      </c>
      <c r="E6631" s="6" t="str">
        <f>HYPERLINK("https://inpn.mnhn.fr/espece/cd_nom/471608","Amanita ochraceopallida Contu, 1997")</f>
        <v>Amanita ochraceopallida Contu, 1997</v>
      </c>
      <c r="F6631" s="5" t="s">
        <v>9378</v>
      </c>
      <c r="AH6631" s="4" t="str">
        <f>HYPERLINK("#Statut_biogéographique!A"&amp;_xlfn.XMATCH("P",Statut_biogéographique!A:A,2,1),"P")</f>
        <v>P</v>
      </c>
      <c r="AP6631" s="4" t="s">
        <v>376</v>
      </c>
      <c r="AR6631" s="4" t="s">
        <v>377</v>
      </c>
    </row>
    <row r="6632" spans="1:44">
      <c r="A6632" s="4" t="s">
        <v>5</v>
      </c>
      <c r="B6632" s="4">
        <v>471675</v>
      </c>
      <c r="C6632" s="4">
        <v>7149</v>
      </c>
      <c r="D6632" s="5" t="s">
        <v>9379</v>
      </c>
      <c r="E6632" s="6" t="str">
        <f>HYPERLINK("https://inpn.mnhn.fr/espece/cd_nom/471675","Cantharellus pallens Pilát, 1959")</f>
        <v>Cantharellus pallens Pilát, 1959</v>
      </c>
      <c r="F6632" s="5" t="s">
        <v>9380</v>
      </c>
      <c r="V6632" s="7" t="str">
        <f>HYPERLINK("#Liste_rouge!A"&amp;_xlfn.XMATCH("LC",Liste_rouge!A:A,2,1),"LC")</f>
        <v>LC</v>
      </c>
      <c r="AH6632" s="4" t="str">
        <f>HYPERLINK("#Statut_biogéographique!A"&amp;_xlfn.XMATCH("P",Statut_biogéographique!A:A,2,1),"P")</f>
        <v>P</v>
      </c>
      <c r="AP6632" s="4" t="s">
        <v>376</v>
      </c>
      <c r="AR6632" s="4" t="s">
        <v>377</v>
      </c>
    </row>
    <row r="6633" spans="1:44">
      <c r="A6633" s="4" t="s">
        <v>5</v>
      </c>
      <c r="B6633" s="4">
        <v>47173</v>
      </c>
      <c r="C6633" s="4">
        <v>1417</v>
      </c>
      <c r="D6633" s="5" t="s">
        <v>9381</v>
      </c>
      <c r="E6633" s="6" t="str">
        <f>HYPERLINK("https://inpn.mnhn.fr/espece/cd_nom/47173","Discosphaerina cytisi (Fuckel) Sivan., 1984")</f>
        <v>Discosphaerina cytisi (Fuckel) Sivan., 1984</v>
      </c>
      <c r="AH6633" s="4" t="str">
        <f>HYPERLINK("#Statut_biogéographique!A"&amp;_xlfn.XMATCH("P",Statut_biogéographique!A:A,2,1),"P")</f>
        <v>P</v>
      </c>
      <c r="AP6633" s="4" t="s">
        <v>376</v>
      </c>
      <c r="AR6633" s="4" t="s">
        <v>377</v>
      </c>
    </row>
    <row r="6634" spans="1:44">
      <c r="A6634" s="4" t="s">
        <v>5</v>
      </c>
      <c r="B6634" s="4">
        <v>47191</v>
      </c>
      <c r="C6634" s="4">
        <v>4163</v>
      </c>
      <c r="D6634" s="5" t="s">
        <v>9382</v>
      </c>
      <c r="E6634" s="6" t="str">
        <f>HYPERLINK("https://inpn.mnhn.fr/espece/cd_nom/47191","Dothidea puccinioides (DC.) Fr., 1823")</f>
        <v>Dothidea puccinioides (DC.) Fr., 1823</v>
      </c>
      <c r="AH6634" s="4" t="str">
        <f>HYPERLINK("#Statut_biogéographique!A"&amp;_xlfn.XMATCH("P",Statut_biogéographique!A:A,2,1),"P")</f>
        <v>P</v>
      </c>
      <c r="AP6634" s="4" t="s">
        <v>376</v>
      </c>
      <c r="AR6634" s="4" t="s">
        <v>377</v>
      </c>
    </row>
    <row r="6635" spans="1:44">
      <c r="A6635" s="4" t="s">
        <v>5</v>
      </c>
      <c r="B6635" s="4">
        <v>47193</v>
      </c>
      <c r="C6635" s="4">
        <v>5819</v>
      </c>
      <c r="D6635" s="5" t="s">
        <v>9383</v>
      </c>
      <c r="E6635" s="6" t="str">
        <f>HYPERLINK("https://inpn.mnhn.fr/espece/cd_nom/47193","Dothidea sambuci (Pers.) Fr., 1823")</f>
        <v>Dothidea sambuci (Pers.) Fr., 1823</v>
      </c>
      <c r="AH6635" s="4" t="str">
        <f>HYPERLINK("#Statut_biogéographique!A"&amp;_xlfn.XMATCH("P",Statut_biogéographique!A:A,2,1),"P")</f>
        <v>P</v>
      </c>
      <c r="AP6635" s="4" t="s">
        <v>376</v>
      </c>
      <c r="AR6635" s="4" t="s">
        <v>377</v>
      </c>
    </row>
    <row r="6636" spans="1:44">
      <c r="A6636" s="4" t="s">
        <v>5</v>
      </c>
      <c r="B6636" s="4">
        <v>471976</v>
      </c>
      <c r="C6636" s="4">
        <v>6451</v>
      </c>
      <c r="D6636" s="5" t="s">
        <v>9384</v>
      </c>
      <c r="E6636" s="6" t="str">
        <f>HYPERLINK("https://inpn.mnhn.fr/espece/cd_nom/471976","Entoloma jahnii Wölfel &amp; Winterh., 1993")</f>
        <v>Entoloma jahnii Wölfel &amp; Winterh., 1993</v>
      </c>
      <c r="AH6636" s="4" t="str">
        <f>HYPERLINK("#Statut_biogéographique!A"&amp;_xlfn.XMATCH("P",Statut_biogéographique!A:A,2,1),"P")</f>
        <v>P</v>
      </c>
      <c r="AP6636" s="4" t="s">
        <v>376</v>
      </c>
      <c r="AR6636" s="4" t="s">
        <v>377</v>
      </c>
    </row>
    <row r="6637" spans="1:44">
      <c r="A6637" s="4" t="s">
        <v>5</v>
      </c>
      <c r="B6637" s="4">
        <v>47201</v>
      </c>
      <c r="C6637" s="4">
        <v>1359</v>
      </c>
      <c r="D6637" s="5" t="s">
        <v>9385</v>
      </c>
      <c r="E6637" s="6" t="str">
        <f>HYPERLINK("https://inpn.mnhn.fr/espece/cd_nom/47201","Plowrightia ribesia (Pers.) Sacc., 1883")</f>
        <v>Plowrightia ribesia (Pers.) Sacc., 1883</v>
      </c>
      <c r="AH6637" s="4" t="str">
        <f>HYPERLINK("#Statut_biogéographique!A"&amp;_xlfn.XMATCH("P",Statut_biogéographique!A:A,2,1),"P")</f>
        <v>P</v>
      </c>
      <c r="AP6637" s="4" t="s">
        <v>376</v>
      </c>
      <c r="AR6637" s="4" t="s">
        <v>377</v>
      </c>
    </row>
    <row r="6638" spans="1:44" ht="30">
      <c r="A6638" s="4" t="s">
        <v>5</v>
      </c>
      <c r="B6638" s="4">
        <v>47226</v>
      </c>
      <c r="C6638" s="4">
        <v>1060</v>
      </c>
      <c r="D6638" s="5" t="s">
        <v>9386</v>
      </c>
      <c r="E6638" s="6" t="str">
        <f>HYPERLINK("https://inpn.mnhn.fr/espece/cd_nom/47226","Dumontinia tuberosa (Bull.) L.M.Kohn, 1979")</f>
        <v>Dumontinia tuberosa (Bull.) L.M.Kohn, 1979</v>
      </c>
      <c r="V6638" s="7" t="str">
        <f>HYPERLINK("#Liste_rouge!A"&amp;_xlfn.XMATCH("LC",Liste_rouge!A:A,2,1),"LC")</f>
        <v>LC</v>
      </c>
      <c r="AH6638" s="4" t="str">
        <f>HYPERLINK("#Statut_biogéographique!A"&amp;_xlfn.XMATCH("P",Statut_biogéographique!A:A,2,1),"P")</f>
        <v>P</v>
      </c>
      <c r="AP6638" s="4" t="s">
        <v>376</v>
      </c>
      <c r="AR6638" s="4" t="s">
        <v>377</v>
      </c>
    </row>
    <row r="6639" spans="1:44">
      <c r="A6639" s="4" t="s">
        <v>5</v>
      </c>
      <c r="B6639" s="4">
        <v>47236</v>
      </c>
      <c r="C6639" s="4">
        <v>4164</v>
      </c>
      <c r="D6639" s="5" t="s">
        <v>9387</v>
      </c>
      <c r="E6639" s="6" t="str">
        <f>HYPERLINK("https://inpn.mnhn.fr/espece/cd_nom/47236","Durandiella gallica M.Morelet, 1971")</f>
        <v>Durandiella gallica M.Morelet, 1971</v>
      </c>
      <c r="AH6639" s="4" t="str">
        <f>HYPERLINK("#Statut_biogéographique!A"&amp;_xlfn.XMATCH("P",Statut_biogéographique!A:A,2,1),"P")</f>
        <v>P</v>
      </c>
      <c r="AP6639" s="4" t="s">
        <v>376</v>
      </c>
      <c r="AR6639" s="4" t="s">
        <v>377</v>
      </c>
    </row>
    <row r="6640" spans="1:44" ht="30">
      <c r="A6640" s="4" t="s">
        <v>5</v>
      </c>
      <c r="B6640" s="4">
        <v>47246</v>
      </c>
      <c r="C6640" s="4">
        <v>2782</v>
      </c>
      <c r="D6640" s="5" t="s">
        <v>9388</v>
      </c>
      <c r="E6640" s="6" t="str">
        <f>HYPERLINK("https://inpn.mnhn.fr/espece/cd_nom/47246","Durella connivens (Fr.) Rehm, 1870")</f>
        <v>Durella connivens (Fr.) Rehm, 1870</v>
      </c>
      <c r="AH6640" s="4" t="str">
        <f>HYPERLINK("#Statut_biogéographique!A"&amp;_xlfn.XMATCH("P",Statut_biogéographique!A:A,2,1),"P")</f>
        <v>P</v>
      </c>
      <c r="AP6640" s="4" t="s">
        <v>376</v>
      </c>
      <c r="AR6640" s="4" t="s">
        <v>377</v>
      </c>
    </row>
    <row r="6641" spans="1:44">
      <c r="A6641" s="4" t="s">
        <v>5</v>
      </c>
      <c r="B6641" s="4">
        <v>47256</v>
      </c>
      <c r="C6641" s="4">
        <v>2481</v>
      </c>
      <c r="D6641" s="5" t="s">
        <v>9389</v>
      </c>
      <c r="E6641" s="6" t="str">
        <f>HYPERLINK("https://inpn.mnhn.fr/espece/cd_nom/47256","Elaphomyces aculeatus Vittad., 1831")</f>
        <v>Elaphomyces aculeatus Vittad., 1831</v>
      </c>
      <c r="V6641" s="7" t="str">
        <f>HYPERLINK("#Liste_rouge!A"&amp;_xlfn.XMATCH("RE",Liste_rouge!A:A,2,1),"RE")</f>
        <v>RE</v>
      </c>
      <c r="Z6641" s="4" t="s">
        <v>443</v>
      </c>
      <c r="AA6641" s="4" t="s">
        <v>444</v>
      </c>
      <c r="AH6641" s="4" t="str">
        <f>HYPERLINK("#Statut_biogéographique!A"&amp;_xlfn.XMATCH("P",Statut_biogéographique!A:A,2,1),"P")</f>
        <v>P</v>
      </c>
      <c r="AP6641" s="4" t="s">
        <v>376</v>
      </c>
      <c r="AR6641" s="4" t="s">
        <v>377</v>
      </c>
    </row>
    <row r="6642" spans="1:44">
      <c r="A6642" s="4" t="s">
        <v>5</v>
      </c>
      <c r="B6642" s="4">
        <v>47262</v>
      </c>
      <c r="C6642" s="4">
        <v>2962</v>
      </c>
      <c r="D6642" s="5" t="s">
        <v>9390</v>
      </c>
      <c r="E6642" s="6" t="str">
        <f>HYPERLINK("https://inpn.mnhn.fr/espece/cd_nom/47262","Elaphomyces asperulus Vittad., 1831")</f>
        <v>Elaphomyces asperulus Vittad., 1831</v>
      </c>
      <c r="F6642" s="5" t="s">
        <v>9391</v>
      </c>
      <c r="V6642" s="7" t="str">
        <f>HYPERLINK("#Liste_rouge!A"&amp;_xlfn.XMATCH("VU",Liste_rouge!A:A,2,1),"VU")</f>
        <v>VU</v>
      </c>
      <c r="W6642" s="4" t="str">
        <f>HYPERLINK("#Critères_liste_rouge!A$1","B2abiii")</f>
        <v>B2abiii</v>
      </c>
      <c r="Z6642" s="4" t="s">
        <v>443</v>
      </c>
      <c r="AA6642" s="4" t="s">
        <v>444</v>
      </c>
      <c r="AH6642" s="4" t="str">
        <f>HYPERLINK("#Statut_biogéographique!A"&amp;_xlfn.XMATCH("P",Statut_biogéographique!A:A,2,1),"P")</f>
        <v>P</v>
      </c>
      <c r="AP6642" s="4" t="s">
        <v>376</v>
      </c>
      <c r="AR6642" s="4" t="s">
        <v>377</v>
      </c>
    </row>
    <row r="6643" spans="1:44">
      <c r="A6643" s="4" t="s">
        <v>5</v>
      </c>
      <c r="B6643" s="4">
        <v>47267</v>
      </c>
      <c r="C6643" s="4">
        <v>6573</v>
      </c>
      <c r="D6643" s="5" t="s">
        <v>9392</v>
      </c>
      <c r="E6643" s="6" t="str">
        <f>HYPERLINK("https://inpn.mnhn.fr/espece/cd_nom/47267","Elaphomyces decipiens Vittad., 1831")</f>
        <v>Elaphomyces decipiens Vittad., 1831</v>
      </c>
      <c r="F6643" s="5" t="s">
        <v>9393</v>
      </c>
      <c r="AH6643" s="4" t="str">
        <f>HYPERLINK("#Statut_biogéographique!A"&amp;_xlfn.XMATCH("P",Statut_biogéographique!A:A,2,1),"P")</f>
        <v>P</v>
      </c>
      <c r="AP6643" s="4" t="s">
        <v>376</v>
      </c>
      <c r="AR6643" s="4" t="s">
        <v>377</v>
      </c>
    </row>
    <row r="6644" spans="1:44" ht="30">
      <c r="A6644" s="4" t="s">
        <v>5</v>
      </c>
      <c r="B6644" s="4">
        <v>47272</v>
      </c>
      <c r="C6644" s="4">
        <v>632</v>
      </c>
      <c r="D6644" s="5" t="s">
        <v>9394</v>
      </c>
      <c r="E6644" s="6" t="str">
        <f>HYPERLINK("https://inpn.mnhn.fr/espece/cd_nom/47272","Elaphomyces granulatus Fr., 1829")</f>
        <v>Elaphomyces granulatus Fr., 1829</v>
      </c>
      <c r="F6644" s="5" t="s">
        <v>9395</v>
      </c>
      <c r="V6644" s="7" t="str">
        <f>HYPERLINK("#Liste_rouge!A"&amp;_xlfn.XMATCH("LC",Liste_rouge!A:A,2,1),"LC")</f>
        <v>LC</v>
      </c>
      <c r="AH6644" s="4" t="str">
        <f>HYPERLINK("#Statut_biogéographique!A"&amp;_xlfn.XMATCH("P",Statut_biogéographique!A:A,2,1),"P")</f>
        <v>P</v>
      </c>
      <c r="AP6644" s="4" t="s">
        <v>376</v>
      </c>
      <c r="AR6644" s="4" t="s">
        <v>377</v>
      </c>
    </row>
    <row r="6645" spans="1:44" ht="30">
      <c r="A6645" s="4" t="s">
        <v>5</v>
      </c>
      <c r="B6645" s="4">
        <v>47280</v>
      </c>
      <c r="C6645" s="4">
        <v>3172</v>
      </c>
      <c r="D6645" s="5" t="s">
        <v>9396</v>
      </c>
      <c r="E6645" s="6" t="str">
        <f>HYPERLINK("https://inpn.mnhn.fr/espece/cd_nom/47280","Elaphomyces muricatus Fr., 1829")</f>
        <v>Elaphomyces muricatus Fr., 1829</v>
      </c>
      <c r="F6645" s="5" t="s">
        <v>7755</v>
      </c>
      <c r="V6645" s="7" t="str">
        <f>HYPERLINK("#Liste_rouge!A"&amp;_xlfn.XMATCH("NT",Liste_rouge!A:A,2,1),"NT")</f>
        <v>NT</v>
      </c>
      <c r="W6645" s="4" t="str">
        <f>HYPERLINK("#Critères_liste_rouge!A$1","pr. B2abiii")</f>
        <v>pr. B2abiii</v>
      </c>
      <c r="AH6645" s="4" t="str">
        <f>HYPERLINK("#Statut_biogéographique!A"&amp;_xlfn.XMATCH("P",Statut_biogéographique!A:A,2,1),"P")</f>
        <v>P</v>
      </c>
      <c r="AP6645" s="4" t="s">
        <v>376</v>
      </c>
      <c r="AR6645" s="4" t="s">
        <v>377</v>
      </c>
    </row>
    <row r="6646" spans="1:44">
      <c r="A6646" s="4" t="s">
        <v>5</v>
      </c>
      <c r="B6646" s="4">
        <v>47303</v>
      </c>
      <c r="C6646" s="4">
        <v>6442</v>
      </c>
      <c r="D6646" s="5" t="s">
        <v>9397</v>
      </c>
      <c r="E6646" s="6" t="str">
        <f>HYPERLINK("https://inpn.mnhn.fr/espece/cd_nom/47303","Encoelia fimbriata Spooner &amp; Trigaux, 1985")</f>
        <v>Encoelia fimbriata Spooner &amp; Trigaux, 1985</v>
      </c>
      <c r="AH6646" s="4" t="str">
        <f>HYPERLINK("#Statut_biogéographique!A"&amp;_xlfn.XMATCH("P",Statut_biogéographique!A:A,2,1),"P")</f>
        <v>P</v>
      </c>
      <c r="AP6646" s="4" t="s">
        <v>376</v>
      </c>
      <c r="AR6646" s="4" t="s">
        <v>377</v>
      </c>
    </row>
    <row r="6647" spans="1:44" ht="30">
      <c r="A6647" s="4" t="s">
        <v>5</v>
      </c>
      <c r="B6647" s="4">
        <v>47305</v>
      </c>
      <c r="C6647" s="4">
        <v>497</v>
      </c>
      <c r="D6647" s="5" t="s">
        <v>9398</v>
      </c>
      <c r="E6647" s="6" t="str">
        <f>HYPERLINK("https://inpn.mnhn.fr/espece/cd_nom/47305","Encoelia furfuracea (Roth) P.Karst., 1871")</f>
        <v>Encoelia furfuracea (Roth) P.Karst., 1871</v>
      </c>
      <c r="F6647" s="5" t="s">
        <v>9399</v>
      </c>
      <c r="V6647" s="7" t="str">
        <f>HYPERLINK("#Liste_rouge!A"&amp;_xlfn.XMATCH("LC",Liste_rouge!A:A,2,1),"LC")</f>
        <v>LC</v>
      </c>
      <c r="AH6647" s="4" t="str">
        <f>HYPERLINK("#Statut_biogéographique!A"&amp;_xlfn.XMATCH("P",Statut_biogéographique!A:A,2,1),"P")</f>
        <v>P</v>
      </c>
      <c r="AP6647" s="4" t="s">
        <v>376</v>
      </c>
      <c r="AR6647" s="4" t="s">
        <v>377</v>
      </c>
    </row>
    <row r="6648" spans="1:44">
      <c r="A6648" s="4" t="s">
        <v>5</v>
      </c>
      <c r="B6648" s="4">
        <v>47308</v>
      </c>
      <c r="C6648" s="4">
        <v>3138</v>
      </c>
      <c r="D6648" s="5" t="s">
        <v>9400</v>
      </c>
      <c r="E6648" s="6" t="str">
        <f>HYPERLINK("https://inpn.mnhn.fr/espece/cd_nom/47308","Encoelia glaberrima (Rehm) Kirschst., 1935")</f>
        <v>Encoelia glaberrima (Rehm) Kirschst., 1935</v>
      </c>
      <c r="F6648" s="5" t="s">
        <v>9401</v>
      </c>
      <c r="V6648" s="7" t="str">
        <f>HYPERLINK("#Liste_rouge!A"&amp;_xlfn.XMATCH("EN",Liste_rouge!A:A,2,1),"EN")</f>
        <v>EN</v>
      </c>
      <c r="W6648" s="4" t="str">
        <f>HYPERLINK("#Critères_liste_rouge!A$1","B2abiii")</f>
        <v>B2abiii</v>
      </c>
      <c r="Z6648" s="4" t="s">
        <v>447</v>
      </c>
      <c r="AA6648" s="4" t="s">
        <v>448</v>
      </c>
      <c r="AH6648" s="4" t="str">
        <f>HYPERLINK("#Statut_biogéographique!A"&amp;_xlfn.XMATCH("P",Statut_biogéographique!A:A,2,1),"P")</f>
        <v>P</v>
      </c>
      <c r="AP6648" s="4" t="s">
        <v>376</v>
      </c>
      <c r="AR6648" s="4" t="s">
        <v>377</v>
      </c>
    </row>
    <row r="6649" spans="1:44" ht="30">
      <c r="A6649" s="4" t="s">
        <v>5</v>
      </c>
      <c r="B6649" s="4">
        <v>47355</v>
      </c>
      <c r="C6649" s="4">
        <v>1612</v>
      </c>
      <c r="D6649" s="5" t="s">
        <v>9402</v>
      </c>
      <c r="E6649" s="6" t="str">
        <f>HYPERLINK("https://inpn.mnhn.fr/espece/cd_nom/47355","Epichloe typhina (Pers.) Tul. &amp; C.Tul., 1865")</f>
        <v>Epichloe typhina (Pers.) Tul. &amp; C.Tul., 1865</v>
      </c>
      <c r="F6649" s="5" t="s">
        <v>9403</v>
      </c>
      <c r="AH6649" s="4" t="str">
        <f>HYPERLINK("#Statut_biogéographique!A"&amp;_xlfn.XMATCH("P",Statut_biogéographique!A:A,2,1),"P")</f>
        <v>P</v>
      </c>
      <c r="AP6649" s="4" t="s">
        <v>376</v>
      </c>
      <c r="AR6649" s="4" t="s">
        <v>377</v>
      </c>
    </row>
    <row r="6650" spans="1:44" ht="45">
      <c r="A6650" s="4" t="s">
        <v>5</v>
      </c>
      <c r="B6650" s="4">
        <v>47388</v>
      </c>
      <c r="C6650" s="4">
        <v>2505</v>
      </c>
      <c r="D6650" s="5" t="s">
        <v>9404</v>
      </c>
      <c r="E6650" s="6" t="str">
        <f>HYPERLINK("https://inpn.mnhn.fr/espece/cd_nom/47388","Eudarluca caricis (Fr.) O.E.Erikss., 1966")</f>
        <v>Eudarluca caricis (Fr.) O.E.Erikss., 1966</v>
      </c>
      <c r="AH6650" s="4" t="str">
        <f>HYPERLINK("#Statut_biogéographique!A"&amp;_xlfn.XMATCH("P",Statut_biogéographique!A:A,2,1),"P")</f>
        <v>P</v>
      </c>
      <c r="AP6650" s="4" t="s">
        <v>376</v>
      </c>
      <c r="AR6650" s="4" t="s">
        <v>377</v>
      </c>
    </row>
    <row r="6651" spans="1:44" ht="45">
      <c r="A6651" s="4" t="s">
        <v>5</v>
      </c>
      <c r="B6651" s="4">
        <v>47403</v>
      </c>
      <c r="C6651" s="4">
        <v>2926</v>
      </c>
      <c r="D6651" s="5" t="s">
        <v>9405</v>
      </c>
      <c r="E6651" s="6" t="str">
        <f>HYPERLINK("https://inpn.mnhn.fr/espece/cd_nom/47403","Eutypa lata (Pers.) Tul. &amp; C.Tul., 1863")</f>
        <v>Eutypa lata (Pers.) Tul. &amp; C.Tul., 1863</v>
      </c>
      <c r="AH6651" s="4" t="str">
        <f>HYPERLINK("#Statut_biogéographique!A"&amp;_xlfn.XMATCH("P",Statut_biogéographique!A:A,2,1),"P")</f>
        <v>P</v>
      </c>
      <c r="AP6651" s="4" t="s">
        <v>376</v>
      </c>
      <c r="AR6651" s="4" t="s">
        <v>377</v>
      </c>
    </row>
    <row r="6652" spans="1:44">
      <c r="A6652" s="4" t="s">
        <v>5</v>
      </c>
      <c r="B6652" s="4">
        <v>47407</v>
      </c>
      <c r="C6652" s="4">
        <v>3570</v>
      </c>
      <c r="D6652" s="5" t="s">
        <v>9406</v>
      </c>
      <c r="E6652" s="6" t="str">
        <f>HYPERLINK("https://inpn.mnhn.fr/espece/cd_nom/47407","Eutypa maura (Fr.) Sacc., 1882")</f>
        <v>Eutypa maura (Fr.) Sacc., 1882</v>
      </c>
      <c r="AH6652" s="4" t="str">
        <f>HYPERLINK("#Statut_biogéographique!A"&amp;_xlfn.XMATCH("P",Statut_biogéographique!A:A,2,1),"P")</f>
        <v>P</v>
      </c>
      <c r="AP6652" s="4" t="s">
        <v>376</v>
      </c>
      <c r="AR6652" s="4" t="s">
        <v>377</v>
      </c>
    </row>
    <row r="6653" spans="1:44">
      <c r="A6653" s="4" t="s">
        <v>5</v>
      </c>
      <c r="B6653" s="4">
        <v>47413</v>
      </c>
      <c r="C6653" s="4">
        <v>2779</v>
      </c>
      <c r="D6653" s="5" t="s">
        <v>9407</v>
      </c>
      <c r="E6653" s="6" t="str">
        <f>HYPERLINK("https://inpn.mnhn.fr/espece/cd_nom/47413","Eutypa scabrosa (Bull.) Auersw., 1868")</f>
        <v>Eutypa scabrosa (Bull.) Auersw., 1868</v>
      </c>
      <c r="AH6653" s="4" t="str">
        <f>HYPERLINK("#Statut_biogéographique!A"&amp;_xlfn.XMATCH("P",Statut_biogéographique!A:A,2,1),"P")</f>
        <v>P</v>
      </c>
      <c r="AP6653" s="4" t="s">
        <v>376</v>
      </c>
      <c r="AR6653" s="4" t="s">
        <v>377</v>
      </c>
    </row>
    <row r="6654" spans="1:44" ht="30">
      <c r="A6654" s="4" t="s">
        <v>5</v>
      </c>
      <c r="B6654" s="4">
        <v>47423</v>
      </c>
      <c r="C6654" s="4">
        <v>880</v>
      </c>
      <c r="D6654" s="5" t="s">
        <v>9408</v>
      </c>
      <c r="E6654" s="6" t="str">
        <f>HYPERLINK("https://inpn.mnhn.fr/espece/cd_nom/47423","Eutypella prunastri (Pers.) Sacc., 1882")</f>
        <v>Eutypella prunastri (Pers.) Sacc., 1882</v>
      </c>
      <c r="V6654" s="7" t="str">
        <f>HYPERLINK("#Liste_rouge!A"&amp;_xlfn.XMATCH("LC",Liste_rouge!A:A,2,1),"LC")</f>
        <v>LC</v>
      </c>
      <c r="AH6654" s="4" t="str">
        <f>HYPERLINK("#Statut_biogéographique!A"&amp;_xlfn.XMATCH("P",Statut_biogéographique!A:A,2,1),"P")</f>
        <v>P</v>
      </c>
      <c r="AP6654" s="4" t="s">
        <v>376</v>
      </c>
      <c r="AR6654" s="4" t="s">
        <v>377</v>
      </c>
    </row>
    <row r="6655" spans="1:44">
      <c r="A6655" s="4" t="s">
        <v>5</v>
      </c>
      <c r="B6655" s="4">
        <v>47429</v>
      </c>
      <c r="C6655" s="4">
        <v>4124</v>
      </c>
      <c r="D6655" s="5" t="s">
        <v>9409</v>
      </c>
      <c r="E6655" s="6" t="str">
        <f>HYPERLINK("https://inpn.mnhn.fr/espece/cd_nom/47429","Eutypella stellulata (Fr.) Sacc., 1882")</f>
        <v>Eutypella stellulata (Fr.) Sacc., 1882</v>
      </c>
      <c r="AH6655" s="4" t="str">
        <f>HYPERLINK("#Statut_biogéographique!A"&amp;_xlfn.XMATCH("P",Statut_biogéographique!A:A,2,1),"P")</f>
        <v>P</v>
      </c>
      <c r="AP6655" s="4" t="s">
        <v>376</v>
      </c>
      <c r="AR6655" s="4" t="s">
        <v>377</v>
      </c>
    </row>
    <row r="6656" spans="1:44" ht="30">
      <c r="A6656" s="4" t="s">
        <v>5</v>
      </c>
      <c r="B6656" s="4">
        <v>47466</v>
      </c>
      <c r="D6656" s="5" t="s">
        <v>9410</v>
      </c>
      <c r="E6656" s="6" t="str">
        <f>HYPERLINK("https://inpn.mnhn.fr/espece/cd_nom/47466","Flavoscypha cantharella (Fr.) Harmaja, 1974")</f>
        <v>Flavoscypha cantharella (Fr.) Harmaja, 1974</v>
      </c>
      <c r="V6656" s="7" t="str">
        <f>HYPERLINK("#Liste_rouge!A"&amp;_xlfn.XMATCH("EN",Liste_rouge!A:A,2,1),"EN")</f>
        <v>EN</v>
      </c>
      <c r="W6656" s="4" t="str">
        <f>HYPERLINK("#Critères_liste_rouge!A$1","B2abiii")</f>
        <v>B2abiii</v>
      </c>
      <c r="AH6656" s="4" t="str">
        <f>HYPERLINK("#Statut_biogéographique!A"&amp;_xlfn.XMATCH("P",Statut_biogéographique!A:A,2,1),"P")</f>
        <v>P</v>
      </c>
      <c r="AP6656" s="4" t="s">
        <v>376</v>
      </c>
      <c r="AR6656" s="4" t="s">
        <v>377</v>
      </c>
    </row>
    <row r="6657" spans="1:44">
      <c r="A6657" s="4" t="s">
        <v>5</v>
      </c>
      <c r="B6657" s="4">
        <v>47498</v>
      </c>
      <c r="C6657" s="4">
        <v>2484</v>
      </c>
      <c r="D6657" s="5" t="s">
        <v>9411</v>
      </c>
      <c r="E6657" s="6" t="str">
        <f>HYPERLINK("https://inpn.mnhn.fr/espece/cd_nom/47498","Genea verrucosa Vittad., 1831")</f>
        <v>Genea verrucosa Vittad., 1831</v>
      </c>
      <c r="AH6657" s="4" t="str">
        <f>HYPERLINK("#Statut_biogéographique!A"&amp;_xlfn.XMATCH("P",Statut_biogéographique!A:A,2,1),"P")</f>
        <v>P</v>
      </c>
      <c r="AP6657" s="4" t="s">
        <v>376</v>
      </c>
      <c r="AR6657" s="4" t="s">
        <v>377</v>
      </c>
    </row>
    <row r="6658" spans="1:44">
      <c r="A6658" s="4" t="s">
        <v>5</v>
      </c>
      <c r="B6658" s="4">
        <v>47502</v>
      </c>
      <c r="C6658" s="4">
        <v>3302</v>
      </c>
      <c r="D6658" s="5" t="s">
        <v>9412</v>
      </c>
      <c r="E6658" s="6" t="str">
        <f>HYPERLINK("https://inpn.mnhn.fr/espece/cd_nom/47502","Geoglossum barlae Boud., 1889")</f>
        <v>Geoglossum barlae Boud., 1889</v>
      </c>
      <c r="F6658" s="5" t="s">
        <v>9413</v>
      </c>
      <c r="V6658" s="7" t="str">
        <f>HYPERLINK("#Liste_rouge!A"&amp;_xlfn.XMATCH("CR",Liste_rouge!A:A,2,1),"CR")</f>
        <v>CR</v>
      </c>
      <c r="W6658" s="4" t="str">
        <f>HYPERLINK("#Critères_liste_rouge!A$1","B2abiii")</f>
        <v>B2abiii</v>
      </c>
      <c r="Z6658" s="4" t="s">
        <v>512</v>
      </c>
      <c r="AA6658" s="4" t="s">
        <v>513</v>
      </c>
      <c r="AH6658" s="4" t="str">
        <f>HYPERLINK("#Statut_biogéographique!A"&amp;_xlfn.XMATCH("P",Statut_biogéographique!A:A,2,1),"P")</f>
        <v>P</v>
      </c>
      <c r="AP6658" s="4" t="s">
        <v>376</v>
      </c>
      <c r="AR6658" s="4" t="s">
        <v>377</v>
      </c>
    </row>
    <row r="6659" spans="1:44" ht="30">
      <c r="A6659" s="4" t="s">
        <v>5</v>
      </c>
      <c r="B6659" s="4">
        <v>47503</v>
      </c>
      <c r="C6659" s="4">
        <v>2921</v>
      </c>
      <c r="D6659" s="5" t="s">
        <v>9414</v>
      </c>
      <c r="E6659" s="6" t="str">
        <f>HYPERLINK("https://inpn.mnhn.fr/espece/cd_nom/47503","Geoglossum cookeianum Nannf., 1942")</f>
        <v>Geoglossum cookeianum Nannf., 1942</v>
      </c>
      <c r="F6659" s="5" t="s">
        <v>9415</v>
      </c>
      <c r="V6659" s="7" t="str">
        <f>HYPERLINK("#Liste_rouge!A"&amp;_xlfn.XMATCH("EN",Liste_rouge!A:A,2,1),"EN")</f>
        <v>EN</v>
      </c>
      <c r="W6659" s="4" t="str">
        <f>HYPERLINK("#Critères_liste_rouge!A$1","B2abiii")</f>
        <v>B2abiii</v>
      </c>
      <c r="Z6659" s="4" t="s">
        <v>447</v>
      </c>
      <c r="AA6659" s="4" t="s">
        <v>448</v>
      </c>
      <c r="AH6659" s="4" t="str">
        <f>HYPERLINK("#Statut_biogéographique!A"&amp;_xlfn.XMATCH("P",Statut_biogéographique!A:A,2,1),"P")</f>
        <v>P</v>
      </c>
      <c r="AP6659" s="4" t="s">
        <v>376</v>
      </c>
      <c r="AR6659" s="4" t="s">
        <v>377</v>
      </c>
    </row>
    <row r="6660" spans="1:44">
      <c r="A6660" s="4" t="s">
        <v>5</v>
      </c>
      <c r="B6660" s="4">
        <v>47505</v>
      </c>
      <c r="C6660" s="4">
        <v>3859</v>
      </c>
      <c r="D6660" s="5" t="s">
        <v>9416</v>
      </c>
      <c r="E6660" s="6" t="str">
        <f>HYPERLINK("https://inpn.mnhn.fr/espece/cd_nom/47505","Geoglossum fallax E.J.Durand, 1908")</f>
        <v>Geoglossum fallax E.J.Durand, 1908</v>
      </c>
      <c r="F6660" s="5" t="s">
        <v>9417</v>
      </c>
      <c r="V6660" s="7" t="str">
        <f>HYPERLINK("#Liste_rouge!A"&amp;_xlfn.XMATCH("CR",Liste_rouge!A:A,2,1),"CR")</f>
        <v>CR</v>
      </c>
      <c r="W6660" s="4" t="str">
        <f>HYPERLINK("#Critères_liste_rouge!A$1","B2abiii")</f>
        <v>B2abiii</v>
      </c>
      <c r="Z6660" s="4" t="s">
        <v>695</v>
      </c>
      <c r="AA6660" s="4" t="s">
        <v>696</v>
      </c>
      <c r="AH6660" s="4" t="str">
        <f>HYPERLINK("#Statut_biogéographique!A"&amp;_xlfn.XMATCH("P",Statut_biogéographique!A:A,2,1),"P")</f>
        <v>P</v>
      </c>
      <c r="AP6660" s="4" t="s">
        <v>376</v>
      </c>
      <c r="AR6660" s="4" t="s">
        <v>377</v>
      </c>
    </row>
    <row r="6661" spans="1:44">
      <c r="A6661" s="4" t="s">
        <v>5</v>
      </c>
      <c r="B6661" s="4">
        <v>47518</v>
      </c>
      <c r="C6661" s="4">
        <v>2305</v>
      </c>
      <c r="D6661" s="5">
        <v>47522</v>
      </c>
      <c r="E6661" s="6" t="str">
        <f>HYPERLINK("https://inpn.mnhn.fr/espece/cd_nom/47518","Geopora arenicola (Lév.) Kers, 1974")</f>
        <v>Geopora arenicola (Lév.) Kers, 1974</v>
      </c>
      <c r="F6661" s="5" t="s">
        <v>9418</v>
      </c>
      <c r="V6661" s="7" t="str">
        <f>HYPERLINK("#Liste_rouge!A"&amp;_xlfn.XMATCH("LC",Liste_rouge!A:A,2,1),"LC")</f>
        <v>LC</v>
      </c>
      <c r="W6661" s="4" t="str">
        <f>HYPERLINK("#Critères_liste_rouge!A$1","B2abiii")</f>
        <v>B2abiii</v>
      </c>
      <c r="Z6661" s="4" t="s">
        <v>695</v>
      </c>
      <c r="AA6661" s="4" t="s">
        <v>696</v>
      </c>
      <c r="AH6661" s="4" t="str">
        <f>HYPERLINK("#Statut_biogéographique!A"&amp;_xlfn.XMATCH("P",Statut_biogéographique!A:A,2,1),"P")</f>
        <v>P</v>
      </c>
      <c r="AP6661" s="4" t="s">
        <v>376</v>
      </c>
      <c r="AR6661" s="4" t="s">
        <v>377</v>
      </c>
    </row>
    <row r="6662" spans="1:44">
      <c r="A6662" s="4" t="s">
        <v>5</v>
      </c>
      <c r="B6662" s="4">
        <v>47526</v>
      </c>
      <c r="C6662" s="4">
        <v>6356</v>
      </c>
      <c r="D6662" s="5" t="s">
        <v>9419</v>
      </c>
      <c r="E6662" s="6" t="str">
        <f>HYPERLINK("https://inpn.mnhn.fr/espece/cd_nom/47526","Geopora cervina (Velen.) T.Schumach., 1979")</f>
        <v>Geopora cervina (Velen.) T.Schumach., 1979</v>
      </c>
      <c r="AH6662" s="4" t="str">
        <f>HYPERLINK("#Statut_biogéographique!A"&amp;_xlfn.XMATCH("P",Statut_biogéographique!A:A,2,1),"P")</f>
        <v>P</v>
      </c>
      <c r="AP6662" s="4" t="s">
        <v>376</v>
      </c>
      <c r="AR6662" s="4" t="s">
        <v>377</v>
      </c>
    </row>
    <row r="6663" spans="1:44" ht="45">
      <c r="A6663" s="4" t="s">
        <v>5</v>
      </c>
      <c r="B6663" s="4">
        <v>47530</v>
      </c>
      <c r="C6663" s="4">
        <v>5188</v>
      </c>
      <c r="D6663" s="5" t="s">
        <v>9420</v>
      </c>
      <c r="E6663" s="6" t="str">
        <f>HYPERLINK("https://inpn.mnhn.fr/espece/cd_nom/47530","Geopora foliacea (Schaeff.) S.Ahmad, 1978")</f>
        <v>Geopora foliacea (Schaeff.) S.Ahmad, 1978</v>
      </c>
      <c r="V6663" s="7" t="str">
        <f>HYPERLINK("#Liste_rouge!A"&amp;_xlfn.XMATCH("DD",Liste_rouge!A:A,2,1),"DD")</f>
        <v>DD</v>
      </c>
      <c r="AH6663" s="4" t="str">
        <f>HYPERLINK("#Statut_biogéographique!A"&amp;_xlfn.XMATCH("P",Statut_biogéographique!A:A,2,1),"P")</f>
        <v>P</v>
      </c>
      <c r="AP6663" s="4" t="s">
        <v>376</v>
      </c>
      <c r="AR6663" s="4" t="s">
        <v>377</v>
      </c>
    </row>
    <row r="6664" spans="1:44" ht="30">
      <c r="A6664" s="4" t="s">
        <v>5</v>
      </c>
      <c r="B6664" s="4">
        <v>47544</v>
      </c>
      <c r="C6664" s="4">
        <v>685</v>
      </c>
      <c r="D6664" s="5" t="s">
        <v>9421</v>
      </c>
      <c r="E6664" s="6" t="str">
        <f>HYPERLINK("https://inpn.mnhn.fr/espece/cd_nom/47544","Geopora sumneriana (Cooke ex W.Phillips) M.Torre, 1976")</f>
        <v>Geopora sumneriana (Cooke ex W.Phillips) M.Torre, 1976</v>
      </c>
      <c r="F6664" s="5" t="s">
        <v>9422</v>
      </c>
      <c r="AH6664" s="4" t="str">
        <f>HYPERLINK("#Statut_biogéographique!A"&amp;_xlfn.XMATCH("P",Statut_biogéographique!A:A,2,1),"P")</f>
        <v>P</v>
      </c>
      <c r="AP6664" s="4" t="s">
        <v>376</v>
      </c>
      <c r="AR6664" s="4" t="s">
        <v>377</v>
      </c>
    </row>
    <row r="6665" spans="1:44">
      <c r="A6665" s="4" t="s">
        <v>5</v>
      </c>
      <c r="B6665" s="4">
        <v>47548</v>
      </c>
      <c r="C6665" s="4">
        <v>4320</v>
      </c>
      <c r="D6665" s="5" t="s">
        <v>9423</v>
      </c>
      <c r="E6665" s="6" t="str">
        <f>HYPERLINK("https://inpn.mnhn.fr/espece/cd_nom/47548","Geopora tenuis (Fuckel) T.Schumach., 1979")</f>
        <v>Geopora tenuis (Fuckel) T.Schumach., 1979</v>
      </c>
      <c r="V6665" s="7" t="str">
        <f>HYPERLINK("#Liste_rouge!A"&amp;_xlfn.XMATCH("DD",Liste_rouge!A:A,2,1),"DD")</f>
        <v>DD</v>
      </c>
      <c r="AH6665" s="4" t="str">
        <f>HYPERLINK("#Statut_biogéographique!A"&amp;_xlfn.XMATCH("P",Statut_biogéographique!A:A,2,1),"P")</f>
        <v>P</v>
      </c>
      <c r="AP6665" s="4" t="s">
        <v>376</v>
      </c>
      <c r="AR6665" s="4" t="s">
        <v>377</v>
      </c>
    </row>
    <row r="6666" spans="1:44" ht="30">
      <c r="A6666" s="4" t="s">
        <v>5</v>
      </c>
      <c r="B6666" s="4">
        <v>47560</v>
      </c>
      <c r="C6666" s="4">
        <v>3676</v>
      </c>
      <c r="D6666" s="5" t="s">
        <v>9424</v>
      </c>
      <c r="E6666" s="6" t="str">
        <f>HYPERLINK("https://inpn.mnhn.fr/espece/cd_nom/47560","Geopyxis carbonaria (Alb. &amp; Schwein.) Sacc., 1889")</f>
        <v>Geopyxis carbonaria (Alb. &amp; Schwein.) Sacc., 1889</v>
      </c>
      <c r="F6666" s="5" t="s">
        <v>9425</v>
      </c>
      <c r="V6666" s="7" t="str">
        <f>HYPERLINK("#Liste_rouge!A"&amp;_xlfn.XMATCH("NT",Liste_rouge!A:A,2,1),"NT")</f>
        <v>NT</v>
      </c>
      <c r="W6666" s="4" t="str">
        <f>HYPERLINK("#Critères_liste_rouge!A$1","pr. A2c")</f>
        <v>pr. A2c</v>
      </c>
      <c r="AH6666" s="4" t="str">
        <f>HYPERLINK("#Statut_biogéographique!A"&amp;_xlfn.XMATCH("P",Statut_biogéographique!A:A,2,1),"P")</f>
        <v>P</v>
      </c>
      <c r="AP6666" s="4" t="s">
        <v>376</v>
      </c>
      <c r="AR6666" s="4" t="s">
        <v>377</v>
      </c>
    </row>
    <row r="6667" spans="1:44">
      <c r="A6667" s="4" t="s">
        <v>5</v>
      </c>
      <c r="B6667" s="4">
        <v>47573</v>
      </c>
      <c r="C6667" s="4">
        <v>5727</v>
      </c>
      <c r="D6667" s="5" t="s">
        <v>9426</v>
      </c>
      <c r="E6667" s="6" t="str">
        <f>HYPERLINK("https://inpn.mnhn.fr/espece/cd_nom/47573","Gibbera vaccinii (Sowerby) Fr., 1849")</f>
        <v>Gibbera vaccinii (Sowerby) Fr., 1849</v>
      </c>
      <c r="AH6667" s="4" t="str">
        <f>HYPERLINK("#Statut_biogéographique!A"&amp;_xlfn.XMATCH("P",Statut_biogéographique!A:A,2,1),"P")</f>
        <v>P</v>
      </c>
      <c r="AP6667" s="4" t="s">
        <v>376</v>
      </c>
      <c r="AR6667" s="4" t="s">
        <v>377</v>
      </c>
    </row>
    <row r="6668" spans="1:44">
      <c r="A6668" s="4" t="s">
        <v>5</v>
      </c>
      <c r="B6668" s="4">
        <v>47578</v>
      </c>
      <c r="C6668" s="4">
        <v>1199</v>
      </c>
      <c r="D6668" s="5" t="s">
        <v>9427</v>
      </c>
      <c r="E6668" s="6" t="str">
        <f>HYPERLINK("https://inpn.mnhn.fr/espece/cd_nom/47578","Gibberella cyanogena (Desm.) Sacc., 1883")</f>
        <v>Gibberella cyanogena (Desm.) Sacc., 1883</v>
      </c>
      <c r="AH6668" s="4" t="str">
        <f>HYPERLINK("#Statut_biogéographique!A"&amp;_xlfn.XMATCH("P",Statut_biogéographique!A:A,2,1),"P")</f>
        <v>P</v>
      </c>
      <c r="AP6668" s="4" t="s">
        <v>376</v>
      </c>
      <c r="AR6668" s="4" t="s">
        <v>377</v>
      </c>
    </row>
    <row r="6669" spans="1:44">
      <c r="A6669" s="4" t="s">
        <v>5</v>
      </c>
      <c r="B6669" s="4">
        <v>47584</v>
      </c>
      <c r="C6669" s="4">
        <v>3963</v>
      </c>
      <c r="D6669" s="5" t="s">
        <v>9428</v>
      </c>
      <c r="E6669" s="6" t="str">
        <f>HYPERLINK("https://inpn.mnhn.fr/espece/cd_nom/47584","Gibberella pulicaris (Kunze) Sacc., 1877")</f>
        <v>Gibberella pulicaris (Kunze) Sacc., 1877</v>
      </c>
      <c r="AH6669" s="4" t="str">
        <f>HYPERLINK("#Statut_biogéographique!A"&amp;_xlfn.XMATCH("P",Statut_biogéographique!A:A,2,1),"P")</f>
        <v>P</v>
      </c>
      <c r="AP6669" s="4" t="s">
        <v>376</v>
      </c>
      <c r="AR6669" s="4" t="s">
        <v>377</v>
      </c>
    </row>
    <row r="6670" spans="1:44" ht="30">
      <c r="A6670" s="4" t="s">
        <v>5</v>
      </c>
      <c r="B6670" s="4">
        <v>47596</v>
      </c>
      <c r="C6670" s="4">
        <v>4112</v>
      </c>
      <c r="D6670" s="5" t="s">
        <v>9429</v>
      </c>
      <c r="E6670" s="6" t="str">
        <f>HYPERLINK("https://inpn.mnhn.fr/espece/cd_nom/47596","Glomerella montana (Sacc.) Arx &amp; E.Müll., 1954")</f>
        <v>Glomerella montana (Sacc.) Arx &amp; E.Müll., 1954</v>
      </c>
      <c r="AH6670" s="4" t="str">
        <f>HYPERLINK("#Statut_biogéographique!A"&amp;_xlfn.XMATCH("P",Statut_biogéographique!A:A,2,1),"P")</f>
        <v>P</v>
      </c>
      <c r="AP6670" s="4" t="s">
        <v>376</v>
      </c>
      <c r="AR6670" s="4" t="s">
        <v>377</v>
      </c>
    </row>
    <row r="6671" spans="1:44" ht="30">
      <c r="A6671" s="4" t="s">
        <v>5</v>
      </c>
      <c r="B6671" s="4">
        <v>47600</v>
      </c>
      <c r="C6671" s="4">
        <v>2708</v>
      </c>
      <c r="D6671" s="5" t="s">
        <v>9430</v>
      </c>
      <c r="E6671" s="6" t="str">
        <f>HYPERLINK("https://inpn.mnhn.fr/espece/cd_nom/47600","Gloniopsis curvata (Fr.) Sacc., 1883")</f>
        <v>Gloniopsis curvata (Fr.) Sacc., 1883</v>
      </c>
      <c r="AH6671" s="4" t="str">
        <f>HYPERLINK("#Statut_biogéographique!A"&amp;_xlfn.XMATCH("P",Statut_biogéographique!A:A,2,1),"P")</f>
        <v>P</v>
      </c>
      <c r="AP6671" s="4" t="s">
        <v>376</v>
      </c>
      <c r="AR6671" s="4" t="s">
        <v>377</v>
      </c>
    </row>
    <row r="6672" spans="1:44" ht="30">
      <c r="A6672" s="4" t="s">
        <v>5</v>
      </c>
      <c r="B6672" s="4">
        <v>47601</v>
      </c>
      <c r="C6672" s="4">
        <v>3869</v>
      </c>
      <c r="D6672" s="5" t="s">
        <v>9431</v>
      </c>
      <c r="E6672" s="6" t="str">
        <f>HYPERLINK("https://inpn.mnhn.fr/espece/cd_nom/47601","Gloniopsis praelonga (Schwein.) Underw. &amp; Earle, 1897")</f>
        <v>Gloniopsis praelonga (Schwein.) Underw. &amp; Earle, 1897</v>
      </c>
      <c r="AH6672" s="4" t="str">
        <f>HYPERLINK("#Statut_biogéographique!A"&amp;_xlfn.XMATCH("P",Statut_biogéographique!A:A,2,1),"P")</f>
        <v>P</v>
      </c>
      <c r="AP6672" s="4" t="s">
        <v>376</v>
      </c>
      <c r="AR6672" s="4" t="s">
        <v>377</v>
      </c>
    </row>
    <row r="6673" spans="1:44">
      <c r="A6673" s="4" t="s">
        <v>5</v>
      </c>
      <c r="B6673" s="4">
        <v>47608</v>
      </c>
      <c r="C6673" s="4">
        <v>1567</v>
      </c>
      <c r="D6673" s="5" t="s">
        <v>9432</v>
      </c>
      <c r="E6673" s="6" t="str">
        <f>HYPERLINK("https://inpn.mnhn.fr/espece/cd_nom/47608","Glyphium elatum (Grev.) H.Zogg, 1962")</f>
        <v>Glyphium elatum (Grev.) H.Zogg, 1962</v>
      </c>
      <c r="V6673" s="7" t="str">
        <f>HYPERLINK("#Liste_rouge!A"&amp;_xlfn.XMATCH("LC",Liste_rouge!A:A,2,1),"LC")</f>
        <v>LC</v>
      </c>
      <c r="AH6673" s="4" t="str">
        <f>HYPERLINK("#Statut_biogéographique!A"&amp;_xlfn.XMATCH("P",Statut_biogéographique!A:A,2,1),"P")</f>
        <v>P</v>
      </c>
      <c r="AP6673" s="4" t="s">
        <v>376</v>
      </c>
      <c r="AR6673" s="4" t="s">
        <v>377</v>
      </c>
    </row>
    <row r="6674" spans="1:44">
      <c r="A6674" s="4" t="s">
        <v>5</v>
      </c>
      <c r="B6674" s="4">
        <v>47615</v>
      </c>
      <c r="C6674" s="4">
        <v>4140</v>
      </c>
      <c r="D6674" s="5" t="s">
        <v>9433</v>
      </c>
      <c r="E6674" s="6" t="str">
        <f>HYPERLINK("https://inpn.mnhn.fr/espece/cd_nom/47615","Gnomonia rostellata (Fr.) Wehm., 1933")</f>
        <v>Gnomonia rostellata (Fr.) Wehm., 1933</v>
      </c>
      <c r="AH6674" s="4" t="str">
        <f>HYPERLINK("#Statut_biogéographique!A"&amp;_xlfn.XMATCH("P",Statut_biogéographique!A:A,2,1),"P")</f>
        <v>P</v>
      </c>
      <c r="AP6674" s="4" t="s">
        <v>376</v>
      </c>
      <c r="AR6674" s="4" t="s">
        <v>377</v>
      </c>
    </row>
    <row r="6675" spans="1:44">
      <c r="A6675" s="4" t="s">
        <v>5</v>
      </c>
      <c r="B6675" s="4">
        <v>47624</v>
      </c>
      <c r="C6675" s="4">
        <v>4246</v>
      </c>
      <c r="D6675" s="5" t="s">
        <v>9434</v>
      </c>
      <c r="E6675" s="6" t="str">
        <f>HYPERLINK("https://inpn.mnhn.fr/espece/cd_nom/47624","Godronia ribis (Fr.) Seaver, 1945")</f>
        <v>Godronia ribis (Fr.) Seaver, 1945</v>
      </c>
      <c r="AH6675" s="4" t="str">
        <f>HYPERLINK("#Statut_biogéographique!A"&amp;_xlfn.XMATCH("P",Statut_biogéographique!A:A,2,1),"P")</f>
        <v>P</v>
      </c>
      <c r="AP6675" s="4" t="s">
        <v>376</v>
      </c>
      <c r="AR6675" s="4" t="s">
        <v>377</v>
      </c>
    </row>
    <row r="6676" spans="1:44" ht="30">
      <c r="A6676" s="4" t="s">
        <v>5</v>
      </c>
      <c r="B6676" s="4">
        <v>47628</v>
      </c>
      <c r="C6676" s="4">
        <v>3468</v>
      </c>
      <c r="D6676" s="5" t="s">
        <v>9435</v>
      </c>
      <c r="E6676" s="6" t="str">
        <f>HYPERLINK("https://inpn.mnhn.fr/espece/cd_nom/47628","Godronia urceolus (Alb. &amp; Schwein.) P.Karst., 1885")</f>
        <v>Godronia urceolus (Alb. &amp; Schwein.) P.Karst., 1885</v>
      </c>
      <c r="AH6676" s="4" t="str">
        <f>HYPERLINK("#Statut_biogéographique!A"&amp;_xlfn.XMATCH("P",Statut_biogéographique!A:A,2,1),"P")</f>
        <v>P</v>
      </c>
      <c r="AP6676" s="4" t="s">
        <v>376</v>
      </c>
      <c r="AR6676" s="4" t="s">
        <v>377</v>
      </c>
    </row>
    <row r="6677" spans="1:44">
      <c r="A6677" s="4" t="s">
        <v>5</v>
      </c>
      <c r="B6677" s="4">
        <v>47637</v>
      </c>
      <c r="C6677" s="4">
        <v>6996</v>
      </c>
      <c r="D6677" s="5" t="s">
        <v>9436</v>
      </c>
      <c r="E6677" s="6" t="str">
        <f>HYPERLINK("https://inpn.mnhn.fr/espece/cd_nom/47637","Graddonia coracina (Bres.) Dennis, 1955")</f>
        <v>Graddonia coracina (Bres.) Dennis, 1955</v>
      </c>
      <c r="AH6677" s="4" t="str">
        <f>HYPERLINK("#Statut_biogéographique!A"&amp;_xlfn.XMATCH("P",Statut_biogéographique!A:A,2,1),"P")</f>
        <v>P</v>
      </c>
      <c r="AP6677" s="4" t="s">
        <v>376</v>
      </c>
      <c r="AR6677" s="4" t="s">
        <v>377</v>
      </c>
    </row>
    <row r="6678" spans="1:44" ht="30">
      <c r="A6678" s="4" t="s">
        <v>5</v>
      </c>
      <c r="B6678" s="4">
        <v>47646</v>
      </c>
      <c r="C6678" s="4">
        <v>763</v>
      </c>
      <c r="D6678" s="5" t="s">
        <v>9437</v>
      </c>
      <c r="E6678" s="6" t="str">
        <f>HYPERLINK("https://inpn.mnhn.fr/espece/cd_nom/47646","Gyromitra esculenta (Pers.) Fr., 1849")</f>
        <v>Gyromitra esculenta (Pers.) Fr., 1849</v>
      </c>
      <c r="F6678" s="5" t="s">
        <v>9438</v>
      </c>
      <c r="V6678" s="7" t="str">
        <f>HYPERLINK("#Liste_rouge!A"&amp;_xlfn.XMATCH("LC",Liste_rouge!A:A,2,1),"LC")</f>
        <v>LC</v>
      </c>
      <c r="AH6678" s="4" t="str">
        <f>HYPERLINK("#Statut_biogéographique!A"&amp;_xlfn.XMATCH("P",Statut_biogéographique!A:A,2,1),"P")</f>
        <v>P</v>
      </c>
      <c r="AP6678" s="4" t="s">
        <v>376</v>
      </c>
      <c r="AR6678" s="4" t="s">
        <v>377</v>
      </c>
    </row>
    <row r="6679" spans="1:44">
      <c r="A6679" s="4" t="s">
        <v>5</v>
      </c>
      <c r="B6679" s="4">
        <v>47650</v>
      </c>
      <c r="C6679" s="4">
        <v>2866</v>
      </c>
      <c r="D6679" s="5" t="s">
        <v>9439</v>
      </c>
      <c r="E6679" s="6" t="str">
        <f>HYPERLINK("https://inpn.mnhn.fr/espece/cd_nom/47650","Gyromitra infula (Schaeff.) Quél., 1886")</f>
        <v>Gyromitra infula (Schaeff.) Quél., 1886</v>
      </c>
      <c r="F6679" s="5" t="s">
        <v>9440</v>
      </c>
      <c r="V6679" s="7" t="str">
        <f>HYPERLINK("#Liste_rouge!A"&amp;_xlfn.XMATCH("LC",Liste_rouge!A:A,2,1),"LC")</f>
        <v>LC</v>
      </c>
      <c r="Z6679" s="4" t="s">
        <v>447</v>
      </c>
      <c r="AA6679" s="4" t="s">
        <v>448</v>
      </c>
      <c r="AH6679" s="4" t="str">
        <f>HYPERLINK("#Statut_biogéographique!A"&amp;_xlfn.XMATCH("P",Statut_biogéographique!A:A,2,1),"P")</f>
        <v>P</v>
      </c>
      <c r="AP6679" s="4" t="s">
        <v>376</v>
      </c>
      <c r="AR6679" s="4" t="s">
        <v>377</v>
      </c>
    </row>
    <row r="6680" spans="1:44" ht="30">
      <c r="A6680" s="4" t="s">
        <v>5</v>
      </c>
      <c r="B6680" s="4">
        <v>47663</v>
      </c>
      <c r="C6680" s="4">
        <v>4536</v>
      </c>
      <c r="D6680" s="5" t="s">
        <v>9441</v>
      </c>
      <c r="E6680" s="6" t="str">
        <f>HYPERLINK("https://inpn.mnhn.fr/espece/cd_nom/47663","Hamatocanthoscypha laricionis (Velen.) Svrček, 1977")</f>
        <v>Hamatocanthoscypha laricionis (Velen.) Svrček, 1977</v>
      </c>
      <c r="V6680" s="7" t="str">
        <f>HYPERLINK("#Liste_rouge!A"&amp;_xlfn.XMATCH("DD",Liste_rouge!A:A,2,1),"DD")</f>
        <v>DD</v>
      </c>
      <c r="AH6680" s="4" t="str">
        <f>HYPERLINK("#Statut_biogéographique!A"&amp;_xlfn.XMATCH("P",Statut_biogéographique!A:A,2,1),"P")</f>
        <v>P</v>
      </c>
      <c r="AP6680" s="4" t="s">
        <v>376</v>
      </c>
      <c r="AR6680" s="4" t="s">
        <v>377</v>
      </c>
    </row>
    <row r="6681" spans="1:44" ht="30">
      <c r="A6681" s="4" t="s">
        <v>5</v>
      </c>
      <c r="B6681" s="4">
        <v>47668</v>
      </c>
      <c r="C6681" s="4">
        <v>6354</v>
      </c>
      <c r="D6681" s="5" t="s">
        <v>9442</v>
      </c>
      <c r="E6681" s="6" t="str">
        <f>HYPERLINK("https://inpn.mnhn.fr/espece/cd_nom/47668","Hamatocanthoscypha uncipila (Le Gal) Huhtinen, 1990")</f>
        <v>Hamatocanthoscypha uncipila (Le Gal) Huhtinen, 1990</v>
      </c>
      <c r="AH6681" s="4" t="str">
        <f>HYPERLINK("#Statut_biogéographique!A"&amp;_xlfn.XMATCH("P",Statut_biogéographique!A:A,2,1),"P")</f>
        <v>P</v>
      </c>
      <c r="AP6681" s="4" t="s">
        <v>376</v>
      </c>
      <c r="AR6681" s="4" t="s">
        <v>377</v>
      </c>
    </row>
    <row r="6682" spans="1:44" ht="30">
      <c r="A6682" s="4" t="s">
        <v>5</v>
      </c>
      <c r="B6682" s="4">
        <v>47692</v>
      </c>
      <c r="C6682" s="4">
        <v>151</v>
      </c>
      <c r="D6682" s="5" t="s">
        <v>9443</v>
      </c>
      <c r="E6682" s="6" t="str">
        <f>HYPERLINK("https://inpn.mnhn.fr/espece/cd_nom/47692","Helvella acetabulum (L.) Quél., 1874")</f>
        <v>Helvella acetabulum (L.) Quél., 1874</v>
      </c>
      <c r="F6682" s="5" t="s">
        <v>9444</v>
      </c>
      <c r="V6682" s="7" t="str">
        <f>HYPERLINK("#Liste_rouge!A"&amp;_xlfn.XMATCH("LC",Liste_rouge!A:A,2,1),"LC")</f>
        <v>LC</v>
      </c>
      <c r="AH6682" s="4" t="str">
        <f>HYPERLINK("#Statut_biogéographique!A"&amp;_xlfn.XMATCH("P",Statut_biogéographique!A:A,2,1),"P")</f>
        <v>P</v>
      </c>
      <c r="AP6682" s="4" t="s">
        <v>376</v>
      </c>
      <c r="AR6682" s="4" t="s">
        <v>377</v>
      </c>
    </row>
    <row r="6683" spans="1:44">
      <c r="A6683" s="4" t="s">
        <v>5</v>
      </c>
      <c r="B6683" s="4">
        <v>47704</v>
      </c>
      <c r="D6683" s="5" t="s">
        <v>9445</v>
      </c>
      <c r="E6683" s="6" t="str">
        <f>HYPERLINK("https://inpn.mnhn.fr/espece/cd_nom/47704","Helvella atra Oeder, 1770")</f>
        <v>Helvella atra Oeder, 1770</v>
      </c>
      <c r="AH6683" s="4" t="str">
        <f>HYPERLINK("#Statut_biogéographique!A"&amp;_xlfn.XMATCH("P",Statut_biogéographique!A:A,2,1),"P")</f>
        <v>P</v>
      </c>
      <c r="AP6683" s="4" t="s">
        <v>376</v>
      </c>
      <c r="AR6683" s="4" t="s">
        <v>377</v>
      </c>
    </row>
    <row r="6684" spans="1:44" ht="30">
      <c r="A6684" s="4" t="s">
        <v>5</v>
      </c>
      <c r="B6684" s="4">
        <v>47708</v>
      </c>
      <c r="C6684" s="4">
        <v>5438</v>
      </c>
      <c r="D6684" s="5" t="s">
        <v>9446</v>
      </c>
      <c r="E6684" s="6" t="str">
        <f>HYPERLINK("https://inpn.mnhn.fr/espece/cd_nom/47708","Helvella branzeziana Svrček &amp; J.Moravec, 1968")</f>
        <v>Helvella branzeziana Svrček &amp; J.Moravec, 1968</v>
      </c>
      <c r="V6684" s="7" t="str">
        <f>HYPERLINK("#Liste_rouge!A"&amp;_xlfn.XMATCH("DD",Liste_rouge!A:A,2,1),"DD")</f>
        <v>DD</v>
      </c>
      <c r="Z6684" s="4" t="s">
        <v>447</v>
      </c>
      <c r="AA6684" s="4" t="s">
        <v>448</v>
      </c>
      <c r="AH6684" s="4" t="str">
        <f>HYPERLINK("#Statut_biogéographique!A"&amp;_xlfn.XMATCH("P",Statut_biogéographique!A:A,2,1),"P")</f>
        <v>P</v>
      </c>
      <c r="AP6684" s="4" t="s">
        <v>376</v>
      </c>
      <c r="AR6684" s="4" t="s">
        <v>377</v>
      </c>
    </row>
    <row r="6685" spans="1:44" ht="30">
      <c r="A6685" s="4" t="s">
        <v>5</v>
      </c>
      <c r="B6685" s="4">
        <v>47715</v>
      </c>
      <c r="C6685" s="4">
        <v>3747</v>
      </c>
      <c r="D6685" s="5" t="s">
        <v>9447</v>
      </c>
      <c r="E6685" s="6" t="str">
        <f>HYPERLINK("https://inpn.mnhn.fr/espece/cd_nom/47715","Helvella corium (O.Weberb.) Massee, 1895")</f>
        <v>Helvella corium (O.Weberb.) Massee, 1895</v>
      </c>
      <c r="F6685" s="5" t="s">
        <v>9448</v>
      </c>
      <c r="V6685" s="7" t="str">
        <f>HYPERLINK("#Liste_rouge!A"&amp;_xlfn.XMATCH("EN",Liste_rouge!A:A,2,1),"EN")</f>
        <v>EN</v>
      </c>
      <c r="W6685" s="4" t="str">
        <f>HYPERLINK("#Critères_liste_rouge!A$1","B2abiii")</f>
        <v>B2abiii</v>
      </c>
      <c r="Z6685" s="4" t="s">
        <v>447</v>
      </c>
      <c r="AA6685" s="4" t="s">
        <v>448</v>
      </c>
      <c r="AH6685" s="4" t="str">
        <f>HYPERLINK("#Statut_biogéographique!A"&amp;_xlfn.XMATCH("P",Statut_biogéographique!A:A,2,1),"P")</f>
        <v>P</v>
      </c>
      <c r="AP6685" s="4" t="s">
        <v>376</v>
      </c>
      <c r="AR6685" s="4" t="s">
        <v>377</v>
      </c>
    </row>
    <row r="6686" spans="1:44" ht="30">
      <c r="A6686" s="4" t="s">
        <v>5</v>
      </c>
      <c r="B6686" s="4">
        <v>47719</v>
      </c>
      <c r="C6686" s="4">
        <v>3974</v>
      </c>
      <c r="D6686" s="5" t="s">
        <v>9449</v>
      </c>
      <c r="E6686" s="6" t="str">
        <f>HYPERLINK("https://inpn.mnhn.fr/espece/cd_nom/47719","Helvella costifera Nannf., 1953")</f>
        <v>Helvella costifera Nannf., 1953</v>
      </c>
      <c r="F6686" s="5" t="s">
        <v>9450</v>
      </c>
      <c r="V6686" s="7" t="str">
        <f>HYPERLINK("#Liste_rouge!A"&amp;_xlfn.XMATCH("EN",Liste_rouge!A:A,2,1),"EN")</f>
        <v>EN</v>
      </c>
      <c r="W6686" s="4" t="str">
        <f>HYPERLINK("#Critères_liste_rouge!A$1","B2abiii")</f>
        <v>B2abiii</v>
      </c>
      <c r="Z6686" s="4" t="s">
        <v>447</v>
      </c>
      <c r="AA6686" s="4" t="s">
        <v>448</v>
      </c>
      <c r="AH6686" s="4" t="str">
        <f>HYPERLINK("#Statut_biogéographique!A"&amp;_xlfn.XMATCH("P",Statut_biogéographique!A:A,2,1),"P")</f>
        <v>P</v>
      </c>
      <c r="AP6686" s="4" t="s">
        <v>376</v>
      </c>
      <c r="AR6686" s="4" t="s">
        <v>377</v>
      </c>
    </row>
    <row r="6687" spans="1:44" ht="30">
      <c r="A6687" s="4" t="s">
        <v>5</v>
      </c>
      <c r="B6687" s="4">
        <v>47723</v>
      </c>
      <c r="C6687" s="4">
        <v>108</v>
      </c>
      <c r="D6687" s="5" t="s">
        <v>9451</v>
      </c>
      <c r="E6687" s="6" t="str">
        <f>HYPERLINK("https://inpn.mnhn.fr/espece/cd_nom/47723","Helvella crispa (Scop.) Fr., 1822")</f>
        <v>Helvella crispa (Scop.) Fr., 1822</v>
      </c>
      <c r="F6687" s="5" t="s">
        <v>9452</v>
      </c>
      <c r="V6687" s="7" t="str">
        <f>HYPERLINK("#Liste_rouge!A"&amp;_xlfn.XMATCH("LC",Liste_rouge!A:A,2,1),"LC")</f>
        <v>LC</v>
      </c>
      <c r="AH6687" s="4" t="str">
        <f>HYPERLINK("#Statut_biogéographique!A"&amp;_xlfn.XMATCH("P",Statut_biogéographique!A:A,2,1),"P")</f>
        <v>P</v>
      </c>
      <c r="AP6687" s="4" t="s">
        <v>376</v>
      </c>
      <c r="AR6687" s="4" t="s">
        <v>377</v>
      </c>
    </row>
    <row r="6688" spans="1:44">
      <c r="A6688" s="4" t="s">
        <v>5</v>
      </c>
      <c r="B6688" s="4">
        <v>47728</v>
      </c>
      <c r="C6688" s="4">
        <v>5159</v>
      </c>
      <c r="D6688" s="5" t="s">
        <v>9453</v>
      </c>
      <c r="E6688" s="6" t="str">
        <f>HYPERLINK("https://inpn.mnhn.fr/espece/cd_nom/47728","Helvella cupuliformis Dissing &amp; Nannf., 1966")</f>
        <v>Helvella cupuliformis Dissing &amp; Nannf., 1966</v>
      </c>
      <c r="F6688" s="5" t="s">
        <v>9454</v>
      </c>
      <c r="V6688" s="7" t="str">
        <f>HYPERLINK("#Liste_rouge!A"&amp;_xlfn.XMATCH("CR",Liste_rouge!A:A,2,1),"CR")</f>
        <v>CR</v>
      </c>
      <c r="W6688" s="4" t="str">
        <f>HYPERLINK("#Critères_liste_rouge!A$1","B2abiii")</f>
        <v>B2abiii</v>
      </c>
      <c r="Z6688" s="4" t="s">
        <v>447</v>
      </c>
      <c r="AA6688" s="4" t="s">
        <v>448</v>
      </c>
      <c r="AH6688" s="4" t="str">
        <f>HYPERLINK("#Statut_biogéographique!A"&amp;_xlfn.XMATCH("P",Statut_biogéographique!A:A,2,1),"P")</f>
        <v>P</v>
      </c>
      <c r="AP6688" s="4" t="s">
        <v>376</v>
      </c>
      <c r="AR6688" s="4" t="s">
        <v>377</v>
      </c>
    </row>
    <row r="6689" spans="1:44" ht="60">
      <c r="A6689" s="4" t="s">
        <v>5</v>
      </c>
      <c r="B6689" s="4">
        <v>47731</v>
      </c>
      <c r="C6689" s="4">
        <v>136</v>
      </c>
      <c r="D6689" s="5" t="s">
        <v>9455</v>
      </c>
      <c r="E6689" s="6" t="str">
        <f>HYPERLINK("https://inpn.mnhn.fr/espece/cd_nom/47731","Helvella elastica Bull., 1785")</f>
        <v>Helvella elastica Bull., 1785</v>
      </c>
      <c r="F6689" s="5" t="s">
        <v>9456</v>
      </c>
      <c r="V6689" s="7" t="str">
        <f>HYPERLINK("#Liste_rouge!A"&amp;_xlfn.XMATCH("LC",Liste_rouge!A:A,2,1),"LC")</f>
        <v>LC</v>
      </c>
      <c r="Z6689" s="4" t="s">
        <v>443</v>
      </c>
      <c r="AA6689" s="4" t="s">
        <v>444</v>
      </c>
      <c r="AH6689" s="4" t="str">
        <f>HYPERLINK("#Statut_biogéographique!A"&amp;_xlfn.XMATCH("P",Statut_biogéographique!A:A,2,1),"P")</f>
        <v>P</v>
      </c>
      <c r="AP6689" s="4" t="s">
        <v>376</v>
      </c>
      <c r="AR6689" s="4" t="s">
        <v>377</v>
      </c>
    </row>
    <row r="6690" spans="1:44">
      <c r="A6690" s="4" t="s">
        <v>5</v>
      </c>
      <c r="B6690" s="4">
        <v>47735</v>
      </c>
      <c r="C6690" s="4">
        <v>3749</v>
      </c>
      <c r="D6690" s="5">
        <v>47735</v>
      </c>
      <c r="E6690" s="6" t="str">
        <f>HYPERLINK("https://inpn.mnhn.fr/espece/cd_nom/47735","Helvella ephippium Lév., 1841")</f>
        <v>Helvella ephippium Lév., 1841</v>
      </c>
      <c r="F6690" s="5" t="s">
        <v>9457</v>
      </c>
      <c r="Z6690" s="4" t="s">
        <v>443</v>
      </c>
      <c r="AA6690" s="4" t="s">
        <v>444</v>
      </c>
      <c r="AH6690" s="4" t="str">
        <f>HYPERLINK("#Statut_biogéographique!A"&amp;_xlfn.XMATCH("P",Statut_biogéographique!A:A,2,1),"P")</f>
        <v>P</v>
      </c>
      <c r="AP6690" s="4" t="s">
        <v>376</v>
      </c>
      <c r="AR6690" s="4" t="s">
        <v>377</v>
      </c>
    </row>
    <row r="6691" spans="1:44">
      <c r="A6691" s="4" t="s">
        <v>5</v>
      </c>
      <c r="B6691" s="4">
        <v>47753</v>
      </c>
      <c r="C6691" s="4">
        <v>40</v>
      </c>
      <c r="D6691" s="5" t="s">
        <v>9458</v>
      </c>
      <c r="E6691" s="6" t="str">
        <f>HYPERLINK("https://inpn.mnhn.fr/espece/cd_nom/47753","Helvella lacunosa Afzel., 1783")</f>
        <v>Helvella lacunosa Afzel., 1783</v>
      </c>
      <c r="F6691" s="5" t="s">
        <v>9459</v>
      </c>
      <c r="V6691" s="7" t="str">
        <f>HYPERLINK("#Liste_rouge!A"&amp;_xlfn.XMATCH("LC",Liste_rouge!A:A,2,1),"LC")</f>
        <v>LC</v>
      </c>
      <c r="AH6691" s="4" t="str">
        <f>HYPERLINK("#Statut_biogéographique!A"&amp;_xlfn.XMATCH("P",Statut_biogéographique!A:A,2,1),"P")</f>
        <v>P</v>
      </c>
      <c r="AP6691" s="4" t="s">
        <v>376</v>
      </c>
      <c r="AR6691" s="4" t="s">
        <v>377</v>
      </c>
    </row>
    <row r="6692" spans="1:44" ht="60">
      <c r="A6692" s="4" t="s">
        <v>5</v>
      </c>
      <c r="B6692" s="4">
        <v>47767</v>
      </c>
      <c r="C6692" s="4">
        <v>260</v>
      </c>
      <c r="D6692" s="5" t="s">
        <v>9460</v>
      </c>
      <c r="E6692" s="6" t="str">
        <f>HYPERLINK("https://inpn.mnhn.fr/espece/cd_nom/47767","Helvella macropus (Pers.) P.Karst., 1871")</f>
        <v>Helvella macropus (Pers.) P.Karst., 1871</v>
      </c>
      <c r="F6692" s="5" t="s">
        <v>9461</v>
      </c>
      <c r="V6692" s="7" t="str">
        <f>HYPERLINK("#Liste_rouge!A"&amp;_xlfn.XMATCH("LC",Liste_rouge!A:A,2,1),"LC")</f>
        <v>LC</v>
      </c>
      <c r="AH6692" s="4" t="str">
        <f>HYPERLINK("#Statut_biogéographique!A"&amp;_xlfn.XMATCH("P",Statut_biogéographique!A:A,2,1),"P")</f>
        <v>P</v>
      </c>
      <c r="AP6692" s="4" t="s">
        <v>376</v>
      </c>
      <c r="AR6692" s="4" t="s">
        <v>377</v>
      </c>
    </row>
    <row r="6693" spans="1:44">
      <c r="A6693" s="4" t="s">
        <v>5</v>
      </c>
      <c r="B6693" s="4">
        <v>47774</v>
      </c>
      <c r="C6693" s="4">
        <v>4792</v>
      </c>
      <c r="D6693" s="5" t="s">
        <v>9462</v>
      </c>
      <c r="E6693" s="6" t="str">
        <f>HYPERLINK("https://inpn.mnhn.fr/espece/cd_nom/47774","Helvella pallescens Schaeff., 1774")</f>
        <v>Helvella pallescens Schaeff., 1774</v>
      </c>
      <c r="F6693" s="5" t="s">
        <v>9463</v>
      </c>
      <c r="AH6693" s="4" t="str">
        <f>HYPERLINK("#Statut_biogéographique!A"&amp;_xlfn.XMATCH("P",Statut_biogéographique!A:A,2,1),"P")</f>
        <v>P</v>
      </c>
      <c r="AP6693" s="4" t="s">
        <v>376</v>
      </c>
      <c r="AR6693" s="4" t="s">
        <v>377</v>
      </c>
    </row>
    <row r="6694" spans="1:44">
      <c r="A6694" s="4" t="s">
        <v>5</v>
      </c>
      <c r="B6694" s="4">
        <v>47776</v>
      </c>
      <c r="C6694" s="4">
        <v>3748</v>
      </c>
      <c r="D6694" s="5" t="s">
        <v>9464</v>
      </c>
      <c r="E6694" s="6" t="str">
        <f>HYPERLINK("https://inpn.mnhn.fr/espece/cd_nom/47776","Helvella palustris Peck, 1883")</f>
        <v>Helvella palustris Peck, 1883</v>
      </c>
      <c r="F6694" s="5" t="s">
        <v>9465</v>
      </c>
      <c r="V6694" s="7" t="str">
        <f>HYPERLINK("#Liste_rouge!A"&amp;_xlfn.XMATCH("EN",Liste_rouge!A:A,2,1),"EN")</f>
        <v>EN</v>
      </c>
      <c r="W6694" s="4" t="str">
        <f>HYPERLINK("#Critères_liste_rouge!A$1","B2abiii")</f>
        <v>B2abiii</v>
      </c>
      <c r="Z6694" s="4" t="s">
        <v>447</v>
      </c>
      <c r="AA6694" s="4" t="s">
        <v>448</v>
      </c>
      <c r="AH6694" s="4" t="str">
        <f>HYPERLINK("#Statut_biogéographique!A"&amp;_xlfn.XMATCH("P",Statut_biogéographique!A:A,2,1),"P")</f>
        <v>P</v>
      </c>
      <c r="AP6694" s="4" t="s">
        <v>376</v>
      </c>
      <c r="AR6694" s="4" t="s">
        <v>377</v>
      </c>
    </row>
    <row r="6695" spans="1:44">
      <c r="A6695" s="4" t="s">
        <v>5</v>
      </c>
      <c r="B6695" s="4">
        <v>47779</v>
      </c>
      <c r="C6695" s="4">
        <v>3749</v>
      </c>
      <c r="D6695" s="5">
        <v>883122</v>
      </c>
      <c r="E6695" s="6" t="str">
        <f>HYPERLINK("https://inpn.mnhn.fr/espece/cd_nom/47779","Helvella ephippium Lév., 1841")</f>
        <v>Helvella ephippium Lév., 1841</v>
      </c>
      <c r="F6695" s="5" t="s">
        <v>9457</v>
      </c>
      <c r="Z6695" s="4" t="s">
        <v>443</v>
      </c>
      <c r="AA6695" s="4" t="s">
        <v>444</v>
      </c>
      <c r="AH6695" s="4" t="str">
        <f>HYPERLINK("#Statut_biogéographique!A"&amp;_xlfn.XMATCH("P",Statut_biogéographique!A:A,2,1),"P")</f>
        <v>P</v>
      </c>
      <c r="AP6695" s="4" t="s">
        <v>376</v>
      </c>
      <c r="AR6695" s="4" t="s">
        <v>377</v>
      </c>
    </row>
    <row r="6696" spans="1:44">
      <c r="A6696" s="4" t="s">
        <v>5</v>
      </c>
      <c r="B6696" s="4">
        <v>47784</v>
      </c>
      <c r="C6696" s="4">
        <v>5030</v>
      </c>
      <c r="D6696" s="5" t="s">
        <v>9466</v>
      </c>
      <c r="E6696" s="6" t="str">
        <f>HYPERLINK("https://inpn.mnhn.fr/espece/cd_nom/47784","Helvella phlebophora Pat. &amp; Doass., 1886")</f>
        <v>Helvella phlebophora Pat. &amp; Doass., 1886</v>
      </c>
      <c r="V6696" s="7" t="str">
        <f>HYPERLINK("#Liste_rouge!A"&amp;_xlfn.XMATCH("VU",Liste_rouge!A:A,2,1),"VU")</f>
        <v>VU</v>
      </c>
      <c r="W6696" s="4" t="str">
        <f>HYPERLINK("#Critères_liste_rouge!A$1","D2")</f>
        <v>D2</v>
      </c>
      <c r="Z6696" s="4" t="s">
        <v>447</v>
      </c>
      <c r="AA6696" s="4" t="s">
        <v>448</v>
      </c>
      <c r="AH6696" s="4" t="str">
        <f>HYPERLINK("#Statut_biogéographique!A"&amp;_xlfn.XMATCH("P",Statut_biogéographique!A:A,2,1),"P")</f>
        <v>P</v>
      </c>
      <c r="AP6696" s="4" t="s">
        <v>376</v>
      </c>
      <c r="AR6696" s="4" t="s">
        <v>377</v>
      </c>
    </row>
    <row r="6697" spans="1:44" ht="45">
      <c r="A6697" s="4" t="s">
        <v>5</v>
      </c>
      <c r="B6697" s="4">
        <v>47802</v>
      </c>
      <c r="C6697" s="4">
        <v>3744</v>
      </c>
      <c r="D6697" s="5" t="s">
        <v>9467</v>
      </c>
      <c r="E6697" s="6" t="str">
        <f>HYPERLINK("https://inpn.mnhn.fr/espece/cd_nom/47802","Helvella solitaria P.Karst., 1871")</f>
        <v>Helvella solitaria P.Karst., 1871</v>
      </c>
      <c r="F6697" s="5" t="s">
        <v>9468</v>
      </c>
      <c r="V6697" s="7" t="str">
        <f>HYPERLINK("#Liste_rouge!A"&amp;_xlfn.XMATCH("LC",Liste_rouge!A:A,2,1),"LC")</f>
        <v>LC</v>
      </c>
      <c r="AH6697" s="4" t="str">
        <f>HYPERLINK("#Statut_biogéographique!A"&amp;_xlfn.XMATCH("P",Statut_biogéographique!A:A,2,1),"P")</f>
        <v>P</v>
      </c>
      <c r="AP6697" s="4" t="s">
        <v>376</v>
      </c>
      <c r="AR6697" s="4" t="s">
        <v>377</v>
      </c>
    </row>
    <row r="6698" spans="1:44" ht="30">
      <c r="A6698" s="4" t="s">
        <v>5</v>
      </c>
      <c r="B6698" s="4">
        <v>47828</v>
      </c>
      <c r="C6698" s="4">
        <v>3620</v>
      </c>
      <c r="D6698" s="5" t="s">
        <v>9469</v>
      </c>
      <c r="E6698" s="6" t="str">
        <f>HYPERLINK("https://inpn.mnhn.fr/espece/cd_nom/47828","Heterosphaeria patella (Tode) Grev., 1823")</f>
        <v>Heterosphaeria patella (Tode) Grev., 1823</v>
      </c>
      <c r="AH6698" s="4" t="str">
        <f>HYPERLINK("#Statut_biogéographique!A"&amp;_xlfn.XMATCH("P",Statut_biogéographique!A:A,2,1),"P")</f>
        <v>P</v>
      </c>
      <c r="AP6698" s="4" t="s">
        <v>376</v>
      </c>
      <c r="AR6698" s="4" t="s">
        <v>377</v>
      </c>
    </row>
    <row r="6699" spans="1:44" ht="30">
      <c r="A6699" s="4" t="s">
        <v>5</v>
      </c>
      <c r="B6699" s="4">
        <v>47831</v>
      </c>
      <c r="C6699" s="4">
        <v>4518</v>
      </c>
      <c r="D6699" s="5" t="s">
        <v>9470</v>
      </c>
      <c r="E6699" s="6" t="str">
        <f>HYPERLINK("https://inpn.mnhn.fr/espece/cd_nom/47831","Heyderia cucullata (Batsch) Bacyk &amp; Van Vooren, 2005")</f>
        <v>Heyderia cucullata (Batsch) Bacyk &amp; Van Vooren, 2005</v>
      </c>
      <c r="AH6699" s="4" t="str">
        <f>HYPERLINK("#Statut_biogéographique!A"&amp;_xlfn.XMATCH("P",Statut_biogéographique!A:A,2,1),"P")</f>
        <v>P</v>
      </c>
      <c r="AP6699" s="4" t="s">
        <v>376</v>
      </c>
      <c r="AR6699" s="4" t="s">
        <v>377</v>
      </c>
    </row>
    <row r="6700" spans="1:44" ht="30">
      <c r="A6700" s="4" t="s">
        <v>5</v>
      </c>
      <c r="B6700" s="4">
        <v>47839</v>
      </c>
      <c r="C6700" s="4">
        <v>3893</v>
      </c>
      <c r="D6700" s="5" t="s">
        <v>9471</v>
      </c>
      <c r="E6700" s="6" t="str">
        <f>HYPERLINK("https://inpn.mnhn.fr/espece/cd_nom/47839","Holwaya mucida (Schulzer) Korf &amp; Abawi, 1971")</f>
        <v>Holwaya mucida (Schulzer) Korf &amp; Abawi, 1971</v>
      </c>
      <c r="F6700" s="5" t="s">
        <v>9472</v>
      </c>
      <c r="V6700" s="7" t="str">
        <f>HYPERLINK("#Liste_rouge!A"&amp;_xlfn.XMATCH("NT",Liste_rouge!A:A,2,1),"NT")</f>
        <v>NT</v>
      </c>
      <c r="W6700" s="4" t="str">
        <f>HYPERLINK("#Critères_liste_rouge!A$1","pr. B2abiii")</f>
        <v>pr. B2abiii</v>
      </c>
      <c r="Z6700" s="4" t="s">
        <v>447</v>
      </c>
      <c r="AA6700" s="4" t="s">
        <v>448</v>
      </c>
      <c r="AH6700" s="4" t="str">
        <f>HYPERLINK("#Statut_biogéographique!A"&amp;_xlfn.XMATCH("P",Statut_biogéographique!A:A,2,1),"P")</f>
        <v>P</v>
      </c>
      <c r="AP6700" s="4" t="s">
        <v>376</v>
      </c>
      <c r="AR6700" s="4" t="s">
        <v>377</v>
      </c>
    </row>
    <row r="6701" spans="1:44" ht="30">
      <c r="A6701" s="4" t="s">
        <v>5</v>
      </c>
      <c r="B6701" s="4">
        <v>47843</v>
      </c>
      <c r="C6701" s="4">
        <v>424</v>
      </c>
      <c r="D6701" s="5" t="s">
        <v>9473</v>
      </c>
      <c r="E6701" s="6" t="str">
        <f>HYPERLINK("https://inpn.mnhn.fr/espece/cd_nom/47843","Humaria hemisphaerica (F.H.Wigg.) Fuckel, 1870")</f>
        <v>Humaria hemisphaerica (F.H.Wigg.) Fuckel, 1870</v>
      </c>
      <c r="F6701" s="5" t="s">
        <v>9474</v>
      </c>
      <c r="V6701" s="7" t="str">
        <f>HYPERLINK("#Liste_rouge!A"&amp;_xlfn.XMATCH("LC",Liste_rouge!A:A,2,1),"LC")</f>
        <v>LC</v>
      </c>
      <c r="AH6701" s="4" t="str">
        <f>HYPERLINK("#Statut_biogéographique!A"&amp;_xlfn.XMATCH("P",Statut_biogéographique!A:A,2,1),"P")</f>
        <v>P</v>
      </c>
      <c r="AP6701" s="4" t="s">
        <v>376</v>
      </c>
      <c r="AR6701" s="4" t="s">
        <v>377</v>
      </c>
    </row>
    <row r="6702" spans="1:44" ht="30">
      <c r="A6702" s="4" t="s">
        <v>5</v>
      </c>
      <c r="B6702" s="4">
        <v>47854</v>
      </c>
      <c r="D6702" s="5" t="s">
        <v>9475</v>
      </c>
      <c r="E6702" s="6" t="str">
        <f>HYPERLINK("https://inpn.mnhn.fr/espece/cd_nom/47854","Orbilia rubella (Pers.) P.Karst., 1871")</f>
        <v>Orbilia rubella (Pers.) P.Karst., 1871</v>
      </c>
      <c r="AH6702" s="4" t="str">
        <f>HYPERLINK("#Statut_biogéographique!A"&amp;_xlfn.XMATCH("P",Statut_biogéographique!A:A,2,1),"P")</f>
        <v>P</v>
      </c>
      <c r="AP6702" s="4" t="s">
        <v>376</v>
      </c>
      <c r="AR6702" s="4" t="s">
        <v>377</v>
      </c>
    </row>
    <row r="6703" spans="1:44" ht="30">
      <c r="A6703" s="4" t="s">
        <v>5</v>
      </c>
      <c r="B6703" s="4">
        <v>47887</v>
      </c>
      <c r="C6703" s="4">
        <v>6440</v>
      </c>
      <c r="D6703" s="5" t="s">
        <v>9476</v>
      </c>
      <c r="E6703" s="6" t="str">
        <f>HYPERLINK("https://inpn.mnhn.fr/espece/cd_nom/47887","Hyaloscypha albohyalina var. spiralis (Velen.) Huhtinen, 1990")</f>
        <v>Hyaloscypha albohyalina var. spiralis (Velen.) Huhtinen, 1990</v>
      </c>
      <c r="AH6703" s="4" t="str">
        <f>HYPERLINK("#Statut_biogéographique!A"&amp;_xlfn.XMATCH("P",Statut_biogéographique!A:A,2,1),"P")</f>
        <v>P</v>
      </c>
      <c r="AP6703" s="4" t="s">
        <v>376</v>
      </c>
      <c r="AR6703" s="4" t="s">
        <v>377</v>
      </c>
    </row>
    <row r="6704" spans="1:44">
      <c r="A6704" s="4" t="s">
        <v>5</v>
      </c>
      <c r="B6704" s="4">
        <v>47895</v>
      </c>
      <c r="C6704" s="4">
        <v>6490</v>
      </c>
      <c r="D6704" s="5" t="s">
        <v>9477</v>
      </c>
      <c r="E6704" s="6" t="str">
        <f>HYPERLINK("https://inpn.mnhn.fr/espece/cd_nom/47895","Hyaloscypha aureliella (Nyl.) Huhtinen, 1990")</f>
        <v>Hyaloscypha aureliella (Nyl.) Huhtinen, 1990</v>
      </c>
      <c r="AH6704" s="4" t="str">
        <f>HYPERLINK("#Statut_biogéographique!A"&amp;_xlfn.XMATCH("P",Statut_biogéographique!A:A,2,1),"P")</f>
        <v>P</v>
      </c>
      <c r="AP6704" s="4" t="s">
        <v>376</v>
      </c>
      <c r="AR6704" s="4" t="s">
        <v>377</v>
      </c>
    </row>
    <row r="6705" spans="1:44">
      <c r="A6705" s="4" t="s">
        <v>5</v>
      </c>
      <c r="B6705" s="4">
        <v>47903</v>
      </c>
      <c r="C6705" s="4">
        <v>6790</v>
      </c>
      <c r="D6705" s="5" t="s">
        <v>9478</v>
      </c>
      <c r="E6705" s="6" t="str">
        <f>HYPERLINK("https://inpn.mnhn.fr/espece/cd_nom/47903","Hyaloscypha daedaleae Velen., 1934")</f>
        <v>Hyaloscypha daedaleae Velen., 1934</v>
      </c>
      <c r="AH6705" s="4" t="str">
        <f>HYPERLINK("#Statut_biogéographique!A"&amp;_xlfn.XMATCH("P",Statut_biogéographique!A:A,2,1),"P")</f>
        <v>P</v>
      </c>
      <c r="AP6705" s="4" t="s">
        <v>376</v>
      </c>
      <c r="AR6705" s="4" t="s">
        <v>377</v>
      </c>
    </row>
    <row r="6706" spans="1:44">
      <c r="A6706" s="4" t="s">
        <v>5</v>
      </c>
      <c r="B6706" s="4">
        <v>47910</v>
      </c>
      <c r="C6706" s="4">
        <v>5574</v>
      </c>
      <c r="D6706" s="5" t="s">
        <v>9479</v>
      </c>
      <c r="E6706" s="6" t="str">
        <f>HYPERLINK("https://inpn.mnhn.fr/espece/cd_nom/47910","Hyaloscypha herbarum Velen., 1934")</f>
        <v>Hyaloscypha herbarum Velen., 1934</v>
      </c>
      <c r="AH6706" s="4" t="str">
        <f>HYPERLINK("#Statut_biogéographique!A"&amp;_xlfn.XMATCH("P",Statut_biogéographique!A:A,2,1),"P")</f>
        <v>P</v>
      </c>
      <c r="AP6706" s="4" t="s">
        <v>376</v>
      </c>
      <c r="AR6706" s="4" t="s">
        <v>377</v>
      </c>
    </row>
    <row r="6707" spans="1:44" ht="30">
      <c r="A6707" s="4" t="s">
        <v>5</v>
      </c>
      <c r="B6707" s="4">
        <v>47913</v>
      </c>
      <c r="C6707" s="4">
        <v>2351</v>
      </c>
      <c r="D6707" s="5" t="s">
        <v>9480</v>
      </c>
      <c r="E6707" s="6" t="str">
        <f>HYPERLINK("https://inpn.mnhn.fr/espece/cd_nom/47913","Hyaloscypha hyalina (Pers.) Boud., 1907")</f>
        <v>Hyaloscypha hyalina (Pers.) Boud., 1907</v>
      </c>
      <c r="AH6707" s="4" t="str">
        <f>HYPERLINK("#Statut_biogéographique!A"&amp;_xlfn.XMATCH("P",Statut_biogéographique!A:A,2,1),"P")</f>
        <v>P</v>
      </c>
      <c r="AP6707" s="4" t="s">
        <v>376</v>
      </c>
      <c r="AR6707" s="4" t="s">
        <v>377</v>
      </c>
    </row>
    <row r="6708" spans="1:44" ht="30">
      <c r="A6708" s="4" t="s">
        <v>5</v>
      </c>
      <c r="B6708" s="4">
        <v>47914</v>
      </c>
      <c r="C6708" s="4">
        <v>6365</v>
      </c>
      <c r="D6708" s="5" t="s">
        <v>9481</v>
      </c>
      <c r="E6708" s="6" t="str">
        <f>HYPERLINK("https://inpn.mnhn.fr/espece/cd_nom/47914","Hyaloscypha leuconica (Cooke ex Stev.) Nannf., 1936")</f>
        <v>Hyaloscypha leuconica (Cooke ex Stev.) Nannf., 1936</v>
      </c>
      <c r="AH6708" s="4" t="str">
        <f>HYPERLINK("#Statut_biogéographique!A"&amp;_xlfn.XMATCH("P",Statut_biogéographique!A:A,2,1),"P")</f>
        <v>P</v>
      </c>
      <c r="AP6708" s="4" t="s">
        <v>376</v>
      </c>
      <c r="AR6708" s="4" t="s">
        <v>377</v>
      </c>
    </row>
    <row r="6709" spans="1:44" ht="30">
      <c r="A6709" s="4" t="s">
        <v>5</v>
      </c>
      <c r="B6709" s="4">
        <v>47923</v>
      </c>
      <c r="C6709" s="4">
        <v>5577</v>
      </c>
      <c r="D6709" s="5" t="s">
        <v>9482</v>
      </c>
      <c r="E6709" s="6" t="str">
        <f>HYPERLINK("https://inpn.mnhn.fr/espece/cd_nom/47923","Hyaloscypha quercicola (Velen.) Huhtinen, 1990")</f>
        <v>Hyaloscypha quercicola (Velen.) Huhtinen, 1990</v>
      </c>
      <c r="AH6709" s="4" t="str">
        <f>HYPERLINK("#Statut_biogéographique!A"&amp;_xlfn.XMATCH("P",Statut_biogéographique!A:A,2,1),"P")</f>
        <v>P</v>
      </c>
      <c r="AP6709" s="4" t="s">
        <v>376</v>
      </c>
      <c r="AR6709" s="4" t="s">
        <v>377</v>
      </c>
    </row>
    <row r="6710" spans="1:44">
      <c r="A6710" s="4" t="s">
        <v>5</v>
      </c>
      <c r="B6710" s="4">
        <v>47929</v>
      </c>
      <c r="C6710" s="4">
        <v>6993</v>
      </c>
      <c r="D6710" s="5" t="s">
        <v>9483</v>
      </c>
      <c r="E6710" s="6" t="str">
        <f>HYPERLINK("https://inpn.mnhn.fr/espece/cd_nom/47929","Hyaloscypha vitreola (P.Karst.) Boud., 1907")</f>
        <v>Hyaloscypha vitreola (P.Karst.) Boud., 1907</v>
      </c>
      <c r="AH6710" s="4" t="str">
        <f>HYPERLINK("#Statut_biogéographique!A"&amp;_xlfn.XMATCH("P",Statut_biogéographique!A:A,2,1),"P")</f>
        <v>P</v>
      </c>
      <c r="AP6710" s="4" t="s">
        <v>376</v>
      </c>
      <c r="AR6710" s="4" t="s">
        <v>377</v>
      </c>
    </row>
    <row r="6711" spans="1:44">
      <c r="A6711" s="4" t="s">
        <v>5</v>
      </c>
      <c r="B6711" s="4">
        <v>47938</v>
      </c>
      <c r="C6711" s="4">
        <v>229</v>
      </c>
      <c r="D6711" s="5" t="s">
        <v>9484</v>
      </c>
      <c r="E6711" s="6" t="str">
        <f>HYPERLINK("https://inpn.mnhn.fr/espece/cd_nom/47938","Hydnobolites cerebriformis Tul. &amp; C.Tul., 1843")</f>
        <v>Hydnobolites cerebriformis Tul. &amp; C.Tul., 1843</v>
      </c>
      <c r="F6711" s="5" t="s">
        <v>9485</v>
      </c>
      <c r="V6711" s="7" t="str">
        <f>HYPERLINK("#Liste_rouge!A"&amp;_xlfn.XMATCH("DD",Liste_rouge!A:A,2,1),"DD")</f>
        <v>DD</v>
      </c>
      <c r="Z6711" s="4" t="s">
        <v>443</v>
      </c>
      <c r="AA6711" s="4" t="s">
        <v>444</v>
      </c>
      <c r="AH6711" s="4" t="str">
        <f>HYPERLINK("#Statut_biogéographique!A"&amp;_xlfn.XMATCH("P",Statut_biogéographique!A:A,2,1),"P")</f>
        <v>P</v>
      </c>
      <c r="AP6711" s="4" t="s">
        <v>376</v>
      </c>
      <c r="AR6711" s="4" t="s">
        <v>377</v>
      </c>
    </row>
    <row r="6712" spans="1:44" ht="30">
      <c r="A6712" s="4" t="s">
        <v>5</v>
      </c>
      <c r="B6712" s="4">
        <v>47965</v>
      </c>
      <c r="C6712" s="4">
        <v>1057</v>
      </c>
      <c r="D6712" s="5" t="s">
        <v>9486</v>
      </c>
      <c r="E6712" s="6" t="str">
        <f>HYPERLINK("https://inpn.mnhn.fr/espece/cd_nom/47965","Hymenoscyphus calyculus (Fr.) W.Phillips, 1887")</f>
        <v>Hymenoscyphus calyculus (Fr.) W.Phillips, 1887</v>
      </c>
      <c r="AH6712" s="4" t="str">
        <f>HYPERLINK("#Statut_biogéographique!A"&amp;_xlfn.XMATCH("P",Statut_biogéographique!A:A,2,1),"P")</f>
        <v>P</v>
      </c>
      <c r="AP6712" s="4" t="s">
        <v>376</v>
      </c>
      <c r="AR6712" s="4" t="s">
        <v>377</v>
      </c>
    </row>
    <row r="6713" spans="1:44" ht="30">
      <c r="A6713" s="4" t="s">
        <v>5</v>
      </c>
      <c r="B6713" s="4">
        <v>47969</v>
      </c>
      <c r="C6713" s="4">
        <v>5987</v>
      </c>
      <c r="D6713" s="5" t="s">
        <v>9487</v>
      </c>
      <c r="E6713" s="6" t="str">
        <f>HYPERLINK("https://inpn.mnhn.fr/espece/cd_nom/47969","Hymenoscyphus caudatus (P.Karst.) Dennis, 1964")</f>
        <v>Hymenoscyphus caudatus (P.Karst.) Dennis, 1964</v>
      </c>
      <c r="AH6713" s="4" t="str">
        <f>HYPERLINK("#Statut_biogéographique!A"&amp;_xlfn.XMATCH("P",Statut_biogéographique!A:A,2,1),"P")</f>
        <v>P</v>
      </c>
      <c r="AP6713" s="4" t="s">
        <v>376</v>
      </c>
      <c r="AR6713" s="4" t="s">
        <v>377</v>
      </c>
    </row>
    <row r="6714" spans="1:44" ht="30">
      <c r="A6714" s="4" t="s">
        <v>5</v>
      </c>
      <c r="B6714" s="4">
        <v>47993</v>
      </c>
      <c r="C6714" s="4">
        <v>3320</v>
      </c>
      <c r="D6714" s="5" t="s">
        <v>9488</v>
      </c>
      <c r="E6714" s="6" t="str">
        <f>HYPERLINK("https://inpn.mnhn.fr/espece/cd_nom/47993","Hymenoscyphus fructigenus (Bull.) Gray, 1821")</f>
        <v>Hymenoscyphus fructigenus (Bull.) Gray, 1821</v>
      </c>
      <c r="AH6714" s="4" t="str">
        <f>HYPERLINK("#Statut_biogéographique!A"&amp;_xlfn.XMATCH("P",Statut_biogéographique!A:A,2,1),"P")</f>
        <v>P</v>
      </c>
      <c r="AP6714" s="4" t="s">
        <v>376</v>
      </c>
      <c r="AR6714" s="4" t="s">
        <v>377</v>
      </c>
    </row>
    <row r="6715" spans="1:44">
      <c r="A6715" s="4" t="s">
        <v>5</v>
      </c>
      <c r="B6715" s="4">
        <v>47998</v>
      </c>
      <c r="C6715" s="4">
        <v>3539</v>
      </c>
      <c r="D6715" s="5" t="s">
        <v>9489</v>
      </c>
      <c r="E6715" s="6" t="str">
        <f>HYPERLINK("https://inpn.mnhn.fr/espece/cd_nom/47998","Calycina herbarum (Pers.) Gray, 1821")</f>
        <v>Calycina herbarum (Pers.) Gray, 1821</v>
      </c>
      <c r="AH6715" s="4" t="str">
        <f>HYPERLINK("#Statut_biogéographique!A"&amp;_xlfn.XMATCH("P",Statut_biogéographique!A:A,2,1),"P")</f>
        <v>P</v>
      </c>
      <c r="AP6715" s="4" t="s">
        <v>376</v>
      </c>
      <c r="AR6715" s="4" t="s">
        <v>377</v>
      </c>
    </row>
    <row r="6716" spans="1:44">
      <c r="A6716" s="4" t="s">
        <v>5</v>
      </c>
      <c r="B6716" s="4">
        <v>48004</v>
      </c>
      <c r="C6716" s="4">
        <v>5975</v>
      </c>
      <c r="D6716" s="5" t="s">
        <v>9490</v>
      </c>
      <c r="E6716" s="6" t="str">
        <f>HYPERLINK("https://inpn.mnhn.fr/espece/cd_nom/48004","Hymenoscyphus imberbis (Bull.) Dennis, 1964")</f>
        <v>Hymenoscyphus imberbis (Bull.) Dennis, 1964</v>
      </c>
      <c r="AH6716" s="4" t="str">
        <f>HYPERLINK("#Statut_biogéographique!A"&amp;_xlfn.XMATCH("P",Statut_biogéographique!A:A,2,1),"P")</f>
        <v>P</v>
      </c>
      <c r="AP6716" s="4" t="s">
        <v>376</v>
      </c>
      <c r="AR6716" s="4" t="s">
        <v>377</v>
      </c>
    </row>
    <row r="6717" spans="1:44" ht="30">
      <c r="A6717" s="4" t="s">
        <v>5</v>
      </c>
      <c r="B6717" s="4">
        <v>48008</v>
      </c>
      <c r="C6717" s="4">
        <v>5821</v>
      </c>
      <c r="D6717" s="5" t="s">
        <v>9491</v>
      </c>
      <c r="E6717" s="6" t="str">
        <f>HYPERLINK("https://inpn.mnhn.fr/espece/cd_nom/48008","Hymenoscyphus immutabilis (Fuckel) Dennis, 1964")</f>
        <v>Hymenoscyphus immutabilis (Fuckel) Dennis, 1964</v>
      </c>
      <c r="AH6717" s="4" t="str">
        <f>HYPERLINK("#Statut_biogéographique!A"&amp;_xlfn.XMATCH("P",Statut_biogéographique!A:A,2,1),"P")</f>
        <v>P</v>
      </c>
      <c r="AP6717" s="4" t="s">
        <v>376</v>
      </c>
      <c r="AR6717" s="4" t="s">
        <v>377</v>
      </c>
    </row>
    <row r="6718" spans="1:44">
      <c r="A6718" s="4" t="s">
        <v>5</v>
      </c>
      <c r="B6718" s="4">
        <v>48012</v>
      </c>
      <c r="C6718" s="4">
        <v>6469</v>
      </c>
      <c r="D6718" s="5" t="s">
        <v>9492</v>
      </c>
      <c r="E6718" s="6" t="str">
        <f>HYPERLINK("https://inpn.mnhn.fr/espece/cd_nom/48012","Hymenoscyphus laetus (Boud.) Dennis, 1964")</f>
        <v>Hymenoscyphus laetus (Boud.) Dennis, 1964</v>
      </c>
      <c r="AH6718" s="4" t="str">
        <f>HYPERLINK("#Statut_biogéographique!A"&amp;_xlfn.XMATCH("P",Statut_biogéographique!A:A,2,1),"P")</f>
        <v>P</v>
      </c>
      <c r="AP6718" s="4" t="s">
        <v>376</v>
      </c>
      <c r="AR6718" s="4" t="s">
        <v>377</v>
      </c>
    </row>
    <row r="6719" spans="1:44" ht="30">
      <c r="A6719" s="4" t="s">
        <v>5</v>
      </c>
      <c r="B6719" s="4">
        <v>48014</v>
      </c>
      <c r="C6719" s="4">
        <v>3809</v>
      </c>
      <c r="D6719" s="5" t="s">
        <v>9493</v>
      </c>
      <c r="E6719" s="6" t="str">
        <f>HYPERLINK("https://inpn.mnhn.fr/espece/cd_nom/48014","Hymenoscyphus lutescens (Hedw.) W.Phillips, 1887")</f>
        <v>Hymenoscyphus lutescens (Hedw.) W.Phillips, 1887</v>
      </c>
      <c r="AH6719" s="4" t="str">
        <f>HYPERLINK("#Statut_biogéographique!A"&amp;_xlfn.XMATCH("P",Statut_biogéographique!A:A,2,1),"P")</f>
        <v>P</v>
      </c>
      <c r="AP6719" s="4" t="s">
        <v>376</v>
      </c>
      <c r="AR6719" s="4" t="s">
        <v>377</v>
      </c>
    </row>
    <row r="6720" spans="1:44" ht="30">
      <c r="A6720" s="4" t="s">
        <v>5</v>
      </c>
      <c r="B6720" s="4">
        <v>48021</v>
      </c>
      <c r="C6720" s="4">
        <v>6796</v>
      </c>
      <c r="D6720" s="5" t="s">
        <v>9494</v>
      </c>
      <c r="E6720" s="6" t="str">
        <f>HYPERLINK("https://inpn.mnhn.fr/espece/cd_nom/48021","Hymenoscyphus phyllogenus (Rehm) Kuntze, 1898")</f>
        <v>Hymenoscyphus phyllogenus (Rehm) Kuntze, 1898</v>
      </c>
      <c r="AH6720" s="4" t="str">
        <f>HYPERLINK("#Statut_biogéographique!A"&amp;_xlfn.XMATCH("P",Statut_biogéographique!A:A,2,1),"P")</f>
        <v>P</v>
      </c>
      <c r="AP6720" s="4" t="s">
        <v>376</v>
      </c>
      <c r="AR6720" s="4" t="s">
        <v>377</v>
      </c>
    </row>
    <row r="6721" spans="1:44" ht="30">
      <c r="A6721" s="4" t="s">
        <v>5</v>
      </c>
      <c r="B6721" s="4">
        <v>48027</v>
      </c>
      <c r="C6721" s="4">
        <v>1105</v>
      </c>
      <c r="D6721" s="5" t="s">
        <v>9495</v>
      </c>
      <c r="E6721" s="6" t="str">
        <f>HYPERLINK("https://inpn.mnhn.fr/espece/cd_nom/48027","Hymenoscyphus repandus (W.Phillips) Dennis, 1964")</f>
        <v>Hymenoscyphus repandus (W.Phillips) Dennis, 1964</v>
      </c>
      <c r="AH6721" s="4" t="str">
        <f>HYPERLINK("#Statut_biogéographique!A"&amp;_xlfn.XMATCH("P",Statut_biogéographique!A:A,2,1),"P")</f>
        <v>P</v>
      </c>
      <c r="AP6721" s="4" t="s">
        <v>376</v>
      </c>
      <c r="AR6721" s="4" t="s">
        <v>377</v>
      </c>
    </row>
    <row r="6722" spans="1:44" ht="30">
      <c r="A6722" s="4" t="s">
        <v>5</v>
      </c>
      <c r="B6722" s="4">
        <v>48029</v>
      </c>
      <c r="D6722" s="5" t="s">
        <v>9496</v>
      </c>
      <c r="E6722" s="6" t="str">
        <f>HYPERLINK("https://inpn.mnhn.fr/espece/cd_nom/48029","Hymenoscyphus rhodoleucus (Fr.) W.Phillips, 1887")</f>
        <v>Hymenoscyphus rhodoleucus (Fr.) W.Phillips, 1887</v>
      </c>
      <c r="AH6722" s="4" t="str">
        <f>HYPERLINK("#Statut_biogéographique!A"&amp;_xlfn.XMATCH("P",Statut_biogéographique!A:A,2,1),"P")</f>
        <v>P</v>
      </c>
      <c r="AP6722" s="4" t="s">
        <v>376</v>
      </c>
      <c r="AR6722" s="4" t="s">
        <v>377</v>
      </c>
    </row>
    <row r="6723" spans="1:44" ht="45">
      <c r="A6723" s="4" t="s">
        <v>5</v>
      </c>
      <c r="B6723" s="4">
        <v>48040</v>
      </c>
      <c r="C6723" s="4">
        <v>2925</v>
      </c>
      <c r="D6723" s="5" t="s">
        <v>9497</v>
      </c>
      <c r="E6723" s="6" t="str">
        <f>HYPERLINK("https://inpn.mnhn.fr/espece/cd_nom/48040","Hymenoscyphus scutula (Pers.) W.Phillips, 1887")</f>
        <v>Hymenoscyphus scutula (Pers.) W.Phillips, 1887</v>
      </c>
      <c r="AH6723" s="4" t="str">
        <f>HYPERLINK("#Statut_biogéographique!A"&amp;_xlfn.XMATCH("P",Statut_biogéographique!A:A,2,1),"P")</f>
        <v>P</v>
      </c>
      <c r="AP6723" s="4" t="s">
        <v>376</v>
      </c>
      <c r="AR6723" s="4" t="s">
        <v>377</v>
      </c>
    </row>
    <row r="6724" spans="1:44" ht="30">
      <c r="A6724" s="4" t="s">
        <v>5</v>
      </c>
      <c r="B6724" s="4">
        <v>48049</v>
      </c>
      <c r="C6724" s="4">
        <v>1161</v>
      </c>
      <c r="D6724" s="5">
        <v>48049</v>
      </c>
      <c r="E6724" s="6" t="str">
        <f>HYPERLINK("https://inpn.mnhn.fr/espece/cd_nom/48049","Hymenoscyphus serotinus (Pers.) W.Phillips, 1887")</f>
        <v>Hymenoscyphus serotinus (Pers.) W.Phillips, 1887</v>
      </c>
      <c r="AH6724" s="4" t="str">
        <f>HYPERLINK("#Statut_biogéographique!A"&amp;_xlfn.XMATCH("P",Statut_biogéographique!A:A,2,1),"P")</f>
        <v>P</v>
      </c>
      <c r="AP6724" s="4" t="s">
        <v>376</v>
      </c>
      <c r="AR6724" s="4" t="s">
        <v>377</v>
      </c>
    </row>
    <row r="6725" spans="1:44" ht="30">
      <c r="A6725" s="4" t="s">
        <v>5</v>
      </c>
      <c r="B6725" s="4">
        <v>48051</v>
      </c>
      <c r="D6725" s="5" t="s">
        <v>9498</v>
      </c>
      <c r="E6725" s="6" t="str">
        <f>HYPERLINK("https://inpn.mnhn.fr/espece/cd_nom/48051","Hymenoscyphus umbilicatus (Le Gal) Dumont, 1981")</f>
        <v>Hymenoscyphus umbilicatus (Le Gal) Dumont, 1981</v>
      </c>
      <c r="AH6725" s="4" t="str">
        <f>HYPERLINK("#Statut_biogéographique!A"&amp;_xlfn.XMATCH("P",Statut_biogéographique!A:A,2,1),"P")</f>
        <v>P</v>
      </c>
      <c r="AP6725" s="4" t="s">
        <v>376</v>
      </c>
      <c r="AR6725" s="4" t="s">
        <v>377</v>
      </c>
    </row>
    <row r="6726" spans="1:44">
      <c r="A6726" s="4" t="s">
        <v>5</v>
      </c>
      <c r="B6726" s="4">
        <v>48054</v>
      </c>
      <c r="C6726" s="4">
        <v>5756</v>
      </c>
      <c r="D6726" s="5" t="s">
        <v>9499</v>
      </c>
      <c r="E6726" s="6" t="str">
        <f>HYPERLINK("https://inpn.mnhn.fr/espece/cd_nom/48054","Hymenoscyphus vernus (Boud.) Dennis, 1964")</f>
        <v>Hymenoscyphus vernus (Boud.) Dennis, 1964</v>
      </c>
      <c r="AH6726" s="4" t="str">
        <f>HYPERLINK("#Statut_biogéographique!A"&amp;_xlfn.XMATCH("P",Statut_biogéographique!A:A,2,1),"P")</f>
        <v>P</v>
      </c>
      <c r="AP6726" s="4" t="s">
        <v>376</v>
      </c>
      <c r="AR6726" s="4" t="s">
        <v>377</v>
      </c>
    </row>
    <row r="6727" spans="1:44" ht="30">
      <c r="A6727" s="4" t="s">
        <v>5</v>
      </c>
      <c r="B6727" s="4">
        <v>48057</v>
      </c>
      <c r="C6727" s="4">
        <v>1394</v>
      </c>
      <c r="D6727" s="5" t="s">
        <v>9500</v>
      </c>
      <c r="E6727" s="6" t="str">
        <f>HYPERLINK("https://inpn.mnhn.fr/espece/cd_nom/48057","Hymenoscyphus vitellinus (Rehm) Kuntze, 1898")</f>
        <v>Hymenoscyphus vitellinus (Rehm) Kuntze, 1898</v>
      </c>
      <c r="AH6727" s="4" t="str">
        <f>HYPERLINK("#Statut_biogéographique!A"&amp;_xlfn.XMATCH("P",Statut_biogéographique!A:A,2,1),"P")</f>
        <v>P</v>
      </c>
      <c r="AP6727" s="4" t="s">
        <v>376</v>
      </c>
      <c r="AR6727" s="4" t="s">
        <v>377</v>
      </c>
    </row>
    <row r="6728" spans="1:44">
      <c r="A6728" s="4" t="s">
        <v>5</v>
      </c>
      <c r="B6728" s="4">
        <v>48070</v>
      </c>
      <c r="C6728" s="4">
        <v>1586</v>
      </c>
      <c r="D6728" s="5" t="s">
        <v>9501</v>
      </c>
      <c r="E6728" s="6" t="str">
        <f>HYPERLINK("https://inpn.mnhn.fr/espece/cd_nom/48070","Hypocrea rufa (Pers.) Fr., 1849")</f>
        <v>Hypocrea rufa (Pers.) Fr., 1849</v>
      </c>
      <c r="F6728" s="5" t="s">
        <v>9502</v>
      </c>
      <c r="AH6728" s="4" t="str">
        <f>HYPERLINK("#Statut_biogéographique!A"&amp;_xlfn.XMATCH("P",Statut_biogéographique!A:A,2,1),"P")</f>
        <v>P</v>
      </c>
      <c r="AP6728" s="4" t="s">
        <v>376</v>
      </c>
      <c r="AR6728" s="4" t="s">
        <v>377</v>
      </c>
    </row>
    <row r="6729" spans="1:44" ht="30">
      <c r="A6729" s="4" t="s">
        <v>5</v>
      </c>
      <c r="B6729" s="4">
        <v>48072</v>
      </c>
      <c r="C6729" s="4">
        <v>2160</v>
      </c>
      <c r="D6729" s="5" t="s">
        <v>9503</v>
      </c>
      <c r="E6729" s="6" t="str">
        <f>HYPERLINK("https://inpn.mnhn.fr/espece/cd_nom/48072","Hypocreopsis lichenoides (Tode) Seaver, 1910")</f>
        <v>Hypocreopsis lichenoides (Tode) Seaver, 1910</v>
      </c>
      <c r="F6729" s="5" t="s">
        <v>9504</v>
      </c>
      <c r="V6729" s="7" t="str">
        <f>HYPERLINK("#Liste_rouge!A"&amp;_xlfn.XMATCH("VU",Liste_rouge!A:A,2,1),"VU")</f>
        <v>VU</v>
      </c>
      <c r="W6729" s="4" t="str">
        <f>HYPERLINK("#Critères_liste_rouge!A$1","B2abiii")</f>
        <v>B2abiii</v>
      </c>
      <c r="Z6729" s="4" t="s">
        <v>695</v>
      </c>
      <c r="AA6729" s="4" t="s">
        <v>696</v>
      </c>
      <c r="AH6729" s="4" t="str">
        <f>HYPERLINK("#Statut_biogéographique!A"&amp;_xlfn.XMATCH("P",Statut_biogéographique!A:A,2,1),"P")</f>
        <v>P</v>
      </c>
      <c r="AP6729" s="4" t="s">
        <v>376</v>
      </c>
      <c r="AR6729" s="4" t="s">
        <v>377</v>
      </c>
    </row>
    <row r="6730" spans="1:44" ht="30">
      <c r="A6730" s="4" t="s">
        <v>5</v>
      </c>
      <c r="B6730" s="4">
        <v>48081</v>
      </c>
      <c r="C6730" s="4">
        <v>4115</v>
      </c>
      <c r="D6730" s="5" t="s">
        <v>9505</v>
      </c>
      <c r="E6730" s="6" t="str">
        <f>HYPERLINK("https://inpn.mnhn.fr/espece/cd_nom/48081","Hypomyces aurantius (Pers.) Fuckel, 1870")</f>
        <v>Hypomyces aurantius (Pers.) Fuckel, 1870</v>
      </c>
      <c r="F6730" s="5" t="s">
        <v>9506</v>
      </c>
      <c r="AH6730" s="4" t="str">
        <f>HYPERLINK("#Statut_biogéographique!A"&amp;_xlfn.XMATCH("P",Statut_biogéographique!A:A,2,1),"P")</f>
        <v>P</v>
      </c>
      <c r="AP6730" s="4" t="s">
        <v>376</v>
      </c>
      <c r="AR6730" s="4" t="s">
        <v>377</v>
      </c>
    </row>
    <row r="6731" spans="1:44" ht="30">
      <c r="A6731" s="4" t="s">
        <v>5</v>
      </c>
      <c r="B6731" s="4">
        <v>48085</v>
      </c>
      <c r="C6731" s="4">
        <v>4439</v>
      </c>
      <c r="D6731" s="5" t="s">
        <v>9507</v>
      </c>
      <c r="E6731" s="6" t="str">
        <f>HYPERLINK("https://inpn.mnhn.fr/espece/cd_nom/48085","Hypomyces ochraceus (Pers.) Tul. &amp; C.Tul., 1865")</f>
        <v>Hypomyces ochraceus (Pers.) Tul. &amp; C.Tul., 1865</v>
      </c>
      <c r="F6731" s="5" t="s">
        <v>9508</v>
      </c>
      <c r="AH6731" s="4" t="str">
        <f>HYPERLINK("#Statut_biogéographique!A"&amp;_xlfn.XMATCH("P",Statut_biogéographique!A:A,2,1),"P")</f>
        <v>P</v>
      </c>
      <c r="AP6731" s="4" t="s">
        <v>376</v>
      </c>
      <c r="AR6731" s="4" t="s">
        <v>377</v>
      </c>
    </row>
    <row r="6732" spans="1:44" ht="45">
      <c r="A6732" s="4" t="s">
        <v>5</v>
      </c>
      <c r="B6732" s="4">
        <v>48088</v>
      </c>
      <c r="C6732" s="4">
        <v>4440</v>
      </c>
      <c r="D6732" s="5" t="s">
        <v>9509</v>
      </c>
      <c r="E6732" s="6" t="str">
        <f>HYPERLINK("https://inpn.mnhn.fr/espece/cd_nom/48088","Hypomyces rosellus (Alb. &amp; Schwein.) Tul. &amp; C.Tul., 1860")</f>
        <v>Hypomyces rosellus (Alb. &amp; Schwein.) Tul. &amp; C.Tul., 1860</v>
      </c>
      <c r="F6732" s="5" t="s">
        <v>9510</v>
      </c>
      <c r="AH6732" s="4" t="str">
        <f>HYPERLINK("#Statut_biogéographique!A"&amp;_xlfn.XMATCH("P",Statut_biogéographique!A:A,2,1),"P")</f>
        <v>P</v>
      </c>
      <c r="AP6732" s="4" t="s">
        <v>376</v>
      </c>
      <c r="AR6732" s="4" t="s">
        <v>377</v>
      </c>
    </row>
    <row r="6733" spans="1:44" ht="60">
      <c r="A6733" s="4" t="s">
        <v>5</v>
      </c>
      <c r="B6733" s="4">
        <v>48104</v>
      </c>
      <c r="C6733" s="4">
        <v>282</v>
      </c>
      <c r="D6733" s="5" t="s">
        <v>9511</v>
      </c>
      <c r="E6733" s="6" t="str">
        <f>HYPERLINK("https://inpn.mnhn.fr/espece/cd_nom/48104","Hypoxylon fragiforme (Pers.) J.Kickx f., 1835")</f>
        <v>Hypoxylon fragiforme (Pers.) J.Kickx f., 1835</v>
      </c>
      <c r="F6733" s="5" t="s">
        <v>9512</v>
      </c>
      <c r="V6733" s="7" t="str">
        <f>HYPERLINK("#Liste_rouge!A"&amp;_xlfn.XMATCH("LC",Liste_rouge!A:A,2,1),"LC")</f>
        <v>LC</v>
      </c>
      <c r="AH6733" s="4" t="str">
        <f>HYPERLINK("#Statut_biogéographique!A"&amp;_xlfn.XMATCH("P",Statut_biogéographique!A:A,2,1),"P")</f>
        <v>P</v>
      </c>
      <c r="AP6733" s="4" t="s">
        <v>376</v>
      </c>
      <c r="AR6733" s="4" t="s">
        <v>377</v>
      </c>
    </row>
    <row r="6734" spans="1:44">
      <c r="A6734" s="4" t="s">
        <v>5</v>
      </c>
      <c r="B6734" s="4">
        <v>48110</v>
      </c>
      <c r="C6734" s="4">
        <v>1059</v>
      </c>
      <c r="D6734" s="5" t="s">
        <v>9513</v>
      </c>
      <c r="E6734" s="6" t="str">
        <f>HYPERLINK("https://inpn.mnhn.fr/espece/cd_nom/48110","Hypoxylon fuscum (Pers.) Fr., 1849")</f>
        <v>Hypoxylon fuscum (Pers.) Fr., 1849</v>
      </c>
      <c r="F6734" s="5" t="s">
        <v>9514</v>
      </c>
      <c r="V6734" s="7" t="str">
        <f>HYPERLINK("#Liste_rouge!A"&amp;_xlfn.XMATCH("LC",Liste_rouge!A:A,2,1),"LC")</f>
        <v>LC</v>
      </c>
      <c r="AH6734" s="4" t="str">
        <f>HYPERLINK("#Statut_biogéographique!A"&amp;_xlfn.XMATCH("P",Statut_biogéographique!A:A,2,1),"P")</f>
        <v>P</v>
      </c>
      <c r="AP6734" s="4" t="s">
        <v>376</v>
      </c>
      <c r="AR6734" s="4" t="s">
        <v>377</v>
      </c>
    </row>
    <row r="6735" spans="1:44">
      <c r="A6735" s="4" t="s">
        <v>5</v>
      </c>
      <c r="B6735" s="4">
        <v>48115</v>
      </c>
      <c r="C6735" s="4">
        <v>6044</v>
      </c>
      <c r="D6735" s="5" t="s">
        <v>9515</v>
      </c>
      <c r="E6735" s="6" t="str">
        <f>HYPERLINK("https://inpn.mnhn.fr/espece/cd_nom/48115","Hypoxylon macrocarpum Pouzar, 1978")</f>
        <v>Hypoxylon macrocarpum Pouzar, 1978</v>
      </c>
      <c r="AH6735" s="4" t="str">
        <f>HYPERLINK("#Statut_biogéographique!A"&amp;_xlfn.XMATCH("P",Statut_biogéographique!A:A,2,1),"P")</f>
        <v>P</v>
      </c>
      <c r="AP6735" s="4" t="s">
        <v>376</v>
      </c>
      <c r="AR6735" s="4" t="s">
        <v>377</v>
      </c>
    </row>
    <row r="6736" spans="1:44">
      <c r="A6736" s="4" t="s">
        <v>5</v>
      </c>
      <c r="B6736" s="4">
        <v>48122</v>
      </c>
      <c r="D6736" s="5">
        <v>48122</v>
      </c>
      <c r="E6736" s="6" t="str">
        <f>HYPERLINK("https://inpn.mnhn.fr/espece/cd_nom/48122","Hypoxylon moravicum Pouzar, 1972")</f>
        <v>Hypoxylon moravicum Pouzar, 1972</v>
      </c>
      <c r="AH6736" s="4" t="str">
        <f>HYPERLINK("#Statut_biogéographique!A"&amp;_xlfn.XMATCH("P",Statut_biogéographique!A:A,2,1),"P")</f>
        <v>P</v>
      </c>
      <c r="AP6736" s="4" t="s">
        <v>376</v>
      </c>
      <c r="AR6736" s="4" t="s">
        <v>377</v>
      </c>
    </row>
    <row r="6737" spans="1:44" ht="30">
      <c r="A6737" s="4" t="s">
        <v>5</v>
      </c>
      <c r="B6737" s="4">
        <v>48126</v>
      </c>
      <c r="C6737" s="4">
        <v>1772</v>
      </c>
      <c r="D6737" s="5" t="s">
        <v>9516</v>
      </c>
      <c r="E6737" s="6" t="str">
        <f>HYPERLINK("https://inpn.mnhn.fr/espece/cd_nom/48126","Hypoxylon rubiginosum (Pers.) Fr., 1849")</f>
        <v>Hypoxylon rubiginosum (Pers.) Fr., 1849</v>
      </c>
      <c r="F6737" s="5" t="s">
        <v>9517</v>
      </c>
      <c r="AH6737" s="4" t="str">
        <f>HYPERLINK("#Statut_biogéographique!A"&amp;_xlfn.XMATCH("P",Statut_biogéographique!A:A,2,1),"P")</f>
        <v>P</v>
      </c>
      <c r="AP6737" s="4" t="s">
        <v>376</v>
      </c>
      <c r="AR6737" s="4" t="s">
        <v>377</v>
      </c>
    </row>
    <row r="6738" spans="1:44">
      <c r="A6738" s="4" t="s">
        <v>5</v>
      </c>
      <c r="B6738" s="4">
        <v>48129</v>
      </c>
      <c r="C6738" s="4">
        <v>4271</v>
      </c>
      <c r="D6738" s="5" t="s">
        <v>9518</v>
      </c>
      <c r="E6738" s="6" t="str">
        <f>HYPERLINK("https://inpn.mnhn.fr/espece/cd_nom/48129","Hypoxylon rutilum Tul. &amp; C.Tul., 1863")</f>
        <v>Hypoxylon rutilum Tul. &amp; C.Tul., 1863</v>
      </c>
      <c r="AH6738" s="4" t="str">
        <f>HYPERLINK("#Statut_biogéographique!A"&amp;_xlfn.XMATCH("P",Statut_biogéographique!A:A,2,1),"P")</f>
        <v>P</v>
      </c>
      <c r="AP6738" s="4" t="s">
        <v>376</v>
      </c>
      <c r="AR6738" s="4" t="s">
        <v>377</v>
      </c>
    </row>
    <row r="6739" spans="1:44">
      <c r="A6739" s="4" t="s">
        <v>5</v>
      </c>
      <c r="B6739" s="4">
        <v>48136</v>
      </c>
      <c r="D6739" s="5" t="s">
        <v>9519</v>
      </c>
      <c r="E6739" s="6" t="str">
        <f>HYPERLINK("https://inpn.mnhn.fr/espece/cd_nom/48136","Hysterium pulicare Pers., 1794")</f>
        <v>Hysterium pulicare Pers., 1794</v>
      </c>
      <c r="AH6739" s="4" t="str">
        <f>HYPERLINK("#Statut_biogéographique!A"&amp;_xlfn.XMATCH("P",Statut_biogéographique!A:A,2,1),"P")</f>
        <v>P</v>
      </c>
      <c r="AP6739" s="4" t="s">
        <v>376</v>
      </c>
      <c r="AR6739" s="4" t="s">
        <v>377</v>
      </c>
    </row>
    <row r="6740" spans="1:44" ht="30">
      <c r="A6740" s="4" t="s">
        <v>5</v>
      </c>
      <c r="B6740" s="4">
        <v>48138</v>
      </c>
      <c r="C6740" s="4">
        <v>1054</v>
      </c>
      <c r="D6740" s="5" t="s">
        <v>9520</v>
      </c>
      <c r="E6740" s="6" t="str">
        <f>HYPERLINK("https://inpn.mnhn.fr/espece/cd_nom/48138","Hysterographium fraxini (Pers.) De Not., 1847")</f>
        <v>Hysterographium fraxini (Pers.) De Not., 1847</v>
      </c>
      <c r="AH6740" s="4" t="str">
        <f>HYPERLINK("#Statut_biogéographique!A"&amp;_xlfn.XMATCH("P",Statut_biogéographique!A:A,2,1),"P")</f>
        <v>P</v>
      </c>
      <c r="AP6740" s="4" t="s">
        <v>376</v>
      </c>
      <c r="AR6740" s="4" t="s">
        <v>377</v>
      </c>
    </row>
    <row r="6741" spans="1:44">
      <c r="A6741" s="4" t="s">
        <v>5</v>
      </c>
      <c r="B6741" s="4">
        <v>48161</v>
      </c>
      <c r="C6741" s="4">
        <v>6443</v>
      </c>
      <c r="D6741" s="5" t="s">
        <v>9521</v>
      </c>
      <c r="E6741" s="6" t="str">
        <f>HYPERLINK("https://inpn.mnhn.fr/espece/cd_nom/48161","Incrupila aspidii (Lib.) Raitv., 1970")</f>
        <v>Incrupila aspidii (Lib.) Raitv., 1970</v>
      </c>
      <c r="AH6741" s="4" t="str">
        <f>HYPERLINK("#Statut_biogéographique!A"&amp;_xlfn.XMATCH("P",Statut_biogéographique!A:A,2,1),"P")</f>
        <v>P</v>
      </c>
      <c r="AP6741" s="4" t="s">
        <v>376</v>
      </c>
      <c r="AR6741" s="4" t="s">
        <v>377</v>
      </c>
    </row>
    <row r="6742" spans="1:44" ht="30">
      <c r="A6742" s="4" t="s">
        <v>5</v>
      </c>
      <c r="B6742" s="4">
        <v>48176</v>
      </c>
      <c r="D6742" s="5" t="s">
        <v>9522</v>
      </c>
      <c r="E6742" s="6" t="str">
        <f>HYPERLINK("https://inpn.mnhn.fr/espece/cd_nom/48176","Inermisia lecithina (Cooke) Dennis &amp; Itzerott, 1973")</f>
        <v>Inermisia lecithina (Cooke) Dennis &amp; Itzerott, 1973</v>
      </c>
      <c r="AH6742" s="4" t="str">
        <f>HYPERLINK("#Statut_biogéographique!A"&amp;_xlfn.XMATCH("P",Statut_biogéographique!A:A,2,1),"P")</f>
        <v>P</v>
      </c>
      <c r="AP6742" s="4" t="s">
        <v>376</v>
      </c>
      <c r="AR6742" s="4" t="s">
        <v>377</v>
      </c>
    </row>
    <row r="6743" spans="1:44" ht="45">
      <c r="A6743" s="4" t="s">
        <v>5</v>
      </c>
      <c r="B6743" s="4">
        <v>48182</v>
      </c>
      <c r="C6743" s="4">
        <v>3885</v>
      </c>
      <c r="D6743" s="5" t="s">
        <v>9523</v>
      </c>
      <c r="E6743" s="6" t="str">
        <f>HYPERLINK("https://inpn.mnhn.fr/espece/cd_nom/48182","Iodophanus carneus (Pers.) Korf, 1967")</f>
        <v>Iodophanus carneus (Pers.) Korf, 1967</v>
      </c>
      <c r="AH6743" s="4" t="str">
        <f>HYPERLINK("#Statut_biogéographique!A"&amp;_xlfn.XMATCH("P",Statut_biogéographique!A:A,2,1),"P")</f>
        <v>P</v>
      </c>
      <c r="AP6743" s="4" t="s">
        <v>376</v>
      </c>
      <c r="AR6743" s="4" t="s">
        <v>377</v>
      </c>
    </row>
    <row r="6744" spans="1:44">
      <c r="A6744" s="4" t="s">
        <v>5</v>
      </c>
      <c r="B6744" s="4">
        <v>48186</v>
      </c>
      <c r="C6744" s="4">
        <v>3231</v>
      </c>
      <c r="D6744" s="5" t="s">
        <v>9524</v>
      </c>
      <c r="E6744" s="6" t="str">
        <f>HYPERLINK("https://inpn.mnhn.fr/espece/cd_nom/48186","Iodophanus sarcobius (Boud.) Kimbr., 1969")</f>
        <v>Iodophanus sarcobius (Boud.) Kimbr., 1969</v>
      </c>
      <c r="AH6744" s="4" t="str">
        <f>HYPERLINK("#Statut_biogéographique!A"&amp;_xlfn.XMATCH("P",Statut_biogéographique!A:A,2,1),"P")</f>
        <v>P</v>
      </c>
      <c r="AP6744" s="4" t="s">
        <v>376</v>
      </c>
      <c r="AR6744" s="4" t="s">
        <v>377</v>
      </c>
    </row>
    <row r="6745" spans="1:44" ht="30">
      <c r="A6745" s="4" t="s">
        <v>5</v>
      </c>
      <c r="B6745" s="4">
        <v>48189</v>
      </c>
      <c r="C6745" s="4">
        <v>2500</v>
      </c>
      <c r="D6745" s="5" t="s">
        <v>9525</v>
      </c>
      <c r="E6745" s="6" t="str">
        <f>HYPERLINK("https://inpn.mnhn.fr/espece/cd_nom/48189","Ionomidotis fulvotingens (Berk. &amp; M.A.Curtis) E.K.Cash, 1939")</f>
        <v>Ionomidotis fulvotingens (Berk. &amp; M.A.Curtis) E.K.Cash, 1939</v>
      </c>
      <c r="V6745" s="7" t="str">
        <f>HYPERLINK("#Liste_rouge!A"&amp;_xlfn.XMATCH("DD",Liste_rouge!A:A,2,1),"DD")</f>
        <v>DD</v>
      </c>
      <c r="AH6745" s="4" t="str">
        <f>HYPERLINK("#Statut_biogéographique!A"&amp;_xlfn.XMATCH("P",Statut_biogéographique!A:A,2,1),"P")</f>
        <v>P</v>
      </c>
      <c r="AP6745" s="4" t="s">
        <v>376</v>
      </c>
      <c r="AR6745" s="4" t="s">
        <v>377</v>
      </c>
    </row>
    <row r="6746" spans="1:44">
      <c r="A6746" s="4" t="s">
        <v>5</v>
      </c>
      <c r="B6746" s="4">
        <v>48196</v>
      </c>
      <c r="C6746" s="4">
        <v>4434</v>
      </c>
      <c r="D6746" s="5" t="s">
        <v>9526</v>
      </c>
      <c r="E6746" s="6" t="str">
        <f>HYPERLINK("https://inpn.mnhn.fr/espece/cd_nom/48196","Karstenia lonicerae (Velen.) Sherwood, 1977")</f>
        <v>Karstenia lonicerae (Velen.) Sherwood, 1977</v>
      </c>
      <c r="AH6746" s="4" t="str">
        <f>HYPERLINK("#Statut_biogéographique!A"&amp;_xlfn.XMATCH("P",Statut_biogéographique!A:A,2,1),"P")</f>
        <v>P</v>
      </c>
      <c r="AP6746" s="4" t="s">
        <v>376</v>
      </c>
      <c r="AR6746" s="4" t="s">
        <v>377</v>
      </c>
    </row>
    <row r="6747" spans="1:44" ht="45">
      <c r="A6747" s="4" t="s">
        <v>5</v>
      </c>
      <c r="B6747" s="4">
        <v>48215</v>
      </c>
      <c r="C6747" s="4">
        <v>893</v>
      </c>
      <c r="D6747" s="5" t="s">
        <v>9527</v>
      </c>
      <c r="E6747" s="6" t="str">
        <f>HYPERLINK("https://inpn.mnhn.fr/espece/cd_nom/48215","Lachnella alboviolascens (Alb. &amp; Schwein.) Fr., 1849")</f>
        <v>Lachnella alboviolascens (Alb. &amp; Schwein.) Fr., 1849</v>
      </c>
      <c r="F6747" s="5" t="s">
        <v>9528</v>
      </c>
      <c r="V6747" s="7" t="str">
        <f>HYPERLINK("#Liste_rouge!A"&amp;_xlfn.XMATCH("LC",Liste_rouge!A:A,2,1),"LC")</f>
        <v>LC</v>
      </c>
      <c r="AH6747" s="4" t="str">
        <f>HYPERLINK("#Statut_biogéographique!A"&amp;_xlfn.XMATCH("P",Statut_biogéographique!A:A,2,1),"P")</f>
        <v>P</v>
      </c>
      <c r="AP6747" s="4" t="s">
        <v>376</v>
      </c>
      <c r="AR6747" s="4" t="s">
        <v>377</v>
      </c>
    </row>
    <row r="6748" spans="1:44" ht="30">
      <c r="A6748" s="4" t="s">
        <v>5</v>
      </c>
      <c r="B6748" s="4">
        <v>48221</v>
      </c>
      <c r="C6748" s="4">
        <v>1188</v>
      </c>
      <c r="D6748" s="5" t="s">
        <v>9529</v>
      </c>
      <c r="E6748" s="6" t="str">
        <f>HYPERLINK("https://inpn.mnhn.fr/espece/cd_nom/48221","Lachnella villosa (Pers.) Donk, 1951")</f>
        <v>Lachnella villosa (Pers.) Donk, 1951</v>
      </c>
      <c r="F6748" s="5" t="s">
        <v>9530</v>
      </c>
      <c r="AH6748" s="4" t="str">
        <f>HYPERLINK("#Statut_biogéographique!A"&amp;_xlfn.XMATCH("P",Statut_biogéographique!A:A,2,1),"P")</f>
        <v>P</v>
      </c>
      <c r="AP6748" s="4" t="s">
        <v>376</v>
      </c>
      <c r="AR6748" s="4" t="s">
        <v>377</v>
      </c>
    </row>
    <row r="6749" spans="1:44" ht="30">
      <c r="A6749" s="4" t="s">
        <v>5</v>
      </c>
      <c r="B6749" s="4">
        <v>48230</v>
      </c>
      <c r="C6749" s="4">
        <v>2924</v>
      </c>
      <c r="D6749" s="5" t="s">
        <v>9531</v>
      </c>
      <c r="E6749" s="6" t="str">
        <f>HYPERLINK("https://inpn.mnhn.fr/espece/cd_nom/48230","Lachnellula calyciformis (Batsch) Dharne, 1965")</f>
        <v>Lachnellula calyciformis (Batsch) Dharne, 1965</v>
      </c>
      <c r="F6749" s="5" t="s">
        <v>9532</v>
      </c>
      <c r="AH6749" s="4" t="str">
        <f>HYPERLINK("#Statut_biogéographique!A"&amp;_xlfn.XMATCH("P",Statut_biogéographique!A:A,2,1),"P")</f>
        <v>P</v>
      </c>
      <c r="AP6749" s="4" t="s">
        <v>376</v>
      </c>
      <c r="AR6749" s="4" t="s">
        <v>377</v>
      </c>
    </row>
    <row r="6750" spans="1:44" ht="30">
      <c r="A6750" s="4" t="s">
        <v>5</v>
      </c>
      <c r="B6750" s="4">
        <v>48240</v>
      </c>
      <c r="C6750" s="4">
        <v>5464</v>
      </c>
      <c r="D6750" s="5" t="s">
        <v>9533</v>
      </c>
      <c r="E6750" s="6" t="str">
        <f>HYPERLINK("https://inpn.mnhn.fr/espece/cd_nom/48240","Lachnellula gallica (P.Karst. &amp; Har.) Dennis, 1962")</f>
        <v>Lachnellula gallica (P.Karst. &amp; Har.) Dennis, 1962</v>
      </c>
      <c r="AH6750" s="4" t="str">
        <f>HYPERLINK("#Statut_biogéographique!A"&amp;_xlfn.XMATCH("P",Statut_biogéographique!A:A,2,1),"P")</f>
        <v>P</v>
      </c>
      <c r="AP6750" s="4" t="s">
        <v>376</v>
      </c>
      <c r="AR6750" s="4" t="s">
        <v>377</v>
      </c>
    </row>
    <row r="6751" spans="1:44" ht="30">
      <c r="A6751" s="4" t="s">
        <v>5</v>
      </c>
      <c r="B6751" s="4">
        <v>48247</v>
      </c>
      <c r="C6751" s="4">
        <v>1053</v>
      </c>
      <c r="D6751" s="5" t="s">
        <v>9534</v>
      </c>
      <c r="E6751" s="6" t="str">
        <f>HYPERLINK("https://inpn.mnhn.fr/espece/cd_nom/48247","Lachnellula occidentalis (G.G.Hahn &amp; Ayers) Dharne, 1965")</f>
        <v>Lachnellula occidentalis (G.G.Hahn &amp; Ayers) Dharne, 1965</v>
      </c>
      <c r="F6751" s="5" t="s">
        <v>9535</v>
      </c>
      <c r="AH6751" s="4" t="str">
        <f>HYPERLINK("#Statut_biogéographique!A"&amp;_xlfn.XMATCH("P",Statut_biogéographique!A:A,2,1),"P")</f>
        <v>P</v>
      </c>
      <c r="AP6751" s="4" t="s">
        <v>376</v>
      </c>
      <c r="AR6751" s="4" t="s">
        <v>377</v>
      </c>
    </row>
    <row r="6752" spans="1:44">
      <c r="A6752" s="4" t="s">
        <v>5</v>
      </c>
      <c r="B6752" s="4">
        <v>48249</v>
      </c>
      <c r="C6752" s="4">
        <v>6455</v>
      </c>
      <c r="D6752" s="5" t="s">
        <v>9536</v>
      </c>
      <c r="E6752" s="6" t="str">
        <f>HYPERLINK("https://inpn.mnhn.fr/espece/cd_nom/48249","Lachnellula laricis (Rehm) Dharne, 1965")</f>
        <v>Lachnellula laricis (Rehm) Dharne, 1965</v>
      </c>
      <c r="AH6752" s="4" t="str">
        <f>HYPERLINK("#Statut_biogéographique!A"&amp;_xlfn.XMATCH("P",Statut_biogéographique!A:A,2,1),"P")</f>
        <v>P</v>
      </c>
      <c r="AP6752" s="4" t="s">
        <v>376</v>
      </c>
      <c r="AR6752" s="4" t="s">
        <v>377</v>
      </c>
    </row>
    <row r="6753" spans="1:44" ht="30">
      <c r="A6753" s="4" t="s">
        <v>5</v>
      </c>
      <c r="B6753" s="4">
        <v>48258</v>
      </c>
      <c r="C6753" s="4">
        <v>5455</v>
      </c>
      <c r="D6753" s="5" t="s">
        <v>9537</v>
      </c>
      <c r="E6753" s="6" t="str">
        <f>HYPERLINK("https://inpn.mnhn.fr/espece/cd_nom/48258","Lachnellula resinaria (Cooke &amp; W.Phillips) Rehm, 1893")</f>
        <v>Lachnellula resinaria (Cooke &amp; W.Phillips) Rehm, 1893</v>
      </c>
      <c r="F6753" s="5" t="s">
        <v>9538</v>
      </c>
      <c r="AH6753" s="4" t="str">
        <f>HYPERLINK("#Statut_biogéographique!A"&amp;_xlfn.XMATCH("P",Statut_biogéographique!A:A,2,1),"P")</f>
        <v>P</v>
      </c>
      <c r="AP6753" s="4" t="s">
        <v>376</v>
      </c>
      <c r="AR6753" s="4" t="s">
        <v>377</v>
      </c>
    </row>
    <row r="6754" spans="1:44">
      <c r="A6754" s="4" t="s">
        <v>5</v>
      </c>
      <c r="B6754" s="4">
        <v>48262</v>
      </c>
      <c r="C6754" s="4">
        <v>1336</v>
      </c>
      <c r="D6754" s="5" t="s">
        <v>9539</v>
      </c>
      <c r="E6754" s="6" t="str">
        <f>HYPERLINK("https://inpn.mnhn.fr/espece/cd_nom/48262","Lachnellula subtilissima (Cooke) Dennis, 1962")</f>
        <v>Lachnellula subtilissima (Cooke) Dennis, 1962</v>
      </c>
      <c r="AH6754" s="4" t="str">
        <f>HYPERLINK("#Statut_biogéographique!A"&amp;_xlfn.XMATCH("P",Statut_biogéographique!A:A,2,1),"P")</f>
        <v>P</v>
      </c>
      <c r="AP6754" s="4" t="s">
        <v>376</v>
      </c>
      <c r="AR6754" s="4" t="s">
        <v>377</v>
      </c>
    </row>
    <row r="6755" spans="1:44" ht="30">
      <c r="A6755" s="4" t="s">
        <v>5</v>
      </c>
      <c r="B6755" s="4">
        <v>48265</v>
      </c>
      <c r="C6755" s="4">
        <v>5575</v>
      </c>
      <c r="D6755" s="5" t="s">
        <v>9540</v>
      </c>
      <c r="E6755" s="6" t="str">
        <f>HYPERLINK("https://inpn.mnhn.fr/espece/cd_nom/48265","Lachnellula suecica (de Bary ex Fuckel) Nannf., 1953")</f>
        <v>Lachnellula suecica (de Bary ex Fuckel) Nannf., 1953</v>
      </c>
      <c r="AH6755" s="4" t="str">
        <f>HYPERLINK("#Statut_biogéographique!A"&amp;_xlfn.XMATCH("P",Statut_biogéographique!A:A,2,1),"P")</f>
        <v>P</v>
      </c>
      <c r="AP6755" s="4" t="s">
        <v>376</v>
      </c>
      <c r="AR6755" s="4" t="s">
        <v>377</v>
      </c>
    </row>
    <row r="6756" spans="1:44" ht="30">
      <c r="A6756" s="4" t="s">
        <v>5</v>
      </c>
      <c r="B6756" s="4">
        <v>48269</v>
      </c>
      <c r="C6756" s="4">
        <v>1198</v>
      </c>
      <c r="D6756" s="5" t="s">
        <v>9541</v>
      </c>
      <c r="E6756" s="6" t="str">
        <f>HYPERLINK("https://inpn.mnhn.fr/espece/cd_nom/48269","Lachnellula willkommii (R.Hartig) Dennis, 1962")</f>
        <v>Lachnellula willkommii (R.Hartig) Dennis, 1962</v>
      </c>
      <c r="F6756" s="5" t="s">
        <v>9542</v>
      </c>
      <c r="AH6756" s="4" t="str">
        <f>HYPERLINK("#Statut_biogéographique!A"&amp;_xlfn.XMATCH("P",Statut_biogéographique!A:A,2,1),"P")</f>
        <v>P</v>
      </c>
      <c r="AP6756" s="4" t="s">
        <v>376</v>
      </c>
      <c r="AR6756" s="4" t="s">
        <v>377</v>
      </c>
    </row>
    <row r="6757" spans="1:44">
      <c r="A6757" s="4" t="s">
        <v>5</v>
      </c>
      <c r="B6757" s="4">
        <v>48281</v>
      </c>
      <c r="C6757" s="4">
        <v>6329</v>
      </c>
      <c r="D6757" s="5" t="s">
        <v>9543</v>
      </c>
      <c r="E6757" s="6" t="str">
        <f>HYPERLINK("https://inpn.mnhn.fr/espece/cd_nom/48281","Lachnum imbecille P.Karst., 1871")</f>
        <v>Lachnum imbecille P.Karst., 1871</v>
      </c>
      <c r="AH6757" s="4" t="str">
        <f>HYPERLINK("#Statut_biogéographique!A"&amp;_xlfn.XMATCH("P",Statut_biogéographique!A:A,2,1),"P")</f>
        <v>P</v>
      </c>
      <c r="AP6757" s="4" t="s">
        <v>376</v>
      </c>
      <c r="AR6757" s="4" t="s">
        <v>377</v>
      </c>
    </row>
    <row r="6758" spans="1:44">
      <c r="A6758" s="4" t="s">
        <v>5</v>
      </c>
      <c r="B6758" s="4">
        <v>48285</v>
      </c>
      <c r="C6758" s="4">
        <v>5758</v>
      </c>
      <c r="D6758" s="5" t="s">
        <v>9544</v>
      </c>
      <c r="E6758" s="6" t="str">
        <f>HYPERLINK("https://inpn.mnhn.fr/espece/cd_nom/48285","Lachnum impudicum Baral, 1985")</f>
        <v>Lachnum impudicum Baral, 1985</v>
      </c>
      <c r="AH6758" s="4" t="str">
        <f>HYPERLINK("#Statut_biogéographique!A"&amp;_xlfn.XMATCH("P",Statut_biogéographique!A:A,2,1),"P")</f>
        <v>P</v>
      </c>
      <c r="AP6758" s="4" t="s">
        <v>376</v>
      </c>
      <c r="AR6758" s="4" t="s">
        <v>377</v>
      </c>
    </row>
    <row r="6759" spans="1:44">
      <c r="A6759" s="4" t="s">
        <v>5</v>
      </c>
      <c r="B6759" s="4">
        <v>48290</v>
      </c>
      <c r="C6759" s="4">
        <v>1107</v>
      </c>
      <c r="D6759" s="5" t="s">
        <v>9545</v>
      </c>
      <c r="E6759" s="6" t="str">
        <f>HYPERLINK("https://inpn.mnhn.fr/espece/cd_nom/48290","Lachnum nudipes (Fuckel) Nannf., 1928")</f>
        <v>Lachnum nudipes (Fuckel) Nannf., 1928</v>
      </c>
      <c r="F6759" s="5" t="s">
        <v>9546</v>
      </c>
      <c r="V6759" s="7" t="str">
        <f>HYPERLINK("#Liste_rouge!A"&amp;_xlfn.XMATCH("DD",Liste_rouge!A:A,2,1),"DD")</f>
        <v>DD</v>
      </c>
      <c r="AH6759" s="4" t="str">
        <f>HYPERLINK("#Statut_biogéographique!A"&amp;_xlfn.XMATCH("P",Statut_biogéographique!A:A,2,1),"P")</f>
        <v>P</v>
      </c>
      <c r="AP6759" s="4" t="s">
        <v>376</v>
      </c>
      <c r="AR6759" s="4" t="s">
        <v>377</v>
      </c>
    </row>
    <row r="6760" spans="1:44" ht="45">
      <c r="A6760" s="4" t="s">
        <v>5</v>
      </c>
      <c r="B6760" s="4">
        <v>48310</v>
      </c>
      <c r="C6760" s="4">
        <v>4880</v>
      </c>
      <c r="D6760" s="5" t="s">
        <v>9547</v>
      </c>
      <c r="E6760" s="6" t="str">
        <f>HYPERLINK("https://inpn.mnhn.fr/espece/cd_nom/48310","Lachnum pygmaeum (Fr.) Bres., 1903")</f>
        <v>Lachnum pygmaeum (Fr.) Bres., 1903</v>
      </c>
      <c r="F6760" s="5" t="s">
        <v>9548</v>
      </c>
      <c r="V6760" s="7" t="str">
        <f>HYPERLINK("#Liste_rouge!A"&amp;_xlfn.XMATCH("DD",Liste_rouge!A:A,2,1),"DD")</f>
        <v>DD</v>
      </c>
      <c r="AH6760" s="4" t="str">
        <f>HYPERLINK("#Statut_biogéographique!A"&amp;_xlfn.XMATCH("P",Statut_biogéographique!A:A,2,1),"P")</f>
        <v>P</v>
      </c>
      <c r="AP6760" s="4" t="s">
        <v>376</v>
      </c>
      <c r="AR6760" s="4" t="s">
        <v>377</v>
      </c>
    </row>
    <row r="6761" spans="1:44">
      <c r="A6761" s="4" t="s">
        <v>5</v>
      </c>
      <c r="B6761" s="4">
        <v>48324</v>
      </c>
      <c r="C6761" s="4">
        <v>895</v>
      </c>
      <c r="D6761" s="5" t="s">
        <v>9549</v>
      </c>
      <c r="E6761" s="6" t="str">
        <f>HYPERLINK("https://inpn.mnhn.fr/espece/cd_nom/48324","Lachnum virgineum (Batsch) P.Karst., 1871")</f>
        <v>Lachnum virgineum (Batsch) P.Karst., 1871</v>
      </c>
      <c r="F6761" s="5" t="s">
        <v>9550</v>
      </c>
      <c r="V6761" s="7" t="str">
        <f>HYPERLINK("#Liste_rouge!A"&amp;_xlfn.XMATCH("LC",Liste_rouge!A:A,2,1),"LC")</f>
        <v>LC</v>
      </c>
      <c r="AH6761" s="4" t="str">
        <f>HYPERLINK("#Statut_biogéographique!A"&amp;_xlfn.XMATCH("P",Statut_biogéographique!A:A,2,1),"P")</f>
        <v>P</v>
      </c>
      <c r="AP6761" s="4" t="s">
        <v>376</v>
      </c>
      <c r="AR6761" s="4" t="s">
        <v>377</v>
      </c>
    </row>
    <row r="6762" spans="1:44" ht="30">
      <c r="A6762" s="4" t="s">
        <v>5</v>
      </c>
      <c r="B6762" s="4">
        <v>48340</v>
      </c>
      <c r="C6762" s="4">
        <v>3818</v>
      </c>
      <c r="D6762" s="5" t="s">
        <v>9551</v>
      </c>
      <c r="E6762" s="6" t="str">
        <f>HYPERLINK("https://inpn.mnhn.fr/espece/cd_nom/48340","Octospora ascoboloides (Seaver) Caillet &amp; Moyne, 1980")</f>
        <v>Octospora ascoboloides (Seaver) Caillet &amp; Moyne, 1980</v>
      </c>
      <c r="AH6762" s="4" t="str">
        <f>HYPERLINK("#Statut_biogéographique!A"&amp;_xlfn.XMATCH("P",Statut_biogéographique!A:A,2,1),"P")</f>
        <v>P</v>
      </c>
      <c r="AP6762" s="4" t="s">
        <v>376</v>
      </c>
      <c r="AR6762" s="4" t="s">
        <v>377</v>
      </c>
    </row>
    <row r="6763" spans="1:44" ht="30">
      <c r="A6763" s="4" t="s">
        <v>5</v>
      </c>
      <c r="B6763" s="4">
        <v>48344</v>
      </c>
      <c r="C6763" s="4">
        <v>3808</v>
      </c>
      <c r="D6763" s="5" t="s">
        <v>9552</v>
      </c>
      <c r="E6763" s="6" t="str">
        <f>HYPERLINK("https://inpn.mnhn.fr/espece/cd_nom/48344","Octospora biannulata (Beauseign.) Caillet &amp; Moyne, 1980")</f>
        <v>Octospora biannulata (Beauseign.) Caillet &amp; Moyne, 1980</v>
      </c>
      <c r="AH6763" s="4" t="str">
        <f>HYPERLINK("#Statut_biogéographique!A"&amp;_xlfn.XMATCH("P",Statut_biogéographique!A:A,2,1),"P")</f>
        <v>P</v>
      </c>
      <c r="AP6763" s="4" t="s">
        <v>376</v>
      </c>
      <c r="AR6763" s="4" t="s">
        <v>377</v>
      </c>
    </row>
    <row r="6764" spans="1:44">
      <c r="A6764" s="4" t="s">
        <v>5</v>
      </c>
      <c r="B6764" s="4">
        <v>48345</v>
      </c>
      <c r="C6764" s="4">
        <v>4208</v>
      </c>
      <c r="D6764" s="5" t="s">
        <v>9553</v>
      </c>
      <c r="E6764" s="6" t="str">
        <f>HYPERLINK("https://inpn.mnhn.fr/espece/cd_nom/48345","Lamprospora cailletii Benkert, 1987")</f>
        <v>Lamprospora cailletii Benkert, 1987</v>
      </c>
      <c r="AH6764" s="4" t="str">
        <f>HYPERLINK("#Statut_biogéographique!A"&amp;_xlfn.XMATCH("P",Statut_biogéographique!A:A,2,1),"P")</f>
        <v>P</v>
      </c>
      <c r="AP6764" s="4" t="s">
        <v>376</v>
      </c>
      <c r="AR6764" s="4" t="s">
        <v>377</v>
      </c>
    </row>
    <row r="6765" spans="1:44">
      <c r="A6765" s="4" t="s">
        <v>5</v>
      </c>
      <c r="B6765" s="4">
        <v>48347</v>
      </c>
      <c r="C6765" s="4">
        <v>4209</v>
      </c>
      <c r="D6765" s="5" t="s">
        <v>9554</v>
      </c>
      <c r="E6765" s="6" t="str">
        <f>HYPERLINK("https://inpn.mnhn.fr/espece/cd_nom/48347","Lamprospora dicranellae Benkert, 1987")</f>
        <v>Lamprospora dicranellae Benkert, 1987</v>
      </c>
      <c r="AH6765" s="4" t="str">
        <f>HYPERLINK("#Statut_biogéographique!A"&amp;_xlfn.XMATCH("P",Statut_biogéographique!A:A,2,1),"P")</f>
        <v>P</v>
      </c>
      <c r="AP6765" s="4" t="s">
        <v>376</v>
      </c>
      <c r="AR6765" s="4" t="s">
        <v>377</v>
      </c>
    </row>
    <row r="6766" spans="1:44" ht="30">
      <c r="A6766" s="4" t="s">
        <v>5</v>
      </c>
      <c r="B6766" s="4">
        <v>48350</v>
      </c>
      <c r="C6766" s="4">
        <v>3817</v>
      </c>
      <c r="D6766" s="5" t="s">
        <v>9555</v>
      </c>
      <c r="E6766" s="6" t="str">
        <f>HYPERLINK("https://inpn.mnhn.fr/espece/cd_nom/48350","Octospora dictydiola (Boud.) Caillet &amp; Moyne, 1980")</f>
        <v>Octospora dictydiola (Boud.) Caillet &amp; Moyne, 1980</v>
      </c>
      <c r="AH6766" s="4" t="str">
        <f>HYPERLINK("#Statut_biogéographique!A"&amp;_xlfn.XMATCH("P",Statut_biogéographique!A:A,2,1),"P")</f>
        <v>P</v>
      </c>
      <c r="AP6766" s="4" t="s">
        <v>376</v>
      </c>
      <c r="AR6766" s="4" t="s">
        <v>377</v>
      </c>
    </row>
    <row r="6767" spans="1:44" ht="30">
      <c r="A6767" s="4" t="s">
        <v>5</v>
      </c>
      <c r="B6767" s="4">
        <v>48364</v>
      </c>
      <c r="D6767" s="5" t="s">
        <v>9556</v>
      </c>
      <c r="E6767" s="6" t="str">
        <f>HYPERLINK("https://inpn.mnhn.fr/espece/cd_nom/48364","Lamprospora miniata De Not., 1863")</f>
        <v>Lamprospora miniata De Not., 1863</v>
      </c>
      <c r="AH6767" s="4" t="str">
        <f>HYPERLINK("#Statut_biogéographique!A"&amp;_xlfn.XMATCH("P",Statut_biogéographique!A:A,2,1),"P")</f>
        <v>P</v>
      </c>
      <c r="AP6767" s="4" t="s">
        <v>376</v>
      </c>
      <c r="AR6767" s="4" t="s">
        <v>377</v>
      </c>
    </row>
    <row r="6768" spans="1:44">
      <c r="A6768" s="4" t="s">
        <v>5</v>
      </c>
      <c r="B6768" s="4">
        <v>48368</v>
      </c>
      <c r="C6768" s="4">
        <v>4212</v>
      </c>
      <c r="D6768" s="5" t="s">
        <v>9557</v>
      </c>
      <c r="E6768" s="6" t="str">
        <f>HYPERLINK("https://inpn.mnhn.fr/espece/cd_nom/48368","Lamprospora minuta (Velen.) Svrček, 1977")</f>
        <v>Lamprospora minuta (Velen.) Svrček, 1977</v>
      </c>
      <c r="AH6768" s="4" t="str">
        <f>HYPERLINK("#Statut_biogéographique!A"&amp;_xlfn.XMATCH("P",Statut_biogéographique!A:A,2,1),"P")</f>
        <v>P</v>
      </c>
      <c r="AP6768" s="4" t="s">
        <v>376</v>
      </c>
      <c r="AR6768" s="4" t="s">
        <v>377</v>
      </c>
    </row>
    <row r="6769" spans="1:44">
      <c r="A6769" s="4" t="s">
        <v>5</v>
      </c>
      <c r="B6769" s="4">
        <v>48369</v>
      </c>
      <c r="C6769" s="4">
        <v>4210</v>
      </c>
      <c r="D6769" s="5" t="s">
        <v>9558</v>
      </c>
      <c r="E6769" s="6" t="str">
        <f>HYPERLINK("https://inpn.mnhn.fr/espece/cd_nom/48369","Lamprospora moynei Benkert, 1987")</f>
        <v>Lamprospora moynei Benkert, 1987</v>
      </c>
      <c r="AH6769" s="4" t="str">
        <f>HYPERLINK("#Statut_biogéographique!A"&amp;_xlfn.XMATCH("P",Statut_biogéographique!A:A,2,1),"P")</f>
        <v>P</v>
      </c>
      <c r="AP6769" s="4" t="s">
        <v>376</v>
      </c>
      <c r="AR6769" s="4" t="s">
        <v>377</v>
      </c>
    </row>
    <row r="6770" spans="1:44">
      <c r="A6770" s="4" t="s">
        <v>5</v>
      </c>
      <c r="B6770" s="4">
        <v>48373</v>
      </c>
      <c r="C6770" s="4">
        <v>4214</v>
      </c>
      <c r="D6770" s="5" t="s">
        <v>9559</v>
      </c>
      <c r="E6770" s="6" t="str">
        <f>HYPERLINK("https://inpn.mnhn.fr/espece/cd_nom/48373","Lamprospora tortulae-ruralis Benkert, 1987")</f>
        <v>Lamprospora tortulae-ruralis Benkert, 1987</v>
      </c>
      <c r="AH6770" s="4" t="str">
        <f>HYPERLINK("#Statut_biogéographique!A"&amp;_xlfn.XMATCH("P",Statut_biogéographique!A:A,2,1),"P")</f>
        <v>P</v>
      </c>
      <c r="AP6770" s="4" t="s">
        <v>376</v>
      </c>
      <c r="AR6770" s="4" t="s">
        <v>377</v>
      </c>
    </row>
    <row r="6771" spans="1:44" ht="30">
      <c r="A6771" s="4" t="s">
        <v>5</v>
      </c>
      <c r="B6771" s="4">
        <v>48381</v>
      </c>
      <c r="C6771" s="4">
        <v>5761</v>
      </c>
      <c r="D6771" s="5" t="s">
        <v>9560</v>
      </c>
      <c r="E6771" s="6" t="str">
        <f>HYPERLINK("https://inpn.mnhn.fr/espece/cd_nom/48381","Lasiobelonium variegatum (Fuckel) Raitv., 1980")</f>
        <v>Lasiobelonium variegatum (Fuckel) Raitv., 1980</v>
      </c>
      <c r="AH6771" s="4" t="str">
        <f>HYPERLINK("#Statut_biogéographique!A"&amp;_xlfn.XMATCH("P",Statut_biogéographique!A:A,2,1),"P")</f>
        <v>P</v>
      </c>
      <c r="AP6771" s="4" t="s">
        <v>376</v>
      </c>
      <c r="AR6771" s="4" t="s">
        <v>377</v>
      </c>
    </row>
    <row r="6772" spans="1:44">
      <c r="A6772" s="4" t="s">
        <v>5</v>
      </c>
      <c r="B6772" s="4">
        <v>48392</v>
      </c>
      <c r="C6772" s="4">
        <v>3956</v>
      </c>
      <c r="D6772" s="5" t="s">
        <v>9561</v>
      </c>
      <c r="E6772" s="6" t="str">
        <f>HYPERLINK("https://inpn.mnhn.fr/espece/cd_nom/48392","Lasiobolus ruber (Quél.) Sacc., 1889")</f>
        <v>Lasiobolus ruber (Quél.) Sacc., 1889</v>
      </c>
      <c r="AH6772" s="4" t="str">
        <f>HYPERLINK("#Statut_biogéographique!A"&amp;_xlfn.XMATCH("P",Statut_biogéographique!A:A,2,1),"P")</f>
        <v>P</v>
      </c>
      <c r="AP6772" s="4" t="s">
        <v>376</v>
      </c>
      <c r="AR6772" s="4" t="s">
        <v>377</v>
      </c>
    </row>
    <row r="6773" spans="1:44" ht="30">
      <c r="A6773" s="4" t="s">
        <v>5</v>
      </c>
      <c r="B6773" s="4">
        <v>48396</v>
      </c>
      <c r="D6773" s="5" t="s">
        <v>9562</v>
      </c>
      <c r="E6773" s="6" t="str">
        <f>HYPERLINK("https://inpn.mnhn.fr/espece/cd_nom/48396","Lasiosphaeria hirsuta (Fr.) Ces. &amp; De Not., 1863")</f>
        <v>Lasiosphaeria hirsuta (Fr.) Ces. &amp; De Not., 1863</v>
      </c>
      <c r="AH6773" s="4" t="str">
        <f>HYPERLINK("#Statut_biogéographique!A"&amp;_xlfn.XMATCH("P",Statut_biogéographique!A:A,2,1),"P")</f>
        <v>P</v>
      </c>
      <c r="AP6773" s="4" t="s">
        <v>376</v>
      </c>
      <c r="AR6773" s="4" t="s">
        <v>377</v>
      </c>
    </row>
    <row r="6774" spans="1:44" ht="30">
      <c r="A6774" s="4" t="s">
        <v>5</v>
      </c>
      <c r="B6774" s="4">
        <v>48397</v>
      </c>
      <c r="C6774" s="4">
        <v>2719</v>
      </c>
      <c r="D6774" s="5" t="s">
        <v>9563</v>
      </c>
      <c r="E6774" s="6" t="str">
        <f>HYPERLINK("https://inpn.mnhn.fr/espece/cd_nom/48397","Lasiosphaeria ovina (Pers.) Ces. &amp; De Not., 1863")</f>
        <v>Lasiosphaeria ovina (Pers.) Ces. &amp; De Not., 1863</v>
      </c>
      <c r="AH6774" s="4" t="str">
        <f>HYPERLINK("#Statut_biogéographique!A"&amp;_xlfn.XMATCH("P",Statut_biogéographique!A:A,2,1),"P")</f>
        <v>P</v>
      </c>
      <c r="AP6774" s="4" t="s">
        <v>376</v>
      </c>
      <c r="AR6774" s="4" t="s">
        <v>377</v>
      </c>
    </row>
    <row r="6775" spans="1:44" ht="30">
      <c r="A6775" s="4" t="s">
        <v>5</v>
      </c>
      <c r="B6775" s="4">
        <v>48399</v>
      </c>
      <c r="C6775" s="4">
        <v>606</v>
      </c>
      <c r="D6775" s="5" t="s">
        <v>9564</v>
      </c>
      <c r="E6775" s="6" t="str">
        <f>HYPERLINK("https://inpn.mnhn.fr/espece/cd_nom/48399","Lasiosphaeria spermoides (Hoffm.) Ces. &amp; De Not., 1863")</f>
        <v>Lasiosphaeria spermoides (Hoffm.) Ces. &amp; De Not., 1863</v>
      </c>
      <c r="AH6775" s="4" t="str">
        <f>HYPERLINK("#Statut_biogéographique!A"&amp;_xlfn.XMATCH("P",Statut_biogéographique!A:A,2,1),"P")</f>
        <v>P</v>
      </c>
      <c r="AP6775" s="4" t="s">
        <v>376</v>
      </c>
      <c r="AR6775" s="4" t="s">
        <v>377</v>
      </c>
    </row>
    <row r="6776" spans="1:44" ht="30">
      <c r="A6776" s="4" t="s">
        <v>5</v>
      </c>
      <c r="B6776" s="4">
        <v>48400</v>
      </c>
      <c r="C6776" s="4">
        <v>4296</v>
      </c>
      <c r="D6776" s="5" t="s">
        <v>9565</v>
      </c>
      <c r="E6776" s="6" t="str">
        <f>HYPERLINK("https://inpn.mnhn.fr/espece/cd_nom/48400","Lasiosphaeria strigosa (Alb. &amp; Schwein.) Sacc., 1883")</f>
        <v>Lasiosphaeria strigosa (Alb. &amp; Schwein.) Sacc., 1883</v>
      </c>
      <c r="AH6776" s="4" t="str">
        <f>HYPERLINK("#Statut_biogéographique!A"&amp;_xlfn.XMATCH("P",Statut_biogéographique!A:A,2,1),"P")</f>
        <v>P</v>
      </c>
      <c r="AP6776" s="4" t="s">
        <v>376</v>
      </c>
      <c r="AR6776" s="4" t="s">
        <v>377</v>
      </c>
    </row>
    <row r="6777" spans="1:44">
      <c r="A6777" s="4" t="s">
        <v>5</v>
      </c>
      <c r="B6777" s="4">
        <v>48405</v>
      </c>
      <c r="D6777" s="5">
        <v>48405</v>
      </c>
      <c r="E6777" s="6" t="str">
        <f>HYPERLINK("https://inpn.mnhn.fr/espece/cd_nom/48405","Leotia atrovirens Pers., 1822")</f>
        <v>Leotia atrovirens Pers., 1822</v>
      </c>
      <c r="V6777" s="7" t="str">
        <f>HYPERLINK("#Liste_rouge!A"&amp;_xlfn.XMATCH("DD",Liste_rouge!A:A,2,1),"DD")</f>
        <v>DD</v>
      </c>
      <c r="AH6777" s="4" t="str">
        <f>HYPERLINK("#Statut_biogéographique!A"&amp;_xlfn.XMATCH("P",Statut_biogéographique!A:A,2,1),"P")</f>
        <v>P</v>
      </c>
      <c r="AP6777" s="4" t="s">
        <v>376</v>
      </c>
      <c r="AR6777" s="4" t="s">
        <v>377</v>
      </c>
    </row>
    <row r="6778" spans="1:44" ht="30">
      <c r="A6778" s="4" t="s">
        <v>5</v>
      </c>
      <c r="B6778" s="4">
        <v>48407</v>
      </c>
      <c r="D6778" s="5" t="s">
        <v>9566</v>
      </c>
      <c r="E6778" s="6" t="str">
        <f>HYPERLINK("https://inpn.mnhn.fr/espece/cd_nom/48407","Leotia lubrica (Scop.) Pers., 1794")</f>
        <v>Leotia lubrica (Scop.) Pers., 1794</v>
      </c>
      <c r="V6778" s="7" t="str">
        <f>HYPERLINK("#Liste_rouge!A"&amp;_xlfn.XMATCH("LC",Liste_rouge!A:A,2,1),"LC")</f>
        <v>LC</v>
      </c>
      <c r="AH6778" s="4" t="str">
        <f>HYPERLINK("#Statut_biogéographique!A"&amp;_xlfn.XMATCH("P",Statut_biogéographique!A:A,2,1),"P")</f>
        <v>P</v>
      </c>
      <c r="AP6778" s="4" t="s">
        <v>376</v>
      </c>
      <c r="AR6778" s="4" t="s">
        <v>377</v>
      </c>
    </row>
    <row r="6779" spans="1:44" ht="30">
      <c r="A6779" s="4" t="s">
        <v>5</v>
      </c>
      <c r="B6779" s="4">
        <v>48420</v>
      </c>
      <c r="D6779" s="5" t="s">
        <v>9567</v>
      </c>
      <c r="E6779" s="6" t="str">
        <f>HYPERLINK("https://inpn.mnhn.fr/espece/cd_nom/48420","Leptosphaeria acuta (Fuckel) P.Karst., 1873")</f>
        <v>Leptosphaeria acuta (Fuckel) P.Karst., 1873</v>
      </c>
      <c r="AH6779" s="4" t="str">
        <f>HYPERLINK("#Statut_biogéographique!A"&amp;_xlfn.XMATCH("P",Statut_biogéographique!A:A,2,1),"P")</f>
        <v>P</v>
      </c>
      <c r="AP6779" s="4" t="s">
        <v>376</v>
      </c>
      <c r="AR6779" s="4" t="s">
        <v>377</v>
      </c>
    </row>
    <row r="6780" spans="1:44" ht="30">
      <c r="A6780" s="4" t="s">
        <v>5</v>
      </c>
      <c r="B6780" s="4">
        <v>48421</v>
      </c>
      <c r="D6780" s="5" t="s">
        <v>9568</v>
      </c>
      <c r="E6780" s="6" t="str">
        <f>HYPERLINK("https://inpn.mnhn.fr/espece/cd_nom/48421","Leptosphaeria doliolum (Pers.) Ces. &amp; De Not., 1863")</f>
        <v>Leptosphaeria doliolum (Pers.) Ces. &amp; De Not., 1863</v>
      </c>
      <c r="AH6780" s="4" t="str">
        <f>HYPERLINK("#Statut_biogéographique!A"&amp;_xlfn.XMATCH("P",Statut_biogéographique!A:A,2,1),"P")</f>
        <v>P</v>
      </c>
      <c r="AP6780" s="4" t="s">
        <v>376</v>
      </c>
      <c r="AR6780" s="4" t="s">
        <v>377</v>
      </c>
    </row>
    <row r="6781" spans="1:44" ht="30">
      <c r="A6781" s="4" t="s">
        <v>5</v>
      </c>
      <c r="B6781" s="4">
        <v>48438</v>
      </c>
      <c r="D6781" s="5" t="s">
        <v>9569</v>
      </c>
      <c r="E6781" s="6" t="str">
        <f>HYPERLINK("https://inpn.mnhn.fr/espece/cd_nom/48438","Leucoscypha leucotricha (Alb. &amp; Schwein.) Boud., 1907")</f>
        <v>Leucoscypha leucotricha (Alb. &amp; Schwein.) Boud., 1907</v>
      </c>
      <c r="AH6781" s="4" t="str">
        <f>HYPERLINK("#Statut_biogéographique!A"&amp;_xlfn.XMATCH("P",Statut_biogéographique!A:A,2,1),"P")</f>
        <v>P</v>
      </c>
      <c r="AP6781" s="4" t="s">
        <v>376</v>
      </c>
      <c r="AR6781" s="4" t="s">
        <v>377</v>
      </c>
    </row>
    <row r="6782" spans="1:44" ht="30">
      <c r="A6782" s="4" t="s">
        <v>5</v>
      </c>
      <c r="B6782" s="4">
        <v>48460</v>
      </c>
      <c r="D6782" s="5" t="s">
        <v>9570</v>
      </c>
      <c r="E6782" s="6" t="str">
        <f>HYPERLINK("https://inpn.mnhn.fr/espece/cd_nom/48460","Lophodermium juniperinum (Fr.) De Not., 1847")</f>
        <v>Lophodermium juniperinum (Fr.) De Not., 1847</v>
      </c>
      <c r="AH6782" s="4" t="str">
        <f>HYPERLINK("#Statut_biogéographique!A"&amp;_xlfn.XMATCH("P",Statut_biogéographique!A:A,2,1),"P")</f>
        <v>P</v>
      </c>
      <c r="AP6782" s="4" t="s">
        <v>376</v>
      </c>
      <c r="AR6782" s="4" t="s">
        <v>377</v>
      </c>
    </row>
    <row r="6783" spans="1:44" ht="30">
      <c r="A6783" s="4" t="s">
        <v>5</v>
      </c>
      <c r="B6783" s="4">
        <v>48464</v>
      </c>
      <c r="D6783" s="5" t="s">
        <v>9571</v>
      </c>
      <c r="E6783" s="6" t="str">
        <f>HYPERLINK("https://inpn.mnhn.fr/espece/cd_nom/48464","Lophodermium pinastri (Schrad.) Chevall., 1826")</f>
        <v>Lophodermium pinastri (Schrad.) Chevall., 1826</v>
      </c>
      <c r="F6783" s="5" t="s">
        <v>9572</v>
      </c>
      <c r="AH6783" s="4" t="str">
        <f>HYPERLINK("#Statut_biogéographique!A"&amp;_xlfn.XMATCH("P",Statut_biogéographique!A:A,2,1),"P")</f>
        <v>P</v>
      </c>
      <c r="AP6783" s="4" t="s">
        <v>376</v>
      </c>
      <c r="AR6783" s="4" t="s">
        <v>377</v>
      </c>
    </row>
    <row r="6784" spans="1:44" ht="30">
      <c r="A6784" s="4" t="s">
        <v>5</v>
      </c>
      <c r="B6784" s="4">
        <v>48485</v>
      </c>
      <c r="D6784" s="5" t="s">
        <v>9573</v>
      </c>
      <c r="E6784" s="6" t="str">
        <f>HYPERLINK("https://inpn.mnhn.fr/espece/cd_nom/48485","Melanomma pulvis-pyrius (Pers.) Fuckel, 1870")</f>
        <v>Melanomma pulvis-pyrius (Pers.) Fuckel, 1870</v>
      </c>
      <c r="AH6784" s="4" t="str">
        <f>HYPERLINK("#Statut_biogéographique!A"&amp;_xlfn.XMATCH("P",Statut_biogéographique!A:A,2,1),"P")</f>
        <v>P</v>
      </c>
      <c r="AP6784" s="4" t="s">
        <v>376</v>
      </c>
      <c r="AR6784" s="4" t="s">
        <v>377</v>
      </c>
    </row>
    <row r="6785" spans="1:44">
      <c r="A6785" s="4" t="s">
        <v>5</v>
      </c>
      <c r="B6785" s="4">
        <v>48505</v>
      </c>
      <c r="D6785" s="5">
        <v>48505</v>
      </c>
      <c r="E6785" s="6" t="str">
        <f>HYPERLINK("https://inpn.mnhn.fr/espece/cd_nom/48505","Microglossum fuscorubens Boud., 1907")</f>
        <v>Microglossum fuscorubens Boud., 1907</v>
      </c>
      <c r="AH6785" s="4" t="str">
        <f>HYPERLINK("#Statut_biogéographique!A"&amp;_xlfn.XMATCH("P",Statut_biogéographique!A:A,2,1),"P")</f>
        <v>P</v>
      </c>
      <c r="AP6785" s="4" t="s">
        <v>376</v>
      </c>
      <c r="AR6785" s="4" t="s">
        <v>377</v>
      </c>
    </row>
    <row r="6786" spans="1:44">
      <c r="A6786" s="4" t="s">
        <v>5</v>
      </c>
      <c r="B6786" s="4">
        <v>48513</v>
      </c>
      <c r="D6786" s="5" t="s">
        <v>9574</v>
      </c>
      <c r="E6786" s="6" t="str">
        <f>HYPERLINK("https://inpn.mnhn.fr/espece/cd_nom/48513","Microglossum rufescens (Grelet) Bon, 1970")</f>
        <v>Microglossum rufescens (Grelet) Bon, 1970</v>
      </c>
      <c r="AH6786" s="4" t="str">
        <f>HYPERLINK("#Statut_biogéographique!A"&amp;_xlfn.XMATCH("P",Statut_biogéographique!A:A,2,1),"P")</f>
        <v>P</v>
      </c>
      <c r="AP6786" s="4" t="s">
        <v>376</v>
      </c>
      <c r="AR6786" s="4" t="s">
        <v>377</v>
      </c>
    </row>
    <row r="6787" spans="1:44" ht="30">
      <c r="A6787" s="4" t="s">
        <v>5</v>
      </c>
      <c r="B6787" s="4">
        <v>48520</v>
      </c>
      <c r="D6787" s="5" t="s">
        <v>9575</v>
      </c>
      <c r="E6787" s="6" t="str">
        <f>HYPERLINK("https://inpn.mnhn.fr/espece/cd_nom/48520","Microglossum viride (Schrad. ex J.F.Gmel.) Gillet, 1879")</f>
        <v>Microglossum viride (Schrad. ex J.F.Gmel.) Gillet, 1879</v>
      </c>
      <c r="V6787" s="7" t="str">
        <f>HYPERLINK("#Liste_rouge!A"&amp;_xlfn.XMATCH("VU",Liste_rouge!A:A,2,1),"VU")</f>
        <v>VU</v>
      </c>
      <c r="W6787" s="4" t="str">
        <f>HYPERLINK("#Critères_liste_rouge!A$1","B2abiii")</f>
        <v>B2abiii</v>
      </c>
      <c r="AH6787" s="4" t="str">
        <f>HYPERLINK("#Statut_biogéographique!A"&amp;_xlfn.XMATCH("P",Statut_biogéographique!A:A,2,1),"P")</f>
        <v>P</v>
      </c>
      <c r="AP6787" s="4" t="s">
        <v>376</v>
      </c>
      <c r="AR6787" s="4" t="s">
        <v>377</v>
      </c>
    </row>
    <row r="6788" spans="1:44" ht="75">
      <c r="A6788" s="4" t="s">
        <v>5</v>
      </c>
      <c r="B6788" s="4">
        <v>48547</v>
      </c>
      <c r="D6788" s="5" t="s">
        <v>9576</v>
      </c>
      <c r="E6788" s="6" t="str">
        <f>HYPERLINK("https://inpn.mnhn.fr/espece/cd_nom/48547","Morchella semilibera DC., 1805")</f>
        <v>Morchella semilibera DC., 1805</v>
      </c>
      <c r="F6788" s="5" t="s">
        <v>1828</v>
      </c>
      <c r="V6788" s="7" t="str">
        <f>HYPERLINK("#Liste_rouge!A"&amp;_xlfn.XMATCH("DD",Liste_rouge!A:A,2,1),"DD (cd_nom 48676) - NT (cd_nom 48543)")</f>
        <v>DD (cd_nom 48676) - NT (cd_nom 48543)</v>
      </c>
      <c r="AH6788" s="4" t="str">
        <f>HYPERLINK("#Statut_biogéographique!A"&amp;_xlfn.XMATCH("P",Statut_biogéographique!A:A,2,1),"P")</f>
        <v>P</v>
      </c>
      <c r="AP6788" s="4" t="s">
        <v>376</v>
      </c>
      <c r="AR6788" s="4" t="s">
        <v>377</v>
      </c>
    </row>
    <row r="6789" spans="1:44">
      <c r="A6789" s="4" t="s">
        <v>5</v>
      </c>
      <c r="B6789" s="4">
        <v>48551</v>
      </c>
      <c r="D6789" s="5" t="s">
        <v>9577</v>
      </c>
      <c r="E6789" s="6" t="str">
        <f>HYPERLINK("https://inpn.mnhn.fr/espece/cd_nom/48551","Mitrula paludosa Fr., 1816")</f>
        <v>Mitrula paludosa Fr., 1816</v>
      </c>
      <c r="F6789" s="5" t="s">
        <v>3161</v>
      </c>
      <c r="V6789" s="7" t="str">
        <f>HYPERLINK("#Liste_rouge!A"&amp;_xlfn.XMATCH("NT",Liste_rouge!A:A,2,1),"NT")</f>
        <v>NT</v>
      </c>
      <c r="W6789" s="4" t="str">
        <f>HYPERLINK("#Critères_liste_rouge!A$1","pr. A2c")</f>
        <v>pr. A2c</v>
      </c>
      <c r="AH6789" s="4" t="str">
        <f>HYPERLINK("#Statut_biogéographique!A"&amp;_xlfn.XMATCH("P",Statut_biogéographique!A:A,2,1),"P")</f>
        <v>P</v>
      </c>
      <c r="AP6789" s="4" t="s">
        <v>376</v>
      </c>
      <c r="AR6789" s="4" t="s">
        <v>377</v>
      </c>
    </row>
    <row r="6790" spans="1:44">
      <c r="A6790" s="4" t="s">
        <v>5</v>
      </c>
      <c r="B6790" s="4">
        <v>48562</v>
      </c>
      <c r="D6790" s="5" t="s">
        <v>9578</v>
      </c>
      <c r="E6790" s="6" t="str">
        <f>HYPERLINK("https://inpn.mnhn.fr/espece/cd_nom/48562","Mniaecia jungermanniae (Fr.) Boud., 1907")</f>
        <v>Mniaecia jungermanniae (Fr.) Boud., 1907</v>
      </c>
      <c r="AH6790" s="4" t="str">
        <f>HYPERLINK("#Statut_biogéographique!A"&amp;_xlfn.XMATCH("P",Statut_biogéographique!A:A,2,1),"P")</f>
        <v>P</v>
      </c>
      <c r="AP6790" s="4" t="s">
        <v>376</v>
      </c>
      <c r="AR6790" s="4" t="s">
        <v>377</v>
      </c>
    </row>
    <row r="6791" spans="1:44" ht="30">
      <c r="A6791" s="4" t="s">
        <v>5</v>
      </c>
      <c r="B6791" s="4">
        <v>48565</v>
      </c>
      <c r="D6791" s="5" t="s">
        <v>9579</v>
      </c>
      <c r="E6791" s="6" t="str">
        <f>HYPERLINK("https://inpn.mnhn.fr/espece/cd_nom/48565","Mniaecia nivea (P.Crouan &amp; H.Crouan) Boud., 1907")</f>
        <v>Mniaecia nivea (P.Crouan &amp; H.Crouan) Boud., 1907</v>
      </c>
      <c r="AH6791" s="4" t="str">
        <f>HYPERLINK("#Statut_biogéographique!A"&amp;_xlfn.XMATCH("P",Statut_biogéographique!A:A,2,1),"P")</f>
        <v>P</v>
      </c>
      <c r="AP6791" s="4" t="s">
        <v>376</v>
      </c>
      <c r="AR6791" s="4" t="s">
        <v>377</v>
      </c>
    </row>
    <row r="6792" spans="1:44">
      <c r="A6792" s="4" t="s">
        <v>5</v>
      </c>
      <c r="B6792" s="4">
        <v>48580</v>
      </c>
      <c r="D6792" s="5">
        <v>48580</v>
      </c>
      <c r="E6792" s="6" t="str">
        <f>HYPERLINK("https://inpn.mnhn.fr/espece/cd_nom/48580","Mollisia caerulans Quél., 1881")</f>
        <v>Mollisia caerulans Quél., 1881</v>
      </c>
      <c r="AH6792" s="4" t="str">
        <f>HYPERLINK("#Statut_biogéographique!A"&amp;_xlfn.XMATCH("P",Statut_biogéographique!A:A,2,1),"P")</f>
        <v>P</v>
      </c>
      <c r="AP6792" s="4" t="s">
        <v>376</v>
      </c>
      <c r="AR6792" s="4" t="s">
        <v>377</v>
      </c>
    </row>
    <row r="6793" spans="1:44">
      <c r="A6793" s="4" t="s">
        <v>5</v>
      </c>
      <c r="B6793" s="4">
        <v>48585</v>
      </c>
      <c r="D6793" s="5" t="s">
        <v>9580</v>
      </c>
      <c r="E6793" s="6" t="str">
        <f>HYPERLINK("https://inpn.mnhn.fr/espece/cd_nom/48585","Mollisia cinerea (Batsch) P.Karst., 1871")</f>
        <v>Mollisia cinerea (Batsch) P.Karst., 1871</v>
      </c>
      <c r="AH6793" s="4" t="str">
        <f>HYPERLINK("#Statut_biogéographique!A"&amp;_xlfn.XMATCH("P",Statut_biogéographique!A:A,2,1),"P")</f>
        <v>P</v>
      </c>
      <c r="AP6793" s="4" t="s">
        <v>376</v>
      </c>
      <c r="AR6793" s="4" t="s">
        <v>377</v>
      </c>
    </row>
    <row r="6794" spans="1:44" ht="30">
      <c r="A6794" s="4" t="s">
        <v>5</v>
      </c>
      <c r="B6794" s="4">
        <v>48591</v>
      </c>
      <c r="D6794" s="5" t="s">
        <v>9581</v>
      </c>
      <c r="E6794" s="6" t="str">
        <f>HYPERLINK("https://inpn.mnhn.fr/espece/cd_nom/48591","Mollisia discolor (Mont. &amp; Fr.) W.Phillips, 1887")</f>
        <v>Mollisia discolor (Mont. &amp; Fr.) W.Phillips, 1887</v>
      </c>
      <c r="AH6794" s="4" t="str">
        <f>HYPERLINK("#Statut_biogéographique!A"&amp;_xlfn.XMATCH("P",Statut_biogéographique!A:A,2,1),"P")</f>
        <v>P</v>
      </c>
      <c r="AP6794" s="4" t="s">
        <v>376</v>
      </c>
      <c r="AR6794" s="4" t="s">
        <v>377</v>
      </c>
    </row>
    <row r="6795" spans="1:44" ht="30">
      <c r="A6795" s="4" t="s">
        <v>5</v>
      </c>
      <c r="B6795" s="4">
        <v>48598</v>
      </c>
      <c r="D6795" s="5" t="s">
        <v>9582</v>
      </c>
      <c r="E6795" s="6" t="str">
        <f>HYPERLINK("https://inpn.mnhn.fr/espece/cd_nom/48598","Mollisia ligni (Desm.) P.Karst., 1871")</f>
        <v>Mollisia ligni (Desm.) P.Karst., 1871</v>
      </c>
      <c r="AH6795" s="4" t="str">
        <f>HYPERLINK("#Statut_biogéographique!A"&amp;_xlfn.XMATCH("P",Statut_biogéographique!A:A,2,1),"P")</f>
        <v>P</v>
      </c>
      <c r="AP6795" s="4" t="s">
        <v>376</v>
      </c>
      <c r="AR6795" s="4" t="s">
        <v>377</v>
      </c>
    </row>
    <row r="6796" spans="1:44">
      <c r="A6796" s="4" t="s">
        <v>5</v>
      </c>
      <c r="B6796" s="4">
        <v>48601</v>
      </c>
      <c r="D6796" s="5" t="s">
        <v>9583</v>
      </c>
      <c r="E6796" s="6" t="str">
        <f>HYPERLINK("https://inpn.mnhn.fr/espece/cd_nom/48601","Mollisia melaleuca (Fr.) Sacc., 1889")</f>
        <v>Mollisia melaleuca (Fr.) Sacc., 1889</v>
      </c>
      <c r="AH6796" s="4" t="str">
        <f>HYPERLINK("#Statut_biogéographique!A"&amp;_xlfn.XMATCH("P",Statut_biogéographique!A:A,2,1),"P")</f>
        <v>P</v>
      </c>
      <c r="AP6796" s="4" t="s">
        <v>376</v>
      </c>
      <c r="AR6796" s="4" t="s">
        <v>377</v>
      </c>
    </row>
    <row r="6797" spans="1:44">
      <c r="A6797" s="4" t="s">
        <v>5</v>
      </c>
      <c r="B6797" s="4">
        <v>48617</v>
      </c>
      <c r="D6797" s="5" t="s">
        <v>9584</v>
      </c>
      <c r="E6797" s="6" t="str">
        <f>HYPERLINK("https://inpn.mnhn.fr/espece/cd_nom/48617","Mollisia ventosa (P.Karst.) P.Karst., 1871")</f>
        <v>Mollisia ventosa (P.Karst.) P.Karst., 1871</v>
      </c>
      <c r="AH6797" s="4" t="str">
        <f>HYPERLINK("#Statut_biogéographique!A"&amp;_xlfn.XMATCH("P",Statut_biogéographique!A:A,2,1),"P")</f>
        <v>P</v>
      </c>
      <c r="AP6797" s="4" t="s">
        <v>376</v>
      </c>
      <c r="AR6797" s="4" t="s">
        <v>377</v>
      </c>
    </row>
    <row r="6798" spans="1:44">
      <c r="A6798" s="4" t="s">
        <v>5</v>
      </c>
      <c r="B6798" s="4">
        <v>48662</v>
      </c>
      <c r="D6798" s="5" t="s">
        <v>9585</v>
      </c>
      <c r="E6798" s="6" t="str">
        <f>HYPERLINK("https://inpn.mnhn.fr/espece/cd_nom/48662","Morchella conica Pers., 1818")</f>
        <v>Morchella conica Pers., 1818</v>
      </c>
      <c r="F6798" s="5" t="s">
        <v>9586</v>
      </c>
      <c r="V6798" s="7" t="str">
        <f>HYPERLINK("#Liste_rouge!A"&amp;_xlfn.XMATCH("LC",Liste_rouge!A:A,2,1),"LC")</f>
        <v>LC</v>
      </c>
      <c r="AH6798" s="4" t="str">
        <f>HYPERLINK("#Statut_biogéographique!A"&amp;_xlfn.XMATCH("P",Statut_biogéographique!A:A,2,1),"P")</f>
        <v>P</v>
      </c>
      <c r="AP6798" s="4" t="s">
        <v>376</v>
      </c>
      <c r="AR6798" s="4" t="s">
        <v>377</v>
      </c>
    </row>
    <row r="6799" spans="1:44" ht="30">
      <c r="A6799" s="4" t="s">
        <v>5</v>
      </c>
      <c r="B6799" s="4">
        <v>48683</v>
      </c>
      <c r="D6799" s="5" t="s">
        <v>9587</v>
      </c>
      <c r="E6799" s="6" t="str">
        <f>HYPERLINK("https://inpn.mnhn.fr/espece/cd_nom/48683","Morchella elata Fr., 1822")</f>
        <v>Morchella elata Fr., 1822</v>
      </c>
      <c r="F6799" s="5" t="s">
        <v>9588</v>
      </c>
      <c r="V6799" s="7" t="str">
        <f>HYPERLINK("#Liste_rouge!A"&amp;_xlfn.XMATCH("LC",Liste_rouge!A:A,2,1),"LC")</f>
        <v>LC</v>
      </c>
      <c r="AH6799" s="4" t="str">
        <f>HYPERLINK("#Statut_biogéographique!A"&amp;_xlfn.XMATCH("P",Statut_biogéographique!A:A,2,1),"P")</f>
        <v>P</v>
      </c>
      <c r="AP6799" s="4" t="s">
        <v>376</v>
      </c>
      <c r="AR6799" s="4" t="s">
        <v>377</v>
      </c>
    </row>
    <row r="6800" spans="1:44" ht="30">
      <c r="A6800" s="4" t="s">
        <v>5</v>
      </c>
      <c r="B6800" s="4">
        <v>48697</v>
      </c>
      <c r="D6800" s="5" t="s">
        <v>9589</v>
      </c>
      <c r="E6800" s="6" t="str">
        <f>HYPERLINK("https://inpn.mnhn.fr/espece/cd_nom/48697","Morchella esculenta var. rigida (Krombh.) I.R.Hall, P.K.Buchanan, Y.Wang &amp; Cole, 1998")</f>
        <v>Morchella esculenta var. rigida (Krombh.) I.R.Hall, P.K.Buchanan, Y.Wang &amp; Cole, 1998</v>
      </c>
      <c r="AH6800" s="4" t="str">
        <f>HYPERLINK("#Statut_biogéographique!A"&amp;_xlfn.XMATCH("P",Statut_biogéographique!A:A,2,1),"P")</f>
        <v>P</v>
      </c>
      <c r="AP6800" s="4" t="s">
        <v>376</v>
      </c>
      <c r="AR6800" s="4" t="s">
        <v>377</v>
      </c>
    </row>
    <row r="6801" spans="1:44">
      <c r="A6801" s="4" t="s">
        <v>5</v>
      </c>
      <c r="B6801" s="4">
        <v>48708</v>
      </c>
      <c r="D6801" s="5">
        <v>48708</v>
      </c>
      <c r="E6801" s="6" t="str">
        <f>HYPERLINK("https://inpn.mnhn.fr/espece/cd_nom/48708","Morchella hetieri Boud., 1903")</f>
        <v>Morchella hetieri Boud., 1903</v>
      </c>
      <c r="V6801" s="7" t="str">
        <f>HYPERLINK("#Liste_rouge!A"&amp;_xlfn.XMATCH("VU",Liste_rouge!A:A,2,1),"VU")</f>
        <v>VU</v>
      </c>
      <c r="W6801" s="4" t="str">
        <f>HYPERLINK("#Critères_liste_rouge!A$1","D2")</f>
        <v>D2</v>
      </c>
      <c r="AH6801" s="4" t="str">
        <f>HYPERLINK("#Statut_biogéographique!A"&amp;_xlfn.XMATCH("P",Statut_biogéographique!A:A,2,1),"P")</f>
        <v>P</v>
      </c>
      <c r="AP6801" s="4" t="s">
        <v>376</v>
      </c>
      <c r="AR6801" s="4" t="s">
        <v>377</v>
      </c>
    </row>
    <row r="6802" spans="1:44">
      <c r="A6802" s="4" t="s">
        <v>5</v>
      </c>
      <c r="B6802" s="4">
        <v>48714</v>
      </c>
      <c r="D6802" s="5" t="s">
        <v>9590</v>
      </c>
      <c r="E6802" s="6" t="str">
        <f>HYPERLINK("https://inpn.mnhn.fr/espece/cd_nom/48714","Morchella intermedia Boud., 1897")</f>
        <v>Morchella intermedia Boud., 1897</v>
      </c>
      <c r="V6802" s="7" t="str">
        <f>HYPERLINK("#Liste_rouge!A"&amp;_xlfn.XMATCH("DD",Liste_rouge!A:A,2,1),"DD")</f>
        <v>DD</v>
      </c>
      <c r="AH6802" s="4" t="str">
        <f>HYPERLINK("#Statut_biogéographique!A"&amp;_xlfn.XMATCH("P",Statut_biogéographique!A:A,2,1),"P")</f>
        <v>P</v>
      </c>
      <c r="AP6802" s="4" t="s">
        <v>376</v>
      </c>
      <c r="AR6802" s="4" t="s">
        <v>377</v>
      </c>
    </row>
    <row r="6803" spans="1:44">
      <c r="A6803" s="4" t="s">
        <v>5</v>
      </c>
      <c r="B6803" s="4">
        <v>48716</v>
      </c>
      <c r="D6803" s="5" t="s">
        <v>9591</v>
      </c>
      <c r="E6803" s="6" t="str">
        <f>HYPERLINK("https://inpn.mnhn.fr/espece/cd_nom/48716","Morchella olivea (Quél.) Sacc., 1895")</f>
        <v>Morchella olivea (Quél.) Sacc., 1895</v>
      </c>
      <c r="V6803" s="7" t="str">
        <f>HYPERLINK("#Liste_rouge!A"&amp;_xlfn.XMATCH("VU",Liste_rouge!A:A,2,1),"VU")</f>
        <v>VU</v>
      </c>
      <c r="W6803" s="4" t="str">
        <f>HYPERLINK("#Critères_liste_rouge!A$1","D2")</f>
        <v>D2</v>
      </c>
      <c r="AH6803" s="4" t="str">
        <f>HYPERLINK("#Statut_biogéographique!A"&amp;_xlfn.XMATCH("P",Statut_biogéographique!A:A,2,1),"P")</f>
        <v>P</v>
      </c>
      <c r="AP6803" s="4" t="s">
        <v>376</v>
      </c>
      <c r="AR6803" s="4" t="s">
        <v>377</v>
      </c>
    </row>
    <row r="6804" spans="1:44">
      <c r="A6804" s="4" t="s">
        <v>5</v>
      </c>
      <c r="B6804" s="4">
        <v>48732</v>
      </c>
      <c r="D6804" s="5" t="s">
        <v>9592</v>
      </c>
      <c r="E6804" s="6" t="str">
        <f>HYPERLINK("https://inpn.mnhn.fr/espece/cd_nom/48732","Morchella spongiola Boud., 1897")</f>
        <v>Morchella spongiola Boud., 1897</v>
      </c>
      <c r="V6804" s="7" t="str">
        <f>HYPERLINK("#Liste_rouge!A"&amp;_xlfn.XMATCH("DD",Liste_rouge!A:A,2,1),"DD")</f>
        <v>DD</v>
      </c>
      <c r="AH6804" s="4" t="str">
        <f>HYPERLINK("#Statut_biogéographique!A"&amp;_xlfn.XMATCH("P",Statut_biogéographique!A:A,2,1),"P")</f>
        <v>P</v>
      </c>
      <c r="AP6804" s="4" t="s">
        <v>376</v>
      </c>
      <c r="AR6804" s="4" t="s">
        <v>377</v>
      </c>
    </row>
    <row r="6805" spans="1:44" ht="30">
      <c r="A6805" s="4" t="s">
        <v>5</v>
      </c>
      <c r="B6805" s="4">
        <v>48765</v>
      </c>
      <c r="D6805" s="5" t="s">
        <v>9593</v>
      </c>
      <c r="E6805" s="6" t="str">
        <f>HYPERLINK("https://inpn.mnhn.fr/espece/cd_nom/48765","Nectria cinnabarina (Tode) Fr., 1849")</f>
        <v>Nectria cinnabarina (Tode) Fr., 1849</v>
      </c>
      <c r="V6805" s="7" t="str">
        <f>HYPERLINK("#Liste_rouge!A"&amp;_xlfn.XMATCH("LC",Liste_rouge!A:A,2,1),"LC")</f>
        <v>LC</v>
      </c>
      <c r="AH6805" s="4" t="str">
        <f>HYPERLINK("#Statut_biogéographique!A"&amp;_xlfn.XMATCH("P",Statut_biogéographique!A:A,2,1),"P")</f>
        <v>P</v>
      </c>
      <c r="AP6805" s="4" t="s">
        <v>376</v>
      </c>
      <c r="AR6805" s="4" t="s">
        <v>377</v>
      </c>
    </row>
    <row r="6806" spans="1:44" ht="30">
      <c r="A6806" s="4" t="s">
        <v>5</v>
      </c>
      <c r="B6806" s="4">
        <v>48793</v>
      </c>
      <c r="D6806" s="5" t="s">
        <v>9594</v>
      </c>
      <c r="E6806" s="6" t="str">
        <f>HYPERLINK("https://inpn.mnhn.fr/espece/cd_nom/48793","Nemania serpens (Pers.) Gray, 1821")</f>
        <v>Nemania serpens (Pers.) Gray, 1821</v>
      </c>
      <c r="V6806" s="7" t="str">
        <f>HYPERLINK("#Liste_rouge!A"&amp;_xlfn.XMATCH("LC",Liste_rouge!A:A,2,1),"LC")</f>
        <v>LC</v>
      </c>
      <c r="AH6806" s="4" t="str">
        <f>HYPERLINK("#Statut_biogéographique!A"&amp;_xlfn.XMATCH("P",Statut_biogéographique!A:A,2,1),"P")</f>
        <v>P</v>
      </c>
      <c r="AP6806" s="4" t="s">
        <v>376</v>
      </c>
      <c r="AR6806" s="4" t="s">
        <v>377</v>
      </c>
    </row>
    <row r="6807" spans="1:44">
      <c r="A6807" s="4" t="s">
        <v>5</v>
      </c>
      <c r="B6807" s="4">
        <v>48798</v>
      </c>
      <c r="D6807" s="5" t="s">
        <v>9595</v>
      </c>
      <c r="E6807" s="6" t="str">
        <f>HYPERLINK("https://inpn.mnhn.fr/espece/cd_nom/48798","Neobulgaria pura (Pers.) Petr., 1921")</f>
        <v>Neobulgaria pura (Pers.) Petr., 1921</v>
      </c>
      <c r="V6807" s="7" t="str">
        <f>HYPERLINK("#Liste_rouge!A"&amp;_xlfn.XMATCH("LC",Liste_rouge!A:A,2,1),"LC")</f>
        <v>LC</v>
      </c>
      <c r="AH6807" s="4" t="str">
        <f>HYPERLINK("#Statut_biogéographique!A"&amp;_xlfn.XMATCH("P",Statut_biogéographique!A:A,2,1),"P")</f>
        <v>P</v>
      </c>
      <c r="AP6807" s="4" t="s">
        <v>376</v>
      </c>
      <c r="AR6807" s="4" t="s">
        <v>377</v>
      </c>
    </row>
    <row r="6808" spans="1:44" ht="30">
      <c r="A6808" s="4" t="s">
        <v>5</v>
      </c>
      <c r="B6808" s="4">
        <v>48800</v>
      </c>
      <c r="D6808" s="5" t="s">
        <v>9596</v>
      </c>
      <c r="E6808" s="6" t="str">
        <f>HYPERLINK("https://inpn.mnhn.fr/espece/cd_nom/48800","Neobulgaria pura var. foliacea (Bres.) Dennis &amp; Gamundí, 1969")</f>
        <v>Neobulgaria pura var. foliacea (Bres.) Dennis &amp; Gamundí, 1969</v>
      </c>
      <c r="AH6808" s="4" t="str">
        <f>HYPERLINK("#Statut_biogéographique!A"&amp;_xlfn.XMATCH("P",Statut_biogéographique!A:A,2,1),"P")</f>
        <v>P</v>
      </c>
      <c r="AP6808" s="4" t="s">
        <v>376</v>
      </c>
      <c r="AR6808" s="4" t="s">
        <v>377</v>
      </c>
    </row>
    <row r="6809" spans="1:44">
      <c r="A6809" s="4" t="s">
        <v>5</v>
      </c>
      <c r="B6809" s="4">
        <v>48844</v>
      </c>
      <c r="D6809" s="5" t="s">
        <v>9597</v>
      </c>
      <c r="E6809" s="6" t="str">
        <f>HYPERLINK("https://inpn.mnhn.fr/espece/cd_nom/48844","Mollisia ramealis (P.Karst.) P.Karst., 1871")</f>
        <v>Mollisia ramealis (P.Karst.) P.Karst., 1871</v>
      </c>
      <c r="V6809" s="7" t="str">
        <f>HYPERLINK("#Liste_rouge!A"&amp;_xlfn.XMATCH("DD",Liste_rouge!A:A,2,1),"DD")</f>
        <v>DD</v>
      </c>
      <c r="AH6809" s="4" t="str">
        <f>HYPERLINK("#Statut_biogéographique!A"&amp;_xlfn.XMATCH("P",Statut_biogéographique!A:A,2,1),"P")</f>
        <v>P</v>
      </c>
      <c r="AP6809" s="4" t="s">
        <v>376</v>
      </c>
      <c r="AR6809" s="4" t="s">
        <v>377</v>
      </c>
    </row>
    <row r="6810" spans="1:44">
      <c r="A6810" s="4" t="s">
        <v>5</v>
      </c>
      <c r="B6810" s="4">
        <v>48846</v>
      </c>
      <c r="D6810" s="5" t="s">
        <v>9598</v>
      </c>
      <c r="E6810" s="6" t="str">
        <f>HYPERLINK("https://inpn.mnhn.fr/espece/cd_nom/48846","Nitschkia collapsa (Romell) Chenant., 1918")</f>
        <v>Nitschkia collapsa (Romell) Chenant., 1918</v>
      </c>
      <c r="AH6810" s="4" t="str">
        <f>HYPERLINK("#Statut_biogéographique!A"&amp;_xlfn.XMATCH("P",Statut_biogéographique!A:A,2,1),"P")</f>
        <v>P</v>
      </c>
      <c r="AP6810" s="4" t="s">
        <v>376</v>
      </c>
      <c r="AR6810" s="4" t="s">
        <v>377</v>
      </c>
    </row>
    <row r="6811" spans="1:44">
      <c r="A6811" s="4" t="s">
        <v>5</v>
      </c>
      <c r="B6811" s="4">
        <v>48875</v>
      </c>
      <c r="D6811" s="5" t="s">
        <v>9599</v>
      </c>
      <c r="E6811" s="6" t="str">
        <f>HYPERLINK("https://inpn.mnhn.fr/espece/cd_nom/48875","Octospora grimmiae Dennis &amp; Itzerott, 1973")</f>
        <v>Octospora grimmiae Dennis &amp; Itzerott, 1973</v>
      </c>
      <c r="AH6811" s="4" t="str">
        <f>HYPERLINK("#Statut_biogéographique!A"&amp;_xlfn.XMATCH("P",Statut_biogéographique!A:A,2,1),"P")</f>
        <v>P</v>
      </c>
      <c r="AP6811" s="4" t="s">
        <v>376</v>
      </c>
      <c r="AR6811" s="4" t="s">
        <v>377</v>
      </c>
    </row>
    <row r="6812" spans="1:44" ht="30">
      <c r="A6812" s="4" t="s">
        <v>5</v>
      </c>
      <c r="B6812" s="4">
        <v>48903</v>
      </c>
      <c r="C6812" s="4">
        <v>4217</v>
      </c>
      <c r="D6812" s="5" t="s">
        <v>9600</v>
      </c>
      <c r="E6812" s="6" t="str">
        <f>HYPERLINK("https://inpn.mnhn.fr/espece/cd_nom/48903","Octospora pseudoampezzana (Svrček) Caillet &amp; Moyne, 1987")</f>
        <v>Octospora pseudoampezzana (Svrček) Caillet &amp; Moyne, 1987</v>
      </c>
      <c r="AH6812" s="4" t="str">
        <f>HYPERLINK("#Statut_biogéographique!A"&amp;_xlfn.XMATCH("P",Statut_biogéographique!A:A,2,1),"P")</f>
        <v>P</v>
      </c>
      <c r="AP6812" s="4" t="s">
        <v>376</v>
      </c>
      <c r="AR6812" s="4" t="s">
        <v>377</v>
      </c>
    </row>
    <row r="6813" spans="1:44">
      <c r="A6813" s="4" t="s">
        <v>5</v>
      </c>
      <c r="B6813" s="4">
        <v>48907</v>
      </c>
      <c r="D6813" s="5">
        <v>48907</v>
      </c>
      <c r="E6813" s="6" t="str">
        <f>HYPERLINK("https://inpn.mnhn.fr/espece/cd_nom/48907","Octospora roxheimii Dennis &amp; Itzerott, 1973")</f>
        <v>Octospora roxheimii Dennis &amp; Itzerott, 1973</v>
      </c>
      <c r="AH6813" s="4" t="str">
        <f>HYPERLINK("#Statut_biogéographique!A"&amp;_xlfn.XMATCH("P",Statut_biogéographique!A:A,2,1),"P")</f>
        <v>P</v>
      </c>
      <c r="AP6813" s="4" t="s">
        <v>376</v>
      </c>
      <c r="AR6813" s="4" t="s">
        <v>377</v>
      </c>
    </row>
    <row r="6814" spans="1:44">
      <c r="A6814" s="4" t="s">
        <v>5</v>
      </c>
      <c r="B6814" s="4">
        <v>48913</v>
      </c>
      <c r="D6814" s="5" t="s">
        <v>9601</v>
      </c>
      <c r="E6814" s="6" t="str">
        <f>HYPERLINK("https://inpn.mnhn.fr/espece/cd_nom/48913","Octospora rustica (Velen.) J.Moravec, 1969")</f>
        <v>Octospora rustica (Velen.) J.Moravec, 1969</v>
      </c>
      <c r="AH6814" s="4" t="str">
        <f>HYPERLINK("#Statut_biogéographique!A"&amp;_xlfn.XMATCH("P",Statut_biogéographique!A:A,2,1),"P")</f>
        <v>P</v>
      </c>
      <c r="AP6814" s="4" t="s">
        <v>376</v>
      </c>
      <c r="AR6814" s="4" t="s">
        <v>377</v>
      </c>
    </row>
    <row r="6815" spans="1:44" ht="30">
      <c r="A6815" s="4" t="s">
        <v>5</v>
      </c>
      <c r="B6815" s="4">
        <v>48922</v>
      </c>
      <c r="C6815" s="4">
        <v>4203</v>
      </c>
      <c r="D6815" s="5" t="s">
        <v>9602</v>
      </c>
      <c r="E6815" s="6" t="str">
        <f>HYPERLINK("https://inpn.mnhn.fr/espece/cd_nom/48922","Octospora tuberculata (Seaver) Caillet &amp; Moyne, 1980")</f>
        <v>Octospora tuberculata (Seaver) Caillet &amp; Moyne, 1980</v>
      </c>
      <c r="AH6815" s="4" t="str">
        <f>HYPERLINK("#Statut_biogéographique!A"&amp;_xlfn.XMATCH("P",Statut_biogéographique!A:A,2,1),"P")</f>
        <v>P</v>
      </c>
      <c r="AP6815" s="4" t="s">
        <v>376</v>
      </c>
      <c r="AR6815" s="4" t="s">
        <v>377</v>
      </c>
    </row>
    <row r="6816" spans="1:44">
      <c r="A6816" s="4" t="s">
        <v>5</v>
      </c>
      <c r="B6816" s="4">
        <v>48956</v>
      </c>
      <c r="D6816" s="5" t="s">
        <v>9603</v>
      </c>
      <c r="E6816" s="6" t="str">
        <f>HYPERLINK("https://inpn.mnhn.fr/espece/cd_nom/48956","Onygena corvina Alb. &amp; Schwein., 1805")</f>
        <v>Onygena corvina Alb. &amp; Schwein., 1805</v>
      </c>
      <c r="AH6816" s="4" t="str">
        <f>HYPERLINK("#Statut_biogéographique!A"&amp;_xlfn.XMATCH("P",Statut_biogéographique!A:A,2,1),"P")</f>
        <v>P</v>
      </c>
      <c r="AP6816" s="4" t="s">
        <v>376</v>
      </c>
      <c r="AR6816" s="4" t="s">
        <v>377</v>
      </c>
    </row>
    <row r="6817" spans="1:44">
      <c r="A6817" s="4" t="s">
        <v>5</v>
      </c>
      <c r="B6817" s="4">
        <v>48957</v>
      </c>
      <c r="D6817" s="5" t="s">
        <v>9604</v>
      </c>
      <c r="E6817" s="6" t="str">
        <f>HYPERLINK("https://inpn.mnhn.fr/espece/cd_nom/48957","Onygena equina (Willd.) Pers., 1800")</f>
        <v>Onygena equina (Willd.) Pers., 1800</v>
      </c>
      <c r="AH6817" s="4" t="str">
        <f>HYPERLINK("#Statut_biogéographique!A"&amp;_xlfn.XMATCH("P",Statut_biogéographique!A:A,2,1),"P")</f>
        <v>P</v>
      </c>
      <c r="AP6817" s="4" t="s">
        <v>376</v>
      </c>
      <c r="AR6817" s="4" t="s">
        <v>377</v>
      </c>
    </row>
    <row r="6818" spans="1:44">
      <c r="A6818" s="4" t="s">
        <v>5</v>
      </c>
      <c r="B6818" s="4">
        <v>48961</v>
      </c>
      <c r="D6818" s="5" t="s">
        <v>9605</v>
      </c>
      <c r="E6818" s="6" t="str">
        <f>HYPERLINK("https://inpn.mnhn.fr/espece/cd_nom/48961","Orbilia auricolor (A.Bloxam) Sacc., 1889")</f>
        <v>Orbilia auricolor (A.Bloxam) Sacc., 1889</v>
      </c>
      <c r="AH6818" s="4" t="str">
        <f>HYPERLINK("#Statut_biogéographique!A"&amp;_xlfn.XMATCH("P",Statut_biogéographique!A:A,2,1),"P")</f>
        <v>P</v>
      </c>
      <c r="AP6818" s="4" t="s">
        <v>376</v>
      </c>
      <c r="AR6818" s="4" t="s">
        <v>377</v>
      </c>
    </row>
    <row r="6819" spans="1:44">
      <c r="A6819" s="4" t="s">
        <v>5</v>
      </c>
      <c r="B6819" s="4">
        <v>48967</v>
      </c>
      <c r="D6819" s="5">
        <v>48967</v>
      </c>
      <c r="E6819" s="6" t="str">
        <f>HYPERLINK("https://inpn.mnhn.fr/espece/cd_nom/48967","Orbilia curvatispora Boud., 1888")</f>
        <v>Orbilia curvatispora Boud., 1888</v>
      </c>
      <c r="AH6819" s="4" t="str">
        <f>HYPERLINK("#Statut_biogéographique!A"&amp;_xlfn.XMATCH("P",Statut_biogéographique!A:A,2,1),"P")</f>
        <v>P</v>
      </c>
      <c r="AP6819" s="4" t="s">
        <v>376</v>
      </c>
      <c r="AR6819" s="4" t="s">
        <v>377</v>
      </c>
    </row>
    <row r="6820" spans="1:44" ht="30">
      <c r="A6820" s="4" t="s">
        <v>5</v>
      </c>
      <c r="B6820" s="4">
        <v>48968</v>
      </c>
      <c r="D6820" s="5" t="s">
        <v>9606</v>
      </c>
      <c r="E6820" s="6" t="str">
        <f>HYPERLINK("https://inpn.mnhn.fr/espece/cd_nom/48968","Orbilia delicatula (P.Karst.) P.Karst., 1870")</f>
        <v>Orbilia delicatula (P.Karst.) P.Karst., 1870</v>
      </c>
      <c r="AH6820" s="4" t="str">
        <f>HYPERLINK("#Statut_biogéographique!A"&amp;_xlfn.XMATCH("P",Statut_biogéographique!A:A,2,1),"P")</f>
        <v>P</v>
      </c>
      <c r="AP6820" s="4" t="s">
        <v>376</v>
      </c>
      <c r="AR6820" s="4" t="s">
        <v>377</v>
      </c>
    </row>
    <row r="6821" spans="1:44">
      <c r="A6821" s="4" t="s">
        <v>5</v>
      </c>
      <c r="B6821" s="4">
        <v>48986</v>
      </c>
      <c r="D6821" s="5" t="s">
        <v>9607</v>
      </c>
      <c r="E6821" s="6" t="str">
        <f>HYPERLINK("https://inpn.mnhn.fr/espece/cd_nom/48986","Otidea abietina (Pers.) Fuckel, 1870")</f>
        <v>Otidea abietina (Pers.) Fuckel, 1870</v>
      </c>
      <c r="V6821" s="7" t="str">
        <f>HYPERLINK("#Liste_rouge!A"&amp;_xlfn.XMATCH("LC",Liste_rouge!A:A,2,1),"LC")</f>
        <v>LC</v>
      </c>
      <c r="AH6821" s="4" t="str">
        <f>HYPERLINK("#Statut_biogéographique!A"&amp;_xlfn.XMATCH("P",Statut_biogéographique!A:A,2,1),"P")</f>
        <v>P</v>
      </c>
      <c r="AP6821" s="4" t="s">
        <v>376</v>
      </c>
      <c r="AR6821" s="4" t="s">
        <v>377</v>
      </c>
    </row>
    <row r="6822" spans="1:44">
      <c r="A6822" s="4" t="s">
        <v>5</v>
      </c>
      <c r="B6822" s="4">
        <v>48989</v>
      </c>
      <c r="D6822" s="5" t="s">
        <v>9608</v>
      </c>
      <c r="E6822" s="6" t="str">
        <f>HYPERLINK("https://inpn.mnhn.fr/espece/cd_nom/48989","Otidea alutacea (Pers.) Massee, 1895")</f>
        <v>Otidea alutacea (Pers.) Massee, 1895</v>
      </c>
      <c r="V6822" s="7" t="str">
        <f>HYPERLINK("#Liste_rouge!A"&amp;_xlfn.XMATCH("LC",Liste_rouge!A:A,2,1),"LC")</f>
        <v>LC</v>
      </c>
      <c r="AH6822" s="4" t="str">
        <f>HYPERLINK("#Statut_biogéographique!A"&amp;_xlfn.XMATCH("P",Statut_biogéographique!A:A,2,1),"P")</f>
        <v>P</v>
      </c>
      <c r="AP6822" s="4" t="s">
        <v>376</v>
      </c>
      <c r="AR6822" s="4" t="s">
        <v>377</v>
      </c>
    </row>
    <row r="6823" spans="1:44" ht="30">
      <c r="A6823" s="4" t="s">
        <v>5</v>
      </c>
      <c r="B6823" s="4">
        <v>48991</v>
      </c>
      <c r="D6823" s="5" t="s">
        <v>9609</v>
      </c>
      <c r="E6823" s="6" t="str">
        <f>HYPERLINK("https://inpn.mnhn.fr/espece/cd_nom/48991","Otidea apophysata (Cooke &amp; W.Phillips) Sacc., 1889")</f>
        <v>Otidea apophysata (Cooke &amp; W.Phillips) Sacc., 1889</v>
      </c>
      <c r="V6823" s="7" t="str">
        <f>HYPERLINK("#Liste_rouge!A"&amp;_xlfn.XMATCH("DD",Liste_rouge!A:A,2,1),"DD")</f>
        <v>DD</v>
      </c>
      <c r="AH6823" s="4" t="str">
        <f>HYPERLINK("#Statut_biogéographique!A"&amp;_xlfn.XMATCH("P",Statut_biogéographique!A:A,2,1),"P")</f>
        <v>P</v>
      </c>
      <c r="AP6823" s="4" t="s">
        <v>376</v>
      </c>
      <c r="AR6823" s="4" t="s">
        <v>377</v>
      </c>
    </row>
    <row r="6824" spans="1:44">
      <c r="A6824" s="4" t="s">
        <v>5</v>
      </c>
      <c r="B6824" s="4">
        <v>48994</v>
      </c>
      <c r="D6824" s="5" t="s">
        <v>9610</v>
      </c>
      <c r="E6824" s="6" t="str">
        <f>HYPERLINK("https://inpn.mnhn.fr/espece/cd_nom/48994","Otidea cochleata (L.) Fuckel, 1870")</f>
        <v>Otidea cochleata (L.) Fuckel, 1870</v>
      </c>
      <c r="V6824" s="7" t="str">
        <f>HYPERLINK("#Liste_rouge!A"&amp;_xlfn.XMATCH("DD",Liste_rouge!A:A,2,1),"DD")</f>
        <v>DD</v>
      </c>
      <c r="AH6824" s="4" t="str">
        <f>HYPERLINK("#Statut_biogéographique!A"&amp;_xlfn.XMATCH("P",Statut_biogéographique!A:A,2,1),"P")</f>
        <v>P</v>
      </c>
      <c r="AP6824" s="4" t="s">
        <v>376</v>
      </c>
      <c r="AR6824" s="4" t="s">
        <v>377</v>
      </c>
    </row>
    <row r="6825" spans="1:44">
      <c r="A6825" s="4" t="s">
        <v>5</v>
      </c>
      <c r="B6825" s="4">
        <v>49004</v>
      </c>
      <c r="D6825" s="5" t="s">
        <v>9611</v>
      </c>
      <c r="E6825" s="6" t="str">
        <f>HYPERLINK("https://inpn.mnhn.fr/espece/cd_nom/49004","Otidea leporina (Batsch) Fuckel, 1870")</f>
        <v>Otidea leporina (Batsch) Fuckel, 1870</v>
      </c>
      <c r="AH6825" s="4" t="str">
        <f>HYPERLINK("#Statut_biogéographique!A"&amp;_xlfn.XMATCH("P",Statut_biogéographique!A:A,2,1),"P")</f>
        <v>P</v>
      </c>
      <c r="AP6825" s="4" t="s">
        <v>376</v>
      </c>
      <c r="AR6825" s="4" t="s">
        <v>377</v>
      </c>
    </row>
    <row r="6826" spans="1:44">
      <c r="A6826" s="4" t="s">
        <v>5</v>
      </c>
      <c r="B6826" s="4">
        <v>49007</v>
      </c>
      <c r="D6826" s="5" t="s">
        <v>9612</v>
      </c>
      <c r="E6826" s="6" t="str">
        <f>HYPERLINK("https://inpn.mnhn.fr/espece/cd_nom/49007","Otidea onotica (Pers.) Fuckel, 1870")</f>
        <v>Otidea onotica (Pers.) Fuckel, 1870</v>
      </c>
      <c r="F6826" s="5" t="s">
        <v>2744</v>
      </c>
      <c r="V6826" s="7" t="str">
        <f>HYPERLINK("#Liste_rouge!A"&amp;_xlfn.XMATCH("LC",Liste_rouge!A:A,2,1),"LC")</f>
        <v>LC</v>
      </c>
      <c r="AH6826" s="4" t="str">
        <f>HYPERLINK("#Statut_biogéographique!A"&amp;_xlfn.XMATCH("P",Statut_biogéographique!A:A,2,1),"P")</f>
        <v>P</v>
      </c>
      <c r="AP6826" s="4" t="s">
        <v>376</v>
      </c>
      <c r="AR6826" s="4" t="s">
        <v>377</v>
      </c>
    </row>
    <row r="6827" spans="1:44" ht="30">
      <c r="A6827" s="4" t="s">
        <v>5</v>
      </c>
      <c r="B6827" s="4">
        <v>49016</v>
      </c>
      <c r="D6827" s="5" t="s">
        <v>9613</v>
      </c>
      <c r="E6827" s="6" t="str">
        <f>HYPERLINK("https://inpn.mnhn.fr/espece/cd_nom/49016","Pachyella violaceonigra (Rehm) Pfister, 1974")</f>
        <v>Pachyella violaceonigra (Rehm) Pfister, 1974</v>
      </c>
      <c r="V6827" s="7" t="str">
        <f>HYPERLINK("#Liste_rouge!A"&amp;_xlfn.XMATCH("EN",Liste_rouge!A:A,2,1),"EN")</f>
        <v>EN</v>
      </c>
      <c r="W6827" s="4" t="str">
        <f>HYPERLINK("#Critères_liste_rouge!A$1","B2abiii")</f>
        <v>B2abiii</v>
      </c>
      <c r="AH6827" s="4" t="str">
        <f>HYPERLINK("#Statut_biogéographique!A"&amp;_xlfn.XMATCH("P",Statut_biogéographique!A:A,2,1),"P")</f>
        <v>P</v>
      </c>
      <c r="AP6827" s="4" t="s">
        <v>376</v>
      </c>
      <c r="AR6827" s="4" t="s">
        <v>377</v>
      </c>
    </row>
    <row r="6828" spans="1:44">
      <c r="A6828" s="4" t="s">
        <v>5</v>
      </c>
      <c r="B6828" s="4">
        <v>49045</v>
      </c>
      <c r="D6828" s="5" t="s">
        <v>9614</v>
      </c>
      <c r="E6828" s="6" t="str">
        <f>HYPERLINK("https://inpn.mnhn.fr/espece/cd_nom/49045","Patellaria atrata (Hedw.) Fr., 1822")</f>
        <v>Patellaria atrata (Hedw.) Fr., 1822</v>
      </c>
      <c r="AH6828" s="4" t="str">
        <f>HYPERLINK("#Statut_biogéographique!A"&amp;_xlfn.XMATCH("P",Statut_biogéographique!A:A,2,1),"P")</f>
        <v>P</v>
      </c>
      <c r="AP6828" s="4" t="s">
        <v>376</v>
      </c>
      <c r="AR6828" s="4" t="s">
        <v>377</v>
      </c>
    </row>
    <row r="6829" spans="1:44">
      <c r="A6829" s="4" t="s">
        <v>5</v>
      </c>
      <c r="B6829" s="4">
        <v>49058</v>
      </c>
      <c r="C6829" s="4">
        <v>6454</v>
      </c>
      <c r="D6829" s="5" t="s">
        <v>9615</v>
      </c>
      <c r="E6829" s="6" t="str">
        <f>HYPERLINK("https://inpn.mnhn.fr/espece/cd_nom/49058","Lachnellula abietis (P.Karst.) Dennis, 1962")</f>
        <v>Lachnellula abietis (P.Karst.) Dennis, 1962</v>
      </c>
      <c r="F6829" s="5" t="s">
        <v>9616</v>
      </c>
      <c r="AH6829" s="4" t="str">
        <f>HYPERLINK("#Statut_biogéographique!A"&amp;_xlfn.XMATCH("P",Statut_biogéographique!A:A,2,1),"P")</f>
        <v>P</v>
      </c>
      <c r="AP6829" s="4" t="s">
        <v>376</v>
      </c>
      <c r="AR6829" s="4" t="s">
        <v>377</v>
      </c>
    </row>
    <row r="6830" spans="1:44" ht="30">
      <c r="A6830" s="4" t="s">
        <v>5</v>
      </c>
      <c r="B6830" s="4">
        <v>49059</v>
      </c>
      <c r="D6830" s="5" t="s">
        <v>9617</v>
      </c>
      <c r="E6830" s="6" t="str">
        <f>HYPERLINK("https://inpn.mnhn.fr/espece/cd_nom/49059","Perrotia flammea (Alb. &amp; Schwein.) Boud., 1901")</f>
        <v>Perrotia flammea (Alb. &amp; Schwein.) Boud., 1901</v>
      </c>
      <c r="V6830" s="7" t="str">
        <f>HYPERLINK("#Liste_rouge!A"&amp;_xlfn.XMATCH("DD",Liste_rouge!A:A,2,1),"DD")</f>
        <v>DD</v>
      </c>
      <c r="AH6830" s="4" t="str">
        <f>HYPERLINK("#Statut_biogéographique!A"&amp;_xlfn.XMATCH("P",Statut_biogéographique!A:A,2,1),"P")</f>
        <v>P</v>
      </c>
      <c r="AP6830" s="4" t="s">
        <v>376</v>
      </c>
      <c r="AR6830" s="4" t="s">
        <v>377</v>
      </c>
    </row>
    <row r="6831" spans="1:44" ht="30">
      <c r="A6831" s="4" t="s">
        <v>5</v>
      </c>
      <c r="B6831" s="4">
        <v>49069</v>
      </c>
      <c r="D6831" s="5" t="s">
        <v>9618</v>
      </c>
      <c r="E6831" s="6" t="str">
        <f>HYPERLINK("https://inpn.mnhn.fr/espece/cd_nom/49069","Pezicula carpinea (Pers.) Tul. ex Fuckel, 1870")</f>
        <v>Pezicula carpinea (Pers.) Tul. ex Fuckel, 1870</v>
      </c>
      <c r="AH6831" s="4" t="str">
        <f>HYPERLINK("#Statut_biogéographique!A"&amp;_xlfn.XMATCH("P",Statut_biogéographique!A:A,2,1),"P")</f>
        <v>P</v>
      </c>
      <c r="AP6831" s="4" t="s">
        <v>376</v>
      </c>
      <c r="AR6831" s="4" t="s">
        <v>377</v>
      </c>
    </row>
    <row r="6832" spans="1:44" ht="30">
      <c r="A6832" s="4" t="s">
        <v>5</v>
      </c>
      <c r="B6832" s="4">
        <v>49081</v>
      </c>
      <c r="D6832" s="5" t="s">
        <v>9619</v>
      </c>
      <c r="E6832" s="6" t="str">
        <f>HYPERLINK("https://inpn.mnhn.fr/espece/cd_nom/49081","Pezicula rubi (Lib.) Niessl, 1876")</f>
        <v>Pezicula rubi (Lib.) Niessl, 1876</v>
      </c>
      <c r="AH6832" s="4" t="str">
        <f>HYPERLINK("#Statut_biogéographique!A"&amp;_xlfn.XMATCH("P",Statut_biogéographique!A:A,2,1),"P")</f>
        <v>P</v>
      </c>
      <c r="AP6832" s="4" t="s">
        <v>376</v>
      </c>
      <c r="AR6832" s="4" t="s">
        <v>377</v>
      </c>
    </row>
    <row r="6833" spans="1:44">
      <c r="A6833" s="4" t="s">
        <v>5</v>
      </c>
      <c r="B6833" s="4">
        <v>49088</v>
      </c>
      <c r="D6833" s="5" t="s">
        <v>9620</v>
      </c>
      <c r="E6833" s="6" t="str">
        <f>HYPERLINK("https://inpn.mnhn.fr/espece/cd_nom/49088","Peziza ampliata Pers., 1822")</f>
        <v>Peziza ampliata Pers., 1822</v>
      </c>
      <c r="V6833" s="7" t="str">
        <f>HYPERLINK("#Liste_rouge!A"&amp;_xlfn.XMATCH("EN",Liste_rouge!A:A,2,1),"EN")</f>
        <v>EN</v>
      </c>
      <c r="W6833" s="4" t="str">
        <f>HYPERLINK("#Critères_liste_rouge!A$1","B2abiii")</f>
        <v>B2abiii</v>
      </c>
      <c r="AH6833" s="4" t="str">
        <f>HYPERLINK("#Statut_biogéographique!A"&amp;_xlfn.XMATCH("P",Statut_biogéographique!A:A,2,1),"P")</f>
        <v>P</v>
      </c>
      <c r="AP6833" s="4" t="s">
        <v>376</v>
      </c>
      <c r="AR6833" s="4" t="s">
        <v>377</v>
      </c>
    </row>
    <row r="6834" spans="1:44" ht="30">
      <c r="A6834" s="4" t="s">
        <v>5</v>
      </c>
      <c r="B6834" s="4">
        <v>49090</v>
      </c>
      <c r="D6834" s="5" t="s">
        <v>9621</v>
      </c>
      <c r="E6834" s="6" t="str">
        <f>HYPERLINK("https://inpn.mnhn.fr/espece/cd_nom/49090","Peziza apiculata Cooke, 1875")</f>
        <v>Peziza apiculata Cooke, 1875</v>
      </c>
      <c r="V6834" s="7" t="str">
        <f>HYPERLINK("#Liste_rouge!A"&amp;_xlfn.XMATCH("VU",Liste_rouge!A:A,2,1),"VU")</f>
        <v>VU</v>
      </c>
      <c r="W6834" s="4" t="str">
        <f>HYPERLINK("#Critères_liste_rouge!A$1","A2c")</f>
        <v>A2c</v>
      </c>
      <c r="AH6834" s="4" t="str">
        <f>HYPERLINK("#Statut_biogéographique!A"&amp;_xlfn.XMATCH("P",Statut_biogéographique!A:A,2,1),"P")</f>
        <v>P</v>
      </c>
      <c r="AP6834" s="4" t="s">
        <v>376</v>
      </c>
      <c r="AR6834" s="4" t="s">
        <v>377</v>
      </c>
    </row>
    <row r="6835" spans="1:44" ht="30">
      <c r="A6835" s="4" t="s">
        <v>5</v>
      </c>
      <c r="B6835" s="4">
        <v>49098</v>
      </c>
      <c r="D6835" s="5" t="s">
        <v>9622</v>
      </c>
      <c r="E6835" s="6" t="str">
        <f>HYPERLINK("https://inpn.mnhn.fr/espece/cd_nom/49098","Peziza arvernensis Roze &amp; Boud., 1879")</f>
        <v>Peziza arvernensis Roze &amp; Boud., 1879</v>
      </c>
      <c r="V6835" s="7" t="str">
        <f>HYPERLINK("#Liste_rouge!A"&amp;_xlfn.XMATCH("LC",Liste_rouge!A:A,2,1),"LC")</f>
        <v>LC</v>
      </c>
      <c r="AH6835" s="4" t="str">
        <f>HYPERLINK("#Statut_biogéographique!A"&amp;_xlfn.XMATCH("P",Statut_biogéographique!A:A,2,1),"P")</f>
        <v>P</v>
      </c>
      <c r="AP6835" s="4" t="s">
        <v>376</v>
      </c>
      <c r="AR6835" s="4" t="s">
        <v>377</v>
      </c>
    </row>
    <row r="6836" spans="1:44">
      <c r="A6836" s="4" t="s">
        <v>5</v>
      </c>
      <c r="B6836" s="4">
        <v>49119</v>
      </c>
      <c r="C6836" s="4">
        <v>4843</v>
      </c>
      <c r="D6836" s="5" t="s">
        <v>9623</v>
      </c>
      <c r="E6836" s="6" t="str">
        <f>HYPERLINK("https://inpn.mnhn.fr/espece/cd_nom/49119","Aleuria bicucullata Boud., 1881")</f>
        <v>Aleuria bicucullata Boud., 1881</v>
      </c>
      <c r="V6836" s="7" t="str">
        <f>HYPERLINK("#Liste_rouge!A"&amp;_xlfn.XMATCH("VU",Liste_rouge!A:A,2,1),"VU")</f>
        <v>VU</v>
      </c>
      <c r="W6836" s="4" t="str">
        <f>HYPERLINK("#Critères_liste_rouge!A$1","A2c")</f>
        <v>A2c</v>
      </c>
      <c r="Z6836" s="4" t="s">
        <v>443</v>
      </c>
      <c r="AA6836" s="4" t="s">
        <v>444</v>
      </c>
      <c r="AH6836" s="4" t="str">
        <f>HYPERLINK("#Statut_biogéographique!A"&amp;_xlfn.XMATCH("P",Statut_biogéographique!A:A,2,1),"P")</f>
        <v>P</v>
      </c>
      <c r="AP6836" s="4" t="s">
        <v>376</v>
      </c>
      <c r="AR6836" s="4" t="s">
        <v>377</v>
      </c>
    </row>
    <row r="6837" spans="1:44" ht="45">
      <c r="A6837" s="4" t="s">
        <v>5</v>
      </c>
      <c r="B6837" s="4">
        <v>49130</v>
      </c>
      <c r="D6837" s="5" t="s">
        <v>9624</v>
      </c>
      <c r="E6837" s="6" t="str">
        <f>HYPERLINK("https://inpn.mnhn.fr/espece/cd_nom/49130","Peziza cerea Sowerby, 1796")</f>
        <v>Peziza cerea Sowerby, 1796</v>
      </c>
      <c r="AH6837" s="4" t="str">
        <f>HYPERLINK("#Statut_biogéographique!A"&amp;_xlfn.XMATCH("P",Statut_biogéographique!A:A,2,1),"P")</f>
        <v>P</v>
      </c>
      <c r="AP6837" s="4" t="s">
        <v>376</v>
      </c>
      <c r="AR6837" s="4" t="s">
        <v>377</v>
      </c>
    </row>
    <row r="6838" spans="1:44">
      <c r="A6838" s="4" t="s">
        <v>5</v>
      </c>
      <c r="B6838" s="4">
        <v>49138</v>
      </c>
      <c r="D6838" s="5" t="s">
        <v>9625</v>
      </c>
      <c r="E6838" s="6" t="str">
        <f>HYPERLINK("https://inpn.mnhn.fr/espece/cd_nom/49138","Peziza domiciliana Cooke, 1877")</f>
        <v>Peziza domiciliana Cooke, 1877</v>
      </c>
      <c r="V6838" s="7" t="str">
        <f>HYPERLINK("#Liste_rouge!A"&amp;_xlfn.XMATCH("LC",Liste_rouge!A:A,2,1),"LC")</f>
        <v>LC</v>
      </c>
      <c r="AH6838" s="4" t="str">
        <f>HYPERLINK("#Statut_biogéographique!A"&amp;_xlfn.XMATCH("P",Statut_biogéographique!A:A,2,1),"P")</f>
        <v>P</v>
      </c>
      <c r="AP6838" s="4" t="s">
        <v>376</v>
      </c>
      <c r="AR6838" s="4" t="s">
        <v>377</v>
      </c>
    </row>
    <row r="6839" spans="1:44">
      <c r="A6839" s="4" t="s">
        <v>5</v>
      </c>
      <c r="B6839" s="4">
        <v>49141</v>
      </c>
      <c r="D6839" s="5" t="s">
        <v>9626</v>
      </c>
      <c r="E6839" s="6" t="str">
        <f>HYPERLINK("https://inpn.mnhn.fr/espece/cd_nom/49141","Peziza echinospora P.Karst., 1866")</f>
        <v>Peziza echinospora P.Karst., 1866</v>
      </c>
      <c r="V6839" s="7" t="str">
        <f>HYPERLINK("#Liste_rouge!A"&amp;_xlfn.XMATCH("NT",Liste_rouge!A:A,2,1),"NT")</f>
        <v>NT</v>
      </c>
      <c r="W6839" s="4" t="str">
        <f>HYPERLINK("#Critères_liste_rouge!A$1","pr. A2c")</f>
        <v>pr. A2c</v>
      </c>
      <c r="AH6839" s="4" t="str">
        <f>HYPERLINK("#Statut_biogéographique!A"&amp;_xlfn.XMATCH("P",Statut_biogéographique!A:A,2,1),"P")</f>
        <v>P</v>
      </c>
      <c r="AP6839" s="4" t="s">
        <v>376</v>
      </c>
      <c r="AR6839" s="4" t="s">
        <v>377</v>
      </c>
    </row>
    <row r="6840" spans="1:44" ht="30">
      <c r="A6840" s="4" t="s">
        <v>5</v>
      </c>
      <c r="B6840" s="4">
        <v>49199</v>
      </c>
      <c r="D6840" s="5" t="s">
        <v>9627</v>
      </c>
      <c r="E6840" s="6" t="str">
        <f>HYPERLINK("https://inpn.mnhn.fr/espece/cd_nom/49199","Peziza micropus Pers., 1800")</f>
        <v>Peziza micropus Pers., 1800</v>
      </c>
      <c r="V6840" s="7" t="str">
        <f>HYPERLINK("#Liste_rouge!A"&amp;_xlfn.XMATCH("DD",Liste_rouge!A:A,2,1),"DD")</f>
        <v>DD</v>
      </c>
      <c r="AH6840" s="4" t="str">
        <f>HYPERLINK("#Statut_biogéographique!A"&amp;_xlfn.XMATCH("P",Statut_biogéographique!A:A,2,1),"P")</f>
        <v>P</v>
      </c>
      <c r="AP6840" s="4" t="s">
        <v>376</v>
      </c>
      <c r="AR6840" s="4" t="s">
        <v>377</v>
      </c>
    </row>
    <row r="6841" spans="1:44">
      <c r="A6841" s="4" t="s">
        <v>5</v>
      </c>
      <c r="B6841" s="4">
        <v>49224</v>
      </c>
      <c r="D6841" s="5" t="s">
        <v>9628</v>
      </c>
      <c r="E6841" s="6" t="str">
        <f>HYPERLINK("https://inpn.mnhn.fr/espece/cd_nom/49224","Peziza proteana (Boud.) Seaver, 1917")</f>
        <v>Peziza proteana (Boud.) Seaver, 1917</v>
      </c>
      <c r="AH6841" s="4" t="str">
        <f>HYPERLINK("#Statut_biogéographique!A"&amp;_xlfn.XMATCH("P",Statut_biogéographique!A:A,2,1),"P")</f>
        <v>P</v>
      </c>
      <c r="AP6841" s="4" t="s">
        <v>376</v>
      </c>
      <c r="AR6841" s="4" t="s">
        <v>377</v>
      </c>
    </row>
    <row r="6842" spans="1:44">
      <c r="A6842" s="4" t="s">
        <v>5</v>
      </c>
      <c r="B6842" s="4">
        <v>49235</v>
      </c>
      <c r="D6842" s="5" t="s">
        <v>9629</v>
      </c>
      <c r="E6842" s="6" t="str">
        <f>HYPERLINK("https://inpn.mnhn.fr/espece/cd_nom/49235","Peziza recedens (Boud.) Sacc. &amp; P.Syd., 1902")</f>
        <v>Peziza recedens (Boud.) Sacc. &amp; P.Syd., 1902</v>
      </c>
      <c r="V6842" s="7" t="str">
        <f>HYPERLINK("#Liste_rouge!A"&amp;_xlfn.XMATCH("DD",Liste_rouge!A:A,2,1),"DD")</f>
        <v>DD</v>
      </c>
      <c r="AH6842" s="4" t="str">
        <f>HYPERLINK("#Statut_biogéographique!A"&amp;_xlfn.XMATCH("P",Statut_biogéographique!A:A,2,1),"P")</f>
        <v>P</v>
      </c>
      <c r="AP6842" s="4" t="s">
        <v>376</v>
      </c>
      <c r="AR6842" s="4" t="s">
        <v>377</v>
      </c>
    </row>
    <row r="6843" spans="1:44">
      <c r="A6843" s="4" t="s">
        <v>5</v>
      </c>
      <c r="B6843" s="4">
        <v>49238</v>
      </c>
      <c r="D6843" s="5" t="s">
        <v>9630</v>
      </c>
      <c r="E6843" s="6" t="str">
        <f>HYPERLINK("https://inpn.mnhn.fr/espece/cd_nom/49238","Peziza repanda Pers., 1808")</f>
        <v>Peziza repanda Pers., 1808</v>
      </c>
      <c r="AH6843" s="4" t="str">
        <f>HYPERLINK("#Statut_biogéographique!A"&amp;_xlfn.XMATCH("P",Statut_biogéographique!A:A,2,1),"P")</f>
        <v>P</v>
      </c>
      <c r="AP6843" s="4" t="s">
        <v>376</v>
      </c>
      <c r="AR6843" s="4" t="s">
        <v>377</v>
      </c>
    </row>
    <row r="6844" spans="1:44">
      <c r="A6844" s="4" t="s">
        <v>5</v>
      </c>
      <c r="B6844" s="4">
        <v>49249</v>
      </c>
      <c r="D6844" s="5" t="s">
        <v>9631</v>
      </c>
      <c r="E6844" s="6" t="str">
        <f>HYPERLINK("https://inpn.mnhn.fr/espece/cd_nom/49249","Peziza saniosa Schrad., 1799")</f>
        <v>Peziza saniosa Schrad., 1799</v>
      </c>
      <c r="V6844" s="7" t="str">
        <f>HYPERLINK("#Liste_rouge!A"&amp;_xlfn.XMATCH("LC",Liste_rouge!A:A,2,1),"LC")</f>
        <v>LC</v>
      </c>
      <c r="AH6844" s="4" t="str">
        <f>HYPERLINK("#Statut_biogéographique!A"&amp;_xlfn.XMATCH("P",Statut_biogéographique!A:A,2,1),"P")</f>
        <v>P</v>
      </c>
      <c r="AP6844" s="4" t="s">
        <v>376</v>
      </c>
      <c r="AR6844" s="4" t="s">
        <v>377</v>
      </c>
    </row>
    <row r="6845" spans="1:44">
      <c r="A6845" s="4" t="s">
        <v>5</v>
      </c>
      <c r="B6845" s="4">
        <v>49277</v>
      </c>
      <c r="D6845" s="5" t="s">
        <v>9632</v>
      </c>
      <c r="E6845" s="6" t="str">
        <f>HYPERLINK("https://inpn.mnhn.fr/espece/cd_nom/49277","Peziza varia (Hedw.) Alb. &amp; Schwein., 1805")</f>
        <v>Peziza varia (Hedw.) Alb. &amp; Schwein., 1805</v>
      </c>
      <c r="V6845" s="7" t="str">
        <f>HYPERLINK("#Liste_rouge!A"&amp;_xlfn.XMATCH("LC",Liste_rouge!A:A,2,1),"LC")</f>
        <v>LC</v>
      </c>
      <c r="AH6845" s="4" t="str">
        <f>HYPERLINK("#Statut_biogéographique!A"&amp;_xlfn.XMATCH("P",Statut_biogéographique!A:A,2,1),"P")</f>
        <v>P</v>
      </c>
      <c r="AP6845" s="4" t="s">
        <v>376</v>
      </c>
      <c r="AR6845" s="4" t="s">
        <v>377</v>
      </c>
    </row>
    <row r="6846" spans="1:44" ht="30">
      <c r="A6846" s="4" t="s">
        <v>5</v>
      </c>
      <c r="B6846" s="4">
        <v>49280</v>
      </c>
      <c r="D6846" s="5" t="s">
        <v>9633</v>
      </c>
      <c r="E6846" s="6" t="str">
        <f>HYPERLINK("https://inpn.mnhn.fr/espece/cd_nom/49280","Peziza vesiculosa Bull., 1790")</f>
        <v>Peziza vesiculosa Bull., 1790</v>
      </c>
      <c r="F6846" s="5" t="s">
        <v>1132</v>
      </c>
      <c r="V6846" s="7" t="str">
        <f>HYPERLINK("#Liste_rouge!A"&amp;_xlfn.XMATCH("LC",Liste_rouge!A:A,2,1),"LC")</f>
        <v>LC</v>
      </c>
      <c r="AH6846" s="4" t="str">
        <f>HYPERLINK("#Statut_biogéographique!A"&amp;_xlfn.XMATCH("P",Statut_biogéographique!A:A,2,1),"P")</f>
        <v>P</v>
      </c>
      <c r="AP6846" s="4" t="s">
        <v>376</v>
      </c>
      <c r="AR6846" s="4" t="s">
        <v>377</v>
      </c>
    </row>
    <row r="6847" spans="1:44">
      <c r="A6847" s="4" t="s">
        <v>5</v>
      </c>
      <c r="B6847" s="4">
        <v>49294</v>
      </c>
      <c r="C6847" s="4">
        <v>6631</v>
      </c>
      <c r="D6847" s="5" t="s">
        <v>9634</v>
      </c>
      <c r="E6847" s="6" t="str">
        <f>HYPERLINK("https://inpn.mnhn.fr/espece/cd_nom/49294","Calycina discreta (P.Karst.) Kuntze, 1898")</f>
        <v>Calycina discreta (P.Karst.) Kuntze, 1898</v>
      </c>
      <c r="AH6847" s="4" t="str">
        <f>HYPERLINK("#Statut_biogéographique!A"&amp;_xlfn.XMATCH("P",Statut_biogéographique!A:A,2,1),"P")</f>
        <v>P</v>
      </c>
      <c r="AP6847" s="4" t="s">
        <v>376</v>
      </c>
      <c r="AR6847" s="4" t="s">
        <v>377</v>
      </c>
    </row>
    <row r="6848" spans="1:44">
      <c r="A6848" s="4" t="s">
        <v>5</v>
      </c>
      <c r="B6848" s="4">
        <v>49412</v>
      </c>
      <c r="D6848" s="5" t="s">
        <v>9635</v>
      </c>
      <c r="E6848" s="6" t="str">
        <f>HYPERLINK("https://inpn.mnhn.fr/espece/cd_nom/49412","Pithya vulgaris Fuckel, 1870")</f>
        <v>Pithya vulgaris Fuckel, 1870</v>
      </c>
      <c r="AH6848" s="4" t="str">
        <f>HYPERLINK("#Statut_biogéographique!A"&amp;_xlfn.XMATCH("P",Statut_biogéographique!A:A,2,1),"P")</f>
        <v>P</v>
      </c>
      <c r="AP6848" s="4" t="s">
        <v>376</v>
      </c>
      <c r="AR6848" s="4" t="s">
        <v>377</v>
      </c>
    </row>
    <row r="6849" spans="1:44" ht="30">
      <c r="A6849" s="4" t="s">
        <v>5</v>
      </c>
      <c r="B6849" s="4">
        <v>49448</v>
      </c>
      <c r="D6849" s="5" t="s">
        <v>9636</v>
      </c>
      <c r="E6849" s="6" t="str">
        <f>HYPERLINK("https://inpn.mnhn.fr/espece/cd_nom/49448","Podophacidium xanthomelum (Pers.) Kavina, 1936")</f>
        <v>Podophacidium xanthomelum (Pers.) Kavina, 1936</v>
      </c>
      <c r="V6849" s="7" t="str">
        <f>HYPERLINK("#Liste_rouge!A"&amp;_xlfn.XMATCH("VU",Liste_rouge!A:A,2,1),"VU")</f>
        <v>VU</v>
      </c>
      <c r="W6849" s="4" t="str">
        <f>HYPERLINK("#Critères_liste_rouge!A$1","A2c")</f>
        <v>A2c</v>
      </c>
      <c r="AH6849" s="4" t="str">
        <f>HYPERLINK("#Statut_biogéographique!A"&amp;_xlfn.XMATCH("P",Statut_biogéographique!A:A,2,1),"P")</f>
        <v>P</v>
      </c>
      <c r="AP6849" s="4" t="s">
        <v>376</v>
      </c>
      <c r="AR6849" s="4" t="s">
        <v>377</v>
      </c>
    </row>
    <row r="6850" spans="1:44" ht="45">
      <c r="A6850" s="4" t="s">
        <v>5</v>
      </c>
      <c r="B6850" s="4">
        <v>49453</v>
      </c>
      <c r="D6850" s="5" t="s">
        <v>9637</v>
      </c>
      <c r="E6850" s="6" t="str">
        <f>HYPERLINK("https://inpn.mnhn.fr/espece/cd_nom/49453","Podospora fimiseda (Ces. &amp; De Not.) Niessl, 1883")</f>
        <v>Podospora fimiseda (Ces. &amp; De Not.) Niessl, 1883</v>
      </c>
      <c r="AH6850" s="4" t="str">
        <f>HYPERLINK("#Statut_biogéographique!A"&amp;_xlfn.XMATCH("P",Statut_biogéographique!A:A,2,1),"P")</f>
        <v>P</v>
      </c>
      <c r="AP6850" s="4" t="s">
        <v>376</v>
      </c>
      <c r="AR6850" s="4" t="s">
        <v>377</v>
      </c>
    </row>
    <row r="6851" spans="1:44" ht="30">
      <c r="A6851" s="4" t="s">
        <v>5</v>
      </c>
      <c r="B6851" s="4">
        <v>49463</v>
      </c>
      <c r="D6851" s="5" t="s">
        <v>9638</v>
      </c>
      <c r="E6851" s="6" t="str">
        <f>HYPERLINK("https://inpn.mnhn.fr/espece/cd_nom/49463","Polydesmia pruinosa (Berk. &amp; Broome) Boud., 1907")</f>
        <v>Polydesmia pruinosa (Berk. &amp; Broome) Boud., 1907</v>
      </c>
      <c r="V6851" s="7" t="str">
        <f>HYPERLINK("#Liste_rouge!A"&amp;_xlfn.XMATCH("LC",Liste_rouge!A:A,2,1),"LC")</f>
        <v>LC</v>
      </c>
      <c r="AH6851" s="4" t="str">
        <f>HYPERLINK("#Statut_biogéographique!A"&amp;_xlfn.XMATCH("P",Statut_biogéographique!A:A,2,1),"P")</f>
        <v>P</v>
      </c>
      <c r="AP6851" s="4" t="s">
        <v>376</v>
      </c>
      <c r="AR6851" s="4" t="s">
        <v>377</v>
      </c>
    </row>
    <row r="6852" spans="1:44" ht="30">
      <c r="A6852" s="4" t="s">
        <v>5</v>
      </c>
      <c r="B6852" s="4">
        <v>49475</v>
      </c>
      <c r="D6852" s="5" t="s">
        <v>9639</v>
      </c>
      <c r="E6852" s="6" t="str">
        <f>HYPERLINK("https://inpn.mnhn.fr/espece/cd_nom/49475","Protocrea farinosa (Berk. &amp; Broome) Petch, 1937")</f>
        <v>Protocrea farinosa (Berk. &amp; Broome) Petch, 1937</v>
      </c>
      <c r="V6852" s="7" t="str">
        <f>HYPERLINK("#Liste_rouge!A"&amp;_xlfn.XMATCH("DD",Liste_rouge!A:A,2,1),"DD")</f>
        <v>DD</v>
      </c>
      <c r="AH6852" s="4" t="str">
        <f>HYPERLINK("#Statut_biogéographique!A"&amp;_xlfn.XMATCH("P",Statut_biogéographique!A:A,2,1),"P")</f>
        <v>P</v>
      </c>
      <c r="AP6852" s="4" t="s">
        <v>376</v>
      </c>
      <c r="AR6852" s="4" t="s">
        <v>377</v>
      </c>
    </row>
    <row r="6853" spans="1:44">
      <c r="A6853" s="4" t="s">
        <v>5</v>
      </c>
      <c r="B6853" s="4">
        <v>49498</v>
      </c>
      <c r="D6853" s="5" t="s">
        <v>9640</v>
      </c>
      <c r="E6853" s="6" t="str">
        <f>HYPERLINK("https://inpn.mnhn.fr/espece/cd_nom/49498","Pseudopeziza trifolii (Biv.) Fuckel, 1870")</f>
        <v>Pseudopeziza trifolii (Biv.) Fuckel, 1870</v>
      </c>
      <c r="AH6853" s="4" t="str">
        <f>HYPERLINK("#Statut_biogéographique!A"&amp;_xlfn.XMATCH("P",Statut_biogéographique!A:A,2,1),"P")</f>
        <v>P</v>
      </c>
      <c r="AP6853" s="4" t="s">
        <v>376</v>
      </c>
      <c r="AR6853" s="4" t="s">
        <v>377</v>
      </c>
    </row>
    <row r="6854" spans="1:44" ht="30">
      <c r="A6854" s="4" t="s">
        <v>5</v>
      </c>
      <c r="B6854" s="4">
        <v>49505</v>
      </c>
      <c r="D6854" s="5" t="s">
        <v>9641</v>
      </c>
      <c r="E6854" s="6" t="str">
        <f>HYPERLINK("https://inpn.mnhn.fr/espece/cd_nom/49505","Pseudoplectania nigrella (Pers.) Fuckel, 1870")</f>
        <v>Pseudoplectania nigrella (Pers.) Fuckel, 1870</v>
      </c>
      <c r="V6854" s="7" t="str">
        <f>HYPERLINK("#Liste_rouge!A"&amp;_xlfn.XMATCH("LC",Liste_rouge!A:A,2,1),"LC")</f>
        <v>LC</v>
      </c>
      <c r="AH6854" s="4" t="str">
        <f>HYPERLINK("#Statut_biogéographique!A"&amp;_xlfn.XMATCH("P",Statut_biogéographique!A:A,2,1),"P")</f>
        <v>P</v>
      </c>
      <c r="AP6854" s="4" t="s">
        <v>376</v>
      </c>
      <c r="AR6854" s="4" t="s">
        <v>377</v>
      </c>
    </row>
    <row r="6855" spans="1:44" ht="30">
      <c r="A6855" s="4" t="s">
        <v>5</v>
      </c>
      <c r="B6855" s="4">
        <v>49591</v>
      </c>
      <c r="D6855" s="5" t="s">
        <v>9642</v>
      </c>
      <c r="E6855" s="6" t="str">
        <f>HYPERLINK("https://inpn.mnhn.fr/espece/cd_nom/49591","Pyrenopeziza escharodes (Berk. &amp; Broome) Rehm, 1892")</f>
        <v>Pyrenopeziza escharodes (Berk. &amp; Broome) Rehm, 1892</v>
      </c>
      <c r="AH6855" s="4" t="str">
        <f>HYPERLINK("#Statut_biogéographique!A"&amp;_xlfn.XMATCH("P",Statut_biogéographique!A:A,2,1),"P")</f>
        <v>P</v>
      </c>
      <c r="AP6855" s="4" t="s">
        <v>376</v>
      </c>
      <c r="AR6855" s="4" t="s">
        <v>377</v>
      </c>
    </row>
    <row r="6856" spans="1:44" ht="30">
      <c r="A6856" s="4" t="s">
        <v>5</v>
      </c>
      <c r="B6856" s="4">
        <v>49610</v>
      </c>
      <c r="D6856" s="5" t="s">
        <v>9643</v>
      </c>
      <c r="E6856" s="6" t="str">
        <f>HYPERLINK("https://inpn.mnhn.fr/espece/cd_nom/49610","Pyronema domesticum (Sowerby) Sacc., 1889")</f>
        <v>Pyronema domesticum (Sowerby) Sacc., 1889</v>
      </c>
      <c r="AH6856" s="4" t="str">
        <f>HYPERLINK("#Statut_biogéographique!A"&amp;_xlfn.XMATCH("P",Statut_biogéographique!A:A,2,1),"P")</f>
        <v>P</v>
      </c>
      <c r="AP6856" s="4" t="s">
        <v>376</v>
      </c>
      <c r="AR6856" s="4" t="s">
        <v>377</v>
      </c>
    </row>
    <row r="6857" spans="1:44" ht="30">
      <c r="A6857" s="4" t="s">
        <v>5</v>
      </c>
      <c r="B6857" s="4">
        <v>49616</v>
      </c>
      <c r="D6857" s="5" t="s">
        <v>9644</v>
      </c>
      <c r="E6857" s="6" t="str">
        <f>HYPERLINK("https://inpn.mnhn.fr/espece/cd_nom/49616","Pyronema omphalodes (Bull.) Fuckel, 1870")</f>
        <v>Pyronema omphalodes (Bull.) Fuckel, 1870</v>
      </c>
      <c r="AH6857" s="4" t="str">
        <f>HYPERLINK("#Statut_biogéographique!A"&amp;_xlfn.XMATCH("P",Statut_biogéographique!A:A,2,1),"P")</f>
        <v>P</v>
      </c>
      <c r="AP6857" s="4" t="s">
        <v>376</v>
      </c>
      <c r="AR6857" s="4" t="s">
        <v>377</v>
      </c>
    </row>
    <row r="6858" spans="1:44">
      <c r="A6858" s="4" t="s">
        <v>5</v>
      </c>
      <c r="B6858" s="4">
        <v>49638</v>
      </c>
      <c r="D6858" s="5" t="s">
        <v>9645</v>
      </c>
      <c r="E6858" s="6" t="str">
        <f>HYPERLINK("https://inpn.mnhn.fr/espece/cd_nom/49638","Rhizina undulata Fr., 1815")</f>
        <v>Rhizina undulata Fr., 1815</v>
      </c>
      <c r="F6858" s="5" t="s">
        <v>9646</v>
      </c>
      <c r="V6858" s="7" t="str">
        <f>HYPERLINK("#Liste_rouge!A"&amp;_xlfn.XMATCH("EN",Liste_rouge!A:A,2,1),"EN")</f>
        <v>EN</v>
      </c>
      <c r="W6858" s="4" t="str">
        <f>HYPERLINK("#Critères_liste_rouge!A$1","A2c")</f>
        <v>A2c</v>
      </c>
      <c r="AH6858" s="4" t="str">
        <f>HYPERLINK("#Statut_biogéographique!A"&amp;_xlfn.XMATCH("P",Statut_biogéographique!A:A,2,1),"P")</f>
        <v>P</v>
      </c>
      <c r="AP6858" s="4" t="s">
        <v>376</v>
      </c>
      <c r="AR6858" s="4" t="s">
        <v>377</v>
      </c>
    </row>
    <row r="6859" spans="1:44">
      <c r="A6859" s="4" t="s">
        <v>5</v>
      </c>
      <c r="B6859" s="4">
        <v>49642</v>
      </c>
      <c r="D6859" s="5" t="s">
        <v>9647</v>
      </c>
      <c r="E6859" s="6" t="str">
        <f>HYPERLINK("https://inpn.mnhn.fr/espece/cd_nom/49642","Rhizodiscina lignyota (Fr.) Hafellner, 1979")</f>
        <v>Rhizodiscina lignyota (Fr.) Hafellner, 1979</v>
      </c>
      <c r="AH6859" s="4" t="str">
        <f>HYPERLINK("#Statut_biogéographique!A"&amp;_xlfn.XMATCH("P",Statut_biogéographique!A:A,2,1),"P")</f>
        <v>P</v>
      </c>
      <c r="AP6859" s="4" t="s">
        <v>376</v>
      </c>
      <c r="AR6859" s="4" t="s">
        <v>377</v>
      </c>
    </row>
    <row r="6860" spans="1:44" ht="30">
      <c r="A6860" s="4" t="s">
        <v>5</v>
      </c>
      <c r="B6860" s="4">
        <v>49647</v>
      </c>
      <c r="D6860" s="5" t="s">
        <v>9648</v>
      </c>
      <c r="E6860" s="6" t="str">
        <f>HYPERLINK("https://inpn.mnhn.fr/espece/cd_nom/49647","Rhodoscypha ovilla (Peck) Dissing &amp; Sivertsen, 1983")</f>
        <v>Rhodoscypha ovilla (Peck) Dissing &amp; Sivertsen, 1983</v>
      </c>
      <c r="V6860" s="7" t="str">
        <f>HYPERLINK("#Liste_rouge!A"&amp;_xlfn.XMATCH("DD",Liste_rouge!A:A,2,1),"DD")</f>
        <v>DD</v>
      </c>
      <c r="AH6860" s="4" t="str">
        <f>HYPERLINK("#Statut_biogéographique!A"&amp;_xlfn.XMATCH("P",Statut_biogéographique!A:A,2,1),"P")</f>
        <v>P</v>
      </c>
      <c r="AP6860" s="4" t="s">
        <v>376</v>
      </c>
      <c r="AR6860" s="4" t="s">
        <v>377</v>
      </c>
    </row>
    <row r="6861" spans="1:44" ht="30">
      <c r="A6861" s="4" t="s">
        <v>5</v>
      </c>
      <c r="B6861" s="4">
        <v>49652</v>
      </c>
      <c r="D6861" s="5" t="s">
        <v>9649</v>
      </c>
      <c r="E6861" s="6" t="str">
        <f>HYPERLINK("https://inpn.mnhn.fr/espece/cd_nom/49652","Rhopographus filicinus (Fr.) Nitschke ex Fuckel, 1870")</f>
        <v>Rhopographus filicinus (Fr.) Nitschke ex Fuckel, 1870</v>
      </c>
      <c r="V6861" s="7" t="str">
        <f>HYPERLINK("#Liste_rouge!A"&amp;_xlfn.XMATCH("LC",Liste_rouge!A:A,2,1),"LC")</f>
        <v>LC</v>
      </c>
      <c r="AH6861" s="4" t="str">
        <f>HYPERLINK("#Statut_biogéographique!A"&amp;_xlfn.XMATCH("P",Statut_biogéographique!A:A,2,1),"P")</f>
        <v>P</v>
      </c>
      <c r="AP6861" s="4" t="s">
        <v>376</v>
      </c>
      <c r="AR6861" s="4" t="s">
        <v>377</v>
      </c>
    </row>
    <row r="6862" spans="1:44">
      <c r="A6862" s="4" t="s">
        <v>5</v>
      </c>
      <c r="B6862" s="4">
        <v>49660</v>
      </c>
      <c r="D6862" s="5" t="s">
        <v>9650</v>
      </c>
      <c r="E6862" s="6" t="str">
        <f>HYPERLINK("https://inpn.mnhn.fr/espece/cd_nom/49660","Rhytisma acerinum (Pers.) Fr., 1819")</f>
        <v>Rhytisma acerinum (Pers.) Fr., 1819</v>
      </c>
      <c r="F6862" s="5" t="s">
        <v>9651</v>
      </c>
      <c r="AH6862" s="4" t="str">
        <f>HYPERLINK("#Statut_biogéographique!A"&amp;_xlfn.XMATCH("P",Statut_biogéographique!A:A,2,1),"P")</f>
        <v>P</v>
      </c>
      <c r="AP6862" s="4" t="s">
        <v>376</v>
      </c>
      <c r="AR6862" s="4" t="s">
        <v>377</v>
      </c>
    </row>
    <row r="6863" spans="1:44">
      <c r="A6863" s="4" t="s">
        <v>5</v>
      </c>
      <c r="B6863" s="4">
        <v>49662</v>
      </c>
      <c r="C6863" s="4">
        <v>4433</v>
      </c>
      <c r="D6863" s="5" t="s">
        <v>9652</v>
      </c>
      <c r="E6863" s="6" t="str">
        <f>HYPERLINK("https://inpn.mnhn.fr/espece/cd_nom/49662","Robergea cubicularis (Fr.) Rehm, 1912")</f>
        <v>Robergea cubicularis (Fr.) Rehm, 1912</v>
      </c>
      <c r="AH6863" s="4" t="str">
        <f>HYPERLINK("#Statut_biogéographique!A"&amp;_xlfn.XMATCH("P",Statut_biogéographique!A:A,2,1),"P")</f>
        <v>P</v>
      </c>
      <c r="AP6863" s="4" t="s">
        <v>376</v>
      </c>
      <c r="AR6863" s="4" t="s">
        <v>377</v>
      </c>
    </row>
    <row r="6864" spans="1:44">
      <c r="A6864" s="4" t="s">
        <v>5</v>
      </c>
      <c r="B6864" s="4">
        <v>49667</v>
      </c>
      <c r="D6864" s="5" t="s">
        <v>9653</v>
      </c>
      <c r="E6864" s="6" t="str">
        <f>HYPERLINK("https://inpn.mnhn.fr/espece/cd_nom/49667","Rosellinia aquila (Fr.) Ces. &amp; De Not., 1844")</f>
        <v>Rosellinia aquila (Fr.) Ces. &amp; De Not., 1844</v>
      </c>
      <c r="AH6864" s="4" t="str">
        <f>HYPERLINK("#Statut_biogéographique!A"&amp;_xlfn.XMATCH("P",Statut_biogéographique!A:A,2,1),"P")</f>
        <v>P</v>
      </c>
      <c r="AP6864" s="4" t="s">
        <v>376</v>
      </c>
      <c r="AR6864" s="4" t="s">
        <v>377</v>
      </c>
    </row>
    <row r="6865" spans="1:44" ht="30">
      <c r="A6865" s="4" t="s">
        <v>5</v>
      </c>
      <c r="B6865" s="4">
        <v>49686</v>
      </c>
      <c r="D6865" s="5" t="s">
        <v>9654</v>
      </c>
      <c r="E6865" s="6" t="str">
        <f>HYPERLINK("https://inpn.mnhn.fr/espece/cd_nom/49686","Rosellinia mammiformis (Pers.) Ces. &amp; De Not., 1863")</f>
        <v>Rosellinia mammiformis (Pers.) Ces. &amp; De Not., 1863</v>
      </c>
      <c r="AH6865" s="4" t="str">
        <f>HYPERLINK("#Statut_biogéographique!A"&amp;_xlfn.XMATCH("P",Statut_biogéographique!A:A,2,1),"P")</f>
        <v>P</v>
      </c>
      <c r="AP6865" s="4" t="s">
        <v>376</v>
      </c>
      <c r="AR6865" s="4" t="s">
        <v>377</v>
      </c>
    </row>
    <row r="6866" spans="1:44">
      <c r="A6866" s="4" t="s">
        <v>5</v>
      </c>
      <c r="B6866" s="4">
        <v>49701</v>
      </c>
      <c r="D6866" s="5" t="s">
        <v>9655</v>
      </c>
      <c r="E6866" s="6" t="str">
        <f>HYPERLINK("https://inpn.mnhn.fr/espece/cd_nom/49701","Rosellinia thelena (Kunze) Rabenh., 1865")</f>
        <v>Rosellinia thelena (Kunze) Rabenh., 1865</v>
      </c>
      <c r="AH6866" s="4" t="str">
        <f>HYPERLINK("#Statut_biogéographique!A"&amp;_xlfn.XMATCH("P",Statut_biogéographique!A:A,2,1),"P")</f>
        <v>P</v>
      </c>
      <c r="AP6866" s="4" t="s">
        <v>376</v>
      </c>
      <c r="AR6866" s="4" t="s">
        <v>377</v>
      </c>
    </row>
    <row r="6867" spans="1:44" ht="30">
      <c r="A6867" s="4" t="s">
        <v>5</v>
      </c>
      <c r="B6867" s="4">
        <v>49708</v>
      </c>
      <c r="D6867" s="5" t="s">
        <v>9656</v>
      </c>
      <c r="E6867" s="6" t="str">
        <f>HYPERLINK("https://inpn.mnhn.fr/espece/cd_nom/49708","Rutstroemia bolaris (Batsch) Rehm, 1893")</f>
        <v>Rutstroemia bolaris (Batsch) Rehm, 1893</v>
      </c>
      <c r="V6867" s="7" t="str">
        <f>HYPERLINK("#Liste_rouge!A"&amp;_xlfn.XMATCH("DD",Liste_rouge!A:A,2,1),"DD")</f>
        <v>DD</v>
      </c>
      <c r="AH6867" s="4" t="str">
        <f>HYPERLINK("#Statut_biogéographique!A"&amp;_xlfn.XMATCH("P",Statut_biogéographique!A:A,2,1),"P")</f>
        <v>P</v>
      </c>
      <c r="AP6867" s="4" t="s">
        <v>376</v>
      </c>
      <c r="AR6867" s="4" t="s">
        <v>377</v>
      </c>
    </row>
    <row r="6868" spans="1:44" ht="30">
      <c r="A6868" s="4" t="s">
        <v>5</v>
      </c>
      <c r="B6868" s="4">
        <v>49717</v>
      </c>
      <c r="C6868" s="4">
        <v>5169</v>
      </c>
      <c r="D6868" s="5" t="s">
        <v>9657</v>
      </c>
      <c r="E6868" s="6" t="str">
        <f>HYPERLINK("https://inpn.mnhn.fr/espece/cd_nom/49717","Ciboria conformata (P.Karst.) Svrček, 1982")</f>
        <v>Ciboria conformata (P.Karst.) Svrček, 1982</v>
      </c>
      <c r="F6868" s="5" t="s">
        <v>9658</v>
      </c>
      <c r="AH6868" s="4" t="str">
        <f>HYPERLINK("#Statut_biogéographique!A"&amp;_xlfn.XMATCH("P",Statut_biogéographique!A:A,2,1),"P")</f>
        <v>P</v>
      </c>
      <c r="AP6868" s="4" t="s">
        <v>376</v>
      </c>
      <c r="AR6868" s="4" t="s">
        <v>377</v>
      </c>
    </row>
    <row r="6869" spans="1:44">
      <c r="A6869" s="4" t="s">
        <v>5</v>
      </c>
      <c r="B6869" s="4">
        <v>49751</v>
      </c>
      <c r="D6869" s="5" t="s">
        <v>9659</v>
      </c>
      <c r="E6869" s="6" t="str">
        <f>HYPERLINK("https://inpn.mnhn.fr/espece/cd_nom/49751","Saccobolus dilutellus (Fuckel) Sacc., 1889")</f>
        <v>Saccobolus dilutellus (Fuckel) Sacc., 1889</v>
      </c>
      <c r="AH6869" s="4" t="str">
        <f>HYPERLINK("#Statut_biogéographique!A"&amp;_xlfn.XMATCH("P",Statut_biogéographique!A:A,2,1),"P")</f>
        <v>P</v>
      </c>
      <c r="AP6869" s="4" t="s">
        <v>376</v>
      </c>
      <c r="AR6869" s="4" t="s">
        <v>377</v>
      </c>
    </row>
    <row r="6870" spans="1:44">
      <c r="A6870" s="4" t="s">
        <v>5</v>
      </c>
      <c r="B6870" s="4">
        <v>49769</v>
      </c>
      <c r="D6870" s="5" t="s">
        <v>9660</v>
      </c>
      <c r="E6870" s="6" t="str">
        <f>HYPERLINK("https://inpn.mnhn.fr/espece/cd_nom/49769","Sarcoleotia turficola (Boud.) Dennis, 1971")</f>
        <v>Sarcoleotia turficola (Boud.) Dennis, 1971</v>
      </c>
      <c r="V6870" s="7" t="str">
        <f>HYPERLINK("#Liste_rouge!A"&amp;_xlfn.XMATCH("CR",Liste_rouge!A:A,2,1),"CR")</f>
        <v>CR</v>
      </c>
      <c r="W6870" s="4" t="str">
        <f>HYPERLINK("#Critères_liste_rouge!A$1","B2abiii")</f>
        <v>B2abiii</v>
      </c>
      <c r="AH6870" s="4" t="str">
        <f>HYPERLINK("#Statut_biogéographique!A"&amp;_xlfn.XMATCH("P",Statut_biogéographique!A:A,2,1),"P")</f>
        <v>P</v>
      </c>
      <c r="AP6870" s="4" t="s">
        <v>376</v>
      </c>
      <c r="AR6870" s="4" t="s">
        <v>377</v>
      </c>
    </row>
    <row r="6871" spans="1:44" ht="30">
      <c r="A6871" s="4" t="s">
        <v>5</v>
      </c>
      <c r="B6871" s="4">
        <v>49773</v>
      </c>
      <c r="D6871" s="5" t="s">
        <v>9661</v>
      </c>
      <c r="E6871" s="6" t="str">
        <f>HYPERLINK("https://inpn.mnhn.fr/espece/cd_nom/49773","Sarcoscypha austriaca (Beck ex Sacc.) Boud., 1907")</f>
        <v>Sarcoscypha austriaca (Beck ex Sacc.) Boud., 1907</v>
      </c>
      <c r="V6871" s="7" t="str">
        <f>HYPERLINK("#Liste_rouge!A"&amp;_xlfn.XMATCH("LC",Liste_rouge!A:A,2,1),"LC")</f>
        <v>LC</v>
      </c>
      <c r="AH6871" s="4" t="str">
        <f>HYPERLINK("#Statut_biogéographique!A"&amp;_xlfn.XMATCH("P",Statut_biogéographique!A:A,2,1),"P")</f>
        <v>P</v>
      </c>
      <c r="AP6871" s="4" t="s">
        <v>376</v>
      </c>
      <c r="AR6871" s="4" t="s">
        <v>377</v>
      </c>
    </row>
    <row r="6872" spans="1:44" ht="45">
      <c r="A6872" s="4" t="s">
        <v>5</v>
      </c>
      <c r="B6872" s="4">
        <v>49776</v>
      </c>
      <c r="D6872" s="5" t="s">
        <v>9662</v>
      </c>
      <c r="E6872" s="6" t="str">
        <f>HYPERLINK("https://inpn.mnhn.fr/espece/cd_nom/49776","Sarcoscypha coccinea (Scop.) Sacc. ex E.J.Durand, 1900")</f>
        <v>Sarcoscypha coccinea (Scop.) Sacc. ex E.J.Durand, 1900</v>
      </c>
      <c r="F6872" s="5" t="s">
        <v>9663</v>
      </c>
      <c r="V6872" s="7" t="str">
        <f>HYPERLINK("#Liste_rouge!A"&amp;_xlfn.XMATCH("LC",Liste_rouge!A:A,2,1),"LC")</f>
        <v>LC</v>
      </c>
      <c r="AH6872" s="4" t="str">
        <f>HYPERLINK("#Statut_biogéographique!A"&amp;_xlfn.XMATCH("P",Statut_biogéographique!A:A,2,1),"P")</f>
        <v>P</v>
      </c>
      <c r="AP6872" s="4" t="s">
        <v>376</v>
      </c>
      <c r="AR6872" s="4" t="s">
        <v>377</v>
      </c>
    </row>
    <row r="6873" spans="1:44">
      <c r="A6873" s="4" t="s">
        <v>5</v>
      </c>
      <c r="B6873" s="4">
        <v>49820</v>
      </c>
      <c r="D6873" s="5">
        <v>49820</v>
      </c>
      <c r="E6873" s="6" t="str">
        <f>HYPERLINK("https://inpn.mnhn.fr/espece/cd_nom/49820","Sclerotinia trifoliorum Erikss., 1880")</f>
        <v>Sclerotinia trifoliorum Erikss., 1880</v>
      </c>
      <c r="AH6873" s="4" t="str">
        <f>HYPERLINK("#Statut_biogéographique!A"&amp;_xlfn.XMATCH("P",Statut_biogéographique!A:A,2,1),"P")</f>
        <v>P</v>
      </c>
      <c r="AP6873" s="4" t="s">
        <v>376</v>
      </c>
      <c r="AR6873" s="4" t="s">
        <v>377</v>
      </c>
    </row>
    <row r="6874" spans="1:44">
      <c r="A6874" s="4" t="s">
        <v>5</v>
      </c>
      <c r="B6874" s="4">
        <v>49822</v>
      </c>
      <c r="D6874" s="5" t="s">
        <v>9664</v>
      </c>
      <c r="E6874" s="6" t="str">
        <f>HYPERLINK("https://inpn.mnhn.fr/espece/cd_nom/49822","Scutellinia barlae (Boud.) Maire, 1933")</f>
        <v>Scutellinia barlae (Boud.) Maire, 1933</v>
      </c>
      <c r="AH6874" s="4" t="str">
        <f>HYPERLINK("#Statut_biogéographique!A"&amp;_xlfn.XMATCH("P",Statut_biogéographique!A:A,2,1),"P")</f>
        <v>P</v>
      </c>
      <c r="AP6874" s="4" t="s">
        <v>376</v>
      </c>
      <c r="AR6874" s="4" t="s">
        <v>377</v>
      </c>
    </row>
    <row r="6875" spans="1:44">
      <c r="A6875" s="4" t="s">
        <v>5</v>
      </c>
      <c r="B6875" s="4">
        <v>49829</v>
      </c>
      <c r="D6875" s="5" t="s">
        <v>9665</v>
      </c>
      <c r="E6875" s="6" t="str">
        <f>HYPERLINK("https://inpn.mnhn.fr/espece/cd_nom/49829","Scutellinia cejpii (Velen.) Svrček, 1971")</f>
        <v>Scutellinia cejpii (Velen.) Svrček, 1971</v>
      </c>
      <c r="AH6875" s="4" t="str">
        <f>HYPERLINK("#Statut_biogéographique!A"&amp;_xlfn.XMATCH("P",Statut_biogéographique!A:A,2,1),"P")</f>
        <v>P</v>
      </c>
      <c r="AP6875" s="4" t="s">
        <v>376</v>
      </c>
      <c r="AR6875" s="4" t="s">
        <v>377</v>
      </c>
    </row>
    <row r="6876" spans="1:44" ht="60">
      <c r="A6876" s="4" t="s">
        <v>5</v>
      </c>
      <c r="B6876" s="4">
        <v>49833</v>
      </c>
      <c r="D6876" s="5" t="s">
        <v>9666</v>
      </c>
      <c r="E6876" s="6" t="str">
        <f>HYPERLINK("https://inpn.mnhn.fr/espece/cd_nom/49833","Scutellinia crinita (Bull.) Lambotte, 1887")</f>
        <v>Scutellinia crinita (Bull.) Lambotte, 1887</v>
      </c>
      <c r="V6876" s="7" t="str">
        <f>HYPERLINK("#Liste_rouge!A"&amp;_xlfn.XMATCH("LC",Liste_rouge!A:A,2,1),"LC")</f>
        <v>LC</v>
      </c>
      <c r="AH6876" s="4" t="str">
        <f>HYPERLINK("#Statut_biogéographique!A"&amp;_xlfn.XMATCH("P",Statut_biogéographique!A:A,2,1),"P")</f>
        <v>P</v>
      </c>
      <c r="AP6876" s="4" t="s">
        <v>376</v>
      </c>
      <c r="AR6876" s="4" t="s">
        <v>377</v>
      </c>
    </row>
    <row r="6877" spans="1:44">
      <c r="A6877" s="4" t="s">
        <v>5</v>
      </c>
      <c r="B6877" s="4">
        <v>49840</v>
      </c>
      <c r="D6877" s="5" t="s">
        <v>9667</v>
      </c>
      <c r="E6877" s="6" t="str">
        <f>HYPERLINK("https://inpn.mnhn.fr/espece/cd_nom/49840","Scutellinia legaliae Lohmeyer &amp; Häffner, 1983")</f>
        <v>Scutellinia legaliae Lohmeyer &amp; Häffner, 1983</v>
      </c>
      <c r="AH6877" s="4" t="str">
        <f>HYPERLINK("#Statut_biogéographique!A"&amp;_xlfn.XMATCH("P",Statut_biogéographique!A:A,2,1),"P")</f>
        <v>P</v>
      </c>
      <c r="AP6877" s="4" t="s">
        <v>376</v>
      </c>
      <c r="AR6877" s="4" t="s">
        <v>377</v>
      </c>
    </row>
    <row r="6878" spans="1:44">
      <c r="A6878" s="4" t="s">
        <v>5</v>
      </c>
      <c r="B6878" s="4">
        <v>49844</v>
      </c>
      <c r="D6878" s="5" t="s">
        <v>9668</v>
      </c>
      <c r="E6878" s="6" t="str">
        <f>HYPERLINK("https://inpn.mnhn.fr/espece/cd_nom/49844","Scutellinia minor (Velen.) Svrček, 1971")</f>
        <v>Scutellinia minor (Velen.) Svrček, 1971</v>
      </c>
      <c r="V6878" s="7" t="str">
        <f>HYPERLINK("#Liste_rouge!A"&amp;_xlfn.XMATCH("DD",Liste_rouge!A:A,2,1),"DD")</f>
        <v>DD</v>
      </c>
      <c r="AH6878" s="4" t="str">
        <f>HYPERLINK("#Statut_biogéographique!A"&amp;_xlfn.XMATCH("P",Statut_biogéographique!A:A,2,1),"P")</f>
        <v>P</v>
      </c>
      <c r="AP6878" s="4" t="s">
        <v>376</v>
      </c>
      <c r="AR6878" s="4" t="s">
        <v>377</v>
      </c>
    </row>
    <row r="6879" spans="1:44">
      <c r="A6879" s="4" t="s">
        <v>5</v>
      </c>
      <c r="B6879" s="4">
        <v>49847</v>
      </c>
      <c r="D6879" s="5" t="s">
        <v>9669</v>
      </c>
      <c r="E6879" s="6" t="str">
        <f>HYPERLINK("https://inpn.mnhn.fr/espece/cd_nom/49847","Scutellinia nigrohirtula (Svrček) Le Gal, 1964")</f>
        <v>Scutellinia nigrohirtula (Svrček) Le Gal, 1964</v>
      </c>
      <c r="V6879" s="7" t="str">
        <f>HYPERLINK("#Liste_rouge!A"&amp;_xlfn.XMATCH("LC",Liste_rouge!A:A,2,1),"LC")</f>
        <v>LC</v>
      </c>
      <c r="AH6879" s="4" t="str">
        <f>HYPERLINK("#Statut_biogéographique!A"&amp;_xlfn.XMATCH("P",Statut_biogéographique!A:A,2,1),"P")</f>
        <v>P</v>
      </c>
      <c r="AP6879" s="4" t="s">
        <v>376</v>
      </c>
      <c r="AR6879" s="4" t="s">
        <v>377</v>
      </c>
    </row>
    <row r="6880" spans="1:44" ht="30">
      <c r="A6880" s="4" t="s">
        <v>5</v>
      </c>
      <c r="B6880" s="4">
        <v>49860</v>
      </c>
      <c r="D6880" s="5" t="s">
        <v>9670</v>
      </c>
      <c r="E6880" s="6" t="str">
        <f>HYPERLINK("https://inpn.mnhn.fr/espece/cd_nom/49860","Scutellinia pseudotrechispora (J.Schröt.) Le Gal, 1962")</f>
        <v>Scutellinia pseudotrechispora (J.Schröt.) Le Gal, 1962</v>
      </c>
      <c r="V6880" s="7" t="str">
        <f>HYPERLINK("#Liste_rouge!A"&amp;_xlfn.XMATCH("NT",Liste_rouge!A:A,2,1),"NT")</f>
        <v>NT</v>
      </c>
      <c r="W6880" s="4" t="str">
        <f>HYPERLINK("#Critères_liste_rouge!A$1","pr. A2c")</f>
        <v>pr. A2c</v>
      </c>
      <c r="AH6880" s="4" t="str">
        <f>HYPERLINK("#Statut_biogéographique!A"&amp;_xlfn.XMATCH("P",Statut_biogéographique!A:A,2,1),"P")</f>
        <v>P</v>
      </c>
      <c r="AP6880" s="4" t="s">
        <v>376</v>
      </c>
      <c r="AR6880" s="4" t="s">
        <v>377</v>
      </c>
    </row>
    <row r="6881" spans="1:44" ht="45">
      <c r="A6881" s="4" t="s">
        <v>5</v>
      </c>
      <c r="B6881" s="4">
        <v>49863</v>
      </c>
      <c r="D6881" s="5" t="s">
        <v>9671</v>
      </c>
      <c r="E6881" s="6" t="str">
        <f>HYPERLINK("https://inpn.mnhn.fr/espece/cd_nom/49863","Scutellinia scutellata (L.) Lambotte, 1887")</f>
        <v>Scutellinia scutellata (L.) Lambotte, 1887</v>
      </c>
      <c r="F6881" s="5" t="s">
        <v>2457</v>
      </c>
      <c r="V6881" s="7" t="str">
        <f>HYPERLINK("#Liste_rouge!A"&amp;_xlfn.XMATCH("LC",Liste_rouge!A:A,2,1),"LC")</f>
        <v>LC</v>
      </c>
      <c r="AH6881" s="4" t="str">
        <f>HYPERLINK("#Statut_biogéographique!A"&amp;_xlfn.XMATCH("P",Statut_biogéographique!A:A,2,1),"P")</f>
        <v>P</v>
      </c>
      <c r="AP6881" s="4" t="s">
        <v>376</v>
      </c>
      <c r="AR6881" s="4" t="s">
        <v>377</v>
      </c>
    </row>
    <row r="6882" spans="1:44" ht="30">
      <c r="A6882" s="4" t="s">
        <v>5</v>
      </c>
      <c r="B6882" s="4">
        <v>49870</v>
      </c>
      <c r="D6882" s="5" t="s">
        <v>9672</v>
      </c>
      <c r="E6882" s="6" t="str">
        <f>HYPERLINK("https://inpn.mnhn.fr/espece/cd_nom/49870","Scutellinia trechispora (Berk. &amp; Broome) Lambotte, 1887")</f>
        <v>Scutellinia trechispora (Berk. &amp; Broome) Lambotte, 1887</v>
      </c>
      <c r="V6882" s="7" t="str">
        <f>HYPERLINK("#Liste_rouge!A"&amp;_xlfn.XMATCH("LC",Liste_rouge!A:A,2,1),"LC")</f>
        <v>LC</v>
      </c>
      <c r="AH6882" s="4" t="str">
        <f>HYPERLINK("#Statut_biogéographique!A"&amp;_xlfn.XMATCH("P",Statut_biogéographique!A:A,2,1),"P")</f>
        <v>P</v>
      </c>
      <c r="AP6882" s="4" t="s">
        <v>376</v>
      </c>
      <c r="AR6882" s="4" t="s">
        <v>377</v>
      </c>
    </row>
    <row r="6883" spans="1:44" ht="30">
      <c r="A6883" s="4" t="s">
        <v>5</v>
      </c>
      <c r="B6883" s="4">
        <v>49873</v>
      </c>
      <c r="D6883" s="5" t="s">
        <v>9673</v>
      </c>
      <c r="E6883" s="6" t="str">
        <f>HYPERLINK("https://inpn.mnhn.fr/espece/cd_nom/49873","Scutellinia umbrorum (Fr.) Lambotte, 1887")</f>
        <v>Scutellinia umbrorum (Fr.) Lambotte, 1887</v>
      </c>
      <c r="V6883" s="7" t="str">
        <f>HYPERLINK("#Liste_rouge!A"&amp;_xlfn.XMATCH("LC",Liste_rouge!A:A,2,1),"LC")</f>
        <v>LC</v>
      </c>
      <c r="AH6883" s="4" t="str">
        <f>HYPERLINK("#Statut_biogéographique!A"&amp;_xlfn.XMATCH("P",Statut_biogéographique!A:A,2,1),"P")</f>
        <v>P</v>
      </c>
      <c r="AP6883" s="4" t="s">
        <v>376</v>
      </c>
      <c r="AR6883" s="4" t="s">
        <v>377</v>
      </c>
    </row>
    <row r="6884" spans="1:44" ht="30">
      <c r="A6884" s="4" t="s">
        <v>5</v>
      </c>
      <c r="B6884" s="4">
        <v>49883</v>
      </c>
      <c r="D6884" s="5" t="s">
        <v>9674</v>
      </c>
      <c r="E6884" s="6" t="str">
        <f>HYPERLINK("https://inpn.mnhn.fr/espece/cd_nom/49883","Sowerbyella imperialis (Peck) Korf, 1971")</f>
        <v>Sowerbyella imperialis (Peck) Korf, 1971</v>
      </c>
      <c r="V6884" s="7" t="str">
        <f>HYPERLINK("#Liste_rouge!A"&amp;_xlfn.XMATCH("EN",Liste_rouge!A:A,2,1),"EN")</f>
        <v>EN</v>
      </c>
      <c r="W6884" s="4" t="str">
        <f>HYPERLINK("#Critères_liste_rouge!A$1","B2abiii")</f>
        <v>B2abiii</v>
      </c>
      <c r="AH6884" s="4" t="str">
        <f>HYPERLINK("#Statut_biogéographique!A"&amp;_xlfn.XMATCH("P",Statut_biogéographique!A:A,2,1),"P")</f>
        <v>P</v>
      </c>
      <c r="AP6884" s="4" t="s">
        <v>376</v>
      </c>
      <c r="AR6884" s="4" t="s">
        <v>377</v>
      </c>
    </row>
    <row r="6885" spans="1:44" ht="45">
      <c r="A6885" s="4" t="s">
        <v>5</v>
      </c>
      <c r="B6885" s="4">
        <v>49889</v>
      </c>
      <c r="D6885" s="5" t="s">
        <v>9675</v>
      </c>
      <c r="E6885" s="6" t="str">
        <f>HYPERLINK("https://inpn.mnhn.fr/espece/cd_nom/49889","Sowerbyella radiculata (Sowerby) Nannf., 1938")</f>
        <v>Sowerbyella radiculata (Sowerby) Nannf., 1938</v>
      </c>
      <c r="V6885" s="7" t="str">
        <f>HYPERLINK("#Liste_rouge!A"&amp;_xlfn.XMATCH("EN",Liste_rouge!A:A,2,1),"EN")</f>
        <v>EN</v>
      </c>
      <c r="W6885" s="4" t="str">
        <f>HYPERLINK("#Critères_liste_rouge!A$1","B2abiii")</f>
        <v>B2abiii</v>
      </c>
      <c r="AH6885" s="4" t="str">
        <f>HYPERLINK("#Statut_biogéographique!A"&amp;_xlfn.XMATCH("P",Statut_biogéographique!A:A,2,1),"P")</f>
        <v>P</v>
      </c>
      <c r="AP6885" s="4" t="s">
        <v>376</v>
      </c>
      <c r="AR6885" s="4" t="s">
        <v>377</v>
      </c>
    </row>
    <row r="6886" spans="1:44" ht="30">
      <c r="A6886" s="4" t="s">
        <v>5</v>
      </c>
      <c r="B6886" s="4">
        <v>49898</v>
      </c>
      <c r="D6886" s="5" t="s">
        <v>9676</v>
      </c>
      <c r="E6886" s="6" t="str">
        <f>HYPERLINK("https://inpn.mnhn.fr/espece/cd_nom/49898","Spathularia flavida Pers., 1794")</f>
        <v>Spathularia flavida Pers., 1794</v>
      </c>
      <c r="F6886" s="5" t="s">
        <v>2753</v>
      </c>
      <c r="V6886" s="7" t="str">
        <f>HYPERLINK("#Liste_rouge!A"&amp;_xlfn.XMATCH("LC",Liste_rouge!A:A,2,1),"LC")</f>
        <v>LC</v>
      </c>
      <c r="AH6886" s="4" t="str">
        <f>HYPERLINK("#Statut_biogéographique!A"&amp;_xlfn.XMATCH("P",Statut_biogéographique!A:A,2,1),"P")</f>
        <v>P</v>
      </c>
      <c r="AP6886" s="4" t="s">
        <v>376</v>
      </c>
      <c r="AR6886" s="4" t="s">
        <v>377</v>
      </c>
    </row>
    <row r="6887" spans="1:44" ht="30">
      <c r="A6887" s="4" t="s">
        <v>5</v>
      </c>
      <c r="B6887" s="4">
        <v>49920</v>
      </c>
      <c r="D6887" s="5" t="s">
        <v>9677</v>
      </c>
      <c r="E6887" s="6" t="str">
        <f>HYPERLINK("https://inpn.mnhn.fr/espece/cd_nom/49920","Sphaerosporella brunnea (Alb. &amp; Schwein.) Svrček &amp; Kubička, 1961")</f>
        <v>Sphaerosporella brunnea (Alb. &amp; Schwein.) Svrček &amp; Kubička, 1961</v>
      </c>
      <c r="AH6887" s="4" t="str">
        <f>HYPERLINK("#Statut_biogéographique!A"&amp;_xlfn.XMATCH("P",Statut_biogéographique!A:A,2,1),"P")</f>
        <v>P</v>
      </c>
      <c r="AP6887" s="4" t="s">
        <v>376</v>
      </c>
      <c r="AR6887" s="4" t="s">
        <v>377</v>
      </c>
    </row>
    <row r="6888" spans="1:44">
      <c r="A6888" s="4" t="s">
        <v>5</v>
      </c>
      <c r="B6888" s="4">
        <v>49992</v>
      </c>
      <c r="D6888" s="5" t="s">
        <v>9678</v>
      </c>
      <c r="E6888" s="6" t="str">
        <f>HYPERLINK("https://inpn.mnhn.fr/espece/cd_nom/49992","Taphrina carpini (Rostr.) Johanson, 1886")</f>
        <v>Taphrina carpini (Rostr.) Johanson, 1886</v>
      </c>
      <c r="AH6888" s="4" t="str">
        <f>HYPERLINK("#Statut_biogéographique!A"&amp;_xlfn.XMATCH("P",Statut_biogéographique!A:A,2,1),"P")</f>
        <v>P</v>
      </c>
      <c r="AP6888" s="4" t="s">
        <v>376</v>
      </c>
      <c r="AR6888" s="4" t="s">
        <v>377</v>
      </c>
    </row>
    <row r="6889" spans="1:44" ht="30">
      <c r="A6889" s="4" t="s">
        <v>5</v>
      </c>
      <c r="B6889" s="4">
        <v>49997</v>
      </c>
      <c r="D6889" s="5" t="s">
        <v>9679</v>
      </c>
      <c r="E6889" s="6" t="str">
        <f>HYPERLINK("https://inpn.mnhn.fr/espece/cd_nom/49997","Taphrina pruni (Fuckel) Tul., 1866")</f>
        <v>Taphrina pruni (Fuckel) Tul., 1866</v>
      </c>
      <c r="F6889" s="5" t="s">
        <v>2620</v>
      </c>
      <c r="AH6889" s="4" t="str">
        <f>HYPERLINK("#Statut_biogéographique!A"&amp;_xlfn.XMATCH("P",Statut_biogéographique!A:A,2,1),"P")</f>
        <v>P</v>
      </c>
      <c r="AP6889" s="4" t="s">
        <v>376</v>
      </c>
      <c r="AR6889" s="4" t="s">
        <v>377</v>
      </c>
    </row>
    <row r="6890" spans="1:44" ht="30">
      <c r="A6890" s="4" t="s">
        <v>5</v>
      </c>
      <c r="B6890" s="4">
        <v>49999</v>
      </c>
      <c r="D6890" s="5" t="s">
        <v>9680</v>
      </c>
      <c r="E6890" s="6" t="str">
        <f>HYPERLINK("https://inpn.mnhn.fr/espece/cd_nom/49999","Tarzetta catinus (Holmsk.) Korf &amp; J.K.Rogers, 1971")</f>
        <v>Tarzetta catinus (Holmsk.) Korf &amp; J.K.Rogers, 1971</v>
      </c>
      <c r="V6890" s="7" t="str">
        <f>HYPERLINK("#Liste_rouge!A"&amp;_xlfn.XMATCH("LC",Liste_rouge!A:A,2,1),"LC")</f>
        <v>LC</v>
      </c>
      <c r="AH6890" s="4" t="str">
        <f>HYPERLINK("#Statut_biogéographique!A"&amp;_xlfn.XMATCH("P",Statut_biogéographique!A:A,2,1),"P")</f>
        <v>P</v>
      </c>
      <c r="AP6890" s="4" t="s">
        <v>376</v>
      </c>
      <c r="AR6890" s="4" t="s">
        <v>377</v>
      </c>
    </row>
    <row r="6891" spans="1:44">
      <c r="A6891" s="4" t="s">
        <v>5</v>
      </c>
      <c r="B6891" s="4">
        <v>50003</v>
      </c>
      <c r="D6891" s="5" t="s">
        <v>9681</v>
      </c>
      <c r="E6891" s="6" t="str">
        <f>HYPERLINK("https://inpn.mnhn.fr/espece/cd_nom/50003","Tarzetta cupularis (L.) Lambotte, 1887")</f>
        <v>Tarzetta cupularis (L.) Lambotte, 1887</v>
      </c>
      <c r="V6891" s="7" t="str">
        <f>HYPERLINK("#Liste_rouge!A"&amp;_xlfn.XMATCH("LC",Liste_rouge!A:A,2,1),"LC")</f>
        <v>LC</v>
      </c>
      <c r="AH6891" s="4" t="str">
        <f>HYPERLINK("#Statut_biogéographique!A"&amp;_xlfn.XMATCH("P",Statut_biogéographique!A:A,2,1),"P")</f>
        <v>P</v>
      </c>
      <c r="AP6891" s="4" t="s">
        <v>376</v>
      </c>
      <c r="AR6891" s="4" t="s">
        <v>377</v>
      </c>
    </row>
    <row r="6892" spans="1:44">
      <c r="A6892" s="4" t="s">
        <v>5</v>
      </c>
      <c r="B6892" s="4">
        <v>50016</v>
      </c>
      <c r="D6892" s="5" t="s">
        <v>9682</v>
      </c>
      <c r="E6892" s="6" t="str">
        <f>HYPERLINK("https://inpn.mnhn.fr/espece/cd_nom/50016","Tatraea dumbirensis (Velen.) Svrček, 1993")</f>
        <v>Tatraea dumbirensis (Velen.) Svrček, 1993</v>
      </c>
      <c r="AH6892" s="4" t="str">
        <f>HYPERLINK("#Statut_biogéographique!A"&amp;_xlfn.XMATCH("P",Statut_biogéographique!A:A,2,1),"P")</f>
        <v>P</v>
      </c>
      <c r="AP6892" s="4" t="s">
        <v>376</v>
      </c>
      <c r="AR6892" s="4" t="s">
        <v>377</v>
      </c>
    </row>
    <row r="6893" spans="1:44" ht="30">
      <c r="A6893" s="4" t="s">
        <v>5</v>
      </c>
      <c r="B6893" s="4">
        <v>50036</v>
      </c>
      <c r="D6893" s="5" t="s">
        <v>9683</v>
      </c>
      <c r="E6893" s="6" t="str">
        <f>HYPERLINK("https://inpn.mnhn.fr/espece/cd_nom/50036","Thecotheus pelletieri (P.Crouan &amp; H.Crouan) Boud., 1869")</f>
        <v>Thecotheus pelletieri (P.Crouan &amp; H.Crouan) Boud., 1869</v>
      </c>
      <c r="AH6893" s="4" t="str">
        <f>HYPERLINK("#Statut_biogéographique!A"&amp;_xlfn.XMATCH("P",Statut_biogéographique!A:A,2,1),"P")</f>
        <v>P</v>
      </c>
      <c r="AP6893" s="4" t="s">
        <v>376</v>
      </c>
      <c r="AR6893" s="4" t="s">
        <v>377</v>
      </c>
    </row>
    <row r="6894" spans="1:44" ht="30">
      <c r="A6894" s="4" t="s">
        <v>5</v>
      </c>
      <c r="B6894" s="4">
        <v>50046</v>
      </c>
      <c r="D6894" s="5" t="s">
        <v>9684</v>
      </c>
      <c r="E6894" s="6" t="str">
        <f>HYPERLINK("https://inpn.mnhn.fr/espece/cd_nom/50046","Thelebolus microsporus (Berk. &amp; Broome) Kimbr., 1967")</f>
        <v>Thelebolus microsporus (Berk. &amp; Broome) Kimbr., 1967</v>
      </c>
      <c r="AH6894" s="4" t="str">
        <f>HYPERLINK("#Statut_biogéographique!A"&amp;_xlfn.XMATCH("P",Statut_biogéographique!A:A,2,1),"P")</f>
        <v>P</v>
      </c>
      <c r="AP6894" s="4" t="s">
        <v>376</v>
      </c>
      <c r="AR6894" s="4" t="s">
        <v>377</v>
      </c>
    </row>
    <row r="6895" spans="1:44">
      <c r="A6895" s="4" t="s">
        <v>5</v>
      </c>
      <c r="B6895" s="4">
        <v>50050</v>
      </c>
      <c r="D6895" s="5" t="s">
        <v>9685</v>
      </c>
      <c r="E6895" s="6" t="str">
        <f>HYPERLINK("https://inpn.mnhn.fr/espece/cd_nom/50050","Thelebolus stercoreus Tode, 1790")</f>
        <v>Thelebolus stercoreus Tode, 1790</v>
      </c>
      <c r="AH6895" s="4" t="str">
        <f>HYPERLINK("#Statut_biogéographique!A"&amp;_xlfn.XMATCH("P",Statut_biogéographique!A:A,2,1),"P")</f>
        <v>P</v>
      </c>
      <c r="AP6895" s="4" t="s">
        <v>376</v>
      </c>
      <c r="AR6895" s="4" t="s">
        <v>377</v>
      </c>
    </row>
    <row r="6896" spans="1:44">
      <c r="A6896" s="4" t="s">
        <v>5</v>
      </c>
      <c r="B6896" s="4">
        <v>50052</v>
      </c>
      <c r="C6896" s="4">
        <v>4108</v>
      </c>
      <c r="D6896" s="5" t="s">
        <v>9686</v>
      </c>
      <c r="E6896" s="6" t="str">
        <f>HYPERLINK("https://inpn.mnhn.fr/espece/cd_nom/50052","Thielavia fimeti (Fuckel) Malloch &amp; Cain, 1973")</f>
        <v>Thielavia fimeti (Fuckel) Malloch &amp; Cain, 1973</v>
      </c>
      <c r="AH6896" s="4" t="str">
        <f>HYPERLINK("#Statut_biogéographique!A"&amp;_xlfn.XMATCH("P",Statut_biogéographique!A:A,2,1),"P")</f>
        <v>P</v>
      </c>
      <c r="AP6896" s="4" t="s">
        <v>376</v>
      </c>
      <c r="AR6896" s="4" t="s">
        <v>377</v>
      </c>
    </row>
    <row r="6897" spans="1:44">
      <c r="A6897" s="4" t="s">
        <v>5</v>
      </c>
      <c r="B6897" s="4">
        <v>50055</v>
      </c>
      <c r="D6897" s="5" t="s">
        <v>9687</v>
      </c>
      <c r="E6897" s="6" t="str">
        <f>HYPERLINK("https://inpn.mnhn.fr/espece/cd_nom/50055","Peziza fimeti (Fuckel) E.C.Hansen, 1877")</f>
        <v>Peziza fimeti (Fuckel) E.C.Hansen, 1877</v>
      </c>
      <c r="AH6897" s="4" t="str">
        <f>HYPERLINK("#Statut_biogéographique!A"&amp;_xlfn.XMATCH("P",Statut_biogéographique!A:A,2,1),"P")</f>
        <v>P</v>
      </c>
      <c r="AP6897" s="4" t="s">
        <v>376</v>
      </c>
      <c r="AR6897" s="4" t="s">
        <v>377</v>
      </c>
    </row>
    <row r="6898" spans="1:44">
      <c r="A6898" s="4" t="s">
        <v>5</v>
      </c>
      <c r="B6898" s="4">
        <v>50083</v>
      </c>
      <c r="D6898" s="5" t="s">
        <v>9688</v>
      </c>
      <c r="E6898" s="6" t="str">
        <f>HYPERLINK("https://inpn.mnhn.fr/espece/cd_nom/50083","Tricharina ochroleuca (Sacc.) Eckblad, 1968")</f>
        <v>Tricharina ochroleuca (Sacc.) Eckblad, 1968</v>
      </c>
      <c r="AH6898" s="4" t="str">
        <f>HYPERLINK("#Statut_biogéographique!A"&amp;_xlfn.XMATCH("P",Statut_biogéographique!A:A,2,1),"P")</f>
        <v>P</v>
      </c>
      <c r="AP6898" s="4" t="s">
        <v>376</v>
      </c>
      <c r="AR6898" s="4" t="s">
        <v>377</v>
      </c>
    </row>
    <row r="6899" spans="1:44">
      <c r="A6899" s="4" t="s">
        <v>5</v>
      </c>
      <c r="B6899" s="4">
        <v>50086</v>
      </c>
      <c r="D6899" s="5" t="s">
        <v>9689</v>
      </c>
      <c r="E6899" s="6" t="str">
        <f>HYPERLINK("https://inpn.mnhn.fr/espece/cd_nom/50086","Tricharina praecox (P.Karst.) Dennis, 1971")</f>
        <v>Tricharina praecox (P.Karst.) Dennis, 1971</v>
      </c>
      <c r="AH6899" s="4" t="str">
        <f>HYPERLINK("#Statut_biogéographique!A"&amp;_xlfn.XMATCH("P",Statut_biogéographique!A:A,2,1),"P")</f>
        <v>P</v>
      </c>
      <c r="AP6899" s="4" t="s">
        <v>376</v>
      </c>
      <c r="AR6899" s="4" t="s">
        <v>377</v>
      </c>
    </row>
    <row r="6900" spans="1:44">
      <c r="A6900" s="4" t="s">
        <v>5</v>
      </c>
      <c r="B6900" s="4">
        <v>50101</v>
      </c>
      <c r="D6900" s="5" t="s">
        <v>9690</v>
      </c>
      <c r="E6900" s="6" t="str">
        <f>HYPERLINK("https://inpn.mnhn.fr/espece/cd_nom/50101","Trichoglossum hirsutum (Pers.) Boud., 1907")</f>
        <v>Trichoglossum hirsutum (Pers.) Boud., 1907</v>
      </c>
      <c r="F6900" s="5" t="s">
        <v>1035</v>
      </c>
      <c r="V6900" s="7" t="str">
        <f>HYPERLINK("#Liste_rouge!A"&amp;_xlfn.XMATCH("LC",Liste_rouge!A:A,2,1),"LC")</f>
        <v>LC</v>
      </c>
      <c r="AH6900" s="4" t="str">
        <f>HYPERLINK("#Statut_biogéographique!A"&amp;_xlfn.XMATCH("P",Statut_biogéographique!A:A,2,1),"P")</f>
        <v>P</v>
      </c>
      <c r="AP6900" s="4" t="s">
        <v>376</v>
      </c>
      <c r="AR6900" s="4" t="s">
        <v>377</v>
      </c>
    </row>
    <row r="6901" spans="1:44" ht="30">
      <c r="A6901" s="4" t="s">
        <v>5</v>
      </c>
      <c r="B6901" s="4">
        <v>50109</v>
      </c>
      <c r="D6901" s="5" t="s">
        <v>9691</v>
      </c>
      <c r="E6901" s="6" t="str">
        <f>HYPERLINK("https://inpn.mnhn.fr/espece/cd_nom/50109","Trichoglossum walteri (Berk.) E.J.Durand, 1908")</f>
        <v>Trichoglossum walteri (Berk.) E.J.Durand, 1908</v>
      </c>
      <c r="O6901" s="7" t="str">
        <f>HYPERLINK("#Liste_rouge!A"&amp;_xlfn.XMATCH("VU",Liste_rouge!A:A,2,1),"VU")</f>
        <v>VU</v>
      </c>
      <c r="V6901" s="7" t="str">
        <f>HYPERLINK("#Liste_rouge!A"&amp;_xlfn.XMATCH("CR",Liste_rouge!A:A,2,1),"CR")</f>
        <v>CR</v>
      </c>
      <c r="W6901" s="4" t="str">
        <f>HYPERLINK("#Critères_liste_rouge!A$1","B2abiii")</f>
        <v>B2abiii</v>
      </c>
      <c r="AH6901" s="4" t="str">
        <f>HYPERLINK("#Statut_biogéographique!A"&amp;_xlfn.XMATCH("P",Statut_biogéographique!A:A,2,1),"P")</f>
        <v>P</v>
      </c>
      <c r="AP6901" s="4" t="s">
        <v>376</v>
      </c>
      <c r="AR6901" s="4" t="s">
        <v>377</v>
      </c>
    </row>
    <row r="6902" spans="1:44" ht="30">
      <c r="A6902" s="4" t="s">
        <v>5</v>
      </c>
      <c r="B6902" s="4">
        <v>50134</v>
      </c>
      <c r="D6902" s="5" t="s">
        <v>9692</v>
      </c>
      <c r="E6902" s="6" t="str">
        <f>HYPERLINK("https://inpn.mnhn.fr/espece/cd_nom/50134","Trichophaea hemisphaerioides (Mouton) Graddon, 1960")</f>
        <v>Trichophaea hemisphaerioides (Mouton) Graddon, 1960</v>
      </c>
      <c r="V6902" s="7" t="str">
        <f>HYPERLINK("#Liste_rouge!A"&amp;_xlfn.XMATCH("EN",Liste_rouge!A:A,2,1),"EN")</f>
        <v>EN</v>
      </c>
      <c r="W6902" s="4" t="str">
        <f>HYPERLINK("#Critères_liste_rouge!A$1","B2abiii")</f>
        <v>B2abiii</v>
      </c>
      <c r="AH6902" s="4" t="str">
        <f>HYPERLINK("#Statut_biogéographique!A"&amp;_xlfn.XMATCH("P",Statut_biogéographique!A:A,2,1),"P")</f>
        <v>P</v>
      </c>
      <c r="AP6902" s="4" t="s">
        <v>376</v>
      </c>
      <c r="AR6902" s="4" t="s">
        <v>377</v>
      </c>
    </row>
    <row r="6903" spans="1:44" ht="30">
      <c r="A6903" s="4" t="s">
        <v>5</v>
      </c>
      <c r="B6903" s="4">
        <v>50144</v>
      </c>
      <c r="D6903" s="5" t="s">
        <v>9693</v>
      </c>
      <c r="E6903" s="6" t="str">
        <f>HYPERLINK("https://inpn.mnhn.fr/espece/cd_nom/50144","Trichophaea woolhopeia (Cooke &amp; W.Phillips) Boud., 1907")</f>
        <v>Trichophaea woolhopeia (Cooke &amp; W.Phillips) Boud., 1907</v>
      </c>
      <c r="V6903" s="7" t="str">
        <f>HYPERLINK("#Liste_rouge!A"&amp;_xlfn.XMATCH("LC",Liste_rouge!A:A,2,1),"LC")</f>
        <v>LC</v>
      </c>
      <c r="AH6903" s="4" t="str">
        <f>HYPERLINK("#Statut_biogéographique!A"&amp;_xlfn.XMATCH("P",Statut_biogéographique!A:A,2,1),"P")</f>
        <v>P</v>
      </c>
      <c r="AP6903" s="4" t="s">
        <v>376</v>
      </c>
      <c r="AR6903" s="4" t="s">
        <v>377</v>
      </c>
    </row>
    <row r="6904" spans="1:44" ht="30">
      <c r="A6904" s="4" t="s">
        <v>5</v>
      </c>
      <c r="B6904" s="4">
        <v>50157</v>
      </c>
      <c r="C6904" s="4">
        <v>5279</v>
      </c>
      <c r="D6904" s="5">
        <v>50157</v>
      </c>
      <c r="E6904" s="6" t="str">
        <f>HYPERLINK("https://inpn.mnhn.fr/espece/cd_nom/50157","Hyponectria buxi (Alb. &amp; Schwein.) Sacc., 1878")</f>
        <v>Hyponectria buxi (Alb. &amp; Schwein.) Sacc., 1878</v>
      </c>
      <c r="AH6904" s="4" t="str">
        <f>HYPERLINK("#Statut_biogéographique!A"&amp;_xlfn.XMATCH("P",Statut_biogéographique!A:A,2,1),"P")</f>
        <v>P</v>
      </c>
      <c r="AP6904" s="4" t="s">
        <v>376</v>
      </c>
      <c r="AR6904" s="4" t="s">
        <v>377</v>
      </c>
    </row>
    <row r="6905" spans="1:44">
      <c r="A6905" s="4" t="s">
        <v>5</v>
      </c>
      <c r="B6905" s="4">
        <v>50160</v>
      </c>
      <c r="D6905" s="5" t="s">
        <v>9694</v>
      </c>
      <c r="E6905" s="6" t="str">
        <f>HYPERLINK("https://inpn.mnhn.fr/espece/cd_nom/50160","Trochila ilicina (Nees ex Fr.) Courtec., 1986")</f>
        <v>Trochila ilicina (Nees ex Fr.) Courtec., 1986</v>
      </c>
      <c r="AH6905" s="4" t="str">
        <f>HYPERLINK("#Statut_biogéographique!A"&amp;_xlfn.XMATCH("P",Statut_biogéographique!A:A,2,1),"P")</f>
        <v>P</v>
      </c>
      <c r="AP6905" s="4" t="s">
        <v>376</v>
      </c>
      <c r="AR6905" s="4" t="s">
        <v>377</v>
      </c>
    </row>
    <row r="6906" spans="1:44">
      <c r="A6906" s="4" t="s">
        <v>5</v>
      </c>
      <c r="B6906" s="4">
        <v>50174</v>
      </c>
      <c r="D6906" s="5">
        <v>50174</v>
      </c>
      <c r="E6906" s="6" t="str">
        <f>HYPERLINK("https://inpn.mnhn.fr/espece/cd_nom/50174","Tuber brumale Vittad., 1831")</f>
        <v>Tuber brumale Vittad., 1831</v>
      </c>
      <c r="F6906" s="5" t="s">
        <v>9695</v>
      </c>
      <c r="V6906" s="7" t="str">
        <f>HYPERLINK("#Liste_rouge!A"&amp;_xlfn.XMATCH("DD",Liste_rouge!A:A,2,1),"DD")</f>
        <v>DD</v>
      </c>
      <c r="AH6906" s="4" t="str">
        <f>HYPERLINK("#Statut_biogéographique!A"&amp;_xlfn.XMATCH("P",Statut_biogéographique!A:A,2,1),"P")</f>
        <v>P</v>
      </c>
      <c r="AP6906" s="4" t="s">
        <v>376</v>
      </c>
      <c r="AR6906" s="4" t="s">
        <v>377</v>
      </c>
    </row>
    <row r="6907" spans="1:44">
      <c r="A6907" s="4" t="s">
        <v>5</v>
      </c>
      <c r="B6907" s="4">
        <v>50177</v>
      </c>
      <c r="D6907" s="5" t="s">
        <v>9696</v>
      </c>
      <c r="E6907" s="6" t="str">
        <f>HYPERLINK("https://inpn.mnhn.fr/espece/cd_nom/50177","Tuber dryophilum Tul. &amp; C.Tul., 1844")</f>
        <v>Tuber dryophilum Tul. &amp; C.Tul., 1844</v>
      </c>
      <c r="V6907" s="7" t="str">
        <f>HYPERLINK("#Liste_rouge!A"&amp;_xlfn.XMATCH("DD",Liste_rouge!A:A,2,1),"DD")</f>
        <v>DD</v>
      </c>
      <c r="AH6907" s="4" t="str">
        <f>HYPERLINK("#Statut_biogéographique!A"&amp;_xlfn.XMATCH("P",Statut_biogéographique!A:A,2,1),"P")</f>
        <v>P</v>
      </c>
      <c r="AP6907" s="4" t="s">
        <v>376</v>
      </c>
      <c r="AR6907" s="4" t="s">
        <v>377</v>
      </c>
    </row>
    <row r="6908" spans="1:44">
      <c r="A6908" s="4" t="s">
        <v>5</v>
      </c>
      <c r="B6908" s="4">
        <v>50271</v>
      </c>
      <c r="D6908" s="5" t="s">
        <v>9697</v>
      </c>
      <c r="E6908" s="6" t="str">
        <f>HYPERLINK("https://inpn.mnhn.fr/espece/cd_nom/50271","Urnula craterium (Schwein.) Fr., 1851")</f>
        <v>Urnula craterium (Schwein.) Fr., 1851</v>
      </c>
      <c r="V6908" s="7" t="str">
        <f>HYPERLINK("#Liste_rouge!A"&amp;_xlfn.XMATCH("EN",Liste_rouge!A:A,2,1),"EN")</f>
        <v>EN</v>
      </c>
      <c r="W6908" s="4" t="str">
        <f>HYPERLINK("#Critères_liste_rouge!A$1","B2abiii")</f>
        <v>B2abiii</v>
      </c>
      <c r="AH6908" s="4" t="str">
        <f>HYPERLINK("#Statut_biogéographique!A"&amp;_xlfn.XMATCH("P",Statut_biogéographique!A:A,2,1),"P")</f>
        <v>P</v>
      </c>
      <c r="AP6908" s="4" t="s">
        <v>376</v>
      </c>
      <c r="AR6908" s="4" t="s">
        <v>377</v>
      </c>
    </row>
    <row r="6909" spans="1:44">
      <c r="A6909" s="4" t="s">
        <v>5</v>
      </c>
      <c r="B6909" s="4">
        <v>50276</v>
      </c>
      <c r="D6909" s="5" t="s">
        <v>9698</v>
      </c>
      <c r="E6909" s="6" t="str">
        <f>HYPERLINK("https://inpn.mnhn.fr/espece/cd_nom/50276","Plectania melastoma (Sowerby) Fuckel, 1870")</f>
        <v>Plectania melastoma (Sowerby) Fuckel, 1870</v>
      </c>
      <c r="V6909" s="7" t="str">
        <f>HYPERLINK("#Liste_rouge!A"&amp;_xlfn.XMATCH("VU",Liste_rouge!A:A,2,1),"VU")</f>
        <v>VU</v>
      </c>
      <c r="W6909" s="4" t="str">
        <f>HYPERLINK("#Critères_liste_rouge!A$1","A2c")</f>
        <v>A2c</v>
      </c>
      <c r="AH6909" s="4" t="str">
        <f>HYPERLINK("#Statut_biogéographique!A"&amp;_xlfn.XMATCH("P",Statut_biogéographique!A:A,2,1),"P")</f>
        <v>P</v>
      </c>
      <c r="AP6909" s="4" t="s">
        <v>376</v>
      </c>
      <c r="AR6909" s="4" t="s">
        <v>377</v>
      </c>
    </row>
    <row r="6910" spans="1:44" ht="30">
      <c r="A6910" s="4" t="s">
        <v>5</v>
      </c>
      <c r="B6910" s="4">
        <v>50291</v>
      </c>
      <c r="D6910" s="5" t="s">
        <v>9699</v>
      </c>
      <c r="E6910" s="6" t="str">
        <f>HYPERLINK("https://inpn.mnhn.fr/espece/cd_nom/50291","Verpa bohemica (Krombh.) J.Schröt., 1893")</f>
        <v>Verpa bohemica (Krombh.) J.Schröt., 1893</v>
      </c>
      <c r="F6910" s="5" t="s">
        <v>2930</v>
      </c>
      <c r="V6910" s="7" t="str">
        <f>HYPERLINK("#Liste_rouge!A"&amp;_xlfn.XMATCH("VU",Liste_rouge!A:A,2,1),"VU")</f>
        <v>VU</v>
      </c>
      <c r="W6910" s="4" t="str">
        <f>HYPERLINK("#Critères_liste_rouge!A$1","B2abiii")</f>
        <v>B2abiii</v>
      </c>
      <c r="AH6910" s="4" t="str">
        <f>HYPERLINK("#Statut_biogéographique!A"&amp;_xlfn.XMATCH("P",Statut_biogéographique!A:A,2,1),"P")</f>
        <v>P</v>
      </c>
      <c r="AP6910" s="4" t="s">
        <v>376</v>
      </c>
      <c r="AR6910" s="4" t="s">
        <v>377</v>
      </c>
    </row>
    <row r="6911" spans="1:44" ht="30">
      <c r="A6911" s="4" t="s">
        <v>5</v>
      </c>
      <c r="B6911" s="4">
        <v>50313</v>
      </c>
      <c r="D6911" s="5" t="s">
        <v>9700</v>
      </c>
      <c r="E6911" s="6" t="str">
        <f>HYPERLINK("https://inpn.mnhn.fr/espece/cd_nom/50313","Vibrissea truncorum (Alb. &amp; Schwein.) Fr., 1822")</f>
        <v>Vibrissea truncorum (Alb. &amp; Schwein.) Fr., 1822</v>
      </c>
      <c r="V6911" s="7" t="str">
        <f>HYPERLINK("#Liste_rouge!A"&amp;_xlfn.XMATCH("NT",Liste_rouge!A:A,2,1),"NT")</f>
        <v>NT</v>
      </c>
      <c r="W6911" s="4" t="str">
        <f>HYPERLINK("#Critères_liste_rouge!A$1","pr. A2c")</f>
        <v>pr. A2c</v>
      </c>
      <c r="AH6911" s="4" t="str">
        <f>HYPERLINK("#Statut_biogéographique!A"&amp;_xlfn.XMATCH("P",Statut_biogéographique!A:A,2,1),"P")</f>
        <v>P</v>
      </c>
      <c r="AP6911" s="4" t="s">
        <v>376</v>
      </c>
      <c r="AR6911" s="4" t="s">
        <v>377</v>
      </c>
    </row>
    <row r="6912" spans="1:44">
      <c r="A6912" s="4" t="s">
        <v>5</v>
      </c>
      <c r="B6912" s="4">
        <v>50326</v>
      </c>
      <c r="D6912" s="5" t="s">
        <v>9701</v>
      </c>
      <c r="E6912" s="6" t="str">
        <f>HYPERLINK("https://inpn.mnhn.fr/espece/cd_nom/50326","Xylaria carpophila (Pers.) Fr., 1849")</f>
        <v>Xylaria carpophila (Pers.) Fr., 1849</v>
      </c>
      <c r="V6912" s="7" t="str">
        <f>HYPERLINK("#Liste_rouge!A"&amp;_xlfn.XMATCH("LC",Liste_rouge!A:A,2,1),"LC")</f>
        <v>LC</v>
      </c>
      <c r="AH6912" s="4" t="str">
        <f>HYPERLINK("#Statut_biogéographique!A"&amp;_xlfn.XMATCH("P",Statut_biogéographique!A:A,2,1),"P")</f>
        <v>P</v>
      </c>
      <c r="AP6912" s="4" t="s">
        <v>376</v>
      </c>
      <c r="AR6912" s="4" t="s">
        <v>377</v>
      </c>
    </row>
    <row r="6913" spans="1:44">
      <c r="A6913" s="4" t="s">
        <v>5</v>
      </c>
      <c r="B6913" s="4">
        <v>50332</v>
      </c>
      <c r="D6913" s="5" t="s">
        <v>9702</v>
      </c>
      <c r="E6913" s="6" t="str">
        <f>HYPERLINK("https://inpn.mnhn.fr/espece/cd_nom/50332","Xylaria filiformis (Alb. &amp; Schwein.) Fr., 1849")</f>
        <v>Xylaria filiformis (Alb. &amp; Schwein.) Fr., 1849</v>
      </c>
      <c r="V6913" s="7" t="str">
        <f>HYPERLINK("#Liste_rouge!A"&amp;_xlfn.XMATCH("LC",Liste_rouge!A:A,2,1),"LC")</f>
        <v>LC</v>
      </c>
      <c r="AH6913" s="4" t="str">
        <f>HYPERLINK("#Statut_biogéographique!A"&amp;_xlfn.XMATCH("P",Statut_biogéographique!A:A,2,1),"P")</f>
        <v>P</v>
      </c>
      <c r="AP6913" s="4" t="s">
        <v>376</v>
      </c>
      <c r="AR6913" s="4" t="s">
        <v>377</v>
      </c>
    </row>
    <row r="6914" spans="1:44" ht="30">
      <c r="A6914" s="4" t="s">
        <v>5</v>
      </c>
      <c r="B6914" s="4">
        <v>50337</v>
      </c>
      <c r="D6914" s="5" t="s">
        <v>9703</v>
      </c>
      <c r="E6914" s="6" t="str">
        <f>HYPERLINK("https://inpn.mnhn.fr/espece/cd_nom/50337","Xylaria hypoxylon (L.) Grev., 1824")</f>
        <v>Xylaria hypoxylon (L.) Grev., 1824</v>
      </c>
      <c r="F6914" s="5" t="s">
        <v>4563</v>
      </c>
      <c r="V6914" s="7" t="str">
        <f>HYPERLINK("#Liste_rouge!A"&amp;_xlfn.XMATCH("LC",Liste_rouge!A:A,2,1),"LC")</f>
        <v>LC</v>
      </c>
      <c r="AH6914" s="4" t="str">
        <f>HYPERLINK("#Statut_biogéographique!A"&amp;_xlfn.XMATCH("P",Statut_biogéographique!A:A,2,1),"P")</f>
        <v>P</v>
      </c>
      <c r="AP6914" s="4" t="s">
        <v>376</v>
      </c>
      <c r="AR6914" s="4" t="s">
        <v>377</v>
      </c>
    </row>
    <row r="6915" spans="1:44">
      <c r="A6915" s="4" t="s">
        <v>5</v>
      </c>
      <c r="B6915" s="4">
        <v>50340</v>
      </c>
      <c r="D6915" s="5" t="s">
        <v>9704</v>
      </c>
      <c r="E6915" s="6" t="str">
        <f>HYPERLINK("https://inpn.mnhn.fr/espece/cd_nom/50340","Xylaria longipes Nitschke, 1867")</f>
        <v>Xylaria longipes Nitschke, 1867</v>
      </c>
      <c r="F6915" s="5" t="s">
        <v>4855</v>
      </c>
      <c r="V6915" s="7" t="str">
        <f>HYPERLINK("#Liste_rouge!A"&amp;_xlfn.XMATCH("LC",Liste_rouge!A:A,2,1),"LC")</f>
        <v>LC</v>
      </c>
      <c r="AH6915" s="4" t="str">
        <f>HYPERLINK("#Statut_biogéographique!A"&amp;_xlfn.XMATCH("P",Statut_biogéographique!A:A,2,1),"P")</f>
        <v>P</v>
      </c>
      <c r="AP6915" s="4" t="s">
        <v>376</v>
      </c>
      <c r="AR6915" s="4" t="s">
        <v>377</v>
      </c>
    </row>
    <row r="6916" spans="1:44" ht="30">
      <c r="A6916" s="4" t="s">
        <v>5</v>
      </c>
      <c r="B6916" s="4">
        <v>50344</v>
      </c>
      <c r="D6916" s="5" t="s">
        <v>9705</v>
      </c>
      <c r="E6916" s="6" t="str">
        <f>HYPERLINK("https://inpn.mnhn.fr/espece/cd_nom/50344","Xylaria polymorpha (Pers.) Grev., 1824")</f>
        <v>Xylaria polymorpha (Pers.) Grev., 1824</v>
      </c>
      <c r="F6916" s="5" t="s">
        <v>9706</v>
      </c>
      <c r="V6916" s="7" t="str">
        <f>HYPERLINK("#Liste_rouge!A"&amp;_xlfn.XMATCH("LC",Liste_rouge!A:A,2,1),"LC")</f>
        <v>LC</v>
      </c>
      <c r="AH6916" s="4" t="str">
        <f>HYPERLINK("#Statut_biogéographique!A"&amp;_xlfn.XMATCH("P",Statut_biogéographique!A:A,2,1),"P")</f>
        <v>P</v>
      </c>
      <c r="AP6916" s="4" t="s">
        <v>376</v>
      </c>
      <c r="AR6916" s="4" t="s">
        <v>377</v>
      </c>
    </row>
    <row r="6917" spans="1:44">
      <c r="A6917" s="4" t="s">
        <v>5</v>
      </c>
      <c r="B6917" s="4">
        <v>50377</v>
      </c>
      <c r="C6917" s="4">
        <v>5074</v>
      </c>
      <c r="D6917" s="5" t="s">
        <v>9707</v>
      </c>
      <c r="E6917" s="6" t="str">
        <f>HYPERLINK("https://inpn.mnhn.fr/espece/cd_nom/50377","Arcyria affinis Rostaf., 1875")</f>
        <v>Arcyria affinis Rostaf., 1875</v>
      </c>
      <c r="AH6917" s="4" t="str">
        <f>HYPERLINK("#Statut_biogéographique!A"&amp;_xlfn.XMATCH("P",Statut_biogéographique!A:A,2,1),"P")</f>
        <v>P</v>
      </c>
      <c r="AP6917" s="4" t="s">
        <v>376</v>
      </c>
      <c r="AR6917" s="4" t="s">
        <v>377</v>
      </c>
    </row>
    <row r="6918" spans="1:44" ht="90">
      <c r="A6918" s="4" t="s">
        <v>5</v>
      </c>
      <c r="B6918" s="4">
        <v>50381</v>
      </c>
      <c r="C6918" s="4">
        <v>1632</v>
      </c>
      <c r="D6918" s="5" t="s">
        <v>9708</v>
      </c>
      <c r="E6918" s="6" t="str">
        <f>HYPERLINK("https://inpn.mnhn.fr/espece/cd_nom/50381","Arcyria cinerea (Bull.) Pers., 1801")</f>
        <v>Arcyria cinerea (Bull.) Pers., 1801</v>
      </c>
      <c r="F6918" s="5" t="s">
        <v>9709</v>
      </c>
      <c r="AH6918" s="4" t="str">
        <f>HYPERLINK("#Statut_biogéographique!A"&amp;_xlfn.XMATCH("P",Statut_biogéographique!A:A,2,1),"P")</f>
        <v>P</v>
      </c>
      <c r="AP6918" s="4" t="s">
        <v>376</v>
      </c>
      <c r="AR6918" s="4" t="s">
        <v>377</v>
      </c>
    </row>
    <row r="6919" spans="1:44">
      <c r="A6919" s="4" t="s">
        <v>5</v>
      </c>
      <c r="B6919" s="4">
        <v>50388</v>
      </c>
      <c r="C6919" s="4">
        <v>4915</v>
      </c>
      <c r="D6919" s="5" t="s">
        <v>9710</v>
      </c>
      <c r="E6919" s="6" t="str">
        <f>HYPERLINK("https://inpn.mnhn.fr/espece/cd_nom/50388","Arcyria ferruginea Saut., 1841")</f>
        <v>Arcyria ferruginea Saut., 1841</v>
      </c>
      <c r="AH6919" s="4" t="str">
        <f>HYPERLINK("#Statut_biogéographique!A"&amp;_xlfn.XMATCH("P",Statut_biogéographique!A:A,2,1),"P")</f>
        <v>P</v>
      </c>
      <c r="AP6919" s="4" t="s">
        <v>376</v>
      </c>
      <c r="AR6919" s="4" t="s">
        <v>377</v>
      </c>
    </row>
    <row r="6920" spans="1:44">
      <c r="A6920" s="4" t="s">
        <v>5</v>
      </c>
      <c r="B6920" s="4">
        <v>50405</v>
      </c>
      <c r="C6920" s="4">
        <v>921</v>
      </c>
      <c r="D6920" s="5" t="s">
        <v>9711</v>
      </c>
      <c r="E6920" s="6" t="str">
        <f>HYPERLINK("https://inpn.mnhn.fr/espece/cd_nom/50405","Arcyria minuta Buchet, 1928")</f>
        <v>Arcyria minuta Buchet, 1928</v>
      </c>
      <c r="AH6920" s="4" t="str">
        <f>HYPERLINK("#Statut_biogéographique!A"&amp;_xlfn.XMATCH("P",Statut_biogéographique!A:A,2,1),"P")</f>
        <v>P</v>
      </c>
      <c r="AP6920" s="4" t="s">
        <v>376</v>
      </c>
      <c r="AR6920" s="4" t="s">
        <v>377</v>
      </c>
    </row>
    <row r="6921" spans="1:44">
      <c r="A6921" s="4" t="s">
        <v>5</v>
      </c>
      <c r="B6921" s="4">
        <v>50409</v>
      </c>
      <c r="C6921" s="4">
        <v>2310</v>
      </c>
      <c r="D6921" s="5" t="s">
        <v>9712</v>
      </c>
      <c r="E6921" s="6" t="str">
        <f>HYPERLINK("https://inpn.mnhn.fr/espece/cd_nom/50409","Arcyria obvelata (Oeder) Onsberg, 1979")</f>
        <v>Arcyria obvelata (Oeder) Onsberg, 1979</v>
      </c>
      <c r="AH6921" s="4" t="str">
        <f>HYPERLINK("#Statut_biogéographique!A"&amp;_xlfn.XMATCH("P",Statut_biogéographique!A:A,2,1),"P")</f>
        <v>P</v>
      </c>
      <c r="AP6921" s="4" t="s">
        <v>376</v>
      </c>
      <c r="AR6921" s="4" t="s">
        <v>377</v>
      </c>
    </row>
    <row r="6922" spans="1:44" ht="45">
      <c r="A6922" s="4" t="s">
        <v>5</v>
      </c>
      <c r="B6922" s="4">
        <v>50417</v>
      </c>
      <c r="C6922" s="4">
        <v>5075</v>
      </c>
      <c r="D6922" s="5" t="s">
        <v>9713</v>
      </c>
      <c r="E6922" s="6" t="str">
        <f>HYPERLINK("https://inpn.mnhn.fr/espece/cd_nom/50417","Arcyria pomiformis (Leers) Rostaf., 1875")</f>
        <v>Arcyria pomiformis (Leers) Rostaf., 1875</v>
      </c>
      <c r="AH6922" s="4" t="str">
        <f>HYPERLINK("#Statut_biogéographique!A"&amp;_xlfn.XMATCH("P",Statut_biogéographique!A:A,2,1),"P")</f>
        <v>P</v>
      </c>
      <c r="AP6922" s="4" t="s">
        <v>376</v>
      </c>
      <c r="AR6922" s="4" t="s">
        <v>377</v>
      </c>
    </row>
    <row r="6923" spans="1:44">
      <c r="A6923" s="4" t="s">
        <v>5</v>
      </c>
      <c r="B6923" s="4">
        <v>50421</v>
      </c>
      <c r="C6923" s="4">
        <v>5076</v>
      </c>
      <c r="D6923" s="5" t="s">
        <v>9714</v>
      </c>
      <c r="E6923" s="6" t="str">
        <f>HYPERLINK("https://inpn.mnhn.fr/espece/cd_nom/50421","Arcyria stipata (Schwein.) Lister, 1894")</f>
        <v>Arcyria stipata (Schwein.) Lister, 1894</v>
      </c>
      <c r="AH6923" s="4" t="str">
        <f>HYPERLINK("#Statut_biogéographique!A"&amp;_xlfn.XMATCH("P",Statut_biogéographique!A:A,2,1),"P")</f>
        <v>P</v>
      </c>
      <c r="AP6923" s="4" t="s">
        <v>376</v>
      </c>
      <c r="AR6923" s="4" t="s">
        <v>377</v>
      </c>
    </row>
    <row r="6924" spans="1:44">
      <c r="A6924" s="4" t="s">
        <v>5</v>
      </c>
      <c r="B6924" s="4">
        <v>50435</v>
      </c>
      <c r="C6924" s="4">
        <v>4916</v>
      </c>
      <c r="D6924" s="5" t="s">
        <v>9715</v>
      </c>
      <c r="E6924" s="6" t="str">
        <f>HYPERLINK("https://inpn.mnhn.fr/espece/cd_nom/50435","Badhamia foliicola Lister, 1897")</f>
        <v>Badhamia foliicola Lister, 1897</v>
      </c>
      <c r="AH6924" s="4" t="str">
        <f>HYPERLINK("#Statut_biogéographique!A"&amp;_xlfn.XMATCH("P",Statut_biogéographique!A:A,2,1),"P")</f>
        <v>P</v>
      </c>
      <c r="AP6924" s="4" t="s">
        <v>376</v>
      </c>
      <c r="AR6924" s="4" t="s">
        <v>377</v>
      </c>
    </row>
    <row r="6925" spans="1:44">
      <c r="A6925" s="4" t="s">
        <v>5</v>
      </c>
      <c r="B6925" s="4">
        <v>50442</v>
      </c>
      <c r="C6925" s="4">
        <v>5091</v>
      </c>
      <c r="D6925" s="5" t="s">
        <v>9716</v>
      </c>
      <c r="E6925" s="6" t="str">
        <f>HYPERLINK("https://inpn.mnhn.fr/espece/cd_nom/50442","Badhamia macrocarpa (Ces.) Rostaf., 1875")</f>
        <v>Badhamia macrocarpa (Ces.) Rostaf., 1875</v>
      </c>
      <c r="AH6925" s="4" t="str">
        <f>HYPERLINK("#Statut_biogéographique!A"&amp;_xlfn.XMATCH("P",Statut_biogéographique!A:A,2,1),"P")</f>
        <v>P</v>
      </c>
      <c r="AP6925" s="4" t="s">
        <v>376</v>
      </c>
      <c r="AR6925" s="4" t="s">
        <v>377</v>
      </c>
    </row>
    <row r="6926" spans="1:44">
      <c r="A6926" s="4" t="s">
        <v>5</v>
      </c>
      <c r="B6926" s="4">
        <v>50451</v>
      </c>
      <c r="C6926" s="4">
        <v>3179</v>
      </c>
      <c r="D6926" s="5" t="s">
        <v>9717</v>
      </c>
      <c r="E6926" s="6" t="str">
        <f>HYPERLINK("https://inpn.mnhn.fr/espece/cd_nom/50451","Badhamia panicea (Fr.) Rostaf., 1873")</f>
        <v>Badhamia panicea (Fr.) Rostaf., 1873</v>
      </c>
      <c r="AH6926" s="4" t="str">
        <f>HYPERLINK("#Statut_biogéographique!A"&amp;_xlfn.XMATCH("P",Statut_biogéographique!A:A,2,1),"P")</f>
        <v>P</v>
      </c>
      <c r="AP6926" s="4" t="s">
        <v>376</v>
      </c>
      <c r="AR6926" s="4" t="s">
        <v>377</v>
      </c>
    </row>
    <row r="6927" spans="1:44" ht="30">
      <c r="A6927" s="4" t="s">
        <v>5</v>
      </c>
      <c r="B6927" s="4">
        <v>50491</v>
      </c>
      <c r="C6927" s="4">
        <v>5104</v>
      </c>
      <c r="D6927" s="5" t="s">
        <v>9718</v>
      </c>
      <c r="E6927" s="6" t="str">
        <f>HYPERLINK("https://inpn.mnhn.fr/espece/cd_nom/50491","Collaria arcyrionema (Rostaf.) Nann.-Bremek. ex Lado, 1991")</f>
        <v>Collaria arcyrionema (Rostaf.) Nann.-Bremek. ex Lado, 1991</v>
      </c>
      <c r="AH6927" s="4" t="str">
        <f>HYPERLINK("#Statut_biogéographique!A"&amp;_xlfn.XMATCH("P",Statut_biogéographique!A:A,2,1),"P")</f>
        <v>P</v>
      </c>
      <c r="AP6927" s="4" t="s">
        <v>376</v>
      </c>
      <c r="AR6927" s="4" t="s">
        <v>377</v>
      </c>
    </row>
    <row r="6928" spans="1:44">
      <c r="A6928" s="4" t="s">
        <v>5</v>
      </c>
      <c r="B6928" s="4">
        <v>50513</v>
      </c>
      <c r="C6928" s="4">
        <v>5105</v>
      </c>
      <c r="D6928" s="5" t="s">
        <v>9719</v>
      </c>
      <c r="E6928" s="6" t="str">
        <f>HYPERLINK("https://inpn.mnhn.fr/espece/cd_nom/50513","Comatricha anomala Rammeloo, 1976")</f>
        <v>Comatricha anomala Rammeloo, 1976</v>
      </c>
      <c r="AH6928" s="4" t="str">
        <f>HYPERLINK("#Statut_biogéographique!A"&amp;_xlfn.XMATCH("P",Statut_biogéographique!A:A,2,1),"P")</f>
        <v>P</v>
      </c>
      <c r="AP6928" s="4" t="s">
        <v>376</v>
      </c>
      <c r="AR6928" s="4" t="s">
        <v>377</v>
      </c>
    </row>
    <row r="6929" spans="1:44">
      <c r="A6929" s="4" t="s">
        <v>5</v>
      </c>
      <c r="B6929" s="4">
        <v>50525</v>
      </c>
      <c r="C6929" s="4">
        <v>4917</v>
      </c>
      <c r="D6929" s="5" t="s">
        <v>9720</v>
      </c>
      <c r="E6929" s="6" t="str">
        <f>HYPERLINK("https://inpn.mnhn.fr/espece/cd_nom/50525","Comatricha laxa Rostaf., 1874")</f>
        <v>Comatricha laxa Rostaf., 1874</v>
      </c>
      <c r="AH6929" s="4" t="str">
        <f>HYPERLINK("#Statut_biogéographique!A"&amp;_xlfn.XMATCH("P",Statut_biogéographique!A:A,2,1),"P")</f>
        <v>P</v>
      </c>
      <c r="AP6929" s="4" t="s">
        <v>376</v>
      </c>
      <c r="AR6929" s="4" t="s">
        <v>377</v>
      </c>
    </row>
    <row r="6930" spans="1:44" ht="60">
      <c r="A6930" s="4" t="s">
        <v>5</v>
      </c>
      <c r="B6930" s="4">
        <v>50530</v>
      </c>
      <c r="C6930" s="4">
        <v>759</v>
      </c>
      <c r="D6930" s="5" t="s">
        <v>9721</v>
      </c>
      <c r="E6930" s="6" t="str">
        <f>HYPERLINK("https://inpn.mnhn.fr/espece/cd_nom/50530","Comatricha nigra (Pers. ex J.F.Gmel.) J.Schröt., 1885")</f>
        <v>Comatricha nigra (Pers. ex J.F.Gmel.) J.Schröt., 1885</v>
      </c>
      <c r="AH6930" s="4" t="str">
        <f>HYPERLINK("#Statut_biogéographique!A"&amp;_xlfn.XMATCH("P",Statut_biogéographique!A:A,2,1),"P")</f>
        <v>P</v>
      </c>
      <c r="AP6930" s="4" t="s">
        <v>376</v>
      </c>
      <c r="AR6930" s="4" t="s">
        <v>377</v>
      </c>
    </row>
    <row r="6931" spans="1:44">
      <c r="A6931" s="4" t="s">
        <v>5</v>
      </c>
      <c r="B6931" s="4">
        <v>50534</v>
      </c>
      <c r="C6931" s="4">
        <v>6520</v>
      </c>
      <c r="D6931" s="5" t="s">
        <v>9722</v>
      </c>
      <c r="E6931" s="6" t="str">
        <f>HYPERLINK("https://inpn.mnhn.fr/espece/cd_nom/50534","Comatricha pulchella (C.Bab.) Rostaf., 1876")</f>
        <v>Comatricha pulchella (C.Bab.) Rostaf., 1876</v>
      </c>
      <c r="AH6931" s="4" t="str">
        <f>HYPERLINK("#Statut_biogéographique!A"&amp;_xlfn.XMATCH("P",Statut_biogéographique!A:A,2,1),"P")</f>
        <v>P</v>
      </c>
      <c r="AP6931" s="4" t="s">
        <v>376</v>
      </c>
      <c r="AR6931" s="4" t="s">
        <v>377</v>
      </c>
    </row>
    <row r="6932" spans="1:44">
      <c r="A6932" s="4" t="s">
        <v>5</v>
      </c>
      <c r="B6932" s="4">
        <v>50539</v>
      </c>
      <c r="C6932" s="4">
        <v>5107</v>
      </c>
      <c r="D6932" s="5" t="s">
        <v>9723</v>
      </c>
      <c r="E6932" s="6" t="str">
        <f>HYPERLINK("https://inpn.mnhn.fr/espece/cd_nom/50539","Comatricha suksdorfii Ellis &amp; Everh., 1884")</f>
        <v>Comatricha suksdorfii Ellis &amp; Everh., 1884</v>
      </c>
      <c r="AH6932" s="4" t="str">
        <f>HYPERLINK("#Statut_biogéographique!A"&amp;_xlfn.XMATCH("P",Statut_biogéographique!A:A,2,1),"P")</f>
        <v>P</v>
      </c>
      <c r="AP6932" s="4" t="s">
        <v>376</v>
      </c>
      <c r="AR6932" s="4" t="s">
        <v>377</v>
      </c>
    </row>
    <row r="6933" spans="1:44">
      <c r="A6933" s="4" t="s">
        <v>5</v>
      </c>
      <c r="B6933" s="4">
        <v>50567</v>
      </c>
      <c r="C6933" s="4">
        <v>3517</v>
      </c>
      <c r="D6933" s="5" t="s">
        <v>9724</v>
      </c>
      <c r="E6933" s="6" t="str">
        <f>HYPERLINK("https://inpn.mnhn.fr/espece/cd_nom/50567","Cribraria Pers., 1794")</f>
        <v>Cribraria Pers., 1794</v>
      </c>
      <c r="F6933" s="5" t="s">
        <v>9725</v>
      </c>
      <c r="AH6933" s="4" t="str">
        <f>HYPERLINK("#Statut_biogéographique!A"&amp;_xlfn.XMATCH("P",Statut_biogéographique!A:A,2,1),"P")</f>
        <v>P</v>
      </c>
      <c r="AP6933" s="4" t="s">
        <v>376</v>
      </c>
      <c r="AR6933" s="4" t="s">
        <v>377</v>
      </c>
    </row>
    <row r="6934" spans="1:44" ht="30">
      <c r="A6934" s="4" t="s">
        <v>5</v>
      </c>
      <c r="B6934" s="4">
        <v>50584</v>
      </c>
      <c r="C6934" s="4">
        <v>5023</v>
      </c>
      <c r="D6934" s="5" t="s">
        <v>9726</v>
      </c>
      <c r="E6934" s="6" t="str">
        <f>HYPERLINK("https://inpn.mnhn.fr/espece/cd_nom/50584","Cribraria filiformis Nowotny &amp; H.Neubert, 1993")</f>
        <v>Cribraria filiformis Nowotny &amp; H.Neubert, 1993</v>
      </c>
      <c r="F6934" s="5" t="s">
        <v>9727</v>
      </c>
      <c r="AH6934" s="4" t="str">
        <f>HYPERLINK("#Statut_biogéographique!A"&amp;_xlfn.XMATCH("P",Statut_biogéographique!A:A,2,1),"P")</f>
        <v>P</v>
      </c>
      <c r="AP6934" s="4" t="s">
        <v>376</v>
      </c>
      <c r="AR6934" s="4" t="s">
        <v>377</v>
      </c>
    </row>
    <row r="6935" spans="1:44">
      <c r="A6935" s="4" t="s">
        <v>5</v>
      </c>
      <c r="B6935" s="4">
        <v>50585</v>
      </c>
      <c r="C6935" s="4">
        <v>5024</v>
      </c>
      <c r="D6935" s="5" t="s">
        <v>9728</v>
      </c>
      <c r="E6935" s="6" t="str">
        <f>HYPERLINK("https://inpn.mnhn.fr/espece/cd_nom/50585","Cribraria intricata Schrad., 1797")</f>
        <v>Cribraria intricata Schrad., 1797</v>
      </c>
      <c r="AH6935" s="4" t="str">
        <f>HYPERLINK("#Statut_biogéographique!A"&amp;_xlfn.XMATCH("P",Statut_biogéographique!A:A,2,1),"P")</f>
        <v>P</v>
      </c>
      <c r="AP6935" s="4" t="s">
        <v>376</v>
      </c>
      <c r="AR6935" s="4" t="s">
        <v>377</v>
      </c>
    </row>
    <row r="6936" spans="1:44">
      <c r="A6936" s="4" t="s">
        <v>5</v>
      </c>
      <c r="B6936" s="4">
        <v>50604</v>
      </c>
      <c r="C6936" s="4">
        <v>5069</v>
      </c>
      <c r="D6936" s="5" t="s">
        <v>9729</v>
      </c>
      <c r="E6936" s="6" t="str">
        <f>HYPERLINK("https://inpn.mnhn.fr/espece/cd_nom/50604","Cribraria mirabilis (Rostaf.) Massee, 1892")</f>
        <v>Cribraria mirabilis (Rostaf.) Massee, 1892</v>
      </c>
      <c r="AH6936" s="4" t="str">
        <f>HYPERLINK("#Statut_biogéographique!A"&amp;_xlfn.XMATCH("P",Statut_biogéographique!A:A,2,1),"P")</f>
        <v>P</v>
      </c>
      <c r="AP6936" s="4" t="s">
        <v>376</v>
      </c>
      <c r="AR6936" s="4" t="s">
        <v>377</v>
      </c>
    </row>
    <row r="6937" spans="1:44">
      <c r="A6937" s="4" t="s">
        <v>5</v>
      </c>
      <c r="B6937" s="4">
        <v>50625</v>
      </c>
      <c r="C6937" s="4">
        <v>5026</v>
      </c>
      <c r="D6937" s="5" t="s">
        <v>9730</v>
      </c>
      <c r="E6937" s="6" t="str">
        <f>HYPERLINK("https://inpn.mnhn.fr/espece/cd_nom/50625","Cribraria tenella Schrad., 1797")</f>
        <v>Cribraria tenella Schrad., 1797</v>
      </c>
      <c r="AH6937" s="4" t="str">
        <f>HYPERLINK("#Statut_biogéographique!A"&amp;_xlfn.XMATCH("P",Statut_biogéographique!A:A,2,1),"P")</f>
        <v>P</v>
      </c>
      <c r="AP6937" s="4" t="s">
        <v>376</v>
      </c>
      <c r="AR6937" s="4" t="s">
        <v>377</v>
      </c>
    </row>
    <row r="6938" spans="1:44">
      <c r="A6938" s="4" t="s">
        <v>5</v>
      </c>
      <c r="B6938" s="4">
        <v>50633</v>
      </c>
      <c r="C6938" s="4">
        <v>4965</v>
      </c>
      <c r="D6938" s="5" t="s">
        <v>9731</v>
      </c>
      <c r="E6938" s="6" t="str">
        <f>HYPERLINK("https://inpn.mnhn.fr/espece/cd_nom/50633","Diachea subsessilis Peck, 1878")</f>
        <v>Diachea subsessilis Peck, 1878</v>
      </c>
      <c r="AH6938" s="4" t="str">
        <f>HYPERLINK("#Statut_biogéographique!A"&amp;_xlfn.XMATCH("P",Statut_biogéographique!A:A,2,1),"P")</f>
        <v>P</v>
      </c>
      <c r="AP6938" s="4" t="s">
        <v>376</v>
      </c>
      <c r="AR6938" s="4" t="s">
        <v>377</v>
      </c>
    </row>
    <row r="6939" spans="1:44">
      <c r="A6939" s="4" t="s">
        <v>5</v>
      </c>
      <c r="B6939" s="4">
        <v>50636</v>
      </c>
      <c r="C6939" s="4">
        <v>5082</v>
      </c>
      <c r="D6939" s="5" t="s">
        <v>9732</v>
      </c>
      <c r="E6939" s="6" t="str">
        <f>HYPERLINK("https://inpn.mnhn.fr/espece/cd_nom/50636","Diacheopsis metallica Meyl., 1930")</f>
        <v>Diacheopsis metallica Meyl., 1930</v>
      </c>
      <c r="AH6939" s="4" t="str">
        <f>HYPERLINK("#Statut_biogéographique!A"&amp;_xlfn.XMATCH("P",Statut_biogéographique!A:A,2,1),"P")</f>
        <v>P</v>
      </c>
      <c r="AP6939" s="4" t="s">
        <v>376</v>
      </c>
      <c r="AR6939" s="4" t="s">
        <v>377</v>
      </c>
    </row>
    <row r="6940" spans="1:44" ht="90">
      <c r="A6940" s="4" t="s">
        <v>5</v>
      </c>
      <c r="B6940" s="4">
        <v>50650</v>
      </c>
      <c r="C6940" s="4">
        <v>6231</v>
      </c>
      <c r="D6940" s="5" t="s">
        <v>9733</v>
      </c>
      <c r="E6940" s="6" t="str">
        <f>HYPERLINK("https://inpn.mnhn.fr/espece/cd_nom/50650","Dictydiaethalium plumbeum (Schumach.) Rostaf., 1894")</f>
        <v>Dictydiaethalium plumbeum (Schumach.) Rostaf., 1894</v>
      </c>
      <c r="AH6940" s="4" t="str">
        <f>HYPERLINK("#Statut_biogéographique!A"&amp;_xlfn.XMATCH("P",Statut_biogéographique!A:A,2,1),"P")</f>
        <v>P</v>
      </c>
      <c r="AP6940" s="4" t="s">
        <v>376</v>
      </c>
      <c r="AR6940" s="4" t="s">
        <v>377</v>
      </c>
    </row>
    <row r="6941" spans="1:44">
      <c r="A6941" s="4" t="s">
        <v>5</v>
      </c>
      <c r="B6941" s="4">
        <v>50664</v>
      </c>
      <c r="C6941" s="4">
        <v>5084</v>
      </c>
      <c r="D6941" s="5" t="s">
        <v>9734</v>
      </c>
      <c r="E6941" s="6" t="str">
        <f>HYPERLINK("https://inpn.mnhn.fr/espece/cd_nom/50664","Diderma effusum (Schwein.) Morgan, 1894")</f>
        <v>Diderma effusum (Schwein.) Morgan, 1894</v>
      </c>
      <c r="AH6941" s="4" t="str">
        <f>HYPERLINK("#Statut_biogéographique!A"&amp;_xlfn.XMATCH("P",Statut_biogéographique!A:A,2,1),"P")</f>
        <v>P</v>
      </c>
      <c r="AP6941" s="4" t="s">
        <v>376</v>
      </c>
      <c r="AR6941" s="4" t="s">
        <v>377</v>
      </c>
    </row>
    <row r="6942" spans="1:44">
      <c r="A6942" s="4" t="s">
        <v>5</v>
      </c>
      <c r="B6942" s="4">
        <v>50667</v>
      </c>
      <c r="C6942" s="4">
        <v>5085</v>
      </c>
      <c r="D6942" s="5" t="s">
        <v>9735</v>
      </c>
      <c r="E6942" s="6" t="str">
        <f>HYPERLINK("https://inpn.mnhn.fr/espece/cd_nom/50667","Diderma floriforme (Bull.) Pers., 1794")</f>
        <v>Diderma floriforme (Bull.) Pers., 1794</v>
      </c>
      <c r="AH6942" s="4" t="str">
        <f>HYPERLINK("#Statut_biogéographique!A"&amp;_xlfn.XMATCH("P",Statut_biogéographique!A:A,2,1),"P")</f>
        <v>P</v>
      </c>
      <c r="AP6942" s="4" t="s">
        <v>376</v>
      </c>
      <c r="AR6942" s="4" t="s">
        <v>377</v>
      </c>
    </row>
    <row r="6943" spans="1:44" ht="30">
      <c r="A6943" s="4" t="s">
        <v>5</v>
      </c>
      <c r="B6943" s="4">
        <v>50673</v>
      </c>
      <c r="C6943" s="4">
        <v>4941</v>
      </c>
      <c r="D6943" s="5" t="s">
        <v>9736</v>
      </c>
      <c r="E6943" s="6" t="str">
        <f>HYPERLINK("https://inpn.mnhn.fr/espece/cd_nom/50673","Diderma hemisphaericum (Bull.) Hornem., 1829")</f>
        <v>Diderma hemisphaericum (Bull.) Hornem., 1829</v>
      </c>
      <c r="AH6943" s="4" t="str">
        <f>HYPERLINK("#Statut_biogéographique!A"&amp;_xlfn.XMATCH("P",Statut_biogéographique!A:A,2,1),"P")</f>
        <v>P</v>
      </c>
      <c r="AP6943" s="4" t="s">
        <v>376</v>
      </c>
      <c r="AR6943" s="4" t="s">
        <v>377</v>
      </c>
    </row>
    <row r="6944" spans="1:44">
      <c r="A6944" s="4" t="s">
        <v>5</v>
      </c>
      <c r="B6944" s="4">
        <v>50701</v>
      </c>
      <c r="C6944" s="4">
        <v>5087</v>
      </c>
      <c r="D6944" s="5" t="s">
        <v>9737</v>
      </c>
      <c r="E6944" s="6" t="str">
        <f>HYPERLINK("https://inpn.mnhn.fr/espece/cd_nom/50701","Diderma testaceum (Schrad.) Pers., 1801")</f>
        <v>Diderma testaceum (Schrad.) Pers., 1801</v>
      </c>
      <c r="AH6944" s="4" t="str">
        <f>HYPERLINK("#Statut_biogéographique!A"&amp;_xlfn.XMATCH("P",Statut_biogéographique!A:A,2,1),"P")</f>
        <v>P</v>
      </c>
      <c r="AP6944" s="4" t="s">
        <v>376</v>
      </c>
      <c r="AR6944" s="4" t="s">
        <v>377</v>
      </c>
    </row>
    <row r="6945" spans="1:44">
      <c r="A6945" s="4" t="s">
        <v>5</v>
      </c>
      <c r="B6945" s="4">
        <v>50707</v>
      </c>
      <c r="C6945" s="4">
        <v>4967</v>
      </c>
      <c r="D6945" s="5" t="s">
        <v>9738</v>
      </c>
      <c r="E6945" s="6" t="str">
        <f>HYPERLINK("https://inpn.mnhn.fr/espece/cd_nom/50707","Diderma umbilicatum Pers., 1801")</f>
        <v>Diderma umbilicatum Pers., 1801</v>
      </c>
      <c r="AH6945" s="4" t="str">
        <f>HYPERLINK("#Statut_biogéographique!A"&amp;_xlfn.XMATCH("P",Statut_biogéographique!A:A,2,1),"P")</f>
        <v>P</v>
      </c>
      <c r="AP6945" s="4" t="s">
        <v>376</v>
      </c>
      <c r="AR6945" s="4" t="s">
        <v>377</v>
      </c>
    </row>
    <row r="6946" spans="1:44">
      <c r="A6946" s="4" t="s">
        <v>5</v>
      </c>
      <c r="B6946" s="4">
        <v>50712</v>
      </c>
      <c r="C6946" s="4">
        <v>6327</v>
      </c>
      <c r="D6946" s="5" t="s">
        <v>9739</v>
      </c>
      <c r="E6946" s="6" t="str">
        <f>HYPERLINK("https://inpn.mnhn.fr/espece/cd_nom/50712","Didymium bahiense Gottsb., 1968")</f>
        <v>Didymium bahiense Gottsb., 1968</v>
      </c>
      <c r="AH6946" s="4" t="str">
        <f>HYPERLINK("#Statut_biogéographique!A"&amp;_xlfn.XMATCH("P",Statut_biogéographique!A:A,2,1),"P")</f>
        <v>P</v>
      </c>
      <c r="AP6946" s="4" t="s">
        <v>376</v>
      </c>
      <c r="AR6946" s="4" t="s">
        <v>377</v>
      </c>
    </row>
    <row r="6947" spans="1:44" ht="30">
      <c r="A6947" s="4" t="s">
        <v>5</v>
      </c>
      <c r="B6947" s="4">
        <v>50713</v>
      </c>
      <c r="C6947" s="4">
        <v>5088</v>
      </c>
      <c r="D6947" s="5" t="s">
        <v>9740</v>
      </c>
      <c r="E6947" s="6" t="str">
        <f>HYPERLINK("https://inpn.mnhn.fr/espece/cd_nom/50713","Didymium clavus (Alb. &amp; Schwein.) Rabenh., 1844")</f>
        <v>Didymium clavus (Alb. &amp; Schwein.) Rabenh., 1844</v>
      </c>
      <c r="AH6947" s="4" t="str">
        <f>HYPERLINK("#Statut_biogéographique!A"&amp;_xlfn.XMATCH("P",Statut_biogéographique!A:A,2,1),"P")</f>
        <v>P</v>
      </c>
      <c r="AP6947" s="4" t="s">
        <v>376</v>
      </c>
      <c r="AR6947" s="4" t="s">
        <v>377</v>
      </c>
    </row>
    <row r="6948" spans="1:44">
      <c r="A6948" s="4" t="s">
        <v>5</v>
      </c>
      <c r="B6948" s="4">
        <v>50718</v>
      </c>
      <c r="C6948" s="4">
        <v>5481</v>
      </c>
      <c r="D6948" s="5" t="s">
        <v>9741</v>
      </c>
      <c r="E6948" s="6" t="str">
        <f>HYPERLINK("https://inpn.mnhn.fr/espece/cd_nom/50718","Didymium crustaceum Fr., 1829")</f>
        <v>Didymium crustaceum Fr., 1829</v>
      </c>
      <c r="AH6948" s="4" t="str">
        <f>HYPERLINK("#Statut_biogéographique!A"&amp;_xlfn.XMATCH("P",Statut_biogéographique!A:A,2,1),"P")</f>
        <v>P</v>
      </c>
      <c r="AP6948" s="4" t="s">
        <v>376</v>
      </c>
      <c r="AR6948" s="4" t="s">
        <v>377</v>
      </c>
    </row>
    <row r="6949" spans="1:44">
      <c r="A6949" s="4" t="s">
        <v>5</v>
      </c>
      <c r="B6949" s="4">
        <v>50721</v>
      </c>
      <c r="C6949" s="4">
        <v>4942</v>
      </c>
      <c r="D6949" s="5" t="s">
        <v>9742</v>
      </c>
      <c r="E6949" s="6" t="str">
        <f>HYPERLINK("https://inpn.mnhn.fr/espece/cd_nom/50721","Didymium difforme (Pers.) Gray, 1821")</f>
        <v>Didymium difforme (Pers.) Gray, 1821</v>
      </c>
      <c r="AH6949" s="4" t="str">
        <f>HYPERLINK("#Statut_biogéographique!A"&amp;_xlfn.XMATCH("P",Statut_biogéographique!A:A,2,1),"P")</f>
        <v>P</v>
      </c>
      <c r="AP6949" s="4" t="s">
        <v>376</v>
      </c>
      <c r="AR6949" s="4" t="s">
        <v>377</v>
      </c>
    </row>
    <row r="6950" spans="1:44" ht="30">
      <c r="A6950" s="4" t="s">
        <v>5</v>
      </c>
      <c r="B6950" s="4">
        <v>50731</v>
      </c>
      <c r="C6950" s="4">
        <v>1042</v>
      </c>
      <c r="D6950" s="5" t="s">
        <v>9743</v>
      </c>
      <c r="E6950" s="6" t="str">
        <f>HYPERLINK("https://inpn.mnhn.fr/espece/cd_nom/50731","Didymium melanospermum (Pers.) T.Macbr., 1899")</f>
        <v>Didymium melanospermum (Pers.) T.Macbr., 1899</v>
      </c>
      <c r="AH6950" s="4" t="str">
        <f>HYPERLINK("#Statut_biogéographique!A"&amp;_xlfn.XMATCH("P",Statut_biogéographique!A:A,2,1),"P")</f>
        <v>P</v>
      </c>
      <c r="AP6950" s="4" t="s">
        <v>376</v>
      </c>
      <c r="AR6950" s="4" t="s">
        <v>377</v>
      </c>
    </row>
    <row r="6951" spans="1:44" ht="30">
      <c r="A6951" s="4" t="s">
        <v>5</v>
      </c>
      <c r="B6951" s="4">
        <v>50737</v>
      </c>
      <c r="C6951" s="4">
        <v>527</v>
      </c>
      <c r="D6951" s="5" t="s">
        <v>9744</v>
      </c>
      <c r="E6951" s="6" t="str">
        <f>HYPERLINK("https://inpn.mnhn.fr/espece/cd_nom/50737","Didymium nigripes (Link) Fr., 1829")</f>
        <v>Didymium nigripes (Link) Fr., 1829</v>
      </c>
      <c r="AH6951" s="4" t="str">
        <f>HYPERLINK("#Statut_biogéographique!A"&amp;_xlfn.XMATCH("P",Statut_biogéographique!A:A,2,1),"P")</f>
        <v>P</v>
      </c>
      <c r="AP6951" s="4" t="s">
        <v>376</v>
      </c>
      <c r="AR6951" s="4" t="s">
        <v>377</v>
      </c>
    </row>
    <row r="6952" spans="1:44">
      <c r="A6952" s="4" t="s">
        <v>5</v>
      </c>
      <c r="B6952" s="4">
        <v>50741</v>
      </c>
      <c r="C6952" s="4">
        <v>5089</v>
      </c>
      <c r="D6952" s="5" t="s">
        <v>9745</v>
      </c>
      <c r="E6952" s="6" t="str">
        <f>HYPERLINK("https://inpn.mnhn.fr/espece/cd_nom/50741","Didymium ovoideum Nann.-Bremek., 1958")</f>
        <v>Didymium ovoideum Nann.-Bremek., 1958</v>
      </c>
      <c r="AH6952" s="4" t="str">
        <f>HYPERLINK("#Statut_biogéographique!A"&amp;_xlfn.XMATCH("P",Statut_biogéographique!A:A,2,1),"P")</f>
        <v>P</v>
      </c>
      <c r="AP6952" s="4" t="s">
        <v>376</v>
      </c>
      <c r="AR6952" s="4" t="s">
        <v>377</v>
      </c>
    </row>
    <row r="6953" spans="1:44">
      <c r="A6953" s="4" t="s">
        <v>5</v>
      </c>
      <c r="B6953" s="4">
        <v>50763</v>
      </c>
      <c r="C6953" s="4">
        <v>6067</v>
      </c>
      <c r="D6953" s="5" t="s">
        <v>9746</v>
      </c>
      <c r="E6953" s="6" t="str">
        <f>HYPERLINK("https://inpn.mnhn.fr/espece/cd_nom/50763","Echinostelium minutum de Bary, 1874")</f>
        <v>Echinostelium minutum de Bary, 1874</v>
      </c>
      <c r="AH6953" s="4" t="str">
        <f>HYPERLINK("#Statut_biogéographique!A"&amp;_xlfn.XMATCH("P",Statut_biogéographique!A:A,2,1),"P")</f>
        <v>P</v>
      </c>
      <c r="AP6953" s="4" t="s">
        <v>376</v>
      </c>
      <c r="AR6953" s="4" t="s">
        <v>377</v>
      </c>
    </row>
    <row r="6954" spans="1:44">
      <c r="A6954" s="4" t="s">
        <v>5</v>
      </c>
      <c r="B6954" s="4">
        <v>50803</v>
      </c>
      <c r="C6954" s="4">
        <v>358</v>
      </c>
      <c r="D6954" s="5" t="s">
        <v>9747</v>
      </c>
      <c r="E6954" s="6" t="str">
        <f>HYPERLINK("https://inpn.mnhn.fr/espece/cd_nom/50803","Fuligo cinerea (Schwein.) Morgan, 1896")</f>
        <v>Fuligo cinerea (Schwein.) Morgan, 1896</v>
      </c>
      <c r="AH6954" s="4" t="str">
        <f>HYPERLINK("#Statut_biogéographique!A"&amp;_xlfn.XMATCH("P",Statut_biogéographique!A:A,2,1),"P")</f>
        <v>P</v>
      </c>
      <c r="AP6954" s="4" t="s">
        <v>376</v>
      </c>
      <c r="AR6954" s="4" t="s">
        <v>377</v>
      </c>
    </row>
    <row r="6955" spans="1:44">
      <c r="A6955" s="4" t="s">
        <v>5</v>
      </c>
      <c r="B6955" s="4">
        <v>508186</v>
      </c>
      <c r="C6955" s="4">
        <v>588</v>
      </c>
      <c r="D6955" s="5" t="s">
        <v>9748</v>
      </c>
      <c r="E6955" s="6" t="str">
        <f>HYPERLINK("https://inpn.mnhn.fr/espece/cd_nom/508186","Naucoria melinoides (Bull.) P.Kumm., 1871")</f>
        <v>Naucoria melinoides (Bull.) P.Kumm., 1871</v>
      </c>
      <c r="F6955" s="5" t="s">
        <v>9749</v>
      </c>
      <c r="V6955" s="7" t="str">
        <f>HYPERLINK("#Liste_rouge!A"&amp;_xlfn.XMATCH("LC",Liste_rouge!A:A,2,1),"LC")</f>
        <v>LC</v>
      </c>
      <c r="AH6955" s="4" t="str">
        <f>HYPERLINK("#Statut_biogéographique!A"&amp;_xlfn.XMATCH("P",Statut_biogéographique!A:A,2,1),"P")</f>
        <v>P</v>
      </c>
      <c r="AP6955" s="4" t="s">
        <v>376</v>
      </c>
      <c r="AR6955" s="4" t="s">
        <v>377</v>
      </c>
    </row>
    <row r="6956" spans="1:44">
      <c r="A6956" s="4" t="s">
        <v>5</v>
      </c>
      <c r="B6956" s="4">
        <v>50835</v>
      </c>
      <c r="C6956" s="4">
        <v>5378</v>
      </c>
      <c r="D6956" s="5" t="s">
        <v>9750</v>
      </c>
      <c r="E6956" s="6" t="str">
        <f>HYPERLINK("https://inpn.mnhn.fr/espece/cd_nom/50835","Hemitrichia intorta (Lister) Lister, 1894")</f>
        <v>Hemitrichia intorta (Lister) Lister, 1894</v>
      </c>
      <c r="AH6956" s="4" t="str">
        <f>HYPERLINK("#Statut_biogéographique!A"&amp;_xlfn.XMATCH("P",Statut_biogéographique!A:A,2,1),"P")</f>
        <v>P</v>
      </c>
      <c r="AP6956" s="4" t="s">
        <v>376</v>
      </c>
      <c r="AR6956" s="4" t="s">
        <v>377</v>
      </c>
    </row>
    <row r="6957" spans="1:44" ht="30">
      <c r="A6957" s="4" t="s">
        <v>5</v>
      </c>
      <c r="B6957" s="4">
        <v>50857</v>
      </c>
      <c r="C6957" s="4">
        <v>5108</v>
      </c>
      <c r="D6957" s="5" t="s">
        <v>9751</v>
      </c>
      <c r="E6957" s="6" t="str">
        <f>HYPERLINK("https://inpn.mnhn.fr/espece/cd_nom/50857","Lamproderma arcyrioides (Sommerf.) Rostaf., 1875")</f>
        <v>Lamproderma arcyrioides (Sommerf.) Rostaf., 1875</v>
      </c>
      <c r="AH6957" s="4" t="str">
        <f>HYPERLINK("#Statut_biogéographique!A"&amp;_xlfn.XMATCH("P",Statut_biogéographique!A:A,2,1),"P")</f>
        <v>P</v>
      </c>
      <c r="AP6957" s="4" t="s">
        <v>376</v>
      </c>
      <c r="AR6957" s="4" t="s">
        <v>377</v>
      </c>
    </row>
    <row r="6958" spans="1:44">
      <c r="A6958" s="4" t="s">
        <v>5</v>
      </c>
      <c r="B6958" s="4">
        <v>50874</v>
      </c>
      <c r="C6958" s="4">
        <v>5113</v>
      </c>
      <c r="D6958" s="5" t="s">
        <v>9752</v>
      </c>
      <c r="E6958" s="6" t="str">
        <f>HYPERLINK("https://inpn.mnhn.fr/espece/cd_nom/50874","Lamproderma cristatum Meyl., 1921")</f>
        <v>Lamproderma cristatum Meyl., 1921</v>
      </c>
      <c r="AH6958" s="4" t="str">
        <f>HYPERLINK("#Statut_biogéographique!A"&amp;_xlfn.XMATCH("P",Statut_biogéographique!A:A,2,1),"P")</f>
        <v>P</v>
      </c>
      <c r="AP6958" s="4" t="s">
        <v>376</v>
      </c>
      <c r="AR6958" s="4" t="s">
        <v>377</v>
      </c>
    </row>
    <row r="6959" spans="1:44" ht="30">
      <c r="A6959" s="4" t="s">
        <v>5</v>
      </c>
      <c r="B6959" s="4">
        <v>508948</v>
      </c>
      <c r="C6959" s="4">
        <v>1324</v>
      </c>
      <c r="D6959" s="5" t="s">
        <v>9753</v>
      </c>
      <c r="E6959" s="6" t="str">
        <f>HYPERLINK("https://inpn.mnhn.fr/espece/cd_nom/508948","Hemileccinum depilatum (Redeuilh) Šutara, 2008")</f>
        <v>Hemileccinum depilatum (Redeuilh) Šutara, 2008</v>
      </c>
      <c r="F6959" s="5" t="s">
        <v>9754</v>
      </c>
      <c r="V6959" s="7" t="str">
        <f>HYPERLINK("#Liste_rouge!A"&amp;_xlfn.XMATCH("LC",Liste_rouge!A:A,2,1),"LC")</f>
        <v>LC</v>
      </c>
      <c r="AH6959" s="4" t="str">
        <f>HYPERLINK("#Statut_biogéographique!A"&amp;_xlfn.XMATCH("P",Statut_biogéographique!A:A,2,1),"P")</f>
        <v>P</v>
      </c>
      <c r="AP6959" s="4" t="s">
        <v>376</v>
      </c>
      <c r="AR6959" s="4" t="s">
        <v>377</v>
      </c>
    </row>
    <row r="6960" spans="1:44" ht="30">
      <c r="A6960" s="4" t="s">
        <v>5</v>
      </c>
      <c r="B6960" s="4">
        <v>508990</v>
      </c>
      <c r="C6960" s="4">
        <v>1672</v>
      </c>
      <c r="D6960" s="5" t="s">
        <v>9755</v>
      </c>
      <c r="E6960" s="6" t="str">
        <f>HYPERLINK("https://inpn.mnhn.fr/espece/cd_nom/508990","Hemileccinum impolitum (Fr.) Šutara, 2008")</f>
        <v>Hemileccinum impolitum (Fr.) Šutara, 2008</v>
      </c>
      <c r="F6960" s="5" t="s">
        <v>9756</v>
      </c>
      <c r="V6960" s="7" t="str">
        <f>HYPERLINK("#Liste_rouge!A"&amp;_xlfn.XMATCH("LC",Liste_rouge!A:A,2,1),"LC")</f>
        <v>LC</v>
      </c>
      <c r="AH6960" s="4" t="str">
        <f>HYPERLINK("#Statut_biogéographique!A"&amp;_xlfn.XMATCH("P",Statut_biogéographique!A:A,2,1),"P")</f>
        <v>P</v>
      </c>
      <c r="AP6960" s="4" t="s">
        <v>376</v>
      </c>
      <c r="AR6960" s="4" t="s">
        <v>377</v>
      </c>
    </row>
    <row r="6961" spans="1:44">
      <c r="A6961" s="4" t="s">
        <v>5</v>
      </c>
      <c r="B6961" s="4">
        <v>509063</v>
      </c>
      <c r="D6961" s="5">
        <v>509063</v>
      </c>
      <c r="E6961" s="6" t="str">
        <f>HYPERLINK("https://inpn.mnhn.fr/espece/cd_nom/509063","Nematogonium album Bainier")</f>
        <v>Nematogonium album Bainier</v>
      </c>
      <c r="AH6961" s="4" t="str">
        <f>HYPERLINK("#Statut_biogéographique!A"&amp;_xlfn.XMATCH("P",Statut_biogéographique!A:A,2,1),"P")</f>
        <v>P</v>
      </c>
      <c r="AP6961" s="4" t="s">
        <v>376</v>
      </c>
      <c r="AR6961" s="4" t="s">
        <v>377</v>
      </c>
    </row>
    <row r="6962" spans="1:44">
      <c r="A6962" s="4" t="s">
        <v>5</v>
      </c>
      <c r="B6962" s="4">
        <v>509199</v>
      </c>
      <c r="C6962" s="4">
        <v>4359</v>
      </c>
      <c r="D6962" s="5" t="s">
        <v>9757</v>
      </c>
      <c r="E6962" s="6" t="str">
        <f>HYPERLINK("https://inpn.mnhn.fr/espece/cd_nom/509199","Calocybe graveolens (Pers.) Singer, 1975")</f>
        <v>Calocybe graveolens (Pers.) Singer, 1975</v>
      </c>
      <c r="F6962" s="5" t="s">
        <v>9758</v>
      </c>
      <c r="V6962" s="7" t="str">
        <f>HYPERLINK("#Liste_rouge!A"&amp;_xlfn.XMATCH("DD",Liste_rouge!A:A,2,1),"DD")</f>
        <v>DD</v>
      </c>
      <c r="Z6962" s="4" t="s">
        <v>443</v>
      </c>
      <c r="AA6962" s="4" t="s">
        <v>444</v>
      </c>
      <c r="AH6962" s="4" t="str">
        <f>HYPERLINK("#Statut_biogéographique!A"&amp;_xlfn.XMATCH("P",Statut_biogéographique!A:A,2,1),"P")</f>
        <v>P</v>
      </c>
      <c r="AP6962" s="4" t="s">
        <v>376</v>
      </c>
      <c r="AR6962" s="4" t="s">
        <v>377</v>
      </c>
    </row>
    <row r="6963" spans="1:44" ht="60">
      <c r="A6963" s="4" t="s">
        <v>5</v>
      </c>
      <c r="B6963" s="4">
        <v>50970</v>
      </c>
      <c r="D6963" s="5" t="s">
        <v>9759</v>
      </c>
      <c r="E6963" s="6" t="str">
        <f>HYPERLINK("https://inpn.mnhn.fr/espece/cd_nom/50970","Lycogala epidendrum (J.C.Buxb. ex L.) Fr., 1829")</f>
        <v>Lycogala epidendrum (J.C.Buxb. ex L.) Fr., 1829</v>
      </c>
      <c r="F6963" s="5" t="s">
        <v>9760</v>
      </c>
      <c r="AH6963" s="4" t="str">
        <f>HYPERLINK("#Statut_biogéographique!A"&amp;_xlfn.XMATCH("P",Statut_biogéographique!A:A,2,1),"P")</f>
        <v>P</v>
      </c>
      <c r="AP6963" s="4" t="s">
        <v>376</v>
      </c>
      <c r="AR6963" s="4" t="s">
        <v>377</v>
      </c>
    </row>
    <row r="6964" spans="1:44" ht="45">
      <c r="A6964" s="4" t="s">
        <v>5</v>
      </c>
      <c r="B6964" s="4">
        <v>509740</v>
      </c>
      <c r="C6964" s="4">
        <v>66</v>
      </c>
      <c r="D6964" s="5" t="s">
        <v>9761</v>
      </c>
      <c r="E6964" s="6" t="str">
        <f>HYPERLINK("https://inpn.mnhn.fr/espece/cd_nom/509740","Infundibulicybe gibba (Pers.) Harmaja, 2003")</f>
        <v>Infundibulicybe gibba (Pers.) Harmaja, 2003</v>
      </c>
      <c r="F6964" s="5" t="s">
        <v>9762</v>
      </c>
      <c r="V6964" s="7" t="str">
        <f>HYPERLINK("#Liste_rouge!A"&amp;_xlfn.XMATCH("LC",Liste_rouge!A:A,2,1),"LC")</f>
        <v>LC</v>
      </c>
      <c r="AH6964" s="4" t="str">
        <f>HYPERLINK("#Statut_biogéographique!A"&amp;_xlfn.XMATCH("P",Statut_biogéographique!A:A,2,1),"P")</f>
        <v>P</v>
      </c>
      <c r="AP6964" s="4" t="s">
        <v>376</v>
      </c>
      <c r="AR6964" s="4" t="s">
        <v>377</v>
      </c>
    </row>
    <row r="6965" spans="1:44" ht="30">
      <c r="A6965" s="4" t="s">
        <v>5</v>
      </c>
      <c r="B6965" s="4">
        <v>509948</v>
      </c>
      <c r="D6965" s="5" t="s">
        <v>9763</v>
      </c>
      <c r="E6965" s="6" t="str">
        <f>HYPERLINK("https://inpn.mnhn.fr/espece/cd_nom/509948","Rhodocollybia butyracea (Bull.) Lennox, 1979")</f>
        <v>Rhodocollybia butyracea (Bull.) Lennox, 1979</v>
      </c>
      <c r="F6965" s="5" t="s">
        <v>1654</v>
      </c>
      <c r="V6965" s="7" t="str">
        <f>HYPERLINK("#Liste_rouge!A"&amp;_xlfn.XMATCH("LC",Liste_rouge!A:A,2,1),"LC")</f>
        <v>LC</v>
      </c>
      <c r="AH6965" s="4" t="str">
        <f>HYPERLINK("#Statut_biogéographique!A"&amp;_xlfn.XMATCH("P",Statut_biogéographique!A:A,2,1),"P")</f>
        <v>P</v>
      </c>
      <c r="AP6965" s="4" t="s">
        <v>376</v>
      </c>
      <c r="AR6965" s="4" t="s">
        <v>377</v>
      </c>
    </row>
    <row r="6966" spans="1:44" ht="30">
      <c r="A6966" s="4" t="s">
        <v>5</v>
      </c>
      <c r="B6966" s="4">
        <v>509952</v>
      </c>
      <c r="D6966" s="5" t="s">
        <v>9764</v>
      </c>
      <c r="E6966" s="6" t="str">
        <f>HYPERLINK("https://inpn.mnhn.fr/espece/cd_nom/509952","Rhodocollybia butyracea f. asema (Fr.) Antonín, Halling &amp; Noordel., 1997")</f>
        <v>Rhodocollybia butyracea f. asema (Fr.) Antonín, Halling &amp; Noordel., 1997</v>
      </c>
      <c r="V6966" s="7" t="str">
        <f>HYPERLINK("#Liste_rouge!A"&amp;_xlfn.XMATCH("LC",Liste_rouge!A:A,2,1),"LC")</f>
        <v>LC</v>
      </c>
      <c r="AH6966" s="4" t="str">
        <f>HYPERLINK("#Statut_biogéographique!A"&amp;_xlfn.XMATCH("P",Statut_biogéographique!A:A,2,1),"P")</f>
        <v>P</v>
      </c>
      <c r="AP6966" s="4" t="s">
        <v>376</v>
      </c>
      <c r="AR6966" s="4" t="s">
        <v>377</v>
      </c>
    </row>
    <row r="6967" spans="1:44" ht="30">
      <c r="A6967" s="4" t="s">
        <v>5</v>
      </c>
      <c r="B6967" s="4">
        <v>510026</v>
      </c>
      <c r="C6967" s="4">
        <v>6165</v>
      </c>
      <c r="D6967" s="5" t="s">
        <v>9765</v>
      </c>
      <c r="E6967" s="6" t="str">
        <f>HYPERLINK("https://inpn.mnhn.fr/espece/cd_nom/510026","Gymnopus inodorus (Pat.) Antonín &amp; Noordel., 1997")</f>
        <v>Gymnopus inodorus (Pat.) Antonín &amp; Noordel., 1997</v>
      </c>
      <c r="F6967" s="5" t="s">
        <v>4141</v>
      </c>
      <c r="AH6967" s="4" t="str">
        <f>HYPERLINK("#Statut_biogéographique!A"&amp;_xlfn.XMATCH("P",Statut_biogéographique!A:A,2,1),"P")</f>
        <v>P</v>
      </c>
      <c r="AP6967" s="4" t="s">
        <v>376</v>
      </c>
      <c r="AR6967" s="4" t="s">
        <v>377</v>
      </c>
    </row>
    <row r="6968" spans="1:44" ht="45">
      <c r="A6968" s="4" t="s">
        <v>5</v>
      </c>
      <c r="B6968" s="4">
        <v>510065</v>
      </c>
      <c r="D6968" s="5" t="s">
        <v>9766</v>
      </c>
      <c r="E6968" s="6" t="str">
        <f>HYPERLINK("https://inpn.mnhn.fr/espece/cd_nom/510065","Rhodocollybia prolixa (Fr.) Antonín &amp; Noordel., 1997")</f>
        <v>Rhodocollybia prolixa (Fr.) Antonín &amp; Noordel., 1997</v>
      </c>
      <c r="V6968" s="7" t="str">
        <f>HYPERLINK("#Liste_rouge!A"&amp;_xlfn.XMATCH("DD",Liste_rouge!A:A,2,1),"DD (cd_nom 30673) - LC (cd_nom 469262)")</f>
        <v>DD (cd_nom 30673) - LC (cd_nom 469262)</v>
      </c>
      <c r="AH6968" s="4" t="str">
        <f>HYPERLINK("#Statut_biogéographique!A"&amp;_xlfn.XMATCH("P",Statut_biogéographique!A:A,2,1),"P")</f>
        <v>P</v>
      </c>
      <c r="AP6968" s="4" t="s">
        <v>376</v>
      </c>
      <c r="AR6968" s="4" t="s">
        <v>377</v>
      </c>
    </row>
    <row r="6969" spans="1:44" ht="30">
      <c r="A6969" s="4" t="s">
        <v>5</v>
      </c>
      <c r="B6969" s="4">
        <v>510089</v>
      </c>
      <c r="C6969" s="4">
        <v>3944</v>
      </c>
      <c r="D6969" s="5" t="s">
        <v>9767</v>
      </c>
      <c r="E6969" s="6" t="str">
        <f>HYPERLINK("https://inpn.mnhn.fr/espece/cd_nom/510089","Gymnopus vernus (Ryman) Antonín &amp; Noordel., 2008")</f>
        <v>Gymnopus vernus (Ryman) Antonín &amp; Noordel., 2008</v>
      </c>
      <c r="F6969" s="5" t="s">
        <v>9768</v>
      </c>
      <c r="V6969" s="7" t="str">
        <f>HYPERLINK("#Liste_rouge!A"&amp;_xlfn.XMATCH("DD",Liste_rouge!A:A,2,1),"DD")</f>
        <v>DD</v>
      </c>
      <c r="AH6969" s="4" t="str">
        <f>HYPERLINK("#Statut_biogéographique!A"&amp;_xlfn.XMATCH("P",Statut_biogéographique!A:A,2,1),"P")</f>
        <v>P</v>
      </c>
      <c r="AP6969" s="4" t="s">
        <v>376</v>
      </c>
      <c r="AR6969" s="4" t="s">
        <v>377</v>
      </c>
    </row>
    <row r="6970" spans="1:44" ht="30">
      <c r="A6970" s="4" t="s">
        <v>5</v>
      </c>
      <c r="B6970" s="4">
        <v>510194</v>
      </c>
      <c r="C6970" s="4">
        <v>2970</v>
      </c>
      <c r="D6970" s="5" t="s">
        <v>9769</v>
      </c>
      <c r="E6970" s="6" t="str">
        <f>HYPERLINK("https://inpn.mnhn.fr/espece/cd_nom/510194","Coprinopsis acuminata (Romagn.) Redhead, Vilgalys &amp; Moncalvo, 2001")</f>
        <v>Coprinopsis acuminata (Romagn.) Redhead, Vilgalys &amp; Moncalvo, 2001</v>
      </c>
      <c r="F6970" s="5" t="s">
        <v>9770</v>
      </c>
      <c r="V6970" s="7" t="str">
        <f>HYPERLINK("#Liste_rouge!A"&amp;_xlfn.XMATCH("DD",Liste_rouge!A:A,2,1),"DD")</f>
        <v>DD</v>
      </c>
      <c r="AH6970" s="4" t="str">
        <f>HYPERLINK("#Statut_biogéographique!A"&amp;_xlfn.XMATCH("P",Statut_biogéographique!A:A,2,1),"P")</f>
        <v>P</v>
      </c>
      <c r="AP6970" s="4" t="s">
        <v>376</v>
      </c>
      <c r="AR6970" s="4" t="s">
        <v>377</v>
      </c>
    </row>
    <row r="6971" spans="1:44" ht="30">
      <c r="A6971" s="4" t="s">
        <v>5</v>
      </c>
      <c r="B6971" s="4">
        <v>510197</v>
      </c>
      <c r="C6971" s="4">
        <v>2649</v>
      </c>
      <c r="D6971" s="5" t="s">
        <v>9771</v>
      </c>
      <c r="E6971" s="6" t="str">
        <f>HYPERLINK("https://inpn.mnhn.fr/espece/cd_nom/510197","Coprinellus angulatus (Peck) Redhead, Vilgalys &amp; Moncalvo, 2001")</f>
        <v>Coprinellus angulatus (Peck) Redhead, Vilgalys &amp; Moncalvo, 2001</v>
      </c>
      <c r="F6971" s="5" t="s">
        <v>9772</v>
      </c>
      <c r="V6971" s="7" t="str">
        <f>HYPERLINK("#Liste_rouge!A"&amp;_xlfn.XMATCH("DD",Liste_rouge!A:A,2,1),"DD")</f>
        <v>DD</v>
      </c>
      <c r="AH6971" s="4" t="str">
        <f>HYPERLINK("#Statut_biogéographique!A"&amp;_xlfn.XMATCH("P",Statut_biogéographique!A:A,2,1),"P")</f>
        <v>P</v>
      </c>
      <c r="AP6971" s="4" t="s">
        <v>376</v>
      </c>
      <c r="AR6971" s="4" t="s">
        <v>377</v>
      </c>
    </row>
    <row r="6972" spans="1:44" ht="30">
      <c r="A6972" s="4" t="s">
        <v>5</v>
      </c>
      <c r="B6972" s="4">
        <v>510206</v>
      </c>
      <c r="D6972" s="5" t="s">
        <v>9773</v>
      </c>
      <c r="E6972" s="6" t="str">
        <f>HYPERLINK("https://inpn.mnhn.fr/espece/cd_nom/510206","Parasola auricoma (Pat.) Redhead, Vilgalys &amp; Hopple, 2001")</f>
        <v>Parasola auricoma (Pat.) Redhead, Vilgalys &amp; Hopple, 2001</v>
      </c>
      <c r="F6972" s="5" t="s">
        <v>4457</v>
      </c>
      <c r="V6972" s="7" t="str">
        <f>HYPERLINK("#Liste_rouge!A"&amp;_xlfn.XMATCH("LC",Liste_rouge!A:A,2,1),"LC")</f>
        <v>LC</v>
      </c>
      <c r="AH6972" s="4" t="str">
        <f>HYPERLINK("#Statut_biogéographique!A"&amp;_xlfn.XMATCH("P",Statut_biogéographique!A:A,2,1),"P")</f>
        <v>P</v>
      </c>
      <c r="AP6972" s="4" t="s">
        <v>376</v>
      </c>
      <c r="AR6972" s="4" t="s">
        <v>377</v>
      </c>
    </row>
    <row r="6973" spans="1:44" ht="30">
      <c r="A6973" s="4" t="s">
        <v>5</v>
      </c>
      <c r="B6973" s="4">
        <v>510208</v>
      </c>
      <c r="C6973" s="4">
        <v>6873</v>
      </c>
      <c r="D6973" s="5" t="s">
        <v>9774</v>
      </c>
      <c r="E6973" s="6" t="str">
        <f>HYPERLINK("https://inpn.mnhn.fr/espece/cd_nom/510208","Coprinellus bipellis (Romagn.) P.Roux, Guy García &amp; Borgarino, 2006")</f>
        <v>Coprinellus bipellis (Romagn.) P.Roux, Guy García &amp; Borgarino, 2006</v>
      </c>
      <c r="AH6973" s="4" t="str">
        <f>HYPERLINK("#Statut_biogéographique!A"&amp;_xlfn.XMATCH("P",Statut_biogéographique!A:A,2,1),"P")</f>
        <v>P</v>
      </c>
      <c r="AP6973" s="4" t="s">
        <v>376</v>
      </c>
      <c r="AR6973" s="4" t="s">
        <v>377</v>
      </c>
    </row>
    <row r="6974" spans="1:44" ht="30">
      <c r="A6974" s="4" t="s">
        <v>5</v>
      </c>
      <c r="B6974" s="4">
        <v>510209</v>
      </c>
      <c r="C6974" s="4">
        <v>766</v>
      </c>
      <c r="D6974" s="5" t="s">
        <v>9775</v>
      </c>
      <c r="E6974" s="6" t="str">
        <f>HYPERLINK("https://inpn.mnhn.fr/espece/cd_nom/510209","Coprinellus bisporiger (Buller ex P.D.Orton) Redhead, Vilgalys &amp; Moncalvo, 2001")</f>
        <v>Coprinellus bisporiger (Buller ex P.D.Orton) Redhead, Vilgalys &amp; Moncalvo, 2001</v>
      </c>
      <c r="F6974" s="5" t="s">
        <v>9776</v>
      </c>
      <c r="V6974" s="7" t="str">
        <f>HYPERLINK("#Liste_rouge!A"&amp;_xlfn.XMATCH("DD",Liste_rouge!A:A,2,1),"DD")</f>
        <v>DD</v>
      </c>
      <c r="AH6974" s="4" t="str">
        <f>HYPERLINK("#Statut_biogéographique!A"&amp;_xlfn.XMATCH("P",Statut_biogéographique!A:A,2,1),"P")</f>
        <v>P</v>
      </c>
      <c r="AP6974" s="4" t="s">
        <v>376</v>
      </c>
      <c r="AR6974" s="4" t="s">
        <v>377</v>
      </c>
    </row>
    <row r="6975" spans="1:44" ht="30">
      <c r="A6975" s="4" t="s">
        <v>5</v>
      </c>
      <c r="B6975" s="4">
        <v>510210</v>
      </c>
      <c r="C6975" s="4">
        <v>766</v>
      </c>
      <c r="D6975" s="5" t="s">
        <v>9777</v>
      </c>
      <c r="E6975" s="6" t="str">
        <f>HYPERLINK("https://inpn.mnhn.fr/espece/cd_nom/510210","Coprinellus bisporus (J.E.Lange) Vilgalys, Hopple &amp; Jacq.Johnson, 2001")</f>
        <v>Coprinellus bisporus (J.E.Lange) Vilgalys, Hopple &amp; Jacq.Johnson, 2001</v>
      </c>
      <c r="F6975" s="5" t="s">
        <v>9776</v>
      </c>
      <c r="V6975" s="7" t="str">
        <f>HYPERLINK("#Liste_rouge!A"&amp;_xlfn.XMATCH("DD",Liste_rouge!A:A,2,1),"DD")</f>
        <v>DD</v>
      </c>
      <c r="AH6975" s="4" t="str">
        <f>HYPERLINK("#Statut_biogéographique!A"&amp;_xlfn.XMATCH("P",Statut_biogéographique!A:A,2,1),"P")</f>
        <v>P</v>
      </c>
      <c r="AP6975" s="4" t="s">
        <v>376</v>
      </c>
      <c r="AR6975" s="4" t="s">
        <v>377</v>
      </c>
    </row>
    <row r="6976" spans="1:44" ht="45">
      <c r="A6976" s="4" t="s">
        <v>5</v>
      </c>
      <c r="B6976" s="4">
        <v>510223</v>
      </c>
      <c r="C6976" s="4">
        <v>2470</v>
      </c>
      <c r="D6976" s="5" t="s">
        <v>9778</v>
      </c>
      <c r="E6976" s="6" t="str">
        <f>HYPERLINK("https://inpn.mnhn.fr/espece/cd_nom/510223","Coprinopsis cinerea (Schaeff.) Redhead, Vilgalys &amp; Moncalvo, 2001")</f>
        <v>Coprinopsis cinerea (Schaeff.) Redhead, Vilgalys &amp; Moncalvo, 2001</v>
      </c>
      <c r="F6976" s="5" t="s">
        <v>9779</v>
      </c>
      <c r="V6976" s="7" t="str">
        <f>HYPERLINK("#Liste_rouge!A"&amp;_xlfn.XMATCH("LC",Liste_rouge!A:A,2,1),"LC")</f>
        <v>LC</v>
      </c>
      <c r="AH6976" s="4" t="str">
        <f>HYPERLINK("#Statut_biogéographique!A"&amp;_xlfn.XMATCH("P",Statut_biogéographique!A:A,2,1),"P")</f>
        <v>P</v>
      </c>
      <c r="AP6976" s="4" t="s">
        <v>376</v>
      </c>
      <c r="AR6976" s="4" t="s">
        <v>377</v>
      </c>
    </row>
    <row r="6977" spans="1:44" ht="30">
      <c r="A6977" s="4" t="s">
        <v>5</v>
      </c>
      <c r="B6977" s="4">
        <v>510243</v>
      </c>
      <c r="C6977" s="4">
        <v>197</v>
      </c>
      <c r="D6977" s="5" t="s">
        <v>9780</v>
      </c>
      <c r="E6977" s="6" t="str">
        <f>HYPERLINK("https://inpn.mnhn.fr/espece/cd_nom/510243","Coprinellus disseminatus (Pers.) J.E.Lange, 1938")</f>
        <v>Coprinellus disseminatus (Pers.) J.E.Lange, 1938</v>
      </c>
      <c r="F6977" s="5" t="s">
        <v>9781</v>
      </c>
      <c r="V6977" s="7" t="str">
        <f>HYPERLINK("#Liste_rouge!A"&amp;_xlfn.XMATCH("LC",Liste_rouge!A:A,2,1),"LC")</f>
        <v>LC</v>
      </c>
      <c r="AH6977" s="4" t="str">
        <f>HYPERLINK("#Statut_biogéographique!A"&amp;_xlfn.XMATCH("P",Statut_biogéographique!A:A,2,1),"P")</f>
        <v>P</v>
      </c>
      <c r="AP6977" s="4" t="s">
        <v>376</v>
      </c>
      <c r="AR6977" s="4" t="s">
        <v>377</v>
      </c>
    </row>
    <row r="6978" spans="1:44" ht="30">
      <c r="A6978" s="4" t="s">
        <v>5</v>
      </c>
      <c r="B6978" s="4">
        <v>510245</v>
      </c>
      <c r="C6978" s="4">
        <v>274</v>
      </c>
      <c r="D6978" s="5" t="s">
        <v>9782</v>
      </c>
      <c r="E6978" s="6" t="str">
        <f>HYPERLINK("https://inpn.mnhn.fr/espece/cd_nom/510245","Coprinellus domesticus (Bolton) Vilgalys, Hopple &amp; Jacq.Johnson, 2001")</f>
        <v>Coprinellus domesticus (Bolton) Vilgalys, Hopple &amp; Jacq.Johnson, 2001</v>
      </c>
      <c r="F6978" s="5" t="s">
        <v>9783</v>
      </c>
      <c r="V6978" s="7" t="str">
        <f>HYPERLINK("#Liste_rouge!A"&amp;_xlfn.XMATCH("DD",Liste_rouge!A:A,2,1),"DD")</f>
        <v>DD</v>
      </c>
      <c r="AH6978" s="4" t="str">
        <f>HYPERLINK("#Statut_biogéographique!A"&amp;_xlfn.XMATCH("P",Statut_biogéographique!A:A,2,1),"P")</f>
        <v>P</v>
      </c>
      <c r="AP6978" s="4" t="s">
        <v>376</v>
      </c>
      <c r="AR6978" s="4" t="s">
        <v>377</v>
      </c>
    </row>
    <row r="6979" spans="1:44" ht="30">
      <c r="A6979" s="4" t="s">
        <v>5</v>
      </c>
      <c r="B6979" s="4">
        <v>510246</v>
      </c>
      <c r="C6979" s="4">
        <v>5304</v>
      </c>
      <c r="D6979" s="5" t="s">
        <v>9784</v>
      </c>
      <c r="E6979" s="6" t="str">
        <f>HYPERLINK("https://inpn.mnhn.fr/espece/cd_nom/510246","Coprinopsis echinospora (Buller) Redhead, Vilgalys &amp; Moncalvo, 2001")</f>
        <v>Coprinopsis echinospora (Buller) Redhead, Vilgalys &amp; Moncalvo, 2001</v>
      </c>
      <c r="F6979" s="5" t="s">
        <v>9785</v>
      </c>
      <c r="V6979" s="7" t="str">
        <f>HYPERLINK("#Liste_rouge!A"&amp;_xlfn.XMATCH("DD",Liste_rouge!A:A,2,1),"DD")</f>
        <v>DD</v>
      </c>
      <c r="Z6979" s="4" t="s">
        <v>443</v>
      </c>
      <c r="AA6979" s="4" t="s">
        <v>444</v>
      </c>
      <c r="AH6979" s="4" t="str">
        <f>HYPERLINK("#Statut_biogéographique!A"&amp;_xlfn.XMATCH("P",Statut_biogéographique!A:A,2,1),"P")</f>
        <v>P</v>
      </c>
      <c r="AP6979" s="4" t="s">
        <v>376</v>
      </c>
      <c r="AR6979" s="4" t="s">
        <v>377</v>
      </c>
    </row>
    <row r="6980" spans="1:44" ht="30">
      <c r="A6980" s="4" t="s">
        <v>5</v>
      </c>
      <c r="B6980" s="4">
        <v>510248</v>
      </c>
      <c r="C6980" s="4">
        <v>6500</v>
      </c>
      <c r="D6980" s="5" t="s">
        <v>9786</v>
      </c>
      <c r="E6980" s="6" t="str">
        <f>HYPERLINK("https://inpn.mnhn.fr/espece/cd_nom/510248","Coprinellus ellisii (P.D.Orton) Redhead, Vilgalys &amp; Moncalvo, 2001")</f>
        <v>Coprinellus ellisii (P.D.Orton) Redhead, Vilgalys &amp; Moncalvo, 2001</v>
      </c>
      <c r="F6980" s="5" t="s">
        <v>9787</v>
      </c>
      <c r="AH6980" s="4" t="str">
        <f>HYPERLINK("#Statut_biogéographique!A"&amp;_xlfn.XMATCH("P",Statut_biogéographique!A:A,2,1),"P")</f>
        <v>P</v>
      </c>
      <c r="AP6980" s="4" t="s">
        <v>376</v>
      </c>
      <c r="AR6980" s="4" t="s">
        <v>377</v>
      </c>
    </row>
    <row r="6981" spans="1:44" ht="30">
      <c r="A6981" s="4" t="s">
        <v>5</v>
      </c>
      <c r="B6981" s="4">
        <v>510253</v>
      </c>
      <c r="C6981" s="4">
        <v>3101</v>
      </c>
      <c r="D6981" s="5" t="s">
        <v>9788</v>
      </c>
      <c r="E6981" s="6" t="str">
        <f>HYPERLINK("https://inpn.mnhn.fr/espece/cd_nom/510253","Coprinellus ephemerus (Bull.) Redhead, Vilgalys &amp; Moncalvo, 2001")</f>
        <v>Coprinellus ephemerus (Bull.) Redhead, Vilgalys &amp; Moncalvo, 2001</v>
      </c>
      <c r="F6981" s="5" t="s">
        <v>9789</v>
      </c>
      <c r="V6981" s="7" t="str">
        <f>HYPERLINK("#Liste_rouge!A"&amp;_xlfn.XMATCH("LC",Liste_rouge!A:A,2,1),"LC")</f>
        <v>LC</v>
      </c>
      <c r="AH6981" s="4" t="str">
        <f>HYPERLINK("#Statut_biogéographique!A"&amp;_xlfn.XMATCH("P",Statut_biogéographique!A:A,2,1),"P")</f>
        <v>P</v>
      </c>
      <c r="AP6981" s="4" t="s">
        <v>376</v>
      </c>
      <c r="AR6981" s="4" t="s">
        <v>377</v>
      </c>
    </row>
    <row r="6982" spans="1:44">
      <c r="A6982" s="4" t="s">
        <v>5</v>
      </c>
      <c r="B6982" s="4">
        <v>510257</v>
      </c>
      <c r="C6982" s="4">
        <v>5928</v>
      </c>
      <c r="D6982" s="5">
        <v>510257</v>
      </c>
      <c r="E6982" s="6" t="str">
        <f>HYPERLINK("https://inpn.mnhn.fr/espece/cd_nom/510257","Coprinus scobicola P.D.Orton, 1972")</f>
        <v>Coprinus scobicola P.D.Orton, 1972</v>
      </c>
      <c r="AH6982" s="4" t="str">
        <f>HYPERLINK("#Statut_biogéographique!A"&amp;_xlfn.XMATCH("P",Statut_biogéographique!A:A,2,1),"P")</f>
        <v>P</v>
      </c>
      <c r="AP6982" s="4" t="s">
        <v>376</v>
      </c>
      <c r="AR6982" s="4" t="s">
        <v>377</v>
      </c>
    </row>
    <row r="6983" spans="1:44" ht="30">
      <c r="A6983" s="4" t="s">
        <v>5</v>
      </c>
      <c r="B6983" s="4">
        <v>510264</v>
      </c>
      <c r="C6983" s="4">
        <v>5338</v>
      </c>
      <c r="D6983" s="5" t="s">
        <v>9790</v>
      </c>
      <c r="E6983" s="6" t="str">
        <f>HYPERLINK("https://inpn.mnhn.fr/espece/cd_nom/510264","Coprinellus flocculosus (DC.) Vilgalys, Hopple &amp; Jacq.Johnson, 2001")</f>
        <v>Coprinellus flocculosus (DC.) Vilgalys, Hopple &amp; Jacq.Johnson, 2001</v>
      </c>
      <c r="F6983" s="5" t="s">
        <v>9791</v>
      </c>
      <c r="V6983" s="7" t="str">
        <f>HYPERLINK("#Liste_rouge!A"&amp;_xlfn.XMATCH("DD",Liste_rouge!A:A,2,1),"DD")</f>
        <v>DD</v>
      </c>
      <c r="AH6983" s="4" t="str">
        <f>HYPERLINK("#Statut_biogéographique!A"&amp;_xlfn.XMATCH("P",Statut_biogéographique!A:A,2,1),"P")</f>
        <v>P</v>
      </c>
      <c r="AP6983" s="4" t="s">
        <v>376</v>
      </c>
      <c r="AR6983" s="4" t="s">
        <v>377</v>
      </c>
    </row>
    <row r="6984" spans="1:44" ht="30">
      <c r="A6984" s="4" t="s">
        <v>5</v>
      </c>
      <c r="B6984" s="4">
        <v>510269</v>
      </c>
      <c r="C6984" s="4">
        <v>815</v>
      </c>
      <c r="D6984" s="5" t="s">
        <v>9792</v>
      </c>
      <c r="E6984" s="6" t="str">
        <f>HYPERLINK("https://inpn.mnhn.fr/espece/cd_nom/510269","Coprinopsis gonophylla (Quél.) Redhead, Vilgalys &amp; Moncalvo, 2001")</f>
        <v>Coprinopsis gonophylla (Quél.) Redhead, Vilgalys &amp; Moncalvo, 2001</v>
      </c>
      <c r="F6984" s="5" t="s">
        <v>9793</v>
      </c>
      <c r="V6984" s="7" t="str">
        <f>HYPERLINK("#Liste_rouge!A"&amp;_xlfn.XMATCH("LC",Liste_rouge!A:A,2,1),"LC")</f>
        <v>LC</v>
      </c>
      <c r="AH6984" s="4" t="str">
        <f>HYPERLINK("#Statut_biogéographique!A"&amp;_xlfn.XMATCH("P",Statut_biogéographique!A:A,2,1),"P")</f>
        <v>P</v>
      </c>
      <c r="AP6984" s="4" t="s">
        <v>376</v>
      </c>
      <c r="AR6984" s="4" t="s">
        <v>377</v>
      </c>
    </row>
    <row r="6985" spans="1:44" ht="30">
      <c r="A6985" s="4" t="s">
        <v>5</v>
      </c>
      <c r="B6985" s="4">
        <v>510270</v>
      </c>
      <c r="C6985" s="4">
        <v>861</v>
      </c>
      <c r="D6985" s="5">
        <v>510270</v>
      </c>
      <c r="E6985" s="6" t="str">
        <f>HYPERLINK("https://inpn.mnhn.fr/espece/cd_nom/510270","Coprinopsis jonesii (Peck) Redhead, Vilgalys &amp; Moncalvo, 2001")</f>
        <v>Coprinopsis jonesii (Peck) Redhead, Vilgalys &amp; Moncalvo, 2001</v>
      </c>
      <c r="F6985" s="5" t="s">
        <v>9794</v>
      </c>
      <c r="AH6985" s="4" t="str">
        <f>HYPERLINK("#Statut_biogéographique!A"&amp;_xlfn.XMATCH("P",Statut_biogéographique!A:A,2,1),"P")</f>
        <v>P</v>
      </c>
      <c r="AP6985" s="4" t="s">
        <v>376</v>
      </c>
      <c r="AR6985" s="4" t="s">
        <v>377</v>
      </c>
    </row>
    <row r="6986" spans="1:44" ht="30">
      <c r="A6986" s="4" t="s">
        <v>5</v>
      </c>
      <c r="B6986" s="4">
        <v>510272</v>
      </c>
      <c r="D6986" s="5" t="s">
        <v>9795</v>
      </c>
      <c r="E6986" s="6" t="str">
        <f>HYPERLINK("https://inpn.mnhn.fr/espece/cd_nom/510272","Parasola hemerobia (Fr.) Redhead, Vilgalys &amp; Hopple, 2001")</f>
        <v>Parasola hemerobia (Fr.) Redhead, Vilgalys &amp; Hopple, 2001</v>
      </c>
      <c r="V6986" s="7" t="str">
        <f>HYPERLINK("#Liste_rouge!A"&amp;_xlfn.XMATCH("LC",Liste_rouge!A:A,2,1),"LC")</f>
        <v>LC</v>
      </c>
      <c r="AH6986" s="4" t="str">
        <f>HYPERLINK("#Statut_biogéographique!A"&amp;_xlfn.XMATCH("P",Statut_biogéographique!A:A,2,1),"P")</f>
        <v>P</v>
      </c>
      <c r="AP6986" s="4" t="s">
        <v>376</v>
      </c>
      <c r="AR6986" s="4" t="s">
        <v>377</v>
      </c>
    </row>
    <row r="6987" spans="1:44" ht="45">
      <c r="A6987" s="4" t="s">
        <v>5</v>
      </c>
      <c r="B6987" s="4">
        <v>510277</v>
      </c>
      <c r="C6987" s="4">
        <v>6460</v>
      </c>
      <c r="D6987" s="5" t="s">
        <v>9796</v>
      </c>
      <c r="E6987" s="6" t="str">
        <f>HYPERLINK("https://inpn.mnhn.fr/espece/cd_nom/510277","Coprinellus heterosetulosus (Locq. ex Watling) Vilgalys, Hopple &amp; Jacq.Johnson, 2001")</f>
        <v>Coprinellus heterosetulosus (Locq. ex Watling) Vilgalys, Hopple &amp; Jacq.Johnson, 2001</v>
      </c>
      <c r="F6987" s="5" t="s">
        <v>9797</v>
      </c>
      <c r="AH6987" s="4" t="str">
        <f>HYPERLINK("#Statut_biogéographique!A"&amp;_xlfn.XMATCH("P",Statut_biogéographique!A:A,2,1),"P")</f>
        <v>P</v>
      </c>
      <c r="AP6987" s="4" t="s">
        <v>376</v>
      </c>
      <c r="AR6987" s="4" t="s">
        <v>377</v>
      </c>
    </row>
    <row r="6988" spans="1:44" ht="30">
      <c r="A6988" s="4" t="s">
        <v>5</v>
      </c>
      <c r="B6988" s="4">
        <v>510279</v>
      </c>
      <c r="C6988" s="4">
        <v>4793</v>
      </c>
      <c r="D6988" s="5" t="s">
        <v>9798</v>
      </c>
      <c r="E6988" s="6" t="str">
        <f>HYPERLINK("https://inpn.mnhn.fr/espece/cd_nom/510279","Coprinellus heterothrix (Kühner) Redhead, Vilgalys &amp; Moncalvo, 2001")</f>
        <v>Coprinellus heterothrix (Kühner) Redhead, Vilgalys &amp; Moncalvo, 2001</v>
      </c>
      <c r="V6988" s="7" t="str">
        <f>HYPERLINK("#Liste_rouge!A"&amp;_xlfn.XMATCH("DD",Liste_rouge!A:A,2,1),"DD")</f>
        <v>DD</v>
      </c>
      <c r="AH6988" s="4" t="str">
        <f>HYPERLINK("#Statut_biogéographique!A"&amp;_xlfn.XMATCH("P",Statut_biogéographique!A:A,2,1),"P")</f>
        <v>P</v>
      </c>
      <c r="AP6988" s="4" t="s">
        <v>376</v>
      </c>
      <c r="AR6988" s="4" t="s">
        <v>377</v>
      </c>
    </row>
    <row r="6989" spans="1:44" ht="30">
      <c r="A6989" s="4" t="s">
        <v>5</v>
      </c>
      <c r="B6989" s="4">
        <v>510282</v>
      </c>
      <c r="C6989" s="4">
        <v>907</v>
      </c>
      <c r="D6989" s="5" t="s">
        <v>9799</v>
      </c>
      <c r="E6989" s="6" t="str">
        <f>HYPERLINK("https://inpn.mnhn.fr/espece/cd_nom/510282","Coprinellus hiascens (Fr.) Redhead, Vilgalys &amp; Moncalvo, 2001")</f>
        <v>Coprinellus hiascens (Fr.) Redhead, Vilgalys &amp; Moncalvo, 2001</v>
      </c>
      <c r="V6989" s="7" t="str">
        <f>HYPERLINK("#Liste_rouge!A"&amp;_xlfn.XMATCH("DD",Liste_rouge!A:A,2,1),"DD")</f>
        <v>DD</v>
      </c>
      <c r="AH6989" s="4" t="str">
        <f>HYPERLINK("#Statut_biogéographique!A"&amp;_xlfn.XMATCH("P",Statut_biogéographique!A:A,2,1),"P")</f>
        <v>P</v>
      </c>
      <c r="AP6989" s="4" t="s">
        <v>376</v>
      </c>
      <c r="AR6989" s="4" t="s">
        <v>377</v>
      </c>
    </row>
    <row r="6990" spans="1:44" ht="30">
      <c r="A6990" s="4" t="s">
        <v>5</v>
      </c>
      <c r="B6990" s="4">
        <v>510287</v>
      </c>
      <c r="C6990" s="4">
        <v>861</v>
      </c>
      <c r="D6990" s="5" t="s">
        <v>9800</v>
      </c>
      <c r="E6990" s="6" t="str">
        <f>HYPERLINK("https://inpn.mnhn.fr/espece/cd_nom/510287","Coprinopsis jonesii (Peck) Redhead, Vilgalys &amp; Moncalvo, 2001")</f>
        <v>Coprinopsis jonesii (Peck) Redhead, Vilgalys &amp; Moncalvo, 2001</v>
      </c>
      <c r="F6990" s="5" t="s">
        <v>9794</v>
      </c>
      <c r="AH6990" s="4" t="str">
        <f>HYPERLINK("#Statut_biogéographique!A"&amp;_xlfn.XMATCH("P",Statut_biogéographique!A:A,2,1),"P")</f>
        <v>P</v>
      </c>
      <c r="AP6990" s="4" t="s">
        <v>376</v>
      </c>
      <c r="AR6990" s="4" t="s">
        <v>377</v>
      </c>
    </row>
    <row r="6991" spans="1:44" ht="30">
      <c r="A6991" s="4" t="s">
        <v>5</v>
      </c>
      <c r="B6991" s="4">
        <v>510305</v>
      </c>
      <c r="C6991" s="4">
        <v>265</v>
      </c>
      <c r="D6991" s="5" t="s">
        <v>9801</v>
      </c>
      <c r="E6991" s="6" t="str">
        <f>HYPERLINK("https://inpn.mnhn.fr/espece/cd_nom/510305","Coprinopsis macrocephala (Berk.) Redhead, Vilgalys &amp; Moncalvo, 2001")</f>
        <v>Coprinopsis macrocephala (Berk.) Redhead, Vilgalys &amp; Moncalvo, 2001</v>
      </c>
      <c r="V6991" s="7" t="str">
        <f>HYPERLINK("#Liste_rouge!A"&amp;_xlfn.XMATCH("LC",Liste_rouge!A:A,2,1),"LC")</f>
        <v>LC</v>
      </c>
      <c r="AH6991" s="4" t="str">
        <f>HYPERLINK("#Statut_biogéographique!A"&amp;_xlfn.XMATCH("P",Statut_biogéographique!A:A,2,1),"P")</f>
        <v>P</v>
      </c>
      <c r="AP6991" s="4" t="s">
        <v>376</v>
      </c>
      <c r="AR6991" s="4" t="s">
        <v>377</v>
      </c>
    </row>
    <row r="6992" spans="1:44" ht="30">
      <c r="A6992" s="4" t="s">
        <v>5</v>
      </c>
      <c r="B6992" s="4">
        <v>510306</v>
      </c>
      <c r="C6992" s="4">
        <v>4685</v>
      </c>
      <c r="D6992" s="5" t="s">
        <v>9802</v>
      </c>
      <c r="E6992" s="6" t="str">
        <f>HYPERLINK("https://inpn.mnhn.fr/espece/cd_nom/510306","Coprinellus marculentus (Britzelm.) Redhead, Vilgalys &amp; Moncalvo, 2001")</f>
        <v>Coprinellus marculentus (Britzelm.) Redhead, Vilgalys &amp; Moncalvo, 2001</v>
      </c>
      <c r="V6992" s="7" t="str">
        <f>HYPERLINK("#Liste_rouge!A"&amp;_xlfn.XMATCH("DD",Liste_rouge!A:A,2,1),"DD")</f>
        <v>DD</v>
      </c>
      <c r="AH6992" s="4" t="str">
        <f>HYPERLINK("#Statut_biogéographique!A"&amp;_xlfn.XMATCH("P",Statut_biogéographique!A:A,2,1),"P")</f>
        <v>P</v>
      </c>
      <c r="AP6992" s="4" t="s">
        <v>376</v>
      </c>
      <c r="AR6992" s="4" t="s">
        <v>377</v>
      </c>
    </row>
    <row r="6993" spans="1:44" ht="30">
      <c r="A6993" s="4" t="s">
        <v>5</v>
      </c>
      <c r="B6993" s="4">
        <v>510311</v>
      </c>
      <c r="C6993" s="4">
        <v>150</v>
      </c>
      <c r="D6993" s="5" t="s">
        <v>9803</v>
      </c>
      <c r="E6993" s="6" t="str">
        <f>HYPERLINK("https://inpn.mnhn.fr/espece/cd_nom/510311","Coprinellus micaceus (Bull.) Vilgalys, Hopple &amp; Jacq.Johnson, 2001")</f>
        <v>Coprinellus micaceus (Bull.) Vilgalys, Hopple &amp; Jacq.Johnson, 2001</v>
      </c>
      <c r="F6993" s="5" t="s">
        <v>9804</v>
      </c>
      <c r="V6993" s="7" t="str">
        <f>HYPERLINK("#Liste_rouge!A"&amp;_xlfn.XMATCH("LC",Liste_rouge!A:A,2,1),"LC")</f>
        <v>LC</v>
      </c>
      <c r="AH6993" s="4" t="str">
        <f>HYPERLINK("#Statut_biogéographique!A"&amp;_xlfn.XMATCH("P",Statut_biogéographique!A:A,2,1),"P")</f>
        <v>P</v>
      </c>
      <c r="AP6993" s="4" t="s">
        <v>376</v>
      </c>
      <c r="AR6993" s="4" t="s">
        <v>377</v>
      </c>
    </row>
    <row r="6994" spans="1:44" ht="30">
      <c r="A6994" s="4" t="s">
        <v>5</v>
      </c>
      <c r="B6994" s="4">
        <v>510314</v>
      </c>
      <c r="C6994" s="4">
        <v>3208</v>
      </c>
      <c r="D6994" s="5" t="s">
        <v>9805</v>
      </c>
      <c r="E6994" s="6" t="str">
        <f>HYPERLINK("https://inpn.mnhn.fr/espece/cd_nom/510314","Coprinopsis narcotica (Batsch) Redhead, Vilgalys &amp; Moncalvo, 2001")</f>
        <v>Coprinopsis narcotica (Batsch) Redhead, Vilgalys &amp; Moncalvo, 2001</v>
      </c>
      <c r="F6994" s="5" t="s">
        <v>9806</v>
      </c>
      <c r="V6994" s="7" t="str">
        <f>HYPERLINK("#Liste_rouge!A"&amp;_xlfn.XMATCH("DD",Liste_rouge!A:A,2,1),"DD")</f>
        <v>DD</v>
      </c>
      <c r="Z6994" s="4" t="s">
        <v>447</v>
      </c>
      <c r="AA6994" s="4" t="s">
        <v>448</v>
      </c>
      <c r="AH6994" s="4" t="str">
        <f>HYPERLINK("#Statut_biogéographique!A"&amp;_xlfn.XMATCH("P",Statut_biogéographique!A:A,2,1),"P")</f>
        <v>P</v>
      </c>
      <c r="AP6994" s="4" t="s">
        <v>376</v>
      </c>
      <c r="AR6994" s="4" t="s">
        <v>377</v>
      </c>
    </row>
    <row r="6995" spans="1:44" ht="30">
      <c r="A6995" s="4" t="s">
        <v>5</v>
      </c>
      <c r="B6995" s="4">
        <v>510315</v>
      </c>
      <c r="C6995" s="4">
        <v>1533</v>
      </c>
      <c r="D6995" s="5" t="s">
        <v>9807</v>
      </c>
      <c r="E6995" s="6" t="str">
        <f>HYPERLINK("https://inpn.mnhn.fr/espece/cd_nom/510315","Coprinopsis nivea (Pers.) Redhead, Vilgalys &amp; Moncalvo, 2001")</f>
        <v>Coprinopsis nivea (Pers.) Redhead, Vilgalys &amp; Moncalvo, 2001</v>
      </c>
      <c r="F6995" s="5" t="s">
        <v>9808</v>
      </c>
      <c r="V6995" s="7" t="str">
        <f>HYPERLINK("#Liste_rouge!A"&amp;_xlfn.XMATCH("DD",Liste_rouge!A:A,2,1),"DD")</f>
        <v>DD</v>
      </c>
      <c r="AH6995" s="4" t="str">
        <f>HYPERLINK("#Statut_biogéographique!A"&amp;_xlfn.XMATCH("P",Statut_biogéographique!A:A,2,1),"P")</f>
        <v>P</v>
      </c>
      <c r="AP6995" s="4" t="s">
        <v>376</v>
      </c>
      <c r="AR6995" s="4" t="s">
        <v>377</v>
      </c>
    </row>
    <row r="6996" spans="1:44" ht="30">
      <c r="A6996" s="4" t="s">
        <v>5</v>
      </c>
      <c r="B6996" s="4">
        <v>510319</v>
      </c>
      <c r="C6996" s="4">
        <v>573</v>
      </c>
      <c r="D6996" s="5" t="s">
        <v>9809</v>
      </c>
      <c r="E6996" s="6" t="str">
        <f>HYPERLINK("https://inpn.mnhn.fr/espece/cd_nom/510319","Coprinopsis pachysperma (P.D.Orton) Redhead, Vilgalys &amp; Moncalvo, 2001")</f>
        <v>Coprinopsis pachysperma (P.D.Orton) Redhead, Vilgalys &amp; Moncalvo, 2001</v>
      </c>
      <c r="V6996" s="7" t="str">
        <f>HYPERLINK("#Liste_rouge!A"&amp;_xlfn.XMATCH("DD",Liste_rouge!A:A,2,1),"DD")</f>
        <v>DD</v>
      </c>
      <c r="AH6996" s="4" t="str">
        <f>HYPERLINK("#Statut_biogéographique!A"&amp;_xlfn.XMATCH("P",Statut_biogéographique!A:A,2,1),"P")</f>
        <v>P</v>
      </c>
      <c r="AP6996" s="4" t="s">
        <v>376</v>
      </c>
      <c r="AR6996" s="4" t="s">
        <v>377</v>
      </c>
    </row>
    <row r="6997" spans="1:44" ht="30">
      <c r="A6997" s="4" t="s">
        <v>5</v>
      </c>
      <c r="B6997" s="4">
        <v>510325</v>
      </c>
      <c r="C6997" s="4">
        <v>2469</v>
      </c>
      <c r="D6997" s="5" t="s">
        <v>9810</v>
      </c>
      <c r="E6997" s="6" t="str">
        <f>HYPERLINK("https://inpn.mnhn.fr/espece/cd_nom/510325","Coprinopsis picacea (Bull.) Redhead, Vilgalys &amp; Moncalvo, 2001")</f>
        <v>Coprinopsis picacea (Bull.) Redhead, Vilgalys &amp; Moncalvo, 2001</v>
      </c>
      <c r="F6997" s="5" t="s">
        <v>9811</v>
      </c>
      <c r="V6997" s="7" t="str">
        <f>HYPERLINK("#Liste_rouge!A"&amp;_xlfn.XMATCH("LC",Liste_rouge!A:A,2,1),"LC")</f>
        <v>LC</v>
      </c>
      <c r="AH6997" s="4" t="str">
        <f>HYPERLINK("#Statut_biogéographique!A"&amp;_xlfn.XMATCH("P",Statut_biogéographique!A:A,2,1),"P")</f>
        <v>P</v>
      </c>
      <c r="AP6997" s="4" t="s">
        <v>376</v>
      </c>
      <c r="AR6997" s="4" t="s">
        <v>377</v>
      </c>
    </row>
    <row r="6998" spans="1:44" ht="30">
      <c r="A6998" s="4" t="s">
        <v>5</v>
      </c>
      <c r="B6998" s="4">
        <v>510329</v>
      </c>
      <c r="D6998" s="5" t="s">
        <v>9812</v>
      </c>
      <c r="E6998" s="6" t="str">
        <f>HYPERLINK("https://inpn.mnhn.fr/espece/cd_nom/510329","Parasola plicatilis (Curtis) Redhead, Vilgalys &amp; Hopple, 2001")</f>
        <v>Parasola plicatilis (Curtis) Redhead, Vilgalys &amp; Hopple, 2001</v>
      </c>
      <c r="F6998" s="5" t="s">
        <v>3890</v>
      </c>
      <c r="V6998" s="7" t="str">
        <f>HYPERLINK("#Liste_rouge!A"&amp;_xlfn.XMATCH("LC",Liste_rouge!A:A,2,1),"LC")</f>
        <v>LC</v>
      </c>
      <c r="AH6998" s="4" t="str">
        <f>HYPERLINK("#Statut_biogéographique!A"&amp;_xlfn.XMATCH("P",Statut_biogéographique!A:A,2,1),"P")</f>
        <v>P</v>
      </c>
      <c r="AP6998" s="4" t="s">
        <v>376</v>
      </c>
      <c r="AR6998" s="4" t="s">
        <v>377</v>
      </c>
    </row>
    <row r="6999" spans="1:44" ht="30">
      <c r="A6999" s="4" t="s">
        <v>5</v>
      </c>
      <c r="B6999" s="4">
        <v>510332</v>
      </c>
      <c r="C6999" s="4">
        <v>6710</v>
      </c>
      <c r="D6999" s="5" t="s">
        <v>9813</v>
      </c>
      <c r="E6999" s="6" t="str">
        <f>HYPERLINK("https://inpn.mnhn.fr/espece/cd_nom/510332","Coprinopsis pseudofriesii (Pilát &amp; Svrček) Redhead, Vilgalys &amp; Moncalvo, 2001")</f>
        <v>Coprinopsis pseudofriesii (Pilát &amp; Svrček) Redhead, Vilgalys &amp; Moncalvo, 2001</v>
      </c>
      <c r="AH6999" s="4" t="str">
        <f>HYPERLINK("#Statut_biogéographique!A"&amp;_xlfn.XMATCH("P",Statut_biogéographique!A:A,2,1),"P")</f>
        <v>P</v>
      </c>
      <c r="AP6999" s="4" t="s">
        <v>376</v>
      </c>
      <c r="AR6999" s="4" t="s">
        <v>377</v>
      </c>
    </row>
    <row r="7000" spans="1:44" ht="30">
      <c r="A7000" s="4" t="s">
        <v>5</v>
      </c>
      <c r="B7000" s="4">
        <v>510333</v>
      </c>
      <c r="C7000" s="4">
        <v>3209</v>
      </c>
      <c r="D7000" s="5" t="s">
        <v>9814</v>
      </c>
      <c r="E7000" s="6" t="str">
        <f>HYPERLINK("https://inpn.mnhn.fr/espece/cd_nom/510333","Coprinopsis pseudonivea (Bender &amp; Uljé) Redhead, Vilgalys &amp; Moncalvo, 2001")</f>
        <v>Coprinopsis pseudonivea (Bender &amp; Uljé) Redhead, Vilgalys &amp; Moncalvo, 2001</v>
      </c>
      <c r="F7000" s="5" t="s">
        <v>9815</v>
      </c>
      <c r="V7000" s="7" t="str">
        <f>HYPERLINK("#Liste_rouge!A"&amp;_xlfn.XMATCH("DD",Liste_rouge!A:A,2,1),"DD")</f>
        <v>DD</v>
      </c>
      <c r="AH7000" s="4" t="str">
        <f>HYPERLINK("#Statut_biogéographique!A"&amp;_xlfn.XMATCH("P",Statut_biogéographique!A:A,2,1),"P")</f>
        <v>P</v>
      </c>
      <c r="AP7000" s="4" t="s">
        <v>376</v>
      </c>
      <c r="AR7000" s="4" t="s">
        <v>377</v>
      </c>
    </row>
    <row r="7001" spans="1:44" ht="30">
      <c r="A7001" s="4" t="s">
        <v>5</v>
      </c>
      <c r="B7001" s="4">
        <v>510338</v>
      </c>
      <c r="C7001" s="4">
        <v>3946</v>
      </c>
      <c r="D7001" s="5" t="s">
        <v>9816</v>
      </c>
      <c r="E7001" s="6" t="str">
        <f>HYPERLINK("https://inpn.mnhn.fr/espece/cd_nom/510338","Coprinellus radians (Desm.) Vilgalys, Hopple &amp; Jacq.Johnson, 2001")</f>
        <v>Coprinellus radians (Desm.) Vilgalys, Hopple &amp; Jacq.Johnson, 2001</v>
      </c>
      <c r="F7001" s="5" t="s">
        <v>9817</v>
      </c>
      <c r="V7001" s="7" t="str">
        <f>HYPERLINK("#Liste_rouge!A"&amp;_xlfn.XMATCH("LC",Liste_rouge!A:A,2,1),"LC")</f>
        <v>LC</v>
      </c>
      <c r="AH7001" s="4" t="str">
        <f>HYPERLINK("#Statut_biogéographique!A"&amp;_xlfn.XMATCH("P",Statut_biogéographique!A:A,2,1),"P")</f>
        <v>P</v>
      </c>
      <c r="AP7001" s="4" t="s">
        <v>376</v>
      </c>
      <c r="AR7001" s="4" t="s">
        <v>377</v>
      </c>
    </row>
    <row r="7002" spans="1:44" ht="30">
      <c r="A7002" s="4" t="s">
        <v>5</v>
      </c>
      <c r="B7002" s="4">
        <v>510341</v>
      </c>
      <c r="C7002" s="4">
        <v>975</v>
      </c>
      <c r="D7002" s="5" t="s">
        <v>9818</v>
      </c>
      <c r="E7002" s="6" t="str">
        <f>HYPERLINK("https://inpn.mnhn.fr/espece/cd_nom/510341","Coprinopsis radiata (Bolton) Redhead, Vilgalys &amp; Moncalvo, 2001")</f>
        <v>Coprinopsis radiata (Bolton) Redhead, Vilgalys &amp; Moncalvo, 2001</v>
      </c>
      <c r="V7002" s="7" t="str">
        <f>HYPERLINK("#Liste_rouge!A"&amp;_xlfn.XMATCH("DD",Liste_rouge!A:A,2,1),"DD")</f>
        <v>DD</v>
      </c>
      <c r="AH7002" s="4" t="str">
        <f>HYPERLINK("#Statut_biogéographique!A"&amp;_xlfn.XMATCH("P",Statut_biogéographique!A:A,2,1),"P")</f>
        <v>P</v>
      </c>
      <c r="AP7002" s="4" t="s">
        <v>376</v>
      </c>
      <c r="AR7002" s="4" t="s">
        <v>377</v>
      </c>
    </row>
    <row r="7003" spans="1:44" ht="30">
      <c r="A7003" s="4" t="s">
        <v>5</v>
      </c>
      <c r="B7003" s="4">
        <v>510343</v>
      </c>
      <c r="C7003" s="4">
        <v>1110</v>
      </c>
      <c r="D7003" s="5" t="s">
        <v>9819</v>
      </c>
      <c r="E7003" s="6" t="str">
        <f>HYPERLINK("https://inpn.mnhn.fr/espece/cd_nom/510343","Coprinopsis romagnesiana (Singer) Redhead, Vilgalys &amp; Moncalvo, 2001")</f>
        <v>Coprinopsis romagnesiana (Singer) Redhead, Vilgalys &amp; Moncalvo, 2001</v>
      </c>
      <c r="F7003" s="5" t="s">
        <v>9820</v>
      </c>
      <c r="V7003" s="7" t="str">
        <f>HYPERLINK("#Liste_rouge!A"&amp;_xlfn.XMATCH("DD",Liste_rouge!A:A,2,1),"DD")</f>
        <v>DD</v>
      </c>
      <c r="AH7003" s="4" t="str">
        <f>HYPERLINK("#Statut_biogéographique!A"&amp;_xlfn.XMATCH("P",Statut_biogéographique!A:A,2,1),"P")</f>
        <v>P</v>
      </c>
      <c r="AP7003" s="4" t="s">
        <v>376</v>
      </c>
      <c r="AR7003" s="4" t="s">
        <v>377</v>
      </c>
    </row>
    <row r="7004" spans="1:44" ht="30">
      <c r="A7004" s="4" t="s">
        <v>5</v>
      </c>
      <c r="B7004" s="4">
        <v>510345</v>
      </c>
      <c r="C7004" s="4">
        <v>3548</v>
      </c>
      <c r="D7004" s="5" t="s">
        <v>9821</v>
      </c>
      <c r="E7004" s="6" t="str">
        <f>HYPERLINK("https://inpn.mnhn.fr/espece/cd_nom/510345","Coprinellus saccharinus (Romagn.) P.Roux, Guy García &amp; Dumas, 2006")</f>
        <v>Coprinellus saccharinus (Romagn.) P.Roux, Guy García &amp; Dumas, 2006</v>
      </c>
      <c r="V7004" s="7" t="str">
        <f>HYPERLINK("#Liste_rouge!A"&amp;_xlfn.XMATCH("DD",Liste_rouge!A:A,2,1),"DD")</f>
        <v>DD</v>
      </c>
      <c r="AH7004" s="4" t="str">
        <f>HYPERLINK("#Statut_biogéographique!A"&amp;_xlfn.XMATCH("P",Statut_biogéographique!A:A,2,1),"P")</f>
        <v>P</v>
      </c>
      <c r="AP7004" s="4" t="s">
        <v>376</v>
      </c>
      <c r="AR7004" s="4" t="s">
        <v>377</v>
      </c>
    </row>
    <row r="7005" spans="1:44" ht="30">
      <c r="A7005" s="4" t="s">
        <v>5</v>
      </c>
      <c r="B7005" s="4">
        <v>510354</v>
      </c>
      <c r="C7005" s="4">
        <v>3210</v>
      </c>
      <c r="D7005" s="5" t="s">
        <v>9822</v>
      </c>
      <c r="E7005" s="6" t="str">
        <f>HYPERLINK("https://inpn.mnhn.fr/espece/cd_nom/510354","Coprinopsis semitalis (P.D.Orton) Redhead, Vilgalys &amp; Moncalvo, 2001")</f>
        <v>Coprinopsis semitalis (P.D.Orton) Redhead, Vilgalys &amp; Moncalvo, 2001</v>
      </c>
      <c r="V7005" s="7" t="str">
        <f>HYPERLINK("#Liste_rouge!A"&amp;_xlfn.XMATCH("DD",Liste_rouge!A:A,2,1),"DD")</f>
        <v>DD</v>
      </c>
      <c r="AH7005" s="4" t="str">
        <f>HYPERLINK("#Statut_biogéographique!A"&amp;_xlfn.XMATCH("P",Statut_biogéographique!A:A,2,1),"P")</f>
        <v>P</v>
      </c>
      <c r="AP7005" s="4" t="s">
        <v>376</v>
      </c>
      <c r="AR7005" s="4" t="s">
        <v>377</v>
      </c>
    </row>
    <row r="7006" spans="1:44" ht="30">
      <c r="A7006" s="4" t="s">
        <v>5</v>
      </c>
      <c r="B7006" s="4">
        <v>510361</v>
      </c>
      <c r="C7006" s="4">
        <v>3168</v>
      </c>
      <c r="D7006" s="5" t="s">
        <v>9823</v>
      </c>
      <c r="E7006" s="6" t="str">
        <f>HYPERLINK("https://inpn.mnhn.fr/espece/cd_nom/510361","Coprinopsis stercorea (Fr.) Redhead, Vilgalys &amp; Moncalvo, 2001")</f>
        <v>Coprinopsis stercorea (Fr.) Redhead, Vilgalys &amp; Moncalvo, 2001</v>
      </c>
      <c r="F7006" s="5" t="s">
        <v>9824</v>
      </c>
      <c r="V7006" s="7" t="str">
        <f>HYPERLINK("#Liste_rouge!A"&amp;_xlfn.XMATCH("LC",Liste_rouge!A:A,2,1),"LC")</f>
        <v>LC</v>
      </c>
      <c r="AH7006" s="4" t="str">
        <f>HYPERLINK("#Statut_biogéographique!A"&amp;_xlfn.XMATCH("P",Statut_biogéographique!A:A,2,1),"P")</f>
        <v>P</v>
      </c>
      <c r="AP7006" s="4" t="s">
        <v>376</v>
      </c>
      <c r="AR7006" s="4" t="s">
        <v>377</v>
      </c>
    </row>
    <row r="7007" spans="1:44" ht="30">
      <c r="A7007" s="4" t="s">
        <v>5</v>
      </c>
      <c r="B7007" s="4">
        <v>510364</v>
      </c>
      <c r="C7007" s="4">
        <v>4927</v>
      </c>
      <c r="D7007" s="5" t="s">
        <v>9825</v>
      </c>
      <c r="E7007" s="6" t="str">
        <f>HYPERLINK("https://inpn.mnhn.fr/espece/cd_nom/510364","Coprinopsis strossmayeri (Schulzer) Redhead, Vilgalys &amp; Moncalvo, 2001")</f>
        <v>Coprinopsis strossmayeri (Schulzer) Redhead, Vilgalys &amp; Moncalvo, 2001</v>
      </c>
      <c r="F7007" s="5" t="s">
        <v>9826</v>
      </c>
      <c r="AH7007" s="4" t="str">
        <f>HYPERLINK("#Statut_biogéographique!A"&amp;_xlfn.XMATCH("P",Statut_biogéographique!A:A,2,1),"P")</f>
        <v>P</v>
      </c>
      <c r="AP7007" s="4" t="s">
        <v>376</v>
      </c>
      <c r="AR7007" s="4" t="s">
        <v>377</v>
      </c>
    </row>
    <row r="7008" spans="1:44" ht="30">
      <c r="A7008" s="4" t="s">
        <v>5</v>
      </c>
      <c r="B7008" s="4">
        <v>510369</v>
      </c>
      <c r="C7008" s="4">
        <v>6447</v>
      </c>
      <c r="D7008" s="5" t="s">
        <v>9827</v>
      </c>
      <c r="E7008" s="6" t="str">
        <f>HYPERLINK("https://inpn.mnhn.fr/espece/cd_nom/510369","Coprinellus subdisseminatus (M.Lange) Redhead, Vilgalys &amp; Moncalvo, 2001")</f>
        <v>Coprinellus subdisseminatus (M.Lange) Redhead, Vilgalys &amp; Moncalvo, 2001</v>
      </c>
      <c r="F7008" s="5" t="s">
        <v>9828</v>
      </c>
      <c r="AH7008" s="4" t="str">
        <f>HYPERLINK("#Statut_biogéographique!A"&amp;_xlfn.XMATCH("P",Statut_biogéographique!A:A,2,1),"P")</f>
        <v>P</v>
      </c>
      <c r="AP7008" s="4" t="s">
        <v>376</v>
      </c>
      <c r="AR7008" s="4" t="s">
        <v>377</v>
      </c>
    </row>
    <row r="7009" spans="1:44" ht="30">
      <c r="A7009" s="4" t="s">
        <v>5</v>
      </c>
      <c r="B7009" s="4">
        <v>510380</v>
      </c>
      <c r="C7009" s="4">
        <v>518</v>
      </c>
      <c r="D7009" s="5" t="s">
        <v>9829</v>
      </c>
      <c r="E7009" s="6" t="str">
        <f>HYPERLINK("https://inpn.mnhn.fr/espece/cd_nom/510380","Coprinellus truncorum (Scop.) Redhead, Vilgalys &amp; Moncalvo, 2001")</f>
        <v>Coprinellus truncorum (Scop.) Redhead, Vilgalys &amp; Moncalvo, 2001</v>
      </c>
      <c r="F7009" s="5" t="s">
        <v>9830</v>
      </c>
      <c r="V7009" s="7" t="str">
        <f>HYPERLINK("#Liste_rouge!A"&amp;_xlfn.XMATCH("LC",Liste_rouge!A:A,2,1),"LC")</f>
        <v>LC</v>
      </c>
      <c r="AH7009" s="4" t="str">
        <f>HYPERLINK("#Statut_biogéographique!A"&amp;_xlfn.XMATCH("P",Statut_biogéographique!A:A,2,1),"P")</f>
        <v>P</v>
      </c>
      <c r="AP7009" s="4" t="s">
        <v>376</v>
      </c>
      <c r="AR7009" s="4" t="s">
        <v>377</v>
      </c>
    </row>
    <row r="7010" spans="1:44" ht="30">
      <c r="A7010" s="4" t="s">
        <v>5</v>
      </c>
      <c r="B7010" s="4">
        <v>510385</v>
      </c>
      <c r="C7010" s="4">
        <v>769</v>
      </c>
      <c r="D7010" s="5" t="s">
        <v>9831</v>
      </c>
      <c r="E7010" s="6" t="str">
        <f>HYPERLINK("https://inpn.mnhn.fr/espece/cd_nom/510385","Coprinopsis urticicola (Berk. &amp; Broome) Redhead, Vilgalys &amp; Moncalvo, 2001")</f>
        <v>Coprinopsis urticicola (Berk. &amp; Broome) Redhead, Vilgalys &amp; Moncalvo, 2001</v>
      </c>
      <c r="F7010" s="5" t="s">
        <v>9832</v>
      </c>
      <c r="V7010" s="7" t="str">
        <f>HYPERLINK("#Liste_rouge!A"&amp;_xlfn.XMATCH("DD",Liste_rouge!A:A,2,1),"DD")</f>
        <v>DD</v>
      </c>
      <c r="AH7010" s="4" t="str">
        <f>HYPERLINK("#Statut_biogéographique!A"&amp;_xlfn.XMATCH("P",Statut_biogéographique!A:A,2,1),"P")</f>
        <v>P</v>
      </c>
      <c r="AP7010" s="4" t="s">
        <v>376</v>
      </c>
      <c r="AR7010" s="4" t="s">
        <v>377</v>
      </c>
    </row>
    <row r="7011" spans="1:44" ht="30">
      <c r="A7011" s="4" t="s">
        <v>5</v>
      </c>
      <c r="B7011" s="4">
        <v>510391</v>
      </c>
      <c r="C7011" s="4">
        <v>2330</v>
      </c>
      <c r="D7011" s="5" t="s">
        <v>9833</v>
      </c>
      <c r="E7011" s="6" t="str">
        <f>HYPERLINK("https://inpn.mnhn.fr/espece/cd_nom/510391","Coprinellus verrucispermus (Joss. &amp; Enderle) Redhead, Vilgalys &amp; Moncalvo, 2001")</f>
        <v>Coprinellus verrucispermus (Joss. &amp; Enderle) Redhead, Vilgalys &amp; Moncalvo, 2001</v>
      </c>
      <c r="F7011" s="5" t="s">
        <v>9834</v>
      </c>
      <c r="V7011" s="7" t="str">
        <f>HYPERLINK("#Liste_rouge!A"&amp;_xlfn.XMATCH("DD",Liste_rouge!A:A,2,1),"DD")</f>
        <v>DD</v>
      </c>
      <c r="AH7011" s="4" t="str">
        <f>HYPERLINK("#Statut_biogéographique!A"&amp;_xlfn.XMATCH("P",Statut_biogéographique!A:A,2,1),"P")</f>
        <v>P</v>
      </c>
      <c r="AP7011" s="4" t="s">
        <v>376</v>
      </c>
      <c r="AR7011" s="4" t="s">
        <v>377</v>
      </c>
    </row>
    <row r="7012" spans="1:44" ht="30">
      <c r="A7012" s="4" t="s">
        <v>5</v>
      </c>
      <c r="B7012" s="4">
        <v>510395</v>
      </c>
      <c r="C7012" s="4">
        <v>3126</v>
      </c>
      <c r="D7012" s="5" t="s">
        <v>9835</v>
      </c>
      <c r="E7012" s="6" t="str">
        <f>HYPERLINK("https://inpn.mnhn.fr/espece/cd_nom/510395","Coprinellus xanthothrix (Romagn.) Vilgalys, Hopple &amp; Jacq.Johnson, 2001")</f>
        <v>Coprinellus xanthothrix (Romagn.) Vilgalys, Hopple &amp; Jacq.Johnson, 2001</v>
      </c>
      <c r="V7012" s="7" t="str">
        <f>HYPERLINK("#Liste_rouge!A"&amp;_xlfn.XMATCH("DD",Liste_rouge!A:A,2,1),"DD")</f>
        <v>DD</v>
      </c>
      <c r="AH7012" s="4" t="str">
        <f>HYPERLINK("#Statut_biogéographique!A"&amp;_xlfn.XMATCH("P",Statut_biogéographique!A:A,2,1),"P")</f>
        <v>P</v>
      </c>
      <c r="AP7012" s="4" t="s">
        <v>376</v>
      </c>
      <c r="AR7012" s="4" t="s">
        <v>377</v>
      </c>
    </row>
    <row r="7013" spans="1:44">
      <c r="A7013" s="4" t="s">
        <v>5</v>
      </c>
      <c r="B7013" s="4">
        <v>51310</v>
      </c>
      <c r="D7013" s="5" t="s">
        <v>9836</v>
      </c>
      <c r="E7013" s="6" t="str">
        <f>HYPERLINK("https://inpn.mnhn.fr/espece/cd_nom/51310","Ustilago maydis (DC.) Corda, 1842")</f>
        <v>Ustilago maydis (DC.) Corda, 1842</v>
      </c>
      <c r="F7013" s="5" t="s">
        <v>4105</v>
      </c>
      <c r="AH7013" s="4" t="str">
        <f>HYPERLINK("#Statut_biogéographique!A"&amp;_xlfn.XMATCH("P",Statut_biogéographique!A:A,2,1),"P")</f>
        <v>P</v>
      </c>
      <c r="AP7013" s="4" t="s">
        <v>376</v>
      </c>
      <c r="AR7013" s="4" t="s">
        <v>377</v>
      </c>
    </row>
    <row r="7014" spans="1:44" ht="45">
      <c r="A7014" s="4" t="s">
        <v>5</v>
      </c>
      <c r="B7014" s="4">
        <v>513103</v>
      </c>
      <c r="C7014" s="4">
        <v>2224</v>
      </c>
      <c r="D7014" s="5" t="s">
        <v>9837</v>
      </c>
      <c r="E7014" s="6" t="str">
        <f>HYPERLINK("https://inpn.mnhn.fr/espece/cd_nom/513103","Hemimycena hirsuta (Tode) Singer, 1986")</f>
        <v>Hemimycena hirsuta (Tode) Singer, 1986</v>
      </c>
      <c r="F7014" s="5" t="s">
        <v>9838</v>
      </c>
      <c r="V7014" s="7" t="str">
        <f>HYPERLINK("#Liste_rouge!A"&amp;_xlfn.XMATCH("EN",Liste_rouge!A:A,2,1),"EN")</f>
        <v>EN</v>
      </c>
      <c r="W7014" s="4" t="str">
        <f>HYPERLINK("#Critères_liste_rouge!A$1","B2abiii")</f>
        <v>B2abiii</v>
      </c>
      <c r="Z7014" s="4" t="s">
        <v>443</v>
      </c>
      <c r="AA7014" s="4" t="s">
        <v>444</v>
      </c>
      <c r="AH7014" s="4" t="str">
        <f>HYPERLINK("#Statut_biogéographique!A"&amp;_xlfn.XMATCH("P",Statut_biogéographique!A:A,2,1),"P")</f>
        <v>P</v>
      </c>
      <c r="AP7014" s="4" t="s">
        <v>376</v>
      </c>
      <c r="AR7014" s="4" t="s">
        <v>377</v>
      </c>
    </row>
    <row r="7015" spans="1:44">
      <c r="A7015" s="4" t="s">
        <v>5</v>
      </c>
      <c r="B7015" s="4">
        <v>513463</v>
      </c>
      <c r="C7015" s="4">
        <v>3579</v>
      </c>
      <c r="D7015" s="5" t="s">
        <v>9839</v>
      </c>
      <c r="E7015" s="6" t="str">
        <f>HYPERLINK("https://inpn.mnhn.fr/espece/cd_nom/513463","Hygrocybe subminutula Murrill, 1940")</f>
        <v>Hygrocybe subminutula Murrill, 1940</v>
      </c>
      <c r="V7015" s="7" t="str">
        <f>HYPERLINK("#Liste_rouge!A"&amp;_xlfn.XMATCH("EN",Liste_rouge!A:A,2,1),"EN")</f>
        <v>EN</v>
      </c>
      <c r="W7015" s="4" t="str">
        <f>HYPERLINK("#Critères_liste_rouge!A$1","B2abiii")</f>
        <v>B2abiii</v>
      </c>
      <c r="Z7015" s="4" t="s">
        <v>447</v>
      </c>
      <c r="AA7015" s="4" t="s">
        <v>448</v>
      </c>
      <c r="AH7015" s="4" t="str">
        <f>HYPERLINK("#Statut_biogéographique!A"&amp;_xlfn.XMATCH("P",Statut_biogéographique!A:A,2,1),"P")</f>
        <v>P</v>
      </c>
      <c r="AP7015" s="4" t="s">
        <v>376</v>
      </c>
      <c r="AR7015" s="4" t="s">
        <v>377</v>
      </c>
    </row>
    <row r="7016" spans="1:44">
      <c r="A7016" s="4" t="s">
        <v>5</v>
      </c>
      <c r="B7016" s="4">
        <v>513521</v>
      </c>
      <c r="C7016" s="4">
        <v>1813</v>
      </c>
      <c r="D7016" s="5" t="s">
        <v>9840</v>
      </c>
      <c r="E7016" s="6" t="str">
        <f>HYPERLINK("https://inpn.mnhn.fr/espece/cd_nom/513521","Hygrophorus limacinus (Scop.) Fr., 1838")</f>
        <v>Hygrophorus limacinus (Scop.) Fr., 1838</v>
      </c>
      <c r="F7016" s="5" t="s">
        <v>9841</v>
      </c>
      <c r="V7016" s="7" t="str">
        <f>HYPERLINK("#Liste_rouge!A"&amp;_xlfn.XMATCH("LC",Liste_rouge!A:A,2,1),"LC")</f>
        <v>LC</v>
      </c>
      <c r="AH7016" s="4" t="str">
        <f>HYPERLINK("#Statut_biogéographique!A"&amp;_xlfn.XMATCH("P",Statut_biogéographique!A:A,2,1),"P")</f>
        <v>P</v>
      </c>
      <c r="AP7016" s="4" t="s">
        <v>376</v>
      </c>
      <c r="AR7016" s="4" t="s">
        <v>377</v>
      </c>
    </row>
    <row r="7017" spans="1:44" ht="30">
      <c r="A7017" s="4" t="s">
        <v>5</v>
      </c>
      <c r="B7017" s="4">
        <v>513626</v>
      </c>
      <c r="C7017" s="4">
        <v>3355</v>
      </c>
      <c r="D7017" s="5" t="s">
        <v>9842</v>
      </c>
      <c r="E7017" s="6" t="str">
        <f>HYPERLINK("https://inpn.mnhn.fr/espece/cd_nom/513626","Alutaceodontia alutacea (Fr.) Hjortstam &amp; Ryvarden, 2002")</f>
        <v>Alutaceodontia alutacea (Fr.) Hjortstam &amp; Ryvarden, 2002</v>
      </c>
      <c r="V7017" s="7" t="str">
        <f>HYPERLINK("#Liste_rouge!A"&amp;_xlfn.XMATCH("DD",Liste_rouge!A:A,2,1),"DD")</f>
        <v>DD</v>
      </c>
      <c r="AH7017" s="4" t="str">
        <f>HYPERLINK("#Statut_biogéographique!A"&amp;_xlfn.XMATCH("P",Statut_biogéographique!A:A,2,1),"P")</f>
        <v>P</v>
      </c>
      <c r="AP7017" s="4" t="s">
        <v>376</v>
      </c>
      <c r="AR7017" s="4" t="s">
        <v>377</v>
      </c>
    </row>
    <row r="7018" spans="1:44" ht="30">
      <c r="A7018" s="4" t="s">
        <v>5</v>
      </c>
      <c r="B7018" s="4">
        <v>514029</v>
      </c>
      <c r="C7018" s="4">
        <v>3146</v>
      </c>
      <c r="D7018" s="5" t="s">
        <v>9843</v>
      </c>
      <c r="E7018" s="6" t="str">
        <f>HYPERLINK("https://inpn.mnhn.fr/espece/cd_nom/514029","Pseudoinonotus dryadeus (Pers.) T.Wagner &amp; M.Fisch., 2001")</f>
        <v>Pseudoinonotus dryadeus (Pers.) T.Wagner &amp; M.Fisch., 2001</v>
      </c>
      <c r="F7018" s="5" t="s">
        <v>9844</v>
      </c>
      <c r="V7018" s="7" t="str">
        <f>HYPERLINK("#Liste_rouge!A"&amp;_xlfn.XMATCH("NT",Liste_rouge!A:A,2,1),"NT")</f>
        <v>NT</v>
      </c>
      <c r="W7018" s="4" t="str">
        <f>HYPERLINK("#Critères_liste_rouge!A$1","pr. B2abiii")</f>
        <v>pr. B2abiii</v>
      </c>
      <c r="Z7018" s="4" t="s">
        <v>447</v>
      </c>
      <c r="AA7018" s="4" t="s">
        <v>448</v>
      </c>
      <c r="AH7018" s="4" t="str">
        <f>HYPERLINK("#Statut_biogéographique!A"&amp;_xlfn.XMATCH("P",Statut_biogéographique!A:A,2,1),"P")</f>
        <v>P</v>
      </c>
      <c r="AP7018" s="4" t="s">
        <v>376</v>
      </c>
      <c r="AR7018" s="4" t="s">
        <v>377</v>
      </c>
    </row>
    <row r="7019" spans="1:44" ht="30">
      <c r="A7019" s="4" t="s">
        <v>5</v>
      </c>
      <c r="B7019" s="4">
        <v>514396</v>
      </c>
      <c r="C7019" s="4">
        <v>6419</v>
      </c>
      <c r="D7019" s="5" t="s">
        <v>9845</v>
      </c>
      <c r="E7019" s="6" t="str">
        <f>HYPERLINK("https://inpn.mnhn.fr/espece/cd_nom/514396","Leccinum albostipitatum den Bakker &amp; Noordel., 2005")</f>
        <v>Leccinum albostipitatum den Bakker &amp; Noordel., 2005</v>
      </c>
      <c r="F7019" s="5" t="s">
        <v>5080</v>
      </c>
      <c r="AH7019" s="4" t="str">
        <f>HYPERLINK("#Statut_biogéographique!A"&amp;_xlfn.XMATCH("P",Statut_biogéographique!A:A,2,1),"P")</f>
        <v>P</v>
      </c>
      <c r="AP7019" s="4" t="s">
        <v>376</v>
      </c>
      <c r="AR7019" s="4" t="s">
        <v>377</v>
      </c>
    </row>
    <row r="7020" spans="1:44" ht="30">
      <c r="A7020" s="4" t="s">
        <v>5</v>
      </c>
      <c r="B7020" s="4">
        <v>514419</v>
      </c>
      <c r="C7020" s="4">
        <v>4748</v>
      </c>
      <c r="D7020" s="5" t="s">
        <v>9846</v>
      </c>
      <c r="E7020" s="6" t="str">
        <f>HYPERLINK("https://inpn.mnhn.fr/espece/cd_nom/514419","Leccinellum corsicum (Rolland) Bresinsky &amp; Manfr.Binder, 2003")</f>
        <v>Leccinellum corsicum (Rolland) Bresinsky &amp; Manfr.Binder, 2003</v>
      </c>
      <c r="F7020" s="5" t="s">
        <v>9847</v>
      </c>
      <c r="AH7020" s="4" t="str">
        <f>HYPERLINK("#Statut_biogéographique!A"&amp;_xlfn.XMATCH("P",Statut_biogéographique!A:A,2,1),"P")</f>
        <v>P</v>
      </c>
      <c r="AP7020" s="4" t="s">
        <v>376</v>
      </c>
      <c r="AR7020" s="4" t="s">
        <v>377</v>
      </c>
    </row>
    <row r="7021" spans="1:44">
      <c r="A7021" s="4" t="s">
        <v>5</v>
      </c>
      <c r="B7021" s="4">
        <v>514647</v>
      </c>
      <c r="D7021" s="5" t="s">
        <v>9848</v>
      </c>
      <c r="E7021" s="6" t="str">
        <f>HYPERLINK("https://inpn.mnhn.fr/espece/cd_nom/514647","Clitocybe nebularis f. alba S.Imai, 1938")</f>
        <v>Clitocybe nebularis f. alba S.Imai, 1938</v>
      </c>
      <c r="AH7021" s="4" t="str">
        <f>HYPERLINK("#Statut_biogéographique!A"&amp;_xlfn.XMATCH("P",Statut_biogéographique!A:A,2,1),"P")</f>
        <v>P</v>
      </c>
      <c r="AP7021" s="4" t="s">
        <v>376</v>
      </c>
      <c r="AR7021" s="4" t="s">
        <v>377</v>
      </c>
    </row>
    <row r="7022" spans="1:44" ht="60">
      <c r="A7022" s="4" t="s">
        <v>5</v>
      </c>
      <c r="B7022" s="4">
        <v>516634</v>
      </c>
      <c r="D7022" s="5" t="s">
        <v>9849</v>
      </c>
      <c r="E7022" s="6" t="str">
        <f>HYPERLINK("https://inpn.mnhn.fr/espece/cd_nom/516634","Xenasmatella vaga (Fr.) Stalpers, 1996")</f>
        <v>Xenasmatella vaga (Fr.) Stalpers, 1996</v>
      </c>
      <c r="V7022" s="7" t="str">
        <f>HYPERLINK("#Liste_rouge!A"&amp;_xlfn.XMATCH("LC",Liste_rouge!A:A,2,1),"LC")</f>
        <v>LC</v>
      </c>
      <c r="AH7022" s="4" t="str">
        <f>HYPERLINK("#Statut_biogéographique!A"&amp;_xlfn.XMATCH("P",Statut_biogéographique!A:A,2,1),"P")</f>
        <v>P</v>
      </c>
      <c r="AP7022" s="4" t="s">
        <v>376</v>
      </c>
      <c r="AR7022" s="4" t="s">
        <v>377</v>
      </c>
    </row>
    <row r="7023" spans="1:44">
      <c r="A7023" s="4" t="s">
        <v>5</v>
      </c>
      <c r="B7023" s="4">
        <v>516642</v>
      </c>
      <c r="D7023" s="5" t="s">
        <v>9850</v>
      </c>
      <c r="E7023" s="6" t="str">
        <f>HYPERLINK("https://inpn.mnhn.fr/espece/cd_nom/516642","Pilacre poricola Richon, 1877")</f>
        <v>Pilacre poricola Richon, 1877</v>
      </c>
      <c r="AH7023" s="4" t="str">
        <f>HYPERLINK("#Statut_biogéographique!A"&amp;_xlfn.XMATCH("P",Statut_biogéographique!A:A,2,1),"P")</f>
        <v>P</v>
      </c>
      <c r="AP7023" s="4" t="s">
        <v>376</v>
      </c>
      <c r="AR7023" s="4" t="s">
        <v>377</v>
      </c>
    </row>
    <row r="7024" spans="1:44" ht="30">
      <c r="A7024" s="4" t="s">
        <v>5</v>
      </c>
      <c r="B7024" s="4">
        <v>516835</v>
      </c>
      <c r="D7024" s="5" t="s">
        <v>9851</v>
      </c>
      <c r="E7024" s="6" t="str">
        <f>HYPERLINK("https://inpn.mnhn.fr/espece/cd_nom/516835","Phylloporia ribis f. euonymi (Kalchbr.) Bourdot &amp; Galzin")</f>
        <v>Phylloporia ribis f. euonymi (Kalchbr.) Bourdot &amp; Galzin</v>
      </c>
      <c r="AH7024" s="4" t="str">
        <f>HYPERLINK("#Statut_biogéographique!A"&amp;_xlfn.XMATCH("P",Statut_biogéographique!A:A,2,1),"P")</f>
        <v>P</v>
      </c>
      <c r="AP7024" s="4" t="s">
        <v>376</v>
      </c>
      <c r="AR7024" s="4" t="s">
        <v>377</v>
      </c>
    </row>
    <row r="7025" spans="1:44" ht="75">
      <c r="A7025" s="4" t="s">
        <v>5</v>
      </c>
      <c r="B7025" s="4">
        <v>517085</v>
      </c>
      <c r="D7025" s="5" t="s">
        <v>9852</v>
      </c>
      <c r="E7025" s="6" t="str">
        <f>HYPERLINK("https://inpn.mnhn.fr/espece/cd_nom/517085","Polyporus picipes Fr., 1838")</f>
        <v>Polyporus picipes Fr., 1838</v>
      </c>
      <c r="F7025" s="5" t="s">
        <v>4891</v>
      </c>
      <c r="V7025" s="7" t="str">
        <f>HYPERLINK("#Liste_rouge!A"&amp;_xlfn.XMATCH("LC",Liste_rouge!A:A,2,1),"LC")</f>
        <v>LC</v>
      </c>
      <c r="AH7025" s="4" t="str">
        <f>HYPERLINK("#Statut_biogéographique!A"&amp;_xlfn.XMATCH("P",Statut_biogéographique!A:A,2,1),"P")</f>
        <v>P</v>
      </c>
      <c r="AP7025" s="4" t="s">
        <v>376</v>
      </c>
      <c r="AR7025" s="4" t="s">
        <v>377</v>
      </c>
    </row>
    <row r="7026" spans="1:44" ht="45">
      <c r="A7026" s="4" t="s">
        <v>5</v>
      </c>
      <c r="B7026" s="4">
        <v>517250</v>
      </c>
      <c r="D7026" s="5" t="s">
        <v>9853</v>
      </c>
      <c r="E7026" s="6" t="str">
        <f>HYPERLINK("https://inpn.mnhn.fr/espece/cd_nom/517250","Rhodonia placenta (Fr.) Niemelä, K.H.Larss. &amp; Schigel, 2005")</f>
        <v>Rhodonia placenta (Fr.) Niemelä, K.H.Larss. &amp; Schigel, 2005</v>
      </c>
      <c r="F7026" s="5" t="s">
        <v>4658</v>
      </c>
      <c r="V7026" s="7" t="str">
        <f>HYPERLINK("#Liste_rouge!A"&amp;_xlfn.XMATCH("EN",Liste_rouge!A:A,2,1),"EN")</f>
        <v>EN</v>
      </c>
      <c r="W7026" s="4" t="str">
        <f>HYPERLINK("#Critères_liste_rouge!A$1","B2abiii")</f>
        <v>B2abiii</v>
      </c>
      <c r="AH7026" s="4" t="str">
        <f>HYPERLINK("#Statut_biogéographique!A"&amp;_xlfn.XMATCH("P",Statut_biogéographique!A:A,2,1),"P")</f>
        <v>P</v>
      </c>
      <c r="AP7026" s="4" t="s">
        <v>376</v>
      </c>
      <c r="AR7026" s="4" t="s">
        <v>377</v>
      </c>
    </row>
    <row r="7027" spans="1:44" ht="30">
      <c r="A7027" s="4" t="s">
        <v>5</v>
      </c>
      <c r="B7027" s="4">
        <v>517611</v>
      </c>
      <c r="D7027" s="5" t="s">
        <v>9854</v>
      </c>
      <c r="E7027" s="6" t="str">
        <f>HYPERLINK("https://inpn.mnhn.fr/espece/cd_nom/517611","Leratiomyces squamosus (Pers.) Bridge &amp; Spooner, 2008")</f>
        <v>Leratiomyces squamosus (Pers.) Bridge &amp; Spooner, 2008</v>
      </c>
      <c r="V7027" s="7" t="str">
        <f>HYPERLINK("#Liste_rouge!A"&amp;_xlfn.XMATCH("EN",Liste_rouge!A:A,2,1),"EN")</f>
        <v>EN</v>
      </c>
      <c r="W7027" s="4" t="str">
        <f>HYPERLINK("#Critères_liste_rouge!A$1","B2abiii")</f>
        <v>B2abiii</v>
      </c>
      <c r="AH7027" s="4" t="str">
        <f>HYPERLINK("#Statut_biogéographique!A"&amp;_xlfn.XMATCH("P",Statut_biogéographique!A:A,2,1),"P")</f>
        <v>P</v>
      </c>
      <c r="AP7027" s="4" t="s">
        <v>376</v>
      </c>
      <c r="AR7027" s="4" t="s">
        <v>377</v>
      </c>
    </row>
    <row r="7028" spans="1:44" ht="30">
      <c r="A7028" s="4" t="s">
        <v>5</v>
      </c>
      <c r="B7028" s="4">
        <v>519089</v>
      </c>
      <c r="C7028" s="4">
        <v>1811</v>
      </c>
      <c r="D7028" s="5" t="s">
        <v>9855</v>
      </c>
      <c r="E7028" s="6" t="str">
        <f>HYPERLINK("https://inpn.mnhn.fr/espece/cd_nom/519089","Gymnopus androsaceus (L.) J.L.Mata &amp; R.H.Petersen, 2004")</f>
        <v>Gymnopus androsaceus (L.) J.L.Mata &amp; R.H.Petersen, 2004</v>
      </c>
      <c r="F7028" s="5" t="s">
        <v>9856</v>
      </c>
      <c r="V7028" s="7" t="str">
        <f>HYPERLINK("#Liste_rouge!A"&amp;_xlfn.XMATCH("LC",Liste_rouge!A:A,2,1),"LC")</f>
        <v>LC</v>
      </c>
      <c r="AH7028" s="4" t="str">
        <f>HYPERLINK("#Statut_biogéographique!A"&amp;_xlfn.XMATCH("P",Statut_biogéographique!A:A,2,1),"P")</f>
        <v>P</v>
      </c>
      <c r="AP7028" s="4" t="s">
        <v>376</v>
      </c>
      <c r="AR7028" s="4" t="s">
        <v>377</v>
      </c>
    </row>
    <row r="7029" spans="1:44" ht="30">
      <c r="A7029" s="4" t="s">
        <v>5</v>
      </c>
      <c r="B7029" s="4">
        <v>519817</v>
      </c>
      <c r="D7029" s="5" t="s">
        <v>9857</v>
      </c>
      <c r="E7029" s="6" t="str">
        <f>HYPERLINK("https://inpn.mnhn.fr/espece/cd_nom/519817","Trametopsis cervina (Schwein.) Tomšovský, 2008")</f>
        <v>Trametopsis cervina (Schwein.) Tomšovský, 2008</v>
      </c>
      <c r="V7029" s="7" t="str">
        <f>HYPERLINK("#Liste_rouge!A"&amp;_xlfn.XMATCH("LC",Liste_rouge!A:A,2,1),"LC")</f>
        <v>LC</v>
      </c>
      <c r="AH7029" s="4" t="str">
        <f>HYPERLINK("#Statut_biogéographique!A"&amp;_xlfn.XMATCH("P",Statut_biogéographique!A:A,2,1),"P")</f>
        <v>P</v>
      </c>
      <c r="AP7029" s="4" t="s">
        <v>376</v>
      </c>
      <c r="AR7029" s="4" t="s">
        <v>377</v>
      </c>
    </row>
    <row r="7030" spans="1:44" ht="30">
      <c r="A7030" s="4" t="s">
        <v>5</v>
      </c>
      <c r="B7030" s="4">
        <v>520743</v>
      </c>
      <c r="D7030" s="5" t="s">
        <v>9858</v>
      </c>
      <c r="E7030" s="6" t="str">
        <f>HYPERLINK("https://inpn.mnhn.fr/espece/cd_nom/520743","Xerocomellus chrysenteron (Bull.) Šutara, 2008")</f>
        <v>Xerocomellus chrysenteron (Bull.) Šutara, 2008</v>
      </c>
      <c r="F7030" s="5" t="s">
        <v>3629</v>
      </c>
      <c r="V7030" s="7" t="str">
        <f>HYPERLINK("#Liste_rouge!A"&amp;_xlfn.XMATCH("LC",Liste_rouge!A:A,2,1),"LC")</f>
        <v>LC</v>
      </c>
      <c r="AH7030" s="4" t="str">
        <f>HYPERLINK("#Statut_biogéographique!A"&amp;_xlfn.XMATCH("P",Statut_biogéographique!A:A,2,1),"P")</f>
        <v>P</v>
      </c>
      <c r="AP7030" s="4" t="s">
        <v>376</v>
      </c>
      <c r="AR7030" s="4" t="s">
        <v>377</v>
      </c>
    </row>
    <row r="7031" spans="1:44" ht="30">
      <c r="A7031" s="4" t="s">
        <v>5</v>
      </c>
      <c r="B7031" s="4">
        <v>520774</v>
      </c>
      <c r="D7031" s="5" t="s">
        <v>9859</v>
      </c>
      <c r="E7031" s="6" t="str">
        <f>HYPERLINK("https://inpn.mnhn.fr/espece/cd_nom/520774","Xerocomellus porosporus (Imler ex Watling) Šutara, 2008")</f>
        <v>Xerocomellus porosporus (Imler ex Watling) Šutara, 2008</v>
      </c>
      <c r="F7031" s="5" t="s">
        <v>1527</v>
      </c>
      <c r="V7031" s="7" t="str">
        <f>HYPERLINK("#Liste_rouge!A"&amp;_xlfn.XMATCH("LC",Liste_rouge!A:A,2,1),"LC")</f>
        <v>LC</v>
      </c>
      <c r="AH7031" s="4" t="str">
        <f>HYPERLINK("#Statut_biogéographique!A"&amp;_xlfn.XMATCH("P",Statut_biogéographique!A:A,2,1),"P")</f>
        <v>P</v>
      </c>
      <c r="AP7031" s="4" t="s">
        <v>376</v>
      </c>
      <c r="AR7031" s="4" t="s">
        <v>377</v>
      </c>
    </row>
    <row r="7032" spans="1:44" ht="30">
      <c r="A7032" s="4" t="s">
        <v>5</v>
      </c>
      <c r="B7032" s="4">
        <v>520781</v>
      </c>
      <c r="D7032" s="5" t="s">
        <v>9860</v>
      </c>
      <c r="E7032" s="6" t="str">
        <f>HYPERLINK("https://inpn.mnhn.fr/espece/cd_nom/520781","Xerocomellus pruinatus (Fr. &amp; Hök) Šutara, 2008")</f>
        <v>Xerocomellus pruinatus (Fr. &amp; Hök) Šutara, 2008</v>
      </c>
      <c r="F7032" s="5" t="s">
        <v>2221</v>
      </c>
      <c r="V7032" s="7" t="str">
        <f>HYPERLINK("#Liste_rouge!A"&amp;_xlfn.XMATCH("LC",Liste_rouge!A:A,2,1),"LC")</f>
        <v>LC</v>
      </c>
      <c r="AH7032" s="4" t="str">
        <f>HYPERLINK("#Statut_biogéographique!A"&amp;_xlfn.XMATCH("P",Statut_biogéographique!A:A,2,1),"P")</f>
        <v>P</v>
      </c>
      <c r="AP7032" s="4" t="s">
        <v>376</v>
      </c>
      <c r="AR7032" s="4" t="s">
        <v>377</v>
      </c>
    </row>
    <row r="7033" spans="1:44" ht="30">
      <c r="A7033" s="4" t="s">
        <v>5</v>
      </c>
      <c r="B7033" s="4">
        <v>520784</v>
      </c>
      <c r="D7033" s="5" t="s">
        <v>9861</v>
      </c>
      <c r="E7033" s="6" t="str">
        <f>HYPERLINK("https://inpn.mnhn.fr/espece/cd_nom/520784","Xerocomellus ripariellus (Redeuilh) Šutara, 2008")</f>
        <v>Xerocomellus ripariellus (Redeuilh) Šutara, 2008</v>
      </c>
      <c r="F7033" s="5" t="s">
        <v>1773</v>
      </c>
      <c r="V7033" s="7" t="str">
        <f>HYPERLINK("#Liste_rouge!A"&amp;_xlfn.XMATCH("VU",Liste_rouge!A:A,2,1),"VU")</f>
        <v>VU</v>
      </c>
      <c r="W7033" s="4" t="str">
        <f>HYPERLINK("#Critères_liste_rouge!A$1","D2")</f>
        <v>D2</v>
      </c>
      <c r="AH7033" s="4" t="str">
        <f>HYPERLINK("#Statut_biogéographique!A"&amp;_xlfn.XMATCH("P",Statut_biogéographique!A:A,2,1),"P")</f>
        <v>P</v>
      </c>
      <c r="AP7033" s="4" t="s">
        <v>376</v>
      </c>
      <c r="AR7033" s="4" t="s">
        <v>377</v>
      </c>
    </row>
    <row r="7034" spans="1:44" ht="30">
      <c r="A7034" s="4" t="s">
        <v>5</v>
      </c>
      <c r="B7034" s="4">
        <v>520993</v>
      </c>
      <c r="C7034" s="4">
        <v>1703</v>
      </c>
      <c r="D7034" s="5" t="s">
        <v>9862</v>
      </c>
      <c r="E7034" s="6" t="str">
        <f>HYPERLINK("https://inpn.mnhn.fr/espece/cd_nom/520993","Gymnosporangium cornutum (Pers.) Arthur, 1910")</f>
        <v>Gymnosporangium cornutum (Pers.) Arthur, 1910</v>
      </c>
      <c r="V7034" s="7" t="str">
        <f>HYPERLINK("#Liste_rouge!A"&amp;_xlfn.XMATCH("DD",Liste_rouge!A:A,2,1),"DD")</f>
        <v>DD</v>
      </c>
      <c r="AH7034" s="4" t="str">
        <f>HYPERLINK("#Statut_biogéographique!A"&amp;_xlfn.XMATCH("P",Statut_biogéographique!A:A,2,1),"P")</f>
        <v>P</v>
      </c>
      <c r="AP7034" s="4" t="s">
        <v>376</v>
      </c>
      <c r="AR7034" s="4" t="s">
        <v>377</v>
      </c>
    </row>
    <row r="7035" spans="1:44" ht="30">
      <c r="A7035" s="4" t="s">
        <v>5</v>
      </c>
      <c r="B7035" s="4">
        <v>520994</v>
      </c>
      <c r="C7035" s="4">
        <v>2650</v>
      </c>
      <c r="D7035" s="5" t="s">
        <v>9863</v>
      </c>
      <c r="E7035" s="6" t="str">
        <f>HYPERLINK("https://inpn.mnhn.fr/espece/cd_nom/520994","Gymnosporangium amelanchieris E.Fisch. ex F.Kern, 1909")</f>
        <v>Gymnosporangium amelanchieris E.Fisch. ex F.Kern, 1909</v>
      </c>
      <c r="V7035" s="7" t="str">
        <f>HYPERLINK("#Liste_rouge!A"&amp;_xlfn.XMATCH("DD",Liste_rouge!A:A,2,1),"DD")</f>
        <v>DD</v>
      </c>
      <c r="AH7035" s="4" t="str">
        <f>HYPERLINK("#Statut_biogéographique!A"&amp;_xlfn.XMATCH("P",Statut_biogéographique!A:A,2,1),"P")</f>
        <v>P</v>
      </c>
      <c r="AP7035" s="4" t="s">
        <v>376</v>
      </c>
      <c r="AR7035" s="4" t="s">
        <v>377</v>
      </c>
    </row>
    <row r="7036" spans="1:44" ht="30">
      <c r="A7036" s="4" t="s">
        <v>5</v>
      </c>
      <c r="B7036" s="4">
        <v>521464</v>
      </c>
      <c r="D7036" s="5" t="s">
        <v>9864</v>
      </c>
      <c r="E7036" s="6" t="str">
        <f>HYPERLINK("https://inpn.mnhn.fr/espece/cd_nom/521464","Chaenotheca furfuracea (L.) Tibell, 1984")</f>
        <v>Chaenotheca furfuracea (L.) Tibell, 1984</v>
      </c>
      <c r="AH7036" s="4" t="str">
        <f>HYPERLINK("#Statut_biogéographique!A"&amp;_xlfn.XMATCH("P",Statut_biogéographique!A:A,2,1),"P")</f>
        <v>P</v>
      </c>
      <c r="AP7036" s="4" t="s">
        <v>376</v>
      </c>
      <c r="AR7036" s="4" t="s">
        <v>377</v>
      </c>
    </row>
    <row r="7037" spans="1:44" ht="30">
      <c r="A7037" s="4" t="s">
        <v>5</v>
      </c>
      <c r="B7037" s="4">
        <v>521465</v>
      </c>
      <c r="D7037" s="5" t="s">
        <v>9865</v>
      </c>
      <c r="E7037" s="6" t="str">
        <f>HYPERLINK("https://inpn.mnhn.fr/espece/cd_nom/521465","Protoparmeliopsis muralis (Schreb.) M.Choisy, 1929")</f>
        <v>Protoparmeliopsis muralis (Schreb.) M.Choisy, 1929</v>
      </c>
      <c r="AH7037" s="4" t="str">
        <f>HYPERLINK("#Statut_biogéographique!A"&amp;_xlfn.XMATCH("P",Statut_biogéographique!A:A,2,1),"P")</f>
        <v>P</v>
      </c>
      <c r="AP7037" s="4" t="s">
        <v>376</v>
      </c>
      <c r="AR7037" s="4" t="s">
        <v>377</v>
      </c>
    </row>
    <row r="7038" spans="1:44" ht="45">
      <c r="A7038" s="4" t="s">
        <v>5</v>
      </c>
      <c r="B7038" s="4">
        <v>521468</v>
      </c>
      <c r="C7038" s="4">
        <v>5343</v>
      </c>
      <c r="D7038" s="5" t="s">
        <v>9866</v>
      </c>
      <c r="E7038" s="6" t="str">
        <f>HYPERLINK("https://inpn.mnhn.fr/espece/cd_nom/521468","Flavoparmelia caperata (L.) Hale, 1986")</f>
        <v>Flavoparmelia caperata (L.) Hale, 1986</v>
      </c>
      <c r="O7038" s="7" t="str">
        <f>HYPERLINK("#Liste_rouge!A"&amp;_xlfn.XMATCH("LC",Liste_rouge!A:A,2,1),"LC")</f>
        <v>LC</v>
      </c>
      <c r="AH7038" s="4" t="str">
        <f>HYPERLINK("#Statut_biogéographique!A"&amp;_xlfn.XMATCH("P",Statut_biogéographique!A:A,2,1),"P")</f>
        <v>P</v>
      </c>
      <c r="AP7038" s="4" t="s">
        <v>376</v>
      </c>
      <c r="AR7038" s="4" t="s">
        <v>377</v>
      </c>
    </row>
    <row r="7039" spans="1:44">
      <c r="A7039" s="4" t="s">
        <v>5</v>
      </c>
      <c r="B7039" s="4">
        <v>521469</v>
      </c>
      <c r="D7039" s="5" t="s">
        <v>9867</v>
      </c>
      <c r="E7039" s="6" t="str">
        <f>HYPERLINK("https://inpn.mnhn.fr/espece/cd_nom/521469","Flavoparmelia soredians (Nyl.) Hale, 1986")</f>
        <v>Flavoparmelia soredians (Nyl.) Hale, 1986</v>
      </c>
      <c r="AH7039" s="4" t="str">
        <f>HYPERLINK("#Statut_biogéographique!A"&amp;_xlfn.XMATCH("P",Statut_biogéographique!A:A,2,1),"P")</f>
        <v>P</v>
      </c>
      <c r="AP7039" s="4" t="s">
        <v>376</v>
      </c>
      <c r="AR7039" s="4" t="s">
        <v>377</v>
      </c>
    </row>
    <row r="7040" spans="1:44" ht="60">
      <c r="A7040" s="4" t="s">
        <v>5</v>
      </c>
      <c r="B7040" s="4">
        <v>521473</v>
      </c>
      <c r="C7040" s="4">
        <v>6233</v>
      </c>
      <c r="D7040" s="5" t="s">
        <v>9868</v>
      </c>
      <c r="E7040" s="6" t="str">
        <f>HYPERLINK("https://inpn.mnhn.fr/espece/cd_nom/521473","Amandinea punctata (Hoffm.) Coppins &amp; Scheid., 1993")</f>
        <v>Amandinea punctata (Hoffm.) Coppins &amp; Scheid., 1993</v>
      </c>
      <c r="AH7040" s="4" t="str">
        <f>HYPERLINK("#Statut_biogéographique!A"&amp;_xlfn.XMATCH("P",Statut_biogéographique!A:A,2,1),"P")</f>
        <v>P</v>
      </c>
      <c r="AP7040" s="4" t="s">
        <v>376</v>
      </c>
      <c r="AR7040" s="4" t="s">
        <v>377</v>
      </c>
    </row>
    <row r="7041" spans="1:44" ht="30">
      <c r="A7041" s="4" t="s">
        <v>5</v>
      </c>
      <c r="B7041" s="4">
        <v>542929</v>
      </c>
      <c r="D7041" s="5" t="s">
        <v>9869</v>
      </c>
      <c r="E7041" s="6" t="str">
        <f>HYPERLINK("https://inpn.mnhn.fr/espece/cd_nom/542929","Tephromela atra var. atra (Huds.) Hafellner, 1983")</f>
        <v>Tephromela atra var. atra (Huds.) Hafellner, 1983</v>
      </c>
      <c r="AH7041" s="4" t="str">
        <f>HYPERLINK("#Statut_biogéographique!A"&amp;_xlfn.XMATCH("P",Statut_biogéographique!A:A,2,1),"P")</f>
        <v>P</v>
      </c>
      <c r="AP7041" s="4" t="s">
        <v>376</v>
      </c>
      <c r="AR7041" s="4" t="s">
        <v>377</v>
      </c>
    </row>
    <row r="7042" spans="1:44">
      <c r="A7042" s="4" t="s">
        <v>5</v>
      </c>
      <c r="B7042" s="4">
        <v>54943</v>
      </c>
      <c r="D7042" s="5" t="s">
        <v>9870</v>
      </c>
      <c r="E7042" s="6" t="str">
        <f>HYPERLINK("https://inpn.mnhn.fr/espece/cd_nom/54943","Verrucaria dolosa Hepp, 1860")</f>
        <v>Verrucaria dolosa Hepp, 1860</v>
      </c>
      <c r="AH7042" s="4" t="str">
        <f>HYPERLINK("#Statut_biogéographique!A"&amp;_xlfn.XMATCH("P",Statut_biogéographique!A:A,2,1),"P")</f>
        <v>P</v>
      </c>
      <c r="AP7042" s="4" t="s">
        <v>376</v>
      </c>
      <c r="AR7042" s="4" t="s">
        <v>377</v>
      </c>
    </row>
    <row r="7043" spans="1:44" ht="30">
      <c r="A7043" s="4" t="s">
        <v>5</v>
      </c>
      <c r="B7043" s="4">
        <v>54969</v>
      </c>
      <c r="D7043" s="5" t="s">
        <v>9871</v>
      </c>
      <c r="E7043" s="6" t="str">
        <f>HYPERLINK("https://inpn.mnhn.fr/espece/cd_nom/54969","Verrucaria murina Leight., 1851")</f>
        <v>Verrucaria murina Leight., 1851</v>
      </c>
      <c r="AH7043" s="4" t="str">
        <f>HYPERLINK("#Statut_biogéographique!A"&amp;_xlfn.XMATCH("P",Statut_biogéographique!A:A,2,1),"P")</f>
        <v>P</v>
      </c>
      <c r="AP7043" s="4" t="s">
        <v>376</v>
      </c>
      <c r="AR7043" s="4" t="s">
        <v>377</v>
      </c>
    </row>
    <row r="7044" spans="1:44">
      <c r="A7044" s="4" t="s">
        <v>5</v>
      </c>
      <c r="B7044" s="4">
        <v>55032</v>
      </c>
      <c r="D7044" s="5">
        <v>55032</v>
      </c>
      <c r="E7044" s="6" t="str">
        <f>HYPERLINK("https://inpn.mnhn.fr/espece/cd_nom/55032","Verrucaria nigrescens Pers., 1795")</f>
        <v>Verrucaria nigrescens Pers., 1795</v>
      </c>
      <c r="AH7044" s="4" t="str">
        <f>HYPERLINK("#Statut_biogéographique!A"&amp;_xlfn.XMATCH("P",Statut_biogéographique!A:A,2,1),"P")</f>
        <v>P</v>
      </c>
      <c r="AP7044" s="4" t="s">
        <v>376</v>
      </c>
      <c r="AR7044" s="4" t="s">
        <v>377</v>
      </c>
    </row>
    <row r="7045" spans="1:44" ht="30">
      <c r="A7045" s="4" t="s">
        <v>5</v>
      </c>
      <c r="B7045" s="4">
        <v>55301</v>
      </c>
      <c r="D7045" s="5" t="s">
        <v>9872</v>
      </c>
      <c r="E7045" s="6" t="str">
        <f>HYPERLINK("https://inpn.mnhn.fr/espece/cd_nom/55301","Catapyrenium cinereum (Pers.) Körb., 1855")</f>
        <v>Catapyrenium cinereum (Pers.) Körb., 1855</v>
      </c>
      <c r="AH7045" s="4" t="str">
        <f>HYPERLINK("#Statut_biogéographique!A"&amp;_xlfn.XMATCH("P",Statut_biogéographique!A:A,2,1),"P")</f>
        <v>P</v>
      </c>
      <c r="AP7045" s="4" t="s">
        <v>376</v>
      </c>
      <c r="AR7045" s="4" t="s">
        <v>377</v>
      </c>
    </row>
    <row r="7046" spans="1:44" ht="30">
      <c r="A7046" s="4" t="s">
        <v>5</v>
      </c>
      <c r="B7046" s="4">
        <v>55303</v>
      </c>
      <c r="D7046" s="5" t="s">
        <v>9873</v>
      </c>
      <c r="E7046" s="6" t="str">
        <f>HYPERLINK("https://inpn.mnhn.fr/espece/cd_nom/55303","Catapyrenium daedaleum (Kremp.) Stein, 1879")</f>
        <v>Catapyrenium daedaleum (Kremp.) Stein, 1879</v>
      </c>
      <c r="AH7046" s="4" t="str">
        <f>HYPERLINK("#Statut_biogéographique!A"&amp;_xlfn.XMATCH("P",Statut_biogéographique!A:A,2,1),"P")</f>
        <v>P</v>
      </c>
      <c r="AP7046" s="4" t="s">
        <v>376</v>
      </c>
      <c r="AR7046" s="4" t="s">
        <v>377</v>
      </c>
    </row>
    <row r="7047" spans="1:44">
      <c r="A7047" s="4" t="s">
        <v>5</v>
      </c>
      <c r="B7047" s="4">
        <v>55352</v>
      </c>
      <c r="D7047" s="5" t="s">
        <v>9874</v>
      </c>
      <c r="E7047" s="6" t="str">
        <f>HYPERLINK("https://inpn.mnhn.fr/espece/cd_nom/55352","Normandina pulchella (Borrer) Nyl., 1861")</f>
        <v>Normandina pulchella (Borrer) Nyl., 1861</v>
      </c>
      <c r="AH7047" s="4" t="str">
        <f>HYPERLINK("#Statut_biogéographique!A"&amp;_xlfn.XMATCH("P",Statut_biogéographique!A:A,2,1),"P")</f>
        <v>P</v>
      </c>
      <c r="AP7047" s="4" t="s">
        <v>376</v>
      </c>
      <c r="AR7047" s="4" t="s">
        <v>377</v>
      </c>
    </row>
    <row r="7048" spans="1:44" ht="30">
      <c r="A7048" s="4" t="s">
        <v>5</v>
      </c>
      <c r="B7048" s="4">
        <v>55436</v>
      </c>
      <c r="D7048" s="5" t="s">
        <v>9875</v>
      </c>
      <c r="E7048" s="6" t="str">
        <f>HYPERLINK("https://inpn.mnhn.fr/espece/cd_nom/55436","Acrocordia gemmata (Ach.) A.Massal., 1854")</f>
        <v>Acrocordia gemmata (Ach.) A.Massal., 1854</v>
      </c>
      <c r="AH7048" s="4" t="str">
        <f>HYPERLINK("#Statut_biogéographique!A"&amp;_xlfn.XMATCH("P",Statut_biogéographique!A:A,2,1),"P")</f>
        <v>P</v>
      </c>
      <c r="AP7048" s="4" t="s">
        <v>376</v>
      </c>
      <c r="AR7048" s="4" t="s">
        <v>377</v>
      </c>
    </row>
    <row r="7049" spans="1:44" ht="30">
      <c r="A7049" s="4" t="s">
        <v>5</v>
      </c>
      <c r="B7049" s="4">
        <v>55524</v>
      </c>
      <c r="D7049" s="5" t="s">
        <v>9876</v>
      </c>
      <c r="E7049" s="6" t="str">
        <f>HYPERLINK("https://inpn.mnhn.fr/espece/cd_nom/55524","Chaenotheca ferruginea (Turner) Mig., 1930")</f>
        <v>Chaenotheca ferruginea (Turner) Mig., 1930</v>
      </c>
      <c r="AH7049" s="4" t="str">
        <f>HYPERLINK("#Statut_biogéographique!A"&amp;_xlfn.XMATCH("P",Statut_biogéographique!A:A,2,1),"P")</f>
        <v>P</v>
      </c>
      <c r="AP7049" s="4" t="s">
        <v>376</v>
      </c>
      <c r="AR7049" s="4" t="s">
        <v>377</v>
      </c>
    </row>
    <row r="7050" spans="1:44" ht="30">
      <c r="A7050" s="4" t="s">
        <v>5</v>
      </c>
      <c r="B7050" s="4">
        <v>55526</v>
      </c>
      <c r="D7050" s="5" t="s">
        <v>9877</v>
      </c>
      <c r="E7050" s="6" t="str">
        <f>HYPERLINK("https://inpn.mnhn.fr/espece/cd_nom/55526","Chaenotheca brunneola (Ach.) Müll.Arg., 1862")</f>
        <v>Chaenotheca brunneola (Ach.) Müll.Arg., 1862</v>
      </c>
      <c r="AH7050" s="4" t="str">
        <f>HYPERLINK("#Statut_biogéographique!A"&amp;_xlfn.XMATCH("P",Statut_biogéographique!A:A,2,1),"P")</f>
        <v>P</v>
      </c>
      <c r="AP7050" s="4" t="s">
        <v>376</v>
      </c>
      <c r="AR7050" s="4" t="s">
        <v>377</v>
      </c>
    </row>
    <row r="7051" spans="1:44" ht="30">
      <c r="A7051" s="4" t="s">
        <v>5</v>
      </c>
      <c r="B7051" s="4">
        <v>55548</v>
      </c>
      <c r="D7051" s="5" t="s">
        <v>9878</v>
      </c>
      <c r="E7051" s="6" t="str">
        <f>HYPERLINK("https://inpn.mnhn.fr/espece/cd_nom/55548","Calicium abietinum Pers., 1797")</f>
        <v>Calicium abietinum Pers., 1797</v>
      </c>
      <c r="AH7051" s="4" t="str">
        <f>HYPERLINK("#Statut_biogéographique!A"&amp;_xlfn.XMATCH("P",Statut_biogéographique!A:A,2,1),"P")</f>
        <v>P</v>
      </c>
      <c r="AP7051" s="4" t="s">
        <v>376</v>
      </c>
      <c r="AR7051" s="4" t="s">
        <v>377</v>
      </c>
    </row>
    <row r="7052" spans="1:44" ht="30">
      <c r="A7052" s="4" t="s">
        <v>5</v>
      </c>
      <c r="B7052" s="4">
        <v>55549</v>
      </c>
      <c r="D7052" s="5" t="s">
        <v>9879</v>
      </c>
      <c r="E7052" s="6" t="str">
        <f>HYPERLINK("https://inpn.mnhn.fr/espece/cd_nom/55549","Calicium viride Pers., 1794")</f>
        <v>Calicium viride Pers., 1794</v>
      </c>
      <c r="AH7052" s="4" t="str">
        <f>HYPERLINK("#Statut_biogéographique!A"&amp;_xlfn.XMATCH("P",Statut_biogéographique!A:A,2,1),"P")</f>
        <v>P</v>
      </c>
      <c r="AP7052" s="4" t="s">
        <v>376</v>
      </c>
      <c r="AR7052" s="4" t="s">
        <v>377</v>
      </c>
    </row>
    <row r="7053" spans="1:44" ht="30">
      <c r="A7053" s="4" t="s">
        <v>5</v>
      </c>
      <c r="B7053" s="4">
        <v>55553</v>
      </c>
      <c r="D7053" s="5" t="s">
        <v>9880</v>
      </c>
      <c r="E7053" s="6" t="str">
        <f>HYPERLINK("https://inpn.mnhn.fr/espece/cd_nom/55553","Calicium trabinellum (Ach.) Ach., 1810")</f>
        <v>Calicium trabinellum (Ach.) Ach., 1810</v>
      </c>
      <c r="AH7053" s="4" t="str">
        <f>HYPERLINK("#Statut_biogéographique!A"&amp;_xlfn.XMATCH("P",Statut_biogéographique!A:A,2,1),"P")</f>
        <v>P</v>
      </c>
      <c r="AP7053" s="4" t="s">
        <v>376</v>
      </c>
      <c r="AR7053" s="4" t="s">
        <v>377</v>
      </c>
    </row>
    <row r="7054" spans="1:44" ht="30">
      <c r="A7054" s="4" t="s">
        <v>5</v>
      </c>
      <c r="B7054" s="4">
        <v>55764</v>
      </c>
      <c r="D7054" s="5" t="s">
        <v>9881</v>
      </c>
      <c r="E7054" s="6" t="str">
        <f>HYPERLINK("https://inpn.mnhn.fr/espece/cd_nom/55764","Phaeographis dendritica (Ach.) Müll.Arg., 1882")</f>
        <v>Phaeographis dendritica (Ach.) Müll.Arg., 1882</v>
      </c>
      <c r="AH7054" s="4" t="str">
        <f>HYPERLINK("#Statut_biogéographique!A"&amp;_xlfn.XMATCH("P",Statut_biogéographique!A:A,2,1),"P")</f>
        <v>P</v>
      </c>
      <c r="AP7054" s="4" t="s">
        <v>376</v>
      </c>
      <c r="AR7054" s="4" t="s">
        <v>377</v>
      </c>
    </row>
    <row r="7055" spans="1:44" ht="30">
      <c r="A7055" s="4" t="s">
        <v>5</v>
      </c>
      <c r="B7055" s="4">
        <v>55854</v>
      </c>
      <c r="D7055" s="5" t="s">
        <v>9882</v>
      </c>
      <c r="E7055" s="6" t="str">
        <f>HYPERLINK("https://inpn.mnhn.fr/espece/cd_nom/55854","Dirina massiliensis Durieu &amp; Mont., 1848")</f>
        <v>Dirina massiliensis Durieu &amp; Mont., 1848</v>
      </c>
      <c r="AH7055" s="4" t="str">
        <f>HYPERLINK("#Statut_biogéographique!A"&amp;_xlfn.XMATCH("P",Statut_biogéographique!A:A,2,1),"P")</f>
        <v>P</v>
      </c>
      <c r="AP7055" s="4" t="s">
        <v>376</v>
      </c>
      <c r="AR7055" s="4" t="s">
        <v>377</v>
      </c>
    </row>
    <row r="7056" spans="1:44" ht="30">
      <c r="A7056" s="4" t="s">
        <v>5</v>
      </c>
      <c r="B7056" s="4">
        <v>55918</v>
      </c>
      <c r="D7056" s="5" t="s">
        <v>9883</v>
      </c>
      <c r="E7056" s="6" t="str">
        <f>HYPERLINK("https://inpn.mnhn.fr/espece/cd_nom/55918","Petractis clausa (Hoffm.) Kremp., 1861")</f>
        <v>Petractis clausa (Hoffm.) Kremp., 1861</v>
      </c>
      <c r="AH7056" s="4" t="str">
        <f>HYPERLINK("#Statut_biogéographique!A"&amp;_xlfn.XMATCH("P",Statut_biogéographique!A:A,2,1),"P")</f>
        <v>P</v>
      </c>
      <c r="AP7056" s="4" t="s">
        <v>376</v>
      </c>
      <c r="AR7056" s="4" t="s">
        <v>377</v>
      </c>
    </row>
    <row r="7057" spans="1:44" ht="75">
      <c r="A7057" s="4" t="s">
        <v>5</v>
      </c>
      <c r="B7057" s="4">
        <v>55958</v>
      </c>
      <c r="D7057" s="5" t="s">
        <v>9884</v>
      </c>
      <c r="E7057" s="6" t="str">
        <f>HYPERLINK("https://inpn.mnhn.fr/espece/cd_nom/55958","Diploschistes muscorum (Scop.) R.Sant., 1980")</f>
        <v>Diploschistes muscorum (Scop.) R.Sant., 1980</v>
      </c>
      <c r="AH7057" s="4" t="str">
        <f>HYPERLINK("#Statut_biogéographique!A"&amp;_xlfn.XMATCH("P",Statut_biogéographique!A:A,2,1),"P")</f>
        <v>P</v>
      </c>
      <c r="AP7057" s="4" t="s">
        <v>376</v>
      </c>
      <c r="AR7057" s="4" t="s">
        <v>377</v>
      </c>
    </row>
    <row r="7058" spans="1:44">
      <c r="A7058" s="4" t="s">
        <v>5</v>
      </c>
      <c r="B7058" s="4">
        <v>55971</v>
      </c>
      <c r="C7058" s="4">
        <v>4595</v>
      </c>
      <c r="D7058" s="5" t="s">
        <v>9885</v>
      </c>
      <c r="E7058" s="6" t="str">
        <f>HYPERLINK("https://inpn.mnhn.fr/espece/cd_nom/55971","Cladonia furcata (Huds.) Schrad., 1794")</f>
        <v>Cladonia furcata (Huds.) Schrad., 1794</v>
      </c>
      <c r="AH7058" s="4" t="str">
        <f>HYPERLINK("#Statut_biogéographique!A"&amp;_xlfn.XMATCH("P",Statut_biogéographique!A:A,2,1),"P")</f>
        <v>P</v>
      </c>
      <c r="AP7058" s="4" t="s">
        <v>376</v>
      </c>
      <c r="AR7058" s="4" t="s">
        <v>377</v>
      </c>
    </row>
    <row r="7059" spans="1:44" ht="30">
      <c r="A7059" s="4" t="s">
        <v>5</v>
      </c>
      <c r="B7059" s="4">
        <v>55972</v>
      </c>
      <c r="D7059" s="5" t="s">
        <v>9886</v>
      </c>
      <c r="E7059" s="6" t="str">
        <f>HYPERLINK("https://inpn.mnhn.fr/espece/cd_nom/55972","Cladonia furcata subsp. furcata (Huds.) Schrad., 1794")</f>
        <v>Cladonia furcata subsp. furcata (Huds.) Schrad., 1794</v>
      </c>
      <c r="AH7059" s="4" t="str">
        <f>HYPERLINK("#Statut_biogéographique!A"&amp;_xlfn.XMATCH("P",Statut_biogéographique!A:A,2,1),"P")</f>
        <v>P</v>
      </c>
      <c r="AP7059" s="4" t="s">
        <v>376</v>
      </c>
      <c r="AR7059" s="4" t="s">
        <v>377</v>
      </c>
    </row>
    <row r="7060" spans="1:44">
      <c r="A7060" s="4" t="s">
        <v>5</v>
      </c>
      <c r="B7060" s="4">
        <v>55984</v>
      </c>
      <c r="C7060" s="4">
        <v>4508</v>
      </c>
      <c r="D7060" s="5" t="s">
        <v>9887</v>
      </c>
      <c r="E7060" s="6" t="str">
        <f>HYPERLINK("https://inpn.mnhn.fr/espece/cd_nom/55984","Cladonia rangiformis Hoffm., 1796")</f>
        <v>Cladonia rangiformis Hoffm., 1796</v>
      </c>
      <c r="AH7060" s="4" t="str">
        <f>HYPERLINK("#Statut_biogéographique!A"&amp;_xlfn.XMATCH("P",Statut_biogéographique!A:A,2,1),"P")</f>
        <v>P</v>
      </c>
      <c r="AP7060" s="4" t="s">
        <v>376</v>
      </c>
      <c r="AR7060" s="4" t="s">
        <v>377</v>
      </c>
    </row>
    <row r="7061" spans="1:44" ht="30">
      <c r="A7061" s="4" t="s">
        <v>5</v>
      </c>
      <c r="B7061" s="4">
        <v>56064</v>
      </c>
      <c r="C7061" s="4">
        <v>4577</v>
      </c>
      <c r="D7061" s="5" t="s">
        <v>9888</v>
      </c>
      <c r="E7061" s="6" t="str">
        <f>HYPERLINK("https://inpn.mnhn.fr/espece/cd_nom/56064","Bryoria fuscescens (Gyeln.) Brodo &amp; D.Hawksw., 1977")</f>
        <v>Bryoria fuscescens (Gyeln.) Brodo &amp; D.Hawksw., 1977</v>
      </c>
      <c r="AH7061" s="4" t="str">
        <f>HYPERLINK("#Statut_biogéographique!A"&amp;_xlfn.XMATCH("P",Statut_biogéographique!A:A,2,1),"P")</f>
        <v>P</v>
      </c>
      <c r="AP7061" s="4" t="s">
        <v>376</v>
      </c>
      <c r="AR7061" s="4" t="s">
        <v>377</v>
      </c>
    </row>
    <row r="7062" spans="1:44" ht="30">
      <c r="A7062" s="4" t="s">
        <v>5</v>
      </c>
      <c r="B7062" s="4">
        <v>56073</v>
      </c>
      <c r="D7062" s="5" t="s">
        <v>9889</v>
      </c>
      <c r="E7062" s="6" t="str">
        <f>HYPERLINK("https://inpn.mnhn.fr/espece/cd_nom/56073","Bryoria capillaris (Ach.) Brodo &amp; D.Hawksw., 1977")</f>
        <v>Bryoria capillaris (Ach.) Brodo &amp; D.Hawksw., 1977</v>
      </c>
      <c r="AH7062" s="4" t="str">
        <f>HYPERLINK("#Statut_biogéographique!A"&amp;_xlfn.XMATCH("P",Statut_biogéographique!A:A,2,1),"P")</f>
        <v>P</v>
      </c>
      <c r="AP7062" s="4" t="s">
        <v>376</v>
      </c>
      <c r="AR7062" s="4" t="s">
        <v>377</v>
      </c>
    </row>
    <row r="7063" spans="1:44">
      <c r="A7063" s="4" t="s">
        <v>5</v>
      </c>
      <c r="B7063" s="4">
        <v>56098</v>
      </c>
      <c r="D7063" s="5" t="s">
        <v>9890</v>
      </c>
      <c r="E7063" s="6" t="str">
        <f>HYPERLINK("https://inpn.mnhn.fr/espece/cd_nom/56098","Usnea rubicunda Stirt., 1881")</f>
        <v>Usnea rubicunda Stirt., 1881</v>
      </c>
      <c r="AH7063" s="4" t="str">
        <f>HYPERLINK("#Statut_biogéographique!A"&amp;_xlfn.XMATCH("P",Statut_biogéographique!A:A,2,1),"P")</f>
        <v>P</v>
      </c>
      <c r="AP7063" s="4" t="s">
        <v>376</v>
      </c>
      <c r="AR7063" s="4" t="s">
        <v>377</v>
      </c>
    </row>
    <row r="7064" spans="1:44" ht="30">
      <c r="A7064" s="4" t="s">
        <v>5</v>
      </c>
      <c r="B7064" s="4">
        <v>56112</v>
      </c>
      <c r="D7064" s="5" t="s">
        <v>9891</v>
      </c>
      <c r="E7064" s="6" t="str">
        <f>HYPERLINK("https://inpn.mnhn.fr/espece/cd_nom/56112","Usnea florida (L.) F.H.Wigg., 1780")</f>
        <v>Usnea florida (L.) F.H.Wigg., 1780</v>
      </c>
      <c r="AH7064" s="4" t="str">
        <f>HYPERLINK("#Statut_biogéographique!A"&amp;_xlfn.XMATCH("P",Statut_biogéographique!A:A,2,1),"P")</f>
        <v>P</v>
      </c>
      <c r="AP7064" s="4" t="s">
        <v>376</v>
      </c>
      <c r="AR7064" s="4" t="s">
        <v>377</v>
      </c>
    </row>
    <row r="7065" spans="1:44" ht="60">
      <c r="A7065" s="4" t="s">
        <v>5</v>
      </c>
      <c r="B7065" s="4">
        <v>56355</v>
      </c>
      <c r="D7065" s="5" t="s">
        <v>9892</v>
      </c>
      <c r="E7065" s="6" t="str">
        <f>HYPERLINK("https://inpn.mnhn.fr/espece/cd_nom/56355","Placynthium nigrum (Huds.) Gray, 1821")</f>
        <v>Placynthium nigrum (Huds.) Gray, 1821</v>
      </c>
      <c r="AH7065" s="4" t="str">
        <f>HYPERLINK("#Statut_biogéographique!A"&amp;_xlfn.XMATCH("P",Statut_biogéographique!A:A,2,1),"P")</f>
        <v>P</v>
      </c>
      <c r="AP7065" s="4" t="s">
        <v>376</v>
      </c>
      <c r="AR7065" s="4" t="s">
        <v>377</v>
      </c>
    </row>
    <row r="7066" spans="1:44" ht="30">
      <c r="A7066" s="4" t="s">
        <v>5</v>
      </c>
      <c r="B7066" s="4">
        <v>56613</v>
      </c>
      <c r="D7066" s="5" t="s">
        <v>9893</v>
      </c>
      <c r="E7066" s="6" t="str">
        <f>HYPERLINK("https://inpn.mnhn.fr/espece/cd_nom/56613","Lobaria pulmonaria (L.) Hoffm., 1796")</f>
        <v>Lobaria pulmonaria (L.) Hoffm., 1796</v>
      </c>
      <c r="F7066" s="5" t="s">
        <v>9894</v>
      </c>
      <c r="AH7066" s="4" t="str">
        <f>HYPERLINK("#Statut_biogéographique!A"&amp;_xlfn.XMATCH("P",Statut_biogéographique!A:A,2,1),"P")</f>
        <v>P</v>
      </c>
      <c r="AP7066" s="4" t="s">
        <v>376</v>
      </c>
      <c r="AR7066" s="4" t="s">
        <v>377</v>
      </c>
    </row>
    <row r="7067" spans="1:44">
      <c r="A7067" s="4" t="s">
        <v>5</v>
      </c>
      <c r="B7067" s="4">
        <v>56646</v>
      </c>
      <c r="D7067" s="5" t="s">
        <v>9895</v>
      </c>
      <c r="E7067" s="6" t="str">
        <f>HYPERLINK("https://inpn.mnhn.fr/espece/cd_nom/56646","Solorina saccata (L.) Ach., 1808")</f>
        <v>Solorina saccata (L.) Ach., 1808</v>
      </c>
      <c r="AH7067" s="4" t="str">
        <f>HYPERLINK("#Statut_biogéographique!A"&amp;_xlfn.XMATCH("P",Statut_biogéographique!A:A,2,1),"P")</f>
        <v>P</v>
      </c>
      <c r="AP7067" s="4" t="s">
        <v>376</v>
      </c>
      <c r="AR7067" s="4" t="s">
        <v>377</v>
      </c>
    </row>
    <row r="7068" spans="1:44" ht="45">
      <c r="A7068" s="4" t="s">
        <v>5</v>
      </c>
      <c r="B7068" s="4">
        <v>56656</v>
      </c>
      <c r="D7068" s="5" t="s">
        <v>9896</v>
      </c>
      <c r="E7068" s="6" t="str">
        <f>HYPERLINK("https://inpn.mnhn.fr/espece/cd_nom/56656","Peltigera collina (Ach.) Schrad., 1801")</f>
        <v>Peltigera collina (Ach.) Schrad., 1801</v>
      </c>
      <c r="AH7068" s="4" t="str">
        <f>HYPERLINK("#Statut_biogéographique!A"&amp;_xlfn.XMATCH("P",Statut_biogéographique!A:A,2,1),"P")</f>
        <v>P</v>
      </c>
      <c r="AP7068" s="4" t="s">
        <v>376</v>
      </c>
      <c r="AR7068" s="4" t="s">
        <v>377</v>
      </c>
    </row>
    <row r="7069" spans="1:44">
      <c r="A7069" s="4" t="s">
        <v>5</v>
      </c>
      <c r="B7069" s="4">
        <v>56663</v>
      </c>
      <c r="D7069" s="5" t="s">
        <v>9897</v>
      </c>
      <c r="E7069" s="6" t="str">
        <f>HYPERLINK("https://inpn.mnhn.fr/espece/cd_nom/56663","Peltigera horizontalis (Huds.) Baumg., 1790")</f>
        <v>Peltigera horizontalis (Huds.) Baumg., 1790</v>
      </c>
      <c r="AH7069" s="4" t="str">
        <f>HYPERLINK("#Statut_biogéographique!A"&amp;_xlfn.XMATCH("P",Statut_biogéographique!A:A,2,1),"P")</f>
        <v>P</v>
      </c>
      <c r="AP7069" s="4" t="s">
        <v>376</v>
      </c>
      <c r="AR7069" s="4" t="s">
        <v>377</v>
      </c>
    </row>
    <row r="7070" spans="1:44">
      <c r="A7070" s="4" t="s">
        <v>5</v>
      </c>
      <c r="B7070" s="4">
        <v>56671</v>
      </c>
      <c r="D7070" s="5" t="s">
        <v>9898</v>
      </c>
      <c r="E7070" s="6" t="str">
        <f>HYPERLINK("https://inpn.mnhn.fr/espece/cd_nom/56671","Peltigera malacea (Ach.) Funck, 1827")</f>
        <v>Peltigera malacea (Ach.) Funck, 1827</v>
      </c>
      <c r="AH7070" s="4" t="str">
        <f>HYPERLINK("#Statut_biogéographique!A"&amp;_xlfn.XMATCH("P",Statut_biogéographique!A:A,2,1),"P")</f>
        <v>P</v>
      </c>
      <c r="AP7070" s="4" t="s">
        <v>376</v>
      </c>
      <c r="AR7070" s="4" t="s">
        <v>377</v>
      </c>
    </row>
    <row r="7071" spans="1:44" ht="30">
      <c r="A7071" s="4" t="s">
        <v>5</v>
      </c>
      <c r="B7071" s="4">
        <v>56674</v>
      </c>
      <c r="D7071" s="5" t="s">
        <v>9899</v>
      </c>
      <c r="E7071" s="6" t="str">
        <f>HYPERLINK("https://inpn.mnhn.fr/espece/cd_nom/56674","Peltigera praetextata (Flörke ex Sommerf.) Zopf, 1909")</f>
        <v>Peltigera praetextata (Flörke ex Sommerf.) Zopf, 1909</v>
      </c>
      <c r="AH7071" s="4" t="str">
        <f>HYPERLINK("#Statut_biogéographique!A"&amp;_xlfn.XMATCH("P",Statut_biogéographique!A:A,2,1),"P")</f>
        <v>P</v>
      </c>
      <c r="AP7071" s="4" t="s">
        <v>376</v>
      </c>
      <c r="AR7071" s="4" t="s">
        <v>377</v>
      </c>
    </row>
    <row r="7072" spans="1:44">
      <c r="A7072" s="4" t="s">
        <v>5</v>
      </c>
      <c r="B7072" s="4">
        <v>56678</v>
      </c>
      <c r="D7072" s="5" t="s">
        <v>9900</v>
      </c>
      <c r="E7072" s="6" t="str">
        <f>HYPERLINK("https://inpn.mnhn.fr/espece/cd_nom/56678","Peltigera rufescens (Weiss) Humb., 1793")</f>
        <v>Peltigera rufescens (Weiss) Humb., 1793</v>
      </c>
      <c r="AH7072" s="4" t="str">
        <f>HYPERLINK("#Statut_biogéographique!A"&amp;_xlfn.XMATCH("P",Statut_biogéographique!A:A,2,1),"P")</f>
        <v>P</v>
      </c>
      <c r="AP7072" s="4" t="s">
        <v>376</v>
      </c>
      <c r="AR7072" s="4" t="s">
        <v>377</v>
      </c>
    </row>
    <row r="7073" spans="1:44">
      <c r="A7073" s="4" t="s">
        <v>5</v>
      </c>
      <c r="B7073" s="4">
        <v>56681</v>
      </c>
      <c r="D7073" s="5" t="s">
        <v>9901</v>
      </c>
      <c r="E7073" s="6" t="str">
        <f>HYPERLINK("https://inpn.mnhn.fr/espece/cd_nom/56681","Peltigera membranacea (Ach.) Nyl., 1887")</f>
        <v>Peltigera membranacea (Ach.) Nyl., 1887</v>
      </c>
      <c r="AH7073" s="4" t="str">
        <f>HYPERLINK("#Statut_biogéographique!A"&amp;_xlfn.XMATCH("P",Statut_biogéographique!A:A,2,1),"P")</f>
        <v>P</v>
      </c>
      <c r="AP7073" s="4" t="s">
        <v>376</v>
      </c>
      <c r="AR7073" s="4" t="s">
        <v>377</v>
      </c>
    </row>
    <row r="7074" spans="1:44" ht="30">
      <c r="A7074" s="4" t="s">
        <v>5</v>
      </c>
      <c r="B7074" s="4">
        <v>56683</v>
      </c>
      <c r="D7074" s="5" t="s">
        <v>9902</v>
      </c>
      <c r="E7074" s="6" t="str">
        <f>HYPERLINK("https://inpn.mnhn.fr/espece/cd_nom/56683","Peltigera canina (L.) Willd., 1787")</f>
        <v>Peltigera canina (L.) Willd., 1787</v>
      </c>
      <c r="AH7074" s="4" t="str">
        <f>HYPERLINK("#Statut_biogéographique!A"&amp;_xlfn.XMATCH("P",Statut_biogéographique!A:A,2,1),"P")</f>
        <v>P</v>
      </c>
      <c r="AP7074" s="4" t="s">
        <v>376</v>
      </c>
      <c r="AR7074" s="4" t="s">
        <v>377</v>
      </c>
    </row>
    <row r="7075" spans="1:44">
      <c r="A7075" s="4" t="s">
        <v>5</v>
      </c>
      <c r="B7075" s="4">
        <v>56692</v>
      </c>
      <c r="D7075" s="5" t="s">
        <v>9903</v>
      </c>
      <c r="E7075" s="6" t="str">
        <f>HYPERLINK("https://inpn.mnhn.fr/espece/cd_nom/56692","Nephroma laevigatum Ach., 1814")</f>
        <v>Nephroma laevigatum Ach., 1814</v>
      </c>
      <c r="AH7075" s="4" t="str">
        <f>HYPERLINK("#Statut_biogéographique!A"&amp;_xlfn.XMATCH("P",Statut_biogéographique!A:A,2,1),"P")</f>
        <v>P</v>
      </c>
      <c r="AP7075" s="4" t="s">
        <v>376</v>
      </c>
      <c r="AR7075" s="4" t="s">
        <v>377</v>
      </c>
    </row>
    <row r="7076" spans="1:44" ht="30">
      <c r="A7076" s="4" t="s">
        <v>5</v>
      </c>
      <c r="B7076" s="4">
        <v>56696</v>
      </c>
      <c r="D7076" s="5" t="s">
        <v>9904</v>
      </c>
      <c r="E7076" s="6" t="str">
        <f>HYPERLINK("https://inpn.mnhn.fr/espece/cd_nom/56696","Nephroma parile (Ach.) Ach., 1810")</f>
        <v>Nephroma parile (Ach.) Ach., 1810</v>
      </c>
      <c r="AH7076" s="4" t="str">
        <f>HYPERLINK("#Statut_biogéographique!A"&amp;_xlfn.XMATCH("P",Statut_biogéographique!A:A,2,1),"P")</f>
        <v>P</v>
      </c>
      <c r="AP7076" s="4" t="s">
        <v>376</v>
      </c>
      <c r="AR7076" s="4" t="s">
        <v>377</v>
      </c>
    </row>
    <row r="7077" spans="1:44" ht="30">
      <c r="A7077" s="4" t="s">
        <v>5</v>
      </c>
      <c r="B7077" s="4">
        <v>56708</v>
      </c>
      <c r="D7077" s="5" t="s">
        <v>9905</v>
      </c>
      <c r="E7077" s="6" t="str">
        <f>HYPERLINK("https://inpn.mnhn.fr/espece/cd_nom/56708","Trapeliopsis granulosa (Hoffm.) Lumbsch, 1983")</f>
        <v>Trapeliopsis granulosa (Hoffm.) Lumbsch, 1983</v>
      </c>
      <c r="AH7077" s="4" t="str">
        <f>HYPERLINK("#Statut_biogéographique!A"&amp;_xlfn.XMATCH("P",Statut_biogéographique!A:A,2,1),"P")</f>
        <v>P</v>
      </c>
      <c r="AP7077" s="4" t="s">
        <v>376</v>
      </c>
      <c r="AR7077" s="4" t="s">
        <v>377</v>
      </c>
    </row>
    <row r="7078" spans="1:44" ht="30">
      <c r="A7078" s="4" t="s">
        <v>5</v>
      </c>
      <c r="B7078" s="4">
        <v>56856</v>
      </c>
      <c r="D7078" s="5" t="s">
        <v>9906</v>
      </c>
      <c r="E7078" s="6" t="str">
        <f>HYPERLINK("https://inpn.mnhn.fr/espece/cd_nom/56856","Lecidella elaeochroma (Ach.) M.Choisy, 1950")</f>
        <v>Lecidella elaeochroma (Ach.) M.Choisy, 1950</v>
      </c>
      <c r="AH7078" s="4" t="str">
        <f>HYPERLINK("#Statut_biogéographique!A"&amp;_xlfn.XMATCH("P",Statut_biogéographique!A:A,2,1),"P")</f>
        <v>P</v>
      </c>
      <c r="AP7078" s="4" t="s">
        <v>376</v>
      </c>
      <c r="AR7078" s="4" t="s">
        <v>377</v>
      </c>
    </row>
    <row r="7079" spans="1:44" ht="30">
      <c r="A7079" s="4" t="s">
        <v>5</v>
      </c>
      <c r="B7079" s="4">
        <v>56910</v>
      </c>
      <c r="D7079" s="5" t="s">
        <v>9907</v>
      </c>
      <c r="E7079" s="6" t="str">
        <f>HYPERLINK("https://inpn.mnhn.fr/espece/cd_nom/56910","Fuscidea lightfootii (Sm.) Coppins &amp; P.James, 1978")</f>
        <v>Fuscidea lightfootii (Sm.) Coppins &amp; P.James, 1978</v>
      </c>
      <c r="AH7079" s="4" t="str">
        <f>HYPERLINK("#Statut_biogéographique!A"&amp;_xlfn.XMATCH("P",Statut_biogéographique!A:A,2,1),"P")</f>
        <v>P</v>
      </c>
      <c r="AP7079" s="4" t="s">
        <v>376</v>
      </c>
      <c r="AR7079" s="4" t="s">
        <v>377</v>
      </c>
    </row>
    <row r="7080" spans="1:44">
      <c r="A7080" s="4" t="s">
        <v>5</v>
      </c>
      <c r="B7080" s="4">
        <v>57212</v>
      </c>
      <c r="D7080" s="5" t="s">
        <v>9908</v>
      </c>
      <c r="E7080" s="6" t="str">
        <f>HYPERLINK("https://inpn.mnhn.fr/espece/cd_nom/57212","Psora decipiens (Hedw.) Hoffm., 1794")</f>
        <v>Psora decipiens (Hedw.) Hoffm., 1794</v>
      </c>
      <c r="AH7080" s="4" t="str">
        <f>HYPERLINK("#Statut_biogéographique!A"&amp;_xlfn.XMATCH("P",Statut_biogéographique!A:A,2,1),"P")</f>
        <v>P</v>
      </c>
      <c r="AP7080" s="4" t="s">
        <v>376</v>
      </c>
      <c r="AR7080" s="4" t="s">
        <v>377</v>
      </c>
    </row>
    <row r="7081" spans="1:44">
      <c r="A7081" s="4" t="s">
        <v>5</v>
      </c>
      <c r="B7081" s="4">
        <v>57246</v>
      </c>
      <c r="C7081" s="4">
        <v>6407</v>
      </c>
      <c r="D7081" s="5" t="s">
        <v>9909</v>
      </c>
      <c r="E7081" s="6" t="str">
        <f>HYPERLINK("https://inpn.mnhn.fr/espece/cd_nom/57246","Catillaria chalybeia (Borrer) A.Massal., 1852")</f>
        <v>Catillaria chalybeia (Borrer) A.Massal., 1852</v>
      </c>
      <c r="AH7081" s="4" t="str">
        <f>HYPERLINK("#Statut_biogéographique!A"&amp;_xlfn.XMATCH("P",Statut_biogéographique!A:A,2,1),"P")</f>
        <v>P</v>
      </c>
      <c r="AP7081" s="4" t="s">
        <v>376</v>
      </c>
      <c r="AR7081" s="4" t="s">
        <v>377</v>
      </c>
    </row>
    <row r="7082" spans="1:44">
      <c r="A7082" s="4" t="s">
        <v>5</v>
      </c>
      <c r="B7082" s="4">
        <v>57565</v>
      </c>
      <c r="D7082" s="5" t="s">
        <v>9910</v>
      </c>
      <c r="E7082" s="6" t="str">
        <f>HYPERLINK("https://inpn.mnhn.fr/espece/cd_nom/57565","Rhizocarpon geographicum (L.) DC., 1805")</f>
        <v>Rhizocarpon geographicum (L.) DC., 1805</v>
      </c>
      <c r="AH7082" s="4" t="str">
        <f>HYPERLINK("#Statut_biogéographique!A"&amp;_xlfn.XMATCH("P",Statut_biogéographique!A:A,2,1),"P")</f>
        <v>P</v>
      </c>
      <c r="AP7082" s="4" t="s">
        <v>376</v>
      </c>
      <c r="AR7082" s="4" t="s">
        <v>377</v>
      </c>
    </row>
    <row r="7083" spans="1:44" ht="30">
      <c r="A7083" s="4" t="s">
        <v>5</v>
      </c>
      <c r="B7083" s="4">
        <v>57571</v>
      </c>
      <c r="D7083" s="5" t="s">
        <v>9911</v>
      </c>
      <c r="E7083" s="6" t="str">
        <f>HYPERLINK("https://inpn.mnhn.fr/espece/cd_nom/57571","Rhizocarpon geographicum subsp. geographicum (L.) DC., 1805")</f>
        <v>Rhizocarpon geographicum subsp. geographicum (L.) DC., 1805</v>
      </c>
      <c r="AH7083" s="4" t="str">
        <f>HYPERLINK("#Statut_biogéographique!A"&amp;_xlfn.XMATCH("P",Statut_biogéographique!A:A,2,1),"P")</f>
        <v>P</v>
      </c>
      <c r="AP7083" s="4" t="s">
        <v>376</v>
      </c>
      <c r="AR7083" s="4" t="s">
        <v>377</v>
      </c>
    </row>
    <row r="7084" spans="1:44">
      <c r="A7084" s="4" t="s">
        <v>5</v>
      </c>
      <c r="B7084" s="4">
        <v>57638</v>
      </c>
      <c r="C7084" s="4">
        <v>6279</v>
      </c>
      <c r="D7084" s="5" t="s">
        <v>9912</v>
      </c>
      <c r="E7084" s="6" t="str">
        <f>HYPERLINK("https://inpn.mnhn.fr/espece/cd_nom/57638","Baeomyces rufus (Huds.) Rebent., 1804")</f>
        <v>Baeomyces rufus (Huds.) Rebent., 1804</v>
      </c>
      <c r="AH7084" s="4" t="str">
        <f>HYPERLINK("#Statut_biogéographique!A"&amp;_xlfn.XMATCH("P",Statut_biogéographique!A:A,2,1),"P")</f>
        <v>P</v>
      </c>
      <c r="AP7084" s="4" t="s">
        <v>376</v>
      </c>
      <c r="AR7084" s="4" t="s">
        <v>377</v>
      </c>
    </row>
    <row r="7085" spans="1:44" ht="30">
      <c r="A7085" s="4" t="s">
        <v>5</v>
      </c>
      <c r="B7085" s="4">
        <v>57658</v>
      </c>
      <c r="C7085" s="4">
        <v>4573</v>
      </c>
      <c r="D7085" s="5" t="s">
        <v>9913</v>
      </c>
      <c r="E7085" s="6" t="str">
        <f>HYPERLINK("https://inpn.mnhn.fr/espece/cd_nom/57658","Cladonia rangiferina (L.) Weber, 1780")</f>
        <v>Cladonia rangiferina (L.) Weber, 1780</v>
      </c>
      <c r="K7085" s="4" t="str">
        <f>HYPERLINK("#Réglementation!A"&amp;_xlfn.XMATCH("CDH5",Réglementation!A:A,2,1),"CDH5")</f>
        <v>CDH5</v>
      </c>
      <c r="AH7085" s="4" t="str">
        <f>HYPERLINK("#Statut_biogéographique!A"&amp;_xlfn.XMATCH("P",Statut_biogéographique!A:A,2,1),"P")</f>
        <v>P</v>
      </c>
      <c r="AP7085" s="4" t="s">
        <v>376</v>
      </c>
      <c r="AR7085" s="4" t="s">
        <v>377</v>
      </c>
    </row>
    <row r="7086" spans="1:44">
      <c r="A7086" s="4" t="s">
        <v>5</v>
      </c>
      <c r="B7086" s="4">
        <v>57660</v>
      </c>
      <c r="C7086" s="4">
        <v>5919</v>
      </c>
      <c r="D7086" s="5" t="s">
        <v>9914</v>
      </c>
      <c r="E7086" s="6" t="str">
        <f>HYPERLINK("https://inpn.mnhn.fr/espece/cd_nom/57660","Cladonia ciliata Stirt., 1888")</f>
        <v>Cladonia ciliata Stirt., 1888</v>
      </c>
      <c r="AH7086" s="4" t="str">
        <f>HYPERLINK("#Statut_biogéographique!A"&amp;_xlfn.XMATCH("P",Statut_biogéographique!A:A,2,1),"P")</f>
        <v>P</v>
      </c>
      <c r="AP7086" s="4" t="s">
        <v>376</v>
      </c>
      <c r="AR7086" s="4" t="s">
        <v>377</v>
      </c>
    </row>
    <row r="7087" spans="1:44">
      <c r="A7087" s="4" t="s">
        <v>5</v>
      </c>
      <c r="B7087" s="4">
        <v>57663</v>
      </c>
      <c r="D7087" s="5" t="s">
        <v>9915</v>
      </c>
      <c r="E7087" s="6" t="str">
        <f>HYPERLINK("https://inpn.mnhn.fr/espece/cd_nom/57663","Cladonia ciliata var. tenuis (Flörke) Ahti, 1977")</f>
        <v>Cladonia ciliata var. tenuis (Flörke) Ahti, 1977</v>
      </c>
      <c r="AH7087" s="4" t="str">
        <f>HYPERLINK("#Statut_biogéographique!A"&amp;_xlfn.XMATCH("P",Statut_biogéographique!A:A,2,1),"P")</f>
        <v>P</v>
      </c>
      <c r="AP7087" s="4" t="s">
        <v>376</v>
      </c>
      <c r="AR7087" s="4" t="s">
        <v>377</v>
      </c>
    </row>
    <row r="7088" spans="1:44">
      <c r="A7088" s="4" t="s">
        <v>5</v>
      </c>
      <c r="B7088" s="4">
        <v>57665</v>
      </c>
      <c r="D7088" s="5" t="s">
        <v>9916</v>
      </c>
      <c r="E7088" s="6" t="str">
        <f>HYPERLINK("https://inpn.mnhn.fr/espece/cd_nom/57665","Cladonia arbuscula (Wallr.) Flot., 1839")</f>
        <v>Cladonia arbuscula (Wallr.) Flot., 1839</v>
      </c>
      <c r="K7088" s="4" t="str">
        <f>HYPERLINK("#Réglementation!A"&amp;_xlfn.XMATCH("CDH5",Réglementation!A:A,2,1),"CDH5")</f>
        <v>CDH5</v>
      </c>
      <c r="AH7088" s="4" t="str">
        <f>HYPERLINK("#Statut_biogéographique!A"&amp;_xlfn.XMATCH("P",Statut_biogéographique!A:A,2,1),"P")</f>
        <v>P</v>
      </c>
      <c r="AP7088" s="4" t="s">
        <v>376</v>
      </c>
      <c r="AR7088" s="4" t="s">
        <v>377</v>
      </c>
    </row>
    <row r="7089" spans="1:44">
      <c r="A7089" s="4" t="s">
        <v>5</v>
      </c>
      <c r="B7089" s="4">
        <v>57671</v>
      </c>
      <c r="D7089" s="5" t="s">
        <v>9917</v>
      </c>
      <c r="E7089" s="6" t="str">
        <f>HYPERLINK("https://inpn.mnhn.fr/espece/cd_nom/57671","Cladonia bellidiflora (Ach.) Schaer., 1823")</f>
        <v>Cladonia bellidiflora (Ach.) Schaer., 1823</v>
      </c>
      <c r="AH7089" s="4" t="str">
        <f>HYPERLINK("#Statut_biogéographique!A"&amp;_xlfn.XMATCH("P",Statut_biogéographique!A:A,2,1),"P")</f>
        <v>P</v>
      </c>
      <c r="AP7089" s="4" t="s">
        <v>376</v>
      </c>
      <c r="AR7089" s="4" t="s">
        <v>377</v>
      </c>
    </row>
    <row r="7090" spans="1:44" ht="60">
      <c r="A7090" s="4" t="s">
        <v>5</v>
      </c>
      <c r="B7090" s="4">
        <v>57672</v>
      </c>
      <c r="C7090" s="4">
        <v>4597</v>
      </c>
      <c r="D7090" s="5" t="s">
        <v>9918</v>
      </c>
      <c r="E7090" s="6" t="str">
        <f>HYPERLINK("https://inpn.mnhn.fr/espece/cd_nom/57672","Cladonia portentosa (Dufour) Coem., 1865")</f>
        <v>Cladonia portentosa (Dufour) Coem., 1865</v>
      </c>
      <c r="F7090" s="5" t="s">
        <v>9919</v>
      </c>
      <c r="AH7090" s="4" t="str">
        <f>HYPERLINK("#Statut_biogéographique!A"&amp;_xlfn.XMATCH("P",Statut_biogéographique!A:A,2,1),"P")</f>
        <v>P</v>
      </c>
      <c r="AP7090" s="4" t="s">
        <v>376</v>
      </c>
      <c r="AR7090" s="4" t="s">
        <v>377</v>
      </c>
    </row>
    <row r="7091" spans="1:44">
      <c r="A7091" s="4" t="s">
        <v>5</v>
      </c>
      <c r="B7091" s="4">
        <v>57677</v>
      </c>
      <c r="C7091" s="4">
        <v>5743</v>
      </c>
      <c r="D7091" s="5" t="s">
        <v>9920</v>
      </c>
      <c r="E7091" s="6" t="str">
        <f>HYPERLINK("https://inpn.mnhn.fr/espece/cd_nom/57677","Cladonia digitata (L.) Hoffm., 1796")</f>
        <v>Cladonia digitata (L.) Hoffm., 1796</v>
      </c>
      <c r="AH7091" s="4" t="str">
        <f>HYPERLINK("#Statut_biogéographique!A"&amp;_xlfn.XMATCH("P",Statut_biogéographique!A:A,2,1),"P")</f>
        <v>P</v>
      </c>
      <c r="AP7091" s="4" t="s">
        <v>376</v>
      </c>
      <c r="AR7091" s="4" t="s">
        <v>377</v>
      </c>
    </row>
    <row r="7092" spans="1:44" ht="30">
      <c r="A7092" s="4" t="s">
        <v>5</v>
      </c>
      <c r="B7092" s="4">
        <v>57680</v>
      </c>
      <c r="D7092" s="5" t="s">
        <v>9921</v>
      </c>
      <c r="E7092" s="6" t="str">
        <f>HYPERLINK("https://inpn.mnhn.fr/espece/cd_nom/57680","Cladonia polydactyla (Flörke) Spreng., 1827")</f>
        <v>Cladonia polydactyla (Flörke) Spreng., 1827</v>
      </c>
      <c r="AH7092" s="4" t="str">
        <f>HYPERLINK("#Statut_biogéographique!A"&amp;_xlfn.XMATCH("P",Statut_biogéographique!A:A,2,1),"P")</f>
        <v>P</v>
      </c>
      <c r="AP7092" s="4" t="s">
        <v>376</v>
      </c>
      <c r="AR7092" s="4" t="s">
        <v>377</v>
      </c>
    </row>
    <row r="7093" spans="1:44">
      <c r="A7093" s="4" t="s">
        <v>5</v>
      </c>
      <c r="B7093" s="4">
        <v>57683</v>
      </c>
      <c r="C7093" s="4">
        <v>4576</v>
      </c>
      <c r="D7093" s="5" t="s">
        <v>9922</v>
      </c>
      <c r="E7093" s="6" t="str">
        <f>HYPERLINK("https://inpn.mnhn.fr/espece/cd_nom/57683","Cladonia macilenta Hoffm., 1796")</f>
        <v>Cladonia macilenta Hoffm., 1796</v>
      </c>
      <c r="AH7093" s="4" t="str">
        <f>HYPERLINK("#Statut_biogéographique!A"&amp;_xlfn.XMATCH("P",Statut_biogéographique!A:A,2,1),"P")</f>
        <v>P</v>
      </c>
      <c r="AP7093" s="4" t="s">
        <v>376</v>
      </c>
      <c r="AR7093" s="4" t="s">
        <v>377</v>
      </c>
    </row>
    <row r="7094" spans="1:44">
      <c r="A7094" s="4" t="s">
        <v>5</v>
      </c>
      <c r="B7094" s="4">
        <v>57689</v>
      </c>
      <c r="C7094" s="4">
        <v>5633</v>
      </c>
      <c r="D7094" s="5" t="s">
        <v>9923</v>
      </c>
      <c r="E7094" s="6" t="str">
        <f>HYPERLINK("https://inpn.mnhn.fr/espece/cd_nom/57689","Cladonia floerkeana (Fr.) Flörke, 1828")</f>
        <v>Cladonia floerkeana (Fr.) Flörke, 1828</v>
      </c>
      <c r="AH7094" s="4" t="str">
        <f>HYPERLINK("#Statut_biogéographique!A"&amp;_xlfn.XMATCH("P",Statut_biogéographique!A:A,2,1),"P")</f>
        <v>P</v>
      </c>
      <c r="AP7094" s="4" t="s">
        <v>376</v>
      </c>
      <c r="AR7094" s="4" t="s">
        <v>377</v>
      </c>
    </row>
    <row r="7095" spans="1:44">
      <c r="A7095" s="4" t="s">
        <v>5</v>
      </c>
      <c r="B7095" s="4">
        <v>57694</v>
      </c>
      <c r="C7095" s="4">
        <v>5224</v>
      </c>
      <c r="D7095" s="5" t="s">
        <v>9924</v>
      </c>
      <c r="E7095" s="6" t="str">
        <f>HYPERLINK("https://inpn.mnhn.fr/espece/cd_nom/57694","Cladonia coccifera (L.) Willd., 1787")</f>
        <v>Cladonia coccifera (L.) Willd., 1787</v>
      </c>
      <c r="AH7095" s="4" t="str">
        <f>HYPERLINK("#Statut_biogéographique!A"&amp;_xlfn.XMATCH("P",Statut_biogéographique!A:A,2,1),"P")</f>
        <v>P</v>
      </c>
      <c r="AP7095" s="4" t="s">
        <v>376</v>
      </c>
      <c r="AR7095" s="4" t="s">
        <v>377</v>
      </c>
    </row>
    <row r="7096" spans="1:44" ht="30">
      <c r="A7096" s="4" t="s">
        <v>5</v>
      </c>
      <c r="B7096" s="4">
        <v>57701</v>
      </c>
      <c r="C7096" s="4">
        <v>6585</v>
      </c>
      <c r="D7096" s="5" t="s">
        <v>9925</v>
      </c>
      <c r="E7096" s="6" t="str">
        <f>HYPERLINK("https://inpn.mnhn.fr/espece/cd_nom/57701","Cladonia rangiformis var. pungens (Ach.) Vain., 1887")</f>
        <v>Cladonia rangiformis var. pungens (Ach.) Vain., 1887</v>
      </c>
      <c r="AH7096" s="4" t="str">
        <f>HYPERLINK("#Statut_biogéographique!A"&amp;_xlfn.XMATCH("P",Statut_biogéographique!A:A,2,1),"P")</f>
        <v>P</v>
      </c>
      <c r="AP7096" s="4" t="s">
        <v>376</v>
      </c>
      <c r="AR7096" s="4" t="s">
        <v>377</v>
      </c>
    </row>
    <row r="7097" spans="1:44">
      <c r="A7097" s="4" t="s">
        <v>5</v>
      </c>
      <c r="B7097" s="4">
        <v>57717</v>
      </c>
      <c r="C7097" s="4">
        <v>5540</v>
      </c>
      <c r="D7097" s="5" t="s">
        <v>9926</v>
      </c>
      <c r="E7097" s="6" t="str">
        <f>HYPERLINK("https://inpn.mnhn.fr/espece/cd_nom/57717","Cladonia squamosa (Scop.) Hoffm., 1796")</f>
        <v>Cladonia squamosa (Scop.) Hoffm., 1796</v>
      </c>
      <c r="AH7097" s="4" t="str">
        <f>HYPERLINK("#Statut_biogéographique!A"&amp;_xlfn.XMATCH("P",Statut_biogéographique!A:A,2,1),"P")</f>
        <v>P</v>
      </c>
      <c r="AP7097" s="4" t="s">
        <v>376</v>
      </c>
      <c r="AR7097" s="4" t="s">
        <v>377</v>
      </c>
    </row>
    <row r="7098" spans="1:44">
      <c r="A7098" s="4" t="s">
        <v>5</v>
      </c>
      <c r="B7098" s="4">
        <v>57747</v>
      </c>
      <c r="D7098" s="5" t="s">
        <v>9927</v>
      </c>
      <c r="E7098" s="6" t="str">
        <f>HYPERLINK("https://inpn.mnhn.fr/espece/cd_nom/57747","Cladonia cariosa (Ach.) Spreng., 1827")</f>
        <v>Cladonia cariosa (Ach.) Spreng., 1827</v>
      </c>
      <c r="AH7098" s="4" t="str">
        <f>HYPERLINK("#Statut_biogéographique!A"&amp;_xlfn.XMATCH("P",Statut_biogéographique!A:A,2,1),"P")</f>
        <v>P</v>
      </c>
      <c r="AP7098" s="4" t="s">
        <v>376</v>
      </c>
      <c r="AR7098" s="4" t="s">
        <v>377</v>
      </c>
    </row>
    <row r="7099" spans="1:44" ht="30">
      <c r="A7099" s="4" t="s">
        <v>5</v>
      </c>
      <c r="B7099" s="4">
        <v>57767</v>
      </c>
      <c r="C7099" s="4">
        <v>6739</v>
      </c>
      <c r="D7099" s="5" t="s">
        <v>9928</v>
      </c>
      <c r="E7099" s="6" t="str">
        <f>HYPERLINK("https://inpn.mnhn.fr/espece/cd_nom/57767","Cladonia ochrochlora Flörke, 1827")</f>
        <v>Cladonia ochrochlora Flörke, 1827</v>
      </c>
      <c r="AH7099" s="4" t="str">
        <f>HYPERLINK("#Statut_biogéographique!A"&amp;_xlfn.XMATCH("P",Statut_biogéographique!A:A,2,1),"P")</f>
        <v>P</v>
      </c>
      <c r="AP7099" s="4" t="s">
        <v>376</v>
      </c>
      <c r="AR7099" s="4" t="s">
        <v>377</v>
      </c>
    </row>
    <row r="7100" spans="1:44" ht="30">
      <c r="A7100" s="4" t="s">
        <v>5</v>
      </c>
      <c r="B7100" s="4">
        <v>57768</v>
      </c>
      <c r="C7100" s="4">
        <v>4572</v>
      </c>
      <c r="D7100" s="5" t="s">
        <v>9929</v>
      </c>
      <c r="E7100" s="6" t="str">
        <f>HYPERLINK("https://inpn.mnhn.fr/espece/cd_nom/57768","Cladonia coniocraea (Flörke) Spreng., 1827")</f>
        <v>Cladonia coniocraea (Flörke) Spreng., 1827</v>
      </c>
      <c r="AH7100" s="4" t="str">
        <f>HYPERLINK("#Statut_biogéographique!A"&amp;_xlfn.XMATCH("P",Statut_biogéographique!A:A,2,1),"P")</f>
        <v>P</v>
      </c>
      <c r="AP7100" s="4" t="s">
        <v>376</v>
      </c>
      <c r="AR7100" s="4" t="s">
        <v>377</v>
      </c>
    </row>
    <row r="7101" spans="1:44" ht="30">
      <c r="A7101" s="4" t="s">
        <v>5</v>
      </c>
      <c r="B7101" s="4">
        <v>57771</v>
      </c>
      <c r="C7101" s="4">
        <v>5652</v>
      </c>
      <c r="D7101" s="5">
        <v>57771</v>
      </c>
      <c r="E7101" s="6" t="str">
        <f>HYPERLINK("https://inpn.mnhn.fr/espece/cd_nom/57771","Cladonia subulata (L.) Weber ex F.H.Wigg., 1780")</f>
        <v>Cladonia subulata (L.) Weber ex F.H.Wigg., 1780</v>
      </c>
      <c r="AH7101" s="4" t="str">
        <f>HYPERLINK("#Statut_biogéographique!A"&amp;_xlfn.XMATCH("P",Statut_biogéographique!A:A,2,1),"P")</f>
        <v>P</v>
      </c>
      <c r="AP7101" s="4" t="s">
        <v>376</v>
      </c>
      <c r="AR7101" s="4" t="s">
        <v>377</v>
      </c>
    </row>
    <row r="7102" spans="1:44">
      <c r="A7102" s="4" t="s">
        <v>5</v>
      </c>
      <c r="B7102" s="4">
        <v>57788</v>
      </c>
      <c r="D7102" s="5" t="s">
        <v>9930</v>
      </c>
      <c r="E7102" s="6" t="str">
        <f>HYPERLINK("https://inpn.mnhn.fr/espece/cd_nom/57788","Cladonia glauca Flörke, 1828")</f>
        <v>Cladonia glauca Flörke, 1828</v>
      </c>
      <c r="AH7102" s="4" t="str">
        <f>HYPERLINK("#Statut_biogéographique!A"&amp;_xlfn.XMATCH("P",Statut_biogéographique!A:A,2,1),"P")</f>
        <v>P</v>
      </c>
      <c r="AP7102" s="4" t="s">
        <v>376</v>
      </c>
      <c r="AR7102" s="4" t="s">
        <v>377</v>
      </c>
    </row>
    <row r="7103" spans="1:44">
      <c r="A7103" s="4" t="s">
        <v>5</v>
      </c>
      <c r="B7103" s="4">
        <v>57791</v>
      </c>
      <c r="D7103" s="5" t="s">
        <v>9931</v>
      </c>
      <c r="E7103" s="6" t="str">
        <f>HYPERLINK("https://inpn.mnhn.fr/espece/cd_nom/57791","Cladonia cervicornis (Ach.) Flot., 1849")</f>
        <v>Cladonia cervicornis (Ach.) Flot., 1849</v>
      </c>
      <c r="AH7103" s="4" t="str">
        <f>HYPERLINK("#Statut_biogéographique!A"&amp;_xlfn.XMATCH("P",Statut_biogéographique!A:A,2,1),"P")</f>
        <v>P</v>
      </c>
      <c r="AP7103" s="4" t="s">
        <v>376</v>
      </c>
      <c r="AR7103" s="4" t="s">
        <v>377</v>
      </c>
    </row>
    <row r="7104" spans="1:44" ht="45">
      <c r="A7104" s="4" t="s">
        <v>5</v>
      </c>
      <c r="B7104" s="4">
        <v>57797</v>
      </c>
      <c r="C7104" s="4">
        <v>4574</v>
      </c>
      <c r="D7104" s="5" t="s">
        <v>9932</v>
      </c>
      <c r="E7104" s="6" t="str">
        <f>HYPERLINK("https://inpn.mnhn.fr/espece/cd_nom/57797","Cladonia pyxidata (L.) Hoffm., 1796")</f>
        <v>Cladonia pyxidata (L.) Hoffm., 1796</v>
      </c>
      <c r="AH7104" s="4" t="str">
        <f>HYPERLINK("#Statut_biogéographique!A"&amp;_xlfn.XMATCH("P",Statut_biogéographique!A:A,2,1),"P")</f>
        <v>P</v>
      </c>
      <c r="AP7104" s="4" t="s">
        <v>376</v>
      </c>
      <c r="AR7104" s="4" t="s">
        <v>377</v>
      </c>
    </row>
    <row r="7105" spans="1:44" ht="30">
      <c r="A7105" s="4" t="s">
        <v>5</v>
      </c>
      <c r="B7105" s="4">
        <v>57801</v>
      </c>
      <c r="C7105" s="4">
        <v>5258</v>
      </c>
      <c r="D7105" s="5" t="s">
        <v>9933</v>
      </c>
      <c r="E7105" s="6" t="str">
        <f>HYPERLINK("https://inpn.mnhn.fr/espece/cd_nom/57801","Cladonia chlorophaea (Flörke ex Sommerf.) Spreng., 1827")</f>
        <v>Cladonia chlorophaea (Flörke ex Sommerf.) Spreng., 1827</v>
      </c>
      <c r="AH7105" s="4" t="str">
        <f>HYPERLINK("#Statut_biogéographique!A"&amp;_xlfn.XMATCH("P",Statut_biogéographique!A:A,2,1),"P")</f>
        <v>P</v>
      </c>
      <c r="AP7105" s="4" t="s">
        <v>376</v>
      </c>
      <c r="AR7105" s="4" t="s">
        <v>377</v>
      </c>
    </row>
    <row r="7106" spans="1:44">
      <c r="A7106" s="4" t="s">
        <v>5</v>
      </c>
      <c r="B7106" s="4">
        <v>57802</v>
      </c>
      <c r="D7106" s="5">
        <v>57802</v>
      </c>
      <c r="E7106" s="6" t="str">
        <f>HYPERLINK("https://inpn.mnhn.fr/espece/cd_nom/57802","Cladonia grayi G.Merr. ex Sandst., 1929")</f>
        <v>Cladonia grayi G.Merr. ex Sandst., 1929</v>
      </c>
      <c r="AH7106" s="4" t="str">
        <f>HYPERLINK("#Statut_biogéographique!A"&amp;_xlfn.XMATCH("P",Statut_biogéographique!A:A,2,1),"P")</f>
        <v>P</v>
      </c>
      <c r="AP7106" s="4" t="s">
        <v>376</v>
      </c>
      <c r="AR7106" s="4" t="s">
        <v>377</v>
      </c>
    </row>
    <row r="7107" spans="1:44">
      <c r="A7107" s="4" t="s">
        <v>5</v>
      </c>
      <c r="B7107" s="4">
        <v>57803</v>
      </c>
      <c r="D7107" s="5" t="s">
        <v>9934</v>
      </c>
      <c r="E7107" s="6" t="str">
        <f>HYPERLINK("https://inpn.mnhn.fr/espece/cd_nom/57803","Cladonia conista (Ach.) Robbins, 1930")</f>
        <v>Cladonia conista (Ach.) Robbins, 1930</v>
      </c>
      <c r="AH7107" s="4" t="str">
        <f>HYPERLINK("#Statut_biogéographique!A"&amp;_xlfn.XMATCH("P",Statut_biogéographique!A:A,2,1),"P")</f>
        <v>P</v>
      </c>
      <c r="AP7107" s="4" t="s">
        <v>376</v>
      </c>
      <c r="AR7107" s="4" t="s">
        <v>377</v>
      </c>
    </row>
    <row r="7108" spans="1:44" ht="60">
      <c r="A7108" s="4" t="s">
        <v>5</v>
      </c>
      <c r="B7108" s="4">
        <v>57810</v>
      </c>
      <c r="C7108" s="4">
        <v>5340</v>
      </c>
      <c r="D7108" s="5" t="s">
        <v>9935</v>
      </c>
      <c r="E7108" s="6" t="str">
        <f>HYPERLINK("https://inpn.mnhn.fr/espece/cd_nom/57810","Cladonia fimbriata (L.) Fr., 1831")</f>
        <v>Cladonia fimbriata (L.) Fr., 1831</v>
      </c>
      <c r="AH7108" s="4" t="str">
        <f>HYPERLINK("#Statut_biogéographique!A"&amp;_xlfn.XMATCH("P",Statut_biogéographique!A:A,2,1),"P")</f>
        <v>P</v>
      </c>
      <c r="AP7108" s="4" t="s">
        <v>376</v>
      </c>
      <c r="AR7108" s="4" t="s">
        <v>377</v>
      </c>
    </row>
    <row r="7109" spans="1:44">
      <c r="A7109" s="4" t="s">
        <v>5</v>
      </c>
      <c r="B7109" s="4">
        <v>57815</v>
      </c>
      <c r="C7109" s="4">
        <v>6586</v>
      </c>
      <c r="D7109" s="5" t="s">
        <v>9936</v>
      </c>
      <c r="E7109" s="6" t="str">
        <f>HYPERLINK("https://inpn.mnhn.fr/espece/cd_nom/57815","Cladonia symphycarpia (Ach.) Fr., 1826")</f>
        <v>Cladonia symphycarpia (Ach.) Fr., 1826</v>
      </c>
      <c r="AH7109" s="4" t="str">
        <f>HYPERLINK("#Statut_biogéographique!A"&amp;_xlfn.XMATCH("P",Statut_biogéographique!A:A,2,1),"P")</f>
        <v>P</v>
      </c>
      <c r="AP7109" s="4" t="s">
        <v>376</v>
      </c>
      <c r="AR7109" s="4" t="s">
        <v>377</v>
      </c>
    </row>
    <row r="7110" spans="1:44">
      <c r="A7110" s="4" t="s">
        <v>5</v>
      </c>
      <c r="B7110" s="4">
        <v>57817</v>
      </c>
      <c r="C7110" s="4">
        <v>6547</v>
      </c>
      <c r="D7110" s="5">
        <v>57817</v>
      </c>
      <c r="E7110" s="6" t="str">
        <f>HYPERLINK("https://inpn.mnhn.fr/espece/cd_nom/57817","Cladonia parasitica (Hoffm.) Hoffm., 1796")</f>
        <v>Cladonia parasitica (Hoffm.) Hoffm., 1796</v>
      </c>
      <c r="AH7110" s="4" t="str">
        <f>HYPERLINK("#Statut_biogéographique!A"&amp;_xlfn.XMATCH("P",Statut_biogéographique!A:A,2,1),"P")</f>
        <v>P</v>
      </c>
      <c r="AP7110" s="4" t="s">
        <v>376</v>
      </c>
      <c r="AR7110" s="4" t="s">
        <v>377</v>
      </c>
    </row>
    <row r="7111" spans="1:44">
      <c r="A7111" s="4" t="s">
        <v>5</v>
      </c>
      <c r="B7111" s="4">
        <v>57832</v>
      </c>
      <c r="C7111" s="4">
        <v>6653</v>
      </c>
      <c r="D7111" s="5">
        <v>57832</v>
      </c>
      <c r="E7111" s="6" t="str">
        <f>HYPERLINK("https://inpn.mnhn.fr/espece/cd_nom/57832","Cladonia foliacea (Huds.) Willd., 1787")</f>
        <v>Cladonia foliacea (Huds.) Willd., 1787</v>
      </c>
      <c r="AH7111" s="4" t="str">
        <f>HYPERLINK("#Statut_biogéographique!A"&amp;_xlfn.XMATCH("P",Statut_biogéographique!A:A,2,1),"P")</f>
        <v>P</v>
      </c>
      <c r="AP7111" s="4" t="s">
        <v>376</v>
      </c>
      <c r="AR7111" s="4" t="s">
        <v>377</v>
      </c>
    </row>
    <row r="7112" spans="1:44">
      <c r="A7112" s="4" t="s">
        <v>5</v>
      </c>
      <c r="B7112" s="4">
        <v>57969</v>
      </c>
      <c r="D7112" s="5" t="s">
        <v>9937</v>
      </c>
      <c r="E7112" s="6" t="str">
        <f>HYPERLINK("https://inpn.mnhn.fr/espece/cd_nom/57969","Lasallia pustulata (L.) Mérat, 1821")</f>
        <v>Lasallia pustulata (L.) Mérat, 1821</v>
      </c>
      <c r="AH7112" s="4" t="str">
        <f>HYPERLINK("#Statut_biogéographique!A"&amp;_xlfn.XMATCH("P",Statut_biogéographique!A:A,2,1),"P")</f>
        <v>P</v>
      </c>
      <c r="AP7112" s="4" t="s">
        <v>376</v>
      </c>
      <c r="AR7112" s="4" t="s">
        <v>377</v>
      </c>
    </row>
    <row r="7113" spans="1:44">
      <c r="A7113" s="4" t="s">
        <v>5</v>
      </c>
      <c r="B7113" s="4">
        <v>58214</v>
      </c>
      <c r="D7113" s="5" t="s">
        <v>9938</v>
      </c>
      <c r="E7113" s="6" t="str">
        <f>HYPERLINK("https://inpn.mnhn.fr/espece/cd_nom/58214","Pertusaria amara (Ach.) Nyl., 1872")</f>
        <v>Pertusaria amara (Ach.) Nyl., 1872</v>
      </c>
      <c r="AH7113" s="4" t="str">
        <f>HYPERLINK("#Statut_biogéographique!A"&amp;_xlfn.XMATCH("P",Statut_biogéographique!A:A,2,1),"P")</f>
        <v>P</v>
      </c>
      <c r="AP7113" s="4" t="s">
        <v>376</v>
      </c>
      <c r="AR7113" s="4" t="s">
        <v>377</v>
      </c>
    </row>
    <row r="7114" spans="1:44">
      <c r="A7114" s="4" t="s">
        <v>5</v>
      </c>
      <c r="B7114" s="4">
        <v>58230</v>
      </c>
      <c r="D7114" s="5" t="s">
        <v>9939</v>
      </c>
      <c r="E7114" s="6" t="str">
        <f>HYPERLINK("https://inpn.mnhn.fr/espece/cd_nom/58230","Pertusaria hymenea (Ach.) Schaer., 1836")</f>
        <v>Pertusaria hymenea (Ach.) Schaer., 1836</v>
      </c>
      <c r="AH7114" s="4" t="str">
        <f>HYPERLINK("#Statut_biogéographique!A"&amp;_xlfn.XMATCH("P",Statut_biogéographique!A:A,2,1),"P")</f>
        <v>P</v>
      </c>
      <c r="AP7114" s="4" t="s">
        <v>376</v>
      </c>
      <c r="AR7114" s="4" t="s">
        <v>377</v>
      </c>
    </row>
    <row r="7115" spans="1:44" ht="30">
      <c r="A7115" s="4" t="s">
        <v>5</v>
      </c>
      <c r="B7115" s="4">
        <v>58289</v>
      </c>
      <c r="D7115" s="5" t="s">
        <v>9940</v>
      </c>
      <c r="E7115" s="6" t="str">
        <f>HYPERLINK("https://inpn.mnhn.fr/espece/cd_nom/58289","Pertusaria rupestris (DC.) Schaer., 1836")</f>
        <v>Pertusaria rupestris (DC.) Schaer., 1836</v>
      </c>
      <c r="AH7115" s="4" t="str">
        <f>HYPERLINK("#Statut_biogéographique!A"&amp;_xlfn.XMATCH("P",Statut_biogéographique!A:A,2,1),"P")</f>
        <v>P</v>
      </c>
      <c r="AP7115" s="4" t="s">
        <v>376</v>
      </c>
      <c r="AR7115" s="4" t="s">
        <v>377</v>
      </c>
    </row>
    <row r="7116" spans="1:44">
      <c r="A7116" s="4" t="s">
        <v>5</v>
      </c>
      <c r="B7116" s="4">
        <v>58335</v>
      </c>
      <c r="D7116" s="5" t="s">
        <v>9941</v>
      </c>
      <c r="E7116" s="6" t="str">
        <f>HYPERLINK("https://inpn.mnhn.fr/espece/cd_nom/58335","Phlyctis agelaea (Ach.) Flot., 1850")</f>
        <v>Phlyctis agelaea (Ach.) Flot., 1850</v>
      </c>
      <c r="AH7116" s="4" t="str">
        <f>HYPERLINK("#Statut_biogéographique!A"&amp;_xlfn.XMATCH("P",Statut_biogéographique!A:A,2,1),"P")</f>
        <v>P</v>
      </c>
      <c r="AP7116" s="4" t="s">
        <v>376</v>
      </c>
      <c r="AR7116" s="4" t="s">
        <v>377</v>
      </c>
    </row>
    <row r="7117" spans="1:44" ht="30">
      <c r="A7117" s="4" t="s">
        <v>5</v>
      </c>
      <c r="B7117" s="4">
        <v>58406</v>
      </c>
      <c r="D7117" s="5" t="s">
        <v>9942</v>
      </c>
      <c r="E7117" s="6" t="str">
        <f>HYPERLINK("https://inpn.mnhn.fr/espece/cd_nom/58406","Aspicilia cinerea (L.) Körb., 1855")</f>
        <v>Aspicilia cinerea (L.) Körb., 1855</v>
      </c>
      <c r="AH7117" s="4" t="str">
        <f>HYPERLINK("#Statut_biogéographique!A"&amp;_xlfn.XMATCH("P",Statut_biogéographique!A:A,2,1),"P")</f>
        <v>P</v>
      </c>
      <c r="AP7117" s="4" t="s">
        <v>376</v>
      </c>
      <c r="AR7117" s="4" t="s">
        <v>377</v>
      </c>
    </row>
    <row r="7118" spans="1:44">
      <c r="A7118" s="4" t="s">
        <v>5</v>
      </c>
      <c r="B7118" s="4">
        <v>58430</v>
      </c>
      <c r="C7118" s="4">
        <v>4583</v>
      </c>
      <c r="D7118" s="5" t="s">
        <v>9943</v>
      </c>
      <c r="E7118" s="6" t="str">
        <f>HYPERLINK("https://inpn.mnhn.fr/espece/cd_nom/58430","Aspicilia calcarea (L.) Körb., 1859")</f>
        <v>Aspicilia calcarea (L.) Körb., 1859</v>
      </c>
      <c r="AH7118" s="4" t="str">
        <f>HYPERLINK("#Statut_biogéographique!A"&amp;_xlfn.XMATCH("P",Statut_biogéographique!A:A,2,1),"P")</f>
        <v>P</v>
      </c>
      <c r="AP7118" s="4" t="s">
        <v>376</v>
      </c>
      <c r="AR7118" s="4" t="s">
        <v>377</v>
      </c>
    </row>
    <row r="7119" spans="1:44">
      <c r="A7119" s="4" t="s">
        <v>5</v>
      </c>
      <c r="B7119" s="4">
        <v>58502</v>
      </c>
      <c r="C7119" s="4">
        <v>5958</v>
      </c>
      <c r="D7119" s="5" t="s">
        <v>9944</v>
      </c>
      <c r="E7119" s="6" t="str">
        <f>HYPERLINK("https://inpn.mnhn.fr/espece/cd_nom/58502","Lecanora expallens Ach., 1810")</f>
        <v>Lecanora expallens Ach., 1810</v>
      </c>
      <c r="AH7119" s="4" t="str">
        <f>HYPERLINK("#Statut_biogéographique!A"&amp;_xlfn.XMATCH("P",Statut_biogéographique!A:A,2,1),"P")</f>
        <v>P</v>
      </c>
      <c r="AP7119" s="4" t="s">
        <v>376</v>
      </c>
      <c r="AR7119" s="4" t="s">
        <v>377</v>
      </c>
    </row>
    <row r="7120" spans="1:44" ht="45">
      <c r="A7120" s="4" t="s">
        <v>5</v>
      </c>
      <c r="B7120" s="4">
        <v>58503</v>
      </c>
      <c r="C7120" s="4">
        <v>6517</v>
      </c>
      <c r="D7120" s="5" t="s">
        <v>9945</v>
      </c>
      <c r="E7120" s="6" t="str">
        <f>HYPERLINK("https://inpn.mnhn.fr/espece/cd_nom/58503","Lecanora carpinea (L.) Vain., 1888")</f>
        <v>Lecanora carpinea (L.) Vain., 1888</v>
      </c>
      <c r="AH7120" s="4" t="str">
        <f>HYPERLINK("#Statut_biogéographique!A"&amp;_xlfn.XMATCH("P",Statut_biogéographique!A:A,2,1),"P")</f>
        <v>P</v>
      </c>
      <c r="AP7120" s="4" t="s">
        <v>376</v>
      </c>
      <c r="AR7120" s="4" t="s">
        <v>377</v>
      </c>
    </row>
    <row r="7121" spans="1:44">
      <c r="A7121" s="4" t="s">
        <v>5</v>
      </c>
      <c r="B7121" s="4">
        <v>58557</v>
      </c>
      <c r="D7121" s="5">
        <v>58557</v>
      </c>
      <c r="E7121" s="6" t="str">
        <f>HYPERLINK("https://inpn.mnhn.fr/espece/cd_nom/58557","Lecanora chlarotera Nyl., 1872")</f>
        <v>Lecanora chlarotera Nyl., 1872</v>
      </c>
      <c r="AH7121" s="4" t="str">
        <f>HYPERLINK("#Statut_biogéographique!A"&amp;_xlfn.XMATCH("P",Statut_biogéographique!A:A,2,1),"P")</f>
        <v>P</v>
      </c>
      <c r="AP7121" s="4" t="s">
        <v>376</v>
      </c>
      <c r="AR7121" s="4" t="s">
        <v>377</v>
      </c>
    </row>
    <row r="7122" spans="1:44" ht="30">
      <c r="A7122" s="4" t="s">
        <v>5</v>
      </c>
      <c r="B7122" s="4">
        <v>58605</v>
      </c>
      <c r="C7122" s="4">
        <v>6743</v>
      </c>
      <c r="D7122" s="5" t="s">
        <v>9946</v>
      </c>
      <c r="E7122" s="6" t="str">
        <f>HYPERLINK("https://inpn.mnhn.fr/espece/cd_nom/58605","Lecanora pulicaris (Pers.) Ach., 1814")</f>
        <v>Lecanora pulicaris (Pers.) Ach., 1814</v>
      </c>
      <c r="AH7122" s="4" t="str">
        <f>HYPERLINK("#Statut_biogéographique!A"&amp;_xlfn.XMATCH("P",Statut_biogéographique!A:A,2,1),"P")</f>
        <v>P</v>
      </c>
      <c r="AP7122" s="4" t="s">
        <v>376</v>
      </c>
      <c r="AR7122" s="4" t="s">
        <v>377</v>
      </c>
    </row>
    <row r="7123" spans="1:44">
      <c r="A7123" s="4" t="s">
        <v>5</v>
      </c>
      <c r="B7123" s="4">
        <v>58623</v>
      </c>
      <c r="C7123" s="4">
        <v>5970</v>
      </c>
      <c r="D7123" s="5" t="s">
        <v>9947</v>
      </c>
      <c r="E7123" s="6" t="str">
        <f>HYPERLINK("https://inpn.mnhn.fr/espece/cd_nom/58623","Lecanora conizaeoides Nyl. ex Cromb., 1885")</f>
        <v>Lecanora conizaeoides Nyl. ex Cromb., 1885</v>
      </c>
      <c r="AH7123" s="4" t="str">
        <f>HYPERLINK("#Statut_biogéographique!A"&amp;_xlfn.XMATCH("P",Statut_biogéographique!A:A,2,1),"P")</f>
        <v>P</v>
      </c>
      <c r="AP7123" s="4" t="s">
        <v>376</v>
      </c>
      <c r="AR7123" s="4" t="s">
        <v>377</v>
      </c>
    </row>
    <row r="7124" spans="1:44" ht="30">
      <c r="A7124" s="4" t="s">
        <v>5</v>
      </c>
      <c r="B7124" s="4">
        <v>58678</v>
      </c>
      <c r="D7124" s="5" t="s">
        <v>9948</v>
      </c>
      <c r="E7124" s="6" t="str">
        <f>HYPERLINK("https://inpn.mnhn.fr/espece/cd_nom/58678","Protoparmelia badia (Hoffm.) Hafellner, 1984")</f>
        <v>Protoparmelia badia (Hoffm.) Hafellner, 1984</v>
      </c>
      <c r="AH7124" s="4" t="str">
        <f>HYPERLINK("#Statut_biogéographique!A"&amp;_xlfn.XMATCH("P",Statut_biogéographique!A:A,2,1),"P")</f>
        <v>P</v>
      </c>
      <c r="AP7124" s="4" t="s">
        <v>376</v>
      </c>
      <c r="AR7124" s="4" t="s">
        <v>377</v>
      </c>
    </row>
    <row r="7125" spans="1:44" ht="45">
      <c r="A7125" s="4" t="s">
        <v>5</v>
      </c>
      <c r="B7125" s="4">
        <v>58693</v>
      </c>
      <c r="D7125" s="5" t="s">
        <v>9949</v>
      </c>
      <c r="E7125" s="6" t="str">
        <f>HYPERLINK("https://inpn.mnhn.fr/espece/cd_nom/58693","Squamarina gypsacea (Sm.) Poelt, 1958")</f>
        <v>Squamarina gypsacea (Sm.) Poelt, 1958</v>
      </c>
      <c r="AH7125" s="4" t="str">
        <f>HYPERLINK("#Statut_biogéographique!A"&amp;_xlfn.XMATCH("P",Statut_biogéographique!A:A,2,1),"P")</f>
        <v>P</v>
      </c>
      <c r="AP7125" s="4" t="s">
        <v>376</v>
      </c>
      <c r="AR7125" s="4" t="s">
        <v>377</v>
      </c>
    </row>
    <row r="7126" spans="1:44" ht="45">
      <c r="A7126" s="4" t="s">
        <v>5</v>
      </c>
      <c r="B7126" s="4">
        <v>58697</v>
      </c>
      <c r="D7126" s="5" t="s">
        <v>9950</v>
      </c>
      <c r="E7126" s="6" t="str">
        <f>HYPERLINK("https://inpn.mnhn.fr/espece/cd_nom/58697","Squamarina cartilaginea (With.) P.James, 1980")</f>
        <v>Squamarina cartilaginea (With.) P.James, 1980</v>
      </c>
      <c r="AH7126" s="4" t="str">
        <f>HYPERLINK("#Statut_biogéographique!A"&amp;_xlfn.XMATCH("P",Statut_biogéographique!A:A,2,1),"P")</f>
        <v>P</v>
      </c>
      <c r="AP7126" s="4" t="s">
        <v>376</v>
      </c>
      <c r="AR7126" s="4" t="s">
        <v>377</v>
      </c>
    </row>
    <row r="7127" spans="1:44" ht="30">
      <c r="A7127" s="4" t="s">
        <v>5</v>
      </c>
      <c r="B7127" s="4">
        <v>58805</v>
      </c>
      <c r="C7127" s="4">
        <v>4569</v>
      </c>
      <c r="D7127" s="5" t="s">
        <v>9951</v>
      </c>
      <c r="E7127" s="6" t="str">
        <f>HYPERLINK("https://inpn.mnhn.fr/espece/cd_nom/58805","Hypogymnia physodes (L.) Nyl., 1896")</f>
        <v>Hypogymnia physodes (L.) Nyl., 1896</v>
      </c>
      <c r="AH7127" s="4" t="str">
        <f>HYPERLINK("#Statut_biogéographique!A"&amp;_xlfn.XMATCH("P",Statut_biogéographique!A:A,2,1),"P")</f>
        <v>P</v>
      </c>
      <c r="AP7127" s="4" t="s">
        <v>376</v>
      </c>
      <c r="AR7127" s="4" t="s">
        <v>377</v>
      </c>
    </row>
    <row r="7128" spans="1:44">
      <c r="A7128" s="4" t="s">
        <v>5</v>
      </c>
      <c r="B7128" s="4">
        <v>58810</v>
      </c>
      <c r="C7128" s="4">
        <v>4581</v>
      </c>
      <c r="D7128" s="5" t="s">
        <v>9952</v>
      </c>
      <c r="E7128" s="6" t="str">
        <f>HYPERLINK("https://inpn.mnhn.fr/espece/cd_nom/58810","Hypogymnia tubulosa (Schaer.) Hav., 1918")</f>
        <v>Hypogymnia tubulosa (Schaer.) Hav., 1918</v>
      </c>
      <c r="AH7128" s="4" t="str">
        <f>HYPERLINK("#Statut_biogéographique!A"&amp;_xlfn.XMATCH("P",Statut_biogéographique!A:A,2,1),"P")</f>
        <v>P</v>
      </c>
      <c r="AP7128" s="4" t="s">
        <v>376</v>
      </c>
      <c r="AR7128" s="4" t="s">
        <v>377</v>
      </c>
    </row>
    <row r="7129" spans="1:44" ht="30">
      <c r="A7129" s="4" t="s">
        <v>5</v>
      </c>
      <c r="B7129" s="4">
        <v>58844</v>
      </c>
      <c r="D7129" s="5" t="s">
        <v>9953</v>
      </c>
      <c r="E7129" s="6" t="str">
        <f>HYPERLINK("https://inpn.mnhn.fr/espece/cd_nom/58844","Xanthoparmelia conspersa (Ehrh. ex Ach.) Hale, 1974")</f>
        <v>Xanthoparmelia conspersa (Ehrh. ex Ach.) Hale, 1974</v>
      </c>
      <c r="AH7129" s="4" t="str">
        <f>HYPERLINK("#Statut_biogéographique!A"&amp;_xlfn.XMATCH("P",Statut_biogéographique!A:A,2,1),"P")</f>
        <v>P</v>
      </c>
      <c r="AP7129" s="4" t="s">
        <v>376</v>
      </c>
      <c r="AR7129" s="4" t="s">
        <v>377</v>
      </c>
    </row>
    <row r="7130" spans="1:44">
      <c r="A7130" s="4" t="s">
        <v>5</v>
      </c>
      <c r="B7130" s="4">
        <v>58888</v>
      </c>
      <c r="D7130" s="5" t="s">
        <v>9954</v>
      </c>
      <c r="E7130" s="6" t="str">
        <f>HYPERLINK("https://inpn.mnhn.fr/espece/cd_nom/58888","Parmelia saxatilis (L.) Ach., 1803")</f>
        <v>Parmelia saxatilis (L.) Ach., 1803</v>
      </c>
      <c r="O7130" s="7" t="str">
        <f>HYPERLINK("#Liste_rouge!A"&amp;_xlfn.XMATCH("LC",Liste_rouge!A:A,2,1),"LC")</f>
        <v>LC</v>
      </c>
      <c r="AH7130" s="4" t="str">
        <f>HYPERLINK("#Statut_biogéographique!A"&amp;_xlfn.XMATCH("P",Statut_biogéographique!A:A,2,1),"P")</f>
        <v>P</v>
      </c>
      <c r="AP7130" s="4" t="s">
        <v>376</v>
      </c>
      <c r="AR7130" s="4" t="s">
        <v>377</v>
      </c>
    </row>
    <row r="7131" spans="1:44">
      <c r="A7131" s="4" t="s">
        <v>5</v>
      </c>
      <c r="B7131" s="4">
        <v>58889</v>
      </c>
      <c r="D7131" s="5" t="s">
        <v>9955</v>
      </c>
      <c r="E7131" s="6" t="str">
        <f>HYPERLINK("https://inpn.mnhn.fr/espece/cd_nom/58889","Parmelia sulcata Taylor, 1836")</f>
        <v>Parmelia sulcata Taylor, 1836</v>
      </c>
      <c r="AH7131" s="4" t="str">
        <f>HYPERLINK("#Statut_biogéographique!A"&amp;_xlfn.XMATCH("P",Statut_biogéographique!A:A,2,1),"P")</f>
        <v>P</v>
      </c>
      <c r="AP7131" s="4" t="s">
        <v>376</v>
      </c>
      <c r="AR7131" s="4" t="s">
        <v>377</v>
      </c>
    </row>
    <row r="7132" spans="1:44">
      <c r="A7132" s="4" t="s">
        <v>5</v>
      </c>
      <c r="B7132" s="4">
        <v>59009</v>
      </c>
      <c r="D7132" s="5" t="s">
        <v>9956</v>
      </c>
      <c r="E7132" s="6" t="str">
        <f>HYPERLINK("https://inpn.mnhn.fr/espece/cd_nom/59009","Pseudevernia furfuracea (L.) Zopf, 1903")</f>
        <v>Pseudevernia furfuracea (L.) Zopf, 1903</v>
      </c>
      <c r="AH7132" s="4" t="str">
        <f>HYPERLINK("#Statut_biogéographique!A"&amp;_xlfn.XMATCH("P",Statut_biogéographique!A:A,2,1),"P")</f>
        <v>P</v>
      </c>
      <c r="AP7132" s="4" t="s">
        <v>376</v>
      </c>
      <c r="AR7132" s="4" t="s">
        <v>377</v>
      </c>
    </row>
    <row r="7133" spans="1:44">
      <c r="A7133" s="4" t="s">
        <v>5</v>
      </c>
      <c r="B7133" s="4">
        <v>59040</v>
      </c>
      <c r="C7133" s="4">
        <v>5259</v>
      </c>
      <c r="D7133" s="5" t="s">
        <v>9957</v>
      </c>
      <c r="E7133" s="6" t="str">
        <f>HYPERLINK("https://inpn.mnhn.fr/espece/cd_nom/59040","Cetraria islandica (L.) Ach., 1803")</f>
        <v>Cetraria islandica (L.) Ach., 1803</v>
      </c>
      <c r="AH7133" s="4" t="str">
        <f>HYPERLINK("#Statut_biogéographique!A"&amp;_xlfn.XMATCH("P",Statut_biogéographique!A:A,2,1),"P")</f>
        <v>P</v>
      </c>
      <c r="AP7133" s="4" t="s">
        <v>376</v>
      </c>
      <c r="AR7133" s="4" t="s">
        <v>377</v>
      </c>
    </row>
    <row r="7134" spans="1:44">
      <c r="A7134" s="4" t="s">
        <v>5</v>
      </c>
      <c r="B7134" s="4">
        <v>59042</v>
      </c>
      <c r="D7134" s="5" t="s">
        <v>9958</v>
      </c>
      <c r="E7134" s="6" t="str">
        <f>HYPERLINK("https://inpn.mnhn.fr/espece/cd_nom/59042","Cetraria sepincola (Hoffm.) Ach., 1803")</f>
        <v>Cetraria sepincola (Hoffm.) Ach., 1803</v>
      </c>
      <c r="AH7134" s="4" t="str">
        <f>HYPERLINK("#Statut_biogéographique!A"&amp;_xlfn.XMATCH("P",Statut_biogéographique!A:A,2,1),"P")</f>
        <v>P</v>
      </c>
      <c r="AP7134" s="4" t="s">
        <v>376</v>
      </c>
      <c r="AR7134" s="4" t="s">
        <v>377</v>
      </c>
    </row>
    <row r="7135" spans="1:44" ht="30">
      <c r="A7135" s="4" t="s">
        <v>5</v>
      </c>
      <c r="B7135" s="4">
        <v>59053</v>
      </c>
      <c r="C7135" s="4">
        <v>4091</v>
      </c>
      <c r="D7135" s="5" t="s">
        <v>9959</v>
      </c>
      <c r="E7135" s="6" t="str">
        <f>HYPERLINK("https://inpn.mnhn.fr/espece/cd_nom/59053","Evernia prunastri (L.) Ach., 1810")</f>
        <v>Evernia prunastri (L.) Ach., 1810</v>
      </c>
      <c r="AH7135" s="4" t="str">
        <f>HYPERLINK("#Statut_biogéographique!A"&amp;_xlfn.XMATCH("P",Statut_biogéographique!A:A,2,1),"P")</f>
        <v>P</v>
      </c>
      <c r="AP7135" s="4" t="s">
        <v>376</v>
      </c>
      <c r="AR7135" s="4" t="s">
        <v>377</v>
      </c>
    </row>
    <row r="7136" spans="1:44">
      <c r="A7136" s="4" t="s">
        <v>5</v>
      </c>
      <c r="B7136" s="4">
        <v>59059</v>
      </c>
      <c r="C7136" s="4">
        <v>3184</v>
      </c>
      <c r="D7136" s="5" t="s">
        <v>9960</v>
      </c>
      <c r="E7136" s="6" t="str">
        <f>HYPERLINK("https://inpn.mnhn.fr/espece/cd_nom/59059","Evernia divaricata (L.) Ach., 1810")</f>
        <v>Evernia divaricata (L.) Ach., 1810</v>
      </c>
      <c r="AH7136" s="4" t="str">
        <f>HYPERLINK("#Statut_biogéographique!A"&amp;_xlfn.XMATCH("P",Statut_biogéographique!A:A,2,1),"P")</f>
        <v>P</v>
      </c>
      <c r="AP7136" s="4" t="s">
        <v>376</v>
      </c>
      <c r="AR7136" s="4" t="s">
        <v>377</v>
      </c>
    </row>
    <row r="7137" spans="1:44" ht="30">
      <c r="A7137" s="4" t="s">
        <v>5</v>
      </c>
      <c r="B7137" s="4">
        <v>59092</v>
      </c>
      <c r="D7137" s="5" t="s">
        <v>9961</v>
      </c>
      <c r="E7137" s="6" t="str">
        <f>HYPERLINK("https://inpn.mnhn.fr/espece/cd_nom/59092","Ramalina farinacea (L.) Ach., 1810")</f>
        <v>Ramalina farinacea (L.) Ach., 1810</v>
      </c>
      <c r="AH7137" s="4" t="str">
        <f>HYPERLINK("#Statut_biogéographique!A"&amp;_xlfn.XMATCH("P",Statut_biogéographique!A:A,2,1),"P")</f>
        <v>P</v>
      </c>
      <c r="AP7137" s="4" t="s">
        <v>376</v>
      </c>
      <c r="AR7137" s="4" t="s">
        <v>377</v>
      </c>
    </row>
    <row r="7138" spans="1:44" ht="30">
      <c r="A7138" s="4" t="s">
        <v>5</v>
      </c>
      <c r="B7138" s="4">
        <v>59150</v>
      </c>
      <c r="D7138" s="5" t="s">
        <v>9962</v>
      </c>
      <c r="E7138" s="6" t="str">
        <f>HYPERLINK("https://inpn.mnhn.fr/espece/cd_nom/59150","Ramalina fraxinea (L.) Ach., 1810")</f>
        <v>Ramalina fraxinea (L.) Ach., 1810</v>
      </c>
      <c r="AH7138" s="4" t="str">
        <f>HYPERLINK("#Statut_biogéographique!A"&amp;_xlfn.XMATCH("P",Statut_biogéographique!A:A,2,1),"P")</f>
        <v>P</v>
      </c>
      <c r="AP7138" s="4" t="s">
        <v>376</v>
      </c>
      <c r="AR7138" s="4" t="s">
        <v>377</v>
      </c>
    </row>
    <row r="7139" spans="1:44" ht="30">
      <c r="A7139" s="4" t="s">
        <v>5</v>
      </c>
      <c r="B7139" s="4">
        <v>59179</v>
      </c>
      <c r="D7139" s="5" t="s">
        <v>9963</v>
      </c>
      <c r="E7139" s="6" t="str">
        <f>HYPERLINK("https://inpn.mnhn.fr/espece/cd_nom/59179","Physconia perisidiosa (Erichsen) Moberg, 1977")</f>
        <v>Physconia perisidiosa (Erichsen) Moberg, 1977</v>
      </c>
      <c r="AH7139" s="4" t="str">
        <f>HYPERLINK("#Statut_biogéographique!A"&amp;_xlfn.XMATCH("P",Statut_biogéographique!A:A,2,1),"P")</f>
        <v>P</v>
      </c>
      <c r="AP7139" s="4" t="s">
        <v>376</v>
      </c>
      <c r="AR7139" s="4" t="s">
        <v>377</v>
      </c>
    </row>
    <row r="7140" spans="1:44">
      <c r="A7140" s="4" t="s">
        <v>5</v>
      </c>
      <c r="B7140" s="4">
        <v>59238</v>
      </c>
      <c r="D7140" s="5" t="s">
        <v>9964</v>
      </c>
      <c r="E7140" s="6" t="str">
        <f>HYPERLINK("https://inpn.mnhn.fr/espece/cd_nom/59238","Chrysothrix candelaris (L.) J.R.Laundon, 1981")</f>
        <v>Chrysothrix candelaris (L.) J.R.Laundon, 1981</v>
      </c>
      <c r="AH7140" s="4" t="str">
        <f>HYPERLINK("#Statut_biogéographique!A"&amp;_xlfn.XMATCH("P",Statut_biogéographique!A:A,2,1),"P")</f>
        <v>P</v>
      </c>
      <c r="AP7140" s="4" t="s">
        <v>376</v>
      </c>
      <c r="AR7140" s="4" t="s">
        <v>377</v>
      </c>
    </row>
    <row r="7141" spans="1:44" ht="30">
      <c r="A7141" s="4" t="s">
        <v>5</v>
      </c>
      <c r="B7141" s="4">
        <v>59312</v>
      </c>
      <c r="D7141" s="5" t="s">
        <v>9965</v>
      </c>
      <c r="E7141" s="6" t="str">
        <f>HYPERLINK("https://inpn.mnhn.fr/espece/cd_nom/59312","Fulgensia fulgens (Sw.) Elenkin, 1907")</f>
        <v>Fulgensia fulgens (Sw.) Elenkin, 1907</v>
      </c>
      <c r="AH7141" s="4" t="str">
        <f>HYPERLINK("#Statut_biogéographique!A"&amp;_xlfn.XMATCH("P",Statut_biogéographique!A:A,2,1),"P")</f>
        <v>P</v>
      </c>
      <c r="AP7141" s="4" t="s">
        <v>376</v>
      </c>
      <c r="AR7141" s="4" t="s">
        <v>377</v>
      </c>
    </row>
    <row r="7142" spans="1:44" ht="30">
      <c r="A7142" s="4" t="s">
        <v>5</v>
      </c>
      <c r="B7142" s="4">
        <v>59356</v>
      </c>
      <c r="D7142" s="5" t="s">
        <v>9966</v>
      </c>
      <c r="E7142" s="6" t="str">
        <f>HYPERLINK("https://inpn.mnhn.fr/espece/cd_nom/59356","Caloplaca citrina (Hoffm.) Th.Fr., 1861")</f>
        <v>Caloplaca citrina (Hoffm.) Th.Fr., 1861</v>
      </c>
      <c r="AH7142" s="4" t="str">
        <f>HYPERLINK("#Statut_biogéographique!A"&amp;_xlfn.XMATCH("P",Statut_biogéographique!A:A,2,1),"P")</f>
        <v>P</v>
      </c>
      <c r="AP7142" s="4" t="s">
        <v>376</v>
      </c>
      <c r="AR7142" s="4" t="s">
        <v>377</v>
      </c>
    </row>
    <row r="7143" spans="1:44" ht="30">
      <c r="A7143" s="4" t="s">
        <v>5</v>
      </c>
      <c r="B7143" s="4">
        <v>59451</v>
      </c>
      <c r="D7143" s="5" t="s">
        <v>9967</v>
      </c>
      <c r="E7143" s="6" t="str">
        <f>HYPERLINK("https://inpn.mnhn.fr/espece/cd_nom/59451","Lepraria incana (L.) Ach., 1803")</f>
        <v>Lepraria incana (L.) Ach., 1803</v>
      </c>
      <c r="AH7143" s="4" t="str">
        <f>HYPERLINK("#Statut_biogéographique!A"&amp;_xlfn.XMATCH("P",Statut_biogéographique!A:A,2,1),"P")</f>
        <v>P</v>
      </c>
      <c r="AP7143" s="4" t="s">
        <v>376</v>
      </c>
      <c r="AR7143" s="4" t="s">
        <v>377</v>
      </c>
    </row>
    <row r="7144" spans="1:44">
      <c r="A7144" s="4" t="s">
        <v>5</v>
      </c>
      <c r="B7144" s="4">
        <v>59455</v>
      </c>
      <c r="D7144" s="5" t="s">
        <v>9968</v>
      </c>
      <c r="E7144" s="6" t="str">
        <f>HYPERLINK("https://inpn.mnhn.fr/espece/cd_nom/59455","Lepraria crassissima (Hue) Lettau, 1958")</f>
        <v>Lepraria crassissima (Hue) Lettau, 1958</v>
      </c>
      <c r="AH7144" s="4" t="str">
        <f>HYPERLINK("#Statut_biogéographique!A"&amp;_xlfn.XMATCH("P",Statut_biogéographique!A:A,2,1),"P")</f>
        <v>P</v>
      </c>
      <c r="AP7144" s="4" t="s">
        <v>376</v>
      </c>
      <c r="AR7144" s="4" t="s">
        <v>377</v>
      </c>
    </row>
    <row r="7145" spans="1:44" ht="30">
      <c r="A7145" s="4" t="s">
        <v>5</v>
      </c>
      <c r="B7145" s="4">
        <v>59464</v>
      </c>
      <c r="D7145" s="5" t="s">
        <v>9969</v>
      </c>
      <c r="E7145" s="6" t="str">
        <f>HYPERLINK("https://inpn.mnhn.fr/espece/cd_nom/59464","Cystocoleus ebeneus (Dillwyn) Thwaites, 1849")</f>
        <v>Cystocoleus ebeneus (Dillwyn) Thwaites, 1849</v>
      </c>
      <c r="AH7145" s="4" t="str">
        <f>HYPERLINK("#Statut_biogéographique!A"&amp;_xlfn.XMATCH("P",Statut_biogéographique!A:A,2,1),"P")</f>
        <v>P</v>
      </c>
      <c r="AP7145" s="4" t="s">
        <v>376</v>
      </c>
      <c r="AR7145" s="4" t="s">
        <v>377</v>
      </c>
    </row>
    <row r="7146" spans="1:44" ht="30">
      <c r="A7146" s="4" t="s">
        <v>5</v>
      </c>
      <c r="B7146" s="4">
        <v>59510</v>
      </c>
      <c r="C7146" s="4">
        <v>6580</v>
      </c>
      <c r="D7146" s="5" t="s">
        <v>9970</v>
      </c>
      <c r="E7146" s="6" t="str">
        <f>HYPERLINK("https://inpn.mnhn.fr/espece/cd_nom/59510","Caloplaca aurantia (Pers.) Hellb., 1890")</f>
        <v>Caloplaca aurantia (Pers.) Hellb., 1890</v>
      </c>
      <c r="AH7146" s="4" t="str">
        <f>HYPERLINK("#Statut_biogéographique!A"&amp;_xlfn.XMATCH("P",Statut_biogéographique!A:A,2,1),"P")</f>
        <v>P</v>
      </c>
      <c r="AP7146" s="4" t="s">
        <v>376</v>
      </c>
      <c r="AR7146" s="4" t="s">
        <v>377</v>
      </c>
    </row>
    <row r="7147" spans="1:44" ht="30">
      <c r="A7147" s="4" t="s">
        <v>5</v>
      </c>
      <c r="B7147" s="4">
        <v>59516</v>
      </c>
      <c r="D7147" s="5" t="s">
        <v>9971</v>
      </c>
      <c r="E7147" s="6" t="str">
        <f>HYPERLINK("https://inpn.mnhn.fr/espece/cd_nom/59516","Caloplaca flavescens (Huds.) J.R.Laundon, 1984")</f>
        <v>Caloplaca flavescens (Huds.) J.R.Laundon, 1984</v>
      </c>
      <c r="AH7147" s="4" t="str">
        <f>HYPERLINK("#Statut_biogéographique!A"&amp;_xlfn.XMATCH("P",Statut_biogéographique!A:A,2,1),"P")</f>
        <v>P</v>
      </c>
      <c r="AP7147" s="4" t="s">
        <v>376</v>
      </c>
      <c r="AR7147" s="4" t="s">
        <v>377</v>
      </c>
    </row>
    <row r="7148" spans="1:44" ht="45">
      <c r="A7148" s="4" t="s">
        <v>5</v>
      </c>
      <c r="B7148" s="4">
        <v>59539</v>
      </c>
      <c r="D7148" s="5" t="s">
        <v>9972</v>
      </c>
      <c r="E7148" s="6" t="str">
        <f>HYPERLINK("https://inpn.mnhn.fr/espece/cd_nom/59539","Caloplaca saxicola (Hoffm.) Nordin, 1972")</f>
        <v>Caloplaca saxicola (Hoffm.) Nordin, 1972</v>
      </c>
      <c r="AH7148" s="4" t="str">
        <f>HYPERLINK("#Statut_biogéographique!A"&amp;_xlfn.XMATCH("P",Statut_biogéographique!A:A,2,1),"P")</f>
        <v>P</v>
      </c>
      <c r="AP7148" s="4" t="s">
        <v>376</v>
      </c>
      <c r="AR7148" s="4" t="s">
        <v>377</v>
      </c>
    </row>
    <row r="7149" spans="1:44" ht="30">
      <c r="A7149" s="4" t="s">
        <v>5</v>
      </c>
      <c r="B7149" s="4">
        <v>59568</v>
      </c>
      <c r="D7149" s="5" t="s">
        <v>9973</v>
      </c>
      <c r="E7149" s="6" t="str">
        <f>HYPERLINK("https://inpn.mnhn.fr/espece/cd_nom/59568","Xanthoria parietina (L.) Th.Fr., 1860")</f>
        <v>Xanthoria parietina (L.) Th.Fr., 1860</v>
      </c>
      <c r="F7149" s="5" t="s">
        <v>9974</v>
      </c>
      <c r="AH7149" s="4" t="str">
        <f>HYPERLINK("#Statut_biogéographique!A"&amp;_xlfn.XMATCH("P",Statut_biogéographique!A:A,2,1),"P")</f>
        <v>P</v>
      </c>
      <c r="AP7149" s="4" t="s">
        <v>376</v>
      </c>
      <c r="AR7149" s="4" t="s">
        <v>377</v>
      </c>
    </row>
    <row r="7150" spans="1:44">
      <c r="A7150" s="4" t="s">
        <v>5</v>
      </c>
      <c r="B7150" s="4">
        <v>59695</v>
      </c>
      <c r="D7150" s="5" t="s">
        <v>9975</v>
      </c>
      <c r="E7150" s="6" t="str">
        <f>HYPERLINK("https://inpn.mnhn.fr/espece/cd_nom/59695","Buellia pseudopetraea (Nyl.) Boistel, 1903")</f>
        <v>Buellia pseudopetraea (Nyl.) Boistel, 1903</v>
      </c>
      <c r="AH7150" s="4" t="str">
        <f>HYPERLINK("#Statut_biogéographique!A"&amp;_xlfn.XMATCH("P",Statut_biogéographique!A:A,2,1),"P")</f>
        <v>P</v>
      </c>
      <c r="AP7150" s="4" t="s">
        <v>376</v>
      </c>
      <c r="AR7150" s="4" t="s">
        <v>377</v>
      </c>
    </row>
    <row r="7151" spans="1:44" ht="30">
      <c r="A7151" s="4" t="s">
        <v>5</v>
      </c>
      <c r="B7151" s="4">
        <v>59709</v>
      </c>
      <c r="D7151" s="5" t="s">
        <v>9976</v>
      </c>
      <c r="E7151" s="6" t="str">
        <f>HYPERLINK("https://inpn.mnhn.fr/espece/cd_nom/59709","Diplotomma alboatrum (Hoffm.) Flot., 1849")</f>
        <v>Diplotomma alboatrum (Hoffm.) Flot., 1849</v>
      </c>
      <c r="AH7151" s="4" t="str">
        <f>HYPERLINK("#Statut_biogéographique!A"&amp;_xlfn.XMATCH("P",Statut_biogéographique!A:A,2,1),"P")</f>
        <v>P</v>
      </c>
      <c r="AP7151" s="4" t="s">
        <v>376</v>
      </c>
      <c r="AR7151" s="4" t="s">
        <v>377</v>
      </c>
    </row>
    <row r="7152" spans="1:44">
      <c r="A7152" s="4" t="s">
        <v>5</v>
      </c>
      <c r="B7152" s="4">
        <v>59906</v>
      </c>
      <c r="D7152" s="5" t="s">
        <v>9977</v>
      </c>
      <c r="E7152" s="6" t="str">
        <f>HYPERLINK("https://inpn.mnhn.fr/espece/cd_nom/59906","Physcia leptalea (Ach.) DC., 1805")</f>
        <v>Physcia leptalea (Ach.) DC., 1805</v>
      </c>
      <c r="AH7152" s="4" t="str">
        <f>HYPERLINK("#Statut_biogéographique!A"&amp;_xlfn.XMATCH("P",Statut_biogéographique!A:A,2,1),"P")</f>
        <v>P</v>
      </c>
      <c r="AP7152" s="4" t="s">
        <v>376</v>
      </c>
      <c r="AR7152" s="4" t="s">
        <v>377</v>
      </c>
    </row>
    <row r="7153" spans="1:44">
      <c r="A7153" s="4" t="s">
        <v>5</v>
      </c>
      <c r="B7153" s="4">
        <v>59907</v>
      </c>
      <c r="D7153" s="5" t="s">
        <v>9978</v>
      </c>
      <c r="E7153" s="6" t="str">
        <f>HYPERLINK("https://inpn.mnhn.fr/espece/cd_nom/59907","Physcia tenella (Scop.) DC., 1805")</f>
        <v>Physcia tenella (Scop.) DC., 1805</v>
      </c>
      <c r="AH7153" s="4" t="str">
        <f>HYPERLINK("#Statut_biogéographique!A"&amp;_xlfn.XMATCH("P",Statut_biogéographique!A:A,2,1),"P")</f>
        <v>P</v>
      </c>
      <c r="AP7153" s="4" t="s">
        <v>376</v>
      </c>
      <c r="AR7153" s="4" t="s">
        <v>377</v>
      </c>
    </row>
    <row r="7154" spans="1:44">
      <c r="A7154" s="4" t="s">
        <v>5</v>
      </c>
      <c r="B7154" s="4">
        <v>59911</v>
      </c>
      <c r="D7154" s="5" t="s">
        <v>9979</v>
      </c>
      <c r="E7154" s="6" t="str">
        <f>HYPERLINK("https://inpn.mnhn.fr/espece/cd_nom/59911","Physcia adscendens H.Olivier, 1882")</f>
        <v>Physcia adscendens H.Olivier, 1882</v>
      </c>
      <c r="AH7154" s="4" t="str">
        <f>HYPERLINK("#Statut_biogéographique!A"&amp;_xlfn.XMATCH("P",Statut_biogéographique!A:A,2,1),"P")</f>
        <v>P</v>
      </c>
      <c r="AP7154" s="4" t="s">
        <v>376</v>
      </c>
      <c r="AR7154" s="4" t="s">
        <v>377</v>
      </c>
    </row>
    <row r="7155" spans="1:44">
      <c r="A7155" s="4" t="s">
        <v>5</v>
      </c>
      <c r="B7155" s="4">
        <v>59979</v>
      </c>
      <c r="D7155" s="5" t="s">
        <v>9980</v>
      </c>
      <c r="E7155" s="6" t="str">
        <f>HYPERLINK("https://inpn.mnhn.fr/espece/cd_nom/59979","Physconia distorta (With.) J.R.Laundon, 1984")</f>
        <v>Physconia distorta (With.) J.R.Laundon, 1984</v>
      </c>
      <c r="AH7155" s="4" t="str">
        <f>HYPERLINK("#Statut_biogéographique!A"&amp;_xlfn.XMATCH("P",Statut_biogéographique!A:A,2,1),"P")</f>
        <v>P</v>
      </c>
      <c r="AP7155" s="4" t="s">
        <v>376</v>
      </c>
      <c r="AR7155" s="4" t="s">
        <v>377</v>
      </c>
    </row>
    <row r="7156" spans="1:44" ht="30">
      <c r="A7156" s="4" t="s">
        <v>5</v>
      </c>
      <c r="B7156" s="4">
        <v>653231</v>
      </c>
      <c r="D7156" s="5" t="s">
        <v>9981</v>
      </c>
      <c r="E7156" s="6" t="str">
        <f>HYPERLINK("https://inpn.mnhn.fr/espece/cd_nom/653231","Clauzadea immersa (Hoffm.) Hafellner &amp; Bellem., 1984")</f>
        <v>Clauzadea immersa (Hoffm.) Hafellner &amp; Bellem., 1984</v>
      </c>
      <c r="AH7156" s="4" t="str">
        <f>HYPERLINK("#Statut_biogéographique!A"&amp;_xlfn.XMATCH("P",Statut_biogéographique!A:A,2,1),"P")</f>
        <v>P</v>
      </c>
      <c r="AP7156" s="4" t="s">
        <v>376</v>
      </c>
      <c r="AR7156" s="4" t="s">
        <v>377</v>
      </c>
    </row>
    <row r="7157" spans="1:44">
      <c r="A7157" s="4" t="s">
        <v>5</v>
      </c>
      <c r="B7157" s="4">
        <v>653909</v>
      </c>
      <c r="D7157" s="5" t="s">
        <v>9982</v>
      </c>
      <c r="E7157" s="6" t="str">
        <f>HYPERLINK("https://inpn.mnhn.fr/espece/cd_nom/653909","Hypotrachyna revoluta (Flörke) Hale, 1975")</f>
        <v>Hypotrachyna revoluta (Flörke) Hale, 1975</v>
      </c>
      <c r="AH7157" s="4" t="str">
        <f>HYPERLINK("#Statut_biogéographique!A"&amp;_xlfn.XMATCH("P",Statut_biogéographique!A:A,2,1),"P")</f>
        <v>P</v>
      </c>
      <c r="AP7157" s="4" t="s">
        <v>376</v>
      </c>
      <c r="AR7157" s="4" t="s">
        <v>377</v>
      </c>
    </row>
    <row r="7158" spans="1:44" ht="30">
      <c r="A7158" s="4" t="s">
        <v>5</v>
      </c>
      <c r="B7158" s="4">
        <v>653911</v>
      </c>
      <c r="C7158" s="4">
        <v>3672</v>
      </c>
      <c r="D7158" s="5" t="s">
        <v>9983</v>
      </c>
      <c r="E7158" s="6" t="str">
        <f>HYPERLINK("https://inpn.mnhn.fr/espece/cd_nom/653911","Gamundia leucophylla (Alb. &amp; Schwein.) H.E.Bigelow")</f>
        <v>Gamundia leucophylla (Alb. &amp; Schwein.) H.E.Bigelow</v>
      </c>
      <c r="V7158" s="7" t="str">
        <f>HYPERLINK("#Liste_rouge!A"&amp;_xlfn.XMATCH("VU",Liste_rouge!A:A,2,1),"VU")</f>
        <v>VU</v>
      </c>
      <c r="W7158" s="4" t="str">
        <f>HYPERLINK("#Critères_liste_rouge!A$1","B2abiii")</f>
        <v>B2abiii</v>
      </c>
      <c r="Z7158" s="4" t="s">
        <v>447</v>
      </c>
      <c r="AA7158" s="4" t="s">
        <v>448</v>
      </c>
      <c r="AH7158" s="4" t="str">
        <f>HYPERLINK("#Statut_biogéographique!A"&amp;_xlfn.XMATCH("P",Statut_biogéographique!A:A,2,1),"P")</f>
        <v>P</v>
      </c>
      <c r="AP7158" s="4" t="s">
        <v>376</v>
      </c>
      <c r="AR7158" s="4" t="s">
        <v>377</v>
      </c>
    </row>
    <row r="7159" spans="1:44" ht="30">
      <c r="A7159" s="4" t="s">
        <v>5</v>
      </c>
      <c r="B7159" s="4">
        <v>654003</v>
      </c>
      <c r="C7159" s="4">
        <v>6584</v>
      </c>
      <c r="D7159" s="5" t="s">
        <v>9984</v>
      </c>
      <c r="E7159" s="6" t="str">
        <f>HYPERLINK("https://inpn.mnhn.fr/espece/cd_nom/654003","Cladonia pocillum (Ach.) O.J.Rich., 1877")</f>
        <v>Cladonia pocillum (Ach.) O.J.Rich., 1877</v>
      </c>
      <c r="AH7159" s="4" t="str">
        <f>HYPERLINK("#Statut_biogéographique!A"&amp;_xlfn.XMATCH("P",Statut_biogéographique!A:A,2,1),"P")</f>
        <v>P</v>
      </c>
      <c r="AP7159" s="4" t="s">
        <v>376</v>
      </c>
      <c r="AR7159" s="4" t="s">
        <v>377</v>
      </c>
    </row>
    <row r="7160" spans="1:44" ht="30">
      <c r="A7160" s="4" t="s">
        <v>5</v>
      </c>
      <c r="B7160" s="4">
        <v>658538</v>
      </c>
      <c r="D7160" s="5" t="s">
        <v>9985</v>
      </c>
      <c r="E7160" s="6" t="str">
        <f>HYPERLINK("https://inpn.mnhn.fr/espece/cd_nom/658538","Vouauxiella lichenicola (Linds.) Petr. &amp; Syd., 1927")</f>
        <v>Vouauxiella lichenicola (Linds.) Petr. &amp; Syd., 1927</v>
      </c>
      <c r="AH7160" s="4" t="str">
        <f>HYPERLINK("#Statut_biogéographique!A"&amp;_xlfn.XMATCH("P",Statut_biogéographique!A:A,2,1),"P")</f>
        <v>P</v>
      </c>
      <c r="AP7160" s="4" t="s">
        <v>376</v>
      </c>
      <c r="AR7160" s="4" t="s">
        <v>377</v>
      </c>
    </row>
    <row r="7161" spans="1:44">
      <c r="A7161" s="4" t="s">
        <v>5</v>
      </c>
      <c r="B7161" s="4">
        <v>658597</v>
      </c>
      <c r="D7161" s="5" t="s">
        <v>9986</v>
      </c>
      <c r="E7161" s="6" t="str">
        <f>HYPERLINK("https://inpn.mnhn.fr/espece/cd_nom/658597","Verrucaria hydrela Ach., 1814")</f>
        <v>Verrucaria hydrela Ach., 1814</v>
      </c>
      <c r="AH7161" s="4" t="str">
        <f>HYPERLINK("#Statut_biogéographique!A"&amp;_xlfn.XMATCH("P",Statut_biogéographique!A:A,2,1),"P")</f>
        <v>P</v>
      </c>
      <c r="AP7161" s="4" t="s">
        <v>376</v>
      </c>
      <c r="AR7161" s="4" t="s">
        <v>377</v>
      </c>
    </row>
    <row r="7162" spans="1:44" ht="30">
      <c r="A7162" s="4" t="s">
        <v>5</v>
      </c>
      <c r="B7162" s="4">
        <v>658640</v>
      </c>
      <c r="D7162" s="5" t="s">
        <v>9987</v>
      </c>
      <c r="E7162" s="6" t="str">
        <f>HYPERLINK("https://inpn.mnhn.fr/espece/cd_nom/658640","Usnea cornuta Körb., 1859")</f>
        <v>Usnea cornuta Körb., 1859</v>
      </c>
      <c r="AH7162" s="4" t="str">
        <f>HYPERLINK("#Statut_biogéographique!A"&amp;_xlfn.XMATCH("P",Statut_biogéographique!A:A,2,1),"P")</f>
        <v>P</v>
      </c>
      <c r="AP7162" s="4" t="s">
        <v>376</v>
      </c>
      <c r="AR7162" s="4" t="s">
        <v>377</v>
      </c>
    </row>
    <row r="7163" spans="1:44" ht="30">
      <c r="A7163" s="4" t="s">
        <v>5</v>
      </c>
      <c r="B7163" s="4">
        <v>658645</v>
      </c>
      <c r="D7163" s="5" t="s">
        <v>9988</v>
      </c>
      <c r="E7163" s="6" t="str">
        <f>HYPERLINK("https://inpn.mnhn.fr/espece/cd_nom/658645","Unguiculariopsis lettaui (Grummann) Coppins, 1990")</f>
        <v>Unguiculariopsis lettaui (Grummann) Coppins, 1990</v>
      </c>
      <c r="AH7163" s="4" t="str">
        <f>HYPERLINK("#Statut_biogéographique!A"&amp;_xlfn.XMATCH("P",Statut_biogéographique!A:A,2,1),"P")</f>
        <v>P</v>
      </c>
      <c r="AP7163" s="4" t="s">
        <v>376</v>
      </c>
      <c r="AR7163" s="4" t="s">
        <v>377</v>
      </c>
    </row>
    <row r="7164" spans="1:44" ht="60">
      <c r="A7164" s="4" t="s">
        <v>5</v>
      </c>
      <c r="B7164" s="4">
        <v>658676</v>
      </c>
      <c r="D7164" s="5" t="s">
        <v>9989</v>
      </c>
      <c r="E7164" s="6" t="str">
        <f>HYPERLINK("https://inpn.mnhn.fr/espece/cd_nom/658676","Toninia sedifolia (Scop.) Timdal, 1991")</f>
        <v>Toninia sedifolia (Scop.) Timdal, 1991</v>
      </c>
      <c r="AH7164" s="4" t="str">
        <f>HYPERLINK("#Statut_biogéographique!A"&amp;_xlfn.XMATCH("P",Statut_biogéographique!A:A,2,1),"P")</f>
        <v>P</v>
      </c>
      <c r="AP7164" s="4" t="s">
        <v>376</v>
      </c>
      <c r="AR7164" s="4" t="s">
        <v>377</v>
      </c>
    </row>
    <row r="7165" spans="1:44" ht="30">
      <c r="A7165" s="4" t="s">
        <v>5</v>
      </c>
      <c r="B7165" s="4">
        <v>658679</v>
      </c>
      <c r="D7165" s="5" t="s">
        <v>9990</v>
      </c>
      <c r="E7165" s="6" t="str">
        <f>HYPERLINK("https://inpn.mnhn.fr/espece/cd_nom/658679","Toninia physaroides (Opiz) Zahlbr., 1926")</f>
        <v>Toninia physaroides (Opiz) Zahlbr., 1926</v>
      </c>
      <c r="AH7165" s="4" t="str">
        <f>HYPERLINK("#Statut_biogéographique!A"&amp;_xlfn.XMATCH("P",Statut_biogéographique!A:A,2,1),"P")</f>
        <v>P</v>
      </c>
      <c r="AP7165" s="4" t="s">
        <v>376</v>
      </c>
      <c r="AR7165" s="4" t="s">
        <v>377</v>
      </c>
    </row>
    <row r="7166" spans="1:44" ht="30">
      <c r="A7166" s="4" t="s">
        <v>5</v>
      </c>
      <c r="B7166" s="4">
        <v>658892</v>
      </c>
      <c r="D7166" s="5" t="s">
        <v>9991</v>
      </c>
      <c r="E7166" s="6" t="str">
        <f>HYPERLINK("https://inpn.mnhn.fr/espece/cd_nom/658892","Roselliniopsis tartaricola (Nyl. ex Leight.) Matzer, 1993")</f>
        <v>Roselliniopsis tartaricola (Nyl. ex Leight.) Matzer, 1993</v>
      </c>
      <c r="AH7166" s="4" t="str">
        <f>HYPERLINK("#Statut_biogéographique!A"&amp;_xlfn.XMATCH("P",Statut_biogéographique!A:A,2,1),"P")</f>
        <v>P</v>
      </c>
      <c r="AP7166" s="4" t="s">
        <v>376</v>
      </c>
      <c r="AR7166" s="4" t="s">
        <v>377</v>
      </c>
    </row>
    <row r="7167" spans="1:44" ht="30">
      <c r="A7167" s="4" t="s">
        <v>5</v>
      </c>
      <c r="B7167" s="4">
        <v>658900</v>
      </c>
      <c r="D7167" s="5" t="s">
        <v>9992</v>
      </c>
      <c r="E7167" s="6" t="str">
        <f>HYPERLINK("https://inpn.mnhn.fr/espece/cd_nom/658900","Romjularia lurida (Ach.) Timdal, 2007")</f>
        <v>Romjularia lurida (Ach.) Timdal, 2007</v>
      </c>
      <c r="AH7167" s="4" t="str">
        <f>HYPERLINK("#Statut_biogéographique!A"&amp;_xlfn.XMATCH("P",Statut_biogéographique!A:A,2,1),"P")</f>
        <v>P</v>
      </c>
      <c r="AP7167" s="4" t="s">
        <v>376</v>
      </c>
      <c r="AR7167" s="4" t="s">
        <v>377</v>
      </c>
    </row>
    <row r="7168" spans="1:44" ht="45">
      <c r="A7168" s="4" t="s">
        <v>5</v>
      </c>
      <c r="B7168" s="4">
        <v>658984</v>
      </c>
      <c r="D7168" s="5" t="s">
        <v>9993</v>
      </c>
      <c r="E7168" s="6" t="str">
        <f>HYPERLINK("https://inpn.mnhn.fr/espece/cd_nom/658984","Ramalina fastigiata (Pers.) Ach., 1810")</f>
        <v>Ramalina fastigiata (Pers.) Ach., 1810</v>
      </c>
      <c r="AH7168" s="4" t="str">
        <f>HYPERLINK("#Statut_biogéographique!A"&amp;_xlfn.XMATCH("P",Statut_biogéographique!A:A,2,1),"P")</f>
        <v>P</v>
      </c>
      <c r="AP7168" s="4" t="s">
        <v>376</v>
      </c>
      <c r="AR7168" s="4" t="s">
        <v>377</v>
      </c>
    </row>
    <row r="7169" spans="1:44" ht="30">
      <c r="A7169" s="4" t="s">
        <v>5</v>
      </c>
      <c r="B7169" s="4">
        <v>659007</v>
      </c>
      <c r="D7169" s="5" t="s">
        <v>9994</v>
      </c>
      <c r="E7169" s="6" t="str">
        <f>HYPERLINK("https://inpn.mnhn.fr/espece/cd_nom/659007","Punctelia subrudecta (Nyl.) Krog, 1982")</f>
        <v>Punctelia subrudecta (Nyl.) Krog, 1982</v>
      </c>
      <c r="AH7169" s="4" t="str">
        <f>HYPERLINK("#Statut_biogéographique!A"&amp;_xlfn.XMATCH("P",Statut_biogéographique!A:A,2,1),"P")</f>
        <v>P</v>
      </c>
      <c r="AP7169" s="4" t="s">
        <v>376</v>
      </c>
      <c r="AR7169" s="4" t="s">
        <v>377</v>
      </c>
    </row>
    <row r="7170" spans="1:44" ht="30">
      <c r="A7170" s="4" t="s">
        <v>5</v>
      </c>
      <c r="B7170" s="4">
        <v>659011</v>
      </c>
      <c r="D7170" s="5" t="s">
        <v>9995</v>
      </c>
      <c r="E7170" s="6" t="str">
        <f>HYPERLINK("https://inpn.mnhn.fr/espece/cd_nom/659011","Punctelia jeckeri (Roum.) Kalb, 2007")</f>
        <v>Punctelia jeckeri (Roum.) Kalb, 2007</v>
      </c>
      <c r="AH7170" s="4" t="str">
        <f>HYPERLINK("#Statut_biogéographique!A"&amp;_xlfn.XMATCH("P",Statut_biogéographique!A:A,2,1),"P")</f>
        <v>P</v>
      </c>
      <c r="AP7170" s="4" t="s">
        <v>376</v>
      </c>
      <c r="AR7170" s="4" t="s">
        <v>377</v>
      </c>
    </row>
    <row r="7171" spans="1:44">
      <c r="A7171" s="4" t="s">
        <v>5</v>
      </c>
      <c r="B7171" s="4">
        <v>659019</v>
      </c>
      <c r="D7171" s="5" t="s">
        <v>9996</v>
      </c>
      <c r="E7171" s="6" t="str">
        <f>HYPERLINK("https://inpn.mnhn.fr/espece/cd_nom/659019","Psora testacea Hoffm., 1790")</f>
        <v>Psora testacea Hoffm., 1790</v>
      </c>
      <c r="AH7171" s="4" t="str">
        <f>HYPERLINK("#Statut_biogéographique!A"&amp;_xlfn.XMATCH("P",Statut_biogéographique!A:A,2,1),"P")</f>
        <v>P</v>
      </c>
      <c r="AP7171" s="4" t="s">
        <v>376</v>
      </c>
      <c r="AR7171" s="4" t="s">
        <v>377</v>
      </c>
    </row>
    <row r="7172" spans="1:44" ht="45">
      <c r="A7172" s="4" t="s">
        <v>5</v>
      </c>
      <c r="B7172" s="4">
        <v>659049</v>
      </c>
      <c r="D7172" s="5" t="s">
        <v>9997</v>
      </c>
      <c r="E7172" s="6" t="str">
        <f>HYPERLINK("https://inpn.mnhn.fr/espece/cd_nom/659049","Porpidinia tumidula (Sm.) Timdal, 2010")</f>
        <v>Porpidinia tumidula (Sm.) Timdal, 2010</v>
      </c>
      <c r="AH7172" s="4" t="str">
        <f>HYPERLINK("#Statut_biogéographique!A"&amp;_xlfn.XMATCH("P",Statut_biogéographique!A:A,2,1),"P")</f>
        <v>P</v>
      </c>
      <c r="AP7172" s="4" t="s">
        <v>376</v>
      </c>
      <c r="AR7172" s="4" t="s">
        <v>377</v>
      </c>
    </row>
    <row r="7173" spans="1:44" ht="45">
      <c r="A7173" s="4" t="s">
        <v>5</v>
      </c>
      <c r="B7173" s="4">
        <v>659129</v>
      </c>
      <c r="D7173" s="5" t="s">
        <v>9998</v>
      </c>
      <c r="E7173" s="6" t="str">
        <f>HYPERLINK("https://inpn.mnhn.fr/espece/cd_nom/659129","Placidium rufescens (Ach.) A.Massal., 1856")</f>
        <v>Placidium rufescens (Ach.) A.Massal., 1856</v>
      </c>
      <c r="AH7173" s="4" t="str">
        <f>HYPERLINK("#Statut_biogéographique!A"&amp;_xlfn.XMATCH("P",Statut_biogéographique!A:A,2,1),"P")</f>
        <v>P</v>
      </c>
      <c r="AP7173" s="4" t="s">
        <v>376</v>
      </c>
      <c r="AR7173" s="4" t="s">
        <v>377</v>
      </c>
    </row>
    <row r="7174" spans="1:44" ht="60">
      <c r="A7174" s="4" t="s">
        <v>5</v>
      </c>
      <c r="B7174" s="4">
        <v>659151</v>
      </c>
      <c r="D7174" s="5" t="s">
        <v>9999</v>
      </c>
      <c r="E7174" s="6" t="str">
        <f>HYPERLINK("https://inpn.mnhn.fr/espece/cd_nom/659151","Physcia aipolia (Ehrh. ex Humb.) Fürnr., 1839")</f>
        <v>Physcia aipolia (Ehrh. ex Humb.) Fürnr., 1839</v>
      </c>
      <c r="AH7174" s="4" t="str">
        <f>HYPERLINK("#Statut_biogéographique!A"&amp;_xlfn.XMATCH("P",Statut_biogéographique!A:A,2,1),"P")</f>
        <v>P</v>
      </c>
      <c r="AP7174" s="4" t="s">
        <v>376</v>
      </c>
      <c r="AR7174" s="4" t="s">
        <v>377</v>
      </c>
    </row>
    <row r="7175" spans="1:44" ht="30">
      <c r="A7175" s="4" t="s">
        <v>5</v>
      </c>
      <c r="B7175" s="4">
        <v>659168</v>
      </c>
      <c r="D7175" s="5" t="s">
        <v>10000</v>
      </c>
      <c r="E7175" s="6" t="str">
        <f>HYPERLINK("https://inpn.mnhn.fr/espece/cd_nom/659168","Phlyctis argena (Spreng.) Flot.")</f>
        <v>Phlyctis argena (Spreng.) Flot.</v>
      </c>
      <c r="AH7175" s="4" t="str">
        <f>HYPERLINK("#Statut_biogéographique!A"&amp;_xlfn.XMATCH("P",Statut_biogéographique!A:A,2,1),"P")</f>
        <v>P</v>
      </c>
      <c r="AP7175" s="4" t="s">
        <v>376</v>
      </c>
      <c r="AR7175" s="4" t="s">
        <v>377</v>
      </c>
    </row>
    <row r="7176" spans="1:44" ht="30">
      <c r="A7176" s="4" t="s">
        <v>5</v>
      </c>
      <c r="B7176" s="4">
        <v>659201</v>
      </c>
      <c r="D7176" s="5" t="s">
        <v>10001</v>
      </c>
      <c r="E7176" s="6" t="str">
        <f>HYPERLINK("https://inpn.mnhn.fr/espece/cd_nom/659201","Pertusaria pertusa (Weigel) Tuck.")</f>
        <v>Pertusaria pertusa (Weigel) Tuck.</v>
      </c>
      <c r="AH7176" s="4" t="str">
        <f>HYPERLINK("#Statut_biogéographique!A"&amp;_xlfn.XMATCH("P",Statut_biogéographique!A:A,2,1),"P")</f>
        <v>P</v>
      </c>
      <c r="AP7176" s="4" t="s">
        <v>376</v>
      </c>
      <c r="AR7176" s="4" t="s">
        <v>377</v>
      </c>
    </row>
    <row r="7177" spans="1:44" ht="45">
      <c r="A7177" s="4" t="s">
        <v>5</v>
      </c>
      <c r="B7177" s="4">
        <v>659217</v>
      </c>
      <c r="D7177" s="5" t="s">
        <v>10002</v>
      </c>
      <c r="E7177" s="6" t="str">
        <f>HYPERLINK("https://inpn.mnhn.fr/espece/cd_nom/659217","Peridiothelia fuliguncta (Norman) D.Hawksw., 1985")</f>
        <v>Peridiothelia fuliguncta (Norman) D.Hawksw., 1985</v>
      </c>
      <c r="AH7177" s="4" t="str">
        <f>HYPERLINK("#Statut_biogéographique!A"&amp;_xlfn.XMATCH("P",Statut_biogéographique!A:A,2,1),"P")</f>
        <v>P</v>
      </c>
      <c r="AP7177" s="4" t="s">
        <v>376</v>
      </c>
      <c r="AR7177" s="4" t="s">
        <v>377</v>
      </c>
    </row>
    <row r="7178" spans="1:44" ht="30">
      <c r="A7178" s="4" t="s">
        <v>5</v>
      </c>
      <c r="B7178" s="4">
        <v>659225</v>
      </c>
      <c r="D7178" s="5" t="s">
        <v>10003</v>
      </c>
      <c r="E7178" s="6" t="str">
        <f>HYPERLINK("https://inpn.mnhn.fr/espece/cd_nom/659225","Peltigera didactyla (With.) J.R.Laundon, 1984")</f>
        <v>Peltigera didactyla (With.) J.R.Laundon, 1984</v>
      </c>
      <c r="AH7178" s="4" t="str">
        <f>HYPERLINK("#Statut_biogéographique!A"&amp;_xlfn.XMATCH("P",Statut_biogéographique!A:A,2,1),"P")</f>
        <v>P</v>
      </c>
      <c r="AP7178" s="4" t="s">
        <v>376</v>
      </c>
      <c r="AR7178" s="4" t="s">
        <v>377</v>
      </c>
    </row>
    <row r="7179" spans="1:44" ht="45">
      <c r="A7179" s="4" t="s">
        <v>5</v>
      </c>
      <c r="B7179" s="4">
        <v>659233</v>
      </c>
      <c r="D7179" s="5" t="s">
        <v>10004</v>
      </c>
      <c r="E7179" s="6" t="str">
        <f>HYPERLINK("https://inpn.mnhn.fr/espece/cd_nom/659233","Parmotrema perlatum (Huds.) M.Choisy, 1952")</f>
        <v>Parmotrema perlatum (Huds.) M.Choisy, 1952</v>
      </c>
      <c r="AH7179" s="4" t="str">
        <f>HYPERLINK("#Statut_biogéographique!A"&amp;_xlfn.XMATCH("P",Statut_biogéographique!A:A,2,1),"P")</f>
        <v>P</v>
      </c>
      <c r="AP7179" s="4" t="s">
        <v>376</v>
      </c>
      <c r="AR7179" s="4" t="s">
        <v>377</v>
      </c>
    </row>
    <row r="7180" spans="1:44" ht="30">
      <c r="A7180" s="4" t="s">
        <v>5</v>
      </c>
      <c r="B7180" s="4">
        <v>659236</v>
      </c>
      <c r="D7180" s="5" t="s">
        <v>10005</v>
      </c>
      <c r="E7180" s="6" t="str">
        <f>HYPERLINK("https://inpn.mnhn.fr/espece/cd_nom/659236","Parmotrema crinitum (Ach.) M.Choisy, 1952")</f>
        <v>Parmotrema crinitum (Ach.) M.Choisy, 1952</v>
      </c>
      <c r="O7180" s="7" t="str">
        <f>HYPERLINK("#Liste_rouge!A"&amp;_xlfn.XMATCH("LC",Liste_rouge!A:A,2,1),"LC")</f>
        <v>LC</v>
      </c>
      <c r="AH7180" s="4" t="str">
        <f>HYPERLINK("#Statut_biogéographique!A"&amp;_xlfn.XMATCH("P",Statut_biogéographique!A:A,2,1),"P")</f>
        <v>P</v>
      </c>
      <c r="AP7180" s="4" t="s">
        <v>376</v>
      </c>
      <c r="AR7180" s="4" t="s">
        <v>377</v>
      </c>
    </row>
    <row r="7181" spans="1:44">
      <c r="A7181" s="4" t="s">
        <v>5</v>
      </c>
      <c r="B7181" s="4">
        <v>659237</v>
      </c>
      <c r="D7181" s="5" t="s">
        <v>10006</v>
      </c>
      <c r="E7181" s="6" t="str">
        <f>HYPERLINK("https://inpn.mnhn.fr/espece/cd_nom/659237","Parmelina pastillifera (Harm.) Hale, 1976")</f>
        <v>Parmelina pastillifera (Harm.) Hale, 1976</v>
      </c>
      <c r="AH7181" s="4" t="str">
        <f>HYPERLINK("#Statut_biogéographique!A"&amp;_xlfn.XMATCH("P",Statut_biogéographique!A:A,2,1),"P")</f>
        <v>P</v>
      </c>
      <c r="AP7181" s="4" t="s">
        <v>376</v>
      </c>
      <c r="AR7181" s="4" t="s">
        <v>377</v>
      </c>
    </row>
    <row r="7182" spans="1:44">
      <c r="A7182" s="4" t="s">
        <v>5</v>
      </c>
      <c r="B7182" s="4">
        <v>659287</v>
      </c>
      <c r="D7182" s="5" t="s">
        <v>10007</v>
      </c>
      <c r="E7182" s="6" t="str">
        <f>HYPERLINK("https://inpn.mnhn.fr/espece/cd_nom/659287","Ochrolechia microstictoides Räsänen, 1936")</f>
        <v>Ochrolechia microstictoides Räsänen, 1936</v>
      </c>
      <c r="AH7182" s="4" t="str">
        <f>HYPERLINK("#Statut_biogéographique!A"&amp;_xlfn.XMATCH("P",Statut_biogéographique!A:A,2,1),"P")</f>
        <v>P</v>
      </c>
      <c r="AP7182" s="4" t="s">
        <v>376</v>
      </c>
      <c r="AR7182" s="4" t="s">
        <v>377</v>
      </c>
    </row>
    <row r="7183" spans="1:44" ht="30">
      <c r="A7183" s="4" t="s">
        <v>5</v>
      </c>
      <c r="B7183" s="4">
        <v>659357</v>
      </c>
      <c r="D7183" s="5" t="s">
        <v>10008</v>
      </c>
      <c r="E7183" s="6" t="str">
        <f>HYPERLINK("https://inpn.mnhn.fr/espece/cd_nom/659357","Miriquidica deusta (Stenh.) Hertel &amp; Rambold, 1987")</f>
        <v>Miriquidica deusta (Stenh.) Hertel &amp; Rambold, 1987</v>
      </c>
      <c r="AH7183" s="4" t="str">
        <f>HYPERLINK("#Statut_biogéographique!A"&amp;_xlfn.XMATCH("P",Statut_biogéographique!A:A,2,1),"P")</f>
        <v>P</v>
      </c>
      <c r="AP7183" s="4" t="s">
        <v>376</v>
      </c>
      <c r="AR7183" s="4" t="s">
        <v>377</v>
      </c>
    </row>
    <row r="7184" spans="1:44" ht="45">
      <c r="A7184" s="4" t="s">
        <v>5</v>
      </c>
      <c r="B7184" s="4">
        <v>659403</v>
      </c>
      <c r="D7184" s="5" t="s">
        <v>10009</v>
      </c>
      <c r="E7184" s="6" t="str">
        <f>HYPERLINK("https://inpn.mnhn.fr/espece/cd_nom/659403","Melanelixia subaurifera (Nyl.) O.Blanco, A.Crespo, Divakar, Essl., D.Hawksw. &amp; Lumbsch, 2004")</f>
        <v>Melanelixia subaurifera (Nyl.) O.Blanco, A.Crespo, Divakar, Essl., D.Hawksw. &amp; Lumbsch, 2004</v>
      </c>
      <c r="AH7184" s="4" t="str">
        <f>HYPERLINK("#Statut_biogéographique!A"&amp;_xlfn.XMATCH("P",Statut_biogéographique!A:A,2,1),"P")</f>
        <v>P</v>
      </c>
      <c r="AP7184" s="4" t="s">
        <v>376</v>
      </c>
      <c r="AR7184" s="4" t="s">
        <v>377</v>
      </c>
    </row>
    <row r="7185" spans="1:44" ht="45">
      <c r="A7185" s="4" t="s">
        <v>5</v>
      </c>
      <c r="B7185" s="4">
        <v>659406</v>
      </c>
      <c r="D7185" s="5" t="s">
        <v>10010</v>
      </c>
      <c r="E7185" s="6" t="str">
        <f>HYPERLINK("https://inpn.mnhn.fr/espece/cd_nom/659406","Melanelixia glabratula (Lamy) Sandler &amp; Arup, 2011")</f>
        <v>Melanelixia glabratula (Lamy) Sandler &amp; Arup, 2011</v>
      </c>
      <c r="AH7185" s="4" t="str">
        <f>HYPERLINK("#Statut_biogéographique!A"&amp;_xlfn.XMATCH("P",Statut_biogéographique!A:A,2,1),"P")</f>
        <v>P</v>
      </c>
      <c r="AP7185" s="4" t="s">
        <v>376</v>
      </c>
      <c r="AR7185" s="4" t="s">
        <v>377</v>
      </c>
    </row>
    <row r="7186" spans="1:44" ht="30">
      <c r="A7186" s="4" t="s">
        <v>5</v>
      </c>
      <c r="B7186" s="4">
        <v>659416</v>
      </c>
      <c r="D7186" s="5" t="s">
        <v>10011</v>
      </c>
      <c r="E7186" s="6" t="str">
        <f>HYPERLINK("https://inpn.mnhn.fr/espece/cd_nom/659416","Loxospora elatina (Ach.) A.Massal., 1852")</f>
        <v>Loxospora elatina (Ach.) A.Massal., 1852</v>
      </c>
      <c r="AH7186" s="4" t="str">
        <f>HYPERLINK("#Statut_biogéographique!A"&amp;_xlfn.XMATCH("P",Statut_biogéographique!A:A,2,1),"P")</f>
        <v>P</v>
      </c>
      <c r="AP7186" s="4" t="s">
        <v>376</v>
      </c>
      <c r="AR7186" s="4" t="s">
        <v>377</v>
      </c>
    </row>
    <row r="7187" spans="1:44" ht="30">
      <c r="A7187" s="4" t="s">
        <v>5</v>
      </c>
      <c r="B7187" s="4">
        <v>659451</v>
      </c>
      <c r="D7187" s="5">
        <v>659451</v>
      </c>
      <c r="E7187" s="6" t="str">
        <f>HYPERLINK("https://inpn.mnhn.fr/espece/cd_nom/659451","Lichenopeltella ramalinae Etayo &amp; Diederich, 1997")</f>
        <v>Lichenopeltella ramalinae Etayo &amp; Diederich, 1997</v>
      </c>
      <c r="AH7187" s="4" t="str">
        <f>HYPERLINK("#Statut_biogéographique!A"&amp;_xlfn.XMATCH("P",Statut_biogéographique!A:A,2,1),"P")</f>
        <v>P</v>
      </c>
      <c r="AP7187" s="4" t="s">
        <v>376</v>
      </c>
      <c r="AR7187" s="4" t="s">
        <v>377</v>
      </c>
    </row>
    <row r="7188" spans="1:44" ht="30">
      <c r="A7188" s="4" t="s">
        <v>5</v>
      </c>
      <c r="B7188" s="4">
        <v>659467</v>
      </c>
      <c r="D7188" s="5">
        <v>659467</v>
      </c>
      <c r="E7188" s="6" t="str">
        <f>HYPERLINK("https://inpn.mnhn.fr/espece/cd_nom/659467","Lichenoconium erodens M.S.Christ. &amp; D.Hawksw., 1977")</f>
        <v>Lichenoconium erodens M.S.Christ. &amp; D.Hawksw., 1977</v>
      </c>
      <c r="AH7188" s="4" t="str">
        <f>HYPERLINK("#Statut_biogéographique!A"&amp;_xlfn.XMATCH("P",Statut_biogéographique!A:A,2,1),"P")</f>
        <v>P</v>
      </c>
      <c r="AP7188" s="4" t="s">
        <v>376</v>
      </c>
      <c r="AR7188" s="4" t="s">
        <v>377</v>
      </c>
    </row>
    <row r="7189" spans="1:44">
      <c r="A7189" s="4" t="s">
        <v>5</v>
      </c>
      <c r="B7189" s="4">
        <v>659517</v>
      </c>
      <c r="D7189" s="5" t="s">
        <v>10012</v>
      </c>
      <c r="E7189" s="6" t="str">
        <f>HYPERLINK("https://inpn.mnhn.fr/espece/cd_nom/659517","Lepraria nivalis J.R.Laundon, 1992")</f>
        <v>Lepraria nivalis J.R.Laundon, 1992</v>
      </c>
      <c r="AH7189" s="4" t="str">
        <f>HYPERLINK("#Statut_biogéographique!A"&amp;_xlfn.XMATCH("P",Statut_biogéographique!A:A,2,1),"P")</f>
        <v>P</v>
      </c>
      <c r="AP7189" s="4" t="s">
        <v>376</v>
      </c>
      <c r="AR7189" s="4" t="s">
        <v>377</v>
      </c>
    </row>
    <row r="7190" spans="1:44" ht="75">
      <c r="A7190" s="4" t="s">
        <v>5</v>
      </c>
      <c r="B7190" s="4">
        <v>659519</v>
      </c>
      <c r="D7190" s="5" t="s">
        <v>10013</v>
      </c>
      <c r="E7190" s="6" t="str">
        <f>HYPERLINK("https://inpn.mnhn.fr/espece/cd_nom/659519","Lepraria membranacea (Dicks.) Vain., 1921")</f>
        <v>Lepraria membranacea (Dicks.) Vain., 1921</v>
      </c>
      <c r="AH7190" s="4" t="str">
        <f>HYPERLINK("#Statut_biogéographique!A"&amp;_xlfn.XMATCH("P",Statut_biogéographique!A:A,2,1),"P")</f>
        <v>P</v>
      </c>
      <c r="AP7190" s="4" t="s">
        <v>376</v>
      </c>
      <c r="AR7190" s="4" t="s">
        <v>377</v>
      </c>
    </row>
    <row r="7191" spans="1:44">
      <c r="A7191" s="4" t="s">
        <v>5</v>
      </c>
      <c r="B7191" s="4">
        <v>659697</v>
      </c>
      <c r="C7191" s="4">
        <v>6742</v>
      </c>
      <c r="D7191" s="5" t="s">
        <v>10014</v>
      </c>
      <c r="E7191" s="6" t="str">
        <f>HYPERLINK("https://inpn.mnhn.fr/espece/cd_nom/659697","Lecania cyrtellina (Nyl.) Zahlbr., 1928")</f>
        <v>Lecania cyrtellina (Nyl.) Zahlbr., 1928</v>
      </c>
      <c r="AH7191" s="4" t="str">
        <f>HYPERLINK("#Statut_biogéographique!A"&amp;_xlfn.XMATCH("P",Statut_biogéographique!A:A,2,1),"P")</f>
        <v>P</v>
      </c>
      <c r="AP7191" s="4" t="s">
        <v>376</v>
      </c>
      <c r="AR7191" s="4" t="s">
        <v>377</v>
      </c>
    </row>
    <row r="7192" spans="1:44" ht="30">
      <c r="A7192" s="4" t="s">
        <v>5</v>
      </c>
      <c r="B7192" s="4">
        <v>659738</v>
      </c>
      <c r="C7192" s="4">
        <v>6769</v>
      </c>
      <c r="D7192" s="5" t="s">
        <v>10015</v>
      </c>
      <c r="E7192" s="6" t="str">
        <f>HYPERLINK("https://inpn.mnhn.fr/espece/cd_nom/659738","Illosporiopsis christiansenii (B.L.Brady &amp; D.Hawksw.) D.Hawksw., 2001")</f>
        <v>Illosporiopsis christiansenii (B.L.Brady &amp; D.Hawksw.) D.Hawksw., 2001</v>
      </c>
      <c r="AH7192" s="4" t="str">
        <f>HYPERLINK("#Statut_biogéographique!A"&amp;_xlfn.XMATCH("P",Statut_biogéographique!A:A,2,1),"P")</f>
        <v>P</v>
      </c>
      <c r="AP7192" s="4" t="s">
        <v>376</v>
      </c>
      <c r="AR7192" s="4" t="s">
        <v>377</v>
      </c>
    </row>
    <row r="7193" spans="1:44">
      <c r="A7193" s="4" t="s">
        <v>5</v>
      </c>
      <c r="B7193" s="4">
        <v>659825</v>
      </c>
      <c r="C7193" s="4">
        <v>5914</v>
      </c>
      <c r="D7193" s="5" t="s">
        <v>10016</v>
      </c>
      <c r="E7193" s="6" t="str">
        <f>HYPERLINK("https://inpn.mnhn.fr/espece/cd_nom/659825","Flavopunctelia flaventior (Stirt.) Hale, 1984")</f>
        <v>Flavopunctelia flaventior (Stirt.) Hale, 1984</v>
      </c>
      <c r="AH7193" s="4" t="str">
        <f>HYPERLINK("#Statut_biogéographique!A"&amp;_xlfn.XMATCH("P",Statut_biogéographique!A:A,2,1),"P")</f>
        <v>P</v>
      </c>
      <c r="AP7193" s="4" t="s">
        <v>376</v>
      </c>
      <c r="AR7193" s="4" t="s">
        <v>377</v>
      </c>
    </row>
    <row r="7194" spans="1:44" ht="30">
      <c r="A7194" s="4" t="s">
        <v>5</v>
      </c>
      <c r="B7194" s="4">
        <v>659839</v>
      </c>
      <c r="C7194" s="4">
        <v>1340</v>
      </c>
      <c r="D7194" s="5" t="s">
        <v>10017</v>
      </c>
      <c r="E7194" s="6" t="str">
        <f>HYPERLINK("https://inpn.mnhn.fr/espece/cd_nom/659839","Epicoccum purpurascens Ehrenb. ex Schltdl., 1824")</f>
        <v>Epicoccum purpurascens Ehrenb. ex Schltdl., 1824</v>
      </c>
      <c r="AH7194" s="4" t="str">
        <f>HYPERLINK("#Statut_biogéographique!A"&amp;_xlfn.XMATCH("P",Statut_biogéographique!A:A,2,1),"P")</f>
        <v>P</v>
      </c>
      <c r="AP7194" s="4" t="s">
        <v>376</v>
      </c>
      <c r="AR7194" s="4" t="s">
        <v>377</v>
      </c>
    </row>
    <row r="7195" spans="1:44" ht="30">
      <c r="A7195" s="4" t="s">
        <v>5</v>
      </c>
      <c r="B7195" s="4">
        <v>659877</v>
      </c>
      <c r="C7195" s="4">
        <v>6588</v>
      </c>
      <c r="D7195" s="5" t="s">
        <v>10018</v>
      </c>
      <c r="E7195" s="6" t="str">
        <f>HYPERLINK("https://inpn.mnhn.fr/espece/cd_nom/659877","Diplotomma murorum (A.Massal.) Coppins, 1980")</f>
        <v>Diplotomma murorum (A.Massal.) Coppins, 1980</v>
      </c>
      <c r="AH7195" s="4" t="str">
        <f>HYPERLINK("#Statut_biogéographique!A"&amp;_xlfn.XMATCH("P",Statut_biogéographique!A:A,2,1),"P")</f>
        <v>P</v>
      </c>
      <c r="AP7195" s="4" t="s">
        <v>376</v>
      </c>
      <c r="AR7195" s="4" t="s">
        <v>377</v>
      </c>
    </row>
    <row r="7196" spans="1:44" ht="30">
      <c r="A7196" s="4" t="s">
        <v>5</v>
      </c>
      <c r="B7196" s="4">
        <v>659879</v>
      </c>
      <c r="C7196" s="4">
        <v>6588</v>
      </c>
      <c r="D7196" s="5">
        <v>659879</v>
      </c>
      <c r="E7196" s="6" t="str">
        <f>HYPERLINK("https://inpn.mnhn.fr/espece/cd_nom/659879","Diplotomma murorum (A.Massal.) Coppins, 1980")</f>
        <v>Diplotomma murorum (A.Massal.) Coppins, 1980</v>
      </c>
      <c r="AH7196" s="4" t="str">
        <f>HYPERLINK("#Statut_biogéographique!A"&amp;_xlfn.XMATCH("P",Statut_biogéographique!A:A,2,1),"P")</f>
        <v>P</v>
      </c>
      <c r="AP7196" s="4" t="s">
        <v>376</v>
      </c>
      <c r="AR7196" s="4" t="s">
        <v>377</v>
      </c>
    </row>
    <row r="7197" spans="1:44" ht="30">
      <c r="A7197" s="4" t="s">
        <v>5</v>
      </c>
      <c r="B7197" s="4">
        <v>659896</v>
      </c>
      <c r="D7197" s="5" t="s">
        <v>10019</v>
      </c>
      <c r="E7197" s="6" t="str">
        <f>HYPERLINK("https://inpn.mnhn.fr/espece/cd_nom/659896","Dibaeis baeomyces (L.f.) Rambold &amp; Hertel, 1993")</f>
        <v>Dibaeis baeomyces (L.f.) Rambold &amp; Hertel, 1993</v>
      </c>
      <c r="AH7197" s="4" t="str">
        <f>HYPERLINK("#Statut_biogéographique!A"&amp;_xlfn.XMATCH("P",Statut_biogéographique!A:A,2,1),"P")</f>
        <v>P</v>
      </c>
      <c r="AP7197" s="4" t="s">
        <v>376</v>
      </c>
      <c r="AR7197" s="4" t="s">
        <v>377</v>
      </c>
    </row>
    <row r="7198" spans="1:44" ht="30">
      <c r="A7198" s="4" t="s">
        <v>5</v>
      </c>
      <c r="B7198" s="4">
        <v>659952</v>
      </c>
      <c r="D7198" s="5" t="s">
        <v>10020</v>
      </c>
      <c r="E7198" s="6" t="str">
        <f>HYPERLINK("https://inpn.mnhn.fr/espece/cd_nom/659952","Collema dichotomum (With.) Coppins &amp; J.R.Laundon, 1984")</f>
        <v>Collema dichotomum (With.) Coppins &amp; J.R.Laundon, 1984</v>
      </c>
      <c r="AH7198" s="4" t="str">
        <f>HYPERLINK("#Statut_biogéographique!A"&amp;_xlfn.XMATCH("P",Statut_biogéographique!A:A,2,1),"P")</f>
        <v>P</v>
      </c>
      <c r="AP7198" s="4" t="s">
        <v>376</v>
      </c>
      <c r="AR7198" s="4" t="s">
        <v>377</v>
      </c>
    </row>
    <row r="7199" spans="1:44" ht="75">
      <c r="A7199" s="4" t="s">
        <v>5</v>
      </c>
      <c r="B7199" s="4">
        <v>659977</v>
      </c>
      <c r="D7199" s="5" t="s">
        <v>10021</v>
      </c>
      <c r="E7199" s="6" t="str">
        <f>HYPERLINK("https://inpn.mnhn.fr/espece/cd_nom/659977","Cladonia ramulosa (With.) J.R.Laundon, 1984")</f>
        <v>Cladonia ramulosa (With.) J.R.Laundon, 1984</v>
      </c>
      <c r="AH7199" s="4" t="str">
        <f>HYPERLINK("#Statut_biogéographique!A"&amp;_xlfn.XMATCH("P",Statut_biogéographique!A:A,2,1),"P")</f>
        <v>P</v>
      </c>
      <c r="AP7199" s="4" t="s">
        <v>376</v>
      </c>
      <c r="AR7199" s="4" t="s">
        <v>377</v>
      </c>
    </row>
    <row r="7200" spans="1:44">
      <c r="A7200" s="4" t="s">
        <v>5</v>
      </c>
      <c r="B7200" s="4">
        <v>659985</v>
      </c>
      <c r="D7200" s="5" t="s">
        <v>10022</v>
      </c>
      <c r="E7200" s="6" t="str">
        <f>HYPERLINK("https://inpn.mnhn.fr/espece/cd_nom/659985","Cladonia humilis (With.) J. R. Laundon s. str.")</f>
        <v>Cladonia humilis (With.) J. R. Laundon s. str.</v>
      </c>
      <c r="AH7200" s="4" t="str">
        <f>HYPERLINK("#Statut_biogéographique!A"&amp;_xlfn.XMATCH("P",Statut_biogéographique!A:A,2,1),"P")</f>
        <v>P</v>
      </c>
      <c r="AP7200" s="4" t="s">
        <v>376</v>
      </c>
      <c r="AR7200" s="4" t="s">
        <v>377</v>
      </c>
    </row>
    <row r="7201" spans="1:44" ht="30">
      <c r="A7201" s="4" t="s">
        <v>5</v>
      </c>
      <c r="B7201" s="4">
        <v>660082</v>
      </c>
      <c r="D7201" s="5" t="s">
        <v>10023</v>
      </c>
      <c r="E7201" s="6" t="str">
        <f>HYPERLINK("https://inpn.mnhn.fr/espece/cd_nom/660082","Caloplaca sinapisperma (DC.) Maheu &amp; A.Gillet, 1914")</f>
        <v>Caloplaca sinapisperma (DC.) Maheu &amp; A.Gillet, 1914</v>
      </c>
      <c r="AH7201" s="4" t="str">
        <f>HYPERLINK("#Statut_biogéographique!A"&amp;_xlfn.XMATCH("P",Statut_biogéographique!A:A,2,1),"P")</f>
        <v>P</v>
      </c>
      <c r="AP7201" s="4" t="s">
        <v>376</v>
      </c>
      <c r="AR7201" s="4" t="s">
        <v>377</v>
      </c>
    </row>
    <row r="7202" spans="1:44">
      <c r="A7202" s="4" t="s">
        <v>5</v>
      </c>
      <c r="B7202" s="4">
        <v>660124</v>
      </c>
      <c r="D7202" s="5" t="s">
        <v>10024</v>
      </c>
      <c r="E7202" s="6" t="str">
        <f>HYPERLINK("https://inpn.mnhn.fr/espece/cd_nom/660124","Caloplaca dolomiticola (Hue) Zahlbr., 1930")</f>
        <v>Caloplaca dolomiticola (Hue) Zahlbr., 1930</v>
      </c>
      <c r="AH7202" s="4" t="str">
        <f>HYPERLINK("#Statut_biogéographique!A"&amp;_xlfn.XMATCH("P",Statut_biogéographique!A:A,2,1),"P")</f>
        <v>P</v>
      </c>
      <c r="AP7202" s="4" t="s">
        <v>376</v>
      </c>
      <c r="AR7202" s="4" t="s">
        <v>377</v>
      </c>
    </row>
    <row r="7203" spans="1:44">
      <c r="A7203" s="4" t="s">
        <v>5</v>
      </c>
      <c r="B7203" s="4">
        <v>660131</v>
      </c>
      <c r="C7203" s="4">
        <v>6581</v>
      </c>
      <c r="D7203" s="5" t="s">
        <v>10025</v>
      </c>
      <c r="E7203" s="6" t="str">
        <f>HYPERLINK("https://inpn.mnhn.fr/espece/cd_nom/660131","Caloplaca crenulatella (Nyl.) H.Olivier, 1909")</f>
        <v>Caloplaca crenulatella (Nyl.) H.Olivier, 1909</v>
      </c>
      <c r="AH7203" s="4" t="str">
        <f>HYPERLINK("#Statut_biogéographique!A"&amp;_xlfn.XMATCH("P",Statut_biogéographique!A:A,2,1),"P")</f>
        <v>P</v>
      </c>
      <c r="AP7203" s="4" t="s">
        <v>376</v>
      </c>
      <c r="AR7203" s="4" t="s">
        <v>377</v>
      </c>
    </row>
    <row r="7204" spans="1:44" ht="30">
      <c r="A7204" s="4" t="s">
        <v>5</v>
      </c>
      <c r="B7204" s="4">
        <v>660174</v>
      </c>
      <c r="D7204" s="5" t="s">
        <v>10026</v>
      </c>
      <c r="E7204" s="6" t="str">
        <f>HYPERLINK("https://inpn.mnhn.fr/espece/cd_nom/660174","Buellia leptocline (Flot.) A.Massal., 1854")</f>
        <v>Buellia leptocline (Flot.) A.Massal., 1854</v>
      </c>
      <c r="AH7204" s="4" t="str">
        <f>HYPERLINK("#Statut_biogéographique!A"&amp;_xlfn.XMATCH("P",Statut_biogéographique!A:A,2,1),"P")</f>
        <v>P</v>
      </c>
      <c r="AP7204" s="4" t="s">
        <v>376</v>
      </c>
      <c r="AR7204" s="4" t="s">
        <v>377</v>
      </c>
    </row>
    <row r="7205" spans="1:44" ht="30">
      <c r="A7205" s="4" t="s">
        <v>5</v>
      </c>
      <c r="B7205" s="4">
        <v>660179</v>
      </c>
      <c r="C7205" s="4">
        <v>6737</v>
      </c>
      <c r="D7205" s="5" t="s">
        <v>10027</v>
      </c>
      <c r="E7205" s="6" t="str">
        <f>HYPERLINK("https://inpn.mnhn.fr/espece/cd_nom/660179","Buellia griseovirens (Turner &amp; Borrer ex Sm.) Almb., 1952")</f>
        <v>Buellia griseovirens (Turner &amp; Borrer ex Sm.) Almb., 1952</v>
      </c>
      <c r="AH7205" s="4" t="str">
        <f>HYPERLINK("#Statut_biogéographique!A"&amp;_xlfn.XMATCH("P",Statut_biogéographique!A:A,2,1),"P")</f>
        <v>P</v>
      </c>
      <c r="AP7205" s="4" t="s">
        <v>376</v>
      </c>
      <c r="AR7205" s="4" t="s">
        <v>377</v>
      </c>
    </row>
    <row r="7206" spans="1:44" ht="30">
      <c r="A7206" s="4" t="s">
        <v>5</v>
      </c>
      <c r="B7206" s="4">
        <v>660231</v>
      </c>
      <c r="C7206" s="4">
        <v>6579</v>
      </c>
      <c r="D7206" s="5" t="s">
        <v>10028</v>
      </c>
      <c r="E7206" s="6" t="str">
        <f>HYPERLINK("https://inpn.mnhn.fr/espece/cd_nom/660231","Bagliettoa parmigera (J.Steiner) Vězda &amp; Poelt, 1981")</f>
        <v>Bagliettoa parmigera (J.Steiner) Vězda &amp; Poelt, 1981</v>
      </c>
      <c r="AH7206" s="4" t="str">
        <f>HYPERLINK("#Statut_biogéographique!A"&amp;_xlfn.XMATCH("P",Statut_biogéographique!A:A,2,1),"P")</f>
        <v>P</v>
      </c>
      <c r="AP7206" s="4" t="s">
        <v>376</v>
      </c>
      <c r="AR7206" s="4" t="s">
        <v>377</v>
      </c>
    </row>
    <row r="7207" spans="1:44" ht="30">
      <c r="A7207" s="4" t="s">
        <v>5</v>
      </c>
      <c r="B7207" s="4">
        <v>660232</v>
      </c>
      <c r="C7207" s="4">
        <v>6578</v>
      </c>
      <c r="D7207" s="5" t="s">
        <v>10029</v>
      </c>
      <c r="E7207" s="6" t="str">
        <f>HYPERLINK("https://inpn.mnhn.fr/espece/cd_nom/660232","Bagliettoa marmorea (Scop.) Gueidan &amp; Cl.Roux, 2007")</f>
        <v>Bagliettoa marmorea (Scop.) Gueidan &amp; Cl.Roux, 2007</v>
      </c>
      <c r="AH7207" s="4" t="str">
        <f>HYPERLINK("#Statut_biogéographique!A"&amp;_xlfn.XMATCH("P",Statut_biogéographique!A:A,2,1),"P")</f>
        <v>P</v>
      </c>
      <c r="AP7207" s="4" t="s">
        <v>376</v>
      </c>
      <c r="AR7207" s="4" t="s">
        <v>377</v>
      </c>
    </row>
    <row r="7208" spans="1:44" ht="30">
      <c r="A7208" s="4" t="s">
        <v>5</v>
      </c>
      <c r="B7208" s="4">
        <v>660236</v>
      </c>
      <c r="C7208" s="4">
        <v>6577</v>
      </c>
      <c r="D7208" s="5" t="s">
        <v>10030</v>
      </c>
      <c r="E7208" s="6" t="str">
        <f>HYPERLINK("https://inpn.mnhn.fr/espece/cd_nom/660236","Bagliettoa calciseda (DC.) Gueidan &amp; Cl.Roux, 2007")</f>
        <v>Bagliettoa calciseda (DC.) Gueidan &amp; Cl.Roux, 2007</v>
      </c>
      <c r="AH7208" s="4" t="str">
        <f>HYPERLINK("#Statut_biogéographique!A"&amp;_xlfn.XMATCH("P",Statut_biogéographique!A:A,2,1),"P")</f>
        <v>P</v>
      </c>
      <c r="AP7208" s="4" t="s">
        <v>376</v>
      </c>
      <c r="AR7208" s="4" t="s">
        <v>377</v>
      </c>
    </row>
    <row r="7209" spans="1:44" ht="30">
      <c r="A7209" s="4" t="s">
        <v>5</v>
      </c>
      <c r="B7209" s="4">
        <v>660257</v>
      </c>
      <c r="C7209" s="4">
        <v>5951</v>
      </c>
      <c r="D7209" s="5" t="s">
        <v>10031</v>
      </c>
      <c r="E7209" s="6" t="str">
        <f>HYPERLINK("https://inpn.mnhn.fr/espece/cd_nom/660257","Bacidia viridifarinosa Coppins &amp; P.James, 1992")</f>
        <v>Bacidia viridifarinosa Coppins &amp; P.James, 1992</v>
      </c>
      <c r="AH7209" s="4" t="str">
        <f>HYPERLINK("#Statut_biogéographique!A"&amp;_xlfn.XMATCH("P",Statut_biogéographique!A:A,2,1),"P")</f>
        <v>P</v>
      </c>
      <c r="AP7209" s="4" t="s">
        <v>376</v>
      </c>
      <c r="AR7209" s="4" t="s">
        <v>377</v>
      </c>
    </row>
    <row r="7210" spans="1:44" ht="30">
      <c r="A7210" s="4" t="s">
        <v>5</v>
      </c>
      <c r="B7210" s="4">
        <v>660375</v>
      </c>
      <c r="D7210" s="5" t="s">
        <v>10032</v>
      </c>
      <c r="E7210" s="6" t="str">
        <f>HYPERLINK("https://inpn.mnhn.fr/espece/cd_nom/660375","Arthonia cinnabarina (DC.) Wallr., 1831")</f>
        <v>Arthonia cinnabarina (DC.) Wallr., 1831</v>
      </c>
      <c r="AH7210" s="4" t="str">
        <f>HYPERLINK("#Statut_biogéographique!A"&amp;_xlfn.XMATCH("P",Statut_biogéographique!A:A,2,1),"P")</f>
        <v>P</v>
      </c>
      <c r="AP7210" s="4" t="s">
        <v>376</v>
      </c>
      <c r="AR7210" s="4" t="s">
        <v>377</v>
      </c>
    </row>
    <row r="7211" spans="1:44" ht="45">
      <c r="A7211" s="4" t="s">
        <v>5</v>
      </c>
      <c r="B7211" s="4">
        <v>660397</v>
      </c>
      <c r="D7211" s="5" t="s">
        <v>10033</v>
      </c>
      <c r="E7211" s="6" t="str">
        <f>HYPERLINK("https://inpn.mnhn.fr/espece/cd_nom/660397","Anaptychia ciliaris (L.) Körb. ex A.Massal., 1853")</f>
        <v>Anaptychia ciliaris (L.) Körb. ex A.Massal., 1853</v>
      </c>
      <c r="AH7211" s="4" t="str">
        <f>HYPERLINK("#Statut_biogéographique!A"&amp;_xlfn.XMATCH("P",Statut_biogéographique!A:A,2,1),"P")</f>
        <v>P</v>
      </c>
      <c r="AP7211" s="4" t="s">
        <v>376</v>
      </c>
      <c r="AR7211" s="4" t="s">
        <v>377</v>
      </c>
    </row>
    <row r="7212" spans="1:44" ht="30">
      <c r="A7212" s="4" t="s">
        <v>5</v>
      </c>
      <c r="B7212" s="4">
        <v>660410</v>
      </c>
      <c r="D7212" s="5" t="s">
        <v>10034</v>
      </c>
      <c r="E7212" s="6" t="str">
        <f>HYPERLINK("https://inpn.mnhn.fr/espece/cd_nom/660410","Agonimia gelatinosa (Ach.) M.Brand &amp; Diederich, 1999")</f>
        <v>Agonimia gelatinosa (Ach.) M.Brand &amp; Diederich, 1999</v>
      </c>
      <c r="AH7212" s="4" t="str">
        <f>HYPERLINK("#Statut_biogéographique!A"&amp;_xlfn.XMATCH("P",Statut_biogéographique!A:A,2,1),"P")</f>
        <v>P</v>
      </c>
      <c r="AP7212" s="4" t="s">
        <v>376</v>
      </c>
      <c r="AR7212" s="4" t="s">
        <v>377</v>
      </c>
    </row>
    <row r="7213" spans="1:44" ht="30">
      <c r="A7213" s="4" t="s">
        <v>5</v>
      </c>
      <c r="B7213" s="4">
        <v>660465</v>
      </c>
      <c r="D7213" s="5" t="s">
        <v>10035</v>
      </c>
      <c r="E7213" s="6" t="str">
        <f>HYPERLINK("https://inpn.mnhn.fr/espece/cd_nom/660465","Xanthoparmelia pulla (Ach.) O.Blanco, A.Crespo, Elix, D.Hawksw. &amp; Lumbsch, 2004")</f>
        <v>Xanthoparmelia pulla (Ach.) O.Blanco, A.Crespo, Elix, D.Hawksw. &amp; Lumbsch, 2004</v>
      </c>
      <c r="AH7213" s="4" t="str">
        <f>HYPERLINK("#Statut_biogéographique!A"&amp;_xlfn.XMATCH("P",Statut_biogéographique!A:A,2,1),"P")</f>
        <v>P</v>
      </c>
      <c r="AP7213" s="4" t="s">
        <v>376</v>
      </c>
      <c r="AR7213" s="4" t="s">
        <v>377</v>
      </c>
    </row>
    <row r="7214" spans="1:44" ht="30">
      <c r="A7214" s="4" t="s">
        <v>5</v>
      </c>
      <c r="B7214" s="4">
        <v>660474</v>
      </c>
      <c r="D7214" s="5" t="s">
        <v>10036</v>
      </c>
      <c r="E7214" s="6" t="str">
        <f>HYPERLINK("https://inpn.mnhn.fr/espece/cd_nom/660474","Dermatocarpon luridum (Dill. ex With.) J.R.Laundon, 1984")</f>
        <v>Dermatocarpon luridum (Dill. ex With.) J.R.Laundon, 1984</v>
      </c>
      <c r="AH7214" s="4" t="str">
        <f>HYPERLINK("#Statut_biogéographique!A"&amp;_xlfn.XMATCH("P",Statut_biogéographique!A:A,2,1),"P")</f>
        <v>P</v>
      </c>
      <c r="AP7214" s="4" t="s">
        <v>376</v>
      </c>
      <c r="AR7214" s="4" t="s">
        <v>377</v>
      </c>
    </row>
    <row r="7215" spans="1:44" ht="30">
      <c r="A7215" s="4" t="s">
        <v>5</v>
      </c>
      <c r="B7215" s="4">
        <v>660486</v>
      </c>
      <c r="D7215" s="5" t="s">
        <v>10037</v>
      </c>
      <c r="E7215" s="6" t="str">
        <f>HYPERLINK("https://inpn.mnhn.fr/espece/cd_nom/660486","Pleurosticta acetabulum (Neck.) Elix &amp; Lumbsch, 1988")</f>
        <v>Pleurosticta acetabulum (Neck.) Elix &amp; Lumbsch, 1988</v>
      </c>
      <c r="AH7215" s="4" t="str">
        <f>HYPERLINK("#Statut_biogéographique!A"&amp;_xlfn.XMATCH("P",Statut_biogéographique!A:A,2,1),"P")</f>
        <v>P</v>
      </c>
      <c r="AP7215" s="4" t="s">
        <v>376</v>
      </c>
      <c r="AR7215" s="4" t="s">
        <v>377</v>
      </c>
    </row>
    <row r="7216" spans="1:44">
      <c r="A7216" s="4" t="s">
        <v>5</v>
      </c>
      <c r="B7216" s="4">
        <v>660489</v>
      </c>
      <c r="D7216" s="5" t="s">
        <v>10038</v>
      </c>
      <c r="E7216" s="6" t="str">
        <f>HYPERLINK("https://inpn.mnhn.fr/espece/cd_nom/660489","Protoblastenia calva (Dicks.) Zahlbr., 1930")</f>
        <v>Protoblastenia calva (Dicks.) Zahlbr., 1930</v>
      </c>
      <c r="AH7216" s="4" t="str">
        <f>HYPERLINK("#Statut_biogéographique!A"&amp;_xlfn.XMATCH("P",Statut_biogéographique!A:A,2,1),"P")</f>
        <v>P</v>
      </c>
      <c r="AP7216" s="4" t="s">
        <v>376</v>
      </c>
      <c r="AR7216" s="4" t="s">
        <v>377</v>
      </c>
    </row>
    <row r="7217" spans="1:44">
      <c r="A7217" s="4" t="s">
        <v>5</v>
      </c>
      <c r="B7217" s="4">
        <v>660505</v>
      </c>
      <c r="D7217" s="5" t="s">
        <v>10039</v>
      </c>
      <c r="E7217" s="6" t="str">
        <f>HYPERLINK("https://inpn.mnhn.fr/espece/cd_nom/660505","Cetraria aculeata (Schreb.) Fr., 1826")</f>
        <v>Cetraria aculeata (Schreb.) Fr., 1826</v>
      </c>
      <c r="AH7217" s="4" t="str">
        <f>HYPERLINK("#Statut_biogéographique!A"&amp;_xlfn.XMATCH("P",Statut_biogéographique!A:A,2,1),"P")</f>
        <v>P</v>
      </c>
      <c r="AP7217" s="4" t="s">
        <v>376</v>
      </c>
      <c r="AR7217" s="4" t="s">
        <v>377</v>
      </c>
    </row>
    <row r="7218" spans="1:44">
      <c r="A7218" s="4" t="s">
        <v>5</v>
      </c>
      <c r="B7218" s="4">
        <v>660509</v>
      </c>
      <c r="C7218" s="4">
        <v>5260</v>
      </c>
      <c r="D7218" s="5" t="s">
        <v>10040</v>
      </c>
      <c r="E7218" s="6" t="str">
        <f>HYPERLINK("https://inpn.mnhn.fr/espece/cd_nom/660509","Lecanora allophana (Ach.) Nyl., 1872")</f>
        <v>Lecanora allophana (Ach.) Nyl., 1872</v>
      </c>
      <c r="AH7218" s="4" t="str">
        <f>HYPERLINK("#Statut_biogéographique!A"&amp;_xlfn.XMATCH("P",Statut_biogéographique!A:A,2,1),"P")</f>
        <v>P</v>
      </c>
      <c r="AP7218" s="4" t="s">
        <v>376</v>
      </c>
      <c r="AR7218" s="4" t="s">
        <v>377</v>
      </c>
    </row>
    <row r="7219" spans="1:44" ht="30">
      <c r="A7219" s="4" t="s">
        <v>5</v>
      </c>
      <c r="B7219" s="4">
        <v>660515</v>
      </c>
      <c r="D7219" s="5" t="s">
        <v>10041</v>
      </c>
      <c r="E7219" s="6" t="str">
        <f>HYPERLINK("https://inpn.mnhn.fr/espece/cd_nom/660515","Lobothallia radiosa (Hoffm.) Hafellner, 1991")</f>
        <v>Lobothallia radiosa (Hoffm.) Hafellner, 1991</v>
      </c>
      <c r="AH7219" s="4" t="str">
        <f>HYPERLINK("#Statut_biogéographique!A"&amp;_xlfn.XMATCH("P",Statut_biogéographique!A:A,2,1),"P")</f>
        <v>P</v>
      </c>
      <c r="AP7219" s="4" t="s">
        <v>376</v>
      </c>
      <c r="AR7219" s="4" t="s">
        <v>377</v>
      </c>
    </row>
    <row r="7220" spans="1:44">
      <c r="A7220" s="4" t="s">
        <v>5</v>
      </c>
      <c r="B7220" s="4">
        <v>660528</v>
      </c>
      <c r="D7220" s="5" t="s">
        <v>10042</v>
      </c>
      <c r="E7220" s="6" t="str">
        <f>HYPERLINK("https://inpn.mnhn.fr/espece/cd_nom/660528","Arthopyrenia calcarea Müll.Arg., 1894")</f>
        <v>Arthopyrenia calcarea Müll.Arg., 1894</v>
      </c>
      <c r="AH7220" s="4" t="str">
        <f>HYPERLINK("#Statut_biogéographique!A"&amp;_xlfn.XMATCH("Q",Statut_biogéographique!A:A,2,1),"Q")</f>
        <v>Q</v>
      </c>
      <c r="AP7220" s="4" t="s">
        <v>376</v>
      </c>
      <c r="AR7220" s="4" t="s">
        <v>377</v>
      </c>
    </row>
    <row r="7221" spans="1:44">
      <c r="A7221" s="4" t="s">
        <v>5</v>
      </c>
      <c r="B7221" s="4">
        <v>660538</v>
      </c>
      <c r="C7221" s="4">
        <v>6740</v>
      </c>
      <c r="D7221" s="5" t="s">
        <v>10043</v>
      </c>
      <c r="E7221" s="6" t="str">
        <f>HYPERLINK("https://inpn.mnhn.fr/espece/cd_nom/660538","Graphis betulina (Pers.) Gray, 1821")</f>
        <v>Graphis betulina (Pers.) Gray, 1821</v>
      </c>
      <c r="AH7221" s="4" t="str">
        <f>HYPERLINK("#Statut_biogéographique!A"&amp;_xlfn.XMATCH("P",Statut_biogéographique!A:A,2,1),"P")</f>
        <v>P</v>
      </c>
      <c r="AP7221" s="4" t="s">
        <v>376</v>
      </c>
      <c r="AR7221" s="4" t="s">
        <v>377</v>
      </c>
    </row>
    <row r="7222" spans="1:44" ht="60">
      <c r="A7222" s="4" t="s">
        <v>5</v>
      </c>
      <c r="B7222" s="4">
        <v>660540</v>
      </c>
      <c r="C7222" s="4">
        <v>6537</v>
      </c>
      <c r="D7222" s="5" t="s">
        <v>10044</v>
      </c>
      <c r="E7222" s="6" t="str">
        <f>HYPERLINK("https://inpn.mnhn.fr/espece/cd_nom/660540","Graphis pulverulenta (Pers.) Ach., 1809")</f>
        <v>Graphis pulverulenta (Pers.) Ach., 1809</v>
      </c>
      <c r="AH7222" s="4" t="str">
        <f>HYPERLINK("#Statut_biogéographique!A"&amp;_xlfn.XMATCH("P",Statut_biogéographique!A:A,2,1),"P")</f>
        <v>P</v>
      </c>
      <c r="AP7222" s="4" t="s">
        <v>376</v>
      </c>
      <c r="AR7222" s="4" t="s">
        <v>377</v>
      </c>
    </row>
    <row r="7223" spans="1:44" ht="30">
      <c r="A7223" s="4" t="s">
        <v>5</v>
      </c>
      <c r="B7223" s="4">
        <v>660601</v>
      </c>
      <c r="D7223" s="5" t="s">
        <v>10045</v>
      </c>
      <c r="E7223" s="6" t="str">
        <f>HYPERLINK("https://inpn.mnhn.fr/espece/cd_nom/660601","Cladonia furcata subsp. subrangiformis (L.Scriba ex Sandst.) Pišút, 1961")</f>
        <v>Cladonia furcata subsp. subrangiformis (L.Scriba ex Sandst.) Pišút, 1961</v>
      </c>
      <c r="AH7223" s="4" t="str">
        <f>HYPERLINK("#Statut_biogéographique!A"&amp;_xlfn.XMATCH("P",Statut_biogéographique!A:A,2,1),"P")</f>
        <v>P</v>
      </c>
      <c r="AP7223" s="4" t="s">
        <v>376</v>
      </c>
      <c r="AR7223" s="4" t="s">
        <v>377</v>
      </c>
    </row>
    <row r="7224" spans="1:44" ht="30">
      <c r="A7224" s="4" t="s">
        <v>5</v>
      </c>
      <c r="B7224" s="4">
        <v>660604</v>
      </c>
      <c r="D7224" s="5" t="s">
        <v>10046</v>
      </c>
      <c r="E7224" s="6" t="str">
        <f>HYPERLINK("https://inpn.mnhn.fr/espece/cd_nom/660604","Cladonia arbuscula subsp. mitis (Sandst.) Ruoss, 1987")</f>
        <v>Cladonia arbuscula subsp. mitis (Sandst.) Ruoss, 1987</v>
      </c>
      <c r="K7224" s="4" t="str">
        <f>HYPERLINK("#Réglementation!A"&amp;_xlfn.XMATCH("CDH5",Réglementation!A:A,2,1),"CDH5")</f>
        <v>CDH5</v>
      </c>
      <c r="AH7224" s="4" t="str">
        <f>HYPERLINK("#Statut_biogéographique!A"&amp;_xlfn.XMATCH("P",Statut_biogéographique!A:A,2,1),"P")</f>
        <v>P</v>
      </c>
      <c r="AP7224" s="4" t="s">
        <v>376</v>
      </c>
      <c r="AR7224" s="4" t="s">
        <v>377</v>
      </c>
    </row>
    <row r="7225" spans="1:44" ht="30">
      <c r="A7225" s="4" t="s">
        <v>5</v>
      </c>
      <c r="B7225" s="4">
        <v>660645</v>
      </c>
      <c r="D7225" s="5" t="s">
        <v>10047</v>
      </c>
      <c r="E7225" s="6" t="str">
        <f>HYPERLINK("https://inpn.mnhn.fr/espece/cd_nom/660645","Cetraria islandica subsp. islandica (L.) Ach., 1803")</f>
        <v>Cetraria islandica subsp. islandica (L.) Ach., 1803</v>
      </c>
      <c r="AH7225" s="4" t="str">
        <f>HYPERLINK("#Statut_biogéographique!A"&amp;_xlfn.XMATCH("P",Statut_biogéographique!A:A,2,1),"P")</f>
        <v>P</v>
      </c>
      <c r="AP7225" s="4" t="s">
        <v>376</v>
      </c>
      <c r="AR7225" s="4" t="s">
        <v>377</v>
      </c>
    </row>
    <row r="7226" spans="1:44" ht="45">
      <c r="A7226" s="4" t="s">
        <v>5</v>
      </c>
      <c r="B7226" s="4">
        <v>660654</v>
      </c>
      <c r="D7226" s="5" t="s">
        <v>10048</v>
      </c>
      <c r="E7226" s="6" t="str">
        <f>HYPERLINK("https://inpn.mnhn.fr/espece/cd_nom/660654","Xanthoparmelia pulla var. pulla (Ach.) O.Blanco, A.Crespo, Elix, D.Hawksw. &amp; Lumbsch, 2004")</f>
        <v>Xanthoparmelia pulla var. pulla (Ach.) O.Blanco, A.Crespo, Elix, D.Hawksw. &amp; Lumbsch, 2004</v>
      </c>
      <c r="AH7226" s="4" t="str">
        <f>HYPERLINK("#Statut_biogéographique!A"&amp;_xlfn.XMATCH("P",Statut_biogéographique!A:A,2,1),"P")</f>
        <v>P</v>
      </c>
      <c r="AP7226" s="4" t="s">
        <v>376</v>
      </c>
      <c r="AR7226" s="4" t="s">
        <v>377</v>
      </c>
    </row>
    <row r="7227" spans="1:44" ht="45">
      <c r="A7227" s="4" t="s">
        <v>5</v>
      </c>
      <c r="B7227" s="4">
        <v>660680</v>
      </c>
      <c r="D7227" s="5" t="s">
        <v>10049</v>
      </c>
      <c r="E7227" s="6" t="str">
        <f>HYPERLINK("https://inpn.mnhn.fr/espece/cd_nom/660680","Physconia distorta var. distorta (With.) J.R.Laundon, 1984")</f>
        <v>Physconia distorta var. distorta (With.) J.R.Laundon, 1984</v>
      </c>
      <c r="AH7227" s="4" t="str">
        <f>HYPERLINK("#Statut_biogéographique!A"&amp;_xlfn.XMATCH("P",Statut_biogéographique!A:A,2,1),"P")</f>
        <v>P</v>
      </c>
      <c r="AP7227" s="4" t="s">
        <v>376</v>
      </c>
      <c r="AR7227" s="4" t="s">
        <v>377</v>
      </c>
    </row>
    <row r="7228" spans="1:44" ht="30">
      <c r="A7228" s="4" t="s">
        <v>5</v>
      </c>
      <c r="B7228" s="4">
        <v>660704</v>
      </c>
      <c r="D7228" s="5" t="s">
        <v>10050</v>
      </c>
      <c r="E7228" s="6" t="str">
        <f>HYPERLINK("https://inpn.mnhn.fr/espece/cd_nom/660704","Dermatocarpon luridum var. luridum (Dill. ex With.) J.R.Laundon, 1984")</f>
        <v>Dermatocarpon luridum var. luridum (Dill. ex With.) J.R.Laundon, 1984</v>
      </c>
      <c r="AH7228" s="4" t="str">
        <f>HYPERLINK("#Statut_biogéographique!A"&amp;_xlfn.XMATCH("P",Statut_biogéographique!A:A,2,1),"P")</f>
        <v>P</v>
      </c>
      <c r="AP7228" s="4" t="s">
        <v>376</v>
      </c>
      <c r="AR7228" s="4" t="s">
        <v>377</v>
      </c>
    </row>
    <row r="7229" spans="1:44" ht="30">
      <c r="A7229" s="4" t="s">
        <v>5</v>
      </c>
      <c r="B7229" s="4">
        <v>660717</v>
      </c>
      <c r="D7229" s="5" t="s">
        <v>10051</v>
      </c>
      <c r="E7229" s="6" t="str">
        <f>HYPERLINK("https://inpn.mnhn.fr/espece/cd_nom/660717","Caloplaca flavescens var. flavescens (Huds.) J. R. Laundon")</f>
        <v>Caloplaca flavescens var. flavescens (Huds.) J. R. Laundon</v>
      </c>
      <c r="AH7229" s="4" t="str">
        <f>HYPERLINK("#Statut_biogéographique!A"&amp;_xlfn.XMATCH("P",Statut_biogéographique!A:A,2,1),"P")</f>
        <v>P</v>
      </c>
      <c r="AP7229" s="4" t="s">
        <v>376</v>
      </c>
      <c r="AR7229" s="4" t="s">
        <v>377</v>
      </c>
    </row>
    <row r="7230" spans="1:44">
      <c r="A7230" s="4" t="s">
        <v>5</v>
      </c>
      <c r="B7230" s="4">
        <v>716767</v>
      </c>
      <c r="C7230" s="4">
        <v>2482</v>
      </c>
      <c r="D7230" s="5" t="s">
        <v>10052</v>
      </c>
      <c r="E7230" s="6" t="str">
        <f>HYPERLINK("https://inpn.mnhn.fr/espece/cd_nom/716767","Elaphomyces anthracinus Vittad., 1831")</f>
        <v>Elaphomyces anthracinus Vittad., 1831</v>
      </c>
      <c r="V7230" s="7" t="str">
        <f>HYPERLINK("#Liste_rouge!A"&amp;_xlfn.XMATCH("CR",Liste_rouge!A:A,2,1),"CR")</f>
        <v>CR</v>
      </c>
      <c r="W7230" s="4" t="str">
        <f>HYPERLINK("#Critères_liste_rouge!A$1","B2abiii")</f>
        <v>B2abiii</v>
      </c>
      <c r="Z7230" s="4" t="s">
        <v>447</v>
      </c>
      <c r="AA7230" s="4" t="s">
        <v>448</v>
      </c>
      <c r="AH7230" s="4" t="str">
        <f>HYPERLINK("#Statut_biogéographique!A"&amp;_xlfn.XMATCH("P",Statut_biogéographique!A:A,2,1),"P")</f>
        <v>P</v>
      </c>
      <c r="AP7230" s="4" t="s">
        <v>376</v>
      </c>
      <c r="AR7230" s="4" t="s">
        <v>377</v>
      </c>
    </row>
    <row r="7231" spans="1:44">
      <c r="A7231" s="4" t="s">
        <v>5</v>
      </c>
      <c r="B7231" s="4">
        <v>786121</v>
      </c>
      <c r="C7231" s="4">
        <v>5541</v>
      </c>
      <c r="D7231" s="5" t="s">
        <v>10053</v>
      </c>
      <c r="E7231" s="6" t="str">
        <f>HYPERLINK("https://inpn.mnhn.fr/espece/cd_nom/786121","Graphis intricata Fée, 1825")</f>
        <v>Graphis intricata Fée, 1825</v>
      </c>
      <c r="AP7231" s="4" t="s">
        <v>376</v>
      </c>
      <c r="AR7231" s="4" t="s">
        <v>377</v>
      </c>
    </row>
    <row r="7232" spans="1:44" ht="30">
      <c r="A7232" s="4" t="s">
        <v>5</v>
      </c>
      <c r="B7232" s="4">
        <v>803901</v>
      </c>
      <c r="C7232" s="4">
        <v>4417</v>
      </c>
      <c r="D7232" s="5" t="s">
        <v>10054</v>
      </c>
      <c r="E7232" s="6" t="str">
        <f>HYPERLINK("https://inpn.mnhn.fr/espece/cd_nom/803901","Byssosphaeria schiedermayeriana (Fuckel) M.E.Barr, 1984")</f>
        <v>Byssosphaeria schiedermayeriana (Fuckel) M.E.Barr, 1984</v>
      </c>
      <c r="AH7232" s="4" t="str">
        <f>HYPERLINK("#Statut_biogéographique!A"&amp;_xlfn.XMATCH("P",Statut_biogéographique!A:A,2,1),"P")</f>
        <v>P</v>
      </c>
      <c r="AP7232" s="4" t="s">
        <v>376</v>
      </c>
      <c r="AR7232" s="4" t="s">
        <v>377</v>
      </c>
    </row>
    <row r="7233" spans="1:44" ht="30">
      <c r="A7233" s="4" t="s">
        <v>5</v>
      </c>
      <c r="B7233" s="4">
        <v>804026</v>
      </c>
      <c r="C7233" s="4">
        <v>3996</v>
      </c>
      <c r="D7233" s="5" t="s">
        <v>10055</v>
      </c>
      <c r="E7233" s="6" t="str">
        <f>HYPERLINK("https://inpn.mnhn.fr/espece/cd_nom/804026","Iodosphaeria phyllophila (Mouton) Samuels, E.Müll. &amp; Petrini, 1987")</f>
        <v>Iodosphaeria phyllophila (Mouton) Samuels, E.Müll. &amp; Petrini, 1987</v>
      </c>
      <c r="AH7233" s="4" t="str">
        <f>HYPERLINK("#Statut_biogéographique!A"&amp;_xlfn.XMATCH("P",Statut_biogéographique!A:A,2,1),"P")</f>
        <v>P</v>
      </c>
      <c r="AP7233" s="4" t="s">
        <v>376</v>
      </c>
      <c r="AR7233" s="4" t="s">
        <v>377</v>
      </c>
    </row>
    <row r="7234" spans="1:44">
      <c r="A7234" s="4" t="s">
        <v>5</v>
      </c>
      <c r="B7234" s="4">
        <v>804596</v>
      </c>
      <c r="D7234" s="5" t="s">
        <v>10056</v>
      </c>
      <c r="E7234" s="6" t="str">
        <f>HYPERLINK("https://inpn.mnhn.fr/espece/cd_nom/804596","Diderma fallax (Rostaf.) Lado, 2001")</f>
        <v>Diderma fallax (Rostaf.) Lado, 2001</v>
      </c>
      <c r="AH7234" s="4" t="str">
        <f>HYPERLINK("#Statut_biogéographique!A"&amp;_xlfn.XMATCH("P",Statut_biogéographique!A:A,2,1),"P")</f>
        <v>P</v>
      </c>
      <c r="AP7234" s="4" t="s">
        <v>376</v>
      </c>
      <c r="AR7234" s="4" t="s">
        <v>377</v>
      </c>
    </row>
    <row r="7235" spans="1:44">
      <c r="A7235" s="4" t="s">
        <v>5</v>
      </c>
      <c r="B7235" s="4">
        <v>804604</v>
      </c>
      <c r="C7235" s="4">
        <v>4162</v>
      </c>
      <c r="D7235" s="5" t="s">
        <v>10057</v>
      </c>
      <c r="E7235" s="6" t="str">
        <f>HYPERLINK("https://inpn.mnhn.fr/espece/cd_nom/804604","Diderma subviridifuscum Buyck, 1988")</f>
        <v>Diderma subviridifuscum Buyck, 1988</v>
      </c>
      <c r="AH7235" s="4" t="str">
        <f>HYPERLINK("#Statut_biogéographique!A"&amp;_xlfn.XMATCH("P",Statut_biogéographique!A:A,2,1),"P")</f>
        <v>P</v>
      </c>
      <c r="AP7235" s="4" t="s">
        <v>376</v>
      </c>
      <c r="AR7235" s="4" t="s">
        <v>377</v>
      </c>
    </row>
    <row r="7236" spans="1:44" ht="30">
      <c r="A7236" s="4" t="s">
        <v>5</v>
      </c>
      <c r="B7236" s="4">
        <v>804611</v>
      </c>
      <c r="C7236" s="4">
        <v>6066</v>
      </c>
      <c r="D7236" s="5" t="s">
        <v>10058</v>
      </c>
      <c r="E7236" s="6" t="str">
        <f>HYPERLINK("https://inpn.mnhn.fr/espece/cd_nom/804611","Diderma meyerae H.Singer, G.Moreno, Illana &amp; A.Sánchez, 2003")</f>
        <v>Diderma meyerae H.Singer, G.Moreno, Illana &amp; A.Sánchez, 2003</v>
      </c>
      <c r="AH7236" s="4" t="str">
        <f>HYPERLINK("#Statut_biogéographique!A"&amp;_xlfn.XMATCH("P",Statut_biogéographique!A:A,2,1),"P")</f>
        <v>P</v>
      </c>
      <c r="AP7236" s="4" t="s">
        <v>376</v>
      </c>
      <c r="AR7236" s="4" t="s">
        <v>377</v>
      </c>
    </row>
    <row r="7237" spans="1:44" ht="30">
      <c r="A7237" s="4" t="s">
        <v>5</v>
      </c>
      <c r="B7237" s="4">
        <v>804616</v>
      </c>
      <c r="C7237" s="4">
        <v>4799</v>
      </c>
      <c r="D7237" s="5" t="s">
        <v>10059</v>
      </c>
      <c r="E7237" s="6" t="str">
        <f>HYPERLINK("https://inpn.mnhn.fr/espece/cd_nom/804616","Fuligo leviderma H.Neubert, Nowotny &amp; K.Baumann, 1995")</f>
        <v>Fuligo leviderma H.Neubert, Nowotny &amp; K.Baumann, 1995</v>
      </c>
      <c r="AH7237" s="4" t="str">
        <f>HYPERLINK("#Statut_biogéographique!A"&amp;_xlfn.XMATCH("P",Statut_biogéographique!A:A,2,1),"P")</f>
        <v>P</v>
      </c>
      <c r="AP7237" s="4" t="s">
        <v>376</v>
      </c>
      <c r="AR7237" s="4" t="s">
        <v>377</v>
      </c>
    </row>
    <row r="7238" spans="1:44" ht="30">
      <c r="A7238" s="4" t="s">
        <v>5</v>
      </c>
      <c r="B7238" s="4">
        <v>804617</v>
      </c>
      <c r="C7238" s="4">
        <v>5093</v>
      </c>
      <c r="D7238" s="5" t="s">
        <v>10060</v>
      </c>
      <c r="E7238" s="6" t="str">
        <f>HYPERLINK("https://inpn.mnhn.fr/espece/cd_nom/804617","Fuligo luteonitens L.G.Krieglst. &amp; Nowotny, 1995")</f>
        <v>Fuligo luteonitens L.G.Krieglst. &amp; Nowotny, 1995</v>
      </c>
      <c r="AH7238" s="4" t="str">
        <f>HYPERLINK("#Statut_biogéographique!A"&amp;_xlfn.XMATCH("P",Statut_biogéographique!A:A,2,1),"P")</f>
        <v>P</v>
      </c>
      <c r="AP7238" s="4" t="s">
        <v>376</v>
      </c>
      <c r="AR7238" s="4" t="s">
        <v>377</v>
      </c>
    </row>
    <row r="7239" spans="1:44" ht="30">
      <c r="A7239" s="4" t="s">
        <v>5</v>
      </c>
      <c r="B7239" s="4">
        <v>804625</v>
      </c>
      <c r="C7239" s="4">
        <v>5112</v>
      </c>
      <c r="D7239" s="5" t="s">
        <v>10061</v>
      </c>
      <c r="E7239" s="6" t="str">
        <f>HYPERLINK("https://inpn.mnhn.fr/espece/cd_nom/804625","Lamproderma ovoideoechinulatum Mar.Mey. &amp; Poulain, 2005")</f>
        <v>Lamproderma ovoideoechinulatum Mar.Mey. &amp; Poulain, 2005</v>
      </c>
      <c r="AH7239" s="4" t="str">
        <f>HYPERLINK("#Statut_biogéographique!A"&amp;_xlfn.XMATCH("P",Statut_biogéographique!A:A,2,1),"P")</f>
        <v>P</v>
      </c>
      <c r="AP7239" s="4" t="s">
        <v>376</v>
      </c>
      <c r="AR7239" s="4" t="s">
        <v>377</v>
      </c>
    </row>
    <row r="7240" spans="1:44" ht="30">
      <c r="A7240" s="4" t="s">
        <v>5</v>
      </c>
      <c r="B7240" s="4">
        <v>804631</v>
      </c>
      <c r="C7240" s="4">
        <v>4492</v>
      </c>
      <c r="D7240" s="5" t="s">
        <v>10062</v>
      </c>
      <c r="E7240" s="6" t="str">
        <f>HYPERLINK("https://inpn.mnhn.fr/espece/cd_nom/804631","Lamproderma zonatum Mar.Mey. &amp; Poulain, 2004")</f>
        <v>Lamproderma zonatum Mar.Mey. &amp; Poulain, 2004</v>
      </c>
      <c r="AH7240" s="4" t="str">
        <f>HYPERLINK("#Statut_biogéographique!A"&amp;_xlfn.XMATCH("P",Statut_biogéographique!A:A,2,1),"P")</f>
        <v>P</v>
      </c>
      <c r="AP7240" s="4" t="s">
        <v>376</v>
      </c>
      <c r="AR7240" s="4" t="s">
        <v>377</v>
      </c>
    </row>
    <row r="7241" spans="1:44" ht="30">
      <c r="A7241" s="4" t="s">
        <v>5</v>
      </c>
      <c r="B7241" s="4">
        <v>804649</v>
      </c>
      <c r="C7241" s="4">
        <v>4870</v>
      </c>
      <c r="D7241" s="5" t="s">
        <v>10063</v>
      </c>
      <c r="E7241" s="6" t="str">
        <f>HYPERLINK("https://inpn.mnhn.fr/espece/cd_nom/804649","Meriderma cribrarioides (Fr.) Mar.Mey. &amp; Poulain, 2011")</f>
        <v>Meriderma cribrarioides (Fr.) Mar.Mey. &amp; Poulain, 2011</v>
      </c>
      <c r="AH7241" s="4" t="str">
        <f>HYPERLINK("#Statut_biogéographique!A"&amp;_xlfn.XMATCH("P",Statut_biogéographique!A:A,2,1),"P")</f>
        <v>P</v>
      </c>
      <c r="AP7241" s="4" t="s">
        <v>376</v>
      </c>
      <c r="AR7241" s="4" t="s">
        <v>377</v>
      </c>
    </row>
    <row r="7242" spans="1:44">
      <c r="A7242" s="4" t="s">
        <v>5</v>
      </c>
      <c r="B7242" s="4">
        <v>805627</v>
      </c>
      <c r="C7242" s="4">
        <v>5095</v>
      </c>
      <c r="D7242" s="5" t="s">
        <v>10064</v>
      </c>
      <c r="E7242" s="6" t="str">
        <f>HYPERLINK("https://inpn.mnhn.fr/espece/cd_nom/805627","Fuligo candida Pers., 1796")</f>
        <v>Fuligo candida Pers., 1796</v>
      </c>
      <c r="F7242" s="5" t="s">
        <v>10065</v>
      </c>
      <c r="AH7242" s="4" t="str">
        <f>HYPERLINK("#Statut_biogéographique!A"&amp;_xlfn.XMATCH("D",Statut_biogéographique!A:A,2,1),"D")</f>
        <v>D</v>
      </c>
      <c r="AP7242" s="4" t="s">
        <v>376</v>
      </c>
      <c r="AR7242" s="4" t="s">
        <v>377</v>
      </c>
    </row>
    <row r="7243" spans="1:44">
      <c r="A7243" s="4" t="s">
        <v>5</v>
      </c>
      <c r="B7243" s="4">
        <v>806852</v>
      </c>
      <c r="C7243" s="4">
        <v>5696</v>
      </c>
      <c r="D7243" s="5" t="s">
        <v>10066</v>
      </c>
      <c r="E7243" s="6" t="str">
        <f>HYPERLINK("https://inpn.mnhn.fr/espece/cd_nom/806852","Amanita fulvoides Neville &amp; Poumarat, 2009")</f>
        <v>Amanita fulvoides Neville &amp; Poumarat, 2009</v>
      </c>
      <c r="F7243" s="5" t="s">
        <v>10067</v>
      </c>
      <c r="V7243" s="7" t="str">
        <f>HYPERLINK("#Liste_rouge!A"&amp;_xlfn.XMATCH("DD",Liste_rouge!A:A,2,1),"DD")</f>
        <v>DD</v>
      </c>
      <c r="AH7243" s="4" t="str">
        <f>HYPERLINK("#Statut_biogéographique!A"&amp;_xlfn.XMATCH("E",Statut_biogéographique!A:A,2,1),"E")</f>
        <v>E</v>
      </c>
      <c r="AP7243" s="4" t="s">
        <v>376</v>
      </c>
      <c r="AR7243" s="4" t="s">
        <v>377</v>
      </c>
    </row>
    <row r="7244" spans="1:44">
      <c r="A7244" s="4" t="s">
        <v>5</v>
      </c>
      <c r="B7244" s="4">
        <v>8089</v>
      </c>
      <c r="C7244" s="4">
        <v>4929</v>
      </c>
      <c r="D7244" s="5" t="s">
        <v>10068</v>
      </c>
      <c r="E7244" s="6" t="str">
        <f>HYPERLINK("https://inpn.mnhn.fr/espece/cd_nom/8089","Hydropus scabripes (Murrill) Singer, 1962")</f>
        <v>Hydropus scabripes (Murrill) Singer, 1962</v>
      </c>
      <c r="F7244" s="5" t="s">
        <v>10069</v>
      </c>
      <c r="V7244" s="7" t="str">
        <f>HYPERLINK("#Liste_rouge!A"&amp;_xlfn.XMATCH("DD",Liste_rouge!A:A,2,1),"DD")</f>
        <v>DD</v>
      </c>
      <c r="AH7244" s="4" t="str">
        <f>HYPERLINK("#Statut_biogéographique!A"&amp;_xlfn.XMATCH("P",Statut_biogéographique!A:A,2,1),"P")</f>
        <v>P</v>
      </c>
      <c r="AP7244" s="4" t="s">
        <v>376</v>
      </c>
      <c r="AR7244" s="4" t="s">
        <v>377</v>
      </c>
    </row>
    <row r="7245" spans="1:44">
      <c r="A7245" s="4" t="s">
        <v>5</v>
      </c>
      <c r="B7245" s="4">
        <v>809566</v>
      </c>
      <c r="C7245" s="4">
        <v>2945</v>
      </c>
      <c r="D7245" s="5" t="s">
        <v>10070</v>
      </c>
      <c r="E7245" s="6" t="str">
        <f>HYPERLINK("https://inpn.mnhn.fr/espece/cd_nom/809566","Geoglossum umbratile Sacc., 1878")</f>
        <v>Geoglossum umbratile Sacc., 1878</v>
      </c>
      <c r="V7245" s="7" t="str">
        <f>HYPERLINK("#Liste_rouge!A"&amp;_xlfn.XMATCH("EN",Liste_rouge!A:A,2,1),"EN")</f>
        <v>EN</v>
      </c>
      <c r="W7245" s="4" t="str">
        <f>HYPERLINK("#Critères_liste_rouge!A$1","A2c")</f>
        <v>A2c</v>
      </c>
      <c r="Z7245" s="4" t="s">
        <v>447</v>
      </c>
      <c r="AA7245" s="4" t="s">
        <v>448</v>
      </c>
      <c r="AH7245" s="4" t="str">
        <f>HYPERLINK("#Statut_biogéographique!A"&amp;_xlfn.XMATCH("P",Statut_biogéographique!A:A,2,1),"P")</f>
        <v>P</v>
      </c>
      <c r="AP7245" s="4" t="s">
        <v>376</v>
      </c>
      <c r="AR7245" s="4" t="s">
        <v>377</v>
      </c>
    </row>
    <row r="7246" spans="1:44" ht="45">
      <c r="A7246" s="4" t="s">
        <v>5</v>
      </c>
      <c r="B7246" s="4">
        <v>814216</v>
      </c>
      <c r="D7246" s="5" t="s">
        <v>10071</v>
      </c>
      <c r="E7246" s="6" t="str">
        <f>HYPERLINK("https://inpn.mnhn.fr/espece/cd_nom/814216","Phellinopsis conchata (Pers.) Y.C.Dai, 2010")</f>
        <v>Phellinopsis conchata (Pers.) Y.C.Dai, 2010</v>
      </c>
      <c r="F7246" s="5" t="s">
        <v>10072</v>
      </c>
      <c r="V7246" s="7" t="str">
        <f>HYPERLINK("#Liste_rouge!A"&amp;_xlfn.XMATCH("LC",Liste_rouge!A:A,2,1),"LC")</f>
        <v>LC</v>
      </c>
      <c r="AH7246" s="4" t="str">
        <f>HYPERLINK("#Statut_biogéographique!A"&amp;_xlfn.XMATCH("P",Statut_biogéographique!A:A,2,1),"P")</f>
        <v>P</v>
      </c>
      <c r="AP7246" s="4" t="s">
        <v>376</v>
      </c>
      <c r="AR7246" s="4" t="s">
        <v>377</v>
      </c>
    </row>
    <row r="7247" spans="1:44">
      <c r="A7247" s="4" t="s">
        <v>5</v>
      </c>
      <c r="B7247" s="4">
        <v>837412</v>
      </c>
      <c r="C7247" s="4">
        <v>6823</v>
      </c>
      <c r="D7247" s="5" t="s">
        <v>10073</v>
      </c>
      <c r="E7247" s="6" t="str">
        <f>HYPERLINK("https://inpn.mnhn.fr/espece/cd_nom/837412","Daldinia childiae J.D.Rogers &amp; Y.M.Ju, 1999")</f>
        <v>Daldinia childiae J.D.Rogers &amp; Y.M.Ju, 1999</v>
      </c>
      <c r="F7247" s="5" t="s">
        <v>10074</v>
      </c>
      <c r="AH7247" s="4" t="str">
        <f>HYPERLINK("#Statut_biogéographique!A"&amp;_xlfn.XMATCH("P",Statut_biogéographique!A:A,2,1),"P")</f>
        <v>P</v>
      </c>
      <c r="AP7247" s="4" t="s">
        <v>376</v>
      </c>
      <c r="AR7247" s="4" t="s">
        <v>377</v>
      </c>
    </row>
    <row r="7248" spans="1:44" ht="30">
      <c r="A7248" s="4" t="s">
        <v>5</v>
      </c>
      <c r="B7248" s="4">
        <v>840423</v>
      </c>
      <c r="C7248" s="4">
        <v>4966</v>
      </c>
      <c r="D7248" s="5" t="s">
        <v>10075</v>
      </c>
      <c r="E7248" s="6" t="str">
        <f>HYPERLINK("https://inpn.mnhn.fr/espece/cd_nom/840423","Cribraria cancellata var. cancellata (Batsch) Nann.-Bremek., 1975")</f>
        <v>Cribraria cancellata var. cancellata (Batsch) Nann.-Bremek., 1975</v>
      </c>
      <c r="AP7248" s="4" t="s">
        <v>376</v>
      </c>
      <c r="AR7248" s="4" t="s">
        <v>377</v>
      </c>
    </row>
    <row r="7249" spans="1:44" ht="30">
      <c r="A7249" s="4" t="s">
        <v>5</v>
      </c>
      <c r="B7249" s="4">
        <v>845063</v>
      </c>
      <c r="D7249" s="5">
        <v>845063</v>
      </c>
      <c r="E7249" s="6" t="str">
        <f>HYPERLINK("https://inpn.mnhn.fr/espece/cd_nom/845063","Phaeospora everniae Etayo &amp; van den Boom, 2014")</f>
        <v>Phaeospora everniae Etayo &amp; van den Boom, 2014</v>
      </c>
      <c r="AH7249" s="4" t="str">
        <f>HYPERLINK("#Statut_biogéographique!A"&amp;_xlfn.XMATCH("P",Statut_biogéographique!A:A,2,1),"P")</f>
        <v>P</v>
      </c>
      <c r="AP7249" s="4" t="s">
        <v>376</v>
      </c>
      <c r="AR7249" s="4" t="s">
        <v>377</v>
      </c>
    </row>
    <row r="7250" spans="1:44">
      <c r="A7250" s="4" t="s">
        <v>5</v>
      </c>
      <c r="B7250" s="4">
        <v>852880</v>
      </c>
      <c r="D7250" s="5" t="s">
        <v>10076</v>
      </c>
      <c r="E7250" s="6" t="str">
        <f>HYPERLINK("https://inpn.mnhn.fr/espece/cd_nom/852880","Hyalorbilia berberidis (Velen.) Baral, 2001")</f>
        <v>Hyalorbilia berberidis (Velen.) Baral, 2001</v>
      </c>
      <c r="AH7250" s="4" t="str">
        <f>HYPERLINK("#Statut_biogéographique!A"&amp;_xlfn.XMATCH("P",Statut_biogéographique!A:A,2,1),"P")</f>
        <v>P</v>
      </c>
      <c r="AP7250" s="4" t="s">
        <v>376</v>
      </c>
      <c r="AR7250" s="4" t="s">
        <v>377</v>
      </c>
    </row>
    <row r="7251" spans="1:44">
      <c r="A7251" s="4" t="s">
        <v>5</v>
      </c>
      <c r="B7251" s="4">
        <v>854182</v>
      </c>
      <c r="C7251" s="4">
        <v>3524</v>
      </c>
      <c r="D7251" s="5" t="s">
        <v>10077</v>
      </c>
      <c r="E7251" s="6" t="str">
        <f>HYPERLINK("https://inpn.mnhn.fr/espece/cd_nom/854182","Amphisphaeria congruella P.Karst., 1873")</f>
        <v>Amphisphaeria congruella P.Karst., 1873</v>
      </c>
      <c r="AH7251" s="4" t="str">
        <f>HYPERLINK("#Statut_biogéographique!A"&amp;_xlfn.XMATCH("P",Statut_biogéographique!A:A,2,1),"P")</f>
        <v>P</v>
      </c>
      <c r="AP7251" s="4" t="s">
        <v>376</v>
      </c>
      <c r="AR7251" s="4" t="s">
        <v>377</v>
      </c>
    </row>
    <row r="7252" spans="1:44">
      <c r="A7252" s="4" t="s">
        <v>5</v>
      </c>
      <c r="B7252" s="4">
        <v>854285</v>
      </c>
      <c r="C7252" s="4">
        <v>4982</v>
      </c>
      <c r="D7252" s="5">
        <v>854285</v>
      </c>
      <c r="E7252" s="6" t="str">
        <f>HYPERLINK("https://inpn.mnhn.fr/espece/cd_nom/854285","Ascochyta fibricola Sacc., 1880")</f>
        <v>Ascochyta fibricola Sacc., 1880</v>
      </c>
      <c r="AH7252" s="4" t="str">
        <f>HYPERLINK("#Statut_biogéographique!A"&amp;_xlfn.XMATCH("P",Statut_biogéographique!A:A,2,1),"P")</f>
        <v>P</v>
      </c>
      <c r="AP7252" s="4" t="s">
        <v>376</v>
      </c>
      <c r="AR7252" s="4" t="s">
        <v>377</v>
      </c>
    </row>
    <row r="7253" spans="1:44" ht="30">
      <c r="A7253" s="4" t="s">
        <v>5</v>
      </c>
      <c r="B7253" s="4">
        <v>854287</v>
      </c>
      <c r="C7253" s="4">
        <v>6544</v>
      </c>
      <c r="D7253" s="5" t="s">
        <v>10078</v>
      </c>
      <c r="E7253" s="6" t="str">
        <f>HYPERLINK("https://inpn.mnhn.fr/espece/cd_nom/854287","Ascochyta aquilegiae (Roum. &amp; Pat.) Sacc., 1884")</f>
        <v>Ascochyta aquilegiae (Roum. &amp; Pat.) Sacc., 1884</v>
      </c>
      <c r="AH7253" s="4" t="str">
        <f>HYPERLINK("#Statut_biogéographique!A"&amp;_xlfn.XMATCH("P",Statut_biogéographique!A:A,2,1),"P")</f>
        <v>P</v>
      </c>
      <c r="AP7253" s="4" t="s">
        <v>376</v>
      </c>
      <c r="AR7253" s="4" t="s">
        <v>377</v>
      </c>
    </row>
    <row r="7254" spans="1:44">
      <c r="A7254" s="4" t="s">
        <v>5</v>
      </c>
      <c r="B7254" s="4">
        <v>854290</v>
      </c>
      <c r="C7254" s="4">
        <v>4982</v>
      </c>
      <c r="D7254" s="5">
        <v>854290</v>
      </c>
      <c r="E7254" s="6" t="str">
        <f>HYPERLINK("https://inpn.mnhn.fr/espece/cd_nom/854290","Ascochyta fibricola Sacc., 1880")</f>
        <v>Ascochyta fibricola Sacc., 1880</v>
      </c>
      <c r="AH7254" s="4" t="str">
        <f>HYPERLINK("#Statut_biogéographique!A"&amp;_xlfn.XMATCH("P",Statut_biogéographique!A:A,2,1),"P")</f>
        <v>P</v>
      </c>
      <c r="AP7254" s="4" t="s">
        <v>376</v>
      </c>
      <c r="AR7254" s="4" t="s">
        <v>377</v>
      </c>
    </row>
    <row r="7255" spans="1:44">
      <c r="A7255" s="4" t="s">
        <v>5</v>
      </c>
      <c r="B7255" s="4">
        <v>854298</v>
      </c>
      <c r="C7255" s="4">
        <v>4660</v>
      </c>
      <c r="D7255" s="5" t="s">
        <v>10079</v>
      </c>
      <c r="E7255" s="6" t="str">
        <f>HYPERLINK("https://inpn.mnhn.fr/espece/cd_nom/854298","Ascochyta boni-henrici Ranoj., 1914")</f>
        <v>Ascochyta boni-henrici Ranoj., 1914</v>
      </c>
      <c r="AH7255" s="4" t="str">
        <f>HYPERLINK("#Statut_biogéographique!A"&amp;_xlfn.XMATCH("P",Statut_biogéographique!A:A,2,1),"P")</f>
        <v>P</v>
      </c>
      <c r="AP7255" s="4" t="s">
        <v>376</v>
      </c>
      <c r="AR7255" s="4" t="s">
        <v>377</v>
      </c>
    </row>
    <row r="7256" spans="1:44">
      <c r="A7256" s="4" t="s">
        <v>5</v>
      </c>
      <c r="B7256" s="4">
        <v>854302</v>
      </c>
      <c r="C7256" s="4">
        <v>2284</v>
      </c>
      <c r="D7256" s="5" t="s">
        <v>10080</v>
      </c>
      <c r="E7256" s="6" t="str">
        <f>HYPERLINK("https://inpn.mnhn.fr/espece/cd_nom/854302","Ascochyta caricicola Melnik, 1975")</f>
        <v>Ascochyta caricicola Melnik, 1975</v>
      </c>
      <c r="AH7256" s="4" t="str">
        <f>HYPERLINK("#Statut_biogéographique!A"&amp;_xlfn.XMATCH("P",Statut_biogéographique!A:A,2,1),"P")</f>
        <v>P</v>
      </c>
      <c r="AP7256" s="4" t="s">
        <v>376</v>
      </c>
      <c r="AR7256" s="4" t="s">
        <v>377</v>
      </c>
    </row>
    <row r="7257" spans="1:44">
      <c r="A7257" s="4" t="s">
        <v>5</v>
      </c>
      <c r="B7257" s="4">
        <v>854304</v>
      </c>
      <c r="C7257" s="4">
        <v>6826</v>
      </c>
      <c r="D7257" s="5">
        <v>854304</v>
      </c>
      <c r="E7257" s="6" t="str">
        <f>HYPERLINK("https://inpn.mnhn.fr/espece/cd_nom/854304","Ascochyta carpogena Sacc., 1880")</f>
        <v>Ascochyta carpogena Sacc., 1880</v>
      </c>
      <c r="AH7257" s="4" t="str">
        <f>HYPERLINK("#Statut_biogéographique!A"&amp;_xlfn.XMATCH("P",Statut_biogéographique!A:A,2,1),"P")</f>
        <v>P</v>
      </c>
      <c r="AP7257" s="4" t="s">
        <v>376</v>
      </c>
      <c r="AR7257" s="4" t="s">
        <v>377</v>
      </c>
    </row>
    <row r="7258" spans="1:44" ht="30">
      <c r="A7258" s="4" t="s">
        <v>5</v>
      </c>
      <c r="B7258" s="4">
        <v>854307</v>
      </c>
      <c r="C7258" s="4">
        <v>4936</v>
      </c>
      <c r="D7258" s="5" t="s">
        <v>10081</v>
      </c>
      <c r="E7258" s="6" t="str">
        <f>HYPERLINK("https://inpn.mnhn.fr/espece/cd_nom/854307","Ascochyta coluteae Lambotte &amp; Fautrey, 1898")</f>
        <v>Ascochyta coluteae Lambotte &amp; Fautrey, 1898</v>
      </c>
      <c r="AH7258" s="4" t="str">
        <f>HYPERLINK("#Statut_biogéographique!A"&amp;_xlfn.XMATCH("P",Statut_biogéographique!A:A,2,1),"P")</f>
        <v>P</v>
      </c>
      <c r="AP7258" s="4" t="s">
        <v>376</v>
      </c>
      <c r="AR7258" s="4" t="s">
        <v>377</v>
      </c>
    </row>
    <row r="7259" spans="1:44">
      <c r="A7259" s="4" t="s">
        <v>5</v>
      </c>
      <c r="B7259" s="4">
        <v>854313</v>
      </c>
      <c r="C7259" s="4">
        <v>5772</v>
      </c>
      <c r="D7259" s="5" t="s">
        <v>10082</v>
      </c>
      <c r="E7259" s="6" t="str">
        <f>HYPERLINK("https://inpn.mnhn.fr/espece/cd_nom/854313","Ascochyta dipsaci Bubák, 1909")</f>
        <v>Ascochyta dipsaci Bubák, 1909</v>
      </c>
      <c r="AH7259" s="4" t="str">
        <f>HYPERLINK("#Statut_biogéographique!A"&amp;_xlfn.XMATCH("P",Statut_biogéographique!A:A,2,1),"P")</f>
        <v>P</v>
      </c>
      <c r="AP7259" s="4" t="s">
        <v>376</v>
      </c>
      <c r="AR7259" s="4" t="s">
        <v>377</v>
      </c>
    </row>
    <row r="7260" spans="1:44">
      <c r="A7260" s="4" t="s">
        <v>5</v>
      </c>
      <c r="B7260" s="4">
        <v>854314</v>
      </c>
      <c r="C7260" s="4">
        <v>4982</v>
      </c>
      <c r="D7260" s="5">
        <v>854314</v>
      </c>
      <c r="E7260" s="6" t="str">
        <f>HYPERLINK("https://inpn.mnhn.fr/espece/cd_nom/854314","Ascochyta fibricola Sacc., 1880")</f>
        <v>Ascochyta fibricola Sacc., 1880</v>
      </c>
      <c r="AH7260" s="4" t="str">
        <f>HYPERLINK("#Statut_biogéographique!A"&amp;_xlfn.XMATCH("P",Statut_biogéographique!A:A,2,1),"P")</f>
        <v>P</v>
      </c>
      <c r="AP7260" s="4" t="s">
        <v>376</v>
      </c>
      <c r="AR7260" s="4" t="s">
        <v>377</v>
      </c>
    </row>
    <row r="7261" spans="1:44">
      <c r="A7261" s="4" t="s">
        <v>5</v>
      </c>
      <c r="B7261" s="4">
        <v>854315</v>
      </c>
      <c r="C7261" s="4">
        <v>4991</v>
      </c>
      <c r="D7261" s="5">
        <v>854315</v>
      </c>
      <c r="E7261" s="6" t="str">
        <f>HYPERLINK("https://inpn.mnhn.fr/espece/cd_nom/854315","Ascochyta socialis Sacc., 1880")</f>
        <v>Ascochyta socialis Sacc., 1880</v>
      </c>
      <c r="AH7261" s="4" t="str">
        <f>HYPERLINK("#Statut_biogéographique!A"&amp;_xlfn.XMATCH("P",Statut_biogéographique!A:A,2,1),"P")</f>
        <v>P</v>
      </c>
      <c r="AP7261" s="4" t="s">
        <v>376</v>
      </c>
      <c r="AR7261" s="4" t="s">
        <v>377</v>
      </c>
    </row>
    <row r="7262" spans="1:44">
      <c r="A7262" s="4" t="s">
        <v>5</v>
      </c>
      <c r="B7262" s="4">
        <v>854316</v>
      </c>
      <c r="C7262" s="4">
        <v>5327</v>
      </c>
      <c r="D7262" s="5" t="s">
        <v>10083</v>
      </c>
      <c r="E7262" s="6" t="str">
        <f>HYPERLINK("https://inpn.mnhn.fr/espece/cd_nom/854316","Ascochyta fernandii Bubák &amp; Malkoff")</f>
        <v>Ascochyta fernandii Bubák &amp; Malkoff</v>
      </c>
      <c r="AH7262" s="4" t="str">
        <f>HYPERLINK("#Statut_biogéographique!A"&amp;_xlfn.XMATCH("P",Statut_biogéographique!A:A,2,1),"P")</f>
        <v>P</v>
      </c>
      <c r="AP7262" s="4" t="s">
        <v>376</v>
      </c>
      <c r="AR7262" s="4" t="s">
        <v>377</v>
      </c>
    </row>
    <row r="7263" spans="1:44">
      <c r="A7263" s="4" t="s">
        <v>5</v>
      </c>
      <c r="B7263" s="4">
        <v>854317</v>
      </c>
      <c r="C7263" s="4">
        <v>4982</v>
      </c>
      <c r="D7263" s="5" t="s">
        <v>10084</v>
      </c>
      <c r="E7263" s="6" t="str">
        <f>HYPERLINK("https://inpn.mnhn.fr/espece/cd_nom/854317","Ascochyta fibricola Sacc., 1880")</f>
        <v>Ascochyta fibricola Sacc., 1880</v>
      </c>
      <c r="AH7263" s="4" t="str">
        <f>HYPERLINK("#Statut_biogéographique!A"&amp;_xlfn.XMATCH("P",Statut_biogéographique!A:A,2,1),"P")</f>
        <v>P</v>
      </c>
      <c r="AP7263" s="4" t="s">
        <v>376</v>
      </c>
      <c r="AR7263" s="4" t="s">
        <v>377</v>
      </c>
    </row>
    <row r="7264" spans="1:44">
      <c r="A7264" s="4" t="s">
        <v>5</v>
      </c>
      <c r="B7264" s="4">
        <v>854323</v>
      </c>
      <c r="C7264" s="4">
        <v>4991</v>
      </c>
      <c r="D7264" s="5" t="s">
        <v>10085</v>
      </c>
      <c r="E7264" s="6" t="str">
        <f>HYPERLINK("https://inpn.mnhn.fr/espece/cd_nom/854323","Ascochyta socialis Sacc., 1880")</f>
        <v>Ascochyta socialis Sacc., 1880</v>
      </c>
      <c r="AH7264" s="4" t="str">
        <f>HYPERLINK("#Statut_biogéographique!A"&amp;_xlfn.XMATCH("P",Statut_biogéographique!A:A,2,1),"P")</f>
        <v>P</v>
      </c>
      <c r="AP7264" s="4" t="s">
        <v>376</v>
      </c>
      <c r="AR7264" s="4" t="s">
        <v>377</v>
      </c>
    </row>
    <row r="7265" spans="1:44">
      <c r="A7265" s="4" t="s">
        <v>5</v>
      </c>
      <c r="B7265" s="4">
        <v>854324</v>
      </c>
      <c r="C7265" s="4">
        <v>4993</v>
      </c>
      <c r="D7265" s="5" t="s">
        <v>10086</v>
      </c>
      <c r="E7265" s="6" t="str">
        <f>HYPERLINK("https://inpn.mnhn.fr/espece/cd_nom/854324","Ascochyta tini Sacc., 1878")</f>
        <v>Ascochyta tini Sacc., 1878</v>
      </c>
      <c r="AH7265" s="4" t="str">
        <f>HYPERLINK("#Statut_biogéographique!A"&amp;_xlfn.XMATCH("P",Statut_biogéographique!A:A,2,1),"P")</f>
        <v>P</v>
      </c>
      <c r="AP7265" s="4" t="s">
        <v>376</v>
      </c>
      <c r="AR7265" s="4" t="s">
        <v>377</v>
      </c>
    </row>
    <row r="7266" spans="1:44">
      <c r="A7266" s="4" t="s">
        <v>5</v>
      </c>
      <c r="B7266" s="4">
        <v>854329</v>
      </c>
      <c r="C7266" s="4">
        <v>5604</v>
      </c>
      <c r="D7266" s="5" t="s">
        <v>10087</v>
      </c>
      <c r="E7266" s="6" t="str">
        <f>HYPERLINK("https://inpn.mnhn.fr/espece/cd_nom/854329","Ascochyta mercurialis Bres., 1900")</f>
        <v>Ascochyta mercurialis Bres., 1900</v>
      </c>
      <c r="AH7266" s="4" t="str">
        <f>HYPERLINK("#Statut_biogéographique!A"&amp;_xlfn.XMATCH("P",Statut_biogéographique!A:A,2,1),"P")</f>
        <v>P</v>
      </c>
      <c r="AP7266" s="4" t="s">
        <v>376</v>
      </c>
      <c r="AR7266" s="4" t="s">
        <v>377</v>
      </c>
    </row>
    <row r="7267" spans="1:44">
      <c r="A7267" s="4" t="s">
        <v>5</v>
      </c>
      <c r="B7267" s="4">
        <v>854331</v>
      </c>
      <c r="C7267" s="4">
        <v>1769</v>
      </c>
      <c r="D7267" s="5" t="s">
        <v>10088</v>
      </c>
      <c r="E7267" s="6" t="str">
        <f>HYPERLINK("https://inpn.mnhn.fr/espece/cd_nom/854331","Ascochyta metulispora Berk. &amp; Broome, 1878")</f>
        <v>Ascochyta metulispora Berk. &amp; Broome, 1878</v>
      </c>
      <c r="AH7267" s="4" t="str">
        <f>HYPERLINK("#Statut_biogéographique!A"&amp;_xlfn.XMATCH("P",Statut_biogéographique!A:A,2,1),"P")</f>
        <v>P</v>
      </c>
      <c r="AP7267" s="4" t="s">
        <v>376</v>
      </c>
      <c r="AR7267" s="4" t="s">
        <v>377</v>
      </c>
    </row>
    <row r="7268" spans="1:44">
      <c r="A7268" s="4" t="s">
        <v>5</v>
      </c>
      <c r="B7268" s="4">
        <v>854341</v>
      </c>
      <c r="C7268" s="4">
        <v>5249</v>
      </c>
      <c r="D7268" s="5" t="s">
        <v>10089</v>
      </c>
      <c r="E7268" s="6" t="str">
        <f>HYPERLINK("https://inpn.mnhn.fr/espece/cd_nom/854341","Ascochyta pisi Lib., 1830")</f>
        <v>Ascochyta pisi Lib., 1830</v>
      </c>
      <c r="AH7268" s="4" t="str">
        <f>HYPERLINK("#Statut_biogéographique!A"&amp;_xlfn.XMATCH("P",Statut_biogéographique!A:A,2,1),"P")</f>
        <v>P</v>
      </c>
      <c r="AP7268" s="4" t="s">
        <v>376</v>
      </c>
      <c r="AR7268" s="4" t="s">
        <v>377</v>
      </c>
    </row>
    <row r="7269" spans="1:44">
      <c r="A7269" s="4" t="s">
        <v>5</v>
      </c>
      <c r="B7269" s="4">
        <v>854348</v>
      </c>
      <c r="C7269" s="4">
        <v>4991</v>
      </c>
      <c r="D7269" s="5">
        <v>854348</v>
      </c>
      <c r="E7269" s="6" t="str">
        <f>HYPERLINK("https://inpn.mnhn.fr/espece/cd_nom/854348","Ascochyta socialis Sacc., 1880")</f>
        <v>Ascochyta socialis Sacc., 1880</v>
      </c>
      <c r="AH7269" s="4" t="str">
        <f>HYPERLINK("#Statut_biogéographique!A"&amp;_xlfn.XMATCH("P",Statut_biogéographique!A:A,2,1),"P")</f>
        <v>P</v>
      </c>
      <c r="AP7269" s="4" t="s">
        <v>376</v>
      </c>
      <c r="AR7269" s="4" t="s">
        <v>377</v>
      </c>
    </row>
    <row r="7270" spans="1:44">
      <c r="A7270" s="4" t="s">
        <v>5</v>
      </c>
      <c r="B7270" s="4">
        <v>854349</v>
      </c>
      <c r="C7270" s="4">
        <v>6826</v>
      </c>
      <c r="D7270" s="5" t="s">
        <v>10090</v>
      </c>
      <c r="E7270" s="6" t="str">
        <f>HYPERLINK("https://inpn.mnhn.fr/espece/cd_nom/854349","Ascochyta carpogena Sacc., 1880")</f>
        <v>Ascochyta carpogena Sacc., 1880</v>
      </c>
      <c r="AH7270" s="4" t="str">
        <f>HYPERLINK("#Statut_biogéographique!A"&amp;_xlfn.XMATCH("P",Statut_biogéographique!A:A,2,1),"P")</f>
        <v>P</v>
      </c>
      <c r="AP7270" s="4" t="s">
        <v>376</v>
      </c>
      <c r="AR7270" s="4" t="s">
        <v>377</v>
      </c>
    </row>
    <row r="7271" spans="1:44">
      <c r="A7271" s="4" t="s">
        <v>5</v>
      </c>
      <c r="B7271" s="4">
        <v>854352</v>
      </c>
      <c r="C7271" s="4">
        <v>4991</v>
      </c>
      <c r="D7271" s="5">
        <v>854352</v>
      </c>
      <c r="E7271" s="6" t="str">
        <f>HYPERLINK("https://inpn.mnhn.fr/espece/cd_nom/854352","Ascochyta socialis Sacc., 1880")</f>
        <v>Ascochyta socialis Sacc., 1880</v>
      </c>
      <c r="AH7271" s="4" t="str">
        <f>HYPERLINK("#Statut_biogéographique!A"&amp;_xlfn.XMATCH("P",Statut_biogéographique!A:A,2,1),"P")</f>
        <v>P</v>
      </c>
      <c r="AP7271" s="4" t="s">
        <v>376</v>
      </c>
      <c r="AR7271" s="4" t="s">
        <v>377</v>
      </c>
    </row>
    <row r="7272" spans="1:44">
      <c r="A7272" s="4" t="s">
        <v>5</v>
      </c>
      <c r="B7272" s="4">
        <v>854357</v>
      </c>
      <c r="C7272" s="4">
        <v>4993</v>
      </c>
      <c r="D7272" s="5">
        <v>854357</v>
      </c>
      <c r="E7272" s="6" t="str">
        <f>HYPERLINK("https://inpn.mnhn.fr/espece/cd_nom/854357","Ascochyta tini Sacc., 1878")</f>
        <v>Ascochyta tini Sacc., 1878</v>
      </c>
      <c r="AH7272" s="4" t="str">
        <f>HYPERLINK("#Statut_biogéographique!A"&amp;_xlfn.XMATCH("P",Statut_biogéographique!A:A,2,1),"P")</f>
        <v>P</v>
      </c>
      <c r="AP7272" s="4" t="s">
        <v>376</v>
      </c>
      <c r="AR7272" s="4" t="s">
        <v>377</v>
      </c>
    </row>
    <row r="7273" spans="1:44" ht="30">
      <c r="A7273" s="4" t="s">
        <v>5</v>
      </c>
      <c r="B7273" s="4">
        <v>854379</v>
      </c>
      <c r="C7273" s="4">
        <v>3983</v>
      </c>
      <c r="D7273" s="5" t="s">
        <v>10091</v>
      </c>
      <c r="E7273" s="6" t="str">
        <f>HYPERLINK("https://inpn.mnhn.fr/espece/cd_nom/854379","Biscogniauxia mediterranea (De Not.) Kuntze, 1891")</f>
        <v>Biscogniauxia mediterranea (De Not.) Kuntze, 1891</v>
      </c>
      <c r="F7273" s="5" t="s">
        <v>10092</v>
      </c>
      <c r="Z7273" s="4" t="s">
        <v>443</v>
      </c>
      <c r="AA7273" s="4" t="s">
        <v>444</v>
      </c>
      <c r="AH7273" s="4" t="str">
        <f>HYPERLINK("#Statut_biogéographique!A"&amp;_xlfn.XMATCH("P",Statut_biogéographique!A:A,2,1),"P")</f>
        <v>P</v>
      </c>
      <c r="AP7273" s="4" t="s">
        <v>376</v>
      </c>
      <c r="AR7273" s="4" t="s">
        <v>377</v>
      </c>
    </row>
    <row r="7274" spans="1:44" ht="30">
      <c r="A7274" s="4" t="s">
        <v>5</v>
      </c>
      <c r="B7274" s="4">
        <v>854392</v>
      </c>
      <c r="C7274" s="4">
        <v>4562</v>
      </c>
      <c r="D7274" s="5" t="s">
        <v>10093</v>
      </c>
      <c r="E7274" s="6" t="str">
        <f>HYPERLINK("https://inpn.mnhn.fr/espece/cd_nom/854392","Brunnipila clandestina (Bull.) Baral, 1985")</f>
        <v>Brunnipila clandestina (Bull.) Baral, 1985</v>
      </c>
      <c r="AH7274" s="4" t="str">
        <f>HYPERLINK("#Statut_biogéographique!A"&amp;_xlfn.XMATCH("P",Statut_biogéographique!A:A,2,1),"P")</f>
        <v>P</v>
      </c>
      <c r="AP7274" s="4" t="s">
        <v>376</v>
      </c>
      <c r="AR7274" s="4" t="s">
        <v>377</v>
      </c>
    </row>
    <row r="7275" spans="1:44">
      <c r="A7275" s="4" t="s">
        <v>5</v>
      </c>
      <c r="B7275" s="4">
        <v>854396</v>
      </c>
      <c r="C7275" s="4">
        <v>6629</v>
      </c>
      <c r="D7275" s="5" t="s">
        <v>10094</v>
      </c>
      <c r="E7275" s="6" t="str">
        <f>HYPERLINK("https://inpn.mnhn.fr/espece/cd_nom/854396","Brunnipila palearum (Desm.) Baral, 1985")</f>
        <v>Brunnipila palearum (Desm.) Baral, 1985</v>
      </c>
      <c r="AH7275" s="4" t="str">
        <f>HYPERLINK("#Statut_biogéographique!A"&amp;_xlfn.XMATCH("P",Statut_biogéographique!A:A,2,1),"P")</f>
        <v>P</v>
      </c>
      <c r="AP7275" s="4" t="s">
        <v>376</v>
      </c>
      <c r="AR7275" s="4" t="s">
        <v>377</v>
      </c>
    </row>
    <row r="7276" spans="1:44">
      <c r="A7276" s="4" t="s">
        <v>5</v>
      </c>
      <c r="B7276" s="4">
        <v>854409</v>
      </c>
      <c r="C7276" s="4">
        <v>6630</v>
      </c>
      <c r="D7276" s="5" t="s">
        <v>10095</v>
      </c>
      <c r="E7276" s="6" t="str">
        <f>HYPERLINK("https://inpn.mnhn.fr/espece/cd_nom/854409","Calycina conorum (Rehm) Baral, 1985")</f>
        <v>Calycina conorum (Rehm) Baral, 1985</v>
      </c>
      <c r="AH7276" s="4" t="str">
        <f>HYPERLINK("#Statut_biogéographique!A"&amp;_xlfn.XMATCH("P",Statut_biogéographique!A:A,2,1),"P")</f>
        <v>P</v>
      </c>
      <c r="AP7276" s="4" t="s">
        <v>376</v>
      </c>
      <c r="AR7276" s="4" t="s">
        <v>377</v>
      </c>
    </row>
    <row r="7277" spans="1:44">
      <c r="A7277" s="4" t="s">
        <v>5</v>
      </c>
      <c r="B7277" s="4">
        <v>854416</v>
      </c>
      <c r="C7277" s="4">
        <v>6935</v>
      </c>
      <c r="D7277" s="5" t="s">
        <v>10096</v>
      </c>
      <c r="E7277" s="6" t="str">
        <f>HYPERLINK("https://inpn.mnhn.fr/espece/cd_nom/854416","Calycina subtilis (Fr.) Baral, 1985")</f>
        <v>Calycina subtilis (Fr.) Baral, 1985</v>
      </c>
      <c r="AH7277" s="4" t="str">
        <f>HYPERLINK("#Statut_biogéographique!A"&amp;_xlfn.XMATCH("P",Statut_biogéographique!A:A,2,1),"P")</f>
        <v>P</v>
      </c>
      <c r="AP7277" s="4" t="s">
        <v>376</v>
      </c>
      <c r="AR7277" s="4" t="s">
        <v>377</v>
      </c>
    </row>
    <row r="7278" spans="1:44" ht="30">
      <c r="A7278" s="4" t="s">
        <v>5</v>
      </c>
      <c r="B7278" s="4">
        <v>854480</v>
      </c>
      <c r="C7278" s="4">
        <v>6960</v>
      </c>
      <c r="D7278" s="5" t="s">
        <v>10097</v>
      </c>
      <c r="E7278" s="6" t="str">
        <f>HYPERLINK("https://inpn.mnhn.fr/espece/cd_nom/854480","Capronia nigerrima (R.R.Bloxam) M.E.Barr, 1991")</f>
        <v>Capronia nigerrima (R.R.Bloxam) M.E.Barr, 1991</v>
      </c>
      <c r="AH7278" s="4" t="str">
        <f>HYPERLINK("#Statut_biogéographique!A"&amp;_xlfn.XMATCH("P",Statut_biogéographique!A:A,2,1),"P")</f>
        <v>P</v>
      </c>
      <c r="AP7278" s="4" t="s">
        <v>376</v>
      </c>
      <c r="AR7278" s="4" t="s">
        <v>377</v>
      </c>
    </row>
    <row r="7279" spans="1:44" ht="30">
      <c r="A7279" s="4" t="s">
        <v>5</v>
      </c>
      <c r="B7279" s="4">
        <v>854483</v>
      </c>
      <c r="C7279" s="4">
        <v>2090</v>
      </c>
      <c r="D7279" s="5" t="s">
        <v>10098</v>
      </c>
      <c r="E7279" s="6" t="str">
        <f>HYPERLINK("https://inpn.mnhn.fr/espece/cd_nom/854483","Capronia pilosella (P.Karst.) E.Müll., Petrini, P.J.Fisher, Samuels &amp; Rossman, 1987")</f>
        <v>Capronia pilosella (P.Karst.) E.Müll., Petrini, P.J.Fisher, Samuels &amp; Rossman, 1987</v>
      </c>
      <c r="AH7279" s="4" t="str">
        <f>HYPERLINK("#Statut_biogéographique!A"&amp;_xlfn.XMATCH("P",Statut_biogéographique!A:A,2,1),"P")</f>
        <v>P</v>
      </c>
      <c r="AP7279" s="4" t="s">
        <v>376</v>
      </c>
      <c r="AR7279" s="4" t="s">
        <v>377</v>
      </c>
    </row>
    <row r="7280" spans="1:44">
      <c r="A7280" s="4" t="s">
        <v>5</v>
      </c>
      <c r="B7280" s="4">
        <v>854543</v>
      </c>
      <c r="C7280" s="4">
        <v>6248</v>
      </c>
      <c r="D7280" s="5" t="s">
        <v>10099</v>
      </c>
      <c r="E7280" s="6" t="str">
        <f>HYPERLINK("https://inpn.mnhn.fr/espece/cd_nom/854543","Ciliolarina laetifica Huhtinen, 1993")</f>
        <v>Ciliolarina laetifica Huhtinen, 1993</v>
      </c>
      <c r="AH7280" s="4" t="str">
        <f>HYPERLINK("#Statut_biogéographique!A"&amp;_xlfn.XMATCH("P",Statut_biogéographique!A:A,2,1),"P")</f>
        <v>P</v>
      </c>
      <c r="AP7280" s="4" t="s">
        <v>376</v>
      </c>
      <c r="AR7280" s="4" t="s">
        <v>377</v>
      </c>
    </row>
    <row r="7281" spans="1:44" ht="30">
      <c r="A7281" s="4" t="s">
        <v>5</v>
      </c>
      <c r="B7281" s="4">
        <v>854549</v>
      </c>
      <c r="C7281" s="4">
        <v>5017</v>
      </c>
      <c r="D7281" s="5" t="s">
        <v>10100</v>
      </c>
      <c r="E7281" s="6" t="str">
        <f>HYPERLINK("https://inpn.mnhn.fr/espece/cd_nom/854549","Coniochaeta sanguinolenta (Wallr.) Checa, Barrasa &amp; G.Moreno, 1988")</f>
        <v>Coniochaeta sanguinolenta (Wallr.) Checa, Barrasa &amp; G.Moreno, 1988</v>
      </c>
      <c r="AH7281" s="4" t="str">
        <f>HYPERLINK("#Statut_biogéographique!A"&amp;_xlfn.XMATCH("P",Statut_biogéographique!A:A,2,1),"P")</f>
        <v>P</v>
      </c>
      <c r="AP7281" s="4" t="s">
        <v>376</v>
      </c>
      <c r="AR7281" s="4" t="s">
        <v>377</v>
      </c>
    </row>
    <row r="7282" spans="1:44" ht="30">
      <c r="A7282" s="4" t="s">
        <v>5</v>
      </c>
      <c r="B7282" s="4">
        <v>854568</v>
      </c>
      <c r="C7282" s="4">
        <v>1100</v>
      </c>
      <c r="D7282" s="5" t="s">
        <v>10101</v>
      </c>
      <c r="E7282" s="6" t="str">
        <f>HYPERLINK("https://inpn.mnhn.fr/espece/cd_nom/854568","Cladosporium cladosporioides (Fresen.) G.A.de Vries, 1952")</f>
        <v>Cladosporium cladosporioides (Fresen.) G.A.de Vries, 1952</v>
      </c>
      <c r="AH7282" s="4" t="str">
        <f>HYPERLINK("#Statut_biogéographique!A"&amp;_xlfn.XMATCH("P",Statut_biogéographique!A:A,2,1),"P")</f>
        <v>P</v>
      </c>
      <c r="AP7282" s="4" t="s">
        <v>376</v>
      </c>
      <c r="AR7282" s="4" t="s">
        <v>377</v>
      </c>
    </row>
    <row r="7283" spans="1:44">
      <c r="A7283" s="4" t="s">
        <v>5</v>
      </c>
      <c r="B7283" s="4">
        <v>854587</v>
      </c>
      <c r="C7283" s="4">
        <v>1249</v>
      </c>
      <c r="D7283" s="5" t="s">
        <v>10102</v>
      </c>
      <c r="E7283" s="6" t="str">
        <f>HYPERLINK("https://inpn.mnhn.fr/espece/cd_nom/854587","Cladosporium uredinicola Speg., 1912")</f>
        <v>Cladosporium uredinicola Speg., 1912</v>
      </c>
      <c r="AH7283" s="4" t="str">
        <f>HYPERLINK("#Statut_biogéographique!A"&amp;_xlfn.XMATCH("P",Statut_biogéographique!A:A,2,1),"P")</f>
        <v>P</v>
      </c>
      <c r="AP7283" s="4" t="s">
        <v>376</v>
      </c>
      <c r="AR7283" s="4" t="s">
        <v>377</v>
      </c>
    </row>
    <row r="7284" spans="1:44" ht="30">
      <c r="A7284" s="4" t="s">
        <v>5</v>
      </c>
      <c r="B7284" s="4">
        <v>854617</v>
      </c>
      <c r="C7284" s="4">
        <v>5019</v>
      </c>
      <c r="D7284" s="5" t="s">
        <v>10103</v>
      </c>
      <c r="E7284" s="6" t="str">
        <f>HYPERLINK("https://inpn.mnhn.fr/espece/cd_nom/854617","Coprotus dextrinoideus Kimbr., Luck-Allen &amp; Cain, 1972")</f>
        <v>Coprotus dextrinoideus Kimbr., Luck-Allen &amp; Cain, 1972</v>
      </c>
      <c r="AH7284" s="4" t="str">
        <f>HYPERLINK("#Statut_biogéographique!A"&amp;_xlfn.XMATCH("P",Statut_biogéographique!A:A,2,1),"P")</f>
        <v>P</v>
      </c>
      <c r="AP7284" s="4" t="s">
        <v>376</v>
      </c>
      <c r="AR7284" s="4" t="s">
        <v>377</v>
      </c>
    </row>
    <row r="7285" spans="1:44" ht="30">
      <c r="A7285" s="4" t="s">
        <v>5</v>
      </c>
      <c r="B7285" s="4">
        <v>854619</v>
      </c>
      <c r="C7285" s="4">
        <v>4095</v>
      </c>
      <c r="D7285" s="5" t="s">
        <v>10104</v>
      </c>
      <c r="E7285" s="6" t="str">
        <f>HYPERLINK("https://inpn.mnhn.fr/espece/cd_nom/854619","Coprotus leucopocillum Kimbr., Luck-Allen &amp; Cain, 1972")</f>
        <v>Coprotus leucopocillum Kimbr., Luck-Allen &amp; Cain, 1972</v>
      </c>
      <c r="AH7285" s="4" t="str">
        <f>HYPERLINK("#Statut_biogéographique!A"&amp;_xlfn.XMATCH("P",Statut_biogéographique!A:A,2,1),"P")</f>
        <v>P</v>
      </c>
      <c r="AP7285" s="4" t="s">
        <v>376</v>
      </c>
      <c r="AR7285" s="4" t="s">
        <v>377</v>
      </c>
    </row>
    <row r="7286" spans="1:44">
      <c r="A7286" s="4" t="s">
        <v>5</v>
      </c>
      <c r="B7286" s="4">
        <v>854620</v>
      </c>
      <c r="C7286" s="4">
        <v>5021</v>
      </c>
      <c r="D7286" s="5" t="s">
        <v>10105</v>
      </c>
      <c r="E7286" s="6" t="str">
        <f>HYPERLINK("https://inpn.mnhn.fr/espece/cd_nom/854620","Coprotus luteus Kimbr., 1972")</f>
        <v>Coprotus luteus Kimbr., 1972</v>
      </c>
      <c r="AH7286" s="4" t="str">
        <f>HYPERLINK("#Statut_biogéographique!A"&amp;_xlfn.XMATCH("P",Statut_biogéographique!A:A,2,1),"P")</f>
        <v>P</v>
      </c>
      <c r="AP7286" s="4" t="s">
        <v>376</v>
      </c>
      <c r="AR7286" s="4" t="s">
        <v>377</v>
      </c>
    </row>
    <row r="7287" spans="1:44">
      <c r="A7287" s="4" t="s">
        <v>5</v>
      </c>
      <c r="B7287" s="4">
        <v>854624</v>
      </c>
      <c r="C7287" s="4">
        <v>4097</v>
      </c>
      <c r="D7287" s="5" t="s">
        <v>10106</v>
      </c>
      <c r="E7287" s="6" t="str">
        <f>HYPERLINK("https://inpn.mnhn.fr/espece/cd_nom/854624","Coprotus winteri (Marchal) Kimbr., 1967")</f>
        <v>Coprotus winteri (Marchal) Kimbr., 1967</v>
      </c>
      <c r="AH7287" s="4" t="str">
        <f>HYPERLINK("#Statut_biogéographique!A"&amp;_xlfn.XMATCH("P",Statut_biogéographique!A:A,2,1),"P")</f>
        <v>P</v>
      </c>
      <c r="AP7287" s="4" t="s">
        <v>376</v>
      </c>
      <c r="AR7287" s="4" t="s">
        <v>377</v>
      </c>
    </row>
    <row r="7288" spans="1:44">
      <c r="A7288" s="4" t="s">
        <v>5</v>
      </c>
      <c r="B7288" s="4">
        <v>854625</v>
      </c>
      <c r="C7288" s="4">
        <v>6048</v>
      </c>
      <c r="D7288" s="5" t="s">
        <v>10107</v>
      </c>
      <c r="E7288" s="6" t="str">
        <f>HYPERLINK("https://inpn.mnhn.fr/espece/cd_nom/854625","Cordyceps bifusispora O.E.Erikss., 1982")</f>
        <v>Cordyceps bifusispora O.E.Erikss., 1982</v>
      </c>
      <c r="AH7288" s="4" t="str">
        <f>HYPERLINK("#Statut_biogéographique!A"&amp;_xlfn.XMATCH("P",Statut_biogéographique!A:A,2,1),"P")</f>
        <v>P</v>
      </c>
      <c r="AP7288" s="4" t="s">
        <v>376</v>
      </c>
      <c r="AR7288" s="4" t="s">
        <v>377</v>
      </c>
    </row>
    <row r="7289" spans="1:44">
      <c r="A7289" s="4" t="s">
        <v>5</v>
      </c>
      <c r="B7289" s="4">
        <v>854661</v>
      </c>
      <c r="C7289" s="4">
        <v>6899</v>
      </c>
      <c r="D7289" s="5" t="s">
        <v>10108</v>
      </c>
      <c r="E7289" s="6" t="str">
        <f>HYPERLINK("https://inpn.mnhn.fr/espece/cd_nom/854661","Cucurbitaria emeri Mirza, 1968")</f>
        <v>Cucurbitaria emeri Mirza, 1968</v>
      </c>
      <c r="AH7289" s="4" t="str">
        <f>HYPERLINK("#Statut_biogéographique!A"&amp;_xlfn.XMATCH("P",Statut_biogéographique!A:A,2,1),"P")</f>
        <v>P</v>
      </c>
      <c r="AP7289" s="4" t="s">
        <v>376</v>
      </c>
      <c r="AR7289" s="4" t="s">
        <v>377</v>
      </c>
    </row>
    <row r="7290" spans="1:44">
      <c r="A7290" s="4" t="s">
        <v>5</v>
      </c>
      <c r="B7290" s="4">
        <v>854707</v>
      </c>
      <c r="C7290" s="4">
        <v>2929</v>
      </c>
      <c r="D7290" s="5">
        <v>854707</v>
      </c>
      <c r="E7290" s="6" t="str">
        <f>HYPERLINK("https://inpn.mnhn.fr/espece/cd_nom/854707","Diaporthe leucopis (Fr. ex Kunze) Sacc., 1883")</f>
        <v>Diaporthe leucopis (Fr. ex Kunze) Sacc., 1883</v>
      </c>
      <c r="AH7290" s="4" t="str">
        <f>HYPERLINK("#Statut_biogéographique!A"&amp;_xlfn.XMATCH("P",Statut_biogéographique!A:A,2,1),"P")</f>
        <v>P</v>
      </c>
      <c r="AP7290" s="4" t="s">
        <v>376</v>
      </c>
      <c r="AR7290" s="4" t="s">
        <v>377</v>
      </c>
    </row>
    <row r="7291" spans="1:44">
      <c r="A7291" s="4" t="s">
        <v>5</v>
      </c>
      <c r="B7291" s="4">
        <v>854757</v>
      </c>
      <c r="C7291" s="4">
        <v>4261</v>
      </c>
      <c r="D7291" s="5" t="s">
        <v>10109</v>
      </c>
      <c r="E7291" s="6" t="str">
        <f>HYPERLINK("https://inpn.mnhn.fr/espece/cd_nom/854757","Diaporthe detrusa (Fr.) Fuckel, 1870")</f>
        <v>Diaporthe detrusa (Fr.) Fuckel, 1870</v>
      </c>
      <c r="AH7291" s="4" t="str">
        <f>HYPERLINK("#Statut_biogéographique!A"&amp;_xlfn.XMATCH("P",Statut_biogéographique!A:A,2,1),"P")</f>
        <v>P</v>
      </c>
      <c r="AP7291" s="4" t="s">
        <v>376</v>
      </c>
      <c r="AR7291" s="4" t="s">
        <v>377</v>
      </c>
    </row>
    <row r="7292" spans="1:44">
      <c r="A7292" s="4" t="s">
        <v>5</v>
      </c>
      <c r="B7292" s="4">
        <v>854812</v>
      </c>
      <c r="C7292" s="4">
        <v>4160</v>
      </c>
      <c r="D7292" s="5" t="s">
        <v>10110</v>
      </c>
      <c r="E7292" s="6" t="str">
        <f>HYPERLINK("https://inpn.mnhn.fr/espece/cd_nom/854812","Diaporthe perjuncta Niessl, 1876")</f>
        <v>Diaporthe perjuncta Niessl, 1876</v>
      </c>
      <c r="AH7292" s="4" t="str">
        <f>HYPERLINK("#Statut_biogéographique!A"&amp;_xlfn.XMATCH("P",Statut_biogéographique!A:A,2,1),"P")</f>
        <v>P</v>
      </c>
      <c r="AP7292" s="4" t="s">
        <v>376</v>
      </c>
      <c r="AR7292" s="4" t="s">
        <v>377</v>
      </c>
    </row>
    <row r="7293" spans="1:44">
      <c r="A7293" s="4" t="s">
        <v>5</v>
      </c>
      <c r="B7293" s="4">
        <v>854906</v>
      </c>
      <c r="C7293" s="4">
        <v>6236</v>
      </c>
      <c r="D7293" s="5" t="s">
        <v>10111</v>
      </c>
      <c r="E7293" s="6" t="str">
        <f>HYPERLINK("https://inpn.mnhn.fr/espece/cd_nom/854906","Diplodia coryli Fuckel, 1864")</f>
        <v>Diplodia coryli Fuckel, 1864</v>
      </c>
      <c r="AH7293" s="4" t="str">
        <f>HYPERLINK("#Statut_biogéographique!A"&amp;_xlfn.XMATCH("P",Statut_biogéographique!A:A,2,1),"P")</f>
        <v>P</v>
      </c>
      <c r="AP7293" s="4" t="s">
        <v>376</v>
      </c>
      <c r="AR7293" s="4" t="s">
        <v>377</v>
      </c>
    </row>
    <row r="7294" spans="1:44">
      <c r="A7294" s="4" t="s">
        <v>5</v>
      </c>
      <c r="B7294" s="4">
        <v>854936</v>
      </c>
      <c r="C7294" s="4">
        <v>1049</v>
      </c>
      <c r="D7294" s="5">
        <v>854936</v>
      </c>
      <c r="E7294" s="6" t="str">
        <f>HYPERLINK("https://inpn.mnhn.fr/espece/cd_nom/854936","Diplodia jasmini Westend., 1857")</f>
        <v>Diplodia jasmini Westend., 1857</v>
      </c>
      <c r="AH7294" s="4" t="str">
        <f>HYPERLINK("#Statut_biogéographique!A"&amp;_xlfn.XMATCH("P",Statut_biogéographique!A:A,2,1),"P")</f>
        <v>P</v>
      </c>
      <c r="AP7294" s="4" t="s">
        <v>376</v>
      </c>
      <c r="AR7294" s="4" t="s">
        <v>377</v>
      </c>
    </row>
    <row r="7295" spans="1:44">
      <c r="A7295" s="4" t="s">
        <v>5</v>
      </c>
      <c r="B7295" s="4">
        <v>854947</v>
      </c>
      <c r="C7295" s="4">
        <v>1049</v>
      </c>
      <c r="D7295" s="5" t="s">
        <v>10112</v>
      </c>
      <c r="E7295" s="6" t="str">
        <f>HYPERLINK("https://inpn.mnhn.fr/espece/cd_nom/854947","Diplodia jasmini Westend., 1857")</f>
        <v>Diplodia jasmini Westend., 1857</v>
      </c>
      <c r="AH7295" s="4" t="str">
        <f>HYPERLINK("#Statut_biogéographique!A"&amp;_xlfn.XMATCH("P",Statut_biogéographique!A:A,2,1),"P")</f>
        <v>P</v>
      </c>
      <c r="AP7295" s="4" t="s">
        <v>376</v>
      </c>
      <c r="AR7295" s="4" t="s">
        <v>377</v>
      </c>
    </row>
    <row r="7296" spans="1:44">
      <c r="A7296" s="4" t="s">
        <v>5</v>
      </c>
      <c r="B7296" s="4">
        <v>854968</v>
      </c>
      <c r="C7296" s="4">
        <v>2790</v>
      </c>
      <c r="D7296" s="5" t="s">
        <v>10113</v>
      </c>
      <c r="E7296" s="6" t="str">
        <f>HYPERLINK("https://inpn.mnhn.fr/espece/cd_nom/854968","Diplodia profusa De Not., 1845")</f>
        <v>Diplodia profusa De Not., 1845</v>
      </c>
      <c r="AH7296" s="4" t="str">
        <f>HYPERLINK("#Statut_biogéographique!A"&amp;_xlfn.XMATCH("P",Statut_biogéographique!A:A,2,1),"P")</f>
        <v>P</v>
      </c>
      <c r="AP7296" s="4" t="s">
        <v>376</v>
      </c>
      <c r="AR7296" s="4" t="s">
        <v>377</v>
      </c>
    </row>
    <row r="7297" spans="1:44">
      <c r="A7297" s="4" t="s">
        <v>5</v>
      </c>
      <c r="B7297" s="4">
        <v>855076</v>
      </c>
      <c r="C7297" s="4">
        <v>3370</v>
      </c>
      <c r="D7297" s="5" t="s">
        <v>10114</v>
      </c>
      <c r="E7297" s="6" t="str">
        <f>HYPERLINK("https://inpn.mnhn.fr/espece/cd_nom/855076","Iodophanus testaceus (Moug.) Korf, 1967")</f>
        <v>Iodophanus testaceus (Moug.) Korf, 1967</v>
      </c>
      <c r="AH7297" s="4" t="str">
        <f>HYPERLINK("#Statut_biogéographique!A"&amp;_xlfn.XMATCH("P",Statut_biogéographique!A:A,2,1),"P")</f>
        <v>P</v>
      </c>
      <c r="AP7297" s="4" t="s">
        <v>376</v>
      </c>
      <c r="AR7297" s="4" t="s">
        <v>377</v>
      </c>
    </row>
    <row r="7298" spans="1:44">
      <c r="A7298" s="4" t="s">
        <v>5</v>
      </c>
      <c r="B7298" s="4">
        <v>855126</v>
      </c>
      <c r="C7298" s="4">
        <v>5692</v>
      </c>
      <c r="D7298" s="5" t="s">
        <v>10115</v>
      </c>
      <c r="E7298" s="6" t="str">
        <f>HYPERLINK("https://inpn.mnhn.fr/espece/cd_nom/855126","Karstenia idaei (Fuckel) Sherwood, 1977")</f>
        <v>Karstenia idaei (Fuckel) Sherwood, 1977</v>
      </c>
      <c r="AH7298" s="4" t="str">
        <f>HYPERLINK("#Statut_biogéographique!A"&amp;_xlfn.XMATCH("P",Statut_biogéographique!A:A,2,1),"P")</f>
        <v>P</v>
      </c>
      <c r="AP7298" s="4" t="s">
        <v>376</v>
      </c>
      <c r="AR7298" s="4" t="s">
        <v>377</v>
      </c>
    </row>
    <row r="7299" spans="1:44">
      <c r="A7299" s="4" t="s">
        <v>5</v>
      </c>
      <c r="B7299" s="4">
        <v>855232</v>
      </c>
      <c r="D7299" s="5" t="s">
        <v>10116</v>
      </c>
      <c r="E7299" s="6" t="str">
        <f>HYPERLINK("https://inpn.mnhn.fr/espece/cd_nom/855232","Lophiostoma viridarium Cooke, 1868")</f>
        <v>Lophiostoma viridarium Cooke, 1868</v>
      </c>
      <c r="AH7299" s="4" t="str">
        <f>HYPERLINK("#Statut_biogéographique!A"&amp;_xlfn.XMATCH("P",Statut_biogéographique!A:A,2,1),"P")</f>
        <v>P</v>
      </c>
      <c r="AP7299" s="4" t="s">
        <v>376</v>
      </c>
      <c r="AR7299" s="4" t="s">
        <v>377</v>
      </c>
    </row>
    <row r="7300" spans="1:44" ht="30">
      <c r="A7300" s="4" t="s">
        <v>5</v>
      </c>
      <c r="B7300" s="4">
        <v>855234</v>
      </c>
      <c r="D7300" s="5" t="s">
        <v>10117</v>
      </c>
      <c r="E7300" s="6" t="str">
        <f>HYPERLINK("https://inpn.mnhn.fr/espece/cd_nom/855234","Melogramma campylosporum Fr., 1849")</f>
        <v>Melogramma campylosporum Fr., 1849</v>
      </c>
      <c r="AH7300" s="4" t="str">
        <f>HYPERLINK("#Statut_biogéographique!A"&amp;_xlfn.XMATCH("P",Statut_biogéographique!A:A,2,1),"P")</f>
        <v>P</v>
      </c>
      <c r="AP7300" s="4" t="s">
        <v>376</v>
      </c>
      <c r="AR7300" s="4" t="s">
        <v>377</v>
      </c>
    </row>
    <row r="7301" spans="1:44" ht="45">
      <c r="A7301" s="4" t="s">
        <v>5</v>
      </c>
      <c r="B7301" s="4">
        <v>855240</v>
      </c>
      <c r="C7301" s="4">
        <v>270</v>
      </c>
      <c r="D7301" s="5" t="s">
        <v>10118</v>
      </c>
      <c r="E7301" s="6" t="str">
        <f>HYPERLINK("https://inpn.mnhn.fr/espece/cd_nom/855240","Kretzschmaria deusta (Hoffm.) P.M.D.Martin, 1970")</f>
        <v>Kretzschmaria deusta (Hoffm.) P.M.D.Martin, 1970</v>
      </c>
      <c r="F7301" s="5" t="s">
        <v>10119</v>
      </c>
      <c r="AH7301" s="4" t="str">
        <f>HYPERLINK("#Statut_biogéographique!A"&amp;_xlfn.XMATCH("P",Statut_biogéographique!A:A,2,1),"P")</f>
        <v>P</v>
      </c>
      <c r="AP7301" s="4" t="s">
        <v>376</v>
      </c>
      <c r="AR7301" s="4" t="s">
        <v>377</v>
      </c>
    </row>
    <row r="7302" spans="1:44" ht="30">
      <c r="A7302" s="4" t="s">
        <v>5</v>
      </c>
      <c r="B7302" s="4">
        <v>855393</v>
      </c>
      <c r="C7302" s="4">
        <v>4462</v>
      </c>
      <c r="D7302" s="5" t="s">
        <v>10120</v>
      </c>
      <c r="E7302" s="6" t="str">
        <f>HYPERLINK("https://inpn.mnhn.fr/espece/cd_nom/855393","Lachnum apalum (Berk. &amp; Broome) Nannf., 1936")</f>
        <v>Lachnum apalum (Berk. &amp; Broome) Nannf., 1936</v>
      </c>
      <c r="AH7302" s="4" t="str">
        <f>HYPERLINK("#Statut_biogéographique!A"&amp;_xlfn.XMATCH("P",Statut_biogéographique!A:A,2,1),"P")</f>
        <v>P</v>
      </c>
      <c r="AP7302" s="4" t="s">
        <v>376</v>
      </c>
      <c r="AR7302" s="4" t="s">
        <v>377</v>
      </c>
    </row>
    <row r="7303" spans="1:44">
      <c r="A7303" s="4" t="s">
        <v>5</v>
      </c>
      <c r="B7303" s="4">
        <v>855395</v>
      </c>
      <c r="C7303" s="4">
        <v>6038</v>
      </c>
      <c r="D7303" s="5" t="s">
        <v>10121</v>
      </c>
      <c r="E7303" s="6" t="str">
        <f>HYPERLINK("https://inpn.mnhn.fr/espece/cd_nom/855395","Lachnum brevipilosum Baral, 1985")</f>
        <v>Lachnum brevipilosum Baral, 1985</v>
      </c>
      <c r="AH7303" s="4" t="str">
        <f>HYPERLINK("#Statut_biogéographique!A"&amp;_xlfn.XMATCH("P",Statut_biogéographique!A:A,2,1),"P")</f>
        <v>P</v>
      </c>
      <c r="AP7303" s="4" t="s">
        <v>376</v>
      </c>
      <c r="AR7303" s="4" t="s">
        <v>377</v>
      </c>
    </row>
    <row r="7304" spans="1:44">
      <c r="A7304" s="4" t="s">
        <v>5</v>
      </c>
      <c r="B7304" s="4">
        <v>855396</v>
      </c>
      <c r="C7304" s="4">
        <v>6791</v>
      </c>
      <c r="D7304" s="5" t="s">
        <v>10122</v>
      </c>
      <c r="E7304" s="6" t="str">
        <f>HYPERLINK("https://inpn.mnhn.fr/espece/cd_nom/855396","Lachnum caricis (Desm.) Höhn., 1917")</f>
        <v>Lachnum caricis (Desm.) Höhn., 1917</v>
      </c>
      <c r="AH7304" s="4" t="str">
        <f>HYPERLINK("#Statut_biogéographique!A"&amp;_xlfn.XMATCH("P",Statut_biogéographique!A:A,2,1),"P")</f>
        <v>P</v>
      </c>
      <c r="AP7304" s="4" t="s">
        <v>376</v>
      </c>
      <c r="AR7304" s="4" t="s">
        <v>377</v>
      </c>
    </row>
    <row r="7305" spans="1:44">
      <c r="A7305" s="4" t="s">
        <v>5</v>
      </c>
      <c r="B7305" s="4">
        <v>855398</v>
      </c>
      <c r="C7305" s="4">
        <v>6504</v>
      </c>
      <c r="D7305" s="5" t="s">
        <v>10123</v>
      </c>
      <c r="E7305" s="6" t="str">
        <f>HYPERLINK("https://inpn.mnhn.fr/espece/cd_nom/855398","Lachnum clavigerum (Svrček) Raitv., 1985")</f>
        <v>Lachnum clavigerum (Svrček) Raitv., 1985</v>
      </c>
      <c r="AH7305" s="4" t="str">
        <f>HYPERLINK("#Statut_biogéographique!A"&amp;_xlfn.XMATCH("P",Statut_biogéographique!A:A,2,1),"P")</f>
        <v>P</v>
      </c>
      <c r="AP7305" s="4" t="s">
        <v>376</v>
      </c>
      <c r="AR7305" s="4" t="s">
        <v>377</v>
      </c>
    </row>
    <row r="7306" spans="1:44">
      <c r="A7306" s="4" t="s">
        <v>5</v>
      </c>
      <c r="B7306" s="4">
        <v>855402</v>
      </c>
      <c r="C7306" s="4">
        <v>6055</v>
      </c>
      <c r="D7306" s="5" t="s">
        <v>10124</v>
      </c>
      <c r="E7306" s="6" t="str">
        <f>HYPERLINK("https://inpn.mnhn.fr/espece/cd_nom/855402","Lachnum eburneum Kirschst., 1938")</f>
        <v>Lachnum eburneum Kirschst., 1938</v>
      </c>
      <c r="AH7306" s="4" t="str">
        <f>HYPERLINK("#Statut_biogéographique!A"&amp;_xlfn.XMATCH("P",Statut_biogéographique!A:A,2,1),"P")</f>
        <v>P</v>
      </c>
      <c r="AP7306" s="4" t="s">
        <v>376</v>
      </c>
      <c r="AR7306" s="4" t="s">
        <v>377</v>
      </c>
    </row>
    <row r="7307" spans="1:44">
      <c r="A7307" s="4" t="s">
        <v>5</v>
      </c>
      <c r="B7307" s="4">
        <v>855431</v>
      </c>
      <c r="C7307" s="4">
        <v>6639</v>
      </c>
      <c r="D7307" s="5" t="s">
        <v>10125</v>
      </c>
      <c r="E7307" s="6" t="str">
        <f>HYPERLINK("https://inpn.mnhn.fr/espece/cd_nom/855431","Lachnum pubescens (Rehm) Svrček, 1989")</f>
        <v>Lachnum pubescens (Rehm) Svrček, 1989</v>
      </c>
      <c r="AH7307" s="4" t="str">
        <f>HYPERLINK("#Statut_biogéographique!A"&amp;_xlfn.XMATCH("P",Statut_biogéographique!A:A,2,1),"P")</f>
        <v>P</v>
      </c>
      <c r="AP7307" s="4" t="s">
        <v>376</v>
      </c>
      <c r="AR7307" s="4" t="s">
        <v>377</v>
      </c>
    </row>
    <row r="7308" spans="1:44">
      <c r="A7308" s="4" t="s">
        <v>5</v>
      </c>
      <c r="B7308" s="4">
        <v>855435</v>
      </c>
      <c r="C7308" s="4">
        <v>6793</v>
      </c>
      <c r="D7308" s="5" t="s">
        <v>10126</v>
      </c>
      <c r="E7308" s="6" t="str">
        <f>HYPERLINK("https://inpn.mnhn.fr/espece/cd_nom/855435","Lachnum salicariae (Rehm) Raitv., 1991")</f>
        <v>Lachnum salicariae (Rehm) Raitv., 1991</v>
      </c>
      <c r="AH7308" s="4" t="str">
        <f>HYPERLINK("#Statut_biogéographique!A"&amp;_xlfn.XMATCH("P",Statut_biogéographique!A:A,2,1),"P")</f>
        <v>P</v>
      </c>
      <c r="AP7308" s="4" t="s">
        <v>376</v>
      </c>
      <c r="AR7308" s="4" t="s">
        <v>377</v>
      </c>
    </row>
    <row r="7309" spans="1:44" ht="30">
      <c r="A7309" s="4" t="s">
        <v>5</v>
      </c>
      <c r="B7309" s="4">
        <v>855440</v>
      </c>
      <c r="C7309" s="4">
        <v>3364</v>
      </c>
      <c r="D7309" s="5" t="s">
        <v>10127</v>
      </c>
      <c r="E7309" s="6" t="str">
        <f>HYPERLINK("https://inpn.mnhn.fr/espece/cd_nom/855440","Hypoxylon cercidicola (Berk. &amp; M.A.Curtis ex Peck) Y.M.Ju &amp; J.D.Rogers, 1996")</f>
        <v>Hypoxylon cercidicola (Berk. &amp; M.A.Curtis ex Peck) Y.M.Ju &amp; J.D.Rogers, 1996</v>
      </c>
      <c r="AH7309" s="4" t="str">
        <f>HYPERLINK("#Statut_biogéographique!A"&amp;_xlfn.XMATCH("P",Statut_biogéographique!A:A,2,1),"P")</f>
        <v>P</v>
      </c>
      <c r="AP7309" s="4" t="s">
        <v>376</v>
      </c>
      <c r="AR7309" s="4" t="s">
        <v>377</v>
      </c>
    </row>
    <row r="7310" spans="1:44" ht="30">
      <c r="A7310" s="4" t="s">
        <v>5</v>
      </c>
      <c r="B7310" s="4">
        <v>855443</v>
      </c>
      <c r="C7310" s="4">
        <v>6957</v>
      </c>
      <c r="D7310" s="5" t="s">
        <v>10128</v>
      </c>
      <c r="E7310" s="6" t="str">
        <f>HYPERLINK("https://inpn.mnhn.fr/espece/cd_nom/855443","Hypoxylon gibriacense J.Fourn., M.Stadler &amp; Gardiennet, 2010")</f>
        <v>Hypoxylon gibriacense J.Fourn., M.Stadler &amp; Gardiennet, 2010</v>
      </c>
      <c r="AH7310" s="4" t="str">
        <f>HYPERLINK("#Statut_biogéographique!A"&amp;_xlfn.XMATCH("P",Statut_biogéographique!A:A,2,1),"P")</f>
        <v>P</v>
      </c>
      <c r="AP7310" s="4" t="s">
        <v>376</v>
      </c>
      <c r="AR7310" s="4" t="s">
        <v>377</v>
      </c>
    </row>
    <row r="7311" spans="1:44">
      <c r="A7311" s="4" t="s">
        <v>5</v>
      </c>
      <c r="B7311" s="4">
        <v>855448</v>
      </c>
      <c r="C7311" s="4">
        <v>6637</v>
      </c>
      <c r="D7311" s="5" t="s">
        <v>10129</v>
      </c>
      <c r="E7311" s="6" t="str">
        <f>HYPERLINK("https://inpn.mnhn.fr/espece/cd_nom/855448","Lachnum subvirgineum Baral, 1985")</f>
        <v>Lachnum subvirgineum Baral, 1985</v>
      </c>
      <c r="AH7311" s="4" t="str">
        <f>HYPERLINK("#Statut_biogéographique!A"&amp;_xlfn.XMATCH("P",Statut_biogéographique!A:A,2,1),"P")</f>
        <v>P</v>
      </c>
      <c r="AP7311" s="4" t="s">
        <v>376</v>
      </c>
      <c r="AR7311" s="4" t="s">
        <v>377</v>
      </c>
    </row>
    <row r="7312" spans="1:44" ht="30">
      <c r="A7312" s="4" t="s">
        <v>5</v>
      </c>
      <c r="B7312" s="4">
        <v>855450</v>
      </c>
      <c r="C7312" s="4">
        <v>6389</v>
      </c>
      <c r="D7312" s="5" t="s">
        <v>10130</v>
      </c>
      <c r="E7312" s="6" t="str">
        <f>HYPERLINK("https://inpn.mnhn.fr/espece/cd_nom/855450","Lachnum tenuissimum (Kuntze) Korf &amp; W.Y.Zhuang, 1985")</f>
        <v>Lachnum tenuissimum (Kuntze) Korf &amp; W.Y.Zhuang, 1985</v>
      </c>
      <c r="AH7312" s="4" t="str">
        <f>HYPERLINK("#Statut_biogéographique!A"&amp;_xlfn.XMATCH("P",Statut_biogéographique!A:A,2,1),"P")</f>
        <v>P</v>
      </c>
      <c r="AP7312" s="4" t="s">
        <v>376</v>
      </c>
      <c r="AR7312" s="4" t="s">
        <v>377</v>
      </c>
    </row>
    <row r="7313" spans="1:44" ht="30">
      <c r="A7313" s="4" t="s">
        <v>5</v>
      </c>
      <c r="B7313" s="4">
        <v>855453</v>
      </c>
      <c r="C7313" s="4">
        <v>2052</v>
      </c>
      <c r="D7313" s="5" t="s">
        <v>10131</v>
      </c>
      <c r="E7313" s="6" t="str">
        <f>HYPERLINK("https://inpn.mnhn.fr/espece/cd_nom/855453","Hypoxylon intermedium (Schwein.) Y.M.Ju &amp; J.D.Rogers, 1996")</f>
        <v>Hypoxylon intermedium (Schwein.) Y.M.Ju &amp; J.D.Rogers, 1996</v>
      </c>
      <c r="F7313" s="5" t="s">
        <v>10132</v>
      </c>
      <c r="Z7313" s="4" t="s">
        <v>447</v>
      </c>
      <c r="AA7313" s="4" t="s">
        <v>448</v>
      </c>
      <c r="AH7313" s="4" t="str">
        <f>HYPERLINK("#Statut_biogéographique!A"&amp;_xlfn.XMATCH("P",Statut_biogéographique!A:A,2,1),"P")</f>
        <v>P</v>
      </c>
      <c r="AP7313" s="4" t="s">
        <v>376</v>
      </c>
      <c r="AR7313" s="4" t="s">
        <v>377</v>
      </c>
    </row>
    <row r="7314" spans="1:44" ht="30">
      <c r="A7314" s="4" t="s">
        <v>5</v>
      </c>
      <c r="B7314" s="4">
        <v>855461</v>
      </c>
      <c r="C7314" s="4">
        <v>6081</v>
      </c>
      <c r="D7314" s="5" t="s">
        <v>10133</v>
      </c>
      <c r="E7314" s="6" t="str">
        <f>HYPERLINK("https://inpn.mnhn.fr/espece/cd_nom/855461","Hypoxylon petriniae M.Stadler &amp; J.Fourn., 2004")</f>
        <v>Hypoxylon petriniae M.Stadler &amp; J.Fourn., 2004</v>
      </c>
      <c r="F7314" s="5" t="s">
        <v>10134</v>
      </c>
      <c r="AH7314" s="4" t="str">
        <f>HYPERLINK("#Statut_biogéographique!A"&amp;_xlfn.XMATCH("P",Statut_biogéographique!A:A,2,1),"P")</f>
        <v>P</v>
      </c>
      <c r="AP7314" s="4" t="s">
        <v>376</v>
      </c>
      <c r="AR7314" s="4" t="s">
        <v>377</v>
      </c>
    </row>
    <row r="7315" spans="1:44">
      <c r="A7315" s="4" t="s">
        <v>5</v>
      </c>
      <c r="B7315" s="4">
        <v>855462</v>
      </c>
      <c r="C7315" s="4">
        <v>6876</v>
      </c>
      <c r="D7315" s="5" t="s">
        <v>10135</v>
      </c>
      <c r="E7315" s="6" t="str">
        <f>HYPERLINK("https://inpn.mnhn.fr/espece/cd_nom/855462","Hypoxylon porphyreum Granmo, 1999")</f>
        <v>Hypoxylon porphyreum Granmo, 1999</v>
      </c>
      <c r="F7315" s="5" t="s">
        <v>10136</v>
      </c>
      <c r="AH7315" s="4" t="str">
        <f>HYPERLINK("#Statut_biogéographique!A"&amp;_xlfn.XMATCH("P",Statut_biogéographique!A:A,2,1),"P")</f>
        <v>P</v>
      </c>
      <c r="AP7315" s="4" t="s">
        <v>376</v>
      </c>
      <c r="AR7315" s="4" t="s">
        <v>377</v>
      </c>
    </row>
    <row r="7316" spans="1:44">
      <c r="A7316" s="4" t="s">
        <v>5</v>
      </c>
      <c r="B7316" s="4">
        <v>855466</v>
      </c>
      <c r="C7316" s="4">
        <v>5823</v>
      </c>
      <c r="D7316" s="5" t="s">
        <v>10137</v>
      </c>
      <c r="E7316" s="6" t="str">
        <f>HYPERLINK("https://inpn.mnhn.fr/espece/cd_nom/855466","Hypoxylon ticinense L.E.Petrini, 1986")</f>
        <v>Hypoxylon ticinense L.E.Petrini, 1986</v>
      </c>
      <c r="Z7316" s="4" t="s">
        <v>443</v>
      </c>
      <c r="AA7316" s="4" t="s">
        <v>444</v>
      </c>
      <c r="AH7316" s="4" t="str">
        <f>HYPERLINK("#Statut_biogéographique!A"&amp;_xlfn.XMATCH("P",Statut_biogéographique!A:A,2,1),"P")</f>
        <v>P</v>
      </c>
      <c r="AP7316" s="4" t="s">
        <v>376</v>
      </c>
      <c r="AR7316" s="4" t="s">
        <v>377</v>
      </c>
    </row>
    <row r="7317" spans="1:44" ht="30">
      <c r="A7317" s="4" t="s">
        <v>5</v>
      </c>
      <c r="B7317" s="4">
        <v>855467</v>
      </c>
      <c r="C7317" s="4">
        <v>6082</v>
      </c>
      <c r="D7317" s="5" t="s">
        <v>10138</v>
      </c>
      <c r="E7317" s="6" t="str">
        <f>HYPERLINK("https://inpn.mnhn.fr/espece/cd_nom/855467","Hypoxylon vogesiacum (Pers. ex Curr.) Sacc., 1882")</f>
        <v>Hypoxylon vogesiacum (Pers. ex Curr.) Sacc., 1882</v>
      </c>
      <c r="F7317" s="5" t="s">
        <v>10139</v>
      </c>
      <c r="AH7317" s="4" t="str">
        <f>HYPERLINK("#Statut_biogéographique!A"&amp;_xlfn.XMATCH("P",Statut_biogéographique!A:A,2,1),"P")</f>
        <v>P</v>
      </c>
      <c r="AP7317" s="4" t="s">
        <v>376</v>
      </c>
      <c r="AR7317" s="4" t="s">
        <v>377</v>
      </c>
    </row>
    <row r="7318" spans="1:44" ht="30">
      <c r="A7318" s="4" t="s">
        <v>5</v>
      </c>
      <c r="B7318" s="4">
        <v>855478</v>
      </c>
      <c r="C7318" s="4">
        <v>5557</v>
      </c>
      <c r="D7318" s="5" t="s">
        <v>10140</v>
      </c>
      <c r="E7318" s="6" t="str">
        <f>HYPERLINK("https://inpn.mnhn.fr/espece/cd_nom/855478","Hysterographium flexuosum (Schwein.) Sacc., 1883")</f>
        <v>Hysterographium flexuosum (Schwein.) Sacc., 1883</v>
      </c>
      <c r="AH7318" s="4" t="str">
        <f>HYPERLINK("#Statut_biogéographique!A"&amp;_xlfn.XMATCH("P",Statut_biogéographique!A:A,2,1),"P")</f>
        <v>P</v>
      </c>
      <c r="AP7318" s="4" t="s">
        <v>376</v>
      </c>
      <c r="AR7318" s="4" t="s">
        <v>377</v>
      </c>
    </row>
    <row r="7319" spans="1:44" ht="30">
      <c r="A7319" s="4" t="s">
        <v>5</v>
      </c>
      <c r="B7319" s="4">
        <v>855482</v>
      </c>
      <c r="D7319" s="5" t="s">
        <v>10141</v>
      </c>
      <c r="E7319" s="6" t="str">
        <f>HYPERLINK("https://inpn.mnhn.fr/espece/cd_nom/855482","Lanzia albida (Gillet) S.E.Carp., 1981")</f>
        <v>Lanzia albida (Gillet) S.E.Carp., 1981</v>
      </c>
      <c r="V7319" s="7" t="str">
        <f>HYPERLINK("#Liste_rouge!A"&amp;_xlfn.XMATCH("LC",Liste_rouge!A:A,2,1),"LC")</f>
        <v>LC</v>
      </c>
      <c r="AH7319" s="4" t="str">
        <f>HYPERLINK("#Statut_biogéographique!A"&amp;_xlfn.XMATCH("P",Statut_biogéographique!A:A,2,1),"P")</f>
        <v>P</v>
      </c>
      <c r="AP7319" s="4" t="s">
        <v>376</v>
      </c>
      <c r="AR7319" s="4" t="s">
        <v>377</v>
      </c>
    </row>
    <row r="7320" spans="1:44">
      <c r="A7320" s="4" t="s">
        <v>5</v>
      </c>
      <c r="B7320" s="4">
        <v>855485</v>
      </c>
      <c r="C7320" s="4">
        <v>3779</v>
      </c>
      <c r="D7320" s="5" t="s">
        <v>10142</v>
      </c>
      <c r="E7320" s="6" t="str">
        <f>HYPERLINK("https://inpn.mnhn.fr/espece/cd_nom/855485","Lanzia echinophila (Bull.) Korf, 1982")</f>
        <v>Lanzia echinophila (Bull.) Korf, 1982</v>
      </c>
      <c r="AH7320" s="4" t="str">
        <f>HYPERLINK("#Statut_biogéographique!A"&amp;_xlfn.XMATCH("P",Statut_biogéographique!A:A,2,1),"P")</f>
        <v>P</v>
      </c>
      <c r="AP7320" s="4" t="s">
        <v>376</v>
      </c>
      <c r="AR7320" s="4" t="s">
        <v>377</v>
      </c>
    </row>
    <row r="7321" spans="1:44">
      <c r="A7321" s="4" t="s">
        <v>5</v>
      </c>
      <c r="B7321" s="4">
        <v>855530</v>
      </c>
      <c r="C7321" s="4">
        <v>2776</v>
      </c>
      <c r="D7321" s="5" t="s">
        <v>10143</v>
      </c>
      <c r="E7321" s="6" t="str">
        <f>HYPERLINK("https://inpn.mnhn.fr/espece/cd_nom/855530","Lasiosphaeria glabrata (Fr.) Valade, 2017")</f>
        <v>Lasiosphaeria glabrata (Fr.) Valade, 2017</v>
      </c>
      <c r="AH7321" s="4" t="str">
        <f>HYPERLINK("#Statut_biogéographique!A"&amp;_xlfn.XMATCH("P",Statut_biogéographique!A:A,2,1),"P")</f>
        <v>P</v>
      </c>
      <c r="AP7321" s="4" t="s">
        <v>376</v>
      </c>
      <c r="AR7321" s="4" t="s">
        <v>377</v>
      </c>
    </row>
    <row r="7322" spans="1:44">
      <c r="A7322" s="4" t="s">
        <v>5</v>
      </c>
      <c r="B7322" s="4">
        <v>855554</v>
      </c>
      <c r="C7322" s="4">
        <v>6525</v>
      </c>
      <c r="D7322" s="5" t="s">
        <v>10144</v>
      </c>
      <c r="E7322" s="6" t="str">
        <f>HYPERLINK("https://inpn.mnhn.fr/espece/cd_nom/855554","Gliocladium luteolum Höhn., 1903")</f>
        <v>Gliocladium luteolum Höhn., 1903</v>
      </c>
      <c r="AH7322" s="4" t="str">
        <f>HYPERLINK("#Statut_biogéographique!A"&amp;_xlfn.XMATCH("P",Statut_biogéographique!A:A,2,1),"P")</f>
        <v>P</v>
      </c>
      <c r="AP7322" s="4" t="s">
        <v>376</v>
      </c>
      <c r="AR7322" s="4" t="s">
        <v>377</v>
      </c>
    </row>
    <row r="7323" spans="1:44">
      <c r="A7323" s="4" t="s">
        <v>5</v>
      </c>
      <c r="B7323" s="4">
        <v>855563</v>
      </c>
      <c r="C7323" s="4">
        <v>5822</v>
      </c>
      <c r="D7323" s="5" t="s">
        <v>10145</v>
      </c>
      <c r="E7323" s="6" t="str">
        <f>HYPERLINK("https://inpn.mnhn.fr/espece/cd_nom/855563","Hymenoscyphus salicellus (Fr.) Dennis, 1964")</f>
        <v>Hymenoscyphus salicellus (Fr.) Dennis, 1964</v>
      </c>
      <c r="AH7323" s="4" t="str">
        <f>HYPERLINK("#Statut_biogéographique!A"&amp;_xlfn.XMATCH("P",Statut_biogéographique!A:A,2,1),"P")</f>
        <v>P</v>
      </c>
      <c r="AP7323" s="4" t="s">
        <v>376</v>
      </c>
      <c r="AR7323" s="4" t="s">
        <v>377</v>
      </c>
    </row>
    <row r="7324" spans="1:44" ht="30">
      <c r="A7324" s="4" t="s">
        <v>5</v>
      </c>
      <c r="B7324" s="4">
        <v>855581</v>
      </c>
      <c r="C7324" s="4">
        <v>6167</v>
      </c>
      <c r="D7324" s="5" t="s">
        <v>10146</v>
      </c>
      <c r="E7324" s="6" t="str">
        <f>HYPERLINK("https://inpn.mnhn.fr/espece/cd_nom/855581","Hymenoscyphus subferrugineus (Nyl.) Dennis, 1964")</f>
        <v>Hymenoscyphus subferrugineus (Nyl.) Dennis, 1964</v>
      </c>
      <c r="AH7324" s="4" t="str">
        <f>HYPERLINK("#Statut_biogéographique!A"&amp;_xlfn.XMATCH("P",Statut_biogéographique!A:A,2,1),"P")</f>
        <v>P</v>
      </c>
      <c r="AP7324" s="4" t="s">
        <v>376</v>
      </c>
      <c r="AR7324" s="4" t="s">
        <v>377</v>
      </c>
    </row>
    <row r="7325" spans="1:44">
      <c r="A7325" s="4" t="s">
        <v>5</v>
      </c>
      <c r="B7325" s="4">
        <v>855595</v>
      </c>
      <c r="C7325" s="4">
        <v>4009</v>
      </c>
      <c r="D7325" s="5" t="s">
        <v>10147</v>
      </c>
      <c r="E7325" s="6" t="str">
        <f>HYPERLINK("https://inpn.mnhn.fr/espece/cd_nom/855595","Erysiphe aquilegiae DC., 1815")</f>
        <v>Erysiphe aquilegiae DC., 1815</v>
      </c>
      <c r="AH7325" s="4" t="str">
        <f>HYPERLINK("#Statut_biogéographique!A"&amp;_xlfn.XMATCH("P",Statut_biogéographique!A:A,2,1),"P")</f>
        <v>P</v>
      </c>
      <c r="AP7325" s="4" t="s">
        <v>376</v>
      </c>
      <c r="AR7325" s="4" t="s">
        <v>377</v>
      </c>
    </row>
    <row r="7326" spans="1:44">
      <c r="A7326" s="4" t="s">
        <v>5</v>
      </c>
      <c r="B7326" s="4">
        <v>855597</v>
      </c>
      <c r="C7326" s="4">
        <v>951</v>
      </c>
      <c r="D7326" s="5" t="s">
        <v>10148</v>
      </c>
      <c r="E7326" s="6" t="str">
        <f>HYPERLINK("https://inpn.mnhn.fr/espece/cd_nom/855597","Erysiphe lythri L.Junell, 1967")</f>
        <v>Erysiphe lythri L.Junell, 1967</v>
      </c>
      <c r="AH7326" s="4" t="str">
        <f>HYPERLINK("#Statut_biogéographique!A"&amp;_xlfn.XMATCH("P",Statut_biogéographique!A:A,2,1),"P")</f>
        <v>P</v>
      </c>
      <c r="AP7326" s="4" t="s">
        <v>376</v>
      </c>
      <c r="AR7326" s="4" t="s">
        <v>377</v>
      </c>
    </row>
    <row r="7327" spans="1:44">
      <c r="A7327" s="4" t="s">
        <v>5</v>
      </c>
      <c r="B7327" s="4">
        <v>855602</v>
      </c>
      <c r="C7327" s="4">
        <v>953</v>
      </c>
      <c r="D7327" s="5" t="s">
        <v>10149</v>
      </c>
      <c r="E7327" s="6" t="str">
        <f>HYPERLINK("https://inpn.mnhn.fr/espece/cd_nom/855602","Erysiphe convolvuli DC., 1805")</f>
        <v>Erysiphe convolvuli DC., 1805</v>
      </c>
      <c r="AH7327" s="4" t="str">
        <f>HYPERLINK("#Statut_biogéographique!A"&amp;_xlfn.XMATCH("P",Statut_biogéographique!A:A,2,1),"P")</f>
        <v>P</v>
      </c>
      <c r="AP7327" s="4" t="s">
        <v>376</v>
      </c>
      <c r="AR7327" s="4" t="s">
        <v>377</v>
      </c>
    </row>
    <row r="7328" spans="1:44">
      <c r="A7328" s="4" t="s">
        <v>5</v>
      </c>
      <c r="B7328" s="4">
        <v>855610</v>
      </c>
      <c r="C7328" s="4">
        <v>947</v>
      </c>
      <c r="D7328" s="5" t="s">
        <v>10150</v>
      </c>
      <c r="E7328" s="6" t="str">
        <f>HYPERLINK("https://inpn.mnhn.fr/espece/cd_nom/855610","Erysiphe heraclei DC., 1815")</f>
        <v>Erysiphe heraclei DC., 1815</v>
      </c>
      <c r="AH7328" s="4" t="str">
        <f>HYPERLINK("#Statut_biogéographique!A"&amp;_xlfn.XMATCH("P",Statut_biogéographique!A:A,2,1),"P")</f>
        <v>P</v>
      </c>
      <c r="AP7328" s="4" t="s">
        <v>376</v>
      </c>
      <c r="AR7328" s="4" t="s">
        <v>377</v>
      </c>
    </row>
    <row r="7329" spans="1:44">
      <c r="A7329" s="4" t="s">
        <v>5</v>
      </c>
      <c r="B7329" s="4">
        <v>855611</v>
      </c>
      <c r="C7329" s="4">
        <v>2134</v>
      </c>
      <c r="D7329" s="5" t="s">
        <v>10151</v>
      </c>
      <c r="E7329" s="6" t="str">
        <f>HYPERLINK("https://inpn.mnhn.fr/espece/cd_nom/855611","Erysiphe hyperici (Wallr.) S.Blumer, 1933")</f>
        <v>Erysiphe hyperici (Wallr.) S.Blumer, 1933</v>
      </c>
      <c r="AH7329" s="4" t="str">
        <f>HYPERLINK("#Statut_biogéographique!A"&amp;_xlfn.XMATCH("P",Statut_biogéographique!A:A,2,1),"P")</f>
        <v>P</v>
      </c>
      <c r="AP7329" s="4" t="s">
        <v>376</v>
      </c>
      <c r="AR7329" s="4" t="s">
        <v>377</v>
      </c>
    </row>
    <row r="7330" spans="1:44">
      <c r="A7330" s="4" t="s">
        <v>5</v>
      </c>
      <c r="B7330" s="4">
        <v>855612</v>
      </c>
      <c r="C7330" s="4">
        <v>1247</v>
      </c>
      <c r="D7330" s="5" t="s">
        <v>10152</v>
      </c>
      <c r="E7330" s="6" t="str">
        <f>HYPERLINK("https://inpn.mnhn.fr/espece/cd_nom/855612","Erysiphe knautiae Duby, 1830")</f>
        <v>Erysiphe knautiae Duby, 1830</v>
      </c>
      <c r="AH7330" s="4" t="str">
        <f>HYPERLINK("#Statut_biogéographique!A"&amp;_xlfn.XMATCH("P",Statut_biogéographique!A:A,2,1),"P")</f>
        <v>P</v>
      </c>
      <c r="AP7330" s="4" t="s">
        <v>376</v>
      </c>
      <c r="AR7330" s="4" t="s">
        <v>377</v>
      </c>
    </row>
    <row r="7331" spans="1:44">
      <c r="A7331" s="4" t="s">
        <v>5</v>
      </c>
      <c r="B7331" s="4">
        <v>855616</v>
      </c>
      <c r="C7331" s="4">
        <v>951</v>
      </c>
      <c r="D7331" s="5">
        <v>876369</v>
      </c>
      <c r="E7331" s="6" t="str">
        <f>HYPERLINK("https://inpn.mnhn.fr/espece/cd_nom/855616","Erysiphe lythri L.Junell, 1967")</f>
        <v>Erysiphe lythri L.Junell, 1967</v>
      </c>
      <c r="AH7331" s="4" t="str">
        <f>HYPERLINK("#Statut_biogéographique!A"&amp;_xlfn.XMATCH("P",Statut_biogéographique!A:A,2,1),"P")</f>
        <v>P</v>
      </c>
      <c r="AP7331" s="4" t="s">
        <v>376</v>
      </c>
      <c r="AR7331" s="4" t="s">
        <v>377</v>
      </c>
    </row>
    <row r="7332" spans="1:44">
      <c r="A7332" s="4" t="s">
        <v>5</v>
      </c>
      <c r="B7332" s="4">
        <v>855617</v>
      </c>
      <c r="C7332" s="4">
        <v>951</v>
      </c>
      <c r="D7332" s="5">
        <v>876370</v>
      </c>
      <c r="E7332" s="6" t="str">
        <f>HYPERLINK("https://inpn.mnhn.fr/espece/cd_nom/855617","Erysiphe lythri L.Junell, 1967")</f>
        <v>Erysiphe lythri L.Junell, 1967</v>
      </c>
      <c r="AH7332" s="4" t="str">
        <f>HYPERLINK("#Statut_biogéographique!A"&amp;_xlfn.XMATCH("P",Statut_biogéographique!A:A,2,1),"P")</f>
        <v>P</v>
      </c>
      <c r="AP7332" s="4" t="s">
        <v>376</v>
      </c>
      <c r="AR7332" s="4" t="s">
        <v>377</v>
      </c>
    </row>
    <row r="7333" spans="1:44">
      <c r="A7333" s="4" t="s">
        <v>5</v>
      </c>
      <c r="B7333" s="4">
        <v>855622</v>
      </c>
      <c r="C7333" s="4">
        <v>948</v>
      </c>
      <c r="D7333" s="5" t="s">
        <v>10153</v>
      </c>
      <c r="E7333" s="6" t="str">
        <f>HYPERLINK("https://inpn.mnhn.fr/espece/cd_nom/855622","Erysiphe pisi DC., 1805")</f>
        <v>Erysiphe pisi DC., 1805</v>
      </c>
      <c r="AH7333" s="4" t="str">
        <f>HYPERLINK("#Statut_biogéographique!A"&amp;_xlfn.XMATCH("P",Statut_biogéographique!A:A,2,1),"P")</f>
        <v>P</v>
      </c>
      <c r="AP7333" s="4" t="s">
        <v>376</v>
      </c>
      <c r="AR7333" s="4" t="s">
        <v>377</v>
      </c>
    </row>
    <row r="7334" spans="1:44">
      <c r="A7334" s="4" t="s">
        <v>5</v>
      </c>
      <c r="B7334" s="4">
        <v>855623</v>
      </c>
      <c r="C7334" s="4">
        <v>951</v>
      </c>
      <c r="D7334" s="5" t="s">
        <v>10154</v>
      </c>
      <c r="E7334" s="6" t="str">
        <f>HYPERLINK("https://inpn.mnhn.fr/espece/cd_nom/855623","Erysiphe lythri L.Junell, 1967")</f>
        <v>Erysiphe lythri L.Junell, 1967</v>
      </c>
      <c r="AH7334" s="4" t="str">
        <f>HYPERLINK("#Statut_biogéographique!A"&amp;_xlfn.XMATCH("P",Statut_biogéographique!A:A,2,1),"P")</f>
        <v>P</v>
      </c>
      <c r="AP7334" s="4" t="s">
        <v>376</v>
      </c>
      <c r="AR7334" s="4" t="s">
        <v>377</v>
      </c>
    </row>
    <row r="7335" spans="1:44" ht="30">
      <c r="A7335" s="4" t="s">
        <v>5</v>
      </c>
      <c r="B7335" s="4">
        <v>855625</v>
      </c>
      <c r="C7335" s="4">
        <v>1242</v>
      </c>
      <c r="D7335" s="5" t="s">
        <v>10155</v>
      </c>
      <c r="E7335" s="6" t="str">
        <f>HYPERLINK("https://inpn.mnhn.fr/espece/cd_nom/855625","Erysiphe ranunculi Grev., 1824")</f>
        <v>Erysiphe ranunculi Grev., 1824</v>
      </c>
      <c r="AH7335" s="4" t="str">
        <f>HYPERLINK("#Statut_biogéographique!A"&amp;_xlfn.XMATCH("P",Statut_biogéographique!A:A,2,1),"P")</f>
        <v>P</v>
      </c>
      <c r="AP7335" s="4" t="s">
        <v>376</v>
      </c>
      <c r="AR7335" s="4" t="s">
        <v>377</v>
      </c>
    </row>
    <row r="7336" spans="1:44">
      <c r="A7336" s="4" t="s">
        <v>5</v>
      </c>
      <c r="B7336" s="4">
        <v>855627</v>
      </c>
      <c r="C7336" s="4">
        <v>951</v>
      </c>
      <c r="D7336" s="5">
        <v>876383</v>
      </c>
      <c r="E7336" s="6" t="str">
        <f>HYPERLINK("https://inpn.mnhn.fr/espece/cd_nom/855627","Erysiphe lythri L.Junell, 1967")</f>
        <v>Erysiphe lythri L.Junell, 1967</v>
      </c>
      <c r="AH7336" s="4" t="str">
        <f>HYPERLINK("#Statut_biogéographique!A"&amp;_xlfn.XMATCH("P",Statut_biogéographique!A:A,2,1),"P")</f>
        <v>P</v>
      </c>
      <c r="AP7336" s="4" t="s">
        <v>376</v>
      </c>
      <c r="AR7336" s="4" t="s">
        <v>377</v>
      </c>
    </row>
    <row r="7337" spans="1:44">
      <c r="A7337" s="4" t="s">
        <v>5</v>
      </c>
      <c r="B7337" s="4">
        <v>855640</v>
      </c>
      <c r="C7337" s="4">
        <v>6104</v>
      </c>
      <c r="D7337" s="5" t="s">
        <v>10156</v>
      </c>
      <c r="E7337" s="6" t="str">
        <f>HYPERLINK("https://inpn.mnhn.fr/espece/cd_nom/855640","Hypocrea argillacea W.Phillips &amp; Plowr., 1885")</f>
        <v>Hypocrea argillacea W.Phillips &amp; Plowr., 1885</v>
      </c>
      <c r="AH7337" s="4" t="str">
        <f>HYPERLINK("#Statut_biogéographique!A"&amp;_xlfn.XMATCH("P",Statut_biogéographique!A:A,2,1),"P")</f>
        <v>P</v>
      </c>
      <c r="AP7337" s="4" t="s">
        <v>376</v>
      </c>
      <c r="AR7337" s="4" t="s">
        <v>377</v>
      </c>
    </row>
    <row r="7338" spans="1:44">
      <c r="A7338" s="4" t="s">
        <v>5</v>
      </c>
      <c r="B7338" s="4">
        <v>855651</v>
      </c>
      <c r="C7338" s="4">
        <v>951</v>
      </c>
      <c r="D7338" s="5">
        <v>876475</v>
      </c>
      <c r="E7338" s="6" t="str">
        <f>HYPERLINK("https://inpn.mnhn.fr/espece/cd_nom/855651","Erysiphe lythri L.Junell, 1967")</f>
        <v>Erysiphe lythri L.Junell, 1967</v>
      </c>
      <c r="AH7338" s="4" t="str">
        <f>HYPERLINK("#Statut_biogéographique!A"&amp;_xlfn.XMATCH("P",Statut_biogéographique!A:A,2,1),"P")</f>
        <v>P</v>
      </c>
      <c r="AP7338" s="4" t="s">
        <v>376</v>
      </c>
      <c r="AR7338" s="4" t="s">
        <v>377</v>
      </c>
    </row>
    <row r="7339" spans="1:44">
      <c r="A7339" s="4" t="s">
        <v>5</v>
      </c>
      <c r="B7339" s="4">
        <v>855652</v>
      </c>
      <c r="C7339" s="4">
        <v>4183</v>
      </c>
      <c r="D7339" s="5">
        <v>855652</v>
      </c>
      <c r="E7339" s="6" t="str">
        <f>HYPERLINK("https://inpn.mnhn.fr/espece/cd_nom/855652","Erysiphe urticae (Wallr.) S.Blumer, 1933")</f>
        <v>Erysiphe urticae (Wallr.) S.Blumer, 1933</v>
      </c>
      <c r="AH7339" s="4" t="str">
        <f>HYPERLINK("#Statut_biogéographique!A"&amp;_xlfn.XMATCH("P",Statut_biogéographique!A:A,2,1),"P")</f>
        <v>P</v>
      </c>
      <c r="AP7339" s="4" t="s">
        <v>376</v>
      </c>
      <c r="AR7339" s="4" t="s">
        <v>377</v>
      </c>
    </row>
    <row r="7340" spans="1:44">
      <c r="A7340" s="4" t="s">
        <v>5</v>
      </c>
      <c r="B7340" s="4">
        <v>855663</v>
      </c>
      <c r="C7340" s="4">
        <v>4146</v>
      </c>
      <c r="D7340" s="5" t="s">
        <v>10157</v>
      </c>
      <c r="E7340" s="6" t="str">
        <f>HYPERLINK("https://inpn.mnhn.fr/espece/cd_nom/855663","Gnomonia gnomon (Tode) J.Schröt., 1897")</f>
        <v>Gnomonia gnomon (Tode) J.Schröt., 1897</v>
      </c>
      <c r="AH7340" s="4" t="str">
        <f>HYPERLINK("#Statut_biogéographique!A"&amp;_xlfn.XMATCH("P",Statut_biogéographique!A:A,2,1),"P")</f>
        <v>P</v>
      </c>
      <c r="AP7340" s="4" t="s">
        <v>376</v>
      </c>
      <c r="AR7340" s="4" t="s">
        <v>377</v>
      </c>
    </row>
    <row r="7341" spans="1:44">
      <c r="A7341" s="4" t="s">
        <v>5</v>
      </c>
      <c r="B7341" s="4">
        <v>855689</v>
      </c>
      <c r="C7341" s="4">
        <v>4438</v>
      </c>
      <c r="D7341" s="5" t="s">
        <v>10158</v>
      </c>
      <c r="E7341" s="6" t="str">
        <f>HYPERLINK("https://inpn.mnhn.fr/espece/cd_nom/855689","Hypomyces lithuanicus Heinr.-Norm., 1969")</f>
        <v>Hypomyces lithuanicus Heinr.-Norm., 1969</v>
      </c>
      <c r="F7341" s="5" t="s">
        <v>10159</v>
      </c>
      <c r="AH7341" s="4" t="str">
        <f>HYPERLINK("#Statut_biogéographique!A"&amp;_xlfn.XMATCH("P",Statut_biogéographique!A:A,2,1),"P")</f>
        <v>P</v>
      </c>
      <c r="AP7341" s="4" t="s">
        <v>376</v>
      </c>
      <c r="AR7341" s="4" t="s">
        <v>377</v>
      </c>
    </row>
    <row r="7342" spans="1:44" ht="30">
      <c r="A7342" s="4" t="s">
        <v>5</v>
      </c>
      <c r="B7342" s="4">
        <v>855690</v>
      </c>
      <c r="C7342" s="4">
        <v>5537</v>
      </c>
      <c r="D7342" s="5" t="s">
        <v>10160</v>
      </c>
      <c r="E7342" s="6" t="str">
        <f>HYPERLINK("https://inpn.mnhn.fr/espece/cd_nom/855690","Hypomyces luteovirens (Fr.) Tul. &amp; C.Tul., 1860")</f>
        <v>Hypomyces luteovirens (Fr.) Tul. &amp; C.Tul., 1860</v>
      </c>
      <c r="AH7342" s="4" t="str">
        <f>HYPERLINK("#Statut_biogéographique!A"&amp;_xlfn.XMATCH("P",Statut_biogéographique!A:A,2,1),"P")</f>
        <v>P</v>
      </c>
      <c r="AP7342" s="4" t="s">
        <v>376</v>
      </c>
      <c r="AR7342" s="4" t="s">
        <v>377</v>
      </c>
    </row>
    <row r="7343" spans="1:44" ht="30">
      <c r="A7343" s="4" t="s">
        <v>5</v>
      </c>
      <c r="B7343" s="4">
        <v>855695</v>
      </c>
      <c r="C7343" s="4">
        <v>4443</v>
      </c>
      <c r="D7343" s="5" t="s">
        <v>10161</v>
      </c>
      <c r="E7343" s="6" t="str">
        <f>HYPERLINK("https://inpn.mnhn.fr/espece/cd_nom/855695","Hypomyces papulasporae Rogerson &amp; Samuels, 1985")</f>
        <v>Hypomyces papulasporae Rogerson &amp; Samuels, 1985</v>
      </c>
      <c r="AH7343" s="4" t="str">
        <f>HYPERLINK("#Statut_biogéographique!A"&amp;_xlfn.XMATCH("P",Statut_biogéographique!A:A,2,1),"P")</f>
        <v>P</v>
      </c>
      <c r="AP7343" s="4" t="s">
        <v>376</v>
      </c>
      <c r="AR7343" s="4" t="s">
        <v>377</v>
      </c>
    </row>
    <row r="7344" spans="1:44" ht="30">
      <c r="A7344" s="4" t="s">
        <v>5</v>
      </c>
      <c r="B7344" s="4">
        <v>855712</v>
      </c>
      <c r="C7344" s="4">
        <v>4560</v>
      </c>
      <c r="D7344" s="5" t="s">
        <v>10162</v>
      </c>
      <c r="E7344" s="6" t="str">
        <f>HYPERLINK("https://inpn.mnhn.fr/espece/cd_nom/855712","Hypocrea strictipilosa P.Chaverri &amp; Samuels, 2003")</f>
        <v>Hypocrea strictipilosa P.Chaverri &amp; Samuels, 2003</v>
      </c>
      <c r="AH7344" s="4" t="str">
        <f>HYPERLINK("#Statut_biogéographique!A"&amp;_xlfn.XMATCH("P",Statut_biogéographique!A:A,2,1),"P")</f>
        <v>P</v>
      </c>
      <c r="AP7344" s="4" t="s">
        <v>376</v>
      </c>
      <c r="AR7344" s="4" t="s">
        <v>377</v>
      </c>
    </row>
    <row r="7345" spans="1:44">
      <c r="A7345" s="4" t="s">
        <v>5</v>
      </c>
      <c r="B7345" s="4">
        <v>855719</v>
      </c>
      <c r="C7345" s="4">
        <v>6880</v>
      </c>
      <c r="D7345" s="5" t="s">
        <v>10163</v>
      </c>
      <c r="E7345" s="6" t="str">
        <f>HYPERLINK("https://inpn.mnhn.fr/espece/cd_nom/855719","Eutypa crustata (Fr.) Sacc., 1882")</f>
        <v>Eutypa crustata (Fr.) Sacc., 1882</v>
      </c>
      <c r="AH7345" s="4" t="str">
        <f>HYPERLINK("#Statut_biogéographique!A"&amp;_xlfn.XMATCH("P",Statut_biogéographique!A:A,2,1),"P")</f>
        <v>P</v>
      </c>
      <c r="AP7345" s="4" t="s">
        <v>376</v>
      </c>
      <c r="AR7345" s="4" t="s">
        <v>377</v>
      </c>
    </row>
    <row r="7346" spans="1:44" ht="30">
      <c r="A7346" s="4" t="s">
        <v>5</v>
      </c>
      <c r="B7346" s="4">
        <v>855732</v>
      </c>
      <c r="C7346" s="4">
        <v>4416</v>
      </c>
      <c r="D7346" s="5" t="s">
        <v>10164</v>
      </c>
      <c r="E7346" s="6" t="str">
        <f>HYPERLINK("https://inpn.mnhn.fr/espece/cd_nom/855732","Herpotrichia macrotricha (Berk. &amp; Broome) Sacc., 1883")</f>
        <v>Herpotrichia macrotricha (Berk. &amp; Broome) Sacc., 1883</v>
      </c>
      <c r="AH7346" s="4" t="str">
        <f>HYPERLINK("#Statut_biogéographique!A"&amp;_xlfn.XMATCH("P",Statut_biogéographique!A:A,2,1),"P")</f>
        <v>P</v>
      </c>
      <c r="AP7346" s="4" t="s">
        <v>376</v>
      </c>
      <c r="AR7346" s="4" t="s">
        <v>377</v>
      </c>
    </row>
    <row r="7347" spans="1:44" ht="30">
      <c r="A7347" s="4" t="s">
        <v>5</v>
      </c>
      <c r="B7347" s="4">
        <v>855735</v>
      </c>
      <c r="C7347" s="4">
        <v>4444</v>
      </c>
      <c r="D7347" s="5" t="s">
        <v>10165</v>
      </c>
      <c r="E7347" s="6" t="str">
        <f>HYPERLINK("https://inpn.mnhn.fr/espece/cd_nom/855735","Hypomyces cervinigenus Rogerson &amp; Simms, 1971")</f>
        <v>Hypomyces cervinigenus Rogerson &amp; Simms, 1971</v>
      </c>
      <c r="AH7347" s="4" t="str">
        <f>HYPERLINK("#Statut_biogéographique!A"&amp;_xlfn.XMATCH("P",Statut_biogéographique!A:A,2,1),"P")</f>
        <v>P</v>
      </c>
      <c r="AP7347" s="4" t="s">
        <v>376</v>
      </c>
      <c r="AR7347" s="4" t="s">
        <v>377</v>
      </c>
    </row>
    <row r="7348" spans="1:44" ht="30">
      <c r="A7348" s="4" t="s">
        <v>5</v>
      </c>
      <c r="B7348" s="4">
        <v>855742</v>
      </c>
      <c r="C7348" s="4">
        <v>4235</v>
      </c>
      <c r="D7348" s="5" t="s">
        <v>10166</v>
      </c>
      <c r="E7348" s="6" t="str">
        <f>HYPERLINK("https://inpn.mnhn.fr/espece/cd_nom/855742","Eutypella cerviculata (Fr.) Sacc., 1882")</f>
        <v>Eutypella cerviculata (Fr.) Sacc., 1882</v>
      </c>
      <c r="AH7348" s="4" t="str">
        <f>HYPERLINK("#Statut_biogéographique!A"&amp;_xlfn.XMATCH("P",Statut_biogéographique!A:A,2,1),"P")</f>
        <v>P</v>
      </c>
      <c r="AP7348" s="4" t="s">
        <v>376</v>
      </c>
      <c r="AR7348" s="4" t="s">
        <v>377</v>
      </c>
    </row>
    <row r="7349" spans="1:44">
      <c r="A7349" s="4" t="s">
        <v>5</v>
      </c>
      <c r="B7349" s="4">
        <v>855748</v>
      </c>
      <c r="C7349" s="4">
        <v>3868</v>
      </c>
      <c r="D7349" s="5" t="s">
        <v>10167</v>
      </c>
      <c r="E7349" s="6" t="str">
        <f>HYPERLINK("https://inpn.mnhn.fr/espece/cd_nom/855748","Eutypella grandis (Nitschke) Sacc., 1882")</f>
        <v>Eutypella grandis (Nitschke) Sacc., 1882</v>
      </c>
      <c r="AH7349" s="4" t="str">
        <f>HYPERLINK("#Statut_biogéographique!A"&amp;_xlfn.XMATCH("P",Statut_biogéographique!A:A,2,1),"P")</f>
        <v>P</v>
      </c>
      <c r="AP7349" s="4" t="s">
        <v>376</v>
      </c>
      <c r="AR7349" s="4" t="s">
        <v>377</v>
      </c>
    </row>
    <row r="7350" spans="1:44" ht="45">
      <c r="A7350" s="4" t="s">
        <v>5</v>
      </c>
      <c r="B7350" s="4">
        <v>855750</v>
      </c>
      <c r="C7350" s="4">
        <v>2778</v>
      </c>
      <c r="D7350" s="5" t="s">
        <v>10168</v>
      </c>
      <c r="E7350" s="6" t="str">
        <f>HYPERLINK("https://inpn.mnhn.fr/espece/cd_nom/855750","Eutypella leprosa (Pers.) Berl., 1902")</f>
        <v>Eutypella leprosa (Pers.) Berl., 1902</v>
      </c>
      <c r="AH7350" s="4" t="str">
        <f>HYPERLINK("#Statut_biogéographique!A"&amp;_xlfn.XMATCH("P",Statut_biogéographique!A:A,2,1),"P")</f>
        <v>P</v>
      </c>
      <c r="AP7350" s="4" t="s">
        <v>376</v>
      </c>
      <c r="AR7350" s="4" t="s">
        <v>377</v>
      </c>
    </row>
    <row r="7351" spans="1:44">
      <c r="A7351" s="4" t="s">
        <v>5</v>
      </c>
      <c r="B7351" s="4">
        <v>855751</v>
      </c>
      <c r="C7351" s="4">
        <v>4376</v>
      </c>
      <c r="D7351" s="5" t="s">
        <v>10169</v>
      </c>
      <c r="E7351" s="6" t="str">
        <f>HYPERLINK("https://inpn.mnhn.fr/espece/cd_nom/855751","Herpotrichia nigra R.Hartig, 1888")</f>
        <v>Herpotrichia nigra R.Hartig, 1888</v>
      </c>
      <c r="AH7351" s="4" t="str">
        <f>HYPERLINK("#Statut_biogéographique!A"&amp;_xlfn.XMATCH("P",Statut_biogéographique!A:A,2,1),"P")</f>
        <v>P</v>
      </c>
      <c r="AP7351" s="4" t="s">
        <v>376</v>
      </c>
      <c r="AR7351" s="4" t="s">
        <v>377</v>
      </c>
    </row>
    <row r="7352" spans="1:44">
      <c r="A7352" s="4" t="s">
        <v>5</v>
      </c>
      <c r="B7352" s="4">
        <v>855757</v>
      </c>
      <c r="C7352" s="4">
        <v>6444</v>
      </c>
      <c r="D7352" s="5" t="s">
        <v>10170</v>
      </c>
      <c r="E7352" s="6" t="str">
        <f>HYPERLINK("https://inpn.mnhn.fr/espece/cd_nom/855757","Heterosphaeria ovispora Leuchtm., 1987")</f>
        <v>Heterosphaeria ovispora Leuchtm., 1987</v>
      </c>
      <c r="AH7352" s="4" t="str">
        <f>HYPERLINK("#Statut_biogéographique!A"&amp;_xlfn.XMATCH("P",Statut_biogéographique!A:A,2,1),"P")</f>
        <v>P</v>
      </c>
      <c r="AP7352" s="4" t="s">
        <v>376</v>
      </c>
      <c r="AR7352" s="4" t="s">
        <v>377</v>
      </c>
    </row>
    <row r="7353" spans="1:44" ht="30">
      <c r="A7353" s="4" t="s">
        <v>5</v>
      </c>
      <c r="B7353" s="4">
        <v>855762</v>
      </c>
      <c r="C7353" s="4">
        <v>6216</v>
      </c>
      <c r="D7353" s="5" t="s">
        <v>10171</v>
      </c>
      <c r="E7353" s="6" t="str">
        <f>HYPERLINK("https://inpn.mnhn.fr/espece/cd_nom/855762","Hypomyces stephanomatis Rogerson &amp; Samuels, 1985")</f>
        <v>Hypomyces stephanomatis Rogerson &amp; Samuels, 1985</v>
      </c>
      <c r="AH7353" s="4" t="str">
        <f>HYPERLINK("#Statut_biogéographique!A"&amp;_xlfn.XMATCH("P",Statut_biogéographique!A:A,2,1),"P")</f>
        <v>P</v>
      </c>
      <c r="AP7353" s="4" t="s">
        <v>376</v>
      </c>
      <c r="AR7353" s="4" t="s">
        <v>377</v>
      </c>
    </row>
    <row r="7354" spans="1:44" ht="30">
      <c r="A7354" s="4" t="s">
        <v>5</v>
      </c>
      <c r="B7354" s="4">
        <v>855769</v>
      </c>
      <c r="C7354" s="4">
        <v>5537</v>
      </c>
      <c r="D7354" s="5">
        <v>883394</v>
      </c>
      <c r="E7354" s="6" t="str">
        <f>HYPERLINK("https://inpn.mnhn.fr/espece/cd_nom/855769","Hypomyces luteovirens (Fr.) Tul. &amp; C.Tul., 1860")</f>
        <v>Hypomyces luteovirens (Fr.) Tul. &amp; C.Tul., 1860</v>
      </c>
      <c r="AH7354" s="4" t="str">
        <f>HYPERLINK("#Statut_biogéographique!A"&amp;_xlfn.XMATCH("P",Statut_biogéographique!A:A,2,1),"P")</f>
        <v>P</v>
      </c>
      <c r="AP7354" s="4" t="s">
        <v>376</v>
      </c>
      <c r="AR7354" s="4" t="s">
        <v>377</v>
      </c>
    </row>
    <row r="7355" spans="1:44" ht="45">
      <c r="A7355" s="4" t="s">
        <v>5</v>
      </c>
      <c r="B7355" s="4">
        <v>855834</v>
      </c>
      <c r="C7355" s="4">
        <v>3574</v>
      </c>
      <c r="D7355" s="5" t="s">
        <v>10172</v>
      </c>
      <c r="E7355" s="6" t="str">
        <f>HYPERLINK("https://inpn.mnhn.fr/espece/cd_nom/855834","Helminthosphaeria clavariarum (Desm.) Fuckel, 1870")</f>
        <v>Helminthosphaeria clavariarum (Desm.) Fuckel, 1870</v>
      </c>
      <c r="AH7355" s="4" t="str">
        <f>HYPERLINK("#Statut_biogéographique!A"&amp;_xlfn.XMATCH("P",Statut_biogéographique!A:A,2,1),"P")</f>
        <v>P</v>
      </c>
      <c r="AP7355" s="4" t="s">
        <v>376</v>
      </c>
      <c r="AR7355" s="4" t="s">
        <v>377</v>
      </c>
    </row>
    <row r="7356" spans="1:44" ht="30">
      <c r="A7356" s="4" t="s">
        <v>5</v>
      </c>
      <c r="B7356" s="4">
        <v>855837</v>
      </c>
      <c r="C7356" s="4">
        <v>6795</v>
      </c>
      <c r="D7356" s="5" t="s">
        <v>10173</v>
      </c>
      <c r="E7356" s="6" t="str">
        <f>HYPERLINK("https://inpn.mnhn.fr/espece/cd_nom/855837","Hymenoscyphus ‚macroguttatus’ Baral, Hengstm. &amp; Declercq")</f>
        <v>Hymenoscyphus ‚macroguttatus’ Baral, Hengstm. &amp; Declercq</v>
      </c>
      <c r="AH7356" s="4" t="str">
        <f>HYPERLINK("#Statut_biogéographique!A"&amp;_xlfn.XMATCH("P",Statut_biogéographique!A:A,2,1),"P")</f>
        <v>P</v>
      </c>
      <c r="AP7356" s="4" t="s">
        <v>376</v>
      </c>
      <c r="AR7356" s="4" t="s">
        <v>377</v>
      </c>
    </row>
    <row r="7357" spans="1:44" ht="45">
      <c r="A7357" s="4" t="s">
        <v>5</v>
      </c>
      <c r="B7357" s="4">
        <v>855852</v>
      </c>
      <c r="C7357" s="4">
        <v>3464</v>
      </c>
      <c r="D7357" s="5" t="s">
        <v>10174</v>
      </c>
      <c r="E7357" s="6" t="str">
        <f>HYPERLINK("https://inpn.mnhn.fr/espece/cd_nom/855852","Hymenoscyphus conscriptus (P.Karst.) Korf ex Kobayasi, Hirats.f., Aoshima, Korf, Soneda, Tubaki &amp; Sugiy., 1967")</f>
        <v>Hymenoscyphus conscriptus (P.Karst.) Korf ex Kobayasi, Hirats.f., Aoshima, Korf, Soneda, Tubaki &amp; Sugiy., 1967</v>
      </c>
      <c r="AH7357" s="4" t="str">
        <f>HYPERLINK("#Statut_biogéographique!A"&amp;_xlfn.XMATCH("P",Statut_biogéographique!A:A,2,1),"P")</f>
        <v>P</v>
      </c>
      <c r="AP7357" s="4" t="s">
        <v>376</v>
      </c>
      <c r="AR7357" s="4" t="s">
        <v>377</v>
      </c>
    </row>
    <row r="7358" spans="1:44">
      <c r="A7358" s="4" t="s">
        <v>5</v>
      </c>
      <c r="B7358" s="4">
        <v>855855</v>
      </c>
      <c r="C7358" s="4">
        <v>6359</v>
      </c>
      <c r="D7358" s="5" t="s">
        <v>10175</v>
      </c>
      <c r="E7358" s="6" t="str">
        <f>HYPERLINK("https://inpn.mnhn.fr/espece/cd_nom/855855","Hymenoscyphus eichleri (Bres.) Baral, 2012")</f>
        <v>Hymenoscyphus eichleri (Bres.) Baral, 2012</v>
      </c>
      <c r="AH7358" s="4" t="str">
        <f>HYPERLINK("#Statut_biogéographique!A"&amp;_xlfn.XMATCH("P",Statut_biogéographique!A:A,2,1),"P")</f>
        <v>P</v>
      </c>
      <c r="AP7358" s="4" t="s">
        <v>376</v>
      </c>
      <c r="AR7358" s="4" t="s">
        <v>377</v>
      </c>
    </row>
    <row r="7359" spans="1:44" ht="30">
      <c r="A7359" s="4" t="s">
        <v>5</v>
      </c>
      <c r="B7359" s="4">
        <v>855857</v>
      </c>
      <c r="C7359" s="4">
        <v>3926</v>
      </c>
      <c r="D7359" s="5" t="s">
        <v>10176</v>
      </c>
      <c r="E7359" s="6" t="str">
        <f>HYPERLINK("https://inpn.mnhn.fr/espece/cd_nom/855857","Phaeohelotium fagineum (Pers.) Hengstm., 2009")</f>
        <v>Phaeohelotium fagineum (Pers.) Hengstm., 2009</v>
      </c>
      <c r="AH7359" s="4" t="str">
        <f>HYPERLINK("#Statut_biogéographique!A"&amp;_xlfn.XMATCH("P",Statut_biogéographique!A:A,2,1),"P")</f>
        <v>P</v>
      </c>
      <c r="AP7359" s="4" t="s">
        <v>376</v>
      </c>
      <c r="AR7359" s="4" t="s">
        <v>377</v>
      </c>
    </row>
    <row r="7360" spans="1:44">
      <c r="A7360" s="4" t="s">
        <v>5</v>
      </c>
      <c r="B7360" s="4">
        <v>855870</v>
      </c>
      <c r="C7360" s="4">
        <v>2600</v>
      </c>
      <c r="D7360" s="5" t="s">
        <v>10177</v>
      </c>
      <c r="E7360" s="6" t="str">
        <f>HYPERLINK("https://inpn.mnhn.fr/espece/cd_nom/855870","Geoglossum glabrum Pers., 1794")</f>
        <v>Geoglossum glabrum Pers., 1794</v>
      </c>
      <c r="F7360" s="5" t="s">
        <v>10178</v>
      </c>
      <c r="Z7360" s="4" t="s">
        <v>447</v>
      </c>
      <c r="AA7360" s="4" t="s">
        <v>448</v>
      </c>
      <c r="AH7360" s="4" t="str">
        <f>HYPERLINK("#Statut_biogéographique!A"&amp;_xlfn.XMATCH("P",Statut_biogéographique!A:A,2,1),"P")</f>
        <v>P</v>
      </c>
      <c r="AP7360" s="4" t="s">
        <v>376</v>
      </c>
      <c r="AR7360" s="4" t="s">
        <v>377</v>
      </c>
    </row>
    <row r="7361" spans="1:44">
      <c r="A7361" s="4" t="s">
        <v>5</v>
      </c>
      <c r="B7361" s="4">
        <v>855875</v>
      </c>
      <c r="C7361" s="4">
        <v>5546</v>
      </c>
      <c r="D7361" s="5" t="s">
        <v>10179</v>
      </c>
      <c r="E7361" s="6" t="str">
        <f>HYPERLINK("https://inpn.mnhn.fr/espece/cd_nom/855875","Geoglossum sphagnophilum Ehrenb., 1818")</f>
        <v>Geoglossum sphagnophilum Ehrenb., 1818</v>
      </c>
      <c r="F7361" s="5" t="s">
        <v>10180</v>
      </c>
      <c r="Z7361" s="4" t="s">
        <v>695</v>
      </c>
      <c r="AA7361" s="4" t="s">
        <v>696</v>
      </c>
      <c r="AH7361" s="4" t="str">
        <f>HYPERLINK("#Statut_biogéographique!A"&amp;_xlfn.XMATCH("P",Statut_biogéographique!A:A,2,1),"P")</f>
        <v>P</v>
      </c>
      <c r="AP7361" s="4" t="s">
        <v>376</v>
      </c>
      <c r="AR7361" s="4" t="s">
        <v>377</v>
      </c>
    </row>
    <row r="7362" spans="1:44" ht="30">
      <c r="A7362" s="4" t="s">
        <v>5</v>
      </c>
      <c r="B7362" s="4">
        <v>855878</v>
      </c>
      <c r="C7362" s="4">
        <v>6923</v>
      </c>
      <c r="D7362" s="5" t="s">
        <v>10181</v>
      </c>
      <c r="E7362" s="6" t="str">
        <f>HYPERLINK("https://inpn.mnhn.fr/espece/cd_nom/855878","Hymenoscyphus infarciens (Ces.) Dennis, 1964")</f>
        <v>Hymenoscyphus infarciens (Ces.) Dennis, 1964</v>
      </c>
      <c r="AH7362" s="4" t="str">
        <f>HYPERLINK("#Statut_biogéographique!A"&amp;_xlfn.XMATCH("P",Statut_biogéographique!A:A,2,1),"P")</f>
        <v>P</v>
      </c>
      <c r="AP7362" s="4" t="s">
        <v>376</v>
      </c>
      <c r="AR7362" s="4" t="s">
        <v>377</v>
      </c>
    </row>
    <row r="7363" spans="1:44">
      <c r="A7363" s="4" t="s">
        <v>5</v>
      </c>
      <c r="B7363" s="4">
        <v>855879</v>
      </c>
      <c r="C7363" s="4">
        <v>6794</v>
      </c>
      <c r="D7363" s="5" t="s">
        <v>10182</v>
      </c>
      <c r="E7363" s="6" t="str">
        <f>HYPERLINK("https://inpn.mnhn.fr/espece/cd_nom/855879","Hymenoscyphus kathiae (Korf) Baral, 2005")</f>
        <v>Hymenoscyphus kathiae (Korf) Baral, 2005</v>
      </c>
      <c r="AH7363" s="4" t="str">
        <f>HYPERLINK("#Statut_biogéographique!A"&amp;_xlfn.XMATCH("P",Statut_biogéographique!A:A,2,1),"P")</f>
        <v>P</v>
      </c>
      <c r="AP7363" s="4" t="s">
        <v>376</v>
      </c>
      <c r="AR7363" s="4" t="s">
        <v>377</v>
      </c>
    </row>
    <row r="7364" spans="1:44" ht="30">
      <c r="A7364" s="4" t="s">
        <v>5</v>
      </c>
      <c r="B7364" s="4">
        <v>855882</v>
      </c>
      <c r="C7364" s="4">
        <v>5809</v>
      </c>
      <c r="D7364" s="5" t="s">
        <v>10183</v>
      </c>
      <c r="E7364" s="6" t="str">
        <f>HYPERLINK("https://inpn.mnhn.fr/espece/cd_nom/855882","Hymenoscyphus menthae (W.Phillips) Baral, 1985")</f>
        <v>Hymenoscyphus menthae (W.Phillips) Baral, 1985</v>
      </c>
      <c r="AH7364" s="4" t="str">
        <f>HYPERLINK("#Statut_biogéographique!A"&amp;_xlfn.XMATCH("P",Statut_biogéographique!A:A,2,1),"P")</f>
        <v>P</v>
      </c>
      <c r="AP7364" s="4" t="s">
        <v>376</v>
      </c>
      <c r="AR7364" s="4" t="s">
        <v>377</v>
      </c>
    </row>
    <row r="7365" spans="1:44" ht="30">
      <c r="A7365" s="4" t="s">
        <v>5</v>
      </c>
      <c r="B7365" s="4">
        <v>855883</v>
      </c>
      <c r="D7365" s="5" t="s">
        <v>10184</v>
      </c>
      <c r="E7365" s="6" t="str">
        <f>HYPERLINK("https://inpn.mnhn.fr/espece/cd_nom/855883","Hymenoscyphus monticola (Berk.) Baral, 2005")</f>
        <v>Hymenoscyphus monticola (Berk.) Baral, 2005</v>
      </c>
      <c r="AH7365" s="4" t="str">
        <f>HYPERLINK("#Statut_biogéographique!A"&amp;_xlfn.XMATCH("P",Statut_biogéographique!A:A,2,1),"P")</f>
        <v>P</v>
      </c>
      <c r="AP7365" s="4" t="s">
        <v>376</v>
      </c>
      <c r="AR7365" s="4" t="s">
        <v>377</v>
      </c>
    </row>
    <row r="7366" spans="1:44" ht="30">
      <c r="A7366" s="4" t="s">
        <v>5</v>
      </c>
      <c r="B7366" s="4">
        <v>855886</v>
      </c>
      <c r="C7366" s="4">
        <v>6056</v>
      </c>
      <c r="D7366" s="5" t="s">
        <v>10185</v>
      </c>
      <c r="E7366" s="6" t="str">
        <f>HYPERLINK("https://inpn.mnhn.fr/espece/cd_nom/855886","Hymenoscyphus ombrophilaeformis Svrček, 1977")</f>
        <v>Hymenoscyphus ombrophilaeformis Svrček, 1977</v>
      </c>
      <c r="AH7366" s="4" t="str">
        <f>HYPERLINK("#Statut_biogéographique!A"&amp;_xlfn.XMATCH("P",Statut_biogéographique!A:A,2,1),"P")</f>
        <v>P</v>
      </c>
      <c r="AP7366" s="4" t="s">
        <v>376</v>
      </c>
      <c r="AR7366" s="4" t="s">
        <v>377</v>
      </c>
    </row>
    <row r="7367" spans="1:44" ht="30">
      <c r="A7367" s="4" t="s">
        <v>5</v>
      </c>
      <c r="B7367" s="4">
        <v>855891</v>
      </c>
      <c r="C7367" s="4">
        <v>6166</v>
      </c>
      <c r="D7367" s="5" t="s">
        <v>10186</v>
      </c>
      <c r="E7367" s="6" t="str">
        <f>HYPERLINK("https://inpn.mnhn.fr/espece/cd_nom/855891","Hymenoscyphus pileatus (P.Karst.) Kuntze, 1898")</f>
        <v>Hymenoscyphus pileatus (P.Karst.) Kuntze, 1898</v>
      </c>
      <c r="AH7367" s="4" t="str">
        <f>HYPERLINK("#Statut_biogéographique!A"&amp;_xlfn.XMATCH("P",Statut_biogéographique!A:A,2,1),"P")</f>
        <v>P</v>
      </c>
      <c r="AP7367" s="4" t="s">
        <v>376</v>
      </c>
      <c r="AR7367" s="4" t="s">
        <v>377</v>
      </c>
    </row>
    <row r="7368" spans="1:44">
      <c r="A7368" s="4" t="s">
        <v>5</v>
      </c>
      <c r="B7368" s="4">
        <v>855914</v>
      </c>
      <c r="C7368" s="4">
        <v>5282</v>
      </c>
      <c r="D7368" s="5" t="s">
        <v>10187</v>
      </c>
      <c r="E7368" s="6" t="str">
        <f>HYPERLINK("https://inpn.mnhn.fr/espece/cd_nom/855914","Epichloe baconii J.F.White, 1993")</f>
        <v>Epichloe baconii J.F.White, 1993</v>
      </c>
      <c r="AH7368" s="4" t="str">
        <f>HYPERLINK("#Statut_biogéographique!A"&amp;_xlfn.XMATCH("P",Statut_biogéographique!A:A,2,1),"P")</f>
        <v>P</v>
      </c>
      <c r="AP7368" s="4" t="s">
        <v>376</v>
      </c>
      <c r="AR7368" s="4" t="s">
        <v>377</v>
      </c>
    </row>
    <row r="7369" spans="1:44">
      <c r="A7369" s="4" t="s">
        <v>5</v>
      </c>
      <c r="B7369" s="4">
        <v>855916</v>
      </c>
      <c r="C7369" s="4">
        <v>5202</v>
      </c>
      <c r="D7369" s="5" t="s">
        <v>10188</v>
      </c>
      <c r="E7369" s="6" t="str">
        <f>HYPERLINK("https://inpn.mnhn.fr/espece/cd_nom/855916","Epichloe clarkii J.F.White, 1993")</f>
        <v>Epichloe clarkii J.F.White, 1993</v>
      </c>
      <c r="AH7369" s="4" t="str">
        <f>HYPERLINK("#Statut_biogéographique!A"&amp;_xlfn.XMATCH("P",Statut_biogéographique!A:A,2,1),"P")</f>
        <v>P</v>
      </c>
      <c r="AP7369" s="4" t="s">
        <v>376</v>
      </c>
      <c r="AR7369" s="4" t="s">
        <v>377</v>
      </c>
    </row>
    <row r="7370" spans="1:44" ht="30">
      <c r="A7370" s="4" t="s">
        <v>5</v>
      </c>
      <c r="B7370" s="4">
        <v>856090</v>
      </c>
      <c r="D7370" s="5" t="s">
        <v>10189</v>
      </c>
      <c r="E7370" s="6" t="str">
        <f>HYPERLINK("https://inpn.mnhn.fr/espece/cd_nom/856090","Pseudoplectania melaena (Fr.) Sacc., 1889")</f>
        <v>Pseudoplectania melaena (Fr.) Sacc., 1889</v>
      </c>
      <c r="F7370" s="5" t="s">
        <v>10190</v>
      </c>
      <c r="O7370" s="7" t="str">
        <f>HYPERLINK("#Liste_rouge!A"&amp;_xlfn.XMATCH("NT",Liste_rouge!A:A,2,1),"NT")</f>
        <v>NT</v>
      </c>
      <c r="AH7370" s="4" t="str">
        <f>HYPERLINK("#Statut_biogéographique!A"&amp;_xlfn.XMATCH("P",Statut_biogéographique!A:A,2,1),"P")</f>
        <v>P</v>
      </c>
      <c r="AP7370" s="4" t="s">
        <v>376</v>
      </c>
      <c r="AR7370" s="4" t="s">
        <v>377</v>
      </c>
    </row>
    <row r="7371" spans="1:44" ht="30">
      <c r="A7371" s="4" t="s">
        <v>5</v>
      </c>
      <c r="B7371" s="4">
        <v>856177</v>
      </c>
      <c r="D7371" s="5" t="s">
        <v>10191</v>
      </c>
      <c r="E7371" s="6" t="str">
        <f>HYPERLINK("https://inpn.mnhn.fr/espece/cd_nom/856177","Phaeohelotium carneum (Fr.) Hengstm., 2009")</f>
        <v>Phaeohelotium carneum (Fr.) Hengstm., 2009</v>
      </c>
      <c r="AH7371" s="4" t="str">
        <f>HYPERLINK("#Statut_biogéographique!A"&amp;_xlfn.XMATCH("P",Statut_biogéographique!A:A,2,1),"P")</f>
        <v>P</v>
      </c>
      <c r="AP7371" s="4" t="s">
        <v>376</v>
      </c>
      <c r="AR7371" s="4" t="s">
        <v>377</v>
      </c>
    </row>
    <row r="7372" spans="1:44" ht="30">
      <c r="A7372" s="4" t="s">
        <v>5</v>
      </c>
      <c r="B7372" s="4">
        <v>856232</v>
      </c>
      <c r="D7372" s="5" t="s">
        <v>10192</v>
      </c>
      <c r="E7372" s="6" t="str">
        <f>HYPERLINK("https://inpn.mnhn.fr/espece/cd_nom/856232","Phaeosphaeria berlesei (M.J.Larsen &amp; Munk) Hedjar., 1969")</f>
        <v>Phaeosphaeria berlesei (M.J.Larsen &amp; Munk) Hedjar., 1969</v>
      </c>
      <c r="AH7372" s="4" t="str">
        <f>HYPERLINK("#Statut_biogéographique!A"&amp;_xlfn.XMATCH("P",Statut_biogéographique!A:A,2,1),"P")</f>
        <v>P</v>
      </c>
      <c r="AP7372" s="4" t="s">
        <v>376</v>
      </c>
      <c r="AR7372" s="4" t="s">
        <v>377</v>
      </c>
    </row>
    <row r="7373" spans="1:44" ht="30">
      <c r="A7373" s="4" t="s">
        <v>5</v>
      </c>
      <c r="B7373" s="4">
        <v>856425</v>
      </c>
      <c r="D7373" s="5" t="s">
        <v>10193</v>
      </c>
      <c r="E7373" s="6" t="str">
        <f>HYPERLINK("https://inpn.mnhn.fr/espece/cd_nom/856425","Poculum firmum (Pers.) Dumont, 1976")</f>
        <v>Poculum firmum (Pers.) Dumont, 1976</v>
      </c>
      <c r="V7373" s="7" t="str">
        <f>HYPERLINK("#Liste_rouge!A"&amp;_xlfn.XMATCH("LC",Liste_rouge!A:A,2,1),"LC")</f>
        <v>LC</v>
      </c>
      <c r="AH7373" s="4" t="str">
        <f>HYPERLINK("#Statut_biogéographique!A"&amp;_xlfn.XMATCH("P",Statut_biogéographique!A:A,2,1),"P")</f>
        <v>P</v>
      </c>
      <c r="AP7373" s="4" t="s">
        <v>376</v>
      </c>
      <c r="AR7373" s="4" t="s">
        <v>377</v>
      </c>
    </row>
    <row r="7374" spans="1:44">
      <c r="A7374" s="4" t="s">
        <v>5</v>
      </c>
      <c r="B7374" s="4">
        <v>856428</v>
      </c>
      <c r="D7374" s="5" t="s">
        <v>10194</v>
      </c>
      <c r="E7374" s="6" t="str">
        <f>HYPERLINK("https://inpn.mnhn.fr/espece/cd_nom/856428","Poculum sydowianum (Rehm) Dumont, 1976")</f>
        <v>Poculum sydowianum (Rehm) Dumont, 1976</v>
      </c>
      <c r="V7374" s="7" t="str">
        <f>HYPERLINK("#Liste_rouge!A"&amp;_xlfn.XMATCH("LC",Liste_rouge!A:A,2,1),"LC")</f>
        <v>LC</v>
      </c>
      <c r="AH7374" s="4" t="str">
        <f>HYPERLINK("#Statut_biogéographique!A"&amp;_xlfn.XMATCH("P",Statut_biogéographique!A:A,2,1),"P")</f>
        <v>P</v>
      </c>
      <c r="AP7374" s="4" t="s">
        <v>376</v>
      </c>
      <c r="AR7374" s="4" t="s">
        <v>377</v>
      </c>
    </row>
    <row r="7375" spans="1:44">
      <c r="A7375" s="4" t="s">
        <v>5</v>
      </c>
      <c r="B7375" s="4">
        <v>856782</v>
      </c>
      <c r="C7375" s="4">
        <v>6265</v>
      </c>
      <c r="D7375" s="5" t="s">
        <v>10195</v>
      </c>
      <c r="E7375" s="6" t="str">
        <f>HYPERLINK("https://inpn.mnhn.fr/espece/cd_nom/856782","Mycosphaerella asteroma (Fr.) Lindau, 1897")</f>
        <v>Mycosphaerella asteroma (Fr.) Lindau, 1897</v>
      </c>
      <c r="AH7375" s="4" t="str">
        <f>HYPERLINK("#Statut_biogéographique!A"&amp;_xlfn.XMATCH("P",Statut_biogéographique!A:A,2,1),"P")</f>
        <v>P</v>
      </c>
      <c r="AP7375" s="4" t="s">
        <v>376</v>
      </c>
      <c r="AR7375" s="4" t="s">
        <v>377</v>
      </c>
    </row>
    <row r="7376" spans="1:44">
      <c r="A7376" s="4" t="s">
        <v>5</v>
      </c>
      <c r="B7376" s="4">
        <v>856910</v>
      </c>
      <c r="C7376" s="4">
        <v>5940</v>
      </c>
      <c r="D7376" s="5" t="s">
        <v>10196</v>
      </c>
      <c r="E7376" s="6" t="str">
        <f>HYPERLINK("https://inpn.mnhn.fr/espece/cd_nom/856910","Mollisia elegantior (Graddon) Baral, 2008")</f>
        <v>Mollisia elegantior (Graddon) Baral, 2008</v>
      </c>
      <c r="F7376" s="5" t="s">
        <v>10197</v>
      </c>
      <c r="AH7376" s="4" t="str">
        <f>HYPERLINK("#Statut_biogéographique!A"&amp;_xlfn.XMATCH("P",Statut_biogéographique!A:A,2,1),"P")</f>
        <v>P</v>
      </c>
      <c r="AP7376" s="4" t="s">
        <v>376</v>
      </c>
      <c r="AR7376" s="4" t="s">
        <v>377</v>
      </c>
    </row>
    <row r="7377" spans="1:44" ht="45">
      <c r="A7377" s="4" t="s">
        <v>5</v>
      </c>
      <c r="B7377" s="4">
        <v>857202</v>
      </c>
      <c r="D7377" s="5" t="s">
        <v>10198</v>
      </c>
      <c r="E7377" s="6" t="str">
        <f>HYPERLINK("https://inpn.mnhn.fr/espece/cd_nom/857202","Trichopeziza mollissima Fuckel, 1870")</f>
        <v>Trichopeziza mollissima Fuckel, 1870</v>
      </c>
      <c r="AH7377" s="4" t="str">
        <f>HYPERLINK("#Statut_biogéographique!A"&amp;_xlfn.XMATCH("P",Statut_biogéographique!A:A,2,1),"P")</f>
        <v>P</v>
      </c>
      <c r="AP7377" s="4" t="s">
        <v>376</v>
      </c>
      <c r="AR7377" s="4" t="s">
        <v>377</v>
      </c>
    </row>
    <row r="7378" spans="1:44" ht="30">
      <c r="A7378" s="4" t="s">
        <v>5</v>
      </c>
      <c r="B7378" s="4">
        <v>857214</v>
      </c>
      <c r="D7378" s="5" t="s">
        <v>10199</v>
      </c>
      <c r="E7378" s="6" t="str">
        <f>HYPERLINK("https://inpn.mnhn.fr/espece/cd_nom/857214","Vibrissea decolorans (Saut.) A.Sánchez &amp; Korf, 1967")</f>
        <v>Vibrissea decolorans (Saut.) A.Sánchez &amp; Korf, 1967</v>
      </c>
      <c r="AH7378" s="4" t="str">
        <f>HYPERLINK("#Statut_biogéographique!A"&amp;_xlfn.XMATCH("P",Statut_biogéographique!A:A,2,1),"P")</f>
        <v>P</v>
      </c>
      <c r="AP7378" s="4" t="s">
        <v>376</v>
      </c>
      <c r="AR7378" s="4" t="s">
        <v>377</v>
      </c>
    </row>
    <row r="7379" spans="1:44" ht="30">
      <c r="A7379" s="4" t="s">
        <v>5</v>
      </c>
      <c r="B7379" s="4">
        <v>857217</v>
      </c>
      <c r="D7379" s="5" t="s">
        <v>10200</v>
      </c>
      <c r="E7379" s="6" t="str">
        <f>HYPERLINK("https://inpn.mnhn.fr/espece/cd_nom/857217","Trichophaeopsis paludosa (Boud.) Häffner &amp; L.G.Krieglst., 1991")</f>
        <v>Trichophaeopsis paludosa (Boud.) Häffner &amp; L.G.Krieglst., 1991</v>
      </c>
      <c r="V7379" s="7" t="str">
        <f>HYPERLINK("#Liste_rouge!A"&amp;_xlfn.XMATCH("EN",Liste_rouge!A:A,2,1),"EN")</f>
        <v>EN</v>
      </c>
      <c r="W7379" s="4" t="str">
        <f>HYPERLINK("#Critères_liste_rouge!A$1","B2abiii")</f>
        <v>B2abiii</v>
      </c>
      <c r="AH7379" s="4" t="str">
        <f>HYPERLINK("#Statut_biogéographique!A"&amp;_xlfn.XMATCH("P",Statut_biogéographique!A:A,2,1),"P")</f>
        <v>P</v>
      </c>
      <c r="AP7379" s="4" t="s">
        <v>376</v>
      </c>
      <c r="AR7379" s="4" t="s">
        <v>377</v>
      </c>
    </row>
    <row r="7380" spans="1:44" ht="30">
      <c r="A7380" s="4" t="s">
        <v>5</v>
      </c>
      <c r="B7380" s="4">
        <v>857338</v>
      </c>
      <c r="D7380" s="5" t="s">
        <v>10201</v>
      </c>
      <c r="E7380" s="6" t="str">
        <f>HYPERLINK("https://inpn.mnhn.fr/espece/cd_nom/857338","Sphaerotheca ferruginea (Schltdl.) L.Junell, 1965")</f>
        <v>Sphaerotheca ferruginea (Schltdl.) L.Junell, 1965</v>
      </c>
      <c r="AH7380" s="4" t="str">
        <f>HYPERLINK("#Statut_biogéographique!A"&amp;_xlfn.XMATCH("P",Statut_biogéographique!A:A,2,1),"P")</f>
        <v>P</v>
      </c>
      <c r="AP7380" s="4" t="s">
        <v>376</v>
      </c>
      <c r="AR7380" s="4" t="s">
        <v>377</v>
      </c>
    </row>
    <row r="7381" spans="1:44" ht="30">
      <c r="A7381" s="4" t="s">
        <v>5</v>
      </c>
      <c r="B7381" s="4">
        <v>857340</v>
      </c>
      <c r="C7381" s="4">
        <v>7033</v>
      </c>
      <c r="D7381" s="5" t="s">
        <v>10202</v>
      </c>
      <c r="E7381" s="6" t="str">
        <f>HYPERLINK("https://inpn.mnhn.fr/espece/cd_nom/857340","Sphaerotheca fuliginea (Schltdl.) Pollacci, 1911")</f>
        <v>Sphaerotheca fuliginea (Schltdl.) Pollacci, 1911</v>
      </c>
      <c r="AH7381" s="4" t="str">
        <f>HYPERLINK("#Statut_biogéographique!A"&amp;_xlfn.XMATCH("P",Statut_biogéographique!A:A,2,1),"P")</f>
        <v>P</v>
      </c>
      <c r="AP7381" s="4" t="s">
        <v>376</v>
      </c>
      <c r="AR7381" s="4" t="s">
        <v>377</v>
      </c>
    </row>
    <row r="7382" spans="1:44" ht="30">
      <c r="A7382" s="4" t="s">
        <v>5</v>
      </c>
      <c r="B7382" s="4">
        <v>857385</v>
      </c>
      <c r="D7382" s="5" t="s">
        <v>10203</v>
      </c>
      <c r="E7382" s="6" t="str">
        <f>HYPERLINK("https://inpn.mnhn.fr/espece/cd_nom/857385","Sphaerotheca plantaginis (Castagne) L.Junell, 1966")</f>
        <v>Sphaerotheca plantaginis (Castagne) L.Junell, 1966</v>
      </c>
      <c r="AH7382" s="4" t="str">
        <f>HYPERLINK("#Statut_biogéographique!A"&amp;_xlfn.XMATCH("P",Statut_biogéographique!A:A,2,1),"P")</f>
        <v>P</v>
      </c>
      <c r="AP7382" s="4" t="s">
        <v>376</v>
      </c>
      <c r="AR7382" s="4" t="s">
        <v>377</v>
      </c>
    </row>
    <row r="7383" spans="1:44" ht="30">
      <c r="A7383" s="4" t="s">
        <v>5</v>
      </c>
      <c r="B7383" s="4">
        <v>857447</v>
      </c>
      <c r="C7383" s="4">
        <v>1622</v>
      </c>
      <c r="D7383" s="5" t="s">
        <v>10204</v>
      </c>
      <c r="E7383" s="6" t="str">
        <f>HYPERLINK("https://inpn.mnhn.fr/espece/cd_nom/857447","Rhytidhysteron hysterinum (Dufour) Samuels &amp; E.Müll., 1980")</f>
        <v>Rhytidhysteron hysterinum (Dufour) Samuels &amp; E.Müll., 1980</v>
      </c>
      <c r="V7383" s="7" t="str">
        <f>HYPERLINK("#Liste_rouge!A"&amp;_xlfn.XMATCH("DD",Liste_rouge!A:A,2,1),"DD")</f>
        <v>DD</v>
      </c>
      <c r="AH7383" s="4" t="str">
        <f>HYPERLINK("#Statut_biogéographique!A"&amp;_xlfn.XMATCH("P",Statut_biogéographique!A:A,2,1),"P")</f>
        <v>P</v>
      </c>
      <c r="AP7383" s="4" t="s">
        <v>376</v>
      </c>
      <c r="AR7383" s="4" t="s">
        <v>377</v>
      </c>
    </row>
    <row r="7384" spans="1:44">
      <c r="A7384" s="4" t="s">
        <v>5</v>
      </c>
      <c r="B7384" s="4">
        <v>859859</v>
      </c>
      <c r="C7384" s="4">
        <v>6800</v>
      </c>
      <c r="D7384" s="5" t="s">
        <v>10205</v>
      </c>
      <c r="E7384" s="6" t="str">
        <f>HYPERLINK("https://inpn.mnhn.fr/espece/cd_nom/859859","Alternaria brassicae (Berk.) Sacc., 1880")</f>
        <v>Alternaria brassicae (Berk.) Sacc., 1880</v>
      </c>
      <c r="AH7384" s="4" t="str">
        <f>HYPERLINK("#Statut_biogéographique!A"&amp;_xlfn.XMATCH("P",Statut_biogéographique!A:A,2,1),"P")</f>
        <v>P</v>
      </c>
      <c r="AP7384" s="4" t="s">
        <v>376</v>
      </c>
      <c r="AR7384" s="4" t="s">
        <v>377</v>
      </c>
    </row>
    <row r="7385" spans="1:44">
      <c r="A7385" s="4" t="s">
        <v>5</v>
      </c>
      <c r="B7385" s="4">
        <v>859860</v>
      </c>
      <c r="C7385" s="4">
        <v>4830</v>
      </c>
      <c r="D7385" s="5" t="s">
        <v>10206</v>
      </c>
      <c r="E7385" s="6" t="str">
        <f>HYPERLINK("https://inpn.mnhn.fr/espece/cd_nom/859860","Alternaria cinerariae Hori &amp; Enjoji, 1931")</f>
        <v>Alternaria cinerariae Hori &amp; Enjoji, 1931</v>
      </c>
      <c r="AH7385" s="4" t="str">
        <f>HYPERLINK("#Statut_biogéographique!A"&amp;_xlfn.XMATCH("P",Statut_biogéographique!A:A,2,1),"P")</f>
        <v>P</v>
      </c>
      <c r="AP7385" s="4" t="s">
        <v>376</v>
      </c>
      <c r="AR7385" s="4" t="s">
        <v>377</v>
      </c>
    </row>
    <row r="7386" spans="1:44" ht="30">
      <c r="A7386" s="4" t="s">
        <v>5</v>
      </c>
      <c r="B7386" s="4">
        <v>859861</v>
      </c>
      <c r="C7386" s="4">
        <v>936</v>
      </c>
      <c r="D7386" s="5" t="s">
        <v>10207</v>
      </c>
      <c r="E7386" s="6" t="str">
        <f>HYPERLINK("https://inpn.mnhn.fr/espece/cd_nom/859861","Alternaria cucumerina (Ellis &amp; Everh.) J.A.Elliott, 1917")</f>
        <v>Alternaria cucumerina (Ellis &amp; Everh.) J.A.Elliott, 1917</v>
      </c>
      <c r="AH7386" s="4" t="str">
        <f>HYPERLINK("#Statut_biogéographique!A"&amp;_xlfn.XMATCH("P",Statut_biogéographique!A:A,2,1),"P")</f>
        <v>P</v>
      </c>
      <c r="AP7386" s="4" t="s">
        <v>376</v>
      </c>
      <c r="AR7386" s="4" t="s">
        <v>377</v>
      </c>
    </row>
    <row r="7387" spans="1:44">
      <c r="A7387" s="4" t="s">
        <v>5</v>
      </c>
      <c r="B7387" s="4">
        <v>859869</v>
      </c>
      <c r="C7387" s="4">
        <v>1610</v>
      </c>
      <c r="D7387" s="5" t="s">
        <v>10208</v>
      </c>
      <c r="E7387" s="6" t="str">
        <f>HYPERLINK("https://inpn.mnhn.fr/espece/cd_nom/859869","Alternaria tenuissima Tisdale")</f>
        <v>Alternaria tenuissima Tisdale</v>
      </c>
      <c r="AH7387" s="4" t="str">
        <f>HYPERLINK("#Statut_biogéographique!A"&amp;_xlfn.XMATCH("P",Statut_biogéographique!A:A,2,1),"P")</f>
        <v>P</v>
      </c>
      <c r="AP7387" s="4" t="s">
        <v>376</v>
      </c>
      <c r="AR7387" s="4" t="s">
        <v>377</v>
      </c>
    </row>
    <row r="7388" spans="1:44">
      <c r="A7388" s="4" t="s">
        <v>5</v>
      </c>
      <c r="B7388" s="4">
        <v>859875</v>
      </c>
      <c r="C7388" s="4">
        <v>4873</v>
      </c>
      <c r="D7388" s="5" t="s">
        <v>10209</v>
      </c>
      <c r="E7388" s="6" t="str">
        <f>HYPERLINK("https://inpn.mnhn.fr/espece/cd_nom/859875","Amicodisca virella (P.Karst.) Huhtinen, 1994")</f>
        <v>Amicodisca virella (P.Karst.) Huhtinen, 1994</v>
      </c>
      <c r="AH7388" s="4" t="str">
        <f>HYPERLINK("#Statut_biogéographique!A"&amp;_xlfn.XMATCH("P",Statut_biogéographique!A:A,2,1),"P")</f>
        <v>P</v>
      </c>
      <c r="AP7388" s="4" t="s">
        <v>376</v>
      </c>
      <c r="AR7388" s="4" t="s">
        <v>377</v>
      </c>
    </row>
    <row r="7389" spans="1:44">
      <c r="A7389" s="4" t="s">
        <v>5</v>
      </c>
      <c r="B7389" s="4">
        <v>859892</v>
      </c>
      <c r="C7389" s="4">
        <v>5769</v>
      </c>
      <c r="D7389" s="5" t="s">
        <v>10210</v>
      </c>
      <c r="E7389" s="6" t="str">
        <f>HYPERLINK("https://inpn.mnhn.fr/espece/cd_nom/859892","Albotricha albotestacea (Desm.) Raitv., 1970")</f>
        <v>Albotricha albotestacea (Desm.) Raitv., 1970</v>
      </c>
      <c r="AH7389" s="4" t="str">
        <f>HYPERLINK("#Statut_biogéographique!A"&amp;_xlfn.XMATCH("P",Statut_biogéographique!A:A,2,1),"P")</f>
        <v>P</v>
      </c>
      <c r="AP7389" s="4" t="s">
        <v>376</v>
      </c>
      <c r="AR7389" s="4" t="s">
        <v>377</v>
      </c>
    </row>
    <row r="7390" spans="1:44">
      <c r="A7390" s="4" t="s">
        <v>5</v>
      </c>
      <c r="B7390" s="4">
        <v>859898</v>
      </c>
      <c r="C7390" s="4">
        <v>3176</v>
      </c>
      <c r="D7390" s="5" t="s">
        <v>10211</v>
      </c>
      <c r="E7390" s="6" t="str">
        <f>HYPERLINK("https://inpn.mnhn.fr/espece/cd_nom/859898","Anthracobia nitida Boud., 1907")</f>
        <v>Anthracobia nitida Boud., 1907</v>
      </c>
      <c r="AH7390" s="4" t="str">
        <f>HYPERLINK("#Statut_biogéographique!A"&amp;_xlfn.XMATCH("P",Statut_biogéographique!A:A,2,1),"P")</f>
        <v>P</v>
      </c>
      <c r="AP7390" s="4" t="s">
        <v>376</v>
      </c>
      <c r="AR7390" s="4" t="s">
        <v>377</v>
      </c>
    </row>
    <row r="7391" spans="1:44">
      <c r="A7391" s="4" t="s">
        <v>5</v>
      </c>
      <c r="B7391" s="4">
        <v>859903</v>
      </c>
      <c r="C7391" s="4">
        <v>1037</v>
      </c>
      <c r="D7391" s="5" t="s">
        <v>10212</v>
      </c>
      <c r="E7391" s="6" t="str">
        <f>HYPERLINK("https://inpn.mnhn.fr/espece/cd_nom/859903","Ascobolus sacchariferus Brumm., 1967")</f>
        <v>Ascobolus sacchariferus Brumm., 1967</v>
      </c>
      <c r="AH7391" s="4" t="str">
        <f>HYPERLINK("#Statut_biogéographique!A"&amp;_xlfn.XMATCH("P",Statut_biogéographique!A:A,2,1),"P")</f>
        <v>P</v>
      </c>
      <c r="AP7391" s="4" t="s">
        <v>376</v>
      </c>
      <c r="AR7391" s="4" t="s">
        <v>377</v>
      </c>
    </row>
    <row r="7392" spans="1:44">
      <c r="A7392" s="4" t="s">
        <v>5</v>
      </c>
      <c r="B7392" s="4">
        <v>859905</v>
      </c>
      <c r="C7392" s="4">
        <v>5005</v>
      </c>
      <c r="D7392" s="5" t="s">
        <v>10213</v>
      </c>
      <c r="E7392" s="6" t="str">
        <f>HYPERLINK("https://inpn.mnhn.fr/espece/cd_nom/859905","Ascobolus terrestris Brumm., 1984")</f>
        <v>Ascobolus terrestris Brumm., 1984</v>
      </c>
      <c r="AH7392" s="4" t="str">
        <f>HYPERLINK("#Statut_biogéographique!A"&amp;_xlfn.XMATCH("P",Statut_biogéographique!A:A,2,1),"P")</f>
        <v>P</v>
      </c>
      <c r="AP7392" s="4" t="s">
        <v>376</v>
      </c>
      <c r="AR7392" s="4" t="s">
        <v>377</v>
      </c>
    </row>
    <row r="7393" spans="1:44">
      <c r="A7393" s="4" t="s">
        <v>5</v>
      </c>
      <c r="B7393" s="4">
        <v>859910</v>
      </c>
      <c r="C7393" s="4">
        <v>7129</v>
      </c>
      <c r="D7393" s="5" t="s">
        <v>10214</v>
      </c>
      <c r="E7393" s="6" t="str">
        <f>HYPERLINK("https://inpn.mnhn.fr/espece/cd_nom/859910","Arpinia inops Berthet, 1974")</f>
        <v>Arpinia inops Berthet, 1974</v>
      </c>
      <c r="AH7393" s="4" t="str">
        <f>HYPERLINK("#Statut_biogéographique!A"&amp;_xlfn.XMATCH("P",Statut_biogéographique!A:A,2,1),"P")</f>
        <v>P</v>
      </c>
      <c r="AP7393" s="4" t="s">
        <v>376</v>
      </c>
      <c r="AR7393" s="4" t="s">
        <v>377</v>
      </c>
    </row>
    <row r="7394" spans="1:44" ht="30">
      <c r="A7394" s="4" t="s">
        <v>5</v>
      </c>
      <c r="B7394" s="4">
        <v>859912</v>
      </c>
      <c r="C7394" s="4">
        <v>5184</v>
      </c>
      <c r="D7394" s="5" t="s">
        <v>10215</v>
      </c>
      <c r="E7394" s="6" t="str">
        <f>HYPERLINK("https://inpn.mnhn.fr/espece/cd_nom/859912","Arpinia luteola var. pallidorosea Benkert, Häffner &amp; Hohmeyer, 1989")</f>
        <v>Arpinia luteola var. pallidorosea Benkert, Häffner &amp; Hohmeyer, 1989</v>
      </c>
      <c r="Z7394" s="4" t="s">
        <v>443</v>
      </c>
      <c r="AA7394" s="4" t="s">
        <v>444</v>
      </c>
      <c r="AH7394" s="4" t="str">
        <f>HYPERLINK("#Statut_biogéographique!A"&amp;_xlfn.XMATCH("P",Statut_biogéographique!A:A,2,1),"P")</f>
        <v>P</v>
      </c>
      <c r="AP7394" s="4" t="s">
        <v>376</v>
      </c>
      <c r="AR7394" s="4" t="s">
        <v>377</v>
      </c>
    </row>
    <row r="7395" spans="1:44" ht="30">
      <c r="A7395" s="4" t="s">
        <v>5</v>
      </c>
      <c r="B7395" s="4">
        <v>859945</v>
      </c>
      <c r="C7395" s="4">
        <v>5029</v>
      </c>
      <c r="D7395" s="5" t="s">
        <v>10216</v>
      </c>
      <c r="E7395" s="6" t="str">
        <f>HYPERLINK("https://inpn.mnhn.fr/espece/cd_nom/859945","Belonidium sericeum (Alb. &amp; Schwein.) Lorton, 1914")</f>
        <v>Belonidium sericeum (Alb. &amp; Schwein.) Lorton, 1914</v>
      </c>
      <c r="AH7395" s="4" t="str">
        <f>HYPERLINK("#Statut_biogéographique!A"&amp;_xlfn.XMATCH("P",Statut_biogéographique!A:A,2,1),"P")</f>
        <v>P</v>
      </c>
      <c r="AP7395" s="4" t="s">
        <v>376</v>
      </c>
      <c r="AR7395" s="4" t="s">
        <v>377</v>
      </c>
    </row>
    <row r="7396" spans="1:44">
      <c r="A7396" s="4" t="s">
        <v>5</v>
      </c>
      <c r="B7396" s="4">
        <v>859991</v>
      </c>
      <c r="C7396" s="4">
        <v>4001</v>
      </c>
      <c r="D7396" s="5">
        <v>859991</v>
      </c>
      <c r="E7396" s="6" t="str">
        <f>HYPERLINK("https://inpn.mnhn.fr/espece/cd_nom/859991","Blumeria graminis (DC.) Speer, 1975")</f>
        <v>Blumeria graminis (DC.) Speer, 1975</v>
      </c>
      <c r="AH7396" s="4" t="str">
        <f>HYPERLINK("#Statut_biogéographique!A"&amp;_xlfn.XMATCH("P",Statut_biogéographique!A:A,2,1),"P")</f>
        <v>P</v>
      </c>
      <c r="AP7396" s="4" t="s">
        <v>376</v>
      </c>
      <c r="AR7396" s="4" t="s">
        <v>377</v>
      </c>
    </row>
    <row r="7397" spans="1:44">
      <c r="A7397" s="4" t="s">
        <v>5</v>
      </c>
      <c r="B7397" s="4">
        <v>860006</v>
      </c>
      <c r="C7397" s="4">
        <v>4909</v>
      </c>
      <c r="D7397" s="5" t="s">
        <v>10217</v>
      </c>
      <c r="E7397" s="6" t="str">
        <f>HYPERLINK("https://inpn.mnhn.fr/espece/cd_nom/860006","Botrytis geniculata Corda, 1839")</f>
        <v>Botrytis geniculata Corda, 1839</v>
      </c>
      <c r="AH7397" s="4" t="str">
        <f>HYPERLINK("#Statut_biogéographique!A"&amp;_xlfn.XMATCH("P",Statut_biogéographique!A:A,2,1),"P")</f>
        <v>P</v>
      </c>
      <c r="AP7397" s="4" t="s">
        <v>376</v>
      </c>
      <c r="AR7397" s="4" t="s">
        <v>377</v>
      </c>
    </row>
    <row r="7398" spans="1:44">
      <c r="A7398" s="4" t="s">
        <v>5</v>
      </c>
      <c r="B7398" s="4">
        <v>860026</v>
      </c>
      <c r="C7398" s="4">
        <v>3739</v>
      </c>
      <c r="D7398" s="5" t="s">
        <v>10218</v>
      </c>
      <c r="E7398" s="6" t="str">
        <f>HYPERLINK("https://inpn.mnhn.fr/espece/cd_nom/860026","Boudiera echinulata (Seaver) Seaver, 1928")</f>
        <v>Boudiera echinulata (Seaver) Seaver, 1928</v>
      </c>
      <c r="AH7398" s="4" t="str">
        <f>HYPERLINK("#Statut_biogéographique!A"&amp;_xlfn.XMATCH("P",Statut_biogéographique!A:A,2,1),"P")</f>
        <v>P</v>
      </c>
      <c r="AP7398" s="4" t="s">
        <v>376</v>
      </c>
      <c r="AR7398" s="4" t="s">
        <v>377</v>
      </c>
    </row>
    <row r="7399" spans="1:44" ht="30">
      <c r="A7399" s="4" t="s">
        <v>5</v>
      </c>
      <c r="B7399" s="4">
        <v>860028</v>
      </c>
      <c r="C7399" s="4">
        <v>4844</v>
      </c>
      <c r="D7399" s="5" t="s">
        <v>10219</v>
      </c>
      <c r="E7399" s="6" t="str">
        <f>HYPERLINK("https://inpn.mnhn.fr/espece/cd_nom/860028","Boudiera tracheia (Rehm ex Gamundí) Dissing &amp; T.Schumach., 1979")</f>
        <v>Boudiera tracheia (Rehm ex Gamundí) Dissing &amp; T.Schumach., 1979</v>
      </c>
      <c r="AH7399" s="4" t="str">
        <f>HYPERLINK("#Statut_biogéographique!A"&amp;_xlfn.XMATCH("P",Statut_biogéographique!A:A,2,1),"P")</f>
        <v>P</v>
      </c>
      <c r="AP7399" s="4" t="s">
        <v>376</v>
      </c>
      <c r="AR7399" s="4" t="s">
        <v>377</v>
      </c>
    </row>
    <row r="7400" spans="1:44">
      <c r="A7400" s="4" t="s">
        <v>5</v>
      </c>
      <c r="B7400" s="4">
        <v>860065</v>
      </c>
      <c r="C7400" s="4">
        <v>4864</v>
      </c>
      <c r="D7400" s="5" t="s">
        <v>10220</v>
      </c>
      <c r="E7400" s="6" t="str">
        <f>HYPERLINK("https://inpn.mnhn.fr/espece/cd_nom/860065","Calycellina alniella (Nyl.) Baral, 1993")</f>
        <v>Calycellina alniella (Nyl.) Baral, 1993</v>
      </c>
      <c r="AH7400" s="4" t="str">
        <f>HYPERLINK("#Statut_biogéographique!A"&amp;_xlfn.XMATCH("P",Statut_biogéographique!A:A,2,1),"P")</f>
        <v>P</v>
      </c>
      <c r="AP7400" s="4" t="s">
        <v>376</v>
      </c>
      <c r="AR7400" s="4" t="s">
        <v>377</v>
      </c>
    </row>
    <row r="7401" spans="1:44">
      <c r="A7401" s="4" t="s">
        <v>5</v>
      </c>
      <c r="B7401" s="4">
        <v>860084</v>
      </c>
      <c r="C7401" s="4">
        <v>5393</v>
      </c>
      <c r="D7401" s="5" t="s">
        <v>10221</v>
      </c>
      <c r="E7401" s="6" t="str">
        <f>HYPERLINK("https://inpn.mnhn.fr/espece/cd_nom/860084","Cenococcum geophilum Fr., 1829")</f>
        <v>Cenococcum geophilum Fr., 1829</v>
      </c>
      <c r="AH7401" s="4" t="str">
        <f>HYPERLINK("#Statut_biogéographique!A"&amp;_xlfn.XMATCH("P",Statut_biogéographique!A:A,2,1),"P")</f>
        <v>P</v>
      </c>
      <c r="AP7401" s="4" t="s">
        <v>376</v>
      </c>
      <c r="AR7401" s="4" t="s">
        <v>377</v>
      </c>
    </row>
    <row r="7402" spans="1:44" ht="30">
      <c r="A7402" s="4" t="s">
        <v>5</v>
      </c>
      <c r="B7402" s="4">
        <v>860091</v>
      </c>
      <c r="C7402" s="4">
        <v>7150</v>
      </c>
      <c r="D7402" s="5" t="s">
        <v>10222</v>
      </c>
      <c r="E7402" s="6" t="str">
        <f>HYPERLINK("https://inpn.mnhn.fr/espece/cd_nom/860091","Capitotricha bicolor (Bull.) Baral, 1985")</f>
        <v>Capitotricha bicolor (Bull.) Baral, 1985</v>
      </c>
      <c r="AH7402" s="4" t="str">
        <f>HYPERLINK("#Statut_biogéographique!A"&amp;_xlfn.XMATCH("P",Statut_biogéographique!A:A,2,1),"P")</f>
        <v>P</v>
      </c>
      <c r="AP7402" s="4" t="s">
        <v>376</v>
      </c>
      <c r="AR7402" s="4" t="s">
        <v>377</v>
      </c>
    </row>
    <row r="7403" spans="1:44">
      <c r="A7403" s="4" t="s">
        <v>5</v>
      </c>
      <c r="B7403" s="4">
        <v>860092</v>
      </c>
      <c r="C7403" s="4">
        <v>6633</v>
      </c>
      <c r="D7403" s="5" t="s">
        <v>10223</v>
      </c>
      <c r="E7403" s="6" t="str">
        <f>HYPERLINK("https://inpn.mnhn.fr/espece/cd_nom/860092","Capitotricha fagiseda Baral, 1994")</f>
        <v>Capitotricha fagiseda Baral, 1994</v>
      </c>
      <c r="AH7403" s="4" t="str">
        <f>HYPERLINK("#Statut_biogéographique!A"&amp;_xlfn.XMATCH("P",Statut_biogéographique!A:A,2,1),"P")</f>
        <v>P</v>
      </c>
      <c r="AP7403" s="4" t="s">
        <v>376</v>
      </c>
      <c r="AR7403" s="4" t="s">
        <v>377</v>
      </c>
    </row>
    <row r="7404" spans="1:44">
      <c r="A7404" s="4" t="s">
        <v>5</v>
      </c>
      <c r="B7404" s="4">
        <v>860096</v>
      </c>
      <c r="C7404" s="4">
        <v>5933</v>
      </c>
      <c r="D7404" s="5" t="s">
        <v>10224</v>
      </c>
      <c r="E7404" s="6" t="str">
        <f>HYPERLINK("https://inpn.mnhn.fr/espece/cd_nom/860096","Cejpia hystrix (De Not.) Baral, 1994")</f>
        <v>Cejpia hystrix (De Not.) Baral, 1994</v>
      </c>
      <c r="AH7404" s="4" t="str">
        <f>HYPERLINK("#Statut_biogéographique!A"&amp;_xlfn.XMATCH("P",Statut_biogéographique!A:A,2,1),"P")</f>
        <v>P</v>
      </c>
      <c r="AP7404" s="4" t="s">
        <v>376</v>
      </c>
      <c r="AR7404" s="4" t="s">
        <v>377</v>
      </c>
    </row>
    <row r="7405" spans="1:44">
      <c r="A7405" s="4" t="s">
        <v>5</v>
      </c>
      <c r="B7405" s="4">
        <v>860121</v>
      </c>
      <c r="C7405" s="4">
        <v>6218</v>
      </c>
      <c r="D7405" s="5" t="s">
        <v>10225</v>
      </c>
      <c r="E7405" s="6" t="str">
        <f>HYPERLINK("https://inpn.mnhn.fr/espece/cd_nom/860121","Cheilymenia dennisii J.Moravec, 2005")</f>
        <v>Cheilymenia dennisii J.Moravec, 2005</v>
      </c>
      <c r="AH7405" s="4" t="str">
        <f>HYPERLINK("#Statut_biogéographique!A"&amp;_xlfn.XMATCH("P",Statut_biogéographique!A:A,2,1),"P")</f>
        <v>P</v>
      </c>
      <c r="AP7405" s="4" t="s">
        <v>376</v>
      </c>
      <c r="AR7405" s="4" t="s">
        <v>377</v>
      </c>
    </row>
    <row r="7406" spans="1:44">
      <c r="A7406" s="4" t="s">
        <v>5</v>
      </c>
      <c r="B7406" s="4">
        <v>860122</v>
      </c>
      <c r="C7406" s="4">
        <v>5014</v>
      </c>
      <c r="D7406" s="5" t="s">
        <v>10226</v>
      </c>
      <c r="E7406" s="6" t="str">
        <f>HYPERLINK("https://inpn.mnhn.fr/espece/cd_nom/860122","Cheilymenia fraudans (P.Karst.) Boud., 1907")</f>
        <v>Cheilymenia fraudans (P.Karst.) Boud., 1907</v>
      </c>
      <c r="AH7406" s="4" t="str">
        <f>HYPERLINK("#Statut_biogéographique!A"&amp;_xlfn.XMATCH("P",Statut_biogéographique!A:A,2,1),"P")</f>
        <v>P</v>
      </c>
      <c r="AP7406" s="4" t="s">
        <v>376</v>
      </c>
      <c r="AR7406" s="4" t="s">
        <v>377</v>
      </c>
    </row>
    <row r="7407" spans="1:44">
      <c r="A7407" s="4" t="s">
        <v>5</v>
      </c>
      <c r="B7407" s="4">
        <v>860125</v>
      </c>
      <c r="C7407" s="4">
        <v>1029</v>
      </c>
      <c r="D7407" s="5" t="s">
        <v>10227</v>
      </c>
      <c r="E7407" s="6" t="str">
        <f>HYPERLINK("https://inpn.mnhn.fr/espece/cd_nom/860125","Cercospora beticola Sacc., 1876")</f>
        <v>Cercospora beticola Sacc., 1876</v>
      </c>
      <c r="AH7407" s="4" t="str">
        <f>HYPERLINK("#Statut_biogéographique!A"&amp;_xlfn.XMATCH("P",Statut_biogéographique!A:A,2,1),"P")</f>
        <v>P</v>
      </c>
      <c r="AP7407" s="4" t="s">
        <v>376</v>
      </c>
      <c r="AR7407" s="4" t="s">
        <v>377</v>
      </c>
    </row>
    <row r="7408" spans="1:44">
      <c r="A7408" s="4" t="s">
        <v>5</v>
      </c>
      <c r="B7408" s="4">
        <v>860132</v>
      </c>
      <c r="C7408" s="4">
        <v>5389</v>
      </c>
      <c r="D7408" s="5" t="s">
        <v>10228</v>
      </c>
      <c r="E7408" s="6" t="str">
        <f>HYPERLINK("https://inpn.mnhn.fr/espece/cd_nom/860132","Cercospora depazeoides (Desm.) Sacc., 1875")</f>
        <v>Cercospora depazeoides (Desm.) Sacc., 1875</v>
      </c>
      <c r="AH7408" s="4" t="str">
        <f>HYPERLINK("#Statut_biogéographique!A"&amp;_xlfn.XMATCH("P",Statut_biogéographique!A:A,2,1),"P")</f>
        <v>P</v>
      </c>
      <c r="AP7408" s="4" t="s">
        <v>376</v>
      </c>
      <c r="AR7408" s="4" t="s">
        <v>377</v>
      </c>
    </row>
    <row r="7409" spans="1:44">
      <c r="A7409" s="4" t="s">
        <v>5</v>
      </c>
      <c r="B7409" s="4">
        <v>860156</v>
      </c>
      <c r="C7409" s="4">
        <v>2558</v>
      </c>
      <c r="D7409" s="5" t="s">
        <v>10229</v>
      </c>
      <c r="E7409" s="6" t="str">
        <f>HYPERLINK("https://inpn.mnhn.fr/espece/cd_nom/860156","Cercospora scandens Sacc. &amp; G.Winter, 1883")</f>
        <v>Cercospora scandens Sacc. &amp; G.Winter, 1883</v>
      </c>
      <c r="AH7409" s="4" t="str">
        <f>HYPERLINK("#Statut_biogéographique!A"&amp;_xlfn.XMATCH("P",Statut_biogéographique!A:A,2,1),"P")</f>
        <v>P</v>
      </c>
      <c r="AP7409" s="4" t="s">
        <v>376</v>
      </c>
      <c r="AR7409" s="4" t="s">
        <v>377</v>
      </c>
    </row>
    <row r="7410" spans="1:44">
      <c r="A7410" s="4" t="s">
        <v>5</v>
      </c>
      <c r="B7410" s="4">
        <v>860180</v>
      </c>
      <c r="C7410" s="4">
        <v>6060</v>
      </c>
      <c r="D7410" s="5" t="s">
        <v>10230</v>
      </c>
      <c r="E7410" s="6" t="str">
        <f>HYPERLINK("https://inpn.mnhn.fr/espece/cd_nom/860180","Cistella aconiti (Rehm) Raitv. &amp; Järv, 1997")</f>
        <v>Cistella aconiti (Rehm) Raitv. &amp; Järv, 1997</v>
      </c>
      <c r="AH7410" s="4" t="str">
        <f>HYPERLINK("#Statut_biogéographique!A"&amp;_xlfn.XMATCH("P",Statut_biogéographique!A:A,2,1),"P")</f>
        <v>P</v>
      </c>
      <c r="AP7410" s="4" t="s">
        <v>376</v>
      </c>
      <c r="AR7410" s="4" t="s">
        <v>377</v>
      </c>
    </row>
    <row r="7411" spans="1:44">
      <c r="A7411" s="4" t="s">
        <v>5</v>
      </c>
      <c r="B7411" s="4">
        <v>860181</v>
      </c>
      <c r="C7411" s="4">
        <v>6634</v>
      </c>
      <c r="D7411" s="5" t="s">
        <v>10231</v>
      </c>
      <c r="E7411" s="6" t="str">
        <f>HYPERLINK("https://inpn.mnhn.fr/espece/cd_nom/860181","Cistella albidolutea (Feltgen) Baral, 1985")</f>
        <v>Cistella albidolutea (Feltgen) Baral, 1985</v>
      </c>
      <c r="AH7411" s="4" t="str">
        <f>HYPERLINK("#Statut_biogéographique!A"&amp;_xlfn.XMATCH("P",Statut_biogéographique!A:A,2,1),"P")</f>
        <v>P</v>
      </c>
      <c r="AP7411" s="4" t="s">
        <v>376</v>
      </c>
      <c r="AR7411" s="4" t="s">
        <v>377</v>
      </c>
    </row>
    <row r="7412" spans="1:44" ht="45">
      <c r="A7412" s="4" t="s">
        <v>5</v>
      </c>
      <c r="B7412" s="4">
        <v>860190</v>
      </c>
      <c r="C7412" s="4">
        <v>6503</v>
      </c>
      <c r="D7412" s="5" t="s">
        <v>10232</v>
      </c>
      <c r="E7412" s="6" t="str">
        <f>HYPERLINK("https://inpn.mnhn.fr/espece/cd_nom/860190","Cistella grevillei (Berk.) Raitv., 1978")</f>
        <v>Cistella grevillei (Berk.) Raitv., 1978</v>
      </c>
      <c r="AH7412" s="4" t="str">
        <f>HYPERLINK("#Statut_biogéographique!A"&amp;_xlfn.XMATCH("P",Statut_biogéographique!A:A,2,1),"P")</f>
        <v>P</v>
      </c>
      <c r="AP7412" s="4" t="s">
        <v>376</v>
      </c>
      <c r="AR7412" s="4" t="s">
        <v>377</v>
      </c>
    </row>
    <row r="7413" spans="1:44" ht="30">
      <c r="A7413" s="4" t="s">
        <v>5</v>
      </c>
      <c r="B7413" s="4">
        <v>860210</v>
      </c>
      <c r="C7413" s="4">
        <v>1601</v>
      </c>
      <c r="D7413" s="5" t="s">
        <v>10233</v>
      </c>
      <c r="E7413" s="6" t="str">
        <f>HYPERLINK("https://inpn.mnhn.fr/espece/cd_nom/860210","Cheilymenia granulata (Bull.) J.Moravec, 1990")</f>
        <v>Cheilymenia granulata (Bull.) J.Moravec, 1990</v>
      </c>
      <c r="AH7413" s="4" t="str">
        <f>HYPERLINK("#Statut_biogéographique!A"&amp;_xlfn.XMATCH("P",Statut_biogéographique!A:A,2,1),"P")</f>
        <v>P</v>
      </c>
      <c r="AP7413" s="4" t="s">
        <v>376</v>
      </c>
      <c r="AR7413" s="4" t="s">
        <v>377</v>
      </c>
    </row>
    <row r="7414" spans="1:44">
      <c r="A7414" s="4" t="s">
        <v>5</v>
      </c>
      <c r="B7414" s="4">
        <v>860231</v>
      </c>
      <c r="C7414" s="4">
        <v>3950</v>
      </c>
      <c r="D7414" s="5" t="s">
        <v>10234</v>
      </c>
      <c r="E7414" s="6" t="str">
        <f>HYPERLINK("https://inpn.mnhn.fr/espece/cd_nom/860231","Ciboria amentacea (Balb.) Fuckel, 1870")</f>
        <v>Ciboria amentacea (Balb.) Fuckel, 1870</v>
      </c>
      <c r="F7414" s="5" t="s">
        <v>8800</v>
      </c>
      <c r="AH7414" s="4" t="str">
        <f>HYPERLINK("#Statut_biogéographique!A"&amp;_xlfn.XMATCH("P",Statut_biogéographique!A:A,2,1),"P")</f>
        <v>P</v>
      </c>
      <c r="AP7414" s="4" t="s">
        <v>376</v>
      </c>
      <c r="AR7414" s="4" t="s">
        <v>377</v>
      </c>
    </row>
    <row r="7415" spans="1:44" ht="45">
      <c r="A7415" s="4" t="s">
        <v>5</v>
      </c>
      <c r="B7415" s="4">
        <v>860232</v>
      </c>
      <c r="D7415" s="5" t="s">
        <v>10235</v>
      </c>
      <c r="E7415" s="6" t="str">
        <f>HYPERLINK("https://inpn.mnhn.fr/espece/cd_nom/860232","Ciboria bulgarioides (P.Karst.) Baral, 1985")</f>
        <v>Ciboria bulgarioides (P.Karst.) Baral, 1985</v>
      </c>
      <c r="V7415" s="7" t="str">
        <f>HYPERLINK("#Liste_rouge!A"&amp;_xlfn.XMATCH("LC",Liste_rouge!A:A,2,1),"LC")</f>
        <v>LC</v>
      </c>
      <c r="AH7415" s="4" t="str">
        <f>HYPERLINK("#Statut_biogéographique!A"&amp;_xlfn.XMATCH("P",Statut_biogéographique!A:A,2,1),"P")</f>
        <v>P</v>
      </c>
      <c r="AP7415" s="4" t="s">
        <v>376</v>
      </c>
      <c r="AR7415" s="4" t="s">
        <v>377</v>
      </c>
    </row>
    <row r="7416" spans="1:44">
      <c r="A7416" s="4" t="s">
        <v>5</v>
      </c>
      <c r="B7416" s="4">
        <v>860278</v>
      </c>
      <c r="C7416" s="4">
        <v>6789</v>
      </c>
      <c r="D7416" s="5" t="s">
        <v>10236</v>
      </c>
      <c r="E7416" s="6" t="str">
        <f>HYPERLINK("https://inpn.mnhn.fr/espece/cd_nom/860278","Dasyscyphella montana Raitv., 1977")</f>
        <v>Dasyscyphella montana Raitv., 1977</v>
      </c>
      <c r="AH7416" s="4" t="str">
        <f>HYPERLINK("#Statut_biogéographique!A"&amp;_xlfn.XMATCH("P",Statut_biogéographique!A:A,2,1),"P")</f>
        <v>P</v>
      </c>
      <c r="AP7416" s="4" t="s">
        <v>376</v>
      </c>
      <c r="AR7416" s="4" t="s">
        <v>377</v>
      </c>
    </row>
    <row r="7417" spans="1:44" ht="30">
      <c r="A7417" s="4" t="s">
        <v>5</v>
      </c>
      <c r="B7417" s="4">
        <v>860289</v>
      </c>
      <c r="C7417" s="4">
        <v>2961</v>
      </c>
      <c r="D7417" s="5" t="s">
        <v>10237</v>
      </c>
      <c r="E7417" s="6" t="str">
        <f>HYPERLINK("https://inpn.mnhn.fr/espece/cd_nom/860289","Cudoniella tenuispora (Cooke &amp; Massee) Dennis, 1974")</f>
        <v>Cudoniella tenuispora (Cooke &amp; Massee) Dennis, 1974</v>
      </c>
      <c r="AH7417" s="4" t="str">
        <f>HYPERLINK("#Statut_biogéographique!A"&amp;_xlfn.XMATCH("P",Statut_biogéographique!A:A,2,1),"P")</f>
        <v>P</v>
      </c>
      <c r="AP7417" s="4" t="s">
        <v>376</v>
      </c>
      <c r="AR7417" s="4" t="s">
        <v>377</v>
      </c>
    </row>
    <row r="7418" spans="1:44" ht="30">
      <c r="A7418" s="4" t="s">
        <v>5</v>
      </c>
      <c r="B7418" s="4">
        <v>860323</v>
      </c>
      <c r="C7418" s="4">
        <v>2777</v>
      </c>
      <c r="D7418" s="5" t="s">
        <v>10238</v>
      </c>
      <c r="E7418" s="6" t="str">
        <f>HYPERLINK("https://inpn.mnhn.fr/espece/cd_nom/860323","Diatrype flavovirens (Pers.) Fr., 1849")</f>
        <v>Diatrype flavovirens (Pers.) Fr., 1849</v>
      </c>
      <c r="AH7418" s="4" t="str">
        <f>HYPERLINK("#Statut_biogéographique!A"&amp;_xlfn.XMATCH("P",Statut_biogéographique!A:A,2,1),"P")</f>
        <v>P</v>
      </c>
      <c r="AP7418" s="4" t="s">
        <v>376</v>
      </c>
      <c r="AR7418" s="4" t="s">
        <v>377</v>
      </c>
    </row>
    <row r="7419" spans="1:44">
      <c r="A7419" s="4" t="s">
        <v>5</v>
      </c>
      <c r="B7419" s="4">
        <v>860328</v>
      </c>
      <c r="C7419" s="4">
        <v>6983</v>
      </c>
      <c r="D7419" s="5" t="s">
        <v>10239</v>
      </c>
      <c r="E7419" s="6" t="str">
        <f>HYPERLINK("https://inpn.mnhn.fr/espece/cd_nom/860328","Diatrype polycocca Fuckel, 1870")</f>
        <v>Diatrype polycocca Fuckel, 1870</v>
      </c>
      <c r="AH7419" s="4" t="str">
        <f>HYPERLINK("#Statut_biogéographique!A"&amp;_xlfn.XMATCH("P",Statut_biogéographique!A:A,2,1),"P")</f>
        <v>P</v>
      </c>
      <c r="AP7419" s="4" t="s">
        <v>376</v>
      </c>
      <c r="AR7419" s="4" t="s">
        <v>377</v>
      </c>
    </row>
    <row r="7420" spans="1:44">
      <c r="A7420" s="4" t="s">
        <v>5</v>
      </c>
      <c r="B7420" s="4">
        <v>860336</v>
      </c>
      <c r="C7420" s="4">
        <v>6450</v>
      </c>
      <c r="D7420" s="5" t="s">
        <v>10240</v>
      </c>
      <c r="E7420" s="6" t="str">
        <f>HYPERLINK("https://inpn.mnhn.fr/espece/cd_nom/860336","Diatrypella placenta Rehm, 1882")</f>
        <v>Diatrypella placenta Rehm, 1882</v>
      </c>
      <c r="AH7420" s="4" t="str">
        <f>HYPERLINK("#Statut_biogéographique!A"&amp;_xlfn.XMATCH("P",Statut_biogéographique!A:A,2,1),"P")</f>
        <v>P</v>
      </c>
      <c r="AP7420" s="4" t="s">
        <v>376</v>
      </c>
      <c r="AR7420" s="4" t="s">
        <v>377</v>
      </c>
    </row>
    <row r="7421" spans="1:44" ht="45">
      <c r="A7421" s="4" t="s">
        <v>5</v>
      </c>
      <c r="B7421" s="4">
        <v>860376</v>
      </c>
      <c r="D7421" s="5" t="s">
        <v>10241</v>
      </c>
      <c r="E7421" s="6" t="str">
        <f>HYPERLINK("https://inpn.mnhn.fr/espece/cd_nom/860376","Melastiza cornubiensis (Berk. &amp; Broome) J.Moravec, 1992")</f>
        <v>Melastiza cornubiensis (Berk. &amp; Broome) J.Moravec, 1992</v>
      </c>
      <c r="AH7421" s="4" t="str">
        <f>HYPERLINK("#Statut_biogéographique!A"&amp;_xlfn.XMATCH("P",Statut_biogéographique!A:A,2,1),"P")</f>
        <v>P</v>
      </c>
      <c r="AP7421" s="4" t="s">
        <v>376</v>
      </c>
      <c r="AR7421" s="4" t="s">
        <v>377</v>
      </c>
    </row>
    <row r="7422" spans="1:44" ht="30">
      <c r="A7422" s="4" t="s">
        <v>5</v>
      </c>
      <c r="B7422" s="4">
        <v>860377</v>
      </c>
      <c r="D7422" s="5" t="s">
        <v>10242</v>
      </c>
      <c r="E7422" s="6" t="str">
        <f>HYPERLINK("https://inpn.mnhn.fr/espece/cd_nom/860377","Melastiza flavorubens (Rehm) Pfister &amp; Korf, 1971")</f>
        <v>Melastiza flavorubens (Rehm) Pfister &amp; Korf, 1971</v>
      </c>
      <c r="AH7422" s="4" t="str">
        <f>HYPERLINK("#Statut_biogéographique!A"&amp;_xlfn.XMATCH("P",Statut_biogéographique!A:A,2,1),"P")</f>
        <v>P</v>
      </c>
      <c r="AP7422" s="4" t="s">
        <v>376</v>
      </c>
      <c r="AR7422" s="4" t="s">
        <v>377</v>
      </c>
    </row>
    <row r="7423" spans="1:44">
      <c r="A7423" s="4" t="s">
        <v>5</v>
      </c>
      <c r="B7423" s="4">
        <v>860461</v>
      </c>
      <c r="C7423" s="4">
        <v>5454</v>
      </c>
      <c r="D7423" s="5" t="s">
        <v>10243</v>
      </c>
      <c r="E7423" s="6" t="str">
        <f>HYPERLINK("https://inpn.mnhn.fr/espece/cd_nom/860461","Lachnellula robusta Baral &amp; Matheis, 1984")</f>
        <v>Lachnellula robusta Baral &amp; Matheis, 1984</v>
      </c>
      <c r="F7423" s="5" t="s">
        <v>10244</v>
      </c>
      <c r="AH7423" s="4" t="str">
        <f>HYPERLINK("#Statut_biogéographique!A"&amp;_xlfn.XMATCH("P",Statut_biogéographique!A:A,2,1),"P")</f>
        <v>P</v>
      </c>
      <c r="AP7423" s="4" t="s">
        <v>376</v>
      </c>
      <c r="AR7423" s="4" t="s">
        <v>377</v>
      </c>
    </row>
    <row r="7424" spans="1:44" ht="30">
      <c r="A7424" s="4" t="s">
        <v>5</v>
      </c>
      <c r="B7424" s="4">
        <v>860462</v>
      </c>
      <c r="C7424" s="4">
        <v>5456</v>
      </c>
      <c r="D7424" s="5" t="s">
        <v>10245</v>
      </c>
      <c r="E7424" s="6" t="str">
        <f>HYPERLINK("https://inpn.mnhn.fr/espece/cd_nom/860462","Lachnellula splendens (J.Schröt.) Baral &amp; Matheis, 2000")</f>
        <v>Lachnellula splendens (J.Schröt.) Baral &amp; Matheis, 2000</v>
      </c>
      <c r="AH7424" s="4" t="str">
        <f>HYPERLINK("#Statut_biogéographique!A"&amp;_xlfn.XMATCH("P",Statut_biogéographique!A:A,2,1),"P")</f>
        <v>P</v>
      </c>
      <c r="AP7424" s="4" t="s">
        <v>376</v>
      </c>
      <c r="AR7424" s="4" t="s">
        <v>377</v>
      </c>
    </row>
    <row r="7425" spans="1:44" ht="45">
      <c r="A7425" s="4" t="s">
        <v>5</v>
      </c>
      <c r="B7425" s="4">
        <v>860523</v>
      </c>
      <c r="C7425" s="4">
        <v>1571</v>
      </c>
      <c r="D7425" s="5" t="s">
        <v>10246</v>
      </c>
      <c r="E7425" s="6" t="str">
        <f>HYPERLINK("https://inpn.mnhn.fr/espece/cd_nom/860523","Massaria anomia (Fr.) Petr., 1923")</f>
        <v>Massaria anomia (Fr.) Petr., 1923</v>
      </c>
      <c r="AH7425" s="4" t="str">
        <f>HYPERLINK("#Statut_biogéographique!A"&amp;_xlfn.XMATCH("P",Statut_biogéographique!A:A,2,1),"P")</f>
        <v>P</v>
      </c>
      <c r="AP7425" s="4" t="s">
        <v>376</v>
      </c>
      <c r="AR7425" s="4" t="s">
        <v>377</v>
      </c>
    </row>
    <row r="7426" spans="1:44">
      <c r="A7426" s="4" t="s">
        <v>5</v>
      </c>
      <c r="B7426" s="4">
        <v>860539</v>
      </c>
      <c r="C7426" s="4">
        <v>3713</v>
      </c>
      <c r="D7426" s="5" t="s">
        <v>10247</v>
      </c>
      <c r="E7426" s="6" t="str">
        <f>HYPERLINK("https://inpn.mnhn.fr/espece/cd_nom/860539","Lamprospora carbonicola Boud., 1907")</f>
        <v>Lamprospora carbonicola Boud., 1907</v>
      </c>
      <c r="AH7426" s="4" t="str">
        <f>HYPERLINK("#Statut_biogéographique!A"&amp;_xlfn.XMATCH("P",Statut_biogéographique!A:A,2,1),"P")</f>
        <v>P</v>
      </c>
      <c r="AP7426" s="4" t="s">
        <v>376</v>
      </c>
      <c r="AR7426" s="4" t="s">
        <v>377</v>
      </c>
    </row>
    <row r="7427" spans="1:44" ht="30">
      <c r="A7427" s="4" t="s">
        <v>5</v>
      </c>
      <c r="B7427" s="4">
        <v>860560</v>
      </c>
      <c r="D7427" s="5">
        <v>860560</v>
      </c>
      <c r="E7427" s="6" t="str">
        <f>HYPERLINK("https://inpn.mnhn.fr/espece/cd_nom/860560","Massaria gigantispora Voglmayr &amp; Jaklitsch, 2011")</f>
        <v>Massaria gigantispora Voglmayr &amp; Jaklitsch, 2011</v>
      </c>
      <c r="AH7427" s="4" t="str">
        <f>HYPERLINK("#Statut_biogéographique!A"&amp;_xlfn.XMATCH("P",Statut_biogéographique!A:A,2,1),"P")</f>
        <v>P</v>
      </c>
      <c r="AP7427" s="4" t="s">
        <v>376</v>
      </c>
      <c r="AR7427" s="4" t="s">
        <v>377</v>
      </c>
    </row>
    <row r="7428" spans="1:44" ht="30">
      <c r="A7428" s="4" t="s">
        <v>5</v>
      </c>
      <c r="B7428" s="4">
        <v>860582</v>
      </c>
      <c r="C7428" s="4">
        <v>4216</v>
      </c>
      <c r="D7428" s="5" t="s">
        <v>10248</v>
      </c>
      <c r="E7428" s="6" t="str">
        <f>HYPERLINK("https://inpn.mnhn.fr/espece/cd_nom/860582","Lamprospora retinosa (Velen.) T.Schumach., 1993")</f>
        <v>Lamprospora retinosa (Velen.) T.Schumach., 1993</v>
      </c>
      <c r="AH7428" s="4" t="str">
        <f>HYPERLINK("#Statut_biogéographique!A"&amp;_xlfn.XMATCH("P",Statut_biogéographique!A:A,2,1),"P")</f>
        <v>P</v>
      </c>
      <c r="AP7428" s="4" t="s">
        <v>376</v>
      </c>
      <c r="AR7428" s="4" t="s">
        <v>377</v>
      </c>
    </row>
    <row r="7429" spans="1:44">
      <c r="A7429" s="4" t="s">
        <v>5</v>
      </c>
      <c r="B7429" s="4">
        <v>860583</v>
      </c>
      <c r="C7429" s="4">
        <v>4211</v>
      </c>
      <c r="D7429" s="5" t="s">
        <v>10249</v>
      </c>
      <c r="E7429" s="6" t="str">
        <f>HYPERLINK("https://inpn.mnhn.fr/espece/cd_nom/860583","Lamprospora seaveri Benkert, 1987")</f>
        <v>Lamprospora seaveri Benkert, 1987</v>
      </c>
      <c r="AH7429" s="4" t="str">
        <f>HYPERLINK("#Statut_biogéographique!A"&amp;_xlfn.XMATCH("P",Statut_biogéographique!A:A,2,1),"P")</f>
        <v>P</v>
      </c>
      <c r="AP7429" s="4" t="s">
        <v>376</v>
      </c>
      <c r="AR7429" s="4" t="s">
        <v>377</v>
      </c>
    </row>
    <row r="7430" spans="1:44">
      <c r="A7430" s="4" t="s">
        <v>5</v>
      </c>
      <c r="B7430" s="4">
        <v>860614</v>
      </c>
      <c r="C7430" s="4">
        <v>4325</v>
      </c>
      <c r="D7430" s="5" t="s">
        <v>10250</v>
      </c>
      <c r="E7430" s="6" t="str">
        <f>HYPERLINK("https://inpn.mnhn.fr/espece/cd_nom/860614","Lasiobelonium corticale (Pers.) Raitv., 1980")</f>
        <v>Lasiobelonium corticale (Pers.) Raitv., 1980</v>
      </c>
      <c r="AH7430" s="4" t="str">
        <f>HYPERLINK("#Statut_biogéographique!A"&amp;_xlfn.XMATCH("P",Statut_biogéographique!A:A,2,1),"P")</f>
        <v>P</v>
      </c>
      <c r="AP7430" s="4" t="s">
        <v>376</v>
      </c>
      <c r="AR7430" s="4" t="s">
        <v>377</v>
      </c>
    </row>
    <row r="7431" spans="1:44" ht="30">
      <c r="A7431" s="4" t="s">
        <v>5</v>
      </c>
      <c r="B7431" s="4">
        <v>860615</v>
      </c>
      <c r="C7431" s="4">
        <v>6481</v>
      </c>
      <c r="D7431" s="5" t="s">
        <v>10251</v>
      </c>
      <c r="E7431" s="6" t="str">
        <f>HYPERLINK("https://inpn.mnhn.fr/espece/cd_nom/860615","Lasiobelonium lonicerae (Alb. &amp; Schwein.) Raitv., 1980")</f>
        <v>Lasiobelonium lonicerae (Alb. &amp; Schwein.) Raitv., 1980</v>
      </c>
      <c r="AH7431" s="4" t="str">
        <f>HYPERLINK("#Statut_biogéographique!A"&amp;_xlfn.XMATCH("P",Statut_biogéographique!A:A,2,1),"P")</f>
        <v>P</v>
      </c>
      <c r="AP7431" s="4" t="s">
        <v>376</v>
      </c>
      <c r="AR7431" s="4" t="s">
        <v>377</v>
      </c>
    </row>
    <row r="7432" spans="1:44">
      <c r="A7432" s="4" t="s">
        <v>5</v>
      </c>
      <c r="B7432" s="4">
        <v>860616</v>
      </c>
      <c r="C7432" s="4">
        <v>2461</v>
      </c>
      <c r="D7432" s="5">
        <v>48388</v>
      </c>
      <c r="E7432" s="6" t="str">
        <f>HYPERLINK("https://inpn.mnhn.fr/espece/cd_nom/860616","Lasiobolus ciliatus (J.C.Schmidt) Boud., 1907")</f>
        <v>Lasiobolus ciliatus (J.C.Schmidt) Boud., 1907</v>
      </c>
      <c r="AH7432" s="4" t="str">
        <f>HYPERLINK("#Statut_biogéographique!A"&amp;_xlfn.XMATCH("P",Statut_biogéographique!A:A,2,1),"P")</f>
        <v>P</v>
      </c>
      <c r="AP7432" s="4" t="s">
        <v>376</v>
      </c>
      <c r="AR7432" s="4" t="s">
        <v>377</v>
      </c>
    </row>
    <row r="7433" spans="1:44">
      <c r="A7433" s="4" t="s">
        <v>5</v>
      </c>
      <c r="B7433" s="4">
        <v>860624</v>
      </c>
      <c r="C7433" s="4">
        <v>1180</v>
      </c>
      <c r="D7433" s="5" t="s">
        <v>10252</v>
      </c>
      <c r="E7433" s="6" t="str">
        <f>HYPERLINK("https://inpn.mnhn.fr/espece/cd_nom/860624","Incrucipulum ciliare (Schrad.) Baral, 1985")</f>
        <v>Incrucipulum ciliare (Schrad.) Baral, 1985</v>
      </c>
      <c r="AH7433" s="4" t="str">
        <f>HYPERLINK("#Statut_biogéographique!A"&amp;_xlfn.XMATCH("P",Statut_biogéographique!A:A,2,1),"P")</f>
        <v>P</v>
      </c>
      <c r="AP7433" s="4" t="s">
        <v>376</v>
      </c>
      <c r="AR7433" s="4" t="s">
        <v>377</v>
      </c>
    </row>
    <row r="7434" spans="1:44">
      <c r="A7434" s="4" t="s">
        <v>5</v>
      </c>
      <c r="B7434" s="4">
        <v>860626</v>
      </c>
      <c r="C7434" s="4">
        <v>5033</v>
      </c>
      <c r="D7434" s="5" t="s">
        <v>10253</v>
      </c>
      <c r="E7434" s="6" t="str">
        <f>HYPERLINK("https://inpn.mnhn.fr/espece/cd_nom/860626","Lasiobolus cuniculi Velen., 1934")</f>
        <v>Lasiobolus cuniculi Velen., 1934</v>
      </c>
      <c r="AH7434" s="4" t="str">
        <f>HYPERLINK("#Statut_biogéographique!A"&amp;_xlfn.XMATCH("P",Statut_biogéographique!A:A,2,1),"P")</f>
        <v>P</v>
      </c>
      <c r="AP7434" s="4" t="s">
        <v>376</v>
      </c>
      <c r="AR7434" s="4" t="s">
        <v>377</v>
      </c>
    </row>
    <row r="7435" spans="1:44">
      <c r="A7435" s="4" t="s">
        <v>5</v>
      </c>
      <c r="B7435" s="4">
        <v>860627</v>
      </c>
      <c r="C7435" s="4">
        <v>5034</v>
      </c>
      <c r="D7435" s="5" t="s">
        <v>10254</v>
      </c>
      <c r="E7435" s="6" t="str">
        <f>HYPERLINK("https://inpn.mnhn.fr/espece/cd_nom/860627","Lasiobolus diversisporus (Fuckel) Sacc., 1889")</f>
        <v>Lasiobolus diversisporus (Fuckel) Sacc., 1889</v>
      </c>
      <c r="AH7435" s="4" t="str">
        <f>HYPERLINK("#Statut_biogéographique!A"&amp;_xlfn.XMATCH("P",Statut_biogéographique!A:A,2,1),"P")</f>
        <v>P</v>
      </c>
      <c r="AP7435" s="4" t="s">
        <v>376</v>
      </c>
      <c r="AR7435" s="4" t="s">
        <v>377</v>
      </c>
    </row>
    <row r="7436" spans="1:44" ht="30">
      <c r="A7436" s="4" t="s">
        <v>5</v>
      </c>
      <c r="B7436" s="4">
        <v>860629</v>
      </c>
      <c r="C7436" s="4">
        <v>3373</v>
      </c>
      <c r="D7436" s="5" t="s">
        <v>10255</v>
      </c>
      <c r="E7436" s="6" t="str">
        <f>HYPERLINK("https://inpn.mnhn.fr/espece/cd_nom/860629","Lasiobolus intermedius J.L.Bezerra &amp; Kimbr., 1975")</f>
        <v>Lasiobolus intermedius J.L.Bezerra &amp; Kimbr., 1975</v>
      </c>
      <c r="AH7436" s="4" t="str">
        <f>HYPERLINK("#Statut_biogéographique!A"&amp;_xlfn.XMATCH("P",Statut_biogéographique!A:A,2,1),"P")</f>
        <v>P</v>
      </c>
      <c r="AP7436" s="4" t="s">
        <v>376</v>
      </c>
      <c r="AR7436" s="4" t="s">
        <v>377</v>
      </c>
    </row>
    <row r="7437" spans="1:44">
      <c r="A7437" s="4" t="s">
        <v>5</v>
      </c>
      <c r="B7437" s="4">
        <v>860630</v>
      </c>
      <c r="C7437" s="4">
        <v>1028</v>
      </c>
      <c r="D7437" s="5" t="s">
        <v>10256</v>
      </c>
      <c r="E7437" s="6" t="str">
        <f>HYPERLINK("https://inpn.mnhn.fr/espece/cd_nom/860630","Lasiobolus macrotrichus Rea, 1917")</f>
        <v>Lasiobolus macrotrichus Rea, 1917</v>
      </c>
      <c r="AH7437" s="4" t="str">
        <f>HYPERLINK("#Statut_biogéographique!A"&amp;_xlfn.XMATCH("P",Statut_biogéographique!A:A,2,1),"P")</f>
        <v>P</v>
      </c>
      <c r="AP7437" s="4" t="s">
        <v>376</v>
      </c>
      <c r="AR7437" s="4" t="s">
        <v>377</v>
      </c>
    </row>
    <row r="7438" spans="1:44">
      <c r="A7438" s="4" t="s">
        <v>5</v>
      </c>
      <c r="B7438" s="4">
        <v>860631</v>
      </c>
      <c r="C7438" s="4">
        <v>5035</v>
      </c>
      <c r="D7438" s="5" t="s">
        <v>10257</v>
      </c>
      <c r="E7438" s="6" t="str">
        <f>HYPERLINK("https://inpn.mnhn.fr/espece/cd_nom/860631","Lasiobolus monascus Kimbr., 1974")</f>
        <v>Lasiobolus monascus Kimbr., 1974</v>
      </c>
      <c r="AH7438" s="4" t="str">
        <f>HYPERLINK("#Statut_biogéographique!A"&amp;_xlfn.XMATCH("P",Statut_biogéographique!A:A,2,1),"P")</f>
        <v>P</v>
      </c>
      <c r="AP7438" s="4" t="s">
        <v>376</v>
      </c>
      <c r="AR7438" s="4" t="s">
        <v>377</v>
      </c>
    </row>
    <row r="7439" spans="1:44" ht="30">
      <c r="A7439" s="4" t="s">
        <v>5</v>
      </c>
      <c r="B7439" s="4">
        <v>860640</v>
      </c>
      <c r="C7439" s="4">
        <v>6994</v>
      </c>
      <c r="D7439" s="5" t="s">
        <v>10258</v>
      </c>
      <c r="E7439" s="6" t="str">
        <f>HYPERLINK("https://inpn.mnhn.fr/espece/cd_nom/860640","Incrucipulum virtembergense (Matheis) Baral, 1985")</f>
        <v>Incrucipulum virtembergense (Matheis) Baral, 1985</v>
      </c>
      <c r="AH7439" s="4" t="str">
        <f>HYPERLINK("#Statut_biogéographique!A"&amp;_xlfn.XMATCH("P",Statut_biogéographique!A:A,2,1),"P")</f>
        <v>P</v>
      </c>
      <c r="AP7439" s="4" t="s">
        <v>376</v>
      </c>
      <c r="AR7439" s="4" t="s">
        <v>377</v>
      </c>
    </row>
    <row r="7440" spans="1:44">
      <c r="A7440" s="4" t="s">
        <v>5</v>
      </c>
      <c r="B7440" s="4">
        <v>860651</v>
      </c>
      <c r="C7440" s="4">
        <v>3750</v>
      </c>
      <c r="D7440" s="5" t="s">
        <v>10259</v>
      </c>
      <c r="E7440" s="6" t="str">
        <f>HYPERLINK("https://inpn.mnhn.fr/espece/cd_nom/860651","Helvella albella Quél., 1896")</f>
        <v>Helvella albella Quél., 1896</v>
      </c>
      <c r="F7440" s="5" t="s">
        <v>10260</v>
      </c>
      <c r="Z7440" s="4" t="s">
        <v>447</v>
      </c>
      <c r="AA7440" s="4" t="s">
        <v>448</v>
      </c>
      <c r="AH7440" s="4" t="str">
        <f>HYPERLINK("#Statut_biogéographique!A"&amp;_xlfn.XMATCH("P",Statut_biogéographique!A:A,2,1),"P")</f>
        <v>P</v>
      </c>
      <c r="AP7440" s="4" t="s">
        <v>376</v>
      </c>
      <c r="AR7440" s="4" t="s">
        <v>377</v>
      </c>
    </row>
    <row r="7441" spans="1:44">
      <c r="A7441" s="4" t="s">
        <v>5</v>
      </c>
      <c r="B7441" s="4">
        <v>860657</v>
      </c>
      <c r="C7441" s="4">
        <v>3746</v>
      </c>
      <c r="D7441" s="5" t="s">
        <v>10261</v>
      </c>
      <c r="E7441" s="6" t="str">
        <f>HYPERLINK("https://inpn.mnhn.fr/espece/cd_nom/860657","Helvella fibrosa (Wallr.) Korf, 2008")</f>
        <v>Helvella fibrosa (Wallr.) Korf, 2008</v>
      </c>
      <c r="F7441" s="5" t="s">
        <v>10262</v>
      </c>
      <c r="Z7441" s="4" t="s">
        <v>443</v>
      </c>
      <c r="AA7441" s="4" t="s">
        <v>444</v>
      </c>
      <c r="AH7441" s="4" t="str">
        <f>HYPERLINK("#Statut_biogéographique!A"&amp;_xlfn.XMATCH("P",Statut_biogéographique!A:A,2,1),"P")</f>
        <v>P</v>
      </c>
      <c r="AP7441" s="4" t="s">
        <v>376</v>
      </c>
      <c r="AR7441" s="4" t="s">
        <v>377</v>
      </c>
    </row>
    <row r="7442" spans="1:44" ht="30">
      <c r="A7442" s="4" t="s">
        <v>5</v>
      </c>
      <c r="B7442" s="4">
        <v>860662</v>
      </c>
      <c r="C7442" s="4">
        <v>5365</v>
      </c>
      <c r="D7442" s="5" t="s">
        <v>10263</v>
      </c>
      <c r="E7442" s="6" t="str">
        <f>HYPERLINK("https://inpn.mnhn.fr/espece/cd_nom/860662","Helvella corbierei (Malençon) Van Vooren &amp; Frund, 2010")</f>
        <v>Helvella corbierei (Malençon) Van Vooren &amp; Frund, 2010</v>
      </c>
      <c r="Z7442" s="4" t="s">
        <v>443</v>
      </c>
      <c r="AA7442" s="4" t="s">
        <v>444</v>
      </c>
      <c r="AH7442" s="4" t="str">
        <f>HYPERLINK("#Statut_biogéographique!A"&amp;_xlfn.XMATCH("P",Statut_biogéographique!A:A,2,1),"P")</f>
        <v>P</v>
      </c>
      <c r="AP7442" s="4" t="s">
        <v>376</v>
      </c>
      <c r="AR7442" s="4" t="s">
        <v>377</v>
      </c>
    </row>
    <row r="7443" spans="1:44" ht="30">
      <c r="A7443" s="4" t="s">
        <v>5</v>
      </c>
      <c r="B7443" s="4">
        <v>860663</v>
      </c>
      <c r="C7443" s="4">
        <v>6200</v>
      </c>
      <c r="D7443" s="5" t="s">
        <v>10264</v>
      </c>
      <c r="E7443" s="6" t="str">
        <f>HYPERLINK("https://inpn.mnhn.fr/espece/cd_nom/860663","Hyphodiscus hymeniophilus (P.Karst.) Baral, 1993")</f>
        <v>Hyphodiscus hymeniophilus (P.Karst.) Baral, 1993</v>
      </c>
      <c r="AH7443" s="4" t="str">
        <f>HYPERLINK("#Statut_biogéographique!A"&amp;_xlfn.XMATCH("P",Statut_biogéographique!A:A,2,1),"P")</f>
        <v>P</v>
      </c>
      <c r="AP7443" s="4" t="s">
        <v>376</v>
      </c>
      <c r="AR7443" s="4" t="s">
        <v>377</v>
      </c>
    </row>
    <row r="7444" spans="1:44" ht="30">
      <c r="A7444" s="4" t="s">
        <v>5</v>
      </c>
      <c r="B7444" s="4">
        <v>860664</v>
      </c>
      <c r="C7444" s="4">
        <v>6828</v>
      </c>
      <c r="D7444" s="5" t="s">
        <v>10265</v>
      </c>
      <c r="E7444" s="6" t="str">
        <f>HYPERLINK("https://inpn.mnhn.fr/espece/cd_nom/860664","Hyphodiscus theiodeus (Cooke &amp; Ellis) W.Y.Zhuang, 1988")</f>
        <v>Hyphodiscus theiodeus (Cooke &amp; Ellis) W.Y.Zhuang, 1988</v>
      </c>
      <c r="AH7444" s="4" t="str">
        <f>HYPERLINK("#Statut_biogéographique!A"&amp;_xlfn.XMATCH("P",Statut_biogéographique!A:A,2,1),"P")</f>
        <v>P</v>
      </c>
      <c r="AP7444" s="4" t="s">
        <v>376</v>
      </c>
      <c r="AR7444" s="4" t="s">
        <v>377</v>
      </c>
    </row>
    <row r="7445" spans="1:44" ht="30">
      <c r="A7445" s="4" t="s">
        <v>5</v>
      </c>
      <c r="B7445" s="4">
        <v>860668</v>
      </c>
      <c r="C7445" s="4">
        <v>2105</v>
      </c>
      <c r="D7445" s="5" t="s">
        <v>10266</v>
      </c>
      <c r="E7445" s="6" t="str">
        <f>HYPERLINK("https://inpn.mnhn.fr/espece/cd_nom/860668","Helvella monachella (Scop.) Fr., 1822")</f>
        <v>Helvella monachella (Scop.) Fr., 1822</v>
      </c>
      <c r="F7445" s="5" t="s">
        <v>10267</v>
      </c>
      <c r="Z7445" s="4" t="s">
        <v>512</v>
      </c>
      <c r="AA7445" s="4" t="s">
        <v>513</v>
      </c>
      <c r="AH7445" s="4" t="str">
        <f>HYPERLINK("#Statut_biogéographique!A"&amp;_xlfn.XMATCH("P",Statut_biogéographique!A:A,2,1),"P")</f>
        <v>P</v>
      </c>
      <c r="AP7445" s="4" t="s">
        <v>376</v>
      </c>
      <c r="AR7445" s="4" t="s">
        <v>377</v>
      </c>
    </row>
    <row r="7446" spans="1:44">
      <c r="A7446" s="4" t="s">
        <v>5</v>
      </c>
      <c r="B7446" s="4">
        <v>860672</v>
      </c>
      <c r="C7446" s="4">
        <v>1514</v>
      </c>
      <c r="D7446" s="5" t="s">
        <v>10268</v>
      </c>
      <c r="E7446" s="6" t="str">
        <f>HYPERLINK("https://inpn.mnhn.fr/espece/cd_nom/860672","Helvella sulcata Afzel., 1783")</f>
        <v>Helvella sulcata Afzel., 1783</v>
      </c>
      <c r="F7446" s="5" t="s">
        <v>10269</v>
      </c>
      <c r="AH7446" s="4" t="str">
        <f>HYPERLINK("#Statut_biogéographique!A"&amp;_xlfn.XMATCH("P",Statut_biogéographique!A:A,2,1),"P")</f>
        <v>P</v>
      </c>
      <c r="AP7446" s="4" t="s">
        <v>376</v>
      </c>
      <c r="AR7446" s="4" t="s">
        <v>377</v>
      </c>
    </row>
    <row r="7447" spans="1:44" ht="30">
      <c r="A7447" s="4" t="s">
        <v>5</v>
      </c>
      <c r="B7447" s="4">
        <v>860693</v>
      </c>
      <c r="C7447" s="4">
        <v>4425</v>
      </c>
      <c r="D7447" s="5" t="s">
        <v>10270</v>
      </c>
      <c r="E7447" s="6" t="str">
        <f>HYPERLINK("https://inpn.mnhn.fr/espece/cd_nom/860693","Hypoderma hederae (T.Nees ex Mart.) De Not., 1847")</f>
        <v>Hypoderma hederae (T.Nees ex Mart.) De Not., 1847</v>
      </c>
      <c r="AH7447" s="4" t="str">
        <f>HYPERLINK("#Statut_biogéographique!A"&amp;_xlfn.XMATCH("P",Statut_biogéographique!A:A,2,1),"P")</f>
        <v>P</v>
      </c>
      <c r="AP7447" s="4" t="s">
        <v>376</v>
      </c>
      <c r="AR7447" s="4" t="s">
        <v>377</v>
      </c>
    </row>
    <row r="7448" spans="1:44">
      <c r="A7448" s="4" t="s">
        <v>5</v>
      </c>
      <c r="B7448" s="4">
        <v>860698</v>
      </c>
      <c r="C7448" s="4">
        <v>3585</v>
      </c>
      <c r="D7448" s="5" t="s">
        <v>10271</v>
      </c>
      <c r="E7448" s="6" t="str">
        <f>HYPERLINK("https://inpn.mnhn.fr/espece/cd_nom/860698","Hypoderma rubi (Pers.) DC., 1805")</f>
        <v>Hypoderma rubi (Pers.) DC., 1805</v>
      </c>
      <c r="AH7448" s="4" t="str">
        <f>HYPERLINK("#Statut_biogéographique!A"&amp;_xlfn.XMATCH("P",Statut_biogéographique!A:A,2,1),"P")</f>
        <v>P</v>
      </c>
      <c r="AP7448" s="4" t="s">
        <v>376</v>
      </c>
      <c r="AR7448" s="4" t="s">
        <v>377</v>
      </c>
    </row>
    <row r="7449" spans="1:44" ht="30">
      <c r="A7449" s="4" t="s">
        <v>5</v>
      </c>
      <c r="B7449" s="4">
        <v>860715</v>
      </c>
      <c r="C7449" s="4">
        <v>6919</v>
      </c>
      <c r="D7449" s="5" t="s">
        <v>10272</v>
      </c>
      <c r="E7449" s="6" t="str">
        <f>HYPERLINK("https://inpn.mnhn.fr/espece/cd_nom/860715","Grovesiella abieticola (Zeller &amp; Goodd.) M.Morelet &amp; Gremmen, 1969")</f>
        <v>Grovesiella abieticola (Zeller &amp; Goodd.) M.Morelet &amp; Gremmen, 1969</v>
      </c>
      <c r="AH7449" s="4" t="str">
        <f>HYPERLINK("#Statut_biogéographique!A"&amp;_xlfn.XMATCH("P",Statut_biogéographique!A:A,2,1),"P")</f>
        <v>P</v>
      </c>
      <c r="AP7449" s="4" t="s">
        <v>376</v>
      </c>
      <c r="AR7449" s="4" t="s">
        <v>377</v>
      </c>
    </row>
    <row r="7450" spans="1:44">
      <c r="A7450" s="4" t="s">
        <v>5</v>
      </c>
      <c r="B7450" s="4">
        <v>860741</v>
      </c>
      <c r="C7450" s="4">
        <v>5144</v>
      </c>
      <c r="D7450" s="5" t="s">
        <v>10273</v>
      </c>
      <c r="E7450" s="6" t="str">
        <f>HYPERLINK("https://inpn.mnhn.fr/espece/cd_nom/860741","Gyromitra accumbens Harmaja, 1986")</f>
        <v>Gyromitra accumbens Harmaja, 1986</v>
      </c>
      <c r="AH7450" s="4" t="str">
        <f>HYPERLINK("#Statut_biogéographique!A"&amp;_xlfn.XMATCH("P",Statut_biogéographique!A:A,2,1),"P")</f>
        <v>P</v>
      </c>
      <c r="AP7450" s="4" t="s">
        <v>376</v>
      </c>
      <c r="AR7450" s="4" t="s">
        <v>377</v>
      </c>
    </row>
    <row r="7451" spans="1:44" ht="30">
      <c r="A7451" s="4" t="s">
        <v>5</v>
      </c>
      <c r="B7451" s="4">
        <v>860755</v>
      </c>
      <c r="C7451" s="4">
        <v>6771</v>
      </c>
      <c r="D7451" s="5" t="s">
        <v>10274</v>
      </c>
      <c r="E7451" s="6" t="str">
        <f>HYPERLINK("https://inpn.mnhn.fr/espece/cd_nom/860755","Gyromitra parma (J.Breitenb. &amp; Maas Geest.) Kotl. &amp; Pouzar, 1974")</f>
        <v>Gyromitra parma (J.Breitenb. &amp; Maas Geest.) Kotl. &amp; Pouzar, 1974</v>
      </c>
      <c r="F7451" s="5" t="s">
        <v>10275</v>
      </c>
      <c r="AH7451" s="4" t="str">
        <f>HYPERLINK("#Statut_biogéographique!A"&amp;_xlfn.XMATCH("P",Statut_biogéographique!A:A,2,1),"P")</f>
        <v>P</v>
      </c>
      <c r="AP7451" s="4" t="s">
        <v>376</v>
      </c>
      <c r="AR7451" s="4" t="s">
        <v>377</v>
      </c>
    </row>
    <row r="7452" spans="1:44">
      <c r="A7452" s="4" t="s">
        <v>5</v>
      </c>
      <c r="B7452" s="4">
        <v>860770</v>
      </c>
      <c r="C7452" s="4">
        <v>6636</v>
      </c>
      <c r="D7452" s="5" t="s">
        <v>10276</v>
      </c>
      <c r="E7452" s="6" t="str">
        <f>HYPERLINK("https://inpn.mnhn.fr/espece/cd_nom/860770","Hyaloscypha intacta Svrček, 1986")</f>
        <v>Hyaloscypha intacta Svrček, 1986</v>
      </c>
      <c r="AH7452" s="4" t="str">
        <f>HYPERLINK("#Statut_biogéographique!A"&amp;_xlfn.XMATCH("P",Statut_biogéographique!A:A,2,1),"P")</f>
        <v>P</v>
      </c>
      <c r="AP7452" s="4" t="s">
        <v>376</v>
      </c>
      <c r="AR7452" s="4" t="s">
        <v>377</v>
      </c>
    </row>
    <row r="7453" spans="1:44" ht="30">
      <c r="A7453" s="4" t="s">
        <v>5</v>
      </c>
      <c r="B7453" s="4">
        <v>860798</v>
      </c>
      <c r="C7453" s="4">
        <v>4850</v>
      </c>
      <c r="D7453" s="5" t="s">
        <v>10277</v>
      </c>
      <c r="E7453" s="6" t="str">
        <f>HYPERLINK("https://inpn.mnhn.fr/espece/cd_nom/860798","Hydnotrya tulasnei (Berk.) Berk. &amp; Broome, 1846")</f>
        <v>Hydnotrya tulasnei (Berk.) Berk. &amp; Broome, 1846</v>
      </c>
      <c r="Z7453" s="4" t="s">
        <v>443</v>
      </c>
      <c r="AA7453" s="4" t="s">
        <v>444</v>
      </c>
      <c r="AH7453" s="4" t="str">
        <f>HYPERLINK("#Statut_biogéographique!A"&amp;_xlfn.XMATCH("P",Statut_biogéographique!A:A,2,1),"P")</f>
        <v>P</v>
      </c>
      <c r="AP7453" s="4" t="s">
        <v>376</v>
      </c>
      <c r="AR7453" s="4" t="s">
        <v>377</v>
      </c>
    </row>
    <row r="7454" spans="1:44" ht="30">
      <c r="A7454" s="4" t="s">
        <v>5</v>
      </c>
      <c r="B7454" s="4">
        <v>860800</v>
      </c>
      <c r="C7454" s="4">
        <v>6905</v>
      </c>
      <c r="D7454" s="5" t="s">
        <v>10278</v>
      </c>
      <c r="E7454" s="6" t="str">
        <f>HYPERLINK("https://inpn.mnhn.fr/espece/cd_nom/860800","Fuscolachnum misellum (Roberge ex Desm.) J.H.Haines, 1989")</f>
        <v>Fuscolachnum misellum (Roberge ex Desm.) J.H.Haines, 1989</v>
      </c>
      <c r="AH7454" s="4" t="str">
        <f>HYPERLINK("#Statut_biogéographique!A"&amp;_xlfn.XMATCH("P",Statut_biogéographique!A:A,2,1),"P")</f>
        <v>P</v>
      </c>
      <c r="AP7454" s="4" t="s">
        <v>376</v>
      </c>
      <c r="AR7454" s="4" t="s">
        <v>377</v>
      </c>
    </row>
    <row r="7455" spans="1:44">
      <c r="A7455" s="4" t="s">
        <v>5</v>
      </c>
      <c r="B7455" s="4">
        <v>860817</v>
      </c>
      <c r="C7455" s="4">
        <v>5846</v>
      </c>
      <c r="D7455" s="5" t="s">
        <v>10279</v>
      </c>
      <c r="E7455" s="6" t="str">
        <f>HYPERLINK("https://inpn.mnhn.fr/espece/cd_nom/860817","Genea fragrans (Wallr.) Sacc., 1889")</f>
        <v>Genea fragrans (Wallr.) Sacc., 1889</v>
      </c>
      <c r="AH7455" s="4" t="str">
        <f>HYPERLINK("#Statut_biogéographique!A"&amp;_xlfn.XMATCH("P",Statut_biogéographique!A:A,2,1),"P")</f>
        <v>P</v>
      </c>
      <c r="AP7455" s="4" t="s">
        <v>376</v>
      </c>
      <c r="AR7455" s="4" t="s">
        <v>377</v>
      </c>
    </row>
    <row r="7456" spans="1:44">
      <c r="A7456" s="4" t="s">
        <v>5</v>
      </c>
      <c r="B7456" s="4">
        <v>860830</v>
      </c>
      <c r="C7456" s="4">
        <v>6085</v>
      </c>
      <c r="D7456" s="5" t="s">
        <v>10280</v>
      </c>
      <c r="E7456" s="6" t="str">
        <f>HYPERLINK("https://inpn.mnhn.fr/espece/cd_nom/860830","Genea vagans Mattir., 1900")</f>
        <v>Genea vagans Mattir., 1900</v>
      </c>
      <c r="AH7456" s="4" t="str">
        <f>HYPERLINK("#Statut_biogéographique!A"&amp;_xlfn.XMATCH("P",Statut_biogéographique!A:A,2,1),"P")</f>
        <v>P</v>
      </c>
      <c r="AP7456" s="4" t="s">
        <v>376</v>
      </c>
      <c r="AR7456" s="4" t="s">
        <v>377</v>
      </c>
    </row>
    <row r="7457" spans="1:44">
      <c r="A7457" s="4" t="s">
        <v>5</v>
      </c>
      <c r="B7457" s="4">
        <v>860833</v>
      </c>
      <c r="C7457" s="4">
        <v>5595</v>
      </c>
      <c r="D7457" s="5" t="s">
        <v>10281</v>
      </c>
      <c r="E7457" s="6" t="str">
        <f>HYPERLINK("https://inpn.mnhn.fr/espece/cd_nom/860833","Geopyxis alpina Höhn., 1906")</f>
        <v>Geopyxis alpina Höhn., 1906</v>
      </c>
      <c r="AH7457" s="4" t="str">
        <f>HYPERLINK("#Statut_biogéographique!A"&amp;_xlfn.XMATCH("P",Statut_biogéographique!A:A,2,1),"P")</f>
        <v>P</v>
      </c>
      <c r="AP7457" s="4" t="s">
        <v>376</v>
      </c>
      <c r="AR7457" s="4" t="s">
        <v>377</v>
      </c>
    </row>
    <row r="7458" spans="1:44">
      <c r="A7458" s="4" t="s">
        <v>5</v>
      </c>
      <c r="B7458" s="4">
        <v>860834</v>
      </c>
      <c r="C7458" s="4">
        <v>5130</v>
      </c>
      <c r="D7458" s="5" t="s">
        <v>10282</v>
      </c>
      <c r="E7458" s="6" t="str">
        <f>HYPERLINK("https://inpn.mnhn.fr/espece/cd_nom/860834","Geopyxis foetida Velen., 1922")</f>
        <v>Geopyxis foetida Velen., 1922</v>
      </c>
      <c r="F7458" s="5" t="s">
        <v>10283</v>
      </c>
      <c r="Z7458" s="4" t="s">
        <v>443</v>
      </c>
      <c r="AA7458" s="4" t="s">
        <v>444</v>
      </c>
      <c r="AH7458" s="4" t="str">
        <f>HYPERLINK("#Statut_biogéographique!A"&amp;_xlfn.XMATCH("P",Statut_biogéographique!A:A,2,1),"P")</f>
        <v>P</v>
      </c>
      <c r="AP7458" s="4" t="s">
        <v>376</v>
      </c>
      <c r="AR7458" s="4" t="s">
        <v>377</v>
      </c>
    </row>
    <row r="7459" spans="1:44">
      <c r="A7459" s="4" t="s">
        <v>5</v>
      </c>
      <c r="B7459" s="4">
        <v>860835</v>
      </c>
      <c r="C7459" s="4">
        <v>4321</v>
      </c>
      <c r="D7459" s="5" t="s">
        <v>10284</v>
      </c>
      <c r="E7459" s="6" t="str">
        <f>HYPERLINK("https://inpn.mnhn.fr/espece/cd_nom/860835","Geopyxis majalis (Fr.) Sacc., 1889")</f>
        <v>Geopyxis majalis (Fr.) Sacc., 1889</v>
      </c>
      <c r="AH7459" s="4" t="str">
        <f>HYPERLINK("#Statut_biogéographique!A"&amp;_xlfn.XMATCH("P",Statut_biogéographique!A:A,2,1),"P")</f>
        <v>P</v>
      </c>
      <c r="AP7459" s="4" t="s">
        <v>376</v>
      </c>
      <c r="AR7459" s="4" t="s">
        <v>377</v>
      </c>
    </row>
    <row r="7460" spans="1:44" ht="135">
      <c r="A7460" s="4" t="s">
        <v>5</v>
      </c>
      <c r="B7460" s="4">
        <v>860885</v>
      </c>
      <c r="D7460" s="5" t="s">
        <v>10285</v>
      </c>
      <c r="E7460" s="6" t="str">
        <f>HYPERLINK("https://inpn.mnhn.fr/espece/cd_nom/860885","Propolis farinosa (Pers.) Fr., 1849")</f>
        <v>Propolis farinosa (Pers.) Fr., 1849</v>
      </c>
      <c r="V7460" s="7" t="str">
        <f>HYPERLINK("#Liste_rouge!A"&amp;_xlfn.XMATCH("LC",Liste_rouge!A:A,2,1),"LC")</f>
        <v>LC</v>
      </c>
      <c r="AH7460" s="4" t="str">
        <f>HYPERLINK("#Statut_biogéographique!A"&amp;_xlfn.XMATCH("P",Statut_biogéographique!A:A,2,1),"P")</f>
        <v>P</v>
      </c>
      <c r="AP7460" s="4" t="s">
        <v>376</v>
      </c>
      <c r="AR7460" s="4" t="s">
        <v>377</v>
      </c>
    </row>
    <row r="7461" spans="1:44">
      <c r="A7461" s="4" t="s">
        <v>5</v>
      </c>
      <c r="B7461" s="4">
        <v>861238</v>
      </c>
      <c r="D7461" s="5">
        <v>861238</v>
      </c>
      <c r="E7461" s="6" t="str">
        <f>HYPERLINK("https://inpn.mnhn.fr/espece/cd_nom/861238","Octospora itzerottii Benkert, 1998")</f>
        <v>Octospora itzerottii Benkert, 1998</v>
      </c>
      <c r="AH7461" s="4" t="str">
        <f>HYPERLINK("#Statut_biogéographique!A"&amp;_xlfn.XMATCH("P",Statut_biogéographique!A:A,2,1),"P")</f>
        <v>P</v>
      </c>
      <c r="AP7461" s="4" t="s">
        <v>376</v>
      </c>
      <c r="AR7461" s="4" t="s">
        <v>377</v>
      </c>
    </row>
    <row r="7462" spans="1:44" ht="30">
      <c r="A7462" s="4" t="s">
        <v>5</v>
      </c>
      <c r="B7462" s="4">
        <v>861272</v>
      </c>
      <c r="D7462" s="5" t="s">
        <v>10286</v>
      </c>
      <c r="E7462" s="6" t="str">
        <f>HYPERLINK("https://inpn.mnhn.fr/espece/cd_nom/861272","Octosporella erythrostigma (Mont.) Döbbeler, 2004")</f>
        <v>Octosporella erythrostigma (Mont.) Döbbeler, 2004</v>
      </c>
      <c r="AH7462" s="4" t="str">
        <f>HYPERLINK("#Statut_biogéographique!A"&amp;_xlfn.XMATCH("P",Statut_biogéographique!A:A,2,1),"P")</f>
        <v>P</v>
      </c>
      <c r="AP7462" s="4" t="s">
        <v>376</v>
      </c>
      <c r="AR7462" s="4" t="s">
        <v>377</v>
      </c>
    </row>
    <row r="7463" spans="1:44">
      <c r="A7463" s="4" t="s">
        <v>5</v>
      </c>
      <c r="B7463" s="4">
        <v>861293</v>
      </c>
      <c r="D7463" s="5" t="s">
        <v>10287</v>
      </c>
      <c r="E7463" s="6" t="str">
        <f>HYPERLINK("https://inpn.mnhn.fr/espece/cd_nom/861293","Morchella umbrina Boud., 1897")</f>
        <v>Morchella umbrina Boud., 1897</v>
      </c>
      <c r="AH7463" s="4" t="str">
        <f>HYPERLINK("#Statut_biogéographique!A"&amp;_xlfn.XMATCH("P",Statut_biogéographique!A:A,2,1),"P")</f>
        <v>P</v>
      </c>
      <c r="AP7463" s="4" t="s">
        <v>376</v>
      </c>
      <c r="AR7463" s="4" t="s">
        <v>377</v>
      </c>
    </row>
    <row r="7464" spans="1:44" ht="30">
      <c r="A7464" s="4" t="s">
        <v>5</v>
      </c>
      <c r="B7464" s="4">
        <v>861342</v>
      </c>
      <c r="D7464" s="5" t="s">
        <v>10288</v>
      </c>
      <c r="E7464" s="6" t="str">
        <f>HYPERLINK("https://inpn.mnhn.fr/espece/cd_nom/861342","Tricharina hiemalis Chin S.Yang &amp; Korf, 1985")</f>
        <v>Tricharina hiemalis Chin S.Yang &amp; Korf, 1985</v>
      </c>
      <c r="V7464" s="7" t="str">
        <f>HYPERLINK("#Liste_rouge!A"&amp;_xlfn.XMATCH("DD",Liste_rouge!A:A,2,1),"DD")</f>
        <v>DD</v>
      </c>
      <c r="AH7464" s="4" t="str">
        <f>HYPERLINK("#Statut_biogéographique!A"&amp;_xlfn.XMATCH("P",Statut_biogéographique!A:A,2,1),"P")</f>
        <v>P</v>
      </c>
      <c r="AP7464" s="4" t="s">
        <v>376</v>
      </c>
      <c r="AR7464" s="4" t="s">
        <v>377</v>
      </c>
    </row>
    <row r="7465" spans="1:44" ht="30">
      <c r="A7465" s="4" t="s">
        <v>5</v>
      </c>
      <c r="B7465" s="4">
        <v>861376</v>
      </c>
      <c r="C7465" s="4">
        <v>3735</v>
      </c>
      <c r="D7465" s="5" t="s">
        <v>10289</v>
      </c>
      <c r="E7465" s="6" t="str">
        <f>HYPERLINK("https://inpn.mnhn.fr/espece/cd_nom/861376","Humaria solsequia (Quél.) Van Vooren &amp; Moyne, 2010")</f>
        <v>Humaria solsequia (Quél.) Van Vooren &amp; Moyne, 2010</v>
      </c>
      <c r="AH7465" s="4" t="str">
        <f>HYPERLINK("#Statut_biogéographique!A"&amp;_xlfn.XMATCH("P",Statut_biogéographique!A:A,2,1),"P")</f>
        <v>P</v>
      </c>
      <c r="AP7465" s="4" t="s">
        <v>376</v>
      </c>
      <c r="AR7465" s="4" t="s">
        <v>377</v>
      </c>
    </row>
    <row r="7466" spans="1:44" ht="30">
      <c r="A7466" s="4" t="s">
        <v>5</v>
      </c>
      <c r="B7466" s="4">
        <v>861377</v>
      </c>
      <c r="D7466" s="5" t="s">
        <v>10290</v>
      </c>
      <c r="E7466" s="6" t="str">
        <f>HYPERLINK("https://inpn.mnhn.fr/espece/cd_nom/861377","Trichophaea hybrida (Sowerby) T.Schumach., 1988")</f>
        <v>Trichophaea hybrida (Sowerby) T.Schumach., 1988</v>
      </c>
      <c r="AH7466" s="4" t="str">
        <f>HYPERLINK("#Statut_biogéographique!A"&amp;_xlfn.XMATCH("P",Statut_biogéographique!A:A,2,1),"P")</f>
        <v>P</v>
      </c>
      <c r="AP7466" s="4" t="s">
        <v>376</v>
      </c>
      <c r="AR7466" s="4" t="s">
        <v>377</v>
      </c>
    </row>
    <row r="7467" spans="1:44" ht="30">
      <c r="A7467" s="4" t="s">
        <v>5</v>
      </c>
      <c r="B7467" s="4">
        <v>861413</v>
      </c>
      <c r="D7467" s="5" t="s">
        <v>10291</v>
      </c>
      <c r="E7467" s="6" t="str">
        <f>HYPERLINK("https://inpn.mnhn.fr/espece/cd_nom/861413","Tuber aestivum Vittad., 1831")</f>
        <v>Tuber aestivum Vittad., 1831</v>
      </c>
      <c r="F7467" s="5" t="s">
        <v>10292</v>
      </c>
      <c r="V7467" s="7" t="str">
        <f>HYPERLINK("#Liste_rouge!A"&amp;_xlfn.XMATCH("LC",Liste_rouge!A:A,2,1),"LC")</f>
        <v>LC</v>
      </c>
      <c r="AH7467" s="4" t="str">
        <f>HYPERLINK("#Statut_biogéographique!A"&amp;_xlfn.XMATCH("P",Statut_biogéographique!A:A,2,1),"P")</f>
        <v>P</v>
      </c>
      <c r="AP7467" s="4" t="s">
        <v>376</v>
      </c>
      <c r="AR7467" s="4" t="s">
        <v>377</v>
      </c>
    </row>
    <row r="7468" spans="1:44">
      <c r="A7468" s="4" t="s">
        <v>5</v>
      </c>
      <c r="B7468" s="4">
        <v>861462</v>
      </c>
      <c r="D7468" s="5" t="s">
        <v>10293</v>
      </c>
      <c r="E7468" s="6" t="str">
        <f>HYPERLINK("https://inpn.mnhn.fr/espece/cd_nom/861462","Uncinula adunca (Wallr.) Lév., 1851")</f>
        <v>Uncinula adunca (Wallr.) Lév., 1851</v>
      </c>
      <c r="AH7468" s="4" t="str">
        <f>HYPERLINK("#Statut_biogéographique!A"&amp;_xlfn.XMATCH("P",Statut_biogéographique!A:A,2,1),"P")</f>
        <v>P</v>
      </c>
      <c r="AP7468" s="4" t="s">
        <v>376</v>
      </c>
      <c r="AR7468" s="4" t="s">
        <v>377</v>
      </c>
    </row>
    <row r="7469" spans="1:44">
      <c r="A7469" s="4" t="s">
        <v>5</v>
      </c>
      <c r="B7469" s="4">
        <v>861466</v>
      </c>
      <c r="C7469" s="4">
        <v>5924</v>
      </c>
      <c r="D7469" s="5" t="s">
        <v>10294</v>
      </c>
      <c r="E7469" s="6" t="str">
        <f>HYPERLINK("https://inpn.mnhn.fr/espece/cd_nom/861466","Uncinula flexuosa Peck, 1872")</f>
        <v>Uncinula flexuosa Peck, 1872</v>
      </c>
      <c r="AH7469" s="4" t="str">
        <f>HYPERLINK("#Statut_biogéographique!A"&amp;_xlfn.XMATCH("P",Statut_biogéographique!A:A,2,1),"P")</f>
        <v>P</v>
      </c>
      <c r="AP7469" s="4" t="s">
        <v>376</v>
      </c>
      <c r="AR7469" s="4" t="s">
        <v>377</v>
      </c>
    </row>
    <row r="7470" spans="1:44">
      <c r="A7470" s="4" t="s">
        <v>5</v>
      </c>
      <c r="B7470" s="4">
        <v>861468</v>
      </c>
      <c r="C7470" s="4">
        <v>4199</v>
      </c>
      <c r="D7470" s="5" t="s">
        <v>10295</v>
      </c>
      <c r="E7470" s="6" t="str">
        <f>HYPERLINK("https://inpn.mnhn.fr/espece/cd_nom/861468","Uncinula prunastri (DC.) Sacc., 1882")</f>
        <v>Uncinula prunastri (DC.) Sacc., 1882</v>
      </c>
      <c r="AH7470" s="4" t="str">
        <f>HYPERLINK("#Statut_biogéographique!A"&amp;_xlfn.XMATCH("P",Statut_biogéographique!A:A,2,1),"P")</f>
        <v>P</v>
      </c>
      <c r="AP7470" s="4" t="s">
        <v>376</v>
      </c>
      <c r="AR7470" s="4" t="s">
        <v>377</v>
      </c>
    </row>
    <row r="7471" spans="1:44" ht="30">
      <c r="A7471" s="4" t="s">
        <v>5</v>
      </c>
      <c r="B7471" s="4">
        <v>861807</v>
      </c>
      <c r="D7471" s="5" t="s">
        <v>10296</v>
      </c>
      <c r="E7471" s="6" t="str">
        <f>HYPERLINK("https://inpn.mnhn.fr/espece/cd_nom/861807","Smardaea amethystina (W.Phillips) Svrček, 1969")</f>
        <v>Smardaea amethystina (W.Phillips) Svrček, 1969</v>
      </c>
      <c r="AH7471" s="4" t="str">
        <f>HYPERLINK("#Statut_biogéographique!A"&amp;_xlfn.XMATCH("P",Statut_biogéographique!A:A,2,1),"P")</f>
        <v>P</v>
      </c>
      <c r="AP7471" s="4" t="s">
        <v>376</v>
      </c>
      <c r="AR7471" s="4" t="s">
        <v>377</v>
      </c>
    </row>
    <row r="7472" spans="1:44" ht="30">
      <c r="A7472" s="4" t="s">
        <v>5</v>
      </c>
      <c r="B7472" s="4">
        <v>861834</v>
      </c>
      <c r="D7472" s="5" t="s">
        <v>10297</v>
      </c>
      <c r="E7472" s="6" t="str">
        <f>HYPERLINK("https://inpn.mnhn.fr/espece/cd_nom/861834","Sarcoscypha emarginata (Berk. &amp; Broome) F.A.Harr., 1997")</f>
        <v>Sarcoscypha emarginata (Berk. &amp; Broome) F.A.Harr., 1997</v>
      </c>
      <c r="V7472" s="7" t="str">
        <f>HYPERLINK("#Liste_rouge!A"&amp;_xlfn.XMATCH("LC",Liste_rouge!A:A,2,1),"LC")</f>
        <v>LC</v>
      </c>
      <c r="AH7472" s="4" t="str">
        <f>HYPERLINK("#Statut_biogéographique!A"&amp;_xlfn.XMATCH("P",Statut_biogéographique!A:A,2,1),"P")</f>
        <v>P</v>
      </c>
      <c r="AP7472" s="4" t="s">
        <v>376</v>
      </c>
      <c r="AR7472" s="4" t="s">
        <v>377</v>
      </c>
    </row>
    <row r="7473" spans="1:44" ht="30">
      <c r="A7473" s="4" t="s">
        <v>5</v>
      </c>
      <c r="B7473" s="4">
        <v>862240</v>
      </c>
      <c r="C7473" s="4">
        <v>6445</v>
      </c>
      <c r="D7473" s="5" t="s">
        <v>10298</v>
      </c>
      <c r="E7473" s="6" t="str">
        <f>HYPERLINK("https://inpn.mnhn.fr/espece/cd_nom/862240","Arnium arizonense (Griffiths) N.Lundq. &amp; J.C.Krug, 1972")</f>
        <v>Arnium arizonense (Griffiths) N.Lundq. &amp; J.C.Krug, 1972</v>
      </c>
      <c r="AH7473" s="4" t="str">
        <f>HYPERLINK("#Statut_biogéographique!A"&amp;_xlfn.XMATCH("P",Statut_biogéographique!A:A,2,1),"P")</f>
        <v>P</v>
      </c>
      <c r="AP7473" s="4" t="s">
        <v>376</v>
      </c>
      <c r="AR7473" s="4" t="s">
        <v>377</v>
      </c>
    </row>
    <row r="7474" spans="1:44">
      <c r="A7474" s="4" t="s">
        <v>5</v>
      </c>
      <c r="B7474" s="4">
        <v>862241</v>
      </c>
      <c r="C7474" s="4">
        <v>4289</v>
      </c>
      <c r="D7474" s="5" t="s">
        <v>10299</v>
      </c>
      <c r="E7474" s="6" t="str">
        <f>HYPERLINK("https://inpn.mnhn.fr/espece/cd_nom/862241","Arnium imitans N.Lundq., 1972")</f>
        <v>Arnium imitans N.Lundq., 1972</v>
      </c>
      <c r="AH7474" s="4" t="str">
        <f>HYPERLINK("#Statut_biogéographique!A"&amp;_xlfn.XMATCH("P",Statut_biogéographique!A:A,2,1),"P")</f>
        <v>P</v>
      </c>
      <c r="AP7474" s="4" t="s">
        <v>376</v>
      </c>
      <c r="AR7474" s="4" t="s">
        <v>377</v>
      </c>
    </row>
    <row r="7475" spans="1:44">
      <c r="A7475" s="4" t="s">
        <v>5</v>
      </c>
      <c r="B7475" s="4">
        <v>862244</v>
      </c>
      <c r="C7475" s="4">
        <v>4287</v>
      </c>
      <c r="D7475" s="5" t="s">
        <v>10300</v>
      </c>
      <c r="E7475" s="6" t="str">
        <f>HYPERLINK("https://inpn.mnhn.fr/espece/cd_nom/862244","Arnium septosporum N.Lundq., 1972")</f>
        <v>Arnium septosporum N.Lundq., 1972</v>
      </c>
      <c r="AH7475" s="4" t="str">
        <f>HYPERLINK("#Statut_biogéographique!A"&amp;_xlfn.XMATCH("P",Statut_biogéographique!A:A,2,1),"P")</f>
        <v>P</v>
      </c>
      <c r="AP7475" s="4" t="s">
        <v>376</v>
      </c>
      <c r="AR7475" s="4" t="s">
        <v>377</v>
      </c>
    </row>
    <row r="7476" spans="1:44" ht="30">
      <c r="A7476" s="4" t="s">
        <v>5</v>
      </c>
      <c r="B7476" s="4">
        <v>862262</v>
      </c>
      <c r="C7476" s="4">
        <v>4900</v>
      </c>
      <c r="D7476" s="5" t="s">
        <v>10301</v>
      </c>
      <c r="E7476" s="6" t="str">
        <f>HYPERLINK("https://inpn.mnhn.fr/espece/cd_nom/862262","Barbatosphaeria barbirostris (Dufour) Réblová, 2008")</f>
        <v>Barbatosphaeria barbirostris (Dufour) Réblová, 2008</v>
      </c>
      <c r="AH7476" s="4" t="str">
        <f>HYPERLINK("#Statut_biogéographique!A"&amp;_xlfn.XMATCH("P",Statut_biogéographique!A:A,2,1),"P")</f>
        <v>P</v>
      </c>
      <c r="AP7476" s="4" t="s">
        <v>376</v>
      </c>
      <c r="AR7476" s="4" t="s">
        <v>377</v>
      </c>
    </row>
    <row r="7477" spans="1:44" ht="30">
      <c r="A7477" s="4" t="s">
        <v>5</v>
      </c>
      <c r="B7477" s="4">
        <v>862265</v>
      </c>
      <c r="C7477" s="4">
        <v>5001</v>
      </c>
      <c r="D7477" s="5" t="s">
        <v>10302</v>
      </c>
      <c r="E7477" s="6" t="str">
        <f>HYPERLINK("https://inpn.mnhn.fr/espece/cd_nom/862265","Bryocentria brongniartii (P.Crouan &amp; H.Crouan) Döbbeler, 2004")</f>
        <v>Bryocentria brongniartii (P.Crouan &amp; H.Crouan) Döbbeler, 2004</v>
      </c>
      <c r="AH7477" s="4" t="str">
        <f>HYPERLINK("#Statut_biogéographique!A"&amp;_xlfn.XMATCH("P",Statut_biogéographique!A:A,2,1),"P")</f>
        <v>P</v>
      </c>
      <c r="AP7477" s="4" t="s">
        <v>376</v>
      </c>
      <c r="AR7477" s="4" t="s">
        <v>377</v>
      </c>
    </row>
    <row r="7478" spans="1:44" ht="30">
      <c r="A7478" s="4" t="s">
        <v>5</v>
      </c>
      <c r="B7478" s="4">
        <v>862267</v>
      </c>
      <c r="C7478" s="4">
        <v>5155</v>
      </c>
      <c r="D7478" s="5" t="s">
        <v>10303</v>
      </c>
      <c r="E7478" s="6" t="str">
        <f>HYPERLINK("https://inpn.mnhn.fr/espece/cd_nom/862267","Bryocentria metzgeriae (Ade &amp; Höhn.) Döbbeler, 2004")</f>
        <v>Bryocentria metzgeriae (Ade &amp; Höhn.) Döbbeler, 2004</v>
      </c>
      <c r="AH7478" s="4" t="str">
        <f>HYPERLINK("#Statut_biogéographique!A"&amp;_xlfn.XMATCH("P",Statut_biogéographique!A:A,2,1),"P")</f>
        <v>P</v>
      </c>
      <c r="AP7478" s="4" t="s">
        <v>376</v>
      </c>
      <c r="AR7478" s="4" t="s">
        <v>377</v>
      </c>
    </row>
    <row r="7479" spans="1:44">
      <c r="A7479" s="4" t="s">
        <v>5</v>
      </c>
      <c r="B7479" s="4">
        <v>862268</v>
      </c>
      <c r="C7479" s="4">
        <v>5168</v>
      </c>
      <c r="D7479" s="5" t="s">
        <v>10304</v>
      </c>
      <c r="E7479" s="6" t="str">
        <f>HYPERLINK("https://inpn.mnhn.fr/espece/cd_nom/862268","Bryonectria callicarpa Döbbeler, 1999")</f>
        <v>Bryonectria callicarpa Döbbeler, 1999</v>
      </c>
      <c r="AH7479" s="4" t="str">
        <f>HYPERLINK("#Statut_biogéographique!A"&amp;_xlfn.XMATCH("P",Statut_biogéographique!A:A,2,1),"P")</f>
        <v>P</v>
      </c>
      <c r="AP7479" s="4" t="s">
        <v>376</v>
      </c>
      <c r="AR7479" s="4" t="s">
        <v>377</v>
      </c>
    </row>
    <row r="7480" spans="1:44">
      <c r="A7480" s="4" t="s">
        <v>5</v>
      </c>
      <c r="B7480" s="4">
        <v>862273</v>
      </c>
      <c r="C7480" s="4">
        <v>3992</v>
      </c>
      <c r="D7480" s="5" t="s">
        <v>10305</v>
      </c>
      <c r="E7480" s="6" t="str">
        <f>HYPERLINK("https://inpn.mnhn.fr/espece/cd_nom/862273","Bombardia ambigua (Sacc.) G.Winter, 1885")</f>
        <v>Bombardia ambigua (Sacc.) G.Winter, 1885</v>
      </c>
      <c r="AH7480" s="4" t="str">
        <f>HYPERLINK("#Statut_biogéographique!A"&amp;_xlfn.XMATCH("P",Statut_biogéographique!A:A,2,1),"P")</f>
        <v>P</v>
      </c>
      <c r="AP7480" s="4" t="s">
        <v>376</v>
      </c>
      <c r="AR7480" s="4" t="s">
        <v>377</v>
      </c>
    </row>
    <row r="7481" spans="1:44">
      <c r="A7481" s="4" t="s">
        <v>5</v>
      </c>
      <c r="B7481" s="4">
        <v>862371</v>
      </c>
      <c r="C7481" s="4">
        <v>5008</v>
      </c>
      <c r="D7481" s="5" t="s">
        <v>10306</v>
      </c>
      <c r="E7481" s="6" t="str">
        <f>HYPERLINK("https://inpn.mnhn.fr/espece/cd_nom/862371","Cercophora scortea (Cain) N.Lundq., 1972")</f>
        <v>Cercophora scortea (Cain) N.Lundq., 1972</v>
      </c>
      <c r="AH7481" s="4" t="str">
        <f>HYPERLINK("#Statut_biogéographique!A"&amp;_xlfn.XMATCH("P",Statut_biogéographique!A:A,2,1),"P")</f>
        <v>P</v>
      </c>
      <c r="AP7481" s="4" t="s">
        <v>376</v>
      </c>
      <c r="AR7481" s="4" t="s">
        <v>377</v>
      </c>
    </row>
    <row r="7482" spans="1:44">
      <c r="A7482" s="4" t="s">
        <v>5</v>
      </c>
      <c r="B7482" s="4">
        <v>862372</v>
      </c>
      <c r="C7482" s="4">
        <v>5009</v>
      </c>
      <c r="D7482" s="5" t="s">
        <v>10307</v>
      </c>
      <c r="E7482" s="6" t="str">
        <f>HYPERLINK("https://inpn.mnhn.fr/espece/cd_nom/862372","Cercophora septentrionalis N.Lundq., 1972")</f>
        <v>Cercophora septentrionalis N.Lundq., 1972</v>
      </c>
      <c r="AH7482" s="4" t="str">
        <f>HYPERLINK("#Statut_biogéographique!A"&amp;_xlfn.XMATCH("P",Statut_biogéographique!A:A,2,1),"P")</f>
        <v>P</v>
      </c>
      <c r="AP7482" s="4" t="s">
        <v>376</v>
      </c>
      <c r="AR7482" s="4" t="s">
        <v>377</v>
      </c>
    </row>
    <row r="7483" spans="1:44" ht="30">
      <c r="A7483" s="4" t="s">
        <v>5</v>
      </c>
      <c r="B7483" s="4">
        <v>862389</v>
      </c>
      <c r="C7483" s="4">
        <v>5591</v>
      </c>
      <c r="D7483" s="5" t="s">
        <v>10308</v>
      </c>
      <c r="E7483" s="6" t="str">
        <f>HYPERLINK("https://inpn.mnhn.fr/espece/cd_nom/862389","Cosmospora aurantiicola (Berk. &amp; Broome) Rossman &amp; Samuels, 1999")</f>
        <v>Cosmospora aurantiicola (Berk. &amp; Broome) Rossman &amp; Samuels, 1999</v>
      </c>
      <c r="AH7483" s="4" t="str">
        <f>HYPERLINK("#Statut_biogéographique!A"&amp;_xlfn.XMATCH("P",Statut_biogéographique!A:A,2,1),"P")</f>
        <v>P</v>
      </c>
      <c r="AP7483" s="4" t="s">
        <v>376</v>
      </c>
      <c r="AR7483" s="4" t="s">
        <v>377</v>
      </c>
    </row>
    <row r="7484" spans="1:44" ht="45">
      <c r="A7484" s="4" t="s">
        <v>5</v>
      </c>
      <c r="B7484" s="4">
        <v>862394</v>
      </c>
      <c r="C7484" s="4">
        <v>4237</v>
      </c>
      <c r="D7484" s="5" t="s">
        <v>10309</v>
      </c>
      <c r="E7484" s="6" t="str">
        <f>HYPERLINK("https://inpn.mnhn.fr/espece/cd_nom/862394","Cosmospora episphaeria (Tode) Rossman &amp; Samuels, 1999")</f>
        <v>Cosmospora episphaeria (Tode) Rossman &amp; Samuels, 1999</v>
      </c>
      <c r="AH7484" s="4" t="str">
        <f>HYPERLINK("#Statut_biogéographique!A"&amp;_xlfn.XMATCH("P",Statut_biogéographique!A:A,2,1),"P")</f>
        <v>P</v>
      </c>
      <c r="AP7484" s="4" t="s">
        <v>376</v>
      </c>
      <c r="AR7484" s="4" t="s">
        <v>377</v>
      </c>
    </row>
    <row r="7485" spans="1:44" ht="30">
      <c r="A7485" s="4" t="s">
        <v>5</v>
      </c>
      <c r="B7485" s="4">
        <v>862396</v>
      </c>
      <c r="D7485" s="5" t="s">
        <v>10310</v>
      </c>
      <c r="E7485" s="6" t="str">
        <f>HYPERLINK("https://inpn.mnhn.fr/espece/cd_nom/862396","Cosmospora flavoviridis (Fuckel) Rossman &amp; Samuels, 1999")</f>
        <v>Cosmospora flavoviridis (Fuckel) Rossman &amp; Samuels, 1999</v>
      </c>
      <c r="AH7485" s="4" t="str">
        <f>HYPERLINK("#Statut_biogéographique!A"&amp;_xlfn.XMATCH("P",Statut_biogéographique!A:A,2,1),"P")</f>
        <v>P</v>
      </c>
      <c r="AP7485" s="4" t="s">
        <v>376</v>
      </c>
      <c r="AR7485" s="4" t="s">
        <v>377</v>
      </c>
    </row>
    <row r="7486" spans="1:44">
      <c r="A7486" s="4" t="s">
        <v>5</v>
      </c>
      <c r="B7486" s="4">
        <v>862413</v>
      </c>
      <c r="C7486" s="4">
        <v>6449</v>
      </c>
      <c r="D7486" s="5" t="s">
        <v>10311</v>
      </c>
      <c r="E7486" s="6" t="str">
        <f>HYPERLINK("https://inpn.mnhn.fr/espece/cd_nom/862413","Daldinia decipiens Wollw. &amp; M.Stadler, 2001")</f>
        <v>Daldinia decipiens Wollw. &amp; M.Stadler, 2001</v>
      </c>
      <c r="AH7486" s="4" t="str">
        <f>HYPERLINK("#Statut_biogéographique!A"&amp;_xlfn.XMATCH("P",Statut_biogéographique!A:A,2,1),"P")</f>
        <v>P</v>
      </c>
      <c r="AP7486" s="4" t="s">
        <v>376</v>
      </c>
      <c r="AR7486" s="4" t="s">
        <v>377</v>
      </c>
    </row>
    <row r="7487" spans="1:44">
      <c r="A7487" s="4" t="s">
        <v>5</v>
      </c>
      <c r="B7487" s="4">
        <v>862415</v>
      </c>
      <c r="C7487" s="4">
        <v>3315</v>
      </c>
      <c r="D7487" s="5" t="s">
        <v>10312</v>
      </c>
      <c r="E7487" s="6" t="str">
        <f>HYPERLINK("https://inpn.mnhn.fr/espece/cd_nom/862415","Daldinia fissa Lloyd, 1922")</f>
        <v>Daldinia fissa Lloyd, 1922</v>
      </c>
      <c r="F7487" s="5" t="s">
        <v>10313</v>
      </c>
      <c r="V7487" s="7" t="str">
        <f>HYPERLINK("#Liste_rouge!A"&amp;_xlfn.XMATCH("NT",Liste_rouge!A:A,2,1),"NT")</f>
        <v>NT</v>
      </c>
      <c r="W7487" s="4" t="str">
        <f>HYPERLINK("#Critères_liste_rouge!A$1","pr. B2abiii")</f>
        <v>pr. B2abiii</v>
      </c>
      <c r="AH7487" s="4" t="str">
        <f>HYPERLINK("#Statut_biogéographique!A"&amp;_xlfn.XMATCH("P",Statut_biogéographique!A:A,2,1),"P")</f>
        <v>P</v>
      </c>
      <c r="AP7487" s="4" t="s">
        <v>376</v>
      </c>
      <c r="AR7487" s="4" t="s">
        <v>377</v>
      </c>
    </row>
    <row r="7488" spans="1:44" ht="30">
      <c r="A7488" s="4" t="s">
        <v>5</v>
      </c>
      <c r="B7488" s="4">
        <v>862426</v>
      </c>
      <c r="C7488" s="4">
        <v>6980</v>
      </c>
      <c r="D7488" s="5" t="s">
        <v>10314</v>
      </c>
      <c r="E7488" s="6" t="str">
        <f>HYPERLINK("https://inpn.mnhn.fr/espece/cd_nom/862426","Cyanonectria cyanostoma (Sacc. &amp; Flageolet) Samuels &amp; P.Chaverri, 2009")</f>
        <v>Cyanonectria cyanostoma (Sacc. &amp; Flageolet) Samuels &amp; P.Chaverri, 2009</v>
      </c>
      <c r="AH7488" s="4" t="str">
        <f>HYPERLINK("#Statut_biogéographique!A"&amp;_xlfn.XMATCH("P",Statut_biogéographique!A:A,2,1),"P")</f>
        <v>P</v>
      </c>
      <c r="AP7488" s="4" t="s">
        <v>376</v>
      </c>
      <c r="AR7488" s="4" t="s">
        <v>377</v>
      </c>
    </row>
    <row r="7489" spans="1:44" ht="30">
      <c r="A7489" s="4" t="s">
        <v>5</v>
      </c>
      <c r="B7489" s="4">
        <v>862440</v>
      </c>
      <c r="C7489" s="4">
        <v>5818</v>
      </c>
      <c r="D7489" s="5" t="s">
        <v>10315</v>
      </c>
      <c r="E7489" s="6" t="str">
        <f>HYPERLINK("https://inpn.mnhn.fr/espece/cd_nom/862440","Dactylospora stygia (Berk. &amp; M.A.Curtis) Hafellner, 1979")</f>
        <v>Dactylospora stygia (Berk. &amp; M.A.Curtis) Hafellner, 1979</v>
      </c>
      <c r="AH7489" s="4" t="str">
        <f>HYPERLINK("#Statut_biogéographique!A"&amp;_xlfn.XMATCH("P",Statut_biogéographique!A:A,2,1),"P")</f>
        <v>P</v>
      </c>
      <c r="AP7489" s="4" t="s">
        <v>376</v>
      </c>
      <c r="AR7489" s="4" t="s">
        <v>377</v>
      </c>
    </row>
    <row r="7490" spans="1:44">
      <c r="A7490" s="4" t="s">
        <v>5</v>
      </c>
      <c r="B7490" s="4">
        <v>862457</v>
      </c>
      <c r="C7490" s="4">
        <v>6484</v>
      </c>
      <c r="D7490" s="5" t="s">
        <v>10316</v>
      </c>
      <c r="E7490" s="6" t="str">
        <f>HYPERLINK("https://inpn.mnhn.fr/espece/cd_nom/862457","Delitschia gigaspora Cain, 1934")</f>
        <v>Delitschia gigaspora Cain, 1934</v>
      </c>
      <c r="AH7490" s="4" t="str">
        <f>HYPERLINK("#Statut_biogéographique!A"&amp;_xlfn.XMATCH("P",Statut_biogéographique!A:A,2,1),"P")</f>
        <v>P</v>
      </c>
      <c r="AP7490" s="4" t="s">
        <v>376</v>
      </c>
      <c r="AR7490" s="4" t="s">
        <v>377</v>
      </c>
    </row>
    <row r="7491" spans="1:44">
      <c r="A7491" s="4" t="s">
        <v>5</v>
      </c>
      <c r="B7491" s="4">
        <v>862459</v>
      </c>
      <c r="C7491" s="4">
        <v>4158</v>
      </c>
      <c r="D7491" s="5" t="s">
        <v>10317</v>
      </c>
      <c r="E7491" s="6" t="str">
        <f>HYPERLINK("https://inpn.mnhn.fr/espece/cd_nom/862459","Delitschia intonsa Luck-Allen, 1975")</f>
        <v>Delitschia intonsa Luck-Allen, 1975</v>
      </c>
      <c r="AH7491" s="4" t="str">
        <f>HYPERLINK("#Statut_biogéographique!A"&amp;_xlfn.XMATCH("P",Statut_biogéographique!A:A,2,1),"P")</f>
        <v>P</v>
      </c>
      <c r="AP7491" s="4" t="s">
        <v>376</v>
      </c>
      <c r="AR7491" s="4" t="s">
        <v>377</v>
      </c>
    </row>
    <row r="7492" spans="1:44" ht="30">
      <c r="A7492" s="4" t="s">
        <v>5</v>
      </c>
      <c r="B7492" s="4">
        <v>862472</v>
      </c>
      <c r="C7492" s="4">
        <v>2684</v>
      </c>
      <c r="D7492" s="5" t="s">
        <v>10318</v>
      </c>
      <c r="E7492" s="6" t="str">
        <f>HYPERLINK("https://inpn.mnhn.fr/espece/cd_nom/862472","Discina ancilis (Pers.) Sacc., 1889")</f>
        <v>Discina ancilis (Pers.) Sacc., 1889</v>
      </c>
      <c r="F7492" s="5" t="s">
        <v>9372</v>
      </c>
      <c r="V7492" s="7" t="str">
        <f>HYPERLINK("#Liste_rouge!A"&amp;_xlfn.XMATCH("LC",Liste_rouge!A:A,2,1),"LC")</f>
        <v>LC</v>
      </c>
      <c r="AH7492" s="4" t="str">
        <f>HYPERLINK("#Statut_biogéographique!A"&amp;_xlfn.XMATCH("P",Statut_biogéographique!A:A,2,1),"P")</f>
        <v>P</v>
      </c>
      <c r="AP7492" s="4" t="s">
        <v>376</v>
      </c>
      <c r="AR7492" s="4" t="s">
        <v>377</v>
      </c>
    </row>
    <row r="7493" spans="1:44" ht="30">
      <c r="A7493" s="4" t="s">
        <v>5</v>
      </c>
      <c r="B7493" s="4">
        <v>862498</v>
      </c>
      <c r="C7493" s="4">
        <v>3867</v>
      </c>
      <c r="D7493" s="5" t="s">
        <v>10319</v>
      </c>
      <c r="E7493" s="6" t="str">
        <f>HYPERLINK("https://inpn.mnhn.fr/espece/cd_nom/862498","Lentomitella cirrhosa (Pers.) Réblová, 2006")</f>
        <v>Lentomitella cirrhosa (Pers.) Réblová, 2006</v>
      </c>
      <c r="AH7493" s="4" t="str">
        <f>HYPERLINK("#Statut_biogéographique!A"&amp;_xlfn.XMATCH("P",Statut_biogéographique!A:A,2,1),"P")</f>
        <v>P</v>
      </c>
      <c r="AP7493" s="4" t="s">
        <v>376</v>
      </c>
      <c r="AR7493" s="4" t="s">
        <v>377</v>
      </c>
    </row>
    <row r="7494" spans="1:44" ht="30">
      <c r="A7494" s="4" t="s">
        <v>5</v>
      </c>
      <c r="B7494" s="4">
        <v>862520</v>
      </c>
      <c r="D7494" s="5" t="s">
        <v>10320</v>
      </c>
      <c r="E7494" s="6" t="str">
        <f>HYPERLINK("https://inpn.mnhn.fr/espece/cd_nom/862520","Hysterium acuminatum Fr., 1820")</f>
        <v>Hysterium acuminatum Fr., 1820</v>
      </c>
      <c r="AH7494" s="4" t="str">
        <f>HYPERLINK("#Statut_biogéographique!A"&amp;_xlfn.XMATCH("P",Statut_biogéographique!A:A,2,1),"P")</f>
        <v>P</v>
      </c>
      <c r="AP7494" s="4" t="s">
        <v>376</v>
      </c>
      <c r="AR7494" s="4" t="s">
        <v>377</v>
      </c>
    </row>
    <row r="7495" spans="1:44" ht="30">
      <c r="A7495" s="4" t="s">
        <v>5</v>
      </c>
      <c r="B7495" s="4">
        <v>862532</v>
      </c>
      <c r="C7495" s="4">
        <v>1167</v>
      </c>
      <c r="D7495" s="5" t="s">
        <v>10321</v>
      </c>
      <c r="E7495" s="6" t="str">
        <f>HYPERLINK("https://inpn.mnhn.fr/espece/cd_nom/862532","Hysterobrevium mori (Schwein.) E.Boehm &amp; C.L.Schoch, 2009")</f>
        <v>Hysterobrevium mori (Schwein.) E.Boehm &amp; C.L.Schoch, 2009</v>
      </c>
      <c r="AH7495" s="4" t="str">
        <f>HYPERLINK("#Statut_biogéographique!A"&amp;_xlfn.XMATCH("P",Statut_biogéographique!A:A,2,1),"P")</f>
        <v>P</v>
      </c>
      <c r="AP7495" s="4" t="s">
        <v>376</v>
      </c>
      <c r="AR7495" s="4" t="s">
        <v>377</v>
      </c>
    </row>
    <row r="7496" spans="1:44" ht="30">
      <c r="A7496" s="4" t="s">
        <v>5</v>
      </c>
      <c r="B7496" s="4">
        <v>862533</v>
      </c>
      <c r="C7496" s="4">
        <v>6896</v>
      </c>
      <c r="D7496" s="5" t="s">
        <v>10322</v>
      </c>
      <c r="E7496" s="6" t="str">
        <f>HYPERLINK("https://inpn.mnhn.fr/espece/cd_nom/862533","Hysterobrevium smilacis (Schwein.) E.Boehm &amp; C.L.Schoch, 2009")</f>
        <v>Hysterobrevium smilacis (Schwein.) E.Boehm &amp; C.L.Schoch, 2009</v>
      </c>
      <c r="AH7496" s="4" t="str">
        <f>HYPERLINK("#Statut_biogéographique!A"&amp;_xlfn.XMATCH("P",Statut_biogéographique!A:A,2,1),"P")</f>
        <v>P</v>
      </c>
      <c r="AP7496" s="4" t="s">
        <v>376</v>
      </c>
      <c r="AR7496" s="4" t="s">
        <v>377</v>
      </c>
    </row>
    <row r="7497" spans="1:44" ht="30">
      <c r="A7497" s="4" t="s">
        <v>5</v>
      </c>
      <c r="B7497" s="4">
        <v>862563</v>
      </c>
      <c r="C7497" s="4">
        <v>6214</v>
      </c>
      <c r="D7497" s="5" t="s">
        <v>10323</v>
      </c>
      <c r="E7497" s="6" t="str">
        <f>HYPERLINK("https://inpn.mnhn.fr/espece/cd_nom/862563","Cladobotryum mycophilum (Oudem.) W.Gams &amp; Hooz., 1970")</f>
        <v>Cladobotryum mycophilum (Oudem.) W.Gams &amp; Hooz., 1970</v>
      </c>
      <c r="AH7497" s="4" t="str">
        <f>HYPERLINK("#Statut_biogéographique!A"&amp;_xlfn.XMATCH("P",Statut_biogéographique!A:A,2,1),"P")</f>
        <v>P</v>
      </c>
      <c r="AP7497" s="4" t="s">
        <v>376</v>
      </c>
      <c r="AR7497" s="4" t="s">
        <v>377</v>
      </c>
    </row>
    <row r="7498" spans="1:44">
      <c r="A7498" s="4" t="s">
        <v>5</v>
      </c>
      <c r="B7498" s="4">
        <v>862573</v>
      </c>
      <c r="C7498" s="4">
        <v>6893</v>
      </c>
      <c r="D7498" s="5" t="s">
        <v>10324</v>
      </c>
      <c r="E7498" s="6" t="str">
        <f>HYPERLINK("https://inpn.mnhn.fr/espece/cd_nom/862573","Dothidea berberidis De Not., 1841")</f>
        <v>Dothidea berberidis De Not., 1841</v>
      </c>
      <c r="AH7498" s="4" t="str">
        <f>HYPERLINK("#Statut_biogéographique!A"&amp;_xlfn.XMATCH("P",Statut_biogéographique!A:A,2,1),"P")</f>
        <v>P</v>
      </c>
      <c r="AP7498" s="4" t="s">
        <v>376</v>
      </c>
      <c r="AR7498" s="4" t="s">
        <v>377</v>
      </c>
    </row>
    <row r="7499" spans="1:44">
      <c r="A7499" s="4" t="s">
        <v>5</v>
      </c>
      <c r="B7499" s="4">
        <v>862589</v>
      </c>
      <c r="C7499" s="4">
        <v>3300</v>
      </c>
      <c r="D7499" s="5" t="s">
        <v>10325</v>
      </c>
      <c r="E7499" s="6" t="str">
        <f>HYPERLINK("https://inpn.mnhn.fr/espece/cd_nom/862589","Fenestella phaeospora Sacc., 1877")</f>
        <v>Fenestella phaeospora Sacc., 1877</v>
      </c>
      <c r="AH7499" s="4" t="str">
        <f>HYPERLINK("#Statut_biogéographique!A"&amp;_xlfn.XMATCH("P",Statut_biogéographique!A:A,2,1),"P")</f>
        <v>P</v>
      </c>
      <c r="AP7499" s="4" t="s">
        <v>376</v>
      </c>
      <c r="AR7499" s="4" t="s">
        <v>377</v>
      </c>
    </row>
    <row r="7500" spans="1:44">
      <c r="A7500" s="4" t="s">
        <v>5</v>
      </c>
      <c r="B7500" s="4">
        <v>862636</v>
      </c>
      <c r="C7500" s="4">
        <v>6837</v>
      </c>
      <c r="D7500" s="5" t="s">
        <v>10326</v>
      </c>
      <c r="E7500" s="6" t="str">
        <f>HYPERLINK("https://inpn.mnhn.fr/espece/cd_nom/862636","Fusarium roseum Link, 1809")</f>
        <v>Fusarium roseum Link, 1809</v>
      </c>
      <c r="AH7500" s="4" t="str">
        <f>HYPERLINK("#Statut_biogéographique!A"&amp;_xlfn.XMATCH("P",Statut_biogéographique!A:A,2,1),"P")</f>
        <v>P</v>
      </c>
      <c r="AP7500" s="4" t="s">
        <v>376</v>
      </c>
      <c r="AR7500" s="4" t="s">
        <v>377</v>
      </c>
    </row>
    <row r="7501" spans="1:44">
      <c r="A7501" s="4" t="s">
        <v>5</v>
      </c>
      <c r="B7501" s="4">
        <v>862661</v>
      </c>
      <c r="C7501" s="4">
        <v>6128</v>
      </c>
      <c r="D7501" s="5" t="s">
        <v>10327</v>
      </c>
      <c r="E7501" s="6" t="str">
        <f>HYPERLINK("https://inpn.mnhn.fr/espece/cd_nom/862661","Elaphomyces papillatus Vittad., 1831")</f>
        <v>Elaphomyces papillatus Vittad., 1831</v>
      </c>
      <c r="AH7501" s="4" t="str">
        <f>HYPERLINK("#Statut_biogéographique!A"&amp;_xlfn.XMATCH("P",Statut_biogéographique!A:A,2,1),"P")</f>
        <v>P</v>
      </c>
      <c r="AP7501" s="4" t="s">
        <v>376</v>
      </c>
      <c r="AR7501" s="4" t="s">
        <v>377</v>
      </c>
    </row>
    <row r="7502" spans="1:44">
      <c r="A7502" s="4" t="s">
        <v>5</v>
      </c>
      <c r="B7502" s="4">
        <v>862662</v>
      </c>
      <c r="C7502" s="4">
        <v>2480</v>
      </c>
      <c r="D7502" s="5" t="s">
        <v>10328</v>
      </c>
      <c r="E7502" s="6" t="str">
        <f>HYPERLINK("https://inpn.mnhn.fr/espece/cd_nom/862662","Elaphomyces reticulatus Vittad., 1842")</f>
        <v>Elaphomyces reticulatus Vittad., 1842</v>
      </c>
      <c r="F7502" s="5" t="s">
        <v>10329</v>
      </c>
      <c r="AH7502" s="4" t="str">
        <f>HYPERLINK("#Statut_biogéographique!A"&amp;_xlfn.XMATCH("P",Statut_biogéographique!A:A,2,1),"P")</f>
        <v>P</v>
      </c>
      <c r="AP7502" s="4" t="s">
        <v>376</v>
      </c>
      <c r="AR7502" s="4" t="s">
        <v>377</v>
      </c>
    </row>
    <row r="7503" spans="1:44">
      <c r="A7503" s="4" t="s">
        <v>5</v>
      </c>
      <c r="B7503" s="4">
        <v>862667</v>
      </c>
      <c r="C7503" s="4">
        <v>4499</v>
      </c>
      <c r="D7503" s="5" t="s">
        <v>10330</v>
      </c>
      <c r="E7503" s="6" t="str">
        <f>HYPERLINK("https://inpn.mnhn.fr/espece/cd_nom/862667","Hydropisphaera peziza (Tode) Dumort., 1822")</f>
        <v>Hydropisphaera peziza (Tode) Dumort., 1822</v>
      </c>
      <c r="AH7503" s="4" t="str">
        <f>HYPERLINK("#Statut_biogéographique!A"&amp;_xlfn.XMATCH("P",Statut_biogéographique!A:A,2,1),"P")</f>
        <v>P</v>
      </c>
      <c r="AP7503" s="4" t="s">
        <v>376</v>
      </c>
      <c r="AR7503" s="4" t="s">
        <v>377</v>
      </c>
    </row>
    <row r="7504" spans="1:44" ht="30">
      <c r="A7504" s="4" t="s">
        <v>5</v>
      </c>
      <c r="B7504" s="4">
        <v>862683</v>
      </c>
      <c r="C7504" s="4">
        <v>4738</v>
      </c>
      <c r="D7504" s="5" t="s">
        <v>10331</v>
      </c>
      <c r="E7504" s="6" t="str">
        <f>HYPERLINK("https://inpn.mnhn.fr/espece/cd_nom/862683","Protocrea pallida (Ellis &amp; Everh.) Jaklitsch, K.Põldmaa &amp; Samuels, 2008")</f>
        <v>Protocrea pallida (Ellis &amp; Everh.) Jaklitsch, K.Põldmaa &amp; Samuels, 2008</v>
      </c>
      <c r="F7504" s="5" t="s">
        <v>10332</v>
      </c>
      <c r="AH7504" s="4" t="str">
        <f>HYPERLINK("#Statut_biogéographique!A"&amp;_xlfn.XMATCH("P",Statut_biogéographique!A:A,2,1),"P")</f>
        <v>P</v>
      </c>
      <c r="AP7504" s="4" t="s">
        <v>376</v>
      </c>
      <c r="AR7504" s="4" t="s">
        <v>377</v>
      </c>
    </row>
    <row r="7505" spans="1:44" ht="30">
      <c r="A7505" s="4" t="s">
        <v>5</v>
      </c>
      <c r="B7505" s="4">
        <v>862788</v>
      </c>
      <c r="D7505" s="5" t="s">
        <v>10333</v>
      </c>
      <c r="E7505" s="6" t="str">
        <f>HYPERLINK("https://inpn.mnhn.fr/espece/cd_nom/862788","Neonectria coccinea (Pers.) Rossman &amp; Samuels, 1999")</f>
        <v>Neonectria coccinea (Pers.) Rossman &amp; Samuels, 1999</v>
      </c>
      <c r="V7505" s="7" t="str">
        <f>HYPERLINK("#Liste_rouge!A"&amp;_xlfn.XMATCH("LC",Liste_rouge!A:A,2,1),"LC")</f>
        <v>LC</v>
      </c>
      <c r="AH7505" s="4" t="str">
        <f>HYPERLINK("#Statut_biogéographique!A"&amp;_xlfn.XMATCH("P",Statut_biogéographique!A:A,2,1),"P")</f>
        <v>P</v>
      </c>
      <c r="AP7505" s="4" t="s">
        <v>376</v>
      </c>
      <c r="AR7505" s="4" t="s">
        <v>377</v>
      </c>
    </row>
    <row r="7506" spans="1:44">
      <c r="A7506" s="4" t="s">
        <v>5</v>
      </c>
      <c r="B7506" s="4">
        <v>862812</v>
      </c>
      <c r="C7506" s="4">
        <v>5774</v>
      </c>
      <c r="D7506" s="5" t="s">
        <v>10334</v>
      </c>
      <c r="E7506" s="6" t="str">
        <f>HYPERLINK("https://inpn.mnhn.fr/espece/cd_nom/862812","Venturia fraxini Aderh., 1897")</f>
        <v>Venturia fraxini Aderh., 1897</v>
      </c>
      <c r="AH7506" s="4" t="str">
        <f>HYPERLINK("#Statut_biogéographique!A"&amp;_xlfn.XMATCH("P",Statut_biogéographique!A:A,2,1),"P")</f>
        <v>P</v>
      </c>
      <c r="AP7506" s="4" t="s">
        <v>376</v>
      </c>
      <c r="AR7506" s="4" t="s">
        <v>377</v>
      </c>
    </row>
    <row r="7507" spans="1:44" ht="30">
      <c r="A7507" s="4" t="s">
        <v>5</v>
      </c>
      <c r="B7507" s="4">
        <v>862972</v>
      </c>
      <c r="C7507" s="4">
        <v>4442</v>
      </c>
      <c r="D7507" s="5" t="s">
        <v>10335</v>
      </c>
      <c r="E7507" s="6" t="str">
        <f>HYPERLINK("https://inpn.mnhn.fr/espece/cd_nom/862972","Sphaerostilbella broomeiana (Tul. &amp; C. Tul.) K. Pöldmaa")</f>
        <v>Sphaerostilbella broomeiana (Tul. &amp; C. Tul.) K. Pöldmaa</v>
      </c>
      <c r="AH7507" s="4" t="str">
        <f>HYPERLINK("#Statut_biogéographique!A"&amp;_xlfn.XMATCH("P",Statut_biogéographique!A:A,2,1),"P")</f>
        <v>P</v>
      </c>
      <c r="AP7507" s="4" t="s">
        <v>376</v>
      </c>
      <c r="AR7507" s="4" t="s">
        <v>377</v>
      </c>
    </row>
    <row r="7508" spans="1:44" ht="30">
      <c r="A7508" s="4" t="s">
        <v>5</v>
      </c>
      <c r="B7508" s="4">
        <v>862981</v>
      </c>
      <c r="C7508" s="4">
        <v>4084</v>
      </c>
      <c r="D7508" s="5" t="s">
        <v>10336</v>
      </c>
      <c r="E7508" s="6" t="str">
        <f>HYPERLINK("https://inpn.mnhn.fr/espece/cd_nom/862981","Sporophagomyces chrysostomus (Berk. &amp; Broome) K.Põldmaa &amp; Samuels, 1999")</f>
        <v>Sporophagomyces chrysostomus (Berk. &amp; Broome) K.Põldmaa &amp; Samuels, 1999</v>
      </c>
      <c r="AH7508" s="4" t="str">
        <f>HYPERLINK("#Statut_biogéographique!A"&amp;_xlfn.XMATCH("P",Statut_biogéographique!A:A,2,1),"P")</f>
        <v>P</v>
      </c>
      <c r="AP7508" s="4" t="s">
        <v>376</v>
      </c>
      <c r="AR7508" s="4" t="s">
        <v>377</v>
      </c>
    </row>
    <row r="7509" spans="1:44">
      <c r="A7509" s="4" t="s">
        <v>5</v>
      </c>
      <c r="B7509" s="4">
        <v>862982</v>
      </c>
      <c r="C7509" s="4">
        <v>2707</v>
      </c>
      <c r="D7509" s="5" t="s">
        <v>10337</v>
      </c>
      <c r="E7509" s="6" t="str">
        <f>HYPERLINK("https://inpn.mnhn.fr/espece/cd_nom/862982","Psiloglonium lineare (Fr.) Petr., 1923")</f>
        <v>Psiloglonium lineare (Fr.) Petr., 1923</v>
      </c>
      <c r="AH7509" s="4" t="str">
        <f>HYPERLINK("#Statut_biogéographique!A"&amp;_xlfn.XMATCH("P",Statut_biogéographique!A:A,2,1),"P")</f>
        <v>P</v>
      </c>
      <c r="AP7509" s="4" t="s">
        <v>376</v>
      </c>
      <c r="AR7509" s="4" t="s">
        <v>377</v>
      </c>
    </row>
    <row r="7510" spans="1:44" ht="30">
      <c r="A7510" s="4" t="s">
        <v>5</v>
      </c>
      <c r="B7510" s="4">
        <v>864098</v>
      </c>
      <c r="C7510" s="4">
        <v>5932</v>
      </c>
      <c r="D7510" s="5" t="s">
        <v>10338</v>
      </c>
      <c r="E7510" s="6" t="str">
        <f>HYPERLINK("https://inpn.mnhn.fr/espece/cd_nom/864098","Elaphomyces quercicola Ławryn., A.Paz &amp; Lavoise, 2017")</f>
        <v>Elaphomyces quercicola Ławryn., A.Paz &amp; Lavoise, 2017</v>
      </c>
      <c r="AH7510" s="4" t="str">
        <f>HYPERLINK("#Statut_biogéographique!A"&amp;_xlfn.XMATCH("P",Statut_biogéographique!A:A,2,1),"P")</f>
        <v>P</v>
      </c>
      <c r="AP7510" s="4" t="s">
        <v>376</v>
      </c>
      <c r="AR7510" s="4" t="s">
        <v>377</v>
      </c>
    </row>
    <row r="7511" spans="1:44">
      <c r="A7511" s="4" t="s">
        <v>5</v>
      </c>
      <c r="B7511" s="4">
        <v>865464</v>
      </c>
      <c r="C7511" s="4">
        <v>1244</v>
      </c>
      <c r="D7511" s="5" t="s">
        <v>10339</v>
      </c>
      <c r="E7511" s="6" t="str">
        <f>HYPERLINK("https://inpn.mnhn.fr/espece/cd_nom/865464","Ampelomyces quisqualis Ces., 1852")</f>
        <v>Ampelomyces quisqualis Ces., 1852</v>
      </c>
      <c r="AH7511" s="4" t="str">
        <f>HYPERLINK("#Statut_biogéographique!A"&amp;_xlfn.XMATCH("P",Statut_biogéographique!A:A,2,1),"P")</f>
        <v>P</v>
      </c>
      <c r="AP7511" s="4" t="s">
        <v>376</v>
      </c>
      <c r="AR7511" s="4" t="s">
        <v>377</v>
      </c>
    </row>
    <row r="7512" spans="1:44">
      <c r="A7512" s="4" t="s">
        <v>5</v>
      </c>
      <c r="B7512" s="4">
        <v>865470</v>
      </c>
      <c r="C7512" s="4">
        <v>6518</v>
      </c>
      <c r="D7512" s="5" t="s">
        <v>10340</v>
      </c>
      <c r="E7512" s="6" t="str">
        <f>HYPERLINK("https://inpn.mnhn.fr/espece/cd_nom/865470","Apiosporopsis carpinea (Fr.) Mariani, 1911")</f>
        <v>Apiosporopsis carpinea (Fr.) Mariani, 1911</v>
      </c>
      <c r="AH7512" s="4" t="str">
        <f>HYPERLINK("#Statut_biogéographique!A"&amp;_xlfn.XMATCH("P",Statut_biogéographique!A:A,2,1),"P")</f>
        <v>P</v>
      </c>
      <c r="AP7512" s="4" t="s">
        <v>376</v>
      </c>
      <c r="AR7512" s="4" t="s">
        <v>377</v>
      </c>
    </row>
    <row r="7513" spans="1:44" ht="30">
      <c r="A7513" s="4" t="s">
        <v>5</v>
      </c>
      <c r="B7513" s="4">
        <v>865535</v>
      </c>
      <c r="C7513" s="4">
        <v>4668</v>
      </c>
      <c r="D7513" s="5" t="s">
        <v>10341</v>
      </c>
      <c r="E7513" s="6" t="str">
        <f>HYPERLINK("https://inpn.mnhn.fr/espece/cd_nom/865535","Ascosphaera apis (Maaßen ex Claussen) L.S.Olive &amp; Spiltoir, 1955")</f>
        <v>Ascosphaera apis (Maaßen ex Claussen) L.S.Olive &amp; Spiltoir, 1955</v>
      </c>
      <c r="AH7513" s="4" t="str">
        <f>HYPERLINK("#Statut_biogéographique!A"&amp;_xlfn.XMATCH("P",Statut_biogéographique!A:A,2,1),"P")</f>
        <v>P</v>
      </c>
      <c r="AP7513" s="4" t="s">
        <v>376</v>
      </c>
      <c r="AR7513" s="4" t="s">
        <v>377</v>
      </c>
    </row>
    <row r="7514" spans="1:44">
      <c r="A7514" s="4" t="s">
        <v>5</v>
      </c>
      <c r="B7514" s="4">
        <v>865543</v>
      </c>
      <c r="C7514" s="4">
        <v>6854</v>
      </c>
      <c r="D7514" s="5" t="s">
        <v>10342</v>
      </c>
      <c r="E7514" s="6" t="str">
        <f>HYPERLINK("https://inpn.mnhn.fr/espece/cd_nom/865543","Aspergillus flavus Link, 1809")</f>
        <v>Aspergillus flavus Link, 1809</v>
      </c>
      <c r="AH7514" s="4" t="str">
        <f>HYPERLINK("#Statut_biogéographique!A"&amp;_xlfn.XMATCH("P",Statut_biogéographique!A:A,2,1),"P")</f>
        <v>P</v>
      </c>
      <c r="AP7514" s="4" t="s">
        <v>376</v>
      </c>
      <c r="AR7514" s="4" t="s">
        <v>377</v>
      </c>
    </row>
    <row r="7515" spans="1:44" ht="30">
      <c r="A7515" s="4" t="s">
        <v>5</v>
      </c>
      <c r="B7515" s="4">
        <v>865586</v>
      </c>
      <c r="C7515" s="4">
        <v>6007</v>
      </c>
      <c r="D7515" s="5" t="s">
        <v>10343</v>
      </c>
      <c r="E7515" s="6" t="str">
        <f>HYPERLINK("https://inpn.mnhn.fr/espece/cd_nom/865586","Asteroma inconspicuum (Cavara) B.Sutton, 1980")</f>
        <v>Asteroma inconspicuum (Cavara) B.Sutton, 1980</v>
      </c>
      <c r="AH7515" s="4" t="str">
        <f>HYPERLINK("#Statut_biogéographique!A"&amp;_xlfn.XMATCH("P",Statut_biogéographique!A:A,2,1),"P")</f>
        <v>P</v>
      </c>
      <c r="AP7515" s="4" t="s">
        <v>376</v>
      </c>
      <c r="AR7515" s="4" t="s">
        <v>377</v>
      </c>
    </row>
    <row r="7516" spans="1:44">
      <c r="A7516" s="4" t="s">
        <v>5</v>
      </c>
      <c r="B7516" s="4">
        <v>865601</v>
      </c>
      <c r="C7516" s="4">
        <v>4652</v>
      </c>
      <c r="D7516" s="5" t="s">
        <v>10344</v>
      </c>
      <c r="E7516" s="6" t="str">
        <f>HYPERLINK("https://inpn.mnhn.fr/espece/cd_nom/865601","Asteroma prunellae Purton, 1825")</f>
        <v>Asteroma prunellae Purton, 1825</v>
      </c>
      <c r="AH7516" s="4" t="str">
        <f>HYPERLINK("#Statut_biogéographique!A"&amp;_xlfn.XMATCH("P",Statut_biogéographique!A:A,2,1),"P")</f>
        <v>P</v>
      </c>
      <c r="AP7516" s="4" t="s">
        <v>376</v>
      </c>
      <c r="AR7516" s="4" t="s">
        <v>377</v>
      </c>
    </row>
    <row r="7517" spans="1:44" ht="30">
      <c r="A7517" s="4" t="s">
        <v>5</v>
      </c>
      <c r="B7517" s="4">
        <v>865627</v>
      </c>
      <c r="C7517" s="4">
        <v>4842</v>
      </c>
      <c r="D7517" s="5" t="s">
        <v>10345</v>
      </c>
      <c r="E7517" s="6" t="str">
        <f>HYPERLINK("https://inpn.mnhn.fr/espece/cd_nom/865627","Asterosporium strobilorum Roum. &amp; Fautrey, 1892")</f>
        <v>Asterosporium strobilorum Roum. &amp; Fautrey, 1892</v>
      </c>
      <c r="AH7517" s="4" t="str">
        <f>HYPERLINK("#Statut_biogéographique!A"&amp;_xlfn.XMATCH("P",Statut_biogéographique!A:A,2,1),"P")</f>
        <v>P</v>
      </c>
      <c r="AP7517" s="4" t="s">
        <v>376</v>
      </c>
      <c r="AR7517" s="4" t="s">
        <v>377</v>
      </c>
    </row>
    <row r="7518" spans="1:44">
      <c r="A7518" s="4" t="s">
        <v>5</v>
      </c>
      <c r="B7518" s="4">
        <v>865628</v>
      </c>
      <c r="C7518" s="4">
        <v>5961</v>
      </c>
      <c r="D7518" s="5" t="s">
        <v>10346</v>
      </c>
      <c r="E7518" s="6" t="str">
        <f>HYPERLINK("https://inpn.mnhn.fr/espece/cd_nom/865628","Asterostomella veronicae G.Arnaud, 1918")</f>
        <v>Asterostomella veronicae G.Arnaud, 1918</v>
      </c>
      <c r="AH7518" s="4" t="str">
        <f>HYPERLINK("#Statut_biogéographique!A"&amp;_xlfn.XMATCH("P",Statut_biogéographique!A:A,2,1),"P")</f>
        <v>P</v>
      </c>
      <c r="AP7518" s="4" t="s">
        <v>376</v>
      </c>
      <c r="AR7518" s="4" t="s">
        <v>377</v>
      </c>
    </row>
    <row r="7519" spans="1:44">
      <c r="A7519" s="4" t="s">
        <v>5</v>
      </c>
      <c r="B7519" s="4">
        <v>865665</v>
      </c>
      <c r="C7519" s="4">
        <v>6213</v>
      </c>
      <c r="D7519" s="5" t="s">
        <v>10347</v>
      </c>
      <c r="E7519" s="6" t="str">
        <f>HYPERLINK("https://inpn.mnhn.fr/espece/cd_nom/865665","Calcarisporium arbuscula Preuss, 1851")</f>
        <v>Calcarisporium arbuscula Preuss, 1851</v>
      </c>
      <c r="AH7519" s="4" t="str">
        <f>HYPERLINK("#Statut_biogéographique!A"&amp;_xlfn.XMATCH("P",Statut_biogéographique!A:A,2,1),"P")</f>
        <v>P</v>
      </c>
      <c r="AP7519" s="4" t="s">
        <v>376</v>
      </c>
      <c r="AR7519" s="4" t="s">
        <v>377</v>
      </c>
    </row>
    <row r="7520" spans="1:44" ht="30">
      <c r="A7520" s="4" t="s">
        <v>5</v>
      </c>
      <c r="B7520" s="4">
        <v>865717</v>
      </c>
      <c r="C7520" s="4">
        <v>5012</v>
      </c>
      <c r="D7520" s="5" t="s">
        <v>10348</v>
      </c>
      <c r="E7520" s="6" t="str">
        <f>HYPERLINK("https://inpn.mnhn.fr/espece/cd_nom/865717","Chaetomidium cephalothecoides (Malloch &amp; Benny) Arx, 1975")</f>
        <v>Chaetomidium cephalothecoides (Malloch &amp; Benny) Arx, 1975</v>
      </c>
      <c r="AH7520" s="4" t="str">
        <f>HYPERLINK("#Statut_biogéographique!A"&amp;_xlfn.XMATCH("P",Statut_biogéographique!A:A,2,1),"P")</f>
        <v>P</v>
      </c>
      <c r="AP7520" s="4" t="s">
        <v>376</v>
      </c>
      <c r="AR7520" s="4" t="s">
        <v>377</v>
      </c>
    </row>
    <row r="7521" spans="1:44">
      <c r="A7521" s="4" t="s">
        <v>5</v>
      </c>
      <c r="B7521" s="4">
        <v>865746</v>
      </c>
      <c r="C7521" s="4">
        <v>5011</v>
      </c>
      <c r="D7521" s="5" t="s">
        <v>10349</v>
      </c>
      <c r="E7521" s="6" t="str">
        <f>HYPERLINK("https://inpn.mnhn.fr/espece/cd_nom/865746","Chaetomium fusisporum G.Sm., 1961")</f>
        <v>Chaetomium fusisporum G.Sm., 1961</v>
      </c>
      <c r="AH7521" s="4" t="str">
        <f>HYPERLINK("#Statut_biogéographique!A"&amp;_xlfn.XMATCH("P",Statut_biogéographique!A:A,2,1),"P")</f>
        <v>P</v>
      </c>
      <c r="AP7521" s="4" t="s">
        <v>376</v>
      </c>
      <c r="AR7521" s="4" t="s">
        <v>377</v>
      </c>
    </row>
    <row r="7522" spans="1:44">
      <c r="A7522" s="4" t="s">
        <v>5</v>
      </c>
      <c r="B7522" s="4">
        <v>865888</v>
      </c>
      <c r="C7522" s="4">
        <v>1780</v>
      </c>
      <c r="D7522" s="5" t="s">
        <v>10350</v>
      </c>
      <c r="E7522" s="6" t="str">
        <f>HYPERLINK("https://inpn.mnhn.fr/espece/cd_nom/865888","Colletotrichum trichellum (Fr.) Duke, 1928")</f>
        <v>Colletotrichum trichellum (Fr.) Duke, 1928</v>
      </c>
      <c r="AH7522" s="4" t="str">
        <f>HYPERLINK("#Statut_biogéographique!A"&amp;_xlfn.XMATCH("P",Statut_biogéographique!A:A,2,1),"P")</f>
        <v>P</v>
      </c>
      <c r="AP7522" s="4" t="s">
        <v>376</v>
      </c>
      <c r="AR7522" s="4" t="s">
        <v>377</v>
      </c>
    </row>
    <row r="7523" spans="1:44">
      <c r="A7523" s="4" t="s">
        <v>5</v>
      </c>
      <c r="B7523" s="4">
        <v>865984</v>
      </c>
      <c r="C7523" s="4">
        <v>6302</v>
      </c>
      <c r="D7523" s="5" t="s">
        <v>10351</v>
      </c>
      <c r="E7523" s="6" t="str">
        <f>HYPERLINK("https://inpn.mnhn.fr/espece/cd_nom/865984","Davidiella carinthiaca (Jaap) Aptroot, 2006")</f>
        <v>Davidiella carinthiaca (Jaap) Aptroot, 2006</v>
      </c>
      <c r="AH7523" s="4" t="str">
        <f>HYPERLINK("#Statut_biogéographique!A"&amp;_xlfn.XMATCH("P",Statut_biogéographique!A:A,2,1),"P")</f>
        <v>P</v>
      </c>
      <c r="AP7523" s="4" t="s">
        <v>376</v>
      </c>
      <c r="AR7523" s="4" t="s">
        <v>377</v>
      </c>
    </row>
    <row r="7524" spans="1:44">
      <c r="A7524" s="4" t="s">
        <v>5</v>
      </c>
      <c r="B7524" s="4">
        <v>866024</v>
      </c>
      <c r="C7524" s="4">
        <v>4277</v>
      </c>
      <c r="D7524" s="5" t="s">
        <v>10352</v>
      </c>
      <c r="E7524" s="6" t="str">
        <f>HYPERLINK("https://inpn.mnhn.fr/espece/cd_nom/866024","Jugulospora rotula (Cooke) N.Lundq., 1972")</f>
        <v>Jugulospora rotula (Cooke) N.Lundq., 1972</v>
      </c>
      <c r="AH7524" s="4" t="str">
        <f>HYPERLINK("#Statut_biogéographique!A"&amp;_xlfn.XMATCH("P",Statut_biogéographique!A:A,2,1),"P")</f>
        <v>P</v>
      </c>
      <c r="AP7524" s="4" t="s">
        <v>376</v>
      </c>
      <c r="AR7524" s="4" t="s">
        <v>377</v>
      </c>
    </row>
    <row r="7525" spans="1:44" ht="30">
      <c r="A7525" s="4" t="s">
        <v>5</v>
      </c>
      <c r="B7525" s="4">
        <v>866115</v>
      </c>
      <c r="C7525" s="4">
        <v>3251</v>
      </c>
      <c r="D7525" s="5" t="s">
        <v>10353</v>
      </c>
      <c r="E7525" s="6" t="str">
        <f>HYPERLINK("https://inpn.mnhn.fr/espece/cd_nom/866115","Melanconis chrysostroma (Fr.) Tul. &amp; C.Tul., 1863")</f>
        <v>Melanconis chrysostroma (Fr.) Tul. &amp; C.Tul., 1863</v>
      </c>
      <c r="AH7525" s="4" t="str">
        <f>HYPERLINK("#Statut_biogéographique!A"&amp;_xlfn.XMATCH("P",Statut_biogéographique!A:A,2,1),"P")</f>
        <v>P</v>
      </c>
      <c r="AP7525" s="4" t="s">
        <v>376</v>
      </c>
      <c r="AR7525" s="4" t="s">
        <v>377</v>
      </c>
    </row>
    <row r="7526" spans="1:44" ht="30">
      <c r="A7526" s="4" t="s">
        <v>5</v>
      </c>
      <c r="B7526" s="4">
        <v>866118</v>
      </c>
      <c r="C7526" s="4">
        <v>4103</v>
      </c>
      <c r="D7526" s="5" t="s">
        <v>10354</v>
      </c>
      <c r="E7526" s="6" t="str">
        <f>HYPERLINK("https://inpn.mnhn.fr/espece/cd_nom/866118","Immersiella caudata (Sacc.) A.N.Mill. &amp; Huhndorf, 2004")</f>
        <v>Immersiella caudata (Sacc.) A.N.Mill. &amp; Huhndorf, 2004</v>
      </c>
      <c r="AH7526" s="4" t="str">
        <f>HYPERLINK("#Statut_biogéographique!A"&amp;_xlfn.XMATCH("P",Statut_biogéographique!A:A,2,1),"P")</f>
        <v>P</v>
      </c>
      <c r="AP7526" s="4" t="s">
        <v>376</v>
      </c>
      <c r="AR7526" s="4" t="s">
        <v>377</v>
      </c>
    </row>
    <row r="7527" spans="1:44" ht="30">
      <c r="A7527" s="4" t="s">
        <v>5</v>
      </c>
      <c r="B7527" s="4">
        <v>866125</v>
      </c>
      <c r="C7527" s="4">
        <v>3979</v>
      </c>
      <c r="D7527" s="5" t="s">
        <v>10355</v>
      </c>
      <c r="E7527" s="6" t="str">
        <f>HYPERLINK("https://inpn.mnhn.fr/espece/cd_nom/866125","Lojkania separans (Ellis &amp; Everh.) M.E.Barr, 1984")</f>
        <v>Lojkania separans (Ellis &amp; Everh.) M.E.Barr, 1984</v>
      </c>
      <c r="AH7527" s="4" t="str">
        <f>HYPERLINK("#Statut_biogéographique!A"&amp;_xlfn.XMATCH("P",Statut_biogéographique!A:A,2,1),"P")</f>
        <v>P</v>
      </c>
      <c r="AP7527" s="4" t="s">
        <v>376</v>
      </c>
      <c r="AR7527" s="4" t="s">
        <v>377</v>
      </c>
    </row>
    <row r="7528" spans="1:44">
      <c r="A7528" s="4" t="s">
        <v>5</v>
      </c>
      <c r="B7528" s="4">
        <v>866153</v>
      </c>
      <c r="C7528" s="4">
        <v>5031</v>
      </c>
      <c r="D7528" s="5" t="s">
        <v>10356</v>
      </c>
      <c r="E7528" s="6" t="str">
        <f>HYPERLINK("https://inpn.mnhn.fr/espece/cd_nom/866153","Hypocopra antarctica (Speg.) Rehm, 1899")</f>
        <v>Hypocopra antarctica (Speg.) Rehm, 1899</v>
      </c>
      <c r="AH7528" s="4" t="str">
        <f>HYPERLINK("#Statut_biogéographique!A"&amp;_xlfn.XMATCH("P",Statut_biogéographique!A:A,2,1),"P")</f>
        <v>P</v>
      </c>
      <c r="AP7528" s="4" t="s">
        <v>376</v>
      </c>
      <c r="AR7528" s="4" t="s">
        <v>377</v>
      </c>
    </row>
    <row r="7529" spans="1:44">
      <c r="A7529" s="4" t="s">
        <v>5</v>
      </c>
      <c r="B7529" s="4">
        <v>866160</v>
      </c>
      <c r="C7529" s="4">
        <v>391</v>
      </c>
      <c r="D7529" s="5" t="s">
        <v>10357</v>
      </c>
      <c r="E7529" s="6" t="str">
        <f>HYPERLINK("https://inpn.mnhn.fr/espece/cd_nom/866160","Hypocopra festucacea J.C.Krug &amp; Cain, 1974")</f>
        <v>Hypocopra festucacea J.C.Krug &amp; Cain, 1974</v>
      </c>
      <c r="AH7529" s="4" t="str">
        <f>HYPERLINK("#Statut_biogéographique!A"&amp;_xlfn.XMATCH("P",Statut_biogéographique!A:A,2,1),"P")</f>
        <v>P</v>
      </c>
      <c r="AP7529" s="4" t="s">
        <v>376</v>
      </c>
      <c r="AR7529" s="4" t="s">
        <v>377</v>
      </c>
    </row>
    <row r="7530" spans="1:44">
      <c r="A7530" s="4" t="s">
        <v>5</v>
      </c>
      <c r="B7530" s="4">
        <v>866163</v>
      </c>
      <c r="C7530" s="4">
        <v>4279</v>
      </c>
      <c r="D7530" s="5" t="s">
        <v>10358</v>
      </c>
      <c r="E7530" s="6" t="str">
        <f>HYPERLINK("https://inpn.mnhn.fr/espece/cd_nom/866163","Hypocopra merdaria (Fr.) J.Kickx f., 1867")</f>
        <v>Hypocopra merdaria (Fr.) J.Kickx f., 1867</v>
      </c>
      <c r="AH7530" s="4" t="str">
        <f>HYPERLINK("#Statut_biogéographique!A"&amp;_xlfn.XMATCH("P",Statut_biogéographique!A:A,2,1),"P")</f>
        <v>P</v>
      </c>
      <c r="AP7530" s="4" t="s">
        <v>376</v>
      </c>
      <c r="AR7530" s="4" t="s">
        <v>377</v>
      </c>
    </row>
    <row r="7531" spans="1:44">
      <c r="A7531" s="4" t="s">
        <v>5</v>
      </c>
      <c r="B7531" s="4">
        <v>866164</v>
      </c>
      <c r="C7531" s="4">
        <v>4459</v>
      </c>
      <c r="D7531" s="5" t="s">
        <v>10359</v>
      </c>
      <c r="E7531" s="6" t="str">
        <f>HYPERLINK("https://inpn.mnhn.fr/espece/cd_nom/866164","Hypocopra ornithophila Speg., 1887")</f>
        <v>Hypocopra ornithophila Speg., 1887</v>
      </c>
      <c r="AH7531" s="4" t="str">
        <f>HYPERLINK("#Statut_biogéographique!A"&amp;_xlfn.XMATCH("P",Statut_biogéographique!A:A,2,1),"P")</f>
        <v>P</v>
      </c>
      <c r="AP7531" s="4" t="s">
        <v>376</v>
      </c>
      <c r="AR7531" s="4" t="s">
        <v>377</v>
      </c>
    </row>
    <row r="7532" spans="1:44">
      <c r="A7532" s="4" t="s">
        <v>5</v>
      </c>
      <c r="B7532" s="4">
        <v>866165</v>
      </c>
      <c r="C7532" s="4">
        <v>4278</v>
      </c>
      <c r="D7532" s="5" t="s">
        <v>10360</v>
      </c>
      <c r="E7532" s="6" t="str">
        <f>HYPERLINK("https://inpn.mnhn.fr/espece/cd_nom/866165","Hypocopra parvula Griffiths, 1901")</f>
        <v>Hypocopra parvula Griffiths, 1901</v>
      </c>
      <c r="AH7532" s="4" t="str">
        <f>HYPERLINK("#Statut_biogéographique!A"&amp;_xlfn.XMATCH("P",Statut_biogéographique!A:A,2,1),"P")</f>
        <v>P</v>
      </c>
      <c r="AP7532" s="4" t="s">
        <v>376</v>
      </c>
      <c r="AR7532" s="4" t="s">
        <v>377</v>
      </c>
    </row>
    <row r="7533" spans="1:44">
      <c r="A7533" s="4" t="s">
        <v>5</v>
      </c>
      <c r="B7533" s="4">
        <v>866208</v>
      </c>
      <c r="C7533" s="4">
        <v>5295</v>
      </c>
      <c r="D7533" s="5" t="s">
        <v>10361</v>
      </c>
      <c r="E7533" s="6" t="str">
        <f>HYPERLINK("https://inpn.mnhn.fr/espece/cd_nom/866208","Gnomoniella tubaeformis (Tode) Sacc., 1882")</f>
        <v>Gnomoniella tubaeformis (Tode) Sacc., 1882</v>
      </c>
      <c r="AH7533" s="4" t="str">
        <f>HYPERLINK("#Statut_biogéographique!A"&amp;_xlfn.XMATCH("P",Statut_biogéographique!A:A,2,1),"P")</f>
        <v>P</v>
      </c>
      <c r="AP7533" s="4" t="s">
        <v>376</v>
      </c>
      <c r="AR7533" s="4" t="s">
        <v>377</v>
      </c>
    </row>
    <row r="7534" spans="1:44">
      <c r="A7534" s="4" t="s">
        <v>5</v>
      </c>
      <c r="B7534" s="4">
        <v>866213</v>
      </c>
      <c r="C7534" s="4">
        <v>4265</v>
      </c>
      <c r="D7534" s="5" t="s">
        <v>10362</v>
      </c>
      <c r="E7534" s="6" t="str">
        <f>HYPERLINK("https://inpn.mnhn.fr/espece/cd_nom/866213","Hercospora tiliae (Pers.) Tul. &amp; C.Tul., 1863")</f>
        <v>Hercospora tiliae (Pers.) Tul. &amp; C.Tul., 1863</v>
      </c>
      <c r="AH7534" s="4" t="str">
        <f>HYPERLINK("#Statut_biogéographique!A"&amp;_xlfn.XMATCH("P",Statut_biogéographique!A:A,2,1),"P")</f>
        <v>P</v>
      </c>
      <c r="AP7534" s="4" t="s">
        <v>376</v>
      </c>
      <c r="AR7534" s="4" t="s">
        <v>377</v>
      </c>
    </row>
    <row r="7535" spans="1:44">
      <c r="A7535" s="4" t="s">
        <v>5</v>
      </c>
      <c r="B7535" s="4">
        <v>866246</v>
      </c>
      <c r="C7535" s="4">
        <v>6910</v>
      </c>
      <c r="D7535" s="5" t="s">
        <v>10363</v>
      </c>
      <c r="E7535" s="6" t="str">
        <f>HYPERLINK("https://inpn.mnhn.fr/espece/cd_nom/866246","Fracchiaea broomeana (Berk.) Petch, 1917")</f>
        <v>Fracchiaea broomeana (Berk.) Petch, 1917</v>
      </c>
      <c r="AH7535" s="4" t="str">
        <f>HYPERLINK("#Statut_biogéographique!A"&amp;_xlfn.XMATCH("P",Statut_biogéographique!A:A,2,1),"P")</f>
        <v>P</v>
      </c>
      <c r="AP7535" s="4" t="s">
        <v>376</v>
      </c>
      <c r="AR7535" s="4" t="s">
        <v>377</v>
      </c>
    </row>
    <row r="7536" spans="1:44" ht="30">
      <c r="A7536" s="4" t="s">
        <v>5</v>
      </c>
      <c r="B7536" s="4">
        <v>866263</v>
      </c>
      <c r="C7536" s="4">
        <v>4295</v>
      </c>
      <c r="D7536" s="5" t="s">
        <v>10364</v>
      </c>
      <c r="E7536" s="6" t="str">
        <f>HYPERLINK("https://inpn.mnhn.fr/espece/cd_nom/866263","Echinosphaeria canescens (Pers.) A.N.Mill. &amp; Huhndorf, 2004")</f>
        <v>Echinosphaeria canescens (Pers.) A.N.Mill. &amp; Huhndorf, 2004</v>
      </c>
      <c r="AH7536" s="4" t="str">
        <f>HYPERLINK("#Statut_biogéographique!A"&amp;_xlfn.XMATCH("P",Statut_biogéographique!A:A,2,1),"P")</f>
        <v>P</v>
      </c>
      <c r="AP7536" s="4" t="s">
        <v>376</v>
      </c>
      <c r="AR7536" s="4" t="s">
        <v>377</v>
      </c>
    </row>
    <row r="7537" spans="1:44" ht="30">
      <c r="A7537" s="4" t="s">
        <v>5</v>
      </c>
      <c r="B7537" s="4">
        <v>866271</v>
      </c>
      <c r="C7537" s="4">
        <v>6046</v>
      </c>
      <c r="D7537" s="5" t="s">
        <v>10365</v>
      </c>
      <c r="E7537" s="6" t="str">
        <f>HYPERLINK("https://inpn.mnhn.fr/espece/cd_nom/866271","Helicogonium orbiliarum Baral &amp; G.Marson, 1999")</f>
        <v>Helicogonium orbiliarum Baral &amp; G.Marson, 1999</v>
      </c>
      <c r="AH7537" s="4" t="str">
        <f>HYPERLINK("#Statut_biogéographique!A"&amp;_xlfn.XMATCH("P",Statut_biogéographique!A:A,2,1),"P")</f>
        <v>P</v>
      </c>
      <c r="AP7537" s="4" t="s">
        <v>376</v>
      </c>
      <c r="AR7537" s="4" t="s">
        <v>377</v>
      </c>
    </row>
    <row r="7538" spans="1:44">
      <c r="A7538" s="4" t="s">
        <v>5</v>
      </c>
      <c r="B7538" s="4">
        <v>866424</v>
      </c>
      <c r="C7538" s="4">
        <v>2559</v>
      </c>
      <c r="D7538" s="5" t="s">
        <v>10366</v>
      </c>
      <c r="E7538" s="6" t="str">
        <f>HYPERLINK("https://inpn.mnhn.fr/espece/cd_nom/866424","Phyllosticta hederae Sacc. &amp; Roum., 1882")</f>
        <v>Phyllosticta hederae Sacc. &amp; Roum., 1882</v>
      </c>
      <c r="AH7538" s="4" t="str">
        <f>HYPERLINK("#Statut_biogéographique!A"&amp;_xlfn.XMATCH("P",Statut_biogéographique!A:A,2,1),"P")</f>
        <v>P</v>
      </c>
      <c r="AP7538" s="4" t="s">
        <v>376</v>
      </c>
      <c r="AR7538" s="4" t="s">
        <v>377</v>
      </c>
    </row>
    <row r="7539" spans="1:44">
      <c r="A7539" s="4" t="s">
        <v>5</v>
      </c>
      <c r="B7539" s="4">
        <v>866511</v>
      </c>
      <c r="C7539" s="4">
        <v>2572</v>
      </c>
      <c r="D7539" s="5" t="s">
        <v>10367</v>
      </c>
      <c r="E7539" s="6" t="str">
        <f>HYPERLINK("https://inpn.mnhn.fr/espece/cd_nom/866511","Phyllosticta viciae (Lib.) Cooke, 1871")</f>
        <v>Phyllosticta viciae (Lib.) Cooke, 1871</v>
      </c>
      <c r="AH7539" s="4" t="str">
        <f>HYPERLINK("#Statut_biogéographique!A"&amp;_xlfn.XMATCH("P",Statut_biogéographique!A:A,2,1),"P")</f>
        <v>P</v>
      </c>
      <c r="AP7539" s="4" t="s">
        <v>376</v>
      </c>
      <c r="AR7539" s="4" t="s">
        <v>377</v>
      </c>
    </row>
    <row r="7540" spans="1:44">
      <c r="A7540" s="4" t="s">
        <v>5</v>
      </c>
      <c r="B7540" s="4">
        <v>866642</v>
      </c>
      <c r="C7540" s="4">
        <v>1114</v>
      </c>
      <c r="D7540" s="5" t="s">
        <v>10368</v>
      </c>
      <c r="E7540" s="6" t="str">
        <f>HYPERLINK("https://inpn.mnhn.fr/espece/cd_nom/866642","Asteroma DC., 1815")</f>
        <v>Asteroma DC., 1815</v>
      </c>
      <c r="AH7540" s="4" t="str">
        <f>HYPERLINK("#Statut_biogéographique!A"&amp;_xlfn.XMATCH("P",Statut_biogéographique!A:A,2,1),"P")</f>
        <v>P</v>
      </c>
      <c r="AP7540" s="4" t="s">
        <v>376</v>
      </c>
      <c r="AR7540" s="4" t="s">
        <v>377</v>
      </c>
    </row>
    <row r="7541" spans="1:44" ht="30">
      <c r="A7541" s="4" t="s">
        <v>5</v>
      </c>
      <c r="B7541" s="4">
        <v>866646</v>
      </c>
      <c r="C7541" s="4">
        <v>4276</v>
      </c>
      <c r="D7541" s="5" t="s">
        <v>10369</v>
      </c>
      <c r="E7541" s="6" t="str">
        <f>HYPERLINK("https://inpn.mnhn.fr/espece/cd_nom/866646","Neurospora calospora (Mouton) Dania García, Stchigel &amp; Guarro, 2004")</f>
        <v>Neurospora calospora (Mouton) Dania García, Stchigel &amp; Guarro, 2004</v>
      </c>
      <c r="AH7541" s="4" t="str">
        <f>HYPERLINK("#Statut_biogéographique!A"&amp;_xlfn.XMATCH("P",Statut_biogéographique!A:A,2,1),"P")</f>
        <v>P</v>
      </c>
      <c r="AP7541" s="4" t="s">
        <v>376</v>
      </c>
      <c r="AR7541" s="4" t="s">
        <v>377</v>
      </c>
    </row>
    <row r="7542" spans="1:44" ht="30">
      <c r="A7542" s="4" t="s">
        <v>5</v>
      </c>
      <c r="B7542" s="4">
        <v>866886</v>
      </c>
      <c r="D7542" s="5" t="s">
        <v>10370</v>
      </c>
      <c r="E7542" s="6" t="str">
        <f>HYPERLINK("https://inpn.mnhn.fr/espece/cd_nom/866886","Schizothecium tetrasporum (G.Winter) N.Lundq., 1972")</f>
        <v>Schizothecium tetrasporum (G.Winter) N.Lundq., 1972</v>
      </c>
      <c r="AH7542" s="4" t="str">
        <f>HYPERLINK("#Statut_biogéographique!A"&amp;_xlfn.XMATCH("P",Statut_biogéographique!A:A,2,1),"P")</f>
        <v>P</v>
      </c>
      <c r="AP7542" s="4" t="s">
        <v>376</v>
      </c>
      <c r="AR7542" s="4" t="s">
        <v>377</v>
      </c>
    </row>
    <row r="7543" spans="1:44">
      <c r="A7543" s="4" t="s">
        <v>5</v>
      </c>
      <c r="B7543" s="4">
        <v>867092</v>
      </c>
      <c r="C7543" s="4">
        <v>4270</v>
      </c>
      <c r="D7543" s="5" t="s">
        <v>10371</v>
      </c>
      <c r="E7543" s="6" t="str">
        <f>HYPERLINK("https://inpn.mnhn.fr/espece/cd_nom/867092","Coronophora gregaria Fuckel, 1870")</f>
        <v>Coronophora gregaria Fuckel, 1870</v>
      </c>
      <c r="AH7543" s="4" t="str">
        <f>HYPERLINK("#Statut_biogéographique!A"&amp;_xlfn.XMATCH("P",Statut_biogéographique!A:A,2,1),"P")</f>
        <v>P</v>
      </c>
      <c r="AP7543" s="4" t="s">
        <v>376</v>
      </c>
      <c r="AR7543" s="4" t="s">
        <v>377</v>
      </c>
    </row>
    <row r="7544" spans="1:44" ht="30">
      <c r="A7544" s="4" t="s">
        <v>5</v>
      </c>
      <c r="B7544" s="4">
        <v>867105</v>
      </c>
      <c r="C7544" s="4">
        <v>4964</v>
      </c>
      <c r="D7544" s="5" t="s">
        <v>10372</v>
      </c>
      <c r="E7544" s="6" t="str">
        <f>HYPERLINK("https://inpn.mnhn.fr/espece/cd_nom/867105","Coryneum microstictum Berk. &amp; Broome, 1850")</f>
        <v>Coryneum microstictum Berk. &amp; Broome, 1850</v>
      </c>
      <c r="AH7544" s="4" t="str">
        <f>HYPERLINK("#Statut_biogéographique!A"&amp;_xlfn.XMATCH("P",Statut_biogéographique!A:A,2,1),"P")</f>
        <v>P</v>
      </c>
      <c r="AP7544" s="4" t="s">
        <v>376</v>
      </c>
      <c r="AR7544" s="4" t="s">
        <v>377</v>
      </c>
    </row>
    <row r="7545" spans="1:44" ht="30">
      <c r="A7545" s="4" t="s">
        <v>5</v>
      </c>
      <c r="B7545" s="4">
        <v>867145</v>
      </c>
      <c r="C7545" s="4">
        <v>6932</v>
      </c>
      <c r="D7545" s="5" t="s">
        <v>10373</v>
      </c>
      <c r="E7545" s="6" t="str">
        <f>HYPERLINK("https://inpn.mnhn.fr/espece/cd_nom/867145","Graphostroma platystoma (Schwein.) Piroz., 1974")</f>
        <v>Graphostroma platystoma (Schwein.) Piroz., 1974</v>
      </c>
      <c r="AH7545" s="4" t="str">
        <f>HYPERLINK("#Statut_biogéographique!A"&amp;_xlfn.XMATCH("P",Statut_biogéographique!A:A,2,1),"P")</f>
        <v>P</v>
      </c>
      <c r="AP7545" s="4" t="s">
        <v>376</v>
      </c>
      <c r="AR7545" s="4" t="s">
        <v>377</v>
      </c>
    </row>
    <row r="7546" spans="1:44" ht="30">
      <c r="A7546" s="4" t="s">
        <v>5</v>
      </c>
      <c r="B7546" s="4">
        <v>867179</v>
      </c>
      <c r="C7546" s="4">
        <v>4135</v>
      </c>
      <c r="D7546" s="5" t="s">
        <v>10374</v>
      </c>
      <c r="E7546" s="6" t="str">
        <f>HYPERLINK("https://inpn.mnhn.fr/espece/cd_nom/867179","Winterella betulae (Tul. &amp; C.Tul.) Kuntze, 1891")</f>
        <v>Winterella betulae (Tul. &amp; C.Tul.) Kuntze, 1891</v>
      </c>
      <c r="AH7546" s="4" t="str">
        <f>HYPERLINK("#Statut_biogéographique!A"&amp;_xlfn.XMATCH("P",Statut_biogéographique!A:A,2,1),"P")</f>
        <v>P</v>
      </c>
      <c r="AP7546" s="4" t="s">
        <v>376</v>
      </c>
      <c r="AR7546" s="4" t="s">
        <v>377</v>
      </c>
    </row>
    <row r="7547" spans="1:44" ht="30">
      <c r="A7547" s="4" t="s">
        <v>5</v>
      </c>
      <c r="B7547" s="4">
        <v>867181</v>
      </c>
      <c r="C7547" s="4">
        <v>3815</v>
      </c>
      <c r="D7547" s="5" t="s">
        <v>10375</v>
      </c>
      <c r="E7547" s="6" t="str">
        <f>HYPERLINK("https://inpn.mnhn.fr/espece/cd_nom/867181","Winterella hypodermia (Fr.) J.Reid &amp; C.Booth, 1989")</f>
        <v>Winterella hypodermia (Fr.) J.Reid &amp; C.Booth, 1989</v>
      </c>
      <c r="AH7547" s="4" t="str">
        <f>HYPERLINK("#Statut_biogéographique!A"&amp;_xlfn.XMATCH("P",Statut_biogéographique!A:A,2,1),"P")</f>
        <v>P</v>
      </c>
      <c r="AP7547" s="4" t="s">
        <v>376</v>
      </c>
      <c r="AR7547" s="4" t="s">
        <v>377</v>
      </c>
    </row>
    <row r="7548" spans="1:44">
      <c r="A7548" s="4" t="s">
        <v>5</v>
      </c>
      <c r="B7548" s="4">
        <v>867195</v>
      </c>
      <c r="D7548" s="5" t="s">
        <v>10376</v>
      </c>
      <c r="E7548" s="6" t="str">
        <f>HYPERLINK("https://inpn.mnhn.fr/espece/cd_nom/867195","Sillia ferruginea (Pers.) P.Karst., 1873")</f>
        <v>Sillia ferruginea (Pers.) P.Karst., 1873</v>
      </c>
      <c r="AH7548" s="4" t="str">
        <f>HYPERLINK("#Statut_biogéographique!A"&amp;_xlfn.XMATCH("P",Statut_biogéographique!A:A,2,1),"P")</f>
        <v>P</v>
      </c>
      <c r="AP7548" s="4" t="s">
        <v>376</v>
      </c>
      <c r="AR7548" s="4" t="s">
        <v>377</v>
      </c>
    </row>
    <row r="7549" spans="1:44" ht="30">
      <c r="A7549" s="4" t="s">
        <v>5</v>
      </c>
      <c r="B7549" s="4">
        <v>867355</v>
      </c>
      <c r="C7549" s="4">
        <v>5747</v>
      </c>
      <c r="D7549" s="5" t="s">
        <v>10377</v>
      </c>
      <c r="E7549" s="6" t="str">
        <f>HYPERLINK("https://inpn.mnhn.fr/espece/cd_nom/867355","Cheilymenia granulata var. sordida (J.Moravec) J.Moravec, 2005")</f>
        <v>Cheilymenia granulata var. sordida (J.Moravec) J.Moravec, 2005</v>
      </c>
      <c r="AH7549" s="4" t="str">
        <f>HYPERLINK("#Statut_biogéographique!A"&amp;_xlfn.XMATCH("P",Statut_biogéographique!A:A,2,1),"P")</f>
        <v>P</v>
      </c>
      <c r="AP7549" s="4" t="s">
        <v>376</v>
      </c>
      <c r="AR7549" s="4" t="s">
        <v>377</v>
      </c>
    </row>
    <row r="7550" spans="1:44" ht="30">
      <c r="A7550" s="4" t="s">
        <v>5</v>
      </c>
      <c r="B7550" s="4">
        <v>867371</v>
      </c>
      <c r="C7550" s="4">
        <v>1179</v>
      </c>
      <c r="D7550" s="5" t="s">
        <v>10378</v>
      </c>
      <c r="E7550" s="6" t="str">
        <f>HYPERLINK("https://inpn.mnhn.fr/espece/cd_nom/867371","Costantinella micheneri (Berk. &amp; M.A.Curtis) S.Hughes, 1953")</f>
        <v>Costantinella micheneri (Berk. &amp; M.A.Curtis) S.Hughes, 1953</v>
      </c>
      <c r="AH7550" s="4" t="str">
        <f>HYPERLINK("#Statut_biogéographique!A"&amp;_xlfn.XMATCH("P",Statut_biogéographique!A:A,2,1),"P")</f>
        <v>P</v>
      </c>
      <c r="AP7550" s="4" t="s">
        <v>376</v>
      </c>
      <c r="AR7550" s="4" t="s">
        <v>377</v>
      </c>
    </row>
    <row r="7551" spans="1:44">
      <c r="A7551" s="4" t="s">
        <v>5</v>
      </c>
      <c r="B7551" s="4">
        <v>867378</v>
      </c>
      <c r="C7551" s="4">
        <v>1341</v>
      </c>
      <c r="D7551" s="5" t="s">
        <v>10379</v>
      </c>
      <c r="E7551" s="6" t="str">
        <f>HYPERLINK("https://inpn.mnhn.fr/espece/cd_nom/867378","Corynespora olivacea (Wallr.) M.B.Ellis, 1960")</f>
        <v>Corynespora olivacea (Wallr.) M.B.Ellis, 1960</v>
      </c>
      <c r="AH7551" s="4" t="str">
        <f>HYPERLINK("#Statut_biogéographique!A"&amp;_xlfn.XMATCH("P",Statut_biogéographique!A:A,2,1),"P")</f>
        <v>P</v>
      </c>
      <c r="AP7551" s="4" t="s">
        <v>376</v>
      </c>
      <c r="AR7551" s="4" t="s">
        <v>377</v>
      </c>
    </row>
    <row r="7552" spans="1:44" ht="30">
      <c r="A7552" s="4" t="s">
        <v>5</v>
      </c>
      <c r="B7552" s="4">
        <v>867385</v>
      </c>
      <c r="C7552" s="4">
        <v>5565</v>
      </c>
      <c r="D7552" s="5" t="s">
        <v>10380</v>
      </c>
      <c r="E7552" s="6" t="str">
        <f>HYPERLINK("https://inpn.mnhn.fr/espece/cd_nom/867385","Crocicreas cyathoideum var. pteridicolum (P.Crouan &amp; H.Crouan) S.E. Carp.")</f>
        <v>Crocicreas cyathoideum var. pteridicolum (P.Crouan &amp; H.Crouan) S.E. Carp.</v>
      </c>
      <c r="AH7552" s="4" t="str">
        <f>HYPERLINK("#Statut_biogéographique!A"&amp;_xlfn.XMATCH("P",Statut_biogéographique!A:A,2,1),"P")</f>
        <v>P</v>
      </c>
      <c r="AP7552" s="4" t="s">
        <v>376</v>
      </c>
      <c r="AR7552" s="4" t="s">
        <v>377</v>
      </c>
    </row>
    <row r="7553" spans="1:44" ht="30">
      <c r="A7553" s="4" t="s">
        <v>5</v>
      </c>
      <c r="B7553" s="4">
        <v>867612</v>
      </c>
      <c r="C7553" s="4">
        <v>2713</v>
      </c>
      <c r="D7553" s="5" t="s">
        <v>10381</v>
      </c>
      <c r="E7553" s="6" t="str">
        <f>HYPERLINK("https://inpn.mnhn.fr/espece/cd_nom/867612","Hypoxylon rubiginosum var. ferrugineum (G.H.Otth) J.H.Mill., 1961")</f>
        <v>Hypoxylon rubiginosum var. ferrugineum (G.H.Otth) J.H.Mill., 1961</v>
      </c>
      <c r="F7553" s="5" t="s">
        <v>10382</v>
      </c>
      <c r="AH7553" s="4" t="str">
        <f>HYPERLINK("#Statut_biogéographique!A"&amp;_xlfn.XMATCH("P",Statut_biogéographique!A:A,2,1),"P")</f>
        <v>P</v>
      </c>
      <c r="AP7553" s="4" t="s">
        <v>376</v>
      </c>
      <c r="AR7553" s="4" t="s">
        <v>377</v>
      </c>
    </row>
    <row r="7554" spans="1:44" ht="30">
      <c r="A7554" s="4" t="s">
        <v>5</v>
      </c>
      <c r="B7554" s="4">
        <v>867671</v>
      </c>
      <c r="C7554" s="4">
        <v>5251</v>
      </c>
      <c r="D7554" s="5" t="s">
        <v>10383</v>
      </c>
      <c r="E7554" s="6" t="str">
        <f>HYPERLINK("https://inpn.mnhn.fr/espece/cd_nom/867671","Erysiphe convolvuli var. calystegiae U.Braun, 1981")</f>
        <v>Erysiphe convolvuli var. calystegiae U.Braun, 1981</v>
      </c>
      <c r="AH7554" s="4" t="str">
        <f>HYPERLINK("#Statut_biogéographique!A"&amp;_xlfn.XMATCH("P",Statut_biogéographique!A:A,2,1),"P")</f>
        <v>P</v>
      </c>
      <c r="AP7554" s="4" t="s">
        <v>376</v>
      </c>
      <c r="AR7554" s="4" t="s">
        <v>377</v>
      </c>
    </row>
    <row r="7555" spans="1:44" ht="30">
      <c r="A7555" s="4" t="s">
        <v>5</v>
      </c>
      <c r="B7555" s="4">
        <v>867741</v>
      </c>
      <c r="C7555" s="4">
        <v>950</v>
      </c>
      <c r="D7555" s="5" t="s">
        <v>10384</v>
      </c>
      <c r="E7555" s="6" t="str">
        <f>HYPERLINK("https://inpn.mnhn.fr/espece/cd_nom/867741","Golovinomyces hyoscyami (R.Y.Zheng &amp; G.Q.Chen) V.P.Heluta, 1988")</f>
        <v>Golovinomyces hyoscyami (R.Y.Zheng &amp; G.Q.Chen) V.P.Heluta, 1988</v>
      </c>
      <c r="AH7555" s="4" t="str">
        <f>HYPERLINK("#Statut_biogéographique!A"&amp;_xlfn.XMATCH("P",Statut_biogéographique!A:A,2,1),"P")</f>
        <v>P</v>
      </c>
      <c r="AP7555" s="4" t="s">
        <v>376</v>
      </c>
      <c r="AR7555" s="4" t="s">
        <v>377</v>
      </c>
    </row>
    <row r="7556" spans="1:44" ht="30">
      <c r="A7556" s="4" t="s">
        <v>5</v>
      </c>
      <c r="B7556" s="4">
        <v>867742</v>
      </c>
      <c r="C7556" s="4">
        <v>4184</v>
      </c>
      <c r="D7556" s="5" t="s">
        <v>10385</v>
      </c>
      <c r="E7556" s="6" t="str">
        <f>HYPERLINK("https://inpn.mnhn.fr/espece/cd_nom/867742","Golovinomyces biocellatus (Ehrenb.) V.P.Heluta, 1988")</f>
        <v>Golovinomyces biocellatus (Ehrenb.) V.P.Heluta, 1988</v>
      </c>
      <c r="AH7556" s="4" t="str">
        <f>HYPERLINK("#Statut_biogéographique!A"&amp;_xlfn.XMATCH("P",Statut_biogéographique!A:A,2,1),"P")</f>
        <v>P</v>
      </c>
      <c r="AP7556" s="4" t="s">
        <v>376</v>
      </c>
      <c r="AR7556" s="4" t="s">
        <v>377</v>
      </c>
    </row>
    <row r="7557" spans="1:44" ht="30">
      <c r="A7557" s="4" t="s">
        <v>5</v>
      </c>
      <c r="B7557" s="4">
        <v>867743</v>
      </c>
      <c r="C7557" s="4">
        <v>1625</v>
      </c>
      <c r="D7557" s="5" t="s">
        <v>10386</v>
      </c>
      <c r="E7557" s="6" t="str">
        <f>HYPERLINK("https://inpn.mnhn.fr/espece/cd_nom/867743","Golovinomyces cynoglossi (Wallr.) V.P.Heluta, 1988")</f>
        <v>Golovinomyces cynoglossi (Wallr.) V.P.Heluta, 1988</v>
      </c>
      <c r="AH7557" s="4" t="str">
        <f>HYPERLINK("#Statut_biogéographique!A"&amp;_xlfn.XMATCH("P",Statut_biogéographique!A:A,2,1),"P")</f>
        <v>P</v>
      </c>
      <c r="AP7557" s="4" t="s">
        <v>376</v>
      </c>
      <c r="AR7557" s="4" t="s">
        <v>377</v>
      </c>
    </row>
    <row r="7558" spans="1:44" ht="30">
      <c r="A7558" s="4" t="s">
        <v>5</v>
      </c>
      <c r="B7558" s="4">
        <v>867744</v>
      </c>
      <c r="C7558" s="4">
        <v>950</v>
      </c>
      <c r="D7558" s="5" t="s">
        <v>10387</v>
      </c>
      <c r="E7558" s="6" t="str">
        <f>HYPERLINK("https://inpn.mnhn.fr/espece/cd_nom/867744","Golovinomyces hyoscyami (R.Y.Zheng &amp; G.Q.Chen) V.P.Heluta, 1988")</f>
        <v>Golovinomyces hyoscyami (R.Y.Zheng &amp; G.Q.Chen) V.P.Heluta, 1988</v>
      </c>
      <c r="AH7558" s="4" t="str">
        <f>HYPERLINK("#Statut_biogéographique!A"&amp;_xlfn.XMATCH("P",Statut_biogéographique!A:A,2,1),"P")</f>
        <v>P</v>
      </c>
      <c r="AP7558" s="4" t="s">
        <v>376</v>
      </c>
      <c r="AR7558" s="4" t="s">
        <v>377</v>
      </c>
    </row>
    <row r="7559" spans="1:44" ht="30">
      <c r="A7559" s="4" t="s">
        <v>5</v>
      </c>
      <c r="B7559" s="4">
        <v>867745</v>
      </c>
      <c r="C7559" s="4">
        <v>4181</v>
      </c>
      <c r="D7559" s="5" t="s">
        <v>10388</v>
      </c>
      <c r="E7559" s="6" t="str">
        <f>HYPERLINK("https://inpn.mnhn.fr/espece/cd_nom/867745","Golovinomyces fischeri (S.Blumer) U.Braun &amp; R.T.A.Cook, 2009")</f>
        <v>Golovinomyces fischeri (S.Blumer) U.Braun &amp; R.T.A.Cook, 2009</v>
      </c>
      <c r="AH7559" s="4" t="str">
        <f>HYPERLINK("#Statut_biogéographique!A"&amp;_xlfn.XMATCH("P",Statut_biogéographique!A:A,2,1),"P")</f>
        <v>P</v>
      </c>
      <c r="AP7559" s="4" t="s">
        <v>376</v>
      </c>
      <c r="AR7559" s="4" t="s">
        <v>377</v>
      </c>
    </row>
    <row r="7560" spans="1:44" ht="30">
      <c r="A7560" s="4" t="s">
        <v>5</v>
      </c>
      <c r="B7560" s="4">
        <v>867746</v>
      </c>
      <c r="C7560" s="4">
        <v>1425</v>
      </c>
      <c r="D7560" s="5" t="s">
        <v>10389</v>
      </c>
      <c r="E7560" s="6" t="str">
        <f>HYPERLINK("https://inpn.mnhn.fr/espece/cd_nom/867746","Golovinomyces magnicellulata (U. Braun) Geljuta")</f>
        <v>Golovinomyces magnicellulata (U. Braun) Geljuta</v>
      </c>
      <c r="AH7560" s="4" t="str">
        <f>HYPERLINK("#Statut_biogéographique!A"&amp;_xlfn.XMATCH("P",Statut_biogéographique!A:A,2,1),"P")</f>
        <v>P</v>
      </c>
      <c r="AP7560" s="4" t="s">
        <v>376</v>
      </c>
      <c r="AR7560" s="4" t="s">
        <v>377</v>
      </c>
    </row>
    <row r="7561" spans="1:44" ht="30">
      <c r="A7561" s="4" t="s">
        <v>5</v>
      </c>
      <c r="B7561" s="4">
        <v>867760</v>
      </c>
      <c r="C7561" s="4">
        <v>4185</v>
      </c>
      <c r="D7561" s="5" t="s">
        <v>10390</v>
      </c>
      <c r="E7561" s="6" t="str">
        <f>HYPERLINK("https://inpn.mnhn.fr/espece/cd_nom/867760","Golovinomyces valerianae (Jacz.) V.P.Heluta, 1988")</f>
        <v>Golovinomyces valerianae (Jacz.) V.P.Heluta, 1988</v>
      </c>
      <c r="AH7561" s="4" t="str">
        <f>HYPERLINK("#Statut_biogéographique!A"&amp;_xlfn.XMATCH("P",Statut_biogéographique!A:A,2,1),"P")</f>
        <v>P</v>
      </c>
      <c r="AP7561" s="4" t="s">
        <v>376</v>
      </c>
      <c r="AR7561" s="4" t="s">
        <v>377</v>
      </c>
    </row>
    <row r="7562" spans="1:44" ht="30">
      <c r="A7562" s="4" t="s">
        <v>5</v>
      </c>
      <c r="B7562" s="4">
        <v>867823</v>
      </c>
      <c r="C7562" s="4">
        <v>6204</v>
      </c>
      <c r="D7562" s="5" t="s">
        <v>10391</v>
      </c>
      <c r="E7562" s="6" t="str">
        <f>HYPERLINK("https://inpn.mnhn.fr/espece/cd_nom/867823","Eleutheromyces subulatus (Tode) Fuckel, 1870")</f>
        <v>Eleutheromyces subulatus (Tode) Fuckel, 1870</v>
      </c>
      <c r="AH7562" s="4" t="str">
        <f>HYPERLINK("#Statut_biogéographique!A"&amp;_xlfn.XMATCH("P",Statut_biogéographique!A:A,2,1),"P")</f>
        <v>P</v>
      </c>
      <c r="AP7562" s="4" t="s">
        <v>376</v>
      </c>
      <c r="AR7562" s="4" t="s">
        <v>377</v>
      </c>
    </row>
    <row r="7563" spans="1:44">
      <c r="A7563" s="4" t="s">
        <v>5</v>
      </c>
      <c r="B7563" s="4">
        <v>867865</v>
      </c>
      <c r="C7563" s="4">
        <v>1763</v>
      </c>
      <c r="D7563" s="5" t="s">
        <v>10392</v>
      </c>
      <c r="E7563" s="6" t="str">
        <f>HYPERLINK("https://inpn.mnhn.fr/espece/cd_nom/867865","Helminthosporium velutinum Link, 1809")</f>
        <v>Helminthosporium velutinum Link, 1809</v>
      </c>
      <c r="AH7563" s="4" t="str">
        <f>HYPERLINK("#Statut_biogéographique!A"&amp;_xlfn.XMATCH("P",Statut_biogéographique!A:A,2,1),"P")</f>
        <v>P</v>
      </c>
      <c r="AP7563" s="4" t="s">
        <v>376</v>
      </c>
      <c r="AR7563" s="4" t="s">
        <v>377</v>
      </c>
    </row>
    <row r="7564" spans="1:44" ht="30">
      <c r="A7564" s="4" t="s">
        <v>5</v>
      </c>
      <c r="B7564" s="4">
        <v>867880</v>
      </c>
      <c r="C7564" s="4">
        <v>4726</v>
      </c>
      <c r="D7564" s="5" t="s">
        <v>10393</v>
      </c>
      <c r="E7564" s="6" t="str">
        <f>HYPERLINK("https://inpn.mnhn.fr/espece/cd_nom/867880","Endostilbum cerasi (Bourdot &amp; Galzin) Malençon, 1964")</f>
        <v>Endostilbum cerasi (Bourdot &amp; Galzin) Malençon, 1964</v>
      </c>
      <c r="AH7564" s="4" t="str">
        <f>HYPERLINK("#Statut_biogéographique!A"&amp;_xlfn.XMATCH("P",Statut_biogéographique!A:A,2,1),"P")</f>
        <v>P</v>
      </c>
      <c r="AP7564" s="4" t="s">
        <v>376</v>
      </c>
      <c r="AR7564" s="4" t="s">
        <v>377</v>
      </c>
    </row>
    <row r="7565" spans="1:44">
      <c r="A7565" s="4" t="s">
        <v>5</v>
      </c>
      <c r="B7565" s="4">
        <v>867903</v>
      </c>
      <c r="C7565" s="4">
        <v>1796</v>
      </c>
      <c r="D7565" s="5" t="s">
        <v>10394</v>
      </c>
      <c r="E7565" s="6" t="str">
        <f>HYPERLINK("https://inpn.mnhn.fr/espece/cd_nom/867903","Geotrichum candidum Link, 1809")</f>
        <v>Geotrichum candidum Link, 1809</v>
      </c>
      <c r="AH7565" s="4" t="str">
        <f>HYPERLINK("#Statut_biogéographique!A"&amp;_xlfn.XMATCH("P",Statut_biogéographique!A:A,2,1),"P")</f>
        <v>P</v>
      </c>
      <c r="AP7565" s="4" t="s">
        <v>376</v>
      </c>
      <c r="AR7565" s="4" t="s">
        <v>377</v>
      </c>
    </row>
    <row r="7566" spans="1:44">
      <c r="A7566" s="4" t="s">
        <v>5</v>
      </c>
      <c r="B7566" s="4">
        <v>867956</v>
      </c>
      <c r="C7566" s="4">
        <v>4044</v>
      </c>
      <c r="D7566" s="5" t="s">
        <v>10395</v>
      </c>
      <c r="E7566" s="6" t="str">
        <f>HYPERLINK("https://inpn.mnhn.fr/espece/cd_nom/867956","Protoventuria myrtilli (Cooke) M.E.Barr, 1989")</f>
        <v>Protoventuria myrtilli (Cooke) M.E.Barr, 1989</v>
      </c>
      <c r="AH7566" s="4" t="str">
        <f>HYPERLINK("#Statut_biogéographique!A"&amp;_xlfn.XMATCH("P",Statut_biogéographique!A:A,2,1),"P")</f>
        <v>P</v>
      </c>
      <c r="AP7566" s="4" t="s">
        <v>376</v>
      </c>
      <c r="AR7566" s="4" t="s">
        <v>377</v>
      </c>
    </row>
    <row r="7567" spans="1:44">
      <c r="A7567" s="4" t="s">
        <v>5</v>
      </c>
      <c r="B7567" s="4">
        <v>867989</v>
      </c>
      <c r="C7567" s="4">
        <v>4878</v>
      </c>
      <c r="D7567" s="5" t="s">
        <v>10396</v>
      </c>
      <c r="E7567" s="6" t="str">
        <f>HYPERLINK("https://inpn.mnhn.fr/espece/cd_nom/867989","Phialea torosa Quél., 1878")</f>
        <v>Phialea torosa Quél., 1878</v>
      </c>
      <c r="AH7567" s="4" t="str">
        <f>HYPERLINK("#Statut_biogéographique!A"&amp;_xlfn.XMATCH("P",Statut_biogéographique!A:A,2,1),"P")</f>
        <v>P</v>
      </c>
      <c r="AP7567" s="4" t="s">
        <v>376</v>
      </c>
      <c r="AR7567" s="4" t="s">
        <v>377</v>
      </c>
    </row>
    <row r="7568" spans="1:44" ht="30">
      <c r="A7568" s="4" t="s">
        <v>5</v>
      </c>
      <c r="B7568" s="4">
        <v>868057</v>
      </c>
      <c r="D7568" s="5" t="s">
        <v>10397</v>
      </c>
      <c r="E7568" s="6" t="str">
        <f>HYPERLINK("https://inpn.mnhn.fr/espece/cd_nom/868057","Passalora angelicae (Ellis &amp; Everh.) U.Braun, 1992")</f>
        <v>Passalora angelicae (Ellis &amp; Everh.) U.Braun, 1992</v>
      </c>
      <c r="AH7568" s="4" t="str">
        <f>HYPERLINK("#Statut_biogéographique!A"&amp;_xlfn.XMATCH("P",Statut_biogéographique!A:A,2,1),"P")</f>
        <v>P</v>
      </c>
      <c r="AP7568" s="4" t="s">
        <v>376</v>
      </c>
      <c r="AR7568" s="4" t="s">
        <v>377</v>
      </c>
    </row>
    <row r="7569" spans="1:44" ht="30">
      <c r="A7569" s="4" t="s">
        <v>5</v>
      </c>
      <c r="B7569" s="4">
        <v>868100</v>
      </c>
      <c r="C7569" s="4">
        <v>4204</v>
      </c>
      <c r="D7569" s="5" t="s">
        <v>10398</v>
      </c>
      <c r="E7569" s="6" t="str">
        <f>HYPERLINK("https://inpn.mnhn.fr/espece/cd_nom/868100","Octospora tuberculatella (Seaver) Caillet &amp; Moyne, 1980")</f>
        <v>Octospora tuberculatella (Seaver) Caillet &amp; Moyne, 1980</v>
      </c>
      <c r="AH7569" s="4" t="str">
        <f>HYPERLINK("#Statut_biogéographique!A"&amp;_xlfn.XMATCH("P",Statut_biogéographique!A:A,2,1),"P")</f>
        <v>P</v>
      </c>
      <c r="AP7569" s="4" t="s">
        <v>376</v>
      </c>
      <c r="AR7569" s="4" t="s">
        <v>377</v>
      </c>
    </row>
    <row r="7570" spans="1:44" ht="30">
      <c r="A7570" s="4" t="s">
        <v>5</v>
      </c>
      <c r="B7570" s="4">
        <v>868242</v>
      </c>
      <c r="D7570" s="5" t="s">
        <v>10399</v>
      </c>
      <c r="E7570" s="6" t="str">
        <f>HYPERLINK("https://inpn.mnhn.fr/espece/cd_nom/868242","Trichopezizella barbata (Kunze ex Fr.) Raitv., 1970")</f>
        <v>Trichopezizella barbata (Kunze ex Fr.) Raitv., 1970</v>
      </c>
      <c r="AH7570" s="4" t="str">
        <f>HYPERLINK("#Statut_biogéographique!A"&amp;_xlfn.XMATCH("P",Statut_biogéographique!A:A,2,1),"P")</f>
        <v>P</v>
      </c>
      <c r="AP7570" s="4" t="s">
        <v>376</v>
      </c>
      <c r="AR7570" s="4" t="s">
        <v>377</v>
      </c>
    </row>
    <row r="7571" spans="1:44">
      <c r="A7571" s="4" t="s">
        <v>5</v>
      </c>
      <c r="B7571" s="4">
        <v>868505</v>
      </c>
      <c r="D7571" s="5" t="s">
        <v>10400</v>
      </c>
      <c r="E7571" s="6" t="str">
        <f>HYPERLINK("https://inpn.mnhn.fr/espece/cd_nom/868505","Septoria desmazieresii Sacc.")</f>
        <v>Septoria desmazieresii Sacc.</v>
      </c>
      <c r="AH7571" s="4" t="str">
        <f>HYPERLINK("#Statut_biogéographique!A"&amp;_xlfn.XMATCH("P",Statut_biogéographique!A:A,2,1),"P")</f>
        <v>P</v>
      </c>
      <c r="AP7571" s="4" t="s">
        <v>376</v>
      </c>
      <c r="AR7571" s="4" t="s">
        <v>377</v>
      </c>
    </row>
    <row r="7572" spans="1:44">
      <c r="A7572" s="4" t="s">
        <v>5</v>
      </c>
      <c r="B7572" s="4">
        <v>868587</v>
      </c>
      <c r="D7572" s="5" t="s">
        <v>10401</v>
      </c>
      <c r="E7572" s="6" t="str">
        <f>HYPERLINK("https://inpn.mnhn.fr/espece/cd_nom/868587","Septoria scabiosicola Desm., 1853")</f>
        <v>Septoria scabiosicola Desm., 1853</v>
      </c>
      <c r="AH7572" s="4" t="str">
        <f>HYPERLINK("#Statut_biogéographique!A"&amp;_xlfn.XMATCH("P",Statut_biogéographique!A:A,2,1),"P")</f>
        <v>P</v>
      </c>
      <c r="AP7572" s="4" t="s">
        <v>376</v>
      </c>
      <c r="AR7572" s="4" t="s">
        <v>377</v>
      </c>
    </row>
    <row r="7573" spans="1:44" ht="30">
      <c r="A7573" s="4" t="s">
        <v>5</v>
      </c>
      <c r="B7573" s="4">
        <v>868716</v>
      </c>
      <c r="C7573" s="4">
        <v>938</v>
      </c>
      <c r="D7573" s="5" t="s">
        <v>10402</v>
      </c>
      <c r="E7573" s="6" t="str">
        <f>HYPERLINK("https://inpn.mnhn.fr/espece/cd_nom/868716","Aureobasidium pullulans (de Bary &amp; Löwenthal) G.Arnaud, 1918")</f>
        <v>Aureobasidium pullulans (de Bary &amp; Löwenthal) G.Arnaud, 1918</v>
      </c>
      <c r="AH7573" s="4" t="str">
        <f>HYPERLINK("#Statut_biogéographique!A"&amp;_xlfn.XMATCH("P",Statut_biogéographique!A:A,2,1),"P")</f>
        <v>P</v>
      </c>
      <c r="AP7573" s="4" t="s">
        <v>376</v>
      </c>
      <c r="AR7573" s="4" t="s">
        <v>377</v>
      </c>
    </row>
    <row r="7574" spans="1:44">
      <c r="A7574" s="4" t="s">
        <v>5</v>
      </c>
      <c r="B7574" s="4">
        <v>868717</v>
      </c>
      <c r="C7574" s="4">
        <v>4107</v>
      </c>
      <c r="D7574" s="5" t="s">
        <v>10403</v>
      </c>
      <c r="E7574" s="6" t="str">
        <f>HYPERLINK("https://inpn.mnhn.fr/espece/cd_nom/868717","Chaetomium elatum Kunze, 1818")</f>
        <v>Chaetomium elatum Kunze, 1818</v>
      </c>
      <c r="AH7574" s="4" t="str">
        <f>HYPERLINK("#Statut_biogéographique!A"&amp;_xlfn.XMATCH("P",Statut_biogéographique!A:A,2,1),"P")</f>
        <v>P</v>
      </c>
      <c r="AP7574" s="4" t="s">
        <v>376</v>
      </c>
      <c r="AR7574" s="4" t="s">
        <v>377</v>
      </c>
    </row>
    <row r="7575" spans="1:44">
      <c r="A7575" s="4" t="s">
        <v>5</v>
      </c>
      <c r="B7575" s="4">
        <v>868719</v>
      </c>
      <c r="C7575" s="4">
        <v>3911</v>
      </c>
      <c r="D7575" s="5" t="s">
        <v>10404</v>
      </c>
      <c r="E7575" s="6" t="str">
        <f>HYPERLINK("https://inpn.mnhn.fr/espece/cd_nom/868719","Chaetomium globosum Kunze, 1817")</f>
        <v>Chaetomium globosum Kunze, 1817</v>
      </c>
      <c r="AH7575" s="4" t="str">
        <f>HYPERLINK("#Statut_biogéographique!A"&amp;_xlfn.XMATCH("P",Statut_biogéographique!A:A,2,1),"P")</f>
        <v>P</v>
      </c>
      <c r="AP7575" s="4" t="s">
        <v>376</v>
      </c>
      <c r="AR7575" s="4" t="s">
        <v>377</v>
      </c>
    </row>
    <row r="7576" spans="1:44">
      <c r="A7576" s="4" t="s">
        <v>5</v>
      </c>
      <c r="B7576" s="4">
        <v>868728</v>
      </c>
      <c r="C7576" s="4">
        <v>4765</v>
      </c>
      <c r="D7576" s="5" t="s">
        <v>10405</v>
      </c>
      <c r="E7576" s="6" t="str">
        <f>HYPERLINK("https://inpn.mnhn.fr/espece/cd_nom/868728","Alternaria alternata (Fr.) Keissl., 1912")</f>
        <v>Alternaria alternata (Fr.) Keissl., 1912</v>
      </c>
      <c r="AH7576" s="4" t="str">
        <f>HYPERLINK("#Statut_biogéographique!A"&amp;_xlfn.XMATCH("P",Statut_biogéographique!A:A,2,1),"P")</f>
        <v>P</v>
      </c>
      <c r="AP7576" s="4" t="s">
        <v>376</v>
      </c>
      <c r="AR7576" s="4" t="s">
        <v>377</v>
      </c>
    </row>
    <row r="7577" spans="1:44">
      <c r="A7577" s="4" t="s">
        <v>5</v>
      </c>
      <c r="B7577" s="4">
        <v>868745</v>
      </c>
      <c r="C7577" s="4">
        <v>2029</v>
      </c>
      <c r="D7577" s="5" t="s">
        <v>10406</v>
      </c>
      <c r="E7577" s="6" t="str">
        <f>HYPERLINK("https://inpn.mnhn.fr/espece/cd_nom/868745","Fusarium oxysporum Schltdl., 1824")</f>
        <v>Fusarium oxysporum Schltdl., 1824</v>
      </c>
      <c r="AH7577" s="4" t="str">
        <f>HYPERLINK("#Statut_biogéographique!A"&amp;_xlfn.XMATCH("P",Statut_biogéographique!A:A,2,1),"P")</f>
        <v>P</v>
      </c>
      <c r="AP7577" s="4" t="s">
        <v>376</v>
      </c>
      <c r="AR7577" s="4" t="s">
        <v>377</v>
      </c>
    </row>
    <row r="7578" spans="1:44">
      <c r="A7578" s="4" t="s">
        <v>5</v>
      </c>
      <c r="B7578" s="4">
        <v>868757</v>
      </c>
      <c r="C7578" s="4">
        <v>1616</v>
      </c>
      <c r="D7578" s="5" t="s">
        <v>10407</v>
      </c>
      <c r="E7578" s="6" t="str">
        <f>HYPERLINK("https://inpn.mnhn.fr/espece/cd_nom/868757","Cladosporium macrocarpum Preuss, 1848")</f>
        <v>Cladosporium macrocarpum Preuss, 1848</v>
      </c>
      <c r="AH7578" s="4" t="str">
        <f>HYPERLINK("#Statut_biogéographique!A"&amp;_xlfn.XMATCH("P",Statut_biogéographique!A:A,2,1),"P")</f>
        <v>P</v>
      </c>
      <c r="AP7578" s="4" t="s">
        <v>376</v>
      </c>
      <c r="AR7578" s="4" t="s">
        <v>377</v>
      </c>
    </row>
    <row r="7579" spans="1:44" ht="30">
      <c r="A7579" s="4" t="s">
        <v>5</v>
      </c>
      <c r="B7579" s="4">
        <v>868815</v>
      </c>
      <c r="C7579" s="4">
        <v>4186</v>
      </c>
      <c r="D7579" s="5" t="s">
        <v>10408</v>
      </c>
      <c r="E7579" s="6" t="str">
        <f>HYPERLINK("https://inpn.mnhn.fr/espece/cd_nom/868815","Golovinomyces verbasci (Jacz.) V.P.Heluta, 1988")</f>
        <v>Golovinomyces verbasci (Jacz.) V.P.Heluta, 1988</v>
      </c>
      <c r="AH7579" s="4" t="str">
        <f>HYPERLINK("#Statut_biogéographique!A"&amp;_xlfn.XMATCH("P",Statut_biogéographique!A:A,2,1),"P")</f>
        <v>P</v>
      </c>
      <c r="AP7579" s="4" t="s">
        <v>376</v>
      </c>
      <c r="AR7579" s="4" t="s">
        <v>377</v>
      </c>
    </row>
    <row r="7580" spans="1:44" ht="30">
      <c r="A7580" s="4" t="s">
        <v>5</v>
      </c>
      <c r="B7580" s="4">
        <v>868825</v>
      </c>
      <c r="C7580" s="4">
        <v>1008</v>
      </c>
      <c r="D7580" s="5">
        <v>876711</v>
      </c>
      <c r="E7580" s="6" t="str">
        <f>HYPERLINK("https://inpn.mnhn.fr/espece/cd_nom/868825","Golovinomyces orontii (Castagne) V.P.Heluta, 1988")</f>
        <v>Golovinomyces orontii (Castagne) V.P.Heluta, 1988</v>
      </c>
      <c r="AH7580" s="4" t="str">
        <f>HYPERLINK("#Statut_biogéographique!A"&amp;_xlfn.XMATCH("P",Statut_biogéographique!A:A,2,1),"P")</f>
        <v>P</v>
      </c>
      <c r="AP7580" s="4" t="s">
        <v>376</v>
      </c>
      <c r="AR7580" s="4" t="s">
        <v>377</v>
      </c>
    </row>
    <row r="7581" spans="1:44" ht="30">
      <c r="A7581" s="4" t="s">
        <v>5</v>
      </c>
      <c r="B7581" s="4">
        <v>868826</v>
      </c>
      <c r="C7581" s="4">
        <v>950</v>
      </c>
      <c r="D7581" s="5">
        <v>876706</v>
      </c>
      <c r="E7581" s="6" t="str">
        <f>HYPERLINK("https://inpn.mnhn.fr/espece/cd_nom/868826","Golovinomyces hyoscyami (R.Y.Zheng &amp; G.Q.Chen) V.P.Heluta, 1988")</f>
        <v>Golovinomyces hyoscyami (R.Y.Zheng &amp; G.Q.Chen) V.P.Heluta, 1988</v>
      </c>
      <c r="AH7581" s="4" t="str">
        <f>HYPERLINK("#Statut_biogéographique!A"&amp;_xlfn.XMATCH("P",Statut_biogéographique!A:A,2,1),"P")</f>
        <v>P</v>
      </c>
      <c r="AP7581" s="4" t="s">
        <v>376</v>
      </c>
      <c r="AR7581" s="4" t="s">
        <v>377</v>
      </c>
    </row>
    <row r="7582" spans="1:44" ht="30">
      <c r="A7582" s="4" t="s">
        <v>5</v>
      </c>
      <c r="B7582" s="4">
        <v>868827</v>
      </c>
      <c r="C7582" s="4">
        <v>1333</v>
      </c>
      <c r="D7582" s="5" t="s">
        <v>10409</v>
      </c>
      <c r="E7582" s="6" t="str">
        <f>HYPERLINK("https://inpn.mnhn.fr/espece/cd_nom/868827","Golovinomyces depressus (Wallr.) V.P.Heluta, 1988")</f>
        <v>Golovinomyces depressus (Wallr.) V.P.Heluta, 1988</v>
      </c>
      <c r="AH7582" s="4" t="str">
        <f>HYPERLINK("#Statut_biogéographique!A"&amp;_xlfn.XMATCH("P",Statut_biogéographique!A:A,2,1),"P")</f>
        <v>P</v>
      </c>
      <c r="AP7582" s="4" t="s">
        <v>376</v>
      </c>
      <c r="AR7582" s="4" t="s">
        <v>377</v>
      </c>
    </row>
    <row r="7583" spans="1:44" ht="30">
      <c r="A7583" s="4" t="s">
        <v>5</v>
      </c>
      <c r="B7583" s="4">
        <v>868828</v>
      </c>
      <c r="C7583" s="4">
        <v>950</v>
      </c>
      <c r="D7583" s="5" t="s">
        <v>10410</v>
      </c>
      <c r="E7583" s="6" t="str">
        <f>HYPERLINK("https://inpn.mnhn.fr/espece/cd_nom/868828","Golovinomyces cichoracearum (DC.) V.P.Heluta, 1988")</f>
        <v>Golovinomyces cichoracearum (DC.) V.P.Heluta, 1988</v>
      </c>
      <c r="AH7583" s="4" t="str">
        <f>HYPERLINK("#Statut_biogéographique!A"&amp;_xlfn.XMATCH("P",Statut_biogéographique!A:A,2,1),"P")</f>
        <v>P</v>
      </c>
      <c r="AP7583" s="4" t="s">
        <v>376</v>
      </c>
      <c r="AR7583" s="4" t="s">
        <v>377</v>
      </c>
    </row>
    <row r="7584" spans="1:44">
      <c r="A7584" s="4" t="s">
        <v>5</v>
      </c>
      <c r="B7584" s="4">
        <v>868885</v>
      </c>
      <c r="C7584" s="4">
        <v>1590</v>
      </c>
      <c r="D7584" s="5" t="s">
        <v>10411</v>
      </c>
      <c r="E7584" s="6" t="str">
        <f>HYPERLINK("https://inpn.mnhn.fr/espece/cd_nom/868885","Hendersonia daphnes Pass., 1885")</f>
        <v>Hendersonia daphnes Pass., 1885</v>
      </c>
      <c r="AH7584" s="4" t="str">
        <f>HYPERLINK("#Statut_biogéographique!A"&amp;_xlfn.XMATCH("P",Statut_biogéographique!A:A,2,1),"P")</f>
        <v>P</v>
      </c>
      <c r="AP7584" s="4" t="s">
        <v>376</v>
      </c>
      <c r="AR7584" s="4" t="s">
        <v>377</v>
      </c>
    </row>
    <row r="7585" spans="1:44">
      <c r="A7585" s="4" t="s">
        <v>5</v>
      </c>
      <c r="B7585" s="4">
        <v>868935</v>
      </c>
      <c r="C7585" s="4">
        <v>1065</v>
      </c>
      <c r="D7585" s="5" t="s">
        <v>10412</v>
      </c>
      <c r="E7585" s="6" t="str">
        <f>HYPERLINK("https://inpn.mnhn.fr/espece/cd_nom/868935","Helvella leucomelaena var. amphora (Quél.)")</f>
        <v>Helvella leucomelaena var. amphora (Quél.)</v>
      </c>
      <c r="F7585" s="5" t="s">
        <v>10413</v>
      </c>
      <c r="V7585" s="7" t="str">
        <f>HYPERLINK("#Liste_rouge!A"&amp;_xlfn.XMATCH("EN",Liste_rouge!A:A,2,1),"EN")</f>
        <v>EN</v>
      </c>
      <c r="W7585" s="4" t="str">
        <f>HYPERLINK("#Critères_liste_rouge!A$1","B2abiii")</f>
        <v>B2abiii</v>
      </c>
      <c r="Z7585" s="4" t="s">
        <v>443</v>
      </c>
      <c r="AA7585" s="4" t="s">
        <v>444</v>
      </c>
      <c r="AH7585" s="4" t="str">
        <f>HYPERLINK("#Statut_biogéographique!A"&amp;_xlfn.XMATCH("P",Statut_biogéographique!A:A,2,1),"P")</f>
        <v>P</v>
      </c>
      <c r="AP7585" s="4" t="s">
        <v>376</v>
      </c>
      <c r="AR7585" s="4" t="s">
        <v>377</v>
      </c>
    </row>
    <row r="7586" spans="1:44" ht="30">
      <c r="A7586" s="4" t="s">
        <v>5</v>
      </c>
      <c r="B7586" s="4">
        <v>869039</v>
      </c>
      <c r="C7586" s="4">
        <v>6557</v>
      </c>
      <c r="D7586" s="5" t="s">
        <v>10414</v>
      </c>
      <c r="E7586" s="6" t="str">
        <f>HYPERLINK("https://inpn.mnhn.fr/espece/cd_nom/869039","Hypoxylon rubiginosum var. perforatum (Schwein.) L.E.Petrini, 1986")</f>
        <v>Hypoxylon rubiginosum var. perforatum (Schwein.) L.E.Petrini, 1986</v>
      </c>
      <c r="AH7586" s="4" t="str">
        <f>HYPERLINK("#Statut_biogéographique!A"&amp;_xlfn.XMATCH("P",Statut_biogéographique!A:A,2,1),"P")</f>
        <v>P</v>
      </c>
      <c r="AP7586" s="4" t="s">
        <v>376</v>
      </c>
      <c r="AR7586" s="4" t="s">
        <v>377</v>
      </c>
    </row>
    <row r="7587" spans="1:44">
      <c r="A7587" s="4" t="s">
        <v>5</v>
      </c>
      <c r="B7587" s="4">
        <v>869307</v>
      </c>
      <c r="C7587" s="4">
        <v>3170</v>
      </c>
      <c r="D7587" s="5" t="s">
        <v>10415</v>
      </c>
      <c r="E7587" s="6" t="str">
        <f>HYPERLINK("https://inpn.mnhn.fr/espece/cd_nom/869307","Disciotis venosa f. reticulata (Grev.) Gruaz")</f>
        <v>Disciotis venosa f. reticulata (Grev.) Gruaz</v>
      </c>
      <c r="F7587" s="5" t="s">
        <v>10416</v>
      </c>
      <c r="AH7587" s="4" t="str">
        <f>HYPERLINK("#Statut_biogéographique!A"&amp;_xlfn.XMATCH("P",Statut_biogéographique!A:A,2,1),"P")</f>
        <v>P</v>
      </c>
      <c r="AP7587" s="4" t="s">
        <v>376</v>
      </c>
      <c r="AR7587" s="4" t="s">
        <v>377</v>
      </c>
    </row>
    <row r="7588" spans="1:44">
      <c r="A7588" s="4" t="s">
        <v>5</v>
      </c>
      <c r="B7588" s="4">
        <v>869387</v>
      </c>
      <c r="C7588" s="4">
        <v>5239</v>
      </c>
      <c r="D7588" s="5" t="s">
        <v>10417</v>
      </c>
      <c r="E7588" s="6" t="str">
        <f>HYPERLINK("https://inpn.mnhn.fr/espece/cd_nom/869387","Asteromella platanoidis (Sacc.) Petr., 1925")</f>
        <v>Asteromella platanoidis (Sacc.) Petr., 1925</v>
      </c>
      <c r="AH7588" s="4" t="str">
        <f>HYPERLINK("#Statut_biogéographique!A"&amp;_xlfn.XMATCH("P",Statut_biogéographique!A:A,2,1),"P")</f>
        <v>P</v>
      </c>
      <c r="AP7588" s="4" t="s">
        <v>376</v>
      </c>
      <c r="AR7588" s="4" t="s">
        <v>377</v>
      </c>
    </row>
    <row r="7589" spans="1:44" ht="30">
      <c r="A7589" s="4" t="s">
        <v>5</v>
      </c>
      <c r="B7589" s="4">
        <v>869525</v>
      </c>
      <c r="C7589" s="4">
        <v>4004</v>
      </c>
      <c r="D7589" s="5" t="s">
        <v>10418</v>
      </c>
      <c r="E7589" s="6" t="str">
        <f>HYPERLINK("https://inpn.mnhn.fr/espece/cd_nom/869525","Protoventuria andromedae (Rehm) M.E.Barr, 1989")</f>
        <v>Protoventuria andromedae (Rehm) M.E.Barr, 1989</v>
      </c>
      <c r="AH7589" s="4" t="str">
        <f>HYPERLINK("#Statut_biogéographique!A"&amp;_xlfn.XMATCH("P",Statut_biogéographique!A:A,2,1),"P")</f>
        <v>P</v>
      </c>
      <c r="AP7589" s="4" t="s">
        <v>376</v>
      </c>
      <c r="AR7589" s="4" t="s">
        <v>377</v>
      </c>
    </row>
    <row r="7590" spans="1:44" ht="30">
      <c r="A7590" s="4" t="s">
        <v>5</v>
      </c>
      <c r="B7590" s="4">
        <v>869564</v>
      </c>
      <c r="C7590" s="4">
        <v>7151</v>
      </c>
      <c r="D7590" s="5" t="s">
        <v>10419</v>
      </c>
      <c r="E7590" s="6" t="str">
        <f>HYPERLINK("https://inpn.mnhn.fr/espece/cd_nom/869564","Capitotricha bicolor var. rubi (Bres.) Courtec., 1998")</f>
        <v>Capitotricha bicolor var. rubi (Bres.) Courtec., 1998</v>
      </c>
      <c r="AH7590" s="4" t="str">
        <f>HYPERLINK("#Statut_biogéographique!A"&amp;_xlfn.XMATCH("P",Statut_biogéographique!A:A,2,1),"P")</f>
        <v>P</v>
      </c>
      <c r="AP7590" s="4" t="s">
        <v>376</v>
      </c>
      <c r="AR7590" s="4" t="s">
        <v>377</v>
      </c>
    </row>
    <row r="7591" spans="1:44" ht="30">
      <c r="A7591" s="4" t="s">
        <v>5</v>
      </c>
      <c r="B7591" s="4">
        <v>869613</v>
      </c>
      <c r="C7591" s="4">
        <v>2744</v>
      </c>
      <c r="D7591" s="5" t="s">
        <v>10420</v>
      </c>
      <c r="E7591" s="6" t="str">
        <f>HYPERLINK("https://inpn.mnhn.fr/espece/cd_nom/869613","Hymenoscyphus monticola var. latispora Declercq &amp; van der Gucht")</f>
        <v>Hymenoscyphus monticola var. latispora Declercq &amp; van der Gucht</v>
      </c>
      <c r="AH7591" s="4" t="str">
        <f>HYPERLINK("#Statut_biogéographique!A"&amp;_xlfn.XMATCH("P",Statut_biogéographique!A:A,2,1),"P")</f>
        <v>P</v>
      </c>
      <c r="AP7591" s="4" t="s">
        <v>376</v>
      </c>
      <c r="AR7591" s="4" t="s">
        <v>377</v>
      </c>
    </row>
    <row r="7592" spans="1:44" ht="30">
      <c r="A7592" s="4" t="s">
        <v>5</v>
      </c>
      <c r="B7592" s="4">
        <v>869630</v>
      </c>
      <c r="C7592" s="4">
        <v>3926</v>
      </c>
      <c r="D7592" s="5" t="s">
        <v>10421</v>
      </c>
      <c r="E7592" s="6" t="str">
        <f>HYPERLINK("https://inpn.mnhn.fr/espece/cd_nom/869630","Hymenoscyphus fructigenus var. coryli (Feuilleaub.) Hengstm., 1985")</f>
        <v>Hymenoscyphus fructigenus var. coryli (Feuilleaub.) Hengstm., 1985</v>
      </c>
      <c r="AH7592" s="4" t="str">
        <f>HYPERLINK("#Statut_biogéographique!A"&amp;_xlfn.XMATCH("P",Statut_biogéographique!A:A,2,1),"P")</f>
        <v>P</v>
      </c>
      <c r="AP7592" s="4" t="s">
        <v>376</v>
      </c>
      <c r="AR7592" s="4" t="s">
        <v>377</v>
      </c>
    </row>
    <row r="7593" spans="1:44" ht="30">
      <c r="A7593" s="4" t="s">
        <v>5</v>
      </c>
      <c r="B7593" s="4">
        <v>869741</v>
      </c>
      <c r="C7593" s="4">
        <v>6772</v>
      </c>
      <c r="D7593" s="5" t="s">
        <v>10422</v>
      </c>
      <c r="E7593" s="6" t="str">
        <f>HYPERLINK("https://inpn.mnhn.fr/espece/cd_nom/869741","Fusicladium pyracanthae (Otth) Viennot-Bourgin")</f>
        <v>Fusicladium pyracanthae (Otth) Viennot-Bourgin</v>
      </c>
      <c r="AH7593" s="4" t="str">
        <f>HYPERLINK("#Statut_biogéographique!A"&amp;_xlfn.XMATCH("P",Statut_biogéographique!A:A,2,1),"P")</f>
        <v>P</v>
      </c>
      <c r="AP7593" s="4" t="s">
        <v>376</v>
      </c>
      <c r="AR7593" s="4" t="s">
        <v>377</v>
      </c>
    </row>
    <row r="7594" spans="1:44" ht="30">
      <c r="A7594" s="4" t="s">
        <v>5</v>
      </c>
      <c r="B7594" s="4">
        <v>870897</v>
      </c>
      <c r="C7594" s="4">
        <v>6492</v>
      </c>
      <c r="D7594" s="5" t="s">
        <v>10423</v>
      </c>
      <c r="E7594" s="6" t="str">
        <f>HYPERLINK("https://inpn.mnhn.fr/espece/cd_nom/870897","Bionectria ochroleuca (Schwein.) Schroers &amp; Samuels, 1997")</f>
        <v>Bionectria ochroleuca (Schwein.) Schroers &amp; Samuels, 1997</v>
      </c>
      <c r="AH7594" s="4" t="str">
        <f>HYPERLINK("#Statut_biogéographique!A"&amp;_xlfn.XMATCH("P",Statut_biogéographique!A:A,2,1),"P")</f>
        <v>P</v>
      </c>
      <c r="AP7594" s="4" t="s">
        <v>376</v>
      </c>
      <c r="AR7594" s="4" t="s">
        <v>377</v>
      </c>
    </row>
    <row r="7595" spans="1:44">
      <c r="A7595" s="4" t="s">
        <v>5</v>
      </c>
      <c r="B7595" s="4">
        <v>870901</v>
      </c>
      <c r="C7595" s="4">
        <v>4887</v>
      </c>
      <c r="D7595" s="5" t="s">
        <v>10424</v>
      </c>
      <c r="E7595" s="6" t="str">
        <f>HYPERLINK("https://inpn.mnhn.fr/espece/cd_nom/870901","Blistum ovalisporum (A.L.Sm.) B.Sutton, 1973")</f>
        <v>Blistum ovalisporum (A.L.Sm.) B.Sutton, 1973</v>
      </c>
      <c r="AH7595" s="4" t="str">
        <f>HYPERLINK("#Statut_biogéographique!A"&amp;_xlfn.XMATCH("P",Statut_biogéographique!A:A,2,1),"P")</f>
        <v>P</v>
      </c>
      <c r="AP7595" s="4" t="s">
        <v>376</v>
      </c>
      <c r="AR7595" s="4" t="s">
        <v>377</v>
      </c>
    </row>
    <row r="7596" spans="1:44" ht="30">
      <c r="A7596" s="4" t="s">
        <v>5</v>
      </c>
      <c r="B7596" s="4">
        <v>870947</v>
      </c>
      <c r="C7596" s="4">
        <v>4446</v>
      </c>
      <c r="D7596" s="5" t="s">
        <v>10425</v>
      </c>
      <c r="E7596" s="6" t="str">
        <f>HYPERLINK("https://inpn.mnhn.fr/espece/cd_nom/870947","Elaphocordyceps longisegmentis (Ginns) G.H.Sung, J.M.Sung &amp; Spatafora, 2007")</f>
        <v>Elaphocordyceps longisegmentis (Ginns) G.H.Sung, J.M.Sung &amp; Spatafora, 2007</v>
      </c>
      <c r="AH7596" s="4" t="str">
        <f>HYPERLINK("#Statut_biogéographique!A"&amp;_xlfn.XMATCH("P",Statut_biogéographique!A:A,2,1),"P")</f>
        <v>P</v>
      </c>
      <c r="AP7596" s="4" t="s">
        <v>376</v>
      </c>
      <c r="AR7596" s="4" t="s">
        <v>377</v>
      </c>
    </row>
    <row r="7597" spans="1:44" ht="45">
      <c r="A7597" s="4" t="s">
        <v>5</v>
      </c>
      <c r="B7597" s="4">
        <v>870948</v>
      </c>
      <c r="C7597" s="4">
        <v>2862</v>
      </c>
      <c r="D7597" s="5" t="s">
        <v>10426</v>
      </c>
      <c r="E7597" s="6" t="str">
        <f>HYPERLINK("https://inpn.mnhn.fr/espece/cd_nom/870948","Elaphocordyceps ophioglossoides (J.F.Gmel.) G.H.Sung, J.M.Sung &amp; Spatafora, 2007")</f>
        <v>Elaphocordyceps ophioglossoides (J.F.Gmel.) G.H.Sung, J.M.Sung &amp; Spatafora, 2007</v>
      </c>
      <c r="F7597" s="5" t="s">
        <v>10427</v>
      </c>
      <c r="AH7597" s="4" t="str">
        <f>HYPERLINK("#Statut_biogéographique!A"&amp;_xlfn.XMATCH("P",Statut_biogéographique!A:A,2,1),"P")</f>
        <v>P</v>
      </c>
      <c r="AP7597" s="4" t="s">
        <v>376</v>
      </c>
      <c r="AR7597" s="4" t="s">
        <v>377</v>
      </c>
    </row>
    <row r="7598" spans="1:44">
      <c r="A7598" s="4" t="s">
        <v>5</v>
      </c>
      <c r="B7598" s="4">
        <v>872017</v>
      </c>
      <c r="C7598" s="4">
        <v>2279</v>
      </c>
      <c r="D7598" s="5" t="s">
        <v>10428</v>
      </c>
      <c r="E7598" s="6" t="str">
        <f>HYPERLINK("https://inpn.mnhn.fr/espece/cd_nom/872017","Ascochyta syringae (Westend.) Bres., 1894")</f>
        <v>Ascochyta syringae (Westend.) Bres., 1894</v>
      </c>
      <c r="AH7598" s="4" t="str">
        <f>HYPERLINK("#Statut_biogéographique!A"&amp;_xlfn.XMATCH("P",Statut_biogéographique!A:A,2,1),"P")</f>
        <v>P</v>
      </c>
      <c r="AP7598" s="4" t="s">
        <v>376</v>
      </c>
      <c r="AR7598" s="4" t="s">
        <v>377</v>
      </c>
    </row>
    <row r="7599" spans="1:44" ht="30">
      <c r="A7599" s="4" t="s">
        <v>5</v>
      </c>
      <c r="B7599" s="4">
        <v>873772</v>
      </c>
      <c r="C7599" s="4">
        <v>6806</v>
      </c>
      <c r="D7599" s="5" t="s">
        <v>10429</v>
      </c>
      <c r="E7599" s="6" t="str">
        <f>HYPERLINK("https://inpn.mnhn.fr/espece/cd_nom/873772","Anisogramma vepris (Lacroix) Merezhko, 1986")</f>
        <v>Anisogramma vepris (Lacroix) Merezhko, 1986</v>
      </c>
      <c r="AH7599" s="4" t="str">
        <f>HYPERLINK("#Statut_biogéographique!A"&amp;_xlfn.XMATCH("P",Statut_biogéographique!A:A,2,1),"P")</f>
        <v>P</v>
      </c>
      <c r="AP7599" s="4" t="s">
        <v>376</v>
      </c>
      <c r="AR7599" s="4" t="s">
        <v>377</v>
      </c>
    </row>
    <row r="7600" spans="1:44">
      <c r="A7600" s="4" t="s">
        <v>5</v>
      </c>
      <c r="B7600" s="4">
        <v>874148</v>
      </c>
      <c r="C7600" s="4">
        <v>4132</v>
      </c>
      <c r="D7600" s="5" t="s">
        <v>10430</v>
      </c>
      <c r="E7600" s="6" t="str">
        <f>HYPERLINK("https://inpn.mnhn.fr/espece/cd_nom/874148","Phomopsis arctii (Lasch) Traverso, 1906")</f>
        <v>Phomopsis arctii (Lasch) Traverso, 1906</v>
      </c>
      <c r="AH7600" s="4" t="str">
        <f>HYPERLINK("#Statut_biogéographique!A"&amp;_xlfn.XMATCH("P",Statut_biogéographique!A:A,2,1),"P")</f>
        <v>P</v>
      </c>
      <c r="AP7600" s="4" t="s">
        <v>376</v>
      </c>
      <c r="AR7600" s="4" t="s">
        <v>377</v>
      </c>
    </row>
    <row r="7601" spans="1:44">
      <c r="A7601" s="4" t="s">
        <v>5</v>
      </c>
      <c r="B7601" s="4">
        <v>874248</v>
      </c>
      <c r="C7601" s="4">
        <v>6902</v>
      </c>
      <c r="D7601" s="5" t="s">
        <v>10431</v>
      </c>
      <c r="E7601" s="6" t="str">
        <f>HYPERLINK("https://inpn.mnhn.fr/espece/cd_nom/874248","Phomopsis pustulata (Sacc.) Died., 1911")</f>
        <v>Phomopsis pustulata (Sacc.) Died., 1911</v>
      </c>
      <c r="AH7601" s="4" t="str">
        <f>HYPERLINK("#Statut_biogéographique!A"&amp;_xlfn.XMATCH("P",Statut_biogéographique!A:A,2,1),"P")</f>
        <v>P</v>
      </c>
      <c r="AP7601" s="4" t="s">
        <v>376</v>
      </c>
      <c r="AR7601" s="4" t="s">
        <v>377</v>
      </c>
    </row>
    <row r="7602" spans="1:44">
      <c r="A7602" s="4" t="s">
        <v>5</v>
      </c>
      <c r="B7602" s="4">
        <v>874450</v>
      </c>
      <c r="C7602" s="4">
        <v>1594</v>
      </c>
      <c r="D7602" s="5" t="s">
        <v>10432</v>
      </c>
      <c r="E7602" s="6" t="str">
        <f>HYPERLINK("https://inpn.mnhn.fr/espece/cd_nom/874450","Diplosporonema delastrei (Delacr.) Petr.")</f>
        <v>Diplosporonema delastrei (Delacr.) Petr.</v>
      </c>
      <c r="AH7602" s="4" t="str">
        <f>HYPERLINK("#Statut_biogéographique!A"&amp;_xlfn.XMATCH("P",Statut_biogéographique!A:A,2,1),"P")</f>
        <v>P</v>
      </c>
      <c r="AP7602" s="4" t="s">
        <v>376</v>
      </c>
      <c r="AR7602" s="4" t="s">
        <v>377</v>
      </c>
    </row>
    <row r="7603" spans="1:44" ht="30">
      <c r="A7603" s="4" t="s">
        <v>5</v>
      </c>
      <c r="B7603" s="4">
        <v>874912</v>
      </c>
      <c r="D7603" s="5" t="s">
        <v>10433</v>
      </c>
      <c r="E7603" s="6" t="str">
        <f>HYPERLINK("https://inpn.mnhn.fr/espece/cd_nom/874912","Erysiphe alphitoides (Griffon &amp; Maubl.) U.Braun &amp; S.Takam., 2000")</f>
        <v>Erysiphe alphitoides (Griffon &amp; Maubl.) U.Braun &amp; S.Takam., 2000</v>
      </c>
      <c r="F7603" s="5" t="s">
        <v>10434</v>
      </c>
      <c r="AH7603" s="4" t="str">
        <f>HYPERLINK("#Statut_biogéographique!A"&amp;_xlfn.XMATCH("P",Statut_biogéographique!A:A,2,1),"P")</f>
        <v>P</v>
      </c>
      <c r="AP7603" s="4" t="s">
        <v>376</v>
      </c>
      <c r="AR7603" s="4" t="s">
        <v>377</v>
      </c>
    </row>
    <row r="7604" spans="1:44">
      <c r="A7604" s="4" t="s">
        <v>5</v>
      </c>
      <c r="B7604" s="4">
        <v>874915</v>
      </c>
      <c r="C7604" s="4">
        <v>2299</v>
      </c>
      <c r="D7604" s="5" t="s">
        <v>10435</v>
      </c>
      <c r="E7604" s="6" t="str">
        <f>HYPERLINK("https://inpn.mnhn.fr/espece/cd_nom/874915","Erysiphe astragali DC., 1815")</f>
        <v>Erysiphe astragali DC., 1815</v>
      </c>
      <c r="AH7604" s="4" t="str">
        <f>HYPERLINK("#Statut_biogéographique!A"&amp;_xlfn.XMATCH("P",Statut_biogéographique!A:A,2,1),"P")</f>
        <v>P</v>
      </c>
      <c r="AP7604" s="4" t="s">
        <v>376</v>
      </c>
      <c r="AR7604" s="4" t="s">
        <v>377</v>
      </c>
    </row>
    <row r="7605" spans="1:44" ht="30">
      <c r="A7605" s="4" t="s">
        <v>5</v>
      </c>
      <c r="B7605" s="4">
        <v>875175</v>
      </c>
      <c r="C7605" s="4">
        <v>6551</v>
      </c>
      <c r="D7605" s="5" t="s">
        <v>10436</v>
      </c>
      <c r="E7605" s="6" t="str">
        <f>HYPERLINK("https://inpn.mnhn.fr/espece/cd_nom/875175","Erysiphe platani (Howe) U.Braun &amp; S.Takam., 2000")</f>
        <v>Erysiphe platani (Howe) U.Braun &amp; S.Takam., 2000</v>
      </c>
      <c r="AH7605" s="4" t="str">
        <f>HYPERLINK("#Statut_biogéographique!A"&amp;_xlfn.XMATCH("P",Statut_biogéographique!A:A,2,1),"P")</f>
        <v>P</v>
      </c>
      <c r="AP7605" s="4" t="s">
        <v>376</v>
      </c>
      <c r="AR7605" s="4" t="s">
        <v>377</v>
      </c>
    </row>
    <row r="7606" spans="1:44">
      <c r="A7606" s="4" t="s">
        <v>5</v>
      </c>
      <c r="B7606" s="4">
        <v>875210</v>
      </c>
      <c r="C7606" s="4">
        <v>5587</v>
      </c>
      <c r="D7606" s="5" t="s">
        <v>10437</v>
      </c>
      <c r="E7606" s="6" t="str">
        <f>HYPERLINK("https://inpn.mnhn.fr/espece/cd_nom/875210","Lachnellula calycina (Schumach.) Sacc., 1889")</f>
        <v>Lachnellula calycina (Schumach.) Sacc., 1889</v>
      </c>
      <c r="F7606" s="5" t="s">
        <v>10438</v>
      </c>
      <c r="AH7606" s="4" t="str">
        <f>HYPERLINK("#Statut_biogéographique!A"&amp;_xlfn.XMATCH("P",Statut_biogéographique!A:A,2,1),"P")</f>
        <v>P</v>
      </c>
      <c r="AP7606" s="4" t="s">
        <v>376</v>
      </c>
      <c r="AR7606" s="4" t="s">
        <v>377</v>
      </c>
    </row>
    <row r="7607" spans="1:44">
      <c r="A7607" s="4" t="s">
        <v>5</v>
      </c>
      <c r="B7607" s="4">
        <v>876032</v>
      </c>
      <c r="C7607" s="4">
        <v>2774</v>
      </c>
      <c r="D7607" s="5">
        <v>862542</v>
      </c>
      <c r="E7607" s="6" t="str">
        <f>HYPERLINK("https://inpn.mnhn.fr/espece/cd_nom/876032","Fusarium lateritium Nees, 1816")</f>
        <v>Fusarium lateritium Nees, 1816</v>
      </c>
      <c r="AH7607" s="4" t="str">
        <f>HYPERLINK("#Statut_biogéographique!A"&amp;_xlfn.XMATCH("P",Statut_biogéographique!A:A,2,1),"P")</f>
        <v>P</v>
      </c>
      <c r="AP7607" s="4" t="s">
        <v>376</v>
      </c>
      <c r="AR7607" s="4" t="s">
        <v>377</v>
      </c>
    </row>
    <row r="7608" spans="1:44">
      <c r="A7608" s="4" t="s">
        <v>5</v>
      </c>
      <c r="B7608" s="4">
        <v>876079</v>
      </c>
      <c r="C7608" s="4">
        <v>5931</v>
      </c>
      <c r="D7608" s="5" t="s">
        <v>10439</v>
      </c>
      <c r="E7608" s="6" t="str">
        <f>HYPERLINK("https://inpn.mnhn.fr/espece/cd_nom/876079","Helvella alpestris Boud., 1895")</f>
        <v>Helvella alpestris Boud., 1895</v>
      </c>
      <c r="Z7608" s="4" t="s">
        <v>443</v>
      </c>
      <c r="AA7608" s="4" t="s">
        <v>444</v>
      </c>
      <c r="AH7608" s="4" t="str">
        <f>HYPERLINK("#Statut_biogéographique!A"&amp;_xlfn.XMATCH("P",Statut_biogéographique!A:A,2,1),"P")</f>
        <v>P</v>
      </c>
      <c r="AP7608" s="4" t="s">
        <v>376</v>
      </c>
      <c r="AR7608" s="4" t="s">
        <v>377</v>
      </c>
    </row>
    <row r="7609" spans="1:44" ht="30">
      <c r="A7609" s="4" t="s">
        <v>5</v>
      </c>
      <c r="B7609" s="4">
        <v>876288</v>
      </c>
      <c r="C7609" s="4">
        <v>5326</v>
      </c>
      <c r="D7609" s="5" t="s">
        <v>10440</v>
      </c>
      <c r="E7609" s="6" t="str">
        <f>HYPERLINK("https://inpn.mnhn.fr/espece/cd_nom/876288","Colletotrichum gloeosporioides (Penz.) Penz. &amp; Sacc., 1884")</f>
        <v>Colletotrichum gloeosporioides (Penz.) Penz. &amp; Sacc., 1884</v>
      </c>
      <c r="AH7609" s="4" t="str">
        <f>HYPERLINK("#Statut_biogéographique!A"&amp;_xlfn.XMATCH("P",Statut_biogéographique!A:A,2,1),"P")</f>
        <v>P</v>
      </c>
      <c r="AP7609" s="4" t="s">
        <v>376</v>
      </c>
      <c r="AR7609" s="4" t="s">
        <v>377</v>
      </c>
    </row>
    <row r="7610" spans="1:44">
      <c r="A7610" s="4" t="s">
        <v>5</v>
      </c>
      <c r="B7610" s="4">
        <v>876452</v>
      </c>
      <c r="C7610" s="4">
        <v>1415</v>
      </c>
      <c r="D7610" s="5" t="s">
        <v>10441</v>
      </c>
      <c r="E7610" s="6" t="str">
        <f>HYPERLINK("https://inpn.mnhn.fr/espece/cd_nom/876452","Trichoderma aureoviride Rifai, 1969")</f>
        <v>Trichoderma aureoviride Rifai, 1969</v>
      </c>
      <c r="Z7610" s="4" t="s">
        <v>443</v>
      </c>
      <c r="AA7610" s="4" t="s">
        <v>444</v>
      </c>
      <c r="AH7610" s="4" t="str">
        <f>HYPERLINK("#Statut_biogéographique!A"&amp;_xlfn.XMATCH("P",Statut_biogéographique!A:A,2,1),"P")</f>
        <v>P</v>
      </c>
      <c r="AP7610" s="4" t="s">
        <v>376</v>
      </c>
      <c r="AR7610" s="4" t="s">
        <v>377</v>
      </c>
    </row>
    <row r="7611" spans="1:44" ht="30">
      <c r="A7611" s="4" t="s">
        <v>5</v>
      </c>
      <c r="B7611" s="4">
        <v>876811</v>
      </c>
      <c r="C7611" s="4">
        <v>1785</v>
      </c>
      <c r="D7611" s="5" t="s">
        <v>10442</v>
      </c>
      <c r="E7611" s="6" t="str">
        <f>HYPERLINK("https://inpn.mnhn.fr/espece/cd_nom/876811","Arthrinium puccinioides Kunze &amp; J.C.Schmidt, 1823")</f>
        <v>Arthrinium puccinioides Kunze &amp; J.C.Schmidt, 1823</v>
      </c>
      <c r="AH7611" s="4" t="str">
        <f>HYPERLINK("#Statut_biogéographique!A"&amp;_xlfn.XMATCH("P",Statut_biogéographique!A:A,2,1),"P")</f>
        <v>P</v>
      </c>
      <c r="AP7611" s="4" t="s">
        <v>376</v>
      </c>
      <c r="AR7611" s="4" t="s">
        <v>377</v>
      </c>
    </row>
    <row r="7612" spans="1:44" ht="45">
      <c r="A7612" s="4" t="s">
        <v>5</v>
      </c>
      <c r="B7612" s="4">
        <v>878844</v>
      </c>
      <c r="D7612" s="5" t="s">
        <v>10443</v>
      </c>
      <c r="E7612" s="6" t="str">
        <f>HYPERLINK("https://inpn.mnhn.fr/espece/cd_nom/878844","Peziza depressa Pers., 1796")</f>
        <v>Peziza depressa Pers., 1796</v>
      </c>
      <c r="V7612" s="7" t="str">
        <f>HYPERLINK("#Liste_rouge!A"&amp;_xlfn.XMATCH("DD",Liste_rouge!A:A,2,1),"DD")</f>
        <v>DD</v>
      </c>
      <c r="AH7612" s="4" t="str">
        <f>HYPERLINK("#Statut_biogéographique!A"&amp;_xlfn.XMATCH("P",Statut_biogéographique!A:A,2,1),"P")</f>
        <v>P</v>
      </c>
      <c r="AP7612" s="4" t="s">
        <v>376</v>
      </c>
      <c r="AR7612" s="4" t="s">
        <v>377</v>
      </c>
    </row>
    <row r="7613" spans="1:44" ht="30">
      <c r="A7613" s="4" t="s">
        <v>5</v>
      </c>
      <c r="B7613" s="4">
        <v>880629</v>
      </c>
      <c r="C7613" s="4">
        <v>5548</v>
      </c>
      <c r="D7613" s="5" t="s">
        <v>10444</v>
      </c>
      <c r="E7613" s="6" t="str">
        <f>HYPERLINK("https://inpn.mnhn.fr/espece/cd_nom/880629","Cladosporium iridis (Fautrey &amp; Roum.) G.A.de Vries, 1952")</f>
        <v>Cladosporium iridis (Fautrey &amp; Roum.) G.A.de Vries, 1952</v>
      </c>
      <c r="AH7613" s="4" t="str">
        <f>HYPERLINK("#Statut_biogéographique!A"&amp;_xlfn.XMATCH("P",Statut_biogéographique!A:A,2,1),"P")</f>
        <v>P</v>
      </c>
      <c r="AP7613" s="4" t="s">
        <v>376</v>
      </c>
      <c r="AR7613" s="4" t="s">
        <v>377</v>
      </c>
    </row>
    <row r="7614" spans="1:44">
      <c r="A7614" s="4" t="s">
        <v>5</v>
      </c>
      <c r="B7614" s="4">
        <v>881550</v>
      </c>
      <c r="C7614" s="4">
        <v>4136</v>
      </c>
      <c r="D7614" s="5" t="s">
        <v>10445</v>
      </c>
      <c r="E7614" s="6" t="str">
        <f>HYPERLINK("https://inpn.mnhn.fr/espece/cd_nom/881550","Cytospora populina (Pers.) Rabenh., 1844")</f>
        <v>Cytospora populina (Pers.) Rabenh., 1844</v>
      </c>
      <c r="AH7614" s="4" t="str">
        <f>HYPERLINK("#Statut_biogéographique!A"&amp;_xlfn.XMATCH("P",Statut_biogéographique!A:A,2,1),"P")</f>
        <v>P</v>
      </c>
      <c r="AP7614" s="4" t="s">
        <v>376</v>
      </c>
      <c r="AR7614" s="4" t="s">
        <v>377</v>
      </c>
    </row>
    <row r="7615" spans="1:44">
      <c r="A7615" s="4" t="s">
        <v>5</v>
      </c>
      <c r="B7615" s="4">
        <v>883091</v>
      </c>
      <c r="C7615" s="4">
        <v>915</v>
      </c>
      <c r="D7615" s="5" t="s">
        <v>10446</v>
      </c>
      <c r="E7615" s="6" t="str">
        <f>HYPERLINK("https://inpn.mnhn.fr/espece/cd_nom/883091","Botrytis cinerea Pers., 1801")</f>
        <v>Botrytis cinerea Pers., 1801</v>
      </c>
      <c r="AH7615" s="4" t="str">
        <f>HYPERLINK("#Statut_biogéographique!A"&amp;_xlfn.XMATCH("P",Statut_biogéographique!A:A,2,1),"P")</f>
        <v>P</v>
      </c>
      <c r="AP7615" s="4" t="s">
        <v>376</v>
      </c>
      <c r="AR7615" s="4" t="s">
        <v>377</v>
      </c>
    </row>
    <row r="7616" spans="1:44" ht="30">
      <c r="A7616" s="4" t="s">
        <v>5</v>
      </c>
      <c r="B7616" s="4">
        <v>883094</v>
      </c>
      <c r="C7616" s="4">
        <v>1318</v>
      </c>
      <c r="D7616" s="5" t="s">
        <v>10447</v>
      </c>
      <c r="E7616" s="6" t="str">
        <f>HYPERLINK("https://inpn.mnhn.fr/espece/cd_nom/883094","Cladosporium herbarum (Pers.) Link, 1816")</f>
        <v>Cladosporium herbarum (Pers.) Link, 1816</v>
      </c>
      <c r="AH7616" s="4" t="str">
        <f>HYPERLINK("#Statut_biogéographique!A"&amp;_xlfn.XMATCH("P",Statut_biogéographique!A:A,2,1),"P")</f>
        <v>P</v>
      </c>
      <c r="AP7616" s="4" t="s">
        <v>376</v>
      </c>
      <c r="AR7616" s="4" t="s">
        <v>377</v>
      </c>
    </row>
    <row r="7617" spans="1:44">
      <c r="A7617" s="4" t="s">
        <v>5</v>
      </c>
      <c r="B7617" s="4">
        <v>883722</v>
      </c>
      <c r="C7617" s="4">
        <v>945</v>
      </c>
      <c r="D7617" s="5" t="s">
        <v>10448</v>
      </c>
      <c r="E7617" s="6" t="str">
        <f>HYPERLINK("https://inpn.mnhn.fr/espece/cd_nom/883722","Erysiphe trifolii Grev., 1824")</f>
        <v>Erysiphe trifolii Grev., 1824</v>
      </c>
      <c r="AH7617" s="4" t="str">
        <f>HYPERLINK("#Statut_biogéographique!A"&amp;_xlfn.XMATCH("P",Statut_biogéographique!A:A,2,1),"P")</f>
        <v>P</v>
      </c>
      <c r="AP7617" s="4" t="s">
        <v>376</v>
      </c>
      <c r="AR7617" s="4" t="s">
        <v>377</v>
      </c>
    </row>
    <row r="7618" spans="1:44">
      <c r="A7618" s="4" t="s">
        <v>5</v>
      </c>
      <c r="B7618" s="4">
        <v>883829</v>
      </c>
      <c r="C7618" s="4">
        <v>889</v>
      </c>
      <c r="D7618" s="5" t="s">
        <v>10449</v>
      </c>
      <c r="E7618" s="6" t="str">
        <f>HYPERLINK("https://inpn.mnhn.fr/espece/cd_nom/883829","Hypoxylon howeanum Peck, 1872")</f>
        <v>Hypoxylon howeanum Peck, 1872</v>
      </c>
      <c r="V7618" s="7" t="str">
        <f>HYPERLINK("#Liste_rouge!A"&amp;_xlfn.XMATCH("LC",Liste_rouge!A:A,2,1),"LC")</f>
        <v>LC</v>
      </c>
      <c r="AH7618" s="4" t="str">
        <f>HYPERLINK("#Statut_biogéographique!A"&amp;_xlfn.XMATCH("P",Statut_biogéographique!A:A,2,1),"P")</f>
        <v>P</v>
      </c>
      <c r="AP7618" s="4" t="s">
        <v>376</v>
      </c>
      <c r="AR7618" s="4" t="s">
        <v>377</v>
      </c>
    </row>
    <row r="7619" spans="1:44" ht="30">
      <c r="A7619" s="4" t="s">
        <v>5</v>
      </c>
      <c r="B7619" s="4">
        <v>897147</v>
      </c>
      <c r="C7619" s="4">
        <v>2169</v>
      </c>
      <c r="D7619" s="5" t="s">
        <v>10450</v>
      </c>
      <c r="E7619" s="6" t="str">
        <f>HYPERLINK("https://inpn.mnhn.fr/espece/cd_nom/897147","Brunneoporus malicola (Berk. &amp; M.A.Curtis) Audet, 2017")</f>
        <v>Brunneoporus malicola (Berk. &amp; M.A.Curtis) Audet, 2017</v>
      </c>
      <c r="V7619" s="7" t="str">
        <f>HYPERLINK("#Liste_rouge!A"&amp;_xlfn.XMATCH("NT",Liste_rouge!A:A,2,1),"NT")</f>
        <v>NT</v>
      </c>
      <c r="W7619" s="4" t="str">
        <f>HYPERLINK("#Critères_liste_rouge!A$1","pr. A2c")</f>
        <v>pr. A2c</v>
      </c>
      <c r="AH7619" s="4" t="str">
        <f>HYPERLINK("#Statut_biogéographique!A"&amp;_xlfn.XMATCH("P",Statut_biogéographique!A:A,2,1),"P")</f>
        <v>P</v>
      </c>
      <c r="AP7619" s="4" t="s">
        <v>376</v>
      </c>
      <c r="AR7619" s="4" t="s">
        <v>377</v>
      </c>
    </row>
    <row r="7620" spans="1:44" ht="30">
      <c r="A7620" s="4" t="s">
        <v>5</v>
      </c>
      <c r="B7620" s="4">
        <v>900328</v>
      </c>
      <c r="D7620" s="5" t="s">
        <v>10451</v>
      </c>
      <c r="E7620" s="6" t="str">
        <f>HYPERLINK("https://inpn.mnhn.fr/espece/cd_nom/900328","Fomitiporia punctata (P.Karst.) Murrill, 1947")</f>
        <v>Fomitiporia punctata (P.Karst.) Murrill, 1947</v>
      </c>
      <c r="V7620" s="7" t="str">
        <f>HYPERLINK("#Liste_rouge!A"&amp;_xlfn.XMATCH("LC",Liste_rouge!A:A,2,1),"LC")</f>
        <v>LC</v>
      </c>
      <c r="AH7620" s="4" t="str">
        <f>HYPERLINK("#Statut_biogéographique!A"&amp;_xlfn.XMATCH("P",Statut_biogéographique!A:A,2,1),"P")</f>
        <v>P</v>
      </c>
      <c r="AP7620" s="4" t="s">
        <v>376</v>
      </c>
      <c r="AR7620" s="4" t="s">
        <v>377</v>
      </c>
    </row>
    <row r="7621" spans="1:44" ht="45">
      <c r="A7621" s="4" t="s">
        <v>5</v>
      </c>
      <c r="B7621" s="4">
        <v>900335</v>
      </c>
      <c r="D7621" s="5" t="s">
        <v>10452</v>
      </c>
      <c r="E7621" s="6" t="str">
        <f>HYPERLINK("https://inpn.mnhn.fr/espece/cd_nom/900335","Fomitiporia robusta (P.Karst.) Fiasson &amp; Niemelä, 1984")</f>
        <v>Fomitiporia robusta (P.Karst.) Fiasson &amp; Niemelä, 1984</v>
      </c>
      <c r="F7621" s="5" t="s">
        <v>10453</v>
      </c>
      <c r="V7621" s="7" t="str">
        <f>HYPERLINK("#Liste_rouge!A"&amp;_xlfn.XMATCH("LC",Liste_rouge!A:A,2,1),"LC")</f>
        <v>LC</v>
      </c>
      <c r="AH7621" s="4" t="str">
        <f>HYPERLINK("#Statut_biogéographique!A"&amp;_xlfn.XMATCH("P",Statut_biogéographique!A:A,2,1),"P")</f>
        <v>P</v>
      </c>
      <c r="AP7621" s="4" t="s">
        <v>376</v>
      </c>
      <c r="AR7621" s="4" t="s">
        <v>377</v>
      </c>
    </row>
    <row r="7622" spans="1:44" ht="30">
      <c r="A7622" s="4" t="s">
        <v>5</v>
      </c>
      <c r="B7622" s="4">
        <v>900973</v>
      </c>
      <c r="C7622" s="4">
        <v>7171</v>
      </c>
      <c r="D7622" s="5" t="s">
        <v>10454</v>
      </c>
      <c r="E7622" s="6" t="str">
        <f>HYPERLINK("https://inpn.mnhn.fr/espece/cd_nom/900973","Sidera vulgaris (Fr.) Miettinen, 2011")</f>
        <v>Sidera vulgaris (Fr.) Miettinen, 2011</v>
      </c>
      <c r="AH7622" s="4" t="str">
        <f>HYPERLINK("#Statut_biogéographique!A"&amp;_xlfn.XMATCH("P",Statut_biogéographique!A:A,2,1),"P")</f>
        <v>P</v>
      </c>
      <c r="AP7622" s="4" t="s">
        <v>376</v>
      </c>
      <c r="AR7622" s="4" t="s">
        <v>377</v>
      </c>
    </row>
    <row r="7623" spans="1:44" ht="90">
      <c r="A7623" s="4" t="s">
        <v>5</v>
      </c>
      <c r="B7623" s="4">
        <v>901371</v>
      </c>
      <c r="C7623" s="4">
        <v>76</v>
      </c>
      <c r="D7623" s="5" t="s">
        <v>10455</v>
      </c>
      <c r="E7623" s="6" t="str">
        <f>HYPERLINK("https://inpn.mnhn.fr/espece/cd_nom/901371","Agaricus sylvaticus Schaeff., 1774")</f>
        <v>Agaricus sylvaticus Schaeff., 1774</v>
      </c>
      <c r="F7623" s="5" t="s">
        <v>10456</v>
      </c>
      <c r="O7623" s="7" t="str">
        <f>HYPERLINK("#Liste_rouge!A"&amp;_xlfn.XMATCH("LC",Liste_rouge!A:A,2,1),"LC")</f>
        <v>LC</v>
      </c>
      <c r="V7623" s="7" t="str">
        <f>HYPERLINK("#Liste_rouge!A"&amp;_xlfn.XMATCH("LC",Liste_rouge!A:A,2,1),"LC")</f>
        <v>LC</v>
      </c>
      <c r="W7623" s="4" t="str">
        <f>HYPERLINK("#Critères_liste_rouge!A$1","A2c")</f>
        <v>A2c</v>
      </c>
      <c r="Z7623" s="4" t="s">
        <v>443</v>
      </c>
      <c r="AA7623" s="4" t="s">
        <v>444</v>
      </c>
      <c r="AH7623" s="4" t="str">
        <f>HYPERLINK("#Statut_biogéographique!A"&amp;_xlfn.XMATCH("P",Statut_biogéographique!A:A,2,1),"P")</f>
        <v>P</v>
      </c>
      <c r="AP7623" s="4" t="s">
        <v>376</v>
      </c>
      <c r="AR7623" s="4" t="s">
        <v>377</v>
      </c>
    </row>
    <row r="7624" spans="1:44" ht="30">
      <c r="A7624" s="4" t="s">
        <v>5</v>
      </c>
      <c r="B7624" s="4">
        <v>901563</v>
      </c>
      <c r="C7624" s="4">
        <v>2389</v>
      </c>
      <c r="D7624" s="5" t="s">
        <v>10457</v>
      </c>
      <c r="E7624" s="6" t="str">
        <f>HYPERLINK("https://inpn.mnhn.fr/espece/cd_nom/901563","Conocybe siennophylla (Berk. &amp; Broome) Singer ex Chiari &amp; Papetti, 2016")</f>
        <v>Conocybe siennophylla (Berk. &amp; Broome) Singer ex Chiari &amp; Papetti, 2016</v>
      </c>
      <c r="V7624" s="7" t="str">
        <f>HYPERLINK("#Liste_rouge!A"&amp;_xlfn.XMATCH("DD",Liste_rouge!A:A,2,1),"DD")</f>
        <v>DD</v>
      </c>
      <c r="AH7624" s="4" t="str">
        <f>HYPERLINK("#Statut_biogéographique!A"&amp;_xlfn.XMATCH("P",Statut_biogéographique!A:A,2,1),"P")</f>
        <v>P</v>
      </c>
      <c r="AP7624" s="4" t="s">
        <v>376</v>
      </c>
      <c r="AR7624" s="4" t="s">
        <v>377</v>
      </c>
    </row>
    <row r="7625" spans="1:44" ht="30">
      <c r="A7625" s="4" t="s">
        <v>5</v>
      </c>
      <c r="B7625" s="4">
        <v>901574</v>
      </c>
      <c r="C7625" s="4">
        <v>2468</v>
      </c>
      <c r="D7625" s="5" t="s">
        <v>10458</v>
      </c>
      <c r="E7625" s="6" t="str">
        <f>HYPERLINK("https://inpn.mnhn.fr/espece/cd_nom/901574","Coprinopsis ephemeroides (DC.) G.Moreno, 2010")</f>
        <v>Coprinopsis ephemeroides (DC.) G.Moreno, 2010</v>
      </c>
      <c r="F7625" s="5" t="s">
        <v>10459</v>
      </c>
      <c r="V7625" s="7" t="str">
        <f>HYPERLINK("#Liste_rouge!A"&amp;_xlfn.XMATCH("LC",Liste_rouge!A:A,2,1),"LC")</f>
        <v>LC</v>
      </c>
      <c r="AH7625" s="4" t="str">
        <f>HYPERLINK("#Statut_biogéographique!A"&amp;_xlfn.XMATCH("P",Statut_biogéographique!A:A,2,1),"P")</f>
        <v>P</v>
      </c>
      <c r="AP7625" s="4" t="s">
        <v>376</v>
      </c>
      <c r="AR7625" s="4" t="s">
        <v>377</v>
      </c>
    </row>
    <row r="7626" spans="1:44" ht="30">
      <c r="A7626" s="4" t="s">
        <v>5</v>
      </c>
      <c r="B7626" s="4">
        <v>901577</v>
      </c>
      <c r="C7626" s="4">
        <v>556</v>
      </c>
      <c r="D7626" s="5" t="s">
        <v>10460</v>
      </c>
      <c r="E7626" s="6" t="str">
        <f>HYPERLINK("https://inpn.mnhn.fr/espece/cd_nom/901577","Coprinopsis lagopus (Fr.) Redhead, Vilgalys &amp; Moncalvo, 2001")</f>
        <v>Coprinopsis lagopus (Fr.) Redhead, Vilgalys &amp; Moncalvo, 2001</v>
      </c>
      <c r="F7626" s="5" t="s">
        <v>10461</v>
      </c>
      <c r="V7626" s="7" t="str">
        <f>HYPERLINK("#Liste_rouge!A"&amp;_xlfn.XMATCH("LC",Liste_rouge!A:A,2,1),"LC")</f>
        <v>LC</v>
      </c>
      <c r="AH7626" s="4" t="str">
        <f>HYPERLINK("#Statut_biogéographique!A"&amp;_xlfn.XMATCH("P",Statut_biogéographique!A:A,2,1),"P")</f>
        <v>P</v>
      </c>
      <c r="AP7626" s="4" t="s">
        <v>376</v>
      </c>
      <c r="AR7626" s="4" t="s">
        <v>377</v>
      </c>
    </row>
    <row r="7627" spans="1:44" ht="30">
      <c r="A7627" s="4" t="s">
        <v>5</v>
      </c>
      <c r="B7627" s="4">
        <v>901833</v>
      </c>
      <c r="D7627" s="5" t="s">
        <v>10462</v>
      </c>
      <c r="E7627" s="6" t="str">
        <f>HYPERLINK("https://inpn.mnhn.fr/espece/cd_nom/901833","Xylodon flaviporus (Berk. &amp; M.A.Curtis ex Cooke) Riebesehl &amp; Langer, 2017")</f>
        <v>Xylodon flaviporus (Berk. &amp; M.A.Curtis ex Cooke) Riebesehl &amp; Langer, 2017</v>
      </c>
      <c r="AH7627" s="4" t="str">
        <f>HYPERLINK("#Statut_biogéographique!A"&amp;_xlfn.XMATCH("P",Statut_biogéographique!A:A,2,1),"P")</f>
        <v>P</v>
      </c>
      <c r="AP7627" s="4" t="s">
        <v>376</v>
      </c>
      <c r="AR7627" s="4" t="s">
        <v>377</v>
      </c>
    </row>
    <row r="7628" spans="1:44" ht="45">
      <c r="A7628" s="4" t="s">
        <v>5</v>
      </c>
      <c r="B7628" s="4">
        <v>901854</v>
      </c>
      <c r="C7628" s="4">
        <v>503</v>
      </c>
      <c r="D7628" s="5" t="s">
        <v>10463</v>
      </c>
      <c r="E7628" s="6" t="str">
        <f>HYPERLINK("https://inpn.mnhn.fr/espece/cd_nom/901854","Xylodon sambuci (Pers.) Ţura, Zmitr., Wasser &amp; Spirin, 2011")</f>
        <v>Xylodon sambuci (Pers.) Ţura, Zmitr., Wasser &amp; Spirin, 2011</v>
      </c>
      <c r="V7628" s="7" t="str">
        <f>HYPERLINK("#Liste_rouge!A"&amp;_xlfn.XMATCH("LC",Liste_rouge!A:A,2,1),"LC")</f>
        <v>LC</v>
      </c>
      <c r="AH7628" s="4" t="str">
        <f>HYPERLINK("#Statut_biogéographique!A"&amp;_xlfn.XMATCH("P",Statut_biogéographique!A:A,2,1),"P")</f>
        <v>P</v>
      </c>
      <c r="AP7628" s="4" t="s">
        <v>376</v>
      </c>
      <c r="AR7628" s="4" t="s">
        <v>377</v>
      </c>
    </row>
    <row r="7629" spans="1:44">
      <c r="A7629" s="4" t="s">
        <v>5</v>
      </c>
      <c r="B7629" s="4">
        <v>903134</v>
      </c>
      <c r="C7629" s="4">
        <v>2939</v>
      </c>
      <c r="D7629" s="5" t="s">
        <v>10464</v>
      </c>
      <c r="E7629" s="6" t="str">
        <f>HYPERLINK("https://inpn.mnhn.fr/espece/cd_nom/903134","Laccaria ohiensis (Mont.) Singer, 1947")</f>
        <v>Laccaria ohiensis (Mont.) Singer, 1947</v>
      </c>
      <c r="AP7629" s="4" t="s">
        <v>376</v>
      </c>
      <c r="AR7629" s="4" t="s">
        <v>377</v>
      </c>
    </row>
    <row r="7630" spans="1:44">
      <c r="A7630" s="4" t="s">
        <v>5</v>
      </c>
      <c r="B7630" s="4">
        <v>905050</v>
      </c>
      <c r="C7630" s="4">
        <v>2039</v>
      </c>
      <c r="D7630" s="5" t="s">
        <v>10465</v>
      </c>
      <c r="E7630" s="6" t="str">
        <f>HYPERLINK("https://inpn.mnhn.fr/espece/cd_nom/905050","Ascochyta bohemica Kabát &amp; Bubák, 1905")</f>
        <v>Ascochyta bohemica Kabát &amp; Bubák, 1905</v>
      </c>
      <c r="AH7630" s="4" t="str">
        <f>HYPERLINK("#Statut_biogéographique!A"&amp;_xlfn.XMATCH("P",Statut_biogéographique!A:A,2,1),"P")</f>
        <v>P</v>
      </c>
      <c r="AP7630" s="4" t="s">
        <v>376</v>
      </c>
      <c r="AR7630" s="4" t="s">
        <v>377</v>
      </c>
    </row>
    <row r="7631" spans="1:44">
      <c r="A7631" s="4" t="s">
        <v>5</v>
      </c>
      <c r="B7631" s="4">
        <v>905051</v>
      </c>
      <c r="C7631" s="4">
        <v>6545</v>
      </c>
      <c r="D7631" s="5" t="s">
        <v>10466</v>
      </c>
      <c r="E7631" s="6" t="str">
        <f>HYPERLINK("https://inpn.mnhn.fr/espece/cd_nom/905051","Ascochyta coryli Sacc. &amp; Speg., 1878")</f>
        <v>Ascochyta coryli Sacc. &amp; Speg., 1878</v>
      </c>
      <c r="AH7631" s="4" t="str">
        <f>HYPERLINK("#Statut_biogéographique!A"&amp;_xlfn.XMATCH("P",Statut_biogéographique!A:A,2,1),"P")</f>
        <v>P</v>
      </c>
      <c r="AP7631" s="4" t="s">
        <v>376</v>
      </c>
      <c r="AR7631" s="4" t="s">
        <v>377</v>
      </c>
    </row>
    <row r="7632" spans="1:44">
      <c r="A7632" s="4" t="s">
        <v>5</v>
      </c>
      <c r="B7632" s="4">
        <v>905052</v>
      </c>
      <c r="C7632" s="4">
        <v>2535</v>
      </c>
      <c r="D7632" s="5" t="s">
        <v>10467</v>
      </c>
      <c r="E7632" s="6" t="str">
        <f>HYPERLINK("https://inpn.mnhn.fr/espece/cd_nom/905052","Ascochyta cytisi Lib., 1832")</f>
        <v>Ascochyta cytisi Lib., 1832</v>
      </c>
      <c r="AH7632" s="4" t="str">
        <f>HYPERLINK("#Statut_biogéographique!A"&amp;_xlfn.XMATCH("P",Statut_biogéographique!A:A,2,1),"P")</f>
        <v>P</v>
      </c>
      <c r="AP7632" s="4" t="s">
        <v>376</v>
      </c>
      <c r="AR7632" s="4" t="s">
        <v>377</v>
      </c>
    </row>
    <row r="7633" spans="1:44">
      <c r="A7633" s="4" t="s">
        <v>5</v>
      </c>
      <c r="B7633" s="4">
        <v>905053</v>
      </c>
      <c r="C7633" s="4">
        <v>4618</v>
      </c>
      <c r="D7633" s="5" t="s">
        <v>10468</v>
      </c>
      <c r="E7633" s="6" t="str">
        <f>HYPERLINK("https://inpn.mnhn.fr/espece/cd_nom/905053","Ascochyta doronici Allesch., 1897")</f>
        <v>Ascochyta doronici Allesch., 1897</v>
      </c>
      <c r="AH7633" s="4" t="str">
        <f>HYPERLINK("#Statut_biogéographique!A"&amp;_xlfn.XMATCH("P",Statut_biogéographique!A:A,2,1),"P")</f>
        <v>P</v>
      </c>
      <c r="AP7633" s="4" t="s">
        <v>376</v>
      </c>
      <c r="AR7633" s="4" t="s">
        <v>377</v>
      </c>
    </row>
    <row r="7634" spans="1:44">
      <c r="A7634" s="4" t="s">
        <v>5</v>
      </c>
      <c r="B7634" s="4">
        <v>905055</v>
      </c>
      <c r="C7634" s="4">
        <v>6001</v>
      </c>
      <c r="D7634" s="5" t="s">
        <v>10469</v>
      </c>
      <c r="E7634" s="6" t="str">
        <f>HYPERLINK("https://inpn.mnhn.fr/espece/cd_nom/905055","Ascochyta euonymicola Allesch., 1897")</f>
        <v>Ascochyta euonymicola Allesch., 1897</v>
      </c>
      <c r="AH7634" s="4" t="str">
        <f>HYPERLINK("#Statut_biogéographique!A"&amp;_xlfn.XMATCH("P",Statut_biogéographique!A:A,2,1),"P")</f>
        <v>P</v>
      </c>
      <c r="AP7634" s="4" t="s">
        <v>376</v>
      </c>
      <c r="AR7634" s="4" t="s">
        <v>377</v>
      </c>
    </row>
    <row r="7635" spans="1:44">
      <c r="A7635" s="4" t="s">
        <v>5</v>
      </c>
      <c r="B7635" s="4">
        <v>905056</v>
      </c>
      <c r="C7635" s="4">
        <v>2538</v>
      </c>
      <c r="D7635" s="5" t="s">
        <v>10470</v>
      </c>
      <c r="E7635" s="6" t="str">
        <f>HYPERLINK("https://inpn.mnhn.fr/espece/cd_nom/905056","Ascochyta idaei Oudem., 1898")</f>
        <v>Ascochyta idaei Oudem., 1898</v>
      </c>
      <c r="AH7635" s="4" t="str">
        <f>HYPERLINK("#Statut_biogéographique!A"&amp;_xlfn.XMATCH("P",Statut_biogéographique!A:A,2,1),"P")</f>
        <v>P</v>
      </c>
      <c r="AP7635" s="4" t="s">
        <v>376</v>
      </c>
      <c r="AR7635" s="4" t="s">
        <v>377</v>
      </c>
    </row>
    <row r="7636" spans="1:44">
      <c r="A7636" s="4" t="s">
        <v>5</v>
      </c>
      <c r="B7636" s="4">
        <v>905057</v>
      </c>
      <c r="C7636" s="4">
        <v>6712</v>
      </c>
      <c r="D7636" s="5" t="s">
        <v>10471</v>
      </c>
      <c r="E7636" s="6" t="str">
        <f>HYPERLINK("https://inpn.mnhn.fr/espece/cd_nom/905057","Ascochyta philadelphi Sacc. &amp; Speg., 1878")</f>
        <v>Ascochyta philadelphi Sacc. &amp; Speg., 1878</v>
      </c>
      <c r="AH7636" s="4" t="str">
        <f>HYPERLINK("#Statut_biogéographique!A"&amp;_xlfn.XMATCH("P",Statut_biogéographique!A:A,2,1),"P")</f>
        <v>P</v>
      </c>
      <c r="AP7636" s="4" t="s">
        <v>376</v>
      </c>
      <c r="AR7636" s="4" t="s">
        <v>377</v>
      </c>
    </row>
    <row r="7637" spans="1:44">
      <c r="A7637" s="4" t="s">
        <v>5</v>
      </c>
      <c r="B7637" s="4">
        <v>905058</v>
      </c>
      <c r="C7637" s="4">
        <v>5784</v>
      </c>
      <c r="D7637" s="5" t="s">
        <v>10472</v>
      </c>
      <c r="E7637" s="6" t="str">
        <f>HYPERLINK("https://inpn.mnhn.fr/espece/cd_nom/905058","Ascochyta plantaginicola Melnik, 1970")</f>
        <v>Ascochyta plantaginicola Melnik, 1970</v>
      </c>
      <c r="AH7637" s="4" t="str">
        <f>HYPERLINK("#Statut_biogéographique!A"&amp;_xlfn.XMATCH("P",Statut_biogéographique!A:A,2,1),"P")</f>
        <v>P</v>
      </c>
      <c r="AP7637" s="4" t="s">
        <v>376</v>
      </c>
      <c r="AR7637" s="4" t="s">
        <v>377</v>
      </c>
    </row>
    <row r="7638" spans="1:44">
      <c r="A7638" s="4" t="s">
        <v>5</v>
      </c>
      <c r="B7638" s="4">
        <v>905059</v>
      </c>
      <c r="C7638" s="4">
        <v>1513</v>
      </c>
      <c r="D7638" s="5" t="s">
        <v>10473</v>
      </c>
      <c r="E7638" s="6" t="str">
        <f>HYPERLINK("https://inpn.mnhn.fr/espece/cd_nom/905059","Ascochyta primulae Trail, 1887")</f>
        <v>Ascochyta primulae Trail, 1887</v>
      </c>
      <c r="AH7638" s="4" t="str">
        <f>HYPERLINK("#Statut_biogéographique!A"&amp;_xlfn.XMATCH("P",Statut_biogéographique!A:A,2,1),"P")</f>
        <v>P</v>
      </c>
      <c r="AP7638" s="4" t="s">
        <v>376</v>
      </c>
      <c r="AR7638" s="4" t="s">
        <v>377</v>
      </c>
    </row>
    <row r="7639" spans="1:44">
      <c r="A7639" s="4" t="s">
        <v>5</v>
      </c>
      <c r="B7639" s="4">
        <v>905066</v>
      </c>
      <c r="C7639" s="4">
        <v>6662</v>
      </c>
      <c r="D7639" s="5" t="s">
        <v>10474</v>
      </c>
      <c r="E7639" s="6" t="str">
        <f>HYPERLINK("https://inpn.mnhn.fr/espece/cd_nom/905066","Asteroma alni Allesch., 1899")</f>
        <v>Asteroma alni Allesch., 1899</v>
      </c>
      <c r="AH7639" s="4" t="str">
        <f>HYPERLINK("#Statut_biogéographique!A"&amp;_xlfn.XMATCH("P",Statut_biogéographique!A:A,2,1),"P")</f>
        <v>P</v>
      </c>
      <c r="AP7639" s="4" t="s">
        <v>376</v>
      </c>
      <c r="AR7639" s="4" t="s">
        <v>377</v>
      </c>
    </row>
    <row r="7640" spans="1:44" ht="30">
      <c r="A7640" s="4" t="s">
        <v>5</v>
      </c>
      <c r="B7640" s="4">
        <v>905068</v>
      </c>
      <c r="C7640" s="4">
        <v>5241</v>
      </c>
      <c r="D7640" s="5" t="s">
        <v>10475</v>
      </c>
      <c r="E7640" s="6" t="str">
        <f>HYPERLINK("https://inpn.mnhn.fr/espece/cd_nom/905068","Asteromella corcontica (Kabát &amp; Bubák) Moesz ex Bat. &amp; Peres, 1961")</f>
        <v>Asteromella corcontica (Kabát &amp; Bubák) Moesz ex Bat. &amp; Peres, 1961</v>
      </c>
      <c r="AH7640" s="4" t="str">
        <f>HYPERLINK("#Statut_biogéographique!A"&amp;_xlfn.XMATCH("P",Statut_biogéographique!A:A,2,1),"P")</f>
        <v>P</v>
      </c>
      <c r="AP7640" s="4" t="s">
        <v>376</v>
      </c>
      <c r="AR7640" s="4" t="s">
        <v>377</v>
      </c>
    </row>
    <row r="7641" spans="1:44">
      <c r="A7641" s="4" t="s">
        <v>5</v>
      </c>
      <c r="B7641" s="4">
        <v>905076</v>
      </c>
      <c r="C7641" s="4">
        <v>1762</v>
      </c>
      <c r="D7641" s="5" t="s">
        <v>10476</v>
      </c>
      <c r="E7641" s="6" t="str">
        <f>HYPERLINK("https://inpn.mnhn.fr/espece/cd_nom/905076","Cercospora campi-silii Speg., 1880")</f>
        <v>Cercospora campi-silii Speg., 1880</v>
      </c>
      <c r="AH7641" s="4" t="str">
        <f>HYPERLINK("#Statut_biogéographique!A"&amp;_xlfn.XMATCH("P",Statut_biogéographique!A:A,2,1),"P")</f>
        <v>P</v>
      </c>
      <c r="AP7641" s="4" t="s">
        <v>376</v>
      </c>
      <c r="AR7641" s="4" t="s">
        <v>377</v>
      </c>
    </row>
    <row r="7642" spans="1:44">
      <c r="A7642" s="4" t="s">
        <v>5</v>
      </c>
      <c r="B7642" s="4">
        <v>905079</v>
      </c>
      <c r="C7642" s="4">
        <v>2043</v>
      </c>
      <c r="D7642" s="5" t="s">
        <v>10477</v>
      </c>
      <c r="E7642" s="6" t="str">
        <f>HYPERLINK("https://inpn.mnhn.fr/espece/cd_nom/905079","Cercospora zebrina Pass., 1877")</f>
        <v>Cercospora zebrina Pass., 1877</v>
      </c>
      <c r="AH7642" s="4" t="str">
        <f>HYPERLINK("#Statut_biogéographique!A"&amp;_xlfn.XMATCH("P",Statut_biogéographique!A:A,2,1),"P")</f>
        <v>P</v>
      </c>
      <c r="AP7642" s="4" t="s">
        <v>376</v>
      </c>
      <c r="AR7642" s="4" t="s">
        <v>377</v>
      </c>
    </row>
    <row r="7643" spans="1:44">
      <c r="A7643" s="4" t="s">
        <v>5</v>
      </c>
      <c r="B7643" s="4">
        <v>905092</v>
      </c>
      <c r="C7643" s="4">
        <v>5980</v>
      </c>
      <c r="D7643" s="5" t="s">
        <v>10478</v>
      </c>
      <c r="E7643" s="6" t="str">
        <f>HYPERLINK("https://inpn.mnhn.fr/espece/cd_nom/905092","Cylindrocladium buxicola Henricot, 2002")</f>
        <v>Cylindrocladium buxicola Henricot, 2002</v>
      </c>
      <c r="AH7643" s="4" t="str">
        <f>HYPERLINK("#Statut_biogéographique!A"&amp;_xlfn.XMATCH("P",Statut_biogéographique!A:A,2,1),"P")</f>
        <v>P</v>
      </c>
      <c r="AP7643" s="4" t="s">
        <v>376</v>
      </c>
      <c r="AR7643" s="4" t="s">
        <v>377</v>
      </c>
    </row>
    <row r="7644" spans="1:44">
      <c r="A7644" s="4" t="s">
        <v>5</v>
      </c>
      <c r="B7644" s="4">
        <v>905112</v>
      </c>
      <c r="C7644" s="4">
        <v>6934</v>
      </c>
      <c r="D7644" s="5" t="s">
        <v>10479</v>
      </c>
      <c r="E7644" s="6" t="str">
        <f>HYPERLINK("https://inpn.mnhn.fr/espece/cd_nom/905112","Jahnula aquatica (Kirschst.) Kirschst., 1936")</f>
        <v>Jahnula aquatica (Kirschst.) Kirschst., 1936</v>
      </c>
      <c r="AH7644" s="4" t="str">
        <f>HYPERLINK("#Statut_biogéographique!A"&amp;_xlfn.XMATCH("P",Statut_biogéographique!A:A,2,1),"P")</f>
        <v>P</v>
      </c>
      <c r="AP7644" s="4" t="s">
        <v>376</v>
      </c>
      <c r="AR7644" s="4" t="s">
        <v>377</v>
      </c>
    </row>
    <row r="7645" spans="1:44" ht="30">
      <c r="A7645" s="4" t="s">
        <v>5</v>
      </c>
      <c r="B7645" s="4">
        <v>905195</v>
      </c>
      <c r="C7645" s="4">
        <v>5151</v>
      </c>
      <c r="D7645" s="5" t="s">
        <v>10480</v>
      </c>
      <c r="E7645" s="6" t="str">
        <f>HYPERLINK("https://inpn.mnhn.fr/espece/cd_nom/905195","Albomagister alesandrii P.-A.Moreau, Bellanger, Biancardini &amp; F.Rich., 2015")</f>
        <v>Albomagister alesandrii P.-A.Moreau, Bellanger, Biancardini &amp; F.Rich., 2015</v>
      </c>
      <c r="Z7645" s="4" t="s">
        <v>447</v>
      </c>
      <c r="AA7645" s="4" t="s">
        <v>448</v>
      </c>
      <c r="AH7645" s="4" t="str">
        <f>HYPERLINK("#Statut_biogéographique!A"&amp;_xlfn.XMATCH("P",Statut_biogéographique!A:A,2,1),"P")</f>
        <v>P</v>
      </c>
      <c r="AP7645" s="4" t="s">
        <v>376</v>
      </c>
      <c r="AR7645" s="4" t="s">
        <v>377</v>
      </c>
    </row>
    <row r="7646" spans="1:44">
      <c r="A7646" s="4" t="s">
        <v>5</v>
      </c>
      <c r="B7646" s="4">
        <v>905204</v>
      </c>
      <c r="C7646" s="4">
        <v>5704</v>
      </c>
      <c r="D7646" s="5" t="s">
        <v>10481</v>
      </c>
      <c r="E7646" s="6" t="str">
        <f>HYPERLINK("https://inpn.mnhn.fr/espece/cd_nom/905204","Amanita betulae Neville &amp; Poumarat, 2009")</f>
        <v>Amanita betulae Neville &amp; Poumarat, 2009</v>
      </c>
      <c r="F7646" s="5" t="s">
        <v>10482</v>
      </c>
      <c r="Z7646" s="4" t="s">
        <v>695</v>
      </c>
      <c r="AA7646" s="4" t="s">
        <v>696</v>
      </c>
      <c r="AH7646" s="4" t="str">
        <f>HYPERLINK("#Statut_biogéographique!A"&amp;_xlfn.XMATCH("P",Statut_biogéographique!A:A,2,1),"P")</f>
        <v>P</v>
      </c>
      <c r="AP7646" s="4" t="s">
        <v>376</v>
      </c>
      <c r="AR7646" s="4" t="s">
        <v>377</v>
      </c>
    </row>
    <row r="7647" spans="1:44">
      <c r="A7647" s="4" t="s">
        <v>5</v>
      </c>
      <c r="B7647" s="4">
        <v>905205</v>
      </c>
      <c r="C7647" s="4">
        <v>5579</v>
      </c>
      <c r="D7647" s="5" t="s">
        <v>10483</v>
      </c>
      <c r="E7647" s="6" t="str">
        <f>HYPERLINK("https://inpn.mnhn.fr/espece/cd_nom/905205","Amanita coryli Neville &amp; Poumarat, 2009")</f>
        <v>Amanita coryli Neville &amp; Poumarat, 2009</v>
      </c>
      <c r="Z7647" s="4" t="s">
        <v>443</v>
      </c>
      <c r="AA7647" s="4" t="s">
        <v>444</v>
      </c>
      <c r="AH7647" s="4" t="str">
        <f>HYPERLINK("#Statut_biogéographique!A"&amp;_xlfn.XMATCH("P",Statut_biogéographique!A:A,2,1),"P")</f>
        <v>P</v>
      </c>
      <c r="AP7647" s="4" t="s">
        <v>376</v>
      </c>
      <c r="AR7647" s="4" t="s">
        <v>377</v>
      </c>
    </row>
    <row r="7648" spans="1:44" ht="30">
      <c r="A7648" s="4" t="s">
        <v>5</v>
      </c>
      <c r="B7648" s="4">
        <v>905232</v>
      </c>
      <c r="C7648" s="4">
        <v>6087</v>
      </c>
      <c r="D7648" s="5" t="s">
        <v>10484</v>
      </c>
      <c r="E7648" s="6" t="str">
        <f>HYPERLINK("https://inpn.mnhn.fr/espece/cd_nom/905232","Cortinarius caperatoides Bidaud &amp; Reumaux, 2010")</f>
        <v>Cortinarius caperatoides Bidaud &amp; Reumaux, 2010</v>
      </c>
      <c r="AH7648" s="4" t="str">
        <f>HYPERLINK("#Statut_biogéographique!A"&amp;_xlfn.XMATCH("P",Statut_biogéographique!A:A,2,1),"P")</f>
        <v>P</v>
      </c>
      <c r="AP7648" s="4" t="s">
        <v>376</v>
      </c>
      <c r="AR7648" s="4" t="s">
        <v>377</v>
      </c>
    </row>
    <row r="7649" spans="1:44">
      <c r="A7649" s="4" t="s">
        <v>5</v>
      </c>
      <c r="B7649" s="4">
        <v>905241</v>
      </c>
      <c r="C7649" s="4">
        <v>6189</v>
      </c>
      <c r="D7649" s="5" t="s">
        <v>10485</v>
      </c>
      <c r="E7649" s="6" t="str">
        <f>HYPERLINK("https://inpn.mnhn.fr/espece/cd_nom/905241","Cortinarius refectus Britzelm., 1885")</f>
        <v>Cortinarius refectus Britzelm., 1885</v>
      </c>
      <c r="AH7649" s="4" t="str">
        <f>HYPERLINK("#Statut_biogéographique!A"&amp;_xlfn.XMATCH("P",Statut_biogéographique!A:A,2,1),"P")</f>
        <v>P</v>
      </c>
      <c r="AP7649" s="4" t="s">
        <v>376</v>
      </c>
      <c r="AR7649" s="4" t="s">
        <v>377</v>
      </c>
    </row>
    <row r="7650" spans="1:44">
      <c r="A7650" s="4" t="s">
        <v>5</v>
      </c>
      <c r="B7650" s="4">
        <v>905250</v>
      </c>
      <c r="C7650" s="4">
        <v>6261</v>
      </c>
      <c r="D7650" s="5" t="s">
        <v>10486</v>
      </c>
      <c r="E7650" s="6" t="str">
        <f>HYPERLINK("https://inpn.mnhn.fr/espece/cd_nom/905250","Frommea obtusa-duchesneae Arthur, 1934")</f>
        <v>Frommea obtusa-duchesneae Arthur, 1934</v>
      </c>
      <c r="AH7650" s="4" t="str">
        <f>HYPERLINK("#Statut_biogéographique!A"&amp;_xlfn.XMATCH("P",Statut_biogéographique!A:A,2,1),"P")</f>
        <v>P</v>
      </c>
      <c r="AP7650" s="4" t="s">
        <v>376</v>
      </c>
      <c r="AR7650" s="4" t="s">
        <v>377</v>
      </c>
    </row>
    <row r="7651" spans="1:44" ht="30">
      <c r="A7651" s="4" t="s">
        <v>5</v>
      </c>
      <c r="B7651" s="4">
        <v>905254</v>
      </c>
      <c r="C7651" s="4">
        <v>6818</v>
      </c>
      <c r="D7651" s="5" t="s">
        <v>10487</v>
      </c>
      <c r="E7651" s="6" t="str">
        <f>HYPERLINK("https://inpn.mnhn.fr/espece/cd_nom/905254","Hebeloma celatum Grilli, U.Eberh. &amp; Beker, 2015")</f>
        <v>Hebeloma celatum Grilli, U.Eberh. &amp; Beker, 2015</v>
      </c>
      <c r="AH7651" s="4" t="str">
        <f>HYPERLINK("#Statut_biogéographique!A"&amp;_xlfn.XMATCH("P",Statut_biogéographique!A:A,2,1),"P")</f>
        <v>P</v>
      </c>
      <c r="AP7651" s="4" t="s">
        <v>376</v>
      </c>
      <c r="AR7651" s="4" t="s">
        <v>377</v>
      </c>
    </row>
    <row r="7652" spans="1:44" ht="30">
      <c r="A7652" s="4" t="s">
        <v>5</v>
      </c>
      <c r="B7652" s="4">
        <v>905267</v>
      </c>
      <c r="C7652" s="4">
        <v>4537</v>
      </c>
      <c r="D7652" s="5" t="s">
        <v>10488</v>
      </c>
      <c r="E7652" s="6" t="str">
        <f>HYPERLINK("https://inpn.mnhn.fr/espece/cd_nom/905267","Heterobasidion parviporum Niemelä &amp; Korhonen, 1998")</f>
        <v>Heterobasidion parviporum Niemelä &amp; Korhonen, 1998</v>
      </c>
      <c r="F7652" s="5" t="s">
        <v>10489</v>
      </c>
      <c r="AH7652" s="4" t="str">
        <f>HYPERLINK("#Statut_biogéographique!A"&amp;_xlfn.XMATCH("P",Statut_biogéographique!A:A,2,1),"P")</f>
        <v>P</v>
      </c>
      <c r="AP7652" s="4" t="s">
        <v>376</v>
      </c>
      <c r="AR7652" s="4" t="s">
        <v>377</v>
      </c>
    </row>
    <row r="7653" spans="1:44" ht="30">
      <c r="A7653" s="4" t="s">
        <v>5</v>
      </c>
      <c r="B7653" s="4">
        <v>905270</v>
      </c>
      <c r="C7653" s="4">
        <v>6062</v>
      </c>
      <c r="D7653" s="5" t="s">
        <v>10490</v>
      </c>
      <c r="E7653" s="6" t="str">
        <f>HYPERLINK("https://inpn.mnhn.fr/espece/cd_nom/905270","Hydnum ellipsosporum Ostrow &amp; Beenken, 2004")</f>
        <v>Hydnum ellipsosporum Ostrow &amp; Beenken, 2004</v>
      </c>
      <c r="AH7653" s="4" t="str">
        <f>HYPERLINK("#Statut_biogéographique!A"&amp;_xlfn.XMATCH("P",Statut_biogéographique!A:A,2,1),"P")</f>
        <v>P</v>
      </c>
      <c r="AP7653" s="4" t="s">
        <v>376</v>
      </c>
      <c r="AR7653" s="4" t="s">
        <v>377</v>
      </c>
    </row>
    <row r="7654" spans="1:44" ht="30">
      <c r="A7654" s="4" t="s">
        <v>5</v>
      </c>
      <c r="B7654" s="4">
        <v>905271</v>
      </c>
      <c r="C7654" s="4">
        <v>6839</v>
      </c>
      <c r="D7654" s="5" t="s">
        <v>10491</v>
      </c>
      <c r="E7654" s="6" t="str">
        <f>HYPERLINK("https://inpn.mnhn.fr/espece/cd_nom/905271","Hydnum vesterholtii Olariaga, Grebenc, Salcedo &amp; M.P.Martín, 2012")</f>
        <v>Hydnum vesterholtii Olariaga, Grebenc, Salcedo &amp; M.P.Martín, 2012</v>
      </c>
      <c r="F7654" s="5" t="s">
        <v>10492</v>
      </c>
      <c r="AH7654" s="4" t="str">
        <f>HYPERLINK("#Statut_biogéographique!A"&amp;_xlfn.XMATCH("P",Statut_biogéographique!A:A,2,1),"P")</f>
        <v>P</v>
      </c>
      <c r="AP7654" s="4" t="s">
        <v>376</v>
      </c>
      <c r="AR7654" s="4" t="s">
        <v>377</v>
      </c>
    </row>
    <row r="7655" spans="1:44" ht="30">
      <c r="A7655" s="4" t="s">
        <v>5</v>
      </c>
      <c r="B7655" s="4">
        <v>905361</v>
      </c>
      <c r="D7655" s="5" t="s">
        <v>10493</v>
      </c>
      <c r="E7655" s="6" t="str">
        <f>HYPERLINK("https://inpn.mnhn.fr/espece/cd_nom/905361","Ascitendus austriacus (Réblová, Winka &amp; Jaklitsch) J.Campb. &amp; Shearer, 2004")</f>
        <v>Ascitendus austriacus (Réblová, Winka &amp; Jaklitsch) J.Campb. &amp; Shearer, 2004</v>
      </c>
      <c r="AH7655" s="4" t="str">
        <f>HYPERLINK("#Statut_biogéographique!A"&amp;_xlfn.XMATCH("P",Statut_biogéographique!A:A,2,1),"P")</f>
        <v>P</v>
      </c>
      <c r="AP7655" s="4" t="s">
        <v>376</v>
      </c>
      <c r="AR7655" s="4" t="s">
        <v>377</v>
      </c>
    </row>
    <row r="7656" spans="1:44">
      <c r="A7656" s="4" t="s">
        <v>5</v>
      </c>
      <c r="B7656" s="4">
        <v>905363</v>
      </c>
      <c r="C7656" s="4">
        <v>2065</v>
      </c>
      <c r="D7656" s="5" t="s">
        <v>10494</v>
      </c>
      <c r="E7656" s="6" t="str">
        <f>HYPERLINK("https://inpn.mnhn.fr/espece/cd_nom/905363","Ascochyta asclepiadearum Traverso, 1903")</f>
        <v>Ascochyta asclepiadearum Traverso, 1903</v>
      </c>
      <c r="AH7656" s="4" t="str">
        <f>HYPERLINK("#Statut_biogéographique!A"&amp;_xlfn.XMATCH("P",Statut_biogéographique!A:A,2,1),"P")</f>
        <v>P</v>
      </c>
      <c r="AP7656" s="4" t="s">
        <v>376</v>
      </c>
      <c r="AR7656" s="4" t="s">
        <v>377</v>
      </c>
    </row>
    <row r="7657" spans="1:44">
      <c r="A7657" s="4" t="s">
        <v>5</v>
      </c>
      <c r="B7657" s="4">
        <v>905366</v>
      </c>
      <c r="C7657" s="4">
        <v>5971</v>
      </c>
      <c r="D7657" s="5" t="s">
        <v>10495</v>
      </c>
      <c r="E7657" s="6" t="str">
        <f>HYPERLINK("https://inpn.mnhn.fr/espece/cd_nom/905366","Ascochyta cornicola Sacc., 1878")</f>
        <v>Ascochyta cornicola Sacc., 1878</v>
      </c>
      <c r="AH7657" s="4" t="str">
        <f>HYPERLINK("#Statut_biogéographique!A"&amp;_xlfn.XMATCH("P",Statut_biogéographique!A:A,2,1),"P")</f>
        <v>P</v>
      </c>
      <c r="AP7657" s="4" t="s">
        <v>376</v>
      </c>
      <c r="AR7657" s="4" t="s">
        <v>377</v>
      </c>
    </row>
    <row r="7658" spans="1:44">
      <c r="A7658" s="4" t="s">
        <v>5</v>
      </c>
      <c r="B7658" s="4">
        <v>905367</v>
      </c>
      <c r="C7658" s="4">
        <v>6661</v>
      </c>
      <c r="D7658" s="5" t="s">
        <v>10496</v>
      </c>
      <c r="E7658" s="6" t="str">
        <f>HYPERLINK("https://inpn.mnhn.fr/espece/cd_nom/905367","Ascochyta dentariae I.E.Brezhnev, 1951")</f>
        <v>Ascochyta dentariae I.E.Brezhnev, 1951</v>
      </c>
      <c r="AH7658" s="4" t="str">
        <f>HYPERLINK("#Statut_biogéographique!A"&amp;_xlfn.XMATCH("P",Statut_biogéographique!A:A,2,1),"P")</f>
        <v>P</v>
      </c>
      <c r="AP7658" s="4" t="s">
        <v>376</v>
      </c>
      <c r="AR7658" s="4" t="s">
        <v>377</v>
      </c>
    </row>
    <row r="7659" spans="1:44">
      <c r="A7659" s="4" t="s">
        <v>5</v>
      </c>
      <c r="B7659" s="4">
        <v>905368</v>
      </c>
      <c r="C7659" s="4">
        <v>2039</v>
      </c>
      <c r="D7659" s="5">
        <v>905368</v>
      </c>
      <c r="E7659" s="6" t="str">
        <f>HYPERLINK("https://inpn.mnhn.fr/espece/cd_nom/905368","Ascochyta bohemica Kabát &amp; Bubák, 1905")</f>
        <v>Ascochyta bohemica Kabát &amp; Bubák, 1905</v>
      </c>
      <c r="AH7659" s="4" t="str">
        <f>HYPERLINK("#Statut_biogéographique!A"&amp;_xlfn.XMATCH("P",Statut_biogéographique!A:A,2,1),"P")</f>
        <v>P</v>
      </c>
      <c r="AP7659" s="4" t="s">
        <v>376</v>
      </c>
      <c r="AR7659" s="4" t="s">
        <v>377</v>
      </c>
    </row>
    <row r="7660" spans="1:44">
      <c r="A7660" s="4" t="s">
        <v>5</v>
      </c>
      <c r="B7660" s="4">
        <v>905370</v>
      </c>
      <c r="C7660" s="4">
        <v>2281</v>
      </c>
      <c r="D7660" s="5" t="s">
        <v>10497</v>
      </c>
      <c r="E7660" s="6" t="str">
        <f>HYPERLINK("https://inpn.mnhn.fr/espece/cd_nom/905370","Ascochyta lamiorum Sacc., 1878")</f>
        <v>Ascochyta lamiorum Sacc., 1878</v>
      </c>
      <c r="AH7660" s="4" t="str">
        <f>HYPERLINK("#Statut_biogéographique!A"&amp;_xlfn.XMATCH("P",Statut_biogéographique!A:A,2,1),"P")</f>
        <v>P</v>
      </c>
      <c r="AP7660" s="4" t="s">
        <v>376</v>
      </c>
      <c r="AR7660" s="4" t="s">
        <v>377</v>
      </c>
    </row>
    <row r="7661" spans="1:44">
      <c r="A7661" s="4" t="s">
        <v>5</v>
      </c>
      <c r="B7661" s="4">
        <v>905372</v>
      </c>
      <c r="C7661" s="4">
        <v>1203</v>
      </c>
      <c r="D7661" s="5" t="s">
        <v>10498</v>
      </c>
      <c r="E7661" s="6" t="str">
        <f>HYPERLINK("https://inpn.mnhn.fr/espece/cd_nom/905372","Ascochyta tenerrima Sacc. &amp; Roum., 1882")</f>
        <v>Ascochyta tenerrima Sacc. &amp; Roum., 1882</v>
      </c>
      <c r="AH7661" s="4" t="str">
        <f>HYPERLINK("#Statut_biogéographique!A"&amp;_xlfn.XMATCH("P",Statut_biogéographique!A:A,2,1),"P")</f>
        <v>P</v>
      </c>
      <c r="AP7661" s="4" t="s">
        <v>376</v>
      </c>
      <c r="AR7661" s="4" t="s">
        <v>377</v>
      </c>
    </row>
    <row r="7662" spans="1:44">
      <c r="A7662" s="4" t="s">
        <v>5</v>
      </c>
      <c r="B7662" s="4">
        <v>905375</v>
      </c>
      <c r="C7662" s="4">
        <v>5731</v>
      </c>
      <c r="D7662" s="5" t="s">
        <v>10499</v>
      </c>
      <c r="E7662" s="6" t="str">
        <f>HYPERLINK("https://inpn.mnhn.fr/espece/cd_nom/905375","Ascochyta verbascina Thüm., 1880")</f>
        <v>Ascochyta verbascina Thüm., 1880</v>
      </c>
      <c r="AH7662" s="4" t="str">
        <f>HYPERLINK("#Statut_biogéographique!A"&amp;_xlfn.XMATCH("P",Statut_biogéographique!A:A,2,1),"P")</f>
        <v>P</v>
      </c>
      <c r="AP7662" s="4" t="s">
        <v>376</v>
      </c>
      <c r="AR7662" s="4" t="s">
        <v>377</v>
      </c>
    </row>
    <row r="7663" spans="1:44">
      <c r="A7663" s="4" t="s">
        <v>5</v>
      </c>
      <c r="B7663" s="4">
        <v>905385</v>
      </c>
      <c r="C7663" s="4">
        <v>6264</v>
      </c>
      <c r="D7663" s="5" t="s">
        <v>10500</v>
      </c>
      <c r="E7663" s="6" t="str">
        <f>HYPERLINK("https://inpn.mnhn.fr/espece/cd_nom/905385","Asteroma vaccinii Vlassova, 1968")</f>
        <v>Asteroma vaccinii Vlassova, 1968</v>
      </c>
      <c r="AH7663" s="4" t="str">
        <f>HYPERLINK("#Statut_biogéographique!A"&amp;_xlfn.XMATCH("P",Statut_biogéographique!A:A,2,1),"P")</f>
        <v>P</v>
      </c>
      <c r="AP7663" s="4" t="s">
        <v>376</v>
      </c>
      <c r="AR7663" s="4" t="s">
        <v>377</v>
      </c>
    </row>
    <row r="7664" spans="1:44">
      <c r="A7664" s="4" t="s">
        <v>5</v>
      </c>
      <c r="B7664" s="4">
        <v>905386</v>
      </c>
      <c r="C7664" s="4">
        <v>1542</v>
      </c>
      <c r="D7664" s="5" t="s">
        <v>10501</v>
      </c>
      <c r="E7664" s="6" t="str">
        <f>HYPERLINK("https://inpn.mnhn.fr/espece/cd_nom/905386","Asteromella vulgaris Thüm., 1881")</f>
        <v>Asteromella vulgaris Thüm., 1881</v>
      </c>
      <c r="AH7664" s="4" t="str">
        <f>HYPERLINK("#Statut_biogéographique!A"&amp;_xlfn.XMATCH("P",Statut_biogéographique!A:A,2,1),"P")</f>
        <v>P</v>
      </c>
      <c r="AP7664" s="4" t="s">
        <v>376</v>
      </c>
      <c r="AR7664" s="4" t="s">
        <v>377</v>
      </c>
    </row>
    <row r="7665" spans="1:44">
      <c r="A7665" s="4" t="s">
        <v>5</v>
      </c>
      <c r="B7665" s="4">
        <v>905392</v>
      </c>
      <c r="C7665" s="4">
        <v>5980</v>
      </c>
      <c r="D7665" s="5">
        <v>905392</v>
      </c>
      <c r="E7665" s="6" t="str">
        <f>HYPERLINK("https://inpn.mnhn.fr/espece/cd_nom/905392","Cylindrocladium buxicola Henricot, 2002")</f>
        <v>Cylindrocladium buxicola Henricot, 2002</v>
      </c>
      <c r="AH7665" s="4" t="str">
        <f>HYPERLINK("#Statut_biogéographique!A"&amp;_xlfn.XMATCH("P",Statut_biogéographique!A:A,2,1),"P")</f>
        <v>P</v>
      </c>
      <c r="AP7665" s="4" t="s">
        <v>376</v>
      </c>
      <c r="AR7665" s="4" t="s">
        <v>377</v>
      </c>
    </row>
    <row r="7666" spans="1:44">
      <c r="A7666" s="4" t="s">
        <v>5</v>
      </c>
      <c r="B7666" s="4">
        <v>905403</v>
      </c>
      <c r="C7666" s="4">
        <v>2516</v>
      </c>
      <c r="D7666" s="5" t="s">
        <v>10502</v>
      </c>
      <c r="E7666" s="6" t="str">
        <f>HYPERLINK("https://inpn.mnhn.fr/espece/cd_nom/905403","Cercospora radiata Sacc., 1875")</f>
        <v>Cercospora radiata Sacc., 1875</v>
      </c>
      <c r="AH7666" s="4" t="str">
        <f>HYPERLINK("#Statut_biogéographique!A"&amp;_xlfn.XMATCH("P",Statut_biogéographique!A:A,2,1),"P")</f>
        <v>P</v>
      </c>
      <c r="AP7666" s="4" t="s">
        <v>376</v>
      </c>
      <c r="AR7666" s="4" t="s">
        <v>377</v>
      </c>
    </row>
    <row r="7667" spans="1:44">
      <c r="A7667" s="4" t="s">
        <v>5</v>
      </c>
      <c r="B7667" s="4">
        <v>905407</v>
      </c>
      <c r="C7667" s="4">
        <v>6707</v>
      </c>
      <c r="D7667" s="5" t="s">
        <v>10503</v>
      </c>
      <c r="E7667" s="6" t="str">
        <f>HYPERLINK("https://inpn.mnhn.fr/espece/cd_nom/905407","Cercosporella pantoleuca Sacc., 1881")</f>
        <v>Cercosporella pantoleuca Sacc., 1881</v>
      </c>
      <c r="AH7667" s="4" t="str">
        <f>HYPERLINK("#Statut_biogéographique!A"&amp;_xlfn.XMATCH("P",Statut_biogéographique!A:A,2,1),"P")</f>
        <v>P</v>
      </c>
      <c r="AP7667" s="4" t="s">
        <v>376</v>
      </c>
      <c r="AR7667" s="4" t="s">
        <v>377</v>
      </c>
    </row>
    <row r="7668" spans="1:44">
      <c r="A7668" s="4" t="s">
        <v>5</v>
      </c>
      <c r="B7668" s="4">
        <v>905408</v>
      </c>
      <c r="C7668" s="4">
        <v>6294</v>
      </c>
      <c r="D7668" s="5" t="s">
        <v>10504</v>
      </c>
      <c r="E7668" s="6" t="str">
        <f>HYPERLINK("https://inpn.mnhn.fr/espece/cd_nom/905408","Cercosporella primulae Allesch., 1892")</f>
        <v>Cercosporella primulae Allesch., 1892</v>
      </c>
      <c r="AH7668" s="4" t="str">
        <f>HYPERLINK("#Statut_biogéographique!A"&amp;_xlfn.XMATCH("P",Statut_biogéographique!A:A,2,1),"P")</f>
        <v>P</v>
      </c>
      <c r="AP7668" s="4" t="s">
        <v>376</v>
      </c>
      <c r="AR7668" s="4" t="s">
        <v>377</v>
      </c>
    </row>
    <row r="7669" spans="1:44">
      <c r="A7669" s="4" t="s">
        <v>5</v>
      </c>
      <c r="B7669" s="4">
        <v>905438</v>
      </c>
      <c r="C7669" s="4">
        <v>6664</v>
      </c>
      <c r="D7669" s="5" t="s">
        <v>10505</v>
      </c>
      <c r="E7669" s="6" t="str">
        <f>HYPERLINK("https://inpn.mnhn.fr/espece/cd_nom/905438","Discula campestris (Pass.) Arx, 1957")</f>
        <v>Discula campestris (Pass.) Arx, 1957</v>
      </c>
      <c r="AH7669" s="4" t="str">
        <f>HYPERLINK("#Statut_biogéographique!A"&amp;_xlfn.XMATCH("P",Statut_biogéographique!A:A,2,1),"P")</f>
        <v>P</v>
      </c>
      <c r="AP7669" s="4" t="s">
        <v>376</v>
      </c>
      <c r="AR7669" s="4" t="s">
        <v>377</v>
      </c>
    </row>
    <row r="7670" spans="1:44">
      <c r="A7670" s="4" t="s">
        <v>5</v>
      </c>
      <c r="B7670" s="4">
        <v>905514</v>
      </c>
      <c r="D7670" s="5">
        <v>905514</v>
      </c>
      <c r="E7670" s="6" t="str">
        <f>HYPERLINK("https://inpn.mnhn.fr/espece/cd_nom/905514","Phyllosticta digitalis Bellynck, 1855")</f>
        <v>Phyllosticta digitalis Bellynck, 1855</v>
      </c>
      <c r="AH7670" s="4" t="str">
        <f>HYPERLINK("#Statut_biogéographique!A"&amp;_xlfn.XMATCH("P",Statut_biogéographique!A:A,2,1),"P")</f>
        <v>P</v>
      </c>
      <c r="AP7670" s="4" t="s">
        <v>376</v>
      </c>
      <c r="AR7670" s="4" t="s">
        <v>377</v>
      </c>
    </row>
    <row r="7671" spans="1:44">
      <c r="A7671" s="4" t="s">
        <v>5</v>
      </c>
      <c r="B7671" s="4">
        <v>905603</v>
      </c>
      <c r="D7671" s="5">
        <v>905603</v>
      </c>
      <c r="E7671" s="6" t="str">
        <f>HYPERLINK("https://inpn.mnhn.fr/espece/cd_nom/905603","Septoria digitalis Pass., 1879")</f>
        <v>Septoria digitalis Pass., 1879</v>
      </c>
      <c r="AH7671" s="4" t="str">
        <f>HYPERLINK("#Statut_biogéographique!A"&amp;_xlfn.XMATCH("P",Statut_biogéographique!A:A,2,1),"P")</f>
        <v>P</v>
      </c>
      <c r="AP7671" s="4" t="s">
        <v>376</v>
      </c>
      <c r="AR7671" s="4" t="s">
        <v>377</v>
      </c>
    </row>
    <row r="7672" spans="1:44" ht="30">
      <c r="A7672" s="4" t="s">
        <v>5</v>
      </c>
      <c r="B7672" s="4">
        <v>913215</v>
      </c>
      <c r="D7672" s="5" t="s">
        <v>10506</v>
      </c>
      <c r="E7672" s="6" t="str">
        <f>HYPERLINK("https://inpn.mnhn.fr/espece/cd_nom/913215","Protoparmeliopsis muralis var. muralis (Schreb.) M.Choisy, 1929")</f>
        <v>Protoparmeliopsis muralis var. muralis (Schreb.) M.Choisy, 1929</v>
      </c>
      <c r="AH7672" s="4" t="str">
        <f>HYPERLINK("#Statut_biogéographique!A"&amp;_xlfn.XMATCH("P",Statut_biogéographique!A:A,2,1),"P")</f>
        <v>P</v>
      </c>
      <c r="AP7672" s="4" t="s">
        <v>376</v>
      </c>
      <c r="AR7672" s="4" t="s">
        <v>377</v>
      </c>
    </row>
    <row r="7673" spans="1:44">
      <c r="A7673" s="4" t="s">
        <v>5</v>
      </c>
      <c r="B7673" s="4">
        <v>913229</v>
      </c>
      <c r="D7673" s="5" t="s">
        <v>10507</v>
      </c>
      <c r="E7673" s="6" t="str">
        <f>HYPERLINK("https://inpn.mnhn.fr/espece/cd_nom/913229","Lepra albescens (Huds.) Hafellner, 2016")</f>
        <v>Lepra albescens (Huds.) Hafellner, 2016</v>
      </c>
      <c r="AH7673" s="4" t="str">
        <f>HYPERLINK("#Statut_biogéographique!A"&amp;_xlfn.XMATCH("P",Statut_biogéographique!A:A,2,1),"P")</f>
        <v>P</v>
      </c>
      <c r="AP7673" s="4" t="s">
        <v>376</v>
      </c>
      <c r="AR7673" s="4" t="s">
        <v>377</v>
      </c>
    </row>
    <row r="7674" spans="1:44" ht="30">
      <c r="A7674" s="4" t="s">
        <v>5</v>
      </c>
      <c r="B7674" s="4">
        <v>917504</v>
      </c>
      <c r="C7674" s="4">
        <v>6947</v>
      </c>
      <c r="D7674" s="5" t="s">
        <v>10508</v>
      </c>
      <c r="E7674" s="6" t="str">
        <f>HYPERLINK("https://inpn.mnhn.fr/espece/cd_nom/917504","Dialonectria diatrypellicola Lechat &amp; J.Fourn., 2019")</f>
        <v>Dialonectria diatrypellicola Lechat &amp; J.Fourn., 2019</v>
      </c>
      <c r="AH7674" s="4" t="str">
        <f>HYPERLINK("#Statut_biogéographique!A"&amp;_xlfn.XMATCH("P",Statut_biogéographique!A:A,2,1),"P")</f>
        <v>P</v>
      </c>
      <c r="AP7674" s="4" t="s">
        <v>376</v>
      </c>
      <c r="AR7674" s="4" t="s">
        <v>377</v>
      </c>
    </row>
    <row r="7675" spans="1:44" ht="30">
      <c r="A7675" s="4" t="s">
        <v>5</v>
      </c>
      <c r="B7675" s="4">
        <v>917505</v>
      </c>
      <c r="C7675" s="4">
        <v>6992</v>
      </c>
      <c r="D7675" s="5" t="s">
        <v>10509</v>
      </c>
      <c r="E7675" s="6" t="str">
        <f>HYPERLINK("https://inpn.mnhn.fr/espece/cd_nom/917505","Dialonectria diatrypicola Lechat, J.Fourn. &amp; Gardiennet, 2019")</f>
        <v>Dialonectria diatrypicola Lechat, J.Fourn. &amp; Gardiennet, 2019</v>
      </c>
      <c r="AH7675" s="4" t="str">
        <f>HYPERLINK("#Statut_biogéographique!A"&amp;_xlfn.XMATCH("P",Statut_biogéographique!A:A,2,1),"P")</f>
        <v>P</v>
      </c>
      <c r="AP7675" s="4" t="s">
        <v>376</v>
      </c>
      <c r="AR7675" s="4" t="s">
        <v>377</v>
      </c>
    </row>
    <row r="7676" spans="1:44" ht="30">
      <c r="A7676" s="4" t="s">
        <v>5</v>
      </c>
      <c r="B7676" s="4">
        <v>917883</v>
      </c>
      <c r="D7676" s="5" t="s">
        <v>10510</v>
      </c>
      <c r="E7676" s="6" t="str">
        <f>HYPERLINK("https://inpn.mnhn.fr/espece/cd_nom/917883","Saccosoma farinaceum (Höhn.) Spirin &amp; K.Põldmaa, 2018")</f>
        <v>Saccosoma farinaceum (Höhn.) Spirin &amp; K.Põldmaa, 2018</v>
      </c>
      <c r="AH7676" s="4" t="str">
        <f>HYPERLINK("#Statut_biogéographique!A"&amp;_xlfn.XMATCH("P",Statut_biogéographique!A:A,2,1),"P")</f>
        <v>P</v>
      </c>
      <c r="AP7676" s="4" t="s">
        <v>376</v>
      </c>
      <c r="AR7676" s="4" t="s">
        <v>377</v>
      </c>
    </row>
    <row r="7677" spans="1:44" ht="30">
      <c r="A7677" s="4" t="s">
        <v>5</v>
      </c>
      <c r="B7677" s="4">
        <v>921122</v>
      </c>
      <c r="C7677" s="4">
        <v>1482</v>
      </c>
      <c r="D7677" s="5" t="s">
        <v>10511</v>
      </c>
      <c r="E7677" s="6" t="str">
        <f>HYPERLINK("https://inpn.mnhn.fr/espece/cd_nom/921122","Phyllosticta philoprina (Berk. &amp; M.A.Curtis) Wikee &amp; Crous, 2013")</f>
        <v>Phyllosticta philoprina (Berk. &amp; M.A.Curtis) Wikee &amp; Crous, 2013</v>
      </c>
      <c r="AH7677" s="4" t="str">
        <f>HYPERLINK("#Statut_biogéographique!A"&amp;_xlfn.XMATCH("P",Statut_biogéographique!A:A,2,1),"P")</f>
        <v>P</v>
      </c>
      <c r="AP7677" s="4" t="s">
        <v>376</v>
      </c>
      <c r="AR7677" s="4" t="s">
        <v>377</v>
      </c>
    </row>
    <row r="7678" spans="1:44">
      <c r="A7678" s="4" t="s">
        <v>5</v>
      </c>
      <c r="B7678" s="4">
        <v>921257</v>
      </c>
      <c r="C7678" s="4">
        <v>6116</v>
      </c>
      <c r="D7678" s="5" t="s">
        <v>10512</v>
      </c>
      <c r="E7678" s="6" t="str">
        <f>HYPERLINK("https://inpn.mnhn.fr/espece/cd_nom/921257","Cortinarius illuminoides Bidaud, 2013")</f>
        <v>Cortinarius illuminoides Bidaud, 2013</v>
      </c>
      <c r="AH7678" s="4" t="str">
        <f>HYPERLINK("#Statut_biogéographique!A"&amp;_xlfn.XMATCH("P",Statut_biogéographique!A:A,2,1),"P")</f>
        <v>P</v>
      </c>
      <c r="AP7678" s="4" t="s">
        <v>376</v>
      </c>
      <c r="AR7678" s="4" t="s">
        <v>377</v>
      </c>
    </row>
    <row r="7679" spans="1:44">
      <c r="A7679" s="4" t="s">
        <v>5</v>
      </c>
      <c r="B7679" s="4">
        <v>923682</v>
      </c>
      <c r="C7679" s="4">
        <v>2568</v>
      </c>
      <c r="D7679" s="5" t="s">
        <v>10513</v>
      </c>
      <c r="E7679" s="6" t="str">
        <f>HYPERLINK("https://inpn.mnhn.fr/espece/cd_nom/923682","Passalora circumscissa (Sacc.) U.Braun, 1995")</f>
        <v>Passalora circumscissa (Sacc.) U.Braun, 1995</v>
      </c>
      <c r="AH7679" s="4" t="str">
        <f>HYPERLINK("#Statut_biogéographique!A"&amp;_xlfn.XMATCH("P",Statut_biogéographique!A:A,2,1),"P")</f>
        <v>P</v>
      </c>
      <c r="AP7679" s="4" t="s">
        <v>376</v>
      </c>
      <c r="AR7679" s="4" t="s">
        <v>377</v>
      </c>
    </row>
    <row r="7680" spans="1:44" ht="30">
      <c r="A7680" s="4" t="s">
        <v>5</v>
      </c>
      <c r="B7680" s="4">
        <v>926171</v>
      </c>
      <c r="C7680" s="4">
        <v>3514</v>
      </c>
      <c r="D7680" s="5">
        <v>926171</v>
      </c>
      <c r="E7680" s="6" t="str">
        <f>HYPERLINK("https://inpn.mnhn.fr/espece/cd_nom/926171","Cantharellus pseudominimus Eyssart. &amp; Buyck, 1999")</f>
        <v>Cantharellus pseudominimus Eyssart. &amp; Buyck, 1999</v>
      </c>
      <c r="F7680" s="5" t="s">
        <v>8668</v>
      </c>
      <c r="V7680" s="7" t="str">
        <f>HYPERLINK("#Liste_rouge!A"&amp;_xlfn.XMATCH("EN",Liste_rouge!A:A,2,1),"EN")</f>
        <v>EN</v>
      </c>
      <c r="W7680" s="4" t="str">
        <f>HYPERLINK("#Critères_liste_rouge!A$1","B2abiii")</f>
        <v>B2abiii</v>
      </c>
      <c r="Z7680" s="4" t="s">
        <v>447</v>
      </c>
      <c r="AA7680" s="4" t="s">
        <v>448</v>
      </c>
      <c r="AH7680" s="4" t="str">
        <f>HYPERLINK("#Statut_biogéographique!A"&amp;_xlfn.XMATCH("P",Statut_biogéographique!A:A,2,1),"P")</f>
        <v>P</v>
      </c>
      <c r="AP7680" s="4" t="s">
        <v>376</v>
      </c>
      <c r="AR7680" s="4" t="s">
        <v>377</v>
      </c>
    </row>
    <row r="7681" spans="1:44" ht="30">
      <c r="A7681" s="4" t="s">
        <v>5</v>
      </c>
      <c r="B7681" s="4">
        <v>926172</v>
      </c>
      <c r="C7681" s="4">
        <v>6607</v>
      </c>
      <c r="D7681" s="5" t="s">
        <v>10514</v>
      </c>
      <c r="E7681" s="6" t="str">
        <f>HYPERLINK("https://inpn.mnhn.fr/espece/cd_nom/926172","Chromosera viola (J.Geesink &amp; Bas) Vizzini &amp; Ercole, 2012")</f>
        <v>Chromosera viola (J.Geesink &amp; Bas) Vizzini &amp; Ercole, 2012</v>
      </c>
      <c r="AH7681" s="4" t="str">
        <f>HYPERLINK("#Statut_biogéographique!A"&amp;_xlfn.XMATCH("P",Statut_biogéographique!A:A,2,1),"P")</f>
        <v>P</v>
      </c>
      <c r="AP7681" s="4" t="s">
        <v>376</v>
      </c>
      <c r="AR7681" s="4" t="s">
        <v>377</v>
      </c>
    </row>
    <row r="7682" spans="1:44" ht="30">
      <c r="A7682" s="4" t="s">
        <v>5</v>
      </c>
      <c r="B7682" s="4">
        <v>926187</v>
      </c>
      <c r="C7682" s="4">
        <v>4673</v>
      </c>
      <c r="D7682" s="5" t="s">
        <v>10515</v>
      </c>
      <c r="E7682" s="6" t="str">
        <f>HYPERLINK("https://inpn.mnhn.fr/espece/cd_nom/926187","Cortinarius pastoralis Soop, H.Lindstr., Dima, Niskanen, Liimat. &amp; Kytöv., 2016")</f>
        <v>Cortinarius pastoralis Soop, H.Lindstr., Dima, Niskanen, Liimat. &amp; Kytöv., 2016</v>
      </c>
      <c r="AH7682" s="4" t="str">
        <f>HYPERLINK("#Statut_biogéographique!A"&amp;_xlfn.XMATCH("P",Statut_biogéographique!A:A,2,1),"P")</f>
        <v>P</v>
      </c>
      <c r="AP7682" s="4" t="s">
        <v>376</v>
      </c>
      <c r="AR7682" s="4" t="s">
        <v>377</v>
      </c>
    </row>
    <row r="7683" spans="1:44" ht="30">
      <c r="A7683" s="4" t="s">
        <v>5</v>
      </c>
      <c r="B7683" s="4">
        <v>926220</v>
      </c>
      <c r="C7683" s="4">
        <v>3472</v>
      </c>
      <c r="D7683" s="5" t="s">
        <v>10516</v>
      </c>
      <c r="E7683" s="6" t="str">
        <f>HYPERLINK("https://inpn.mnhn.fr/espece/cd_nom/926220","Glutinoglossum glutinosum (Pers.) Hustad, A.N.Mill., Dentinger &amp; P.F.Cannon, 2013")</f>
        <v>Glutinoglossum glutinosum (Pers.) Hustad, A.N.Mill., Dentinger &amp; P.F.Cannon, 2013</v>
      </c>
      <c r="F7683" s="5" t="s">
        <v>10517</v>
      </c>
      <c r="V7683" s="7" t="str">
        <f>HYPERLINK("#Liste_rouge!A"&amp;_xlfn.XMATCH("CR",Liste_rouge!A:A,2,1),"CR")</f>
        <v>CR</v>
      </c>
      <c r="W7683" s="4" t="str">
        <f>HYPERLINK("#Critères_liste_rouge!A$1","B2abiii")</f>
        <v>B2abiii</v>
      </c>
      <c r="Z7683" s="4" t="s">
        <v>695</v>
      </c>
      <c r="AA7683" s="4" t="s">
        <v>696</v>
      </c>
      <c r="AH7683" s="4" t="str">
        <f>HYPERLINK("#Statut_biogéographique!A"&amp;_xlfn.XMATCH("P",Statut_biogéographique!A:A,2,1),"P")</f>
        <v>P</v>
      </c>
      <c r="AP7683" s="4" t="s">
        <v>376</v>
      </c>
      <c r="AR7683" s="4" t="s">
        <v>377</v>
      </c>
    </row>
    <row r="7684" spans="1:44">
      <c r="A7684" s="4" t="s">
        <v>5</v>
      </c>
      <c r="B7684" s="4">
        <v>926224</v>
      </c>
      <c r="C7684" s="4">
        <v>2004</v>
      </c>
      <c r="D7684" s="5">
        <v>926224</v>
      </c>
      <c r="E7684" s="6" t="str">
        <f>HYPERLINK("https://inpn.mnhn.fr/espece/cd_nom/926224","Hebeloma odoratissimum Britzelm., 1891")</f>
        <v>Hebeloma odoratissimum Britzelm., 1891</v>
      </c>
      <c r="F7684" s="5" t="s">
        <v>8565</v>
      </c>
      <c r="V7684" s="7" t="str">
        <f>HYPERLINK("#Liste_rouge!A"&amp;_xlfn.XMATCH("VU",Liste_rouge!A:A,2,1),"VU")</f>
        <v>VU</v>
      </c>
      <c r="W7684" s="4" t="str">
        <f>HYPERLINK("#Critères_liste_rouge!A$1","B2abiii")</f>
        <v>B2abiii</v>
      </c>
      <c r="Z7684" s="4" t="s">
        <v>447</v>
      </c>
      <c r="AA7684" s="4" t="s">
        <v>448</v>
      </c>
      <c r="AH7684" s="4" t="str">
        <f>HYPERLINK("#Statut_biogéographique!A"&amp;_xlfn.XMATCH("P",Statut_biogéographique!A:A,2,1),"P")</f>
        <v>P</v>
      </c>
      <c r="AP7684" s="4" t="s">
        <v>376</v>
      </c>
      <c r="AR7684" s="4" t="s">
        <v>377</v>
      </c>
    </row>
    <row r="7685" spans="1:44">
      <c r="A7685" s="4" t="s">
        <v>5</v>
      </c>
      <c r="B7685" s="4">
        <v>926249</v>
      </c>
      <c r="C7685" s="4">
        <v>2952</v>
      </c>
      <c r="D7685" s="5" t="s">
        <v>10518</v>
      </c>
      <c r="E7685" s="6" t="str">
        <f>HYPERLINK("https://inpn.mnhn.fr/espece/cd_nom/926249","Trichocybe puberula (Kuyper) Vizzini, 2010")</f>
        <v>Trichocybe puberula (Kuyper) Vizzini, 2010</v>
      </c>
      <c r="V7685" s="7" t="str">
        <f>HYPERLINK("#Liste_rouge!A"&amp;_xlfn.XMATCH("RE",Liste_rouge!A:A,2,1),"RE")</f>
        <v>RE</v>
      </c>
      <c r="AH7685" s="4" t="str">
        <f>HYPERLINK("#Statut_biogéographique!A"&amp;_xlfn.XMATCH("P",Statut_biogéographique!A:A,2,1),"P")</f>
        <v>P</v>
      </c>
      <c r="AP7685" s="4" t="s">
        <v>376</v>
      </c>
      <c r="AR7685" s="4" t="s">
        <v>377</v>
      </c>
    </row>
    <row r="7686" spans="1:44" ht="30">
      <c r="A7686" s="4" t="s">
        <v>5</v>
      </c>
      <c r="B7686" s="4">
        <v>931191</v>
      </c>
      <c r="D7686" s="5" t="s">
        <v>10519</v>
      </c>
      <c r="E7686" s="6" t="str">
        <f>HYPERLINK("https://inpn.mnhn.fr/espece/cd_nom/931191","Sagaranella tesquorum (Fr.) V.Hofst., Clémençon, Moncalvo &amp; Redhead, 2015")</f>
        <v>Sagaranella tesquorum (Fr.) V.Hofst., Clémençon, Moncalvo &amp; Redhead, 2015</v>
      </c>
      <c r="V7686" s="7" t="str">
        <f>HYPERLINK("#Liste_rouge!A"&amp;_xlfn.XMATCH("EN",Liste_rouge!A:A,2,1),"EN")</f>
        <v>EN</v>
      </c>
      <c r="W7686" s="4" t="str">
        <f>HYPERLINK("#Critères_liste_rouge!A$1","B2abiii")</f>
        <v>B2abiii</v>
      </c>
      <c r="AH7686" s="4" t="str">
        <f>HYPERLINK("#Statut_biogéographique!A"&amp;_xlfn.XMATCH("P",Statut_biogéographique!A:A,2,1),"P")</f>
        <v>P</v>
      </c>
      <c r="AP7686" s="4" t="s">
        <v>376</v>
      </c>
      <c r="AR7686" s="4" t="s">
        <v>377</v>
      </c>
    </row>
    <row r="7687" spans="1:44">
      <c r="A7687" s="4" t="s">
        <v>5</v>
      </c>
      <c r="B7687" s="4">
        <v>937002</v>
      </c>
      <c r="C7687" s="4">
        <v>941</v>
      </c>
      <c r="D7687" s="5" t="s">
        <v>10520</v>
      </c>
      <c r="E7687" s="6" t="str">
        <f>HYPERLINK("https://inpn.mnhn.fr/espece/cd_nom/937002","Alternaria oleracea Milb.")</f>
        <v>Alternaria oleracea Milb.</v>
      </c>
      <c r="AP7687" s="4" t="s">
        <v>376</v>
      </c>
      <c r="AR7687" s="4" t="s">
        <v>377</v>
      </c>
    </row>
    <row r="7688" spans="1:44" ht="30">
      <c r="A7688" s="4" t="s">
        <v>5</v>
      </c>
      <c r="B7688" s="4">
        <v>942438</v>
      </c>
      <c r="D7688" s="5" t="s">
        <v>10521</v>
      </c>
      <c r="E7688" s="6" t="str">
        <f>HYPERLINK("https://inpn.mnhn.fr/espece/cd_nom/942438","Rubroboletus satanas (Lenz) Kuan Zhao &amp; Zhu L.Yang, 2014")</f>
        <v>Rubroboletus satanas (Lenz) Kuan Zhao &amp; Zhu L.Yang, 2014</v>
      </c>
      <c r="F7688" s="5" t="s">
        <v>10522</v>
      </c>
      <c r="V7688" s="7" t="str">
        <f>HYPERLINK("#Liste_rouge!A"&amp;_xlfn.XMATCH("NT",Liste_rouge!A:A,2,1),"NT")</f>
        <v>NT</v>
      </c>
      <c r="W7688" s="4" t="str">
        <f>HYPERLINK("#Critères_liste_rouge!A$1","pr. A2c")</f>
        <v>pr. A2c</v>
      </c>
      <c r="AH7688" s="4" t="str">
        <f>HYPERLINK("#Statut_biogéographique!A"&amp;_xlfn.XMATCH("P",Statut_biogéographique!A:A,2,1),"P")</f>
        <v>P</v>
      </c>
      <c r="AP7688" s="4" t="s">
        <v>376</v>
      </c>
      <c r="AR7688" s="4" t="s">
        <v>377</v>
      </c>
    </row>
    <row r="7689" spans="1:44" ht="30">
      <c r="A7689" s="4" t="s">
        <v>5</v>
      </c>
      <c r="B7689" s="4">
        <v>945071</v>
      </c>
      <c r="C7689" s="4">
        <v>5641</v>
      </c>
      <c r="D7689" s="5" t="s">
        <v>10523</v>
      </c>
      <c r="E7689" s="6" t="str">
        <f>HYPERLINK("https://inpn.mnhn.fr/espece/cd_nom/945071","Alnicola macrospora J.E.Lange ex J.Favre, 1948")</f>
        <v>Alnicola macrospora J.E.Lange ex J.Favre, 1948</v>
      </c>
      <c r="F7689" s="5" t="s">
        <v>10524</v>
      </c>
      <c r="Z7689" s="4" t="s">
        <v>695</v>
      </c>
      <c r="AA7689" s="4" t="s">
        <v>696</v>
      </c>
      <c r="AH7689" s="4" t="str">
        <f>HYPERLINK("#Statut_biogéographique!A"&amp;_xlfn.XMATCH("P",Statut_biogéographique!A:A,2,1),"P")</f>
        <v>P</v>
      </c>
      <c r="AP7689" s="4" t="s">
        <v>376</v>
      </c>
      <c r="AR7689" s="4" t="s">
        <v>377</v>
      </c>
    </row>
    <row r="7690" spans="1:44">
      <c r="A7690" s="4" t="s">
        <v>5</v>
      </c>
      <c r="B7690" s="4">
        <v>945100</v>
      </c>
      <c r="C7690" s="4">
        <v>395</v>
      </c>
      <c r="D7690" s="5" t="s">
        <v>10525</v>
      </c>
      <c r="E7690" s="6" t="str">
        <f>HYPERLINK("https://inpn.mnhn.fr/espece/cd_nom/945100","Inocybe stellatospora (Peck) Massee, 1904")</f>
        <v>Inocybe stellatospora (Peck) Massee, 1904</v>
      </c>
      <c r="F7690" s="5" t="s">
        <v>10526</v>
      </c>
      <c r="AH7690" s="4" t="str">
        <f>HYPERLINK("#Statut_biogéographique!A"&amp;_xlfn.XMATCH("P",Statut_biogéographique!A:A,2,1),"P")</f>
        <v>P</v>
      </c>
      <c r="AP7690" s="4" t="s">
        <v>376</v>
      </c>
      <c r="AR7690" s="4" t="s">
        <v>377</v>
      </c>
    </row>
    <row r="7691" spans="1:44">
      <c r="A7691" s="4" t="s">
        <v>5</v>
      </c>
      <c r="B7691" s="4">
        <v>945104</v>
      </c>
      <c r="C7691" s="4">
        <v>6643</v>
      </c>
      <c r="D7691" s="5" t="s">
        <v>10527</v>
      </c>
      <c r="E7691" s="6" t="str">
        <f>HYPERLINK("https://inpn.mnhn.fr/espece/cd_nom/945104","Karstenia rhopaloides (Sacc.) Baral, 2015")</f>
        <v>Karstenia rhopaloides (Sacc.) Baral, 2015</v>
      </c>
      <c r="AH7691" s="4" t="str">
        <f>HYPERLINK("#Statut_biogéographique!A"&amp;_xlfn.XMATCH("P",Statut_biogéographique!A:A,2,1),"P")</f>
        <v>P</v>
      </c>
      <c r="AP7691" s="4" t="s">
        <v>376</v>
      </c>
      <c r="AR7691" s="4" t="s">
        <v>377</v>
      </c>
    </row>
    <row r="7692" spans="1:44" ht="45">
      <c r="A7692" s="4" t="s">
        <v>5</v>
      </c>
      <c r="B7692" s="4">
        <v>953524</v>
      </c>
      <c r="C7692" s="4">
        <v>4591</v>
      </c>
      <c r="D7692" s="5" t="s">
        <v>10528</v>
      </c>
      <c r="E7692" s="6" t="str">
        <f>HYPERLINK("https://inpn.mnhn.fr/espece/cd_nom/953524","Lathagrium cristatum (L.) Otálora, P.M.Jørg. &amp; Wedin, 2013")</f>
        <v>Lathagrium cristatum (L.) Otálora, P.M.Jørg. &amp; Wedin, 2013</v>
      </c>
      <c r="AH7692" s="4" t="str">
        <f>HYPERLINK("#Statut_biogéographique!A"&amp;_xlfn.XMATCH("P",Statut_biogéographique!A:A,2,1),"P")</f>
        <v>P</v>
      </c>
      <c r="AP7692" s="4" t="s">
        <v>376</v>
      </c>
      <c r="AR7692" s="4" t="s">
        <v>377</v>
      </c>
    </row>
    <row r="7693" spans="1:44" ht="30">
      <c r="A7693" s="4" t="s">
        <v>5</v>
      </c>
      <c r="B7693" s="4">
        <v>954263</v>
      </c>
      <c r="D7693" s="5" t="s">
        <v>10529</v>
      </c>
      <c r="E7693" s="6" t="str">
        <f>HYPERLINK("https://inpn.mnhn.fr/espece/cd_nom/954263","Enchylium tenax var. tenax (Sw.) Gray, 1821")</f>
        <v>Enchylium tenax var. tenax (Sw.) Gray, 1821</v>
      </c>
      <c r="AH7693" s="4" t="str">
        <f>HYPERLINK("#Statut_biogéographique!A"&amp;_xlfn.XMATCH("P",Statut_biogéographique!A:A,2,1),"P")</f>
        <v>P</v>
      </c>
      <c r="AP7693" s="4" t="s">
        <v>376</v>
      </c>
      <c r="AR7693" s="4" t="s">
        <v>377</v>
      </c>
    </row>
    <row r="7694" spans="1:44" ht="30">
      <c r="A7694" s="4" t="s">
        <v>5</v>
      </c>
      <c r="B7694" s="4">
        <v>954276</v>
      </c>
      <c r="C7694" s="4">
        <v>6587</v>
      </c>
      <c r="D7694" s="5" t="s">
        <v>10530</v>
      </c>
      <c r="E7694" s="6" t="str">
        <f>HYPERLINK("https://inpn.mnhn.fr/espece/cd_nom/954276","Lathagrium auriforme (With.) Otálora, P.M.Jørg. &amp; Wedin, 2013")</f>
        <v>Lathagrium auriforme (With.) Otálora, P.M.Jørg. &amp; Wedin, 2013</v>
      </c>
      <c r="AH7694" s="4" t="str">
        <f>HYPERLINK("#Statut_biogéographique!A"&amp;_xlfn.XMATCH("P",Statut_biogéographique!A:A,2,1),"P")</f>
        <v>P</v>
      </c>
      <c r="AP7694" s="4" t="s">
        <v>376</v>
      </c>
      <c r="AR7694" s="4" t="s">
        <v>377</v>
      </c>
    </row>
    <row r="7695" spans="1:44" ht="30">
      <c r="A7695" s="4" t="s">
        <v>5</v>
      </c>
      <c r="B7695" s="4">
        <v>954898</v>
      </c>
      <c r="D7695" s="5" t="s">
        <v>10531</v>
      </c>
      <c r="E7695" s="6" t="str">
        <f>HYPERLINK("https://inpn.mnhn.fr/espece/cd_nom/954898","Pseudoschismatomma rufescens (Pers.) Ertz &amp; Tehler, 2014")</f>
        <v>Pseudoschismatomma rufescens (Pers.) Ertz &amp; Tehler, 2014</v>
      </c>
      <c r="AH7695" s="4" t="str">
        <f>HYPERLINK("#Statut_biogéographique!A"&amp;_xlfn.XMATCH("P",Statut_biogéographique!A:A,2,1),"P")</f>
        <v>P</v>
      </c>
      <c r="AP7695" s="4" t="s">
        <v>376</v>
      </c>
      <c r="AR7695" s="4" t="s">
        <v>377</v>
      </c>
    </row>
    <row r="7696" spans="1:44" ht="30">
      <c r="A7696" s="4" t="s">
        <v>5</v>
      </c>
      <c r="B7696" s="4">
        <v>954991</v>
      </c>
      <c r="D7696" s="5" t="s">
        <v>10532</v>
      </c>
      <c r="E7696" s="6" t="str">
        <f>HYPERLINK("https://inpn.mnhn.fr/espece/cd_nom/954991","Scytinium lichenoides (L.) Otálora, P.M.Jørg. &amp; Wedin, 2013")</f>
        <v>Scytinium lichenoides (L.) Otálora, P.M.Jørg. &amp; Wedin, 2013</v>
      </c>
      <c r="AH7696" s="4" t="str">
        <f>HYPERLINK("#Statut_biogéographique!A"&amp;_xlfn.XMATCH("P",Statut_biogéographique!A:A,2,1),"P")</f>
        <v>P</v>
      </c>
      <c r="AP7696" s="4" t="s">
        <v>376</v>
      </c>
      <c r="AR7696" s="4" t="s">
        <v>377</v>
      </c>
    </row>
    <row r="7697" spans="1:44" ht="30">
      <c r="A7697" s="4" t="s">
        <v>5</v>
      </c>
      <c r="B7697" s="4">
        <v>955014</v>
      </c>
      <c r="D7697" s="5" t="s">
        <v>10533</v>
      </c>
      <c r="E7697" s="6" t="str">
        <f>HYPERLINK("https://inpn.mnhn.fr/espece/cd_nom/955014","Scytinium schraderi (Ach.) Otálora, P.M.Jørg. &amp; Wedin, 2013")</f>
        <v>Scytinium schraderi (Ach.) Otálora, P.M.Jørg. &amp; Wedin, 2013</v>
      </c>
      <c r="AH7697" s="4" t="str">
        <f>HYPERLINK("#Statut_biogéographique!A"&amp;_xlfn.XMATCH("P",Statut_biogéographique!A:A,2,1),"P")</f>
        <v>P</v>
      </c>
      <c r="AP7697" s="4" t="s">
        <v>376</v>
      </c>
      <c r="AR7697" s="4" t="s">
        <v>377</v>
      </c>
    </row>
    <row r="7698" spans="1:44" ht="30">
      <c r="A7698" s="4" t="s">
        <v>5</v>
      </c>
      <c r="B7698" s="4">
        <v>961047</v>
      </c>
      <c r="C7698" s="4">
        <v>6269</v>
      </c>
      <c r="D7698" s="5" t="s">
        <v>10534</v>
      </c>
      <c r="E7698" s="6" t="str">
        <f>HYPERLINK("https://inpn.mnhn.fr/espece/cd_nom/961047","Cristulariella depraedans (Cooke) Höhn., 1916")</f>
        <v>Cristulariella depraedans (Cooke) Höhn., 1916</v>
      </c>
      <c r="F7698" s="5" t="s">
        <v>10535</v>
      </c>
      <c r="AH7698" s="4" t="str">
        <f>HYPERLINK("#Statut_biogéographique!A"&amp;_xlfn.XMATCH("P",Statut_biogéographique!A:A,2,1),"P")</f>
        <v>P</v>
      </c>
      <c r="AP7698" s="4" t="s">
        <v>376</v>
      </c>
      <c r="AR7698" s="4" t="s">
        <v>377</v>
      </c>
    </row>
    <row r="7699" spans="1:44" ht="105">
      <c r="A7699" s="4" t="s">
        <v>5</v>
      </c>
      <c r="B7699" s="4">
        <v>966674</v>
      </c>
      <c r="D7699" s="5" t="s">
        <v>10536</v>
      </c>
      <c r="E7699" s="6" t="str">
        <f>HYPERLINK("https://inpn.mnhn.fr/espece/cd_nom/966674","Cerioporus leptocephalus (Jacq.) Zmitr., 2016")</f>
        <v>Cerioporus leptocephalus (Jacq.) Zmitr., 2016</v>
      </c>
      <c r="F7699" s="5" t="s">
        <v>10537</v>
      </c>
      <c r="V7699" s="7" t="str">
        <f>HYPERLINK("#Liste_rouge!A"&amp;_xlfn.XMATCH("LC",Liste_rouge!A:A,2,1),"LC")</f>
        <v>LC</v>
      </c>
      <c r="AH7699" s="4" t="str">
        <f>HYPERLINK("#Statut_biogéographique!A"&amp;_xlfn.XMATCH("P",Statut_biogéographique!A:A,2,1),"P")</f>
        <v>P</v>
      </c>
      <c r="AP7699" s="4" t="s">
        <v>376</v>
      </c>
      <c r="AR7699" s="4" t="s">
        <v>377</v>
      </c>
    </row>
    <row r="7700" spans="1:44">
      <c r="A7700" s="4" t="s">
        <v>5</v>
      </c>
      <c r="B7700" s="4">
        <v>967801</v>
      </c>
      <c r="C7700" s="4">
        <v>1398</v>
      </c>
      <c r="D7700" s="5" t="s">
        <v>10538</v>
      </c>
      <c r="E7700" s="6" t="str">
        <f>HYPERLINK("https://inpn.mnhn.fr/espece/cd_nom/967801","Aecidium pulmonariae Thüm., 1879")</f>
        <v>Aecidium pulmonariae Thüm., 1879</v>
      </c>
      <c r="AH7700" s="4" t="str">
        <f>HYPERLINK("#Statut_biogéographique!A"&amp;_xlfn.XMATCH("P",Statut_biogéographique!A:A,2,1),"P")</f>
        <v>P</v>
      </c>
      <c r="AP7700" s="4" t="s">
        <v>376</v>
      </c>
      <c r="AR7700" s="4" t="s">
        <v>377</v>
      </c>
    </row>
    <row r="7701" spans="1:44">
      <c r="A7701" s="4" t="s">
        <v>5</v>
      </c>
      <c r="B7701" s="4">
        <v>967805</v>
      </c>
      <c r="C7701" s="4">
        <v>4375</v>
      </c>
      <c r="D7701" s="5" t="s">
        <v>10539</v>
      </c>
      <c r="E7701" s="6" t="str">
        <f>HYPERLINK("https://inpn.mnhn.fr/espece/cd_nom/967805","Albugo bliti (Biv.) Kuntze, 1891")</f>
        <v>Albugo bliti (Biv.) Kuntze, 1891</v>
      </c>
      <c r="AH7701" s="4" t="str">
        <f>HYPERLINK("#Statut_biogéographique!A"&amp;_xlfn.XMATCH("P",Statut_biogéographique!A:A,2,1),"P")</f>
        <v>P</v>
      </c>
      <c r="AP7701" s="4" t="s">
        <v>376</v>
      </c>
      <c r="AR7701" s="4" t="s">
        <v>377</v>
      </c>
    </row>
    <row r="7702" spans="1:44" ht="30">
      <c r="A7702" s="4" t="s">
        <v>5</v>
      </c>
      <c r="B7702" s="4">
        <v>967881</v>
      </c>
      <c r="C7702" s="4">
        <v>1623</v>
      </c>
      <c r="D7702" s="5" t="s">
        <v>10540</v>
      </c>
      <c r="E7702" s="6" t="str">
        <f>HYPERLINK("https://inpn.mnhn.fr/espece/cd_nom/967881","Cyanoboletus pulverulentus (Opat.) Gelardi, Vizzini &amp; Simonini, 2014")</f>
        <v>Cyanoboletus pulverulentus (Opat.) Gelardi, Vizzini &amp; Simonini, 2014</v>
      </c>
      <c r="F7702" s="5" t="s">
        <v>10541</v>
      </c>
      <c r="V7702" s="7" t="str">
        <f>HYPERLINK("#Liste_rouge!A"&amp;_xlfn.XMATCH("LC",Liste_rouge!A:A,2,1),"LC")</f>
        <v>LC</v>
      </c>
      <c r="AH7702" s="4" t="str">
        <f>HYPERLINK("#Statut_biogéographique!A"&amp;_xlfn.XMATCH("P",Statut_biogéographique!A:A,2,1),"P")</f>
        <v>P</v>
      </c>
      <c r="AP7702" s="4" t="s">
        <v>376</v>
      </c>
      <c r="AR7702" s="4" t="s">
        <v>377</v>
      </c>
    </row>
    <row r="7703" spans="1:44" ht="45">
      <c r="A7703" s="4" t="s">
        <v>5</v>
      </c>
      <c r="B7703" s="4">
        <v>967886</v>
      </c>
      <c r="C7703" s="4">
        <v>4071</v>
      </c>
      <c r="D7703" s="5" t="s">
        <v>10542</v>
      </c>
      <c r="E7703" s="6" t="str">
        <f>HYPERLINK("https://inpn.mnhn.fr/espece/cd_nom/967886","Suillellus queletii (Schulzer) Vizzini, Simonini &amp; Gelardi, 2014")</f>
        <v>Suillellus queletii (Schulzer) Vizzini, Simonini &amp; Gelardi, 2014</v>
      </c>
      <c r="F7703" s="5" t="s">
        <v>4971</v>
      </c>
      <c r="V7703" s="7" t="str">
        <f>HYPERLINK("#Liste_rouge!A"&amp;_xlfn.XMATCH("LC",Liste_rouge!A:A,2,1),"LC")</f>
        <v>LC</v>
      </c>
      <c r="AH7703" s="4" t="str">
        <f>HYPERLINK("#Statut_biogéographique!A"&amp;_xlfn.XMATCH("P",Statut_biogéographique!A:A,2,1),"P")</f>
        <v>P</v>
      </c>
      <c r="AP7703" s="4" t="s">
        <v>376</v>
      </c>
      <c r="AR7703" s="4" t="s">
        <v>377</v>
      </c>
    </row>
    <row r="7704" spans="1:44" ht="30">
      <c r="A7704" s="4" t="s">
        <v>5</v>
      </c>
      <c r="B7704" s="4">
        <v>967888</v>
      </c>
      <c r="C7704" s="4">
        <v>7109</v>
      </c>
      <c r="D7704" s="5" t="s">
        <v>10543</v>
      </c>
      <c r="E7704" s="6" t="str">
        <f>HYPERLINK("https://inpn.mnhn.fr/espece/cd_nom/967888","Neoboletus luridiformis (Rostk.) Gelardi, Simonini &amp; Vizzini, 2014")</f>
        <v>Neoboletus luridiformis (Rostk.) Gelardi, Simonini &amp; Vizzini, 2014</v>
      </c>
      <c r="F7704" s="5" t="s">
        <v>10544</v>
      </c>
      <c r="V7704" s="7" t="str">
        <f>HYPERLINK("#Liste_rouge!A"&amp;_xlfn.XMATCH("NT",Liste_rouge!A:A,2,1),"NT")</f>
        <v>NT</v>
      </c>
      <c r="W7704" s="4" t="str">
        <f>HYPERLINK("#Critères_liste_rouge!A$1","pr. B2abiii")</f>
        <v>pr. B2abiii</v>
      </c>
      <c r="AH7704" s="4" t="str">
        <f>HYPERLINK("#Statut_biogéographique!A"&amp;_xlfn.XMATCH("P",Statut_biogéographique!A:A,2,1),"P")</f>
        <v>P</v>
      </c>
      <c r="AP7704" s="4" t="s">
        <v>376</v>
      </c>
      <c r="AR7704" s="4" t="s">
        <v>377</v>
      </c>
    </row>
    <row r="7705" spans="1:44" ht="45">
      <c r="A7705" s="4" t="s">
        <v>5</v>
      </c>
      <c r="B7705" s="4">
        <v>967890</v>
      </c>
      <c r="C7705" s="4">
        <v>2859</v>
      </c>
      <c r="D7705" s="5" t="s">
        <v>10545</v>
      </c>
      <c r="E7705" s="6" t="str">
        <f>HYPERLINK("https://inpn.mnhn.fr/espece/cd_nom/967890","Neoboletus erythropus (Pers.) C.Hahn, 2015")</f>
        <v>Neoboletus erythropus (Pers.) C.Hahn, 2015</v>
      </c>
      <c r="F7705" s="5" t="s">
        <v>984</v>
      </c>
      <c r="V7705" s="7" t="str">
        <f>HYPERLINK("#Liste_rouge!A"&amp;_xlfn.XMATCH("LC",Liste_rouge!A:A,2,1),"LC")</f>
        <v>LC</v>
      </c>
      <c r="AH7705" s="4" t="str">
        <f>HYPERLINK("#Statut_biogéographique!A"&amp;_xlfn.XMATCH("P",Statut_biogéographique!A:A,2,1),"P")</f>
        <v>P</v>
      </c>
      <c r="AP7705" s="4" t="s">
        <v>376</v>
      </c>
      <c r="AR7705" s="4" t="s">
        <v>377</v>
      </c>
    </row>
    <row r="7706" spans="1:44" ht="30">
      <c r="A7706" s="4" t="s">
        <v>5</v>
      </c>
      <c r="B7706" s="4">
        <v>967892</v>
      </c>
      <c r="C7706" s="4">
        <v>7109</v>
      </c>
      <c r="D7706" s="5">
        <v>469181</v>
      </c>
      <c r="E7706" s="6" t="str">
        <f>HYPERLINK("https://inpn.mnhn.fr/espece/cd_nom/967892","Neoboletus xanthopus (Klofac &amp; A.Urb.) Klofac &amp; A.Urb., 2014")</f>
        <v>Neoboletus xanthopus (Klofac &amp; A.Urb.) Klofac &amp; A.Urb., 2014</v>
      </c>
      <c r="F7706" s="5" t="s">
        <v>10544</v>
      </c>
      <c r="V7706" s="7" t="str">
        <f>HYPERLINK("#Liste_rouge!A"&amp;_xlfn.XMATCH("NT",Liste_rouge!A:A,2,1),"NT")</f>
        <v>NT</v>
      </c>
      <c r="W7706" s="4" t="str">
        <f>HYPERLINK("#Critères_liste_rouge!A$1","pr. B2abiii")</f>
        <v>pr. B2abiii</v>
      </c>
      <c r="AH7706" s="4" t="str">
        <f>HYPERLINK("#Statut_biogéographique!A"&amp;_xlfn.XMATCH("P",Statut_biogéographique!A:A,2,1),"P")</f>
        <v>P</v>
      </c>
      <c r="AP7706" s="4" t="s">
        <v>376</v>
      </c>
      <c r="AR7706" s="4" t="s">
        <v>377</v>
      </c>
    </row>
    <row r="7707" spans="1:44" ht="30">
      <c r="A7707" s="4" t="s">
        <v>5</v>
      </c>
      <c r="B7707" s="4">
        <v>967895</v>
      </c>
      <c r="D7707" s="5" t="s">
        <v>10546</v>
      </c>
      <c r="E7707" s="6" t="str">
        <f>HYPERLINK("https://inpn.mnhn.fr/espece/cd_nom/967895","Neoboletus praestigiator (R.Schulz) Svetash., Gelardi, Simonini &amp; Vizzini, 2016")</f>
        <v>Neoboletus praestigiator (R.Schulz) Svetash., Gelardi, Simonini &amp; Vizzini, 2016</v>
      </c>
      <c r="AH7707" s="4" t="str">
        <f>HYPERLINK("#Statut_biogéographique!A"&amp;_xlfn.XMATCH("P",Statut_biogéographique!A:A,2,1),"P")</f>
        <v>P</v>
      </c>
      <c r="AP7707" s="4" t="s">
        <v>376</v>
      </c>
      <c r="AR7707" s="4" t="s">
        <v>377</v>
      </c>
    </row>
    <row r="7708" spans="1:44" ht="30">
      <c r="A7708" s="4" t="s">
        <v>5</v>
      </c>
      <c r="B7708" s="4">
        <v>967900</v>
      </c>
      <c r="D7708" s="5" t="s">
        <v>10547</v>
      </c>
      <c r="E7708" s="6" t="str">
        <f>HYPERLINK("https://inpn.mnhn.fr/espece/cd_nom/967900","Rubroboletus dupainii (Boud.) Kuan Zhao &amp; Zhu L.Yang, 2014")</f>
        <v>Rubroboletus dupainii (Boud.) Kuan Zhao &amp; Zhu L.Yang, 2014</v>
      </c>
      <c r="F7708" s="5" t="s">
        <v>10548</v>
      </c>
      <c r="V7708" s="7" t="str">
        <f>HYPERLINK("#Liste_rouge!A"&amp;_xlfn.XMATCH("EN",Liste_rouge!A:A,2,1),"EN")</f>
        <v>EN</v>
      </c>
      <c r="W7708" s="4" t="str">
        <f>HYPERLINK("#Critères_liste_rouge!A$1","B2abiii")</f>
        <v>B2abiii</v>
      </c>
      <c r="AH7708" s="4" t="str">
        <f>HYPERLINK("#Statut_biogéographique!A"&amp;_xlfn.XMATCH("P",Statut_biogéographique!A:A,2,1),"P")</f>
        <v>P</v>
      </c>
      <c r="AP7708" s="4" t="s">
        <v>376</v>
      </c>
      <c r="AR7708" s="4" t="s">
        <v>377</v>
      </c>
    </row>
    <row r="7709" spans="1:44" ht="30">
      <c r="A7709" s="4" t="s">
        <v>5</v>
      </c>
      <c r="B7709" s="4">
        <v>967901</v>
      </c>
      <c r="D7709" s="5" t="s">
        <v>10549</v>
      </c>
      <c r="E7709" s="6" t="str">
        <f>HYPERLINK("https://inpn.mnhn.fr/espece/cd_nom/967901","Rubroboletus legaliae (Pilát &amp; Dermek) Della Magg. &amp; Trassin., 2015")</f>
        <v>Rubroboletus legaliae (Pilát &amp; Dermek) Della Magg. &amp; Trassin., 2015</v>
      </c>
      <c r="F7709" s="5" t="s">
        <v>10550</v>
      </c>
      <c r="V7709" s="7" t="str">
        <f>HYPERLINK("#Liste_rouge!A"&amp;_xlfn.XMATCH("NT",Liste_rouge!A:A,2,1),"NT")</f>
        <v>NT</v>
      </c>
      <c r="W7709" s="4" t="str">
        <f>HYPERLINK("#Critères_liste_rouge!A$1","pr. B2abiii")</f>
        <v>pr. B2abiii</v>
      </c>
      <c r="AH7709" s="4" t="str">
        <f>HYPERLINK("#Statut_biogéographique!A"&amp;_xlfn.XMATCH("P",Statut_biogéographique!A:A,2,1),"P")</f>
        <v>P</v>
      </c>
      <c r="AP7709" s="4" t="s">
        <v>376</v>
      </c>
      <c r="AR7709" s="4" t="s">
        <v>377</v>
      </c>
    </row>
    <row r="7710" spans="1:44" ht="30">
      <c r="A7710" s="4" t="s">
        <v>5</v>
      </c>
      <c r="B7710" s="4">
        <v>968004</v>
      </c>
      <c r="D7710" s="5" t="s">
        <v>10551</v>
      </c>
      <c r="E7710" s="6" t="str">
        <f>HYPERLINK("https://inpn.mnhn.fr/espece/cd_nom/968004","Rubroboletus rhodoxanthus (Krombh.) Kuan Zhao &amp; Zhu L.Yang, 2014")</f>
        <v>Rubroboletus rhodoxanthus (Krombh.) Kuan Zhao &amp; Zhu L.Yang, 2014</v>
      </c>
      <c r="F7710" s="5" t="s">
        <v>4024</v>
      </c>
      <c r="O7710" s="7" t="str">
        <f>HYPERLINK("#Liste_rouge!A"&amp;_xlfn.XMATCH("NT",Liste_rouge!A:A,2,1),"NT")</f>
        <v>NT</v>
      </c>
      <c r="V7710" s="7" t="str">
        <f>HYPERLINK("#Liste_rouge!A"&amp;_xlfn.XMATCH("LC",Liste_rouge!A:A,2,1),"LC")</f>
        <v>LC</v>
      </c>
      <c r="AH7710" s="4" t="str">
        <f>HYPERLINK("#Statut_biogéographique!A"&amp;_xlfn.XMATCH("P",Statut_biogéographique!A:A,2,1),"P")</f>
        <v>P</v>
      </c>
      <c r="AP7710" s="4" t="s">
        <v>376</v>
      </c>
      <c r="AR7710" s="4" t="s">
        <v>377</v>
      </c>
    </row>
    <row r="7711" spans="1:44" ht="30">
      <c r="A7711" s="4" t="s">
        <v>5</v>
      </c>
      <c r="B7711" s="4">
        <v>968009</v>
      </c>
      <c r="D7711" s="5" t="s">
        <v>10552</v>
      </c>
      <c r="E7711" s="6" t="str">
        <f>HYPERLINK("https://inpn.mnhn.fr/espece/cd_nom/968009","Rubroboletus rubrosanguineus (Cheype) Kuan Zhao &amp; Zhu L.Yang, 2014")</f>
        <v>Rubroboletus rubrosanguineus (Cheype) Kuan Zhao &amp; Zhu L.Yang, 2014</v>
      </c>
      <c r="F7711" s="5" t="s">
        <v>10553</v>
      </c>
      <c r="V7711" s="7" t="str">
        <f>HYPERLINK("#Liste_rouge!A"&amp;_xlfn.XMATCH("LC",Liste_rouge!A:A,2,1),"LC")</f>
        <v>LC</v>
      </c>
      <c r="AH7711" s="4" t="str">
        <f>HYPERLINK("#Statut_biogéographique!A"&amp;_xlfn.XMATCH("P",Statut_biogéographique!A:A,2,1),"P")</f>
        <v>P</v>
      </c>
      <c r="AP7711" s="4" t="s">
        <v>376</v>
      </c>
      <c r="AR7711" s="4" t="s">
        <v>377</v>
      </c>
    </row>
    <row r="7712" spans="1:44" ht="45">
      <c r="A7712" s="4" t="s">
        <v>5</v>
      </c>
      <c r="B7712" s="4">
        <v>968047</v>
      </c>
      <c r="C7712" s="4">
        <v>5398</v>
      </c>
      <c r="D7712" s="5" t="s">
        <v>10554</v>
      </c>
      <c r="E7712" s="6" t="str">
        <f>HYPERLINK("https://inpn.mnhn.fr/espece/cd_nom/968047","Suillellus luridus (Schaeff.) Murrill, 1909")</f>
        <v>Suillellus luridus (Schaeff.) Murrill, 1909</v>
      </c>
      <c r="F7712" s="5" t="s">
        <v>10555</v>
      </c>
      <c r="V7712" s="7" t="str">
        <f>HYPERLINK("#Liste_rouge!A"&amp;_xlfn.XMATCH("LC",Liste_rouge!A:A,2,1),"LC")</f>
        <v>LC</v>
      </c>
      <c r="AH7712" s="4" t="str">
        <f>HYPERLINK("#Statut_biogéographique!A"&amp;_xlfn.XMATCH("P",Statut_biogéographique!A:A,2,1),"P")</f>
        <v>P</v>
      </c>
      <c r="AP7712" s="4" t="s">
        <v>376</v>
      </c>
      <c r="AR7712" s="4" t="s">
        <v>377</v>
      </c>
    </row>
    <row r="7713" spans="1:44" ht="30">
      <c r="A7713" s="4" t="s">
        <v>5</v>
      </c>
      <c r="B7713" s="4">
        <v>968060</v>
      </c>
      <c r="C7713" s="4">
        <v>4478</v>
      </c>
      <c r="D7713" s="5" t="s">
        <v>10556</v>
      </c>
      <c r="E7713" s="6" t="str">
        <f>HYPERLINK("https://inpn.mnhn.fr/espece/cd_nom/968060","Suillellus luridus var. lupiniformis (J.Blum) Blanco-Dios, 2015")</f>
        <v>Suillellus luridus var. lupiniformis (J.Blum) Blanco-Dios, 2015</v>
      </c>
      <c r="V7713" s="7" t="str">
        <f>HYPERLINK("#Liste_rouge!A"&amp;_xlfn.XMATCH("DD",Liste_rouge!A:A,2,1),"DD")</f>
        <v>DD</v>
      </c>
      <c r="AH7713" s="4" t="str">
        <f>HYPERLINK("#Statut_biogéographique!A"&amp;_xlfn.XMATCH("P",Statut_biogéographique!A:A,2,1),"P")</f>
        <v>P</v>
      </c>
      <c r="AP7713" s="4" t="s">
        <v>376</v>
      </c>
      <c r="AR7713" s="4" t="s">
        <v>377</v>
      </c>
    </row>
    <row r="7714" spans="1:44" ht="30">
      <c r="A7714" s="4" t="s">
        <v>5</v>
      </c>
      <c r="B7714" s="4">
        <v>968063</v>
      </c>
      <c r="D7714" s="5" t="s">
        <v>10557</v>
      </c>
      <c r="E7714" s="6" t="str">
        <f>HYPERLINK("https://inpn.mnhn.fr/espece/cd_nom/968063","Suillellus luridus var. queletiformis (J.Blum) Blanco-Dios, 2015")</f>
        <v>Suillellus luridus var. queletiformis (J.Blum) Blanco-Dios, 2015</v>
      </c>
      <c r="V7714" s="7" t="str">
        <f>HYPERLINK("#Liste_rouge!A"&amp;_xlfn.XMATCH("DD",Liste_rouge!A:A,2,1),"DD")</f>
        <v>DD</v>
      </c>
      <c r="AH7714" s="4" t="str">
        <f>HYPERLINK("#Statut_biogéographique!A"&amp;_xlfn.XMATCH("P",Statut_biogéographique!A:A,2,1),"P")</f>
        <v>P</v>
      </c>
      <c r="AP7714" s="4" t="s">
        <v>376</v>
      </c>
      <c r="AR7714" s="4" t="s">
        <v>377</v>
      </c>
    </row>
    <row r="7715" spans="1:44" ht="30">
      <c r="A7715" s="4" t="s">
        <v>5</v>
      </c>
      <c r="B7715" s="4">
        <v>968156</v>
      </c>
      <c r="C7715" s="4">
        <v>2577</v>
      </c>
      <c r="D7715" s="5" t="s">
        <v>10558</v>
      </c>
      <c r="E7715" s="6" t="str">
        <f>HYPERLINK("https://inpn.mnhn.fr/espece/cd_nom/968156","Aureoboletus moravicus (Vaček) Klofac, 2010")</f>
        <v>Aureoboletus moravicus (Vaček) Klofac, 2010</v>
      </c>
      <c r="F7715" s="5" t="s">
        <v>10559</v>
      </c>
      <c r="V7715" s="7" t="str">
        <f>HYPERLINK("#Liste_rouge!A"&amp;_xlfn.XMATCH("EN",Liste_rouge!A:A,2,1),"EN")</f>
        <v>EN</v>
      </c>
      <c r="W7715" s="4" t="str">
        <f>HYPERLINK("#Critères_liste_rouge!A$1","B2abiii")</f>
        <v>B2abiii</v>
      </c>
      <c r="Z7715" s="4" t="s">
        <v>443</v>
      </c>
      <c r="AA7715" s="4" t="s">
        <v>444</v>
      </c>
      <c r="AH7715" s="4" t="str">
        <f>HYPERLINK("#Statut_biogéographique!A"&amp;_xlfn.XMATCH("P",Statut_biogéographique!A:A,2,1),"P")</f>
        <v>P</v>
      </c>
      <c r="AP7715" s="4" t="s">
        <v>376</v>
      </c>
      <c r="AR7715" s="4" t="s">
        <v>377</v>
      </c>
    </row>
    <row r="7716" spans="1:44" ht="30">
      <c r="A7716" s="4" t="s">
        <v>5</v>
      </c>
      <c r="B7716" s="4">
        <v>968158</v>
      </c>
      <c r="C7716" s="4">
        <v>608</v>
      </c>
      <c r="D7716" s="5" t="s">
        <v>10560</v>
      </c>
      <c r="E7716" s="6" t="str">
        <f>HYPERLINK("https://inpn.mnhn.fr/espece/cd_nom/968158","Butyriboletus appendiculatus (Schaeff.) D.Arora &amp; J.L.Frank, 2014")</f>
        <v>Butyriboletus appendiculatus (Schaeff.) D.Arora &amp; J.L.Frank, 2014</v>
      </c>
      <c r="F7716" s="5" t="s">
        <v>10561</v>
      </c>
      <c r="AH7716" s="4" t="str">
        <f>HYPERLINK("#Statut_biogéographique!A"&amp;_xlfn.XMATCH("P",Statut_biogéographique!A:A,2,1),"P")</f>
        <v>P</v>
      </c>
      <c r="AP7716" s="4" t="s">
        <v>376</v>
      </c>
      <c r="AR7716" s="4" t="s">
        <v>377</v>
      </c>
    </row>
    <row r="7717" spans="1:44" ht="30">
      <c r="A7717" s="4" t="s">
        <v>5</v>
      </c>
      <c r="B7717" s="4">
        <v>968166</v>
      </c>
      <c r="C7717" s="4">
        <v>1951</v>
      </c>
      <c r="D7717" s="5" t="s">
        <v>10562</v>
      </c>
      <c r="E7717" s="6" t="str">
        <f>HYPERLINK("https://inpn.mnhn.fr/espece/cd_nom/968166","Butyriboletus fechtneri (Velen.) D.Arora &amp; J.L.Frank, 2014")</f>
        <v>Butyriboletus fechtneri (Velen.) D.Arora &amp; J.L.Frank, 2014</v>
      </c>
      <c r="F7717" s="5" t="s">
        <v>10563</v>
      </c>
      <c r="V7717" s="7" t="str">
        <f>HYPERLINK("#Liste_rouge!A"&amp;_xlfn.XMATCH("LC",Liste_rouge!A:A,2,1),"LC")</f>
        <v>LC</v>
      </c>
      <c r="AH7717" s="4" t="str">
        <f>HYPERLINK("#Statut_biogéographique!A"&amp;_xlfn.XMATCH("P",Statut_biogéographique!A:A,2,1),"P")</f>
        <v>P</v>
      </c>
      <c r="AP7717" s="4" t="s">
        <v>376</v>
      </c>
      <c r="AR7717" s="4" t="s">
        <v>377</v>
      </c>
    </row>
    <row r="7718" spans="1:44" ht="30">
      <c r="A7718" s="4" t="s">
        <v>5</v>
      </c>
      <c r="B7718" s="4">
        <v>968167</v>
      </c>
      <c r="C7718" s="4">
        <v>1659</v>
      </c>
      <c r="D7718" s="5" t="s">
        <v>10564</v>
      </c>
      <c r="E7718" s="6" t="str">
        <f>HYPERLINK("https://inpn.mnhn.fr/espece/cd_nom/968167","Butyriboletus pseudoregius (Heinr.Huber) D.Arora &amp; J.L.Frank, 2014")</f>
        <v>Butyriboletus pseudoregius (Heinr.Huber) D.Arora &amp; J.L.Frank, 2014</v>
      </c>
      <c r="F7718" s="5" t="s">
        <v>10565</v>
      </c>
      <c r="V7718" s="7" t="str">
        <f>HYPERLINK("#Liste_rouge!A"&amp;_xlfn.XMATCH("LC",Liste_rouge!A:A,2,1),"LC")</f>
        <v>LC</v>
      </c>
      <c r="AH7718" s="4" t="str">
        <f>HYPERLINK("#Statut_biogéographique!A"&amp;_xlfn.XMATCH("P",Statut_biogéographique!A:A,2,1),"P")</f>
        <v>P</v>
      </c>
      <c r="AP7718" s="4" t="s">
        <v>376</v>
      </c>
      <c r="AR7718" s="4" t="s">
        <v>377</v>
      </c>
    </row>
    <row r="7719" spans="1:44" ht="30">
      <c r="A7719" s="4" t="s">
        <v>5</v>
      </c>
      <c r="B7719" s="4">
        <v>968170</v>
      </c>
      <c r="C7719" s="4">
        <v>827</v>
      </c>
      <c r="D7719" s="5" t="s">
        <v>10566</v>
      </c>
      <c r="E7719" s="6" t="str">
        <f>HYPERLINK("https://inpn.mnhn.fr/espece/cd_nom/968170","Butyriboletus regius (Krombh.) D.Arora &amp; J.L.Frank, 2014")</f>
        <v>Butyriboletus regius (Krombh.) D.Arora &amp; J.L.Frank, 2014</v>
      </c>
      <c r="F7719" s="5" t="s">
        <v>10567</v>
      </c>
      <c r="V7719" s="7" t="str">
        <f>HYPERLINK("#Liste_rouge!A"&amp;_xlfn.XMATCH("LC",Liste_rouge!A:A,2,1),"LC")</f>
        <v>LC</v>
      </c>
      <c r="Z7719" s="4" t="s">
        <v>447</v>
      </c>
      <c r="AA7719" s="4" t="s">
        <v>448</v>
      </c>
      <c r="AH7719" s="4" t="str">
        <f>HYPERLINK("#Statut_biogéographique!A"&amp;_xlfn.XMATCH("P",Statut_biogéographique!A:A,2,1),"P")</f>
        <v>P</v>
      </c>
      <c r="AP7719" s="4" t="s">
        <v>376</v>
      </c>
      <c r="AR7719" s="4" t="s">
        <v>377</v>
      </c>
    </row>
    <row r="7720" spans="1:44" ht="45">
      <c r="A7720" s="4" t="s">
        <v>5</v>
      </c>
      <c r="B7720" s="4">
        <v>968171</v>
      </c>
      <c r="C7720" s="4">
        <v>1993</v>
      </c>
      <c r="D7720" s="5" t="s">
        <v>10568</v>
      </c>
      <c r="E7720" s="6" t="str">
        <f>HYPERLINK("https://inpn.mnhn.fr/espece/cd_nom/968171","Butyriboletus subappendiculatus (Dermek, Lazebn. &amp; J.Veselský) D.Arora &amp; J.L.Frank, 2014")</f>
        <v>Butyriboletus subappendiculatus (Dermek, Lazebn. &amp; J.Veselský) D.Arora &amp; J.L.Frank, 2014</v>
      </c>
      <c r="F7720" s="5" t="s">
        <v>10569</v>
      </c>
      <c r="V7720" s="7" t="str">
        <f>HYPERLINK("#Liste_rouge!A"&amp;_xlfn.XMATCH("LC",Liste_rouge!A:A,2,1),"LC")</f>
        <v>LC</v>
      </c>
      <c r="AH7720" s="4" t="str">
        <f>HYPERLINK("#Statut_biogéographique!A"&amp;_xlfn.XMATCH("P",Statut_biogéographique!A:A,2,1),"P")</f>
        <v>P</v>
      </c>
      <c r="AP7720" s="4" t="s">
        <v>376</v>
      </c>
      <c r="AR7720" s="4" t="s">
        <v>377</v>
      </c>
    </row>
    <row r="7721" spans="1:44">
      <c r="A7721" s="4" t="s">
        <v>5</v>
      </c>
      <c r="B7721" s="4">
        <v>968436</v>
      </c>
      <c r="C7721" s="4">
        <v>6234</v>
      </c>
      <c r="D7721" s="5" t="s">
        <v>10570</v>
      </c>
      <c r="E7721" s="6" t="str">
        <f>HYPERLINK("https://inpn.mnhn.fr/espece/cd_nom/968436","Cercospora cardaminae Losa, 1946")</f>
        <v>Cercospora cardaminae Losa, 1946</v>
      </c>
      <c r="AH7721" s="4" t="str">
        <f>HYPERLINK("#Statut_biogéographique!A"&amp;_xlfn.XMATCH("P",Statut_biogéographique!A:A,2,1),"P")</f>
        <v>P</v>
      </c>
      <c r="AP7721" s="4" t="s">
        <v>376</v>
      </c>
      <c r="AR7721" s="4" t="s">
        <v>377</v>
      </c>
    </row>
    <row r="7722" spans="1:44" ht="30">
      <c r="A7722" s="4" t="s">
        <v>5</v>
      </c>
      <c r="B7722" s="4">
        <v>968470</v>
      </c>
      <c r="C7722" s="4">
        <v>1711</v>
      </c>
      <c r="D7722" s="5" t="s">
        <v>10571</v>
      </c>
      <c r="E7722" s="6" t="str">
        <f>HYPERLINK("https://inpn.mnhn.fr/espece/cd_nom/968470","Fusoidiella depressa (Berk. &amp; Broome) Videira &amp; Crous, 2016")</f>
        <v>Fusoidiella depressa (Berk. &amp; Broome) Videira &amp; Crous, 2016</v>
      </c>
      <c r="AH7722" s="4" t="str">
        <f>HYPERLINK("#Statut_biogéographique!A"&amp;_xlfn.XMATCH("P",Statut_biogéographique!A:A,2,1),"P")</f>
        <v>P</v>
      </c>
      <c r="AP7722" s="4" t="s">
        <v>376</v>
      </c>
      <c r="AR7722" s="4" t="s">
        <v>377</v>
      </c>
    </row>
    <row r="7723" spans="1:44">
      <c r="A7723" s="4" t="s">
        <v>5</v>
      </c>
      <c r="B7723" s="4">
        <v>968487</v>
      </c>
      <c r="C7723" s="4">
        <v>2477</v>
      </c>
      <c r="D7723" s="5" t="s">
        <v>10572</v>
      </c>
      <c r="E7723" s="6" t="str">
        <f>HYPERLINK("https://inpn.mnhn.fr/espece/cd_nom/968487","Clavaria tenacella Pers., 1797")</f>
        <v>Clavaria tenacella Pers., 1797</v>
      </c>
      <c r="F7723" s="5" t="s">
        <v>10573</v>
      </c>
      <c r="Z7723" s="4" t="s">
        <v>443</v>
      </c>
      <c r="AA7723" s="4" t="s">
        <v>444</v>
      </c>
      <c r="AH7723" s="4" t="str">
        <f>HYPERLINK("#Statut_biogéographique!A"&amp;_xlfn.XMATCH("P",Statut_biogéographique!A:A,2,1),"P")</f>
        <v>P</v>
      </c>
      <c r="AP7723" s="4" t="s">
        <v>376</v>
      </c>
      <c r="AR7723" s="4" t="s">
        <v>377</v>
      </c>
    </row>
    <row r="7724" spans="1:44" ht="30">
      <c r="A7724" s="4" t="s">
        <v>5</v>
      </c>
      <c r="B7724" s="4">
        <v>968496</v>
      </c>
      <c r="C7724" s="4">
        <v>7209</v>
      </c>
      <c r="D7724" s="5" t="s">
        <v>10574</v>
      </c>
      <c r="E7724" s="6" t="str">
        <f>HYPERLINK("https://inpn.mnhn.fr/espece/cd_nom/968496","Pseudonectria buxi (DC.) Seifert, Gräfenhan &amp; Schroers, 2011")</f>
        <v>Pseudonectria buxi (DC.) Seifert, Gräfenhan &amp; Schroers, 2011</v>
      </c>
      <c r="AH7724" s="4" t="str">
        <f>HYPERLINK("#Statut_biogéographique!A"&amp;_xlfn.XMATCH("P",Statut_biogéographique!A:A,2,1),"P")</f>
        <v>P</v>
      </c>
      <c r="AP7724" s="4" t="s">
        <v>376</v>
      </c>
      <c r="AR7724" s="4" t="s">
        <v>377</v>
      </c>
    </row>
    <row r="7725" spans="1:44">
      <c r="A7725" s="4" t="s">
        <v>5</v>
      </c>
      <c r="B7725" s="4">
        <v>968523</v>
      </c>
      <c r="C7725" s="4">
        <v>2349</v>
      </c>
      <c r="D7725" s="5" t="s">
        <v>10575</v>
      </c>
      <c r="E7725" s="6" t="str">
        <f>HYPERLINK("https://inpn.mnhn.fr/espece/cd_nom/968523","Coprinus rapidus Fr., 1838")</f>
        <v>Coprinus rapidus Fr., 1838</v>
      </c>
      <c r="AH7725" s="4" t="str">
        <f>HYPERLINK("#Statut_biogéographique!A"&amp;_xlfn.XMATCH("P",Statut_biogéographique!A:A,2,1),"P")</f>
        <v>P</v>
      </c>
      <c r="AP7725" s="4" t="s">
        <v>376</v>
      </c>
      <c r="AR7725" s="4" t="s">
        <v>377</v>
      </c>
    </row>
    <row r="7726" spans="1:44" ht="30">
      <c r="A7726" s="4" t="s">
        <v>5</v>
      </c>
      <c r="B7726" s="4">
        <v>968803</v>
      </c>
      <c r="C7726" s="4">
        <v>6521</v>
      </c>
      <c r="D7726" s="5" t="s">
        <v>10576</v>
      </c>
      <c r="E7726" s="6" t="str">
        <f>HYPERLINK("https://inpn.mnhn.fr/espece/cd_nom/968803","Corticium meridioroseum Boidin &amp; Lanq., 1983")</f>
        <v>Corticium meridioroseum Boidin &amp; Lanq., 1983</v>
      </c>
      <c r="AH7726" s="4" t="str">
        <f>HYPERLINK("#Statut_biogéographique!A"&amp;_xlfn.XMATCH("P",Statut_biogéographique!A:A,2,1),"P")</f>
        <v>P</v>
      </c>
      <c r="AP7726" s="4" t="s">
        <v>376</v>
      </c>
      <c r="AR7726" s="4" t="s">
        <v>377</v>
      </c>
    </row>
    <row r="7727" spans="1:44">
      <c r="A7727" s="4" t="s">
        <v>5</v>
      </c>
      <c r="B7727" s="4">
        <v>968816</v>
      </c>
      <c r="C7727" s="4">
        <v>6752</v>
      </c>
      <c r="D7727" s="5" t="s">
        <v>10577</v>
      </c>
      <c r="E7727" s="6" t="str">
        <f>HYPERLINK("https://inpn.mnhn.fr/espece/cd_nom/968816","Cortinarius pseudorigens Rob.Henry, 1970")</f>
        <v>Cortinarius pseudorigens Rob.Henry, 1970</v>
      </c>
      <c r="AH7727" s="4" t="str">
        <f>HYPERLINK("#Statut_biogéographique!A"&amp;_xlfn.XMATCH("P",Statut_biogéographique!A:A,2,1),"P")</f>
        <v>P</v>
      </c>
      <c r="AP7727" s="4" t="s">
        <v>376</v>
      </c>
      <c r="AR7727" s="4" t="s">
        <v>377</v>
      </c>
    </row>
    <row r="7728" spans="1:44">
      <c r="A7728" s="4" t="s">
        <v>5</v>
      </c>
      <c r="B7728" s="4">
        <v>968820</v>
      </c>
      <c r="C7728" s="4">
        <v>1898</v>
      </c>
      <c r="D7728" s="5" t="s">
        <v>10578</v>
      </c>
      <c r="E7728" s="6" t="str">
        <f>HYPERLINK("https://inpn.mnhn.fr/espece/cd_nom/968820","Cortinarius rugosus Rob.Henry, 1945")</f>
        <v>Cortinarius rugosus Rob.Henry, 1945</v>
      </c>
      <c r="AH7728" s="4" t="str">
        <f>HYPERLINK("#Statut_biogéographique!A"&amp;_xlfn.XMATCH("P",Statut_biogéographique!A:A,2,1),"P")</f>
        <v>P</v>
      </c>
      <c r="AP7728" s="4" t="s">
        <v>376</v>
      </c>
      <c r="AR7728" s="4" t="s">
        <v>377</v>
      </c>
    </row>
    <row r="7729" spans="1:44">
      <c r="A7729" s="4" t="s">
        <v>5</v>
      </c>
      <c r="B7729" s="4">
        <v>969036</v>
      </c>
      <c r="C7729" s="4">
        <v>4262</v>
      </c>
      <c r="D7729" s="5" t="s">
        <v>10579</v>
      </c>
      <c r="E7729" s="6" t="str">
        <f>HYPERLINK("https://inpn.mnhn.fr/espece/cd_nom/969036","Diaporthe insularis Nitschke, 1870")</f>
        <v>Diaporthe insularis Nitschke, 1870</v>
      </c>
      <c r="AH7729" s="4" t="str">
        <f>HYPERLINK("#Statut_biogéographique!A"&amp;_xlfn.XMATCH("P",Statut_biogéographique!A:A,2,1),"P")</f>
        <v>P</v>
      </c>
      <c r="AP7729" s="4" t="s">
        <v>376</v>
      </c>
      <c r="AR7729" s="4" t="s">
        <v>377</v>
      </c>
    </row>
    <row r="7730" spans="1:44">
      <c r="A7730" s="4" t="s">
        <v>5</v>
      </c>
      <c r="B7730" s="4">
        <v>969054</v>
      </c>
      <c r="C7730" s="4">
        <v>6775</v>
      </c>
      <c r="D7730" s="5" t="s">
        <v>10580</v>
      </c>
      <c r="E7730" s="6" t="str">
        <f>HYPERLINK("https://inpn.mnhn.fr/espece/cd_nom/969054","Exidia nigricans (With.) P.Roberts, 2009")</f>
        <v>Exidia nigricans (With.) P.Roberts, 2009</v>
      </c>
      <c r="AH7730" s="4" t="str">
        <f>HYPERLINK("#Statut_biogéographique!A"&amp;_xlfn.XMATCH("P",Statut_biogéographique!A:A,2,1),"P")</f>
        <v>P</v>
      </c>
      <c r="AP7730" s="4" t="s">
        <v>376</v>
      </c>
      <c r="AR7730" s="4" t="s">
        <v>377</v>
      </c>
    </row>
    <row r="7731" spans="1:44" ht="30">
      <c r="A7731" s="4" t="s">
        <v>5</v>
      </c>
      <c r="B7731" s="4">
        <v>969069</v>
      </c>
      <c r="C7731" s="4">
        <v>2355</v>
      </c>
      <c r="D7731" s="5" t="s">
        <v>10581</v>
      </c>
      <c r="E7731" s="6" t="str">
        <f>HYPERLINK("https://inpn.mnhn.fr/espece/cd_nom/969069","Gymnopilus liquiritiae var. satur (Kühner) Bon &amp; P.Roux, 2002")</f>
        <v>Gymnopilus liquiritiae var. satur (Kühner) Bon &amp; P.Roux, 2002</v>
      </c>
      <c r="V7731" s="7" t="str">
        <f>HYPERLINK("#Liste_rouge!A"&amp;_xlfn.XMATCH("EN",Liste_rouge!A:A,2,1),"EN")</f>
        <v>EN</v>
      </c>
      <c r="W7731" s="4" t="str">
        <f>HYPERLINK("#Critères_liste_rouge!A$1","B2abiii")</f>
        <v>B2abiii</v>
      </c>
      <c r="Z7731" s="4" t="s">
        <v>447</v>
      </c>
      <c r="AA7731" s="4" t="s">
        <v>448</v>
      </c>
      <c r="AH7731" s="4" t="str">
        <f>HYPERLINK("#Statut_biogéographique!A"&amp;_xlfn.XMATCH("P",Statut_biogéographique!A:A,2,1),"P")</f>
        <v>P</v>
      </c>
      <c r="AP7731" s="4" t="s">
        <v>376</v>
      </c>
      <c r="AR7731" s="4" t="s">
        <v>377</v>
      </c>
    </row>
    <row r="7732" spans="1:44" ht="30">
      <c r="A7732" s="4" t="s">
        <v>5</v>
      </c>
      <c r="B7732" s="4">
        <v>969238</v>
      </c>
      <c r="C7732" s="4">
        <v>2944</v>
      </c>
      <c r="D7732" s="5" t="s">
        <v>10582</v>
      </c>
      <c r="E7732" s="6" t="str">
        <f>HYPERLINK("https://inpn.mnhn.fr/espece/cd_nom/969238","Hodophilus phaeoxanthus (Romagn.) Adamčík &amp; Jančovič., 2018")</f>
        <v>Hodophilus phaeoxanthus (Romagn.) Adamčík &amp; Jančovič., 2018</v>
      </c>
      <c r="F7732" s="5" t="s">
        <v>10583</v>
      </c>
      <c r="V7732" s="7" t="str">
        <f>HYPERLINK("#Liste_rouge!A"&amp;_xlfn.XMATCH("CR",Liste_rouge!A:A,2,1),"CR")</f>
        <v>CR</v>
      </c>
      <c r="W7732" s="4" t="str">
        <f>HYPERLINK("#Critères_liste_rouge!A$1","B2abiii")</f>
        <v>B2abiii</v>
      </c>
      <c r="Z7732" s="4" t="s">
        <v>695</v>
      </c>
      <c r="AA7732" s="4" t="s">
        <v>696</v>
      </c>
      <c r="AH7732" s="4" t="str">
        <f>HYPERLINK("#Statut_biogéographique!A"&amp;_xlfn.XMATCH("P",Statut_biogéographique!A:A,2,1),"P")</f>
        <v>P</v>
      </c>
      <c r="AP7732" s="4" t="s">
        <v>376</v>
      </c>
      <c r="AR7732" s="4" t="s">
        <v>377</v>
      </c>
    </row>
    <row r="7733" spans="1:44" ht="30">
      <c r="A7733" s="4" t="s">
        <v>5</v>
      </c>
      <c r="B7733" s="4">
        <v>969243</v>
      </c>
      <c r="C7733" s="4">
        <v>4306</v>
      </c>
      <c r="D7733" s="5" t="s">
        <v>10584</v>
      </c>
      <c r="E7733" s="6" t="str">
        <f>HYPERLINK("https://inpn.mnhn.fr/espece/cd_nom/969243","Hohenbuehelia reniformis (G.Mey.) Singer, 1951")</f>
        <v>Hohenbuehelia reniformis (G.Mey.) Singer, 1951</v>
      </c>
      <c r="F7733" s="5" t="s">
        <v>10585</v>
      </c>
      <c r="AH7733" s="4" t="str">
        <f>HYPERLINK("#Statut_biogéographique!A"&amp;_xlfn.XMATCH("P",Statut_biogéographique!A:A,2,1),"P")</f>
        <v>P</v>
      </c>
      <c r="AP7733" s="4" t="s">
        <v>376</v>
      </c>
      <c r="AR7733" s="4" t="s">
        <v>377</v>
      </c>
    </row>
    <row r="7734" spans="1:44" ht="30">
      <c r="A7734" s="4" t="s">
        <v>5</v>
      </c>
      <c r="B7734" s="4">
        <v>969624</v>
      </c>
      <c r="C7734" s="4">
        <v>2319</v>
      </c>
      <c r="D7734" s="5" t="s">
        <v>10586</v>
      </c>
      <c r="E7734" s="6" t="str">
        <f>HYPERLINK("https://inpn.mnhn.fr/espece/cd_nom/969624","Hygrocybe leporina (Fr.) P.D.Orton &amp; Watling, 1969")</f>
        <v>Hygrocybe leporina (Fr.) P.D.Orton &amp; Watling, 1969</v>
      </c>
      <c r="F7734" s="5" t="s">
        <v>10587</v>
      </c>
      <c r="AH7734" s="4" t="str">
        <f>HYPERLINK("#Statut_biogéographique!A"&amp;_xlfn.XMATCH("P",Statut_biogéographique!A:A,2,1),"P")</f>
        <v>P</v>
      </c>
      <c r="AP7734" s="4" t="s">
        <v>376</v>
      </c>
      <c r="AR7734" s="4" t="s">
        <v>377</v>
      </c>
    </row>
    <row r="7735" spans="1:44">
      <c r="A7735" s="4" t="s">
        <v>5</v>
      </c>
      <c r="B7735" s="4">
        <v>969629</v>
      </c>
      <c r="C7735" s="4">
        <v>2494</v>
      </c>
      <c r="D7735" s="5" t="s">
        <v>10588</v>
      </c>
      <c r="E7735" s="6" t="str">
        <f>HYPERLINK("https://inpn.mnhn.fr/espece/cd_nom/969629","Hygrophorus melizeus (Fr.) Fr., 1838")</f>
        <v>Hygrophorus melizeus (Fr.) Fr., 1838</v>
      </c>
      <c r="Z7735" s="4" t="s">
        <v>695</v>
      </c>
      <c r="AA7735" s="4" t="s">
        <v>696</v>
      </c>
      <c r="AH7735" s="4" t="str">
        <f>HYPERLINK("#Statut_biogéographique!A"&amp;_xlfn.XMATCH("P",Statut_biogéographique!A:A,2,1),"P")</f>
        <v>P</v>
      </c>
      <c r="AP7735" s="4" t="s">
        <v>376</v>
      </c>
      <c r="AR7735" s="4" t="s">
        <v>377</v>
      </c>
    </row>
    <row r="7736" spans="1:44">
      <c r="A7736" s="4" t="s">
        <v>5</v>
      </c>
      <c r="B7736" s="4">
        <v>969655</v>
      </c>
      <c r="D7736" s="5" t="s">
        <v>10589</v>
      </c>
      <c r="E7736" s="6" t="str">
        <f>HYPERLINK("https://inpn.mnhn.fr/espece/cd_nom/969655","Trichoderma alutaceum Jaklitsch, 2011")</f>
        <v>Trichoderma alutaceum Jaklitsch, 2011</v>
      </c>
      <c r="V7736" s="7" t="str">
        <f>HYPERLINK("#Liste_rouge!A"&amp;_xlfn.XMATCH("LC",Liste_rouge!A:A,2,1),"LC")</f>
        <v>LC</v>
      </c>
      <c r="AH7736" s="4" t="str">
        <f>HYPERLINK("#Statut_biogéographique!A"&amp;_xlfn.XMATCH("P",Statut_biogéographique!A:A,2,1),"P")</f>
        <v>P</v>
      </c>
      <c r="AP7736" s="4" t="s">
        <v>376</v>
      </c>
      <c r="AR7736" s="4" t="s">
        <v>377</v>
      </c>
    </row>
    <row r="7737" spans="1:44">
      <c r="A7737" s="4" t="s">
        <v>5</v>
      </c>
      <c r="B7737" s="4">
        <v>969704</v>
      </c>
      <c r="C7737" s="4">
        <v>2766</v>
      </c>
      <c r="D7737" s="5" t="s">
        <v>10590</v>
      </c>
      <c r="E7737" s="6" t="str">
        <f>HYPERLINK("https://inpn.mnhn.fr/espece/cd_nom/969704","Hysterium angustatum Pers., 1801")</f>
        <v>Hysterium angustatum Pers., 1801</v>
      </c>
      <c r="AH7737" s="4" t="str">
        <f>HYPERLINK("#Statut_biogéographique!A"&amp;_xlfn.XMATCH("P",Statut_biogéographique!A:A,2,1),"P")</f>
        <v>P</v>
      </c>
      <c r="AP7737" s="4" t="s">
        <v>376</v>
      </c>
      <c r="AR7737" s="4" t="s">
        <v>377</v>
      </c>
    </row>
    <row r="7738" spans="1:44">
      <c r="A7738" s="4" t="s">
        <v>5</v>
      </c>
      <c r="B7738" s="4">
        <v>969707</v>
      </c>
      <c r="C7738" s="4">
        <v>1479</v>
      </c>
      <c r="D7738" s="5" t="s">
        <v>10591</v>
      </c>
      <c r="E7738" s="6" t="str">
        <f>HYPERLINK("https://inpn.mnhn.fr/espece/cd_nom/969707","Inocybe fuscidula Velen., 1920")</f>
        <v>Inocybe fuscidula Velen., 1920</v>
      </c>
      <c r="F7738" s="5" t="s">
        <v>10592</v>
      </c>
      <c r="AH7738" s="4" t="str">
        <f>HYPERLINK("#Statut_biogéographique!A"&amp;_xlfn.XMATCH("P",Statut_biogéographique!A:A,2,1),"P")</f>
        <v>P</v>
      </c>
      <c r="AP7738" s="4" t="s">
        <v>376</v>
      </c>
      <c r="AR7738" s="4" t="s">
        <v>377</v>
      </c>
    </row>
    <row r="7739" spans="1:44">
      <c r="A7739" s="4" t="s">
        <v>5</v>
      </c>
      <c r="B7739" s="4">
        <v>969743</v>
      </c>
      <c r="C7739" s="4">
        <v>18</v>
      </c>
      <c r="D7739" s="5">
        <v>969743</v>
      </c>
      <c r="E7739" s="6" t="str">
        <f>HYPERLINK("https://inpn.mnhn.fr/espece/cd_nom/969743","Lactifluus volemus (Fr.) Kuntze, 1891")</f>
        <v>Lactifluus volemus (Fr.) Kuntze, 1891</v>
      </c>
      <c r="F7739" s="5" t="s">
        <v>10593</v>
      </c>
      <c r="V7739" s="7" t="str">
        <f>HYPERLINK("#Liste_rouge!A"&amp;_xlfn.XMATCH("LC",Liste_rouge!A:A,2,1),"LC")</f>
        <v>LC</v>
      </c>
      <c r="AH7739" s="4" t="str">
        <f>HYPERLINK("#Statut_biogéographique!A"&amp;_xlfn.XMATCH("P",Statut_biogéographique!A:A,2,1),"P")</f>
        <v>P</v>
      </c>
      <c r="AP7739" s="4" t="s">
        <v>376</v>
      </c>
      <c r="AR7739" s="4" t="s">
        <v>377</v>
      </c>
    </row>
    <row r="7740" spans="1:44" ht="30">
      <c r="A7740" s="4" t="s">
        <v>5</v>
      </c>
      <c r="B7740" s="4">
        <v>970231</v>
      </c>
      <c r="D7740" s="5" t="s">
        <v>10594</v>
      </c>
      <c r="E7740" s="6" t="str">
        <f>HYPERLINK("https://inpn.mnhn.fr/espece/cd_nom/970231","Xylodon papillosus (Fr.) Riebesehl, Yurchenko &amp; Langer, 2017")</f>
        <v>Xylodon papillosus (Fr.) Riebesehl, Yurchenko &amp; Langer, 2017</v>
      </c>
      <c r="AH7740" s="4" t="str">
        <f>HYPERLINK("#Statut_biogéographique!A"&amp;_xlfn.XMATCH("P",Statut_biogéographique!A:A,2,1),"P")</f>
        <v>P</v>
      </c>
      <c r="AP7740" s="4" t="s">
        <v>376</v>
      </c>
      <c r="AR7740" s="4" t="s">
        <v>377</v>
      </c>
    </row>
    <row r="7741" spans="1:44" ht="60">
      <c r="A7741" s="4" t="s">
        <v>5</v>
      </c>
      <c r="B7741" s="4">
        <v>971138</v>
      </c>
      <c r="D7741" s="5" t="s">
        <v>10595</v>
      </c>
      <c r="E7741" s="6" t="str">
        <f>HYPERLINK("https://inpn.mnhn.fr/espece/cd_nom/971138","Limacellopsis guttata (Pers.) Zhu L.Yang, Q.Cai &amp; Y.Y.Cui, 2018")</f>
        <v>Limacellopsis guttata (Pers.) Zhu L.Yang, Q.Cai &amp; Y.Y.Cui, 2018</v>
      </c>
      <c r="F7741" s="5" t="s">
        <v>3679</v>
      </c>
      <c r="V7741" s="7" t="str">
        <f>HYPERLINK("#Liste_rouge!A"&amp;_xlfn.XMATCH("LC",Liste_rouge!A:A,2,1),"LC")</f>
        <v>LC</v>
      </c>
      <c r="AH7741" s="4" t="str">
        <f>HYPERLINK("#Statut_biogéographique!A"&amp;_xlfn.XMATCH("P",Statut_biogéographique!A:A,2,1),"P")</f>
        <v>P</v>
      </c>
      <c r="AP7741" s="4" t="s">
        <v>376</v>
      </c>
      <c r="AR7741" s="4" t="s">
        <v>377</v>
      </c>
    </row>
    <row r="7742" spans="1:44" ht="30">
      <c r="A7742" s="4" t="s">
        <v>5</v>
      </c>
      <c r="B7742" s="4">
        <v>971168</v>
      </c>
      <c r="D7742" s="5" t="s">
        <v>10596</v>
      </c>
      <c r="E7742" s="6" t="str">
        <f>HYPERLINK("https://inpn.mnhn.fr/espece/cd_nom/971168","Rheubarbariboletus armeniacus (Quél.) Vizzini, Simonini &amp; Gelardi, 2015")</f>
        <v>Rheubarbariboletus armeniacus (Quél.) Vizzini, Simonini &amp; Gelardi, 2015</v>
      </c>
      <c r="V7742" s="7" t="str">
        <f>HYPERLINK("#Liste_rouge!A"&amp;_xlfn.XMATCH("EN",Liste_rouge!A:A,2,1),"EN (cd_nom 29773) - DD (cd_nom 470306)")</f>
        <v>EN (cd_nom 29773) - DD (cd_nom 470306)</v>
      </c>
      <c r="W7742" s="4" t="str">
        <f>HYPERLINK("#Critères_liste_rouge!A$1","A2c (cd_nom 29773)")</f>
        <v>A2c (cd_nom 29773)</v>
      </c>
      <c r="AH7742" s="4" t="str">
        <f>HYPERLINK("#Statut_biogéographique!A"&amp;_xlfn.XMATCH("P",Statut_biogéographique!A:A,2,1),"P")</f>
        <v>P</v>
      </c>
      <c r="AP7742" s="4" t="s">
        <v>376</v>
      </c>
      <c r="AR7742" s="4" t="s">
        <v>377</v>
      </c>
    </row>
    <row r="7743" spans="1:44" ht="30">
      <c r="A7743" s="4" t="s">
        <v>5</v>
      </c>
      <c r="B7743" s="4">
        <v>971178</v>
      </c>
      <c r="C7743" s="4">
        <v>293</v>
      </c>
      <c r="D7743" s="5" t="s">
        <v>10597</v>
      </c>
      <c r="E7743" s="6" t="str">
        <f>HYPERLINK("https://inpn.mnhn.fr/espece/cd_nom/971178","Caloboletus calopus (Pers.) Vizzini, 2014")</f>
        <v>Caloboletus calopus (Pers.) Vizzini, 2014</v>
      </c>
      <c r="F7743" s="5" t="s">
        <v>10598</v>
      </c>
      <c r="V7743" s="7" t="str">
        <f>HYPERLINK("#Liste_rouge!A"&amp;_xlfn.XMATCH("LC",Liste_rouge!A:A,2,1),"LC")</f>
        <v>LC</v>
      </c>
      <c r="AH7743" s="4" t="str">
        <f>HYPERLINK("#Statut_biogéographique!A"&amp;_xlfn.XMATCH("P",Statut_biogéographique!A:A,2,1),"P")</f>
        <v>P</v>
      </c>
      <c r="AP7743" s="4" t="s">
        <v>376</v>
      </c>
      <c r="AR7743" s="4" t="s">
        <v>377</v>
      </c>
    </row>
    <row r="7744" spans="1:44" ht="45">
      <c r="A7744" s="4" t="s">
        <v>5</v>
      </c>
      <c r="B7744" s="4">
        <v>971180</v>
      </c>
      <c r="C7744" s="4">
        <v>700</v>
      </c>
      <c r="D7744" s="5" t="s">
        <v>10599</v>
      </c>
      <c r="E7744" s="6" t="str">
        <f>HYPERLINK("https://inpn.mnhn.fr/espece/cd_nom/971180","Caloboletus radicans (Pers.) Vizzini, 2014")</f>
        <v>Caloboletus radicans (Pers.) Vizzini, 2014</v>
      </c>
      <c r="F7744" s="5" t="s">
        <v>10600</v>
      </c>
      <c r="V7744" s="7" t="str">
        <f>HYPERLINK("#Liste_rouge!A"&amp;_xlfn.XMATCH("LC",Liste_rouge!A:A,2,1),"LC")</f>
        <v>LC</v>
      </c>
      <c r="AH7744" s="4" t="str">
        <f>HYPERLINK("#Statut_biogéographique!A"&amp;_xlfn.XMATCH("P",Statut_biogéographique!A:A,2,1),"P")</f>
        <v>P</v>
      </c>
      <c r="AP7744" s="4" t="s">
        <v>376</v>
      </c>
      <c r="AR7744" s="4" t="s">
        <v>377</v>
      </c>
    </row>
    <row r="7745" spans="1:44" ht="60">
      <c r="A7745" s="4" t="s">
        <v>5</v>
      </c>
      <c r="B7745" s="4">
        <v>971198</v>
      </c>
      <c r="C7745" s="4">
        <v>5516</v>
      </c>
      <c r="D7745" s="5" t="s">
        <v>10601</v>
      </c>
      <c r="E7745" s="6" t="str">
        <f>HYPERLINK("https://inpn.mnhn.fr/espece/cd_nom/971198","Imperator rhodopurpureus (Smotl.) Assyov, Bellanger, Bertéa, Courtec., Koller, Loizides, G.Marques, J.A.Muñoz, Oppicelli, D.Puddu, F.Rich. &amp; P.-A.Moreau, 2015")</f>
        <v>Imperator rhodopurpureus (Smotl.) Assyov, Bellanger, Bertéa, Courtec., Koller, Loizides, G.Marques, J.A.Muñoz, Oppicelli, D.Puddu, F.Rich. &amp; P.-A.Moreau, 2015</v>
      </c>
      <c r="F7745" s="5" t="s">
        <v>10602</v>
      </c>
      <c r="V7745" s="7" t="str">
        <f>HYPERLINK("#Liste_rouge!A"&amp;_xlfn.XMATCH("EN",Liste_rouge!A:A,2,1),"EN")</f>
        <v>EN</v>
      </c>
      <c r="W7745" s="4" t="str">
        <f>HYPERLINK("#Critères_liste_rouge!A$1","B2abiii")</f>
        <v>B2abiii</v>
      </c>
      <c r="AH7745" s="4" t="str">
        <f>HYPERLINK("#Statut_biogéographique!A"&amp;_xlfn.XMATCH("P",Statut_biogéographique!A:A,2,1),"P")</f>
        <v>P</v>
      </c>
      <c r="AP7745" s="4" t="s">
        <v>376</v>
      </c>
      <c r="AR7745" s="4" t="s">
        <v>377</v>
      </c>
    </row>
    <row r="7746" spans="1:44" ht="60">
      <c r="A7746" s="4" t="s">
        <v>5</v>
      </c>
      <c r="B7746" s="4">
        <v>971200</v>
      </c>
      <c r="D7746" s="5" t="s">
        <v>10603</v>
      </c>
      <c r="E7746" s="6" t="str">
        <f>HYPERLINK("https://inpn.mnhn.fr/espece/cd_nom/971200","Imperator torosus (Fr.) Assyov, Bellanger, Bertéa, Courtec., Koller, Loizides, G.Marques, J.A.Muñoz, Oppicelli, D.Puddu, F.Rich. &amp; P.-A.Moreau, 2015")</f>
        <v>Imperator torosus (Fr.) Assyov, Bellanger, Bertéa, Courtec., Koller, Loizides, G.Marques, J.A.Muñoz, Oppicelli, D.Puddu, F.Rich. &amp; P.-A.Moreau, 2015</v>
      </c>
      <c r="F7746" s="5" t="s">
        <v>3813</v>
      </c>
      <c r="V7746" s="7" t="str">
        <f>HYPERLINK("#Liste_rouge!A"&amp;_xlfn.XMATCH("VU",Liste_rouge!A:A,2,1),"VU")</f>
        <v>VU</v>
      </c>
      <c r="W7746" s="4" t="str">
        <f>HYPERLINK("#Critères_liste_rouge!A$1","B2abiii")</f>
        <v>B2abiii</v>
      </c>
      <c r="AH7746" s="4" t="str">
        <f>HYPERLINK("#Statut_biogéographique!A"&amp;_xlfn.XMATCH("P",Statut_biogéographique!A:A,2,1),"P")</f>
        <v>P</v>
      </c>
      <c r="AP7746" s="4" t="s">
        <v>376</v>
      </c>
      <c r="AR7746" s="4" t="s">
        <v>377</v>
      </c>
    </row>
    <row r="7747" spans="1:44" ht="30">
      <c r="A7747" s="4" t="s">
        <v>5</v>
      </c>
      <c r="B7747" s="4">
        <v>971206</v>
      </c>
      <c r="C7747" s="4">
        <v>28</v>
      </c>
      <c r="D7747" s="5" t="s">
        <v>10604</v>
      </c>
      <c r="E7747" s="6" t="str">
        <f>HYPERLINK("https://inpn.mnhn.fr/espece/cd_nom/971206","Imleria badia (Fr.) Vizzini, 2014")</f>
        <v>Imleria badia (Fr.) Vizzini, 2014</v>
      </c>
      <c r="F7747" s="5" t="s">
        <v>10605</v>
      </c>
      <c r="O7747" s="7" t="str">
        <f>HYPERLINK("#Liste_rouge!A"&amp;_xlfn.XMATCH("LC",Liste_rouge!A:A,2,1),"LC")</f>
        <v>LC</v>
      </c>
      <c r="V7747" s="7" t="str">
        <f>HYPERLINK("#Liste_rouge!A"&amp;_xlfn.XMATCH("LC",Liste_rouge!A:A,2,1),"LC")</f>
        <v>LC</v>
      </c>
      <c r="AH7747" s="4" t="str">
        <f>HYPERLINK("#Statut_biogéographique!A"&amp;_xlfn.XMATCH("P",Statut_biogéographique!A:A,2,1),"P")</f>
        <v>P</v>
      </c>
      <c r="AP7747" s="4" t="s">
        <v>376</v>
      </c>
      <c r="AR7747" s="4" t="s">
        <v>377</v>
      </c>
    </row>
    <row r="7748" spans="1:44" ht="30">
      <c r="A7748" s="4" t="s">
        <v>5</v>
      </c>
      <c r="B7748" s="4">
        <v>971423</v>
      </c>
      <c r="C7748" s="4">
        <v>294</v>
      </c>
      <c r="D7748" s="5" t="s">
        <v>10606</v>
      </c>
      <c r="E7748" s="6" t="str">
        <f>HYPERLINK("https://inpn.mnhn.fr/espece/cd_nom/971423","Hortiboletus rubellus (Krombh.) Simonini, Vizzini &amp; Gelardi, 2015")</f>
        <v>Hortiboletus rubellus (Krombh.) Simonini, Vizzini &amp; Gelardi, 2015</v>
      </c>
      <c r="F7748" s="5" t="s">
        <v>8936</v>
      </c>
      <c r="V7748" s="7" t="str">
        <f>HYPERLINK("#Liste_rouge!A"&amp;_xlfn.XMATCH("LC",Liste_rouge!A:A,2,1),"LC")</f>
        <v>LC</v>
      </c>
      <c r="AH7748" s="4" t="str">
        <f>HYPERLINK("#Statut_biogéographique!A"&amp;_xlfn.XMATCH("P",Statut_biogéographique!A:A,2,1),"P")</f>
        <v>P</v>
      </c>
      <c r="AP7748" s="4" t="s">
        <v>376</v>
      </c>
      <c r="AR7748" s="4" t="s">
        <v>377</v>
      </c>
    </row>
    <row r="7749" spans="1:44" ht="30">
      <c r="A7749" s="4" t="s">
        <v>5</v>
      </c>
      <c r="B7749" s="4">
        <v>971476</v>
      </c>
      <c r="D7749" s="5" t="s">
        <v>10607</v>
      </c>
      <c r="E7749" s="6" t="str">
        <f>HYPERLINK("https://inpn.mnhn.fr/espece/cd_nom/971476","Pogonoloma spinulosum (Kühner &amp; Romagn.) Sánchez-García, 2014")</f>
        <v>Pogonoloma spinulosum (Kühner &amp; Romagn.) Sánchez-García, 2014</v>
      </c>
      <c r="V7749" s="7" t="str">
        <f>HYPERLINK("#Liste_rouge!A"&amp;_xlfn.XMATCH("EN",Liste_rouge!A:A,2,1),"EN")</f>
        <v>EN</v>
      </c>
      <c r="W7749" s="4" t="str">
        <f>HYPERLINK("#Critères_liste_rouge!A$1","B2abiii")</f>
        <v>B2abiii</v>
      </c>
      <c r="AH7749" s="4" t="str">
        <f>HYPERLINK("#Statut_biogéographique!A"&amp;_xlfn.XMATCH("P",Statut_biogéographique!A:A,2,1),"P")</f>
        <v>P</v>
      </c>
      <c r="AP7749" s="4" t="s">
        <v>376</v>
      </c>
      <c r="AR7749" s="4" t="s">
        <v>377</v>
      </c>
    </row>
    <row r="7750" spans="1:44" ht="30">
      <c r="A7750" s="4" t="s">
        <v>5</v>
      </c>
      <c r="B7750" s="4">
        <v>971482</v>
      </c>
      <c r="C7750" s="4">
        <v>1447</v>
      </c>
      <c r="D7750" s="5" t="s">
        <v>10608</v>
      </c>
      <c r="E7750" s="6" t="str">
        <f>HYPERLINK("https://inpn.mnhn.fr/espece/cd_nom/971482","Homophron spadiceum (P.Kumm.) Örstadius &amp; E.Larss., 2015")</f>
        <v>Homophron spadiceum (P.Kumm.) Örstadius &amp; E.Larss., 2015</v>
      </c>
      <c r="F7750" s="5" t="s">
        <v>10609</v>
      </c>
      <c r="V7750" s="7" t="str">
        <f>HYPERLINK("#Liste_rouge!A"&amp;_xlfn.XMATCH("EN",Liste_rouge!A:A,2,1),"EN")</f>
        <v>EN</v>
      </c>
      <c r="W7750" s="4" t="str">
        <f>HYPERLINK("#Critères_liste_rouge!A$1","B2abiii")</f>
        <v>B2abiii</v>
      </c>
      <c r="Z7750" s="4" t="s">
        <v>443</v>
      </c>
      <c r="AA7750" s="4" t="s">
        <v>444</v>
      </c>
      <c r="AH7750" s="4" t="str">
        <f>HYPERLINK("#Statut_biogéographique!A"&amp;_xlfn.XMATCH("P",Statut_biogéographique!A:A,2,1),"P")</f>
        <v>P</v>
      </c>
      <c r="AP7750" s="4" t="s">
        <v>376</v>
      </c>
      <c r="AR7750" s="4" t="s">
        <v>377</v>
      </c>
    </row>
    <row r="7751" spans="1:44" ht="30">
      <c r="A7751" s="4" t="s">
        <v>5</v>
      </c>
      <c r="B7751" s="4">
        <v>972007</v>
      </c>
      <c r="D7751" s="5" t="s">
        <v>10610</v>
      </c>
      <c r="E7751" s="6" t="str">
        <f>HYPERLINK("https://inpn.mnhn.fr/espece/cd_nom/972007","Leucocybe candicans (Pers.) Vizzini, P.Alvarado, G.Moreno &amp; Consiglio, 2015")</f>
        <v>Leucocybe candicans (Pers.) Vizzini, P.Alvarado, G.Moreno &amp; Consiglio, 2015</v>
      </c>
      <c r="F7751" s="5" t="s">
        <v>10611</v>
      </c>
      <c r="V7751" s="7" t="str">
        <f>HYPERLINK("#Liste_rouge!A"&amp;_xlfn.XMATCH("LC",Liste_rouge!A:A,2,1),"LC")</f>
        <v>LC</v>
      </c>
      <c r="AH7751" s="4" t="str">
        <f>HYPERLINK("#Statut_biogéographique!A"&amp;_xlfn.XMATCH("P",Statut_biogéographique!A:A,2,1),"P")</f>
        <v>P</v>
      </c>
      <c r="AP7751" s="4" t="s">
        <v>376</v>
      </c>
      <c r="AR7751" s="4" t="s">
        <v>377</v>
      </c>
    </row>
    <row r="7752" spans="1:44" ht="60">
      <c r="A7752" s="4" t="s">
        <v>5</v>
      </c>
      <c r="B7752" s="4">
        <v>972016</v>
      </c>
      <c r="D7752" s="5" t="s">
        <v>10612</v>
      </c>
      <c r="E7752" s="6" t="str">
        <f>HYPERLINK("https://inpn.mnhn.fr/espece/cd_nom/972016","Clitopilus geminus (Paulet) Noordel. &amp; Co-David, 2009")</f>
        <v>Clitopilus geminus (Paulet) Noordel. &amp; Co-David, 2009</v>
      </c>
      <c r="V7752" s="7" t="str">
        <f>HYPERLINK("#Liste_rouge!A"&amp;_xlfn.XMATCH("LC",Liste_rouge!A:A,2,1),"LC")</f>
        <v>LC</v>
      </c>
      <c r="AH7752" s="4" t="str">
        <f>HYPERLINK("#Statut_biogéographique!A"&amp;_xlfn.XMATCH("P",Statut_biogéographique!A:A,2,1),"P")</f>
        <v>P</v>
      </c>
      <c r="AP7752" s="4" t="s">
        <v>376</v>
      </c>
      <c r="AR7752" s="4" t="s">
        <v>377</v>
      </c>
    </row>
    <row r="7753" spans="1:44" ht="45">
      <c r="A7753" s="4" t="s">
        <v>5</v>
      </c>
      <c r="B7753" s="4">
        <v>972034</v>
      </c>
      <c r="C7753" s="4">
        <v>535</v>
      </c>
      <c r="D7753" s="5" t="s">
        <v>10613</v>
      </c>
      <c r="E7753" s="6" t="str">
        <f>HYPERLINK("https://inpn.mnhn.fr/espece/cd_nom/972034","Coprinopsis marcescibilis (Britzelm.) Örstadius &amp; E.Larss., 2008")</f>
        <v>Coprinopsis marcescibilis (Britzelm.) Örstadius &amp; E.Larss., 2008</v>
      </c>
      <c r="V7753" s="7" t="str">
        <f>HYPERLINK("#Liste_rouge!A"&amp;_xlfn.XMATCH("LC",Liste_rouge!A:A,2,1),"LC")</f>
        <v>LC</v>
      </c>
      <c r="AH7753" s="4" t="str">
        <f>HYPERLINK("#Statut_biogéographique!A"&amp;_xlfn.XMATCH("P",Statut_biogéographique!A:A,2,1),"P")</f>
        <v>P</v>
      </c>
      <c r="AP7753" s="4" t="s">
        <v>376</v>
      </c>
      <c r="AR7753" s="4" t="s">
        <v>377</v>
      </c>
    </row>
    <row r="7754" spans="1:44" ht="60">
      <c r="A7754" s="4" t="s">
        <v>5</v>
      </c>
      <c r="B7754" s="4">
        <v>973094</v>
      </c>
      <c r="D7754" s="5" t="s">
        <v>10614</v>
      </c>
      <c r="E7754" s="6" t="str">
        <f>HYPERLINK("https://inpn.mnhn.fr/espece/cd_nom/973094","Lentinus brumalis (Pers.) Zmitr., 2010")</f>
        <v>Lentinus brumalis (Pers.) Zmitr., 2010</v>
      </c>
      <c r="F7754" s="5" t="s">
        <v>3272</v>
      </c>
      <c r="V7754" s="7" t="str">
        <f>HYPERLINK("#Liste_rouge!A"&amp;_xlfn.XMATCH("LC",Liste_rouge!A:A,2,1),"LC")</f>
        <v>LC</v>
      </c>
      <c r="AH7754" s="4" t="str">
        <f>HYPERLINK("#Statut_biogéographique!A"&amp;_xlfn.XMATCH("P",Statut_biogéographique!A:A,2,1),"P")</f>
        <v>P</v>
      </c>
      <c r="AP7754" s="4" t="s">
        <v>376</v>
      </c>
      <c r="AR7754" s="4" t="s">
        <v>377</v>
      </c>
    </row>
    <row r="7755" spans="1:44" ht="30">
      <c r="A7755" s="4" t="s">
        <v>5</v>
      </c>
      <c r="B7755" s="4">
        <v>973132</v>
      </c>
      <c r="D7755" s="5" t="s">
        <v>10615</v>
      </c>
      <c r="E7755" s="6" t="str">
        <f>HYPERLINK("https://inpn.mnhn.fr/espece/cd_nom/973132","Apioperdon pyriforme (Schaeff.) Vizzini, 2017")</f>
        <v>Apioperdon pyriforme (Schaeff.) Vizzini, 2017</v>
      </c>
      <c r="F7755" s="5" t="s">
        <v>10616</v>
      </c>
      <c r="V7755" s="7" t="str">
        <f>HYPERLINK("#Liste_rouge!A"&amp;_xlfn.XMATCH("LC",Liste_rouge!A:A,2,1),"LC")</f>
        <v>LC</v>
      </c>
      <c r="AH7755" s="4" t="str">
        <f>HYPERLINK("#Statut_biogéographique!A"&amp;_xlfn.XMATCH("P",Statut_biogéographique!A:A,2,1),"P")</f>
        <v>P</v>
      </c>
      <c r="AP7755" s="4" t="s">
        <v>376</v>
      </c>
      <c r="AR7755" s="4" t="s">
        <v>377</v>
      </c>
    </row>
    <row r="7756" spans="1:44" ht="30">
      <c r="A7756" s="4" t="s">
        <v>5</v>
      </c>
      <c r="B7756" s="4">
        <v>973179</v>
      </c>
      <c r="D7756" s="5" t="s">
        <v>10617</v>
      </c>
      <c r="E7756" s="6" t="str">
        <f>HYPERLINK("https://inpn.mnhn.fr/espece/cd_nom/973179","Mycetinis alliaceus (Jacq.) Earle ex A.W.Wilson &amp; Desjardin, 2005")</f>
        <v>Mycetinis alliaceus (Jacq.) Earle ex A.W.Wilson &amp; Desjardin, 2005</v>
      </c>
      <c r="F7756" s="5" t="s">
        <v>2112</v>
      </c>
      <c r="V7756" s="7" t="str">
        <f>HYPERLINK("#Liste_rouge!A"&amp;_xlfn.XMATCH("LC",Liste_rouge!A:A,2,1),"LC")</f>
        <v>LC</v>
      </c>
      <c r="AH7756" s="4" t="str">
        <f>HYPERLINK("#Statut_biogéographique!A"&amp;_xlfn.XMATCH("P",Statut_biogéographique!A:A,2,1),"P")</f>
        <v>P</v>
      </c>
      <c r="AP7756" s="4" t="s">
        <v>376</v>
      </c>
      <c r="AR7756" s="4" t="s">
        <v>377</v>
      </c>
    </row>
    <row r="7757" spans="1:44" ht="60">
      <c r="A7757" s="4" t="s">
        <v>5</v>
      </c>
      <c r="B7757" s="4">
        <v>973593</v>
      </c>
      <c r="C7757" s="4">
        <v>10</v>
      </c>
      <c r="D7757" s="5" t="s">
        <v>10618</v>
      </c>
      <c r="E7757" s="6" t="str">
        <f>HYPERLINK("https://inpn.mnhn.fr/espece/cd_nom/973593","Leccinellum pseudoscabrum (Kallenb.) Mikšík, 2017")</f>
        <v>Leccinellum pseudoscabrum (Kallenb.) Mikšík, 2017</v>
      </c>
      <c r="F7757" s="5" t="s">
        <v>10619</v>
      </c>
      <c r="V7757" s="7" t="str">
        <f>HYPERLINK("#Liste_rouge!A"&amp;_xlfn.XMATCH("LC",Liste_rouge!A:A,2,1),"LC")</f>
        <v>LC</v>
      </c>
      <c r="AH7757" s="4" t="str">
        <f>HYPERLINK("#Statut_biogéographique!A"&amp;_xlfn.XMATCH("P",Statut_biogéographique!A:A,2,1),"P")</f>
        <v>P</v>
      </c>
      <c r="AP7757" s="4" t="s">
        <v>376</v>
      </c>
      <c r="AR7757" s="4" t="s">
        <v>377</v>
      </c>
    </row>
    <row r="7758" spans="1:44" ht="45">
      <c r="A7758" s="4" t="s">
        <v>5</v>
      </c>
      <c r="B7758" s="4">
        <v>973625</v>
      </c>
      <c r="C7758" s="4">
        <v>1501</v>
      </c>
      <c r="D7758" s="5" t="s">
        <v>10620</v>
      </c>
      <c r="E7758" s="6" t="str">
        <f>HYPERLINK("https://inpn.mnhn.fr/espece/cd_nom/973625","Atractosporocybe inornata (Sowerby) P.Alvarado, G.Moreno &amp; Vizzini, 2015")</f>
        <v>Atractosporocybe inornata (Sowerby) P.Alvarado, G.Moreno &amp; Vizzini, 2015</v>
      </c>
      <c r="F7758" s="5" t="s">
        <v>10621</v>
      </c>
      <c r="V7758" s="7" t="str">
        <f>HYPERLINK("#Liste_rouge!A"&amp;_xlfn.XMATCH("LC",Liste_rouge!A:A,2,1),"LC")</f>
        <v>LC</v>
      </c>
      <c r="AH7758" s="4" t="str">
        <f>HYPERLINK("#Statut_biogéographique!A"&amp;_xlfn.XMATCH("P",Statut_biogéographique!A:A,2,1),"P")</f>
        <v>P</v>
      </c>
      <c r="AP7758" s="4" t="s">
        <v>376</v>
      </c>
      <c r="AR7758" s="4" t="s">
        <v>377</v>
      </c>
    </row>
    <row r="7759" spans="1:44" ht="30">
      <c r="A7759" s="4" t="s">
        <v>5</v>
      </c>
      <c r="B7759" s="4">
        <v>973641</v>
      </c>
      <c r="C7759" s="4">
        <v>2987</v>
      </c>
      <c r="D7759" s="5" t="s">
        <v>10622</v>
      </c>
      <c r="E7759" s="6" t="str">
        <f>HYPERLINK("https://inpn.mnhn.fr/espece/cd_nom/973641","Cortinarius callochrous var. caroli (Velen.) Nezdojm., 1983")</f>
        <v>Cortinarius callochrous var. caroli (Velen.) Nezdojm., 1983</v>
      </c>
      <c r="V7759" s="7" t="str">
        <f>HYPERLINK("#Liste_rouge!A"&amp;_xlfn.XMATCH("LC",Liste_rouge!A:A,2,1),"LC")</f>
        <v>LC</v>
      </c>
      <c r="AH7759" s="4" t="str">
        <f>HYPERLINK("#Statut_biogéographique!A"&amp;_xlfn.XMATCH("P",Statut_biogéographique!A:A,2,1),"P")</f>
        <v>P</v>
      </c>
      <c r="AP7759" s="4" t="s">
        <v>376</v>
      </c>
      <c r="AR7759" s="4" t="s">
        <v>377</v>
      </c>
    </row>
    <row r="7760" spans="1:44" ht="30">
      <c r="A7760" s="4" t="s">
        <v>5</v>
      </c>
      <c r="B7760" s="4">
        <v>973642</v>
      </c>
      <c r="C7760" s="4">
        <v>615</v>
      </c>
      <c r="D7760" s="5" t="s">
        <v>10623</v>
      </c>
      <c r="E7760" s="6" t="str">
        <f>HYPERLINK("https://inpn.mnhn.fr/espece/cd_nom/973642","Cortinarius callochrous (Pers.) Gray, 1821")</f>
        <v>Cortinarius callochrous (Pers.) Gray, 1821</v>
      </c>
      <c r="F7760" s="5" t="s">
        <v>10624</v>
      </c>
      <c r="V7760" s="7" t="str">
        <f>HYPERLINK("#Liste_rouge!A"&amp;_xlfn.XMATCH("LC",Liste_rouge!A:A,2,1),"LC")</f>
        <v>LC</v>
      </c>
      <c r="Z7760" s="4" t="s">
        <v>443</v>
      </c>
      <c r="AA7760" s="4" t="s">
        <v>444</v>
      </c>
      <c r="AH7760" s="4" t="str">
        <f>HYPERLINK("#Statut_biogéographique!A"&amp;_xlfn.XMATCH("P",Statut_biogéographique!A:A,2,1),"P")</f>
        <v>P</v>
      </c>
      <c r="AP7760" s="4" t="s">
        <v>376</v>
      </c>
      <c r="AR7760" s="4" t="s">
        <v>377</v>
      </c>
    </row>
    <row r="7761" spans="1:44" ht="45">
      <c r="A7761" s="4" t="s">
        <v>5</v>
      </c>
      <c r="B7761" s="4">
        <v>974180</v>
      </c>
      <c r="D7761" s="5" t="s">
        <v>10625</v>
      </c>
      <c r="E7761" s="6" t="str">
        <f>HYPERLINK("https://inpn.mnhn.fr/espece/cd_nom/974180","Parasola conopilea (Fr.) Örstadius &amp; E.Larss., 2008")</f>
        <v>Parasola conopilea (Fr.) Örstadius &amp; E.Larss., 2008</v>
      </c>
      <c r="V7761" s="7" t="str">
        <f>HYPERLINK("#Liste_rouge!A"&amp;_xlfn.XMATCH("LC",Liste_rouge!A:A,2,1),"LC")</f>
        <v>LC</v>
      </c>
      <c r="AH7761" s="4" t="str">
        <f>HYPERLINK("#Statut_biogéographique!A"&amp;_xlfn.XMATCH("P",Statut_biogéographique!A:A,2,1),"P")</f>
        <v>P</v>
      </c>
      <c r="AP7761" s="4" t="s">
        <v>376</v>
      </c>
      <c r="AR7761" s="4" t="s">
        <v>377</v>
      </c>
    </row>
    <row r="7762" spans="1:44" ht="30">
      <c r="A7762" s="4" t="s">
        <v>5</v>
      </c>
      <c r="B7762" s="4">
        <v>974553</v>
      </c>
      <c r="D7762" s="5" t="s">
        <v>10626</v>
      </c>
      <c r="E7762" s="6" t="str">
        <f>HYPERLINK("https://inpn.mnhn.fr/espece/cd_nom/974553","Aphroditeola olida (Quél.) Redhead &amp; Manfr.Binder, 2013")</f>
        <v>Aphroditeola olida (Quél.) Redhead &amp; Manfr.Binder, 2013</v>
      </c>
      <c r="AH7762" s="4" t="str">
        <f>HYPERLINK("#Statut_biogéographique!A"&amp;_xlfn.XMATCH("P",Statut_biogéographique!A:A,2,1),"P")</f>
        <v>P</v>
      </c>
      <c r="AP7762" s="4" t="s">
        <v>376</v>
      </c>
      <c r="AR7762" s="4" t="s">
        <v>377</v>
      </c>
    </row>
    <row r="7763" spans="1:44" ht="30">
      <c r="A7763" s="4" t="s">
        <v>5</v>
      </c>
      <c r="B7763" s="4">
        <v>974629</v>
      </c>
      <c r="D7763" s="5" t="s">
        <v>10627</v>
      </c>
      <c r="E7763" s="6" t="str">
        <f>HYPERLINK("https://inpn.mnhn.fr/espece/cd_nom/974629","Inosperma erubescens (A.Blytt) Matheny &amp; Esteve-Rav., 2019")</f>
        <v>Inosperma erubescens (A.Blytt) Matheny &amp; Esteve-Rav., 2019</v>
      </c>
      <c r="F7763" s="5" t="s">
        <v>10628</v>
      </c>
      <c r="V7763" s="7" t="str">
        <f>HYPERLINK("#Liste_rouge!A"&amp;_xlfn.XMATCH("VU",Liste_rouge!A:A,2,1),"VU")</f>
        <v>VU</v>
      </c>
      <c r="W7763" s="4" t="str">
        <f>HYPERLINK("#Critères_liste_rouge!A$1","A2c")</f>
        <v>A2c</v>
      </c>
      <c r="AH7763" s="4" t="str">
        <f>HYPERLINK("#Statut_biogéographique!A"&amp;_xlfn.XMATCH("P",Statut_biogéographique!A:A,2,1),"P")</f>
        <v>P</v>
      </c>
      <c r="AP7763" s="4" t="s">
        <v>376</v>
      </c>
      <c r="AR7763" s="4" t="s">
        <v>377</v>
      </c>
    </row>
    <row r="7764" spans="1:44" ht="30">
      <c r="A7764" s="4" t="s">
        <v>5</v>
      </c>
      <c r="B7764" s="4">
        <v>974777</v>
      </c>
      <c r="D7764" s="5" t="s">
        <v>10629</v>
      </c>
      <c r="E7764" s="6" t="str">
        <f>HYPERLINK("https://inpn.mnhn.fr/espece/cd_nom/974777","Typhula contorta (Holmsk.) Olariaga, 2013")</f>
        <v>Typhula contorta (Holmsk.) Olariaga, 2013</v>
      </c>
      <c r="AH7764" s="4" t="str">
        <f>HYPERLINK("#Statut_biogéographique!A"&amp;_xlfn.XMATCH("P",Statut_biogéographique!A:A,2,1),"P")</f>
        <v>P</v>
      </c>
      <c r="AP7764" s="4" t="s">
        <v>376</v>
      </c>
      <c r="AR7764" s="4" t="s">
        <v>377</v>
      </c>
    </row>
    <row r="7765" spans="1:44" ht="30">
      <c r="A7765" s="4" t="s">
        <v>5</v>
      </c>
      <c r="B7765" s="4">
        <v>975192</v>
      </c>
      <c r="D7765" s="5" t="s">
        <v>10630</v>
      </c>
      <c r="E7765" s="6" t="str">
        <f>HYPERLINK("https://inpn.mnhn.fr/espece/cd_nom/975192","Phaeoclavulina eumorpha (P.Karst.) Giachini, 2011")</f>
        <v>Phaeoclavulina eumorpha (P.Karst.) Giachini, 2011</v>
      </c>
      <c r="F7765" s="5" t="s">
        <v>10631</v>
      </c>
      <c r="V7765" s="7" t="str">
        <f>HYPERLINK("#Liste_rouge!A"&amp;_xlfn.XMATCH("DD",Liste_rouge!A:A,2,1),"DD")</f>
        <v>DD</v>
      </c>
      <c r="AH7765" s="4" t="str">
        <f>HYPERLINK("#Statut_biogéographique!A"&amp;_xlfn.XMATCH("P",Statut_biogéographique!A:A,2,1),"P")</f>
        <v>P</v>
      </c>
      <c r="AP7765" s="4" t="s">
        <v>376</v>
      </c>
      <c r="AR7765" s="4" t="s">
        <v>377</v>
      </c>
    </row>
    <row r="7766" spans="1:44">
      <c r="A7766" s="4" t="s">
        <v>5</v>
      </c>
      <c r="B7766" s="4">
        <v>975194</v>
      </c>
      <c r="D7766" s="5" t="s">
        <v>10632</v>
      </c>
      <c r="E7766" s="6" t="str">
        <f>HYPERLINK("https://inpn.mnhn.fr/espece/cd_nom/975194","Phaeoclavulina abietina (Pers.) Giachini, 2011")</f>
        <v>Phaeoclavulina abietina (Pers.) Giachini, 2011</v>
      </c>
      <c r="V7766" s="7" t="str">
        <f>HYPERLINK("#Liste_rouge!A"&amp;_xlfn.XMATCH("LC",Liste_rouge!A:A,2,1),"LC")</f>
        <v>LC</v>
      </c>
      <c r="AH7766" s="4" t="str">
        <f>HYPERLINK("#Statut_biogéographique!A"&amp;_xlfn.XMATCH("P",Statut_biogéographique!A:A,2,1),"P")</f>
        <v>P</v>
      </c>
      <c r="AP7766" s="4" t="s">
        <v>376</v>
      </c>
      <c r="AR7766" s="4" t="s">
        <v>377</v>
      </c>
    </row>
    <row r="7767" spans="1:44" ht="30">
      <c r="A7767" s="4" t="s">
        <v>5</v>
      </c>
      <c r="B7767" s="4">
        <v>975276</v>
      </c>
      <c r="D7767" s="5" t="s">
        <v>10633</v>
      </c>
      <c r="E7767" s="6" t="str">
        <f>HYPERLINK("https://inpn.mnhn.fr/espece/cd_nom/975276","Protostropharia semiglobata (Batsch) Redhead, Moncalvo &amp; Vilgalys, 2013")</f>
        <v>Protostropharia semiglobata (Batsch) Redhead, Moncalvo &amp; Vilgalys, 2013</v>
      </c>
      <c r="V7767" s="7" t="str">
        <f>HYPERLINK("#Liste_rouge!A"&amp;_xlfn.XMATCH("LC",Liste_rouge!A:A,2,1),"LC")</f>
        <v>LC</v>
      </c>
      <c r="AH7767" s="4" t="str">
        <f>HYPERLINK("#Statut_biogéographique!A"&amp;_xlfn.XMATCH("P",Statut_biogéographique!A:A,2,1),"P")</f>
        <v>P</v>
      </c>
      <c r="AP7767" s="4" t="s">
        <v>376</v>
      </c>
      <c r="AR7767" s="4" t="s">
        <v>377</v>
      </c>
    </row>
    <row r="7768" spans="1:44" ht="30">
      <c r="A7768" s="4" t="s">
        <v>5</v>
      </c>
      <c r="B7768" s="4">
        <v>975495</v>
      </c>
      <c r="C7768" s="4">
        <v>4122</v>
      </c>
      <c r="D7768" s="5" t="s">
        <v>10634</v>
      </c>
      <c r="E7768" s="6" t="str">
        <f>HYPERLINK("https://inpn.mnhn.fr/espece/cd_nom/975495","Cyanonectria buxi (Fuckel) Schroers, Gräfenhan &amp; Seifert, 2011")</f>
        <v>Cyanonectria buxi (Fuckel) Schroers, Gräfenhan &amp; Seifert, 2011</v>
      </c>
      <c r="AH7768" s="4" t="str">
        <f>HYPERLINK("#Statut_biogéographique!A"&amp;_xlfn.XMATCH("P",Statut_biogéographique!A:A,2,1),"P")</f>
        <v>P</v>
      </c>
      <c r="AP7768" s="4" t="s">
        <v>376</v>
      </c>
      <c r="AR7768" s="4" t="s">
        <v>377</v>
      </c>
    </row>
    <row r="7769" spans="1:44">
      <c r="A7769" s="4" t="s">
        <v>5</v>
      </c>
      <c r="B7769" s="4">
        <v>975750</v>
      </c>
      <c r="C7769" s="4">
        <v>7221</v>
      </c>
      <c r="D7769" s="5" t="s">
        <v>10635</v>
      </c>
      <c r="E7769" s="6" t="str">
        <f>HYPERLINK("https://inpn.mnhn.fr/espece/cd_nom/975750","Pholiotina striipes (Cooke) M.M.Moser, 1967")</f>
        <v>Pholiotina striipes (Cooke) M.M.Moser, 1967</v>
      </c>
      <c r="F7769" s="5" t="s">
        <v>10636</v>
      </c>
      <c r="AH7769" s="4" t="str">
        <f>HYPERLINK("#Statut_biogéographique!A"&amp;_xlfn.XMATCH("P",Statut_biogéographique!A:A,2,1),"P")</f>
        <v>P</v>
      </c>
      <c r="AP7769" s="4" t="s">
        <v>376</v>
      </c>
      <c r="AR7769" s="4" t="s">
        <v>377</v>
      </c>
    </row>
    <row r="7770" spans="1:44" ht="45">
      <c r="A7770" s="4" t="s">
        <v>5</v>
      </c>
      <c r="B7770" s="4">
        <v>975777</v>
      </c>
      <c r="D7770" s="5" t="s">
        <v>10637</v>
      </c>
      <c r="E7770" s="6" t="str">
        <f>HYPERLINK("https://inpn.mnhn.fr/espece/cd_nom/975777","Loweomyces wynneae (Berk. &amp; Broome) Jülich, 1982")</f>
        <v>Loweomyces wynneae (Berk. &amp; Broome) Jülich, 1982</v>
      </c>
      <c r="V7770" s="7" t="str">
        <f>HYPERLINK("#Liste_rouge!A"&amp;_xlfn.XMATCH("NT",Liste_rouge!A:A,2,1),"NT")</f>
        <v>NT</v>
      </c>
      <c r="W7770" s="4" t="str">
        <f>HYPERLINK("#Critères_liste_rouge!A$1","pr. B2abiii")</f>
        <v>pr. B2abiii</v>
      </c>
      <c r="AH7770" s="4" t="str">
        <f>HYPERLINK("#Statut_biogéographique!A"&amp;_xlfn.XMATCH("P",Statut_biogéographique!A:A,2,1),"P")</f>
        <v>P</v>
      </c>
      <c r="AP7770" s="4" t="s">
        <v>376</v>
      </c>
      <c r="AR7770" s="4" t="s">
        <v>377</v>
      </c>
    </row>
    <row r="7771" spans="1:44" ht="30">
      <c r="A7771" s="4" t="s">
        <v>5</v>
      </c>
      <c r="B7771" s="4">
        <v>975889</v>
      </c>
      <c r="C7771" s="4">
        <v>310</v>
      </c>
      <c r="D7771" s="5" t="s">
        <v>10638</v>
      </c>
      <c r="E7771" s="6" t="str">
        <f>HYPERLINK("https://inpn.mnhn.fr/espece/cd_nom/975889","Clitopaxillus alexandri (Gillet) G.Moreno, Vizzini, Consiglio &amp; P.Alvarado, 2018")</f>
        <v>Clitopaxillus alexandri (Gillet) G.Moreno, Vizzini, Consiglio &amp; P.Alvarado, 2018</v>
      </c>
      <c r="F7771" s="5" t="s">
        <v>10639</v>
      </c>
      <c r="V7771" s="7" t="str">
        <f>HYPERLINK("#Liste_rouge!A"&amp;_xlfn.XMATCH("LC",Liste_rouge!A:A,2,1),"LC")</f>
        <v>LC</v>
      </c>
      <c r="AH7771" s="4" t="str">
        <f>HYPERLINK("#Statut_biogéographique!A"&amp;_xlfn.XMATCH("P",Statut_biogéographique!A:A,2,1),"P")</f>
        <v>P</v>
      </c>
      <c r="AP7771" s="4" t="s">
        <v>376</v>
      </c>
      <c r="AR7771" s="4" t="s">
        <v>377</v>
      </c>
    </row>
    <row r="7772" spans="1:44" ht="30">
      <c r="A7772" s="4" t="s">
        <v>5</v>
      </c>
      <c r="B7772" s="4">
        <v>975897</v>
      </c>
      <c r="D7772" s="5" t="s">
        <v>10640</v>
      </c>
      <c r="E7772" s="6" t="str">
        <f>HYPERLINK("https://inpn.mnhn.fr/espece/cd_nom/975897","Rhizocybe vermicularis (Fr.) Vizzini, P.Alvarado, G.Moreno &amp; Consiglio, 2015")</f>
        <v>Rhizocybe vermicularis (Fr.) Vizzini, P.Alvarado, G.Moreno &amp; Consiglio, 2015</v>
      </c>
      <c r="AH7772" s="4" t="str">
        <f>HYPERLINK("#Statut_biogéographique!A"&amp;_xlfn.XMATCH("P",Statut_biogéographique!A:A,2,1),"P")</f>
        <v>P</v>
      </c>
      <c r="AP7772" s="4" t="s">
        <v>376</v>
      </c>
      <c r="AR7772" s="4" t="s">
        <v>377</v>
      </c>
    </row>
    <row r="7773" spans="1:44" ht="30">
      <c r="A7773" s="4" t="s">
        <v>5</v>
      </c>
      <c r="B7773" s="4">
        <v>975982</v>
      </c>
      <c r="C7773" s="4">
        <v>2264</v>
      </c>
      <c r="D7773" s="5" t="s">
        <v>10641</v>
      </c>
      <c r="E7773" s="6" t="str">
        <f>HYPERLINK("https://inpn.mnhn.fr/espece/cd_nom/975982","Bogbodia uda (Pers.) Redhead, 2013")</f>
        <v>Bogbodia uda (Pers.) Redhead, 2013</v>
      </c>
      <c r="F7773" s="5" t="s">
        <v>10642</v>
      </c>
      <c r="V7773" s="7" t="str">
        <f>HYPERLINK("#Liste_rouge!A"&amp;_xlfn.XMATCH("LC",Liste_rouge!A:A,2,1),"LC")</f>
        <v>LC</v>
      </c>
      <c r="AH7773" s="4" t="str">
        <f>HYPERLINK("#Statut_biogéographique!A"&amp;_xlfn.XMATCH("P",Statut_biogéographique!A:A,2,1),"P")</f>
        <v>P</v>
      </c>
      <c r="AP7773" s="4" t="s">
        <v>376</v>
      </c>
      <c r="AR7773" s="4" t="s">
        <v>377</v>
      </c>
    </row>
    <row r="7774" spans="1:44">
      <c r="A7774" s="4" t="s">
        <v>5</v>
      </c>
      <c r="B7774" s="4">
        <v>976260</v>
      </c>
      <c r="C7774" s="4">
        <v>4918</v>
      </c>
      <c r="D7774" s="5" t="s">
        <v>10643</v>
      </c>
      <c r="E7774" s="6" t="str">
        <f>HYPERLINK("https://inpn.mnhn.fr/espece/cd_nom/976260","Diachea leucopoda (Bull.) Rostaf., 1875")</f>
        <v>Diachea leucopoda (Bull.) Rostaf., 1875</v>
      </c>
      <c r="AH7774" s="4" t="str">
        <f>HYPERLINK("#Statut_biogéographique!A"&amp;_xlfn.XMATCH("P",Statut_biogéographique!A:A,2,1),"P")</f>
        <v>P</v>
      </c>
      <c r="AP7774" s="4" t="s">
        <v>376</v>
      </c>
      <c r="AR7774" s="4" t="s">
        <v>377</v>
      </c>
    </row>
    <row r="7775" spans="1:44" ht="30">
      <c r="A7775" s="4" t="s">
        <v>5</v>
      </c>
      <c r="B7775" s="4">
        <v>976498</v>
      </c>
      <c r="D7775" s="5" t="s">
        <v>10644</v>
      </c>
      <c r="E7775" s="6" t="str">
        <f>HYPERLINK("https://inpn.mnhn.fr/espece/cd_nom/976498","Calocybe gangraenosa (Fr.) V.Hofst., Moncalvo, Redhead &amp; Vilgalys, 2012")</f>
        <v>Calocybe gangraenosa (Fr.) V.Hofst., Moncalvo, Redhead &amp; Vilgalys, 2012</v>
      </c>
      <c r="V7775" s="7" t="str">
        <f>HYPERLINK("#Liste_rouge!A"&amp;_xlfn.XMATCH("EN",Liste_rouge!A:A,2,1),"EN")</f>
        <v>EN</v>
      </c>
      <c r="W7775" s="4" t="str">
        <f>HYPERLINK("#Critères_liste_rouge!A$1","B2abiii")</f>
        <v>B2abiii</v>
      </c>
      <c r="AH7775" s="4" t="str">
        <f>HYPERLINK("#Statut_biogéographique!A"&amp;_xlfn.XMATCH("P",Statut_biogéographique!A:A,2,1),"P")</f>
        <v>P</v>
      </c>
      <c r="AP7775" s="4" t="s">
        <v>376</v>
      </c>
      <c r="AR7775" s="4" t="s">
        <v>377</v>
      </c>
    </row>
    <row r="7776" spans="1:44" ht="30">
      <c r="A7776" s="4" t="s">
        <v>5</v>
      </c>
      <c r="B7776" s="4">
        <v>976530</v>
      </c>
      <c r="D7776" s="5" t="s">
        <v>10645</v>
      </c>
      <c r="E7776" s="6" t="str">
        <f>HYPERLINK("https://inpn.mnhn.fr/espece/cd_nom/976530","Mycena luteovariegata Harder &amp; Læssøe, 2013")</f>
        <v>Mycena luteovariegata Harder &amp; Læssøe, 2013</v>
      </c>
      <c r="AH7776" s="4" t="str">
        <f>HYPERLINK("#Statut_biogéographique!A"&amp;_xlfn.XMATCH("P",Statut_biogéographique!A:A,2,1),"P")</f>
        <v>P</v>
      </c>
      <c r="AP7776" s="4" t="s">
        <v>376</v>
      </c>
      <c r="AR7776" s="4" t="s">
        <v>377</v>
      </c>
    </row>
    <row r="7777" spans="1:44" ht="30">
      <c r="A7777" s="4" t="s">
        <v>5</v>
      </c>
      <c r="B7777" s="4">
        <v>976628</v>
      </c>
      <c r="D7777" s="5" t="s">
        <v>10646</v>
      </c>
      <c r="E7777" s="6" t="str">
        <f>HYPERLINK("https://inpn.mnhn.fr/espece/cd_nom/976628","Sagaranella tylicolor (Fr.) V.Hofst., Clémençon, Moncalvo &amp; Redhead, 2015")</f>
        <v>Sagaranella tylicolor (Fr.) V.Hofst., Clémençon, Moncalvo &amp; Redhead, 2015</v>
      </c>
      <c r="V7777" s="7" t="str">
        <f>HYPERLINK("#Liste_rouge!A"&amp;_xlfn.XMATCH("EN",Liste_rouge!A:A,2,1),"EN")</f>
        <v>EN</v>
      </c>
      <c r="W7777" s="4" t="str">
        <f>HYPERLINK("#Critères_liste_rouge!A$1","B2abiii")</f>
        <v>B2abiii</v>
      </c>
      <c r="AH7777" s="4" t="str">
        <f>HYPERLINK("#Statut_biogéographique!A"&amp;_xlfn.XMATCH("P",Statut_biogéographique!A:A,2,1),"P")</f>
        <v>P</v>
      </c>
      <c r="AP7777" s="4" t="s">
        <v>376</v>
      </c>
      <c r="AR7777" s="4" t="s">
        <v>377</v>
      </c>
    </row>
    <row r="7778" spans="1:44" ht="30">
      <c r="A7778" s="4" t="s">
        <v>5</v>
      </c>
      <c r="B7778" s="4">
        <v>977000</v>
      </c>
      <c r="D7778" s="5" t="s">
        <v>10647</v>
      </c>
      <c r="E7778" s="6" t="str">
        <f>HYPERLINK("https://inpn.mnhn.fr/espece/cd_nom/977000","Hymenopellis radicata (Relhan) R.H.Petersen, 2010")</f>
        <v>Hymenopellis radicata (Relhan) R.H.Petersen, 2010</v>
      </c>
      <c r="F7778" s="5" t="s">
        <v>10648</v>
      </c>
      <c r="V7778" s="7" t="str">
        <f>HYPERLINK("#Liste_rouge!A"&amp;_xlfn.XMATCH("LC",Liste_rouge!A:A,2,1),"LC")</f>
        <v>LC</v>
      </c>
      <c r="AH7778" s="4" t="str">
        <f>HYPERLINK("#Statut_biogéographique!A"&amp;_xlfn.XMATCH("P",Statut_biogéographique!A:A,2,1),"P")</f>
        <v>P</v>
      </c>
      <c r="AP7778" s="4" t="s">
        <v>376</v>
      </c>
      <c r="AR7778" s="4" t="s">
        <v>377</v>
      </c>
    </row>
    <row r="7779" spans="1:44" ht="45">
      <c r="A7779" s="4" t="s">
        <v>5</v>
      </c>
      <c r="B7779" s="4">
        <v>977139</v>
      </c>
      <c r="C7779" s="4">
        <v>4585</v>
      </c>
      <c r="D7779" s="5" t="s">
        <v>10649</v>
      </c>
      <c r="E7779" s="6" t="str">
        <f>HYPERLINK("https://inpn.mnhn.fr/espece/cd_nom/977139","Circinaria contorta (Hoffm.) A.Nordin, Savić &amp; Tibell, 2010")</f>
        <v>Circinaria contorta (Hoffm.) A.Nordin, Savić &amp; Tibell, 2010</v>
      </c>
      <c r="AH7779" s="4" t="str">
        <f>HYPERLINK("#Statut_biogéographique!A"&amp;_xlfn.XMATCH("P",Statut_biogéographique!A:A,2,1),"P")</f>
        <v>P</v>
      </c>
      <c r="AP7779" s="4" t="s">
        <v>376</v>
      </c>
      <c r="AR7779" s="4" t="s">
        <v>377</v>
      </c>
    </row>
    <row r="7780" spans="1:44" ht="30">
      <c r="A7780" s="4" t="s">
        <v>5</v>
      </c>
      <c r="B7780" s="4">
        <v>977806</v>
      </c>
      <c r="C7780" s="4">
        <v>3212</v>
      </c>
      <c r="D7780" s="5" t="s">
        <v>10650</v>
      </c>
      <c r="E7780" s="6" t="str">
        <f>HYPERLINK("https://inpn.mnhn.fr/espece/cd_nom/977806","Cortinarius callochrous var. barbaricus Brandrud, 1994")</f>
        <v>Cortinarius callochrous var. barbaricus Brandrud, 1994</v>
      </c>
      <c r="V7780" s="7" t="str">
        <f>HYPERLINK("#Liste_rouge!A"&amp;_xlfn.XMATCH("VU",Liste_rouge!A:A,2,1),"VU")</f>
        <v>VU</v>
      </c>
      <c r="W7780" s="4" t="str">
        <f>HYPERLINK("#Critères_liste_rouge!A$1","D2")</f>
        <v>D2</v>
      </c>
      <c r="Z7780" s="4" t="s">
        <v>443</v>
      </c>
      <c r="AA7780" s="4" t="s">
        <v>444</v>
      </c>
      <c r="AH7780" s="4" t="str">
        <f>HYPERLINK("#Statut_biogéographique!A"&amp;_xlfn.XMATCH("P",Statut_biogéographique!A:A,2,1),"P")</f>
        <v>P</v>
      </c>
      <c r="AP7780" s="4" t="s">
        <v>376</v>
      </c>
      <c r="AR7780" s="4" t="s">
        <v>377</v>
      </c>
    </row>
    <row r="7781" spans="1:44" ht="30">
      <c r="A7781" s="4" t="s">
        <v>5</v>
      </c>
      <c r="B7781" s="4">
        <v>978044</v>
      </c>
      <c r="D7781" s="5" t="s">
        <v>10651</v>
      </c>
      <c r="E7781" s="6" t="str">
        <f>HYPERLINK("https://inpn.mnhn.fr/espece/cd_nom/978044","Blastenia subochracea (Wedd.) Arup, Søchting &amp; Frödén, 2013")</f>
        <v>Blastenia subochracea (Wedd.) Arup, Søchting &amp; Frödén, 2013</v>
      </c>
      <c r="AH7781" s="4" t="str">
        <f>HYPERLINK("#Statut_biogéographique!A"&amp;_xlfn.XMATCH("P",Statut_biogéographique!A:A,2,1),"P")</f>
        <v>P</v>
      </c>
      <c r="AP7781" s="4" t="s">
        <v>376</v>
      </c>
      <c r="AR7781" s="4" t="s">
        <v>377</v>
      </c>
    </row>
    <row r="7782" spans="1:44" ht="30">
      <c r="A7782" s="4" t="s">
        <v>5</v>
      </c>
      <c r="B7782" s="4">
        <v>978629</v>
      </c>
      <c r="C7782" s="4">
        <v>6988</v>
      </c>
      <c r="D7782" s="5" t="s">
        <v>10652</v>
      </c>
      <c r="E7782" s="6" t="str">
        <f>HYPERLINK("https://inpn.mnhn.fr/espece/cd_nom/978629","Allocryptovalsa rabenhorstii (Nitschke) C.Senwanna, Phookamsak &amp; K.D.Hyde, 2017")</f>
        <v>Allocryptovalsa rabenhorstii (Nitschke) C.Senwanna, Phookamsak &amp; K.D.Hyde, 2017</v>
      </c>
      <c r="AH7782" s="4" t="str">
        <f>HYPERLINK("#Statut_biogéographique!A"&amp;_xlfn.XMATCH("P",Statut_biogéographique!A:A,2,1),"P")</f>
        <v>P</v>
      </c>
      <c r="AP7782" s="4" t="s">
        <v>376</v>
      </c>
      <c r="AR7782" s="4" t="s">
        <v>377</v>
      </c>
    </row>
    <row r="7783" spans="1:44" ht="30">
      <c r="A7783" s="4" t="s">
        <v>5</v>
      </c>
      <c r="B7783" s="4">
        <v>978632</v>
      </c>
      <c r="C7783" s="4">
        <v>1575</v>
      </c>
      <c r="D7783" s="5">
        <v>46646</v>
      </c>
      <c r="E7783" s="6" t="str">
        <f>HYPERLINK("https://inpn.mnhn.fr/espece/cd_nom/978632","Camarosporidiella elongata (Fr.) Wanas., Wijayaw. &amp; K.D.Hyde, 2017")</f>
        <v>Camarosporidiella elongata (Fr.) Wanas., Wijayaw. &amp; K.D.Hyde, 2017</v>
      </c>
      <c r="AH7783" s="4" t="str">
        <f>HYPERLINK("#Statut_biogéographique!A"&amp;_xlfn.XMATCH("P",Statut_biogéographique!A:A,2,1),"P")</f>
        <v>P</v>
      </c>
      <c r="AP7783" s="4" t="s">
        <v>376</v>
      </c>
      <c r="AR7783" s="4" t="s">
        <v>377</v>
      </c>
    </row>
    <row r="7784" spans="1:44">
      <c r="A7784" s="4" t="s">
        <v>5</v>
      </c>
      <c r="B7784" s="4">
        <v>978917</v>
      </c>
      <c r="C7784" s="4">
        <v>3250</v>
      </c>
      <c r="D7784" s="5" t="s">
        <v>10653</v>
      </c>
      <c r="E7784" s="6" t="str">
        <f>HYPERLINK("https://inpn.mnhn.fr/espece/cd_nom/978917","Plagiostoma salicellum (Fr.) Sogonov, 2008")</f>
        <v>Plagiostoma salicellum (Fr.) Sogonov, 2008</v>
      </c>
      <c r="AH7784" s="4" t="str">
        <f>HYPERLINK("#Statut_biogéographique!A"&amp;_xlfn.XMATCH("P",Statut_biogéographique!A:A,2,1),"P")</f>
        <v>P</v>
      </c>
      <c r="AP7784" s="4" t="s">
        <v>376</v>
      </c>
      <c r="AR7784" s="4" t="s">
        <v>377</v>
      </c>
    </row>
    <row r="7785" spans="1:44">
      <c r="A7785" s="4" t="s">
        <v>5</v>
      </c>
      <c r="B7785" s="4">
        <v>978920</v>
      </c>
      <c r="C7785" s="4">
        <v>2608</v>
      </c>
      <c r="D7785" s="5">
        <v>874381</v>
      </c>
      <c r="E7785" s="6" t="str">
        <f>HYPERLINK("https://inpn.mnhn.fr/espece/cd_nom/978920","Discina geogenius (Rahm) Donadini, 1985")</f>
        <v>Discina geogenius (Rahm) Donadini, 1985</v>
      </c>
      <c r="F7785" s="5" t="s">
        <v>10654</v>
      </c>
      <c r="V7785" s="7" t="str">
        <f>HYPERLINK("#Liste_rouge!A"&amp;_xlfn.XMATCH("LC",Liste_rouge!A:A,2,1),"LC")</f>
        <v>LC</v>
      </c>
      <c r="AH7785" s="4" t="str">
        <f>HYPERLINK("#Statut_biogéographique!A"&amp;_xlfn.XMATCH("P",Statut_biogéographique!A:A,2,1),"P")</f>
        <v>P</v>
      </c>
      <c r="AP7785" s="4" t="s">
        <v>376</v>
      </c>
      <c r="AR7785" s="4" t="s">
        <v>377</v>
      </c>
    </row>
    <row r="7786" spans="1:44" ht="30">
      <c r="A7786" s="4" t="s">
        <v>5</v>
      </c>
      <c r="B7786" s="4">
        <v>979171</v>
      </c>
      <c r="C7786" s="4">
        <v>4422</v>
      </c>
      <c r="D7786" s="5" t="s">
        <v>10655</v>
      </c>
      <c r="E7786" s="6" t="str">
        <f>HYPERLINK("https://inpn.mnhn.fr/espece/cd_nom/979171","Acrogenospora carmichaeliana (Berk.) Rossman &amp; Crous, 2015")</f>
        <v>Acrogenospora carmichaeliana (Berk.) Rossman &amp; Crous, 2015</v>
      </c>
      <c r="AH7786" s="4" t="str">
        <f>HYPERLINK("#Statut_biogéographique!A"&amp;_xlfn.XMATCH("P",Statut_biogéographique!A:A,2,1),"P")</f>
        <v>P</v>
      </c>
      <c r="AP7786" s="4" t="s">
        <v>376</v>
      </c>
      <c r="AR7786" s="4" t="s">
        <v>377</v>
      </c>
    </row>
    <row r="7787" spans="1:44" ht="60">
      <c r="A7787" s="4" t="s">
        <v>5</v>
      </c>
      <c r="B7787" s="4">
        <v>979571</v>
      </c>
      <c r="D7787" s="5" t="s">
        <v>10656</v>
      </c>
      <c r="E7787" s="6" t="str">
        <f>HYPERLINK("https://inpn.mnhn.fr/espece/cd_nom/979571","Kirschsteiniothelia atra (Corda) D.Hawksw., 2014")</f>
        <v>Kirschsteiniothelia atra (Corda) D.Hawksw., 2014</v>
      </c>
      <c r="AH7787" s="4" t="str">
        <f>HYPERLINK("#Statut_biogéographique!A"&amp;_xlfn.XMATCH("P",Statut_biogéographique!A:A,2,1),"P")</f>
        <v>P</v>
      </c>
      <c r="AP7787" s="4" t="s">
        <v>376</v>
      </c>
      <c r="AR7787" s="4" t="s">
        <v>377</v>
      </c>
    </row>
    <row r="7788" spans="1:44" ht="30">
      <c r="A7788" s="4" t="s">
        <v>5</v>
      </c>
      <c r="B7788" s="4">
        <v>980384</v>
      </c>
      <c r="C7788" s="4">
        <v>4263</v>
      </c>
      <c r="D7788" s="5" t="s">
        <v>10657</v>
      </c>
      <c r="E7788" s="6" t="str">
        <f>HYPERLINK("https://inpn.mnhn.fr/espece/cd_nom/980384","Melanconiella flavovirens (G.H.Otth) Voglmayr &amp; Jaklitsch, 2012")</f>
        <v>Melanconiella flavovirens (G.H.Otth) Voglmayr &amp; Jaklitsch, 2012</v>
      </c>
      <c r="AH7788" s="4" t="str">
        <f>HYPERLINK("#Statut_biogéographique!A"&amp;_xlfn.XMATCH("P",Statut_biogéographique!A:A,2,1),"P")</f>
        <v>P</v>
      </c>
      <c r="AP7788" s="4" t="s">
        <v>376</v>
      </c>
      <c r="AR7788" s="4" t="s">
        <v>377</v>
      </c>
    </row>
    <row r="7789" spans="1:44" ht="45">
      <c r="A7789" s="4" t="s">
        <v>5</v>
      </c>
      <c r="B7789" s="4">
        <v>980504</v>
      </c>
      <c r="D7789" s="5" t="s">
        <v>10658</v>
      </c>
      <c r="E7789" s="6" t="str">
        <f>HYPERLINK("https://inpn.mnhn.fr/espece/cd_nom/980504","Trichobelonium kneiffii (Wallr.) J.Schröt., 1893")</f>
        <v>Trichobelonium kneiffii (Wallr.) J.Schröt., 1893</v>
      </c>
      <c r="AH7789" s="4" t="str">
        <f>HYPERLINK("#Statut_biogéographique!A"&amp;_xlfn.XMATCH("P",Statut_biogéographique!A:A,2,1),"P")</f>
        <v>P</v>
      </c>
      <c r="AP7789" s="4" t="s">
        <v>376</v>
      </c>
      <c r="AR7789" s="4" t="s">
        <v>377</v>
      </c>
    </row>
    <row r="7790" spans="1:44" ht="30">
      <c r="A7790" s="4" t="s">
        <v>5</v>
      </c>
      <c r="B7790" s="4">
        <v>983019</v>
      </c>
      <c r="C7790" s="4">
        <v>244</v>
      </c>
      <c r="D7790" s="5" t="s">
        <v>10659</v>
      </c>
      <c r="E7790" s="6" t="str">
        <f>HYPERLINK("https://inpn.mnhn.fr/espece/cd_nom/983019","Gliophorus irrigatus (Pers.) A.M.Ainsw. &amp; P.M.Kirk, 2013")</f>
        <v>Gliophorus irrigatus (Pers.) A.M.Ainsw. &amp; P.M.Kirk, 2013</v>
      </c>
      <c r="F7790" s="5" t="s">
        <v>5270</v>
      </c>
      <c r="V7790" s="7" t="str">
        <f>HYPERLINK("#Liste_rouge!A"&amp;_xlfn.XMATCH("VU",Liste_rouge!A:A,2,1),"VU")</f>
        <v>VU</v>
      </c>
      <c r="W7790" s="4" t="str">
        <f>HYPERLINK("#Critères_liste_rouge!A$1","A2c")</f>
        <v>A2c</v>
      </c>
      <c r="Z7790" s="4" t="s">
        <v>447</v>
      </c>
      <c r="AA7790" s="4" t="s">
        <v>448</v>
      </c>
      <c r="AH7790" s="4" t="str">
        <f>HYPERLINK("#Statut_biogéographique!A"&amp;_xlfn.XMATCH("P",Statut_biogéographique!A:A,2,1),"P")</f>
        <v>P</v>
      </c>
      <c r="AP7790" s="4" t="s">
        <v>376</v>
      </c>
      <c r="AR7790" s="4" t="s">
        <v>377</v>
      </c>
    </row>
    <row r="7791" spans="1:44" ht="45">
      <c r="A7791" s="4" t="s">
        <v>5</v>
      </c>
      <c r="B7791" s="4">
        <v>983834</v>
      </c>
      <c r="C7791" s="4">
        <v>6155</v>
      </c>
      <c r="D7791" s="5" t="s">
        <v>10660</v>
      </c>
      <c r="E7791" s="6" t="str">
        <f>HYPERLINK("https://inpn.mnhn.fr/espece/cd_nom/983834","Rhodophana fuscofarinaceus (Kosonen &amp; Noordel.) Consiglio, Noordel., Dima &amp; Eyssart., 2021")</f>
        <v>Rhodophana fuscofarinaceus (Kosonen &amp; Noordel.) Consiglio, Noordel., Dima &amp; Eyssart., 2021</v>
      </c>
      <c r="AH7791" s="4" t="str">
        <f>HYPERLINK("#Statut_biogéographique!A"&amp;_xlfn.XMATCH("P",Statut_biogéographique!A:A,2,1),"P")</f>
        <v>P</v>
      </c>
      <c r="AP7791" s="4" t="s">
        <v>376</v>
      </c>
      <c r="AR7791" s="4" t="s">
        <v>377</v>
      </c>
    </row>
    <row r="7792" spans="1:44" ht="60">
      <c r="A7792" s="4" t="s">
        <v>5</v>
      </c>
      <c r="B7792" s="4">
        <v>985966</v>
      </c>
      <c r="D7792" s="5" t="s">
        <v>10661</v>
      </c>
      <c r="E7792" s="6" t="str">
        <f>HYPERLINK("https://inpn.mnhn.fr/espece/cd_nom/985966","Adelphella babingtonii (Berk. &amp; Broome) Pfister, Matočec &amp; I.Kušan, 2009")</f>
        <v>Adelphella babingtonii (Berk. &amp; Broome) Pfister, Matočec &amp; I.Kušan, 2009</v>
      </c>
      <c r="AH7792" s="4" t="str">
        <f>HYPERLINK("#Statut_biogéographique!A"&amp;_xlfn.XMATCH("P",Statut_biogéographique!A:A,2,1),"P")</f>
        <v>P</v>
      </c>
      <c r="AP7792" s="4" t="s">
        <v>376</v>
      </c>
      <c r="AR7792" s="4" t="s">
        <v>377</v>
      </c>
    </row>
    <row r="7793" spans="1:44" ht="30">
      <c r="A7793" s="4" t="s">
        <v>5</v>
      </c>
      <c r="B7793" s="4">
        <v>986513</v>
      </c>
      <c r="C7793" s="4">
        <v>4632</v>
      </c>
      <c r="D7793" s="5" t="s">
        <v>10662</v>
      </c>
      <c r="E7793" s="6" t="str">
        <f>HYPERLINK("https://inpn.mnhn.fr/espece/cd_nom/986513","Neopseudocercosporella brassicae (Chevall.) Videira &amp; Crous, 2016")</f>
        <v>Neopseudocercosporella brassicae (Chevall.) Videira &amp; Crous, 2016</v>
      </c>
      <c r="AH7793" s="4" t="str">
        <f>HYPERLINK("#Statut_biogéographique!A"&amp;_xlfn.XMATCH("P",Statut_biogéographique!A:A,2,1),"P")</f>
        <v>P</v>
      </c>
      <c r="AP7793" s="4" t="s">
        <v>376</v>
      </c>
      <c r="AR7793" s="4" t="s">
        <v>377</v>
      </c>
    </row>
    <row r="7794" spans="1:44" ht="30">
      <c r="A7794" s="4" t="s">
        <v>5</v>
      </c>
      <c r="B7794" s="4">
        <v>987233</v>
      </c>
      <c r="C7794" s="4">
        <v>3654</v>
      </c>
      <c r="D7794" s="5" t="s">
        <v>10663</v>
      </c>
      <c r="E7794" s="6" t="str">
        <f>HYPERLINK("https://inpn.mnhn.fr/espece/cd_nom/987233","Praetumpfia obducens (Schumach.) Jaklitsch &amp; Voglmayr, 2017")</f>
        <v>Praetumpfia obducens (Schumach.) Jaklitsch &amp; Voglmayr, 2017</v>
      </c>
      <c r="AH7794" s="4" t="str">
        <f>HYPERLINK("#Statut_biogéographique!A"&amp;_xlfn.XMATCH("P",Statut_biogéographique!A:A,2,1),"P")</f>
        <v>P</v>
      </c>
      <c r="AP7794" s="4" t="s">
        <v>376</v>
      </c>
      <c r="AR7794" s="4" t="s">
        <v>377</v>
      </c>
    </row>
    <row r="7795" spans="1:44" ht="45">
      <c r="A7795" s="4" t="s">
        <v>5</v>
      </c>
      <c r="B7795" s="4">
        <v>988720</v>
      </c>
      <c r="C7795" s="4">
        <v>2444</v>
      </c>
      <c r="D7795" s="5" t="s">
        <v>10664</v>
      </c>
      <c r="E7795" s="6" t="str">
        <f>HYPERLINK("https://inpn.mnhn.fr/espece/cd_nom/988720","Hodophilus atropunctus (Pers.) Birkebak &amp; Adamčík, 2016")</f>
        <v>Hodophilus atropunctus (Pers.) Birkebak &amp; Adamčík, 2016</v>
      </c>
      <c r="F7795" s="5" t="s">
        <v>10665</v>
      </c>
      <c r="V7795" s="7" t="str">
        <f>HYPERLINK("#Liste_rouge!A"&amp;_xlfn.XMATCH("EN",Liste_rouge!A:A,2,1),"EN")</f>
        <v>EN</v>
      </c>
      <c r="W7795" s="4" t="str">
        <f>HYPERLINK("#Critères_liste_rouge!A$1","A2c")</f>
        <v>A2c</v>
      </c>
      <c r="Z7795" s="4" t="s">
        <v>447</v>
      </c>
      <c r="AA7795" s="4" t="s">
        <v>448</v>
      </c>
      <c r="AH7795" s="4" t="str">
        <f>HYPERLINK("#Statut_biogéographique!A"&amp;_xlfn.XMATCH("P",Statut_biogéographique!A:A,2,1),"P")</f>
        <v>P</v>
      </c>
      <c r="AP7795" s="4" t="s">
        <v>376</v>
      </c>
      <c r="AR7795" s="4" t="s">
        <v>377</v>
      </c>
    </row>
    <row r="7796" spans="1:44" ht="30">
      <c r="A7796" s="4" t="s">
        <v>5</v>
      </c>
      <c r="B7796" s="4">
        <v>988796</v>
      </c>
      <c r="C7796" s="4">
        <v>2844</v>
      </c>
      <c r="D7796" s="5" t="s">
        <v>10666</v>
      </c>
      <c r="E7796" s="6" t="str">
        <f>HYPERLINK("https://inpn.mnhn.fr/espece/cd_nom/988796","Hodophilus foetens (W.Phillips) Birkebak &amp; Adamčík, 2016")</f>
        <v>Hodophilus foetens (W.Phillips) Birkebak &amp; Adamčík, 2016</v>
      </c>
      <c r="F7796" s="5" t="s">
        <v>10667</v>
      </c>
      <c r="V7796" s="7" t="str">
        <f>HYPERLINK("#Liste_rouge!A"&amp;_xlfn.XMATCH("CR",Liste_rouge!A:A,2,1),"CR")</f>
        <v>CR</v>
      </c>
      <c r="W7796" s="4" t="str">
        <f>HYPERLINK("#Critères_liste_rouge!A$1","B2abiii")</f>
        <v>B2abiii</v>
      </c>
      <c r="Z7796" s="4" t="s">
        <v>695</v>
      </c>
      <c r="AA7796" s="4" t="s">
        <v>696</v>
      </c>
      <c r="AH7796" s="4" t="str">
        <f>HYPERLINK("#Statut_biogéographique!A"&amp;_xlfn.XMATCH("P",Statut_biogéographique!A:A,2,1),"P")</f>
        <v>P</v>
      </c>
      <c r="AP7796" s="4" t="s">
        <v>376</v>
      </c>
      <c r="AR7796" s="4" t="s">
        <v>377</v>
      </c>
    </row>
    <row r="7797" spans="1:44" ht="45">
      <c r="A7797" s="4" t="s">
        <v>5</v>
      </c>
      <c r="B7797" s="4">
        <v>989308</v>
      </c>
      <c r="D7797" s="5" t="s">
        <v>10668</v>
      </c>
      <c r="E7797" s="6" t="str">
        <f>HYPERLINK("https://inpn.mnhn.fr/espece/cd_nom/989308","Volvopluteus gloiocephalus (DC.) Vizzini, Contu &amp; Justo, 2011")</f>
        <v>Volvopluteus gloiocephalus (DC.) Vizzini, Contu &amp; Justo, 2011</v>
      </c>
      <c r="F7797" s="5" t="s">
        <v>1959</v>
      </c>
      <c r="V7797" s="7" t="str">
        <f>HYPERLINK("#Liste_rouge!A"&amp;_xlfn.XMATCH("LC",Liste_rouge!A:A,2,1),"LC")</f>
        <v>LC</v>
      </c>
      <c r="AH7797" s="4" t="str">
        <f>HYPERLINK("#Statut_biogéographique!A"&amp;_xlfn.XMATCH("P",Statut_biogéographique!A:A,2,1),"P")</f>
        <v>P</v>
      </c>
      <c r="AP7797" s="4" t="s">
        <v>376</v>
      </c>
      <c r="AR7797" s="4" t="s">
        <v>377</v>
      </c>
    </row>
    <row r="7798" spans="1:44" ht="45">
      <c r="A7798" s="4" t="s">
        <v>5</v>
      </c>
      <c r="B7798" s="4">
        <v>993698</v>
      </c>
      <c r="C7798" s="4">
        <v>809</v>
      </c>
      <c r="D7798" s="5" t="s">
        <v>10669</v>
      </c>
      <c r="E7798" s="6" t="str">
        <f>HYPERLINK("https://inpn.mnhn.fr/espece/cd_nom/993698","Cyclocybe cylindracea (DC.) Vizzini &amp; Angelini, 2014")</f>
        <v>Cyclocybe cylindracea (DC.) Vizzini &amp; Angelini, 2014</v>
      </c>
      <c r="F7798" s="5" t="s">
        <v>10670</v>
      </c>
      <c r="V7798" s="7" t="str">
        <f>HYPERLINK("#Liste_rouge!A"&amp;_xlfn.XMATCH("NT",Liste_rouge!A:A,2,1),"NT")</f>
        <v>NT</v>
      </c>
      <c r="W7798" s="4" t="str">
        <f>HYPERLINK("#Critères_liste_rouge!A$1","pr. B2a")</f>
        <v>pr. B2a</v>
      </c>
      <c r="Z7798" s="4" t="s">
        <v>447</v>
      </c>
      <c r="AA7798" s="4" t="s">
        <v>448</v>
      </c>
      <c r="AH7798" s="4" t="str">
        <f>HYPERLINK("#Statut_biogéographique!A"&amp;_xlfn.XMATCH("P",Statut_biogéographique!A:A,2,1),"P")</f>
        <v>P</v>
      </c>
      <c r="AP7798" s="4" t="s">
        <v>376</v>
      </c>
      <c r="AR7798" s="4" t="s">
        <v>377</v>
      </c>
    </row>
    <row r="7799" spans="1:44" ht="30">
      <c r="A7799" s="4" t="s">
        <v>5</v>
      </c>
      <c r="B7799" s="4">
        <v>993699</v>
      </c>
      <c r="C7799" s="4">
        <v>1950</v>
      </c>
      <c r="D7799" s="5" t="s">
        <v>10671</v>
      </c>
      <c r="E7799" s="6" t="str">
        <f>HYPERLINK("https://inpn.mnhn.fr/espece/cd_nom/993699","Cyclocybe erebia (Fr.) Vizzini &amp; Matheny, 2014")</f>
        <v>Cyclocybe erebia (Fr.) Vizzini &amp; Matheny, 2014</v>
      </c>
      <c r="F7799" s="5" t="s">
        <v>10672</v>
      </c>
      <c r="V7799" s="7" t="str">
        <f>HYPERLINK("#Liste_rouge!A"&amp;_xlfn.XMATCH("LC",Liste_rouge!A:A,2,1),"LC")</f>
        <v>LC</v>
      </c>
      <c r="AH7799" s="4" t="str">
        <f>HYPERLINK("#Statut_biogéographique!A"&amp;_xlfn.XMATCH("P",Statut_biogéographique!A:A,2,1),"P")</f>
        <v>P</v>
      </c>
      <c r="AP7799" s="4" t="s">
        <v>376</v>
      </c>
      <c r="AR7799" s="4" t="s">
        <v>377</v>
      </c>
    </row>
    <row r="7800" spans="1:44">
      <c r="A7800" s="4" t="s">
        <v>5</v>
      </c>
      <c r="B7800" s="4">
        <v>993712</v>
      </c>
      <c r="C7800" s="4">
        <v>4924</v>
      </c>
      <c r="D7800" s="5" t="s">
        <v>10673</v>
      </c>
      <c r="E7800" s="6" t="str">
        <f>HYPERLINK("https://inpn.mnhn.fr/espece/cd_nom/993712","Amanita brunneofuliginea Zhu L.Yang, 1997")</f>
        <v>Amanita brunneofuliginea Zhu L.Yang, 1997</v>
      </c>
      <c r="F7800" s="5" t="s">
        <v>10674</v>
      </c>
      <c r="V7800" s="7" t="str">
        <f>HYPERLINK("#Liste_rouge!A"&amp;_xlfn.XMATCH("DD",Liste_rouge!A:A,2,1),"DD")</f>
        <v>DD</v>
      </c>
      <c r="AH7800" s="4" t="str">
        <f>HYPERLINK("#Statut_biogéographique!A"&amp;_xlfn.XMATCH("P",Statut_biogéographique!A:A,2,1),"P")</f>
        <v>P</v>
      </c>
      <c r="AP7800" s="4" t="s">
        <v>376</v>
      </c>
      <c r="AR7800" s="4" t="s">
        <v>377</v>
      </c>
    </row>
    <row r="7801" spans="1:44">
      <c r="A7801" s="4" t="s">
        <v>5</v>
      </c>
      <c r="B7801" s="4">
        <v>993718</v>
      </c>
      <c r="C7801" s="4">
        <v>2929</v>
      </c>
      <c r="D7801" s="5" t="s">
        <v>10675</v>
      </c>
      <c r="E7801" s="6" t="str">
        <f>HYPERLINK("https://inpn.mnhn.fr/espece/cd_nom/993718","Diaporthe leucopis (Fr. ex Kunze) Sacc., 1883")</f>
        <v>Diaporthe leucopis (Fr. ex Kunze) Sacc., 1883</v>
      </c>
      <c r="AH7801" s="4" t="str">
        <f>HYPERLINK("#Statut_biogéographique!A"&amp;_xlfn.XMATCH("P",Statut_biogéographique!A:A,2,1),"P")</f>
        <v>P</v>
      </c>
      <c r="AP7801" s="4" t="s">
        <v>376</v>
      </c>
      <c r="AR7801" s="4" t="s">
        <v>377</v>
      </c>
    </row>
    <row r="7802" spans="1:44" ht="30">
      <c r="A7802" s="4" t="s">
        <v>5</v>
      </c>
      <c r="B7802" s="4">
        <v>993725</v>
      </c>
      <c r="D7802" s="5" t="s">
        <v>10676</v>
      </c>
      <c r="E7802" s="6" t="str">
        <f>HYPERLINK("https://inpn.mnhn.fr/espece/cd_nom/993725","Jackrogersella cohaerens (Pers.) L.Wendt, Kuhnert &amp; M.Stadler, 2017")</f>
        <v>Jackrogersella cohaerens (Pers.) L.Wendt, Kuhnert &amp; M.Stadler, 2017</v>
      </c>
      <c r="AH7802" s="4" t="str">
        <f>HYPERLINK("#Statut_biogéographique!A"&amp;_xlfn.XMATCH("P",Statut_biogéographique!A:A,2,1),"P")</f>
        <v>P</v>
      </c>
      <c r="AP7802" s="4" t="s">
        <v>376</v>
      </c>
      <c r="AR7802" s="4" t="s">
        <v>377</v>
      </c>
    </row>
    <row r="7803" spans="1:44" ht="30">
      <c r="A7803" s="4" t="s">
        <v>5</v>
      </c>
      <c r="B7803" s="4">
        <v>993729</v>
      </c>
      <c r="D7803" s="5" t="s">
        <v>10677</v>
      </c>
      <c r="E7803" s="6" t="str">
        <f>HYPERLINK("https://inpn.mnhn.fr/espece/cd_nom/993729","Jackrogersella multiformis (Fr.) L.Wendt, Kuhnert &amp; M.Stadler, 2017")</f>
        <v>Jackrogersella multiformis (Fr.) L.Wendt, Kuhnert &amp; M.Stadler, 2017</v>
      </c>
      <c r="AH7803" s="4" t="str">
        <f>HYPERLINK("#Statut_biogéographique!A"&amp;_xlfn.XMATCH("P",Statut_biogéographique!A:A,2,1),"P")</f>
        <v>P</v>
      </c>
      <c r="AP7803" s="4" t="s">
        <v>376</v>
      </c>
      <c r="AR7803" s="4" t="s">
        <v>377</v>
      </c>
    </row>
    <row r="7804" spans="1:44" ht="90">
      <c r="A7804" s="4" t="s">
        <v>5</v>
      </c>
      <c r="B7804" s="4">
        <v>993955</v>
      </c>
      <c r="C7804" s="4">
        <v>1065</v>
      </c>
      <c r="D7804" s="5" t="s">
        <v>10678</v>
      </c>
      <c r="E7804" s="6" t="str">
        <f>HYPERLINK("https://inpn.mnhn.fr/espece/cd_nom/993955","Dissingia leucomelaena (Pers.) K.Hansen &amp; X.H.Wang, 2019")</f>
        <v>Dissingia leucomelaena (Pers.) K.Hansen &amp; X.H.Wang, 2019</v>
      </c>
      <c r="F7804" s="5" t="s">
        <v>10413</v>
      </c>
      <c r="V7804" s="7" t="str">
        <f>HYPERLINK("#Liste_rouge!A"&amp;_xlfn.XMATCH("EN",Liste_rouge!A:A,2,1),"EN")</f>
        <v>EN</v>
      </c>
      <c r="W7804" s="4" t="str">
        <f>HYPERLINK("#Critères_liste_rouge!A$1","B2abiii")</f>
        <v>B2abiii</v>
      </c>
      <c r="Z7804" s="4" t="s">
        <v>443</v>
      </c>
      <c r="AA7804" s="4" t="s">
        <v>444</v>
      </c>
      <c r="AH7804" s="4" t="str">
        <f>HYPERLINK("#Statut_biogéographique!A"&amp;_xlfn.XMATCH("P",Statut_biogéographique!A:A,2,1),"P")</f>
        <v>P</v>
      </c>
      <c r="AP7804" s="4" t="s">
        <v>376</v>
      </c>
      <c r="AR7804" s="4" t="s">
        <v>377</v>
      </c>
    </row>
    <row r="7805" spans="1:44" ht="30">
      <c r="A7805" s="4" t="s">
        <v>5</v>
      </c>
      <c r="B7805" s="4">
        <v>994015</v>
      </c>
      <c r="D7805" s="5" t="s">
        <v>10679</v>
      </c>
      <c r="E7805" s="6" t="str">
        <f>HYPERLINK("https://inpn.mnhn.fr/espece/cd_nom/994015","Phloeomana speirea (Fr.) Redhead, 2013")</f>
        <v>Phloeomana speirea (Fr.) Redhead, 2013</v>
      </c>
      <c r="V7805" s="7" t="str">
        <f>HYPERLINK("#Liste_rouge!A"&amp;_xlfn.XMATCH("LC",Liste_rouge!A:A,2,1),"LC")</f>
        <v>LC</v>
      </c>
      <c r="AH7805" s="4" t="str">
        <f>HYPERLINK("#Statut_biogéographique!A"&amp;_xlfn.XMATCH("P",Statut_biogéographique!A:A,2,1),"P")</f>
        <v>P</v>
      </c>
      <c r="AP7805" s="4" t="s">
        <v>376</v>
      </c>
      <c r="AR7805" s="4" t="s">
        <v>377</v>
      </c>
    </row>
    <row r="7806" spans="1:44" ht="45">
      <c r="A7806" s="4" t="s">
        <v>5</v>
      </c>
      <c r="B7806" s="4">
        <v>994043</v>
      </c>
      <c r="D7806" s="5" t="s">
        <v>10680</v>
      </c>
      <c r="E7806" s="6" t="str">
        <f>HYPERLINK("https://inpn.mnhn.fr/espece/cd_nom/994043","Phloeomana hiemalis (Osbeck) Redhead, 2016")</f>
        <v>Phloeomana hiemalis (Osbeck) Redhead, 2016</v>
      </c>
      <c r="V7806" s="7" t="str">
        <f>HYPERLINK("#Liste_rouge!A"&amp;_xlfn.XMATCH("LC",Liste_rouge!A:A,2,1),"LC")</f>
        <v>LC</v>
      </c>
      <c r="AH7806" s="4" t="str">
        <f>HYPERLINK("#Statut_biogéographique!A"&amp;_xlfn.XMATCH("P",Statut_biogéographique!A:A,2,1),"P")</f>
        <v>P</v>
      </c>
      <c r="AP7806" s="4" t="s">
        <v>376</v>
      </c>
      <c r="AR7806" s="4" t="s">
        <v>377</v>
      </c>
    </row>
    <row r="7807" spans="1:44" ht="30">
      <c r="A7807" s="4" t="s">
        <v>5</v>
      </c>
      <c r="B7807" s="4">
        <v>994063</v>
      </c>
      <c r="D7807" s="5" t="s">
        <v>10681</v>
      </c>
      <c r="E7807" s="6" t="str">
        <f>HYPERLINK("https://inpn.mnhn.fr/espece/cd_nom/994063","Phloeomana alba (Bres.) Redhead, 2016")</f>
        <v>Phloeomana alba (Bres.) Redhead, 2016</v>
      </c>
      <c r="AH7807" s="4" t="str">
        <f>HYPERLINK("#Statut_biogéographique!A"&amp;_xlfn.XMATCH("P",Statut_biogéographique!A:A,2,1),"P")</f>
        <v>P</v>
      </c>
      <c r="AP7807" s="4" t="s">
        <v>376</v>
      </c>
      <c r="AR7807" s="4" t="s">
        <v>377</v>
      </c>
    </row>
    <row r="7808" spans="1:44" ht="30">
      <c r="A7808" s="4" t="s">
        <v>5</v>
      </c>
      <c r="B7808" s="4">
        <v>994103</v>
      </c>
      <c r="D7808" s="5" t="s">
        <v>10682</v>
      </c>
      <c r="E7808" s="6" t="str">
        <f>HYPERLINK("https://inpn.mnhn.fr/espece/cd_nom/994103","Paragymnopus perforans (Hoffm.) J.S.Oliveira, 2019")</f>
        <v>Paragymnopus perforans (Hoffm.) J.S.Oliveira, 2019</v>
      </c>
      <c r="F7808" s="5" t="s">
        <v>10683</v>
      </c>
      <c r="V7808" s="7" t="str">
        <f>HYPERLINK("#Liste_rouge!A"&amp;_xlfn.XMATCH("LC",Liste_rouge!A:A,2,1),"LC")</f>
        <v>LC</v>
      </c>
      <c r="AH7808" s="4" t="str">
        <f>HYPERLINK("#Statut_biogéographique!A"&amp;_xlfn.XMATCH("P",Statut_biogéographique!A:A,2,1),"P")</f>
        <v>P</v>
      </c>
      <c r="AP7808" s="4" t="s">
        <v>376</v>
      </c>
      <c r="AR7808" s="4" t="s">
        <v>377</v>
      </c>
    </row>
    <row r="7809" spans="1:44" ht="45">
      <c r="A7809" s="4" t="s">
        <v>5</v>
      </c>
      <c r="B7809" s="4">
        <v>994181</v>
      </c>
      <c r="D7809" s="5" t="s">
        <v>10684</v>
      </c>
      <c r="E7809" s="6" t="str">
        <f>HYPERLINK("https://inpn.mnhn.fr/espece/cd_nom/994181","Leucocybe connata (Schumach.) Vizzini, P.Alvarado, G.Moreno &amp; Consiglio, 2015")</f>
        <v>Leucocybe connata (Schumach.) Vizzini, P.Alvarado, G.Moreno &amp; Consiglio, 2015</v>
      </c>
      <c r="F7809" s="5" t="s">
        <v>10685</v>
      </c>
      <c r="V7809" s="7" t="str">
        <f>HYPERLINK("#Liste_rouge!A"&amp;_xlfn.XMATCH("LC",Liste_rouge!A:A,2,1),"LC")</f>
        <v>LC</v>
      </c>
      <c r="AH7809" s="4" t="str">
        <f>HYPERLINK("#Statut_biogéographique!A"&amp;_xlfn.XMATCH("P",Statut_biogéographique!A:A,2,1),"P")</f>
        <v>P</v>
      </c>
      <c r="AP7809" s="4" t="s">
        <v>376</v>
      </c>
      <c r="AR7809" s="4" t="s">
        <v>377</v>
      </c>
    </row>
    <row r="7810" spans="1:44" ht="30">
      <c r="A7810" s="4" t="s">
        <v>5</v>
      </c>
      <c r="B7810" s="4">
        <v>994198</v>
      </c>
      <c r="D7810" s="5" t="s">
        <v>10686</v>
      </c>
      <c r="E7810" s="6" t="str">
        <f>HYPERLINK("https://inpn.mnhn.fr/espece/cd_nom/994198","Phaeotremella foliacea (Pers.) Wedin, J.C.Zamora &amp; Millanes, 2016")</f>
        <v>Phaeotremella foliacea (Pers.) Wedin, J.C.Zamora &amp; Millanes, 2016</v>
      </c>
      <c r="F7810" s="5" t="s">
        <v>10687</v>
      </c>
      <c r="V7810" s="7" t="str">
        <f>HYPERLINK("#Liste_rouge!A"&amp;_xlfn.XMATCH("LC",Liste_rouge!A:A,2,1),"LC")</f>
        <v>LC</v>
      </c>
      <c r="AH7810" s="4" t="str">
        <f>HYPERLINK("#Statut_biogéographique!A"&amp;_xlfn.XMATCH("P",Statut_biogéographique!A:A,2,1),"P")</f>
        <v>P</v>
      </c>
      <c r="AP7810" s="4" t="s">
        <v>376</v>
      </c>
      <c r="AR7810" s="4" t="s">
        <v>377</v>
      </c>
    </row>
    <row r="7811" spans="1:44" ht="30">
      <c r="A7811" s="4" t="s">
        <v>5</v>
      </c>
      <c r="B7811" s="4">
        <v>994287</v>
      </c>
      <c r="C7811" s="4">
        <v>1621</v>
      </c>
      <c r="D7811" s="5" t="s">
        <v>10688</v>
      </c>
      <c r="E7811" s="6" t="str">
        <f>HYPERLINK("https://inpn.mnhn.fr/espece/cd_nom/994287","Paracercosporidium microsorum (Sacc.) U.Braun, C.Nakash., Videira &amp; Crous, 2017")</f>
        <v>Paracercosporidium microsorum (Sacc.) U.Braun, C.Nakash., Videira &amp; Crous, 2017</v>
      </c>
      <c r="AH7811" s="4" t="str">
        <f>HYPERLINK("#Statut_biogéographique!A"&amp;_xlfn.XMATCH("P",Statut_biogéographique!A:A,2,1),"P")</f>
        <v>P</v>
      </c>
      <c r="AP7811" s="4" t="s">
        <v>376</v>
      </c>
      <c r="AR7811" s="4" t="s">
        <v>377</v>
      </c>
    </row>
    <row r="7812" spans="1:44" ht="30">
      <c r="A7812" s="4" t="s">
        <v>5</v>
      </c>
      <c r="B7812" s="4">
        <v>994300</v>
      </c>
      <c r="C7812" s="4">
        <v>4303</v>
      </c>
      <c r="D7812" s="5" t="s">
        <v>10689</v>
      </c>
      <c r="E7812" s="6" t="str">
        <f>HYPERLINK("https://inpn.mnhn.fr/espece/cd_nom/994300","Collariella bostrychodes (Zopf) X.Wei Wang &amp; Samson, 2016")</f>
        <v>Collariella bostrychodes (Zopf) X.Wei Wang &amp; Samson, 2016</v>
      </c>
      <c r="AH7812" s="4" t="str">
        <f>HYPERLINK("#Statut_biogéographique!A"&amp;_xlfn.XMATCH("P",Statut_biogéographique!A:A,2,1),"P")</f>
        <v>P</v>
      </c>
      <c r="AP7812" s="4" t="s">
        <v>376</v>
      </c>
      <c r="AR7812" s="4" t="s">
        <v>377</v>
      </c>
    </row>
    <row r="7813" spans="1:44" ht="30">
      <c r="A7813" s="4" t="s">
        <v>5</v>
      </c>
      <c r="B7813" s="4">
        <v>994301</v>
      </c>
      <c r="C7813" s="4">
        <v>5010</v>
      </c>
      <c r="D7813" s="5" t="s">
        <v>10690</v>
      </c>
      <c r="E7813" s="6" t="str">
        <f>HYPERLINK("https://inpn.mnhn.fr/espece/cd_nom/994301","Dichotomopilus funicola (Cooke) X.Wei Wang &amp; Samson, 2016")</f>
        <v>Dichotomopilus funicola (Cooke) X.Wei Wang &amp; Samson, 2016</v>
      </c>
      <c r="AH7813" s="4" t="str">
        <f>HYPERLINK("#Statut_biogéographique!A"&amp;_xlfn.XMATCH("P",Statut_biogéographique!A:A,2,1),"P")</f>
        <v>P</v>
      </c>
      <c r="AP7813" s="4" t="s">
        <v>376</v>
      </c>
      <c r="AR7813" s="4" t="s">
        <v>377</v>
      </c>
    </row>
    <row r="7814" spans="1:44" ht="30">
      <c r="A7814" s="4" t="s">
        <v>5</v>
      </c>
      <c r="B7814" s="4">
        <v>994302</v>
      </c>
      <c r="C7814" s="4">
        <v>4109</v>
      </c>
      <c r="D7814" s="5" t="s">
        <v>10691</v>
      </c>
      <c r="E7814" s="6" t="str">
        <f>HYPERLINK("https://inpn.mnhn.fr/espece/cd_nom/994302","Dichotomopilus indicus (Corda) X.Wei Wang &amp; Samson, 2016")</f>
        <v>Dichotomopilus indicus (Corda) X.Wei Wang &amp; Samson, 2016</v>
      </c>
      <c r="AH7814" s="4" t="str">
        <f>HYPERLINK("#Statut_biogéographique!A"&amp;_xlfn.XMATCH("P",Statut_biogéographique!A:A,2,1),"P")</f>
        <v>P</v>
      </c>
      <c r="AP7814" s="4" t="s">
        <v>376</v>
      </c>
      <c r="AR7814" s="4" t="s">
        <v>377</v>
      </c>
    </row>
    <row r="7815" spans="1:44" ht="30">
      <c r="A7815" s="4" t="s">
        <v>5</v>
      </c>
      <c r="B7815" s="4">
        <v>994392</v>
      </c>
      <c r="C7815" s="4">
        <v>621</v>
      </c>
      <c r="D7815" s="5" t="s">
        <v>10692</v>
      </c>
      <c r="E7815" s="6" t="str">
        <f>HYPERLINK("https://inpn.mnhn.fr/espece/cd_nom/994392","Leucocybe houghtonii (W.Phillips) Halama &amp; Pencakowski, 2017")</f>
        <v>Leucocybe houghtonii (W.Phillips) Halama &amp; Pencakowski, 2017</v>
      </c>
      <c r="F7815" s="5" t="s">
        <v>10693</v>
      </c>
      <c r="V7815" s="7" t="str">
        <f>HYPERLINK("#Liste_rouge!A"&amp;_xlfn.XMATCH("DD",Liste_rouge!A:A,2,1),"DD")</f>
        <v>DD</v>
      </c>
      <c r="Z7815" s="4" t="s">
        <v>443</v>
      </c>
      <c r="AA7815" s="4" t="s">
        <v>444</v>
      </c>
      <c r="AH7815" s="4" t="str">
        <f>HYPERLINK("#Statut_biogéographique!A"&amp;_xlfn.XMATCH("P",Statut_biogéographique!A:A,2,1),"P")</f>
        <v>P</v>
      </c>
      <c r="AP7815" s="4" t="s">
        <v>376</v>
      </c>
      <c r="AR7815" s="4" t="s">
        <v>377</v>
      </c>
    </row>
    <row r="7816" spans="1:44" ht="30">
      <c r="A7816" s="4" t="s">
        <v>5</v>
      </c>
      <c r="B7816" s="4">
        <v>994393</v>
      </c>
      <c r="D7816" s="5" t="s">
        <v>10694</v>
      </c>
      <c r="E7816" s="6" t="str">
        <f>HYPERLINK("https://inpn.mnhn.fr/espece/cd_nom/994393","Infundibulicybe meridionalis (Bon) Pérez-De-Greg., 2012")</f>
        <v>Infundibulicybe meridionalis (Bon) Pérez-De-Greg., 2012</v>
      </c>
      <c r="V7816" s="7" t="str">
        <f>HYPERLINK("#Liste_rouge!A"&amp;_xlfn.XMATCH("DD",Liste_rouge!A:A,2,1),"DD")</f>
        <v>DD</v>
      </c>
      <c r="AH7816" s="4" t="str">
        <f>HYPERLINK("#Statut_biogéographique!A"&amp;_xlfn.XMATCH("P",Statut_biogéographique!A:A,2,1),"P")</f>
        <v>P</v>
      </c>
      <c r="AP7816" s="4" t="s">
        <v>376</v>
      </c>
      <c r="AR7816" s="4" t="s">
        <v>377</v>
      </c>
    </row>
    <row r="7817" spans="1:44">
      <c r="A7817" s="4" t="s">
        <v>5</v>
      </c>
      <c r="B7817" s="4">
        <v>994399</v>
      </c>
      <c r="D7817" s="5" t="s">
        <v>10695</v>
      </c>
      <c r="E7817" s="6" t="str">
        <f>HYPERLINK("https://inpn.mnhn.fr/espece/cd_nom/994399","Bonomyces sinopicus (Fr.) Vizzini, 2014")</f>
        <v>Bonomyces sinopicus (Fr.) Vizzini, 2014</v>
      </c>
      <c r="F7817" s="5" t="s">
        <v>10696</v>
      </c>
      <c r="V7817" s="7" t="str">
        <f>HYPERLINK("#Liste_rouge!A"&amp;_xlfn.XMATCH("VU",Liste_rouge!A:A,2,1),"VU")</f>
        <v>VU</v>
      </c>
      <c r="W7817" s="4" t="str">
        <f>HYPERLINK("#Critères_liste_rouge!A$1","A2c")</f>
        <v>A2c</v>
      </c>
      <c r="AH7817" s="4" t="str">
        <f>HYPERLINK("#Statut_biogéographique!A"&amp;_xlfn.XMATCH("P",Statut_biogéographique!A:A,2,1),"P")</f>
        <v>P</v>
      </c>
      <c r="AP7817" s="4" t="s">
        <v>376</v>
      </c>
      <c r="AR7817" s="4" t="s">
        <v>377</v>
      </c>
    </row>
    <row r="7818" spans="1:44" ht="30">
      <c r="A7818" s="4" t="s">
        <v>5</v>
      </c>
      <c r="B7818" s="4">
        <v>994429</v>
      </c>
      <c r="C7818" s="4">
        <v>203</v>
      </c>
      <c r="D7818" s="5" t="s">
        <v>10697</v>
      </c>
      <c r="E7818" s="6" t="str">
        <f>HYPERLINK("https://inpn.mnhn.fr/espece/cd_nom/994429","Coprinopsis cortinata (J.E.Lange) Gminder, 2010")</f>
        <v>Coprinopsis cortinata (J.E.Lange) Gminder, 2010</v>
      </c>
      <c r="F7818" s="5" t="s">
        <v>10698</v>
      </c>
      <c r="V7818" s="7" t="str">
        <f>HYPERLINK("#Liste_rouge!A"&amp;_xlfn.XMATCH("DD",Liste_rouge!A:A,2,1),"DD")</f>
        <v>DD</v>
      </c>
      <c r="AH7818" s="4" t="str">
        <f>HYPERLINK("#Statut_biogéographique!A"&amp;_xlfn.XMATCH("P",Statut_biogéographique!A:A,2,1),"P")</f>
        <v>P</v>
      </c>
      <c r="AP7818" s="4" t="s">
        <v>376</v>
      </c>
      <c r="AR7818" s="4" t="s">
        <v>377</v>
      </c>
    </row>
    <row r="7819" spans="1:44">
      <c r="A7819" s="4" t="s">
        <v>5</v>
      </c>
      <c r="B7819" s="4">
        <v>994432</v>
      </c>
      <c r="C7819" s="4">
        <v>770</v>
      </c>
      <c r="D7819" s="5" t="s">
        <v>10699</v>
      </c>
      <c r="E7819" s="6" t="str">
        <f>HYPERLINK("https://inpn.mnhn.fr/espece/cd_nom/994432","Coprinellus congregatus (Bull.) P.Karst., 1879")</f>
        <v>Coprinellus congregatus (Bull.) P.Karst., 1879</v>
      </c>
      <c r="F7819" s="5" t="s">
        <v>10700</v>
      </c>
      <c r="V7819" s="7" t="str">
        <f>HYPERLINK("#Liste_rouge!A"&amp;_xlfn.XMATCH("DD",Liste_rouge!A:A,2,1),"DD")</f>
        <v>DD</v>
      </c>
      <c r="AH7819" s="4" t="str">
        <f>HYPERLINK("#Statut_biogéographique!A"&amp;_xlfn.XMATCH("P",Statut_biogéographique!A:A,2,1),"P")</f>
        <v>P</v>
      </c>
      <c r="AP7819" s="4" t="s">
        <v>376</v>
      </c>
      <c r="AR7819" s="4" t="s">
        <v>377</v>
      </c>
    </row>
    <row r="7820" spans="1:44">
      <c r="A7820" s="4" t="s">
        <v>5</v>
      </c>
      <c r="B7820" s="4">
        <v>994441</v>
      </c>
      <c r="C7820" s="4">
        <v>7226</v>
      </c>
      <c r="D7820" s="5" t="s">
        <v>10701</v>
      </c>
      <c r="E7820" s="6" t="str">
        <f>HYPERLINK("https://inpn.mnhn.fr/espece/cd_nom/994441","Coprinellus silvaticus (Peck) Gminder, 2010")</f>
        <v>Coprinellus silvaticus (Peck) Gminder, 2010</v>
      </c>
      <c r="F7820" s="5" t="s">
        <v>9820</v>
      </c>
      <c r="V7820" s="7" t="str">
        <f>HYPERLINK("#Liste_rouge!A"&amp;_xlfn.XMATCH("DD",Liste_rouge!A:A,2,1),"DD")</f>
        <v>DD</v>
      </c>
      <c r="AH7820" s="4" t="str">
        <f>HYPERLINK("#Statut_biogéographique!A"&amp;_xlfn.XMATCH("P",Statut_biogéographique!A:A,2,1),"P")</f>
        <v>P</v>
      </c>
      <c r="AP7820" s="4" t="s">
        <v>376</v>
      </c>
      <c r="AR7820" s="4" t="s">
        <v>377</v>
      </c>
    </row>
    <row r="7821" spans="1:44" ht="30">
      <c r="A7821" s="4" t="s">
        <v>5</v>
      </c>
      <c r="B7821" s="4">
        <v>994492</v>
      </c>
      <c r="C7821" s="4">
        <v>3331</v>
      </c>
      <c r="D7821" s="5" t="s">
        <v>10702</v>
      </c>
      <c r="E7821" s="6" t="str">
        <f>HYPERLINK("https://inpn.mnhn.fr/espece/cd_nom/994492","Lactifluus vellereus (Fr.) Kuntze, 1891")</f>
        <v>Lactifluus vellereus (Fr.) Kuntze, 1891</v>
      </c>
      <c r="F7821" s="5" t="s">
        <v>492</v>
      </c>
      <c r="V7821" s="7" t="str">
        <f>HYPERLINK("#Liste_rouge!A"&amp;_xlfn.XMATCH("LC",Liste_rouge!A:A,2,1),"LC")</f>
        <v>LC</v>
      </c>
      <c r="AH7821" s="4" t="str">
        <f>HYPERLINK("#Statut_biogéographique!A"&amp;_xlfn.XMATCH("P",Statut_biogéographique!A:A,2,1),"P")</f>
        <v>P</v>
      </c>
      <c r="AP7821" s="4" t="s">
        <v>376</v>
      </c>
      <c r="AR7821" s="4" t="s">
        <v>377</v>
      </c>
    </row>
    <row r="7822" spans="1:44">
      <c r="A7822" s="4" t="s">
        <v>5</v>
      </c>
      <c r="B7822" s="4">
        <v>994907</v>
      </c>
      <c r="D7822" s="5" t="s">
        <v>10703</v>
      </c>
      <c r="E7822" s="6" t="str">
        <f>HYPERLINK("https://inpn.mnhn.fr/espece/cd_nom/994907","Lactifluus piperatus (L.) Roussel, 1806")</f>
        <v>Lactifluus piperatus (L.) Roussel, 1806</v>
      </c>
      <c r="F7822" s="5" t="s">
        <v>2466</v>
      </c>
      <c r="V7822" s="7" t="str">
        <f>HYPERLINK("#Liste_rouge!A"&amp;_xlfn.XMATCH("LC",Liste_rouge!A:A,2,1),"LC")</f>
        <v>LC</v>
      </c>
      <c r="AH7822" s="4" t="str">
        <f>HYPERLINK("#Statut_biogéographique!A"&amp;_xlfn.XMATCH("P",Statut_biogéographique!A:A,2,1),"P")</f>
        <v>P</v>
      </c>
      <c r="AP7822" s="4" t="s">
        <v>376</v>
      </c>
      <c r="AR7822" s="4" t="s">
        <v>377</v>
      </c>
    </row>
    <row r="7823" spans="1:44" ht="30">
      <c r="A7823" s="4" t="s">
        <v>5</v>
      </c>
      <c r="B7823" s="4">
        <v>994911</v>
      </c>
      <c r="D7823" s="5" t="s">
        <v>10704</v>
      </c>
      <c r="E7823" s="6" t="str">
        <f>HYPERLINK("https://inpn.mnhn.fr/espece/cd_nom/994911","Lactifluus bertillonii (Neuhoff ex Z.Schaef.) Verbeken, 2011")</f>
        <v>Lactifluus bertillonii (Neuhoff ex Z.Schaef.) Verbeken, 2011</v>
      </c>
      <c r="F7823" s="5" t="s">
        <v>10705</v>
      </c>
      <c r="V7823" s="7" t="str">
        <f>HYPERLINK("#Liste_rouge!A"&amp;_xlfn.XMATCH("EN",Liste_rouge!A:A,2,1),"EN")</f>
        <v>EN</v>
      </c>
      <c r="W7823" s="4" t="str">
        <f>HYPERLINK("#Critères_liste_rouge!A$1","B2abiii")</f>
        <v>B2abiii</v>
      </c>
      <c r="AH7823" s="4" t="str">
        <f>HYPERLINK("#Statut_biogéographique!A"&amp;_xlfn.XMATCH("P",Statut_biogéographique!A:A,2,1),"P")</f>
        <v>P</v>
      </c>
      <c r="AP7823" s="4" t="s">
        <v>376</v>
      </c>
      <c r="AR7823" s="4" t="s">
        <v>377</v>
      </c>
    </row>
    <row r="7824" spans="1:44" ht="30">
      <c r="A7824" s="4" t="s">
        <v>5</v>
      </c>
      <c r="B7824" s="4">
        <v>994918</v>
      </c>
      <c r="C7824" s="4">
        <v>3861</v>
      </c>
      <c r="D7824" s="5" t="s">
        <v>10706</v>
      </c>
      <c r="E7824" s="6" t="str">
        <f>HYPERLINK("https://inpn.mnhn.fr/espece/cd_nom/994918","Tolypocladium rouxii (Cand.) C.A.Quandt, Kepler &amp; Spatafora, 2014")</f>
        <v>Tolypocladium rouxii (Cand.) C.A.Quandt, Kepler &amp; Spatafora, 2014</v>
      </c>
      <c r="F7824" s="5" t="s">
        <v>10707</v>
      </c>
      <c r="AH7824" s="4" t="str">
        <f>HYPERLINK("#Statut_biogéographique!A"&amp;_xlfn.XMATCH("P",Statut_biogéographique!A:A,2,1),"P")</f>
        <v>P</v>
      </c>
      <c r="AP7824" s="4" t="s">
        <v>376</v>
      </c>
      <c r="AR7824" s="4" t="s">
        <v>377</v>
      </c>
    </row>
    <row r="7825" spans="1:44" ht="30">
      <c r="A7825" s="4" t="s">
        <v>5</v>
      </c>
      <c r="B7825" s="4">
        <v>994949</v>
      </c>
      <c r="D7825" s="5" t="s">
        <v>10708</v>
      </c>
      <c r="E7825" s="6" t="str">
        <f>HYPERLINK("https://inpn.mnhn.fr/espece/cd_nom/994949","Laeticutis cristata (Schaeff.) Audet, 2010")</f>
        <v>Laeticutis cristata (Schaeff.) Audet, 2010</v>
      </c>
      <c r="F7825" s="5" t="s">
        <v>4204</v>
      </c>
      <c r="V7825" s="7" t="str">
        <f>HYPERLINK("#Liste_rouge!A"&amp;_xlfn.XMATCH("LC",Liste_rouge!A:A,2,1),"LC")</f>
        <v>LC</v>
      </c>
      <c r="AH7825" s="4" t="str">
        <f>HYPERLINK("#Statut_biogéographique!A"&amp;_xlfn.XMATCH("P",Statut_biogéographique!A:A,2,1),"P")</f>
        <v>P</v>
      </c>
      <c r="AP7825" s="4" t="s">
        <v>376</v>
      </c>
      <c r="AR7825" s="4" t="s">
        <v>377</v>
      </c>
    </row>
    <row r="7826" spans="1:44" ht="30">
      <c r="A7826" s="4" t="s">
        <v>5</v>
      </c>
      <c r="B7826" s="4">
        <v>994954</v>
      </c>
      <c r="D7826" s="5" t="s">
        <v>10709</v>
      </c>
      <c r="E7826" s="6" t="str">
        <f>HYPERLINK("https://inpn.mnhn.fr/espece/cd_nom/994954","Pappia fissilis (Berk. &amp; M.A.Curtis) Zmitr., 2018")</f>
        <v>Pappia fissilis (Berk. &amp; M.A.Curtis) Zmitr., 2018</v>
      </c>
      <c r="V7826" s="7" t="str">
        <f>HYPERLINK("#Liste_rouge!A"&amp;_xlfn.XMATCH("NT",Liste_rouge!A:A,2,1),"NT")</f>
        <v>NT</v>
      </c>
      <c r="W7826" s="4" t="str">
        <f>HYPERLINK("#Critères_liste_rouge!A$1","pr. B2abiii")</f>
        <v>pr. B2abiii</v>
      </c>
      <c r="AH7826" s="4" t="str">
        <f>HYPERLINK("#Statut_biogéographique!A"&amp;_xlfn.XMATCH("P",Statut_biogéographique!A:A,2,1),"P")</f>
        <v>P</v>
      </c>
      <c r="AP7826" s="4" t="s">
        <v>376</v>
      </c>
      <c r="AR7826" s="4" t="s">
        <v>377</v>
      </c>
    </row>
    <row r="7827" spans="1:44" ht="30">
      <c r="A7827" s="4" t="s">
        <v>5</v>
      </c>
      <c r="B7827" s="4">
        <v>994959</v>
      </c>
      <c r="D7827" s="5" t="s">
        <v>10710</v>
      </c>
      <c r="E7827" s="6" t="str">
        <f>HYPERLINK("https://inpn.mnhn.fr/espece/cd_nom/994959","Cerioporus varius (Pers.) Zmitr. &amp; Kovalenko, 2016")</f>
        <v>Cerioporus varius (Pers.) Zmitr. &amp; Kovalenko, 2016</v>
      </c>
      <c r="F7827" s="5" t="s">
        <v>10711</v>
      </c>
      <c r="AH7827" s="4" t="str">
        <f>HYPERLINK("#Statut_biogéographique!A"&amp;_xlfn.XMATCH("P",Statut_biogéographique!A:A,2,1),"P")</f>
        <v>P</v>
      </c>
      <c r="AP7827" s="4" t="s">
        <v>376</v>
      </c>
      <c r="AR7827" s="4" t="s">
        <v>377</v>
      </c>
    </row>
    <row r="7828" spans="1:44" ht="30">
      <c r="A7828" s="4" t="s">
        <v>5</v>
      </c>
      <c r="B7828" s="4">
        <v>994961</v>
      </c>
      <c r="C7828" s="4">
        <v>3466</v>
      </c>
      <c r="D7828" s="5">
        <v>47300</v>
      </c>
      <c r="E7828" s="6" t="str">
        <f>HYPERLINK("https://inpn.mnhn.fr/espece/cd_nom/994961","Sclerencoelia fascicularis (Alb. &amp; Schwein.) Pärtel &amp; Baral, 2016")</f>
        <v>Sclerencoelia fascicularis (Alb. &amp; Schwein.) Pärtel &amp; Baral, 2016</v>
      </c>
      <c r="F7828" s="5" t="s">
        <v>10712</v>
      </c>
      <c r="V7828" s="7" t="str">
        <f>HYPERLINK("#Liste_rouge!A"&amp;_xlfn.XMATCH("VU",Liste_rouge!A:A,2,1),"VU")</f>
        <v>VU</v>
      </c>
      <c r="W7828" s="4" t="str">
        <f>HYPERLINK("#Critères_liste_rouge!A$1","D2")</f>
        <v>D2</v>
      </c>
      <c r="Z7828" s="4" t="s">
        <v>443</v>
      </c>
      <c r="AA7828" s="4" t="s">
        <v>444</v>
      </c>
      <c r="AH7828" s="4" t="str">
        <f>HYPERLINK("#Statut_biogéographique!A"&amp;_xlfn.XMATCH("P",Statut_biogéographique!A:A,2,1),"P")</f>
        <v>P</v>
      </c>
      <c r="AP7828" s="4" t="s">
        <v>376</v>
      </c>
      <c r="AR7828" s="4" t="s">
        <v>377</v>
      </c>
    </row>
    <row r="7829" spans="1:44" ht="30">
      <c r="A7829" s="4" t="s">
        <v>5</v>
      </c>
      <c r="B7829" s="4">
        <v>994968</v>
      </c>
      <c r="D7829" s="5" t="s">
        <v>10713</v>
      </c>
      <c r="E7829" s="6" t="str">
        <f>HYPERLINK("https://inpn.mnhn.fr/espece/cd_nom/994968","Lentinus arcularius (Batsch) Zmitr., 2010")</f>
        <v>Lentinus arcularius (Batsch) Zmitr., 2010</v>
      </c>
      <c r="F7829" s="5" t="s">
        <v>3740</v>
      </c>
      <c r="V7829" s="7" t="str">
        <f>HYPERLINK("#Liste_rouge!A"&amp;_xlfn.XMATCH("NT",Liste_rouge!A:A,2,1),"NT")</f>
        <v>NT</v>
      </c>
      <c r="W7829" s="4" t="str">
        <f>HYPERLINK("#Critères_liste_rouge!A$1","pr. B2abiii")</f>
        <v>pr. B2abiii</v>
      </c>
      <c r="AH7829" s="4" t="str">
        <f>HYPERLINK("#Statut_biogéographique!A"&amp;_xlfn.XMATCH("P",Statut_biogéographique!A:A,2,1),"P")</f>
        <v>P</v>
      </c>
      <c r="AP7829" s="4" t="s">
        <v>376</v>
      </c>
      <c r="AR7829" s="4" t="s">
        <v>377</v>
      </c>
    </row>
    <row r="7830" spans="1:44" ht="30">
      <c r="A7830" s="4" t="s">
        <v>5</v>
      </c>
      <c r="B7830" s="4">
        <v>994973</v>
      </c>
      <c r="C7830" s="4">
        <v>6398</v>
      </c>
      <c r="D7830" s="5" t="s">
        <v>10714</v>
      </c>
      <c r="E7830" s="6" t="str">
        <f>HYPERLINK("https://inpn.mnhn.fr/espece/cd_nom/994973","Chlorociboria glauca (Dennis) Baral &amp; Pärtel, 2016")</f>
        <v>Chlorociboria glauca (Dennis) Baral &amp; Pärtel, 2016</v>
      </c>
      <c r="AH7830" s="4" t="str">
        <f>HYPERLINK("#Statut_biogéographique!A"&amp;_xlfn.XMATCH("P",Statut_biogéographique!A:A,2,1),"P")</f>
        <v>P</v>
      </c>
      <c r="AP7830" s="4" t="s">
        <v>376</v>
      </c>
      <c r="AR7830" s="4" t="s">
        <v>377</v>
      </c>
    </row>
    <row r="7831" spans="1:44" ht="60">
      <c r="A7831" s="4" t="s">
        <v>5</v>
      </c>
      <c r="B7831" s="4">
        <v>994976</v>
      </c>
      <c r="C7831" s="4">
        <v>3571</v>
      </c>
      <c r="D7831" s="5" t="s">
        <v>10715</v>
      </c>
      <c r="E7831" s="6" t="str">
        <f>HYPERLINK("https://inpn.mnhn.fr/espece/cd_nom/994976","Peroneutypa scoparia (Schwein.) Carmarán &amp; A.I.Romero, 2006")</f>
        <v>Peroneutypa scoparia (Schwein.) Carmarán &amp; A.I.Romero, 2006</v>
      </c>
      <c r="AH7831" s="4" t="str">
        <f>HYPERLINK("#Statut_biogéographique!A"&amp;_xlfn.XMATCH("P",Statut_biogéographique!A:A,2,1),"P")</f>
        <v>P</v>
      </c>
      <c r="AP7831" s="4" t="s">
        <v>376</v>
      </c>
      <c r="AR7831" s="4" t="s">
        <v>377</v>
      </c>
    </row>
    <row r="7832" spans="1:44" ht="30">
      <c r="A7832" s="4" t="s">
        <v>5</v>
      </c>
      <c r="B7832" s="4">
        <v>994991</v>
      </c>
      <c r="C7832" s="4">
        <v>5452</v>
      </c>
      <c r="D7832" s="5" t="s">
        <v>10716</v>
      </c>
      <c r="E7832" s="6" t="str">
        <f>HYPERLINK("https://inpn.mnhn.fr/espece/cd_nom/994991","Dissingia confusa (Harmaja) K.Hansen &amp; X.H.Wang, 2019")</f>
        <v>Dissingia confusa (Harmaja) K.Hansen &amp; X.H.Wang, 2019</v>
      </c>
      <c r="F7832" s="5" t="s">
        <v>10717</v>
      </c>
      <c r="V7832" s="7" t="str">
        <f>HYPERLINK("#Liste_rouge!A"&amp;_xlfn.XMATCH("DD",Liste_rouge!A:A,2,1),"DD")</f>
        <v>DD</v>
      </c>
      <c r="AH7832" s="4" t="str">
        <f>HYPERLINK("#Statut_biogéographique!A"&amp;_xlfn.XMATCH("P",Statut_biogéographique!A:A,2,1),"P")</f>
        <v>P</v>
      </c>
      <c r="AP7832" s="4" t="s">
        <v>376</v>
      </c>
      <c r="AR7832" s="4" t="s">
        <v>377</v>
      </c>
    </row>
    <row r="7833" spans="1:44" ht="45">
      <c r="A7833" s="4" t="s">
        <v>5</v>
      </c>
      <c r="B7833" s="4">
        <v>994995</v>
      </c>
      <c r="C7833" s="4">
        <v>3042</v>
      </c>
      <c r="D7833" s="5" t="s">
        <v>10718</v>
      </c>
      <c r="E7833" s="6" t="str">
        <f>HYPERLINK("https://inpn.mnhn.fr/espece/cd_nom/994995","Porpolomopsis calyptriformis (Berk.) Bresinsky, 2008")</f>
        <v>Porpolomopsis calyptriformis (Berk.) Bresinsky, 2008</v>
      </c>
      <c r="F7833" s="5" t="s">
        <v>10719</v>
      </c>
      <c r="O7833" s="7" t="str">
        <f>HYPERLINK("#Liste_rouge!A"&amp;_xlfn.XMATCH("VU",Liste_rouge!A:A,2,1),"VU")</f>
        <v>VU</v>
      </c>
      <c r="V7833" s="7" t="str">
        <f>HYPERLINK("#Liste_rouge!A"&amp;_xlfn.XMATCH("LC",Liste_rouge!A:A,2,1),"LC")</f>
        <v>LC</v>
      </c>
      <c r="Z7833" s="4" t="s">
        <v>695</v>
      </c>
      <c r="AA7833" s="4" t="s">
        <v>696</v>
      </c>
      <c r="AH7833" s="4" t="str">
        <f>HYPERLINK("#Statut_biogéographique!A"&amp;_xlfn.XMATCH("P",Statut_biogéographique!A:A,2,1),"P")</f>
        <v>P</v>
      </c>
      <c r="AP7833" s="4" t="s">
        <v>376</v>
      </c>
      <c r="AR7833" s="4" t="s">
        <v>377</v>
      </c>
    </row>
    <row r="7834" spans="1:44" ht="30">
      <c r="A7834" s="4" t="s">
        <v>5</v>
      </c>
      <c r="B7834" s="4">
        <v>995001</v>
      </c>
      <c r="C7834" s="4">
        <v>3361</v>
      </c>
      <c r="D7834" s="5" t="s">
        <v>10720</v>
      </c>
      <c r="E7834" s="6" t="str">
        <f>HYPERLINK("https://inpn.mnhn.fr/espece/cd_nom/995001","Xylodon rimosissimus (Peck) Hjortstam &amp; Ryvarden, 2009")</f>
        <v>Xylodon rimosissimus (Peck) Hjortstam &amp; Ryvarden, 2009</v>
      </c>
      <c r="V7834" s="7" t="str">
        <f>HYPERLINK("#Liste_rouge!A"&amp;_xlfn.XMATCH("DD",Liste_rouge!A:A,2,1),"DD")</f>
        <v>DD</v>
      </c>
      <c r="AH7834" s="4" t="str">
        <f>HYPERLINK("#Statut_biogéographique!A"&amp;_xlfn.XMATCH("P",Statut_biogéographique!A:A,2,1),"P")</f>
        <v>P</v>
      </c>
      <c r="AP7834" s="4" t="s">
        <v>376</v>
      </c>
      <c r="AR7834" s="4" t="s">
        <v>377</v>
      </c>
    </row>
    <row r="7835" spans="1:44" ht="30">
      <c r="A7835" s="4" t="s">
        <v>5</v>
      </c>
      <c r="B7835" s="4">
        <v>995003</v>
      </c>
      <c r="C7835" s="4">
        <v>3321</v>
      </c>
      <c r="D7835" s="5" t="s">
        <v>10721</v>
      </c>
      <c r="E7835" s="6" t="str">
        <f>HYPERLINK("https://inpn.mnhn.fr/espece/cd_nom/995003","Trichoderma citrinum (Pers.) Jaklitsch, W.Gams &amp; Voglmayr, 2014")</f>
        <v>Trichoderma citrinum (Pers.) Jaklitsch, W.Gams &amp; Voglmayr, 2014</v>
      </c>
      <c r="F7835" s="5" t="s">
        <v>10722</v>
      </c>
      <c r="V7835" s="7" t="str">
        <f>HYPERLINK("#Liste_rouge!A"&amp;_xlfn.XMATCH("EN",Liste_rouge!A:A,2,1),"EN")</f>
        <v>EN</v>
      </c>
      <c r="W7835" s="4" t="str">
        <f>HYPERLINK("#Critères_liste_rouge!A$1","B2abiii")</f>
        <v>B2abiii</v>
      </c>
      <c r="Z7835" s="4" t="s">
        <v>443</v>
      </c>
      <c r="AA7835" s="4" t="s">
        <v>444</v>
      </c>
      <c r="AH7835" s="4" t="str">
        <f>HYPERLINK("#Statut_biogéographique!A"&amp;_xlfn.XMATCH("P",Statut_biogéographique!A:A,2,1),"P")</f>
        <v>P</v>
      </c>
      <c r="AP7835" s="4" t="s">
        <v>376</v>
      </c>
      <c r="AR7835" s="4" t="s">
        <v>377</v>
      </c>
    </row>
    <row r="7836" spans="1:44" ht="30">
      <c r="A7836" s="4" t="s">
        <v>5</v>
      </c>
      <c r="B7836" s="4">
        <v>995008</v>
      </c>
      <c r="C7836" s="4">
        <v>3455</v>
      </c>
      <c r="D7836" s="5" t="s">
        <v>10723</v>
      </c>
      <c r="E7836" s="6" t="str">
        <f>HYPERLINK("https://inpn.mnhn.fr/espece/cd_nom/995008","Trichoderma pulvinatum (Fuckel) Jaklitsch &amp; Voglmayr, 2014")</f>
        <v>Trichoderma pulvinatum (Fuckel) Jaklitsch &amp; Voglmayr, 2014</v>
      </c>
      <c r="F7836" s="5" t="s">
        <v>10724</v>
      </c>
      <c r="V7836" s="7" t="str">
        <f>HYPERLINK("#Liste_rouge!A"&amp;_xlfn.XMATCH("LC",Liste_rouge!A:A,2,1),"LC")</f>
        <v>LC</v>
      </c>
      <c r="AH7836" s="4" t="str">
        <f>HYPERLINK("#Statut_biogéographique!A"&amp;_xlfn.XMATCH("P",Statut_biogéographique!A:A,2,1),"P")</f>
        <v>P</v>
      </c>
      <c r="AP7836" s="4" t="s">
        <v>376</v>
      </c>
      <c r="AR7836" s="4" t="s">
        <v>377</v>
      </c>
    </row>
    <row r="7837" spans="1:44">
      <c r="A7837" s="4" t="s">
        <v>5</v>
      </c>
      <c r="B7837" s="4">
        <v>995015</v>
      </c>
      <c r="C7837" s="4">
        <v>6361</v>
      </c>
      <c r="D7837" s="5" t="s">
        <v>10725</v>
      </c>
      <c r="E7837" s="6" t="str">
        <f>HYPERLINK("https://inpn.mnhn.fr/espece/cd_nom/995015","Butyrea luteoalba (P.Karst.) Miettinen, 2016")</f>
        <v>Butyrea luteoalba (P.Karst.) Miettinen, 2016</v>
      </c>
      <c r="AH7837" s="4" t="str">
        <f>HYPERLINK("#Statut_biogéographique!A"&amp;_xlfn.XMATCH("P",Statut_biogéographique!A:A,2,1),"P")</f>
        <v>P</v>
      </c>
      <c r="AP7837" s="4" t="s">
        <v>376</v>
      </c>
      <c r="AR7837" s="4" t="s">
        <v>377</v>
      </c>
    </row>
    <row r="7838" spans="1:44" ht="30">
      <c r="A7838" s="4" t="s">
        <v>5</v>
      </c>
      <c r="B7838" s="4">
        <v>995019</v>
      </c>
      <c r="D7838" s="5" t="s">
        <v>10726</v>
      </c>
      <c r="E7838" s="6" t="str">
        <f>HYPERLINK("https://inpn.mnhn.fr/espece/cd_nom/995019","Lactifluus glaucescens (Crossl.) Verbeken, 2012")</f>
        <v>Lactifluus glaucescens (Crossl.) Verbeken, 2012</v>
      </c>
      <c r="F7838" s="5" t="s">
        <v>745</v>
      </c>
      <c r="V7838" s="7" t="str">
        <f>HYPERLINK("#Liste_rouge!A"&amp;_xlfn.XMATCH("LC",Liste_rouge!A:A,2,1),"LC")</f>
        <v>LC</v>
      </c>
      <c r="AH7838" s="4" t="str">
        <f>HYPERLINK("#Statut_biogéographique!A"&amp;_xlfn.XMATCH("P",Statut_biogéographique!A:A,2,1),"P")</f>
        <v>P</v>
      </c>
      <c r="AP7838" s="4" t="s">
        <v>376</v>
      </c>
      <c r="AR7838" s="4" t="s">
        <v>377</v>
      </c>
    </row>
    <row r="7839" spans="1:44" ht="60">
      <c r="A7839" s="4" t="s">
        <v>5</v>
      </c>
      <c r="B7839" s="4">
        <v>995134</v>
      </c>
      <c r="C7839" s="4">
        <v>2773</v>
      </c>
      <c r="D7839" s="5" t="s">
        <v>10727</v>
      </c>
      <c r="E7839" s="6" t="str">
        <f>HYPERLINK("https://inpn.mnhn.fr/espece/cd_nom/995134","Xanthonectria pseudopeziza (Desm.) Lechat, J.Fourn. &amp; P.-A.Moreau, 2016")</f>
        <v>Xanthonectria pseudopeziza (Desm.) Lechat, J.Fourn. &amp; P.-A.Moreau, 2016</v>
      </c>
      <c r="AH7839" s="4" t="str">
        <f>HYPERLINK("#Statut_biogéographique!A"&amp;_xlfn.XMATCH("P",Statut_biogéographique!A:A,2,1),"P")</f>
        <v>P</v>
      </c>
      <c r="AP7839" s="4" t="s">
        <v>376</v>
      </c>
      <c r="AR7839" s="4" t="s">
        <v>377</v>
      </c>
    </row>
    <row r="7840" spans="1:44">
      <c r="A7840" s="4" t="s">
        <v>5</v>
      </c>
      <c r="B7840" s="4">
        <v>995188</v>
      </c>
      <c r="D7840" s="5" t="s">
        <v>10728</v>
      </c>
      <c r="E7840" s="6" t="str">
        <f>HYPERLINK("https://inpn.mnhn.fr/espece/cd_nom/995188","Legaliana badia (Pers.) Van Vooren, 2020")</f>
        <v>Legaliana badia (Pers.) Van Vooren, 2020</v>
      </c>
      <c r="V7840" s="7" t="str">
        <f>HYPERLINK("#Liste_rouge!A"&amp;_xlfn.XMATCH("LC",Liste_rouge!A:A,2,1),"LC")</f>
        <v>LC</v>
      </c>
      <c r="AH7840" s="4" t="str">
        <f>HYPERLINK("#Statut_biogéographique!A"&amp;_xlfn.XMATCH("P",Statut_biogéographique!A:A,2,1),"P")</f>
        <v>P</v>
      </c>
      <c r="AP7840" s="4" t="s">
        <v>376</v>
      </c>
      <c r="AR7840" s="4" t="s">
        <v>377</v>
      </c>
    </row>
    <row r="7841" spans="1:44" ht="30">
      <c r="A7841" s="4" t="s">
        <v>5</v>
      </c>
      <c r="B7841" s="4">
        <v>995208</v>
      </c>
      <c r="D7841" s="5" t="s">
        <v>10729</v>
      </c>
      <c r="E7841" s="6" t="str">
        <f>HYPERLINK("https://inpn.mnhn.fr/espece/cd_nom/995208","Paragalactinia michelii (Boud.) Van Vooren, 2020")</f>
        <v>Paragalactinia michelii (Boud.) Van Vooren, 2020</v>
      </c>
      <c r="V7841" s="7" t="str">
        <f>HYPERLINK("#Liste_rouge!A"&amp;_xlfn.XMATCH("LC",Liste_rouge!A:A,2,1),"LC")</f>
        <v>LC</v>
      </c>
      <c r="AH7841" s="4" t="str">
        <f>HYPERLINK("#Statut_biogéographique!A"&amp;_xlfn.XMATCH("P",Statut_biogéographique!A:A,2,1),"P")</f>
        <v>P</v>
      </c>
      <c r="AP7841" s="4" t="s">
        <v>376</v>
      </c>
      <c r="AR7841" s="4" t="s">
        <v>377</v>
      </c>
    </row>
    <row r="7842" spans="1:44" ht="30">
      <c r="A7842" s="4" t="s">
        <v>5</v>
      </c>
      <c r="B7842" s="4">
        <v>995241</v>
      </c>
      <c r="D7842" s="5" t="s">
        <v>10730</v>
      </c>
      <c r="E7842" s="6" t="str">
        <f>HYPERLINK("https://inpn.mnhn.fr/espece/cd_nom/995241","Typhrasa gossypina (Bull.) Örstadius &amp; E.Larss., 2015")</f>
        <v>Typhrasa gossypina (Bull.) Örstadius &amp; E.Larss., 2015</v>
      </c>
      <c r="V7842" s="7" t="str">
        <f>HYPERLINK("#Liste_rouge!A"&amp;_xlfn.XMATCH("LC",Liste_rouge!A:A,2,1),"LC")</f>
        <v>LC</v>
      </c>
      <c r="AH7842" s="4" t="str">
        <f>HYPERLINK("#Statut_biogéographique!A"&amp;_xlfn.XMATCH("P",Statut_biogéographique!A:A,2,1),"P")</f>
        <v>P</v>
      </c>
      <c r="AP7842" s="4" t="s">
        <v>376</v>
      </c>
      <c r="AR7842" s="4" t="s">
        <v>377</v>
      </c>
    </row>
    <row r="7843" spans="1:44" ht="30">
      <c r="A7843" s="4" t="s">
        <v>5</v>
      </c>
      <c r="B7843" s="4">
        <v>995250</v>
      </c>
      <c r="D7843" s="5" t="s">
        <v>10731</v>
      </c>
      <c r="E7843" s="6" t="str">
        <f>HYPERLINK("https://inpn.mnhn.fr/espece/cd_nom/995250","Protostropharia luteonitens (Fr.) Redhead, 2014")</f>
        <v>Protostropharia luteonitens (Fr.) Redhead, 2014</v>
      </c>
      <c r="V7843" s="7" t="str">
        <f>HYPERLINK("#Liste_rouge!A"&amp;_xlfn.XMATCH("NT",Liste_rouge!A:A,2,1),"NT")</f>
        <v>NT</v>
      </c>
      <c r="W7843" s="4" t="str">
        <f>HYPERLINK("#Critères_liste_rouge!A$1","pr. B2abiii")</f>
        <v>pr. B2abiii</v>
      </c>
      <c r="AH7843" s="4" t="str">
        <f>HYPERLINK("#Statut_biogéographique!A"&amp;_xlfn.XMATCH("P",Statut_biogéographique!A:A,2,1),"P")</f>
        <v>P</v>
      </c>
      <c r="AP7843" s="4" t="s">
        <v>376</v>
      </c>
      <c r="AR7843" s="4" t="s">
        <v>377</v>
      </c>
    </row>
    <row r="7844" spans="1:44">
      <c r="A7844" s="4" t="s">
        <v>5</v>
      </c>
      <c r="B7844" s="4">
        <v>995251</v>
      </c>
      <c r="D7844" s="5" t="s">
        <v>10732</v>
      </c>
      <c r="E7844" s="6" t="str">
        <f>HYPERLINK("https://inpn.mnhn.fr/espece/cd_nom/995251","Deconica merdaria (Fr.) Noordel., 2009")</f>
        <v>Deconica merdaria (Fr.) Noordel., 2009</v>
      </c>
      <c r="V7844" s="7" t="str">
        <f>HYPERLINK("#Liste_rouge!A"&amp;_xlfn.XMATCH("LC",Liste_rouge!A:A,2,1),"LC")</f>
        <v>LC</v>
      </c>
      <c r="AH7844" s="4" t="str">
        <f>HYPERLINK("#Statut_biogéographique!A"&amp;_xlfn.XMATCH("P",Statut_biogéographique!A:A,2,1),"P")</f>
        <v>P</v>
      </c>
      <c r="AP7844" s="4" t="s">
        <v>376</v>
      </c>
      <c r="AR7844" s="4" t="s">
        <v>377</v>
      </c>
    </row>
    <row r="7845" spans="1:44" ht="30">
      <c r="A7845" s="4" t="s">
        <v>5</v>
      </c>
      <c r="B7845" s="4">
        <v>995396</v>
      </c>
      <c r="D7845" s="5" t="s">
        <v>10733</v>
      </c>
      <c r="E7845" s="6" t="str">
        <f>HYPERLINK("https://inpn.mnhn.fr/espece/cd_nom/995396","Deconica pratensis (P.D.Orton) Noordel., 2011")</f>
        <v>Deconica pratensis (P.D.Orton) Noordel., 2011</v>
      </c>
      <c r="AH7845" s="4" t="str">
        <f>HYPERLINK("#Statut_biogéographique!A"&amp;_xlfn.XMATCH("P",Statut_biogéographique!A:A,2,1),"P")</f>
        <v>P</v>
      </c>
      <c r="AP7845" s="4" t="s">
        <v>376</v>
      </c>
      <c r="AR7845" s="4" t="s">
        <v>377</v>
      </c>
    </row>
    <row r="7846" spans="1:44" ht="30">
      <c r="A7846" s="4" t="s">
        <v>5</v>
      </c>
      <c r="B7846" s="4">
        <v>995405</v>
      </c>
      <c r="D7846" s="5" t="s">
        <v>10734</v>
      </c>
      <c r="E7846" s="6" t="str">
        <f>HYPERLINK("https://inpn.mnhn.fr/espece/cd_nom/995405","Phaeoclavulina flaccida (Fr.) Giachini, 2011")</f>
        <v>Phaeoclavulina flaccida (Fr.) Giachini, 2011</v>
      </c>
      <c r="F7846" s="5" t="s">
        <v>10735</v>
      </c>
      <c r="V7846" s="7" t="str">
        <f>HYPERLINK("#Liste_rouge!A"&amp;_xlfn.XMATCH("LC",Liste_rouge!A:A,2,1),"LC")</f>
        <v>LC</v>
      </c>
      <c r="AH7846" s="4" t="str">
        <f>HYPERLINK("#Statut_biogéographique!A"&amp;_xlfn.XMATCH("P",Statut_biogéographique!A:A,2,1),"P")</f>
        <v>P</v>
      </c>
      <c r="AP7846" s="4" t="s">
        <v>376</v>
      </c>
      <c r="AR7846" s="4" t="s">
        <v>377</v>
      </c>
    </row>
    <row r="7847" spans="1:44" ht="30">
      <c r="A7847" s="4" t="s">
        <v>5</v>
      </c>
      <c r="B7847" s="4">
        <v>995414</v>
      </c>
      <c r="D7847" s="5" t="s">
        <v>10736</v>
      </c>
      <c r="E7847" s="6" t="str">
        <f>HYPERLINK("https://inpn.mnhn.fr/espece/cd_nom/995414","Clitocella fallax (Quél.) Kluting, T.J.Baroni &amp; Bergemann, 2014")</f>
        <v>Clitocella fallax (Quél.) Kluting, T.J.Baroni &amp; Bergemann, 2014</v>
      </c>
      <c r="V7847" s="7" t="str">
        <f>HYPERLINK("#Liste_rouge!A"&amp;_xlfn.XMATCH("EN",Liste_rouge!A:A,2,1),"EN")</f>
        <v>EN</v>
      </c>
      <c r="W7847" s="4" t="str">
        <f>HYPERLINK("#Critères_liste_rouge!A$1","B2abiii")</f>
        <v>B2abiii</v>
      </c>
      <c r="AH7847" s="4" t="str">
        <f>HYPERLINK("#Statut_biogéographique!A"&amp;_xlfn.XMATCH("P",Statut_biogéographique!A:A,2,1),"P")</f>
        <v>P</v>
      </c>
      <c r="AP7847" s="4" t="s">
        <v>376</v>
      </c>
      <c r="AR7847" s="4" t="s">
        <v>377</v>
      </c>
    </row>
    <row r="7848" spans="1:44" ht="30">
      <c r="A7848" s="4" t="s">
        <v>5</v>
      </c>
      <c r="B7848" s="4">
        <v>995415</v>
      </c>
      <c r="D7848" s="5" t="s">
        <v>10737</v>
      </c>
      <c r="E7848" s="6" t="str">
        <f>HYPERLINK("https://inpn.mnhn.fr/espece/cd_nom/995415","Clitocella mundula (Lasch) Kluting, T.J.Baroni &amp; Bergemann, 2014")</f>
        <v>Clitocella mundula (Lasch) Kluting, T.J.Baroni &amp; Bergemann, 2014</v>
      </c>
      <c r="V7848" s="7" t="str">
        <f>HYPERLINK("#Liste_rouge!A"&amp;_xlfn.XMATCH("EN",Liste_rouge!A:A,2,1),"EN")</f>
        <v>EN</v>
      </c>
      <c r="W7848" s="4" t="str">
        <f>HYPERLINK("#Critères_liste_rouge!A$1","B2abiii")</f>
        <v>B2abiii</v>
      </c>
      <c r="AH7848" s="4" t="str">
        <f>HYPERLINK("#Statut_biogéographique!A"&amp;_xlfn.XMATCH("P",Statut_biogéographique!A:A,2,1),"P")</f>
        <v>P</v>
      </c>
      <c r="AP7848" s="4" t="s">
        <v>376</v>
      </c>
      <c r="AR7848" s="4" t="s">
        <v>377</v>
      </c>
    </row>
    <row r="7849" spans="1:44" ht="45">
      <c r="A7849" s="4" t="s">
        <v>5</v>
      </c>
      <c r="B7849" s="4">
        <v>995420</v>
      </c>
      <c r="D7849" s="5" t="s">
        <v>10738</v>
      </c>
      <c r="E7849" s="6" t="str">
        <f>HYPERLINK("https://inpn.mnhn.fr/espece/cd_nom/995420","Clitocella popinalis (Fr.) Kluting, T.J.Baroni &amp; Bergemann, 2014")</f>
        <v>Clitocella popinalis (Fr.) Kluting, T.J.Baroni &amp; Bergemann, 2014</v>
      </c>
      <c r="V7849" s="7" t="str">
        <f>HYPERLINK("#Liste_rouge!A"&amp;_xlfn.XMATCH("EN",Liste_rouge!A:A,2,1),"EN")</f>
        <v>EN</v>
      </c>
      <c r="W7849" s="4" t="str">
        <f>HYPERLINK("#Critères_liste_rouge!A$1","B2abiii")</f>
        <v>B2abiii</v>
      </c>
      <c r="AH7849" s="4" t="str">
        <f>HYPERLINK("#Statut_biogéographique!A"&amp;_xlfn.XMATCH("P",Statut_biogéographique!A:A,2,1),"P")</f>
        <v>P</v>
      </c>
      <c r="AP7849" s="4" t="s">
        <v>376</v>
      </c>
      <c r="AR7849" s="4" t="s">
        <v>377</v>
      </c>
    </row>
    <row r="7850" spans="1:44" ht="30">
      <c r="A7850" s="4" t="s">
        <v>5</v>
      </c>
      <c r="B7850" s="4">
        <v>995459</v>
      </c>
      <c r="D7850" s="5" t="s">
        <v>10739</v>
      </c>
      <c r="E7850" s="6" t="str">
        <f>HYPERLINK("https://inpn.mnhn.fr/espece/cd_nom/995459","Myochromella inolens (Fr.) V.Hofst., Clémençon, Moncalvo &amp; Redhead, 2015")</f>
        <v>Myochromella inolens (Fr.) V.Hofst., Clémençon, Moncalvo &amp; Redhead, 2015</v>
      </c>
      <c r="V7850" s="7" t="str">
        <f>HYPERLINK("#Liste_rouge!A"&amp;_xlfn.XMATCH("EN",Liste_rouge!A:A,2,1),"EN")</f>
        <v>EN</v>
      </c>
      <c r="W7850" s="4" t="str">
        <f>HYPERLINK("#Critères_liste_rouge!A$1","B2abiii")</f>
        <v>B2abiii</v>
      </c>
      <c r="AH7850" s="4" t="str">
        <f>HYPERLINK("#Statut_biogéographique!A"&amp;_xlfn.XMATCH("P",Statut_biogéographique!A:A,2,1),"P")</f>
        <v>P</v>
      </c>
      <c r="AP7850" s="4" t="s">
        <v>376</v>
      </c>
      <c r="AR7850" s="4" t="s">
        <v>377</v>
      </c>
    </row>
    <row r="7851" spans="1:44" ht="30">
      <c r="A7851" s="4" t="s">
        <v>5</v>
      </c>
      <c r="B7851" s="4">
        <v>995462</v>
      </c>
      <c r="D7851" s="5" t="s">
        <v>10740</v>
      </c>
      <c r="E7851" s="6" t="str">
        <f>HYPERLINK("https://inpn.mnhn.fr/espece/cd_nom/995462","Sphagnurus paluster (Peck) Redhead &amp; V.Hofst., 2014")</f>
        <v>Sphagnurus paluster (Peck) Redhead &amp; V.Hofst., 2014</v>
      </c>
      <c r="V7851" s="7" t="str">
        <f>HYPERLINK("#Liste_rouge!A"&amp;_xlfn.XMATCH("EN",Liste_rouge!A:A,2,1),"EN")</f>
        <v>EN</v>
      </c>
      <c r="W7851" s="4" t="str">
        <f>HYPERLINK("#Critères_liste_rouge!A$1","A2c")</f>
        <v>A2c</v>
      </c>
      <c r="AH7851" s="4" t="str">
        <f>HYPERLINK("#Statut_biogéographique!A"&amp;_xlfn.XMATCH("P",Statut_biogéographique!A:A,2,1),"P")</f>
        <v>P</v>
      </c>
      <c r="AP7851" s="4" t="s">
        <v>376</v>
      </c>
      <c r="AR7851" s="4" t="s">
        <v>377</v>
      </c>
    </row>
    <row r="7852" spans="1:44" ht="30">
      <c r="A7852" s="4" t="s">
        <v>5</v>
      </c>
      <c r="B7852" s="4">
        <v>995473</v>
      </c>
      <c r="D7852" s="5" t="s">
        <v>10741</v>
      </c>
      <c r="E7852" s="6" t="str">
        <f>HYPERLINK("https://inpn.mnhn.fr/espece/cd_nom/995473","Cupulina ascophanoides (Boud.) Van Vooren, 2017")</f>
        <v>Cupulina ascophanoides (Boud.) Van Vooren, 2017</v>
      </c>
      <c r="AH7852" s="4" t="str">
        <f>HYPERLINK("#Statut_biogéographique!A"&amp;_xlfn.XMATCH("P",Statut_biogéographique!A:A,2,1),"P")</f>
        <v>P</v>
      </c>
      <c r="AP7852" s="4" t="s">
        <v>376</v>
      </c>
      <c r="AR7852" s="4" t="s">
        <v>377</v>
      </c>
    </row>
    <row r="7853" spans="1:44" ht="30">
      <c r="A7853" s="4" t="s">
        <v>5</v>
      </c>
      <c r="B7853" s="4">
        <v>995481</v>
      </c>
      <c r="D7853" s="5" t="s">
        <v>10742</v>
      </c>
      <c r="E7853" s="6" t="str">
        <f>HYPERLINK("https://inpn.mnhn.fr/espece/cd_nom/995481","Phaeotremella simplex (H.S.Jacks. &amp; G.W.Martin) Millanes &amp; Wedin, 2015")</f>
        <v>Phaeotremella simplex (H.S.Jacks. &amp; G.W.Martin) Millanes &amp; Wedin, 2015</v>
      </c>
      <c r="AH7853" s="4" t="str">
        <f>HYPERLINK("#Statut_biogéographique!A"&amp;_xlfn.XMATCH("P",Statut_biogéographique!A:A,2,1),"P")</f>
        <v>P</v>
      </c>
      <c r="AP7853" s="4" t="s">
        <v>376</v>
      </c>
      <c r="AR7853" s="4" t="s">
        <v>377</v>
      </c>
    </row>
    <row r="7854" spans="1:44" ht="30">
      <c r="A7854" s="4" t="s">
        <v>5</v>
      </c>
      <c r="B7854" s="4">
        <v>995498</v>
      </c>
      <c r="D7854" s="5" t="s">
        <v>10743</v>
      </c>
      <c r="E7854" s="6" t="str">
        <f>HYPERLINK("https://inpn.mnhn.fr/espece/cd_nom/995498","Neofavolus suavissimus (Fr.) Seelan, Justo &amp; Hibbett, 2016")</f>
        <v>Neofavolus suavissimus (Fr.) Seelan, Justo &amp; Hibbett, 2016</v>
      </c>
      <c r="V7854" s="7" t="str">
        <f>HYPERLINK("#Liste_rouge!A"&amp;_xlfn.XMATCH("VU",Liste_rouge!A:A,2,1),"VU")</f>
        <v>VU</v>
      </c>
      <c r="W7854" s="4" t="str">
        <f>HYPERLINK("#Critères_liste_rouge!A$1","A2c")</f>
        <v>A2c</v>
      </c>
      <c r="AH7854" s="4" t="str">
        <f>HYPERLINK("#Statut_biogéographique!A"&amp;_xlfn.XMATCH("P",Statut_biogéographique!A:A,2,1),"P")</f>
        <v>P</v>
      </c>
      <c r="AP7854" s="4" t="s">
        <v>376</v>
      </c>
      <c r="AR7854" s="4" t="s">
        <v>377</v>
      </c>
    </row>
    <row r="7855" spans="1:44" ht="45">
      <c r="A7855" s="4" t="s">
        <v>5</v>
      </c>
      <c r="B7855" s="4">
        <v>995503</v>
      </c>
      <c r="D7855" s="5" t="s">
        <v>10744</v>
      </c>
      <c r="E7855" s="6" t="str">
        <f>HYPERLINK("https://inpn.mnhn.fr/espece/cd_nom/995503","Atheniella flavoalba (Fr.) Redhead, Moncalvo, Vilgalys, Desjardin &amp; B.A.Perry, 2012")</f>
        <v>Atheniella flavoalba (Fr.) Redhead, Moncalvo, Vilgalys, Desjardin &amp; B.A.Perry, 2012</v>
      </c>
      <c r="V7855" s="7" t="str">
        <f>HYPERLINK("#Liste_rouge!A"&amp;_xlfn.XMATCH("LC",Liste_rouge!A:A,2,1),"LC")</f>
        <v>LC</v>
      </c>
      <c r="AH7855" s="4" t="str">
        <f>HYPERLINK("#Statut_biogéographique!A"&amp;_xlfn.XMATCH("P",Statut_biogéographique!A:A,2,1),"P")</f>
        <v>P</v>
      </c>
      <c r="AP7855" s="4" t="s">
        <v>376</v>
      </c>
      <c r="AR7855" s="4" t="s">
        <v>377</v>
      </c>
    </row>
    <row r="7856" spans="1:44" ht="30">
      <c r="A7856" s="4" t="s">
        <v>5</v>
      </c>
      <c r="B7856" s="4">
        <v>995505</v>
      </c>
      <c r="D7856" s="5" t="s">
        <v>10745</v>
      </c>
      <c r="E7856" s="6" t="str">
        <f>HYPERLINK("https://inpn.mnhn.fr/espece/cd_nom/995505","Atheniella leptophylla (Peck) Gminder &amp; Böhning, 2016")</f>
        <v>Atheniella leptophylla (Peck) Gminder &amp; Böhning, 2016</v>
      </c>
      <c r="V7856" s="7" t="str">
        <f>HYPERLINK("#Liste_rouge!A"&amp;_xlfn.XMATCH("VU",Liste_rouge!A:A,2,1),"VU")</f>
        <v>VU</v>
      </c>
      <c r="W7856" s="4" t="str">
        <f>HYPERLINK("#Critères_liste_rouge!A$1","A2c")</f>
        <v>A2c</v>
      </c>
      <c r="AH7856" s="4" t="str">
        <f>HYPERLINK("#Statut_biogéographique!A"&amp;_xlfn.XMATCH("P",Statut_biogéographique!A:A,2,1),"P")</f>
        <v>P</v>
      </c>
      <c r="AP7856" s="4" t="s">
        <v>376</v>
      </c>
      <c r="AR7856" s="4" t="s">
        <v>377</v>
      </c>
    </row>
    <row r="7857" spans="1:44" ht="45">
      <c r="A7857" s="4" t="s">
        <v>5</v>
      </c>
      <c r="B7857" s="4">
        <v>996277</v>
      </c>
      <c r="D7857" s="5" t="s">
        <v>10746</v>
      </c>
      <c r="E7857" s="6" t="str">
        <f>HYPERLINK("https://inpn.mnhn.fr/espece/cd_nom/996277","Amaropostia stiptica (Pers.) B.K.Cui, L.L.Shen &amp; Y.C.Dai, 2018")</f>
        <v>Amaropostia stiptica (Pers.) B.K.Cui, L.L.Shen &amp; Y.C.Dai, 2018</v>
      </c>
      <c r="F7857" s="5" t="s">
        <v>804</v>
      </c>
      <c r="V7857" s="7" t="str">
        <f>HYPERLINK("#Liste_rouge!A"&amp;_xlfn.XMATCH("LC",Liste_rouge!A:A,2,1),"LC")</f>
        <v>LC</v>
      </c>
      <c r="AH7857" s="4" t="str">
        <f>HYPERLINK("#Statut_biogéographique!A"&amp;_xlfn.XMATCH("P",Statut_biogéographique!A:A,2,1),"P")</f>
        <v>P</v>
      </c>
      <c r="AP7857" s="4" t="s">
        <v>376</v>
      </c>
      <c r="AR7857" s="4" t="s">
        <v>377</v>
      </c>
    </row>
    <row r="7858" spans="1:44" ht="30">
      <c r="A7858" s="4" t="s">
        <v>5</v>
      </c>
      <c r="B7858" s="4">
        <v>996309</v>
      </c>
      <c r="D7858" s="5" t="s">
        <v>10747</v>
      </c>
      <c r="E7858" s="6" t="str">
        <f>HYPERLINK("https://inpn.mnhn.fr/espece/cd_nom/996309","Cellulariella warnieri (Durieu &amp; Mont.) Zmitr. &amp; Malysheva, 2014")</f>
        <v>Cellulariella warnieri (Durieu &amp; Mont.) Zmitr. &amp; Malysheva, 2014</v>
      </c>
      <c r="F7858" s="5" t="s">
        <v>10748</v>
      </c>
      <c r="V7858" s="7" t="str">
        <f>HYPERLINK("#Liste_rouge!A"&amp;_xlfn.XMATCH("EN",Liste_rouge!A:A,2,1),"EN")</f>
        <v>EN</v>
      </c>
      <c r="W7858" s="4" t="str">
        <f>HYPERLINK("#Critères_liste_rouge!A$1","B2abiii")</f>
        <v>B2abiii</v>
      </c>
      <c r="AH7858" s="4" t="str">
        <f>HYPERLINK("#Statut_biogéographique!A"&amp;_xlfn.XMATCH("P",Statut_biogéographique!A:A,2,1),"P")</f>
        <v>P</v>
      </c>
      <c r="AP7858" s="4" t="s">
        <v>376</v>
      </c>
      <c r="AR7858" s="4" t="s">
        <v>377</v>
      </c>
    </row>
    <row r="7859" spans="1:44" ht="30">
      <c r="A7859" s="4" t="s">
        <v>5</v>
      </c>
      <c r="B7859" s="4">
        <v>996346</v>
      </c>
      <c r="D7859" s="5" t="s">
        <v>10749</v>
      </c>
      <c r="E7859" s="6" t="str">
        <f>HYPERLINK("https://inpn.mnhn.fr/espece/cd_nom/996346","Cyanosporus gossypinus (Moug.&amp; Lév.) B.K.Cui &amp; Shun Liu, 2021")</f>
        <v>Cyanosporus gossypinus (Moug.&amp; Lév.) B.K.Cui &amp; Shun Liu, 2021</v>
      </c>
      <c r="AH7859" s="4" t="str">
        <f>HYPERLINK("#Statut_biogéographique!A"&amp;_xlfn.XMATCH("P",Statut_biogéographique!A:A,2,1),"P")</f>
        <v>P</v>
      </c>
      <c r="AP7859" s="4" t="s">
        <v>376</v>
      </c>
      <c r="AR7859" s="4" t="s">
        <v>377</v>
      </c>
    </row>
    <row r="7860" spans="1:44" ht="30">
      <c r="A7860" s="4" t="s">
        <v>5</v>
      </c>
      <c r="B7860" s="4">
        <v>996356</v>
      </c>
      <c r="D7860" s="5" t="s">
        <v>10750</v>
      </c>
      <c r="E7860" s="6" t="str">
        <f>HYPERLINK("https://inpn.mnhn.fr/espece/cd_nom/996356","Cyanosporus subcaesius (A.David) B.K.Cui, L.L.Shen &amp; Y.C.Dai, 2018")</f>
        <v>Cyanosporus subcaesius (A.David) B.K.Cui, L.L.Shen &amp; Y.C.Dai, 2018</v>
      </c>
      <c r="F7860" s="5" t="s">
        <v>1449</v>
      </c>
      <c r="V7860" s="7" t="str">
        <f>HYPERLINK("#Liste_rouge!A"&amp;_xlfn.XMATCH("LC",Liste_rouge!A:A,2,1),"LC")</f>
        <v>LC</v>
      </c>
      <c r="AH7860" s="4" t="str">
        <f>HYPERLINK("#Statut_biogéographique!A"&amp;_xlfn.XMATCH("P",Statut_biogéographique!A:A,2,1),"P")</f>
        <v>P</v>
      </c>
      <c r="AP7860" s="4" t="s">
        <v>376</v>
      </c>
      <c r="AR7860" s="4" t="s">
        <v>377</v>
      </c>
    </row>
    <row r="7861" spans="1:44" ht="45">
      <c r="A7861" s="4" t="s">
        <v>5</v>
      </c>
      <c r="B7861" s="4">
        <v>996482</v>
      </c>
      <c r="D7861" s="5" t="s">
        <v>10751</v>
      </c>
      <c r="E7861" s="6" t="str">
        <f>HYPERLINK("https://inpn.mnhn.fr/espece/cd_nom/996482","Fuscopostia fragilis (Fr.) B.K.Cui, L.L.Shen &amp; Y.C.Dai, 2018")</f>
        <v>Fuscopostia fragilis (Fr.) B.K.Cui, L.L.Shen &amp; Y.C.Dai, 2018</v>
      </c>
      <c r="F7861" s="5" t="s">
        <v>3944</v>
      </c>
      <c r="V7861" s="7" t="str">
        <f>HYPERLINK("#Liste_rouge!A"&amp;_xlfn.XMATCH("LC",Liste_rouge!A:A,2,1),"LC")</f>
        <v>LC</v>
      </c>
      <c r="AH7861" s="4" t="str">
        <f>HYPERLINK("#Statut_biogéographique!A"&amp;_xlfn.XMATCH("P",Statut_biogéographique!A:A,2,1),"P")</f>
        <v>P</v>
      </c>
      <c r="AP7861" s="4" t="s">
        <v>376</v>
      </c>
      <c r="AR7861" s="4" t="s">
        <v>377</v>
      </c>
    </row>
    <row r="7862" spans="1:44" ht="30">
      <c r="A7862" s="4" t="s">
        <v>5</v>
      </c>
      <c r="B7862" s="4">
        <v>996922</v>
      </c>
      <c r="C7862" s="4">
        <v>6925</v>
      </c>
      <c r="D7862" s="5" t="s">
        <v>10752</v>
      </c>
      <c r="E7862" s="6" t="str">
        <f>HYPERLINK("https://inpn.mnhn.fr/espece/cd_nom/996922","Flammocladiella decora (Wallr.) Lechat &amp; J.Fourn., 2018")</f>
        <v>Flammocladiella decora (Wallr.) Lechat &amp; J.Fourn., 2018</v>
      </c>
      <c r="AH7862" s="4" t="str">
        <f>HYPERLINK("#Statut_biogéographique!A"&amp;_xlfn.XMATCH("P",Statut_biogéographique!A:A,2,1),"P")</f>
        <v>P</v>
      </c>
      <c r="AP7862" s="4" t="s">
        <v>376</v>
      </c>
      <c r="AR7862" s="4" t="s">
        <v>377</v>
      </c>
    </row>
    <row r="7863" spans="1:44">
      <c r="A7863" s="4" t="s">
        <v>10753</v>
      </c>
      <c r="E7863" s="6" t="s">
        <v>10754</v>
      </c>
    </row>
    <row r="7864" spans="1:44">
      <c r="A7864" s="4" t="s">
        <v>10753</v>
      </c>
      <c r="B7864" s="4">
        <v>10001</v>
      </c>
      <c r="D7864" s="5">
        <v>10001</v>
      </c>
      <c r="E7864" s="6" t="str">
        <f>HYPERLINK("https://inpn.mnhn.fr/espece/cd_nom/10001","Paederus fuscipes Curtis, 1826")</f>
        <v>Paederus fuscipes Curtis, 1826</v>
      </c>
      <c r="AH7864" s="4" t="str">
        <f>HYPERLINK("#Statut_biogéographique!A"&amp;_xlfn.XMATCH("P",Statut_biogéographique!A:A,2,1),"P")</f>
        <v>P</v>
      </c>
      <c r="AP7864" s="4" t="s">
        <v>376</v>
      </c>
      <c r="AR7864" s="4" t="s">
        <v>377</v>
      </c>
    </row>
    <row r="7865" spans="1:44">
      <c r="A7865" s="4" t="s">
        <v>10753</v>
      </c>
      <c r="B7865" s="4">
        <v>10004</v>
      </c>
      <c r="D7865" s="5" t="s">
        <v>10755</v>
      </c>
      <c r="E7865" s="6" t="str">
        <f>HYPERLINK("https://inpn.mnhn.fr/espece/cd_nom/10004","Paederus riparius (Linnaeus, 1758)")</f>
        <v>Paederus riparius (Linnaeus, 1758)</v>
      </c>
      <c r="F7865" s="5" t="s">
        <v>10756</v>
      </c>
      <c r="AH7865" s="4" t="str">
        <f>HYPERLINK("#Statut_biogéographique!A"&amp;_xlfn.XMATCH("P",Statut_biogéographique!A:A,2,1),"P")</f>
        <v>P</v>
      </c>
      <c r="AP7865" s="4" t="s">
        <v>376</v>
      </c>
      <c r="AR7865" s="4" t="s">
        <v>377</v>
      </c>
    </row>
    <row r="7866" spans="1:44">
      <c r="A7866" s="4" t="s">
        <v>10753</v>
      </c>
      <c r="B7866" s="4">
        <v>1000688</v>
      </c>
      <c r="D7866" s="5" t="s">
        <v>10757</v>
      </c>
      <c r="E7866" s="6" t="str">
        <f>HYPERLINK("https://inpn.mnhn.fr/espece/cd_nom/1000688","Adomerus fuscipennis (Horváth, 1899)")</f>
        <v>Adomerus fuscipennis (Horváth, 1899)</v>
      </c>
      <c r="AH7866" s="4" t="str">
        <f>HYPERLINK("#Statut_biogéographique!A"&amp;_xlfn.XMATCH("P",Statut_biogéographique!A:A,2,1),"P")</f>
        <v>P</v>
      </c>
      <c r="AP7866" s="4" t="s">
        <v>376</v>
      </c>
      <c r="AR7866" s="4" t="s">
        <v>377</v>
      </c>
    </row>
    <row r="7867" spans="1:44" ht="30">
      <c r="A7867" s="4" t="s">
        <v>10753</v>
      </c>
      <c r="B7867" s="4">
        <v>1000690</v>
      </c>
      <c r="D7867" s="5" t="s">
        <v>10758</v>
      </c>
      <c r="E7867" s="6" t="str">
        <f>HYPERLINK("https://inpn.mnhn.fr/espece/cd_nom/1000690","Adomerus maculipes (Mulsant &amp; Rey, 1852)")</f>
        <v>Adomerus maculipes (Mulsant &amp; Rey, 1852)</v>
      </c>
      <c r="AH7867" s="4" t="str">
        <f>HYPERLINK("#Statut_biogéographique!A"&amp;_xlfn.XMATCH("P",Statut_biogéographique!A:A,2,1),"P")</f>
        <v>P</v>
      </c>
      <c r="AP7867" s="4" t="s">
        <v>376</v>
      </c>
      <c r="AR7867" s="4" t="s">
        <v>377</v>
      </c>
    </row>
    <row r="7868" spans="1:44" ht="30">
      <c r="A7868" s="4" t="s">
        <v>10753</v>
      </c>
      <c r="B7868" s="4">
        <v>1002115</v>
      </c>
      <c r="D7868" s="5" t="s">
        <v>10759</v>
      </c>
      <c r="E7868" s="6" t="str">
        <f>HYPERLINK("https://inpn.mnhn.fr/espece/cd_nom/1002115","Chelidura aptera (Charpentier, 1825)")</f>
        <v>Chelidura aptera (Charpentier, 1825)</v>
      </c>
      <c r="AH7868" s="4" t="str">
        <f>HYPERLINK("#Statut_biogéographique!A"&amp;_xlfn.XMATCH("P",Statut_biogéographique!A:A,2,1),"P")</f>
        <v>P</v>
      </c>
      <c r="AP7868" s="4" t="s">
        <v>376</v>
      </c>
      <c r="AR7868" s="4" t="s">
        <v>377</v>
      </c>
    </row>
    <row r="7869" spans="1:44">
      <c r="A7869" s="4" t="s">
        <v>10753</v>
      </c>
      <c r="B7869" s="4">
        <v>1002787</v>
      </c>
      <c r="D7869" s="5" t="s">
        <v>10760</v>
      </c>
      <c r="E7869" s="6" t="str">
        <f>HYPERLINK("https://inpn.mnhn.fr/espece/cd_nom/1002787","Cordilura albilabris (Fabricius, 1805)")</f>
        <v>Cordilura albilabris (Fabricius, 1805)</v>
      </c>
      <c r="AH7869" s="4" t="str">
        <f>HYPERLINK("#Statut_biogéographique!A"&amp;_xlfn.XMATCH("P",Statut_biogéographique!A:A,2,1),"P")</f>
        <v>P</v>
      </c>
      <c r="AP7869" s="4" t="s">
        <v>376</v>
      </c>
      <c r="AR7869" s="4" t="s">
        <v>377</v>
      </c>
    </row>
    <row r="7870" spans="1:44">
      <c r="A7870" s="4" t="s">
        <v>10753</v>
      </c>
      <c r="B7870" s="4">
        <v>1002793</v>
      </c>
      <c r="D7870" s="5" t="s">
        <v>10761</v>
      </c>
      <c r="E7870" s="6" t="str">
        <f>HYPERLINK("https://inpn.mnhn.fr/espece/cd_nom/1002793","Cordilura rufipes Meigen, 1826")</f>
        <v>Cordilura rufipes Meigen, 1826</v>
      </c>
      <c r="AH7870" s="4" t="str">
        <f>HYPERLINK("#Statut_biogéographique!A"&amp;_xlfn.XMATCH("P",Statut_biogéographique!A:A,2,1),"P")</f>
        <v>P</v>
      </c>
      <c r="AP7870" s="4" t="s">
        <v>376</v>
      </c>
      <c r="AR7870" s="4" t="s">
        <v>377</v>
      </c>
    </row>
    <row r="7871" spans="1:44">
      <c r="A7871" s="4" t="s">
        <v>10753</v>
      </c>
      <c r="B7871" s="4">
        <v>1003160</v>
      </c>
      <c r="D7871" s="5" t="s">
        <v>10762</v>
      </c>
      <c r="E7871" s="6" t="str">
        <f>HYPERLINK("https://inpn.mnhn.fr/espece/cd_nom/1003160","Trocheta taunensis Grosser, 2015")</f>
        <v>Trocheta taunensis Grosser, 2015</v>
      </c>
      <c r="AH7871" s="4" t="str">
        <f>HYPERLINK("#Statut_biogéographique!A"&amp;_xlfn.XMATCH("P",Statut_biogéographique!A:A,2,1),"P")</f>
        <v>P</v>
      </c>
      <c r="AP7871" s="4" t="s">
        <v>376</v>
      </c>
      <c r="AR7871" s="4" t="s">
        <v>377</v>
      </c>
    </row>
    <row r="7872" spans="1:44">
      <c r="A7872" s="4" t="s">
        <v>10753</v>
      </c>
      <c r="B7872" s="4">
        <v>10078</v>
      </c>
      <c r="D7872" s="5">
        <v>10078</v>
      </c>
      <c r="E7872" s="6" t="str">
        <f>HYPERLINK("https://inpn.mnhn.fr/espece/cd_nom/10078","Stenus aceris Stephens, 1833")</f>
        <v>Stenus aceris Stephens, 1833</v>
      </c>
      <c r="AH7872" s="4" t="str">
        <f>HYPERLINK("#Statut_biogéographique!A"&amp;_xlfn.XMATCH("P",Statut_biogéographique!A:A,2,1),"P")</f>
        <v>P</v>
      </c>
      <c r="AP7872" s="4" t="s">
        <v>376</v>
      </c>
      <c r="AR7872" s="4" t="s">
        <v>377</v>
      </c>
    </row>
    <row r="7873" spans="1:44">
      <c r="A7873" s="4" t="s">
        <v>10753</v>
      </c>
      <c r="B7873" s="4">
        <v>10081</v>
      </c>
      <c r="D7873" s="5" t="s">
        <v>10763</v>
      </c>
      <c r="E7873" s="6" t="str">
        <f>HYPERLINK("https://inpn.mnhn.fr/espece/cd_nom/10081","Stenus asphaltinus Erichson, 1840")</f>
        <v>Stenus asphaltinus Erichson, 1840</v>
      </c>
      <c r="AH7873" s="4" t="str">
        <f>HYPERLINK("#Statut_biogéographique!A"&amp;_xlfn.XMATCH("P",Statut_biogéographique!A:A,2,1),"P")</f>
        <v>P</v>
      </c>
      <c r="AP7873" s="4" t="s">
        <v>376</v>
      </c>
      <c r="AR7873" s="4" t="s">
        <v>377</v>
      </c>
    </row>
    <row r="7874" spans="1:44">
      <c r="A7874" s="4" t="s">
        <v>10753</v>
      </c>
      <c r="B7874" s="4">
        <v>10082</v>
      </c>
      <c r="D7874" s="5">
        <v>10082</v>
      </c>
      <c r="E7874" s="6" t="str">
        <f>HYPERLINK("https://inpn.mnhn.fr/espece/cd_nom/10082","Stenus ater Mannerheim, 1830")</f>
        <v>Stenus ater Mannerheim, 1830</v>
      </c>
      <c r="AH7874" s="4" t="str">
        <f>HYPERLINK("#Statut_biogéographique!A"&amp;_xlfn.XMATCH("P",Statut_biogéographique!A:A,2,1),"P")</f>
        <v>P</v>
      </c>
      <c r="AP7874" s="4" t="s">
        <v>376</v>
      </c>
      <c r="AR7874" s="4" t="s">
        <v>377</v>
      </c>
    </row>
    <row r="7875" spans="1:44">
      <c r="A7875" s="4" t="s">
        <v>10753</v>
      </c>
      <c r="B7875" s="4">
        <v>10083</v>
      </c>
      <c r="D7875" s="5">
        <v>10083</v>
      </c>
      <c r="E7875" s="6" t="str">
        <f>HYPERLINK("https://inpn.mnhn.fr/espece/cd_nom/10083","Stenus aterrimus Erichson, 1839")</f>
        <v>Stenus aterrimus Erichson, 1839</v>
      </c>
      <c r="AH7875" s="4" t="str">
        <f>HYPERLINK("#Statut_biogéographique!A"&amp;_xlfn.XMATCH("P",Statut_biogéographique!A:A,2,1),"P")</f>
        <v>P</v>
      </c>
      <c r="AP7875" s="4" t="s">
        <v>376</v>
      </c>
      <c r="AR7875" s="4" t="s">
        <v>377</v>
      </c>
    </row>
    <row r="7876" spans="1:44">
      <c r="A7876" s="4" t="s">
        <v>10753</v>
      </c>
      <c r="B7876" s="4">
        <v>10084</v>
      </c>
      <c r="D7876" s="5">
        <v>10084</v>
      </c>
      <c r="E7876" s="6" t="str">
        <f>HYPERLINK("https://inpn.mnhn.fr/espece/cd_nom/10084","Stenus bimaculatus Gyllenhal, 1810")</f>
        <v>Stenus bimaculatus Gyllenhal, 1810</v>
      </c>
      <c r="AH7876" s="4" t="str">
        <f>HYPERLINK("#Statut_biogéographique!A"&amp;_xlfn.XMATCH("P",Statut_biogéographique!A:A,2,1),"P")</f>
        <v>P</v>
      </c>
      <c r="AP7876" s="4" t="s">
        <v>376</v>
      </c>
      <c r="AR7876" s="4" t="s">
        <v>377</v>
      </c>
    </row>
    <row r="7877" spans="1:44">
      <c r="A7877" s="4" t="s">
        <v>10753</v>
      </c>
      <c r="B7877" s="4">
        <v>10086</v>
      </c>
      <c r="D7877" s="5" t="s">
        <v>10764</v>
      </c>
      <c r="E7877" s="6" t="str">
        <f>HYPERLINK("https://inpn.mnhn.fr/espece/cd_nom/10086","Stenus clavicornis (Scopoli, 1763)")</f>
        <v>Stenus clavicornis (Scopoli, 1763)</v>
      </c>
      <c r="F7877" s="5" t="s">
        <v>10765</v>
      </c>
      <c r="AH7877" s="4" t="str">
        <f>HYPERLINK("#Statut_biogéographique!A"&amp;_xlfn.XMATCH("P",Statut_biogéographique!A:A,2,1),"P")</f>
        <v>P</v>
      </c>
      <c r="AP7877" s="4" t="s">
        <v>376</v>
      </c>
      <c r="AR7877" s="4" t="s">
        <v>377</v>
      </c>
    </row>
    <row r="7878" spans="1:44">
      <c r="A7878" s="4" t="s">
        <v>10753</v>
      </c>
      <c r="B7878" s="4">
        <v>10088</v>
      </c>
      <c r="D7878" s="5" t="s">
        <v>10766</v>
      </c>
      <c r="E7878" s="6" t="str">
        <f>HYPERLINK("https://inpn.mnhn.fr/espece/cd_nom/10088","Stenus elegans Rosenhauer, 1856")</f>
        <v>Stenus elegans Rosenhauer, 1856</v>
      </c>
      <c r="AH7878" s="4" t="str">
        <f>HYPERLINK("#Statut_biogéographique!A"&amp;_xlfn.XMATCH("P",Statut_biogéographique!A:A,2,1),"P")</f>
        <v>P</v>
      </c>
      <c r="AP7878" s="4" t="s">
        <v>376</v>
      </c>
      <c r="AR7878" s="4" t="s">
        <v>377</v>
      </c>
    </row>
    <row r="7879" spans="1:44">
      <c r="A7879" s="4" t="s">
        <v>10753</v>
      </c>
      <c r="B7879" s="4">
        <v>1009181</v>
      </c>
      <c r="D7879" s="5" t="s">
        <v>10767</v>
      </c>
      <c r="E7879" s="6" t="str">
        <f>HYPERLINK("https://inpn.mnhn.fr/espece/cd_nom/1009181","Phaeostigma notatum (Fabricius, 1781)")</f>
        <v>Phaeostigma notatum (Fabricius, 1781)</v>
      </c>
      <c r="AH7879" s="4" t="str">
        <f>HYPERLINK("#Statut_biogéographique!A"&amp;_xlfn.XMATCH("P",Statut_biogéographique!A:A,2,1),"P")</f>
        <v>P</v>
      </c>
      <c r="AP7879" s="4" t="s">
        <v>376</v>
      </c>
      <c r="AR7879" s="4" t="s">
        <v>377</v>
      </c>
    </row>
    <row r="7880" spans="1:44">
      <c r="A7880" s="4" t="s">
        <v>10753</v>
      </c>
      <c r="B7880" s="4">
        <v>1009319</v>
      </c>
      <c r="D7880" s="5" t="s">
        <v>10768</v>
      </c>
      <c r="E7880" s="6" t="str">
        <f>HYPERLINK("https://inpn.mnhn.fr/espece/cd_nom/1009319","Priocnemis schiodtei Haupt, 1927")</f>
        <v>Priocnemis schiodtei Haupt, 1927</v>
      </c>
      <c r="AH7880" s="4" t="str">
        <f>HYPERLINK("#Statut_biogéographique!A"&amp;_xlfn.XMATCH("P",Statut_biogéographique!A:A,2,1),"P")</f>
        <v>P</v>
      </c>
      <c r="AP7880" s="4" t="s">
        <v>376</v>
      </c>
      <c r="AR7880" s="4" t="s">
        <v>377</v>
      </c>
    </row>
    <row r="7881" spans="1:44">
      <c r="A7881" s="4" t="s">
        <v>10753</v>
      </c>
      <c r="B7881" s="4">
        <v>10098</v>
      </c>
      <c r="D7881" s="5" t="s">
        <v>10769</v>
      </c>
      <c r="E7881" s="6" t="str">
        <f>HYPERLINK("https://inpn.mnhn.fr/espece/cd_nom/10098","Bledius tibialis Heer, 1839")</f>
        <v>Bledius tibialis Heer, 1839</v>
      </c>
      <c r="AH7881" s="4" t="str">
        <f>HYPERLINK("#Statut_biogéographique!A"&amp;_xlfn.XMATCH("P",Statut_biogéographique!A:A,2,1),"P")</f>
        <v>P</v>
      </c>
      <c r="AP7881" s="4" t="s">
        <v>376</v>
      </c>
      <c r="AR7881" s="4" t="s">
        <v>377</v>
      </c>
    </row>
    <row r="7882" spans="1:44" ht="30">
      <c r="A7882" s="4" t="s">
        <v>10753</v>
      </c>
      <c r="B7882" s="4">
        <v>1011235</v>
      </c>
      <c r="D7882" s="5" t="s">
        <v>10770</v>
      </c>
      <c r="E7882" s="6" t="str">
        <f>HYPERLINK("https://inpn.mnhn.fr/espece/cd_nom/1011235","Otites porcus (Latreille, 1804)")</f>
        <v>Otites porcus (Latreille, 1804)</v>
      </c>
      <c r="AH7882" s="4" t="str">
        <f>HYPERLINK("#Statut_biogéographique!A"&amp;_xlfn.XMATCH("P",Statut_biogéographique!A:A,2,1),"P")</f>
        <v>P</v>
      </c>
      <c r="AP7882" s="4" t="s">
        <v>376</v>
      </c>
      <c r="AR7882" s="4" t="s">
        <v>377</v>
      </c>
    </row>
    <row r="7883" spans="1:44">
      <c r="A7883" s="4" t="s">
        <v>10753</v>
      </c>
      <c r="B7883" s="4">
        <v>1012282</v>
      </c>
      <c r="D7883" s="5" t="s">
        <v>10771</v>
      </c>
      <c r="E7883" s="6" t="str">
        <f>HYPERLINK("https://inpn.mnhn.fr/espece/cd_nom/1012282","Euscelis incisa (Kirschbaum, 1858)")</f>
        <v>Euscelis incisa (Kirschbaum, 1858)</v>
      </c>
      <c r="AH7883" s="4" t="str">
        <f>HYPERLINK("#Statut_biogéographique!A"&amp;_xlfn.XMATCH("P",Statut_biogéographique!A:A,2,1),"P")</f>
        <v>P</v>
      </c>
      <c r="AP7883" s="4" t="s">
        <v>376</v>
      </c>
      <c r="AR7883" s="4" t="s">
        <v>377</v>
      </c>
    </row>
    <row r="7884" spans="1:44">
      <c r="A7884" s="4" t="s">
        <v>10753</v>
      </c>
      <c r="B7884" s="4">
        <v>1012327</v>
      </c>
      <c r="D7884" s="5" t="s">
        <v>10772</v>
      </c>
      <c r="E7884" s="6" t="str">
        <f>HYPERLINK("https://inpn.mnhn.fr/espece/cd_nom/1012327","Eurymeloe rugosus (Marsham, 1802)")</f>
        <v>Eurymeloe rugosus (Marsham, 1802)</v>
      </c>
      <c r="AH7884" s="4" t="str">
        <f>HYPERLINK("#Statut_biogéographique!A"&amp;_xlfn.XMATCH("P",Statut_biogéographique!A:A,2,1),"P")</f>
        <v>P</v>
      </c>
      <c r="AP7884" s="4" t="s">
        <v>376</v>
      </c>
      <c r="AR7884" s="4" t="s">
        <v>377</v>
      </c>
    </row>
    <row r="7885" spans="1:44">
      <c r="A7885" s="4" t="s">
        <v>10753</v>
      </c>
      <c r="B7885" s="4">
        <v>1012346</v>
      </c>
      <c r="D7885" s="5" t="s">
        <v>10773</v>
      </c>
      <c r="E7885" s="6" t="str">
        <f>HYPERLINK("https://inpn.mnhn.fr/espece/cd_nom/1012346","Eurymeloe brevicollis (Panzer, 1793)")</f>
        <v>Eurymeloe brevicollis (Panzer, 1793)</v>
      </c>
      <c r="AH7885" s="4" t="str">
        <f>HYPERLINK("#Statut_biogéographique!A"&amp;_xlfn.XMATCH("P",Statut_biogéographique!A:A,2,1),"P")</f>
        <v>P</v>
      </c>
      <c r="AP7885" s="4" t="s">
        <v>376</v>
      </c>
      <c r="AR7885" s="4" t="s">
        <v>377</v>
      </c>
    </row>
    <row r="7886" spans="1:44">
      <c r="A7886" s="4" t="s">
        <v>10753</v>
      </c>
      <c r="B7886" s="4">
        <v>10134</v>
      </c>
      <c r="D7886" s="5" t="s">
        <v>10774</v>
      </c>
      <c r="E7886" s="6" t="str">
        <f>HYPERLINK("https://inpn.mnhn.fr/espece/cd_nom/10134","Siagonium quadricorne Kirby &amp; Spence, 1815")</f>
        <v>Siagonium quadricorne Kirby &amp; Spence, 1815</v>
      </c>
      <c r="AH7886" s="4" t="str">
        <f>HYPERLINK("#Statut_biogéographique!A"&amp;_xlfn.XMATCH("P",Statut_biogéographique!A:A,2,1),"P")</f>
        <v>P</v>
      </c>
      <c r="AP7886" s="4" t="s">
        <v>376</v>
      </c>
      <c r="AR7886" s="4" t="s">
        <v>377</v>
      </c>
    </row>
    <row r="7887" spans="1:44">
      <c r="A7887" s="4" t="s">
        <v>10753</v>
      </c>
      <c r="B7887" s="4">
        <v>1013882</v>
      </c>
      <c r="D7887" s="5" t="s">
        <v>10775</v>
      </c>
      <c r="E7887" s="6" t="str">
        <f>HYPERLINK("https://inpn.mnhn.fr/espece/cd_nom/1013882","Rutpela nigra (Linnaeus, 1758)")</f>
        <v>Rutpela nigra (Linnaeus, 1758)</v>
      </c>
      <c r="F7887" s="5" t="s">
        <v>10776</v>
      </c>
      <c r="P7887" s="7" t="str">
        <f>HYPERLINK("#Liste_rouge!A"&amp;_xlfn.XMATCH("LC",Liste_rouge!A:A,2,1),"LC")</f>
        <v>LC</v>
      </c>
      <c r="AH7887" s="4" t="str">
        <f>HYPERLINK("#Statut_biogéographique!A"&amp;_xlfn.XMATCH("P",Statut_biogéographique!A:A,2,1),"P")</f>
        <v>P</v>
      </c>
      <c r="AP7887" s="4" t="s">
        <v>376</v>
      </c>
      <c r="AR7887" s="4" t="s">
        <v>377</v>
      </c>
    </row>
    <row r="7888" spans="1:44">
      <c r="A7888" s="4" t="s">
        <v>10753</v>
      </c>
      <c r="B7888" s="4">
        <v>1014245</v>
      </c>
      <c r="D7888" s="5" t="s">
        <v>10777</v>
      </c>
      <c r="E7888" s="6" t="str">
        <f>HYPERLINK("https://inpn.mnhn.fr/espece/cd_nom/1014245","Trichopoda pictipennis Bigot, 1876")</f>
        <v>Trichopoda pictipennis Bigot, 1876</v>
      </c>
      <c r="AH7888" s="4" t="str">
        <f>HYPERLINK("#Statut_biogéographique!A"&amp;_xlfn.XMATCH("I",Statut_biogéographique!A:A,2,1),"I")</f>
        <v>I</v>
      </c>
      <c r="AP7888" s="4" t="s">
        <v>376</v>
      </c>
      <c r="AR7888" s="4" t="s">
        <v>377</v>
      </c>
    </row>
    <row r="7889" spans="1:44" ht="30">
      <c r="A7889" s="4" t="s">
        <v>10753</v>
      </c>
      <c r="B7889" s="4">
        <v>10143</v>
      </c>
      <c r="D7889" s="5" t="s">
        <v>10778</v>
      </c>
      <c r="E7889" s="6" t="str">
        <f>HYPERLINK("https://inpn.mnhn.fr/espece/cd_nom/10143","Anthophagus bicornis (Block, 1799)")</f>
        <v>Anthophagus bicornis (Block, 1799)</v>
      </c>
      <c r="AH7889" s="4" t="str">
        <f>HYPERLINK("#Statut_biogéographique!A"&amp;_xlfn.XMATCH("P",Statut_biogéographique!A:A,2,1),"P")</f>
        <v>P</v>
      </c>
      <c r="AP7889" s="4" t="s">
        <v>376</v>
      </c>
      <c r="AR7889" s="4" t="s">
        <v>377</v>
      </c>
    </row>
    <row r="7890" spans="1:44" ht="30">
      <c r="A7890" s="4" t="s">
        <v>10753</v>
      </c>
      <c r="B7890" s="4">
        <v>1015419</v>
      </c>
      <c r="D7890" s="5" t="s">
        <v>10779</v>
      </c>
      <c r="E7890" s="6" t="str">
        <f>HYPERLINK("https://inpn.mnhn.fr/espece/cd_nom/1015419","Manulea complana (Linnaeus, 1758)")</f>
        <v>Manulea complana (Linnaeus, 1758)</v>
      </c>
      <c r="F7890" s="5" t="s">
        <v>10780</v>
      </c>
      <c r="AH7890" s="4" t="str">
        <f>HYPERLINK("#Statut_biogéographique!A"&amp;_xlfn.XMATCH("P",Statut_biogéographique!A:A,2,1),"P")</f>
        <v>P</v>
      </c>
      <c r="AP7890" s="4" t="s">
        <v>376</v>
      </c>
      <c r="AR7890" s="4" t="s">
        <v>377</v>
      </c>
    </row>
    <row r="7891" spans="1:44" ht="30">
      <c r="A7891" s="4" t="s">
        <v>10753</v>
      </c>
      <c r="B7891" s="4">
        <v>1015420</v>
      </c>
      <c r="D7891" s="5" t="s">
        <v>10781</v>
      </c>
      <c r="E7891" s="6" t="str">
        <f>HYPERLINK("https://inpn.mnhn.fr/espece/cd_nom/1015420","Manulea pseudocomplana (Daniel, 1939)")</f>
        <v>Manulea pseudocomplana (Daniel, 1939)</v>
      </c>
      <c r="F7891" s="5" t="s">
        <v>10782</v>
      </c>
      <c r="AH7891" s="4" t="str">
        <f>HYPERLINK("#Statut_biogéographique!A"&amp;_xlfn.XMATCH("P",Statut_biogéographique!A:A,2,1),"P")</f>
        <v>P</v>
      </c>
      <c r="AP7891" s="4" t="s">
        <v>376</v>
      </c>
      <c r="AR7891" s="4" t="s">
        <v>377</v>
      </c>
    </row>
    <row r="7892" spans="1:44">
      <c r="A7892" s="4" t="s">
        <v>10753</v>
      </c>
      <c r="B7892" s="4">
        <v>1015423</v>
      </c>
      <c r="D7892" s="5" t="s">
        <v>10783</v>
      </c>
      <c r="E7892" s="6" t="str">
        <f>HYPERLINK("https://inpn.mnhn.fr/espece/cd_nom/1015423","Manulea palliatella (Scopoli, 1763)")</f>
        <v>Manulea palliatella (Scopoli, 1763)</v>
      </c>
      <c r="F7892" s="5" t="s">
        <v>10784</v>
      </c>
      <c r="AH7892" s="4" t="str">
        <f>HYPERLINK("#Statut_biogéographique!A"&amp;_xlfn.XMATCH("P",Statut_biogéographique!A:A,2,1),"P")</f>
        <v>P</v>
      </c>
      <c r="AP7892" s="4" t="s">
        <v>376</v>
      </c>
      <c r="AR7892" s="4" t="s">
        <v>377</v>
      </c>
    </row>
    <row r="7893" spans="1:44" ht="30">
      <c r="A7893" s="4" t="s">
        <v>10753</v>
      </c>
      <c r="B7893" s="4">
        <v>1015428</v>
      </c>
      <c r="D7893" s="5" t="s">
        <v>10785</v>
      </c>
      <c r="E7893" s="6" t="str">
        <f>HYPERLINK("https://inpn.mnhn.fr/espece/cd_nom/1015428","Indalia lutarella (Linnaeus, 1758)")</f>
        <v>Indalia lutarella (Linnaeus, 1758)</v>
      </c>
      <c r="F7893" s="5" t="s">
        <v>10786</v>
      </c>
      <c r="AH7893" s="4" t="str">
        <f>HYPERLINK("#Statut_biogéographique!A"&amp;_xlfn.XMATCH("P",Statut_biogéographique!A:A,2,1),"P")</f>
        <v>P</v>
      </c>
      <c r="AP7893" s="4" t="s">
        <v>376</v>
      </c>
      <c r="AR7893" s="4" t="s">
        <v>377</v>
      </c>
    </row>
    <row r="7894" spans="1:44">
      <c r="A7894" s="4" t="s">
        <v>10753</v>
      </c>
      <c r="B7894" s="4">
        <v>1015431</v>
      </c>
      <c r="D7894" s="5" t="s">
        <v>10787</v>
      </c>
      <c r="E7894" s="6" t="str">
        <f>HYPERLINK("https://inpn.mnhn.fr/espece/cd_nom/1015431","Indalia pygmaeola (Doubleday, 1847)")</f>
        <v>Indalia pygmaeola (Doubleday, 1847)</v>
      </c>
      <c r="F7894" s="5" t="s">
        <v>10788</v>
      </c>
      <c r="AH7894" s="4" t="str">
        <f>HYPERLINK("#Statut_biogéographique!A"&amp;_xlfn.XMATCH("P",Statut_biogéographique!A:A,2,1),"P")</f>
        <v>P</v>
      </c>
      <c r="AP7894" s="4" t="s">
        <v>376</v>
      </c>
      <c r="AR7894" s="4" t="s">
        <v>377</v>
      </c>
    </row>
    <row r="7895" spans="1:44" ht="30">
      <c r="A7895" s="4" t="s">
        <v>10753</v>
      </c>
      <c r="B7895" s="4">
        <v>1015435</v>
      </c>
      <c r="D7895" s="5" t="s">
        <v>10789</v>
      </c>
      <c r="E7895" s="6" t="str">
        <f>HYPERLINK("https://inpn.mnhn.fr/espece/cd_nom/1015435","Nyea lurideola (Zincken, 1817)")</f>
        <v>Nyea lurideola (Zincken, 1817)</v>
      </c>
      <c r="F7895" s="5" t="s">
        <v>10790</v>
      </c>
      <c r="AH7895" s="4" t="str">
        <f>HYPERLINK("#Statut_biogéographique!A"&amp;_xlfn.XMATCH("P",Statut_biogéographique!A:A,2,1),"P")</f>
        <v>P</v>
      </c>
      <c r="AP7895" s="4" t="s">
        <v>376</v>
      </c>
      <c r="AR7895" s="4" t="s">
        <v>377</v>
      </c>
    </row>
    <row r="7896" spans="1:44">
      <c r="A7896" s="4" t="s">
        <v>10753</v>
      </c>
      <c r="B7896" s="4">
        <v>1015437</v>
      </c>
      <c r="D7896" s="5" t="s">
        <v>10791</v>
      </c>
      <c r="E7896" s="6" t="str">
        <f>HYPERLINK("https://inpn.mnhn.fr/espece/cd_nom/1015437","Collita griseola (Hübner, 1803)")</f>
        <v>Collita griseola (Hübner, 1803)</v>
      </c>
      <c r="F7896" s="5" t="s">
        <v>10792</v>
      </c>
      <c r="AH7896" s="4" t="str">
        <f>HYPERLINK("#Statut_biogéographique!A"&amp;_xlfn.XMATCH("P",Statut_biogéographique!A:A,2,1),"P")</f>
        <v>P</v>
      </c>
      <c r="AP7896" s="4" t="s">
        <v>376</v>
      </c>
      <c r="AR7896" s="4" t="s">
        <v>377</v>
      </c>
    </row>
    <row r="7897" spans="1:44" ht="30">
      <c r="A7897" s="4" t="s">
        <v>10753</v>
      </c>
      <c r="B7897" s="4">
        <v>1015440</v>
      </c>
      <c r="D7897" s="5" t="s">
        <v>10793</v>
      </c>
      <c r="E7897" s="6" t="str">
        <f>HYPERLINK("https://inpn.mnhn.fr/espece/cd_nom/1015440","Katha depressa (Esper, 1787)")</f>
        <v>Katha depressa (Esper, 1787)</v>
      </c>
      <c r="F7897" s="5" t="s">
        <v>10794</v>
      </c>
      <c r="AH7897" s="4" t="str">
        <f>HYPERLINK("#Statut_biogéographique!A"&amp;_xlfn.XMATCH("P",Statut_biogéographique!A:A,2,1),"P")</f>
        <v>P</v>
      </c>
      <c r="AP7897" s="4" t="s">
        <v>376</v>
      </c>
      <c r="AR7897" s="4" t="s">
        <v>377</v>
      </c>
    </row>
    <row r="7898" spans="1:44">
      <c r="A7898" s="4" t="s">
        <v>10753</v>
      </c>
      <c r="B7898" s="4">
        <v>10158</v>
      </c>
      <c r="D7898" s="5" t="s">
        <v>10795</v>
      </c>
      <c r="E7898" s="6" t="str">
        <f>HYPERLINK("https://inpn.mnhn.fr/espece/cd_nom/10158","Lesteva punctata Erichson, 1839")</f>
        <v>Lesteva punctata Erichson, 1839</v>
      </c>
      <c r="AH7898" s="4" t="str">
        <f>HYPERLINK("#Statut_biogéographique!A"&amp;_xlfn.XMATCH("P",Statut_biogéographique!A:A,2,1),"P")</f>
        <v>P</v>
      </c>
      <c r="AP7898" s="4" t="s">
        <v>376</v>
      </c>
      <c r="AR7898" s="4" t="s">
        <v>377</v>
      </c>
    </row>
    <row r="7899" spans="1:44">
      <c r="A7899" s="4" t="s">
        <v>10753</v>
      </c>
      <c r="B7899" s="4">
        <v>1016011</v>
      </c>
      <c r="D7899" s="5" t="s">
        <v>10796</v>
      </c>
      <c r="E7899" s="6" t="str">
        <f>HYPERLINK("https://inpn.mnhn.fr/espece/cd_nom/1016011","Agapetus dubitans (McLachlan, 1879)")</f>
        <v>Agapetus dubitans (McLachlan, 1879)</v>
      </c>
      <c r="AH7899" s="4" t="str">
        <f>HYPERLINK("#Statut_biogéographique!A"&amp;_xlfn.XMATCH("P",Statut_biogéographique!A:A,2,1),"P")</f>
        <v>P</v>
      </c>
      <c r="AP7899" s="4" t="s">
        <v>376</v>
      </c>
      <c r="AR7899" s="4" t="s">
        <v>377</v>
      </c>
    </row>
    <row r="7900" spans="1:44">
      <c r="A7900" s="4" t="s">
        <v>10753</v>
      </c>
      <c r="B7900" s="4">
        <v>1016051</v>
      </c>
      <c r="D7900" s="5" t="s">
        <v>10797</v>
      </c>
      <c r="E7900" s="6" t="str">
        <f>HYPERLINK("https://inpn.mnhn.fr/espece/cd_nom/1016051","Beraea maura (Curtis, 1834)")</f>
        <v>Beraea maura (Curtis, 1834)</v>
      </c>
      <c r="AH7900" s="4" t="str">
        <f>HYPERLINK("#Statut_biogéographique!A"&amp;_xlfn.XMATCH("P",Statut_biogéographique!A:A,2,1),"P")</f>
        <v>P</v>
      </c>
      <c r="AP7900" s="4" t="s">
        <v>376</v>
      </c>
      <c r="AR7900" s="4" t="s">
        <v>377</v>
      </c>
    </row>
    <row r="7901" spans="1:44">
      <c r="A7901" s="4" t="s">
        <v>10753</v>
      </c>
      <c r="B7901" s="4">
        <v>1016209</v>
      </c>
      <c r="D7901" s="5" t="s">
        <v>10798</v>
      </c>
      <c r="E7901" s="6" t="str">
        <f>HYPERLINK("https://inpn.mnhn.fr/espece/cd_nom/1016209","Drusus destitutus (Kolenati, 1848)")</f>
        <v>Drusus destitutus (Kolenati, 1848)</v>
      </c>
      <c r="AH7901" s="4" t="str">
        <f>HYPERLINK("#Statut_biogéographique!A"&amp;_xlfn.XMATCH("P",Statut_biogéographique!A:A,2,1),"P")</f>
        <v>P</v>
      </c>
      <c r="AP7901" s="4" t="s">
        <v>376</v>
      </c>
      <c r="AR7901" s="4" t="s">
        <v>377</v>
      </c>
    </row>
    <row r="7902" spans="1:44" ht="30">
      <c r="A7902" s="4" t="s">
        <v>10753</v>
      </c>
      <c r="B7902" s="4">
        <v>10171</v>
      </c>
      <c r="D7902" s="5" t="s">
        <v>10799</v>
      </c>
      <c r="E7902" s="6" t="str">
        <f>HYPERLINK("https://inpn.mnhn.fr/espece/cd_nom/10171","Xylodromus concinnus (Marsham, 1802)")</f>
        <v>Xylodromus concinnus (Marsham, 1802)</v>
      </c>
      <c r="AH7902" s="4" t="str">
        <f>HYPERLINK("#Statut_biogéographique!A"&amp;_xlfn.XMATCH("P",Statut_biogéographique!A:A,2,1),"P")</f>
        <v>P</v>
      </c>
      <c r="AP7902" s="4" t="s">
        <v>376</v>
      </c>
      <c r="AR7902" s="4" t="s">
        <v>377</v>
      </c>
    </row>
    <row r="7903" spans="1:44">
      <c r="A7903" s="4" t="s">
        <v>10753</v>
      </c>
      <c r="B7903" s="4">
        <v>10176</v>
      </c>
      <c r="D7903" s="5" t="s">
        <v>10800</v>
      </c>
      <c r="E7903" s="6" t="str">
        <f>HYPERLINK("https://inpn.mnhn.fr/espece/cd_nom/10176","Phloeonomus pusillus (Gravenhorst, 1806)")</f>
        <v>Phloeonomus pusillus (Gravenhorst, 1806)</v>
      </c>
      <c r="AH7903" s="4" t="str">
        <f>HYPERLINK("#Statut_biogéographique!A"&amp;_xlfn.XMATCH("P",Statut_biogéographique!A:A,2,1),"P")</f>
        <v>P</v>
      </c>
      <c r="AP7903" s="4" t="s">
        <v>376</v>
      </c>
      <c r="AR7903" s="4" t="s">
        <v>377</v>
      </c>
    </row>
    <row r="7904" spans="1:44" ht="30">
      <c r="A7904" s="4" t="s">
        <v>10753</v>
      </c>
      <c r="B7904" s="4">
        <v>10178</v>
      </c>
      <c r="D7904" s="5" t="s">
        <v>10801</v>
      </c>
      <c r="E7904" s="6" t="str">
        <f>HYPERLINK("https://inpn.mnhn.fr/espece/cd_nom/10178","Omalium rivulare (Paykull, 1789)")</f>
        <v>Omalium rivulare (Paykull, 1789)</v>
      </c>
      <c r="AH7904" s="4" t="str">
        <f>HYPERLINK("#Statut_biogéographique!A"&amp;_xlfn.XMATCH("P",Statut_biogéographique!A:A,2,1),"P")</f>
        <v>P</v>
      </c>
      <c r="AP7904" s="4" t="s">
        <v>376</v>
      </c>
      <c r="AR7904" s="4" t="s">
        <v>377</v>
      </c>
    </row>
    <row r="7905" spans="1:44">
      <c r="A7905" s="4" t="s">
        <v>10753</v>
      </c>
      <c r="B7905" s="4">
        <v>10180</v>
      </c>
      <c r="D7905" s="5" t="s">
        <v>10802</v>
      </c>
      <c r="E7905" s="6" t="str">
        <f>HYPERLINK("https://inpn.mnhn.fr/espece/cd_nom/10180","Acrulia inflata (Gyllenhal, 1813)")</f>
        <v>Acrulia inflata (Gyllenhal, 1813)</v>
      </c>
      <c r="AH7905" s="4" t="str">
        <f>HYPERLINK("#Statut_biogéographique!A"&amp;_xlfn.XMATCH("P",Statut_biogéographique!A:A,2,1),"P")</f>
        <v>P</v>
      </c>
      <c r="AP7905" s="4" t="s">
        <v>376</v>
      </c>
      <c r="AR7905" s="4" t="s">
        <v>377</v>
      </c>
    </row>
    <row r="7906" spans="1:44">
      <c r="A7906" s="4" t="s">
        <v>10753</v>
      </c>
      <c r="B7906" s="4">
        <v>10194</v>
      </c>
      <c r="D7906" s="5" t="s">
        <v>10803</v>
      </c>
      <c r="E7906" s="6" t="str">
        <f>HYPERLINK("https://inpn.mnhn.fr/espece/cd_nom/10194","Eusphalerum marshami (Fauvel, 1869)")</f>
        <v>Eusphalerum marshami (Fauvel, 1869)</v>
      </c>
      <c r="AH7906" s="4" t="str">
        <f>HYPERLINK("#Statut_biogéographique!A"&amp;_xlfn.XMATCH("P",Statut_biogéographique!A:A,2,1),"P")</f>
        <v>P</v>
      </c>
      <c r="AP7906" s="4" t="s">
        <v>376</v>
      </c>
      <c r="AR7906" s="4" t="s">
        <v>377</v>
      </c>
    </row>
    <row r="7907" spans="1:44" ht="45">
      <c r="A7907" s="4" t="s">
        <v>10753</v>
      </c>
      <c r="B7907" s="4">
        <v>10195</v>
      </c>
      <c r="D7907" s="5" t="s">
        <v>10804</v>
      </c>
      <c r="E7907" s="6" t="str">
        <f>HYPERLINK("https://inpn.mnhn.fr/espece/cd_nom/10195","Eusphalerum minutum (Fabricius, 1792)")</f>
        <v>Eusphalerum minutum (Fabricius, 1792)</v>
      </c>
      <c r="AH7907" s="4" t="str">
        <f>HYPERLINK("#Statut_biogéographique!A"&amp;_xlfn.XMATCH("P",Statut_biogéographique!A:A,2,1),"P")</f>
        <v>P</v>
      </c>
      <c r="AP7907" s="4" t="s">
        <v>376</v>
      </c>
      <c r="AR7907" s="4" t="s">
        <v>377</v>
      </c>
    </row>
    <row r="7908" spans="1:44">
      <c r="A7908" s="4" t="s">
        <v>10753</v>
      </c>
      <c r="B7908" s="4">
        <v>10207</v>
      </c>
      <c r="D7908" s="5" t="s">
        <v>10805</v>
      </c>
      <c r="E7908" s="6" t="str">
        <f>HYPERLINK("https://inpn.mnhn.fr/espece/cd_nom/10207","Megarthrus denticollis Beck, 1817")</f>
        <v>Megarthrus denticollis Beck, 1817</v>
      </c>
      <c r="AH7908" s="4" t="str">
        <f>HYPERLINK("#Statut_biogéographique!A"&amp;_xlfn.XMATCH("P",Statut_biogéographique!A:A,2,1),"P")</f>
        <v>P</v>
      </c>
      <c r="AP7908" s="4" t="s">
        <v>376</v>
      </c>
      <c r="AR7908" s="4" t="s">
        <v>377</v>
      </c>
    </row>
    <row r="7909" spans="1:44">
      <c r="A7909" s="4" t="s">
        <v>10753</v>
      </c>
      <c r="B7909" s="4">
        <v>10217</v>
      </c>
      <c r="D7909" s="5" t="s">
        <v>10806</v>
      </c>
      <c r="E7909" s="6" t="str">
        <f>HYPERLINK("https://inpn.mnhn.fr/espece/cd_nom/10217","Trimium brevicorne (Reichenbach, 1816)")</f>
        <v>Trimium brevicorne (Reichenbach, 1816)</v>
      </c>
      <c r="AH7909" s="4" t="str">
        <f>HYPERLINK("#Statut_biogéographique!A"&amp;_xlfn.XMATCH("P",Statut_biogéographique!A:A,2,1),"P")</f>
        <v>P</v>
      </c>
      <c r="AP7909" s="4" t="s">
        <v>376</v>
      </c>
      <c r="AR7909" s="4" t="s">
        <v>377</v>
      </c>
    </row>
    <row r="7910" spans="1:44">
      <c r="A7910" s="4" t="s">
        <v>10753</v>
      </c>
      <c r="B7910" s="4">
        <v>10220</v>
      </c>
      <c r="D7910" s="5">
        <v>10220</v>
      </c>
      <c r="E7910" s="6" t="str">
        <f>HYPERLINK("https://inpn.mnhn.fr/espece/cd_nom/10220","Euplectus piceus Motschulsky, 1835")</f>
        <v>Euplectus piceus Motschulsky, 1835</v>
      </c>
      <c r="AH7910" s="4" t="str">
        <f>HYPERLINK("#Statut_biogéographique!A"&amp;_xlfn.XMATCH("P",Statut_biogéographique!A:A,2,1),"P")</f>
        <v>P</v>
      </c>
      <c r="AP7910" s="4" t="s">
        <v>376</v>
      </c>
      <c r="AR7910" s="4" t="s">
        <v>377</v>
      </c>
    </row>
    <row r="7911" spans="1:44">
      <c r="A7911" s="4" t="s">
        <v>10753</v>
      </c>
      <c r="B7911" s="4">
        <v>10222</v>
      </c>
      <c r="D7911" s="5" t="s">
        <v>10807</v>
      </c>
      <c r="E7911" s="6" t="str">
        <f>HYPERLINK("https://inpn.mnhn.fr/espece/cd_nom/10222","Plectophloeus fischeri (Aubé, 1833)")</f>
        <v>Plectophloeus fischeri (Aubé, 1833)</v>
      </c>
      <c r="AH7911" s="4" t="str">
        <f>HYPERLINK("#Statut_biogéographique!A"&amp;_xlfn.XMATCH("P",Statut_biogéographique!A:A,2,1),"P")</f>
        <v>P</v>
      </c>
      <c r="AP7911" s="4" t="s">
        <v>376</v>
      </c>
      <c r="AR7911" s="4" t="s">
        <v>377</v>
      </c>
    </row>
    <row r="7912" spans="1:44">
      <c r="A7912" s="4" t="s">
        <v>10753</v>
      </c>
      <c r="B7912" s="4">
        <v>10228</v>
      </c>
      <c r="D7912" s="5" t="s">
        <v>10808</v>
      </c>
      <c r="E7912" s="6" t="str">
        <f>HYPERLINK("https://inpn.mnhn.fr/espece/cd_nom/10228","Bibloporus bicolor (Denny, 1825)")</f>
        <v>Bibloporus bicolor (Denny, 1825)</v>
      </c>
      <c r="AH7912" s="4" t="str">
        <f>HYPERLINK("#Statut_biogéographique!A"&amp;_xlfn.XMATCH("P",Statut_biogéographique!A:A,2,1),"P")</f>
        <v>P</v>
      </c>
      <c r="AP7912" s="4" t="s">
        <v>376</v>
      </c>
      <c r="AR7912" s="4" t="s">
        <v>377</v>
      </c>
    </row>
    <row r="7913" spans="1:44">
      <c r="A7913" s="4" t="s">
        <v>10753</v>
      </c>
      <c r="B7913" s="4">
        <v>10233</v>
      </c>
      <c r="D7913" s="5">
        <v>10233</v>
      </c>
      <c r="E7913" s="6" t="str">
        <f>HYPERLINK("https://inpn.mnhn.fr/espece/cd_nom/10233","Batrisus formicarius Aubé, 1833")</f>
        <v>Batrisus formicarius Aubé, 1833</v>
      </c>
      <c r="AH7913" s="4" t="str">
        <f>HYPERLINK("#Statut_biogéographique!A"&amp;_xlfn.XMATCH("P",Statut_biogéographique!A:A,2,1),"P")</f>
        <v>P</v>
      </c>
      <c r="AP7913" s="4" t="s">
        <v>376</v>
      </c>
      <c r="AR7913" s="4" t="s">
        <v>377</v>
      </c>
    </row>
    <row r="7914" spans="1:44">
      <c r="A7914" s="4" t="s">
        <v>10753</v>
      </c>
      <c r="B7914" s="4">
        <v>10360</v>
      </c>
      <c r="D7914" s="5" t="s">
        <v>10809</v>
      </c>
      <c r="E7914" s="6" t="str">
        <f>HYPERLINK("https://inpn.mnhn.fr/espece/cd_nom/10360","Phosphuga atrata (Linnaeus, 1758)")</f>
        <v>Phosphuga atrata (Linnaeus, 1758)</v>
      </c>
      <c r="F7914" s="5" t="s">
        <v>10810</v>
      </c>
      <c r="AH7914" s="4" t="str">
        <f>HYPERLINK("#Statut_biogéographique!A"&amp;_xlfn.XMATCH("P",Statut_biogéographique!A:A,2,1),"P")</f>
        <v>P</v>
      </c>
      <c r="AP7914" s="4" t="s">
        <v>376</v>
      </c>
      <c r="AR7914" s="4" t="s">
        <v>377</v>
      </c>
    </row>
    <row r="7915" spans="1:44" ht="30">
      <c r="A7915" s="4" t="s">
        <v>10753</v>
      </c>
      <c r="B7915" s="4">
        <v>10362</v>
      </c>
      <c r="D7915" s="5" t="s">
        <v>10811</v>
      </c>
      <c r="E7915" s="6" t="str">
        <f>HYPERLINK("https://inpn.mnhn.fr/espece/cd_nom/10362","Ablattaria laevigata (Fabricius, 1775)")</f>
        <v>Ablattaria laevigata (Fabricius, 1775)</v>
      </c>
      <c r="F7915" s="5" t="s">
        <v>10812</v>
      </c>
      <c r="AH7915" s="4" t="str">
        <f>HYPERLINK("#Statut_biogéographique!A"&amp;_xlfn.XMATCH("P",Statut_biogéographique!A:A,2,1),"P")</f>
        <v>P</v>
      </c>
      <c r="AP7915" s="4" t="s">
        <v>376</v>
      </c>
      <c r="AR7915" s="4" t="s">
        <v>377</v>
      </c>
    </row>
    <row r="7916" spans="1:44" ht="45">
      <c r="A7916" s="4" t="s">
        <v>10753</v>
      </c>
      <c r="B7916" s="4">
        <v>10365</v>
      </c>
      <c r="D7916" s="5" t="s">
        <v>10813</v>
      </c>
      <c r="E7916" s="6" t="str">
        <f>HYPERLINK("https://inpn.mnhn.fr/espece/cd_nom/10365","Thanatophilus rugosus (Linnaeus, 1758)")</f>
        <v>Thanatophilus rugosus (Linnaeus, 1758)</v>
      </c>
      <c r="F7916" s="5" t="s">
        <v>10814</v>
      </c>
      <c r="AH7916" s="4" t="str">
        <f>HYPERLINK("#Statut_biogéographique!A"&amp;_xlfn.XMATCH("P",Statut_biogéographique!A:A,2,1),"P")</f>
        <v>P</v>
      </c>
      <c r="AP7916" s="4" t="s">
        <v>376</v>
      </c>
      <c r="AR7916" s="4" t="s">
        <v>377</v>
      </c>
    </row>
    <row r="7917" spans="1:44" ht="45">
      <c r="A7917" s="4" t="s">
        <v>10753</v>
      </c>
      <c r="B7917" s="4">
        <v>10370</v>
      </c>
      <c r="D7917" s="5" t="s">
        <v>10815</v>
      </c>
      <c r="E7917" s="6" t="str">
        <f>HYPERLINK("https://inpn.mnhn.fr/espece/cd_nom/10370","Silpha carinata Herbst, 1783")</f>
        <v>Silpha carinata Herbst, 1783</v>
      </c>
      <c r="F7917" s="5" t="s">
        <v>10816</v>
      </c>
      <c r="AH7917" s="4" t="str">
        <f>HYPERLINK("#Statut_biogéographique!A"&amp;_xlfn.XMATCH("P",Statut_biogéographique!A:A,2,1),"P")</f>
        <v>P</v>
      </c>
      <c r="AP7917" s="4" t="s">
        <v>376</v>
      </c>
      <c r="AR7917" s="4" t="s">
        <v>377</v>
      </c>
    </row>
    <row r="7918" spans="1:44">
      <c r="A7918" s="4" t="s">
        <v>10753</v>
      </c>
      <c r="B7918" s="4">
        <v>10372</v>
      </c>
      <c r="D7918" s="5">
        <v>10372</v>
      </c>
      <c r="E7918" s="6" t="str">
        <f>HYPERLINK("https://inpn.mnhn.fr/espece/cd_nom/10372","Silpha obscura Linnaeus, 1758")</f>
        <v>Silpha obscura Linnaeus, 1758</v>
      </c>
      <c r="AH7918" s="4" t="str">
        <f>HYPERLINK("#Statut_biogéographique!A"&amp;_xlfn.XMATCH("P",Statut_biogéographique!A:A,2,1),"P")</f>
        <v>P</v>
      </c>
      <c r="AP7918" s="4" t="s">
        <v>376</v>
      </c>
      <c r="AR7918" s="4" t="s">
        <v>377</v>
      </c>
    </row>
    <row r="7919" spans="1:44">
      <c r="A7919" s="4" t="s">
        <v>10753</v>
      </c>
      <c r="B7919" s="4">
        <v>10374</v>
      </c>
      <c r="D7919" s="5" t="s">
        <v>10817</v>
      </c>
      <c r="E7919" s="6" t="str">
        <f>HYPERLINK("https://inpn.mnhn.fr/espece/cd_nom/10374","Silpha tristis Illiger, 1798")</f>
        <v>Silpha tristis Illiger, 1798</v>
      </c>
      <c r="F7919" s="5" t="s">
        <v>10818</v>
      </c>
      <c r="AH7919" s="4" t="str">
        <f>HYPERLINK("#Statut_biogéographique!A"&amp;_xlfn.XMATCH("P",Statut_biogéographique!A:A,2,1),"P")</f>
        <v>P</v>
      </c>
      <c r="AP7919" s="4" t="s">
        <v>376</v>
      </c>
      <c r="AR7919" s="4" t="s">
        <v>377</v>
      </c>
    </row>
    <row r="7920" spans="1:44" ht="30">
      <c r="A7920" s="4" t="s">
        <v>10753</v>
      </c>
      <c r="B7920" s="4">
        <v>10381</v>
      </c>
      <c r="D7920" s="5" t="s">
        <v>10819</v>
      </c>
      <c r="E7920" s="6" t="str">
        <f>HYPERLINK("https://inpn.mnhn.fr/espece/cd_nom/10381","Necrodes littoralis (Linnaeus, 1758)")</f>
        <v>Necrodes littoralis (Linnaeus, 1758)</v>
      </c>
      <c r="F7920" s="5" t="s">
        <v>10820</v>
      </c>
      <c r="AH7920" s="4" t="str">
        <f>HYPERLINK("#Statut_biogéographique!A"&amp;_xlfn.XMATCH("P",Statut_biogéographique!A:A,2,1),"P")</f>
        <v>P</v>
      </c>
      <c r="AP7920" s="4" t="s">
        <v>376</v>
      </c>
      <c r="AR7920" s="4" t="s">
        <v>377</v>
      </c>
    </row>
    <row r="7921" spans="1:44">
      <c r="A7921" s="4" t="s">
        <v>10753</v>
      </c>
      <c r="B7921" s="4">
        <v>10389</v>
      </c>
      <c r="D7921" s="5">
        <v>10389</v>
      </c>
      <c r="E7921" s="6" t="str">
        <f>HYPERLINK("https://inpn.mnhn.fr/espece/cd_nom/10389","Choleva fagniezi Jeannel, 1922")</f>
        <v>Choleva fagniezi Jeannel, 1922</v>
      </c>
      <c r="AH7921" s="4" t="str">
        <f>HYPERLINK("#Statut_biogéographique!A"&amp;_xlfn.XMATCH("P",Statut_biogéographique!A:A,2,1),"P")</f>
        <v>P</v>
      </c>
      <c r="AP7921" s="4" t="s">
        <v>376</v>
      </c>
      <c r="AR7921" s="4" t="s">
        <v>377</v>
      </c>
    </row>
    <row r="7922" spans="1:44">
      <c r="A7922" s="4" t="s">
        <v>10753</v>
      </c>
      <c r="B7922" s="4">
        <v>10400</v>
      </c>
      <c r="D7922" s="5" t="s">
        <v>10821</v>
      </c>
      <c r="E7922" s="6" t="str">
        <f>HYPERLINK("https://inpn.mnhn.fr/espece/cd_nom/10400","Agathidium badium Erichson, 1845")</f>
        <v>Agathidium badium Erichson, 1845</v>
      </c>
      <c r="AH7922" s="4" t="str">
        <f>HYPERLINK("#Statut_biogéographique!A"&amp;_xlfn.XMATCH("P",Statut_biogéographique!A:A,2,1),"P")</f>
        <v>P</v>
      </c>
      <c r="AP7922" s="4" t="s">
        <v>376</v>
      </c>
      <c r="AR7922" s="4" t="s">
        <v>377</v>
      </c>
    </row>
    <row r="7923" spans="1:44" ht="30">
      <c r="A7923" s="4" t="s">
        <v>10753</v>
      </c>
      <c r="B7923" s="4">
        <v>10404</v>
      </c>
      <c r="D7923" s="5" t="s">
        <v>10822</v>
      </c>
      <c r="E7923" s="6" t="str">
        <f>HYPERLINK("https://inpn.mnhn.fr/espece/cd_nom/10404","Agathidium seminulum (Linnaeus, 1758)")</f>
        <v>Agathidium seminulum (Linnaeus, 1758)</v>
      </c>
      <c r="AH7923" s="4" t="str">
        <f>HYPERLINK("#Statut_biogéographique!A"&amp;_xlfn.XMATCH("P",Statut_biogéographique!A:A,2,1),"P")</f>
        <v>P</v>
      </c>
      <c r="AP7923" s="4" t="s">
        <v>376</v>
      </c>
      <c r="AR7923" s="4" t="s">
        <v>377</v>
      </c>
    </row>
    <row r="7924" spans="1:44" ht="30">
      <c r="A7924" s="4" t="s">
        <v>10753</v>
      </c>
      <c r="B7924" s="4">
        <v>10415</v>
      </c>
      <c r="D7924" s="5" t="s">
        <v>10823</v>
      </c>
      <c r="E7924" s="6" t="str">
        <f>HYPERLINK("https://inpn.mnhn.fr/espece/cd_nom/10415","Sericoderus lateralis (Gyllenhal, 1827)")</f>
        <v>Sericoderus lateralis (Gyllenhal, 1827)</v>
      </c>
      <c r="AH7924" s="4" t="str">
        <f>HYPERLINK("#Statut_biogéographique!A"&amp;_xlfn.XMATCH("P",Statut_biogéographique!A:A,2,1),"P")</f>
        <v>P</v>
      </c>
      <c r="AP7924" s="4" t="s">
        <v>376</v>
      </c>
      <c r="AR7924" s="4" t="s">
        <v>377</v>
      </c>
    </row>
    <row r="7925" spans="1:44">
      <c r="A7925" s="4" t="s">
        <v>10753</v>
      </c>
      <c r="B7925" s="4">
        <v>10420</v>
      </c>
      <c r="D7925" s="5" t="s">
        <v>10824</v>
      </c>
      <c r="E7925" s="6" t="str">
        <f>HYPERLINK("https://inpn.mnhn.fr/espece/cd_nom/10420","Ptenidium fuscicorne Erichson, 1845")</f>
        <v>Ptenidium fuscicorne Erichson, 1845</v>
      </c>
      <c r="AH7925" s="4" t="str">
        <f>HYPERLINK("#Statut_biogéographique!A"&amp;_xlfn.XMATCH("P",Statut_biogéographique!A:A,2,1),"P")</f>
        <v>P</v>
      </c>
      <c r="AP7925" s="4" t="s">
        <v>376</v>
      </c>
      <c r="AR7925" s="4" t="s">
        <v>377</v>
      </c>
    </row>
    <row r="7926" spans="1:44">
      <c r="A7926" s="4" t="s">
        <v>10753</v>
      </c>
      <c r="B7926" s="4">
        <v>10433</v>
      </c>
      <c r="D7926" s="5">
        <v>10433</v>
      </c>
      <c r="E7926" s="6" t="str">
        <f>HYPERLINK("https://inpn.mnhn.fr/espece/cd_nom/10433","Scaphidium quadrimaculatum Olivier, 1790")</f>
        <v>Scaphidium quadrimaculatum Olivier, 1790</v>
      </c>
      <c r="AH7926" s="4" t="str">
        <f>HYPERLINK("#Statut_biogéographique!A"&amp;_xlfn.XMATCH("P",Statut_biogéographique!A:A,2,1),"P")</f>
        <v>P</v>
      </c>
      <c r="AP7926" s="4" t="s">
        <v>376</v>
      </c>
      <c r="AR7926" s="4" t="s">
        <v>377</v>
      </c>
    </row>
    <row r="7927" spans="1:44">
      <c r="A7927" s="4" t="s">
        <v>10753</v>
      </c>
      <c r="B7927" s="4">
        <v>10437</v>
      </c>
      <c r="D7927" s="5" t="s">
        <v>10825</v>
      </c>
      <c r="E7927" s="6" t="str">
        <f>HYPERLINK("https://inpn.mnhn.fr/espece/cd_nom/10437","Platysoma compressum (Herbst, 1783)")</f>
        <v>Platysoma compressum (Herbst, 1783)</v>
      </c>
      <c r="AH7927" s="4" t="str">
        <f>HYPERLINK("#Statut_biogéographique!A"&amp;_xlfn.XMATCH("P",Statut_biogéographique!A:A,2,1),"P")</f>
        <v>P</v>
      </c>
      <c r="AP7927" s="4" t="s">
        <v>376</v>
      </c>
      <c r="AR7927" s="4" t="s">
        <v>377</v>
      </c>
    </row>
    <row r="7928" spans="1:44">
      <c r="A7928" s="4" t="s">
        <v>10753</v>
      </c>
      <c r="B7928" s="4">
        <v>10440</v>
      </c>
      <c r="D7928" s="5" t="s">
        <v>10826</v>
      </c>
      <c r="E7928" s="6" t="str">
        <f>HYPERLINK("https://inpn.mnhn.fr/espece/cd_nom/10440","Pachylister inaequalis (Olivier, 1789)")</f>
        <v>Pachylister inaequalis (Olivier, 1789)</v>
      </c>
      <c r="F7928" s="5" t="s">
        <v>10827</v>
      </c>
      <c r="AH7928" s="4" t="str">
        <f>HYPERLINK("#Statut_biogéographique!A"&amp;_xlfn.XMATCH("P",Statut_biogéographique!A:A,2,1),"P")</f>
        <v>P</v>
      </c>
      <c r="AP7928" s="4" t="s">
        <v>376</v>
      </c>
      <c r="AR7928" s="4" t="s">
        <v>377</v>
      </c>
    </row>
    <row r="7929" spans="1:44" ht="45">
      <c r="A7929" s="4" t="s">
        <v>10753</v>
      </c>
      <c r="B7929" s="4">
        <v>10449</v>
      </c>
      <c r="D7929" s="5" t="s">
        <v>10828</v>
      </c>
      <c r="E7929" s="6" t="str">
        <f>HYPERLINK("https://inpn.mnhn.fr/espece/cd_nom/10449","Hister quadrimaculatus Linnaeus, 1758")</f>
        <v>Hister quadrimaculatus Linnaeus, 1758</v>
      </c>
      <c r="F7929" s="5" t="s">
        <v>10829</v>
      </c>
      <c r="AH7929" s="4" t="str">
        <f>HYPERLINK("#Statut_biogéographique!A"&amp;_xlfn.XMATCH("P",Statut_biogéographique!A:A,2,1),"P")</f>
        <v>P</v>
      </c>
      <c r="AP7929" s="4" t="s">
        <v>376</v>
      </c>
      <c r="AR7929" s="4" t="s">
        <v>377</v>
      </c>
    </row>
    <row r="7930" spans="1:44">
      <c r="A7930" s="4" t="s">
        <v>10753</v>
      </c>
      <c r="B7930" s="4">
        <v>10455</v>
      </c>
      <c r="D7930" s="5" t="s">
        <v>10830</v>
      </c>
      <c r="E7930" s="6" t="str">
        <f>HYPERLINK("https://inpn.mnhn.fr/espece/cd_nom/10455","Hister unicolor Linnaeus, 1758")</f>
        <v>Hister unicolor Linnaeus, 1758</v>
      </c>
      <c r="AH7930" s="4" t="str">
        <f>HYPERLINK("#Statut_biogéographique!A"&amp;_xlfn.XMATCH("P",Statut_biogéographique!A:A,2,1),"P")</f>
        <v>P</v>
      </c>
      <c r="AP7930" s="4" t="s">
        <v>376</v>
      </c>
      <c r="AR7930" s="4" t="s">
        <v>377</v>
      </c>
    </row>
    <row r="7931" spans="1:44">
      <c r="A7931" s="4" t="s">
        <v>10753</v>
      </c>
      <c r="B7931" s="4">
        <v>10472</v>
      </c>
      <c r="D7931" s="5" t="s">
        <v>10831</v>
      </c>
      <c r="E7931" s="6" t="str">
        <f>HYPERLINK("https://inpn.mnhn.fr/espece/cd_nom/10472","Saprinus aeneus (Fabricius, 1775)")</f>
        <v>Saprinus aeneus (Fabricius, 1775)</v>
      </c>
      <c r="AH7931" s="4" t="str">
        <f>HYPERLINK("#Statut_biogéographique!A"&amp;_xlfn.XMATCH("P",Statut_biogéographique!A:A,2,1),"P")</f>
        <v>P</v>
      </c>
      <c r="AP7931" s="4" t="s">
        <v>376</v>
      </c>
      <c r="AR7931" s="4" t="s">
        <v>377</v>
      </c>
    </row>
    <row r="7932" spans="1:44" ht="30">
      <c r="A7932" s="4" t="s">
        <v>10753</v>
      </c>
      <c r="B7932" s="4">
        <v>10475</v>
      </c>
      <c r="D7932" s="5" t="s">
        <v>10832</v>
      </c>
      <c r="E7932" s="6" t="str">
        <f>HYPERLINK("https://inpn.mnhn.fr/espece/cd_nom/10475","Saprinus semistriatus (Scriba, 1790)")</f>
        <v>Saprinus semistriatus (Scriba, 1790)</v>
      </c>
      <c r="AH7932" s="4" t="str">
        <f>HYPERLINK("#Statut_biogéographique!A"&amp;_xlfn.XMATCH("P",Statut_biogéographique!A:A,2,1),"P")</f>
        <v>P</v>
      </c>
      <c r="AP7932" s="4" t="s">
        <v>376</v>
      </c>
      <c r="AR7932" s="4" t="s">
        <v>377</v>
      </c>
    </row>
    <row r="7933" spans="1:44">
      <c r="A7933" s="4" t="s">
        <v>10753</v>
      </c>
      <c r="B7933" s="4">
        <v>10478</v>
      </c>
      <c r="D7933" s="5" t="s">
        <v>10833</v>
      </c>
      <c r="E7933" s="6" t="str">
        <f>HYPERLINK("https://inpn.mnhn.fr/espece/cd_nom/10478","Saprinus subnitescens Bickhardt, 1909")</f>
        <v>Saprinus subnitescens Bickhardt, 1909</v>
      </c>
      <c r="AH7933" s="4" t="str">
        <f>HYPERLINK("#Statut_biogéographique!A"&amp;_xlfn.XMATCH("P",Statut_biogéographique!A:A,2,1),"P")</f>
        <v>P</v>
      </c>
      <c r="AP7933" s="4" t="s">
        <v>376</v>
      </c>
      <c r="AR7933" s="4" t="s">
        <v>377</v>
      </c>
    </row>
    <row r="7934" spans="1:44" ht="30">
      <c r="A7934" s="4" t="s">
        <v>10753</v>
      </c>
      <c r="B7934" s="4">
        <v>10496</v>
      </c>
      <c r="D7934" s="5" t="s">
        <v>10834</v>
      </c>
      <c r="E7934" s="6" t="str">
        <f>HYPERLINK("https://inpn.mnhn.fr/espece/cd_nom/10496","Atholus bimaculatus (Linnaeus, 1758)")</f>
        <v>Atholus bimaculatus (Linnaeus, 1758)</v>
      </c>
      <c r="AH7934" s="4" t="str">
        <f>HYPERLINK("#Statut_biogéographique!A"&amp;_xlfn.XMATCH("P",Statut_biogéographique!A:A,2,1),"P")</f>
        <v>P</v>
      </c>
      <c r="AP7934" s="4" t="s">
        <v>376</v>
      </c>
      <c r="AR7934" s="4" t="s">
        <v>377</v>
      </c>
    </row>
    <row r="7935" spans="1:44" ht="30">
      <c r="A7935" s="4" t="s">
        <v>10753</v>
      </c>
      <c r="B7935" s="4">
        <v>10502</v>
      </c>
      <c r="D7935" s="5" t="s">
        <v>10835</v>
      </c>
      <c r="E7935" s="6" t="str">
        <f>HYPERLINK("https://inpn.mnhn.fr/espece/cd_nom/10502","Lucanus cervus (Linnaeus, 1758)")</f>
        <v>Lucanus cervus (Linnaeus, 1758)</v>
      </c>
      <c r="F7935" s="5" t="s">
        <v>10836</v>
      </c>
      <c r="I7935" s="4" t="str">
        <f>HYPERLINK("#Réglementation!A"&amp;_xlfn.XMATCH("IBE3",Réglementation!A:A,2,1),"IBE3")</f>
        <v>IBE3</v>
      </c>
      <c r="K7935" s="4" t="str">
        <f>HYPERLINK("#Réglementation!A"&amp;_xlfn.XMATCH("CDH2",Réglementation!A:A,2,1),"CDH2")</f>
        <v>CDH2</v>
      </c>
      <c r="P7935" s="7" t="str">
        <f>HYPERLINK("#Liste_rouge!A"&amp;_xlfn.XMATCH("NT",Liste_rouge!A:A,2,1),"NT")</f>
        <v>NT</v>
      </c>
      <c r="AH7935" s="4" t="str">
        <f>HYPERLINK("#Statut_biogéographique!A"&amp;_xlfn.XMATCH("P",Statut_biogéographique!A:A,2,1),"P")</f>
        <v>P</v>
      </c>
      <c r="AP7935" s="4" t="s">
        <v>376</v>
      </c>
      <c r="AR7935" s="4" t="s">
        <v>377</v>
      </c>
    </row>
    <row r="7936" spans="1:44">
      <c r="A7936" s="4" t="s">
        <v>10753</v>
      </c>
      <c r="B7936" s="4">
        <v>10512</v>
      </c>
      <c r="D7936" s="5" t="s">
        <v>10837</v>
      </c>
      <c r="E7936" s="6" t="str">
        <f>HYPERLINK("https://inpn.mnhn.fr/espece/cd_nom/10512","Sinodendron cylindricum (Linnaeus, 1758)")</f>
        <v>Sinodendron cylindricum (Linnaeus, 1758)</v>
      </c>
      <c r="F7936" s="5" t="s">
        <v>10838</v>
      </c>
      <c r="P7936" s="7" t="str">
        <f>HYPERLINK("#Liste_rouge!A"&amp;_xlfn.XMATCH("LC",Liste_rouge!A:A,2,1),"LC")</f>
        <v>LC</v>
      </c>
      <c r="AH7936" s="4" t="str">
        <f>HYPERLINK("#Statut_biogéographique!A"&amp;_xlfn.XMATCH("P",Statut_biogéographique!A:A,2,1),"P")</f>
        <v>P</v>
      </c>
      <c r="AP7936" s="4" t="s">
        <v>376</v>
      </c>
      <c r="AR7936" s="4" t="s">
        <v>377</v>
      </c>
    </row>
    <row r="7937" spans="1:44">
      <c r="A7937" s="4" t="s">
        <v>10753</v>
      </c>
      <c r="B7937" s="4">
        <v>10517</v>
      </c>
      <c r="D7937" s="5" t="s">
        <v>10839</v>
      </c>
      <c r="E7937" s="6" t="str">
        <f>HYPERLINK("https://inpn.mnhn.fr/espece/cd_nom/10517","Trox perlatus (Goeze, 1777)")</f>
        <v>Trox perlatus (Goeze, 1777)</v>
      </c>
      <c r="F7937" s="5" t="s">
        <v>10840</v>
      </c>
      <c r="AH7937" s="4" t="str">
        <f>HYPERLINK("#Statut_biogéographique!A"&amp;_xlfn.XMATCH("P",Statut_biogéographique!A:A,2,1),"P")</f>
        <v>P</v>
      </c>
      <c r="AP7937" s="4" t="s">
        <v>376</v>
      </c>
      <c r="AR7937" s="4" t="s">
        <v>377</v>
      </c>
    </row>
    <row r="7938" spans="1:44">
      <c r="A7938" s="4" t="s">
        <v>10753</v>
      </c>
      <c r="B7938" s="4">
        <v>10518</v>
      </c>
      <c r="D7938" s="5" t="s">
        <v>10841</v>
      </c>
      <c r="E7938" s="6" t="str">
        <f>HYPERLINK("https://inpn.mnhn.fr/espece/cd_nom/10518","Trox perrisi Fairmaire, 1868")</f>
        <v>Trox perrisi Fairmaire, 1868</v>
      </c>
      <c r="AH7938" s="4" t="str">
        <f>HYPERLINK("#Statut_biogéographique!A"&amp;_xlfn.XMATCH("P",Statut_biogéographique!A:A,2,1),"P")</f>
        <v>P</v>
      </c>
      <c r="AP7938" s="4" t="s">
        <v>376</v>
      </c>
      <c r="AR7938" s="4" t="s">
        <v>377</v>
      </c>
    </row>
    <row r="7939" spans="1:44">
      <c r="A7939" s="4" t="s">
        <v>10753</v>
      </c>
      <c r="B7939" s="4">
        <v>10519</v>
      </c>
      <c r="D7939" s="5" t="s">
        <v>10842</v>
      </c>
      <c r="E7939" s="6" t="str">
        <f>HYPERLINK("https://inpn.mnhn.fr/espece/cd_nom/10519","Trox hispidus Pontoppidan, 1763")</f>
        <v>Trox hispidus Pontoppidan, 1763</v>
      </c>
      <c r="AH7939" s="4" t="str">
        <f>HYPERLINK("#Statut_biogéographique!A"&amp;_xlfn.XMATCH("P",Statut_biogéographique!A:A,2,1),"P")</f>
        <v>P</v>
      </c>
      <c r="AP7939" s="4" t="s">
        <v>376</v>
      </c>
      <c r="AR7939" s="4" t="s">
        <v>377</v>
      </c>
    </row>
    <row r="7940" spans="1:44" ht="30">
      <c r="A7940" s="4" t="s">
        <v>10753</v>
      </c>
      <c r="B7940" s="4">
        <v>10521</v>
      </c>
      <c r="D7940" s="5" t="s">
        <v>10843</v>
      </c>
      <c r="E7940" s="6" t="str">
        <f>HYPERLINK("https://inpn.mnhn.fr/espece/cd_nom/10521","Trox scaber (Linnaeus, 1767)")</f>
        <v>Trox scaber (Linnaeus, 1767)</v>
      </c>
      <c r="AH7940" s="4" t="str">
        <f>HYPERLINK("#Statut_biogéographique!A"&amp;_xlfn.XMATCH("P",Statut_biogéographique!A:A,2,1),"P")</f>
        <v>P</v>
      </c>
      <c r="AP7940" s="4" t="s">
        <v>376</v>
      </c>
      <c r="AR7940" s="4" t="s">
        <v>377</v>
      </c>
    </row>
    <row r="7941" spans="1:44">
      <c r="A7941" s="4" t="s">
        <v>10753</v>
      </c>
      <c r="B7941" s="4">
        <v>10522</v>
      </c>
      <c r="D7941" s="5" t="s">
        <v>10844</v>
      </c>
      <c r="E7941" s="6" t="str">
        <f>HYPERLINK("https://inpn.mnhn.fr/espece/cd_nom/10522","Trox sabulosus (Linnaeus, 1758)")</f>
        <v>Trox sabulosus (Linnaeus, 1758)</v>
      </c>
      <c r="AH7941" s="4" t="str">
        <f>HYPERLINK("#Statut_biogéographique!A"&amp;_xlfn.XMATCH("P",Statut_biogéographique!A:A,2,1),"P")</f>
        <v>P</v>
      </c>
      <c r="AP7941" s="4" t="s">
        <v>376</v>
      </c>
      <c r="AR7941" s="4" t="s">
        <v>377</v>
      </c>
    </row>
    <row r="7942" spans="1:44">
      <c r="A7942" s="4" t="s">
        <v>10753</v>
      </c>
      <c r="B7942" s="4">
        <v>1053</v>
      </c>
      <c r="D7942" s="5">
        <v>1053</v>
      </c>
      <c r="E7942" s="6" t="str">
        <f>HYPERLINK("https://inpn.mnhn.fr/espece/cd_nom/1053","Uloborus walckenaerius Latreille, 1806")</f>
        <v>Uloborus walckenaerius Latreille, 1806</v>
      </c>
      <c r="F7942" s="5" t="s">
        <v>10845</v>
      </c>
      <c r="Q7942" s="7" t="str">
        <f>HYPERLINK("#Liste_rouge!A"&amp;_xlfn.XMATCH("LC",Liste_rouge!A:A,2,1),"LC")</f>
        <v>LC</v>
      </c>
      <c r="AH7942" s="4" t="str">
        <f>HYPERLINK("#Statut_biogéographique!A"&amp;_xlfn.XMATCH("P",Statut_biogéographique!A:A,2,1),"P")</f>
        <v>P</v>
      </c>
      <c r="AP7942" s="4" t="s">
        <v>376</v>
      </c>
      <c r="AR7942" s="4" t="s">
        <v>377</v>
      </c>
    </row>
    <row r="7943" spans="1:44" ht="30">
      <c r="A7943" s="4" t="s">
        <v>10753</v>
      </c>
      <c r="B7943" s="4">
        <v>10534</v>
      </c>
      <c r="D7943" s="5" t="s">
        <v>10846</v>
      </c>
      <c r="E7943" s="6" t="str">
        <f>HYPERLINK("https://inpn.mnhn.fr/espece/cd_nom/10534","Odonteus armiger (Scopoli, 1772)")</f>
        <v>Odonteus armiger (Scopoli, 1772)</v>
      </c>
      <c r="F7943" s="5" t="s">
        <v>10847</v>
      </c>
      <c r="AH7943" s="4" t="str">
        <f>HYPERLINK("#Statut_biogéographique!A"&amp;_xlfn.XMATCH("P",Statut_biogéographique!A:A,2,1),"P")</f>
        <v>P</v>
      </c>
      <c r="AP7943" s="4" t="s">
        <v>376</v>
      </c>
      <c r="AR7943" s="4" t="s">
        <v>377</v>
      </c>
    </row>
    <row r="7944" spans="1:44" ht="30">
      <c r="A7944" s="4" t="s">
        <v>10753</v>
      </c>
      <c r="B7944" s="4">
        <v>10539</v>
      </c>
      <c r="D7944" s="5" t="s">
        <v>10848</v>
      </c>
      <c r="E7944" s="6" t="str">
        <f>HYPERLINK("https://inpn.mnhn.fr/espece/cd_nom/10539","Anoplotrupes stercorosus (Hartmann in Scriba, 1791)")</f>
        <v>Anoplotrupes stercorosus (Hartmann in Scriba, 1791)</v>
      </c>
      <c r="F7944" s="5" t="s">
        <v>10849</v>
      </c>
      <c r="AH7944" s="4" t="str">
        <f>HYPERLINK("#Statut_biogéographique!A"&amp;_xlfn.XMATCH("P",Statut_biogéographique!A:A,2,1),"P")</f>
        <v>P</v>
      </c>
      <c r="AP7944" s="4" t="s">
        <v>376</v>
      </c>
      <c r="AR7944" s="4" t="s">
        <v>377</v>
      </c>
    </row>
    <row r="7945" spans="1:44">
      <c r="A7945" s="4" t="s">
        <v>10753</v>
      </c>
      <c r="B7945" s="4">
        <v>1054</v>
      </c>
      <c r="D7945" s="5">
        <v>1054</v>
      </c>
      <c r="E7945" s="6" t="str">
        <f>HYPERLINK("https://inpn.mnhn.fr/espece/cd_nom/1054","Uloborus plumipes Lucas, 1846")</f>
        <v>Uloborus plumipes Lucas, 1846</v>
      </c>
      <c r="Q7945" s="7" t="str">
        <f>HYPERLINK("#Liste_rouge!A"&amp;_xlfn.XMATCH("DD",Liste_rouge!A:A,2,1),"DD")</f>
        <v>DD</v>
      </c>
      <c r="AH7945" s="4" t="str">
        <f>HYPERLINK("#Statut_biogéographique!A"&amp;_xlfn.XMATCH("P",Statut_biogéographique!A:A,2,1),"P")</f>
        <v>P</v>
      </c>
      <c r="AP7945" s="4" t="s">
        <v>376</v>
      </c>
      <c r="AR7945" s="4" t="s">
        <v>377</v>
      </c>
    </row>
    <row r="7946" spans="1:44" ht="30">
      <c r="A7946" s="4" t="s">
        <v>10753</v>
      </c>
      <c r="B7946" s="4">
        <v>10544</v>
      </c>
      <c r="D7946" s="5" t="s">
        <v>10850</v>
      </c>
      <c r="E7946" s="6" t="str">
        <f>HYPERLINK("https://inpn.mnhn.fr/espece/cd_nom/10544","Geotrupes mutator (Marsham, 1802)")</f>
        <v>Geotrupes mutator (Marsham, 1802)</v>
      </c>
      <c r="AH7946" s="4" t="str">
        <f>HYPERLINK("#Statut_biogéographique!A"&amp;_xlfn.XMATCH("P",Statut_biogéographique!A:A,2,1),"P")</f>
        <v>P</v>
      </c>
      <c r="AP7946" s="4" t="s">
        <v>376</v>
      </c>
      <c r="AR7946" s="4" t="s">
        <v>377</v>
      </c>
    </row>
    <row r="7947" spans="1:44" ht="45">
      <c r="A7947" s="4" t="s">
        <v>10753</v>
      </c>
      <c r="B7947" s="4">
        <v>10548</v>
      </c>
      <c r="D7947" s="5" t="s">
        <v>10851</v>
      </c>
      <c r="E7947" s="6" t="str">
        <f>HYPERLINK("https://inpn.mnhn.fr/espece/cd_nom/10548","Geotrupes stercorarius (Linnaeus, 1758)")</f>
        <v>Geotrupes stercorarius (Linnaeus, 1758)</v>
      </c>
      <c r="F7947" s="5" t="s">
        <v>10852</v>
      </c>
      <c r="AH7947" s="4" t="str">
        <f>HYPERLINK("#Statut_biogéographique!A"&amp;_xlfn.XMATCH("P",Statut_biogéographique!A:A,2,1),"P")</f>
        <v>P</v>
      </c>
      <c r="AP7947" s="4" t="s">
        <v>376</v>
      </c>
      <c r="AR7947" s="4" t="s">
        <v>377</v>
      </c>
    </row>
    <row r="7948" spans="1:44" ht="30">
      <c r="A7948" s="4" t="s">
        <v>10753</v>
      </c>
      <c r="B7948" s="4">
        <v>10552</v>
      </c>
      <c r="D7948" s="5" t="s">
        <v>10853</v>
      </c>
      <c r="E7948" s="6" t="str">
        <f>HYPERLINK("https://inpn.mnhn.fr/espece/cd_nom/10552","Geotrupes spiniger Marsham, 1802")</f>
        <v>Geotrupes spiniger Marsham, 1802</v>
      </c>
      <c r="AH7948" s="4" t="str">
        <f>HYPERLINK("#Statut_biogéographique!A"&amp;_xlfn.XMATCH("P",Statut_biogéographique!A:A,2,1),"P")</f>
        <v>P</v>
      </c>
      <c r="AP7948" s="4" t="s">
        <v>376</v>
      </c>
      <c r="AR7948" s="4" t="s">
        <v>377</v>
      </c>
    </row>
    <row r="7949" spans="1:44">
      <c r="A7949" s="4" t="s">
        <v>10753</v>
      </c>
      <c r="B7949" s="4">
        <v>10569</v>
      </c>
      <c r="D7949" s="5" t="s">
        <v>10854</v>
      </c>
      <c r="E7949" s="6" t="str">
        <f>HYPERLINK("https://inpn.mnhn.fr/espece/cd_nom/10569","Trypocopris vernalis (Linnaeus, 1758)")</f>
        <v>Trypocopris vernalis (Linnaeus, 1758)</v>
      </c>
      <c r="F7949" s="5" t="s">
        <v>10855</v>
      </c>
      <c r="AH7949" s="4" t="str">
        <f>HYPERLINK("#Statut_biogéographique!A"&amp;_xlfn.XMATCH("P",Statut_biogéographique!A:A,2,1),"P")</f>
        <v>P</v>
      </c>
      <c r="AP7949" s="4" t="s">
        <v>376</v>
      </c>
      <c r="AR7949" s="4" t="s">
        <v>377</v>
      </c>
    </row>
    <row r="7950" spans="1:44" ht="45">
      <c r="A7950" s="4" t="s">
        <v>10753</v>
      </c>
      <c r="B7950" s="4">
        <v>10575</v>
      </c>
      <c r="D7950" s="5" t="s">
        <v>10856</v>
      </c>
      <c r="E7950" s="6" t="str">
        <f>HYPERLINK("https://inpn.mnhn.fr/espece/cd_nom/10575","Ochodaeus chrysomeloides (Schrank, 1781)")</f>
        <v>Ochodaeus chrysomeloides (Schrank, 1781)</v>
      </c>
      <c r="AH7950" s="4" t="str">
        <f>HYPERLINK("#Statut_biogéographique!A"&amp;_xlfn.XMATCH("P",Statut_biogéographique!A:A,2,1),"P")</f>
        <v>P</v>
      </c>
      <c r="AP7950" s="4" t="s">
        <v>376</v>
      </c>
      <c r="AR7950" s="4" t="s">
        <v>377</v>
      </c>
    </row>
    <row r="7951" spans="1:44">
      <c r="A7951" s="4" t="s">
        <v>10753</v>
      </c>
      <c r="B7951" s="4">
        <v>1058</v>
      </c>
      <c r="D7951" s="5" t="s">
        <v>10857</v>
      </c>
      <c r="E7951" s="6" t="str">
        <f>HYPERLINK("https://inpn.mnhn.fr/espece/cd_nom/1058","Hyptiotes paradoxus (C.L. Koch, 1834)")</f>
        <v>Hyptiotes paradoxus (C.L. Koch, 1834)</v>
      </c>
      <c r="F7951" s="5" t="s">
        <v>10858</v>
      </c>
      <c r="Q7951" s="7" t="str">
        <f>HYPERLINK("#Liste_rouge!A"&amp;_xlfn.XMATCH("LC",Liste_rouge!A:A,2,1),"LC")</f>
        <v>LC</v>
      </c>
      <c r="AH7951" s="4" t="str">
        <f>HYPERLINK("#Statut_biogéographique!A"&amp;_xlfn.XMATCH("P",Statut_biogéographique!A:A,2,1),"P")</f>
        <v>P</v>
      </c>
      <c r="AP7951" s="4" t="s">
        <v>376</v>
      </c>
      <c r="AR7951" s="4" t="s">
        <v>377</v>
      </c>
    </row>
    <row r="7952" spans="1:44">
      <c r="A7952" s="4" t="s">
        <v>10753</v>
      </c>
      <c r="B7952" s="4">
        <v>1062</v>
      </c>
      <c r="D7952" s="5">
        <v>1062</v>
      </c>
      <c r="E7952" s="6" t="str">
        <f>HYPERLINK("https://inpn.mnhn.fr/espece/cd_nom/1062","Zoropsis media Simon, 1878")</f>
        <v>Zoropsis media Simon, 1878</v>
      </c>
      <c r="Q7952" s="7" t="str">
        <f>HYPERLINK("#Liste_rouge!A"&amp;_xlfn.XMATCH("LC",Liste_rouge!A:A,2,1),"LC")</f>
        <v>LC</v>
      </c>
      <c r="AH7952" s="4" t="str">
        <f>HYPERLINK("#Statut_biogéographique!A"&amp;_xlfn.XMATCH("P",Statut_biogéographique!A:A,2,1),"P")</f>
        <v>P</v>
      </c>
      <c r="AP7952" s="4" t="s">
        <v>376</v>
      </c>
      <c r="AR7952" s="4" t="s">
        <v>377</v>
      </c>
    </row>
    <row r="7953" spans="1:44">
      <c r="A7953" s="4" t="s">
        <v>10753</v>
      </c>
      <c r="B7953" s="4">
        <v>1066</v>
      </c>
      <c r="D7953" s="5" t="s">
        <v>10859</v>
      </c>
      <c r="E7953" s="6" t="str">
        <f>HYPERLINK("https://inpn.mnhn.fr/espece/cd_nom/1066","Amaurobius ferox (Walckenaer, 1830)")</f>
        <v>Amaurobius ferox (Walckenaer, 1830)</v>
      </c>
      <c r="F7953" s="5" t="s">
        <v>10860</v>
      </c>
      <c r="Q7953" s="7" t="str">
        <f>HYPERLINK("#Liste_rouge!A"&amp;_xlfn.XMATCH("LC",Liste_rouge!A:A,2,1),"LC")</f>
        <v>LC</v>
      </c>
      <c r="AH7953" s="4" t="str">
        <f>HYPERLINK("#Statut_biogéographique!A"&amp;_xlfn.XMATCH("P",Statut_biogéographique!A:A,2,1),"P")</f>
        <v>P</v>
      </c>
      <c r="AP7953" s="4" t="s">
        <v>376</v>
      </c>
      <c r="AR7953" s="4" t="s">
        <v>377</v>
      </c>
    </row>
    <row r="7954" spans="1:44">
      <c r="A7954" s="4" t="s">
        <v>10753</v>
      </c>
      <c r="B7954" s="4">
        <v>10668</v>
      </c>
      <c r="D7954" s="5" t="s">
        <v>10861</v>
      </c>
      <c r="E7954" s="6" t="str">
        <f>HYPERLINK("https://inpn.mnhn.fr/espece/cd_nom/10668","Aphodius fimetarius (Linnaeus, 1758)")</f>
        <v>Aphodius fimetarius (Linnaeus, 1758)</v>
      </c>
      <c r="AH7954" s="4" t="str">
        <f>HYPERLINK("#Statut_biogéographique!A"&amp;_xlfn.XMATCH("P",Statut_biogéographique!A:A,2,1),"P")</f>
        <v>P</v>
      </c>
      <c r="AP7954" s="4" t="s">
        <v>376</v>
      </c>
      <c r="AR7954" s="4" t="s">
        <v>377</v>
      </c>
    </row>
    <row r="7955" spans="1:44">
      <c r="A7955" s="4" t="s">
        <v>10753</v>
      </c>
      <c r="B7955" s="4">
        <v>1067</v>
      </c>
      <c r="D7955" s="5" t="s">
        <v>10862</v>
      </c>
      <c r="E7955" s="6" t="str">
        <f>HYPERLINK("https://inpn.mnhn.fr/espece/cd_nom/1067","Amaurobius similis (Blackwall, 1861)")</f>
        <v>Amaurobius similis (Blackwall, 1861)</v>
      </c>
      <c r="Q7955" s="7" t="str">
        <f>HYPERLINK("#Liste_rouge!A"&amp;_xlfn.XMATCH("LC",Liste_rouge!A:A,2,1),"LC")</f>
        <v>LC</v>
      </c>
      <c r="AH7955" s="4" t="str">
        <f>HYPERLINK("#Statut_biogéographique!A"&amp;_xlfn.XMATCH("I",Statut_biogéographique!A:A,2,1),"I")</f>
        <v>I</v>
      </c>
      <c r="AP7955" s="4" t="s">
        <v>376</v>
      </c>
      <c r="AR7955" s="4" t="s">
        <v>377</v>
      </c>
    </row>
    <row r="7956" spans="1:44">
      <c r="A7956" s="4" t="s">
        <v>10753</v>
      </c>
      <c r="B7956" s="4">
        <v>1068</v>
      </c>
      <c r="D7956" s="5" t="s">
        <v>10863</v>
      </c>
      <c r="E7956" s="6" t="str">
        <f>HYPERLINK("https://inpn.mnhn.fr/espece/cd_nom/1068","Amaurobius fenestralis (Strøm, 1768)")</f>
        <v>Amaurobius fenestralis (Strøm, 1768)</v>
      </c>
      <c r="Q7956" s="7" t="str">
        <f>HYPERLINK("#Liste_rouge!A"&amp;_xlfn.XMATCH("LC",Liste_rouge!A:A,2,1),"LC")</f>
        <v>LC</v>
      </c>
      <c r="AH7956" s="4" t="str">
        <f>HYPERLINK("#Statut_biogéographique!A"&amp;_xlfn.XMATCH("P",Statut_biogéographique!A:A,2,1),"P")</f>
        <v>P</v>
      </c>
      <c r="AP7956" s="4" t="s">
        <v>376</v>
      </c>
      <c r="AR7956" s="4" t="s">
        <v>377</v>
      </c>
    </row>
    <row r="7957" spans="1:44" ht="30">
      <c r="A7957" s="4" t="s">
        <v>10753</v>
      </c>
      <c r="B7957" s="4">
        <v>10761</v>
      </c>
      <c r="D7957" s="5" t="s">
        <v>10864</v>
      </c>
      <c r="E7957" s="6" t="str">
        <f>HYPERLINK("https://inpn.mnhn.fr/espece/cd_nom/10761","Oxyomus sylvestris (Scopoli, 1763)")</f>
        <v>Oxyomus sylvestris (Scopoli, 1763)</v>
      </c>
      <c r="AH7957" s="4" t="str">
        <f>HYPERLINK("#Statut_biogéographique!A"&amp;_xlfn.XMATCH("P",Statut_biogéographique!A:A,2,1),"P")</f>
        <v>P</v>
      </c>
      <c r="AP7957" s="4" t="s">
        <v>376</v>
      </c>
      <c r="AR7957" s="4" t="s">
        <v>377</v>
      </c>
    </row>
    <row r="7958" spans="1:44">
      <c r="A7958" s="4" t="s">
        <v>10753</v>
      </c>
      <c r="B7958" s="4">
        <v>10769</v>
      </c>
      <c r="D7958" s="5" t="s">
        <v>10865</v>
      </c>
      <c r="E7958" s="6" t="str">
        <f>HYPERLINK("https://inpn.mnhn.fr/espece/cd_nom/10769","Psammodius asper (Fabricius, 1775)")</f>
        <v>Psammodius asper (Fabricius, 1775)</v>
      </c>
      <c r="AH7958" s="4" t="str">
        <f>HYPERLINK("#Statut_biogéographique!A"&amp;_xlfn.XMATCH("P",Statut_biogéographique!A:A,2,1),"P")</f>
        <v>P</v>
      </c>
      <c r="AP7958" s="4" t="s">
        <v>376</v>
      </c>
      <c r="AR7958" s="4" t="s">
        <v>377</v>
      </c>
    </row>
    <row r="7959" spans="1:44">
      <c r="A7959" s="4" t="s">
        <v>10753</v>
      </c>
      <c r="B7959" s="4">
        <v>10779</v>
      </c>
      <c r="D7959" s="5" t="s">
        <v>10866</v>
      </c>
      <c r="E7959" s="6" t="str">
        <f>HYPERLINK("https://inpn.mnhn.fr/espece/cd_nom/10779","Pleurophorus caesus (Creutzer, 1796)")</f>
        <v>Pleurophorus caesus (Creutzer, 1796)</v>
      </c>
      <c r="AH7959" s="4" t="str">
        <f>HYPERLINK("#Statut_biogéographique!A"&amp;_xlfn.XMATCH("P",Statut_biogéographique!A:A,2,1),"P")</f>
        <v>P</v>
      </c>
      <c r="AP7959" s="4" t="s">
        <v>376</v>
      </c>
      <c r="AR7959" s="4" t="s">
        <v>377</v>
      </c>
    </row>
    <row r="7960" spans="1:44">
      <c r="A7960" s="4" t="s">
        <v>10753</v>
      </c>
      <c r="B7960" s="4">
        <v>1078</v>
      </c>
      <c r="D7960" s="5" t="s">
        <v>10867</v>
      </c>
      <c r="E7960" s="6" t="str">
        <f>HYPERLINK("https://inpn.mnhn.fr/espece/cd_nom/1078","Lathys humilis (Blackwall, 1855)")</f>
        <v>Lathys humilis (Blackwall, 1855)</v>
      </c>
      <c r="Q7960" s="7" t="str">
        <f>HYPERLINK("#Liste_rouge!A"&amp;_xlfn.XMATCH("LC",Liste_rouge!A:A,2,1),"LC")</f>
        <v>LC</v>
      </c>
      <c r="AH7960" s="4" t="str">
        <f>HYPERLINK("#Statut_biogéographique!A"&amp;_xlfn.XMATCH("P",Statut_biogéographique!A:A,2,1),"P")</f>
        <v>P</v>
      </c>
      <c r="AP7960" s="4" t="s">
        <v>376</v>
      </c>
      <c r="AR7960" s="4" t="s">
        <v>377</v>
      </c>
    </row>
    <row r="7961" spans="1:44" ht="30">
      <c r="A7961" s="4" t="s">
        <v>10753</v>
      </c>
      <c r="B7961" s="4">
        <v>10782</v>
      </c>
      <c r="D7961" s="5" t="s">
        <v>10868</v>
      </c>
      <c r="E7961" s="6" t="str">
        <f>HYPERLINK("https://inpn.mnhn.fr/espece/cd_nom/10782","Rhyssemus germanus (Linnaeus, 1767)")</f>
        <v>Rhyssemus germanus (Linnaeus, 1767)</v>
      </c>
      <c r="AH7961" s="4" t="str">
        <f>HYPERLINK("#Statut_biogéographique!A"&amp;_xlfn.XMATCH("P",Statut_biogéographique!A:A,2,1),"P")</f>
        <v>P</v>
      </c>
      <c r="AP7961" s="4" t="s">
        <v>376</v>
      </c>
      <c r="AR7961" s="4" t="s">
        <v>377</v>
      </c>
    </row>
    <row r="7962" spans="1:44">
      <c r="A7962" s="4" t="s">
        <v>10753</v>
      </c>
      <c r="B7962" s="4">
        <v>10811</v>
      </c>
      <c r="D7962" s="5" t="s">
        <v>10869</v>
      </c>
      <c r="E7962" s="6" t="str">
        <f>HYPERLINK("https://inpn.mnhn.fr/espece/cd_nom/10811","Sisyphus schaefferi (Linnaeus, 1758)")</f>
        <v>Sisyphus schaefferi (Linnaeus, 1758)</v>
      </c>
      <c r="F7962" s="5" t="s">
        <v>10870</v>
      </c>
      <c r="AH7962" s="4" t="str">
        <f>HYPERLINK("#Statut_biogéographique!A"&amp;_xlfn.XMATCH("P",Statut_biogéographique!A:A,2,1),"P")</f>
        <v>P</v>
      </c>
      <c r="AP7962" s="4" t="s">
        <v>376</v>
      </c>
      <c r="AR7962" s="4" t="s">
        <v>377</v>
      </c>
    </row>
    <row r="7963" spans="1:44" ht="45">
      <c r="A7963" s="4" t="s">
        <v>10753</v>
      </c>
      <c r="B7963" s="4">
        <v>10813</v>
      </c>
      <c r="D7963" s="5" t="s">
        <v>10871</v>
      </c>
      <c r="E7963" s="6" t="str">
        <f>HYPERLINK("https://inpn.mnhn.fr/espece/cd_nom/10813","Copris lunaris (Linnaeus, 1758)")</f>
        <v>Copris lunaris (Linnaeus, 1758)</v>
      </c>
      <c r="F7963" s="5" t="s">
        <v>10872</v>
      </c>
      <c r="AH7963" s="4" t="str">
        <f>HYPERLINK("#Statut_biogéographique!A"&amp;_xlfn.XMATCH("P",Statut_biogéographique!A:A,2,1),"P")</f>
        <v>P</v>
      </c>
      <c r="AP7963" s="4" t="s">
        <v>376</v>
      </c>
      <c r="AR7963" s="4" t="s">
        <v>377</v>
      </c>
    </row>
    <row r="7964" spans="1:44" ht="45">
      <c r="A7964" s="4" t="s">
        <v>10753</v>
      </c>
      <c r="B7964" s="4">
        <v>10817</v>
      </c>
      <c r="D7964" s="5" t="s">
        <v>10873</v>
      </c>
      <c r="E7964" s="6" t="str">
        <f>HYPERLINK("https://inpn.mnhn.fr/espece/cd_nom/10817","Euoniticellus fulvus (Goeze, 1777)")</f>
        <v>Euoniticellus fulvus (Goeze, 1777)</v>
      </c>
      <c r="F7964" s="5" t="s">
        <v>10874</v>
      </c>
      <c r="AH7964" s="4" t="str">
        <f>HYPERLINK("#Statut_biogéographique!A"&amp;_xlfn.XMATCH("P",Statut_biogéographique!A:A,2,1),"P")</f>
        <v>P</v>
      </c>
      <c r="AP7964" s="4" t="s">
        <v>376</v>
      </c>
      <c r="AR7964" s="4" t="s">
        <v>377</v>
      </c>
    </row>
    <row r="7965" spans="1:44" ht="60">
      <c r="A7965" s="4" t="s">
        <v>10753</v>
      </c>
      <c r="B7965" s="4">
        <v>10836</v>
      </c>
      <c r="D7965" s="5" t="s">
        <v>10875</v>
      </c>
      <c r="E7965" s="6" t="str">
        <f>HYPERLINK("https://inpn.mnhn.fr/espece/cd_nom/10836","Caccobius schreberi (Linnaeus, 1767)")</f>
        <v>Caccobius schreberi (Linnaeus, 1767)</v>
      </c>
      <c r="AH7965" s="4" t="str">
        <f>HYPERLINK("#Statut_biogéographique!A"&amp;_xlfn.XMATCH("P",Statut_biogéographique!A:A,2,1),"P")</f>
        <v>P</v>
      </c>
      <c r="AP7965" s="4" t="s">
        <v>376</v>
      </c>
      <c r="AR7965" s="4" t="s">
        <v>377</v>
      </c>
    </row>
    <row r="7966" spans="1:44" ht="75">
      <c r="A7966" s="4" t="s">
        <v>10753</v>
      </c>
      <c r="B7966" s="4">
        <v>10844</v>
      </c>
      <c r="D7966" s="5" t="s">
        <v>10876</v>
      </c>
      <c r="E7966" s="6" t="str">
        <f>HYPERLINK("https://inpn.mnhn.fr/espece/cd_nom/10844","Onthophagus taurus (Schreber, 1759)")</f>
        <v>Onthophagus taurus (Schreber, 1759)</v>
      </c>
      <c r="F7966" s="5" t="s">
        <v>10877</v>
      </c>
      <c r="AH7966" s="4" t="str">
        <f>HYPERLINK("#Statut_biogéographique!A"&amp;_xlfn.XMATCH("P",Statut_biogéographique!A:A,2,1),"P")</f>
        <v>P</v>
      </c>
      <c r="AP7966" s="4" t="s">
        <v>376</v>
      </c>
      <c r="AR7966" s="4" t="s">
        <v>377</v>
      </c>
    </row>
    <row r="7967" spans="1:44" ht="30">
      <c r="A7967" s="4" t="s">
        <v>10753</v>
      </c>
      <c r="B7967" s="4">
        <v>10845</v>
      </c>
      <c r="D7967" s="5" t="s">
        <v>10878</v>
      </c>
      <c r="E7967" s="6" t="str">
        <f>HYPERLINK("https://inpn.mnhn.fr/espece/cd_nom/10845","Onthophagus illyricus (Scopoli, 1763)")</f>
        <v>Onthophagus illyricus (Scopoli, 1763)</v>
      </c>
      <c r="AH7967" s="4" t="str">
        <f>HYPERLINK("#Statut_biogéographique!A"&amp;_xlfn.XMATCH("P",Statut_biogéographique!A:A,2,1),"P")</f>
        <v>P</v>
      </c>
      <c r="AP7967" s="4" t="s">
        <v>376</v>
      </c>
      <c r="AR7967" s="4" t="s">
        <v>377</v>
      </c>
    </row>
    <row r="7968" spans="1:44" ht="45">
      <c r="A7968" s="4" t="s">
        <v>10753</v>
      </c>
      <c r="B7968" s="4">
        <v>10847</v>
      </c>
      <c r="D7968" s="5" t="s">
        <v>10879</v>
      </c>
      <c r="E7968" s="6" t="str">
        <f>HYPERLINK("https://inpn.mnhn.fr/espece/cd_nom/10847","Onthophagus furcatus (Fabricius, 1781)")</f>
        <v>Onthophagus furcatus (Fabricius, 1781)</v>
      </c>
      <c r="AH7968" s="4" t="str">
        <f>HYPERLINK("#Statut_biogéographique!A"&amp;_xlfn.XMATCH("P",Statut_biogéographique!A:A,2,1),"P")</f>
        <v>P</v>
      </c>
      <c r="AP7968" s="4" t="s">
        <v>376</v>
      </c>
      <c r="AR7968" s="4" t="s">
        <v>377</v>
      </c>
    </row>
    <row r="7969" spans="1:44" ht="30">
      <c r="A7969" s="4" t="s">
        <v>10753</v>
      </c>
      <c r="B7969" s="4">
        <v>10849</v>
      </c>
      <c r="D7969" s="5" t="s">
        <v>10880</v>
      </c>
      <c r="E7969" s="6" t="str">
        <f>HYPERLINK("https://inpn.mnhn.fr/espece/cd_nom/10849","Onthophagus verticicornis (Laicharting, 1781)")</f>
        <v>Onthophagus verticicornis (Laicharting, 1781)</v>
      </c>
      <c r="AH7969" s="4" t="str">
        <f>HYPERLINK("#Statut_biogéographique!A"&amp;_xlfn.XMATCH("P",Statut_biogéographique!A:A,2,1),"P")</f>
        <v>P</v>
      </c>
      <c r="AP7969" s="4" t="s">
        <v>376</v>
      </c>
      <c r="AR7969" s="4" t="s">
        <v>377</v>
      </c>
    </row>
    <row r="7970" spans="1:44">
      <c r="A7970" s="4" t="s">
        <v>10753</v>
      </c>
      <c r="B7970" s="4">
        <v>10852</v>
      </c>
      <c r="D7970" s="5" t="s">
        <v>10881</v>
      </c>
      <c r="E7970" s="6" t="str">
        <f>HYPERLINK("https://inpn.mnhn.fr/espece/cd_nom/10852","Onthophagus ruficapillus Brullé, 1832")</f>
        <v>Onthophagus ruficapillus Brullé, 1832</v>
      </c>
      <c r="AH7970" s="4" t="str">
        <f>HYPERLINK("#Statut_biogéographique!A"&amp;_xlfn.XMATCH("P",Statut_biogéographique!A:A,2,1),"P")</f>
        <v>P</v>
      </c>
      <c r="AP7970" s="4" t="s">
        <v>376</v>
      </c>
      <c r="AR7970" s="4" t="s">
        <v>377</v>
      </c>
    </row>
    <row r="7971" spans="1:44">
      <c r="A7971" s="4" t="s">
        <v>10753</v>
      </c>
      <c r="B7971" s="4">
        <v>10853</v>
      </c>
      <c r="D7971" s="5" t="s">
        <v>10882</v>
      </c>
      <c r="E7971" s="6" t="str">
        <f>HYPERLINK("https://inpn.mnhn.fr/espece/cd_nom/10853","Onthophagus ovatus (Linnaeus, 1767)")</f>
        <v>Onthophagus ovatus (Linnaeus, 1767)</v>
      </c>
      <c r="F7971" s="5" t="s">
        <v>10883</v>
      </c>
      <c r="AH7971" s="4" t="str">
        <f>HYPERLINK("#Statut_biogéographique!A"&amp;_xlfn.XMATCH("P",Statut_biogéographique!A:A,2,1),"P")</f>
        <v>P</v>
      </c>
      <c r="AP7971" s="4" t="s">
        <v>376</v>
      </c>
      <c r="AR7971" s="4" t="s">
        <v>377</v>
      </c>
    </row>
    <row r="7972" spans="1:44">
      <c r="A7972" s="4" t="s">
        <v>10753</v>
      </c>
      <c r="B7972" s="4">
        <v>10854</v>
      </c>
      <c r="D7972" s="5">
        <v>10854</v>
      </c>
      <c r="E7972" s="6" t="str">
        <f>HYPERLINK("https://inpn.mnhn.fr/espece/cd_nom/10854","Onthophagus joannae Goljan, 1953")</f>
        <v>Onthophagus joannae Goljan, 1953</v>
      </c>
      <c r="AH7972" s="4" t="str">
        <f>HYPERLINK("#Statut_biogéographique!A"&amp;_xlfn.XMATCH("P",Statut_biogéographique!A:A,2,1),"P")</f>
        <v>P</v>
      </c>
      <c r="AP7972" s="4" t="s">
        <v>376</v>
      </c>
      <c r="AR7972" s="4" t="s">
        <v>377</v>
      </c>
    </row>
    <row r="7973" spans="1:44" ht="30">
      <c r="A7973" s="4" t="s">
        <v>10753</v>
      </c>
      <c r="B7973" s="4">
        <v>10857</v>
      </c>
      <c r="D7973" s="5" t="s">
        <v>10884</v>
      </c>
      <c r="E7973" s="6" t="str">
        <f>HYPERLINK("https://inpn.mnhn.fr/espece/cd_nom/10857","Onthophagus coenobita (Herbst, 1783)")</f>
        <v>Onthophagus coenobita (Herbst, 1783)</v>
      </c>
      <c r="AH7973" s="4" t="str">
        <f>HYPERLINK("#Statut_biogéographique!A"&amp;_xlfn.XMATCH("P",Statut_biogéographique!A:A,2,1),"P")</f>
        <v>P</v>
      </c>
      <c r="AP7973" s="4" t="s">
        <v>376</v>
      </c>
      <c r="AR7973" s="4" t="s">
        <v>377</v>
      </c>
    </row>
    <row r="7974" spans="1:44">
      <c r="A7974" s="4" t="s">
        <v>10753</v>
      </c>
      <c r="B7974" s="4">
        <v>10858</v>
      </c>
      <c r="D7974" s="5" t="s">
        <v>10885</v>
      </c>
      <c r="E7974" s="6" t="str">
        <f>HYPERLINK("https://inpn.mnhn.fr/espece/cd_nom/10858","Onthophagus emarginatus Mulsant, 1842")</f>
        <v>Onthophagus emarginatus Mulsant, 1842</v>
      </c>
      <c r="O7974" s="7" t="str">
        <f>HYPERLINK("#Liste_rouge!A"&amp;_xlfn.XMATCH("LC",Liste_rouge!A:A,2,1),"LC")</f>
        <v>LC</v>
      </c>
      <c r="AH7974" s="4" t="str">
        <f>HYPERLINK("#Statut_biogéographique!A"&amp;_xlfn.XMATCH("P",Statut_biogéographique!A:A,2,1),"P")</f>
        <v>P</v>
      </c>
      <c r="AP7974" s="4" t="s">
        <v>376</v>
      </c>
      <c r="AR7974" s="4" t="s">
        <v>377</v>
      </c>
    </row>
    <row r="7975" spans="1:44">
      <c r="A7975" s="4" t="s">
        <v>10753</v>
      </c>
      <c r="B7975" s="4">
        <v>10860</v>
      </c>
      <c r="D7975" s="5" t="s">
        <v>10886</v>
      </c>
      <c r="E7975" s="6" t="str">
        <f>HYPERLINK("https://inpn.mnhn.fr/espece/cd_nom/10860","Onthophagus similis (Scriba, 1790)")</f>
        <v>Onthophagus similis (Scriba, 1790)</v>
      </c>
      <c r="AH7975" s="4" t="str">
        <f>HYPERLINK("#Statut_biogéographique!A"&amp;_xlfn.XMATCH("P",Statut_biogéographique!A:A,2,1),"P")</f>
        <v>P</v>
      </c>
      <c r="AP7975" s="4" t="s">
        <v>376</v>
      </c>
      <c r="AR7975" s="4" t="s">
        <v>377</v>
      </c>
    </row>
    <row r="7976" spans="1:44" ht="45">
      <c r="A7976" s="4" t="s">
        <v>10753</v>
      </c>
      <c r="B7976" s="4">
        <v>10861</v>
      </c>
      <c r="D7976" s="5" t="s">
        <v>10887</v>
      </c>
      <c r="E7976" s="6" t="str">
        <f>HYPERLINK("https://inpn.mnhn.fr/espece/cd_nom/10861","Onthophagus fracticornis (Preyssler, 1790)")</f>
        <v>Onthophagus fracticornis (Preyssler, 1790)</v>
      </c>
      <c r="AH7976" s="4" t="str">
        <f>HYPERLINK("#Statut_biogéographique!A"&amp;_xlfn.XMATCH("P",Statut_biogéographique!A:A,2,1),"P")</f>
        <v>P</v>
      </c>
      <c r="AP7976" s="4" t="s">
        <v>376</v>
      </c>
      <c r="AR7976" s="4" t="s">
        <v>377</v>
      </c>
    </row>
    <row r="7977" spans="1:44" ht="60">
      <c r="A7977" s="4" t="s">
        <v>10753</v>
      </c>
      <c r="B7977" s="4">
        <v>10864</v>
      </c>
      <c r="D7977" s="5" t="s">
        <v>10888</v>
      </c>
      <c r="E7977" s="6" t="str">
        <f>HYPERLINK("https://inpn.mnhn.fr/espece/cd_nom/10864","Onthophagus vacca (Linnaeus, 1767)")</f>
        <v>Onthophagus vacca (Linnaeus, 1767)</v>
      </c>
      <c r="F7977" s="5" t="s">
        <v>10889</v>
      </c>
      <c r="O7977" s="7" t="str">
        <f>HYPERLINK("#Liste_rouge!A"&amp;_xlfn.XMATCH("LC",Liste_rouge!A:A,2,1),"LC")</f>
        <v>LC</v>
      </c>
      <c r="AH7977" s="4" t="str">
        <f>HYPERLINK("#Statut_biogéographique!A"&amp;_xlfn.XMATCH("P",Statut_biogéographique!A:A,2,1),"P")</f>
        <v>P</v>
      </c>
      <c r="AP7977" s="4" t="s">
        <v>376</v>
      </c>
      <c r="AR7977" s="4" t="s">
        <v>377</v>
      </c>
    </row>
    <row r="7978" spans="1:44" ht="75">
      <c r="A7978" s="4" t="s">
        <v>10753</v>
      </c>
      <c r="B7978" s="4">
        <v>10877</v>
      </c>
      <c r="D7978" s="5" t="s">
        <v>10890</v>
      </c>
      <c r="E7978" s="6" t="str">
        <f>HYPERLINK("https://inpn.mnhn.fr/espece/cd_nom/10877","Melolontha melolontha (Linnaeus, 1758)")</f>
        <v>Melolontha melolontha (Linnaeus, 1758)</v>
      </c>
      <c r="F7978" s="5" t="s">
        <v>10891</v>
      </c>
      <c r="AH7978" s="4" t="str">
        <f>HYPERLINK("#Statut_biogéographique!A"&amp;_xlfn.XMATCH("P",Statut_biogéographique!A:A,2,1),"P")</f>
        <v>P</v>
      </c>
      <c r="AP7978" s="4" t="s">
        <v>376</v>
      </c>
      <c r="AR7978" s="4" t="s">
        <v>377</v>
      </c>
    </row>
    <row r="7979" spans="1:44" ht="60">
      <c r="A7979" s="4" t="s">
        <v>10753</v>
      </c>
      <c r="B7979" s="4">
        <v>10879</v>
      </c>
      <c r="D7979" s="5" t="s">
        <v>10892</v>
      </c>
      <c r="E7979" s="6" t="str">
        <f>HYPERLINK("https://inpn.mnhn.fr/espece/cd_nom/10879","Melolontha hippocastani Fabricius, 1801")</f>
        <v>Melolontha hippocastani Fabricius, 1801</v>
      </c>
      <c r="F7979" s="5" t="s">
        <v>10893</v>
      </c>
      <c r="AH7979" s="4" t="str">
        <f>HYPERLINK("#Statut_biogéographique!A"&amp;_xlfn.XMATCH("P",Statut_biogéographique!A:A,2,1),"P")</f>
        <v>P</v>
      </c>
      <c r="AP7979" s="4" t="s">
        <v>376</v>
      </c>
      <c r="AR7979" s="4" t="s">
        <v>377</v>
      </c>
    </row>
    <row r="7980" spans="1:44">
      <c r="A7980" s="4" t="s">
        <v>10753</v>
      </c>
      <c r="B7980" s="4">
        <v>10887</v>
      </c>
      <c r="D7980" s="5" t="s">
        <v>10894</v>
      </c>
      <c r="E7980" s="6" t="str">
        <f>HYPERLINK("https://inpn.mnhn.fr/espece/cd_nom/10887","Amphimallon solstitiale (Linnaeus, 1758)")</f>
        <v>Amphimallon solstitiale (Linnaeus, 1758)</v>
      </c>
      <c r="F7980" s="5" t="s">
        <v>10895</v>
      </c>
      <c r="AH7980" s="4" t="str">
        <f>HYPERLINK("#Statut_biogéographique!A"&amp;_xlfn.XMATCH("P",Statut_biogéographique!A:A,2,1),"P")</f>
        <v>P</v>
      </c>
      <c r="AP7980" s="4" t="s">
        <v>376</v>
      </c>
      <c r="AR7980" s="4" t="s">
        <v>377</v>
      </c>
    </row>
    <row r="7981" spans="1:44" ht="30">
      <c r="A7981" s="4" t="s">
        <v>10753</v>
      </c>
      <c r="B7981" s="4">
        <v>10889</v>
      </c>
      <c r="D7981" s="5" t="s">
        <v>10896</v>
      </c>
      <c r="E7981" s="6" t="str">
        <f>HYPERLINK("https://inpn.mnhn.fr/espece/cd_nom/10889","Amphimallon majale (Razoumowsky, 1789)")</f>
        <v>Amphimallon majale (Razoumowsky, 1789)</v>
      </c>
      <c r="F7981" s="5" t="s">
        <v>10897</v>
      </c>
      <c r="AH7981" s="4" t="str">
        <f>HYPERLINK("#Statut_biogéographique!A"&amp;_xlfn.XMATCH("P",Statut_biogéographique!A:A,2,1),"P")</f>
        <v>P</v>
      </c>
      <c r="AP7981" s="4" t="s">
        <v>376</v>
      </c>
      <c r="AR7981" s="4" t="s">
        <v>377</v>
      </c>
    </row>
    <row r="7982" spans="1:44">
      <c r="A7982" s="4" t="s">
        <v>10753</v>
      </c>
      <c r="B7982" s="4">
        <v>10895</v>
      </c>
      <c r="D7982" s="5" t="s">
        <v>10898</v>
      </c>
      <c r="E7982" s="6" t="str">
        <f>HYPERLINK("https://inpn.mnhn.fr/espece/cd_nom/10895","Amphimallon ruficorne (Fabricius, 1775)")</f>
        <v>Amphimallon ruficorne (Fabricius, 1775)</v>
      </c>
      <c r="AH7982" s="4" t="str">
        <f>HYPERLINK("#Statut_biogéographique!A"&amp;_xlfn.XMATCH("P",Statut_biogéographique!A:A,2,1),"P")</f>
        <v>P</v>
      </c>
      <c r="AP7982" s="4" t="s">
        <v>376</v>
      </c>
      <c r="AR7982" s="4" t="s">
        <v>377</v>
      </c>
    </row>
    <row r="7983" spans="1:44">
      <c r="A7983" s="4" t="s">
        <v>10753</v>
      </c>
      <c r="B7983" s="4">
        <v>10898</v>
      </c>
      <c r="D7983" s="5" t="s">
        <v>10899</v>
      </c>
      <c r="E7983" s="6" t="str">
        <f>HYPERLINK("https://inpn.mnhn.fr/espece/cd_nom/10898","Amphimallon atrum (Herbst, 1790)")</f>
        <v>Amphimallon atrum (Herbst, 1790)</v>
      </c>
      <c r="AH7983" s="4" t="str">
        <f>HYPERLINK("#Statut_biogéographique!A"&amp;_xlfn.XMATCH("P",Statut_biogéographique!A:A,2,1),"P")</f>
        <v>P</v>
      </c>
      <c r="AP7983" s="4" t="s">
        <v>376</v>
      </c>
      <c r="AR7983" s="4" t="s">
        <v>377</v>
      </c>
    </row>
    <row r="7984" spans="1:44" ht="30">
      <c r="A7984" s="4" t="s">
        <v>10753</v>
      </c>
      <c r="B7984" s="4">
        <v>10905</v>
      </c>
      <c r="D7984" s="5" t="s">
        <v>10900</v>
      </c>
      <c r="E7984" s="6" t="str">
        <f>HYPERLINK("https://inpn.mnhn.fr/espece/cd_nom/10905","Rhizotrogus marginipes Mulsant, 1842")</f>
        <v>Rhizotrogus marginipes Mulsant, 1842</v>
      </c>
      <c r="AH7984" s="4" t="str">
        <f>HYPERLINK("#Statut_biogéographique!A"&amp;_xlfn.XMATCH("P",Statut_biogéographique!A:A,2,1),"P")</f>
        <v>P</v>
      </c>
      <c r="AP7984" s="4" t="s">
        <v>376</v>
      </c>
      <c r="AR7984" s="4" t="s">
        <v>377</v>
      </c>
    </row>
    <row r="7985" spans="1:44" ht="45">
      <c r="A7985" s="4" t="s">
        <v>10753</v>
      </c>
      <c r="B7985" s="4">
        <v>10907</v>
      </c>
      <c r="D7985" s="5" t="s">
        <v>10901</v>
      </c>
      <c r="E7985" s="6" t="str">
        <f>HYPERLINK("https://inpn.mnhn.fr/espece/cd_nom/10907","Rhizotrogus aestivus (Olivier, 1789)")</f>
        <v>Rhizotrogus aestivus (Olivier, 1789)</v>
      </c>
      <c r="AH7985" s="4" t="str">
        <f>HYPERLINK("#Statut_biogéographique!A"&amp;_xlfn.XMATCH("P",Statut_biogéographique!A:A,2,1),"P")</f>
        <v>P</v>
      </c>
      <c r="AP7985" s="4" t="s">
        <v>376</v>
      </c>
      <c r="AR7985" s="4" t="s">
        <v>377</v>
      </c>
    </row>
    <row r="7986" spans="1:44">
      <c r="A7986" s="4" t="s">
        <v>10753</v>
      </c>
      <c r="B7986" s="4">
        <v>10908</v>
      </c>
      <c r="D7986" s="5" t="s">
        <v>10902</v>
      </c>
      <c r="E7986" s="6" t="str">
        <f>HYPERLINK("https://inpn.mnhn.fr/espece/cd_nom/10908","Rhizotrogus cicatricosus Mulsant, 1842")</f>
        <v>Rhizotrogus cicatricosus Mulsant, 1842</v>
      </c>
      <c r="AH7986" s="4" t="str">
        <f>HYPERLINK("#Statut_biogéographique!A"&amp;_xlfn.XMATCH("P",Statut_biogéographique!A:A,2,1),"P")</f>
        <v>P</v>
      </c>
      <c r="AP7986" s="4" t="s">
        <v>376</v>
      </c>
      <c r="AR7986" s="4" t="s">
        <v>377</v>
      </c>
    </row>
    <row r="7987" spans="1:44">
      <c r="A7987" s="4" t="s">
        <v>10753</v>
      </c>
      <c r="B7987" s="4">
        <v>10927</v>
      </c>
      <c r="D7987" s="5" t="s">
        <v>10903</v>
      </c>
      <c r="E7987" s="6" t="str">
        <f>HYPERLINK("https://inpn.mnhn.fr/espece/cd_nom/10927","Serica brunnea (Linnaeus, 1758)")</f>
        <v>Serica brunnea (Linnaeus, 1758)</v>
      </c>
      <c r="F7987" s="5" t="s">
        <v>10904</v>
      </c>
      <c r="AH7987" s="4" t="str">
        <f>HYPERLINK("#Statut_biogéographique!A"&amp;_xlfn.XMATCH("P",Statut_biogéographique!A:A,2,1),"P")</f>
        <v>P</v>
      </c>
      <c r="AP7987" s="4" t="s">
        <v>376</v>
      </c>
      <c r="AR7987" s="4" t="s">
        <v>377</v>
      </c>
    </row>
    <row r="7988" spans="1:44">
      <c r="A7988" s="4" t="s">
        <v>10753</v>
      </c>
      <c r="B7988" s="4">
        <v>10935</v>
      </c>
      <c r="D7988" s="5" t="s">
        <v>10905</v>
      </c>
      <c r="E7988" s="6" t="str">
        <f>HYPERLINK("https://inpn.mnhn.fr/espece/cd_nom/10935","Hoplia praticola Duftschmid, 1805")</f>
        <v>Hoplia praticola Duftschmid, 1805</v>
      </c>
      <c r="AH7988" s="4" t="str">
        <f>HYPERLINK("#Statut_biogéographique!A"&amp;_xlfn.XMATCH("P",Statut_biogéographique!A:A,2,1),"P")</f>
        <v>P</v>
      </c>
      <c r="AP7988" s="4" t="s">
        <v>376</v>
      </c>
      <c r="AR7988" s="4" t="s">
        <v>377</v>
      </c>
    </row>
    <row r="7989" spans="1:44">
      <c r="A7989" s="4" t="s">
        <v>10753</v>
      </c>
      <c r="B7989" s="4">
        <v>10936</v>
      </c>
      <c r="D7989" s="5" t="s">
        <v>10906</v>
      </c>
      <c r="E7989" s="6" t="str">
        <f>HYPERLINK("https://inpn.mnhn.fr/espece/cd_nom/10936","Hoplia argentea (Poda, 1761)")</f>
        <v>Hoplia argentea (Poda, 1761)</v>
      </c>
      <c r="F7989" s="5" t="s">
        <v>10907</v>
      </c>
      <c r="AH7989" s="4" t="str">
        <f>HYPERLINK("#Statut_biogéographique!A"&amp;_xlfn.XMATCH("P",Statut_biogéographique!A:A,2,1),"P")</f>
        <v>P</v>
      </c>
      <c r="AP7989" s="4" t="s">
        <v>376</v>
      </c>
      <c r="AR7989" s="4" t="s">
        <v>377</v>
      </c>
    </row>
    <row r="7990" spans="1:44">
      <c r="A7990" s="4" t="s">
        <v>10753</v>
      </c>
      <c r="B7990" s="4">
        <v>10937</v>
      </c>
      <c r="D7990" s="5" t="s">
        <v>10908</v>
      </c>
      <c r="E7990" s="6" t="str">
        <f>HYPERLINK("https://inpn.mnhn.fr/espece/cd_nom/10937","Hoplia coerulea (Drury, 1773)")</f>
        <v>Hoplia coerulea (Drury, 1773)</v>
      </c>
      <c r="AH7990" s="4" t="str">
        <f>HYPERLINK("#Statut_biogéographique!A"&amp;_xlfn.XMATCH("P",Statut_biogéographique!A:A,2,1),"P")</f>
        <v>P</v>
      </c>
      <c r="AP7990" s="4" t="s">
        <v>376</v>
      </c>
      <c r="AR7990" s="4" t="s">
        <v>377</v>
      </c>
    </row>
    <row r="7991" spans="1:44">
      <c r="A7991" s="4" t="s">
        <v>10753</v>
      </c>
      <c r="B7991" s="4">
        <v>10946</v>
      </c>
      <c r="D7991" s="5" t="s">
        <v>10909</v>
      </c>
      <c r="E7991" s="6" t="str">
        <f>HYPERLINK("https://inpn.mnhn.fr/espece/cd_nom/10946","Anisoplia villosa (Goeze, 1777)")</f>
        <v>Anisoplia villosa (Goeze, 1777)</v>
      </c>
      <c r="F7991" s="5" t="s">
        <v>10910</v>
      </c>
      <c r="AH7991" s="4" t="str">
        <f>HYPERLINK("#Statut_biogéographique!A"&amp;_xlfn.XMATCH("P",Statut_biogéographique!A:A,2,1),"P")</f>
        <v>P</v>
      </c>
      <c r="AP7991" s="4" t="s">
        <v>376</v>
      </c>
      <c r="AR7991" s="4" t="s">
        <v>377</v>
      </c>
    </row>
    <row r="7992" spans="1:44" ht="30">
      <c r="A7992" s="4" t="s">
        <v>10753</v>
      </c>
      <c r="B7992" s="4">
        <v>10949</v>
      </c>
      <c r="D7992" s="5" t="s">
        <v>10911</v>
      </c>
      <c r="E7992" s="6" t="str">
        <f>HYPERLINK("https://inpn.mnhn.fr/espece/cd_nom/10949","Anomala dubia (Scopoli, 1763)")</f>
        <v>Anomala dubia (Scopoli, 1763)</v>
      </c>
      <c r="F7992" s="5" t="s">
        <v>10912</v>
      </c>
      <c r="AH7992" s="4" t="str">
        <f>HYPERLINK("#Statut_biogéographique!A"&amp;_xlfn.XMATCH("P",Statut_biogéographique!A:A,2,1),"P")</f>
        <v>P</v>
      </c>
      <c r="AP7992" s="4" t="s">
        <v>376</v>
      </c>
      <c r="AR7992" s="4" t="s">
        <v>377</v>
      </c>
    </row>
    <row r="7993" spans="1:44">
      <c r="A7993" s="4" t="s">
        <v>10753</v>
      </c>
      <c r="B7993" s="4">
        <v>10958</v>
      </c>
      <c r="D7993" s="5" t="s">
        <v>10913</v>
      </c>
      <c r="E7993" s="6" t="str">
        <f>HYPERLINK("https://inpn.mnhn.fr/espece/cd_nom/10958","Phyllopertha horticola (Linnaeus, 1758)")</f>
        <v>Phyllopertha horticola (Linnaeus, 1758)</v>
      </c>
      <c r="F7993" s="5" t="s">
        <v>10914</v>
      </c>
      <c r="AH7993" s="4" t="str">
        <f>HYPERLINK("#Statut_biogéographique!A"&amp;_xlfn.XMATCH("P",Statut_biogéographique!A:A,2,1),"P")</f>
        <v>P</v>
      </c>
      <c r="AP7993" s="4" t="s">
        <v>376</v>
      </c>
      <c r="AR7993" s="4" t="s">
        <v>377</v>
      </c>
    </row>
    <row r="7994" spans="1:44">
      <c r="A7994" s="4" t="s">
        <v>10753</v>
      </c>
      <c r="B7994" s="4">
        <v>10960</v>
      </c>
      <c r="D7994" s="5" t="s">
        <v>10915</v>
      </c>
      <c r="E7994" s="6" t="str">
        <f>HYPERLINK("https://inpn.mnhn.fr/espece/cd_nom/10960","Exomala campestris (Latreille, 1804)")</f>
        <v>Exomala campestris (Latreille, 1804)</v>
      </c>
      <c r="AH7994" s="4" t="str">
        <f>HYPERLINK("#Statut_biogéographique!A"&amp;_xlfn.XMATCH("P",Statut_biogéographique!A:A,2,1),"P")</f>
        <v>P</v>
      </c>
      <c r="AP7994" s="4" t="s">
        <v>376</v>
      </c>
      <c r="AR7994" s="4" t="s">
        <v>377</v>
      </c>
    </row>
    <row r="7995" spans="1:44">
      <c r="A7995" s="4" t="s">
        <v>10753</v>
      </c>
      <c r="B7995" s="4">
        <v>10964</v>
      </c>
      <c r="D7995" s="5" t="s">
        <v>10916</v>
      </c>
      <c r="E7995" s="6" t="str">
        <f>HYPERLINK("https://inpn.mnhn.fr/espece/cd_nom/10964","Oryctes nasicornis (Linnaeus, 1758)")</f>
        <v>Oryctes nasicornis (Linnaeus, 1758)</v>
      </c>
      <c r="F7995" s="5" t="s">
        <v>10917</v>
      </c>
      <c r="AH7995" s="4" t="str">
        <f>HYPERLINK("#Statut_biogéographique!A"&amp;_xlfn.XMATCH("P",Statut_biogéographique!A:A,2,1),"P")</f>
        <v>P</v>
      </c>
      <c r="AP7995" s="4" t="s">
        <v>376</v>
      </c>
      <c r="AR7995" s="4" t="s">
        <v>377</v>
      </c>
    </row>
    <row r="7996" spans="1:44">
      <c r="A7996" s="4" t="s">
        <v>10753</v>
      </c>
      <c r="B7996" s="4">
        <v>10977</v>
      </c>
      <c r="D7996" s="5" t="s">
        <v>10918</v>
      </c>
      <c r="E7996" s="6" t="str">
        <f>HYPERLINK("https://inpn.mnhn.fr/espece/cd_nom/10977","Valgus hemipterus (Linnaeus, 1758)")</f>
        <v>Valgus hemipterus (Linnaeus, 1758)</v>
      </c>
      <c r="F7996" s="5" t="s">
        <v>10919</v>
      </c>
      <c r="P7996" s="7" t="str">
        <f>HYPERLINK("#Liste_rouge!A"&amp;_xlfn.XMATCH("LC",Liste_rouge!A:A,2,1),"LC")</f>
        <v>LC</v>
      </c>
      <c r="AH7996" s="4" t="str">
        <f>HYPERLINK("#Statut_biogéographique!A"&amp;_xlfn.XMATCH("P",Statut_biogéographique!A:A,2,1),"P")</f>
        <v>P</v>
      </c>
      <c r="AP7996" s="4" t="s">
        <v>376</v>
      </c>
      <c r="AR7996" s="4" t="s">
        <v>377</v>
      </c>
    </row>
    <row r="7997" spans="1:44">
      <c r="A7997" s="4" t="s">
        <v>10753</v>
      </c>
      <c r="B7997" s="4">
        <v>10979</v>
      </c>
      <c r="D7997" s="5" t="s">
        <v>10920</v>
      </c>
      <c r="E7997" s="6" t="str">
        <f>HYPERLINK("https://inpn.mnhn.fr/espece/cd_nom/10979","Osmoderma eremita (Scopoli, 1763)")</f>
        <v>Osmoderma eremita (Scopoli, 1763)</v>
      </c>
      <c r="F7997" s="5" t="s">
        <v>10921</v>
      </c>
      <c r="I7997" s="4" t="str">
        <f>HYPERLINK("#Réglementation!A"&amp;_xlfn.XMATCH("IBE2",Réglementation!A:A,2,1),"IBE2")</f>
        <v>IBE2</v>
      </c>
      <c r="K7997" s="4" t="str">
        <f>HYPERLINK("#Réglementation!A"&amp;_xlfn.XMATCH("CDH2",Réglementation!A:A,2,1),"CDH2 - CDH4")</f>
        <v>CDH2 - CDH4</v>
      </c>
      <c r="L7997" s="4" t="str">
        <f>HYPERLINK("#Réglementation!A"&amp;_xlfn.XMATCH("NI2",Réglementation!A:A,2,1),"NI2")</f>
        <v>NI2</v>
      </c>
      <c r="O7997" s="7" t="str">
        <f>HYPERLINK("#Liste_rouge!A"&amp;_xlfn.XMATCH("NT",Liste_rouge!A:A,2,1),"NT")</f>
        <v>NT</v>
      </c>
      <c r="P7997" s="7" t="str">
        <f>HYPERLINK("#Liste_rouge!A"&amp;_xlfn.XMATCH("NT",Liste_rouge!A:A,2,1),"NT")</f>
        <v>NT</v>
      </c>
      <c r="AE7997" s="4" t="str">
        <f>HYPERLINK("#SCAP!A"&amp;_xlfn.XMATCH("1+",SCAP!A:A,2,1),"1+")</f>
        <v>1+</v>
      </c>
      <c r="AF7997" s="4" t="str">
        <f>HYPERLINK("#SCAP!A"&amp;_xlfn.XMATCH("1+",SCAP!A:A,2,1),"1+")</f>
        <v>1+</v>
      </c>
      <c r="AH7997" s="4" t="str">
        <f>HYPERLINK("#Statut_biogéographique!A"&amp;_xlfn.XMATCH("P",Statut_biogéographique!A:A,2,1),"P")</f>
        <v>P</v>
      </c>
      <c r="AP7997" s="4" t="s">
        <v>376</v>
      </c>
      <c r="AR7997" s="4" t="s">
        <v>377</v>
      </c>
    </row>
    <row r="7998" spans="1:44">
      <c r="A7998" s="4" t="s">
        <v>10753</v>
      </c>
      <c r="B7998" s="4">
        <v>10981</v>
      </c>
      <c r="D7998" s="5" t="s">
        <v>10922</v>
      </c>
      <c r="E7998" s="6" t="str">
        <f>HYPERLINK("https://inpn.mnhn.fr/espece/cd_nom/10981","Gnorimus nobilis (Linnaeus, 1758)")</f>
        <v>Gnorimus nobilis (Linnaeus, 1758)</v>
      </c>
      <c r="F7998" s="5" t="s">
        <v>10923</v>
      </c>
      <c r="P7998" s="7" t="str">
        <f>HYPERLINK("#Liste_rouge!A"&amp;_xlfn.XMATCH("LC",Liste_rouge!A:A,2,1),"LC")</f>
        <v>LC</v>
      </c>
      <c r="AH7998" s="4" t="str">
        <f>HYPERLINK("#Statut_biogéographique!A"&amp;_xlfn.XMATCH("P",Statut_biogéographique!A:A,2,1),"P")</f>
        <v>P</v>
      </c>
      <c r="AP7998" s="4" t="s">
        <v>376</v>
      </c>
      <c r="AR7998" s="4" t="s">
        <v>377</v>
      </c>
    </row>
    <row r="7999" spans="1:44">
      <c r="A7999" s="4" t="s">
        <v>10753</v>
      </c>
      <c r="B7999" s="4">
        <v>10990</v>
      </c>
      <c r="D7999" s="5" t="s">
        <v>10924</v>
      </c>
      <c r="E7999" s="6" t="str">
        <f>HYPERLINK("https://inpn.mnhn.fr/espece/cd_nom/10990","Trichius fasciatus (Linnaeus, 1758)")</f>
        <v>Trichius fasciatus (Linnaeus, 1758)</v>
      </c>
      <c r="F7999" s="5" t="s">
        <v>10925</v>
      </c>
      <c r="P7999" s="7" t="str">
        <f>HYPERLINK("#Liste_rouge!A"&amp;_xlfn.XMATCH("LC",Liste_rouge!A:A,2,1),"LC")</f>
        <v>LC</v>
      </c>
      <c r="AH7999" s="4" t="str">
        <f>HYPERLINK("#Statut_biogéographique!A"&amp;_xlfn.XMATCH("P",Statut_biogéographique!A:A,2,1),"P")</f>
        <v>P</v>
      </c>
      <c r="AP7999" s="4" t="s">
        <v>376</v>
      </c>
      <c r="AR7999" s="4" t="s">
        <v>377</v>
      </c>
    </row>
    <row r="8000" spans="1:44">
      <c r="A8000" s="4" t="s">
        <v>10753</v>
      </c>
      <c r="B8000" s="4">
        <v>10992</v>
      </c>
      <c r="D8000" s="5" t="s">
        <v>10926</v>
      </c>
      <c r="E8000" s="6" t="str">
        <f>HYPERLINK("https://inpn.mnhn.fr/espece/cd_nom/10992","Cetonia aurata (Linnaeus, 1758)")</f>
        <v>Cetonia aurata (Linnaeus, 1758)</v>
      </c>
      <c r="F8000" s="5" t="s">
        <v>10927</v>
      </c>
      <c r="AH8000" s="4" t="str">
        <f>HYPERLINK("#Statut_biogéographique!A"&amp;_xlfn.XMATCH("P",Statut_biogéographique!A:A,2,1),"P")</f>
        <v>P</v>
      </c>
      <c r="AP8000" s="4" t="s">
        <v>376</v>
      </c>
      <c r="AR8000" s="4" t="s">
        <v>377</v>
      </c>
    </row>
    <row r="8001" spans="1:44">
      <c r="A8001" s="4" t="s">
        <v>10753</v>
      </c>
      <c r="B8001" s="4">
        <v>1100</v>
      </c>
      <c r="D8001" s="5">
        <v>1100</v>
      </c>
      <c r="E8001" s="6" t="str">
        <f>HYPERLINK("https://inpn.mnhn.fr/espece/cd_nom/1100","Dictyna uncinata Thorell, 1856")</f>
        <v>Dictyna uncinata Thorell, 1856</v>
      </c>
      <c r="Q8001" s="7" t="str">
        <f>HYPERLINK("#Liste_rouge!A"&amp;_xlfn.XMATCH("LC",Liste_rouge!A:A,2,1),"LC")</f>
        <v>LC</v>
      </c>
      <c r="AH8001" s="4" t="str">
        <f>HYPERLINK("#Statut_biogéographique!A"&amp;_xlfn.XMATCH("P",Statut_biogéographique!A:A,2,1),"P")</f>
        <v>P</v>
      </c>
      <c r="AP8001" s="4" t="s">
        <v>376</v>
      </c>
      <c r="AR8001" s="4" t="s">
        <v>377</v>
      </c>
    </row>
    <row r="8002" spans="1:44">
      <c r="A8002" s="4" t="s">
        <v>10753</v>
      </c>
      <c r="B8002" s="4">
        <v>11008</v>
      </c>
      <c r="D8002" s="5" t="s">
        <v>10928</v>
      </c>
      <c r="E8002" s="6" t="str">
        <f>HYPERLINK("https://inpn.mnhn.fr/espece/cd_nom/11008","Netocia morio (Fabricius, 1781)")</f>
        <v>Netocia morio (Fabricius, 1781)</v>
      </c>
      <c r="F8002" s="5" t="s">
        <v>10929</v>
      </c>
      <c r="AH8002" s="4" t="str">
        <f>HYPERLINK("#Statut_biogéographique!A"&amp;_xlfn.XMATCH("P",Statut_biogéographique!A:A,2,1),"P")</f>
        <v>P</v>
      </c>
      <c r="AP8002" s="4" t="s">
        <v>376</v>
      </c>
      <c r="AR8002" s="4" t="s">
        <v>377</v>
      </c>
    </row>
    <row r="8003" spans="1:44">
      <c r="A8003" s="4" t="s">
        <v>10753</v>
      </c>
      <c r="B8003" s="4">
        <v>11026</v>
      </c>
      <c r="D8003" s="5" t="s">
        <v>10930</v>
      </c>
      <c r="E8003" s="6" t="str">
        <f>HYPERLINK("https://inpn.mnhn.fr/espece/cd_nom/11026","Tropinota hirta (Poda, 1761)")</f>
        <v>Tropinota hirta (Poda, 1761)</v>
      </c>
      <c r="AH8003" s="4" t="str">
        <f>HYPERLINK("#Statut_biogéographique!A"&amp;_xlfn.XMATCH("P",Statut_biogéographique!A:A,2,1),"P")</f>
        <v>P</v>
      </c>
      <c r="AP8003" s="4" t="s">
        <v>376</v>
      </c>
      <c r="AR8003" s="4" t="s">
        <v>377</v>
      </c>
    </row>
    <row r="8004" spans="1:44">
      <c r="A8004" s="4" t="s">
        <v>10753</v>
      </c>
      <c r="B8004" s="4">
        <v>1103</v>
      </c>
      <c r="D8004" s="5" t="s">
        <v>10931</v>
      </c>
      <c r="E8004" s="6" t="str">
        <f>HYPERLINK("https://inpn.mnhn.fr/espece/cd_nom/1103","Dictyna arundinacea (Linnaeus, 1758)")</f>
        <v>Dictyna arundinacea (Linnaeus, 1758)</v>
      </c>
      <c r="Q8004" s="7" t="str">
        <f>HYPERLINK("#Liste_rouge!A"&amp;_xlfn.XMATCH("LC",Liste_rouge!A:A,2,1),"LC")</f>
        <v>LC</v>
      </c>
      <c r="AH8004" s="4" t="str">
        <f>HYPERLINK("#Statut_biogéographique!A"&amp;_xlfn.XMATCH("P",Statut_biogéographique!A:A,2,1),"P")</f>
        <v>P</v>
      </c>
      <c r="AP8004" s="4" t="s">
        <v>376</v>
      </c>
      <c r="AR8004" s="4" t="s">
        <v>377</v>
      </c>
    </row>
    <row r="8005" spans="1:44">
      <c r="A8005" s="4" t="s">
        <v>10753</v>
      </c>
      <c r="B8005" s="4">
        <v>11030</v>
      </c>
      <c r="D8005" s="5" t="s">
        <v>10932</v>
      </c>
      <c r="E8005" s="6" t="str">
        <f>HYPERLINK("https://inpn.mnhn.fr/espece/cd_nom/11030","Oxythyrea funesta (Poda, 1761)")</f>
        <v>Oxythyrea funesta (Poda, 1761)</v>
      </c>
      <c r="AH8005" s="4" t="str">
        <f>HYPERLINK("#Statut_biogéographique!A"&amp;_xlfn.XMATCH("P",Statut_biogéographique!A:A,2,1),"P")</f>
        <v>P</v>
      </c>
      <c r="AP8005" s="4" t="s">
        <v>376</v>
      </c>
      <c r="AR8005" s="4" t="s">
        <v>377</v>
      </c>
    </row>
    <row r="8006" spans="1:44" ht="30">
      <c r="A8006" s="4" t="s">
        <v>10753</v>
      </c>
      <c r="B8006" s="4">
        <v>11033</v>
      </c>
      <c r="D8006" s="5" t="s">
        <v>10933</v>
      </c>
      <c r="E8006" s="6" t="str">
        <f>HYPERLINK("https://inpn.mnhn.fr/espece/cd_nom/11033","Helophorus aquaticus (Linnaeus, 1758)")</f>
        <v>Helophorus aquaticus (Linnaeus, 1758)</v>
      </c>
      <c r="AH8006" s="4" t="str">
        <f>HYPERLINK("#Statut_biogéographique!A"&amp;_xlfn.XMATCH("P",Statut_biogéographique!A:A,2,1),"P")</f>
        <v>P</v>
      </c>
      <c r="AP8006" s="4" t="s">
        <v>376</v>
      </c>
      <c r="AR8006" s="4" t="s">
        <v>377</v>
      </c>
    </row>
    <row r="8007" spans="1:44">
      <c r="A8007" s="4" t="s">
        <v>10753</v>
      </c>
      <c r="B8007" s="4">
        <v>11034</v>
      </c>
      <c r="D8007" s="5" t="s">
        <v>10934</v>
      </c>
      <c r="E8007" s="6" t="str">
        <f>HYPERLINK("https://inpn.mnhn.fr/espece/cd_nom/11034","Helophorus aequalis Thomson, 1868")</f>
        <v>Helophorus aequalis Thomson, 1868</v>
      </c>
      <c r="AH8007" s="4" t="str">
        <f>HYPERLINK("#Statut_biogéographique!A"&amp;_xlfn.XMATCH("P",Statut_biogéographique!A:A,2,1),"P")</f>
        <v>P</v>
      </c>
      <c r="AP8007" s="4" t="s">
        <v>376</v>
      </c>
      <c r="AR8007" s="4" t="s">
        <v>377</v>
      </c>
    </row>
    <row r="8008" spans="1:44" ht="30">
      <c r="A8008" s="4" t="s">
        <v>10753</v>
      </c>
      <c r="B8008" s="4">
        <v>11036</v>
      </c>
      <c r="D8008" s="5" t="s">
        <v>10935</v>
      </c>
      <c r="E8008" s="6" t="str">
        <f>HYPERLINK("https://inpn.mnhn.fr/espece/cd_nom/11036","Helophorus granularis (Linnaeus, 1761)")</f>
        <v>Helophorus granularis (Linnaeus, 1761)</v>
      </c>
      <c r="AH8008" s="4" t="str">
        <f>HYPERLINK("#Statut_biogéographique!A"&amp;_xlfn.XMATCH("P",Statut_biogéographique!A:A,2,1),"P")</f>
        <v>P</v>
      </c>
      <c r="AP8008" s="4" t="s">
        <v>376</v>
      </c>
      <c r="AR8008" s="4" t="s">
        <v>377</v>
      </c>
    </row>
    <row r="8009" spans="1:44">
      <c r="A8009" s="4" t="s">
        <v>10753</v>
      </c>
      <c r="B8009" s="4">
        <v>11037</v>
      </c>
      <c r="D8009" s="5">
        <v>11037</v>
      </c>
      <c r="E8009" s="6" t="str">
        <f>HYPERLINK("https://inpn.mnhn.fr/espece/cd_nom/11037","Helophorus brevipalpis Bedel, 1881")</f>
        <v>Helophorus brevipalpis Bedel, 1881</v>
      </c>
      <c r="AH8009" s="4" t="str">
        <f>HYPERLINK("#Statut_biogéographique!A"&amp;_xlfn.XMATCH("P",Statut_biogéographique!A:A,2,1),"P")</f>
        <v>P</v>
      </c>
      <c r="AP8009" s="4" t="s">
        <v>376</v>
      </c>
      <c r="AR8009" s="4" t="s">
        <v>377</v>
      </c>
    </row>
    <row r="8010" spans="1:44">
      <c r="A8010" s="4" t="s">
        <v>10753</v>
      </c>
      <c r="B8010" s="4">
        <v>11038</v>
      </c>
      <c r="D8010" s="5" t="s">
        <v>10936</v>
      </c>
      <c r="E8010" s="6" t="str">
        <f>HYPERLINK("https://inpn.mnhn.fr/espece/cd_nom/11038","Helophorus dorsalis (Marsham, 1802)")</f>
        <v>Helophorus dorsalis (Marsham, 1802)</v>
      </c>
      <c r="AH8010" s="4" t="str">
        <f>HYPERLINK("#Statut_biogéographique!A"&amp;_xlfn.XMATCH("P",Statut_biogéographique!A:A,2,1),"P")</f>
        <v>P</v>
      </c>
      <c r="AP8010" s="4" t="s">
        <v>376</v>
      </c>
      <c r="AR8010" s="4" t="s">
        <v>377</v>
      </c>
    </row>
    <row r="8011" spans="1:44">
      <c r="A8011" s="4" t="s">
        <v>10753</v>
      </c>
      <c r="B8011" s="4">
        <v>11041</v>
      </c>
      <c r="D8011" s="5">
        <v>11041</v>
      </c>
      <c r="E8011" s="6" t="str">
        <f>HYPERLINK("https://inpn.mnhn.fr/espece/cd_nom/11041","Helophorus minutus Fabricius, 1775")</f>
        <v>Helophorus minutus Fabricius, 1775</v>
      </c>
      <c r="AH8011" s="4" t="str">
        <f>HYPERLINK("#Statut_biogéographique!A"&amp;_xlfn.XMATCH("P",Statut_biogéographique!A:A,2,1),"P")</f>
        <v>P</v>
      </c>
      <c r="AP8011" s="4" t="s">
        <v>376</v>
      </c>
      <c r="AR8011" s="4" t="s">
        <v>377</v>
      </c>
    </row>
    <row r="8012" spans="1:44" ht="30">
      <c r="A8012" s="4" t="s">
        <v>10753</v>
      </c>
      <c r="B8012" s="4">
        <v>11042</v>
      </c>
      <c r="D8012" s="5" t="s">
        <v>10937</v>
      </c>
      <c r="E8012" s="6" t="str">
        <f>HYPERLINK("https://inpn.mnhn.fr/espece/cd_nom/11042","Helophorus obscurus Mulsant, 1844")</f>
        <v>Helophorus obscurus Mulsant, 1844</v>
      </c>
      <c r="AH8012" s="4" t="str">
        <f>HYPERLINK("#Statut_biogéographique!A"&amp;_xlfn.XMATCH("P",Statut_biogéographique!A:A,2,1),"P")</f>
        <v>P</v>
      </c>
      <c r="AP8012" s="4" t="s">
        <v>376</v>
      </c>
      <c r="AR8012" s="4" t="s">
        <v>377</v>
      </c>
    </row>
    <row r="8013" spans="1:44">
      <c r="A8013" s="4" t="s">
        <v>10753</v>
      </c>
      <c r="B8013" s="4">
        <v>11045</v>
      </c>
      <c r="D8013" s="5" t="s">
        <v>10938</v>
      </c>
      <c r="E8013" s="6" t="str">
        <f>HYPERLINK("https://inpn.mnhn.fr/espece/cd_nom/11045","Hydrochus brevis (Herbst, 1793)")</f>
        <v>Hydrochus brevis (Herbst, 1793)</v>
      </c>
      <c r="AH8013" s="4" t="str">
        <f>HYPERLINK("#Statut_biogéographique!A"&amp;_xlfn.XMATCH("P",Statut_biogéographique!A:A,2,1),"P")</f>
        <v>P</v>
      </c>
      <c r="AP8013" s="4" t="s">
        <v>376</v>
      </c>
      <c r="AR8013" s="4" t="s">
        <v>377</v>
      </c>
    </row>
    <row r="8014" spans="1:44">
      <c r="A8014" s="4" t="s">
        <v>10753</v>
      </c>
      <c r="B8014" s="4">
        <v>11047</v>
      </c>
      <c r="D8014" s="5">
        <v>11047</v>
      </c>
      <c r="E8014" s="6" t="str">
        <f>HYPERLINK("https://inpn.mnhn.fr/espece/cd_nom/11047","Hydrochus angustatus Germar, 1823")</f>
        <v>Hydrochus angustatus Germar, 1823</v>
      </c>
      <c r="AH8014" s="4" t="str">
        <f>HYPERLINK("#Statut_biogéographique!A"&amp;_xlfn.XMATCH("P",Statut_biogéographique!A:A,2,1),"P")</f>
        <v>P</v>
      </c>
      <c r="AP8014" s="4" t="s">
        <v>376</v>
      </c>
      <c r="AR8014" s="4" t="s">
        <v>377</v>
      </c>
    </row>
    <row r="8015" spans="1:44" ht="45">
      <c r="A8015" s="4" t="s">
        <v>10753</v>
      </c>
      <c r="B8015" s="4">
        <v>11049</v>
      </c>
      <c r="D8015" s="5" t="s">
        <v>10939</v>
      </c>
      <c r="E8015" s="6" t="str">
        <f>HYPERLINK("https://inpn.mnhn.fr/espece/cd_nom/11049","Hydrochara caraboides (Linnaeus, 1758)")</f>
        <v>Hydrochara caraboides (Linnaeus, 1758)</v>
      </c>
      <c r="F8015" s="5" t="s">
        <v>10940</v>
      </c>
      <c r="AH8015" s="4" t="str">
        <f>HYPERLINK("#Statut_biogéographique!A"&amp;_xlfn.XMATCH("P",Statut_biogéographique!A:A,2,1),"P")</f>
        <v>P</v>
      </c>
      <c r="AP8015" s="4" t="s">
        <v>376</v>
      </c>
      <c r="AR8015" s="4" t="s">
        <v>377</v>
      </c>
    </row>
    <row r="8016" spans="1:44">
      <c r="A8016" s="4" t="s">
        <v>10753</v>
      </c>
      <c r="B8016" s="4">
        <v>11053</v>
      </c>
      <c r="D8016" s="5">
        <v>11053</v>
      </c>
      <c r="E8016" s="6" t="str">
        <f>HYPERLINK("https://inpn.mnhn.fr/espece/cd_nom/11053","Hydraena truncata Rey, 1885")</f>
        <v>Hydraena truncata Rey, 1885</v>
      </c>
      <c r="AH8016" s="4" t="str">
        <f>HYPERLINK("#Statut_biogéographique!A"&amp;_xlfn.XMATCH("P",Statut_biogéographique!A:A,2,1),"P")</f>
        <v>P</v>
      </c>
      <c r="AP8016" s="4" t="s">
        <v>376</v>
      </c>
      <c r="AR8016" s="4" t="s">
        <v>377</v>
      </c>
    </row>
    <row r="8017" spans="1:44">
      <c r="A8017" s="4" t="s">
        <v>10753</v>
      </c>
      <c r="B8017" s="4">
        <v>11060</v>
      </c>
      <c r="D8017" s="5" t="s">
        <v>10941</v>
      </c>
      <c r="E8017" s="6" t="str">
        <f>HYPERLINK("https://inpn.mnhn.fr/espece/cd_nom/11060","Cis boleti (Scopoli, 1763)")</f>
        <v>Cis boleti (Scopoli, 1763)</v>
      </c>
      <c r="AH8017" s="4" t="str">
        <f>HYPERLINK("#Statut_biogéographique!A"&amp;_xlfn.XMATCH("P",Statut_biogéographique!A:A,2,1),"P")</f>
        <v>P</v>
      </c>
      <c r="AP8017" s="4" t="s">
        <v>376</v>
      </c>
      <c r="AR8017" s="4" t="s">
        <v>377</v>
      </c>
    </row>
    <row r="8018" spans="1:44">
      <c r="A8018" s="4" t="s">
        <v>10753</v>
      </c>
      <c r="B8018" s="4">
        <v>11075</v>
      </c>
      <c r="D8018" s="5" t="s">
        <v>10942</v>
      </c>
      <c r="E8018" s="6" t="str">
        <f>HYPERLINK("https://inpn.mnhn.fr/espece/cd_nom/11075","Coxelus pictus (Sturm, 1807)")</f>
        <v>Coxelus pictus (Sturm, 1807)</v>
      </c>
      <c r="AH8018" s="4" t="str">
        <f>HYPERLINK("#Statut_biogéographique!A"&amp;_xlfn.XMATCH("P",Statut_biogéographique!A:A,2,1),"P")</f>
        <v>P</v>
      </c>
      <c r="AP8018" s="4" t="s">
        <v>376</v>
      </c>
      <c r="AR8018" s="4" t="s">
        <v>377</v>
      </c>
    </row>
    <row r="8019" spans="1:44">
      <c r="A8019" s="4" t="s">
        <v>10753</v>
      </c>
      <c r="B8019" s="4">
        <v>11077</v>
      </c>
      <c r="D8019" s="5" t="s">
        <v>10943</v>
      </c>
      <c r="E8019" s="6" t="str">
        <f>HYPERLINK("https://inpn.mnhn.fr/espece/cd_nom/11077","Synchita humeralis (Fabricius, 1792)")</f>
        <v>Synchita humeralis (Fabricius, 1792)</v>
      </c>
      <c r="AH8019" s="4" t="str">
        <f>HYPERLINK("#Statut_biogéographique!A"&amp;_xlfn.XMATCH("P",Statut_biogéographique!A:A,2,1),"P")</f>
        <v>P</v>
      </c>
      <c r="AP8019" s="4" t="s">
        <v>376</v>
      </c>
      <c r="AR8019" s="4" t="s">
        <v>377</v>
      </c>
    </row>
    <row r="8020" spans="1:44">
      <c r="A8020" s="4" t="s">
        <v>10753</v>
      </c>
      <c r="B8020" s="4">
        <v>11084</v>
      </c>
      <c r="D8020" s="5" t="s">
        <v>10944</v>
      </c>
      <c r="E8020" s="6" t="str">
        <f>HYPERLINK("https://inpn.mnhn.fr/espece/cd_nom/11084","Colydium elongatum (Fabricius, 1787)")</f>
        <v>Colydium elongatum (Fabricius, 1787)</v>
      </c>
      <c r="AH8020" s="4" t="str">
        <f>HYPERLINK("#Statut_biogéographique!A"&amp;_xlfn.XMATCH("P",Statut_biogéographique!A:A,2,1),"P")</f>
        <v>P</v>
      </c>
      <c r="AP8020" s="4" t="s">
        <v>376</v>
      </c>
      <c r="AR8020" s="4" t="s">
        <v>377</v>
      </c>
    </row>
    <row r="8021" spans="1:44">
      <c r="A8021" s="4" t="s">
        <v>10753</v>
      </c>
      <c r="B8021" s="4">
        <v>11090</v>
      </c>
      <c r="D8021" s="5" t="s">
        <v>10945</v>
      </c>
      <c r="E8021" s="6" t="str">
        <f>HYPERLINK("https://inpn.mnhn.fr/espece/cd_nom/11090","Teredus cylindricus (Olivier, 1790)")</f>
        <v>Teredus cylindricus (Olivier, 1790)</v>
      </c>
      <c r="AH8021" s="4" t="str">
        <f>HYPERLINK("#Statut_biogéographique!A"&amp;_xlfn.XMATCH("P",Statut_biogéographique!A:A,2,1),"P")</f>
        <v>P</v>
      </c>
      <c r="AP8021" s="4" t="s">
        <v>376</v>
      </c>
      <c r="AR8021" s="4" t="s">
        <v>377</v>
      </c>
    </row>
    <row r="8022" spans="1:44">
      <c r="A8022" s="4" t="s">
        <v>10753</v>
      </c>
      <c r="B8022" s="4">
        <v>11096</v>
      </c>
      <c r="D8022" s="5" t="s">
        <v>10946</v>
      </c>
      <c r="E8022" s="6" t="str">
        <f>HYPERLINK("https://inpn.mnhn.fr/espece/cd_nom/11096","Cerylon histeroides (Fabricius, 1792)")</f>
        <v>Cerylon histeroides (Fabricius, 1792)</v>
      </c>
      <c r="AH8022" s="4" t="str">
        <f>HYPERLINK("#Statut_biogéographique!A"&amp;_xlfn.XMATCH("P",Statut_biogéographique!A:A,2,1),"P")</f>
        <v>P</v>
      </c>
      <c r="AP8022" s="4" t="s">
        <v>376</v>
      </c>
      <c r="AR8022" s="4" t="s">
        <v>377</v>
      </c>
    </row>
    <row r="8023" spans="1:44" ht="30">
      <c r="A8023" s="4" t="s">
        <v>10753</v>
      </c>
      <c r="B8023" s="4">
        <v>11099</v>
      </c>
      <c r="D8023" s="5" t="s">
        <v>10947</v>
      </c>
      <c r="E8023" s="6" t="str">
        <f>HYPERLINK("https://inpn.mnhn.fr/espece/cd_nom/11099","Endomychus coccineus (Linnaeus, 1758)")</f>
        <v>Endomychus coccineus (Linnaeus, 1758)</v>
      </c>
      <c r="F8023" s="5" t="s">
        <v>10948</v>
      </c>
      <c r="AH8023" s="4" t="str">
        <f>HYPERLINK("#Statut_biogéographique!A"&amp;_xlfn.XMATCH("P",Statut_biogéographique!A:A,2,1),"P")</f>
        <v>P</v>
      </c>
      <c r="AP8023" s="4" t="s">
        <v>376</v>
      </c>
      <c r="AR8023" s="4" t="s">
        <v>377</v>
      </c>
    </row>
    <row r="8024" spans="1:44">
      <c r="A8024" s="4" t="s">
        <v>10753</v>
      </c>
      <c r="B8024" s="4">
        <v>11108</v>
      </c>
      <c r="D8024" s="5">
        <v>11108</v>
      </c>
      <c r="E8024" s="6" t="str">
        <f>HYPERLINK("https://inpn.mnhn.fr/espece/cd_nom/11108","Scymnus apetzi Mulsant, 1846")</f>
        <v>Scymnus apetzi Mulsant, 1846</v>
      </c>
      <c r="AH8024" s="4" t="str">
        <f>HYPERLINK("#Statut_biogéographique!A"&amp;_xlfn.XMATCH("P",Statut_biogéographique!A:A,2,1),"P")</f>
        <v>P</v>
      </c>
      <c r="AP8024" s="4" t="s">
        <v>376</v>
      </c>
      <c r="AR8024" s="4" t="s">
        <v>377</v>
      </c>
    </row>
    <row r="8025" spans="1:44">
      <c r="A8025" s="4" t="s">
        <v>10753</v>
      </c>
      <c r="B8025" s="4">
        <v>11109</v>
      </c>
      <c r="D8025" s="5">
        <v>11109</v>
      </c>
      <c r="E8025" s="6" t="str">
        <f>HYPERLINK("https://inpn.mnhn.fr/espece/cd_nom/11109","Scymnus ater Kugelann, 1794")</f>
        <v>Scymnus ater Kugelann, 1794</v>
      </c>
      <c r="AH8025" s="4" t="str">
        <f>HYPERLINK("#Statut_biogéographique!A"&amp;_xlfn.XMATCH("P",Statut_biogéographique!A:A,2,1),"P")</f>
        <v>P</v>
      </c>
      <c r="AP8025" s="4" t="s">
        <v>376</v>
      </c>
      <c r="AR8025" s="4" t="s">
        <v>377</v>
      </c>
    </row>
    <row r="8026" spans="1:44">
      <c r="A8026" s="4" t="s">
        <v>10753</v>
      </c>
      <c r="B8026" s="4">
        <v>11110</v>
      </c>
      <c r="D8026" s="5" t="s">
        <v>10949</v>
      </c>
      <c r="E8026" s="6" t="str">
        <f>HYPERLINK("https://inpn.mnhn.fr/espece/cd_nom/11110","Scymnus auritus Westman in Thunberg, 1795")</f>
        <v>Scymnus auritus Westman in Thunberg, 1795</v>
      </c>
      <c r="AH8026" s="4" t="str">
        <f>HYPERLINK("#Statut_biogéographique!A"&amp;_xlfn.XMATCH("P",Statut_biogéographique!A:A,2,1),"P")</f>
        <v>P</v>
      </c>
      <c r="AP8026" s="4" t="s">
        <v>376</v>
      </c>
      <c r="AR8026" s="4" t="s">
        <v>377</v>
      </c>
    </row>
    <row r="8027" spans="1:44">
      <c r="A8027" s="4" t="s">
        <v>10753</v>
      </c>
      <c r="B8027" s="4">
        <v>11112</v>
      </c>
      <c r="D8027" s="5" t="s">
        <v>10950</v>
      </c>
      <c r="E8027" s="6" t="str">
        <f>HYPERLINK("https://inpn.mnhn.fr/espece/cd_nom/11112","Scymnus ferrugatus (Moll, 1785)")</f>
        <v>Scymnus ferrugatus (Moll, 1785)</v>
      </c>
      <c r="AH8027" s="4" t="str">
        <f>HYPERLINK("#Statut_biogéographique!A"&amp;_xlfn.XMATCH("P",Statut_biogéographique!A:A,2,1),"P")</f>
        <v>P</v>
      </c>
      <c r="AP8027" s="4" t="s">
        <v>376</v>
      </c>
      <c r="AR8027" s="4" t="s">
        <v>377</v>
      </c>
    </row>
    <row r="8028" spans="1:44">
      <c r="A8028" s="4" t="s">
        <v>10753</v>
      </c>
      <c r="B8028" s="4">
        <v>11113</v>
      </c>
      <c r="D8028" s="5" t="s">
        <v>10951</v>
      </c>
      <c r="E8028" s="6" t="str">
        <f>HYPERLINK("https://inpn.mnhn.fr/espece/cd_nom/11113","Scymnus frontalis (Fabricius, 1787)")</f>
        <v>Scymnus frontalis (Fabricius, 1787)</v>
      </c>
      <c r="AH8028" s="4" t="str">
        <f>HYPERLINK("#Statut_biogéographique!A"&amp;_xlfn.XMATCH("P",Statut_biogéographique!A:A,2,1),"P")</f>
        <v>P</v>
      </c>
      <c r="AP8028" s="4" t="s">
        <v>376</v>
      </c>
      <c r="AR8028" s="4" t="s">
        <v>377</v>
      </c>
    </row>
    <row r="8029" spans="1:44">
      <c r="A8029" s="4" t="s">
        <v>10753</v>
      </c>
      <c r="B8029" s="4">
        <v>11115</v>
      </c>
      <c r="D8029" s="5" t="s">
        <v>10952</v>
      </c>
      <c r="E8029" s="6" t="str">
        <f>HYPERLINK("https://inpn.mnhn.fr/espece/cd_nom/11115","Scymnus interruptus (Goeze, 1777)")</f>
        <v>Scymnus interruptus (Goeze, 1777)</v>
      </c>
      <c r="F8029" s="5" t="s">
        <v>10953</v>
      </c>
      <c r="AH8029" s="4" t="str">
        <f>HYPERLINK("#Statut_biogéographique!A"&amp;_xlfn.XMATCH("P",Statut_biogéographique!A:A,2,1),"P")</f>
        <v>P</v>
      </c>
      <c r="AP8029" s="4" t="s">
        <v>376</v>
      </c>
      <c r="AR8029" s="4" t="s">
        <v>377</v>
      </c>
    </row>
    <row r="8030" spans="1:44">
      <c r="A8030" s="4" t="s">
        <v>10753</v>
      </c>
      <c r="B8030" s="4">
        <v>11118</v>
      </c>
      <c r="D8030" s="5" t="s">
        <v>10954</v>
      </c>
      <c r="E8030" s="6" t="str">
        <f>HYPERLINK("https://inpn.mnhn.fr/espece/cd_nom/11118","Scymnus rubromaculatus (Goeze, 1777)")</f>
        <v>Scymnus rubromaculatus (Goeze, 1777)</v>
      </c>
      <c r="AH8030" s="4" t="str">
        <f>HYPERLINK("#Statut_biogéographique!A"&amp;_xlfn.XMATCH("P",Statut_biogéographique!A:A,2,1),"P")</f>
        <v>P</v>
      </c>
      <c r="AP8030" s="4" t="s">
        <v>376</v>
      </c>
      <c r="AR8030" s="4" t="s">
        <v>377</v>
      </c>
    </row>
    <row r="8031" spans="1:44" ht="30">
      <c r="A8031" s="4" t="s">
        <v>10753</v>
      </c>
      <c r="B8031" s="4">
        <v>11122</v>
      </c>
      <c r="D8031" s="5" t="s">
        <v>10955</v>
      </c>
      <c r="E8031" s="6" t="str">
        <f>HYPERLINK("https://inpn.mnhn.fr/espece/cd_nom/11122","Scymnus suturalis Westman in Thunberg, 1795")</f>
        <v>Scymnus suturalis Westman in Thunberg, 1795</v>
      </c>
      <c r="AH8031" s="4" t="str">
        <f>HYPERLINK("#Statut_biogéographique!A"&amp;_xlfn.XMATCH("P",Statut_biogéographique!A:A,2,1),"P")</f>
        <v>P</v>
      </c>
      <c r="AP8031" s="4" t="s">
        <v>376</v>
      </c>
      <c r="AR8031" s="4" t="s">
        <v>377</v>
      </c>
    </row>
    <row r="8032" spans="1:44">
      <c r="A8032" s="4" t="s">
        <v>10753</v>
      </c>
      <c r="B8032" s="4">
        <v>11124</v>
      </c>
      <c r="D8032" s="5" t="s">
        <v>10956</v>
      </c>
      <c r="E8032" s="6" t="str">
        <f>HYPERLINK("https://inpn.mnhn.fr/espece/cd_nom/11124","Scymnus subvillosus (Goeze, 1777)")</f>
        <v>Scymnus subvillosus (Goeze, 1777)</v>
      </c>
      <c r="AH8032" s="4" t="str">
        <f>HYPERLINK("#Statut_biogéographique!A"&amp;_xlfn.XMATCH("P",Statut_biogéographique!A:A,2,1),"P")</f>
        <v>P</v>
      </c>
      <c r="AP8032" s="4" t="s">
        <v>376</v>
      </c>
      <c r="AR8032" s="4" t="s">
        <v>377</v>
      </c>
    </row>
    <row r="8033" spans="1:44" ht="30">
      <c r="A8033" s="4" t="s">
        <v>10753</v>
      </c>
      <c r="B8033" s="4">
        <v>11131</v>
      </c>
      <c r="D8033" s="5" t="s">
        <v>10957</v>
      </c>
      <c r="E8033" s="6" t="str">
        <f>HYPERLINK("https://inpn.mnhn.fr/espece/cd_nom/11131","Chilocorus bipustulatus (Linnaeus, 1758)")</f>
        <v>Chilocorus bipustulatus (Linnaeus, 1758)</v>
      </c>
      <c r="F8033" s="5" t="s">
        <v>10958</v>
      </c>
      <c r="AH8033" s="4" t="str">
        <f>HYPERLINK("#Statut_biogéographique!A"&amp;_xlfn.XMATCH("P",Statut_biogéographique!A:A,2,1),"P")</f>
        <v>P</v>
      </c>
      <c r="AP8033" s="4" t="s">
        <v>376</v>
      </c>
      <c r="AR8033" s="4" t="s">
        <v>377</v>
      </c>
    </row>
    <row r="8034" spans="1:44">
      <c r="A8034" s="4" t="s">
        <v>10753</v>
      </c>
      <c r="B8034" s="4">
        <v>11133</v>
      </c>
      <c r="D8034" s="5" t="s">
        <v>10959</v>
      </c>
      <c r="E8034" s="6" t="str">
        <f>HYPERLINK("https://inpn.mnhn.fr/espece/cd_nom/11133","Chilocorus renipustulatus (Scriba, 1791)")</f>
        <v>Chilocorus renipustulatus (Scriba, 1791)</v>
      </c>
      <c r="AH8034" s="4" t="str">
        <f>HYPERLINK("#Statut_biogéographique!A"&amp;_xlfn.XMATCH("P",Statut_biogéographique!A:A,2,1),"P")</f>
        <v>P</v>
      </c>
      <c r="AP8034" s="4" t="s">
        <v>376</v>
      </c>
      <c r="AR8034" s="4" t="s">
        <v>377</v>
      </c>
    </row>
    <row r="8035" spans="1:44" ht="30">
      <c r="A8035" s="4" t="s">
        <v>10753</v>
      </c>
      <c r="B8035" s="4">
        <v>11136</v>
      </c>
      <c r="D8035" s="5" t="s">
        <v>10960</v>
      </c>
      <c r="E8035" s="6" t="str">
        <f>HYPERLINK("https://inpn.mnhn.fr/espece/cd_nom/11136","Exochomus quadripustulatus (Linnaeus, 1758)")</f>
        <v>Exochomus quadripustulatus (Linnaeus, 1758)</v>
      </c>
      <c r="AH8035" s="4" t="str">
        <f>HYPERLINK("#Statut_biogéographique!A"&amp;_xlfn.XMATCH("P",Statut_biogéographique!A:A,2,1),"P")</f>
        <v>P</v>
      </c>
      <c r="AP8035" s="4" t="s">
        <v>376</v>
      </c>
      <c r="AR8035" s="4" t="s">
        <v>377</v>
      </c>
    </row>
    <row r="8036" spans="1:44" ht="30">
      <c r="A8036" s="4" t="s">
        <v>10753</v>
      </c>
      <c r="B8036" s="4">
        <v>11138</v>
      </c>
      <c r="D8036" s="5" t="s">
        <v>10961</v>
      </c>
      <c r="E8036" s="6" t="str">
        <f>HYPERLINK("https://inpn.mnhn.fr/espece/cd_nom/11138","Coccidula rufa (Herbst, 1783)")</f>
        <v>Coccidula rufa (Herbst, 1783)</v>
      </c>
      <c r="AH8036" s="4" t="str">
        <f>HYPERLINK("#Statut_biogéographique!A"&amp;_xlfn.XMATCH("P",Statut_biogéographique!A:A,2,1),"P")</f>
        <v>P</v>
      </c>
      <c r="AP8036" s="4" t="s">
        <v>376</v>
      </c>
      <c r="AR8036" s="4" t="s">
        <v>377</v>
      </c>
    </row>
    <row r="8037" spans="1:44" ht="30">
      <c r="A8037" s="4" t="s">
        <v>10753</v>
      </c>
      <c r="B8037" s="4">
        <v>11139</v>
      </c>
      <c r="D8037" s="5" t="s">
        <v>10962</v>
      </c>
      <c r="E8037" s="6" t="str">
        <f>HYPERLINK("https://inpn.mnhn.fr/espece/cd_nom/11139","Coccidula scutellata (Herbst, 1783)")</f>
        <v>Coccidula scutellata (Herbst, 1783)</v>
      </c>
      <c r="AH8037" s="4" t="str">
        <f>HYPERLINK("#Statut_biogéographique!A"&amp;_xlfn.XMATCH("P",Statut_biogéographique!A:A,2,1),"P")</f>
        <v>P</v>
      </c>
      <c r="AP8037" s="4" t="s">
        <v>376</v>
      </c>
      <c r="AR8037" s="4" t="s">
        <v>377</v>
      </c>
    </row>
    <row r="8038" spans="1:44">
      <c r="A8038" s="4" t="s">
        <v>10753</v>
      </c>
      <c r="B8038" s="4">
        <v>11141</v>
      </c>
      <c r="D8038" s="5" t="s">
        <v>10963</v>
      </c>
      <c r="E8038" s="6" t="str">
        <f>HYPERLINK("https://inpn.mnhn.fr/espece/cd_nom/11141","Rhyzobius chrysomeloides (Herbst, 1792)")</f>
        <v>Rhyzobius chrysomeloides (Herbst, 1792)</v>
      </c>
      <c r="AH8038" s="4" t="str">
        <f>HYPERLINK("#Statut_biogéographique!A"&amp;_xlfn.XMATCH("P",Statut_biogéographique!A:A,2,1),"P")</f>
        <v>P</v>
      </c>
      <c r="AP8038" s="4" t="s">
        <v>376</v>
      </c>
      <c r="AR8038" s="4" t="s">
        <v>377</v>
      </c>
    </row>
    <row r="8039" spans="1:44">
      <c r="A8039" s="4" t="s">
        <v>10753</v>
      </c>
      <c r="B8039" s="4">
        <v>11142</v>
      </c>
      <c r="D8039" s="5" t="s">
        <v>10964</v>
      </c>
      <c r="E8039" s="6" t="str">
        <f>HYPERLINK("https://inpn.mnhn.fr/espece/cd_nom/11142","Rhyzobius litura (Fabricius, 1787)")</f>
        <v>Rhyzobius litura (Fabricius, 1787)</v>
      </c>
      <c r="AH8039" s="4" t="str">
        <f>HYPERLINK("#Statut_biogéographique!A"&amp;_xlfn.XMATCH("P",Statut_biogéographique!A:A,2,1),"P")</f>
        <v>P</v>
      </c>
      <c r="AP8039" s="4" t="s">
        <v>376</v>
      </c>
      <c r="AR8039" s="4" t="s">
        <v>377</v>
      </c>
    </row>
    <row r="8040" spans="1:44" ht="30">
      <c r="A8040" s="4" t="s">
        <v>10753</v>
      </c>
      <c r="B8040" s="4">
        <v>11144</v>
      </c>
      <c r="D8040" s="5" t="s">
        <v>10965</v>
      </c>
      <c r="E8040" s="6" t="str">
        <f>HYPERLINK("https://inpn.mnhn.fr/espece/cd_nom/11144","Hippodamia tredecimpunctata (Linnaeus, 1758)")</f>
        <v>Hippodamia tredecimpunctata (Linnaeus, 1758)</v>
      </c>
      <c r="F8040" s="5" t="s">
        <v>10966</v>
      </c>
      <c r="AH8040" s="4" t="str">
        <f>HYPERLINK("#Statut_biogéographique!A"&amp;_xlfn.XMATCH("P",Statut_biogéographique!A:A,2,1),"P")</f>
        <v>P</v>
      </c>
      <c r="AP8040" s="4" t="s">
        <v>376</v>
      </c>
      <c r="AR8040" s="4" t="s">
        <v>377</v>
      </c>
    </row>
    <row r="8041" spans="1:44" ht="30">
      <c r="A8041" s="4" t="s">
        <v>10753</v>
      </c>
      <c r="B8041" s="4">
        <v>11145</v>
      </c>
      <c r="D8041" s="5" t="s">
        <v>10967</v>
      </c>
      <c r="E8041" s="6" t="str">
        <f>HYPERLINK("https://inpn.mnhn.fr/espece/cd_nom/11145","Hippodamia variegata (Goeze, 1777)")</f>
        <v>Hippodamia variegata (Goeze, 1777)</v>
      </c>
      <c r="F8041" s="5" t="s">
        <v>10968</v>
      </c>
      <c r="AH8041" s="4" t="str">
        <f>HYPERLINK("#Statut_biogéographique!A"&amp;_xlfn.XMATCH("P",Statut_biogéographique!A:A,2,1),"P")</f>
        <v>P</v>
      </c>
      <c r="AP8041" s="4" t="s">
        <v>376</v>
      </c>
      <c r="AR8041" s="4" t="s">
        <v>377</v>
      </c>
    </row>
    <row r="8042" spans="1:44">
      <c r="A8042" s="4" t="s">
        <v>10753</v>
      </c>
      <c r="B8042" s="4">
        <v>11152</v>
      </c>
      <c r="D8042" s="5" t="s">
        <v>10969</v>
      </c>
      <c r="E8042" s="6" t="str">
        <f>HYPERLINK("https://inpn.mnhn.fr/espece/cd_nom/11152","Adalia bipunctata (Linnaeus, 1758)")</f>
        <v>Adalia bipunctata (Linnaeus, 1758)</v>
      </c>
      <c r="F8042" s="5" t="s">
        <v>10970</v>
      </c>
      <c r="AH8042" s="4" t="str">
        <f>HYPERLINK("#Statut_biogéographique!A"&amp;_xlfn.XMATCH("P",Statut_biogéographique!A:A,2,1),"P")</f>
        <v>P</v>
      </c>
      <c r="AP8042" s="4" t="s">
        <v>376</v>
      </c>
      <c r="AR8042" s="4" t="s">
        <v>377</v>
      </c>
    </row>
    <row r="8043" spans="1:44">
      <c r="A8043" s="4" t="s">
        <v>10753</v>
      </c>
      <c r="B8043" s="4">
        <v>11156</v>
      </c>
      <c r="D8043" s="5" t="s">
        <v>10971</v>
      </c>
      <c r="E8043" s="6" t="str">
        <f>HYPERLINK("https://inpn.mnhn.fr/espece/cd_nom/11156","Adalia conglomerata (Linnaeus, 1758)")</f>
        <v>Adalia conglomerata (Linnaeus, 1758)</v>
      </c>
      <c r="AH8043" s="4" t="str">
        <f>HYPERLINK("#Statut_biogéographique!A"&amp;_xlfn.XMATCH("P",Statut_biogéographique!A:A,2,1),"P")</f>
        <v>P</v>
      </c>
      <c r="AP8043" s="4" t="s">
        <v>376</v>
      </c>
      <c r="AR8043" s="4" t="s">
        <v>377</v>
      </c>
    </row>
    <row r="8044" spans="1:44" ht="30">
      <c r="A8044" s="4" t="s">
        <v>10753</v>
      </c>
      <c r="B8044" s="4">
        <v>11157</v>
      </c>
      <c r="D8044" s="5" t="s">
        <v>10972</v>
      </c>
      <c r="E8044" s="6" t="str">
        <f>HYPERLINK("https://inpn.mnhn.fr/espece/cd_nom/11157","Adalia decempunctata (Linnaeus, 1758)")</f>
        <v>Adalia decempunctata (Linnaeus, 1758)</v>
      </c>
      <c r="F8044" s="5" t="s">
        <v>10973</v>
      </c>
      <c r="AH8044" s="4" t="str">
        <f>HYPERLINK("#Statut_biogéographique!A"&amp;_xlfn.XMATCH("P",Statut_biogéographique!A:A,2,1),"P")</f>
        <v>P</v>
      </c>
      <c r="AP8044" s="4" t="s">
        <v>376</v>
      </c>
      <c r="AR8044" s="4" t="s">
        <v>377</v>
      </c>
    </row>
    <row r="8045" spans="1:44" ht="30">
      <c r="A8045" s="4" t="s">
        <v>10753</v>
      </c>
      <c r="B8045" s="4">
        <v>11165</v>
      </c>
      <c r="D8045" s="5">
        <v>11165</v>
      </c>
      <c r="E8045" s="6" t="str">
        <f>HYPERLINK("https://inpn.mnhn.fr/espece/cd_nom/11165","Coccinella septempunctata Linnaeus, 1758")</f>
        <v>Coccinella septempunctata Linnaeus, 1758</v>
      </c>
      <c r="F8045" s="5" t="s">
        <v>10974</v>
      </c>
      <c r="AH8045" s="4" t="str">
        <f>HYPERLINK("#Statut_biogéographique!A"&amp;_xlfn.XMATCH("P",Statut_biogéographique!A:A,2,1),"P")</f>
        <v>P</v>
      </c>
      <c r="AP8045" s="4" t="s">
        <v>376</v>
      </c>
      <c r="AR8045" s="4" t="s">
        <v>377</v>
      </c>
    </row>
    <row r="8046" spans="1:44">
      <c r="A8046" s="4" t="s">
        <v>10753</v>
      </c>
      <c r="B8046" s="4">
        <v>11168</v>
      </c>
      <c r="D8046" s="5">
        <v>11168</v>
      </c>
      <c r="E8046" s="6" t="str">
        <f>HYPERLINK("https://inpn.mnhn.fr/espece/cd_nom/11168","Coccinella undecimpunctata Linnaeus, 1758")</f>
        <v>Coccinella undecimpunctata Linnaeus, 1758</v>
      </c>
      <c r="F8046" s="5" t="s">
        <v>10975</v>
      </c>
      <c r="AH8046" s="4" t="str">
        <f>HYPERLINK("#Statut_biogéographique!A"&amp;_xlfn.XMATCH("P",Statut_biogéographique!A:A,2,1),"P")</f>
        <v>P</v>
      </c>
      <c r="AP8046" s="4" t="s">
        <v>376</v>
      </c>
      <c r="AR8046" s="4" t="s">
        <v>377</v>
      </c>
    </row>
    <row r="8047" spans="1:44" ht="30">
      <c r="A8047" s="4" t="s">
        <v>10753</v>
      </c>
      <c r="B8047" s="4">
        <v>11173</v>
      </c>
      <c r="D8047" s="5" t="s">
        <v>10976</v>
      </c>
      <c r="E8047" s="6" t="str">
        <f>HYPERLINK("https://inpn.mnhn.fr/espece/cd_nom/11173","Harmonia quadripunctata (Pontoppidan, 1763)")</f>
        <v>Harmonia quadripunctata (Pontoppidan, 1763)</v>
      </c>
      <c r="F8047" s="5" t="s">
        <v>10977</v>
      </c>
      <c r="AH8047" s="4" t="str">
        <f>HYPERLINK("#Statut_biogéographique!A"&amp;_xlfn.XMATCH("P",Statut_biogéographique!A:A,2,1),"P")</f>
        <v>P</v>
      </c>
      <c r="AP8047" s="4" t="s">
        <v>376</v>
      </c>
      <c r="AR8047" s="4" t="s">
        <v>377</v>
      </c>
    </row>
    <row r="8048" spans="1:44">
      <c r="A8048" s="4" t="s">
        <v>10753</v>
      </c>
      <c r="B8048" s="4">
        <v>11186</v>
      </c>
      <c r="D8048" s="5" t="s">
        <v>10978</v>
      </c>
      <c r="E8048" s="6" t="str">
        <f>HYPERLINK("https://inpn.mnhn.fr/espece/cd_nom/11186","Anatis ocellata (Linnaeus, 1758)")</f>
        <v>Anatis ocellata (Linnaeus, 1758)</v>
      </c>
      <c r="F8048" s="5" t="s">
        <v>10979</v>
      </c>
      <c r="AH8048" s="4" t="str">
        <f>HYPERLINK("#Statut_biogéographique!A"&amp;_xlfn.XMATCH("P",Statut_biogéographique!A:A,2,1),"P")</f>
        <v>P</v>
      </c>
      <c r="AP8048" s="4" t="s">
        <v>376</v>
      </c>
      <c r="AR8048" s="4" t="s">
        <v>377</v>
      </c>
    </row>
    <row r="8049" spans="1:44">
      <c r="A8049" s="4" t="s">
        <v>10753</v>
      </c>
      <c r="B8049" s="4">
        <v>11197</v>
      </c>
      <c r="D8049" s="5" t="s">
        <v>10980</v>
      </c>
      <c r="E8049" s="6" t="str">
        <f>HYPERLINK("https://inpn.mnhn.fr/espece/cd_nom/11197","Halyzia sedecimguttata (Linnaeus, 1758)")</f>
        <v>Halyzia sedecimguttata (Linnaeus, 1758)</v>
      </c>
      <c r="F8049" s="5" t="s">
        <v>10981</v>
      </c>
      <c r="AH8049" s="4" t="str">
        <f>HYPERLINK("#Statut_biogéographique!A"&amp;_xlfn.XMATCH("P",Statut_biogéographique!A:A,2,1),"P")</f>
        <v>P</v>
      </c>
      <c r="AP8049" s="4" t="s">
        <v>376</v>
      </c>
      <c r="AR8049" s="4" t="s">
        <v>377</v>
      </c>
    </row>
    <row r="8050" spans="1:44">
      <c r="A8050" s="4" t="s">
        <v>10753</v>
      </c>
      <c r="B8050" s="4">
        <v>1120</v>
      </c>
      <c r="D8050" s="5" t="s">
        <v>10982</v>
      </c>
      <c r="E8050" s="6" t="str">
        <f>HYPERLINK("https://inpn.mnhn.fr/espece/cd_nom/1120","Scytodes thoracica (Latreille, 1802)")</f>
        <v>Scytodes thoracica (Latreille, 1802)</v>
      </c>
      <c r="F8050" s="5" t="s">
        <v>10983</v>
      </c>
      <c r="Q8050" s="7" t="str">
        <f>HYPERLINK("#Liste_rouge!A"&amp;_xlfn.XMATCH("LC",Liste_rouge!A:A,2,1),"LC")</f>
        <v>LC</v>
      </c>
      <c r="AH8050" s="4" t="str">
        <f>HYPERLINK("#Statut_biogéographique!A"&amp;_xlfn.XMATCH("P",Statut_biogéographique!A:A,2,1),"P")</f>
        <v>P</v>
      </c>
      <c r="AP8050" s="4" t="s">
        <v>376</v>
      </c>
      <c r="AR8050" s="4" t="s">
        <v>377</v>
      </c>
    </row>
    <row r="8051" spans="1:44">
      <c r="A8051" s="4" t="s">
        <v>10753</v>
      </c>
      <c r="B8051" s="4">
        <v>11202</v>
      </c>
      <c r="D8051" s="5" t="s">
        <v>10984</v>
      </c>
      <c r="E8051" s="6" t="str">
        <f>HYPERLINK("https://inpn.mnhn.fr/espece/cd_nom/11202","Vibidia duodecimguttata (Poda, 1761)")</f>
        <v>Vibidia duodecimguttata (Poda, 1761)</v>
      </c>
      <c r="F8051" s="5" t="s">
        <v>10985</v>
      </c>
      <c r="AH8051" s="4" t="str">
        <f>HYPERLINK("#Statut_biogéographique!A"&amp;_xlfn.XMATCH("P",Statut_biogéographique!A:A,2,1),"P")</f>
        <v>P</v>
      </c>
      <c r="AP8051" s="4" t="s">
        <v>376</v>
      </c>
      <c r="AR8051" s="4" t="s">
        <v>377</v>
      </c>
    </row>
    <row r="8052" spans="1:44">
      <c r="A8052" s="4" t="s">
        <v>10753</v>
      </c>
      <c r="B8052" s="4">
        <v>11211</v>
      </c>
      <c r="D8052" s="5">
        <v>11211</v>
      </c>
      <c r="E8052" s="6" t="str">
        <f>HYPERLINK("https://inpn.mnhn.fr/espece/cd_nom/11211","Dermestes lardarius Linnaeus, 1758")</f>
        <v>Dermestes lardarius Linnaeus, 1758</v>
      </c>
      <c r="F8052" s="5" t="s">
        <v>10986</v>
      </c>
      <c r="AH8052" s="4" t="str">
        <f>HYPERLINK("#Statut_biogéographique!A"&amp;_xlfn.XMATCH("C",Statut_biogéographique!A:A,2,1),"C")</f>
        <v>C</v>
      </c>
      <c r="AP8052" s="4" t="s">
        <v>376</v>
      </c>
      <c r="AR8052" s="4" t="s">
        <v>377</v>
      </c>
    </row>
    <row r="8053" spans="1:44">
      <c r="A8053" s="4" t="s">
        <v>10753</v>
      </c>
      <c r="B8053" s="4">
        <v>11212</v>
      </c>
      <c r="D8053" s="5">
        <v>11212</v>
      </c>
      <c r="E8053" s="6" t="str">
        <f>HYPERLINK("https://inpn.mnhn.fr/espece/cd_nom/11212","Dermestes mustelinus Erichson, 1846")</f>
        <v>Dermestes mustelinus Erichson, 1846</v>
      </c>
      <c r="AH8053" s="4" t="str">
        <f>HYPERLINK("#Statut_biogéographique!A"&amp;_xlfn.XMATCH("P",Statut_biogéographique!A:A,2,1),"P")</f>
        <v>P</v>
      </c>
      <c r="AP8053" s="4" t="s">
        <v>376</v>
      </c>
      <c r="AR8053" s="4" t="s">
        <v>377</v>
      </c>
    </row>
    <row r="8054" spans="1:44">
      <c r="A8054" s="4" t="s">
        <v>10753</v>
      </c>
      <c r="B8054" s="4">
        <v>11214</v>
      </c>
      <c r="D8054" s="5">
        <v>11214</v>
      </c>
      <c r="E8054" s="6" t="str">
        <f>HYPERLINK("https://inpn.mnhn.fr/espece/cd_nom/11214","Dermestes undulatus Brahm, 1790")</f>
        <v>Dermestes undulatus Brahm, 1790</v>
      </c>
      <c r="F8054" s="5" t="s">
        <v>10987</v>
      </c>
      <c r="AH8054" s="4" t="str">
        <f>HYPERLINK("#Statut_biogéographique!A"&amp;_xlfn.XMATCH("P",Statut_biogéographique!A:A,2,1),"P")</f>
        <v>P</v>
      </c>
      <c r="AP8054" s="4" t="s">
        <v>376</v>
      </c>
      <c r="AR8054" s="4" t="s">
        <v>377</v>
      </c>
    </row>
    <row r="8055" spans="1:44">
      <c r="A8055" s="4" t="s">
        <v>10753</v>
      </c>
      <c r="B8055" s="4">
        <v>11216</v>
      </c>
      <c r="D8055" s="5" t="s">
        <v>10988</v>
      </c>
      <c r="E8055" s="6" t="str">
        <f>HYPERLINK("https://inpn.mnhn.fr/espece/cd_nom/11216","Attagenus pellio (Linnaeus, 1758)")</f>
        <v>Attagenus pellio (Linnaeus, 1758)</v>
      </c>
      <c r="F8055" s="5" t="s">
        <v>10989</v>
      </c>
      <c r="AH8055" s="4" t="str">
        <f>HYPERLINK("#Statut_biogéographique!A"&amp;_xlfn.XMATCH("P",Statut_biogéographique!A:A,2,1),"P")</f>
        <v>P</v>
      </c>
      <c r="AP8055" s="4" t="s">
        <v>376</v>
      </c>
      <c r="AR8055" s="4" t="s">
        <v>377</v>
      </c>
    </row>
    <row r="8056" spans="1:44" ht="30">
      <c r="A8056" s="4" t="s">
        <v>10753</v>
      </c>
      <c r="B8056" s="4">
        <v>11219</v>
      </c>
      <c r="D8056" s="5" t="s">
        <v>10990</v>
      </c>
      <c r="E8056" s="6" t="str">
        <f>HYPERLINK("https://inpn.mnhn.fr/espece/cd_nom/11219","Limnichus aurosericeus Jacquelin du Val, 1857")</f>
        <v>Limnichus aurosericeus Jacquelin du Val, 1857</v>
      </c>
      <c r="AH8056" s="4" t="str">
        <f>HYPERLINK("#Statut_biogéographique!A"&amp;_xlfn.XMATCH("P",Statut_biogéographique!A:A,2,1),"P")</f>
        <v>P</v>
      </c>
      <c r="AP8056" s="4" t="s">
        <v>376</v>
      </c>
      <c r="AR8056" s="4" t="s">
        <v>377</v>
      </c>
    </row>
    <row r="8057" spans="1:44" ht="60">
      <c r="A8057" s="4" t="s">
        <v>10753</v>
      </c>
      <c r="B8057" s="4">
        <v>11222</v>
      </c>
      <c r="D8057" s="5" t="s">
        <v>10991</v>
      </c>
      <c r="E8057" s="6" t="str">
        <f>HYPERLINK("https://inpn.mnhn.fr/espece/cd_nom/11222","Cytilus sericeus (Forster, 1771)")</f>
        <v>Cytilus sericeus (Forster, 1771)</v>
      </c>
      <c r="AH8057" s="4" t="str">
        <f>HYPERLINK("#Statut_biogéographique!A"&amp;_xlfn.XMATCH("P",Statut_biogéographique!A:A,2,1),"P")</f>
        <v>P</v>
      </c>
      <c r="AP8057" s="4" t="s">
        <v>376</v>
      </c>
      <c r="AR8057" s="4" t="s">
        <v>377</v>
      </c>
    </row>
    <row r="8058" spans="1:44" ht="30">
      <c r="A8058" s="4" t="s">
        <v>10753</v>
      </c>
      <c r="B8058" s="4">
        <v>11225</v>
      </c>
      <c r="D8058" s="5" t="s">
        <v>10992</v>
      </c>
      <c r="E8058" s="6" t="str">
        <f>HYPERLINK("https://inpn.mnhn.fr/espece/cd_nom/11225","Byrrhus glabratus Heer, 1841")</f>
        <v>Byrrhus glabratus Heer, 1841</v>
      </c>
      <c r="AH8058" s="4" t="str">
        <f>HYPERLINK("#Statut_biogéographique!A"&amp;_xlfn.XMATCH("P",Statut_biogéographique!A:A,2,1),"P")</f>
        <v>P</v>
      </c>
      <c r="AP8058" s="4" t="s">
        <v>376</v>
      </c>
      <c r="AR8058" s="4" t="s">
        <v>377</v>
      </c>
    </row>
    <row r="8059" spans="1:44">
      <c r="A8059" s="4" t="s">
        <v>10753</v>
      </c>
      <c r="B8059" s="4">
        <v>11226</v>
      </c>
      <c r="D8059" s="5" t="s">
        <v>10993</v>
      </c>
      <c r="E8059" s="6" t="str">
        <f>HYPERLINK("https://inpn.mnhn.fr/espece/cd_nom/11226","Byrrhus pilula (Linnaeus, 1758)")</f>
        <v>Byrrhus pilula (Linnaeus, 1758)</v>
      </c>
      <c r="F8059" s="5" t="s">
        <v>10994</v>
      </c>
      <c r="AH8059" s="4" t="str">
        <f>HYPERLINK("#Statut_biogéographique!A"&amp;_xlfn.XMATCH("P",Statut_biogéographique!A:A,2,1),"P")</f>
        <v>P</v>
      </c>
      <c r="AP8059" s="4" t="s">
        <v>376</v>
      </c>
      <c r="AR8059" s="4" t="s">
        <v>377</v>
      </c>
    </row>
    <row r="8060" spans="1:44" ht="45">
      <c r="A8060" s="4" t="s">
        <v>10753</v>
      </c>
      <c r="B8060" s="4">
        <v>11228</v>
      </c>
      <c r="D8060" s="5" t="s">
        <v>10995</v>
      </c>
      <c r="E8060" s="6" t="str">
        <f>HYPERLINK("https://inpn.mnhn.fr/espece/cd_nom/11228","Porcinolus murinus (Fabricius, 1794)")</f>
        <v>Porcinolus murinus (Fabricius, 1794)</v>
      </c>
      <c r="AH8060" s="4" t="str">
        <f>HYPERLINK("#Statut_biogéographique!A"&amp;_xlfn.XMATCH("P",Statut_biogéographique!A:A,2,1),"P")</f>
        <v>P</v>
      </c>
      <c r="AP8060" s="4" t="s">
        <v>376</v>
      </c>
      <c r="AR8060" s="4" t="s">
        <v>377</v>
      </c>
    </row>
    <row r="8061" spans="1:44" ht="30">
      <c r="A8061" s="4" t="s">
        <v>10753</v>
      </c>
      <c r="B8061" s="4">
        <v>11235</v>
      </c>
      <c r="D8061" s="5" t="s">
        <v>10996</v>
      </c>
      <c r="E8061" s="6" t="str">
        <f>HYPERLINK("https://inpn.mnhn.fr/espece/cd_nom/11235","Dryops luridus (Erichson, 1847)")</f>
        <v>Dryops luridus (Erichson, 1847)</v>
      </c>
      <c r="AH8061" s="4" t="str">
        <f>HYPERLINK("#Statut_biogéographique!A"&amp;_xlfn.XMATCH("P",Statut_biogéographique!A:A,2,1),"P")</f>
        <v>P</v>
      </c>
      <c r="AP8061" s="4" t="s">
        <v>376</v>
      </c>
      <c r="AR8061" s="4" t="s">
        <v>377</v>
      </c>
    </row>
    <row r="8062" spans="1:44" ht="30">
      <c r="A8062" s="4" t="s">
        <v>10753</v>
      </c>
      <c r="B8062" s="4">
        <v>11248</v>
      </c>
      <c r="D8062" s="5" t="s">
        <v>10997</v>
      </c>
      <c r="E8062" s="6" t="str">
        <f>HYPERLINK("https://inpn.mnhn.fr/espece/cd_nom/11248","Limnius intermedius Fairmaire, 1881")</f>
        <v>Limnius intermedius Fairmaire, 1881</v>
      </c>
      <c r="AH8062" s="4" t="str">
        <f>HYPERLINK("#Statut_biogéographique!A"&amp;_xlfn.XMATCH("P",Statut_biogéographique!A:A,2,1),"P")</f>
        <v>P</v>
      </c>
      <c r="AP8062" s="4" t="s">
        <v>376</v>
      </c>
      <c r="AR8062" s="4" t="s">
        <v>377</v>
      </c>
    </row>
    <row r="8063" spans="1:44">
      <c r="A8063" s="4" t="s">
        <v>10753</v>
      </c>
      <c r="B8063" s="4">
        <v>11249</v>
      </c>
      <c r="D8063" s="5">
        <v>11249</v>
      </c>
      <c r="E8063" s="6" t="str">
        <f>HYPERLINK("https://inpn.mnhn.fr/espece/cd_nom/11249","Limnius opacus P.W.J. Müller, 1806")</f>
        <v>Limnius opacus P.W.J. Müller, 1806</v>
      </c>
      <c r="AH8063" s="4" t="str">
        <f>HYPERLINK("#Statut_biogéographique!A"&amp;_xlfn.XMATCH("P",Statut_biogéographique!A:A,2,1),"P")</f>
        <v>P</v>
      </c>
      <c r="AP8063" s="4" t="s">
        <v>376</v>
      </c>
      <c r="AR8063" s="4" t="s">
        <v>377</v>
      </c>
    </row>
    <row r="8064" spans="1:44">
      <c r="A8064" s="4" t="s">
        <v>10753</v>
      </c>
      <c r="B8064" s="4">
        <v>11250</v>
      </c>
      <c r="D8064" s="5" t="s">
        <v>10998</v>
      </c>
      <c r="E8064" s="6" t="str">
        <f>HYPERLINK("https://inpn.mnhn.fr/espece/cd_nom/11250","Limnius perrisi (Dufour, 1843)")</f>
        <v>Limnius perrisi (Dufour, 1843)</v>
      </c>
      <c r="AH8064" s="4" t="str">
        <f>HYPERLINK("#Statut_biogéographique!A"&amp;_xlfn.XMATCH("P",Statut_biogéographique!A:A,2,1),"P")</f>
        <v>P</v>
      </c>
      <c r="AP8064" s="4" t="s">
        <v>376</v>
      </c>
      <c r="AR8064" s="4" t="s">
        <v>377</v>
      </c>
    </row>
    <row r="8065" spans="1:44">
      <c r="A8065" s="4" t="s">
        <v>10753</v>
      </c>
      <c r="B8065" s="4">
        <v>11256</v>
      </c>
      <c r="D8065" s="5" t="s">
        <v>10999</v>
      </c>
      <c r="E8065" s="6" t="str">
        <f>HYPERLINK("https://inpn.mnhn.fr/espece/cd_nom/11256","Limnius volckmari (Panzer, 1793)")</f>
        <v>Limnius volckmari (Panzer, 1793)</v>
      </c>
      <c r="AH8065" s="4" t="str">
        <f>HYPERLINK("#Statut_biogéographique!A"&amp;_xlfn.XMATCH("P",Statut_biogéographique!A:A,2,1),"P")</f>
        <v>P</v>
      </c>
      <c r="AP8065" s="4" t="s">
        <v>376</v>
      </c>
      <c r="AR8065" s="4" t="s">
        <v>377</v>
      </c>
    </row>
    <row r="8066" spans="1:44">
      <c r="A8066" s="4" t="s">
        <v>10753</v>
      </c>
      <c r="B8066" s="4">
        <v>11258</v>
      </c>
      <c r="D8066" s="5" t="s">
        <v>11000</v>
      </c>
      <c r="E8066" s="6" t="str">
        <f>HYPERLINK("https://inpn.mnhn.fr/espece/cd_nom/11258","Dupophilus brevis Mulsant &amp; Rey, 1872")</f>
        <v>Dupophilus brevis Mulsant &amp; Rey, 1872</v>
      </c>
      <c r="AH8066" s="4" t="str">
        <f>HYPERLINK("#Statut_biogéographique!A"&amp;_xlfn.XMATCH("P",Statut_biogéographique!A:A,2,1),"P")</f>
        <v>P</v>
      </c>
      <c r="AP8066" s="4" t="s">
        <v>376</v>
      </c>
      <c r="AR8066" s="4" t="s">
        <v>377</v>
      </c>
    </row>
    <row r="8067" spans="1:44">
      <c r="A8067" s="4" t="s">
        <v>10753</v>
      </c>
      <c r="B8067" s="4">
        <v>11263</v>
      </c>
      <c r="D8067" s="5" t="s">
        <v>11001</v>
      </c>
      <c r="E8067" s="6" t="str">
        <f>HYPERLINK("https://inpn.mnhn.fr/espece/cd_nom/11263","Esolus pygmaeus (P.W.J. Müller, 1806)")</f>
        <v>Esolus pygmaeus (P.W.J. Müller, 1806)</v>
      </c>
      <c r="AH8067" s="4" t="str">
        <f>HYPERLINK("#Statut_biogéographique!A"&amp;_xlfn.XMATCH("P",Statut_biogéographique!A:A,2,1),"P")</f>
        <v>P</v>
      </c>
      <c r="AP8067" s="4" t="s">
        <v>376</v>
      </c>
      <c r="AR8067" s="4" t="s">
        <v>377</v>
      </c>
    </row>
    <row r="8068" spans="1:44" ht="30">
      <c r="A8068" s="4" t="s">
        <v>10753</v>
      </c>
      <c r="B8068" s="4">
        <v>11283</v>
      </c>
      <c r="D8068" s="5" t="s">
        <v>11002</v>
      </c>
      <c r="E8068" s="6" t="str">
        <f>HYPERLINK("https://inpn.mnhn.fr/espece/cd_nom/11283","Capnodis tenebricosa (Olivier, 1790)")</f>
        <v>Capnodis tenebricosa (Olivier, 1790)</v>
      </c>
      <c r="F8068" s="5" t="s">
        <v>11003</v>
      </c>
      <c r="AH8068" s="4" t="str">
        <f>HYPERLINK("#Statut_biogéographique!A"&amp;_xlfn.XMATCH("P",Statut_biogéographique!A:A,2,1),"P")</f>
        <v>P</v>
      </c>
      <c r="AP8068" s="4" t="s">
        <v>376</v>
      </c>
      <c r="AR8068" s="4" t="s">
        <v>377</v>
      </c>
    </row>
    <row r="8069" spans="1:44">
      <c r="A8069" s="4" t="s">
        <v>10753</v>
      </c>
      <c r="B8069" s="4">
        <v>11285</v>
      </c>
      <c r="D8069" s="5" t="s">
        <v>11004</v>
      </c>
      <c r="E8069" s="6" t="str">
        <f>HYPERLINK("https://inpn.mnhn.fr/espece/cd_nom/11285","Dicerca aenea (Linnaeus, 1761)")</f>
        <v>Dicerca aenea (Linnaeus, 1761)</v>
      </c>
      <c r="AH8069" s="4" t="str">
        <f>HYPERLINK("#Statut_biogéographique!A"&amp;_xlfn.XMATCH("P",Statut_biogéographique!A:A,2,1),"P")</f>
        <v>P</v>
      </c>
      <c r="AP8069" s="4" t="s">
        <v>376</v>
      </c>
      <c r="AR8069" s="4" t="s">
        <v>377</v>
      </c>
    </row>
    <row r="8070" spans="1:44">
      <c r="A8070" s="4" t="s">
        <v>10753</v>
      </c>
      <c r="B8070" s="4">
        <v>11286</v>
      </c>
      <c r="D8070" s="5" t="s">
        <v>11005</v>
      </c>
      <c r="E8070" s="6" t="str">
        <f>HYPERLINK("https://inpn.mnhn.fr/espece/cd_nom/11286","Dicerca alni (Fischer von Waldheim, 1824)")</f>
        <v>Dicerca alni (Fischer von Waldheim, 1824)</v>
      </c>
      <c r="AH8070" s="4" t="str">
        <f>HYPERLINK("#Statut_biogéographique!A"&amp;_xlfn.XMATCH("P",Statut_biogéographique!A:A,2,1),"P")</f>
        <v>P</v>
      </c>
      <c r="AP8070" s="4" t="s">
        <v>376</v>
      </c>
      <c r="AR8070" s="4" t="s">
        <v>377</v>
      </c>
    </row>
    <row r="8071" spans="1:44">
      <c r="A8071" s="4" t="s">
        <v>10753</v>
      </c>
      <c r="B8071" s="4">
        <v>11288</v>
      </c>
      <c r="D8071" s="5" t="s">
        <v>11006</v>
      </c>
      <c r="E8071" s="6" t="str">
        <f>HYPERLINK("https://inpn.mnhn.fr/espece/cd_nom/11288","Poecilonota variolosa (Paykull, 1799)")</f>
        <v>Poecilonota variolosa (Paykull, 1799)</v>
      </c>
      <c r="AH8071" s="4" t="str">
        <f>HYPERLINK("#Statut_biogéographique!A"&amp;_xlfn.XMATCH("P",Statut_biogéographique!A:A,2,1),"P")</f>
        <v>P</v>
      </c>
      <c r="AP8071" s="4" t="s">
        <v>376</v>
      </c>
      <c r="AR8071" s="4" t="s">
        <v>377</v>
      </c>
    </row>
    <row r="8072" spans="1:44">
      <c r="A8072" s="4" t="s">
        <v>10753</v>
      </c>
      <c r="B8072" s="4">
        <v>11311</v>
      </c>
      <c r="D8072" s="5" t="s">
        <v>11007</v>
      </c>
      <c r="E8072" s="6" t="str">
        <f>HYPERLINK("https://inpn.mnhn.fr/espece/cd_nom/11311","Anthaxia manca (Linnaeus, 1767)")</f>
        <v>Anthaxia manca (Linnaeus, 1767)</v>
      </c>
      <c r="F8072" s="5" t="s">
        <v>11008</v>
      </c>
      <c r="AH8072" s="4" t="str">
        <f>HYPERLINK("#Statut_biogéographique!A"&amp;_xlfn.XMATCH("P",Statut_biogéographique!A:A,2,1),"P")</f>
        <v>P</v>
      </c>
      <c r="AP8072" s="4" t="s">
        <v>376</v>
      </c>
      <c r="AR8072" s="4" t="s">
        <v>377</v>
      </c>
    </row>
    <row r="8073" spans="1:44">
      <c r="A8073" s="4" t="s">
        <v>10753</v>
      </c>
      <c r="B8073" s="4">
        <v>11312</v>
      </c>
      <c r="D8073" s="5" t="s">
        <v>11009</v>
      </c>
      <c r="E8073" s="6" t="str">
        <f>HYPERLINK("https://inpn.mnhn.fr/espece/cd_nom/11312","Anthaxia salicis (Fabricius, 1777)")</f>
        <v>Anthaxia salicis (Fabricius, 1777)</v>
      </c>
      <c r="F8073" s="5" t="s">
        <v>11010</v>
      </c>
      <c r="AH8073" s="4" t="str">
        <f>HYPERLINK("#Statut_biogéographique!A"&amp;_xlfn.XMATCH("P",Statut_biogéographique!A:A,2,1),"P")</f>
        <v>P</v>
      </c>
      <c r="AP8073" s="4" t="s">
        <v>376</v>
      </c>
      <c r="AR8073" s="4" t="s">
        <v>377</v>
      </c>
    </row>
    <row r="8074" spans="1:44">
      <c r="A8074" s="4" t="s">
        <v>10753</v>
      </c>
      <c r="B8074" s="4">
        <v>11317</v>
      </c>
      <c r="D8074" s="5" t="s">
        <v>11011</v>
      </c>
      <c r="E8074" s="6" t="str">
        <f>HYPERLINK("https://inpn.mnhn.fr/espece/cd_nom/11317","Anthaxia sepulchralis (Fabricius, 1801)")</f>
        <v>Anthaxia sepulchralis (Fabricius, 1801)</v>
      </c>
      <c r="AH8074" s="4" t="str">
        <f>HYPERLINK("#Statut_biogéographique!A"&amp;_xlfn.XMATCH("P",Statut_biogéographique!A:A,2,1),"P")</f>
        <v>P</v>
      </c>
      <c r="AP8074" s="4" t="s">
        <v>376</v>
      </c>
      <c r="AR8074" s="4" t="s">
        <v>377</v>
      </c>
    </row>
    <row r="8075" spans="1:44">
      <c r="A8075" s="4" t="s">
        <v>10753</v>
      </c>
      <c r="B8075" s="4">
        <v>11322</v>
      </c>
      <c r="D8075" s="5" t="s">
        <v>11012</v>
      </c>
      <c r="E8075" s="6" t="str">
        <f>HYPERLINK("https://inpn.mnhn.fr/espece/cd_nom/11322","Anthaxia quadripunctata (Linnaeus, 1758)")</f>
        <v>Anthaxia quadripunctata (Linnaeus, 1758)</v>
      </c>
      <c r="AH8075" s="4" t="str">
        <f>HYPERLINK("#Statut_biogéographique!A"&amp;_xlfn.XMATCH("P",Statut_biogéographique!A:A,2,1),"P")</f>
        <v>P</v>
      </c>
      <c r="AP8075" s="4" t="s">
        <v>376</v>
      </c>
      <c r="AR8075" s="4" t="s">
        <v>377</v>
      </c>
    </row>
    <row r="8076" spans="1:44" ht="30">
      <c r="A8076" s="4" t="s">
        <v>10753</v>
      </c>
      <c r="B8076" s="4">
        <v>11323</v>
      </c>
      <c r="D8076" s="5" t="s">
        <v>11013</v>
      </c>
      <c r="E8076" s="6" t="str">
        <f>HYPERLINK("https://inpn.mnhn.fr/espece/cd_nom/11323","Anthaxia godeti Gory &amp; Laporte de Castelnau, 1839")</f>
        <v>Anthaxia godeti Gory &amp; Laporte de Castelnau, 1839</v>
      </c>
      <c r="AH8076" s="4" t="str">
        <f>HYPERLINK("#Statut_biogéographique!A"&amp;_xlfn.XMATCH("P",Statut_biogéographique!A:A,2,1),"P")</f>
        <v>P</v>
      </c>
      <c r="AP8076" s="4" t="s">
        <v>376</v>
      </c>
      <c r="AR8076" s="4" t="s">
        <v>377</v>
      </c>
    </row>
    <row r="8077" spans="1:44">
      <c r="A8077" s="4" t="s">
        <v>10753</v>
      </c>
      <c r="B8077" s="4">
        <v>11324</v>
      </c>
      <c r="D8077" s="5">
        <v>11324</v>
      </c>
      <c r="E8077" s="6" t="str">
        <f>HYPERLINK("https://inpn.mnhn.fr/espece/cd_nom/11324","Anthaxia nigritula Ratzeburg, 1837")</f>
        <v>Anthaxia nigritula Ratzeburg, 1837</v>
      </c>
      <c r="AH8077" s="4" t="str">
        <f>HYPERLINK("#Statut_biogéographique!A"&amp;_xlfn.XMATCH("P",Statut_biogéographique!A:A,2,1),"P")</f>
        <v>P</v>
      </c>
      <c r="AP8077" s="4" t="s">
        <v>376</v>
      </c>
      <c r="AR8077" s="4" t="s">
        <v>377</v>
      </c>
    </row>
    <row r="8078" spans="1:44" ht="30">
      <c r="A8078" s="4" t="s">
        <v>10753</v>
      </c>
      <c r="B8078" s="4">
        <v>11326</v>
      </c>
      <c r="D8078" s="5" t="s">
        <v>11014</v>
      </c>
      <c r="E8078" s="6" t="str">
        <f>HYPERLINK("https://inpn.mnhn.fr/espece/cd_nom/11326","Anthaxia candens (Panzer, 1792)")</f>
        <v>Anthaxia candens (Panzer, 1792)</v>
      </c>
      <c r="F8078" s="5" t="s">
        <v>11015</v>
      </c>
      <c r="AH8078" s="4" t="str">
        <f>HYPERLINK("#Statut_biogéographique!A"&amp;_xlfn.XMATCH("P",Statut_biogéographique!A:A,2,1),"P")</f>
        <v>P</v>
      </c>
      <c r="AP8078" s="4" t="s">
        <v>376</v>
      </c>
      <c r="AR8078" s="4" t="s">
        <v>377</v>
      </c>
    </row>
    <row r="8079" spans="1:44">
      <c r="A8079" s="4" t="s">
        <v>10753</v>
      </c>
      <c r="B8079" s="4">
        <v>11337</v>
      </c>
      <c r="D8079" s="5">
        <v>11337</v>
      </c>
      <c r="E8079" s="6" t="str">
        <f>HYPERLINK("https://inpn.mnhn.fr/espece/cd_nom/11337","Anthaxia semicuprea Küster, 1851")</f>
        <v>Anthaxia semicuprea Küster, 1851</v>
      </c>
      <c r="F8079" s="5" t="s">
        <v>11016</v>
      </c>
      <c r="AH8079" s="4" t="str">
        <f>HYPERLINK("#Statut_biogéographique!A"&amp;_xlfn.XMATCH("P",Statut_biogéographique!A:A,2,1),"P")</f>
        <v>P</v>
      </c>
      <c r="AP8079" s="4" t="s">
        <v>376</v>
      </c>
      <c r="AR8079" s="4" t="s">
        <v>377</v>
      </c>
    </row>
    <row r="8080" spans="1:44">
      <c r="A8080" s="4" t="s">
        <v>10753</v>
      </c>
      <c r="B8080" s="4">
        <v>11348</v>
      </c>
      <c r="D8080" s="5" t="s">
        <v>11017</v>
      </c>
      <c r="E8080" s="6" t="str">
        <f>HYPERLINK("https://inpn.mnhn.fr/espece/cd_nom/11348","Chrysobothris affinis (Fabricius, 1794)")</f>
        <v>Chrysobothris affinis (Fabricius, 1794)</v>
      </c>
      <c r="F8080" s="5" t="s">
        <v>11018</v>
      </c>
      <c r="AH8080" s="4" t="str">
        <f>HYPERLINK("#Statut_biogéographique!A"&amp;_xlfn.XMATCH("P",Statut_biogéographique!A:A,2,1),"P")</f>
        <v>P</v>
      </c>
      <c r="AP8080" s="4" t="s">
        <v>376</v>
      </c>
      <c r="AR8080" s="4" t="s">
        <v>377</v>
      </c>
    </row>
    <row r="8081" spans="1:44">
      <c r="A8081" s="4" t="s">
        <v>10753</v>
      </c>
      <c r="B8081" s="4">
        <v>11350</v>
      </c>
      <c r="D8081" s="5" t="s">
        <v>11019</v>
      </c>
      <c r="E8081" s="6" t="str">
        <f>HYPERLINK("https://inpn.mnhn.fr/espece/cd_nom/11350","Chrysobothris solieri Gory &amp; Laporte, 1837")</f>
        <v>Chrysobothris solieri Gory &amp; Laporte, 1837</v>
      </c>
      <c r="F8081" s="5" t="s">
        <v>11020</v>
      </c>
      <c r="AH8081" s="4" t="str">
        <f>HYPERLINK("#Statut_biogéographique!A"&amp;_xlfn.XMATCH("P",Statut_biogéographique!A:A,2,1),"P")</f>
        <v>P</v>
      </c>
      <c r="AP8081" s="4" t="s">
        <v>376</v>
      </c>
      <c r="AR8081" s="4" t="s">
        <v>377</v>
      </c>
    </row>
    <row r="8082" spans="1:44" ht="60">
      <c r="A8082" s="4" t="s">
        <v>10753</v>
      </c>
      <c r="B8082" s="4">
        <v>11353</v>
      </c>
      <c r="D8082" s="5" t="s">
        <v>11021</v>
      </c>
      <c r="E8082" s="6" t="str">
        <f>HYPERLINK("https://inpn.mnhn.fr/espece/cd_nom/11353","Coraebus elatus (Fabricius, 1787)")</f>
        <v>Coraebus elatus (Fabricius, 1787)</v>
      </c>
      <c r="AH8082" s="4" t="str">
        <f>HYPERLINK("#Statut_biogéographique!A"&amp;_xlfn.XMATCH("P",Statut_biogéographique!A:A,2,1),"P")</f>
        <v>P</v>
      </c>
      <c r="AP8082" s="4" t="s">
        <v>376</v>
      </c>
      <c r="AR8082" s="4" t="s">
        <v>377</v>
      </c>
    </row>
    <row r="8083" spans="1:44">
      <c r="A8083" s="4" t="s">
        <v>10753</v>
      </c>
      <c r="B8083" s="4">
        <v>11356</v>
      </c>
      <c r="D8083" s="5" t="s">
        <v>11022</v>
      </c>
      <c r="E8083" s="6" t="str">
        <f>HYPERLINK("https://inpn.mnhn.fr/espece/cd_nom/11356","Coraebus undatus (Fabricius, 1787)")</f>
        <v>Coraebus undatus (Fabricius, 1787)</v>
      </c>
      <c r="F8083" s="5" t="s">
        <v>11023</v>
      </c>
      <c r="AH8083" s="4" t="str">
        <f>HYPERLINK("#Statut_biogéographique!A"&amp;_xlfn.XMATCH("P",Statut_biogéographique!A:A,2,1),"P")</f>
        <v>P</v>
      </c>
      <c r="AP8083" s="4" t="s">
        <v>376</v>
      </c>
      <c r="AR8083" s="4" t="s">
        <v>377</v>
      </c>
    </row>
    <row r="8084" spans="1:44">
      <c r="A8084" s="4" t="s">
        <v>10753</v>
      </c>
      <c r="B8084" s="4">
        <v>11361</v>
      </c>
      <c r="D8084" s="5" t="s">
        <v>11024</v>
      </c>
      <c r="E8084" s="6" t="str">
        <f>HYPERLINK("https://inpn.mnhn.fr/espece/cd_nom/11361","Agrilus ater (Linnaeus, 1767)")</f>
        <v>Agrilus ater (Linnaeus, 1767)</v>
      </c>
      <c r="F8084" s="5" t="s">
        <v>11025</v>
      </c>
      <c r="AH8084" s="4" t="str">
        <f>HYPERLINK("#Statut_biogéographique!A"&amp;_xlfn.XMATCH("P",Statut_biogéographique!A:A,2,1),"P")</f>
        <v>P</v>
      </c>
      <c r="AP8084" s="4" t="s">
        <v>376</v>
      </c>
      <c r="AR8084" s="4" t="s">
        <v>377</v>
      </c>
    </row>
    <row r="8085" spans="1:44">
      <c r="A8085" s="4" t="s">
        <v>10753</v>
      </c>
      <c r="B8085" s="4">
        <v>11362</v>
      </c>
      <c r="D8085" s="5" t="s">
        <v>11026</v>
      </c>
      <c r="E8085" s="6" t="str">
        <f>HYPERLINK("https://inpn.mnhn.fr/espece/cd_nom/11362","Agrilus biguttatus (Fabricius, 1777)")</f>
        <v>Agrilus biguttatus (Fabricius, 1777)</v>
      </c>
      <c r="F8085" s="5" t="s">
        <v>11027</v>
      </c>
      <c r="AH8085" s="4" t="str">
        <f>HYPERLINK("#Statut_biogéographique!A"&amp;_xlfn.XMATCH("P",Statut_biogéographique!A:A,2,1),"P")</f>
        <v>P</v>
      </c>
      <c r="AP8085" s="4" t="s">
        <v>376</v>
      </c>
      <c r="AR8085" s="4" t="s">
        <v>377</v>
      </c>
    </row>
    <row r="8086" spans="1:44">
      <c r="A8086" s="4" t="s">
        <v>10753</v>
      </c>
      <c r="B8086" s="4">
        <v>11363</v>
      </c>
      <c r="D8086" s="5" t="s">
        <v>11028</v>
      </c>
      <c r="E8086" s="6" t="str">
        <f>HYPERLINK("https://inpn.mnhn.fr/espece/cd_nom/11363","Agrilus integerrimus Ratzeburg, 1837")</f>
        <v>Agrilus integerrimus Ratzeburg, 1837</v>
      </c>
      <c r="AH8086" s="4" t="str">
        <f>HYPERLINK("#Statut_biogéographique!A"&amp;_xlfn.XMATCH("P",Statut_biogéographique!A:A,2,1),"P")</f>
        <v>P</v>
      </c>
      <c r="AP8086" s="4" t="s">
        <v>376</v>
      </c>
      <c r="AR8086" s="4" t="s">
        <v>377</v>
      </c>
    </row>
    <row r="8087" spans="1:44" ht="60">
      <c r="A8087" s="4" t="s">
        <v>10753</v>
      </c>
      <c r="B8087" s="4">
        <v>11364</v>
      </c>
      <c r="D8087" s="5" t="s">
        <v>11029</v>
      </c>
      <c r="E8087" s="6" t="str">
        <f>HYPERLINK("https://inpn.mnhn.fr/espece/cd_nom/11364","Agrilus viridis (Linnaeus, 1758)")</f>
        <v>Agrilus viridis (Linnaeus, 1758)</v>
      </c>
      <c r="AH8087" s="4" t="str">
        <f>HYPERLINK("#Statut_biogéographique!A"&amp;_xlfn.XMATCH("P",Statut_biogéographique!A:A,2,1),"P")</f>
        <v>P</v>
      </c>
      <c r="AP8087" s="4" t="s">
        <v>376</v>
      </c>
      <c r="AR8087" s="4" t="s">
        <v>377</v>
      </c>
    </row>
    <row r="8088" spans="1:44" ht="30">
      <c r="A8088" s="4" t="s">
        <v>10753</v>
      </c>
      <c r="B8088" s="4">
        <v>11367</v>
      </c>
      <c r="D8088" s="5" t="s">
        <v>11030</v>
      </c>
      <c r="E8088" s="6" t="str">
        <f>HYPERLINK("https://inpn.mnhn.fr/espece/cd_nom/11367","Agrilus angustulus (Illiger, 1803)")</f>
        <v>Agrilus angustulus (Illiger, 1803)</v>
      </c>
      <c r="F8088" s="5" t="s">
        <v>11031</v>
      </c>
      <c r="AH8088" s="4" t="str">
        <f>HYPERLINK("#Statut_biogéographique!A"&amp;_xlfn.XMATCH("P",Statut_biogéographique!A:A,2,1),"P")</f>
        <v>P</v>
      </c>
      <c r="AP8088" s="4" t="s">
        <v>376</v>
      </c>
      <c r="AR8088" s="4" t="s">
        <v>377</v>
      </c>
    </row>
    <row r="8089" spans="1:44" ht="30">
      <c r="A8089" s="4" t="s">
        <v>10753</v>
      </c>
      <c r="B8089" s="4">
        <v>11368</v>
      </c>
      <c r="D8089" s="5" t="s">
        <v>11032</v>
      </c>
      <c r="E8089" s="6" t="str">
        <f>HYPERLINK("https://inpn.mnhn.fr/espece/cd_nom/11368","Agrilus laticornis (Illiger, 1803)")</f>
        <v>Agrilus laticornis (Illiger, 1803)</v>
      </c>
      <c r="AH8089" s="4" t="str">
        <f>HYPERLINK("#Statut_biogéographique!A"&amp;_xlfn.XMATCH("P",Statut_biogéographique!A:A,2,1),"P")</f>
        <v>P</v>
      </c>
      <c r="AP8089" s="4" t="s">
        <v>376</v>
      </c>
      <c r="AR8089" s="4" t="s">
        <v>377</v>
      </c>
    </row>
    <row r="8090" spans="1:44">
      <c r="A8090" s="4" t="s">
        <v>10753</v>
      </c>
      <c r="B8090" s="4">
        <v>11372</v>
      </c>
      <c r="D8090" s="5" t="s">
        <v>11033</v>
      </c>
      <c r="E8090" s="6" t="str">
        <f>HYPERLINK("https://inpn.mnhn.fr/espece/cd_nom/11372","Agrilus hastulifer (Ratzeburg, 1837)")</f>
        <v>Agrilus hastulifer (Ratzeburg, 1837)</v>
      </c>
      <c r="AH8090" s="4" t="str">
        <f>HYPERLINK("#Statut_biogéographique!A"&amp;_xlfn.XMATCH("P",Statut_biogéographique!A:A,2,1),"P")</f>
        <v>P</v>
      </c>
      <c r="AP8090" s="4" t="s">
        <v>376</v>
      </c>
      <c r="AR8090" s="4" t="s">
        <v>377</v>
      </c>
    </row>
    <row r="8091" spans="1:44" ht="30">
      <c r="A8091" s="4" t="s">
        <v>10753</v>
      </c>
      <c r="B8091" s="4">
        <v>11378</v>
      </c>
      <c r="D8091" s="5" t="s">
        <v>11034</v>
      </c>
      <c r="E8091" s="6" t="str">
        <f>HYPERLINK("https://inpn.mnhn.fr/espece/cd_nom/11378","Agrilus cyanescens (Ratzeburg, 1837)")</f>
        <v>Agrilus cyanescens (Ratzeburg, 1837)</v>
      </c>
      <c r="AH8091" s="4" t="str">
        <f>HYPERLINK("#Statut_biogéographique!A"&amp;_xlfn.XMATCH("P",Statut_biogéographique!A:A,2,1),"P")</f>
        <v>P</v>
      </c>
      <c r="AP8091" s="4" t="s">
        <v>376</v>
      </c>
      <c r="AR8091" s="4" t="s">
        <v>377</v>
      </c>
    </row>
    <row r="8092" spans="1:44" ht="30">
      <c r="A8092" s="4" t="s">
        <v>10753</v>
      </c>
      <c r="B8092" s="4">
        <v>11380</v>
      </c>
      <c r="D8092" s="5" t="s">
        <v>11035</v>
      </c>
      <c r="E8092" s="6" t="str">
        <f>HYPERLINK("https://inpn.mnhn.fr/espece/cd_nom/11380","Agrilus sulcicollis Lacordaire, 1835")</f>
        <v>Agrilus sulcicollis Lacordaire, 1835</v>
      </c>
      <c r="AH8092" s="4" t="str">
        <f>HYPERLINK("#Statut_biogéographique!A"&amp;_xlfn.XMATCH("P",Statut_biogéographique!A:A,2,1),"P")</f>
        <v>P</v>
      </c>
      <c r="AP8092" s="4" t="s">
        <v>376</v>
      </c>
      <c r="AR8092" s="4" t="s">
        <v>377</v>
      </c>
    </row>
    <row r="8093" spans="1:44">
      <c r="A8093" s="4" t="s">
        <v>10753</v>
      </c>
      <c r="B8093" s="4">
        <v>11383</v>
      </c>
      <c r="D8093" s="5" t="s">
        <v>11036</v>
      </c>
      <c r="E8093" s="6" t="str">
        <f>HYPERLINK("https://inpn.mnhn.fr/espece/cd_nom/11383","Trachys minutus (Linnaeus, 1758)")</f>
        <v>Trachys minutus (Linnaeus, 1758)</v>
      </c>
      <c r="F8093" s="5" t="s">
        <v>11037</v>
      </c>
      <c r="AH8093" s="4" t="str">
        <f>HYPERLINK("#Statut_biogéographique!A"&amp;_xlfn.XMATCH("P",Statut_biogéographique!A:A,2,1),"P")</f>
        <v>P</v>
      </c>
      <c r="AP8093" s="4" t="s">
        <v>376</v>
      </c>
      <c r="AR8093" s="4" t="s">
        <v>377</v>
      </c>
    </row>
    <row r="8094" spans="1:44" ht="30">
      <c r="A8094" s="4" t="s">
        <v>10753</v>
      </c>
      <c r="B8094" s="4">
        <v>11391</v>
      </c>
      <c r="D8094" s="5">
        <v>11391</v>
      </c>
      <c r="E8094" s="6" t="str">
        <f>HYPERLINK("https://inpn.mnhn.fr/espece/cd_nom/11391","Aphanisticus elongatus A. Villa &amp; G.B. Villa, 1835")</f>
        <v>Aphanisticus elongatus A. Villa &amp; G.B. Villa, 1835</v>
      </c>
      <c r="AH8094" s="4" t="str">
        <f>HYPERLINK("#Statut_biogéographique!A"&amp;_xlfn.XMATCH("P",Statut_biogéographique!A:A,2,1),"P")</f>
        <v>P</v>
      </c>
      <c r="AP8094" s="4" t="s">
        <v>376</v>
      </c>
      <c r="AR8094" s="4" t="s">
        <v>377</v>
      </c>
    </row>
    <row r="8095" spans="1:44">
      <c r="A8095" s="4" t="s">
        <v>10753</v>
      </c>
      <c r="B8095" s="4">
        <v>11392</v>
      </c>
      <c r="D8095" s="5" t="s">
        <v>11038</v>
      </c>
      <c r="E8095" s="6" t="str">
        <f>HYPERLINK("https://inpn.mnhn.fr/espece/cd_nom/11392","Aphanisticus emarginatus (Olivier, 1790)")</f>
        <v>Aphanisticus emarginatus (Olivier, 1790)</v>
      </c>
      <c r="AH8095" s="4" t="str">
        <f>HYPERLINK("#Statut_biogéographique!A"&amp;_xlfn.XMATCH("P",Statut_biogéographique!A:A,2,1),"P")</f>
        <v>P</v>
      </c>
      <c r="AP8095" s="4" t="s">
        <v>376</v>
      </c>
      <c r="AR8095" s="4" t="s">
        <v>377</v>
      </c>
    </row>
    <row r="8096" spans="1:44">
      <c r="A8096" s="4" t="s">
        <v>10753</v>
      </c>
      <c r="B8096" s="4">
        <v>11393</v>
      </c>
      <c r="D8096" s="5" t="s">
        <v>11039</v>
      </c>
      <c r="E8096" s="6" t="str">
        <f>HYPERLINK("https://inpn.mnhn.fr/espece/cd_nom/11393","Aphanisticus pusillus (Olivier, 1790)")</f>
        <v>Aphanisticus pusillus (Olivier, 1790)</v>
      </c>
      <c r="AH8096" s="4" t="str">
        <f>HYPERLINK("#Statut_biogéographique!A"&amp;_xlfn.XMATCH("P",Statut_biogéographique!A:A,2,1),"P")</f>
        <v>P</v>
      </c>
      <c r="AP8096" s="4" t="s">
        <v>376</v>
      </c>
      <c r="AR8096" s="4" t="s">
        <v>377</v>
      </c>
    </row>
    <row r="8097" spans="1:44">
      <c r="A8097" s="4" t="s">
        <v>10753</v>
      </c>
      <c r="B8097" s="4">
        <v>11398</v>
      </c>
      <c r="D8097" s="5">
        <v>11398</v>
      </c>
      <c r="E8097" s="6" t="str">
        <f>HYPERLINK("https://inpn.mnhn.fr/espece/cd_nom/11398","Buprestis rustica Linnaeus, 1758")</f>
        <v>Buprestis rustica Linnaeus, 1758</v>
      </c>
      <c r="AH8097" s="4" t="str">
        <f>HYPERLINK("#Statut_biogéographique!A"&amp;_xlfn.XMATCH("P",Statut_biogéographique!A:A,2,1),"P")</f>
        <v>P</v>
      </c>
      <c r="AP8097" s="4" t="s">
        <v>376</v>
      </c>
      <c r="AR8097" s="4" t="s">
        <v>377</v>
      </c>
    </row>
    <row r="8098" spans="1:44">
      <c r="A8098" s="4" t="s">
        <v>10753</v>
      </c>
      <c r="B8098" s="4">
        <v>11402</v>
      </c>
      <c r="D8098" s="5">
        <v>11402</v>
      </c>
      <c r="E8098" s="6" t="str">
        <f>HYPERLINK("https://inpn.mnhn.fr/espece/cd_nom/11402","Eucnemis capucina Ahrens, 1812")</f>
        <v>Eucnemis capucina Ahrens, 1812</v>
      </c>
      <c r="F8098" s="5" t="s">
        <v>11040</v>
      </c>
      <c r="P8098" s="7" t="str">
        <f>HYPERLINK("#Liste_rouge!A"&amp;_xlfn.XMATCH("LC",Liste_rouge!A:A,2,1),"LC")</f>
        <v>LC</v>
      </c>
      <c r="AH8098" s="4" t="str">
        <f>HYPERLINK("#Statut_biogéographique!A"&amp;_xlfn.XMATCH("P",Statut_biogéographique!A:A,2,1),"P")</f>
        <v>P</v>
      </c>
      <c r="AP8098" s="4" t="s">
        <v>376</v>
      </c>
      <c r="AR8098" s="4" t="s">
        <v>377</v>
      </c>
    </row>
    <row r="8099" spans="1:44">
      <c r="A8099" s="4" t="s">
        <v>10753</v>
      </c>
      <c r="B8099" s="4">
        <v>11406</v>
      </c>
      <c r="D8099" s="5" t="s">
        <v>11041</v>
      </c>
      <c r="E8099" s="6" t="str">
        <f>HYPERLINK("https://inpn.mnhn.fr/espece/cd_nom/11406","Melasis buprestoides (Linnaeus, 1761)")</f>
        <v>Melasis buprestoides (Linnaeus, 1761)</v>
      </c>
      <c r="F8099" s="5" t="s">
        <v>11042</v>
      </c>
      <c r="P8099" s="7" t="str">
        <f>HYPERLINK("#Liste_rouge!A"&amp;_xlfn.XMATCH("LC",Liste_rouge!A:A,2,1),"LC")</f>
        <v>LC</v>
      </c>
      <c r="AH8099" s="4" t="str">
        <f>HYPERLINK("#Statut_biogéographique!A"&amp;_xlfn.XMATCH("P",Statut_biogéographique!A:A,2,1),"P")</f>
        <v>P</v>
      </c>
      <c r="AP8099" s="4" t="s">
        <v>376</v>
      </c>
      <c r="AR8099" s="4" t="s">
        <v>377</v>
      </c>
    </row>
    <row r="8100" spans="1:44">
      <c r="A8100" s="4" t="s">
        <v>10753</v>
      </c>
      <c r="B8100" s="4">
        <v>11416</v>
      </c>
      <c r="D8100" s="5" t="s">
        <v>11043</v>
      </c>
      <c r="E8100" s="6" t="str">
        <f>HYPERLINK("https://inpn.mnhn.fr/espece/cd_nom/11416","Ctenicera cuprea (Fabricius, 1775)")</f>
        <v>Ctenicera cuprea (Fabricius, 1775)</v>
      </c>
      <c r="AH8100" s="4" t="str">
        <f>HYPERLINK("#Statut_biogéographique!A"&amp;_xlfn.XMATCH("P",Statut_biogéographique!A:A,2,1),"P")</f>
        <v>P</v>
      </c>
      <c r="AP8100" s="4" t="s">
        <v>376</v>
      </c>
      <c r="AR8100" s="4" t="s">
        <v>377</v>
      </c>
    </row>
    <row r="8101" spans="1:44">
      <c r="A8101" s="4" t="s">
        <v>10753</v>
      </c>
      <c r="B8101" s="4">
        <v>11423</v>
      </c>
      <c r="D8101" s="5" t="s">
        <v>11044</v>
      </c>
      <c r="E8101" s="6" t="str">
        <f>HYPERLINK("https://inpn.mnhn.fr/espece/cd_nom/11423","Anostirus purpureus (Poda, 1761)")</f>
        <v>Anostirus purpureus (Poda, 1761)</v>
      </c>
      <c r="F8101" s="5" t="s">
        <v>11045</v>
      </c>
      <c r="AH8101" s="4" t="str">
        <f>HYPERLINK("#Statut_biogéographique!A"&amp;_xlfn.XMATCH("P",Statut_biogéographique!A:A,2,1),"P")</f>
        <v>P</v>
      </c>
      <c r="AP8101" s="4" t="s">
        <v>376</v>
      </c>
      <c r="AR8101" s="4" t="s">
        <v>377</v>
      </c>
    </row>
    <row r="8102" spans="1:44" ht="30">
      <c r="A8102" s="4" t="s">
        <v>10753</v>
      </c>
      <c r="B8102" s="4">
        <v>11428</v>
      </c>
      <c r="D8102" s="5" t="s">
        <v>11046</v>
      </c>
      <c r="E8102" s="6" t="str">
        <f>HYPERLINK("https://inpn.mnhn.fr/espece/cd_nom/11428","Selatosomus latus (Fabricius, 1801)")</f>
        <v>Selatosomus latus (Fabricius, 1801)</v>
      </c>
      <c r="F8102" s="5" t="s">
        <v>11047</v>
      </c>
      <c r="AH8102" s="4" t="str">
        <f>HYPERLINK("#Statut_biogéographique!A"&amp;_xlfn.XMATCH("P",Statut_biogéographique!A:A,2,1),"P")</f>
        <v>P</v>
      </c>
      <c r="AP8102" s="4" t="s">
        <v>376</v>
      </c>
      <c r="AR8102" s="4" t="s">
        <v>377</v>
      </c>
    </row>
    <row r="8103" spans="1:44">
      <c r="A8103" s="4" t="s">
        <v>10753</v>
      </c>
      <c r="B8103" s="4">
        <v>11435</v>
      </c>
      <c r="D8103" s="5" t="s">
        <v>11048</v>
      </c>
      <c r="E8103" s="6" t="str">
        <f>HYPERLINK("https://inpn.mnhn.fr/espece/cd_nom/11435","Elater ferrugineus Linnaeus, 1758")</f>
        <v>Elater ferrugineus Linnaeus, 1758</v>
      </c>
      <c r="F8103" s="5" t="s">
        <v>11049</v>
      </c>
      <c r="P8103" s="7" t="str">
        <f>HYPERLINK("#Liste_rouge!A"&amp;_xlfn.XMATCH("NT",Liste_rouge!A:A,2,1),"NT")</f>
        <v>NT</v>
      </c>
      <c r="AH8103" s="4" t="str">
        <f>HYPERLINK("#Statut_biogéographique!A"&amp;_xlfn.XMATCH("P",Statut_biogéographique!A:A,2,1),"P")</f>
        <v>P</v>
      </c>
      <c r="AP8103" s="4" t="s">
        <v>376</v>
      </c>
      <c r="AR8103" s="4" t="s">
        <v>377</v>
      </c>
    </row>
    <row r="8104" spans="1:44">
      <c r="A8104" s="4" t="s">
        <v>10753</v>
      </c>
      <c r="B8104" s="4">
        <v>11443</v>
      </c>
      <c r="D8104" s="5" t="s">
        <v>11050</v>
      </c>
      <c r="E8104" s="6" t="str">
        <f>HYPERLINK("https://inpn.mnhn.fr/espece/cd_nom/11443","Agriotes lineatus (Linnaeus, 1767)")</f>
        <v>Agriotes lineatus (Linnaeus, 1767)</v>
      </c>
      <c r="F8104" s="5" t="s">
        <v>11051</v>
      </c>
      <c r="AH8104" s="4" t="str">
        <f>HYPERLINK("#Statut_biogéographique!A"&amp;_xlfn.XMATCH("P",Statut_biogéographique!A:A,2,1),"P")</f>
        <v>P</v>
      </c>
      <c r="AP8104" s="4" t="s">
        <v>376</v>
      </c>
      <c r="AR8104" s="4" t="s">
        <v>377</v>
      </c>
    </row>
    <row r="8105" spans="1:44">
      <c r="A8105" s="4" t="s">
        <v>10753</v>
      </c>
      <c r="B8105" s="4">
        <v>11444</v>
      </c>
      <c r="D8105" s="5" t="s">
        <v>11052</v>
      </c>
      <c r="E8105" s="6" t="str">
        <f>HYPERLINK("https://inpn.mnhn.fr/espece/cd_nom/11444","Agriotes obscurus (Linnaeus, 1758)")</f>
        <v>Agriotes obscurus (Linnaeus, 1758)</v>
      </c>
      <c r="AH8105" s="4" t="str">
        <f>HYPERLINK("#Statut_biogéographique!A"&amp;_xlfn.XMATCH("P",Statut_biogéographique!A:A,2,1),"P")</f>
        <v>P</v>
      </c>
      <c r="AP8105" s="4" t="s">
        <v>376</v>
      </c>
      <c r="AR8105" s="4" t="s">
        <v>377</v>
      </c>
    </row>
    <row r="8106" spans="1:44">
      <c r="A8106" s="4" t="s">
        <v>10753</v>
      </c>
      <c r="B8106" s="4">
        <v>11445</v>
      </c>
      <c r="D8106" s="5" t="s">
        <v>11053</v>
      </c>
      <c r="E8106" s="6" t="str">
        <f>HYPERLINK("https://inpn.mnhn.fr/espece/cd_nom/11445","Agriotes pallidulus (Illiger, 1807)")</f>
        <v>Agriotes pallidulus (Illiger, 1807)</v>
      </c>
      <c r="AH8106" s="4" t="str">
        <f>HYPERLINK("#Statut_biogéographique!A"&amp;_xlfn.XMATCH("P",Statut_biogéographique!A:A,2,1),"P")</f>
        <v>P</v>
      </c>
      <c r="AP8106" s="4" t="s">
        <v>376</v>
      </c>
      <c r="AR8106" s="4" t="s">
        <v>377</v>
      </c>
    </row>
    <row r="8107" spans="1:44">
      <c r="A8107" s="4" t="s">
        <v>10753</v>
      </c>
      <c r="B8107" s="4">
        <v>11446</v>
      </c>
      <c r="D8107" s="5" t="s">
        <v>11054</v>
      </c>
      <c r="E8107" s="6" t="str">
        <f>HYPERLINK("https://inpn.mnhn.fr/espece/cd_nom/11446","Agriotes pilosellus (Schönherr, 1817)")</f>
        <v>Agriotes pilosellus (Schönherr, 1817)</v>
      </c>
      <c r="AH8107" s="4" t="str">
        <f>HYPERLINK("#Statut_biogéographique!A"&amp;_xlfn.XMATCH("P",Statut_biogéographique!A:A,2,1),"P")</f>
        <v>P</v>
      </c>
      <c r="AP8107" s="4" t="s">
        <v>376</v>
      </c>
      <c r="AR8107" s="4" t="s">
        <v>377</v>
      </c>
    </row>
    <row r="8108" spans="1:44">
      <c r="A8108" s="4" t="s">
        <v>10753</v>
      </c>
      <c r="B8108" s="4">
        <v>11447</v>
      </c>
      <c r="D8108" s="5" t="s">
        <v>11055</v>
      </c>
      <c r="E8108" s="6" t="str">
        <f>HYPERLINK("https://inpn.mnhn.fr/espece/cd_nom/11447","Agriotes sordidus (Illiger, 1807)")</f>
        <v>Agriotes sordidus (Illiger, 1807)</v>
      </c>
      <c r="AH8108" s="4" t="str">
        <f>HYPERLINK("#Statut_biogéographique!A"&amp;_xlfn.XMATCH("P",Statut_biogéographique!A:A,2,1),"P")</f>
        <v>P</v>
      </c>
      <c r="AP8108" s="4" t="s">
        <v>376</v>
      </c>
      <c r="AR8108" s="4" t="s">
        <v>377</v>
      </c>
    </row>
    <row r="8109" spans="1:44">
      <c r="A8109" s="4" t="s">
        <v>10753</v>
      </c>
      <c r="B8109" s="4">
        <v>11449</v>
      </c>
      <c r="D8109" s="5" t="s">
        <v>11056</v>
      </c>
      <c r="E8109" s="6" t="str">
        <f>HYPERLINK("https://inpn.mnhn.fr/espece/cd_nom/11449","Synaptus filiformis (Fabricius, 1781)")</f>
        <v>Synaptus filiformis (Fabricius, 1781)</v>
      </c>
      <c r="AH8109" s="4" t="str">
        <f>HYPERLINK("#Statut_biogéographique!A"&amp;_xlfn.XMATCH("P",Statut_biogéographique!A:A,2,1),"P")</f>
        <v>P</v>
      </c>
      <c r="AP8109" s="4" t="s">
        <v>376</v>
      </c>
      <c r="AR8109" s="4" t="s">
        <v>377</v>
      </c>
    </row>
    <row r="8110" spans="1:44">
      <c r="A8110" s="4" t="s">
        <v>10753</v>
      </c>
      <c r="B8110" s="4">
        <v>11451</v>
      </c>
      <c r="D8110" s="5" t="s">
        <v>11057</v>
      </c>
      <c r="E8110" s="6" t="str">
        <f>HYPERLINK("https://inpn.mnhn.fr/espece/cd_nom/11451","Adrastus limbatus (Fabricius, 1777)")</f>
        <v>Adrastus limbatus (Fabricius, 1777)</v>
      </c>
      <c r="AH8110" s="4" t="str">
        <f>HYPERLINK("#Statut_biogéographique!A"&amp;_xlfn.XMATCH("P",Statut_biogéographique!A:A,2,1),"P")</f>
        <v>P</v>
      </c>
      <c r="AP8110" s="4" t="s">
        <v>376</v>
      </c>
      <c r="AR8110" s="4" t="s">
        <v>377</v>
      </c>
    </row>
    <row r="8111" spans="1:44">
      <c r="A8111" s="4" t="s">
        <v>10753</v>
      </c>
      <c r="B8111" s="4">
        <v>11452</v>
      </c>
      <c r="D8111" s="5" t="s">
        <v>11058</v>
      </c>
      <c r="E8111" s="6" t="str">
        <f>HYPERLINK("https://inpn.mnhn.fr/espece/cd_nom/11452","Adrastus montanus (Scopoli, 1763)")</f>
        <v>Adrastus montanus (Scopoli, 1763)</v>
      </c>
      <c r="AH8111" s="4" t="str">
        <f>HYPERLINK("#Statut_biogéographique!A"&amp;_xlfn.XMATCH("P",Statut_biogéographique!A:A,2,1),"P")</f>
        <v>P</v>
      </c>
      <c r="AP8111" s="4" t="s">
        <v>376</v>
      </c>
      <c r="AR8111" s="4" t="s">
        <v>377</v>
      </c>
    </row>
    <row r="8112" spans="1:44" ht="30">
      <c r="A8112" s="4" t="s">
        <v>10753</v>
      </c>
      <c r="B8112" s="4">
        <v>11453</v>
      </c>
      <c r="D8112" s="5" t="s">
        <v>11059</v>
      </c>
      <c r="E8112" s="6" t="str">
        <f>HYPERLINK("https://inpn.mnhn.fr/espece/cd_nom/11453","Adrastus rachifer (Geoffroy in Fourcroy, 1785)")</f>
        <v>Adrastus rachifer (Geoffroy in Fourcroy, 1785)</v>
      </c>
      <c r="F8112" s="5" t="s">
        <v>11060</v>
      </c>
      <c r="AH8112" s="4" t="str">
        <f>HYPERLINK("#Statut_biogéographique!A"&amp;_xlfn.XMATCH("P",Statut_biogéographique!A:A,2,1),"P")</f>
        <v>P</v>
      </c>
      <c r="AP8112" s="4" t="s">
        <v>376</v>
      </c>
      <c r="AR8112" s="4" t="s">
        <v>377</v>
      </c>
    </row>
    <row r="8113" spans="1:44">
      <c r="A8113" s="4" t="s">
        <v>10753</v>
      </c>
      <c r="B8113" s="4">
        <v>11455</v>
      </c>
      <c r="D8113" s="5" t="s">
        <v>11061</v>
      </c>
      <c r="E8113" s="6" t="str">
        <f>HYPERLINK("https://inpn.mnhn.fr/espece/cd_nom/11455","Cidnopus aeruginosus (Olivier, 1790)")</f>
        <v>Cidnopus aeruginosus (Olivier, 1790)</v>
      </c>
      <c r="AH8113" s="4" t="str">
        <f>HYPERLINK("#Statut_biogéographique!A"&amp;_xlfn.XMATCH("P",Statut_biogéographique!A:A,2,1),"P")</f>
        <v>P</v>
      </c>
      <c r="AP8113" s="4" t="s">
        <v>376</v>
      </c>
      <c r="AR8113" s="4" t="s">
        <v>377</v>
      </c>
    </row>
    <row r="8114" spans="1:44">
      <c r="A8114" s="4" t="s">
        <v>10753</v>
      </c>
      <c r="B8114" s="4">
        <v>11458</v>
      </c>
      <c r="D8114" s="5" t="s">
        <v>11062</v>
      </c>
      <c r="E8114" s="6" t="str">
        <f>HYPERLINK("https://inpn.mnhn.fr/espece/cd_nom/11458","Cidnopus pilosus (Leske, 1785)")</f>
        <v>Cidnopus pilosus (Leske, 1785)</v>
      </c>
      <c r="AH8114" s="4" t="str">
        <f>HYPERLINK("#Statut_biogéographique!A"&amp;_xlfn.XMATCH("P",Statut_biogéographique!A:A,2,1),"P")</f>
        <v>P</v>
      </c>
      <c r="AP8114" s="4" t="s">
        <v>376</v>
      </c>
      <c r="AR8114" s="4" t="s">
        <v>377</v>
      </c>
    </row>
    <row r="8115" spans="1:44">
      <c r="A8115" s="4" t="s">
        <v>10753</v>
      </c>
      <c r="B8115" s="4">
        <v>11467</v>
      </c>
      <c r="D8115" s="5" t="s">
        <v>11063</v>
      </c>
      <c r="E8115" s="6" t="str">
        <f>HYPERLINK("https://inpn.mnhn.fr/espece/cd_nom/11467","Athous vittatus (Fabricius, 1792)")</f>
        <v>Athous vittatus (Fabricius, 1792)</v>
      </c>
      <c r="F8115" s="5" t="s">
        <v>11064</v>
      </c>
      <c r="AH8115" s="4" t="str">
        <f>HYPERLINK("#Statut_biogéographique!A"&amp;_xlfn.XMATCH("P",Statut_biogéographique!A:A,2,1),"P")</f>
        <v>P</v>
      </c>
      <c r="AP8115" s="4" t="s">
        <v>376</v>
      </c>
      <c r="AR8115" s="4" t="s">
        <v>377</v>
      </c>
    </row>
    <row r="8116" spans="1:44">
      <c r="A8116" s="4" t="s">
        <v>10753</v>
      </c>
      <c r="B8116" s="4">
        <v>11468</v>
      </c>
      <c r="D8116" s="5" t="s">
        <v>11065</v>
      </c>
      <c r="E8116" s="6" t="str">
        <f>HYPERLINK("https://inpn.mnhn.fr/espece/cd_nom/11468","Athous haemorrhoidalis (Fabricius, 1801)")</f>
        <v>Athous haemorrhoidalis (Fabricius, 1801)</v>
      </c>
      <c r="F8116" s="5" t="s">
        <v>11066</v>
      </c>
      <c r="AH8116" s="4" t="str">
        <f>HYPERLINK("#Statut_biogéographique!A"&amp;_xlfn.XMATCH("P",Statut_biogéographique!A:A,2,1),"P")</f>
        <v>P</v>
      </c>
      <c r="AP8116" s="4" t="s">
        <v>376</v>
      </c>
      <c r="AR8116" s="4" t="s">
        <v>377</v>
      </c>
    </row>
    <row r="8117" spans="1:44">
      <c r="A8117" s="4" t="s">
        <v>10753</v>
      </c>
      <c r="B8117" s="4">
        <v>11469</v>
      </c>
      <c r="D8117" s="5" t="s">
        <v>11067</v>
      </c>
      <c r="E8117" s="6" t="str">
        <f>HYPERLINK("https://inpn.mnhn.fr/espece/cd_nom/11469","Athous subfuscus (O.F. Müller, 1764)")</f>
        <v>Athous subfuscus (O.F. Müller, 1764)</v>
      </c>
      <c r="AH8117" s="4" t="str">
        <f>HYPERLINK("#Statut_biogéographique!A"&amp;_xlfn.XMATCH("P",Statut_biogéographique!A:A,2,1),"P")</f>
        <v>P</v>
      </c>
      <c r="AP8117" s="4" t="s">
        <v>376</v>
      </c>
      <c r="AR8117" s="4" t="s">
        <v>377</v>
      </c>
    </row>
    <row r="8118" spans="1:44">
      <c r="A8118" s="4" t="s">
        <v>10753</v>
      </c>
      <c r="B8118" s="4">
        <v>11480</v>
      </c>
      <c r="D8118" s="5" t="s">
        <v>11068</v>
      </c>
      <c r="E8118" s="6" t="str">
        <f>HYPERLINK("https://inpn.mnhn.fr/espece/cd_nom/11480","Melanotus tenebrosus (Erichson, 1841)")</f>
        <v>Melanotus tenebrosus (Erichson, 1841)</v>
      </c>
      <c r="AH8118" s="4" t="str">
        <f>HYPERLINK("#Statut_biogéographique!A"&amp;_xlfn.XMATCH("P",Statut_biogéographique!A:A,2,1),"P")</f>
        <v>P</v>
      </c>
      <c r="AP8118" s="4" t="s">
        <v>376</v>
      </c>
      <c r="AR8118" s="4" t="s">
        <v>377</v>
      </c>
    </row>
    <row r="8119" spans="1:44">
      <c r="A8119" s="4" t="s">
        <v>10753</v>
      </c>
      <c r="B8119" s="4">
        <v>11487</v>
      </c>
      <c r="D8119" s="5" t="s">
        <v>11069</v>
      </c>
      <c r="E8119" s="6" t="str">
        <f>HYPERLINK("https://inpn.mnhn.fr/espece/cd_nom/11487","Cardiophorus gramineus (Scopoli, 1763)")</f>
        <v>Cardiophorus gramineus (Scopoli, 1763)</v>
      </c>
      <c r="F8119" s="5" t="s">
        <v>11070</v>
      </c>
      <c r="P8119" s="7" t="str">
        <f>HYPERLINK("#Liste_rouge!A"&amp;_xlfn.XMATCH("NT",Liste_rouge!A:A,2,1),"NT")</f>
        <v>NT</v>
      </c>
      <c r="AH8119" s="4" t="str">
        <f>HYPERLINK("#Statut_biogéographique!A"&amp;_xlfn.XMATCH("P",Statut_biogéographique!A:A,2,1),"P")</f>
        <v>P</v>
      </c>
      <c r="AP8119" s="4" t="s">
        <v>376</v>
      </c>
      <c r="AR8119" s="4" t="s">
        <v>377</v>
      </c>
    </row>
    <row r="8120" spans="1:44">
      <c r="A8120" s="4" t="s">
        <v>10753</v>
      </c>
      <c r="B8120" s="4">
        <v>11488</v>
      </c>
      <c r="D8120" s="5" t="s">
        <v>11071</v>
      </c>
      <c r="E8120" s="6" t="str">
        <f>HYPERLINK("https://inpn.mnhn.fr/espece/cd_nom/11488","Cardiophorus rufipes (Goeze, 1777)")</f>
        <v>Cardiophorus rufipes (Goeze, 1777)</v>
      </c>
      <c r="F8120" s="5" t="s">
        <v>11072</v>
      </c>
      <c r="AH8120" s="4" t="str">
        <f>HYPERLINK("#Statut_biogéographique!A"&amp;_xlfn.XMATCH("P",Statut_biogéographique!A:A,2,1),"P")</f>
        <v>P</v>
      </c>
      <c r="AP8120" s="4" t="s">
        <v>376</v>
      </c>
      <c r="AR8120" s="4" t="s">
        <v>377</v>
      </c>
    </row>
    <row r="8121" spans="1:44">
      <c r="A8121" s="4" t="s">
        <v>10753</v>
      </c>
      <c r="B8121" s="4">
        <v>11501</v>
      </c>
      <c r="D8121" s="5" t="s">
        <v>11073</v>
      </c>
      <c r="E8121" s="6" t="str">
        <f>HYPERLINK("https://inpn.mnhn.fr/espece/cd_nom/11501","Idolus picipennis (Bach, 1852)")</f>
        <v>Idolus picipennis (Bach, 1852)</v>
      </c>
      <c r="AH8121" s="4" t="str">
        <f>HYPERLINK("#Statut_biogéographique!A"&amp;_xlfn.XMATCH("P",Statut_biogéographique!A:A,2,1),"P")</f>
        <v>P</v>
      </c>
      <c r="AP8121" s="4" t="s">
        <v>376</v>
      </c>
      <c r="AR8121" s="4" t="s">
        <v>377</v>
      </c>
    </row>
    <row r="8122" spans="1:44" ht="30">
      <c r="A8122" s="4" t="s">
        <v>10753</v>
      </c>
      <c r="B8122" s="4">
        <v>11509</v>
      </c>
      <c r="D8122" s="5">
        <v>11509</v>
      </c>
      <c r="E8122" s="6" t="str">
        <f>HYPERLINK("https://inpn.mnhn.fr/espece/cd_nom/11509","Ampedus melanurus Mulsant &amp; Guillebeau, 1855")</f>
        <v>Ampedus melanurus Mulsant &amp; Guillebeau, 1855</v>
      </c>
      <c r="O8122" s="7" t="str">
        <f>HYPERLINK("#Liste_rouge!A"&amp;_xlfn.XMATCH("DD",Liste_rouge!A:A,2,1),"DD")</f>
        <v>DD</v>
      </c>
      <c r="P8122" s="7" t="str">
        <f>HYPERLINK("#Liste_rouge!A"&amp;_xlfn.XMATCH("DD",Liste_rouge!A:A,2,1),"DD")</f>
        <v>DD</v>
      </c>
      <c r="AH8122" s="4" t="str">
        <f>HYPERLINK("#Statut_biogéographique!A"&amp;_xlfn.XMATCH("P",Statut_biogéographique!A:A,2,1),"P")</f>
        <v>P</v>
      </c>
      <c r="AP8122" s="4" t="s">
        <v>376</v>
      </c>
      <c r="AR8122" s="4" t="s">
        <v>377</v>
      </c>
    </row>
    <row r="8123" spans="1:44">
      <c r="A8123" s="4" t="s">
        <v>10753</v>
      </c>
      <c r="B8123" s="4">
        <v>1151</v>
      </c>
      <c r="D8123" s="5" t="s">
        <v>11074</v>
      </c>
      <c r="E8123" s="6" t="str">
        <f>HYPERLINK("https://inpn.mnhn.fr/espece/cd_nom/1151","Dysdera crocata C.L. Koch, 1838")</f>
        <v>Dysdera crocata C.L. Koch, 1838</v>
      </c>
      <c r="Q8123" s="7" t="str">
        <f>HYPERLINK("#Liste_rouge!A"&amp;_xlfn.XMATCH("LC",Liste_rouge!A:A,2,1),"LC")</f>
        <v>LC</v>
      </c>
      <c r="AH8123" s="4" t="str">
        <f>HYPERLINK("#Statut_biogéographique!A"&amp;_xlfn.XMATCH("P",Statut_biogéographique!A:A,2,1),"P")</f>
        <v>P</v>
      </c>
      <c r="AP8123" s="4" t="s">
        <v>376</v>
      </c>
      <c r="AR8123" s="4" t="s">
        <v>377</v>
      </c>
    </row>
    <row r="8124" spans="1:44">
      <c r="A8124" s="4" t="s">
        <v>10753</v>
      </c>
      <c r="B8124" s="4">
        <v>11510</v>
      </c>
      <c r="D8124" s="5" t="s">
        <v>11075</v>
      </c>
      <c r="E8124" s="6" t="str">
        <f>HYPERLINK("https://inpn.mnhn.fr/espece/cd_nom/11510","Ampedus nigrinus (Herbst, 1784)")</f>
        <v>Ampedus nigrinus (Herbst, 1784)</v>
      </c>
      <c r="P8124" s="7" t="str">
        <f>HYPERLINK("#Liste_rouge!A"&amp;_xlfn.XMATCH("LC",Liste_rouge!A:A,2,1),"LC")</f>
        <v>LC</v>
      </c>
      <c r="AH8124" s="4" t="str">
        <f>HYPERLINK("#Statut_biogéographique!A"&amp;_xlfn.XMATCH("P",Statut_biogéographique!A:A,2,1),"P")</f>
        <v>P</v>
      </c>
      <c r="AP8124" s="4" t="s">
        <v>376</v>
      </c>
      <c r="AR8124" s="4" t="s">
        <v>377</v>
      </c>
    </row>
    <row r="8125" spans="1:44">
      <c r="A8125" s="4" t="s">
        <v>10753</v>
      </c>
      <c r="B8125" s="4">
        <v>11515</v>
      </c>
      <c r="D8125" s="5" t="s">
        <v>11076</v>
      </c>
      <c r="E8125" s="6" t="str">
        <f>HYPERLINK("https://inpn.mnhn.fr/espece/cd_nom/11515","Ampedus sanguineus (Linnaeus, 1758)")</f>
        <v>Ampedus sanguineus (Linnaeus, 1758)</v>
      </c>
      <c r="F8125" s="5" t="s">
        <v>11077</v>
      </c>
      <c r="P8125" s="7" t="str">
        <f>HYPERLINK("#Liste_rouge!A"&amp;_xlfn.XMATCH("LC",Liste_rouge!A:A,2,1),"LC")</f>
        <v>LC</v>
      </c>
      <c r="AH8125" s="4" t="str">
        <f>HYPERLINK("#Statut_biogéographique!A"&amp;_xlfn.XMATCH("P",Statut_biogéographique!A:A,2,1),"P")</f>
        <v>P</v>
      </c>
      <c r="AP8125" s="4" t="s">
        <v>376</v>
      </c>
      <c r="AR8125" s="4" t="s">
        <v>377</v>
      </c>
    </row>
    <row r="8126" spans="1:44">
      <c r="A8126" s="4" t="s">
        <v>10753</v>
      </c>
      <c r="B8126" s="4">
        <v>11516</v>
      </c>
      <c r="D8126" s="5" t="s">
        <v>11078</v>
      </c>
      <c r="E8126" s="6" t="str">
        <f>HYPERLINK("https://inpn.mnhn.fr/espece/cd_nom/11516","Ampedus sanguinolentus (Schrank, 1776)")</f>
        <v>Ampedus sanguinolentus (Schrank, 1776)</v>
      </c>
      <c r="F8126" s="5" t="s">
        <v>11079</v>
      </c>
      <c r="P8126" s="7" t="str">
        <f>HYPERLINK("#Liste_rouge!A"&amp;_xlfn.XMATCH("LC",Liste_rouge!A:A,2,1),"LC")</f>
        <v>LC</v>
      </c>
      <c r="AH8126" s="4" t="str">
        <f>HYPERLINK("#Statut_biogéographique!A"&amp;_xlfn.XMATCH("P",Statut_biogéographique!A:A,2,1),"P")</f>
        <v>P</v>
      </c>
      <c r="AP8126" s="4" t="s">
        <v>376</v>
      </c>
      <c r="AR8126" s="4" t="s">
        <v>377</v>
      </c>
    </row>
    <row r="8127" spans="1:44">
      <c r="A8127" s="4" t="s">
        <v>10753</v>
      </c>
      <c r="B8127" s="4">
        <v>11519</v>
      </c>
      <c r="D8127" s="5" t="s">
        <v>11080</v>
      </c>
      <c r="E8127" s="6" t="str">
        <f>HYPERLINK("https://inpn.mnhn.fr/espece/cd_nom/11519","Denticollis linearis (Linnaeus, 1758)")</f>
        <v>Denticollis linearis (Linnaeus, 1758)</v>
      </c>
      <c r="F8127" s="5" t="s">
        <v>11081</v>
      </c>
      <c r="P8127" s="7" t="str">
        <f>HYPERLINK("#Liste_rouge!A"&amp;_xlfn.XMATCH("LC",Liste_rouge!A:A,2,1),"LC")</f>
        <v>LC</v>
      </c>
      <c r="AH8127" s="4" t="str">
        <f>HYPERLINK("#Statut_biogéographique!A"&amp;_xlfn.XMATCH("P",Statut_biogéographique!A:A,2,1),"P")</f>
        <v>P</v>
      </c>
      <c r="AP8127" s="4" t="s">
        <v>376</v>
      </c>
      <c r="AR8127" s="4" t="s">
        <v>377</v>
      </c>
    </row>
    <row r="8128" spans="1:44">
      <c r="A8128" s="4" t="s">
        <v>10753</v>
      </c>
      <c r="B8128" s="4">
        <v>11520</v>
      </c>
      <c r="D8128" s="5">
        <v>11520</v>
      </c>
      <c r="E8128" s="6" t="str">
        <f>HYPERLINK("https://inpn.mnhn.fr/espece/cd_nom/11520","Denticollis rubens Piller &amp; Mitterpacher, 1783")</f>
        <v>Denticollis rubens Piller &amp; Mitterpacher, 1783</v>
      </c>
      <c r="F8128" s="5" t="s">
        <v>11082</v>
      </c>
      <c r="P8128" s="7" t="str">
        <f>HYPERLINK("#Liste_rouge!A"&amp;_xlfn.XMATCH("LC",Liste_rouge!A:A,2,1),"LC")</f>
        <v>LC</v>
      </c>
      <c r="AH8128" s="4" t="str">
        <f>HYPERLINK("#Statut_biogéographique!A"&amp;_xlfn.XMATCH("P",Statut_biogéographique!A:A,2,1),"P")</f>
        <v>P</v>
      </c>
      <c r="AP8128" s="4" t="s">
        <v>376</v>
      </c>
      <c r="AR8128" s="4" t="s">
        <v>377</v>
      </c>
    </row>
    <row r="8129" spans="1:44">
      <c r="A8129" s="4" t="s">
        <v>10753</v>
      </c>
      <c r="B8129" s="4">
        <v>11525</v>
      </c>
      <c r="D8129" s="5" t="s">
        <v>11083</v>
      </c>
      <c r="E8129" s="6" t="str">
        <f>HYPERLINK("https://inpn.mnhn.fr/espece/cd_nom/11525","Microcara testacea (Linnaeus, 1767)")</f>
        <v>Microcara testacea (Linnaeus, 1767)</v>
      </c>
      <c r="AH8129" s="4" t="str">
        <f>HYPERLINK("#Statut_biogéographique!A"&amp;_xlfn.XMATCH("P",Statut_biogéographique!A:A,2,1),"P")</f>
        <v>P</v>
      </c>
      <c r="AP8129" s="4" t="s">
        <v>376</v>
      </c>
      <c r="AR8129" s="4" t="s">
        <v>377</v>
      </c>
    </row>
    <row r="8130" spans="1:44" ht="30">
      <c r="A8130" s="4" t="s">
        <v>10753</v>
      </c>
      <c r="B8130" s="4">
        <v>11530</v>
      </c>
      <c r="D8130" s="5" t="s">
        <v>11084</v>
      </c>
      <c r="E8130" s="6" t="str">
        <f>HYPERLINK("https://inpn.mnhn.fr/espece/cd_nom/11530","Hydrocyphon deflexicollis (P.W.J. Müller, 1821)")</f>
        <v>Hydrocyphon deflexicollis (P.W.J. Müller, 1821)</v>
      </c>
      <c r="AH8130" s="4" t="str">
        <f>HYPERLINK("#Statut_biogéographique!A"&amp;_xlfn.XMATCH("P",Statut_biogéographique!A:A,2,1),"P")</f>
        <v>P</v>
      </c>
      <c r="AP8130" s="4" t="s">
        <v>376</v>
      </c>
      <c r="AR8130" s="4" t="s">
        <v>377</v>
      </c>
    </row>
    <row r="8131" spans="1:44">
      <c r="A8131" s="4" t="s">
        <v>10753</v>
      </c>
      <c r="B8131" s="4">
        <v>11532</v>
      </c>
      <c r="D8131" s="5" t="s">
        <v>11085</v>
      </c>
      <c r="E8131" s="6" t="str">
        <f>HYPERLINK("https://inpn.mnhn.fr/espece/cd_nom/11532","Eubria palustris (Germar, 1818)")</f>
        <v>Eubria palustris (Germar, 1818)</v>
      </c>
      <c r="AH8131" s="4" t="str">
        <f>HYPERLINK("#Statut_biogéographique!A"&amp;_xlfn.XMATCH("P",Statut_biogéographique!A:A,2,1),"P")</f>
        <v>P</v>
      </c>
      <c r="AP8131" s="4" t="s">
        <v>376</v>
      </c>
      <c r="AR8131" s="4" t="s">
        <v>377</v>
      </c>
    </row>
    <row r="8132" spans="1:44" ht="30">
      <c r="A8132" s="4" t="s">
        <v>10753</v>
      </c>
      <c r="B8132" s="4">
        <v>11542</v>
      </c>
      <c r="D8132" s="5" t="s">
        <v>11086</v>
      </c>
      <c r="E8132" s="6" t="str">
        <f>HYPERLINK("https://inpn.mnhn.fr/espece/cd_nom/11542","Lygistopterus sanguineus (Linnaeus, 1758)")</f>
        <v>Lygistopterus sanguineus (Linnaeus, 1758)</v>
      </c>
      <c r="F8132" s="5" t="s">
        <v>11087</v>
      </c>
      <c r="AH8132" s="4" t="str">
        <f>HYPERLINK("#Statut_biogéographique!A"&amp;_xlfn.XMATCH("P",Statut_biogéographique!A:A,2,1),"P")</f>
        <v>P</v>
      </c>
      <c r="AP8132" s="4" t="s">
        <v>376</v>
      </c>
      <c r="AR8132" s="4" t="s">
        <v>377</v>
      </c>
    </row>
    <row r="8133" spans="1:44" ht="45">
      <c r="A8133" s="4" t="s">
        <v>10753</v>
      </c>
      <c r="B8133" s="4">
        <v>11545</v>
      </c>
      <c r="D8133" s="5" t="s">
        <v>11088</v>
      </c>
      <c r="E8133" s="6" t="str">
        <f>HYPERLINK("https://inpn.mnhn.fr/espece/cd_nom/11545","Lampyris noctiluca (Linnaeus, 1758)")</f>
        <v>Lampyris noctiluca (Linnaeus, 1758)</v>
      </c>
      <c r="F8133" s="5" t="s">
        <v>11089</v>
      </c>
      <c r="AH8133" s="4" t="str">
        <f>HYPERLINK("#Statut_biogéographique!A"&amp;_xlfn.XMATCH("P",Statut_biogéographique!A:A,2,1),"P")</f>
        <v>P</v>
      </c>
      <c r="AP8133" s="4" t="s">
        <v>376</v>
      </c>
      <c r="AR8133" s="4" t="s">
        <v>377</v>
      </c>
    </row>
    <row r="8134" spans="1:44" ht="30">
      <c r="A8134" s="4" t="s">
        <v>10753</v>
      </c>
      <c r="B8134" s="4">
        <v>11550</v>
      </c>
      <c r="D8134" s="5" t="s">
        <v>11090</v>
      </c>
      <c r="E8134" s="6" t="str">
        <f>HYPERLINK("https://inpn.mnhn.fr/espece/cd_nom/11550","Phosphaenus hemipterus (Goeze, 1777)")</f>
        <v>Phosphaenus hemipterus (Goeze, 1777)</v>
      </c>
      <c r="F8134" s="5" t="s">
        <v>11091</v>
      </c>
      <c r="AH8134" s="4" t="str">
        <f>HYPERLINK("#Statut_biogéographique!A"&amp;_xlfn.XMATCH("P",Statut_biogéographique!A:A,2,1),"P")</f>
        <v>P</v>
      </c>
      <c r="AP8134" s="4" t="s">
        <v>376</v>
      </c>
      <c r="AR8134" s="4" t="s">
        <v>377</v>
      </c>
    </row>
    <row r="8135" spans="1:44" ht="45">
      <c r="A8135" s="4" t="s">
        <v>10753</v>
      </c>
      <c r="B8135" s="4">
        <v>11556</v>
      </c>
      <c r="D8135" s="5" t="s">
        <v>11092</v>
      </c>
      <c r="E8135" s="6" t="str">
        <f>HYPERLINK("https://inpn.mnhn.fr/espece/cd_nom/11556","Podabrus alpinus (Paykull, 1798)")</f>
        <v>Podabrus alpinus (Paykull, 1798)</v>
      </c>
      <c r="AH8135" s="4" t="str">
        <f>HYPERLINK("#Statut_biogéographique!A"&amp;_xlfn.XMATCH("P",Statut_biogéographique!A:A,2,1),"P")</f>
        <v>P</v>
      </c>
      <c r="AP8135" s="4" t="s">
        <v>376</v>
      </c>
      <c r="AR8135" s="4" t="s">
        <v>377</v>
      </c>
    </row>
    <row r="8136" spans="1:44" ht="45">
      <c r="A8136" s="4" t="s">
        <v>10753</v>
      </c>
      <c r="B8136" s="4">
        <v>11561</v>
      </c>
      <c r="D8136" s="5" t="s">
        <v>11093</v>
      </c>
      <c r="E8136" s="6" t="str">
        <f>HYPERLINK("https://inpn.mnhn.fr/espece/cd_nom/11561","Cantharis annularis Ménétriés, 1836")</f>
        <v>Cantharis annularis Ménétriés, 1836</v>
      </c>
      <c r="AH8136" s="4" t="str">
        <f>HYPERLINK("#Statut_biogéographique!A"&amp;_xlfn.XMATCH("P",Statut_biogéographique!A:A,2,1),"P")</f>
        <v>P</v>
      </c>
      <c r="AP8136" s="4" t="s">
        <v>376</v>
      </c>
      <c r="AR8136" s="4" t="s">
        <v>377</v>
      </c>
    </row>
    <row r="8137" spans="1:44" ht="45">
      <c r="A8137" s="4" t="s">
        <v>10753</v>
      </c>
      <c r="B8137" s="4">
        <v>11568</v>
      </c>
      <c r="D8137" s="5" t="s">
        <v>11094</v>
      </c>
      <c r="E8137" s="6" t="str">
        <f>HYPERLINK("https://inpn.mnhn.fr/espece/cd_nom/11568","Cantharis fusca Linnaeus, 1758")</f>
        <v>Cantharis fusca Linnaeus, 1758</v>
      </c>
      <c r="F8137" s="5" t="s">
        <v>11095</v>
      </c>
      <c r="AH8137" s="4" t="str">
        <f>HYPERLINK("#Statut_biogéographique!A"&amp;_xlfn.XMATCH("P",Statut_biogéographique!A:A,2,1),"P")</f>
        <v>P</v>
      </c>
      <c r="AP8137" s="4" t="s">
        <v>376</v>
      </c>
      <c r="AR8137" s="4" t="s">
        <v>377</v>
      </c>
    </row>
    <row r="8138" spans="1:44" ht="30">
      <c r="A8138" s="4" t="s">
        <v>10753</v>
      </c>
      <c r="B8138" s="4">
        <v>11569</v>
      </c>
      <c r="D8138" s="5" t="s">
        <v>11096</v>
      </c>
      <c r="E8138" s="6" t="str">
        <f>HYPERLINK("https://inpn.mnhn.fr/espece/cd_nom/11569","Cantharis lateralis Linnaeus, 1758")</f>
        <v>Cantharis lateralis Linnaeus, 1758</v>
      </c>
      <c r="F8138" s="5" t="s">
        <v>11097</v>
      </c>
      <c r="AH8138" s="4" t="str">
        <f>HYPERLINK("#Statut_biogéographique!A"&amp;_xlfn.XMATCH("P",Statut_biogéographique!A:A,2,1),"P")</f>
        <v>P</v>
      </c>
      <c r="AP8138" s="4" t="s">
        <v>376</v>
      </c>
      <c r="AR8138" s="4" t="s">
        <v>377</v>
      </c>
    </row>
    <row r="8139" spans="1:44">
      <c r="A8139" s="4" t="s">
        <v>10753</v>
      </c>
      <c r="B8139" s="4">
        <v>1157</v>
      </c>
      <c r="D8139" s="5" t="s">
        <v>11098</v>
      </c>
      <c r="E8139" s="6" t="str">
        <f>HYPERLINK("https://inpn.mnhn.fr/espece/cd_nom/1157","Harpactocrates drassoides (Simon, 1882)")</f>
        <v>Harpactocrates drassoides (Simon, 1882)</v>
      </c>
      <c r="Q8139" s="7" t="str">
        <f>HYPERLINK("#Liste_rouge!A"&amp;_xlfn.XMATCH("LC",Liste_rouge!A:A,2,1),"LC")</f>
        <v>LC</v>
      </c>
      <c r="AH8139" s="4" t="str">
        <f>HYPERLINK("#Statut_biogéographique!A"&amp;_xlfn.XMATCH("P",Statut_biogéographique!A:A,2,1),"P")</f>
        <v>P</v>
      </c>
      <c r="AP8139" s="4" t="s">
        <v>376</v>
      </c>
      <c r="AR8139" s="4" t="s">
        <v>377</v>
      </c>
    </row>
    <row r="8140" spans="1:44" ht="105">
      <c r="A8140" s="4" t="s">
        <v>10753</v>
      </c>
      <c r="B8140" s="4">
        <v>11570</v>
      </c>
      <c r="D8140" s="5" t="s">
        <v>11099</v>
      </c>
      <c r="E8140" s="6" t="str">
        <f>HYPERLINK("https://inpn.mnhn.fr/espece/cd_nom/11570","Cantharis livida Linnaeus, 1758")</f>
        <v>Cantharis livida Linnaeus, 1758</v>
      </c>
      <c r="AH8140" s="4" t="str">
        <f>HYPERLINK("#Statut_biogéographique!A"&amp;_xlfn.XMATCH("P",Statut_biogéographique!A:A,2,1),"P")</f>
        <v>P</v>
      </c>
      <c r="AP8140" s="4" t="s">
        <v>376</v>
      </c>
      <c r="AR8140" s="4" t="s">
        <v>377</v>
      </c>
    </row>
    <row r="8141" spans="1:44" ht="60">
      <c r="A8141" s="4" t="s">
        <v>10753</v>
      </c>
      <c r="B8141" s="4">
        <v>11571</v>
      </c>
      <c r="D8141" s="5" t="s">
        <v>11100</v>
      </c>
      <c r="E8141" s="6" t="str">
        <f>HYPERLINK("https://inpn.mnhn.fr/espece/cd_nom/11571","Cantharis nigricans (O.F. Müller, 1776)")</f>
        <v>Cantharis nigricans (O.F. Müller, 1776)</v>
      </c>
      <c r="F8141" s="5" t="s">
        <v>11101</v>
      </c>
      <c r="AH8141" s="4" t="str">
        <f>HYPERLINK("#Statut_biogéographique!A"&amp;_xlfn.XMATCH("P",Statut_biogéographique!A:A,2,1),"P")</f>
        <v>P</v>
      </c>
      <c r="AP8141" s="4" t="s">
        <v>376</v>
      </c>
      <c r="AR8141" s="4" t="s">
        <v>377</v>
      </c>
    </row>
    <row r="8142" spans="1:44">
      <c r="A8142" s="4" t="s">
        <v>10753</v>
      </c>
      <c r="B8142" s="4">
        <v>11573</v>
      </c>
      <c r="D8142" s="5" t="s">
        <v>11102</v>
      </c>
      <c r="E8142" s="6" t="str">
        <f>HYPERLINK("https://inpn.mnhn.fr/espece/cd_nom/11573","Cantharis obscura Linnaeus, 1758")</f>
        <v>Cantharis obscura Linnaeus, 1758</v>
      </c>
      <c r="AH8142" s="4" t="str">
        <f>HYPERLINK("#Statut_biogéographique!A"&amp;_xlfn.XMATCH("P",Statut_biogéographique!A:A,2,1),"P")</f>
        <v>P</v>
      </c>
      <c r="AP8142" s="4" t="s">
        <v>376</v>
      </c>
      <c r="AR8142" s="4" t="s">
        <v>377</v>
      </c>
    </row>
    <row r="8143" spans="1:44" ht="30">
      <c r="A8143" s="4" t="s">
        <v>10753</v>
      </c>
      <c r="B8143" s="4">
        <v>11575</v>
      </c>
      <c r="D8143" s="5" t="s">
        <v>11103</v>
      </c>
      <c r="E8143" s="6" t="str">
        <f>HYPERLINK("https://inpn.mnhn.fr/espece/cd_nom/11575","Cantharis pellucida Fabricius, 1792")</f>
        <v>Cantharis pellucida Fabricius, 1792</v>
      </c>
      <c r="AH8143" s="4" t="str">
        <f>HYPERLINK("#Statut_biogéographique!A"&amp;_xlfn.XMATCH("P",Statut_biogéographique!A:A,2,1),"P")</f>
        <v>P</v>
      </c>
      <c r="AP8143" s="4" t="s">
        <v>376</v>
      </c>
      <c r="AR8143" s="4" t="s">
        <v>377</v>
      </c>
    </row>
    <row r="8144" spans="1:44" ht="45">
      <c r="A8144" s="4" t="s">
        <v>10753</v>
      </c>
      <c r="B8144" s="4">
        <v>11578</v>
      </c>
      <c r="D8144" s="5" t="s">
        <v>11104</v>
      </c>
      <c r="E8144" s="6" t="str">
        <f>HYPERLINK("https://inpn.mnhn.fr/espece/cd_nom/11578","Cantharis rustica Fallén, 1807")</f>
        <v>Cantharis rustica Fallén, 1807</v>
      </c>
      <c r="F8144" s="5" t="s">
        <v>11105</v>
      </c>
      <c r="AH8144" s="4" t="str">
        <f>HYPERLINK("#Statut_biogéographique!A"&amp;_xlfn.XMATCH("P",Statut_biogéographique!A:A,2,1),"P")</f>
        <v>P</v>
      </c>
      <c r="AP8144" s="4" t="s">
        <v>376</v>
      </c>
      <c r="AR8144" s="4" t="s">
        <v>377</v>
      </c>
    </row>
    <row r="8145" spans="1:44">
      <c r="A8145" s="4" t="s">
        <v>10753</v>
      </c>
      <c r="B8145" s="4">
        <v>11583</v>
      </c>
      <c r="D8145" s="5" t="s">
        <v>11106</v>
      </c>
      <c r="E8145" s="6" t="str">
        <f>HYPERLINK("https://inpn.mnhn.fr/espece/cd_nom/11583","Rhagonycha elongata (Fallén, 1807)")</f>
        <v>Rhagonycha elongata (Fallén, 1807)</v>
      </c>
      <c r="AH8145" s="4" t="str">
        <f>HYPERLINK("#Statut_biogéographique!A"&amp;_xlfn.XMATCH("Q",Statut_biogéographique!A:A,2,1),"Q")</f>
        <v>Q</v>
      </c>
      <c r="AP8145" s="4" t="s">
        <v>376</v>
      </c>
      <c r="AR8145" s="4" t="s">
        <v>377</v>
      </c>
    </row>
    <row r="8146" spans="1:44" ht="45">
      <c r="A8146" s="4" t="s">
        <v>10753</v>
      </c>
      <c r="B8146" s="4">
        <v>11585</v>
      </c>
      <c r="D8146" s="5" t="s">
        <v>11107</v>
      </c>
      <c r="E8146" s="6" t="str">
        <f>HYPERLINK("https://inpn.mnhn.fr/espece/cd_nom/11585","Rhagonycha fulva (Scopoli, 1763)")</f>
        <v>Rhagonycha fulva (Scopoli, 1763)</v>
      </c>
      <c r="F8146" s="5" t="s">
        <v>11108</v>
      </c>
      <c r="AH8146" s="4" t="str">
        <f>HYPERLINK("#Statut_biogéographique!A"&amp;_xlfn.XMATCH("P",Statut_biogéographique!A:A,2,1),"P")</f>
        <v>P</v>
      </c>
      <c r="AP8146" s="4" t="s">
        <v>376</v>
      </c>
      <c r="AR8146" s="4" t="s">
        <v>377</v>
      </c>
    </row>
    <row r="8147" spans="1:44">
      <c r="A8147" s="4" t="s">
        <v>10753</v>
      </c>
      <c r="B8147" s="4">
        <v>11590</v>
      </c>
      <c r="D8147" s="5" t="s">
        <v>11109</v>
      </c>
      <c r="E8147" s="6" t="str">
        <f>HYPERLINK("https://inpn.mnhn.fr/espece/cd_nom/11590","Pteryngium crenatum (Fabricius, 1798)")</f>
        <v>Pteryngium crenatum (Fabricius, 1798)</v>
      </c>
      <c r="AH8147" s="4" t="str">
        <f>HYPERLINK("#Statut_biogéographique!A"&amp;_xlfn.XMATCH("P",Statut_biogéographique!A:A,2,1),"P")</f>
        <v>P</v>
      </c>
      <c r="AP8147" s="4" t="s">
        <v>376</v>
      </c>
      <c r="AR8147" s="4" t="s">
        <v>377</v>
      </c>
    </row>
    <row r="8148" spans="1:44">
      <c r="A8148" s="4" t="s">
        <v>10753</v>
      </c>
      <c r="B8148" s="4">
        <v>11593</v>
      </c>
      <c r="D8148" s="5" t="s">
        <v>11110</v>
      </c>
      <c r="E8148" s="6" t="str">
        <f>HYPERLINK("https://inpn.mnhn.fr/espece/cd_nom/11593","Cryptophagus acutangulus Gyllenhal, 1827")</f>
        <v>Cryptophagus acutangulus Gyllenhal, 1827</v>
      </c>
      <c r="AH8148" s="4" t="str">
        <f>HYPERLINK("#Statut_biogéographique!A"&amp;_xlfn.XMATCH("C",Statut_biogéographique!A:A,2,1),"C")</f>
        <v>C</v>
      </c>
      <c r="AP8148" s="4" t="s">
        <v>376</v>
      </c>
      <c r="AR8148" s="4" t="s">
        <v>377</v>
      </c>
    </row>
    <row r="8149" spans="1:44" ht="30">
      <c r="A8149" s="4" t="s">
        <v>10753</v>
      </c>
      <c r="B8149" s="4">
        <v>11603</v>
      </c>
      <c r="D8149" s="5" t="s">
        <v>11111</v>
      </c>
      <c r="E8149" s="6" t="str">
        <f>HYPERLINK("https://inpn.mnhn.fr/espece/cd_nom/11603","Atomaria atricapilla Stephens, 1830")</f>
        <v>Atomaria atricapilla Stephens, 1830</v>
      </c>
      <c r="AH8149" s="4" t="str">
        <f>HYPERLINK("#Statut_biogéographique!A"&amp;_xlfn.XMATCH("P",Statut_biogéographique!A:A,2,1),"P")</f>
        <v>P</v>
      </c>
      <c r="AP8149" s="4" t="s">
        <v>376</v>
      </c>
      <c r="AR8149" s="4" t="s">
        <v>377</v>
      </c>
    </row>
    <row r="8150" spans="1:44">
      <c r="A8150" s="4" t="s">
        <v>10753</v>
      </c>
      <c r="B8150" s="4">
        <v>11624</v>
      </c>
      <c r="D8150" s="5" t="s">
        <v>11112</v>
      </c>
      <c r="E8150" s="6" t="str">
        <f>HYPERLINK("https://inpn.mnhn.fr/espece/cd_nom/11624","Olibrus bicolor (Fabricius, 1792)")</f>
        <v>Olibrus bicolor (Fabricius, 1792)</v>
      </c>
      <c r="AH8150" s="4" t="str">
        <f>HYPERLINK("#Statut_biogéographique!A"&amp;_xlfn.XMATCH("P",Statut_biogéographique!A:A,2,1),"P")</f>
        <v>P</v>
      </c>
      <c r="AP8150" s="4" t="s">
        <v>376</v>
      </c>
      <c r="AR8150" s="4" t="s">
        <v>377</v>
      </c>
    </row>
    <row r="8151" spans="1:44">
      <c r="A8151" s="4" t="s">
        <v>10753</v>
      </c>
      <c r="B8151" s="4">
        <v>11628</v>
      </c>
      <c r="D8151" s="5" t="s">
        <v>11113</v>
      </c>
      <c r="E8151" s="6" t="str">
        <f>HYPERLINK("https://inpn.mnhn.fr/espece/cd_nom/11628","Olibrus flavicornis (Sturm, 1807)")</f>
        <v>Olibrus flavicornis (Sturm, 1807)</v>
      </c>
      <c r="AH8151" s="4" t="str">
        <f>HYPERLINK("#Statut_biogéographique!A"&amp;_xlfn.XMATCH("P",Statut_biogéographique!A:A,2,1),"P")</f>
        <v>P</v>
      </c>
      <c r="AP8151" s="4" t="s">
        <v>376</v>
      </c>
      <c r="AR8151" s="4" t="s">
        <v>377</v>
      </c>
    </row>
    <row r="8152" spans="1:44">
      <c r="A8152" s="4" t="s">
        <v>10753</v>
      </c>
      <c r="B8152" s="4">
        <v>11629</v>
      </c>
      <c r="D8152" s="5">
        <v>11629</v>
      </c>
      <c r="E8152" s="6" t="str">
        <f>HYPERLINK("https://inpn.mnhn.fr/espece/cd_nom/11629","Olibrus liquidus Erichson, 1845")</f>
        <v>Olibrus liquidus Erichson, 1845</v>
      </c>
      <c r="AH8152" s="4" t="str">
        <f>HYPERLINK("#Statut_biogéographique!A"&amp;_xlfn.XMATCH("P",Statut_biogéographique!A:A,2,1),"P")</f>
        <v>P</v>
      </c>
      <c r="AP8152" s="4" t="s">
        <v>376</v>
      </c>
      <c r="AR8152" s="4" t="s">
        <v>377</v>
      </c>
    </row>
    <row r="8153" spans="1:44">
      <c r="A8153" s="4" t="s">
        <v>10753</v>
      </c>
      <c r="B8153" s="4">
        <v>11645</v>
      </c>
      <c r="D8153" s="5" t="s">
        <v>11114</v>
      </c>
      <c r="E8153" s="6" t="str">
        <f>HYPERLINK("https://inpn.mnhn.fr/espece/cd_nom/11645","Enicmus rugosus (Herbst, 1793)")</f>
        <v>Enicmus rugosus (Herbst, 1793)</v>
      </c>
      <c r="AH8153" s="4" t="str">
        <f>HYPERLINK("#Statut_biogéographique!A"&amp;_xlfn.XMATCH("P",Statut_biogéographique!A:A,2,1),"P")</f>
        <v>P</v>
      </c>
      <c r="AP8153" s="4" t="s">
        <v>376</v>
      </c>
      <c r="AR8153" s="4" t="s">
        <v>377</v>
      </c>
    </row>
    <row r="8154" spans="1:44">
      <c r="A8154" s="4" t="s">
        <v>10753</v>
      </c>
      <c r="B8154" s="4">
        <v>11647</v>
      </c>
      <c r="D8154" s="5" t="s">
        <v>11115</v>
      </c>
      <c r="E8154" s="6" t="str">
        <f>HYPERLINK("https://inpn.mnhn.fr/espece/cd_nom/11647","Enicmus transversus (Olivier, 1790)")</f>
        <v>Enicmus transversus (Olivier, 1790)</v>
      </c>
      <c r="AH8154" s="4" t="str">
        <f>HYPERLINK("#Statut_biogéographique!A"&amp;_xlfn.XMATCH("P",Statut_biogéographique!A:A,2,1),"P")</f>
        <v>P</v>
      </c>
      <c r="AP8154" s="4" t="s">
        <v>376</v>
      </c>
      <c r="AR8154" s="4" t="s">
        <v>377</v>
      </c>
    </row>
    <row r="8155" spans="1:44">
      <c r="A8155" s="4" t="s">
        <v>10753</v>
      </c>
      <c r="B8155" s="4">
        <v>1165</v>
      </c>
      <c r="D8155" s="5" t="s">
        <v>11116</v>
      </c>
      <c r="E8155" s="6" t="str">
        <f>HYPERLINK("https://inpn.mnhn.fr/espece/cd_nom/1165","Segestria florentina (Rossi, 1790)")</f>
        <v>Segestria florentina (Rossi, 1790)</v>
      </c>
      <c r="F8155" s="5" t="s">
        <v>11117</v>
      </c>
      <c r="Q8155" s="7" t="str">
        <f>HYPERLINK("#Liste_rouge!A"&amp;_xlfn.XMATCH("LC",Liste_rouge!A:A,2,1),"LC")</f>
        <v>LC</v>
      </c>
      <c r="AH8155" s="4" t="str">
        <f>HYPERLINK("#Statut_biogéographique!A"&amp;_xlfn.XMATCH("P",Statut_biogéographique!A:A,2,1),"P")</f>
        <v>P</v>
      </c>
      <c r="AP8155" s="4" t="s">
        <v>376</v>
      </c>
      <c r="AR8155" s="4" t="s">
        <v>377</v>
      </c>
    </row>
    <row r="8156" spans="1:44" ht="45">
      <c r="A8156" s="4" t="s">
        <v>10753</v>
      </c>
      <c r="B8156" s="4">
        <v>11657</v>
      </c>
      <c r="D8156" s="5" t="s">
        <v>11118</v>
      </c>
      <c r="E8156" s="6" t="str">
        <f>HYPERLINK("https://inpn.mnhn.fr/espece/cd_nom/11657","Melanophthalma transversalis (Gyllenhal, 1827)")</f>
        <v>Melanophthalma transversalis (Gyllenhal, 1827)</v>
      </c>
      <c r="AH8156" s="4" t="str">
        <f>HYPERLINK("#Statut_biogéographique!A"&amp;_xlfn.XMATCH("P",Statut_biogéographique!A:A,2,1),"P")</f>
        <v>P</v>
      </c>
      <c r="AP8156" s="4" t="s">
        <v>376</v>
      </c>
      <c r="AR8156" s="4" t="s">
        <v>377</v>
      </c>
    </row>
    <row r="8157" spans="1:44">
      <c r="A8157" s="4" t="s">
        <v>10753</v>
      </c>
      <c r="B8157" s="4">
        <v>1166</v>
      </c>
      <c r="D8157" s="5">
        <v>1166</v>
      </c>
      <c r="E8157" s="6" t="str">
        <f>HYPERLINK("https://inpn.mnhn.fr/espece/cd_nom/1166","Segestria bavarica C.L. Koch, 1843")</f>
        <v>Segestria bavarica C.L. Koch, 1843</v>
      </c>
      <c r="Q8157" s="7" t="str">
        <f>HYPERLINK("#Liste_rouge!A"&amp;_xlfn.XMATCH("LC",Liste_rouge!A:A,2,1),"LC")</f>
        <v>LC</v>
      </c>
      <c r="AH8157" s="4" t="str">
        <f>HYPERLINK("#Statut_biogéographique!A"&amp;_xlfn.XMATCH("P",Statut_biogéographique!A:A,2,1),"P")</f>
        <v>P</v>
      </c>
      <c r="AP8157" s="4" t="s">
        <v>376</v>
      </c>
      <c r="AR8157" s="4" t="s">
        <v>377</v>
      </c>
    </row>
    <row r="8158" spans="1:44" ht="30">
      <c r="A8158" s="4" t="s">
        <v>10753</v>
      </c>
      <c r="B8158" s="4">
        <v>11663</v>
      </c>
      <c r="D8158" s="5" t="s">
        <v>11119</v>
      </c>
      <c r="E8158" s="6" t="str">
        <f>HYPERLINK("https://inpn.mnhn.fr/espece/cd_nom/11663","Litargus connexus (Geoffroy in Fourcroy, 1785)")</f>
        <v>Litargus connexus (Geoffroy in Fourcroy, 1785)</v>
      </c>
      <c r="P8158" s="7" t="str">
        <f>HYPERLINK("#Liste_rouge!A"&amp;_xlfn.XMATCH("LC",Liste_rouge!A:A,2,1),"LC")</f>
        <v>LC</v>
      </c>
      <c r="AH8158" s="4" t="str">
        <f>HYPERLINK("#Statut_biogéographique!A"&amp;_xlfn.XMATCH("P",Statut_biogéographique!A:A,2,1),"P")</f>
        <v>P</v>
      </c>
      <c r="AP8158" s="4" t="s">
        <v>376</v>
      </c>
      <c r="AR8158" s="4" t="s">
        <v>377</v>
      </c>
    </row>
    <row r="8159" spans="1:44">
      <c r="A8159" s="4" t="s">
        <v>10753</v>
      </c>
      <c r="B8159" s="4">
        <v>11668</v>
      </c>
      <c r="D8159" s="5">
        <v>11668</v>
      </c>
      <c r="E8159" s="6" t="str">
        <f>HYPERLINK("https://inpn.mnhn.fr/espece/cd_nom/11668","Berginus tamarisci Wollaston, 1854")</f>
        <v>Berginus tamarisci Wollaston, 1854</v>
      </c>
      <c r="AH8159" s="4" t="str">
        <f>HYPERLINK("#Statut_biogéographique!A"&amp;_xlfn.XMATCH("P",Statut_biogéographique!A:A,2,1),"P")</f>
        <v>P</v>
      </c>
      <c r="AP8159" s="4" t="s">
        <v>376</v>
      </c>
      <c r="AR8159" s="4" t="s">
        <v>377</v>
      </c>
    </row>
    <row r="8160" spans="1:44">
      <c r="A8160" s="4" t="s">
        <v>10753</v>
      </c>
      <c r="B8160" s="4">
        <v>1167</v>
      </c>
      <c r="D8160" s="5" t="s">
        <v>11120</v>
      </c>
      <c r="E8160" s="6" t="str">
        <f>HYPERLINK("https://inpn.mnhn.fr/espece/cd_nom/1167","Segestria senoculata (Linnaeus, 1758)")</f>
        <v>Segestria senoculata (Linnaeus, 1758)</v>
      </c>
      <c r="Q8160" s="7" t="str">
        <f>HYPERLINK("#Liste_rouge!A"&amp;_xlfn.XMATCH("LC",Liste_rouge!A:A,2,1),"LC")</f>
        <v>LC</v>
      </c>
      <c r="AH8160" s="4" t="str">
        <f>HYPERLINK("#Statut_biogéographique!A"&amp;_xlfn.XMATCH("P",Statut_biogéographique!A:A,2,1),"P")</f>
        <v>P</v>
      </c>
      <c r="AP8160" s="4" t="s">
        <v>376</v>
      </c>
      <c r="AR8160" s="4" t="s">
        <v>377</v>
      </c>
    </row>
    <row r="8161" spans="1:44">
      <c r="A8161" s="4" t="s">
        <v>10753</v>
      </c>
      <c r="B8161" s="4">
        <v>11671</v>
      </c>
      <c r="D8161" s="5" t="s">
        <v>11121</v>
      </c>
      <c r="E8161" s="6" t="str">
        <f>HYPERLINK("https://inpn.mnhn.fr/espece/cd_nom/11671","Mycetophagus fulvicollis Fabricius, 1792")</f>
        <v>Mycetophagus fulvicollis Fabricius, 1792</v>
      </c>
      <c r="P8161" s="7" t="str">
        <f>HYPERLINK("#Liste_rouge!A"&amp;_xlfn.XMATCH("LC",Liste_rouge!A:A,2,1),"LC")</f>
        <v>LC</v>
      </c>
      <c r="AH8161" s="4" t="str">
        <f>HYPERLINK("#Statut_biogéographique!A"&amp;_xlfn.XMATCH("P",Statut_biogéographique!A:A,2,1),"P")</f>
        <v>P</v>
      </c>
      <c r="AP8161" s="4" t="s">
        <v>376</v>
      </c>
      <c r="AR8161" s="4" t="s">
        <v>377</v>
      </c>
    </row>
    <row r="8162" spans="1:44" ht="45">
      <c r="A8162" s="4" t="s">
        <v>10753</v>
      </c>
      <c r="B8162" s="4">
        <v>11673</v>
      </c>
      <c r="D8162" s="5" t="s">
        <v>11122</v>
      </c>
      <c r="E8162" s="6" t="str">
        <f>HYPERLINK("https://inpn.mnhn.fr/espece/cd_nom/11673","Mycetophagus quadripustulatus (Linnaeus, 1761)")</f>
        <v>Mycetophagus quadripustulatus (Linnaeus, 1761)</v>
      </c>
      <c r="F8162" s="5" t="s">
        <v>11123</v>
      </c>
      <c r="P8162" s="7" t="str">
        <f>HYPERLINK("#Liste_rouge!A"&amp;_xlfn.XMATCH("LC",Liste_rouge!A:A,2,1),"LC")</f>
        <v>LC</v>
      </c>
      <c r="AH8162" s="4" t="str">
        <f>HYPERLINK("#Statut_biogéographique!A"&amp;_xlfn.XMATCH("P",Statut_biogéographique!A:A,2,1),"P")</f>
        <v>P</v>
      </c>
      <c r="AP8162" s="4" t="s">
        <v>376</v>
      </c>
      <c r="AR8162" s="4" t="s">
        <v>377</v>
      </c>
    </row>
    <row r="8163" spans="1:44" ht="30">
      <c r="A8163" s="4" t="s">
        <v>10753</v>
      </c>
      <c r="B8163" s="4">
        <v>11682</v>
      </c>
      <c r="D8163" s="5" t="s">
        <v>11124</v>
      </c>
      <c r="E8163" s="6" t="str">
        <f>HYPERLINK("https://inpn.mnhn.fr/espece/cd_nom/11682","Rhagonycha lignosa (O.F. Müller, 1764)")</f>
        <v>Rhagonycha lignosa (O.F. Müller, 1764)</v>
      </c>
      <c r="F8163" s="5" t="s">
        <v>11125</v>
      </c>
      <c r="AH8163" s="4" t="str">
        <f>HYPERLINK("#Statut_biogéographique!A"&amp;_xlfn.XMATCH("P",Statut_biogéographique!A:A,2,1),"P")</f>
        <v>P</v>
      </c>
      <c r="AP8163" s="4" t="s">
        <v>376</v>
      </c>
      <c r="AR8163" s="4" t="s">
        <v>377</v>
      </c>
    </row>
    <row r="8164" spans="1:44" ht="30">
      <c r="A8164" s="4" t="s">
        <v>10753</v>
      </c>
      <c r="B8164" s="4">
        <v>11686</v>
      </c>
      <c r="D8164" s="5" t="s">
        <v>11126</v>
      </c>
      <c r="E8164" s="6" t="str">
        <f>HYPERLINK("https://inpn.mnhn.fr/espece/cd_nom/11686","Rhagonycha testacea (Linnaeus, 1758)")</f>
        <v>Rhagonycha testacea (Linnaeus, 1758)</v>
      </c>
      <c r="F8164" s="5" t="s">
        <v>11127</v>
      </c>
      <c r="AH8164" s="4" t="str">
        <f>HYPERLINK("#Statut_biogéographique!A"&amp;_xlfn.XMATCH("P",Statut_biogéographique!A:A,2,1),"P")</f>
        <v>P</v>
      </c>
      <c r="AP8164" s="4" t="s">
        <v>376</v>
      </c>
      <c r="AR8164" s="4" t="s">
        <v>377</v>
      </c>
    </row>
    <row r="8165" spans="1:44" ht="30">
      <c r="A8165" s="4" t="s">
        <v>10753</v>
      </c>
      <c r="B8165" s="4">
        <v>11690</v>
      </c>
      <c r="D8165" s="5" t="s">
        <v>11128</v>
      </c>
      <c r="E8165" s="6" t="str">
        <f>HYPERLINK("https://inpn.mnhn.fr/espece/cd_nom/11690","Silis ruficollis (Fabricius, 1775)")</f>
        <v>Silis ruficollis (Fabricius, 1775)</v>
      </c>
      <c r="F8165" s="5" t="s">
        <v>11129</v>
      </c>
      <c r="AH8165" s="4" t="str">
        <f>HYPERLINK("#Statut_biogéographique!A"&amp;_xlfn.XMATCH("P",Statut_biogéographique!A:A,2,1),"P")</f>
        <v>P</v>
      </c>
      <c r="AP8165" s="4" t="s">
        <v>376</v>
      </c>
      <c r="AR8165" s="4" t="s">
        <v>377</v>
      </c>
    </row>
    <row r="8166" spans="1:44" ht="30">
      <c r="A8166" s="4" t="s">
        <v>10753</v>
      </c>
      <c r="B8166" s="4">
        <v>11692</v>
      </c>
      <c r="D8166" s="5" t="s">
        <v>11130</v>
      </c>
      <c r="E8166" s="6" t="str">
        <f>HYPERLINK("https://inpn.mnhn.fr/espece/cd_nom/11692","Malthinus balteatus Suffrian, 1851")</f>
        <v>Malthinus balteatus Suffrian, 1851</v>
      </c>
      <c r="AH8166" s="4" t="str">
        <f>HYPERLINK("#Statut_biogéographique!A"&amp;_xlfn.XMATCH("P",Statut_biogéographique!A:A,2,1),"P")</f>
        <v>P</v>
      </c>
      <c r="AP8166" s="4" t="s">
        <v>376</v>
      </c>
      <c r="AR8166" s="4" t="s">
        <v>377</v>
      </c>
    </row>
    <row r="8167" spans="1:44" ht="30">
      <c r="A8167" s="4" t="s">
        <v>10753</v>
      </c>
      <c r="B8167" s="4">
        <v>11694</v>
      </c>
      <c r="D8167" s="5" t="s">
        <v>11131</v>
      </c>
      <c r="E8167" s="6" t="str">
        <f>HYPERLINK("https://inpn.mnhn.fr/espece/cd_nom/11694","Malthinus flaveolus (Herbst, 1786)")</f>
        <v>Malthinus flaveolus (Herbst, 1786)</v>
      </c>
      <c r="F8167" s="5" t="s">
        <v>11132</v>
      </c>
      <c r="AH8167" s="4" t="str">
        <f>HYPERLINK("#Statut_biogéographique!A"&amp;_xlfn.XMATCH("P",Statut_biogéographique!A:A,2,1),"P")</f>
        <v>P</v>
      </c>
      <c r="AP8167" s="4" t="s">
        <v>376</v>
      </c>
      <c r="AR8167" s="4" t="s">
        <v>377</v>
      </c>
    </row>
    <row r="8168" spans="1:44">
      <c r="A8168" s="4" t="s">
        <v>10753</v>
      </c>
      <c r="B8168" s="4">
        <v>11695</v>
      </c>
      <c r="D8168" s="5">
        <v>11695</v>
      </c>
      <c r="E8168" s="6" t="str">
        <f>HYPERLINK("https://inpn.mnhn.fr/espece/cd_nom/11695","Malthinus glabellus Kiesenwetter, 1852")</f>
        <v>Malthinus glabellus Kiesenwetter, 1852</v>
      </c>
      <c r="AH8168" s="4" t="str">
        <f>HYPERLINK("#Statut_biogéographique!A"&amp;_xlfn.XMATCH("P",Statut_biogéographique!A:A,2,1),"P")</f>
        <v>P</v>
      </c>
      <c r="AP8168" s="4" t="s">
        <v>376</v>
      </c>
      <c r="AR8168" s="4" t="s">
        <v>377</v>
      </c>
    </row>
    <row r="8169" spans="1:44" ht="30">
      <c r="A8169" s="4" t="s">
        <v>10753</v>
      </c>
      <c r="B8169" s="4">
        <v>11698</v>
      </c>
      <c r="D8169" s="5" t="s">
        <v>11133</v>
      </c>
      <c r="E8169" s="6" t="str">
        <f>HYPERLINK("https://inpn.mnhn.fr/espece/cd_nom/11698","Malthinus seriepunctatus Kiesenwetter, 1851")</f>
        <v>Malthinus seriepunctatus Kiesenwetter, 1851</v>
      </c>
      <c r="AH8169" s="4" t="str">
        <f>HYPERLINK("#Statut_biogéographique!A"&amp;_xlfn.XMATCH("P",Statut_biogéographique!A:A,2,1),"P")</f>
        <v>P</v>
      </c>
      <c r="AP8169" s="4" t="s">
        <v>376</v>
      </c>
      <c r="AR8169" s="4" t="s">
        <v>377</v>
      </c>
    </row>
    <row r="8170" spans="1:44">
      <c r="A8170" s="4" t="s">
        <v>10753</v>
      </c>
      <c r="B8170" s="4">
        <v>11708</v>
      </c>
      <c r="D8170" s="5" t="s">
        <v>11134</v>
      </c>
      <c r="E8170" s="6" t="str">
        <f>HYPERLINK("https://inpn.mnhn.fr/espece/cd_nom/11708","Charopus pallipes (Olivier, 1790)")</f>
        <v>Charopus pallipes (Olivier, 1790)</v>
      </c>
      <c r="AH8170" s="4" t="str">
        <f>HYPERLINK("#Statut_biogéographique!A"&amp;_xlfn.XMATCH("P",Statut_biogéographique!A:A,2,1),"P")</f>
        <v>P</v>
      </c>
      <c r="AP8170" s="4" t="s">
        <v>376</v>
      </c>
      <c r="AR8170" s="4" t="s">
        <v>377</v>
      </c>
    </row>
    <row r="8171" spans="1:44" ht="30">
      <c r="A8171" s="4" t="s">
        <v>10753</v>
      </c>
      <c r="B8171" s="4">
        <v>11726</v>
      </c>
      <c r="D8171" s="5" t="s">
        <v>11135</v>
      </c>
      <c r="E8171" s="6" t="str">
        <f>HYPERLINK("https://inpn.mnhn.fr/espece/cd_nom/11726","Axinotarsus marginalis (Laporte de Castelnau, 1840)")</f>
        <v>Axinotarsus marginalis (Laporte de Castelnau, 1840)</v>
      </c>
      <c r="AH8171" s="4" t="str">
        <f>HYPERLINK("#Statut_biogéographique!A"&amp;_xlfn.XMATCH("P",Statut_biogéographique!A:A,2,1),"P")</f>
        <v>P</v>
      </c>
      <c r="AP8171" s="4" t="s">
        <v>376</v>
      </c>
      <c r="AR8171" s="4" t="s">
        <v>377</v>
      </c>
    </row>
    <row r="8172" spans="1:44">
      <c r="A8172" s="4" t="s">
        <v>10753</v>
      </c>
      <c r="B8172" s="4">
        <v>11727</v>
      </c>
      <c r="D8172" s="5" t="s">
        <v>11136</v>
      </c>
      <c r="E8172" s="6" t="str">
        <f>HYPERLINK("https://inpn.mnhn.fr/espece/cd_nom/11727","Axinotarsus pulicarius (Fabricius, 1777)")</f>
        <v>Axinotarsus pulicarius (Fabricius, 1777)</v>
      </c>
      <c r="F8172" s="5" t="s">
        <v>11137</v>
      </c>
      <c r="AH8172" s="4" t="str">
        <f>HYPERLINK("#Statut_biogéographique!A"&amp;_xlfn.XMATCH("P",Statut_biogéographique!A:A,2,1),"P")</f>
        <v>P</v>
      </c>
      <c r="AP8172" s="4" t="s">
        <v>376</v>
      </c>
      <c r="AR8172" s="4" t="s">
        <v>377</v>
      </c>
    </row>
    <row r="8173" spans="1:44">
      <c r="A8173" s="4" t="s">
        <v>10753</v>
      </c>
      <c r="B8173" s="4">
        <v>11732</v>
      </c>
      <c r="D8173" s="5" t="s">
        <v>11138</v>
      </c>
      <c r="E8173" s="6" t="str">
        <f>HYPERLINK("https://inpn.mnhn.fr/espece/cd_nom/11732","Malachius bipustulatus (Linnaeus, 1758)")</f>
        <v>Malachius bipustulatus (Linnaeus, 1758)</v>
      </c>
      <c r="F8173" s="5" t="s">
        <v>11139</v>
      </c>
      <c r="AH8173" s="4" t="str">
        <f>HYPERLINK("#Statut_biogéographique!A"&amp;_xlfn.XMATCH("P",Statut_biogéographique!A:A,2,1),"P")</f>
        <v>P</v>
      </c>
      <c r="AP8173" s="4" t="s">
        <v>376</v>
      </c>
      <c r="AR8173" s="4" t="s">
        <v>377</v>
      </c>
    </row>
    <row r="8174" spans="1:44">
      <c r="A8174" s="4" t="s">
        <v>10753</v>
      </c>
      <c r="B8174" s="4">
        <v>1174</v>
      </c>
      <c r="D8174" s="5" t="s">
        <v>11140</v>
      </c>
      <c r="E8174" s="6" t="str">
        <f>HYPERLINK("https://inpn.mnhn.fr/espece/cd_nom/1174","Drassodes lapidosus (Walckenaer, 1802)")</f>
        <v>Drassodes lapidosus (Walckenaer, 1802)</v>
      </c>
      <c r="F8174" s="5" t="s">
        <v>11141</v>
      </c>
      <c r="Q8174" s="7" t="str">
        <f>HYPERLINK("#Liste_rouge!A"&amp;_xlfn.XMATCH("LC",Liste_rouge!A:A,2,1),"LC")</f>
        <v>LC</v>
      </c>
      <c r="AH8174" s="4" t="str">
        <f>HYPERLINK("#Statut_biogéographique!A"&amp;_xlfn.XMATCH("P",Statut_biogéographique!A:A,2,1),"P")</f>
        <v>P</v>
      </c>
      <c r="AP8174" s="4" t="s">
        <v>376</v>
      </c>
      <c r="AR8174" s="4" t="s">
        <v>377</v>
      </c>
    </row>
    <row r="8175" spans="1:44" ht="30">
      <c r="A8175" s="4" t="s">
        <v>10753</v>
      </c>
      <c r="B8175" s="4">
        <v>11741</v>
      </c>
      <c r="D8175" s="5" t="s">
        <v>11142</v>
      </c>
      <c r="E8175" s="6" t="str">
        <f>HYPERLINK("https://inpn.mnhn.fr/espece/cd_nom/11741","Dolichosoma lineare (Rossi, 1794)")</f>
        <v>Dolichosoma lineare (Rossi, 1794)</v>
      </c>
      <c r="F8175" s="5" t="s">
        <v>11143</v>
      </c>
      <c r="AH8175" s="4" t="str">
        <f>HYPERLINK("#Statut_biogéographique!A"&amp;_xlfn.XMATCH("P",Statut_biogéographique!A:A,2,1),"P")</f>
        <v>P</v>
      </c>
      <c r="AP8175" s="4" t="s">
        <v>376</v>
      </c>
      <c r="AR8175" s="4" t="s">
        <v>377</v>
      </c>
    </row>
    <row r="8176" spans="1:44">
      <c r="A8176" s="4" t="s">
        <v>10753</v>
      </c>
      <c r="B8176" s="4">
        <v>11744</v>
      </c>
      <c r="D8176" s="5" t="s">
        <v>11144</v>
      </c>
      <c r="E8176" s="6" t="str">
        <f>HYPERLINK("https://inpn.mnhn.fr/espece/cd_nom/11744","Anaglyptus mysticus (Linnaeus, 1758)")</f>
        <v>Anaglyptus mysticus (Linnaeus, 1758)</v>
      </c>
      <c r="F8176" s="5" t="s">
        <v>11145</v>
      </c>
      <c r="P8176" s="7" t="str">
        <f>HYPERLINK("#Liste_rouge!A"&amp;_xlfn.XMATCH("LC",Liste_rouge!A:A,2,1),"LC")</f>
        <v>LC</v>
      </c>
      <c r="AH8176" s="4" t="str">
        <f>HYPERLINK("#Statut_biogéographique!A"&amp;_xlfn.XMATCH("P",Statut_biogéographique!A:A,2,1),"P")</f>
        <v>P</v>
      </c>
      <c r="AP8176" s="4" t="s">
        <v>376</v>
      </c>
      <c r="AR8176" s="4" t="s">
        <v>377</v>
      </c>
    </row>
    <row r="8177" spans="1:44">
      <c r="A8177" s="4" t="s">
        <v>10753</v>
      </c>
      <c r="B8177" s="4">
        <v>11755</v>
      </c>
      <c r="D8177" s="5" t="s">
        <v>11146</v>
      </c>
      <c r="E8177" s="6" t="str">
        <f>HYPERLINK("https://inpn.mnhn.fr/espece/cd_nom/11755","Agapanthia villosoviridescens (De Geer, 1775)")</f>
        <v>Agapanthia villosoviridescens (De Geer, 1775)</v>
      </c>
      <c r="F8177" s="5" t="s">
        <v>11147</v>
      </c>
      <c r="AH8177" s="4" t="str">
        <f>HYPERLINK("#Statut_biogéographique!A"&amp;_xlfn.XMATCH("P",Statut_biogéographique!A:A,2,1),"P")</f>
        <v>P</v>
      </c>
      <c r="AP8177" s="4" t="s">
        <v>376</v>
      </c>
      <c r="AR8177" s="4" t="s">
        <v>377</v>
      </c>
    </row>
    <row r="8178" spans="1:44">
      <c r="A8178" s="4" t="s">
        <v>10753</v>
      </c>
      <c r="B8178" s="4">
        <v>11756</v>
      </c>
      <c r="D8178" s="5" t="s">
        <v>11148</v>
      </c>
      <c r="E8178" s="6" t="str">
        <f>HYPERLINK("https://inpn.mnhn.fr/espece/cd_nom/11756","Agapanthia dahli (Richter, 1820)")</f>
        <v>Agapanthia dahli (Richter, 1820)</v>
      </c>
      <c r="F8178" s="5" t="s">
        <v>11149</v>
      </c>
      <c r="AH8178" s="4" t="str">
        <f>HYPERLINK("#Statut_biogéographique!A"&amp;_xlfn.XMATCH("P",Statut_biogéographique!A:A,2,1),"P")</f>
        <v>P</v>
      </c>
      <c r="AP8178" s="4" t="s">
        <v>376</v>
      </c>
      <c r="AR8178" s="4" t="s">
        <v>377</v>
      </c>
    </row>
    <row r="8179" spans="1:44">
      <c r="A8179" s="4" t="s">
        <v>10753</v>
      </c>
      <c r="B8179" s="4">
        <v>11757</v>
      </c>
      <c r="D8179" s="5" t="s">
        <v>11150</v>
      </c>
      <c r="E8179" s="6" t="str">
        <f>HYPERLINK("https://inpn.mnhn.fr/espece/cd_nom/11757","Agapanthia kirbyi (Gyllenhal, 1817)")</f>
        <v>Agapanthia kirbyi (Gyllenhal, 1817)</v>
      </c>
      <c r="AH8179" s="4" t="str">
        <f>HYPERLINK("#Statut_biogéographique!A"&amp;_xlfn.XMATCH("P",Statut_biogéographique!A:A,2,1),"P")</f>
        <v>P</v>
      </c>
      <c r="AP8179" s="4" t="s">
        <v>376</v>
      </c>
      <c r="AR8179" s="4" t="s">
        <v>377</v>
      </c>
    </row>
    <row r="8180" spans="1:44">
      <c r="A8180" s="4" t="s">
        <v>10753</v>
      </c>
      <c r="B8180" s="4">
        <v>11758</v>
      </c>
      <c r="D8180" s="5" t="s">
        <v>11151</v>
      </c>
      <c r="E8180" s="6" t="str">
        <f>HYPERLINK("https://inpn.mnhn.fr/espece/cd_nom/11758","Agapanthia violacea (Fabricius, 1775)")</f>
        <v>Agapanthia violacea (Fabricius, 1775)</v>
      </c>
      <c r="AH8180" s="4" t="str">
        <f>HYPERLINK("#Statut_biogéographique!A"&amp;_xlfn.XMATCH("P",Statut_biogéographique!A:A,2,1),"P")</f>
        <v>P</v>
      </c>
      <c r="AP8180" s="4" t="s">
        <v>376</v>
      </c>
      <c r="AR8180" s="4" t="s">
        <v>377</v>
      </c>
    </row>
    <row r="8181" spans="1:44">
      <c r="A8181" s="4" t="s">
        <v>10753</v>
      </c>
      <c r="B8181" s="4">
        <v>1176</v>
      </c>
      <c r="D8181" s="5" t="s">
        <v>11152</v>
      </c>
      <c r="E8181" s="6" t="str">
        <f>HYPERLINK("https://inpn.mnhn.fr/espece/cd_nom/1176","Drassodes pubescens (Thorell, 1856)")</f>
        <v>Drassodes pubescens (Thorell, 1856)</v>
      </c>
      <c r="Q8181" s="7" t="str">
        <f>HYPERLINK("#Liste_rouge!A"&amp;_xlfn.XMATCH("LC",Liste_rouge!A:A,2,1),"LC")</f>
        <v>LC</v>
      </c>
      <c r="AH8181" s="4" t="str">
        <f>HYPERLINK("#Statut_biogéographique!A"&amp;_xlfn.XMATCH("P",Statut_biogéographique!A:A,2,1),"P")</f>
        <v>P</v>
      </c>
      <c r="AP8181" s="4" t="s">
        <v>376</v>
      </c>
      <c r="AR8181" s="4" t="s">
        <v>377</v>
      </c>
    </row>
    <row r="8182" spans="1:44">
      <c r="A8182" s="4" t="s">
        <v>10753</v>
      </c>
      <c r="B8182" s="4">
        <v>11761</v>
      </c>
      <c r="D8182" s="5" t="s">
        <v>11153</v>
      </c>
      <c r="E8182" s="6" t="str">
        <f>HYPERLINK("https://inpn.mnhn.fr/espece/cd_nom/11761","Calamobius filum (Rossi, 1790)")</f>
        <v>Calamobius filum (Rossi, 1790)</v>
      </c>
      <c r="F8182" s="5" t="s">
        <v>11154</v>
      </c>
      <c r="AH8182" s="4" t="str">
        <f>HYPERLINK("#Statut_biogéographique!A"&amp;_xlfn.XMATCH("P",Statut_biogéographique!A:A,2,1),"P")</f>
        <v>P</v>
      </c>
      <c r="AP8182" s="4" t="s">
        <v>376</v>
      </c>
      <c r="AR8182" s="4" t="s">
        <v>377</v>
      </c>
    </row>
    <row r="8183" spans="1:44">
      <c r="A8183" s="4" t="s">
        <v>10753</v>
      </c>
      <c r="B8183" s="4">
        <v>11768</v>
      </c>
      <c r="D8183" s="5" t="s">
        <v>11155</v>
      </c>
      <c r="E8183" s="6" t="str">
        <f>HYPERLINK("https://inpn.mnhn.fr/espece/cd_nom/11768","Parmena balteus (Linnaeus, 1767)")</f>
        <v>Parmena balteus (Linnaeus, 1767)</v>
      </c>
      <c r="AH8183" s="4" t="str">
        <f>HYPERLINK("#Statut_biogéographique!A"&amp;_xlfn.XMATCH("S",Statut_biogéographique!A:A,2,1),"S")</f>
        <v>S</v>
      </c>
      <c r="AP8183" s="4" t="s">
        <v>376</v>
      </c>
      <c r="AR8183" s="4" t="s">
        <v>377</v>
      </c>
    </row>
    <row r="8184" spans="1:44">
      <c r="A8184" s="4" t="s">
        <v>10753</v>
      </c>
      <c r="B8184" s="4">
        <v>11775</v>
      </c>
      <c r="D8184" s="5" t="s">
        <v>11156</v>
      </c>
      <c r="E8184" s="6" t="str">
        <f>HYPERLINK("https://inpn.mnhn.fr/espece/cd_nom/11775","Morimus asper (Sulzer, 1776)")</f>
        <v>Morimus asper (Sulzer, 1776)</v>
      </c>
      <c r="F8184" s="5" t="s">
        <v>11157</v>
      </c>
      <c r="AH8184" s="4" t="str">
        <f>HYPERLINK("#Statut_biogéographique!A"&amp;_xlfn.XMATCH("P",Statut_biogéographique!A:A,2,1),"P")</f>
        <v>P</v>
      </c>
      <c r="AP8184" s="4" t="s">
        <v>376</v>
      </c>
      <c r="AR8184" s="4" t="s">
        <v>377</v>
      </c>
    </row>
    <row r="8185" spans="1:44">
      <c r="A8185" s="4" t="s">
        <v>10753</v>
      </c>
      <c r="B8185" s="4">
        <v>11777</v>
      </c>
      <c r="D8185" s="5" t="s">
        <v>11158</v>
      </c>
      <c r="E8185" s="6" t="str">
        <f>HYPERLINK("https://inpn.mnhn.fr/espece/cd_nom/11777","Lamia textor (Linnaeus, 1758)")</f>
        <v>Lamia textor (Linnaeus, 1758)</v>
      </c>
      <c r="F8185" s="5" t="s">
        <v>11159</v>
      </c>
      <c r="AH8185" s="4" t="str">
        <f>HYPERLINK("#Statut_biogéographique!A"&amp;_xlfn.XMATCH("P",Statut_biogéographique!A:A,2,1),"P")</f>
        <v>P</v>
      </c>
      <c r="AP8185" s="4" t="s">
        <v>376</v>
      </c>
      <c r="AR8185" s="4" t="s">
        <v>377</v>
      </c>
    </row>
    <row r="8186" spans="1:44">
      <c r="A8186" s="4" t="s">
        <v>10753</v>
      </c>
      <c r="B8186" s="4">
        <v>11779</v>
      </c>
      <c r="D8186" s="5" t="s">
        <v>11160</v>
      </c>
      <c r="E8186" s="6" t="str">
        <f>HYPERLINK("https://inpn.mnhn.fr/espece/cd_nom/11779","Monochamus galloprovincialis (Olivier, 1795)")</f>
        <v>Monochamus galloprovincialis (Olivier, 1795)</v>
      </c>
      <c r="F8186" s="5" t="s">
        <v>11161</v>
      </c>
      <c r="P8186" s="7" t="str">
        <f>HYPERLINK("#Liste_rouge!A"&amp;_xlfn.XMATCH("LC",Liste_rouge!A:A,2,1),"LC")</f>
        <v>LC</v>
      </c>
      <c r="AH8186" s="4" t="str">
        <f>HYPERLINK("#Statut_biogéographique!A"&amp;_xlfn.XMATCH("P",Statut_biogéographique!A:A,2,1),"P")</f>
        <v>P</v>
      </c>
      <c r="AP8186" s="4" t="s">
        <v>376</v>
      </c>
      <c r="AR8186" s="4" t="s">
        <v>377</v>
      </c>
    </row>
    <row r="8187" spans="1:44">
      <c r="A8187" s="4" t="s">
        <v>10753</v>
      </c>
      <c r="B8187" s="4">
        <v>11780</v>
      </c>
      <c r="D8187" s="5" t="s">
        <v>11162</v>
      </c>
      <c r="E8187" s="6" t="str">
        <f>HYPERLINK("https://inpn.mnhn.fr/espece/cd_nom/11780","Monochamus sartor (Fabricius, 1787)")</f>
        <v>Monochamus sartor (Fabricius, 1787)</v>
      </c>
      <c r="O8187" s="7" t="str">
        <f>HYPERLINK("#Liste_rouge!A"&amp;_xlfn.XMATCH("LC",Liste_rouge!A:A,2,1),"LC")</f>
        <v>LC</v>
      </c>
      <c r="P8187" s="7" t="str">
        <f>HYPERLINK("#Liste_rouge!A"&amp;_xlfn.XMATCH("LC",Liste_rouge!A:A,2,1),"LC")</f>
        <v>LC</v>
      </c>
      <c r="AH8187" s="4" t="str">
        <f>HYPERLINK("#Statut_biogéographique!A"&amp;_xlfn.XMATCH("P",Statut_biogéographique!A:A,2,1),"P")</f>
        <v>P</v>
      </c>
      <c r="AP8187" s="4" t="s">
        <v>376</v>
      </c>
      <c r="AR8187" s="4" t="s">
        <v>377</v>
      </c>
    </row>
    <row r="8188" spans="1:44">
      <c r="A8188" s="4" t="s">
        <v>10753</v>
      </c>
      <c r="B8188" s="4">
        <v>11781</v>
      </c>
      <c r="D8188" s="5" t="s">
        <v>11163</v>
      </c>
      <c r="E8188" s="6" t="str">
        <f>HYPERLINK("https://inpn.mnhn.fr/espece/cd_nom/11781","Monochamus sutor (Linnaeus, 1758)")</f>
        <v>Monochamus sutor (Linnaeus, 1758)</v>
      </c>
      <c r="F8188" s="5" t="s">
        <v>11164</v>
      </c>
      <c r="P8188" s="7" t="str">
        <f>HYPERLINK("#Liste_rouge!A"&amp;_xlfn.XMATCH("LC",Liste_rouge!A:A,2,1),"LC")</f>
        <v>LC</v>
      </c>
      <c r="AH8188" s="4" t="str">
        <f>HYPERLINK("#Statut_biogéographique!A"&amp;_xlfn.XMATCH("P",Statut_biogéographique!A:A,2,1),"P")</f>
        <v>P</v>
      </c>
      <c r="AP8188" s="4" t="s">
        <v>376</v>
      </c>
      <c r="AR8188" s="4" t="s">
        <v>377</v>
      </c>
    </row>
    <row r="8189" spans="1:44">
      <c r="A8189" s="4" t="s">
        <v>10753</v>
      </c>
      <c r="B8189" s="4">
        <v>11785</v>
      </c>
      <c r="D8189" s="5" t="s">
        <v>11165</v>
      </c>
      <c r="E8189" s="6" t="str">
        <f>HYPERLINK("https://inpn.mnhn.fr/espece/cd_nom/11785","Pogonocherus fasciculatus (De Geer, 1775)")</f>
        <v>Pogonocherus fasciculatus (De Geer, 1775)</v>
      </c>
      <c r="AH8189" s="4" t="str">
        <f>HYPERLINK("#Statut_biogéographique!A"&amp;_xlfn.XMATCH("P",Statut_biogéographique!A:A,2,1),"P")</f>
        <v>P</v>
      </c>
      <c r="AP8189" s="4" t="s">
        <v>376</v>
      </c>
      <c r="AR8189" s="4" t="s">
        <v>377</v>
      </c>
    </row>
    <row r="8190" spans="1:44">
      <c r="A8190" s="4" t="s">
        <v>10753</v>
      </c>
      <c r="B8190" s="4">
        <v>1180</v>
      </c>
      <c r="D8190" s="5" t="s">
        <v>11166</v>
      </c>
      <c r="E8190" s="6" t="str">
        <f>HYPERLINK("https://inpn.mnhn.fr/espece/cd_nom/1180","Haplodrassus signifer (C.L. Koch, 1839)")</f>
        <v>Haplodrassus signifer (C.L. Koch, 1839)</v>
      </c>
      <c r="Q8190" s="7" t="str">
        <f>HYPERLINK("#Liste_rouge!A"&amp;_xlfn.XMATCH("LC",Liste_rouge!A:A,2,1),"LC")</f>
        <v>LC</v>
      </c>
      <c r="AH8190" s="4" t="str">
        <f>HYPERLINK("#Statut_biogéographique!A"&amp;_xlfn.XMATCH("P",Statut_biogéographique!A:A,2,1),"P")</f>
        <v>P</v>
      </c>
      <c r="AP8190" s="4" t="s">
        <v>376</v>
      </c>
      <c r="AR8190" s="4" t="s">
        <v>377</v>
      </c>
    </row>
    <row r="8191" spans="1:44" ht="30">
      <c r="A8191" s="4" t="s">
        <v>10753</v>
      </c>
      <c r="B8191" s="4">
        <v>11804</v>
      </c>
      <c r="D8191" s="5" t="s">
        <v>11167</v>
      </c>
      <c r="E8191" s="6" t="str">
        <f>HYPERLINK("https://inpn.mnhn.fr/espece/cd_nom/11804","Otiorhynchus meridionalis Gyllenhal, 1834")</f>
        <v>Otiorhynchus meridionalis Gyllenhal, 1834</v>
      </c>
      <c r="F8191" s="5" t="s">
        <v>11168</v>
      </c>
      <c r="AH8191" s="4" t="str">
        <f>HYPERLINK("#Statut_biogéographique!A"&amp;_xlfn.XMATCH("P",Statut_biogéographique!A:A,2,1),"P")</f>
        <v>P</v>
      </c>
      <c r="AP8191" s="4" t="s">
        <v>376</v>
      </c>
      <c r="AR8191" s="4" t="s">
        <v>377</v>
      </c>
    </row>
    <row r="8192" spans="1:44">
      <c r="A8192" s="4" t="s">
        <v>10753</v>
      </c>
      <c r="B8192" s="4">
        <v>1182</v>
      </c>
      <c r="D8192" s="5" t="s">
        <v>11169</v>
      </c>
      <c r="E8192" s="6" t="str">
        <f>HYPERLINK("https://inpn.mnhn.fr/espece/cd_nom/1182","Haplodrassus silvestris (Blackwall, 1833)")</f>
        <v>Haplodrassus silvestris (Blackwall, 1833)</v>
      </c>
      <c r="Q8192" s="7" t="str">
        <f>HYPERLINK("#Liste_rouge!A"&amp;_xlfn.XMATCH("LC",Liste_rouge!A:A,2,1),"LC")</f>
        <v>LC</v>
      </c>
      <c r="AH8192" s="4" t="str">
        <f>HYPERLINK("#Statut_biogéographique!A"&amp;_xlfn.XMATCH("P",Statut_biogéographique!A:A,2,1),"P")</f>
        <v>P</v>
      </c>
      <c r="AP8192" s="4" t="s">
        <v>376</v>
      </c>
      <c r="AR8192" s="4" t="s">
        <v>377</v>
      </c>
    </row>
    <row r="8193" spans="1:44">
      <c r="A8193" s="4" t="s">
        <v>10753</v>
      </c>
      <c r="B8193" s="4">
        <v>11834</v>
      </c>
      <c r="D8193" s="5" t="s">
        <v>11170</v>
      </c>
      <c r="E8193" s="6" t="str">
        <f>HYPERLINK("https://inpn.mnhn.fr/espece/cd_nom/11834","Dasytes caeruleus (De Geer, 1774)")</f>
        <v>Dasytes caeruleus (De Geer, 1774)</v>
      </c>
      <c r="F8193" s="5" t="s">
        <v>11171</v>
      </c>
      <c r="AH8193" s="4" t="str">
        <f>HYPERLINK("#Statut_biogéographique!A"&amp;_xlfn.XMATCH("P",Statut_biogéographique!A:A,2,1),"P")</f>
        <v>P</v>
      </c>
      <c r="AP8193" s="4" t="s">
        <v>376</v>
      </c>
      <c r="AR8193" s="4" t="s">
        <v>377</v>
      </c>
    </row>
    <row r="8194" spans="1:44">
      <c r="A8194" s="4" t="s">
        <v>10753</v>
      </c>
      <c r="B8194" s="4">
        <v>11837</v>
      </c>
      <c r="D8194" s="5" t="s">
        <v>11172</v>
      </c>
      <c r="E8194" s="6" t="str">
        <f>HYPERLINK("https://inpn.mnhn.fr/espece/cd_nom/11837","Dasytes plumbeus (O.F. Müller, 1776)")</f>
        <v>Dasytes plumbeus (O.F. Müller, 1776)</v>
      </c>
      <c r="AH8194" s="4" t="str">
        <f>HYPERLINK("#Statut_biogéographique!A"&amp;_xlfn.XMATCH("P",Statut_biogéographique!A:A,2,1),"P")</f>
        <v>P</v>
      </c>
      <c r="AP8194" s="4" t="s">
        <v>376</v>
      </c>
      <c r="AR8194" s="4" t="s">
        <v>377</v>
      </c>
    </row>
    <row r="8195" spans="1:44">
      <c r="A8195" s="4" t="s">
        <v>10753</v>
      </c>
      <c r="B8195" s="4">
        <v>11839</v>
      </c>
      <c r="D8195" s="5" t="s">
        <v>11173</v>
      </c>
      <c r="E8195" s="6" t="str">
        <f>HYPERLINK("https://inpn.mnhn.fr/espece/cd_nom/11839","Dasytes subaeneus Schönherr, 1817")</f>
        <v>Dasytes subaeneus Schönherr, 1817</v>
      </c>
      <c r="AH8195" s="4" t="str">
        <f>HYPERLINK("#Statut_biogéographique!A"&amp;_xlfn.XMATCH("P",Statut_biogéographique!A:A,2,1),"P")</f>
        <v>P</v>
      </c>
      <c r="AP8195" s="4" t="s">
        <v>376</v>
      </c>
      <c r="AR8195" s="4" t="s">
        <v>377</v>
      </c>
    </row>
    <row r="8196" spans="1:44">
      <c r="A8196" s="4" t="s">
        <v>10753</v>
      </c>
      <c r="B8196" s="4">
        <v>11853</v>
      </c>
      <c r="D8196" s="5" t="s">
        <v>11174</v>
      </c>
      <c r="E8196" s="6" t="str">
        <f>HYPERLINK("https://inpn.mnhn.fr/espece/cd_nom/11853","Dascillus cervinus (Linnaeus, 1758)")</f>
        <v>Dascillus cervinus (Linnaeus, 1758)</v>
      </c>
      <c r="F8196" s="5" t="s">
        <v>11175</v>
      </c>
      <c r="AH8196" s="4" t="str">
        <f>HYPERLINK("#Statut_biogéographique!A"&amp;_xlfn.XMATCH("P",Statut_biogéographique!A:A,2,1),"P")</f>
        <v>P</v>
      </c>
      <c r="AP8196" s="4" t="s">
        <v>376</v>
      </c>
      <c r="AR8196" s="4" t="s">
        <v>377</v>
      </c>
    </row>
    <row r="8197" spans="1:44" ht="30">
      <c r="A8197" s="4" t="s">
        <v>10753</v>
      </c>
      <c r="B8197" s="4">
        <v>11858</v>
      </c>
      <c r="D8197" s="5" t="s">
        <v>11176</v>
      </c>
      <c r="E8197" s="6" t="str">
        <f>HYPERLINK("https://inpn.mnhn.fr/espece/cd_nom/11858","Tillus elongatus (Linnaeus, 1758)")</f>
        <v>Tillus elongatus (Linnaeus, 1758)</v>
      </c>
      <c r="AH8197" s="4" t="str">
        <f>HYPERLINK("#Statut_biogéographique!A"&amp;_xlfn.XMATCH("P",Statut_biogéographique!A:A,2,1),"P")</f>
        <v>P</v>
      </c>
      <c r="AP8197" s="4" t="s">
        <v>376</v>
      </c>
      <c r="AR8197" s="4" t="s">
        <v>377</v>
      </c>
    </row>
    <row r="8198" spans="1:44" ht="30">
      <c r="A8198" s="4" t="s">
        <v>10753</v>
      </c>
      <c r="B8198" s="4">
        <v>11867</v>
      </c>
      <c r="D8198" s="5" t="s">
        <v>11177</v>
      </c>
      <c r="E8198" s="6" t="str">
        <f>HYPERLINK("https://inpn.mnhn.fr/espece/cd_nom/11867","Thanasimus formicarius (Linnaeus, 1758)")</f>
        <v>Thanasimus formicarius (Linnaeus, 1758)</v>
      </c>
      <c r="F8198" s="5" t="s">
        <v>11178</v>
      </c>
      <c r="AH8198" s="4" t="str">
        <f>HYPERLINK("#Statut_biogéographique!A"&amp;_xlfn.XMATCH("P",Statut_biogéographique!A:A,2,1),"P")</f>
        <v>P</v>
      </c>
      <c r="AP8198" s="4" t="s">
        <v>376</v>
      </c>
      <c r="AR8198" s="4" t="s">
        <v>377</v>
      </c>
    </row>
    <row r="8199" spans="1:44" ht="30">
      <c r="A8199" s="4" t="s">
        <v>10753</v>
      </c>
      <c r="B8199" s="4">
        <v>11870</v>
      </c>
      <c r="D8199" s="5" t="s">
        <v>11179</v>
      </c>
      <c r="E8199" s="6" t="str">
        <f>HYPERLINK("https://inpn.mnhn.fr/espece/cd_nom/11870","Trichodes alvearius (Fabricius, 1792)")</f>
        <v>Trichodes alvearius (Fabricius, 1792)</v>
      </c>
      <c r="F8199" s="5" t="s">
        <v>11180</v>
      </c>
      <c r="AH8199" s="4" t="str">
        <f>HYPERLINK("#Statut_biogéographique!A"&amp;_xlfn.XMATCH("P",Statut_biogéographique!A:A,2,1),"P")</f>
        <v>P</v>
      </c>
      <c r="AP8199" s="4" t="s">
        <v>376</v>
      </c>
      <c r="AR8199" s="4" t="s">
        <v>377</v>
      </c>
    </row>
    <row r="8200" spans="1:44" ht="45">
      <c r="A8200" s="4" t="s">
        <v>10753</v>
      </c>
      <c r="B8200" s="4">
        <v>11871</v>
      </c>
      <c r="D8200" s="5" t="s">
        <v>11181</v>
      </c>
      <c r="E8200" s="6" t="str">
        <f>HYPERLINK("https://inpn.mnhn.fr/espece/cd_nom/11871","Trichodes apiarius (Linnaeus, 1758)")</f>
        <v>Trichodes apiarius (Linnaeus, 1758)</v>
      </c>
      <c r="F8200" s="5" t="s">
        <v>11182</v>
      </c>
      <c r="AH8200" s="4" t="str">
        <f>HYPERLINK("#Statut_biogéographique!A"&amp;_xlfn.XMATCH("P",Statut_biogéographique!A:A,2,1),"P")</f>
        <v>P</v>
      </c>
      <c r="AP8200" s="4" t="s">
        <v>376</v>
      </c>
      <c r="AR8200" s="4" t="s">
        <v>377</v>
      </c>
    </row>
    <row r="8201" spans="1:44">
      <c r="A8201" s="4" t="s">
        <v>10753</v>
      </c>
      <c r="B8201" s="4">
        <v>11877</v>
      </c>
      <c r="D8201" s="5" t="s">
        <v>11183</v>
      </c>
      <c r="E8201" s="6" t="str">
        <f>HYPERLINK("https://inpn.mnhn.fr/espece/cd_nom/11877","Necrobia ruficollis (Fabricius, 1775)")</f>
        <v>Necrobia ruficollis (Fabricius, 1775)</v>
      </c>
      <c r="F8201" s="5" t="s">
        <v>11184</v>
      </c>
      <c r="AH8201" s="4" t="str">
        <f>HYPERLINK("#Statut_biogéographique!A"&amp;_xlfn.XMATCH("P",Statut_biogéographique!A:A,2,1),"P")</f>
        <v>P</v>
      </c>
      <c r="AP8201" s="4" t="s">
        <v>376</v>
      </c>
      <c r="AR8201" s="4" t="s">
        <v>377</v>
      </c>
    </row>
    <row r="8202" spans="1:44" ht="30">
      <c r="A8202" s="4" t="s">
        <v>10753</v>
      </c>
      <c r="B8202" s="4">
        <v>11879</v>
      </c>
      <c r="D8202" s="5" t="s">
        <v>11185</v>
      </c>
      <c r="E8202" s="6" t="str">
        <f>HYPERLINK("https://inpn.mnhn.fr/espece/cd_nom/11879","Necrobia violacea (Linnaeus, 1758)")</f>
        <v>Necrobia violacea (Linnaeus, 1758)</v>
      </c>
      <c r="F8202" s="5" t="s">
        <v>11186</v>
      </c>
      <c r="AH8202" s="4" t="str">
        <f>HYPERLINK("#Statut_biogéographique!A"&amp;_xlfn.XMATCH("P",Statut_biogéographique!A:A,2,1),"P")</f>
        <v>P</v>
      </c>
      <c r="AP8202" s="4" t="s">
        <v>376</v>
      </c>
      <c r="AR8202" s="4" t="s">
        <v>377</v>
      </c>
    </row>
    <row r="8203" spans="1:44">
      <c r="A8203" s="4" t="s">
        <v>10753</v>
      </c>
      <c r="B8203" s="4">
        <v>11903</v>
      </c>
      <c r="D8203" s="5" t="s">
        <v>11187</v>
      </c>
      <c r="E8203" s="6" t="str">
        <f>HYPERLINK("https://inpn.mnhn.fr/espece/cd_nom/11903","Dryophilus pusillus (Gyllenhal, 1808)")</f>
        <v>Dryophilus pusillus (Gyllenhal, 1808)</v>
      </c>
      <c r="AH8203" s="4" t="str">
        <f>HYPERLINK("#Statut_biogéographique!A"&amp;_xlfn.XMATCH("P",Statut_biogéographique!A:A,2,1),"P")</f>
        <v>P</v>
      </c>
      <c r="AP8203" s="4" t="s">
        <v>376</v>
      </c>
      <c r="AR8203" s="4" t="s">
        <v>377</v>
      </c>
    </row>
    <row r="8204" spans="1:44" ht="30">
      <c r="A8204" s="4" t="s">
        <v>10753</v>
      </c>
      <c r="B8204" s="4">
        <v>11909</v>
      </c>
      <c r="D8204" s="5" t="s">
        <v>11188</v>
      </c>
      <c r="E8204" s="6" t="str">
        <f>HYPERLINK("https://inpn.mnhn.fr/espece/cd_nom/11909","Ernobius mollis (Linnaeus, 1758)")</f>
        <v>Ernobius mollis (Linnaeus, 1758)</v>
      </c>
      <c r="AH8204" s="4" t="str">
        <f>HYPERLINK("#Statut_biogéographique!A"&amp;_xlfn.XMATCH("P",Statut_biogéographique!A:A,2,1),"P")</f>
        <v>P</v>
      </c>
      <c r="AP8204" s="4" t="s">
        <v>376</v>
      </c>
      <c r="AR8204" s="4" t="s">
        <v>377</v>
      </c>
    </row>
    <row r="8205" spans="1:44" ht="45">
      <c r="A8205" s="4" t="s">
        <v>10753</v>
      </c>
      <c r="B8205" s="4">
        <v>11910</v>
      </c>
      <c r="D8205" s="5" t="s">
        <v>11189</v>
      </c>
      <c r="E8205" s="6" t="str">
        <f>HYPERLINK("https://inpn.mnhn.fr/espece/cd_nom/11910","Ernobius nigrinus (Sturm, 1837)")</f>
        <v>Ernobius nigrinus (Sturm, 1837)</v>
      </c>
      <c r="AH8205" s="4" t="str">
        <f>HYPERLINK("#Statut_biogéographique!A"&amp;_xlfn.XMATCH("P",Statut_biogéographique!A:A,2,1),"P")</f>
        <v>P</v>
      </c>
      <c r="AP8205" s="4" t="s">
        <v>376</v>
      </c>
      <c r="AR8205" s="4" t="s">
        <v>377</v>
      </c>
    </row>
    <row r="8206" spans="1:44" ht="45">
      <c r="A8206" s="4" t="s">
        <v>10753</v>
      </c>
      <c r="B8206" s="4">
        <v>11916</v>
      </c>
      <c r="D8206" s="5" t="s">
        <v>11190</v>
      </c>
      <c r="E8206" s="6" t="str">
        <f>HYPERLINK("https://inpn.mnhn.fr/espece/cd_nom/11916","Anobium punctatum (De Geer, 1774)")</f>
        <v>Anobium punctatum (De Geer, 1774)</v>
      </c>
      <c r="F8206" s="5" t="s">
        <v>11191</v>
      </c>
      <c r="AH8206" s="4" t="str">
        <f>HYPERLINK("#Statut_biogéographique!A"&amp;_xlfn.XMATCH("P",Statut_biogéographique!A:A,2,1),"P")</f>
        <v>P</v>
      </c>
      <c r="AP8206" s="4" t="s">
        <v>376</v>
      </c>
      <c r="AR8206" s="4" t="s">
        <v>377</v>
      </c>
    </row>
    <row r="8207" spans="1:44">
      <c r="A8207" s="4" t="s">
        <v>10753</v>
      </c>
      <c r="B8207" s="4">
        <v>11919</v>
      </c>
      <c r="D8207" s="5" t="s">
        <v>11192</v>
      </c>
      <c r="E8207" s="6" t="str">
        <f>HYPERLINK("https://inpn.mnhn.fr/espece/cd_nom/11919","Oligomerus brunneus (Olivier, 1790)")</f>
        <v>Oligomerus brunneus (Olivier, 1790)</v>
      </c>
      <c r="AH8207" s="4" t="str">
        <f>HYPERLINK("#Statut_biogéographique!A"&amp;_xlfn.XMATCH("P",Statut_biogéographique!A:A,2,1),"P")</f>
        <v>P</v>
      </c>
      <c r="AP8207" s="4" t="s">
        <v>376</v>
      </c>
      <c r="AR8207" s="4" t="s">
        <v>377</v>
      </c>
    </row>
    <row r="8208" spans="1:44">
      <c r="A8208" s="4" t="s">
        <v>10753</v>
      </c>
      <c r="B8208" s="4">
        <v>11920</v>
      </c>
      <c r="D8208" s="5" t="s">
        <v>11193</v>
      </c>
      <c r="E8208" s="6" t="str">
        <f>HYPERLINK("https://inpn.mnhn.fr/espece/cd_nom/11920","Oligomerus ptilinoides (Wollaston, 1854)")</f>
        <v>Oligomerus ptilinoides (Wollaston, 1854)</v>
      </c>
      <c r="AH8208" s="4" t="str">
        <f>HYPERLINK("#Statut_biogéographique!A"&amp;_xlfn.XMATCH("P",Statut_biogéographique!A:A,2,1),"P")</f>
        <v>P</v>
      </c>
      <c r="AP8208" s="4" t="s">
        <v>376</v>
      </c>
      <c r="AR8208" s="4" t="s">
        <v>377</v>
      </c>
    </row>
    <row r="8209" spans="1:44" ht="30">
      <c r="A8209" s="4" t="s">
        <v>10753</v>
      </c>
      <c r="B8209" s="4">
        <v>11922</v>
      </c>
      <c r="D8209" s="5" t="s">
        <v>11194</v>
      </c>
      <c r="E8209" s="6" t="str">
        <f>HYPERLINK("https://inpn.mnhn.fr/espece/cd_nom/11922","Ptilinus pectinicornis (Linnaeus, 1758)")</f>
        <v>Ptilinus pectinicornis (Linnaeus, 1758)</v>
      </c>
      <c r="AH8209" s="4" t="str">
        <f>HYPERLINK("#Statut_biogéographique!A"&amp;_xlfn.XMATCH("P",Statut_biogéographique!A:A,2,1),"P")</f>
        <v>P</v>
      </c>
      <c r="AP8209" s="4" t="s">
        <v>376</v>
      </c>
      <c r="AR8209" s="4" t="s">
        <v>377</v>
      </c>
    </row>
    <row r="8210" spans="1:44" ht="30">
      <c r="A8210" s="4" t="s">
        <v>10753</v>
      </c>
      <c r="B8210" s="4">
        <v>11924</v>
      </c>
      <c r="D8210" s="5" t="s">
        <v>11195</v>
      </c>
      <c r="E8210" s="6" t="str">
        <f>HYPERLINK("https://inpn.mnhn.fr/espece/cd_nom/11924","Xyletinus ater (Creutzer in Panzer, 1796)")</f>
        <v>Xyletinus ater (Creutzer in Panzer, 1796)</v>
      </c>
      <c r="AH8210" s="4" t="str">
        <f>HYPERLINK("#Statut_biogéographique!A"&amp;_xlfn.XMATCH("P",Statut_biogéographique!A:A,2,1),"P")</f>
        <v>P</v>
      </c>
      <c r="AP8210" s="4" t="s">
        <v>376</v>
      </c>
      <c r="AR8210" s="4" t="s">
        <v>377</v>
      </c>
    </row>
    <row r="8211" spans="1:44" ht="30">
      <c r="A8211" s="4" t="s">
        <v>10753</v>
      </c>
      <c r="B8211" s="4">
        <v>11927</v>
      </c>
      <c r="D8211" s="5" t="s">
        <v>11196</v>
      </c>
      <c r="E8211" s="6" t="str">
        <f>HYPERLINK("https://inpn.mnhn.fr/espece/cd_nom/11927","Xyletinus laticollis (Duftschmid, 1825)")</f>
        <v>Xyletinus laticollis (Duftschmid, 1825)</v>
      </c>
      <c r="AH8211" s="4" t="str">
        <f>HYPERLINK("#Statut_biogéographique!A"&amp;_xlfn.XMATCH("P",Statut_biogéographique!A:A,2,1),"P")</f>
        <v>P</v>
      </c>
      <c r="AP8211" s="4" t="s">
        <v>376</v>
      </c>
      <c r="AR8211" s="4" t="s">
        <v>377</v>
      </c>
    </row>
    <row r="8212" spans="1:44">
      <c r="A8212" s="4" t="s">
        <v>10753</v>
      </c>
      <c r="B8212" s="4">
        <v>11936</v>
      </c>
      <c r="D8212" s="5">
        <v>11936</v>
      </c>
      <c r="E8212" s="6" t="str">
        <f>HYPERLINK("https://inpn.mnhn.fr/espece/cd_nom/11936","Dorcatoma setosella Mulsant &amp; Rey, 1864")</f>
        <v>Dorcatoma setosella Mulsant &amp; Rey, 1864</v>
      </c>
      <c r="AH8212" s="4" t="str">
        <f>HYPERLINK("#Statut_biogéographique!A"&amp;_xlfn.XMATCH("P",Statut_biogéographique!A:A,2,1),"P")</f>
        <v>P</v>
      </c>
      <c r="AP8212" s="4" t="s">
        <v>376</v>
      </c>
      <c r="AR8212" s="4" t="s">
        <v>377</v>
      </c>
    </row>
    <row r="8213" spans="1:44">
      <c r="A8213" s="4" t="s">
        <v>10753</v>
      </c>
      <c r="B8213" s="4">
        <v>11965</v>
      </c>
      <c r="D8213" s="5" t="s">
        <v>11197</v>
      </c>
      <c r="E8213" s="6" t="str">
        <f>HYPERLINK("https://inpn.mnhn.fr/espece/cd_nom/11965","Asida sabulosa (Fuessly, 1775)")</f>
        <v>Asida sabulosa (Fuessly, 1775)</v>
      </c>
      <c r="F8213" s="5" t="s">
        <v>11198</v>
      </c>
      <c r="AH8213" s="4" t="str">
        <f>HYPERLINK("#Statut_biogéographique!A"&amp;_xlfn.XMATCH("P",Statut_biogéographique!A:A,2,1),"P")</f>
        <v>P</v>
      </c>
      <c r="AP8213" s="4" t="s">
        <v>376</v>
      </c>
      <c r="AR8213" s="4" t="s">
        <v>377</v>
      </c>
    </row>
    <row r="8214" spans="1:44">
      <c r="A8214" s="4" t="s">
        <v>10753</v>
      </c>
      <c r="B8214" s="4">
        <v>11980</v>
      </c>
      <c r="D8214" s="5">
        <v>11980</v>
      </c>
      <c r="E8214" s="6" t="str">
        <f>HYPERLINK("https://inpn.mnhn.fr/espece/cd_nom/11980","Blaps mucronata Latreille, 1804")</f>
        <v>Blaps mucronata Latreille, 1804</v>
      </c>
      <c r="F8214" s="5" t="s">
        <v>11199</v>
      </c>
      <c r="AH8214" s="4" t="str">
        <f>HYPERLINK("#Statut_biogéographique!A"&amp;_xlfn.XMATCH("P",Statut_biogéographique!A:A,2,1),"P")</f>
        <v>P</v>
      </c>
      <c r="AP8214" s="4" t="s">
        <v>376</v>
      </c>
      <c r="AR8214" s="4" t="s">
        <v>377</v>
      </c>
    </row>
    <row r="8215" spans="1:44">
      <c r="A8215" s="4" t="s">
        <v>10753</v>
      </c>
      <c r="B8215" s="4">
        <v>11985</v>
      </c>
      <c r="D8215" s="5" t="s">
        <v>11200</v>
      </c>
      <c r="E8215" s="6" t="str">
        <f>HYPERLINK("https://inpn.mnhn.fr/espece/cd_nom/11985","Opatrum sabulosum (Linnaeus, 1758)")</f>
        <v>Opatrum sabulosum (Linnaeus, 1758)</v>
      </c>
      <c r="F8215" s="5" t="s">
        <v>11201</v>
      </c>
      <c r="AH8215" s="4" t="str">
        <f>HYPERLINK("#Statut_biogéographique!A"&amp;_xlfn.XMATCH("P",Statut_biogéographique!A:A,2,1),"P")</f>
        <v>P</v>
      </c>
      <c r="AP8215" s="4" t="s">
        <v>376</v>
      </c>
      <c r="AR8215" s="4" t="s">
        <v>377</v>
      </c>
    </row>
    <row r="8216" spans="1:44">
      <c r="A8216" s="4" t="s">
        <v>10753</v>
      </c>
      <c r="B8216" s="4">
        <v>1199</v>
      </c>
      <c r="D8216" s="5" t="s">
        <v>11202</v>
      </c>
      <c r="E8216" s="6" t="str">
        <f>HYPERLINK("https://inpn.mnhn.fr/espece/cd_nom/1199","Zelotes subterraneus (C.L. Koch, 1833)")</f>
        <v>Zelotes subterraneus (C.L. Koch, 1833)</v>
      </c>
      <c r="Q8216" s="7" t="str">
        <f>HYPERLINK("#Liste_rouge!A"&amp;_xlfn.XMATCH("LC",Liste_rouge!A:A,2,1),"LC")</f>
        <v>LC</v>
      </c>
      <c r="AH8216" s="4" t="str">
        <f>HYPERLINK("#Statut_biogéographique!A"&amp;_xlfn.XMATCH("P",Statut_biogéographique!A:A,2,1),"P")</f>
        <v>P</v>
      </c>
      <c r="AP8216" s="4" t="s">
        <v>376</v>
      </c>
      <c r="AR8216" s="4" t="s">
        <v>377</v>
      </c>
    </row>
    <row r="8217" spans="1:44">
      <c r="A8217" s="4" t="s">
        <v>10753</v>
      </c>
      <c r="B8217" s="4">
        <v>12008</v>
      </c>
      <c r="D8217" s="5" t="s">
        <v>11203</v>
      </c>
      <c r="E8217" s="6" t="str">
        <f>HYPERLINK("https://inpn.mnhn.fr/espece/cd_nom/12008","Diaperis boleti (Linnaeus, 1758)")</f>
        <v>Diaperis boleti (Linnaeus, 1758)</v>
      </c>
      <c r="F8217" s="5" t="s">
        <v>11204</v>
      </c>
      <c r="P8217" s="7" t="str">
        <f>HYPERLINK("#Liste_rouge!A"&amp;_xlfn.XMATCH("LC",Liste_rouge!A:A,2,1),"LC")</f>
        <v>LC</v>
      </c>
      <c r="AH8217" s="4" t="str">
        <f>HYPERLINK("#Statut_biogéographique!A"&amp;_xlfn.XMATCH("P",Statut_biogéographique!A:A,2,1),"P")</f>
        <v>P</v>
      </c>
      <c r="AP8217" s="4" t="s">
        <v>376</v>
      </c>
      <c r="AR8217" s="4" t="s">
        <v>377</v>
      </c>
    </row>
    <row r="8218" spans="1:44">
      <c r="A8218" s="4" t="s">
        <v>10753</v>
      </c>
      <c r="B8218" s="4">
        <v>1202</v>
      </c>
      <c r="D8218" s="5" t="s">
        <v>11205</v>
      </c>
      <c r="E8218" s="6" t="str">
        <f>HYPERLINK("https://inpn.mnhn.fr/espece/cd_nom/1202","Zelotes apricorum (L. Koch, 1876)")</f>
        <v>Zelotes apricorum (L. Koch, 1876)</v>
      </c>
      <c r="Q8218" s="7" t="str">
        <f>HYPERLINK("#Liste_rouge!A"&amp;_xlfn.XMATCH("LC",Liste_rouge!A:A,2,1),"LC")</f>
        <v>LC</v>
      </c>
      <c r="AH8218" s="4" t="str">
        <f>HYPERLINK("#Statut_biogéographique!A"&amp;_xlfn.XMATCH("P",Statut_biogéographique!A:A,2,1),"P")</f>
        <v>P</v>
      </c>
      <c r="AP8218" s="4" t="s">
        <v>376</v>
      </c>
      <c r="AR8218" s="4" t="s">
        <v>377</v>
      </c>
    </row>
    <row r="8219" spans="1:44">
      <c r="A8219" s="4" t="s">
        <v>10753</v>
      </c>
      <c r="B8219" s="4">
        <v>1204</v>
      </c>
      <c r="D8219" s="5" t="s">
        <v>11206</v>
      </c>
      <c r="E8219" s="6" t="str">
        <f>HYPERLINK("https://inpn.mnhn.fr/espece/cd_nom/1204","Zelotes latreillei (Simon, 1878)")</f>
        <v>Zelotes latreillei (Simon, 1878)</v>
      </c>
      <c r="F8219" s="5" t="s">
        <v>11207</v>
      </c>
      <c r="Q8219" s="7" t="str">
        <f>HYPERLINK("#Liste_rouge!A"&amp;_xlfn.XMATCH("LC",Liste_rouge!A:A,2,1),"LC")</f>
        <v>LC</v>
      </c>
      <c r="AH8219" s="4" t="str">
        <f>HYPERLINK("#Statut_biogéographique!A"&amp;_xlfn.XMATCH("P",Statut_biogéographique!A:A,2,1),"P")</f>
        <v>P</v>
      </c>
      <c r="AP8219" s="4" t="s">
        <v>376</v>
      </c>
      <c r="AR8219" s="4" t="s">
        <v>377</v>
      </c>
    </row>
    <row r="8220" spans="1:44">
      <c r="A8220" s="4" t="s">
        <v>10753</v>
      </c>
      <c r="B8220" s="4">
        <v>12040</v>
      </c>
      <c r="D8220" s="5" t="s">
        <v>11208</v>
      </c>
      <c r="E8220" s="6" t="str">
        <f>HYPERLINK("https://inpn.mnhn.fr/espece/cd_nom/12040","Prionychus ater (Fabricius, 1775)")</f>
        <v>Prionychus ater (Fabricius, 1775)</v>
      </c>
      <c r="P8220" s="7" t="str">
        <f>HYPERLINK("#Liste_rouge!A"&amp;_xlfn.XMATCH("LC",Liste_rouge!A:A,2,1),"LC")</f>
        <v>LC</v>
      </c>
      <c r="AH8220" s="4" t="str">
        <f>HYPERLINK("#Statut_biogéographique!A"&amp;_xlfn.XMATCH("P",Statut_biogéographique!A:A,2,1),"P")</f>
        <v>P</v>
      </c>
      <c r="AP8220" s="4" t="s">
        <v>376</v>
      </c>
      <c r="AR8220" s="4" t="s">
        <v>377</v>
      </c>
    </row>
    <row r="8221" spans="1:44">
      <c r="A8221" s="4" t="s">
        <v>10753</v>
      </c>
      <c r="B8221" s="4">
        <v>12042</v>
      </c>
      <c r="D8221" s="5" t="s">
        <v>11209</v>
      </c>
      <c r="E8221" s="6" t="str">
        <f>HYPERLINK("https://inpn.mnhn.fr/espece/cd_nom/12042","Hymenalia rufipes (Fabricius, 1792)")</f>
        <v>Hymenalia rufipes (Fabricius, 1792)</v>
      </c>
      <c r="F8221" s="5" t="s">
        <v>11210</v>
      </c>
      <c r="P8221" s="7" t="str">
        <f>HYPERLINK("#Liste_rouge!A"&amp;_xlfn.XMATCH("LC",Liste_rouge!A:A,2,1),"LC")</f>
        <v>LC</v>
      </c>
      <c r="AH8221" s="4" t="str">
        <f>HYPERLINK("#Statut_biogéographique!A"&amp;_xlfn.XMATCH("P",Statut_biogéographique!A:A,2,1),"P")</f>
        <v>P</v>
      </c>
      <c r="AP8221" s="4" t="s">
        <v>376</v>
      </c>
      <c r="AR8221" s="4" t="s">
        <v>377</v>
      </c>
    </row>
    <row r="8222" spans="1:44">
      <c r="A8222" s="4" t="s">
        <v>10753</v>
      </c>
      <c r="B8222" s="4">
        <v>12044</v>
      </c>
      <c r="D8222" s="5" t="s">
        <v>11211</v>
      </c>
      <c r="E8222" s="6" t="str">
        <f>HYPERLINK("https://inpn.mnhn.fr/espece/cd_nom/12044","Pseudocistela ceramboides (Linnaeus, 1758)")</f>
        <v>Pseudocistela ceramboides (Linnaeus, 1758)</v>
      </c>
      <c r="F8222" s="5" t="s">
        <v>11212</v>
      </c>
      <c r="P8222" s="7" t="str">
        <f>HYPERLINK("#Liste_rouge!A"&amp;_xlfn.XMATCH("LC",Liste_rouge!A:A,2,1),"LC")</f>
        <v>LC</v>
      </c>
      <c r="AH8222" s="4" t="str">
        <f>HYPERLINK("#Statut_biogéographique!A"&amp;_xlfn.XMATCH("P",Statut_biogéographique!A:A,2,1),"P")</f>
        <v>P</v>
      </c>
      <c r="AP8222" s="4" t="s">
        <v>376</v>
      </c>
      <c r="AR8222" s="4" t="s">
        <v>377</v>
      </c>
    </row>
    <row r="8223" spans="1:44">
      <c r="A8223" s="4" t="s">
        <v>10753</v>
      </c>
      <c r="B8223" s="4">
        <v>12046</v>
      </c>
      <c r="D8223" s="5" t="s">
        <v>11213</v>
      </c>
      <c r="E8223" s="6" t="str">
        <f>HYPERLINK("https://inpn.mnhn.fr/espece/cd_nom/12046","Gonodera luperus (Herbst, 1783)")</f>
        <v>Gonodera luperus (Herbst, 1783)</v>
      </c>
      <c r="AH8223" s="4" t="str">
        <f>HYPERLINK("#Statut_biogéographique!A"&amp;_xlfn.XMATCH("P",Statut_biogéographique!A:A,2,1),"P")</f>
        <v>P</v>
      </c>
      <c r="AP8223" s="4" t="s">
        <v>376</v>
      </c>
      <c r="AR8223" s="4" t="s">
        <v>377</v>
      </c>
    </row>
    <row r="8224" spans="1:44">
      <c r="A8224" s="4" t="s">
        <v>10753</v>
      </c>
      <c r="B8224" s="4">
        <v>12049</v>
      </c>
      <c r="D8224" s="5" t="s">
        <v>11214</v>
      </c>
      <c r="E8224" s="6" t="str">
        <f>HYPERLINK("https://inpn.mnhn.fr/espece/cd_nom/12049","Isomira murina (Linnaeus, 1758)")</f>
        <v>Isomira murina (Linnaeus, 1758)</v>
      </c>
      <c r="AH8224" s="4" t="str">
        <f>HYPERLINK("#Statut_biogéographique!A"&amp;_xlfn.XMATCH("P",Statut_biogéographique!A:A,2,1),"P")</f>
        <v>P</v>
      </c>
      <c r="AP8224" s="4" t="s">
        <v>376</v>
      </c>
      <c r="AR8224" s="4" t="s">
        <v>377</v>
      </c>
    </row>
    <row r="8225" spans="1:44">
      <c r="A8225" s="4" t="s">
        <v>10753</v>
      </c>
      <c r="B8225" s="4">
        <v>12056</v>
      </c>
      <c r="D8225" s="5" t="s">
        <v>11215</v>
      </c>
      <c r="E8225" s="6" t="str">
        <f>HYPERLINK("https://inpn.mnhn.fr/espece/cd_nom/12056","Omophlus lepturoides (Fabricius, 1787)")</f>
        <v>Omophlus lepturoides (Fabricius, 1787)</v>
      </c>
      <c r="F8225" s="5" t="s">
        <v>11216</v>
      </c>
      <c r="AH8225" s="4" t="str">
        <f>HYPERLINK("#Statut_biogéographique!A"&amp;_xlfn.XMATCH("P",Statut_biogéographique!A:A,2,1),"P")</f>
        <v>P</v>
      </c>
      <c r="AP8225" s="4" t="s">
        <v>376</v>
      </c>
      <c r="AR8225" s="4" t="s">
        <v>377</v>
      </c>
    </row>
    <row r="8226" spans="1:44" ht="45">
      <c r="A8226" s="4" t="s">
        <v>10753</v>
      </c>
      <c r="B8226" s="4">
        <v>12064</v>
      </c>
      <c r="D8226" s="5" t="s">
        <v>11217</v>
      </c>
      <c r="E8226" s="6" t="str">
        <f>HYPERLINK("https://inpn.mnhn.fr/espece/cd_nom/12064","Abdera biflexuosa (Curtis, 1829)")</f>
        <v>Abdera biflexuosa (Curtis, 1829)</v>
      </c>
      <c r="AH8226" s="4" t="str">
        <f>HYPERLINK("#Statut_biogéographique!A"&amp;_xlfn.XMATCH("P",Statut_biogéographique!A:A,2,1),"P")</f>
        <v>P</v>
      </c>
      <c r="AP8226" s="4" t="s">
        <v>376</v>
      </c>
      <c r="AR8226" s="4" t="s">
        <v>377</v>
      </c>
    </row>
    <row r="8227" spans="1:44">
      <c r="A8227" s="4" t="s">
        <v>10753</v>
      </c>
      <c r="B8227" s="4">
        <v>12066</v>
      </c>
      <c r="D8227" s="5" t="s">
        <v>11218</v>
      </c>
      <c r="E8227" s="6" t="str">
        <f>HYPERLINK("https://inpn.mnhn.fr/espece/cd_nom/12066","Marolia variegata (Bosc, 1791)")</f>
        <v>Marolia variegata (Bosc, 1791)</v>
      </c>
      <c r="AH8227" s="4" t="str">
        <f>HYPERLINK("#Statut_biogéographique!A"&amp;_xlfn.XMATCH("P",Statut_biogéographique!A:A,2,1),"P")</f>
        <v>P</v>
      </c>
      <c r="AP8227" s="4" t="s">
        <v>376</v>
      </c>
      <c r="AR8227" s="4" t="s">
        <v>377</v>
      </c>
    </row>
    <row r="8228" spans="1:44">
      <c r="A8228" s="4" t="s">
        <v>10753</v>
      </c>
      <c r="B8228" s="4">
        <v>1207</v>
      </c>
      <c r="D8228" s="5" t="s">
        <v>11219</v>
      </c>
      <c r="E8228" s="6" t="str">
        <f>HYPERLINK("https://inpn.mnhn.fr/espece/cd_nom/1207","Zelotes petrensis (C.L. Koch, 1839)")</f>
        <v>Zelotes petrensis (C.L. Koch, 1839)</v>
      </c>
      <c r="Q8228" s="7" t="str">
        <f>HYPERLINK("#Liste_rouge!A"&amp;_xlfn.XMATCH("LC",Liste_rouge!A:A,2,1),"LC")</f>
        <v>LC</v>
      </c>
      <c r="AH8228" s="4" t="str">
        <f>HYPERLINK("#Statut_biogéographique!A"&amp;_xlfn.XMATCH("P",Statut_biogéographique!A:A,2,1),"P")</f>
        <v>P</v>
      </c>
      <c r="AP8228" s="4" t="s">
        <v>376</v>
      </c>
      <c r="AR8228" s="4" t="s">
        <v>377</v>
      </c>
    </row>
    <row r="8229" spans="1:44">
      <c r="A8229" s="4" t="s">
        <v>10753</v>
      </c>
      <c r="B8229" s="4">
        <v>12070</v>
      </c>
      <c r="D8229" s="5" t="s">
        <v>11220</v>
      </c>
      <c r="E8229" s="6" t="str">
        <f>HYPERLINK("https://inpn.mnhn.fr/espece/cd_nom/12070","Conopalpus brevicollis Kraatz, 1855")</f>
        <v>Conopalpus brevicollis Kraatz, 1855</v>
      </c>
      <c r="AH8229" s="4" t="str">
        <f>HYPERLINK("#Statut_biogéographique!A"&amp;_xlfn.XMATCH("P",Statut_biogéographique!A:A,2,1),"P")</f>
        <v>P</v>
      </c>
      <c r="AP8229" s="4" t="s">
        <v>376</v>
      </c>
      <c r="AR8229" s="4" t="s">
        <v>377</v>
      </c>
    </row>
    <row r="8230" spans="1:44" ht="30">
      <c r="A8230" s="4" t="s">
        <v>10753</v>
      </c>
      <c r="B8230" s="4">
        <v>12071</v>
      </c>
      <c r="D8230" s="5" t="s">
        <v>11221</v>
      </c>
      <c r="E8230" s="6" t="str">
        <f>HYPERLINK("https://inpn.mnhn.fr/espece/cd_nom/12071","Conopalpus testaceus (Olivier, 1790)")</f>
        <v>Conopalpus testaceus (Olivier, 1790)</v>
      </c>
      <c r="AH8230" s="4" t="str">
        <f>HYPERLINK("#Statut_biogéographique!A"&amp;_xlfn.XMATCH("P",Statut_biogéographique!A:A,2,1),"P")</f>
        <v>P</v>
      </c>
      <c r="AP8230" s="4" t="s">
        <v>376</v>
      </c>
      <c r="AR8230" s="4" t="s">
        <v>377</v>
      </c>
    </row>
    <row r="8231" spans="1:44">
      <c r="A8231" s="4" t="s">
        <v>10753</v>
      </c>
      <c r="B8231" s="4">
        <v>12076</v>
      </c>
      <c r="D8231" s="5" t="s">
        <v>11222</v>
      </c>
      <c r="E8231" s="6" t="str">
        <f>HYPERLINK("https://inpn.mnhn.fr/espece/cd_nom/12076","Mordella aculeata Linnaeus, 1758")</f>
        <v>Mordella aculeata Linnaeus, 1758</v>
      </c>
      <c r="F8231" s="5" t="s">
        <v>11223</v>
      </c>
      <c r="AH8231" s="4" t="str">
        <f>HYPERLINK("#Statut_biogéographique!A"&amp;_xlfn.XMATCH("P",Statut_biogéographique!A:A,2,1),"P")</f>
        <v>P</v>
      </c>
      <c r="AP8231" s="4" t="s">
        <v>376</v>
      </c>
      <c r="AR8231" s="4" t="s">
        <v>377</v>
      </c>
    </row>
    <row r="8232" spans="1:44">
      <c r="A8232" s="4" t="s">
        <v>10753</v>
      </c>
      <c r="B8232" s="4">
        <v>12091</v>
      </c>
      <c r="D8232" s="5" t="s">
        <v>11224</v>
      </c>
      <c r="E8232" s="6" t="str">
        <f>HYPERLINK("https://inpn.mnhn.fr/espece/cd_nom/12091","Mordellistena stenidea Mulsant, 1856")</f>
        <v>Mordellistena stenidea Mulsant, 1856</v>
      </c>
      <c r="AH8232" s="4" t="str">
        <f>HYPERLINK("#Statut_biogéographique!A"&amp;_xlfn.XMATCH("P",Statut_biogéographique!A:A,2,1),"P")</f>
        <v>P</v>
      </c>
      <c r="AP8232" s="4" t="s">
        <v>376</v>
      </c>
      <c r="AR8232" s="4" t="s">
        <v>377</v>
      </c>
    </row>
    <row r="8233" spans="1:44" ht="30">
      <c r="A8233" s="4" t="s">
        <v>10753</v>
      </c>
      <c r="B8233" s="4">
        <v>12093</v>
      </c>
      <c r="D8233" s="5" t="s">
        <v>11225</v>
      </c>
      <c r="E8233" s="6" t="str">
        <f>HYPERLINK("https://inpn.mnhn.fr/espece/cd_nom/12093","Anaspis frontalis (Linnaeus, 1758)")</f>
        <v>Anaspis frontalis (Linnaeus, 1758)</v>
      </c>
      <c r="AH8233" s="4" t="str">
        <f>HYPERLINK("#Statut_biogéographique!A"&amp;_xlfn.XMATCH("P",Statut_biogéographique!A:A,2,1),"P")</f>
        <v>P</v>
      </c>
      <c r="AP8233" s="4" t="s">
        <v>376</v>
      </c>
      <c r="AR8233" s="4" t="s">
        <v>377</v>
      </c>
    </row>
    <row r="8234" spans="1:44">
      <c r="A8234" s="4" t="s">
        <v>10753</v>
      </c>
      <c r="B8234" s="4">
        <v>12097</v>
      </c>
      <c r="D8234" s="5" t="s">
        <v>11226</v>
      </c>
      <c r="E8234" s="6" t="str">
        <f>HYPERLINK("https://inpn.mnhn.fr/espece/cd_nom/12097","Anaspis pulicaria Costa, 1854")</f>
        <v>Anaspis pulicaria Costa, 1854</v>
      </c>
      <c r="AH8234" s="4" t="str">
        <f>HYPERLINK("#Statut_biogéographique!A"&amp;_xlfn.XMATCH("P",Statut_biogéographique!A:A,2,1),"P")</f>
        <v>P</v>
      </c>
      <c r="AP8234" s="4" t="s">
        <v>376</v>
      </c>
      <c r="AR8234" s="4" t="s">
        <v>377</v>
      </c>
    </row>
    <row r="8235" spans="1:44">
      <c r="A8235" s="4" t="s">
        <v>10753</v>
      </c>
      <c r="B8235" s="4">
        <v>12101</v>
      </c>
      <c r="D8235" s="5" t="s">
        <v>11227</v>
      </c>
      <c r="E8235" s="6" t="str">
        <f>HYPERLINK("https://inpn.mnhn.fr/espece/cd_nom/12101","Anaspis varians Mulsant, 1856")</f>
        <v>Anaspis varians Mulsant, 1856</v>
      </c>
      <c r="AH8235" s="4" t="str">
        <f>HYPERLINK("#Statut_biogéographique!A"&amp;_xlfn.XMATCH("P",Statut_biogéographique!A:A,2,1),"P")</f>
        <v>P</v>
      </c>
      <c r="AP8235" s="4" t="s">
        <v>376</v>
      </c>
      <c r="AR8235" s="4" t="s">
        <v>377</v>
      </c>
    </row>
    <row r="8236" spans="1:44">
      <c r="A8236" s="4" t="s">
        <v>10753</v>
      </c>
      <c r="B8236" s="4">
        <v>12104</v>
      </c>
      <c r="D8236" s="5" t="s">
        <v>11228</v>
      </c>
      <c r="E8236" s="6" t="str">
        <f>HYPERLINK("https://inpn.mnhn.fr/espece/cd_nom/12104","Pyrochroa coccinea (Linnaeus, 1761)")</f>
        <v>Pyrochroa coccinea (Linnaeus, 1761)</v>
      </c>
      <c r="F8236" s="5" t="s">
        <v>11229</v>
      </c>
      <c r="AH8236" s="4" t="str">
        <f>HYPERLINK("#Statut_biogéographique!A"&amp;_xlfn.XMATCH("P",Statut_biogéographique!A:A,2,1),"P")</f>
        <v>P</v>
      </c>
      <c r="AP8236" s="4" t="s">
        <v>376</v>
      </c>
      <c r="AR8236" s="4" t="s">
        <v>377</v>
      </c>
    </row>
    <row r="8237" spans="1:44">
      <c r="A8237" s="4" t="s">
        <v>10753</v>
      </c>
      <c r="B8237" s="4">
        <v>12106</v>
      </c>
      <c r="D8237" s="5" t="s">
        <v>11230</v>
      </c>
      <c r="E8237" s="6" t="str">
        <f>HYPERLINK("https://inpn.mnhn.fr/espece/cd_nom/12106","Pyrochroa serraticornis (Scopoli, 1763)")</f>
        <v>Pyrochroa serraticornis (Scopoli, 1763)</v>
      </c>
      <c r="F8237" s="5" t="s">
        <v>11231</v>
      </c>
      <c r="AH8237" s="4" t="str">
        <f>HYPERLINK("#Statut_biogéographique!A"&amp;_xlfn.XMATCH("P",Statut_biogéographique!A:A,2,1),"P")</f>
        <v>P</v>
      </c>
      <c r="AP8237" s="4" t="s">
        <v>376</v>
      </c>
      <c r="AR8237" s="4" t="s">
        <v>377</v>
      </c>
    </row>
    <row r="8238" spans="1:44">
      <c r="A8238" s="4" t="s">
        <v>10753</v>
      </c>
      <c r="B8238" s="4">
        <v>12111</v>
      </c>
      <c r="D8238" s="5">
        <v>12111</v>
      </c>
      <c r="E8238" s="6" t="str">
        <f>HYPERLINK("https://inpn.mnhn.fr/espece/cd_nom/12111","Meloe proscarabaeus Linnaeus, 1758")</f>
        <v>Meloe proscarabaeus Linnaeus, 1758</v>
      </c>
      <c r="F8238" s="5" t="s">
        <v>11232</v>
      </c>
      <c r="AH8238" s="4" t="str">
        <f>HYPERLINK("#Statut_biogéographique!A"&amp;_xlfn.XMATCH("P",Statut_biogéographique!A:A,2,1),"P")</f>
        <v>P</v>
      </c>
      <c r="AP8238" s="4" t="s">
        <v>376</v>
      </c>
      <c r="AR8238" s="4" t="s">
        <v>377</v>
      </c>
    </row>
    <row r="8239" spans="1:44" ht="30">
      <c r="A8239" s="4" t="s">
        <v>10753</v>
      </c>
      <c r="B8239" s="4">
        <v>12113</v>
      </c>
      <c r="D8239" s="5" t="s">
        <v>11233</v>
      </c>
      <c r="E8239" s="6" t="str">
        <f>HYPERLINK("https://inpn.mnhn.fr/espece/cd_nom/12113","Meloe violaceus Marsham, 1802")</f>
        <v>Meloe violaceus Marsham, 1802</v>
      </c>
      <c r="F8239" s="5" t="s">
        <v>11234</v>
      </c>
      <c r="AH8239" s="4" t="str">
        <f>HYPERLINK("#Statut_biogéographique!A"&amp;_xlfn.XMATCH("P",Statut_biogéographique!A:A,2,1),"P")</f>
        <v>P</v>
      </c>
      <c r="AP8239" s="4" t="s">
        <v>376</v>
      </c>
      <c r="AR8239" s="4" t="s">
        <v>377</v>
      </c>
    </row>
    <row r="8240" spans="1:44">
      <c r="A8240" s="4" t="s">
        <v>10753</v>
      </c>
      <c r="B8240" s="4">
        <v>12117</v>
      </c>
      <c r="D8240" s="5" t="s">
        <v>11235</v>
      </c>
      <c r="E8240" s="6" t="str">
        <f>HYPERLINK("https://inpn.mnhn.fr/espece/cd_nom/12117","Lytta vesicatoria (Linnaeus, 1758)")</f>
        <v>Lytta vesicatoria (Linnaeus, 1758)</v>
      </c>
      <c r="F8240" s="5" t="s">
        <v>11236</v>
      </c>
      <c r="AH8240" s="4" t="str">
        <f>HYPERLINK("#Statut_biogéographique!A"&amp;_xlfn.XMATCH("P",Statut_biogéographique!A:A,2,1),"P")</f>
        <v>P</v>
      </c>
      <c r="AP8240" s="4" t="s">
        <v>376</v>
      </c>
      <c r="AR8240" s="4" t="s">
        <v>377</v>
      </c>
    </row>
    <row r="8241" spans="1:44" ht="30">
      <c r="A8241" s="4" t="s">
        <v>10753</v>
      </c>
      <c r="B8241" s="4">
        <v>12123</v>
      </c>
      <c r="D8241" s="5" t="s">
        <v>11237</v>
      </c>
      <c r="E8241" s="6" t="str">
        <f>HYPERLINK("https://inpn.mnhn.fr/espece/cd_nom/12123","Sitaris muralis (Forster, 1771)")</f>
        <v>Sitaris muralis (Forster, 1771)</v>
      </c>
      <c r="F8241" s="5" t="s">
        <v>11238</v>
      </c>
      <c r="AH8241" s="4" t="str">
        <f>HYPERLINK("#Statut_biogéographique!A"&amp;_xlfn.XMATCH("P",Statut_biogéographique!A:A,2,1),"P")</f>
        <v>P</v>
      </c>
      <c r="AP8241" s="4" t="s">
        <v>376</v>
      </c>
      <c r="AR8241" s="4" t="s">
        <v>377</v>
      </c>
    </row>
    <row r="8242" spans="1:44">
      <c r="A8242" s="4" t="s">
        <v>10753</v>
      </c>
      <c r="B8242" s="4">
        <v>12127</v>
      </c>
      <c r="D8242" s="5" t="s">
        <v>11239</v>
      </c>
      <c r="E8242" s="6" t="str">
        <f>HYPERLINK("https://inpn.mnhn.fr/espece/cd_nom/12127","Notoxus monoceros (Linnaeus, 1761)")</f>
        <v>Notoxus monoceros (Linnaeus, 1761)</v>
      </c>
      <c r="AH8242" s="4" t="str">
        <f>HYPERLINK("#Statut_biogéographique!A"&amp;_xlfn.XMATCH("P",Statut_biogéographique!A:A,2,1),"P")</f>
        <v>P</v>
      </c>
      <c r="AP8242" s="4" t="s">
        <v>376</v>
      </c>
      <c r="AR8242" s="4" t="s">
        <v>377</v>
      </c>
    </row>
    <row r="8243" spans="1:44">
      <c r="A8243" s="4" t="s">
        <v>10753</v>
      </c>
      <c r="B8243" s="4">
        <v>12133</v>
      </c>
      <c r="D8243" s="5" t="s">
        <v>11240</v>
      </c>
      <c r="E8243" s="6" t="str">
        <f>HYPERLINK("https://inpn.mnhn.fr/espece/cd_nom/12133","Anthicus antherinus (Linnaeus, 1761)")</f>
        <v>Anthicus antherinus (Linnaeus, 1761)</v>
      </c>
      <c r="AH8243" s="4" t="str">
        <f>HYPERLINK("#Statut_biogéographique!A"&amp;_xlfn.XMATCH("P",Statut_biogéographique!A:A,2,1),"P")</f>
        <v>P</v>
      </c>
      <c r="AP8243" s="4" t="s">
        <v>376</v>
      </c>
      <c r="AR8243" s="4" t="s">
        <v>377</v>
      </c>
    </row>
    <row r="8244" spans="1:44" ht="30">
      <c r="A8244" s="4" t="s">
        <v>10753</v>
      </c>
      <c r="B8244" s="4">
        <v>12157</v>
      </c>
      <c r="D8244" s="5" t="s">
        <v>11241</v>
      </c>
      <c r="E8244" s="6" t="str">
        <f>HYPERLINK("https://inpn.mnhn.fr/espece/cd_nom/12157","Chrysanthia viridissima (Linnaeus, 1758)")</f>
        <v>Chrysanthia viridissima (Linnaeus, 1758)</v>
      </c>
      <c r="F8244" s="5" t="s">
        <v>11242</v>
      </c>
      <c r="P8244" s="7" t="str">
        <f>HYPERLINK("#Liste_rouge!A"&amp;_xlfn.XMATCH("LC",Liste_rouge!A:A,2,1),"LC")</f>
        <v>LC</v>
      </c>
      <c r="AH8244" s="4" t="str">
        <f>HYPERLINK("#Statut_biogéographique!A"&amp;_xlfn.XMATCH("P",Statut_biogéographique!A:A,2,1),"P")</f>
        <v>P</v>
      </c>
      <c r="AP8244" s="4" t="s">
        <v>376</v>
      </c>
      <c r="AR8244" s="4" t="s">
        <v>377</v>
      </c>
    </row>
    <row r="8245" spans="1:44" ht="30">
      <c r="A8245" s="4" t="s">
        <v>10753</v>
      </c>
      <c r="B8245" s="4">
        <v>12159</v>
      </c>
      <c r="D8245" s="5" t="s">
        <v>11243</v>
      </c>
      <c r="E8245" s="6" t="str">
        <f>HYPERLINK("https://inpn.mnhn.fr/espece/cd_nom/12159","Ischnomera cinerascens (Pandellé in Grénier, 1867)")</f>
        <v>Ischnomera cinerascens (Pandellé in Grénier, 1867)</v>
      </c>
      <c r="P8245" s="7" t="str">
        <f>HYPERLINK("#Liste_rouge!A"&amp;_xlfn.XMATCH("LC",Liste_rouge!A:A,2,1),"LC")</f>
        <v>LC</v>
      </c>
      <c r="AH8245" s="4" t="str">
        <f>HYPERLINK("#Statut_biogéographique!A"&amp;_xlfn.XMATCH("P",Statut_biogéographique!A:A,2,1),"P")</f>
        <v>P</v>
      </c>
      <c r="AP8245" s="4" t="s">
        <v>376</v>
      </c>
      <c r="AR8245" s="4" t="s">
        <v>377</v>
      </c>
    </row>
    <row r="8246" spans="1:44">
      <c r="A8246" s="4" t="s">
        <v>10753</v>
      </c>
      <c r="B8246" s="4">
        <v>1216</v>
      </c>
      <c r="D8246" s="5" t="s">
        <v>11244</v>
      </c>
      <c r="E8246" s="6" t="str">
        <f>HYPERLINK("https://inpn.mnhn.fr/espece/cd_nom/1216","Poecilochroa variana (C.L. Koch, 1839)")</f>
        <v>Poecilochroa variana (C.L. Koch, 1839)</v>
      </c>
      <c r="Q8246" s="7" t="str">
        <f>HYPERLINK("#Liste_rouge!A"&amp;_xlfn.XMATCH("LC",Liste_rouge!A:A,2,1),"LC")</f>
        <v>LC</v>
      </c>
      <c r="AH8246" s="4" t="str">
        <f>HYPERLINK("#Statut_biogéographique!A"&amp;_xlfn.XMATCH("P",Statut_biogéographique!A:A,2,1),"P")</f>
        <v>P</v>
      </c>
      <c r="AP8246" s="4" t="s">
        <v>376</v>
      </c>
      <c r="AR8246" s="4" t="s">
        <v>377</v>
      </c>
    </row>
    <row r="8247" spans="1:44">
      <c r="A8247" s="4" t="s">
        <v>10753</v>
      </c>
      <c r="B8247" s="4">
        <v>12172</v>
      </c>
      <c r="D8247" s="5" t="s">
        <v>11245</v>
      </c>
      <c r="E8247" s="6" t="str">
        <f>HYPERLINK("https://inpn.mnhn.fr/espece/cd_nom/12172","Oedemera flavipes (Fabricius, 1792)")</f>
        <v>Oedemera flavipes (Fabricius, 1792)</v>
      </c>
      <c r="F8247" s="5" t="s">
        <v>11246</v>
      </c>
      <c r="P8247" s="7" t="str">
        <f>HYPERLINK("#Liste_rouge!A"&amp;_xlfn.XMATCH("LC",Liste_rouge!A:A,2,1),"LC")</f>
        <v>LC</v>
      </c>
      <c r="AH8247" s="4" t="str">
        <f>HYPERLINK("#Statut_biogéographique!A"&amp;_xlfn.XMATCH("P",Statut_biogéographique!A:A,2,1),"P")</f>
        <v>P</v>
      </c>
      <c r="AP8247" s="4" t="s">
        <v>376</v>
      </c>
      <c r="AR8247" s="4" t="s">
        <v>377</v>
      </c>
    </row>
    <row r="8248" spans="1:44">
      <c r="A8248" s="4" t="s">
        <v>10753</v>
      </c>
      <c r="B8248" s="4">
        <v>12174</v>
      </c>
      <c r="D8248" s="5" t="s">
        <v>11247</v>
      </c>
      <c r="E8248" s="6" t="str">
        <f>HYPERLINK("https://inpn.mnhn.fr/espece/cd_nom/12174","Oedemera lurida (Marsham, 1802)")</f>
        <v>Oedemera lurida (Marsham, 1802)</v>
      </c>
      <c r="AH8248" s="4" t="str">
        <f>HYPERLINK("#Statut_biogéographique!A"&amp;_xlfn.XMATCH("P",Statut_biogéographique!A:A,2,1),"P")</f>
        <v>P</v>
      </c>
      <c r="AP8248" s="4" t="s">
        <v>376</v>
      </c>
      <c r="AR8248" s="4" t="s">
        <v>377</v>
      </c>
    </row>
    <row r="8249" spans="1:44" ht="30">
      <c r="A8249" s="4" t="s">
        <v>10753</v>
      </c>
      <c r="B8249" s="4">
        <v>12176</v>
      </c>
      <c r="D8249" s="5" t="s">
        <v>11248</v>
      </c>
      <c r="E8249" s="6" t="str">
        <f>HYPERLINK("https://inpn.mnhn.fr/espece/cd_nom/12176","Oedemera nobilis (Scopoli, 1763)")</f>
        <v>Oedemera nobilis (Scopoli, 1763)</v>
      </c>
      <c r="F8249" s="5" t="s">
        <v>11249</v>
      </c>
      <c r="AH8249" s="4" t="str">
        <f>HYPERLINK("#Statut_biogéographique!A"&amp;_xlfn.XMATCH("P",Statut_biogéographique!A:A,2,1),"P")</f>
        <v>P</v>
      </c>
      <c r="AP8249" s="4" t="s">
        <v>376</v>
      </c>
      <c r="AR8249" s="4" t="s">
        <v>377</v>
      </c>
    </row>
    <row r="8250" spans="1:44">
      <c r="A8250" s="4" t="s">
        <v>10753</v>
      </c>
      <c r="B8250" s="4">
        <v>12178</v>
      </c>
      <c r="D8250" s="5" t="s">
        <v>11250</v>
      </c>
      <c r="E8250" s="6" t="str">
        <f>HYPERLINK("https://inpn.mnhn.fr/espece/cd_nom/12178","Oedemera podagrariae (Linnaeus, 1767)")</f>
        <v>Oedemera podagrariae (Linnaeus, 1767)</v>
      </c>
      <c r="F8250" s="5" t="s">
        <v>11251</v>
      </c>
      <c r="AH8250" s="4" t="str">
        <f>HYPERLINK("#Statut_biogéographique!A"&amp;_xlfn.XMATCH("P",Statut_biogéographique!A:A,2,1),"P")</f>
        <v>P</v>
      </c>
      <c r="AP8250" s="4" t="s">
        <v>376</v>
      </c>
      <c r="AR8250" s="4" t="s">
        <v>377</v>
      </c>
    </row>
    <row r="8251" spans="1:44">
      <c r="A8251" s="4" t="s">
        <v>10753</v>
      </c>
      <c r="B8251" s="4">
        <v>1218</v>
      </c>
      <c r="D8251" s="5" t="s">
        <v>11252</v>
      </c>
      <c r="E8251" s="6" t="str">
        <f>HYPERLINK("https://inpn.mnhn.fr/espece/cd_nom/1218","Callilepis nocturna (Linnaeus, 1758)")</f>
        <v>Callilepis nocturna (Linnaeus, 1758)</v>
      </c>
      <c r="F8251" s="5" t="s">
        <v>11253</v>
      </c>
      <c r="Q8251" s="7" t="str">
        <f>HYPERLINK("#Liste_rouge!A"&amp;_xlfn.XMATCH("LC",Liste_rouge!A:A,2,1),"LC")</f>
        <v>LC</v>
      </c>
      <c r="AH8251" s="4" t="str">
        <f>HYPERLINK("#Statut_biogéographique!A"&amp;_xlfn.XMATCH("P",Statut_biogéographique!A:A,2,1),"P")</f>
        <v>P</v>
      </c>
      <c r="AP8251" s="4" t="s">
        <v>376</v>
      </c>
      <c r="AR8251" s="4" t="s">
        <v>377</v>
      </c>
    </row>
    <row r="8252" spans="1:44">
      <c r="A8252" s="4" t="s">
        <v>10753</v>
      </c>
      <c r="B8252" s="4">
        <v>12180</v>
      </c>
      <c r="D8252" s="5" t="s">
        <v>11254</v>
      </c>
      <c r="E8252" s="6" t="str">
        <f>HYPERLINK("https://inpn.mnhn.fr/espece/cd_nom/12180","Oedemera virescens (Linnaeus, 1767)")</f>
        <v>Oedemera virescens (Linnaeus, 1767)</v>
      </c>
      <c r="F8252" s="5" t="s">
        <v>11255</v>
      </c>
      <c r="AH8252" s="4" t="str">
        <f>HYPERLINK("#Statut_biogéographique!A"&amp;_xlfn.XMATCH("P",Statut_biogéographique!A:A,2,1),"P")</f>
        <v>P</v>
      </c>
      <c r="AP8252" s="4" t="s">
        <v>376</v>
      </c>
      <c r="AR8252" s="4" t="s">
        <v>377</v>
      </c>
    </row>
    <row r="8253" spans="1:44">
      <c r="A8253" s="4" t="s">
        <v>10753</v>
      </c>
      <c r="B8253" s="4">
        <v>12185</v>
      </c>
      <c r="D8253" s="5">
        <v>12185</v>
      </c>
      <c r="E8253" s="6" t="str">
        <f>HYPERLINK("https://inpn.mnhn.fr/espece/cd_nom/12185","Lagria atripes Mulsant &amp; Guillebeau, 1855")</f>
        <v>Lagria atripes Mulsant &amp; Guillebeau, 1855</v>
      </c>
      <c r="AH8253" s="4" t="str">
        <f>HYPERLINK("#Statut_biogéographique!A"&amp;_xlfn.XMATCH("P",Statut_biogéographique!A:A,2,1),"P")</f>
        <v>P</v>
      </c>
      <c r="AP8253" s="4" t="s">
        <v>376</v>
      </c>
      <c r="AR8253" s="4" t="s">
        <v>377</v>
      </c>
    </row>
    <row r="8254" spans="1:44">
      <c r="A8254" s="4" t="s">
        <v>10753</v>
      </c>
      <c r="B8254" s="4">
        <v>12187</v>
      </c>
      <c r="D8254" s="5" t="s">
        <v>11256</v>
      </c>
      <c r="E8254" s="6" t="str">
        <f>HYPERLINK("https://inpn.mnhn.fr/espece/cd_nom/12187","Lagria hirta (Linnaeus, 1758)")</f>
        <v>Lagria hirta (Linnaeus, 1758)</v>
      </c>
      <c r="F8254" s="5" t="s">
        <v>11257</v>
      </c>
      <c r="AH8254" s="4" t="str">
        <f>HYPERLINK("#Statut_biogéographique!A"&amp;_xlfn.XMATCH("P",Statut_biogéographique!A:A,2,1),"P")</f>
        <v>P</v>
      </c>
      <c r="AP8254" s="4" t="s">
        <v>376</v>
      </c>
      <c r="AR8254" s="4" t="s">
        <v>377</v>
      </c>
    </row>
    <row r="8255" spans="1:44" ht="30">
      <c r="A8255" s="4" t="s">
        <v>10753</v>
      </c>
      <c r="B8255" s="4">
        <v>12197</v>
      </c>
      <c r="D8255" s="5" t="s">
        <v>11258</v>
      </c>
      <c r="E8255" s="6" t="str">
        <f>HYPERLINK("https://inpn.mnhn.fr/espece/cd_nom/12197","Phyllobrotica quadrimaculata (Linnaeus, 1758)")</f>
        <v>Phyllobrotica quadrimaculata (Linnaeus, 1758)</v>
      </c>
      <c r="AH8255" s="4" t="str">
        <f>HYPERLINK("#Statut_biogéographique!A"&amp;_xlfn.XMATCH("P",Statut_biogéographique!A:A,2,1),"P")</f>
        <v>P</v>
      </c>
      <c r="AP8255" s="4" t="s">
        <v>376</v>
      </c>
      <c r="AR8255" s="4" t="s">
        <v>377</v>
      </c>
    </row>
    <row r="8256" spans="1:44">
      <c r="A8256" s="4" t="s">
        <v>10753</v>
      </c>
      <c r="B8256" s="4">
        <v>12200</v>
      </c>
      <c r="D8256" s="5" t="s">
        <v>11259</v>
      </c>
      <c r="E8256" s="6" t="str">
        <f>HYPERLINK("https://inpn.mnhn.fr/espece/cd_nom/12200","Prionus coriarius (Linnaeus, 1758)")</f>
        <v>Prionus coriarius (Linnaeus, 1758)</v>
      </c>
      <c r="F8256" s="5" t="s">
        <v>11260</v>
      </c>
      <c r="P8256" s="7" t="str">
        <f>HYPERLINK("#Liste_rouge!A"&amp;_xlfn.XMATCH("LC",Liste_rouge!A:A,2,1),"LC")</f>
        <v>LC</v>
      </c>
      <c r="AH8256" s="4" t="str">
        <f>HYPERLINK("#Statut_biogéographique!A"&amp;_xlfn.XMATCH("P",Statut_biogéographique!A:A,2,1),"P")</f>
        <v>P</v>
      </c>
      <c r="AP8256" s="4" t="s">
        <v>376</v>
      </c>
      <c r="AR8256" s="4" t="s">
        <v>377</v>
      </c>
    </row>
    <row r="8257" spans="1:44">
      <c r="A8257" s="4" t="s">
        <v>10753</v>
      </c>
      <c r="B8257" s="4">
        <v>12205</v>
      </c>
      <c r="D8257" s="5">
        <v>12205</v>
      </c>
      <c r="E8257" s="6" t="str">
        <f>HYPERLINK("https://inpn.mnhn.fr/espece/cd_nom/12205","Rhagium bifasciatum Fabricius, 1775")</f>
        <v>Rhagium bifasciatum Fabricius, 1775</v>
      </c>
      <c r="F8257" s="5" t="s">
        <v>11261</v>
      </c>
      <c r="P8257" s="7" t="str">
        <f>HYPERLINK("#Liste_rouge!A"&amp;_xlfn.XMATCH("LC",Liste_rouge!A:A,2,1),"LC")</f>
        <v>LC</v>
      </c>
      <c r="AH8257" s="4" t="str">
        <f>HYPERLINK("#Statut_biogéographique!A"&amp;_xlfn.XMATCH("P",Statut_biogéographique!A:A,2,1),"P")</f>
        <v>P</v>
      </c>
      <c r="AP8257" s="4" t="s">
        <v>376</v>
      </c>
      <c r="AR8257" s="4" t="s">
        <v>377</v>
      </c>
    </row>
    <row r="8258" spans="1:44">
      <c r="A8258" s="4" t="s">
        <v>10753</v>
      </c>
      <c r="B8258" s="4">
        <v>12206</v>
      </c>
      <c r="D8258" s="5" t="s">
        <v>11262</v>
      </c>
      <c r="E8258" s="6" t="str">
        <f>HYPERLINK("https://inpn.mnhn.fr/espece/cd_nom/12206","Rhagium inquisitor (Linnaeus, 1758)")</f>
        <v>Rhagium inquisitor (Linnaeus, 1758)</v>
      </c>
      <c r="F8258" s="5" t="s">
        <v>11263</v>
      </c>
      <c r="P8258" s="7" t="str">
        <f>HYPERLINK("#Liste_rouge!A"&amp;_xlfn.XMATCH("LC",Liste_rouge!A:A,2,1),"LC")</f>
        <v>LC</v>
      </c>
      <c r="AH8258" s="4" t="str">
        <f>HYPERLINK("#Statut_biogéographique!A"&amp;_xlfn.XMATCH("P",Statut_biogéographique!A:A,2,1),"P")</f>
        <v>P</v>
      </c>
      <c r="AP8258" s="4" t="s">
        <v>376</v>
      </c>
      <c r="AR8258" s="4" t="s">
        <v>377</v>
      </c>
    </row>
    <row r="8259" spans="1:44">
      <c r="A8259" s="4" t="s">
        <v>10753</v>
      </c>
      <c r="B8259" s="4">
        <v>12207</v>
      </c>
      <c r="D8259" s="5" t="s">
        <v>11264</v>
      </c>
      <c r="E8259" s="6" t="str">
        <f>HYPERLINK("https://inpn.mnhn.fr/espece/cd_nom/12207","Rhagium mordax (De Geer, 1775)")</f>
        <v>Rhagium mordax (De Geer, 1775)</v>
      </c>
      <c r="F8259" s="5" t="s">
        <v>11265</v>
      </c>
      <c r="P8259" s="7" t="str">
        <f>HYPERLINK("#Liste_rouge!A"&amp;_xlfn.XMATCH("LC",Liste_rouge!A:A,2,1),"LC")</f>
        <v>LC</v>
      </c>
      <c r="AH8259" s="4" t="str">
        <f>HYPERLINK("#Statut_biogéographique!A"&amp;_xlfn.XMATCH("P",Statut_biogéographique!A:A,2,1),"P")</f>
        <v>P</v>
      </c>
      <c r="AP8259" s="4" t="s">
        <v>376</v>
      </c>
      <c r="AR8259" s="4" t="s">
        <v>377</v>
      </c>
    </row>
    <row r="8260" spans="1:44">
      <c r="A8260" s="4" t="s">
        <v>10753</v>
      </c>
      <c r="B8260" s="4">
        <v>12208</v>
      </c>
      <c r="D8260" s="5" t="s">
        <v>11266</v>
      </c>
      <c r="E8260" s="6" t="str">
        <f>HYPERLINK("https://inpn.mnhn.fr/espece/cd_nom/12208","Rhagium sycophanta (Schrank, 1781)")</f>
        <v>Rhagium sycophanta (Schrank, 1781)</v>
      </c>
      <c r="F8260" s="5" t="s">
        <v>11267</v>
      </c>
      <c r="P8260" s="7" t="str">
        <f>HYPERLINK("#Liste_rouge!A"&amp;_xlfn.XMATCH("LC",Liste_rouge!A:A,2,1),"LC")</f>
        <v>LC</v>
      </c>
      <c r="AH8260" s="4" t="str">
        <f>HYPERLINK("#Statut_biogéographique!A"&amp;_xlfn.XMATCH("P",Statut_biogéographique!A:A,2,1),"P")</f>
        <v>P</v>
      </c>
      <c r="AP8260" s="4" t="s">
        <v>376</v>
      </c>
      <c r="AR8260" s="4" t="s">
        <v>377</v>
      </c>
    </row>
    <row r="8261" spans="1:44">
      <c r="A8261" s="4" t="s">
        <v>10753</v>
      </c>
      <c r="B8261" s="4">
        <v>12211</v>
      </c>
      <c r="D8261" s="5" t="s">
        <v>11268</v>
      </c>
      <c r="E8261" s="6" t="str">
        <f>HYPERLINK("https://inpn.mnhn.fr/espece/cd_nom/12211","Oxymirus cursor (Linnaeus, 1758)")</f>
        <v>Oxymirus cursor (Linnaeus, 1758)</v>
      </c>
      <c r="P8261" s="7" t="str">
        <f>HYPERLINK("#Liste_rouge!A"&amp;_xlfn.XMATCH("LC",Liste_rouge!A:A,2,1),"LC")</f>
        <v>LC</v>
      </c>
      <c r="AH8261" s="4" t="str">
        <f>HYPERLINK("#Statut_biogéographique!A"&amp;_xlfn.XMATCH("P",Statut_biogéographique!A:A,2,1),"P")</f>
        <v>P</v>
      </c>
      <c r="AP8261" s="4" t="s">
        <v>376</v>
      </c>
      <c r="AR8261" s="4" t="s">
        <v>377</v>
      </c>
    </row>
    <row r="8262" spans="1:44">
      <c r="A8262" s="4" t="s">
        <v>10753</v>
      </c>
      <c r="B8262" s="4">
        <v>12214</v>
      </c>
      <c r="D8262" s="5" t="s">
        <v>11269</v>
      </c>
      <c r="E8262" s="6" t="str">
        <f>HYPERLINK("https://inpn.mnhn.fr/espece/cd_nom/12214","Stenocorus meridianus (Linnaeus, 1758)")</f>
        <v>Stenocorus meridianus (Linnaeus, 1758)</v>
      </c>
      <c r="F8262" s="5" t="s">
        <v>11270</v>
      </c>
      <c r="P8262" s="7" t="str">
        <f>HYPERLINK("#Liste_rouge!A"&amp;_xlfn.XMATCH("LC",Liste_rouge!A:A,2,1),"LC")</f>
        <v>LC</v>
      </c>
      <c r="AH8262" s="4" t="str">
        <f>HYPERLINK("#Statut_biogéographique!A"&amp;_xlfn.XMATCH("P",Statut_biogéographique!A:A,2,1),"P")</f>
        <v>P</v>
      </c>
      <c r="AP8262" s="4" t="s">
        <v>376</v>
      </c>
      <c r="AR8262" s="4" t="s">
        <v>377</v>
      </c>
    </row>
    <row r="8263" spans="1:44">
      <c r="A8263" s="4" t="s">
        <v>10753</v>
      </c>
      <c r="B8263" s="4">
        <v>12216</v>
      </c>
      <c r="D8263" s="5" t="s">
        <v>11271</v>
      </c>
      <c r="E8263" s="6" t="str">
        <f>HYPERLINK("https://inpn.mnhn.fr/espece/cd_nom/12216","Pachyta quadrimaculata (Linnaeus, 1758)")</f>
        <v>Pachyta quadrimaculata (Linnaeus, 1758)</v>
      </c>
      <c r="P8263" s="7" t="str">
        <f>HYPERLINK("#Liste_rouge!A"&amp;_xlfn.XMATCH("LC",Liste_rouge!A:A,2,1),"LC")</f>
        <v>LC</v>
      </c>
      <c r="AH8263" s="4" t="str">
        <f>HYPERLINK("#Statut_biogéographique!A"&amp;_xlfn.XMATCH("P",Statut_biogéographique!A:A,2,1),"P")</f>
        <v>P</v>
      </c>
      <c r="AP8263" s="4" t="s">
        <v>376</v>
      </c>
      <c r="AR8263" s="4" t="s">
        <v>377</v>
      </c>
    </row>
    <row r="8264" spans="1:44">
      <c r="A8264" s="4" t="s">
        <v>10753</v>
      </c>
      <c r="B8264" s="4">
        <v>12222</v>
      </c>
      <c r="D8264" s="5" t="s">
        <v>11272</v>
      </c>
      <c r="E8264" s="6" t="str">
        <f>HYPERLINK("https://inpn.mnhn.fr/espece/cd_nom/12222","Dinoptera collaris (Linnaeus, 1758)")</f>
        <v>Dinoptera collaris (Linnaeus, 1758)</v>
      </c>
      <c r="F8264" s="5" t="s">
        <v>11273</v>
      </c>
      <c r="P8264" s="7" t="str">
        <f>HYPERLINK("#Liste_rouge!A"&amp;_xlfn.XMATCH("LC",Liste_rouge!A:A,2,1),"LC")</f>
        <v>LC</v>
      </c>
      <c r="AH8264" s="4" t="str">
        <f>HYPERLINK("#Statut_biogéographique!A"&amp;_xlfn.XMATCH("P",Statut_biogéographique!A:A,2,1),"P")</f>
        <v>P</v>
      </c>
      <c r="AP8264" s="4" t="s">
        <v>376</v>
      </c>
      <c r="AR8264" s="4" t="s">
        <v>377</v>
      </c>
    </row>
    <row r="8265" spans="1:44">
      <c r="A8265" s="4" t="s">
        <v>10753</v>
      </c>
      <c r="B8265" s="4">
        <v>12230</v>
      </c>
      <c r="D8265" s="5" t="s">
        <v>11274</v>
      </c>
      <c r="E8265" s="6" t="str">
        <f>HYPERLINK("https://inpn.mnhn.fr/espece/cd_nom/12230","Cortodera humeralis (Schaller, 1783)")</f>
        <v>Cortodera humeralis (Schaller, 1783)</v>
      </c>
      <c r="F8265" s="5" t="s">
        <v>11275</v>
      </c>
      <c r="P8265" s="7" t="str">
        <f>HYPERLINK("#Liste_rouge!A"&amp;_xlfn.XMATCH("LC",Liste_rouge!A:A,2,1),"LC")</f>
        <v>LC</v>
      </c>
      <c r="AH8265" s="4" t="str">
        <f>HYPERLINK("#Statut_biogéographique!A"&amp;_xlfn.XMATCH("P",Statut_biogéographique!A:A,2,1),"P")</f>
        <v>P</v>
      </c>
      <c r="AP8265" s="4" t="s">
        <v>376</v>
      </c>
      <c r="AR8265" s="4" t="s">
        <v>377</v>
      </c>
    </row>
    <row r="8266" spans="1:44">
      <c r="A8266" s="4" t="s">
        <v>10753</v>
      </c>
      <c r="B8266" s="4">
        <v>12232</v>
      </c>
      <c r="D8266" s="5" t="s">
        <v>11276</v>
      </c>
      <c r="E8266" s="6" t="str">
        <f>HYPERLINK("https://inpn.mnhn.fr/espece/cd_nom/12232","Grammoptera ruficornis (Fabricius, 1781)")</f>
        <v>Grammoptera ruficornis (Fabricius, 1781)</v>
      </c>
      <c r="F8266" s="5" t="s">
        <v>11277</v>
      </c>
      <c r="P8266" s="7" t="str">
        <f>HYPERLINK("#Liste_rouge!A"&amp;_xlfn.XMATCH("LC",Liste_rouge!A:A,2,1),"LC")</f>
        <v>LC</v>
      </c>
      <c r="AH8266" s="4" t="str">
        <f>HYPERLINK("#Statut_biogéographique!A"&amp;_xlfn.XMATCH("P",Statut_biogéographique!A:A,2,1),"P")</f>
        <v>P</v>
      </c>
      <c r="AP8266" s="4" t="s">
        <v>376</v>
      </c>
      <c r="AR8266" s="4" t="s">
        <v>377</v>
      </c>
    </row>
    <row r="8267" spans="1:44">
      <c r="A8267" s="4" t="s">
        <v>10753</v>
      </c>
      <c r="B8267" s="4">
        <v>12233</v>
      </c>
      <c r="D8267" s="5" t="s">
        <v>11278</v>
      </c>
      <c r="E8267" s="6" t="str">
        <f>HYPERLINK("https://inpn.mnhn.fr/espece/cd_nom/12233","Grammoptera ustulata (Schaller, 1783)")</f>
        <v>Grammoptera ustulata (Schaller, 1783)</v>
      </c>
      <c r="F8267" s="5" t="s">
        <v>11279</v>
      </c>
      <c r="P8267" s="7" t="str">
        <f>HYPERLINK("#Liste_rouge!A"&amp;_xlfn.XMATCH("LC",Liste_rouge!A:A,2,1),"LC")</f>
        <v>LC</v>
      </c>
      <c r="AH8267" s="4" t="str">
        <f>HYPERLINK("#Statut_biogéographique!A"&amp;_xlfn.XMATCH("P",Statut_biogéographique!A:A,2,1),"P")</f>
        <v>P</v>
      </c>
      <c r="AP8267" s="4" t="s">
        <v>376</v>
      </c>
      <c r="AR8267" s="4" t="s">
        <v>377</v>
      </c>
    </row>
    <row r="8268" spans="1:44">
      <c r="A8268" s="4" t="s">
        <v>10753</v>
      </c>
      <c r="B8268" s="4">
        <v>12236</v>
      </c>
      <c r="D8268" s="5" t="s">
        <v>11280</v>
      </c>
      <c r="E8268" s="6" t="str">
        <f>HYPERLINK("https://inpn.mnhn.fr/espece/cd_nom/12236","Alosterna tabacicolor (De Geer, 1775)")</f>
        <v>Alosterna tabacicolor (De Geer, 1775)</v>
      </c>
      <c r="F8268" s="5" t="s">
        <v>11281</v>
      </c>
      <c r="P8268" s="7" t="str">
        <f>HYPERLINK("#Liste_rouge!A"&amp;_xlfn.XMATCH("LC",Liste_rouge!A:A,2,1),"LC")</f>
        <v>LC</v>
      </c>
      <c r="AH8268" s="4" t="str">
        <f>HYPERLINK("#Statut_biogéographique!A"&amp;_xlfn.XMATCH("P",Statut_biogéographique!A:A,2,1),"P")</f>
        <v>P</v>
      </c>
      <c r="AP8268" s="4" t="s">
        <v>376</v>
      </c>
      <c r="AR8268" s="4" t="s">
        <v>377</v>
      </c>
    </row>
    <row r="8269" spans="1:44">
      <c r="A8269" s="4" t="s">
        <v>10753</v>
      </c>
      <c r="B8269" s="4">
        <v>12238</v>
      </c>
      <c r="D8269" s="5" t="s">
        <v>11282</v>
      </c>
      <c r="E8269" s="6" t="str">
        <f>HYPERLINK("https://inpn.mnhn.fr/espece/cd_nom/12238","Anoplodera rufipes (Schaller, 1783)")</f>
        <v>Anoplodera rufipes (Schaller, 1783)</v>
      </c>
      <c r="P8269" s="7" t="str">
        <f>HYPERLINK("#Liste_rouge!A"&amp;_xlfn.XMATCH("LC",Liste_rouge!A:A,2,1),"LC")</f>
        <v>LC</v>
      </c>
      <c r="AH8269" s="4" t="str">
        <f>HYPERLINK("#Statut_biogéographique!A"&amp;_xlfn.XMATCH("P",Statut_biogéographique!A:A,2,1),"P")</f>
        <v>P</v>
      </c>
      <c r="AP8269" s="4" t="s">
        <v>376</v>
      </c>
      <c r="AR8269" s="4" t="s">
        <v>377</v>
      </c>
    </row>
    <row r="8270" spans="1:44">
      <c r="A8270" s="4" t="s">
        <v>10753</v>
      </c>
      <c r="B8270" s="4">
        <v>12239</v>
      </c>
      <c r="D8270" s="5" t="s">
        <v>11283</v>
      </c>
      <c r="E8270" s="6" t="str">
        <f>HYPERLINK("https://inpn.mnhn.fr/espece/cd_nom/12239","Anoplodera sexguttata (Fabricius, 1775)")</f>
        <v>Anoplodera sexguttata (Fabricius, 1775)</v>
      </c>
      <c r="F8270" s="5" t="s">
        <v>11284</v>
      </c>
      <c r="P8270" s="7" t="str">
        <f>HYPERLINK("#Liste_rouge!A"&amp;_xlfn.XMATCH("LC",Liste_rouge!A:A,2,1),"LC")</f>
        <v>LC</v>
      </c>
      <c r="AH8270" s="4" t="str">
        <f>HYPERLINK("#Statut_biogéographique!A"&amp;_xlfn.XMATCH("P",Statut_biogéographique!A:A,2,1),"P")</f>
        <v>P</v>
      </c>
      <c r="AP8270" s="4" t="s">
        <v>376</v>
      </c>
      <c r="AR8270" s="4" t="s">
        <v>377</v>
      </c>
    </row>
    <row r="8271" spans="1:44">
      <c r="A8271" s="4" t="s">
        <v>10753</v>
      </c>
      <c r="B8271" s="4">
        <v>12241</v>
      </c>
      <c r="D8271" s="5">
        <v>12241</v>
      </c>
      <c r="E8271" s="6" t="str">
        <f>HYPERLINK("https://inpn.mnhn.fr/espece/cd_nom/12241","Leptura aethiops Poda, 1761")</f>
        <v>Leptura aethiops Poda, 1761</v>
      </c>
      <c r="F8271" s="5" t="s">
        <v>11285</v>
      </c>
      <c r="P8271" s="7" t="str">
        <f>HYPERLINK("#Liste_rouge!A"&amp;_xlfn.XMATCH("LC",Liste_rouge!A:A,2,1),"LC")</f>
        <v>LC</v>
      </c>
      <c r="AH8271" s="4" t="str">
        <f>HYPERLINK("#Statut_biogéographique!A"&amp;_xlfn.XMATCH("P",Statut_biogéographique!A:A,2,1),"P")</f>
        <v>P</v>
      </c>
      <c r="AP8271" s="4" t="s">
        <v>376</v>
      </c>
      <c r="AR8271" s="4" t="s">
        <v>377</v>
      </c>
    </row>
    <row r="8272" spans="1:44">
      <c r="A8272" s="4" t="s">
        <v>10753</v>
      </c>
      <c r="B8272" s="4">
        <v>12242</v>
      </c>
      <c r="D8272" s="5" t="s">
        <v>11286</v>
      </c>
      <c r="E8272" s="6" t="str">
        <f>HYPERLINK("https://inpn.mnhn.fr/espece/cd_nom/12242","Leptura aurulenta Fabricius, 1792")</f>
        <v>Leptura aurulenta Fabricius, 1792</v>
      </c>
      <c r="F8272" s="5" t="s">
        <v>11287</v>
      </c>
      <c r="P8272" s="7" t="str">
        <f>HYPERLINK("#Liste_rouge!A"&amp;_xlfn.XMATCH("LC",Liste_rouge!A:A,2,1),"LC")</f>
        <v>LC</v>
      </c>
      <c r="AH8272" s="4" t="str">
        <f>HYPERLINK("#Statut_biogéographique!A"&amp;_xlfn.XMATCH("P",Statut_biogéographique!A:A,2,1),"P")</f>
        <v>P</v>
      </c>
      <c r="AP8272" s="4" t="s">
        <v>376</v>
      </c>
      <c r="AR8272" s="4" t="s">
        <v>377</v>
      </c>
    </row>
    <row r="8273" spans="1:44">
      <c r="A8273" s="4" t="s">
        <v>10753</v>
      </c>
      <c r="B8273" s="4">
        <v>12246</v>
      </c>
      <c r="D8273" s="5" t="s">
        <v>11288</v>
      </c>
      <c r="E8273" s="6" t="str">
        <f>HYPERLINK("https://inpn.mnhn.fr/espece/cd_nom/12246","Leptura quadrifasciata Linnaeus, 1758")</f>
        <v>Leptura quadrifasciata Linnaeus, 1758</v>
      </c>
      <c r="F8273" s="5" t="s">
        <v>11289</v>
      </c>
      <c r="P8273" s="7" t="str">
        <f>HYPERLINK("#Liste_rouge!A"&amp;_xlfn.XMATCH("LC",Liste_rouge!A:A,2,1),"LC")</f>
        <v>LC</v>
      </c>
      <c r="AH8273" s="4" t="str">
        <f>HYPERLINK("#Statut_biogéographique!A"&amp;_xlfn.XMATCH("P",Statut_biogéographique!A:A,2,1),"P")</f>
        <v>P</v>
      </c>
      <c r="AP8273" s="4" t="s">
        <v>376</v>
      </c>
      <c r="AR8273" s="4" t="s">
        <v>377</v>
      </c>
    </row>
    <row r="8274" spans="1:44">
      <c r="A8274" s="4" t="s">
        <v>10753</v>
      </c>
      <c r="B8274" s="4">
        <v>12249</v>
      </c>
      <c r="D8274" s="5" t="s">
        <v>11290</v>
      </c>
      <c r="E8274" s="6" t="str">
        <f>HYPERLINK("https://inpn.mnhn.fr/espece/cd_nom/12249","Stenurella bifasciata (Müller, 1776)")</f>
        <v>Stenurella bifasciata (Müller, 1776)</v>
      </c>
      <c r="F8274" s="5" t="s">
        <v>11291</v>
      </c>
      <c r="P8274" s="7" t="str">
        <f>HYPERLINK("#Liste_rouge!A"&amp;_xlfn.XMATCH("LC",Liste_rouge!A:A,2,1),"LC")</f>
        <v>LC</v>
      </c>
      <c r="AH8274" s="4" t="str">
        <f>HYPERLINK("#Statut_biogéographique!A"&amp;_xlfn.XMATCH("P",Statut_biogéographique!A:A,2,1),"P")</f>
        <v>P</v>
      </c>
      <c r="AP8274" s="4" t="s">
        <v>376</v>
      </c>
      <c r="AR8274" s="4" t="s">
        <v>377</v>
      </c>
    </row>
    <row r="8275" spans="1:44">
      <c r="A8275" s="4" t="s">
        <v>10753</v>
      </c>
      <c r="B8275" s="4">
        <v>12252</v>
      </c>
      <c r="D8275" s="5" t="s">
        <v>11292</v>
      </c>
      <c r="E8275" s="6" t="str">
        <f>HYPERLINK("https://inpn.mnhn.fr/espece/cd_nom/12252","Stenurella melanura (Linnaeus, 1758)")</f>
        <v>Stenurella melanura (Linnaeus, 1758)</v>
      </c>
      <c r="F8275" s="5" t="s">
        <v>11293</v>
      </c>
      <c r="P8275" s="7" t="str">
        <f>HYPERLINK("#Liste_rouge!A"&amp;_xlfn.XMATCH("LC",Liste_rouge!A:A,2,1),"LC")</f>
        <v>LC</v>
      </c>
      <c r="AH8275" s="4" t="str">
        <f>HYPERLINK("#Statut_biogéographique!A"&amp;_xlfn.XMATCH("P",Statut_biogéographique!A:A,2,1),"P")</f>
        <v>P</v>
      </c>
      <c r="AP8275" s="4" t="s">
        <v>376</v>
      </c>
      <c r="AR8275" s="4" t="s">
        <v>377</v>
      </c>
    </row>
    <row r="8276" spans="1:44">
      <c r="A8276" s="4" t="s">
        <v>10753</v>
      </c>
      <c r="B8276" s="4">
        <v>12261</v>
      </c>
      <c r="D8276" s="5" t="s">
        <v>11294</v>
      </c>
      <c r="E8276" s="6" t="str">
        <f>HYPERLINK("https://inpn.mnhn.fr/espece/cd_nom/12261","Pachytodes cerambyciformis (Schrank, 1781)")</f>
        <v>Pachytodes cerambyciformis (Schrank, 1781)</v>
      </c>
      <c r="F8276" s="5" t="s">
        <v>11295</v>
      </c>
      <c r="P8276" s="7" t="str">
        <f>HYPERLINK("#Liste_rouge!A"&amp;_xlfn.XMATCH("LC",Liste_rouge!A:A,2,1),"LC")</f>
        <v>LC</v>
      </c>
      <c r="AH8276" s="4" t="str">
        <f>HYPERLINK("#Statut_biogéographique!A"&amp;_xlfn.XMATCH("P",Statut_biogéographique!A:A,2,1),"P")</f>
        <v>P</v>
      </c>
      <c r="AP8276" s="4" t="s">
        <v>376</v>
      </c>
      <c r="AR8276" s="4" t="s">
        <v>377</v>
      </c>
    </row>
    <row r="8277" spans="1:44">
      <c r="A8277" s="4" t="s">
        <v>10753</v>
      </c>
      <c r="B8277" s="4">
        <v>1227</v>
      </c>
      <c r="D8277" s="5" t="s">
        <v>11296</v>
      </c>
      <c r="E8277" s="6" t="str">
        <f>HYPERLINK("https://inpn.mnhn.fr/espece/cd_nom/1227","Gnaphosa lucifuga (Walckenaer, 1802)")</f>
        <v>Gnaphosa lucifuga (Walckenaer, 1802)</v>
      </c>
      <c r="Q8277" s="7" t="str">
        <f>HYPERLINK("#Liste_rouge!A"&amp;_xlfn.XMATCH("LC",Liste_rouge!A:A,2,1),"LC")</f>
        <v>LC</v>
      </c>
      <c r="AH8277" s="4" t="str">
        <f>HYPERLINK("#Statut_biogéographique!A"&amp;_xlfn.XMATCH("P",Statut_biogéographique!A:A,2,1),"P")</f>
        <v>P</v>
      </c>
      <c r="AP8277" s="4" t="s">
        <v>376</v>
      </c>
      <c r="AR8277" s="4" t="s">
        <v>377</v>
      </c>
    </row>
    <row r="8278" spans="1:44">
      <c r="A8278" s="4" t="s">
        <v>10753</v>
      </c>
      <c r="B8278" s="4">
        <v>12278</v>
      </c>
      <c r="D8278" s="5" t="s">
        <v>11297</v>
      </c>
      <c r="E8278" s="6" t="str">
        <f>HYPERLINK("https://inpn.mnhn.fr/espece/cd_nom/12278","Stictoleptura scutellata (Fabricius, 1781)")</f>
        <v>Stictoleptura scutellata (Fabricius, 1781)</v>
      </c>
      <c r="F8278" s="5" t="s">
        <v>11298</v>
      </c>
      <c r="P8278" s="7" t="str">
        <f>HYPERLINK("#Liste_rouge!A"&amp;_xlfn.XMATCH("LC",Liste_rouge!A:A,2,1),"LC")</f>
        <v>LC</v>
      </c>
      <c r="AH8278" s="4" t="str">
        <f>HYPERLINK("#Statut_biogéographique!A"&amp;_xlfn.XMATCH("P",Statut_biogéographique!A:A,2,1),"P")</f>
        <v>P</v>
      </c>
      <c r="AP8278" s="4" t="s">
        <v>376</v>
      </c>
      <c r="AR8278" s="4" t="s">
        <v>377</v>
      </c>
    </row>
    <row r="8279" spans="1:44" ht="30">
      <c r="A8279" s="4" t="s">
        <v>10753</v>
      </c>
      <c r="B8279" s="4">
        <v>12280</v>
      </c>
      <c r="D8279" s="5" t="s">
        <v>11299</v>
      </c>
      <c r="E8279" s="6" t="str">
        <f>HYPERLINK("https://inpn.mnhn.fr/espece/cd_nom/12280","Anastrangalia sanguinolenta (Linnaeus, 1761)")</f>
        <v>Anastrangalia sanguinolenta (Linnaeus, 1761)</v>
      </c>
      <c r="F8279" s="5" t="s">
        <v>11300</v>
      </c>
      <c r="P8279" s="7" t="str">
        <f>HYPERLINK("#Liste_rouge!A"&amp;_xlfn.XMATCH("LC",Liste_rouge!A:A,2,1),"LC")</f>
        <v>LC</v>
      </c>
      <c r="AH8279" s="4" t="str">
        <f>HYPERLINK("#Statut_biogéographique!A"&amp;_xlfn.XMATCH("P",Statut_biogéographique!A:A,2,1),"P")</f>
        <v>P</v>
      </c>
      <c r="AP8279" s="4" t="s">
        <v>376</v>
      </c>
      <c r="AR8279" s="4" t="s">
        <v>377</v>
      </c>
    </row>
    <row r="8280" spans="1:44">
      <c r="A8280" s="4" t="s">
        <v>10753</v>
      </c>
      <c r="B8280" s="4">
        <v>12282</v>
      </c>
      <c r="D8280" s="5" t="s">
        <v>11301</v>
      </c>
      <c r="E8280" s="6" t="str">
        <f>HYPERLINK("https://inpn.mnhn.fr/espece/cd_nom/12282","Anastrangalia dubia (Scopoli, 1763)")</f>
        <v>Anastrangalia dubia (Scopoli, 1763)</v>
      </c>
      <c r="F8280" s="5" t="s">
        <v>11302</v>
      </c>
      <c r="P8280" s="7" t="str">
        <f>HYPERLINK("#Liste_rouge!A"&amp;_xlfn.XMATCH("LC",Liste_rouge!A:A,2,1),"LC")</f>
        <v>LC</v>
      </c>
      <c r="AH8280" s="4" t="str">
        <f>HYPERLINK("#Statut_biogéographique!A"&amp;_xlfn.XMATCH("P",Statut_biogéographique!A:A,2,1),"P")</f>
        <v>P</v>
      </c>
      <c r="AP8280" s="4" t="s">
        <v>376</v>
      </c>
      <c r="AR8280" s="4" t="s">
        <v>377</v>
      </c>
    </row>
    <row r="8281" spans="1:44">
      <c r="A8281" s="4" t="s">
        <v>10753</v>
      </c>
      <c r="B8281" s="4">
        <v>12302</v>
      </c>
      <c r="D8281" s="5" t="s">
        <v>11303</v>
      </c>
      <c r="E8281" s="6" t="str">
        <f>HYPERLINK("https://inpn.mnhn.fr/espece/cd_nom/12302","Spondylis buprestoides (Linnaeus, 1758)")</f>
        <v>Spondylis buprestoides (Linnaeus, 1758)</v>
      </c>
      <c r="F8281" s="5" t="s">
        <v>11304</v>
      </c>
      <c r="P8281" s="7" t="str">
        <f>HYPERLINK("#Liste_rouge!A"&amp;_xlfn.XMATCH("LC",Liste_rouge!A:A,2,1),"LC")</f>
        <v>LC</v>
      </c>
      <c r="AH8281" s="4" t="str">
        <f>HYPERLINK("#Statut_biogéographique!A"&amp;_xlfn.XMATCH("P",Statut_biogéographique!A:A,2,1),"P")</f>
        <v>P</v>
      </c>
      <c r="AP8281" s="4" t="s">
        <v>376</v>
      </c>
      <c r="AR8281" s="4" t="s">
        <v>377</v>
      </c>
    </row>
    <row r="8282" spans="1:44">
      <c r="A8282" s="4" t="s">
        <v>10753</v>
      </c>
      <c r="B8282" s="4">
        <v>12304</v>
      </c>
      <c r="D8282" s="5" t="s">
        <v>11305</v>
      </c>
      <c r="E8282" s="6" t="str">
        <f>HYPERLINK("https://inpn.mnhn.fr/espece/cd_nom/12304","Asemum striatum (Linnaeus, 1758)")</f>
        <v>Asemum striatum (Linnaeus, 1758)</v>
      </c>
      <c r="P8282" s="7" t="str">
        <f>HYPERLINK("#Liste_rouge!A"&amp;_xlfn.XMATCH("LC",Liste_rouge!A:A,2,1),"LC")</f>
        <v>LC</v>
      </c>
      <c r="AH8282" s="4" t="str">
        <f>HYPERLINK("#Statut_biogéographique!A"&amp;_xlfn.XMATCH("P",Statut_biogéographique!A:A,2,1),"P")</f>
        <v>P</v>
      </c>
      <c r="AP8282" s="4" t="s">
        <v>376</v>
      </c>
      <c r="AR8282" s="4" t="s">
        <v>377</v>
      </c>
    </row>
    <row r="8283" spans="1:44">
      <c r="A8283" s="4" t="s">
        <v>10753</v>
      </c>
      <c r="B8283" s="4">
        <v>12307</v>
      </c>
      <c r="D8283" s="5" t="s">
        <v>11306</v>
      </c>
      <c r="E8283" s="6" t="str">
        <f>HYPERLINK("https://inpn.mnhn.fr/espece/cd_nom/12307","Arhopalus rusticus (Linnaeus, 1758)")</f>
        <v>Arhopalus rusticus (Linnaeus, 1758)</v>
      </c>
      <c r="P8283" s="7" t="str">
        <f>HYPERLINK("#Liste_rouge!A"&amp;_xlfn.XMATCH("LC",Liste_rouge!A:A,2,1),"LC")</f>
        <v>LC</v>
      </c>
      <c r="AH8283" s="4" t="str">
        <f>HYPERLINK("#Statut_biogéographique!A"&amp;_xlfn.XMATCH("P",Statut_biogéographique!A:A,2,1),"P")</f>
        <v>P</v>
      </c>
      <c r="AP8283" s="4" t="s">
        <v>376</v>
      </c>
      <c r="AR8283" s="4" t="s">
        <v>377</v>
      </c>
    </row>
    <row r="8284" spans="1:44">
      <c r="A8284" s="4" t="s">
        <v>10753</v>
      </c>
      <c r="B8284" s="4">
        <v>12314</v>
      </c>
      <c r="D8284" s="5" t="s">
        <v>11307</v>
      </c>
      <c r="E8284" s="6" t="str">
        <f>HYPERLINK("https://inpn.mnhn.fr/espece/cd_nom/12314","Tetropium castaneum (Linnaeus, 1758)")</f>
        <v>Tetropium castaneum (Linnaeus, 1758)</v>
      </c>
      <c r="P8284" s="7" t="str">
        <f>HYPERLINK("#Liste_rouge!A"&amp;_xlfn.XMATCH("LC",Liste_rouge!A:A,2,1),"LC")</f>
        <v>LC</v>
      </c>
      <c r="AH8284" s="4" t="str">
        <f>HYPERLINK("#Statut_biogéographique!A"&amp;_xlfn.XMATCH("P",Statut_biogéographique!A:A,2,1),"P")</f>
        <v>P</v>
      </c>
      <c r="AP8284" s="4" t="s">
        <v>376</v>
      </c>
      <c r="AR8284" s="4" t="s">
        <v>377</v>
      </c>
    </row>
    <row r="8285" spans="1:44">
      <c r="A8285" s="4" t="s">
        <v>10753</v>
      </c>
      <c r="B8285" s="4">
        <v>12323</v>
      </c>
      <c r="D8285" s="5" t="s">
        <v>11308</v>
      </c>
      <c r="E8285" s="6" t="str">
        <f>HYPERLINK("https://inpn.mnhn.fr/espece/cd_nom/12323","Gracilia minuta (Fabricius, 1781)")</f>
        <v>Gracilia minuta (Fabricius, 1781)</v>
      </c>
      <c r="P8285" s="7" t="str">
        <f>HYPERLINK("#Liste_rouge!A"&amp;_xlfn.XMATCH("LC",Liste_rouge!A:A,2,1),"LC")</f>
        <v>LC</v>
      </c>
      <c r="AH8285" s="4" t="str">
        <f>HYPERLINK("#Statut_biogéographique!A"&amp;_xlfn.XMATCH("P",Statut_biogéographique!A:A,2,1),"P")</f>
        <v>P</v>
      </c>
      <c r="AP8285" s="4" t="s">
        <v>376</v>
      </c>
      <c r="AR8285" s="4" t="s">
        <v>377</v>
      </c>
    </row>
    <row r="8286" spans="1:44">
      <c r="A8286" s="4" t="s">
        <v>10753</v>
      </c>
      <c r="B8286" s="4">
        <v>12330</v>
      </c>
      <c r="D8286" s="5" t="s">
        <v>11309</v>
      </c>
      <c r="E8286" s="6" t="str">
        <f>HYPERLINK("https://inpn.mnhn.fr/espece/cd_nom/12330","Stenopterus rufus (Linnaeus, 1767)")</f>
        <v>Stenopterus rufus (Linnaeus, 1767)</v>
      </c>
      <c r="F8286" s="5" t="s">
        <v>11310</v>
      </c>
      <c r="P8286" s="7" t="str">
        <f>HYPERLINK("#Liste_rouge!A"&amp;_xlfn.XMATCH("LC",Liste_rouge!A:A,2,1),"LC")</f>
        <v>LC</v>
      </c>
      <c r="AH8286" s="4" t="str">
        <f>HYPERLINK("#Statut_biogéographique!A"&amp;_xlfn.XMATCH("P",Statut_biogéographique!A:A,2,1),"P")</f>
        <v>P</v>
      </c>
      <c r="AP8286" s="4" t="s">
        <v>376</v>
      </c>
      <c r="AR8286" s="4" t="s">
        <v>377</v>
      </c>
    </row>
    <row r="8287" spans="1:44">
      <c r="A8287" s="4" t="s">
        <v>10753</v>
      </c>
      <c r="B8287" s="4">
        <v>12336</v>
      </c>
      <c r="D8287" s="5" t="s">
        <v>11311</v>
      </c>
      <c r="E8287" s="6" t="str">
        <f>HYPERLINK("https://inpn.mnhn.fr/espece/cd_nom/12336","Cerambyx cerdo Linnaeus, 1758")</f>
        <v>Cerambyx cerdo Linnaeus, 1758</v>
      </c>
      <c r="F8287" s="5" t="s">
        <v>11312</v>
      </c>
      <c r="I8287" s="4" t="str">
        <f>HYPERLINK("#Réglementation!A"&amp;_xlfn.XMATCH("IBE2",Réglementation!A:A,2,1),"IBE2")</f>
        <v>IBE2</v>
      </c>
      <c r="K8287" s="4" t="str">
        <f>HYPERLINK("#Réglementation!A"&amp;_xlfn.XMATCH("CDH2",Réglementation!A:A,2,1),"CDH2 - CDH4")</f>
        <v>CDH2 - CDH4</v>
      </c>
      <c r="L8287" s="4" t="str">
        <f>HYPERLINK("#Réglementation!A"&amp;_xlfn.XMATCH("NI2",Réglementation!A:A,2,1),"NI2")</f>
        <v>NI2</v>
      </c>
      <c r="O8287" s="7" t="str">
        <f>HYPERLINK("#Liste_rouge!A"&amp;_xlfn.XMATCH("VU",Liste_rouge!A:A,2,1),"VU")</f>
        <v>VU</v>
      </c>
      <c r="P8287" s="7" t="str">
        <f>HYPERLINK("#Liste_rouge!A"&amp;_xlfn.XMATCH("NT",Liste_rouge!A:A,2,1),"NT")</f>
        <v>NT</v>
      </c>
      <c r="AE8287" s="4" t="str">
        <f>HYPERLINK("#SCAP!A"&amp;_xlfn.XMATCH("2+",SCAP!A:A,2,1),"2+")</f>
        <v>2+</v>
      </c>
      <c r="AF8287" s="4" t="str">
        <f>HYPERLINK("#SCAP!A"&amp;_xlfn.XMATCH("2+",SCAP!A:A,2,1),"2+")</f>
        <v>2+</v>
      </c>
      <c r="AG8287" s="4" t="str">
        <f>HYPERLINK("#SCAP!A"&amp;_xlfn.XMATCH("1-",SCAP!A:A,2,1),"1-")</f>
        <v>1-</v>
      </c>
      <c r="AH8287" s="4" t="str">
        <f>HYPERLINK("#Statut_biogéographique!A"&amp;_xlfn.XMATCH("P",Statut_biogéographique!A:A,2,1),"P")</f>
        <v>P</v>
      </c>
      <c r="AP8287" s="4" t="s">
        <v>389</v>
      </c>
      <c r="AR8287" s="4" t="s">
        <v>377</v>
      </c>
    </row>
    <row r="8288" spans="1:44">
      <c r="A8288" s="4" t="s">
        <v>10753</v>
      </c>
      <c r="B8288" s="4">
        <v>12338</v>
      </c>
      <c r="D8288" s="5">
        <v>12338</v>
      </c>
      <c r="E8288" s="6" t="str">
        <f>HYPERLINK("https://inpn.mnhn.fr/espece/cd_nom/12338","Cerambyx scopolii Fuessly, 1775")</f>
        <v>Cerambyx scopolii Fuessly, 1775</v>
      </c>
      <c r="F8288" s="5" t="s">
        <v>11313</v>
      </c>
      <c r="P8288" s="7" t="str">
        <f>HYPERLINK("#Liste_rouge!A"&amp;_xlfn.XMATCH("LC",Liste_rouge!A:A,2,1),"LC")</f>
        <v>LC</v>
      </c>
      <c r="AH8288" s="4" t="str">
        <f>HYPERLINK("#Statut_biogéographique!A"&amp;_xlfn.XMATCH("P",Statut_biogéographique!A:A,2,1),"P")</f>
        <v>P</v>
      </c>
      <c r="AP8288" s="4" t="s">
        <v>376</v>
      </c>
      <c r="AR8288" s="4" t="s">
        <v>377</v>
      </c>
    </row>
    <row r="8289" spans="1:44">
      <c r="A8289" s="4" t="s">
        <v>10753</v>
      </c>
      <c r="B8289" s="4">
        <v>12343</v>
      </c>
      <c r="D8289" s="5">
        <v>12343</v>
      </c>
      <c r="E8289" s="6" t="str">
        <f>HYPERLINK("https://inpn.mnhn.fr/espece/cd_nom/12343","Purpuricenus globulicollis Dejean, 1839")</f>
        <v>Purpuricenus globulicollis Dejean, 1839</v>
      </c>
      <c r="O8289" s="7" t="str">
        <f>HYPERLINK("#Liste_rouge!A"&amp;_xlfn.XMATCH("DD",Liste_rouge!A:A,2,1),"DD")</f>
        <v>DD</v>
      </c>
      <c r="P8289" s="7" t="str">
        <f>HYPERLINK("#Liste_rouge!A"&amp;_xlfn.XMATCH("DD",Liste_rouge!A:A,2,1),"DD")</f>
        <v>DD</v>
      </c>
      <c r="AH8289" s="4" t="str">
        <f>HYPERLINK("#Statut_biogéographique!A"&amp;_xlfn.XMATCH("P",Statut_biogéographique!A:A,2,1),"P")</f>
        <v>P</v>
      </c>
      <c r="AP8289" s="4" t="s">
        <v>376</v>
      </c>
      <c r="AR8289" s="4" t="s">
        <v>377</v>
      </c>
    </row>
    <row r="8290" spans="1:44">
      <c r="A8290" s="4" t="s">
        <v>10753</v>
      </c>
      <c r="B8290" s="4">
        <v>12344</v>
      </c>
      <c r="D8290" s="5" t="s">
        <v>11314</v>
      </c>
      <c r="E8290" s="6" t="str">
        <f>HYPERLINK("https://inpn.mnhn.fr/espece/cd_nom/12344","Purpuricenus kaehleri (Linnaeus, 1758)")</f>
        <v>Purpuricenus kaehleri (Linnaeus, 1758)</v>
      </c>
      <c r="P8290" s="7" t="str">
        <f>HYPERLINK("#Liste_rouge!A"&amp;_xlfn.XMATCH("LC",Liste_rouge!A:A,2,1),"LC")</f>
        <v>LC</v>
      </c>
      <c r="AH8290" s="4" t="str">
        <f>HYPERLINK("#Statut_biogéographique!A"&amp;_xlfn.XMATCH("P",Statut_biogéographique!A:A,2,1),"P")</f>
        <v>P</v>
      </c>
      <c r="AP8290" s="4" t="s">
        <v>376</v>
      </c>
      <c r="AR8290" s="4" t="s">
        <v>377</v>
      </c>
    </row>
    <row r="8291" spans="1:44" ht="30">
      <c r="A8291" s="4" t="s">
        <v>10753</v>
      </c>
      <c r="B8291" s="4">
        <v>12346</v>
      </c>
      <c r="D8291" s="5" t="s">
        <v>11315</v>
      </c>
      <c r="E8291" s="6" t="str">
        <f>HYPERLINK("https://inpn.mnhn.fr/espece/cd_nom/12346","Aromia moschata (Linnaeus, 1758)")</f>
        <v>Aromia moschata (Linnaeus, 1758)</v>
      </c>
      <c r="F8291" s="5" t="s">
        <v>11316</v>
      </c>
      <c r="P8291" s="7" t="str">
        <f>HYPERLINK("#Liste_rouge!A"&amp;_xlfn.XMATCH("LC",Liste_rouge!A:A,2,1),"LC")</f>
        <v>LC</v>
      </c>
      <c r="AH8291" s="4" t="str">
        <f>HYPERLINK("#Statut_biogéographique!A"&amp;_xlfn.XMATCH("P",Statut_biogéographique!A:A,2,1),"P")</f>
        <v>P</v>
      </c>
      <c r="AP8291" s="4" t="s">
        <v>376</v>
      </c>
      <c r="AR8291" s="4" t="s">
        <v>377</v>
      </c>
    </row>
    <row r="8292" spans="1:44">
      <c r="A8292" s="4" t="s">
        <v>10753</v>
      </c>
      <c r="B8292" s="4">
        <v>12348</v>
      </c>
      <c r="D8292" s="5" t="s">
        <v>11317</v>
      </c>
      <c r="E8292" s="6" t="str">
        <f>HYPERLINK("https://inpn.mnhn.fr/espece/cd_nom/12348","Rosalia alpina (Linnaeus, 1758)")</f>
        <v>Rosalia alpina (Linnaeus, 1758)</v>
      </c>
      <c r="F8292" s="5" t="s">
        <v>11318</v>
      </c>
      <c r="I8292" s="4" t="str">
        <f>HYPERLINK("#Réglementation!A"&amp;_xlfn.XMATCH("IBE2",Réglementation!A:A,2,1),"IBE2")</f>
        <v>IBE2</v>
      </c>
      <c r="K8292" s="4" t="str">
        <f>HYPERLINK("#Réglementation!A"&amp;_xlfn.XMATCH("CDH2",Réglementation!A:A,2,1),"CDH2 - CDH4")</f>
        <v>CDH2 - CDH4</v>
      </c>
      <c r="L8292" s="4" t="str">
        <f>HYPERLINK("#Réglementation!A"&amp;_xlfn.XMATCH("NI2",Réglementation!A:A,2,1),"NI2")</f>
        <v>NI2</v>
      </c>
      <c r="O8292" s="7" t="str">
        <f>HYPERLINK("#Liste_rouge!A"&amp;_xlfn.XMATCH("VU",Liste_rouge!A:A,2,1),"VU")</f>
        <v>VU</v>
      </c>
      <c r="P8292" s="7" t="str">
        <f>HYPERLINK("#Liste_rouge!A"&amp;_xlfn.XMATCH("LC",Liste_rouge!A:A,2,1),"LC")</f>
        <v>LC</v>
      </c>
      <c r="AC8292" s="4" t="s">
        <v>11319</v>
      </c>
      <c r="AE8292" s="4" t="str">
        <f>HYPERLINK("#SCAP!A"&amp;_xlfn.XMATCH("2+",SCAP!A:A,2,1),"2+")</f>
        <v>2+</v>
      </c>
      <c r="AF8292" s="4" t="str">
        <f>HYPERLINK("#SCAP!A"&amp;_xlfn.XMATCH("2+",SCAP!A:A,2,1),"2+")</f>
        <v>2+</v>
      </c>
      <c r="AH8292" s="4" t="str">
        <f>HYPERLINK("#Statut_biogéographique!A"&amp;_xlfn.XMATCH("P",Statut_biogéographique!A:A,2,1),"P")</f>
        <v>P</v>
      </c>
      <c r="AP8292" s="4" t="s">
        <v>389</v>
      </c>
      <c r="AR8292" s="4" t="s">
        <v>377</v>
      </c>
    </row>
    <row r="8293" spans="1:44">
      <c r="A8293" s="4" t="s">
        <v>10753</v>
      </c>
      <c r="B8293" s="4">
        <v>12351</v>
      </c>
      <c r="D8293" s="5" t="s">
        <v>11320</v>
      </c>
      <c r="E8293" s="6" t="str">
        <f>HYPERLINK("https://inpn.mnhn.fr/espece/cd_nom/12351","Hylotrupes bajulus (Linnaeus, 1758)")</f>
        <v>Hylotrupes bajulus (Linnaeus, 1758)</v>
      </c>
      <c r="F8293" s="5" t="s">
        <v>11321</v>
      </c>
      <c r="P8293" s="7" t="str">
        <f>HYPERLINK("#Liste_rouge!A"&amp;_xlfn.XMATCH("LC",Liste_rouge!A:A,2,1),"LC")</f>
        <v>LC</v>
      </c>
      <c r="AH8293" s="4" t="str">
        <f>HYPERLINK("#Statut_biogéographique!A"&amp;_xlfn.XMATCH("P",Statut_biogéographique!A:A,2,1),"P")</f>
        <v>P</v>
      </c>
      <c r="AP8293" s="4" t="s">
        <v>376</v>
      </c>
      <c r="AR8293" s="4" t="s">
        <v>377</v>
      </c>
    </row>
    <row r="8294" spans="1:44">
      <c r="A8294" s="4" t="s">
        <v>10753</v>
      </c>
      <c r="B8294" s="4">
        <v>12354</v>
      </c>
      <c r="D8294" s="5" t="s">
        <v>11322</v>
      </c>
      <c r="E8294" s="6" t="str">
        <f>HYPERLINK("https://inpn.mnhn.fr/espece/cd_nom/12354","Ropalopus femoratus (Linnaeus, 1758)")</f>
        <v>Ropalopus femoratus (Linnaeus, 1758)</v>
      </c>
      <c r="O8294" s="7" t="str">
        <f>HYPERLINK("#Liste_rouge!A"&amp;_xlfn.XMATCH("LC",Liste_rouge!A:A,2,1),"LC")</f>
        <v>LC</v>
      </c>
      <c r="P8294" s="7" t="str">
        <f>HYPERLINK("#Liste_rouge!A"&amp;_xlfn.XMATCH("LC",Liste_rouge!A:A,2,1),"LC")</f>
        <v>LC</v>
      </c>
      <c r="AH8294" s="4" t="str">
        <f>HYPERLINK("#Statut_biogéographique!A"&amp;_xlfn.XMATCH("P",Statut_biogéographique!A:A,2,1),"P")</f>
        <v>P</v>
      </c>
      <c r="AP8294" s="4" t="s">
        <v>376</v>
      </c>
      <c r="AR8294" s="4" t="s">
        <v>377</v>
      </c>
    </row>
    <row r="8295" spans="1:44">
      <c r="A8295" s="4" t="s">
        <v>10753</v>
      </c>
      <c r="B8295" s="4">
        <v>12357</v>
      </c>
      <c r="D8295" s="5" t="s">
        <v>11323</v>
      </c>
      <c r="E8295" s="6" t="str">
        <f>HYPERLINK("https://inpn.mnhn.fr/espece/cd_nom/12357","Pyrrhidium sanguineum (Linnaeus, 1758)")</f>
        <v>Pyrrhidium sanguineum (Linnaeus, 1758)</v>
      </c>
      <c r="F8295" s="5" t="s">
        <v>11324</v>
      </c>
      <c r="P8295" s="7" t="str">
        <f>HYPERLINK("#Liste_rouge!A"&amp;_xlfn.XMATCH("LC",Liste_rouge!A:A,2,1),"LC")</f>
        <v>LC</v>
      </c>
      <c r="AH8295" s="4" t="str">
        <f>HYPERLINK("#Statut_biogéographique!A"&amp;_xlfn.XMATCH("P",Statut_biogéographique!A:A,2,1),"P")</f>
        <v>P</v>
      </c>
      <c r="AP8295" s="4" t="s">
        <v>376</v>
      </c>
      <c r="AR8295" s="4" t="s">
        <v>377</v>
      </c>
    </row>
    <row r="8296" spans="1:44">
      <c r="A8296" s="4" t="s">
        <v>10753</v>
      </c>
      <c r="B8296" s="4">
        <v>12360</v>
      </c>
      <c r="D8296" s="5" t="s">
        <v>11325</v>
      </c>
      <c r="E8296" s="6" t="str">
        <f>HYPERLINK("https://inpn.mnhn.fr/espece/cd_nom/12360","Phymatodes testaceus (Linnaeus, 1758)")</f>
        <v>Phymatodes testaceus (Linnaeus, 1758)</v>
      </c>
      <c r="F8296" s="5" t="s">
        <v>11326</v>
      </c>
      <c r="P8296" s="7" t="str">
        <f>HYPERLINK("#Liste_rouge!A"&amp;_xlfn.XMATCH("LC",Liste_rouge!A:A,2,1),"LC")</f>
        <v>LC</v>
      </c>
      <c r="AH8296" s="4" t="str">
        <f>HYPERLINK("#Statut_biogéographique!A"&amp;_xlfn.XMATCH("P",Statut_biogéographique!A:A,2,1),"P")</f>
        <v>P</v>
      </c>
      <c r="AP8296" s="4" t="s">
        <v>376</v>
      </c>
      <c r="AR8296" s="4" t="s">
        <v>377</v>
      </c>
    </row>
    <row r="8297" spans="1:44">
      <c r="A8297" s="4" t="s">
        <v>10753</v>
      </c>
      <c r="B8297" s="4">
        <v>12375</v>
      </c>
      <c r="D8297" s="5" t="s">
        <v>11327</v>
      </c>
      <c r="E8297" s="6" t="str">
        <f>HYPERLINK("https://inpn.mnhn.fr/espece/cd_nom/12375","Xylotrechus antilope (Schönherr, 1817)")</f>
        <v>Xylotrechus antilope (Schönherr, 1817)</v>
      </c>
      <c r="F8297" s="5" t="s">
        <v>11328</v>
      </c>
      <c r="P8297" s="7" t="str">
        <f>HYPERLINK("#Liste_rouge!A"&amp;_xlfn.XMATCH("LC",Liste_rouge!A:A,2,1),"LC")</f>
        <v>LC</v>
      </c>
      <c r="AH8297" s="4" t="str">
        <f>HYPERLINK("#Statut_biogéographique!A"&amp;_xlfn.XMATCH("P",Statut_biogéographique!A:A,2,1),"P")</f>
        <v>P</v>
      </c>
      <c r="AP8297" s="4" t="s">
        <v>376</v>
      </c>
      <c r="AR8297" s="4" t="s">
        <v>377</v>
      </c>
    </row>
    <row r="8298" spans="1:44">
      <c r="A8298" s="4" t="s">
        <v>10753</v>
      </c>
      <c r="B8298" s="4">
        <v>12377</v>
      </c>
      <c r="D8298" s="5" t="s">
        <v>11329</v>
      </c>
      <c r="E8298" s="6" t="str">
        <f>HYPERLINK("https://inpn.mnhn.fr/espece/cd_nom/12377","Xylotrechus arvicola (Olivier, 1800)")</f>
        <v>Xylotrechus arvicola (Olivier, 1800)</v>
      </c>
      <c r="F8298" s="5" t="s">
        <v>11330</v>
      </c>
      <c r="P8298" s="7" t="str">
        <f>HYPERLINK("#Liste_rouge!A"&amp;_xlfn.XMATCH("LC",Liste_rouge!A:A,2,1),"LC")</f>
        <v>LC</v>
      </c>
      <c r="AH8298" s="4" t="str">
        <f>HYPERLINK("#Statut_biogéographique!A"&amp;_xlfn.XMATCH("P",Statut_biogéographique!A:A,2,1),"P")</f>
        <v>P</v>
      </c>
      <c r="AP8298" s="4" t="s">
        <v>376</v>
      </c>
      <c r="AR8298" s="4" t="s">
        <v>377</v>
      </c>
    </row>
    <row r="8299" spans="1:44">
      <c r="A8299" s="4" t="s">
        <v>10753</v>
      </c>
      <c r="B8299" s="4">
        <v>12378</v>
      </c>
      <c r="D8299" s="5" t="s">
        <v>11331</v>
      </c>
      <c r="E8299" s="6" t="str">
        <f>HYPERLINK("https://inpn.mnhn.fr/espece/cd_nom/12378","Xylotrechus rusticus (Linnaeus, 1758)")</f>
        <v>Xylotrechus rusticus (Linnaeus, 1758)</v>
      </c>
      <c r="F8299" s="5" t="s">
        <v>11332</v>
      </c>
      <c r="P8299" s="7" t="str">
        <f>HYPERLINK("#Liste_rouge!A"&amp;_xlfn.XMATCH("LC",Liste_rouge!A:A,2,1),"LC")</f>
        <v>LC</v>
      </c>
      <c r="AH8299" s="4" t="str">
        <f>HYPERLINK("#Statut_biogéographique!A"&amp;_xlfn.XMATCH("P",Statut_biogéographique!A:A,2,1),"P")</f>
        <v>P</v>
      </c>
      <c r="AP8299" s="4" t="s">
        <v>376</v>
      </c>
      <c r="AR8299" s="4" t="s">
        <v>377</v>
      </c>
    </row>
    <row r="8300" spans="1:44" ht="30">
      <c r="A8300" s="4" t="s">
        <v>10753</v>
      </c>
      <c r="B8300" s="4">
        <v>12380</v>
      </c>
      <c r="D8300" s="5" t="s">
        <v>11333</v>
      </c>
      <c r="E8300" s="6" t="str">
        <f>HYPERLINK("https://inpn.mnhn.fr/espece/cd_nom/12380","Clytus arietis (Linnaeus, 1758)")</f>
        <v>Clytus arietis (Linnaeus, 1758)</v>
      </c>
      <c r="F8300" s="5" t="s">
        <v>11334</v>
      </c>
      <c r="P8300" s="7" t="str">
        <f>HYPERLINK("#Liste_rouge!A"&amp;_xlfn.XMATCH("LC",Liste_rouge!A:A,2,1),"LC")</f>
        <v>LC</v>
      </c>
      <c r="AH8300" s="4" t="str">
        <f>HYPERLINK("#Statut_biogéographique!A"&amp;_xlfn.XMATCH("P",Statut_biogéographique!A:A,2,1),"P")</f>
        <v>P</v>
      </c>
      <c r="AP8300" s="4" t="s">
        <v>376</v>
      </c>
      <c r="AR8300" s="4" t="s">
        <v>377</v>
      </c>
    </row>
    <row r="8301" spans="1:44">
      <c r="A8301" s="4" t="s">
        <v>10753</v>
      </c>
      <c r="B8301" s="4">
        <v>12385</v>
      </c>
      <c r="D8301" s="5">
        <v>12385</v>
      </c>
      <c r="E8301" s="6" t="str">
        <f>HYPERLINK("https://inpn.mnhn.fr/espece/cd_nom/12385","Clytus lama Mulsant, 1847")</f>
        <v>Clytus lama Mulsant, 1847</v>
      </c>
      <c r="O8301" s="7" t="str">
        <f>HYPERLINK("#Liste_rouge!A"&amp;_xlfn.XMATCH("LC",Liste_rouge!A:A,2,1),"LC")</f>
        <v>LC</v>
      </c>
      <c r="P8301" s="7" t="str">
        <f>HYPERLINK("#Liste_rouge!A"&amp;_xlfn.XMATCH("LC",Liste_rouge!A:A,2,1),"LC")</f>
        <v>LC</v>
      </c>
      <c r="AH8301" s="4" t="str">
        <f>HYPERLINK("#Statut_biogéographique!A"&amp;_xlfn.XMATCH("P",Statut_biogéographique!A:A,2,1),"P")</f>
        <v>P</v>
      </c>
      <c r="AP8301" s="4" t="s">
        <v>376</v>
      </c>
      <c r="AR8301" s="4" t="s">
        <v>377</v>
      </c>
    </row>
    <row r="8302" spans="1:44">
      <c r="A8302" s="4" t="s">
        <v>10753</v>
      </c>
      <c r="B8302" s="4">
        <v>12387</v>
      </c>
      <c r="D8302" s="5" t="s">
        <v>11335</v>
      </c>
      <c r="E8302" s="6" t="str">
        <f>HYPERLINK("https://inpn.mnhn.fr/espece/cd_nom/12387","Clytus rhamni Germar, 1817")</f>
        <v>Clytus rhamni Germar, 1817</v>
      </c>
      <c r="P8302" s="7" t="str">
        <f>HYPERLINK("#Liste_rouge!A"&amp;_xlfn.XMATCH("LC",Liste_rouge!A:A,2,1),"LC")</f>
        <v>LC</v>
      </c>
      <c r="AH8302" s="4" t="str">
        <f>HYPERLINK("#Statut_biogéographique!A"&amp;_xlfn.XMATCH("P",Statut_biogéographique!A:A,2,1),"P")</f>
        <v>P</v>
      </c>
      <c r="AP8302" s="4" t="s">
        <v>376</v>
      </c>
      <c r="AR8302" s="4" t="s">
        <v>377</v>
      </c>
    </row>
    <row r="8303" spans="1:44">
      <c r="A8303" s="4" t="s">
        <v>10753</v>
      </c>
      <c r="B8303" s="4">
        <v>12389</v>
      </c>
      <c r="D8303" s="5" t="s">
        <v>11336</v>
      </c>
      <c r="E8303" s="6" t="str">
        <f>HYPERLINK("https://inpn.mnhn.fr/espece/cd_nom/12389","Clytus tropicus (Panzer, 1795)")</f>
        <v>Clytus tropicus (Panzer, 1795)</v>
      </c>
      <c r="F8303" s="5" t="s">
        <v>11337</v>
      </c>
      <c r="O8303" s="7" t="str">
        <f>HYPERLINK("#Liste_rouge!A"&amp;_xlfn.XMATCH("LC",Liste_rouge!A:A,2,1),"LC")</f>
        <v>LC</v>
      </c>
      <c r="P8303" s="7" t="str">
        <f>HYPERLINK("#Liste_rouge!A"&amp;_xlfn.XMATCH("LC",Liste_rouge!A:A,2,1),"LC")</f>
        <v>LC</v>
      </c>
      <c r="AH8303" s="4" t="str">
        <f>HYPERLINK("#Statut_biogéographique!A"&amp;_xlfn.XMATCH("P",Statut_biogéographique!A:A,2,1),"P")</f>
        <v>P</v>
      </c>
      <c r="AP8303" s="4" t="s">
        <v>376</v>
      </c>
      <c r="AR8303" s="4" t="s">
        <v>377</v>
      </c>
    </row>
    <row r="8304" spans="1:44">
      <c r="A8304" s="4" t="s">
        <v>10753</v>
      </c>
      <c r="B8304" s="4">
        <v>12398</v>
      </c>
      <c r="D8304" s="5" t="s">
        <v>11338</v>
      </c>
      <c r="E8304" s="6" t="str">
        <f>HYPERLINK("https://inpn.mnhn.fr/espece/cd_nom/12398","Plagionotus arcuatus (Linnaeus, 1758)")</f>
        <v>Plagionotus arcuatus (Linnaeus, 1758)</v>
      </c>
      <c r="F8304" s="5" t="s">
        <v>11339</v>
      </c>
      <c r="P8304" s="7" t="str">
        <f>HYPERLINK("#Liste_rouge!A"&amp;_xlfn.XMATCH("LC",Liste_rouge!A:A,2,1),"LC")</f>
        <v>LC</v>
      </c>
      <c r="AH8304" s="4" t="str">
        <f>HYPERLINK("#Statut_biogéographique!A"&amp;_xlfn.XMATCH("P",Statut_biogéographique!A:A,2,1),"P")</f>
        <v>P</v>
      </c>
      <c r="AP8304" s="4" t="s">
        <v>376</v>
      </c>
      <c r="AR8304" s="4" t="s">
        <v>377</v>
      </c>
    </row>
    <row r="8305" spans="1:44">
      <c r="A8305" s="4" t="s">
        <v>10753</v>
      </c>
      <c r="B8305" s="4">
        <v>12400</v>
      </c>
      <c r="D8305" s="5" t="s">
        <v>11340</v>
      </c>
      <c r="E8305" s="6" t="str">
        <f>HYPERLINK("https://inpn.mnhn.fr/espece/cd_nom/12400","Chlorophorus figuratus (Scopoli, 1763)")</f>
        <v>Chlorophorus figuratus (Scopoli, 1763)</v>
      </c>
      <c r="P8305" s="7" t="str">
        <f>HYPERLINK("#Liste_rouge!A"&amp;_xlfn.XMATCH("LC",Liste_rouge!A:A,2,1),"LC")</f>
        <v>LC</v>
      </c>
      <c r="AH8305" s="4" t="str">
        <f>HYPERLINK("#Statut_biogéographique!A"&amp;_xlfn.XMATCH("P",Statut_biogéographique!A:A,2,1),"P")</f>
        <v>P</v>
      </c>
      <c r="AP8305" s="4" t="s">
        <v>376</v>
      </c>
      <c r="AR8305" s="4" t="s">
        <v>377</v>
      </c>
    </row>
    <row r="8306" spans="1:44">
      <c r="A8306" s="4" t="s">
        <v>10753</v>
      </c>
      <c r="B8306" s="4">
        <v>12403</v>
      </c>
      <c r="D8306" s="5" t="s">
        <v>11341</v>
      </c>
      <c r="E8306" s="6" t="str">
        <f>HYPERLINK("https://inpn.mnhn.fr/espece/cd_nom/12403","Chlorophorus sartor (Müller, 1766)")</f>
        <v>Chlorophorus sartor (Müller, 1766)</v>
      </c>
      <c r="P8306" s="7" t="str">
        <f>HYPERLINK("#Liste_rouge!A"&amp;_xlfn.XMATCH("LC",Liste_rouge!A:A,2,1),"LC")</f>
        <v>LC</v>
      </c>
      <c r="AH8306" s="4" t="str">
        <f>HYPERLINK("#Statut_biogéographique!A"&amp;_xlfn.XMATCH("P",Statut_biogéographique!A:A,2,1),"P")</f>
        <v>P</v>
      </c>
      <c r="AP8306" s="4" t="s">
        <v>376</v>
      </c>
      <c r="AR8306" s="4" t="s">
        <v>377</v>
      </c>
    </row>
    <row r="8307" spans="1:44">
      <c r="A8307" s="4" t="s">
        <v>10753</v>
      </c>
      <c r="B8307" s="4">
        <v>12404</v>
      </c>
      <c r="D8307" s="5" t="s">
        <v>11342</v>
      </c>
      <c r="E8307" s="6" t="str">
        <f>HYPERLINK("https://inpn.mnhn.fr/espece/cd_nom/12404","Chlorophorus trifasciatus (Fabricius, 1781)")</f>
        <v>Chlorophorus trifasciatus (Fabricius, 1781)</v>
      </c>
      <c r="AH8307" s="4" t="str">
        <f>HYPERLINK("#Statut_biogéographique!A"&amp;_xlfn.XMATCH("P",Statut_biogéographique!A:A,2,1),"P")</f>
        <v>P</v>
      </c>
      <c r="AP8307" s="4" t="s">
        <v>376</v>
      </c>
      <c r="AR8307" s="4" t="s">
        <v>377</v>
      </c>
    </row>
    <row r="8308" spans="1:44">
      <c r="A8308" s="4" t="s">
        <v>10753</v>
      </c>
      <c r="B8308" s="4">
        <v>12405</v>
      </c>
      <c r="D8308" s="5" t="s">
        <v>11343</v>
      </c>
      <c r="E8308" s="6" t="str">
        <f>HYPERLINK("https://inpn.mnhn.fr/espece/cd_nom/12405","Chlorophorus varius (Müller, 1766)")</f>
        <v>Chlorophorus varius (Müller, 1766)</v>
      </c>
      <c r="F8308" s="5" t="s">
        <v>11344</v>
      </c>
      <c r="P8308" s="7" t="str">
        <f>HYPERLINK("#Liste_rouge!A"&amp;_xlfn.XMATCH("LC",Liste_rouge!A:A,2,1),"LC")</f>
        <v>LC</v>
      </c>
      <c r="AH8308" s="4" t="str">
        <f>HYPERLINK("#Statut_biogéographique!A"&amp;_xlfn.XMATCH("P",Statut_biogéographique!A:A,2,1),"P")</f>
        <v>P</v>
      </c>
      <c r="AP8308" s="4" t="s">
        <v>376</v>
      </c>
      <c r="AR8308" s="4" t="s">
        <v>377</v>
      </c>
    </row>
    <row r="8309" spans="1:44">
      <c r="A8309" s="4" t="s">
        <v>10753</v>
      </c>
      <c r="B8309" s="4">
        <v>1243</v>
      </c>
      <c r="D8309" s="5" t="s">
        <v>11345</v>
      </c>
      <c r="E8309" s="6" t="str">
        <f>HYPERLINK("https://inpn.mnhn.fr/espece/cd_nom/1243","Pholcus phalangioides (Fuessly, 1775)")</f>
        <v>Pholcus phalangioides (Fuessly, 1775)</v>
      </c>
      <c r="F8309" s="5" t="s">
        <v>11346</v>
      </c>
      <c r="Q8309" s="7" t="str">
        <f>HYPERLINK("#Liste_rouge!A"&amp;_xlfn.XMATCH("LC",Liste_rouge!A:A,2,1),"LC")</f>
        <v>LC</v>
      </c>
      <c r="AH8309" s="4" t="str">
        <f>HYPERLINK("#Statut_biogéographique!A"&amp;_xlfn.XMATCH("I",Statut_biogéographique!A:A,2,1),"I")</f>
        <v>I</v>
      </c>
      <c r="AP8309" s="4" t="s">
        <v>376</v>
      </c>
      <c r="AR8309" s="4" t="s">
        <v>377</v>
      </c>
    </row>
    <row r="8310" spans="1:44" ht="30">
      <c r="A8310" s="4" t="s">
        <v>10753</v>
      </c>
      <c r="B8310" s="4">
        <v>12430</v>
      </c>
      <c r="D8310" s="5" t="s">
        <v>11347</v>
      </c>
      <c r="E8310" s="6" t="str">
        <f>HYPERLINK("https://inpn.mnhn.fr/espece/cd_nom/12430","Otiorhynchus rugosostriatus (Goeze, 1777)")</f>
        <v>Otiorhynchus rugosostriatus (Goeze, 1777)</v>
      </c>
      <c r="AH8310" s="4" t="str">
        <f>HYPERLINK("#Statut_biogéographique!A"&amp;_xlfn.XMATCH("P",Statut_biogéographique!A:A,2,1),"P")</f>
        <v>P</v>
      </c>
      <c r="AP8310" s="4" t="s">
        <v>376</v>
      </c>
      <c r="AR8310" s="4" t="s">
        <v>377</v>
      </c>
    </row>
    <row r="8311" spans="1:44" ht="30">
      <c r="A8311" s="4" t="s">
        <v>10753</v>
      </c>
      <c r="B8311" s="4">
        <v>12436</v>
      </c>
      <c r="D8311" s="5" t="s">
        <v>11348</v>
      </c>
      <c r="E8311" s="6" t="str">
        <f>HYPERLINK("https://inpn.mnhn.fr/espece/cd_nom/12436","Otiorhynchus porcatus (Herbst, 1795)")</f>
        <v>Otiorhynchus porcatus (Herbst, 1795)</v>
      </c>
      <c r="AH8311" s="4" t="str">
        <f>HYPERLINK("#Statut_biogéographique!A"&amp;_xlfn.XMATCH("P",Statut_biogéographique!A:A,2,1),"P")</f>
        <v>P</v>
      </c>
      <c r="AP8311" s="4" t="s">
        <v>376</v>
      </c>
      <c r="AR8311" s="4" t="s">
        <v>377</v>
      </c>
    </row>
    <row r="8312" spans="1:44">
      <c r="A8312" s="4" t="s">
        <v>10753</v>
      </c>
      <c r="B8312" s="4">
        <v>12439</v>
      </c>
      <c r="D8312" s="5" t="s">
        <v>11349</v>
      </c>
      <c r="E8312" s="6" t="str">
        <f>HYPERLINK("https://inpn.mnhn.fr/espece/cd_nom/12439","Otiorhynchus uncinatus Germar, 1823")</f>
        <v>Otiorhynchus uncinatus Germar, 1823</v>
      </c>
      <c r="AH8312" s="4" t="str">
        <f>HYPERLINK("#Statut_biogéographique!A"&amp;_xlfn.XMATCH("P",Statut_biogéographique!A:A,2,1),"P")</f>
        <v>P</v>
      </c>
      <c r="AP8312" s="4" t="s">
        <v>376</v>
      </c>
      <c r="AR8312" s="4" t="s">
        <v>377</v>
      </c>
    </row>
    <row r="8313" spans="1:44">
      <c r="A8313" s="4" t="s">
        <v>10753</v>
      </c>
      <c r="B8313" s="4">
        <v>1244</v>
      </c>
      <c r="D8313" s="5" t="s">
        <v>11350</v>
      </c>
      <c r="E8313" s="6" t="str">
        <f>HYPERLINK("https://inpn.mnhn.fr/espece/cd_nom/1244","Pholcus opilionoides (Schrank, 1781)")</f>
        <v>Pholcus opilionoides (Schrank, 1781)</v>
      </c>
      <c r="Q8313" s="7" t="str">
        <f>HYPERLINK("#Liste_rouge!A"&amp;_xlfn.XMATCH("LC",Liste_rouge!A:A,2,1),"LC")</f>
        <v>LC</v>
      </c>
      <c r="AH8313" s="4" t="str">
        <f>HYPERLINK("#Statut_biogéographique!A"&amp;_xlfn.XMATCH("I",Statut_biogéographique!A:A,2,1),"I")</f>
        <v>I</v>
      </c>
      <c r="AP8313" s="4" t="s">
        <v>376</v>
      </c>
      <c r="AR8313" s="4" t="s">
        <v>377</v>
      </c>
    </row>
    <row r="8314" spans="1:44">
      <c r="A8314" s="4" t="s">
        <v>10753</v>
      </c>
      <c r="B8314" s="4">
        <v>12447</v>
      </c>
      <c r="D8314" s="5" t="s">
        <v>11351</v>
      </c>
      <c r="E8314" s="6" t="str">
        <f>HYPERLINK("https://inpn.mnhn.fr/espece/cd_nom/12447","Otiorhynchus ligneus (Olivier, 1807)")</f>
        <v>Otiorhynchus ligneus (Olivier, 1807)</v>
      </c>
      <c r="AH8314" s="4" t="str">
        <f>HYPERLINK("#Statut_biogéographique!A"&amp;_xlfn.XMATCH("P",Statut_biogéographique!A:A,2,1),"P")</f>
        <v>P</v>
      </c>
      <c r="AP8314" s="4" t="s">
        <v>376</v>
      </c>
      <c r="AR8314" s="4" t="s">
        <v>377</v>
      </c>
    </row>
    <row r="8315" spans="1:44">
      <c r="A8315" s="4" t="s">
        <v>10753</v>
      </c>
      <c r="B8315" s="4">
        <v>12460</v>
      </c>
      <c r="D8315" s="5" t="s">
        <v>11352</v>
      </c>
      <c r="E8315" s="6" t="str">
        <f>HYPERLINK("https://inpn.mnhn.fr/espece/cd_nom/12460","Anaesthetis testacea (Fabricius, 1781)")</f>
        <v>Anaesthetis testacea (Fabricius, 1781)</v>
      </c>
      <c r="AH8315" s="4" t="str">
        <f>HYPERLINK("#Statut_biogéographique!A"&amp;_xlfn.XMATCH("P",Statut_biogéographique!A:A,2,1),"P")</f>
        <v>P</v>
      </c>
      <c r="AP8315" s="4" t="s">
        <v>376</v>
      </c>
      <c r="AR8315" s="4" t="s">
        <v>377</v>
      </c>
    </row>
    <row r="8316" spans="1:44">
      <c r="A8316" s="4" t="s">
        <v>10753</v>
      </c>
      <c r="B8316" s="4">
        <v>12462</v>
      </c>
      <c r="D8316" s="5" t="s">
        <v>11353</v>
      </c>
      <c r="E8316" s="6" t="str">
        <f>HYPERLINK("https://inpn.mnhn.fr/espece/cd_nom/12462","Acanthocinus aedilis (Linnaeus, 1758)")</f>
        <v>Acanthocinus aedilis (Linnaeus, 1758)</v>
      </c>
      <c r="F8316" s="5" t="s">
        <v>11354</v>
      </c>
      <c r="AH8316" s="4" t="str">
        <f>HYPERLINK("#Statut_biogéographique!A"&amp;_xlfn.XMATCH("P",Statut_biogéographique!A:A,2,1),"P")</f>
        <v>P</v>
      </c>
      <c r="AP8316" s="4" t="s">
        <v>376</v>
      </c>
      <c r="AR8316" s="4" t="s">
        <v>377</v>
      </c>
    </row>
    <row r="8317" spans="1:44">
      <c r="A8317" s="4" t="s">
        <v>10753</v>
      </c>
      <c r="B8317" s="4">
        <v>12463</v>
      </c>
      <c r="D8317" s="5" t="s">
        <v>11355</v>
      </c>
      <c r="E8317" s="6" t="str">
        <f>HYPERLINK("https://inpn.mnhn.fr/espece/cd_nom/12463","Acanthocinus griseus (Fabricius, 1792)")</f>
        <v>Acanthocinus griseus (Fabricius, 1792)</v>
      </c>
      <c r="F8317" s="5" t="s">
        <v>11356</v>
      </c>
      <c r="AH8317" s="4" t="str">
        <f>HYPERLINK("#Statut_biogéographique!A"&amp;_xlfn.XMATCH("P",Statut_biogéographique!A:A,2,1),"P")</f>
        <v>P</v>
      </c>
      <c r="AP8317" s="4" t="s">
        <v>376</v>
      </c>
      <c r="AR8317" s="4" t="s">
        <v>377</v>
      </c>
    </row>
    <row r="8318" spans="1:44" ht="30">
      <c r="A8318" s="4" t="s">
        <v>10753</v>
      </c>
      <c r="B8318" s="4">
        <v>12465</v>
      </c>
      <c r="D8318" s="5">
        <v>12465</v>
      </c>
      <c r="E8318" s="6" t="str">
        <f>HYPERLINK("https://inpn.mnhn.fr/espece/cd_nom/12465","Exocentrus punctipennis Mulsant &amp; Guillebeau, 1856")</f>
        <v>Exocentrus punctipennis Mulsant &amp; Guillebeau, 1856</v>
      </c>
      <c r="AH8318" s="4" t="str">
        <f>HYPERLINK("#Statut_biogéographique!A"&amp;_xlfn.XMATCH("P",Statut_biogéographique!A:A,2,1),"P")</f>
        <v>P</v>
      </c>
      <c r="AP8318" s="4" t="s">
        <v>376</v>
      </c>
      <c r="AR8318" s="4" t="s">
        <v>377</v>
      </c>
    </row>
    <row r="8319" spans="1:44">
      <c r="A8319" s="4" t="s">
        <v>10753</v>
      </c>
      <c r="B8319" s="4">
        <v>12472</v>
      </c>
      <c r="D8319" s="5" t="s">
        <v>11357</v>
      </c>
      <c r="E8319" s="6" t="str">
        <f>HYPERLINK("https://inpn.mnhn.fr/espece/cd_nom/12472","Tetrops praeustus (Linnaeus, 1758)")</f>
        <v>Tetrops praeustus (Linnaeus, 1758)</v>
      </c>
      <c r="AH8319" s="4" t="str">
        <f>HYPERLINK("#Statut_biogéographique!A"&amp;_xlfn.XMATCH("P",Statut_biogéographique!A:A,2,1),"P")</f>
        <v>P</v>
      </c>
      <c r="AP8319" s="4" t="s">
        <v>376</v>
      </c>
      <c r="AR8319" s="4" t="s">
        <v>377</v>
      </c>
    </row>
    <row r="8320" spans="1:44">
      <c r="A8320" s="4" t="s">
        <v>10753</v>
      </c>
      <c r="B8320" s="4">
        <v>12480</v>
      </c>
      <c r="D8320" s="5" t="s">
        <v>11358</v>
      </c>
      <c r="E8320" s="6" t="str">
        <f>HYPERLINK("https://inpn.mnhn.fr/espece/cd_nom/12480","Saperda octopunctata (Scopoli, 1772)")</f>
        <v>Saperda octopunctata (Scopoli, 1772)</v>
      </c>
      <c r="F8320" s="5" t="s">
        <v>11359</v>
      </c>
      <c r="P8320" s="7" t="str">
        <f>HYPERLINK("#Liste_rouge!A"&amp;_xlfn.XMATCH("LC",Liste_rouge!A:A,2,1),"LC")</f>
        <v>LC</v>
      </c>
      <c r="AH8320" s="4" t="str">
        <f>HYPERLINK("#Statut_biogéographique!A"&amp;_xlfn.XMATCH("P",Statut_biogéographique!A:A,2,1),"P")</f>
        <v>P</v>
      </c>
      <c r="AP8320" s="4" t="s">
        <v>376</v>
      </c>
      <c r="AR8320" s="4" t="s">
        <v>377</v>
      </c>
    </row>
    <row r="8321" spans="1:44">
      <c r="A8321" s="4" t="s">
        <v>10753</v>
      </c>
      <c r="B8321" s="4">
        <v>12481</v>
      </c>
      <c r="D8321" s="5" t="s">
        <v>11360</v>
      </c>
      <c r="E8321" s="6" t="str">
        <f>HYPERLINK("https://inpn.mnhn.fr/espece/cd_nom/12481","Saperda populnea (Linnaeus, 1758)")</f>
        <v>Saperda populnea (Linnaeus, 1758)</v>
      </c>
      <c r="F8321" s="5" t="s">
        <v>11361</v>
      </c>
      <c r="AH8321" s="4" t="str">
        <f>HYPERLINK("#Statut_biogéographique!A"&amp;_xlfn.XMATCH("P",Statut_biogéographique!A:A,2,1),"P")</f>
        <v>P</v>
      </c>
      <c r="AP8321" s="4" t="s">
        <v>376</v>
      </c>
      <c r="AR8321" s="4" t="s">
        <v>377</v>
      </c>
    </row>
    <row r="8322" spans="1:44">
      <c r="A8322" s="4" t="s">
        <v>10753</v>
      </c>
      <c r="B8322" s="4">
        <v>12482</v>
      </c>
      <c r="D8322" s="5" t="s">
        <v>11362</v>
      </c>
      <c r="E8322" s="6" t="str">
        <f>HYPERLINK("https://inpn.mnhn.fr/espece/cd_nom/12482","Saperda scalaris (Linnaeus, 1758)")</f>
        <v>Saperda scalaris (Linnaeus, 1758)</v>
      </c>
      <c r="F8322" s="5" t="s">
        <v>11363</v>
      </c>
      <c r="P8322" s="7" t="str">
        <f>HYPERLINK("#Liste_rouge!A"&amp;_xlfn.XMATCH("LC",Liste_rouge!A:A,2,1),"LC")</f>
        <v>LC</v>
      </c>
      <c r="AH8322" s="4" t="str">
        <f>HYPERLINK("#Statut_biogéographique!A"&amp;_xlfn.XMATCH("P",Statut_biogéographique!A:A,2,1),"P")</f>
        <v>P</v>
      </c>
      <c r="AP8322" s="4" t="s">
        <v>376</v>
      </c>
      <c r="AR8322" s="4" t="s">
        <v>377</v>
      </c>
    </row>
    <row r="8323" spans="1:44">
      <c r="A8323" s="4" t="s">
        <v>10753</v>
      </c>
      <c r="B8323" s="4">
        <v>12483</v>
      </c>
      <c r="D8323" s="5" t="s">
        <v>11364</v>
      </c>
      <c r="E8323" s="6" t="str">
        <f>HYPERLINK("https://inpn.mnhn.fr/espece/cd_nom/12483","Saperda similis Laicharting, 1784")</f>
        <v>Saperda similis Laicharting, 1784</v>
      </c>
      <c r="F8323" s="5" t="s">
        <v>11365</v>
      </c>
      <c r="AH8323" s="4" t="str">
        <f>HYPERLINK("#Statut_biogéographique!A"&amp;_xlfn.XMATCH("P",Statut_biogéographique!A:A,2,1),"P")</f>
        <v>P</v>
      </c>
      <c r="AP8323" s="4" t="s">
        <v>376</v>
      </c>
      <c r="AR8323" s="4" t="s">
        <v>377</v>
      </c>
    </row>
    <row r="8324" spans="1:44">
      <c r="A8324" s="4" t="s">
        <v>10753</v>
      </c>
      <c r="B8324" s="4">
        <v>12492</v>
      </c>
      <c r="D8324" s="5" t="s">
        <v>11366</v>
      </c>
      <c r="E8324" s="6" t="str">
        <f>HYPERLINK("https://inpn.mnhn.fr/espece/cd_nom/12492","Stenostola dubia (Laicharting, 1784)")</f>
        <v>Stenostola dubia (Laicharting, 1784)</v>
      </c>
      <c r="AH8324" s="4" t="str">
        <f>HYPERLINK("#Statut_biogéographique!A"&amp;_xlfn.XMATCH("P",Statut_biogéographique!A:A,2,1),"P")</f>
        <v>P</v>
      </c>
      <c r="AP8324" s="4" t="s">
        <v>376</v>
      </c>
      <c r="AR8324" s="4" t="s">
        <v>377</v>
      </c>
    </row>
    <row r="8325" spans="1:44">
      <c r="A8325" s="4" t="s">
        <v>10753</v>
      </c>
      <c r="B8325" s="4">
        <v>12493</v>
      </c>
      <c r="D8325" s="5" t="s">
        <v>11367</v>
      </c>
      <c r="E8325" s="6" t="str">
        <f>HYPERLINK("https://inpn.mnhn.fr/espece/cd_nom/12493","Stenostola ferrea (Schrank, 1776)")</f>
        <v>Stenostola ferrea (Schrank, 1776)</v>
      </c>
      <c r="AH8325" s="4" t="str">
        <f>HYPERLINK("#Statut_biogéographique!A"&amp;_xlfn.XMATCH("P",Statut_biogéographique!A:A,2,1),"P")</f>
        <v>P</v>
      </c>
      <c r="AP8325" s="4" t="s">
        <v>376</v>
      </c>
      <c r="AR8325" s="4" t="s">
        <v>377</v>
      </c>
    </row>
    <row r="8326" spans="1:44">
      <c r="A8326" s="4" t="s">
        <v>10753</v>
      </c>
      <c r="B8326" s="4">
        <v>12495</v>
      </c>
      <c r="D8326" s="5" t="s">
        <v>11368</v>
      </c>
      <c r="E8326" s="6" t="str">
        <f>HYPERLINK("https://inpn.mnhn.fr/espece/cd_nom/12495","Phytoecia cylindrica (Linnaeus, 1758)")</f>
        <v>Phytoecia cylindrica (Linnaeus, 1758)</v>
      </c>
      <c r="F8326" s="5" t="s">
        <v>11369</v>
      </c>
      <c r="AH8326" s="4" t="str">
        <f>HYPERLINK("#Statut_biogéographique!A"&amp;_xlfn.XMATCH("P",Statut_biogéographique!A:A,2,1),"P")</f>
        <v>P</v>
      </c>
      <c r="AP8326" s="4" t="s">
        <v>376</v>
      </c>
      <c r="AR8326" s="4" t="s">
        <v>377</v>
      </c>
    </row>
    <row r="8327" spans="1:44">
      <c r="A8327" s="4" t="s">
        <v>10753</v>
      </c>
      <c r="B8327" s="4">
        <v>12496</v>
      </c>
      <c r="D8327" s="5" t="s">
        <v>11370</v>
      </c>
      <c r="E8327" s="6" t="str">
        <f>HYPERLINK("https://inpn.mnhn.fr/espece/cd_nom/12496","Phytoecia pustulata (Schrank, 1776)")</f>
        <v>Phytoecia pustulata (Schrank, 1776)</v>
      </c>
      <c r="AH8327" s="4" t="str">
        <f>HYPERLINK("#Statut_biogéographique!A"&amp;_xlfn.XMATCH("P",Statut_biogéographique!A:A,2,1),"P")</f>
        <v>P</v>
      </c>
      <c r="AP8327" s="4" t="s">
        <v>376</v>
      </c>
      <c r="AR8327" s="4" t="s">
        <v>377</v>
      </c>
    </row>
    <row r="8328" spans="1:44">
      <c r="A8328" s="4" t="s">
        <v>10753</v>
      </c>
      <c r="B8328" s="4">
        <v>12504</v>
      </c>
      <c r="D8328" s="5" t="s">
        <v>11371</v>
      </c>
      <c r="E8328" s="6" t="str">
        <f>HYPERLINK("https://inpn.mnhn.fr/espece/cd_nom/12504","Oberea linearis (Linnaeus, 1758)")</f>
        <v>Oberea linearis (Linnaeus, 1758)</v>
      </c>
      <c r="F8328" s="5" t="s">
        <v>11372</v>
      </c>
      <c r="AH8328" s="4" t="str">
        <f>HYPERLINK("#Statut_biogéographique!A"&amp;_xlfn.XMATCH("P",Statut_biogéographique!A:A,2,1),"P")</f>
        <v>P</v>
      </c>
      <c r="AP8328" s="4" t="s">
        <v>376</v>
      </c>
      <c r="AR8328" s="4" t="s">
        <v>377</v>
      </c>
    </row>
    <row r="8329" spans="1:44">
      <c r="A8329" s="4" t="s">
        <v>10753</v>
      </c>
      <c r="B8329" s="4">
        <v>12505</v>
      </c>
      <c r="D8329" s="5" t="s">
        <v>11373</v>
      </c>
      <c r="E8329" s="6" t="str">
        <f>HYPERLINK("https://inpn.mnhn.fr/espece/cd_nom/12505","Oberea oculata (Linnaeus, 1758)")</f>
        <v>Oberea oculata (Linnaeus, 1758)</v>
      </c>
      <c r="F8329" s="5" t="s">
        <v>11374</v>
      </c>
      <c r="AH8329" s="4" t="str">
        <f>HYPERLINK("#Statut_biogéographique!A"&amp;_xlfn.XMATCH("P",Statut_biogéographique!A:A,2,1),"P")</f>
        <v>P</v>
      </c>
      <c r="AP8329" s="4" t="s">
        <v>376</v>
      </c>
      <c r="AR8329" s="4" t="s">
        <v>377</v>
      </c>
    </row>
    <row r="8330" spans="1:44">
      <c r="A8330" s="4" t="s">
        <v>10753</v>
      </c>
      <c r="B8330" s="4">
        <v>12506</v>
      </c>
      <c r="D8330" s="5" t="s">
        <v>11375</v>
      </c>
      <c r="E8330" s="6" t="str">
        <f>HYPERLINK("https://inpn.mnhn.fr/espece/cd_nom/12506","Oberea pupillata (Gyllenhal, 1817)")</f>
        <v>Oberea pupillata (Gyllenhal, 1817)</v>
      </c>
      <c r="F8330" s="5" t="s">
        <v>11376</v>
      </c>
      <c r="AH8330" s="4" t="str">
        <f>HYPERLINK("#Statut_biogéographique!A"&amp;_xlfn.XMATCH("P",Statut_biogéographique!A:A,2,1),"P")</f>
        <v>P</v>
      </c>
      <c r="AP8330" s="4" t="s">
        <v>376</v>
      </c>
      <c r="AR8330" s="4" t="s">
        <v>377</v>
      </c>
    </row>
    <row r="8331" spans="1:44">
      <c r="A8331" s="4" t="s">
        <v>10753</v>
      </c>
      <c r="B8331" s="4">
        <v>12512</v>
      </c>
      <c r="D8331" s="5">
        <v>12512</v>
      </c>
      <c r="E8331" s="6" t="str">
        <f>HYPERLINK("https://inpn.mnhn.fr/espece/cd_nom/12512","Donacia cinerea Herbst, 1784")</f>
        <v>Donacia cinerea Herbst, 1784</v>
      </c>
      <c r="AH8331" s="4" t="str">
        <f>HYPERLINK("#Statut_biogéographique!A"&amp;_xlfn.XMATCH("P",Statut_biogéographique!A:A,2,1),"P")</f>
        <v>P</v>
      </c>
      <c r="AP8331" s="4" t="s">
        <v>376</v>
      </c>
      <c r="AR8331" s="4" t="s">
        <v>377</v>
      </c>
    </row>
    <row r="8332" spans="1:44">
      <c r="A8332" s="4" t="s">
        <v>10753</v>
      </c>
      <c r="B8332" s="4">
        <v>12513</v>
      </c>
      <c r="D8332" s="5">
        <v>12513</v>
      </c>
      <c r="E8332" s="6" t="str">
        <f>HYPERLINK("https://inpn.mnhn.fr/espece/cd_nom/12513","Donacia clavipes Fabricius, 1792")</f>
        <v>Donacia clavipes Fabricius, 1792</v>
      </c>
      <c r="AH8332" s="4" t="str">
        <f>HYPERLINK("#Statut_biogéographique!A"&amp;_xlfn.XMATCH("P",Statut_biogéographique!A:A,2,1),"P")</f>
        <v>P</v>
      </c>
      <c r="AP8332" s="4" t="s">
        <v>376</v>
      </c>
      <c r="AR8332" s="4" t="s">
        <v>377</v>
      </c>
    </row>
    <row r="8333" spans="1:44">
      <c r="A8333" s="4" t="s">
        <v>10753</v>
      </c>
      <c r="B8333" s="4">
        <v>12514</v>
      </c>
      <c r="D8333" s="5">
        <v>12514</v>
      </c>
      <c r="E8333" s="6" t="str">
        <f>HYPERLINK("https://inpn.mnhn.fr/espece/cd_nom/12514","Donacia impressa Paykull, 1799")</f>
        <v>Donacia impressa Paykull, 1799</v>
      </c>
      <c r="AH8333" s="4" t="str">
        <f>HYPERLINK("#Statut_biogéographique!A"&amp;_xlfn.XMATCH("P",Statut_biogéographique!A:A,2,1),"P")</f>
        <v>P</v>
      </c>
      <c r="AP8333" s="4" t="s">
        <v>376</v>
      </c>
      <c r="AR8333" s="4" t="s">
        <v>377</v>
      </c>
    </row>
    <row r="8334" spans="1:44">
      <c r="A8334" s="4" t="s">
        <v>10753</v>
      </c>
      <c r="B8334" s="4">
        <v>12515</v>
      </c>
      <c r="D8334" s="5">
        <v>12515</v>
      </c>
      <c r="E8334" s="6" t="str">
        <f>HYPERLINK("https://inpn.mnhn.fr/espece/cd_nom/12515","Donacia marginata Hoppe, 1795")</f>
        <v>Donacia marginata Hoppe, 1795</v>
      </c>
      <c r="AH8334" s="4" t="str">
        <f>HYPERLINK("#Statut_biogéographique!A"&amp;_xlfn.XMATCH("P",Statut_biogéographique!A:A,2,1),"P")</f>
        <v>P</v>
      </c>
      <c r="AP8334" s="4" t="s">
        <v>376</v>
      </c>
      <c r="AR8334" s="4" t="s">
        <v>377</v>
      </c>
    </row>
    <row r="8335" spans="1:44">
      <c r="A8335" s="4" t="s">
        <v>10753</v>
      </c>
      <c r="B8335" s="4">
        <v>12516</v>
      </c>
      <c r="D8335" s="5">
        <v>12516</v>
      </c>
      <c r="E8335" s="6" t="str">
        <f>HYPERLINK("https://inpn.mnhn.fr/espece/cd_nom/12516","Donacia simplex Fabricius, 1775")</f>
        <v>Donacia simplex Fabricius, 1775</v>
      </c>
      <c r="AH8335" s="4" t="str">
        <f>HYPERLINK("#Statut_biogéographique!A"&amp;_xlfn.XMATCH("P",Statut_biogéographique!A:A,2,1),"P")</f>
        <v>P</v>
      </c>
      <c r="AP8335" s="4" t="s">
        <v>376</v>
      </c>
      <c r="AR8335" s="4" t="s">
        <v>377</v>
      </c>
    </row>
    <row r="8336" spans="1:44">
      <c r="A8336" s="4" t="s">
        <v>10753</v>
      </c>
      <c r="B8336" s="4">
        <v>12526</v>
      </c>
      <c r="D8336" s="5" t="s">
        <v>11377</v>
      </c>
      <c r="E8336" s="6" t="str">
        <f>HYPERLINK("https://inpn.mnhn.fr/espece/cd_nom/12526","Plateumaris consimilis (Schrank, 1781)")</f>
        <v>Plateumaris consimilis (Schrank, 1781)</v>
      </c>
      <c r="AH8336" s="4" t="str">
        <f>HYPERLINK("#Statut_biogéographique!A"&amp;_xlfn.XMATCH("P",Statut_biogéographique!A:A,2,1),"P")</f>
        <v>P</v>
      </c>
      <c r="AP8336" s="4" t="s">
        <v>376</v>
      </c>
      <c r="AR8336" s="4" t="s">
        <v>377</v>
      </c>
    </row>
    <row r="8337" spans="1:44">
      <c r="A8337" s="4" t="s">
        <v>10753</v>
      </c>
      <c r="B8337" s="4">
        <v>12527</v>
      </c>
      <c r="D8337" s="5" t="s">
        <v>11378</v>
      </c>
      <c r="E8337" s="6" t="str">
        <f>HYPERLINK("https://inpn.mnhn.fr/espece/cd_nom/12527","Plateumaris discolor (Panzer, 1795)")</f>
        <v>Plateumaris discolor (Panzer, 1795)</v>
      </c>
      <c r="AH8337" s="4" t="str">
        <f>HYPERLINK("#Statut_biogéographique!A"&amp;_xlfn.XMATCH("P",Statut_biogéographique!A:A,2,1),"P")</f>
        <v>P</v>
      </c>
      <c r="AP8337" s="4" t="s">
        <v>376</v>
      </c>
      <c r="AR8337" s="4" t="s">
        <v>377</v>
      </c>
    </row>
    <row r="8338" spans="1:44">
      <c r="A8338" s="4" t="s">
        <v>10753</v>
      </c>
      <c r="B8338" s="4">
        <v>12528</v>
      </c>
      <c r="D8338" s="5" t="s">
        <v>11379</v>
      </c>
      <c r="E8338" s="6" t="str">
        <f>HYPERLINK("https://inpn.mnhn.fr/espece/cd_nom/12528","Plateumaris sericea (Linnaeus, 1758)")</f>
        <v>Plateumaris sericea (Linnaeus, 1758)</v>
      </c>
      <c r="AH8338" s="4" t="str">
        <f>HYPERLINK("#Statut_biogéographique!A"&amp;_xlfn.XMATCH("P",Statut_biogéographique!A:A,2,1),"P")</f>
        <v>P</v>
      </c>
      <c r="AP8338" s="4" t="s">
        <v>376</v>
      </c>
      <c r="AR8338" s="4" t="s">
        <v>377</v>
      </c>
    </row>
    <row r="8339" spans="1:44">
      <c r="A8339" s="4" t="s">
        <v>10753</v>
      </c>
      <c r="B8339" s="4">
        <v>12531</v>
      </c>
      <c r="D8339" s="5" t="s">
        <v>11380</v>
      </c>
      <c r="E8339" s="6" t="str">
        <f>HYPERLINK("https://inpn.mnhn.fr/espece/cd_nom/12531","Lilioceris merdigera (Linnaeus, 1758)")</f>
        <v>Lilioceris merdigera (Linnaeus, 1758)</v>
      </c>
      <c r="F8339" s="5" t="s">
        <v>11381</v>
      </c>
      <c r="AH8339" s="4" t="str">
        <f>HYPERLINK("#Statut_biogéographique!A"&amp;_xlfn.XMATCH("P",Statut_biogéographique!A:A,2,1),"P")</f>
        <v>P</v>
      </c>
      <c r="AP8339" s="4" t="s">
        <v>376</v>
      </c>
      <c r="AR8339" s="4" t="s">
        <v>377</v>
      </c>
    </row>
    <row r="8340" spans="1:44">
      <c r="A8340" s="4" t="s">
        <v>10753</v>
      </c>
      <c r="B8340" s="4">
        <v>12540</v>
      </c>
      <c r="D8340" s="5" t="s">
        <v>11382</v>
      </c>
      <c r="E8340" s="6" t="str">
        <f>HYPERLINK("https://inpn.mnhn.fr/espece/cd_nom/12540","Lema cyanella (Linnaeus, 1758)")</f>
        <v>Lema cyanella (Linnaeus, 1758)</v>
      </c>
      <c r="AH8340" s="4" t="str">
        <f>HYPERLINK("#Statut_biogéographique!A"&amp;_xlfn.XMATCH("P",Statut_biogéographique!A:A,2,1),"P")</f>
        <v>P</v>
      </c>
      <c r="AP8340" s="4" t="s">
        <v>376</v>
      </c>
      <c r="AR8340" s="4" t="s">
        <v>377</v>
      </c>
    </row>
    <row r="8341" spans="1:44" ht="30">
      <c r="A8341" s="4" t="s">
        <v>10753</v>
      </c>
      <c r="B8341" s="4">
        <v>12547</v>
      </c>
      <c r="D8341" s="5" t="s">
        <v>11383</v>
      </c>
      <c r="E8341" s="6" t="str">
        <f>HYPERLINK("https://inpn.mnhn.fr/espece/cd_nom/12547","Labidostomis humeralis (D.H. Schneider, 1792)")</f>
        <v>Labidostomis humeralis (D.H. Schneider, 1792)</v>
      </c>
      <c r="AH8341" s="4" t="str">
        <f>HYPERLINK("#Statut_biogéographique!A"&amp;_xlfn.XMATCH("P",Statut_biogéographique!A:A,2,1),"P")</f>
        <v>P</v>
      </c>
      <c r="AP8341" s="4" t="s">
        <v>376</v>
      </c>
      <c r="AR8341" s="4" t="s">
        <v>377</v>
      </c>
    </row>
    <row r="8342" spans="1:44">
      <c r="A8342" s="4" t="s">
        <v>10753</v>
      </c>
      <c r="B8342" s="4">
        <v>12548</v>
      </c>
      <c r="D8342" s="5" t="s">
        <v>11384</v>
      </c>
      <c r="E8342" s="6" t="str">
        <f>HYPERLINK("https://inpn.mnhn.fr/espece/cd_nom/12548","Labidostomis longimana (Linnaeus, 1761)")</f>
        <v>Labidostomis longimana (Linnaeus, 1761)</v>
      </c>
      <c r="F8342" s="5" t="s">
        <v>11385</v>
      </c>
      <c r="AH8342" s="4" t="str">
        <f>HYPERLINK("#Statut_biogéographique!A"&amp;_xlfn.XMATCH("P",Statut_biogéographique!A:A,2,1),"P")</f>
        <v>P</v>
      </c>
      <c r="AP8342" s="4" t="s">
        <v>376</v>
      </c>
      <c r="AR8342" s="4" t="s">
        <v>377</v>
      </c>
    </row>
    <row r="8343" spans="1:44">
      <c r="A8343" s="4" t="s">
        <v>10753</v>
      </c>
      <c r="B8343" s="4">
        <v>12567</v>
      </c>
      <c r="D8343" s="5" t="s">
        <v>11386</v>
      </c>
      <c r="E8343" s="6" t="str">
        <f>HYPERLINK("https://inpn.mnhn.fr/espece/cd_nom/12567","Clytra quadripunctata (Linnaeus, 1758)")</f>
        <v>Clytra quadripunctata (Linnaeus, 1758)</v>
      </c>
      <c r="F8343" s="5" t="s">
        <v>11387</v>
      </c>
      <c r="AH8343" s="4" t="str">
        <f>HYPERLINK("#Statut_biogéographique!A"&amp;_xlfn.XMATCH("P",Statut_biogéographique!A:A,2,1),"P")</f>
        <v>P</v>
      </c>
      <c r="AP8343" s="4" t="s">
        <v>376</v>
      </c>
      <c r="AR8343" s="4" t="s">
        <v>377</v>
      </c>
    </row>
    <row r="8344" spans="1:44">
      <c r="A8344" s="4" t="s">
        <v>10753</v>
      </c>
      <c r="B8344" s="4">
        <v>12580</v>
      </c>
      <c r="D8344" s="5" t="s">
        <v>11388</v>
      </c>
      <c r="E8344" s="6" t="str">
        <f>HYPERLINK("https://inpn.mnhn.fr/espece/cd_nom/12580","Cryptocephalus cristula Dufour, 1843")</f>
        <v>Cryptocephalus cristula Dufour, 1843</v>
      </c>
      <c r="AH8344" s="4" t="str">
        <f>HYPERLINK("#Statut_biogéographique!A"&amp;_xlfn.XMATCH("P",Statut_biogéographique!A:A,2,1),"P")</f>
        <v>P</v>
      </c>
      <c r="AP8344" s="4" t="s">
        <v>376</v>
      </c>
      <c r="AR8344" s="4" t="s">
        <v>377</v>
      </c>
    </row>
    <row r="8345" spans="1:44">
      <c r="A8345" s="4" t="s">
        <v>10753</v>
      </c>
      <c r="B8345" s="4">
        <v>12581</v>
      </c>
      <c r="D8345" s="5">
        <v>12581</v>
      </c>
      <c r="E8345" s="6" t="str">
        <f>HYPERLINK("https://inpn.mnhn.fr/espece/cd_nom/12581","Cryptocephalus aureolus Suffrian, 1847")</f>
        <v>Cryptocephalus aureolus Suffrian, 1847</v>
      </c>
      <c r="AH8345" s="4" t="str">
        <f>HYPERLINK("#Statut_biogéographique!A"&amp;_xlfn.XMATCH("P",Statut_biogéographique!A:A,2,1),"P")</f>
        <v>P</v>
      </c>
      <c r="AP8345" s="4" t="s">
        <v>376</v>
      </c>
      <c r="AR8345" s="4" t="s">
        <v>377</v>
      </c>
    </row>
    <row r="8346" spans="1:44">
      <c r="A8346" s="4" t="s">
        <v>10753</v>
      </c>
      <c r="B8346" s="4">
        <v>12584</v>
      </c>
      <c r="D8346" s="5">
        <v>12584</v>
      </c>
      <c r="E8346" s="6" t="str">
        <f>HYPERLINK("https://inpn.mnhn.fr/espece/cd_nom/12584","Cryptocephalus violaceus Laicharting, 1781")</f>
        <v>Cryptocephalus violaceus Laicharting, 1781</v>
      </c>
      <c r="AH8346" s="4" t="str">
        <f>HYPERLINK("#Statut_biogéographique!A"&amp;_xlfn.XMATCH("P",Statut_biogéographique!A:A,2,1),"P")</f>
        <v>P</v>
      </c>
      <c r="AP8346" s="4" t="s">
        <v>376</v>
      </c>
      <c r="AR8346" s="4" t="s">
        <v>377</v>
      </c>
    </row>
    <row r="8347" spans="1:44">
      <c r="A8347" s="4" t="s">
        <v>10753</v>
      </c>
      <c r="B8347" s="4">
        <v>12585</v>
      </c>
      <c r="D8347" s="5" t="s">
        <v>11389</v>
      </c>
      <c r="E8347" s="6" t="str">
        <f>HYPERLINK("https://inpn.mnhn.fr/espece/cd_nom/12585","Cryptocephalus marginellus Olivier, 1792")</f>
        <v>Cryptocephalus marginellus Olivier, 1792</v>
      </c>
      <c r="AH8347" s="4" t="str">
        <f>HYPERLINK("#Statut_biogéographique!A"&amp;_xlfn.XMATCH("P",Statut_biogéographique!A:A,2,1),"P")</f>
        <v>P</v>
      </c>
      <c r="AP8347" s="4" t="s">
        <v>376</v>
      </c>
      <c r="AR8347" s="4" t="s">
        <v>377</v>
      </c>
    </row>
    <row r="8348" spans="1:44">
      <c r="A8348" s="4" t="s">
        <v>10753</v>
      </c>
      <c r="B8348" s="4">
        <v>12587</v>
      </c>
      <c r="D8348" s="5" t="s">
        <v>11390</v>
      </c>
      <c r="E8348" s="6" t="str">
        <f>HYPERLINK("https://inpn.mnhn.fr/espece/cd_nom/12587","Cryptocephalus parvulus O.F. Müller, 1776")</f>
        <v>Cryptocephalus parvulus O.F. Müller, 1776</v>
      </c>
      <c r="AH8348" s="4" t="str">
        <f>HYPERLINK("#Statut_biogéographique!A"&amp;_xlfn.XMATCH("P",Statut_biogéographique!A:A,2,1),"P")</f>
        <v>P</v>
      </c>
      <c r="AP8348" s="4" t="s">
        <v>376</v>
      </c>
      <c r="AR8348" s="4" t="s">
        <v>377</v>
      </c>
    </row>
    <row r="8349" spans="1:44">
      <c r="A8349" s="4" t="s">
        <v>10753</v>
      </c>
      <c r="B8349" s="4">
        <v>12589</v>
      </c>
      <c r="D8349" s="5">
        <v>12589</v>
      </c>
      <c r="E8349" s="6" t="str">
        <f>HYPERLINK("https://inpn.mnhn.fr/espece/cd_nom/12589","Cryptocephalus loreyi Solier, 1837")</f>
        <v>Cryptocephalus loreyi Solier, 1837</v>
      </c>
      <c r="AH8349" s="4" t="str">
        <f>HYPERLINK("#Statut_biogéographique!A"&amp;_xlfn.XMATCH("P",Statut_biogéographique!A:A,2,1),"P")</f>
        <v>P</v>
      </c>
      <c r="AP8349" s="4" t="s">
        <v>376</v>
      </c>
      <c r="AR8349" s="4" t="s">
        <v>377</v>
      </c>
    </row>
    <row r="8350" spans="1:44" ht="30">
      <c r="A8350" s="4" t="s">
        <v>10753</v>
      </c>
      <c r="B8350" s="4">
        <v>12590</v>
      </c>
      <c r="D8350" s="5" t="s">
        <v>11391</v>
      </c>
      <c r="E8350" s="6" t="str">
        <f>HYPERLINK("https://inpn.mnhn.fr/espece/cd_nom/12590","Cryptocephalus octopunctatus (Scopoli, 1763)")</f>
        <v>Cryptocephalus octopunctatus (Scopoli, 1763)</v>
      </c>
      <c r="F8350" s="5" t="s">
        <v>11392</v>
      </c>
      <c r="AH8350" s="4" t="str">
        <f>HYPERLINK("#Statut_biogéographique!A"&amp;_xlfn.XMATCH("P",Statut_biogéographique!A:A,2,1),"P")</f>
        <v>P</v>
      </c>
      <c r="AP8350" s="4" t="s">
        <v>376</v>
      </c>
      <c r="AR8350" s="4" t="s">
        <v>377</v>
      </c>
    </row>
    <row r="8351" spans="1:44" ht="30">
      <c r="A8351" s="4" t="s">
        <v>10753</v>
      </c>
      <c r="B8351" s="4">
        <v>12595</v>
      </c>
      <c r="D8351" s="5" t="s">
        <v>11393</v>
      </c>
      <c r="E8351" s="6" t="str">
        <f>HYPERLINK("https://inpn.mnhn.fr/espece/cd_nom/12595","Cryptocephalus decemmaculatus (Linnaeus, 1758)")</f>
        <v>Cryptocephalus decemmaculatus (Linnaeus, 1758)</v>
      </c>
      <c r="F8351" s="5" t="s">
        <v>11394</v>
      </c>
      <c r="AH8351" s="4" t="str">
        <f>HYPERLINK("#Statut_biogéographique!A"&amp;_xlfn.XMATCH("P",Statut_biogéographique!A:A,2,1),"P")</f>
        <v>P</v>
      </c>
      <c r="AP8351" s="4" t="s">
        <v>376</v>
      </c>
      <c r="AR8351" s="4" t="s">
        <v>377</v>
      </c>
    </row>
    <row r="8352" spans="1:44">
      <c r="A8352" s="4" t="s">
        <v>10753</v>
      </c>
      <c r="B8352" s="4">
        <v>12600</v>
      </c>
      <c r="D8352" s="5" t="s">
        <v>11395</v>
      </c>
      <c r="E8352" s="6" t="str">
        <f>HYPERLINK("https://inpn.mnhn.fr/espece/cd_nom/12600","Cryptocephalus biguttatus (Scopoli, 1763)")</f>
        <v>Cryptocephalus biguttatus (Scopoli, 1763)</v>
      </c>
      <c r="AH8352" s="4" t="str">
        <f>HYPERLINK("#Statut_biogéographique!A"&amp;_xlfn.XMATCH("P",Statut_biogéographique!A:A,2,1),"P")</f>
        <v>P</v>
      </c>
      <c r="AP8352" s="4" t="s">
        <v>376</v>
      </c>
      <c r="AR8352" s="4" t="s">
        <v>377</v>
      </c>
    </row>
    <row r="8353" spans="1:44">
      <c r="A8353" s="4" t="s">
        <v>10753</v>
      </c>
      <c r="B8353" s="4">
        <v>12603</v>
      </c>
      <c r="D8353" s="5">
        <v>12603</v>
      </c>
      <c r="E8353" s="6" t="str">
        <f>HYPERLINK("https://inpn.mnhn.fr/espece/cd_nom/12603","Cryptocephalus imperialis Laicharting, 1781")</f>
        <v>Cryptocephalus imperialis Laicharting, 1781</v>
      </c>
      <c r="F8353" s="5" t="s">
        <v>11396</v>
      </c>
      <c r="AH8353" s="4" t="str">
        <f>HYPERLINK("#Statut_biogéographique!A"&amp;_xlfn.XMATCH("P",Statut_biogéographique!A:A,2,1),"P")</f>
        <v>P</v>
      </c>
      <c r="AP8353" s="4" t="s">
        <v>376</v>
      </c>
      <c r="AR8353" s="4" t="s">
        <v>377</v>
      </c>
    </row>
    <row r="8354" spans="1:44">
      <c r="A8354" s="4" t="s">
        <v>10753</v>
      </c>
      <c r="B8354" s="4">
        <v>12604</v>
      </c>
      <c r="D8354" s="5" t="s">
        <v>11397</v>
      </c>
      <c r="E8354" s="6" t="str">
        <f>HYPERLINK("https://inpn.mnhn.fr/espece/cd_nom/12604","Cryptocephalus bipunctatus (Linnaeus, 1758)")</f>
        <v>Cryptocephalus bipunctatus (Linnaeus, 1758)</v>
      </c>
      <c r="F8354" s="5" t="s">
        <v>11398</v>
      </c>
      <c r="AH8354" s="4" t="str">
        <f>HYPERLINK("#Statut_biogéographique!A"&amp;_xlfn.XMATCH("P",Statut_biogéographique!A:A,2,1),"P")</f>
        <v>P</v>
      </c>
      <c r="AP8354" s="4" t="s">
        <v>376</v>
      </c>
      <c r="AR8354" s="4" t="s">
        <v>377</v>
      </c>
    </row>
    <row r="8355" spans="1:44">
      <c r="A8355" s="4" t="s">
        <v>10753</v>
      </c>
      <c r="B8355" s="4">
        <v>12605</v>
      </c>
      <c r="D8355" s="5">
        <v>12605</v>
      </c>
      <c r="E8355" s="6" t="str">
        <f>HYPERLINK("https://inpn.mnhn.fr/espece/cd_nom/12605","Cryptocephalus vittatus Fabricius, 1775")</f>
        <v>Cryptocephalus vittatus Fabricius, 1775</v>
      </c>
      <c r="AH8355" s="4" t="str">
        <f>HYPERLINK("#Statut_biogéographique!A"&amp;_xlfn.XMATCH("P",Statut_biogéographique!A:A,2,1),"P")</f>
        <v>P</v>
      </c>
      <c r="AP8355" s="4" t="s">
        <v>376</v>
      </c>
      <c r="AR8355" s="4" t="s">
        <v>377</v>
      </c>
    </row>
    <row r="8356" spans="1:44">
      <c r="A8356" s="4" t="s">
        <v>10753</v>
      </c>
      <c r="B8356" s="4">
        <v>12606</v>
      </c>
      <c r="D8356" s="5" t="s">
        <v>11399</v>
      </c>
      <c r="E8356" s="6" t="str">
        <f>HYPERLINK("https://inpn.mnhn.fr/espece/cd_nom/12606","Cryptocephalus moraei (Linnaeus, 1758)")</f>
        <v>Cryptocephalus moraei (Linnaeus, 1758)</v>
      </c>
      <c r="F8356" s="5" t="s">
        <v>11400</v>
      </c>
      <c r="AH8356" s="4" t="str">
        <f>HYPERLINK("#Statut_biogéographique!A"&amp;_xlfn.XMATCH("P",Statut_biogéographique!A:A,2,1),"P")</f>
        <v>P</v>
      </c>
      <c r="AP8356" s="4" t="s">
        <v>376</v>
      </c>
      <c r="AR8356" s="4" t="s">
        <v>377</v>
      </c>
    </row>
    <row r="8357" spans="1:44">
      <c r="A8357" s="4" t="s">
        <v>10753</v>
      </c>
      <c r="B8357" s="4">
        <v>12609</v>
      </c>
      <c r="D8357" s="5" t="s">
        <v>11401</v>
      </c>
      <c r="E8357" s="6" t="str">
        <f>HYPERLINK("https://inpn.mnhn.fr/espece/cd_nom/12609","Cryptocephalus labiatus (Linnaeus, 1761)")</f>
        <v>Cryptocephalus labiatus (Linnaeus, 1761)</v>
      </c>
      <c r="AH8357" s="4" t="str">
        <f>HYPERLINK("#Statut_biogéographique!A"&amp;_xlfn.XMATCH("P",Statut_biogéographique!A:A,2,1),"P")</f>
        <v>P</v>
      </c>
      <c r="AP8357" s="4" t="s">
        <v>376</v>
      </c>
      <c r="AR8357" s="4" t="s">
        <v>377</v>
      </c>
    </row>
    <row r="8358" spans="1:44">
      <c r="A8358" s="4" t="s">
        <v>10753</v>
      </c>
      <c r="B8358" s="4">
        <v>12614</v>
      </c>
      <c r="D8358" s="5" t="s">
        <v>11402</v>
      </c>
      <c r="E8358" s="6" t="str">
        <f>HYPERLINK("https://inpn.mnhn.fr/espece/cd_nom/12614","Cryptocephalus pusillus Fabricius, 1777")</f>
        <v>Cryptocephalus pusillus Fabricius, 1777</v>
      </c>
      <c r="AH8358" s="4" t="str">
        <f>HYPERLINK("#Statut_biogéographique!A"&amp;_xlfn.XMATCH("P",Statut_biogéographique!A:A,2,1),"P")</f>
        <v>P</v>
      </c>
      <c r="AP8358" s="4" t="s">
        <v>376</v>
      </c>
      <c r="AR8358" s="4" t="s">
        <v>377</v>
      </c>
    </row>
    <row r="8359" spans="1:44">
      <c r="A8359" s="4" t="s">
        <v>10753</v>
      </c>
      <c r="B8359" s="4">
        <v>1263</v>
      </c>
      <c r="D8359" s="5">
        <v>1263</v>
      </c>
      <c r="E8359" s="6" t="str">
        <f>HYPERLINK("https://inpn.mnhn.fr/espece/cd_nom/1263","Episinus truncatus Latreille, 1809")</f>
        <v>Episinus truncatus Latreille, 1809</v>
      </c>
      <c r="F8359" s="5" t="s">
        <v>11403</v>
      </c>
      <c r="Q8359" s="7" t="str">
        <f>HYPERLINK("#Liste_rouge!A"&amp;_xlfn.XMATCH("LC",Liste_rouge!A:A,2,1),"LC")</f>
        <v>LC</v>
      </c>
      <c r="AH8359" s="4" t="str">
        <f>HYPERLINK("#Statut_biogéographique!A"&amp;_xlfn.XMATCH("P",Statut_biogéographique!A:A,2,1),"P")</f>
        <v>P</v>
      </c>
      <c r="AP8359" s="4" t="s">
        <v>376</v>
      </c>
      <c r="AR8359" s="4" t="s">
        <v>377</v>
      </c>
    </row>
    <row r="8360" spans="1:44" ht="30">
      <c r="A8360" s="4" t="s">
        <v>10753</v>
      </c>
      <c r="B8360" s="4">
        <v>12633</v>
      </c>
      <c r="D8360" s="5" t="s">
        <v>11404</v>
      </c>
      <c r="E8360" s="6" t="str">
        <f>HYPERLINK("https://inpn.mnhn.fr/espece/cd_nom/12633","Bromius obscurus (Linnaeus, 1758)")</f>
        <v>Bromius obscurus (Linnaeus, 1758)</v>
      </c>
      <c r="F8360" s="5" t="s">
        <v>11405</v>
      </c>
      <c r="AH8360" s="4" t="str">
        <f>HYPERLINK("#Statut_biogéographique!A"&amp;_xlfn.XMATCH("P",Statut_biogéographique!A:A,2,1),"P")</f>
        <v>P</v>
      </c>
      <c r="AP8360" s="4" t="s">
        <v>376</v>
      </c>
      <c r="AR8360" s="4" t="s">
        <v>377</v>
      </c>
    </row>
    <row r="8361" spans="1:44">
      <c r="A8361" s="4" t="s">
        <v>10753</v>
      </c>
      <c r="B8361" s="4">
        <v>12635</v>
      </c>
      <c r="D8361" s="5" t="s">
        <v>11406</v>
      </c>
      <c r="E8361" s="6" t="str">
        <f>HYPERLINK("https://inpn.mnhn.fr/espece/cd_nom/12635","Timarcha goettingensis (Linnaeus, 1758)")</f>
        <v>Timarcha goettingensis (Linnaeus, 1758)</v>
      </c>
      <c r="F8361" s="5" t="s">
        <v>11407</v>
      </c>
      <c r="AH8361" s="4" t="str">
        <f>HYPERLINK("#Statut_biogéographique!A"&amp;_xlfn.XMATCH("P",Statut_biogéographique!A:A,2,1),"P")</f>
        <v>P</v>
      </c>
      <c r="AP8361" s="4" t="s">
        <v>376</v>
      </c>
      <c r="AR8361" s="4" t="s">
        <v>377</v>
      </c>
    </row>
    <row r="8362" spans="1:44">
      <c r="A8362" s="4" t="s">
        <v>10753</v>
      </c>
      <c r="B8362" s="4">
        <v>12641</v>
      </c>
      <c r="D8362" s="5" t="s">
        <v>11408</v>
      </c>
      <c r="E8362" s="6" t="str">
        <f>HYPERLINK("https://inpn.mnhn.fr/espece/cd_nom/12641","Timarcha metallica (Laicharting, 1781)")</f>
        <v>Timarcha metallica (Laicharting, 1781)</v>
      </c>
      <c r="AH8362" s="4" t="str">
        <f>HYPERLINK("#Statut_biogéographique!A"&amp;_xlfn.XMATCH("P",Statut_biogéographique!A:A,2,1),"P")</f>
        <v>P</v>
      </c>
      <c r="AP8362" s="4" t="s">
        <v>376</v>
      </c>
      <c r="AR8362" s="4" t="s">
        <v>377</v>
      </c>
    </row>
    <row r="8363" spans="1:44" ht="30">
      <c r="A8363" s="4" t="s">
        <v>10753</v>
      </c>
      <c r="B8363" s="4">
        <v>12644</v>
      </c>
      <c r="D8363" s="5" t="s">
        <v>11409</v>
      </c>
      <c r="E8363" s="6" t="str">
        <f>HYPERLINK("https://inpn.mnhn.fr/espece/cd_nom/12644","Timarcha tenebricosa (Fabricius, 1775)")</f>
        <v>Timarcha tenebricosa (Fabricius, 1775)</v>
      </c>
      <c r="F8363" s="5" t="s">
        <v>11410</v>
      </c>
      <c r="AH8363" s="4" t="str">
        <f>HYPERLINK("#Statut_biogéographique!A"&amp;_xlfn.XMATCH("P",Statut_biogéographique!A:A,2,1),"P")</f>
        <v>P</v>
      </c>
      <c r="AP8363" s="4" t="s">
        <v>376</v>
      </c>
      <c r="AR8363" s="4" t="s">
        <v>377</v>
      </c>
    </row>
    <row r="8364" spans="1:44">
      <c r="A8364" s="4" t="s">
        <v>10753</v>
      </c>
      <c r="B8364" s="4">
        <v>1265</v>
      </c>
      <c r="D8364" s="5">
        <v>1265</v>
      </c>
      <c r="E8364" s="6" t="str">
        <f>HYPERLINK("https://inpn.mnhn.fr/espece/cd_nom/1265","Episinus maculipes Cavanna, 1876")</f>
        <v>Episinus maculipes Cavanna, 1876</v>
      </c>
      <c r="Q8364" s="7" t="str">
        <f>HYPERLINK("#Liste_rouge!A"&amp;_xlfn.XMATCH("LC",Liste_rouge!A:A,2,1),"LC")</f>
        <v>LC</v>
      </c>
      <c r="AH8364" s="4" t="str">
        <f>HYPERLINK("#Statut_biogéographique!A"&amp;_xlfn.XMATCH("P",Statut_biogéographique!A:A,2,1),"P")</f>
        <v>P</v>
      </c>
      <c r="AP8364" s="4" t="s">
        <v>376</v>
      </c>
      <c r="AR8364" s="4" t="s">
        <v>377</v>
      </c>
    </row>
    <row r="8365" spans="1:44">
      <c r="A8365" s="4" t="s">
        <v>10753</v>
      </c>
      <c r="B8365" s="4">
        <v>12704</v>
      </c>
      <c r="D8365" s="5" t="s">
        <v>11411</v>
      </c>
      <c r="E8365" s="6" t="str">
        <f>HYPERLINK("https://inpn.mnhn.fr/espece/cd_nom/12704","Prasocuris phellandrii (Linnaeus, 1758)")</f>
        <v>Prasocuris phellandrii (Linnaeus, 1758)</v>
      </c>
      <c r="F8365" s="5" t="s">
        <v>11412</v>
      </c>
      <c r="AH8365" s="4" t="str">
        <f>HYPERLINK("#Statut_biogéographique!A"&amp;_xlfn.XMATCH("P",Statut_biogéographique!A:A,2,1),"P")</f>
        <v>P</v>
      </c>
      <c r="AP8365" s="4" t="s">
        <v>376</v>
      </c>
      <c r="AR8365" s="4" t="s">
        <v>377</v>
      </c>
    </row>
    <row r="8366" spans="1:44">
      <c r="A8366" s="4" t="s">
        <v>10753</v>
      </c>
      <c r="B8366" s="4">
        <v>1271</v>
      </c>
      <c r="D8366" s="5" t="s">
        <v>11413</v>
      </c>
      <c r="E8366" s="6" t="str">
        <f>HYPERLINK("https://inpn.mnhn.fr/espece/cd_nom/1271","Euryopis flavomaculata (C.L. Koch, 1836)")</f>
        <v>Euryopis flavomaculata (C.L. Koch, 1836)</v>
      </c>
      <c r="Q8366" s="7" t="str">
        <f>HYPERLINK("#Liste_rouge!A"&amp;_xlfn.XMATCH("LC",Liste_rouge!A:A,2,1),"LC")</f>
        <v>LC</v>
      </c>
      <c r="AH8366" s="4" t="str">
        <f>HYPERLINK("#Statut_biogéographique!A"&amp;_xlfn.XMATCH("P",Statut_biogéographique!A:A,2,1),"P")</f>
        <v>P</v>
      </c>
      <c r="AP8366" s="4" t="s">
        <v>376</v>
      </c>
      <c r="AR8366" s="4" t="s">
        <v>377</v>
      </c>
    </row>
    <row r="8367" spans="1:44">
      <c r="A8367" s="4" t="s">
        <v>10753</v>
      </c>
      <c r="B8367" s="4">
        <v>12713</v>
      </c>
      <c r="D8367" s="5" t="s">
        <v>11414</v>
      </c>
      <c r="E8367" s="6" t="str">
        <f>HYPERLINK("https://inpn.mnhn.fr/espece/cd_nom/12713","Galeruca pomonae (Scopoli, 1763)")</f>
        <v>Galeruca pomonae (Scopoli, 1763)</v>
      </c>
      <c r="AH8367" s="4" t="str">
        <f>HYPERLINK("#Statut_biogéographique!A"&amp;_xlfn.XMATCH("P",Statut_biogéographique!A:A,2,1),"P")</f>
        <v>P</v>
      </c>
      <c r="AP8367" s="4" t="s">
        <v>376</v>
      </c>
      <c r="AR8367" s="4" t="s">
        <v>377</v>
      </c>
    </row>
    <row r="8368" spans="1:44">
      <c r="A8368" s="4" t="s">
        <v>10753</v>
      </c>
      <c r="B8368" s="4">
        <v>12715</v>
      </c>
      <c r="D8368" s="5" t="s">
        <v>11415</v>
      </c>
      <c r="E8368" s="6" t="str">
        <f>HYPERLINK("https://inpn.mnhn.fr/espece/cd_nom/12715","Lochmaea capreae (Linnaeus, 1758)")</f>
        <v>Lochmaea capreae (Linnaeus, 1758)</v>
      </c>
      <c r="AH8368" s="4" t="str">
        <f>HYPERLINK("#Statut_biogéographique!A"&amp;_xlfn.XMATCH("P",Statut_biogéographique!A:A,2,1),"P")</f>
        <v>P</v>
      </c>
      <c r="AP8368" s="4" t="s">
        <v>376</v>
      </c>
      <c r="AR8368" s="4" t="s">
        <v>377</v>
      </c>
    </row>
    <row r="8369" spans="1:44">
      <c r="A8369" s="4" t="s">
        <v>10753</v>
      </c>
      <c r="B8369" s="4">
        <v>12717</v>
      </c>
      <c r="D8369" s="5" t="s">
        <v>11416</v>
      </c>
      <c r="E8369" s="6" t="str">
        <f>HYPERLINK("https://inpn.mnhn.fr/espece/cd_nom/12717","Lochmaea crataegi (Forster, 1771)")</f>
        <v>Lochmaea crataegi (Forster, 1771)</v>
      </c>
      <c r="AH8369" s="4" t="str">
        <f>HYPERLINK("#Statut_biogéographique!A"&amp;_xlfn.XMATCH("P",Statut_biogéographique!A:A,2,1),"P")</f>
        <v>P</v>
      </c>
      <c r="AP8369" s="4" t="s">
        <v>376</v>
      </c>
      <c r="AR8369" s="4" t="s">
        <v>377</v>
      </c>
    </row>
    <row r="8370" spans="1:44">
      <c r="A8370" s="4" t="s">
        <v>10753</v>
      </c>
      <c r="B8370" s="4">
        <v>12719</v>
      </c>
      <c r="D8370" s="5" t="s">
        <v>11417</v>
      </c>
      <c r="E8370" s="6" t="str">
        <f>HYPERLINK("https://inpn.mnhn.fr/espece/cd_nom/12719","Sermylassa halensis (Linnaeus, 1767)")</f>
        <v>Sermylassa halensis (Linnaeus, 1767)</v>
      </c>
      <c r="F8370" s="5" t="s">
        <v>11418</v>
      </c>
      <c r="AH8370" s="4" t="str">
        <f>HYPERLINK("#Statut_biogéographique!A"&amp;_xlfn.XMATCH("P",Statut_biogéographique!A:A,2,1),"P")</f>
        <v>P</v>
      </c>
      <c r="AP8370" s="4" t="s">
        <v>376</v>
      </c>
      <c r="AR8370" s="4" t="s">
        <v>377</v>
      </c>
    </row>
    <row r="8371" spans="1:44">
      <c r="A8371" s="4" t="s">
        <v>10753</v>
      </c>
      <c r="B8371" s="4">
        <v>12721</v>
      </c>
      <c r="D8371" s="5" t="s">
        <v>11419</v>
      </c>
      <c r="E8371" s="6" t="str">
        <f>HYPERLINK("https://inpn.mnhn.fr/espece/cd_nom/12721","Galerucella calmariensis (Linnaeus, 1767)")</f>
        <v>Galerucella calmariensis (Linnaeus, 1767)</v>
      </c>
      <c r="F8371" s="5" t="s">
        <v>11420</v>
      </c>
      <c r="AH8371" s="4" t="str">
        <f>HYPERLINK("#Statut_biogéographique!A"&amp;_xlfn.XMATCH("P",Statut_biogéographique!A:A,2,1),"P")</f>
        <v>P</v>
      </c>
      <c r="AP8371" s="4" t="s">
        <v>376</v>
      </c>
      <c r="AR8371" s="4" t="s">
        <v>377</v>
      </c>
    </row>
    <row r="8372" spans="1:44">
      <c r="A8372" s="4" t="s">
        <v>10753</v>
      </c>
      <c r="B8372" s="4">
        <v>12723</v>
      </c>
      <c r="D8372" s="5" t="s">
        <v>11421</v>
      </c>
      <c r="E8372" s="6" t="str">
        <f>HYPERLINK("https://inpn.mnhn.fr/espece/cd_nom/12723","Galerucella lineola (Fabricius, 1781)")</f>
        <v>Galerucella lineola (Fabricius, 1781)</v>
      </c>
      <c r="AH8372" s="4" t="str">
        <f>HYPERLINK("#Statut_biogéographique!A"&amp;_xlfn.XMATCH("P",Statut_biogéographique!A:A,2,1),"P")</f>
        <v>P</v>
      </c>
      <c r="AP8372" s="4" t="s">
        <v>376</v>
      </c>
      <c r="AR8372" s="4" t="s">
        <v>377</v>
      </c>
    </row>
    <row r="8373" spans="1:44">
      <c r="A8373" s="4" t="s">
        <v>10753</v>
      </c>
      <c r="B8373" s="4">
        <v>12725</v>
      </c>
      <c r="D8373" s="5" t="s">
        <v>11422</v>
      </c>
      <c r="E8373" s="6" t="str">
        <f>HYPERLINK("https://inpn.mnhn.fr/espece/cd_nom/12725","Galerucella nymphaeae (Linnaeus, 1758)")</f>
        <v>Galerucella nymphaeae (Linnaeus, 1758)</v>
      </c>
      <c r="AH8373" s="4" t="str">
        <f>HYPERLINK("#Statut_biogéographique!A"&amp;_xlfn.XMATCH("P",Statut_biogéographique!A:A,2,1),"P")</f>
        <v>P</v>
      </c>
      <c r="AP8373" s="4" t="s">
        <v>376</v>
      </c>
      <c r="AR8373" s="4" t="s">
        <v>377</v>
      </c>
    </row>
    <row r="8374" spans="1:44">
      <c r="A8374" s="4" t="s">
        <v>10753</v>
      </c>
      <c r="B8374" s="4">
        <v>12726</v>
      </c>
      <c r="D8374" s="5" t="s">
        <v>11423</v>
      </c>
      <c r="E8374" s="6" t="str">
        <f>HYPERLINK("https://inpn.mnhn.fr/espece/cd_nom/12726","Galerucella tenella (Linnaeus, 1761)")</f>
        <v>Galerucella tenella (Linnaeus, 1761)</v>
      </c>
      <c r="AH8374" s="4" t="str">
        <f>HYPERLINK("#Statut_biogéographique!A"&amp;_xlfn.XMATCH("P",Statut_biogéographique!A:A,2,1),"P")</f>
        <v>P</v>
      </c>
      <c r="AP8374" s="4" t="s">
        <v>376</v>
      </c>
      <c r="AR8374" s="4" t="s">
        <v>377</v>
      </c>
    </row>
    <row r="8375" spans="1:44" ht="30">
      <c r="A8375" s="4" t="s">
        <v>10753</v>
      </c>
      <c r="B8375" s="4">
        <v>12730</v>
      </c>
      <c r="D8375" s="5" t="s">
        <v>11424</v>
      </c>
      <c r="E8375" s="6" t="str">
        <f>HYPERLINK("https://inpn.mnhn.fr/espece/cd_nom/12730","Agelastica alni (Linnaeus, 1758)")</f>
        <v>Agelastica alni (Linnaeus, 1758)</v>
      </c>
      <c r="F8375" s="5" t="s">
        <v>11425</v>
      </c>
      <c r="AH8375" s="4" t="str">
        <f>HYPERLINK("#Statut_biogéographique!A"&amp;_xlfn.XMATCH("P",Statut_biogéographique!A:A,2,1),"P")</f>
        <v>P</v>
      </c>
      <c r="AP8375" s="4" t="s">
        <v>376</v>
      </c>
      <c r="AR8375" s="4" t="s">
        <v>377</v>
      </c>
    </row>
    <row r="8376" spans="1:44">
      <c r="A8376" s="4" t="s">
        <v>10753</v>
      </c>
      <c r="B8376" s="4">
        <v>12744</v>
      </c>
      <c r="D8376" s="5" t="s">
        <v>11426</v>
      </c>
      <c r="E8376" s="6" t="str">
        <f>HYPERLINK("https://inpn.mnhn.fr/espece/cd_nom/12744","Derocrepis rufipes (Linnaeus, 1758)")</f>
        <v>Derocrepis rufipes (Linnaeus, 1758)</v>
      </c>
      <c r="AH8376" s="4" t="str">
        <f>HYPERLINK("#Statut_biogéographique!A"&amp;_xlfn.XMATCH("P",Statut_biogéographique!A:A,2,1),"P")</f>
        <v>P</v>
      </c>
      <c r="AP8376" s="4" t="s">
        <v>376</v>
      </c>
      <c r="AR8376" s="4" t="s">
        <v>377</v>
      </c>
    </row>
    <row r="8377" spans="1:44">
      <c r="A8377" s="4" t="s">
        <v>10753</v>
      </c>
      <c r="B8377" s="4">
        <v>12746</v>
      </c>
      <c r="D8377" s="5" t="s">
        <v>11427</v>
      </c>
      <c r="E8377" s="6" t="str">
        <f>HYPERLINK("https://inpn.mnhn.fr/espece/cd_nom/12746","Crepidodera aurata (Marsham, 1802)")</f>
        <v>Crepidodera aurata (Marsham, 1802)</v>
      </c>
      <c r="AH8377" s="4" t="str">
        <f>HYPERLINK("#Statut_biogéographique!A"&amp;_xlfn.XMATCH("P",Statut_biogéographique!A:A,2,1),"P")</f>
        <v>P</v>
      </c>
      <c r="AP8377" s="4" t="s">
        <v>376</v>
      </c>
      <c r="AR8377" s="4" t="s">
        <v>377</v>
      </c>
    </row>
    <row r="8378" spans="1:44">
      <c r="A8378" s="4" t="s">
        <v>10753</v>
      </c>
      <c r="B8378" s="4">
        <v>12751</v>
      </c>
      <c r="D8378" s="5" t="s">
        <v>11428</v>
      </c>
      <c r="E8378" s="6" t="str">
        <f>HYPERLINK("https://inpn.mnhn.fr/espece/cd_nom/12751","Ochrosis ventralis (Illiger, 1807)")</f>
        <v>Ochrosis ventralis (Illiger, 1807)</v>
      </c>
      <c r="AH8378" s="4" t="str">
        <f>HYPERLINK("#Statut_biogéographique!A"&amp;_xlfn.XMATCH("P",Statut_biogéographique!A:A,2,1),"P")</f>
        <v>P</v>
      </c>
      <c r="AP8378" s="4" t="s">
        <v>376</v>
      </c>
      <c r="AR8378" s="4" t="s">
        <v>377</v>
      </c>
    </row>
    <row r="8379" spans="1:44">
      <c r="A8379" s="4" t="s">
        <v>10753</v>
      </c>
      <c r="B8379" s="4">
        <v>12760</v>
      </c>
      <c r="D8379" s="5" t="s">
        <v>11429</v>
      </c>
      <c r="E8379" s="6" t="str">
        <f>HYPERLINK("https://inpn.mnhn.fr/espece/cd_nom/12760","Mniophila muscorum (Koch, 1803)")</f>
        <v>Mniophila muscorum (Koch, 1803)</v>
      </c>
      <c r="AH8379" s="4" t="str">
        <f>HYPERLINK("#Statut_biogéographique!A"&amp;_xlfn.XMATCH("P",Statut_biogéographique!A:A,2,1),"P")</f>
        <v>P</v>
      </c>
      <c r="AP8379" s="4" t="s">
        <v>376</v>
      </c>
      <c r="AR8379" s="4" t="s">
        <v>377</v>
      </c>
    </row>
    <row r="8380" spans="1:44">
      <c r="A8380" s="4" t="s">
        <v>10753</v>
      </c>
      <c r="B8380" s="4">
        <v>12762</v>
      </c>
      <c r="D8380" s="5" t="s">
        <v>11430</v>
      </c>
      <c r="E8380" s="6" t="str">
        <f>HYPERLINK("https://inpn.mnhn.fr/espece/cd_nom/12762","Mantura rustica (Linnaeus, 1767)")</f>
        <v>Mantura rustica (Linnaeus, 1767)</v>
      </c>
      <c r="AH8380" s="4" t="str">
        <f>HYPERLINK("#Statut_biogéographique!A"&amp;_xlfn.XMATCH("P",Statut_biogéographique!A:A,2,1),"P")</f>
        <v>P</v>
      </c>
      <c r="AP8380" s="4" t="s">
        <v>376</v>
      </c>
      <c r="AR8380" s="4" t="s">
        <v>377</v>
      </c>
    </row>
    <row r="8381" spans="1:44">
      <c r="A8381" s="4" t="s">
        <v>10753</v>
      </c>
      <c r="B8381" s="4">
        <v>12766</v>
      </c>
      <c r="D8381" s="5" t="s">
        <v>11431</v>
      </c>
      <c r="E8381" s="6" t="str">
        <f>HYPERLINK("https://inpn.mnhn.fr/espece/cd_nom/12766","Chaetocnema arida Foudras, 1860")</f>
        <v>Chaetocnema arida Foudras, 1860</v>
      </c>
      <c r="AH8381" s="4" t="str">
        <f>HYPERLINK("#Statut_biogéographique!A"&amp;_xlfn.XMATCH("P",Statut_biogéographique!A:A,2,1),"P")</f>
        <v>P</v>
      </c>
      <c r="AP8381" s="4" t="s">
        <v>376</v>
      </c>
      <c r="AR8381" s="4" t="s">
        <v>377</v>
      </c>
    </row>
    <row r="8382" spans="1:44" ht="30">
      <c r="A8382" s="4" t="s">
        <v>10753</v>
      </c>
      <c r="B8382" s="4">
        <v>12767</v>
      </c>
      <c r="D8382" s="5" t="s">
        <v>11432</v>
      </c>
      <c r="E8382" s="6" t="str">
        <f>HYPERLINK("https://inpn.mnhn.fr/espece/cd_nom/12767","Chaetocnema chlorophana (Duftschmid, 1825)")</f>
        <v>Chaetocnema chlorophana (Duftschmid, 1825)</v>
      </c>
      <c r="AH8382" s="4" t="str">
        <f>HYPERLINK("#Statut_biogéographique!A"&amp;_xlfn.XMATCH("P",Statut_biogéographique!A:A,2,1),"P")</f>
        <v>P</v>
      </c>
      <c r="AP8382" s="4" t="s">
        <v>376</v>
      </c>
      <c r="AR8382" s="4" t="s">
        <v>377</v>
      </c>
    </row>
    <row r="8383" spans="1:44">
      <c r="A8383" s="4" t="s">
        <v>10753</v>
      </c>
      <c r="B8383" s="4">
        <v>12770</v>
      </c>
      <c r="D8383" s="5" t="s">
        <v>11433</v>
      </c>
      <c r="E8383" s="6" t="str">
        <f>HYPERLINK("https://inpn.mnhn.fr/espece/cd_nom/12770","Chaetocnema depressa (Boieldieu, 1859)")</f>
        <v>Chaetocnema depressa (Boieldieu, 1859)</v>
      </c>
      <c r="AH8383" s="4" t="str">
        <f>HYPERLINK("#Statut_biogéographique!A"&amp;_xlfn.XMATCH("P",Statut_biogéographique!A:A,2,1),"P")</f>
        <v>P</v>
      </c>
      <c r="AP8383" s="4" t="s">
        <v>376</v>
      </c>
      <c r="AR8383" s="4" t="s">
        <v>377</v>
      </c>
    </row>
    <row r="8384" spans="1:44">
      <c r="A8384" s="4" t="s">
        <v>10753</v>
      </c>
      <c r="B8384" s="4">
        <v>12772</v>
      </c>
      <c r="D8384" s="5" t="s">
        <v>11434</v>
      </c>
      <c r="E8384" s="6" t="str">
        <f>HYPERLINK("https://inpn.mnhn.fr/espece/cd_nom/12772","Chaetocnema concinna (Marsham, 1802)")</f>
        <v>Chaetocnema concinna (Marsham, 1802)</v>
      </c>
      <c r="AH8384" s="4" t="str">
        <f>HYPERLINK("#Statut_biogéographique!A"&amp;_xlfn.XMATCH("P",Statut_biogéographique!A:A,2,1),"P")</f>
        <v>P</v>
      </c>
      <c r="AP8384" s="4" t="s">
        <v>376</v>
      </c>
      <c r="AR8384" s="4" t="s">
        <v>377</v>
      </c>
    </row>
    <row r="8385" spans="1:44">
      <c r="A8385" s="4" t="s">
        <v>10753</v>
      </c>
      <c r="B8385" s="4">
        <v>12778</v>
      </c>
      <c r="D8385" s="5" t="s">
        <v>11435</v>
      </c>
      <c r="E8385" s="6" t="str">
        <f>HYPERLINK("https://inpn.mnhn.fr/espece/cd_nom/12778","Chaetocnema subcoerulea (Kutschera, 1864)")</f>
        <v>Chaetocnema subcoerulea (Kutschera, 1864)</v>
      </c>
      <c r="AH8385" s="4" t="str">
        <f>HYPERLINK("#Statut_biogéographique!A"&amp;_xlfn.XMATCH("P",Statut_biogéographique!A:A,2,1),"P")</f>
        <v>P</v>
      </c>
      <c r="AP8385" s="4" t="s">
        <v>376</v>
      </c>
      <c r="AR8385" s="4" t="s">
        <v>377</v>
      </c>
    </row>
    <row r="8386" spans="1:44" ht="30">
      <c r="A8386" s="4" t="s">
        <v>10753</v>
      </c>
      <c r="B8386" s="4">
        <v>12779</v>
      </c>
      <c r="D8386" s="5" t="s">
        <v>11436</v>
      </c>
      <c r="E8386" s="6" t="str">
        <f>HYPERLINK("https://inpn.mnhn.fr/espece/cd_nom/12779","Chaetocnema tibialis (Illiger, 1807)")</f>
        <v>Chaetocnema tibialis (Illiger, 1807)</v>
      </c>
      <c r="AH8386" s="4" t="str">
        <f>HYPERLINK("#Statut_biogéographique!A"&amp;_xlfn.XMATCH("P",Statut_biogéographique!A:A,2,1),"P")</f>
        <v>P</v>
      </c>
      <c r="AP8386" s="4" t="s">
        <v>376</v>
      </c>
      <c r="AR8386" s="4" t="s">
        <v>377</v>
      </c>
    </row>
    <row r="8387" spans="1:44">
      <c r="A8387" s="4" t="s">
        <v>10753</v>
      </c>
      <c r="B8387" s="4">
        <v>12790</v>
      </c>
      <c r="D8387" s="5" t="s">
        <v>11437</v>
      </c>
      <c r="E8387" s="6" t="str">
        <f>HYPERLINK("https://inpn.mnhn.fr/espece/cd_nom/12790","Phyllotreta consobrina (Curtis, 1837)")</f>
        <v>Phyllotreta consobrina (Curtis, 1837)</v>
      </c>
      <c r="AH8387" s="4" t="str">
        <f>HYPERLINK("#Statut_biogéographique!A"&amp;_xlfn.XMATCH("P",Statut_biogéographique!A:A,2,1),"P")</f>
        <v>P</v>
      </c>
      <c r="AP8387" s="4" t="s">
        <v>376</v>
      </c>
      <c r="AR8387" s="4" t="s">
        <v>377</v>
      </c>
    </row>
    <row r="8388" spans="1:44">
      <c r="A8388" s="4" t="s">
        <v>10753</v>
      </c>
      <c r="B8388" s="4">
        <v>12791</v>
      </c>
      <c r="D8388" s="5">
        <v>12791</v>
      </c>
      <c r="E8388" s="6" t="str">
        <f>HYPERLINK("https://inpn.mnhn.fr/espece/cd_nom/12791","Phyllotreta diademata Foudras, 1860")</f>
        <v>Phyllotreta diademata Foudras, 1860</v>
      </c>
      <c r="AH8388" s="4" t="str">
        <f>HYPERLINK("#Statut_biogéographique!A"&amp;_xlfn.XMATCH("P",Statut_biogéographique!A:A,2,1),"P")</f>
        <v>P</v>
      </c>
      <c r="AP8388" s="4" t="s">
        <v>376</v>
      </c>
      <c r="AR8388" s="4" t="s">
        <v>377</v>
      </c>
    </row>
    <row r="8389" spans="1:44">
      <c r="A8389" s="4" t="s">
        <v>10753</v>
      </c>
      <c r="B8389" s="4">
        <v>12794</v>
      </c>
      <c r="D8389" s="5" t="s">
        <v>11438</v>
      </c>
      <c r="E8389" s="6" t="str">
        <f>HYPERLINK("https://inpn.mnhn.fr/espece/cd_nom/12794","Phyllotreta nodicornis (Marsham, 1802)")</f>
        <v>Phyllotreta nodicornis (Marsham, 1802)</v>
      </c>
      <c r="AH8389" s="4" t="str">
        <f>HYPERLINK("#Statut_biogéographique!A"&amp;_xlfn.XMATCH("P",Statut_biogéographique!A:A,2,1),"P")</f>
        <v>P</v>
      </c>
      <c r="AP8389" s="4" t="s">
        <v>376</v>
      </c>
      <c r="AR8389" s="4" t="s">
        <v>377</v>
      </c>
    </row>
    <row r="8390" spans="1:44">
      <c r="A8390" s="4" t="s">
        <v>10753</v>
      </c>
      <c r="B8390" s="4">
        <v>12799</v>
      </c>
      <c r="D8390" s="5" t="s">
        <v>11439</v>
      </c>
      <c r="E8390" s="6" t="str">
        <f>HYPERLINK("https://inpn.mnhn.fr/espece/cd_nom/12799","Aphthona lutescens (Gyllenhal, 1813)")</f>
        <v>Aphthona lutescens (Gyllenhal, 1813)</v>
      </c>
      <c r="AH8390" s="4" t="str">
        <f>HYPERLINK("#Statut_biogéographique!A"&amp;_xlfn.XMATCH("P",Statut_biogéographique!A:A,2,1),"P")</f>
        <v>P</v>
      </c>
      <c r="AP8390" s="4" t="s">
        <v>376</v>
      </c>
      <c r="AR8390" s="4" t="s">
        <v>377</v>
      </c>
    </row>
    <row r="8391" spans="1:44">
      <c r="A8391" s="4" t="s">
        <v>10753</v>
      </c>
      <c r="B8391" s="4">
        <v>12801</v>
      </c>
      <c r="D8391" s="5" t="s">
        <v>11440</v>
      </c>
      <c r="E8391" s="6" t="str">
        <f>HYPERLINK("https://inpn.mnhn.fr/espece/cd_nom/12801","Aphthona euphorbiae (Schrank, 1781)")</f>
        <v>Aphthona euphorbiae (Schrank, 1781)</v>
      </c>
      <c r="AH8391" s="4" t="str">
        <f>HYPERLINK("#Statut_biogéographique!A"&amp;_xlfn.XMATCH("P",Statut_biogéographique!A:A,2,1),"P")</f>
        <v>P</v>
      </c>
      <c r="AP8391" s="4" t="s">
        <v>376</v>
      </c>
      <c r="AR8391" s="4" t="s">
        <v>377</v>
      </c>
    </row>
    <row r="8392" spans="1:44">
      <c r="A8392" s="4" t="s">
        <v>10753</v>
      </c>
      <c r="B8392" s="4">
        <v>12802</v>
      </c>
      <c r="D8392" s="5" t="s">
        <v>11441</v>
      </c>
      <c r="E8392" s="6" t="str">
        <f>HYPERLINK("https://inpn.mnhn.fr/espece/cd_nom/12802","Aphthona nonstriata Goeze, 1777")</f>
        <v>Aphthona nonstriata Goeze, 1777</v>
      </c>
      <c r="F8392" s="5" t="s">
        <v>11442</v>
      </c>
      <c r="AH8392" s="4" t="str">
        <f>HYPERLINK("#Statut_biogéographique!A"&amp;_xlfn.XMATCH("P",Statut_biogéographique!A:A,2,1),"P")</f>
        <v>P</v>
      </c>
      <c r="AP8392" s="4" t="s">
        <v>376</v>
      </c>
      <c r="AR8392" s="4" t="s">
        <v>377</v>
      </c>
    </row>
    <row r="8393" spans="1:44">
      <c r="A8393" s="4" t="s">
        <v>10753</v>
      </c>
      <c r="B8393" s="4">
        <v>12803</v>
      </c>
      <c r="D8393" s="5" t="s">
        <v>11443</v>
      </c>
      <c r="E8393" s="6" t="str">
        <f>HYPERLINK("https://inpn.mnhn.fr/espece/cd_nom/12803","Aphthona nigriceps (Redtenbacher, 1842)")</f>
        <v>Aphthona nigriceps (Redtenbacher, 1842)</v>
      </c>
      <c r="AH8393" s="4" t="str">
        <f>HYPERLINK("#Statut_biogéographique!A"&amp;_xlfn.XMATCH("P",Statut_biogéographique!A:A,2,1),"P")</f>
        <v>P</v>
      </c>
      <c r="AP8393" s="4" t="s">
        <v>376</v>
      </c>
      <c r="AR8393" s="4" t="s">
        <v>377</v>
      </c>
    </row>
    <row r="8394" spans="1:44">
      <c r="A8394" s="4" t="s">
        <v>10753</v>
      </c>
      <c r="B8394" s="4">
        <v>12805</v>
      </c>
      <c r="D8394" s="5" t="s">
        <v>11444</v>
      </c>
      <c r="E8394" s="6" t="str">
        <f>HYPERLINK("https://inpn.mnhn.fr/espece/cd_nom/12805","Aphthona pygmaea (Kutschera, 1861)")</f>
        <v>Aphthona pygmaea (Kutschera, 1861)</v>
      </c>
      <c r="AH8394" s="4" t="str">
        <f>HYPERLINK("#Statut_biogéographique!A"&amp;_xlfn.XMATCH("P",Statut_biogéographique!A:A,2,1),"P")</f>
        <v>P</v>
      </c>
      <c r="AP8394" s="4" t="s">
        <v>376</v>
      </c>
      <c r="AR8394" s="4" t="s">
        <v>377</v>
      </c>
    </row>
    <row r="8395" spans="1:44">
      <c r="A8395" s="4" t="s">
        <v>10753</v>
      </c>
      <c r="B8395" s="4">
        <v>12807</v>
      </c>
      <c r="D8395" s="5" t="s">
        <v>11445</v>
      </c>
      <c r="E8395" s="6" t="str">
        <f>HYPERLINK("https://inpn.mnhn.fr/espece/cd_nom/12807","Aphthona venustula (Kutschera, 1861)")</f>
        <v>Aphthona venustula (Kutschera, 1861)</v>
      </c>
      <c r="AH8395" s="4" t="str">
        <f>HYPERLINK("#Statut_biogéographique!A"&amp;_xlfn.XMATCH("P",Statut_biogéographique!A:A,2,1),"P")</f>
        <v>P</v>
      </c>
      <c r="AP8395" s="4" t="s">
        <v>376</v>
      </c>
      <c r="AR8395" s="4" t="s">
        <v>377</v>
      </c>
    </row>
    <row r="8396" spans="1:44">
      <c r="A8396" s="4" t="s">
        <v>10753</v>
      </c>
      <c r="B8396" s="4">
        <v>12818</v>
      </c>
      <c r="D8396" s="5" t="s">
        <v>11446</v>
      </c>
      <c r="E8396" s="6" t="str">
        <f>HYPERLINK("https://inpn.mnhn.fr/espece/cd_nom/12818","Longitarsus lycopi (Foudras, 1860)")</f>
        <v>Longitarsus lycopi (Foudras, 1860)</v>
      </c>
      <c r="AH8396" s="4" t="str">
        <f>HYPERLINK("#Statut_biogéographique!A"&amp;_xlfn.XMATCH("P",Statut_biogéographique!A:A,2,1),"P")</f>
        <v>P</v>
      </c>
      <c r="AP8396" s="4" t="s">
        <v>376</v>
      </c>
      <c r="AR8396" s="4" t="s">
        <v>377</v>
      </c>
    </row>
    <row r="8397" spans="1:44">
      <c r="A8397" s="4" t="s">
        <v>10753</v>
      </c>
      <c r="B8397" s="4">
        <v>12820</v>
      </c>
      <c r="D8397" s="5" t="s">
        <v>11447</v>
      </c>
      <c r="E8397" s="6" t="str">
        <f>HYPERLINK("https://inpn.mnhn.fr/espece/cd_nom/12820","Longitarsus ochroleucus (Marsham, 1802)")</f>
        <v>Longitarsus ochroleucus (Marsham, 1802)</v>
      </c>
      <c r="AH8397" s="4" t="str">
        <f>HYPERLINK("#Statut_biogéographique!A"&amp;_xlfn.XMATCH("P",Statut_biogéographique!A:A,2,1),"P")</f>
        <v>P</v>
      </c>
      <c r="AP8397" s="4" t="s">
        <v>376</v>
      </c>
      <c r="AR8397" s="4" t="s">
        <v>377</v>
      </c>
    </row>
    <row r="8398" spans="1:44">
      <c r="A8398" s="4" t="s">
        <v>10753</v>
      </c>
      <c r="B8398" s="4">
        <v>12822</v>
      </c>
      <c r="D8398" s="5" t="s">
        <v>11448</v>
      </c>
      <c r="E8398" s="6" t="str">
        <f>HYPERLINK("https://inpn.mnhn.fr/espece/cd_nom/12822","Longitarsus parvulus (Paykull, 1799)")</f>
        <v>Longitarsus parvulus (Paykull, 1799)</v>
      </c>
      <c r="AH8398" s="4" t="str">
        <f>HYPERLINK("#Statut_biogéographique!A"&amp;_xlfn.XMATCH("P",Statut_biogéographique!A:A,2,1),"P")</f>
        <v>P</v>
      </c>
      <c r="AP8398" s="4" t="s">
        <v>376</v>
      </c>
      <c r="AR8398" s="4" t="s">
        <v>377</v>
      </c>
    </row>
    <row r="8399" spans="1:44" ht="30">
      <c r="A8399" s="4" t="s">
        <v>10753</v>
      </c>
      <c r="B8399" s="4">
        <v>12823</v>
      </c>
      <c r="D8399" s="5" t="s">
        <v>11449</v>
      </c>
      <c r="E8399" s="6" t="str">
        <f>HYPERLINK("https://inpn.mnhn.fr/espece/cd_nom/12823","Longitarsus pratensis (Panzer, 1794)")</f>
        <v>Longitarsus pratensis (Panzer, 1794)</v>
      </c>
      <c r="AH8399" s="4" t="str">
        <f>HYPERLINK("#Statut_biogéographique!A"&amp;_xlfn.XMATCH("P",Statut_biogéographique!A:A,2,1),"P")</f>
        <v>P</v>
      </c>
      <c r="AP8399" s="4" t="s">
        <v>376</v>
      </c>
      <c r="AR8399" s="4" t="s">
        <v>377</v>
      </c>
    </row>
    <row r="8400" spans="1:44">
      <c r="A8400" s="4" t="s">
        <v>10753</v>
      </c>
      <c r="B8400" s="4">
        <v>12824</v>
      </c>
      <c r="D8400" s="5" t="s">
        <v>11450</v>
      </c>
      <c r="E8400" s="6" t="str">
        <f>HYPERLINK("https://inpn.mnhn.fr/espece/cd_nom/12824","Longitarsus succineus (Foudras, 1860)")</f>
        <v>Longitarsus succineus (Foudras, 1860)</v>
      </c>
      <c r="AH8400" s="4" t="str">
        <f>HYPERLINK("#Statut_biogéographique!A"&amp;_xlfn.XMATCH("P",Statut_biogéographique!A:A,2,1),"P")</f>
        <v>P</v>
      </c>
      <c r="AP8400" s="4" t="s">
        <v>376</v>
      </c>
      <c r="AR8400" s="4" t="s">
        <v>377</v>
      </c>
    </row>
    <row r="8401" spans="1:44">
      <c r="A8401" s="4" t="s">
        <v>10753</v>
      </c>
      <c r="B8401" s="4">
        <v>12826</v>
      </c>
      <c r="D8401" s="5" t="s">
        <v>11451</v>
      </c>
      <c r="E8401" s="6" t="str">
        <f>HYPERLINK("https://inpn.mnhn.fr/espece/cd_nom/12826","Longitarsus tabidus (Fabricius, 1775)")</f>
        <v>Longitarsus tabidus (Fabricius, 1775)</v>
      </c>
      <c r="AH8401" s="4" t="str">
        <f>HYPERLINK("#Statut_biogéographique!A"&amp;_xlfn.XMATCH("P",Statut_biogéographique!A:A,2,1),"P")</f>
        <v>P</v>
      </c>
      <c r="AP8401" s="4" t="s">
        <v>376</v>
      </c>
      <c r="AR8401" s="4" t="s">
        <v>377</v>
      </c>
    </row>
    <row r="8402" spans="1:44">
      <c r="A8402" s="4" t="s">
        <v>10753</v>
      </c>
      <c r="B8402" s="4">
        <v>12832</v>
      </c>
      <c r="D8402" s="5" t="s">
        <v>11452</v>
      </c>
      <c r="E8402" s="6" t="str">
        <f>HYPERLINK("https://inpn.mnhn.fr/espece/cd_nom/12832","Sphaeroderma testaceum (Fabricius, 1775)")</f>
        <v>Sphaeroderma testaceum (Fabricius, 1775)</v>
      </c>
      <c r="AH8402" s="4" t="str">
        <f>HYPERLINK("#Statut_biogéographique!A"&amp;_xlfn.XMATCH("P",Statut_biogéographique!A:A,2,1),"P")</f>
        <v>P</v>
      </c>
      <c r="AP8402" s="4" t="s">
        <v>376</v>
      </c>
      <c r="AR8402" s="4" t="s">
        <v>377</v>
      </c>
    </row>
    <row r="8403" spans="1:44">
      <c r="A8403" s="4" t="s">
        <v>10753</v>
      </c>
      <c r="B8403" s="4">
        <v>12834</v>
      </c>
      <c r="D8403" s="5" t="s">
        <v>11453</v>
      </c>
      <c r="E8403" s="6" t="str">
        <f>HYPERLINK("https://inpn.mnhn.fr/espece/cd_nom/12834","Dibolia cynoglossi (Koch, 1803)")</f>
        <v>Dibolia cynoglossi (Koch, 1803)</v>
      </c>
      <c r="AH8403" s="4" t="str">
        <f>HYPERLINK("#Statut_biogéographique!A"&amp;_xlfn.XMATCH("P",Statut_biogéographique!A:A,2,1),"P")</f>
        <v>P</v>
      </c>
      <c r="AP8403" s="4" t="s">
        <v>376</v>
      </c>
      <c r="AR8403" s="4" t="s">
        <v>377</v>
      </c>
    </row>
    <row r="8404" spans="1:44">
      <c r="A8404" s="4" t="s">
        <v>10753</v>
      </c>
      <c r="B8404" s="4">
        <v>12839</v>
      </c>
      <c r="D8404" s="5" t="s">
        <v>11454</v>
      </c>
      <c r="E8404" s="6" t="str">
        <f>HYPERLINK("https://inpn.mnhn.fr/espece/cd_nom/12839","Psylliodes chrysocephala (Linnaeus, 1758)")</f>
        <v>Psylliodes chrysocephala (Linnaeus, 1758)</v>
      </c>
      <c r="F8404" s="5" t="s">
        <v>11455</v>
      </c>
      <c r="AH8404" s="4" t="str">
        <f>HYPERLINK("#Statut_biogéographique!A"&amp;_xlfn.XMATCH("P",Statut_biogéographique!A:A,2,1),"P")</f>
        <v>P</v>
      </c>
      <c r="AP8404" s="4" t="s">
        <v>376</v>
      </c>
      <c r="AR8404" s="4" t="s">
        <v>377</v>
      </c>
    </row>
    <row r="8405" spans="1:44">
      <c r="A8405" s="4" t="s">
        <v>10753</v>
      </c>
      <c r="B8405" s="4">
        <v>12849</v>
      </c>
      <c r="D8405" s="5" t="s">
        <v>11456</v>
      </c>
      <c r="E8405" s="6" t="str">
        <f>HYPERLINK("https://inpn.mnhn.fr/espece/cd_nom/12849","Psylliodes dulcamarae (Koch, 1803)")</f>
        <v>Psylliodes dulcamarae (Koch, 1803)</v>
      </c>
      <c r="AH8405" s="4" t="str">
        <f>HYPERLINK("#Statut_biogéographique!A"&amp;_xlfn.XMATCH("P",Statut_biogéographique!A:A,2,1),"P")</f>
        <v>P</v>
      </c>
      <c r="AP8405" s="4" t="s">
        <v>376</v>
      </c>
      <c r="AR8405" s="4" t="s">
        <v>377</v>
      </c>
    </row>
    <row r="8406" spans="1:44">
      <c r="A8406" s="4" t="s">
        <v>10753</v>
      </c>
      <c r="B8406" s="4">
        <v>12856</v>
      </c>
      <c r="D8406" s="5" t="s">
        <v>11457</v>
      </c>
      <c r="E8406" s="6" t="str">
        <f>HYPERLINK("https://inpn.mnhn.fr/espece/cd_nom/12856","Cassida deflorata Suffrian, 1844")</f>
        <v>Cassida deflorata Suffrian, 1844</v>
      </c>
      <c r="AH8406" s="4" t="str">
        <f>HYPERLINK("#Statut_biogéographique!A"&amp;_xlfn.XMATCH("P",Statut_biogéographique!A:A,2,1),"P")</f>
        <v>P</v>
      </c>
      <c r="AP8406" s="4" t="s">
        <v>376</v>
      </c>
      <c r="AR8406" s="4" t="s">
        <v>377</v>
      </c>
    </row>
    <row r="8407" spans="1:44">
      <c r="A8407" s="4" t="s">
        <v>10753</v>
      </c>
      <c r="B8407" s="4">
        <v>12858</v>
      </c>
      <c r="D8407" s="5">
        <v>12858</v>
      </c>
      <c r="E8407" s="6" t="str">
        <f>HYPERLINK("https://inpn.mnhn.fr/espece/cd_nom/12858","Cassida flaveola Thunberg, 1794")</f>
        <v>Cassida flaveola Thunberg, 1794</v>
      </c>
      <c r="AH8407" s="4" t="str">
        <f>HYPERLINK("#Statut_biogéographique!A"&amp;_xlfn.XMATCH("P",Statut_biogéographique!A:A,2,1),"P")</f>
        <v>P</v>
      </c>
      <c r="AP8407" s="4" t="s">
        <v>376</v>
      </c>
      <c r="AR8407" s="4" t="s">
        <v>377</v>
      </c>
    </row>
    <row r="8408" spans="1:44">
      <c r="A8408" s="4" t="s">
        <v>10753</v>
      </c>
      <c r="B8408" s="4">
        <v>12859</v>
      </c>
      <c r="D8408" s="5">
        <v>12859</v>
      </c>
      <c r="E8408" s="6" t="str">
        <f>HYPERLINK("https://inpn.mnhn.fr/espece/cd_nom/12859","Cassida murraea Linnaeus, 1767")</f>
        <v>Cassida murraea Linnaeus, 1767</v>
      </c>
      <c r="AH8408" s="4" t="str">
        <f>HYPERLINK("#Statut_biogéographique!A"&amp;_xlfn.XMATCH("P",Statut_biogéographique!A:A,2,1),"P")</f>
        <v>P</v>
      </c>
      <c r="AP8408" s="4" t="s">
        <v>376</v>
      </c>
      <c r="AR8408" s="4" t="s">
        <v>377</v>
      </c>
    </row>
    <row r="8409" spans="1:44">
      <c r="A8409" s="4" t="s">
        <v>10753</v>
      </c>
      <c r="B8409" s="4">
        <v>1286</v>
      </c>
      <c r="D8409" s="5" t="s">
        <v>11458</v>
      </c>
      <c r="E8409" s="6" t="str">
        <f>HYPERLINK("https://inpn.mnhn.fr/espece/cd_nom/1286","Theridion varians Hahn, 1833")</f>
        <v>Theridion varians Hahn, 1833</v>
      </c>
      <c r="Q8409" s="7" t="str">
        <f>HYPERLINK("#Liste_rouge!A"&amp;_xlfn.XMATCH("LC",Liste_rouge!A:A,2,1),"LC")</f>
        <v>LC</v>
      </c>
      <c r="AH8409" s="4" t="str">
        <f>HYPERLINK("#Statut_biogéographique!A"&amp;_xlfn.XMATCH("P",Statut_biogéographique!A:A,2,1),"P")</f>
        <v>P</v>
      </c>
      <c r="AP8409" s="4" t="s">
        <v>376</v>
      </c>
      <c r="AR8409" s="4" t="s">
        <v>377</v>
      </c>
    </row>
    <row r="8410" spans="1:44">
      <c r="A8410" s="4" t="s">
        <v>10753</v>
      </c>
      <c r="B8410" s="4">
        <v>12863</v>
      </c>
      <c r="D8410" s="5">
        <v>12863</v>
      </c>
      <c r="E8410" s="6" t="str">
        <f>HYPERLINK("https://inpn.mnhn.fr/espece/cd_nom/12863","Cassida rubiginosa O.F. Müller, 1776")</f>
        <v>Cassida rubiginosa O.F. Müller, 1776</v>
      </c>
      <c r="AH8410" s="4" t="str">
        <f>HYPERLINK("#Statut_biogéographique!A"&amp;_xlfn.XMATCH("P",Statut_biogéographique!A:A,2,1),"P")</f>
        <v>P</v>
      </c>
      <c r="AP8410" s="4" t="s">
        <v>376</v>
      </c>
      <c r="AR8410" s="4" t="s">
        <v>377</v>
      </c>
    </row>
    <row r="8411" spans="1:44">
      <c r="A8411" s="4" t="s">
        <v>10753</v>
      </c>
      <c r="B8411" s="4">
        <v>12865</v>
      </c>
      <c r="D8411" s="5" t="s">
        <v>11459</v>
      </c>
      <c r="E8411" s="6" t="str">
        <f>HYPERLINK("https://inpn.mnhn.fr/espece/cd_nom/12865","Cassida vibex Linnaeus, 1767")</f>
        <v>Cassida vibex Linnaeus, 1767</v>
      </c>
      <c r="AH8411" s="4" t="str">
        <f>HYPERLINK("#Statut_biogéographique!A"&amp;_xlfn.XMATCH("P",Statut_biogéographique!A:A,2,1),"P")</f>
        <v>P</v>
      </c>
      <c r="AP8411" s="4" t="s">
        <v>376</v>
      </c>
      <c r="AR8411" s="4" t="s">
        <v>377</v>
      </c>
    </row>
    <row r="8412" spans="1:44">
      <c r="A8412" s="4" t="s">
        <v>10753</v>
      </c>
      <c r="B8412" s="4">
        <v>12867</v>
      </c>
      <c r="D8412" s="5">
        <v>12867</v>
      </c>
      <c r="E8412" s="6" t="str">
        <f>HYPERLINK("https://inpn.mnhn.fr/espece/cd_nom/12867","Cassida viridis Linnaeus, 1758")</f>
        <v>Cassida viridis Linnaeus, 1758</v>
      </c>
      <c r="F8412" s="5" t="s">
        <v>11460</v>
      </c>
      <c r="AH8412" s="4" t="str">
        <f>HYPERLINK("#Statut_biogéographique!A"&amp;_xlfn.XMATCH("P",Statut_biogéographique!A:A,2,1),"P")</f>
        <v>P</v>
      </c>
      <c r="AP8412" s="4" t="s">
        <v>376</v>
      </c>
      <c r="AR8412" s="4" t="s">
        <v>377</v>
      </c>
    </row>
    <row r="8413" spans="1:44">
      <c r="A8413" s="4" t="s">
        <v>10753</v>
      </c>
      <c r="B8413" s="4">
        <v>12879</v>
      </c>
      <c r="D8413" s="5" t="s">
        <v>11461</v>
      </c>
      <c r="E8413" s="6" t="str">
        <f>HYPERLINK("https://inpn.mnhn.fr/espece/cd_nom/12879","Bruchidius dispar (Gyllenhal, 1833)")</f>
        <v>Bruchidius dispar (Gyllenhal, 1833)</v>
      </c>
      <c r="AH8413" s="4" t="str">
        <f>HYPERLINK("#Statut_biogéographique!A"&amp;_xlfn.XMATCH("P",Statut_biogéographique!A:A,2,1),"P")</f>
        <v>P</v>
      </c>
      <c r="AP8413" s="4" t="s">
        <v>376</v>
      </c>
      <c r="AR8413" s="4" t="s">
        <v>377</v>
      </c>
    </row>
    <row r="8414" spans="1:44">
      <c r="A8414" s="4" t="s">
        <v>10753</v>
      </c>
      <c r="B8414" s="4">
        <v>12886</v>
      </c>
      <c r="D8414" s="5" t="s">
        <v>11462</v>
      </c>
      <c r="E8414" s="6" t="str">
        <f>HYPERLINK("https://inpn.mnhn.fr/espece/cd_nom/12886","Bruchidius lividimanus (Gyllenhal, 1833)")</f>
        <v>Bruchidius lividimanus (Gyllenhal, 1833)</v>
      </c>
      <c r="AH8414" s="4" t="str">
        <f>HYPERLINK("#Statut_biogéographique!A"&amp;_xlfn.XMATCH("P",Statut_biogéographique!A:A,2,1),"P")</f>
        <v>P</v>
      </c>
      <c r="AP8414" s="4" t="s">
        <v>376</v>
      </c>
      <c r="AR8414" s="4" t="s">
        <v>377</v>
      </c>
    </row>
    <row r="8415" spans="1:44">
      <c r="A8415" s="4" t="s">
        <v>10753</v>
      </c>
      <c r="B8415" s="4">
        <v>12887</v>
      </c>
      <c r="D8415" s="5" t="s">
        <v>11463</v>
      </c>
      <c r="E8415" s="6" t="str">
        <f>HYPERLINK("https://inpn.mnhn.fr/espece/cd_nom/12887","Bruchidius marginalis (Fabricius, 1777)")</f>
        <v>Bruchidius marginalis (Fabricius, 1777)</v>
      </c>
      <c r="AH8415" s="4" t="str">
        <f>HYPERLINK("#Statut_biogéographique!A"&amp;_xlfn.XMATCH("P",Statut_biogéographique!A:A,2,1),"P")</f>
        <v>P</v>
      </c>
      <c r="AP8415" s="4" t="s">
        <v>376</v>
      </c>
      <c r="AR8415" s="4" t="s">
        <v>377</v>
      </c>
    </row>
    <row r="8416" spans="1:44">
      <c r="A8416" s="4" t="s">
        <v>10753</v>
      </c>
      <c r="B8416" s="4">
        <v>12894</v>
      </c>
      <c r="D8416" s="5" t="s">
        <v>11464</v>
      </c>
      <c r="E8416" s="6" t="str">
        <f>HYPERLINK("https://inpn.mnhn.fr/espece/cd_nom/12894","Bruchidius unicolor (Olivier, 1800)")</f>
        <v>Bruchidius unicolor (Olivier, 1800)</v>
      </c>
      <c r="AH8416" s="4" t="str">
        <f>HYPERLINK("#Statut_biogéographique!A"&amp;_xlfn.XMATCH("P",Statut_biogéographique!A:A,2,1),"P")</f>
        <v>P</v>
      </c>
      <c r="AP8416" s="4" t="s">
        <v>376</v>
      </c>
      <c r="AR8416" s="4" t="s">
        <v>377</v>
      </c>
    </row>
    <row r="8417" spans="1:44">
      <c r="A8417" s="4" t="s">
        <v>10753</v>
      </c>
      <c r="B8417" s="4">
        <v>12895</v>
      </c>
      <c r="D8417" s="5" t="s">
        <v>11465</v>
      </c>
      <c r="E8417" s="6" t="str">
        <f>HYPERLINK("https://inpn.mnhn.fr/espece/cd_nom/12895","Bruchidius varius (Olivier, 1800)")</f>
        <v>Bruchidius varius (Olivier, 1800)</v>
      </c>
      <c r="AH8417" s="4" t="str">
        <f>HYPERLINK("#Statut_biogéographique!A"&amp;_xlfn.XMATCH("P",Statut_biogéographique!A:A,2,1),"P")</f>
        <v>P</v>
      </c>
      <c r="AP8417" s="4" t="s">
        <v>376</v>
      </c>
      <c r="AR8417" s="4" t="s">
        <v>377</v>
      </c>
    </row>
    <row r="8418" spans="1:44">
      <c r="A8418" s="4" t="s">
        <v>10753</v>
      </c>
      <c r="B8418" s="4">
        <v>12897</v>
      </c>
      <c r="D8418" s="5" t="s">
        <v>11466</v>
      </c>
      <c r="E8418" s="6" t="str">
        <f>HYPERLINK("https://inpn.mnhn.fr/espece/cd_nom/12897","Bruchidius murinus (Boheman, 1829)")</f>
        <v>Bruchidius murinus (Boheman, 1829)</v>
      </c>
      <c r="AH8418" s="4" t="str">
        <f>HYPERLINK("#Statut_biogéographique!A"&amp;_xlfn.XMATCH("P",Statut_biogéographique!A:A,2,1),"P")</f>
        <v>P</v>
      </c>
      <c r="AP8418" s="4" t="s">
        <v>376</v>
      </c>
      <c r="AR8418" s="4" t="s">
        <v>377</v>
      </c>
    </row>
    <row r="8419" spans="1:44">
      <c r="A8419" s="4" t="s">
        <v>10753</v>
      </c>
      <c r="B8419" s="4">
        <v>1291</v>
      </c>
      <c r="D8419" s="5">
        <v>1291</v>
      </c>
      <c r="E8419" s="6" t="str">
        <f>HYPERLINK("https://inpn.mnhn.fr/espece/cd_nom/1291","Theridion mystaceum L. Koch, 1870")</f>
        <v>Theridion mystaceum L. Koch, 1870</v>
      </c>
      <c r="Q8419" s="7" t="str">
        <f>HYPERLINK("#Liste_rouge!A"&amp;_xlfn.XMATCH("LC",Liste_rouge!A:A,2,1),"LC")</f>
        <v>LC</v>
      </c>
      <c r="AH8419" s="4" t="str">
        <f>HYPERLINK("#Statut_biogéographique!A"&amp;_xlfn.XMATCH("P",Statut_biogéographique!A:A,2,1),"P")</f>
        <v>P</v>
      </c>
      <c r="AP8419" s="4" t="s">
        <v>376</v>
      </c>
      <c r="AR8419" s="4" t="s">
        <v>377</v>
      </c>
    </row>
    <row r="8420" spans="1:44" ht="30">
      <c r="A8420" s="4" t="s">
        <v>10753</v>
      </c>
      <c r="B8420" s="4">
        <v>12919</v>
      </c>
      <c r="D8420" s="5" t="s">
        <v>11467</v>
      </c>
      <c r="E8420" s="6" t="str">
        <f>HYPERLINK("https://inpn.mnhn.fr/espece/cd_nom/12919","Scolytus intricatus (Ratzeburg, 1837)")</f>
        <v>Scolytus intricatus (Ratzeburg, 1837)</v>
      </c>
      <c r="AH8420" s="4" t="str">
        <f>HYPERLINK("#Statut_biogéographique!A"&amp;_xlfn.XMATCH("P",Statut_biogéographique!A:A,2,1),"P")</f>
        <v>P</v>
      </c>
      <c r="AP8420" s="4" t="s">
        <v>376</v>
      </c>
      <c r="AR8420" s="4" t="s">
        <v>377</v>
      </c>
    </row>
    <row r="8421" spans="1:44" ht="30">
      <c r="A8421" s="4" t="s">
        <v>10753</v>
      </c>
      <c r="B8421" s="4">
        <v>12921</v>
      </c>
      <c r="D8421" s="5" t="s">
        <v>11468</v>
      </c>
      <c r="E8421" s="6" t="str">
        <f>HYPERLINK("https://inpn.mnhn.fr/espece/cd_nom/12921","Scolytus mali (Bechstein, 1805)")</f>
        <v>Scolytus mali (Bechstein, 1805)</v>
      </c>
      <c r="AH8421" s="4" t="str">
        <f>HYPERLINK("#Statut_biogéographique!A"&amp;_xlfn.XMATCH("P",Statut_biogéographique!A:A,2,1),"P")</f>
        <v>P</v>
      </c>
      <c r="AP8421" s="4" t="s">
        <v>376</v>
      </c>
      <c r="AR8421" s="4" t="s">
        <v>377</v>
      </c>
    </row>
    <row r="8422" spans="1:44" ht="30">
      <c r="A8422" s="4" t="s">
        <v>10753</v>
      </c>
      <c r="B8422" s="4">
        <v>12926</v>
      </c>
      <c r="D8422" s="5" t="s">
        <v>11469</v>
      </c>
      <c r="E8422" s="6" t="str">
        <f>HYPERLINK("https://inpn.mnhn.fr/espece/cd_nom/12926","Hylastinus obscurus (Marsham, 1802)")</f>
        <v>Hylastinus obscurus (Marsham, 1802)</v>
      </c>
      <c r="AH8422" s="4" t="str">
        <f>HYPERLINK("#Statut_biogéographique!A"&amp;_xlfn.XMATCH("P",Statut_biogéographique!A:A,2,1),"P")</f>
        <v>P</v>
      </c>
      <c r="AP8422" s="4" t="s">
        <v>376</v>
      </c>
      <c r="AR8422" s="4" t="s">
        <v>377</v>
      </c>
    </row>
    <row r="8423" spans="1:44">
      <c r="A8423" s="4" t="s">
        <v>10753</v>
      </c>
      <c r="B8423" s="4">
        <v>12928</v>
      </c>
      <c r="D8423" s="5" t="s">
        <v>11470</v>
      </c>
      <c r="E8423" s="6" t="str">
        <f>HYPERLINK("https://inpn.mnhn.fr/espece/cd_nom/12928","Dendroctonus micans (Kugelann, 1794)")</f>
        <v>Dendroctonus micans (Kugelann, 1794)</v>
      </c>
      <c r="F8423" s="5" t="s">
        <v>11471</v>
      </c>
      <c r="AH8423" s="4" t="str">
        <f>HYPERLINK("#Statut_biogéographique!A"&amp;_xlfn.XMATCH("C",Statut_biogéographique!A:A,2,1),"C")</f>
        <v>C</v>
      </c>
      <c r="AP8423" s="4" t="s">
        <v>376</v>
      </c>
      <c r="AR8423" s="4" t="s">
        <v>377</v>
      </c>
    </row>
    <row r="8424" spans="1:44">
      <c r="A8424" s="4" t="s">
        <v>10753</v>
      </c>
      <c r="B8424" s="4">
        <v>12933</v>
      </c>
      <c r="D8424" s="5" t="s">
        <v>11472</v>
      </c>
      <c r="E8424" s="6" t="str">
        <f>HYPERLINK("https://inpn.mnhn.fr/espece/cd_nom/12933","Hylurgus ligniperda (Fabricius, 1787)")</f>
        <v>Hylurgus ligniperda (Fabricius, 1787)</v>
      </c>
      <c r="AH8424" s="4" t="str">
        <f>HYPERLINK("#Statut_biogéographique!A"&amp;_xlfn.XMATCH("P",Statut_biogéographique!A:A,2,1),"P")</f>
        <v>P</v>
      </c>
      <c r="AP8424" s="4" t="s">
        <v>376</v>
      </c>
      <c r="AR8424" s="4" t="s">
        <v>377</v>
      </c>
    </row>
    <row r="8425" spans="1:44">
      <c r="A8425" s="4" t="s">
        <v>10753</v>
      </c>
      <c r="B8425" s="4">
        <v>12935</v>
      </c>
      <c r="D8425" s="5" t="s">
        <v>11473</v>
      </c>
      <c r="E8425" s="6" t="str">
        <f>HYPERLINK("https://inpn.mnhn.fr/espece/cd_nom/12935","Hylastes angustatus (Herbst, 1793)")</f>
        <v>Hylastes angustatus (Herbst, 1793)</v>
      </c>
      <c r="AH8425" s="4" t="str">
        <f>HYPERLINK("#Statut_biogéographique!A"&amp;_xlfn.XMATCH("P",Statut_biogéographique!A:A,2,1),"P")</f>
        <v>P</v>
      </c>
      <c r="AP8425" s="4" t="s">
        <v>376</v>
      </c>
      <c r="AR8425" s="4" t="s">
        <v>377</v>
      </c>
    </row>
    <row r="8426" spans="1:44">
      <c r="A8426" s="4" t="s">
        <v>10753</v>
      </c>
      <c r="B8426" s="4">
        <v>12936</v>
      </c>
      <c r="D8426" s="5" t="s">
        <v>11474</v>
      </c>
      <c r="E8426" s="6" t="str">
        <f>HYPERLINK("https://inpn.mnhn.fr/espece/cd_nom/12936","Hylastes ater (Paykull, 1800)")</f>
        <v>Hylastes ater (Paykull, 1800)</v>
      </c>
      <c r="AH8426" s="4" t="str">
        <f>HYPERLINK("#Statut_biogéographique!A"&amp;_xlfn.XMATCH("P",Statut_biogéographique!A:A,2,1),"P")</f>
        <v>P</v>
      </c>
      <c r="AP8426" s="4" t="s">
        <v>376</v>
      </c>
      <c r="AR8426" s="4" t="s">
        <v>377</v>
      </c>
    </row>
    <row r="8427" spans="1:44" ht="45">
      <c r="A8427" s="4" t="s">
        <v>10753</v>
      </c>
      <c r="B8427" s="4">
        <v>12942</v>
      </c>
      <c r="D8427" s="5" t="s">
        <v>11475</v>
      </c>
      <c r="E8427" s="6" t="str">
        <f>HYPERLINK("https://inpn.mnhn.fr/espece/cd_nom/12942","Anisandrus dispar (Fabricius, 1792)")</f>
        <v>Anisandrus dispar (Fabricius, 1792)</v>
      </c>
      <c r="AH8427" s="4" t="str">
        <f>HYPERLINK("#Statut_biogéographique!A"&amp;_xlfn.XMATCH("P",Statut_biogéographique!A:A,2,1),"P")</f>
        <v>P</v>
      </c>
      <c r="AP8427" s="4" t="s">
        <v>376</v>
      </c>
      <c r="AR8427" s="4" t="s">
        <v>377</v>
      </c>
    </row>
    <row r="8428" spans="1:44" ht="30">
      <c r="A8428" s="4" t="s">
        <v>10753</v>
      </c>
      <c r="B8428" s="4">
        <v>12945</v>
      </c>
      <c r="D8428" s="5" t="s">
        <v>11476</v>
      </c>
      <c r="E8428" s="6" t="str">
        <f>HYPERLINK("https://inpn.mnhn.fr/espece/cd_nom/12945","Xyleborus monographus (Fabricius, 1792)")</f>
        <v>Xyleborus monographus (Fabricius, 1792)</v>
      </c>
      <c r="AH8428" s="4" t="str">
        <f>HYPERLINK("#Statut_biogéographique!A"&amp;_xlfn.XMATCH("P",Statut_biogéographique!A:A,2,1),"P")</f>
        <v>P</v>
      </c>
      <c r="AP8428" s="4" t="s">
        <v>376</v>
      </c>
      <c r="AR8428" s="4" t="s">
        <v>377</v>
      </c>
    </row>
    <row r="8429" spans="1:44" ht="30">
      <c r="A8429" s="4" t="s">
        <v>10753</v>
      </c>
      <c r="B8429" s="4">
        <v>12960</v>
      </c>
      <c r="D8429" s="5" t="s">
        <v>11477</v>
      </c>
      <c r="E8429" s="6" t="str">
        <f>HYPERLINK("https://inpn.mnhn.fr/espece/cd_nom/12960","Ips acuminatus (Gyllenhal, 1827)")</f>
        <v>Ips acuminatus (Gyllenhal, 1827)</v>
      </c>
      <c r="AH8429" s="4" t="str">
        <f>HYPERLINK("#Statut_biogéographique!A"&amp;_xlfn.XMATCH("P",Statut_biogéographique!A:A,2,1),"P")</f>
        <v>P</v>
      </c>
      <c r="AP8429" s="4" t="s">
        <v>376</v>
      </c>
      <c r="AR8429" s="4" t="s">
        <v>377</v>
      </c>
    </row>
    <row r="8430" spans="1:44">
      <c r="A8430" s="4" t="s">
        <v>10753</v>
      </c>
      <c r="B8430" s="4">
        <v>12961</v>
      </c>
      <c r="D8430" s="5" t="s">
        <v>11478</v>
      </c>
      <c r="E8430" s="6" t="str">
        <f>HYPERLINK("https://inpn.mnhn.fr/espece/cd_nom/12961","Ips sexdentatus (Boerner, 1766)")</f>
        <v>Ips sexdentatus (Boerner, 1766)</v>
      </c>
      <c r="AH8430" s="4" t="str">
        <f>HYPERLINK("#Statut_biogéographique!A"&amp;_xlfn.XMATCH("P",Statut_biogéographique!A:A,2,1),"P")</f>
        <v>P</v>
      </c>
      <c r="AP8430" s="4" t="s">
        <v>376</v>
      </c>
      <c r="AR8430" s="4" t="s">
        <v>377</v>
      </c>
    </row>
    <row r="8431" spans="1:44">
      <c r="A8431" s="4" t="s">
        <v>10753</v>
      </c>
      <c r="B8431" s="4">
        <v>12965</v>
      </c>
      <c r="D8431" s="5" t="s">
        <v>11479</v>
      </c>
      <c r="E8431" s="6" t="str">
        <f>HYPERLINK("https://inpn.mnhn.fr/espece/cd_nom/12965","Orthotomicus erosus (Wollaston, 1857)")</f>
        <v>Orthotomicus erosus (Wollaston, 1857)</v>
      </c>
      <c r="AH8431" s="4" t="str">
        <f>HYPERLINK("#Statut_biogéographique!A"&amp;_xlfn.XMATCH("P",Statut_biogéographique!A:A,2,1),"P")</f>
        <v>P</v>
      </c>
      <c r="AP8431" s="4" t="s">
        <v>376</v>
      </c>
      <c r="AR8431" s="4" t="s">
        <v>377</v>
      </c>
    </row>
    <row r="8432" spans="1:44">
      <c r="A8432" s="4" t="s">
        <v>10753</v>
      </c>
      <c r="B8432" s="4">
        <v>12966</v>
      </c>
      <c r="D8432" s="5" t="s">
        <v>11480</v>
      </c>
      <c r="E8432" s="6" t="str">
        <f>HYPERLINK("https://inpn.mnhn.fr/espece/cd_nom/12966","Orthotomicus laricis (Fabricius, 1792)")</f>
        <v>Orthotomicus laricis (Fabricius, 1792)</v>
      </c>
      <c r="AH8432" s="4" t="str">
        <f>HYPERLINK("#Statut_biogéographique!A"&amp;_xlfn.XMATCH("P",Statut_biogéographique!A:A,2,1),"P")</f>
        <v>P</v>
      </c>
      <c r="AP8432" s="4" t="s">
        <v>376</v>
      </c>
      <c r="AR8432" s="4" t="s">
        <v>377</v>
      </c>
    </row>
    <row r="8433" spans="1:44">
      <c r="A8433" s="4" t="s">
        <v>10753</v>
      </c>
      <c r="B8433" s="4">
        <v>12968</v>
      </c>
      <c r="D8433" s="5" t="s">
        <v>11481</v>
      </c>
      <c r="E8433" s="6" t="str">
        <f>HYPERLINK("https://inpn.mnhn.fr/espece/cd_nom/12968","Orthotomicus suturalis (Gyllenhal, 1827)")</f>
        <v>Orthotomicus suturalis (Gyllenhal, 1827)</v>
      </c>
      <c r="AH8433" s="4" t="str">
        <f>HYPERLINK("#Statut_biogéographique!A"&amp;_xlfn.XMATCH("P",Statut_biogéographique!A:A,2,1),"P")</f>
        <v>P</v>
      </c>
      <c r="AP8433" s="4" t="s">
        <v>376</v>
      </c>
      <c r="AR8433" s="4" t="s">
        <v>377</v>
      </c>
    </row>
    <row r="8434" spans="1:44">
      <c r="A8434" s="4" t="s">
        <v>10753</v>
      </c>
      <c r="B8434" s="4">
        <v>1298</v>
      </c>
      <c r="D8434" s="5" t="s">
        <v>11482</v>
      </c>
      <c r="E8434" s="6" t="str">
        <f>HYPERLINK("https://inpn.mnhn.fr/espece/cd_nom/1298","Dipoena melanogaster (C.L. Koch, 1837)")</f>
        <v>Dipoena melanogaster (C.L. Koch, 1837)</v>
      </c>
      <c r="Q8434" s="7" t="str">
        <f>HYPERLINK("#Liste_rouge!A"&amp;_xlfn.XMATCH("LC",Liste_rouge!A:A,2,1),"LC")</f>
        <v>LC</v>
      </c>
      <c r="AH8434" s="4" t="str">
        <f>HYPERLINK("#Statut_biogéographique!A"&amp;_xlfn.XMATCH("P",Statut_biogéographique!A:A,2,1),"P")</f>
        <v>P</v>
      </c>
      <c r="AP8434" s="4" t="s">
        <v>376</v>
      </c>
      <c r="AR8434" s="4" t="s">
        <v>377</v>
      </c>
    </row>
    <row r="8435" spans="1:44">
      <c r="A8435" s="4" t="s">
        <v>10753</v>
      </c>
      <c r="B8435" s="4">
        <v>1299</v>
      </c>
      <c r="D8435" s="5" t="s">
        <v>11483</v>
      </c>
      <c r="E8435" s="6" t="str">
        <f>HYPERLINK("https://inpn.mnhn.fr/espece/cd_nom/1299","Dipoena braccata (C.L. Koch, 1841)")</f>
        <v>Dipoena braccata (C.L. Koch, 1841)</v>
      </c>
      <c r="Q8435" s="7" t="str">
        <f>HYPERLINK("#Liste_rouge!A"&amp;_xlfn.XMATCH("DD",Liste_rouge!A:A,2,1),"DD")</f>
        <v>DD</v>
      </c>
      <c r="AH8435" s="4" t="str">
        <f>HYPERLINK("#Statut_biogéographique!A"&amp;_xlfn.XMATCH("P",Statut_biogéographique!A:A,2,1),"P")</f>
        <v>P</v>
      </c>
      <c r="AP8435" s="4" t="s">
        <v>376</v>
      </c>
      <c r="AR8435" s="4" t="s">
        <v>377</v>
      </c>
    </row>
    <row r="8436" spans="1:44">
      <c r="A8436" s="4" t="s">
        <v>10753</v>
      </c>
      <c r="B8436" s="4">
        <v>13015</v>
      </c>
      <c r="D8436" s="5" t="s">
        <v>11484</v>
      </c>
      <c r="E8436" s="6" t="str">
        <f>HYPERLINK("https://inpn.mnhn.fr/espece/cd_nom/13015","Otiorhynchus singularis (Linnaeus, 1767)")</f>
        <v>Otiorhynchus singularis (Linnaeus, 1767)</v>
      </c>
      <c r="AH8436" s="4" t="str">
        <f>HYPERLINK("#Statut_biogéographique!A"&amp;_xlfn.XMATCH("P",Statut_biogéographique!A:A,2,1),"P")</f>
        <v>P</v>
      </c>
      <c r="AP8436" s="4" t="s">
        <v>376</v>
      </c>
      <c r="AR8436" s="4" t="s">
        <v>377</v>
      </c>
    </row>
    <row r="8437" spans="1:44">
      <c r="A8437" s="4" t="s">
        <v>10753</v>
      </c>
      <c r="B8437" s="4">
        <v>13022</v>
      </c>
      <c r="D8437" s="5" t="s">
        <v>11485</v>
      </c>
      <c r="E8437" s="6" t="str">
        <f>HYPERLINK("https://inpn.mnhn.fr/espece/cd_nom/13022","Otiorhynchus impressiventris Fairmaire, 1859")</f>
        <v>Otiorhynchus impressiventris Fairmaire, 1859</v>
      </c>
      <c r="AH8437" s="4" t="str">
        <f>HYPERLINK("#Statut_biogéographique!A"&amp;_xlfn.XMATCH("P",Statut_biogéographique!A:A,2,1),"P")</f>
        <v>P</v>
      </c>
      <c r="AP8437" s="4" t="s">
        <v>376</v>
      </c>
      <c r="AR8437" s="4" t="s">
        <v>377</v>
      </c>
    </row>
    <row r="8438" spans="1:44" ht="30">
      <c r="A8438" s="4" t="s">
        <v>10753</v>
      </c>
      <c r="B8438" s="4">
        <v>13044</v>
      </c>
      <c r="D8438" s="5" t="s">
        <v>11486</v>
      </c>
      <c r="E8438" s="6" t="str">
        <f>HYPERLINK("https://inpn.mnhn.fr/espece/cd_nom/13044","Otiorhynchus sulcatus (Fabricius, 1775)")</f>
        <v>Otiorhynchus sulcatus (Fabricius, 1775)</v>
      </c>
      <c r="F8438" s="5" t="s">
        <v>11487</v>
      </c>
      <c r="AH8438" s="4" t="str">
        <f>HYPERLINK("#Statut_biogéographique!A"&amp;_xlfn.XMATCH("P",Statut_biogéographique!A:A,2,1),"P")</f>
        <v>P</v>
      </c>
      <c r="AP8438" s="4" t="s">
        <v>376</v>
      </c>
      <c r="AR8438" s="4" t="s">
        <v>377</v>
      </c>
    </row>
    <row r="8439" spans="1:44">
      <c r="A8439" s="4" t="s">
        <v>10753</v>
      </c>
      <c r="B8439" s="4">
        <v>1306</v>
      </c>
      <c r="D8439" s="5" t="s">
        <v>11488</v>
      </c>
      <c r="E8439" s="6" t="str">
        <f>HYPERLINK("https://inpn.mnhn.fr/espece/cd_nom/1306","Crustulina guttata (Wider, 1834)")</f>
        <v>Crustulina guttata (Wider, 1834)</v>
      </c>
      <c r="Q8439" s="7" t="str">
        <f>HYPERLINK("#Liste_rouge!A"&amp;_xlfn.XMATCH("LC",Liste_rouge!A:A,2,1),"LC")</f>
        <v>LC</v>
      </c>
      <c r="AH8439" s="4" t="str">
        <f>HYPERLINK("#Statut_biogéographique!A"&amp;_xlfn.XMATCH("P",Statut_biogéographique!A:A,2,1),"P")</f>
        <v>P</v>
      </c>
      <c r="AP8439" s="4" t="s">
        <v>376</v>
      </c>
      <c r="AR8439" s="4" t="s">
        <v>377</v>
      </c>
    </row>
    <row r="8440" spans="1:44">
      <c r="A8440" s="4" t="s">
        <v>10753</v>
      </c>
      <c r="B8440" s="4">
        <v>13071</v>
      </c>
      <c r="D8440" s="5" t="s">
        <v>11489</v>
      </c>
      <c r="E8440" s="6" t="str">
        <f>HYPERLINK("https://inpn.mnhn.fr/espece/cd_nom/13071","Otiorhynchus lutosus Stierlin, 1858")</f>
        <v>Otiorhynchus lutosus Stierlin, 1858</v>
      </c>
      <c r="AH8440" s="4" t="str">
        <f>HYPERLINK("#Statut_biogéographique!A"&amp;_xlfn.XMATCH("P",Statut_biogéographique!A:A,2,1),"P")</f>
        <v>P</v>
      </c>
      <c r="AP8440" s="4" t="s">
        <v>376</v>
      </c>
      <c r="AR8440" s="4" t="s">
        <v>377</v>
      </c>
    </row>
    <row r="8441" spans="1:44">
      <c r="A8441" s="4" t="s">
        <v>10753</v>
      </c>
      <c r="B8441" s="4">
        <v>13088</v>
      </c>
      <c r="D8441" s="5" t="s">
        <v>11490</v>
      </c>
      <c r="E8441" s="6" t="str">
        <f>HYPERLINK("https://inpn.mnhn.fr/espece/cd_nom/13088","Otiorhynchus ovatus (Linnaeus, 1758)")</f>
        <v>Otiorhynchus ovatus (Linnaeus, 1758)</v>
      </c>
      <c r="AH8441" s="4" t="str">
        <f>HYPERLINK("#Statut_biogéographique!A"&amp;_xlfn.XMATCH("P",Statut_biogéographique!A:A,2,1),"P")</f>
        <v>P</v>
      </c>
      <c r="AP8441" s="4" t="s">
        <v>376</v>
      </c>
      <c r="AR8441" s="4" t="s">
        <v>377</v>
      </c>
    </row>
    <row r="8442" spans="1:44" ht="75">
      <c r="A8442" s="4" t="s">
        <v>10753</v>
      </c>
      <c r="B8442" s="4">
        <v>13096</v>
      </c>
      <c r="D8442" s="5" t="s">
        <v>11491</v>
      </c>
      <c r="E8442" s="6" t="str">
        <f>HYPERLINK("https://inpn.mnhn.fr/espece/cd_nom/13096","Otiorhynchus ligustici (Linnaeus, 1758)")</f>
        <v>Otiorhynchus ligustici (Linnaeus, 1758)</v>
      </c>
      <c r="F8442" s="5" t="s">
        <v>11492</v>
      </c>
      <c r="AH8442" s="4" t="str">
        <f>HYPERLINK("#Statut_biogéographique!A"&amp;_xlfn.XMATCH("P",Statut_biogéographique!A:A,2,1),"P")</f>
        <v>P</v>
      </c>
      <c r="AP8442" s="4" t="s">
        <v>376</v>
      </c>
      <c r="AR8442" s="4" t="s">
        <v>377</v>
      </c>
    </row>
    <row r="8443" spans="1:44">
      <c r="A8443" s="4" t="s">
        <v>10753</v>
      </c>
      <c r="B8443" s="4">
        <v>13173</v>
      </c>
      <c r="D8443" s="5" t="s">
        <v>11493</v>
      </c>
      <c r="E8443" s="6" t="str">
        <f>HYPERLINK("https://inpn.mnhn.fr/espece/cd_nom/13173","Peritelus sphaeroides Germar, 1823")</f>
        <v>Peritelus sphaeroides Germar, 1823</v>
      </c>
      <c r="F8443" s="5" t="s">
        <v>11494</v>
      </c>
      <c r="AH8443" s="4" t="str">
        <f>HYPERLINK("#Statut_biogéographique!A"&amp;_xlfn.XMATCH("P",Statut_biogéographique!A:A,2,1),"P")</f>
        <v>P</v>
      </c>
      <c r="AP8443" s="4" t="s">
        <v>376</v>
      </c>
      <c r="AR8443" s="4" t="s">
        <v>377</v>
      </c>
    </row>
    <row r="8444" spans="1:44">
      <c r="A8444" s="4" t="s">
        <v>10753</v>
      </c>
      <c r="B8444" s="4">
        <v>1320</v>
      </c>
      <c r="D8444" s="5" t="s">
        <v>11495</v>
      </c>
      <c r="E8444" s="6" t="str">
        <f>HYPERLINK("https://inpn.mnhn.fr/espece/cd_nom/1320","Asagena phalerata (Panzer, 1800)")</f>
        <v>Asagena phalerata (Panzer, 1800)</v>
      </c>
      <c r="Q8444" s="7" t="str">
        <f>HYPERLINK("#Liste_rouge!A"&amp;_xlfn.XMATCH("LC",Liste_rouge!A:A,2,1),"LC")</f>
        <v>LC</v>
      </c>
      <c r="AH8444" s="4" t="str">
        <f>HYPERLINK("#Statut_biogéographique!A"&amp;_xlfn.XMATCH("P",Statut_biogéographique!A:A,2,1),"P")</f>
        <v>P</v>
      </c>
      <c r="AP8444" s="4" t="s">
        <v>376</v>
      </c>
      <c r="AR8444" s="4" t="s">
        <v>377</v>
      </c>
    </row>
    <row r="8445" spans="1:44" ht="45">
      <c r="A8445" s="4" t="s">
        <v>10753</v>
      </c>
      <c r="B8445" s="4">
        <v>13228</v>
      </c>
      <c r="D8445" s="5" t="s">
        <v>11496</v>
      </c>
      <c r="E8445" s="6" t="str">
        <f>HYPERLINK("https://inpn.mnhn.fr/espece/cd_nom/13228","Phyllobius oblongus (Linnaeus, 1758)")</f>
        <v>Phyllobius oblongus (Linnaeus, 1758)</v>
      </c>
      <c r="F8445" s="5" t="s">
        <v>11497</v>
      </c>
      <c r="AH8445" s="4" t="str">
        <f>HYPERLINK("#Statut_biogéographique!A"&amp;_xlfn.XMATCH("P",Statut_biogéographique!A:A,2,1),"P")</f>
        <v>P</v>
      </c>
      <c r="AP8445" s="4" t="s">
        <v>376</v>
      </c>
      <c r="AR8445" s="4" t="s">
        <v>377</v>
      </c>
    </row>
    <row r="8446" spans="1:44">
      <c r="A8446" s="4" t="s">
        <v>10753</v>
      </c>
      <c r="B8446" s="4">
        <v>1323</v>
      </c>
      <c r="D8446" s="5" t="s">
        <v>11498</v>
      </c>
      <c r="E8446" s="6" t="str">
        <f>HYPERLINK("https://inpn.mnhn.fr/espece/cd_nom/1323","Enoplognatha thoracica (Hahn, 1833)")</f>
        <v>Enoplognatha thoracica (Hahn, 1833)</v>
      </c>
      <c r="Q8446" s="7" t="str">
        <f>HYPERLINK("#Liste_rouge!A"&amp;_xlfn.XMATCH("LC",Liste_rouge!A:A,2,1),"LC")</f>
        <v>LC</v>
      </c>
      <c r="AH8446" s="4" t="str">
        <f>HYPERLINK("#Statut_biogéographique!A"&amp;_xlfn.XMATCH("P",Statut_biogéographique!A:A,2,1),"P")</f>
        <v>P</v>
      </c>
      <c r="AP8446" s="4" t="s">
        <v>376</v>
      </c>
      <c r="AR8446" s="4" t="s">
        <v>377</v>
      </c>
    </row>
    <row r="8447" spans="1:44">
      <c r="A8447" s="4" t="s">
        <v>10753</v>
      </c>
      <c r="B8447" s="4">
        <v>13243</v>
      </c>
      <c r="D8447" s="5" t="s">
        <v>11499</v>
      </c>
      <c r="E8447" s="6" t="str">
        <f>HYPERLINK("https://inpn.mnhn.fr/espece/cd_nom/13243","Sitona lineatus (Linnaeus, 1758)")</f>
        <v>Sitona lineatus (Linnaeus, 1758)</v>
      </c>
      <c r="F8447" s="5" t="s">
        <v>11500</v>
      </c>
      <c r="AH8447" s="4" t="str">
        <f>HYPERLINK("#Statut_biogéographique!A"&amp;_xlfn.XMATCH("P",Statut_biogéographique!A:A,2,1),"P")</f>
        <v>P</v>
      </c>
      <c r="AP8447" s="4" t="s">
        <v>376</v>
      </c>
      <c r="AR8447" s="4" t="s">
        <v>377</v>
      </c>
    </row>
    <row r="8448" spans="1:44" ht="30">
      <c r="A8448" s="4" t="s">
        <v>10753</v>
      </c>
      <c r="B8448" s="4">
        <v>1325</v>
      </c>
      <c r="D8448" s="5" t="s">
        <v>11501</v>
      </c>
      <c r="E8448" s="6" t="str">
        <f>HYPERLINK("https://inpn.mnhn.fr/espece/cd_nom/1325","Enoplognatha latimana Hippa &amp; Oksala, 1982")</f>
        <v>Enoplognatha latimana Hippa &amp; Oksala, 1982</v>
      </c>
      <c r="Q8448" s="7" t="str">
        <f>HYPERLINK("#Liste_rouge!A"&amp;_xlfn.XMATCH("LC",Liste_rouge!A:A,2,1),"LC")</f>
        <v>LC</v>
      </c>
      <c r="AH8448" s="4" t="str">
        <f>HYPERLINK("#Statut_biogéographique!A"&amp;_xlfn.XMATCH("P",Statut_biogéographique!A:A,2,1),"P")</f>
        <v>P</v>
      </c>
      <c r="AP8448" s="4" t="s">
        <v>376</v>
      </c>
      <c r="AR8448" s="4" t="s">
        <v>377</v>
      </c>
    </row>
    <row r="8449" spans="1:44">
      <c r="A8449" s="4" t="s">
        <v>10753</v>
      </c>
      <c r="B8449" s="4">
        <v>13252</v>
      </c>
      <c r="D8449" s="5">
        <v>13252</v>
      </c>
      <c r="E8449" s="6" t="str">
        <f>HYPERLINK("https://inpn.mnhn.fr/espece/cd_nom/13252","Sitona suturalis Stephens, 1831")</f>
        <v>Sitona suturalis Stephens, 1831</v>
      </c>
      <c r="AH8449" s="4" t="str">
        <f>HYPERLINK("#Statut_biogéographique!A"&amp;_xlfn.XMATCH("P",Statut_biogéographique!A:A,2,1),"P")</f>
        <v>P</v>
      </c>
      <c r="AP8449" s="4" t="s">
        <v>376</v>
      </c>
      <c r="AR8449" s="4" t="s">
        <v>377</v>
      </c>
    </row>
    <row r="8450" spans="1:44">
      <c r="A8450" s="4" t="s">
        <v>10753</v>
      </c>
      <c r="B8450" s="4">
        <v>13267</v>
      </c>
      <c r="D8450" s="5" t="s">
        <v>11502</v>
      </c>
      <c r="E8450" s="6" t="str">
        <f>HYPERLINK("https://inpn.mnhn.fr/espece/cd_nom/13267","Sitona puncticollis Stephens, 1831")</f>
        <v>Sitona puncticollis Stephens, 1831</v>
      </c>
      <c r="AH8450" s="4" t="str">
        <f>HYPERLINK("#Statut_biogéographique!A"&amp;_xlfn.XMATCH("P",Statut_biogéographique!A:A,2,1),"P")</f>
        <v>P</v>
      </c>
      <c r="AP8450" s="4" t="s">
        <v>376</v>
      </c>
      <c r="AR8450" s="4" t="s">
        <v>377</v>
      </c>
    </row>
    <row r="8451" spans="1:44">
      <c r="A8451" s="4" t="s">
        <v>10753</v>
      </c>
      <c r="B8451" s="4">
        <v>13271</v>
      </c>
      <c r="D8451" s="5">
        <v>13271</v>
      </c>
      <c r="E8451" s="6" t="str">
        <f>HYPERLINK("https://inpn.mnhn.fr/espece/cd_nom/13271","Sitona cinnamomeus Allard, 1863")</f>
        <v>Sitona cinnamomeus Allard, 1863</v>
      </c>
      <c r="AH8451" s="4" t="str">
        <f>HYPERLINK("#Statut_biogéographique!A"&amp;_xlfn.XMATCH("P",Statut_biogéographique!A:A,2,1),"P")</f>
        <v>P</v>
      </c>
      <c r="AP8451" s="4" t="s">
        <v>376</v>
      </c>
      <c r="AR8451" s="4" t="s">
        <v>377</v>
      </c>
    </row>
    <row r="8452" spans="1:44">
      <c r="A8452" s="4" t="s">
        <v>10753</v>
      </c>
      <c r="B8452" s="4">
        <v>1328</v>
      </c>
      <c r="D8452" s="5" t="s">
        <v>11503</v>
      </c>
      <c r="E8452" s="6" t="str">
        <f>HYPERLINK("https://inpn.mnhn.fr/espece/cd_nom/1328","Enoplognatha ovata (Clerck, 1758)")</f>
        <v>Enoplognatha ovata (Clerck, 1758)</v>
      </c>
      <c r="F8452" s="5" t="s">
        <v>11504</v>
      </c>
      <c r="Q8452" s="7" t="str">
        <f>HYPERLINK("#Liste_rouge!A"&amp;_xlfn.XMATCH("LC",Liste_rouge!A:A,2,1),"LC")</f>
        <v>LC</v>
      </c>
      <c r="AH8452" s="4" t="str">
        <f>HYPERLINK("#Statut_biogéographique!A"&amp;_xlfn.XMATCH("P",Statut_biogéographique!A:A,2,1),"P")</f>
        <v>P</v>
      </c>
      <c r="AP8452" s="4" t="s">
        <v>376</v>
      </c>
      <c r="AR8452" s="4" t="s">
        <v>377</v>
      </c>
    </row>
    <row r="8453" spans="1:44">
      <c r="A8453" s="4" t="s">
        <v>10753</v>
      </c>
      <c r="B8453" s="4">
        <v>13295</v>
      </c>
      <c r="D8453" s="5" t="s">
        <v>11505</v>
      </c>
      <c r="E8453" s="6" t="str">
        <f>HYPERLINK("https://inpn.mnhn.fr/espece/cd_nom/13295","Sitona languidus Gyllenhal, 1834")</f>
        <v>Sitona languidus Gyllenhal, 1834</v>
      </c>
      <c r="AH8453" s="4" t="str">
        <f>HYPERLINK("#Statut_biogéographique!A"&amp;_xlfn.XMATCH("P",Statut_biogéographique!A:A,2,1),"P")</f>
        <v>P</v>
      </c>
      <c r="AP8453" s="4" t="s">
        <v>376</v>
      </c>
      <c r="AR8453" s="4" t="s">
        <v>377</v>
      </c>
    </row>
    <row r="8454" spans="1:44">
      <c r="A8454" s="4" t="s">
        <v>10753</v>
      </c>
      <c r="B8454" s="4">
        <v>13299</v>
      </c>
      <c r="D8454" s="5">
        <v>13299</v>
      </c>
      <c r="E8454" s="6" t="str">
        <f>HYPERLINK("https://inpn.mnhn.fr/espece/cd_nom/13299","Sitona waterhousei Walton, 1846")</f>
        <v>Sitona waterhousei Walton, 1846</v>
      </c>
      <c r="AH8454" s="4" t="str">
        <f>HYPERLINK("#Statut_biogéographique!A"&amp;_xlfn.XMATCH("P",Statut_biogéographique!A:A,2,1),"P")</f>
        <v>P</v>
      </c>
      <c r="AP8454" s="4" t="s">
        <v>376</v>
      </c>
      <c r="AR8454" s="4" t="s">
        <v>377</v>
      </c>
    </row>
    <row r="8455" spans="1:44" ht="30">
      <c r="A8455" s="4" t="s">
        <v>10753</v>
      </c>
      <c r="B8455" s="4">
        <v>13301</v>
      </c>
      <c r="D8455" s="5" t="s">
        <v>11506</v>
      </c>
      <c r="E8455" s="6" t="str">
        <f>HYPERLINK("https://inpn.mnhn.fr/espece/cd_nom/13301","Sitona hispidulus (Fabricius, 1777)")</f>
        <v>Sitona hispidulus (Fabricius, 1777)</v>
      </c>
      <c r="AH8455" s="4" t="str">
        <f>HYPERLINK("#Statut_biogéographique!A"&amp;_xlfn.XMATCH("P",Statut_biogéographique!A:A,2,1),"P")</f>
        <v>P</v>
      </c>
      <c r="AP8455" s="4" t="s">
        <v>376</v>
      </c>
      <c r="AR8455" s="4" t="s">
        <v>377</v>
      </c>
    </row>
    <row r="8456" spans="1:44">
      <c r="A8456" s="4" t="s">
        <v>10753</v>
      </c>
      <c r="B8456" s="4">
        <v>13305</v>
      </c>
      <c r="D8456" s="5" t="s">
        <v>11507</v>
      </c>
      <c r="E8456" s="6" t="str">
        <f>HYPERLINK("https://inpn.mnhn.fr/espece/cd_nom/13305","Sitona cylindricollis Fåhraeus, 1840")</f>
        <v>Sitona cylindricollis Fåhraeus, 1840</v>
      </c>
      <c r="AH8456" s="4" t="str">
        <f>HYPERLINK("#Statut_biogéographique!A"&amp;_xlfn.XMATCH("P",Statut_biogéographique!A:A,2,1),"P")</f>
        <v>P</v>
      </c>
      <c r="AP8456" s="4" t="s">
        <v>376</v>
      </c>
      <c r="AR8456" s="4" t="s">
        <v>377</v>
      </c>
    </row>
    <row r="8457" spans="1:44">
      <c r="A8457" s="4" t="s">
        <v>10753</v>
      </c>
      <c r="B8457" s="4">
        <v>13307</v>
      </c>
      <c r="D8457" s="5" t="s">
        <v>11508</v>
      </c>
      <c r="E8457" s="6" t="str">
        <f>HYPERLINK("https://inpn.mnhn.fr/espece/cd_nom/13307","Sitona humeralis Stephens, 1831")</f>
        <v>Sitona humeralis Stephens, 1831</v>
      </c>
      <c r="AH8457" s="4" t="str">
        <f>HYPERLINK("#Statut_biogéographique!A"&amp;_xlfn.XMATCH("P",Statut_biogéographique!A:A,2,1),"P")</f>
        <v>P</v>
      </c>
      <c r="AP8457" s="4" t="s">
        <v>376</v>
      </c>
      <c r="AR8457" s="4" t="s">
        <v>377</v>
      </c>
    </row>
    <row r="8458" spans="1:44">
      <c r="A8458" s="4" t="s">
        <v>10753</v>
      </c>
      <c r="B8458" s="4">
        <v>13311</v>
      </c>
      <c r="D8458" s="5" t="s">
        <v>11509</v>
      </c>
      <c r="E8458" s="6" t="str">
        <f>HYPERLINK("https://inpn.mnhn.fr/espece/cd_nom/13311","Sitona discoideus Gyllenhal, 1834")</f>
        <v>Sitona discoideus Gyllenhal, 1834</v>
      </c>
      <c r="AH8458" s="4" t="str">
        <f>HYPERLINK("#Statut_biogéographique!A"&amp;_xlfn.XMATCH("P",Statut_biogéographique!A:A,2,1),"P")</f>
        <v>P</v>
      </c>
      <c r="AP8458" s="4" t="s">
        <v>376</v>
      </c>
      <c r="AR8458" s="4" t="s">
        <v>377</v>
      </c>
    </row>
    <row r="8459" spans="1:44">
      <c r="A8459" s="4" t="s">
        <v>10753</v>
      </c>
      <c r="B8459" s="4">
        <v>1335</v>
      </c>
      <c r="D8459" s="5" t="s">
        <v>11510</v>
      </c>
      <c r="E8459" s="6" t="str">
        <f>HYPERLINK("https://inpn.mnhn.fr/espece/cd_nom/1335","Robertus lividus (Blackwall, 1836)")</f>
        <v>Robertus lividus (Blackwall, 1836)</v>
      </c>
      <c r="Q8459" s="7" t="str">
        <f>HYPERLINK("#Liste_rouge!A"&amp;_xlfn.XMATCH("LC",Liste_rouge!A:A,2,1),"LC")</f>
        <v>LC</v>
      </c>
      <c r="AH8459" s="4" t="str">
        <f>HYPERLINK("#Statut_biogéographique!A"&amp;_xlfn.XMATCH("P",Statut_biogéographique!A:A,2,1),"P")</f>
        <v>P</v>
      </c>
      <c r="AP8459" s="4" t="s">
        <v>376</v>
      </c>
      <c r="AR8459" s="4" t="s">
        <v>377</v>
      </c>
    </row>
    <row r="8460" spans="1:44" ht="30">
      <c r="A8460" s="4" t="s">
        <v>10753</v>
      </c>
      <c r="B8460" s="4">
        <v>13387</v>
      </c>
      <c r="D8460" s="5" t="s">
        <v>11511</v>
      </c>
      <c r="E8460" s="6" t="str">
        <f>HYPERLINK("https://inpn.mnhn.fr/espece/cd_nom/13387","Mecaspis alternans (Herbst, 1795)")</f>
        <v>Mecaspis alternans (Herbst, 1795)</v>
      </c>
      <c r="AH8460" s="4" t="str">
        <f>HYPERLINK("#Statut_biogéographique!A"&amp;_xlfn.XMATCH("P",Statut_biogéographique!A:A,2,1),"P")</f>
        <v>P</v>
      </c>
      <c r="AP8460" s="4" t="s">
        <v>376</v>
      </c>
      <c r="AR8460" s="4" t="s">
        <v>377</v>
      </c>
    </row>
    <row r="8461" spans="1:44" ht="30">
      <c r="A8461" s="4" t="s">
        <v>10753</v>
      </c>
      <c r="B8461" s="4">
        <v>13453</v>
      </c>
      <c r="D8461" s="5" t="s">
        <v>11512</v>
      </c>
      <c r="E8461" s="6" t="str">
        <f>HYPERLINK("https://inpn.mnhn.fr/espece/cd_nom/13453","Pseudocleonus grammicus (Panzer, 1789)")</f>
        <v>Pseudocleonus grammicus (Panzer, 1789)</v>
      </c>
      <c r="AH8461" s="4" t="str">
        <f>HYPERLINK("#Statut_biogéographique!A"&amp;_xlfn.XMATCH("P",Statut_biogéographique!A:A,2,1),"P")</f>
        <v>P</v>
      </c>
      <c r="AP8461" s="4" t="s">
        <v>376</v>
      </c>
      <c r="AR8461" s="4" t="s">
        <v>377</v>
      </c>
    </row>
    <row r="8462" spans="1:44">
      <c r="A8462" s="4" t="s">
        <v>10753</v>
      </c>
      <c r="B8462" s="4">
        <v>13483</v>
      </c>
      <c r="D8462" s="5" t="s">
        <v>11513</v>
      </c>
      <c r="E8462" s="6" t="str">
        <f>HYPERLINK("https://inpn.mnhn.fr/espece/cd_nom/13483","Phyllobius argentatus (Linnaeus, 1758)")</f>
        <v>Phyllobius argentatus (Linnaeus, 1758)</v>
      </c>
      <c r="AH8462" s="4" t="str">
        <f>HYPERLINK("#Statut_biogéographique!A"&amp;_xlfn.XMATCH("P",Statut_biogéographique!A:A,2,1),"P")</f>
        <v>P</v>
      </c>
      <c r="AP8462" s="4" t="s">
        <v>376</v>
      </c>
      <c r="AR8462" s="4" t="s">
        <v>377</v>
      </c>
    </row>
    <row r="8463" spans="1:44" ht="30">
      <c r="A8463" s="4" t="s">
        <v>10753</v>
      </c>
      <c r="B8463" s="4">
        <v>13495</v>
      </c>
      <c r="D8463" s="5" t="s">
        <v>11514</v>
      </c>
      <c r="E8463" s="6" t="str">
        <f>HYPERLINK("https://inpn.mnhn.fr/espece/cd_nom/13495","Phyllobius pyri (Linnaeus, 1758)")</f>
        <v>Phyllobius pyri (Linnaeus, 1758)</v>
      </c>
      <c r="AH8463" s="4" t="str">
        <f>HYPERLINK("#Statut_biogéographique!A"&amp;_xlfn.XMATCH("P",Statut_biogéographique!A:A,2,1),"P")</f>
        <v>P</v>
      </c>
      <c r="AP8463" s="4" t="s">
        <v>376</v>
      </c>
      <c r="AR8463" s="4" t="s">
        <v>377</v>
      </c>
    </row>
    <row r="8464" spans="1:44" ht="30">
      <c r="A8464" s="4" t="s">
        <v>10753</v>
      </c>
      <c r="B8464" s="4">
        <v>13505</v>
      </c>
      <c r="D8464" s="5" t="s">
        <v>11515</v>
      </c>
      <c r="E8464" s="6" t="str">
        <f>HYPERLINK("https://inpn.mnhn.fr/espece/cd_nom/13505","Phyllobius betulinus (Bechstein &amp; Scharfenberg, 1805)")</f>
        <v>Phyllobius betulinus (Bechstein &amp; Scharfenberg, 1805)</v>
      </c>
      <c r="AH8464" s="4" t="str">
        <f>HYPERLINK("#Statut_biogéographique!A"&amp;_xlfn.XMATCH("P",Statut_biogéographique!A:A,2,1),"P")</f>
        <v>P</v>
      </c>
      <c r="AP8464" s="4" t="s">
        <v>376</v>
      </c>
      <c r="AR8464" s="4" t="s">
        <v>377</v>
      </c>
    </row>
    <row r="8465" spans="1:44">
      <c r="A8465" s="4" t="s">
        <v>10753</v>
      </c>
      <c r="B8465" s="4">
        <v>13511</v>
      </c>
      <c r="D8465" s="5" t="s">
        <v>11516</v>
      </c>
      <c r="E8465" s="6" t="str">
        <f>HYPERLINK("https://inpn.mnhn.fr/espece/cd_nom/13511","Phyllobius virideaeris (Laicharting, 1781)")</f>
        <v>Phyllobius virideaeris (Laicharting, 1781)</v>
      </c>
      <c r="AH8465" s="4" t="str">
        <f>HYPERLINK("#Statut_biogéographique!A"&amp;_xlfn.XMATCH("P",Statut_biogéographique!A:A,2,1),"P")</f>
        <v>P</v>
      </c>
      <c r="AP8465" s="4" t="s">
        <v>376</v>
      </c>
      <c r="AR8465" s="4" t="s">
        <v>377</v>
      </c>
    </row>
    <row r="8466" spans="1:44">
      <c r="A8466" s="4" t="s">
        <v>10753</v>
      </c>
      <c r="B8466" s="4">
        <v>13515</v>
      </c>
      <c r="D8466" s="5" t="s">
        <v>11517</v>
      </c>
      <c r="E8466" s="6" t="str">
        <f>HYPERLINK("https://inpn.mnhn.fr/espece/cd_nom/13515","Phyllobius roboretanus Gredler, 1882")</f>
        <v>Phyllobius roboretanus Gredler, 1882</v>
      </c>
      <c r="AH8466" s="4" t="str">
        <f>HYPERLINK("#Statut_biogéographique!A"&amp;_xlfn.XMATCH("P",Statut_biogéographique!A:A,2,1),"P")</f>
        <v>P</v>
      </c>
      <c r="AP8466" s="4" t="s">
        <v>376</v>
      </c>
      <c r="AR8466" s="4" t="s">
        <v>377</v>
      </c>
    </row>
    <row r="8467" spans="1:44" ht="45">
      <c r="A8467" s="4" t="s">
        <v>10753</v>
      </c>
      <c r="B8467" s="4">
        <v>13526</v>
      </c>
      <c r="D8467" s="5" t="s">
        <v>11518</v>
      </c>
      <c r="E8467" s="6" t="str">
        <f>HYPERLINK("https://inpn.mnhn.fr/espece/cd_nom/13526","Phyllobius pomaceus Gyllenhal, 1834")</f>
        <v>Phyllobius pomaceus Gyllenhal, 1834</v>
      </c>
      <c r="F8467" s="5" t="s">
        <v>11519</v>
      </c>
      <c r="AH8467" s="4" t="str">
        <f>HYPERLINK("#Statut_biogéographique!A"&amp;_xlfn.XMATCH("P",Statut_biogéographique!A:A,2,1),"P")</f>
        <v>P</v>
      </c>
      <c r="AP8467" s="4" t="s">
        <v>376</v>
      </c>
      <c r="AR8467" s="4" t="s">
        <v>377</v>
      </c>
    </row>
    <row r="8468" spans="1:44">
      <c r="A8468" s="4" t="s">
        <v>10753</v>
      </c>
      <c r="B8468" s="4">
        <v>1353</v>
      </c>
      <c r="D8468" s="5" t="s">
        <v>11520</v>
      </c>
      <c r="E8468" s="6" t="str">
        <f>HYPERLINK("https://inpn.mnhn.fr/espece/cd_nom/1353","Theridiosoma gemmosum (L. Koch, 1877)")</f>
        <v>Theridiosoma gemmosum (L. Koch, 1877)</v>
      </c>
      <c r="F8468" s="5" t="s">
        <v>11521</v>
      </c>
      <c r="Q8468" s="7" t="str">
        <f>HYPERLINK("#Liste_rouge!A"&amp;_xlfn.XMATCH("LC",Liste_rouge!A:A,2,1),"LC")</f>
        <v>LC</v>
      </c>
      <c r="AH8468" s="4" t="str">
        <f>HYPERLINK("#Statut_biogéographique!A"&amp;_xlfn.XMATCH("P",Statut_biogéographique!A:A,2,1),"P")</f>
        <v>P</v>
      </c>
      <c r="AP8468" s="4" t="s">
        <v>376</v>
      </c>
      <c r="AR8468" s="4" t="s">
        <v>377</v>
      </c>
    </row>
    <row r="8469" spans="1:44">
      <c r="A8469" s="4" t="s">
        <v>10753</v>
      </c>
      <c r="B8469" s="4">
        <v>13534</v>
      </c>
      <c r="D8469" s="5" t="s">
        <v>11522</v>
      </c>
      <c r="E8469" s="6" t="str">
        <f>HYPERLINK("https://inpn.mnhn.fr/espece/cd_nom/13534","Phyllobius arborator (Herbst, 1797)")</f>
        <v>Phyllobius arborator (Herbst, 1797)</v>
      </c>
      <c r="AH8469" s="4" t="str">
        <f>HYPERLINK("#Statut_biogéographique!A"&amp;_xlfn.XMATCH("P",Statut_biogéographique!A:A,2,1),"P")</f>
        <v>P</v>
      </c>
      <c r="AP8469" s="4" t="s">
        <v>376</v>
      </c>
      <c r="AR8469" s="4" t="s">
        <v>377</v>
      </c>
    </row>
    <row r="8470" spans="1:44">
      <c r="A8470" s="4" t="s">
        <v>10753</v>
      </c>
      <c r="B8470" s="4">
        <v>13573</v>
      </c>
      <c r="D8470" s="5" t="s">
        <v>11523</v>
      </c>
      <c r="E8470" s="6" t="str">
        <f>HYPERLINK("https://inpn.mnhn.fr/espece/cd_nom/13573","Cathormiocerus validiscapus Rouget, 1857")</f>
        <v>Cathormiocerus validiscapus Rouget, 1857</v>
      </c>
      <c r="AH8470" s="4" t="str">
        <f>HYPERLINK("#Statut_biogéographique!A"&amp;_xlfn.XMATCH("P",Statut_biogéographique!A:A,2,1),"P")</f>
        <v>P</v>
      </c>
      <c r="AP8470" s="4" t="s">
        <v>376</v>
      </c>
      <c r="AR8470" s="4" t="s">
        <v>377</v>
      </c>
    </row>
    <row r="8471" spans="1:44">
      <c r="A8471" s="4" t="s">
        <v>10753</v>
      </c>
      <c r="B8471" s="4">
        <v>13597</v>
      </c>
      <c r="D8471" s="5" t="s">
        <v>11524</v>
      </c>
      <c r="E8471" s="6" t="str">
        <f>HYPERLINK("https://inpn.mnhn.fr/espece/cd_nom/13597","Trachyphloeus alternans Gyllenhal, 1834")</f>
        <v>Trachyphloeus alternans Gyllenhal, 1834</v>
      </c>
      <c r="AH8471" s="4" t="str">
        <f>HYPERLINK("#Statut_biogéographique!A"&amp;_xlfn.XMATCH("P",Statut_biogéographique!A:A,2,1),"P")</f>
        <v>P</v>
      </c>
      <c r="AP8471" s="4" t="s">
        <v>376</v>
      </c>
      <c r="AR8471" s="4" t="s">
        <v>377</v>
      </c>
    </row>
    <row r="8472" spans="1:44">
      <c r="A8472" s="4" t="s">
        <v>10753</v>
      </c>
      <c r="B8472" s="4">
        <v>1361</v>
      </c>
      <c r="D8472" s="5" t="s">
        <v>11525</v>
      </c>
      <c r="E8472" s="6" t="str">
        <f>HYPERLINK("https://inpn.mnhn.fr/espece/cd_nom/1361","Linyphia triangularis (Clerck, 1758)")</f>
        <v>Linyphia triangularis (Clerck, 1758)</v>
      </c>
      <c r="F8472" s="5" t="s">
        <v>11526</v>
      </c>
      <c r="Q8472" s="7" t="str">
        <f>HYPERLINK("#Liste_rouge!A"&amp;_xlfn.XMATCH("LC",Liste_rouge!A:A,2,1),"LC")</f>
        <v>LC</v>
      </c>
      <c r="AH8472" s="4" t="str">
        <f>HYPERLINK("#Statut_biogéographique!A"&amp;_xlfn.XMATCH("P",Statut_biogéographique!A:A,2,1),"P")</f>
        <v>P</v>
      </c>
      <c r="AP8472" s="4" t="s">
        <v>376</v>
      </c>
      <c r="AR8472" s="4" t="s">
        <v>377</v>
      </c>
    </row>
    <row r="8473" spans="1:44">
      <c r="A8473" s="4" t="s">
        <v>10753</v>
      </c>
      <c r="B8473" s="4">
        <v>1363</v>
      </c>
      <c r="D8473" s="5" t="s">
        <v>11527</v>
      </c>
      <c r="E8473" s="6" t="str">
        <f>HYPERLINK("https://inpn.mnhn.fr/espece/cd_nom/1363","Linyphia hortensis Sundevall, 1830")</f>
        <v>Linyphia hortensis Sundevall, 1830</v>
      </c>
      <c r="Q8473" s="7" t="str">
        <f>HYPERLINK("#Liste_rouge!A"&amp;_xlfn.XMATCH("LC",Liste_rouge!A:A,2,1),"LC")</f>
        <v>LC</v>
      </c>
      <c r="AH8473" s="4" t="str">
        <f>HYPERLINK("#Statut_biogéographique!A"&amp;_xlfn.XMATCH("P",Statut_biogéographique!A:A,2,1),"P")</f>
        <v>P</v>
      </c>
      <c r="AP8473" s="4" t="s">
        <v>376</v>
      </c>
      <c r="AR8473" s="4" t="s">
        <v>377</v>
      </c>
    </row>
    <row r="8474" spans="1:44">
      <c r="A8474" s="4" t="s">
        <v>10753</v>
      </c>
      <c r="B8474" s="4">
        <v>13672</v>
      </c>
      <c r="D8474" s="5" t="s">
        <v>11528</v>
      </c>
      <c r="E8474" s="6" t="str">
        <f>HYPERLINK("https://inpn.mnhn.fr/espece/cd_nom/13672","Polydrusus mollis (Strøm, 1768)")</f>
        <v>Polydrusus mollis (Strøm, 1768)</v>
      </c>
      <c r="AH8474" s="4" t="str">
        <f>HYPERLINK("#Statut_biogéographique!A"&amp;_xlfn.XMATCH("P",Statut_biogéographique!A:A,2,1),"P")</f>
        <v>P</v>
      </c>
      <c r="AP8474" s="4" t="s">
        <v>376</v>
      </c>
      <c r="AR8474" s="4" t="s">
        <v>377</v>
      </c>
    </row>
    <row r="8475" spans="1:44">
      <c r="A8475" s="4" t="s">
        <v>10753</v>
      </c>
      <c r="B8475" s="4">
        <v>13675</v>
      </c>
      <c r="D8475" s="5" t="s">
        <v>11529</v>
      </c>
      <c r="E8475" s="6" t="str">
        <f>HYPERLINK("https://inpn.mnhn.fr/espece/cd_nom/13675","Polydrusus impar Gozis, 1882")</f>
        <v>Polydrusus impar Gozis, 1882</v>
      </c>
      <c r="AH8475" s="4" t="str">
        <f>HYPERLINK("#Statut_biogéographique!A"&amp;_xlfn.XMATCH("P",Statut_biogéographique!A:A,2,1),"P")</f>
        <v>P</v>
      </c>
      <c r="AP8475" s="4" t="s">
        <v>376</v>
      </c>
      <c r="AR8475" s="4" t="s">
        <v>377</v>
      </c>
    </row>
    <row r="8476" spans="1:44">
      <c r="A8476" s="4" t="s">
        <v>10753</v>
      </c>
      <c r="B8476" s="4">
        <v>13680</v>
      </c>
      <c r="D8476" s="5" t="s">
        <v>11530</v>
      </c>
      <c r="E8476" s="6" t="str">
        <f>HYPERLINK("https://inpn.mnhn.fr/espece/cd_nom/13680","Polydrusus marginatus Stephens, 1831")</f>
        <v>Polydrusus marginatus Stephens, 1831</v>
      </c>
      <c r="AH8476" s="4" t="str">
        <f>HYPERLINK("#Statut_biogéographique!A"&amp;_xlfn.XMATCH("P",Statut_biogéographique!A:A,2,1),"P")</f>
        <v>P</v>
      </c>
      <c r="AP8476" s="4" t="s">
        <v>376</v>
      </c>
      <c r="AR8476" s="4" t="s">
        <v>377</v>
      </c>
    </row>
    <row r="8477" spans="1:44">
      <c r="A8477" s="4" t="s">
        <v>10753</v>
      </c>
      <c r="B8477" s="4">
        <v>13684</v>
      </c>
      <c r="D8477" s="5" t="s">
        <v>11531</v>
      </c>
      <c r="E8477" s="6" t="str">
        <f>HYPERLINK("https://inpn.mnhn.fr/espece/cd_nom/13684","Polydrusus pterygomalis Boheman, 1840")</f>
        <v>Polydrusus pterygomalis Boheman, 1840</v>
      </c>
      <c r="AH8477" s="4" t="str">
        <f>HYPERLINK("#Statut_biogéographique!A"&amp;_xlfn.XMATCH("P",Statut_biogéographique!A:A,2,1),"P")</f>
        <v>P</v>
      </c>
      <c r="AP8477" s="4" t="s">
        <v>376</v>
      </c>
      <c r="AR8477" s="4" t="s">
        <v>377</v>
      </c>
    </row>
    <row r="8478" spans="1:44">
      <c r="A8478" s="4" t="s">
        <v>10753</v>
      </c>
      <c r="B8478" s="4">
        <v>13692</v>
      </c>
      <c r="D8478" s="5" t="s">
        <v>11532</v>
      </c>
      <c r="E8478" s="6" t="str">
        <f>HYPERLINK("https://inpn.mnhn.fr/espece/cd_nom/13692","Polydrusus impressifrons Gyllenhal, 1834")</f>
        <v>Polydrusus impressifrons Gyllenhal, 1834</v>
      </c>
      <c r="F8478" s="5" t="s">
        <v>11533</v>
      </c>
      <c r="AH8478" s="4" t="str">
        <f>HYPERLINK("#Statut_biogéographique!A"&amp;_xlfn.XMATCH("P",Statut_biogéographique!A:A,2,1),"P")</f>
        <v>P</v>
      </c>
      <c r="AP8478" s="4" t="s">
        <v>376</v>
      </c>
      <c r="AR8478" s="4" t="s">
        <v>377</v>
      </c>
    </row>
    <row r="8479" spans="1:44">
      <c r="A8479" s="4" t="s">
        <v>10753</v>
      </c>
      <c r="B8479" s="4">
        <v>13704</v>
      </c>
      <c r="D8479" s="5" t="s">
        <v>11534</v>
      </c>
      <c r="E8479" s="6" t="str">
        <f>HYPERLINK("https://inpn.mnhn.fr/espece/cd_nom/13704","Polydrusus confluens Stephens, 1831")</f>
        <v>Polydrusus confluens Stephens, 1831</v>
      </c>
      <c r="AH8479" s="4" t="str">
        <f>HYPERLINK("#Statut_biogéographique!A"&amp;_xlfn.XMATCH("P",Statut_biogéographique!A:A,2,1),"P")</f>
        <v>P</v>
      </c>
      <c r="AP8479" s="4" t="s">
        <v>376</v>
      </c>
      <c r="AR8479" s="4" t="s">
        <v>377</v>
      </c>
    </row>
    <row r="8480" spans="1:44">
      <c r="A8480" s="4" t="s">
        <v>10753</v>
      </c>
      <c r="B8480" s="4">
        <v>13722</v>
      </c>
      <c r="D8480" s="5" t="s">
        <v>11535</v>
      </c>
      <c r="E8480" s="6" t="str">
        <f>HYPERLINK("https://inpn.mnhn.fr/espece/cd_nom/13722","Polydrusus sparsus Gyllenhal, 1834")</f>
        <v>Polydrusus sparsus Gyllenhal, 1834</v>
      </c>
      <c r="AH8480" s="4" t="str">
        <f>HYPERLINK("#Statut_biogéographique!A"&amp;_xlfn.XMATCH("P",Statut_biogéographique!A:A,2,1),"P")</f>
        <v>P</v>
      </c>
      <c r="AP8480" s="4" t="s">
        <v>376</v>
      </c>
      <c r="AR8480" s="4" t="s">
        <v>377</v>
      </c>
    </row>
    <row r="8481" spans="1:44">
      <c r="A8481" s="4" t="s">
        <v>10753</v>
      </c>
      <c r="B8481" s="4">
        <v>13724</v>
      </c>
      <c r="D8481" s="5" t="s">
        <v>11536</v>
      </c>
      <c r="E8481" s="6" t="str">
        <f>HYPERLINK("https://inpn.mnhn.fr/espece/cd_nom/13724","Polydrusus cervinus (Linnaeus, 1758)")</f>
        <v>Polydrusus cervinus (Linnaeus, 1758)</v>
      </c>
      <c r="AH8481" s="4" t="str">
        <f>HYPERLINK("#Statut_biogéographique!A"&amp;_xlfn.XMATCH("P",Statut_biogéographique!A:A,2,1),"P")</f>
        <v>P</v>
      </c>
      <c r="AP8481" s="4" t="s">
        <v>376</v>
      </c>
      <c r="AR8481" s="4" t="s">
        <v>377</v>
      </c>
    </row>
    <row r="8482" spans="1:44">
      <c r="A8482" s="4" t="s">
        <v>10753</v>
      </c>
      <c r="B8482" s="4">
        <v>13729</v>
      </c>
      <c r="D8482" s="5" t="s">
        <v>11537</v>
      </c>
      <c r="E8482" s="6" t="str">
        <f>HYPERLINK("https://inpn.mnhn.fr/espece/cd_nom/13729","Polydrusus inustus Germar, 1823")</f>
        <v>Polydrusus inustus Germar, 1823</v>
      </c>
      <c r="AH8482" s="4" t="str">
        <f>HYPERLINK("#Statut_biogéographique!A"&amp;_xlfn.XMATCH("P",Statut_biogéographique!A:A,2,1),"P")</f>
        <v>P</v>
      </c>
      <c r="AP8482" s="4" t="s">
        <v>376</v>
      </c>
      <c r="AR8482" s="4" t="s">
        <v>377</v>
      </c>
    </row>
    <row r="8483" spans="1:44">
      <c r="A8483" s="4" t="s">
        <v>10753</v>
      </c>
      <c r="B8483" s="4">
        <v>13737</v>
      </c>
      <c r="D8483" s="5" t="s">
        <v>11538</v>
      </c>
      <c r="E8483" s="6" t="str">
        <f>HYPERLINK("https://inpn.mnhn.fr/espece/cd_nom/13737","Polydrusus amoenus (Germar, 1823)")</f>
        <v>Polydrusus amoenus (Germar, 1823)</v>
      </c>
      <c r="AH8483" s="4" t="str">
        <f>HYPERLINK("#Statut_biogéographique!A"&amp;_xlfn.XMATCH("P",Statut_biogéographique!A:A,2,1),"P")</f>
        <v>P</v>
      </c>
      <c r="AP8483" s="4" t="s">
        <v>376</v>
      </c>
      <c r="AR8483" s="4" t="s">
        <v>377</v>
      </c>
    </row>
    <row r="8484" spans="1:44">
      <c r="A8484" s="4" t="s">
        <v>10753</v>
      </c>
      <c r="B8484" s="4">
        <v>1377</v>
      </c>
      <c r="D8484" s="5" t="s">
        <v>11539</v>
      </c>
      <c r="E8484" s="6" t="str">
        <f>HYPERLINK("https://inpn.mnhn.fr/espece/cd_nom/1377","Centromerus sylvaticus (Blackwall, 1841)")</f>
        <v>Centromerus sylvaticus (Blackwall, 1841)</v>
      </c>
      <c r="Q8484" s="7" t="str">
        <f>HYPERLINK("#Liste_rouge!A"&amp;_xlfn.XMATCH("LC",Liste_rouge!A:A,2,1),"LC")</f>
        <v>LC</v>
      </c>
      <c r="AH8484" s="4" t="str">
        <f>HYPERLINK("#Statut_biogéographique!A"&amp;_xlfn.XMATCH("P",Statut_biogéographique!A:A,2,1),"P")</f>
        <v>P</v>
      </c>
      <c r="AP8484" s="4" t="s">
        <v>376</v>
      </c>
      <c r="AR8484" s="4" t="s">
        <v>377</v>
      </c>
    </row>
    <row r="8485" spans="1:44">
      <c r="A8485" s="4" t="s">
        <v>10753</v>
      </c>
      <c r="B8485" s="4">
        <v>13794</v>
      </c>
      <c r="D8485" s="5" t="s">
        <v>11540</v>
      </c>
      <c r="E8485" s="6" t="str">
        <f>HYPERLINK("https://inpn.mnhn.fr/espece/cd_nom/13794","Eusomus ovulum Germar, 1823")</f>
        <v>Eusomus ovulum Germar, 1823</v>
      </c>
      <c r="AH8485" s="4" t="str">
        <f>HYPERLINK("#Statut_biogéographique!A"&amp;_xlfn.XMATCH("P",Statut_biogéographique!A:A,2,1),"P")</f>
        <v>P</v>
      </c>
      <c r="AP8485" s="4" t="s">
        <v>376</v>
      </c>
      <c r="AR8485" s="4" t="s">
        <v>377</v>
      </c>
    </row>
    <row r="8486" spans="1:44">
      <c r="A8486" s="4" t="s">
        <v>10753</v>
      </c>
      <c r="B8486" s="4">
        <v>13799</v>
      </c>
      <c r="D8486" s="5" t="s">
        <v>11541</v>
      </c>
      <c r="E8486" s="6" t="str">
        <f>HYPERLINK("https://inpn.mnhn.fr/espece/cd_nom/13799","Brachyderes lusitanicus (Fabricius, 1781)")</f>
        <v>Brachyderes lusitanicus (Fabricius, 1781)</v>
      </c>
      <c r="AH8486" s="4" t="str">
        <f>HYPERLINK("#Statut_biogéographique!A"&amp;_xlfn.XMATCH("P",Statut_biogéographique!A:A,2,1),"P")</f>
        <v>P</v>
      </c>
      <c r="AP8486" s="4" t="s">
        <v>376</v>
      </c>
      <c r="AR8486" s="4" t="s">
        <v>377</v>
      </c>
    </row>
    <row r="8487" spans="1:44">
      <c r="A8487" s="4" t="s">
        <v>10753</v>
      </c>
      <c r="B8487" s="4">
        <v>13818</v>
      </c>
      <c r="D8487" s="5" t="s">
        <v>11542</v>
      </c>
      <c r="E8487" s="6" t="str">
        <f>HYPERLINK("https://inpn.mnhn.fr/espece/cd_nom/13818","Sciaphilus asperatus (Bonsdorff, 1785)")</f>
        <v>Sciaphilus asperatus (Bonsdorff, 1785)</v>
      </c>
      <c r="AH8487" s="4" t="str">
        <f>HYPERLINK("#Statut_biogéographique!A"&amp;_xlfn.XMATCH("P",Statut_biogéographique!A:A,2,1),"P")</f>
        <v>P</v>
      </c>
      <c r="AP8487" s="4" t="s">
        <v>376</v>
      </c>
      <c r="AR8487" s="4" t="s">
        <v>377</v>
      </c>
    </row>
    <row r="8488" spans="1:44">
      <c r="A8488" s="4" t="s">
        <v>10753</v>
      </c>
      <c r="B8488" s="4">
        <v>13822</v>
      </c>
      <c r="D8488" s="5">
        <v>13822</v>
      </c>
      <c r="E8488" s="6" t="str">
        <f>HYPERLINK("https://inpn.mnhn.fr/espece/cd_nom/13822","Foucartia cremieri Jacquelin du Val, 1854")</f>
        <v>Foucartia cremieri Jacquelin du Val, 1854</v>
      </c>
      <c r="AH8488" s="4" t="str">
        <f>HYPERLINK("#Statut_biogéographique!A"&amp;_xlfn.XMATCH("P",Statut_biogéographique!A:A,2,1),"P")</f>
        <v>P</v>
      </c>
      <c r="AP8488" s="4" t="s">
        <v>376</v>
      </c>
      <c r="AR8488" s="4" t="s">
        <v>377</v>
      </c>
    </row>
    <row r="8489" spans="1:44">
      <c r="A8489" s="4" t="s">
        <v>10753</v>
      </c>
      <c r="B8489" s="4">
        <v>1383</v>
      </c>
      <c r="D8489" s="5" t="s">
        <v>11543</v>
      </c>
      <c r="E8489" s="6" t="str">
        <f>HYPERLINK("https://inpn.mnhn.fr/espece/cd_nom/1383","Porrhomma pygmaeum (Blackwall, 1834)")</f>
        <v>Porrhomma pygmaeum (Blackwall, 1834)</v>
      </c>
      <c r="Q8489" s="7" t="str">
        <f>HYPERLINK("#Liste_rouge!A"&amp;_xlfn.XMATCH("LC",Liste_rouge!A:A,2,1),"LC")</f>
        <v>LC</v>
      </c>
      <c r="AH8489" s="4" t="str">
        <f>HYPERLINK("#Statut_biogéographique!A"&amp;_xlfn.XMATCH("P",Statut_biogéographique!A:A,2,1),"P")</f>
        <v>P</v>
      </c>
      <c r="AP8489" s="4" t="s">
        <v>376</v>
      </c>
      <c r="AR8489" s="4" t="s">
        <v>377</v>
      </c>
    </row>
    <row r="8490" spans="1:44" ht="45">
      <c r="A8490" s="4" t="s">
        <v>10753</v>
      </c>
      <c r="B8490" s="4">
        <v>13851</v>
      </c>
      <c r="D8490" s="5" t="s">
        <v>11544</v>
      </c>
      <c r="E8490" s="6" t="str">
        <f>HYPERLINK("https://inpn.mnhn.fr/espece/cd_nom/13851","Strophosoma capitatum (De Geer, 1775)")</f>
        <v>Strophosoma capitatum (De Geer, 1775)</v>
      </c>
      <c r="AH8490" s="4" t="str">
        <f>HYPERLINK("#Statut_biogéographique!A"&amp;_xlfn.XMATCH("P",Statut_biogéographique!A:A,2,1),"P")</f>
        <v>P</v>
      </c>
      <c r="AP8490" s="4" t="s">
        <v>376</v>
      </c>
      <c r="AR8490" s="4" t="s">
        <v>377</v>
      </c>
    </row>
    <row r="8491" spans="1:44" ht="30">
      <c r="A8491" s="4" t="s">
        <v>10753</v>
      </c>
      <c r="B8491" s="4">
        <v>13867</v>
      </c>
      <c r="D8491" s="5" t="s">
        <v>11545</v>
      </c>
      <c r="E8491" s="6" t="str">
        <f>HYPERLINK("https://inpn.mnhn.fr/espece/cd_nom/13867","Strophosoma nebulosum Stephens, 1831")</f>
        <v>Strophosoma nebulosum Stephens, 1831</v>
      </c>
      <c r="AH8491" s="4" t="str">
        <f>HYPERLINK("#Statut_biogéographique!A"&amp;_xlfn.XMATCH("P",Statut_biogéographique!A:A,2,1),"P")</f>
        <v>P</v>
      </c>
      <c r="AP8491" s="4" t="s">
        <v>376</v>
      </c>
      <c r="AR8491" s="4" t="s">
        <v>377</v>
      </c>
    </row>
    <row r="8492" spans="1:44">
      <c r="A8492" s="4" t="s">
        <v>10753</v>
      </c>
      <c r="B8492" s="4">
        <v>1388</v>
      </c>
      <c r="D8492" s="5" t="s">
        <v>11546</v>
      </c>
      <c r="E8492" s="6" t="str">
        <f>HYPERLINK("https://inpn.mnhn.fr/espece/cd_nom/1388","Labulla thoracica (Wider, 1834)")</f>
        <v>Labulla thoracica (Wider, 1834)</v>
      </c>
      <c r="Q8492" s="7" t="str">
        <f>HYPERLINK("#Liste_rouge!A"&amp;_xlfn.XMATCH("LC",Liste_rouge!A:A,2,1),"LC")</f>
        <v>LC</v>
      </c>
      <c r="AH8492" s="4" t="str">
        <f>HYPERLINK("#Statut_biogéographique!A"&amp;_xlfn.XMATCH("P",Statut_biogéographique!A:A,2,1),"P")</f>
        <v>P</v>
      </c>
      <c r="AP8492" s="4" t="s">
        <v>376</v>
      </c>
      <c r="AR8492" s="4" t="s">
        <v>377</v>
      </c>
    </row>
    <row r="8493" spans="1:44" ht="30">
      <c r="A8493" s="4" t="s">
        <v>10753</v>
      </c>
      <c r="B8493" s="4">
        <v>13886</v>
      </c>
      <c r="D8493" s="5" t="s">
        <v>11547</v>
      </c>
      <c r="E8493" s="6" t="str">
        <f>HYPERLINK("https://inpn.mnhn.fr/espece/cd_nom/13886","Barynotus obscurus (Fabricius, 1775)")</f>
        <v>Barynotus obscurus (Fabricius, 1775)</v>
      </c>
      <c r="AH8493" s="4" t="str">
        <f>HYPERLINK("#Statut_biogéographique!A"&amp;_xlfn.XMATCH("P",Statut_biogéographique!A:A,2,1),"P")</f>
        <v>P</v>
      </c>
      <c r="AP8493" s="4" t="s">
        <v>376</v>
      </c>
      <c r="AR8493" s="4" t="s">
        <v>377</v>
      </c>
    </row>
    <row r="8494" spans="1:44">
      <c r="A8494" s="4" t="s">
        <v>10753</v>
      </c>
      <c r="B8494" s="4">
        <v>13892</v>
      </c>
      <c r="D8494" s="5" t="s">
        <v>11548</v>
      </c>
      <c r="E8494" s="6" t="str">
        <f>HYPERLINK("https://inpn.mnhn.fr/espece/cd_nom/13892","Barynotus moerens (Fabricius, 1792)")</f>
        <v>Barynotus moerens (Fabricius, 1792)</v>
      </c>
      <c r="AH8494" s="4" t="str">
        <f>HYPERLINK("#Statut_biogéographique!A"&amp;_xlfn.XMATCH("P",Statut_biogéographique!A:A,2,1),"P")</f>
        <v>P</v>
      </c>
      <c r="AP8494" s="4" t="s">
        <v>376</v>
      </c>
      <c r="AR8494" s="4" t="s">
        <v>377</v>
      </c>
    </row>
    <row r="8495" spans="1:44">
      <c r="A8495" s="4" t="s">
        <v>10753</v>
      </c>
      <c r="B8495" s="4">
        <v>13895</v>
      </c>
      <c r="D8495" s="5" t="s">
        <v>11549</v>
      </c>
      <c r="E8495" s="6" t="str">
        <f>HYPERLINK("https://inpn.mnhn.fr/espece/cd_nom/13895","Barynotus alternans Boheman, 1834")</f>
        <v>Barynotus alternans Boheman, 1834</v>
      </c>
      <c r="AH8495" s="4" t="str">
        <f>HYPERLINK("#Statut_biogéographique!A"&amp;_xlfn.XMATCH("P",Statut_biogéographique!A:A,2,1),"P")</f>
        <v>P</v>
      </c>
      <c r="AP8495" s="4" t="s">
        <v>376</v>
      </c>
      <c r="AR8495" s="4" t="s">
        <v>377</v>
      </c>
    </row>
    <row r="8496" spans="1:44">
      <c r="A8496" s="4" t="s">
        <v>10753</v>
      </c>
      <c r="B8496" s="4">
        <v>13975</v>
      </c>
      <c r="D8496" s="5" t="s">
        <v>11550</v>
      </c>
      <c r="E8496" s="6" t="str">
        <f>HYPERLINK("https://inpn.mnhn.fr/espece/cd_nom/13975","Lixus paraplecticus (Linnaeus, 1758)")</f>
        <v>Lixus paraplecticus (Linnaeus, 1758)</v>
      </c>
      <c r="F8496" s="5" t="s">
        <v>11551</v>
      </c>
      <c r="AH8496" s="4" t="str">
        <f>HYPERLINK("#Statut_biogéographique!A"&amp;_xlfn.XMATCH("P",Statut_biogéographique!A:A,2,1),"P")</f>
        <v>P</v>
      </c>
      <c r="AP8496" s="4" t="s">
        <v>376</v>
      </c>
      <c r="AR8496" s="4" t="s">
        <v>377</v>
      </c>
    </row>
    <row r="8497" spans="1:44" ht="45">
      <c r="A8497" s="4" t="s">
        <v>10753</v>
      </c>
      <c r="B8497" s="4">
        <v>13977</v>
      </c>
      <c r="D8497" s="5" t="s">
        <v>11552</v>
      </c>
      <c r="E8497" s="6" t="str">
        <f>HYPERLINK("https://inpn.mnhn.fr/espece/cd_nom/13977","Lixus iridis Olivier, 1807")</f>
        <v>Lixus iridis Olivier, 1807</v>
      </c>
      <c r="F8497" s="5" t="s">
        <v>11553</v>
      </c>
      <c r="AH8497" s="4" t="str">
        <f>HYPERLINK("#Statut_biogéographique!A"&amp;_xlfn.XMATCH("P",Statut_biogéographique!A:A,2,1),"P")</f>
        <v>P</v>
      </c>
      <c r="AP8497" s="4" t="s">
        <v>376</v>
      </c>
      <c r="AR8497" s="4" t="s">
        <v>377</v>
      </c>
    </row>
    <row r="8498" spans="1:44">
      <c r="A8498" s="4" t="s">
        <v>10753</v>
      </c>
      <c r="B8498" s="4">
        <v>1399</v>
      </c>
      <c r="D8498" s="5" t="s">
        <v>11554</v>
      </c>
      <c r="E8498" s="6" t="str">
        <f>HYPERLINK("https://inpn.mnhn.fr/espece/cd_nom/1399","Ceratinella brevipes (Westring, 1851)")</f>
        <v>Ceratinella brevipes (Westring, 1851)</v>
      </c>
      <c r="Q8498" s="7" t="str">
        <f>HYPERLINK("#Liste_rouge!A"&amp;_xlfn.XMATCH("LC",Liste_rouge!A:A,2,1),"LC")</f>
        <v>LC</v>
      </c>
      <c r="AH8498" s="4" t="str">
        <f>HYPERLINK("#Statut_biogéographique!A"&amp;_xlfn.XMATCH("P",Statut_biogéographique!A:A,2,1),"P")</f>
        <v>P</v>
      </c>
      <c r="AP8498" s="4" t="s">
        <v>376</v>
      </c>
      <c r="AR8498" s="4" t="s">
        <v>377</v>
      </c>
    </row>
    <row r="8499" spans="1:44">
      <c r="A8499" s="4" t="s">
        <v>10753</v>
      </c>
      <c r="B8499" s="4">
        <v>1400</v>
      </c>
      <c r="D8499" s="5" t="s">
        <v>11555</v>
      </c>
      <c r="E8499" s="6" t="str">
        <f>HYPERLINK("https://inpn.mnhn.fr/espece/cd_nom/1400","Ceratinella brevis (Wider, 1834)")</f>
        <v>Ceratinella brevis (Wider, 1834)</v>
      </c>
      <c r="Q8499" s="7" t="str">
        <f>HYPERLINK("#Liste_rouge!A"&amp;_xlfn.XMATCH("LC",Liste_rouge!A:A,2,1),"LC")</f>
        <v>LC</v>
      </c>
      <c r="AH8499" s="4" t="str">
        <f>HYPERLINK("#Statut_biogéographique!A"&amp;_xlfn.XMATCH("P",Statut_biogéographique!A:A,2,1),"P")</f>
        <v>P</v>
      </c>
      <c r="AP8499" s="4" t="s">
        <v>376</v>
      </c>
      <c r="AR8499" s="4" t="s">
        <v>377</v>
      </c>
    </row>
    <row r="8500" spans="1:44">
      <c r="A8500" s="4" t="s">
        <v>10753</v>
      </c>
      <c r="B8500" s="4">
        <v>1403</v>
      </c>
      <c r="D8500" s="5" t="s">
        <v>11556</v>
      </c>
      <c r="E8500" s="6" t="str">
        <f>HYPERLINK("https://inpn.mnhn.fr/espece/cd_nom/1403","Cnephalocotes obscurus (Blackwall, 1834)")</f>
        <v>Cnephalocotes obscurus (Blackwall, 1834)</v>
      </c>
      <c r="Q8500" s="7" t="str">
        <f>HYPERLINK("#Liste_rouge!A"&amp;_xlfn.XMATCH("LC",Liste_rouge!A:A,2,1),"LC")</f>
        <v>LC</v>
      </c>
      <c r="AH8500" s="4" t="str">
        <f>HYPERLINK("#Statut_biogéographique!A"&amp;_xlfn.XMATCH("P",Statut_biogéographique!A:A,2,1),"P")</f>
        <v>P</v>
      </c>
      <c r="AP8500" s="4" t="s">
        <v>376</v>
      </c>
      <c r="AR8500" s="4" t="s">
        <v>377</v>
      </c>
    </row>
    <row r="8501" spans="1:44">
      <c r="A8501" s="4" t="s">
        <v>10753</v>
      </c>
      <c r="B8501" s="4">
        <v>14034</v>
      </c>
      <c r="D8501" s="5" t="s">
        <v>11557</v>
      </c>
      <c r="E8501" s="6" t="str">
        <f>HYPERLINK("https://inpn.mnhn.fr/espece/cd_nom/14034","Lixus ochraceus Boheman, 1842")</f>
        <v>Lixus ochraceus Boheman, 1842</v>
      </c>
      <c r="AH8501" s="4" t="str">
        <f>HYPERLINK("#Statut_biogéographique!A"&amp;_xlfn.XMATCH("P",Statut_biogéographique!A:A,2,1),"P")</f>
        <v>P</v>
      </c>
      <c r="AP8501" s="4" t="s">
        <v>376</v>
      </c>
      <c r="AR8501" s="4" t="s">
        <v>377</v>
      </c>
    </row>
    <row r="8502" spans="1:44">
      <c r="A8502" s="4" t="s">
        <v>10753</v>
      </c>
      <c r="B8502" s="4">
        <v>1405</v>
      </c>
      <c r="D8502" s="5" t="s">
        <v>11558</v>
      </c>
      <c r="E8502" s="6" t="str">
        <f>HYPERLINK("https://inpn.mnhn.fr/espece/cd_nom/1405","Diplostyla concolor (Wider, 1834)")</f>
        <v>Diplostyla concolor (Wider, 1834)</v>
      </c>
      <c r="Q8502" s="7" t="str">
        <f>HYPERLINK("#Liste_rouge!A"&amp;_xlfn.XMATCH("LC",Liste_rouge!A:A,2,1),"LC")</f>
        <v>LC</v>
      </c>
      <c r="AH8502" s="4" t="str">
        <f>HYPERLINK("#Statut_biogéographique!A"&amp;_xlfn.XMATCH("P",Statut_biogéographique!A:A,2,1),"P")</f>
        <v>P</v>
      </c>
      <c r="AP8502" s="4" t="s">
        <v>376</v>
      </c>
      <c r="AR8502" s="4" t="s">
        <v>377</v>
      </c>
    </row>
    <row r="8503" spans="1:44">
      <c r="A8503" s="4" t="s">
        <v>10753</v>
      </c>
      <c r="B8503" s="4">
        <v>14057</v>
      </c>
      <c r="D8503" s="5">
        <v>14057</v>
      </c>
      <c r="E8503" s="6" t="str">
        <f>HYPERLINK("https://inpn.mnhn.fr/espece/cd_nom/14057","Lixus fasciculatus Boheman, 1835")</f>
        <v>Lixus fasciculatus Boheman, 1835</v>
      </c>
      <c r="AH8503" s="4" t="str">
        <f>HYPERLINK("#Statut_biogéographique!A"&amp;_xlfn.XMATCH("P",Statut_biogéographique!A:A,2,1),"P")</f>
        <v>P</v>
      </c>
      <c r="AP8503" s="4" t="s">
        <v>376</v>
      </c>
      <c r="AR8503" s="4" t="s">
        <v>377</v>
      </c>
    </row>
    <row r="8504" spans="1:44">
      <c r="A8504" s="4" t="s">
        <v>10753</v>
      </c>
      <c r="B8504" s="4">
        <v>14065</v>
      </c>
      <c r="D8504" s="5">
        <v>14065</v>
      </c>
      <c r="E8504" s="6" t="str">
        <f>HYPERLINK("https://inpn.mnhn.fr/espece/cd_nom/14065","Lixus punctiventris Boheman, 1835")</f>
        <v>Lixus punctiventris Boheman, 1835</v>
      </c>
      <c r="AH8504" s="4" t="str">
        <f>HYPERLINK("#Statut_biogéographique!A"&amp;_xlfn.XMATCH("P",Statut_biogéographique!A:A,2,1),"P")</f>
        <v>P</v>
      </c>
      <c r="AP8504" s="4" t="s">
        <v>376</v>
      </c>
      <c r="AR8504" s="4" t="s">
        <v>377</v>
      </c>
    </row>
    <row r="8505" spans="1:44">
      <c r="A8505" s="4" t="s">
        <v>10753</v>
      </c>
      <c r="B8505" s="4">
        <v>1407</v>
      </c>
      <c r="D8505" s="5" t="s">
        <v>11559</v>
      </c>
      <c r="E8505" s="6" t="str">
        <f>HYPERLINK("https://inpn.mnhn.fr/espece/cd_nom/1407","Dismodicus bifrons (Blackwall, 1841)")</f>
        <v>Dismodicus bifrons (Blackwall, 1841)</v>
      </c>
      <c r="Q8505" s="7" t="str">
        <f>HYPERLINK("#Liste_rouge!A"&amp;_xlfn.XMATCH("LC",Liste_rouge!A:A,2,1),"LC")</f>
        <v>LC</v>
      </c>
      <c r="AH8505" s="4" t="str">
        <f>HYPERLINK("#Statut_biogéographique!A"&amp;_xlfn.XMATCH("P",Statut_biogéographique!A:A,2,1),"P")</f>
        <v>P</v>
      </c>
      <c r="AP8505" s="4" t="s">
        <v>376</v>
      </c>
      <c r="AR8505" s="4" t="s">
        <v>377</v>
      </c>
    </row>
    <row r="8506" spans="1:44" ht="30">
      <c r="A8506" s="4" t="s">
        <v>10753</v>
      </c>
      <c r="B8506" s="4">
        <v>14073</v>
      </c>
      <c r="D8506" s="5" t="s">
        <v>11560</v>
      </c>
      <c r="E8506" s="6" t="str">
        <f>HYPERLINK("https://inpn.mnhn.fr/espece/cd_nom/14073","Lixus bardanae (Fabricius, 1787)")</f>
        <v>Lixus bardanae (Fabricius, 1787)</v>
      </c>
      <c r="AH8506" s="4" t="str">
        <f>HYPERLINK("#Statut_biogéographique!A"&amp;_xlfn.XMATCH("P",Statut_biogéographique!A:A,2,1),"P")</f>
        <v>P</v>
      </c>
      <c r="AP8506" s="4" t="s">
        <v>376</v>
      </c>
      <c r="AR8506" s="4" t="s">
        <v>377</v>
      </c>
    </row>
    <row r="8507" spans="1:44">
      <c r="A8507" s="4" t="s">
        <v>10753</v>
      </c>
      <c r="B8507" s="4">
        <v>14117</v>
      </c>
      <c r="D8507" s="5">
        <v>14117</v>
      </c>
      <c r="E8507" s="6" t="str">
        <f>HYPERLINK("https://inpn.mnhn.fr/espece/cd_nom/14117","Larinus turbinatus Gyllenhal, 1835")</f>
        <v>Larinus turbinatus Gyllenhal, 1835</v>
      </c>
      <c r="F8507" s="5" t="s">
        <v>11561</v>
      </c>
      <c r="AH8507" s="4" t="str">
        <f>HYPERLINK("#Statut_biogéographique!A"&amp;_xlfn.XMATCH("P",Statut_biogéographique!A:A,2,1),"P")</f>
        <v>P</v>
      </c>
      <c r="AP8507" s="4" t="s">
        <v>376</v>
      </c>
      <c r="AR8507" s="4" t="s">
        <v>377</v>
      </c>
    </row>
    <row r="8508" spans="1:44" ht="30">
      <c r="A8508" s="4" t="s">
        <v>10753</v>
      </c>
      <c r="B8508" s="4">
        <v>14118</v>
      </c>
      <c r="D8508" s="5" t="s">
        <v>11562</v>
      </c>
      <c r="E8508" s="6" t="str">
        <f>HYPERLINK("https://inpn.mnhn.fr/espece/cd_nom/14118","Larinus iaceae (Fabricius, 1775)")</f>
        <v>Larinus iaceae (Fabricius, 1775)</v>
      </c>
      <c r="F8508" s="5" t="s">
        <v>11563</v>
      </c>
      <c r="AH8508" s="4" t="str">
        <f>HYPERLINK("#Statut_biogéographique!A"&amp;_xlfn.XMATCH("P",Statut_biogéographique!A:A,2,1),"P")</f>
        <v>P</v>
      </c>
      <c r="AP8508" s="4" t="s">
        <v>376</v>
      </c>
      <c r="AR8508" s="4" t="s">
        <v>377</v>
      </c>
    </row>
    <row r="8509" spans="1:44">
      <c r="A8509" s="4" t="s">
        <v>10753</v>
      </c>
      <c r="B8509" s="4">
        <v>14122</v>
      </c>
      <c r="D8509" s="5" t="s">
        <v>11564</v>
      </c>
      <c r="E8509" s="6" t="str">
        <f>HYPERLINK("https://inpn.mnhn.fr/espece/cd_nom/14122","Larinus sturnus (Schaller, 1783)")</f>
        <v>Larinus sturnus (Schaller, 1783)</v>
      </c>
      <c r="F8509" s="5" t="s">
        <v>11565</v>
      </c>
      <c r="AH8509" s="4" t="str">
        <f>HYPERLINK("#Statut_biogéographique!A"&amp;_xlfn.XMATCH("P",Statut_biogéographique!A:A,2,1),"P")</f>
        <v>P</v>
      </c>
      <c r="AP8509" s="4" t="s">
        <v>376</v>
      </c>
      <c r="AR8509" s="4" t="s">
        <v>377</v>
      </c>
    </row>
    <row r="8510" spans="1:44">
      <c r="A8510" s="4" t="s">
        <v>10753</v>
      </c>
      <c r="B8510" s="4">
        <v>14125</v>
      </c>
      <c r="D8510" s="5" t="s">
        <v>11566</v>
      </c>
      <c r="E8510" s="6" t="str">
        <f>HYPERLINK("https://inpn.mnhn.fr/espece/cd_nom/14125","Larinus carlinae (Olivier, 1807)")</f>
        <v>Larinus carlinae (Olivier, 1807)</v>
      </c>
      <c r="AH8510" s="4" t="str">
        <f>HYPERLINK("#Statut_biogéographique!A"&amp;_xlfn.XMATCH("P",Statut_biogéographique!A:A,2,1),"P")</f>
        <v>P</v>
      </c>
      <c r="AP8510" s="4" t="s">
        <v>376</v>
      </c>
      <c r="AR8510" s="4" t="s">
        <v>377</v>
      </c>
    </row>
    <row r="8511" spans="1:44" ht="30">
      <c r="A8511" s="4" t="s">
        <v>10753</v>
      </c>
      <c r="B8511" s="4">
        <v>14126</v>
      </c>
      <c r="D8511" s="5" t="s">
        <v>11567</v>
      </c>
      <c r="E8511" s="6" t="str">
        <f>HYPERLINK("https://inpn.mnhn.fr/espece/cd_nom/14126","Larinus rusticanus Gyllenhal, 1835")</f>
        <v>Larinus rusticanus Gyllenhal, 1835</v>
      </c>
      <c r="AH8511" s="4" t="str">
        <f>HYPERLINK("#Statut_biogéographique!A"&amp;_xlfn.XMATCH("P",Statut_biogéographique!A:A,2,1),"P")</f>
        <v>P</v>
      </c>
      <c r="AP8511" s="4" t="s">
        <v>376</v>
      </c>
      <c r="AR8511" s="4" t="s">
        <v>377</v>
      </c>
    </row>
    <row r="8512" spans="1:44">
      <c r="A8512" s="4" t="s">
        <v>10753</v>
      </c>
      <c r="B8512" s="4">
        <v>14135</v>
      </c>
      <c r="D8512" s="5" t="s">
        <v>11568</v>
      </c>
      <c r="E8512" s="6" t="str">
        <f>HYPERLINK("https://inpn.mnhn.fr/espece/cd_nom/14135","Larinus ferrugatus Gyllenhal, 1835")</f>
        <v>Larinus ferrugatus Gyllenhal, 1835</v>
      </c>
      <c r="AH8512" s="4" t="str">
        <f>HYPERLINK("#Statut_biogéographique!A"&amp;_xlfn.XMATCH("P",Statut_biogéographique!A:A,2,1),"P")</f>
        <v>P</v>
      </c>
      <c r="AP8512" s="4" t="s">
        <v>376</v>
      </c>
      <c r="AR8512" s="4" t="s">
        <v>377</v>
      </c>
    </row>
    <row r="8513" spans="1:44">
      <c r="A8513" s="4" t="s">
        <v>10753</v>
      </c>
      <c r="B8513" s="4">
        <v>1414</v>
      </c>
      <c r="D8513" s="5" t="s">
        <v>11569</v>
      </c>
      <c r="E8513" s="6" t="str">
        <f>HYPERLINK("https://inpn.mnhn.fr/espece/cd_nom/1414","Micrargus herbigradus (Blackwall, 1854)")</f>
        <v>Micrargus herbigradus (Blackwall, 1854)</v>
      </c>
      <c r="Q8513" s="7" t="str">
        <f>HYPERLINK("#Liste_rouge!A"&amp;_xlfn.XMATCH("LC",Liste_rouge!A:A,2,1),"LC")</f>
        <v>LC</v>
      </c>
      <c r="AH8513" s="4" t="str">
        <f>HYPERLINK("#Statut_biogéographique!A"&amp;_xlfn.XMATCH("P",Statut_biogéographique!A:A,2,1),"P")</f>
        <v>P</v>
      </c>
      <c r="AP8513" s="4" t="s">
        <v>376</v>
      </c>
      <c r="AR8513" s="4" t="s">
        <v>377</v>
      </c>
    </row>
    <row r="8514" spans="1:44" ht="30">
      <c r="A8514" s="4" t="s">
        <v>10753</v>
      </c>
      <c r="B8514" s="4">
        <v>14145</v>
      </c>
      <c r="D8514" s="5" t="s">
        <v>11570</v>
      </c>
      <c r="E8514" s="6" t="str">
        <f>HYPERLINK("https://inpn.mnhn.fr/espece/cd_nom/14145","Rhinocyllus conicus (Frölich, 1792)")</f>
        <v>Rhinocyllus conicus (Frölich, 1792)</v>
      </c>
      <c r="F8514" s="5" t="s">
        <v>11571</v>
      </c>
      <c r="AH8514" s="4" t="str">
        <f>HYPERLINK("#Statut_biogéographique!A"&amp;_xlfn.XMATCH("P",Statut_biogéographique!A:A,2,1),"P")</f>
        <v>P</v>
      </c>
      <c r="AP8514" s="4" t="s">
        <v>376</v>
      </c>
      <c r="AR8514" s="4" t="s">
        <v>377</v>
      </c>
    </row>
    <row r="8515" spans="1:44">
      <c r="A8515" s="4" t="s">
        <v>10753</v>
      </c>
      <c r="B8515" s="4">
        <v>1417</v>
      </c>
      <c r="D8515" s="5" t="s">
        <v>11572</v>
      </c>
      <c r="E8515" s="6" t="str">
        <f>HYPERLINK("https://inpn.mnhn.fr/espece/cd_nom/1417","Microlinyphia pusilla (Sundevall, 1830)")</f>
        <v>Microlinyphia pusilla (Sundevall, 1830)</v>
      </c>
      <c r="Q8515" s="7" t="str">
        <f>HYPERLINK("#Liste_rouge!A"&amp;_xlfn.XMATCH("LC",Liste_rouge!A:A,2,1),"LC")</f>
        <v>LC</v>
      </c>
      <c r="AH8515" s="4" t="str">
        <f>HYPERLINK("#Statut_biogéographique!A"&amp;_xlfn.XMATCH("P",Statut_biogéographique!A:A,2,1),"P")</f>
        <v>P</v>
      </c>
      <c r="AP8515" s="4" t="s">
        <v>376</v>
      </c>
      <c r="AR8515" s="4" t="s">
        <v>377</v>
      </c>
    </row>
    <row r="8516" spans="1:44">
      <c r="A8516" s="4" t="s">
        <v>10753</v>
      </c>
      <c r="B8516" s="4">
        <v>1421</v>
      </c>
      <c r="D8516" s="5" t="s">
        <v>11573</v>
      </c>
      <c r="E8516" s="6" t="str">
        <f>HYPERLINK("https://inpn.mnhn.fr/espece/cd_nom/1421","Minyriolus pusillus (Wider, 1834)")</f>
        <v>Minyriolus pusillus (Wider, 1834)</v>
      </c>
      <c r="Q8516" s="7" t="str">
        <f>HYPERLINK("#Liste_rouge!A"&amp;_xlfn.XMATCH("LC",Liste_rouge!A:A,2,1),"LC")</f>
        <v>LC</v>
      </c>
      <c r="AH8516" s="4" t="str">
        <f>HYPERLINK("#Statut_biogéographique!A"&amp;_xlfn.XMATCH("P",Statut_biogéographique!A:A,2,1),"P")</f>
        <v>P</v>
      </c>
      <c r="AP8516" s="4" t="s">
        <v>376</v>
      </c>
      <c r="AR8516" s="4" t="s">
        <v>377</v>
      </c>
    </row>
    <row r="8517" spans="1:44">
      <c r="A8517" s="4" t="s">
        <v>10753</v>
      </c>
      <c r="B8517" s="4">
        <v>1423</v>
      </c>
      <c r="D8517" s="5" t="s">
        <v>11574</v>
      </c>
      <c r="E8517" s="6" t="str">
        <f>HYPERLINK("https://inpn.mnhn.fr/espece/cd_nom/1423","Saaristoa abnormis (Blackwall, 1841)")</f>
        <v>Saaristoa abnormis (Blackwall, 1841)</v>
      </c>
      <c r="Q8517" s="7" t="str">
        <f>HYPERLINK("#Liste_rouge!A"&amp;_xlfn.XMATCH("LC",Liste_rouge!A:A,2,1),"LC")</f>
        <v>LC</v>
      </c>
      <c r="AH8517" s="4" t="str">
        <f>HYPERLINK("#Statut_biogéographique!A"&amp;_xlfn.XMATCH("P",Statut_biogéographique!A:A,2,1),"P")</f>
        <v>P</v>
      </c>
      <c r="AP8517" s="4" t="s">
        <v>376</v>
      </c>
      <c r="AR8517" s="4" t="s">
        <v>377</v>
      </c>
    </row>
    <row r="8518" spans="1:44">
      <c r="A8518" s="4" t="s">
        <v>10753</v>
      </c>
      <c r="B8518" s="4">
        <v>14236</v>
      </c>
      <c r="D8518" s="5" t="s">
        <v>11575</v>
      </c>
      <c r="E8518" s="6" t="str">
        <f>HYPERLINK("https://inpn.mnhn.fr/espece/cd_nom/14236","Hypera rumicis (Linnaeus, 1758)")</f>
        <v>Hypera rumicis (Linnaeus, 1758)</v>
      </c>
      <c r="AH8518" s="4" t="str">
        <f>HYPERLINK("#Statut_biogéographique!A"&amp;_xlfn.XMATCH("P",Statut_biogéographique!A:A,2,1),"P")</f>
        <v>P</v>
      </c>
      <c r="AP8518" s="4" t="s">
        <v>376</v>
      </c>
      <c r="AR8518" s="4" t="s">
        <v>377</v>
      </c>
    </row>
    <row r="8519" spans="1:44" ht="45">
      <c r="A8519" s="4" t="s">
        <v>10753</v>
      </c>
      <c r="B8519" s="4">
        <v>14240</v>
      </c>
      <c r="D8519" s="5" t="s">
        <v>11576</v>
      </c>
      <c r="E8519" s="6" t="str">
        <f>HYPERLINK("https://inpn.mnhn.fr/espece/cd_nom/14240","Hypera meles (Fabricius, 1792)")</f>
        <v>Hypera meles (Fabricius, 1792)</v>
      </c>
      <c r="AH8519" s="4" t="str">
        <f>HYPERLINK("#Statut_biogéographique!A"&amp;_xlfn.XMATCH("P",Statut_biogéographique!A:A,2,1),"P")</f>
        <v>P</v>
      </c>
      <c r="AP8519" s="4" t="s">
        <v>376</v>
      </c>
      <c r="AR8519" s="4" t="s">
        <v>377</v>
      </c>
    </row>
    <row r="8520" spans="1:44" ht="30">
      <c r="A8520" s="4" t="s">
        <v>10753</v>
      </c>
      <c r="B8520" s="4">
        <v>14245</v>
      </c>
      <c r="D8520" s="5" t="s">
        <v>11577</v>
      </c>
      <c r="E8520" s="6" t="str">
        <f>HYPERLINK("https://inpn.mnhn.fr/espece/cd_nom/14245","Hypera pastinacae (Rossi, 1790)")</f>
        <v>Hypera pastinacae (Rossi, 1790)</v>
      </c>
      <c r="AH8520" s="4" t="str">
        <f>HYPERLINK("#Statut_biogéographique!A"&amp;_xlfn.XMATCH("P",Statut_biogéographique!A:A,2,1),"P")</f>
        <v>P</v>
      </c>
      <c r="AP8520" s="4" t="s">
        <v>376</v>
      </c>
      <c r="AR8520" s="4" t="s">
        <v>377</v>
      </c>
    </row>
    <row r="8521" spans="1:44">
      <c r="A8521" s="4" t="s">
        <v>10753</v>
      </c>
      <c r="B8521" s="4">
        <v>1425</v>
      </c>
      <c r="D8521" s="5" t="s">
        <v>11578</v>
      </c>
      <c r="E8521" s="6" t="str">
        <f>HYPERLINK("https://inpn.mnhn.fr/espece/cd_nom/1425","Tiso vagans (Blackwall, 1834)")</f>
        <v>Tiso vagans (Blackwall, 1834)</v>
      </c>
      <c r="Q8521" s="7" t="str">
        <f>HYPERLINK("#Liste_rouge!A"&amp;_xlfn.XMATCH("LC",Liste_rouge!A:A,2,1),"LC")</f>
        <v>LC</v>
      </c>
      <c r="AH8521" s="4" t="str">
        <f>HYPERLINK("#Statut_biogéographique!A"&amp;_xlfn.XMATCH("P",Statut_biogéographique!A:A,2,1),"P")</f>
        <v>P</v>
      </c>
      <c r="AP8521" s="4" t="s">
        <v>376</v>
      </c>
      <c r="AR8521" s="4" t="s">
        <v>377</v>
      </c>
    </row>
    <row r="8522" spans="1:44" ht="30">
      <c r="A8522" s="4" t="s">
        <v>10753</v>
      </c>
      <c r="B8522" s="4">
        <v>14250</v>
      </c>
      <c r="D8522" s="5" t="s">
        <v>11579</v>
      </c>
      <c r="E8522" s="6" t="str">
        <f>HYPERLINK("https://inpn.mnhn.fr/espece/cd_nom/14250","Hypera arator (Linnaeus, 1758)")</f>
        <v>Hypera arator (Linnaeus, 1758)</v>
      </c>
      <c r="AH8522" s="4" t="str">
        <f>HYPERLINK("#Statut_biogéographique!A"&amp;_xlfn.XMATCH("P",Statut_biogéographique!A:A,2,1),"P")</f>
        <v>P</v>
      </c>
      <c r="AP8522" s="4" t="s">
        <v>376</v>
      </c>
      <c r="AR8522" s="4" t="s">
        <v>377</v>
      </c>
    </row>
    <row r="8523" spans="1:44" ht="60">
      <c r="A8523" s="4" t="s">
        <v>10753</v>
      </c>
      <c r="B8523" s="4">
        <v>14260</v>
      </c>
      <c r="D8523" s="5" t="s">
        <v>11580</v>
      </c>
      <c r="E8523" s="6" t="str">
        <f>HYPERLINK("https://inpn.mnhn.fr/espece/cd_nom/14260","Hypera postica (Gyllenhal, 1813)")</f>
        <v>Hypera postica (Gyllenhal, 1813)</v>
      </c>
      <c r="AH8523" s="4" t="str">
        <f>HYPERLINK("#Statut_biogéographique!A"&amp;_xlfn.XMATCH("P",Statut_biogéographique!A:A,2,1),"P")</f>
        <v>P</v>
      </c>
      <c r="AP8523" s="4" t="s">
        <v>376</v>
      </c>
      <c r="AR8523" s="4" t="s">
        <v>377</v>
      </c>
    </row>
    <row r="8524" spans="1:44" ht="45">
      <c r="A8524" s="4" t="s">
        <v>10753</v>
      </c>
      <c r="B8524" s="4">
        <v>14276</v>
      </c>
      <c r="D8524" s="5" t="s">
        <v>11581</v>
      </c>
      <c r="E8524" s="6" t="str">
        <f>HYPERLINK("https://inpn.mnhn.fr/espece/cd_nom/14276","Hypera nigrirostris (Fabricius, 1775)")</f>
        <v>Hypera nigrirostris (Fabricius, 1775)</v>
      </c>
      <c r="AH8524" s="4" t="str">
        <f>HYPERLINK("#Statut_biogéographique!A"&amp;_xlfn.XMATCH("P",Statut_biogéographique!A:A,2,1),"P")</f>
        <v>P</v>
      </c>
      <c r="AP8524" s="4" t="s">
        <v>376</v>
      </c>
      <c r="AR8524" s="4" t="s">
        <v>377</v>
      </c>
    </row>
    <row r="8525" spans="1:44">
      <c r="A8525" s="4" t="s">
        <v>10753</v>
      </c>
      <c r="B8525" s="4">
        <v>14283</v>
      </c>
      <c r="D8525" s="5" t="s">
        <v>11582</v>
      </c>
      <c r="E8525" s="6" t="str">
        <f>HYPERLINK("https://inpn.mnhn.fr/espece/cd_nom/14283","Hypera viciae (Gyllenhal, 1813)")</f>
        <v>Hypera viciae (Gyllenhal, 1813)</v>
      </c>
      <c r="AH8525" s="4" t="str">
        <f>HYPERLINK("#Statut_biogéographique!A"&amp;_xlfn.XMATCH("P",Statut_biogéographique!A:A,2,1),"P")</f>
        <v>P</v>
      </c>
      <c r="AP8525" s="4" t="s">
        <v>376</v>
      </c>
      <c r="AR8525" s="4" t="s">
        <v>377</v>
      </c>
    </row>
    <row r="8526" spans="1:44">
      <c r="A8526" s="4" t="s">
        <v>10753</v>
      </c>
      <c r="B8526" s="4">
        <v>14293</v>
      </c>
      <c r="D8526" s="5" t="s">
        <v>11583</v>
      </c>
      <c r="E8526" s="6" t="str">
        <f>HYPERLINK("https://inpn.mnhn.fr/espece/cd_nom/14293","Donus ovalis (Boheman, 1842)")</f>
        <v>Donus ovalis (Boheman, 1842)</v>
      </c>
      <c r="AH8526" s="4" t="str">
        <f>HYPERLINK("#Statut_biogéographique!A"&amp;_xlfn.XMATCH("P",Statut_biogéographique!A:A,2,1),"P")</f>
        <v>P</v>
      </c>
      <c r="AP8526" s="4" t="s">
        <v>376</v>
      </c>
      <c r="AR8526" s="4" t="s">
        <v>377</v>
      </c>
    </row>
    <row r="8527" spans="1:44">
      <c r="A8527" s="4" t="s">
        <v>10753</v>
      </c>
      <c r="B8527" s="4">
        <v>14324</v>
      </c>
      <c r="D8527" s="5" t="s">
        <v>11584</v>
      </c>
      <c r="E8527" s="6" t="str">
        <f>HYPERLINK("https://inpn.mnhn.fr/espece/cd_nom/14324","Limobius borealis (Paykull, 1792)")</f>
        <v>Limobius borealis (Paykull, 1792)</v>
      </c>
      <c r="AH8527" s="4" t="str">
        <f>HYPERLINK("#Statut_biogéographique!A"&amp;_xlfn.XMATCH("P",Statut_biogéographique!A:A,2,1),"P")</f>
        <v>P</v>
      </c>
      <c r="AP8527" s="4" t="s">
        <v>376</v>
      </c>
      <c r="AR8527" s="4" t="s">
        <v>377</v>
      </c>
    </row>
    <row r="8528" spans="1:44">
      <c r="A8528" s="4" t="s">
        <v>10753</v>
      </c>
      <c r="B8528" s="4">
        <v>14349</v>
      </c>
      <c r="D8528" s="5" t="s">
        <v>11585</v>
      </c>
      <c r="E8528" s="6" t="str">
        <f>HYPERLINK("https://inpn.mnhn.fr/espece/cd_nom/14349","Lepyrus palustris (Scopoli, 1763)")</f>
        <v>Lepyrus palustris (Scopoli, 1763)</v>
      </c>
      <c r="F8528" s="5" t="s">
        <v>11586</v>
      </c>
      <c r="AH8528" s="4" t="str">
        <f>HYPERLINK("#Statut_biogéographique!A"&amp;_xlfn.XMATCH("P",Statut_biogéographique!A:A,2,1),"P")</f>
        <v>P</v>
      </c>
      <c r="AP8528" s="4" t="s">
        <v>376</v>
      </c>
      <c r="AR8528" s="4" t="s">
        <v>377</v>
      </c>
    </row>
    <row r="8529" spans="1:44">
      <c r="A8529" s="4" t="s">
        <v>10753</v>
      </c>
      <c r="B8529" s="4">
        <v>14352</v>
      </c>
      <c r="D8529" s="5" t="s">
        <v>11587</v>
      </c>
      <c r="E8529" s="6" t="str">
        <f>HYPERLINK("https://inpn.mnhn.fr/espece/cd_nom/14352","Lepyrus capucinus (Schaller, 1783)")</f>
        <v>Lepyrus capucinus (Schaller, 1783)</v>
      </c>
      <c r="AH8529" s="4" t="str">
        <f>HYPERLINK("#Statut_biogéographique!A"&amp;_xlfn.XMATCH("P",Statut_biogéographique!A:A,2,1),"P")</f>
        <v>P</v>
      </c>
      <c r="AP8529" s="4" t="s">
        <v>376</v>
      </c>
      <c r="AR8529" s="4" t="s">
        <v>377</v>
      </c>
    </row>
    <row r="8530" spans="1:44">
      <c r="A8530" s="4" t="s">
        <v>10753</v>
      </c>
      <c r="B8530" s="4">
        <v>14359</v>
      </c>
      <c r="D8530" s="5" t="s">
        <v>11588</v>
      </c>
      <c r="E8530" s="6" t="str">
        <f>HYPERLINK("https://inpn.mnhn.fr/espece/cd_nom/14359","Hylobius abietis (Linnaeus, 1758)")</f>
        <v>Hylobius abietis (Linnaeus, 1758)</v>
      </c>
      <c r="F8530" s="5" t="s">
        <v>11589</v>
      </c>
      <c r="AH8530" s="4" t="str">
        <f>HYPERLINK("#Statut_biogéographique!A"&amp;_xlfn.XMATCH("P",Statut_biogéographique!A:A,2,1),"P")</f>
        <v>P</v>
      </c>
      <c r="AP8530" s="4" t="s">
        <v>376</v>
      </c>
      <c r="AR8530" s="4" t="s">
        <v>377</v>
      </c>
    </row>
    <row r="8531" spans="1:44">
      <c r="A8531" s="4" t="s">
        <v>10753</v>
      </c>
      <c r="B8531" s="4">
        <v>14365</v>
      </c>
      <c r="D8531" s="5" t="s">
        <v>11590</v>
      </c>
      <c r="E8531" s="6" t="str">
        <f>HYPERLINK("https://inpn.mnhn.fr/espece/cd_nom/14365","Hylobius pinastri (Gyllenhal, 1813)")</f>
        <v>Hylobius pinastri (Gyllenhal, 1813)</v>
      </c>
      <c r="AH8531" s="4" t="str">
        <f>HYPERLINK("#Statut_biogéographique!A"&amp;_xlfn.XMATCH("P",Statut_biogéographique!A:A,2,1),"P")</f>
        <v>P</v>
      </c>
      <c r="AP8531" s="4" t="s">
        <v>376</v>
      </c>
      <c r="AR8531" s="4" t="s">
        <v>377</v>
      </c>
    </row>
    <row r="8532" spans="1:44">
      <c r="A8532" s="4" t="s">
        <v>10753</v>
      </c>
      <c r="B8532" s="4">
        <v>1437</v>
      </c>
      <c r="D8532" s="5" t="s">
        <v>11591</v>
      </c>
      <c r="E8532" s="6" t="str">
        <f>HYPERLINK("https://inpn.mnhn.fr/espece/cd_nom/1437","Bathyphantes gracilis (Blackwall, 1841)")</f>
        <v>Bathyphantes gracilis (Blackwall, 1841)</v>
      </c>
      <c r="Q8532" s="7" t="str">
        <f>HYPERLINK("#Liste_rouge!A"&amp;_xlfn.XMATCH("LC",Liste_rouge!A:A,2,1),"LC")</f>
        <v>LC</v>
      </c>
      <c r="AH8532" s="4" t="str">
        <f>HYPERLINK("#Statut_biogéographique!A"&amp;_xlfn.XMATCH("P",Statut_biogéographique!A:A,2,1),"P")</f>
        <v>P</v>
      </c>
      <c r="AP8532" s="4" t="s">
        <v>376</v>
      </c>
      <c r="AR8532" s="4" t="s">
        <v>377</v>
      </c>
    </row>
    <row r="8533" spans="1:44">
      <c r="A8533" s="4" t="s">
        <v>10753</v>
      </c>
      <c r="B8533" s="4">
        <v>14377</v>
      </c>
      <c r="D8533" s="5" t="s">
        <v>11592</v>
      </c>
      <c r="E8533" s="6" t="str">
        <f>HYPERLINK("https://inpn.mnhn.fr/espece/cd_nom/14377","Liparus dirus (Herbst, 1795)")</f>
        <v>Liparus dirus (Herbst, 1795)</v>
      </c>
      <c r="F8533" s="5" t="s">
        <v>11593</v>
      </c>
      <c r="AH8533" s="4" t="str">
        <f>HYPERLINK("#Statut_biogéographique!A"&amp;_xlfn.XMATCH("P",Statut_biogéographique!A:A,2,1),"P")</f>
        <v>P</v>
      </c>
      <c r="AP8533" s="4" t="s">
        <v>376</v>
      </c>
      <c r="AR8533" s="4" t="s">
        <v>377</v>
      </c>
    </row>
    <row r="8534" spans="1:44">
      <c r="A8534" s="4" t="s">
        <v>10753</v>
      </c>
      <c r="B8534" s="4">
        <v>1438</v>
      </c>
      <c r="D8534" s="5" t="s">
        <v>11594</v>
      </c>
      <c r="E8534" s="6" t="str">
        <f>HYPERLINK("https://inpn.mnhn.fr/espece/cd_nom/1438","Bathyphantes parvulus (Westring, 1851)")</f>
        <v>Bathyphantes parvulus (Westring, 1851)</v>
      </c>
      <c r="Q8534" s="7" t="str">
        <f>HYPERLINK("#Liste_rouge!A"&amp;_xlfn.XMATCH("LC",Liste_rouge!A:A,2,1),"LC")</f>
        <v>LC</v>
      </c>
      <c r="AH8534" s="4" t="str">
        <f>HYPERLINK("#Statut_biogéographique!A"&amp;_xlfn.XMATCH("P",Statut_biogéographique!A:A,2,1),"P")</f>
        <v>P</v>
      </c>
      <c r="AP8534" s="4" t="s">
        <v>376</v>
      </c>
      <c r="AR8534" s="4" t="s">
        <v>377</v>
      </c>
    </row>
    <row r="8535" spans="1:44">
      <c r="A8535" s="4" t="s">
        <v>10753</v>
      </c>
      <c r="B8535" s="4">
        <v>14383</v>
      </c>
      <c r="D8535" s="5" t="s">
        <v>11595</v>
      </c>
      <c r="E8535" s="6" t="str">
        <f>HYPERLINK("https://inpn.mnhn.fr/espece/cd_nom/14383","Liparus germanus (Linnaeus, 1758)")</f>
        <v>Liparus germanus (Linnaeus, 1758)</v>
      </c>
      <c r="AH8535" s="4" t="str">
        <f>HYPERLINK("#Statut_biogéographique!A"&amp;_xlfn.XMATCH("P",Statut_biogéographique!A:A,2,1),"P")</f>
        <v>P</v>
      </c>
      <c r="AP8535" s="4" t="s">
        <v>376</v>
      </c>
      <c r="AR8535" s="4" t="s">
        <v>377</v>
      </c>
    </row>
    <row r="8536" spans="1:44" ht="30">
      <c r="A8536" s="4" t="s">
        <v>10753</v>
      </c>
      <c r="B8536" s="4">
        <v>14386</v>
      </c>
      <c r="D8536" s="5" t="s">
        <v>11596</v>
      </c>
      <c r="E8536" s="6" t="str">
        <f>HYPERLINK("https://inpn.mnhn.fr/espece/cd_nom/14386","Liparus coronatus (Goeze, 1777)")</f>
        <v>Liparus coronatus (Goeze, 1777)</v>
      </c>
      <c r="F8536" s="5" t="s">
        <v>11597</v>
      </c>
      <c r="AH8536" s="4" t="str">
        <f>HYPERLINK("#Statut_biogéographique!A"&amp;_xlfn.XMATCH("P",Statut_biogéographique!A:A,2,1),"P")</f>
        <v>P</v>
      </c>
      <c r="AP8536" s="4" t="s">
        <v>376</v>
      </c>
      <c r="AR8536" s="4" t="s">
        <v>377</v>
      </c>
    </row>
    <row r="8537" spans="1:44" ht="30">
      <c r="A8537" s="4" t="s">
        <v>10753</v>
      </c>
      <c r="B8537" s="4">
        <v>14396</v>
      </c>
      <c r="D8537" s="5" t="s">
        <v>11598</v>
      </c>
      <c r="E8537" s="6" t="str">
        <f>HYPERLINK("https://inpn.mnhn.fr/espece/cd_nom/14396","Minyops carinatus (Linnaeus, 1767)")</f>
        <v>Minyops carinatus (Linnaeus, 1767)</v>
      </c>
      <c r="AH8537" s="4" t="str">
        <f>HYPERLINK("#Statut_biogéographique!A"&amp;_xlfn.XMATCH("P",Statut_biogéographique!A:A,2,1),"P")</f>
        <v>P</v>
      </c>
      <c r="AP8537" s="4" t="s">
        <v>376</v>
      </c>
      <c r="AR8537" s="4" t="s">
        <v>377</v>
      </c>
    </row>
    <row r="8538" spans="1:44">
      <c r="A8538" s="4" t="s">
        <v>10753</v>
      </c>
      <c r="B8538" s="4">
        <v>14411</v>
      </c>
      <c r="D8538" s="5" t="s">
        <v>11599</v>
      </c>
      <c r="E8538" s="6" t="str">
        <f>HYPERLINK("https://inpn.mnhn.fr/espece/cd_nom/14411","Mitoplinthus caliginosus (Fabricius, 1775)")</f>
        <v>Mitoplinthus caliginosus (Fabricius, 1775)</v>
      </c>
      <c r="F8538" s="5" t="s">
        <v>11600</v>
      </c>
      <c r="AH8538" s="4" t="str">
        <f>HYPERLINK("#Statut_biogéographique!A"&amp;_xlfn.XMATCH("P",Statut_biogéographique!A:A,2,1),"P")</f>
        <v>P</v>
      </c>
      <c r="AP8538" s="4" t="s">
        <v>376</v>
      </c>
      <c r="AR8538" s="4" t="s">
        <v>377</v>
      </c>
    </row>
    <row r="8539" spans="1:44">
      <c r="A8539" s="4" t="s">
        <v>10753</v>
      </c>
      <c r="B8539" s="4">
        <v>1442</v>
      </c>
      <c r="D8539" s="5" t="s">
        <v>11601</v>
      </c>
      <c r="E8539" s="6" t="str">
        <f>HYPERLINK("https://inpn.mnhn.fr/espece/cd_nom/1442","Dicymbium nigrum (Blackwall, 1834)")</f>
        <v>Dicymbium nigrum (Blackwall, 1834)</v>
      </c>
      <c r="Q8539" s="7" t="str">
        <f>HYPERLINK("#Liste_rouge!A"&amp;_xlfn.XMATCH("LC",Liste_rouge!A:A,2,1),"LC")</f>
        <v>LC</v>
      </c>
      <c r="AH8539" s="4" t="str">
        <f>HYPERLINK("#Statut_biogéographique!A"&amp;_xlfn.XMATCH("P",Statut_biogéographique!A:A,2,1),"P")</f>
        <v>P</v>
      </c>
      <c r="AP8539" s="4" t="s">
        <v>376</v>
      </c>
      <c r="AR8539" s="4" t="s">
        <v>377</v>
      </c>
    </row>
    <row r="8540" spans="1:44">
      <c r="A8540" s="4" t="s">
        <v>10753</v>
      </c>
      <c r="B8540" s="4">
        <v>14425</v>
      </c>
      <c r="D8540" s="5" t="s">
        <v>11602</v>
      </c>
      <c r="E8540" s="6" t="str">
        <f>HYPERLINK("https://inpn.mnhn.fr/espece/cd_nom/14425","Leiosoma deflexum (Panzer, 1795)")</f>
        <v>Leiosoma deflexum (Panzer, 1795)</v>
      </c>
      <c r="AH8540" s="4" t="str">
        <f>HYPERLINK("#Statut_biogéographique!A"&amp;_xlfn.XMATCH("P",Statut_biogéographique!A:A,2,1),"P")</f>
        <v>P</v>
      </c>
      <c r="AP8540" s="4" t="s">
        <v>376</v>
      </c>
      <c r="AR8540" s="4" t="s">
        <v>377</v>
      </c>
    </row>
    <row r="8541" spans="1:44">
      <c r="A8541" s="4" t="s">
        <v>10753</v>
      </c>
      <c r="B8541" s="4">
        <v>14442</v>
      </c>
      <c r="D8541" s="5">
        <v>14442</v>
      </c>
      <c r="E8541" s="6" t="str">
        <f>HYPERLINK("https://inpn.mnhn.fr/espece/cd_nom/14442","Adexius scrobipennis Gyllenhal, 1834")</f>
        <v>Adexius scrobipennis Gyllenhal, 1834</v>
      </c>
      <c r="AH8541" s="4" t="str">
        <f>HYPERLINK("#Statut_biogéographique!A"&amp;_xlfn.XMATCH("P",Statut_biogéographique!A:A,2,1),"P")</f>
        <v>P</v>
      </c>
      <c r="AP8541" s="4" t="s">
        <v>376</v>
      </c>
      <c r="AR8541" s="4" t="s">
        <v>377</v>
      </c>
    </row>
    <row r="8542" spans="1:44">
      <c r="A8542" s="4" t="s">
        <v>10753</v>
      </c>
      <c r="B8542" s="4">
        <v>1445</v>
      </c>
      <c r="D8542" s="5">
        <v>1445</v>
      </c>
      <c r="E8542" s="6" t="str">
        <f>HYPERLINK("https://inpn.mnhn.fr/espece/cd_nom/1445","Erigone atra Blackwall, 1833")</f>
        <v>Erigone atra Blackwall, 1833</v>
      </c>
      <c r="F8542" s="5" t="s">
        <v>11603</v>
      </c>
      <c r="Q8542" s="7" t="str">
        <f>HYPERLINK("#Liste_rouge!A"&amp;_xlfn.XMATCH("LC",Liste_rouge!A:A,2,1),"LC")</f>
        <v>LC</v>
      </c>
      <c r="AH8542" s="4" t="str">
        <f>HYPERLINK("#Statut_biogéographique!A"&amp;_xlfn.XMATCH("P",Statut_biogéographique!A:A,2,1),"P")</f>
        <v>P</v>
      </c>
      <c r="AP8542" s="4" t="s">
        <v>376</v>
      </c>
      <c r="AR8542" s="4" t="s">
        <v>377</v>
      </c>
    </row>
    <row r="8543" spans="1:44">
      <c r="A8543" s="4" t="s">
        <v>10753</v>
      </c>
      <c r="B8543" s="4">
        <v>14453</v>
      </c>
      <c r="D8543" s="5" t="s">
        <v>11604</v>
      </c>
      <c r="E8543" s="6" t="str">
        <f>HYPERLINK("https://inpn.mnhn.fr/espece/cd_nom/14453","Cotaster uncipes (Boheman, 1838)")</f>
        <v>Cotaster uncipes (Boheman, 1838)</v>
      </c>
      <c r="AH8543" s="4" t="str">
        <f>HYPERLINK("#Statut_biogéographique!A"&amp;_xlfn.XMATCH("P",Statut_biogéographique!A:A,2,1),"P")</f>
        <v>P</v>
      </c>
      <c r="AP8543" s="4" t="s">
        <v>376</v>
      </c>
      <c r="AR8543" s="4" t="s">
        <v>377</v>
      </c>
    </row>
    <row r="8544" spans="1:44">
      <c r="A8544" s="4" t="s">
        <v>10753</v>
      </c>
      <c r="B8544" s="4">
        <v>14455</v>
      </c>
      <c r="D8544" s="5" t="s">
        <v>11605</v>
      </c>
      <c r="E8544" s="6" t="str">
        <f>HYPERLINK("https://inpn.mnhn.fr/espece/cd_nom/14455","Cotaster cuneipennis (Aubé, 1850)")</f>
        <v>Cotaster cuneipennis (Aubé, 1850)</v>
      </c>
      <c r="AH8544" s="4" t="str">
        <f>HYPERLINK("#Statut_biogéographique!A"&amp;_xlfn.XMATCH("P",Statut_biogéographique!A:A,2,1),"P")</f>
        <v>P</v>
      </c>
      <c r="AP8544" s="4" t="s">
        <v>376</v>
      </c>
      <c r="AR8544" s="4" t="s">
        <v>377</v>
      </c>
    </row>
    <row r="8545" spans="1:44">
      <c r="A8545" s="4" t="s">
        <v>10753</v>
      </c>
      <c r="B8545" s="4">
        <v>1446</v>
      </c>
      <c r="D8545" s="5" t="s">
        <v>11606</v>
      </c>
      <c r="E8545" s="6" t="str">
        <f>HYPERLINK("https://inpn.mnhn.fr/espece/cd_nom/1446","Erigone dentipalpis (Wider, 1834)")</f>
        <v>Erigone dentipalpis (Wider, 1834)</v>
      </c>
      <c r="Q8545" s="7" t="str">
        <f>HYPERLINK("#Liste_rouge!A"&amp;_xlfn.XMATCH("LC",Liste_rouge!A:A,2,1),"LC")</f>
        <v>LC</v>
      </c>
      <c r="AH8545" s="4" t="str">
        <f>HYPERLINK("#Statut_biogéographique!A"&amp;_xlfn.XMATCH("P",Statut_biogéographique!A:A,2,1),"P")</f>
        <v>P</v>
      </c>
      <c r="AP8545" s="4" t="s">
        <v>376</v>
      </c>
      <c r="AR8545" s="4" t="s">
        <v>377</v>
      </c>
    </row>
    <row r="8546" spans="1:44">
      <c r="A8546" s="4" t="s">
        <v>10753</v>
      </c>
      <c r="B8546" s="4">
        <v>14471</v>
      </c>
      <c r="D8546" s="5" t="s">
        <v>11607</v>
      </c>
      <c r="E8546" s="6" t="str">
        <f>HYPERLINK("https://inpn.mnhn.fr/espece/cd_nom/14471","Pissodes harcyniae (Herbst, 1795)")</f>
        <v>Pissodes harcyniae (Herbst, 1795)</v>
      </c>
      <c r="AH8546" s="4" t="str">
        <f>HYPERLINK("#Statut_biogéographique!A"&amp;_xlfn.XMATCH("P",Statut_biogéographique!A:A,2,1),"P")</f>
        <v>P</v>
      </c>
      <c r="AP8546" s="4" t="s">
        <v>376</v>
      </c>
      <c r="AR8546" s="4" t="s">
        <v>377</v>
      </c>
    </row>
    <row r="8547" spans="1:44">
      <c r="A8547" s="4" t="s">
        <v>10753</v>
      </c>
      <c r="B8547" s="4">
        <v>14476</v>
      </c>
      <c r="D8547" s="5" t="s">
        <v>11608</v>
      </c>
      <c r="E8547" s="6" t="str">
        <f>HYPERLINK("https://inpn.mnhn.fr/espece/cd_nom/14476","Magdalis rufa Germar, 1823")</f>
        <v>Magdalis rufa Germar, 1823</v>
      </c>
      <c r="AH8547" s="4" t="str">
        <f>HYPERLINK("#Statut_biogéographique!A"&amp;_xlfn.XMATCH("P",Statut_biogéographique!A:A,2,1),"P")</f>
        <v>P</v>
      </c>
      <c r="AP8547" s="4" t="s">
        <v>376</v>
      </c>
      <c r="AR8547" s="4" t="s">
        <v>377</v>
      </c>
    </row>
    <row r="8548" spans="1:44">
      <c r="A8548" s="4" t="s">
        <v>10753</v>
      </c>
      <c r="B8548" s="4">
        <v>14479</v>
      </c>
      <c r="D8548" s="5" t="s">
        <v>11609</v>
      </c>
      <c r="E8548" s="6" t="str">
        <f>HYPERLINK("https://inpn.mnhn.fr/espece/cd_nom/14479","Magdalis phlegmatica (Herbst, 1797)")</f>
        <v>Magdalis phlegmatica (Herbst, 1797)</v>
      </c>
      <c r="AH8548" s="4" t="str">
        <f>HYPERLINK("#Statut_biogéographique!A"&amp;_xlfn.XMATCH("P",Statut_biogéographique!A:A,2,1),"P")</f>
        <v>P</v>
      </c>
      <c r="AP8548" s="4" t="s">
        <v>376</v>
      </c>
      <c r="AR8548" s="4" t="s">
        <v>377</v>
      </c>
    </row>
    <row r="8549" spans="1:44">
      <c r="A8549" s="4" t="s">
        <v>10753</v>
      </c>
      <c r="B8549" s="4">
        <v>14482</v>
      </c>
      <c r="D8549" s="5" t="s">
        <v>11610</v>
      </c>
      <c r="E8549" s="6" t="str">
        <f>HYPERLINK("https://inpn.mnhn.fr/espece/cd_nom/14482","Magdalis nitida (Gyllenhal, 1827)")</f>
        <v>Magdalis nitida (Gyllenhal, 1827)</v>
      </c>
      <c r="AH8549" s="4" t="str">
        <f>HYPERLINK("#Statut_biogéographique!A"&amp;_xlfn.XMATCH("P",Statut_biogéographique!A:A,2,1),"P")</f>
        <v>P</v>
      </c>
      <c r="AP8549" s="4" t="s">
        <v>376</v>
      </c>
      <c r="AR8549" s="4" t="s">
        <v>377</v>
      </c>
    </row>
    <row r="8550" spans="1:44">
      <c r="A8550" s="4" t="s">
        <v>10753</v>
      </c>
      <c r="B8550" s="4">
        <v>14484</v>
      </c>
      <c r="D8550" s="5" t="s">
        <v>11611</v>
      </c>
      <c r="E8550" s="6" t="str">
        <f>HYPERLINK("https://inpn.mnhn.fr/espece/cd_nom/14484","Magdalis memnonia (Gyllenhal, 1837)")</f>
        <v>Magdalis memnonia (Gyllenhal, 1837)</v>
      </c>
      <c r="AH8550" s="4" t="str">
        <f>HYPERLINK("#Statut_biogéographique!A"&amp;_xlfn.XMATCH("P",Statut_biogéographique!A:A,2,1),"P")</f>
        <v>P</v>
      </c>
      <c r="AP8550" s="4" t="s">
        <v>376</v>
      </c>
      <c r="AR8550" s="4" t="s">
        <v>377</v>
      </c>
    </row>
    <row r="8551" spans="1:44">
      <c r="A8551" s="4" t="s">
        <v>10753</v>
      </c>
      <c r="B8551" s="4">
        <v>14487</v>
      </c>
      <c r="D8551" s="5" t="s">
        <v>11612</v>
      </c>
      <c r="E8551" s="6" t="str">
        <f>HYPERLINK("https://inpn.mnhn.fr/espece/cd_nom/14487","Magdalis linearis (Gyllenhal, 1827)")</f>
        <v>Magdalis linearis (Gyllenhal, 1827)</v>
      </c>
      <c r="AH8551" s="4" t="str">
        <f>HYPERLINK("#Statut_biogéographique!A"&amp;_xlfn.XMATCH("P",Statut_biogéographique!A:A,2,1),"P")</f>
        <v>P</v>
      </c>
      <c r="AP8551" s="4" t="s">
        <v>376</v>
      </c>
      <c r="AR8551" s="4" t="s">
        <v>377</v>
      </c>
    </row>
    <row r="8552" spans="1:44" ht="30">
      <c r="A8552" s="4" t="s">
        <v>10753</v>
      </c>
      <c r="B8552" s="4">
        <v>14491</v>
      </c>
      <c r="D8552" s="5" t="s">
        <v>11613</v>
      </c>
      <c r="E8552" s="6" t="str">
        <f>HYPERLINK("https://inpn.mnhn.fr/espece/cd_nom/14491","Magdalis duplicata Germar, 1819")</f>
        <v>Magdalis duplicata Germar, 1819</v>
      </c>
      <c r="AH8552" s="4" t="str">
        <f>HYPERLINK("#Statut_biogéographique!A"&amp;_xlfn.XMATCH("P",Statut_biogéographique!A:A,2,1),"P")</f>
        <v>P</v>
      </c>
      <c r="AP8552" s="4" t="s">
        <v>376</v>
      </c>
      <c r="AR8552" s="4" t="s">
        <v>377</v>
      </c>
    </row>
    <row r="8553" spans="1:44" ht="30">
      <c r="A8553" s="4" t="s">
        <v>10753</v>
      </c>
      <c r="B8553" s="4">
        <v>14493</v>
      </c>
      <c r="D8553" s="5" t="s">
        <v>11614</v>
      </c>
      <c r="E8553" s="6" t="str">
        <f>HYPERLINK("https://inpn.mnhn.fr/espece/cd_nom/14493","Magdalis frontalis (Gyllenhal, 1827)")</f>
        <v>Magdalis frontalis (Gyllenhal, 1827)</v>
      </c>
      <c r="AH8553" s="4" t="str">
        <f>HYPERLINK("#Statut_biogéographique!A"&amp;_xlfn.XMATCH("P",Statut_biogéographique!A:A,2,1),"P")</f>
        <v>P</v>
      </c>
      <c r="AP8553" s="4" t="s">
        <v>376</v>
      </c>
      <c r="AR8553" s="4" t="s">
        <v>377</v>
      </c>
    </row>
    <row r="8554" spans="1:44" ht="30">
      <c r="A8554" s="4" t="s">
        <v>10753</v>
      </c>
      <c r="B8554" s="4">
        <v>14497</v>
      </c>
      <c r="D8554" s="5" t="s">
        <v>11615</v>
      </c>
      <c r="E8554" s="6" t="str">
        <f>HYPERLINK("https://inpn.mnhn.fr/espece/cd_nom/14497","Magdalis armigera (Geoffroy in Fourcroy, 1785)")</f>
        <v>Magdalis armigera (Geoffroy in Fourcroy, 1785)</v>
      </c>
      <c r="F8554" s="5" t="s">
        <v>11616</v>
      </c>
      <c r="AH8554" s="4" t="str">
        <f>HYPERLINK("#Statut_biogéographique!A"&amp;_xlfn.XMATCH("P",Statut_biogéographique!A:A,2,1),"P")</f>
        <v>P</v>
      </c>
      <c r="AP8554" s="4" t="s">
        <v>376</v>
      </c>
      <c r="AR8554" s="4" t="s">
        <v>377</v>
      </c>
    </row>
    <row r="8555" spans="1:44" ht="30">
      <c r="A8555" s="4" t="s">
        <v>10753</v>
      </c>
      <c r="B8555" s="4">
        <v>14501</v>
      </c>
      <c r="D8555" s="5" t="s">
        <v>11617</v>
      </c>
      <c r="E8555" s="6" t="str">
        <f>HYPERLINK("https://inpn.mnhn.fr/espece/cd_nom/14501","Magdalis carbonaria (Linnaeus, 1758)")</f>
        <v>Magdalis carbonaria (Linnaeus, 1758)</v>
      </c>
      <c r="AH8555" s="4" t="str">
        <f>HYPERLINK("#Statut_biogéographique!A"&amp;_xlfn.XMATCH("P",Statut_biogéographique!A:A,2,1),"P")</f>
        <v>P</v>
      </c>
      <c r="AP8555" s="4" t="s">
        <v>376</v>
      </c>
      <c r="AR8555" s="4" t="s">
        <v>377</v>
      </c>
    </row>
    <row r="8556" spans="1:44" ht="30">
      <c r="A8556" s="4" t="s">
        <v>10753</v>
      </c>
      <c r="B8556" s="4">
        <v>14508</v>
      </c>
      <c r="D8556" s="5" t="s">
        <v>11618</v>
      </c>
      <c r="E8556" s="6" t="str">
        <f>HYPERLINK("https://inpn.mnhn.fr/espece/cd_nom/14508","Magdalis cerasi (Linnaeus, 1758)")</f>
        <v>Magdalis cerasi (Linnaeus, 1758)</v>
      </c>
      <c r="AH8556" s="4" t="str">
        <f>HYPERLINK("#Statut_biogéographique!A"&amp;_xlfn.XMATCH("P",Statut_biogéographique!A:A,2,1),"P")</f>
        <v>P</v>
      </c>
      <c r="AP8556" s="4" t="s">
        <v>376</v>
      </c>
      <c r="AR8556" s="4" t="s">
        <v>377</v>
      </c>
    </row>
    <row r="8557" spans="1:44">
      <c r="A8557" s="4" t="s">
        <v>10753</v>
      </c>
      <c r="B8557" s="4">
        <v>1451</v>
      </c>
      <c r="D8557" s="5" t="s">
        <v>11619</v>
      </c>
      <c r="E8557" s="6" t="str">
        <f>HYPERLINK("https://inpn.mnhn.fr/espece/cd_nom/1451","Frontinellina frutetorum (C.L. Koch, 1834)")</f>
        <v>Frontinellina frutetorum (C.L. Koch, 1834)</v>
      </c>
      <c r="Q8557" s="7" t="str">
        <f>HYPERLINK("#Liste_rouge!A"&amp;_xlfn.XMATCH("LC",Liste_rouge!A:A,2,1),"LC")</f>
        <v>LC</v>
      </c>
      <c r="AH8557" s="4" t="str">
        <f>HYPERLINK("#Statut_biogéographique!A"&amp;_xlfn.XMATCH("P",Statut_biogéographique!A:A,2,1),"P")</f>
        <v>P</v>
      </c>
      <c r="AP8557" s="4" t="s">
        <v>376</v>
      </c>
      <c r="AR8557" s="4" t="s">
        <v>377</v>
      </c>
    </row>
    <row r="8558" spans="1:44">
      <c r="A8558" s="4" t="s">
        <v>10753</v>
      </c>
      <c r="B8558" s="4">
        <v>14514</v>
      </c>
      <c r="D8558" s="5" t="s">
        <v>11620</v>
      </c>
      <c r="E8558" s="6" t="str">
        <f>HYPERLINK("https://inpn.mnhn.fr/espece/cd_nom/14514","Magdalis barbicornis (Latreille, 1804)")</f>
        <v>Magdalis barbicornis (Latreille, 1804)</v>
      </c>
      <c r="AH8558" s="4" t="str">
        <f>HYPERLINK("#Statut_biogéographique!A"&amp;_xlfn.XMATCH("P",Statut_biogéographique!A:A,2,1),"P")</f>
        <v>P</v>
      </c>
      <c r="AP8558" s="4" t="s">
        <v>376</v>
      </c>
      <c r="AR8558" s="4" t="s">
        <v>377</v>
      </c>
    </row>
    <row r="8559" spans="1:44">
      <c r="A8559" s="4" t="s">
        <v>10753</v>
      </c>
      <c r="B8559" s="4">
        <v>14518</v>
      </c>
      <c r="D8559" s="5" t="s">
        <v>11621</v>
      </c>
      <c r="E8559" s="6" t="str">
        <f>HYPERLINK("https://inpn.mnhn.fr/espece/cd_nom/14518","Magdalis flavicornis (Gyllenhal, 1836)")</f>
        <v>Magdalis flavicornis (Gyllenhal, 1836)</v>
      </c>
      <c r="AH8559" s="4" t="str">
        <f>HYPERLINK("#Statut_biogéographique!A"&amp;_xlfn.XMATCH("P",Statut_biogéographique!A:A,2,1),"P")</f>
        <v>P</v>
      </c>
      <c r="AP8559" s="4" t="s">
        <v>376</v>
      </c>
      <c r="AR8559" s="4" t="s">
        <v>377</v>
      </c>
    </row>
    <row r="8560" spans="1:44" ht="30">
      <c r="A8560" s="4" t="s">
        <v>10753</v>
      </c>
      <c r="B8560" s="4">
        <v>14520</v>
      </c>
      <c r="D8560" s="5" t="s">
        <v>11622</v>
      </c>
      <c r="E8560" s="6" t="str">
        <f>HYPERLINK("https://inpn.mnhn.fr/espece/cd_nom/14520","Magdalis fuscicornis Desbrochers des Loges, 1870")</f>
        <v>Magdalis fuscicornis Desbrochers des Loges, 1870</v>
      </c>
      <c r="AH8560" s="4" t="str">
        <f>HYPERLINK("#Statut_biogéographique!A"&amp;_xlfn.XMATCH("P",Statut_biogéographique!A:A,2,1),"P")</f>
        <v>P</v>
      </c>
      <c r="AP8560" s="4" t="s">
        <v>376</v>
      </c>
      <c r="AR8560" s="4" t="s">
        <v>377</v>
      </c>
    </row>
    <row r="8561" spans="1:44">
      <c r="A8561" s="4" t="s">
        <v>10753</v>
      </c>
      <c r="B8561" s="4">
        <v>14527</v>
      </c>
      <c r="D8561" s="5" t="s">
        <v>11623</v>
      </c>
      <c r="E8561" s="6" t="str">
        <f>HYPERLINK("https://inpn.mnhn.fr/espece/cd_nom/14527","Magdalis ruficornis (Linnaeus, 1758)")</f>
        <v>Magdalis ruficornis (Linnaeus, 1758)</v>
      </c>
      <c r="AH8561" s="4" t="str">
        <f>HYPERLINK("#Statut_biogéographique!A"&amp;_xlfn.XMATCH("P",Statut_biogéographique!A:A,2,1),"P")</f>
        <v>P</v>
      </c>
      <c r="AP8561" s="4" t="s">
        <v>376</v>
      </c>
      <c r="AR8561" s="4" t="s">
        <v>377</v>
      </c>
    </row>
    <row r="8562" spans="1:44" ht="30">
      <c r="A8562" s="4" t="s">
        <v>10753</v>
      </c>
      <c r="B8562" s="4">
        <v>14531</v>
      </c>
      <c r="D8562" s="5" t="s">
        <v>11624</v>
      </c>
      <c r="E8562" s="6" t="str">
        <f>HYPERLINK("https://inpn.mnhn.fr/espece/cd_nom/14531","Anoplus plantaris (Naezen, 1794)")</f>
        <v>Anoplus plantaris (Naezen, 1794)</v>
      </c>
      <c r="AH8562" s="4" t="str">
        <f>HYPERLINK("#Statut_biogéographique!A"&amp;_xlfn.XMATCH("P",Statut_biogéographique!A:A,2,1),"P")</f>
        <v>P</v>
      </c>
      <c r="AP8562" s="4" t="s">
        <v>376</v>
      </c>
      <c r="AR8562" s="4" t="s">
        <v>377</v>
      </c>
    </row>
    <row r="8563" spans="1:44">
      <c r="A8563" s="4" t="s">
        <v>10753</v>
      </c>
      <c r="B8563" s="4">
        <v>14536</v>
      </c>
      <c r="D8563" s="5">
        <v>14536</v>
      </c>
      <c r="E8563" s="6" t="str">
        <f>HYPERLINK("https://inpn.mnhn.fr/espece/cd_nom/14536","Anoplus roboris Suffrian, 1840")</f>
        <v>Anoplus roboris Suffrian, 1840</v>
      </c>
      <c r="AH8563" s="4" t="str">
        <f>HYPERLINK("#Statut_biogéographique!A"&amp;_xlfn.XMATCH("P",Statut_biogéographique!A:A,2,1),"P")</f>
        <v>P</v>
      </c>
      <c r="AP8563" s="4" t="s">
        <v>376</v>
      </c>
      <c r="AR8563" s="4" t="s">
        <v>377</v>
      </c>
    </row>
    <row r="8564" spans="1:44" ht="30">
      <c r="A8564" s="4" t="s">
        <v>10753</v>
      </c>
      <c r="B8564" s="4">
        <v>1455</v>
      </c>
      <c r="D8564" s="5" t="s">
        <v>11625</v>
      </c>
      <c r="E8564" s="6" t="str">
        <f>HYPERLINK("https://inpn.mnhn.fr/espece/cd_nom/1455","Gongylidiellum latebricola (O. Pickard-Cambridge, 1871)")</f>
        <v>Gongylidiellum latebricola (O. Pickard-Cambridge, 1871)</v>
      </c>
      <c r="Q8564" s="7" t="str">
        <f>HYPERLINK("#Liste_rouge!A"&amp;_xlfn.XMATCH("LC",Liste_rouge!A:A,2,1),"LC")</f>
        <v>LC</v>
      </c>
      <c r="AH8564" s="4" t="str">
        <f>HYPERLINK("#Statut_biogéographique!A"&amp;_xlfn.XMATCH("P",Statut_biogéographique!A:A,2,1),"P")</f>
        <v>P</v>
      </c>
      <c r="AP8564" s="4" t="s">
        <v>376</v>
      </c>
      <c r="AR8564" s="4" t="s">
        <v>377</v>
      </c>
    </row>
    <row r="8565" spans="1:44" ht="30">
      <c r="A8565" s="4" t="s">
        <v>10753</v>
      </c>
      <c r="B8565" s="4">
        <v>1457</v>
      </c>
      <c r="D8565" s="5" t="s">
        <v>11626</v>
      </c>
      <c r="E8565" s="6" t="str">
        <f>HYPERLINK("https://inpn.mnhn.fr/espece/cd_nom/1457","Gongylidiellum vivum (O. Pickard-Cambridge, 1875)")</f>
        <v>Gongylidiellum vivum (O. Pickard-Cambridge, 1875)</v>
      </c>
      <c r="Q8565" s="7" t="str">
        <f>HYPERLINK("#Liste_rouge!A"&amp;_xlfn.XMATCH("LC",Liste_rouge!A:A,2,1),"LC")</f>
        <v>LC</v>
      </c>
      <c r="AH8565" s="4" t="str">
        <f>HYPERLINK("#Statut_biogéographique!A"&amp;_xlfn.XMATCH("P",Statut_biogéographique!A:A,2,1),"P")</f>
        <v>P</v>
      </c>
      <c r="AP8565" s="4" t="s">
        <v>376</v>
      </c>
      <c r="AR8565" s="4" t="s">
        <v>377</v>
      </c>
    </row>
    <row r="8566" spans="1:44">
      <c r="A8566" s="4" t="s">
        <v>10753</v>
      </c>
      <c r="B8566" s="4">
        <v>14570</v>
      </c>
      <c r="D8566" s="5" t="s">
        <v>11627</v>
      </c>
      <c r="E8566" s="6" t="str">
        <f>HYPERLINK("https://inpn.mnhn.fr/espece/cd_nom/14570","Bagous frit (Herbst, 1795)")</f>
        <v>Bagous frit (Herbst, 1795)</v>
      </c>
      <c r="AH8566" s="4" t="str">
        <f>HYPERLINK("#Statut_biogéographique!A"&amp;_xlfn.XMATCH("P",Statut_biogéographique!A:A,2,1),"P")</f>
        <v>P</v>
      </c>
      <c r="AP8566" s="4" t="s">
        <v>376</v>
      </c>
      <c r="AR8566" s="4" t="s">
        <v>377</v>
      </c>
    </row>
    <row r="8567" spans="1:44">
      <c r="A8567" s="4" t="s">
        <v>10753</v>
      </c>
      <c r="B8567" s="4">
        <v>14581</v>
      </c>
      <c r="D8567" s="5" t="s">
        <v>11628</v>
      </c>
      <c r="E8567" s="6" t="str">
        <f>HYPERLINK("https://inpn.mnhn.fr/espece/cd_nom/14581","Bagous tempestivus (Herbst, 1795)")</f>
        <v>Bagous tempestivus (Herbst, 1795)</v>
      </c>
      <c r="AH8567" s="4" t="str">
        <f>HYPERLINK("#Statut_biogéographique!A"&amp;_xlfn.XMATCH("P",Statut_biogéographique!A:A,2,1),"P")</f>
        <v>P</v>
      </c>
      <c r="AP8567" s="4" t="s">
        <v>376</v>
      </c>
      <c r="AR8567" s="4" t="s">
        <v>377</v>
      </c>
    </row>
    <row r="8568" spans="1:44">
      <c r="A8568" s="4" t="s">
        <v>10753</v>
      </c>
      <c r="B8568" s="4">
        <v>1463</v>
      </c>
      <c r="D8568" s="5" t="s">
        <v>11629</v>
      </c>
      <c r="E8568" s="6" t="str">
        <f>HYPERLINK("https://inpn.mnhn.fr/espece/cd_nom/1463","Neriene clathrata (Sundevall, 1830)")</f>
        <v>Neriene clathrata (Sundevall, 1830)</v>
      </c>
      <c r="Q8568" s="7" t="str">
        <f>HYPERLINK("#Liste_rouge!A"&amp;_xlfn.XMATCH("LC",Liste_rouge!A:A,2,1),"LC")</f>
        <v>LC</v>
      </c>
      <c r="AH8568" s="4" t="str">
        <f>HYPERLINK("#Statut_biogéographique!A"&amp;_xlfn.XMATCH("P",Statut_biogéographique!A:A,2,1),"P")</f>
        <v>P</v>
      </c>
      <c r="AP8568" s="4" t="s">
        <v>376</v>
      </c>
      <c r="AR8568" s="4" t="s">
        <v>377</v>
      </c>
    </row>
    <row r="8569" spans="1:44">
      <c r="A8569" s="4" t="s">
        <v>10753</v>
      </c>
      <c r="B8569" s="4">
        <v>1465</v>
      </c>
      <c r="D8569" s="5" t="s">
        <v>11630</v>
      </c>
      <c r="E8569" s="6" t="str">
        <f>HYPERLINK("https://inpn.mnhn.fr/espece/cd_nom/1465","Neriene furtiva (O. Pickard-Cambridge, 1871)")</f>
        <v>Neriene furtiva (O. Pickard-Cambridge, 1871)</v>
      </c>
      <c r="Q8569" s="7" t="str">
        <f>HYPERLINK("#Liste_rouge!A"&amp;_xlfn.XMATCH("LC",Liste_rouge!A:A,2,1),"LC")</f>
        <v>LC</v>
      </c>
      <c r="AH8569" s="4" t="str">
        <f>HYPERLINK("#Statut_biogéographique!A"&amp;_xlfn.XMATCH("P",Statut_biogéographique!A:A,2,1),"P")</f>
        <v>P</v>
      </c>
      <c r="AP8569" s="4" t="s">
        <v>376</v>
      </c>
      <c r="AR8569" s="4" t="s">
        <v>377</v>
      </c>
    </row>
    <row r="8570" spans="1:44">
      <c r="A8570" s="4" t="s">
        <v>10753</v>
      </c>
      <c r="B8570" s="4">
        <v>14651</v>
      </c>
      <c r="D8570" s="5" t="s">
        <v>11631</v>
      </c>
      <c r="E8570" s="6" t="str">
        <f>HYPERLINK("https://inpn.mnhn.fr/espece/cd_nom/14651","Pentarthrum huttoni Wollaston, 1854")</f>
        <v>Pentarthrum huttoni Wollaston, 1854</v>
      </c>
      <c r="AH8570" s="4" t="str">
        <f>HYPERLINK("#Statut_biogéographique!A"&amp;_xlfn.XMATCH("I",Statut_biogéographique!A:A,2,1),"I")</f>
        <v>I</v>
      </c>
      <c r="AP8570" s="4" t="s">
        <v>376</v>
      </c>
      <c r="AR8570" s="4" t="s">
        <v>377</v>
      </c>
    </row>
    <row r="8571" spans="1:44">
      <c r="A8571" s="4" t="s">
        <v>10753</v>
      </c>
      <c r="B8571" s="4">
        <v>1466</v>
      </c>
      <c r="D8571" s="5" t="s">
        <v>11632</v>
      </c>
      <c r="E8571" s="6" t="str">
        <f>HYPERLINK("https://inpn.mnhn.fr/espece/cd_nom/1466","Neriene montana (Clerck, 1758)")</f>
        <v>Neriene montana (Clerck, 1758)</v>
      </c>
      <c r="Q8571" s="7" t="str">
        <f>HYPERLINK("#Liste_rouge!A"&amp;_xlfn.XMATCH("LC",Liste_rouge!A:A,2,1),"LC")</f>
        <v>LC</v>
      </c>
      <c r="AH8571" s="4" t="str">
        <f>HYPERLINK("#Statut_biogéographique!A"&amp;_xlfn.XMATCH("P",Statut_biogéographique!A:A,2,1),"P")</f>
        <v>P</v>
      </c>
      <c r="AP8571" s="4" t="s">
        <v>376</v>
      </c>
      <c r="AR8571" s="4" t="s">
        <v>377</v>
      </c>
    </row>
    <row r="8572" spans="1:44">
      <c r="A8572" s="4" t="s">
        <v>10753</v>
      </c>
      <c r="B8572" s="4">
        <v>14663</v>
      </c>
      <c r="D8572" s="5" t="s">
        <v>11633</v>
      </c>
      <c r="E8572" s="6" t="str">
        <f>HYPERLINK("https://inpn.mnhn.fr/espece/cd_nom/14663","Cossonus cylindricus C.R. Sahlberg, 1835")</f>
        <v>Cossonus cylindricus C.R. Sahlberg, 1835</v>
      </c>
      <c r="AH8572" s="4" t="str">
        <f>HYPERLINK("#Statut_biogéographique!A"&amp;_xlfn.XMATCH("P",Statut_biogéographique!A:A,2,1),"P")</f>
        <v>P</v>
      </c>
      <c r="AP8572" s="4" t="s">
        <v>376</v>
      </c>
      <c r="AR8572" s="4" t="s">
        <v>377</v>
      </c>
    </row>
    <row r="8573" spans="1:44">
      <c r="A8573" s="4" t="s">
        <v>10753</v>
      </c>
      <c r="B8573" s="4">
        <v>1467</v>
      </c>
      <c r="D8573" s="5" t="s">
        <v>11634</v>
      </c>
      <c r="E8573" s="6" t="str">
        <f>HYPERLINK("https://inpn.mnhn.fr/espece/cd_nom/1467","Neriene peltata (Wider, 1834)")</f>
        <v>Neriene peltata (Wider, 1834)</v>
      </c>
      <c r="Q8573" s="7" t="str">
        <f>HYPERLINK("#Liste_rouge!A"&amp;_xlfn.XMATCH("LC",Liste_rouge!A:A,2,1),"LC")</f>
        <v>LC</v>
      </c>
      <c r="AH8573" s="4" t="str">
        <f>HYPERLINK("#Statut_biogéographique!A"&amp;_xlfn.XMATCH("P",Statut_biogéographique!A:A,2,1),"P")</f>
        <v>P</v>
      </c>
      <c r="AP8573" s="4" t="s">
        <v>376</v>
      </c>
      <c r="AR8573" s="4" t="s">
        <v>377</v>
      </c>
    </row>
    <row r="8574" spans="1:44">
      <c r="A8574" s="4" t="s">
        <v>10753</v>
      </c>
      <c r="B8574" s="4">
        <v>1468</v>
      </c>
      <c r="D8574" s="5" t="s">
        <v>11635</v>
      </c>
      <c r="E8574" s="6" t="str">
        <f>HYPERLINK("https://inpn.mnhn.fr/espece/cd_nom/1468","Neriene radiata (Walckenaer, 1841)")</f>
        <v>Neriene radiata (Walckenaer, 1841)</v>
      </c>
      <c r="Q8574" s="7" t="str">
        <f>HYPERLINK("#Liste_rouge!A"&amp;_xlfn.XMATCH("LC",Liste_rouge!A:A,2,1),"LC")</f>
        <v>LC</v>
      </c>
      <c r="AH8574" s="4" t="str">
        <f>HYPERLINK("#Statut_biogéographique!A"&amp;_xlfn.XMATCH("P",Statut_biogéographique!A:A,2,1),"P")</f>
        <v>P</v>
      </c>
      <c r="AP8574" s="4" t="s">
        <v>376</v>
      </c>
      <c r="AR8574" s="4" t="s">
        <v>377</v>
      </c>
    </row>
    <row r="8575" spans="1:44" ht="30">
      <c r="A8575" s="4" t="s">
        <v>10753</v>
      </c>
      <c r="B8575" s="4">
        <v>14714</v>
      </c>
      <c r="D8575" s="5" t="s">
        <v>11636</v>
      </c>
      <c r="E8575" s="6" t="str">
        <f>HYPERLINK("https://inpn.mnhn.fr/espece/cd_nom/14714","Brachytemnus porcatus (Germar, 1823)")</f>
        <v>Brachytemnus porcatus (Germar, 1823)</v>
      </c>
      <c r="AH8575" s="4" t="str">
        <f>HYPERLINK("#Statut_biogéographique!A"&amp;_xlfn.XMATCH("P",Statut_biogéographique!A:A,2,1),"P")</f>
        <v>P</v>
      </c>
      <c r="AP8575" s="4" t="s">
        <v>376</v>
      </c>
      <c r="AR8575" s="4" t="s">
        <v>377</v>
      </c>
    </row>
    <row r="8576" spans="1:44">
      <c r="A8576" s="4" t="s">
        <v>10753</v>
      </c>
      <c r="B8576" s="4">
        <v>1472</v>
      </c>
      <c r="D8576" s="5" t="s">
        <v>11637</v>
      </c>
      <c r="E8576" s="6" t="str">
        <f>HYPERLINK("https://inpn.mnhn.fr/espece/cd_nom/1472","Oedothorax fuscus (Blackwall, 1834)")</f>
        <v>Oedothorax fuscus (Blackwall, 1834)</v>
      </c>
      <c r="Q8576" s="7" t="str">
        <f>HYPERLINK("#Liste_rouge!A"&amp;_xlfn.XMATCH("LC",Liste_rouge!A:A,2,1),"LC")</f>
        <v>LC</v>
      </c>
      <c r="AH8576" s="4" t="str">
        <f>HYPERLINK("#Statut_biogéographique!A"&amp;_xlfn.XMATCH("P",Statut_biogéographique!A:A,2,1),"P")</f>
        <v>P</v>
      </c>
      <c r="AP8576" s="4" t="s">
        <v>376</v>
      </c>
      <c r="AR8576" s="4" t="s">
        <v>377</v>
      </c>
    </row>
    <row r="8577" spans="1:44">
      <c r="A8577" s="4" t="s">
        <v>10753</v>
      </c>
      <c r="B8577" s="4">
        <v>1473</v>
      </c>
      <c r="D8577" s="5" t="s">
        <v>11638</v>
      </c>
      <c r="E8577" s="6" t="str">
        <f>HYPERLINK("https://inpn.mnhn.fr/espece/cd_nom/1473","Oedothorax gibbosus (Blackwall, 1841)")</f>
        <v>Oedothorax gibbosus (Blackwall, 1841)</v>
      </c>
      <c r="Q8577" s="7" t="str">
        <f>HYPERLINK("#Liste_rouge!A"&amp;_xlfn.XMATCH("LC",Liste_rouge!A:A,2,1),"LC")</f>
        <v>LC</v>
      </c>
      <c r="AH8577" s="4" t="str">
        <f>HYPERLINK("#Statut_biogéographique!A"&amp;_xlfn.XMATCH("P",Statut_biogéographique!A:A,2,1),"P")</f>
        <v>P</v>
      </c>
      <c r="AP8577" s="4" t="s">
        <v>376</v>
      </c>
      <c r="AR8577" s="4" t="s">
        <v>377</v>
      </c>
    </row>
    <row r="8578" spans="1:44" ht="30">
      <c r="A8578" s="4" t="s">
        <v>10753</v>
      </c>
      <c r="B8578" s="4">
        <v>14736</v>
      </c>
      <c r="D8578" s="5" t="s">
        <v>11639</v>
      </c>
      <c r="E8578" s="6" t="str">
        <f>HYPERLINK("https://inpn.mnhn.fr/espece/cd_nom/14736","Stereocorynes truncorum (Germar, 1823)")</f>
        <v>Stereocorynes truncorum (Germar, 1823)</v>
      </c>
      <c r="AH8578" s="4" t="str">
        <f>HYPERLINK("#Statut_biogéographique!A"&amp;_xlfn.XMATCH("P",Statut_biogéographique!A:A,2,1),"P")</f>
        <v>P</v>
      </c>
      <c r="AP8578" s="4" t="s">
        <v>376</v>
      </c>
      <c r="AR8578" s="4" t="s">
        <v>377</v>
      </c>
    </row>
    <row r="8579" spans="1:44" ht="30">
      <c r="A8579" s="4" t="s">
        <v>10753</v>
      </c>
      <c r="B8579" s="4">
        <v>1478</v>
      </c>
      <c r="D8579" s="5" t="s">
        <v>11640</v>
      </c>
      <c r="E8579" s="6" t="str">
        <f>HYPERLINK("https://inpn.mnhn.fr/espece/cd_nom/1478","Ostearius melanopygius (O. Pickard-Cambridge, 1880)")</f>
        <v>Ostearius melanopygius (O. Pickard-Cambridge, 1880)</v>
      </c>
      <c r="F8579" s="5" t="s">
        <v>11641</v>
      </c>
      <c r="Q8579" s="7" t="str">
        <f>HYPERLINK("#Liste_rouge!A"&amp;_xlfn.XMATCH("NA",Liste_rouge!A:A,2,1),"NA")</f>
        <v>NA</v>
      </c>
      <c r="AH8579" s="4" t="str">
        <f>HYPERLINK("#Statut_biogéographique!A"&amp;_xlfn.XMATCH("I",Statut_biogéographique!A:A,2,1),"I")</f>
        <v>I</v>
      </c>
      <c r="AP8579" s="4" t="s">
        <v>376</v>
      </c>
      <c r="AR8579" s="4" t="s">
        <v>377</v>
      </c>
    </row>
    <row r="8580" spans="1:44" ht="30">
      <c r="A8580" s="4" t="s">
        <v>10753</v>
      </c>
      <c r="B8580" s="4">
        <v>14815</v>
      </c>
      <c r="D8580" s="5" t="s">
        <v>11642</v>
      </c>
      <c r="E8580" s="6" t="str">
        <f>HYPERLINK("https://inpn.mnhn.fr/espece/cd_nom/14815","Mononychus punctumalbum (Herbst, 1784)")</f>
        <v>Mononychus punctumalbum (Herbst, 1784)</v>
      </c>
      <c r="F8580" s="5" t="s">
        <v>11643</v>
      </c>
      <c r="AH8580" s="4" t="str">
        <f>HYPERLINK("#Statut_biogéographique!A"&amp;_xlfn.XMATCH("P",Statut_biogéographique!A:A,2,1),"P")</f>
        <v>P</v>
      </c>
      <c r="AP8580" s="4" t="s">
        <v>376</v>
      </c>
      <c r="AR8580" s="4" t="s">
        <v>377</v>
      </c>
    </row>
    <row r="8581" spans="1:44">
      <c r="A8581" s="4" t="s">
        <v>10753</v>
      </c>
      <c r="B8581" s="4">
        <v>1489</v>
      </c>
      <c r="D8581" s="5" t="s">
        <v>11644</v>
      </c>
      <c r="E8581" s="6" t="str">
        <f>HYPERLINK("https://inpn.mnhn.fr/espece/cd_nom/1489","Stemonyphantes lineatus (Linnaeus, 1758)")</f>
        <v>Stemonyphantes lineatus (Linnaeus, 1758)</v>
      </c>
      <c r="Q8581" s="7" t="str">
        <f>HYPERLINK("#Liste_rouge!A"&amp;_xlfn.XMATCH("LC",Liste_rouge!A:A,2,1),"LC")</f>
        <v>LC</v>
      </c>
      <c r="AH8581" s="4" t="str">
        <f>HYPERLINK("#Statut_biogéographique!A"&amp;_xlfn.XMATCH("P",Statut_biogéographique!A:A,2,1),"P")</f>
        <v>P</v>
      </c>
      <c r="AP8581" s="4" t="s">
        <v>376</v>
      </c>
      <c r="AR8581" s="4" t="s">
        <v>377</v>
      </c>
    </row>
    <row r="8582" spans="1:44" ht="30">
      <c r="A8582" s="4" t="s">
        <v>10753</v>
      </c>
      <c r="B8582" s="4">
        <v>14900</v>
      </c>
      <c r="D8582" s="5" t="s">
        <v>11645</v>
      </c>
      <c r="E8582" s="6" t="str">
        <f>HYPERLINK("https://inpn.mnhn.fr/espece/cd_nom/14900","Rhinoncus castor (Fabricius, 1792)")</f>
        <v>Rhinoncus castor (Fabricius, 1792)</v>
      </c>
      <c r="AH8582" s="4" t="str">
        <f>HYPERLINK("#Statut_biogéographique!A"&amp;_xlfn.XMATCH("P",Statut_biogéographique!A:A,2,1),"P")</f>
        <v>P</v>
      </c>
      <c r="AP8582" s="4" t="s">
        <v>376</v>
      </c>
      <c r="AR8582" s="4" t="s">
        <v>377</v>
      </c>
    </row>
    <row r="8583" spans="1:44" ht="30">
      <c r="A8583" s="4" t="s">
        <v>10753</v>
      </c>
      <c r="B8583" s="4">
        <v>14946</v>
      </c>
      <c r="D8583" s="5" t="s">
        <v>11646</v>
      </c>
      <c r="E8583" s="6" t="str">
        <f>HYPERLINK("https://inpn.mnhn.fr/espece/cd_nom/14946","Tapinotus sellatus (Fabricius, 1794)")</f>
        <v>Tapinotus sellatus (Fabricius, 1794)</v>
      </c>
      <c r="F8583" s="5" t="s">
        <v>11647</v>
      </c>
      <c r="AH8583" s="4" t="str">
        <f>HYPERLINK("#Statut_biogéographique!A"&amp;_xlfn.XMATCH("P",Statut_biogéographique!A:A,2,1),"P")</f>
        <v>P</v>
      </c>
      <c r="AP8583" s="4" t="s">
        <v>376</v>
      </c>
      <c r="AR8583" s="4" t="s">
        <v>377</v>
      </c>
    </row>
    <row r="8584" spans="1:44">
      <c r="A8584" s="4" t="s">
        <v>10753</v>
      </c>
      <c r="B8584" s="4">
        <v>1495</v>
      </c>
      <c r="D8584" s="5" t="s">
        <v>11648</v>
      </c>
      <c r="E8584" s="6" t="str">
        <f>HYPERLINK("https://inpn.mnhn.fr/espece/cd_nom/1495","Tapinopa longidens (Wider, 1834)")</f>
        <v>Tapinopa longidens (Wider, 1834)</v>
      </c>
      <c r="Q8584" s="7" t="str">
        <f>HYPERLINK("#Liste_rouge!A"&amp;_xlfn.XMATCH("LC",Liste_rouge!A:A,2,1),"LC")</f>
        <v>LC</v>
      </c>
      <c r="AH8584" s="4" t="str">
        <f>HYPERLINK("#Statut_biogéographique!A"&amp;_xlfn.XMATCH("P",Statut_biogéographique!A:A,2,1),"P")</f>
        <v>P</v>
      </c>
      <c r="AP8584" s="4" t="s">
        <v>376</v>
      </c>
      <c r="AR8584" s="4" t="s">
        <v>377</v>
      </c>
    </row>
    <row r="8585" spans="1:44" ht="30">
      <c r="A8585" s="4" t="s">
        <v>10753</v>
      </c>
      <c r="B8585" s="4">
        <v>14959</v>
      </c>
      <c r="D8585" s="5" t="s">
        <v>11649</v>
      </c>
      <c r="E8585" s="6" t="str">
        <f>HYPERLINK("https://inpn.mnhn.fr/espece/cd_nom/14959","Amalorrhynchus melanarius (Stephens, 1831)")</f>
        <v>Amalorrhynchus melanarius (Stephens, 1831)</v>
      </c>
      <c r="AH8585" s="4" t="str">
        <f>HYPERLINK("#Statut_biogéographique!A"&amp;_xlfn.XMATCH("P",Statut_biogéographique!A:A,2,1),"P")</f>
        <v>P</v>
      </c>
      <c r="AP8585" s="4" t="s">
        <v>376</v>
      </c>
      <c r="AR8585" s="4" t="s">
        <v>377</v>
      </c>
    </row>
    <row r="8586" spans="1:44">
      <c r="A8586" s="4" t="s">
        <v>10753</v>
      </c>
      <c r="B8586" s="4">
        <v>14966</v>
      </c>
      <c r="D8586" s="5" t="s">
        <v>11650</v>
      </c>
      <c r="E8586" s="6" t="str">
        <f>HYPERLINK("https://inpn.mnhn.fr/espece/cd_nom/14966","Auleutes epilobii (Paykull, 1800)")</f>
        <v>Auleutes epilobii (Paykull, 1800)</v>
      </c>
      <c r="AH8586" s="4" t="str">
        <f>HYPERLINK("#Statut_biogéographique!A"&amp;_xlfn.XMATCH("P",Statut_biogéographique!A:A,2,1),"P")</f>
        <v>P</v>
      </c>
      <c r="AP8586" s="4" t="s">
        <v>376</v>
      </c>
      <c r="AR8586" s="4" t="s">
        <v>377</v>
      </c>
    </row>
    <row r="8587" spans="1:44">
      <c r="A8587" s="4" t="s">
        <v>10753</v>
      </c>
      <c r="B8587" s="4">
        <v>14968</v>
      </c>
      <c r="D8587" s="5" t="s">
        <v>11651</v>
      </c>
      <c r="E8587" s="6" t="str">
        <f>HYPERLINK("https://inpn.mnhn.fr/espece/cd_nom/14968","Micrelus ericae (Gyllenhal, 1813)")</f>
        <v>Micrelus ericae (Gyllenhal, 1813)</v>
      </c>
      <c r="AH8587" s="4" t="str">
        <f>HYPERLINK("#Statut_biogéographique!A"&amp;_xlfn.XMATCH("P",Statut_biogéographique!A:A,2,1),"P")</f>
        <v>P</v>
      </c>
      <c r="AP8587" s="4" t="s">
        <v>376</v>
      </c>
      <c r="AR8587" s="4" t="s">
        <v>377</v>
      </c>
    </row>
    <row r="8588" spans="1:44">
      <c r="A8588" s="4" t="s">
        <v>10753</v>
      </c>
      <c r="B8588" s="4">
        <v>1497</v>
      </c>
      <c r="D8588" s="5" t="s">
        <v>11652</v>
      </c>
      <c r="E8588" s="6" t="str">
        <f>HYPERLINK("https://inpn.mnhn.fr/espece/cd_nom/1497","Minicia marginella (Wider, 1834)")</f>
        <v>Minicia marginella (Wider, 1834)</v>
      </c>
      <c r="Q8588" s="7" t="str">
        <f>HYPERLINK("#Liste_rouge!A"&amp;_xlfn.XMATCH("LC",Liste_rouge!A:A,2,1),"LC")</f>
        <v>LC</v>
      </c>
      <c r="AH8588" s="4" t="str">
        <f>HYPERLINK("#Statut_biogéographique!A"&amp;_xlfn.XMATCH("P",Statut_biogéographique!A:A,2,1),"P")</f>
        <v>P</v>
      </c>
      <c r="AP8588" s="4" t="s">
        <v>376</v>
      </c>
      <c r="AR8588" s="4" t="s">
        <v>377</v>
      </c>
    </row>
    <row r="8589" spans="1:44">
      <c r="A8589" s="4" t="s">
        <v>10753</v>
      </c>
      <c r="B8589" s="4">
        <v>14973</v>
      </c>
      <c r="D8589" s="5" t="s">
        <v>11653</v>
      </c>
      <c r="E8589" s="6" t="str">
        <f>HYPERLINK("https://inpn.mnhn.fr/espece/cd_nom/14973","Zacladus exiguus (Olivier, 1807)")</f>
        <v>Zacladus exiguus (Olivier, 1807)</v>
      </c>
      <c r="AH8589" s="4" t="str">
        <f>HYPERLINK("#Statut_biogéographique!A"&amp;_xlfn.XMATCH("P",Statut_biogéographique!A:A,2,1),"P")</f>
        <v>P</v>
      </c>
      <c r="AP8589" s="4" t="s">
        <v>376</v>
      </c>
      <c r="AR8589" s="4" t="s">
        <v>377</v>
      </c>
    </row>
    <row r="8590" spans="1:44" ht="30">
      <c r="A8590" s="4" t="s">
        <v>10753</v>
      </c>
      <c r="B8590" s="4">
        <v>14974</v>
      </c>
      <c r="D8590" s="5" t="s">
        <v>11654</v>
      </c>
      <c r="E8590" s="6" t="str">
        <f>HYPERLINK("https://inpn.mnhn.fr/espece/cd_nom/14974","Zacladus geranii (Paykull, 1800)")</f>
        <v>Zacladus geranii (Paykull, 1800)</v>
      </c>
      <c r="AH8590" s="4" t="str">
        <f>HYPERLINK("#Statut_biogéographique!A"&amp;_xlfn.XMATCH("P",Statut_biogéographique!A:A,2,1),"P")</f>
        <v>P</v>
      </c>
      <c r="AP8590" s="4" t="s">
        <v>376</v>
      </c>
      <c r="AR8590" s="4" t="s">
        <v>377</v>
      </c>
    </row>
    <row r="8591" spans="1:44" ht="75">
      <c r="A8591" s="4" t="s">
        <v>10753</v>
      </c>
      <c r="B8591" s="4">
        <v>14978</v>
      </c>
      <c r="D8591" s="5" t="s">
        <v>11655</v>
      </c>
      <c r="E8591" s="6" t="str">
        <f>HYPERLINK("https://inpn.mnhn.fr/espece/cd_nom/14978","Nedyus quadrimaculatus (Linnaeus, 1758)")</f>
        <v>Nedyus quadrimaculatus (Linnaeus, 1758)</v>
      </c>
      <c r="F8591" s="5" t="s">
        <v>11656</v>
      </c>
      <c r="AH8591" s="4" t="str">
        <f>HYPERLINK("#Statut_biogéographique!A"&amp;_xlfn.XMATCH("P",Statut_biogéographique!A:A,2,1),"P")</f>
        <v>P</v>
      </c>
      <c r="AP8591" s="4" t="s">
        <v>376</v>
      </c>
      <c r="AR8591" s="4" t="s">
        <v>377</v>
      </c>
    </row>
    <row r="8592" spans="1:44" ht="30">
      <c r="A8592" s="4" t="s">
        <v>10753</v>
      </c>
      <c r="B8592" s="4">
        <v>15031</v>
      </c>
      <c r="D8592" s="5" t="s">
        <v>11657</v>
      </c>
      <c r="E8592" s="6" t="str">
        <f>HYPERLINK("https://inpn.mnhn.fr/espece/cd_nom/15031","Coeliodes ruber (Marsham, 1802)")</f>
        <v>Coeliodes ruber (Marsham, 1802)</v>
      </c>
      <c r="AH8592" s="4" t="str">
        <f>HYPERLINK("#Statut_biogéographique!A"&amp;_xlfn.XMATCH("P",Statut_biogéographique!A:A,2,1),"P")</f>
        <v>P</v>
      </c>
      <c r="AP8592" s="4" t="s">
        <v>376</v>
      </c>
      <c r="AR8592" s="4" t="s">
        <v>377</v>
      </c>
    </row>
    <row r="8593" spans="1:44">
      <c r="A8593" s="4" t="s">
        <v>10753</v>
      </c>
      <c r="B8593" s="4">
        <v>1504</v>
      </c>
      <c r="D8593" s="5" t="s">
        <v>11658</v>
      </c>
      <c r="E8593" s="6" t="str">
        <f>HYPERLINK("https://inpn.mnhn.fr/espece/cd_nom/1504","Pelecopsis parallela (Wider, 1834)")</f>
        <v>Pelecopsis parallela (Wider, 1834)</v>
      </c>
      <c r="Q8593" s="7" t="str">
        <f>HYPERLINK("#Liste_rouge!A"&amp;_xlfn.XMATCH("LC",Liste_rouge!A:A,2,1),"LC")</f>
        <v>LC</v>
      </c>
      <c r="AH8593" s="4" t="str">
        <f>HYPERLINK("#Statut_biogéographique!A"&amp;_xlfn.XMATCH("P",Statut_biogéographique!A:A,2,1),"P")</f>
        <v>P</v>
      </c>
      <c r="AP8593" s="4" t="s">
        <v>376</v>
      </c>
      <c r="AR8593" s="4" t="s">
        <v>377</v>
      </c>
    </row>
    <row r="8594" spans="1:44">
      <c r="A8594" s="4" t="s">
        <v>10753</v>
      </c>
      <c r="B8594" s="4">
        <v>15042</v>
      </c>
      <c r="D8594" s="5" t="s">
        <v>11659</v>
      </c>
      <c r="E8594" s="6" t="str">
        <f>HYPERLINK("https://inpn.mnhn.fr/espece/cd_nom/15042","Coeliodes ilicis (Bedel, 1885)")</f>
        <v>Coeliodes ilicis (Bedel, 1885)</v>
      </c>
      <c r="AH8594" s="4" t="str">
        <f>HYPERLINK("#Statut_biogéographique!A"&amp;_xlfn.XMATCH("P",Statut_biogéographique!A:A,2,1),"P")</f>
        <v>P</v>
      </c>
      <c r="AP8594" s="4" t="s">
        <v>376</v>
      </c>
      <c r="AR8594" s="4" t="s">
        <v>377</v>
      </c>
    </row>
    <row r="8595" spans="1:44" ht="30">
      <c r="A8595" s="4" t="s">
        <v>10753</v>
      </c>
      <c r="B8595" s="4">
        <v>15061</v>
      </c>
      <c r="D8595" s="5" t="s">
        <v>11660</v>
      </c>
      <c r="E8595" s="6" t="str">
        <f>HYPERLINK("https://inpn.mnhn.fr/espece/cd_nom/15061","Trichosirocalus troglodytes (Fabricius, 1787)")</f>
        <v>Trichosirocalus troglodytes (Fabricius, 1787)</v>
      </c>
      <c r="AH8595" s="4" t="str">
        <f>HYPERLINK("#Statut_biogéographique!A"&amp;_xlfn.XMATCH("P",Statut_biogéographique!A:A,2,1),"P")</f>
        <v>P</v>
      </c>
      <c r="AP8595" s="4" t="s">
        <v>376</v>
      </c>
      <c r="AR8595" s="4" t="s">
        <v>377</v>
      </c>
    </row>
    <row r="8596" spans="1:44">
      <c r="A8596" s="4" t="s">
        <v>10753</v>
      </c>
      <c r="B8596" s="4">
        <v>1526</v>
      </c>
      <c r="D8596" s="5">
        <v>1526</v>
      </c>
      <c r="E8596" s="6" t="str">
        <f>HYPERLINK("https://inpn.mnhn.fr/espece/cd_nom/1526","Pachygnatha listeri Sundevall, 1830")</f>
        <v>Pachygnatha listeri Sundevall, 1830</v>
      </c>
      <c r="Q8596" s="7" t="str">
        <f>HYPERLINK("#Liste_rouge!A"&amp;_xlfn.XMATCH("LC",Liste_rouge!A:A,2,1),"LC")</f>
        <v>LC</v>
      </c>
      <c r="AH8596" s="4" t="str">
        <f>HYPERLINK("#Statut_biogéographique!A"&amp;_xlfn.XMATCH("P",Statut_biogéographique!A:A,2,1),"P")</f>
        <v>P</v>
      </c>
      <c r="AP8596" s="4" t="s">
        <v>376</v>
      </c>
      <c r="AR8596" s="4" t="s">
        <v>377</v>
      </c>
    </row>
    <row r="8597" spans="1:44">
      <c r="A8597" s="4" t="s">
        <v>10753</v>
      </c>
      <c r="B8597" s="4">
        <v>1529</v>
      </c>
      <c r="D8597" s="5">
        <v>1529</v>
      </c>
      <c r="E8597" s="6" t="str">
        <f>HYPERLINK("https://inpn.mnhn.fr/espece/cd_nom/1529","Tetragnatha montana Simon, 1874")</f>
        <v>Tetragnatha montana Simon, 1874</v>
      </c>
      <c r="Q8597" s="7" t="str">
        <f>HYPERLINK("#Liste_rouge!A"&amp;_xlfn.XMATCH("LC",Liste_rouge!A:A,2,1),"LC")</f>
        <v>LC</v>
      </c>
      <c r="AH8597" s="4" t="str">
        <f>HYPERLINK("#Statut_biogéographique!A"&amp;_xlfn.XMATCH("P",Statut_biogéographique!A:A,2,1),"P")</f>
        <v>P</v>
      </c>
      <c r="AP8597" s="4" t="s">
        <v>376</v>
      </c>
      <c r="AR8597" s="4" t="s">
        <v>377</v>
      </c>
    </row>
    <row r="8598" spans="1:44">
      <c r="A8598" s="4" t="s">
        <v>10753</v>
      </c>
      <c r="B8598" s="4">
        <v>1530</v>
      </c>
      <c r="D8598" s="5" t="s">
        <v>11661</v>
      </c>
      <c r="E8598" s="6" t="str">
        <f>HYPERLINK("https://inpn.mnhn.fr/espece/cd_nom/1530","Tetragnatha extensa (Linnaeus, 1758)")</f>
        <v>Tetragnatha extensa (Linnaeus, 1758)</v>
      </c>
      <c r="F8598" s="5" t="s">
        <v>11662</v>
      </c>
      <c r="Q8598" s="7" t="str">
        <f>HYPERLINK("#Liste_rouge!A"&amp;_xlfn.XMATCH("LC",Liste_rouge!A:A,2,1),"LC")</f>
        <v>LC</v>
      </c>
      <c r="AH8598" s="4" t="str">
        <f>HYPERLINK("#Statut_biogéographique!A"&amp;_xlfn.XMATCH("P",Statut_biogéographique!A:A,2,1),"P")</f>
        <v>P</v>
      </c>
      <c r="AP8598" s="4" t="s">
        <v>376</v>
      </c>
      <c r="AR8598" s="4" t="s">
        <v>377</v>
      </c>
    </row>
    <row r="8599" spans="1:44">
      <c r="A8599" s="4" t="s">
        <v>10753</v>
      </c>
      <c r="B8599" s="4">
        <v>1532</v>
      </c>
      <c r="D8599" s="5">
        <v>1532</v>
      </c>
      <c r="E8599" s="6" t="str">
        <f>HYPERLINK("https://inpn.mnhn.fr/espece/cd_nom/1532","Tetragnatha obtusa C.L. Koch, 1837")</f>
        <v>Tetragnatha obtusa C.L. Koch, 1837</v>
      </c>
      <c r="Q8599" s="7" t="str">
        <f>HYPERLINK("#Liste_rouge!A"&amp;_xlfn.XMATCH("LC",Liste_rouge!A:A,2,1),"LC")</f>
        <v>LC</v>
      </c>
      <c r="AH8599" s="4" t="str">
        <f>HYPERLINK("#Statut_biogéographique!A"&amp;_xlfn.XMATCH("P",Statut_biogéographique!A:A,2,1),"P")</f>
        <v>P</v>
      </c>
      <c r="AP8599" s="4" t="s">
        <v>376</v>
      </c>
      <c r="AR8599" s="4" t="s">
        <v>377</v>
      </c>
    </row>
    <row r="8600" spans="1:44">
      <c r="A8600" s="4" t="s">
        <v>10753</v>
      </c>
      <c r="B8600" s="4">
        <v>1537</v>
      </c>
      <c r="D8600" s="5" t="s">
        <v>11663</v>
      </c>
      <c r="E8600" s="6" t="str">
        <f>HYPERLINK("https://inpn.mnhn.fr/espece/cd_nom/1537","Nesticus cellulanus (Clerck, 1758)")</f>
        <v>Nesticus cellulanus (Clerck, 1758)</v>
      </c>
      <c r="F8600" s="5" t="s">
        <v>11664</v>
      </c>
      <c r="Q8600" s="7" t="str">
        <f>HYPERLINK("#Liste_rouge!A"&amp;_xlfn.XMATCH("LC",Liste_rouge!A:A,2,1),"LC")</f>
        <v>LC</v>
      </c>
      <c r="AH8600" s="4" t="str">
        <f>HYPERLINK("#Statut_biogéographique!A"&amp;_xlfn.XMATCH("P",Statut_biogéographique!A:A,2,1),"P")</f>
        <v>P</v>
      </c>
      <c r="AP8600" s="4" t="s">
        <v>376</v>
      </c>
      <c r="AR8600" s="4" t="s">
        <v>377</v>
      </c>
    </row>
    <row r="8601" spans="1:44">
      <c r="A8601" s="4" t="s">
        <v>10753</v>
      </c>
      <c r="B8601" s="4">
        <v>15380</v>
      </c>
      <c r="D8601" s="5">
        <v>15380</v>
      </c>
      <c r="E8601" s="6" t="str">
        <f>HYPERLINK("https://inpn.mnhn.fr/espece/cd_nom/15380","Ceutorhynchus napi Gyllenhal, 1837")</f>
        <v>Ceutorhynchus napi Gyllenhal, 1837</v>
      </c>
      <c r="F8601" s="5" t="s">
        <v>11665</v>
      </c>
      <c r="AH8601" s="4" t="str">
        <f>HYPERLINK("#Statut_biogéographique!A"&amp;_xlfn.XMATCH("P",Statut_biogéographique!A:A,2,1),"P")</f>
        <v>P</v>
      </c>
      <c r="AP8601" s="4" t="s">
        <v>376</v>
      </c>
      <c r="AR8601" s="4" t="s">
        <v>377</v>
      </c>
    </row>
    <row r="8602" spans="1:44">
      <c r="A8602" s="4" t="s">
        <v>10753</v>
      </c>
      <c r="B8602" s="4">
        <v>15383</v>
      </c>
      <c r="D8602" s="5" t="s">
        <v>11666</v>
      </c>
      <c r="E8602" s="6" t="str">
        <f>HYPERLINK("https://inpn.mnhn.fr/espece/cd_nom/15383","Ceutorhynchus rapae Gyllenhal, 1837")</f>
        <v>Ceutorhynchus rapae Gyllenhal, 1837</v>
      </c>
      <c r="AH8602" s="4" t="str">
        <f>HYPERLINK("#Statut_biogéographique!A"&amp;_xlfn.XMATCH("P",Statut_biogéographique!A:A,2,1),"P")</f>
        <v>P</v>
      </c>
      <c r="AP8602" s="4" t="s">
        <v>376</v>
      </c>
      <c r="AR8602" s="4" t="s">
        <v>377</v>
      </c>
    </row>
    <row r="8603" spans="1:44">
      <c r="A8603" s="4" t="s">
        <v>10753</v>
      </c>
      <c r="B8603" s="4">
        <v>15387</v>
      </c>
      <c r="D8603" s="5" t="s">
        <v>11667</v>
      </c>
      <c r="E8603" s="6" t="str">
        <f>HYPERLINK("https://inpn.mnhn.fr/espece/cd_nom/15387","Ceutorhynchus assimilis (Paykull, 1792)")</f>
        <v>Ceutorhynchus assimilis (Paykull, 1792)</v>
      </c>
      <c r="F8603" s="5" t="s">
        <v>11668</v>
      </c>
      <c r="AH8603" s="4" t="str">
        <f>HYPERLINK("#Statut_biogéographique!A"&amp;_xlfn.XMATCH("P",Statut_biogéographique!A:A,2,1),"P")</f>
        <v>P</v>
      </c>
      <c r="AP8603" s="4" t="s">
        <v>376</v>
      </c>
      <c r="AR8603" s="4" t="s">
        <v>377</v>
      </c>
    </row>
    <row r="8604" spans="1:44">
      <c r="A8604" s="4" t="s">
        <v>10753</v>
      </c>
      <c r="B8604" s="4">
        <v>15410</v>
      </c>
      <c r="D8604" s="5" t="s">
        <v>11669</v>
      </c>
      <c r="E8604" s="6" t="str">
        <f>HYPERLINK("https://inpn.mnhn.fr/espece/cd_nom/15410","Ceutorhynchus constrictus (Marsham, 1802)")</f>
        <v>Ceutorhynchus constrictus (Marsham, 1802)</v>
      </c>
      <c r="AH8604" s="4" t="str">
        <f>HYPERLINK("#Statut_biogéographique!A"&amp;_xlfn.XMATCH("P",Statut_biogéographique!A:A,2,1),"P")</f>
        <v>P</v>
      </c>
      <c r="AP8604" s="4" t="s">
        <v>376</v>
      </c>
      <c r="AR8604" s="4" t="s">
        <v>377</v>
      </c>
    </row>
    <row r="8605" spans="1:44" ht="30">
      <c r="A8605" s="4" t="s">
        <v>10753</v>
      </c>
      <c r="B8605" s="4">
        <v>15417</v>
      </c>
      <c r="D8605" s="5" t="s">
        <v>11670</v>
      </c>
      <c r="E8605" s="6" t="str">
        <f>HYPERLINK("https://inpn.mnhn.fr/espece/cd_nom/15417","Ceutorhynchus unguicularis C.G. Thomson, 1871")</f>
        <v>Ceutorhynchus unguicularis C.G. Thomson, 1871</v>
      </c>
      <c r="AH8605" s="4" t="str">
        <f>HYPERLINK("#Statut_biogéographique!A"&amp;_xlfn.XMATCH("P",Statut_biogéographique!A:A,2,1),"P")</f>
        <v>P</v>
      </c>
      <c r="AP8605" s="4" t="s">
        <v>376</v>
      </c>
      <c r="AR8605" s="4" t="s">
        <v>377</v>
      </c>
    </row>
    <row r="8606" spans="1:44">
      <c r="A8606" s="4" t="s">
        <v>10753</v>
      </c>
      <c r="B8606" s="4">
        <v>1546</v>
      </c>
      <c r="D8606" s="5" t="s">
        <v>11671</v>
      </c>
      <c r="E8606" s="6" t="str">
        <f>HYPERLINK("https://inpn.mnhn.fr/espece/cd_nom/1546","Meta menardi (Latreille, 1804)")</f>
        <v>Meta menardi (Latreille, 1804)</v>
      </c>
      <c r="Q8606" s="7" t="str">
        <f>HYPERLINK("#Liste_rouge!A"&amp;_xlfn.XMATCH("LC",Liste_rouge!A:A,2,1),"LC")</f>
        <v>LC</v>
      </c>
      <c r="AH8606" s="4" t="str">
        <f>HYPERLINK("#Statut_biogéographique!A"&amp;_xlfn.XMATCH("P",Statut_biogéographique!A:A,2,1),"P")</f>
        <v>P</v>
      </c>
      <c r="AP8606" s="4" t="s">
        <v>376</v>
      </c>
      <c r="AR8606" s="4" t="s">
        <v>377</v>
      </c>
    </row>
    <row r="8607" spans="1:44">
      <c r="A8607" s="4" t="s">
        <v>10753</v>
      </c>
      <c r="B8607" s="4">
        <v>15461</v>
      </c>
      <c r="D8607" s="5" t="s">
        <v>11672</v>
      </c>
      <c r="E8607" s="6" t="str">
        <f>HYPERLINK("https://inpn.mnhn.fr/espece/cd_nom/15461","Ceutorhynchus carinatus Gyllenhal, 1837")</f>
        <v>Ceutorhynchus carinatus Gyllenhal, 1837</v>
      </c>
      <c r="AH8607" s="4" t="str">
        <f>HYPERLINK("#Statut_biogéographique!A"&amp;_xlfn.XMATCH("P",Statut_biogéographique!A:A,2,1),"P")</f>
        <v>P</v>
      </c>
      <c r="AP8607" s="4" t="s">
        <v>376</v>
      </c>
      <c r="AR8607" s="4" t="s">
        <v>377</v>
      </c>
    </row>
    <row r="8608" spans="1:44" ht="30">
      <c r="A8608" s="4" t="s">
        <v>10753</v>
      </c>
      <c r="B8608" s="4">
        <v>15470</v>
      </c>
      <c r="D8608" s="5" t="s">
        <v>11673</v>
      </c>
      <c r="E8608" s="6" t="str">
        <f>HYPERLINK("https://inpn.mnhn.fr/espece/cd_nom/15470","Ceutorhynchus pallidactylus (Marsham, 1802)")</f>
        <v>Ceutorhynchus pallidactylus (Marsham, 1802)</v>
      </c>
      <c r="F8608" s="5" t="s">
        <v>11674</v>
      </c>
      <c r="AH8608" s="4" t="str">
        <f>HYPERLINK("#Statut_biogéographique!A"&amp;_xlfn.XMATCH("P",Statut_biogéographique!A:A,2,1),"P")</f>
        <v>P</v>
      </c>
      <c r="AP8608" s="4" t="s">
        <v>376</v>
      </c>
      <c r="AR8608" s="4" t="s">
        <v>377</v>
      </c>
    </row>
    <row r="8609" spans="1:44">
      <c r="A8609" s="4" t="s">
        <v>10753</v>
      </c>
      <c r="B8609" s="4">
        <v>15479</v>
      </c>
      <c r="D8609" s="5" t="s">
        <v>11675</v>
      </c>
      <c r="E8609" s="6" t="str">
        <f>HYPERLINK("https://inpn.mnhn.fr/espece/cd_nom/15479","Ceutorhynchus picitarsis Gyllenhal, 1837")</f>
        <v>Ceutorhynchus picitarsis Gyllenhal, 1837</v>
      </c>
      <c r="F8609" s="5" t="s">
        <v>11676</v>
      </c>
      <c r="AH8609" s="4" t="str">
        <f>HYPERLINK("#Statut_biogéographique!A"&amp;_xlfn.XMATCH("P",Statut_biogéographique!A:A,2,1),"P")</f>
        <v>P</v>
      </c>
      <c r="AP8609" s="4" t="s">
        <v>376</v>
      </c>
      <c r="AR8609" s="4" t="s">
        <v>377</v>
      </c>
    </row>
    <row r="8610" spans="1:44">
      <c r="A8610" s="4" t="s">
        <v>10753</v>
      </c>
      <c r="B8610" s="4">
        <v>15495</v>
      </c>
      <c r="D8610" s="5" t="s">
        <v>11677</v>
      </c>
      <c r="E8610" s="6" t="str">
        <f>HYPERLINK("https://inpn.mnhn.fr/espece/cd_nom/15495","Ceutorhynchus pervicax Weise, 1883")</f>
        <v>Ceutorhynchus pervicax Weise, 1883</v>
      </c>
      <c r="AH8610" s="4" t="str">
        <f>HYPERLINK("#Statut_biogéographique!A"&amp;_xlfn.XMATCH("P",Statut_biogéographique!A:A,2,1),"P")</f>
        <v>P</v>
      </c>
      <c r="AP8610" s="4" t="s">
        <v>376</v>
      </c>
      <c r="AR8610" s="4" t="s">
        <v>377</v>
      </c>
    </row>
    <row r="8611" spans="1:44">
      <c r="A8611" s="4" t="s">
        <v>10753</v>
      </c>
      <c r="B8611" s="4">
        <v>1550</v>
      </c>
      <c r="D8611" s="5" t="s">
        <v>11678</v>
      </c>
      <c r="E8611" s="6" t="str">
        <f>HYPERLINK("https://inpn.mnhn.fr/espece/cd_nom/1550","Argiope bruennichi (Scopoli, 1772)")</f>
        <v>Argiope bruennichi (Scopoli, 1772)</v>
      </c>
      <c r="F8611" s="5" t="s">
        <v>11679</v>
      </c>
      <c r="Q8611" s="7" t="str">
        <f>HYPERLINK("#Liste_rouge!A"&amp;_xlfn.XMATCH("LC",Liste_rouge!A:A,2,1),"LC")</f>
        <v>LC</v>
      </c>
      <c r="AH8611" s="4" t="str">
        <f>HYPERLINK("#Statut_biogéographique!A"&amp;_xlfn.XMATCH("P",Statut_biogéographique!A:A,2,1),"P")</f>
        <v>P</v>
      </c>
      <c r="AP8611" s="4" t="s">
        <v>376</v>
      </c>
      <c r="AR8611" s="4" t="s">
        <v>377</v>
      </c>
    </row>
    <row r="8612" spans="1:44" ht="30">
      <c r="A8612" s="4" t="s">
        <v>10753</v>
      </c>
      <c r="B8612" s="4">
        <v>15502</v>
      </c>
      <c r="D8612" s="5" t="s">
        <v>11680</v>
      </c>
      <c r="E8612" s="6" t="str">
        <f>HYPERLINK("https://inpn.mnhn.fr/espece/cd_nom/15502","Ceutorhynchus erysimi (Fabricius, 1787)")</f>
        <v>Ceutorhynchus erysimi (Fabricius, 1787)</v>
      </c>
      <c r="AH8612" s="4" t="str">
        <f>HYPERLINK("#Statut_biogéographique!A"&amp;_xlfn.XMATCH("P",Statut_biogéographique!A:A,2,1),"P")</f>
        <v>P</v>
      </c>
      <c r="AP8612" s="4" t="s">
        <v>376</v>
      </c>
      <c r="AR8612" s="4" t="s">
        <v>377</v>
      </c>
    </row>
    <row r="8613" spans="1:44" ht="30">
      <c r="A8613" s="4" t="s">
        <v>10753</v>
      </c>
      <c r="B8613" s="4">
        <v>15504</v>
      </c>
      <c r="D8613" s="5" t="s">
        <v>11681</v>
      </c>
      <c r="E8613" s="6" t="str">
        <f>HYPERLINK("https://inpn.mnhn.fr/espece/cd_nom/15504","Ceutorhynchus contractus (Marsham, 1802)")</f>
        <v>Ceutorhynchus contractus (Marsham, 1802)</v>
      </c>
      <c r="AH8613" s="4" t="str">
        <f>HYPERLINK("#Statut_biogéographique!A"&amp;_xlfn.XMATCH("P",Statut_biogéographique!A:A,2,1),"P")</f>
        <v>P</v>
      </c>
      <c r="AP8613" s="4" t="s">
        <v>376</v>
      </c>
      <c r="AR8613" s="4" t="s">
        <v>377</v>
      </c>
    </row>
    <row r="8614" spans="1:44" ht="30">
      <c r="A8614" s="4" t="s">
        <v>10753</v>
      </c>
      <c r="B8614" s="4">
        <v>15536</v>
      </c>
      <c r="D8614" s="5" t="s">
        <v>11682</v>
      </c>
      <c r="E8614" s="6" t="str">
        <f>HYPERLINK("https://inpn.mnhn.fr/espece/cd_nom/15536","Orobitis cyaneus (Linnaeus, 1758)")</f>
        <v>Orobitis cyaneus (Linnaeus, 1758)</v>
      </c>
      <c r="AH8614" s="4" t="str">
        <f>HYPERLINK("#Statut_biogéographique!A"&amp;_xlfn.XMATCH("P",Statut_biogéographique!A:A,2,1),"P")</f>
        <v>P</v>
      </c>
      <c r="AP8614" s="4" t="s">
        <v>376</v>
      </c>
      <c r="AR8614" s="4" t="s">
        <v>377</v>
      </c>
    </row>
    <row r="8615" spans="1:44">
      <c r="A8615" s="4" t="s">
        <v>10753</v>
      </c>
      <c r="B8615" s="4">
        <v>15541</v>
      </c>
      <c r="D8615" s="5" t="s">
        <v>11683</v>
      </c>
      <c r="E8615" s="6" t="str">
        <f>HYPERLINK("https://inpn.mnhn.fr/espece/cd_nom/15541","Coryssomerus capucinus (Beck, 1817)")</f>
        <v>Coryssomerus capucinus (Beck, 1817)</v>
      </c>
      <c r="AH8615" s="4" t="str">
        <f>HYPERLINK("#Statut_biogéographique!A"&amp;_xlfn.XMATCH("P",Statut_biogéographique!A:A,2,1),"P")</f>
        <v>P</v>
      </c>
      <c r="AP8615" s="4" t="s">
        <v>376</v>
      </c>
      <c r="AR8615" s="4" t="s">
        <v>377</v>
      </c>
    </row>
    <row r="8616" spans="1:44" ht="30">
      <c r="A8616" s="4" t="s">
        <v>10753</v>
      </c>
      <c r="B8616" s="4">
        <v>15546</v>
      </c>
      <c r="D8616" s="5" t="s">
        <v>11684</v>
      </c>
      <c r="E8616" s="6" t="str">
        <f>HYPERLINK("https://inpn.mnhn.fr/espece/cd_nom/15546","Sitophilus granarius (Linnaeus, 1758)")</f>
        <v>Sitophilus granarius (Linnaeus, 1758)</v>
      </c>
      <c r="F8616" s="5" t="s">
        <v>11685</v>
      </c>
      <c r="AH8616" s="4" t="str">
        <f>HYPERLINK("#Statut_biogéographique!A"&amp;_xlfn.XMATCH("P",Statut_biogéographique!A:A,2,1),"P")</f>
        <v>P</v>
      </c>
      <c r="AP8616" s="4" t="s">
        <v>376</v>
      </c>
      <c r="AR8616" s="4" t="s">
        <v>377</v>
      </c>
    </row>
    <row r="8617" spans="1:44">
      <c r="A8617" s="4" t="s">
        <v>10753</v>
      </c>
      <c r="B8617" s="4">
        <v>15551</v>
      </c>
      <c r="D8617" s="5" t="s">
        <v>11686</v>
      </c>
      <c r="E8617" s="6" t="str">
        <f>HYPERLINK("https://inpn.mnhn.fr/espece/cd_nom/15551","Sitophilus oryzae (Linnaeus, 1763)")</f>
        <v>Sitophilus oryzae (Linnaeus, 1763)</v>
      </c>
      <c r="F8617" s="5" t="s">
        <v>11687</v>
      </c>
      <c r="AH8617" s="4" t="str">
        <f>HYPERLINK("#Statut_biogéographique!A"&amp;_xlfn.XMATCH("I",Statut_biogéographique!A:A,2,1),"I")</f>
        <v>I</v>
      </c>
      <c r="AP8617" s="4" t="s">
        <v>376</v>
      </c>
      <c r="AR8617" s="4" t="s">
        <v>377</v>
      </c>
    </row>
    <row r="8618" spans="1:44">
      <c r="A8618" s="4" t="s">
        <v>10753</v>
      </c>
      <c r="B8618" s="4">
        <v>1556</v>
      </c>
      <c r="D8618" s="5" t="s">
        <v>11688</v>
      </c>
      <c r="E8618" s="6" t="str">
        <f>HYPERLINK("https://inpn.mnhn.fr/espece/cd_nom/1556","Agalenatea redii (Scopoli, 1763)")</f>
        <v>Agalenatea redii (Scopoli, 1763)</v>
      </c>
      <c r="F8618" s="5" t="s">
        <v>11689</v>
      </c>
      <c r="Q8618" s="7" t="str">
        <f>HYPERLINK("#Liste_rouge!A"&amp;_xlfn.XMATCH("LC",Liste_rouge!A:A,2,1),"LC")</f>
        <v>LC</v>
      </c>
      <c r="AH8618" s="4" t="str">
        <f>HYPERLINK("#Statut_biogéographique!A"&amp;_xlfn.XMATCH("P",Statut_biogéographique!A:A,2,1),"P")</f>
        <v>P</v>
      </c>
      <c r="AP8618" s="4" t="s">
        <v>376</v>
      </c>
      <c r="AR8618" s="4" t="s">
        <v>377</v>
      </c>
    </row>
    <row r="8619" spans="1:44" ht="30">
      <c r="A8619" s="4" t="s">
        <v>10753</v>
      </c>
      <c r="B8619" s="4">
        <v>15562</v>
      </c>
      <c r="D8619" s="5" t="s">
        <v>11690</v>
      </c>
      <c r="E8619" s="6" t="str">
        <f>HYPERLINK("https://inpn.mnhn.fr/espece/cd_nom/15562","Sphenophorus piceus (Pallas, 1771)")</f>
        <v>Sphenophorus piceus (Pallas, 1771)</v>
      </c>
      <c r="AH8619" s="4" t="str">
        <f>HYPERLINK("#Statut_biogéographique!A"&amp;_xlfn.XMATCH("P",Statut_biogéographique!A:A,2,1),"P")</f>
        <v>P</v>
      </c>
      <c r="AP8619" s="4" t="s">
        <v>376</v>
      </c>
      <c r="AR8619" s="4" t="s">
        <v>377</v>
      </c>
    </row>
    <row r="8620" spans="1:44" ht="30">
      <c r="A8620" s="4" t="s">
        <v>10753</v>
      </c>
      <c r="B8620" s="4">
        <v>15572</v>
      </c>
      <c r="D8620" s="5" t="s">
        <v>11691</v>
      </c>
      <c r="E8620" s="6" t="str">
        <f>HYPERLINK("https://inpn.mnhn.fr/espece/cd_nom/15572","Sphenophorus striatopunctatus (Goeze, 1777)")</f>
        <v>Sphenophorus striatopunctatus (Goeze, 1777)</v>
      </c>
      <c r="F8620" s="5" t="s">
        <v>11692</v>
      </c>
      <c r="AH8620" s="4" t="str">
        <f>HYPERLINK("#Statut_biogéographique!A"&amp;_xlfn.XMATCH("P",Statut_biogéographique!A:A,2,1),"P")</f>
        <v>P</v>
      </c>
      <c r="AP8620" s="4" t="s">
        <v>376</v>
      </c>
      <c r="AR8620" s="4" t="s">
        <v>377</v>
      </c>
    </row>
    <row r="8621" spans="1:44">
      <c r="A8621" s="4" t="s">
        <v>10753</v>
      </c>
      <c r="B8621" s="4">
        <v>1559</v>
      </c>
      <c r="D8621" s="5" t="s">
        <v>11693</v>
      </c>
      <c r="E8621" s="6" t="str">
        <f>HYPERLINK("https://inpn.mnhn.fr/espece/cd_nom/1559","Araniella cucurbitina (Clerck, 1758)")</f>
        <v>Araniella cucurbitina (Clerck, 1758)</v>
      </c>
      <c r="F8621" s="5" t="s">
        <v>11694</v>
      </c>
      <c r="Q8621" s="7" t="str">
        <f>HYPERLINK("#Liste_rouge!A"&amp;_xlfn.XMATCH("LC",Liste_rouge!A:A,2,1),"LC")</f>
        <v>LC</v>
      </c>
      <c r="AH8621" s="4" t="str">
        <f>HYPERLINK("#Statut_biogéographique!A"&amp;_xlfn.XMATCH("P",Statut_biogéographique!A:A,2,1),"P")</f>
        <v>P</v>
      </c>
      <c r="AP8621" s="4" t="s">
        <v>376</v>
      </c>
      <c r="AR8621" s="4" t="s">
        <v>377</v>
      </c>
    </row>
    <row r="8622" spans="1:44">
      <c r="A8622" s="4" t="s">
        <v>10753</v>
      </c>
      <c r="B8622" s="4">
        <v>1563</v>
      </c>
      <c r="D8622" s="5" t="s">
        <v>11695</v>
      </c>
      <c r="E8622" s="6" t="str">
        <f>HYPERLINK("https://inpn.mnhn.fr/espece/cd_nom/1563","Gibbaranea gibbosa (Walckenaer, 1802)")</f>
        <v>Gibbaranea gibbosa (Walckenaer, 1802)</v>
      </c>
      <c r="Q8622" s="7" t="str">
        <f>HYPERLINK("#Liste_rouge!A"&amp;_xlfn.XMATCH("LC",Liste_rouge!A:A,2,1),"LC")</f>
        <v>LC</v>
      </c>
      <c r="AH8622" s="4" t="str">
        <f>HYPERLINK("#Statut_biogéographique!A"&amp;_xlfn.XMATCH("P",Statut_biogéographique!A:A,2,1),"P")</f>
        <v>P</v>
      </c>
      <c r="AP8622" s="4" t="s">
        <v>376</v>
      </c>
      <c r="AR8622" s="4" t="s">
        <v>377</v>
      </c>
    </row>
    <row r="8623" spans="1:44" ht="30">
      <c r="A8623" s="4" t="s">
        <v>10753</v>
      </c>
      <c r="B8623" s="4">
        <v>1564</v>
      </c>
      <c r="D8623" s="5" t="s">
        <v>11696</v>
      </c>
      <c r="E8623" s="6" t="str">
        <f>HYPERLINK("https://inpn.mnhn.fr/espece/cd_nom/1564","Gibbaranea bituberculata (Walckenaer, 1802)")</f>
        <v>Gibbaranea bituberculata (Walckenaer, 1802)</v>
      </c>
      <c r="F8623" s="5" t="s">
        <v>11697</v>
      </c>
      <c r="Q8623" s="7" t="str">
        <f>HYPERLINK("#Liste_rouge!A"&amp;_xlfn.XMATCH("LC",Liste_rouge!A:A,2,1),"LC")</f>
        <v>LC</v>
      </c>
      <c r="AH8623" s="4" t="str">
        <f>HYPERLINK("#Statut_biogéographique!A"&amp;_xlfn.XMATCH("P",Statut_biogéographique!A:A,2,1),"P")</f>
        <v>P</v>
      </c>
      <c r="AP8623" s="4" t="s">
        <v>376</v>
      </c>
      <c r="AR8623" s="4" t="s">
        <v>377</v>
      </c>
    </row>
    <row r="8624" spans="1:44">
      <c r="A8624" s="4" t="s">
        <v>10753</v>
      </c>
      <c r="B8624" s="4">
        <v>15663</v>
      </c>
      <c r="D8624" s="5" t="s">
        <v>11698</v>
      </c>
      <c r="E8624" s="6" t="str">
        <f>HYPERLINK("https://inpn.mnhn.fr/espece/cd_nom/15663","Curculio elephas (Gyllenhal, 1835)")</f>
        <v>Curculio elephas (Gyllenhal, 1835)</v>
      </c>
      <c r="F8624" s="5" t="s">
        <v>11699</v>
      </c>
      <c r="AH8624" s="4" t="str">
        <f>HYPERLINK("#Statut_biogéographique!A"&amp;_xlfn.XMATCH("P",Statut_biogéographique!A:A,2,1),"P")</f>
        <v>P</v>
      </c>
      <c r="AP8624" s="4" t="s">
        <v>376</v>
      </c>
      <c r="AR8624" s="4" t="s">
        <v>377</v>
      </c>
    </row>
    <row r="8625" spans="1:44">
      <c r="A8625" s="4" t="s">
        <v>10753</v>
      </c>
      <c r="B8625" s="4">
        <v>15668</v>
      </c>
      <c r="D8625" s="5" t="s">
        <v>11700</v>
      </c>
      <c r="E8625" s="6" t="str">
        <f>HYPERLINK("https://inpn.mnhn.fr/espece/cd_nom/15668","Curculio venosus (Gravenhorst, 1807)")</f>
        <v>Curculio venosus (Gravenhorst, 1807)</v>
      </c>
      <c r="AH8625" s="4" t="str">
        <f>HYPERLINK("#Statut_biogéographique!A"&amp;_xlfn.XMATCH("P",Statut_biogéographique!A:A,2,1),"P")</f>
        <v>P</v>
      </c>
      <c r="AP8625" s="4" t="s">
        <v>376</v>
      </c>
      <c r="AR8625" s="4" t="s">
        <v>377</v>
      </c>
    </row>
    <row r="8626" spans="1:44">
      <c r="A8626" s="4" t="s">
        <v>10753</v>
      </c>
      <c r="B8626" s="4">
        <v>15672</v>
      </c>
      <c r="D8626" s="5" t="s">
        <v>11701</v>
      </c>
      <c r="E8626" s="6" t="str">
        <f>HYPERLINK("https://inpn.mnhn.fr/espece/cd_nom/15672","Curculio pellitus (Boheman, 1843)")</f>
        <v>Curculio pellitus (Boheman, 1843)</v>
      </c>
      <c r="AH8626" s="4" t="str">
        <f>HYPERLINK("#Statut_biogéographique!A"&amp;_xlfn.XMATCH("P",Statut_biogéographique!A:A,2,1),"P")</f>
        <v>P</v>
      </c>
      <c r="AP8626" s="4" t="s">
        <v>376</v>
      </c>
      <c r="AR8626" s="4" t="s">
        <v>377</v>
      </c>
    </row>
    <row r="8627" spans="1:44">
      <c r="A8627" s="4" t="s">
        <v>10753</v>
      </c>
      <c r="B8627" s="4">
        <v>15675</v>
      </c>
      <c r="D8627" s="5" t="s">
        <v>11702</v>
      </c>
      <c r="E8627" s="6" t="str">
        <f>HYPERLINK("https://inpn.mnhn.fr/espece/cd_nom/15675","Curculio nucum Linnaeus, 1758")</f>
        <v>Curculio nucum Linnaeus, 1758</v>
      </c>
      <c r="F8627" s="5" t="s">
        <v>11703</v>
      </c>
      <c r="AH8627" s="4" t="str">
        <f>HYPERLINK("#Statut_biogéographique!A"&amp;_xlfn.XMATCH("P",Statut_biogéographique!A:A,2,1),"P")</f>
        <v>P</v>
      </c>
      <c r="AP8627" s="4" t="s">
        <v>376</v>
      </c>
      <c r="AR8627" s="4" t="s">
        <v>377</v>
      </c>
    </row>
    <row r="8628" spans="1:44" ht="30">
      <c r="A8628" s="4" t="s">
        <v>10753</v>
      </c>
      <c r="B8628" s="4">
        <v>15679</v>
      </c>
      <c r="D8628" s="5" t="s">
        <v>11704</v>
      </c>
      <c r="E8628" s="6" t="str">
        <f>HYPERLINK("https://inpn.mnhn.fr/espece/cd_nom/15679","Curculio glandium Marsham, 1802")</f>
        <v>Curculio glandium Marsham, 1802</v>
      </c>
      <c r="AH8628" s="4" t="str">
        <f>HYPERLINK("#Statut_biogéographique!A"&amp;_xlfn.XMATCH("P",Statut_biogéographique!A:A,2,1),"P")</f>
        <v>P</v>
      </c>
      <c r="AP8628" s="4" t="s">
        <v>376</v>
      </c>
      <c r="AR8628" s="4" t="s">
        <v>377</v>
      </c>
    </row>
    <row r="8629" spans="1:44">
      <c r="A8629" s="4" t="s">
        <v>10753</v>
      </c>
      <c r="B8629" s="4">
        <v>15694</v>
      </c>
      <c r="D8629" s="5" t="s">
        <v>11705</v>
      </c>
      <c r="E8629" s="6" t="str">
        <f>HYPERLINK("https://inpn.mnhn.fr/espece/cd_nom/15694","Curculio rubidus (Gyllenhal, 1835)")</f>
        <v>Curculio rubidus (Gyllenhal, 1835)</v>
      </c>
      <c r="AH8629" s="4" t="str">
        <f>HYPERLINK("#Statut_biogéographique!A"&amp;_xlfn.XMATCH("P",Statut_biogéographique!A:A,2,1),"P")</f>
        <v>P</v>
      </c>
      <c r="AP8629" s="4" t="s">
        <v>376</v>
      </c>
      <c r="AR8629" s="4" t="s">
        <v>377</v>
      </c>
    </row>
    <row r="8630" spans="1:44">
      <c r="A8630" s="4" t="s">
        <v>10753</v>
      </c>
      <c r="B8630" s="4">
        <v>15706</v>
      </c>
      <c r="D8630" s="5" t="s">
        <v>11706</v>
      </c>
      <c r="E8630" s="6" t="str">
        <f>HYPERLINK("https://inpn.mnhn.fr/espece/cd_nom/15706","Brachonyx pineti (Paykull, 1792)")</f>
        <v>Brachonyx pineti (Paykull, 1792)</v>
      </c>
      <c r="AH8630" s="4" t="str">
        <f>HYPERLINK("#Statut_biogéographique!A"&amp;_xlfn.XMATCH("P",Statut_biogéographique!A:A,2,1),"P")</f>
        <v>P</v>
      </c>
      <c r="AP8630" s="4" t="s">
        <v>376</v>
      </c>
      <c r="AR8630" s="4" t="s">
        <v>377</v>
      </c>
    </row>
    <row r="8631" spans="1:44" ht="30">
      <c r="A8631" s="4" t="s">
        <v>10753</v>
      </c>
      <c r="B8631" s="4">
        <v>15718</v>
      </c>
      <c r="D8631" s="5" t="s">
        <v>11707</v>
      </c>
      <c r="E8631" s="6" t="str">
        <f>HYPERLINK("https://inpn.mnhn.fr/espece/cd_nom/15718","Anthonomus rubi (Herbst, 1795)")</f>
        <v>Anthonomus rubi (Herbst, 1795)</v>
      </c>
      <c r="AH8631" s="4" t="str">
        <f>HYPERLINK("#Statut_biogéographique!A"&amp;_xlfn.XMATCH("P",Statut_biogéographique!A:A,2,1),"P")</f>
        <v>P</v>
      </c>
      <c r="AP8631" s="4" t="s">
        <v>376</v>
      </c>
      <c r="AR8631" s="4" t="s">
        <v>377</v>
      </c>
    </row>
    <row r="8632" spans="1:44">
      <c r="A8632" s="4" t="s">
        <v>10753</v>
      </c>
      <c r="B8632" s="4">
        <v>15727</v>
      </c>
      <c r="D8632" s="5" t="s">
        <v>11708</v>
      </c>
      <c r="E8632" s="6" t="str">
        <f>HYPERLINK("https://inpn.mnhn.fr/espece/cd_nom/15727","Anthonomus ulmi (De Geer, 1775)")</f>
        <v>Anthonomus ulmi (De Geer, 1775)</v>
      </c>
      <c r="AH8632" s="4" t="str">
        <f>HYPERLINK("#Statut_biogéographique!A"&amp;_xlfn.XMATCH("P",Statut_biogéographique!A:A,2,1),"P")</f>
        <v>P</v>
      </c>
      <c r="AP8632" s="4" t="s">
        <v>376</v>
      </c>
      <c r="AR8632" s="4" t="s">
        <v>377</v>
      </c>
    </row>
    <row r="8633" spans="1:44" ht="30">
      <c r="A8633" s="4" t="s">
        <v>10753</v>
      </c>
      <c r="B8633" s="4">
        <v>15734</v>
      </c>
      <c r="D8633" s="5" t="s">
        <v>11709</v>
      </c>
      <c r="E8633" s="6" t="str">
        <f>HYPERLINK("https://inpn.mnhn.fr/espece/cd_nom/15734","Anthonomus pedicularius (Linnaeus, 1758)")</f>
        <v>Anthonomus pedicularius (Linnaeus, 1758)</v>
      </c>
      <c r="AH8633" s="4" t="str">
        <f>HYPERLINK("#Statut_biogéographique!A"&amp;_xlfn.XMATCH("P",Statut_biogéographique!A:A,2,1),"P")</f>
        <v>P</v>
      </c>
      <c r="AP8633" s="4" t="s">
        <v>376</v>
      </c>
      <c r="AR8633" s="4" t="s">
        <v>377</v>
      </c>
    </row>
    <row r="8634" spans="1:44">
      <c r="A8634" s="4" t="s">
        <v>10753</v>
      </c>
      <c r="B8634" s="4">
        <v>1574</v>
      </c>
      <c r="D8634" s="5" t="s">
        <v>11710</v>
      </c>
      <c r="E8634" s="6" t="str">
        <f>HYPERLINK("https://inpn.mnhn.fr/espece/cd_nom/1574","Nuctenea umbratica (Clerck, 1758)")</f>
        <v>Nuctenea umbratica (Clerck, 1758)</v>
      </c>
      <c r="F8634" s="5" t="s">
        <v>11711</v>
      </c>
      <c r="Q8634" s="7" t="str">
        <f>HYPERLINK("#Liste_rouge!A"&amp;_xlfn.XMATCH("LC",Liste_rouge!A:A,2,1),"LC")</f>
        <v>LC</v>
      </c>
      <c r="AH8634" s="4" t="str">
        <f>HYPERLINK("#Statut_biogéographique!A"&amp;_xlfn.XMATCH("P",Statut_biogéographique!A:A,2,1),"P")</f>
        <v>P</v>
      </c>
      <c r="AP8634" s="4" t="s">
        <v>376</v>
      </c>
      <c r="AR8634" s="4" t="s">
        <v>377</v>
      </c>
    </row>
    <row r="8635" spans="1:44">
      <c r="A8635" s="4" t="s">
        <v>10753</v>
      </c>
      <c r="B8635" s="4">
        <v>15742</v>
      </c>
      <c r="D8635" s="5" t="s">
        <v>11712</v>
      </c>
      <c r="E8635" s="6" t="str">
        <f>HYPERLINK("https://inpn.mnhn.fr/espece/cd_nom/15742","Anthonomus conspersus Desbrochers, 1868")</f>
        <v>Anthonomus conspersus Desbrochers, 1868</v>
      </c>
      <c r="AH8635" s="4" t="str">
        <f>HYPERLINK("#Statut_biogéographique!A"&amp;_xlfn.XMATCH("P",Statut_biogéographique!A:A,2,1),"P")</f>
        <v>P</v>
      </c>
      <c r="AP8635" s="4" t="s">
        <v>376</v>
      </c>
      <c r="AR8635" s="4" t="s">
        <v>377</v>
      </c>
    </row>
    <row r="8636" spans="1:44">
      <c r="A8636" s="4" t="s">
        <v>10753</v>
      </c>
      <c r="B8636" s="4">
        <v>15759</v>
      </c>
      <c r="D8636" s="5" t="s">
        <v>11713</v>
      </c>
      <c r="E8636" s="6" t="str">
        <f>HYPERLINK("https://inpn.mnhn.fr/espece/cd_nom/15759","Bradybatus elongatulus (Boheman, 1843)")</f>
        <v>Bradybatus elongatulus (Boheman, 1843)</v>
      </c>
      <c r="AH8636" s="4" t="str">
        <f>HYPERLINK("#Statut_biogéographique!A"&amp;_xlfn.XMATCH("P",Statut_biogéographique!A:A,2,1),"P")</f>
        <v>P</v>
      </c>
      <c r="AP8636" s="4" t="s">
        <v>376</v>
      </c>
      <c r="AR8636" s="4" t="s">
        <v>377</v>
      </c>
    </row>
    <row r="8637" spans="1:44">
      <c r="A8637" s="4" t="s">
        <v>10753</v>
      </c>
      <c r="B8637" s="4">
        <v>15764</v>
      </c>
      <c r="D8637" s="5" t="s">
        <v>11714</v>
      </c>
      <c r="E8637" s="6" t="str">
        <f>HYPERLINK("https://inpn.mnhn.fr/espece/cd_nom/15764","Bradybatus fallax Gerstäcker, 1860")</f>
        <v>Bradybatus fallax Gerstäcker, 1860</v>
      </c>
      <c r="AH8637" s="4" t="str">
        <f>HYPERLINK("#Statut_biogéographique!A"&amp;_xlfn.XMATCH("P",Statut_biogéographique!A:A,2,1),"P")</f>
        <v>P</v>
      </c>
      <c r="AP8637" s="4" t="s">
        <v>376</v>
      </c>
      <c r="AR8637" s="4" t="s">
        <v>377</v>
      </c>
    </row>
    <row r="8638" spans="1:44" ht="30">
      <c r="A8638" s="4" t="s">
        <v>10753</v>
      </c>
      <c r="B8638" s="4">
        <v>15766</v>
      </c>
      <c r="D8638" s="5" t="s">
        <v>11715</v>
      </c>
      <c r="E8638" s="6" t="str">
        <f>HYPERLINK("https://inpn.mnhn.fr/espece/cd_nom/15766","Bradybatus kellneri Bach, 1854")</f>
        <v>Bradybatus kellneri Bach, 1854</v>
      </c>
      <c r="AH8638" s="4" t="str">
        <f>HYPERLINK("#Statut_biogéographique!A"&amp;_xlfn.XMATCH("P",Statut_biogéographique!A:A,2,1),"P")</f>
        <v>P</v>
      </c>
      <c r="AP8638" s="4" t="s">
        <v>376</v>
      </c>
      <c r="AR8638" s="4" t="s">
        <v>377</v>
      </c>
    </row>
    <row r="8639" spans="1:44" ht="30">
      <c r="A8639" s="4" t="s">
        <v>10753</v>
      </c>
      <c r="B8639" s="4">
        <v>1580</v>
      </c>
      <c r="D8639" s="5" t="s">
        <v>11716</v>
      </c>
      <c r="E8639" s="6" t="str">
        <f>HYPERLINK("https://inpn.mnhn.fr/espece/cd_nom/1580","Cyclosa conica (Pallas, 1772)")</f>
        <v>Cyclosa conica (Pallas, 1772)</v>
      </c>
      <c r="F8639" s="5" t="s">
        <v>11717</v>
      </c>
      <c r="Q8639" s="7" t="str">
        <f>HYPERLINK("#Liste_rouge!A"&amp;_xlfn.XMATCH("LC",Liste_rouge!A:A,2,1),"LC")</f>
        <v>LC</v>
      </c>
      <c r="AH8639" s="4" t="str">
        <f>HYPERLINK("#Statut_biogéographique!A"&amp;_xlfn.XMATCH("P",Statut_biogéographique!A:A,2,1),"P")</f>
        <v>P</v>
      </c>
      <c r="AP8639" s="4" t="s">
        <v>376</v>
      </c>
      <c r="AR8639" s="4" t="s">
        <v>377</v>
      </c>
    </row>
    <row r="8640" spans="1:44">
      <c r="A8640" s="4" t="s">
        <v>10753</v>
      </c>
      <c r="B8640" s="4">
        <v>1581</v>
      </c>
      <c r="D8640" s="5" t="s">
        <v>11718</v>
      </c>
      <c r="E8640" s="6" t="str">
        <f>HYPERLINK("https://inpn.mnhn.fr/espece/cd_nom/1581","Cyclosa oculata (Walckenaer, 1802)")</f>
        <v>Cyclosa oculata (Walckenaer, 1802)</v>
      </c>
      <c r="Q8640" s="7" t="str">
        <f>HYPERLINK("#Liste_rouge!A"&amp;_xlfn.XMATCH("LC",Liste_rouge!A:A,2,1),"LC")</f>
        <v>LC</v>
      </c>
      <c r="AH8640" s="4" t="str">
        <f>HYPERLINK("#Statut_biogéographique!A"&amp;_xlfn.XMATCH("P",Statut_biogéographique!A:A,2,1),"P")</f>
        <v>P</v>
      </c>
      <c r="AP8640" s="4" t="s">
        <v>376</v>
      </c>
      <c r="AR8640" s="4" t="s">
        <v>377</v>
      </c>
    </row>
    <row r="8641" spans="1:44">
      <c r="A8641" s="4" t="s">
        <v>10753</v>
      </c>
      <c r="B8641" s="4">
        <v>15822</v>
      </c>
      <c r="D8641" s="5" t="s">
        <v>11719</v>
      </c>
      <c r="E8641" s="6" t="str">
        <f>HYPERLINK("https://inpn.mnhn.fr/espece/cd_nom/15822","Sibinia pellucens (Scopoli, 1772)")</f>
        <v>Sibinia pellucens (Scopoli, 1772)</v>
      </c>
      <c r="AH8641" s="4" t="str">
        <f>HYPERLINK("#Statut_biogéographique!A"&amp;_xlfn.XMATCH("P",Statut_biogéographique!A:A,2,1),"P")</f>
        <v>P</v>
      </c>
      <c r="AP8641" s="4" t="s">
        <v>376</v>
      </c>
      <c r="AR8641" s="4" t="s">
        <v>377</v>
      </c>
    </row>
    <row r="8642" spans="1:44">
      <c r="A8642" s="4" t="s">
        <v>10753</v>
      </c>
      <c r="B8642" s="4">
        <v>15824</v>
      </c>
      <c r="D8642" s="5" t="s">
        <v>11720</v>
      </c>
      <c r="E8642" s="6" t="str">
        <f>HYPERLINK("https://inpn.mnhn.fr/espece/cd_nom/15824","Sibinia viscariae (Linnaeus, 1761)")</f>
        <v>Sibinia viscariae (Linnaeus, 1761)</v>
      </c>
      <c r="AH8642" s="4" t="str">
        <f>HYPERLINK("#Statut_biogéographique!A"&amp;_xlfn.XMATCH("P",Statut_biogéographique!A:A,2,1),"P")</f>
        <v>P</v>
      </c>
      <c r="AP8642" s="4" t="s">
        <v>376</v>
      </c>
      <c r="AR8642" s="4" t="s">
        <v>377</v>
      </c>
    </row>
    <row r="8643" spans="1:44">
      <c r="A8643" s="4" t="s">
        <v>10753</v>
      </c>
      <c r="B8643" s="4">
        <v>15838</v>
      </c>
      <c r="D8643" s="5" t="s">
        <v>11721</v>
      </c>
      <c r="E8643" s="6" t="str">
        <f>HYPERLINK("https://inpn.mnhn.fr/espece/cd_nom/15838","Tychius quinquepunctatus (Linnaeus, 1758)")</f>
        <v>Tychius quinquepunctatus (Linnaeus, 1758)</v>
      </c>
      <c r="AH8643" s="4" t="str">
        <f>HYPERLINK("#Statut_biogéographique!A"&amp;_xlfn.XMATCH("P",Statut_biogéographique!A:A,2,1),"P")</f>
        <v>P</v>
      </c>
      <c r="AP8643" s="4" t="s">
        <v>376</v>
      </c>
      <c r="AR8643" s="4" t="s">
        <v>377</v>
      </c>
    </row>
    <row r="8644" spans="1:44">
      <c r="A8644" s="4" t="s">
        <v>10753</v>
      </c>
      <c r="B8644" s="4">
        <v>1585</v>
      </c>
      <c r="D8644" s="5" t="s">
        <v>11722</v>
      </c>
      <c r="E8644" s="6" t="str">
        <f>HYPERLINK("https://inpn.mnhn.fr/espece/cd_nom/1585","Mangora acalypha (Walckenaer, 1802)")</f>
        <v>Mangora acalypha (Walckenaer, 1802)</v>
      </c>
      <c r="F8644" s="5" t="s">
        <v>11723</v>
      </c>
      <c r="Q8644" s="7" t="str">
        <f>HYPERLINK("#Liste_rouge!A"&amp;_xlfn.XMATCH("LC",Liste_rouge!A:A,2,1),"LC")</f>
        <v>LC</v>
      </c>
      <c r="AH8644" s="4" t="str">
        <f>HYPERLINK("#Statut_biogéographique!A"&amp;_xlfn.XMATCH("P",Statut_biogéographique!A:A,2,1),"P")</f>
        <v>P</v>
      </c>
      <c r="AP8644" s="4" t="s">
        <v>376</v>
      </c>
      <c r="AR8644" s="4" t="s">
        <v>377</v>
      </c>
    </row>
    <row r="8645" spans="1:44">
      <c r="A8645" s="4" t="s">
        <v>10753</v>
      </c>
      <c r="B8645" s="4">
        <v>15852</v>
      </c>
      <c r="D8645" s="5" t="s">
        <v>11724</v>
      </c>
      <c r="E8645" s="6" t="str">
        <f>HYPERLINK("https://inpn.mnhn.fr/espece/cd_nom/15852","Tychius parallelus (Panzer, 1794)")</f>
        <v>Tychius parallelus (Panzer, 1794)</v>
      </c>
      <c r="AH8645" s="4" t="str">
        <f>HYPERLINK("#Statut_biogéographique!A"&amp;_xlfn.XMATCH("P",Statut_biogéographique!A:A,2,1),"P")</f>
        <v>P</v>
      </c>
      <c r="AP8645" s="4" t="s">
        <v>376</v>
      </c>
      <c r="AR8645" s="4" t="s">
        <v>377</v>
      </c>
    </row>
    <row r="8646" spans="1:44">
      <c r="A8646" s="4" t="s">
        <v>10753</v>
      </c>
      <c r="B8646" s="4">
        <v>15856</v>
      </c>
      <c r="D8646" s="5" t="s">
        <v>11725</v>
      </c>
      <c r="E8646" s="6" t="str">
        <f>HYPERLINK("https://inpn.mnhn.fr/espece/cd_nom/15856","Tychius schneideri (Herbst, 1795)")</f>
        <v>Tychius schneideri (Herbst, 1795)</v>
      </c>
      <c r="AH8646" s="4" t="str">
        <f>HYPERLINK("#Statut_biogéographique!A"&amp;_xlfn.XMATCH("P",Statut_biogéographique!A:A,2,1),"P")</f>
        <v>P</v>
      </c>
      <c r="AP8646" s="4" t="s">
        <v>376</v>
      </c>
      <c r="AR8646" s="4" t="s">
        <v>377</v>
      </c>
    </row>
    <row r="8647" spans="1:44">
      <c r="A8647" s="4" t="s">
        <v>10753</v>
      </c>
      <c r="B8647" s="4">
        <v>1587</v>
      </c>
      <c r="D8647" s="5" t="s">
        <v>11726</v>
      </c>
      <c r="E8647" s="6" t="str">
        <f>HYPERLINK("https://inpn.mnhn.fr/espece/cd_nom/1587","Zygiella atrica (C.L. Koch, 1845)")</f>
        <v>Zygiella atrica (C.L. Koch, 1845)</v>
      </c>
      <c r="Q8647" s="7" t="str">
        <f>HYPERLINK("#Liste_rouge!A"&amp;_xlfn.XMATCH("LC",Liste_rouge!A:A,2,1),"LC")</f>
        <v>LC</v>
      </c>
      <c r="AH8647" s="4" t="str">
        <f>HYPERLINK("#Statut_biogéographique!A"&amp;_xlfn.XMATCH("P",Statut_biogéographique!A:A,2,1),"P")</f>
        <v>P</v>
      </c>
      <c r="AP8647" s="4" t="s">
        <v>376</v>
      </c>
      <c r="AR8647" s="4" t="s">
        <v>377</v>
      </c>
    </row>
    <row r="8648" spans="1:44">
      <c r="A8648" s="4" t="s">
        <v>10753</v>
      </c>
      <c r="B8648" s="4">
        <v>15901</v>
      </c>
      <c r="D8648" s="5" t="s">
        <v>11727</v>
      </c>
      <c r="E8648" s="6" t="str">
        <f>HYPERLINK("https://inpn.mnhn.fr/espece/cd_nom/15901","Tychius junceus (Reich, 1797)")</f>
        <v>Tychius junceus (Reich, 1797)</v>
      </c>
      <c r="AH8648" s="4" t="str">
        <f>HYPERLINK("#Statut_biogéographique!A"&amp;_xlfn.XMATCH("P",Statut_biogéographique!A:A,2,1),"P")</f>
        <v>P</v>
      </c>
      <c r="AP8648" s="4" t="s">
        <v>376</v>
      </c>
      <c r="AR8648" s="4" t="s">
        <v>377</v>
      </c>
    </row>
    <row r="8649" spans="1:44">
      <c r="A8649" s="4" t="s">
        <v>10753</v>
      </c>
      <c r="B8649" s="4">
        <v>15911</v>
      </c>
      <c r="D8649" s="5">
        <v>15911</v>
      </c>
      <c r="E8649" s="6" t="str">
        <f>HYPERLINK("https://inpn.mnhn.fr/espece/cd_nom/15911","Tychius meliloti Stephens, 1831")</f>
        <v>Tychius meliloti Stephens, 1831</v>
      </c>
      <c r="AH8649" s="4" t="str">
        <f>HYPERLINK("#Statut_biogéographique!A"&amp;_xlfn.XMATCH("P",Statut_biogéographique!A:A,2,1),"P")</f>
        <v>P</v>
      </c>
      <c r="AP8649" s="4" t="s">
        <v>376</v>
      </c>
      <c r="AR8649" s="4" t="s">
        <v>377</v>
      </c>
    </row>
    <row r="8650" spans="1:44">
      <c r="A8650" s="4" t="s">
        <v>10753</v>
      </c>
      <c r="B8650" s="4">
        <v>15912</v>
      </c>
      <c r="D8650" s="5" t="s">
        <v>11728</v>
      </c>
      <c r="E8650" s="6" t="str">
        <f>HYPERLINK("https://inpn.mnhn.fr/espece/cd_nom/15912","Tychius stephensi Schönherr, 1835")</f>
        <v>Tychius stephensi Schönherr, 1835</v>
      </c>
      <c r="AH8650" s="4" t="str">
        <f>HYPERLINK("#Statut_biogéographique!A"&amp;_xlfn.XMATCH("P",Statut_biogéographique!A:A,2,1),"P")</f>
        <v>P</v>
      </c>
      <c r="AP8650" s="4" t="s">
        <v>376</v>
      </c>
      <c r="AR8650" s="4" t="s">
        <v>377</v>
      </c>
    </row>
    <row r="8651" spans="1:44">
      <c r="A8651" s="4" t="s">
        <v>10753</v>
      </c>
      <c r="B8651" s="4">
        <v>15921</v>
      </c>
      <c r="D8651" s="5">
        <v>15921</v>
      </c>
      <c r="E8651" s="6" t="str">
        <f>HYPERLINK("https://inpn.mnhn.fr/espece/cd_nom/15921","Tychius pusillus Germar, 1842")</f>
        <v>Tychius pusillus Germar, 1842</v>
      </c>
      <c r="AH8651" s="4" t="str">
        <f>HYPERLINK("#Statut_biogéographique!A"&amp;_xlfn.XMATCH("P",Statut_biogéographique!A:A,2,1),"P")</f>
        <v>P</v>
      </c>
      <c r="AP8651" s="4" t="s">
        <v>376</v>
      </c>
      <c r="AR8651" s="4" t="s">
        <v>377</v>
      </c>
    </row>
    <row r="8652" spans="1:44">
      <c r="A8652" s="4" t="s">
        <v>10753</v>
      </c>
      <c r="B8652" s="4">
        <v>15927</v>
      </c>
      <c r="D8652" s="5">
        <v>15927</v>
      </c>
      <c r="E8652" s="6" t="str">
        <f>HYPERLINK("https://inpn.mnhn.fr/espece/cd_nom/15927","Tychius tibialis Boheman, 1843")</f>
        <v>Tychius tibialis Boheman, 1843</v>
      </c>
      <c r="AH8652" s="4" t="str">
        <f>HYPERLINK("#Statut_biogéographique!A"&amp;_xlfn.XMATCH("P",Statut_biogéographique!A:A,2,1),"P")</f>
        <v>P</v>
      </c>
      <c r="AP8652" s="4" t="s">
        <v>376</v>
      </c>
      <c r="AR8652" s="4" t="s">
        <v>377</v>
      </c>
    </row>
    <row r="8653" spans="1:44" ht="30">
      <c r="A8653" s="4" t="s">
        <v>10753</v>
      </c>
      <c r="B8653" s="4">
        <v>159442</v>
      </c>
      <c r="D8653" s="5" t="s">
        <v>11729</v>
      </c>
      <c r="E8653" s="6" t="str">
        <f>HYPERLINK("https://inpn.mnhn.fr/espece/cd_nom/159442","Euplagia quadripunctaria (Poda, 1761)")</f>
        <v>Euplagia quadripunctaria (Poda, 1761)</v>
      </c>
      <c r="F8653" s="5" t="s">
        <v>11730</v>
      </c>
      <c r="K8653" s="4" t="str">
        <f>HYPERLINK("#Réglementation!A"&amp;_xlfn.XMATCH("CDH2",Réglementation!A:A,2,1),"CDH2")</f>
        <v>CDH2</v>
      </c>
      <c r="AH8653" s="4" t="str">
        <f>HYPERLINK("#Statut_biogéographique!A"&amp;_xlfn.XMATCH("P",Statut_biogéographique!A:A,2,1),"P")</f>
        <v>P</v>
      </c>
      <c r="AP8653" s="4" t="s">
        <v>376</v>
      </c>
      <c r="AR8653" s="4" t="s">
        <v>377</v>
      </c>
    </row>
    <row r="8654" spans="1:44">
      <c r="A8654" s="4" t="s">
        <v>10753</v>
      </c>
      <c r="B8654" s="4">
        <v>15947</v>
      </c>
      <c r="D8654" s="5" t="s">
        <v>11731</v>
      </c>
      <c r="E8654" s="6" t="str">
        <f>HYPERLINK("https://inpn.mnhn.fr/espece/cd_nom/15947","Lignyodes enucleator (Panzer, 1798)")</f>
        <v>Lignyodes enucleator (Panzer, 1798)</v>
      </c>
      <c r="F8654" s="5" t="s">
        <v>11732</v>
      </c>
      <c r="AH8654" s="4" t="str">
        <f>HYPERLINK("#Statut_biogéographique!A"&amp;_xlfn.XMATCH("P",Statut_biogéographique!A:A,2,1),"P")</f>
        <v>P</v>
      </c>
      <c r="AP8654" s="4" t="s">
        <v>376</v>
      </c>
      <c r="AR8654" s="4" t="s">
        <v>377</v>
      </c>
    </row>
    <row r="8655" spans="1:44">
      <c r="A8655" s="4" t="s">
        <v>10753</v>
      </c>
      <c r="B8655" s="4">
        <v>1595</v>
      </c>
      <c r="D8655" s="5" t="s">
        <v>11733</v>
      </c>
      <c r="E8655" s="6" t="str">
        <f>HYPERLINK("https://inpn.mnhn.fr/espece/cd_nom/1595","Araneus angulatus Clerck, 1758")</f>
        <v>Araneus angulatus Clerck, 1758</v>
      </c>
      <c r="F8655" s="5" t="s">
        <v>11734</v>
      </c>
      <c r="Q8655" s="7" t="str">
        <f>HYPERLINK("#Liste_rouge!A"&amp;_xlfn.XMATCH("LC",Liste_rouge!A:A,2,1),"LC")</f>
        <v>LC</v>
      </c>
      <c r="AH8655" s="4" t="str">
        <f>HYPERLINK("#Statut_biogéographique!A"&amp;_xlfn.XMATCH("P",Statut_biogéographique!A:A,2,1),"P")</f>
        <v>P</v>
      </c>
      <c r="AP8655" s="4" t="s">
        <v>376</v>
      </c>
      <c r="AR8655" s="4" t="s">
        <v>377</v>
      </c>
    </row>
    <row r="8656" spans="1:44">
      <c r="A8656" s="4" t="s">
        <v>10753</v>
      </c>
      <c r="B8656" s="4">
        <v>15950</v>
      </c>
      <c r="D8656" s="5" t="s">
        <v>11735</v>
      </c>
      <c r="E8656" s="6" t="str">
        <f>HYPERLINK("https://inpn.mnhn.fr/espece/cd_nom/15950","Cionus tuberculosus (Scopoli, 1763)")</f>
        <v>Cionus tuberculosus (Scopoli, 1763)</v>
      </c>
      <c r="F8656" s="5" t="s">
        <v>11736</v>
      </c>
      <c r="AH8656" s="4" t="str">
        <f>HYPERLINK("#Statut_biogéographique!A"&amp;_xlfn.XMATCH("P",Statut_biogéographique!A:A,2,1),"P")</f>
        <v>P</v>
      </c>
      <c r="AP8656" s="4" t="s">
        <v>376</v>
      </c>
      <c r="AR8656" s="4" t="s">
        <v>377</v>
      </c>
    </row>
    <row r="8657" spans="1:44">
      <c r="A8657" s="4" t="s">
        <v>10753</v>
      </c>
      <c r="B8657" s="4">
        <v>15953</v>
      </c>
      <c r="D8657" s="5" t="s">
        <v>11737</v>
      </c>
      <c r="E8657" s="6" t="str">
        <f>HYPERLINK("https://inpn.mnhn.fr/espece/cd_nom/15953","Cionus scrophulariae (Linnaeus, 1758)")</f>
        <v>Cionus scrophulariae (Linnaeus, 1758)</v>
      </c>
      <c r="F8657" s="5" t="s">
        <v>11738</v>
      </c>
      <c r="AH8657" s="4" t="str">
        <f>HYPERLINK("#Statut_biogéographique!A"&amp;_xlfn.XMATCH("P",Statut_biogéographique!A:A,2,1),"P")</f>
        <v>P</v>
      </c>
      <c r="AP8657" s="4" t="s">
        <v>376</v>
      </c>
      <c r="AR8657" s="4" t="s">
        <v>377</v>
      </c>
    </row>
    <row r="8658" spans="1:44" ht="30">
      <c r="A8658" s="4" t="s">
        <v>10753</v>
      </c>
      <c r="B8658" s="4">
        <v>15954</v>
      </c>
      <c r="D8658" s="5" t="s">
        <v>11739</v>
      </c>
      <c r="E8658" s="6" t="str">
        <f>HYPERLINK("https://inpn.mnhn.fr/espece/cd_nom/15954","Cionus hortulanus (Geoffroy in Fourcroy, 1785)")</f>
        <v>Cionus hortulanus (Geoffroy in Fourcroy, 1785)</v>
      </c>
      <c r="F8658" s="5" t="s">
        <v>11740</v>
      </c>
      <c r="AH8658" s="4" t="str">
        <f>HYPERLINK("#Statut_biogéographique!A"&amp;_xlfn.XMATCH("P",Statut_biogéographique!A:A,2,1),"P")</f>
        <v>P</v>
      </c>
      <c r="AP8658" s="4" t="s">
        <v>376</v>
      </c>
      <c r="AR8658" s="4" t="s">
        <v>377</v>
      </c>
    </row>
    <row r="8659" spans="1:44" ht="30">
      <c r="A8659" s="4" t="s">
        <v>10753</v>
      </c>
      <c r="B8659" s="4">
        <v>15958</v>
      </c>
      <c r="D8659" s="5" t="s">
        <v>11741</v>
      </c>
      <c r="E8659" s="6" t="str">
        <f>HYPERLINK("https://inpn.mnhn.fr/espece/cd_nom/15958","Cionus longicollis C. Brisout de Barneville, 1863")</f>
        <v>Cionus longicollis C. Brisout de Barneville, 1863</v>
      </c>
      <c r="AH8659" s="4" t="str">
        <f>HYPERLINK("#Statut_biogéographique!A"&amp;_xlfn.XMATCH("P",Statut_biogéographique!A:A,2,1),"P")</f>
        <v>P</v>
      </c>
      <c r="AP8659" s="4" t="s">
        <v>376</v>
      </c>
      <c r="AR8659" s="4" t="s">
        <v>377</v>
      </c>
    </row>
    <row r="8660" spans="1:44">
      <c r="A8660" s="4" t="s">
        <v>10753</v>
      </c>
      <c r="B8660" s="4">
        <v>15959</v>
      </c>
      <c r="D8660" s="5">
        <v>15959</v>
      </c>
      <c r="E8660" s="6" t="str">
        <f>HYPERLINK("https://inpn.mnhn.fr/espece/cd_nom/15959","Cionus ganglbaueri Wingelmüller, 1914")</f>
        <v>Cionus ganglbaueri Wingelmüller, 1914</v>
      </c>
      <c r="AH8660" s="4" t="str">
        <f>HYPERLINK("#Statut_biogéographique!A"&amp;_xlfn.XMATCH("P",Statut_biogéographique!A:A,2,1),"P")</f>
        <v>P</v>
      </c>
      <c r="AP8660" s="4" t="s">
        <v>376</v>
      </c>
      <c r="AR8660" s="4" t="s">
        <v>377</v>
      </c>
    </row>
    <row r="8661" spans="1:44">
      <c r="A8661" s="4" t="s">
        <v>10753</v>
      </c>
      <c r="B8661" s="4">
        <v>15968</v>
      </c>
      <c r="D8661" s="5" t="s">
        <v>11742</v>
      </c>
      <c r="E8661" s="6" t="str">
        <f>HYPERLINK("https://inpn.mnhn.fr/espece/cd_nom/15968","Cionus olens (Fabricius, 1798)")</f>
        <v>Cionus olens (Fabricius, 1798)</v>
      </c>
      <c r="AH8661" s="4" t="str">
        <f>HYPERLINK("#Statut_biogéographique!A"&amp;_xlfn.XMATCH("P",Statut_biogéographique!A:A,2,1),"P")</f>
        <v>P</v>
      </c>
      <c r="AP8661" s="4" t="s">
        <v>376</v>
      </c>
      <c r="AR8661" s="4" t="s">
        <v>377</v>
      </c>
    </row>
    <row r="8662" spans="1:44">
      <c r="A8662" s="4" t="s">
        <v>10753</v>
      </c>
      <c r="B8662" s="4">
        <v>1597</v>
      </c>
      <c r="D8662" s="5" t="s">
        <v>11743</v>
      </c>
      <c r="E8662" s="6" t="str">
        <f>HYPERLINK("https://inpn.mnhn.fr/espece/cd_nom/1597","Araneus diadematus Clerck, 1758")</f>
        <v>Araneus diadematus Clerck, 1758</v>
      </c>
      <c r="F8662" s="5" t="s">
        <v>11744</v>
      </c>
      <c r="Q8662" s="7" t="str">
        <f>HYPERLINK("#Liste_rouge!A"&amp;_xlfn.XMATCH("LC",Liste_rouge!A:A,2,1),"LC")</f>
        <v>LC</v>
      </c>
      <c r="AH8662" s="4" t="str">
        <f>HYPERLINK("#Statut_biogéographique!A"&amp;_xlfn.XMATCH("P",Statut_biogéographique!A:A,2,1),"P")</f>
        <v>P</v>
      </c>
      <c r="AP8662" s="4" t="s">
        <v>376</v>
      </c>
      <c r="AR8662" s="4" t="s">
        <v>377</v>
      </c>
    </row>
    <row r="8663" spans="1:44">
      <c r="A8663" s="4" t="s">
        <v>10753</v>
      </c>
      <c r="B8663" s="4">
        <v>15970</v>
      </c>
      <c r="D8663" s="5" t="s">
        <v>11745</v>
      </c>
      <c r="E8663" s="6" t="str">
        <f>HYPERLINK("https://inpn.mnhn.fr/espece/cd_nom/15970","Cionus alauda (Herbst, 1784)")</f>
        <v>Cionus alauda (Herbst, 1784)</v>
      </c>
      <c r="F8663" s="5" t="s">
        <v>11746</v>
      </c>
      <c r="AH8663" s="4" t="str">
        <f>HYPERLINK("#Statut_biogéographique!A"&amp;_xlfn.XMATCH("P",Statut_biogéographique!A:A,2,1),"P")</f>
        <v>P</v>
      </c>
      <c r="AP8663" s="4" t="s">
        <v>376</v>
      </c>
      <c r="AR8663" s="4" t="s">
        <v>377</v>
      </c>
    </row>
    <row r="8664" spans="1:44">
      <c r="A8664" s="4" t="s">
        <v>10753</v>
      </c>
      <c r="B8664" s="4">
        <v>15974</v>
      </c>
      <c r="D8664" s="5" t="s">
        <v>11747</v>
      </c>
      <c r="E8664" s="6" t="str">
        <f>HYPERLINK("https://inpn.mnhn.fr/espece/cd_nom/15974","Stereonychus fraxini (De Geer, 1775)")</f>
        <v>Stereonychus fraxini (De Geer, 1775)</v>
      </c>
      <c r="AH8664" s="4" t="str">
        <f>HYPERLINK("#Statut_biogéographique!A"&amp;_xlfn.XMATCH("P",Statut_biogéographique!A:A,2,1),"P")</f>
        <v>P</v>
      </c>
      <c r="AP8664" s="4" t="s">
        <v>376</v>
      </c>
      <c r="AR8664" s="4" t="s">
        <v>377</v>
      </c>
    </row>
    <row r="8665" spans="1:44">
      <c r="A8665" s="4" t="s">
        <v>10753</v>
      </c>
      <c r="B8665" s="4">
        <v>1598</v>
      </c>
      <c r="D8665" s="5" t="s">
        <v>11748</v>
      </c>
      <c r="E8665" s="6" t="str">
        <f>HYPERLINK("https://inpn.mnhn.fr/espece/cd_nom/1598","Araneus quadratus Clerck, 1758")</f>
        <v>Araneus quadratus Clerck, 1758</v>
      </c>
      <c r="F8665" s="5" t="s">
        <v>11749</v>
      </c>
      <c r="Q8665" s="7" t="str">
        <f>HYPERLINK("#Liste_rouge!A"&amp;_xlfn.XMATCH("LC",Liste_rouge!A:A,2,1),"LC")</f>
        <v>LC</v>
      </c>
      <c r="AH8665" s="4" t="str">
        <f>HYPERLINK("#Statut_biogéographique!A"&amp;_xlfn.XMATCH("P",Statut_biogéographique!A:A,2,1),"P")</f>
        <v>P</v>
      </c>
      <c r="AP8665" s="4" t="s">
        <v>376</v>
      </c>
      <c r="AR8665" s="4" t="s">
        <v>377</v>
      </c>
    </row>
    <row r="8666" spans="1:44">
      <c r="A8666" s="4" t="s">
        <v>10753</v>
      </c>
      <c r="B8666" s="4">
        <v>15980</v>
      </c>
      <c r="D8666" s="5" t="s">
        <v>11750</v>
      </c>
      <c r="E8666" s="6" t="str">
        <f>HYPERLINK("https://inpn.mnhn.fr/espece/cd_nom/15980","Cleopus pulchellus (Herbst, 1795)")</f>
        <v>Cleopus pulchellus (Herbst, 1795)</v>
      </c>
      <c r="AH8666" s="4" t="str">
        <f>HYPERLINK("#Statut_biogéographique!A"&amp;_xlfn.XMATCH("P",Statut_biogéographique!A:A,2,1),"P")</f>
        <v>P</v>
      </c>
      <c r="AP8666" s="4" t="s">
        <v>376</v>
      </c>
      <c r="AR8666" s="4" t="s">
        <v>377</v>
      </c>
    </row>
    <row r="8667" spans="1:44">
      <c r="A8667" s="4" t="s">
        <v>10753</v>
      </c>
      <c r="B8667" s="4">
        <v>1600</v>
      </c>
      <c r="D8667" s="5">
        <v>1600</v>
      </c>
      <c r="E8667" s="6" t="str">
        <f>HYPERLINK("https://inpn.mnhn.fr/espece/cd_nom/1600","Araneus marmoreus Clerck, 1758")</f>
        <v>Araneus marmoreus Clerck, 1758</v>
      </c>
      <c r="Q8667" s="7" t="str">
        <f>HYPERLINK("#Liste_rouge!A"&amp;_xlfn.XMATCH("LC",Liste_rouge!A:A,2,1),"LC")</f>
        <v>LC</v>
      </c>
      <c r="AH8667" s="4" t="str">
        <f>HYPERLINK("#Statut_biogéographique!A"&amp;_xlfn.XMATCH("P",Statut_biogéographique!A:A,2,1),"P")</f>
        <v>P</v>
      </c>
      <c r="AP8667" s="4" t="s">
        <v>376</v>
      </c>
      <c r="AR8667" s="4" t="s">
        <v>377</v>
      </c>
    </row>
    <row r="8668" spans="1:44">
      <c r="A8668" s="4" t="s">
        <v>10753</v>
      </c>
      <c r="B8668" s="4">
        <v>16008</v>
      </c>
      <c r="D8668" s="5" t="s">
        <v>11751</v>
      </c>
      <c r="E8668" s="6" t="str">
        <f>HYPERLINK("https://inpn.mnhn.fr/espece/cd_nom/16008","Nanophyes marmoratus (Goeze, 1777)")</f>
        <v>Nanophyes marmoratus (Goeze, 1777)</v>
      </c>
      <c r="AH8668" s="4" t="str">
        <f>HYPERLINK("#Statut_biogéographique!A"&amp;_xlfn.XMATCH("P",Statut_biogéographique!A:A,2,1),"P")</f>
        <v>P</v>
      </c>
      <c r="AP8668" s="4" t="s">
        <v>376</v>
      </c>
      <c r="AR8668" s="4" t="s">
        <v>377</v>
      </c>
    </row>
    <row r="8669" spans="1:44">
      <c r="A8669" s="4" t="s">
        <v>10753</v>
      </c>
      <c r="B8669" s="4">
        <v>16018</v>
      </c>
      <c r="D8669" s="5" t="s">
        <v>11752</v>
      </c>
      <c r="E8669" s="6" t="str">
        <f>HYPERLINK("https://inpn.mnhn.fr/espece/cd_nom/16018","Nanophyes globiformis Kiesenwetter, 1864")</f>
        <v>Nanophyes globiformis Kiesenwetter, 1864</v>
      </c>
      <c r="AH8669" s="4" t="str">
        <f>HYPERLINK("#Statut_biogéographique!A"&amp;_xlfn.XMATCH("P",Statut_biogéographique!A:A,2,1),"P")</f>
        <v>P</v>
      </c>
      <c r="AP8669" s="4" t="s">
        <v>376</v>
      </c>
      <c r="AR8669" s="4" t="s">
        <v>377</v>
      </c>
    </row>
    <row r="8670" spans="1:44">
      <c r="A8670" s="4" t="s">
        <v>10753</v>
      </c>
      <c r="B8670" s="4">
        <v>1604</v>
      </c>
      <c r="D8670" s="5" t="s">
        <v>11753</v>
      </c>
      <c r="E8670" s="6" t="str">
        <f>HYPERLINK("https://inpn.mnhn.fr/espece/cd_nom/1604","Thomisus onustus Walckenaer, 1805")</f>
        <v>Thomisus onustus Walckenaer, 1805</v>
      </c>
      <c r="F8670" s="5" t="s">
        <v>11754</v>
      </c>
      <c r="Q8670" s="7" t="str">
        <f>HYPERLINK("#Liste_rouge!A"&amp;_xlfn.XMATCH("LC",Liste_rouge!A:A,2,1),"LC")</f>
        <v>LC</v>
      </c>
      <c r="AH8670" s="4" t="str">
        <f>HYPERLINK("#Statut_biogéographique!A"&amp;_xlfn.XMATCH("P",Statut_biogéographique!A:A,2,1),"P")</f>
        <v>P</v>
      </c>
      <c r="AP8670" s="4" t="s">
        <v>376</v>
      </c>
      <c r="AR8670" s="4" t="s">
        <v>377</v>
      </c>
    </row>
    <row r="8671" spans="1:44">
      <c r="A8671" s="4" t="s">
        <v>10753</v>
      </c>
      <c r="B8671" s="4">
        <v>16078</v>
      </c>
      <c r="D8671" s="5" t="s">
        <v>11755</v>
      </c>
      <c r="E8671" s="6" t="str">
        <f>HYPERLINK("https://inpn.mnhn.fr/espece/cd_nom/16078","Mecinus pyraster (Herbst, 1795)")</f>
        <v>Mecinus pyraster (Herbst, 1795)</v>
      </c>
      <c r="AH8671" s="4" t="str">
        <f>HYPERLINK("#Statut_biogéographique!A"&amp;_xlfn.XMATCH("P",Statut_biogéographique!A:A,2,1),"P")</f>
        <v>P</v>
      </c>
      <c r="AP8671" s="4" t="s">
        <v>376</v>
      </c>
      <c r="AR8671" s="4" t="s">
        <v>377</v>
      </c>
    </row>
    <row r="8672" spans="1:44">
      <c r="A8672" s="4" t="s">
        <v>10753</v>
      </c>
      <c r="B8672" s="4">
        <v>1610</v>
      </c>
      <c r="D8672" s="5" t="s">
        <v>11756</v>
      </c>
      <c r="E8672" s="6" t="str">
        <f>HYPERLINK("https://inpn.mnhn.fr/espece/cd_nom/1610","Misumena vatia (Clerck, 1758)")</f>
        <v>Misumena vatia (Clerck, 1758)</v>
      </c>
      <c r="F8672" s="5" t="s">
        <v>11757</v>
      </c>
      <c r="Q8672" s="7" t="str">
        <f>HYPERLINK("#Liste_rouge!A"&amp;_xlfn.XMATCH("LC",Liste_rouge!A:A,2,1),"LC")</f>
        <v>LC</v>
      </c>
      <c r="AH8672" s="4" t="str">
        <f>HYPERLINK("#Statut_biogéographique!A"&amp;_xlfn.XMATCH("P",Statut_biogéographique!A:A,2,1),"P")</f>
        <v>P</v>
      </c>
      <c r="AP8672" s="4" t="s">
        <v>376</v>
      </c>
      <c r="AR8672" s="4" t="s">
        <v>377</v>
      </c>
    </row>
    <row r="8673" spans="1:44">
      <c r="A8673" s="4" t="s">
        <v>10753</v>
      </c>
      <c r="B8673" s="4">
        <v>16119</v>
      </c>
      <c r="D8673" s="5" t="s">
        <v>11758</v>
      </c>
      <c r="E8673" s="6" t="str">
        <f>HYPERLINK("https://inpn.mnhn.fr/espece/cd_nom/16119","Gymnetron villosulum Gyllenhal, 1838")</f>
        <v>Gymnetron villosulum Gyllenhal, 1838</v>
      </c>
      <c r="AH8673" s="4" t="str">
        <f>HYPERLINK("#Statut_biogéographique!A"&amp;_xlfn.XMATCH("P",Statut_biogéographique!A:A,2,1),"P")</f>
        <v>P</v>
      </c>
      <c r="AP8673" s="4" t="s">
        <v>376</v>
      </c>
      <c r="AR8673" s="4" t="s">
        <v>377</v>
      </c>
    </row>
    <row r="8674" spans="1:44">
      <c r="A8674" s="4" t="s">
        <v>10753</v>
      </c>
      <c r="B8674" s="4">
        <v>16202</v>
      </c>
      <c r="D8674" s="5">
        <v>16202</v>
      </c>
      <c r="E8674" s="6" t="str">
        <f>HYPERLINK("https://inpn.mnhn.fr/espece/cd_nom/16202","Miarus abeillei Desbrochers des Loges, 1893")</f>
        <v>Miarus abeillei Desbrochers des Loges, 1893</v>
      </c>
      <c r="AH8674" s="4" t="str">
        <f>HYPERLINK("#Statut_biogéographique!A"&amp;_xlfn.XMATCH("P",Statut_biogéographique!A:A,2,1),"P")</f>
        <v>P</v>
      </c>
      <c r="AP8674" s="4" t="s">
        <v>376</v>
      </c>
      <c r="AR8674" s="4" t="s">
        <v>377</v>
      </c>
    </row>
    <row r="8675" spans="1:44" ht="30">
      <c r="A8675" s="4" t="s">
        <v>10753</v>
      </c>
      <c r="B8675" s="4">
        <v>162667</v>
      </c>
      <c r="D8675" s="5" t="s">
        <v>11759</v>
      </c>
      <c r="E8675" s="6" t="str">
        <f>HYPERLINK("https://inpn.mnhn.fr/espece/cd_nom/162667","Pacifastacus leniusculus (Dana, 1852)")</f>
        <v>Pacifastacus leniusculus (Dana, 1852)</v>
      </c>
      <c r="F8675" s="5" t="s">
        <v>11760</v>
      </c>
      <c r="O8675" s="7" t="str">
        <f>HYPERLINK("#Liste_rouge!A"&amp;_xlfn.XMATCH("LC",Liste_rouge!A:A,2,1),"LC")</f>
        <v>LC</v>
      </c>
      <c r="Q8675" s="7" t="str">
        <f>HYPERLINK("#Liste_rouge!A"&amp;_xlfn.XMATCH("NA",Liste_rouge!A:A,2,1),"NA")</f>
        <v>NA</v>
      </c>
      <c r="T8675" s="7" t="str">
        <f>HYPERLINK("#Liste_rouge!A"&amp;_xlfn.XMATCH("NA",Liste_rouge!A:A,2,1),"NA")</f>
        <v>NA</v>
      </c>
      <c r="AH8675" s="4" t="str">
        <f>HYPERLINK("#Statut_biogéographique!A"&amp;_xlfn.XMATCH("J",Statut_biogéographique!A:A,2,1),"J")</f>
        <v>J</v>
      </c>
      <c r="AL8675" s="5" t="str">
        <f>HYPERLINK("#Réglementation!A"&amp;_xlfn.XMATCH("FRnoEEEA2",Réglementation!A:A,2,1),"FRnoEEEA2 - EEEUE")</f>
        <v>FRnoEEEA2 - EEEUE</v>
      </c>
      <c r="AM8675" s="4" t="s">
        <v>375</v>
      </c>
      <c r="AN8675" s="4" t="s">
        <v>375</v>
      </c>
      <c r="AO8675" s="4" t="s">
        <v>375</v>
      </c>
      <c r="AP8675" s="4" t="s">
        <v>376</v>
      </c>
      <c r="AR8675" s="4" t="s">
        <v>377</v>
      </c>
    </row>
    <row r="8676" spans="1:44" ht="45">
      <c r="A8676" s="4" t="s">
        <v>10753</v>
      </c>
      <c r="B8676" s="4">
        <v>162668</v>
      </c>
      <c r="D8676" s="5" t="s">
        <v>11761</v>
      </c>
      <c r="E8676" s="6" t="str">
        <f>HYPERLINK("https://inpn.mnhn.fr/espece/cd_nom/162668","Procambarus clarkii (Girard, 1852)")</f>
        <v>Procambarus clarkii (Girard, 1852)</v>
      </c>
      <c r="F8676" s="5" t="s">
        <v>11762</v>
      </c>
      <c r="O8676" s="7" t="str">
        <f>HYPERLINK("#Liste_rouge!A"&amp;_xlfn.XMATCH("LC",Liste_rouge!A:A,2,1),"LC")</f>
        <v>LC</v>
      </c>
      <c r="Q8676" s="7" t="str">
        <f>HYPERLINK("#Liste_rouge!A"&amp;_xlfn.XMATCH("NA",Liste_rouge!A:A,2,1),"NA")</f>
        <v>NA</v>
      </c>
      <c r="T8676" s="7" t="str">
        <f>HYPERLINK("#Liste_rouge!A"&amp;_xlfn.XMATCH("NA",Liste_rouge!A:A,2,1),"NA")</f>
        <v>NA</v>
      </c>
      <c r="AH8676" s="4" t="str">
        <f>HYPERLINK("#Statut_biogéographique!A"&amp;_xlfn.XMATCH("J",Statut_biogéographique!A:A,2,1),"J")</f>
        <v>J</v>
      </c>
      <c r="AL8676" s="5" t="str">
        <f>HYPERLINK("#Réglementation!A"&amp;_xlfn.XMATCH("FRnoEEEA2",Réglementation!A:A,2,1),"FRnoEEEA2 - EEEUE")</f>
        <v>FRnoEEEA2 - EEEUE</v>
      </c>
      <c r="AM8676" s="4" t="s">
        <v>375</v>
      </c>
      <c r="AN8676" s="4" t="s">
        <v>375</v>
      </c>
      <c r="AO8676" s="4" t="s">
        <v>375</v>
      </c>
      <c r="AP8676" s="4" t="s">
        <v>376</v>
      </c>
      <c r="AR8676" s="4" t="s">
        <v>377</v>
      </c>
    </row>
    <row r="8677" spans="1:44" ht="45">
      <c r="A8677" s="4" t="s">
        <v>10753</v>
      </c>
      <c r="B8677" s="4">
        <v>162679</v>
      </c>
      <c r="D8677" s="5" t="s">
        <v>11763</v>
      </c>
      <c r="E8677" s="6" t="str">
        <f>HYPERLINK("https://inpn.mnhn.fr/espece/cd_nom/162679","Theodoxus fluviatilis fluviatilis (Linnaeus, 1758)")</f>
        <v>Theodoxus fluviatilis fluviatilis (Linnaeus, 1758)</v>
      </c>
      <c r="F8677" s="5" t="s">
        <v>11764</v>
      </c>
      <c r="AH8677" s="4" t="str">
        <f>HYPERLINK("#Statut_biogéographique!A"&amp;_xlfn.XMATCH("P",Statut_biogéographique!A:A,2,1),"P")</f>
        <v>P</v>
      </c>
      <c r="AP8677" s="4" t="s">
        <v>376</v>
      </c>
      <c r="AR8677" s="4" t="s">
        <v>377</v>
      </c>
    </row>
    <row r="8678" spans="1:44" ht="30">
      <c r="A8678" s="4" t="s">
        <v>10753</v>
      </c>
      <c r="B8678" s="4">
        <v>162682</v>
      </c>
      <c r="D8678" s="5">
        <v>162682</v>
      </c>
      <c r="E8678" s="6" t="str">
        <f>HYPERLINK("https://inpn.mnhn.fr/espece/cd_nom/162682","Cochlostoma septemspirale septemspirale (Razoumowsky, 1789)")</f>
        <v>Cochlostoma septemspirale septemspirale (Razoumowsky, 1789)</v>
      </c>
      <c r="F8678" s="5" t="s">
        <v>11765</v>
      </c>
      <c r="AH8678" s="4" t="str">
        <f>HYPERLINK("#Statut_biogéographique!A"&amp;_xlfn.XMATCH("P",Statut_biogéographique!A:A,2,1),"P")</f>
        <v>P</v>
      </c>
      <c r="AP8678" s="4" t="s">
        <v>376</v>
      </c>
      <c r="AR8678" s="4" t="s">
        <v>377</v>
      </c>
    </row>
    <row r="8679" spans="1:44">
      <c r="A8679" s="4" t="s">
        <v>10753</v>
      </c>
      <c r="B8679" s="4">
        <v>162699</v>
      </c>
      <c r="D8679" s="5">
        <v>162699</v>
      </c>
      <c r="E8679" s="6" t="str">
        <f>HYPERLINK("https://inpn.mnhn.fr/espece/cd_nom/162699","Acicula lineata lineata (Draparnaud, 1801)")</f>
        <v>Acicula lineata lineata (Draparnaud, 1801)</v>
      </c>
      <c r="F8679" s="5" t="s">
        <v>11766</v>
      </c>
      <c r="AH8679" s="4" t="str">
        <f>HYPERLINK("#Statut_biogéographique!A"&amp;_xlfn.XMATCH("P",Statut_biogéographique!A:A,2,1),"P")</f>
        <v>P</v>
      </c>
      <c r="AP8679" s="4" t="s">
        <v>376</v>
      </c>
      <c r="AR8679" s="4" t="s">
        <v>377</v>
      </c>
    </row>
    <row r="8680" spans="1:44">
      <c r="A8680" s="4" t="s">
        <v>10753</v>
      </c>
      <c r="B8680" s="4">
        <v>162700</v>
      </c>
      <c r="D8680" s="5" t="s">
        <v>11767</v>
      </c>
      <c r="E8680" s="6" t="str">
        <f>HYPERLINK("https://inpn.mnhn.fr/espece/cd_nom/162700","Platyla polita polita (W. Hartmann, 1840)")</f>
        <v>Platyla polita polita (W. Hartmann, 1840)</v>
      </c>
      <c r="F8680" s="5" t="s">
        <v>11768</v>
      </c>
      <c r="AH8680" s="4" t="str">
        <f>HYPERLINK("#Statut_biogéographique!A"&amp;_xlfn.XMATCH("P",Statut_biogéographique!A:A,2,1),"P")</f>
        <v>P</v>
      </c>
      <c r="AP8680" s="4" t="s">
        <v>376</v>
      </c>
      <c r="AR8680" s="4" t="s">
        <v>377</v>
      </c>
    </row>
    <row r="8681" spans="1:44">
      <c r="A8681" s="4" t="s">
        <v>10753</v>
      </c>
      <c r="B8681" s="4">
        <v>162703</v>
      </c>
      <c r="D8681" s="5" t="s">
        <v>11769</v>
      </c>
      <c r="E8681" s="6" t="str">
        <f>HYPERLINK("https://inpn.mnhn.fr/espece/cd_nom/162703","Platyla dupuyi (Paladilhe, 1868)")</f>
        <v>Platyla dupuyi (Paladilhe, 1868)</v>
      </c>
      <c r="F8681" s="5" t="s">
        <v>11770</v>
      </c>
      <c r="O8681" s="7" t="str">
        <f>HYPERLINK("#Liste_rouge!A"&amp;_xlfn.XMATCH("LC",Liste_rouge!A:A,2,1),"LC")</f>
        <v>LC</v>
      </c>
      <c r="P8681" s="7" t="str">
        <f>HYPERLINK("#Liste_rouge!A"&amp;_xlfn.XMATCH("LC",Liste_rouge!A:A,2,1),"LC")</f>
        <v>LC</v>
      </c>
      <c r="Q8681" s="7" t="str">
        <f>HYPERLINK("#Liste_rouge!A"&amp;_xlfn.XMATCH("LC",Liste_rouge!A:A,2,1),"LC")</f>
        <v>LC</v>
      </c>
      <c r="AH8681" s="4" t="str">
        <f>HYPERLINK("#Statut_biogéographique!A"&amp;_xlfn.XMATCH("S",Statut_biogéographique!A:A,2,1),"S")</f>
        <v>S</v>
      </c>
      <c r="AM8681" s="4" t="s">
        <v>375</v>
      </c>
      <c r="AN8681" s="4" t="s">
        <v>375</v>
      </c>
      <c r="AO8681" s="4" t="s">
        <v>375</v>
      </c>
      <c r="AP8681" s="4" t="s">
        <v>376</v>
      </c>
      <c r="AR8681" s="4" t="s">
        <v>377</v>
      </c>
    </row>
    <row r="8682" spans="1:44" ht="30">
      <c r="A8682" s="4" t="s">
        <v>10753</v>
      </c>
      <c r="B8682" s="4">
        <v>162783</v>
      </c>
      <c r="D8682" s="5">
        <v>162783</v>
      </c>
      <c r="E8682" s="6" t="str">
        <f>HYPERLINK("https://inpn.mnhn.fr/espece/cd_nom/162783","Bythiospeum diaphanum diaphanum (Michaud, 1831)")</f>
        <v>Bythiospeum diaphanum diaphanum (Michaud, 1831)</v>
      </c>
      <c r="F8682" s="5" t="s">
        <v>11771</v>
      </c>
      <c r="L8682" s="4" t="str">
        <f>HYPERLINK("#Réglementation!A"&amp;_xlfn.XMATCH("NMO4",Réglementation!A:A,2,1),"NMO4")</f>
        <v>NMO4</v>
      </c>
      <c r="AH8682" s="4" t="str">
        <f>HYPERLINK("#Statut_biogéographique!A"&amp;_xlfn.XMATCH("E",Statut_biogéographique!A:A,2,1),"E")</f>
        <v>E</v>
      </c>
      <c r="AP8682" s="4" t="s">
        <v>376</v>
      </c>
      <c r="AR8682" s="4" t="s">
        <v>377</v>
      </c>
    </row>
    <row r="8683" spans="1:44" ht="30">
      <c r="A8683" s="4" t="s">
        <v>10753</v>
      </c>
      <c r="B8683" s="4">
        <v>162785</v>
      </c>
      <c r="D8683" s="5" t="s">
        <v>11772</v>
      </c>
      <c r="E8683" s="6" t="str">
        <f>HYPERLINK("https://inpn.mnhn.fr/espece/cd_nom/162785","Bythiospeum charpyi charpyi (Paladilhe, 1867)")</f>
        <v>Bythiospeum charpyi charpyi (Paladilhe, 1867)</v>
      </c>
      <c r="F8683" s="5" t="s">
        <v>11773</v>
      </c>
      <c r="AH8683" s="4" t="str">
        <f>HYPERLINK("#Statut_biogéographique!A"&amp;_xlfn.XMATCH("P",Statut_biogéographique!A:A,2,1),"P")</f>
        <v>P</v>
      </c>
      <c r="AP8683" s="4" t="s">
        <v>376</v>
      </c>
      <c r="AR8683" s="4" t="s">
        <v>377</v>
      </c>
    </row>
    <row r="8684" spans="1:44" ht="30">
      <c r="A8684" s="4" t="s">
        <v>10753</v>
      </c>
      <c r="B8684" s="4">
        <v>162786</v>
      </c>
      <c r="D8684" s="5">
        <v>162786</v>
      </c>
      <c r="E8684" s="6" t="str">
        <f>HYPERLINK("https://inpn.mnhn.fr/espece/cd_nom/162786","Bythiospeum charpyi giganteum R. Bernasconi, 1969")</f>
        <v>Bythiospeum charpyi giganteum R. Bernasconi, 1969</v>
      </c>
      <c r="F8684" s="5" t="s">
        <v>11774</v>
      </c>
      <c r="AH8684" s="4" t="str">
        <f>HYPERLINK("#Statut_biogéographique!A"&amp;_xlfn.XMATCH("E",Statut_biogéographique!A:A,2,1),"E")</f>
        <v>E</v>
      </c>
      <c r="AP8684" s="4" t="s">
        <v>376</v>
      </c>
      <c r="AR8684" s="4" t="s">
        <v>377</v>
      </c>
    </row>
    <row r="8685" spans="1:44" ht="30">
      <c r="A8685" s="4" t="s">
        <v>10753</v>
      </c>
      <c r="B8685" s="4">
        <v>162791</v>
      </c>
      <c r="D8685" s="5" t="s">
        <v>11775</v>
      </c>
      <c r="E8685" s="6" t="str">
        <f>HYPERLINK("https://inpn.mnhn.fr/espece/cd_nom/162791","Bythiospeum moussonianum (Paladilhe, 1869)")</f>
        <v>Bythiospeum moussonianum (Paladilhe, 1869)</v>
      </c>
      <c r="F8685" s="5" t="s">
        <v>11776</v>
      </c>
      <c r="O8685" s="7" t="str">
        <f>HYPERLINK("#Liste_rouge!A"&amp;_xlfn.XMATCH("DD",Liste_rouge!A:A,2,1),"DD")</f>
        <v>DD</v>
      </c>
      <c r="P8685" s="7" t="str">
        <f>HYPERLINK("#Liste_rouge!A"&amp;_xlfn.XMATCH("DD",Liste_rouge!A:A,2,1),"DD")</f>
        <v>DD</v>
      </c>
      <c r="Q8685" s="7" t="str">
        <f>HYPERLINK("#Liste_rouge!A"&amp;_xlfn.XMATCH("DD",Liste_rouge!A:A,2,1),"DD")</f>
        <v>DD</v>
      </c>
      <c r="AH8685" s="4" t="str">
        <f>HYPERLINK("#Statut_biogéographique!A"&amp;_xlfn.XMATCH("E",Statut_biogéographique!A:A,2,1),"E")</f>
        <v>E</v>
      </c>
      <c r="AP8685" s="4" t="s">
        <v>376</v>
      </c>
      <c r="AR8685" s="4" t="s">
        <v>377</v>
      </c>
    </row>
    <row r="8686" spans="1:44">
      <c r="A8686" s="4" t="s">
        <v>10753</v>
      </c>
      <c r="B8686" s="4">
        <v>162792</v>
      </c>
      <c r="D8686" s="5" t="s">
        <v>11777</v>
      </c>
      <c r="E8686" s="6" t="str">
        <f>HYPERLINK("https://inpn.mnhn.fr/espece/cd_nom/162792","Bythiospeum racovitzai (Germain, 1911)")</f>
        <v>Bythiospeum racovitzai (Germain, 1911)</v>
      </c>
      <c r="F8686" s="5" t="s">
        <v>11778</v>
      </c>
      <c r="O8686" s="7" t="str">
        <f>HYPERLINK("#Liste_rouge!A"&amp;_xlfn.XMATCH("DD",Liste_rouge!A:A,2,1),"DD")</f>
        <v>DD</v>
      </c>
      <c r="P8686" s="7" t="str">
        <f>HYPERLINK("#Liste_rouge!A"&amp;_xlfn.XMATCH("DD",Liste_rouge!A:A,2,1),"DD")</f>
        <v>DD</v>
      </c>
      <c r="Q8686" s="7" t="str">
        <f>HYPERLINK("#Liste_rouge!A"&amp;_xlfn.XMATCH("DD",Liste_rouge!A:A,2,1),"DD")</f>
        <v>DD</v>
      </c>
      <c r="AH8686" s="4" t="str">
        <f>HYPERLINK("#Statut_biogéographique!A"&amp;_xlfn.XMATCH("E",Statut_biogéographique!A:A,2,1),"E")</f>
        <v>E</v>
      </c>
      <c r="AM8686" s="4" t="s">
        <v>375</v>
      </c>
      <c r="AN8686" s="4" t="s">
        <v>375</v>
      </c>
      <c r="AO8686" s="4" t="s">
        <v>375</v>
      </c>
      <c r="AP8686" s="4" t="s">
        <v>376</v>
      </c>
      <c r="AR8686" s="4" t="s">
        <v>377</v>
      </c>
    </row>
    <row r="8687" spans="1:44">
      <c r="A8687" s="4" t="s">
        <v>10753</v>
      </c>
      <c r="B8687" s="4">
        <v>162793</v>
      </c>
      <c r="D8687" s="5">
        <v>162793</v>
      </c>
      <c r="E8687" s="6" t="str">
        <f>HYPERLINK("https://inpn.mnhn.fr/espece/cd_nom/162793","Bythiospeum bressanum R. Bernasconi, 1985")</f>
        <v>Bythiospeum bressanum R. Bernasconi, 1985</v>
      </c>
      <c r="F8687" s="5" t="s">
        <v>11779</v>
      </c>
      <c r="L8687" s="4" t="str">
        <f>HYPERLINK("#Réglementation!A"&amp;_xlfn.XMATCH("NMO4",Réglementation!A:A,2,1),"NMO4")</f>
        <v>NMO4</v>
      </c>
      <c r="O8687" s="7" t="str">
        <f>HYPERLINK("#Liste_rouge!A"&amp;_xlfn.XMATCH("LC",Liste_rouge!A:A,2,1),"LC")</f>
        <v>LC</v>
      </c>
      <c r="P8687" s="7" t="str">
        <f>HYPERLINK("#Liste_rouge!A"&amp;_xlfn.XMATCH("LC",Liste_rouge!A:A,2,1),"LC")</f>
        <v>LC</v>
      </c>
      <c r="Q8687" s="7" t="str">
        <f>HYPERLINK("#Liste_rouge!A"&amp;_xlfn.XMATCH("DD",Liste_rouge!A:A,2,1),"DD")</f>
        <v>DD</v>
      </c>
      <c r="AH8687" s="4" t="str">
        <f>HYPERLINK("#Statut_biogéographique!A"&amp;_xlfn.XMATCH("E",Statut_biogéographique!A:A,2,1),"E")</f>
        <v>E</v>
      </c>
      <c r="AM8687" s="4" t="s">
        <v>375</v>
      </c>
      <c r="AN8687" s="4" t="s">
        <v>375</v>
      </c>
      <c r="AO8687" s="4" t="s">
        <v>375</v>
      </c>
      <c r="AP8687" s="4" t="s">
        <v>376</v>
      </c>
      <c r="AR8687" s="4" t="s">
        <v>377</v>
      </c>
    </row>
    <row r="8688" spans="1:44" ht="30">
      <c r="A8688" s="4" t="s">
        <v>10753</v>
      </c>
      <c r="B8688" s="4">
        <v>162794</v>
      </c>
      <c r="D8688" s="5" t="s">
        <v>11780</v>
      </c>
      <c r="E8688" s="6" t="str">
        <f>HYPERLINK("https://inpn.mnhn.fr/espece/cd_nom/162794","Bythiospeum diaphanoides R. Bernasconi, 1985")</f>
        <v>Bythiospeum diaphanoides R. Bernasconi, 1985</v>
      </c>
      <c r="F8688" s="5" t="s">
        <v>11781</v>
      </c>
      <c r="O8688" s="7" t="str">
        <f>HYPERLINK("#Liste_rouge!A"&amp;_xlfn.XMATCH("NT",Liste_rouge!A:A,2,1),"NT")</f>
        <v>NT</v>
      </c>
      <c r="P8688" s="7" t="str">
        <f>HYPERLINK("#Liste_rouge!A"&amp;_xlfn.XMATCH("NT",Liste_rouge!A:A,2,1),"NT")</f>
        <v>NT</v>
      </c>
      <c r="Q8688" s="7" t="str">
        <f>HYPERLINK("#Liste_rouge!A"&amp;_xlfn.XMATCH("DD",Liste_rouge!A:A,2,1),"DD")</f>
        <v>DD</v>
      </c>
      <c r="AH8688" s="4" t="str">
        <f>HYPERLINK("#Statut_biogéographique!A"&amp;_xlfn.XMATCH("E",Statut_biogéographique!A:A,2,1),"E")</f>
        <v>E</v>
      </c>
      <c r="AM8688" s="4" t="s">
        <v>375</v>
      </c>
      <c r="AN8688" s="4" t="s">
        <v>375</v>
      </c>
      <c r="AO8688" s="4" t="s">
        <v>375</v>
      </c>
      <c r="AP8688" s="4" t="s">
        <v>376</v>
      </c>
      <c r="AR8688" s="4" t="s">
        <v>377</v>
      </c>
    </row>
    <row r="8689" spans="1:44" ht="30">
      <c r="A8689" s="4" t="s">
        <v>10753</v>
      </c>
      <c r="B8689" s="4">
        <v>162820</v>
      </c>
      <c r="D8689" s="5" t="s">
        <v>11782</v>
      </c>
      <c r="E8689" s="6" t="str">
        <f>HYPERLINK("https://inpn.mnhn.fr/espece/cd_nom/162820","Islamia minuta consolationis (R. Bernasconi, 1985)")</f>
        <v>Islamia minuta consolationis (R. Bernasconi, 1985)</v>
      </c>
      <c r="F8689" s="5" t="s">
        <v>11783</v>
      </c>
      <c r="AH8689" s="4" t="str">
        <f>HYPERLINK("#Statut_biogéographique!A"&amp;_xlfn.XMATCH("E",Statut_biogéographique!A:A,2,1),"E")</f>
        <v>E</v>
      </c>
      <c r="AP8689" s="4" t="s">
        <v>376</v>
      </c>
      <c r="AR8689" s="4" t="s">
        <v>377</v>
      </c>
    </row>
    <row r="8690" spans="1:44">
      <c r="A8690" s="4" t="s">
        <v>10753</v>
      </c>
      <c r="B8690" s="4">
        <v>162821</v>
      </c>
      <c r="D8690" s="5" t="s">
        <v>11784</v>
      </c>
      <c r="E8690" s="6" t="str">
        <f>HYPERLINK("https://inpn.mnhn.fr/espece/cd_nom/162821","Islamia spirata (Bernasconi, 1985)")</f>
        <v>Islamia spirata (Bernasconi, 1985)</v>
      </c>
      <c r="F8690" s="5" t="s">
        <v>11785</v>
      </c>
      <c r="O8690" s="7" t="str">
        <f>HYPERLINK("#Liste_rouge!A"&amp;_xlfn.XMATCH("VU",Liste_rouge!A:A,2,1),"VU")</f>
        <v>VU</v>
      </c>
      <c r="P8690" s="7" t="str">
        <f>HYPERLINK("#Liste_rouge!A"&amp;_xlfn.XMATCH("VU",Liste_rouge!A:A,2,1),"VU")</f>
        <v>VU</v>
      </c>
      <c r="Q8690" s="7" t="str">
        <f>HYPERLINK("#Liste_rouge!A"&amp;_xlfn.XMATCH("VU",Liste_rouge!A:A,2,1),"VU")</f>
        <v>VU</v>
      </c>
      <c r="AH8690" s="4" t="str">
        <f>HYPERLINK("#Statut_biogéographique!A"&amp;_xlfn.XMATCH("E",Statut_biogéographique!A:A,2,1),"E")</f>
        <v>E</v>
      </c>
      <c r="AM8690" s="4" t="s">
        <v>375</v>
      </c>
      <c r="AN8690" s="4" t="s">
        <v>375</v>
      </c>
      <c r="AO8690" s="4" t="s">
        <v>375</v>
      </c>
      <c r="AP8690" s="4" t="s">
        <v>376</v>
      </c>
      <c r="AR8690" s="4" t="s">
        <v>377</v>
      </c>
    </row>
    <row r="8691" spans="1:44" ht="30">
      <c r="A8691" s="4" t="s">
        <v>10753</v>
      </c>
      <c r="B8691" s="4">
        <v>162822</v>
      </c>
      <c r="D8691" s="5" t="s">
        <v>11786</v>
      </c>
      <c r="E8691" s="6" t="str">
        <f>HYPERLINK("https://inpn.mnhn.fr/espece/cd_nom/162822","Islamia moquiniana (Dupuy, 1851)")</f>
        <v>Islamia moquiniana (Dupuy, 1851)</v>
      </c>
      <c r="F8691" s="5" t="s">
        <v>11787</v>
      </c>
      <c r="O8691" s="7" t="str">
        <f>HYPERLINK("#Liste_rouge!A"&amp;_xlfn.XMATCH("LC",Liste_rouge!A:A,2,1),"LC")</f>
        <v>LC</v>
      </c>
      <c r="P8691" s="7" t="str">
        <f>HYPERLINK("#Liste_rouge!A"&amp;_xlfn.XMATCH("LC",Liste_rouge!A:A,2,1),"LC")</f>
        <v>LC</v>
      </c>
      <c r="Q8691" s="7" t="str">
        <f>HYPERLINK("#Liste_rouge!A"&amp;_xlfn.XMATCH("LC",Liste_rouge!A:A,2,1),"LC")</f>
        <v>LC</v>
      </c>
      <c r="AH8691" s="4" t="str">
        <f>HYPERLINK("#Statut_biogéographique!A"&amp;_xlfn.XMATCH("E",Statut_biogéographique!A:A,2,1),"E")</f>
        <v>E</v>
      </c>
      <c r="AM8691" s="4" t="s">
        <v>375</v>
      </c>
      <c r="AN8691" s="4" t="s">
        <v>375</v>
      </c>
      <c r="AO8691" s="4" t="s">
        <v>375</v>
      </c>
      <c r="AP8691" s="4" t="s">
        <v>376</v>
      </c>
      <c r="AR8691" s="4" t="s">
        <v>377</v>
      </c>
    </row>
    <row r="8692" spans="1:44">
      <c r="A8692" s="4" t="s">
        <v>10753</v>
      </c>
      <c r="B8692" s="4">
        <v>162823</v>
      </c>
      <c r="D8692" s="5">
        <v>162823</v>
      </c>
      <c r="E8692" s="6" t="str">
        <f>HYPERLINK("https://inpn.mnhn.fr/espece/cd_nom/162823","Islamia germaini Boeters &amp; Falkner, 2003")</f>
        <v>Islamia germaini Boeters &amp; Falkner, 2003</v>
      </c>
      <c r="F8692" s="5" t="s">
        <v>11788</v>
      </c>
      <c r="O8692" s="7" t="str">
        <f>HYPERLINK("#Liste_rouge!A"&amp;_xlfn.XMATCH("DD",Liste_rouge!A:A,2,1),"DD")</f>
        <v>DD</v>
      </c>
      <c r="P8692" s="7" t="str">
        <f>HYPERLINK("#Liste_rouge!A"&amp;_xlfn.XMATCH("DD",Liste_rouge!A:A,2,1),"DD")</f>
        <v>DD</v>
      </c>
      <c r="Q8692" s="7" t="str">
        <f>HYPERLINK("#Liste_rouge!A"&amp;_xlfn.XMATCH("DD",Liste_rouge!A:A,2,1),"DD")</f>
        <v>DD</v>
      </c>
      <c r="AH8692" s="4" t="str">
        <f>HYPERLINK("#Statut_biogéographique!A"&amp;_xlfn.XMATCH("E",Statut_biogéographique!A:A,2,1),"E")</f>
        <v>E</v>
      </c>
      <c r="AP8692" s="4" t="s">
        <v>376</v>
      </c>
      <c r="AR8692" s="4" t="s">
        <v>377</v>
      </c>
    </row>
    <row r="8693" spans="1:44">
      <c r="A8693" s="4" t="s">
        <v>10753</v>
      </c>
      <c r="B8693" s="4">
        <v>162836</v>
      </c>
      <c r="D8693" s="5">
        <v>162836</v>
      </c>
      <c r="E8693" s="6" t="str">
        <f>HYPERLINK("https://inpn.mnhn.fr/espece/cd_nom/162836","Bythinella vesontiana R. Bernasconi, 1989")</f>
        <v>Bythinella vesontiana R. Bernasconi, 1989</v>
      </c>
      <c r="F8693" s="5" t="s">
        <v>11789</v>
      </c>
      <c r="L8693" s="4" t="str">
        <f>HYPERLINK("#Réglementation!A"&amp;_xlfn.XMATCH("NMO4",Réglementation!A:A,2,1),"NMO4")</f>
        <v>NMO4</v>
      </c>
      <c r="O8693" s="7" t="str">
        <f>HYPERLINK("#Liste_rouge!A"&amp;_xlfn.XMATCH("DD",Liste_rouge!A:A,2,1),"DD")</f>
        <v>DD</v>
      </c>
      <c r="P8693" s="7" t="str">
        <f>HYPERLINK("#Liste_rouge!A"&amp;_xlfn.XMATCH("DD",Liste_rouge!A:A,2,1),"DD")</f>
        <v>DD</v>
      </c>
      <c r="Q8693" s="7" t="str">
        <f>HYPERLINK("#Liste_rouge!A"&amp;_xlfn.XMATCH("DD",Liste_rouge!A:A,2,1),"DD")</f>
        <v>DD</v>
      </c>
      <c r="AH8693" s="4" t="str">
        <f>HYPERLINK("#Statut_biogéographique!A"&amp;_xlfn.XMATCH("E",Statut_biogéographique!A:A,2,1),"E")</f>
        <v>E</v>
      </c>
      <c r="AM8693" s="4" t="s">
        <v>375</v>
      </c>
      <c r="AN8693" s="4" t="s">
        <v>375</v>
      </c>
      <c r="AO8693" s="4" t="s">
        <v>375</v>
      </c>
      <c r="AP8693" s="4" t="s">
        <v>376</v>
      </c>
      <c r="AR8693" s="4" t="s">
        <v>377</v>
      </c>
    </row>
    <row r="8694" spans="1:44">
      <c r="A8694" s="4" t="s">
        <v>10753</v>
      </c>
      <c r="B8694" s="4">
        <v>162871</v>
      </c>
      <c r="D8694" s="5">
        <v>162871</v>
      </c>
      <c r="E8694" s="6" t="str">
        <f>HYPERLINK("https://inpn.mnhn.fr/espece/cd_nom/162871","Bythinella geisserti Boeters &amp; Falkner, 2003")</f>
        <v>Bythinella geisserti Boeters &amp; Falkner, 2003</v>
      </c>
      <c r="F8694" s="5" t="s">
        <v>11790</v>
      </c>
      <c r="O8694" s="7" t="str">
        <f>HYPERLINK("#Liste_rouge!A"&amp;_xlfn.XMATCH("VU",Liste_rouge!A:A,2,1),"VU")</f>
        <v>VU</v>
      </c>
      <c r="P8694" s="7" t="str">
        <f>HYPERLINK("#Liste_rouge!A"&amp;_xlfn.XMATCH("VU",Liste_rouge!A:A,2,1),"VU")</f>
        <v>VU</v>
      </c>
      <c r="Q8694" s="7" t="str">
        <f>HYPERLINK("#Liste_rouge!A"&amp;_xlfn.XMATCH("DD",Liste_rouge!A:A,2,1),"DD")</f>
        <v>DD</v>
      </c>
      <c r="AH8694" s="4" t="str">
        <f>HYPERLINK("#Statut_biogéographique!A"&amp;_xlfn.XMATCH("E",Statut_biogéographique!A:A,2,1),"E")</f>
        <v>E</v>
      </c>
      <c r="AP8694" s="4" t="s">
        <v>376</v>
      </c>
      <c r="AR8694" s="4" t="s">
        <v>377</v>
      </c>
    </row>
    <row r="8695" spans="1:44">
      <c r="A8695" s="4" t="s">
        <v>10753</v>
      </c>
      <c r="B8695" s="4">
        <v>162872</v>
      </c>
      <c r="D8695" s="5" t="s">
        <v>11791</v>
      </c>
      <c r="E8695" s="6" t="str">
        <f>HYPERLINK("https://inpn.mnhn.fr/espece/cd_nom/162872","Emmericia patula (Brumati, 1838)")</f>
        <v>Emmericia patula (Brumati, 1838)</v>
      </c>
      <c r="F8695" s="5" t="s">
        <v>11792</v>
      </c>
      <c r="O8695" s="7" t="str">
        <f>HYPERLINK("#Liste_rouge!A"&amp;_xlfn.XMATCH("LC",Liste_rouge!A:A,2,1),"LC")</f>
        <v>LC</v>
      </c>
      <c r="P8695" s="7" t="str">
        <f>HYPERLINK("#Liste_rouge!A"&amp;_xlfn.XMATCH("LC",Liste_rouge!A:A,2,1),"LC")</f>
        <v>LC</v>
      </c>
      <c r="Q8695" s="7" t="str">
        <f>HYPERLINK("#Liste_rouge!A"&amp;_xlfn.XMATCH("NA",Liste_rouge!A:A,2,1),"NA")</f>
        <v>NA</v>
      </c>
      <c r="AH8695" s="4" t="str">
        <f>HYPERLINK("#Statut_biogéographique!A"&amp;_xlfn.XMATCH("I",Statut_biogéographique!A:A,2,1),"I")</f>
        <v>I</v>
      </c>
      <c r="AM8695" s="4" t="s">
        <v>375</v>
      </c>
      <c r="AN8695" s="4" t="s">
        <v>375</v>
      </c>
      <c r="AO8695" s="4" t="s">
        <v>375</v>
      </c>
      <c r="AP8695" s="4" t="s">
        <v>376</v>
      </c>
      <c r="AR8695" s="4" t="s">
        <v>377</v>
      </c>
    </row>
    <row r="8696" spans="1:44">
      <c r="A8696" s="4" t="s">
        <v>10753</v>
      </c>
      <c r="B8696" s="4">
        <v>162879</v>
      </c>
      <c r="D8696" s="5" t="s">
        <v>11793</v>
      </c>
      <c r="E8696" s="6" t="str">
        <f>HYPERLINK("https://inpn.mnhn.fr/espece/cd_nom/162879","Valvata macrostoma Mörch, 1864")</f>
        <v>Valvata macrostoma Mörch, 1864</v>
      </c>
      <c r="F8696" s="5" t="s">
        <v>11794</v>
      </c>
      <c r="O8696" s="7" t="str">
        <f>HYPERLINK("#Liste_rouge!A"&amp;_xlfn.XMATCH("LC",Liste_rouge!A:A,2,1),"LC")</f>
        <v>LC</v>
      </c>
      <c r="P8696" s="7" t="str">
        <f>HYPERLINK("#Liste_rouge!A"&amp;_xlfn.XMATCH("LC",Liste_rouge!A:A,2,1),"LC")</f>
        <v>LC</v>
      </c>
      <c r="Q8696" s="7" t="str">
        <f>HYPERLINK("#Liste_rouge!A"&amp;_xlfn.XMATCH("DD",Liste_rouge!A:A,2,1),"DD")</f>
        <v>DD</v>
      </c>
      <c r="AE8696" s="4" t="str">
        <f>HYPERLINK("#SCAP!A"&amp;_xlfn.XMATCH("6",SCAP!A:A,2,1),"6")</f>
        <v>6</v>
      </c>
      <c r="AH8696" s="4" t="str">
        <f>HYPERLINK("#Statut_biogéographique!A"&amp;_xlfn.XMATCH("P",Statut_biogéographique!A:A,2,1),"P")</f>
        <v>P</v>
      </c>
      <c r="AM8696" s="4" t="s">
        <v>375</v>
      </c>
      <c r="AN8696" s="4" t="s">
        <v>375</v>
      </c>
      <c r="AO8696" s="4" t="s">
        <v>375</v>
      </c>
      <c r="AP8696" s="4" t="s">
        <v>376</v>
      </c>
      <c r="AR8696" s="4" t="s">
        <v>377</v>
      </c>
    </row>
    <row r="8697" spans="1:44">
      <c r="A8697" s="4" t="s">
        <v>10753</v>
      </c>
      <c r="B8697" s="4">
        <v>162884</v>
      </c>
      <c r="D8697" s="5" t="s">
        <v>11795</v>
      </c>
      <c r="E8697" s="6" t="str">
        <f>HYPERLINK("https://inpn.mnhn.fr/espece/cd_nom/162884","Stagnicola fuscus (C. Pfeiffer, 1821)")</f>
        <v>Stagnicola fuscus (C. Pfeiffer, 1821)</v>
      </c>
      <c r="F8697" s="5" t="s">
        <v>11796</v>
      </c>
      <c r="O8697" s="7" t="str">
        <f>HYPERLINK("#Liste_rouge!A"&amp;_xlfn.XMATCH("LC",Liste_rouge!A:A,2,1),"LC")</f>
        <v>LC</v>
      </c>
      <c r="P8697" s="7" t="str">
        <f>HYPERLINK("#Liste_rouge!A"&amp;_xlfn.XMATCH("LC",Liste_rouge!A:A,2,1),"LC")</f>
        <v>LC</v>
      </c>
      <c r="Q8697" s="7" t="str">
        <f>HYPERLINK("#Liste_rouge!A"&amp;_xlfn.XMATCH("LC",Liste_rouge!A:A,2,1),"LC")</f>
        <v>LC</v>
      </c>
      <c r="AH8697" s="4" t="str">
        <f>HYPERLINK("#Statut_biogéographique!A"&amp;_xlfn.XMATCH("P",Statut_biogéographique!A:A,2,1),"P")</f>
        <v>P</v>
      </c>
      <c r="AM8697" s="4" t="s">
        <v>375</v>
      </c>
      <c r="AN8697" s="4" t="s">
        <v>375</v>
      </c>
      <c r="AO8697" s="4" t="s">
        <v>375</v>
      </c>
      <c r="AP8697" s="4" t="s">
        <v>376</v>
      </c>
      <c r="AR8697" s="4" t="s">
        <v>377</v>
      </c>
    </row>
    <row r="8698" spans="1:44">
      <c r="A8698" s="4" t="s">
        <v>10753</v>
      </c>
      <c r="B8698" s="4">
        <v>162885</v>
      </c>
      <c r="D8698" s="5" t="s">
        <v>11797</v>
      </c>
      <c r="E8698" s="6" t="str">
        <f>HYPERLINK("https://inpn.mnhn.fr/espece/cd_nom/162885","Stagnicola corvus (Gmelin, 1791)")</f>
        <v>Stagnicola corvus (Gmelin, 1791)</v>
      </c>
      <c r="F8698" s="5" t="s">
        <v>11798</v>
      </c>
      <c r="O8698" s="7" t="str">
        <f>HYPERLINK("#Liste_rouge!A"&amp;_xlfn.XMATCH("LC",Liste_rouge!A:A,2,1),"LC")</f>
        <v>LC</v>
      </c>
      <c r="P8698" s="7" t="str">
        <f>HYPERLINK("#Liste_rouge!A"&amp;_xlfn.XMATCH("LC",Liste_rouge!A:A,2,1),"LC")</f>
        <v>LC</v>
      </c>
      <c r="Q8698" s="7" t="str">
        <f>HYPERLINK("#Liste_rouge!A"&amp;_xlfn.XMATCH("DD",Liste_rouge!A:A,2,1),"DD")</f>
        <v>DD</v>
      </c>
      <c r="AH8698" s="4" t="str">
        <f>HYPERLINK("#Statut_biogéographique!A"&amp;_xlfn.XMATCH("P",Statut_biogéographique!A:A,2,1),"P")</f>
        <v>P</v>
      </c>
      <c r="AM8698" s="4" t="s">
        <v>375</v>
      </c>
      <c r="AN8698" s="4" t="s">
        <v>375</v>
      </c>
      <c r="AO8698" s="4" t="s">
        <v>375</v>
      </c>
      <c r="AP8698" s="4" t="s">
        <v>376</v>
      </c>
      <c r="AR8698" s="4" t="s">
        <v>377</v>
      </c>
    </row>
    <row r="8699" spans="1:44">
      <c r="A8699" s="4" t="s">
        <v>10753</v>
      </c>
      <c r="B8699" s="4">
        <v>162891</v>
      </c>
      <c r="D8699" s="5" t="s">
        <v>11799</v>
      </c>
      <c r="E8699" s="6" t="str">
        <f>HYPERLINK("https://inpn.mnhn.fr/espece/cd_nom/162891","Myxas glutinosa (O.F. Müller, 1774)")</f>
        <v>Myxas glutinosa (O.F. Müller, 1774)</v>
      </c>
      <c r="F8699" s="5" t="s">
        <v>11800</v>
      </c>
      <c r="O8699" s="7" t="str">
        <f>HYPERLINK("#Liste_rouge!A"&amp;_xlfn.XMATCH("DD",Liste_rouge!A:A,2,1),"DD")</f>
        <v>DD</v>
      </c>
      <c r="P8699" s="7" t="str">
        <f>HYPERLINK("#Liste_rouge!A"&amp;_xlfn.XMATCH("LC",Liste_rouge!A:A,2,1),"LC")</f>
        <v>LC</v>
      </c>
      <c r="Q8699" s="7" t="str">
        <f>HYPERLINK("#Liste_rouge!A"&amp;_xlfn.XMATCH("EN",Liste_rouge!A:A,2,1),"EN")</f>
        <v>EN</v>
      </c>
      <c r="AE8699" s="4" t="str">
        <f>HYPERLINK("#SCAP!A"&amp;_xlfn.XMATCH("6",SCAP!A:A,2,1),"6")</f>
        <v>6</v>
      </c>
      <c r="AH8699" s="4" t="str">
        <f>HYPERLINK("#Statut_biogéographique!A"&amp;_xlfn.XMATCH("P",Statut_biogéographique!A:A,2,1),"P")</f>
        <v>P</v>
      </c>
      <c r="AM8699" s="4" t="s">
        <v>375</v>
      </c>
      <c r="AN8699" s="4" t="s">
        <v>375</v>
      </c>
      <c r="AO8699" s="4" t="s">
        <v>375</v>
      </c>
      <c r="AP8699" s="4" t="s">
        <v>376</v>
      </c>
      <c r="AR8699" s="4" t="s">
        <v>377</v>
      </c>
    </row>
    <row r="8700" spans="1:44">
      <c r="A8700" s="4" t="s">
        <v>10753</v>
      </c>
      <c r="B8700" s="4">
        <v>162902</v>
      </c>
      <c r="D8700" s="5" t="s">
        <v>11801</v>
      </c>
      <c r="E8700" s="6" t="str">
        <f>HYPERLINK("https://inpn.mnhn.fr/espece/cd_nom/162902","Menetus dilatatus (A. Gould, 1841)")</f>
        <v>Menetus dilatatus (A. Gould, 1841)</v>
      </c>
      <c r="F8700" s="5" t="s">
        <v>11802</v>
      </c>
      <c r="O8700" s="7" t="str">
        <f>HYPERLINK("#Liste_rouge!A"&amp;_xlfn.XMATCH("LC",Liste_rouge!A:A,2,1),"LC")</f>
        <v>LC</v>
      </c>
      <c r="Q8700" s="7" t="str">
        <f>HYPERLINK("#Liste_rouge!A"&amp;_xlfn.XMATCH("NA",Liste_rouge!A:A,2,1),"NA")</f>
        <v>NA</v>
      </c>
      <c r="AH8700" s="4" t="str">
        <f>HYPERLINK("#Statut_biogéographique!A"&amp;_xlfn.XMATCH("I",Statut_biogéographique!A:A,2,1),"I")</f>
        <v>I</v>
      </c>
      <c r="AM8700" s="4" t="s">
        <v>375</v>
      </c>
      <c r="AN8700" s="4" t="s">
        <v>375</v>
      </c>
      <c r="AO8700" s="4" t="s">
        <v>375</v>
      </c>
      <c r="AP8700" s="4" t="s">
        <v>376</v>
      </c>
      <c r="AR8700" s="4" t="s">
        <v>377</v>
      </c>
    </row>
    <row r="8701" spans="1:44" ht="30">
      <c r="A8701" s="4" t="s">
        <v>10753</v>
      </c>
      <c r="B8701" s="4">
        <v>162915</v>
      </c>
      <c r="D8701" s="5" t="s">
        <v>11803</v>
      </c>
      <c r="E8701" s="6" t="str">
        <f>HYPERLINK("https://inpn.mnhn.fr/espece/cd_nom/162915","Gyraulus parvus (Say, 1817)")</f>
        <v>Gyraulus parvus (Say, 1817)</v>
      </c>
      <c r="F8701" s="5" t="s">
        <v>11804</v>
      </c>
      <c r="O8701" s="7" t="str">
        <f>HYPERLINK("#Liste_rouge!A"&amp;_xlfn.XMATCH("LC",Liste_rouge!A:A,2,1),"LC")</f>
        <v>LC</v>
      </c>
      <c r="P8701" s="7" t="str">
        <f>HYPERLINK("#Liste_rouge!A"&amp;_xlfn.XMATCH("LC",Liste_rouge!A:A,2,1),"LC")</f>
        <v>LC</v>
      </c>
      <c r="Q8701" s="7" t="str">
        <f>HYPERLINK("#Liste_rouge!A"&amp;_xlfn.XMATCH("NA",Liste_rouge!A:A,2,1),"NA (cd_nom 162915) - DD (cd_nom 64106)")</f>
        <v>NA (cd_nom 162915) - DD (cd_nom 64106)</v>
      </c>
      <c r="AH8701" s="4" t="str">
        <f>HYPERLINK("#Statut_biogéographique!A"&amp;_xlfn.XMATCH("I",Statut_biogéographique!A:A,2,1),"I")</f>
        <v>I</v>
      </c>
      <c r="AM8701" s="4" t="s">
        <v>375</v>
      </c>
      <c r="AN8701" s="4" t="s">
        <v>375</v>
      </c>
      <c r="AO8701" s="4" t="s">
        <v>375</v>
      </c>
      <c r="AP8701" s="4" t="s">
        <v>376</v>
      </c>
      <c r="AR8701" s="4" t="s">
        <v>377</v>
      </c>
    </row>
    <row r="8702" spans="1:44">
      <c r="A8702" s="4" t="s">
        <v>10753</v>
      </c>
      <c r="B8702" s="4">
        <v>162934</v>
      </c>
      <c r="D8702" s="5" t="s">
        <v>11805</v>
      </c>
      <c r="E8702" s="6" t="str">
        <f>HYPERLINK("https://inpn.mnhn.fr/espece/cd_nom/162934","Succinella oblonga (Draparnaud, 1801)")</f>
        <v>Succinella oblonga (Draparnaud, 1801)</v>
      </c>
      <c r="F8702" s="5" t="s">
        <v>11806</v>
      </c>
      <c r="P8702" s="7" t="str">
        <f>HYPERLINK("#Liste_rouge!A"&amp;_xlfn.XMATCH("LC",Liste_rouge!A:A,2,1),"LC")</f>
        <v>LC</v>
      </c>
      <c r="Q8702" s="7" t="str">
        <f>HYPERLINK("#Liste_rouge!A"&amp;_xlfn.XMATCH("LC",Liste_rouge!A:A,2,1),"LC")</f>
        <v>LC</v>
      </c>
      <c r="AH8702" s="4" t="str">
        <f>HYPERLINK("#Statut_biogéographique!A"&amp;_xlfn.XMATCH("P",Statut_biogéographique!A:A,2,1),"P")</f>
        <v>P</v>
      </c>
      <c r="AM8702" s="4" t="s">
        <v>375</v>
      </c>
      <c r="AN8702" s="4" t="s">
        <v>375</v>
      </c>
      <c r="AO8702" s="4" t="s">
        <v>375</v>
      </c>
      <c r="AP8702" s="4" t="s">
        <v>376</v>
      </c>
      <c r="AR8702" s="4" t="s">
        <v>377</v>
      </c>
    </row>
    <row r="8703" spans="1:44" ht="60">
      <c r="A8703" s="4" t="s">
        <v>10753</v>
      </c>
      <c r="B8703" s="4">
        <v>162935</v>
      </c>
      <c r="D8703" s="5" t="s">
        <v>11807</v>
      </c>
      <c r="E8703" s="6" t="str">
        <f>HYPERLINK("https://inpn.mnhn.fr/espece/cd_nom/162935","Oxyloma elegans elegans (Risso, 1826)")</f>
        <v>Oxyloma elegans elegans (Risso, 1826)</v>
      </c>
      <c r="F8703" s="5" t="s">
        <v>11808</v>
      </c>
      <c r="AH8703" s="4" t="str">
        <f>HYPERLINK("#Statut_biogéographique!A"&amp;_xlfn.XMATCH("P",Statut_biogéographique!A:A,2,1),"P")</f>
        <v>P</v>
      </c>
      <c r="AP8703" s="4" t="s">
        <v>376</v>
      </c>
      <c r="AR8703" s="4" t="s">
        <v>377</v>
      </c>
    </row>
    <row r="8704" spans="1:44">
      <c r="A8704" s="4" t="s">
        <v>10753</v>
      </c>
      <c r="B8704" s="4">
        <v>162936</v>
      </c>
      <c r="D8704" s="5" t="s">
        <v>11809</v>
      </c>
      <c r="E8704" s="6" t="str">
        <f>HYPERLINK("https://inpn.mnhn.fr/espece/cd_nom/162936","Oxyloma sarsii (Esmark, 1886)")</f>
        <v>Oxyloma sarsii (Esmark, 1886)</v>
      </c>
      <c r="F8704" s="5" t="s">
        <v>11810</v>
      </c>
      <c r="P8704" s="7" t="str">
        <f>HYPERLINK("#Liste_rouge!A"&amp;_xlfn.XMATCH("LC",Liste_rouge!A:A,2,1),"LC")</f>
        <v>LC</v>
      </c>
      <c r="Q8704" s="7" t="str">
        <f>HYPERLINK("#Liste_rouge!A"&amp;_xlfn.XMATCH("LC",Liste_rouge!A:A,2,1),"LC")</f>
        <v>LC</v>
      </c>
      <c r="AH8704" s="4" t="str">
        <f>HYPERLINK("#Statut_biogéographique!A"&amp;_xlfn.XMATCH("P",Statut_biogéographique!A:A,2,1),"P")</f>
        <v>P</v>
      </c>
      <c r="AM8704" s="4" t="s">
        <v>375</v>
      </c>
      <c r="AN8704" s="4" t="s">
        <v>375</v>
      </c>
      <c r="AO8704" s="4" t="s">
        <v>375</v>
      </c>
      <c r="AP8704" s="4" t="s">
        <v>376</v>
      </c>
      <c r="AR8704" s="4" t="s">
        <v>377</v>
      </c>
    </row>
    <row r="8705" spans="1:44">
      <c r="A8705" s="4" t="s">
        <v>10753</v>
      </c>
      <c r="B8705" s="4">
        <v>162937</v>
      </c>
      <c r="D8705" s="5" t="s">
        <v>11811</v>
      </c>
      <c r="E8705" s="6" t="str">
        <f>HYPERLINK("https://inpn.mnhn.fr/espece/cd_nom/162937","Quickella arenaria (Potiez &amp; Michaud, 1838)")</f>
        <v>Quickella arenaria (Potiez &amp; Michaud, 1838)</v>
      </c>
      <c r="F8705" s="5" t="s">
        <v>11812</v>
      </c>
      <c r="P8705" s="7" t="str">
        <f>HYPERLINK("#Liste_rouge!A"&amp;_xlfn.XMATCH("LC",Liste_rouge!A:A,2,1),"LC")</f>
        <v>LC</v>
      </c>
      <c r="Q8705" s="7" t="str">
        <f>HYPERLINK("#Liste_rouge!A"&amp;_xlfn.XMATCH("LC",Liste_rouge!A:A,2,1),"LC")</f>
        <v>LC</v>
      </c>
      <c r="AE8705" s="4" t="str">
        <f>HYPERLINK("#SCAP!A"&amp;_xlfn.XMATCH("1+",SCAP!A:A,2,1),"1+")</f>
        <v>1+</v>
      </c>
      <c r="AH8705" s="4" t="str">
        <f>HYPERLINK("#Statut_biogéographique!A"&amp;_xlfn.XMATCH("P",Statut_biogéographique!A:A,2,1),"P")</f>
        <v>P</v>
      </c>
      <c r="AM8705" s="4" t="s">
        <v>375</v>
      </c>
      <c r="AN8705" s="4" t="s">
        <v>375</v>
      </c>
      <c r="AO8705" s="4" t="s">
        <v>375</v>
      </c>
      <c r="AP8705" s="4" t="s">
        <v>376</v>
      </c>
      <c r="AR8705" s="4" t="s">
        <v>377</v>
      </c>
    </row>
    <row r="8706" spans="1:44" ht="30">
      <c r="A8706" s="4" t="s">
        <v>10753</v>
      </c>
      <c r="B8706" s="4">
        <v>162942</v>
      </c>
      <c r="D8706" s="5" t="s">
        <v>11813</v>
      </c>
      <c r="E8706" s="6" t="str">
        <f>HYPERLINK("https://inpn.mnhn.fr/espece/cd_nom/162942","Azeca goodalli (A. Férussac, 1821)")</f>
        <v>Azeca goodalli (A. Férussac, 1821)</v>
      </c>
      <c r="F8706" s="5" t="s">
        <v>11814</v>
      </c>
      <c r="O8706" s="7" t="str">
        <f>HYPERLINK("#Liste_rouge!A"&amp;_xlfn.XMATCH("LC",Liste_rouge!A:A,2,1),"LC")</f>
        <v>LC</v>
      </c>
      <c r="P8706" s="7" t="str">
        <f>HYPERLINK("#Liste_rouge!A"&amp;_xlfn.XMATCH("LC",Liste_rouge!A:A,2,1),"LC")</f>
        <v>LC</v>
      </c>
      <c r="Q8706" s="7" t="str">
        <f>HYPERLINK("#Liste_rouge!A"&amp;_xlfn.XMATCH("LC",Liste_rouge!A:A,2,1),"LC")</f>
        <v>LC</v>
      </c>
      <c r="AH8706" s="4" t="str">
        <f>HYPERLINK("#Statut_biogéographique!A"&amp;_xlfn.XMATCH("P",Statut_biogéographique!A:A,2,1),"P")</f>
        <v>P</v>
      </c>
      <c r="AM8706" s="4" t="s">
        <v>375</v>
      </c>
      <c r="AN8706" s="4" t="s">
        <v>375</v>
      </c>
      <c r="AO8706" s="4" t="s">
        <v>375</v>
      </c>
      <c r="AP8706" s="4" t="s">
        <v>376</v>
      </c>
      <c r="AR8706" s="4" t="s">
        <v>377</v>
      </c>
    </row>
    <row r="8707" spans="1:44">
      <c r="A8707" s="4" t="s">
        <v>10753</v>
      </c>
      <c r="B8707" s="4">
        <v>162946</v>
      </c>
      <c r="D8707" s="5" t="s">
        <v>11815</v>
      </c>
      <c r="E8707" s="6" t="str">
        <f>HYPERLINK("https://inpn.mnhn.fr/espece/cd_nom/162946","Lauria sempronii (Charpentier, 1837)")</f>
        <v>Lauria sempronii (Charpentier, 1837)</v>
      </c>
      <c r="F8707" s="5" t="s">
        <v>11816</v>
      </c>
      <c r="Q8707" s="7" t="str">
        <f>HYPERLINK("#Liste_rouge!A"&amp;_xlfn.XMATCH("DD",Liste_rouge!A:A,2,1),"DD")</f>
        <v>DD</v>
      </c>
      <c r="AH8707" s="4" t="str">
        <f>HYPERLINK("#Statut_biogéographique!A"&amp;_xlfn.XMATCH("P",Statut_biogéographique!A:A,2,1),"P")</f>
        <v>P</v>
      </c>
      <c r="AP8707" s="4" t="s">
        <v>376</v>
      </c>
      <c r="AR8707" s="4" t="s">
        <v>377</v>
      </c>
    </row>
    <row r="8708" spans="1:44">
      <c r="A8708" s="4" t="s">
        <v>10753</v>
      </c>
      <c r="B8708" s="4">
        <v>162948</v>
      </c>
      <c r="D8708" s="5">
        <v>162948</v>
      </c>
      <c r="E8708" s="6" t="str">
        <f>HYPERLINK("https://inpn.mnhn.fr/espece/cd_nom/162948","Orcula dolium dolium (Draparnaud, 1801)")</f>
        <v>Orcula dolium dolium (Draparnaud, 1801)</v>
      </c>
      <c r="F8708" s="5" t="s">
        <v>11817</v>
      </c>
      <c r="AH8708" s="4" t="str">
        <f>HYPERLINK("#Statut_biogéographique!A"&amp;_xlfn.XMATCH("P",Statut_biogéographique!A:A,2,1),"P")</f>
        <v>P</v>
      </c>
      <c r="AP8708" s="4" t="s">
        <v>376</v>
      </c>
      <c r="AR8708" s="4" t="s">
        <v>377</v>
      </c>
    </row>
    <row r="8709" spans="1:44" ht="30">
      <c r="A8709" s="4" t="s">
        <v>10753</v>
      </c>
      <c r="B8709" s="4">
        <v>162949</v>
      </c>
      <c r="D8709" s="5" t="s">
        <v>11818</v>
      </c>
      <c r="E8709" s="6" t="str">
        <f>HYPERLINK("https://inpn.mnhn.fr/espece/cd_nom/162949","Sphyradium doliolum (Bruguière, 1792)")</f>
        <v>Sphyradium doliolum (Bruguière, 1792)</v>
      </c>
      <c r="F8709" s="5" t="s">
        <v>11819</v>
      </c>
      <c r="O8709" s="7" t="str">
        <f>HYPERLINK("#Liste_rouge!A"&amp;_xlfn.XMATCH("LC",Liste_rouge!A:A,2,1),"LC")</f>
        <v>LC</v>
      </c>
      <c r="P8709" s="7" t="str">
        <f>HYPERLINK("#Liste_rouge!A"&amp;_xlfn.XMATCH("LC",Liste_rouge!A:A,2,1),"LC")</f>
        <v>LC</v>
      </c>
      <c r="Q8709" s="7" t="str">
        <f>HYPERLINK("#Liste_rouge!A"&amp;_xlfn.XMATCH("LC",Liste_rouge!A:A,2,1),"LC")</f>
        <v>LC</v>
      </c>
      <c r="AH8709" s="4" t="str">
        <f>HYPERLINK("#Statut_biogéographique!A"&amp;_xlfn.XMATCH("P",Statut_biogéographique!A:A,2,1),"P")</f>
        <v>P</v>
      </c>
      <c r="AM8709" s="4" t="s">
        <v>375</v>
      </c>
      <c r="AN8709" s="4" t="s">
        <v>375</v>
      </c>
      <c r="AO8709" s="4" t="s">
        <v>375</v>
      </c>
      <c r="AP8709" s="4" t="s">
        <v>376</v>
      </c>
      <c r="AR8709" s="4" t="s">
        <v>377</v>
      </c>
    </row>
    <row r="8710" spans="1:44">
      <c r="A8710" s="4" t="s">
        <v>10753</v>
      </c>
      <c r="B8710" s="4">
        <v>162959</v>
      </c>
      <c r="D8710" s="5" t="s">
        <v>11820</v>
      </c>
      <c r="E8710" s="6" t="str">
        <f>HYPERLINK("https://inpn.mnhn.fr/espece/cd_nom/162959","Vallonia excentrica Sterki, 1893")</f>
        <v>Vallonia excentrica Sterki, 1893</v>
      </c>
      <c r="F8710" s="5" t="s">
        <v>11821</v>
      </c>
      <c r="P8710" s="7" t="str">
        <f>HYPERLINK("#Liste_rouge!A"&amp;_xlfn.XMATCH("LC",Liste_rouge!A:A,2,1),"LC")</f>
        <v>LC</v>
      </c>
      <c r="Q8710" s="7" t="str">
        <f>HYPERLINK("#Liste_rouge!A"&amp;_xlfn.XMATCH("LC",Liste_rouge!A:A,2,1),"LC")</f>
        <v>LC</v>
      </c>
      <c r="AH8710" s="4" t="str">
        <f>HYPERLINK("#Statut_biogéographique!A"&amp;_xlfn.XMATCH("P",Statut_biogéographique!A:A,2,1),"P")</f>
        <v>P</v>
      </c>
      <c r="AM8710" s="4" t="s">
        <v>375</v>
      </c>
      <c r="AN8710" s="4" t="s">
        <v>375</v>
      </c>
      <c r="AO8710" s="4" t="s">
        <v>375</v>
      </c>
      <c r="AP8710" s="4" t="s">
        <v>376</v>
      </c>
      <c r="AR8710" s="4" t="s">
        <v>377</v>
      </c>
    </row>
    <row r="8711" spans="1:44">
      <c r="A8711" s="4" t="s">
        <v>10753</v>
      </c>
      <c r="B8711" s="4">
        <v>162960</v>
      </c>
      <c r="D8711" s="5" t="s">
        <v>11822</v>
      </c>
      <c r="E8711" s="6" t="str">
        <f>HYPERLINK("https://inpn.mnhn.fr/espece/cd_nom/162960","Vallonia enniensis (Gredler, 1856)")</f>
        <v>Vallonia enniensis (Gredler, 1856)</v>
      </c>
      <c r="F8711" s="5" t="s">
        <v>11823</v>
      </c>
      <c r="O8711" s="7" t="str">
        <f>HYPERLINK("#Liste_rouge!A"&amp;_xlfn.XMATCH("DD",Liste_rouge!A:A,2,1),"DD")</f>
        <v>DD</v>
      </c>
      <c r="P8711" s="7" t="str">
        <f>HYPERLINK("#Liste_rouge!A"&amp;_xlfn.XMATCH("NT",Liste_rouge!A:A,2,1),"NT")</f>
        <v>NT</v>
      </c>
      <c r="Q8711" s="7" t="str">
        <f>HYPERLINK("#Liste_rouge!A"&amp;_xlfn.XMATCH("LC",Liste_rouge!A:A,2,1),"LC")</f>
        <v>LC</v>
      </c>
      <c r="AH8711" s="4" t="str">
        <f>HYPERLINK("#Statut_biogéographique!A"&amp;_xlfn.XMATCH("P",Statut_biogéographique!A:A,2,1),"P")</f>
        <v>P</v>
      </c>
      <c r="AM8711" s="4" t="s">
        <v>375</v>
      </c>
      <c r="AN8711" s="4" t="s">
        <v>375</v>
      </c>
      <c r="AO8711" s="4" t="s">
        <v>375</v>
      </c>
      <c r="AP8711" s="4" t="s">
        <v>376</v>
      </c>
      <c r="AR8711" s="4" t="s">
        <v>377</v>
      </c>
    </row>
    <row r="8712" spans="1:44">
      <c r="A8712" s="4" t="s">
        <v>10753</v>
      </c>
      <c r="B8712" s="4">
        <v>162964</v>
      </c>
      <c r="D8712" s="5" t="s">
        <v>11824</v>
      </c>
      <c r="E8712" s="6" t="str">
        <f>HYPERLINK("https://inpn.mnhn.fr/espece/cd_nom/162964","Acanthinula aculeata (O.F. Müller, 1774)")</f>
        <v>Acanthinula aculeata (O.F. Müller, 1774)</v>
      </c>
      <c r="F8712" s="5" t="s">
        <v>11825</v>
      </c>
      <c r="P8712" s="7" t="str">
        <f>HYPERLINK("#Liste_rouge!A"&amp;_xlfn.XMATCH("LC",Liste_rouge!A:A,2,1),"LC")</f>
        <v>LC</v>
      </c>
      <c r="Q8712" s="7" t="str">
        <f>HYPERLINK("#Liste_rouge!A"&amp;_xlfn.XMATCH("LC",Liste_rouge!A:A,2,1),"LC")</f>
        <v>LC</v>
      </c>
      <c r="AH8712" s="4" t="str">
        <f>HYPERLINK("#Statut_biogéographique!A"&amp;_xlfn.XMATCH("P",Statut_biogéographique!A:A,2,1),"P")</f>
        <v>P</v>
      </c>
      <c r="AM8712" s="4" t="s">
        <v>375</v>
      </c>
      <c r="AN8712" s="4" t="s">
        <v>375</v>
      </c>
      <c r="AO8712" s="4" t="s">
        <v>375</v>
      </c>
      <c r="AP8712" s="4" t="s">
        <v>376</v>
      </c>
      <c r="AR8712" s="4" t="s">
        <v>377</v>
      </c>
    </row>
    <row r="8713" spans="1:44" ht="30">
      <c r="A8713" s="4" t="s">
        <v>10753</v>
      </c>
      <c r="B8713" s="4">
        <v>162967</v>
      </c>
      <c r="D8713" s="5" t="s">
        <v>11826</v>
      </c>
      <c r="E8713" s="6" t="str">
        <f>HYPERLINK("https://inpn.mnhn.fr/espece/cd_nom/162967","Pupilla triplicata (S. Studer, 1820)")</f>
        <v>Pupilla triplicata (S. Studer, 1820)</v>
      </c>
      <c r="F8713" s="5" t="s">
        <v>11827</v>
      </c>
      <c r="P8713" s="7" t="str">
        <f>HYPERLINK("#Liste_rouge!A"&amp;_xlfn.XMATCH("LC",Liste_rouge!A:A,2,1),"LC")</f>
        <v>LC</v>
      </c>
      <c r="Q8713" s="7" t="str">
        <f>HYPERLINK("#Liste_rouge!A"&amp;_xlfn.XMATCH("LC",Liste_rouge!A:A,2,1),"LC")</f>
        <v>LC</v>
      </c>
      <c r="AH8713" s="4" t="str">
        <f>HYPERLINK("#Statut_biogéographique!A"&amp;_xlfn.XMATCH("P",Statut_biogéographique!A:A,2,1),"P")</f>
        <v>P</v>
      </c>
      <c r="AM8713" s="4" t="s">
        <v>375</v>
      </c>
      <c r="AN8713" s="4" t="s">
        <v>375</v>
      </c>
      <c r="AO8713" s="4" t="s">
        <v>375</v>
      </c>
      <c r="AP8713" s="4" t="s">
        <v>376</v>
      </c>
      <c r="AR8713" s="4" t="s">
        <v>377</v>
      </c>
    </row>
    <row r="8714" spans="1:44">
      <c r="A8714" s="4" t="s">
        <v>10753</v>
      </c>
      <c r="B8714" s="4">
        <v>162968</v>
      </c>
      <c r="D8714" s="5" t="s">
        <v>11828</v>
      </c>
      <c r="E8714" s="6" t="str">
        <f>HYPERLINK("https://inpn.mnhn.fr/espece/cd_nom/162968","Pupilla sterrii (Voith, 1840)")</f>
        <v>Pupilla sterrii (Voith, 1840)</v>
      </c>
      <c r="F8714" s="5" t="s">
        <v>11829</v>
      </c>
      <c r="P8714" s="7" t="str">
        <f>HYPERLINK("#Liste_rouge!A"&amp;_xlfn.XMATCH("LC",Liste_rouge!A:A,2,1),"LC")</f>
        <v>LC</v>
      </c>
      <c r="Q8714" s="7" t="str">
        <f>HYPERLINK("#Liste_rouge!A"&amp;_xlfn.XMATCH("LC",Liste_rouge!A:A,2,1),"LC")</f>
        <v>LC</v>
      </c>
      <c r="AH8714" s="4" t="str">
        <f>HYPERLINK("#Statut_biogéographique!A"&amp;_xlfn.XMATCH("P",Statut_biogéographique!A:A,2,1),"P")</f>
        <v>P</v>
      </c>
      <c r="AM8714" s="4" t="s">
        <v>375</v>
      </c>
      <c r="AN8714" s="4" t="s">
        <v>375</v>
      </c>
      <c r="AO8714" s="4" t="s">
        <v>375</v>
      </c>
      <c r="AP8714" s="4" t="s">
        <v>376</v>
      </c>
      <c r="AR8714" s="4" t="s">
        <v>377</v>
      </c>
    </row>
    <row r="8715" spans="1:44">
      <c r="A8715" s="4" t="s">
        <v>10753</v>
      </c>
      <c r="B8715" s="4">
        <v>162969</v>
      </c>
      <c r="D8715" s="5" t="s">
        <v>11830</v>
      </c>
      <c r="E8715" s="6" t="str">
        <f>HYPERLINK("https://inpn.mnhn.fr/espece/cd_nom/162969","Pupilla alpicola (Charpentier, 1837)")</f>
        <v>Pupilla alpicola (Charpentier, 1837)</v>
      </c>
      <c r="F8715" s="5" t="s">
        <v>11831</v>
      </c>
      <c r="O8715" s="7" t="str">
        <f>HYPERLINK("#Liste_rouge!A"&amp;_xlfn.XMATCH("LC",Liste_rouge!A:A,2,1),"LC")</f>
        <v>LC</v>
      </c>
      <c r="P8715" s="7" t="str">
        <f>HYPERLINK("#Liste_rouge!A"&amp;_xlfn.XMATCH("LC",Liste_rouge!A:A,2,1),"LC")</f>
        <v>LC</v>
      </c>
      <c r="Q8715" s="7" t="str">
        <f>HYPERLINK("#Liste_rouge!A"&amp;_xlfn.XMATCH("LC",Liste_rouge!A:A,2,1),"LC")</f>
        <v>LC</v>
      </c>
      <c r="AH8715" s="4" t="str">
        <f>HYPERLINK("#Statut_biogéographique!A"&amp;_xlfn.XMATCH("P",Statut_biogéographique!A:A,2,1),"P")</f>
        <v>P</v>
      </c>
      <c r="AM8715" s="4" t="s">
        <v>375</v>
      </c>
      <c r="AN8715" s="4" t="s">
        <v>375</v>
      </c>
      <c r="AO8715" s="4" t="s">
        <v>375</v>
      </c>
      <c r="AP8715" s="4" t="s">
        <v>376</v>
      </c>
      <c r="AR8715" s="4" t="s">
        <v>377</v>
      </c>
    </row>
    <row r="8716" spans="1:44">
      <c r="A8716" s="4" t="s">
        <v>10753</v>
      </c>
      <c r="B8716" s="4">
        <v>162970</v>
      </c>
      <c r="D8716" s="5" t="s">
        <v>11832</v>
      </c>
      <c r="E8716" s="6" t="str">
        <f>HYPERLINK("https://inpn.mnhn.fr/espece/cd_nom/162970","Pyramidula rupestris (Draparnaud, 1801)")</f>
        <v>Pyramidula rupestris (Draparnaud, 1801)</v>
      </c>
      <c r="F8716" s="5" t="s">
        <v>11833</v>
      </c>
      <c r="P8716" s="7" t="str">
        <f>HYPERLINK("#Liste_rouge!A"&amp;_xlfn.XMATCH("LC",Liste_rouge!A:A,2,1),"LC")</f>
        <v>LC</v>
      </c>
      <c r="Q8716" s="7" t="str">
        <f>HYPERLINK("#Liste_rouge!A"&amp;_xlfn.XMATCH("DD",Liste_rouge!A:A,2,1),"DD")</f>
        <v>DD</v>
      </c>
      <c r="AH8716" s="4" t="str">
        <f>HYPERLINK("#Statut_biogéographique!A"&amp;_xlfn.XMATCH("P",Statut_biogéographique!A:A,2,1),"P")</f>
        <v>P</v>
      </c>
      <c r="AP8716" s="4" t="s">
        <v>376</v>
      </c>
      <c r="AR8716" s="4" t="s">
        <v>377</v>
      </c>
    </row>
    <row r="8717" spans="1:44">
      <c r="A8717" s="4" t="s">
        <v>10753</v>
      </c>
      <c r="B8717" s="4">
        <v>162971</v>
      </c>
      <c r="D8717" s="5" t="s">
        <v>11834</v>
      </c>
      <c r="E8717" s="6" t="str">
        <f>HYPERLINK("https://inpn.mnhn.fr/espece/cd_nom/162971","Pyramidula pusilla (Vallot, 1801)")</f>
        <v>Pyramidula pusilla (Vallot, 1801)</v>
      </c>
      <c r="F8717" s="5" t="s">
        <v>11835</v>
      </c>
      <c r="P8717" s="7" t="str">
        <f>HYPERLINK("#Liste_rouge!A"&amp;_xlfn.XMATCH("LC",Liste_rouge!A:A,2,1),"LC")</f>
        <v>LC</v>
      </c>
      <c r="Q8717" s="7" t="str">
        <f>HYPERLINK("#Liste_rouge!A"&amp;_xlfn.XMATCH("LC",Liste_rouge!A:A,2,1),"LC")</f>
        <v>LC</v>
      </c>
      <c r="AH8717" s="4" t="str">
        <f>HYPERLINK("#Statut_biogéographique!A"&amp;_xlfn.XMATCH("P",Statut_biogéographique!A:A,2,1),"P")</f>
        <v>P</v>
      </c>
      <c r="AM8717" s="4" t="s">
        <v>375</v>
      </c>
      <c r="AN8717" s="4" t="s">
        <v>375</v>
      </c>
      <c r="AO8717" s="4" t="s">
        <v>375</v>
      </c>
      <c r="AP8717" s="4" t="s">
        <v>376</v>
      </c>
      <c r="AR8717" s="4" t="s">
        <v>377</v>
      </c>
    </row>
    <row r="8718" spans="1:44" ht="60">
      <c r="A8718" s="4" t="s">
        <v>10753</v>
      </c>
      <c r="B8718" s="4">
        <v>162972</v>
      </c>
      <c r="D8718" s="5" t="s">
        <v>11836</v>
      </c>
      <c r="E8718" s="6" t="str">
        <f>HYPERLINK("https://inpn.mnhn.fr/espece/cd_nom/162972","Granopupa granum (Draparnaud, 1801)")</f>
        <v>Granopupa granum (Draparnaud, 1801)</v>
      </c>
      <c r="F8718" s="5" t="s">
        <v>11837</v>
      </c>
      <c r="P8718" s="7" t="str">
        <f>HYPERLINK("#Liste_rouge!A"&amp;_xlfn.XMATCH("LC",Liste_rouge!A:A,2,1),"LC")</f>
        <v>LC</v>
      </c>
      <c r="Q8718" s="7" t="str">
        <f>HYPERLINK("#Liste_rouge!A"&amp;_xlfn.XMATCH("LC",Liste_rouge!A:A,2,1),"LC")</f>
        <v>LC</v>
      </c>
      <c r="AH8718" s="4" t="str">
        <f>HYPERLINK("#Statut_biogéographique!A"&amp;_xlfn.XMATCH("P",Statut_biogéographique!A:A,2,1),"P")</f>
        <v>P</v>
      </c>
      <c r="AM8718" s="4" t="s">
        <v>375</v>
      </c>
      <c r="AN8718" s="4" t="s">
        <v>375</v>
      </c>
      <c r="AO8718" s="4" t="s">
        <v>375</v>
      </c>
      <c r="AP8718" s="4" t="s">
        <v>376</v>
      </c>
      <c r="AR8718" s="4" t="s">
        <v>377</v>
      </c>
    </row>
    <row r="8719" spans="1:44">
      <c r="A8719" s="4" t="s">
        <v>10753</v>
      </c>
      <c r="B8719" s="4">
        <v>162973</v>
      </c>
      <c r="D8719" s="5" t="s">
        <v>11838</v>
      </c>
      <c r="E8719" s="6" t="str">
        <f>HYPERLINK("https://inpn.mnhn.fr/espece/cd_nom/162973","Granaria frumentum (Draparnaud, 1801)")</f>
        <v>Granaria frumentum (Draparnaud, 1801)</v>
      </c>
      <c r="O8719" s="7" t="str">
        <f>HYPERLINK("#Liste_rouge!A"&amp;_xlfn.XMATCH("LC",Liste_rouge!A:A,2,1),"LC")</f>
        <v>LC</v>
      </c>
      <c r="P8719" s="7" t="str">
        <f>HYPERLINK("#Liste_rouge!A"&amp;_xlfn.XMATCH("LC",Liste_rouge!A:A,2,1),"LC")</f>
        <v>LC</v>
      </c>
      <c r="Q8719" s="7" t="str">
        <f>HYPERLINK("#Liste_rouge!A"&amp;_xlfn.XMATCH("LC",Liste_rouge!A:A,2,1),"LC")</f>
        <v>LC</v>
      </c>
      <c r="AH8719" s="4" t="str">
        <f>HYPERLINK("#Statut_biogéographique!A"&amp;_xlfn.XMATCH("P",Statut_biogéographique!A:A,2,1),"P")</f>
        <v>P</v>
      </c>
      <c r="AM8719" s="4" t="s">
        <v>375</v>
      </c>
      <c r="AN8719" s="4" t="s">
        <v>375</v>
      </c>
      <c r="AO8719" s="4" t="s">
        <v>375</v>
      </c>
      <c r="AP8719" s="4" t="s">
        <v>376</v>
      </c>
      <c r="AR8719" s="4" t="s">
        <v>377</v>
      </c>
    </row>
    <row r="8720" spans="1:44" ht="90">
      <c r="A8720" s="4" t="s">
        <v>10753</v>
      </c>
      <c r="B8720" s="4">
        <v>162975</v>
      </c>
      <c r="D8720" s="5" t="s">
        <v>11839</v>
      </c>
      <c r="E8720" s="6" t="str">
        <f>HYPERLINK("https://inpn.mnhn.fr/espece/cd_nom/162975","Granaria variabilis (Draparnaud, 1801)")</f>
        <v>Granaria variabilis (Draparnaud, 1801)</v>
      </c>
      <c r="F8720" s="5" t="s">
        <v>11840</v>
      </c>
      <c r="O8720" s="7" t="str">
        <f>HYPERLINK("#Liste_rouge!A"&amp;_xlfn.XMATCH("DD",Liste_rouge!A:A,2,1),"DD")</f>
        <v>DD</v>
      </c>
      <c r="P8720" s="7" t="str">
        <f>HYPERLINK("#Liste_rouge!A"&amp;_xlfn.XMATCH("DD",Liste_rouge!A:A,2,1),"DD")</f>
        <v>DD</v>
      </c>
      <c r="Q8720" s="7" t="str">
        <f>HYPERLINK("#Liste_rouge!A"&amp;_xlfn.XMATCH("LC",Liste_rouge!A:A,2,1),"LC")</f>
        <v>LC</v>
      </c>
      <c r="AH8720" s="4" t="str">
        <f>HYPERLINK("#Statut_biogéographique!A"&amp;_xlfn.XMATCH("P",Statut_biogéographique!A:A,2,1),"P")</f>
        <v>P</v>
      </c>
      <c r="AM8720" s="4" t="s">
        <v>375</v>
      </c>
      <c r="AN8720" s="4" t="s">
        <v>375</v>
      </c>
      <c r="AO8720" s="4" t="s">
        <v>375</v>
      </c>
      <c r="AP8720" s="4" t="s">
        <v>376</v>
      </c>
      <c r="AR8720" s="4" t="s">
        <v>377</v>
      </c>
    </row>
    <row r="8721" spans="1:44">
      <c r="A8721" s="4" t="s">
        <v>10753</v>
      </c>
      <c r="B8721" s="4">
        <v>162984</v>
      </c>
      <c r="D8721" s="5">
        <v>162984</v>
      </c>
      <c r="E8721" s="6" t="str">
        <f>HYPERLINK("https://inpn.mnhn.fr/espece/cd_nom/162984","Abida secale secale (Draparnaud, 1801)")</f>
        <v>Abida secale secale (Draparnaud, 1801)</v>
      </c>
      <c r="F8721" s="5" t="s">
        <v>11841</v>
      </c>
      <c r="AH8721" s="4" t="str">
        <f>HYPERLINK("#Statut_biogéographique!A"&amp;_xlfn.XMATCH("P",Statut_biogéographique!A:A,2,1),"P")</f>
        <v>P</v>
      </c>
      <c r="AP8721" s="4" t="s">
        <v>376</v>
      </c>
      <c r="AR8721" s="4" t="s">
        <v>377</v>
      </c>
    </row>
    <row r="8722" spans="1:44" ht="30">
      <c r="A8722" s="4" t="s">
        <v>10753</v>
      </c>
      <c r="B8722" s="4">
        <v>162998</v>
      </c>
      <c r="D8722" s="5">
        <v>162998</v>
      </c>
      <c r="E8722" s="6" t="str">
        <f>HYPERLINK("https://inpn.mnhn.fr/espece/cd_nom/162998","Chondrina avenacea avenacea (Bruguière, 1792)")</f>
        <v>Chondrina avenacea avenacea (Bruguière, 1792)</v>
      </c>
      <c r="F8722" s="5" t="s">
        <v>11842</v>
      </c>
      <c r="AH8722" s="4" t="str">
        <f>HYPERLINK("#Statut_biogéographique!A"&amp;_xlfn.XMATCH("P",Statut_biogéographique!A:A,2,1),"P")</f>
        <v>P</v>
      </c>
      <c r="AP8722" s="4" t="s">
        <v>376</v>
      </c>
      <c r="AR8722" s="4" t="s">
        <v>377</v>
      </c>
    </row>
    <row r="8723" spans="1:44">
      <c r="A8723" s="4" t="s">
        <v>10753</v>
      </c>
      <c r="B8723" s="4">
        <v>1630</v>
      </c>
      <c r="D8723" s="5" t="s">
        <v>11843</v>
      </c>
      <c r="E8723" s="6" t="str">
        <f>HYPERLINK("https://inpn.mnhn.fr/espece/cd_nom/1630","Pistius truncatus (Pallas, 1772)")</f>
        <v>Pistius truncatus (Pallas, 1772)</v>
      </c>
      <c r="F8723" s="5" t="s">
        <v>11844</v>
      </c>
      <c r="Q8723" s="7" t="str">
        <f>HYPERLINK("#Liste_rouge!A"&amp;_xlfn.XMATCH("LC",Liste_rouge!A:A,2,1),"LC")</f>
        <v>LC</v>
      </c>
      <c r="AH8723" s="4" t="str">
        <f>HYPERLINK("#Statut_biogéographique!A"&amp;_xlfn.XMATCH("P",Statut_biogéographique!A:A,2,1),"P")</f>
        <v>P</v>
      </c>
      <c r="AP8723" s="4" t="s">
        <v>376</v>
      </c>
      <c r="AR8723" s="4" t="s">
        <v>377</v>
      </c>
    </row>
    <row r="8724" spans="1:44" ht="30">
      <c r="A8724" s="4" t="s">
        <v>10753</v>
      </c>
      <c r="B8724" s="4">
        <v>163008</v>
      </c>
      <c r="D8724" s="5" t="s">
        <v>11845</v>
      </c>
      <c r="E8724" s="6" t="str">
        <f>HYPERLINK("https://inpn.mnhn.fr/espece/cd_nom/163008","Columella edentula (Draparnaud, 1805)")</f>
        <v>Columella edentula (Draparnaud, 1805)</v>
      </c>
      <c r="F8724" s="5" t="s">
        <v>11846</v>
      </c>
      <c r="O8724" s="7" t="str">
        <f>HYPERLINK("#Liste_rouge!A"&amp;_xlfn.XMATCH("LC",Liste_rouge!A:A,2,1),"LC")</f>
        <v>LC</v>
      </c>
      <c r="P8724" s="7" t="str">
        <f>HYPERLINK("#Liste_rouge!A"&amp;_xlfn.XMATCH("LC",Liste_rouge!A:A,2,1),"LC")</f>
        <v>LC</v>
      </c>
      <c r="Q8724" s="7" t="str">
        <f>HYPERLINK("#Liste_rouge!A"&amp;_xlfn.XMATCH("LC",Liste_rouge!A:A,2,1),"LC")</f>
        <v>LC</v>
      </c>
      <c r="AH8724" s="4" t="str">
        <f>HYPERLINK("#Statut_biogéographique!A"&amp;_xlfn.XMATCH("P",Statut_biogéographique!A:A,2,1),"P")</f>
        <v>P</v>
      </c>
      <c r="AM8724" s="4" t="s">
        <v>375</v>
      </c>
      <c r="AN8724" s="4" t="s">
        <v>375</v>
      </c>
      <c r="AO8724" s="4" t="s">
        <v>375</v>
      </c>
      <c r="AP8724" s="4" t="s">
        <v>376</v>
      </c>
      <c r="AR8724" s="4" t="s">
        <v>377</v>
      </c>
    </row>
    <row r="8725" spans="1:44">
      <c r="A8725" s="4" t="s">
        <v>10753</v>
      </c>
      <c r="B8725" s="4">
        <v>163011</v>
      </c>
      <c r="D8725" s="5">
        <v>163011</v>
      </c>
      <c r="E8725" s="6" t="str">
        <f>HYPERLINK("https://inpn.mnhn.fr/espece/cd_nom/163011","Columella aspera Waldén, 1966")</f>
        <v>Columella aspera Waldén, 1966</v>
      </c>
      <c r="F8725" s="5" t="s">
        <v>11847</v>
      </c>
      <c r="P8725" s="7" t="str">
        <f>HYPERLINK("#Liste_rouge!A"&amp;_xlfn.XMATCH("LC",Liste_rouge!A:A,2,1),"LC")</f>
        <v>LC</v>
      </c>
      <c r="Q8725" s="7" t="str">
        <f>HYPERLINK("#Liste_rouge!A"&amp;_xlfn.XMATCH("LC",Liste_rouge!A:A,2,1),"LC")</f>
        <v>LC</v>
      </c>
      <c r="AH8725" s="4" t="str">
        <f>HYPERLINK("#Statut_biogéographique!A"&amp;_xlfn.XMATCH("P",Statut_biogéographique!A:A,2,1),"P")</f>
        <v>P</v>
      </c>
      <c r="AM8725" s="4" t="s">
        <v>375</v>
      </c>
      <c r="AN8725" s="4" t="s">
        <v>375</v>
      </c>
      <c r="AO8725" s="4" t="s">
        <v>375</v>
      </c>
      <c r="AP8725" s="4" t="s">
        <v>376</v>
      </c>
      <c r="AR8725" s="4" t="s">
        <v>377</v>
      </c>
    </row>
    <row r="8726" spans="1:44" ht="45">
      <c r="A8726" s="4" t="s">
        <v>10753</v>
      </c>
      <c r="B8726" s="4">
        <v>163012</v>
      </c>
      <c r="D8726" s="5" t="s">
        <v>11848</v>
      </c>
      <c r="E8726" s="6" t="str">
        <f>HYPERLINK("https://inpn.mnhn.fr/espece/cd_nom/163012","Truncatellina cylindrica (J.B. Férussac, 1807)")</f>
        <v>Truncatellina cylindrica (J.B. Férussac, 1807)</v>
      </c>
      <c r="F8726" s="5" t="s">
        <v>11849</v>
      </c>
      <c r="L8726" s="4" t="str">
        <f>HYPERLINK("#Réglementation!A"&amp;_xlfn.XMATCH("NMO4",Réglementation!A:A,2,1),"NMO4")</f>
        <v>NMO4</v>
      </c>
      <c r="O8726" s="7" t="str">
        <f>HYPERLINK("#Liste_rouge!A"&amp;_xlfn.XMATCH("EN",Liste_rouge!A:A,2,1),"EN")</f>
        <v>EN</v>
      </c>
      <c r="P8726" s="7" t="str">
        <f>HYPERLINK("#Liste_rouge!A"&amp;_xlfn.XMATCH("LC",Liste_rouge!A:A,2,1),"LC (cd_nom 163012) - EN (cd_nom 61752)")</f>
        <v>LC (cd_nom 163012) - EN (cd_nom 61752)</v>
      </c>
      <c r="Q8726" s="7" t="str">
        <f>HYPERLINK("#Liste_rouge!A"&amp;_xlfn.XMATCH("LC",Liste_rouge!A:A,2,1),"LC (cd_nom 163012) - DD (cd_nom 61752)")</f>
        <v>LC (cd_nom 163012) - DD (cd_nom 61752)</v>
      </c>
      <c r="AE8726" s="4" t="str">
        <f>HYPERLINK("#SCAP!A"&amp;_xlfn.XMATCH("2+",SCAP!A:A,2,1),"2+")</f>
        <v>2+</v>
      </c>
      <c r="AF8726" s="4" t="str">
        <f>HYPERLINK("#SCAP!A"&amp;_xlfn.XMATCH("2+",SCAP!A:A,2,1),"2+")</f>
        <v>2+</v>
      </c>
      <c r="AH8726" s="4" t="str">
        <f>HYPERLINK("#Statut_biogéographique!A"&amp;_xlfn.XMATCH("P",Statut_biogéographique!A:A,2,1),"P")</f>
        <v>P</v>
      </c>
      <c r="AM8726" s="4" t="s">
        <v>375</v>
      </c>
      <c r="AN8726" s="4" t="s">
        <v>375</v>
      </c>
      <c r="AO8726" s="4" t="s">
        <v>375</v>
      </c>
      <c r="AP8726" s="4" t="s">
        <v>376</v>
      </c>
      <c r="AR8726" s="4" t="s">
        <v>377</v>
      </c>
    </row>
    <row r="8727" spans="1:44" ht="30">
      <c r="A8727" s="4" t="s">
        <v>10753</v>
      </c>
      <c r="B8727" s="4">
        <v>163013</v>
      </c>
      <c r="D8727" s="5" t="s">
        <v>11850</v>
      </c>
      <c r="E8727" s="6" t="str">
        <f>HYPERLINK("https://inpn.mnhn.fr/espece/cd_nom/163013","Truncatellina callicratis (Scacchi, 1833)")</f>
        <v>Truncatellina callicratis (Scacchi, 1833)</v>
      </c>
      <c r="F8727" s="5" t="s">
        <v>11851</v>
      </c>
      <c r="P8727" s="7" t="str">
        <f>HYPERLINK("#Liste_rouge!A"&amp;_xlfn.XMATCH("LC",Liste_rouge!A:A,2,1),"LC")</f>
        <v>LC</v>
      </c>
      <c r="Q8727" s="7" t="str">
        <f>HYPERLINK("#Liste_rouge!A"&amp;_xlfn.XMATCH("LC",Liste_rouge!A:A,2,1),"LC")</f>
        <v>LC</v>
      </c>
      <c r="AH8727" s="4" t="str">
        <f>HYPERLINK("#Statut_biogéographique!A"&amp;_xlfn.XMATCH("P",Statut_biogéographique!A:A,2,1),"P")</f>
        <v>P</v>
      </c>
      <c r="AM8727" s="4" t="s">
        <v>375</v>
      </c>
      <c r="AN8727" s="4" t="s">
        <v>375</v>
      </c>
      <c r="AO8727" s="4" t="s">
        <v>375</v>
      </c>
      <c r="AP8727" s="4" t="s">
        <v>376</v>
      </c>
      <c r="AR8727" s="4" t="s">
        <v>377</v>
      </c>
    </row>
    <row r="8728" spans="1:44" ht="30">
      <c r="A8728" s="4" t="s">
        <v>10753</v>
      </c>
      <c r="B8728" s="4">
        <v>163014</v>
      </c>
      <c r="D8728" s="5" t="s">
        <v>11852</v>
      </c>
      <c r="E8728" s="6" t="str">
        <f>HYPERLINK("https://inpn.mnhn.fr/espece/cd_nom/163014","Truncatellina claustralis (Gredler, 1856)")</f>
        <v>Truncatellina claustralis (Gredler, 1856)</v>
      </c>
      <c r="F8728" s="5" t="s">
        <v>11853</v>
      </c>
      <c r="P8728" s="7" t="str">
        <f>HYPERLINK("#Liste_rouge!A"&amp;_xlfn.XMATCH("LC",Liste_rouge!A:A,2,1),"LC")</f>
        <v>LC</v>
      </c>
      <c r="Q8728" s="7" t="str">
        <f>HYPERLINK("#Liste_rouge!A"&amp;_xlfn.XMATCH("LC",Liste_rouge!A:A,2,1),"LC")</f>
        <v>LC</v>
      </c>
      <c r="AH8728" s="4" t="str">
        <f>HYPERLINK("#Statut_biogéographique!A"&amp;_xlfn.XMATCH("P",Statut_biogéographique!A:A,2,1),"P")</f>
        <v>P</v>
      </c>
      <c r="AM8728" s="4" t="s">
        <v>375</v>
      </c>
      <c r="AN8728" s="4" t="s">
        <v>375</v>
      </c>
      <c r="AO8728" s="4" t="s">
        <v>375</v>
      </c>
      <c r="AP8728" s="4" t="s">
        <v>376</v>
      </c>
      <c r="AR8728" s="4" t="s">
        <v>377</v>
      </c>
    </row>
    <row r="8729" spans="1:44" ht="30">
      <c r="A8729" s="4" t="s">
        <v>10753</v>
      </c>
      <c r="B8729" s="4">
        <v>163016</v>
      </c>
      <c r="D8729" s="5" t="s">
        <v>11854</v>
      </c>
      <c r="E8729" s="6" t="str">
        <f>HYPERLINK("https://inpn.mnhn.fr/espece/cd_nom/163016","Vertigo pusilla O.F. Müller, 1774")</f>
        <v>Vertigo pusilla O.F. Müller, 1774</v>
      </c>
      <c r="F8729" s="5" t="s">
        <v>11855</v>
      </c>
      <c r="P8729" s="7" t="str">
        <f>HYPERLINK("#Liste_rouge!A"&amp;_xlfn.XMATCH("LC",Liste_rouge!A:A,2,1),"LC")</f>
        <v>LC</v>
      </c>
      <c r="Q8729" s="7" t="str">
        <f>HYPERLINK("#Liste_rouge!A"&amp;_xlfn.XMATCH("LC",Liste_rouge!A:A,2,1),"LC")</f>
        <v>LC</v>
      </c>
      <c r="AH8729" s="4" t="str">
        <f>HYPERLINK("#Statut_biogéographique!A"&amp;_xlfn.XMATCH("P",Statut_biogéographique!A:A,2,1),"P")</f>
        <v>P</v>
      </c>
      <c r="AM8729" s="4" t="s">
        <v>375</v>
      </c>
      <c r="AN8729" s="4" t="s">
        <v>375</v>
      </c>
      <c r="AO8729" s="4" t="s">
        <v>375</v>
      </c>
      <c r="AP8729" s="4" t="s">
        <v>376</v>
      </c>
      <c r="AR8729" s="4" t="s">
        <v>377</v>
      </c>
    </row>
    <row r="8730" spans="1:44" ht="45">
      <c r="A8730" s="4" t="s">
        <v>10753</v>
      </c>
      <c r="B8730" s="4">
        <v>163017</v>
      </c>
      <c r="D8730" s="5" t="s">
        <v>11856</v>
      </c>
      <c r="E8730" s="6" t="str">
        <f>HYPERLINK("https://inpn.mnhn.fr/espece/cd_nom/163017","Vertigo antivertigo (Draparnaud, 1801)")</f>
        <v>Vertigo antivertigo (Draparnaud, 1801)</v>
      </c>
      <c r="F8730" s="5" t="s">
        <v>11857</v>
      </c>
      <c r="P8730" s="7" t="str">
        <f>HYPERLINK("#Liste_rouge!A"&amp;_xlfn.XMATCH("LC",Liste_rouge!A:A,2,1),"LC")</f>
        <v>LC</v>
      </c>
      <c r="Q8730" s="7" t="str">
        <f>HYPERLINK("#Liste_rouge!A"&amp;_xlfn.XMATCH("LC",Liste_rouge!A:A,2,1),"LC")</f>
        <v>LC</v>
      </c>
      <c r="AH8730" s="4" t="str">
        <f>HYPERLINK("#Statut_biogéographique!A"&amp;_xlfn.XMATCH("P",Statut_biogéographique!A:A,2,1),"P")</f>
        <v>P</v>
      </c>
      <c r="AM8730" s="4" t="s">
        <v>375</v>
      </c>
      <c r="AN8730" s="4" t="s">
        <v>375</v>
      </c>
      <c r="AO8730" s="4" t="s">
        <v>375</v>
      </c>
      <c r="AP8730" s="4" t="s">
        <v>376</v>
      </c>
      <c r="AR8730" s="4" t="s">
        <v>377</v>
      </c>
    </row>
    <row r="8731" spans="1:44">
      <c r="A8731" s="4" t="s">
        <v>10753</v>
      </c>
      <c r="B8731" s="4">
        <v>163018</v>
      </c>
      <c r="D8731" s="5" t="s">
        <v>11858</v>
      </c>
      <c r="E8731" s="6" t="str">
        <f>HYPERLINK("https://inpn.mnhn.fr/espece/cd_nom/163018","Vertigo substriata (Jeffreys, 1833)")</f>
        <v>Vertigo substriata (Jeffreys, 1833)</v>
      </c>
      <c r="F8731" s="5" t="s">
        <v>11859</v>
      </c>
      <c r="P8731" s="7" t="str">
        <f>HYPERLINK("#Liste_rouge!A"&amp;_xlfn.XMATCH("LC",Liste_rouge!A:A,2,1),"LC")</f>
        <v>LC</v>
      </c>
      <c r="Q8731" s="7" t="str">
        <f>HYPERLINK("#Liste_rouge!A"&amp;_xlfn.XMATCH("LC",Liste_rouge!A:A,2,1),"LC")</f>
        <v>LC</v>
      </c>
      <c r="AH8731" s="4" t="str">
        <f>HYPERLINK("#Statut_biogéographique!A"&amp;_xlfn.XMATCH("P",Statut_biogéographique!A:A,2,1),"P")</f>
        <v>P</v>
      </c>
      <c r="AM8731" s="4" t="s">
        <v>375</v>
      </c>
      <c r="AN8731" s="4" t="s">
        <v>375</v>
      </c>
      <c r="AO8731" s="4" t="s">
        <v>375</v>
      </c>
      <c r="AP8731" s="4" t="s">
        <v>376</v>
      </c>
      <c r="AR8731" s="4" t="s">
        <v>377</v>
      </c>
    </row>
    <row r="8732" spans="1:44" ht="45">
      <c r="A8732" s="4" t="s">
        <v>10753</v>
      </c>
      <c r="B8732" s="4">
        <v>163019</v>
      </c>
      <c r="D8732" s="5" t="s">
        <v>11860</v>
      </c>
      <c r="E8732" s="6" t="str">
        <f>HYPERLINK("https://inpn.mnhn.fr/espece/cd_nom/163019","Vertigo pygmaea (Draparnaud, 1801)")</f>
        <v>Vertigo pygmaea (Draparnaud, 1801)</v>
      </c>
      <c r="F8732" s="5" t="s">
        <v>11861</v>
      </c>
      <c r="P8732" s="7" t="str">
        <f>HYPERLINK("#Liste_rouge!A"&amp;_xlfn.XMATCH("LC",Liste_rouge!A:A,2,1),"LC")</f>
        <v>LC</v>
      </c>
      <c r="Q8732" s="7" t="str">
        <f>HYPERLINK("#Liste_rouge!A"&amp;_xlfn.XMATCH("LC",Liste_rouge!A:A,2,1),"LC")</f>
        <v>LC</v>
      </c>
      <c r="AH8732" s="4" t="str">
        <f>HYPERLINK("#Statut_biogéographique!A"&amp;_xlfn.XMATCH("P",Statut_biogéographique!A:A,2,1),"P")</f>
        <v>P</v>
      </c>
      <c r="AM8732" s="4" t="s">
        <v>375</v>
      </c>
      <c r="AN8732" s="4" t="s">
        <v>375</v>
      </c>
      <c r="AO8732" s="4" t="s">
        <v>375</v>
      </c>
      <c r="AP8732" s="4" t="s">
        <v>376</v>
      </c>
      <c r="AR8732" s="4" t="s">
        <v>377</v>
      </c>
    </row>
    <row r="8733" spans="1:44">
      <c r="A8733" s="4" t="s">
        <v>10753</v>
      </c>
      <c r="B8733" s="4">
        <v>163024</v>
      </c>
      <c r="D8733" s="5" t="s">
        <v>11862</v>
      </c>
      <c r="E8733" s="6" t="str">
        <f>HYPERLINK("https://inpn.mnhn.fr/espece/cd_nom/163024","Vertigo alpestris Alder, 1838")</f>
        <v>Vertigo alpestris Alder, 1838</v>
      </c>
      <c r="F8733" s="5" t="s">
        <v>11863</v>
      </c>
      <c r="P8733" s="7" t="str">
        <f>HYPERLINK("#Liste_rouge!A"&amp;_xlfn.XMATCH("LC",Liste_rouge!A:A,2,1),"LC")</f>
        <v>LC</v>
      </c>
      <c r="Q8733" s="7" t="str">
        <f>HYPERLINK("#Liste_rouge!A"&amp;_xlfn.XMATCH("LC",Liste_rouge!A:A,2,1),"LC")</f>
        <v>LC</v>
      </c>
      <c r="AH8733" s="4" t="str">
        <f>HYPERLINK("#Statut_biogéographique!A"&amp;_xlfn.XMATCH("P",Statut_biogéographique!A:A,2,1),"P")</f>
        <v>P</v>
      </c>
      <c r="AM8733" s="4" t="s">
        <v>375</v>
      </c>
      <c r="AN8733" s="4" t="s">
        <v>375</v>
      </c>
      <c r="AO8733" s="4" t="s">
        <v>375</v>
      </c>
      <c r="AP8733" s="4" t="s">
        <v>376</v>
      </c>
      <c r="AR8733" s="4" t="s">
        <v>377</v>
      </c>
    </row>
    <row r="8734" spans="1:44" ht="30">
      <c r="A8734" s="4" t="s">
        <v>10753</v>
      </c>
      <c r="B8734" s="4">
        <v>163026</v>
      </c>
      <c r="D8734" s="5" t="s">
        <v>11864</v>
      </c>
      <c r="E8734" s="6" t="str">
        <f>HYPERLINK("https://inpn.mnhn.fr/espece/cd_nom/163026","Jaminia quadridens quadridens (O.F. Müller, 1774)")</f>
        <v>Jaminia quadridens quadridens (O.F. Müller, 1774)</v>
      </c>
      <c r="F8734" s="5" t="s">
        <v>11865</v>
      </c>
      <c r="AH8734" s="4" t="str">
        <f>HYPERLINK("#Statut_biogéographique!A"&amp;_xlfn.XMATCH("P",Statut_biogéographique!A:A,2,1),"P")</f>
        <v>P</v>
      </c>
      <c r="AP8734" s="4" t="s">
        <v>376</v>
      </c>
      <c r="AR8734" s="4" t="s">
        <v>377</v>
      </c>
    </row>
    <row r="8735" spans="1:44">
      <c r="A8735" s="4" t="s">
        <v>10753</v>
      </c>
      <c r="B8735" s="4">
        <v>163028</v>
      </c>
      <c r="D8735" s="5" t="s">
        <v>11866</v>
      </c>
      <c r="E8735" s="6" t="str">
        <f>HYPERLINK("https://inpn.mnhn.fr/espece/cd_nom/163028","Ena montana (Draparnaud, 1801)")</f>
        <v>Ena montana (Draparnaud, 1801)</v>
      </c>
      <c r="F8735" s="5" t="s">
        <v>11867</v>
      </c>
      <c r="O8735" s="7" t="str">
        <f>HYPERLINK("#Liste_rouge!A"&amp;_xlfn.XMATCH("LC",Liste_rouge!A:A,2,1),"LC")</f>
        <v>LC</v>
      </c>
      <c r="P8735" s="7" t="str">
        <f>HYPERLINK("#Liste_rouge!A"&amp;_xlfn.XMATCH("LC",Liste_rouge!A:A,2,1),"LC")</f>
        <v>LC</v>
      </c>
      <c r="Q8735" s="7" t="str">
        <f>HYPERLINK("#Liste_rouge!A"&amp;_xlfn.XMATCH("LC",Liste_rouge!A:A,2,1),"LC")</f>
        <v>LC</v>
      </c>
      <c r="AH8735" s="4" t="str">
        <f>HYPERLINK("#Statut_biogéographique!A"&amp;_xlfn.XMATCH("P",Statut_biogéographique!A:A,2,1),"P")</f>
        <v>P</v>
      </c>
      <c r="AM8735" s="4" t="s">
        <v>375</v>
      </c>
      <c r="AN8735" s="4" t="s">
        <v>375</v>
      </c>
      <c r="AO8735" s="4" t="s">
        <v>375</v>
      </c>
      <c r="AP8735" s="4" t="s">
        <v>376</v>
      </c>
      <c r="AR8735" s="4" t="s">
        <v>377</v>
      </c>
    </row>
    <row r="8736" spans="1:44" ht="30">
      <c r="A8736" s="4" t="s">
        <v>10753</v>
      </c>
      <c r="B8736" s="4">
        <v>163029</v>
      </c>
      <c r="D8736" s="5" t="s">
        <v>11868</v>
      </c>
      <c r="E8736" s="6" t="str">
        <f>HYPERLINK("https://inpn.mnhn.fr/espece/cd_nom/163029","Merdigera obscura (O.F. Müller, 1774)")</f>
        <v>Merdigera obscura (O.F. Müller, 1774)</v>
      </c>
      <c r="F8736" s="5" t="s">
        <v>11869</v>
      </c>
      <c r="O8736" s="7" t="str">
        <f>HYPERLINK("#Liste_rouge!A"&amp;_xlfn.XMATCH("LC",Liste_rouge!A:A,2,1),"LC")</f>
        <v>LC</v>
      </c>
      <c r="P8736" s="7" t="str">
        <f>HYPERLINK("#Liste_rouge!A"&amp;_xlfn.XMATCH("LC",Liste_rouge!A:A,2,1),"LC")</f>
        <v>LC</v>
      </c>
      <c r="Q8736" s="7" t="str">
        <f>HYPERLINK("#Liste_rouge!A"&amp;_xlfn.XMATCH("LC",Liste_rouge!A:A,2,1),"LC")</f>
        <v>LC</v>
      </c>
      <c r="AH8736" s="4" t="str">
        <f>HYPERLINK("#Statut_biogéographique!A"&amp;_xlfn.XMATCH("P",Statut_biogéographique!A:A,2,1),"P")</f>
        <v>P</v>
      </c>
      <c r="AM8736" s="4" t="s">
        <v>375</v>
      </c>
      <c r="AN8736" s="4" t="s">
        <v>375</v>
      </c>
      <c r="AO8736" s="4" t="s">
        <v>375</v>
      </c>
      <c r="AP8736" s="4" t="s">
        <v>376</v>
      </c>
      <c r="AR8736" s="4" t="s">
        <v>377</v>
      </c>
    </row>
    <row r="8737" spans="1:44" ht="30">
      <c r="A8737" s="4" t="s">
        <v>10753</v>
      </c>
      <c r="B8737" s="4">
        <v>163036</v>
      </c>
      <c r="D8737" s="5">
        <v>163036</v>
      </c>
      <c r="E8737" s="6" t="str">
        <f>HYPERLINK("https://inpn.mnhn.fr/espece/cd_nom/163036","Cochlodina fimbriata fimbriata (Rossmässler, 1835)")</f>
        <v>Cochlodina fimbriata fimbriata (Rossmässler, 1835)</v>
      </c>
      <c r="F8737" s="5" t="s">
        <v>11870</v>
      </c>
      <c r="AH8737" s="4" t="str">
        <f>HYPERLINK("#Statut_biogéographique!A"&amp;_xlfn.XMATCH("P",Statut_biogéographique!A:A,2,1),"P")</f>
        <v>P</v>
      </c>
      <c r="AP8737" s="4" t="s">
        <v>376</v>
      </c>
      <c r="AR8737" s="4" t="s">
        <v>377</v>
      </c>
    </row>
    <row r="8738" spans="1:44" ht="30">
      <c r="A8738" s="4" t="s">
        <v>10753</v>
      </c>
      <c r="B8738" s="4">
        <v>163039</v>
      </c>
      <c r="D8738" s="5">
        <v>163039</v>
      </c>
      <c r="E8738" s="6" t="str">
        <f>HYPERLINK("https://inpn.mnhn.fr/espece/cd_nom/163039","Cochlodina orthostoma orthostoma (Menke, 1828)")</f>
        <v>Cochlodina orthostoma orthostoma (Menke, 1828)</v>
      </c>
      <c r="F8738" s="5" t="s">
        <v>11871</v>
      </c>
      <c r="AH8738" s="4" t="str">
        <f>HYPERLINK("#Statut_biogéographique!A"&amp;_xlfn.XMATCH("P",Statut_biogéographique!A:A,2,1),"P")</f>
        <v>P</v>
      </c>
      <c r="AP8738" s="4" t="s">
        <v>376</v>
      </c>
      <c r="AR8738" s="4" t="s">
        <v>377</v>
      </c>
    </row>
    <row r="8739" spans="1:44" ht="30">
      <c r="A8739" s="4" t="s">
        <v>10753</v>
      </c>
      <c r="B8739" s="4">
        <v>163047</v>
      </c>
      <c r="D8739" s="5" t="s">
        <v>11872</v>
      </c>
      <c r="E8739" s="6" t="str">
        <f>HYPERLINK("https://inpn.mnhn.fr/espece/cd_nom/163047","Macrogastra ventricosa ventricosa (Draparnaud, 1801)")</f>
        <v>Macrogastra ventricosa ventricosa (Draparnaud, 1801)</v>
      </c>
      <c r="F8739" s="5" t="s">
        <v>11873</v>
      </c>
      <c r="AH8739" s="4" t="str">
        <f>HYPERLINK("#Statut_biogéographique!A"&amp;_xlfn.XMATCH("P",Statut_biogéographique!A:A,2,1),"P")</f>
        <v>P</v>
      </c>
      <c r="AP8739" s="4" t="s">
        <v>376</v>
      </c>
      <c r="AR8739" s="4" t="s">
        <v>377</v>
      </c>
    </row>
    <row r="8740" spans="1:44">
      <c r="A8740" s="4" t="s">
        <v>10753</v>
      </c>
      <c r="B8740" s="4">
        <v>163048</v>
      </c>
      <c r="D8740" s="5" t="s">
        <v>11874</v>
      </c>
      <c r="E8740" s="6" t="str">
        <f>HYPERLINK("https://inpn.mnhn.fr/espece/cd_nom/163048","Macrogastra rolphii (W. Turton, 1826)")</f>
        <v>Macrogastra rolphii (W. Turton, 1826)</v>
      </c>
      <c r="F8740" s="5" t="s">
        <v>11875</v>
      </c>
      <c r="O8740" s="7" t="str">
        <f>HYPERLINK("#Liste_rouge!A"&amp;_xlfn.XMATCH("LC",Liste_rouge!A:A,2,1),"LC")</f>
        <v>LC</v>
      </c>
      <c r="P8740" s="7" t="str">
        <f>HYPERLINK("#Liste_rouge!A"&amp;_xlfn.XMATCH("LC",Liste_rouge!A:A,2,1),"LC")</f>
        <v>LC</v>
      </c>
      <c r="Q8740" s="7" t="str">
        <f>HYPERLINK("#Liste_rouge!A"&amp;_xlfn.XMATCH("LC",Liste_rouge!A:A,2,1),"LC")</f>
        <v>LC</v>
      </c>
      <c r="AH8740" s="4" t="str">
        <f>HYPERLINK("#Statut_biogéographique!A"&amp;_xlfn.XMATCH("P",Statut_biogéographique!A:A,2,1),"P")</f>
        <v>P</v>
      </c>
      <c r="AM8740" s="4" t="s">
        <v>375</v>
      </c>
      <c r="AN8740" s="4" t="s">
        <v>375</v>
      </c>
      <c r="AO8740" s="4" t="s">
        <v>375</v>
      </c>
      <c r="AP8740" s="4" t="s">
        <v>376</v>
      </c>
      <c r="AR8740" s="4" t="s">
        <v>377</v>
      </c>
    </row>
    <row r="8741" spans="1:44" ht="30">
      <c r="A8741" s="4" t="s">
        <v>10753</v>
      </c>
      <c r="B8741" s="4">
        <v>163050</v>
      </c>
      <c r="D8741" s="5" t="s">
        <v>11876</v>
      </c>
      <c r="E8741" s="6" t="str">
        <f>HYPERLINK("https://inpn.mnhn.fr/espece/cd_nom/163050","Macrogastra attenuata lineolata (Held, 1836)")</f>
        <v>Macrogastra attenuata lineolata (Held, 1836)</v>
      </c>
      <c r="F8741" s="5" t="s">
        <v>11877</v>
      </c>
      <c r="AH8741" s="4" t="str">
        <f>HYPERLINK("#Statut_biogéographique!A"&amp;_xlfn.XMATCH("P",Statut_biogéographique!A:A,2,1),"P")</f>
        <v>P</v>
      </c>
      <c r="AP8741" s="4" t="s">
        <v>376</v>
      </c>
      <c r="AR8741" s="4" t="s">
        <v>377</v>
      </c>
    </row>
    <row r="8742" spans="1:44" ht="30">
      <c r="A8742" s="4" t="s">
        <v>10753</v>
      </c>
      <c r="B8742" s="4">
        <v>163055</v>
      </c>
      <c r="D8742" s="5">
        <v>163055</v>
      </c>
      <c r="E8742" s="6" t="str">
        <f>HYPERLINK("https://inpn.mnhn.fr/espece/cd_nom/163055","Macrogastra plicatula plicatula (Draparnaud, 1801)")</f>
        <v>Macrogastra plicatula plicatula (Draparnaud, 1801)</v>
      </c>
      <c r="F8742" s="5" t="s">
        <v>11878</v>
      </c>
      <c r="AH8742" s="4" t="str">
        <f>HYPERLINK("#Statut_biogéographique!A"&amp;_xlfn.XMATCH("P",Statut_biogéographique!A:A,2,1),"P")</f>
        <v>P</v>
      </c>
      <c r="AP8742" s="4" t="s">
        <v>376</v>
      </c>
      <c r="AR8742" s="4" t="s">
        <v>377</v>
      </c>
    </row>
    <row r="8743" spans="1:44" ht="60">
      <c r="A8743" s="4" t="s">
        <v>10753</v>
      </c>
      <c r="B8743" s="4">
        <v>163057</v>
      </c>
      <c r="D8743" s="5" t="s">
        <v>11879</v>
      </c>
      <c r="E8743" s="6" t="str">
        <f>HYPERLINK("https://inpn.mnhn.fr/espece/cd_nom/163057","Clausilia dubia dubia Draparnaud, 1805")</f>
        <v>Clausilia dubia dubia Draparnaud, 1805</v>
      </c>
      <c r="F8743" s="5" t="s">
        <v>11880</v>
      </c>
      <c r="AH8743" s="4" t="str">
        <f>HYPERLINK("#Statut_biogéographique!A"&amp;_xlfn.XMATCH("P",Statut_biogéographique!A:A,2,1),"P")</f>
        <v>P</v>
      </c>
      <c r="AP8743" s="4" t="s">
        <v>376</v>
      </c>
      <c r="AR8743" s="4" t="s">
        <v>377</v>
      </c>
    </row>
    <row r="8744" spans="1:44" ht="30">
      <c r="A8744" s="4" t="s">
        <v>10753</v>
      </c>
      <c r="B8744" s="4">
        <v>163064</v>
      </c>
      <c r="D8744" s="5" t="s">
        <v>11881</v>
      </c>
      <c r="E8744" s="6" t="str">
        <f>HYPERLINK("https://inpn.mnhn.fr/espece/cd_nom/163064","Clausilia rugosa parvula A. Férussac, 1807")</f>
        <v>Clausilia rugosa parvula A. Férussac, 1807</v>
      </c>
      <c r="F8744" s="5" t="s">
        <v>11882</v>
      </c>
      <c r="AH8744" s="4" t="str">
        <f>HYPERLINK("#Statut_biogéographique!A"&amp;_xlfn.XMATCH("P",Statut_biogéographique!A:A,2,1),"P")</f>
        <v>P</v>
      </c>
      <c r="AM8744" s="4" t="s">
        <v>375</v>
      </c>
      <c r="AN8744" s="4" t="s">
        <v>375</v>
      </c>
      <c r="AO8744" s="4" t="s">
        <v>375</v>
      </c>
      <c r="AP8744" s="4" t="s">
        <v>376</v>
      </c>
      <c r="AR8744" s="4" t="s">
        <v>377</v>
      </c>
    </row>
    <row r="8745" spans="1:44" ht="30">
      <c r="A8745" s="4" t="s">
        <v>10753</v>
      </c>
      <c r="B8745" s="4">
        <v>163068</v>
      </c>
      <c r="D8745" s="5" t="s">
        <v>11883</v>
      </c>
      <c r="E8745" s="6" t="str">
        <f>HYPERLINK("https://inpn.mnhn.fr/espece/cd_nom/163068","Clausilia bidentata bidentata (Strøm, 1765)")</f>
        <v>Clausilia bidentata bidentata (Strøm, 1765)</v>
      </c>
      <c r="F8745" s="5" t="s">
        <v>11884</v>
      </c>
      <c r="AH8745" s="4" t="str">
        <f>HYPERLINK("#Statut_biogéographique!A"&amp;_xlfn.XMATCH("P",Statut_biogéographique!A:A,2,1),"P")</f>
        <v>P</v>
      </c>
      <c r="AP8745" s="4" t="s">
        <v>376</v>
      </c>
      <c r="AR8745" s="4" t="s">
        <v>377</v>
      </c>
    </row>
    <row r="8746" spans="1:44">
      <c r="A8746" s="4" t="s">
        <v>10753</v>
      </c>
      <c r="B8746" s="4">
        <v>163072</v>
      </c>
      <c r="D8746" s="5" t="s">
        <v>11885</v>
      </c>
      <c r="E8746" s="6" t="str">
        <f>HYPERLINK("https://inpn.mnhn.fr/espece/cd_nom/163072","Clausilia cruciata cuspidata Held, 1836")</f>
        <v>Clausilia cruciata cuspidata Held, 1836</v>
      </c>
      <c r="F8746" s="5" t="s">
        <v>11886</v>
      </c>
      <c r="AH8746" s="4" t="str">
        <f>HYPERLINK("#Statut_biogéographique!A"&amp;_xlfn.XMATCH("P",Statut_biogéographique!A:A,2,1),"P")</f>
        <v>P</v>
      </c>
      <c r="AP8746" s="4" t="s">
        <v>376</v>
      </c>
      <c r="AR8746" s="4" t="s">
        <v>377</v>
      </c>
    </row>
    <row r="8747" spans="1:44">
      <c r="A8747" s="4" t="s">
        <v>10753</v>
      </c>
      <c r="B8747" s="4">
        <v>163076</v>
      </c>
      <c r="D8747" s="5" t="s">
        <v>11887</v>
      </c>
      <c r="E8747" s="6" t="str">
        <f>HYPERLINK("https://inpn.mnhn.fr/espece/cd_nom/163076","Laciniaria plicata plicata (Draparnaud, 1801)")</f>
        <v>Laciniaria plicata plicata (Draparnaud, 1801)</v>
      </c>
      <c r="F8747" s="5" t="s">
        <v>11888</v>
      </c>
      <c r="AH8747" s="4" t="str">
        <f>HYPERLINK("#Statut_biogéographique!A"&amp;_xlfn.XMATCH("P",Statut_biogéographique!A:A,2,1),"P")</f>
        <v>P</v>
      </c>
      <c r="AP8747" s="4" t="s">
        <v>376</v>
      </c>
      <c r="AR8747" s="4" t="s">
        <v>377</v>
      </c>
    </row>
    <row r="8748" spans="1:44" ht="30">
      <c r="A8748" s="4" t="s">
        <v>10753</v>
      </c>
      <c r="B8748" s="4">
        <v>163077</v>
      </c>
      <c r="D8748" s="5" t="s">
        <v>11889</v>
      </c>
      <c r="E8748" s="6" t="str">
        <f>HYPERLINK("https://inpn.mnhn.fr/espece/cd_nom/163077","Balea perversa (Linnaeus, 1758)")</f>
        <v>Balea perversa (Linnaeus, 1758)</v>
      </c>
      <c r="F8748" s="5" t="s">
        <v>11890</v>
      </c>
      <c r="O8748" s="7" t="str">
        <f>HYPERLINK("#Liste_rouge!A"&amp;_xlfn.XMATCH("LC",Liste_rouge!A:A,2,1),"LC")</f>
        <v>LC</v>
      </c>
      <c r="P8748" s="7" t="str">
        <f>HYPERLINK("#Liste_rouge!A"&amp;_xlfn.XMATCH("LC",Liste_rouge!A:A,2,1),"LC")</f>
        <v>LC</v>
      </c>
      <c r="Q8748" s="7" t="str">
        <f>HYPERLINK("#Liste_rouge!A"&amp;_xlfn.XMATCH("LC",Liste_rouge!A:A,2,1),"LC")</f>
        <v>LC</v>
      </c>
      <c r="AH8748" s="4" t="str">
        <f>HYPERLINK("#Statut_biogéographique!A"&amp;_xlfn.XMATCH("P",Statut_biogéographique!A:A,2,1),"P")</f>
        <v>P</v>
      </c>
      <c r="AM8748" s="4" t="s">
        <v>375</v>
      </c>
      <c r="AN8748" s="4" t="s">
        <v>375</v>
      </c>
      <c r="AO8748" s="4" t="s">
        <v>375</v>
      </c>
      <c r="AP8748" s="4" t="s">
        <v>376</v>
      </c>
      <c r="AR8748" s="4" t="s">
        <v>377</v>
      </c>
    </row>
    <row r="8749" spans="1:44" ht="30">
      <c r="A8749" s="4" t="s">
        <v>10753</v>
      </c>
      <c r="B8749" s="4">
        <v>163079</v>
      </c>
      <c r="D8749" s="5" t="s">
        <v>11891</v>
      </c>
      <c r="E8749" s="6" t="str">
        <f>HYPERLINK("https://inpn.mnhn.fr/espece/cd_nom/163079","Cecilioides acicula (O.F. Müller, 1774)")</f>
        <v>Cecilioides acicula (O.F. Müller, 1774)</v>
      </c>
      <c r="F8749" s="5" t="s">
        <v>11892</v>
      </c>
      <c r="P8749" s="7" t="str">
        <f>HYPERLINK("#Liste_rouge!A"&amp;_xlfn.XMATCH("LC",Liste_rouge!A:A,2,1),"LC")</f>
        <v>LC</v>
      </c>
      <c r="Q8749" s="7" t="str">
        <f>HYPERLINK("#Liste_rouge!A"&amp;_xlfn.XMATCH("LC",Liste_rouge!A:A,2,1),"LC")</f>
        <v>LC</v>
      </c>
      <c r="AH8749" s="4" t="str">
        <f>HYPERLINK("#Statut_biogéographique!A"&amp;_xlfn.XMATCH("P",Statut_biogéographique!A:A,2,1),"P")</f>
        <v>P</v>
      </c>
      <c r="AM8749" s="4" t="s">
        <v>375</v>
      </c>
      <c r="AN8749" s="4" t="s">
        <v>375</v>
      </c>
      <c r="AO8749" s="4" t="s">
        <v>375</v>
      </c>
      <c r="AP8749" s="4" t="s">
        <v>376</v>
      </c>
      <c r="AR8749" s="4" t="s">
        <v>377</v>
      </c>
    </row>
    <row r="8750" spans="1:44" ht="30">
      <c r="A8750" s="4" t="s">
        <v>10753</v>
      </c>
      <c r="B8750" s="4">
        <v>163089</v>
      </c>
      <c r="D8750" s="5" t="s">
        <v>11893</v>
      </c>
      <c r="E8750" s="6" t="str">
        <f>HYPERLINK("https://inpn.mnhn.fr/espece/cd_nom/163089","Testacella haliotidea Draparnaud, 1801")</f>
        <v>Testacella haliotidea Draparnaud, 1801</v>
      </c>
      <c r="F8750" s="5" t="s">
        <v>11894</v>
      </c>
      <c r="O8750" s="7" t="str">
        <f>HYPERLINK("#Liste_rouge!A"&amp;_xlfn.XMATCH("LC",Liste_rouge!A:A,2,1),"LC")</f>
        <v>LC</v>
      </c>
      <c r="P8750" s="7" t="str">
        <f>HYPERLINK("#Liste_rouge!A"&amp;_xlfn.XMATCH("LC",Liste_rouge!A:A,2,1),"LC")</f>
        <v>LC</v>
      </c>
      <c r="Q8750" s="7" t="str">
        <f>HYPERLINK("#Liste_rouge!A"&amp;_xlfn.XMATCH("LC",Liste_rouge!A:A,2,1),"LC")</f>
        <v>LC</v>
      </c>
      <c r="AH8750" s="4" t="str">
        <f>HYPERLINK("#Statut_biogéographique!A"&amp;_xlfn.XMATCH("P",Statut_biogéographique!A:A,2,1),"P")</f>
        <v>P</v>
      </c>
      <c r="AM8750" s="4" t="s">
        <v>375</v>
      </c>
      <c r="AN8750" s="4" t="s">
        <v>375</v>
      </c>
      <c r="AO8750" s="4" t="s">
        <v>375</v>
      </c>
      <c r="AP8750" s="4" t="s">
        <v>376</v>
      </c>
      <c r="AR8750" s="4" t="s">
        <v>377</v>
      </c>
    </row>
    <row r="8751" spans="1:44">
      <c r="A8751" s="4" t="s">
        <v>10753</v>
      </c>
      <c r="B8751" s="4">
        <v>163093</v>
      </c>
      <c r="D8751" s="5" t="s">
        <v>11895</v>
      </c>
      <c r="E8751" s="6" t="str">
        <f>HYPERLINK("https://inpn.mnhn.fr/espece/cd_nom/163093","Punctum pygmaeum (Draparnaud, 1801)")</f>
        <v>Punctum pygmaeum (Draparnaud, 1801)</v>
      </c>
      <c r="F8751" s="5" t="s">
        <v>11896</v>
      </c>
      <c r="P8751" s="7" t="str">
        <f>HYPERLINK("#Liste_rouge!A"&amp;_xlfn.XMATCH("LC",Liste_rouge!A:A,2,1),"LC")</f>
        <v>LC</v>
      </c>
      <c r="Q8751" s="7" t="str">
        <f>HYPERLINK("#Liste_rouge!A"&amp;_xlfn.XMATCH("LC",Liste_rouge!A:A,2,1),"LC")</f>
        <v>LC</v>
      </c>
      <c r="AH8751" s="4" t="str">
        <f>HYPERLINK("#Statut_biogéographique!A"&amp;_xlfn.XMATCH("P",Statut_biogéographique!A:A,2,1),"P")</f>
        <v>P</v>
      </c>
      <c r="AM8751" s="4" t="s">
        <v>375</v>
      </c>
      <c r="AN8751" s="4" t="s">
        <v>375</v>
      </c>
      <c r="AO8751" s="4" t="s">
        <v>375</v>
      </c>
      <c r="AP8751" s="4" t="s">
        <v>376</v>
      </c>
      <c r="AR8751" s="4" t="s">
        <v>377</v>
      </c>
    </row>
    <row r="8752" spans="1:44" ht="30">
      <c r="A8752" s="4" t="s">
        <v>10753</v>
      </c>
      <c r="B8752" s="4">
        <v>163098</v>
      </c>
      <c r="D8752" s="5" t="s">
        <v>11897</v>
      </c>
      <c r="E8752" s="6" t="str">
        <f>HYPERLINK("https://inpn.mnhn.fr/espece/cd_nom/163098","Discus rotundatus rotundatus (O.F. Müller, 1774)")</f>
        <v>Discus rotundatus rotundatus (O.F. Müller, 1774)</v>
      </c>
      <c r="F8752" s="5" t="s">
        <v>11898</v>
      </c>
      <c r="AH8752" s="4" t="str">
        <f>HYPERLINK("#Statut_biogéographique!A"&amp;_xlfn.XMATCH("P",Statut_biogéographique!A:A,2,1),"P")</f>
        <v>P</v>
      </c>
      <c r="AP8752" s="4" t="s">
        <v>376</v>
      </c>
      <c r="AR8752" s="4" t="s">
        <v>377</v>
      </c>
    </row>
    <row r="8753" spans="1:44" ht="60">
      <c r="A8753" s="4" t="s">
        <v>10753</v>
      </c>
      <c r="B8753" s="4">
        <v>163101</v>
      </c>
      <c r="D8753" s="5" t="s">
        <v>11899</v>
      </c>
      <c r="E8753" s="6" t="str">
        <f>HYPERLINK("https://inpn.mnhn.fr/espece/cd_nom/163101","Vitrea subrimata (Reinhardt, 1871)")</f>
        <v>Vitrea subrimata (Reinhardt, 1871)</v>
      </c>
      <c r="F8753" s="5" t="s">
        <v>11900</v>
      </c>
      <c r="O8753" s="7" t="str">
        <f>HYPERLINK("#Liste_rouge!A"&amp;_xlfn.XMATCH("LC",Liste_rouge!A:A,2,1),"LC")</f>
        <v>LC</v>
      </c>
      <c r="P8753" s="7" t="str">
        <f>HYPERLINK("#Liste_rouge!A"&amp;_xlfn.XMATCH("LC",Liste_rouge!A:A,2,1),"LC")</f>
        <v>LC</v>
      </c>
      <c r="Q8753" s="7" t="str">
        <f>HYPERLINK("#Liste_rouge!A"&amp;_xlfn.XMATCH("LC",Liste_rouge!A:A,2,1),"LC")</f>
        <v>LC</v>
      </c>
      <c r="AH8753" s="4" t="str">
        <f>HYPERLINK("#Statut_biogéographique!A"&amp;_xlfn.XMATCH("P",Statut_biogéographique!A:A,2,1),"P")</f>
        <v>P</v>
      </c>
      <c r="AM8753" s="4" t="s">
        <v>375</v>
      </c>
      <c r="AN8753" s="4" t="s">
        <v>375</v>
      </c>
      <c r="AO8753" s="4" t="s">
        <v>375</v>
      </c>
      <c r="AP8753" s="4" t="s">
        <v>376</v>
      </c>
      <c r="AR8753" s="4" t="s">
        <v>377</v>
      </c>
    </row>
    <row r="8754" spans="1:44" ht="30">
      <c r="A8754" s="4" t="s">
        <v>10753</v>
      </c>
      <c r="B8754" s="4">
        <v>163103</v>
      </c>
      <c r="D8754" s="5" t="s">
        <v>11901</v>
      </c>
      <c r="E8754" s="6" t="str">
        <f>HYPERLINK("https://inpn.mnhn.fr/espece/cd_nom/163103","Vitrea crystallina (O.F. Müller, 1774)")</f>
        <v>Vitrea crystallina (O.F. Müller, 1774)</v>
      </c>
      <c r="F8754" s="5" t="s">
        <v>11902</v>
      </c>
      <c r="O8754" s="7" t="str">
        <f>HYPERLINK("#Liste_rouge!A"&amp;_xlfn.XMATCH("LC",Liste_rouge!A:A,2,1),"LC")</f>
        <v>LC</v>
      </c>
      <c r="P8754" s="7" t="str">
        <f>HYPERLINK("#Liste_rouge!A"&amp;_xlfn.XMATCH("LC",Liste_rouge!A:A,2,1),"LC")</f>
        <v>LC</v>
      </c>
      <c r="Q8754" s="7" t="str">
        <f>HYPERLINK("#Liste_rouge!A"&amp;_xlfn.XMATCH("LC",Liste_rouge!A:A,2,1),"LC")</f>
        <v>LC</v>
      </c>
      <c r="AH8754" s="4" t="str">
        <f>HYPERLINK("#Statut_biogéographique!A"&amp;_xlfn.XMATCH("P",Statut_biogéographique!A:A,2,1),"P")</f>
        <v>P</v>
      </c>
      <c r="AM8754" s="4" t="s">
        <v>375</v>
      </c>
      <c r="AN8754" s="4" t="s">
        <v>375</v>
      </c>
      <c r="AO8754" s="4" t="s">
        <v>375</v>
      </c>
      <c r="AP8754" s="4" t="s">
        <v>376</v>
      </c>
      <c r="AR8754" s="4" t="s">
        <v>377</v>
      </c>
    </row>
    <row r="8755" spans="1:44" ht="45">
      <c r="A8755" s="4" t="s">
        <v>10753</v>
      </c>
      <c r="B8755" s="4">
        <v>163104</v>
      </c>
      <c r="D8755" s="5" t="s">
        <v>11903</v>
      </c>
      <c r="E8755" s="6" t="str">
        <f>HYPERLINK("https://inpn.mnhn.fr/espece/cd_nom/163104","Vitrea contracta (Westerlund, 1871)")</f>
        <v>Vitrea contracta (Westerlund, 1871)</v>
      </c>
      <c r="F8755" s="5" t="s">
        <v>11904</v>
      </c>
      <c r="P8755" s="7" t="str">
        <f>HYPERLINK("#Liste_rouge!A"&amp;_xlfn.XMATCH("LC",Liste_rouge!A:A,2,1),"LC")</f>
        <v>LC</v>
      </c>
      <c r="Q8755" s="7" t="str">
        <f>HYPERLINK("#Liste_rouge!A"&amp;_xlfn.XMATCH("LC",Liste_rouge!A:A,2,1),"LC")</f>
        <v>LC</v>
      </c>
      <c r="AH8755" s="4" t="str">
        <f>HYPERLINK("#Statut_biogéographique!A"&amp;_xlfn.XMATCH("P",Statut_biogéographique!A:A,2,1),"P")</f>
        <v>P</v>
      </c>
      <c r="AM8755" s="4" t="s">
        <v>375</v>
      </c>
      <c r="AN8755" s="4" t="s">
        <v>375</v>
      </c>
      <c r="AO8755" s="4" t="s">
        <v>375</v>
      </c>
      <c r="AP8755" s="4" t="s">
        <v>376</v>
      </c>
      <c r="AR8755" s="4" t="s">
        <v>377</v>
      </c>
    </row>
    <row r="8756" spans="1:44">
      <c r="A8756" s="4" t="s">
        <v>10753</v>
      </c>
      <c r="B8756" s="4">
        <v>163108</v>
      </c>
      <c r="D8756" s="5" t="s">
        <v>11905</v>
      </c>
      <c r="E8756" s="6" t="str">
        <f>HYPERLINK("https://inpn.mnhn.fr/espece/cd_nom/163108","Euconulus fulvus (O.F. Müller, 1774)")</f>
        <v>Euconulus fulvus (O.F. Müller, 1774)</v>
      </c>
      <c r="F8756" s="5" t="s">
        <v>11906</v>
      </c>
      <c r="P8756" s="7" t="str">
        <f>HYPERLINK("#Liste_rouge!A"&amp;_xlfn.XMATCH("LC",Liste_rouge!A:A,2,1),"LC")</f>
        <v>LC</v>
      </c>
      <c r="Q8756" s="7" t="str">
        <f>HYPERLINK("#Liste_rouge!A"&amp;_xlfn.XMATCH("LC",Liste_rouge!A:A,2,1),"LC")</f>
        <v>LC</v>
      </c>
      <c r="AH8756" s="4" t="str">
        <f>HYPERLINK("#Statut_biogéographique!A"&amp;_xlfn.XMATCH("P",Statut_biogéographique!A:A,2,1),"P")</f>
        <v>P</v>
      </c>
      <c r="AM8756" s="4" t="s">
        <v>375</v>
      </c>
      <c r="AN8756" s="4" t="s">
        <v>375</v>
      </c>
      <c r="AO8756" s="4" t="s">
        <v>375</v>
      </c>
      <c r="AP8756" s="4" t="s">
        <v>376</v>
      </c>
      <c r="AR8756" s="4" t="s">
        <v>377</v>
      </c>
    </row>
    <row r="8757" spans="1:44">
      <c r="A8757" s="4" t="s">
        <v>10753</v>
      </c>
      <c r="B8757" s="4">
        <v>163128</v>
      </c>
      <c r="D8757" s="5" t="s">
        <v>11907</v>
      </c>
      <c r="E8757" s="6" t="str">
        <f>HYPERLINK("https://inpn.mnhn.fr/espece/cd_nom/163128","Oxychilus navarricus helveticus (Blum, 1881)")</f>
        <v>Oxychilus navarricus helveticus (Blum, 1881)</v>
      </c>
      <c r="F8757" s="5" t="s">
        <v>11908</v>
      </c>
      <c r="AH8757" s="4" t="str">
        <f>HYPERLINK("#Statut_biogéographique!A"&amp;_xlfn.XMATCH("P",Statut_biogéographique!A:A,2,1),"P")</f>
        <v>P</v>
      </c>
      <c r="AP8757" s="4" t="s">
        <v>376</v>
      </c>
      <c r="AR8757" s="4" t="s">
        <v>377</v>
      </c>
    </row>
    <row r="8758" spans="1:44">
      <c r="A8758" s="4" t="s">
        <v>10753</v>
      </c>
      <c r="B8758" s="4">
        <v>163130</v>
      </c>
      <c r="D8758" s="5" t="s">
        <v>11909</v>
      </c>
      <c r="E8758" s="6" t="str">
        <f>HYPERLINK("https://inpn.mnhn.fr/espece/cd_nom/163130","Oxychilus clarus (Held, 1838)")</f>
        <v>Oxychilus clarus (Held, 1838)</v>
      </c>
      <c r="F8758" s="5" t="s">
        <v>11910</v>
      </c>
      <c r="O8758" s="7" t="str">
        <f>HYPERLINK("#Liste_rouge!A"&amp;_xlfn.XMATCH("NT",Liste_rouge!A:A,2,1),"NT")</f>
        <v>NT</v>
      </c>
      <c r="P8758" s="7" t="str">
        <f>HYPERLINK("#Liste_rouge!A"&amp;_xlfn.XMATCH("NT",Liste_rouge!A:A,2,1),"NT")</f>
        <v>NT</v>
      </c>
      <c r="Q8758" s="7" t="str">
        <f>HYPERLINK("#Liste_rouge!A"&amp;_xlfn.XMATCH("LC",Liste_rouge!A:A,2,1),"LC")</f>
        <v>LC</v>
      </c>
      <c r="AH8758" s="4" t="str">
        <f>HYPERLINK("#Statut_biogéographique!A"&amp;_xlfn.XMATCH("P",Statut_biogéographique!A:A,2,1),"P")</f>
        <v>P</v>
      </c>
      <c r="AP8758" s="4" t="s">
        <v>376</v>
      </c>
      <c r="AR8758" s="4" t="s">
        <v>377</v>
      </c>
    </row>
    <row r="8759" spans="1:44">
      <c r="A8759" s="4" t="s">
        <v>10753</v>
      </c>
      <c r="B8759" s="4">
        <v>163143</v>
      </c>
      <c r="D8759" s="5" t="s">
        <v>11911</v>
      </c>
      <c r="E8759" s="6" t="str">
        <f>HYPERLINK("https://inpn.mnhn.fr/espece/cd_nom/163143","Mediterranea depressa (Sterki, 1880)")</f>
        <v>Mediterranea depressa (Sterki, 1880)</v>
      </c>
      <c r="F8759" s="5" t="s">
        <v>11912</v>
      </c>
      <c r="O8759" s="7" t="str">
        <f>HYPERLINK("#Liste_rouge!A"&amp;_xlfn.XMATCH("LC",Liste_rouge!A:A,2,1),"LC")</f>
        <v>LC</v>
      </c>
      <c r="P8759" s="7" t="str">
        <f>HYPERLINK("#Liste_rouge!A"&amp;_xlfn.XMATCH("LC",Liste_rouge!A:A,2,1),"LC")</f>
        <v>LC</v>
      </c>
      <c r="Q8759" s="7" t="str">
        <f>HYPERLINK("#Liste_rouge!A"&amp;_xlfn.XMATCH("VU",Liste_rouge!A:A,2,1),"VU")</f>
        <v>VU</v>
      </c>
      <c r="AH8759" s="4" t="str">
        <f>HYPERLINK("#Statut_biogéographique!A"&amp;_xlfn.XMATCH("P",Statut_biogéographique!A:A,2,1),"P")</f>
        <v>P</v>
      </c>
      <c r="AM8759" s="4" t="s">
        <v>375</v>
      </c>
      <c r="AN8759" s="4" t="s">
        <v>375</v>
      </c>
      <c r="AO8759" s="4" t="s">
        <v>375</v>
      </c>
      <c r="AP8759" s="4" t="s">
        <v>376</v>
      </c>
      <c r="AR8759" s="4" t="s">
        <v>377</v>
      </c>
    </row>
    <row r="8760" spans="1:44">
      <c r="A8760" s="4" t="s">
        <v>10753</v>
      </c>
      <c r="B8760" s="4">
        <v>163144</v>
      </c>
      <c r="D8760" s="5" t="s">
        <v>11913</v>
      </c>
      <c r="E8760" s="6" t="str">
        <f>HYPERLINK("https://inpn.mnhn.fr/espece/cd_nom/163144","Morlina glabra glabra (Rossmässler, 1835)")</f>
        <v>Morlina glabra glabra (Rossmässler, 1835)</v>
      </c>
      <c r="F8760" s="5" t="s">
        <v>11914</v>
      </c>
      <c r="AH8760" s="4" t="str">
        <f>HYPERLINK("#Statut_biogéographique!A"&amp;_xlfn.XMATCH("P",Statut_biogéographique!A:A,2,1),"P")</f>
        <v>P</v>
      </c>
      <c r="AP8760" s="4" t="s">
        <v>376</v>
      </c>
      <c r="AR8760" s="4" t="s">
        <v>377</v>
      </c>
    </row>
    <row r="8761" spans="1:44">
      <c r="A8761" s="4" t="s">
        <v>10753</v>
      </c>
      <c r="B8761" s="4">
        <v>163147</v>
      </c>
      <c r="D8761" s="5" t="s">
        <v>11915</v>
      </c>
      <c r="E8761" s="6" t="str">
        <f>HYPERLINK("https://inpn.mnhn.fr/espece/cd_nom/163147","Aegopinella minor (Stabile, 1864)")</f>
        <v>Aegopinella minor (Stabile, 1864)</v>
      </c>
      <c r="F8761" s="5" t="s">
        <v>11916</v>
      </c>
      <c r="P8761" s="7" t="str">
        <f>HYPERLINK("#Liste_rouge!A"&amp;_xlfn.XMATCH("LC",Liste_rouge!A:A,2,1),"LC")</f>
        <v>LC</v>
      </c>
      <c r="Q8761" s="7" t="str">
        <f>HYPERLINK("#Liste_rouge!A"&amp;_xlfn.XMATCH("LC",Liste_rouge!A:A,2,1),"LC")</f>
        <v>LC</v>
      </c>
      <c r="AH8761" s="4" t="str">
        <f>HYPERLINK("#Statut_biogéographique!A"&amp;_xlfn.XMATCH("P",Statut_biogéographique!A:A,2,1),"P")</f>
        <v>P</v>
      </c>
      <c r="AM8761" s="4" t="s">
        <v>375</v>
      </c>
      <c r="AN8761" s="4" t="s">
        <v>375</v>
      </c>
      <c r="AO8761" s="4" t="s">
        <v>375</v>
      </c>
      <c r="AP8761" s="4" t="s">
        <v>376</v>
      </c>
      <c r="AR8761" s="4" t="s">
        <v>377</v>
      </c>
    </row>
    <row r="8762" spans="1:44" ht="30">
      <c r="A8762" s="4" t="s">
        <v>10753</v>
      </c>
      <c r="B8762" s="4">
        <v>163148</v>
      </c>
      <c r="D8762" s="5" t="s">
        <v>11917</v>
      </c>
      <c r="E8762" s="6" t="str">
        <f>HYPERLINK("https://inpn.mnhn.fr/espece/cd_nom/163148","Aegopinella nitens (Michaud, 1831)")</f>
        <v>Aegopinella nitens (Michaud, 1831)</v>
      </c>
      <c r="F8762" s="5" t="s">
        <v>11918</v>
      </c>
      <c r="O8762" s="7" t="str">
        <f>HYPERLINK("#Liste_rouge!A"&amp;_xlfn.XMATCH("LC",Liste_rouge!A:A,2,1),"LC")</f>
        <v>LC</v>
      </c>
      <c r="P8762" s="7" t="str">
        <f>HYPERLINK("#Liste_rouge!A"&amp;_xlfn.XMATCH("LC",Liste_rouge!A:A,2,1),"LC")</f>
        <v>LC</v>
      </c>
      <c r="Q8762" s="7" t="str">
        <f>HYPERLINK("#Liste_rouge!A"&amp;_xlfn.XMATCH("LC",Liste_rouge!A:A,2,1),"LC")</f>
        <v>LC</v>
      </c>
      <c r="AH8762" s="4" t="str">
        <f>HYPERLINK("#Statut_biogéographique!A"&amp;_xlfn.XMATCH("P",Statut_biogéographique!A:A,2,1),"P")</f>
        <v>P</v>
      </c>
      <c r="AM8762" s="4" t="s">
        <v>375</v>
      </c>
      <c r="AN8762" s="4" t="s">
        <v>375</v>
      </c>
      <c r="AO8762" s="4" t="s">
        <v>375</v>
      </c>
      <c r="AP8762" s="4" t="s">
        <v>376</v>
      </c>
      <c r="AR8762" s="4" t="s">
        <v>377</v>
      </c>
    </row>
    <row r="8763" spans="1:44" ht="30">
      <c r="A8763" s="4" t="s">
        <v>10753</v>
      </c>
      <c r="B8763" s="4">
        <v>163154</v>
      </c>
      <c r="D8763" s="5" t="s">
        <v>11919</v>
      </c>
      <c r="E8763" s="6" t="str">
        <f>HYPERLINK("https://inpn.mnhn.fr/espece/cd_nom/163154","Nesovitrea hammonis (Strøm, 1765)")</f>
        <v>Nesovitrea hammonis (Strøm, 1765)</v>
      </c>
      <c r="F8763" s="5" t="s">
        <v>11920</v>
      </c>
      <c r="P8763" s="7" t="str">
        <f>HYPERLINK("#Liste_rouge!A"&amp;_xlfn.XMATCH("LC",Liste_rouge!A:A,2,1),"LC")</f>
        <v>LC</v>
      </c>
      <c r="Q8763" s="7" t="str">
        <f>HYPERLINK("#Liste_rouge!A"&amp;_xlfn.XMATCH("LC",Liste_rouge!A:A,2,1),"LC")</f>
        <v>LC</v>
      </c>
      <c r="AH8763" s="4" t="str">
        <f>HYPERLINK("#Statut_biogéographique!A"&amp;_xlfn.XMATCH("P",Statut_biogéographique!A:A,2,1),"P")</f>
        <v>P</v>
      </c>
      <c r="AM8763" s="4" t="s">
        <v>375</v>
      </c>
      <c r="AN8763" s="4" t="s">
        <v>375</v>
      </c>
      <c r="AO8763" s="4" t="s">
        <v>375</v>
      </c>
      <c r="AP8763" s="4" t="s">
        <v>376</v>
      </c>
      <c r="AR8763" s="4" t="s">
        <v>377</v>
      </c>
    </row>
    <row r="8764" spans="1:44">
      <c r="A8764" s="4" t="s">
        <v>10753</v>
      </c>
      <c r="B8764" s="4">
        <v>163155</v>
      </c>
      <c r="D8764" s="5" t="s">
        <v>11921</v>
      </c>
      <c r="E8764" s="6" t="str">
        <f>HYPERLINK("https://inpn.mnhn.fr/espece/cd_nom/163155","Nesovitrea petronella (L. Pfeiffer, 1853)")</f>
        <v>Nesovitrea petronella (L. Pfeiffer, 1853)</v>
      </c>
      <c r="F8764" s="5" t="s">
        <v>11922</v>
      </c>
      <c r="P8764" s="7" t="str">
        <f>HYPERLINK("#Liste_rouge!A"&amp;_xlfn.XMATCH("LC",Liste_rouge!A:A,2,1),"LC")</f>
        <v>LC</v>
      </c>
      <c r="Q8764" s="7" t="str">
        <f>HYPERLINK("#Liste_rouge!A"&amp;_xlfn.XMATCH("LC",Liste_rouge!A:A,2,1),"LC")</f>
        <v>LC</v>
      </c>
      <c r="AH8764" s="4" t="str">
        <f>HYPERLINK("#Statut_biogéographique!A"&amp;_xlfn.XMATCH("P",Statut_biogéographique!A:A,2,1),"P")</f>
        <v>P</v>
      </c>
      <c r="AM8764" s="4" t="s">
        <v>375</v>
      </c>
      <c r="AN8764" s="4" t="s">
        <v>375</v>
      </c>
      <c r="AO8764" s="4" t="s">
        <v>375</v>
      </c>
      <c r="AP8764" s="4" t="s">
        <v>376</v>
      </c>
      <c r="AR8764" s="4" t="s">
        <v>377</v>
      </c>
    </row>
    <row r="8765" spans="1:44">
      <c r="A8765" s="4" t="s">
        <v>10753</v>
      </c>
      <c r="B8765" s="4">
        <v>163160</v>
      </c>
      <c r="D8765" s="5" t="s">
        <v>11923</v>
      </c>
      <c r="E8765" s="6" t="str">
        <f>HYPERLINK("https://inpn.mnhn.fr/espece/cd_nom/163160","Tandonia rustica (Millet, 1843)")</f>
        <v>Tandonia rustica (Millet, 1843)</v>
      </c>
      <c r="F8765" s="5" t="s">
        <v>11924</v>
      </c>
      <c r="O8765" s="7" t="str">
        <f>HYPERLINK("#Liste_rouge!A"&amp;_xlfn.XMATCH("LC",Liste_rouge!A:A,2,1),"LC")</f>
        <v>LC</v>
      </c>
      <c r="P8765" s="7" t="str">
        <f>HYPERLINK("#Liste_rouge!A"&amp;_xlfn.XMATCH("LC",Liste_rouge!A:A,2,1),"LC")</f>
        <v>LC</v>
      </c>
      <c r="Q8765" s="7" t="str">
        <f>HYPERLINK("#Liste_rouge!A"&amp;_xlfn.XMATCH("LC",Liste_rouge!A:A,2,1),"LC")</f>
        <v>LC</v>
      </c>
      <c r="AH8765" s="4" t="str">
        <f>HYPERLINK("#Statut_biogéographique!A"&amp;_xlfn.XMATCH("P",Statut_biogéographique!A:A,2,1),"P")</f>
        <v>P</v>
      </c>
      <c r="AP8765" s="4" t="s">
        <v>376</v>
      </c>
      <c r="AR8765" s="4" t="s">
        <v>377</v>
      </c>
    </row>
    <row r="8766" spans="1:44">
      <c r="A8766" s="4" t="s">
        <v>10753</v>
      </c>
      <c r="B8766" s="4">
        <v>163167</v>
      </c>
      <c r="D8766" s="5" t="s">
        <v>11925</v>
      </c>
      <c r="E8766" s="6" t="str">
        <f>HYPERLINK("https://inpn.mnhn.fr/espece/cd_nom/163167","Vitrinobrachium breve (A. Férussac, 1821)")</f>
        <v>Vitrinobrachium breve (A. Férussac, 1821)</v>
      </c>
      <c r="F8766" s="5" t="s">
        <v>11926</v>
      </c>
      <c r="P8766" s="7" t="str">
        <f>HYPERLINK("#Liste_rouge!A"&amp;_xlfn.XMATCH("LC",Liste_rouge!A:A,2,1),"LC")</f>
        <v>LC</v>
      </c>
      <c r="Q8766" s="7" t="str">
        <f>HYPERLINK("#Liste_rouge!A"&amp;_xlfn.XMATCH("DD",Liste_rouge!A:A,2,1),"DD")</f>
        <v>DD</v>
      </c>
      <c r="AH8766" s="4" t="str">
        <f>HYPERLINK("#Statut_biogéographique!A"&amp;_xlfn.XMATCH("P",Statut_biogéographique!A:A,2,1),"P")</f>
        <v>P</v>
      </c>
      <c r="AM8766" s="4" t="s">
        <v>375</v>
      </c>
      <c r="AN8766" s="4" t="s">
        <v>375</v>
      </c>
      <c r="AO8766" s="4" t="s">
        <v>375</v>
      </c>
      <c r="AP8766" s="4" t="s">
        <v>376</v>
      </c>
      <c r="AR8766" s="4" t="s">
        <v>377</v>
      </c>
    </row>
    <row r="8767" spans="1:44" ht="30">
      <c r="A8767" s="4" t="s">
        <v>10753</v>
      </c>
      <c r="B8767" s="4">
        <v>163168</v>
      </c>
      <c r="D8767" s="5" t="s">
        <v>11927</v>
      </c>
      <c r="E8767" s="6" t="str">
        <f>HYPERLINK("https://inpn.mnhn.fr/espece/cd_nom/163168","Eucobresia diaphana (Draparnaud, 1805)")</f>
        <v>Eucobresia diaphana (Draparnaud, 1805)</v>
      </c>
      <c r="F8767" s="5" t="s">
        <v>11928</v>
      </c>
      <c r="O8767" s="7" t="str">
        <f>HYPERLINK("#Liste_rouge!A"&amp;_xlfn.XMATCH("LC",Liste_rouge!A:A,2,1),"LC")</f>
        <v>LC</v>
      </c>
      <c r="P8767" s="7" t="str">
        <f>HYPERLINK("#Liste_rouge!A"&amp;_xlfn.XMATCH("LC",Liste_rouge!A:A,2,1),"LC")</f>
        <v>LC</v>
      </c>
      <c r="Q8767" s="7" t="str">
        <f>HYPERLINK("#Liste_rouge!A"&amp;_xlfn.XMATCH("LC",Liste_rouge!A:A,2,1),"LC")</f>
        <v>LC</v>
      </c>
      <c r="AH8767" s="4" t="str">
        <f>HYPERLINK("#Statut_biogéographique!A"&amp;_xlfn.XMATCH("P",Statut_biogéographique!A:A,2,1),"P")</f>
        <v>P</v>
      </c>
      <c r="AM8767" s="4" t="s">
        <v>375</v>
      </c>
      <c r="AN8767" s="4" t="s">
        <v>375</v>
      </c>
      <c r="AO8767" s="4" t="s">
        <v>375</v>
      </c>
      <c r="AP8767" s="4" t="s">
        <v>376</v>
      </c>
      <c r="AR8767" s="4" t="s">
        <v>377</v>
      </c>
    </row>
    <row r="8768" spans="1:44" ht="30">
      <c r="A8768" s="4" t="s">
        <v>10753</v>
      </c>
      <c r="B8768" s="4">
        <v>163172</v>
      </c>
      <c r="D8768" s="5" t="s">
        <v>11929</v>
      </c>
      <c r="E8768" s="6" t="str">
        <f>HYPERLINK("https://inpn.mnhn.fr/espece/cd_nom/163172","Phenacolimax major (A. Férussac, 1807)")</f>
        <v>Phenacolimax major (A. Férussac, 1807)</v>
      </c>
      <c r="F8768" s="5" t="s">
        <v>11930</v>
      </c>
      <c r="O8768" s="7" t="str">
        <f>HYPERLINK("#Liste_rouge!A"&amp;_xlfn.XMATCH("NT",Liste_rouge!A:A,2,1),"NT")</f>
        <v>NT</v>
      </c>
      <c r="P8768" s="7" t="str">
        <f>HYPERLINK("#Liste_rouge!A"&amp;_xlfn.XMATCH("NT",Liste_rouge!A:A,2,1),"NT")</f>
        <v>NT</v>
      </c>
      <c r="Q8768" s="7" t="str">
        <f>HYPERLINK("#Liste_rouge!A"&amp;_xlfn.XMATCH("LC",Liste_rouge!A:A,2,1),"LC")</f>
        <v>LC</v>
      </c>
      <c r="AH8768" s="4" t="str">
        <f>HYPERLINK("#Statut_biogéographique!A"&amp;_xlfn.XMATCH("P",Statut_biogéographique!A:A,2,1),"P")</f>
        <v>P</v>
      </c>
      <c r="AM8768" s="4" t="s">
        <v>375</v>
      </c>
      <c r="AN8768" s="4" t="s">
        <v>375</v>
      </c>
      <c r="AO8768" s="4" t="s">
        <v>375</v>
      </c>
      <c r="AP8768" s="4" t="s">
        <v>376</v>
      </c>
      <c r="AR8768" s="4" t="s">
        <v>377</v>
      </c>
    </row>
    <row r="8769" spans="1:44">
      <c r="A8769" s="4" t="s">
        <v>10753</v>
      </c>
      <c r="B8769" s="4">
        <v>163175</v>
      </c>
      <c r="D8769" s="5" t="s">
        <v>11931</v>
      </c>
      <c r="E8769" s="6" t="str">
        <f>HYPERLINK("https://inpn.mnhn.fr/espece/cd_nom/163175","Boettgerilla pallens Simroth, 1912")</f>
        <v>Boettgerilla pallens Simroth, 1912</v>
      </c>
      <c r="F8769" s="5" t="s">
        <v>11932</v>
      </c>
      <c r="Q8769" s="7" t="str">
        <f>HYPERLINK("#Liste_rouge!A"&amp;_xlfn.XMATCH("LC",Liste_rouge!A:A,2,1),"LC")</f>
        <v>LC</v>
      </c>
      <c r="AH8769" s="4" t="str">
        <f>HYPERLINK("#Statut_biogéographique!A"&amp;_xlfn.XMATCH("C",Statut_biogéographique!A:A,2,1),"C")</f>
        <v>C</v>
      </c>
      <c r="AP8769" s="4" t="s">
        <v>376</v>
      </c>
      <c r="AR8769" s="4" t="s">
        <v>377</v>
      </c>
    </row>
    <row r="8770" spans="1:44" ht="30">
      <c r="A8770" s="4" t="s">
        <v>10753</v>
      </c>
      <c r="B8770" s="4">
        <v>163192</v>
      </c>
      <c r="D8770" s="5" t="s">
        <v>11933</v>
      </c>
      <c r="E8770" s="6" t="str">
        <f>HYPERLINK("https://inpn.mnhn.fr/espece/cd_nom/163192","Limacus flavus (Linnaeus, 1758)")</f>
        <v>Limacus flavus (Linnaeus, 1758)</v>
      </c>
      <c r="F8770" s="5" t="s">
        <v>11934</v>
      </c>
      <c r="O8770" s="7" t="str">
        <f>HYPERLINK("#Liste_rouge!A"&amp;_xlfn.XMATCH("LC",Liste_rouge!A:A,2,1),"LC")</f>
        <v>LC</v>
      </c>
      <c r="P8770" s="7" t="str">
        <f>HYPERLINK("#Liste_rouge!A"&amp;_xlfn.XMATCH("LC",Liste_rouge!A:A,2,1),"LC")</f>
        <v>LC</v>
      </c>
      <c r="Q8770" s="7" t="str">
        <f>HYPERLINK("#Liste_rouge!A"&amp;_xlfn.XMATCH("LC",Liste_rouge!A:A,2,1),"LC")</f>
        <v>LC</v>
      </c>
      <c r="AH8770" s="4" t="str">
        <f>HYPERLINK("#Statut_biogéographique!A"&amp;_xlfn.XMATCH("P",Statut_biogéographique!A:A,2,1),"P")</f>
        <v>P</v>
      </c>
      <c r="AP8770" s="4" t="s">
        <v>376</v>
      </c>
      <c r="AR8770" s="4" t="s">
        <v>377</v>
      </c>
    </row>
    <row r="8771" spans="1:44">
      <c r="A8771" s="4" t="s">
        <v>10753</v>
      </c>
      <c r="B8771" s="4">
        <v>163194</v>
      </c>
      <c r="D8771" s="5" t="s">
        <v>11935</v>
      </c>
      <c r="E8771" s="6" t="str">
        <f>HYPERLINK("https://inpn.mnhn.fr/espece/cd_nom/163194","Malacolimax tenellus (O.F. Müller, 1774)")</f>
        <v>Malacolimax tenellus (O.F. Müller, 1774)</v>
      </c>
      <c r="F8771" s="5" t="s">
        <v>11936</v>
      </c>
      <c r="O8771" s="7" t="str">
        <f>HYPERLINK("#Liste_rouge!A"&amp;_xlfn.XMATCH("LC",Liste_rouge!A:A,2,1),"LC")</f>
        <v>LC</v>
      </c>
      <c r="P8771" s="7" t="str">
        <f>HYPERLINK("#Liste_rouge!A"&amp;_xlfn.XMATCH("LC",Liste_rouge!A:A,2,1),"LC")</f>
        <v>LC</v>
      </c>
      <c r="Q8771" s="7" t="str">
        <f>HYPERLINK("#Liste_rouge!A"&amp;_xlfn.XMATCH("LC",Liste_rouge!A:A,2,1),"LC")</f>
        <v>LC</v>
      </c>
      <c r="AH8771" s="4" t="str">
        <f>HYPERLINK("#Statut_biogéographique!A"&amp;_xlfn.XMATCH("P",Statut_biogéographique!A:A,2,1),"P")</f>
        <v>P</v>
      </c>
      <c r="AP8771" s="4" t="s">
        <v>376</v>
      </c>
      <c r="AR8771" s="4" t="s">
        <v>377</v>
      </c>
    </row>
    <row r="8772" spans="1:44">
      <c r="A8772" s="4" t="s">
        <v>10753</v>
      </c>
      <c r="B8772" s="4">
        <v>163195</v>
      </c>
      <c r="D8772" s="5" t="s">
        <v>11937</v>
      </c>
      <c r="E8772" s="6" t="str">
        <f>HYPERLINK("https://inpn.mnhn.fr/espece/cd_nom/163195","Lehmannia marginata (O.F. Müller, 1774)")</f>
        <v>Lehmannia marginata (O.F. Müller, 1774)</v>
      </c>
      <c r="F8772" s="5" t="s">
        <v>11938</v>
      </c>
      <c r="P8772" s="7" t="str">
        <f>HYPERLINK("#Liste_rouge!A"&amp;_xlfn.XMATCH("LC",Liste_rouge!A:A,2,1),"LC")</f>
        <v>LC</v>
      </c>
      <c r="Q8772" s="7" t="str">
        <f>HYPERLINK("#Liste_rouge!A"&amp;_xlfn.XMATCH("LC",Liste_rouge!A:A,2,1),"LC")</f>
        <v>LC</v>
      </c>
      <c r="AH8772" s="4" t="str">
        <f>HYPERLINK("#Statut_biogéographique!A"&amp;_xlfn.XMATCH("P",Statut_biogéographique!A:A,2,1),"P")</f>
        <v>P</v>
      </c>
      <c r="AP8772" s="4" t="s">
        <v>376</v>
      </c>
      <c r="AR8772" s="4" t="s">
        <v>377</v>
      </c>
    </row>
    <row r="8773" spans="1:44" ht="45">
      <c r="A8773" s="4" t="s">
        <v>10753</v>
      </c>
      <c r="B8773" s="4">
        <v>163207</v>
      </c>
      <c r="D8773" s="5" t="s">
        <v>11939</v>
      </c>
      <c r="E8773" s="6" t="str">
        <f>HYPERLINK("https://inpn.mnhn.fr/espece/cd_nom/163207","Deroceras agreste (Linnaeus, 1758)")</f>
        <v>Deroceras agreste (Linnaeus, 1758)</v>
      </c>
      <c r="F8773" s="5" t="s">
        <v>11940</v>
      </c>
      <c r="P8773" s="7" t="str">
        <f>HYPERLINK("#Liste_rouge!A"&amp;_xlfn.XMATCH("LC",Liste_rouge!A:A,2,1),"LC")</f>
        <v>LC</v>
      </c>
      <c r="Q8773" s="7" t="str">
        <f>HYPERLINK("#Liste_rouge!A"&amp;_xlfn.XMATCH("LC",Liste_rouge!A:A,2,1),"LC")</f>
        <v>LC</v>
      </c>
      <c r="AH8773" s="4" t="str">
        <f>HYPERLINK("#Statut_biogéographique!A"&amp;_xlfn.XMATCH("P",Statut_biogéographique!A:A,2,1),"P")</f>
        <v>P</v>
      </c>
      <c r="AP8773" s="4" t="s">
        <v>376</v>
      </c>
      <c r="AR8773" s="4" t="s">
        <v>377</v>
      </c>
    </row>
    <row r="8774" spans="1:44">
      <c r="A8774" s="4" t="s">
        <v>10753</v>
      </c>
      <c r="B8774" s="4">
        <v>163226</v>
      </c>
      <c r="D8774" s="5" t="s">
        <v>11941</v>
      </c>
      <c r="E8774" s="6" t="str">
        <f>HYPERLINK("https://inpn.mnhn.fr/espece/cd_nom/163226","Arion fuscus (O.F. Müller, 1774)")</f>
        <v>Arion fuscus (O.F. Müller, 1774)</v>
      </c>
      <c r="F8774" s="5" t="s">
        <v>11942</v>
      </c>
      <c r="O8774" s="7" t="str">
        <f>HYPERLINK("#Liste_rouge!A"&amp;_xlfn.XMATCH("LC",Liste_rouge!A:A,2,1),"LC")</f>
        <v>LC</v>
      </c>
      <c r="P8774" s="7" t="str">
        <f>HYPERLINK("#Liste_rouge!A"&amp;_xlfn.XMATCH("LC",Liste_rouge!A:A,2,1),"LC")</f>
        <v>LC</v>
      </c>
      <c r="Q8774" s="7" t="str">
        <f>HYPERLINK("#Liste_rouge!A"&amp;_xlfn.XMATCH("LC",Liste_rouge!A:A,2,1),"LC")</f>
        <v>LC</v>
      </c>
      <c r="AH8774" s="4" t="str">
        <f>HYPERLINK("#Statut_biogéographique!A"&amp;_xlfn.XMATCH("P",Statut_biogéographique!A:A,2,1),"P")</f>
        <v>P</v>
      </c>
      <c r="AP8774" s="4" t="s">
        <v>376</v>
      </c>
      <c r="AR8774" s="4" t="s">
        <v>377</v>
      </c>
    </row>
    <row r="8775" spans="1:44">
      <c r="A8775" s="4" t="s">
        <v>10753</v>
      </c>
      <c r="B8775" s="4">
        <v>163228</v>
      </c>
      <c r="D8775" s="5">
        <v>163228</v>
      </c>
      <c r="E8775" s="6" t="str">
        <f>HYPERLINK("https://inpn.mnhn.fr/espece/cd_nom/163228","Arion atripunctatus Dumont &amp; Mortillet, 1853")</f>
        <v>Arion atripunctatus Dumont &amp; Mortillet, 1853</v>
      </c>
      <c r="F8775" s="5" t="s">
        <v>11943</v>
      </c>
      <c r="O8775" s="7" t="str">
        <f>HYPERLINK("#Liste_rouge!A"&amp;_xlfn.XMATCH("DD",Liste_rouge!A:A,2,1),"DD")</f>
        <v>DD</v>
      </c>
      <c r="P8775" s="7" t="str">
        <f>HYPERLINK("#Liste_rouge!A"&amp;_xlfn.XMATCH("DD",Liste_rouge!A:A,2,1),"DD")</f>
        <v>DD</v>
      </c>
      <c r="Q8775" s="7" t="str">
        <f>HYPERLINK("#Liste_rouge!A"&amp;_xlfn.XMATCH("DD",Liste_rouge!A:A,2,1),"DD")</f>
        <v>DD</v>
      </c>
      <c r="AH8775" s="4" t="str">
        <f>HYPERLINK("#Statut_biogéographique!A"&amp;_xlfn.XMATCH("P",Statut_biogéographique!A:A,2,1),"P")</f>
        <v>P</v>
      </c>
      <c r="AP8775" s="4" t="s">
        <v>376</v>
      </c>
      <c r="AR8775" s="4" t="s">
        <v>377</v>
      </c>
    </row>
    <row r="8776" spans="1:44">
      <c r="A8776" s="4" t="s">
        <v>10753</v>
      </c>
      <c r="B8776" s="4">
        <v>163245</v>
      </c>
      <c r="D8776" s="5" t="s">
        <v>11944</v>
      </c>
      <c r="E8776" s="6" t="str">
        <f>HYPERLINK("https://inpn.mnhn.fr/espece/cd_nom/163245","Fruticicola fruticum (O.F. Müller, 1774)")</f>
        <v>Fruticicola fruticum (O.F. Müller, 1774)</v>
      </c>
      <c r="F8776" s="5" t="s">
        <v>11945</v>
      </c>
      <c r="O8776" s="7" t="str">
        <f>HYPERLINK("#Liste_rouge!A"&amp;_xlfn.XMATCH("LC",Liste_rouge!A:A,2,1),"LC")</f>
        <v>LC</v>
      </c>
      <c r="P8776" s="7" t="str">
        <f>HYPERLINK("#Liste_rouge!A"&amp;_xlfn.XMATCH("LC",Liste_rouge!A:A,2,1),"LC")</f>
        <v>LC</v>
      </c>
      <c r="Q8776" s="7" t="str">
        <f>HYPERLINK("#Liste_rouge!A"&amp;_xlfn.XMATCH("LC",Liste_rouge!A:A,2,1),"LC")</f>
        <v>LC</v>
      </c>
      <c r="AH8776" s="4" t="str">
        <f>HYPERLINK("#Statut_biogéographique!A"&amp;_xlfn.XMATCH("P",Statut_biogéographique!A:A,2,1),"P")</f>
        <v>P</v>
      </c>
      <c r="AM8776" s="4" t="s">
        <v>375</v>
      </c>
      <c r="AN8776" s="4" t="s">
        <v>375</v>
      </c>
      <c r="AO8776" s="4" t="s">
        <v>375</v>
      </c>
      <c r="AP8776" s="4" t="s">
        <v>376</v>
      </c>
      <c r="AR8776" s="4" t="s">
        <v>377</v>
      </c>
    </row>
    <row r="8777" spans="1:44" ht="30">
      <c r="A8777" s="4" t="s">
        <v>10753</v>
      </c>
      <c r="B8777" s="4">
        <v>163246</v>
      </c>
      <c r="D8777" s="5">
        <v>163246</v>
      </c>
      <c r="E8777" s="6" t="str">
        <f>HYPERLINK("https://inpn.mnhn.fr/espece/cd_nom/163246","Helicodonta obvoluta obvoluta (O.F. Müller, 1774)")</f>
        <v>Helicodonta obvoluta obvoluta (O.F. Müller, 1774)</v>
      </c>
      <c r="F8777" s="5" t="s">
        <v>11946</v>
      </c>
      <c r="AH8777" s="4" t="str">
        <f>HYPERLINK("#Statut_biogéographique!A"&amp;_xlfn.XMATCH("P",Statut_biogéographique!A:A,2,1),"P")</f>
        <v>P</v>
      </c>
      <c r="AP8777" s="4" t="s">
        <v>376</v>
      </c>
      <c r="AR8777" s="4" t="s">
        <v>377</v>
      </c>
    </row>
    <row r="8778" spans="1:44" ht="30">
      <c r="A8778" s="4" t="s">
        <v>10753</v>
      </c>
      <c r="B8778" s="4">
        <v>163256</v>
      </c>
      <c r="D8778" s="5" t="s">
        <v>11947</v>
      </c>
      <c r="E8778" s="6" t="str">
        <f>HYPERLINK("https://inpn.mnhn.fr/espece/cd_nom/163256","Monacha cartusiana (O.F. Müller, 1774)")</f>
        <v>Monacha cartusiana (O.F. Müller, 1774)</v>
      </c>
      <c r="F8778" s="5" t="s">
        <v>11948</v>
      </c>
      <c r="O8778" s="7" t="str">
        <f>HYPERLINK("#Liste_rouge!A"&amp;_xlfn.XMATCH("LC",Liste_rouge!A:A,2,1),"LC")</f>
        <v>LC</v>
      </c>
      <c r="P8778" s="7" t="str">
        <f>HYPERLINK("#Liste_rouge!A"&amp;_xlfn.XMATCH("LC",Liste_rouge!A:A,2,1),"LC")</f>
        <v>LC</v>
      </c>
      <c r="Q8778" s="7" t="str">
        <f>HYPERLINK("#Liste_rouge!A"&amp;_xlfn.XMATCH("LC",Liste_rouge!A:A,2,1),"LC")</f>
        <v>LC</v>
      </c>
      <c r="AH8778" s="4" t="str">
        <f>HYPERLINK("#Statut_biogéographique!A"&amp;_xlfn.XMATCH("P",Statut_biogéographique!A:A,2,1),"P")</f>
        <v>P</v>
      </c>
      <c r="AM8778" s="4" t="s">
        <v>375</v>
      </c>
      <c r="AN8778" s="4" t="s">
        <v>375</v>
      </c>
      <c r="AO8778" s="4" t="s">
        <v>375</v>
      </c>
      <c r="AP8778" s="4" t="s">
        <v>376</v>
      </c>
      <c r="AR8778" s="4" t="s">
        <v>377</v>
      </c>
    </row>
    <row r="8779" spans="1:44" ht="30">
      <c r="A8779" s="4" t="s">
        <v>10753</v>
      </c>
      <c r="B8779" s="4">
        <v>163273</v>
      </c>
      <c r="D8779" s="5" t="s">
        <v>11949</v>
      </c>
      <c r="E8779" s="6" t="str">
        <f>HYPERLINK("https://inpn.mnhn.fr/espece/cd_nom/163273","Xerocrassa geyeri (Soós, 1926)")</f>
        <v>Xerocrassa geyeri (Soós, 1926)</v>
      </c>
      <c r="F8779" s="5" t="s">
        <v>11950</v>
      </c>
      <c r="O8779" s="7" t="str">
        <f>HYPERLINK("#Liste_rouge!A"&amp;_xlfn.XMATCH("DD",Liste_rouge!A:A,2,1),"DD")</f>
        <v>DD</v>
      </c>
      <c r="P8779" s="7" t="str">
        <f>HYPERLINK("#Liste_rouge!A"&amp;_xlfn.XMATCH("DD",Liste_rouge!A:A,2,1),"DD")</f>
        <v>DD</v>
      </c>
      <c r="Q8779" s="7" t="str">
        <f>HYPERLINK("#Liste_rouge!A"&amp;_xlfn.XMATCH("LC",Liste_rouge!A:A,2,1),"LC")</f>
        <v>LC</v>
      </c>
      <c r="AH8779" s="4" t="str">
        <f>HYPERLINK("#Statut_biogéographique!A"&amp;_xlfn.XMATCH("P",Statut_biogéographique!A:A,2,1),"P")</f>
        <v>P</v>
      </c>
      <c r="AM8779" s="4" t="s">
        <v>375</v>
      </c>
      <c r="AN8779" s="4" t="s">
        <v>375</v>
      </c>
      <c r="AO8779" s="4" t="s">
        <v>375</v>
      </c>
      <c r="AP8779" s="4" t="s">
        <v>376</v>
      </c>
      <c r="AR8779" s="4" t="s">
        <v>377</v>
      </c>
    </row>
    <row r="8780" spans="1:44">
      <c r="A8780" s="4" t="s">
        <v>10753</v>
      </c>
      <c r="B8780" s="4">
        <v>163293</v>
      </c>
      <c r="D8780" s="5" t="s">
        <v>11951</v>
      </c>
      <c r="E8780" s="6" t="str">
        <f>HYPERLINK("https://inpn.mnhn.fr/espece/cd_nom/163293","Xeropicta derbentina (Krynicki, 1836)")</f>
        <v>Xeropicta derbentina (Krynicki, 1836)</v>
      </c>
      <c r="F8780" s="5" t="s">
        <v>11952</v>
      </c>
      <c r="P8780" s="7" t="str">
        <f>HYPERLINK("#Liste_rouge!A"&amp;_xlfn.XMATCH("LC",Liste_rouge!A:A,2,1),"LC")</f>
        <v>LC</v>
      </c>
      <c r="Q8780" s="7" t="str">
        <f>HYPERLINK("#Liste_rouge!A"&amp;_xlfn.XMATCH("NA",Liste_rouge!A:A,2,1),"NA")</f>
        <v>NA</v>
      </c>
      <c r="AH8780" s="4" t="str">
        <f>HYPERLINK("#Statut_biogéographique!A"&amp;_xlfn.XMATCH("J",Statut_biogéographique!A:A,2,1),"J")</f>
        <v>J</v>
      </c>
      <c r="AM8780" s="4" t="s">
        <v>375</v>
      </c>
      <c r="AN8780" s="4" t="s">
        <v>375</v>
      </c>
      <c r="AO8780" s="4" t="s">
        <v>375</v>
      </c>
      <c r="AP8780" s="4" t="s">
        <v>376</v>
      </c>
      <c r="AR8780" s="4" t="s">
        <v>377</v>
      </c>
    </row>
    <row r="8781" spans="1:44">
      <c r="A8781" s="4" t="s">
        <v>10753</v>
      </c>
      <c r="B8781" s="4">
        <v>163297</v>
      </c>
      <c r="D8781" s="5">
        <v>163297</v>
      </c>
      <c r="E8781" s="6" t="str">
        <f>HYPERLINK("https://inpn.mnhn.fr/espece/cd_nom/163297","Helicella itala itala (Linnaeus, 1758)")</f>
        <v>Helicella itala itala (Linnaeus, 1758)</v>
      </c>
      <c r="F8781" s="5" t="s">
        <v>11953</v>
      </c>
      <c r="AH8781" s="4" t="str">
        <f>HYPERLINK("#Statut_biogéographique!A"&amp;_xlfn.XMATCH("P",Statut_biogéographique!A:A,2,1),"P")</f>
        <v>P</v>
      </c>
      <c r="AP8781" s="4" t="s">
        <v>376</v>
      </c>
      <c r="AR8781" s="4" t="s">
        <v>377</v>
      </c>
    </row>
    <row r="8782" spans="1:44">
      <c r="A8782" s="4" t="s">
        <v>10753</v>
      </c>
      <c r="B8782" s="4">
        <v>1633</v>
      </c>
      <c r="D8782" s="5" t="s">
        <v>11954</v>
      </c>
      <c r="E8782" s="6" t="str">
        <f>HYPERLINK("https://inpn.mnhn.fr/espece/cd_nom/1633","Heriaeus hirtus (Latreille, 1819)")</f>
        <v>Heriaeus hirtus (Latreille, 1819)</v>
      </c>
      <c r="Q8782" s="7" t="str">
        <f>HYPERLINK("#Liste_rouge!A"&amp;_xlfn.XMATCH("LC",Liste_rouge!A:A,2,1),"LC")</f>
        <v>LC</v>
      </c>
      <c r="AH8782" s="4" t="str">
        <f>HYPERLINK("#Statut_biogéographique!A"&amp;_xlfn.XMATCH("P",Statut_biogéographique!A:A,2,1),"P")</f>
        <v>P</v>
      </c>
      <c r="AP8782" s="4" t="s">
        <v>376</v>
      </c>
      <c r="AR8782" s="4" t="s">
        <v>377</v>
      </c>
    </row>
    <row r="8783" spans="1:44" ht="30">
      <c r="A8783" s="4" t="s">
        <v>10753</v>
      </c>
      <c r="B8783" s="4">
        <v>163303</v>
      </c>
      <c r="D8783" s="5">
        <v>163303</v>
      </c>
      <c r="E8783" s="6" t="str">
        <f>HYPERLINK("https://inpn.mnhn.fr/espece/cd_nom/163303","Candidula unifasciata unifasciata (Poiret, 1801)")</f>
        <v>Candidula unifasciata unifasciata (Poiret, 1801)</v>
      </c>
      <c r="F8783" s="5" t="s">
        <v>11955</v>
      </c>
      <c r="AH8783" s="4" t="str">
        <f>HYPERLINK("#Statut_biogéographique!A"&amp;_xlfn.XMATCH("P",Statut_biogéographique!A:A,2,1),"P")</f>
        <v>P</v>
      </c>
      <c r="AP8783" s="4" t="s">
        <v>376</v>
      </c>
      <c r="AR8783" s="4" t="s">
        <v>377</v>
      </c>
    </row>
    <row r="8784" spans="1:44">
      <c r="A8784" s="4" t="s">
        <v>10753</v>
      </c>
      <c r="B8784" s="4">
        <v>163309</v>
      </c>
      <c r="D8784" s="5" t="s">
        <v>11956</v>
      </c>
      <c r="E8784" s="6" t="str">
        <f>HYPERLINK("https://inpn.mnhn.fr/espece/cd_nom/163309","Hygromia cinctella (Draparnaud, 1801)")</f>
        <v>Hygromia cinctella (Draparnaud, 1801)</v>
      </c>
      <c r="F8784" s="5" t="s">
        <v>11957</v>
      </c>
      <c r="O8784" s="7" t="str">
        <f>HYPERLINK("#Liste_rouge!A"&amp;_xlfn.XMATCH("LC",Liste_rouge!A:A,2,1),"LC")</f>
        <v>LC</v>
      </c>
      <c r="P8784" s="7" t="str">
        <f>HYPERLINK("#Liste_rouge!A"&amp;_xlfn.XMATCH("LC",Liste_rouge!A:A,2,1),"LC")</f>
        <v>LC</v>
      </c>
      <c r="Q8784" s="7" t="str">
        <f>HYPERLINK("#Liste_rouge!A"&amp;_xlfn.XMATCH("LC",Liste_rouge!A:A,2,1),"LC")</f>
        <v>LC</v>
      </c>
      <c r="AH8784" s="4" t="str">
        <f>HYPERLINK("#Statut_biogéographique!A"&amp;_xlfn.XMATCH("P",Statut_biogéographique!A:A,2,1),"P")</f>
        <v>P</v>
      </c>
      <c r="AM8784" s="4" t="s">
        <v>375</v>
      </c>
      <c r="AN8784" s="4" t="s">
        <v>375</v>
      </c>
      <c r="AO8784" s="4" t="s">
        <v>375</v>
      </c>
      <c r="AP8784" s="4" t="s">
        <v>376</v>
      </c>
      <c r="AR8784" s="4" t="s">
        <v>377</v>
      </c>
    </row>
    <row r="8785" spans="1:44" ht="30">
      <c r="A8785" s="4" t="s">
        <v>10753</v>
      </c>
      <c r="B8785" s="4">
        <v>163321</v>
      </c>
      <c r="D8785" s="5" t="s">
        <v>11958</v>
      </c>
      <c r="E8785" s="6" t="str">
        <f>HYPERLINK("https://inpn.mnhn.fr/espece/cd_nom/163321","Cernuella neglecta (Draparnaud, 1805)")</f>
        <v>Cernuella neglecta (Draparnaud, 1805)</v>
      </c>
      <c r="F8785" s="5" t="s">
        <v>11959</v>
      </c>
      <c r="O8785" s="7" t="str">
        <f>HYPERLINK("#Liste_rouge!A"&amp;_xlfn.XMATCH("LC",Liste_rouge!A:A,2,1),"LC")</f>
        <v>LC</v>
      </c>
      <c r="P8785" s="7" t="str">
        <f>HYPERLINK("#Liste_rouge!A"&amp;_xlfn.XMATCH("LC",Liste_rouge!A:A,2,1),"LC")</f>
        <v>LC</v>
      </c>
      <c r="Q8785" s="7" t="str">
        <f>HYPERLINK("#Liste_rouge!A"&amp;_xlfn.XMATCH("LC",Liste_rouge!A:A,2,1),"LC")</f>
        <v>LC</v>
      </c>
      <c r="AH8785" s="4" t="str">
        <f>HYPERLINK("#Statut_biogéographique!A"&amp;_xlfn.XMATCH("P",Statut_biogéographique!A:A,2,1),"P")</f>
        <v>P</v>
      </c>
      <c r="AM8785" s="4" t="s">
        <v>375</v>
      </c>
      <c r="AN8785" s="4" t="s">
        <v>375</v>
      </c>
      <c r="AO8785" s="4" t="s">
        <v>375</v>
      </c>
      <c r="AP8785" s="4" t="s">
        <v>376</v>
      </c>
      <c r="AR8785" s="4" t="s">
        <v>377</v>
      </c>
    </row>
    <row r="8786" spans="1:44">
      <c r="A8786" s="4" t="s">
        <v>10753</v>
      </c>
      <c r="B8786" s="4">
        <v>163322</v>
      </c>
      <c r="D8786" s="5" t="s">
        <v>11960</v>
      </c>
      <c r="E8786" s="6" t="str">
        <f>HYPERLINK("https://inpn.mnhn.fr/espece/cd_nom/163322","Pseudotrichia rubiginosa (Rossmässler, 1838)")</f>
        <v>Pseudotrichia rubiginosa (Rossmässler, 1838)</v>
      </c>
      <c r="F8786" s="5" t="s">
        <v>11961</v>
      </c>
      <c r="O8786" s="7" t="str">
        <f>HYPERLINK("#Liste_rouge!A"&amp;_xlfn.XMATCH("LC",Liste_rouge!A:A,2,1),"LC")</f>
        <v>LC</v>
      </c>
      <c r="P8786" s="7" t="str">
        <f>HYPERLINK("#Liste_rouge!A"&amp;_xlfn.XMATCH("LC",Liste_rouge!A:A,2,1),"LC")</f>
        <v>LC</v>
      </c>
      <c r="Q8786" s="7" t="str">
        <f>HYPERLINK("#Liste_rouge!A"&amp;_xlfn.XMATCH("LC",Liste_rouge!A:A,2,1),"LC")</f>
        <v>LC</v>
      </c>
      <c r="AH8786" s="4" t="str">
        <f>HYPERLINK("#Statut_biogéographique!A"&amp;_xlfn.XMATCH("P",Statut_biogéographique!A:A,2,1),"P")</f>
        <v>P</v>
      </c>
      <c r="AM8786" s="4" t="s">
        <v>375</v>
      </c>
      <c r="AN8786" s="4" t="s">
        <v>375</v>
      </c>
      <c r="AO8786" s="4" t="s">
        <v>375</v>
      </c>
      <c r="AP8786" s="4" t="s">
        <v>376</v>
      </c>
      <c r="AR8786" s="4" t="s">
        <v>377</v>
      </c>
    </row>
    <row r="8787" spans="1:44" ht="30">
      <c r="A8787" s="4" t="s">
        <v>10753</v>
      </c>
      <c r="B8787" s="4">
        <v>163323</v>
      </c>
      <c r="D8787" s="5">
        <v>163323</v>
      </c>
      <c r="E8787" s="6" t="str">
        <f>HYPERLINK("https://inpn.mnhn.fr/espece/cd_nom/163323","Monachoides incarnatus incarnatus (O.F. Müller, 1774)")</f>
        <v>Monachoides incarnatus incarnatus (O.F. Müller, 1774)</v>
      </c>
      <c r="F8787" s="5" t="s">
        <v>11962</v>
      </c>
      <c r="AH8787" s="4" t="str">
        <f>HYPERLINK("#Statut_biogéographique!A"&amp;_xlfn.XMATCH("P",Statut_biogéographique!A:A,2,1),"P")</f>
        <v>P</v>
      </c>
      <c r="AP8787" s="4" t="s">
        <v>376</v>
      </c>
      <c r="AR8787" s="4" t="s">
        <v>377</v>
      </c>
    </row>
    <row r="8788" spans="1:44" ht="30">
      <c r="A8788" s="4" t="s">
        <v>10753</v>
      </c>
      <c r="B8788" s="4">
        <v>163344</v>
      </c>
      <c r="D8788" s="5">
        <v>163344</v>
      </c>
      <c r="E8788" s="6" t="str">
        <f>HYPERLINK("https://inpn.mnhn.fr/espece/cd_nom/163344","Arianta arbustorum arbustorum (Linnaeus, 1758)")</f>
        <v>Arianta arbustorum arbustorum (Linnaeus, 1758)</v>
      </c>
      <c r="F8788" s="5" t="s">
        <v>11963</v>
      </c>
      <c r="AH8788" s="4" t="str">
        <f>HYPERLINK("#Statut_biogéographique!A"&amp;_xlfn.XMATCH("P",Statut_biogéographique!A:A,2,1),"P")</f>
        <v>P</v>
      </c>
      <c r="AP8788" s="4" t="s">
        <v>376</v>
      </c>
      <c r="AR8788" s="4" t="s">
        <v>377</v>
      </c>
    </row>
    <row r="8789" spans="1:44" ht="30">
      <c r="A8789" s="4" t="s">
        <v>10753</v>
      </c>
      <c r="B8789" s="4">
        <v>163345</v>
      </c>
      <c r="D8789" s="5" t="s">
        <v>11964</v>
      </c>
      <c r="E8789" s="6" t="str">
        <f>HYPERLINK("https://inpn.mnhn.fr/espece/cd_nom/163345","Arianta arbustorum alpicola (A. Férussac, 1821)")</f>
        <v>Arianta arbustorum alpicola (A. Férussac, 1821)</v>
      </c>
      <c r="F8789" s="5" t="s">
        <v>11965</v>
      </c>
      <c r="AH8789" s="4" t="str">
        <f>HYPERLINK("#Statut_biogéographique!A"&amp;_xlfn.XMATCH("P",Statut_biogéographique!A:A,2,1),"P")</f>
        <v>P</v>
      </c>
      <c r="AP8789" s="4" t="s">
        <v>376</v>
      </c>
      <c r="AR8789" s="4" t="s">
        <v>377</v>
      </c>
    </row>
    <row r="8790" spans="1:44">
      <c r="A8790" s="4" t="s">
        <v>10753</v>
      </c>
      <c r="B8790" s="4">
        <v>163350</v>
      </c>
      <c r="D8790" s="5">
        <v>163350</v>
      </c>
      <c r="E8790" s="6" t="str">
        <f>HYPERLINK("https://inpn.mnhn.fr/espece/cd_nom/163350","Helicigona lapicida lapicida (Linnaeus, 1758)")</f>
        <v>Helicigona lapicida lapicida (Linnaeus, 1758)</v>
      </c>
      <c r="F8790" s="5" t="s">
        <v>11966</v>
      </c>
      <c r="AH8790" s="4" t="str">
        <f>HYPERLINK("#Statut_biogéographique!A"&amp;_xlfn.XMATCH("P",Statut_biogéographique!A:A,2,1),"P")</f>
        <v>P</v>
      </c>
      <c r="AP8790" s="4" t="s">
        <v>376</v>
      </c>
      <c r="AR8790" s="4" t="s">
        <v>377</v>
      </c>
    </row>
    <row r="8791" spans="1:44" ht="30">
      <c r="A8791" s="4" t="s">
        <v>10753</v>
      </c>
      <c r="B8791" s="4">
        <v>163366</v>
      </c>
      <c r="D8791" s="5" t="s">
        <v>11967</v>
      </c>
      <c r="E8791" s="6" t="str">
        <f>HYPERLINK("https://inpn.mnhn.fr/espece/cd_nom/163366","Isognomostoma isognomostomos (Schröter, 1784)")</f>
        <v>Isognomostoma isognomostomos (Schröter, 1784)</v>
      </c>
      <c r="F8791" s="5" t="s">
        <v>11968</v>
      </c>
      <c r="O8791" s="7" t="str">
        <f>HYPERLINK("#Liste_rouge!A"&amp;_xlfn.XMATCH("LC",Liste_rouge!A:A,2,1),"LC")</f>
        <v>LC</v>
      </c>
      <c r="P8791" s="7" t="str">
        <f>HYPERLINK("#Liste_rouge!A"&amp;_xlfn.XMATCH("LC",Liste_rouge!A:A,2,1),"LC")</f>
        <v>LC</v>
      </c>
      <c r="Q8791" s="7" t="str">
        <f>HYPERLINK("#Liste_rouge!A"&amp;_xlfn.XMATCH("LC",Liste_rouge!A:A,2,1),"LC")</f>
        <v>LC</v>
      </c>
      <c r="AH8791" s="4" t="str">
        <f>HYPERLINK("#Statut_biogéographique!A"&amp;_xlfn.XMATCH("P",Statut_biogéographique!A:A,2,1),"P")</f>
        <v>P</v>
      </c>
      <c r="AM8791" s="4" t="s">
        <v>375</v>
      </c>
      <c r="AN8791" s="4" t="s">
        <v>375</v>
      </c>
      <c r="AO8791" s="4" t="s">
        <v>375</v>
      </c>
      <c r="AP8791" s="4" t="s">
        <v>376</v>
      </c>
      <c r="AR8791" s="4" t="s">
        <v>377</v>
      </c>
    </row>
    <row r="8792" spans="1:44">
      <c r="A8792" s="4" t="s">
        <v>10753</v>
      </c>
      <c r="B8792" s="4">
        <v>163387</v>
      </c>
      <c r="D8792" s="5">
        <v>163387</v>
      </c>
      <c r="E8792" s="6" t="str">
        <f>HYPERLINK("https://inpn.mnhn.fr/espece/cd_nom/163387","Cepaea nemoralis nemoralis (Linnaeus, 1758)")</f>
        <v>Cepaea nemoralis nemoralis (Linnaeus, 1758)</v>
      </c>
      <c r="F8792" s="5" t="s">
        <v>11969</v>
      </c>
      <c r="AH8792" s="4" t="str">
        <f>HYPERLINK("#Statut_biogéographique!A"&amp;_xlfn.XMATCH("P",Statut_biogéographique!A:A,2,1),"P")</f>
        <v>P</v>
      </c>
      <c r="AP8792" s="4" t="s">
        <v>376</v>
      </c>
      <c r="AR8792" s="4" t="s">
        <v>377</v>
      </c>
    </row>
    <row r="8793" spans="1:44" ht="30">
      <c r="A8793" s="4" t="s">
        <v>10753</v>
      </c>
      <c r="B8793" s="4">
        <v>163408</v>
      </c>
      <c r="D8793" s="5" t="s">
        <v>11970</v>
      </c>
      <c r="E8793" s="6" t="str">
        <f>HYPERLINK("https://inpn.mnhn.fr/espece/cd_nom/163408","Unio mancus mancus Lamarck, 1819")</f>
        <v>Unio mancus mancus Lamarck, 1819</v>
      </c>
      <c r="F8793" s="5" t="s">
        <v>11971</v>
      </c>
      <c r="I8793" s="4" t="str">
        <f>HYPERLINK("#Réglementation!A"&amp;_xlfn.XMATCH("IBE3",Réglementation!A:A,2,1),"IBE3")</f>
        <v>IBE3</v>
      </c>
      <c r="K8793" s="4" t="str">
        <f>HYPERLINK("#Réglementation!A"&amp;_xlfn.XMATCH("CDH5",Réglementation!A:A,2,1),"CDH5")</f>
        <v>CDH5</v>
      </c>
      <c r="AH8793" s="4" t="str">
        <f>HYPERLINK("#Statut_biogéographique!A"&amp;_xlfn.XMATCH("S",Statut_biogéographique!A:A,2,1),"S")</f>
        <v>S</v>
      </c>
      <c r="AP8793" s="4" t="s">
        <v>376</v>
      </c>
      <c r="AR8793" s="4" t="s">
        <v>377</v>
      </c>
    </row>
    <row r="8794" spans="1:44" ht="30">
      <c r="A8794" s="4" t="s">
        <v>10753</v>
      </c>
      <c r="B8794" s="4">
        <v>163410</v>
      </c>
      <c r="D8794" s="5" t="s">
        <v>11972</v>
      </c>
      <c r="E8794" s="6" t="str">
        <f>HYPERLINK("https://inpn.mnhn.fr/espece/cd_nom/163410","Unio mancus requienii Michaud, 1831")</f>
        <v>Unio mancus requienii Michaud, 1831</v>
      </c>
      <c r="F8794" s="5" t="s">
        <v>11973</v>
      </c>
      <c r="I8794" s="4" t="str">
        <f>HYPERLINK("#Réglementation!A"&amp;_xlfn.XMATCH("IBE3",Réglementation!A:A,2,1),"IBE3")</f>
        <v>IBE3</v>
      </c>
      <c r="K8794" s="4" t="str">
        <f>HYPERLINK("#Réglementation!A"&amp;_xlfn.XMATCH("CDH5",Réglementation!A:A,2,1),"CDH5")</f>
        <v>CDH5</v>
      </c>
      <c r="AH8794" s="4" t="str">
        <f>HYPERLINK("#Statut_biogéographique!A"&amp;_xlfn.XMATCH("E",Statut_biogéographique!A:A,2,1),"E")</f>
        <v>E</v>
      </c>
      <c r="AP8794" s="4" t="s">
        <v>376</v>
      </c>
      <c r="AR8794" s="4" t="s">
        <v>377</v>
      </c>
    </row>
    <row r="8795" spans="1:44">
      <c r="A8795" s="4" t="s">
        <v>10753</v>
      </c>
      <c r="B8795" s="4">
        <v>163419</v>
      </c>
      <c r="D8795" s="5" t="s">
        <v>11974</v>
      </c>
      <c r="E8795" s="6" t="str">
        <f>HYPERLINK("https://inpn.mnhn.fr/espece/cd_nom/163419","Unio crassus crassus Philipsson, 1788")</f>
        <v>Unio crassus crassus Philipsson, 1788</v>
      </c>
      <c r="F8795" s="5" t="s">
        <v>11975</v>
      </c>
      <c r="K8795" s="4" t="str">
        <f>HYPERLINK("#Réglementation!A"&amp;_xlfn.XMATCH("CDH2",Réglementation!A:A,2,1),"CDH2 - CDH4")</f>
        <v>CDH2 - CDH4</v>
      </c>
      <c r="L8795" s="4" t="str">
        <f>HYPERLINK("#Réglementation!A"&amp;_xlfn.XMATCH("NMO2",Réglementation!A:A,2,1),"NMO2")</f>
        <v>NMO2</v>
      </c>
      <c r="AH8795" s="4" t="str">
        <f>HYPERLINK("#Statut_biogéographique!A"&amp;_xlfn.XMATCH("P",Statut_biogéographique!A:A,2,1),"P")</f>
        <v>P</v>
      </c>
      <c r="AP8795" s="4" t="s">
        <v>389</v>
      </c>
      <c r="AR8795" s="4" t="s">
        <v>377</v>
      </c>
    </row>
    <row r="8796" spans="1:44">
      <c r="A8796" s="4" t="s">
        <v>10753</v>
      </c>
      <c r="B8796" s="4">
        <v>163426</v>
      </c>
      <c r="D8796" s="5" t="s">
        <v>11976</v>
      </c>
      <c r="E8796" s="6" t="str">
        <f>HYPERLINK("https://inpn.mnhn.fr/espece/cd_nom/163426","Sinanodonta woodiana (I. Lea, 1834)")</f>
        <v>Sinanodonta woodiana (I. Lea, 1834)</v>
      </c>
      <c r="F8796" s="5" t="s">
        <v>11977</v>
      </c>
      <c r="O8796" s="7" t="str">
        <f>HYPERLINK("#Liste_rouge!A"&amp;_xlfn.XMATCH("LC",Liste_rouge!A:A,2,1),"LC")</f>
        <v>LC</v>
      </c>
      <c r="Q8796" s="7" t="str">
        <f>HYPERLINK("#Liste_rouge!A"&amp;_xlfn.XMATCH("NA",Liste_rouge!A:A,2,1),"NA")</f>
        <v>NA</v>
      </c>
      <c r="AH8796" s="4" t="str">
        <f>HYPERLINK("#Statut_biogéographique!A"&amp;_xlfn.XMATCH("I",Statut_biogéographique!A:A,2,1),"I")</f>
        <v>I</v>
      </c>
      <c r="AM8796" s="4" t="s">
        <v>375</v>
      </c>
      <c r="AN8796" s="4" t="s">
        <v>375</v>
      </c>
      <c r="AO8796" s="4" t="s">
        <v>375</v>
      </c>
      <c r="AP8796" s="4" t="s">
        <v>376</v>
      </c>
      <c r="AR8796" s="4" t="s">
        <v>377</v>
      </c>
    </row>
    <row r="8797" spans="1:44">
      <c r="A8797" s="4" t="s">
        <v>10753</v>
      </c>
      <c r="B8797" s="4">
        <v>163433</v>
      </c>
      <c r="D8797" s="5" t="s">
        <v>11978</v>
      </c>
      <c r="E8797" s="6" t="str">
        <f>HYPERLINK("https://inpn.mnhn.fr/espece/cd_nom/163433","Corbicula fluminea (O.F. Müller, 1774)")</f>
        <v>Corbicula fluminea (O.F. Müller, 1774)</v>
      </c>
      <c r="F8797" s="5" t="s">
        <v>11979</v>
      </c>
      <c r="O8797" s="7" t="str">
        <f>HYPERLINK("#Liste_rouge!A"&amp;_xlfn.XMATCH("LC",Liste_rouge!A:A,2,1),"LC")</f>
        <v>LC</v>
      </c>
      <c r="Q8797" s="7" t="str">
        <f>HYPERLINK("#Liste_rouge!A"&amp;_xlfn.XMATCH("NA",Liste_rouge!A:A,2,1),"NA")</f>
        <v>NA</v>
      </c>
      <c r="AH8797" s="4" t="str">
        <f>HYPERLINK("#Statut_biogéographique!A"&amp;_xlfn.XMATCH("J",Statut_biogéographique!A:A,2,1),"J")</f>
        <v>J</v>
      </c>
      <c r="AP8797" s="4" t="s">
        <v>376</v>
      </c>
      <c r="AR8797" s="4" t="s">
        <v>377</v>
      </c>
    </row>
    <row r="8798" spans="1:44">
      <c r="A8798" s="4" t="s">
        <v>10753</v>
      </c>
      <c r="B8798" s="4">
        <v>163435</v>
      </c>
      <c r="D8798" s="5" t="s">
        <v>11980</v>
      </c>
      <c r="E8798" s="6" t="str">
        <f>HYPERLINK("https://inpn.mnhn.fr/espece/cd_nom/163435","Sphaerium nucleus (S. Studer, 1820)")</f>
        <v>Sphaerium nucleus (S. Studer, 1820)</v>
      </c>
      <c r="F8798" s="5" t="s">
        <v>11981</v>
      </c>
      <c r="P8798" s="7" t="str">
        <f>HYPERLINK("#Liste_rouge!A"&amp;_xlfn.XMATCH("LC",Liste_rouge!A:A,2,1),"LC")</f>
        <v>LC</v>
      </c>
      <c r="Q8798" s="7" t="str">
        <f>HYPERLINK("#Liste_rouge!A"&amp;_xlfn.XMATCH("DD",Liste_rouge!A:A,2,1),"DD")</f>
        <v>DD</v>
      </c>
      <c r="AH8798" s="4" t="str">
        <f>HYPERLINK("#Statut_biogéographique!A"&amp;_xlfn.XMATCH("P",Statut_biogéographique!A:A,2,1),"P")</f>
        <v>P</v>
      </c>
      <c r="AP8798" s="4" t="s">
        <v>376</v>
      </c>
      <c r="AR8798" s="4" t="s">
        <v>377</v>
      </c>
    </row>
    <row r="8799" spans="1:44">
      <c r="A8799" s="4" t="s">
        <v>10753</v>
      </c>
      <c r="B8799" s="4">
        <v>163436</v>
      </c>
      <c r="D8799" s="5" t="s">
        <v>11982</v>
      </c>
      <c r="E8799" s="6" t="str">
        <f>HYPERLINK("https://inpn.mnhn.fr/espece/cd_nom/163436","Sphaerium ovale (Férussac, 1807)")</f>
        <v>Sphaerium ovale (Férussac, 1807)</v>
      </c>
      <c r="F8799" s="5" t="s">
        <v>11983</v>
      </c>
      <c r="O8799" s="7" t="str">
        <f>HYPERLINK("#Liste_rouge!A"&amp;_xlfn.XMATCH("LC",Liste_rouge!A:A,2,1),"LC")</f>
        <v>LC</v>
      </c>
      <c r="P8799" s="7" t="str">
        <f>HYPERLINK("#Liste_rouge!A"&amp;_xlfn.XMATCH("LC",Liste_rouge!A:A,2,1),"LC")</f>
        <v>LC</v>
      </c>
      <c r="Q8799" s="7" t="str">
        <f>HYPERLINK("#Liste_rouge!A"&amp;_xlfn.XMATCH("DD",Liste_rouge!A:A,2,1),"DD")</f>
        <v>DD</v>
      </c>
      <c r="AH8799" s="4" t="str">
        <f>HYPERLINK("#Statut_biogéographique!A"&amp;_xlfn.XMATCH("P",Statut_biogéographique!A:A,2,1),"P")</f>
        <v>P</v>
      </c>
      <c r="AP8799" s="4" t="s">
        <v>376</v>
      </c>
      <c r="AR8799" s="4" t="s">
        <v>377</v>
      </c>
    </row>
    <row r="8800" spans="1:44" ht="30">
      <c r="A8800" s="4" t="s">
        <v>10753</v>
      </c>
      <c r="B8800" s="4">
        <v>163458</v>
      </c>
      <c r="D8800" s="5">
        <v>163458</v>
      </c>
      <c r="E8800" s="6" t="str">
        <f>HYPERLINK("https://inpn.mnhn.fr/espece/cd_nom/163458","Dreissena polymorpha polymorpha (Pallas, 1771)")</f>
        <v>Dreissena polymorpha polymorpha (Pallas, 1771)</v>
      </c>
      <c r="F8800" s="5" t="s">
        <v>11984</v>
      </c>
      <c r="AH8800" s="4" t="str">
        <f>HYPERLINK("#Statut_biogéographique!A"&amp;_xlfn.XMATCH("J",Statut_biogéographique!A:A,2,1),"J")</f>
        <v>J</v>
      </c>
      <c r="AP8800" s="4" t="s">
        <v>376</v>
      </c>
      <c r="AR8800" s="4" t="s">
        <v>377</v>
      </c>
    </row>
    <row r="8801" spans="1:44">
      <c r="A8801" s="4" t="s">
        <v>10753</v>
      </c>
      <c r="B8801" s="4">
        <v>1636</v>
      </c>
      <c r="D8801" s="5" t="s">
        <v>11985</v>
      </c>
      <c r="E8801" s="6" t="str">
        <f>HYPERLINK("https://inpn.mnhn.fr/espece/cd_nom/1636","Diaea dorsata (Fabricius, 1777)")</f>
        <v>Diaea dorsata (Fabricius, 1777)</v>
      </c>
      <c r="F8801" s="5" t="s">
        <v>11986</v>
      </c>
      <c r="Q8801" s="7" t="str">
        <f>HYPERLINK("#Liste_rouge!A"&amp;_xlfn.XMATCH("LC",Liste_rouge!A:A,2,1),"LC")</f>
        <v>LC</v>
      </c>
      <c r="AH8801" s="4" t="str">
        <f>HYPERLINK("#Statut_biogéographique!A"&amp;_xlfn.XMATCH("P",Statut_biogéographique!A:A,2,1),"P")</f>
        <v>P</v>
      </c>
      <c r="AP8801" s="4" t="s">
        <v>376</v>
      </c>
      <c r="AR8801" s="4" t="s">
        <v>377</v>
      </c>
    </row>
    <row r="8802" spans="1:44">
      <c r="A8802" s="4" t="s">
        <v>10753</v>
      </c>
      <c r="B8802" s="4">
        <v>16381</v>
      </c>
      <c r="D8802" s="5" t="s">
        <v>11987</v>
      </c>
      <c r="E8802" s="6" t="str">
        <f>HYPERLINK("https://inpn.mnhn.fr/espece/cd_nom/16381","Rhamphus pulicarius (Herbst, 1795)")</f>
        <v>Rhamphus pulicarius (Herbst, 1795)</v>
      </c>
      <c r="AH8802" s="4" t="str">
        <f>HYPERLINK("#Statut_biogéographique!A"&amp;_xlfn.XMATCH("P",Statut_biogéographique!A:A,2,1),"P")</f>
        <v>P</v>
      </c>
      <c r="AP8802" s="4" t="s">
        <v>376</v>
      </c>
      <c r="AR8802" s="4" t="s">
        <v>377</v>
      </c>
    </row>
    <row r="8803" spans="1:44">
      <c r="A8803" s="4" t="s">
        <v>10753</v>
      </c>
      <c r="B8803" s="4">
        <v>16396</v>
      </c>
      <c r="D8803" s="5" t="s">
        <v>11988</v>
      </c>
      <c r="E8803" s="6" t="str">
        <f>HYPERLINK("https://inpn.mnhn.fr/espece/cd_nom/16396","Cryptorhynchus lapathi (Linnaeus, 1758)")</f>
        <v>Cryptorhynchus lapathi (Linnaeus, 1758)</v>
      </c>
      <c r="F8803" s="5" t="s">
        <v>11989</v>
      </c>
      <c r="AH8803" s="4" t="str">
        <f>HYPERLINK("#Statut_biogéographique!A"&amp;_xlfn.XMATCH("P",Statut_biogéographique!A:A,2,1),"P")</f>
        <v>P</v>
      </c>
      <c r="AP8803" s="4" t="s">
        <v>376</v>
      </c>
      <c r="AR8803" s="4" t="s">
        <v>377</v>
      </c>
    </row>
    <row r="8804" spans="1:44">
      <c r="A8804" s="4" t="s">
        <v>10753</v>
      </c>
      <c r="B8804" s="4">
        <v>1640</v>
      </c>
      <c r="D8804" s="5" t="s">
        <v>11990</v>
      </c>
      <c r="E8804" s="6" t="str">
        <f>HYPERLINK("https://inpn.mnhn.fr/espece/cd_nom/1640","Xysticus cristatus (Clerck, 1758)")</f>
        <v>Xysticus cristatus (Clerck, 1758)</v>
      </c>
      <c r="F8804" s="5" t="s">
        <v>11991</v>
      </c>
      <c r="Q8804" s="7" t="str">
        <f>HYPERLINK("#Liste_rouge!A"&amp;_xlfn.XMATCH("LC",Liste_rouge!A:A,2,1),"LC")</f>
        <v>LC</v>
      </c>
      <c r="AH8804" s="4" t="str">
        <f>HYPERLINK("#Statut_biogéographique!A"&amp;_xlfn.XMATCH("P",Statut_biogéographique!A:A,2,1),"P")</f>
        <v>P</v>
      </c>
      <c r="AP8804" s="4" t="s">
        <v>376</v>
      </c>
      <c r="AR8804" s="4" t="s">
        <v>377</v>
      </c>
    </row>
    <row r="8805" spans="1:44">
      <c r="A8805" s="4" t="s">
        <v>10753</v>
      </c>
      <c r="B8805" s="4">
        <v>1641</v>
      </c>
      <c r="D8805" s="5" t="s">
        <v>11992</v>
      </c>
      <c r="E8805" s="6" t="str">
        <f>HYPERLINK("https://inpn.mnhn.fr/espece/cd_nom/1641","Xysticus audax (Schrank, 1803)")</f>
        <v>Xysticus audax (Schrank, 1803)</v>
      </c>
      <c r="Q8805" s="7" t="str">
        <f>HYPERLINK("#Liste_rouge!A"&amp;_xlfn.XMATCH("LC",Liste_rouge!A:A,2,1),"LC")</f>
        <v>LC</v>
      </c>
      <c r="AH8805" s="4" t="str">
        <f>HYPERLINK("#Statut_biogéographique!A"&amp;_xlfn.XMATCH("P",Statut_biogéographique!A:A,2,1),"P")</f>
        <v>P</v>
      </c>
      <c r="AP8805" s="4" t="s">
        <v>376</v>
      </c>
      <c r="AR8805" s="4" t="s">
        <v>377</v>
      </c>
    </row>
    <row r="8806" spans="1:44">
      <c r="A8806" s="4" t="s">
        <v>10753</v>
      </c>
      <c r="B8806" s="4">
        <v>1643</v>
      </c>
      <c r="D8806" s="5" t="s">
        <v>11993</v>
      </c>
      <c r="E8806" s="6" t="str">
        <f>HYPERLINK("https://inpn.mnhn.fr/espece/cd_nom/1643","Xysticus kochi Thorell, 1872")</f>
        <v>Xysticus kochi Thorell, 1872</v>
      </c>
      <c r="Q8806" s="7" t="str">
        <f>HYPERLINK("#Liste_rouge!A"&amp;_xlfn.XMATCH("LC",Liste_rouge!A:A,2,1),"LC")</f>
        <v>LC</v>
      </c>
      <c r="AH8806" s="4" t="str">
        <f>HYPERLINK("#Statut_biogéographique!A"&amp;_xlfn.XMATCH("P",Statut_biogéographique!A:A,2,1),"P")</f>
        <v>P</v>
      </c>
      <c r="AP8806" s="4" t="s">
        <v>376</v>
      </c>
      <c r="AR8806" s="4" t="s">
        <v>377</v>
      </c>
    </row>
    <row r="8807" spans="1:44">
      <c r="A8807" s="4" t="s">
        <v>10753</v>
      </c>
      <c r="B8807" s="4">
        <v>1644</v>
      </c>
      <c r="D8807" s="5">
        <v>1644</v>
      </c>
      <c r="E8807" s="6" t="str">
        <f>HYPERLINK("https://inpn.mnhn.fr/espece/cd_nom/1644","Xysticus gallicus Simon, 1875")</f>
        <v>Xysticus gallicus Simon, 1875</v>
      </c>
      <c r="Q8807" s="7" t="str">
        <f>HYPERLINK("#Liste_rouge!A"&amp;_xlfn.XMATCH("LC",Liste_rouge!A:A,2,1),"LC")</f>
        <v>LC</v>
      </c>
      <c r="AH8807" s="4" t="str">
        <f>HYPERLINK("#Statut_biogéographique!A"&amp;_xlfn.XMATCH("P",Statut_biogéographique!A:A,2,1),"P")</f>
        <v>P</v>
      </c>
      <c r="AP8807" s="4" t="s">
        <v>376</v>
      </c>
      <c r="AR8807" s="4" t="s">
        <v>377</v>
      </c>
    </row>
    <row r="8808" spans="1:44">
      <c r="A8808" s="4" t="s">
        <v>10753</v>
      </c>
      <c r="B8808" s="4">
        <v>16445</v>
      </c>
      <c r="D8808" s="5" t="s">
        <v>11994</v>
      </c>
      <c r="E8808" s="6" t="str">
        <f>HYPERLINK("https://inpn.mnhn.fr/espece/cd_nom/16445","Acalles lemur (Germar, 1823)")</f>
        <v>Acalles lemur (Germar, 1823)</v>
      </c>
      <c r="AH8808" s="4" t="str">
        <f>HYPERLINK("#Statut_biogéographique!A"&amp;_xlfn.XMATCH("P",Statut_biogéographique!A:A,2,1),"P")</f>
        <v>P</v>
      </c>
      <c r="AP8808" s="4" t="s">
        <v>376</v>
      </c>
      <c r="AR8808" s="4" t="s">
        <v>377</v>
      </c>
    </row>
    <row r="8809" spans="1:44">
      <c r="A8809" s="4" t="s">
        <v>10753</v>
      </c>
      <c r="B8809" s="4">
        <v>1645</v>
      </c>
      <c r="D8809" s="5">
        <v>1645</v>
      </c>
      <c r="E8809" s="6" t="str">
        <f>HYPERLINK("https://inpn.mnhn.fr/espece/cd_nom/1645","Xysticus bifasciatus C.L. Koch, 1837")</f>
        <v>Xysticus bifasciatus C.L. Koch, 1837</v>
      </c>
      <c r="Q8809" s="7" t="str">
        <f>HYPERLINK("#Liste_rouge!A"&amp;_xlfn.XMATCH("LC",Liste_rouge!A:A,2,1),"LC")</f>
        <v>LC</v>
      </c>
      <c r="AH8809" s="4" t="str">
        <f>HYPERLINK("#Statut_biogéographique!A"&amp;_xlfn.XMATCH("P",Statut_biogéographique!A:A,2,1),"P")</f>
        <v>P</v>
      </c>
      <c r="AP8809" s="4" t="s">
        <v>376</v>
      </c>
      <c r="AR8809" s="4" t="s">
        <v>377</v>
      </c>
    </row>
    <row r="8810" spans="1:44">
      <c r="A8810" s="4" t="s">
        <v>10753</v>
      </c>
      <c r="B8810" s="4">
        <v>16452</v>
      </c>
      <c r="D8810" s="5" t="s">
        <v>11995</v>
      </c>
      <c r="E8810" s="6" t="str">
        <f>HYPERLINK("https://inpn.mnhn.fr/espece/cd_nom/16452","Acalles parvulus Boheman, 1837")</f>
        <v>Acalles parvulus Boheman, 1837</v>
      </c>
      <c r="AH8810" s="4" t="str">
        <f>HYPERLINK("#Statut_biogéographique!A"&amp;_xlfn.XMATCH("P",Statut_biogéographique!A:A,2,1),"P")</f>
        <v>P</v>
      </c>
      <c r="AP8810" s="4" t="s">
        <v>376</v>
      </c>
      <c r="AR8810" s="4" t="s">
        <v>377</v>
      </c>
    </row>
    <row r="8811" spans="1:44">
      <c r="A8811" s="4" t="s">
        <v>10753</v>
      </c>
      <c r="B8811" s="4">
        <v>16457</v>
      </c>
      <c r="D8811" s="5">
        <v>16457</v>
      </c>
      <c r="E8811" s="6" t="str">
        <f>HYPERLINK("https://inpn.mnhn.fr/espece/cd_nom/16457","Acalles temperei Péricart, 1987")</f>
        <v>Acalles temperei Péricart, 1987</v>
      </c>
      <c r="AH8811" s="4" t="str">
        <f>HYPERLINK("#Statut_biogéographique!A"&amp;_xlfn.XMATCH("P",Statut_biogéographique!A:A,2,1),"P")</f>
        <v>P</v>
      </c>
      <c r="AP8811" s="4" t="s">
        <v>376</v>
      </c>
      <c r="AR8811" s="4" t="s">
        <v>377</v>
      </c>
    </row>
    <row r="8812" spans="1:44">
      <c r="A8812" s="4" t="s">
        <v>10753</v>
      </c>
      <c r="B8812" s="4">
        <v>16463</v>
      </c>
      <c r="D8812" s="5">
        <v>16463</v>
      </c>
      <c r="E8812" s="6" t="str">
        <f>HYPERLINK("https://inpn.mnhn.fr/espece/cd_nom/16463","Acalles micros Dieckmann, 1982")</f>
        <v>Acalles micros Dieckmann, 1982</v>
      </c>
      <c r="AH8812" s="4" t="str">
        <f>HYPERLINK("#Statut_biogéographique!A"&amp;_xlfn.XMATCH("P",Statut_biogéographique!A:A,2,1),"P")</f>
        <v>P</v>
      </c>
      <c r="AP8812" s="4" t="s">
        <v>376</v>
      </c>
      <c r="AR8812" s="4" t="s">
        <v>377</v>
      </c>
    </row>
    <row r="8813" spans="1:44">
      <c r="A8813" s="4" t="s">
        <v>10753</v>
      </c>
      <c r="B8813" s="4">
        <v>1648</v>
      </c>
      <c r="D8813" s="5" t="s">
        <v>11996</v>
      </c>
      <c r="E8813" s="6" t="str">
        <f>HYPERLINK("https://inpn.mnhn.fr/espece/cd_nom/1648","Xysticus lanio C.L. Koch, 1835")</f>
        <v>Xysticus lanio C.L. Koch, 1835</v>
      </c>
      <c r="Q8813" s="7" t="str">
        <f>HYPERLINK("#Liste_rouge!A"&amp;_xlfn.XMATCH("LC",Liste_rouge!A:A,2,1),"LC")</f>
        <v>LC</v>
      </c>
      <c r="AH8813" s="4" t="str">
        <f>HYPERLINK("#Statut_biogéographique!A"&amp;_xlfn.XMATCH("P",Statut_biogéographique!A:A,2,1),"P")</f>
        <v>P</v>
      </c>
      <c r="AP8813" s="4" t="s">
        <v>376</v>
      </c>
      <c r="AR8813" s="4" t="s">
        <v>377</v>
      </c>
    </row>
    <row r="8814" spans="1:44">
      <c r="A8814" s="4" t="s">
        <v>10753</v>
      </c>
      <c r="B8814" s="4">
        <v>16495</v>
      </c>
      <c r="D8814" s="5" t="s">
        <v>11997</v>
      </c>
      <c r="E8814" s="6" t="str">
        <f>HYPERLINK("https://inpn.mnhn.fr/espece/cd_nom/16495","Echinodera hypocrita Boheman, 1837")</f>
        <v>Echinodera hypocrita Boheman, 1837</v>
      </c>
      <c r="AH8814" s="4" t="str">
        <f>HYPERLINK("#Statut_biogéographique!A"&amp;_xlfn.XMATCH("P",Statut_biogéographique!A:A,2,1),"P")</f>
        <v>P</v>
      </c>
      <c r="AP8814" s="4" t="s">
        <v>376</v>
      </c>
      <c r="AR8814" s="4" t="s">
        <v>377</v>
      </c>
    </row>
    <row r="8815" spans="1:44">
      <c r="A8815" s="4" t="s">
        <v>10753</v>
      </c>
      <c r="B8815" s="4">
        <v>16503</v>
      </c>
      <c r="D8815" s="5" t="s">
        <v>11998</v>
      </c>
      <c r="E8815" s="6" t="str">
        <f>HYPERLINK("https://inpn.mnhn.fr/espece/cd_nom/16503","Trachodes hispidus (Linnaeus, 1758)")</f>
        <v>Trachodes hispidus (Linnaeus, 1758)</v>
      </c>
      <c r="AH8815" s="4" t="str">
        <f>HYPERLINK("#Statut_biogéographique!A"&amp;_xlfn.XMATCH("P",Statut_biogéographique!A:A,2,1),"P")</f>
        <v>P</v>
      </c>
      <c r="AP8815" s="4" t="s">
        <v>376</v>
      </c>
      <c r="AR8815" s="4" t="s">
        <v>377</v>
      </c>
    </row>
    <row r="8816" spans="1:44">
      <c r="A8816" s="4" t="s">
        <v>10753</v>
      </c>
      <c r="B8816" s="4">
        <v>16562</v>
      </c>
      <c r="D8816" s="5" t="s">
        <v>11999</v>
      </c>
      <c r="E8816" s="6" t="str">
        <f>HYPERLINK("https://inpn.mnhn.fr/espece/cd_nom/16562","Pachytychius sparsutus (Olivier, 1807)")</f>
        <v>Pachytychius sparsutus (Olivier, 1807)</v>
      </c>
      <c r="AH8816" s="4" t="str">
        <f>HYPERLINK("#Statut_biogéographique!A"&amp;_xlfn.XMATCH("P",Statut_biogéographique!A:A,2,1),"P")</f>
        <v>P</v>
      </c>
      <c r="AP8816" s="4" t="s">
        <v>376</v>
      </c>
      <c r="AR8816" s="4" t="s">
        <v>377</v>
      </c>
    </row>
    <row r="8817" spans="1:44">
      <c r="A8817" s="4" t="s">
        <v>10753</v>
      </c>
      <c r="B8817" s="4">
        <v>16573</v>
      </c>
      <c r="D8817" s="5" t="s">
        <v>12000</v>
      </c>
      <c r="E8817" s="6" t="str">
        <f>HYPERLINK("https://inpn.mnhn.fr/espece/cd_nom/16573","Grypus equiseti (Fabricius, 1775)")</f>
        <v>Grypus equiseti (Fabricius, 1775)</v>
      </c>
      <c r="AH8817" s="4" t="str">
        <f>HYPERLINK("#Statut_biogéographique!A"&amp;_xlfn.XMATCH("P",Statut_biogéographique!A:A,2,1),"P")</f>
        <v>P</v>
      </c>
      <c r="AP8817" s="4" t="s">
        <v>376</v>
      </c>
      <c r="AR8817" s="4" t="s">
        <v>377</v>
      </c>
    </row>
    <row r="8818" spans="1:44">
      <c r="A8818" s="4" t="s">
        <v>10753</v>
      </c>
      <c r="B8818" s="4">
        <v>16583</v>
      </c>
      <c r="D8818" s="5" t="s">
        <v>12001</v>
      </c>
      <c r="E8818" s="6" t="str">
        <f>HYPERLINK("https://inpn.mnhn.fr/espece/cd_nom/16583","Thryogenes festucae (Herbst, 1795)")</f>
        <v>Thryogenes festucae (Herbst, 1795)</v>
      </c>
      <c r="AH8818" s="4" t="str">
        <f>HYPERLINK("#Statut_biogéographique!A"&amp;_xlfn.XMATCH("P",Statut_biogéographique!A:A,2,1),"P")</f>
        <v>P</v>
      </c>
      <c r="AP8818" s="4" t="s">
        <v>376</v>
      </c>
      <c r="AR8818" s="4" t="s">
        <v>377</v>
      </c>
    </row>
    <row r="8819" spans="1:44">
      <c r="A8819" s="4" t="s">
        <v>10753</v>
      </c>
      <c r="B8819" s="4">
        <v>1660</v>
      </c>
      <c r="D8819" s="5">
        <v>1660</v>
      </c>
      <c r="E8819" s="6" t="str">
        <f>HYPERLINK("https://inpn.mnhn.fr/espece/cd_nom/1660","Xysticus acerbus Thorell, 1872")</f>
        <v>Xysticus acerbus Thorell, 1872</v>
      </c>
      <c r="Q8819" s="7" t="str">
        <f>HYPERLINK("#Liste_rouge!A"&amp;_xlfn.XMATCH("LC",Liste_rouge!A:A,2,1),"LC")</f>
        <v>LC</v>
      </c>
      <c r="AH8819" s="4" t="str">
        <f>HYPERLINK("#Statut_biogéographique!A"&amp;_xlfn.XMATCH("P",Statut_biogéographique!A:A,2,1),"P")</f>
        <v>P</v>
      </c>
      <c r="AP8819" s="4" t="s">
        <v>376</v>
      </c>
      <c r="AR8819" s="4" t="s">
        <v>377</v>
      </c>
    </row>
    <row r="8820" spans="1:44">
      <c r="A8820" s="4" t="s">
        <v>10753</v>
      </c>
      <c r="B8820" s="4">
        <v>16604</v>
      </c>
      <c r="D8820" s="5" t="s">
        <v>12002</v>
      </c>
      <c r="E8820" s="6" t="str">
        <f>HYPERLINK("https://inpn.mnhn.fr/espece/cd_nom/16604","Notaris scirpi (Fabricius, 1792)")</f>
        <v>Notaris scirpi (Fabricius, 1792)</v>
      </c>
      <c r="AH8820" s="4" t="str">
        <f>HYPERLINK("#Statut_biogéographique!A"&amp;_xlfn.XMATCH("P",Statut_biogéographique!A:A,2,1),"P")</f>
        <v>P</v>
      </c>
      <c r="AP8820" s="4" t="s">
        <v>376</v>
      </c>
      <c r="AR8820" s="4" t="s">
        <v>377</v>
      </c>
    </row>
    <row r="8821" spans="1:44">
      <c r="A8821" s="4" t="s">
        <v>10753</v>
      </c>
      <c r="B8821" s="4">
        <v>16627</v>
      </c>
      <c r="D8821" s="5" t="s">
        <v>12003</v>
      </c>
      <c r="E8821" s="6" t="str">
        <f>HYPERLINK("https://inpn.mnhn.fr/espece/cd_nom/16627","Dorytomus longimanus (Forster, 1771)")</f>
        <v>Dorytomus longimanus (Forster, 1771)</v>
      </c>
      <c r="F8821" s="5" t="s">
        <v>12004</v>
      </c>
      <c r="AH8821" s="4" t="str">
        <f>HYPERLINK("#Statut_biogéographique!A"&amp;_xlfn.XMATCH("P",Statut_biogéographique!A:A,2,1),"P")</f>
        <v>P</v>
      </c>
      <c r="AP8821" s="4" t="s">
        <v>376</v>
      </c>
      <c r="AR8821" s="4" t="s">
        <v>377</v>
      </c>
    </row>
    <row r="8822" spans="1:44">
      <c r="A8822" s="4" t="s">
        <v>10753</v>
      </c>
      <c r="B8822" s="4">
        <v>16641</v>
      </c>
      <c r="D8822" s="5" t="s">
        <v>12005</v>
      </c>
      <c r="E8822" s="6" t="str">
        <f>HYPERLINK("https://inpn.mnhn.fr/espece/cd_nom/16641","Dorytomus tremulae (Fabricius, 1787)")</f>
        <v>Dorytomus tremulae (Fabricius, 1787)</v>
      </c>
      <c r="AH8822" s="4" t="str">
        <f>HYPERLINK("#Statut_biogéographique!A"&amp;_xlfn.XMATCH("P",Statut_biogéographique!A:A,2,1),"P")</f>
        <v>P</v>
      </c>
      <c r="AP8822" s="4" t="s">
        <v>376</v>
      </c>
      <c r="AR8822" s="4" t="s">
        <v>377</v>
      </c>
    </row>
    <row r="8823" spans="1:44">
      <c r="A8823" s="4" t="s">
        <v>10753</v>
      </c>
      <c r="B8823" s="4">
        <v>1665</v>
      </c>
      <c r="D8823" s="5" t="s">
        <v>12006</v>
      </c>
      <c r="E8823" s="6" t="str">
        <f>HYPERLINK("https://inpn.mnhn.fr/espece/cd_nom/1665","Xysticus lineatus (Westring, 1851)")</f>
        <v>Xysticus lineatus (Westring, 1851)</v>
      </c>
      <c r="Q8823" s="7" t="str">
        <f>HYPERLINK("#Liste_rouge!A"&amp;_xlfn.XMATCH("LC",Liste_rouge!A:A,2,1),"LC")</f>
        <v>LC</v>
      </c>
      <c r="AH8823" s="4" t="str">
        <f>HYPERLINK("#Statut_biogéographique!A"&amp;_xlfn.XMATCH("P",Statut_biogéographique!A:A,2,1),"P")</f>
        <v>P</v>
      </c>
      <c r="AP8823" s="4" t="s">
        <v>376</v>
      </c>
      <c r="AR8823" s="4" t="s">
        <v>377</v>
      </c>
    </row>
    <row r="8824" spans="1:44">
      <c r="A8824" s="4" t="s">
        <v>10753</v>
      </c>
      <c r="B8824" s="4">
        <v>16650</v>
      </c>
      <c r="D8824" s="5" t="s">
        <v>12007</v>
      </c>
      <c r="E8824" s="6" t="str">
        <f>HYPERLINK("https://inpn.mnhn.fr/espece/cd_nom/16650","Dorytomus tortrix (Linnaeus, 1761)")</f>
        <v>Dorytomus tortrix (Linnaeus, 1761)</v>
      </c>
      <c r="AH8824" s="4" t="str">
        <f>HYPERLINK("#Statut_biogéographique!A"&amp;_xlfn.XMATCH("P",Statut_biogéographique!A:A,2,1),"P")</f>
        <v>P</v>
      </c>
      <c r="AP8824" s="4" t="s">
        <v>376</v>
      </c>
      <c r="AR8824" s="4" t="s">
        <v>377</v>
      </c>
    </row>
    <row r="8825" spans="1:44">
      <c r="A8825" s="4" t="s">
        <v>10753</v>
      </c>
      <c r="B8825" s="4">
        <v>16680</v>
      </c>
      <c r="D8825" s="5" t="s">
        <v>12008</v>
      </c>
      <c r="E8825" s="6" t="str">
        <f>HYPERLINK("https://inpn.mnhn.fr/espece/cd_nom/16680","Dorytomus ictor (Herbst, 1795)")</f>
        <v>Dorytomus ictor (Herbst, 1795)</v>
      </c>
      <c r="AH8825" s="4" t="str">
        <f>HYPERLINK("#Statut_biogéographique!A"&amp;_xlfn.XMATCH("P",Statut_biogéographique!A:A,2,1),"P")</f>
        <v>P</v>
      </c>
      <c r="AP8825" s="4" t="s">
        <v>376</v>
      </c>
      <c r="AR8825" s="4" t="s">
        <v>377</v>
      </c>
    </row>
    <row r="8826" spans="1:44">
      <c r="A8826" s="4" t="s">
        <v>10753</v>
      </c>
      <c r="B8826" s="4">
        <v>16687</v>
      </c>
      <c r="D8826" s="5" t="s">
        <v>12009</v>
      </c>
      <c r="E8826" s="6" t="str">
        <f>HYPERLINK("https://inpn.mnhn.fr/espece/cd_nom/16687","Dorytomus hirtipennis Bedel, 1884")</f>
        <v>Dorytomus hirtipennis Bedel, 1884</v>
      </c>
      <c r="AH8826" s="4" t="str">
        <f>HYPERLINK("#Statut_biogéographique!A"&amp;_xlfn.XMATCH("P",Statut_biogéographique!A:A,2,1),"P")</f>
        <v>P</v>
      </c>
      <c r="AP8826" s="4" t="s">
        <v>376</v>
      </c>
      <c r="AR8826" s="4" t="s">
        <v>377</v>
      </c>
    </row>
    <row r="8827" spans="1:44">
      <c r="A8827" s="4" t="s">
        <v>10753</v>
      </c>
      <c r="B8827" s="4">
        <v>16700</v>
      </c>
      <c r="D8827" s="5" t="s">
        <v>12010</v>
      </c>
      <c r="E8827" s="6" t="str">
        <f>HYPERLINK("https://inpn.mnhn.fr/espece/cd_nom/16700","Dorytomus dejeani Faust, 1883")</f>
        <v>Dorytomus dejeani Faust, 1883</v>
      </c>
      <c r="AH8827" s="4" t="str">
        <f>HYPERLINK("#Statut_biogéographique!A"&amp;_xlfn.XMATCH("P",Statut_biogéographique!A:A,2,1),"P")</f>
        <v>P</v>
      </c>
      <c r="AP8827" s="4" t="s">
        <v>376</v>
      </c>
      <c r="AR8827" s="4" t="s">
        <v>377</v>
      </c>
    </row>
    <row r="8828" spans="1:44">
      <c r="A8828" s="4" t="s">
        <v>10753</v>
      </c>
      <c r="B8828" s="4">
        <v>16705</v>
      </c>
      <c r="D8828" s="5" t="s">
        <v>12011</v>
      </c>
      <c r="E8828" s="6" t="str">
        <f>HYPERLINK("https://inpn.mnhn.fr/espece/cd_nom/16705","Dorytomus taeniatus (Fabricius, 1781)")</f>
        <v>Dorytomus taeniatus (Fabricius, 1781)</v>
      </c>
      <c r="AH8828" s="4" t="str">
        <f>HYPERLINK("#Statut_biogéographique!A"&amp;_xlfn.XMATCH("P",Statut_biogéographique!A:A,2,1),"P")</f>
        <v>P</v>
      </c>
      <c r="AP8828" s="4" t="s">
        <v>376</v>
      </c>
      <c r="AR8828" s="4" t="s">
        <v>377</v>
      </c>
    </row>
    <row r="8829" spans="1:44">
      <c r="A8829" s="4" t="s">
        <v>10753</v>
      </c>
      <c r="B8829" s="4">
        <v>16726</v>
      </c>
      <c r="D8829" s="5" t="s">
        <v>12012</v>
      </c>
      <c r="E8829" s="6" t="str">
        <f>HYPERLINK("https://inpn.mnhn.fr/espece/cd_nom/16726","Dorytomus rufatus (Bedel, 1888)")</f>
        <v>Dorytomus rufatus (Bedel, 1888)</v>
      </c>
      <c r="AH8829" s="4" t="str">
        <f>HYPERLINK("#Statut_biogéographique!A"&amp;_xlfn.XMATCH("P",Statut_biogéographique!A:A,2,1),"P")</f>
        <v>P</v>
      </c>
      <c r="AP8829" s="4" t="s">
        <v>376</v>
      </c>
      <c r="AR8829" s="4" t="s">
        <v>377</v>
      </c>
    </row>
    <row r="8830" spans="1:44">
      <c r="A8830" s="4" t="s">
        <v>10753</v>
      </c>
      <c r="B8830" s="4">
        <v>16735</v>
      </c>
      <c r="D8830" s="5" t="s">
        <v>12013</v>
      </c>
      <c r="E8830" s="6" t="str">
        <f>HYPERLINK("https://inpn.mnhn.fr/espece/cd_nom/16735","Dorytomus salicinus (Gyllenhal, 1827)")</f>
        <v>Dorytomus salicinus (Gyllenhal, 1827)</v>
      </c>
      <c r="AH8830" s="4" t="str">
        <f>HYPERLINK("#Statut_biogéographique!A"&amp;_xlfn.XMATCH("P",Statut_biogéographique!A:A,2,1),"P")</f>
        <v>P</v>
      </c>
      <c r="AP8830" s="4" t="s">
        <v>376</v>
      </c>
      <c r="AR8830" s="4" t="s">
        <v>377</v>
      </c>
    </row>
    <row r="8831" spans="1:44">
      <c r="A8831" s="4" t="s">
        <v>10753</v>
      </c>
      <c r="B8831" s="4">
        <v>16742</v>
      </c>
      <c r="D8831" s="5" t="s">
        <v>12014</v>
      </c>
      <c r="E8831" s="6" t="str">
        <f>HYPERLINK("https://inpn.mnhn.fr/espece/cd_nom/16742","Dorytomus salicis Walton, 1851")</f>
        <v>Dorytomus salicis Walton, 1851</v>
      </c>
      <c r="AH8831" s="4" t="str">
        <f>HYPERLINK("#Statut_biogéographique!A"&amp;_xlfn.XMATCH("P",Statut_biogéographique!A:A,2,1),"P")</f>
        <v>P</v>
      </c>
      <c r="AP8831" s="4" t="s">
        <v>376</v>
      </c>
      <c r="AR8831" s="4" t="s">
        <v>377</v>
      </c>
    </row>
    <row r="8832" spans="1:44">
      <c r="A8832" s="4" t="s">
        <v>10753</v>
      </c>
      <c r="B8832" s="4">
        <v>1676</v>
      </c>
      <c r="D8832" s="5">
        <v>1676</v>
      </c>
      <c r="E8832" s="6" t="str">
        <f>HYPERLINK("https://inpn.mnhn.fr/espece/cd_nom/1676","Philodromus dispar Walckenaer, 1826")</f>
        <v>Philodromus dispar Walckenaer, 1826</v>
      </c>
      <c r="F8832" s="5" t="s">
        <v>12015</v>
      </c>
      <c r="Q8832" s="7" t="str">
        <f>HYPERLINK("#Liste_rouge!A"&amp;_xlfn.XMATCH("LC",Liste_rouge!A:A,2,1),"LC")</f>
        <v>LC</v>
      </c>
      <c r="AH8832" s="4" t="str">
        <f>HYPERLINK("#Statut_biogéographique!A"&amp;_xlfn.XMATCH("P",Statut_biogéographique!A:A,2,1),"P")</f>
        <v>P</v>
      </c>
      <c r="AP8832" s="4" t="s">
        <v>376</v>
      </c>
      <c r="AR8832" s="4" t="s">
        <v>377</v>
      </c>
    </row>
    <row r="8833" spans="1:44">
      <c r="A8833" s="4" t="s">
        <v>10753</v>
      </c>
      <c r="B8833" s="4">
        <v>16761</v>
      </c>
      <c r="D8833" s="5" t="s">
        <v>12016</v>
      </c>
      <c r="E8833" s="6" t="str">
        <f>HYPERLINK("https://inpn.mnhn.fr/espece/cd_nom/16761","Dorytomus dorsalis (Linnaeus, 1758)")</f>
        <v>Dorytomus dorsalis (Linnaeus, 1758)</v>
      </c>
      <c r="AH8833" s="4" t="str">
        <f>HYPERLINK("#Statut_biogéographique!A"&amp;_xlfn.XMATCH("P",Statut_biogéographique!A:A,2,1),"P")</f>
        <v>P</v>
      </c>
      <c r="AP8833" s="4" t="s">
        <v>376</v>
      </c>
      <c r="AR8833" s="4" t="s">
        <v>377</v>
      </c>
    </row>
    <row r="8834" spans="1:44">
      <c r="A8834" s="4" t="s">
        <v>10753</v>
      </c>
      <c r="B8834" s="4">
        <v>1677</v>
      </c>
      <c r="D8834" s="5" t="s">
        <v>12017</v>
      </c>
      <c r="E8834" s="6" t="str">
        <f>HYPERLINK("https://inpn.mnhn.fr/espece/cd_nom/1677","Philodromus poecilus (Thorell, 1872)")</f>
        <v>Philodromus poecilus (Thorell, 1872)</v>
      </c>
      <c r="Q8834" s="7" t="str">
        <f>HYPERLINK("#Liste_rouge!A"&amp;_xlfn.XMATCH("DD",Liste_rouge!A:A,2,1),"DD")</f>
        <v>DD</v>
      </c>
      <c r="AH8834" s="4" t="str">
        <f>HYPERLINK("#Statut_biogéographique!A"&amp;_xlfn.XMATCH("P",Statut_biogéographique!A:A,2,1),"P")</f>
        <v>P</v>
      </c>
      <c r="AP8834" s="4" t="s">
        <v>376</v>
      </c>
      <c r="AR8834" s="4" t="s">
        <v>377</v>
      </c>
    </row>
    <row r="8835" spans="1:44" ht="30">
      <c r="A8835" s="4" t="s">
        <v>10753</v>
      </c>
      <c r="B8835" s="4">
        <v>16771</v>
      </c>
      <c r="D8835" s="5" t="s">
        <v>12018</v>
      </c>
      <c r="E8835" s="6" t="str">
        <f>HYPERLINK("https://inpn.mnhn.fr/espece/cd_nom/16771","Orthochaetes setiger (Beck, 1817)")</f>
        <v>Orthochaetes setiger (Beck, 1817)</v>
      </c>
      <c r="AH8835" s="4" t="str">
        <f>HYPERLINK("#Statut_biogéographique!A"&amp;_xlfn.XMATCH("P",Statut_biogéographique!A:A,2,1),"P")</f>
        <v>P</v>
      </c>
      <c r="AP8835" s="4" t="s">
        <v>376</v>
      </c>
      <c r="AR8835" s="4" t="s">
        <v>377</v>
      </c>
    </row>
    <row r="8836" spans="1:44">
      <c r="A8836" s="4" t="s">
        <v>10753</v>
      </c>
      <c r="B8836" s="4">
        <v>16779</v>
      </c>
      <c r="D8836" s="5" t="s">
        <v>12019</v>
      </c>
      <c r="E8836" s="6" t="str">
        <f>HYPERLINK("https://inpn.mnhn.fr/espece/cd_nom/16779","Orthochaetes insignis (Aubé, 1863)")</f>
        <v>Orthochaetes insignis (Aubé, 1863)</v>
      </c>
      <c r="AH8836" s="4" t="str">
        <f>HYPERLINK("#Statut_biogéographique!A"&amp;_xlfn.XMATCH("P",Statut_biogéographique!A:A,2,1),"P")</f>
        <v>P</v>
      </c>
      <c r="AP8836" s="4" t="s">
        <v>376</v>
      </c>
      <c r="AR8836" s="4" t="s">
        <v>377</v>
      </c>
    </row>
    <row r="8837" spans="1:44">
      <c r="A8837" s="4" t="s">
        <v>10753</v>
      </c>
      <c r="B8837" s="4">
        <v>1678</v>
      </c>
      <c r="D8837" s="5" t="s">
        <v>12020</v>
      </c>
      <c r="E8837" s="6" t="str">
        <f>HYPERLINK("https://inpn.mnhn.fr/espece/cd_nom/1678","Philodromus aureolus (Clerck, 1758)")</f>
        <v>Philodromus aureolus (Clerck, 1758)</v>
      </c>
      <c r="Q8837" s="7" t="str">
        <f>HYPERLINK("#Liste_rouge!A"&amp;_xlfn.XMATCH("LC",Liste_rouge!A:A,2,1),"LC")</f>
        <v>LC</v>
      </c>
      <c r="AH8837" s="4" t="str">
        <f>HYPERLINK("#Statut_biogéographique!A"&amp;_xlfn.XMATCH("P",Statut_biogéographique!A:A,2,1),"P")</f>
        <v>P</v>
      </c>
      <c r="AP8837" s="4" t="s">
        <v>376</v>
      </c>
      <c r="AR8837" s="4" t="s">
        <v>377</v>
      </c>
    </row>
    <row r="8838" spans="1:44">
      <c r="A8838" s="4" t="s">
        <v>10753</v>
      </c>
      <c r="B8838" s="4">
        <v>1679</v>
      </c>
      <c r="D8838" s="5" t="s">
        <v>12021</v>
      </c>
      <c r="E8838" s="6" t="str">
        <f>HYPERLINK("https://inpn.mnhn.fr/espece/cd_nom/1679","Philodromus margaritatus (Clerck, 1758)")</f>
        <v>Philodromus margaritatus (Clerck, 1758)</v>
      </c>
      <c r="F8838" s="5" t="s">
        <v>12022</v>
      </c>
      <c r="Q8838" s="7" t="str">
        <f>HYPERLINK("#Liste_rouge!A"&amp;_xlfn.XMATCH("LC",Liste_rouge!A:A,2,1),"LC")</f>
        <v>LC</v>
      </c>
      <c r="AH8838" s="4" t="str">
        <f>HYPERLINK("#Statut_biogéographique!A"&amp;_xlfn.XMATCH("P",Statut_biogéographique!A:A,2,1),"P")</f>
        <v>P</v>
      </c>
      <c r="AP8838" s="4" t="s">
        <v>376</v>
      </c>
      <c r="AR8838" s="4" t="s">
        <v>377</v>
      </c>
    </row>
    <row r="8839" spans="1:44">
      <c r="A8839" s="4" t="s">
        <v>10753</v>
      </c>
      <c r="B8839" s="4">
        <v>1680</v>
      </c>
      <c r="D8839" s="5">
        <v>1680</v>
      </c>
      <c r="E8839" s="6" t="str">
        <f>HYPERLINK("https://inpn.mnhn.fr/espece/cd_nom/1680","Philodromus rufus Walckenaer, 1826")</f>
        <v>Philodromus rufus Walckenaer, 1826</v>
      </c>
      <c r="Q8839" s="7" t="str">
        <f>HYPERLINK("#Liste_rouge!A"&amp;_xlfn.XMATCH("LC",Liste_rouge!A:A,2,1),"LC")</f>
        <v>LC</v>
      </c>
      <c r="AH8839" s="4" t="str">
        <f>HYPERLINK("#Statut_biogéographique!A"&amp;_xlfn.XMATCH("P",Statut_biogéographique!A:A,2,1),"P")</f>
        <v>P</v>
      </c>
      <c r="AP8839" s="4" t="s">
        <v>376</v>
      </c>
      <c r="AR8839" s="4" t="s">
        <v>377</v>
      </c>
    </row>
    <row r="8840" spans="1:44">
      <c r="A8840" s="4" t="s">
        <v>10753</v>
      </c>
      <c r="B8840" s="4">
        <v>1687</v>
      </c>
      <c r="D8840" s="5" t="s">
        <v>12023</v>
      </c>
      <c r="E8840" s="6" t="str">
        <f>HYPERLINK("https://inpn.mnhn.fr/espece/cd_nom/1687","Thanatus striatus C.L. Koch, 1845")</f>
        <v>Thanatus striatus C.L. Koch, 1845</v>
      </c>
      <c r="Q8840" s="7" t="str">
        <f>HYPERLINK("#Liste_rouge!A"&amp;_xlfn.XMATCH("LC",Liste_rouge!A:A,2,1),"LC")</f>
        <v>LC</v>
      </c>
      <c r="AH8840" s="4" t="str">
        <f>HYPERLINK("#Statut_biogéographique!A"&amp;_xlfn.XMATCH("P",Statut_biogéographique!A:A,2,1),"P")</f>
        <v>P</v>
      </c>
      <c r="AP8840" s="4" t="s">
        <v>376</v>
      </c>
      <c r="AR8840" s="4" t="s">
        <v>377</v>
      </c>
    </row>
    <row r="8841" spans="1:44">
      <c r="A8841" s="4" t="s">
        <v>10753</v>
      </c>
      <c r="B8841" s="4">
        <v>1700</v>
      </c>
      <c r="D8841" s="5" t="s">
        <v>12024</v>
      </c>
      <c r="E8841" s="6" t="str">
        <f>HYPERLINK("https://inpn.mnhn.fr/espece/cd_nom/1700","Tibellus oblongus (Walckenaer, 1802)")</f>
        <v>Tibellus oblongus (Walckenaer, 1802)</v>
      </c>
      <c r="F8841" s="5" t="s">
        <v>12025</v>
      </c>
      <c r="Q8841" s="7" t="str">
        <f>HYPERLINK("#Liste_rouge!A"&amp;_xlfn.XMATCH("LC",Liste_rouge!A:A,2,1),"LC")</f>
        <v>LC</v>
      </c>
      <c r="AH8841" s="4" t="str">
        <f>HYPERLINK("#Statut_biogéographique!A"&amp;_xlfn.XMATCH("P",Statut_biogéographique!A:A,2,1),"P")</f>
        <v>P</v>
      </c>
      <c r="AP8841" s="4" t="s">
        <v>376</v>
      </c>
      <c r="AR8841" s="4" t="s">
        <v>377</v>
      </c>
    </row>
    <row r="8842" spans="1:44" ht="30">
      <c r="A8842" s="4" t="s">
        <v>10753</v>
      </c>
      <c r="B8842" s="4">
        <v>17081</v>
      </c>
      <c r="D8842" s="5" t="s">
        <v>12026</v>
      </c>
      <c r="E8842" s="6" t="str">
        <f>HYPERLINK("https://inpn.mnhn.fr/espece/cd_nom/17081","Apion frumentarium (Linnaeus, 1758)")</f>
        <v>Apion frumentarium (Linnaeus, 1758)</v>
      </c>
      <c r="F8842" s="5" t="s">
        <v>12027</v>
      </c>
      <c r="AH8842" s="4" t="str">
        <f>HYPERLINK("#Statut_biogéographique!A"&amp;_xlfn.XMATCH("P",Statut_biogéographique!A:A,2,1),"P")</f>
        <v>P</v>
      </c>
      <c r="AP8842" s="4" t="s">
        <v>376</v>
      </c>
      <c r="AR8842" s="4" t="s">
        <v>377</v>
      </c>
    </row>
    <row r="8843" spans="1:44">
      <c r="A8843" s="4" t="s">
        <v>10753</v>
      </c>
      <c r="B8843" s="4">
        <v>17086</v>
      </c>
      <c r="D8843" s="5" t="s">
        <v>12028</v>
      </c>
      <c r="E8843" s="6" t="str">
        <f>HYPERLINK("https://inpn.mnhn.fr/espece/cd_nom/17086","Apion haematodes W. Kirby, 1808")</f>
        <v>Apion haematodes W. Kirby, 1808</v>
      </c>
      <c r="AH8843" s="4" t="str">
        <f>HYPERLINK("#Statut_biogéographique!A"&amp;_xlfn.XMATCH("P",Statut_biogéographique!A:A,2,1),"P")</f>
        <v>P</v>
      </c>
      <c r="AP8843" s="4" t="s">
        <v>376</v>
      </c>
      <c r="AR8843" s="4" t="s">
        <v>377</v>
      </c>
    </row>
    <row r="8844" spans="1:44">
      <c r="A8844" s="4" t="s">
        <v>10753</v>
      </c>
      <c r="B8844" s="4">
        <v>1709</v>
      </c>
      <c r="D8844" s="5" t="s">
        <v>12029</v>
      </c>
      <c r="E8844" s="6" t="str">
        <f>HYPERLINK("https://inpn.mnhn.fr/espece/cd_nom/1709","Micrommata virescens (Clerck, 1758)")</f>
        <v>Micrommata virescens (Clerck, 1758)</v>
      </c>
      <c r="F8844" s="5" t="s">
        <v>12030</v>
      </c>
      <c r="Q8844" s="7" t="str">
        <f>HYPERLINK("#Liste_rouge!A"&amp;_xlfn.XMATCH("LC",Liste_rouge!A:A,2,1),"LC")</f>
        <v>LC</v>
      </c>
      <c r="AH8844" s="4" t="str">
        <f>HYPERLINK("#Statut_biogéographique!A"&amp;_xlfn.XMATCH("P",Statut_biogéographique!A:A,2,1),"P")</f>
        <v>P</v>
      </c>
      <c r="AP8844" s="4" t="s">
        <v>376</v>
      </c>
      <c r="AR8844" s="4" t="s">
        <v>377</v>
      </c>
    </row>
    <row r="8845" spans="1:44">
      <c r="A8845" s="4" t="s">
        <v>10753</v>
      </c>
      <c r="B8845" s="4">
        <v>17090</v>
      </c>
      <c r="D8845" s="5" t="s">
        <v>12031</v>
      </c>
      <c r="E8845" s="6" t="str">
        <f>HYPERLINK("https://inpn.mnhn.fr/espece/cd_nom/17090","Apion cruentatum Walton, 1844")</f>
        <v>Apion cruentatum Walton, 1844</v>
      </c>
      <c r="AH8845" s="4" t="str">
        <f>HYPERLINK("#Statut_biogéographique!A"&amp;_xlfn.XMATCH("P",Statut_biogéographique!A:A,2,1),"P")</f>
        <v>P</v>
      </c>
      <c r="AP8845" s="4" t="s">
        <v>376</v>
      </c>
      <c r="AR8845" s="4" t="s">
        <v>377</v>
      </c>
    </row>
    <row r="8846" spans="1:44">
      <c r="A8846" s="4" t="s">
        <v>10753</v>
      </c>
      <c r="B8846" s="4">
        <v>1715</v>
      </c>
      <c r="D8846" s="5" t="s">
        <v>12032</v>
      </c>
      <c r="E8846" s="6" t="str">
        <f>HYPERLINK("https://inpn.mnhn.fr/espece/cd_nom/1715","Anyphaena accentuata (Walckenaer, 1802)")</f>
        <v>Anyphaena accentuata (Walckenaer, 1802)</v>
      </c>
      <c r="F8846" s="5" t="s">
        <v>12033</v>
      </c>
      <c r="Q8846" s="7" t="str">
        <f>HYPERLINK("#Liste_rouge!A"&amp;_xlfn.XMATCH("LC",Liste_rouge!A:A,2,1),"LC")</f>
        <v>LC</v>
      </c>
      <c r="AH8846" s="4" t="str">
        <f>HYPERLINK("#Statut_biogéographique!A"&amp;_xlfn.XMATCH("P",Statut_biogéographique!A:A,2,1),"P")</f>
        <v>P</v>
      </c>
      <c r="AP8846" s="4" t="s">
        <v>376</v>
      </c>
      <c r="AR8846" s="4" t="s">
        <v>377</v>
      </c>
    </row>
    <row r="8847" spans="1:44">
      <c r="A8847" s="4" t="s">
        <v>10753</v>
      </c>
      <c r="B8847" s="4">
        <v>1726</v>
      </c>
      <c r="D8847" s="5">
        <v>1726</v>
      </c>
      <c r="E8847" s="6" t="str">
        <f>HYPERLINK("https://inpn.mnhn.fr/espece/cd_nom/1726","Clubiona terrestris Westring, 1851")</f>
        <v>Clubiona terrestris Westring, 1851</v>
      </c>
      <c r="Q8847" s="7" t="str">
        <f>HYPERLINK("#Liste_rouge!A"&amp;_xlfn.XMATCH("LC",Liste_rouge!A:A,2,1),"LC")</f>
        <v>LC</v>
      </c>
      <c r="AH8847" s="4" t="str">
        <f>HYPERLINK("#Statut_biogéographique!A"&amp;_xlfn.XMATCH("P",Statut_biogéographique!A:A,2,1),"P")</f>
        <v>P</v>
      </c>
      <c r="AP8847" s="4" t="s">
        <v>376</v>
      </c>
      <c r="AR8847" s="4" t="s">
        <v>377</v>
      </c>
    </row>
    <row r="8848" spans="1:44">
      <c r="A8848" s="4" t="s">
        <v>10753</v>
      </c>
      <c r="B8848" s="4">
        <v>1728</v>
      </c>
      <c r="D8848" s="5">
        <v>1728</v>
      </c>
      <c r="E8848" s="6" t="str">
        <f>HYPERLINK("https://inpn.mnhn.fr/espece/cd_nom/1728","Clubiona caerulescens L. Koch, 1867")</f>
        <v>Clubiona caerulescens L. Koch, 1867</v>
      </c>
      <c r="Q8848" s="7" t="str">
        <f>HYPERLINK("#Liste_rouge!A"&amp;_xlfn.XMATCH("LC",Liste_rouge!A:A,2,1),"LC")</f>
        <v>LC</v>
      </c>
      <c r="AH8848" s="4" t="str">
        <f>HYPERLINK("#Statut_biogéographique!A"&amp;_xlfn.XMATCH("P",Statut_biogéographique!A:A,2,1),"P")</f>
        <v>P</v>
      </c>
      <c r="AP8848" s="4" t="s">
        <v>376</v>
      </c>
      <c r="AR8848" s="4" t="s">
        <v>377</v>
      </c>
    </row>
    <row r="8849" spans="1:44">
      <c r="A8849" s="4" t="s">
        <v>10753</v>
      </c>
      <c r="B8849" s="4">
        <v>1729</v>
      </c>
      <c r="D8849" s="5" t="s">
        <v>12034</v>
      </c>
      <c r="E8849" s="6" t="str">
        <f>HYPERLINK("https://inpn.mnhn.fr/espece/cd_nom/1729","Clubiona subsultans Thorell, 1875")</f>
        <v>Clubiona subsultans Thorell, 1875</v>
      </c>
      <c r="Q8849" s="7" t="str">
        <f>HYPERLINK("#Liste_rouge!A"&amp;_xlfn.XMATCH("DD",Liste_rouge!A:A,2,1),"DD")</f>
        <v>DD</v>
      </c>
      <c r="AH8849" s="4" t="str">
        <f>HYPERLINK("#Statut_biogéographique!A"&amp;_xlfn.XMATCH("P",Statut_biogéographique!A:A,2,1),"P")</f>
        <v>P</v>
      </c>
      <c r="AP8849" s="4" t="s">
        <v>376</v>
      </c>
      <c r="AR8849" s="4" t="s">
        <v>377</v>
      </c>
    </row>
    <row r="8850" spans="1:44">
      <c r="A8850" s="4" t="s">
        <v>10753</v>
      </c>
      <c r="B8850" s="4">
        <v>1732</v>
      </c>
      <c r="D8850" s="5">
        <v>1732</v>
      </c>
      <c r="E8850" s="6" t="str">
        <f>HYPERLINK("https://inpn.mnhn.fr/espece/cd_nom/1732","Clubiona reclusa O. Pickard-Cambridge, 1863")</f>
        <v>Clubiona reclusa O. Pickard-Cambridge, 1863</v>
      </c>
      <c r="Q8850" s="7" t="str">
        <f>HYPERLINK("#Liste_rouge!A"&amp;_xlfn.XMATCH("LC",Liste_rouge!A:A,2,1),"LC")</f>
        <v>LC</v>
      </c>
      <c r="AH8850" s="4" t="str">
        <f>HYPERLINK("#Statut_biogéographique!A"&amp;_xlfn.XMATCH("P",Statut_biogéographique!A:A,2,1),"P")</f>
        <v>P</v>
      </c>
      <c r="AP8850" s="4" t="s">
        <v>376</v>
      </c>
      <c r="AR8850" s="4" t="s">
        <v>377</v>
      </c>
    </row>
    <row r="8851" spans="1:44">
      <c r="A8851" s="4" t="s">
        <v>10753</v>
      </c>
      <c r="B8851" s="4">
        <v>1733</v>
      </c>
      <c r="D8851" s="5" t="s">
        <v>12035</v>
      </c>
      <c r="E8851" s="6" t="str">
        <f>HYPERLINK("https://inpn.mnhn.fr/espece/cd_nom/1733","Clubiona kulczynskii Lessert, 1905")</f>
        <v>Clubiona kulczynskii Lessert, 1905</v>
      </c>
      <c r="Q8851" s="7" t="str">
        <f>HYPERLINK("#Liste_rouge!A"&amp;_xlfn.XMATCH("EN",Liste_rouge!A:A,2,1),"EN")</f>
        <v>EN</v>
      </c>
      <c r="AH8851" s="4" t="str">
        <f>HYPERLINK("#Statut_biogéographique!A"&amp;_xlfn.XMATCH("P",Statut_biogéographique!A:A,2,1),"P")</f>
        <v>P</v>
      </c>
      <c r="AP8851" s="4" t="s">
        <v>376</v>
      </c>
      <c r="AR8851" s="4" t="s">
        <v>377</v>
      </c>
    </row>
    <row r="8852" spans="1:44">
      <c r="A8852" s="4" t="s">
        <v>10753</v>
      </c>
      <c r="B8852" s="4">
        <v>1734</v>
      </c>
      <c r="D8852" s="5" t="s">
        <v>12036</v>
      </c>
      <c r="E8852" s="6" t="str">
        <f>HYPERLINK("https://inpn.mnhn.fr/espece/cd_nom/1734","Clubiona pallidula (Clerck, 1758)")</f>
        <v>Clubiona pallidula (Clerck, 1758)</v>
      </c>
      <c r="Q8852" s="7" t="str">
        <f>HYPERLINK("#Liste_rouge!A"&amp;_xlfn.XMATCH("LC",Liste_rouge!A:A,2,1),"LC")</f>
        <v>LC</v>
      </c>
      <c r="AH8852" s="4" t="str">
        <f>HYPERLINK("#Statut_biogéographique!A"&amp;_xlfn.XMATCH("P",Statut_biogéographique!A:A,2,1),"P")</f>
        <v>P</v>
      </c>
      <c r="AP8852" s="4" t="s">
        <v>376</v>
      </c>
      <c r="AR8852" s="4" t="s">
        <v>377</v>
      </c>
    </row>
    <row r="8853" spans="1:44">
      <c r="A8853" s="4" t="s">
        <v>10753</v>
      </c>
      <c r="B8853" s="4">
        <v>1735</v>
      </c>
      <c r="D8853" s="5">
        <v>1735</v>
      </c>
      <c r="E8853" s="6" t="str">
        <f>HYPERLINK("https://inpn.mnhn.fr/espece/cd_nom/1735","Clubiona lutescens Westring, 1851")</f>
        <v>Clubiona lutescens Westring, 1851</v>
      </c>
      <c r="Q8853" s="7" t="str">
        <f>HYPERLINK("#Liste_rouge!A"&amp;_xlfn.XMATCH("LC",Liste_rouge!A:A,2,1),"LC")</f>
        <v>LC</v>
      </c>
      <c r="AH8853" s="4" t="str">
        <f>HYPERLINK("#Statut_biogéographique!A"&amp;_xlfn.XMATCH("P",Statut_biogéographique!A:A,2,1),"P")</f>
        <v>P</v>
      </c>
      <c r="AP8853" s="4" t="s">
        <v>376</v>
      </c>
      <c r="AR8853" s="4" t="s">
        <v>377</v>
      </c>
    </row>
    <row r="8854" spans="1:44" ht="30">
      <c r="A8854" s="4" t="s">
        <v>10753</v>
      </c>
      <c r="B8854" s="4">
        <v>1736</v>
      </c>
      <c r="D8854" s="5">
        <v>1736</v>
      </c>
      <c r="E8854" s="6" t="str">
        <f>HYPERLINK("https://inpn.mnhn.fr/espece/cd_nom/1736","Clubiona neglecta O. Pickard-Cambridge, 1862")</f>
        <v>Clubiona neglecta O. Pickard-Cambridge, 1862</v>
      </c>
      <c r="Q8854" s="7" t="str">
        <f>HYPERLINK("#Liste_rouge!A"&amp;_xlfn.XMATCH("LC",Liste_rouge!A:A,2,1),"LC")</f>
        <v>LC</v>
      </c>
      <c r="AH8854" s="4" t="str">
        <f>HYPERLINK("#Statut_biogéographique!A"&amp;_xlfn.XMATCH("P",Statut_biogéographique!A:A,2,1),"P")</f>
        <v>P</v>
      </c>
      <c r="AP8854" s="4" t="s">
        <v>376</v>
      </c>
      <c r="AR8854" s="4" t="s">
        <v>377</v>
      </c>
    </row>
    <row r="8855" spans="1:44">
      <c r="A8855" s="4" t="s">
        <v>10753</v>
      </c>
      <c r="B8855" s="4">
        <v>1738</v>
      </c>
      <c r="D8855" s="5">
        <v>1738</v>
      </c>
      <c r="E8855" s="6" t="str">
        <f>HYPERLINK("https://inpn.mnhn.fr/espece/cd_nom/1738","Clubiona germanica Thorell, 1871")</f>
        <v>Clubiona germanica Thorell, 1871</v>
      </c>
      <c r="Q8855" s="7" t="str">
        <f>HYPERLINK("#Liste_rouge!A"&amp;_xlfn.XMATCH("LC",Liste_rouge!A:A,2,1),"LC")</f>
        <v>LC</v>
      </c>
      <c r="AH8855" s="4" t="str">
        <f>HYPERLINK("#Statut_biogéographique!A"&amp;_xlfn.XMATCH("P",Statut_biogéographique!A:A,2,1),"P")</f>
        <v>P</v>
      </c>
      <c r="AP8855" s="4" t="s">
        <v>376</v>
      </c>
      <c r="AR8855" s="4" t="s">
        <v>377</v>
      </c>
    </row>
    <row r="8856" spans="1:44">
      <c r="A8856" s="4" t="s">
        <v>10753</v>
      </c>
      <c r="B8856" s="4">
        <v>1741</v>
      </c>
      <c r="D8856" s="5">
        <v>1741</v>
      </c>
      <c r="E8856" s="6" t="str">
        <f>HYPERLINK("https://inpn.mnhn.fr/espece/cd_nom/1741","Clubiona brevipes Blackwall, 1841")</f>
        <v>Clubiona brevipes Blackwall, 1841</v>
      </c>
      <c r="Q8856" s="7" t="str">
        <f>HYPERLINK("#Liste_rouge!A"&amp;_xlfn.XMATCH("LC",Liste_rouge!A:A,2,1),"LC")</f>
        <v>LC</v>
      </c>
      <c r="AH8856" s="4" t="str">
        <f>HYPERLINK("#Statut_biogéographique!A"&amp;_xlfn.XMATCH("P",Statut_biogéographique!A:A,2,1),"P")</f>
        <v>P</v>
      </c>
      <c r="AP8856" s="4" t="s">
        <v>376</v>
      </c>
      <c r="AR8856" s="4" t="s">
        <v>377</v>
      </c>
    </row>
    <row r="8857" spans="1:44">
      <c r="A8857" s="4" t="s">
        <v>10753</v>
      </c>
      <c r="B8857" s="4">
        <v>17430</v>
      </c>
      <c r="D8857" s="5" t="s">
        <v>12037</v>
      </c>
      <c r="E8857" s="6" t="str">
        <f>HYPERLINK("https://inpn.mnhn.fr/espece/cd_nom/17430","Apoderus coryli (Linnaeus, 1758)")</f>
        <v>Apoderus coryli (Linnaeus, 1758)</v>
      </c>
      <c r="F8857" s="5" t="s">
        <v>12038</v>
      </c>
      <c r="AH8857" s="4" t="str">
        <f>HYPERLINK("#Statut_biogéographique!A"&amp;_xlfn.XMATCH("P",Statut_biogéographique!A:A,2,1),"P")</f>
        <v>P</v>
      </c>
      <c r="AP8857" s="4" t="s">
        <v>376</v>
      </c>
      <c r="AR8857" s="4" t="s">
        <v>377</v>
      </c>
    </row>
    <row r="8858" spans="1:44" ht="30">
      <c r="A8858" s="4" t="s">
        <v>10753</v>
      </c>
      <c r="B8858" s="4">
        <v>17438</v>
      </c>
      <c r="D8858" s="5" t="s">
        <v>12039</v>
      </c>
      <c r="E8858" s="6" t="str">
        <f>HYPERLINK("https://inpn.mnhn.fr/espece/cd_nom/17438","Attelabus nitens (Scopoli, 1763)")</f>
        <v>Attelabus nitens (Scopoli, 1763)</v>
      </c>
      <c r="F8858" s="5" t="s">
        <v>12040</v>
      </c>
      <c r="AH8858" s="4" t="str">
        <f>HYPERLINK("#Statut_biogéographique!A"&amp;_xlfn.XMATCH("P",Statut_biogéographique!A:A,2,1),"P")</f>
        <v>P</v>
      </c>
      <c r="AP8858" s="4" t="s">
        <v>376</v>
      </c>
      <c r="AR8858" s="4" t="s">
        <v>377</v>
      </c>
    </row>
    <row r="8859" spans="1:44" ht="45">
      <c r="A8859" s="4" t="s">
        <v>10753</v>
      </c>
      <c r="B8859" s="4">
        <v>17442</v>
      </c>
      <c r="D8859" s="5" t="s">
        <v>12041</v>
      </c>
      <c r="E8859" s="6" t="str">
        <f>HYPERLINK("https://inpn.mnhn.fr/espece/cd_nom/17442","Byctiscus betulae (Linnaeus, 1758)")</f>
        <v>Byctiscus betulae (Linnaeus, 1758)</v>
      </c>
      <c r="AH8859" s="4" t="str">
        <f>HYPERLINK("#Statut_biogéographique!A"&amp;_xlfn.XMATCH("P",Statut_biogéographique!A:A,2,1),"P")</f>
        <v>P</v>
      </c>
      <c r="AP8859" s="4" t="s">
        <v>376</v>
      </c>
      <c r="AR8859" s="4" t="s">
        <v>377</v>
      </c>
    </row>
    <row r="8860" spans="1:44">
      <c r="A8860" s="4" t="s">
        <v>10753</v>
      </c>
      <c r="B8860" s="4">
        <v>17447</v>
      </c>
      <c r="D8860" s="5" t="s">
        <v>12042</v>
      </c>
      <c r="E8860" s="6" t="str">
        <f>HYPERLINK("https://inpn.mnhn.fr/espece/cd_nom/17447","Byctiscus populi (Linnaeus, 1758)")</f>
        <v>Byctiscus populi (Linnaeus, 1758)</v>
      </c>
      <c r="AH8860" s="4" t="str">
        <f>HYPERLINK("#Statut_biogéographique!A"&amp;_xlfn.XMATCH("P",Statut_biogéographique!A:A,2,1),"P")</f>
        <v>P</v>
      </c>
      <c r="AP8860" s="4" t="s">
        <v>376</v>
      </c>
      <c r="AR8860" s="4" t="s">
        <v>377</v>
      </c>
    </row>
    <row r="8861" spans="1:44">
      <c r="A8861" s="4" t="s">
        <v>10753</v>
      </c>
      <c r="B8861" s="4">
        <v>1745</v>
      </c>
      <c r="D8861" s="5" t="s">
        <v>12043</v>
      </c>
      <c r="E8861" s="6" t="str">
        <f>HYPERLINK("https://inpn.mnhn.fr/espece/cd_nom/1745","Clubiona trivialis C.L. Koch, 1843")</f>
        <v>Clubiona trivialis C.L. Koch, 1843</v>
      </c>
      <c r="F8861" s="5" t="s">
        <v>12044</v>
      </c>
      <c r="Q8861" s="7" t="str">
        <f>HYPERLINK("#Liste_rouge!A"&amp;_xlfn.XMATCH("LC",Liste_rouge!A:A,2,1),"LC")</f>
        <v>LC</v>
      </c>
      <c r="AH8861" s="4" t="str">
        <f>HYPERLINK("#Statut_biogéographique!A"&amp;_xlfn.XMATCH("P",Statut_biogéographique!A:A,2,1),"P")</f>
        <v>P</v>
      </c>
      <c r="AP8861" s="4" t="s">
        <v>376</v>
      </c>
      <c r="AR8861" s="4" t="s">
        <v>377</v>
      </c>
    </row>
    <row r="8862" spans="1:44">
      <c r="A8862" s="4" t="s">
        <v>10753</v>
      </c>
      <c r="B8862" s="4">
        <v>17450</v>
      </c>
      <c r="D8862" s="5" t="s">
        <v>12045</v>
      </c>
      <c r="E8862" s="6" t="str">
        <f>HYPERLINK("https://inpn.mnhn.fr/espece/cd_nom/17450","Deporaus betulae (Linnaeus, 1758)")</f>
        <v>Deporaus betulae (Linnaeus, 1758)</v>
      </c>
      <c r="F8862" s="5" t="s">
        <v>12046</v>
      </c>
      <c r="AH8862" s="4" t="str">
        <f>HYPERLINK("#Statut_biogéographique!A"&amp;_xlfn.XMATCH("P",Statut_biogéographique!A:A,2,1),"P")</f>
        <v>P</v>
      </c>
      <c r="AP8862" s="4" t="s">
        <v>376</v>
      </c>
      <c r="AR8862" s="4" t="s">
        <v>377</v>
      </c>
    </row>
    <row r="8863" spans="1:44">
      <c r="A8863" s="4" t="s">
        <v>10753</v>
      </c>
      <c r="B8863" s="4">
        <v>17474</v>
      </c>
      <c r="D8863" s="5" t="s">
        <v>12047</v>
      </c>
      <c r="E8863" s="6" t="str">
        <f>HYPERLINK("https://inpn.mnhn.fr/espece/cd_nom/17474","Rhynchites bacchus (Linnaeus, 1758)")</f>
        <v>Rhynchites bacchus (Linnaeus, 1758)</v>
      </c>
      <c r="AH8863" s="4" t="str">
        <f>HYPERLINK("#Statut_biogéographique!A"&amp;_xlfn.XMATCH("P",Statut_biogéographique!A:A,2,1),"P")</f>
        <v>P</v>
      </c>
      <c r="AP8863" s="4" t="s">
        <v>376</v>
      </c>
      <c r="AR8863" s="4" t="s">
        <v>377</v>
      </c>
    </row>
    <row r="8864" spans="1:44">
      <c r="A8864" s="4" t="s">
        <v>10753</v>
      </c>
      <c r="B8864" s="4">
        <v>17481</v>
      </c>
      <c r="D8864" s="5" t="s">
        <v>12048</v>
      </c>
      <c r="E8864" s="6" t="str">
        <f>HYPERLINK("https://inpn.mnhn.fr/espece/cd_nom/17481","Rhynchites auratus (Scopoli, 1763)")</f>
        <v>Rhynchites auratus (Scopoli, 1763)</v>
      </c>
      <c r="F8864" s="5" t="s">
        <v>12049</v>
      </c>
      <c r="AH8864" s="4" t="str">
        <f>HYPERLINK("#Statut_biogéographique!A"&amp;_xlfn.XMATCH("P",Statut_biogéographique!A:A,2,1),"P")</f>
        <v>P</v>
      </c>
      <c r="AP8864" s="4" t="s">
        <v>376</v>
      </c>
      <c r="AR8864" s="4" t="s">
        <v>377</v>
      </c>
    </row>
    <row r="8865" spans="1:44">
      <c r="A8865" s="4" t="s">
        <v>10753</v>
      </c>
      <c r="B8865" s="4">
        <v>1753</v>
      </c>
      <c r="D8865" s="5" t="s">
        <v>12050</v>
      </c>
      <c r="E8865" s="6" t="str">
        <f>HYPERLINK("https://inpn.mnhn.fr/espece/cd_nom/1753","Zora spinimana (Sundevall, 1833)")</f>
        <v>Zora spinimana (Sundevall, 1833)</v>
      </c>
      <c r="F8865" s="5" t="s">
        <v>12051</v>
      </c>
      <c r="Q8865" s="7" t="str">
        <f>HYPERLINK("#Liste_rouge!A"&amp;_xlfn.XMATCH("LC",Liste_rouge!A:A,2,1),"LC")</f>
        <v>LC</v>
      </c>
      <c r="AH8865" s="4" t="str">
        <f>HYPERLINK("#Statut_biogéographique!A"&amp;_xlfn.XMATCH("P",Statut_biogéographique!A:A,2,1),"P")</f>
        <v>P</v>
      </c>
      <c r="AP8865" s="4" t="s">
        <v>376</v>
      </c>
      <c r="AR8865" s="4" t="s">
        <v>377</v>
      </c>
    </row>
    <row r="8866" spans="1:44">
      <c r="A8866" s="4" t="s">
        <v>10753</v>
      </c>
      <c r="B8866" s="4">
        <v>1754</v>
      </c>
      <c r="D8866" s="5" t="s">
        <v>12052</v>
      </c>
      <c r="E8866" s="6" t="str">
        <f>HYPERLINK("https://inpn.mnhn.fr/espece/cd_nom/1754","Zora nemoralis (Blackwall, 1861)")</f>
        <v>Zora nemoralis (Blackwall, 1861)</v>
      </c>
      <c r="Q8866" s="7" t="str">
        <f>HYPERLINK("#Liste_rouge!A"&amp;_xlfn.XMATCH("LC",Liste_rouge!A:A,2,1),"LC")</f>
        <v>LC</v>
      </c>
      <c r="AH8866" s="4" t="str">
        <f>HYPERLINK("#Statut_biogéographique!A"&amp;_xlfn.XMATCH("P",Statut_biogéographique!A:A,2,1),"P")</f>
        <v>P</v>
      </c>
      <c r="AP8866" s="4" t="s">
        <v>376</v>
      </c>
      <c r="AR8866" s="4" t="s">
        <v>377</v>
      </c>
    </row>
    <row r="8867" spans="1:44">
      <c r="A8867" s="4" t="s">
        <v>10753</v>
      </c>
      <c r="B8867" s="4">
        <v>1755</v>
      </c>
      <c r="D8867" s="5">
        <v>1755</v>
      </c>
      <c r="E8867" s="6" t="str">
        <f>HYPERLINK("https://inpn.mnhn.fr/espece/cd_nom/1755","Zora armillata Simon, 1878")</f>
        <v>Zora armillata Simon, 1878</v>
      </c>
      <c r="Q8867" s="7" t="str">
        <f>HYPERLINK("#Liste_rouge!A"&amp;_xlfn.XMATCH("LC",Liste_rouge!A:A,2,1),"LC")</f>
        <v>LC</v>
      </c>
      <c r="AH8867" s="4" t="str">
        <f>HYPERLINK("#Statut_biogéographique!A"&amp;_xlfn.XMATCH("P",Statut_biogéographique!A:A,2,1),"P")</f>
        <v>P</v>
      </c>
      <c r="AP8867" s="4" t="s">
        <v>376</v>
      </c>
      <c r="AR8867" s="4" t="s">
        <v>377</v>
      </c>
    </row>
    <row r="8868" spans="1:44" ht="30">
      <c r="A8868" s="4" t="s">
        <v>10753</v>
      </c>
      <c r="B8868" s="4">
        <v>17555</v>
      </c>
      <c r="D8868" s="5" t="s">
        <v>12053</v>
      </c>
      <c r="E8868" s="6" t="str">
        <f>HYPERLINK("https://inpn.mnhn.fr/espece/cd_nom/17555","Lasiorhynchites cavifrons (Gyllenhal, 1833)")</f>
        <v>Lasiorhynchites cavifrons (Gyllenhal, 1833)</v>
      </c>
      <c r="AH8868" s="4" t="str">
        <f>HYPERLINK("#Statut_biogéographique!A"&amp;_xlfn.XMATCH("P",Statut_biogéographique!A:A,2,1),"P")</f>
        <v>P</v>
      </c>
      <c r="AP8868" s="4" t="s">
        <v>376</v>
      </c>
      <c r="AR8868" s="4" t="s">
        <v>377</v>
      </c>
    </row>
    <row r="8869" spans="1:44">
      <c r="A8869" s="4" t="s">
        <v>10753</v>
      </c>
      <c r="B8869" s="4">
        <v>17560</v>
      </c>
      <c r="D8869" s="5" t="s">
        <v>12054</v>
      </c>
      <c r="E8869" s="6" t="str">
        <f>HYPERLINK("https://inpn.mnhn.fr/espece/cd_nom/17560","Lasiorhynchites olivaceus (Gyllenhal, 1833)")</f>
        <v>Lasiorhynchites olivaceus (Gyllenhal, 1833)</v>
      </c>
      <c r="AH8869" s="4" t="str">
        <f>HYPERLINK("#Statut_biogéographique!A"&amp;_xlfn.XMATCH("P",Statut_biogéographique!A:A,2,1),"P")</f>
        <v>P</v>
      </c>
      <c r="AP8869" s="4" t="s">
        <v>376</v>
      </c>
      <c r="AR8869" s="4" t="s">
        <v>377</v>
      </c>
    </row>
    <row r="8870" spans="1:44">
      <c r="A8870" s="4" t="s">
        <v>10753</v>
      </c>
      <c r="B8870" s="4">
        <v>17567</v>
      </c>
      <c r="D8870" s="5" t="s">
        <v>12055</v>
      </c>
      <c r="E8870" s="6" t="str">
        <f>HYPERLINK("https://inpn.mnhn.fr/espece/cd_nom/17567","Lasiorhynchites sericeus (Herbst, 1797)")</f>
        <v>Lasiorhynchites sericeus (Herbst, 1797)</v>
      </c>
      <c r="AH8870" s="4" t="str">
        <f>HYPERLINK("#Statut_biogéographique!A"&amp;_xlfn.XMATCH("P",Statut_biogéographique!A:A,2,1),"P")</f>
        <v>P</v>
      </c>
      <c r="AP8870" s="4" t="s">
        <v>376</v>
      </c>
      <c r="AR8870" s="4" t="s">
        <v>377</v>
      </c>
    </row>
    <row r="8871" spans="1:44">
      <c r="A8871" s="4" t="s">
        <v>10753</v>
      </c>
      <c r="B8871" s="4">
        <v>17605</v>
      </c>
      <c r="D8871" s="5" t="s">
        <v>12056</v>
      </c>
      <c r="E8871" s="6" t="str">
        <f>HYPERLINK("https://inpn.mnhn.fr/espece/cd_nom/17605","Phytoecia icterica (Schaller, 1783)")</f>
        <v>Phytoecia icterica (Schaller, 1783)</v>
      </c>
      <c r="F8871" s="5" t="s">
        <v>12057</v>
      </c>
      <c r="AH8871" s="4" t="str">
        <f>HYPERLINK("#Statut_biogéographique!A"&amp;_xlfn.XMATCH("P",Statut_biogéographique!A:A,2,1),"P")</f>
        <v>P</v>
      </c>
      <c r="AP8871" s="4" t="s">
        <v>376</v>
      </c>
      <c r="AR8871" s="4" t="s">
        <v>377</v>
      </c>
    </row>
    <row r="8872" spans="1:44">
      <c r="A8872" s="4" t="s">
        <v>10753</v>
      </c>
      <c r="B8872" s="4">
        <v>17654</v>
      </c>
      <c r="D8872" s="5" t="s">
        <v>12058</v>
      </c>
      <c r="E8872" s="6" t="str">
        <f>HYPERLINK("https://inpn.mnhn.fr/espece/cd_nom/17654","Platyarthrus hoffmannseggii Brandt, 1833")</f>
        <v>Platyarthrus hoffmannseggii Brandt, 1833</v>
      </c>
      <c r="AH8872" s="4" t="str">
        <f>HYPERLINK("#Statut_biogéographique!A"&amp;_xlfn.XMATCH("P",Statut_biogéographique!A:A,2,1),"P")</f>
        <v>P</v>
      </c>
      <c r="AP8872" s="4" t="s">
        <v>376</v>
      </c>
      <c r="AR8872" s="4" t="s">
        <v>377</v>
      </c>
    </row>
    <row r="8873" spans="1:44" ht="30">
      <c r="A8873" s="4" t="s">
        <v>10753</v>
      </c>
      <c r="B8873" s="4">
        <v>17678</v>
      </c>
      <c r="D8873" s="5" t="s">
        <v>12059</v>
      </c>
      <c r="E8873" s="6" t="str">
        <f>HYPERLINK("https://inpn.mnhn.fr/espece/cd_nom/17678","Polyphemus pediculus (Linnaeus, 1758)")</f>
        <v>Polyphemus pediculus (Linnaeus, 1758)</v>
      </c>
      <c r="F8873" s="5" t="s">
        <v>12060</v>
      </c>
      <c r="Q8873" s="7" t="str">
        <f>HYPERLINK("#Liste_rouge!A"&amp;_xlfn.XMATCH("DD",Liste_rouge!A:A,2,1),"DD")</f>
        <v>DD</v>
      </c>
      <c r="AH8873" s="4" t="str">
        <f>HYPERLINK("#Statut_biogéographique!A"&amp;_xlfn.XMATCH("P",Statut_biogéographique!A:A,2,1),"P")</f>
        <v>P</v>
      </c>
      <c r="AP8873" s="4" t="s">
        <v>376</v>
      </c>
      <c r="AR8873" s="4" t="s">
        <v>377</v>
      </c>
    </row>
    <row r="8874" spans="1:44">
      <c r="A8874" s="4" t="s">
        <v>10753</v>
      </c>
      <c r="B8874" s="4">
        <v>17681</v>
      </c>
      <c r="D8874" s="5">
        <v>17681</v>
      </c>
      <c r="E8874" s="6" t="str">
        <f>HYPERLINK("https://inpn.mnhn.fr/espece/cd_nom/17681","Diaphanosoma brachyurum (Liévin, 1848)")</f>
        <v>Diaphanosoma brachyurum (Liévin, 1848)</v>
      </c>
      <c r="Q8874" s="7" t="str">
        <f>HYPERLINK("#Liste_rouge!A"&amp;_xlfn.XMATCH("LC",Liste_rouge!A:A,2,1),"LC")</f>
        <v>LC</v>
      </c>
      <c r="AH8874" s="4" t="str">
        <f>HYPERLINK("#Statut_biogéographique!A"&amp;_xlfn.XMATCH("P",Statut_biogéographique!A:A,2,1),"P")</f>
        <v>P</v>
      </c>
      <c r="AP8874" s="4" t="s">
        <v>376</v>
      </c>
      <c r="AR8874" s="4" t="s">
        <v>377</v>
      </c>
    </row>
    <row r="8875" spans="1:44">
      <c r="A8875" s="4" t="s">
        <v>10753</v>
      </c>
      <c r="B8875" s="4">
        <v>17684</v>
      </c>
      <c r="D8875" s="5">
        <v>17684</v>
      </c>
      <c r="E8875" s="6" t="str">
        <f>HYPERLINK("https://inpn.mnhn.fr/espece/cd_nom/17684","Daphnia hyalina Leydig, 1860")</f>
        <v>Daphnia hyalina Leydig, 1860</v>
      </c>
      <c r="Q8875" s="7" t="str">
        <f>HYPERLINK("#Liste_rouge!A"&amp;_xlfn.XMATCH("LC",Liste_rouge!A:A,2,1),"LC")</f>
        <v>LC</v>
      </c>
      <c r="AH8875" s="4" t="str">
        <f>HYPERLINK("#Statut_biogéographique!A"&amp;_xlfn.XMATCH("P",Statut_biogéographique!A:A,2,1),"P")</f>
        <v>P</v>
      </c>
      <c r="AP8875" s="4" t="s">
        <v>376</v>
      </c>
      <c r="AR8875" s="4" t="s">
        <v>377</v>
      </c>
    </row>
    <row r="8876" spans="1:44">
      <c r="A8876" s="4" t="s">
        <v>10753</v>
      </c>
      <c r="B8876" s="4">
        <v>17685</v>
      </c>
      <c r="D8876" s="5" t="s">
        <v>12061</v>
      </c>
      <c r="E8876" s="6" t="str">
        <f>HYPERLINK("https://inpn.mnhn.fr/espece/cd_nom/17685","Daphnia longispina (O.F. Müller, 1776)")</f>
        <v>Daphnia longispina (O.F. Müller, 1776)</v>
      </c>
      <c r="F8876" s="5" t="s">
        <v>12062</v>
      </c>
      <c r="Q8876" s="7" t="str">
        <f>HYPERLINK("#Liste_rouge!A"&amp;_xlfn.XMATCH("LC",Liste_rouge!A:A,2,1),"LC")</f>
        <v>LC</v>
      </c>
      <c r="AH8876" s="4" t="str">
        <f>HYPERLINK("#Statut_biogéographique!A"&amp;_xlfn.XMATCH("P",Statut_biogéographique!A:A,2,1),"P")</f>
        <v>P</v>
      </c>
      <c r="AP8876" s="4" t="s">
        <v>376</v>
      </c>
      <c r="AR8876" s="4" t="s">
        <v>377</v>
      </c>
    </row>
    <row r="8877" spans="1:44">
      <c r="A8877" s="4" t="s">
        <v>10753</v>
      </c>
      <c r="B8877" s="4">
        <v>17686</v>
      </c>
      <c r="D8877" s="5" t="s">
        <v>12063</v>
      </c>
      <c r="E8877" s="6" t="str">
        <f>HYPERLINK("https://inpn.mnhn.fr/espece/cd_nom/17686","Daphnia pulex Leydig, 1860")</f>
        <v>Daphnia pulex Leydig, 1860</v>
      </c>
      <c r="F8877" s="5" t="s">
        <v>12064</v>
      </c>
      <c r="Q8877" s="7" t="str">
        <f>HYPERLINK("#Liste_rouge!A"&amp;_xlfn.XMATCH("LC",Liste_rouge!A:A,2,1),"LC")</f>
        <v>LC</v>
      </c>
      <c r="AH8877" s="4" t="str">
        <f>HYPERLINK("#Statut_biogéographique!A"&amp;_xlfn.XMATCH("P",Statut_biogéographique!A:A,2,1),"P")</f>
        <v>P</v>
      </c>
      <c r="AP8877" s="4" t="s">
        <v>376</v>
      </c>
      <c r="AR8877" s="4" t="s">
        <v>377</v>
      </c>
    </row>
    <row r="8878" spans="1:44">
      <c r="A8878" s="4" t="s">
        <v>10753</v>
      </c>
      <c r="B8878" s="4">
        <v>17688</v>
      </c>
      <c r="D8878" s="5" t="s">
        <v>12065</v>
      </c>
      <c r="E8878" s="6" t="str">
        <f>HYPERLINK("https://inpn.mnhn.fr/espece/cd_nom/17688","Scapholeberis mucronata (O.F. Müller, 1776)")</f>
        <v>Scapholeberis mucronata (O.F. Müller, 1776)</v>
      </c>
      <c r="Q8878" s="7" t="str">
        <f>HYPERLINK("#Liste_rouge!A"&amp;_xlfn.XMATCH("LC",Liste_rouge!A:A,2,1),"LC")</f>
        <v>LC</v>
      </c>
      <c r="AH8878" s="4" t="str">
        <f>HYPERLINK("#Statut_biogéographique!A"&amp;_xlfn.XMATCH("P",Statut_biogéographique!A:A,2,1),"P")</f>
        <v>P</v>
      </c>
      <c r="AP8878" s="4" t="s">
        <v>376</v>
      </c>
      <c r="AR8878" s="4" t="s">
        <v>377</v>
      </c>
    </row>
    <row r="8879" spans="1:44">
      <c r="A8879" s="4" t="s">
        <v>10753</v>
      </c>
      <c r="B8879" s="4">
        <v>17690</v>
      </c>
      <c r="D8879" s="5">
        <v>17690</v>
      </c>
      <c r="E8879" s="6" t="str">
        <f>HYPERLINK("https://inpn.mnhn.fr/espece/cd_nom/17690","Ceriodaphnia pulchella Sars, 1862")</f>
        <v>Ceriodaphnia pulchella Sars, 1862</v>
      </c>
      <c r="Q8879" s="7" t="str">
        <f>HYPERLINK("#Liste_rouge!A"&amp;_xlfn.XMATCH("LC",Liste_rouge!A:A,2,1),"LC")</f>
        <v>LC</v>
      </c>
      <c r="AH8879" s="4" t="str">
        <f>HYPERLINK("#Statut_biogéographique!A"&amp;_xlfn.XMATCH("P",Statut_biogéographique!A:A,2,1),"P")</f>
        <v>P</v>
      </c>
      <c r="AP8879" s="4" t="s">
        <v>376</v>
      </c>
      <c r="AR8879" s="4" t="s">
        <v>377</v>
      </c>
    </row>
    <row r="8880" spans="1:44">
      <c r="A8880" s="4" t="s">
        <v>10753</v>
      </c>
      <c r="B8880" s="4">
        <v>17694</v>
      </c>
      <c r="D8880" s="5" t="s">
        <v>12066</v>
      </c>
      <c r="E8880" s="6" t="str">
        <f>HYPERLINK("https://inpn.mnhn.fr/espece/cd_nom/17694","Simocephalus vetulus (O.F. Müller, 1776)")</f>
        <v>Simocephalus vetulus (O.F. Müller, 1776)</v>
      </c>
      <c r="F8880" s="5" t="s">
        <v>12067</v>
      </c>
      <c r="Q8880" s="7" t="str">
        <f>HYPERLINK("#Liste_rouge!A"&amp;_xlfn.XMATCH("LC",Liste_rouge!A:A,2,1),"LC")</f>
        <v>LC</v>
      </c>
      <c r="AH8880" s="4" t="str">
        <f>HYPERLINK("#Statut_biogéographique!A"&amp;_xlfn.XMATCH("P",Statut_biogéographique!A:A,2,1),"P")</f>
        <v>P</v>
      </c>
      <c r="AP8880" s="4" t="s">
        <v>376</v>
      </c>
      <c r="AR8880" s="4" t="s">
        <v>377</v>
      </c>
    </row>
    <row r="8881" spans="1:44">
      <c r="A8881" s="4" t="s">
        <v>10753</v>
      </c>
      <c r="B8881" s="4">
        <v>17697</v>
      </c>
      <c r="D8881" s="5" t="s">
        <v>12068</v>
      </c>
      <c r="E8881" s="6" t="str">
        <f>HYPERLINK("https://inpn.mnhn.fr/espece/cd_nom/17697","Bosmina longirostris (O.F. Müller, 1785)")</f>
        <v>Bosmina longirostris (O.F. Müller, 1785)</v>
      </c>
      <c r="Q8881" s="7" t="str">
        <f>HYPERLINK("#Liste_rouge!A"&amp;_xlfn.XMATCH("LC",Liste_rouge!A:A,2,1),"LC")</f>
        <v>LC</v>
      </c>
      <c r="AH8881" s="4" t="str">
        <f>HYPERLINK("#Statut_biogéographique!A"&amp;_xlfn.XMATCH("P",Statut_biogéographique!A:A,2,1),"P")</f>
        <v>P</v>
      </c>
      <c r="AP8881" s="4" t="s">
        <v>376</v>
      </c>
      <c r="AR8881" s="4" t="s">
        <v>377</v>
      </c>
    </row>
    <row r="8882" spans="1:44">
      <c r="A8882" s="4" t="s">
        <v>10753</v>
      </c>
      <c r="B8882" s="4">
        <v>17700</v>
      </c>
      <c r="D8882" s="5" t="s">
        <v>12069</v>
      </c>
      <c r="E8882" s="6" t="str">
        <f>HYPERLINK("https://inpn.mnhn.fr/espece/cd_nom/17700","Eurycercus lamellatus (O.F. Müller, 1776)")</f>
        <v>Eurycercus lamellatus (O.F. Müller, 1776)</v>
      </c>
      <c r="F8882" s="5" t="s">
        <v>12070</v>
      </c>
      <c r="Q8882" s="7" t="str">
        <f>HYPERLINK("#Liste_rouge!A"&amp;_xlfn.XMATCH("LC",Liste_rouge!A:A,2,1),"LC")</f>
        <v>LC</v>
      </c>
      <c r="AH8882" s="4" t="str">
        <f>HYPERLINK("#Statut_biogéographique!A"&amp;_xlfn.XMATCH("P",Statut_biogéographique!A:A,2,1),"P")</f>
        <v>P</v>
      </c>
      <c r="AP8882" s="4" t="s">
        <v>376</v>
      </c>
      <c r="AR8882" s="4" t="s">
        <v>377</v>
      </c>
    </row>
    <row r="8883" spans="1:44">
      <c r="A8883" s="4" t="s">
        <v>10753</v>
      </c>
      <c r="B8883" s="4">
        <v>17702</v>
      </c>
      <c r="D8883" s="5" t="s">
        <v>12071</v>
      </c>
      <c r="E8883" s="6" t="str">
        <f>HYPERLINK("https://inpn.mnhn.fr/espece/cd_nom/17702","Acroperus harpae (Baird, 1836)")</f>
        <v>Acroperus harpae (Baird, 1836)</v>
      </c>
      <c r="Q8883" s="7" t="str">
        <f>HYPERLINK("#Liste_rouge!A"&amp;_xlfn.XMATCH("LC",Liste_rouge!A:A,2,1),"LC")</f>
        <v>LC</v>
      </c>
      <c r="AH8883" s="4" t="str">
        <f>HYPERLINK("#Statut_biogéographique!A"&amp;_xlfn.XMATCH("P",Statut_biogéographique!A:A,2,1),"P")</f>
        <v>P</v>
      </c>
      <c r="AP8883" s="4" t="s">
        <v>376</v>
      </c>
      <c r="AR8883" s="4" t="s">
        <v>377</v>
      </c>
    </row>
    <row r="8884" spans="1:44">
      <c r="A8884" s="4" t="s">
        <v>10753</v>
      </c>
      <c r="B8884" s="4">
        <v>17706</v>
      </c>
      <c r="D8884" s="5" t="s">
        <v>12072</v>
      </c>
      <c r="E8884" s="6" t="str">
        <f>HYPERLINK("https://inpn.mnhn.fr/espece/cd_nom/17706","Alona quadrangularis (O.F. Müller, 1776)")</f>
        <v>Alona quadrangularis (O.F. Müller, 1776)</v>
      </c>
      <c r="Q8884" s="7" t="str">
        <f>HYPERLINK("#Liste_rouge!A"&amp;_xlfn.XMATCH("LC",Liste_rouge!A:A,2,1),"LC")</f>
        <v>LC</v>
      </c>
      <c r="AH8884" s="4" t="str">
        <f>HYPERLINK("#Statut_biogéographique!A"&amp;_xlfn.XMATCH("P",Statut_biogéographique!A:A,2,1),"P")</f>
        <v>P</v>
      </c>
      <c r="AP8884" s="4" t="s">
        <v>376</v>
      </c>
      <c r="AR8884" s="4" t="s">
        <v>377</v>
      </c>
    </row>
    <row r="8885" spans="1:44">
      <c r="A8885" s="4" t="s">
        <v>10753</v>
      </c>
      <c r="B8885" s="4">
        <v>17709</v>
      </c>
      <c r="D8885" s="5">
        <v>17709</v>
      </c>
      <c r="E8885" s="6" t="str">
        <f>HYPERLINK("https://inpn.mnhn.fr/espece/cd_nom/17709","Alonella excisa (Fischer, 1854)")</f>
        <v>Alonella excisa (Fischer, 1854)</v>
      </c>
      <c r="Q8885" s="7" t="str">
        <f>HYPERLINK("#Liste_rouge!A"&amp;_xlfn.XMATCH("LC",Liste_rouge!A:A,2,1),"LC")</f>
        <v>LC</v>
      </c>
      <c r="AH8885" s="4" t="str">
        <f>HYPERLINK("#Statut_biogéographique!A"&amp;_xlfn.XMATCH("P",Statut_biogéographique!A:A,2,1),"P")</f>
        <v>P</v>
      </c>
      <c r="AP8885" s="4" t="s">
        <v>376</v>
      </c>
      <c r="AR8885" s="4" t="s">
        <v>377</v>
      </c>
    </row>
    <row r="8886" spans="1:44">
      <c r="A8886" s="4" t="s">
        <v>10753</v>
      </c>
      <c r="B8886" s="4">
        <v>17710</v>
      </c>
      <c r="D8886" s="5">
        <v>17710</v>
      </c>
      <c r="E8886" s="6" t="str">
        <f>HYPERLINK("https://inpn.mnhn.fr/espece/cd_nom/17710","Alonella nana (Baird, 1843)")</f>
        <v>Alonella nana (Baird, 1843)</v>
      </c>
      <c r="Q8886" s="7" t="str">
        <f>HYPERLINK("#Liste_rouge!A"&amp;_xlfn.XMATCH("LC",Liste_rouge!A:A,2,1),"LC")</f>
        <v>LC</v>
      </c>
      <c r="AH8886" s="4" t="str">
        <f>HYPERLINK("#Statut_biogéographique!A"&amp;_xlfn.XMATCH("P",Statut_biogéographique!A:A,2,1),"P")</f>
        <v>P</v>
      </c>
      <c r="AP8886" s="4" t="s">
        <v>376</v>
      </c>
      <c r="AR8886" s="4" t="s">
        <v>377</v>
      </c>
    </row>
    <row r="8887" spans="1:44">
      <c r="A8887" s="4" t="s">
        <v>10753</v>
      </c>
      <c r="B8887" s="4">
        <v>17718</v>
      </c>
      <c r="D8887" s="5">
        <v>17718</v>
      </c>
      <c r="E8887" s="6" t="str">
        <f>HYPERLINK("https://inpn.mnhn.fr/espece/cd_nom/17718","Peracantha truncata (O.F. Müller, 1785)")</f>
        <v>Peracantha truncata (O.F. Müller, 1785)</v>
      </c>
      <c r="AH8887" s="4" t="str">
        <f>HYPERLINK("#Statut_biogéographique!A"&amp;_xlfn.XMATCH("P",Statut_biogéographique!A:A,2,1),"P")</f>
        <v>P</v>
      </c>
      <c r="AP8887" s="4" t="s">
        <v>376</v>
      </c>
      <c r="AR8887" s="4" t="s">
        <v>377</v>
      </c>
    </row>
    <row r="8888" spans="1:44">
      <c r="A8888" s="4" t="s">
        <v>10753</v>
      </c>
      <c r="B8888" s="4">
        <v>17721</v>
      </c>
      <c r="D8888" s="5" t="s">
        <v>12073</v>
      </c>
      <c r="E8888" s="6" t="str">
        <f>HYPERLINK("https://inpn.mnhn.fr/espece/cd_nom/17721","Macrothrix laticornis (Jurine, 1820)")</f>
        <v>Macrothrix laticornis (Jurine, 1820)</v>
      </c>
      <c r="Q8888" s="7" t="str">
        <f>HYPERLINK("#Liste_rouge!A"&amp;_xlfn.XMATCH("LC",Liste_rouge!A:A,2,1),"LC")</f>
        <v>LC</v>
      </c>
      <c r="AH8888" s="4" t="str">
        <f>HYPERLINK("#Statut_biogéographique!A"&amp;_xlfn.XMATCH("P",Statut_biogéographique!A:A,2,1),"P")</f>
        <v>P</v>
      </c>
      <c r="AP8888" s="4" t="s">
        <v>376</v>
      </c>
      <c r="AR8888" s="4" t="s">
        <v>377</v>
      </c>
    </row>
    <row r="8889" spans="1:44">
      <c r="A8889" s="4" t="s">
        <v>10753</v>
      </c>
      <c r="B8889" s="4">
        <v>17724</v>
      </c>
      <c r="D8889" s="5" t="s">
        <v>12074</v>
      </c>
      <c r="E8889" s="6" t="str">
        <f>HYPERLINK("https://inpn.mnhn.fr/espece/cd_nom/17724","Ilyocryptus sordidus (Liévin, 1848)")</f>
        <v>Ilyocryptus sordidus (Liévin, 1848)</v>
      </c>
      <c r="Q8889" s="7" t="str">
        <f>HYPERLINK("#Liste_rouge!A"&amp;_xlfn.XMATCH("DD",Liste_rouge!A:A,2,1),"DD")</f>
        <v>DD</v>
      </c>
      <c r="AH8889" s="4" t="str">
        <f>HYPERLINK("#Statut_biogéographique!A"&amp;_xlfn.XMATCH("P",Statut_biogéographique!A:A,2,1),"P")</f>
        <v>P</v>
      </c>
      <c r="AP8889" s="4" t="s">
        <v>376</v>
      </c>
      <c r="AR8889" s="4" t="s">
        <v>377</v>
      </c>
    </row>
    <row r="8890" spans="1:44">
      <c r="A8890" s="4" t="s">
        <v>10753</v>
      </c>
      <c r="B8890" s="4">
        <v>17728</v>
      </c>
      <c r="D8890" s="5" t="s">
        <v>12075</v>
      </c>
      <c r="E8890" s="6" t="str">
        <f>HYPERLINK("https://inpn.mnhn.fr/espece/cd_nom/17728","Streblocerus serricaudatus (Fischer, 1849)")</f>
        <v>Streblocerus serricaudatus (Fischer, 1849)</v>
      </c>
      <c r="Q8890" s="7" t="str">
        <f>HYPERLINK("#Liste_rouge!A"&amp;_xlfn.XMATCH("DD",Liste_rouge!A:A,2,1),"DD")</f>
        <v>DD</v>
      </c>
      <c r="AH8890" s="4" t="str">
        <f>HYPERLINK("#Statut_biogéographique!A"&amp;_xlfn.XMATCH("P",Statut_biogéographique!A:A,2,1),"P")</f>
        <v>P</v>
      </c>
      <c r="AP8890" s="4" t="s">
        <v>376</v>
      </c>
      <c r="AR8890" s="4" t="s">
        <v>377</v>
      </c>
    </row>
    <row r="8891" spans="1:44">
      <c r="A8891" s="4" t="s">
        <v>10753</v>
      </c>
      <c r="B8891" s="4">
        <v>1774</v>
      </c>
      <c r="D8891" s="5" t="s">
        <v>12076</v>
      </c>
      <c r="E8891" s="6" t="str">
        <f>HYPERLINK("https://inpn.mnhn.fr/espece/cd_nom/1774","Agroeca brunnea (Blackwall, 1833)")</f>
        <v>Agroeca brunnea (Blackwall, 1833)</v>
      </c>
      <c r="F8891" s="5" t="s">
        <v>12077</v>
      </c>
      <c r="Q8891" s="7" t="str">
        <f>HYPERLINK("#Liste_rouge!A"&amp;_xlfn.XMATCH("LC",Liste_rouge!A:A,2,1),"LC")</f>
        <v>LC</v>
      </c>
      <c r="AH8891" s="4" t="str">
        <f>HYPERLINK("#Statut_biogéographique!A"&amp;_xlfn.XMATCH("P",Statut_biogéographique!A:A,2,1),"P")</f>
        <v>P</v>
      </c>
      <c r="AP8891" s="4" t="s">
        <v>376</v>
      </c>
      <c r="AR8891" s="4" t="s">
        <v>377</v>
      </c>
    </row>
    <row r="8892" spans="1:44">
      <c r="A8892" s="4" t="s">
        <v>10753</v>
      </c>
      <c r="B8892" s="4">
        <v>1776</v>
      </c>
      <c r="D8892" s="5" t="s">
        <v>12078</v>
      </c>
      <c r="E8892" s="6" t="str">
        <f>HYPERLINK("https://inpn.mnhn.fr/espece/cd_nom/1776","Agroeca cuprea Menge, 1873")</f>
        <v>Agroeca cuprea Menge, 1873</v>
      </c>
      <c r="Q8892" s="7" t="str">
        <f>HYPERLINK("#Liste_rouge!A"&amp;_xlfn.XMATCH("LC",Liste_rouge!A:A,2,1),"LC")</f>
        <v>LC</v>
      </c>
      <c r="AH8892" s="4" t="str">
        <f>HYPERLINK("#Statut_biogéographique!A"&amp;_xlfn.XMATCH("P",Statut_biogéographique!A:A,2,1),"P")</f>
        <v>P</v>
      </c>
      <c r="AP8892" s="4" t="s">
        <v>376</v>
      </c>
      <c r="AR8892" s="4" t="s">
        <v>377</v>
      </c>
    </row>
    <row r="8893" spans="1:44" ht="30">
      <c r="A8893" s="4" t="s">
        <v>10753</v>
      </c>
      <c r="B8893" s="4">
        <v>1779</v>
      </c>
      <c r="D8893" s="5" t="s">
        <v>12079</v>
      </c>
      <c r="E8893" s="6" t="str">
        <f>HYPERLINK("https://inpn.mnhn.fr/espece/cd_nom/1779","Agroeca proxima (O. Pickard-Cambridge, 1871)")</f>
        <v>Agroeca proxima (O. Pickard-Cambridge, 1871)</v>
      </c>
      <c r="Q8893" s="7" t="str">
        <f>HYPERLINK("#Liste_rouge!A"&amp;_xlfn.XMATCH("LC",Liste_rouge!A:A,2,1),"LC")</f>
        <v>LC</v>
      </c>
      <c r="AH8893" s="4" t="str">
        <f>HYPERLINK("#Statut_biogéographique!A"&amp;_xlfn.XMATCH("P",Statut_biogéographique!A:A,2,1),"P")</f>
        <v>P</v>
      </c>
      <c r="AP8893" s="4" t="s">
        <v>376</v>
      </c>
      <c r="AR8893" s="4" t="s">
        <v>377</v>
      </c>
    </row>
    <row r="8894" spans="1:44">
      <c r="A8894" s="4" t="s">
        <v>10753</v>
      </c>
      <c r="B8894" s="4">
        <v>17794</v>
      </c>
      <c r="D8894" s="5" t="s">
        <v>12080</v>
      </c>
      <c r="E8894" s="6" t="str">
        <f>HYPERLINK("https://inpn.mnhn.fr/espece/cd_nom/17794","Megacyclops viridis (Jurine, 1820)")</f>
        <v>Megacyclops viridis (Jurine, 1820)</v>
      </c>
      <c r="Q8894" s="7" t="str">
        <f>HYPERLINK("#Liste_rouge!A"&amp;_xlfn.XMATCH("LC",Liste_rouge!A:A,2,1),"LC")</f>
        <v>LC</v>
      </c>
      <c r="AH8894" s="4" t="str">
        <f>HYPERLINK("#Statut_biogéographique!A"&amp;_xlfn.XMATCH("P",Statut_biogéographique!A:A,2,1),"P")</f>
        <v>P</v>
      </c>
      <c r="AP8894" s="4" t="s">
        <v>376</v>
      </c>
      <c r="AR8894" s="4" t="s">
        <v>377</v>
      </c>
    </row>
    <row r="8895" spans="1:44">
      <c r="A8895" s="4" t="s">
        <v>10753</v>
      </c>
      <c r="B8895" s="4">
        <v>17808</v>
      </c>
      <c r="D8895" s="5" t="s">
        <v>12081</v>
      </c>
      <c r="E8895" s="6" t="str">
        <f>HYPERLINK("https://inpn.mnhn.fr/espece/cd_nom/17808","Eudiaptomus gracilis (G.O. Sars, 1862)")</f>
        <v>Eudiaptomus gracilis (G.O. Sars, 1862)</v>
      </c>
      <c r="Q8895" s="7" t="str">
        <f>HYPERLINK("#Liste_rouge!A"&amp;_xlfn.XMATCH("LC",Liste_rouge!A:A,2,1),"LC")</f>
        <v>LC</v>
      </c>
      <c r="AH8895" s="4" t="str">
        <f>HYPERLINK("#Statut_biogéographique!A"&amp;_xlfn.XMATCH("P",Statut_biogéographique!A:A,2,1),"P")</f>
        <v>P</v>
      </c>
      <c r="AP8895" s="4" t="s">
        <v>376</v>
      </c>
      <c r="AR8895" s="4" t="s">
        <v>377</v>
      </c>
    </row>
    <row r="8896" spans="1:44">
      <c r="A8896" s="4" t="s">
        <v>10753</v>
      </c>
      <c r="B8896" s="4">
        <v>1781</v>
      </c>
      <c r="D8896" s="5" t="s">
        <v>12082</v>
      </c>
      <c r="E8896" s="6" t="str">
        <f>HYPERLINK("https://inpn.mnhn.fr/espece/cd_nom/1781","Scotina celans (Blackwall, 1841)")</f>
        <v>Scotina celans (Blackwall, 1841)</v>
      </c>
      <c r="Q8896" s="7" t="str">
        <f>HYPERLINK("#Liste_rouge!A"&amp;_xlfn.XMATCH("LC",Liste_rouge!A:A,2,1),"LC")</f>
        <v>LC</v>
      </c>
      <c r="AH8896" s="4" t="str">
        <f>HYPERLINK("#Statut_biogéographique!A"&amp;_xlfn.XMATCH("P",Statut_biogéographique!A:A,2,1),"P")</f>
        <v>P</v>
      </c>
      <c r="AP8896" s="4" t="s">
        <v>376</v>
      </c>
      <c r="AR8896" s="4" t="s">
        <v>377</v>
      </c>
    </row>
    <row r="8897" spans="1:44" ht="30">
      <c r="A8897" s="4" t="s">
        <v>10753</v>
      </c>
      <c r="B8897" s="4">
        <v>17813</v>
      </c>
      <c r="D8897" s="5" t="s">
        <v>12083</v>
      </c>
      <c r="E8897" s="6" t="str">
        <f>HYPERLINK("https://inpn.mnhn.fr/espece/cd_nom/17813","Mixodiaptomus laciniatus (Lilljeborg in Guerne &amp; Richard, 1889)")</f>
        <v>Mixodiaptomus laciniatus (Lilljeborg in Guerne &amp; Richard, 1889)</v>
      </c>
      <c r="Q8897" s="7" t="str">
        <f>HYPERLINK("#Liste_rouge!A"&amp;_xlfn.XMATCH("DD",Liste_rouge!A:A,2,1),"DD")</f>
        <v>DD</v>
      </c>
      <c r="AH8897" s="4" t="str">
        <f>HYPERLINK("#Statut_biogéographique!A"&amp;_xlfn.XMATCH("P",Statut_biogéographique!A:A,2,1),"P")</f>
        <v>P</v>
      </c>
      <c r="AP8897" s="4" t="s">
        <v>376</v>
      </c>
      <c r="AR8897" s="4" t="s">
        <v>377</v>
      </c>
    </row>
    <row r="8898" spans="1:44">
      <c r="A8898" s="4" t="s">
        <v>10753</v>
      </c>
      <c r="B8898" s="4">
        <v>17838</v>
      </c>
      <c r="D8898" s="5" t="s">
        <v>12084</v>
      </c>
      <c r="E8898" s="6" t="str">
        <f>HYPERLINK("https://inpn.mnhn.fr/espece/cd_nom/17838","Canthocamptus staphylinus (Jurine, 1820)")</f>
        <v>Canthocamptus staphylinus (Jurine, 1820)</v>
      </c>
      <c r="F8898" s="5" t="s">
        <v>12085</v>
      </c>
      <c r="Q8898" s="7" t="str">
        <f>HYPERLINK("#Liste_rouge!A"&amp;_xlfn.XMATCH("LC",Liste_rouge!A:A,2,1),"LC")</f>
        <v>LC</v>
      </c>
      <c r="AH8898" s="4" t="str">
        <f>HYPERLINK("#Statut_biogéographique!A"&amp;_xlfn.XMATCH("P",Statut_biogéographique!A:A,2,1),"P")</f>
        <v>P</v>
      </c>
      <c r="AP8898" s="4" t="s">
        <v>376</v>
      </c>
      <c r="AR8898" s="4" t="s">
        <v>377</v>
      </c>
    </row>
    <row r="8899" spans="1:44">
      <c r="A8899" s="4" t="s">
        <v>10753</v>
      </c>
      <c r="B8899" s="4">
        <v>1786</v>
      </c>
      <c r="D8899" s="5" t="s">
        <v>12086</v>
      </c>
      <c r="E8899" s="6" t="str">
        <f>HYPERLINK("https://inpn.mnhn.fr/espece/cd_nom/1786","Phrurolithus festivus (C.L. Koch, 1835)")</f>
        <v>Phrurolithus festivus (C.L. Koch, 1835)</v>
      </c>
      <c r="F8899" s="5" t="s">
        <v>12087</v>
      </c>
      <c r="Q8899" s="7" t="str">
        <f>HYPERLINK("#Liste_rouge!A"&amp;_xlfn.XMATCH("LC",Liste_rouge!A:A,2,1),"LC")</f>
        <v>LC</v>
      </c>
      <c r="AH8899" s="4" t="str">
        <f>HYPERLINK("#Statut_biogéographique!A"&amp;_xlfn.XMATCH("P",Statut_biogéographique!A:A,2,1),"P")</f>
        <v>P</v>
      </c>
      <c r="AP8899" s="4" t="s">
        <v>376</v>
      </c>
      <c r="AR8899" s="4" t="s">
        <v>377</v>
      </c>
    </row>
    <row r="8900" spans="1:44">
      <c r="A8900" s="4" t="s">
        <v>10753</v>
      </c>
      <c r="B8900" s="4">
        <v>17869</v>
      </c>
      <c r="D8900" s="5" t="s">
        <v>12088</v>
      </c>
      <c r="E8900" s="6" t="str">
        <f>HYPERLINK("https://inpn.mnhn.fr/espece/cd_nom/17869","Macrocyclops albidus (Jurine, 1820)")</f>
        <v>Macrocyclops albidus (Jurine, 1820)</v>
      </c>
      <c r="F8900" s="5" t="s">
        <v>12089</v>
      </c>
      <c r="Q8900" s="7" t="str">
        <f>HYPERLINK("#Liste_rouge!A"&amp;_xlfn.XMATCH("LC",Liste_rouge!A:A,2,1),"LC")</f>
        <v>LC</v>
      </c>
      <c r="AH8900" s="4" t="str">
        <f>HYPERLINK("#Statut_biogéographique!A"&amp;_xlfn.XMATCH("P",Statut_biogéographique!A:A,2,1),"P")</f>
        <v>P</v>
      </c>
      <c r="AP8900" s="4" t="s">
        <v>376</v>
      </c>
      <c r="AR8900" s="4" t="s">
        <v>377</v>
      </c>
    </row>
    <row r="8901" spans="1:44">
      <c r="A8901" s="4" t="s">
        <v>10753</v>
      </c>
      <c r="B8901" s="4">
        <v>1787</v>
      </c>
      <c r="D8901" s="5" t="s">
        <v>12090</v>
      </c>
      <c r="E8901" s="6" t="str">
        <f>HYPERLINK("https://inpn.mnhn.fr/espece/cd_nom/1787","Phrurolithus minimus C.L. Koch, 1839")</f>
        <v>Phrurolithus minimus C.L. Koch, 1839</v>
      </c>
      <c r="Q8901" s="7" t="str">
        <f>HYPERLINK("#Liste_rouge!A"&amp;_xlfn.XMATCH("LC",Liste_rouge!A:A,2,1),"LC")</f>
        <v>LC</v>
      </c>
      <c r="AH8901" s="4" t="str">
        <f>HYPERLINK("#Statut_biogéographique!A"&amp;_xlfn.XMATCH("P",Statut_biogéographique!A:A,2,1),"P")</f>
        <v>P</v>
      </c>
      <c r="AP8901" s="4" t="s">
        <v>376</v>
      </c>
      <c r="AR8901" s="4" t="s">
        <v>377</v>
      </c>
    </row>
    <row r="8902" spans="1:44">
      <c r="A8902" s="4" t="s">
        <v>10753</v>
      </c>
      <c r="B8902" s="4">
        <v>17871</v>
      </c>
      <c r="D8902" s="5" t="s">
        <v>12091</v>
      </c>
      <c r="E8902" s="6" t="str">
        <f>HYPERLINK("https://inpn.mnhn.fr/espece/cd_nom/17871","Macrocyclops fuscus (Jurine, 1820)")</f>
        <v>Macrocyclops fuscus (Jurine, 1820)</v>
      </c>
      <c r="Q8902" s="7" t="str">
        <f>HYPERLINK("#Liste_rouge!A"&amp;_xlfn.XMATCH("LC",Liste_rouge!A:A,2,1),"LC")</f>
        <v>LC</v>
      </c>
      <c r="AH8902" s="4" t="str">
        <f>HYPERLINK("#Statut_biogéographique!A"&amp;_xlfn.XMATCH("P",Statut_biogéographique!A:A,2,1),"P")</f>
        <v>P</v>
      </c>
      <c r="AP8902" s="4" t="s">
        <v>376</v>
      </c>
      <c r="AR8902" s="4" t="s">
        <v>377</v>
      </c>
    </row>
    <row r="8903" spans="1:44">
      <c r="A8903" s="4" t="s">
        <v>10753</v>
      </c>
      <c r="B8903" s="4">
        <v>17874</v>
      </c>
      <c r="D8903" s="5" t="s">
        <v>12092</v>
      </c>
      <c r="E8903" s="6" t="str">
        <f>HYPERLINK("https://inpn.mnhn.fr/espece/cd_nom/17874","Eucyclops serrulatus (Fischer, 1851)")</f>
        <v>Eucyclops serrulatus (Fischer, 1851)</v>
      </c>
      <c r="Q8903" s="7" t="str">
        <f>HYPERLINK("#Liste_rouge!A"&amp;_xlfn.XMATCH("LC",Liste_rouge!A:A,2,1),"LC")</f>
        <v>LC</v>
      </c>
      <c r="AH8903" s="4" t="str">
        <f>HYPERLINK("#Statut_biogéographique!A"&amp;_xlfn.XMATCH("P",Statut_biogéographique!A:A,2,1),"P")</f>
        <v>P</v>
      </c>
      <c r="AP8903" s="4" t="s">
        <v>376</v>
      </c>
      <c r="AR8903" s="4" t="s">
        <v>377</v>
      </c>
    </row>
    <row r="8904" spans="1:44">
      <c r="A8904" s="4" t="s">
        <v>10753</v>
      </c>
      <c r="B8904" s="4">
        <v>17876</v>
      </c>
      <c r="D8904" s="5" t="s">
        <v>12093</v>
      </c>
      <c r="E8904" s="6" t="str">
        <f>HYPERLINK("https://inpn.mnhn.fr/espece/cd_nom/17876","Paracyclops fimbriatus (Fischer, 1853)")</f>
        <v>Paracyclops fimbriatus (Fischer, 1853)</v>
      </c>
      <c r="Q8904" s="7" t="str">
        <f>HYPERLINK("#Liste_rouge!A"&amp;_xlfn.XMATCH("LC",Liste_rouge!A:A,2,1),"LC")</f>
        <v>LC</v>
      </c>
      <c r="AH8904" s="4" t="str">
        <f>HYPERLINK("#Statut_biogéographique!A"&amp;_xlfn.XMATCH("P",Statut_biogéographique!A:A,2,1),"P")</f>
        <v>P</v>
      </c>
      <c r="AP8904" s="4" t="s">
        <v>376</v>
      </c>
      <c r="AR8904" s="4" t="s">
        <v>377</v>
      </c>
    </row>
    <row r="8905" spans="1:44">
      <c r="A8905" s="4" t="s">
        <v>10753</v>
      </c>
      <c r="B8905" s="4">
        <v>1788</v>
      </c>
      <c r="D8905" s="5" t="s">
        <v>12094</v>
      </c>
      <c r="E8905" s="6" t="str">
        <f>HYPERLINK("https://inpn.mnhn.fr/espece/cd_nom/1788","Phrurolithus nigrinus (Simon, 1878)")</f>
        <v>Phrurolithus nigrinus (Simon, 1878)</v>
      </c>
      <c r="Q8905" s="7" t="str">
        <f>HYPERLINK("#Liste_rouge!A"&amp;_xlfn.XMATCH("LC",Liste_rouge!A:A,2,1),"LC")</f>
        <v>LC</v>
      </c>
      <c r="AH8905" s="4" t="str">
        <f>HYPERLINK("#Statut_biogéographique!A"&amp;_xlfn.XMATCH("P",Statut_biogéographique!A:A,2,1),"P")</f>
        <v>P</v>
      </c>
      <c r="AP8905" s="4" t="s">
        <v>376</v>
      </c>
      <c r="AR8905" s="4" t="s">
        <v>377</v>
      </c>
    </row>
    <row r="8906" spans="1:44">
      <c r="A8906" s="4" t="s">
        <v>10753</v>
      </c>
      <c r="B8906" s="4">
        <v>17889</v>
      </c>
      <c r="D8906" s="5" t="s">
        <v>12095</v>
      </c>
      <c r="E8906" s="6" t="str">
        <f>HYPERLINK("https://inpn.mnhn.fr/espece/cd_nom/17889","Diacyclops bisetosus (Rehberg, 1880)")</f>
        <v>Diacyclops bisetosus (Rehberg, 1880)</v>
      </c>
      <c r="Q8906" s="7" t="str">
        <f>HYPERLINK("#Liste_rouge!A"&amp;_xlfn.XMATCH("LC",Liste_rouge!A:A,2,1),"LC")</f>
        <v>LC</v>
      </c>
      <c r="AH8906" s="4" t="str">
        <f>HYPERLINK("#Statut_biogéographique!A"&amp;_xlfn.XMATCH("P",Statut_biogéographique!A:A,2,1),"P")</f>
        <v>P</v>
      </c>
      <c r="AP8906" s="4" t="s">
        <v>376</v>
      </c>
      <c r="AR8906" s="4" t="s">
        <v>377</v>
      </c>
    </row>
    <row r="8907" spans="1:44">
      <c r="A8907" s="4" t="s">
        <v>10753</v>
      </c>
      <c r="B8907" s="4">
        <v>17890</v>
      </c>
      <c r="D8907" s="5" t="s">
        <v>12096</v>
      </c>
      <c r="E8907" s="6" t="str">
        <f>HYPERLINK("https://inpn.mnhn.fr/espece/cd_nom/17890","Diacyclops languidoides (Lilljeborg, 1901)")</f>
        <v>Diacyclops languidoides (Lilljeborg, 1901)</v>
      </c>
      <c r="Q8907" s="7" t="str">
        <f>HYPERLINK("#Liste_rouge!A"&amp;_xlfn.XMATCH("LC",Liste_rouge!A:A,2,1),"LC")</f>
        <v>LC</v>
      </c>
      <c r="AH8907" s="4" t="str">
        <f>HYPERLINK("#Statut_biogéographique!A"&amp;_xlfn.XMATCH("P",Statut_biogéographique!A:A,2,1),"P")</f>
        <v>P</v>
      </c>
      <c r="AP8907" s="4" t="s">
        <v>376</v>
      </c>
      <c r="AR8907" s="4" t="s">
        <v>377</v>
      </c>
    </row>
    <row r="8908" spans="1:44">
      <c r="A8908" s="4" t="s">
        <v>10753</v>
      </c>
      <c r="B8908" s="4">
        <v>1794</v>
      </c>
      <c r="D8908" s="5" t="s">
        <v>12097</v>
      </c>
      <c r="E8908" s="6" t="str">
        <f>HYPERLINK("https://inpn.mnhn.fr/espece/cd_nom/1794","Micaria fulgens (Walckenaer, 1802)")</f>
        <v>Micaria fulgens (Walckenaer, 1802)</v>
      </c>
      <c r="Q8908" s="7" t="str">
        <f>HYPERLINK("#Liste_rouge!A"&amp;_xlfn.XMATCH("LC",Liste_rouge!A:A,2,1),"LC")</f>
        <v>LC</v>
      </c>
      <c r="AH8908" s="4" t="str">
        <f>HYPERLINK("#Statut_biogéographique!A"&amp;_xlfn.XMATCH("P",Statut_biogéographique!A:A,2,1),"P")</f>
        <v>P</v>
      </c>
      <c r="AP8908" s="4" t="s">
        <v>376</v>
      </c>
      <c r="AR8908" s="4" t="s">
        <v>377</v>
      </c>
    </row>
    <row r="8909" spans="1:44">
      <c r="A8909" s="4" t="s">
        <v>10753</v>
      </c>
      <c r="B8909" s="4">
        <v>18018</v>
      </c>
      <c r="D8909" s="5">
        <v>18018</v>
      </c>
      <c r="E8909" s="6" t="str">
        <f>HYPERLINK("https://inpn.mnhn.fr/espece/cd_nom/18018","Candona neglecta Sars, 1887")</f>
        <v>Candona neglecta Sars, 1887</v>
      </c>
      <c r="Q8909" s="7" t="str">
        <f>HYPERLINK("#Liste_rouge!A"&amp;_xlfn.XMATCH("LC",Liste_rouge!A:A,2,1),"LC")</f>
        <v>LC</v>
      </c>
      <c r="AH8909" s="4" t="str">
        <f>HYPERLINK("#Statut_biogéographique!A"&amp;_xlfn.XMATCH("P",Statut_biogéographique!A:A,2,1),"P")</f>
        <v>P</v>
      </c>
      <c r="AP8909" s="4" t="s">
        <v>376</v>
      </c>
      <c r="AR8909" s="4" t="s">
        <v>377</v>
      </c>
    </row>
    <row r="8910" spans="1:44" ht="30">
      <c r="A8910" s="4" t="s">
        <v>10753</v>
      </c>
      <c r="B8910" s="4">
        <v>18021</v>
      </c>
      <c r="D8910" s="5" t="s">
        <v>12098</v>
      </c>
      <c r="E8910" s="6" t="str">
        <f>HYPERLINK("https://inpn.mnhn.fr/espece/cd_nom/18021","Pseudocandona rostrata (Brady &amp; Norman, 1889)")</f>
        <v>Pseudocandona rostrata (Brady &amp; Norman, 1889)</v>
      </c>
      <c r="Q8910" s="7" t="str">
        <f>HYPERLINK("#Liste_rouge!A"&amp;_xlfn.XMATCH("LC",Liste_rouge!A:A,2,1),"LC")</f>
        <v>LC</v>
      </c>
      <c r="AH8910" s="4" t="str">
        <f>HYPERLINK("#Statut_biogéographique!A"&amp;_xlfn.XMATCH("P",Statut_biogéographique!A:A,2,1),"P")</f>
        <v>P</v>
      </c>
      <c r="AP8910" s="4" t="s">
        <v>376</v>
      </c>
      <c r="AR8910" s="4" t="s">
        <v>377</v>
      </c>
    </row>
    <row r="8911" spans="1:44" ht="30">
      <c r="A8911" s="4" t="s">
        <v>10753</v>
      </c>
      <c r="B8911" s="4">
        <v>18025</v>
      </c>
      <c r="D8911" s="5" t="s">
        <v>12099</v>
      </c>
      <c r="E8911" s="6" t="str">
        <f>HYPERLINK("https://inpn.mnhn.fr/espece/cd_nom/18025","Fabaeformiscandona fabaeformis (Fischer, 1851)")</f>
        <v>Fabaeformiscandona fabaeformis (Fischer, 1851)</v>
      </c>
      <c r="Q8911" s="7" t="str">
        <f>HYPERLINK("#Liste_rouge!A"&amp;_xlfn.XMATCH("LC",Liste_rouge!A:A,2,1),"LC")</f>
        <v>LC</v>
      </c>
      <c r="AH8911" s="4" t="str">
        <f>HYPERLINK("#Statut_biogéographique!A"&amp;_xlfn.XMATCH("P",Statut_biogéographique!A:A,2,1),"P")</f>
        <v>P</v>
      </c>
      <c r="AP8911" s="4" t="s">
        <v>376</v>
      </c>
      <c r="AR8911" s="4" t="s">
        <v>377</v>
      </c>
    </row>
    <row r="8912" spans="1:44">
      <c r="A8912" s="4" t="s">
        <v>10753</v>
      </c>
      <c r="B8912" s="4">
        <v>18062</v>
      </c>
      <c r="D8912" s="5" t="s">
        <v>12100</v>
      </c>
      <c r="E8912" s="6" t="str">
        <f>HYPERLINK("https://inpn.mnhn.fr/espece/cd_nom/18062","Notodromas monacha (O.F. Müller, 1776)")</f>
        <v>Notodromas monacha (O.F. Müller, 1776)</v>
      </c>
      <c r="F8912" s="5" t="s">
        <v>12101</v>
      </c>
      <c r="Q8912" s="7" t="str">
        <f>HYPERLINK("#Liste_rouge!A"&amp;_xlfn.XMATCH("LC",Liste_rouge!A:A,2,1),"LC")</f>
        <v>LC</v>
      </c>
      <c r="AH8912" s="4" t="str">
        <f>HYPERLINK("#Statut_biogéographique!A"&amp;_xlfn.XMATCH("P",Statut_biogéographique!A:A,2,1),"P")</f>
        <v>P</v>
      </c>
      <c r="AP8912" s="4" t="s">
        <v>376</v>
      </c>
      <c r="AR8912" s="4" t="s">
        <v>377</v>
      </c>
    </row>
    <row r="8913" spans="1:44">
      <c r="A8913" s="4" t="s">
        <v>10753</v>
      </c>
      <c r="B8913" s="4">
        <v>18067</v>
      </c>
      <c r="D8913" s="5" t="s">
        <v>12102</v>
      </c>
      <c r="E8913" s="6" t="str">
        <f>HYPERLINK("https://inpn.mnhn.fr/espece/cd_nom/18067","Ilyocypris gibba (Ramdohr, 1808)")</f>
        <v>Ilyocypris gibba (Ramdohr, 1808)</v>
      </c>
      <c r="Q8913" s="7" t="str">
        <f>HYPERLINK("#Liste_rouge!A"&amp;_xlfn.XMATCH("LC",Liste_rouge!A:A,2,1),"LC")</f>
        <v>LC</v>
      </c>
      <c r="AH8913" s="4" t="str">
        <f>HYPERLINK("#Statut_biogéographique!A"&amp;_xlfn.XMATCH("P",Statut_biogéographique!A:A,2,1),"P")</f>
        <v>P</v>
      </c>
      <c r="AP8913" s="4" t="s">
        <v>376</v>
      </c>
      <c r="AR8913" s="4" t="s">
        <v>377</v>
      </c>
    </row>
    <row r="8914" spans="1:44">
      <c r="A8914" s="4" t="s">
        <v>10753</v>
      </c>
      <c r="B8914" s="4">
        <v>18072</v>
      </c>
      <c r="D8914" s="5">
        <v>18072</v>
      </c>
      <c r="E8914" s="6" t="str">
        <f>HYPERLINK("https://inpn.mnhn.fr/espece/cd_nom/18072","Cypris pubera O.F. Müller, 1776")</f>
        <v>Cypris pubera O.F. Müller, 1776</v>
      </c>
      <c r="F8914" s="5" t="s">
        <v>12103</v>
      </c>
      <c r="Q8914" s="7" t="str">
        <f>HYPERLINK("#Liste_rouge!A"&amp;_xlfn.XMATCH("LC",Liste_rouge!A:A,2,1),"LC")</f>
        <v>LC</v>
      </c>
      <c r="AH8914" s="4" t="str">
        <f>HYPERLINK("#Statut_biogéographique!A"&amp;_xlfn.XMATCH("P",Statut_biogéographique!A:A,2,1),"P")</f>
        <v>P</v>
      </c>
      <c r="AP8914" s="4" t="s">
        <v>376</v>
      </c>
      <c r="AR8914" s="4" t="s">
        <v>377</v>
      </c>
    </row>
    <row r="8915" spans="1:44">
      <c r="A8915" s="4" t="s">
        <v>10753</v>
      </c>
      <c r="B8915" s="4">
        <v>18074</v>
      </c>
      <c r="D8915" s="5" t="s">
        <v>12104</v>
      </c>
      <c r="E8915" s="6" t="str">
        <f>HYPERLINK("https://inpn.mnhn.fr/espece/cd_nom/18074","Bradleystrandesia fuscata (Jurine, 1820)")</f>
        <v>Bradleystrandesia fuscata (Jurine, 1820)</v>
      </c>
      <c r="F8915" s="5" t="s">
        <v>12105</v>
      </c>
      <c r="Q8915" s="7" t="str">
        <f>HYPERLINK("#Liste_rouge!A"&amp;_xlfn.XMATCH("LC",Liste_rouge!A:A,2,1),"LC")</f>
        <v>LC</v>
      </c>
      <c r="AH8915" s="4" t="str">
        <f>HYPERLINK("#Statut_biogéographique!A"&amp;_xlfn.XMATCH("P",Statut_biogéographique!A:A,2,1),"P")</f>
        <v>P</v>
      </c>
      <c r="AP8915" s="4" t="s">
        <v>376</v>
      </c>
      <c r="AR8915" s="4" t="s">
        <v>377</v>
      </c>
    </row>
    <row r="8916" spans="1:44">
      <c r="A8916" s="4" t="s">
        <v>10753</v>
      </c>
      <c r="B8916" s="4">
        <v>18080</v>
      </c>
      <c r="D8916" s="5" t="s">
        <v>12106</v>
      </c>
      <c r="E8916" s="6" t="str">
        <f>HYPERLINK("https://inpn.mnhn.fr/espece/cd_nom/18080","Heterocypris incongruens (Ramdohr, 1808)")</f>
        <v>Heterocypris incongruens (Ramdohr, 1808)</v>
      </c>
      <c r="F8916" s="5" t="s">
        <v>12107</v>
      </c>
      <c r="Q8916" s="7" t="str">
        <f>HYPERLINK("#Liste_rouge!A"&amp;_xlfn.XMATCH("LC",Liste_rouge!A:A,2,1),"LC")</f>
        <v>LC</v>
      </c>
      <c r="AH8916" s="4" t="str">
        <f>HYPERLINK("#Statut_biogéographique!A"&amp;_xlfn.XMATCH("P",Statut_biogéographique!A:A,2,1),"P")</f>
        <v>P</v>
      </c>
      <c r="AP8916" s="4" t="s">
        <v>376</v>
      </c>
      <c r="AR8916" s="4" t="s">
        <v>377</v>
      </c>
    </row>
    <row r="8917" spans="1:44" ht="30">
      <c r="A8917" s="4" t="s">
        <v>10753</v>
      </c>
      <c r="B8917" s="4">
        <v>18084</v>
      </c>
      <c r="D8917" s="5" t="s">
        <v>12108</v>
      </c>
      <c r="E8917" s="6" t="str">
        <f>HYPERLINK("https://inpn.mnhn.fr/espece/cd_nom/18084","Cypridopsis vidua (O.F. Müller, 1776)")</f>
        <v>Cypridopsis vidua (O.F. Müller, 1776)</v>
      </c>
      <c r="F8917" s="5" t="s">
        <v>12109</v>
      </c>
      <c r="Q8917" s="7" t="str">
        <f>HYPERLINK("#Liste_rouge!A"&amp;_xlfn.XMATCH("LC",Liste_rouge!A:A,2,1),"LC")</f>
        <v>LC</v>
      </c>
      <c r="AH8917" s="4" t="str">
        <f>HYPERLINK("#Statut_biogéographique!A"&amp;_xlfn.XMATCH("P",Statut_biogéographique!A:A,2,1),"P")</f>
        <v>P</v>
      </c>
      <c r="AP8917" s="4" t="s">
        <v>376</v>
      </c>
      <c r="AR8917" s="4" t="s">
        <v>377</v>
      </c>
    </row>
    <row r="8918" spans="1:44">
      <c r="A8918" s="4" t="s">
        <v>10753</v>
      </c>
      <c r="B8918" s="4">
        <v>18088</v>
      </c>
      <c r="D8918" s="5" t="s">
        <v>12110</v>
      </c>
      <c r="E8918" s="6" t="str">
        <f>HYPERLINK("https://inpn.mnhn.fr/espece/cd_nom/18088","Eucypris virens (Jurine, 1820)")</f>
        <v>Eucypris virens (Jurine, 1820)</v>
      </c>
      <c r="F8918" s="5" t="s">
        <v>12111</v>
      </c>
      <c r="Q8918" s="7" t="str">
        <f>HYPERLINK("#Liste_rouge!A"&amp;_xlfn.XMATCH("LC",Liste_rouge!A:A,2,1),"LC")</f>
        <v>LC</v>
      </c>
      <c r="AH8918" s="4" t="str">
        <f>HYPERLINK("#Statut_biogéographique!A"&amp;_xlfn.XMATCH("P",Statut_biogéographique!A:A,2,1),"P")</f>
        <v>P</v>
      </c>
      <c r="AP8918" s="4" t="s">
        <v>376</v>
      </c>
      <c r="AR8918" s="4" t="s">
        <v>377</v>
      </c>
    </row>
    <row r="8919" spans="1:44">
      <c r="A8919" s="4" t="s">
        <v>10753</v>
      </c>
      <c r="B8919" s="4">
        <v>18092</v>
      </c>
      <c r="D8919" s="5" t="s">
        <v>12112</v>
      </c>
      <c r="E8919" s="6" t="str">
        <f>HYPERLINK("https://inpn.mnhn.fr/espece/cd_nom/18092","Herpetocypris reptans (Baird, 1835)")</f>
        <v>Herpetocypris reptans (Baird, 1835)</v>
      </c>
      <c r="Q8919" s="7" t="str">
        <f>HYPERLINK("#Liste_rouge!A"&amp;_xlfn.XMATCH("LC",Liste_rouge!A:A,2,1),"LC")</f>
        <v>LC</v>
      </c>
      <c r="AH8919" s="4" t="str">
        <f>HYPERLINK("#Statut_biogéographique!A"&amp;_xlfn.XMATCH("P",Statut_biogéographique!A:A,2,1),"P")</f>
        <v>P</v>
      </c>
      <c r="AP8919" s="4" t="s">
        <v>376</v>
      </c>
      <c r="AR8919" s="4" t="s">
        <v>377</v>
      </c>
    </row>
    <row r="8920" spans="1:44">
      <c r="A8920" s="4" t="s">
        <v>10753</v>
      </c>
      <c r="B8920" s="4">
        <v>18095</v>
      </c>
      <c r="D8920" s="5" t="s">
        <v>12113</v>
      </c>
      <c r="E8920" s="6" t="str">
        <f>HYPERLINK("https://inpn.mnhn.fr/espece/cd_nom/18095","Limnocythere inopinata (Baird, 1843)")</f>
        <v>Limnocythere inopinata (Baird, 1843)</v>
      </c>
      <c r="Q8920" s="7" t="str">
        <f>HYPERLINK("#Liste_rouge!A"&amp;_xlfn.XMATCH("LC",Liste_rouge!A:A,2,1),"LC")</f>
        <v>LC</v>
      </c>
      <c r="AH8920" s="4" t="str">
        <f>HYPERLINK("#Statut_biogéographique!A"&amp;_xlfn.XMATCH("P",Statut_biogéographique!A:A,2,1),"P")</f>
        <v>P</v>
      </c>
      <c r="AP8920" s="4" t="s">
        <v>376</v>
      </c>
      <c r="AR8920" s="4" t="s">
        <v>377</v>
      </c>
    </row>
    <row r="8921" spans="1:44">
      <c r="A8921" s="4" t="s">
        <v>10753</v>
      </c>
      <c r="B8921" s="4">
        <v>1816</v>
      </c>
      <c r="D8921" s="5">
        <v>1816</v>
      </c>
      <c r="E8921" s="6" t="str">
        <f>HYPERLINK("https://inpn.mnhn.fr/espece/cd_nom/1816","Cybaeus angustiarum L. Koch, 1868")</f>
        <v>Cybaeus angustiarum L. Koch, 1868</v>
      </c>
      <c r="AH8921" s="4" t="str">
        <f>HYPERLINK("#Statut_biogéographique!A"&amp;_xlfn.XMATCH("P",Statut_biogéographique!A:A,2,1),"P")</f>
        <v>P</v>
      </c>
      <c r="AP8921" s="4" t="s">
        <v>376</v>
      </c>
      <c r="AR8921" s="4" t="s">
        <v>377</v>
      </c>
    </row>
    <row r="8922" spans="1:44">
      <c r="A8922" s="4" t="s">
        <v>10753</v>
      </c>
      <c r="B8922" s="4">
        <v>1820</v>
      </c>
      <c r="D8922" s="5" t="s">
        <v>12114</v>
      </c>
      <c r="E8922" s="6" t="str">
        <f>HYPERLINK("https://inpn.mnhn.fr/espece/cd_nom/1820","Argyroneta aquatica (Clerck, 1758)")</f>
        <v>Argyroneta aquatica (Clerck, 1758)</v>
      </c>
      <c r="F8922" s="5" t="s">
        <v>12115</v>
      </c>
      <c r="Q8922" s="7" t="str">
        <f>HYPERLINK("#Liste_rouge!A"&amp;_xlfn.XMATCH("EN",Liste_rouge!A:A,2,1),"EN")</f>
        <v>EN</v>
      </c>
      <c r="AE8922" s="4" t="str">
        <f>HYPERLINK("#SCAP!A"&amp;_xlfn.XMATCH("1-",SCAP!A:A,2,1),"1-")</f>
        <v>1-</v>
      </c>
      <c r="AH8922" s="4" t="str">
        <f>HYPERLINK("#Statut_biogéographique!A"&amp;_xlfn.XMATCH("P",Statut_biogéographique!A:A,2,1),"P")</f>
        <v>P</v>
      </c>
      <c r="AP8922" s="4" t="s">
        <v>376</v>
      </c>
      <c r="AR8922" s="4" t="s">
        <v>377</v>
      </c>
    </row>
    <row r="8923" spans="1:44">
      <c r="A8923" s="4" t="s">
        <v>10753</v>
      </c>
      <c r="B8923" s="4">
        <v>18333</v>
      </c>
      <c r="D8923" s="5" t="s">
        <v>12116</v>
      </c>
      <c r="E8923" s="6" t="str">
        <f>HYPERLINK("https://inpn.mnhn.fr/espece/cd_nom/18333","Potamocypris villosa (Jurine, 1820)")</f>
        <v>Potamocypris villosa (Jurine, 1820)</v>
      </c>
      <c r="F8923" s="5" t="s">
        <v>12117</v>
      </c>
      <c r="Q8923" s="7" t="str">
        <f>HYPERLINK("#Liste_rouge!A"&amp;_xlfn.XMATCH("LC",Liste_rouge!A:A,2,1),"LC")</f>
        <v>LC</v>
      </c>
      <c r="AH8923" s="4" t="str">
        <f>HYPERLINK("#Statut_biogéographique!A"&amp;_xlfn.XMATCH("P",Statut_biogéographique!A:A,2,1),"P")</f>
        <v>P</v>
      </c>
      <c r="AP8923" s="4" t="s">
        <v>376</v>
      </c>
      <c r="AR8923" s="4" t="s">
        <v>377</v>
      </c>
    </row>
    <row r="8924" spans="1:44">
      <c r="A8924" s="4" t="s">
        <v>10753</v>
      </c>
      <c r="B8924" s="4">
        <v>1839</v>
      </c>
      <c r="D8924" s="5" t="s">
        <v>12118</v>
      </c>
      <c r="E8924" s="6" t="str">
        <f>HYPERLINK("https://inpn.mnhn.fr/espece/cd_nom/1839","Tegenaria parietina (Fourcroy, 1785)")</f>
        <v>Tegenaria parietina (Fourcroy, 1785)</v>
      </c>
      <c r="Q8924" s="7" t="str">
        <f>HYPERLINK("#Liste_rouge!A"&amp;_xlfn.XMATCH("LC",Liste_rouge!A:A,2,1),"LC")</f>
        <v>LC</v>
      </c>
      <c r="AH8924" s="4" t="str">
        <f>HYPERLINK("#Statut_biogéographique!A"&amp;_xlfn.XMATCH("P",Statut_biogéographique!A:A,2,1),"P")</f>
        <v>P</v>
      </c>
      <c r="AP8924" s="4" t="s">
        <v>376</v>
      </c>
      <c r="AR8924" s="4" t="s">
        <v>377</v>
      </c>
    </row>
    <row r="8925" spans="1:44">
      <c r="A8925" s="4" t="s">
        <v>10753</v>
      </c>
      <c r="B8925" s="4">
        <v>1842</v>
      </c>
      <c r="D8925" s="5" t="s">
        <v>12119</v>
      </c>
      <c r="E8925" s="6" t="str">
        <f>HYPERLINK("https://inpn.mnhn.fr/espece/cd_nom/1842","Tegenaria silvestris L. Koch, 1872")</f>
        <v>Tegenaria silvestris L. Koch, 1872</v>
      </c>
      <c r="Q8925" s="7" t="str">
        <f>HYPERLINK("#Liste_rouge!A"&amp;_xlfn.XMATCH("LC",Liste_rouge!A:A,2,1),"LC")</f>
        <v>LC</v>
      </c>
      <c r="AH8925" s="4" t="str">
        <f>HYPERLINK("#Statut_biogéographique!A"&amp;_xlfn.XMATCH("P",Statut_biogéographique!A:A,2,1),"P")</f>
        <v>P</v>
      </c>
      <c r="AP8925" s="4" t="s">
        <v>376</v>
      </c>
      <c r="AR8925" s="4" t="s">
        <v>377</v>
      </c>
    </row>
    <row r="8926" spans="1:44">
      <c r="A8926" s="4" t="s">
        <v>10753</v>
      </c>
      <c r="B8926" s="4">
        <v>1843</v>
      </c>
      <c r="D8926" s="5" t="s">
        <v>12120</v>
      </c>
      <c r="E8926" s="6" t="str">
        <f>HYPERLINK("https://inpn.mnhn.fr/espece/cd_nom/1843","Tegenaria domestica (Clerck, 1758)")</f>
        <v>Tegenaria domestica (Clerck, 1758)</v>
      </c>
      <c r="F8926" s="5" t="s">
        <v>12121</v>
      </c>
      <c r="Q8926" s="7" t="str">
        <f>HYPERLINK("#Liste_rouge!A"&amp;_xlfn.XMATCH("LC",Liste_rouge!A:A,2,1),"LC")</f>
        <v>LC</v>
      </c>
      <c r="AH8926" s="4" t="str">
        <f>HYPERLINK("#Statut_biogéographique!A"&amp;_xlfn.XMATCH("P",Statut_biogéographique!A:A,2,1),"P")</f>
        <v>P</v>
      </c>
      <c r="AP8926" s="4" t="s">
        <v>376</v>
      </c>
      <c r="AR8926" s="4" t="s">
        <v>377</v>
      </c>
    </row>
    <row r="8927" spans="1:44" ht="45">
      <c r="A8927" s="4" t="s">
        <v>10753</v>
      </c>
      <c r="B8927" s="4">
        <v>18432</v>
      </c>
      <c r="D8927" s="5" t="s">
        <v>12122</v>
      </c>
      <c r="E8927" s="6" t="str">
        <f>HYPERLINK("https://inpn.mnhn.fr/espece/cd_nom/18432","Astacus astacus (Linnaeus, 1758)")</f>
        <v>Astacus astacus (Linnaeus, 1758)</v>
      </c>
      <c r="F8927" s="5" t="s">
        <v>12123</v>
      </c>
      <c r="I8927" s="4" t="str">
        <f>HYPERLINK("#Réglementation!A"&amp;_xlfn.XMATCH("IBE3",Réglementation!A:A,2,1),"IBE3")</f>
        <v>IBE3</v>
      </c>
      <c r="K8927" s="4" t="str">
        <f>HYPERLINK("#Réglementation!A"&amp;_xlfn.XMATCH("CDH5",Réglementation!A:A,2,1),"CDH5")</f>
        <v>CDH5</v>
      </c>
      <c r="L8927" s="4" t="str">
        <f>HYPERLINK("#Réglementation!A"&amp;_xlfn.XMATCH("NEC1",Réglementation!A:A,2,1),"NEC1")</f>
        <v>NEC1</v>
      </c>
      <c r="O8927" s="7" t="str">
        <f>HYPERLINK("#Liste_rouge!A"&amp;_xlfn.XMATCH("VU",Liste_rouge!A:A,2,1),"VU")</f>
        <v>VU</v>
      </c>
      <c r="Q8927" s="7" t="str">
        <f>HYPERLINK("#Liste_rouge!A"&amp;_xlfn.XMATCH("EN",Liste_rouge!A:A,2,1),"EN")</f>
        <v>EN</v>
      </c>
      <c r="T8927" s="7" t="str">
        <f>HYPERLINK("#Liste_rouge!A"&amp;_xlfn.XMATCH("CR",Liste_rouge!A:A,2,1),"CR")</f>
        <v>CR</v>
      </c>
      <c r="U8927" s="4" t="str">
        <f>HYPERLINK("#Critères_liste_rouge!A$1","B(1+2)ab(i,ii,iii,iv,v)")</f>
        <v>B(1+2)ab(i,ii,iii,iv,v)</v>
      </c>
      <c r="AE8927" s="4" t="str">
        <f>HYPERLINK("#SCAP!A"&amp;_xlfn.XMATCH("1+",SCAP!A:A,2,1),"1+")</f>
        <v>1+</v>
      </c>
      <c r="AF8927" s="4" t="str">
        <f>HYPERLINK("#SCAP!A"&amp;_xlfn.XMATCH("NP",SCAP!A:A,2,1),"NP")</f>
        <v>NP</v>
      </c>
      <c r="AH8927" s="4" t="str">
        <f>HYPERLINK("#Statut_biogéographique!A"&amp;_xlfn.XMATCH("P",Statut_biogéographique!A:A,2,1),"P")</f>
        <v>P</v>
      </c>
      <c r="AM8927" s="4" t="s">
        <v>375</v>
      </c>
      <c r="AN8927" s="4" t="s">
        <v>375</v>
      </c>
      <c r="AO8927" s="4" t="s">
        <v>382</v>
      </c>
      <c r="AP8927" s="4" t="s">
        <v>389</v>
      </c>
      <c r="AR8927" s="4" t="s">
        <v>377</v>
      </c>
    </row>
    <row r="8928" spans="1:44" ht="30">
      <c r="A8928" s="4" t="s">
        <v>10753</v>
      </c>
      <c r="B8928" s="4">
        <v>18437</v>
      </c>
      <c r="D8928" s="5" t="s">
        <v>12124</v>
      </c>
      <c r="E8928" s="6" t="str">
        <f>HYPERLINK("https://inpn.mnhn.fr/espece/cd_nom/18437","Austropotamobius pallipes (Lereboullet, 1858)")</f>
        <v>Austropotamobius pallipes (Lereboullet, 1858)</v>
      </c>
      <c r="F8928" s="5" t="s">
        <v>12125</v>
      </c>
      <c r="I8928" s="4" t="str">
        <f>HYPERLINK("#Réglementation!A"&amp;_xlfn.XMATCH("IBE3",Réglementation!A:A,2,1),"IBE3")</f>
        <v>IBE3</v>
      </c>
      <c r="K8928" s="4" t="str">
        <f>HYPERLINK("#Réglementation!A"&amp;_xlfn.XMATCH("CDH2",Réglementation!A:A,2,1),"CDH2 - CDH5")</f>
        <v>CDH2 - CDH5</v>
      </c>
      <c r="L8928" s="4" t="str">
        <f>HYPERLINK("#Réglementation!A"&amp;_xlfn.XMATCH("NEC1",Réglementation!A:A,2,1),"NEC1")</f>
        <v>NEC1</v>
      </c>
      <c r="O8928" s="7" t="str">
        <f>HYPERLINK("#Liste_rouge!A"&amp;_xlfn.XMATCH("EN",Liste_rouge!A:A,2,1),"EN")</f>
        <v>EN</v>
      </c>
      <c r="Q8928" s="7" t="str">
        <f>HYPERLINK("#Liste_rouge!A"&amp;_xlfn.XMATCH("VU",Liste_rouge!A:A,2,1),"VU")</f>
        <v>VU</v>
      </c>
      <c r="T8928" s="7" t="str">
        <f>HYPERLINK("#Liste_rouge!A"&amp;_xlfn.XMATCH("EN",Liste_rouge!A:A,2,1),"EN")</f>
        <v>EN</v>
      </c>
      <c r="U8928" s="4" t="str">
        <f>HYPERLINK("#Critères_liste_rouge!A$1","B1ab(i,ii,iii,iv,v)")</f>
        <v>B1ab(i,ii,iii,iv,v)</v>
      </c>
      <c r="AC8928" s="4" t="s">
        <v>11319</v>
      </c>
      <c r="AE8928" s="4" t="str">
        <f>HYPERLINK("#SCAP!A"&amp;_xlfn.XMATCH("1+",SCAP!A:A,2,1),"1+")</f>
        <v>1+</v>
      </c>
      <c r="AF8928" s="4" t="str">
        <f>HYPERLINK("#SCAP!A"&amp;_xlfn.XMATCH("2+",SCAP!A:A,2,1),"2+")</f>
        <v>2+</v>
      </c>
      <c r="AG8928" s="4" t="str">
        <f>HYPERLINK("#SCAP!A"&amp;_xlfn.XMATCH("2+",SCAP!A:A,2,1),"2+")</f>
        <v>2+</v>
      </c>
      <c r="AH8928" s="4" t="str">
        <f>HYPERLINK("#Statut_biogéographique!A"&amp;_xlfn.XMATCH("P",Statut_biogéographique!A:A,2,1),"P")</f>
        <v>P</v>
      </c>
      <c r="AM8928" s="4" t="s">
        <v>375</v>
      </c>
      <c r="AN8928" s="4" t="s">
        <v>375</v>
      </c>
      <c r="AO8928" s="4" t="s">
        <v>382</v>
      </c>
      <c r="AP8928" s="4" t="s">
        <v>389</v>
      </c>
      <c r="AR8928" s="4" t="s">
        <v>377</v>
      </c>
    </row>
    <row r="8929" spans="1:44">
      <c r="A8929" s="4" t="s">
        <v>10753</v>
      </c>
      <c r="B8929" s="4">
        <v>1846</v>
      </c>
      <c r="D8929" s="5" t="s">
        <v>12126</v>
      </c>
      <c r="E8929" s="6" t="str">
        <f>HYPERLINK("https://inpn.mnhn.fr/espece/cd_nom/1846","Coelotes terrestris (Wider, 1834)")</f>
        <v>Coelotes terrestris (Wider, 1834)</v>
      </c>
      <c r="F8929" s="5" t="s">
        <v>12127</v>
      </c>
      <c r="Q8929" s="7" t="str">
        <f>HYPERLINK("#Liste_rouge!A"&amp;_xlfn.XMATCH("LC",Liste_rouge!A:A,2,1),"LC")</f>
        <v>LC</v>
      </c>
      <c r="AH8929" s="4" t="str">
        <f>HYPERLINK("#Statut_biogéographique!A"&amp;_xlfn.XMATCH("P",Statut_biogéographique!A:A,2,1),"P")</f>
        <v>P</v>
      </c>
      <c r="AP8929" s="4" t="s">
        <v>376</v>
      </c>
      <c r="AR8929" s="4" t="s">
        <v>377</v>
      </c>
    </row>
    <row r="8930" spans="1:44" ht="30">
      <c r="A8930" s="4" t="s">
        <v>10753</v>
      </c>
      <c r="B8930" s="4">
        <v>18515</v>
      </c>
      <c r="D8930" s="5" t="s">
        <v>12128</v>
      </c>
      <c r="E8930" s="6" t="str">
        <f>HYPERLINK("https://inpn.mnhn.fr/espece/cd_nom/18515","Eriocheir sinensis H. Milne Edwards, 1853")</f>
        <v>Eriocheir sinensis H. Milne Edwards, 1853</v>
      </c>
      <c r="F8930" s="5" t="s">
        <v>12129</v>
      </c>
      <c r="Q8930" s="7" t="str">
        <f>HYPERLINK("#Liste_rouge!A"&amp;_xlfn.XMATCH("NA",Liste_rouge!A:A,2,1),"NA")</f>
        <v>NA</v>
      </c>
      <c r="AH8930" s="4" t="str">
        <f>HYPERLINK("#Statut_biogéographique!A"&amp;_xlfn.XMATCH("I",Statut_biogéographique!A:A,2,1),"I")</f>
        <v>I</v>
      </c>
      <c r="AL8930" s="5" t="str">
        <f>HYPERLINK("#Réglementation!A"&amp;_xlfn.XMATCH("FRnoEEEA2",Réglementation!A:A,2,1),"FRnoEEEA2 - EEEUE")</f>
        <v>FRnoEEEA2 - EEEUE</v>
      </c>
      <c r="AP8930" s="4" t="s">
        <v>376</v>
      </c>
      <c r="AR8930" s="4" t="s">
        <v>377</v>
      </c>
    </row>
    <row r="8931" spans="1:44">
      <c r="A8931" s="4" t="s">
        <v>10753</v>
      </c>
      <c r="B8931" s="4">
        <v>1863</v>
      </c>
      <c r="D8931" s="5" t="s">
        <v>12130</v>
      </c>
      <c r="E8931" s="6" t="str">
        <f>HYPERLINK("https://inpn.mnhn.fr/espece/cd_nom/1863","Cryphoeca silvicola (C.L. Koch, 1834)")</f>
        <v>Cryphoeca silvicola (C.L. Koch, 1834)</v>
      </c>
      <c r="Q8931" s="7" t="str">
        <f>HYPERLINK("#Liste_rouge!A"&amp;_xlfn.XMATCH("LC",Liste_rouge!A:A,2,1),"LC")</f>
        <v>LC</v>
      </c>
      <c r="AH8931" s="4" t="str">
        <f>HYPERLINK("#Statut_biogéographique!A"&amp;_xlfn.XMATCH("P",Statut_biogéographique!A:A,2,1),"P")</f>
        <v>P</v>
      </c>
      <c r="AP8931" s="4" t="s">
        <v>376</v>
      </c>
      <c r="AR8931" s="4" t="s">
        <v>377</v>
      </c>
    </row>
    <row r="8932" spans="1:44">
      <c r="A8932" s="4" t="s">
        <v>10753</v>
      </c>
      <c r="B8932" s="4">
        <v>18651</v>
      </c>
      <c r="D8932" s="5" t="s">
        <v>12131</v>
      </c>
      <c r="E8932" s="6" t="str">
        <f>HYPERLINK("https://inpn.mnhn.fr/espece/cd_nom/18651","Gammarus pulex (Linnaeus, 1758)")</f>
        <v>Gammarus pulex (Linnaeus, 1758)</v>
      </c>
      <c r="Q8932" s="7" t="str">
        <f>HYPERLINK("#Liste_rouge!A"&amp;_xlfn.XMATCH("LC",Liste_rouge!A:A,2,1),"LC")</f>
        <v>LC</v>
      </c>
      <c r="AH8932" s="4" t="str">
        <f>HYPERLINK("#Statut_biogéographique!A"&amp;_xlfn.XMATCH("P",Statut_biogéographique!A:A,2,1),"P")</f>
        <v>P</v>
      </c>
      <c r="AP8932" s="4" t="s">
        <v>376</v>
      </c>
      <c r="AR8932" s="4" t="s">
        <v>377</v>
      </c>
    </row>
    <row r="8933" spans="1:44">
      <c r="A8933" s="4" t="s">
        <v>10753</v>
      </c>
      <c r="B8933" s="4">
        <v>18667</v>
      </c>
      <c r="D8933" s="5" t="s">
        <v>12132</v>
      </c>
      <c r="E8933" s="6" t="str">
        <f>HYPERLINK("https://inpn.mnhn.fr/espece/cd_nom/18667","Niphargus schellenbergi S. Karaman, 1932")</f>
        <v>Niphargus schellenbergi S. Karaman, 1932</v>
      </c>
      <c r="Q8933" s="7" t="str">
        <f>HYPERLINK("#Liste_rouge!A"&amp;_xlfn.XMATCH("LC",Liste_rouge!A:A,2,1),"LC")</f>
        <v>LC</v>
      </c>
      <c r="AH8933" s="4" t="str">
        <f>HYPERLINK("#Statut_biogéographique!A"&amp;_xlfn.XMATCH("P",Statut_biogéographique!A:A,2,1),"P")</f>
        <v>P</v>
      </c>
      <c r="AP8933" s="4" t="s">
        <v>376</v>
      </c>
      <c r="AR8933" s="4" t="s">
        <v>377</v>
      </c>
    </row>
    <row r="8934" spans="1:44">
      <c r="A8934" s="4" t="s">
        <v>10753</v>
      </c>
      <c r="B8934" s="4">
        <v>18669</v>
      </c>
      <c r="D8934" s="5">
        <v>18669</v>
      </c>
      <c r="E8934" s="6" t="str">
        <f>HYPERLINK("https://inpn.mnhn.fr/espece/cd_nom/18669","Niphargus virei Chevreux, 1896")</f>
        <v>Niphargus virei Chevreux, 1896</v>
      </c>
      <c r="Q8934" s="7" t="str">
        <f>HYPERLINK("#Liste_rouge!A"&amp;_xlfn.XMATCH("LC",Liste_rouge!A:A,2,1),"LC")</f>
        <v>LC</v>
      </c>
      <c r="AH8934" s="4" t="str">
        <f>HYPERLINK("#Statut_biogéographique!A"&amp;_xlfn.XMATCH("P",Statut_biogéographique!A:A,2,1),"P")</f>
        <v>P</v>
      </c>
      <c r="AP8934" s="4" t="s">
        <v>376</v>
      </c>
      <c r="AR8934" s="4" t="s">
        <v>377</v>
      </c>
    </row>
    <row r="8935" spans="1:44">
      <c r="A8935" s="4" t="s">
        <v>10753</v>
      </c>
      <c r="B8935" s="4">
        <v>1872</v>
      </c>
      <c r="D8935" s="5" t="s">
        <v>12133</v>
      </c>
      <c r="E8935" s="6" t="str">
        <f>HYPERLINK("https://inpn.mnhn.fr/espece/cd_nom/1872","Hahnia nava (Blackwall, 1841)")</f>
        <v>Hahnia nava (Blackwall, 1841)</v>
      </c>
      <c r="Q8935" s="7" t="str">
        <f>HYPERLINK("#Liste_rouge!A"&amp;_xlfn.XMATCH("LC",Liste_rouge!A:A,2,1),"LC")</f>
        <v>LC</v>
      </c>
      <c r="AH8935" s="4" t="str">
        <f>HYPERLINK("#Statut_biogéographique!A"&amp;_xlfn.XMATCH("P",Statut_biogéographique!A:A,2,1),"P")</f>
        <v>P</v>
      </c>
      <c r="AP8935" s="4" t="s">
        <v>376</v>
      </c>
      <c r="AR8935" s="4" t="s">
        <v>377</v>
      </c>
    </row>
    <row r="8936" spans="1:44">
      <c r="A8936" s="4" t="s">
        <v>10753</v>
      </c>
      <c r="B8936" s="4">
        <v>1874</v>
      </c>
      <c r="D8936" s="5">
        <v>1874</v>
      </c>
      <c r="E8936" s="6" t="str">
        <f>HYPERLINK("https://inpn.mnhn.fr/espece/cd_nom/1874","Hahnia pusilla C.L. Koch, 1841")</f>
        <v>Hahnia pusilla C.L. Koch, 1841</v>
      </c>
      <c r="Q8936" s="7" t="str">
        <f>HYPERLINK("#Liste_rouge!A"&amp;_xlfn.XMATCH("LC",Liste_rouge!A:A,2,1),"LC")</f>
        <v>LC</v>
      </c>
      <c r="AH8936" s="4" t="str">
        <f>HYPERLINK("#Statut_biogéographique!A"&amp;_xlfn.XMATCH("P",Statut_biogéographique!A:A,2,1),"P")</f>
        <v>P</v>
      </c>
      <c r="AP8936" s="4" t="s">
        <v>376</v>
      </c>
      <c r="AR8936" s="4" t="s">
        <v>377</v>
      </c>
    </row>
    <row r="8937" spans="1:44">
      <c r="A8937" s="4" t="s">
        <v>10753</v>
      </c>
      <c r="B8937" s="4">
        <v>1878</v>
      </c>
      <c r="D8937" s="5">
        <v>1878</v>
      </c>
      <c r="E8937" s="6" t="str">
        <f>HYPERLINK("https://inpn.mnhn.fr/espece/cd_nom/1878","Hahnia ononidum Simon, 1875")</f>
        <v>Hahnia ononidum Simon, 1875</v>
      </c>
      <c r="Q8937" s="7" t="str">
        <f>HYPERLINK("#Liste_rouge!A"&amp;_xlfn.XMATCH("LC",Liste_rouge!A:A,2,1),"LC")</f>
        <v>LC</v>
      </c>
      <c r="AH8937" s="4" t="str">
        <f>HYPERLINK("#Statut_biogéographique!A"&amp;_xlfn.XMATCH("P",Statut_biogéographique!A:A,2,1),"P")</f>
        <v>P</v>
      </c>
      <c r="AP8937" s="4" t="s">
        <v>376</v>
      </c>
      <c r="AR8937" s="4" t="s">
        <v>377</v>
      </c>
    </row>
    <row r="8938" spans="1:44">
      <c r="A8938" s="4" t="s">
        <v>10753</v>
      </c>
      <c r="B8938" s="4">
        <v>1882</v>
      </c>
      <c r="D8938" s="5" t="s">
        <v>12134</v>
      </c>
      <c r="E8938" s="6" t="str">
        <f>HYPERLINK("https://inpn.mnhn.fr/espece/cd_nom/1882","Pisaura mirabilis (Clerck, 1758)")</f>
        <v>Pisaura mirabilis (Clerck, 1758)</v>
      </c>
      <c r="F8938" s="5" t="s">
        <v>12135</v>
      </c>
      <c r="Q8938" s="7" t="str">
        <f>HYPERLINK("#Liste_rouge!A"&amp;_xlfn.XMATCH("LC",Liste_rouge!A:A,2,1),"LC")</f>
        <v>LC</v>
      </c>
      <c r="AH8938" s="4" t="str">
        <f>HYPERLINK("#Statut_biogéographique!A"&amp;_xlfn.XMATCH("P",Statut_biogéographique!A:A,2,1),"P")</f>
        <v>P</v>
      </c>
      <c r="AP8938" s="4" t="s">
        <v>376</v>
      </c>
      <c r="AR8938" s="4" t="s">
        <v>377</v>
      </c>
    </row>
    <row r="8939" spans="1:44">
      <c r="A8939" s="4" t="s">
        <v>10753</v>
      </c>
      <c r="B8939" s="4">
        <v>18820</v>
      </c>
      <c r="D8939" s="5" t="s">
        <v>12136</v>
      </c>
      <c r="E8939" s="6" t="str">
        <f>HYPERLINK("https://inpn.mnhn.fr/espece/cd_nom/18820","Porcellio scaber Latreille, 1804")</f>
        <v>Porcellio scaber Latreille, 1804</v>
      </c>
      <c r="AH8939" s="4" t="str">
        <f>HYPERLINK("#Statut_biogéographique!A"&amp;_xlfn.XMATCH("P",Statut_biogéographique!A:A,2,1),"P")</f>
        <v>P</v>
      </c>
      <c r="AP8939" s="4" t="s">
        <v>376</v>
      </c>
      <c r="AR8939" s="4" t="s">
        <v>377</v>
      </c>
    </row>
    <row r="8940" spans="1:44" ht="30">
      <c r="A8940" s="4" t="s">
        <v>10753</v>
      </c>
      <c r="B8940" s="4">
        <v>18829</v>
      </c>
      <c r="D8940" s="5" t="s">
        <v>12137</v>
      </c>
      <c r="E8940" s="6" t="str">
        <f>HYPERLINK("https://inpn.mnhn.fr/espece/cd_nom/18829","Armadillidium vulgare (Latreille, 1804)")</f>
        <v>Armadillidium vulgare (Latreille, 1804)</v>
      </c>
      <c r="F8940" s="5" t="s">
        <v>12138</v>
      </c>
      <c r="AH8940" s="4" t="str">
        <f>HYPERLINK("#Statut_biogéographique!A"&amp;_xlfn.XMATCH("P",Statut_biogéographique!A:A,2,1),"P")</f>
        <v>P</v>
      </c>
      <c r="AP8940" s="4" t="s">
        <v>376</v>
      </c>
      <c r="AR8940" s="4" t="s">
        <v>377</v>
      </c>
    </row>
    <row r="8941" spans="1:44">
      <c r="A8941" s="4" t="s">
        <v>10753</v>
      </c>
      <c r="B8941" s="4">
        <v>1884</v>
      </c>
      <c r="D8941" s="5" t="s">
        <v>12139</v>
      </c>
      <c r="E8941" s="6" t="str">
        <f>HYPERLINK("https://inpn.mnhn.fr/espece/cd_nom/1884","Dolomedes fimbriatus (Clerck, 1758)")</f>
        <v>Dolomedes fimbriatus (Clerck, 1758)</v>
      </c>
      <c r="F8941" s="5" t="s">
        <v>12140</v>
      </c>
      <c r="Q8941" s="7" t="str">
        <f>HYPERLINK("#Liste_rouge!A"&amp;_xlfn.XMATCH("LC",Liste_rouge!A:A,2,1),"LC")</f>
        <v>LC</v>
      </c>
      <c r="AH8941" s="4" t="str">
        <f>HYPERLINK("#Statut_biogéographique!A"&amp;_xlfn.XMATCH("P",Statut_biogéographique!A:A,2,1),"P")</f>
        <v>P</v>
      </c>
      <c r="AP8941" s="4" t="s">
        <v>376</v>
      </c>
      <c r="AR8941" s="4" t="s">
        <v>377</v>
      </c>
    </row>
    <row r="8942" spans="1:44">
      <c r="A8942" s="4" t="s">
        <v>10753</v>
      </c>
      <c r="B8942" s="4">
        <v>1885</v>
      </c>
      <c r="D8942" s="5" t="s">
        <v>12141</v>
      </c>
      <c r="E8942" s="6" t="str">
        <f>HYPERLINK("https://inpn.mnhn.fr/espece/cd_nom/1885","Dolomedes plantarius (Clerck, 1758)")</f>
        <v>Dolomedes plantarius (Clerck, 1758)</v>
      </c>
      <c r="O8942" s="7" t="str">
        <f>HYPERLINK("#Liste_rouge!A"&amp;_xlfn.XMATCH("VU",Liste_rouge!A:A,2,1),"VU")</f>
        <v>VU</v>
      </c>
      <c r="Q8942" s="7" t="str">
        <f>HYPERLINK("#Liste_rouge!A"&amp;_xlfn.XMATCH("EN",Liste_rouge!A:A,2,1),"EN")</f>
        <v>EN</v>
      </c>
      <c r="AE8942" s="4" t="str">
        <f>HYPERLINK("#SCAP!A"&amp;_xlfn.XMATCH("1-",SCAP!A:A,2,1),"1-")</f>
        <v>1-</v>
      </c>
      <c r="AH8942" s="4" t="str">
        <f>HYPERLINK("#Statut_biogéographique!A"&amp;_xlfn.XMATCH("P",Statut_biogéographique!A:A,2,1),"P")</f>
        <v>P</v>
      </c>
      <c r="AP8942" s="4" t="s">
        <v>376</v>
      </c>
      <c r="AR8942" s="4" t="s">
        <v>377</v>
      </c>
    </row>
    <row r="8943" spans="1:44">
      <c r="A8943" s="4" t="s">
        <v>10753</v>
      </c>
      <c r="B8943" s="4">
        <v>188651</v>
      </c>
      <c r="D8943" s="5">
        <v>188651</v>
      </c>
      <c r="E8943" s="6" t="str">
        <f>HYPERLINK("https://inpn.mnhn.fr/espece/cd_nom/188651","Trocheta falkneri Nesemann &amp; Neubert, 1996")</f>
        <v>Trocheta falkneri Nesemann &amp; Neubert, 1996</v>
      </c>
      <c r="AH8943" s="4" t="str">
        <f>HYPERLINK("#Statut_biogéographique!A"&amp;_xlfn.XMATCH("E",Statut_biogéographique!A:A,2,1),"E")</f>
        <v>E</v>
      </c>
      <c r="AP8943" s="4" t="s">
        <v>376</v>
      </c>
      <c r="AR8943" s="4" t="s">
        <v>377</v>
      </c>
    </row>
    <row r="8944" spans="1:44">
      <c r="A8944" s="4" t="s">
        <v>10753</v>
      </c>
      <c r="B8944" s="4">
        <v>188656</v>
      </c>
      <c r="D8944" s="5" t="s">
        <v>12142</v>
      </c>
      <c r="E8944" s="6" t="str">
        <f>HYPERLINK("https://inpn.mnhn.fr/espece/cd_nom/188656","Nathrius brevipennis (Mulsant, 1839)")</f>
        <v>Nathrius brevipennis (Mulsant, 1839)</v>
      </c>
      <c r="P8944" s="7" t="str">
        <f>HYPERLINK("#Liste_rouge!A"&amp;_xlfn.XMATCH("DD",Liste_rouge!A:A,2,1),"DD")</f>
        <v>DD</v>
      </c>
      <c r="AH8944" s="4" t="str">
        <f>HYPERLINK("#Statut_biogéographique!A"&amp;_xlfn.XMATCH("P",Statut_biogéographique!A:A,2,1),"P")</f>
        <v>P</v>
      </c>
      <c r="AP8944" s="4" t="s">
        <v>376</v>
      </c>
      <c r="AR8944" s="4" t="s">
        <v>377</v>
      </c>
    </row>
    <row r="8945" spans="1:44">
      <c r="A8945" s="4" t="s">
        <v>10753</v>
      </c>
      <c r="B8945" s="4">
        <v>18870</v>
      </c>
      <c r="D8945" s="5" t="s">
        <v>12143</v>
      </c>
      <c r="E8945" s="6" t="str">
        <f>HYPERLINK("https://inpn.mnhn.fr/espece/cd_nom/18870","Eupeodes latifasciatus (Macquart, 1829)")</f>
        <v>Eupeodes latifasciatus (Macquart, 1829)</v>
      </c>
      <c r="P8945" s="7" t="str">
        <f>HYPERLINK("#Liste_rouge!A"&amp;_xlfn.XMATCH("LC",Liste_rouge!A:A,2,1),"LC")</f>
        <v>LC</v>
      </c>
      <c r="AH8945" s="4" t="str">
        <f>HYPERLINK("#Statut_biogéographique!A"&amp;_xlfn.XMATCH("P",Statut_biogéographique!A:A,2,1),"P")</f>
        <v>P</v>
      </c>
      <c r="AP8945" s="4" t="s">
        <v>376</v>
      </c>
      <c r="AR8945" s="4" t="s">
        <v>377</v>
      </c>
    </row>
    <row r="8946" spans="1:44">
      <c r="A8946" s="4" t="s">
        <v>10753</v>
      </c>
      <c r="B8946" s="4">
        <v>18874</v>
      </c>
      <c r="D8946" s="5">
        <v>18874</v>
      </c>
      <c r="E8946" s="6" t="str">
        <f>HYPERLINK("https://inpn.mnhn.fr/espece/cd_nom/18874","Psilota anthracina Meigen, 1822")</f>
        <v>Psilota anthracina Meigen, 1822</v>
      </c>
      <c r="O8946" s="7" t="str">
        <f>HYPERLINK("#Liste_rouge!A"&amp;_xlfn.XMATCH("LC",Liste_rouge!A:A,2,1),"LC")</f>
        <v>LC</v>
      </c>
      <c r="P8946" s="7" t="str">
        <f>HYPERLINK("#Liste_rouge!A"&amp;_xlfn.XMATCH("LC",Liste_rouge!A:A,2,1),"LC")</f>
        <v>LC</v>
      </c>
      <c r="AH8946" s="4" t="str">
        <f>HYPERLINK("#Statut_biogéographique!A"&amp;_xlfn.XMATCH("P",Statut_biogéographique!A:A,2,1),"P")</f>
        <v>P</v>
      </c>
      <c r="AP8946" s="4" t="s">
        <v>376</v>
      </c>
      <c r="AR8946" s="4" t="s">
        <v>377</v>
      </c>
    </row>
    <row r="8947" spans="1:44">
      <c r="A8947" s="4" t="s">
        <v>10753</v>
      </c>
      <c r="B8947" s="4">
        <v>1890</v>
      </c>
      <c r="D8947" s="5" t="s">
        <v>12144</v>
      </c>
      <c r="E8947" s="6" t="str">
        <f>HYPERLINK("https://inpn.mnhn.fr/espece/cd_nom/1890","Hygrolycosa rubrofasciata (Ohlert, 1865)")</f>
        <v>Hygrolycosa rubrofasciata (Ohlert, 1865)</v>
      </c>
      <c r="Q8947" s="7" t="str">
        <f>HYPERLINK("#Liste_rouge!A"&amp;_xlfn.XMATCH("LC",Liste_rouge!A:A,2,1),"LC")</f>
        <v>LC</v>
      </c>
      <c r="AH8947" s="4" t="str">
        <f>HYPERLINK("#Statut_biogéographique!A"&amp;_xlfn.XMATCH("P",Statut_biogéographique!A:A,2,1),"P")</f>
        <v>P</v>
      </c>
      <c r="AP8947" s="4" t="s">
        <v>376</v>
      </c>
      <c r="AR8947" s="4" t="s">
        <v>377</v>
      </c>
    </row>
    <row r="8948" spans="1:44">
      <c r="A8948" s="4" t="s">
        <v>10753</v>
      </c>
      <c r="B8948" s="4">
        <v>1896</v>
      </c>
      <c r="D8948" s="5" t="s">
        <v>12145</v>
      </c>
      <c r="E8948" s="6" t="str">
        <f>HYPERLINK("https://inpn.mnhn.fr/espece/cd_nom/1896","Alopecosa cuneata (Clerck, 1758)")</f>
        <v>Alopecosa cuneata (Clerck, 1758)</v>
      </c>
      <c r="F8948" s="5" t="s">
        <v>12146</v>
      </c>
      <c r="Q8948" s="7" t="str">
        <f>HYPERLINK("#Liste_rouge!A"&amp;_xlfn.XMATCH("LC",Liste_rouge!A:A,2,1),"LC")</f>
        <v>LC</v>
      </c>
      <c r="AH8948" s="4" t="str">
        <f>HYPERLINK("#Statut_biogéographique!A"&amp;_xlfn.XMATCH("P",Statut_biogéographique!A:A,2,1),"P")</f>
        <v>P</v>
      </c>
      <c r="AP8948" s="4" t="s">
        <v>376</v>
      </c>
      <c r="AR8948" s="4" t="s">
        <v>377</v>
      </c>
    </row>
    <row r="8949" spans="1:44">
      <c r="A8949" s="4" t="s">
        <v>10753</v>
      </c>
      <c r="B8949" s="4">
        <v>1897</v>
      </c>
      <c r="D8949" s="5" t="s">
        <v>12147</v>
      </c>
      <c r="E8949" s="6" t="str">
        <f>HYPERLINK("https://inpn.mnhn.fr/espece/cd_nom/1897","Alopecosa pulverulenta (Clerck, 1758)")</f>
        <v>Alopecosa pulverulenta (Clerck, 1758)</v>
      </c>
      <c r="Q8949" s="7" t="str">
        <f>HYPERLINK("#Liste_rouge!A"&amp;_xlfn.XMATCH("LC",Liste_rouge!A:A,2,1),"LC")</f>
        <v>LC</v>
      </c>
      <c r="AH8949" s="4" t="str">
        <f>HYPERLINK("#Statut_biogéographique!A"&amp;_xlfn.XMATCH("P",Statut_biogéographique!A:A,2,1),"P")</f>
        <v>P</v>
      </c>
      <c r="AP8949" s="4" t="s">
        <v>376</v>
      </c>
      <c r="AR8949" s="4" t="s">
        <v>377</v>
      </c>
    </row>
    <row r="8950" spans="1:44" ht="30">
      <c r="A8950" s="4" t="s">
        <v>10753</v>
      </c>
      <c r="B8950" s="4">
        <v>19005</v>
      </c>
      <c r="D8950" s="5" t="s">
        <v>12148</v>
      </c>
      <c r="E8950" s="6" t="str">
        <f>HYPERLINK("https://inpn.mnhn.fr/espece/cd_nom/19005","Dictenidia bimaculata (Linnaeus, 1761)")</f>
        <v>Dictenidia bimaculata (Linnaeus, 1761)</v>
      </c>
      <c r="AH8950" s="4" t="str">
        <f>HYPERLINK("#Statut_biogéographique!A"&amp;_xlfn.XMATCH("P",Statut_biogéographique!A:A,2,1),"P")</f>
        <v>P</v>
      </c>
      <c r="AP8950" s="4" t="s">
        <v>376</v>
      </c>
      <c r="AR8950" s="4" t="s">
        <v>377</v>
      </c>
    </row>
    <row r="8951" spans="1:44">
      <c r="A8951" s="4" t="s">
        <v>10753</v>
      </c>
      <c r="B8951" s="4">
        <v>19019</v>
      </c>
      <c r="D8951" s="5" t="s">
        <v>12149</v>
      </c>
      <c r="E8951" s="6" t="str">
        <f>HYPERLINK("https://inpn.mnhn.fr/espece/cd_nom/19019","Nephrotoma analis (Schummel, 1833)")</f>
        <v>Nephrotoma analis (Schummel, 1833)</v>
      </c>
      <c r="AH8951" s="4" t="str">
        <f>HYPERLINK("#Statut_biogéographique!A"&amp;_xlfn.XMATCH("P",Statut_biogéographique!A:A,2,1),"P")</f>
        <v>P</v>
      </c>
      <c r="AP8951" s="4" t="s">
        <v>376</v>
      </c>
      <c r="AR8951" s="4" t="s">
        <v>377</v>
      </c>
    </row>
    <row r="8952" spans="1:44">
      <c r="A8952" s="4" t="s">
        <v>10753</v>
      </c>
      <c r="B8952" s="4">
        <v>19020</v>
      </c>
      <c r="D8952" s="5" t="s">
        <v>12150</v>
      </c>
      <c r="E8952" s="6" t="str">
        <f>HYPERLINK("https://inpn.mnhn.fr/espece/cd_nom/19020","Nephrotoma appendiculata (Pierre, 1919)")</f>
        <v>Nephrotoma appendiculata (Pierre, 1919)</v>
      </c>
      <c r="F8952" s="5" t="s">
        <v>12151</v>
      </c>
      <c r="AH8952" s="4" t="str">
        <f>HYPERLINK("#Statut_biogéographique!A"&amp;_xlfn.XMATCH("P",Statut_biogéographique!A:A,2,1),"P")</f>
        <v>P</v>
      </c>
      <c r="AP8952" s="4" t="s">
        <v>376</v>
      </c>
      <c r="AR8952" s="4" t="s">
        <v>377</v>
      </c>
    </row>
    <row r="8953" spans="1:44">
      <c r="A8953" s="4" t="s">
        <v>10753</v>
      </c>
      <c r="B8953" s="4">
        <v>19023</v>
      </c>
      <c r="D8953" s="5" t="s">
        <v>12152</v>
      </c>
      <c r="E8953" s="6" t="str">
        <f>HYPERLINK("https://inpn.mnhn.fr/espece/cd_nom/19023","Nephrotoma cornicina (Linnaeus, 1758)")</f>
        <v>Nephrotoma cornicina (Linnaeus, 1758)</v>
      </c>
      <c r="AH8953" s="4" t="str">
        <f>HYPERLINK("#Statut_biogéographique!A"&amp;_xlfn.XMATCH("P",Statut_biogéographique!A:A,2,1),"P")</f>
        <v>P</v>
      </c>
      <c r="AP8953" s="4" t="s">
        <v>376</v>
      </c>
      <c r="AR8953" s="4" t="s">
        <v>377</v>
      </c>
    </row>
    <row r="8954" spans="1:44">
      <c r="A8954" s="4" t="s">
        <v>10753</v>
      </c>
      <c r="B8954" s="4">
        <v>19034</v>
      </c>
      <c r="D8954" s="5" t="s">
        <v>12153</v>
      </c>
      <c r="E8954" s="6" t="str">
        <f>HYPERLINK("https://inpn.mnhn.fr/espece/cd_nom/19034","Nephrotoma dorsalis (Fabricius, 1781)")</f>
        <v>Nephrotoma dorsalis (Fabricius, 1781)</v>
      </c>
      <c r="AH8954" s="4" t="str">
        <f>HYPERLINK("#Statut_biogéographique!A"&amp;_xlfn.XMATCH("P",Statut_biogéographique!A:A,2,1),"P")</f>
        <v>P</v>
      </c>
      <c r="AP8954" s="4" t="s">
        <v>376</v>
      </c>
      <c r="AR8954" s="4" t="s">
        <v>377</v>
      </c>
    </row>
    <row r="8955" spans="1:44">
      <c r="A8955" s="4" t="s">
        <v>10753</v>
      </c>
      <c r="B8955" s="4">
        <v>19035</v>
      </c>
      <c r="D8955" s="5" t="s">
        <v>12154</v>
      </c>
      <c r="E8955" s="6" t="str">
        <f>HYPERLINK("https://inpn.mnhn.fr/espece/cd_nom/19035","Nephrotoma flavescens (Linnaeus, 1758)")</f>
        <v>Nephrotoma flavescens (Linnaeus, 1758)</v>
      </c>
      <c r="AH8955" s="4" t="str">
        <f>HYPERLINK("#Statut_biogéographique!A"&amp;_xlfn.XMATCH("P",Statut_biogéographique!A:A,2,1),"P")</f>
        <v>P</v>
      </c>
      <c r="AP8955" s="4" t="s">
        <v>376</v>
      </c>
      <c r="AR8955" s="4" t="s">
        <v>377</v>
      </c>
    </row>
    <row r="8956" spans="1:44">
      <c r="A8956" s="4" t="s">
        <v>10753</v>
      </c>
      <c r="B8956" s="4">
        <v>19038</v>
      </c>
      <c r="D8956" s="5" t="s">
        <v>12155</v>
      </c>
      <c r="E8956" s="6" t="str">
        <f>HYPERLINK("https://inpn.mnhn.fr/espece/cd_nom/19038","Nephrotoma flavipalpis (Meigen, 1830)")</f>
        <v>Nephrotoma flavipalpis (Meigen, 1830)</v>
      </c>
      <c r="AH8956" s="4" t="str">
        <f>HYPERLINK("#Statut_biogéographique!A"&amp;_xlfn.XMATCH("P",Statut_biogéographique!A:A,2,1),"P")</f>
        <v>P</v>
      </c>
      <c r="AP8956" s="4" t="s">
        <v>376</v>
      </c>
      <c r="AR8956" s="4" t="s">
        <v>377</v>
      </c>
    </row>
    <row r="8957" spans="1:44">
      <c r="A8957" s="4" t="s">
        <v>10753</v>
      </c>
      <c r="B8957" s="4">
        <v>19049</v>
      </c>
      <c r="D8957" s="5" t="s">
        <v>12156</v>
      </c>
      <c r="E8957" s="6" t="str">
        <f>HYPERLINK("https://inpn.mnhn.fr/espece/cd_nom/19049","Nephrotoma quadrifaria (Meigen, 1804)")</f>
        <v>Nephrotoma quadrifaria (Meigen, 1804)</v>
      </c>
      <c r="AH8957" s="4" t="str">
        <f>HYPERLINK("#Statut_biogéographique!A"&amp;_xlfn.XMATCH("P",Statut_biogéographique!A:A,2,1),"P")</f>
        <v>P</v>
      </c>
      <c r="AP8957" s="4" t="s">
        <v>376</v>
      </c>
      <c r="AR8957" s="4" t="s">
        <v>377</v>
      </c>
    </row>
    <row r="8958" spans="1:44">
      <c r="A8958" s="4" t="s">
        <v>10753</v>
      </c>
      <c r="B8958" s="4">
        <v>1905</v>
      </c>
      <c r="D8958" s="5" t="s">
        <v>12157</v>
      </c>
      <c r="E8958" s="6" t="str">
        <f>HYPERLINK("https://inpn.mnhn.fr/espece/cd_nom/1905","Arctosa leopardus (Sundevall, 1833)")</f>
        <v>Arctosa leopardus (Sundevall, 1833)</v>
      </c>
      <c r="Q8958" s="7" t="str">
        <f>HYPERLINK("#Liste_rouge!A"&amp;_xlfn.XMATCH("LC",Liste_rouge!A:A,2,1),"LC")</f>
        <v>LC</v>
      </c>
      <c r="AH8958" s="4" t="str">
        <f>HYPERLINK("#Statut_biogéographique!A"&amp;_xlfn.XMATCH("P",Statut_biogéographique!A:A,2,1),"P")</f>
        <v>P</v>
      </c>
      <c r="AP8958" s="4" t="s">
        <v>376</v>
      </c>
      <c r="AR8958" s="4" t="s">
        <v>377</v>
      </c>
    </row>
    <row r="8959" spans="1:44">
      <c r="A8959" s="4" t="s">
        <v>10753</v>
      </c>
      <c r="B8959" s="4">
        <v>19061</v>
      </c>
      <c r="D8959" s="5" t="s">
        <v>12158</v>
      </c>
      <c r="E8959" s="6" t="str">
        <f>HYPERLINK("https://inpn.mnhn.fr/espece/cd_nom/19061","Nigrotipula nigra (Linnaeus, 1758)")</f>
        <v>Nigrotipula nigra (Linnaeus, 1758)</v>
      </c>
      <c r="AH8959" s="4" t="str">
        <f>HYPERLINK("#Statut_biogéographique!A"&amp;_xlfn.XMATCH("P",Statut_biogéographique!A:A,2,1),"P")</f>
        <v>P</v>
      </c>
      <c r="AP8959" s="4" t="s">
        <v>376</v>
      </c>
      <c r="AR8959" s="4" t="s">
        <v>377</v>
      </c>
    </row>
    <row r="8960" spans="1:44">
      <c r="A8960" s="4" t="s">
        <v>10753</v>
      </c>
      <c r="B8960" s="4">
        <v>19074</v>
      </c>
      <c r="D8960" s="5" t="s">
        <v>12159</v>
      </c>
      <c r="E8960" s="6" t="str">
        <f>HYPERLINK("https://inpn.mnhn.fr/espece/cd_nom/19074","Tanyptera atrata (Linnaeus, 1758)")</f>
        <v>Tanyptera atrata (Linnaeus, 1758)</v>
      </c>
      <c r="AH8960" s="4" t="str">
        <f>HYPERLINK("#Statut_biogéographique!A"&amp;_xlfn.XMATCH("P",Statut_biogéographique!A:A,2,1),"P")</f>
        <v>P</v>
      </c>
      <c r="AP8960" s="4" t="s">
        <v>376</v>
      </c>
      <c r="AR8960" s="4" t="s">
        <v>377</v>
      </c>
    </row>
    <row r="8961" spans="1:44">
      <c r="A8961" s="4" t="s">
        <v>10753</v>
      </c>
      <c r="B8961" s="4">
        <v>1922</v>
      </c>
      <c r="D8961" s="5" t="s">
        <v>12160</v>
      </c>
      <c r="E8961" s="6" t="str">
        <f>HYPERLINK("https://inpn.mnhn.fr/espece/cd_nom/1922","Pardosa pullata (Clerck, 1758)")</f>
        <v>Pardosa pullata (Clerck, 1758)</v>
      </c>
      <c r="Q8961" s="7" t="str">
        <f>HYPERLINK("#Liste_rouge!A"&amp;_xlfn.XMATCH("LC",Liste_rouge!A:A,2,1),"LC")</f>
        <v>LC</v>
      </c>
      <c r="AH8961" s="4" t="str">
        <f>HYPERLINK("#Statut_biogéographique!A"&amp;_xlfn.XMATCH("P",Statut_biogéographique!A:A,2,1),"P")</f>
        <v>P</v>
      </c>
      <c r="AP8961" s="4" t="s">
        <v>376</v>
      </c>
      <c r="AR8961" s="4" t="s">
        <v>377</v>
      </c>
    </row>
    <row r="8962" spans="1:44">
      <c r="A8962" s="4" t="s">
        <v>10753</v>
      </c>
      <c r="B8962" s="4">
        <v>1923</v>
      </c>
      <c r="D8962" s="5" t="s">
        <v>12161</v>
      </c>
      <c r="E8962" s="6" t="str">
        <f>HYPERLINK("https://inpn.mnhn.fr/espece/cd_nom/1923","Pardosa amentata (Clerck, 1758)")</f>
        <v>Pardosa amentata (Clerck, 1758)</v>
      </c>
      <c r="Q8962" s="7" t="str">
        <f>HYPERLINK("#Liste_rouge!A"&amp;_xlfn.XMATCH("LC",Liste_rouge!A:A,2,1),"LC")</f>
        <v>LC</v>
      </c>
      <c r="AH8962" s="4" t="str">
        <f>HYPERLINK("#Statut_biogéographique!A"&amp;_xlfn.XMATCH("P",Statut_biogéographique!A:A,2,1),"P")</f>
        <v>P</v>
      </c>
      <c r="AP8962" s="4" t="s">
        <v>376</v>
      </c>
      <c r="AR8962" s="4" t="s">
        <v>377</v>
      </c>
    </row>
    <row r="8963" spans="1:44">
      <c r="A8963" s="4" t="s">
        <v>10753</v>
      </c>
      <c r="B8963" s="4">
        <v>1924</v>
      </c>
      <c r="D8963" s="5" t="s">
        <v>12162</v>
      </c>
      <c r="E8963" s="6" t="str">
        <f>HYPERLINK("https://inpn.mnhn.fr/espece/cd_nom/1924","Pardosa hortensis (Thorell, 1872)")</f>
        <v>Pardosa hortensis (Thorell, 1872)</v>
      </c>
      <c r="Q8963" s="7" t="str">
        <f>HYPERLINK("#Liste_rouge!A"&amp;_xlfn.XMATCH("LC",Liste_rouge!A:A,2,1),"LC")</f>
        <v>LC</v>
      </c>
      <c r="AH8963" s="4" t="str">
        <f>HYPERLINK("#Statut_biogéographique!A"&amp;_xlfn.XMATCH("P",Statut_biogéographique!A:A,2,1),"P")</f>
        <v>P</v>
      </c>
      <c r="AP8963" s="4" t="s">
        <v>376</v>
      </c>
      <c r="AR8963" s="4" t="s">
        <v>377</v>
      </c>
    </row>
    <row r="8964" spans="1:44">
      <c r="A8964" s="4" t="s">
        <v>10753</v>
      </c>
      <c r="B8964" s="4">
        <v>1928</v>
      </c>
      <c r="D8964" s="5" t="s">
        <v>12163</v>
      </c>
      <c r="E8964" s="6" t="str">
        <f>HYPERLINK("https://inpn.mnhn.fr/espece/cd_nom/1928","Pardosa monticola (Clerck, 1758)")</f>
        <v>Pardosa monticola (Clerck, 1758)</v>
      </c>
      <c r="Q8964" s="7" t="str">
        <f>HYPERLINK("#Liste_rouge!A"&amp;_xlfn.XMATCH("LC",Liste_rouge!A:A,2,1),"LC")</f>
        <v>LC</v>
      </c>
      <c r="AH8964" s="4" t="str">
        <f>HYPERLINK("#Statut_biogéographique!A"&amp;_xlfn.XMATCH("P",Statut_biogéographique!A:A,2,1),"P")</f>
        <v>P</v>
      </c>
      <c r="AP8964" s="4" t="s">
        <v>376</v>
      </c>
      <c r="AR8964" s="4" t="s">
        <v>377</v>
      </c>
    </row>
    <row r="8965" spans="1:44">
      <c r="A8965" s="4" t="s">
        <v>10753</v>
      </c>
      <c r="B8965" s="4">
        <v>1929</v>
      </c>
      <c r="D8965" s="5" t="s">
        <v>12164</v>
      </c>
      <c r="E8965" s="6" t="str">
        <f>HYPERLINK("https://inpn.mnhn.fr/espece/cd_nom/1929","Pardosa proxima (C.L. Koch, 1847)")</f>
        <v>Pardosa proxima (C.L. Koch, 1847)</v>
      </c>
      <c r="Q8965" s="7" t="str">
        <f>HYPERLINK("#Liste_rouge!A"&amp;_xlfn.XMATCH("LC",Liste_rouge!A:A,2,1),"LC")</f>
        <v>LC</v>
      </c>
      <c r="AH8965" s="4" t="str">
        <f>HYPERLINK("#Statut_biogéographique!A"&amp;_xlfn.XMATCH("P",Statut_biogéographique!A:A,2,1),"P")</f>
        <v>P</v>
      </c>
      <c r="AP8965" s="4" t="s">
        <v>376</v>
      </c>
      <c r="AR8965" s="4" t="s">
        <v>377</v>
      </c>
    </row>
    <row r="8966" spans="1:44">
      <c r="A8966" s="4" t="s">
        <v>10753</v>
      </c>
      <c r="B8966" s="4">
        <v>19299</v>
      </c>
      <c r="D8966" s="5" t="s">
        <v>12165</v>
      </c>
      <c r="E8966" s="6" t="str">
        <f>HYPERLINK("https://inpn.mnhn.fr/espece/cd_nom/19299","Ula mollissima Haliday, 1833")</f>
        <v>Ula mollissima Haliday, 1833</v>
      </c>
      <c r="AH8966" s="4" t="str">
        <f>HYPERLINK("#Statut_biogéographique!A"&amp;_xlfn.XMATCH("P",Statut_biogéographique!A:A,2,1),"P")</f>
        <v>P</v>
      </c>
      <c r="AP8966" s="4" t="s">
        <v>376</v>
      </c>
      <c r="AR8966" s="4" t="s">
        <v>377</v>
      </c>
    </row>
    <row r="8967" spans="1:44">
      <c r="A8967" s="4" t="s">
        <v>10753</v>
      </c>
      <c r="B8967" s="4">
        <v>1930</v>
      </c>
      <c r="D8967" s="5" t="s">
        <v>12166</v>
      </c>
      <c r="E8967" s="6" t="str">
        <f>HYPERLINK("https://inpn.mnhn.fr/espece/cd_nom/1930","Pardosa lugubris (Walckenaer, 1802)")</f>
        <v>Pardosa lugubris (Walckenaer, 1802)</v>
      </c>
      <c r="Q8967" s="7" t="str">
        <f>HYPERLINK("#Liste_rouge!A"&amp;_xlfn.XMATCH("LC",Liste_rouge!A:A,2,1),"LC")</f>
        <v>LC</v>
      </c>
      <c r="AH8967" s="4" t="str">
        <f>HYPERLINK("#Statut_biogéographique!A"&amp;_xlfn.XMATCH("P",Statut_biogéographique!A:A,2,1),"P")</f>
        <v>P</v>
      </c>
      <c r="AP8967" s="4" t="s">
        <v>376</v>
      </c>
      <c r="AR8967" s="4" t="s">
        <v>377</v>
      </c>
    </row>
    <row r="8968" spans="1:44">
      <c r="A8968" s="4" t="s">
        <v>10753</v>
      </c>
      <c r="B8968" s="4">
        <v>19317</v>
      </c>
      <c r="D8968" s="5" t="s">
        <v>12167</v>
      </c>
      <c r="E8968" s="6" t="str">
        <f>HYPERLINK("https://inpn.mnhn.fr/espece/cd_nom/19317","Dactylolabis sexmaculata (Macquart, 1826)")</f>
        <v>Dactylolabis sexmaculata (Macquart, 1826)</v>
      </c>
      <c r="AH8968" s="4" t="str">
        <f>HYPERLINK("#Statut_biogéographique!A"&amp;_xlfn.XMATCH("P",Statut_biogéographique!A:A,2,1),"P")</f>
        <v>P</v>
      </c>
      <c r="AP8968" s="4" t="s">
        <v>376</v>
      </c>
      <c r="AR8968" s="4" t="s">
        <v>377</v>
      </c>
    </row>
    <row r="8969" spans="1:44">
      <c r="A8969" s="4" t="s">
        <v>10753</v>
      </c>
      <c r="B8969" s="4">
        <v>19322</v>
      </c>
      <c r="D8969" s="5" t="s">
        <v>12168</v>
      </c>
      <c r="E8969" s="6" t="str">
        <f>HYPERLINK("https://inpn.mnhn.fr/espece/cd_nom/19322","Dactylolabis transversa (Meigen, 1804)")</f>
        <v>Dactylolabis transversa (Meigen, 1804)</v>
      </c>
      <c r="AH8969" s="4" t="str">
        <f>HYPERLINK("#Statut_biogéographique!A"&amp;_xlfn.XMATCH("P",Statut_biogéographique!A:A,2,1),"P")</f>
        <v>P</v>
      </c>
      <c r="AP8969" s="4" t="s">
        <v>376</v>
      </c>
      <c r="AR8969" s="4" t="s">
        <v>377</v>
      </c>
    </row>
    <row r="8970" spans="1:44">
      <c r="A8970" s="4" t="s">
        <v>10753</v>
      </c>
      <c r="B8970" s="4">
        <v>1933</v>
      </c>
      <c r="D8970" s="5" t="s">
        <v>12169</v>
      </c>
      <c r="E8970" s="6" t="str">
        <f>HYPERLINK("https://inpn.mnhn.fr/espece/cd_nom/1933","Pardosa nigriceps (Thorell, 1856)")</f>
        <v>Pardosa nigriceps (Thorell, 1856)</v>
      </c>
      <c r="Q8970" s="7" t="str">
        <f>HYPERLINK("#Liste_rouge!A"&amp;_xlfn.XMATCH("LC",Liste_rouge!A:A,2,1),"LC")</f>
        <v>LC</v>
      </c>
      <c r="AH8970" s="4" t="str">
        <f>HYPERLINK("#Statut_biogéographique!A"&amp;_xlfn.XMATCH("P",Statut_biogéographique!A:A,2,1),"P")</f>
        <v>P</v>
      </c>
      <c r="AP8970" s="4" t="s">
        <v>376</v>
      </c>
      <c r="AR8970" s="4" t="s">
        <v>377</v>
      </c>
    </row>
    <row r="8971" spans="1:44">
      <c r="A8971" s="4" t="s">
        <v>10753</v>
      </c>
      <c r="B8971" s="4">
        <v>19339</v>
      </c>
      <c r="D8971" s="5" t="s">
        <v>12170</v>
      </c>
      <c r="E8971" s="6" t="str">
        <f>HYPERLINK("https://inpn.mnhn.fr/espece/cd_nom/19339","Epiphragma ocellare (Linnaeus, 1761)")</f>
        <v>Epiphragma ocellare (Linnaeus, 1761)</v>
      </c>
      <c r="AH8971" s="4" t="str">
        <f>HYPERLINK("#Statut_biogéographique!A"&amp;_xlfn.XMATCH("P",Statut_biogéographique!A:A,2,1),"P")</f>
        <v>P</v>
      </c>
      <c r="AP8971" s="4" t="s">
        <v>376</v>
      </c>
      <c r="AR8971" s="4" t="s">
        <v>377</v>
      </c>
    </row>
    <row r="8972" spans="1:44">
      <c r="A8972" s="4" t="s">
        <v>10753</v>
      </c>
      <c r="B8972" s="4">
        <v>1941</v>
      </c>
      <c r="D8972" s="5">
        <v>1941</v>
      </c>
      <c r="E8972" s="6" t="str">
        <f>HYPERLINK("https://inpn.mnhn.fr/espece/cd_nom/1941","Trochosa terricola Thorell, 1856")</f>
        <v>Trochosa terricola Thorell, 1856</v>
      </c>
      <c r="F8972" s="5" t="s">
        <v>12171</v>
      </c>
      <c r="Q8972" s="7" t="str">
        <f>HYPERLINK("#Liste_rouge!A"&amp;_xlfn.XMATCH("LC",Liste_rouge!A:A,2,1),"LC")</f>
        <v>LC</v>
      </c>
      <c r="AH8972" s="4" t="str">
        <f>HYPERLINK("#Statut_biogéographique!A"&amp;_xlfn.XMATCH("P",Statut_biogéographique!A:A,2,1),"P")</f>
        <v>P</v>
      </c>
      <c r="AP8972" s="4" t="s">
        <v>376</v>
      </c>
      <c r="AR8972" s="4" t="s">
        <v>377</v>
      </c>
    </row>
    <row r="8973" spans="1:44" ht="30">
      <c r="A8973" s="4" t="s">
        <v>10753</v>
      </c>
      <c r="B8973" s="4">
        <v>1944</v>
      </c>
      <c r="D8973" s="5" t="s">
        <v>12172</v>
      </c>
      <c r="E8973" s="6" t="str">
        <f>HYPERLINK("https://inpn.mnhn.fr/espece/cd_nom/1944","Trochosa spinipalpis (F.O. Pickard-Cambridge, 1895)")</f>
        <v>Trochosa spinipalpis (F.O. Pickard-Cambridge, 1895)</v>
      </c>
      <c r="Q8973" s="7" t="str">
        <f>HYPERLINK("#Liste_rouge!A"&amp;_xlfn.XMATCH("LC",Liste_rouge!A:A,2,1),"LC")</f>
        <v>LC</v>
      </c>
      <c r="AE8973" s="4" t="str">
        <f>HYPERLINK("#SCAP!A"&amp;_xlfn.XMATCH("1-",SCAP!A:A,2,1),"1-")</f>
        <v>1-</v>
      </c>
      <c r="AG8973" s="4" t="str">
        <f>HYPERLINK("#SCAP!A"&amp;_xlfn.XMATCH("1-",SCAP!A:A,2,1),"1-")</f>
        <v>1-</v>
      </c>
      <c r="AH8973" s="4" t="str">
        <f>HYPERLINK("#Statut_biogéographique!A"&amp;_xlfn.XMATCH("P",Statut_biogéographique!A:A,2,1),"P")</f>
        <v>P</v>
      </c>
      <c r="AP8973" s="4" t="s">
        <v>376</v>
      </c>
      <c r="AR8973" s="4" t="s">
        <v>377</v>
      </c>
    </row>
    <row r="8974" spans="1:44">
      <c r="A8974" s="4" t="s">
        <v>10753</v>
      </c>
      <c r="B8974" s="4">
        <v>19456</v>
      </c>
      <c r="D8974" s="5" t="s">
        <v>12173</v>
      </c>
      <c r="E8974" s="6" t="str">
        <f>HYPERLINK("https://inpn.mnhn.fr/espece/cd_nom/19456","Prionolabis hospes (Egger, 1863)")</f>
        <v>Prionolabis hospes (Egger, 1863)</v>
      </c>
      <c r="AH8974" s="4" t="str">
        <f>HYPERLINK("#Statut_biogéographique!A"&amp;_xlfn.XMATCH("P",Statut_biogéographique!A:A,2,1),"P")</f>
        <v>P</v>
      </c>
      <c r="AP8974" s="4" t="s">
        <v>376</v>
      </c>
      <c r="AR8974" s="4" t="s">
        <v>377</v>
      </c>
    </row>
    <row r="8975" spans="1:44">
      <c r="A8975" s="4" t="s">
        <v>10753</v>
      </c>
      <c r="B8975" s="4">
        <v>19547</v>
      </c>
      <c r="D8975" s="5" t="s">
        <v>12174</v>
      </c>
      <c r="E8975" s="6" t="str">
        <f>HYPERLINK("https://inpn.mnhn.fr/espece/cd_nom/19547","Gonempeda flava (Schummel, 1829)")</f>
        <v>Gonempeda flava (Schummel, 1829)</v>
      </c>
      <c r="AH8975" s="4" t="str">
        <f>HYPERLINK("#Statut_biogéographique!A"&amp;_xlfn.XMATCH("P",Statut_biogéographique!A:A,2,1),"P")</f>
        <v>P</v>
      </c>
      <c r="AP8975" s="4" t="s">
        <v>376</v>
      </c>
      <c r="AR8975" s="4" t="s">
        <v>377</v>
      </c>
    </row>
    <row r="8976" spans="1:44">
      <c r="A8976" s="4" t="s">
        <v>10753</v>
      </c>
      <c r="B8976" s="4">
        <v>19700</v>
      </c>
      <c r="D8976" s="5" t="s">
        <v>12175</v>
      </c>
      <c r="E8976" s="6" t="str">
        <f>HYPERLINK("https://inpn.mnhn.fr/espece/cd_nom/19700","Antocha vitripennis (Meigen, 1830)")</f>
        <v>Antocha vitripennis (Meigen, 1830)</v>
      </c>
      <c r="AH8976" s="4" t="str">
        <f>HYPERLINK("#Statut_biogéographique!A"&amp;_xlfn.XMATCH("P",Statut_biogéographique!A:A,2,1),"P")</f>
        <v>P</v>
      </c>
      <c r="AP8976" s="4" t="s">
        <v>376</v>
      </c>
      <c r="AR8976" s="4" t="s">
        <v>377</v>
      </c>
    </row>
    <row r="8977" spans="1:44">
      <c r="A8977" s="4" t="s">
        <v>10753</v>
      </c>
      <c r="B8977" s="4">
        <v>19784</v>
      </c>
      <c r="D8977" s="5" t="s">
        <v>12176</v>
      </c>
      <c r="E8977" s="6" t="str">
        <f>HYPERLINK("https://inpn.mnhn.fr/espece/cd_nom/19784","Limonia flavipes (Fabricius, 1787)")</f>
        <v>Limonia flavipes (Fabricius, 1787)</v>
      </c>
      <c r="AH8977" s="4" t="str">
        <f>HYPERLINK("#Statut_biogéographique!A"&amp;_xlfn.XMATCH("P",Statut_biogéographique!A:A,2,1),"P")</f>
        <v>P</v>
      </c>
      <c r="AP8977" s="4" t="s">
        <v>376</v>
      </c>
      <c r="AR8977" s="4" t="s">
        <v>377</v>
      </c>
    </row>
    <row r="8978" spans="1:44">
      <c r="A8978" s="4" t="s">
        <v>10753</v>
      </c>
      <c r="B8978" s="4">
        <v>19798</v>
      </c>
      <c r="D8978" s="5" t="s">
        <v>12177</v>
      </c>
      <c r="E8978" s="6" t="str">
        <f>HYPERLINK("https://inpn.mnhn.fr/espece/cd_nom/19798","Limonia nigropunctata (Schummel, 1829)")</f>
        <v>Limonia nigropunctata (Schummel, 1829)</v>
      </c>
      <c r="AH8978" s="4" t="str">
        <f>HYPERLINK("#Statut_biogéographique!A"&amp;_xlfn.XMATCH("P",Statut_biogéographique!A:A,2,1),"P")</f>
        <v>P</v>
      </c>
      <c r="AP8978" s="4" t="s">
        <v>376</v>
      </c>
      <c r="AR8978" s="4" t="s">
        <v>377</v>
      </c>
    </row>
    <row r="8979" spans="1:44">
      <c r="A8979" s="4" t="s">
        <v>10753</v>
      </c>
      <c r="B8979" s="4">
        <v>19801</v>
      </c>
      <c r="D8979" s="5">
        <v>19801</v>
      </c>
      <c r="E8979" s="6" t="str">
        <f>HYPERLINK("https://inpn.mnhn.fr/espece/cd_nom/19801","Limonia nubeculosa Meigen, 1804")</f>
        <v>Limonia nubeculosa Meigen, 1804</v>
      </c>
      <c r="AH8979" s="4" t="str">
        <f>HYPERLINK("#Statut_biogéographique!A"&amp;_xlfn.XMATCH("P",Statut_biogéographique!A:A,2,1),"P")</f>
        <v>P</v>
      </c>
      <c r="AP8979" s="4" t="s">
        <v>376</v>
      </c>
      <c r="AR8979" s="4" t="s">
        <v>377</v>
      </c>
    </row>
    <row r="8980" spans="1:44">
      <c r="A8980" s="4" t="s">
        <v>10753</v>
      </c>
      <c r="B8980" s="4">
        <v>19805</v>
      </c>
      <c r="D8980" s="5" t="s">
        <v>12178</v>
      </c>
      <c r="E8980" s="6" t="str">
        <f>HYPERLINK("https://inpn.mnhn.fr/espece/cd_nom/19805","Limonia stigma (Meigen, 1818)")</f>
        <v>Limonia stigma (Meigen, 1818)</v>
      </c>
      <c r="AH8980" s="4" t="str">
        <f>HYPERLINK("#Statut_biogéographique!A"&amp;_xlfn.XMATCH("P",Statut_biogéographique!A:A,2,1),"P")</f>
        <v>P</v>
      </c>
      <c r="AP8980" s="4" t="s">
        <v>376</v>
      </c>
      <c r="AR8980" s="4" t="s">
        <v>377</v>
      </c>
    </row>
    <row r="8981" spans="1:44">
      <c r="A8981" s="4" t="s">
        <v>10753</v>
      </c>
      <c r="B8981" s="4">
        <v>19816</v>
      </c>
      <c r="D8981" s="5" t="s">
        <v>12179</v>
      </c>
      <c r="E8981" s="6" t="str">
        <f>HYPERLINK("https://inpn.mnhn.fr/espece/cd_nom/19816","Limonia phragmitidis (Schrank, 1781)")</f>
        <v>Limonia phragmitidis (Schrank, 1781)</v>
      </c>
      <c r="AH8981" s="4" t="str">
        <f>HYPERLINK("#Statut_biogéographique!A"&amp;_xlfn.XMATCH("P",Statut_biogéographique!A:A,2,1),"P")</f>
        <v>P</v>
      </c>
      <c r="AP8981" s="4" t="s">
        <v>376</v>
      </c>
      <c r="AR8981" s="4" t="s">
        <v>377</v>
      </c>
    </row>
    <row r="8982" spans="1:44">
      <c r="A8982" s="4" t="s">
        <v>10753</v>
      </c>
      <c r="B8982" s="4">
        <v>19820</v>
      </c>
      <c r="D8982" s="5" t="s">
        <v>12180</v>
      </c>
      <c r="E8982" s="6" t="str">
        <f>HYPERLINK("https://inpn.mnhn.fr/espece/cd_nom/19820","Metalimnobia bifasciata (Schrank, 1781)")</f>
        <v>Metalimnobia bifasciata (Schrank, 1781)</v>
      </c>
      <c r="AH8982" s="4" t="str">
        <f>HYPERLINK("#Statut_biogéographique!A"&amp;_xlfn.XMATCH("P",Statut_biogéographique!A:A,2,1),"P")</f>
        <v>P</v>
      </c>
      <c r="AP8982" s="4" t="s">
        <v>376</v>
      </c>
      <c r="AR8982" s="4" t="s">
        <v>377</v>
      </c>
    </row>
    <row r="8983" spans="1:44" ht="30">
      <c r="A8983" s="4" t="s">
        <v>10753</v>
      </c>
      <c r="B8983" s="4">
        <v>19822</v>
      </c>
      <c r="D8983" s="5" t="s">
        <v>12181</v>
      </c>
      <c r="E8983" s="6" t="str">
        <f>HYPERLINK("https://inpn.mnhn.fr/espece/cd_nom/19822","Metalimnobia quadrimaculata (Linnaeus, 1761)")</f>
        <v>Metalimnobia quadrimaculata (Linnaeus, 1761)</v>
      </c>
      <c r="AH8983" s="4" t="str">
        <f>HYPERLINK("#Statut_biogéographique!A"&amp;_xlfn.XMATCH("P",Statut_biogéographique!A:A,2,1),"P")</f>
        <v>P</v>
      </c>
      <c r="AP8983" s="4" t="s">
        <v>376</v>
      </c>
      <c r="AR8983" s="4" t="s">
        <v>377</v>
      </c>
    </row>
    <row r="8984" spans="1:44">
      <c r="A8984" s="4" t="s">
        <v>10753</v>
      </c>
      <c r="B8984" s="4">
        <v>19827</v>
      </c>
      <c r="D8984" s="5" t="s">
        <v>12182</v>
      </c>
      <c r="E8984" s="6" t="str">
        <f>HYPERLINK("https://inpn.mnhn.fr/espece/cd_nom/19827","Metalimnobia quadrinotata (Meigen, 1818)")</f>
        <v>Metalimnobia quadrinotata (Meigen, 1818)</v>
      </c>
      <c r="AH8984" s="4" t="str">
        <f>HYPERLINK("#Statut_biogéographique!A"&amp;_xlfn.XMATCH("P",Statut_biogéographique!A:A,2,1),"P")</f>
        <v>P</v>
      </c>
      <c r="AP8984" s="4" t="s">
        <v>376</v>
      </c>
      <c r="AR8984" s="4" t="s">
        <v>377</v>
      </c>
    </row>
    <row r="8985" spans="1:44">
      <c r="A8985" s="4" t="s">
        <v>10753</v>
      </c>
      <c r="B8985" s="4">
        <v>19835</v>
      </c>
      <c r="D8985" s="5" t="s">
        <v>12183</v>
      </c>
      <c r="E8985" s="6" t="str">
        <f>HYPERLINK("https://inpn.mnhn.fr/espece/cd_nom/19835","Rhipidia maculata Meigen, 1818")</f>
        <v>Rhipidia maculata Meigen, 1818</v>
      </c>
      <c r="AH8985" s="4" t="str">
        <f>HYPERLINK("#Statut_biogéographique!A"&amp;_xlfn.XMATCH("P",Statut_biogéographique!A:A,2,1),"P")</f>
        <v>P</v>
      </c>
      <c r="AP8985" s="4" t="s">
        <v>376</v>
      </c>
      <c r="AR8985" s="4" t="s">
        <v>377</v>
      </c>
    </row>
    <row r="8986" spans="1:44">
      <c r="A8986" s="4" t="s">
        <v>10753</v>
      </c>
      <c r="B8986" s="4">
        <v>19844</v>
      </c>
      <c r="D8986" s="5" t="s">
        <v>12184</v>
      </c>
      <c r="E8986" s="6" t="str">
        <f>HYPERLINK("https://inpn.mnhn.fr/espece/cd_nom/19844","Cylindrotoma distinctissima (Meigen, 1818)")</f>
        <v>Cylindrotoma distinctissima (Meigen, 1818)</v>
      </c>
      <c r="AH8986" s="4" t="str">
        <f>HYPERLINK("#Statut_biogéographique!A"&amp;_xlfn.XMATCH("P",Statut_biogéographique!A:A,2,1),"P")</f>
        <v>P</v>
      </c>
      <c r="AP8986" s="4" t="s">
        <v>376</v>
      </c>
      <c r="AR8986" s="4" t="s">
        <v>377</v>
      </c>
    </row>
    <row r="8987" spans="1:44">
      <c r="A8987" s="4" t="s">
        <v>10753</v>
      </c>
      <c r="B8987" s="4">
        <v>19873</v>
      </c>
      <c r="D8987" s="5" t="s">
        <v>12185</v>
      </c>
      <c r="E8987" s="6" t="str">
        <f>HYPERLINK("https://inpn.mnhn.fr/espece/cd_nom/19873","Ptychoptera contaminata (Linnaeus, 1758)")</f>
        <v>Ptychoptera contaminata (Linnaeus, 1758)</v>
      </c>
      <c r="AH8987" s="4" t="str">
        <f>HYPERLINK("#Statut_biogéographique!A"&amp;_xlfn.XMATCH("P",Statut_biogéographique!A:A,2,1),"P")</f>
        <v>P</v>
      </c>
      <c r="AP8987" s="4" t="s">
        <v>376</v>
      </c>
      <c r="AR8987" s="4" t="s">
        <v>377</v>
      </c>
    </row>
    <row r="8988" spans="1:44">
      <c r="A8988" s="4" t="s">
        <v>10753</v>
      </c>
      <c r="B8988" s="4">
        <v>19876</v>
      </c>
      <c r="D8988" s="5">
        <v>19876</v>
      </c>
      <c r="E8988" s="6" t="str">
        <f>HYPERLINK("https://inpn.mnhn.fr/espece/cd_nom/19876","Ptychoptera minuta Tonnoir, 1919")</f>
        <v>Ptychoptera minuta Tonnoir, 1919</v>
      </c>
      <c r="AH8988" s="4" t="str">
        <f>HYPERLINK("#Statut_biogéographique!A"&amp;_xlfn.XMATCH("P",Statut_biogéographique!A:A,2,1),"P")</f>
        <v>P</v>
      </c>
      <c r="AP8988" s="4" t="s">
        <v>376</v>
      </c>
      <c r="AR8988" s="4" t="s">
        <v>377</v>
      </c>
    </row>
    <row r="8989" spans="1:44">
      <c r="A8989" s="4" t="s">
        <v>10753</v>
      </c>
      <c r="B8989" s="4">
        <v>19877</v>
      </c>
      <c r="D8989" s="5" t="s">
        <v>12186</v>
      </c>
      <c r="E8989" s="6" t="str">
        <f>HYPERLINK("https://inpn.mnhn.fr/espece/cd_nom/19877","Ptychoptera paludosa Meigen, 1804")</f>
        <v>Ptychoptera paludosa Meigen, 1804</v>
      </c>
      <c r="AH8989" s="4" t="str">
        <f>HYPERLINK("#Statut_biogéographique!A"&amp;_xlfn.XMATCH("P",Statut_biogéographique!A:A,2,1),"P")</f>
        <v>P</v>
      </c>
      <c r="AP8989" s="4" t="s">
        <v>376</v>
      </c>
      <c r="AR8989" s="4" t="s">
        <v>377</v>
      </c>
    </row>
    <row r="8990" spans="1:44">
      <c r="A8990" s="4" t="s">
        <v>10753</v>
      </c>
      <c r="B8990" s="4">
        <v>19883</v>
      </c>
      <c r="D8990" s="5" t="s">
        <v>12187</v>
      </c>
      <c r="E8990" s="6" t="str">
        <f>HYPERLINK("https://inpn.mnhn.fr/espece/cd_nom/19883","Sycorax silacea Haliday in Curtis, 1839")</f>
        <v>Sycorax silacea Haliday in Curtis, 1839</v>
      </c>
      <c r="AH8990" s="4" t="str">
        <f>HYPERLINK("#Statut_biogéographique!A"&amp;_xlfn.XMATCH("P",Statut_biogéographique!A:A,2,1),"P")</f>
        <v>P</v>
      </c>
      <c r="AP8990" s="4" t="s">
        <v>376</v>
      </c>
      <c r="AR8990" s="4" t="s">
        <v>377</v>
      </c>
    </row>
    <row r="8991" spans="1:44">
      <c r="A8991" s="4" t="s">
        <v>10753</v>
      </c>
      <c r="B8991" s="4">
        <v>19894</v>
      </c>
      <c r="D8991" s="5" t="s">
        <v>12188</v>
      </c>
      <c r="E8991" s="6" t="str">
        <f>HYPERLINK("https://inpn.mnhn.fr/espece/cd_nom/19894","Clytocerus ocellaris (Meigen, 1818)")</f>
        <v>Clytocerus ocellaris (Meigen, 1818)</v>
      </c>
      <c r="AH8991" s="4" t="str">
        <f>HYPERLINK("#Statut_biogéographique!A"&amp;_xlfn.XMATCH("P",Statut_biogéographique!A:A,2,1),"P")</f>
        <v>P</v>
      </c>
      <c r="AP8991" s="4" t="s">
        <v>376</v>
      </c>
      <c r="AR8991" s="4" t="s">
        <v>377</v>
      </c>
    </row>
    <row r="8992" spans="1:44">
      <c r="A8992" s="4" t="s">
        <v>10753</v>
      </c>
      <c r="B8992" s="4">
        <v>19917</v>
      </c>
      <c r="D8992" s="5" t="s">
        <v>12189</v>
      </c>
      <c r="E8992" s="6" t="str">
        <f>HYPERLINK("https://inpn.mnhn.fr/espece/cd_nom/19917","Panimerus albifacies (Tonnoir, 1919)")</f>
        <v>Panimerus albifacies (Tonnoir, 1919)</v>
      </c>
      <c r="AH8992" s="4" t="str">
        <f>HYPERLINK("#Statut_biogéographique!A"&amp;_xlfn.XMATCH("P",Statut_biogéographique!A:A,2,1),"P")</f>
        <v>P</v>
      </c>
      <c r="AP8992" s="4" t="s">
        <v>376</v>
      </c>
      <c r="AR8992" s="4" t="s">
        <v>377</v>
      </c>
    </row>
    <row r="8993" spans="1:44">
      <c r="A8993" s="4" t="s">
        <v>10753</v>
      </c>
      <c r="B8993" s="4">
        <v>19919</v>
      </c>
      <c r="D8993" s="5" t="s">
        <v>12190</v>
      </c>
      <c r="E8993" s="6" t="str">
        <f>HYPERLINK("https://inpn.mnhn.fr/espece/cd_nom/19919","Panimerus maynei (Tonnoir, 1919)")</f>
        <v>Panimerus maynei (Tonnoir, 1919)</v>
      </c>
      <c r="AH8993" s="4" t="str">
        <f>HYPERLINK("#Statut_biogéographique!A"&amp;_xlfn.XMATCH("P",Statut_biogéographique!A:A,2,1),"P")</f>
        <v>P</v>
      </c>
      <c r="AP8993" s="4" t="s">
        <v>376</v>
      </c>
      <c r="AR8993" s="4" t="s">
        <v>377</v>
      </c>
    </row>
    <row r="8994" spans="1:44">
      <c r="A8994" s="4" t="s">
        <v>10753</v>
      </c>
      <c r="B8994" s="4">
        <v>19933</v>
      </c>
      <c r="D8994" s="5" t="s">
        <v>12191</v>
      </c>
      <c r="E8994" s="6" t="str">
        <f>HYPERLINK("https://inpn.mnhn.fr/espece/cd_nom/19933","Pericoma exquisita Eaton, 1893")</f>
        <v>Pericoma exquisita Eaton, 1893</v>
      </c>
      <c r="AH8994" s="4" t="str">
        <f>HYPERLINK("#Statut_biogéographique!A"&amp;_xlfn.XMATCH("P",Statut_biogéographique!A:A,2,1),"P")</f>
        <v>P</v>
      </c>
      <c r="AP8994" s="4" t="s">
        <v>376</v>
      </c>
      <c r="AR8994" s="4" t="s">
        <v>377</v>
      </c>
    </row>
    <row r="8995" spans="1:44">
      <c r="A8995" s="4" t="s">
        <v>10753</v>
      </c>
      <c r="B8995" s="4">
        <v>19935</v>
      </c>
      <c r="D8995" s="5" t="s">
        <v>12192</v>
      </c>
      <c r="E8995" s="6" t="str">
        <f>HYPERLINK("https://inpn.mnhn.fr/espece/cd_nom/19935","Pericoma pseudoexquisita Tonnoir, 1940")</f>
        <v>Pericoma pseudoexquisita Tonnoir, 1940</v>
      </c>
      <c r="AH8995" s="4" t="str">
        <f>HYPERLINK("#Statut_biogéographique!A"&amp;_xlfn.XMATCH("P",Statut_biogéographique!A:A,2,1),"P")</f>
        <v>P</v>
      </c>
      <c r="AP8995" s="4" t="s">
        <v>376</v>
      </c>
      <c r="AR8995" s="4" t="s">
        <v>377</v>
      </c>
    </row>
    <row r="8996" spans="1:44">
      <c r="A8996" s="4" t="s">
        <v>10753</v>
      </c>
      <c r="B8996" s="4">
        <v>19947</v>
      </c>
      <c r="D8996" s="5" t="s">
        <v>12193</v>
      </c>
      <c r="E8996" s="6" t="str">
        <f>HYPERLINK("https://inpn.mnhn.fr/espece/cd_nom/19947","Philosepedon humeralis (Meigen, 1818)")</f>
        <v>Philosepedon humeralis (Meigen, 1818)</v>
      </c>
      <c r="AH8996" s="4" t="str">
        <f>HYPERLINK("#Statut_biogéographique!A"&amp;_xlfn.XMATCH("P",Statut_biogéographique!A:A,2,1),"P")</f>
        <v>P</v>
      </c>
      <c r="AP8996" s="4" t="s">
        <v>376</v>
      </c>
      <c r="AR8996" s="4" t="s">
        <v>377</v>
      </c>
    </row>
    <row r="8997" spans="1:44">
      <c r="A8997" s="4" t="s">
        <v>10753</v>
      </c>
      <c r="B8997" s="4">
        <v>19953</v>
      </c>
      <c r="D8997" s="5" t="s">
        <v>12194</v>
      </c>
      <c r="E8997" s="6" t="str">
        <f>HYPERLINK("https://inpn.mnhn.fr/espece/cd_nom/19953","Psychoda phalaenoides (Linnaeus, 1758)")</f>
        <v>Psychoda phalaenoides (Linnaeus, 1758)</v>
      </c>
      <c r="AH8997" s="4" t="str">
        <f>HYPERLINK("#Statut_biogéographique!A"&amp;_xlfn.XMATCH("P",Statut_biogéographique!A:A,2,1),"P")</f>
        <v>P</v>
      </c>
      <c r="AP8997" s="4" t="s">
        <v>376</v>
      </c>
      <c r="AR8997" s="4" t="s">
        <v>377</v>
      </c>
    </row>
    <row r="8998" spans="1:44" ht="30">
      <c r="A8998" s="4" t="s">
        <v>10753</v>
      </c>
      <c r="B8998" s="4">
        <v>199682</v>
      </c>
      <c r="D8998" s="5" t="s">
        <v>12195</v>
      </c>
      <c r="E8998" s="6" t="str">
        <f>HYPERLINK("https://inpn.mnhn.fr/espece/cd_nom/199682","Onychogomphus forcipatus forcipatus (Linnaeus, 1758)")</f>
        <v>Onychogomphus forcipatus forcipatus (Linnaeus, 1758)</v>
      </c>
      <c r="F8998" s="5" t="s">
        <v>12196</v>
      </c>
      <c r="T8998" s="7" t="str">
        <f>HYPERLINK("#Liste_rouge!A"&amp;_xlfn.XMATCH("LC",Liste_rouge!A:A,2,1),"LC")</f>
        <v>LC</v>
      </c>
      <c r="AH8998" s="4" t="str">
        <f>HYPERLINK("#Statut_biogéographique!A"&amp;_xlfn.XMATCH("P",Statut_biogéographique!A:A,2,1),"P")</f>
        <v>P</v>
      </c>
      <c r="AP8998" s="4" t="s">
        <v>376</v>
      </c>
      <c r="AR8998" s="4" t="s">
        <v>377</v>
      </c>
    </row>
    <row r="8999" spans="1:44">
      <c r="A8999" s="4" t="s">
        <v>10753</v>
      </c>
      <c r="B8999" s="4">
        <v>199685</v>
      </c>
      <c r="D8999" s="5" t="s">
        <v>12197</v>
      </c>
      <c r="E8999" s="6" t="str">
        <f>HYPERLINK("https://inpn.mnhn.fr/espece/cd_nom/199685","Cordulegaster bidentata Selys, 1843")</f>
        <v>Cordulegaster bidentata Selys, 1843</v>
      </c>
      <c r="F8999" s="5" t="s">
        <v>12198</v>
      </c>
      <c r="O8999" s="7" t="str">
        <f>HYPERLINK("#Liste_rouge!A"&amp;_xlfn.XMATCH("NT",Liste_rouge!A:A,2,1),"NT")</f>
        <v>NT</v>
      </c>
      <c r="P8999" s="7" t="str">
        <f>HYPERLINK("#Liste_rouge!A"&amp;_xlfn.XMATCH("NT",Liste_rouge!A:A,2,1),"NT")</f>
        <v>NT</v>
      </c>
      <c r="Q8999" s="7" t="str">
        <f>HYPERLINK("#Liste_rouge!A"&amp;_xlfn.XMATCH("LC",Liste_rouge!A:A,2,1),"LC")</f>
        <v>LC</v>
      </c>
      <c r="T8999" s="7" t="str">
        <f>HYPERLINK("#Liste_rouge!A"&amp;_xlfn.XMATCH("NT",Liste_rouge!A:A,2,1),"NT")</f>
        <v>NT</v>
      </c>
      <c r="V8999" s="7" t="str">
        <f>HYPERLINK("#Liste_rouge!A"&amp;_xlfn.XMATCH("VU",Liste_rouge!A:A,2,1),"VU")</f>
        <v>VU</v>
      </c>
      <c r="W8999" s="4" t="str">
        <f>HYPERLINK("#Critères_liste_rouge!A$1","B2ab(iii,iv)")</f>
        <v>B2ab(iii,iv)</v>
      </c>
      <c r="X8999" s="5" t="s">
        <v>374</v>
      </c>
      <c r="AE8999" s="4" t="str">
        <f>HYPERLINK("#SCAP!A"&amp;_xlfn.XMATCH("A",SCAP!A:A,2,1),"A")</f>
        <v>A</v>
      </c>
      <c r="AH8999" s="4" t="str">
        <f>HYPERLINK("#Statut_biogéographique!A"&amp;_xlfn.XMATCH("P",Statut_biogéographique!A:A,2,1),"P")</f>
        <v>P</v>
      </c>
      <c r="AM8999" s="4" t="s">
        <v>375</v>
      </c>
      <c r="AN8999" s="4" t="s">
        <v>375</v>
      </c>
      <c r="AO8999" s="4" t="s">
        <v>375</v>
      </c>
      <c r="AP8999" s="4" t="s">
        <v>376</v>
      </c>
      <c r="AR8999" s="4" t="s">
        <v>377</v>
      </c>
    </row>
    <row r="9000" spans="1:44" ht="30">
      <c r="A9000" s="4" t="s">
        <v>10753</v>
      </c>
      <c r="B9000" s="4">
        <v>199686</v>
      </c>
      <c r="D9000" s="5">
        <v>199686</v>
      </c>
      <c r="E9000" s="6" t="str">
        <f>HYPERLINK("https://inpn.mnhn.fr/espece/cd_nom/199686","Cordulegaster boltonii boltonii (Donovan, 1807)")</f>
        <v>Cordulegaster boltonii boltonii (Donovan, 1807)</v>
      </c>
      <c r="F9000" s="5" t="s">
        <v>12199</v>
      </c>
      <c r="T9000" s="7" t="str">
        <f>HYPERLINK("#Liste_rouge!A"&amp;_xlfn.XMATCH("LC",Liste_rouge!A:A,2,1),"LC")</f>
        <v>LC</v>
      </c>
      <c r="AH9000" s="4" t="str">
        <f>HYPERLINK("#Statut_biogéographique!A"&amp;_xlfn.XMATCH("P",Statut_biogéographique!A:A,2,1),"P")</f>
        <v>P</v>
      </c>
      <c r="AP9000" s="4" t="s">
        <v>376</v>
      </c>
      <c r="AR9000" s="4" t="s">
        <v>377</v>
      </c>
    </row>
    <row r="9001" spans="1:44" ht="30">
      <c r="A9001" s="4" t="s">
        <v>10753</v>
      </c>
      <c r="B9001" s="4">
        <v>199690</v>
      </c>
      <c r="D9001" s="5">
        <v>199690</v>
      </c>
      <c r="E9001" s="6" t="str">
        <f>HYPERLINK("https://inpn.mnhn.fr/espece/cd_nom/199690","Orthetrum coerulescens coerulescens (Fabricius, 1798)")</f>
        <v>Orthetrum coerulescens coerulescens (Fabricius, 1798)</v>
      </c>
      <c r="F9001" s="5" t="s">
        <v>12200</v>
      </c>
      <c r="T9001" s="7" t="str">
        <f>HYPERLINK("#Liste_rouge!A"&amp;_xlfn.XMATCH("LC",Liste_rouge!A:A,2,1),"LC")</f>
        <v>LC</v>
      </c>
      <c r="AH9001" s="4" t="str">
        <f>HYPERLINK("#Statut_biogéographique!A"&amp;_xlfn.XMATCH("P",Statut_biogéographique!A:A,2,1),"P")</f>
        <v>P</v>
      </c>
      <c r="AP9001" s="4" t="s">
        <v>376</v>
      </c>
      <c r="AR9001" s="4" t="s">
        <v>377</v>
      </c>
    </row>
    <row r="9002" spans="1:44" ht="30">
      <c r="A9002" s="4" t="s">
        <v>10753</v>
      </c>
      <c r="B9002" s="4">
        <v>199694</v>
      </c>
      <c r="D9002" s="5" t="s">
        <v>12201</v>
      </c>
      <c r="E9002" s="6" t="str">
        <f>HYPERLINK("https://inpn.mnhn.fr/espece/cd_nom/199694","Cordulegaster boltonii (Donovan, 1807)")</f>
        <v>Cordulegaster boltonii (Donovan, 1807)</v>
      </c>
      <c r="F9002" s="5" t="s">
        <v>12202</v>
      </c>
      <c r="O9002" s="7" t="str">
        <f>HYPERLINK("#Liste_rouge!A"&amp;_xlfn.XMATCH("LC",Liste_rouge!A:A,2,1),"LC")</f>
        <v>LC</v>
      </c>
      <c r="P9002" s="7" t="str">
        <f>HYPERLINK("#Liste_rouge!A"&amp;_xlfn.XMATCH("LC",Liste_rouge!A:A,2,1),"LC")</f>
        <v>LC</v>
      </c>
      <c r="Q9002" s="7" t="str">
        <f>HYPERLINK("#Liste_rouge!A"&amp;_xlfn.XMATCH("LC",Liste_rouge!A:A,2,1),"LC")</f>
        <v>LC</v>
      </c>
      <c r="V9002" s="7" t="str">
        <f>HYPERLINK("#Liste_rouge!A"&amp;_xlfn.XMATCH("LC",Liste_rouge!A:A,2,1),"LC")</f>
        <v>LC</v>
      </c>
      <c r="X9002" s="5" t="s">
        <v>398</v>
      </c>
      <c r="AH9002" s="4" t="str">
        <f>HYPERLINK("#Statut_biogéographique!A"&amp;_xlfn.XMATCH("P",Statut_biogéographique!A:A,2,1),"P")</f>
        <v>P</v>
      </c>
      <c r="AM9002" s="4" t="s">
        <v>375</v>
      </c>
      <c r="AN9002" s="4" t="s">
        <v>375</v>
      </c>
      <c r="AO9002" s="4" t="s">
        <v>375</v>
      </c>
      <c r="AP9002" s="4" t="s">
        <v>376</v>
      </c>
      <c r="AR9002" s="4" t="s">
        <v>377</v>
      </c>
    </row>
    <row r="9003" spans="1:44" ht="30">
      <c r="A9003" s="4" t="s">
        <v>10753</v>
      </c>
      <c r="B9003" s="4">
        <v>199813</v>
      </c>
      <c r="D9003" s="5" t="s">
        <v>12203</v>
      </c>
      <c r="E9003" s="6" t="str">
        <f>HYPERLINK("https://inpn.mnhn.fr/espece/cd_nom/199813","Formica lugubris Zetterstedt, 1838")</f>
        <v>Formica lugubris Zetterstedt, 1838</v>
      </c>
      <c r="AH9003" s="4" t="str">
        <f>HYPERLINK("#Statut_biogéographique!A"&amp;_xlfn.XMATCH("P",Statut_biogéographique!A:A,2,1),"P")</f>
        <v>P</v>
      </c>
      <c r="AP9003" s="4" t="s">
        <v>376</v>
      </c>
      <c r="AR9003" s="4" t="s">
        <v>377</v>
      </c>
    </row>
    <row r="9004" spans="1:44">
      <c r="A9004" s="4" t="s">
        <v>10753</v>
      </c>
      <c r="B9004" s="4">
        <v>199814</v>
      </c>
      <c r="D9004" s="5" t="s">
        <v>12204</v>
      </c>
      <c r="E9004" s="6" t="str">
        <f>HYPERLINK("https://inpn.mnhn.fr/espece/cd_nom/199814","Formica polyctena Förster, 1850")</f>
        <v>Formica polyctena Förster, 1850</v>
      </c>
      <c r="AH9004" s="4" t="str">
        <f>HYPERLINK("#Statut_biogéographique!A"&amp;_xlfn.XMATCH("P",Statut_biogéographique!A:A,2,1),"P")</f>
        <v>P</v>
      </c>
      <c r="AP9004" s="4" t="s">
        <v>376</v>
      </c>
      <c r="AR9004" s="4" t="s">
        <v>377</v>
      </c>
    </row>
    <row r="9005" spans="1:44">
      <c r="A9005" s="4" t="s">
        <v>10753</v>
      </c>
      <c r="B9005" s="4">
        <v>199816</v>
      </c>
      <c r="D9005" s="5" t="s">
        <v>12205</v>
      </c>
      <c r="E9005" s="6" t="str">
        <f>HYPERLINK("https://inpn.mnhn.fr/espece/cd_nom/199816","Formicoxenus nitidulus (Nylander, 1846)")</f>
        <v>Formicoxenus nitidulus (Nylander, 1846)</v>
      </c>
      <c r="O9005" s="7" t="str">
        <f>HYPERLINK("#Liste_rouge!A"&amp;_xlfn.XMATCH("VU",Liste_rouge!A:A,2,1),"VU")</f>
        <v>VU</v>
      </c>
      <c r="AH9005" s="4" t="str">
        <f>HYPERLINK("#Statut_biogéographique!A"&amp;_xlfn.XMATCH("P",Statut_biogéographique!A:A,2,1),"P")</f>
        <v>P</v>
      </c>
      <c r="AP9005" s="4" t="s">
        <v>376</v>
      </c>
      <c r="AR9005" s="4" t="s">
        <v>377</v>
      </c>
    </row>
    <row r="9006" spans="1:44" ht="90">
      <c r="A9006" s="4" t="s">
        <v>10753</v>
      </c>
      <c r="B9006" s="4">
        <v>199830</v>
      </c>
      <c r="D9006" s="5" t="s">
        <v>12206</v>
      </c>
      <c r="E9006" s="6" t="str">
        <f>HYPERLINK("https://inpn.mnhn.fr/espece/cd_nom/199830","Abida secale (Draparnaud, 1801)")</f>
        <v>Abida secale (Draparnaud, 1801)</v>
      </c>
      <c r="F9006" s="5" t="s">
        <v>11841</v>
      </c>
      <c r="O9006" s="7" t="str">
        <f>HYPERLINK("#Liste_rouge!A"&amp;_xlfn.XMATCH("LC",Liste_rouge!A:A,2,1),"LC")</f>
        <v>LC</v>
      </c>
      <c r="P9006" s="7" t="str">
        <f>HYPERLINK("#Liste_rouge!A"&amp;_xlfn.XMATCH("LC",Liste_rouge!A:A,2,1),"LC")</f>
        <v>LC</v>
      </c>
      <c r="Q9006" s="7" t="str">
        <f>HYPERLINK("#Liste_rouge!A"&amp;_xlfn.XMATCH("LC",Liste_rouge!A:A,2,1),"LC")</f>
        <v>LC</v>
      </c>
      <c r="AH9006" s="4" t="str">
        <f>HYPERLINK("#Statut_biogéographique!A"&amp;_xlfn.XMATCH("P",Statut_biogéographique!A:A,2,1),"P")</f>
        <v>P</v>
      </c>
      <c r="AM9006" s="4" t="s">
        <v>375</v>
      </c>
      <c r="AN9006" s="4" t="s">
        <v>375</v>
      </c>
      <c r="AO9006" s="4" t="s">
        <v>375</v>
      </c>
      <c r="AP9006" s="4" t="s">
        <v>376</v>
      </c>
      <c r="AR9006" s="4" t="s">
        <v>377</v>
      </c>
    </row>
    <row r="9007" spans="1:44" ht="30">
      <c r="A9007" s="4" t="s">
        <v>10753</v>
      </c>
      <c r="B9007" s="4">
        <v>199832</v>
      </c>
      <c r="D9007" s="5" t="s">
        <v>12207</v>
      </c>
      <c r="E9007" s="6" t="str">
        <f>HYPERLINK("https://inpn.mnhn.fr/espece/cd_nom/199832","Acicula lineata (Draparnaud, 1801)")</f>
        <v>Acicula lineata (Draparnaud, 1801)</v>
      </c>
      <c r="F9007" s="5" t="s">
        <v>11766</v>
      </c>
      <c r="O9007" s="7" t="str">
        <f>HYPERLINK("#Liste_rouge!A"&amp;_xlfn.XMATCH("LC",Liste_rouge!A:A,2,1),"LC")</f>
        <v>LC</v>
      </c>
      <c r="P9007" s="7" t="str">
        <f>HYPERLINK("#Liste_rouge!A"&amp;_xlfn.XMATCH("LC",Liste_rouge!A:A,2,1),"LC")</f>
        <v>LC</v>
      </c>
      <c r="Q9007" s="7" t="str">
        <f>HYPERLINK("#Liste_rouge!A"&amp;_xlfn.XMATCH("LC",Liste_rouge!A:A,2,1),"LC")</f>
        <v>LC</v>
      </c>
      <c r="AH9007" s="4" t="str">
        <f>HYPERLINK("#Statut_biogéographique!A"&amp;_xlfn.XMATCH("P",Statut_biogéographique!A:A,2,1),"P")</f>
        <v>P</v>
      </c>
      <c r="AM9007" s="4" t="s">
        <v>375</v>
      </c>
      <c r="AN9007" s="4" t="s">
        <v>375</v>
      </c>
      <c r="AO9007" s="4" t="s">
        <v>375</v>
      </c>
      <c r="AP9007" s="4" t="s">
        <v>376</v>
      </c>
      <c r="AR9007" s="4" t="s">
        <v>377</v>
      </c>
    </row>
    <row r="9008" spans="1:44">
      <c r="A9008" s="4" t="s">
        <v>10753</v>
      </c>
      <c r="B9008" s="4">
        <v>199840</v>
      </c>
      <c r="D9008" s="5" t="s">
        <v>12208</v>
      </c>
      <c r="E9008" s="6" t="str">
        <f>HYPERLINK("https://inpn.mnhn.fr/espece/cd_nom/199840","Bythiospeum charpyi (Paladilhe, 1867)")</f>
        <v>Bythiospeum charpyi (Paladilhe, 1867)</v>
      </c>
      <c r="F9008" s="5" t="s">
        <v>11773</v>
      </c>
      <c r="O9008" s="7" t="str">
        <f>HYPERLINK("#Liste_rouge!A"&amp;_xlfn.XMATCH("LC",Liste_rouge!A:A,2,1),"LC")</f>
        <v>LC</v>
      </c>
      <c r="P9008" s="7" t="str">
        <f>HYPERLINK("#Liste_rouge!A"&amp;_xlfn.XMATCH("LC",Liste_rouge!A:A,2,1),"LC")</f>
        <v>LC</v>
      </c>
      <c r="Q9008" s="7" t="str">
        <f>HYPERLINK("#Liste_rouge!A"&amp;_xlfn.XMATCH("DD",Liste_rouge!A:A,2,1),"DD")</f>
        <v>DD</v>
      </c>
      <c r="AH9008" s="4" t="str">
        <f>HYPERLINK("#Statut_biogéographique!A"&amp;_xlfn.XMATCH("P",Statut_biogéographique!A:A,2,1),"P")</f>
        <v>P</v>
      </c>
      <c r="AM9008" s="4" t="s">
        <v>375</v>
      </c>
      <c r="AN9008" s="4" t="s">
        <v>375</v>
      </c>
      <c r="AO9008" s="4" t="s">
        <v>375</v>
      </c>
      <c r="AP9008" s="4" t="s">
        <v>376</v>
      </c>
      <c r="AR9008" s="4" t="s">
        <v>377</v>
      </c>
    </row>
    <row r="9009" spans="1:44" ht="75">
      <c r="A9009" s="4" t="s">
        <v>10753</v>
      </c>
      <c r="B9009" s="4">
        <v>199848</v>
      </c>
      <c r="D9009" s="5" t="s">
        <v>12209</v>
      </c>
      <c r="E9009" s="6" t="str">
        <f>HYPERLINK("https://inpn.mnhn.fr/espece/cd_nom/199848","Chondrina avenacea (Bruguière, 1792)")</f>
        <v>Chondrina avenacea (Bruguière, 1792)</v>
      </c>
      <c r="F9009" s="5" t="s">
        <v>11842</v>
      </c>
      <c r="O9009" s="7" t="str">
        <f>HYPERLINK("#Liste_rouge!A"&amp;_xlfn.XMATCH("LC",Liste_rouge!A:A,2,1),"LC")</f>
        <v>LC</v>
      </c>
      <c r="P9009" s="7" t="str">
        <f>HYPERLINK("#Liste_rouge!A"&amp;_xlfn.XMATCH("LC",Liste_rouge!A:A,2,1),"LC")</f>
        <v>LC</v>
      </c>
      <c r="Q9009" s="7" t="str">
        <f>HYPERLINK("#Liste_rouge!A"&amp;_xlfn.XMATCH("LC",Liste_rouge!A:A,2,1),"LC")</f>
        <v>LC</v>
      </c>
      <c r="AH9009" s="4" t="str">
        <f>HYPERLINK("#Statut_biogéographique!A"&amp;_xlfn.XMATCH("P",Statut_biogéographique!A:A,2,1),"P")</f>
        <v>P</v>
      </c>
      <c r="AM9009" s="4" t="s">
        <v>375</v>
      </c>
      <c r="AN9009" s="4" t="s">
        <v>375</v>
      </c>
      <c r="AO9009" s="4" t="s">
        <v>375</v>
      </c>
      <c r="AP9009" s="4" t="s">
        <v>376</v>
      </c>
      <c r="AR9009" s="4" t="s">
        <v>377</v>
      </c>
    </row>
    <row r="9010" spans="1:44" ht="60">
      <c r="A9010" s="4" t="s">
        <v>10753</v>
      </c>
      <c r="B9010" s="4">
        <v>199851</v>
      </c>
      <c r="D9010" s="5" t="s">
        <v>12210</v>
      </c>
      <c r="E9010" s="6" t="str">
        <f>HYPERLINK("https://inpn.mnhn.fr/espece/cd_nom/199851","Chondrula tridens (O.F. Müller, 1774)")</f>
        <v>Chondrula tridens (O.F. Müller, 1774)</v>
      </c>
      <c r="F9010" s="5" t="s">
        <v>12211</v>
      </c>
      <c r="P9010" s="7" t="str">
        <f>HYPERLINK("#Liste_rouge!A"&amp;_xlfn.XMATCH("NT",Liste_rouge!A:A,2,1),"NT")</f>
        <v>NT</v>
      </c>
      <c r="Q9010" s="7" t="str">
        <f>HYPERLINK("#Liste_rouge!A"&amp;_xlfn.XMATCH("NT",Liste_rouge!A:A,2,1),"NT")</f>
        <v>NT</v>
      </c>
      <c r="AH9010" s="4" t="str">
        <f>HYPERLINK("#Statut_biogéographique!A"&amp;_xlfn.XMATCH("P",Statut_biogéographique!A:A,2,1),"P")</f>
        <v>P</v>
      </c>
      <c r="AM9010" s="4" t="s">
        <v>375</v>
      </c>
      <c r="AN9010" s="4" t="s">
        <v>375</v>
      </c>
      <c r="AO9010" s="4" t="s">
        <v>375</v>
      </c>
      <c r="AP9010" s="4" t="s">
        <v>376</v>
      </c>
      <c r="AR9010" s="4" t="s">
        <v>377</v>
      </c>
    </row>
    <row r="9011" spans="1:44">
      <c r="A9011" s="4" t="s">
        <v>10753</v>
      </c>
      <c r="B9011" s="4">
        <v>199852</v>
      </c>
      <c r="D9011" s="5">
        <v>199852</v>
      </c>
      <c r="E9011" s="6" t="str">
        <f>HYPERLINK("https://inpn.mnhn.fr/espece/cd_nom/199852","Clausilia dubia Draparnaud, 1805")</f>
        <v>Clausilia dubia Draparnaud, 1805</v>
      </c>
      <c r="F9011" s="5" t="s">
        <v>11880</v>
      </c>
      <c r="O9011" s="7" t="str">
        <f>HYPERLINK("#Liste_rouge!A"&amp;_xlfn.XMATCH("LC",Liste_rouge!A:A,2,1),"LC")</f>
        <v>LC</v>
      </c>
      <c r="P9011" s="7" t="str">
        <f>HYPERLINK("#Liste_rouge!A"&amp;_xlfn.XMATCH("LC",Liste_rouge!A:A,2,1),"LC")</f>
        <v>LC</v>
      </c>
      <c r="Q9011" s="7" t="str">
        <f>HYPERLINK("#Liste_rouge!A"&amp;_xlfn.XMATCH("LC",Liste_rouge!A:A,2,1),"LC")</f>
        <v>LC</v>
      </c>
      <c r="AH9011" s="4" t="str">
        <f>HYPERLINK("#Statut_biogéographique!A"&amp;_xlfn.XMATCH("P",Statut_biogéographique!A:A,2,1),"P")</f>
        <v>P</v>
      </c>
      <c r="AM9011" s="4" t="s">
        <v>375</v>
      </c>
      <c r="AN9011" s="4" t="s">
        <v>375</v>
      </c>
      <c r="AO9011" s="4" t="s">
        <v>375</v>
      </c>
      <c r="AP9011" s="4" t="s">
        <v>376</v>
      </c>
      <c r="AR9011" s="4" t="s">
        <v>377</v>
      </c>
    </row>
    <row r="9012" spans="1:44">
      <c r="A9012" s="4" t="s">
        <v>10753</v>
      </c>
      <c r="B9012" s="4">
        <v>199853</v>
      </c>
      <c r="D9012" s="5" t="s">
        <v>12212</v>
      </c>
      <c r="E9012" s="6" t="str">
        <f>HYPERLINK("https://inpn.mnhn.fr/espece/cd_nom/199853","Clausilia rugosa (Draparnaud, 1801)")</f>
        <v>Clausilia rugosa (Draparnaud, 1801)</v>
      </c>
      <c r="F9012" s="5" t="s">
        <v>12213</v>
      </c>
      <c r="O9012" s="7" t="str">
        <f>HYPERLINK("#Liste_rouge!A"&amp;_xlfn.XMATCH("LC",Liste_rouge!A:A,2,1),"LC")</f>
        <v>LC</v>
      </c>
      <c r="P9012" s="7" t="str">
        <f>HYPERLINK("#Liste_rouge!A"&amp;_xlfn.XMATCH("LC",Liste_rouge!A:A,2,1),"LC")</f>
        <v>LC</v>
      </c>
      <c r="Q9012" s="7" t="str">
        <f>HYPERLINK("#Liste_rouge!A"&amp;_xlfn.XMATCH("LC",Liste_rouge!A:A,2,1),"LC")</f>
        <v>LC</v>
      </c>
      <c r="AH9012" s="4" t="str">
        <f>HYPERLINK("#Statut_biogéographique!A"&amp;_xlfn.XMATCH("P",Statut_biogéographique!A:A,2,1),"P")</f>
        <v>P</v>
      </c>
      <c r="AP9012" s="4" t="s">
        <v>376</v>
      </c>
      <c r="AR9012" s="4" t="s">
        <v>377</v>
      </c>
    </row>
    <row r="9013" spans="1:44">
      <c r="A9013" s="4" t="s">
        <v>10753</v>
      </c>
      <c r="B9013" s="4">
        <v>199854</v>
      </c>
      <c r="D9013" s="5" t="s">
        <v>12214</v>
      </c>
      <c r="E9013" s="6" t="str">
        <f>HYPERLINK("https://inpn.mnhn.fr/espece/cd_nom/199854","Clausilia cruciata (S. Studer, 1820)")</f>
        <v>Clausilia cruciata (S. Studer, 1820)</v>
      </c>
      <c r="O9013" s="7" t="str">
        <f>HYPERLINK("#Liste_rouge!A"&amp;_xlfn.XMATCH("LC",Liste_rouge!A:A,2,1),"LC")</f>
        <v>LC</v>
      </c>
      <c r="P9013" s="7" t="str">
        <f>HYPERLINK("#Liste_rouge!A"&amp;_xlfn.XMATCH("LC",Liste_rouge!A:A,2,1),"LC")</f>
        <v>LC</v>
      </c>
      <c r="Q9013" s="7" t="str">
        <f>HYPERLINK("#Liste_rouge!A"&amp;_xlfn.XMATCH("LC",Liste_rouge!A:A,2,1),"LC")</f>
        <v>LC</v>
      </c>
      <c r="AE9013" s="4" t="str">
        <f>HYPERLINK("#SCAP!A"&amp;_xlfn.XMATCH("A",SCAP!A:A,2,1),"A")</f>
        <v>A</v>
      </c>
      <c r="AH9013" s="4" t="str">
        <f>HYPERLINK("#Statut_biogéographique!A"&amp;_xlfn.XMATCH("P",Statut_biogéographique!A:A,2,1),"P")</f>
        <v>P</v>
      </c>
      <c r="AM9013" s="4" t="s">
        <v>375</v>
      </c>
      <c r="AN9013" s="4" t="s">
        <v>375</v>
      </c>
      <c r="AO9013" s="4" t="s">
        <v>375</v>
      </c>
      <c r="AP9013" s="4" t="s">
        <v>376</v>
      </c>
      <c r="AR9013" s="4" t="s">
        <v>377</v>
      </c>
    </row>
    <row r="9014" spans="1:44">
      <c r="A9014" s="4" t="s">
        <v>10753</v>
      </c>
      <c r="B9014" s="4">
        <v>199855</v>
      </c>
      <c r="D9014" s="5" t="s">
        <v>12215</v>
      </c>
      <c r="E9014" s="6" t="str">
        <f>HYPERLINK("https://inpn.mnhn.fr/espece/cd_nom/199855","Cochlodina laminata (Montagu, 1803)")</f>
        <v>Cochlodina laminata (Montagu, 1803)</v>
      </c>
      <c r="F9014" s="5" t="s">
        <v>12216</v>
      </c>
      <c r="P9014" s="7" t="str">
        <f>HYPERLINK("#Liste_rouge!A"&amp;_xlfn.XMATCH("LC",Liste_rouge!A:A,2,1),"LC")</f>
        <v>LC</v>
      </c>
      <c r="Q9014" s="7" t="str">
        <f>HYPERLINK("#Liste_rouge!A"&amp;_xlfn.XMATCH("LC",Liste_rouge!A:A,2,1),"LC")</f>
        <v>LC</v>
      </c>
      <c r="AH9014" s="4" t="str">
        <f>HYPERLINK("#Statut_biogéographique!A"&amp;_xlfn.XMATCH("P",Statut_biogéographique!A:A,2,1),"P")</f>
        <v>P</v>
      </c>
      <c r="AM9014" s="4" t="s">
        <v>375</v>
      </c>
      <c r="AN9014" s="4" t="s">
        <v>375</v>
      </c>
      <c r="AO9014" s="4" t="s">
        <v>375</v>
      </c>
      <c r="AP9014" s="4" t="s">
        <v>376</v>
      </c>
      <c r="AR9014" s="4" t="s">
        <v>377</v>
      </c>
    </row>
    <row r="9015" spans="1:44" ht="30">
      <c r="A9015" s="4" t="s">
        <v>10753</v>
      </c>
      <c r="B9015" s="4">
        <v>199856</v>
      </c>
      <c r="D9015" s="5" t="s">
        <v>12217</v>
      </c>
      <c r="E9015" s="6" t="str">
        <f>HYPERLINK("https://inpn.mnhn.fr/espece/cd_nom/199856","Cochlodina fimbriata (Rossmässler, 1835)")</f>
        <v>Cochlodina fimbriata (Rossmässler, 1835)</v>
      </c>
      <c r="F9015" s="5" t="s">
        <v>11870</v>
      </c>
      <c r="O9015" s="7" t="str">
        <f>HYPERLINK("#Liste_rouge!A"&amp;_xlfn.XMATCH("LC",Liste_rouge!A:A,2,1),"LC")</f>
        <v>LC</v>
      </c>
      <c r="P9015" s="7" t="str">
        <f>HYPERLINK("#Liste_rouge!A"&amp;_xlfn.XMATCH("LC",Liste_rouge!A:A,2,1),"LC")</f>
        <v>LC</v>
      </c>
      <c r="Q9015" s="7" t="str">
        <f>HYPERLINK("#Liste_rouge!A"&amp;_xlfn.XMATCH("LC",Liste_rouge!A:A,2,1),"LC")</f>
        <v>LC</v>
      </c>
      <c r="AH9015" s="4" t="str">
        <f>HYPERLINK("#Statut_biogéographique!A"&amp;_xlfn.XMATCH("P",Statut_biogéographique!A:A,2,1),"P")</f>
        <v>P</v>
      </c>
      <c r="AM9015" s="4" t="s">
        <v>375</v>
      </c>
      <c r="AN9015" s="4" t="s">
        <v>375</v>
      </c>
      <c r="AO9015" s="4" t="s">
        <v>375</v>
      </c>
      <c r="AP9015" s="4" t="s">
        <v>376</v>
      </c>
      <c r="AR9015" s="4" t="s">
        <v>377</v>
      </c>
    </row>
    <row r="9016" spans="1:44">
      <c r="A9016" s="4" t="s">
        <v>10753</v>
      </c>
      <c r="B9016" s="4">
        <v>199858</v>
      </c>
      <c r="D9016" s="5" t="s">
        <v>12218</v>
      </c>
      <c r="E9016" s="6" t="str">
        <f>HYPERLINK("https://inpn.mnhn.fr/espece/cd_nom/199858","Cochlodina orthostoma (Menke, 1828)")</f>
        <v>Cochlodina orthostoma (Menke, 1828)</v>
      </c>
      <c r="F9016" s="5" t="s">
        <v>11871</v>
      </c>
      <c r="O9016" s="7" t="str">
        <f>HYPERLINK("#Liste_rouge!A"&amp;_xlfn.XMATCH("LC",Liste_rouge!A:A,2,1),"LC")</f>
        <v>LC</v>
      </c>
      <c r="P9016" s="7" t="str">
        <f>HYPERLINK("#Liste_rouge!A"&amp;_xlfn.XMATCH("LC",Liste_rouge!A:A,2,1),"LC")</f>
        <v>LC</v>
      </c>
      <c r="Q9016" s="7" t="str">
        <f>HYPERLINK("#Liste_rouge!A"&amp;_xlfn.XMATCH("NT",Liste_rouge!A:A,2,1),"NT")</f>
        <v>NT</v>
      </c>
      <c r="AH9016" s="4" t="str">
        <f>HYPERLINK("#Statut_biogéographique!A"&amp;_xlfn.XMATCH("P",Statut_biogéographique!A:A,2,1),"P")</f>
        <v>P</v>
      </c>
      <c r="AM9016" s="4" t="s">
        <v>375</v>
      </c>
      <c r="AN9016" s="4" t="s">
        <v>375</v>
      </c>
      <c r="AO9016" s="4" t="s">
        <v>375</v>
      </c>
      <c r="AP9016" s="4" t="s">
        <v>376</v>
      </c>
      <c r="AR9016" s="4" t="s">
        <v>377</v>
      </c>
    </row>
    <row r="9017" spans="1:44">
      <c r="A9017" s="4" t="s">
        <v>10753</v>
      </c>
      <c r="B9017" s="4">
        <v>199862</v>
      </c>
      <c r="D9017" s="5" t="s">
        <v>12219</v>
      </c>
      <c r="E9017" s="6" t="str">
        <f>HYPERLINK("https://inpn.mnhn.fr/espece/cd_nom/199862","Columella columella (G. von Martens, 1830)")</f>
        <v>Columella columella (G. von Martens, 1830)</v>
      </c>
      <c r="F9017" s="5" t="s">
        <v>12220</v>
      </c>
      <c r="O9017" s="7" t="str">
        <f>HYPERLINK("#Liste_rouge!A"&amp;_xlfn.XMATCH("LC",Liste_rouge!A:A,2,1),"LC")</f>
        <v>LC</v>
      </c>
      <c r="P9017" s="7" t="str">
        <f>HYPERLINK("#Liste_rouge!A"&amp;_xlfn.XMATCH("LC",Liste_rouge!A:A,2,1),"LC")</f>
        <v>LC</v>
      </c>
      <c r="Q9017" s="7" t="str">
        <f>HYPERLINK("#Liste_rouge!A"&amp;_xlfn.XMATCH("LC",Liste_rouge!A:A,2,1),"LC")</f>
        <v>LC</v>
      </c>
      <c r="AH9017" s="4" t="str">
        <f>HYPERLINK("#Statut_biogéographique!A"&amp;_xlfn.XMATCH("P",Statut_biogéographique!A:A,2,1),"P")</f>
        <v>P</v>
      </c>
      <c r="AM9017" s="4" t="s">
        <v>375</v>
      </c>
      <c r="AN9017" s="4" t="s">
        <v>375</v>
      </c>
      <c r="AO9017" s="4" t="s">
        <v>375</v>
      </c>
      <c r="AP9017" s="4" t="s">
        <v>376</v>
      </c>
      <c r="AR9017" s="4" t="s">
        <v>377</v>
      </c>
    </row>
    <row r="9018" spans="1:44" ht="45">
      <c r="A9018" s="4" t="s">
        <v>10753</v>
      </c>
      <c r="B9018" s="4">
        <v>199863</v>
      </c>
      <c r="D9018" s="5" t="s">
        <v>12221</v>
      </c>
      <c r="E9018" s="6" t="str">
        <f>HYPERLINK("https://inpn.mnhn.fr/espece/cd_nom/199863","Cornu aspersum (O.F. Müller, 1774)")</f>
        <v>Cornu aspersum (O.F. Müller, 1774)</v>
      </c>
      <c r="F9018" s="5" t="s">
        <v>12222</v>
      </c>
      <c r="N9018" s="4" t="str">
        <f>HYPERLINK("#Réglementation!A"&amp;_xlfn.XMATCH("E39P1",Réglementation!A:A,2,1),"E39P1 - E39P2 - E70P1 - E70P2")</f>
        <v>E39P1 - E39P2 - E70P1 - E70P2</v>
      </c>
      <c r="P9018" s="7" t="str">
        <f>HYPERLINK("#Liste_rouge!A"&amp;_xlfn.XMATCH("LC",Liste_rouge!A:A,2,1),"LC")</f>
        <v>LC</v>
      </c>
      <c r="Q9018" s="7" t="str">
        <f>HYPERLINK("#Liste_rouge!A"&amp;_xlfn.XMATCH("LC",Liste_rouge!A:A,2,1),"LC")</f>
        <v>LC</v>
      </c>
      <c r="AH9018" s="4" t="str">
        <f>HYPERLINK("#Statut_biogéographique!A"&amp;_xlfn.XMATCH("C",Statut_biogéographique!A:A,2,1),"C")</f>
        <v>C</v>
      </c>
      <c r="AK9018" s="4" t="str">
        <f>HYPERLINK("#Réglementation!A"&amp;_xlfn.XMATCH("PE1",Réglementation!A:A,2,1),"PE1 - PE1b - E39P1 - E39P2 - E70P1 - E70P2")</f>
        <v>PE1 - PE1b - E39P1 - E39P2 - E70P1 - E70P2</v>
      </c>
      <c r="AM9018" s="4" t="s">
        <v>375</v>
      </c>
      <c r="AN9018" s="4" t="s">
        <v>375</v>
      </c>
      <c r="AO9018" s="4" t="s">
        <v>375</v>
      </c>
      <c r="AP9018" s="4" t="s">
        <v>376</v>
      </c>
      <c r="AR9018" s="4" t="s">
        <v>377</v>
      </c>
    </row>
    <row r="9019" spans="1:44">
      <c r="A9019" s="4" t="s">
        <v>10753</v>
      </c>
      <c r="B9019" s="4">
        <v>199864</v>
      </c>
      <c r="D9019" s="5" t="s">
        <v>12223</v>
      </c>
      <c r="E9019" s="6" t="str">
        <f>HYPERLINK("https://inpn.mnhn.fr/espece/cd_nom/199864","Discus ruderatus (W. Hartmann, 1821)")</f>
        <v>Discus ruderatus (W. Hartmann, 1821)</v>
      </c>
      <c r="F9019" s="5" t="s">
        <v>12224</v>
      </c>
      <c r="P9019" s="7" t="str">
        <f>HYPERLINK("#Liste_rouge!A"&amp;_xlfn.XMATCH("LC",Liste_rouge!A:A,2,1),"LC")</f>
        <v>LC</v>
      </c>
      <c r="Q9019" s="7" t="str">
        <f>HYPERLINK("#Liste_rouge!A"&amp;_xlfn.XMATCH("LC",Liste_rouge!A:A,2,1),"LC")</f>
        <v>LC</v>
      </c>
      <c r="AH9019" s="4" t="str">
        <f>HYPERLINK("#Statut_biogéographique!A"&amp;_xlfn.XMATCH("P",Statut_biogéographique!A:A,2,1),"P")</f>
        <v>P</v>
      </c>
      <c r="AM9019" s="4" t="s">
        <v>375</v>
      </c>
      <c r="AN9019" s="4" t="s">
        <v>375</v>
      </c>
      <c r="AO9019" s="4" t="s">
        <v>375</v>
      </c>
      <c r="AP9019" s="4" t="s">
        <v>376</v>
      </c>
      <c r="AR9019" s="4" t="s">
        <v>377</v>
      </c>
    </row>
    <row r="9020" spans="1:44">
      <c r="A9020" s="4" t="s">
        <v>10753</v>
      </c>
      <c r="B9020" s="4">
        <v>199865</v>
      </c>
      <c r="D9020" s="5" t="s">
        <v>12225</v>
      </c>
      <c r="E9020" s="6" t="str">
        <f>HYPERLINK("https://inpn.mnhn.fr/espece/cd_nom/199865","Euomphalia strigella (Draparnaud, 1801)")</f>
        <v>Euomphalia strigella (Draparnaud, 1801)</v>
      </c>
      <c r="F9020" s="5" t="s">
        <v>12226</v>
      </c>
      <c r="O9020" s="7" t="str">
        <f>HYPERLINK("#Liste_rouge!A"&amp;_xlfn.XMATCH("LC",Liste_rouge!A:A,2,1),"LC")</f>
        <v>LC</v>
      </c>
      <c r="P9020" s="7" t="str">
        <f>HYPERLINK("#Liste_rouge!A"&amp;_xlfn.XMATCH("LC",Liste_rouge!A:A,2,1),"LC")</f>
        <v>LC</v>
      </c>
      <c r="Q9020" s="7" t="str">
        <f>HYPERLINK("#Liste_rouge!A"&amp;_xlfn.XMATCH("LC",Liste_rouge!A:A,2,1),"LC")</f>
        <v>LC</v>
      </c>
      <c r="AH9020" s="4" t="str">
        <f>HYPERLINK("#Statut_biogéographique!A"&amp;_xlfn.XMATCH("P",Statut_biogéographique!A:A,2,1),"P")</f>
        <v>P</v>
      </c>
      <c r="AM9020" s="4" t="s">
        <v>375</v>
      </c>
      <c r="AN9020" s="4" t="s">
        <v>375</v>
      </c>
      <c r="AO9020" s="4" t="s">
        <v>375</v>
      </c>
      <c r="AP9020" s="4" t="s">
        <v>376</v>
      </c>
      <c r="AR9020" s="4" t="s">
        <v>377</v>
      </c>
    </row>
    <row r="9021" spans="1:44" ht="45">
      <c r="A9021" s="4" t="s">
        <v>10753</v>
      </c>
      <c r="B9021" s="4">
        <v>199869</v>
      </c>
      <c r="D9021" s="5" t="s">
        <v>12227</v>
      </c>
      <c r="E9021" s="6" t="str">
        <f>HYPERLINK("https://inpn.mnhn.fr/espece/cd_nom/199869","Helix lucorum Linnaeus, 1758")</f>
        <v>Helix lucorum Linnaeus, 1758</v>
      </c>
      <c r="F9021" s="5" t="s">
        <v>12228</v>
      </c>
      <c r="P9021" s="7" t="str">
        <f>HYPERLINK("#Liste_rouge!A"&amp;_xlfn.XMATCH("LC",Liste_rouge!A:A,2,1),"LC")</f>
        <v>LC</v>
      </c>
      <c r="Q9021" s="7" t="str">
        <f>HYPERLINK("#Liste_rouge!A"&amp;_xlfn.XMATCH("NA",Liste_rouge!A:A,2,1),"NA")</f>
        <v>NA</v>
      </c>
      <c r="AH9021" s="4" t="str">
        <f>HYPERLINK("#Statut_biogéographique!A"&amp;_xlfn.XMATCH("I",Statut_biogéographique!A:A,2,1),"I")</f>
        <v>I</v>
      </c>
      <c r="AM9021" s="4" t="s">
        <v>375</v>
      </c>
      <c r="AN9021" s="4" t="s">
        <v>375</v>
      </c>
      <c r="AO9021" s="4" t="s">
        <v>375</v>
      </c>
      <c r="AP9021" s="4" t="s">
        <v>376</v>
      </c>
      <c r="AR9021" s="4" t="s">
        <v>377</v>
      </c>
    </row>
    <row r="9022" spans="1:44">
      <c r="A9022" s="4" t="s">
        <v>10753</v>
      </c>
      <c r="B9022" s="4">
        <v>199870</v>
      </c>
      <c r="D9022" s="5" t="s">
        <v>12229</v>
      </c>
      <c r="E9022" s="6" t="str">
        <f>HYPERLINK("https://inpn.mnhn.fr/espece/cd_nom/199870","Islamia minuta (Draparnaud, 1805)")</f>
        <v>Islamia minuta (Draparnaud, 1805)</v>
      </c>
      <c r="F9022" s="5" t="s">
        <v>12230</v>
      </c>
      <c r="O9022" s="7" t="str">
        <f>HYPERLINK("#Liste_rouge!A"&amp;_xlfn.XMATCH("LC",Liste_rouge!A:A,2,1),"LC")</f>
        <v>LC</v>
      </c>
      <c r="P9022" s="7" t="str">
        <f>HYPERLINK("#Liste_rouge!A"&amp;_xlfn.XMATCH("LC",Liste_rouge!A:A,2,1),"LC")</f>
        <v>LC</v>
      </c>
      <c r="Q9022" s="7" t="str">
        <f>HYPERLINK("#Liste_rouge!A"&amp;_xlfn.XMATCH("DD",Liste_rouge!A:A,2,1),"DD")</f>
        <v>DD</v>
      </c>
      <c r="AH9022" s="4" t="str">
        <f>HYPERLINK("#Statut_biogéographique!A"&amp;_xlfn.XMATCH("S",Statut_biogéographique!A:A,2,1),"S")</f>
        <v>S</v>
      </c>
      <c r="AM9022" s="4" t="s">
        <v>375</v>
      </c>
      <c r="AN9022" s="4" t="s">
        <v>375</v>
      </c>
      <c r="AO9022" s="4" t="s">
        <v>375</v>
      </c>
      <c r="AP9022" s="4" t="s">
        <v>376</v>
      </c>
      <c r="AR9022" s="4" t="s">
        <v>377</v>
      </c>
    </row>
    <row r="9023" spans="1:44">
      <c r="A9023" s="4" t="s">
        <v>10753</v>
      </c>
      <c r="B9023" s="4">
        <v>199871</v>
      </c>
      <c r="D9023" s="5" t="s">
        <v>12231</v>
      </c>
      <c r="E9023" s="6" t="str">
        <f>HYPERLINK("https://inpn.mnhn.fr/espece/cd_nom/199871","Jaminia quadridens (O.F. Müller, 1774)")</f>
        <v>Jaminia quadridens (O.F. Müller, 1774)</v>
      </c>
      <c r="F9023" s="5" t="s">
        <v>11865</v>
      </c>
      <c r="O9023" s="7" t="str">
        <f>HYPERLINK("#Liste_rouge!A"&amp;_xlfn.XMATCH("LC",Liste_rouge!A:A,2,1),"LC")</f>
        <v>LC</v>
      </c>
      <c r="P9023" s="7" t="str">
        <f>HYPERLINK("#Liste_rouge!A"&amp;_xlfn.XMATCH("LC",Liste_rouge!A:A,2,1),"LC")</f>
        <v>LC</v>
      </c>
      <c r="Q9023" s="7" t="str">
        <f>HYPERLINK("#Liste_rouge!A"&amp;_xlfn.XMATCH("LC",Liste_rouge!A:A,2,1),"LC")</f>
        <v>LC</v>
      </c>
      <c r="AH9023" s="4" t="str">
        <f>HYPERLINK("#Statut_biogéographique!A"&amp;_xlfn.XMATCH("P",Statut_biogéographique!A:A,2,1),"P")</f>
        <v>P</v>
      </c>
      <c r="AM9023" s="4" t="s">
        <v>375</v>
      </c>
      <c r="AN9023" s="4" t="s">
        <v>375</v>
      </c>
      <c r="AO9023" s="4" t="s">
        <v>375</v>
      </c>
      <c r="AP9023" s="4" t="s">
        <v>376</v>
      </c>
      <c r="AR9023" s="4" t="s">
        <v>377</v>
      </c>
    </row>
    <row r="9024" spans="1:44">
      <c r="A9024" s="4" t="s">
        <v>10753</v>
      </c>
      <c r="B9024" s="4">
        <v>199872</v>
      </c>
      <c r="D9024" s="5" t="s">
        <v>12232</v>
      </c>
      <c r="E9024" s="6" t="str">
        <f>HYPERLINK("https://inpn.mnhn.fr/espece/cd_nom/199872","Laciniaria plicata (Draparnaud, 1801)")</f>
        <v>Laciniaria plicata (Draparnaud, 1801)</v>
      </c>
      <c r="F9024" s="5" t="s">
        <v>11888</v>
      </c>
      <c r="O9024" s="7" t="str">
        <f>HYPERLINK("#Liste_rouge!A"&amp;_xlfn.XMATCH("LC",Liste_rouge!A:A,2,1),"LC")</f>
        <v>LC</v>
      </c>
      <c r="P9024" s="7" t="str">
        <f>HYPERLINK("#Liste_rouge!A"&amp;_xlfn.XMATCH("LC",Liste_rouge!A:A,2,1),"LC")</f>
        <v>LC</v>
      </c>
      <c r="Q9024" s="7" t="str">
        <f>HYPERLINK("#Liste_rouge!A"&amp;_xlfn.XMATCH("LC",Liste_rouge!A:A,2,1),"LC")</f>
        <v>LC</v>
      </c>
      <c r="AH9024" s="4" t="str">
        <f>HYPERLINK("#Statut_biogéographique!A"&amp;_xlfn.XMATCH("P",Statut_biogéographique!A:A,2,1),"P")</f>
        <v>P</v>
      </c>
      <c r="AM9024" s="4" t="s">
        <v>375</v>
      </c>
      <c r="AN9024" s="4" t="s">
        <v>375</v>
      </c>
      <c r="AO9024" s="4" t="s">
        <v>375</v>
      </c>
      <c r="AP9024" s="4" t="s">
        <v>376</v>
      </c>
      <c r="AR9024" s="4" t="s">
        <v>377</v>
      </c>
    </row>
    <row r="9025" spans="1:44">
      <c r="A9025" s="4" t="s">
        <v>10753</v>
      </c>
      <c r="B9025" s="4">
        <v>199873</v>
      </c>
      <c r="D9025" s="5" t="s">
        <v>12233</v>
      </c>
      <c r="E9025" s="6" t="str">
        <f>HYPERLINK("https://inpn.mnhn.fr/espece/cd_nom/199873","Macrogastra ventricosa (Draparnaud, 1801)")</f>
        <v>Macrogastra ventricosa (Draparnaud, 1801)</v>
      </c>
      <c r="F9025" s="5" t="s">
        <v>11873</v>
      </c>
      <c r="O9025" s="7" t="str">
        <f>HYPERLINK("#Liste_rouge!A"&amp;_xlfn.XMATCH("LC",Liste_rouge!A:A,2,1),"LC")</f>
        <v>LC</v>
      </c>
      <c r="P9025" s="7" t="str">
        <f>HYPERLINK("#Liste_rouge!A"&amp;_xlfn.XMATCH("LC",Liste_rouge!A:A,2,1),"LC")</f>
        <v>LC</v>
      </c>
      <c r="Q9025" s="7" t="str">
        <f>HYPERLINK("#Liste_rouge!A"&amp;_xlfn.XMATCH("LC",Liste_rouge!A:A,2,1),"LC")</f>
        <v>LC</v>
      </c>
      <c r="AH9025" s="4" t="str">
        <f>HYPERLINK("#Statut_biogéographique!A"&amp;_xlfn.XMATCH("P",Statut_biogéographique!A:A,2,1),"P")</f>
        <v>P</v>
      </c>
      <c r="AM9025" s="4" t="s">
        <v>375</v>
      </c>
      <c r="AN9025" s="4" t="s">
        <v>375</v>
      </c>
      <c r="AO9025" s="4" t="s">
        <v>375</v>
      </c>
      <c r="AP9025" s="4" t="s">
        <v>376</v>
      </c>
      <c r="AR9025" s="4" t="s">
        <v>377</v>
      </c>
    </row>
    <row r="9026" spans="1:44">
      <c r="A9026" s="4" t="s">
        <v>10753</v>
      </c>
      <c r="B9026" s="4">
        <v>199874</v>
      </c>
      <c r="D9026" s="5" t="s">
        <v>12234</v>
      </c>
      <c r="E9026" s="6" t="str">
        <f>HYPERLINK("https://inpn.mnhn.fr/espece/cd_nom/199874","Macrogastra attenuata (Rossmässler, 1835)")</f>
        <v>Macrogastra attenuata (Rossmässler, 1835)</v>
      </c>
      <c r="O9026" s="7" t="str">
        <f>HYPERLINK("#Liste_rouge!A"&amp;_xlfn.XMATCH("LC",Liste_rouge!A:A,2,1),"LC")</f>
        <v>LC</v>
      </c>
      <c r="P9026" s="7" t="str">
        <f>HYPERLINK("#Liste_rouge!A"&amp;_xlfn.XMATCH("LC",Liste_rouge!A:A,2,1),"LC")</f>
        <v>LC</v>
      </c>
      <c r="Q9026" s="7" t="str">
        <f>HYPERLINK("#Liste_rouge!A"&amp;_xlfn.XMATCH("LC",Liste_rouge!A:A,2,1),"LC")</f>
        <v>LC</v>
      </c>
      <c r="AH9026" s="4" t="str">
        <f>HYPERLINK("#Statut_biogéographique!A"&amp;_xlfn.XMATCH("P",Statut_biogéographique!A:A,2,1),"P")</f>
        <v>P</v>
      </c>
      <c r="AM9026" s="4" t="s">
        <v>375</v>
      </c>
      <c r="AN9026" s="4" t="s">
        <v>375</v>
      </c>
      <c r="AO9026" s="4" t="s">
        <v>375</v>
      </c>
      <c r="AP9026" s="4" t="s">
        <v>376</v>
      </c>
      <c r="AR9026" s="4" t="s">
        <v>377</v>
      </c>
    </row>
    <row r="9027" spans="1:44" ht="45">
      <c r="A9027" s="4" t="s">
        <v>10753</v>
      </c>
      <c r="B9027" s="4">
        <v>199875</v>
      </c>
      <c r="D9027" s="5" t="s">
        <v>12235</v>
      </c>
      <c r="E9027" s="6" t="str">
        <f>HYPERLINK("https://inpn.mnhn.fr/espece/cd_nom/199875","Macrogastra plicatula (Draparnaud, 1801)")</f>
        <v>Macrogastra plicatula (Draparnaud, 1801)</v>
      </c>
      <c r="F9027" s="5" t="s">
        <v>11878</v>
      </c>
      <c r="O9027" s="7" t="str">
        <f>HYPERLINK("#Liste_rouge!A"&amp;_xlfn.XMATCH("LC",Liste_rouge!A:A,2,1),"LC")</f>
        <v>LC</v>
      </c>
      <c r="P9027" s="7" t="str">
        <f>HYPERLINK("#Liste_rouge!A"&amp;_xlfn.XMATCH("LC",Liste_rouge!A:A,2,1),"LC")</f>
        <v>LC</v>
      </c>
      <c r="Q9027" s="7" t="str">
        <f>HYPERLINK("#Liste_rouge!A"&amp;_xlfn.XMATCH("LC",Liste_rouge!A:A,2,1),"LC")</f>
        <v>LC</v>
      </c>
      <c r="AH9027" s="4" t="str">
        <f>HYPERLINK("#Statut_biogéographique!A"&amp;_xlfn.XMATCH("P",Statut_biogéographique!A:A,2,1),"P")</f>
        <v>P</v>
      </c>
      <c r="AM9027" s="4" t="s">
        <v>375</v>
      </c>
      <c r="AN9027" s="4" t="s">
        <v>375</v>
      </c>
      <c r="AO9027" s="4" t="s">
        <v>375</v>
      </c>
      <c r="AP9027" s="4" t="s">
        <v>376</v>
      </c>
      <c r="AR9027" s="4" t="s">
        <v>377</v>
      </c>
    </row>
    <row r="9028" spans="1:44">
      <c r="A9028" s="4" t="s">
        <v>10753</v>
      </c>
      <c r="B9028" s="4">
        <v>199877</v>
      </c>
      <c r="D9028" s="5" t="s">
        <v>12236</v>
      </c>
      <c r="E9028" s="6" t="str">
        <f>HYPERLINK("https://inpn.mnhn.fr/espece/cd_nom/199877","Monachoides incarnatus (O.F. Müller, 1774)")</f>
        <v>Monachoides incarnatus (O.F. Müller, 1774)</v>
      </c>
      <c r="F9028" s="5" t="s">
        <v>11962</v>
      </c>
      <c r="O9028" s="7" t="str">
        <f>HYPERLINK("#Liste_rouge!A"&amp;_xlfn.XMATCH("LC",Liste_rouge!A:A,2,1),"LC")</f>
        <v>LC</v>
      </c>
      <c r="P9028" s="7" t="str">
        <f>HYPERLINK("#Liste_rouge!A"&amp;_xlfn.XMATCH("LC",Liste_rouge!A:A,2,1),"LC")</f>
        <v>LC</v>
      </c>
      <c r="Q9028" s="7" t="str">
        <f>HYPERLINK("#Liste_rouge!A"&amp;_xlfn.XMATCH("LC",Liste_rouge!A:A,2,1),"LC")</f>
        <v>LC</v>
      </c>
      <c r="AH9028" s="4" t="str">
        <f>HYPERLINK("#Statut_biogéographique!A"&amp;_xlfn.XMATCH("P",Statut_biogéographique!A:A,2,1),"P")</f>
        <v>P</v>
      </c>
      <c r="AM9028" s="4" t="s">
        <v>375</v>
      </c>
      <c r="AN9028" s="4" t="s">
        <v>375</v>
      </c>
      <c r="AO9028" s="4" t="s">
        <v>375</v>
      </c>
      <c r="AP9028" s="4" t="s">
        <v>376</v>
      </c>
      <c r="AR9028" s="4" t="s">
        <v>377</v>
      </c>
    </row>
    <row r="9029" spans="1:44">
      <c r="A9029" s="4" t="s">
        <v>10753</v>
      </c>
      <c r="B9029" s="4">
        <v>199878</v>
      </c>
      <c r="D9029" s="5" t="s">
        <v>12237</v>
      </c>
      <c r="E9029" s="6" t="str">
        <f>HYPERLINK("https://inpn.mnhn.fr/espece/cd_nom/199878","Morlina glabra (Rossmässler, 1835)")</f>
        <v>Morlina glabra (Rossmässler, 1835)</v>
      </c>
      <c r="F9029" s="5" t="s">
        <v>11914</v>
      </c>
      <c r="O9029" s="7" t="str">
        <f>HYPERLINK("#Liste_rouge!A"&amp;_xlfn.XMATCH("LC",Liste_rouge!A:A,2,1),"LC")</f>
        <v>LC</v>
      </c>
      <c r="P9029" s="7" t="str">
        <f>HYPERLINK("#Liste_rouge!A"&amp;_xlfn.XMATCH("LC",Liste_rouge!A:A,2,1),"LC")</f>
        <v>LC</v>
      </c>
      <c r="Q9029" s="7" t="str">
        <f>HYPERLINK("#Liste_rouge!A"&amp;_xlfn.XMATCH("LC",Liste_rouge!A:A,2,1),"LC")</f>
        <v>LC</v>
      </c>
      <c r="AH9029" s="4" t="str">
        <f>HYPERLINK("#Statut_biogéographique!A"&amp;_xlfn.XMATCH("P",Statut_biogéographique!A:A,2,1),"P")</f>
        <v>P</v>
      </c>
      <c r="AM9029" s="4" t="s">
        <v>375</v>
      </c>
      <c r="AN9029" s="4" t="s">
        <v>375</v>
      </c>
      <c r="AO9029" s="4" t="s">
        <v>375</v>
      </c>
      <c r="AP9029" s="4" t="s">
        <v>376</v>
      </c>
      <c r="AR9029" s="4" t="s">
        <v>377</v>
      </c>
    </row>
    <row r="9030" spans="1:44">
      <c r="A9030" s="4" t="s">
        <v>10753</v>
      </c>
      <c r="B9030" s="4">
        <v>199880</v>
      </c>
      <c r="D9030" s="5" t="s">
        <v>12238</v>
      </c>
      <c r="E9030" s="6" t="str">
        <f>HYPERLINK("https://inpn.mnhn.fr/espece/cd_nom/199880","Orcula dolium (Draparnaud, 1801)")</f>
        <v>Orcula dolium (Draparnaud, 1801)</v>
      </c>
      <c r="F9030" s="5" t="s">
        <v>11817</v>
      </c>
      <c r="O9030" s="7" t="str">
        <f>HYPERLINK("#Liste_rouge!A"&amp;_xlfn.XMATCH("LC",Liste_rouge!A:A,2,1),"LC")</f>
        <v>LC</v>
      </c>
      <c r="P9030" s="7" t="str">
        <f>HYPERLINK("#Liste_rouge!A"&amp;_xlfn.XMATCH("LC",Liste_rouge!A:A,2,1),"LC")</f>
        <v>LC</v>
      </c>
      <c r="Q9030" s="7" t="str">
        <f>HYPERLINK("#Liste_rouge!A"&amp;_xlfn.XMATCH("LC",Liste_rouge!A:A,2,1),"LC")</f>
        <v>LC</v>
      </c>
      <c r="AH9030" s="4" t="str">
        <f>HYPERLINK("#Statut_biogéographique!A"&amp;_xlfn.XMATCH("P",Statut_biogéographique!A:A,2,1),"P")</f>
        <v>P</v>
      </c>
      <c r="AM9030" s="4" t="s">
        <v>375</v>
      </c>
      <c r="AN9030" s="4" t="s">
        <v>375</v>
      </c>
      <c r="AO9030" s="4" t="s">
        <v>375</v>
      </c>
      <c r="AP9030" s="4" t="s">
        <v>376</v>
      </c>
      <c r="AR9030" s="4" t="s">
        <v>377</v>
      </c>
    </row>
    <row r="9031" spans="1:44">
      <c r="A9031" s="4" t="s">
        <v>10753</v>
      </c>
      <c r="B9031" s="4">
        <v>199881</v>
      </c>
      <c r="D9031" s="5" t="s">
        <v>12239</v>
      </c>
      <c r="E9031" s="6" t="str">
        <f>HYPERLINK("https://inpn.mnhn.fr/espece/cd_nom/199881","Oxychilus navarricus (Bourguignat, 1870)")</f>
        <v>Oxychilus navarricus (Bourguignat, 1870)</v>
      </c>
      <c r="F9031" s="5" t="s">
        <v>12240</v>
      </c>
      <c r="O9031" s="7" t="str">
        <f>HYPERLINK("#Liste_rouge!A"&amp;_xlfn.XMATCH("LC",Liste_rouge!A:A,2,1),"LC")</f>
        <v>LC</v>
      </c>
      <c r="P9031" s="7" t="str">
        <f>HYPERLINK("#Liste_rouge!A"&amp;_xlfn.XMATCH("LC",Liste_rouge!A:A,2,1),"LC")</f>
        <v>LC</v>
      </c>
      <c r="Q9031" s="7" t="str">
        <f>HYPERLINK("#Liste_rouge!A"&amp;_xlfn.XMATCH("LC",Liste_rouge!A:A,2,1),"LC")</f>
        <v>LC</v>
      </c>
      <c r="AH9031" s="4" t="str">
        <f>HYPERLINK("#Statut_biogéographique!A"&amp;_xlfn.XMATCH("P",Statut_biogéographique!A:A,2,1),"P")</f>
        <v>P</v>
      </c>
      <c r="AM9031" s="4" t="s">
        <v>375</v>
      </c>
      <c r="AN9031" s="4" t="s">
        <v>375</v>
      </c>
      <c r="AO9031" s="4" t="s">
        <v>375</v>
      </c>
      <c r="AP9031" s="4" t="s">
        <v>376</v>
      </c>
      <c r="AR9031" s="4" t="s">
        <v>377</v>
      </c>
    </row>
    <row r="9032" spans="1:44">
      <c r="A9032" s="4" t="s">
        <v>10753</v>
      </c>
      <c r="B9032" s="4">
        <v>199882</v>
      </c>
      <c r="D9032" s="5" t="s">
        <v>12241</v>
      </c>
      <c r="E9032" s="6" t="str">
        <f>HYPERLINK("https://inpn.mnhn.fr/espece/cd_nom/199882","Oxyloma elegans (Risso, 1826)")</f>
        <v>Oxyloma elegans (Risso, 1826)</v>
      </c>
      <c r="F9032" s="5" t="s">
        <v>11808</v>
      </c>
      <c r="P9032" s="7" t="str">
        <f>HYPERLINK("#Liste_rouge!A"&amp;_xlfn.XMATCH("LC",Liste_rouge!A:A,2,1),"LC")</f>
        <v>LC</v>
      </c>
      <c r="Q9032" s="7" t="str">
        <f>HYPERLINK("#Liste_rouge!A"&amp;_xlfn.XMATCH("LC",Liste_rouge!A:A,2,1),"LC")</f>
        <v>LC</v>
      </c>
      <c r="AH9032" s="4" t="str">
        <f>HYPERLINK("#Statut_biogéographique!A"&amp;_xlfn.XMATCH("P",Statut_biogéographique!A:A,2,1),"P")</f>
        <v>P</v>
      </c>
      <c r="AM9032" s="4" t="s">
        <v>375</v>
      </c>
      <c r="AN9032" s="4" t="s">
        <v>375</v>
      </c>
      <c r="AO9032" s="4" t="s">
        <v>375</v>
      </c>
      <c r="AP9032" s="4" t="s">
        <v>376</v>
      </c>
      <c r="AR9032" s="4" t="s">
        <v>377</v>
      </c>
    </row>
    <row r="9033" spans="1:44">
      <c r="A9033" s="4" t="s">
        <v>10753</v>
      </c>
      <c r="B9033" s="4">
        <v>199883</v>
      </c>
      <c r="D9033" s="5" t="s">
        <v>12242</v>
      </c>
      <c r="E9033" s="6" t="str">
        <f>HYPERLINK("https://inpn.mnhn.fr/espece/cd_nom/199883","Pagodulina pagodula (Des Moulins, 1830)")</f>
        <v>Pagodulina pagodula (Des Moulins, 1830)</v>
      </c>
      <c r="F9033" s="5" t="s">
        <v>12243</v>
      </c>
      <c r="O9033" s="7" t="str">
        <f>HYPERLINK("#Liste_rouge!A"&amp;_xlfn.XMATCH("LC",Liste_rouge!A:A,2,1),"LC")</f>
        <v>LC</v>
      </c>
      <c r="P9033" s="7" t="str">
        <f>HYPERLINK("#Liste_rouge!A"&amp;_xlfn.XMATCH("LC",Liste_rouge!A:A,2,1),"LC")</f>
        <v>LC</v>
      </c>
      <c r="Q9033" s="7" t="str">
        <f>HYPERLINK("#Liste_rouge!A"&amp;_xlfn.XMATCH("LC",Liste_rouge!A:A,2,1),"LC")</f>
        <v>LC</v>
      </c>
      <c r="AH9033" s="4" t="str">
        <f>HYPERLINK("#Statut_biogéographique!A"&amp;_xlfn.XMATCH("P",Statut_biogéographique!A:A,2,1),"P")</f>
        <v>P</v>
      </c>
      <c r="AM9033" s="4" t="s">
        <v>375</v>
      </c>
      <c r="AN9033" s="4" t="s">
        <v>375</v>
      </c>
      <c r="AO9033" s="4" t="s">
        <v>375</v>
      </c>
      <c r="AP9033" s="4" t="s">
        <v>376</v>
      </c>
      <c r="AR9033" s="4" t="s">
        <v>377</v>
      </c>
    </row>
    <row r="9034" spans="1:44">
      <c r="A9034" s="4" t="s">
        <v>10753</v>
      </c>
      <c r="B9034" s="4">
        <v>199888</v>
      </c>
      <c r="D9034" s="5" t="s">
        <v>12244</v>
      </c>
      <c r="E9034" s="6" t="str">
        <f>HYPERLINK("https://inpn.mnhn.fr/espece/cd_nom/199888","Platyla polita (W. Hartmann, 1840)")</f>
        <v>Platyla polita (W. Hartmann, 1840)</v>
      </c>
      <c r="F9034" s="5" t="s">
        <v>11768</v>
      </c>
      <c r="O9034" s="7" t="str">
        <f>HYPERLINK("#Liste_rouge!A"&amp;_xlfn.XMATCH("LC",Liste_rouge!A:A,2,1),"LC")</f>
        <v>LC</v>
      </c>
      <c r="P9034" s="7" t="str">
        <f>HYPERLINK("#Liste_rouge!A"&amp;_xlfn.XMATCH("LC",Liste_rouge!A:A,2,1),"LC")</f>
        <v>LC</v>
      </c>
      <c r="Q9034" s="7" t="str">
        <f>HYPERLINK("#Liste_rouge!A"&amp;_xlfn.XMATCH("LC",Liste_rouge!A:A,2,1),"LC")</f>
        <v>LC</v>
      </c>
      <c r="AH9034" s="4" t="str">
        <f>HYPERLINK("#Statut_biogéographique!A"&amp;_xlfn.XMATCH("P",Statut_biogéographique!A:A,2,1),"P")</f>
        <v>P</v>
      </c>
      <c r="AM9034" s="4" t="s">
        <v>375</v>
      </c>
      <c r="AN9034" s="4" t="s">
        <v>375</v>
      </c>
      <c r="AO9034" s="4" t="s">
        <v>375</v>
      </c>
      <c r="AP9034" s="4" t="s">
        <v>376</v>
      </c>
      <c r="AR9034" s="4" t="s">
        <v>377</v>
      </c>
    </row>
    <row r="9035" spans="1:44">
      <c r="A9035" s="4" t="s">
        <v>10753</v>
      </c>
      <c r="B9035" s="4">
        <v>199889</v>
      </c>
      <c r="D9035" s="5" t="s">
        <v>12245</v>
      </c>
      <c r="E9035" s="6" t="str">
        <f>HYPERLINK("https://inpn.mnhn.fr/espece/cd_nom/199889","Pseudunio auricularius (Spengler, 1793)")</f>
        <v>Pseudunio auricularius (Spengler, 1793)</v>
      </c>
      <c r="F9035" s="5" t="s">
        <v>12246</v>
      </c>
      <c r="I9035" s="4" t="str">
        <f>HYPERLINK("#Réglementation!A"&amp;_xlfn.XMATCH("IBE2",Réglementation!A:A,2,1),"IBE2")</f>
        <v>IBE2</v>
      </c>
      <c r="K9035" s="4" t="str">
        <f>HYPERLINK("#Réglementation!A"&amp;_xlfn.XMATCH("CDH4",Réglementation!A:A,2,1),"CDH4")</f>
        <v>CDH4</v>
      </c>
      <c r="L9035" s="4" t="str">
        <f>HYPERLINK("#Réglementation!A"&amp;_xlfn.XMATCH("NMO2",Réglementation!A:A,2,1),"NMO2")</f>
        <v>NMO2</v>
      </c>
      <c r="O9035" s="7" t="str">
        <f>HYPERLINK("#Liste_rouge!A"&amp;_xlfn.XMATCH("CR",Liste_rouge!A:A,2,1),"CR")</f>
        <v>CR</v>
      </c>
      <c r="P9035" s="7" t="str">
        <f>HYPERLINK("#Liste_rouge!A"&amp;_xlfn.XMATCH("CR",Liste_rouge!A:A,2,1),"CR")</f>
        <v>CR</v>
      </c>
      <c r="Q9035" s="7" t="str">
        <f>HYPERLINK("#Liste_rouge!A"&amp;_xlfn.XMATCH("CR",Liste_rouge!A:A,2,1),"CR")</f>
        <v>CR</v>
      </c>
      <c r="AE9035" s="4" t="str">
        <f>HYPERLINK("#SCAP!A"&amp;_xlfn.XMATCH("7",SCAP!A:A,2,1),"7")</f>
        <v>7</v>
      </c>
      <c r="AH9035" s="4" t="str">
        <f>HYPERLINK("#Statut_biogéographique!A"&amp;_xlfn.XMATCH("P",Statut_biogéographique!A:A,2,1),"P")</f>
        <v>P</v>
      </c>
      <c r="AI9035" s="8" t="s">
        <v>12247</v>
      </c>
      <c r="AJ9035" s="4" t="s">
        <v>12248</v>
      </c>
      <c r="AM9035" s="4" t="s">
        <v>375</v>
      </c>
      <c r="AN9035" s="4" t="s">
        <v>375</v>
      </c>
      <c r="AO9035" s="4" t="s">
        <v>375</v>
      </c>
      <c r="AP9035" s="4" t="s">
        <v>389</v>
      </c>
      <c r="AR9035" s="4" t="s">
        <v>377</v>
      </c>
    </row>
    <row r="9036" spans="1:44">
      <c r="A9036" s="4" t="s">
        <v>10753</v>
      </c>
      <c r="B9036" s="4">
        <v>199900</v>
      </c>
      <c r="D9036" s="5" t="s">
        <v>12249</v>
      </c>
      <c r="E9036" s="6" t="str">
        <f>HYPERLINK("https://inpn.mnhn.fr/espece/cd_nom/199900","Unio mancus Lamarck, 1819")</f>
        <v>Unio mancus Lamarck, 1819</v>
      </c>
      <c r="F9036" s="5" t="s">
        <v>11971</v>
      </c>
      <c r="I9036" s="4" t="str">
        <f>HYPERLINK("#Réglementation!A"&amp;_xlfn.XMATCH("IBE3",Réglementation!A:A,2,1),"IBE3")</f>
        <v>IBE3</v>
      </c>
      <c r="K9036" s="4" t="str">
        <f>HYPERLINK("#Réglementation!A"&amp;_xlfn.XMATCH("CDH5",Réglementation!A:A,2,1),"CDH5")</f>
        <v>CDH5</v>
      </c>
      <c r="O9036" s="7" t="str">
        <f>HYPERLINK("#Liste_rouge!A"&amp;_xlfn.XMATCH("NT",Liste_rouge!A:A,2,1),"NT")</f>
        <v>NT</v>
      </c>
      <c r="P9036" s="7" t="str">
        <f>HYPERLINK("#Liste_rouge!A"&amp;_xlfn.XMATCH("NT",Liste_rouge!A:A,2,1),"NT")</f>
        <v>NT</v>
      </c>
      <c r="Q9036" s="7" t="str">
        <f>HYPERLINK("#Liste_rouge!A"&amp;_xlfn.XMATCH("LC",Liste_rouge!A:A,2,1),"LC")</f>
        <v>LC</v>
      </c>
      <c r="AH9036" s="4" t="str">
        <f>HYPERLINK("#Statut_biogéographique!A"&amp;_xlfn.XMATCH("P",Statut_biogéographique!A:A,2,1),"P")</f>
        <v>P</v>
      </c>
      <c r="AM9036" s="4" t="s">
        <v>375</v>
      </c>
      <c r="AN9036" s="4" t="s">
        <v>375</v>
      </c>
      <c r="AO9036" s="4" t="s">
        <v>375</v>
      </c>
      <c r="AP9036" s="4" t="s">
        <v>376</v>
      </c>
      <c r="AR9036" s="4" t="s">
        <v>377</v>
      </c>
    </row>
    <row r="9037" spans="1:44" ht="30">
      <c r="A9037" s="4" t="s">
        <v>10753</v>
      </c>
      <c r="B9037" s="4">
        <v>199905</v>
      </c>
      <c r="D9037" s="5" t="s">
        <v>12250</v>
      </c>
      <c r="E9037" s="6" t="str">
        <f>HYPERLINK("https://inpn.mnhn.fr/espece/cd_nom/199905","Vitrea diaphana (S. Studer, 1820)")</f>
        <v>Vitrea diaphana (S. Studer, 1820)</v>
      </c>
      <c r="F9037" s="5" t="s">
        <v>12251</v>
      </c>
      <c r="O9037" s="7" t="str">
        <f>HYPERLINK("#Liste_rouge!A"&amp;_xlfn.XMATCH("LC",Liste_rouge!A:A,2,1),"LC")</f>
        <v>LC</v>
      </c>
      <c r="P9037" s="7" t="str">
        <f>HYPERLINK("#Liste_rouge!A"&amp;_xlfn.XMATCH("LC",Liste_rouge!A:A,2,1),"LC")</f>
        <v>LC</v>
      </c>
      <c r="Q9037" s="7" t="str">
        <f>HYPERLINK("#Liste_rouge!A"&amp;_xlfn.XMATCH("LC",Liste_rouge!A:A,2,1),"LC")</f>
        <v>LC</v>
      </c>
      <c r="AH9037" s="4" t="str">
        <f>HYPERLINK("#Statut_biogéographique!A"&amp;_xlfn.XMATCH("P",Statut_biogéographique!A:A,2,1),"P")</f>
        <v>P</v>
      </c>
      <c r="AM9037" s="4" t="s">
        <v>375</v>
      </c>
      <c r="AN9037" s="4" t="s">
        <v>375</v>
      </c>
      <c r="AO9037" s="4" t="s">
        <v>375</v>
      </c>
      <c r="AP9037" s="4" t="s">
        <v>376</v>
      </c>
      <c r="AR9037" s="4" t="s">
        <v>377</v>
      </c>
    </row>
    <row r="9038" spans="1:44" ht="45">
      <c r="A9038" s="4" t="s">
        <v>10753</v>
      </c>
      <c r="B9038" s="4">
        <v>199907</v>
      </c>
      <c r="D9038" s="5" t="s">
        <v>12252</v>
      </c>
      <c r="E9038" s="6" t="str">
        <f>HYPERLINK("https://inpn.mnhn.fr/espece/cd_nom/199907","Zebrina detrita (O.F. Müller, 1774)")</f>
        <v>Zebrina detrita (O.F. Müller, 1774)</v>
      </c>
      <c r="F9038" s="5" t="s">
        <v>12253</v>
      </c>
      <c r="P9038" s="7" t="str">
        <f>HYPERLINK("#Liste_rouge!A"&amp;_xlfn.XMATCH("LC",Liste_rouge!A:A,2,1),"LC")</f>
        <v>LC</v>
      </c>
      <c r="Q9038" s="7" t="str">
        <f>HYPERLINK("#Liste_rouge!A"&amp;_xlfn.XMATCH("LC",Liste_rouge!A:A,2,1),"LC")</f>
        <v>LC</v>
      </c>
      <c r="AH9038" s="4" t="str">
        <f>HYPERLINK("#Statut_biogéographique!A"&amp;_xlfn.XMATCH("P",Statut_biogéographique!A:A,2,1),"P")</f>
        <v>P</v>
      </c>
      <c r="AM9038" s="4" t="s">
        <v>375</v>
      </c>
      <c r="AN9038" s="4" t="s">
        <v>375</v>
      </c>
      <c r="AO9038" s="4" t="s">
        <v>375</v>
      </c>
      <c r="AP9038" s="4" t="s">
        <v>376</v>
      </c>
      <c r="AR9038" s="4" t="s">
        <v>377</v>
      </c>
    </row>
    <row r="9039" spans="1:44" ht="30">
      <c r="A9039" s="4" t="s">
        <v>10753</v>
      </c>
      <c r="B9039" s="4">
        <v>199909</v>
      </c>
      <c r="D9039" s="5" t="s">
        <v>12254</v>
      </c>
      <c r="E9039" s="6" t="str">
        <f>HYPERLINK("https://inpn.mnhn.fr/espece/cd_nom/199909","Aeshna isoceles (O.F. Müller, 1767)")</f>
        <v>Aeshna isoceles (O.F. Müller, 1767)</v>
      </c>
      <c r="F9039" s="5" t="s">
        <v>12255</v>
      </c>
      <c r="O9039" s="7" t="str">
        <f>HYPERLINK("#Liste_rouge!A"&amp;_xlfn.XMATCH("LC",Liste_rouge!A:A,2,1),"LC")</f>
        <v>LC</v>
      </c>
      <c r="P9039" s="7" t="str">
        <f>HYPERLINK("#Liste_rouge!A"&amp;_xlfn.XMATCH("LC",Liste_rouge!A:A,2,1),"LC")</f>
        <v>LC</v>
      </c>
      <c r="Q9039" s="7" t="str">
        <f>HYPERLINK("#Liste_rouge!A"&amp;_xlfn.XMATCH("LC",Liste_rouge!A:A,2,1),"LC")</f>
        <v>LC</v>
      </c>
      <c r="T9039" s="7" t="str">
        <f>HYPERLINK("#Liste_rouge!A"&amp;_xlfn.XMATCH("NT",Liste_rouge!A:A,2,1),"NT")</f>
        <v>NT</v>
      </c>
      <c r="V9039" s="7" t="str">
        <f>HYPERLINK("#Liste_rouge!A"&amp;_xlfn.XMATCH("VU",Liste_rouge!A:A,2,1),"VU")</f>
        <v>VU</v>
      </c>
      <c r="W9039" s="4" t="str">
        <f>HYPERLINK("#Critères_liste_rouge!A$1","B2ab(iii)")</f>
        <v>B2ab(iii)</v>
      </c>
      <c r="X9039" s="5" t="s">
        <v>398</v>
      </c>
      <c r="AH9039" s="4" t="str">
        <f>HYPERLINK("#Statut_biogéographique!A"&amp;_xlfn.XMATCH("P",Statut_biogéographique!A:A,2,1),"P")</f>
        <v>P</v>
      </c>
      <c r="AM9039" s="4" t="s">
        <v>375</v>
      </c>
      <c r="AN9039" s="4" t="s">
        <v>375</v>
      </c>
      <c r="AO9039" s="4" t="s">
        <v>375</v>
      </c>
      <c r="AP9039" s="4" t="s">
        <v>376</v>
      </c>
      <c r="AR9039" s="4" t="s">
        <v>377</v>
      </c>
    </row>
    <row r="9040" spans="1:44">
      <c r="A9040" s="4" t="s">
        <v>10753</v>
      </c>
      <c r="B9040" s="4">
        <v>199958</v>
      </c>
      <c r="D9040" s="5" t="s">
        <v>12256</v>
      </c>
      <c r="E9040" s="6" t="str">
        <f>HYPERLINK("https://inpn.mnhn.fr/espece/cd_nom/199958","Pezotettix giornae (Rossi, 1794)")</f>
        <v>Pezotettix giornae (Rossi, 1794)</v>
      </c>
      <c r="F9040" s="5" t="s">
        <v>12257</v>
      </c>
      <c r="P9040" s="7" t="str">
        <f>HYPERLINK("#Liste_rouge!A"&amp;_xlfn.XMATCH("LC",Liste_rouge!A:A,2,1),"LC")</f>
        <v>LC</v>
      </c>
      <c r="X9040" s="5" t="s">
        <v>374</v>
      </c>
      <c r="AH9040" s="4" t="str">
        <f>HYPERLINK("#Statut_biogéographique!A"&amp;_xlfn.XMATCH("P",Statut_biogéographique!A:A,2,1),"P")</f>
        <v>P</v>
      </c>
      <c r="AM9040" s="4" t="s">
        <v>375</v>
      </c>
      <c r="AN9040" s="4" t="s">
        <v>375</v>
      </c>
      <c r="AO9040" s="4" t="s">
        <v>375</v>
      </c>
      <c r="AP9040" s="4" t="s">
        <v>376</v>
      </c>
      <c r="AR9040" s="4" t="s">
        <v>377</v>
      </c>
    </row>
    <row r="9041" spans="1:44">
      <c r="A9041" s="4" t="s">
        <v>10753</v>
      </c>
      <c r="B9041" s="4">
        <v>20011</v>
      </c>
      <c r="D9041" s="5" t="s">
        <v>12258</v>
      </c>
      <c r="E9041" s="6" t="str">
        <f>HYPERLINK("https://inpn.mnhn.fr/espece/cd_nom/20011","Ablabesmyia monilis (Linnaeus, 1758)")</f>
        <v>Ablabesmyia monilis (Linnaeus, 1758)</v>
      </c>
      <c r="AH9041" s="4" t="str">
        <f>HYPERLINK("#Statut_biogéographique!A"&amp;_xlfn.XMATCH("P",Statut_biogéographique!A:A,2,1),"P")</f>
        <v>P</v>
      </c>
      <c r="AP9041" s="4" t="s">
        <v>376</v>
      </c>
      <c r="AR9041" s="4" t="s">
        <v>377</v>
      </c>
    </row>
    <row r="9042" spans="1:44">
      <c r="A9042" s="4" t="s">
        <v>10753</v>
      </c>
      <c r="B9042" s="4">
        <v>20012</v>
      </c>
      <c r="D9042" s="5" t="s">
        <v>12259</v>
      </c>
      <c r="E9042" s="6" t="str">
        <f>HYPERLINK("https://inpn.mnhn.fr/espece/cd_nom/20012","Ablabesmyia phatta (Egger, 1863)")</f>
        <v>Ablabesmyia phatta (Egger, 1863)</v>
      </c>
      <c r="AH9042" s="4" t="str">
        <f>HYPERLINK("#Statut_biogéographique!A"&amp;_xlfn.XMATCH("P",Statut_biogéographique!A:A,2,1),"P")</f>
        <v>P</v>
      </c>
      <c r="AP9042" s="4" t="s">
        <v>376</v>
      </c>
      <c r="AR9042" s="4" t="s">
        <v>377</v>
      </c>
    </row>
    <row r="9043" spans="1:44">
      <c r="A9043" s="4" t="s">
        <v>10753</v>
      </c>
      <c r="B9043" s="4">
        <v>200330</v>
      </c>
      <c r="D9043" s="5" t="s">
        <v>12260</v>
      </c>
      <c r="E9043" s="6" t="str">
        <f>HYPERLINK("https://inpn.mnhn.fr/espece/cd_nom/200330","Acanthobodilus immundus (Creutzer, 1799)")</f>
        <v>Acanthobodilus immundus (Creutzer, 1799)</v>
      </c>
      <c r="AH9043" s="4" t="str">
        <f>HYPERLINK("#Statut_biogéographique!A"&amp;_xlfn.XMATCH("P",Statut_biogéographique!A:A,2,1),"P")</f>
        <v>P</v>
      </c>
      <c r="AP9043" s="4" t="s">
        <v>376</v>
      </c>
      <c r="AR9043" s="4" t="s">
        <v>377</v>
      </c>
    </row>
    <row r="9044" spans="1:44" ht="30">
      <c r="A9044" s="4" t="s">
        <v>10753</v>
      </c>
      <c r="B9044" s="4">
        <v>200331</v>
      </c>
      <c r="D9044" s="5" t="s">
        <v>12261</v>
      </c>
      <c r="E9044" s="6" t="str">
        <f>HYPERLINK("https://inpn.mnhn.fr/espece/cd_nom/200331","Acrossus depressus (Kugelann, 1792)")</f>
        <v>Acrossus depressus (Kugelann, 1792)</v>
      </c>
      <c r="AH9044" s="4" t="str">
        <f>HYPERLINK("#Statut_biogéographique!A"&amp;_xlfn.XMATCH("P",Statut_biogéographique!A:A,2,1),"P")</f>
        <v>P</v>
      </c>
      <c r="AP9044" s="4" t="s">
        <v>376</v>
      </c>
      <c r="AR9044" s="4" t="s">
        <v>377</v>
      </c>
    </row>
    <row r="9045" spans="1:44" ht="30">
      <c r="A9045" s="4" t="s">
        <v>10753</v>
      </c>
      <c r="B9045" s="4">
        <v>200333</v>
      </c>
      <c r="D9045" s="5" t="s">
        <v>12262</v>
      </c>
      <c r="E9045" s="6" t="str">
        <f>HYPERLINK("https://inpn.mnhn.fr/espece/cd_nom/200333","Acrossus luridus (Fabricius, 1775)")</f>
        <v>Acrossus luridus (Fabricius, 1775)</v>
      </c>
      <c r="AH9045" s="4" t="str">
        <f>HYPERLINK("#Statut_biogéographique!A"&amp;_xlfn.XMATCH("P",Statut_biogéographique!A:A,2,1),"P")</f>
        <v>P</v>
      </c>
      <c r="AP9045" s="4" t="s">
        <v>376</v>
      </c>
      <c r="AR9045" s="4" t="s">
        <v>377</v>
      </c>
    </row>
    <row r="9046" spans="1:44" ht="30">
      <c r="A9046" s="4" t="s">
        <v>10753</v>
      </c>
      <c r="B9046" s="4">
        <v>200334</v>
      </c>
      <c r="D9046" s="5" t="s">
        <v>12263</v>
      </c>
      <c r="E9046" s="6" t="str">
        <f>HYPERLINK("https://inpn.mnhn.fr/espece/cd_nom/200334","Acrossus rufipes (Linnaeus, 1758)")</f>
        <v>Acrossus rufipes (Linnaeus, 1758)</v>
      </c>
      <c r="AH9046" s="4" t="str">
        <f>HYPERLINK("#Statut_biogéographique!A"&amp;_xlfn.XMATCH("P",Statut_biogéographique!A:A,2,1),"P")</f>
        <v>P</v>
      </c>
      <c r="AP9046" s="4" t="s">
        <v>376</v>
      </c>
      <c r="AR9046" s="4" t="s">
        <v>377</v>
      </c>
    </row>
    <row r="9047" spans="1:44">
      <c r="A9047" s="4" t="s">
        <v>10753</v>
      </c>
      <c r="B9047" s="4">
        <v>200344</v>
      </c>
      <c r="D9047" s="5" t="s">
        <v>12264</v>
      </c>
      <c r="E9047" s="6" t="str">
        <f>HYPERLINK("https://inpn.mnhn.fr/espece/cd_nom/200344","Agrilinus ater (De Geer, 1774)")</f>
        <v>Agrilinus ater (De Geer, 1774)</v>
      </c>
      <c r="AH9047" s="4" t="str">
        <f>HYPERLINK("#Statut_biogéographique!A"&amp;_xlfn.XMATCH("P",Statut_biogéographique!A:A,2,1),"P")</f>
        <v>P</v>
      </c>
      <c r="AP9047" s="4" t="s">
        <v>376</v>
      </c>
      <c r="AR9047" s="4" t="s">
        <v>377</v>
      </c>
    </row>
    <row r="9048" spans="1:44" ht="30">
      <c r="A9048" s="4" t="s">
        <v>10753</v>
      </c>
      <c r="B9048" s="4">
        <v>200345</v>
      </c>
      <c r="D9048" s="5" t="s">
        <v>12265</v>
      </c>
      <c r="E9048" s="6" t="str">
        <f>HYPERLINK("https://inpn.mnhn.fr/espece/cd_nom/200345","Agrilinus constans (Duftschmid, 1805)")</f>
        <v>Agrilinus constans (Duftschmid, 1805)</v>
      </c>
      <c r="AH9048" s="4" t="str">
        <f>HYPERLINK("#Statut_biogéographique!A"&amp;_xlfn.XMATCH("P",Statut_biogéographique!A:A,2,1),"P")</f>
        <v>P</v>
      </c>
      <c r="AP9048" s="4" t="s">
        <v>376</v>
      </c>
      <c r="AR9048" s="4" t="s">
        <v>377</v>
      </c>
    </row>
    <row r="9049" spans="1:44">
      <c r="A9049" s="4" t="s">
        <v>10753</v>
      </c>
      <c r="B9049" s="4">
        <v>200359</v>
      </c>
      <c r="D9049" s="5" t="s">
        <v>12266</v>
      </c>
      <c r="E9049" s="6" t="str">
        <f>HYPERLINK("https://inpn.mnhn.fr/espece/cd_nom/200359","Ammoecius brevis Erichson, 1848")</f>
        <v>Ammoecius brevis Erichson, 1848</v>
      </c>
      <c r="AH9049" s="4" t="str">
        <f>HYPERLINK("#Statut_biogéographique!A"&amp;_xlfn.XMATCH("P",Statut_biogéographique!A:A,2,1),"P")</f>
        <v>P</v>
      </c>
      <c r="AP9049" s="4" t="s">
        <v>376</v>
      </c>
      <c r="AR9049" s="4" t="s">
        <v>377</v>
      </c>
    </row>
    <row r="9050" spans="1:44" ht="30">
      <c r="A9050" s="4" t="s">
        <v>10753</v>
      </c>
      <c r="B9050" s="4">
        <v>200390</v>
      </c>
      <c r="D9050" s="5" t="s">
        <v>12267</v>
      </c>
      <c r="E9050" s="6" t="str">
        <f>HYPERLINK("https://inpn.mnhn.fr/espece/cd_nom/200390","Biralus satellitius (Herbst, 1789)")</f>
        <v>Biralus satellitius (Herbst, 1789)</v>
      </c>
      <c r="AH9050" s="4" t="str">
        <f>HYPERLINK("#Statut_biogéographique!A"&amp;_xlfn.XMATCH("P",Statut_biogéographique!A:A,2,1),"P")</f>
        <v>P</v>
      </c>
      <c r="AP9050" s="4" t="s">
        <v>376</v>
      </c>
      <c r="AR9050" s="4" t="s">
        <v>377</v>
      </c>
    </row>
    <row r="9051" spans="1:44">
      <c r="A9051" s="4" t="s">
        <v>10753</v>
      </c>
      <c r="B9051" s="4">
        <v>200426</v>
      </c>
      <c r="D9051" s="5" t="s">
        <v>12268</v>
      </c>
      <c r="E9051" s="6" t="str">
        <f>HYPERLINK("https://inpn.mnhn.fr/espece/cd_nom/200426","Colobopterus erraticus (Linnaeus, 1758)")</f>
        <v>Colobopterus erraticus (Linnaeus, 1758)</v>
      </c>
      <c r="F9051" s="5" t="s">
        <v>12269</v>
      </c>
      <c r="AH9051" s="4" t="str">
        <f>HYPERLINK("#Statut_biogéographique!A"&amp;_xlfn.XMATCH("P",Statut_biogéographique!A:A,2,1),"P")</f>
        <v>P</v>
      </c>
      <c r="AP9051" s="4" t="s">
        <v>376</v>
      </c>
      <c r="AR9051" s="4" t="s">
        <v>377</v>
      </c>
    </row>
    <row r="9052" spans="1:44" ht="30">
      <c r="A9052" s="4" t="s">
        <v>10753</v>
      </c>
      <c r="B9052" s="4">
        <v>200427</v>
      </c>
      <c r="D9052" s="5" t="s">
        <v>12270</v>
      </c>
      <c r="E9052" s="6" t="str">
        <f>HYPERLINK("https://inpn.mnhn.fr/espece/cd_nom/200427","Coprimorphus scrutator (Herbst, 1789)")</f>
        <v>Coprimorphus scrutator (Herbst, 1789)</v>
      </c>
      <c r="AH9052" s="4" t="str">
        <f>HYPERLINK("#Statut_biogéographique!A"&amp;_xlfn.XMATCH("P",Statut_biogéographique!A:A,2,1),"P")</f>
        <v>P</v>
      </c>
      <c r="AP9052" s="4" t="s">
        <v>376</v>
      </c>
      <c r="AR9052" s="4" t="s">
        <v>377</v>
      </c>
    </row>
    <row r="9053" spans="1:44">
      <c r="A9053" s="4" t="s">
        <v>10753</v>
      </c>
      <c r="B9053" s="4">
        <v>200434</v>
      </c>
      <c r="D9053" s="5" t="s">
        <v>12271</v>
      </c>
      <c r="E9053" s="6" t="str">
        <f>HYPERLINK("https://inpn.mnhn.fr/espece/cd_nom/200434","Esymus pusillus (Herbst, 1789)")</f>
        <v>Esymus pusillus (Herbst, 1789)</v>
      </c>
      <c r="AH9053" s="4" t="str">
        <f>HYPERLINK("#Statut_biogéographique!A"&amp;_xlfn.XMATCH("P",Statut_biogéographique!A:A,2,1),"P")</f>
        <v>P</v>
      </c>
      <c r="AP9053" s="4" t="s">
        <v>376</v>
      </c>
      <c r="AR9053" s="4" t="s">
        <v>377</v>
      </c>
    </row>
    <row r="9054" spans="1:44" ht="30">
      <c r="A9054" s="4" t="s">
        <v>10753</v>
      </c>
      <c r="B9054" s="4">
        <v>200442</v>
      </c>
      <c r="D9054" s="5" t="s">
        <v>12272</v>
      </c>
      <c r="E9054" s="6" t="str">
        <f>HYPERLINK("https://inpn.mnhn.fr/espece/cd_nom/200442","Euorodalus paracoenosus (Balthasar &amp; Hrubant, 1960)")</f>
        <v>Euorodalus paracoenosus (Balthasar &amp; Hrubant, 1960)</v>
      </c>
      <c r="AH9054" s="4" t="str">
        <f>HYPERLINK("#Statut_biogéographique!A"&amp;_xlfn.XMATCH("P",Statut_biogéographique!A:A,2,1),"P")</f>
        <v>P</v>
      </c>
      <c r="AP9054" s="4" t="s">
        <v>376</v>
      </c>
      <c r="AR9054" s="4" t="s">
        <v>377</v>
      </c>
    </row>
    <row r="9055" spans="1:44">
      <c r="A9055" s="4" t="s">
        <v>10753</v>
      </c>
      <c r="B9055" s="4">
        <v>200459</v>
      </c>
      <c r="D9055" s="5" t="s">
        <v>12273</v>
      </c>
      <c r="E9055" s="6" t="str">
        <f>HYPERLINK("https://inpn.mnhn.fr/espece/cd_nom/200459","Hoplia philanthus (Fuessly, 1775)")</f>
        <v>Hoplia philanthus (Fuessly, 1775)</v>
      </c>
      <c r="F9055" s="5" t="s">
        <v>12274</v>
      </c>
      <c r="AH9055" s="4" t="str">
        <f>HYPERLINK("#Statut_biogéographique!A"&amp;_xlfn.XMATCH("P",Statut_biogéographique!A:A,2,1),"P")</f>
        <v>P</v>
      </c>
      <c r="AP9055" s="4" t="s">
        <v>376</v>
      </c>
      <c r="AR9055" s="4" t="s">
        <v>377</v>
      </c>
    </row>
    <row r="9056" spans="1:44">
      <c r="A9056" s="4" t="s">
        <v>10753</v>
      </c>
      <c r="B9056" s="4">
        <v>200472</v>
      </c>
      <c r="D9056" s="5" t="s">
        <v>12275</v>
      </c>
      <c r="E9056" s="6" t="str">
        <f>HYPERLINK("https://inpn.mnhn.fr/espece/cd_nom/200472","Limarus maculatus (Sturm, 1800)")</f>
        <v>Limarus maculatus (Sturm, 1800)</v>
      </c>
      <c r="AH9056" s="4" t="str">
        <f>HYPERLINK("#Statut_biogéographique!A"&amp;_xlfn.XMATCH("P",Statut_biogéographique!A:A,2,1),"P")</f>
        <v>P</v>
      </c>
      <c r="AP9056" s="4" t="s">
        <v>376</v>
      </c>
      <c r="AR9056" s="4" t="s">
        <v>377</v>
      </c>
    </row>
    <row r="9057" spans="1:44">
      <c r="A9057" s="4" t="s">
        <v>10753</v>
      </c>
      <c r="B9057" s="4">
        <v>200473</v>
      </c>
      <c r="D9057" s="5" t="s">
        <v>12276</v>
      </c>
      <c r="E9057" s="6" t="str">
        <f>HYPERLINK("https://inpn.mnhn.fr/espece/cd_nom/200473","Limarus zenkeri (Germar, 1813)")</f>
        <v>Limarus zenkeri (Germar, 1813)</v>
      </c>
      <c r="AH9057" s="4" t="str">
        <f>HYPERLINK("#Statut_biogéographique!A"&amp;_xlfn.XMATCH("P",Statut_biogéographique!A:A,2,1),"P")</f>
        <v>P</v>
      </c>
      <c r="AP9057" s="4" t="s">
        <v>376</v>
      </c>
      <c r="AR9057" s="4" t="s">
        <v>377</v>
      </c>
    </row>
    <row r="9058" spans="1:44" ht="30">
      <c r="A9058" s="4" t="s">
        <v>10753</v>
      </c>
      <c r="B9058" s="4">
        <v>200483</v>
      </c>
      <c r="D9058" s="5" t="s">
        <v>12277</v>
      </c>
      <c r="E9058" s="6" t="str">
        <f>HYPERLINK("https://inpn.mnhn.fr/espece/cd_nom/200483","Melinopterus sphacelatus (Panzer, 1798)")</f>
        <v>Melinopterus sphacelatus (Panzer, 1798)</v>
      </c>
      <c r="AH9058" s="4" t="str">
        <f>HYPERLINK("#Statut_biogéographique!A"&amp;_xlfn.XMATCH("P",Statut_biogéographique!A:A,2,1),"P")</f>
        <v>P</v>
      </c>
      <c r="AP9058" s="4" t="s">
        <v>376</v>
      </c>
      <c r="AR9058" s="4" t="s">
        <v>377</v>
      </c>
    </row>
    <row r="9059" spans="1:44">
      <c r="A9059" s="4" t="s">
        <v>10753</v>
      </c>
      <c r="B9059" s="4">
        <v>200485</v>
      </c>
      <c r="D9059" s="5" t="s">
        <v>12278</v>
      </c>
      <c r="E9059" s="6" t="str">
        <f>HYPERLINK("https://inpn.mnhn.fr/espece/cd_nom/200485","Melinopterus tingens (Reitter, 1892)")</f>
        <v>Melinopterus tingens (Reitter, 1892)</v>
      </c>
      <c r="O9059" s="7" t="str">
        <f>HYPERLINK("#Liste_rouge!A"&amp;_xlfn.XMATCH("LC",Liste_rouge!A:A,2,1),"LC")</f>
        <v>LC</v>
      </c>
      <c r="AH9059" s="4" t="str">
        <f>HYPERLINK("#Statut_biogéographique!A"&amp;_xlfn.XMATCH("P",Statut_biogéographique!A:A,2,1),"P")</f>
        <v>P</v>
      </c>
      <c r="AP9059" s="4" t="s">
        <v>376</v>
      </c>
      <c r="AR9059" s="4" t="s">
        <v>377</v>
      </c>
    </row>
    <row r="9060" spans="1:44" ht="30">
      <c r="A9060" s="4" t="s">
        <v>10753</v>
      </c>
      <c r="B9060" s="4">
        <v>200487</v>
      </c>
      <c r="D9060" s="5" t="s">
        <v>12279</v>
      </c>
      <c r="E9060" s="6" t="str">
        <f>HYPERLINK("https://inpn.mnhn.fr/espece/cd_nom/200487","Melinopterus prodromus (Brahm, 1790)")</f>
        <v>Melinopterus prodromus (Brahm, 1790)</v>
      </c>
      <c r="AH9060" s="4" t="str">
        <f>HYPERLINK("#Statut_biogéographique!A"&amp;_xlfn.XMATCH("P",Statut_biogéographique!A:A,2,1),"P")</f>
        <v>P</v>
      </c>
      <c r="AP9060" s="4" t="s">
        <v>376</v>
      </c>
      <c r="AR9060" s="4" t="s">
        <v>377</v>
      </c>
    </row>
    <row r="9061" spans="1:44">
      <c r="A9061" s="4" t="s">
        <v>10753</v>
      </c>
      <c r="B9061" s="4">
        <v>200490</v>
      </c>
      <c r="D9061" s="5" t="s">
        <v>12280</v>
      </c>
      <c r="E9061" s="6" t="str">
        <f>HYPERLINK("https://inpn.mnhn.fr/espece/cd_nom/200490","Melinopterus consputus (Creutzer, 1799)")</f>
        <v>Melinopterus consputus (Creutzer, 1799)</v>
      </c>
      <c r="AH9061" s="4" t="str">
        <f>HYPERLINK("#Statut_biogéographique!A"&amp;_xlfn.XMATCH("P",Statut_biogéographique!A:A,2,1),"P")</f>
        <v>P</v>
      </c>
      <c r="AP9061" s="4" t="s">
        <v>376</v>
      </c>
      <c r="AR9061" s="4" t="s">
        <v>377</v>
      </c>
    </row>
    <row r="9062" spans="1:44" ht="30">
      <c r="A9062" s="4" t="s">
        <v>10753</v>
      </c>
      <c r="B9062" s="4">
        <v>200501</v>
      </c>
      <c r="D9062" s="5" t="s">
        <v>12281</v>
      </c>
      <c r="E9062" s="6" t="str">
        <f>HYPERLINK("https://inpn.mnhn.fr/espece/cd_nom/200501","Nialus varians (Duftschmid, 1805)")</f>
        <v>Nialus varians (Duftschmid, 1805)</v>
      </c>
      <c r="AH9062" s="4" t="str">
        <f>HYPERLINK("#Statut_biogéographique!A"&amp;_xlfn.XMATCH("P",Statut_biogéographique!A:A,2,1),"P")</f>
        <v>P</v>
      </c>
      <c r="AP9062" s="4" t="s">
        <v>376</v>
      </c>
      <c r="AR9062" s="4" t="s">
        <v>377</v>
      </c>
    </row>
    <row r="9063" spans="1:44">
      <c r="A9063" s="4" t="s">
        <v>10753</v>
      </c>
      <c r="B9063" s="4">
        <v>200505</v>
      </c>
      <c r="D9063" s="5" t="s">
        <v>12282</v>
      </c>
      <c r="E9063" s="6" t="str">
        <f>HYPERLINK("https://inpn.mnhn.fr/espece/cd_nom/200505","Nimbus contaminatus (Herbst, 1783)")</f>
        <v>Nimbus contaminatus (Herbst, 1783)</v>
      </c>
      <c r="AH9063" s="4" t="str">
        <f>HYPERLINK("#Statut_biogéographique!A"&amp;_xlfn.XMATCH("P",Statut_biogéographique!A:A,2,1),"P")</f>
        <v>P</v>
      </c>
      <c r="AP9063" s="4" t="s">
        <v>376</v>
      </c>
      <c r="AR9063" s="4" t="s">
        <v>377</v>
      </c>
    </row>
    <row r="9064" spans="1:44" ht="30">
      <c r="A9064" s="4" t="s">
        <v>10753</v>
      </c>
      <c r="B9064" s="4">
        <v>200511</v>
      </c>
      <c r="D9064" s="5" t="s">
        <v>12283</v>
      </c>
      <c r="E9064" s="6" t="str">
        <f>HYPERLINK("https://inpn.mnhn.fr/espece/cd_nom/200511","Omaloplia ruricola (Fabricius, 1775)")</f>
        <v>Omaloplia ruricola (Fabricius, 1775)</v>
      </c>
      <c r="F9064" s="5" t="s">
        <v>12284</v>
      </c>
      <c r="AH9064" s="4" t="str">
        <f>HYPERLINK("#Statut_biogéographique!A"&amp;_xlfn.XMATCH("P",Statut_biogéographique!A:A,2,1),"P")</f>
        <v>P</v>
      </c>
      <c r="AP9064" s="4" t="s">
        <v>376</v>
      </c>
      <c r="AR9064" s="4" t="s">
        <v>377</v>
      </c>
    </row>
    <row r="9065" spans="1:44">
      <c r="A9065" s="4" t="s">
        <v>10753</v>
      </c>
      <c r="B9065" s="4">
        <v>200521</v>
      </c>
      <c r="D9065" s="5" t="s">
        <v>12285</v>
      </c>
      <c r="E9065" s="6" t="str">
        <f>HYPERLINK("https://inpn.mnhn.fr/espece/cd_nom/200521","Otophorus haemorrhoidalis (Linnaeus, 1758)")</f>
        <v>Otophorus haemorrhoidalis (Linnaeus, 1758)</v>
      </c>
      <c r="AH9065" s="4" t="str">
        <f>HYPERLINK("#Statut_biogéographique!A"&amp;_xlfn.XMATCH("P",Statut_biogéographique!A:A,2,1),"P")</f>
        <v>P</v>
      </c>
      <c r="AP9065" s="4" t="s">
        <v>376</v>
      </c>
      <c r="AR9065" s="4" t="s">
        <v>377</v>
      </c>
    </row>
    <row r="9066" spans="1:44">
      <c r="A9066" s="4" t="s">
        <v>10753</v>
      </c>
      <c r="B9066" s="4">
        <v>200535</v>
      </c>
      <c r="D9066" s="5" t="s">
        <v>12286</v>
      </c>
      <c r="E9066" s="6" t="str">
        <f>HYPERLINK("https://inpn.mnhn.fr/espece/cd_nom/200535","Phalacronothus biguttatus (Germar, 1823)")</f>
        <v>Phalacronothus biguttatus (Germar, 1823)</v>
      </c>
      <c r="AH9066" s="4" t="str">
        <f>HYPERLINK("#Statut_biogéographique!A"&amp;_xlfn.XMATCH("P",Statut_biogéographique!A:A,2,1),"P")</f>
        <v>P</v>
      </c>
      <c r="AP9066" s="4" t="s">
        <v>376</v>
      </c>
      <c r="AR9066" s="4" t="s">
        <v>377</v>
      </c>
    </row>
    <row r="9067" spans="1:44">
      <c r="A9067" s="4" t="s">
        <v>10753</v>
      </c>
      <c r="B9067" s="4">
        <v>200542</v>
      </c>
      <c r="D9067" s="5" t="s">
        <v>12287</v>
      </c>
      <c r="E9067" s="6" t="str">
        <f>HYPERLINK("https://inpn.mnhn.fr/espece/cd_nom/200542","Platycerus caprea (De Geer, 1774)")</f>
        <v>Platycerus caprea (De Geer, 1774)</v>
      </c>
      <c r="P9067" s="7" t="str">
        <f>HYPERLINK("#Liste_rouge!A"&amp;_xlfn.XMATCH("LC",Liste_rouge!A:A,2,1),"LC")</f>
        <v>LC</v>
      </c>
      <c r="AH9067" s="4" t="str">
        <f>HYPERLINK("#Statut_biogéographique!A"&amp;_xlfn.XMATCH("P",Statut_biogéographique!A:A,2,1),"P")</f>
        <v>P</v>
      </c>
      <c r="AP9067" s="4" t="s">
        <v>376</v>
      </c>
      <c r="AR9067" s="4" t="s">
        <v>377</v>
      </c>
    </row>
    <row r="9068" spans="1:44" ht="30">
      <c r="A9068" s="4" t="s">
        <v>10753</v>
      </c>
      <c r="B9068" s="4">
        <v>200601</v>
      </c>
      <c r="D9068" s="5" t="s">
        <v>12288</v>
      </c>
      <c r="E9068" s="6" t="str">
        <f>HYPERLINK("https://inpn.mnhn.fr/espece/cd_nom/200601","Sisyphus schaefferi schaefferi (Linnaeus, 1758)")</f>
        <v>Sisyphus schaefferi schaefferi (Linnaeus, 1758)</v>
      </c>
      <c r="AH9068" s="4" t="str">
        <f>HYPERLINK("#Statut_biogéographique!A"&amp;_xlfn.XMATCH("P",Statut_biogéographique!A:A,2,1),"P")</f>
        <v>P</v>
      </c>
      <c r="AP9068" s="4" t="s">
        <v>376</v>
      </c>
      <c r="AR9068" s="4" t="s">
        <v>377</v>
      </c>
    </row>
    <row r="9069" spans="1:44" ht="30">
      <c r="A9069" s="4" t="s">
        <v>10753</v>
      </c>
      <c r="B9069" s="4">
        <v>200604</v>
      </c>
      <c r="D9069" s="5" t="s">
        <v>12289</v>
      </c>
      <c r="E9069" s="6" t="str">
        <f>HYPERLINK("https://inpn.mnhn.fr/espece/cd_nom/200604","Teuchestes fossor (Linnaeus, 1758)")</f>
        <v>Teuchestes fossor (Linnaeus, 1758)</v>
      </c>
      <c r="AH9069" s="4" t="str">
        <f>HYPERLINK("#Statut_biogéographique!A"&amp;_xlfn.XMATCH("P",Statut_biogéographique!A:A,2,1),"P")</f>
        <v>P</v>
      </c>
      <c r="AP9069" s="4" t="s">
        <v>376</v>
      </c>
      <c r="AR9069" s="4" t="s">
        <v>377</v>
      </c>
    </row>
    <row r="9070" spans="1:44">
      <c r="A9070" s="4" t="s">
        <v>10753</v>
      </c>
      <c r="B9070" s="4">
        <v>200629</v>
      </c>
      <c r="D9070" s="5" t="s">
        <v>12290</v>
      </c>
      <c r="E9070" s="6" t="str">
        <f>HYPERLINK("https://inpn.mnhn.fr/espece/cd_nom/200629","Trypocopris pyrenaeus (Charpentier, 1825)")</f>
        <v>Trypocopris pyrenaeus (Charpentier, 1825)</v>
      </c>
      <c r="F9070" s="5" t="s">
        <v>12291</v>
      </c>
      <c r="AH9070" s="4" t="str">
        <f>HYPERLINK("#Statut_biogéographique!A"&amp;_xlfn.XMATCH("P",Statut_biogéographique!A:A,2,1),"P")</f>
        <v>P</v>
      </c>
      <c r="AP9070" s="4" t="s">
        <v>376</v>
      </c>
      <c r="AR9070" s="4" t="s">
        <v>377</v>
      </c>
    </row>
    <row r="9071" spans="1:44" ht="30">
      <c r="A9071" s="4" t="s">
        <v>10753</v>
      </c>
      <c r="B9071" s="4">
        <v>200637</v>
      </c>
      <c r="D9071" s="5" t="s">
        <v>12292</v>
      </c>
      <c r="E9071" s="6" t="str">
        <f>HYPERLINK("https://inpn.mnhn.fr/espece/cd_nom/200637","Typhaeus typhoeus (Linnaeus, 1758)")</f>
        <v>Typhaeus typhoeus (Linnaeus, 1758)</v>
      </c>
      <c r="F9071" s="5" t="s">
        <v>12293</v>
      </c>
      <c r="AH9071" s="4" t="str">
        <f>HYPERLINK("#Statut_biogéographique!A"&amp;_xlfn.XMATCH("P",Statut_biogéographique!A:A,2,1),"P")</f>
        <v>P</v>
      </c>
      <c r="AP9071" s="4" t="s">
        <v>376</v>
      </c>
      <c r="AR9071" s="4" t="s">
        <v>377</v>
      </c>
    </row>
    <row r="9072" spans="1:44" ht="30">
      <c r="A9072" s="4" t="s">
        <v>10753</v>
      </c>
      <c r="B9072" s="4">
        <v>200639</v>
      </c>
      <c r="D9072" s="5" t="s">
        <v>12294</v>
      </c>
      <c r="E9072" s="6" t="str">
        <f>HYPERLINK("https://inpn.mnhn.fr/espece/cd_nom/200639","Volinus sticticus (Panzer, 1798)")</f>
        <v>Volinus sticticus (Panzer, 1798)</v>
      </c>
      <c r="AH9072" s="4" t="str">
        <f>HYPERLINK("#Statut_biogéographique!A"&amp;_xlfn.XMATCH("P",Statut_biogéographique!A:A,2,1),"P")</f>
        <v>P</v>
      </c>
      <c r="AP9072" s="4" t="s">
        <v>376</v>
      </c>
      <c r="AR9072" s="4" t="s">
        <v>377</v>
      </c>
    </row>
    <row r="9073" spans="1:44">
      <c r="A9073" s="4" t="s">
        <v>10753</v>
      </c>
      <c r="B9073" s="4">
        <v>2009</v>
      </c>
      <c r="D9073" s="5" t="s">
        <v>12295</v>
      </c>
      <c r="E9073" s="6" t="str">
        <f>HYPERLINK("https://inpn.mnhn.fr/espece/cd_nom/2009","Synageles venator (Lucas, 1836)")</f>
        <v>Synageles venator (Lucas, 1836)</v>
      </c>
      <c r="Q9073" s="7" t="str">
        <f>HYPERLINK("#Liste_rouge!A"&amp;_xlfn.XMATCH("LC",Liste_rouge!A:A,2,1),"LC")</f>
        <v>LC</v>
      </c>
      <c r="AH9073" s="4" t="str">
        <f>HYPERLINK("#Statut_biogéographique!A"&amp;_xlfn.XMATCH("P",Statut_biogéographique!A:A,2,1),"P")</f>
        <v>P</v>
      </c>
      <c r="AP9073" s="4" t="s">
        <v>376</v>
      </c>
      <c r="AR9073" s="4" t="s">
        <v>377</v>
      </c>
    </row>
    <row r="9074" spans="1:44">
      <c r="A9074" s="4" t="s">
        <v>10753</v>
      </c>
      <c r="B9074" s="4">
        <v>2011</v>
      </c>
      <c r="D9074" s="5" t="s">
        <v>12296</v>
      </c>
      <c r="E9074" s="6" t="str">
        <f>HYPERLINK("https://inpn.mnhn.fr/espece/cd_nom/2011","Synageles hilarulus (C.L. Koch, 1846)")</f>
        <v>Synageles hilarulus (C.L. Koch, 1846)</v>
      </c>
      <c r="Q9074" s="7" t="str">
        <f>HYPERLINK("#Liste_rouge!A"&amp;_xlfn.XMATCH("LC",Liste_rouge!A:A,2,1),"LC")</f>
        <v>LC</v>
      </c>
      <c r="AH9074" s="4" t="str">
        <f>HYPERLINK("#Statut_biogéographique!A"&amp;_xlfn.XMATCH("P",Statut_biogéographique!A:A,2,1),"P")</f>
        <v>P</v>
      </c>
      <c r="AP9074" s="4" t="s">
        <v>376</v>
      </c>
      <c r="AR9074" s="4" t="s">
        <v>377</v>
      </c>
    </row>
    <row r="9075" spans="1:44">
      <c r="A9075" s="4" t="s">
        <v>10753</v>
      </c>
      <c r="B9075" s="4">
        <v>20122</v>
      </c>
      <c r="D9075" s="5">
        <v>20122</v>
      </c>
      <c r="E9075" s="6" t="str">
        <f>HYPERLINK("https://inpn.mnhn.fr/espece/cd_nom/20122","Hilara brevistyla Collin, 1927")</f>
        <v>Hilara brevistyla Collin, 1927</v>
      </c>
      <c r="AH9075" s="4" t="str">
        <f>HYPERLINK("#Statut_biogéographique!A"&amp;_xlfn.XMATCH("P",Statut_biogéographique!A:A,2,1),"P")</f>
        <v>P</v>
      </c>
      <c r="AP9075" s="4" t="s">
        <v>376</v>
      </c>
      <c r="AR9075" s="4" t="s">
        <v>377</v>
      </c>
    </row>
    <row r="9076" spans="1:44">
      <c r="A9076" s="4" t="s">
        <v>10753</v>
      </c>
      <c r="B9076" s="4">
        <v>2015</v>
      </c>
      <c r="D9076" s="5" t="s">
        <v>12297</v>
      </c>
      <c r="E9076" s="6" t="str">
        <f>HYPERLINK("https://inpn.mnhn.fr/espece/cd_nom/2015","Phlegra fasciata (Hahn, 1826)")</f>
        <v>Phlegra fasciata (Hahn, 1826)</v>
      </c>
      <c r="Q9076" s="7" t="str">
        <f>HYPERLINK("#Liste_rouge!A"&amp;_xlfn.XMATCH("LC",Liste_rouge!A:A,2,1),"LC")</f>
        <v>LC</v>
      </c>
      <c r="AH9076" s="4" t="str">
        <f>HYPERLINK("#Statut_biogéographique!A"&amp;_xlfn.XMATCH("P",Statut_biogéographique!A:A,2,1),"P")</f>
        <v>P</v>
      </c>
      <c r="AP9076" s="4" t="s">
        <v>376</v>
      </c>
      <c r="AR9076" s="4" t="s">
        <v>377</v>
      </c>
    </row>
    <row r="9077" spans="1:44">
      <c r="A9077" s="4" t="s">
        <v>10753</v>
      </c>
      <c r="B9077" s="4">
        <v>20150</v>
      </c>
      <c r="D9077" s="5" t="s">
        <v>12298</v>
      </c>
      <c r="E9077" s="6" t="str">
        <f>HYPERLINK("https://inpn.mnhn.fr/espece/cd_nom/20150","Ulomyia fuliginosa (Meigen, 1818)")</f>
        <v>Ulomyia fuliginosa (Meigen, 1818)</v>
      </c>
      <c r="AH9077" s="4" t="str">
        <f>HYPERLINK("#Statut_biogéographique!A"&amp;_xlfn.XMATCH("P",Statut_biogéographique!A:A,2,1),"P")</f>
        <v>P</v>
      </c>
      <c r="AP9077" s="4" t="s">
        <v>376</v>
      </c>
      <c r="AR9077" s="4" t="s">
        <v>377</v>
      </c>
    </row>
    <row r="9078" spans="1:44">
      <c r="A9078" s="4" t="s">
        <v>10753</v>
      </c>
      <c r="B9078" s="4">
        <v>20205</v>
      </c>
      <c r="D9078" s="5" t="s">
        <v>12299</v>
      </c>
      <c r="E9078" s="6" t="str">
        <f>HYPERLINK("https://inpn.mnhn.fr/espece/cd_nom/20205","Aedes geniculatus (Olivier, 1791)")</f>
        <v>Aedes geniculatus (Olivier, 1791)</v>
      </c>
      <c r="AH9078" s="4" t="str">
        <f>HYPERLINK("#Statut_biogéographique!A"&amp;_xlfn.XMATCH("P",Statut_biogéographique!A:A,2,1),"P")</f>
        <v>P</v>
      </c>
      <c r="AP9078" s="4" t="s">
        <v>376</v>
      </c>
      <c r="AR9078" s="4" t="s">
        <v>377</v>
      </c>
    </row>
    <row r="9079" spans="1:44">
      <c r="A9079" s="4" t="s">
        <v>10753</v>
      </c>
      <c r="B9079" s="4">
        <v>20210</v>
      </c>
      <c r="D9079" s="5" t="s">
        <v>12300</v>
      </c>
      <c r="E9079" s="6" t="str">
        <f>HYPERLINK("https://inpn.mnhn.fr/espece/cd_nom/20210","Aedes annulipes (Meigen, 1830)")</f>
        <v>Aedes annulipes (Meigen, 1830)</v>
      </c>
      <c r="AH9079" s="4" t="str">
        <f>HYPERLINK("#Statut_biogéographique!A"&amp;_xlfn.XMATCH("P",Statut_biogéographique!A:A,2,1),"P")</f>
        <v>P</v>
      </c>
      <c r="AP9079" s="4" t="s">
        <v>376</v>
      </c>
      <c r="AR9079" s="4" t="s">
        <v>377</v>
      </c>
    </row>
    <row r="9080" spans="1:44">
      <c r="A9080" s="4" t="s">
        <v>10753</v>
      </c>
      <c r="B9080" s="4">
        <v>2025</v>
      </c>
      <c r="D9080" s="5" t="s">
        <v>12301</v>
      </c>
      <c r="E9080" s="6" t="str">
        <f>HYPERLINK("https://inpn.mnhn.fr/espece/cd_nom/2025","Pellenes tripunctatus (Walckenaer, 1802)")</f>
        <v>Pellenes tripunctatus (Walckenaer, 1802)</v>
      </c>
      <c r="Q9080" s="7" t="str">
        <f>HYPERLINK("#Liste_rouge!A"&amp;_xlfn.XMATCH("LC",Liste_rouge!A:A,2,1),"LC")</f>
        <v>LC</v>
      </c>
      <c r="AH9080" s="4" t="str">
        <f>HYPERLINK("#Statut_biogéographique!A"&amp;_xlfn.XMATCH("P",Statut_biogéographique!A:A,2,1),"P")</f>
        <v>P</v>
      </c>
      <c r="AP9080" s="4" t="s">
        <v>376</v>
      </c>
      <c r="AR9080" s="4" t="s">
        <v>377</v>
      </c>
    </row>
    <row r="9081" spans="1:44">
      <c r="A9081" s="4" t="s">
        <v>10753</v>
      </c>
      <c r="B9081" s="4">
        <v>2042</v>
      </c>
      <c r="D9081" s="5" t="s">
        <v>12302</v>
      </c>
      <c r="E9081" s="6" t="str">
        <f>HYPERLINK("https://inpn.mnhn.fr/espece/cd_nom/2042","Neon reticulatus (Blackwall, 1853)")</f>
        <v>Neon reticulatus (Blackwall, 1853)</v>
      </c>
      <c r="Q9081" s="7" t="str">
        <f>HYPERLINK("#Liste_rouge!A"&amp;_xlfn.XMATCH("LC",Liste_rouge!A:A,2,1),"LC")</f>
        <v>LC</v>
      </c>
      <c r="AH9081" s="4" t="str">
        <f>HYPERLINK("#Statut_biogéographique!A"&amp;_xlfn.XMATCH("P",Statut_biogéographique!A:A,2,1),"P")</f>
        <v>P</v>
      </c>
      <c r="AP9081" s="4" t="s">
        <v>376</v>
      </c>
      <c r="AR9081" s="4" t="s">
        <v>377</v>
      </c>
    </row>
    <row r="9082" spans="1:44">
      <c r="A9082" s="4" t="s">
        <v>10753</v>
      </c>
      <c r="B9082" s="4">
        <v>2053</v>
      </c>
      <c r="D9082" s="5" t="s">
        <v>12303</v>
      </c>
      <c r="E9082" s="6" t="str">
        <f>HYPERLINK("https://inpn.mnhn.fr/espece/cd_nom/2053","Evarcha arcuata (Clerck, 1758)")</f>
        <v>Evarcha arcuata (Clerck, 1758)</v>
      </c>
      <c r="Q9082" s="7" t="str">
        <f>HYPERLINK("#Liste_rouge!A"&amp;_xlfn.XMATCH("LC",Liste_rouge!A:A,2,1),"LC")</f>
        <v>LC</v>
      </c>
      <c r="AH9082" s="4" t="str">
        <f>HYPERLINK("#Statut_biogéographique!A"&amp;_xlfn.XMATCH("P",Statut_biogéographique!A:A,2,1),"P")</f>
        <v>P</v>
      </c>
      <c r="AP9082" s="4" t="s">
        <v>376</v>
      </c>
      <c r="AR9082" s="4" t="s">
        <v>377</v>
      </c>
    </row>
    <row r="9083" spans="1:44">
      <c r="A9083" s="4" t="s">
        <v>10753</v>
      </c>
      <c r="B9083" s="4">
        <v>2060</v>
      </c>
      <c r="D9083" s="5" t="s">
        <v>12304</v>
      </c>
      <c r="E9083" s="6" t="str">
        <f>HYPERLINK("https://inpn.mnhn.fr/espece/cd_nom/2060","Philaeus chrysops (Poda, 1761)")</f>
        <v>Philaeus chrysops (Poda, 1761)</v>
      </c>
      <c r="F9083" s="5" t="s">
        <v>12305</v>
      </c>
      <c r="Q9083" s="7" t="str">
        <f>HYPERLINK("#Liste_rouge!A"&amp;_xlfn.XMATCH("LC",Liste_rouge!A:A,2,1),"LC")</f>
        <v>LC</v>
      </c>
      <c r="AE9083" s="4" t="str">
        <f>HYPERLINK("#SCAP!A"&amp;_xlfn.XMATCH("A",SCAP!A:A,2,1),"A")</f>
        <v>A</v>
      </c>
      <c r="AH9083" s="4" t="str">
        <f>HYPERLINK("#Statut_biogéographique!A"&amp;_xlfn.XMATCH("P",Statut_biogéographique!A:A,2,1),"P")</f>
        <v>P</v>
      </c>
      <c r="AP9083" s="4" t="s">
        <v>376</v>
      </c>
      <c r="AR9083" s="4" t="s">
        <v>377</v>
      </c>
    </row>
    <row r="9084" spans="1:44">
      <c r="A9084" s="4" t="s">
        <v>10753</v>
      </c>
      <c r="B9084" s="4">
        <v>2064</v>
      </c>
      <c r="D9084" s="5" t="s">
        <v>12306</v>
      </c>
      <c r="E9084" s="6" t="str">
        <f>HYPERLINK("https://inpn.mnhn.fr/espece/cd_nom/2064","Salticus scenicus (Clerck, 1758)")</f>
        <v>Salticus scenicus (Clerck, 1758)</v>
      </c>
      <c r="F9084" s="5" t="s">
        <v>12307</v>
      </c>
      <c r="Q9084" s="7" t="str">
        <f>HYPERLINK("#Liste_rouge!A"&amp;_xlfn.XMATCH("LC",Liste_rouge!A:A,2,1),"LC")</f>
        <v>LC</v>
      </c>
      <c r="AH9084" s="4" t="str">
        <f>HYPERLINK("#Statut_biogéographique!A"&amp;_xlfn.XMATCH("P",Statut_biogéographique!A:A,2,1),"P")</f>
        <v>P</v>
      </c>
      <c r="AP9084" s="4" t="s">
        <v>376</v>
      </c>
      <c r="AR9084" s="4" t="s">
        <v>377</v>
      </c>
    </row>
    <row r="9085" spans="1:44">
      <c r="A9085" s="4" t="s">
        <v>10753</v>
      </c>
      <c r="B9085" s="4">
        <v>2065</v>
      </c>
      <c r="D9085" s="5" t="s">
        <v>12308</v>
      </c>
      <c r="E9085" s="6" t="str">
        <f>HYPERLINK("https://inpn.mnhn.fr/espece/cd_nom/2065","Salticus zebraneus (C.L. Koch, 1837)")</f>
        <v>Salticus zebraneus (C.L. Koch, 1837)</v>
      </c>
      <c r="Q9085" s="7" t="str">
        <f>HYPERLINK("#Liste_rouge!A"&amp;_xlfn.XMATCH("LC",Liste_rouge!A:A,2,1),"LC")</f>
        <v>LC</v>
      </c>
      <c r="AH9085" s="4" t="str">
        <f>HYPERLINK("#Statut_biogéographique!A"&amp;_xlfn.XMATCH("P",Statut_biogéographique!A:A,2,1),"P")</f>
        <v>P</v>
      </c>
      <c r="AP9085" s="4" t="s">
        <v>376</v>
      </c>
      <c r="AR9085" s="4" t="s">
        <v>377</v>
      </c>
    </row>
    <row r="9086" spans="1:44" ht="30">
      <c r="A9086" s="4" t="s">
        <v>10753</v>
      </c>
      <c r="B9086" s="4">
        <v>20653</v>
      </c>
      <c r="D9086" s="5" t="s">
        <v>12309</v>
      </c>
      <c r="E9086" s="6" t="str">
        <f>HYPERLINK("https://inpn.mnhn.fr/espece/cd_nom/20653","Apsectrotanypus trifascipennis (Zetterstedt, 1838)")</f>
        <v>Apsectrotanypus trifascipennis (Zetterstedt, 1838)</v>
      </c>
      <c r="AH9086" s="4" t="str">
        <f>HYPERLINK("#Statut_biogéographique!A"&amp;_xlfn.XMATCH("P",Statut_biogéographique!A:A,2,1),"P")</f>
        <v>P</v>
      </c>
      <c r="AP9086" s="4" t="s">
        <v>376</v>
      </c>
      <c r="AR9086" s="4" t="s">
        <v>377</v>
      </c>
    </row>
    <row r="9087" spans="1:44" ht="30">
      <c r="A9087" s="4" t="s">
        <v>10753</v>
      </c>
      <c r="B9087" s="4">
        <v>20704</v>
      </c>
      <c r="D9087" s="5" t="s">
        <v>12310</v>
      </c>
      <c r="E9087" s="6" t="str">
        <f>HYPERLINK("https://inpn.mnhn.fr/espece/cd_nom/20704","Chironomus plumosus (Linnaeus, 1758)")</f>
        <v>Chironomus plumosus (Linnaeus, 1758)</v>
      </c>
      <c r="F9087" s="5" t="s">
        <v>12311</v>
      </c>
      <c r="AH9087" s="4" t="str">
        <f>HYPERLINK("#Statut_biogéographique!A"&amp;_xlfn.XMATCH("P",Statut_biogéographique!A:A,2,1),"P")</f>
        <v>P</v>
      </c>
      <c r="AP9087" s="4" t="s">
        <v>376</v>
      </c>
      <c r="AR9087" s="4" t="s">
        <v>377</v>
      </c>
    </row>
    <row r="9088" spans="1:44" ht="60">
      <c r="A9088" s="4" t="s">
        <v>10753</v>
      </c>
      <c r="B9088" s="4">
        <v>20710</v>
      </c>
      <c r="D9088" s="5" t="s">
        <v>12312</v>
      </c>
      <c r="E9088" s="6" t="str">
        <f>HYPERLINK("https://inpn.mnhn.fr/espece/cd_nom/20710","Chironomus riparius Meigen, 1804")</f>
        <v>Chironomus riparius Meigen, 1804</v>
      </c>
      <c r="AH9088" s="4" t="str">
        <f>HYPERLINK("#Statut_biogéographique!A"&amp;_xlfn.XMATCH("P",Statut_biogéographique!A:A,2,1),"P")</f>
        <v>P</v>
      </c>
      <c r="AP9088" s="4" t="s">
        <v>376</v>
      </c>
      <c r="AR9088" s="4" t="s">
        <v>377</v>
      </c>
    </row>
    <row r="9089" spans="1:44">
      <c r="A9089" s="4" t="s">
        <v>10753</v>
      </c>
      <c r="B9089" s="4">
        <v>2072</v>
      </c>
      <c r="D9089" s="5" t="s">
        <v>12313</v>
      </c>
      <c r="E9089" s="6" t="str">
        <f>HYPERLINK("https://inpn.mnhn.fr/espece/cd_nom/2072","Marpissa muscosa (Clerck, 1758)")</f>
        <v>Marpissa muscosa (Clerck, 1758)</v>
      </c>
      <c r="Q9089" s="7" t="str">
        <f>HYPERLINK("#Liste_rouge!A"&amp;_xlfn.XMATCH("LC",Liste_rouge!A:A,2,1),"LC")</f>
        <v>LC</v>
      </c>
      <c r="AH9089" s="4" t="str">
        <f>HYPERLINK("#Statut_biogéographique!A"&amp;_xlfn.XMATCH("P",Statut_biogéographique!A:A,2,1),"P")</f>
        <v>P</v>
      </c>
      <c r="AP9089" s="4" t="s">
        <v>376</v>
      </c>
      <c r="AR9089" s="4" t="s">
        <v>377</v>
      </c>
    </row>
    <row r="9090" spans="1:44">
      <c r="A9090" s="4" t="s">
        <v>10753</v>
      </c>
      <c r="B9090" s="4">
        <v>2073</v>
      </c>
      <c r="D9090" s="5" t="s">
        <v>12314</v>
      </c>
      <c r="E9090" s="6" t="str">
        <f>HYPERLINK("https://inpn.mnhn.fr/espece/cd_nom/2073","Marpissa pomatia (Walckenaer, 1802)")</f>
        <v>Marpissa pomatia (Walckenaer, 1802)</v>
      </c>
      <c r="Q9090" s="7" t="str">
        <f>HYPERLINK("#Liste_rouge!A"&amp;_xlfn.XMATCH("LC",Liste_rouge!A:A,2,1),"LC")</f>
        <v>LC</v>
      </c>
      <c r="AH9090" s="4" t="str">
        <f>HYPERLINK("#Statut_biogéographique!A"&amp;_xlfn.XMATCH("P",Statut_biogéographique!A:A,2,1),"P")</f>
        <v>P</v>
      </c>
      <c r="AP9090" s="4" t="s">
        <v>376</v>
      </c>
      <c r="AR9090" s="4" t="s">
        <v>377</v>
      </c>
    </row>
    <row r="9091" spans="1:44">
      <c r="A9091" s="4" t="s">
        <v>10753</v>
      </c>
      <c r="B9091" s="4">
        <v>2074</v>
      </c>
      <c r="D9091" s="5" t="s">
        <v>12315</v>
      </c>
      <c r="E9091" s="6" t="str">
        <f>HYPERLINK("https://inpn.mnhn.fr/espece/cd_nom/2074","Marpissa radiata (Grube, 1859)")</f>
        <v>Marpissa radiata (Grube, 1859)</v>
      </c>
      <c r="Q9091" s="7" t="str">
        <f>HYPERLINK("#Liste_rouge!A"&amp;_xlfn.XMATCH("LC",Liste_rouge!A:A,2,1),"LC")</f>
        <v>LC</v>
      </c>
      <c r="AH9091" s="4" t="str">
        <f>HYPERLINK("#Statut_biogéographique!A"&amp;_xlfn.XMATCH("P",Statut_biogéographique!A:A,2,1),"P")</f>
        <v>P</v>
      </c>
      <c r="AP9091" s="4" t="s">
        <v>376</v>
      </c>
      <c r="AR9091" s="4" t="s">
        <v>377</v>
      </c>
    </row>
    <row r="9092" spans="1:44">
      <c r="A9092" s="4" t="s">
        <v>10753</v>
      </c>
      <c r="B9092" s="4">
        <v>2075</v>
      </c>
      <c r="D9092" s="5" t="s">
        <v>12316</v>
      </c>
      <c r="E9092" s="6" t="str">
        <f>HYPERLINK("https://inpn.mnhn.fr/espece/cd_nom/2075","Marpissa nivoyi (Lucas, 1846)")</f>
        <v>Marpissa nivoyi (Lucas, 1846)</v>
      </c>
      <c r="Q9092" s="7" t="str">
        <f>HYPERLINK("#Liste_rouge!A"&amp;_xlfn.XMATCH("LC",Liste_rouge!A:A,2,1),"LC")</f>
        <v>LC</v>
      </c>
      <c r="AH9092" s="4" t="str">
        <f>HYPERLINK("#Statut_biogéographique!A"&amp;_xlfn.XMATCH("P",Statut_biogéographique!A:A,2,1),"P")</f>
        <v>P</v>
      </c>
      <c r="AP9092" s="4" t="s">
        <v>376</v>
      </c>
      <c r="AR9092" s="4" t="s">
        <v>377</v>
      </c>
    </row>
    <row r="9093" spans="1:44">
      <c r="A9093" s="4" t="s">
        <v>10753</v>
      </c>
      <c r="B9093" s="4">
        <v>20813</v>
      </c>
      <c r="D9093" s="5" t="s">
        <v>12317</v>
      </c>
      <c r="E9093" s="6" t="str">
        <f>HYPERLINK("https://inpn.mnhn.fr/espece/cd_nom/20813","Cryptochironomus supplicans (Meigen, 1830)")</f>
        <v>Cryptochironomus supplicans (Meigen, 1830)</v>
      </c>
      <c r="AH9093" s="4" t="str">
        <f>HYPERLINK("#Statut_biogéographique!A"&amp;_xlfn.XMATCH("P",Statut_biogéographique!A:A,2,1),"P")</f>
        <v>P</v>
      </c>
      <c r="AP9093" s="4" t="s">
        <v>376</v>
      </c>
      <c r="AR9093" s="4" t="s">
        <v>377</v>
      </c>
    </row>
    <row r="9094" spans="1:44">
      <c r="A9094" s="4" t="s">
        <v>10753</v>
      </c>
      <c r="B9094" s="4">
        <v>20853</v>
      </c>
      <c r="D9094" s="5" t="s">
        <v>12318</v>
      </c>
      <c r="E9094" s="6" t="str">
        <f>HYPERLINK("https://inpn.mnhn.fr/espece/cd_nom/20853","Einfeldia pagana (Meigen, 1838)")</f>
        <v>Einfeldia pagana (Meigen, 1838)</v>
      </c>
      <c r="AH9094" s="4" t="str">
        <f>HYPERLINK("#Statut_biogéographique!A"&amp;_xlfn.XMATCH("P",Statut_biogéographique!A:A,2,1),"P")</f>
        <v>P</v>
      </c>
      <c r="AP9094" s="4" t="s">
        <v>376</v>
      </c>
      <c r="AR9094" s="4" t="s">
        <v>377</v>
      </c>
    </row>
    <row r="9095" spans="1:44">
      <c r="A9095" s="4" t="s">
        <v>10753</v>
      </c>
      <c r="B9095" s="4">
        <v>20905</v>
      </c>
      <c r="D9095" s="5" t="s">
        <v>12319</v>
      </c>
      <c r="E9095" s="6" t="str">
        <f>HYPERLINK("https://inpn.mnhn.fr/espece/cd_nom/20905","Heterotrissocladius marcidus (Walker, 1856)")</f>
        <v>Heterotrissocladius marcidus (Walker, 1856)</v>
      </c>
      <c r="AH9095" s="4" t="str">
        <f>HYPERLINK("#Statut_biogéographique!A"&amp;_xlfn.XMATCH("P",Statut_biogéographique!A:A,2,1),"P")</f>
        <v>P</v>
      </c>
      <c r="AP9095" s="4" t="s">
        <v>376</v>
      </c>
      <c r="AR9095" s="4" t="s">
        <v>377</v>
      </c>
    </row>
    <row r="9096" spans="1:44">
      <c r="A9096" s="4" t="s">
        <v>10753</v>
      </c>
      <c r="B9096" s="4">
        <v>2091</v>
      </c>
      <c r="D9096" s="5" t="s">
        <v>12320</v>
      </c>
      <c r="E9096" s="6" t="str">
        <f>HYPERLINK("https://inpn.mnhn.fr/espece/cd_nom/2091","Heliophanus cupreus (Walckenaer, 1802)")</f>
        <v>Heliophanus cupreus (Walckenaer, 1802)</v>
      </c>
      <c r="F9096" s="5" t="s">
        <v>12321</v>
      </c>
      <c r="Q9096" s="7" t="str">
        <f>HYPERLINK("#Liste_rouge!A"&amp;_xlfn.XMATCH("LC",Liste_rouge!A:A,2,1),"LC")</f>
        <v>LC</v>
      </c>
      <c r="AH9096" s="4" t="str">
        <f>HYPERLINK("#Statut_biogéographique!A"&amp;_xlfn.XMATCH("P",Statut_biogéographique!A:A,2,1),"P")</f>
        <v>P</v>
      </c>
      <c r="AP9096" s="4" t="s">
        <v>376</v>
      </c>
      <c r="AR9096" s="4" t="s">
        <v>377</v>
      </c>
    </row>
    <row r="9097" spans="1:44">
      <c r="A9097" s="4" t="s">
        <v>10753</v>
      </c>
      <c r="B9097" s="4">
        <v>2092</v>
      </c>
      <c r="D9097" s="5" t="s">
        <v>12322</v>
      </c>
      <c r="E9097" s="6" t="str">
        <f>HYPERLINK("https://inpn.mnhn.fr/espece/cd_nom/2092","Heliophanus flavipes (Hahn, 1832)")</f>
        <v>Heliophanus flavipes (Hahn, 1832)</v>
      </c>
      <c r="Q9097" s="7" t="str">
        <f>HYPERLINK("#Liste_rouge!A"&amp;_xlfn.XMATCH("LC",Liste_rouge!A:A,2,1),"LC")</f>
        <v>LC</v>
      </c>
      <c r="AH9097" s="4" t="str">
        <f>HYPERLINK("#Statut_biogéographique!A"&amp;_xlfn.XMATCH("P",Statut_biogéographique!A:A,2,1),"P")</f>
        <v>P</v>
      </c>
      <c r="AP9097" s="4" t="s">
        <v>376</v>
      </c>
      <c r="AR9097" s="4" t="s">
        <v>377</v>
      </c>
    </row>
    <row r="9098" spans="1:44">
      <c r="A9098" s="4" t="s">
        <v>10753</v>
      </c>
      <c r="B9098" s="4">
        <v>2095</v>
      </c>
      <c r="D9098" s="5" t="s">
        <v>12323</v>
      </c>
      <c r="E9098" s="6" t="str">
        <f>HYPERLINK("https://inpn.mnhn.fr/espece/cd_nom/2095","Heliophanus tribulosus Simon, 1869")</f>
        <v>Heliophanus tribulosus Simon, 1869</v>
      </c>
      <c r="Q9098" s="7" t="str">
        <f>HYPERLINK("#Liste_rouge!A"&amp;_xlfn.XMATCH("LC",Liste_rouge!A:A,2,1),"LC")</f>
        <v>LC</v>
      </c>
      <c r="AH9098" s="4" t="str">
        <f>HYPERLINK("#Statut_biogéographique!A"&amp;_xlfn.XMATCH("P",Statut_biogéographique!A:A,2,1),"P")</f>
        <v>P</v>
      </c>
      <c r="AP9098" s="4" t="s">
        <v>376</v>
      </c>
      <c r="AR9098" s="4" t="s">
        <v>377</v>
      </c>
    </row>
    <row r="9099" spans="1:44" ht="30">
      <c r="A9099" s="4" t="s">
        <v>10753</v>
      </c>
      <c r="B9099" s="4">
        <v>20951</v>
      </c>
      <c r="D9099" s="5" t="s">
        <v>12324</v>
      </c>
      <c r="E9099" s="6" t="str">
        <f>HYPERLINK("https://inpn.mnhn.fr/espece/cd_nom/20951","Metriocnemus fuscipes (Meigen, 1818)")</f>
        <v>Metriocnemus fuscipes (Meigen, 1818)</v>
      </c>
      <c r="AH9099" s="4" t="str">
        <f>HYPERLINK("#Statut_biogéographique!A"&amp;_xlfn.XMATCH("P",Statut_biogéographique!A:A,2,1),"P")</f>
        <v>P</v>
      </c>
      <c r="AP9099" s="4" t="s">
        <v>376</v>
      </c>
      <c r="AR9099" s="4" t="s">
        <v>377</v>
      </c>
    </row>
    <row r="9100" spans="1:44">
      <c r="A9100" s="4" t="s">
        <v>10753</v>
      </c>
      <c r="B9100" s="4">
        <v>20966</v>
      </c>
      <c r="D9100" s="5" t="s">
        <v>12325</v>
      </c>
      <c r="E9100" s="6" t="str">
        <f>HYPERLINK("https://inpn.mnhn.fr/espece/cd_nom/20966","Micropsectra atrofasciata (Kieffer, 1911)")</f>
        <v>Micropsectra atrofasciata (Kieffer, 1911)</v>
      </c>
      <c r="AH9100" s="4" t="str">
        <f>HYPERLINK("#Statut_biogéographique!A"&amp;_xlfn.XMATCH("P",Statut_biogéographique!A:A,2,1),"P")</f>
        <v>P</v>
      </c>
      <c r="AP9100" s="4" t="s">
        <v>376</v>
      </c>
      <c r="AR9100" s="4" t="s">
        <v>377</v>
      </c>
    </row>
    <row r="9101" spans="1:44" ht="30">
      <c r="A9101" s="4" t="s">
        <v>10753</v>
      </c>
      <c r="B9101" s="4">
        <v>20973</v>
      </c>
      <c r="D9101" s="5" t="s">
        <v>12326</v>
      </c>
      <c r="E9101" s="6" t="str">
        <f>HYPERLINK("https://inpn.mnhn.fr/espece/cd_nom/20973","Micropsectra notescens (Walker, 1856)")</f>
        <v>Micropsectra notescens (Walker, 1856)</v>
      </c>
      <c r="AH9101" s="4" t="str">
        <f>HYPERLINK("#Statut_biogéographique!A"&amp;_xlfn.XMATCH("P",Statut_biogéographique!A:A,2,1),"P")</f>
        <v>P</v>
      </c>
      <c r="AP9101" s="4" t="s">
        <v>376</v>
      </c>
      <c r="AR9101" s="4" t="s">
        <v>377</v>
      </c>
    </row>
    <row r="9102" spans="1:44" ht="30">
      <c r="A9102" s="4" t="s">
        <v>10753</v>
      </c>
      <c r="B9102" s="4">
        <v>20985</v>
      </c>
      <c r="D9102" s="5" t="s">
        <v>12327</v>
      </c>
      <c r="E9102" s="6" t="str">
        <f>HYPERLINK("https://inpn.mnhn.fr/espece/cd_nom/20985","Microtendipes pedellus (De Geer, 1776)")</f>
        <v>Microtendipes pedellus (De Geer, 1776)</v>
      </c>
      <c r="AH9102" s="4" t="str">
        <f>HYPERLINK("#Statut_biogéographique!A"&amp;_xlfn.XMATCH("P",Statut_biogéographique!A:A,2,1),"P")</f>
        <v>P</v>
      </c>
      <c r="AP9102" s="4" t="s">
        <v>376</v>
      </c>
      <c r="AR9102" s="4" t="s">
        <v>377</v>
      </c>
    </row>
    <row r="9103" spans="1:44">
      <c r="A9103" s="4" t="s">
        <v>10753</v>
      </c>
      <c r="B9103" s="4">
        <v>21027</v>
      </c>
      <c r="D9103" s="5" t="s">
        <v>12328</v>
      </c>
      <c r="E9103" s="6" t="str">
        <f>HYPERLINK("https://inpn.mnhn.fr/espece/cd_nom/21027","Pagastiella orophila (Edwards, 1929)")</f>
        <v>Pagastiella orophila (Edwards, 1929)</v>
      </c>
      <c r="AH9103" s="4" t="str">
        <f>HYPERLINK("#Statut_biogéographique!A"&amp;_xlfn.XMATCH("P",Statut_biogéographique!A:A,2,1),"P")</f>
        <v>P</v>
      </c>
      <c r="AP9103" s="4" t="s">
        <v>376</v>
      </c>
      <c r="AR9103" s="4" t="s">
        <v>377</v>
      </c>
    </row>
    <row r="9104" spans="1:44">
      <c r="A9104" s="4" t="s">
        <v>10753</v>
      </c>
      <c r="B9104" s="4">
        <v>2106</v>
      </c>
      <c r="D9104" s="5" t="s">
        <v>12329</v>
      </c>
      <c r="E9104" s="6" t="str">
        <f>HYPERLINK("https://inpn.mnhn.fr/espece/cd_nom/2106","Dendryphantes rudis (Sundevall, 1833)")</f>
        <v>Dendryphantes rudis (Sundevall, 1833)</v>
      </c>
      <c r="Q9104" s="7" t="str">
        <f>HYPERLINK("#Liste_rouge!A"&amp;_xlfn.XMATCH("LC",Liste_rouge!A:A,2,1),"LC")</f>
        <v>LC</v>
      </c>
      <c r="AH9104" s="4" t="str">
        <f>HYPERLINK("#Statut_biogéographique!A"&amp;_xlfn.XMATCH("P",Statut_biogéographique!A:A,2,1),"P")</f>
        <v>P</v>
      </c>
      <c r="AP9104" s="4" t="s">
        <v>376</v>
      </c>
      <c r="AR9104" s="4" t="s">
        <v>377</v>
      </c>
    </row>
    <row r="9105" spans="1:44">
      <c r="A9105" s="4" t="s">
        <v>10753</v>
      </c>
      <c r="B9105" s="4">
        <v>2108</v>
      </c>
      <c r="D9105" s="5" t="s">
        <v>12330</v>
      </c>
      <c r="E9105" s="6" t="str">
        <f>HYPERLINK("https://inpn.mnhn.fr/espece/cd_nom/2108","Icius subinermis Simon, 1937")</f>
        <v>Icius subinermis Simon, 1937</v>
      </c>
      <c r="Q9105" s="7" t="str">
        <f>HYPERLINK("#Liste_rouge!A"&amp;_xlfn.XMATCH("LC",Liste_rouge!A:A,2,1),"LC")</f>
        <v>LC</v>
      </c>
      <c r="AE9105" s="4" t="str">
        <f>HYPERLINK("#SCAP!A"&amp;_xlfn.XMATCH("1-",SCAP!A:A,2,1),"1-")</f>
        <v>1-</v>
      </c>
      <c r="AH9105" s="4" t="str">
        <f>HYPERLINK("#Statut_biogéographique!A"&amp;_xlfn.XMATCH("P",Statut_biogéographique!A:A,2,1),"P")</f>
        <v>P</v>
      </c>
      <c r="AP9105" s="4" t="s">
        <v>376</v>
      </c>
      <c r="AR9105" s="4" t="s">
        <v>377</v>
      </c>
    </row>
    <row r="9106" spans="1:44" ht="45">
      <c r="A9106" s="4" t="s">
        <v>10753</v>
      </c>
      <c r="B9106" s="4">
        <v>21131</v>
      </c>
      <c r="D9106" s="5" t="s">
        <v>12331</v>
      </c>
      <c r="E9106" s="6" t="str">
        <f>HYPERLINK("https://inpn.mnhn.fr/espece/cd_nom/21131","Prodiamesa olivacea (Meigen, 1818)")</f>
        <v>Prodiamesa olivacea (Meigen, 1818)</v>
      </c>
      <c r="AH9106" s="4" t="str">
        <f>HYPERLINK("#Statut_biogéographique!A"&amp;_xlfn.XMATCH("P",Statut_biogéographique!A:A,2,1),"P")</f>
        <v>P</v>
      </c>
      <c r="AP9106" s="4" t="s">
        <v>376</v>
      </c>
      <c r="AR9106" s="4" t="s">
        <v>377</v>
      </c>
    </row>
    <row r="9107" spans="1:44" ht="30">
      <c r="A9107" s="4" t="s">
        <v>10753</v>
      </c>
      <c r="B9107" s="4">
        <v>21139</v>
      </c>
      <c r="D9107" s="5" t="s">
        <v>12332</v>
      </c>
      <c r="E9107" s="6" t="str">
        <f>HYPERLINK("https://inpn.mnhn.fr/espece/cd_nom/21139","Psectrotanypus varius (Fabricius, 1787)")</f>
        <v>Psectrotanypus varius (Fabricius, 1787)</v>
      </c>
      <c r="AH9107" s="4" t="str">
        <f>HYPERLINK("#Statut_biogéographique!A"&amp;_xlfn.XMATCH("P",Statut_biogéographique!A:A,2,1),"P")</f>
        <v>P</v>
      </c>
      <c r="AP9107" s="4" t="s">
        <v>376</v>
      </c>
      <c r="AR9107" s="4" t="s">
        <v>377</v>
      </c>
    </row>
    <row r="9108" spans="1:44" ht="30">
      <c r="A9108" s="4" t="s">
        <v>10753</v>
      </c>
      <c r="B9108" s="4">
        <v>2128</v>
      </c>
      <c r="D9108" s="5" t="s">
        <v>12333</v>
      </c>
      <c r="E9108" s="6" t="str">
        <f>HYPERLINK("https://inpn.mnhn.fr/espece/cd_nom/2128","Euscorpius flavicaudis (De Geer, 1778)")</f>
        <v>Euscorpius flavicaudis (De Geer, 1778)</v>
      </c>
      <c r="AH9108" s="4" t="str">
        <f>HYPERLINK("#Statut_biogéographique!A"&amp;_xlfn.XMATCH("P",Statut_biogéographique!A:A,2,1),"P")</f>
        <v>P</v>
      </c>
      <c r="AP9108" s="4" t="s">
        <v>376</v>
      </c>
      <c r="AR9108" s="4" t="s">
        <v>377</v>
      </c>
    </row>
    <row r="9109" spans="1:44">
      <c r="A9109" s="4" t="s">
        <v>10753</v>
      </c>
      <c r="B9109" s="4">
        <v>21336</v>
      </c>
      <c r="D9109" s="5" t="s">
        <v>12334</v>
      </c>
      <c r="E9109" s="6" t="str">
        <f>HYPERLINK("https://inpn.mnhn.fr/espece/cd_nom/21336","Dilophus febrilis (Linnaeus, 1758)")</f>
        <v>Dilophus febrilis (Linnaeus, 1758)</v>
      </c>
      <c r="AH9109" s="4" t="str">
        <f>HYPERLINK("#Statut_biogéographique!A"&amp;_xlfn.XMATCH("P",Statut_biogéographique!A:A,2,1),"P")</f>
        <v>P</v>
      </c>
      <c r="AP9109" s="4" t="s">
        <v>376</v>
      </c>
      <c r="AR9109" s="4" t="s">
        <v>377</v>
      </c>
    </row>
    <row r="9110" spans="1:44">
      <c r="A9110" s="4" t="s">
        <v>10753</v>
      </c>
      <c r="B9110" s="4">
        <v>21342</v>
      </c>
      <c r="D9110" s="5" t="s">
        <v>12335</v>
      </c>
      <c r="E9110" s="6" t="str">
        <f>HYPERLINK("https://inpn.mnhn.fr/espece/cd_nom/21342","Bibio clavipes Meigen, 1818")</f>
        <v>Bibio clavipes Meigen, 1818</v>
      </c>
      <c r="AH9110" s="4" t="str">
        <f>HYPERLINK("#Statut_biogéographique!A"&amp;_xlfn.XMATCH("P",Statut_biogéographique!A:A,2,1),"P")</f>
        <v>P</v>
      </c>
      <c r="AP9110" s="4" t="s">
        <v>376</v>
      </c>
      <c r="AR9110" s="4" t="s">
        <v>377</v>
      </c>
    </row>
    <row r="9111" spans="1:44" ht="30">
      <c r="A9111" s="4" t="s">
        <v>10753</v>
      </c>
      <c r="B9111" s="4">
        <v>21344</v>
      </c>
      <c r="D9111" s="5" t="s">
        <v>12336</v>
      </c>
      <c r="E9111" s="6" t="str">
        <f>HYPERLINK("https://inpn.mnhn.fr/espece/cd_nom/21344","Bibio hortulanus (Linnaeus, 1758)")</f>
        <v>Bibio hortulanus (Linnaeus, 1758)</v>
      </c>
      <c r="F9111" s="5" t="s">
        <v>12337</v>
      </c>
      <c r="AH9111" s="4" t="str">
        <f>HYPERLINK("#Statut_biogéographique!A"&amp;_xlfn.XMATCH("P",Statut_biogéographique!A:A,2,1),"P")</f>
        <v>P</v>
      </c>
      <c r="AP9111" s="4" t="s">
        <v>376</v>
      </c>
      <c r="AR9111" s="4" t="s">
        <v>377</v>
      </c>
    </row>
    <row r="9112" spans="1:44" ht="30">
      <c r="A9112" s="4" t="s">
        <v>10753</v>
      </c>
      <c r="B9112" s="4">
        <v>21345</v>
      </c>
      <c r="D9112" s="5" t="s">
        <v>12338</v>
      </c>
      <c r="E9112" s="6" t="str">
        <f>HYPERLINK("https://inpn.mnhn.fr/espece/cd_nom/21345","Bibio johannis (Linnaeus, 1767)")</f>
        <v>Bibio johannis (Linnaeus, 1767)</v>
      </c>
      <c r="AH9112" s="4" t="str">
        <f>HYPERLINK("#Statut_biogéographique!A"&amp;_xlfn.XMATCH("P",Statut_biogéographique!A:A,2,1),"P")</f>
        <v>P</v>
      </c>
      <c r="AP9112" s="4" t="s">
        <v>376</v>
      </c>
      <c r="AR9112" s="4" t="s">
        <v>377</v>
      </c>
    </row>
    <row r="9113" spans="1:44" ht="30">
      <c r="A9113" s="4" t="s">
        <v>10753</v>
      </c>
      <c r="B9113" s="4">
        <v>21349</v>
      </c>
      <c r="D9113" s="5" t="s">
        <v>12339</v>
      </c>
      <c r="E9113" s="6" t="str">
        <f>HYPERLINK("https://inpn.mnhn.fr/espece/cd_nom/21349","Bibio marci (Linnaeus, 1758)")</f>
        <v>Bibio marci (Linnaeus, 1758)</v>
      </c>
      <c r="F9113" s="5" t="s">
        <v>12340</v>
      </c>
      <c r="AH9113" s="4" t="str">
        <f>HYPERLINK("#Statut_biogéographique!A"&amp;_xlfn.XMATCH("P",Statut_biogéographique!A:A,2,1),"P")</f>
        <v>P</v>
      </c>
      <c r="AP9113" s="4" t="s">
        <v>376</v>
      </c>
      <c r="AR9113" s="4" t="s">
        <v>377</v>
      </c>
    </row>
    <row r="9114" spans="1:44">
      <c r="A9114" s="4" t="s">
        <v>10753</v>
      </c>
      <c r="B9114" s="4">
        <v>21354</v>
      </c>
      <c r="D9114" s="5" t="s">
        <v>12341</v>
      </c>
      <c r="E9114" s="6" t="str">
        <f>HYPERLINK("https://inpn.mnhn.fr/espece/cd_nom/21354","Bibio varipes Meigen, 1830")</f>
        <v>Bibio varipes Meigen, 1830</v>
      </c>
      <c r="AH9114" s="4" t="str">
        <f>HYPERLINK("#Statut_biogéographique!A"&amp;_xlfn.XMATCH("P",Statut_biogéographique!A:A,2,1),"P")</f>
        <v>P</v>
      </c>
      <c r="AP9114" s="4" t="s">
        <v>376</v>
      </c>
      <c r="AR9114" s="4" t="s">
        <v>377</v>
      </c>
    </row>
    <row r="9115" spans="1:44">
      <c r="A9115" s="4" t="s">
        <v>10753</v>
      </c>
      <c r="B9115" s="4">
        <v>21366</v>
      </c>
      <c r="D9115" s="5" t="s">
        <v>12342</v>
      </c>
      <c r="E9115" s="6" t="str">
        <f>HYPERLINK("https://inpn.mnhn.fr/espece/cd_nom/21366","Anapausis talpae (Verrall, 1912)")</f>
        <v>Anapausis talpae (Verrall, 1912)</v>
      </c>
      <c r="AH9115" s="4" t="str">
        <f>HYPERLINK("#Statut_biogéographique!A"&amp;_xlfn.XMATCH("P",Statut_biogéographique!A:A,2,1),"P")</f>
        <v>P</v>
      </c>
      <c r="AP9115" s="4" t="s">
        <v>376</v>
      </c>
      <c r="AR9115" s="4" t="s">
        <v>377</v>
      </c>
    </row>
    <row r="9116" spans="1:44">
      <c r="A9116" s="4" t="s">
        <v>10753</v>
      </c>
      <c r="B9116" s="4">
        <v>21371</v>
      </c>
      <c r="D9116" s="5" t="s">
        <v>12343</v>
      </c>
      <c r="E9116" s="6" t="str">
        <f>HYPERLINK("https://inpn.mnhn.fr/espece/cd_nom/21371","Apiloscatopse scutellata (Loew, 1846)")</f>
        <v>Apiloscatopse scutellata (Loew, 1846)</v>
      </c>
      <c r="AH9116" s="4" t="str">
        <f>HYPERLINK("#Statut_biogéographique!A"&amp;_xlfn.XMATCH("P",Statut_biogéographique!A:A,2,1),"P")</f>
        <v>P</v>
      </c>
      <c r="AP9116" s="4" t="s">
        <v>376</v>
      </c>
      <c r="AR9116" s="4" t="s">
        <v>377</v>
      </c>
    </row>
    <row r="9117" spans="1:44">
      <c r="A9117" s="4" t="s">
        <v>10753</v>
      </c>
      <c r="B9117" s="4">
        <v>21375</v>
      </c>
      <c r="D9117" s="5" t="s">
        <v>12344</v>
      </c>
      <c r="E9117" s="6" t="str">
        <f>HYPERLINK("https://inpn.mnhn.fr/espece/cd_nom/21375","Coboldia fuscipes (Meigen, 1830)")</f>
        <v>Coboldia fuscipes (Meigen, 1830)</v>
      </c>
      <c r="AH9117" s="4" t="str">
        <f>HYPERLINK("#Statut_biogéographique!A"&amp;_xlfn.XMATCH("P",Statut_biogéographique!A:A,2,1),"P")</f>
        <v>P</v>
      </c>
      <c r="AP9117" s="4" t="s">
        <v>376</v>
      </c>
      <c r="AR9117" s="4" t="s">
        <v>377</v>
      </c>
    </row>
    <row r="9118" spans="1:44">
      <c r="A9118" s="4" t="s">
        <v>10753</v>
      </c>
      <c r="B9118" s="4">
        <v>21377</v>
      </c>
      <c r="D9118" s="5" t="s">
        <v>12345</v>
      </c>
      <c r="E9118" s="6" t="str">
        <f>HYPERLINK("https://inpn.mnhn.fr/espece/cd_nom/21377","Colobostema nigripenne (Meigen, 1830)")</f>
        <v>Colobostema nigripenne (Meigen, 1830)</v>
      </c>
      <c r="AH9118" s="4" t="str">
        <f>HYPERLINK("#Statut_biogéographique!A"&amp;_xlfn.XMATCH("P",Statut_biogéographique!A:A,2,1),"P")</f>
        <v>P</v>
      </c>
      <c r="AP9118" s="4" t="s">
        <v>376</v>
      </c>
      <c r="AR9118" s="4" t="s">
        <v>377</v>
      </c>
    </row>
    <row r="9119" spans="1:44">
      <c r="A9119" s="4" t="s">
        <v>10753</v>
      </c>
      <c r="B9119" s="4">
        <v>21378</v>
      </c>
      <c r="D9119" s="5" t="s">
        <v>12346</v>
      </c>
      <c r="E9119" s="6" t="str">
        <f>HYPERLINK("https://inpn.mnhn.fr/espece/cd_nom/21378","Colobostema triste (Zetterstedt, 1850)")</f>
        <v>Colobostema triste (Zetterstedt, 1850)</v>
      </c>
      <c r="AH9119" s="4" t="str">
        <f>HYPERLINK("#Statut_biogéographique!A"&amp;_xlfn.XMATCH("P",Statut_biogéographique!A:A,2,1),"P")</f>
        <v>P</v>
      </c>
      <c r="AP9119" s="4" t="s">
        <v>376</v>
      </c>
      <c r="AR9119" s="4" t="s">
        <v>377</v>
      </c>
    </row>
    <row r="9120" spans="1:44">
      <c r="A9120" s="4" t="s">
        <v>10753</v>
      </c>
      <c r="B9120" s="4">
        <v>21411</v>
      </c>
      <c r="D9120" s="5" t="s">
        <v>12347</v>
      </c>
      <c r="E9120" s="6" t="str">
        <f>HYPERLINK("https://inpn.mnhn.fr/espece/cd_nom/21411","Swammerdamella brevicornis (Meigen, 1830)")</f>
        <v>Swammerdamella brevicornis (Meigen, 1830)</v>
      </c>
      <c r="AH9120" s="4" t="str">
        <f>HYPERLINK("#Statut_biogéographique!A"&amp;_xlfn.XMATCH("P",Statut_biogéographique!A:A,2,1),"P")</f>
        <v>P</v>
      </c>
      <c r="AP9120" s="4" t="s">
        <v>376</v>
      </c>
      <c r="AR9120" s="4" t="s">
        <v>377</v>
      </c>
    </row>
    <row r="9121" spans="1:44">
      <c r="A9121" s="4" t="s">
        <v>10753</v>
      </c>
      <c r="B9121" s="4">
        <v>21504</v>
      </c>
      <c r="D9121" s="5" t="s">
        <v>12348</v>
      </c>
      <c r="E9121" s="6" t="str">
        <f>HYPERLINK("https://inpn.mnhn.fr/espece/cd_nom/21504","Dasineura crataegi (Winnertz, 1853)")</f>
        <v>Dasineura crataegi (Winnertz, 1853)</v>
      </c>
      <c r="AH9121" s="4" t="str">
        <f>HYPERLINK("#Statut_biogéographique!A"&amp;_xlfn.XMATCH("P",Statut_biogéographique!A:A,2,1),"P")</f>
        <v>P</v>
      </c>
      <c r="AP9121" s="4" t="s">
        <v>376</v>
      </c>
      <c r="AR9121" s="4" t="s">
        <v>377</v>
      </c>
    </row>
    <row r="9122" spans="1:44">
      <c r="A9122" s="4" t="s">
        <v>10753</v>
      </c>
      <c r="B9122" s="4">
        <v>21508</v>
      </c>
      <c r="D9122" s="5" t="s">
        <v>12349</v>
      </c>
      <c r="E9122" s="6" t="str">
        <f>HYPERLINK("https://inpn.mnhn.fr/espece/cd_nom/21508","Dasineura fraxini (Bremi, 1847)")</f>
        <v>Dasineura fraxini (Bremi, 1847)</v>
      </c>
      <c r="AH9122" s="4" t="str">
        <f>HYPERLINK("#Statut_biogéographique!A"&amp;_xlfn.XMATCH("P",Statut_biogéographique!A:A,2,1),"P")</f>
        <v>P</v>
      </c>
      <c r="AP9122" s="4" t="s">
        <v>376</v>
      </c>
      <c r="AR9122" s="4" t="s">
        <v>377</v>
      </c>
    </row>
    <row r="9123" spans="1:44">
      <c r="A9123" s="4" t="s">
        <v>10753</v>
      </c>
      <c r="B9123" s="4">
        <v>215114</v>
      </c>
      <c r="D9123" s="5" t="s">
        <v>12350</v>
      </c>
      <c r="E9123" s="6" t="str">
        <f>HYPERLINK("https://inpn.mnhn.fr/espece/cd_nom/215114","Aleyrodes proletella (Linnaeus, 1758)")</f>
        <v>Aleyrodes proletella (Linnaeus, 1758)</v>
      </c>
      <c r="F9123" s="5" t="s">
        <v>12351</v>
      </c>
      <c r="AH9123" s="4" t="str">
        <f>HYPERLINK("#Statut_biogéographique!A"&amp;_xlfn.XMATCH("P",Statut_biogéographique!A:A,2,1),"P")</f>
        <v>P</v>
      </c>
      <c r="AP9123" s="4" t="s">
        <v>376</v>
      </c>
      <c r="AR9123" s="4" t="s">
        <v>377</v>
      </c>
    </row>
    <row r="9124" spans="1:44">
      <c r="A9124" s="4" t="s">
        <v>10753</v>
      </c>
      <c r="B9124" s="4">
        <v>215120</v>
      </c>
      <c r="D9124" s="5">
        <v>215120</v>
      </c>
      <c r="E9124" s="6" t="str">
        <f>HYPERLINK("https://inpn.mnhn.fr/espece/cd_nom/215120","Pealius quercus (Signoret, 1868)")</f>
        <v>Pealius quercus (Signoret, 1868)</v>
      </c>
      <c r="AH9124" s="4" t="str">
        <f>HYPERLINK("#Statut_biogéographique!A"&amp;_xlfn.XMATCH("P",Statut_biogéographique!A:A,2,1),"P")</f>
        <v>P</v>
      </c>
      <c r="AP9124" s="4" t="s">
        <v>376</v>
      </c>
      <c r="AR9124" s="4" t="s">
        <v>377</v>
      </c>
    </row>
    <row r="9125" spans="1:44">
      <c r="A9125" s="4" t="s">
        <v>10753</v>
      </c>
      <c r="B9125" s="4">
        <v>21514</v>
      </c>
      <c r="D9125" s="5">
        <v>21514</v>
      </c>
      <c r="E9125" s="6" t="str">
        <f>HYPERLINK("https://inpn.mnhn.fr/espece/cd_nom/21514","Rymosia virens Dziedzicki, 1910")</f>
        <v>Rymosia virens Dziedzicki, 1910</v>
      </c>
      <c r="AH9125" s="4" t="str">
        <f>HYPERLINK("#Statut_biogéographique!A"&amp;_xlfn.XMATCH("P",Statut_biogéographique!A:A,2,1),"P")</f>
        <v>P</v>
      </c>
      <c r="AP9125" s="4" t="s">
        <v>376</v>
      </c>
      <c r="AR9125" s="4" t="s">
        <v>377</v>
      </c>
    </row>
    <row r="9126" spans="1:44">
      <c r="A9126" s="4" t="s">
        <v>10753</v>
      </c>
      <c r="B9126" s="4">
        <v>21516</v>
      </c>
      <c r="D9126" s="5" t="s">
        <v>12352</v>
      </c>
      <c r="E9126" s="6" t="str">
        <f>HYPERLINK("https://inpn.mnhn.fr/espece/cd_nom/21516","Sceptonia nigra (Meigen, 1804)")</f>
        <v>Sceptonia nigra (Meigen, 1804)</v>
      </c>
      <c r="AH9126" s="4" t="str">
        <f>HYPERLINK("#Statut_biogéographique!A"&amp;_xlfn.XMATCH("P",Statut_biogéographique!A:A,2,1),"P")</f>
        <v>P</v>
      </c>
      <c r="AP9126" s="4" t="s">
        <v>376</v>
      </c>
      <c r="AR9126" s="4" t="s">
        <v>377</v>
      </c>
    </row>
    <row r="9127" spans="1:44">
      <c r="A9127" s="4" t="s">
        <v>10753</v>
      </c>
      <c r="B9127" s="4">
        <v>215166</v>
      </c>
      <c r="D9127" s="5" t="s">
        <v>12353</v>
      </c>
      <c r="E9127" s="6" t="str">
        <f>HYPERLINK("https://inpn.mnhn.fr/espece/cd_nom/215166","Amphorophora rubi (Kaltenbach, 1843)")</f>
        <v>Amphorophora rubi (Kaltenbach, 1843)</v>
      </c>
      <c r="AH9127" s="4" t="str">
        <f>HYPERLINK("#Statut_biogéographique!A"&amp;_xlfn.XMATCH("P",Statut_biogéographique!A:A,2,1),"P")</f>
        <v>P</v>
      </c>
      <c r="AP9127" s="4" t="s">
        <v>376</v>
      </c>
      <c r="AR9127" s="4" t="s">
        <v>377</v>
      </c>
    </row>
    <row r="9128" spans="1:44">
      <c r="A9128" s="4" t="s">
        <v>10753</v>
      </c>
      <c r="B9128" s="4">
        <v>215168</v>
      </c>
      <c r="D9128" s="5" t="s">
        <v>12354</v>
      </c>
      <c r="E9128" s="6" t="str">
        <f>HYPERLINK("https://inpn.mnhn.fr/espece/cd_nom/215168","Anoecia corni (Fabricius, 1775)")</f>
        <v>Anoecia corni (Fabricius, 1775)</v>
      </c>
      <c r="AH9128" s="4" t="str">
        <f>HYPERLINK("#Statut_biogéographique!A"&amp;_xlfn.XMATCH("P",Statut_biogéographique!A:A,2,1),"P")</f>
        <v>P</v>
      </c>
      <c r="AP9128" s="4" t="s">
        <v>376</v>
      </c>
      <c r="AR9128" s="4" t="s">
        <v>377</v>
      </c>
    </row>
    <row r="9129" spans="1:44">
      <c r="A9129" s="4" t="s">
        <v>10753</v>
      </c>
      <c r="B9129" s="4">
        <v>215183</v>
      </c>
      <c r="D9129" s="5">
        <v>215183</v>
      </c>
      <c r="E9129" s="6" t="str">
        <f>HYPERLINK("https://inpn.mnhn.fr/espece/cd_nom/215183","Aphis armata Hausmann, 1802")</f>
        <v>Aphis armata Hausmann, 1802</v>
      </c>
      <c r="AH9129" s="4" t="str">
        <f>HYPERLINK("#Statut_biogéographique!A"&amp;_xlfn.XMATCH("P",Statut_biogéographique!A:A,2,1),"P")</f>
        <v>P</v>
      </c>
      <c r="AP9129" s="4" t="s">
        <v>376</v>
      </c>
      <c r="AR9129" s="4" t="s">
        <v>377</v>
      </c>
    </row>
    <row r="9130" spans="1:44">
      <c r="A9130" s="4" t="s">
        <v>10753</v>
      </c>
      <c r="B9130" s="4">
        <v>215210</v>
      </c>
      <c r="D9130" s="5">
        <v>215210</v>
      </c>
      <c r="E9130" s="6" t="str">
        <f>HYPERLINK("https://inpn.mnhn.fr/espece/cd_nom/215210","Aphis gossypii Glover, 1877")</f>
        <v>Aphis gossypii Glover, 1877</v>
      </c>
      <c r="F9130" s="5" t="s">
        <v>12355</v>
      </c>
      <c r="AH9130" s="4" t="str">
        <f>HYPERLINK("#Statut_biogéographique!A"&amp;_xlfn.XMATCH("I",Statut_biogéographique!A:A,2,1),"I")</f>
        <v>I</v>
      </c>
      <c r="AP9130" s="4" t="s">
        <v>376</v>
      </c>
      <c r="AR9130" s="4" t="s">
        <v>377</v>
      </c>
    </row>
    <row r="9131" spans="1:44">
      <c r="A9131" s="4" t="s">
        <v>10753</v>
      </c>
      <c r="B9131" s="4">
        <v>215211</v>
      </c>
      <c r="D9131" s="5">
        <v>215211</v>
      </c>
      <c r="E9131" s="6" t="str">
        <f>HYPERLINK("https://inpn.mnhn.fr/espece/cd_nom/215211","Aphis hederae Kaltenbach, 1843")</f>
        <v>Aphis hederae Kaltenbach, 1843</v>
      </c>
      <c r="AH9131" s="4" t="str">
        <f>HYPERLINK("#Statut_biogéographique!A"&amp;_xlfn.XMATCH("P",Statut_biogéographique!A:A,2,1),"P")</f>
        <v>P</v>
      </c>
      <c r="AP9131" s="4" t="s">
        <v>376</v>
      </c>
      <c r="AR9131" s="4" t="s">
        <v>377</v>
      </c>
    </row>
    <row r="9132" spans="1:44">
      <c r="A9132" s="4" t="s">
        <v>10753</v>
      </c>
      <c r="B9132" s="4">
        <v>215216</v>
      </c>
      <c r="D9132" s="5" t="s">
        <v>12356</v>
      </c>
      <c r="E9132" s="6" t="str">
        <f>HYPERLINK("https://inpn.mnhn.fr/espece/cd_nom/215216","Aphis idaei van der Goot, 1912")</f>
        <v>Aphis idaei van der Goot, 1912</v>
      </c>
      <c r="AH9132" s="4" t="str">
        <f>HYPERLINK("#Statut_biogéographique!A"&amp;_xlfn.XMATCH("P",Statut_biogéographique!A:A,2,1),"P")</f>
        <v>P</v>
      </c>
      <c r="AP9132" s="4" t="s">
        <v>376</v>
      </c>
      <c r="AR9132" s="4" t="s">
        <v>377</v>
      </c>
    </row>
    <row r="9133" spans="1:44">
      <c r="A9133" s="4" t="s">
        <v>10753</v>
      </c>
      <c r="B9133" s="4">
        <v>215243</v>
      </c>
      <c r="D9133" s="5" t="s">
        <v>12357</v>
      </c>
      <c r="E9133" s="6" t="str">
        <f>HYPERLINK("https://inpn.mnhn.fr/espece/cd_nom/215243","Aphis ruborum (Börner, 1932)")</f>
        <v>Aphis ruborum (Börner, 1932)</v>
      </c>
      <c r="AH9133" s="4" t="str">
        <f>HYPERLINK("#Statut_biogéographique!A"&amp;_xlfn.XMATCH("P",Statut_biogéographique!A:A,2,1),"P")</f>
        <v>P</v>
      </c>
      <c r="AP9133" s="4" t="s">
        <v>376</v>
      </c>
      <c r="AR9133" s="4" t="s">
        <v>377</v>
      </c>
    </row>
    <row r="9134" spans="1:44">
      <c r="A9134" s="4" t="s">
        <v>10753</v>
      </c>
      <c r="B9134" s="4">
        <v>215244</v>
      </c>
      <c r="D9134" s="5">
        <v>215244</v>
      </c>
      <c r="E9134" s="6" t="str">
        <f>HYPERLINK("https://inpn.mnhn.fr/espece/cd_nom/215244","Aphis rumicis Linnaeus, 1758")</f>
        <v>Aphis rumicis Linnaeus, 1758</v>
      </c>
      <c r="AH9134" s="4" t="str">
        <f>HYPERLINK("#Statut_biogéographique!A"&amp;_xlfn.XMATCH("P",Statut_biogéographique!A:A,2,1),"P")</f>
        <v>P</v>
      </c>
      <c r="AP9134" s="4" t="s">
        <v>376</v>
      </c>
      <c r="AR9134" s="4" t="s">
        <v>377</v>
      </c>
    </row>
    <row r="9135" spans="1:44">
      <c r="A9135" s="4" t="s">
        <v>10753</v>
      </c>
      <c r="B9135" s="4">
        <v>215246</v>
      </c>
      <c r="D9135" s="5">
        <v>215246</v>
      </c>
      <c r="E9135" s="6" t="str">
        <f>HYPERLINK("https://inpn.mnhn.fr/espece/cd_nom/215246","Aphis sambuci Linnaeus, 1758")</f>
        <v>Aphis sambuci Linnaeus, 1758</v>
      </c>
      <c r="F9135" s="5" t="s">
        <v>12358</v>
      </c>
      <c r="AH9135" s="4" t="str">
        <f>HYPERLINK("#Statut_biogéographique!A"&amp;_xlfn.XMATCH("P",Statut_biogéographique!A:A,2,1),"P")</f>
        <v>P</v>
      </c>
      <c r="AP9135" s="4" t="s">
        <v>376</v>
      </c>
      <c r="AR9135" s="4" t="s">
        <v>377</v>
      </c>
    </row>
    <row r="9136" spans="1:44">
      <c r="A9136" s="4" t="s">
        <v>10753</v>
      </c>
      <c r="B9136" s="4">
        <v>215250</v>
      </c>
      <c r="D9136" s="5" t="s">
        <v>12359</v>
      </c>
      <c r="E9136" s="6" t="str">
        <f>HYPERLINK("https://inpn.mnhn.fr/espece/cd_nom/215250","Aphis spiraecola Patch, 1914")</f>
        <v>Aphis spiraecola Patch, 1914</v>
      </c>
      <c r="F9136" s="5" t="s">
        <v>12360</v>
      </c>
      <c r="AH9136" s="4" t="str">
        <f>HYPERLINK("#Statut_biogéographique!A"&amp;_xlfn.XMATCH("I",Statut_biogéographique!A:A,2,1),"I")</f>
        <v>I</v>
      </c>
      <c r="AP9136" s="4" t="s">
        <v>376</v>
      </c>
      <c r="AR9136" s="4" t="s">
        <v>377</v>
      </c>
    </row>
    <row r="9137" spans="1:44">
      <c r="A9137" s="4" t="s">
        <v>10753</v>
      </c>
      <c r="B9137" s="4">
        <v>215265</v>
      </c>
      <c r="D9137" s="5" t="s">
        <v>12361</v>
      </c>
      <c r="E9137" s="6" t="str">
        <f>HYPERLINK("https://inpn.mnhn.fr/espece/cd_nom/215265","Aphis urticata Gmelin, 1790")</f>
        <v>Aphis urticata Gmelin, 1790</v>
      </c>
      <c r="AH9137" s="4" t="str">
        <f>HYPERLINK("#Statut_biogéographique!A"&amp;_xlfn.XMATCH("P",Statut_biogéographique!A:A,2,1),"P")</f>
        <v>P</v>
      </c>
      <c r="AP9137" s="4" t="s">
        <v>376</v>
      </c>
      <c r="AR9137" s="4" t="s">
        <v>377</v>
      </c>
    </row>
    <row r="9138" spans="1:44">
      <c r="A9138" s="4" t="s">
        <v>10753</v>
      </c>
      <c r="B9138" s="4">
        <v>215304</v>
      </c>
      <c r="D9138" s="5" t="s">
        <v>12362</v>
      </c>
      <c r="E9138" s="6" t="str">
        <f>HYPERLINK("https://inpn.mnhn.fr/espece/cd_nom/215304","Brachycaudus helichrysi (Kaltenbach, 1843)")</f>
        <v>Brachycaudus helichrysi (Kaltenbach, 1843)</v>
      </c>
      <c r="F9138" s="5" t="s">
        <v>12363</v>
      </c>
      <c r="AH9138" s="4" t="str">
        <f>HYPERLINK("#Statut_biogéographique!A"&amp;_xlfn.XMATCH("P",Statut_biogéographique!A:A,2,1),"P")</f>
        <v>P</v>
      </c>
      <c r="AP9138" s="4" t="s">
        <v>376</v>
      </c>
      <c r="AR9138" s="4" t="s">
        <v>377</v>
      </c>
    </row>
    <row r="9139" spans="1:44" ht="30">
      <c r="A9139" s="4" t="s">
        <v>10753</v>
      </c>
      <c r="B9139" s="4">
        <v>21534</v>
      </c>
      <c r="D9139" s="5" t="s">
        <v>12364</v>
      </c>
      <c r="E9139" s="6" t="str">
        <f>HYPERLINK("https://inpn.mnhn.fr/espece/cd_nom/21534","Trichonta vitta (Meigen, 1830)")</f>
        <v>Trichonta vitta (Meigen, 1830)</v>
      </c>
      <c r="AH9139" s="4" t="str">
        <f>HYPERLINK("#Statut_biogéographique!A"&amp;_xlfn.XMATCH("P",Statut_biogéographique!A:A,2,1),"P")</f>
        <v>P</v>
      </c>
      <c r="AP9139" s="4" t="s">
        <v>376</v>
      </c>
      <c r="AR9139" s="4" t="s">
        <v>377</v>
      </c>
    </row>
    <row r="9140" spans="1:44">
      <c r="A9140" s="4" t="s">
        <v>10753</v>
      </c>
      <c r="B9140" s="4">
        <v>215384</v>
      </c>
      <c r="D9140" s="5" t="s">
        <v>12365</v>
      </c>
      <c r="E9140" s="6" t="str">
        <f>HYPERLINK("https://inpn.mnhn.fr/espece/cd_nom/215384","Clethrobius comes (Walker, 1848)")</f>
        <v>Clethrobius comes (Walker, 1848)</v>
      </c>
      <c r="AH9140" s="4" t="str">
        <f>HYPERLINK("#Statut_biogéographique!A"&amp;_xlfn.XMATCH("P",Statut_biogéographique!A:A,2,1),"P")</f>
        <v>P</v>
      </c>
      <c r="AP9140" s="4" t="s">
        <v>376</v>
      </c>
      <c r="AR9140" s="4" t="s">
        <v>377</v>
      </c>
    </row>
    <row r="9141" spans="1:44">
      <c r="A9141" s="4" t="s">
        <v>10753</v>
      </c>
      <c r="B9141" s="4">
        <v>215398</v>
      </c>
      <c r="D9141" s="5" t="s">
        <v>12366</v>
      </c>
      <c r="E9141" s="6" t="str">
        <f>HYPERLINK("https://inpn.mnhn.fr/espece/cd_nom/215398","Corylobium avellanae (Schrank, 1801)")</f>
        <v>Corylobium avellanae (Schrank, 1801)</v>
      </c>
      <c r="AH9141" s="4" t="str">
        <f>HYPERLINK("#Statut_biogéographique!A"&amp;_xlfn.XMATCH("P",Statut_biogéographique!A:A,2,1),"P")</f>
        <v>P</v>
      </c>
      <c r="AP9141" s="4" t="s">
        <v>376</v>
      </c>
      <c r="AR9141" s="4" t="s">
        <v>377</v>
      </c>
    </row>
    <row r="9142" spans="1:44">
      <c r="A9142" s="4" t="s">
        <v>10753</v>
      </c>
      <c r="B9142" s="4">
        <v>215404</v>
      </c>
      <c r="D9142" s="5" t="s">
        <v>12367</v>
      </c>
      <c r="E9142" s="6" t="str">
        <f>HYPERLINK("https://inpn.mnhn.fr/espece/cd_nom/215404","Cryptomyzus ribis (Linnaeus, 1758)")</f>
        <v>Cryptomyzus ribis (Linnaeus, 1758)</v>
      </c>
      <c r="AH9142" s="4" t="str">
        <f>HYPERLINK("#Statut_biogéographique!A"&amp;_xlfn.XMATCH("P",Statut_biogéographique!A:A,2,1),"P")</f>
        <v>P</v>
      </c>
      <c r="AP9142" s="4" t="s">
        <v>376</v>
      </c>
      <c r="AR9142" s="4" t="s">
        <v>377</v>
      </c>
    </row>
    <row r="9143" spans="1:44">
      <c r="A9143" s="4" t="s">
        <v>10753</v>
      </c>
      <c r="B9143" s="4">
        <v>215432</v>
      </c>
      <c r="D9143" s="5" t="s">
        <v>12368</v>
      </c>
      <c r="E9143" s="6" t="str">
        <f>HYPERLINK("https://inpn.mnhn.fr/espece/cd_nom/215432","Dysaphis ranunculi (Kaltenbach, 1843)")</f>
        <v>Dysaphis ranunculi (Kaltenbach, 1843)</v>
      </c>
      <c r="AH9143" s="4" t="str">
        <f>HYPERLINK("#Statut_biogéographique!A"&amp;_xlfn.XMATCH("P",Statut_biogéographique!A:A,2,1),"P")</f>
        <v>P</v>
      </c>
      <c r="AP9143" s="4" t="s">
        <v>376</v>
      </c>
      <c r="AR9143" s="4" t="s">
        <v>377</v>
      </c>
    </row>
    <row r="9144" spans="1:44">
      <c r="A9144" s="4" t="s">
        <v>10753</v>
      </c>
      <c r="B9144" s="4">
        <v>215454</v>
      </c>
      <c r="D9144" s="5" t="s">
        <v>12369</v>
      </c>
      <c r="E9144" s="6" t="str">
        <f>HYPERLINK("https://inpn.mnhn.fr/espece/cd_nom/215454","Euceraphis betulae (Koch, 1855)")</f>
        <v>Euceraphis betulae (Koch, 1855)</v>
      </c>
      <c r="AH9144" s="4" t="str">
        <f>HYPERLINK("#Statut_biogéographique!A"&amp;_xlfn.XMATCH("P",Statut_biogéographique!A:A,2,1),"P")</f>
        <v>P</v>
      </c>
      <c r="AP9144" s="4" t="s">
        <v>376</v>
      </c>
      <c r="AR9144" s="4" t="s">
        <v>377</v>
      </c>
    </row>
    <row r="9145" spans="1:44">
      <c r="A9145" s="4" t="s">
        <v>10753</v>
      </c>
      <c r="B9145" s="4">
        <v>215455</v>
      </c>
      <c r="D9145" s="5" t="s">
        <v>12370</v>
      </c>
      <c r="E9145" s="6" t="str">
        <f>HYPERLINK("https://inpn.mnhn.fr/espece/cd_nom/215455","Euceraphis punctipennis (Zetterstedt, 1828)")</f>
        <v>Euceraphis punctipennis (Zetterstedt, 1828)</v>
      </c>
      <c r="AH9145" s="4" t="str">
        <f>HYPERLINK("#Statut_biogéographique!A"&amp;_xlfn.XMATCH("P",Statut_biogéographique!A:A,2,1),"P")</f>
        <v>P</v>
      </c>
      <c r="AP9145" s="4" t="s">
        <v>376</v>
      </c>
      <c r="AR9145" s="4" t="s">
        <v>377</v>
      </c>
    </row>
    <row r="9146" spans="1:44" ht="30">
      <c r="A9146" s="4" t="s">
        <v>10753</v>
      </c>
      <c r="B9146" s="4">
        <v>215481</v>
      </c>
      <c r="D9146" s="5" t="s">
        <v>12371</v>
      </c>
      <c r="E9146" s="6" t="str">
        <f>HYPERLINK("https://inpn.mnhn.fr/espece/cd_nom/215481","Hyperomyzus lactucae (Linnaeus, 1758)")</f>
        <v>Hyperomyzus lactucae (Linnaeus, 1758)</v>
      </c>
      <c r="F9146" s="5" t="s">
        <v>12372</v>
      </c>
      <c r="AH9146" s="4" t="str">
        <f>HYPERLINK("#Statut_biogéographique!A"&amp;_xlfn.XMATCH("P",Statut_biogéographique!A:A,2,1),"P")</f>
        <v>P</v>
      </c>
      <c r="AP9146" s="4" t="s">
        <v>376</v>
      </c>
      <c r="AR9146" s="4" t="s">
        <v>377</v>
      </c>
    </row>
    <row r="9147" spans="1:44">
      <c r="A9147" s="4" t="s">
        <v>10753</v>
      </c>
      <c r="B9147" s="4">
        <v>215498</v>
      </c>
      <c r="D9147" s="5" t="s">
        <v>12373</v>
      </c>
      <c r="E9147" s="6" t="str">
        <f>HYPERLINK("https://inpn.mnhn.fr/espece/cd_nom/215498","Lipaphis alliariae F.P. Müller, 1952")</f>
        <v>Lipaphis alliariae F.P. Müller, 1952</v>
      </c>
      <c r="AH9147" s="4" t="str">
        <f>HYPERLINK("#Statut_biogéographique!A"&amp;_xlfn.XMATCH("P",Statut_biogéographique!A:A,2,1),"P")</f>
        <v>P</v>
      </c>
      <c r="AP9147" s="4" t="s">
        <v>376</v>
      </c>
      <c r="AR9147" s="4" t="s">
        <v>377</v>
      </c>
    </row>
    <row r="9148" spans="1:44">
      <c r="A9148" s="4" t="s">
        <v>10753</v>
      </c>
      <c r="B9148" s="4">
        <v>215518</v>
      </c>
      <c r="D9148" s="5" t="s">
        <v>12374</v>
      </c>
      <c r="E9148" s="6" t="str">
        <f>HYPERLINK("https://inpn.mnhn.fr/espece/cd_nom/215518","Macrosiphoniella sanborni (Gillette, 1908)")</f>
        <v>Macrosiphoniella sanborni (Gillette, 1908)</v>
      </c>
      <c r="AH9148" s="4" t="str">
        <f>HYPERLINK("#Statut_biogéographique!A"&amp;_xlfn.XMATCH("I",Statut_biogéographique!A:A,2,1),"I")</f>
        <v>I</v>
      </c>
      <c r="AP9148" s="4" t="s">
        <v>376</v>
      </c>
      <c r="AR9148" s="4" t="s">
        <v>377</v>
      </c>
    </row>
    <row r="9149" spans="1:44">
      <c r="A9149" s="4" t="s">
        <v>10753</v>
      </c>
      <c r="B9149" s="4">
        <v>215536</v>
      </c>
      <c r="D9149" s="5" t="s">
        <v>12375</v>
      </c>
      <c r="E9149" s="6" t="str">
        <f>HYPERLINK("https://inpn.mnhn.fr/espece/cd_nom/215536","Macrosiphum euphorbiae (Thomas, 1878)")</f>
        <v>Macrosiphum euphorbiae (Thomas, 1878)</v>
      </c>
      <c r="F9149" s="5" t="s">
        <v>12376</v>
      </c>
      <c r="AH9149" s="4" t="str">
        <f>HYPERLINK("#Statut_biogéographique!A"&amp;_xlfn.XMATCH("I",Statut_biogéographique!A:A,2,1),"I")</f>
        <v>I</v>
      </c>
      <c r="AP9149" s="4" t="s">
        <v>376</v>
      </c>
      <c r="AR9149" s="4" t="s">
        <v>377</v>
      </c>
    </row>
    <row r="9150" spans="1:44">
      <c r="A9150" s="4" t="s">
        <v>10753</v>
      </c>
      <c r="B9150" s="4">
        <v>21554</v>
      </c>
      <c r="D9150" s="5" t="s">
        <v>12377</v>
      </c>
      <c r="E9150" s="6" t="str">
        <f>HYPERLINK("https://inpn.mnhn.fr/espece/cd_nom/21554","Dasineura pustulans (Rübsaamen, 1889)")</f>
        <v>Dasineura pustulans (Rübsaamen, 1889)</v>
      </c>
      <c r="AH9150" s="4" t="str">
        <f>HYPERLINK("#Statut_biogéographique!A"&amp;_xlfn.XMATCH("P",Statut_biogéographique!A:A,2,1),"P")</f>
        <v>P</v>
      </c>
      <c r="AP9150" s="4" t="s">
        <v>376</v>
      </c>
      <c r="AR9150" s="4" t="s">
        <v>377</v>
      </c>
    </row>
    <row r="9151" spans="1:44">
      <c r="A9151" s="4" t="s">
        <v>10753</v>
      </c>
      <c r="B9151" s="4">
        <v>215549</v>
      </c>
      <c r="D9151" s="5" t="s">
        <v>12378</v>
      </c>
      <c r="E9151" s="6" t="str">
        <f>HYPERLINK("https://inpn.mnhn.fr/espece/cd_nom/215549","Macrosiphum rosae (Linnaeus, 1758)")</f>
        <v>Macrosiphum rosae (Linnaeus, 1758)</v>
      </c>
      <c r="F9151" s="5" t="s">
        <v>12379</v>
      </c>
      <c r="AH9151" s="4" t="str">
        <f>HYPERLINK("#Statut_biogéographique!A"&amp;_xlfn.XMATCH("P",Statut_biogéographique!A:A,2,1),"P")</f>
        <v>P</v>
      </c>
      <c r="AP9151" s="4" t="s">
        <v>376</v>
      </c>
      <c r="AR9151" s="4" t="s">
        <v>377</v>
      </c>
    </row>
    <row r="9152" spans="1:44">
      <c r="A9152" s="4" t="s">
        <v>10753</v>
      </c>
      <c r="B9152" s="4">
        <v>215583</v>
      </c>
      <c r="D9152" s="5" t="s">
        <v>12380</v>
      </c>
      <c r="E9152" s="6" t="str">
        <f>HYPERLINK("https://inpn.mnhn.fr/espece/cd_nom/215583","Myzocallis coryli (Goeze, 1778)")</f>
        <v>Myzocallis coryli (Goeze, 1778)</v>
      </c>
      <c r="AH9152" s="4" t="str">
        <f>HYPERLINK("#Statut_biogéographique!A"&amp;_xlfn.XMATCH("P",Statut_biogéographique!A:A,2,1),"P")</f>
        <v>P</v>
      </c>
      <c r="AP9152" s="4" t="s">
        <v>376</v>
      </c>
      <c r="AR9152" s="4" t="s">
        <v>377</v>
      </c>
    </row>
    <row r="9153" spans="1:44">
      <c r="A9153" s="4" t="s">
        <v>10753</v>
      </c>
      <c r="B9153" s="4">
        <v>215596</v>
      </c>
      <c r="D9153" s="5">
        <v>215596</v>
      </c>
      <c r="E9153" s="6" t="str">
        <f>HYPERLINK("https://inpn.mnhn.fr/espece/cd_nom/215596","Myzus ascalonicus Doncaster, 1946")</f>
        <v>Myzus ascalonicus Doncaster, 1946</v>
      </c>
      <c r="F9153" s="5" t="s">
        <v>12381</v>
      </c>
      <c r="AH9153" s="4" t="str">
        <f>HYPERLINK("#Statut_biogéographique!A"&amp;_xlfn.XMATCH("I",Statut_biogéographique!A:A,2,1),"I")</f>
        <v>I</v>
      </c>
      <c r="AP9153" s="4" t="s">
        <v>376</v>
      </c>
      <c r="AR9153" s="4" t="s">
        <v>377</v>
      </c>
    </row>
    <row r="9154" spans="1:44">
      <c r="A9154" s="4" t="s">
        <v>10753</v>
      </c>
      <c r="B9154" s="4">
        <v>21567</v>
      </c>
      <c r="D9154" s="5" t="s">
        <v>12382</v>
      </c>
      <c r="E9154" s="6" t="str">
        <f>HYPERLINK("https://inpn.mnhn.fr/espece/cd_nom/21567","Dasineura thomasiana (Kieffer, 1888)")</f>
        <v>Dasineura thomasiana (Kieffer, 1888)</v>
      </c>
      <c r="AH9154" s="4" t="str">
        <f>HYPERLINK("#Statut_biogéographique!A"&amp;_xlfn.XMATCH("P",Statut_biogéographique!A:A,2,1),"P")</f>
        <v>P</v>
      </c>
      <c r="AP9154" s="4" t="s">
        <v>376</v>
      </c>
      <c r="AR9154" s="4" t="s">
        <v>377</v>
      </c>
    </row>
    <row r="9155" spans="1:44" ht="45">
      <c r="A9155" s="4" t="s">
        <v>10753</v>
      </c>
      <c r="B9155" s="4">
        <v>215696</v>
      </c>
      <c r="D9155" s="5" t="s">
        <v>12383</v>
      </c>
      <c r="E9155" s="6" t="str">
        <f>HYPERLINK("https://inpn.mnhn.fr/espece/cd_nom/215696","Sitobion avenae (Fabricius, 1775)")</f>
        <v>Sitobion avenae (Fabricius, 1775)</v>
      </c>
      <c r="F9155" s="5" t="s">
        <v>12384</v>
      </c>
      <c r="AH9155" s="4" t="str">
        <f>HYPERLINK("#Statut_biogéographique!A"&amp;_xlfn.XMATCH("P",Statut_biogéographique!A:A,2,1),"P")</f>
        <v>P</v>
      </c>
      <c r="AP9155" s="4" t="s">
        <v>376</v>
      </c>
      <c r="AR9155" s="4" t="s">
        <v>377</v>
      </c>
    </row>
    <row r="9156" spans="1:44">
      <c r="A9156" s="4" t="s">
        <v>10753</v>
      </c>
      <c r="B9156" s="4">
        <v>215697</v>
      </c>
      <c r="D9156" s="5" t="s">
        <v>12385</v>
      </c>
      <c r="E9156" s="6" t="str">
        <f>HYPERLINK("https://inpn.mnhn.fr/espece/cd_nom/215697","Sitobion fragariae (Walker, 1848)")</f>
        <v>Sitobion fragariae (Walker, 1848)</v>
      </c>
      <c r="AH9156" s="4" t="str">
        <f>HYPERLINK("#Statut_biogéographique!A"&amp;_xlfn.XMATCH("P",Statut_biogéographique!A:A,2,1),"P")</f>
        <v>P</v>
      </c>
      <c r="AP9156" s="4" t="s">
        <v>376</v>
      </c>
      <c r="AR9156" s="4" t="s">
        <v>377</v>
      </c>
    </row>
    <row r="9157" spans="1:44">
      <c r="A9157" s="4" t="s">
        <v>10753</v>
      </c>
      <c r="B9157" s="4">
        <v>21572</v>
      </c>
      <c r="D9157" s="5" t="s">
        <v>12386</v>
      </c>
      <c r="E9157" s="6" t="str">
        <f>HYPERLINK("https://inpn.mnhn.fr/espece/cd_nom/21572","Dasineura trifolii (F. Löw, 1874)")</f>
        <v>Dasineura trifolii (F. Löw, 1874)</v>
      </c>
      <c r="AH9157" s="4" t="str">
        <f>HYPERLINK("#Statut_biogéographique!A"&amp;_xlfn.XMATCH("P",Statut_biogéographique!A:A,2,1),"P")</f>
        <v>P</v>
      </c>
      <c r="AP9157" s="4" t="s">
        <v>376</v>
      </c>
      <c r="AR9157" s="4" t="s">
        <v>377</v>
      </c>
    </row>
    <row r="9158" spans="1:44">
      <c r="A9158" s="4" t="s">
        <v>10753</v>
      </c>
      <c r="B9158" s="4">
        <v>215720</v>
      </c>
      <c r="D9158" s="5" t="s">
        <v>12387</v>
      </c>
      <c r="E9158" s="6" t="str">
        <f>HYPERLINK("https://inpn.mnhn.fr/espece/cd_nom/215720","Thecabius affinis (Kaltenbach, 1843)")</f>
        <v>Thecabius affinis (Kaltenbach, 1843)</v>
      </c>
      <c r="AH9158" s="4" t="str">
        <f>HYPERLINK("#Statut_biogéographique!A"&amp;_xlfn.XMATCH("P",Statut_biogéographique!A:A,2,1),"P")</f>
        <v>P</v>
      </c>
      <c r="AP9158" s="4" t="s">
        <v>376</v>
      </c>
      <c r="AR9158" s="4" t="s">
        <v>377</v>
      </c>
    </row>
    <row r="9159" spans="1:44">
      <c r="A9159" s="4" t="s">
        <v>10753</v>
      </c>
      <c r="B9159" s="4">
        <v>21573</v>
      </c>
      <c r="D9159" s="5" t="s">
        <v>12388</v>
      </c>
      <c r="E9159" s="6" t="str">
        <f>HYPERLINK("https://inpn.mnhn.fr/espece/cd_nom/21573","Dasineura ulmaria (Bremi, 1847)")</f>
        <v>Dasineura ulmaria (Bremi, 1847)</v>
      </c>
      <c r="AH9159" s="4" t="str">
        <f>HYPERLINK("#Statut_biogéographique!A"&amp;_xlfn.XMATCH("P",Statut_biogéographique!A:A,2,1),"P")</f>
        <v>P</v>
      </c>
      <c r="AP9159" s="4" t="s">
        <v>376</v>
      </c>
      <c r="AR9159" s="4" t="s">
        <v>377</v>
      </c>
    </row>
    <row r="9160" spans="1:44">
      <c r="A9160" s="4" t="s">
        <v>10753</v>
      </c>
      <c r="B9160" s="4">
        <v>21574</v>
      </c>
      <c r="D9160" s="5" t="s">
        <v>12389</v>
      </c>
      <c r="E9160" s="6" t="str">
        <f>HYPERLINK("https://inpn.mnhn.fr/espece/cd_nom/21574","Dasineura urticae (Perris, 1840)")</f>
        <v>Dasineura urticae (Perris, 1840)</v>
      </c>
      <c r="AH9160" s="4" t="str">
        <f>HYPERLINK("#Statut_biogéographique!A"&amp;_xlfn.XMATCH("P",Statut_biogéographique!A:A,2,1),"P")</f>
        <v>P</v>
      </c>
      <c r="AP9160" s="4" t="s">
        <v>376</v>
      </c>
      <c r="AR9160" s="4" t="s">
        <v>377</v>
      </c>
    </row>
    <row r="9161" spans="1:44">
      <c r="A9161" s="4" t="s">
        <v>10753</v>
      </c>
      <c r="B9161" s="4">
        <v>215756</v>
      </c>
      <c r="D9161" s="5" t="s">
        <v>12390</v>
      </c>
      <c r="E9161" s="6" t="str">
        <f>HYPERLINK("https://inpn.mnhn.fr/espece/cd_nom/215756","Uroleucon cichorii (Koch, 1855)")</f>
        <v>Uroleucon cichorii (Koch, 1855)</v>
      </c>
      <c r="AH9161" s="4" t="str">
        <f>HYPERLINK("#Statut_biogéographique!A"&amp;_xlfn.XMATCH("P",Statut_biogéographique!A:A,2,1),"P")</f>
        <v>P</v>
      </c>
      <c r="AP9161" s="4" t="s">
        <v>376</v>
      </c>
      <c r="AR9161" s="4" t="s">
        <v>377</v>
      </c>
    </row>
    <row r="9162" spans="1:44">
      <c r="A9162" s="4" t="s">
        <v>10753</v>
      </c>
      <c r="B9162" s="4">
        <v>21577</v>
      </c>
      <c r="D9162" s="5" t="s">
        <v>12391</v>
      </c>
      <c r="E9162" s="6" t="str">
        <f>HYPERLINK("https://inpn.mnhn.fr/espece/cd_nom/21577","Didymomyia tiliacea (Bremi, 1847)")</f>
        <v>Didymomyia tiliacea (Bremi, 1847)</v>
      </c>
      <c r="AH9162" s="4" t="str">
        <f>HYPERLINK("#Statut_biogéographique!A"&amp;_xlfn.XMATCH("P",Statut_biogéographique!A:A,2,1),"P")</f>
        <v>P</v>
      </c>
      <c r="AP9162" s="4" t="s">
        <v>376</v>
      </c>
      <c r="AR9162" s="4" t="s">
        <v>377</v>
      </c>
    </row>
    <row r="9163" spans="1:44">
      <c r="A9163" s="4" t="s">
        <v>10753</v>
      </c>
      <c r="B9163" s="4">
        <v>215781</v>
      </c>
      <c r="D9163" s="5" t="s">
        <v>12392</v>
      </c>
      <c r="E9163" s="6" t="str">
        <f>HYPERLINK("https://inpn.mnhn.fr/espece/cd_nom/215781","Uroleucon taraxaci (Kaltenbach, 1843)")</f>
        <v>Uroleucon taraxaci (Kaltenbach, 1843)</v>
      </c>
      <c r="AH9163" s="4" t="str">
        <f>HYPERLINK("#Statut_biogéographique!A"&amp;_xlfn.XMATCH("P",Statut_biogéographique!A:A,2,1),"P")</f>
        <v>P</v>
      </c>
      <c r="AP9163" s="4" t="s">
        <v>376</v>
      </c>
      <c r="AR9163" s="4" t="s">
        <v>377</v>
      </c>
    </row>
    <row r="9164" spans="1:44">
      <c r="A9164" s="4" t="s">
        <v>10753</v>
      </c>
      <c r="B9164" s="4">
        <v>215795</v>
      </c>
      <c r="D9164" s="5">
        <v>215795</v>
      </c>
      <c r="E9164" s="6" t="str">
        <f>HYPERLINK("https://inpn.mnhn.fr/espece/cd_nom/215795","Acherontiella variabilis Delamare, 1948")</f>
        <v>Acherontiella variabilis Delamare, 1948</v>
      </c>
      <c r="AH9164" s="4" t="str">
        <f>HYPERLINK("#Statut_biogéographique!A"&amp;_xlfn.XMATCH("E",Statut_biogéographique!A:A,2,1),"E")</f>
        <v>E</v>
      </c>
      <c r="AP9164" s="4" t="s">
        <v>376</v>
      </c>
      <c r="AR9164" s="4" t="s">
        <v>377</v>
      </c>
    </row>
    <row r="9165" spans="1:44">
      <c r="A9165" s="4" t="s">
        <v>10753</v>
      </c>
      <c r="B9165" s="4">
        <v>215802</v>
      </c>
      <c r="D9165" s="5" t="s">
        <v>12393</v>
      </c>
      <c r="E9165" s="6" t="str">
        <f>HYPERLINK("https://inpn.mnhn.fr/espece/cd_nom/215802","Ceratophysella denticulata (Bagnall, 1941)")</f>
        <v>Ceratophysella denticulata (Bagnall, 1941)</v>
      </c>
      <c r="AH9165" s="4" t="str">
        <f>HYPERLINK("#Statut_biogéographique!A"&amp;_xlfn.XMATCH("P",Statut_biogéographique!A:A,2,1),"P")</f>
        <v>P</v>
      </c>
      <c r="AP9165" s="4" t="s">
        <v>376</v>
      </c>
      <c r="AR9165" s="4" t="s">
        <v>377</v>
      </c>
    </row>
    <row r="9166" spans="1:44" ht="30">
      <c r="A9166" s="4" t="s">
        <v>10753</v>
      </c>
      <c r="B9166" s="4">
        <v>215821</v>
      </c>
      <c r="D9166" s="5" t="s">
        <v>12394</v>
      </c>
      <c r="E9166" s="6" t="str">
        <f>HYPERLINK("https://inpn.mnhn.fr/espece/cd_nom/215821","Hypogastrura purpurescens (Lubbock, 1867)")</f>
        <v>Hypogastrura purpurescens (Lubbock, 1867)</v>
      </c>
      <c r="AH9166" s="4" t="str">
        <f>HYPERLINK("#Statut_biogéographique!A"&amp;_xlfn.XMATCH("P",Statut_biogéographique!A:A,2,1),"P")</f>
        <v>P</v>
      </c>
      <c r="AP9166" s="4" t="s">
        <v>376</v>
      </c>
      <c r="AR9166" s="4" t="s">
        <v>377</v>
      </c>
    </row>
    <row r="9167" spans="1:44">
      <c r="A9167" s="4" t="s">
        <v>10753</v>
      </c>
      <c r="B9167" s="4">
        <v>215829</v>
      </c>
      <c r="D9167" s="5" t="s">
        <v>12395</v>
      </c>
      <c r="E9167" s="6" t="str">
        <f>HYPERLINK("https://inpn.mnhn.fr/espece/cd_nom/215829","Mesogastrura libyca (Caroli, 1914)")</f>
        <v>Mesogastrura libyca (Caroli, 1914)</v>
      </c>
      <c r="AH9167" s="4" t="str">
        <f>HYPERLINK("#Statut_biogéographique!A"&amp;_xlfn.XMATCH("P",Statut_biogéographique!A:A,2,1),"P")</f>
        <v>P</v>
      </c>
      <c r="AP9167" s="4" t="s">
        <v>376</v>
      </c>
      <c r="AR9167" s="4" t="s">
        <v>377</v>
      </c>
    </row>
    <row r="9168" spans="1:44">
      <c r="A9168" s="4" t="s">
        <v>10753</v>
      </c>
      <c r="B9168" s="4">
        <v>21583</v>
      </c>
      <c r="D9168" s="5" t="s">
        <v>12396</v>
      </c>
      <c r="E9168" s="6" t="str">
        <f>HYPERLINK("https://inpn.mnhn.fr/espece/cd_nom/21583","Geocrypta galii (Loew, 1850)")</f>
        <v>Geocrypta galii (Loew, 1850)</v>
      </c>
      <c r="AH9168" s="4" t="str">
        <f>HYPERLINK("#Statut_biogéographique!A"&amp;_xlfn.XMATCH("P",Statut_biogéographique!A:A,2,1),"P")</f>
        <v>P</v>
      </c>
      <c r="AP9168" s="4" t="s">
        <v>376</v>
      </c>
      <c r="AR9168" s="4" t="s">
        <v>377</v>
      </c>
    </row>
    <row r="9169" spans="1:44">
      <c r="A9169" s="4" t="s">
        <v>10753</v>
      </c>
      <c r="B9169" s="4">
        <v>215845</v>
      </c>
      <c r="D9169" s="5">
        <v>215845</v>
      </c>
      <c r="E9169" s="6" t="str">
        <f>HYPERLINK("https://inpn.mnhn.fr/espece/cd_nom/215845","Schaefferia emucronata Absolon, 1900")</f>
        <v>Schaefferia emucronata Absolon, 1900</v>
      </c>
      <c r="AH9169" s="4" t="str">
        <f>HYPERLINK("#Statut_biogéographique!A"&amp;_xlfn.XMATCH("P",Statut_biogéographique!A:A,2,1),"P")</f>
        <v>P</v>
      </c>
      <c r="AP9169" s="4" t="s">
        <v>376</v>
      </c>
      <c r="AR9169" s="4" t="s">
        <v>377</v>
      </c>
    </row>
    <row r="9170" spans="1:44">
      <c r="A9170" s="4" t="s">
        <v>10753</v>
      </c>
      <c r="B9170" s="4">
        <v>215864</v>
      </c>
      <c r="D9170" s="5" t="s">
        <v>12397</v>
      </c>
      <c r="E9170" s="6" t="str">
        <f>HYPERLINK("https://inpn.mnhn.fr/espece/cd_nom/215864","Xenylla maritima Tullberg, 1869")</f>
        <v>Xenylla maritima Tullberg, 1869</v>
      </c>
      <c r="AH9170" s="4" t="str">
        <f>HYPERLINK("#Statut_biogéographique!A"&amp;_xlfn.XMATCH("P",Statut_biogéographique!A:A,2,1),"P")</f>
        <v>P</v>
      </c>
      <c r="AP9170" s="4" t="s">
        <v>376</v>
      </c>
      <c r="AR9170" s="4" t="s">
        <v>377</v>
      </c>
    </row>
    <row r="9171" spans="1:44">
      <c r="A9171" s="4" t="s">
        <v>10753</v>
      </c>
      <c r="B9171" s="4">
        <v>215873</v>
      </c>
      <c r="D9171" s="5" t="s">
        <v>12398</v>
      </c>
      <c r="E9171" s="6" t="str">
        <f>HYPERLINK("https://inpn.mnhn.fr/espece/cd_nom/215873","Brachystomella parvula (Schäffer, 1896)")</f>
        <v>Brachystomella parvula (Schäffer, 1896)</v>
      </c>
      <c r="AH9171" s="4" t="str">
        <f>HYPERLINK("#Statut_biogéographique!A"&amp;_xlfn.XMATCH("P",Statut_biogéographique!A:A,2,1),"P")</f>
        <v>P</v>
      </c>
      <c r="AP9171" s="4" t="s">
        <v>376</v>
      </c>
      <c r="AR9171" s="4" t="s">
        <v>377</v>
      </c>
    </row>
    <row r="9172" spans="1:44" ht="30">
      <c r="A9172" s="4" t="s">
        <v>10753</v>
      </c>
      <c r="B9172" s="4">
        <v>215877</v>
      </c>
      <c r="D9172" s="5" t="s">
        <v>12399</v>
      </c>
      <c r="E9172" s="6" t="str">
        <f>HYPERLINK("https://inpn.mnhn.fr/espece/cd_nom/215877","Neanura muscorum (Templeton, 1835)")</f>
        <v>Neanura muscorum (Templeton, 1835)</v>
      </c>
      <c r="AH9172" s="4" t="str">
        <f>HYPERLINK("#Statut_biogéographique!A"&amp;_xlfn.XMATCH("P",Statut_biogéographique!A:A,2,1),"P")</f>
        <v>P</v>
      </c>
      <c r="AP9172" s="4" t="s">
        <v>376</v>
      </c>
      <c r="AR9172" s="4" t="s">
        <v>377</v>
      </c>
    </row>
    <row r="9173" spans="1:44">
      <c r="A9173" s="4" t="s">
        <v>10753</v>
      </c>
      <c r="B9173" s="4">
        <v>215884</v>
      </c>
      <c r="D9173" s="5" t="s">
        <v>12400</v>
      </c>
      <c r="E9173" s="6" t="str">
        <f>HYPERLINK("https://inpn.mnhn.fr/espece/cd_nom/215884","Monobella grassei (Denis, 1923)")</f>
        <v>Monobella grassei (Denis, 1923)</v>
      </c>
      <c r="AH9173" s="4" t="str">
        <f>HYPERLINK("#Statut_biogéographique!A"&amp;_xlfn.XMATCH("P",Statut_biogéographique!A:A,2,1),"P")</f>
        <v>P</v>
      </c>
      <c r="AP9173" s="4" t="s">
        <v>376</v>
      </c>
      <c r="AR9173" s="4" t="s">
        <v>377</v>
      </c>
    </row>
    <row r="9174" spans="1:44">
      <c r="A9174" s="4" t="s">
        <v>10753</v>
      </c>
      <c r="B9174" s="4">
        <v>215903</v>
      </c>
      <c r="D9174" s="5" t="s">
        <v>12401</v>
      </c>
      <c r="E9174" s="6" t="str">
        <f>HYPERLINK("https://inpn.mnhn.fr/espece/cd_nom/215903","Deutonura decolorata (Gama &amp; Gisin, 1964)")</f>
        <v>Deutonura decolorata (Gama &amp; Gisin, 1964)</v>
      </c>
      <c r="AH9174" s="4" t="str">
        <f>HYPERLINK("#Statut_biogéographique!A"&amp;_xlfn.XMATCH("E",Statut_biogéographique!A:A,2,1),"E")</f>
        <v>E</v>
      </c>
      <c r="AP9174" s="4" t="s">
        <v>376</v>
      </c>
      <c r="AR9174" s="4" t="s">
        <v>377</v>
      </c>
    </row>
    <row r="9175" spans="1:44">
      <c r="A9175" s="4" t="s">
        <v>10753</v>
      </c>
      <c r="B9175" s="4">
        <v>215926</v>
      </c>
      <c r="D9175" s="5" t="s">
        <v>12402</v>
      </c>
      <c r="E9175" s="6" t="str">
        <f>HYPERLINK("https://inpn.mnhn.fr/espece/cd_nom/215926","Friesea claviseta Axelson, 1900")</f>
        <v>Friesea claviseta Axelson, 1900</v>
      </c>
      <c r="AH9175" s="4" t="str">
        <f>HYPERLINK("#Statut_biogéographique!A"&amp;_xlfn.XMATCH("C",Statut_biogéographique!A:A,2,1),"C")</f>
        <v>C</v>
      </c>
      <c r="AP9175" s="4" t="s">
        <v>376</v>
      </c>
      <c r="AR9175" s="4" t="s">
        <v>377</v>
      </c>
    </row>
    <row r="9176" spans="1:44">
      <c r="A9176" s="4" t="s">
        <v>10753</v>
      </c>
      <c r="B9176" s="4">
        <v>215945</v>
      </c>
      <c r="D9176" s="5" t="s">
        <v>12403</v>
      </c>
      <c r="E9176" s="6" t="str">
        <f>HYPERLINK("https://inpn.mnhn.fr/espece/cd_nom/215945","Friesea truncata Cassagnau, 1958")</f>
        <v>Friesea truncata Cassagnau, 1958</v>
      </c>
      <c r="AH9176" s="4" t="str">
        <f>HYPERLINK("#Statut_biogéographique!A"&amp;_xlfn.XMATCH("P",Statut_biogéographique!A:A,2,1),"P")</f>
        <v>P</v>
      </c>
      <c r="AP9176" s="4" t="s">
        <v>376</v>
      </c>
      <c r="AR9176" s="4" t="s">
        <v>377</v>
      </c>
    </row>
    <row r="9177" spans="1:44">
      <c r="A9177" s="4" t="s">
        <v>10753</v>
      </c>
      <c r="B9177" s="4">
        <v>21596</v>
      </c>
      <c r="D9177" s="5" t="s">
        <v>12404</v>
      </c>
      <c r="E9177" s="6" t="str">
        <f>HYPERLINK("https://inpn.mnhn.fr/espece/cd_nom/21596","Hartigiola annulipes (Hartig, 1839)")</f>
        <v>Hartigiola annulipes (Hartig, 1839)</v>
      </c>
      <c r="AH9177" s="4" t="str">
        <f>HYPERLINK("#Statut_biogéographique!A"&amp;_xlfn.XMATCH("P",Statut_biogéographique!A:A,2,1),"P")</f>
        <v>P</v>
      </c>
      <c r="AP9177" s="4" t="s">
        <v>376</v>
      </c>
      <c r="AR9177" s="4" t="s">
        <v>377</v>
      </c>
    </row>
    <row r="9178" spans="1:44">
      <c r="A9178" s="4" t="s">
        <v>10753</v>
      </c>
      <c r="B9178" s="4">
        <v>215972</v>
      </c>
      <c r="D9178" s="5" t="s">
        <v>12405</v>
      </c>
      <c r="E9178" s="6" t="str">
        <f>HYPERLINK("https://inpn.mnhn.fr/espece/cd_nom/215972","Anurida granaria (Nicolet, 1847)")</f>
        <v>Anurida granaria (Nicolet, 1847)</v>
      </c>
      <c r="AH9178" s="4" t="str">
        <f>HYPERLINK("#Statut_biogéographique!A"&amp;_xlfn.XMATCH("P",Statut_biogéographique!A:A,2,1),"P")</f>
        <v>P</v>
      </c>
      <c r="AP9178" s="4" t="s">
        <v>376</v>
      </c>
      <c r="AR9178" s="4" t="s">
        <v>377</v>
      </c>
    </row>
    <row r="9179" spans="1:44">
      <c r="A9179" s="4" t="s">
        <v>10753</v>
      </c>
      <c r="B9179" s="4">
        <v>215985</v>
      </c>
      <c r="D9179" s="5" t="s">
        <v>12406</v>
      </c>
      <c r="E9179" s="6" t="str">
        <f>HYPERLINK("https://inpn.mnhn.fr/espece/cd_nom/215985","Superodontella lamellifera (Axelson, 1903)")</f>
        <v>Superodontella lamellifera (Axelson, 1903)</v>
      </c>
      <c r="AH9179" s="4" t="str">
        <f>HYPERLINK("#Statut_biogéographique!A"&amp;_xlfn.XMATCH("P",Statut_biogéographique!A:A,2,1),"P")</f>
        <v>P</v>
      </c>
      <c r="AP9179" s="4" t="s">
        <v>376</v>
      </c>
      <c r="AR9179" s="4" t="s">
        <v>377</v>
      </c>
    </row>
    <row r="9180" spans="1:44">
      <c r="A9180" s="4" t="s">
        <v>10753</v>
      </c>
      <c r="B9180" s="4">
        <v>215991</v>
      </c>
      <c r="D9180" s="5" t="s">
        <v>12407</v>
      </c>
      <c r="E9180" s="6" t="str">
        <f>HYPERLINK("https://inpn.mnhn.fr/espece/cd_nom/215991","Superodontella stachi (Denis, 1947)")</f>
        <v>Superodontella stachi (Denis, 1947)</v>
      </c>
      <c r="AH9180" s="4" t="str">
        <f>HYPERLINK("#Statut_biogéographique!A"&amp;_xlfn.XMATCH("P",Statut_biogéographique!A:A,2,1),"P")</f>
        <v>P</v>
      </c>
      <c r="AP9180" s="4" t="s">
        <v>376</v>
      </c>
      <c r="AR9180" s="4" t="s">
        <v>377</v>
      </c>
    </row>
    <row r="9181" spans="1:44">
      <c r="A9181" s="4" t="s">
        <v>10753</v>
      </c>
      <c r="B9181" s="4">
        <v>216034</v>
      </c>
      <c r="D9181" s="5" t="s">
        <v>12408</v>
      </c>
      <c r="E9181" s="6" t="str">
        <f>HYPERLINK("https://inpn.mnhn.fr/espece/cd_nom/216034","Deuteraphorura antheuili (Denis, 1936)")</f>
        <v>Deuteraphorura antheuili (Denis, 1936)</v>
      </c>
      <c r="AH9181" s="4" t="str">
        <f>HYPERLINK("#Statut_biogéographique!A"&amp;_xlfn.XMATCH("P",Statut_biogéographique!A:A,2,1),"P")</f>
        <v>P</v>
      </c>
      <c r="AP9181" s="4" t="s">
        <v>376</v>
      </c>
      <c r="AR9181" s="4" t="s">
        <v>377</v>
      </c>
    </row>
    <row r="9182" spans="1:44">
      <c r="A9182" s="4" t="s">
        <v>10753</v>
      </c>
      <c r="B9182" s="4">
        <v>21604</v>
      </c>
      <c r="D9182" s="5" t="s">
        <v>12409</v>
      </c>
      <c r="E9182" s="6" t="str">
        <f>HYPERLINK("https://inpn.mnhn.fr/espece/cd_nom/21604","Jaapiella veronicae (Vallot, 1827)")</f>
        <v>Jaapiella veronicae (Vallot, 1827)</v>
      </c>
      <c r="F9182" s="5" t="s">
        <v>12410</v>
      </c>
      <c r="AH9182" s="4" t="str">
        <f>HYPERLINK("#Statut_biogéographique!A"&amp;_xlfn.XMATCH("P",Statut_biogéographique!A:A,2,1),"P")</f>
        <v>P</v>
      </c>
      <c r="AP9182" s="4" t="s">
        <v>376</v>
      </c>
      <c r="AR9182" s="4" t="s">
        <v>377</v>
      </c>
    </row>
    <row r="9183" spans="1:44">
      <c r="A9183" s="4" t="s">
        <v>10753</v>
      </c>
      <c r="B9183" s="4">
        <v>216055</v>
      </c>
      <c r="D9183" s="5" t="s">
        <v>12411</v>
      </c>
      <c r="E9183" s="6" t="str">
        <f>HYPERLINK("https://inpn.mnhn.fr/espece/cd_nom/216055","Protaphorura armata (Tullberg, 1869)")</f>
        <v>Protaphorura armata (Tullberg, 1869)</v>
      </c>
      <c r="AH9183" s="4" t="str">
        <f>HYPERLINK("#Statut_biogéographique!A"&amp;_xlfn.XMATCH("P",Statut_biogéographique!A:A,2,1),"P")</f>
        <v>P</v>
      </c>
      <c r="AP9183" s="4" t="s">
        <v>376</v>
      </c>
      <c r="AR9183" s="4" t="s">
        <v>377</v>
      </c>
    </row>
    <row r="9184" spans="1:44">
      <c r="A9184" s="4" t="s">
        <v>10753</v>
      </c>
      <c r="B9184" s="4">
        <v>216065</v>
      </c>
      <c r="D9184" s="5" t="s">
        <v>12412</v>
      </c>
      <c r="E9184" s="6" t="str">
        <f>HYPERLINK("https://inpn.mnhn.fr/espece/cd_nom/216065","Anurophorus laricis Nicolet, 1842")</f>
        <v>Anurophorus laricis Nicolet, 1842</v>
      </c>
      <c r="AH9184" s="4" t="str">
        <f>HYPERLINK("#Statut_biogéographique!A"&amp;_xlfn.XMATCH("P",Statut_biogéographique!A:A,2,1),"P")</f>
        <v>P</v>
      </c>
      <c r="AP9184" s="4" t="s">
        <v>376</v>
      </c>
      <c r="AR9184" s="4" t="s">
        <v>377</v>
      </c>
    </row>
    <row r="9185" spans="1:44">
      <c r="A9185" s="4" t="s">
        <v>10753</v>
      </c>
      <c r="B9185" s="4">
        <v>216097</v>
      </c>
      <c r="D9185" s="5" t="s">
        <v>12413</v>
      </c>
      <c r="E9185" s="6" t="str">
        <f>HYPERLINK("https://inpn.mnhn.fr/espece/cd_nom/216097","Desoria violacea (Tullberg, 1876)")</f>
        <v>Desoria violacea (Tullberg, 1876)</v>
      </c>
      <c r="AH9185" s="4" t="str">
        <f>HYPERLINK("#Statut_biogéographique!A"&amp;_xlfn.XMATCH("P",Statut_biogéographique!A:A,2,1),"P")</f>
        <v>P</v>
      </c>
      <c r="AP9185" s="4" t="s">
        <v>376</v>
      </c>
      <c r="AR9185" s="4" t="s">
        <v>377</v>
      </c>
    </row>
    <row r="9186" spans="1:44">
      <c r="A9186" s="4" t="s">
        <v>10753</v>
      </c>
      <c r="B9186" s="4">
        <v>216107</v>
      </c>
      <c r="D9186" s="5" t="s">
        <v>12414</v>
      </c>
      <c r="E9186" s="6" t="str">
        <f>HYPERLINK("https://inpn.mnhn.fr/espece/cd_nom/216107","Folsomia quadrioculata (Tullberg, 1871)")</f>
        <v>Folsomia quadrioculata (Tullberg, 1871)</v>
      </c>
      <c r="AH9186" s="4" t="str">
        <f>HYPERLINK("#Statut_biogéographique!A"&amp;_xlfn.XMATCH("P",Statut_biogéographique!A:A,2,1),"P")</f>
        <v>P</v>
      </c>
      <c r="AP9186" s="4" t="s">
        <v>376</v>
      </c>
      <c r="AR9186" s="4" t="s">
        <v>377</v>
      </c>
    </row>
    <row r="9187" spans="1:44">
      <c r="A9187" s="4" t="s">
        <v>10753</v>
      </c>
      <c r="B9187" s="4">
        <v>216110</v>
      </c>
      <c r="D9187" s="5" t="s">
        <v>12415</v>
      </c>
      <c r="E9187" s="6" t="str">
        <f>HYPERLINK("https://inpn.mnhn.fr/espece/cd_nom/216110","Folsomia sexoculata (Tullberg, 1871)")</f>
        <v>Folsomia sexoculata (Tullberg, 1871)</v>
      </c>
      <c r="AH9187" s="4" t="str">
        <f>HYPERLINK("#Statut_biogéographique!A"&amp;_xlfn.XMATCH("P",Statut_biogéographique!A:A,2,1),"P")</f>
        <v>P</v>
      </c>
      <c r="AP9187" s="4" t="s">
        <v>376</v>
      </c>
      <c r="AR9187" s="4" t="s">
        <v>377</v>
      </c>
    </row>
    <row r="9188" spans="1:44">
      <c r="A9188" s="4" t="s">
        <v>10753</v>
      </c>
      <c r="B9188" s="4">
        <v>216123</v>
      </c>
      <c r="D9188" s="5" t="s">
        <v>12416</v>
      </c>
      <c r="E9188" s="6" t="str">
        <f>HYPERLINK("https://inpn.mnhn.fr/espece/cd_nom/216123","Isotoma riparia (Nicolet, 1842)")</f>
        <v>Isotoma riparia (Nicolet, 1842)</v>
      </c>
      <c r="AH9188" s="4" t="str">
        <f>HYPERLINK("#Statut_biogéographique!A"&amp;_xlfn.XMATCH("P",Statut_biogéographique!A:A,2,1),"P")</f>
        <v>P</v>
      </c>
      <c r="AP9188" s="4" t="s">
        <v>376</v>
      </c>
      <c r="AR9188" s="4" t="s">
        <v>377</v>
      </c>
    </row>
    <row r="9189" spans="1:44">
      <c r="A9189" s="4" t="s">
        <v>10753</v>
      </c>
      <c r="B9189" s="4">
        <v>216125</v>
      </c>
      <c r="D9189" s="5" t="s">
        <v>12417</v>
      </c>
      <c r="E9189" s="6" t="str">
        <f>HYPERLINK("https://inpn.mnhn.fr/espece/cd_nom/216125","Isotomiella minor (Schaeffer, 1896)")</f>
        <v>Isotomiella minor (Schaeffer, 1896)</v>
      </c>
      <c r="AH9189" s="4" t="str">
        <f>HYPERLINK("#Statut_biogéographique!A"&amp;_xlfn.XMATCH("P",Statut_biogéographique!A:A,2,1),"P")</f>
        <v>P</v>
      </c>
      <c r="AP9189" s="4" t="s">
        <v>376</v>
      </c>
      <c r="AR9189" s="4" t="s">
        <v>377</v>
      </c>
    </row>
    <row r="9190" spans="1:44">
      <c r="A9190" s="4" t="s">
        <v>10753</v>
      </c>
      <c r="B9190" s="4">
        <v>216133</v>
      </c>
      <c r="D9190" s="5" t="s">
        <v>12418</v>
      </c>
      <c r="E9190" s="6" t="str">
        <f>HYPERLINK("https://inpn.mnhn.fr/espece/cd_nom/216133","Isotomurus alticolus (Carl, 1899)")</f>
        <v>Isotomurus alticolus (Carl, 1899)</v>
      </c>
      <c r="AH9190" s="4" t="str">
        <f>HYPERLINK("#Statut_biogéographique!A"&amp;_xlfn.XMATCH("P",Statut_biogéographique!A:A,2,1),"P")</f>
        <v>P</v>
      </c>
      <c r="AP9190" s="4" t="s">
        <v>376</v>
      </c>
      <c r="AR9190" s="4" t="s">
        <v>377</v>
      </c>
    </row>
    <row r="9191" spans="1:44">
      <c r="A9191" s="4" t="s">
        <v>10753</v>
      </c>
      <c r="B9191" s="4">
        <v>216137</v>
      </c>
      <c r="D9191" s="5" t="s">
        <v>12419</v>
      </c>
      <c r="E9191" s="6" t="str">
        <f>HYPERLINK("https://inpn.mnhn.fr/espece/cd_nom/216137","Isotomurus maculatus (Schäffer, 1896)")</f>
        <v>Isotomurus maculatus (Schäffer, 1896)</v>
      </c>
      <c r="AH9191" s="4" t="str">
        <f>HYPERLINK("#Statut_biogéographique!A"&amp;_xlfn.XMATCH("P",Statut_biogéographique!A:A,2,1),"P")</f>
        <v>P</v>
      </c>
      <c r="AP9191" s="4" t="s">
        <v>376</v>
      </c>
      <c r="AR9191" s="4" t="s">
        <v>377</v>
      </c>
    </row>
    <row r="9192" spans="1:44">
      <c r="A9192" s="4" t="s">
        <v>10753</v>
      </c>
      <c r="B9192" s="4">
        <v>216139</v>
      </c>
      <c r="D9192" s="5" t="s">
        <v>12420</v>
      </c>
      <c r="E9192" s="6" t="str">
        <f>HYPERLINK("https://inpn.mnhn.fr/espece/cd_nom/216139","Isotomurus palustris (Muller, 1776)")</f>
        <v>Isotomurus palustris (Muller, 1776)</v>
      </c>
      <c r="AH9192" s="4" t="str">
        <f>HYPERLINK("#Statut_biogéographique!A"&amp;_xlfn.XMATCH("P",Statut_biogéographique!A:A,2,1),"P")</f>
        <v>P</v>
      </c>
      <c r="AP9192" s="4" t="s">
        <v>376</v>
      </c>
      <c r="AR9192" s="4" t="s">
        <v>377</v>
      </c>
    </row>
    <row r="9193" spans="1:44">
      <c r="A9193" s="4" t="s">
        <v>10753</v>
      </c>
      <c r="B9193" s="4">
        <v>216147</v>
      </c>
      <c r="D9193" s="5" t="s">
        <v>12421</v>
      </c>
      <c r="E9193" s="6" t="str">
        <f>HYPERLINK("https://inpn.mnhn.fr/espece/cd_nom/216147","Pachyotoma topsenti (Denis, 1948)")</f>
        <v>Pachyotoma topsenti (Denis, 1948)</v>
      </c>
      <c r="AH9193" s="4" t="str">
        <f>HYPERLINK("#Statut_biogéographique!A"&amp;_xlfn.XMATCH("P",Statut_biogéographique!A:A,2,1),"P")</f>
        <v>P</v>
      </c>
      <c r="AP9193" s="4" t="s">
        <v>376</v>
      </c>
      <c r="AR9193" s="4" t="s">
        <v>377</v>
      </c>
    </row>
    <row r="9194" spans="1:44" ht="30">
      <c r="A9194" s="4" t="s">
        <v>10753</v>
      </c>
      <c r="B9194" s="4">
        <v>216150</v>
      </c>
      <c r="D9194" s="5" t="s">
        <v>12422</v>
      </c>
      <c r="E9194" s="6" t="str">
        <f>HYPERLINK("https://inpn.mnhn.fr/espece/cd_nom/216150","Parisotoma notabilis (Schäffer, 1896)")</f>
        <v>Parisotoma notabilis (Schäffer, 1896)</v>
      </c>
      <c r="AH9194" s="4" t="str">
        <f>HYPERLINK("#Statut_biogéographique!A"&amp;_xlfn.XMATCH("C",Statut_biogéographique!A:A,2,1),"C")</f>
        <v>C</v>
      </c>
      <c r="AP9194" s="4" t="s">
        <v>376</v>
      </c>
      <c r="AR9194" s="4" t="s">
        <v>377</v>
      </c>
    </row>
    <row r="9195" spans="1:44" ht="30">
      <c r="A9195" s="4" t="s">
        <v>10753</v>
      </c>
      <c r="B9195" s="4">
        <v>216155</v>
      </c>
      <c r="D9195" s="5" t="s">
        <v>12423</v>
      </c>
      <c r="E9195" s="6" t="str">
        <f>HYPERLINK("https://inpn.mnhn.fr/espece/cd_nom/216155","Proisotoma minuta (Tullberg, 1871)")</f>
        <v>Proisotoma minuta (Tullberg, 1871)</v>
      </c>
      <c r="AH9195" s="4" t="str">
        <f>HYPERLINK("#Statut_biogéographique!A"&amp;_xlfn.XMATCH("C",Statut_biogéographique!A:A,2,1),"C")</f>
        <v>C</v>
      </c>
      <c r="AP9195" s="4" t="s">
        <v>376</v>
      </c>
      <c r="AR9195" s="4" t="s">
        <v>377</v>
      </c>
    </row>
    <row r="9196" spans="1:44">
      <c r="A9196" s="4" t="s">
        <v>10753</v>
      </c>
      <c r="B9196" s="4">
        <v>216164</v>
      </c>
      <c r="D9196" s="5" t="s">
        <v>12424</v>
      </c>
      <c r="E9196" s="6" t="str">
        <f>HYPERLINK("https://inpn.mnhn.fr/espece/cd_nom/216164","Subisotoma pusilla (Schäffer, 1900)")</f>
        <v>Subisotoma pusilla (Schäffer, 1900)</v>
      </c>
      <c r="AH9196" s="4" t="str">
        <f>HYPERLINK("#Statut_biogéographique!A"&amp;_xlfn.XMATCH("P",Statut_biogéographique!A:A,2,1),"P")</f>
        <v>P</v>
      </c>
      <c r="AP9196" s="4" t="s">
        <v>376</v>
      </c>
      <c r="AR9196" s="4" t="s">
        <v>377</v>
      </c>
    </row>
    <row r="9197" spans="1:44">
      <c r="A9197" s="4" t="s">
        <v>10753</v>
      </c>
      <c r="B9197" s="4">
        <v>216196</v>
      </c>
      <c r="D9197" s="5" t="s">
        <v>12425</v>
      </c>
      <c r="E9197" s="6" t="str">
        <f>HYPERLINK("https://inpn.mnhn.fr/espece/cd_nom/216196","Vertagopus arboreus (Linnaeus, 1758)")</f>
        <v>Vertagopus arboreus (Linnaeus, 1758)</v>
      </c>
      <c r="AH9197" s="4" t="str">
        <f>HYPERLINK("#Statut_biogéographique!A"&amp;_xlfn.XMATCH("P",Statut_biogéographique!A:A,2,1),"P")</f>
        <v>P</v>
      </c>
      <c r="AP9197" s="4" t="s">
        <v>376</v>
      </c>
      <c r="AR9197" s="4" t="s">
        <v>377</v>
      </c>
    </row>
    <row r="9198" spans="1:44">
      <c r="A9198" s="4" t="s">
        <v>10753</v>
      </c>
      <c r="B9198" s="4">
        <v>216197</v>
      </c>
      <c r="D9198" s="5" t="s">
        <v>12426</v>
      </c>
      <c r="E9198" s="6" t="str">
        <f>HYPERLINK("https://inpn.mnhn.fr/espece/cd_nom/216197","Vertagopus cinereus (Nicolet, 1842)")</f>
        <v>Vertagopus cinereus (Nicolet, 1842)</v>
      </c>
      <c r="AH9198" s="4" t="str">
        <f>HYPERLINK("#Statut_biogéographique!A"&amp;_xlfn.XMATCH("P",Statut_biogéographique!A:A,2,1),"P")</f>
        <v>P</v>
      </c>
      <c r="AP9198" s="4" t="s">
        <v>376</v>
      </c>
      <c r="AR9198" s="4" t="s">
        <v>377</v>
      </c>
    </row>
    <row r="9199" spans="1:44">
      <c r="A9199" s="4" t="s">
        <v>10753</v>
      </c>
      <c r="B9199" s="4">
        <v>216200</v>
      </c>
      <c r="D9199" s="5" t="s">
        <v>12427</v>
      </c>
      <c r="E9199" s="6" t="str">
        <f>HYPERLINK("https://inpn.mnhn.fr/espece/cd_nom/216200","Willowsia nigromaculata (Lubbock, 1873)")</f>
        <v>Willowsia nigromaculata (Lubbock, 1873)</v>
      </c>
      <c r="AH9199" s="4" t="str">
        <f>HYPERLINK("#Statut_biogéographique!A"&amp;_xlfn.XMATCH("P",Statut_biogéographique!A:A,2,1),"P")</f>
        <v>P</v>
      </c>
      <c r="AP9199" s="4" t="s">
        <v>376</v>
      </c>
      <c r="AR9199" s="4" t="s">
        <v>377</v>
      </c>
    </row>
    <row r="9200" spans="1:44" ht="30">
      <c r="A9200" s="4" t="s">
        <v>10753</v>
      </c>
      <c r="B9200" s="4">
        <v>216203</v>
      </c>
      <c r="D9200" s="5" t="s">
        <v>12428</v>
      </c>
      <c r="E9200" s="6" t="str">
        <f>HYPERLINK("https://inpn.mnhn.fr/espece/cd_nom/216203","Seira domestica (Nicolet, 1842)")</f>
        <v>Seira domestica (Nicolet, 1842)</v>
      </c>
      <c r="AH9200" s="4" t="str">
        <f>HYPERLINK("#Statut_biogéographique!A"&amp;_xlfn.XMATCH("P",Statut_biogéographique!A:A,2,1),"P")</f>
        <v>P</v>
      </c>
      <c r="AP9200" s="4" t="s">
        <v>376</v>
      </c>
      <c r="AR9200" s="4" t="s">
        <v>377</v>
      </c>
    </row>
    <row r="9201" spans="1:44">
      <c r="A9201" s="4" t="s">
        <v>10753</v>
      </c>
      <c r="B9201" s="4">
        <v>216206</v>
      </c>
      <c r="D9201" s="5" t="s">
        <v>12429</v>
      </c>
      <c r="E9201" s="6" t="str">
        <f>HYPERLINK("https://inpn.mnhn.fr/espece/cd_nom/216206","Pseudosinella alba (Packard, 1873)")</f>
        <v>Pseudosinella alba (Packard, 1873)</v>
      </c>
      <c r="AH9201" s="4" t="str">
        <f>HYPERLINK("#Statut_biogéographique!A"&amp;_xlfn.XMATCH("P",Statut_biogéographique!A:A,2,1),"P")</f>
        <v>P</v>
      </c>
      <c r="AP9201" s="4" t="s">
        <v>376</v>
      </c>
      <c r="AR9201" s="4" t="s">
        <v>377</v>
      </c>
    </row>
    <row r="9202" spans="1:44">
      <c r="A9202" s="4" t="s">
        <v>10753</v>
      </c>
      <c r="B9202" s="4">
        <v>216218</v>
      </c>
      <c r="D9202" s="5" t="s">
        <v>12430</v>
      </c>
      <c r="E9202" s="6" t="str">
        <f>HYPERLINK("https://inpn.mnhn.fr/espece/cd_nom/216218","Pseudosinella cavernarum (Moniez, 1894)")</f>
        <v>Pseudosinella cavernarum (Moniez, 1894)</v>
      </c>
      <c r="AH9202" s="4" t="str">
        <f>HYPERLINK("#Statut_biogéographique!A"&amp;_xlfn.XMATCH("P",Statut_biogéographique!A:A,2,1),"P")</f>
        <v>P</v>
      </c>
      <c r="AP9202" s="4" t="s">
        <v>376</v>
      </c>
      <c r="AR9202" s="4" t="s">
        <v>377</v>
      </c>
    </row>
    <row r="9203" spans="1:44" ht="30">
      <c r="A9203" s="4" t="s">
        <v>10753</v>
      </c>
      <c r="B9203" s="4">
        <v>216236</v>
      </c>
      <c r="D9203" s="5" t="s">
        <v>12431</v>
      </c>
      <c r="E9203" s="6" t="str">
        <f>HYPERLINK("https://inpn.mnhn.fr/espece/cd_nom/216236","Pseudosinella immaculata (Lie-Pettersen, 1896)")</f>
        <v>Pseudosinella immaculata (Lie-Pettersen, 1896)</v>
      </c>
      <c r="AH9203" s="4" t="str">
        <f>HYPERLINK("#Statut_biogéographique!A"&amp;_xlfn.XMATCH("P",Statut_biogéographique!A:A,2,1),"P")</f>
        <v>P</v>
      </c>
      <c r="AP9203" s="4" t="s">
        <v>376</v>
      </c>
      <c r="AR9203" s="4" t="s">
        <v>377</v>
      </c>
    </row>
    <row r="9204" spans="1:44">
      <c r="A9204" s="4" t="s">
        <v>10753</v>
      </c>
      <c r="B9204" s="4">
        <v>21625</v>
      </c>
      <c r="D9204" s="5">
        <v>21625</v>
      </c>
      <c r="E9204" s="6" t="str">
        <f>HYPERLINK("https://inpn.mnhn.fr/espece/cd_nom/21625","Macrodiplosis volvens Kieffer, 1895")</f>
        <v>Macrodiplosis volvens Kieffer, 1895</v>
      </c>
      <c r="AH9204" s="4" t="str">
        <f>HYPERLINK("#Statut_biogéographique!A"&amp;_xlfn.XMATCH("P",Statut_biogéographique!A:A,2,1),"P")</f>
        <v>P</v>
      </c>
      <c r="AP9204" s="4" t="s">
        <v>376</v>
      </c>
      <c r="AR9204" s="4" t="s">
        <v>377</v>
      </c>
    </row>
    <row r="9205" spans="1:44" ht="30">
      <c r="A9205" s="4" t="s">
        <v>10753</v>
      </c>
      <c r="B9205" s="4">
        <v>216268</v>
      </c>
      <c r="D9205" s="5" t="s">
        <v>12432</v>
      </c>
      <c r="E9205" s="6" t="str">
        <f>HYPERLINK("https://inpn.mnhn.fr/espece/cd_nom/216268","Lepidocyrtus curvicollis Bourlet, 1839")</f>
        <v>Lepidocyrtus curvicollis Bourlet, 1839</v>
      </c>
      <c r="AH9205" s="4" t="str">
        <f>HYPERLINK("#Statut_biogéographique!A"&amp;_xlfn.XMATCH("P",Statut_biogéographique!A:A,2,1),"P")</f>
        <v>P</v>
      </c>
      <c r="AP9205" s="4" t="s">
        <v>376</v>
      </c>
      <c r="AR9205" s="4" t="s">
        <v>377</v>
      </c>
    </row>
    <row r="9206" spans="1:44">
      <c r="A9206" s="4" t="s">
        <v>10753</v>
      </c>
      <c r="B9206" s="4">
        <v>216269</v>
      </c>
      <c r="D9206" s="5" t="s">
        <v>12433</v>
      </c>
      <c r="E9206" s="6" t="str">
        <f>HYPERLINK("https://inpn.mnhn.fr/espece/cd_nom/216269","Lepidocyrtus cyaneus Tullberg, 1871")</f>
        <v>Lepidocyrtus cyaneus Tullberg, 1871</v>
      </c>
      <c r="AH9206" s="4" t="str">
        <f>HYPERLINK("#Statut_biogéographique!A"&amp;_xlfn.XMATCH("P",Statut_biogéographique!A:A,2,1),"P")</f>
        <v>P</v>
      </c>
      <c r="AP9206" s="4" t="s">
        <v>376</v>
      </c>
      <c r="AR9206" s="4" t="s">
        <v>377</v>
      </c>
    </row>
    <row r="9207" spans="1:44" ht="45">
      <c r="A9207" s="4" t="s">
        <v>10753</v>
      </c>
      <c r="B9207" s="4">
        <v>216271</v>
      </c>
      <c r="D9207" s="5" t="s">
        <v>12434</v>
      </c>
      <c r="E9207" s="6" t="str">
        <f>HYPERLINK("https://inpn.mnhn.fr/espece/cd_nom/216271","Lepidocyrtus lanuginosus (Gmelin, 1790)")</f>
        <v>Lepidocyrtus lanuginosus (Gmelin, 1790)</v>
      </c>
      <c r="AH9207" s="4" t="str">
        <f>HYPERLINK("#Statut_biogéographique!A"&amp;_xlfn.XMATCH("P",Statut_biogéographique!A:A,2,1),"P")</f>
        <v>P</v>
      </c>
      <c r="AP9207" s="4" t="s">
        <v>376</v>
      </c>
      <c r="AR9207" s="4" t="s">
        <v>377</v>
      </c>
    </row>
    <row r="9208" spans="1:44">
      <c r="A9208" s="4" t="s">
        <v>10753</v>
      </c>
      <c r="B9208" s="4">
        <v>216273</v>
      </c>
      <c r="D9208" s="5" t="s">
        <v>12435</v>
      </c>
      <c r="E9208" s="6" t="str">
        <f>HYPERLINK("https://inpn.mnhn.fr/espece/cd_nom/216273","Lepidocyrtus paradoxus Uzel, 1891")</f>
        <v>Lepidocyrtus paradoxus Uzel, 1891</v>
      </c>
      <c r="AH9208" s="4" t="str">
        <f>HYPERLINK("#Statut_biogéographique!A"&amp;_xlfn.XMATCH("P",Statut_biogéographique!A:A,2,1),"P")</f>
        <v>P</v>
      </c>
      <c r="AP9208" s="4" t="s">
        <v>376</v>
      </c>
      <c r="AR9208" s="4" t="s">
        <v>377</v>
      </c>
    </row>
    <row r="9209" spans="1:44">
      <c r="A9209" s="4" t="s">
        <v>10753</v>
      </c>
      <c r="B9209" s="4">
        <v>216277</v>
      </c>
      <c r="D9209" s="5" t="s">
        <v>12436</v>
      </c>
      <c r="E9209" s="6" t="str">
        <f>HYPERLINK("https://inpn.mnhn.fr/espece/cd_nom/216277","Orchesella bifasciata Nicolet, 1842")</f>
        <v>Orchesella bifasciata Nicolet, 1842</v>
      </c>
      <c r="AH9209" s="4" t="str">
        <f>HYPERLINK("#Statut_biogéographique!A"&amp;_xlfn.XMATCH("P",Statut_biogéographique!A:A,2,1),"P")</f>
        <v>P</v>
      </c>
      <c r="AP9209" s="4" t="s">
        <v>376</v>
      </c>
      <c r="AR9209" s="4" t="s">
        <v>377</v>
      </c>
    </row>
    <row r="9210" spans="1:44" ht="60">
      <c r="A9210" s="4" t="s">
        <v>10753</v>
      </c>
      <c r="B9210" s="4">
        <v>216278</v>
      </c>
      <c r="D9210" s="5" t="s">
        <v>12437</v>
      </c>
      <c r="E9210" s="6" t="str">
        <f>HYPERLINK("https://inpn.mnhn.fr/espece/cd_nom/216278","Orchesella cincta (Linnaeus, 1758)")</f>
        <v>Orchesella cincta (Linnaeus, 1758)</v>
      </c>
      <c r="AH9210" s="4" t="str">
        <f>HYPERLINK("#Statut_biogéographique!A"&amp;_xlfn.XMATCH("P",Statut_biogéographique!A:A,2,1),"P")</f>
        <v>P</v>
      </c>
      <c r="AP9210" s="4" t="s">
        <v>376</v>
      </c>
      <c r="AR9210" s="4" t="s">
        <v>377</v>
      </c>
    </row>
    <row r="9211" spans="1:44" ht="30">
      <c r="A9211" s="4" t="s">
        <v>10753</v>
      </c>
      <c r="B9211" s="4">
        <v>216280</v>
      </c>
      <c r="D9211" s="5" t="s">
        <v>12438</v>
      </c>
      <c r="E9211" s="6" t="str">
        <f>HYPERLINK("https://inpn.mnhn.fr/espece/cd_nom/216280","Orchesella flavescens (Bourlet, 1839)")</f>
        <v>Orchesella flavescens (Bourlet, 1839)</v>
      </c>
      <c r="AH9211" s="4" t="str">
        <f>HYPERLINK("#Statut_biogéographique!A"&amp;_xlfn.XMATCH("P",Statut_biogéographique!A:A,2,1),"P")</f>
        <v>P</v>
      </c>
      <c r="AP9211" s="4" t="s">
        <v>376</v>
      </c>
      <c r="AR9211" s="4" t="s">
        <v>377</v>
      </c>
    </row>
    <row r="9212" spans="1:44">
      <c r="A9212" s="4" t="s">
        <v>10753</v>
      </c>
      <c r="B9212" s="4">
        <v>216287</v>
      </c>
      <c r="D9212" s="5" t="s">
        <v>12439</v>
      </c>
      <c r="E9212" s="6" t="str">
        <f>HYPERLINK("https://inpn.mnhn.fr/espece/cd_nom/216287","Orchesella villosa (Geoffroy, 1762)")</f>
        <v>Orchesella villosa (Geoffroy, 1762)</v>
      </c>
      <c r="AH9212" s="4" t="str">
        <f>HYPERLINK("#Statut_biogéographique!A"&amp;_xlfn.XMATCH("P",Statut_biogéographique!A:A,2,1),"P")</f>
        <v>P</v>
      </c>
      <c r="AP9212" s="4" t="s">
        <v>376</v>
      </c>
      <c r="AR9212" s="4" t="s">
        <v>377</v>
      </c>
    </row>
    <row r="9213" spans="1:44">
      <c r="A9213" s="4" t="s">
        <v>10753</v>
      </c>
      <c r="B9213" s="4">
        <v>216288</v>
      </c>
      <c r="D9213" s="5">
        <v>216288</v>
      </c>
      <c r="E9213" s="6" t="str">
        <f>HYPERLINK("https://inpn.mnhn.fr/espece/cd_nom/216288","Heteromurus hexophthalmus Denis, 1947")</f>
        <v>Heteromurus hexophthalmus Denis, 1947</v>
      </c>
      <c r="AH9213" s="4" t="str">
        <f>HYPERLINK("#Statut_biogéographique!A"&amp;_xlfn.XMATCH("E",Statut_biogéographique!A:A,2,1),"E")</f>
        <v>E</v>
      </c>
      <c r="AP9213" s="4" t="s">
        <v>376</v>
      </c>
      <c r="AR9213" s="4" t="s">
        <v>377</v>
      </c>
    </row>
    <row r="9214" spans="1:44">
      <c r="A9214" s="4" t="s">
        <v>10753</v>
      </c>
      <c r="B9214" s="4">
        <v>216289</v>
      </c>
      <c r="D9214" s="5" t="s">
        <v>12440</v>
      </c>
      <c r="E9214" s="6" t="str">
        <f>HYPERLINK("https://inpn.mnhn.fr/espece/cd_nom/216289","Heteromurus major (Moniez, 1889)")</f>
        <v>Heteromurus major (Moniez, 1889)</v>
      </c>
      <c r="AH9214" s="4" t="str">
        <f>HYPERLINK("#Statut_biogéographique!A"&amp;_xlfn.XMATCH("P",Statut_biogéographique!A:A,2,1),"P")</f>
        <v>P</v>
      </c>
      <c r="AP9214" s="4" t="s">
        <v>376</v>
      </c>
      <c r="AR9214" s="4" t="s">
        <v>377</v>
      </c>
    </row>
    <row r="9215" spans="1:44" ht="30">
      <c r="A9215" s="4" t="s">
        <v>10753</v>
      </c>
      <c r="B9215" s="4">
        <v>216290</v>
      </c>
      <c r="D9215" s="5" t="s">
        <v>12441</v>
      </c>
      <c r="E9215" s="6" t="str">
        <f>HYPERLINK("https://inpn.mnhn.fr/espece/cd_nom/216290","Heteromurus nitidus (Templeton, 1835)")</f>
        <v>Heteromurus nitidus (Templeton, 1835)</v>
      </c>
      <c r="AH9215" s="4" t="str">
        <f>HYPERLINK("#Statut_biogéographique!A"&amp;_xlfn.XMATCH("P",Statut_biogéographique!A:A,2,1),"P")</f>
        <v>P</v>
      </c>
      <c r="AP9215" s="4" t="s">
        <v>376</v>
      </c>
      <c r="AR9215" s="4" t="s">
        <v>377</v>
      </c>
    </row>
    <row r="9216" spans="1:44">
      <c r="A9216" s="4" t="s">
        <v>10753</v>
      </c>
      <c r="B9216" s="4">
        <v>216296</v>
      </c>
      <c r="D9216" s="5" t="s">
        <v>12442</v>
      </c>
      <c r="E9216" s="6" t="str">
        <f>HYPERLINK("https://inpn.mnhn.fr/espece/cd_nom/216296","Entomobrya arborea (Tullberg, 1871)")</f>
        <v>Entomobrya arborea (Tullberg, 1871)</v>
      </c>
      <c r="AH9216" s="4" t="str">
        <f>HYPERLINK("#Statut_biogéographique!A"&amp;_xlfn.XMATCH("P",Statut_biogéographique!A:A,2,1),"P")</f>
        <v>P</v>
      </c>
      <c r="AP9216" s="4" t="s">
        <v>376</v>
      </c>
      <c r="AR9216" s="4" t="s">
        <v>377</v>
      </c>
    </row>
    <row r="9217" spans="1:44">
      <c r="A9217" s="4" t="s">
        <v>10753</v>
      </c>
      <c r="B9217" s="4">
        <v>216300</v>
      </c>
      <c r="D9217" s="5" t="s">
        <v>12443</v>
      </c>
      <c r="E9217" s="6" t="str">
        <f>HYPERLINK("https://inpn.mnhn.fr/espece/cd_nom/216300","Entomobrya corticalis (Nicolet, 1842)")</f>
        <v>Entomobrya corticalis (Nicolet, 1842)</v>
      </c>
      <c r="AH9217" s="4" t="str">
        <f>HYPERLINK("#Statut_biogéographique!A"&amp;_xlfn.XMATCH("P",Statut_biogéographique!A:A,2,1),"P")</f>
        <v>P</v>
      </c>
      <c r="AP9217" s="4" t="s">
        <v>376</v>
      </c>
      <c r="AR9217" s="4" t="s">
        <v>377</v>
      </c>
    </row>
    <row r="9218" spans="1:44">
      <c r="A9218" s="4" t="s">
        <v>10753</v>
      </c>
      <c r="B9218" s="4">
        <v>216304</v>
      </c>
      <c r="D9218" s="5" t="s">
        <v>12444</v>
      </c>
      <c r="E9218" s="6" t="str">
        <f>HYPERLINK("https://inpn.mnhn.fr/espece/cd_nom/216304","Entomobrya multifasciata (Tullberg, 1871)")</f>
        <v>Entomobrya multifasciata (Tullberg, 1871)</v>
      </c>
      <c r="AH9218" s="4" t="str">
        <f>HYPERLINK("#Statut_biogéographique!A"&amp;_xlfn.XMATCH("P",Statut_biogéographique!A:A,2,1),"P")</f>
        <v>P</v>
      </c>
      <c r="AP9218" s="4" t="s">
        <v>376</v>
      </c>
      <c r="AR9218" s="4" t="s">
        <v>377</v>
      </c>
    </row>
    <row r="9219" spans="1:44">
      <c r="A9219" s="4" t="s">
        <v>10753</v>
      </c>
      <c r="B9219" s="4">
        <v>216305</v>
      </c>
      <c r="D9219" s="5" t="s">
        <v>12445</v>
      </c>
      <c r="E9219" s="6" t="str">
        <f>HYPERLINK("https://inpn.mnhn.fr/espece/cd_nom/216305","Entomobrya muscorum (Nicolet, 1842)")</f>
        <v>Entomobrya muscorum (Nicolet, 1842)</v>
      </c>
      <c r="AH9219" s="4" t="str">
        <f>HYPERLINK("#Statut_biogéographique!A"&amp;_xlfn.XMATCH("P",Statut_biogéographique!A:A,2,1),"P")</f>
        <v>P</v>
      </c>
      <c r="AP9219" s="4" t="s">
        <v>376</v>
      </c>
      <c r="AR9219" s="4" t="s">
        <v>377</v>
      </c>
    </row>
    <row r="9220" spans="1:44" ht="45">
      <c r="A9220" s="4" t="s">
        <v>10753</v>
      </c>
      <c r="B9220" s="4">
        <v>216307</v>
      </c>
      <c r="D9220" s="5" t="s">
        <v>12446</v>
      </c>
      <c r="E9220" s="6" t="str">
        <f>HYPERLINK("https://inpn.mnhn.fr/espece/cd_nom/216307","Entomobrya nivalis (Linnaeus, 1758)")</f>
        <v>Entomobrya nivalis (Linnaeus, 1758)</v>
      </c>
      <c r="AH9220" s="4" t="str">
        <f>HYPERLINK("#Statut_biogéographique!A"&amp;_xlfn.XMATCH("P",Statut_biogéographique!A:A,2,1),"P")</f>
        <v>P</v>
      </c>
      <c r="AP9220" s="4" t="s">
        <v>376</v>
      </c>
      <c r="AR9220" s="4" t="s">
        <v>377</v>
      </c>
    </row>
    <row r="9221" spans="1:44">
      <c r="A9221" s="4" t="s">
        <v>10753</v>
      </c>
      <c r="B9221" s="4">
        <v>216312</v>
      </c>
      <c r="D9221" s="5" t="s">
        <v>12447</v>
      </c>
      <c r="E9221" s="6" t="str">
        <f>HYPERLINK("https://inpn.mnhn.fr/espece/cd_nom/216312","Cyphoderus albinus (Nicolet, 1842)")</f>
        <v>Cyphoderus albinus (Nicolet, 1842)</v>
      </c>
      <c r="AH9221" s="4" t="str">
        <f>HYPERLINK("#Statut_biogéographique!A"&amp;_xlfn.XMATCH("P",Statut_biogéographique!A:A,2,1),"P")</f>
        <v>P</v>
      </c>
      <c r="AP9221" s="4" t="s">
        <v>376</v>
      </c>
      <c r="AR9221" s="4" t="s">
        <v>377</v>
      </c>
    </row>
    <row r="9222" spans="1:44">
      <c r="A9222" s="4" t="s">
        <v>10753</v>
      </c>
      <c r="B9222" s="4">
        <v>216327</v>
      </c>
      <c r="D9222" s="5" t="s">
        <v>12448</v>
      </c>
      <c r="E9222" s="6" t="str">
        <f>HYPERLINK("https://inpn.mnhn.fr/espece/cd_nom/216327","Pogonognathellus flavescens (Tullberg, 1871)")</f>
        <v>Pogonognathellus flavescens (Tullberg, 1871)</v>
      </c>
      <c r="AH9222" s="4" t="str">
        <f>HYPERLINK("#Statut_biogéographique!A"&amp;_xlfn.XMATCH("P",Statut_biogéographique!A:A,2,1),"P")</f>
        <v>P</v>
      </c>
      <c r="AP9222" s="4" t="s">
        <v>376</v>
      </c>
      <c r="AR9222" s="4" t="s">
        <v>377</v>
      </c>
    </row>
    <row r="9223" spans="1:44">
      <c r="A9223" s="4" t="s">
        <v>10753</v>
      </c>
      <c r="B9223" s="4">
        <v>216328</v>
      </c>
      <c r="D9223" s="5" t="s">
        <v>12449</v>
      </c>
      <c r="E9223" s="6" t="str">
        <f>HYPERLINK("https://inpn.mnhn.fr/espece/cd_nom/216328","Pogonognathellus longicornis (Müller, 1776)")</f>
        <v>Pogonognathellus longicornis (Müller, 1776)</v>
      </c>
      <c r="AH9223" s="4" t="str">
        <f>HYPERLINK("#Statut_biogéographique!A"&amp;_xlfn.XMATCH("P",Statut_biogéographique!A:A,2,1),"P")</f>
        <v>P</v>
      </c>
      <c r="AP9223" s="4" t="s">
        <v>376</v>
      </c>
      <c r="AR9223" s="4" t="s">
        <v>377</v>
      </c>
    </row>
    <row r="9224" spans="1:44">
      <c r="A9224" s="4" t="s">
        <v>10753</v>
      </c>
      <c r="B9224" s="4">
        <v>216329</v>
      </c>
      <c r="D9224" s="5" t="s">
        <v>12450</v>
      </c>
      <c r="E9224" s="6" t="str">
        <f>HYPERLINK("https://inpn.mnhn.fr/espece/cd_nom/216329","Tomocerina minuta (Tullberg, 1876)")</f>
        <v>Tomocerina minuta (Tullberg, 1876)</v>
      </c>
      <c r="AH9224" s="4" t="str">
        <f>HYPERLINK("#Statut_biogéographique!A"&amp;_xlfn.XMATCH("P",Statut_biogéographique!A:A,2,1),"P")</f>
        <v>P</v>
      </c>
      <c r="AP9224" s="4" t="s">
        <v>376</v>
      </c>
      <c r="AR9224" s="4" t="s">
        <v>377</v>
      </c>
    </row>
    <row r="9225" spans="1:44">
      <c r="A9225" s="4" t="s">
        <v>10753</v>
      </c>
      <c r="B9225" s="4">
        <v>216333</v>
      </c>
      <c r="D9225" s="5" t="s">
        <v>12451</v>
      </c>
      <c r="E9225" s="6" t="str">
        <f>HYPERLINK("https://inpn.mnhn.fr/espece/cd_nom/216333","Tomocerus minor (Lubbock, 1862)")</f>
        <v>Tomocerus minor (Lubbock, 1862)</v>
      </c>
      <c r="AH9225" s="4" t="str">
        <f>HYPERLINK("#Statut_biogéographique!A"&amp;_xlfn.XMATCH("P",Statut_biogéographique!A:A,2,1),"P")</f>
        <v>P</v>
      </c>
      <c r="AP9225" s="4" t="s">
        <v>376</v>
      </c>
      <c r="AR9225" s="4" t="s">
        <v>377</v>
      </c>
    </row>
    <row r="9226" spans="1:44">
      <c r="A9226" s="4" t="s">
        <v>10753</v>
      </c>
      <c r="B9226" s="4">
        <v>216336</v>
      </c>
      <c r="D9226" s="5" t="s">
        <v>12452</v>
      </c>
      <c r="E9226" s="6" t="str">
        <f>HYPERLINK("https://inpn.mnhn.fr/espece/cd_nom/216336","Tomocerus vulgaris (Tullberg, 1871)")</f>
        <v>Tomocerus vulgaris (Tullberg, 1871)</v>
      </c>
      <c r="AH9226" s="4" t="str">
        <f>HYPERLINK("#Statut_biogéographique!A"&amp;_xlfn.XMATCH("P",Statut_biogéographique!A:A,2,1),"P")</f>
        <v>P</v>
      </c>
      <c r="AP9226" s="4" t="s">
        <v>376</v>
      </c>
      <c r="AR9226" s="4" t="s">
        <v>377</v>
      </c>
    </row>
    <row r="9227" spans="1:44">
      <c r="A9227" s="4" t="s">
        <v>10753</v>
      </c>
      <c r="B9227" s="4">
        <v>216341</v>
      </c>
      <c r="D9227" s="5" t="s">
        <v>12453</v>
      </c>
      <c r="E9227" s="6" t="str">
        <f>HYPERLINK("https://inpn.mnhn.fr/espece/cd_nom/216341","Megalothorax minimus Willem, 1900")</f>
        <v>Megalothorax minimus Willem, 1900</v>
      </c>
      <c r="AH9227" s="4" t="str">
        <f>HYPERLINK("#Statut_biogéographique!A"&amp;_xlfn.XMATCH("P",Statut_biogéographique!A:A,2,1),"P")</f>
        <v>P</v>
      </c>
      <c r="AP9227" s="4" t="s">
        <v>376</v>
      </c>
      <c r="AR9227" s="4" t="s">
        <v>377</v>
      </c>
    </row>
    <row r="9228" spans="1:44">
      <c r="A9228" s="4" t="s">
        <v>10753</v>
      </c>
      <c r="B9228" s="4">
        <v>216372</v>
      </c>
      <c r="D9228" s="5" t="s">
        <v>12454</v>
      </c>
      <c r="E9228" s="6" t="str">
        <f>HYPERLINK("https://inpn.mnhn.fr/espece/cd_nom/216372","Deuterosminthurus pallipes (Bourlet, 1841)")</f>
        <v>Deuterosminthurus pallipes (Bourlet, 1841)</v>
      </c>
      <c r="AH9228" s="4" t="str">
        <f>HYPERLINK("#Statut_biogéographique!A"&amp;_xlfn.XMATCH("P",Statut_biogéographique!A:A,2,1),"P")</f>
        <v>P</v>
      </c>
      <c r="AP9228" s="4" t="s">
        <v>376</v>
      </c>
      <c r="AR9228" s="4" t="s">
        <v>377</v>
      </c>
    </row>
    <row r="9229" spans="1:44">
      <c r="A9229" s="4" t="s">
        <v>10753</v>
      </c>
      <c r="B9229" s="4">
        <v>21638</v>
      </c>
      <c r="D9229" s="5" t="s">
        <v>12455</v>
      </c>
      <c r="E9229" s="6" t="str">
        <f>HYPERLINK("https://inpn.mnhn.fr/espece/cd_nom/21638","Mikiola fagi (Hartig, 1839)")</f>
        <v>Mikiola fagi (Hartig, 1839)</v>
      </c>
      <c r="AH9229" s="4" t="str">
        <f>HYPERLINK("#Statut_biogéographique!A"&amp;_xlfn.XMATCH("P",Statut_biogéographique!A:A,2,1),"P")</f>
        <v>P</v>
      </c>
      <c r="AP9229" s="4" t="s">
        <v>376</v>
      </c>
      <c r="AR9229" s="4" t="s">
        <v>377</v>
      </c>
    </row>
    <row r="9230" spans="1:44">
      <c r="A9230" s="4" t="s">
        <v>10753</v>
      </c>
      <c r="B9230" s="4">
        <v>216386</v>
      </c>
      <c r="D9230" s="5" t="s">
        <v>12456</v>
      </c>
      <c r="E9230" s="6" t="str">
        <f>HYPERLINK("https://inpn.mnhn.fr/espece/cd_nom/216386","Dicyrtoma fusca (Lubbock, 1873)")</f>
        <v>Dicyrtoma fusca (Lubbock, 1873)</v>
      </c>
      <c r="AH9230" s="4" t="str">
        <f>HYPERLINK("#Statut_biogéographique!A"&amp;_xlfn.XMATCH("P",Statut_biogéographique!A:A,2,1),"P")</f>
        <v>P</v>
      </c>
      <c r="AP9230" s="4" t="s">
        <v>376</v>
      </c>
      <c r="AR9230" s="4" t="s">
        <v>377</v>
      </c>
    </row>
    <row r="9231" spans="1:44">
      <c r="A9231" s="4" t="s">
        <v>10753</v>
      </c>
      <c r="B9231" s="4">
        <v>216387</v>
      </c>
      <c r="D9231" s="5" t="s">
        <v>12457</v>
      </c>
      <c r="E9231" s="6" t="str">
        <f>HYPERLINK("https://inpn.mnhn.fr/espece/cd_nom/216387","Dicyrtomina minuta (O. Fabricius, 1783)")</f>
        <v>Dicyrtomina minuta (O. Fabricius, 1783)</v>
      </c>
      <c r="AH9231" s="4" t="str">
        <f>HYPERLINK("#Statut_biogéographique!A"&amp;_xlfn.XMATCH("P",Statut_biogéographique!A:A,2,1),"P")</f>
        <v>P</v>
      </c>
      <c r="AP9231" s="4" t="s">
        <v>376</v>
      </c>
      <c r="AR9231" s="4" t="s">
        <v>377</v>
      </c>
    </row>
    <row r="9232" spans="1:44">
      <c r="A9232" s="4" t="s">
        <v>10753</v>
      </c>
      <c r="B9232" s="4">
        <v>216388</v>
      </c>
      <c r="D9232" s="5" t="s">
        <v>12458</v>
      </c>
      <c r="E9232" s="6" t="str">
        <f>HYPERLINK("https://inpn.mnhn.fr/espece/cd_nom/216388","Dicyrtomina ornata (Nicolet, 1842)")</f>
        <v>Dicyrtomina ornata (Nicolet, 1842)</v>
      </c>
      <c r="AH9232" s="4" t="str">
        <f>HYPERLINK("#Statut_biogéographique!A"&amp;_xlfn.XMATCH("P",Statut_biogéographique!A:A,2,1),"P")</f>
        <v>P</v>
      </c>
      <c r="AP9232" s="4" t="s">
        <v>376</v>
      </c>
      <c r="AR9232" s="4" t="s">
        <v>377</v>
      </c>
    </row>
    <row r="9233" spans="1:44">
      <c r="A9233" s="4" t="s">
        <v>10753</v>
      </c>
      <c r="B9233" s="4">
        <v>216390</v>
      </c>
      <c r="D9233" s="5" t="s">
        <v>12459</v>
      </c>
      <c r="E9233" s="6" t="str">
        <f>HYPERLINK("https://inpn.mnhn.fr/espece/cd_nom/216390","Dicyrtomina violacea (Krausbauer, 1898)")</f>
        <v>Dicyrtomina violacea (Krausbauer, 1898)</v>
      </c>
      <c r="AH9233" s="4" t="str">
        <f>HYPERLINK("#Statut_biogéographique!A"&amp;_xlfn.XMATCH("P",Statut_biogéographique!A:A,2,1),"P")</f>
        <v>P</v>
      </c>
      <c r="AP9233" s="4" t="s">
        <v>376</v>
      </c>
      <c r="AR9233" s="4" t="s">
        <v>377</v>
      </c>
    </row>
    <row r="9234" spans="1:44">
      <c r="A9234" s="4" t="s">
        <v>10753</v>
      </c>
      <c r="B9234" s="4">
        <v>216395</v>
      </c>
      <c r="D9234" s="5" t="s">
        <v>12460</v>
      </c>
      <c r="E9234" s="6" t="str">
        <f>HYPERLINK("https://inpn.mnhn.fr/espece/cd_nom/216395","Sminthurinus aureus (Lubbock, 1862)")</f>
        <v>Sminthurinus aureus (Lubbock, 1862)</v>
      </c>
      <c r="AH9234" s="4" t="str">
        <f>HYPERLINK("#Statut_biogéographique!A"&amp;_xlfn.XMATCH("P",Statut_biogéographique!A:A,2,1),"P")</f>
        <v>P</v>
      </c>
      <c r="AP9234" s="4" t="s">
        <v>376</v>
      </c>
      <c r="AR9234" s="4" t="s">
        <v>377</v>
      </c>
    </row>
    <row r="9235" spans="1:44">
      <c r="A9235" s="4" t="s">
        <v>10753</v>
      </c>
      <c r="B9235" s="4">
        <v>216396</v>
      </c>
      <c r="D9235" s="5" t="s">
        <v>12461</v>
      </c>
      <c r="E9235" s="6" t="str">
        <f>HYPERLINK("https://inpn.mnhn.fr/espece/cd_nom/216396","Sminthurinus elegans (Fitch, 1863)")</f>
        <v>Sminthurinus elegans (Fitch, 1863)</v>
      </c>
      <c r="AH9235" s="4" t="str">
        <f>HYPERLINK("#Statut_biogéographique!A"&amp;_xlfn.XMATCH("P",Statut_biogéographique!A:A,2,1),"P")</f>
        <v>P</v>
      </c>
      <c r="AP9235" s="4" t="s">
        <v>376</v>
      </c>
      <c r="AR9235" s="4" t="s">
        <v>377</v>
      </c>
    </row>
    <row r="9236" spans="1:44">
      <c r="A9236" s="4" t="s">
        <v>10753</v>
      </c>
      <c r="B9236" s="4">
        <v>216398</v>
      </c>
      <c r="D9236" s="5" t="s">
        <v>12462</v>
      </c>
      <c r="E9236" s="6" t="str">
        <f>HYPERLINK("https://inpn.mnhn.fr/espece/cd_nom/216398","Sminthurinus niger (Lubbock, 1867)")</f>
        <v>Sminthurinus niger (Lubbock, 1867)</v>
      </c>
      <c r="AH9236" s="4" t="str">
        <f>HYPERLINK("#Statut_biogéographique!A"&amp;_xlfn.XMATCH("P",Statut_biogéographique!A:A,2,1),"P")</f>
        <v>P</v>
      </c>
      <c r="AP9236" s="4" t="s">
        <v>376</v>
      </c>
      <c r="AR9236" s="4" t="s">
        <v>377</v>
      </c>
    </row>
    <row r="9237" spans="1:44">
      <c r="A9237" s="4" t="s">
        <v>10753</v>
      </c>
      <c r="B9237" s="4">
        <v>216399</v>
      </c>
      <c r="D9237" s="5" t="s">
        <v>12463</v>
      </c>
      <c r="E9237" s="6" t="str">
        <f>HYPERLINK("https://inpn.mnhn.fr/espece/cd_nom/216399","Sminthurinus reticulatus Cassagnau, 1964")</f>
        <v>Sminthurinus reticulatus Cassagnau, 1964</v>
      </c>
      <c r="AH9237" s="4" t="str">
        <f>HYPERLINK("#Statut_biogéographique!A"&amp;_xlfn.XMATCH("P",Statut_biogéographique!A:A,2,1),"P")</f>
        <v>P</v>
      </c>
      <c r="AP9237" s="4" t="s">
        <v>376</v>
      </c>
      <c r="AR9237" s="4" t="s">
        <v>377</v>
      </c>
    </row>
    <row r="9238" spans="1:44">
      <c r="A9238" s="4" t="s">
        <v>10753</v>
      </c>
      <c r="B9238" s="4">
        <v>216409</v>
      </c>
      <c r="D9238" s="5" t="s">
        <v>12464</v>
      </c>
      <c r="E9238" s="6" t="str">
        <f>HYPERLINK("https://inpn.mnhn.fr/espece/cd_nom/216409","Sminthurus viridis (Linnaeus, 1758)")</f>
        <v>Sminthurus viridis (Linnaeus, 1758)</v>
      </c>
      <c r="AH9238" s="4" t="str">
        <f>HYPERLINK("#Statut_biogéographique!A"&amp;_xlfn.XMATCH("P",Statut_biogéographique!A:A,2,1),"P")</f>
        <v>P</v>
      </c>
      <c r="AP9238" s="4" t="s">
        <v>376</v>
      </c>
      <c r="AR9238" s="4" t="s">
        <v>377</v>
      </c>
    </row>
    <row r="9239" spans="1:44">
      <c r="A9239" s="4" t="s">
        <v>10753</v>
      </c>
      <c r="B9239" s="4">
        <v>216415</v>
      </c>
      <c r="D9239" s="5" t="s">
        <v>12465</v>
      </c>
      <c r="E9239" s="6" t="str">
        <f>HYPERLINK("https://inpn.mnhn.fr/espece/cd_nom/216415","Allacma fusca (Linnaeus, 1758)")</f>
        <v>Allacma fusca (Linnaeus, 1758)</v>
      </c>
      <c r="AH9239" s="4" t="str">
        <f>HYPERLINK("#Statut_biogéographique!A"&amp;_xlfn.XMATCH("P",Statut_biogéographique!A:A,2,1),"P")</f>
        <v>P</v>
      </c>
      <c r="AP9239" s="4" t="s">
        <v>376</v>
      </c>
      <c r="AR9239" s="4" t="s">
        <v>377</v>
      </c>
    </row>
    <row r="9240" spans="1:44">
      <c r="A9240" s="4" t="s">
        <v>10753</v>
      </c>
      <c r="B9240" s="4">
        <v>216419</v>
      </c>
      <c r="D9240" s="5" t="s">
        <v>12466</v>
      </c>
      <c r="E9240" s="6" t="str">
        <f>HYPERLINK("https://inpn.mnhn.fr/espece/cd_nom/216419","Sminthurides malmgreni (Tullberg, 1876)")</f>
        <v>Sminthurides malmgreni (Tullberg, 1876)</v>
      </c>
      <c r="AH9240" s="4" t="str">
        <f>HYPERLINK("#Statut_biogéographique!A"&amp;_xlfn.XMATCH("P",Statut_biogéographique!A:A,2,1),"P")</f>
        <v>P</v>
      </c>
      <c r="AP9240" s="4" t="s">
        <v>376</v>
      </c>
      <c r="AR9240" s="4" t="s">
        <v>377</v>
      </c>
    </row>
    <row r="9241" spans="1:44">
      <c r="A9241" s="4" t="s">
        <v>10753</v>
      </c>
      <c r="B9241" s="4">
        <v>216421</v>
      </c>
      <c r="D9241" s="5" t="s">
        <v>12467</v>
      </c>
      <c r="E9241" s="6" t="str">
        <f>HYPERLINK("https://inpn.mnhn.fr/espece/cd_nom/216421","Sminthurides parvulus (Krausbauer, 1898)")</f>
        <v>Sminthurides parvulus (Krausbauer, 1898)</v>
      </c>
      <c r="AH9241" s="4" t="str">
        <f>HYPERLINK("#Statut_biogéographique!A"&amp;_xlfn.XMATCH("P",Statut_biogéographique!A:A,2,1),"P")</f>
        <v>P</v>
      </c>
      <c r="AP9241" s="4" t="s">
        <v>376</v>
      </c>
      <c r="AR9241" s="4" t="s">
        <v>377</v>
      </c>
    </row>
    <row r="9242" spans="1:44">
      <c r="A9242" s="4" t="s">
        <v>10753</v>
      </c>
      <c r="B9242" s="4">
        <v>216423</v>
      </c>
      <c r="D9242" s="5">
        <v>216423</v>
      </c>
      <c r="E9242" s="6" t="str">
        <f>HYPERLINK("https://inpn.mnhn.fr/espece/cd_nom/216423","Sminthurides schoetti Axelson, 1903")</f>
        <v>Sminthurides schoetti Axelson, 1903</v>
      </c>
      <c r="AH9242" s="4" t="str">
        <f>HYPERLINK("#Statut_biogéographique!A"&amp;_xlfn.XMATCH("P",Statut_biogéographique!A:A,2,1),"P")</f>
        <v>P</v>
      </c>
      <c r="AP9242" s="4" t="s">
        <v>376</v>
      </c>
      <c r="AR9242" s="4" t="s">
        <v>377</v>
      </c>
    </row>
    <row r="9243" spans="1:44">
      <c r="A9243" s="4" t="s">
        <v>10753</v>
      </c>
      <c r="B9243" s="4">
        <v>216425</v>
      </c>
      <c r="D9243" s="5" t="s">
        <v>12468</v>
      </c>
      <c r="E9243" s="6" t="str">
        <f>HYPERLINK("https://inpn.mnhn.fr/espece/cd_nom/216425","Sminthurides signatus (Krausbauer, 1898)")</f>
        <v>Sminthurides signatus (Krausbauer, 1898)</v>
      </c>
      <c r="AH9243" s="4" t="str">
        <f>HYPERLINK("#Statut_biogéographique!A"&amp;_xlfn.XMATCH("P",Statut_biogéographique!A:A,2,1),"P")</f>
        <v>P</v>
      </c>
      <c r="AP9243" s="4" t="s">
        <v>376</v>
      </c>
      <c r="AR9243" s="4" t="s">
        <v>377</v>
      </c>
    </row>
    <row r="9244" spans="1:44">
      <c r="A9244" s="4" t="s">
        <v>10753</v>
      </c>
      <c r="B9244" s="4">
        <v>216426</v>
      </c>
      <c r="D9244" s="5" t="s">
        <v>12469</v>
      </c>
      <c r="E9244" s="6" t="str">
        <f>HYPERLINK("https://inpn.mnhn.fr/espece/cd_nom/216426","Sphaeridia pumilis (Krausbauer, 1898)")</f>
        <v>Sphaeridia pumilis (Krausbauer, 1898)</v>
      </c>
      <c r="AH9244" s="4" t="str">
        <f>HYPERLINK("#Statut_biogéographique!A"&amp;_xlfn.XMATCH("C",Statut_biogéographique!A:A,2,1),"C")</f>
        <v>C</v>
      </c>
      <c r="AP9244" s="4" t="s">
        <v>376</v>
      </c>
      <c r="AR9244" s="4" t="s">
        <v>377</v>
      </c>
    </row>
    <row r="9245" spans="1:44" ht="30">
      <c r="A9245" s="4" t="s">
        <v>10753</v>
      </c>
      <c r="B9245" s="4">
        <v>216448</v>
      </c>
      <c r="D9245" s="5" t="s">
        <v>12470</v>
      </c>
      <c r="E9245" s="6" t="str">
        <f>HYPERLINK("https://inpn.mnhn.fr/espece/cd_nom/216448","Acrocera orbiculus (Fabricius, 1787)")</f>
        <v>Acrocera orbiculus (Fabricius, 1787)</v>
      </c>
      <c r="AH9245" s="4" t="str">
        <f>HYPERLINK("#Statut_biogéographique!A"&amp;_xlfn.XMATCH("P",Statut_biogéographique!A:A,2,1),"P")</f>
        <v>P</v>
      </c>
      <c r="AP9245" s="4" t="s">
        <v>376</v>
      </c>
      <c r="AR9245" s="4" t="s">
        <v>377</v>
      </c>
    </row>
    <row r="9246" spans="1:44">
      <c r="A9246" s="4" t="s">
        <v>10753</v>
      </c>
      <c r="B9246" s="4">
        <v>216460</v>
      </c>
      <c r="D9246" s="5" t="s">
        <v>12471</v>
      </c>
      <c r="E9246" s="6" t="str">
        <f>HYPERLINK("https://inpn.mnhn.fr/espece/cd_nom/216460","Paranthomyza nitida (Meigen, 1838)")</f>
        <v>Paranthomyza nitida (Meigen, 1838)</v>
      </c>
      <c r="AH9246" s="4" t="str">
        <f>HYPERLINK("#Statut_biogéographique!A"&amp;_xlfn.XMATCH("P",Statut_biogéographique!A:A,2,1),"P")</f>
        <v>P</v>
      </c>
      <c r="AP9246" s="4" t="s">
        <v>376</v>
      </c>
      <c r="AR9246" s="4" t="s">
        <v>377</v>
      </c>
    </row>
    <row r="9247" spans="1:44">
      <c r="A9247" s="4" t="s">
        <v>10753</v>
      </c>
      <c r="B9247" s="4">
        <v>216465</v>
      </c>
      <c r="D9247" s="5" t="s">
        <v>12472</v>
      </c>
      <c r="E9247" s="6" t="str">
        <f>HYPERLINK("https://inpn.mnhn.fr/espece/cd_nom/216465","Tolmerus atricapillus (Fallén, 1814)")</f>
        <v>Tolmerus atricapillus (Fallén, 1814)</v>
      </c>
      <c r="AH9247" s="4" t="str">
        <f>HYPERLINK("#Statut_biogéographique!A"&amp;_xlfn.XMATCH("P",Statut_biogéographique!A:A,2,1),"P")</f>
        <v>P</v>
      </c>
      <c r="AP9247" s="4" t="s">
        <v>376</v>
      </c>
      <c r="AR9247" s="4" t="s">
        <v>377</v>
      </c>
    </row>
    <row r="9248" spans="1:44">
      <c r="A9248" s="4" t="s">
        <v>10753</v>
      </c>
      <c r="B9248" s="4">
        <v>216467</v>
      </c>
      <c r="D9248" s="5" t="s">
        <v>12473</v>
      </c>
      <c r="E9248" s="6" t="str">
        <f>HYPERLINK("https://inpn.mnhn.fr/espece/cd_nom/216467","Tolmerus cingulatus (Fabricius, 1781)")</f>
        <v>Tolmerus cingulatus (Fabricius, 1781)</v>
      </c>
      <c r="AH9248" s="4" t="str">
        <f>HYPERLINK("#Statut_biogéographique!A"&amp;_xlfn.XMATCH("P",Statut_biogéographique!A:A,2,1),"P")</f>
        <v>P</v>
      </c>
      <c r="AP9248" s="4" t="s">
        <v>376</v>
      </c>
      <c r="AR9248" s="4" t="s">
        <v>377</v>
      </c>
    </row>
    <row r="9249" spans="1:44">
      <c r="A9249" s="4" t="s">
        <v>10753</v>
      </c>
      <c r="B9249" s="4">
        <v>21647</v>
      </c>
      <c r="D9249" s="5" t="s">
        <v>12474</v>
      </c>
      <c r="E9249" s="6" t="str">
        <f>HYPERLINK("https://inpn.mnhn.fr/espece/cd_nom/21647","Oligotrophus juniperinus (Linnaeus, 1758)")</f>
        <v>Oligotrophus juniperinus (Linnaeus, 1758)</v>
      </c>
      <c r="AH9249" s="4" t="str">
        <f>HYPERLINK("#Statut_biogéographique!A"&amp;_xlfn.XMATCH("P",Statut_biogéographique!A:A,2,1),"P")</f>
        <v>P</v>
      </c>
      <c r="AP9249" s="4" t="s">
        <v>376</v>
      </c>
      <c r="AR9249" s="4" t="s">
        <v>377</v>
      </c>
    </row>
    <row r="9250" spans="1:44">
      <c r="A9250" s="4" t="s">
        <v>10753</v>
      </c>
      <c r="B9250" s="4">
        <v>216474</v>
      </c>
      <c r="D9250" s="5" t="s">
        <v>12475</v>
      </c>
      <c r="E9250" s="6" t="str">
        <f>HYPERLINK("https://inpn.mnhn.fr/espece/cd_nom/216474","Tolmerus pyragra (Zeller, 1840)")</f>
        <v>Tolmerus pyragra (Zeller, 1840)</v>
      </c>
      <c r="AH9250" s="4" t="str">
        <f>HYPERLINK("#Statut_biogéographique!A"&amp;_xlfn.XMATCH("P",Statut_biogéographique!A:A,2,1),"P")</f>
        <v>P</v>
      </c>
      <c r="AP9250" s="4" t="s">
        <v>376</v>
      </c>
      <c r="AR9250" s="4" t="s">
        <v>377</v>
      </c>
    </row>
    <row r="9251" spans="1:44">
      <c r="A9251" s="4" t="s">
        <v>10753</v>
      </c>
      <c r="B9251" s="4">
        <v>216480</v>
      </c>
      <c r="D9251" s="5" t="s">
        <v>12476</v>
      </c>
      <c r="E9251" s="6" t="str">
        <f>HYPERLINK("https://inpn.mnhn.fr/espece/cd_nom/216480","Neomochtherus geniculatus (Meigen, 1820)")</f>
        <v>Neomochtherus geniculatus (Meigen, 1820)</v>
      </c>
      <c r="AH9251" s="4" t="str">
        <f>HYPERLINK("#Statut_biogéographique!A"&amp;_xlfn.XMATCH("P",Statut_biogéographique!A:A,2,1),"P")</f>
        <v>P</v>
      </c>
      <c r="AP9251" s="4" t="s">
        <v>376</v>
      </c>
      <c r="AR9251" s="4" t="s">
        <v>377</v>
      </c>
    </row>
    <row r="9252" spans="1:44">
      <c r="A9252" s="4" t="s">
        <v>10753</v>
      </c>
      <c r="B9252" s="4">
        <v>216487</v>
      </c>
      <c r="D9252" s="5" t="s">
        <v>12477</v>
      </c>
      <c r="E9252" s="6" t="str">
        <f>HYPERLINK("https://inpn.mnhn.fr/espece/cd_nom/216487","Machimus chrysitis (Meigen, 1820)")</f>
        <v>Machimus chrysitis (Meigen, 1820)</v>
      </c>
      <c r="AH9252" s="4" t="str">
        <f>HYPERLINK("#Statut_biogéographique!A"&amp;_xlfn.XMATCH("P",Statut_biogéographique!A:A,2,1),"P")</f>
        <v>P</v>
      </c>
      <c r="AP9252" s="4" t="s">
        <v>376</v>
      </c>
      <c r="AR9252" s="4" t="s">
        <v>377</v>
      </c>
    </row>
    <row r="9253" spans="1:44">
      <c r="A9253" s="4" t="s">
        <v>10753</v>
      </c>
      <c r="B9253" s="4">
        <v>216494</v>
      </c>
      <c r="D9253" s="5" t="s">
        <v>12478</v>
      </c>
      <c r="E9253" s="6" t="str">
        <f>HYPERLINK("https://inpn.mnhn.fr/espece/cd_nom/216494","Machimus setibarbus (Loew, 1849)")</f>
        <v>Machimus setibarbus (Loew, 1849)</v>
      </c>
      <c r="AH9253" s="4" t="str">
        <f>HYPERLINK("#Statut_biogéographique!A"&amp;_xlfn.XMATCH("P",Statut_biogéographique!A:A,2,1),"P")</f>
        <v>P</v>
      </c>
      <c r="AP9253" s="4" t="s">
        <v>376</v>
      </c>
      <c r="AR9253" s="4" t="s">
        <v>377</v>
      </c>
    </row>
    <row r="9254" spans="1:44">
      <c r="A9254" s="4" t="s">
        <v>10753</v>
      </c>
      <c r="B9254" s="4">
        <v>216511</v>
      </c>
      <c r="D9254" s="5">
        <v>216511</v>
      </c>
      <c r="E9254" s="6" t="str">
        <f>HYPERLINK("https://inpn.mnhn.fr/espece/cd_nom/216511","Dysmachus putoni Séguy, 1927")</f>
        <v>Dysmachus putoni Séguy, 1927</v>
      </c>
      <c r="AH9254" s="4" t="str">
        <f>HYPERLINK("#Statut_biogéographique!A"&amp;_xlfn.XMATCH("E",Statut_biogéographique!A:A,2,1),"E")</f>
        <v>E</v>
      </c>
      <c r="AP9254" s="4" t="s">
        <v>376</v>
      </c>
      <c r="AR9254" s="4" t="s">
        <v>377</v>
      </c>
    </row>
    <row r="9255" spans="1:44">
      <c r="A9255" s="4" t="s">
        <v>10753</v>
      </c>
      <c r="B9255" s="4">
        <v>216513</v>
      </c>
      <c r="D9255" s="5" t="s">
        <v>12479</v>
      </c>
      <c r="E9255" s="6" t="str">
        <f>HYPERLINK("https://inpn.mnhn.fr/espece/cd_nom/216513","Didysmachus picipes (Meigen, 1820)")</f>
        <v>Didysmachus picipes (Meigen, 1820)</v>
      </c>
      <c r="AH9255" s="4" t="str">
        <f>HYPERLINK("#Statut_biogéographique!A"&amp;_xlfn.XMATCH("P",Statut_biogéographique!A:A,2,1),"P")</f>
        <v>P</v>
      </c>
      <c r="AP9255" s="4" t="s">
        <v>376</v>
      </c>
      <c r="AR9255" s="4" t="s">
        <v>377</v>
      </c>
    </row>
    <row r="9256" spans="1:44">
      <c r="A9256" s="4" t="s">
        <v>10753</v>
      </c>
      <c r="B9256" s="4">
        <v>216528</v>
      </c>
      <c r="D9256" s="5">
        <v>216528</v>
      </c>
      <c r="E9256" s="6" t="str">
        <f>HYPERLINK("https://inpn.mnhn.fr/espece/cd_nom/216528","Lasiopogon montanus Schiner, 1862")</f>
        <v>Lasiopogon montanus Schiner, 1862</v>
      </c>
      <c r="AH9256" s="4" t="str">
        <f>HYPERLINK("#Statut_biogéographique!A"&amp;_xlfn.XMATCH("P",Statut_biogéographique!A:A,2,1),"P")</f>
        <v>P</v>
      </c>
      <c r="AP9256" s="4" t="s">
        <v>376</v>
      </c>
      <c r="AR9256" s="4" t="s">
        <v>377</v>
      </c>
    </row>
    <row r="9257" spans="1:44">
      <c r="A9257" s="4" t="s">
        <v>10753</v>
      </c>
      <c r="B9257" s="4">
        <v>216555</v>
      </c>
      <c r="D9257" s="5">
        <v>216555</v>
      </c>
      <c r="E9257" s="6" t="str">
        <f>HYPERLINK("https://inpn.mnhn.fr/espece/cd_nom/216555","Dioctria humeralis Zeller, 1840")</f>
        <v>Dioctria humeralis Zeller, 1840</v>
      </c>
      <c r="AH9257" s="4" t="str">
        <f>HYPERLINK("#Statut_biogéographique!A"&amp;_xlfn.XMATCH("P",Statut_biogéographique!A:A,2,1),"P")</f>
        <v>P</v>
      </c>
      <c r="AP9257" s="4" t="s">
        <v>376</v>
      </c>
      <c r="AR9257" s="4" t="s">
        <v>377</v>
      </c>
    </row>
    <row r="9258" spans="1:44">
      <c r="A9258" s="4" t="s">
        <v>10753</v>
      </c>
      <c r="B9258" s="4">
        <v>216579</v>
      </c>
      <c r="D9258" s="5" t="s">
        <v>12480</v>
      </c>
      <c r="E9258" s="6" t="str">
        <f>HYPERLINK("https://inpn.mnhn.fr/espece/cd_nom/216579","Leptarthrus vitripennis (Meigen, 1820)")</f>
        <v>Leptarthrus vitripennis (Meigen, 1820)</v>
      </c>
      <c r="AH9258" s="4" t="str">
        <f>HYPERLINK("#Statut_biogéographique!A"&amp;_xlfn.XMATCH("P",Statut_biogéographique!A:A,2,1),"P")</f>
        <v>P</v>
      </c>
      <c r="AP9258" s="4" t="s">
        <v>376</v>
      </c>
      <c r="AR9258" s="4" t="s">
        <v>377</v>
      </c>
    </row>
    <row r="9259" spans="1:44">
      <c r="A9259" s="4" t="s">
        <v>10753</v>
      </c>
      <c r="B9259" s="4">
        <v>216580</v>
      </c>
      <c r="D9259" s="5" t="s">
        <v>12481</v>
      </c>
      <c r="E9259" s="6" t="str">
        <f>HYPERLINK("https://inpn.mnhn.fr/espece/cd_nom/216580","Molobratia teutonus (Linnaeus, 1767)")</f>
        <v>Molobratia teutonus (Linnaeus, 1767)</v>
      </c>
      <c r="AH9259" s="4" t="str">
        <f>HYPERLINK("#Statut_biogéographique!A"&amp;_xlfn.XMATCH("P",Statut_biogéographique!A:A,2,1),"P")</f>
        <v>P</v>
      </c>
      <c r="AP9259" s="4" t="s">
        <v>376</v>
      </c>
      <c r="AR9259" s="4" t="s">
        <v>377</v>
      </c>
    </row>
    <row r="9260" spans="1:44">
      <c r="A9260" s="4" t="s">
        <v>10753</v>
      </c>
      <c r="B9260" s="4">
        <v>216581</v>
      </c>
      <c r="D9260" s="5" t="s">
        <v>12482</v>
      </c>
      <c r="E9260" s="6" t="str">
        <f>HYPERLINK("https://inpn.mnhn.fr/espece/cd_nom/216581","Pogonosoma maroccanum (Fabricius, 1794)")</f>
        <v>Pogonosoma maroccanum (Fabricius, 1794)</v>
      </c>
      <c r="AH9260" s="4" t="str">
        <f>HYPERLINK("#Statut_biogéographique!A"&amp;_xlfn.XMATCH("P",Statut_biogéographique!A:A,2,1),"P")</f>
        <v>P</v>
      </c>
      <c r="AP9260" s="4" t="s">
        <v>376</v>
      </c>
      <c r="AR9260" s="4" t="s">
        <v>377</v>
      </c>
    </row>
    <row r="9261" spans="1:44">
      <c r="A9261" s="4" t="s">
        <v>10753</v>
      </c>
      <c r="B9261" s="4">
        <v>216582</v>
      </c>
      <c r="D9261" s="5">
        <v>216582</v>
      </c>
      <c r="E9261" s="6" t="str">
        <f>HYPERLINK("https://inpn.mnhn.fr/espece/cd_nom/216582","Pogonosoma minor Loew, 1869")</f>
        <v>Pogonosoma minor Loew, 1869</v>
      </c>
      <c r="AH9261" s="4" t="str">
        <f>HYPERLINK("#Statut_biogéographique!A"&amp;_xlfn.XMATCH("P",Statut_biogéographique!A:A,2,1),"P")</f>
        <v>P</v>
      </c>
      <c r="AP9261" s="4" t="s">
        <v>376</v>
      </c>
      <c r="AR9261" s="4" t="s">
        <v>377</v>
      </c>
    </row>
    <row r="9262" spans="1:44">
      <c r="A9262" s="4" t="s">
        <v>10753</v>
      </c>
      <c r="B9262" s="4">
        <v>216583</v>
      </c>
      <c r="D9262" s="5" t="s">
        <v>12483</v>
      </c>
      <c r="E9262" s="6" t="str">
        <f>HYPERLINK("https://inpn.mnhn.fr/espece/cd_nom/216583","Andrenosoma albibarbe (Meigen, 1820)")</f>
        <v>Andrenosoma albibarbe (Meigen, 1820)</v>
      </c>
      <c r="AH9262" s="4" t="str">
        <f>HYPERLINK("#Statut_biogéographique!A"&amp;_xlfn.XMATCH("P",Statut_biogéographique!A:A,2,1),"P")</f>
        <v>P</v>
      </c>
      <c r="AP9262" s="4" t="s">
        <v>376</v>
      </c>
      <c r="AR9262" s="4" t="s">
        <v>377</v>
      </c>
    </row>
    <row r="9263" spans="1:44">
      <c r="A9263" s="4" t="s">
        <v>10753</v>
      </c>
      <c r="B9263" s="4">
        <v>216594</v>
      </c>
      <c r="D9263" s="5" t="s">
        <v>12484</v>
      </c>
      <c r="E9263" s="6" t="str">
        <f>HYPERLINK("https://inpn.mnhn.fr/espece/cd_nom/216594","Choerades fimbriata (Meigen, 1820)")</f>
        <v>Choerades fimbriata (Meigen, 1820)</v>
      </c>
      <c r="AH9263" s="4" t="str">
        <f>HYPERLINK("#Statut_biogéographique!A"&amp;_xlfn.XMATCH("P",Statut_biogéographique!A:A,2,1),"P")</f>
        <v>P</v>
      </c>
      <c r="AP9263" s="4" t="s">
        <v>376</v>
      </c>
      <c r="AR9263" s="4" t="s">
        <v>377</v>
      </c>
    </row>
    <row r="9264" spans="1:44">
      <c r="A9264" s="4" t="s">
        <v>10753</v>
      </c>
      <c r="B9264" s="4">
        <v>216595</v>
      </c>
      <c r="D9264" s="5" t="s">
        <v>12485</v>
      </c>
      <c r="E9264" s="6" t="str">
        <f>HYPERLINK("https://inpn.mnhn.fr/espece/cd_nom/216595","Choerades fuliginosa (Panzer, 1798)")</f>
        <v>Choerades fuliginosa (Panzer, 1798)</v>
      </c>
      <c r="AH9264" s="4" t="str">
        <f>HYPERLINK("#Statut_biogéographique!A"&amp;_xlfn.XMATCH("P",Statut_biogéographique!A:A,2,1),"P")</f>
        <v>P</v>
      </c>
      <c r="AP9264" s="4" t="s">
        <v>376</v>
      </c>
      <c r="AR9264" s="4" t="s">
        <v>377</v>
      </c>
    </row>
    <row r="9265" spans="1:44">
      <c r="A9265" s="4" t="s">
        <v>10753</v>
      </c>
      <c r="B9265" s="4">
        <v>216601</v>
      </c>
      <c r="D9265" s="5">
        <v>216601</v>
      </c>
      <c r="E9265" s="6" t="str">
        <f>HYPERLINK("https://inpn.mnhn.fr/espece/cd_nom/216601","Leptogaster subtilis Loew, 1847")</f>
        <v>Leptogaster subtilis Loew, 1847</v>
      </c>
      <c r="AH9265" s="4" t="str">
        <f>HYPERLINK("#Statut_biogéographique!A"&amp;_xlfn.XMATCH("P",Statut_biogéographique!A:A,2,1),"P")</f>
        <v>P</v>
      </c>
      <c r="AP9265" s="4" t="s">
        <v>376</v>
      </c>
      <c r="AR9265" s="4" t="s">
        <v>377</v>
      </c>
    </row>
    <row r="9266" spans="1:44">
      <c r="A9266" s="4" t="s">
        <v>10753</v>
      </c>
      <c r="B9266" s="4">
        <v>216606</v>
      </c>
      <c r="D9266" s="5" t="s">
        <v>12486</v>
      </c>
      <c r="E9266" s="6" t="str">
        <f>HYPERLINK("https://inpn.mnhn.fr/espece/cd_nom/216606","Diastata fuscula (Fallén, 1823)")</f>
        <v>Diastata fuscula (Fallén, 1823)</v>
      </c>
      <c r="AH9266" s="4" t="str">
        <f>HYPERLINK("#Statut_biogéographique!A"&amp;_xlfn.XMATCH("P",Statut_biogéographique!A:A,2,1),"P")</f>
        <v>P</v>
      </c>
      <c r="AP9266" s="4" t="s">
        <v>376</v>
      </c>
      <c r="AR9266" s="4" t="s">
        <v>377</v>
      </c>
    </row>
    <row r="9267" spans="1:44" ht="30">
      <c r="A9267" s="4" t="s">
        <v>10753</v>
      </c>
      <c r="B9267" s="4">
        <v>216664</v>
      </c>
      <c r="D9267" s="5" t="s">
        <v>12487</v>
      </c>
      <c r="E9267" s="6" t="str">
        <f>HYPERLINK("https://inpn.mnhn.fr/espece/cd_nom/216664","Elachiptera bimaculata (Loew, 1845)")</f>
        <v>Elachiptera bimaculata (Loew, 1845)</v>
      </c>
      <c r="AH9267" s="4" t="str">
        <f>HYPERLINK("#Statut_biogéographique!A"&amp;_xlfn.XMATCH("P",Statut_biogéographique!A:A,2,1),"P")</f>
        <v>P</v>
      </c>
      <c r="AP9267" s="4" t="s">
        <v>376</v>
      </c>
      <c r="AR9267" s="4" t="s">
        <v>377</v>
      </c>
    </row>
    <row r="9268" spans="1:44">
      <c r="A9268" s="4" t="s">
        <v>10753</v>
      </c>
      <c r="B9268" s="4">
        <v>216679</v>
      </c>
      <c r="D9268" s="5" t="s">
        <v>12488</v>
      </c>
      <c r="E9268" s="6" t="str">
        <f>HYPERLINK("https://inpn.mnhn.fr/espece/cd_nom/216679","Lasiambia coxalis (von Roser, 1840)")</f>
        <v>Lasiambia coxalis (von Roser, 1840)</v>
      </c>
      <c r="AH9268" s="4" t="str">
        <f>HYPERLINK("#Statut_biogéographique!A"&amp;_xlfn.XMATCH("P",Statut_biogéographique!A:A,2,1),"P")</f>
        <v>P</v>
      </c>
      <c r="AP9268" s="4" t="s">
        <v>376</v>
      </c>
      <c r="AR9268" s="4" t="s">
        <v>377</v>
      </c>
    </row>
    <row r="9269" spans="1:44">
      <c r="A9269" s="4" t="s">
        <v>10753</v>
      </c>
      <c r="B9269" s="4">
        <v>216681</v>
      </c>
      <c r="D9269" s="5" t="s">
        <v>12489</v>
      </c>
      <c r="E9269" s="6" t="str">
        <f>HYPERLINK("https://inpn.mnhn.fr/espece/cd_nom/216681","Lasiambia palposa (Fallén, 1820)")</f>
        <v>Lasiambia palposa (Fallén, 1820)</v>
      </c>
      <c r="AH9269" s="4" t="str">
        <f>HYPERLINK("#Statut_biogéographique!A"&amp;_xlfn.XMATCH("P",Statut_biogéographique!A:A,2,1),"P")</f>
        <v>P</v>
      </c>
      <c r="AP9269" s="4" t="s">
        <v>376</v>
      </c>
      <c r="AR9269" s="4" t="s">
        <v>377</v>
      </c>
    </row>
    <row r="9270" spans="1:44">
      <c r="A9270" s="4" t="s">
        <v>10753</v>
      </c>
      <c r="B9270" s="4">
        <v>216726</v>
      </c>
      <c r="D9270" s="5" t="s">
        <v>12490</v>
      </c>
      <c r="E9270" s="6" t="str">
        <f>HYPERLINK("https://inpn.mnhn.fr/espece/cd_nom/216726","Trachysiphonella scutellata (von Roser, 1840)")</f>
        <v>Trachysiphonella scutellata (von Roser, 1840)</v>
      </c>
      <c r="AH9270" s="4" t="str">
        <f>HYPERLINK("#Statut_biogéographique!A"&amp;_xlfn.XMATCH("P",Statut_biogéographique!A:A,2,1),"P")</f>
        <v>P</v>
      </c>
      <c r="AP9270" s="4" t="s">
        <v>376</v>
      </c>
      <c r="AR9270" s="4" t="s">
        <v>377</v>
      </c>
    </row>
    <row r="9271" spans="1:44">
      <c r="A9271" s="4" t="s">
        <v>10753</v>
      </c>
      <c r="B9271" s="4">
        <v>216754</v>
      </c>
      <c r="D9271" s="5">
        <v>216754</v>
      </c>
      <c r="E9271" s="6" t="str">
        <f>HYPERLINK("https://inpn.mnhn.fr/espece/cd_nom/216754","Myopa strandi Duda, 1940")</f>
        <v>Myopa strandi Duda, 1940</v>
      </c>
      <c r="AH9271" s="4" t="str">
        <f>HYPERLINK("#Statut_biogéographique!A"&amp;_xlfn.XMATCH("P",Statut_biogéographique!A:A,2,1),"P")</f>
        <v>P</v>
      </c>
      <c r="AP9271" s="4" t="s">
        <v>376</v>
      </c>
      <c r="AR9271" s="4" t="s">
        <v>377</v>
      </c>
    </row>
    <row r="9272" spans="1:44">
      <c r="A9272" s="4" t="s">
        <v>10753</v>
      </c>
      <c r="B9272" s="4">
        <v>216759</v>
      </c>
      <c r="D9272" s="5">
        <v>216759</v>
      </c>
      <c r="E9272" s="6" t="str">
        <f>HYPERLINK("https://inpn.mnhn.fr/espece/cd_nom/216759","Sicus abdominalis Kröber, 1915")</f>
        <v>Sicus abdominalis Kröber, 1915</v>
      </c>
      <c r="AH9272" s="4" t="str">
        <f>HYPERLINK("#Statut_biogéographique!A"&amp;_xlfn.XMATCH("D",Statut_biogéographique!A:A,2,1),"D")</f>
        <v>D</v>
      </c>
      <c r="AP9272" s="4" t="s">
        <v>376</v>
      </c>
      <c r="AR9272" s="4" t="s">
        <v>377</v>
      </c>
    </row>
    <row r="9273" spans="1:44">
      <c r="A9273" s="4" t="s">
        <v>10753</v>
      </c>
      <c r="B9273" s="4">
        <v>216766</v>
      </c>
      <c r="D9273" s="5" t="s">
        <v>12491</v>
      </c>
      <c r="E9273" s="6" t="str">
        <f>HYPERLINK("https://inpn.mnhn.fr/espece/cd_nom/216766","Scaptomyza pallida (Zetterstedt, 1847)")</f>
        <v>Scaptomyza pallida (Zetterstedt, 1847)</v>
      </c>
      <c r="AH9273" s="4" t="str">
        <f>HYPERLINK("#Statut_biogéographique!A"&amp;_xlfn.XMATCH("P",Statut_biogéographique!A:A,2,1),"P")</f>
        <v>P</v>
      </c>
      <c r="AP9273" s="4" t="s">
        <v>376</v>
      </c>
      <c r="AR9273" s="4" t="s">
        <v>377</v>
      </c>
    </row>
    <row r="9274" spans="1:44" ht="30">
      <c r="A9274" s="4" t="s">
        <v>10753</v>
      </c>
      <c r="B9274" s="4">
        <v>216767</v>
      </c>
      <c r="D9274" s="5" t="s">
        <v>12492</v>
      </c>
      <c r="E9274" s="6" t="str">
        <f>HYPERLINK("https://inpn.mnhn.fr/espece/cd_nom/216767","Scaptomyza flava (Fallén, 1823)")</f>
        <v>Scaptomyza flava (Fallén, 1823)</v>
      </c>
      <c r="AH9274" s="4" t="str">
        <f>HYPERLINK("#Statut_biogéographique!A"&amp;_xlfn.XMATCH("P",Statut_biogéographique!A:A,2,1),"P")</f>
        <v>P</v>
      </c>
      <c r="AP9274" s="4" t="s">
        <v>376</v>
      </c>
      <c r="AR9274" s="4" t="s">
        <v>377</v>
      </c>
    </row>
    <row r="9275" spans="1:44" ht="60">
      <c r="A9275" s="4" t="s">
        <v>10753</v>
      </c>
      <c r="B9275" s="4">
        <v>216768</v>
      </c>
      <c r="D9275" s="5" t="s">
        <v>12493</v>
      </c>
      <c r="E9275" s="6" t="str">
        <f>HYPERLINK("https://inpn.mnhn.fr/espece/cd_nom/216768","Scaptomyza graminum (Fallén, 1823)")</f>
        <v>Scaptomyza graminum (Fallén, 1823)</v>
      </c>
      <c r="AH9275" s="4" t="str">
        <f>HYPERLINK("#Statut_biogéographique!A"&amp;_xlfn.XMATCH("P",Statut_biogéographique!A:A,2,1),"P")</f>
        <v>P</v>
      </c>
      <c r="AP9275" s="4" t="s">
        <v>376</v>
      </c>
      <c r="AR9275" s="4" t="s">
        <v>377</v>
      </c>
    </row>
    <row r="9276" spans="1:44">
      <c r="A9276" s="4" t="s">
        <v>10753</v>
      </c>
      <c r="B9276" s="4">
        <v>216773</v>
      </c>
      <c r="D9276" s="5" t="s">
        <v>12494</v>
      </c>
      <c r="E9276" s="6" t="str">
        <f>HYPERLINK("https://inpn.mnhn.fr/espece/cd_nom/216773","Lordiphosa fenestrarum (Fallén, 1823)")</f>
        <v>Lordiphosa fenestrarum (Fallén, 1823)</v>
      </c>
      <c r="AH9276" s="4" t="str">
        <f>HYPERLINK("#Statut_biogéographique!A"&amp;_xlfn.XMATCH("P",Statut_biogéographique!A:A,2,1),"P")</f>
        <v>P</v>
      </c>
      <c r="AP9276" s="4" t="s">
        <v>376</v>
      </c>
      <c r="AR9276" s="4" t="s">
        <v>377</v>
      </c>
    </row>
    <row r="9277" spans="1:44">
      <c r="A9277" s="4" t="s">
        <v>10753</v>
      </c>
      <c r="B9277" s="4">
        <v>216774</v>
      </c>
      <c r="D9277" s="5" t="s">
        <v>12495</v>
      </c>
      <c r="E9277" s="6" t="str">
        <f>HYPERLINK("https://inpn.mnhn.fr/espece/cd_nom/216774","Hirtodrosophila cameraria (Haliday, 1833)")</f>
        <v>Hirtodrosophila cameraria (Haliday, 1833)</v>
      </c>
      <c r="AH9277" s="4" t="str">
        <f>HYPERLINK("#Statut_biogéographique!A"&amp;_xlfn.XMATCH("P",Statut_biogéographique!A:A,2,1),"P")</f>
        <v>P</v>
      </c>
      <c r="AP9277" s="4" t="s">
        <v>376</v>
      </c>
      <c r="AR9277" s="4" t="s">
        <v>377</v>
      </c>
    </row>
    <row r="9278" spans="1:44">
      <c r="A9278" s="4" t="s">
        <v>10753</v>
      </c>
      <c r="B9278" s="4">
        <v>216775</v>
      </c>
      <c r="D9278" s="5" t="s">
        <v>12496</v>
      </c>
      <c r="E9278" s="6" t="str">
        <f>HYPERLINK("https://inpn.mnhn.fr/espece/cd_nom/216775","Hirtodrosophila confusa (Stæger, 1844)")</f>
        <v>Hirtodrosophila confusa (Stæger, 1844)</v>
      </c>
      <c r="AH9278" s="4" t="str">
        <f>HYPERLINK("#Statut_biogéographique!A"&amp;_xlfn.XMATCH("P",Statut_biogéographique!A:A,2,1),"P")</f>
        <v>P</v>
      </c>
      <c r="AP9278" s="4" t="s">
        <v>376</v>
      </c>
      <c r="AR9278" s="4" t="s">
        <v>377</v>
      </c>
    </row>
    <row r="9279" spans="1:44" ht="30">
      <c r="A9279" s="4" t="s">
        <v>10753</v>
      </c>
      <c r="B9279" s="4">
        <v>216778</v>
      </c>
      <c r="D9279" s="5" t="s">
        <v>12497</v>
      </c>
      <c r="E9279" s="6" t="str">
        <f>HYPERLINK("https://inpn.mnhn.fr/espece/cd_nom/216778","Drosophila funebris (Fabricius, 1787)")</f>
        <v>Drosophila funebris (Fabricius, 1787)</v>
      </c>
      <c r="F9279" s="5" t="s">
        <v>12498</v>
      </c>
      <c r="AH9279" s="4" t="str">
        <f>HYPERLINK("#Statut_biogéographique!A"&amp;_xlfn.XMATCH("P",Statut_biogéographique!A:A,2,1),"P")</f>
        <v>P</v>
      </c>
      <c r="AP9279" s="4" t="s">
        <v>376</v>
      </c>
      <c r="AR9279" s="4" t="s">
        <v>377</v>
      </c>
    </row>
    <row r="9280" spans="1:44">
      <c r="A9280" s="4" t="s">
        <v>10753</v>
      </c>
      <c r="B9280" s="4">
        <v>216779</v>
      </c>
      <c r="D9280" s="5" t="s">
        <v>12499</v>
      </c>
      <c r="E9280" s="6" t="str">
        <f>HYPERLINK("https://inpn.mnhn.fr/espece/cd_nom/216779","Drosophila histrio Meigen, 1830")</f>
        <v>Drosophila histrio Meigen, 1830</v>
      </c>
      <c r="AH9280" s="4" t="str">
        <f>HYPERLINK("#Statut_biogéographique!A"&amp;_xlfn.XMATCH("P",Statut_biogéographique!A:A,2,1),"P")</f>
        <v>P</v>
      </c>
      <c r="AP9280" s="4" t="s">
        <v>376</v>
      </c>
      <c r="AR9280" s="4" t="s">
        <v>377</v>
      </c>
    </row>
    <row r="9281" spans="1:44">
      <c r="A9281" s="4" t="s">
        <v>10753</v>
      </c>
      <c r="B9281" s="4">
        <v>21678</v>
      </c>
      <c r="D9281" s="5" t="s">
        <v>12500</v>
      </c>
      <c r="E9281" s="6" t="str">
        <f>HYPERLINK("https://inpn.mnhn.fr/espece/cd_nom/21678","Wachtliella persicariae (Linnaeus, 1767)")</f>
        <v>Wachtliella persicariae (Linnaeus, 1767)</v>
      </c>
      <c r="AH9281" s="4" t="str">
        <f>HYPERLINK("#Statut_biogéographique!A"&amp;_xlfn.XMATCH("P",Statut_biogéographique!A:A,2,1),"P")</f>
        <v>P</v>
      </c>
      <c r="AP9281" s="4" t="s">
        <v>376</v>
      </c>
      <c r="AR9281" s="4" t="s">
        <v>377</v>
      </c>
    </row>
    <row r="9282" spans="1:44">
      <c r="A9282" s="4" t="s">
        <v>10753</v>
      </c>
      <c r="B9282" s="4">
        <v>216781</v>
      </c>
      <c r="D9282" s="5" t="s">
        <v>12501</v>
      </c>
      <c r="E9282" s="6" t="str">
        <f>HYPERLINK("https://inpn.mnhn.fr/espece/cd_nom/216781","Drosophila immigrans Sturtevant, 1921")</f>
        <v>Drosophila immigrans Sturtevant, 1921</v>
      </c>
      <c r="AH9282" s="4" t="str">
        <f>HYPERLINK("#Statut_biogéographique!A"&amp;_xlfn.XMATCH("P",Statut_biogéographique!A:A,2,1),"P")</f>
        <v>P</v>
      </c>
      <c r="AP9282" s="4" t="s">
        <v>376</v>
      </c>
      <c r="AR9282" s="4" t="s">
        <v>377</v>
      </c>
    </row>
    <row r="9283" spans="1:44">
      <c r="A9283" s="4" t="s">
        <v>10753</v>
      </c>
      <c r="B9283" s="4">
        <v>216782</v>
      </c>
      <c r="D9283" s="5" t="s">
        <v>12502</v>
      </c>
      <c r="E9283" s="6" t="str">
        <f>HYPERLINK("https://inpn.mnhn.fr/espece/cd_nom/216782","Drosophila kuntzei Duda, 1924")</f>
        <v>Drosophila kuntzei Duda, 1924</v>
      </c>
      <c r="AH9283" s="4" t="str">
        <f>HYPERLINK("#Statut_biogéographique!A"&amp;_xlfn.XMATCH("P",Statut_biogéographique!A:A,2,1),"P")</f>
        <v>P</v>
      </c>
      <c r="AP9283" s="4" t="s">
        <v>376</v>
      </c>
      <c r="AR9283" s="4" t="s">
        <v>377</v>
      </c>
    </row>
    <row r="9284" spans="1:44">
      <c r="A9284" s="4" t="s">
        <v>10753</v>
      </c>
      <c r="B9284" s="4">
        <v>216784</v>
      </c>
      <c r="D9284" s="5" t="s">
        <v>12503</v>
      </c>
      <c r="E9284" s="6" t="str">
        <f>HYPERLINK("https://inpn.mnhn.fr/espece/cd_nom/216784","Drosophila littoralis Meigen, 1830")</f>
        <v>Drosophila littoralis Meigen, 1830</v>
      </c>
      <c r="AH9284" s="4" t="str">
        <f>HYPERLINK("#Statut_biogéographique!A"&amp;_xlfn.XMATCH("P",Statut_biogéographique!A:A,2,1),"P")</f>
        <v>P</v>
      </c>
      <c r="AP9284" s="4" t="s">
        <v>376</v>
      </c>
      <c r="AR9284" s="4" t="s">
        <v>377</v>
      </c>
    </row>
    <row r="9285" spans="1:44">
      <c r="A9285" s="4" t="s">
        <v>10753</v>
      </c>
      <c r="B9285" s="4">
        <v>216792</v>
      </c>
      <c r="D9285" s="5">
        <v>216792</v>
      </c>
      <c r="E9285" s="6" t="str">
        <f>HYPERLINK("https://inpn.mnhn.fr/espece/cd_nom/216792","Drosophila ambigua Pomini, 1940")</f>
        <v>Drosophila ambigua Pomini, 1940</v>
      </c>
      <c r="AH9285" s="4" t="str">
        <f>HYPERLINK("#Statut_biogéographique!A"&amp;_xlfn.XMATCH("P",Statut_biogéographique!A:A,2,1),"P")</f>
        <v>P</v>
      </c>
      <c r="AP9285" s="4" t="s">
        <v>376</v>
      </c>
      <c r="AR9285" s="4" t="s">
        <v>377</v>
      </c>
    </row>
    <row r="9286" spans="1:44" ht="45">
      <c r="A9286" s="4" t="s">
        <v>10753</v>
      </c>
      <c r="B9286" s="4">
        <v>216795</v>
      </c>
      <c r="D9286" s="5" t="s">
        <v>12504</v>
      </c>
      <c r="E9286" s="6" t="str">
        <f>HYPERLINK("https://inpn.mnhn.fr/espece/cd_nom/216795","Drosophila melanogaster Meigen, 1830")</f>
        <v>Drosophila melanogaster Meigen, 1830</v>
      </c>
      <c r="F9286" s="5" t="s">
        <v>12505</v>
      </c>
      <c r="AH9286" s="4" t="str">
        <f>HYPERLINK("#Statut_biogéographique!A"&amp;_xlfn.XMATCH("P",Statut_biogéographique!A:A,2,1),"P")</f>
        <v>P</v>
      </c>
      <c r="AP9286" s="4" t="s">
        <v>376</v>
      </c>
      <c r="AR9286" s="4" t="s">
        <v>377</v>
      </c>
    </row>
    <row r="9287" spans="1:44">
      <c r="A9287" s="4" t="s">
        <v>10753</v>
      </c>
      <c r="B9287" s="4">
        <v>216796</v>
      </c>
      <c r="D9287" s="5" t="s">
        <v>12506</v>
      </c>
      <c r="E9287" s="6" t="str">
        <f>HYPERLINK("https://inpn.mnhn.fr/espece/cd_nom/216796","Drosophila obscura Fallén, 1823")</f>
        <v>Drosophila obscura Fallén, 1823</v>
      </c>
      <c r="AH9287" s="4" t="str">
        <f>HYPERLINK("#Statut_biogéographique!A"&amp;_xlfn.XMATCH("P",Statut_biogéographique!A:A,2,1),"P")</f>
        <v>P</v>
      </c>
      <c r="AP9287" s="4" t="s">
        <v>376</v>
      </c>
      <c r="AR9287" s="4" t="s">
        <v>377</v>
      </c>
    </row>
    <row r="9288" spans="1:44">
      <c r="A9288" s="4" t="s">
        <v>10753</v>
      </c>
      <c r="B9288" s="4">
        <v>216800</v>
      </c>
      <c r="D9288" s="5" t="s">
        <v>12507</v>
      </c>
      <c r="E9288" s="6" t="str">
        <f>HYPERLINK("https://inpn.mnhn.fr/espece/cd_nom/216800","Drosophila tristis Fallén, 1823")</f>
        <v>Drosophila tristis Fallén, 1823</v>
      </c>
      <c r="AH9288" s="4" t="str">
        <f>HYPERLINK("#Statut_biogéographique!A"&amp;_xlfn.XMATCH("P",Statut_biogéographique!A:A,2,1),"P")</f>
        <v>P</v>
      </c>
      <c r="AP9288" s="4" t="s">
        <v>376</v>
      </c>
      <c r="AR9288" s="4" t="s">
        <v>377</v>
      </c>
    </row>
    <row r="9289" spans="1:44">
      <c r="A9289" s="4" t="s">
        <v>10753</v>
      </c>
      <c r="B9289" s="4">
        <v>216802</v>
      </c>
      <c r="D9289" s="5" t="s">
        <v>12508</v>
      </c>
      <c r="E9289" s="6" t="str">
        <f>HYPERLINK("https://inpn.mnhn.fr/espece/cd_nom/216802","Chymomyza amoena (Loew, 1862)")</f>
        <v>Chymomyza amoena (Loew, 1862)</v>
      </c>
      <c r="AH9289" s="4" t="str">
        <f>HYPERLINK("#Statut_biogéographique!A"&amp;_xlfn.XMATCH("I",Statut_biogéographique!A:A,2,1),"I")</f>
        <v>I</v>
      </c>
      <c r="AP9289" s="4" t="s">
        <v>376</v>
      </c>
      <c r="AR9289" s="4" t="s">
        <v>377</v>
      </c>
    </row>
    <row r="9290" spans="1:44">
      <c r="A9290" s="4" t="s">
        <v>10753</v>
      </c>
      <c r="B9290" s="4">
        <v>216804</v>
      </c>
      <c r="D9290" s="5" t="s">
        <v>12509</v>
      </c>
      <c r="E9290" s="6" t="str">
        <f>HYPERLINK("https://inpn.mnhn.fr/espece/cd_nom/216804","Acletoxenus formosus (Loew, 1864)")</f>
        <v>Acletoxenus formosus (Loew, 1864)</v>
      </c>
      <c r="AH9290" s="4" t="str">
        <f>HYPERLINK("#Statut_biogéographique!A"&amp;_xlfn.XMATCH("P",Statut_biogéographique!A:A,2,1),"P")</f>
        <v>P</v>
      </c>
      <c r="AP9290" s="4" t="s">
        <v>376</v>
      </c>
      <c r="AR9290" s="4" t="s">
        <v>377</v>
      </c>
    </row>
    <row r="9291" spans="1:44">
      <c r="A9291" s="4" t="s">
        <v>10753</v>
      </c>
      <c r="B9291" s="4">
        <v>216807</v>
      </c>
      <c r="D9291" s="5" t="s">
        <v>12510</v>
      </c>
      <c r="E9291" s="6" t="str">
        <f>HYPERLINK("https://inpn.mnhn.fr/espece/cd_nom/216807","Cacoxenus indagator Loew, 1858")</f>
        <v>Cacoxenus indagator Loew, 1858</v>
      </c>
      <c r="AH9291" s="4" t="str">
        <f>HYPERLINK("#Statut_biogéographique!A"&amp;_xlfn.XMATCH("P",Statut_biogéographique!A:A,2,1),"P")</f>
        <v>P</v>
      </c>
      <c r="AP9291" s="4" t="s">
        <v>376</v>
      </c>
      <c r="AR9291" s="4" t="s">
        <v>377</v>
      </c>
    </row>
    <row r="9292" spans="1:44">
      <c r="A9292" s="4" t="s">
        <v>10753</v>
      </c>
      <c r="B9292" s="4">
        <v>216818</v>
      </c>
      <c r="D9292" s="5" t="s">
        <v>12511</v>
      </c>
      <c r="E9292" s="6" t="str">
        <f>HYPERLINK("https://inpn.mnhn.fr/espece/cd_nom/216818","Neuroctena anilis (Fallén, 1820)")</f>
        <v>Neuroctena anilis (Fallén, 1820)</v>
      </c>
      <c r="AH9292" s="4" t="str">
        <f>HYPERLINK("#Statut_biogéographique!A"&amp;_xlfn.XMATCH("P",Statut_biogéographique!A:A,2,1),"P")</f>
        <v>P</v>
      </c>
      <c r="AP9292" s="4" t="s">
        <v>376</v>
      </c>
      <c r="AR9292" s="4" t="s">
        <v>377</v>
      </c>
    </row>
    <row r="9293" spans="1:44">
      <c r="A9293" s="4" t="s">
        <v>10753</v>
      </c>
      <c r="B9293" s="4">
        <v>216831</v>
      </c>
      <c r="D9293" s="5" t="s">
        <v>12512</v>
      </c>
      <c r="E9293" s="6" t="str">
        <f>HYPERLINK("https://inpn.mnhn.fr/espece/cd_nom/216831","Fannia pauli Pont, 1997")</f>
        <v>Fannia pauli Pont, 1997</v>
      </c>
      <c r="AH9293" s="4" t="str">
        <f>HYPERLINK("#Statut_biogéographique!A"&amp;_xlfn.XMATCH("P",Statut_biogéographique!A:A,2,1),"P")</f>
        <v>P</v>
      </c>
      <c r="AP9293" s="4" t="s">
        <v>376</v>
      </c>
      <c r="AR9293" s="4" t="s">
        <v>377</v>
      </c>
    </row>
    <row r="9294" spans="1:44">
      <c r="A9294" s="4" t="s">
        <v>10753</v>
      </c>
      <c r="B9294" s="4">
        <v>216838</v>
      </c>
      <c r="D9294" s="5" t="s">
        <v>12513</v>
      </c>
      <c r="E9294" s="6" t="str">
        <f>HYPERLINK("https://inpn.mnhn.fr/espece/cd_nom/216838","Suillia flavitarsis (Rondani, 1867)")</f>
        <v>Suillia flavitarsis (Rondani, 1867)</v>
      </c>
      <c r="AH9294" s="4" t="str">
        <f>HYPERLINK("#Statut_biogéographique!A"&amp;_xlfn.XMATCH("P",Statut_biogéographique!A:A,2,1),"P")</f>
        <v>P</v>
      </c>
      <c r="AP9294" s="4" t="s">
        <v>376</v>
      </c>
      <c r="AR9294" s="4" t="s">
        <v>377</v>
      </c>
    </row>
    <row r="9295" spans="1:44">
      <c r="A9295" s="4" t="s">
        <v>10753</v>
      </c>
      <c r="B9295" s="4">
        <v>216839</v>
      </c>
      <c r="D9295" s="5" t="s">
        <v>12514</v>
      </c>
      <c r="E9295" s="6" t="str">
        <f>HYPERLINK("https://inpn.mnhn.fr/espece/cd_nom/216839","Suillia fuscicornis (Zetterstedt, 1847)")</f>
        <v>Suillia fuscicornis (Zetterstedt, 1847)</v>
      </c>
      <c r="AH9295" s="4" t="str">
        <f>HYPERLINK("#Statut_biogéographique!A"&amp;_xlfn.XMATCH("P",Statut_biogéographique!A:A,2,1),"P")</f>
        <v>P</v>
      </c>
      <c r="AP9295" s="4" t="s">
        <v>376</v>
      </c>
      <c r="AR9295" s="4" t="s">
        <v>377</v>
      </c>
    </row>
    <row r="9296" spans="1:44">
      <c r="A9296" s="4" t="s">
        <v>10753</v>
      </c>
      <c r="B9296" s="4">
        <v>216840</v>
      </c>
      <c r="D9296" s="5" t="s">
        <v>12515</v>
      </c>
      <c r="E9296" s="6" t="str">
        <f>HYPERLINK("https://inpn.mnhn.fr/espece/cd_nom/216840","Suillia gigantea (Meigen, 1830)")</f>
        <v>Suillia gigantea (Meigen, 1830)</v>
      </c>
      <c r="AH9296" s="4" t="str">
        <f>HYPERLINK("#Statut_biogéographique!A"&amp;_xlfn.XMATCH("P",Statut_biogéographique!A:A,2,1),"P")</f>
        <v>P</v>
      </c>
      <c r="AP9296" s="4" t="s">
        <v>376</v>
      </c>
      <c r="AR9296" s="4" t="s">
        <v>377</v>
      </c>
    </row>
    <row r="9297" spans="1:44">
      <c r="A9297" s="4" t="s">
        <v>10753</v>
      </c>
      <c r="B9297" s="4">
        <v>216843</v>
      </c>
      <c r="D9297" s="5" t="s">
        <v>12516</v>
      </c>
      <c r="E9297" s="6" t="str">
        <f>HYPERLINK("https://inpn.mnhn.fr/espece/cd_nom/216843","Suillia laevifrons (Loew, 1862)")</f>
        <v>Suillia laevifrons (Loew, 1862)</v>
      </c>
      <c r="AH9297" s="4" t="str">
        <f>HYPERLINK("#Statut_biogéographique!A"&amp;_xlfn.XMATCH("P",Statut_biogéographique!A:A,2,1),"P")</f>
        <v>P</v>
      </c>
      <c r="AP9297" s="4" t="s">
        <v>376</v>
      </c>
      <c r="AR9297" s="4" t="s">
        <v>377</v>
      </c>
    </row>
    <row r="9298" spans="1:44">
      <c r="A9298" s="4" t="s">
        <v>10753</v>
      </c>
      <c r="B9298" s="4">
        <v>216845</v>
      </c>
      <c r="D9298" s="5" t="s">
        <v>12517</v>
      </c>
      <c r="E9298" s="6" t="str">
        <f>HYPERLINK("https://inpn.mnhn.fr/espece/cd_nom/216845","Suillia lineitergum (Pandellé, 1901)")</f>
        <v>Suillia lineitergum (Pandellé, 1901)</v>
      </c>
      <c r="AH9298" s="4" t="str">
        <f>HYPERLINK("#Statut_biogéographique!A"&amp;_xlfn.XMATCH("P",Statut_biogéographique!A:A,2,1),"P")</f>
        <v>P</v>
      </c>
      <c r="AP9298" s="4" t="s">
        <v>376</v>
      </c>
      <c r="AR9298" s="4" t="s">
        <v>377</v>
      </c>
    </row>
    <row r="9299" spans="1:44">
      <c r="A9299" s="4" t="s">
        <v>10753</v>
      </c>
      <c r="B9299" s="4">
        <v>216847</v>
      </c>
      <c r="D9299" s="5" t="s">
        <v>12518</v>
      </c>
      <c r="E9299" s="6" t="str">
        <f>HYPERLINK("https://inpn.mnhn.fr/espece/cd_nom/216847","Suillia nemorum (Meigen, 1830)")</f>
        <v>Suillia nemorum (Meigen, 1830)</v>
      </c>
      <c r="AH9299" s="4" t="str">
        <f>HYPERLINK("#Statut_biogéographique!A"&amp;_xlfn.XMATCH("P",Statut_biogéographique!A:A,2,1),"P")</f>
        <v>P</v>
      </c>
      <c r="AP9299" s="4" t="s">
        <v>376</v>
      </c>
      <c r="AR9299" s="4" t="s">
        <v>377</v>
      </c>
    </row>
    <row r="9300" spans="1:44">
      <c r="A9300" s="4" t="s">
        <v>10753</v>
      </c>
      <c r="B9300" s="4">
        <v>216857</v>
      </c>
      <c r="D9300" s="5" t="s">
        <v>12519</v>
      </c>
      <c r="E9300" s="6" t="str">
        <f>HYPERLINK("https://inpn.mnhn.fr/espece/cd_nom/216857","Scoliocentra villosa (Meigen, 1830)")</f>
        <v>Scoliocentra villosa (Meigen, 1830)</v>
      </c>
      <c r="AH9300" s="4" t="str">
        <f>HYPERLINK("#Statut_biogéographique!A"&amp;_xlfn.XMATCH("P",Statut_biogéographique!A:A,2,1),"P")</f>
        <v>P</v>
      </c>
      <c r="AP9300" s="4" t="s">
        <v>376</v>
      </c>
      <c r="AR9300" s="4" t="s">
        <v>377</v>
      </c>
    </row>
    <row r="9301" spans="1:44">
      <c r="A9301" s="4" t="s">
        <v>10753</v>
      </c>
      <c r="B9301" s="4">
        <v>216859</v>
      </c>
      <c r="D9301" s="5" t="s">
        <v>12520</v>
      </c>
      <c r="E9301" s="6" t="str">
        <f>HYPERLINK("https://inpn.mnhn.fr/espece/cd_nom/216859","Morpholeria ruficornis (Meigen, 1830)")</f>
        <v>Morpholeria ruficornis (Meigen, 1830)</v>
      </c>
      <c r="AH9301" s="4" t="str">
        <f>HYPERLINK("#Statut_biogéographique!A"&amp;_xlfn.XMATCH("P",Statut_biogéographique!A:A,2,1),"P")</f>
        <v>P</v>
      </c>
      <c r="AP9301" s="4" t="s">
        <v>376</v>
      </c>
      <c r="AR9301" s="4" t="s">
        <v>377</v>
      </c>
    </row>
    <row r="9302" spans="1:44">
      <c r="A9302" s="4" t="s">
        <v>10753</v>
      </c>
      <c r="B9302" s="4">
        <v>216861</v>
      </c>
      <c r="D9302" s="5" t="s">
        <v>12521</v>
      </c>
      <c r="E9302" s="6" t="str">
        <f>HYPERLINK("https://inpn.mnhn.fr/espece/cd_nom/216861","Heleomyza captiosa (Gorodkov, 1962)")</f>
        <v>Heleomyza captiosa (Gorodkov, 1962)</v>
      </c>
      <c r="AH9302" s="4" t="str">
        <f>HYPERLINK("#Statut_biogéographique!A"&amp;_xlfn.XMATCH("P",Statut_biogéographique!A:A,2,1),"P")</f>
        <v>P</v>
      </c>
      <c r="AP9302" s="4" t="s">
        <v>376</v>
      </c>
      <c r="AR9302" s="4" t="s">
        <v>377</v>
      </c>
    </row>
    <row r="9303" spans="1:44">
      <c r="A9303" s="4" t="s">
        <v>10753</v>
      </c>
      <c r="B9303" s="4">
        <v>216863</v>
      </c>
      <c r="D9303" s="5" t="s">
        <v>12522</v>
      </c>
      <c r="E9303" s="6" t="str">
        <f>HYPERLINK("https://inpn.mnhn.fr/espece/cd_nom/216863","Heleomyza serrata (Linnaeus, 1758)")</f>
        <v>Heleomyza serrata (Linnaeus, 1758)</v>
      </c>
      <c r="AH9303" s="4" t="str">
        <f>HYPERLINK("#Statut_biogéographique!A"&amp;_xlfn.XMATCH("P",Statut_biogéographique!A:A,2,1),"P")</f>
        <v>P</v>
      </c>
      <c r="AP9303" s="4" t="s">
        <v>376</v>
      </c>
      <c r="AR9303" s="4" t="s">
        <v>377</v>
      </c>
    </row>
    <row r="9304" spans="1:44">
      <c r="A9304" s="4" t="s">
        <v>10753</v>
      </c>
      <c r="B9304" s="4">
        <v>216894</v>
      </c>
      <c r="D9304" s="5" t="s">
        <v>12523</v>
      </c>
      <c r="E9304" s="6" t="str">
        <f>HYPERLINK("https://inpn.mnhn.fr/espece/cd_nom/216894","Lauxania cylindricornis (Fabricius, 1794)")</f>
        <v>Lauxania cylindricornis (Fabricius, 1794)</v>
      </c>
      <c r="AH9304" s="4" t="str">
        <f>HYPERLINK("#Statut_biogéographique!A"&amp;_xlfn.XMATCH("P",Statut_biogéographique!A:A,2,1),"P")</f>
        <v>P</v>
      </c>
      <c r="AP9304" s="4" t="s">
        <v>376</v>
      </c>
      <c r="AR9304" s="4" t="s">
        <v>377</v>
      </c>
    </row>
    <row r="9305" spans="1:44">
      <c r="A9305" s="4" t="s">
        <v>10753</v>
      </c>
      <c r="B9305" s="4">
        <v>216895</v>
      </c>
      <c r="D9305" s="5">
        <v>216895</v>
      </c>
      <c r="E9305" s="6" t="str">
        <f>HYPERLINK("https://inpn.mnhn.fr/espece/cd_nom/216895","Lyciella mihalyii Papp, 1978")</f>
        <v>Lyciella mihalyii Papp, 1978</v>
      </c>
      <c r="AH9305" s="4" t="str">
        <f>HYPERLINK("#Statut_biogéographique!A"&amp;_xlfn.XMATCH("P",Statut_biogéographique!A:A,2,1),"P")</f>
        <v>P</v>
      </c>
      <c r="AP9305" s="4" t="s">
        <v>376</v>
      </c>
      <c r="AR9305" s="4" t="s">
        <v>377</v>
      </c>
    </row>
    <row r="9306" spans="1:44">
      <c r="A9306" s="4" t="s">
        <v>10753</v>
      </c>
      <c r="B9306" s="4">
        <v>216902</v>
      </c>
      <c r="D9306" s="5" t="s">
        <v>12524</v>
      </c>
      <c r="E9306" s="6" t="str">
        <f>HYPERLINK("https://inpn.mnhn.fr/espece/cd_nom/216902","Minettia inusta (Meigen, 1826)")</f>
        <v>Minettia inusta (Meigen, 1826)</v>
      </c>
      <c r="AH9306" s="4" t="str">
        <f>HYPERLINK("#Statut_biogéographique!A"&amp;_xlfn.XMATCH("P",Statut_biogéographique!A:A,2,1),"P")</f>
        <v>P</v>
      </c>
      <c r="AP9306" s="4" t="s">
        <v>376</v>
      </c>
      <c r="AR9306" s="4" t="s">
        <v>377</v>
      </c>
    </row>
    <row r="9307" spans="1:44">
      <c r="A9307" s="4" t="s">
        <v>10753</v>
      </c>
      <c r="B9307" s="4">
        <v>216904</v>
      </c>
      <c r="D9307" s="5" t="s">
        <v>12525</v>
      </c>
      <c r="E9307" s="6" t="str">
        <f>HYPERLINK("https://inpn.mnhn.fr/espece/cd_nom/216904","Minettia longipennis (Fabricius, 1794)")</f>
        <v>Minettia longipennis (Fabricius, 1794)</v>
      </c>
      <c r="AH9307" s="4" t="str">
        <f>HYPERLINK("#Statut_biogéographique!A"&amp;_xlfn.XMATCH("P",Statut_biogéographique!A:A,2,1),"P")</f>
        <v>P</v>
      </c>
      <c r="AP9307" s="4" t="s">
        <v>376</v>
      </c>
      <c r="AR9307" s="4" t="s">
        <v>377</v>
      </c>
    </row>
    <row r="9308" spans="1:44">
      <c r="A9308" s="4" t="s">
        <v>10753</v>
      </c>
      <c r="B9308" s="4">
        <v>216906</v>
      </c>
      <c r="D9308" s="5" t="s">
        <v>12526</v>
      </c>
      <c r="E9308" s="6" t="str">
        <f>HYPERLINK("https://inpn.mnhn.fr/espece/cd_nom/216906","Minettia lupulina (Fabricius, 1787)")</f>
        <v>Minettia lupulina (Fabricius, 1787)</v>
      </c>
      <c r="AH9308" s="4" t="str">
        <f>HYPERLINK("#Statut_biogéographique!A"&amp;_xlfn.XMATCH("P",Statut_biogéographique!A:A,2,1),"P")</f>
        <v>P</v>
      </c>
      <c r="AP9308" s="4" t="s">
        <v>376</v>
      </c>
      <c r="AR9308" s="4" t="s">
        <v>377</v>
      </c>
    </row>
    <row r="9309" spans="1:44">
      <c r="A9309" s="4" t="s">
        <v>10753</v>
      </c>
      <c r="B9309" s="4">
        <v>216908</v>
      </c>
      <c r="D9309" s="5" t="s">
        <v>12527</v>
      </c>
      <c r="E9309" s="6" t="str">
        <f>HYPERLINK("https://inpn.mnhn.fr/espece/cd_nom/216908","Minettia rivosa (Meigen, 1826)")</f>
        <v>Minettia rivosa (Meigen, 1826)</v>
      </c>
      <c r="AH9309" s="4" t="str">
        <f>HYPERLINK("#Statut_biogéographique!A"&amp;_xlfn.XMATCH("P",Statut_biogéographique!A:A,2,1),"P")</f>
        <v>P</v>
      </c>
      <c r="AP9309" s="4" t="s">
        <v>376</v>
      </c>
      <c r="AR9309" s="4" t="s">
        <v>377</v>
      </c>
    </row>
    <row r="9310" spans="1:44">
      <c r="A9310" s="4" t="s">
        <v>10753</v>
      </c>
      <c r="B9310" s="4">
        <v>216914</v>
      </c>
      <c r="D9310" s="5">
        <v>216914</v>
      </c>
      <c r="E9310" s="6" t="str">
        <f>HYPERLINK("https://inpn.mnhn.fr/espece/cd_nom/216914","Peplomyza intermedia Remm, 1979")</f>
        <v>Peplomyza intermedia Remm, 1979</v>
      </c>
      <c r="AH9310" s="4" t="str">
        <f>HYPERLINK("#Statut_biogéographique!A"&amp;_xlfn.XMATCH("P",Statut_biogéographique!A:A,2,1),"P")</f>
        <v>P</v>
      </c>
      <c r="AP9310" s="4" t="s">
        <v>376</v>
      </c>
      <c r="AR9310" s="4" t="s">
        <v>377</v>
      </c>
    </row>
    <row r="9311" spans="1:44">
      <c r="A9311" s="4" t="s">
        <v>10753</v>
      </c>
      <c r="B9311" s="4">
        <v>216918</v>
      </c>
      <c r="D9311" s="5" t="s">
        <v>12528</v>
      </c>
      <c r="E9311" s="6" t="str">
        <f>HYPERLINK("https://inpn.mnhn.fr/espece/cd_nom/216918","Sapromyza basalis Zetterstedt, 1847")</f>
        <v>Sapromyza basalis Zetterstedt, 1847</v>
      </c>
      <c r="AH9311" s="4" t="str">
        <f>HYPERLINK("#Statut_biogéographique!A"&amp;_xlfn.XMATCH("P",Statut_biogéographique!A:A,2,1),"P")</f>
        <v>P</v>
      </c>
      <c r="AP9311" s="4" t="s">
        <v>376</v>
      </c>
      <c r="AR9311" s="4" t="s">
        <v>377</v>
      </c>
    </row>
    <row r="9312" spans="1:44">
      <c r="A9312" s="4" t="s">
        <v>10753</v>
      </c>
      <c r="B9312" s="4">
        <v>216926</v>
      </c>
      <c r="D9312" s="5" t="s">
        <v>12529</v>
      </c>
      <c r="E9312" s="6" t="str">
        <f>HYPERLINK("https://inpn.mnhn.fr/espece/cd_nom/216926","Sapromyza sexpunctata Meigen, 1826")</f>
        <v>Sapromyza sexpunctata Meigen, 1826</v>
      </c>
      <c r="AH9312" s="4" t="str">
        <f>HYPERLINK("#Statut_biogéographique!A"&amp;_xlfn.XMATCH("P",Statut_biogéographique!A:A,2,1),"P")</f>
        <v>P</v>
      </c>
      <c r="AP9312" s="4" t="s">
        <v>376</v>
      </c>
      <c r="AR9312" s="4" t="s">
        <v>377</v>
      </c>
    </row>
    <row r="9313" spans="1:44">
      <c r="A9313" s="4" t="s">
        <v>10753</v>
      </c>
      <c r="B9313" s="4">
        <v>216928</v>
      </c>
      <c r="D9313" s="5">
        <v>216928</v>
      </c>
      <c r="E9313" s="6" t="str">
        <f>HYPERLINK("https://inpn.mnhn.fr/espece/cd_nom/216928","Sapromyza viciespunctata Czerny, 1932")</f>
        <v>Sapromyza viciespunctata Czerny, 1932</v>
      </c>
      <c r="AH9313" s="4" t="str">
        <f>HYPERLINK("#Statut_biogéographique!A"&amp;_xlfn.XMATCH("P",Statut_biogéographique!A:A,2,1),"P")</f>
        <v>P</v>
      </c>
      <c r="AP9313" s="4" t="s">
        <v>376</v>
      </c>
      <c r="AR9313" s="4" t="s">
        <v>377</v>
      </c>
    </row>
    <row r="9314" spans="1:44" ht="30">
      <c r="A9314" s="4" t="s">
        <v>10753</v>
      </c>
      <c r="B9314" s="4">
        <v>216929</v>
      </c>
      <c r="D9314" s="5" t="s">
        <v>12530</v>
      </c>
      <c r="E9314" s="6" t="str">
        <f>HYPERLINK("https://inpn.mnhn.fr/espece/cd_nom/216929","Sapromyzosoma laevatrispina (Carles-Tolrá, 1992)")</f>
        <v>Sapromyzosoma laevatrispina (Carles-Tolrá, 1992)</v>
      </c>
      <c r="AH9314" s="4" t="str">
        <f>HYPERLINK("#Statut_biogéographique!A"&amp;_xlfn.XMATCH("P",Statut_biogéographique!A:A,2,1),"P")</f>
        <v>P</v>
      </c>
      <c r="AP9314" s="4" t="s">
        <v>376</v>
      </c>
      <c r="AR9314" s="4" t="s">
        <v>377</v>
      </c>
    </row>
    <row r="9315" spans="1:44">
      <c r="A9315" s="4" t="s">
        <v>10753</v>
      </c>
      <c r="B9315" s="4">
        <v>216931</v>
      </c>
      <c r="D9315" s="5" t="s">
        <v>12531</v>
      </c>
      <c r="E9315" s="6" t="str">
        <f>HYPERLINK("https://inpn.mnhn.fr/espece/cd_nom/216931","Sapromyzosoma quadricincta (Becker, 1895)")</f>
        <v>Sapromyzosoma quadricincta (Becker, 1895)</v>
      </c>
      <c r="AH9315" s="4" t="str">
        <f>HYPERLINK("#Statut_biogéographique!A"&amp;_xlfn.XMATCH("P",Statut_biogéographique!A:A,2,1),"P")</f>
        <v>P</v>
      </c>
      <c r="AP9315" s="4" t="s">
        <v>376</v>
      </c>
      <c r="AR9315" s="4" t="s">
        <v>377</v>
      </c>
    </row>
    <row r="9316" spans="1:44" ht="30">
      <c r="A9316" s="4" t="s">
        <v>10753</v>
      </c>
      <c r="B9316" s="4">
        <v>216932</v>
      </c>
      <c r="D9316" s="5" t="s">
        <v>12532</v>
      </c>
      <c r="E9316" s="6" t="str">
        <f>HYPERLINK("https://inpn.mnhn.fr/espece/cd_nom/216932","Sapromyzosoma quadripunctata (Linnaeus, 1767)")</f>
        <v>Sapromyzosoma quadripunctata (Linnaeus, 1767)</v>
      </c>
      <c r="AH9316" s="4" t="str">
        <f>HYPERLINK("#Statut_biogéographique!A"&amp;_xlfn.XMATCH("P",Statut_biogéographique!A:A,2,1),"P")</f>
        <v>P</v>
      </c>
      <c r="AP9316" s="4" t="s">
        <v>376</v>
      </c>
      <c r="AR9316" s="4" t="s">
        <v>377</v>
      </c>
    </row>
    <row r="9317" spans="1:44">
      <c r="A9317" s="4" t="s">
        <v>10753</v>
      </c>
      <c r="B9317" s="4">
        <v>216933</v>
      </c>
      <c r="D9317" s="5" t="s">
        <v>12533</v>
      </c>
      <c r="E9317" s="6" t="str">
        <f>HYPERLINK("https://inpn.mnhn.fr/espece/cd_nom/216933","Palloptera scutellata (Macquart, 1835)")</f>
        <v>Palloptera scutellata (Macquart, 1835)</v>
      </c>
      <c r="AH9317" s="4" t="str">
        <f>HYPERLINK("#Statut_biogéographique!A"&amp;_xlfn.XMATCH("P",Statut_biogéographique!A:A,2,1),"P")</f>
        <v>P</v>
      </c>
      <c r="AP9317" s="4" t="s">
        <v>376</v>
      </c>
      <c r="AR9317" s="4" t="s">
        <v>377</v>
      </c>
    </row>
    <row r="9318" spans="1:44">
      <c r="A9318" s="4" t="s">
        <v>10753</v>
      </c>
      <c r="B9318" s="4">
        <v>216935</v>
      </c>
      <c r="D9318" s="5" t="s">
        <v>12534</v>
      </c>
      <c r="E9318" s="6" t="str">
        <f>HYPERLINK("https://inpn.mnhn.fr/espece/cd_nom/216935","Temnosira saltuum (Linnaeus, 1758)")</f>
        <v>Temnosira saltuum (Linnaeus, 1758)</v>
      </c>
      <c r="AH9318" s="4" t="str">
        <f>HYPERLINK("#Statut_biogéographique!A"&amp;_xlfn.XMATCH("P",Statut_biogéographique!A:A,2,1),"P")</f>
        <v>P</v>
      </c>
      <c r="AP9318" s="4" t="s">
        <v>376</v>
      </c>
      <c r="AR9318" s="4" t="s">
        <v>377</v>
      </c>
    </row>
    <row r="9319" spans="1:44">
      <c r="A9319" s="4" t="s">
        <v>10753</v>
      </c>
      <c r="B9319" s="4">
        <v>216937</v>
      </c>
      <c r="D9319" s="5" t="s">
        <v>12535</v>
      </c>
      <c r="E9319" s="6" t="str">
        <f>HYPERLINK("https://inpn.mnhn.fr/espece/cd_nom/216937","Toxoneura muliebris (Harris, 1780)")</f>
        <v>Toxoneura muliebris (Harris, 1780)</v>
      </c>
      <c r="AH9319" s="4" t="str">
        <f>HYPERLINK("#Statut_biogéographique!A"&amp;_xlfn.XMATCH("P",Statut_biogéographique!A:A,2,1),"P")</f>
        <v>P</v>
      </c>
      <c r="AP9319" s="4" t="s">
        <v>376</v>
      </c>
      <c r="AR9319" s="4" t="s">
        <v>377</v>
      </c>
    </row>
    <row r="9320" spans="1:44">
      <c r="A9320" s="4" t="s">
        <v>10753</v>
      </c>
      <c r="B9320" s="4">
        <v>216939</v>
      </c>
      <c r="D9320" s="5" t="s">
        <v>12536</v>
      </c>
      <c r="E9320" s="6" t="str">
        <f>HYPERLINK("https://inpn.mnhn.fr/espece/cd_nom/216939","Toxoneura trimacula (Meigen, 1826)")</f>
        <v>Toxoneura trimacula (Meigen, 1826)</v>
      </c>
      <c r="AH9320" s="4" t="str">
        <f>HYPERLINK("#Statut_biogéographique!A"&amp;_xlfn.XMATCH("P",Statut_biogéographique!A:A,2,1),"P")</f>
        <v>P</v>
      </c>
      <c r="AP9320" s="4" t="s">
        <v>376</v>
      </c>
      <c r="AR9320" s="4" t="s">
        <v>377</v>
      </c>
    </row>
    <row r="9321" spans="1:44">
      <c r="A9321" s="4" t="s">
        <v>10753</v>
      </c>
      <c r="B9321" s="4">
        <v>216940</v>
      </c>
      <c r="D9321" s="5" t="s">
        <v>12537</v>
      </c>
      <c r="E9321" s="6" t="str">
        <f>HYPERLINK("https://inpn.mnhn.fr/espece/cd_nom/216940","Toxoneura usta (Meigen, 1826)")</f>
        <v>Toxoneura usta (Meigen, 1826)</v>
      </c>
      <c r="AH9321" s="4" t="str">
        <f>HYPERLINK("#Statut_biogéographique!A"&amp;_xlfn.XMATCH("P",Statut_biogéographique!A:A,2,1),"P")</f>
        <v>P</v>
      </c>
      <c r="AP9321" s="4" t="s">
        <v>376</v>
      </c>
      <c r="AR9321" s="4" t="s">
        <v>377</v>
      </c>
    </row>
    <row r="9322" spans="1:44">
      <c r="A9322" s="4" t="s">
        <v>10753</v>
      </c>
      <c r="B9322" s="4">
        <v>216941</v>
      </c>
      <c r="D9322" s="5" t="s">
        <v>12538</v>
      </c>
      <c r="E9322" s="6" t="str">
        <f>HYPERLINK("https://inpn.mnhn.fr/espece/cd_nom/216941","Toxoneura venusta (Loew, 1858)")</f>
        <v>Toxoneura venusta (Loew, 1858)</v>
      </c>
      <c r="AH9322" s="4" t="str">
        <f>HYPERLINK("#Statut_biogéographique!A"&amp;_xlfn.XMATCH("P",Statut_biogéographique!A:A,2,1),"P")</f>
        <v>P</v>
      </c>
      <c r="AP9322" s="4" t="s">
        <v>376</v>
      </c>
      <c r="AR9322" s="4" t="s">
        <v>377</v>
      </c>
    </row>
    <row r="9323" spans="1:44">
      <c r="A9323" s="4" t="s">
        <v>10753</v>
      </c>
      <c r="B9323" s="4">
        <v>216942</v>
      </c>
      <c r="D9323" s="5" t="s">
        <v>12539</v>
      </c>
      <c r="E9323" s="6" t="str">
        <f>HYPERLINK("https://inpn.mnhn.fr/espece/cd_nom/216942","Acanthiophilus helianthi (Rossi, 1794)")</f>
        <v>Acanthiophilus helianthi (Rossi, 1794)</v>
      </c>
      <c r="AH9323" s="4" t="str">
        <f>HYPERLINK("#Statut_biogéographique!A"&amp;_xlfn.XMATCH("P",Statut_biogéographique!A:A,2,1),"P")</f>
        <v>P</v>
      </c>
      <c r="AP9323" s="4" t="s">
        <v>376</v>
      </c>
      <c r="AR9323" s="4" t="s">
        <v>377</v>
      </c>
    </row>
    <row r="9324" spans="1:44" ht="30">
      <c r="A9324" s="4" t="s">
        <v>10753</v>
      </c>
      <c r="B9324" s="4">
        <v>216948</v>
      </c>
      <c r="D9324" s="5" t="s">
        <v>12540</v>
      </c>
      <c r="E9324" s="6" t="str">
        <f>HYPERLINK("https://inpn.mnhn.fr/espece/cd_nom/216948","Anomoia purmunda (Harris, 1780)")</f>
        <v>Anomoia purmunda (Harris, 1780)</v>
      </c>
      <c r="AH9324" s="4" t="str">
        <f>HYPERLINK("#Statut_biogéographique!A"&amp;_xlfn.XMATCH("P",Statut_biogéographique!A:A,2,1),"P")</f>
        <v>P</v>
      </c>
      <c r="AP9324" s="4" t="s">
        <v>376</v>
      </c>
      <c r="AR9324" s="4" t="s">
        <v>377</v>
      </c>
    </row>
    <row r="9325" spans="1:44">
      <c r="A9325" s="4" t="s">
        <v>10753</v>
      </c>
      <c r="B9325" s="4">
        <v>216962</v>
      </c>
      <c r="D9325" s="5" t="s">
        <v>12541</v>
      </c>
      <c r="E9325" s="6" t="str">
        <f>HYPERLINK("https://inpn.mnhn.fr/espece/cd_nom/216962","Campiglossa producta (Loew, 1844)")</f>
        <v>Campiglossa producta (Loew, 1844)</v>
      </c>
      <c r="AH9325" s="4" t="str">
        <f>HYPERLINK("#Statut_biogéographique!A"&amp;_xlfn.XMATCH("P",Statut_biogéographique!A:A,2,1),"P")</f>
        <v>P</v>
      </c>
      <c r="AP9325" s="4" t="s">
        <v>376</v>
      </c>
      <c r="AR9325" s="4" t="s">
        <v>377</v>
      </c>
    </row>
    <row r="9326" spans="1:44" ht="30">
      <c r="A9326" s="4" t="s">
        <v>10753</v>
      </c>
      <c r="B9326" s="4">
        <v>216971</v>
      </c>
      <c r="D9326" s="5" t="s">
        <v>12542</v>
      </c>
      <c r="E9326" s="6" t="str">
        <f>HYPERLINK("https://inpn.mnhn.fr/espece/cd_nom/216971","Chaetostomella cylindrica (Robineau-Desvoidy, 1830)")</f>
        <v>Chaetostomella cylindrica (Robineau-Desvoidy, 1830)</v>
      </c>
      <c r="AH9326" s="4" t="str">
        <f>HYPERLINK("#Statut_biogéographique!A"&amp;_xlfn.XMATCH("P",Statut_biogéographique!A:A,2,1),"P")</f>
        <v>P</v>
      </c>
      <c r="AP9326" s="4" t="s">
        <v>376</v>
      </c>
      <c r="AR9326" s="4" t="s">
        <v>377</v>
      </c>
    </row>
    <row r="9327" spans="1:44">
      <c r="A9327" s="4" t="s">
        <v>10753</v>
      </c>
      <c r="B9327" s="4">
        <v>216975</v>
      </c>
      <c r="D9327" s="5" t="s">
        <v>12543</v>
      </c>
      <c r="E9327" s="6" t="str">
        <f>HYPERLINK("https://inpn.mnhn.fr/espece/cd_nom/216975","Euleia heraclei (Linnaeus, 1758)")</f>
        <v>Euleia heraclei (Linnaeus, 1758)</v>
      </c>
      <c r="F9327" s="5" t="s">
        <v>12544</v>
      </c>
      <c r="AH9327" s="4" t="str">
        <f>HYPERLINK("#Statut_biogéographique!A"&amp;_xlfn.XMATCH("P",Statut_biogéographique!A:A,2,1),"P")</f>
        <v>P</v>
      </c>
      <c r="AP9327" s="4" t="s">
        <v>376</v>
      </c>
      <c r="AR9327" s="4" t="s">
        <v>377</v>
      </c>
    </row>
    <row r="9328" spans="1:44">
      <c r="A9328" s="4" t="s">
        <v>10753</v>
      </c>
      <c r="B9328" s="4">
        <v>216995</v>
      </c>
      <c r="D9328" s="5" t="s">
        <v>12545</v>
      </c>
      <c r="E9328" s="6" t="str">
        <f>HYPERLINK("https://inpn.mnhn.fr/espece/cd_nom/216995","Philophylla caesio (Harris, 1780)")</f>
        <v>Philophylla caesio (Harris, 1780)</v>
      </c>
      <c r="AH9328" s="4" t="str">
        <f>HYPERLINK("#Statut_biogéographique!A"&amp;_xlfn.XMATCH("P",Statut_biogéographique!A:A,2,1),"P")</f>
        <v>P</v>
      </c>
      <c r="AP9328" s="4" t="s">
        <v>376</v>
      </c>
      <c r="AR9328" s="4" t="s">
        <v>377</v>
      </c>
    </row>
    <row r="9329" spans="1:44">
      <c r="A9329" s="4" t="s">
        <v>10753</v>
      </c>
      <c r="B9329" s="4">
        <v>216997</v>
      </c>
      <c r="D9329" s="5" t="s">
        <v>12546</v>
      </c>
      <c r="E9329" s="6" t="str">
        <f>HYPERLINK("https://inpn.mnhn.fr/espece/cd_nom/216997","Rhagoletis meigenii (Loew, 1844)")</f>
        <v>Rhagoletis meigenii (Loew, 1844)</v>
      </c>
      <c r="AH9329" s="4" t="str">
        <f>HYPERLINK("#Statut_biogéographique!A"&amp;_xlfn.XMATCH("P",Statut_biogéographique!A:A,2,1),"P")</f>
        <v>P</v>
      </c>
      <c r="AP9329" s="4" t="s">
        <v>376</v>
      </c>
      <c r="AR9329" s="4" t="s">
        <v>377</v>
      </c>
    </row>
    <row r="9330" spans="1:44">
      <c r="A9330" s="4" t="s">
        <v>10753</v>
      </c>
      <c r="B9330" s="4">
        <v>217000</v>
      </c>
      <c r="D9330" s="5" t="s">
        <v>12547</v>
      </c>
      <c r="E9330" s="6" t="str">
        <f>HYPERLINK("https://inpn.mnhn.fr/espece/cd_nom/217000","Tephritis cometa (Loew, 1840)")</f>
        <v>Tephritis cometa (Loew, 1840)</v>
      </c>
      <c r="AH9330" s="4" t="str">
        <f>HYPERLINK("#Statut_biogéographique!A"&amp;_xlfn.XMATCH("P",Statut_biogéographique!A:A,2,1),"P")</f>
        <v>P</v>
      </c>
      <c r="AP9330" s="4" t="s">
        <v>376</v>
      </c>
      <c r="AR9330" s="4" t="s">
        <v>377</v>
      </c>
    </row>
    <row r="9331" spans="1:44">
      <c r="A9331" s="4" t="s">
        <v>10753</v>
      </c>
      <c r="B9331" s="4">
        <v>217003</v>
      </c>
      <c r="D9331" s="5" t="s">
        <v>12548</v>
      </c>
      <c r="E9331" s="6" t="str">
        <f>HYPERLINK("https://inpn.mnhn.fr/espece/cd_nom/217003","Tephritis dilacerata (Loew, 1846)")</f>
        <v>Tephritis dilacerata (Loew, 1846)</v>
      </c>
      <c r="AH9331" s="4" t="str">
        <f>HYPERLINK("#Statut_biogéographique!A"&amp;_xlfn.XMATCH("P",Statut_biogéographique!A:A,2,1),"P")</f>
        <v>P</v>
      </c>
      <c r="AP9331" s="4" t="s">
        <v>376</v>
      </c>
      <c r="AR9331" s="4" t="s">
        <v>377</v>
      </c>
    </row>
    <row r="9332" spans="1:44">
      <c r="A9332" s="4" t="s">
        <v>10753</v>
      </c>
      <c r="B9332" s="4">
        <v>217015</v>
      </c>
      <c r="D9332" s="5" t="s">
        <v>12549</v>
      </c>
      <c r="E9332" s="6" t="str">
        <f>HYPERLINK("https://inpn.mnhn.fr/espece/cd_nom/217015","Tephritis pulchra (Loew, 1844)")</f>
        <v>Tephritis pulchra (Loew, 1844)</v>
      </c>
      <c r="AH9332" s="4" t="str">
        <f>HYPERLINK("#Statut_biogéographique!A"&amp;_xlfn.XMATCH("P",Statut_biogéographique!A:A,2,1),"P")</f>
        <v>P</v>
      </c>
      <c r="AP9332" s="4" t="s">
        <v>376</v>
      </c>
      <c r="AR9332" s="4" t="s">
        <v>377</v>
      </c>
    </row>
    <row r="9333" spans="1:44">
      <c r="A9333" s="4" t="s">
        <v>10753</v>
      </c>
      <c r="B9333" s="4">
        <v>217023</v>
      </c>
      <c r="D9333" s="5">
        <v>217023</v>
      </c>
      <c r="E9333" s="6" t="str">
        <f>HYPERLINK("https://inpn.mnhn.fr/espece/cd_nom/217023","Tephritis zernyi Hendel, 1927")</f>
        <v>Tephritis zernyi Hendel, 1927</v>
      </c>
      <c r="AH9333" s="4" t="str">
        <f>HYPERLINK("#Statut_biogéographique!A"&amp;_xlfn.XMATCH("P",Statut_biogéographique!A:A,2,1),"P")</f>
        <v>P</v>
      </c>
      <c r="AP9333" s="4" t="s">
        <v>376</v>
      </c>
      <c r="AR9333" s="4" t="s">
        <v>377</v>
      </c>
    </row>
    <row r="9334" spans="1:44">
      <c r="A9334" s="4" t="s">
        <v>10753</v>
      </c>
      <c r="B9334" s="4">
        <v>217031</v>
      </c>
      <c r="D9334" s="5" t="s">
        <v>12550</v>
      </c>
      <c r="E9334" s="6" t="str">
        <f>HYPERLINK("https://inpn.mnhn.fr/espece/cd_nom/217031","Terellia ruficauda (Fabricius, 1794)")</f>
        <v>Terellia ruficauda (Fabricius, 1794)</v>
      </c>
      <c r="AH9334" s="4" t="str">
        <f>HYPERLINK("#Statut_biogéographique!A"&amp;_xlfn.XMATCH("P",Statut_biogéographique!A:A,2,1),"P")</f>
        <v>P</v>
      </c>
      <c r="AP9334" s="4" t="s">
        <v>376</v>
      </c>
      <c r="AR9334" s="4" t="s">
        <v>377</v>
      </c>
    </row>
    <row r="9335" spans="1:44">
      <c r="A9335" s="4" t="s">
        <v>10753</v>
      </c>
      <c r="B9335" s="4">
        <v>217034</v>
      </c>
      <c r="D9335" s="5" t="s">
        <v>12551</v>
      </c>
      <c r="E9335" s="6" t="str">
        <f>HYPERLINK("https://inpn.mnhn.fr/espece/cd_nom/217034","Terellia winthemi (Meigen, 1826)")</f>
        <v>Terellia winthemi (Meigen, 1826)</v>
      </c>
      <c r="AH9335" s="4" t="str">
        <f>HYPERLINK("#Statut_biogéographique!A"&amp;_xlfn.XMATCH("P",Statut_biogéographique!A:A,2,1),"P")</f>
        <v>P</v>
      </c>
      <c r="AP9335" s="4" t="s">
        <v>376</v>
      </c>
      <c r="AR9335" s="4" t="s">
        <v>377</v>
      </c>
    </row>
    <row r="9336" spans="1:44">
      <c r="A9336" s="4" t="s">
        <v>10753</v>
      </c>
      <c r="B9336" s="4">
        <v>217043</v>
      </c>
      <c r="D9336" s="5" t="s">
        <v>12552</v>
      </c>
      <c r="E9336" s="6" t="str">
        <f>HYPERLINK("https://inpn.mnhn.fr/espece/cd_nom/217043","Xyphosia laticauda (Meigen, 1826)")</f>
        <v>Xyphosia laticauda (Meigen, 1826)</v>
      </c>
      <c r="AH9336" s="4" t="str">
        <f>HYPERLINK("#Statut_biogéographique!A"&amp;_xlfn.XMATCH("P",Statut_biogéographique!A:A,2,1),"P")</f>
        <v>P</v>
      </c>
      <c r="AP9336" s="4" t="s">
        <v>376</v>
      </c>
      <c r="AR9336" s="4" t="s">
        <v>377</v>
      </c>
    </row>
    <row r="9337" spans="1:44">
      <c r="A9337" s="4" t="s">
        <v>10753</v>
      </c>
      <c r="B9337" s="4">
        <v>217048</v>
      </c>
      <c r="D9337" s="5" t="s">
        <v>12553</v>
      </c>
      <c r="E9337" s="6" t="str">
        <f>HYPERLINK("https://inpn.mnhn.fr/espece/cd_nom/217048","Lonchaea nitens (Bigot, 1885)")</f>
        <v>Lonchaea nitens (Bigot, 1885)</v>
      </c>
      <c r="AH9337" s="4" t="str">
        <f>HYPERLINK("#Statut_biogéographique!A"&amp;_xlfn.XMATCH("P",Statut_biogéographique!A:A,2,1),"P")</f>
        <v>P</v>
      </c>
      <c r="AP9337" s="4" t="s">
        <v>376</v>
      </c>
      <c r="AR9337" s="4" t="s">
        <v>377</v>
      </c>
    </row>
    <row r="9338" spans="1:44">
      <c r="A9338" s="4" t="s">
        <v>10753</v>
      </c>
      <c r="B9338" s="4">
        <v>217050</v>
      </c>
      <c r="D9338" s="5" t="s">
        <v>12554</v>
      </c>
      <c r="E9338" s="6" t="str">
        <f>HYPERLINK("https://inpn.mnhn.fr/espece/cd_nom/217050","Earomyia bazini (Séguy, 1932)")</f>
        <v>Earomyia bazini (Séguy, 1932)</v>
      </c>
      <c r="AH9338" s="4" t="str">
        <f>HYPERLINK("#Statut_biogéographique!A"&amp;_xlfn.XMATCH("P",Statut_biogéographique!A:A,2,1),"P")</f>
        <v>P</v>
      </c>
      <c r="AP9338" s="4" t="s">
        <v>376</v>
      </c>
      <c r="AR9338" s="4" t="s">
        <v>377</v>
      </c>
    </row>
    <row r="9339" spans="1:44" ht="30">
      <c r="A9339" s="4" t="s">
        <v>10753</v>
      </c>
      <c r="B9339" s="4">
        <v>217054</v>
      </c>
      <c r="D9339" s="5" t="s">
        <v>12555</v>
      </c>
      <c r="E9339" s="6" t="str">
        <f>HYPERLINK("https://inpn.mnhn.fr/espece/cd_nom/217054","Lonchoptera bifurcata (Fallén, 1810)")</f>
        <v>Lonchoptera bifurcata (Fallén, 1810)</v>
      </c>
      <c r="AH9339" s="4" t="str">
        <f>HYPERLINK("#Statut_biogéographique!A"&amp;_xlfn.XMATCH("P",Statut_biogéographique!A:A,2,1),"P")</f>
        <v>P</v>
      </c>
      <c r="AP9339" s="4" t="s">
        <v>376</v>
      </c>
      <c r="AR9339" s="4" t="s">
        <v>377</v>
      </c>
    </row>
    <row r="9340" spans="1:44">
      <c r="A9340" s="4" t="s">
        <v>10753</v>
      </c>
      <c r="B9340" s="4">
        <v>217057</v>
      </c>
      <c r="D9340" s="5" t="s">
        <v>12556</v>
      </c>
      <c r="E9340" s="6" t="str">
        <f>HYPERLINK("https://inpn.mnhn.fr/espece/cd_nom/217057","Neria cibaria (Linnaeus, 1758)")</f>
        <v>Neria cibaria (Linnaeus, 1758)</v>
      </c>
      <c r="AH9340" s="4" t="str">
        <f>HYPERLINK("#Statut_biogéographique!A"&amp;_xlfn.XMATCH("P",Statut_biogéographique!A:A,2,1),"P")</f>
        <v>P</v>
      </c>
      <c r="AP9340" s="4" t="s">
        <v>376</v>
      </c>
      <c r="AR9340" s="4" t="s">
        <v>377</v>
      </c>
    </row>
    <row r="9341" spans="1:44">
      <c r="A9341" s="4" t="s">
        <v>10753</v>
      </c>
      <c r="B9341" s="4">
        <v>217081</v>
      </c>
      <c r="D9341" s="5" t="s">
        <v>12557</v>
      </c>
      <c r="E9341" s="6" t="str">
        <f>HYPERLINK("https://inpn.mnhn.fr/espece/cd_nom/217081","Odinia boletina (Zetterstedt, 1848)")</f>
        <v>Odinia boletina (Zetterstedt, 1848)</v>
      </c>
      <c r="AH9341" s="4" t="str">
        <f>HYPERLINK("#Statut_biogéographique!A"&amp;_xlfn.XMATCH("P",Statut_biogéographique!A:A,2,1),"P")</f>
        <v>P</v>
      </c>
      <c r="AP9341" s="4" t="s">
        <v>376</v>
      </c>
      <c r="AR9341" s="4" t="s">
        <v>377</v>
      </c>
    </row>
    <row r="9342" spans="1:44">
      <c r="A9342" s="4" t="s">
        <v>10753</v>
      </c>
      <c r="B9342" s="4">
        <v>217084</v>
      </c>
      <c r="D9342" s="5">
        <v>217084</v>
      </c>
      <c r="E9342" s="6" t="str">
        <f>HYPERLINK("https://inpn.mnhn.fr/espece/cd_nom/217084","Geomyza hackmani Nartshuk, 1984")</f>
        <v>Geomyza hackmani Nartshuk, 1984</v>
      </c>
      <c r="AH9342" s="4" t="str">
        <f>HYPERLINK("#Statut_biogéographique!A"&amp;_xlfn.XMATCH("P",Statut_biogéographique!A:A,2,1),"P")</f>
        <v>P</v>
      </c>
      <c r="AP9342" s="4" t="s">
        <v>376</v>
      </c>
      <c r="AR9342" s="4" t="s">
        <v>377</v>
      </c>
    </row>
    <row r="9343" spans="1:44">
      <c r="A9343" s="4" t="s">
        <v>10753</v>
      </c>
      <c r="B9343" s="4">
        <v>217088</v>
      </c>
      <c r="D9343" s="5" t="s">
        <v>12558</v>
      </c>
      <c r="E9343" s="6" t="str">
        <f>HYPERLINK("https://inpn.mnhn.fr/espece/cd_nom/217088","Geomyza venusta (Meigen, 1830)")</f>
        <v>Geomyza venusta (Meigen, 1830)</v>
      </c>
      <c r="AH9343" s="4" t="str">
        <f>HYPERLINK("#Statut_biogéographique!A"&amp;_xlfn.XMATCH("P",Statut_biogéographique!A:A,2,1),"P")</f>
        <v>P</v>
      </c>
      <c r="AP9343" s="4" t="s">
        <v>376</v>
      </c>
      <c r="AR9343" s="4" t="s">
        <v>377</v>
      </c>
    </row>
    <row r="9344" spans="1:44">
      <c r="A9344" s="4" t="s">
        <v>10753</v>
      </c>
      <c r="B9344" s="4">
        <v>217091</v>
      </c>
      <c r="D9344" s="5" t="s">
        <v>12559</v>
      </c>
      <c r="E9344" s="6" t="str">
        <f>HYPERLINK("https://inpn.mnhn.fr/espece/cd_nom/217091","Anticheta analis (Meigen, 1830)")</f>
        <v>Anticheta analis (Meigen, 1830)</v>
      </c>
      <c r="AH9344" s="4" t="str">
        <f>HYPERLINK("#Statut_biogéographique!A"&amp;_xlfn.XMATCH("P",Statut_biogéographique!A:A,2,1),"P")</f>
        <v>P</v>
      </c>
      <c r="AP9344" s="4" t="s">
        <v>376</v>
      </c>
      <c r="AR9344" s="4" t="s">
        <v>377</v>
      </c>
    </row>
    <row r="9345" spans="1:44">
      <c r="A9345" s="4" t="s">
        <v>10753</v>
      </c>
      <c r="B9345" s="4">
        <v>217093</v>
      </c>
      <c r="D9345" s="5" t="s">
        <v>12560</v>
      </c>
      <c r="E9345" s="6" t="str">
        <f>HYPERLINK("https://inpn.mnhn.fr/espece/cd_nom/217093","Anticheta brevipennis (Zetterstedt, 1846)")</f>
        <v>Anticheta brevipennis (Zetterstedt, 1846)</v>
      </c>
      <c r="AH9345" s="4" t="str">
        <f>HYPERLINK("#Statut_biogéographique!A"&amp;_xlfn.XMATCH("P",Statut_biogéographique!A:A,2,1),"P")</f>
        <v>P</v>
      </c>
      <c r="AP9345" s="4" t="s">
        <v>376</v>
      </c>
      <c r="AR9345" s="4" t="s">
        <v>377</v>
      </c>
    </row>
    <row r="9346" spans="1:44">
      <c r="A9346" s="4" t="s">
        <v>10753</v>
      </c>
      <c r="B9346" s="4">
        <v>217095</v>
      </c>
      <c r="D9346" s="5" t="s">
        <v>12561</v>
      </c>
      <c r="E9346" s="6" t="str">
        <f>HYPERLINK("https://inpn.mnhn.fr/espece/cd_nom/217095","Coremacera fabricii Rozkošný, 1981")</f>
        <v>Coremacera fabricii Rozkošný, 1981</v>
      </c>
      <c r="AH9346" s="4" t="str">
        <f>HYPERLINK("#Statut_biogéographique!A"&amp;_xlfn.XMATCH("P",Statut_biogéographique!A:A,2,1),"P")</f>
        <v>P</v>
      </c>
      <c r="AP9346" s="4" t="s">
        <v>376</v>
      </c>
      <c r="AR9346" s="4" t="s">
        <v>377</v>
      </c>
    </row>
    <row r="9347" spans="1:44">
      <c r="A9347" s="4" t="s">
        <v>10753</v>
      </c>
      <c r="B9347" s="4">
        <v>217102</v>
      </c>
      <c r="D9347" s="5" t="s">
        <v>12562</v>
      </c>
      <c r="E9347" s="6" t="str">
        <f>HYPERLINK("https://inpn.mnhn.fr/espece/cd_nom/217102","Ilione lineata (Fallén, 1820)")</f>
        <v>Ilione lineata (Fallén, 1820)</v>
      </c>
      <c r="AH9347" s="4" t="str">
        <f>HYPERLINK("#Statut_biogéographique!A"&amp;_xlfn.XMATCH("P",Statut_biogéographique!A:A,2,1),"P")</f>
        <v>P</v>
      </c>
      <c r="AP9347" s="4" t="s">
        <v>376</v>
      </c>
      <c r="AR9347" s="4" t="s">
        <v>377</v>
      </c>
    </row>
    <row r="9348" spans="1:44" ht="30">
      <c r="A9348" s="4" t="s">
        <v>10753</v>
      </c>
      <c r="B9348" s="4">
        <v>217103</v>
      </c>
      <c r="D9348" s="5" t="s">
        <v>12563</v>
      </c>
      <c r="E9348" s="6" t="str">
        <f>HYPERLINK("https://inpn.mnhn.fr/espece/cd_nom/217103","Ilione albiseta (Scopoli, 1763)")</f>
        <v>Ilione albiseta (Scopoli, 1763)</v>
      </c>
      <c r="AH9348" s="4" t="str">
        <f>HYPERLINK("#Statut_biogéographique!A"&amp;_xlfn.XMATCH("P",Statut_biogéographique!A:A,2,1),"P")</f>
        <v>P</v>
      </c>
      <c r="AP9348" s="4" t="s">
        <v>376</v>
      </c>
      <c r="AR9348" s="4" t="s">
        <v>377</v>
      </c>
    </row>
    <row r="9349" spans="1:44">
      <c r="A9349" s="4" t="s">
        <v>10753</v>
      </c>
      <c r="B9349" s="4">
        <v>217107</v>
      </c>
      <c r="D9349" s="5" t="s">
        <v>12564</v>
      </c>
      <c r="E9349" s="6" t="str">
        <f>HYPERLINK("https://inpn.mnhn.fr/espece/cd_nom/217107","Pherbellia annulipes (Zetterstedt, 1846)")</f>
        <v>Pherbellia annulipes (Zetterstedt, 1846)</v>
      </c>
      <c r="AH9349" s="4" t="str">
        <f>HYPERLINK("#Statut_biogéographique!A"&amp;_xlfn.XMATCH("P",Statut_biogéographique!A:A,2,1),"P")</f>
        <v>P</v>
      </c>
      <c r="AP9349" s="4" t="s">
        <v>376</v>
      </c>
      <c r="AR9349" s="4" t="s">
        <v>377</v>
      </c>
    </row>
    <row r="9350" spans="1:44">
      <c r="A9350" s="4" t="s">
        <v>10753</v>
      </c>
      <c r="B9350" s="4">
        <v>217108</v>
      </c>
      <c r="D9350" s="5" t="s">
        <v>12565</v>
      </c>
      <c r="E9350" s="6" t="str">
        <f>HYPERLINK("https://inpn.mnhn.fr/espece/cd_nom/217108","Pherbellia goberti (Pandellé, 1902)")</f>
        <v>Pherbellia goberti (Pandellé, 1902)</v>
      </c>
      <c r="AH9350" s="4" t="str">
        <f>HYPERLINK("#Statut_biogéographique!A"&amp;_xlfn.XMATCH("E",Statut_biogéographique!A:A,2,1),"E")</f>
        <v>E</v>
      </c>
      <c r="AP9350" s="4" t="s">
        <v>376</v>
      </c>
      <c r="AR9350" s="4" t="s">
        <v>377</v>
      </c>
    </row>
    <row r="9351" spans="1:44">
      <c r="A9351" s="4" t="s">
        <v>10753</v>
      </c>
      <c r="B9351" s="4">
        <v>217111</v>
      </c>
      <c r="D9351" s="5" t="s">
        <v>12566</v>
      </c>
      <c r="E9351" s="6" t="str">
        <f>HYPERLINK("https://inpn.mnhn.fr/espece/cd_nom/217111","Pherbellia pallidicarpa (Rondani, 1868)")</f>
        <v>Pherbellia pallidicarpa (Rondani, 1868)</v>
      </c>
      <c r="AH9351" s="4" t="str">
        <f>HYPERLINK("#Statut_biogéographique!A"&amp;_xlfn.XMATCH("P",Statut_biogéographique!A:A,2,1),"P")</f>
        <v>P</v>
      </c>
      <c r="AP9351" s="4" t="s">
        <v>376</v>
      </c>
      <c r="AR9351" s="4" t="s">
        <v>377</v>
      </c>
    </row>
    <row r="9352" spans="1:44">
      <c r="A9352" s="4" t="s">
        <v>10753</v>
      </c>
      <c r="B9352" s="4">
        <v>217112</v>
      </c>
      <c r="D9352" s="5">
        <v>217112</v>
      </c>
      <c r="E9352" s="6" t="str">
        <f>HYPERLINK("https://inpn.mnhn.fr/espece/cd_nom/217112","Pherbellia rozkosnyi Verbeke, 1967")</f>
        <v>Pherbellia rozkosnyi Verbeke, 1967</v>
      </c>
      <c r="AH9352" s="4" t="str">
        <f>HYPERLINK("#Statut_biogéographique!A"&amp;_xlfn.XMATCH("P",Statut_biogéographique!A:A,2,1),"P")</f>
        <v>P</v>
      </c>
      <c r="AP9352" s="4" t="s">
        <v>376</v>
      </c>
      <c r="AR9352" s="4" t="s">
        <v>377</v>
      </c>
    </row>
    <row r="9353" spans="1:44">
      <c r="A9353" s="4" t="s">
        <v>10753</v>
      </c>
      <c r="B9353" s="4">
        <v>217118</v>
      </c>
      <c r="D9353" s="5">
        <v>217118</v>
      </c>
      <c r="E9353" s="6" t="str">
        <f>HYPERLINK("https://inpn.mnhn.fr/espece/cd_nom/217118","Tetanocera freyi Stackelberg, 1963")</f>
        <v>Tetanocera freyi Stackelberg, 1963</v>
      </c>
      <c r="AH9353" s="4" t="str">
        <f>HYPERLINK("#Statut_biogéographique!A"&amp;_xlfn.XMATCH("P",Statut_biogéographique!A:A,2,1),"P")</f>
        <v>P</v>
      </c>
      <c r="AP9353" s="4" t="s">
        <v>376</v>
      </c>
      <c r="AR9353" s="4" t="s">
        <v>377</v>
      </c>
    </row>
    <row r="9354" spans="1:44">
      <c r="A9354" s="4" t="s">
        <v>10753</v>
      </c>
      <c r="B9354" s="4">
        <v>217119</v>
      </c>
      <c r="D9354" s="5">
        <v>217119</v>
      </c>
      <c r="E9354" s="6" t="str">
        <f>HYPERLINK("https://inpn.mnhn.fr/espece/cd_nom/217119","Tetanura pallidiventris Fallén, 1820")</f>
        <v>Tetanura pallidiventris Fallén, 1820</v>
      </c>
      <c r="AH9354" s="4" t="str">
        <f>HYPERLINK("#Statut_biogéographique!A"&amp;_xlfn.XMATCH("P",Statut_biogéographique!A:A,2,1),"P")</f>
        <v>P</v>
      </c>
      <c r="AP9354" s="4" t="s">
        <v>376</v>
      </c>
      <c r="AR9354" s="4" t="s">
        <v>377</v>
      </c>
    </row>
    <row r="9355" spans="1:44">
      <c r="A9355" s="4" t="s">
        <v>10753</v>
      </c>
      <c r="B9355" s="4">
        <v>21713</v>
      </c>
      <c r="D9355" s="5" t="s">
        <v>12567</v>
      </c>
      <c r="E9355" s="6" t="str">
        <f>HYPERLINK("https://inpn.mnhn.fr/espece/cd_nom/21713","Ditomyia fasciata (Meigen, 1818)")</f>
        <v>Ditomyia fasciata (Meigen, 1818)</v>
      </c>
      <c r="AH9355" s="4" t="str">
        <f>HYPERLINK("#Statut_biogéographique!A"&amp;_xlfn.XMATCH("P",Statut_biogéographique!A:A,2,1),"P")</f>
        <v>P</v>
      </c>
      <c r="AP9355" s="4" t="s">
        <v>376</v>
      </c>
      <c r="AR9355" s="4" t="s">
        <v>377</v>
      </c>
    </row>
    <row r="9356" spans="1:44">
      <c r="A9356" s="4" t="s">
        <v>10753</v>
      </c>
      <c r="B9356" s="4">
        <v>217169</v>
      </c>
      <c r="D9356" s="5" t="s">
        <v>12568</v>
      </c>
      <c r="E9356" s="6" t="str">
        <f>HYPERLINK("https://inpn.mnhn.fr/espece/cd_nom/217169","Megaselia lutea (Meigen, 1830)")</f>
        <v>Megaselia lutea (Meigen, 1830)</v>
      </c>
      <c r="AH9356" s="4" t="str">
        <f>HYPERLINK("#Statut_biogéographique!A"&amp;_xlfn.XMATCH("P",Statut_biogéographique!A:A,2,1),"P")</f>
        <v>P</v>
      </c>
      <c r="AP9356" s="4" t="s">
        <v>376</v>
      </c>
      <c r="AR9356" s="4" t="s">
        <v>377</v>
      </c>
    </row>
    <row r="9357" spans="1:44" ht="30">
      <c r="A9357" s="4" t="s">
        <v>10753</v>
      </c>
      <c r="B9357" s="4">
        <v>21717</v>
      </c>
      <c r="D9357" s="5" t="s">
        <v>12569</v>
      </c>
      <c r="E9357" s="6" t="str">
        <f>HYPERLINK("https://inpn.mnhn.fr/espece/cd_nom/21717","Symmerus annulatus (Meigen, 1830)")</f>
        <v>Symmerus annulatus (Meigen, 1830)</v>
      </c>
      <c r="AH9357" s="4" t="str">
        <f>HYPERLINK("#Statut_biogéographique!A"&amp;_xlfn.XMATCH("P",Statut_biogéographique!A:A,2,1),"P")</f>
        <v>P</v>
      </c>
      <c r="AP9357" s="4" t="s">
        <v>376</v>
      </c>
      <c r="AR9357" s="4" t="s">
        <v>377</v>
      </c>
    </row>
    <row r="9358" spans="1:44">
      <c r="A9358" s="4" t="s">
        <v>10753</v>
      </c>
      <c r="B9358" s="4">
        <v>21723</v>
      </c>
      <c r="D9358" s="5" t="s">
        <v>12570</v>
      </c>
      <c r="E9358" s="6" t="str">
        <f>HYPERLINK("https://inpn.mnhn.fr/espece/cd_nom/21723","Asindulum nigrum Latreille, 1805")</f>
        <v>Asindulum nigrum Latreille, 1805</v>
      </c>
      <c r="AH9358" s="4" t="str">
        <f>HYPERLINK("#Statut_biogéographique!A"&amp;_xlfn.XMATCH("P",Statut_biogéographique!A:A,2,1),"P")</f>
        <v>P</v>
      </c>
      <c r="AP9358" s="4" t="s">
        <v>376</v>
      </c>
      <c r="AR9358" s="4" t="s">
        <v>377</v>
      </c>
    </row>
    <row r="9359" spans="1:44">
      <c r="A9359" s="4" t="s">
        <v>10753</v>
      </c>
      <c r="B9359" s="4">
        <v>217241</v>
      </c>
      <c r="D9359" s="5" t="s">
        <v>12571</v>
      </c>
      <c r="E9359" s="6" t="str">
        <f>HYPERLINK("https://inpn.mnhn.fr/espece/cd_nom/217241","Polyporivora picta (Meigen, 1830)")</f>
        <v>Polyporivora picta (Meigen, 1830)</v>
      </c>
      <c r="AH9359" s="4" t="str">
        <f>HYPERLINK("#Statut_biogéographique!A"&amp;_xlfn.XMATCH("P",Statut_biogéographique!A:A,2,1),"P")</f>
        <v>P</v>
      </c>
      <c r="AP9359" s="4" t="s">
        <v>376</v>
      </c>
      <c r="AR9359" s="4" t="s">
        <v>377</v>
      </c>
    </row>
    <row r="9360" spans="1:44">
      <c r="A9360" s="4" t="s">
        <v>10753</v>
      </c>
      <c r="B9360" s="4">
        <v>217242</v>
      </c>
      <c r="D9360" s="5">
        <v>217242</v>
      </c>
      <c r="E9360" s="6" t="str">
        <f>HYPERLINK("https://inpn.mnhn.fr/espece/cd_nom/217242","Platypeza aterrima Walker, 1836")</f>
        <v>Platypeza aterrima Walker, 1836</v>
      </c>
      <c r="AH9360" s="4" t="str">
        <f>HYPERLINK("#Statut_biogéographique!A"&amp;_xlfn.XMATCH("P",Statut_biogéographique!A:A,2,1),"P")</f>
        <v>P</v>
      </c>
      <c r="AP9360" s="4" t="s">
        <v>376</v>
      </c>
      <c r="AR9360" s="4" t="s">
        <v>377</v>
      </c>
    </row>
    <row r="9361" spans="1:44" ht="30">
      <c r="A9361" s="4" t="s">
        <v>10753</v>
      </c>
      <c r="B9361" s="4">
        <v>217253</v>
      </c>
      <c r="D9361" s="5" t="s">
        <v>12572</v>
      </c>
      <c r="E9361" s="6" t="str">
        <f>HYPERLINK("https://inpn.mnhn.fr/espece/cd_nom/217253","Platystoma lugubre (Robineau-Desvoidy, 1830)")</f>
        <v>Platystoma lugubre (Robineau-Desvoidy, 1830)</v>
      </c>
      <c r="AH9361" s="4" t="str">
        <f>HYPERLINK("#Statut_biogéographique!A"&amp;_xlfn.XMATCH("P",Statut_biogéographique!A:A,2,1),"P")</f>
        <v>P</v>
      </c>
      <c r="AP9361" s="4" t="s">
        <v>376</v>
      </c>
      <c r="AR9361" s="4" t="s">
        <v>377</v>
      </c>
    </row>
    <row r="9362" spans="1:44">
      <c r="A9362" s="4" t="s">
        <v>10753</v>
      </c>
      <c r="B9362" s="4">
        <v>217268</v>
      </c>
      <c r="D9362" s="5">
        <v>217268</v>
      </c>
      <c r="E9362" s="6" t="str">
        <f>HYPERLINK("https://inpn.mnhn.fr/espece/cd_nom/217268","Sepsis neocynipsea Melander &amp; Spuler, 1917")</f>
        <v>Sepsis neocynipsea Melander &amp; Spuler, 1917</v>
      </c>
      <c r="AH9362" s="4" t="str">
        <f>HYPERLINK("#Statut_biogéographique!A"&amp;_xlfn.XMATCH("P",Statut_biogéographique!A:A,2,1),"P")</f>
        <v>P</v>
      </c>
      <c r="AP9362" s="4" t="s">
        <v>376</v>
      </c>
      <c r="AR9362" s="4" t="s">
        <v>377</v>
      </c>
    </row>
    <row r="9363" spans="1:44">
      <c r="A9363" s="4" t="s">
        <v>10753</v>
      </c>
      <c r="B9363" s="4">
        <v>217272</v>
      </c>
      <c r="D9363" s="5" t="s">
        <v>12573</v>
      </c>
      <c r="E9363" s="6" t="str">
        <f>HYPERLINK("https://inpn.mnhn.fr/espece/cd_nom/217272","Trachyopella melania (Haliday, 1836)")</f>
        <v>Trachyopella melania (Haliday, 1836)</v>
      </c>
      <c r="AH9363" s="4" t="str">
        <f>HYPERLINK("#Statut_biogéographique!A"&amp;_xlfn.XMATCH("P",Statut_biogéographique!A:A,2,1),"P")</f>
        <v>P</v>
      </c>
      <c r="AP9363" s="4" t="s">
        <v>376</v>
      </c>
      <c r="AR9363" s="4" t="s">
        <v>377</v>
      </c>
    </row>
    <row r="9364" spans="1:44" ht="30">
      <c r="A9364" s="4" t="s">
        <v>10753</v>
      </c>
      <c r="B9364" s="4">
        <v>217275</v>
      </c>
      <c r="D9364" s="5" t="s">
        <v>12574</v>
      </c>
      <c r="E9364" s="6" t="str">
        <f>HYPERLINK("https://inpn.mnhn.fr/espece/cd_nom/217275","Spelobia clunipes (Meigen, 1830)")</f>
        <v>Spelobia clunipes (Meigen, 1830)</v>
      </c>
      <c r="AH9364" s="4" t="str">
        <f>HYPERLINK("#Statut_biogéographique!A"&amp;_xlfn.XMATCH("P",Statut_biogéographique!A:A,2,1),"P")</f>
        <v>P</v>
      </c>
      <c r="AP9364" s="4" t="s">
        <v>376</v>
      </c>
      <c r="AR9364" s="4" t="s">
        <v>377</v>
      </c>
    </row>
    <row r="9365" spans="1:44">
      <c r="A9365" s="4" t="s">
        <v>10753</v>
      </c>
      <c r="B9365" s="4">
        <v>217289</v>
      </c>
      <c r="D9365" s="5" t="s">
        <v>12575</v>
      </c>
      <c r="E9365" s="6" t="str">
        <f>HYPERLINK("https://inpn.mnhn.fr/espece/cd_nom/217289","Rachispoda lutosa (Stenhammar, 1855)")</f>
        <v>Rachispoda lutosa (Stenhammar, 1855)</v>
      </c>
      <c r="AH9365" s="4" t="str">
        <f>HYPERLINK("#Statut_biogéographique!A"&amp;_xlfn.XMATCH("P",Statut_biogéographique!A:A,2,1),"P")</f>
        <v>P</v>
      </c>
      <c r="AP9365" s="4" t="s">
        <v>376</v>
      </c>
      <c r="AR9365" s="4" t="s">
        <v>377</v>
      </c>
    </row>
    <row r="9366" spans="1:44">
      <c r="A9366" s="4" t="s">
        <v>10753</v>
      </c>
      <c r="B9366" s="4">
        <v>217290</v>
      </c>
      <c r="D9366" s="5" t="s">
        <v>12576</v>
      </c>
      <c r="E9366" s="6" t="str">
        <f>HYPERLINK("https://inpn.mnhn.fr/espece/cd_nom/217290","Rachispoda lutosoidea (Duda, 1938)")</f>
        <v>Rachispoda lutosoidea (Duda, 1938)</v>
      </c>
      <c r="AH9366" s="4" t="str">
        <f>HYPERLINK("#Statut_biogéographique!A"&amp;_xlfn.XMATCH("P",Statut_biogéographique!A:A,2,1),"P")</f>
        <v>P</v>
      </c>
      <c r="AP9366" s="4" t="s">
        <v>376</v>
      </c>
      <c r="AR9366" s="4" t="s">
        <v>377</v>
      </c>
    </row>
    <row r="9367" spans="1:44">
      <c r="A9367" s="4" t="s">
        <v>10753</v>
      </c>
      <c r="B9367" s="4">
        <v>217310</v>
      </c>
      <c r="D9367" s="5" t="s">
        <v>12577</v>
      </c>
      <c r="E9367" s="6" t="str">
        <f>HYPERLINK("https://inpn.mnhn.fr/espece/cd_nom/217310","Minilimosina vitripennis (Zetterstedt, 1847)")</f>
        <v>Minilimosina vitripennis (Zetterstedt, 1847)</v>
      </c>
      <c r="AH9367" s="4" t="str">
        <f>HYPERLINK("#Statut_biogéographique!A"&amp;_xlfn.XMATCH("P",Statut_biogéographique!A:A,2,1),"P")</f>
        <v>P</v>
      </c>
      <c r="AP9367" s="4" t="s">
        <v>376</v>
      </c>
      <c r="AR9367" s="4" t="s">
        <v>377</v>
      </c>
    </row>
    <row r="9368" spans="1:44">
      <c r="A9368" s="4" t="s">
        <v>10753</v>
      </c>
      <c r="B9368" s="4">
        <v>217312</v>
      </c>
      <c r="D9368" s="5" t="s">
        <v>12578</v>
      </c>
      <c r="E9368" s="6" t="str">
        <f>HYPERLINK("https://inpn.mnhn.fr/espece/cd_nom/217312","Leptocera fontinalis (Fallén, 1826)")</f>
        <v>Leptocera fontinalis (Fallén, 1826)</v>
      </c>
      <c r="AH9368" s="4" t="str">
        <f>HYPERLINK("#Statut_biogéographique!A"&amp;_xlfn.XMATCH("P",Statut_biogéographique!A:A,2,1),"P")</f>
        <v>P</v>
      </c>
      <c r="AP9368" s="4" t="s">
        <v>376</v>
      </c>
      <c r="AR9368" s="4" t="s">
        <v>377</v>
      </c>
    </row>
    <row r="9369" spans="1:44">
      <c r="A9369" s="4" t="s">
        <v>10753</v>
      </c>
      <c r="B9369" s="4">
        <v>217318</v>
      </c>
      <c r="D9369" s="5" t="s">
        <v>12579</v>
      </c>
      <c r="E9369" s="6" t="str">
        <f>HYPERLINK("https://inpn.mnhn.fr/espece/cd_nom/217318","Norrbomia costalis (Zetterstedt, 1847)")</f>
        <v>Norrbomia costalis (Zetterstedt, 1847)</v>
      </c>
      <c r="AH9369" s="4" t="str">
        <f>HYPERLINK("#Statut_biogéographique!A"&amp;_xlfn.XMATCH("P",Statut_biogéographique!A:A,2,1),"P")</f>
        <v>P</v>
      </c>
      <c r="AP9369" s="4" t="s">
        <v>376</v>
      </c>
      <c r="AR9369" s="4" t="s">
        <v>377</v>
      </c>
    </row>
    <row r="9370" spans="1:44">
      <c r="A9370" s="4" t="s">
        <v>10753</v>
      </c>
      <c r="B9370" s="4">
        <v>217323</v>
      </c>
      <c r="D9370" s="5" t="s">
        <v>12580</v>
      </c>
      <c r="E9370" s="6" t="str">
        <f>HYPERLINK("https://inpn.mnhn.fr/espece/cd_nom/217323","Crumomyia notabilis (Collin, 1902)")</f>
        <v>Crumomyia notabilis (Collin, 1902)</v>
      </c>
      <c r="AH9370" s="4" t="str">
        <f>HYPERLINK("#Statut_biogéographique!A"&amp;_xlfn.XMATCH("P",Statut_biogéographique!A:A,2,1),"P")</f>
        <v>P</v>
      </c>
      <c r="AP9370" s="4" t="s">
        <v>376</v>
      </c>
      <c r="AR9370" s="4" t="s">
        <v>377</v>
      </c>
    </row>
    <row r="9371" spans="1:44">
      <c r="A9371" s="4" t="s">
        <v>10753</v>
      </c>
      <c r="B9371" s="4">
        <v>21733</v>
      </c>
      <c r="D9371" s="5" t="s">
        <v>12581</v>
      </c>
      <c r="E9371" s="6" t="str">
        <f>HYPERLINK("https://inpn.mnhn.fr/espece/cd_nom/21733","Macrocera angulata Meigen, 1818")</f>
        <v>Macrocera angulata Meigen, 1818</v>
      </c>
      <c r="AH9371" s="4" t="str">
        <f>HYPERLINK("#Statut_biogéographique!A"&amp;_xlfn.XMATCH("P",Statut_biogéographique!A:A,2,1),"P")</f>
        <v>P</v>
      </c>
      <c r="AP9371" s="4" t="s">
        <v>376</v>
      </c>
      <c r="AR9371" s="4" t="s">
        <v>377</v>
      </c>
    </row>
    <row r="9372" spans="1:44">
      <c r="A9372" s="4" t="s">
        <v>10753</v>
      </c>
      <c r="B9372" s="4">
        <v>217334</v>
      </c>
      <c r="D9372" s="5">
        <v>217334</v>
      </c>
      <c r="E9372" s="6" t="str">
        <f>HYPERLINK("https://inpn.mnhn.fr/espece/cd_nom/217334","Actina chalybea Meigen, 1804")</f>
        <v>Actina chalybea Meigen, 1804</v>
      </c>
      <c r="AH9372" s="4" t="str">
        <f>HYPERLINK("#Statut_biogéographique!A"&amp;_xlfn.XMATCH("P",Statut_biogéographique!A:A,2,1),"P")</f>
        <v>P</v>
      </c>
      <c r="AP9372" s="4" t="s">
        <v>376</v>
      </c>
      <c r="AR9372" s="4" t="s">
        <v>377</v>
      </c>
    </row>
    <row r="9373" spans="1:44" ht="30">
      <c r="A9373" s="4" t="s">
        <v>10753</v>
      </c>
      <c r="B9373" s="4">
        <v>217336</v>
      </c>
      <c r="D9373" s="5" t="s">
        <v>12582</v>
      </c>
      <c r="E9373" s="6" t="str">
        <f>HYPERLINK("https://inpn.mnhn.fr/espece/cd_nom/217336","Beris fuscipes Meigen, 1820")</f>
        <v>Beris fuscipes Meigen, 1820</v>
      </c>
      <c r="AH9373" s="4" t="str">
        <f>HYPERLINK("#Statut_biogéographique!A"&amp;_xlfn.XMATCH("P",Statut_biogéographique!A:A,2,1),"P")</f>
        <v>P</v>
      </c>
      <c r="AP9373" s="4" t="s">
        <v>376</v>
      </c>
      <c r="AR9373" s="4" t="s">
        <v>377</v>
      </c>
    </row>
    <row r="9374" spans="1:44">
      <c r="A9374" s="4" t="s">
        <v>10753</v>
      </c>
      <c r="B9374" s="4">
        <v>217337</v>
      </c>
      <c r="D9374" s="5">
        <v>217337</v>
      </c>
      <c r="E9374" s="6" t="str">
        <f>HYPERLINK("https://inpn.mnhn.fr/espece/cd_nom/217337","Beris geniculata Haliday in Curtis, 1830")</f>
        <v>Beris geniculata Haliday in Curtis, 1830</v>
      </c>
      <c r="AH9374" s="4" t="str">
        <f>HYPERLINK("#Statut_biogéographique!A"&amp;_xlfn.XMATCH("P",Statut_biogéographique!A:A,2,1),"P")</f>
        <v>P</v>
      </c>
      <c r="AP9374" s="4" t="s">
        <v>376</v>
      </c>
      <c r="AR9374" s="4" t="s">
        <v>377</v>
      </c>
    </row>
    <row r="9375" spans="1:44">
      <c r="A9375" s="4" t="s">
        <v>10753</v>
      </c>
      <c r="B9375" s="4">
        <v>217340</v>
      </c>
      <c r="D9375" s="5" t="s">
        <v>12583</v>
      </c>
      <c r="E9375" s="6" t="str">
        <f>HYPERLINK("https://inpn.mnhn.fr/espece/cd_nom/217340","Exodontha dubia (Zetterstedt, 1838)")</f>
        <v>Exodontha dubia (Zetterstedt, 1838)</v>
      </c>
      <c r="AH9375" s="4" t="str">
        <f>HYPERLINK("#Statut_biogéographique!A"&amp;_xlfn.XMATCH("P",Statut_biogéographique!A:A,2,1),"P")</f>
        <v>P</v>
      </c>
      <c r="AP9375" s="4" t="s">
        <v>376</v>
      </c>
      <c r="AR9375" s="4" t="s">
        <v>377</v>
      </c>
    </row>
    <row r="9376" spans="1:44">
      <c r="A9376" s="4" t="s">
        <v>10753</v>
      </c>
      <c r="B9376" s="4">
        <v>217341</v>
      </c>
      <c r="D9376" s="5" t="s">
        <v>12584</v>
      </c>
      <c r="E9376" s="6" t="str">
        <f>HYPERLINK("https://inpn.mnhn.fr/espece/cd_nom/217341","Hermetia illucens (Linnaeus, 1758)")</f>
        <v>Hermetia illucens (Linnaeus, 1758)</v>
      </c>
      <c r="AH9376" s="4" t="str">
        <f>HYPERLINK("#Statut_biogéographique!A"&amp;_xlfn.XMATCH("I",Statut_biogéographique!A:A,2,1),"I")</f>
        <v>I</v>
      </c>
      <c r="AP9376" s="4" t="s">
        <v>376</v>
      </c>
      <c r="AR9376" s="4" t="s">
        <v>377</v>
      </c>
    </row>
    <row r="9377" spans="1:44" ht="30">
      <c r="A9377" s="4" t="s">
        <v>10753</v>
      </c>
      <c r="B9377" s="4">
        <v>217359</v>
      </c>
      <c r="D9377" s="5">
        <v>217359</v>
      </c>
      <c r="E9377" s="6" t="str">
        <f>HYPERLINK("https://inpn.mnhn.fr/espece/cd_nom/217359","Oxycera terminata Wiedemann in Meigen, 1822")</f>
        <v>Oxycera terminata Wiedemann in Meigen, 1822</v>
      </c>
      <c r="AH9377" s="4" t="str">
        <f>HYPERLINK("#Statut_biogéographique!A"&amp;_xlfn.XMATCH("P",Statut_biogéographique!A:A,2,1),"P")</f>
        <v>P</v>
      </c>
      <c r="AP9377" s="4" t="s">
        <v>376</v>
      </c>
      <c r="AR9377" s="4" t="s">
        <v>377</v>
      </c>
    </row>
    <row r="9378" spans="1:44">
      <c r="A9378" s="4" t="s">
        <v>10753</v>
      </c>
      <c r="B9378" s="4">
        <v>217362</v>
      </c>
      <c r="D9378" s="5">
        <v>217362</v>
      </c>
      <c r="E9378" s="6" t="str">
        <f>HYPERLINK("https://inpn.mnhn.fr/espece/cd_nom/217362","Sargus rufipes Wahlberg, 1854")</f>
        <v>Sargus rufipes Wahlberg, 1854</v>
      </c>
      <c r="AH9378" s="4" t="str">
        <f>HYPERLINK("#Statut_biogéographique!A"&amp;_xlfn.XMATCH("P",Statut_biogéographique!A:A,2,1),"P")</f>
        <v>P</v>
      </c>
      <c r="AP9378" s="4" t="s">
        <v>376</v>
      </c>
      <c r="AR9378" s="4" t="s">
        <v>377</v>
      </c>
    </row>
    <row r="9379" spans="1:44">
      <c r="A9379" s="4" t="s">
        <v>10753</v>
      </c>
      <c r="B9379" s="4">
        <v>217364</v>
      </c>
      <c r="D9379" s="5" t="s">
        <v>12585</v>
      </c>
      <c r="E9379" s="6" t="str">
        <f>HYPERLINK("https://inpn.mnhn.fr/espece/cd_nom/217364","Stratiomys concinna Meigen, 1822")</f>
        <v>Stratiomys concinna Meigen, 1822</v>
      </c>
      <c r="AH9379" s="4" t="str">
        <f>HYPERLINK("#Statut_biogéographique!A"&amp;_xlfn.XMATCH("P",Statut_biogéographique!A:A,2,1),"P")</f>
        <v>P</v>
      </c>
      <c r="AP9379" s="4" t="s">
        <v>376</v>
      </c>
      <c r="AR9379" s="4" t="s">
        <v>377</v>
      </c>
    </row>
    <row r="9380" spans="1:44">
      <c r="A9380" s="4" t="s">
        <v>10753</v>
      </c>
      <c r="B9380" s="4">
        <v>217371</v>
      </c>
      <c r="D9380" s="5">
        <v>217371</v>
      </c>
      <c r="E9380" s="6" t="str">
        <f>HYPERLINK("https://inpn.mnhn.fr/espece/cd_nom/217371","Brachyopa dorsata Zetterstedt, 1837")</f>
        <v>Brachyopa dorsata Zetterstedt, 1837</v>
      </c>
      <c r="P9380" s="7" t="str">
        <f>HYPERLINK("#Liste_rouge!A"&amp;_xlfn.XMATCH("LC",Liste_rouge!A:A,2,1),"LC")</f>
        <v>LC</v>
      </c>
      <c r="AH9380" s="4" t="str">
        <f>HYPERLINK("#Statut_biogéographique!A"&amp;_xlfn.XMATCH("P",Statut_biogéographique!A:A,2,1),"P")</f>
        <v>P</v>
      </c>
      <c r="AP9380" s="4" t="s">
        <v>376</v>
      </c>
      <c r="AR9380" s="4" t="s">
        <v>377</v>
      </c>
    </row>
    <row r="9381" spans="1:44">
      <c r="A9381" s="4" t="s">
        <v>10753</v>
      </c>
      <c r="B9381" s="4">
        <v>217372</v>
      </c>
      <c r="D9381" s="5" t="s">
        <v>12586</v>
      </c>
      <c r="E9381" s="6" t="str">
        <f>HYPERLINK("https://inpn.mnhn.fr/espece/cd_nom/217372","Brachypalpoides lentus (Meigen, 1822)")</f>
        <v>Brachypalpoides lentus (Meigen, 1822)</v>
      </c>
      <c r="P9381" s="7" t="str">
        <f>HYPERLINK("#Liste_rouge!A"&amp;_xlfn.XMATCH("LC",Liste_rouge!A:A,2,1),"LC")</f>
        <v>LC</v>
      </c>
      <c r="AH9381" s="4" t="str">
        <f>HYPERLINK("#Statut_biogéographique!A"&amp;_xlfn.XMATCH("P",Statut_biogéographique!A:A,2,1),"P")</f>
        <v>P</v>
      </c>
      <c r="AP9381" s="4" t="s">
        <v>376</v>
      </c>
      <c r="AR9381" s="4" t="s">
        <v>377</v>
      </c>
    </row>
    <row r="9382" spans="1:44">
      <c r="A9382" s="4" t="s">
        <v>10753</v>
      </c>
      <c r="B9382" s="4">
        <v>217373</v>
      </c>
      <c r="D9382" s="5">
        <v>217373</v>
      </c>
      <c r="E9382" s="6" t="str">
        <f>HYPERLINK("https://inpn.mnhn.fr/espece/cd_nom/217373","Brachypalpus chrysites Egger, 1859")</f>
        <v>Brachypalpus chrysites Egger, 1859</v>
      </c>
      <c r="P9382" s="7" t="str">
        <f>HYPERLINK("#Liste_rouge!A"&amp;_xlfn.XMATCH("VU",Liste_rouge!A:A,2,1),"VU")</f>
        <v>VU</v>
      </c>
      <c r="AH9382" s="4" t="str">
        <f>HYPERLINK("#Statut_biogéographique!A"&amp;_xlfn.XMATCH("P",Statut_biogéographique!A:A,2,1),"P")</f>
        <v>P</v>
      </c>
      <c r="AP9382" s="4" t="s">
        <v>376</v>
      </c>
      <c r="AR9382" s="4" t="s">
        <v>377</v>
      </c>
    </row>
    <row r="9383" spans="1:44">
      <c r="A9383" s="4" t="s">
        <v>10753</v>
      </c>
      <c r="B9383" s="4">
        <v>217377</v>
      </c>
      <c r="D9383" s="5" t="s">
        <v>12587</v>
      </c>
      <c r="E9383" s="6" t="str">
        <f>HYPERLINK("https://inpn.mnhn.fr/espece/cd_nom/217377","Chalcosyrphus eunotus (Loew, 1873)")</f>
        <v>Chalcosyrphus eunotus (Loew, 1873)</v>
      </c>
      <c r="P9383" s="7" t="str">
        <f>HYPERLINK("#Liste_rouge!A"&amp;_xlfn.XMATCH("VU",Liste_rouge!A:A,2,1),"VU")</f>
        <v>VU</v>
      </c>
      <c r="AH9383" s="4" t="str">
        <f>HYPERLINK("#Statut_biogéographique!A"&amp;_xlfn.XMATCH("P",Statut_biogéographique!A:A,2,1),"P")</f>
        <v>P</v>
      </c>
      <c r="AP9383" s="4" t="s">
        <v>376</v>
      </c>
      <c r="AR9383" s="4" t="s">
        <v>377</v>
      </c>
    </row>
    <row r="9384" spans="1:44">
      <c r="A9384" s="4" t="s">
        <v>10753</v>
      </c>
      <c r="B9384" s="4">
        <v>217379</v>
      </c>
      <c r="D9384" s="5" t="s">
        <v>12588</v>
      </c>
      <c r="E9384" s="6" t="str">
        <f>HYPERLINK("https://inpn.mnhn.fr/espece/cd_nom/217379","Chalcosyrphus piger (Fabricius, 1794)")</f>
        <v>Chalcosyrphus piger (Fabricius, 1794)</v>
      </c>
      <c r="P9384" s="7" t="str">
        <f>HYPERLINK("#Liste_rouge!A"&amp;_xlfn.XMATCH("LC",Liste_rouge!A:A,2,1),"LC")</f>
        <v>LC</v>
      </c>
      <c r="AH9384" s="4" t="str">
        <f>HYPERLINK("#Statut_biogéographique!A"&amp;_xlfn.XMATCH("P",Statut_biogéographique!A:A,2,1),"P")</f>
        <v>P</v>
      </c>
      <c r="AP9384" s="4" t="s">
        <v>376</v>
      </c>
      <c r="AR9384" s="4" t="s">
        <v>377</v>
      </c>
    </row>
    <row r="9385" spans="1:44">
      <c r="A9385" s="4" t="s">
        <v>10753</v>
      </c>
      <c r="B9385" s="4">
        <v>217380</v>
      </c>
      <c r="D9385" s="5" t="s">
        <v>12589</v>
      </c>
      <c r="E9385" s="6" t="str">
        <f>HYPERLINK("https://inpn.mnhn.fr/espece/cd_nom/217380","Chalcosyrphus valgus (Gmelin, 1790)")</f>
        <v>Chalcosyrphus valgus (Gmelin, 1790)</v>
      </c>
      <c r="P9385" s="7" t="str">
        <f>HYPERLINK("#Liste_rouge!A"&amp;_xlfn.XMATCH("LC",Liste_rouge!A:A,2,1),"LC")</f>
        <v>LC</v>
      </c>
      <c r="AH9385" s="4" t="str">
        <f>HYPERLINK("#Statut_biogéographique!A"&amp;_xlfn.XMATCH("P",Statut_biogéographique!A:A,2,1),"P")</f>
        <v>P</v>
      </c>
      <c r="AP9385" s="4" t="s">
        <v>376</v>
      </c>
      <c r="AR9385" s="4" t="s">
        <v>377</v>
      </c>
    </row>
    <row r="9386" spans="1:44">
      <c r="A9386" s="4" t="s">
        <v>10753</v>
      </c>
      <c r="B9386" s="4">
        <v>217382</v>
      </c>
      <c r="D9386" s="5" t="s">
        <v>12590</v>
      </c>
      <c r="E9386" s="6" t="str">
        <f>HYPERLINK("https://inpn.mnhn.fr/espece/cd_nom/217382","Cheilosia ahenea (von Roser, 1840)")</f>
        <v>Cheilosia ahenea (von Roser, 1840)</v>
      </c>
      <c r="O9386" s="7" t="str">
        <f>HYPERLINK("#Liste_rouge!A"&amp;_xlfn.XMATCH("DD",Liste_rouge!A:A,2,1),"DD")</f>
        <v>DD</v>
      </c>
      <c r="P9386" s="7" t="str">
        <f>HYPERLINK("#Liste_rouge!A"&amp;_xlfn.XMATCH("DD",Liste_rouge!A:A,2,1),"DD")</f>
        <v>DD</v>
      </c>
      <c r="AH9386" s="4" t="str">
        <f>HYPERLINK("#Statut_biogéographique!A"&amp;_xlfn.XMATCH("P",Statut_biogéographique!A:A,2,1),"P")</f>
        <v>P</v>
      </c>
      <c r="AP9386" s="4" t="s">
        <v>376</v>
      </c>
      <c r="AR9386" s="4" t="s">
        <v>377</v>
      </c>
    </row>
    <row r="9387" spans="1:44">
      <c r="A9387" s="4" t="s">
        <v>10753</v>
      </c>
      <c r="B9387" s="4">
        <v>217384</v>
      </c>
      <c r="D9387" s="5">
        <v>217384</v>
      </c>
      <c r="E9387" s="6" t="str">
        <f>HYPERLINK("https://inpn.mnhn.fr/espece/cd_nom/217384","Cheilosia bracusi Vujic &amp; Claussen, 1994")</f>
        <v>Cheilosia bracusi Vujic &amp; Claussen, 1994</v>
      </c>
      <c r="P9387" s="7" t="str">
        <f>HYPERLINK("#Liste_rouge!A"&amp;_xlfn.XMATCH("LC",Liste_rouge!A:A,2,1),"LC")</f>
        <v>LC</v>
      </c>
      <c r="AH9387" s="4" t="str">
        <f>HYPERLINK("#Statut_biogéographique!A"&amp;_xlfn.XMATCH("P",Statut_biogéographique!A:A,2,1),"P")</f>
        <v>P</v>
      </c>
      <c r="AP9387" s="4" t="s">
        <v>376</v>
      </c>
      <c r="AR9387" s="4" t="s">
        <v>377</v>
      </c>
    </row>
    <row r="9388" spans="1:44">
      <c r="A9388" s="4" t="s">
        <v>10753</v>
      </c>
      <c r="B9388" s="4">
        <v>217387</v>
      </c>
      <c r="D9388" s="5">
        <v>217387</v>
      </c>
      <c r="E9388" s="6" t="str">
        <f>HYPERLINK("https://inpn.mnhn.fr/espece/cd_nom/217387","Cheilosia clama Claussen &amp; Vujic, 1995")</f>
        <v>Cheilosia clama Claussen &amp; Vujic, 1995</v>
      </c>
      <c r="O9388" s="7" t="str">
        <f>HYPERLINK("#Liste_rouge!A"&amp;_xlfn.XMATCH("EN",Liste_rouge!A:A,2,1),"EN")</f>
        <v>EN</v>
      </c>
      <c r="P9388" s="7" t="str">
        <f>HYPERLINK("#Liste_rouge!A"&amp;_xlfn.XMATCH("EN",Liste_rouge!A:A,2,1),"EN")</f>
        <v>EN</v>
      </c>
      <c r="AH9388" s="4" t="str">
        <f>HYPERLINK("#Statut_biogéographique!A"&amp;_xlfn.XMATCH("P",Statut_biogéographique!A:A,2,1),"P")</f>
        <v>P</v>
      </c>
      <c r="AP9388" s="4" t="s">
        <v>376</v>
      </c>
      <c r="AR9388" s="4" t="s">
        <v>377</v>
      </c>
    </row>
    <row r="9389" spans="1:44">
      <c r="A9389" s="4" t="s">
        <v>10753</v>
      </c>
      <c r="B9389" s="4">
        <v>217388</v>
      </c>
      <c r="D9389" s="5">
        <v>217388</v>
      </c>
      <c r="E9389" s="6" t="str">
        <f>HYPERLINK("https://inpn.mnhn.fr/espece/cd_nom/217388","Cheilosia derasa Loew, 1857")</f>
        <v>Cheilosia derasa Loew, 1857</v>
      </c>
      <c r="O9389" s="7" t="str">
        <f>HYPERLINK("#Liste_rouge!A"&amp;_xlfn.XMATCH("LC",Liste_rouge!A:A,2,1),"LC")</f>
        <v>LC</v>
      </c>
      <c r="P9389" s="7" t="str">
        <f>HYPERLINK("#Liste_rouge!A"&amp;_xlfn.XMATCH("LC",Liste_rouge!A:A,2,1),"LC")</f>
        <v>LC</v>
      </c>
      <c r="AH9389" s="4" t="str">
        <f>HYPERLINK("#Statut_biogéographique!A"&amp;_xlfn.XMATCH("P",Statut_biogéographique!A:A,2,1),"P")</f>
        <v>P</v>
      </c>
      <c r="AP9389" s="4" t="s">
        <v>376</v>
      </c>
      <c r="AR9389" s="4" t="s">
        <v>377</v>
      </c>
    </row>
    <row r="9390" spans="1:44">
      <c r="A9390" s="4" t="s">
        <v>10753</v>
      </c>
      <c r="B9390" s="4">
        <v>217389</v>
      </c>
      <c r="D9390" s="5" t="s">
        <v>12591</v>
      </c>
      <c r="E9390" s="6" t="str">
        <f>HYPERLINK("https://inpn.mnhn.fr/espece/cd_nom/217389","Cheilosia faucis Becker, 1894")</f>
        <v>Cheilosia faucis Becker, 1894</v>
      </c>
      <c r="O9390" s="7" t="str">
        <f>HYPERLINK("#Liste_rouge!A"&amp;_xlfn.XMATCH("EN",Liste_rouge!A:A,2,1),"EN")</f>
        <v>EN</v>
      </c>
      <c r="P9390" s="7" t="str">
        <f>HYPERLINK("#Liste_rouge!A"&amp;_xlfn.XMATCH("EN",Liste_rouge!A:A,2,1),"EN")</f>
        <v>EN</v>
      </c>
      <c r="AH9390" s="4" t="str">
        <f>HYPERLINK("#Statut_biogéographique!A"&amp;_xlfn.XMATCH("P",Statut_biogéographique!A:A,2,1),"P")</f>
        <v>P</v>
      </c>
      <c r="AP9390" s="4" t="s">
        <v>376</v>
      </c>
      <c r="AR9390" s="4" t="s">
        <v>377</v>
      </c>
    </row>
    <row r="9391" spans="1:44">
      <c r="A9391" s="4" t="s">
        <v>10753</v>
      </c>
      <c r="B9391" s="4">
        <v>217391</v>
      </c>
      <c r="D9391" s="5" t="s">
        <v>12592</v>
      </c>
      <c r="E9391" s="6" t="str">
        <f>HYPERLINK("https://inpn.mnhn.fr/espece/cd_nom/217391","Cheilosia gigantea (Zetterstedt, 1838)")</f>
        <v>Cheilosia gigantea (Zetterstedt, 1838)</v>
      </c>
      <c r="P9391" s="7" t="str">
        <f>HYPERLINK("#Liste_rouge!A"&amp;_xlfn.XMATCH("LC",Liste_rouge!A:A,2,1),"LC")</f>
        <v>LC</v>
      </c>
      <c r="AH9391" s="4" t="str">
        <f>HYPERLINK("#Statut_biogéographique!A"&amp;_xlfn.XMATCH("P",Statut_biogéographique!A:A,2,1),"P")</f>
        <v>P</v>
      </c>
      <c r="AP9391" s="4" t="s">
        <v>376</v>
      </c>
      <c r="AR9391" s="4" t="s">
        <v>377</v>
      </c>
    </row>
    <row r="9392" spans="1:44">
      <c r="A9392" s="4" t="s">
        <v>10753</v>
      </c>
      <c r="B9392" s="4">
        <v>217392</v>
      </c>
      <c r="D9392" s="5" t="s">
        <v>12593</v>
      </c>
      <c r="E9392" s="6" t="str">
        <f>HYPERLINK("https://inpn.mnhn.fr/espece/cd_nom/217392","Cheilosia grisella Becker, 1894")</f>
        <v>Cheilosia grisella Becker, 1894</v>
      </c>
      <c r="O9392" s="7" t="str">
        <f>HYPERLINK("#Liste_rouge!A"&amp;_xlfn.XMATCH("LC",Liste_rouge!A:A,2,1),"LC")</f>
        <v>LC</v>
      </c>
      <c r="P9392" s="7" t="str">
        <f>HYPERLINK("#Liste_rouge!A"&amp;_xlfn.XMATCH("LC",Liste_rouge!A:A,2,1),"LC")</f>
        <v>LC</v>
      </c>
      <c r="AH9392" s="4" t="str">
        <f>HYPERLINK("#Statut_biogéographique!A"&amp;_xlfn.XMATCH("P",Statut_biogéographique!A:A,2,1),"P")</f>
        <v>P</v>
      </c>
      <c r="AP9392" s="4" t="s">
        <v>376</v>
      </c>
      <c r="AR9392" s="4" t="s">
        <v>377</v>
      </c>
    </row>
    <row r="9393" spans="1:44">
      <c r="A9393" s="4" t="s">
        <v>10753</v>
      </c>
      <c r="B9393" s="4">
        <v>217394</v>
      </c>
      <c r="D9393" s="5" t="s">
        <v>12594</v>
      </c>
      <c r="E9393" s="6" t="str">
        <f>HYPERLINK("https://inpn.mnhn.fr/espece/cd_nom/217394","Cheilosia himantopa (Panzer, 1798)")</f>
        <v>Cheilosia himantopa (Panzer, 1798)</v>
      </c>
      <c r="O9393" s="7" t="str">
        <f>HYPERLINK("#Liste_rouge!A"&amp;_xlfn.XMATCH("LC",Liste_rouge!A:A,2,1),"LC")</f>
        <v>LC</v>
      </c>
      <c r="P9393" s="7" t="str">
        <f>HYPERLINK("#Liste_rouge!A"&amp;_xlfn.XMATCH("LC",Liste_rouge!A:A,2,1),"LC")</f>
        <v>LC</v>
      </c>
      <c r="AH9393" s="4" t="str">
        <f>HYPERLINK("#Statut_biogéographique!A"&amp;_xlfn.XMATCH("P",Statut_biogéographique!A:A,2,1),"P")</f>
        <v>P</v>
      </c>
      <c r="AP9393" s="4" t="s">
        <v>376</v>
      </c>
      <c r="AR9393" s="4" t="s">
        <v>377</v>
      </c>
    </row>
    <row r="9394" spans="1:44">
      <c r="A9394" s="4" t="s">
        <v>10753</v>
      </c>
      <c r="B9394" s="4">
        <v>217396</v>
      </c>
      <c r="D9394" s="5" t="s">
        <v>12595</v>
      </c>
      <c r="E9394" s="6" t="str">
        <f>HYPERLINK("https://inpn.mnhn.fr/espece/cd_nom/217396","Cheilosia impudens Becker, 1894")</f>
        <v>Cheilosia impudens Becker, 1894</v>
      </c>
      <c r="O9394" s="7" t="str">
        <f>HYPERLINK("#Liste_rouge!A"&amp;_xlfn.XMATCH("EN",Liste_rouge!A:A,2,1),"EN")</f>
        <v>EN</v>
      </c>
      <c r="P9394" s="7" t="str">
        <f>HYPERLINK("#Liste_rouge!A"&amp;_xlfn.XMATCH("EN",Liste_rouge!A:A,2,1),"EN")</f>
        <v>EN</v>
      </c>
      <c r="AH9394" s="4" t="str">
        <f>HYPERLINK("#Statut_biogéographique!A"&amp;_xlfn.XMATCH("P",Statut_biogéographique!A:A,2,1),"P")</f>
        <v>P</v>
      </c>
      <c r="AP9394" s="4" t="s">
        <v>376</v>
      </c>
      <c r="AR9394" s="4" t="s">
        <v>377</v>
      </c>
    </row>
    <row r="9395" spans="1:44">
      <c r="A9395" s="4" t="s">
        <v>10753</v>
      </c>
      <c r="B9395" s="4">
        <v>217397</v>
      </c>
      <c r="D9395" s="5">
        <v>217397</v>
      </c>
      <c r="E9395" s="6" t="str">
        <f>HYPERLINK("https://inpn.mnhn.fr/espece/cd_nom/217397","Cheilosia insignis Loew, 1857")</f>
        <v>Cheilosia insignis Loew, 1857</v>
      </c>
      <c r="O9395" s="7" t="str">
        <f>HYPERLINK("#Liste_rouge!A"&amp;_xlfn.XMATCH("EN",Liste_rouge!A:A,2,1),"EN")</f>
        <v>EN</v>
      </c>
      <c r="P9395" s="7" t="str">
        <f>HYPERLINK("#Liste_rouge!A"&amp;_xlfn.XMATCH("EN",Liste_rouge!A:A,2,1),"EN")</f>
        <v>EN</v>
      </c>
      <c r="AH9395" s="4" t="str">
        <f>HYPERLINK("#Statut_biogéographique!A"&amp;_xlfn.XMATCH("P",Statut_biogéographique!A:A,2,1),"P")</f>
        <v>P</v>
      </c>
      <c r="AP9395" s="4" t="s">
        <v>376</v>
      </c>
      <c r="AR9395" s="4" t="s">
        <v>377</v>
      </c>
    </row>
    <row r="9396" spans="1:44">
      <c r="A9396" s="4" t="s">
        <v>10753</v>
      </c>
      <c r="B9396" s="4">
        <v>21740</v>
      </c>
      <c r="D9396" s="5">
        <v>21740</v>
      </c>
      <c r="E9396" s="6" t="str">
        <f>HYPERLINK("https://inpn.mnhn.fr/espece/cd_nom/21740","Macrocera lutea Meigen, 1804")</f>
        <v>Macrocera lutea Meigen, 1804</v>
      </c>
      <c r="AH9396" s="4" t="str">
        <f>HYPERLINK("#Statut_biogéographique!A"&amp;_xlfn.XMATCH("P",Statut_biogéographique!A:A,2,1),"P")</f>
        <v>P</v>
      </c>
      <c r="AP9396" s="4" t="s">
        <v>376</v>
      </c>
      <c r="AR9396" s="4" t="s">
        <v>377</v>
      </c>
    </row>
    <row r="9397" spans="1:44">
      <c r="A9397" s="4" t="s">
        <v>10753</v>
      </c>
      <c r="B9397" s="4">
        <v>217400</v>
      </c>
      <c r="D9397" s="5" t="s">
        <v>12596</v>
      </c>
      <c r="E9397" s="6" t="str">
        <f>HYPERLINK("https://inpn.mnhn.fr/espece/cd_nom/217400","Cheilosia lasiopa (Kowarz, 1885)")</f>
        <v>Cheilosia lasiopa (Kowarz, 1885)</v>
      </c>
      <c r="P9397" s="7" t="str">
        <f>HYPERLINK("#Liste_rouge!A"&amp;_xlfn.XMATCH("LC",Liste_rouge!A:A,2,1),"LC")</f>
        <v>LC</v>
      </c>
      <c r="AH9397" s="4" t="str">
        <f>HYPERLINK("#Statut_biogéographique!A"&amp;_xlfn.XMATCH("P",Statut_biogéographique!A:A,2,1),"P")</f>
        <v>P</v>
      </c>
      <c r="AP9397" s="4" t="s">
        <v>376</v>
      </c>
      <c r="AR9397" s="4" t="s">
        <v>377</v>
      </c>
    </row>
    <row r="9398" spans="1:44">
      <c r="A9398" s="4" t="s">
        <v>10753</v>
      </c>
      <c r="B9398" s="4">
        <v>217401</v>
      </c>
      <c r="D9398" s="5">
        <v>217401</v>
      </c>
      <c r="E9398" s="6" t="str">
        <f>HYPERLINK("https://inpn.mnhn.fr/espece/cd_nom/217401","Cheilosia laticornis Rondani, 1857")</f>
        <v>Cheilosia laticornis Rondani, 1857</v>
      </c>
      <c r="P9398" s="7" t="str">
        <f>HYPERLINK("#Liste_rouge!A"&amp;_xlfn.XMATCH("LC",Liste_rouge!A:A,2,1),"LC")</f>
        <v>LC</v>
      </c>
      <c r="AH9398" s="4" t="str">
        <f>HYPERLINK("#Statut_biogéographique!A"&amp;_xlfn.XMATCH("P",Statut_biogéographique!A:A,2,1),"P")</f>
        <v>P</v>
      </c>
      <c r="AP9398" s="4" t="s">
        <v>376</v>
      </c>
      <c r="AR9398" s="4" t="s">
        <v>377</v>
      </c>
    </row>
    <row r="9399" spans="1:44">
      <c r="A9399" s="4" t="s">
        <v>10753</v>
      </c>
      <c r="B9399" s="4">
        <v>217402</v>
      </c>
      <c r="D9399" s="5" t="s">
        <v>12597</v>
      </c>
      <c r="E9399" s="6" t="str">
        <f>HYPERLINK("https://inpn.mnhn.fr/espece/cd_nom/217402","Cheilosia latifrons (Zetterstedt, 1843)")</f>
        <v>Cheilosia latifrons (Zetterstedt, 1843)</v>
      </c>
      <c r="P9399" s="7" t="str">
        <f>HYPERLINK("#Liste_rouge!A"&amp;_xlfn.XMATCH("LC",Liste_rouge!A:A,2,1),"LC")</f>
        <v>LC</v>
      </c>
      <c r="AH9399" s="4" t="str">
        <f>HYPERLINK("#Statut_biogéographique!A"&amp;_xlfn.XMATCH("P",Statut_biogéographique!A:A,2,1),"P")</f>
        <v>P</v>
      </c>
      <c r="AP9399" s="4" t="s">
        <v>376</v>
      </c>
      <c r="AR9399" s="4" t="s">
        <v>377</v>
      </c>
    </row>
    <row r="9400" spans="1:44">
      <c r="A9400" s="4" t="s">
        <v>10753</v>
      </c>
      <c r="B9400" s="4">
        <v>217404</v>
      </c>
      <c r="D9400" s="5" t="s">
        <v>12598</v>
      </c>
      <c r="E9400" s="6" t="str">
        <f>HYPERLINK("https://inpn.mnhn.fr/espece/cd_nom/217404","Cheilosia loewi Becker, 1894")</f>
        <v>Cheilosia loewi Becker, 1894</v>
      </c>
      <c r="O9400" s="7" t="str">
        <f>HYPERLINK("#Liste_rouge!A"&amp;_xlfn.XMATCH("EN",Liste_rouge!A:A,2,1),"EN")</f>
        <v>EN</v>
      </c>
      <c r="P9400" s="7" t="str">
        <f>HYPERLINK("#Liste_rouge!A"&amp;_xlfn.XMATCH("EN",Liste_rouge!A:A,2,1),"EN")</f>
        <v>EN</v>
      </c>
      <c r="AH9400" s="4" t="str">
        <f>HYPERLINK("#Statut_biogéographique!A"&amp;_xlfn.XMATCH("P",Statut_biogéographique!A:A,2,1),"P")</f>
        <v>P</v>
      </c>
      <c r="AP9400" s="4" t="s">
        <v>376</v>
      </c>
      <c r="AR9400" s="4" t="s">
        <v>377</v>
      </c>
    </row>
    <row r="9401" spans="1:44">
      <c r="A9401" s="4" t="s">
        <v>10753</v>
      </c>
      <c r="B9401" s="4">
        <v>217407</v>
      </c>
      <c r="D9401" s="5" t="s">
        <v>12599</v>
      </c>
      <c r="E9401" s="6" t="str">
        <f>HYPERLINK("https://inpn.mnhn.fr/espece/cd_nom/217407","Cheilosia melanura Becker, 1894")</f>
        <v>Cheilosia melanura Becker, 1894</v>
      </c>
      <c r="P9401" s="7" t="str">
        <f>HYPERLINK("#Liste_rouge!A"&amp;_xlfn.XMATCH("LC",Liste_rouge!A:A,2,1),"LC")</f>
        <v>LC</v>
      </c>
      <c r="AH9401" s="4" t="str">
        <f>HYPERLINK("#Statut_biogéographique!A"&amp;_xlfn.XMATCH("P",Statut_biogéographique!A:A,2,1),"P")</f>
        <v>P</v>
      </c>
      <c r="AP9401" s="4" t="s">
        <v>376</v>
      </c>
      <c r="AR9401" s="4" t="s">
        <v>377</v>
      </c>
    </row>
    <row r="9402" spans="1:44">
      <c r="A9402" s="4" t="s">
        <v>10753</v>
      </c>
      <c r="B9402" s="4">
        <v>217410</v>
      </c>
      <c r="D9402" s="5" t="s">
        <v>12600</v>
      </c>
      <c r="E9402" s="6" t="str">
        <f>HYPERLINK("https://inpn.mnhn.fr/espece/cd_nom/217410","Cheilosia nivalis Becker, 1894")</f>
        <v>Cheilosia nivalis Becker, 1894</v>
      </c>
      <c r="O9402" s="7" t="str">
        <f>HYPERLINK("#Liste_rouge!A"&amp;_xlfn.XMATCH("EN",Liste_rouge!A:A,2,1),"EN")</f>
        <v>EN</v>
      </c>
      <c r="P9402" s="7" t="str">
        <f>HYPERLINK("#Liste_rouge!A"&amp;_xlfn.XMATCH("EN",Liste_rouge!A:A,2,1),"EN")</f>
        <v>EN</v>
      </c>
      <c r="AH9402" s="4" t="str">
        <f>HYPERLINK("#Statut_biogéographique!A"&amp;_xlfn.XMATCH("P",Statut_biogéographique!A:A,2,1),"P")</f>
        <v>P</v>
      </c>
      <c r="AP9402" s="4" t="s">
        <v>376</v>
      </c>
      <c r="AR9402" s="4" t="s">
        <v>377</v>
      </c>
    </row>
    <row r="9403" spans="1:44">
      <c r="A9403" s="4" t="s">
        <v>10753</v>
      </c>
      <c r="B9403" s="4">
        <v>217411</v>
      </c>
      <c r="D9403" s="5">
        <v>217411</v>
      </c>
      <c r="E9403" s="6" t="str">
        <f>HYPERLINK("https://inpn.mnhn.fr/espece/cd_nom/217411","Cheilosia orthotricha Vujic &amp; Claussen, 1994")</f>
        <v>Cheilosia orthotricha Vujic &amp; Claussen, 1994</v>
      </c>
      <c r="O9403" s="7" t="str">
        <f>HYPERLINK("#Liste_rouge!A"&amp;_xlfn.XMATCH("LC",Liste_rouge!A:A,2,1),"LC")</f>
        <v>LC</v>
      </c>
      <c r="P9403" s="7" t="str">
        <f>HYPERLINK("#Liste_rouge!A"&amp;_xlfn.XMATCH("LC",Liste_rouge!A:A,2,1),"LC")</f>
        <v>LC</v>
      </c>
      <c r="AH9403" s="4" t="str">
        <f>HYPERLINK("#Statut_biogéographique!A"&amp;_xlfn.XMATCH("P",Statut_biogéographique!A:A,2,1),"P")</f>
        <v>P</v>
      </c>
      <c r="AP9403" s="4" t="s">
        <v>376</v>
      </c>
      <c r="AR9403" s="4" t="s">
        <v>377</v>
      </c>
    </row>
    <row r="9404" spans="1:44">
      <c r="A9404" s="4" t="s">
        <v>10753</v>
      </c>
      <c r="B9404" s="4">
        <v>217414</v>
      </c>
      <c r="D9404" s="5">
        <v>217414</v>
      </c>
      <c r="E9404" s="6" t="str">
        <f>HYPERLINK("https://inpn.mnhn.fr/espece/cd_nom/217414","Cheilosia personata Loew, 1857")</f>
        <v>Cheilosia personata Loew, 1857</v>
      </c>
      <c r="O9404" s="7" t="str">
        <f>HYPERLINK("#Liste_rouge!A"&amp;_xlfn.XMATCH("LC",Liste_rouge!A:A,2,1),"LC")</f>
        <v>LC</v>
      </c>
      <c r="P9404" s="7" t="str">
        <f>HYPERLINK("#Liste_rouge!A"&amp;_xlfn.XMATCH("LC",Liste_rouge!A:A,2,1),"LC")</f>
        <v>LC</v>
      </c>
      <c r="AH9404" s="4" t="str">
        <f>HYPERLINK("#Statut_biogéographique!A"&amp;_xlfn.XMATCH("P",Statut_biogéographique!A:A,2,1),"P")</f>
        <v>P</v>
      </c>
      <c r="AP9404" s="4" t="s">
        <v>376</v>
      </c>
      <c r="AR9404" s="4" t="s">
        <v>377</v>
      </c>
    </row>
    <row r="9405" spans="1:44">
      <c r="A9405" s="4" t="s">
        <v>10753</v>
      </c>
      <c r="B9405" s="4">
        <v>217417</v>
      </c>
      <c r="D9405" s="5" t="s">
        <v>12601</v>
      </c>
      <c r="E9405" s="6" t="str">
        <f>HYPERLINK("https://inpn.mnhn.fr/espece/cd_nom/217417","Cheilosia psilophthalma Becker, 1894")</f>
        <v>Cheilosia psilophthalma Becker, 1894</v>
      </c>
      <c r="O9405" s="7" t="str">
        <f>HYPERLINK("#Liste_rouge!A"&amp;_xlfn.XMATCH("LC",Liste_rouge!A:A,2,1),"LC")</f>
        <v>LC</v>
      </c>
      <c r="P9405" s="7" t="str">
        <f>HYPERLINK("#Liste_rouge!A"&amp;_xlfn.XMATCH("LC",Liste_rouge!A:A,2,1),"LC")</f>
        <v>LC</v>
      </c>
      <c r="AH9405" s="4" t="str">
        <f>HYPERLINK("#Statut_biogéographique!A"&amp;_xlfn.XMATCH("P",Statut_biogéographique!A:A,2,1),"P")</f>
        <v>P</v>
      </c>
      <c r="AP9405" s="4" t="s">
        <v>376</v>
      </c>
      <c r="AR9405" s="4" t="s">
        <v>377</v>
      </c>
    </row>
    <row r="9406" spans="1:44">
      <c r="A9406" s="4" t="s">
        <v>10753</v>
      </c>
      <c r="B9406" s="4">
        <v>217418</v>
      </c>
      <c r="D9406" s="5">
        <v>217418</v>
      </c>
      <c r="E9406" s="6" t="str">
        <f>HYPERLINK("https://inpn.mnhn.fr/espece/cd_nom/217418","Cheilosia ranunculi Doczkal, 2000")</f>
        <v>Cheilosia ranunculi Doczkal, 2000</v>
      </c>
      <c r="O9406" s="7" t="str">
        <f>HYPERLINK("#Liste_rouge!A"&amp;_xlfn.XMATCH("LC",Liste_rouge!A:A,2,1),"LC")</f>
        <v>LC</v>
      </c>
      <c r="P9406" s="7" t="str">
        <f>HYPERLINK("#Liste_rouge!A"&amp;_xlfn.XMATCH("LC",Liste_rouge!A:A,2,1),"LC")</f>
        <v>LC</v>
      </c>
      <c r="AH9406" s="4" t="str">
        <f>HYPERLINK("#Statut_biogéographique!A"&amp;_xlfn.XMATCH("P",Statut_biogéographique!A:A,2,1),"P")</f>
        <v>P</v>
      </c>
      <c r="AP9406" s="4" t="s">
        <v>376</v>
      </c>
      <c r="AR9406" s="4" t="s">
        <v>377</v>
      </c>
    </row>
    <row r="9407" spans="1:44">
      <c r="A9407" s="4" t="s">
        <v>10753</v>
      </c>
      <c r="B9407" s="4">
        <v>217419</v>
      </c>
      <c r="D9407" s="5">
        <v>217419</v>
      </c>
      <c r="E9407" s="6" t="str">
        <f>HYPERLINK("https://inpn.mnhn.fr/espece/cd_nom/217419","Cheilosia rhynchops Egger, 1860")</f>
        <v>Cheilosia rhynchops Egger, 1860</v>
      </c>
      <c r="O9407" s="7" t="str">
        <f>HYPERLINK("#Liste_rouge!A"&amp;_xlfn.XMATCH("LC",Liste_rouge!A:A,2,1),"LC")</f>
        <v>LC</v>
      </c>
      <c r="P9407" s="7" t="str">
        <f>HYPERLINK("#Liste_rouge!A"&amp;_xlfn.XMATCH("LC",Liste_rouge!A:A,2,1),"LC")</f>
        <v>LC</v>
      </c>
      <c r="AH9407" s="4" t="str">
        <f>HYPERLINK("#Statut_biogéographique!A"&amp;_xlfn.XMATCH("P",Statut_biogéographique!A:A,2,1),"P")</f>
        <v>P</v>
      </c>
      <c r="AP9407" s="4" t="s">
        <v>376</v>
      </c>
      <c r="AR9407" s="4" t="s">
        <v>377</v>
      </c>
    </row>
    <row r="9408" spans="1:44">
      <c r="A9408" s="4" t="s">
        <v>10753</v>
      </c>
      <c r="B9408" s="4">
        <v>217421</v>
      </c>
      <c r="D9408" s="5">
        <v>217421</v>
      </c>
      <c r="E9408" s="6" t="str">
        <f>HYPERLINK("https://inpn.mnhn.fr/espece/cd_nom/217421","Cheilosia subpictipennis Claussen, 1998")</f>
        <v>Cheilosia subpictipennis Claussen, 1998</v>
      </c>
      <c r="P9408" s="7" t="str">
        <f>HYPERLINK("#Liste_rouge!A"&amp;_xlfn.XMATCH("EN",Liste_rouge!A:A,2,1),"EN")</f>
        <v>EN</v>
      </c>
      <c r="AH9408" s="4" t="str">
        <f>HYPERLINK("#Statut_biogéographique!A"&amp;_xlfn.XMATCH("P",Statut_biogéographique!A:A,2,1),"P")</f>
        <v>P</v>
      </c>
      <c r="AP9408" s="4" t="s">
        <v>376</v>
      </c>
      <c r="AR9408" s="4" t="s">
        <v>377</v>
      </c>
    </row>
    <row r="9409" spans="1:44">
      <c r="A9409" s="4" t="s">
        <v>10753</v>
      </c>
      <c r="B9409" s="4">
        <v>217422</v>
      </c>
      <c r="D9409" s="5" t="s">
        <v>12602</v>
      </c>
      <c r="E9409" s="6" t="str">
        <f>HYPERLINK("https://inpn.mnhn.fr/espece/cd_nom/217422","Cheilosia urbana (Meigen, 1822)")</f>
        <v>Cheilosia urbana (Meigen, 1822)</v>
      </c>
      <c r="P9409" s="7" t="str">
        <f>HYPERLINK("#Liste_rouge!A"&amp;_xlfn.XMATCH("LC",Liste_rouge!A:A,2,1),"LC")</f>
        <v>LC</v>
      </c>
      <c r="AH9409" s="4" t="str">
        <f>HYPERLINK("#Statut_biogéographique!A"&amp;_xlfn.XMATCH("P",Statut_biogéographique!A:A,2,1),"P")</f>
        <v>P</v>
      </c>
      <c r="AP9409" s="4" t="s">
        <v>376</v>
      </c>
      <c r="AR9409" s="4" t="s">
        <v>377</v>
      </c>
    </row>
    <row r="9410" spans="1:44">
      <c r="A9410" s="4" t="s">
        <v>10753</v>
      </c>
      <c r="B9410" s="4">
        <v>217423</v>
      </c>
      <c r="D9410" s="5" t="s">
        <v>12603</v>
      </c>
      <c r="E9410" s="6" t="str">
        <f>HYPERLINK("https://inpn.mnhn.fr/espece/cd_nom/217423","Cheilosia uviformis Becker, 1894")</f>
        <v>Cheilosia uviformis Becker, 1894</v>
      </c>
      <c r="O9410" s="7" t="str">
        <f>HYPERLINK("#Liste_rouge!A"&amp;_xlfn.XMATCH("LC",Liste_rouge!A:A,2,1),"LC")</f>
        <v>LC</v>
      </c>
      <c r="P9410" s="7" t="str">
        <f>HYPERLINK("#Liste_rouge!A"&amp;_xlfn.XMATCH("LC",Liste_rouge!A:A,2,1),"LC")</f>
        <v>LC</v>
      </c>
      <c r="AH9410" s="4" t="str">
        <f>HYPERLINK("#Statut_biogéographique!A"&amp;_xlfn.XMATCH("P",Statut_biogéographique!A:A,2,1),"P")</f>
        <v>P</v>
      </c>
      <c r="AP9410" s="4" t="s">
        <v>376</v>
      </c>
      <c r="AR9410" s="4" t="s">
        <v>377</v>
      </c>
    </row>
    <row r="9411" spans="1:44">
      <c r="A9411" s="4" t="s">
        <v>10753</v>
      </c>
      <c r="B9411" s="4">
        <v>217424</v>
      </c>
      <c r="D9411" s="5" t="s">
        <v>12604</v>
      </c>
      <c r="E9411" s="6" t="str">
        <f>HYPERLINK("https://inpn.mnhn.fr/espece/cd_nom/217424","Cheilosia vangaveri Timon-David, 1937")</f>
        <v>Cheilosia vangaveri Timon-David, 1937</v>
      </c>
      <c r="O9411" s="7" t="str">
        <f>HYPERLINK("#Liste_rouge!A"&amp;_xlfn.XMATCH("EN",Liste_rouge!A:A,2,1),"EN")</f>
        <v>EN</v>
      </c>
      <c r="P9411" s="7" t="str">
        <f>HYPERLINK("#Liste_rouge!A"&amp;_xlfn.XMATCH("EN",Liste_rouge!A:A,2,1),"EN")</f>
        <v>EN</v>
      </c>
      <c r="AH9411" s="4" t="str">
        <f>HYPERLINK("#Statut_biogéographique!A"&amp;_xlfn.XMATCH("P",Statut_biogéographique!A:A,2,1),"P")</f>
        <v>P</v>
      </c>
      <c r="AP9411" s="4" t="s">
        <v>376</v>
      </c>
      <c r="AR9411" s="4" t="s">
        <v>377</v>
      </c>
    </row>
    <row r="9412" spans="1:44">
      <c r="A9412" s="4" t="s">
        <v>10753</v>
      </c>
      <c r="B9412" s="4">
        <v>217426</v>
      </c>
      <c r="D9412" s="5" t="s">
        <v>12605</v>
      </c>
      <c r="E9412" s="6" t="str">
        <f>HYPERLINK("https://inpn.mnhn.fr/espece/cd_nom/217426","Cheilosia vicina (Zetterstedt, 1849)")</f>
        <v>Cheilosia vicina (Zetterstedt, 1849)</v>
      </c>
      <c r="P9412" s="7" t="str">
        <f>HYPERLINK("#Liste_rouge!A"&amp;_xlfn.XMATCH("LC",Liste_rouge!A:A,2,1),"LC")</f>
        <v>LC</v>
      </c>
      <c r="AH9412" s="4" t="str">
        <f>HYPERLINK("#Statut_biogéographique!A"&amp;_xlfn.XMATCH("P",Statut_biogéographique!A:A,2,1),"P")</f>
        <v>P</v>
      </c>
      <c r="AP9412" s="4" t="s">
        <v>376</v>
      </c>
      <c r="AR9412" s="4" t="s">
        <v>377</v>
      </c>
    </row>
    <row r="9413" spans="1:44" ht="30">
      <c r="A9413" s="4" t="s">
        <v>10753</v>
      </c>
      <c r="B9413" s="4">
        <v>217429</v>
      </c>
      <c r="D9413" s="5">
        <v>217429</v>
      </c>
      <c r="E9413" s="6" t="str">
        <f>HYPERLINK("https://inpn.mnhn.fr/espece/cd_nom/217429","Chrysogaster rondanii Maibach &amp; Goeldlin, 1995")</f>
        <v>Chrysogaster rondanii Maibach &amp; Goeldlin, 1995</v>
      </c>
      <c r="O9413" s="7" t="str">
        <f>HYPERLINK("#Liste_rouge!A"&amp;_xlfn.XMATCH("EN",Liste_rouge!A:A,2,1),"EN")</f>
        <v>EN</v>
      </c>
      <c r="P9413" s="7" t="str">
        <f>HYPERLINK("#Liste_rouge!A"&amp;_xlfn.XMATCH("EN",Liste_rouge!A:A,2,1),"EN")</f>
        <v>EN</v>
      </c>
      <c r="AH9413" s="4" t="str">
        <f>HYPERLINK("#Statut_biogéographique!A"&amp;_xlfn.XMATCH("P",Statut_biogéographique!A:A,2,1),"P")</f>
        <v>P</v>
      </c>
      <c r="AP9413" s="4" t="s">
        <v>376</v>
      </c>
      <c r="AR9413" s="4" t="s">
        <v>377</v>
      </c>
    </row>
    <row r="9414" spans="1:44" ht="30">
      <c r="A9414" s="4" t="s">
        <v>10753</v>
      </c>
      <c r="B9414" s="4">
        <v>21743</v>
      </c>
      <c r="D9414" s="5" t="s">
        <v>12606</v>
      </c>
      <c r="E9414" s="6" t="str">
        <f>HYPERLINK("https://inpn.mnhn.fr/espece/cd_nom/21743","Macrocera phalerata Wiedemann in Meigen, 1818")</f>
        <v>Macrocera phalerata Wiedemann in Meigen, 1818</v>
      </c>
      <c r="AH9414" s="4" t="str">
        <f>HYPERLINK("#Statut_biogéographique!A"&amp;_xlfn.XMATCH("P",Statut_biogéographique!A:A,2,1),"P")</f>
        <v>P</v>
      </c>
      <c r="AP9414" s="4" t="s">
        <v>376</v>
      </c>
      <c r="AR9414" s="4" t="s">
        <v>377</v>
      </c>
    </row>
    <row r="9415" spans="1:44">
      <c r="A9415" s="4" t="s">
        <v>10753</v>
      </c>
      <c r="B9415" s="4">
        <v>217432</v>
      </c>
      <c r="D9415" s="5" t="s">
        <v>12607</v>
      </c>
      <c r="E9415" s="6" t="str">
        <f>HYPERLINK("https://inpn.mnhn.fr/espece/cd_nom/217432","Chrysotoxum fasciolatum (De Geer, 1776)")</f>
        <v>Chrysotoxum fasciolatum (De Geer, 1776)</v>
      </c>
      <c r="O9415" s="7" t="str">
        <f>HYPERLINK("#Liste_rouge!A"&amp;_xlfn.XMATCH("LC",Liste_rouge!A:A,2,1),"LC")</f>
        <v>LC</v>
      </c>
      <c r="P9415" s="7" t="str">
        <f>HYPERLINK("#Liste_rouge!A"&amp;_xlfn.XMATCH("LC",Liste_rouge!A:A,2,1),"LC")</f>
        <v>LC</v>
      </c>
      <c r="AH9415" s="4" t="str">
        <f>HYPERLINK("#Statut_biogéographique!A"&amp;_xlfn.XMATCH("P",Statut_biogéographique!A:A,2,1),"P")</f>
        <v>P</v>
      </c>
      <c r="AP9415" s="4" t="s">
        <v>376</v>
      </c>
      <c r="AR9415" s="4" t="s">
        <v>377</v>
      </c>
    </row>
    <row r="9416" spans="1:44">
      <c r="A9416" s="4" t="s">
        <v>10753</v>
      </c>
      <c r="B9416" s="4">
        <v>217439</v>
      </c>
      <c r="D9416" s="5" t="s">
        <v>12608</v>
      </c>
      <c r="E9416" s="6" t="str">
        <f>HYPERLINK("https://inpn.mnhn.fr/espece/cd_nom/217439","Dasysyrphus pinastri (De Geer, 1776)")</f>
        <v>Dasysyrphus pinastri (De Geer, 1776)</v>
      </c>
      <c r="AH9416" s="4" t="str">
        <f>HYPERLINK("#Statut_biogéographique!A"&amp;_xlfn.XMATCH("P",Statut_biogéographique!A:A,2,1),"P")</f>
        <v>P</v>
      </c>
      <c r="AP9416" s="4" t="s">
        <v>376</v>
      </c>
      <c r="AR9416" s="4" t="s">
        <v>377</v>
      </c>
    </row>
    <row r="9417" spans="1:44">
      <c r="A9417" s="4" t="s">
        <v>10753</v>
      </c>
      <c r="B9417" s="4">
        <v>217440</v>
      </c>
      <c r="D9417" s="5">
        <v>217440</v>
      </c>
      <c r="E9417" s="6" t="str">
        <f>HYPERLINK("https://inpn.mnhn.fr/espece/cd_nom/217440","Doros destillatorius Mik, 1885")</f>
        <v>Doros destillatorius Mik, 1885</v>
      </c>
      <c r="P9417" s="7" t="str">
        <f>HYPERLINK("#Liste_rouge!A"&amp;_xlfn.XMATCH("EN",Liste_rouge!A:A,2,1),"EN")</f>
        <v>EN</v>
      </c>
      <c r="AH9417" s="4" t="str">
        <f>HYPERLINK("#Statut_biogéographique!A"&amp;_xlfn.XMATCH("P",Statut_biogéographique!A:A,2,1),"P")</f>
        <v>P</v>
      </c>
      <c r="AP9417" s="4" t="s">
        <v>376</v>
      </c>
      <c r="AR9417" s="4" t="s">
        <v>377</v>
      </c>
    </row>
    <row r="9418" spans="1:44">
      <c r="A9418" s="4" t="s">
        <v>10753</v>
      </c>
      <c r="B9418" s="4">
        <v>217441</v>
      </c>
      <c r="D9418" s="5" t="s">
        <v>12609</v>
      </c>
      <c r="E9418" s="6" t="str">
        <f>HYPERLINK("https://inpn.mnhn.fr/espece/cd_nom/217441","Doros profuges (Harris, 1780)")</f>
        <v>Doros profuges (Harris, 1780)</v>
      </c>
      <c r="P9418" s="7" t="str">
        <f>HYPERLINK("#Liste_rouge!A"&amp;_xlfn.XMATCH("LC",Liste_rouge!A:A,2,1),"LC")</f>
        <v>LC</v>
      </c>
      <c r="AH9418" s="4" t="str">
        <f>HYPERLINK("#Statut_biogéographique!A"&amp;_xlfn.XMATCH("P",Statut_biogéographique!A:A,2,1),"P")</f>
        <v>P</v>
      </c>
      <c r="AP9418" s="4" t="s">
        <v>376</v>
      </c>
      <c r="AR9418" s="4" t="s">
        <v>377</v>
      </c>
    </row>
    <row r="9419" spans="1:44">
      <c r="A9419" s="4" t="s">
        <v>10753</v>
      </c>
      <c r="B9419" s="4">
        <v>217442</v>
      </c>
      <c r="D9419" s="5">
        <v>217442</v>
      </c>
      <c r="E9419" s="6" t="str">
        <f>HYPERLINK("https://inpn.mnhn.fr/espece/cd_nom/217442","Epistrophe flava Doczkal &amp; Schmid, 1994")</f>
        <v>Epistrophe flava Doczkal &amp; Schmid, 1994</v>
      </c>
      <c r="P9419" s="7" t="str">
        <f>HYPERLINK("#Liste_rouge!A"&amp;_xlfn.XMATCH("LC",Liste_rouge!A:A,2,1),"LC")</f>
        <v>LC</v>
      </c>
      <c r="AH9419" s="4" t="str">
        <f>HYPERLINK("#Statut_biogéographique!A"&amp;_xlfn.XMATCH("P",Statut_biogéographique!A:A,2,1),"P")</f>
        <v>P</v>
      </c>
      <c r="AP9419" s="4" t="s">
        <v>376</v>
      </c>
      <c r="AR9419" s="4" t="s">
        <v>377</v>
      </c>
    </row>
    <row r="9420" spans="1:44">
      <c r="A9420" s="4" t="s">
        <v>10753</v>
      </c>
      <c r="B9420" s="4">
        <v>217448</v>
      </c>
      <c r="D9420" s="5" t="s">
        <v>12610</v>
      </c>
      <c r="E9420" s="6" t="str">
        <f>HYPERLINK("https://inpn.mnhn.fr/espece/cd_nom/217448","Eristalinus sepulchralis (Linnaeus, 1758)")</f>
        <v>Eristalinus sepulchralis (Linnaeus, 1758)</v>
      </c>
      <c r="P9420" s="7" t="str">
        <f>HYPERLINK("#Liste_rouge!A"&amp;_xlfn.XMATCH("LC",Liste_rouge!A:A,2,1),"LC")</f>
        <v>LC</v>
      </c>
      <c r="AH9420" s="4" t="str">
        <f>HYPERLINK("#Statut_biogéographique!A"&amp;_xlfn.XMATCH("P",Statut_biogéographique!A:A,2,1),"P")</f>
        <v>P</v>
      </c>
      <c r="AP9420" s="4" t="s">
        <v>376</v>
      </c>
      <c r="AR9420" s="4" t="s">
        <v>377</v>
      </c>
    </row>
    <row r="9421" spans="1:44">
      <c r="A9421" s="4" t="s">
        <v>10753</v>
      </c>
      <c r="B9421" s="4">
        <v>217453</v>
      </c>
      <c r="D9421" s="5" t="s">
        <v>12611</v>
      </c>
      <c r="E9421" s="6" t="str">
        <f>HYPERLINK("https://inpn.mnhn.fr/espece/cd_nom/217453","Eristalis intricaria (Linnaeus, 1758)")</f>
        <v>Eristalis intricaria (Linnaeus, 1758)</v>
      </c>
      <c r="P9421" s="7" t="str">
        <f>HYPERLINK("#Liste_rouge!A"&amp;_xlfn.XMATCH("LC",Liste_rouge!A:A,2,1),"LC")</f>
        <v>LC</v>
      </c>
      <c r="AH9421" s="4" t="str">
        <f>HYPERLINK("#Statut_biogéographique!A"&amp;_xlfn.XMATCH("P",Statut_biogéographique!A:A,2,1),"P")</f>
        <v>P</v>
      </c>
      <c r="AP9421" s="4" t="s">
        <v>376</v>
      </c>
      <c r="AR9421" s="4" t="s">
        <v>377</v>
      </c>
    </row>
    <row r="9422" spans="1:44">
      <c r="A9422" s="4" t="s">
        <v>10753</v>
      </c>
      <c r="B9422" s="4">
        <v>217455</v>
      </c>
      <c r="D9422" s="5" t="s">
        <v>12612</v>
      </c>
      <c r="E9422" s="6" t="str">
        <f>HYPERLINK("https://inpn.mnhn.fr/espece/cd_nom/217455","Eristalis picea (Fallén, 1817)")</f>
        <v>Eristalis picea (Fallén, 1817)</v>
      </c>
      <c r="O9422" s="7" t="str">
        <f>HYPERLINK("#Liste_rouge!A"&amp;_xlfn.XMATCH("LC",Liste_rouge!A:A,2,1),"LC")</f>
        <v>LC</v>
      </c>
      <c r="P9422" s="7" t="str">
        <f>HYPERLINK("#Liste_rouge!A"&amp;_xlfn.XMATCH("LC",Liste_rouge!A:A,2,1),"LC")</f>
        <v>LC</v>
      </c>
      <c r="AH9422" s="4" t="str">
        <f>HYPERLINK("#Statut_biogéographique!A"&amp;_xlfn.XMATCH("P",Statut_biogéographique!A:A,2,1),"P")</f>
        <v>P</v>
      </c>
      <c r="AP9422" s="4" t="s">
        <v>376</v>
      </c>
      <c r="AR9422" s="4" t="s">
        <v>377</v>
      </c>
    </row>
    <row r="9423" spans="1:44">
      <c r="A9423" s="4" t="s">
        <v>10753</v>
      </c>
      <c r="B9423" s="4">
        <v>217456</v>
      </c>
      <c r="D9423" s="5" t="s">
        <v>12613</v>
      </c>
      <c r="E9423" s="6" t="str">
        <f>HYPERLINK("https://inpn.mnhn.fr/espece/cd_nom/217456","Eristalis similis (Fallén, 1817)")</f>
        <v>Eristalis similis (Fallén, 1817)</v>
      </c>
      <c r="P9423" s="7" t="str">
        <f>HYPERLINK("#Liste_rouge!A"&amp;_xlfn.XMATCH("LC",Liste_rouge!A:A,2,1),"LC")</f>
        <v>LC</v>
      </c>
      <c r="AH9423" s="4" t="str">
        <f>HYPERLINK("#Statut_biogéographique!A"&amp;_xlfn.XMATCH("P",Statut_biogéographique!A:A,2,1),"P")</f>
        <v>P</v>
      </c>
      <c r="AP9423" s="4" t="s">
        <v>376</v>
      </c>
      <c r="AR9423" s="4" t="s">
        <v>377</v>
      </c>
    </row>
    <row r="9424" spans="1:44">
      <c r="A9424" s="4" t="s">
        <v>10753</v>
      </c>
      <c r="B9424" s="4">
        <v>217457</v>
      </c>
      <c r="D9424" s="5">
        <v>217457</v>
      </c>
      <c r="E9424" s="6" t="str">
        <f>HYPERLINK("https://inpn.mnhn.fr/espece/cd_nom/217457","Eumerus amoenus Loew, 1848")</f>
        <v>Eumerus amoenus Loew, 1848</v>
      </c>
      <c r="P9424" s="7" t="str">
        <f>HYPERLINK("#Liste_rouge!A"&amp;_xlfn.XMATCH("LC",Liste_rouge!A:A,2,1),"LC")</f>
        <v>LC</v>
      </c>
      <c r="AH9424" s="4" t="str">
        <f>HYPERLINK("#Statut_biogéographique!A"&amp;_xlfn.XMATCH("P",Statut_biogéographique!A:A,2,1),"P")</f>
        <v>P</v>
      </c>
      <c r="AP9424" s="4" t="s">
        <v>376</v>
      </c>
      <c r="AR9424" s="4" t="s">
        <v>377</v>
      </c>
    </row>
    <row r="9425" spans="1:44">
      <c r="A9425" s="4" t="s">
        <v>10753</v>
      </c>
      <c r="B9425" s="4">
        <v>217463</v>
      </c>
      <c r="D9425" s="5">
        <v>217463</v>
      </c>
      <c r="E9425" s="6" t="str">
        <f>HYPERLINK("https://inpn.mnhn.fr/espece/cd_nom/217463","Eumerus consimilis Šimic &amp; Vujic, 1996")</f>
        <v>Eumerus consimilis Šimic &amp; Vujic, 1996</v>
      </c>
      <c r="O9425" s="7" t="str">
        <f>HYPERLINK("#Liste_rouge!A"&amp;_xlfn.XMATCH("LC",Liste_rouge!A:A,2,1),"LC")</f>
        <v>LC</v>
      </c>
      <c r="P9425" s="7" t="str">
        <f>HYPERLINK("#Liste_rouge!A"&amp;_xlfn.XMATCH("LC",Liste_rouge!A:A,2,1),"LC")</f>
        <v>LC</v>
      </c>
      <c r="AH9425" s="4" t="str">
        <f>HYPERLINK("#Statut_biogéographique!A"&amp;_xlfn.XMATCH("P",Statut_biogéographique!A:A,2,1),"P")</f>
        <v>P</v>
      </c>
      <c r="AP9425" s="4" t="s">
        <v>376</v>
      </c>
      <c r="AR9425" s="4" t="s">
        <v>377</v>
      </c>
    </row>
    <row r="9426" spans="1:44">
      <c r="A9426" s="4" t="s">
        <v>10753</v>
      </c>
      <c r="B9426" s="4">
        <v>217467</v>
      </c>
      <c r="D9426" s="5" t="s">
        <v>12614</v>
      </c>
      <c r="E9426" s="6" t="str">
        <f>HYPERLINK("https://inpn.mnhn.fr/espece/cd_nom/217467","Eumerus funeralis Meigen, 1822")</f>
        <v>Eumerus funeralis Meigen, 1822</v>
      </c>
      <c r="P9426" s="7" t="str">
        <f>HYPERLINK("#Liste_rouge!A"&amp;_xlfn.XMATCH("LC",Liste_rouge!A:A,2,1),"LC")</f>
        <v>LC</v>
      </c>
      <c r="AH9426" s="4" t="str">
        <f>HYPERLINK("#Statut_biogéographique!A"&amp;_xlfn.XMATCH("P",Statut_biogéographique!A:A,2,1),"P")</f>
        <v>P</v>
      </c>
      <c r="AP9426" s="4" t="s">
        <v>376</v>
      </c>
      <c r="AR9426" s="4" t="s">
        <v>377</v>
      </c>
    </row>
    <row r="9427" spans="1:44">
      <c r="A9427" s="4" t="s">
        <v>10753</v>
      </c>
      <c r="B9427" s="4">
        <v>217468</v>
      </c>
      <c r="D9427" s="5" t="s">
        <v>12615</v>
      </c>
      <c r="E9427" s="6" t="str">
        <f>HYPERLINK("https://inpn.mnhn.fr/espece/cd_nom/217468","Eumerus grandis Meigen, 1822")</f>
        <v>Eumerus grandis Meigen, 1822</v>
      </c>
      <c r="P9427" s="7" t="str">
        <f>HYPERLINK("#Liste_rouge!A"&amp;_xlfn.XMATCH("LC",Liste_rouge!A:A,2,1),"LC")</f>
        <v>LC</v>
      </c>
      <c r="AH9427" s="4" t="str">
        <f>HYPERLINK("#Statut_biogéographique!A"&amp;_xlfn.XMATCH("P",Statut_biogéographique!A:A,2,1),"P")</f>
        <v>P</v>
      </c>
      <c r="AP9427" s="4" t="s">
        <v>376</v>
      </c>
      <c r="AR9427" s="4" t="s">
        <v>377</v>
      </c>
    </row>
    <row r="9428" spans="1:44">
      <c r="A9428" s="4" t="s">
        <v>10753</v>
      </c>
      <c r="B9428" s="4">
        <v>217477</v>
      </c>
      <c r="D9428" s="5">
        <v>217477</v>
      </c>
      <c r="E9428" s="6" t="str">
        <f>HYPERLINK("https://inpn.mnhn.fr/espece/cd_nom/217477","Eumerus ruficornis Meigen, 1822")</f>
        <v>Eumerus ruficornis Meigen, 1822</v>
      </c>
      <c r="P9428" s="7" t="str">
        <f>HYPERLINK("#Liste_rouge!A"&amp;_xlfn.XMATCH("EN",Liste_rouge!A:A,2,1),"EN")</f>
        <v>EN</v>
      </c>
      <c r="AH9428" s="4" t="str">
        <f>HYPERLINK("#Statut_biogéographique!A"&amp;_xlfn.XMATCH("P",Statut_biogéographique!A:A,2,1),"P")</f>
        <v>P</v>
      </c>
      <c r="AP9428" s="4" t="s">
        <v>376</v>
      </c>
      <c r="AR9428" s="4" t="s">
        <v>377</v>
      </c>
    </row>
    <row r="9429" spans="1:44">
      <c r="A9429" s="4" t="s">
        <v>10753</v>
      </c>
      <c r="B9429" s="4">
        <v>217478</v>
      </c>
      <c r="D9429" s="5">
        <v>217478</v>
      </c>
      <c r="E9429" s="6" t="str">
        <f>HYPERLINK("https://inpn.mnhn.fr/espece/cd_nom/217478","Eumerus sinuatus Loew, 1855")</f>
        <v>Eumerus sinuatus Loew, 1855</v>
      </c>
      <c r="P9429" s="7" t="str">
        <f>HYPERLINK("#Liste_rouge!A"&amp;_xlfn.XMATCH("EN",Liste_rouge!A:A,2,1),"EN")</f>
        <v>EN</v>
      </c>
      <c r="AH9429" s="4" t="str">
        <f>HYPERLINK("#Statut_biogéographique!A"&amp;_xlfn.XMATCH("P",Statut_biogéographique!A:A,2,1),"P")</f>
        <v>P</v>
      </c>
      <c r="AP9429" s="4" t="s">
        <v>376</v>
      </c>
      <c r="AR9429" s="4" t="s">
        <v>377</v>
      </c>
    </row>
    <row r="9430" spans="1:44">
      <c r="A9430" s="4" t="s">
        <v>10753</v>
      </c>
      <c r="B9430" s="4">
        <v>217480</v>
      </c>
      <c r="D9430" s="5">
        <v>217480</v>
      </c>
      <c r="E9430" s="6" t="str">
        <f>HYPERLINK("https://inpn.mnhn.fr/espece/cd_nom/217480","Eumerus uncipes Rondani, 1850")</f>
        <v>Eumerus uncipes Rondani, 1850</v>
      </c>
      <c r="O9430" s="7" t="str">
        <f>HYPERLINK("#Liste_rouge!A"&amp;_xlfn.XMATCH("LC",Liste_rouge!A:A,2,1),"LC")</f>
        <v>LC</v>
      </c>
      <c r="P9430" s="7" t="str">
        <f>HYPERLINK("#Liste_rouge!A"&amp;_xlfn.XMATCH("LC",Liste_rouge!A:A,2,1),"LC")</f>
        <v>LC</v>
      </c>
      <c r="AH9430" s="4" t="str">
        <f>HYPERLINK("#Statut_biogéographique!A"&amp;_xlfn.XMATCH("P",Statut_biogéographique!A:A,2,1),"P")</f>
        <v>P</v>
      </c>
      <c r="AP9430" s="4" t="s">
        <v>376</v>
      </c>
      <c r="AR9430" s="4" t="s">
        <v>377</v>
      </c>
    </row>
    <row r="9431" spans="1:44">
      <c r="A9431" s="4" t="s">
        <v>10753</v>
      </c>
      <c r="B9431" s="4">
        <v>217482</v>
      </c>
      <c r="D9431" s="5" t="s">
        <v>12616</v>
      </c>
      <c r="E9431" s="6" t="str">
        <f>HYPERLINK("https://inpn.mnhn.fr/espece/cd_nom/217482","Eupeodes bucculatus (Rondani, 1857)")</f>
        <v>Eupeodes bucculatus (Rondani, 1857)</v>
      </c>
      <c r="P9431" s="7" t="str">
        <f>HYPERLINK("#Liste_rouge!A"&amp;_xlfn.XMATCH("LC",Liste_rouge!A:A,2,1),"LC")</f>
        <v>LC</v>
      </c>
      <c r="AH9431" s="4" t="str">
        <f>HYPERLINK("#Statut_biogéographique!A"&amp;_xlfn.XMATCH("P",Statut_biogéographique!A:A,2,1),"P")</f>
        <v>P</v>
      </c>
      <c r="AP9431" s="4" t="s">
        <v>376</v>
      </c>
      <c r="AR9431" s="4" t="s">
        <v>377</v>
      </c>
    </row>
    <row r="9432" spans="1:44">
      <c r="A9432" s="4" t="s">
        <v>10753</v>
      </c>
      <c r="B9432" s="4">
        <v>217483</v>
      </c>
      <c r="D9432" s="5" t="s">
        <v>12617</v>
      </c>
      <c r="E9432" s="6" t="str">
        <f>HYPERLINK("https://inpn.mnhn.fr/espece/cd_nom/217483","Eupeodes corollae (Fabricius, 1794)")</f>
        <v>Eupeodes corollae (Fabricius, 1794)</v>
      </c>
      <c r="P9432" s="7" t="str">
        <f>HYPERLINK("#Liste_rouge!A"&amp;_xlfn.XMATCH("LC",Liste_rouge!A:A,2,1),"LC")</f>
        <v>LC</v>
      </c>
      <c r="AH9432" s="4" t="str">
        <f>HYPERLINK("#Statut_biogéographique!A"&amp;_xlfn.XMATCH("P",Statut_biogéographique!A:A,2,1),"P")</f>
        <v>P</v>
      </c>
      <c r="AP9432" s="4" t="s">
        <v>376</v>
      </c>
      <c r="AR9432" s="4" t="s">
        <v>377</v>
      </c>
    </row>
    <row r="9433" spans="1:44">
      <c r="A9433" s="4" t="s">
        <v>10753</v>
      </c>
      <c r="B9433" s="4">
        <v>217484</v>
      </c>
      <c r="D9433" s="5" t="s">
        <v>12618</v>
      </c>
      <c r="E9433" s="6" t="str">
        <f>HYPERLINK("https://inpn.mnhn.fr/espece/cd_nom/217484","Eupeodes flaviceps (Rondani, 1857)")</f>
        <v>Eupeodes flaviceps (Rondani, 1857)</v>
      </c>
      <c r="P9433" s="7" t="str">
        <f>HYPERLINK("#Liste_rouge!A"&amp;_xlfn.XMATCH("LC",Liste_rouge!A:A,2,1),"LC")</f>
        <v>LC</v>
      </c>
      <c r="AH9433" s="4" t="str">
        <f>HYPERLINK("#Statut_biogéographique!A"&amp;_xlfn.XMATCH("P",Statut_biogéographique!A:A,2,1),"P")</f>
        <v>P</v>
      </c>
      <c r="AP9433" s="4" t="s">
        <v>376</v>
      </c>
      <c r="AR9433" s="4" t="s">
        <v>377</v>
      </c>
    </row>
    <row r="9434" spans="1:44" ht="30">
      <c r="A9434" s="4" t="s">
        <v>10753</v>
      </c>
      <c r="B9434" s="4">
        <v>217485</v>
      </c>
      <c r="D9434" s="5">
        <v>217485</v>
      </c>
      <c r="E9434" s="6" t="str">
        <f>HYPERLINK("https://inpn.mnhn.fr/espece/cd_nom/217485","Eupeodes goeldlini Mazanek, Láska &amp; Bicik, 1999")</f>
        <v>Eupeodes goeldlini Mazanek, Láska &amp; Bicik, 1999</v>
      </c>
      <c r="P9434" s="7" t="str">
        <f>HYPERLINK("#Liste_rouge!A"&amp;_xlfn.XMATCH("LC",Liste_rouge!A:A,2,1),"LC")</f>
        <v>LC</v>
      </c>
      <c r="AH9434" s="4" t="str">
        <f>HYPERLINK("#Statut_biogéographique!A"&amp;_xlfn.XMATCH("P",Statut_biogéographique!A:A,2,1),"P")</f>
        <v>P</v>
      </c>
      <c r="AP9434" s="4" t="s">
        <v>376</v>
      </c>
      <c r="AR9434" s="4" t="s">
        <v>377</v>
      </c>
    </row>
    <row r="9435" spans="1:44" ht="30">
      <c r="A9435" s="4" t="s">
        <v>10753</v>
      </c>
      <c r="B9435" s="4">
        <v>217487</v>
      </c>
      <c r="D9435" s="5" t="s">
        <v>12619</v>
      </c>
      <c r="E9435" s="6" t="str">
        <f>HYPERLINK("https://inpn.mnhn.fr/espece/cd_nom/217487","Eupeodes lucasi (Marcos-Garcia &amp; Láska, 1983)")</f>
        <v>Eupeodes lucasi (Marcos-Garcia &amp; Láska, 1983)</v>
      </c>
      <c r="O9435" s="7" t="str">
        <f>HYPERLINK("#Liste_rouge!A"&amp;_xlfn.XMATCH("LC",Liste_rouge!A:A,2,1),"LC")</f>
        <v>LC</v>
      </c>
      <c r="P9435" s="7" t="str">
        <f>HYPERLINK("#Liste_rouge!A"&amp;_xlfn.XMATCH("LC",Liste_rouge!A:A,2,1),"LC")</f>
        <v>LC</v>
      </c>
      <c r="AH9435" s="4" t="str">
        <f>HYPERLINK("#Statut_biogéographique!A"&amp;_xlfn.XMATCH("P",Statut_biogéographique!A:A,2,1),"P")</f>
        <v>P</v>
      </c>
      <c r="AP9435" s="4" t="s">
        <v>376</v>
      </c>
      <c r="AR9435" s="4" t="s">
        <v>377</v>
      </c>
    </row>
    <row r="9436" spans="1:44">
      <c r="A9436" s="4" t="s">
        <v>10753</v>
      </c>
      <c r="B9436" s="4">
        <v>217488</v>
      </c>
      <c r="D9436" s="5" t="s">
        <v>12620</v>
      </c>
      <c r="E9436" s="6" t="str">
        <f>HYPERLINK("https://inpn.mnhn.fr/espece/cd_nom/217488","Eupeodes luniger (Meigen, 1822)")</f>
        <v>Eupeodes luniger (Meigen, 1822)</v>
      </c>
      <c r="P9436" s="7" t="str">
        <f>HYPERLINK("#Liste_rouge!A"&amp;_xlfn.XMATCH("LC",Liste_rouge!A:A,2,1),"LC")</f>
        <v>LC</v>
      </c>
      <c r="AH9436" s="4" t="str">
        <f>HYPERLINK("#Statut_biogéographique!A"&amp;_xlfn.XMATCH("P",Statut_biogéographique!A:A,2,1),"P")</f>
        <v>P</v>
      </c>
      <c r="AP9436" s="4" t="s">
        <v>376</v>
      </c>
      <c r="AR9436" s="4" t="s">
        <v>377</v>
      </c>
    </row>
    <row r="9437" spans="1:44">
      <c r="A9437" s="4" t="s">
        <v>10753</v>
      </c>
      <c r="B9437" s="4">
        <v>217489</v>
      </c>
      <c r="D9437" s="5" t="s">
        <v>12621</v>
      </c>
      <c r="E9437" s="6" t="str">
        <f>HYPERLINK("https://inpn.mnhn.fr/espece/cd_nom/217489","Eupeodes nielseni (Dušek &amp; Láska, 1976)")</f>
        <v>Eupeodes nielseni (Dušek &amp; Láska, 1976)</v>
      </c>
      <c r="P9437" s="7" t="str">
        <f>HYPERLINK("#Liste_rouge!A"&amp;_xlfn.XMATCH("LC",Liste_rouge!A:A,2,1),"LC")</f>
        <v>LC</v>
      </c>
      <c r="AH9437" s="4" t="str">
        <f>HYPERLINK("#Statut_biogéographique!A"&amp;_xlfn.XMATCH("P",Statut_biogéographique!A:A,2,1),"P")</f>
        <v>P</v>
      </c>
      <c r="AP9437" s="4" t="s">
        <v>376</v>
      </c>
      <c r="AR9437" s="4" t="s">
        <v>377</v>
      </c>
    </row>
    <row r="9438" spans="1:44">
      <c r="A9438" s="4" t="s">
        <v>10753</v>
      </c>
      <c r="B9438" s="4">
        <v>217490</v>
      </c>
      <c r="D9438" s="5" t="s">
        <v>12622</v>
      </c>
      <c r="E9438" s="6" t="str">
        <f>HYPERLINK("https://inpn.mnhn.fr/espece/cd_nom/217490","Eupeodes nitens (Zetterstedt, 1843)")</f>
        <v>Eupeodes nitens (Zetterstedt, 1843)</v>
      </c>
      <c r="P9438" s="7" t="str">
        <f>HYPERLINK("#Liste_rouge!A"&amp;_xlfn.XMATCH("LC",Liste_rouge!A:A,2,1),"LC")</f>
        <v>LC</v>
      </c>
      <c r="AH9438" s="4" t="str">
        <f>HYPERLINK("#Statut_biogéographique!A"&amp;_xlfn.XMATCH("P",Statut_biogéographique!A:A,2,1),"P")</f>
        <v>P</v>
      </c>
      <c r="AP9438" s="4" t="s">
        <v>376</v>
      </c>
      <c r="AR9438" s="4" t="s">
        <v>377</v>
      </c>
    </row>
    <row r="9439" spans="1:44">
      <c r="A9439" s="4" t="s">
        <v>10753</v>
      </c>
      <c r="B9439" s="4">
        <v>217495</v>
      </c>
      <c r="D9439" s="5" t="s">
        <v>12623</v>
      </c>
      <c r="E9439" s="6" t="str">
        <f>HYPERLINK("https://inpn.mnhn.fr/espece/cd_nom/217495","Hammerschmidtia ferruginea (Fallén, 1817)")</f>
        <v>Hammerschmidtia ferruginea (Fallén, 1817)</v>
      </c>
      <c r="P9439" s="7" t="str">
        <f>HYPERLINK("#Liste_rouge!A"&amp;_xlfn.XMATCH("LC",Liste_rouge!A:A,2,1),"LC")</f>
        <v>LC</v>
      </c>
      <c r="AH9439" s="4" t="str">
        <f>HYPERLINK("#Statut_biogéographique!A"&amp;_xlfn.XMATCH("P",Statut_biogéographique!A:A,2,1),"P")</f>
        <v>P</v>
      </c>
      <c r="AP9439" s="4" t="s">
        <v>376</v>
      </c>
      <c r="AR9439" s="4" t="s">
        <v>377</v>
      </c>
    </row>
    <row r="9440" spans="1:44">
      <c r="A9440" s="4" t="s">
        <v>10753</v>
      </c>
      <c r="B9440" s="4">
        <v>217502</v>
      </c>
      <c r="D9440" s="5" t="s">
        <v>12624</v>
      </c>
      <c r="E9440" s="6" t="str">
        <f>HYPERLINK("https://inpn.mnhn.fr/espece/cd_nom/217502","Lejogaster tarsata (Meigen, 1822)")</f>
        <v>Lejogaster tarsata (Meigen, 1822)</v>
      </c>
      <c r="P9440" s="7" t="str">
        <f>HYPERLINK("#Liste_rouge!A"&amp;_xlfn.XMATCH("LC",Liste_rouge!A:A,2,1),"LC")</f>
        <v>LC</v>
      </c>
      <c r="AH9440" s="4" t="str">
        <f>HYPERLINK("#Statut_biogéographique!A"&amp;_xlfn.XMATCH("P",Statut_biogéographique!A:A,2,1),"P")</f>
        <v>P</v>
      </c>
      <c r="AP9440" s="4" t="s">
        <v>376</v>
      </c>
      <c r="AR9440" s="4" t="s">
        <v>377</v>
      </c>
    </row>
    <row r="9441" spans="1:44">
      <c r="A9441" s="4" t="s">
        <v>10753</v>
      </c>
      <c r="B9441" s="4">
        <v>217503</v>
      </c>
      <c r="D9441" s="5" t="s">
        <v>12625</v>
      </c>
      <c r="E9441" s="6" t="str">
        <f>HYPERLINK("https://inpn.mnhn.fr/espece/cd_nom/217503","Leucozona glaucia (Linnaeus, 1758)")</f>
        <v>Leucozona glaucia (Linnaeus, 1758)</v>
      </c>
      <c r="P9441" s="7" t="str">
        <f>HYPERLINK("#Liste_rouge!A"&amp;_xlfn.XMATCH("LC",Liste_rouge!A:A,2,1),"LC")</f>
        <v>LC</v>
      </c>
      <c r="AH9441" s="4" t="str">
        <f>HYPERLINK("#Statut_biogéographique!A"&amp;_xlfn.XMATCH("P",Statut_biogéographique!A:A,2,1),"P")</f>
        <v>P</v>
      </c>
      <c r="AP9441" s="4" t="s">
        <v>376</v>
      </c>
      <c r="AR9441" s="4" t="s">
        <v>377</v>
      </c>
    </row>
    <row r="9442" spans="1:44">
      <c r="A9442" s="4" t="s">
        <v>10753</v>
      </c>
      <c r="B9442" s="4">
        <v>217505</v>
      </c>
      <c r="D9442" s="5" t="s">
        <v>12626</v>
      </c>
      <c r="E9442" s="6" t="str">
        <f>HYPERLINK("https://inpn.mnhn.fr/espece/cd_nom/217505","Leucozona laternaria (Müller, 1776)")</f>
        <v>Leucozona laternaria (Müller, 1776)</v>
      </c>
      <c r="P9442" s="7" t="str">
        <f>HYPERLINK("#Liste_rouge!A"&amp;_xlfn.XMATCH("LC",Liste_rouge!A:A,2,1),"LC")</f>
        <v>LC</v>
      </c>
      <c r="AH9442" s="4" t="str">
        <f>HYPERLINK("#Statut_biogéographique!A"&amp;_xlfn.XMATCH("P",Statut_biogéographique!A:A,2,1),"P")</f>
        <v>P</v>
      </c>
      <c r="AP9442" s="4" t="s">
        <v>376</v>
      </c>
      <c r="AR9442" s="4" t="s">
        <v>377</v>
      </c>
    </row>
    <row r="9443" spans="1:44">
      <c r="A9443" s="4" t="s">
        <v>10753</v>
      </c>
      <c r="B9443" s="4">
        <v>217509</v>
      </c>
      <c r="D9443" s="5" t="s">
        <v>12627</v>
      </c>
      <c r="E9443" s="6" t="str">
        <f>HYPERLINK("https://inpn.mnhn.fr/espece/cd_nom/217509","Melanogaster aerosa (Loew, 1843)")</f>
        <v>Melanogaster aerosa (Loew, 1843)</v>
      </c>
      <c r="P9443" s="7" t="str">
        <f>HYPERLINK("#Liste_rouge!A"&amp;_xlfn.XMATCH("LC",Liste_rouge!A:A,2,1),"LC")</f>
        <v>LC</v>
      </c>
      <c r="AH9443" s="4" t="str">
        <f>HYPERLINK("#Statut_biogéographique!A"&amp;_xlfn.XMATCH("P",Statut_biogéographique!A:A,2,1),"P")</f>
        <v>P</v>
      </c>
      <c r="AP9443" s="4" t="s">
        <v>376</v>
      </c>
      <c r="AR9443" s="4" t="s">
        <v>377</v>
      </c>
    </row>
    <row r="9444" spans="1:44">
      <c r="A9444" s="4" t="s">
        <v>10753</v>
      </c>
      <c r="B9444" s="4">
        <v>217510</v>
      </c>
      <c r="D9444" s="5" t="s">
        <v>12628</v>
      </c>
      <c r="E9444" s="6" t="str">
        <f>HYPERLINK("https://inpn.mnhn.fr/espece/cd_nom/217510","Melanogaster hirtella (Loew, 1843)")</f>
        <v>Melanogaster hirtella (Loew, 1843)</v>
      </c>
      <c r="P9444" s="7" t="str">
        <f>HYPERLINK("#Liste_rouge!A"&amp;_xlfn.XMATCH("LC",Liste_rouge!A:A,2,1),"LC")</f>
        <v>LC</v>
      </c>
      <c r="AH9444" s="4" t="str">
        <f>HYPERLINK("#Statut_biogéographique!A"&amp;_xlfn.XMATCH("P",Statut_biogéographique!A:A,2,1),"P")</f>
        <v>P</v>
      </c>
      <c r="AP9444" s="4" t="s">
        <v>376</v>
      </c>
      <c r="AR9444" s="4" t="s">
        <v>377</v>
      </c>
    </row>
    <row r="9445" spans="1:44">
      <c r="A9445" s="4" t="s">
        <v>10753</v>
      </c>
      <c r="B9445" s="4">
        <v>217511</v>
      </c>
      <c r="D9445" s="5" t="s">
        <v>12629</v>
      </c>
      <c r="E9445" s="6" t="str">
        <f>HYPERLINK("https://inpn.mnhn.fr/espece/cd_nom/217511","Melanogaster nuda (Macquart, 1829)")</f>
        <v>Melanogaster nuda (Macquart, 1829)</v>
      </c>
      <c r="P9445" s="7" t="str">
        <f>HYPERLINK("#Liste_rouge!A"&amp;_xlfn.XMATCH("LC",Liste_rouge!A:A,2,1),"LC")</f>
        <v>LC</v>
      </c>
      <c r="AH9445" s="4" t="str">
        <f>HYPERLINK("#Statut_biogéographique!A"&amp;_xlfn.XMATCH("P",Statut_biogéographique!A:A,2,1),"P")</f>
        <v>P</v>
      </c>
      <c r="AP9445" s="4" t="s">
        <v>376</v>
      </c>
      <c r="AR9445" s="4" t="s">
        <v>377</v>
      </c>
    </row>
    <row r="9446" spans="1:44">
      <c r="A9446" s="4" t="s">
        <v>10753</v>
      </c>
      <c r="B9446" s="4">
        <v>217513</v>
      </c>
      <c r="D9446" s="5" t="s">
        <v>12630</v>
      </c>
      <c r="E9446" s="6" t="str">
        <f>HYPERLINK("https://inpn.mnhn.fr/espece/cd_nom/217513","Meligramma cingulata (Egger, 1860)")</f>
        <v>Meligramma cingulata (Egger, 1860)</v>
      </c>
      <c r="O9446" s="7" t="str">
        <f>HYPERLINK("#Liste_rouge!A"&amp;_xlfn.XMATCH("LC",Liste_rouge!A:A,2,1),"LC")</f>
        <v>LC</v>
      </c>
      <c r="AH9446" s="4" t="str">
        <f>HYPERLINK("#Statut_biogéographique!A"&amp;_xlfn.XMATCH("P",Statut_biogéographique!A:A,2,1),"P")</f>
        <v>P</v>
      </c>
      <c r="AP9446" s="4" t="s">
        <v>376</v>
      </c>
      <c r="AR9446" s="4" t="s">
        <v>377</v>
      </c>
    </row>
    <row r="9447" spans="1:44" ht="30">
      <c r="A9447" s="4" t="s">
        <v>10753</v>
      </c>
      <c r="B9447" s="4">
        <v>217515</v>
      </c>
      <c r="D9447" s="5" t="s">
        <v>12631</v>
      </c>
      <c r="E9447" s="6" t="str">
        <f>HYPERLINK("https://inpn.mnhn.fr/espece/cd_nom/217515","Meligramma triangulifera (Zetterstedt, 1843)")</f>
        <v>Meligramma triangulifera (Zetterstedt, 1843)</v>
      </c>
      <c r="P9447" s="7" t="str">
        <f>HYPERLINK("#Liste_rouge!A"&amp;_xlfn.XMATCH("LC",Liste_rouge!A:A,2,1),"LC")</f>
        <v>LC</v>
      </c>
      <c r="AH9447" s="4" t="str">
        <f>HYPERLINK("#Statut_biogéographique!A"&amp;_xlfn.XMATCH("P",Statut_biogéographique!A:A,2,1),"P")</f>
        <v>P</v>
      </c>
      <c r="AP9447" s="4" t="s">
        <v>376</v>
      </c>
      <c r="AR9447" s="4" t="s">
        <v>377</v>
      </c>
    </row>
    <row r="9448" spans="1:44">
      <c r="A9448" s="4" t="s">
        <v>10753</v>
      </c>
      <c r="B9448" s="4">
        <v>217516</v>
      </c>
      <c r="D9448" s="5" t="s">
        <v>12632</v>
      </c>
      <c r="E9448" s="6" t="str">
        <f>HYPERLINK("https://inpn.mnhn.fr/espece/cd_nom/217516","Meliscaeva auricollis (Meigen, 1822)")</f>
        <v>Meliscaeva auricollis (Meigen, 1822)</v>
      </c>
      <c r="P9448" s="7" t="str">
        <f>HYPERLINK("#Liste_rouge!A"&amp;_xlfn.XMATCH("LC",Liste_rouge!A:A,2,1),"LC")</f>
        <v>LC</v>
      </c>
      <c r="AH9448" s="4" t="str">
        <f>HYPERLINK("#Statut_biogéographique!A"&amp;_xlfn.XMATCH("P",Statut_biogéographique!A:A,2,1),"P")</f>
        <v>P</v>
      </c>
      <c r="AP9448" s="4" t="s">
        <v>376</v>
      </c>
      <c r="AR9448" s="4" t="s">
        <v>377</v>
      </c>
    </row>
    <row r="9449" spans="1:44">
      <c r="A9449" s="4" t="s">
        <v>10753</v>
      </c>
      <c r="B9449" s="4">
        <v>217517</v>
      </c>
      <c r="D9449" s="5" t="s">
        <v>12633</v>
      </c>
      <c r="E9449" s="6" t="str">
        <f>HYPERLINK("https://inpn.mnhn.fr/espece/cd_nom/217517","Meliscaeva cinctella (Zetterstedt, 1843)")</f>
        <v>Meliscaeva cinctella (Zetterstedt, 1843)</v>
      </c>
      <c r="P9449" s="7" t="str">
        <f>HYPERLINK("#Liste_rouge!A"&amp;_xlfn.XMATCH("LC",Liste_rouge!A:A,2,1),"LC")</f>
        <v>LC</v>
      </c>
      <c r="AH9449" s="4" t="str">
        <f>HYPERLINK("#Statut_biogéographique!A"&amp;_xlfn.XMATCH("P",Statut_biogéographique!A:A,2,1),"P")</f>
        <v>P</v>
      </c>
      <c r="AP9449" s="4" t="s">
        <v>376</v>
      </c>
      <c r="AR9449" s="4" t="s">
        <v>377</v>
      </c>
    </row>
    <row r="9450" spans="1:44">
      <c r="A9450" s="4" t="s">
        <v>10753</v>
      </c>
      <c r="B9450" s="4">
        <v>217518</v>
      </c>
      <c r="D9450" s="5">
        <v>217518</v>
      </c>
      <c r="E9450" s="6" t="str">
        <f>HYPERLINK("https://inpn.mnhn.fr/espece/cd_nom/217518","Merodon aberrans Egger, 1860")</f>
        <v>Merodon aberrans Egger, 1860</v>
      </c>
      <c r="P9450" s="7" t="str">
        <f>HYPERLINK("#Liste_rouge!A"&amp;_xlfn.XMATCH("LC",Liste_rouge!A:A,2,1),"LC")</f>
        <v>LC</v>
      </c>
      <c r="AH9450" s="4" t="str">
        <f>HYPERLINK("#Statut_biogéographique!A"&amp;_xlfn.XMATCH("P",Statut_biogéographique!A:A,2,1),"P")</f>
        <v>P</v>
      </c>
      <c r="AP9450" s="4" t="s">
        <v>376</v>
      </c>
      <c r="AR9450" s="4" t="s">
        <v>377</v>
      </c>
    </row>
    <row r="9451" spans="1:44">
      <c r="A9451" s="4" t="s">
        <v>10753</v>
      </c>
      <c r="B9451" s="4">
        <v>21752</v>
      </c>
      <c r="D9451" s="5" t="s">
        <v>12634</v>
      </c>
      <c r="E9451" s="6" t="str">
        <f>HYPERLINK("https://inpn.mnhn.fr/espece/cd_nom/21752","Macrorrhyncha flava Winnertz, 1846")</f>
        <v>Macrorrhyncha flava Winnertz, 1846</v>
      </c>
      <c r="AH9451" s="4" t="str">
        <f>HYPERLINK("#Statut_biogéographique!A"&amp;_xlfn.XMATCH("P",Statut_biogéographique!A:A,2,1),"P")</f>
        <v>P</v>
      </c>
      <c r="AP9451" s="4" t="s">
        <v>376</v>
      </c>
      <c r="AR9451" s="4" t="s">
        <v>377</v>
      </c>
    </row>
    <row r="9452" spans="1:44">
      <c r="A9452" s="4" t="s">
        <v>10753</v>
      </c>
      <c r="B9452" s="4">
        <v>217522</v>
      </c>
      <c r="D9452" s="5">
        <v>217522</v>
      </c>
      <c r="E9452" s="6" t="str">
        <f>HYPERLINK("https://inpn.mnhn.fr/espece/cd_nom/217522","Merodon armipes Rondani, 1843")</f>
        <v>Merodon armipes Rondani, 1843</v>
      </c>
      <c r="P9452" s="7" t="str">
        <f>HYPERLINK("#Liste_rouge!A"&amp;_xlfn.XMATCH("LC",Liste_rouge!A:A,2,1),"LC")</f>
        <v>LC</v>
      </c>
      <c r="AH9452" s="4" t="str">
        <f>HYPERLINK("#Statut_biogéographique!A"&amp;_xlfn.XMATCH("P",Statut_biogéographique!A:A,2,1),"P")</f>
        <v>P</v>
      </c>
      <c r="AP9452" s="4" t="s">
        <v>376</v>
      </c>
      <c r="AR9452" s="4" t="s">
        <v>377</v>
      </c>
    </row>
    <row r="9453" spans="1:44">
      <c r="A9453" s="4" t="s">
        <v>10753</v>
      </c>
      <c r="B9453" s="4">
        <v>217525</v>
      </c>
      <c r="D9453" s="5" t="s">
        <v>12635</v>
      </c>
      <c r="E9453" s="6" t="str">
        <f>HYPERLINK("https://inpn.mnhn.fr/espece/cd_nom/217525","Merodon cinereus (Fabricius, 1794)")</f>
        <v>Merodon cinereus (Fabricius, 1794)</v>
      </c>
      <c r="O9453" s="7" t="str">
        <f>HYPERLINK("#Liste_rouge!A"&amp;_xlfn.XMATCH("LC",Liste_rouge!A:A,2,1),"LC")</f>
        <v>LC</v>
      </c>
      <c r="P9453" s="7" t="str">
        <f>HYPERLINK("#Liste_rouge!A"&amp;_xlfn.XMATCH("LC",Liste_rouge!A:A,2,1),"LC")</f>
        <v>LC</v>
      </c>
      <c r="AH9453" s="4" t="str">
        <f>HYPERLINK("#Statut_biogéographique!A"&amp;_xlfn.XMATCH("P",Statut_biogéographique!A:A,2,1),"P")</f>
        <v>P</v>
      </c>
      <c r="AP9453" s="4" t="s">
        <v>376</v>
      </c>
      <c r="AR9453" s="4" t="s">
        <v>377</v>
      </c>
    </row>
    <row r="9454" spans="1:44">
      <c r="A9454" s="4" t="s">
        <v>10753</v>
      </c>
      <c r="B9454" s="4">
        <v>217528</v>
      </c>
      <c r="D9454" s="5" t="s">
        <v>12636</v>
      </c>
      <c r="E9454" s="6" t="str">
        <f>HYPERLINK("https://inpn.mnhn.fr/espece/cd_nom/217528","Merodon constans (Rossi, 1794)")</f>
        <v>Merodon constans (Rossi, 1794)</v>
      </c>
      <c r="O9454" s="7" t="str">
        <f>HYPERLINK("#Liste_rouge!A"&amp;_xlfn.XMATCH("LC",Liste_rouge!A:A,2,1),"LC")</f>
        <v>LC</v>
      </c>
      <c r="P9454" s="7" t="str">
        <f>HYPERLINK("#Liste_rouge!A"&amp;_xlfn.XMATCH("LC",Liste_rouge!A:A,2,1),"LC")</f>
        <v>LC</v>
      </c>
      <c r="AH9454" s="4" t="str">
        <f>HYPERLINK("#Statut_biogéographique!A"&amp;_xlfn.XMATCH("P",Statut_biogéographique!A:A,2,1),"P")</f>
        <v>P</v>
      </c>
      <c r="AP9454" s="4" t="s">
        <v>376</v>
      </c>
      <c r="AR9454" s="4" t="s">
        <v>377</v>
      </c>
    </row>
    <row r="9455" spans="1:44">
      <c r="A9455" s="4" t="s">
        <v>10753</v>
      </c>
      <c r="B9455" s="4">
        <v>21753</v>
      </c>
      <c r="D9455" s="5" t="s">
        <v>12637</v>
      </c>
      <c r="E9455" s="6" t="str">
        <f>HYPERLINK("https://inpn.mnhn.fr/espece/cd_nom/21753","Macrorrhyncha collarti (Tollet, 1955)")</f>
        <v>Macrorrhyncha collarti (Tollet, 1955)</v>
      </c>
      <c r="AH9455" s="4" t="str">
        <f>HYPERLINK("#Statut_biogéographique!A"&amp;_xlfn.XMATCH("P",Statut_biogéographique!A:A,2,1),"P")</f>
        <v>P</v>
      </c>
      <c r="AP9455" s="4" t="s">
        <v>376</v>
      </c>
      <c r="AR9455" s="4" t="s">
        <v>377</v>
      </c>
    </row>
    <row r="9456" spans="1:44" ht="30">
      <c r="A9456" s="4" t="s">
        <v>10753</v>
      </c>
      <c r="B9456" s="4">
        <v>217546</v>
      </c>
      <c r="D9456" s="5" t="s">
        <v>12638</v>
      </c>
      <c r="E9456" s="6" t="str">
        <f>HYPERLINK("https://inpn.mnhn.fr/espece/cd_nom/217546","Mesembrius peregrinus (Loew, 1846)")</f>
        <v>Mesembrius peregrinus (Loew, 1846)</v>
      </c>
      <c r="P9456" s="7" t="str">
        <f>HYPERLINK("#Liste_rouge!A"&amp;_xlfn.XMATCH("LC",Liste_rouge!A:A,2,1),"LC")</f>
        <v>LC</v>
      </c>
      <c r="AH9456" s="4" t="str">
        <f>HYPERLINK("#Statut_biogéographique!A"&amp;_xlfn.XMATCH("P",Statut_biogéographique!A:A,2,1),"P")</f>
        <v>P</v>
      </c>
      <c r="AP9456" s="4" t="s">
        <v>376</v>
      </c>
      <c r="AR9456" s="4" t="s">
        <v>377</v>
      </c>
    </row>
    <row r="9457" spans="1:44">
      <c r="A9457" s="4" t="s">
        <v>10753</v>
      </c>
      <c r="B9457" s="4">
        <v>217547</v>
      </c>
      <c r="D9457" s="5" t="s">
        <v>12639</v>
      </c>
      <c r="E9457" s="6" t="str">
        <f>HYPERLINK("https://inpn.mnhn.fr/espece/cd_nom/217547","Microdon analis (Macquart, 1842)")</f>
        <v>Microdon analis (Macquart, 1842)</v>
      </c>
      <c r="P9457" s="7" t="str">
        <f>HYPERLINK("#Liste_rouge!A"&amp;_xlfn.XMATCH("NT",Liste_rouge!A:A,2,1),"NT")</f>
        <v>NT</v>
      </c>
      <c r="AH9457" s="4" t="str">
        <f>HYPERLINK("#Statut_biogéographique!A"&amp;_xlfn.XMATCH("P",Statut_biogéographique!A:A,2,1),"P")</f>
        <v>P</v>
      </c>
      <c r="AP9457" s="4" t="s">
        <v>376</v>
      </c>
      <c r="AR9457" s="4" t="s">
        <v>377</v>
      </c>
    </row>
    <row r="9458" spans="1:44">
      <c r="A9458" s="4" t="s">
        <v>10753</v>
      </c>
      <c r="B9458" s="4">
        <v>217549</v>
      </c>
      <c r="D9458" s="5" t="s">
        <v>12640</v>
      </c>
      <c r="E9458" s="6" t="str">
        <f>HYPERLINK("https://inpn.mnhn.fr/espece/cd_nom/217549","Myolepta dubia (Fabricius, 1805)")</f>
        <v>Myolepta dubia (Fabricius, 1805)</v>
      </c>
      <c r="P9458" s="7" t="str">
        <f>HYPERLINK("#Liste_rouge!A"&amp;_xlfn.XMATCH("LC",Liste_rouge!A:A,2,1),"LC")</f>
        <v>LC</v>
      </c>
      <c r="AH9458" s="4" t="str">
        <f>HYPERLINK("#Statut_biogéographique!A"&amp;_xlfn.XMATCH("P",Statut_biogéographique!A:A,2,1),"P")</f>
        <v>P</v>
      </c>
      <c r="AP9458" s="4" t="s">
        <v>376</v>
      </c>
      <c r="AR9458" s="4" t="s">
        <v>377</v>
      </c>
    </row>
    <row r="9459" spans="1:44">
      <c r="A9459" s="4" t="s">
        <v>10753</v>
      </c>
      <c r="B9459" s="4">
        <v>217553</v>
      </c>
      <c r="D9459" s="5" t="s">
        <v>12641</v>
      </c>
      <c r="E9459" s="6" t="str">
        <f>HYPERLINK("https://inpn.mnhn.fr/espece/cd_nom/217553","Neoascia annexa (Müller, 1776)")</f>
        <v>Neoascia annexa (Müller, 1776)</v>
      </c>
      <c r="P9459" s="7" t="str">
        <f>HYPERLINK("#Liste_rouge!A"&amp;_xlfn.XMATCH("LC",Liste_rouge!A:A,2,1),"LC")</f>
        <v>LC</v>
      </c>
      <c r="AH9459" s="4" t="str">
        <f>HYPERLINK("#Statut_biogéographique!A"&amp;_xlfn.XMATCH("P",Statut_biogéographique!A:A,2,1),"P")</f>
        <v>P</v>
      </c>
      <c r="AP9459" s="4" t="s">
        <v>376</v>
      </c>
      <c r="AR9459" s="4" t="s">
        <v>377</v>
      </c>
    </row>
    <row r="9460" spans="1:44">
      <c r="A9460" s="4" t="s">
        <v>10753</v>
      </c>
      <c r="B9460" s="4">
        <v>217554</v>
      </c>
      <c r="D9460" s="5" t="s">
        <v>12642</v>
      </c>
      <c r="E9460" s="6" t="str">
        <f>HYPERLINK("https://inpn.mnhn.fr/espece/cd_nom/217554","Neoascia tenur (Harris, 1780)")</f>
        <v>Neoascia tenur (Harris, 1780)</v>
      </c>
      <c r="P9460" s="7" t="str">
        <f>HYPERLINK("#Liste_rouge!A"&amp;_xlfn.XMATCH("LC",Liste_rouge!A:A,2,1),"LC")</f>
        <v>LC</v>
      </c>
      <c r="AH9460" s="4" t="str">
        <f>HYPERLINK("#Statut_biogéographique!A"&amp;_xlfn.XMATCH("P",Statut_biogéographique!A:A,2,1),"P")</f>
        <v>P</v>
      </c>
      <c r="AP9460" s="4" t="s">
        <v>376</v>
      </c>
      <c r="AR9460" s="4" t="s">
        <v>377</v>
      </c>
    </row>
    <row r="9461" spans="1:44">
      <c r="A9461" s="4" t="s">
        <v>10753</v>
      </c>
      <c r="B9461" s="4">
        <v>217562</v>
      </c>
      <c r="D9461" s="5">
        <v>217562</v>
      </c>
      <c r="E9461" s="6" t="str">
        <f>HYPERLINK("https://inpn.mnhn.fr/espece/cd_nom/217562","Paragus pecchiolii Rondani, 1857")</f>
        <v>Paragus pecchiolii Rondani, 1857</v>
      </c>
      <c r="P9461" s="7" t="str">
        <f>HYPERLINK("#Liste_rouge!A"&amp;_xlfn.XMATCH("LC",Liste_rouge!A:A,2,1),"LC")</f>
        <v>LC</v>
      </c>
      <c r="AH9461" s="4" t="str">
        <f>HYPERLINK("#Statut_biogéographique!A"&amp;_xlfn.XMATCH("P",Statut_biogéographique!A:A,2,1),"P")</f>
        <v>P</v>
      </c>
      <c r="AP9461" s="4" t="s">
        <v>376</v>
      </c>
      <c r="AR9461" s="4" t="s">
        <v>377</v>
      </c>
    </row>
    <row r="9462" spans="1:44">
      <c r="A9462" s="4" t="s">
        <v>10753</v>
      </c>
      <c r="B9462" s="4">
        <v>217565</v>
      </c>
      <c r="D9462" s="5">
        <v>217565</v>
      </c>
      <c r="E9462" s="6" t="str">
        <f>HYPERLINK("https://inpn.mnhn.fr/espece/cd_nom/217565","Paragus romanicus Stănescu, 1992")</f>
        <v>Paragus romanicus Stănescu, 1992</v>
      </c>
      <c r="AH9462" s="4" t="str">
        <f>HYPERLINK("#Statut_biogéographique!A"&amp;_xlfn.XMATCH("P",Statut_biogéographique!A:A,2,1),"P")</f>
        <v>P</v>
      </c>
      <c r="AP9462" s="4" t="s">
        <v>376</v>
      </c>
      <c r="AR9462" s="4" t="s">
        <v>377</v>
      </c>
    </row>
    <row r="9463" spans="1:44">
      <c r="A9463" s="4" t="s">
        <v>10753</v>
      </c>
      <c r="B9463" s="4">
        <v>217570</v>
      </c>
      <c r="D9463" s="5" t="s">
        <v>12643</v>
      </c>
      <c r="E9463" s="6" t="str">
        <f>HYPERLINK("https://inpn.mnhn.fr/espece/cd_nom/217570","Parasyrphus lineolus (Zetterstedt, 1843)")</f>
        <v>Parasyrphus lineolus (Zetterstedt, 1843)</v>
      </c>
      <c r="P9463" s="7" t="str">
        <f>HYPERLINK("#Liste_rouge!A"&amp;_xlfn.XMATCH("LC",Liste_rouge!A:A,2,1),"LC")</f>
        <v>LC</v>
      </c>
      <c r="AH9463" s="4" t="str">
        <f>HYPERLINK("#Statut_biogéographique!A"&amp;_xlfn.XMATCH("P",Statut_biogéographique!A:A,2,1),"P")</f>
        <v>P</v>
      </c>
      <c r="AP9463" s="4" t="s">
        <v>376</v>
      </c>
      <c r="AR9463" s="4" t="s">
        <v>377</v>
      </c>
    </row>
    <row r="9464" spans="1:44">
      <c r="A9464" s="4" t="s">
        <v>10753</v>
      </c>
      <c r="B9464" s="4">
        <v>217579</v>
      </c>
      <c r="D9464" s="5" t="s">
        <v>12644</v>
      </c>
      <c r="E9464" s="6" t="str">
        <f>HYPERLINK("https://inpn.mnhn.fr/espece/cd_nom/217579","Pipizella viduata (Linnaeus, 1758)")</f>
        <v>Pipizella viduata (Linnaeus, 1758)</v>
      </c>
      <c r="P9464" s="7" t="str">
        <f>HYPERLINK("#Liste_rouge!A"&amp;_xlfn.XMATCH("LC",Liste_rouge!A:A,2,1),"LC")</f>
        <v>LC</v>
      </c>
      <c r="AH9464" s="4" t="str">
        <f>HYPERLINK("#Statut_biogéographique!A"&amp;_xlfn.XMATCH("P",Statut_biogéographique!A:A,2,1),"P")</f>
        <v>P</v>
      </c>
      <c r="AP9464" s="4" t="s">
        <v>376</v>
      </c>
      <c r="AR9464" s="4" t="s">
        <v>377</v>
      </c>
    </row>
    <row r="9465" spans="1:44">
      <c r="A9465" s="4" t="s">
        <v>10753</v>
      </c>
      <c r="B9465" s="4">
        <v>217580</v>
      </c>
      <c r="D9465" s="5">
        <v>217580</v>
      </c>
      <c r="E9465" s="6" t="str">
        <f>HYPERLINK("https://inpn.mnhn.fr/espece/cd_nom/217580","Platycheirus amplus Curran, 1927")</f>
        <v>Platycheirus amplus Curran, 1927</v>
      </c>
      <c r="P9465" s="7" t="str">
        <f>HYPERLINK("#Liste_rouge!A"&amp;_xlfn.XMATCH("LC",Liste_rouge!A:A,2,1),"LC")</f>
        <v>LC</v>
      </c>
      <c r="AH9465" s="4" t="str">
        <f>HYPERLINK("#Statut_biogéographique!A"&amp;_xlfn.XMATCH("P",Statut_biogéographique!A:A,2,1),"P")</f>
        <v>P</v>
      </c>
      <c r="AP9465" s="4" t="s">
        <v>376</v>
      </c>
      <c r="AR9465" s="4" t="s">
        <v>377</v>
      </c>
    </row>
    <row r="9466" spans="1:44">
      <c r="A9466" s="4" t="s">
        <v>10753</v>
      </c>
      <c r="B9466" s="4">
        <v>217582</v>
      </c>
      <c r="D9466" s="5">
        <v>217582</v>
      </c>
      <c r="E9466" s="6" t="str">
        <f>HYPERLINK("https://inpn.mnhn.fr/espece/cd_nom/217582","Platycheirus aurolateralis Stubbs, 2002")</f>
        <v>Platycheirus aurolateralis Stubbs, 2002</v>
      </c>
      <c r="P9466" s="7" t="str">
        <f>HYPERLINK("#Liste_rouge!A"&amp;_xlfn.XMATCH("LC",Liste_rouge!A:A,2,1),"LC")</f>
        <v>LC</v>
      </c>
      <c r="AH9466" s="4" t="str">
        <f>HYPERLINK("#Statut_biogéographique!A"&amp;_xlfn.XMATCH("P",Statut_biogéographique!A:A,2,1),"P")</f>
        <v>P</v>
      </c>
      <c r="AP9466" s="4" t="s">
        <v>376</v>
      </c>
      <c r="AR9466" s="4" t="s">
        <v>377</v>
      </c>
    </row>
    <row r="9467" spans="1:44" ht="30">
      <c r="A9467" s="4" t="s">
        <v>10753</v>
      </c>
      <c r="B9467" s="4">
        <v>217585</v>
      </c>
      <c r="D9467" s="5">
        <v>217585</v>
      </c>
      <c r="E9467" s="6" t="str">
        <f>HYPERLINK("https://inpn.mnhn.fr/espece/cd_nom/217585","Platycheirus europaeus Goeldlin, Maibach &amp; Speight, 1990")</f>
        <v>Platycheirus europaeus Goeldlin, Maibach &amp; Speight, 1990</v>
      </c>
      <c r="P9467" s="7" t="str">
        <f>HYPERLINK("#Liste_rouge!A"&amp;_xlfn.XMATCH("LC",Liste_rouge!A:A,2,1),"LC")</f>
        <v>LC</v>
      </c>
      <c r="AH9467" s="4" t="str">
        <f>HYPERLINK("#Statut_biogéographique!A"&amp;_xlfn.XMATCH("P",Statut_biogéographique!A:A,2,1),"P")</f>
        <v>P</v>
      </c>
      <c r="AP9467" s="4" t="s">
        <v>376</v>
      </c>
      <c r="AR9467" s="4" t="s">
        <v>377</v>
      </c>
    </row>
    <row r="9468" spans="1:44">
      <c r="A9468" s="4" t="s">
        <v>10753</v>
      </c>
      <c r="B9468" s="4">
        <v>217587</v>
      </c>
      <c r="D9468" s="5">
        <v>217587</v>
      </c>
      <c r="E9468" s="6" t="str">
        <f>HYPERLINK("https://inpn.mnhn.fr/espece/cd_nom/217587","Platycheirus immaculatus Ôhara, 1980")</f>
        <v>Platycheirus immaculatus Ôhara, 1980</v>
      </c>
      <c r="P9468" s="7" t="str">
        <f>HYPERLINK("#Liste_rouge!A"&amp;_xlfn.XMATCH("LC",Liste_rouge!A:A,2,1),"LC")</f>
        <v>LC</v>
      </c>
      <c r="AH9468" s="4" t="str">
        <f>HYPERLINK("#Statut_biogéographique!A"&amp;_xlfn.XMATCH("P",Statut_biogéographique!A:A,2,1),"P")</f>
        <v>P</v>
      </c>
      <c r="AP9468" s="4" t="s">
        <v>376</v>
      </c>
      <c r="AR9468" s="4" t="s">
        <v>377</v>
      </c>
    </row>
    <row r="9469" spans="1:44">
      <c r="A9469" s="4" t="s">
        <v>10753</v>
      </c>
      <c r="B9469" s="4">
        <v>217590</v>
      </c>
      <c r="D9469" s="5">
        <v>217590</v>
      </c>
      <c r="E9469" s="6" t="str">
        <f>HYPERLINK("https://inpn.mnhn.fr/espece/cd_nom/217590","Platycheirus nielseni Vockeroth, 1990")</f>
        <v>Platycheirus nielseni Vockeroth, 1990</v>
      </c>
      <c r="P9469" s="7" t="str">
        <f>HYPERLINK("#Liste_rouge!A"&amp;_xlfn.XMATCH("LC",Liste_rouge!A:A,2,1),"LC")</f>
        <v>LC</v>
      </c>
      <c r="AH9469" s="4" t="str">
        <f>HYPERLINK("#Statut_biogéographique!A"&amp;_xlfn.XMATCH("P",Statut_biogéographique!A:A,2,1),"P")</f>
        <v>P</v>
      </c>
      <c r="AP9469" s="4" t="s">
        <v>376</v>
      </c>
      <c r="AR9469" s="4" t="s">
        <v>377</v>
      </c>
    </row>
    <row r="9470" spans="1:44" ht="30">
      <c r="A9470" s="4" t="s">
        <v>10753</v>
      </c>
      <c r="B9470" s="4">
        <v>217591</v>
      </c>
      <c r="D9470" s="5">
        <v>217591</v>
      </c>
      <c r="E9470" s="6" t="str">
        <f>HYPERLINK("https://inpn.mnhn.fr/espece/cd_nom/217591","Platycheirus occultus Goeldlin, Maibach &amp; Speight, 1990")</f>
        <v>Platycheirus occultus Goeldlin, Maibach &amp; Speight, 1990</v>
      </c>
      <c r="P9470" s="7" t="str">
        <f>HYPERLINK("#Liste_rouge!A"&amp;_xlfn.XMATCH("LC",Liste_rouge!A:A,2,1),"LC")</f>
        <v>LC</v>
      </c>
      <c r="AH9470" s="4" t="str">
        <f>HYPERLINK("#Statut_biogéographique!A"&amp;_xlfn.XMATCH("P",Statut_biogéographique!A:A,2,1),"P")</f>
        <v>P</v>
      </c>
      <c r="AP9470" s="4" t="s">
        <v>376</v>
      </c>
      <c r="AR9470" s="4" t="s">
        <v>377</v>
      </c>
    </row>
    <row r="9471" spans="1:44">
      <c r="A9471" s="4" t="s">
        <v>10753</v>
      </c>
      <c r="B9471" s="4">
        <v>217592</v>
      </c>
      <c r="D9471" s="5">
        <v>217592</v>
      </c>
      <c r="E9471" s="6" t="str">
        <f>HYPERLINK("https://inpn.mnhn.fr/espece/cd_nom/217592","Platycheirus parmatus Rondani, 1857")</f>
        <v>Platycheirus parmatus Rondani, 1857</v>
      </c>
      <c r="P9471" s="7" t="str">
        <f>HYPERLINK("#Liste_rouge!A"&amp;_xlfn.XMATCH("LC",Liste_rouge!A:A,2,1),"LC")</f>
        <v>LC</v>
      </c>
      <c r="AH9471" s="4" t="str">
        <f>HYPERLINK("#Statut_biogéographique!A"&amp;_xlfn.XMATCH("P",Statut_biogéographique!A:A,2,1),"P")</f>
        <v>P</v>
      </c>
      <c r="AP9471" s="4" t="s">
        <v>376</v>
      </c>
      <c r="AR9471" s="4" t="s">
        <v>377</v>
      </c>
    </row>
    <row r="9472" spans="1:44">
      <c r="A9472" s="4" t="s">
        <v>10753</v>
      </c>
      <c r="B9472" s="4">
        <v>217595</v>
      </c>
      <c r="D9472" s="5">
        <v>217595</v>
      </c>
      <c r="E9472" s="6" t="str">
        <f>HYPERLINK("https://inpn.mnhn.fr/espece/cd_nom/217595","Platycheirus splendidus Rotheray, 1998")</f>
        <v>Platycheirus splendidus Rotheray, 1998</v>
      </c>
      <c r="P9472" s="7" t="str">
        <f>HYPERLINK("#Liste_rouge!A"&amp;_xlfn.XMATCH("LC",Liste_rouge!A:A,2,1),"LC")</f>
        <v>LC</v>
      </c>
      <c r="AH9472" s="4" t="str">
        <f>HYPERLINK("#Statut_biogéographique!A"&amp;_xlfn.XMATCH("P",Statut_biogéographique!A:A,2,1),"P")</f>
        <v>P</v>
      </c>
      <c r="AP9472" s="4" t="s">
        <v>376</v>
      </c>
      <c r="AR9472" s="4" t="s">
        <v>377</v>
      </c>
    </row>
    <row r="9473" spans="1:44">
      <c r="A9473" s="4" t="s">
        <v>10753</v>
      </c>
      <c r="B9473" s="4">
        <v>217598</v>
      </c>
      <c r="D9473" s="5" t="s">
        <v>12645</v>
      </c>
      <c r="E9473" s="6" t="str">
        <f>HYPERLINK("https://inpn.mnhn.fr/espece/cd_nom/217598","Portevinia maculata (Fallén, 1817)")</f>
        <v>Portevinia maculata (Fallén, 1817)</v>
      </c>
      <c r="O9473" s="7" t="str">
        <f>HYPERLINK("#Liste_rouge!A"&amp;_xlfn.XMATCH("LC",Liste_rouge!A:A,2,1),"LC")</f>
        <v>LC</v>
      </c>
      <c r="P9473" s="7" t="str">
        <f>HYPERLINK("#Liste_rouge!A"&amp;_xlfn.XMATCH("LC",Liste_rouge!A:A,2,1),"LC")</f>
        <v>LC</v>
      </c>
      <c r="AH9473" s="4" t="str">
        <f>HYPERLINK("#Statut_biogéographique!A"&amp;_xlfn.XMATCH("P",Statut_biogéographique!A:A,2,1),"P")</f>
        <v>P</v>
      </c>
      <c r="AP9473" s="4" t="s">
        <v>376</v>
      </c>
      <c r="AR9473" s="4" t="s">
        <v>377</v>
      </c>
    </row>
    <row r="9474" spans="1:44">
      <c r="A9474" s="4" t="s">
        <v>10753</v>
      </c>
      <c r="B9474" s="4">
        <v>217599</v>
      </c>
      <c r="D9474" s="5">
        <v>217599</v>
      </c>
      <c r="E9474" s="6" t="str">
        <f>HYPERLINK("https://inpn.mnhn.fr/espece/cd_nom/217599","Rhingia borealis Ringdahl, 1928")</f>
        <v>Rhingia borealis Ringdahl, 1928</v>
      </c>
      <c r="P9474" s="7" t="str">
        <f>HYPERLINK("#Liste_rouge!A"&amp;_xlfn.XMATCH("LC",Liste_rouge!A:A,2,1),"LC")</f>
        <v>LC</v>
      </c>
      <c r="AH9474" s="4" t="str">
        <f>HYPERLINK("#Statut_biogéographique!A"&amp;_xlfn.XMATCH("P",Statut_biogéographique!A:A,2,1),"P")</f>
        <v>P</v>
      </c>
      <c r="AP9474" s="4" t="s">
        <v>376</v>
      </c>
      <c r="AR9474" s="4" t="s">
        <v>377</v>
      </c>
    </row>
    <row r="9475" spans="1:44">
      <c r="A9475" s="4" t="s">
        <v>10753</v>
      </c>
      <c r="B9475" s="4">
        <v>217605</v>
      </c>
      <c r="D9475" s="5" t="s">
        <v>12646</v>
      </c>
      <c r="E9475" s="6" t="str">
        <f>HYPERLINK("https://inpn.mnhn.fr/espece/cd_nom/217605","Scaeva dignota (Rondani, 1857)")</f>
        <v>Scaeva dignota (Rondani, 1857)</v>
      </c>
      <c r="P9475" s="7" t="str">
        <f>HYPERLINK("#Liste_rouge!A"&amp;_xlfn.XMATCH("LC",Liste_rouge!A:A,2,1),"LC")</f>
        <v>LC</v>
      </c>
      <c r="AH9475" s="4" t="str">
        <f>HYPERLINK("#Statut_biogéographique!A"&amp;_xlfn.XMATCH("P",Statut_biogéographique!A:A,2,1),"P")</f>
        <v>P</v>
      </c>
      <c r="AP9475" s="4" t="s">
        <v>376</v>
      </c>
      <c r="AR9475" s="4" t="s">
        <v>377</v>
      </c>
    </row>
    <row r="9476" spans="1:44">
      <c r="A9476" s="4" t="s">
        <v>10753</v>
      </c>
      <c r="B9476" s="4">
        <v>217611</v>
      </c>
      <c r="D9476" s="5">
        <v>217611</v>
      </c>
      <c r="E9476" s="6" t="str">
        <f>HYPERLINK("https://inpn.mnhn.fr/espece/cd_nom/217611","Sphaerophoria fatarum Goeldlin, 1989")</f>
        <v>Sphaerophoria fatarum Goeldlin, 1989</v>
      </c>
      <c r="O9476" s="7" t="str">
        <f>HYPERLINK("#Liste_rouge!A"&amp;_xlfn.XMATCH("NT",Liste_rouge!A:A,2,1),"NT")</f>
        <v>NT</v>
      </c>
      <c r="P9476" s="7" t="str">
        <f>HYPERLINK("#Liste_rouge!A"&amp;_xlfn.XMATCH("NT",Liste_rouge!A:A,2,1),"NT")</f>
        <v>NT</v>
      </c>
      <c r="AH9476" s="4" t="str">
        <f>HYPERLINK("#Statut_biogéographique!A"&amp;_xlfn.XMATCH("P",Statut_biogéographique!A:A,2,1),"P")</f>
        <v>P</v>
      </c>
      <c r="AP9476" s="4" t="s">
        <v>376</v>
      </c>
      <c r="AR9476" s="4" t="s">
        <v>377</v>
      </c>
    </row>
    <row r="9477" spans="1:44">
      <c r="A9477" s="4" t="s">
        <v>10753</v>
      </c>
      <c r="B9477" s="4">
        <v>217612</v>
      </c>
      <c r="D9477" s="5">
        <v>217612</v>
      </c>
      <c r="E9477" s="6" t="str">
        <f>HYPERLINK("https://inpn.mnhn.fr/espece/cd_nom/217612","Sphaerophoria infuscata Goeldlin, 1974")</f>
        <v>Sphaerophoria infuscata Goeldlin, 1974</v>
      </c>
      <c r="O9477" s="7" t="str">
        <f>HYPERLINK("#Liste_rouge!A"&amp;_xlfn.XMATCH("LC",Liste_rouge!A:A,2,1),"LC")</f>
        <v>LC</v>
      </c>
      <c r="P9477" s="7" t="str">
        <f>HYPERLINK("#Liste_rouge!A"&amp;_xlfn.XMATCH("LC",Liste_rouge!A:A,2,1),"LC")</f>
        <v>LC</v>
      </c>
      <c r="AH9477" s="4" t="str">
        <f>HYPERLINK("#Statut_biogéographique!A"&amp;_xlfn.XMATCH("P",Statut_biogéographique!A:A,2,1),"P")</f>
        <v>P</v>
      </c>
      <c r="AP9477" s="4" t="s">
        <v>376</v>
      </c>
      <c r="AR9477" s="4" t="s">
        <v>377</v>
      </c>
    </row>
    <row r="9478" spans="1:44">
      <c r="A9478" s="4" t="s">
        <v>10753</v>
      </c>
      <c r="B9478" s="4">
        <v>217613</v>
      </c>
      <c r="D9478" s="5" t="s">
        <v>12647</v>
      </c>
      <c r="E9478" s="6" t="str">
        <f>HYPERLINK("https://inpn.mnhn.fr/espece/cd_nom/217613","Sphaerophoria interrupta (Fabricius, 1805)")</f>
        <v>Sphaerophoria interrupta (Fabricius, 1805)</v>
      </c>
      <c r="P9478" s="7" t="str">
        <f>HYPERLINK("#Liste_rouge!A"&amp;_xlfn.XMATCH("LC",Liste_rouge!A:A,2,1),"LC")</f>
        <v>LC</v>
      </c>
      <c r="AH9478" s="4" t="str">
        <f>HYPERLINK("#Statut_biogéographique!A"&amp;_xlfn.XMATCH("P",Statut_biogéographique!A:A,2,1),"P")</f>
        <v>P</v>
      </c>
      <c r="AP9478" s="4" t="s">
        <v>376</v>
      </c>
      <c r="AR9478" s="4" t="s">
        <v>377</v>
      </c>
    </row>
    <row r="9479" spans="1:44">
      <c r="A9479" s="4" t="s">
        <v>10753</v>
      </c>
      <c r="B9479" s="4">
        <v>217615</v>
      </c>
      <c r="D9479" s="5" t="s">
        <v>12648</v>
      </c>
      <c r="E9479" s="6" t="str">
        <f>HYPERLINK("https://inpn.mnhn.fr/espece/cd_nom/217615","Sphaerophoria philantha (Meigen, 1822)")</f>
        <v>Sphaerophoria philantha (Meigen, 1822)</v>
      </c>
      <c r="P9479" s="7" t="str">
        <f>HYPERLINK("#Liste_rouge!A"&amp;_xlfn.XMATCH("LC",Liste_rouge!A:A,2,1),"LC")</f>
        <v>LC</v>
      </c>
      <c r="AH9479" s="4" t="str">
        <f>HYPERLINK("#Statut_biogéographique!A"&amp;_xlfn.XMATCH("P",Statut_biogéographique!A:A,2,1),"P")</f>
        <v>P</v>
      </c>
      <c r="AP9479" s="4" t="s">
        <v>376</v>
      </c>
      <c r="AR9479" s="4" t="s">
        <v>377</v>
      </c>
    </row>
    <row r="9480" spans="1:44">
      <c r="A9480" s="4" t="s">
        <v>10753</v>
      </c>
      <c r="B9480" s="4">
        <v>217616</v>
      </c>
      <c r="D9480" s="5">
        <v>217616</v>
      </c>
      <c r="E9480" s="6" t="str">
        <f>HYPERLINK("https://inpn.mnhn.fr/espece/cd_nom/217616","Sphaerophoria shirchan Violovitsh, 1957")</f>
        <v>Sphaerophoria shirchan Violovitsh, 1957</v>
      </c>
      <c r="P9480" s="7" t="str">
        <f>HYPERLINK("#Liste_rouge!A"&amp;_xlfn.XMATCH("NT",Liste_rouge!A:A,2,1),"NT")</f>
        <v>NT</v>
      </c>
      <c r="AH9480" s="4" t="str">
        <f>HYPERLINK("#Statut_biogéographique!A"&amp;_xlfn.XMATCH("P",Statut_biogéographique!A:A,2,1),"P")</f>
        <v>P</v>
      </c>
      <c r="AP9480" s="4" t="s">
        <v>376</v>
      </c>
      <c r="AR9480" s="4" t="s">
        <v>377</v>
      </c>
    </row>
    <row r="9481" spans="1:44">
      <c r="A9481" s="4" t="s">
        <v>10753</v>
      </c>
      <c r="B9481" s="4">
        <v>217618</v>
      </c>
      <c r="D9481" s="5">
        <v>217618</v>
      </c>
      <c r="E9481" s="6" t="str">
        <f>HYPERLINK("https://inpn.mnhn.fr/espece/cd_nom/217618","Sphegina elegans Schummel, 1843")</f>
        <v>Sphegina elegans Schummel, 1843</v>
      </c>
      <c r="O9481" s="7" t="str">
        <f>HYPERLINK("#Liste_rouge!A"&amp;_xlfn.XMATCH("LC",Liste_rouge!A:A,2,1),"LC")</f>
        <v>LC</v>
      </c>
      <c r="P9481" s="7" t="str">
        <f>HYPERLINK("#Liste_rouge!A"&amp;_xlfn.XMATCH("LC",Liste_rouge!A:A,2,1),"LC")</f>
        <v>LC</v>
      </c>
      <c r="AH9481" s="4" t="str">
        <f>HYPERLINK("#Statut_biogéographique!A"&amp;_xlfn.XMATCH("P",Statut_biogéographique!A:A,2,1),"P")</f>
        <v>P</v>
      </c>
      <c r="AP9481" s="4" t="s">
        <v>376</v>
      </c>
      <c r="AR9481" s="4" t="s">
        <v>377</v>
      </c>
    </row>
    <row r="9482" spans="1:44">
      <c r="A9482" s="4" t="s">
        <v>10753</v>
      </c>
      <c r="B9482" s="4">
        <v>217619</v>
      </c>
      <c r="D9482" s="5">
        <v>217619</v>
      </c>
      <c r="E9482" s="6" t="str">
        <f>HYPERLINK("https://inpn.mnhn.fr/espece/cd_nom/217619","Sphegina latifrons Egger, 1865")</f>
        <v>Sphegina latifrons Egger, 1865</v>
      </c>
      <c r="O9482" s="7" t="str">
        <f>HYPERLINK("#Liste_rouge!A"&amp;_xlfn.XMATCH("LC",Liste_rouge!A:A,2,1),"LC")</f>
        <v>LC</v>
      </c>
      <c r="P9482" s="7" t="str">
        <f>HYPERLINK("#Liste_rouge!A"&amp;_xlfn.XMATCH("LC",Liste_rouge!A:A,2,1),"LC")</f>
        <v>LC</v>
      </c>
      <c r="AH9482" s="4" t="str">
        <f>HYPERLINK("#Statut_biogéographique!A"&amp;_xlfn.XMATCH("P",Statut_biogéographique!A:A,2,1),"P")</f>
        <v>P</v>
      </c>
      <c r="AP9482" s="4" t="s">
        <v>376</v>
      </c>
      <c r="AR9482" s="4" t="s">
        <v>377</v>
      </c>
    </row>
    <row r="9483" spans="1:44">
      <c r="A9483" s="4" t="s">
        <v>10753</v>
      </c>
      <c r="B9483" s="4">
        <v>217622</v>
      </c>
      <c r="D9483" s="5" t="s">
        <v>12649</v>
      </c>
      <c r="E9483" s="6" t="str">
        <f>HYPERLINK("https://inpn.mnhn.fr/espece/cd_nom/217622","Sphegina spheginea (Zetterstedt, 1838)")</f>
        <v>Sphegina spheginea (Zetterstedt, 1838)</v>
      </c>
      <c r="P9483" s="7" t="str">
        <f>HYPERLINK("#Liste_rouge!A"&amp;_xlfn.XMATCH("VU",Liste_rouge!A:A,2,1),"VU")</f>
        <v>VU</v>
      </c>
      <c r="AH9483" s="4" t="str">
        <f>HYPERLINK("#Statut_biogéographique!A"&amp;_xlfn.XMATCH("P",Statut_biogéographique!A:A,2,1),"P")</f>
        <v>P</v>
      </c>
      <c r="AP9483" s="4" t="s">
        <v>376</v>
      </c>
      <c r="AR9483" s="4" t="s">
        <v>377</v>
      </c>
    </row>
    <row r="9484" spans="1:44">
      <c r="A9484" s="4" t="s">
        <v>10753</v>
      </c>
      <c r="B9484" s="4">
        <v>217626</v>
      </c>
      <c r="D9484" s="5" t="s">
        <v>12650</v>
      </c>
      <c r="E9484" s="6" t="str">
        <f>HYPERLINK("https://inpn.mnhn.fr/espece/cd_nom/217626","Spilomyia manicata (Rondani, 1865)")</f>
        <v>Spilomyia manicata (Rondani, 1865)</v>
      </c>
      <c r="P9484" s="7" t="str">
        <f>HYPERLINK("#Liste_rouge!A"&amp;_xlfn.XMATCH("LC",Liste_rouge!A:A,2,1),"LC")</f>
        <v>LC</v>
      </c>
      <c r="AH9484" s="4" t="str">
        <f>HYPERLINK("#Statut_biogéographique!A"&amp;_xlfn.XMATCH("P",Statut_biogéographique!A:A,2,1),"P")</f>
        <v>P</v>
      </c>
      <c r="AP9484" s="4" t="s">
        <v>376</v>
      </c>
      <c r="AR9484" s="4" t="s">
        <v>377</v>
      </c>
    </row>
    <row r="9485" spans="1:44">
      <c r="A9485" s="4" t="s">
        <v>10753</v>
      </c>
      <c r="B9485" s="4">
        <v>217630</v>
      </c>
      <c r="D9485" s="5">
        <v>217630</v>
      </c>
      <c r="E9485" s="6" t="str">
        <f>HYPERLINK("https://inpn.mnhn.fr/espece/cd_nom/217630","Syrphus rectus Osten-Sacken, 1877")</f>
        <v>Syrphus rectus Osten-Sacken, 1877</v>
      </c>
      <c r="P9485" s="7" t="str">
        <f>HYPERLINK("#Liste_rouge!A"&amp;_xlfn.XMATCH("DD",Liste_rouge!A:A,2,1),"DD")</f>
        <v>DD</v>
      </c>
      <c r="AH9485" s="4" t="str">
        <f>HYPERLINK("#Statut_biogéographique!A"&amp;_xlfn.XMATCH("P",Statut_biogéographique!A:A,2,1),"P")</f>
        <v>P</v>
      </c>
      <c r="AP9485" s="4" t="s">
        <v>376</v>
      </c>
      <c r="AR9485" s="4" t="s">
        <v>377</v>
      </c>
    </row>
    <row r="9486" spans="1:44">
      <c r="A9486" s="4" t="s">
        <v>10753</v>
      </c>
      <c r="B9486" s="4">
        <v>217632</v>
      </c>
      <c r="D9486" s="5" t="s">
        <v>12651</v>
      </c>
      <c r="E9486" s="6" t="str">
        <f>HYPERLINK("https://inpn.mnhn.fr/espece/cd_nom/217632","Trichopsomyia flavitarsis (Meigen, 1822)")</f>
        <v>Trichopsomyia flavitarsis (Meigen, 1822)</v>
      </c>
      <c r="P9486" s="7" t="str">
        <f>HYPERLINK("#Liste_rouge!A"&amp;_xlfn.XMATCH("LC",Liste_rouge!A:A,2,1),"LC")</f>
        <v>LC</v>
      </c>
      <c r="AH9486" s="4" t="str">
        <f>HYPERLINK("#Statut_biogéographique!A"&amp;_xlfn.XMATCH("P",Statut_biogéographique!A:A,2,1),"P")</f>
        <v>P</v>
      </c>
      <c r="AP9486" s="4" t="s">
        <v>376</v>
      </c>
      <c r="AR9486" s="4" t="s">
        <v>377</v>
      </c>
    </row>
    <row r="9487" spans="1:44">
      <c r="A9487" s="4" t="s">
        <v>10753</v>
      </c>
      <c r="B9487" s="4">
        <v>217633</v>
      </c>
      <c r="D9487" s="5">
        <v>217633</v>
      </c>
      <c r="E9487" s="6" t="str">
        <f>HYPERLINK("https://inpn.mnhn.fr/espece/cd_nom/217633","Trichopsomyia joratensis Goeldlin, 1997")</f>
        <v>Trichopsomyia joratensis Goeldlin, 1997</v>
      </c>
      <c r="O9487" s="7" t="str">
        <f>HYPERLINK("#Liste_rouge!A"&amp;_xlfn.XMATCH("LC",Liste_rouge!A:A,2,1),"LC")</f>
        <v>LC</v>
      </c>
      <c r="P9487" s="7" t="str">
        <f>HYPERLINK("#Liste_rouge!A"&amp;_xlfn.XMATCH("LC",Liste_rouge!A:A,2,1),"LC")</f>
        <v>LC</v>
      </c>
      <c r="AH9487" s="4" t="str">
        <f>HYPERLINK("#Statut_biogéographique!A"&amp;_xlfn.XMATCH("P",Statut_biogéographique!A:A,2,1),"P")</f>
        <v>P</v>
      </c>
      <c r="AP9487" s="4" t="s">
        <v>376</v>
      </c>
      <c r="AR9487" s="4" t="s">
        <v>377</v>
      </c>
    </row>
    <row r="9488" spans="1:44">
      <c r="A9488" s="4" t="s">
        <v>10753</v>
      </c>
      <c r="B9488" s="4">
        <v>217635</v>
      </c>
      <c r="D9488" s="5" t="s">
        <v>12652</v>
      </c>
      <c r="E9488" s="6" t="str">
        <f>HYPERLINK("https://inpn.mnhn.fr/espece/cd_nom/217635","Xanthogramma laetum (Fabricius, 1794)")</f>
        <v>Xanthogramma laetum (Fabricius, 1794)</v>
      </c>
      <c r="P9488" s="7" t="str">
        <f>HYPERLINK("#Liste_rouge!A"&amp;_xlfn.XMATCH("LC",Liste_rouge!A:A,2,1),"LC")</f>
        <v>LC</v>
      </c>
      <c r="AH9488" s="4" t="str">
        <f>HYPERLINK("#Statut_biogéographique!A"&amp;_xlfn.XMATCH("P",Statut_biogéographique!A:A,2,1),"P")</f>
        <v>P</v>
      </c>
      <c r="AP9488" s="4" t="s">
        <v>376</v>
      </c>
      <c r="AR9488" s="4" t="s">
        <v>377</v>
      </c>
    </row>
    <row r="9489" spans="1:44">
      <c r="A9489" s="4" t="s">
        <v>10753</v>
      </c>
      <c r="B9489" s="4">
        <v>217637</v>
      </c>
      <c r="D9489" s="5" t="s">
        <v>12653</v>
      </c>
      <c r="E9489" s="6" t="str">
        <f>HYPERLINK("https://inpn.mnhn.fr/espece/cd_nom/217637","Xylota jakutorum Bagatshanova, 1980")</f>
        <v>Xylota jakutorum Bagatshanova, 1980</v>
      </c>
      <c r="P9489" s="7" t="str">
        <f>HYPERLINK("#Liste_rouge!A"&amp;_xlfn.XMATCH("LC",Liste_rouge!A:A,2,1),"LC")</f>
        <v>LC</v>
      </c>
      <c r="AH9489" s="4" t="str">
        <f>HYPERLINK("#Statut_biogéographique!A"&amp;_xlfn.XMATCH("P",Statut_biogéographique!A:A,2,1),"P")</f>
        <v>P</v>
      </c>
      <c r="AP9489" s="4" t="s">
        <v>376</v>
      </c>
      <c r="AR9489" s="4" t="s">
        <v>377</v>
      </c>
    </row>
    <row r="9490" spans="1:44" ht="30">
      <c r="A9490" s="4" t="s">
        <v>10753</v>
      </c>
      <c r="B9490" s="4">
        <v>217645</v>
      </c>
      <c r="D9490" s="5" t="s">
        <v>12654</v>
      </c>
      <c r="E9490" s="6" t="str">
        <f>HYPERLINK("https://inpn.mnhn.fr/espece/cd_nom/217645","Silvius alpinus (Scopoli, 1763)")</f>
        <v>Silvius alpinus (Scopoli, 1763)</v>
      </c>
      <c r="AH9490" s="4" t="str">
        <f>HYPERLINK("#Statut_biogéographique!A"&amp;_xlfn.XMATCH("P",Statut_biogéographique!A:A,2,1),"P")</f>
        <v>P</v>
      </c>
      <c r="AP9490" s="4" t="s">
        <v>376</v>
      </c>
      <c r="AR9490" s="4" t="s">
        <v>377</v>
      </c>
    </row>
    <row r="9491" spans="1:44">
      <c r="A9491" s="4" t="s">
        <v>10753</v>
      </c>
      <c r="B9491" s="4">
        <v>217651</v>
      </c>
      <c r="D9491" s="5" t="s">
        <v>12655</v>
      </c>
      <c r="E9491" s="6" t="str">
        <f>HYPERLINK("https://inpn.mnhn.fr/espece/cd_nom/217651","Chrysops sepulcralis (Fabricius, 1794)")</f>
        <v>Chrysops sepulcralis (Fabricius, 1794)</v>
      </c>
      <c r="AH9491" s="4" t="str">
        <f>HYPERLINK("#Statut_biogéographique!A"&amp;_xlfn.XMATCH("P",Statut_biogéographique!A:A,2,1),"P")</f>
        <v>P</v>
      </c>
      <c r="AP9491" s="4" t="s">
        <v>376</v>
      </c>
      <c r="AR9491" s="4" t="s">
        <v>377</v>
      </c>
    </row>
    <row r="9492" spans="1:44">
      <c r="A9492" s="4" t="s">
        <v>10753</v>
      </c>
      <c r="B9492" s="4">
        <v>217652</v>
      </c>
      <c r="D9492" s="5" t="s">
        <v>12656</v>
      </c>
      <c r="E9492" s="6" t="str">
        <f>HYPERLINK("https://inpn.mnhn.fr/espece/cd_nom/217652","Chrysops viduatus (Fabricius, 1794)")</f>
        <v>Chrysops viduatus (Fabricius, 1794)</v>
      </c>
      <c r="AH9492" s="4" t="str">
        <f>HYPERLINK("#Statut_biogéographique!A"&amp;_xlfn.XMATCH("P",Statut_biogéographique!A:A,2,1),"P")</f>
        <v>P</v>
      </c>
      <c r="AP9492" s="4" t="s">
        <v>376</v>
      </c>
      <c r="AR9492" s="4" t="s">
        <v>377</v>
      </c>
    </row>
    <row r="9493" spans="1:44">
      <c r="A9493" s="4" t="s">
        <v>10753</v>
      </c>
      <c r="B9493" s="4">
        <v>217654</v>
      </c>
      <c r="D9493" s="5" t="s">
        <v>12657</v>
      </c>
      <c r="E9493" s="6" t="str">
        <f>HYPERLINK("https://inpn.mnhn.fr/espece/cd_nom/217654","Hybomitra aterrima (Meigen, 1820)")</f>
        <v>Hybomitra aterrima (Meigen, 1820)</v>
      </c>
      <c r="AH9493" s="4" t="str">
        <f>HYPERLINK("#Statut_biogéographique!A"&amp;_xlfn.XMATCH("P",Statut_biogéographique!A:A,2,1),"P")</f>
        <v>P</v>
      </c>
      <c r="AP9493" s="4" t="s">
        <v>376</v>
      </c>
      <c r="AR9493" s="4" t="s">
        <v>377</v>
      </c>
    </row>
    <row r="9494" spans="1:44">
      <c r="A9494" s="4" t="s">
        <v>10753</v>
      </c>
      <c r="B9494" s="4">
        <v>217662</v>
      </c>
      <c r="D9494" s="5">
        <v>217662</v>
      </c>
      <c r="E9494" s="6" t="str">
        <f>HYPERLINK("https://inpn.mnhn.fr/espece/cd_nom/217662","Atylotus latistriatus Brauer, 1880")</f>
        <v>Atylotus latistriatus Brauer, 1880</v>
      </c>
      <c r="AH9494" s="4" t="str">
        <f>HYPERLINK("#Statut_biogéographique!A"&amp;_xlfn.XMATCH("P",Statut_biogéographique!A:A,2,1),"P")</f>
        <v>P</v>
      </c>
      <c r="AP9494" s="4" t="s">
        <v>376</v>
      </c>
      <c r="AR9494" s="4" t="s">
        <v>377</v>
      </c>
    </row>
    <row r="9495" spans="1:44">
      <c r="A9495" s="4" t="s">
        <v>10753</v>
      </c>
      <c r="B9495" s="4">
        <v>217667</v>
      </c>
      <c r="D9495" s="5" t="s">
        <v>12658</v>
      </c>
      <c r="E9495" s="6" t="str">
        <f>HYPERLINK("https://inpn.mnhn.fr/espece/cd_nom/217667","Tabanus eggeri Schiner, 1868")</f>
        <v>Tabanus eggeri Schiner, 1868</v>
      </c>
      <c r="AH9495" s="4" t="str">
        <f>HYPERLINK("#Statut_biogéographique!A"&amp;_xlfn.XMATCH("P",Statut_biogéographique!A:A,2,1),"P")</f>
        <v>P</v>
      </c>
      <c r="AP9495" s="4" t="s">
        <v>376</v>
      </c>
      <c r="AR9495" s="4" t="s">
        <v>377</v>
      </c>
    </row>
    <row r="9496" spans="1:44">
      <c r="A9496" s="4" t="s">
        <v>10753</v>
      </c>
      <c r="B9496" s="4">
        <v>217678</v>
      </c>
      <c r="D9496" s="5">
        <v>217678</v>
      </c>
      <c r="E9496" s="6" t="str">
        <f>HYPERLINK("https://inpn.mnhn.fr/espece/cd_nom/217678","Tabanus spodopterus Meigen, 1820")</f>
        <v>Tabanus spodopterus Meigen, 1820</v>
      </c>
      <c r="AH9496" s="4" t="str">
        <f>HYPERLINK("#Statut_biogéographique!A"&amp;_xlfn.XMATCH("P",Statut_biogéographique!A:A,2,1),"P")</f>
        <v>P</v>
      </c>
      <c r="AP9496" s="4" t="s">
        <v>376</v>
      </c>
      <c r="AR9496" s="4" t="s">
        <v>377</v>
      </c>
    </row>
    <row r="9497" spans="1:44">
      <c r="A9497" s="4" t="s">
        <v>10753</v>
      </c>
      <c r="B9497" s="4">
        <v>217679</v>
      </c>
      <c r="D9497" s="5">
        <v>217679</v>
      </c>
      <c r="E9497" s="6" t="str">
        <f>HYPERLINK("https://inpn.mnhn.fr/espece/cd_nom/217679","Tabanus tergestinus Egger, 1859")</f>
        <v>Tabanus tergestinus Egger, 1859</v>
      </c>
      <c r="AH9497" s="4" t="str">
        <f>HYPERLINK("#Statut_biogéographique!A"&amp;_xlfn.XMATCH("P",Statut_biogéographique!A:A,2,1),"P")</f>
        <v>P</v>
      </c>
      <c r="AP9497" s="4" t="s">
        <v>376</v>
      </c>
      <c r="AR9497" s="4" t="s">
        <v>377</v>
      </c>
    </row>
    <row r="9498" spans="1:44">
      <c r="A9498" s="4" t="s">
        <v>10753</v>
      </c>
      <c r="B9498" s="4">
        <v>217680</v>
      </c>
      <c r="D9498" s="5">
        <v>217680</v>
      </c>
      <c r="E9498" s="6" t="str">
        <f>HYPERLINK("https://inpn.mnhn.fr/espece/cd_nom/217680","Tabanus unifasciatus Loew, 1858")</f>
        <v>Tabanus unifasciatus Loew, 1858</v>
      </c>
      <c r="AH9498" s="4" t="str">
        <f>HYPERLINK("#Statut_biogéographique!A"&amp;_xlfn.XMATCH("P",Statut_biogéographique!A:A,2,1),"P")</f>
        <v>P</v>
      </c>
      <c r="AP9498" s="4" t="s">
        <v>376</v>
      </c>
      <c r="AR9498" s="4" t="s">
        <v>377</v>
      </c>
    </row>
    <row r="9499" spans="1:44">
      <c r="A9499" s="4" t="s">
        <v>10753</v>
      </c>
      <c r="B9499" s="4">
        <v>217682</v>
      </c>
      <c r="D9499" s="5">
        <v>217682</v>
      </c>
      <c r="E9499" s="6" t="str">
        <f>HYPERLINK("https://inpn.mnhn.fr/espece/cd_nom/217682","Haematopota bigoti Gobert, 1880")</f>
        <v>Haematopota bigoti Gobert, 1880</v>
      </c>
      <c r="AH9499" s="4" t="str">
        <f>HYPERLINK("#Statut_biogéographique!A"&amp;_xlfn.XMATCH("P",Statut_biogéographique!A:A,2,1),"P")</f>
        <v>P</v>
      </c>
      <c r="AP9499" s="4" t="s">
        <v>376</v>
      </c>
      <c r="AR9499" s="4" t="s">
        <v>377</v>
      </c>
    </row>
    <row r="9500" spans="1:44">
      <c r="A9500" s="4" t="s">
        <v>10753</v>
      </c>
      <c r="B9500" s="4">
        <v>217684</v>
      </c>
      <c r="D9500" s="5" t="s">
        <v>12659</v>
      </c>
      <c r="E9500" s="6" t="str">
        <f>HYPERLINK("https://inpn.mnhn.fr/espece/cd_nom/217684","Haematopota crassicornis Wahlberg, 1848")</f>
        <v>Haematopota crassicornis Wahlberg, 1848</v>
      </c>
      <c r="AH9500" s="4" t="str">
        <f>HYPERLINK("#Statut_biogéographique!A"&amp;_xlfn.XMATCH("P",Statut_biogéographique!A:A,2,1),"P")</f>
        <v>P</v>
      </c>
      <c r="AP9500" s="4" t="s">
        <v>376</v>
      </c>
      <c r="AR9500" s="4" t="s">
        <v>377</v>
      </c>
    </row>
    <row r="9501" spans="1:44">
      <c r="A9501" s="4" t="s">
        <v>10753</v>
      </c>
      <c r="B9501" s="4">
        <v>217690</v>
      </c>
      <c r="D9501" s="5" t="s">
        <v>12660</v>
      </c>
      <c r="E9501" s="6" t="str">
        <f>HYPERLINK("https://inpn.mnhn.fr/espece/cd_nom/217690","Haematopota pluvialis (Linnaeus, 1758)")</f>
        <v>Haematopota pluvialis (Linnaeus, 1758)</v>
      </c>
      <c r="F9501" s="5" t="s">
        <v>12661</v>
      </c>
      <c r="AH9501" s="4" t="str">
        <f>HYPERLINK("#Statut_biogéographique!A"&amp;_xlfn.XMATCH("P",Statut_biogéographique!A:A,2,1),"P")</f>
        <v>P</v>
      </c>
      <c r="AP9501" s="4" t="s">
        <v>376</v>
      </c>
      <c r="AR9501" s="4" t="s">
        <v>377</v>
      </c>
    </row>
    <row r="9502" spans="1:44">
      <c r="A9502" s="4" t="s">
        <v>10753</v>
      </c>
      <c r="B9502" s="4">
        <v>217693</v>
      </c>
      <c r="D9502" s="5" t="s">
        <v>12662</v>
      </c>
      <c r="E9502" s="6" t="str">
        <f>HYPERLINK("https://inpn.mnhn.fr/espece/cd_nom/217693","Dasyrhamphis anthracinus (Meigen, 1820)")</f>
        <v>Dasyrhamphis anthracinus (Meigen, 1820)</v>
      </c>
      <c r="AH9502" s="4" t="str">
        <f>HYPERLINK("#Statut_biogéographique!A"&amp;_xlfn.XMATCH("P",Statut_biogéographique!A:A,2,1),"P")</f>
        <v>P</v>
      </c>
      <c r="AP9502" s="4" t="s">
        <v>376</v>
      </c>
      <c r="AR9502" s="4" t="s">
        <v>377</v>
      </c>
    </row>
    <row r="9503" spans="1:44">
      <c r="A9503" s="4" t="s">
        <v>10753</v>
      </c>
      <c r="B9503" s="4">
        <v>217712</v>
      </c>
      <c r="D9503" s="5" t="s">
        <v>12663</v>
      </c>
      <c r="E9503" s="6" t="str">
        <f>HYPERLINK("https://inpn.mnhn.fr/espece/cd_nom/217712","Thereva microcephala Loew, 1847")</f>
        <v>Thereva microcephala Loew, 1847</v>
      </c>
      <c r="AH9503" s="4" t="str">
        <f>HYPERLINK("#Statut_biogéographique!A"&amp;_xlfn.XMATCH("P",Statut_biogéographique!A:A,2,1),"P")</f>
        <v>P</v>
      </c>
      <c r="AP9503" s="4" t="s">
        <v>376</v>
      </c>
      <c r="AR9503" s="4" t="s">
        <v>377</v>
      </c>
    </row>
    <row r="9504" spans="1:44">
      <c r="A9504" s="4" t="s">
        <v>10753</v>
      </c>
      <c r="B9504" s="4">
        <v>217743</v>
      </c>
      <c r="D9504" s="5">
        <v>217743</v>
      </c>
      <c r="E9504" s="6" t="str">
        <f>HYPERLINK("https://inpn.mnhn.fr/espece/cd_nom/217743","Litocampa bourgoini (Condé, 1948)")</f>
        <v>Litocampa bourgoini (Condé, 1948)</v>
      </c>
      <c r="AH9504" s="4" t="str">
        <f>HYPERLINK("#Statut_biogéographique!A"&amp;_xlfn.XMATCH("P",Statut_biogéographique!A:A,2,1),"P")</f>
        <v>P</v>
      </c>
      <c r="AP9504" s="4" t="s">
        <v>376</v>
      </c>
      <c r="AR9504" s="4" t="s">
        <v>377</v>
      </c>
    </row>
    <row r="9505" spans="1:44">
      <c r="A9505" s="4" t="s">
        <v>10753</v>
      </c>
      <c r="B9505" s="4">
        <v>217750</v>
      </c>
      <c r="D9505" s="5" t="s">
        <v>12664</v>
      </c>
      <c r="E9505" s="6" t="str">
        <f>HYPERLINK("https://inpn.mnhn.fr/espece/cd_nom/217750","Litocampa sollaudi (Denis, 1930)")</f>
        <v>Litocampa sollaudi (Denis, 1930)</v>
      </c>
      <c r="AH9505" s="4" t="str">
        <f>HYPERLINK("#Statut_biogéographique!A"&amp;_xlfn.XMATCH("P",Statut_biogéographique!A:A,2,1),"P")</f>
        <v>P</v>
      </c>
      <c r="AP9505" s="4" t="s">
        <v>376</v>
      </c>
      <c r="AR9505" s="4" t="s">
        <v>377</v>
      </c>
    </row>
    <row r="9506" spans="1:44">
      <c r="A9506" s="4" t="s">
        <v>10753</v>
      </c>
      <c r="B9506" s="4">
        <v>217757</v>
      </c>
      <c r="D9506" s="5" t="s">
        <v>12665</v>
      </c>
      <c r="E9506" s="6" t="str">
        <f>HYPERLINK("https://inpn.mnhn.fr/espece/cd_nom/217757","Campodea chardardi Condé, 1947")</f>
        <v>Campodea chardardi Condé, 1947</v>
      </c>
      <c r="AH9506" s="4" t="str">
        <f>HYPERLINK("#Statut_biogéographique!A"&amp;_xlfn.XMATCH("P",Statut_biogéographique!A:A,2,1),"P")</f>
        <v>P</v>
      </c>
      <c r="AP9506" s="4" t="s">
        <v>376</v>
      </c>
      <c r="AR9506" s="4" t="s">
        <v>377</v>
      </c>
    </row>
    <row r="9507" spans="1:44">
      <c r="A9507" s="4" t="s">
        <v>10753</v>
      </c>
      <c r="B9507" s="4">
        <v>217788</v>
      </c>
      <c r="D9507" s="5">
        <v>217788</v>
      </c>
      <c r="E9507" s="6" t="str">
        <f>HYPERLINK("https://inpn.mnhn.fr/espece/cd_nom/217788","Campodea taunica Marten, 1939")</f>
        <v>Campodea taunica Marten, 1939</v>
      </c>
      <c r="AH9507" s="4" t="str">
        <f>HYPERLINK("#Statut_biogéographique!A"&amp;_xlfn.XMATCH("P",Statut_biogéographique!A:A,2,1),"P")</f>
        <v>P</v>
      </c>
      <c r="AP9507" s="4" t="s">
        <v>376</v>
      </c>
      <c r="AR9507" s="4" t="s">
        <v>377</v>
      </c>
    </row>
    <row r="9508" spans="1:44">
      <c r="A9508" s="4" t="s">
        <v>10753</v>
      </c>
      <c r="B9508" s="4">
        <v>217807</v>
      </c>
      <c r="D9508" s="5">
        <v>217807</v>
      </c>
      <c r="E9508" s="6" t="str">
        <f>HYPERLINK("https://inpn.mnhn.fr/espece/cd_nom/217807","Dipljapyx humberti (Grassi, 1886)")</f>
        <v>Dipljapyx humberti (Grassi, 1886)</v>
      </c>
      <c r="AH9508" s="4" t="str">
        <f>HYPERLINK("#Statut_biogéographique!A"&amp;_xlfn.XMATCH("P",Statut_biogéographique!A:A,2,1),"P")</f>
        <v>P</v>
      </c>
      <c r="AP9508" s="4" t="s">
        <v>376</v>
      </c>
      <c r="AR9508" s="4" t="s">
        <v>377</v>
      </c>
    </row>
    <row r="9509" spans="1:44">
      <c r="A9509" s="4" t="s">
        <v>10753</v>
      </c>
      <c r="B9509" s="4">
        <v>217822</v>
      </c>
      <c r="D9509" s="5" t="s">
        <v>12666</v>
      </c>
      <c r="E9509" s="6" t="str">
        <f>HYPERLINK("https://inpn.mnhn.fr/espece/cd_nom/217822","Dolichurus bicolor Lepeletier, 1845")</f>
        <v>Dolichurus bicolor Lepeletier, 1845</v>
      </c>
      <c r="AH9509" s="4" t="str">
        <f>HYPERLINK("#Statut_biogéographique!A"&amp;_xlfn.XMATCH("P",Statut_biogéographique!A:A,2,1),"P")</f>
        <v>P</v>
      </c>
      <c r="AP9509" s="4" t="s">
        <v>376</v>
      </c>
      <c r="AR9509" s="4" t="s">
        <v>377</v>
      </c>
    </row>
    <row r="9510" spans="1:44">
      <c r="A9510" s="4" t="s">
        <v>10753</v>
      </c>
      <c r="B9510" s="4">
        <v>217824</v>
      </c>
      <c r="D9510" s="5" t="s">
        <v>12667</v>
      </c>
      <c r="E9510" s="6" t="str">
        <f>HYPERLINK("https://inpn.mnhn.fr/espece/cd_nom/217824","Ampulex fasciata Jurine, 1807")</f>
        <v>Ampulex fasciata Jurine, 1807</v>
      </c>
      <c r="AH9510" s="4" t="str">
        <f>HYPERLINK("#Statut_biogéographique!A"&amp;_xlfn.XMATCH("P",Statut_biogéographique!A:A,2,1),"P")</f>
        <v>P</v>
      </c>
      <c r="AP9510" s="4" t="s">
        <v>376</v>
      </c>
      <c r="AR9510" s="4" t="s">
        <v>377</v>
      </c>
    </row>
    <row r="9511" spans="1:44" ht="30">
      <c r="A9511" s="4" t="s">
        <v>10753</v>
      </c>
      <c r="B9511" s="4">
        <v>217836</v>
      </c>
      <c r="D9511" s="5" t="s">
        <v>12668</v>
      </c>
      <c r="E9511" s="6" t="str">
        <f>HYPERLINK("https://inpn.mnhn.fr/espece/cd_nom/217836","Bethylus fuscicornis (Jurine, 1807)")</f>
        <v>Bethylus fuscicornis (Jurine, 1807)</v>
      </c>
      <c r="AH9511" s="4" t="str">
        <f>HYPERLINK("#Statut_biogéographique!A"&amp;_xlfn.XMATCH("P",Statut_biogéographique!A:A,2,1),"P")</f>
        <v>P</v>
      </c>
      <c r="AP9511" s="4" t="s">
        <v>376</v>
      </c>
      <c r="AR9511" s="4" t="s">
        <v>377</v>
      </c>
    </row>
    <row r="9512" spans="1:44">
      <c r="A9512" s="4" t="s">
        <v>10753</v>
      </c>
      <c r="B9512" s="4">
        <v>21789</v>
      </c>
      <c r="D9512" s="5" t="s">
        <v>12669</v>
      </c>
      <c r="E9512" s="6" t="str">
        <f>HYPERLINK("https://inpn.mnhn.fr/espece/cd_nom/21789","Platyura marginata Meigen, 1804")</f>
        <v>Platyura marginata Meigen, 1804</v>
      </c>
      <c r="AH9512" s="4" t="str">
        <f>HYPERLINK("#Statut_biogéographique!A"&amp;_xlfn.XMATCH("P",Statut_biogéographique!A:A,2,1),"P")</f>
        <v>P</v>
      </c>
      <c r="AP9512" s="4" t="s">
        <v>376</v>
      </c>
      <c r="AR9512" s="4" t="s">
        <v>377</v>
      </c>
    </row>
    <row r="9513" spans="1:44">
      <c r="A9513" s="4" t="s">
        <v>10753</v>
      </c>
      <c r="B9513" s="4">
        <v>21794</v>
      </c>
      <c r="D9513" s="5" t="s">
        <v>12670</v>
      </c>
      <c r="E9513" s="6" t="str">
        <f>HYPERLINK("https://inpn.mnhn.fr/espece/cd_nom/21794","Acnemia nitidicollis (Meigen, 1818)")</f>
        <v>Acnemia nitidicollis (Meigen, 1818)</v>
      </c>
      <c r="AH9513" s="4" t="str">
        <f>HYPERLINK("#Statut_biogéographique!A"&amp;_xlfn.XMATCH("P",Statut_biogéographique!A:A,2,1),"P")</f>
        <v>P</v>
      </c>
      <c r="AP9513" s="4" t="s">
        <v>376</v>
      </c>
      <c r="AR9513" s="4" t="s">
        <v>377</v>
      </c>
    </row>
    <row r="9514" spans="1:44" ht="30">
      <c r="A9514" s="4" t="s">
        <v>10753</v>
      </c>
      <c r="B9514" s="4">
        <v>21796</v>
      </c>
      <c r="D9514" s="5" t="s">
        <v>12671</v>
      </c>
      <c r="E9514" s="6" t="str">
        <f>HYPERLINK("https://inpn.mnhn.fr/espece/cd_nom/21796","Allocotocera pulchella (Curtis, 1837)")</f>
        <v>Allocotocera pulchella (Curtis, 1837)</v>
      </c>
      <c r="AH9514" s="4" t="str">
        <f>HYPERLINK("#Statut_biogéographique!A"&amp;_xlfn.XMATCH("P",Statut_biogéographique!A:A,2,1),"P")</f>
        <v>P</v>
      </c>
      <c r="AP9514" s="4" t="s">
        <v>376</v>
      </c>
      <c r="AR9514" s="4" t="s">
        <v>377</v>
      </c>
    </row>
    <row r="9515" spans="1:44" ht="75">
      <c r="A9515" s="4" t="s">
        <v>10753</v>
      </c>
      <c r="B9515" s="4">
        <v>217995</v>
      </c>
      <c r="D9515" s="5" t="s">
        <v>12672</v>
      </c>
      <c r="E9515" s="6" t="str">
        <f>HYPERLINK("https://inpn.mnhn.fr/espece/cd_nom/217995","Brachymeria podagrica (Fabricius, 1787)")</f>
        <v>Brachymeria podagrica (Fabricius, 1787)</v>
      </c>
      <c r="AH9515" s="4" t="str">
        <f>HYPERLINK("#Statut_biogéographique!A"&amp;_xlfn.XMATCH("P",Statut_biogéographique!A:A,2,1),"P")</f>
        <v>P</v>
      </c>
      <c r="AP9515" s="4" t="s">
        <v>376</v>
      </c>
      <c r="AR9515" s="4" t="s">
        <v>377</v>
      </c>
    </row>
    <row r="9516" spans="1:44">
      <c r="A9516" s="4" t="s">
        <v>10753</v>
      </c>
      <c r="B9516" s="4">
        <v>21801</v>
      </c>
      <c r="D9516" s="5" t="s">
        <v>12673</v>
      </c>
      <c r="E9516" s="6" t="str">
        <f>HYPERLINK("https://inpn.mnhn.fr/espece/cd_nom/21801","Docosia gilvipes (Haliday in Walker, 1856)")</f>
        <v>Docosia gilvipes (Haliday in Walker, 1856)</v>
      </c>
      <c r="AH9516" s="4" t="str">
        <f>HYPERLINK("#Statut_biogéographique!A"&amp;_xlfn.XMATCH("P",Statut_biogéographique!A:A,2,1),"P")</f>
        <v>P</v>
      </c>
      <c r="AP9516" s="4" t="s">
        <v>376</v>
      </c>
      <c r="AR9516" s="4" t="s">
        <v>377</v>
      </c>
    </row>
    <row r="9517" spans="1:44">
      <c r="A9517" s="4" t="s">
        <v>10753</v>
      </c>
      <c r="B9517" s="4">
        <v>21806</v>
      </c>
      <c r="D9517" s="5" t="s">
        <v>12674</v>
      </c>
      <c r="E9517" s="6" t="str">
        <f>HYPERLINK("https://inpn.mnhn.fr/espece/cd_nom/21806","Ectrepesthoneura hirta (Winnertz, 1846)")</f>
        <v>Ectrepesthoneura hirta (Winnertz, 1846)</v>
      </c>
      <c r="AH9517" s="4" t="str">
        <f>HYPERLINK("#Statut_biogéographique!A"&amp;_xlfn.XMATCH("P",Statut_biogéographique!A:A,2,1),"P")</f>
        <v>P</v>
      </c>
      <c r="AP9517" s="4" t="s">
        <v>376</v>
      </c>
      <c r="AR9517" s="4" t="s">
        <v>377</v>
      </c>
    </row>
    <row r="9518" spans="1:44">
      <c r="A9518" s="4" t="s">
        <v>10753</v>
      </c>
      <c r="B9518" s="4">
        <v>21816</v>
      </c>
      <c r="D9518" s="5" t="s">
        <v>12675</v>
      </c>
      <c r="E9518" s="6" t="str">
        <f>HYPERLINK("https://inpn.mnhn.fr/espece/cd_nom/21816","Leptomorphus walkeri Curtis, 1831")</f>
        <v>Leptomorphus walkeri Curtis, 1831</v>
      </c>
      <c r="AH9518" s="4" t="str">
        <f>HYPERLINK("#Statut_biogéographique!A"&amp;_xlfn.XMATCH("P",Statut_biogéographique!A:A,2,1),"P")</f>
        <v>P</v>
      </c>
      <c r="AP9518" s="4" t="s">
        <v>376</v>
      </c>
      <c r="AR9518" s="4" t="s">
        <v>377</v>
      </c>
    </row>
    <row r="9519" spans="1:44">
      <c r="A9519" s="4" t="s">
        <v>10753</v>
      </c>
      <c r="B9519" s="4">
        <v>21818</v>
      </c>
      <c r="D9519" s="5" t="s">
        <v>12676</v>
      </c>
      <c r="E9519" s="6" t="str">
        <f>HYPERLINK("https://inpn.mnhn.fr/espece/cd_nom/21818","Megalopelma nigroclavatum (Strobl, 1910)")</f>
        <v>Megalopelma nigroclavatum (Strobl, 1910)</v>
      </c>
      <c r="AH9519" s="4" t="str">
        <f>HYPERLINK("#Statut_biogéographique!A"&amp;_xlfn.XMATCH("P",Statut_biogéographique!A:A,2,1),"P")</f>
        <v>P</v>
      </c>
      <c r="AP9519" s="4" t="s">
        <v>376</v>
      </c>
      <c r="AR9519" s="4" t="s">
        <v>377</v>
      </c>
    </row>
    <row r="9520" spans="1:44" ht="30">
      <c r="A9520" s="4" t="s">
        <v>10753</v>
      </c>
      <c r="B9520" s="4">
        <v>21821</v>
      </c>
      <c r="D9520" s="5" t="s">
        <v>12677</v>
      </c>
      <c r="E9520" s="6" t="str">
        <f>HYPERLINK("https://inpn.mnhn.fr/espece/cd_nom/21821","Monoclona rufilatera (Walker, 1836)")</f>
        <v>Monoclona rufilatera (Walker, 1836)</v>
      </c>
      <c r="AH9520" s="4" t="str">
        <f>HYPERLINK("#Statut_biogéographique!A"&amp;_xlfn.XMATCH("P",Statut_biogéographique!A:A,2,1),"P")</f>
        <v>P</v>
      </c>
      <c r="AP9520" s="4" t="s">
        <v>376</v>
      </c>
      <c r="AR9520" s="4" t="s">
        <v>377</v>
      </c>
    </row>
    <row r="9521" spans="1:44">
      <c r="A9521" s="4" t="s">
        <v>10753</v>
      </c>
      <c r="B9521" s="4">
        <v>21858</v>
      </c>
      <c r="D9521" s="5" t="s">
        <v>12678</v>
      </c>
      <c r="E9521" s="6" t="str">
        <f>HYPERLINK("https://inpn.mnhn.fr/espece/cd_nom/21858","Neoempheria pictipennis (Haliday, 1833)")</f>
        <v>Neoempheria pictipennis (Haliday, 1833)</v>
      </c>
      <c r="AH9521" s="4" t="str">
        <f>HYPERLINK("#Statut_biogéographique!A"&amp;_xlfn.XMATCH("P",Statut_biogéographique!A:A,2,1),"P")</f>
        <v>P</v>
      </c>
      <c r="AP9521" s="4" t="s">
        <v>376</v>
      </c>
      <c r="AR9521" s="4" t="s">
        <v>377</v>
      </c>
    </row>
    <row r="9522" spans="1:44">
      <c r="A9522" s="4" t="s">
        <v>10753</v>
      </c>
      <c r="B9522" s="4">
        <v>21862</v>
      </c>
      <c r="D9522" s="5" t="s">
        <v>12679</v>
      </c>
      <c r="E9522" s="6" t="str">
        <f>HYPERLINK("https://inpn.mnhn.fr/espece/cd_nom/21862","Neuratelia nemoralis (Meigen, 1818)")</f>
        <v>Neuratelia nemoralis (Meigen, 1818)</v>
      </c>
      <c r="AH9522" s="4" t="str">
        <f>HYPERLINK("#Statut_biogéographique!A"&amp;_xlfn.XMATCH("P",Statut_biogéographique!A:A,2,1),"P")</f>
        <v>P</v>
      </c>
      <c r="AP9522" s="4" t="s">
        <v>376</v>
      </c>
      <c r="AR9522" s="4" t="s">
        <v>377</v>
      </c>
    </row>
    <row r="9523" spans="1:44">
      <c r="A9523" s="4" t="s">
        <v>10753</v>
      </c>
      <c r="B9523" s="4">
        <v>21878</v>
      </c>
      <c r="D9523" s="5" t="s">
        <v>12680</v>
      </c>
      <c r="E9523" s="6" t="str">
        <f>HYPERLINK("https://inpn.mnhn.fr/espece/cd_nom/21878","Speolepta leptogaster (Winnertz, 1864)")</f>
        <v>Speolepta leptogaster (Winnertz, 1864)</v>
      </c>
      <c r="AH9523" s="4" t="str">
        <f>HYPERLINK("#Statut_biogéographique!A"&amp;_xlfn.XMATCH("P",Statut_biogéographique!A:A,2,1),"P")</f>
        <v>P</v>
      </c>
      <c r="AP9523" s="4" t="s">
        <v>376</v>
      </c>
      <c r="AR9523" s="4" t="s">
        <v>377</v>
      </c>
    </row>
    <row r="9524" spans="1:44">
      <c r="A9524" s="4" t="s">
        <v>10753</v>
      </c>
      <c r="B9524" s="4">
        <v>2188</v>
      </c>
      <c r="D9524" s="5" t="s">
        <v>12681</v>
      </c>
      <c r="E9524" s="6" t="str">
        <f>HYPERLINK("https://inpn.mnhn.fr/espece/cd_nom/2188","Limnochares aquatica (Linnaeus, 1758)")</f>
        <v>Limnochares aquatica (Linnaeus, 1758)</v>
      </c>
      <c r="AH9524" s="4" t="str">
        <f>HYPERLINK("#Statut_biogéographique!A"&amp;_xlfn.XMATCH("P",Statut_biogéographique!A:A,2,1),"P")</f>
        <v>P</v>
      </c>
      <c r="AP9524" s="4" t="s">
        <v>376</v>
      </c>
      <c r="AR9524" s="4" t="s">
        <v>377</v>
      </c>
    </row>
    <row r="9525" spans="1:44">
      <c r="A9525" s="4" t="s">
        <v>10753</v>
      </c>
      <c r="B9525" s="4">
        <v>21891</v>
      </c>
      <c r="D9525" s="5" t="s">
        <v>12682</v>
      </c>
      <c r="E9525" s="6" t="str">
        <f>HYPERLINK("https://inpn.mnhn.fr/espece/cd_nom/21891","Boletina gripha Dziedzicki, 1885")</f>
        <v>Boletina gripha Dziedzicki, 1885</v>
      </c>
      <c r="AH9525" s="4" t="str">
        <f>HYPERLINK("#Statut_biogéographique!A"&amp;_xlfn.XMATCH("P",Statut_biogéographique!A:A,2,1),"P")</f>
        <v>P</v>
      </c>
      <c r="AP9525" s="4" t="s">
        <v>376</v>
      </c>
      <c r="AR9525" s="4" t="s">
        <v>377</v>
      </c>
    </row>
    <row r="9526" spans="1:44">
      <c r="A9526" s="4" t="s">
        <v>10753</v>
      </c>
      <c r="B9526" s="4">
        <v>21893</v>
      </c>
      <c r="D9526" s="5" t="s">
        <v>12683</v>
      </c>
      <c r="E9526" s="6" t="str">
        <f>HYPERLINK("https://inpn.mnhn.fr/espece/cd_nom/21893","Boletina plana Walker, 1856")</f>
        <v>Boletina plana Walker, 1856</v>
      </c>
      <c r="AH9526" s="4" t="str">
        <f>HYPERLINK("#Statut_biogéographique!A"&amp;_xlfn.XMATCH("P",Statut_biogéographique!A:A,2,1),"P")</f>
        <v>P</v>
      </c>
      <c r="AP9526" s="4" t="s">
        <v>376</v>
      </c>
      <c r="AR9526" s="4" t="s">
        <v>377</v>
      </c>
    </row>
    <row r="9527" spans="1:44">
      <c r="A9527" s="4" t="s">
        <v>10753</v>
      </c>
      <c r="B9527" s="4">
        <v>21895</v>
      </c>
      <c r="D9527" s="5" t="s">
        <v>12684</v>
      </c>
      <c r="E9527" s="6" t="str">
        <f>HYPERLINK("https://inpn.mnhn.fr/espece/cd_nom/21895","Boletina trivittata (Meigen, 1818)")</f>
        <v>Boletina trivittata (Meigen, 1818)</v>
      </c>
      <c r="AH9527" s="4" t="str">
        <f>HYPERLINK("#Statut_biogéographique!A"&amp;_xlfn.XMATCH("P",Statut_biogéographique!A:A,2,1),"P")</f>
        <v>P</v>
      </c>
      <c r="AP9527" s="4" t="s">
        <v>376</v>
      </c>
      <c r="AR9527" s="4" t="s">
        <v>377</v>
      </c>
    </row>
    <row r="9528" spans="1:44">
      <c r="A9528" s="4" t="s">
        <v>10753</v>
      </c>
      <c r="B9528" s="4">
        <v>21899</v>
      </c>
      <c r="D9528" s="5" t="s">
        <v>12685</v>
      </c>
      <c r="E9528" s="6" t="str">
        <f>HYPERLINK("https://inpn.mnhn.fr/espece/cd_nom/21899","Coelosia tenella (Zetterstedt, 1852)")</f>
        <v>Coelosia tenella (Zetterstedt, 1852)</v>
      </c>
      <c r="AH9528" s="4" t="str">
        <f>HYPERLINK("#Statut_biogéographique!A"&amp;_xlfn.XMATCH("P",Statut_biogéographique!A:A,2,1),"P")</f>
        <v>P</v>
      </c>
      <c r="AP9528" s="4" t="s">
        <v>376</v>
      </c>
      <c r="AR9528" s="4" t="s">
        <v>377</v>
      </c>
    </row>
    <row r="9529" spans="1:44" ht="30">
      <c r="A9529" s="4" t="s">
        <v>10753</v>
      </c>
      <c r="B9529" s="4">
        <v>219034</v>
      </c>
      <c r="D9529" s="5">
        <v>219034</v>
      </c>
      <c r="E9529" s="6" t="str">
        <f>HYPERLINK("https://inpn.mnhn.fr/espece/cd_nom/219034","Pseudomalus triangulifer (Abeille de Perrin, 1877)")</f>
        <v>Pseudomalus triangulifer (Abeille de Perrin, 1877)</v>
      </c>
      <c r="AH9529" s="4" t="str">
        <f>HYPERLINK("#Statut_biogéographique!A"&amp;_xlfn.XMATCH("P",Statut_biogéographique!A:A,2,1),"P")</f>
        <v>P</v>
      </c>
      <c r="AP9529" s="4" t="s">
        <v>376</v>
      </c>
      <c r="AR9529" s="4" t="s">
        <v>377</v>
      </c>
    </row>
    <row r="9530" spans="1:44">
      <c r="A9530" s="4" t="s">
        <v>10753</v>
      </c>
      <c r="B9530" s="4">
        <v>219036</v>
      </c>
      <c r="D9530" s="5" t="s">
        <v>12686</v>
      </c>
      <c r="E9530" s="6" t="str">
        <f>HYPERLINK("https://inpn.mnhn.fr/espece/cd_nom/219036","Philoctetes bidentulus (Lepeletier, 1806)")</f>
        <v>Philoctetes bidentulus (Lepeletier, 1806)</v>
      </c>
      <c r="AH9530" s="4" t="str">
        <f>HYPERLINK("#Statut_biogéographique!A"&amp;_xlfn.XMATCH("P",Statut_biogéographique!A:A,2,1),"P")</f>
        <v>P</v>
      </c>
      <c r="AP9530" s="4" t="s">
        <v>376</v>
      </c>
      <c r="AR9530" s="4" t="s">
        <v>377</v>
      </c>
    </row>
    <row r="9531" spans="1:44">
      <c r="A9531" s="4" t="s">
        <v>10753</v>
      </c>
      <c r="B9531" s="4">
        <v>219041</v>
      </c>
      <c r="D9531" s="5">
        <v>219041</v>
      </c>
      <c r="E9531" s="6" t="str">
        <f>HYPERLINK("https://inpn.mnhn.fr/espece/cd_nom/219041","Omalus biaccinctus (Du Buysson, 1892)")</f>
        <v>Omalus biaccinctus (Du Buysson, 1892)</v>
      </c>
      <c r="AH9531" s="4" t="str">
        <f>HYPERLINK("#Statut_biogéographique!A"&amp;_xlfn.XMATCH("P",Statut_biogéographique!A:A,2,1),"P")</f>
        <v>P</v>
      </c>
      <c r="AP9531" s="4" t="s">
        <v>376</v>
      </c>
      <c r="AR9531" s="4" t="s">
        <v>377</v>
      </c>
    </row>
    <row r="9532" spans="1:44">
      <c r="A9532" s="4" t="s">
        <v>10753</v>
      </c>
      <c r="B9532" s="4">
        <v>21905</v>
      </c>
      <c r="D9532" s="5" t="s">
        <v>12687</v>
      </c>
      <c r="E9532" s="6" t="str">
        <f>HYPERLINK("https://inpn.mnhn.fr/espece/cd_nom/21905","Synapha fasciata Meigen, 1818")</f>
        <v>Synapha fasciata Meigen, 1818</v>
      </c>
      <c r="AH9532" s="4" t="str">
        <f>HYPERLINK("#Statut_biogéographique!A"&amp;_xlfn.XMATCH("P",Statut_biogéographique!A:A,2,1),"P")</f>
        <v>P</v>
      </c>
      <c r="AP9532" s="4" t="s">
        <v>376</v>
      </c>
      <c r="AR9532" s="4" t="s">
        <v>377</v>
      </c>
    </row>
    <row r="9533" spans="1:44">
      <c r="A9533" s="4" t="s">
        <v>10753</v>
      </c>
      <c r="B9533" s="4">
        <v>219053</v>
      </c>
      <c r="D9533" s="5">
        <v>219053</v>
      </c>
      <c r="E9533" s="6" t="str">
        <f>HYPERLINK("https://inpn.mnhn.fr/espece/cd_nom/219053","Hedychrum nobile (Scopoli, 1763)")</f>
        <v>Hedychrum nobile (Scopoli, 1763)</v>
      </c>
      <c r="AH9533" s="4" t="str">
        <f>HYPERLINK("#Statut_biogéographique!A"&amp;_xlfn.XMATCH("P",Statut_biogéographique!A:A,2,1),"P")</f>
        <v>P</v>
      </c>
      <c r="AP9533" s="4" t="s">
        <v>376</v>
      </c>
      <c r="AR9533" s="4" t="s">
        <v>377</v>
      </c>
    </row>
    <row r="9534" spans="1:44">
      <c r="A9534" s="4" t="s">
        <v>10753</v>
      </c>
      <c r="B9534" s="4">
        <v>219054</v>
      </c>
      <c r="D9534" s="5">
        <v>219054</v>
      </c>
      <c r="E9534" s="6" t="str">
        <f>HYPERLINK("https://inpn.mnhn.fr/espece/cd_nom/219054","Hedychrum rutilans Dahlbom, 1854")</f>
        <v>Hedychrum rutilans Dahlbom, 1854</v>
      </c>
      <c r="AH9534" s="4" t="str">
        <f>HYPERLINK("#Statut_biogéographique!A"&amp;_xlfn.XMATCH("P",Statut_biogéographique!A:A,2,1),"P")</f>
        <v>P</v>
      </c>
      <c r="AP9534" s="4" t="s">
        <v>376</v>
      </c>
      <c r="AR9534" s="4" t="s">
        <v>377</v>
      </c>
    </row>
    <row r="9535" spans="1:44">
      <c r="A9535" s="4" t="s">
        <v>10753</v>
      </c>
      <c r="B9535" s="4">
        <v>219056</v>
      </c>
      <c r="D9535" s="5">
        <v>219056</v>
      </c>
      <c r="E9535" s="6" t="str">
        <f>HYPERLINK("https://inpn.mnhn.fr/espece/cd_nom/219056","Hedychridium ardens (Coquebert, 1801)")</f>
        <v>Hedychridium ardens (Coquebert, 1801)</v>
      </c>
      <c r="AH9535" s="4" t="str">
        <f>HYPERLINK("#Statut_biogéographique!A"&amp;_xlfn.XMATCH("P",Statut_biogéographique!A:A,2,1),"P")</f>
        <v>P</v>
      </c>
      <c r="AP9535" s="4" t="s">
        <v>376</v>
      </c>
      <c r="AR9535" s="4" t="s">
        <v>377</v>
      </c>
    </row>
    <row r="9536" spans="1:44">
      <c r="A9536" s="4" t="s">
        <v>10753</v>
      </c>
      <c r="B9536" s="4">
        <v>219059</v>
      </c>
      <c r="D9536" s="5">
        <v>219059</v>
      </c>
      <c r="E9536" s="6" t="str">
        <f>HYPERLINK("https://inpn.mnhn.fr/espece/cd_nom/219059","Hedychridium cupratum (Dahlbom, 1854)")</f>
        <v>Hedychridium cupratum (Dahlbom, 1854)</v>
      </c>
      <c r="AH9536" s="4" t="str">
        <f>HYPERLINK("#Statut_biogéographique!A"&amp;_xlfn.XMATCH("P",Statut_biogéographique!A:A,2,1),"P")</f>
        <v>P</v>
      </c>
      <c r="AP9536" s="4" t="s">
        <v>376</v>
      </c>
      <c r="AR9536" s="4" t="s">
        <v>377</v>
      </c>
    </row>
    <row r="9537" spans="1:44">
      <c r="A9537" s="4" t="s">
        <v>10753</v>
      </c>
      <c r="B9537" s="4">
        <v>21906</v>
      </c>
      <c r="D9537" s="5" t="s">
        <v>12688</v>
      </c>
      <c r="E9537" s="6" t="str">
        <f>HYPERLINK("https://inpn.mnhn.fr/espece/cd_nom/21906","Synapha vitripennis (Meigen, 1818)")</f>
        <v>Synapha vitripennis (Meigen, 1818)</v>
      </c>
      <c r="AH9537" s="4" t="str">
        <f>HYPERLINK("#Statut_biogéographique!A"&amp;_xlfn.XMATCH("P",Statut_biogéographique!A:A,2,1),"P")</f>
        <v>P</v>
      </c>
      <c r="AP9537" s="4" t="s">
        <v>376</v>
      </c>
      <c r="AR9537" s="4" t="s">
        <v>377</v>
      </c>
    </row>
    <row r="9538" spans="1:44" ht="30">
      <c r="A9538" s="4" t="s">
        <v>10753</v>
      </c>
      <c r="B9538" s="4">
        <v>219072</v>
      </c>
      <c r="D9538" s="5" t="s">
        <v>12689</v>
      </c>
      <c r="E9538" s="6" t="str">
        <f>HYPERLINK("https://inpn.mnhn.fr/espece/cd_nom/219072","Hedychridium roseum (Rossi, 1790)")</f>
        <v>Hedychridium roseum (Rossi, 1790)</v>
      </c>
      <c r="AH9538" s="4" t="str">
        <f>HYPERLINK("#Statut_biogéographique!A"&amp;_xlfn.XMATCH("P",Statut_biogéographique!A:A,2,1),"P")</f>
        <v>P</v>
      </c>
      <c r="AP9538" s="4" t="s">
        <v>376</v>
      </c>
      <c r="AR9538" s="4" t="s">
        <v>377</v>
      </c>
    </row>
    <row r="9539" spans="1:44">
      <c r="A9539" s="4" t="s">
        <v>10753</v>
      </c>
      <c r="B9539" s="4">
        <v>219082</v>
      </c>
      <c r="D9539" s="5" t="s">
        <v>12690</v>
      </c>
      <c r="E9539" s="6" t="str">
        <f>HYPERLINK("https://inpn.mnhn.fr/espece/cd_nom/219082","Chrysura dichroa (Dahlbom, 1854)")</f>
        <v>Chrysura dichroa (Dahlbom, 1854)</v>
      </c>
      <c r="AH9539" s="4" t="str">
        <f>HYPERLINK("#Statut_biogéographique!A"&amp;_xlfn.XMATCH("P",Statut_biogéographique!A:A,2,1),"P")</f>
        <v>P</v>
      </c>
      <c r="AP9539" s="4" t="s">
        <v>376</v>
      </c>
      <c r="AR9539" s="4" t="s">
        <v>377</v>
      </c>
    </row>
    <row r="9540" spans="1:44">
      <c r="A9540" s="4" t="s">
        <v>10753</v>
      </c>
      <c r="B9540" s="4">
        <v>219084</v>
      </c>
      <c r="D9540" s="5" t="s">
        <v>12691</v>
      </c>
      <c r="E9540" s="6" t="str">
        <f>HYPERLINK("https://inpn.mnhn.fr/espece/cd_nom/219084","Chrysura hybrida (Lepeletier, 1806)")</f>
        <v>Chrysura hybrida (Lepeletier, 1806)</v>
      </c>
      <c r="AH9540" s="4" t="str">
        <f>HYPERLINK("#Statut_biogéographique!A"&amp;_xlfn.XMATCH("P",Statut_biogéographique!A:A,2,1),"P")</f>
        <v>P</v>
      </c>
      <c r="AP9540" s="4" t="s">
        <v>376</v>
      </c>
      <c r="AR9540" s="4" t="s">
        <v>377</v>
      </c>
    </row>
    <row r="9541" spans="1:44">
      <c r="A9541" s="4" t="s">
        <v>10753</v>
      </c>
      <c r="B9541" s="4">
        <v>219088</v>
      </c>
      <c r="D9541" s="5" t="s">
        <v>12692</v>
      </c>
      <c r="E9541" s="6" t="str">
        <f>HYPERLINK("https://inpn.mnhn.fr/espece/cd_nom/219088","Chrysura radians (Harris, 1778)")</f>
        <v>Chrysura radians (Harris, 1778)</v>
      </c>
      <c r="AH9541" s="4" t="str">
        <f>HYPERLINK("#Statut_biogéographique!A"&amp;_xlfn.XMATCH("P",Statut_biogéographique!A:A,2,1),"P")</f>
        <v>P</v>
      </c>
      <c r="AP9541" s="4" t="s">
        <v>376</v>
      </c>
      <c r="AR9541" s="4" t="s">
        <v>377</v>
      </c>
    </row>
    <row r="9542" spans="1:44">
      <c r="A9542" s="4" t="s">
        <v>10753</v>
      </c>
      <c r="B9542" s="4">
        <v>219089</v>
      </c>
      <c r="D9542" s="5">
        <v>219089</v>
      </c>
      <c r="E9542" s="6" t="str">
        <f>HYPERLINK("https://inpn.mnhn.fr/espece/cd_nom/219089","Chrysura simplex (Dahlbom, 1854)")</f>
        <v>Chrysura simplex (Dahlbom, 1854)</v>
      </c>
      <c r="AH9542" s="4" t="str">
        <f>HYPERLINK("#Statut_biogéographique!A"&amp;_xlfn.XMATCH("P",Statut_biogéographique!A:A,2,1),"P")</f>
        <v>P</v>
      </c>
      <c r="AP9542" s="4" t="s">
        <v>376</v>
      </c>
      <c r="AR9542" s="4" t="s">
        <v>377</v>
      </c>
    </row>
    <row r="9543" spans="1:44">
      <c r="A9543" s="4" t="s">
        <v>10753</v>
      </c>
      <c r="B9543" s="4">
        <v>219093</v>
      </c>
      <c r="D9543" s="5">
        <v>219093</v>
      </c>
      <c r="E9543" s="6" t="str">
        <f>HYPERLINK("https://inpn.mnhn.fr/espece/cd_nom/219093","Chrysis bicolor Lepeletier, 1806")</f>
        <v>Chrysis bicolor Lepeletier, 1806</v>
      </c>
      <c r="AH9543" s="4" t="str">
        <f>HYPERLINK("#Statut_biogéographique!A"&amp;_xlfn.XMATCH("P",Statut_biogéographique!A:A,2,1),"P")</f>
        <v>P</v>
      </c>
      <c r="AP9543" s="4" t="s">
        <v>376</v>
      </c>
      <c r="AR9543" s="4" t="s">
        <v>377</v>
      </c>
    </row>
    <row r="9544" spans="1:44">
      <c r="A9544" s="4" t="s">
        <v>10753</v>
      </c>
      <c r="B9544" s="4">
        <v>219101</v>
      </c>
      <c r="D9544" s="5">
        <v>219101</v>
      </c>
      <c r="E9544" s="6" t="str">
        <f>HYPERLINK("https://inpn.mnhn.fr/espece/cd_nom/219101","Chrysis comparata Lepeletier, 1806")</f>
        <v>Chrysis comparata Lepeletier, 1806</v>
      </c>
      <c r="AH9544" s="4" t="str">
        <f>HYPERLINK("#Statut_biogéographique!A"&amp;_xlfn.XMATCH("P",Statut_biogéographique!A:A,2,1),"P")</f>
        <v>P</v>
      </c>
      <c r="AP9544" s="4" t="s">
        <v>376</v>
      </c>
      <c r="AR9544" s="4" t="s">
        <v>377</v>
      </c>
    </row>
    <row r="9545" spans="1:44">
      <c r="A9545" s="4" t="s">
        <v>10753</v>
      </c>
      <c r="B9545" s="4">
        <v>219105</v>
      </c>
      <c r="D9545" s="5">
        <v>219105</v>
      </c>
      <c r="E9545" s="6" t="str">
        <f>HYPERLINK("https://inpn.mnhn.fr/espece/cd_nom/219105","Chrysis cortii Linsenmaier, 1951")</f>
        <v>Chrysis cortii Linsenmaier, 1951</v>
      </c>
      <c r="AH9545" s="4" t="str">
        <f>HYPERLINK("#Statut_biogéographique!A"&amp;_xlfn.XMATCH("P",Statut_biogéographique!A:A,2,1),"P")</f>
        <v>P</v>
      </c>
      <c r="AP9545" s="4" t="s">
        <v>376</v>
      </c>
      <c r="AR9545" s="4" t="s">
        <v>377</v>
      </c>
    </row>
    <row r="9546" spans="1:44">
      <c r="A9546" s="4" t="s">
        <v>10753</v>
      </c>
      <c r="B9546" s="4">
        <v>219112</v>
      </c>
      <c r="D9546" s="5" t="s">
        <v>12693</v>
      </c>
      <c r="E9546" s="6" t="str">
        <f>HYPERLINK("https://inpn.mnhn.fr/espece/cd_nom/219112","Chrysis fasciata Olivier, 1790")</f>
        <v>Chrysis fasciata Olivier, 1790</v>
      </c>
      <c r="AH9546" s="4" t="str">
        <f>HYPERLINK("#Statut_biogéographique!A"&amp;_xlfn.XMATCH("P",Statut_biogéographique!A:A,2,1),"P")</f>
        <v>P</v>
      </c>
      <c r="AP9546" s="4" t="s">
        <v>376</v>
      </c>
      <c r="AR9546" s="4" t="s">
        <v>377</v>
      </c>
    </row>
    <row r="9547" spans="1:44">
      <c r="A9547" s="4" t="s">
        <v>10753</v>
      </c>
      <c r="B9547" s="4">
        <v>219114</v>
      </c>
      <c r="D9547" s="5" t="s">
        <v>12694</v>
      </c>
      <c r="E9547" s="6" t="str">
        <f>HYPERLINK("https://inpn.mnhn.fr/espece/cd_nom/219114","Chrysis germari Wesmael, 1839")</f>
        <v>Chrysis germari Wesmael, 1839</v>
      </c>
      <c r="AH9547" s="4" t="str">
        <f>HYPERLINK("#Statut_biogéographique!A"&amp;_xlfn.XMATCH("P",Statut_biogéographique!A:A,2,1),"P")</f>
        <v>P</v>
      </c>
      <c r="AP9547" s="4" t="s">
        <v>376</v>
      </c>
      <c r="AR9547" s="4" t="s">
        <v>377</v>
      </c>
    </row>
    <row r="9548" spans="1:44">
      <c r="A9548" s="4" t="s">
        <v>10753</v>
      </c>
      <c r="B9548" s="4">
        <v>219125</v>
      </c>
      <c r="D9548" s="5">
        <v>219125</v>
      </c>
      <c r="E9548" s="6" t="str">
        <f>HYPERLINK("https://inpn.mnhn.fr/espece/cd_nom/219125","Chrysis leachii Shuckard, 1836")</f>
        <v>Chrysis leachii Shuckard, 1836</v>
      </c>
      <c r="AH9548" s="4" t="str">
        <f>HYPERLINK("#Statut_biogéographique!A"&amp;_xlfn.XMATCH("P",Statut_biogéographique!A:A,2,1),"P")</f>
        <v>P</v>
      </c>
      <c r="AP9548" s="4" t="s">
        <v>376</v>
      </c>
      <c r="AR9548" s="4" t="s">
        <v>377</v>
      </c>
    </row>
    <row r="9549" spans="1:44">
      <c r="A9549" s="4" t="s">
        <v>10753</v>
      </c>
      <c r="B9549" s="4">
        <v>219126</v>
      </c>
      <c r="D9549" s="5">
        <v>219126</v>
      </c>
      <c r="E9549" s="6" t="str">
        <f>HYPERLINK("https://inpn.mnhn.fr/espece/cd_nom/219126","Chrysis leptomandibularis Niehuis, 2000")</f>
        <v>Chrysis leptomandibularis Niehuis, 2000</v>
      </c>
      <c r="AH9549" s="4" t="str">
        <f>HYPERLINK("#Statut_biogéographique!A"&amp;_xlfn.XMATCH("P",Statut_biogéographique!A:A,2,1),"P")</f>
        <v>P</v>
      </c>
      <c r="AP9549" s="4" t="s">
        <v>376</v>
      </c>
      <c r="AR9549" s="4" t="s">
        <v>377</v>
      </c>
    </row>
    <row r="9550" spans="1:44">
      <c r="A9550" s="4" t="s">
        <v>10753</v>
      </c>
      <c r="B9550" s="4">
        <v>219127</v>
      </c>
      <c r="D9550" s="5">
        <v>219127</v>
      </c>
      <c r="E9550" s="6" t="str">
        <f>HYPERLINK("https://inpn.mnhn.fr/espece/cd_nom/219127","Chrysis longula Abeille de Perrin, 1879")</f>
        <v>Chrysis longula Abeille de Perrin, 1879</v>
      </c>
      <c r="AH9550" s="4" t="str">
        <f>HYPERLINK("#Statut_biogéographique!A"&amp;_xlfn.XMATCH("P",Statut_biogéographique!A:A,2,1),"P")</f>
        <v>P</v>
      </c>
      <c r="AP9550" s="4" t="s">
        <v>376</v>
      </c>
      <c r="AR9550" s="4" t="s">
        <v>377</v>
      </c>
    </row>
    <row r="9551" spans="1:44">
      <c r="A9551" s="4" t="s">
        <v>10753</v>
      </c>
      <c r="B9551" s="4">
        <v>219143</v>
      </c>
      <c r="D9551" s="5">
        <v>219143</v>
      </c>
      <c r="E9551" s="6" t="str">
        <f>HYPERLINK("https://inpn.mnhn.fr/espece/cd_nom/219143","Chrysis succincta Linnaeus, 1767")</f>
        <v>Chrysis succincta Linnaeus, 1767</v>
      </c>
      <c r="AH9551" s="4" t="str">
        <f>HYPERLINK("#Statut_biogéographique!A"&amp;_xlfn.XMATCH("P",Statut_biogéographique!A:A,2,1),"P")</f>
        <v>P</v>
      </c>
      <c r="AP9551" s="4" t="s">
        <v>376</v>
      </c>
      <c r="AR9551" s="4" t="s">
        <v>377</v>
      </c>
    </row>
    <row r="9552" spans="1:44">
      <c r="A9552" s="4" t="s">
        <v>10753</v>
      </c>
      <c r="B9552" s="4">
        <v>219147</v>
      </c>
      <c r="D9552" s="5">
        <v>219147</v>
      </c>
      <c r="E9552" s="6" t="str">
        <f>HYPERLINK("https://inpn.mnhn.fr/espece/cd_nom/219147","Chrysis viridula Linnaeus, 1761")</f>
        <v>Chrysis viridula Linnaeus, 1761</v>
      </c>
      <c r="AH9552" s="4" t="str">
        <f>HYPERLINK("#Statut_biogéographique!A"&amp;_xlfn.XMATCH("P",Statut_biogéographique!A:A,2,1),"P")</f>
        <v>P</v>
      </c>
      <c r="AP9552" s="4" t="s">
        <v>376</v>
      </c>
      <c r="AR9552" s="4" t="s">
        <v>377</v>
      </c>
    </row>
    <row r="9553" spans="1:44">
      <c r="A9553" s="4" t="s">
        <v>10753</v>
      </c>
      <c r="B9553" s="4">
        <v>219154</v>
      </c>
      <c r="D9553" s="5">
        <v>219154</v>
      </c>
      <c r="E9553" s="6" t="str">
        <f>HYPERLINK("https://inpn.mnhn.fr/espece/cd_nom/219154","Cleptes nitidulus (Fabricius, 1793)")</f>
        <v>Cleptes nitidulus (Fabricius, 1793)</v>
      </c>
      <c r="AH9553" s="4" t="str">
        <f>HYPERLINK("#Statut_biogéographique!A"&amp;_xlfn.XMATCH("P",Statut_biogéographique!A:A,2,1),"P")</f>
        <v>P</v>
      </c>
      <c r="AP9553" s="4" t="s">
        <v>376</v>
      </c>
      <c r="AR9553" s="4" t="s">
        <v>377</v>
      </c>
    </row>
    <row r="9554" spans="1:44">
      <c r="A9554" s="4" t="s">
        <v>10753</v>
      </c>
      <c r="B9554" s="4">
        <v>219185</v>
      </c>
      <c r="D9554" s="5" t="s">
        <v>12695</v>
      </c>
      <c r="E9554" s="6" t="str">
        <f>HYPERLINK("https://inpn.mnhn.fr/espece/cd_nom/219185","Dryinus collaris (Linnaeus, 1767)")</f>
        <v>Dryinus collaris (Linnaeus, 1767)</v>
      </c>
      <c r="AH9554" s="4" t="str">
        <f>HYPERLINK("#Statut_biogéographique!A"&amp;_xlfn.XMATCH("P",Statut_biogéographique!A:A,2,1),"P")</f>
        <v>P</v>
      </c>
      <c r="AP9554" s="4" t="s">
        <v>376</v>
      </c>
      <c r="AR9554" s="4" t="s">
        <v>377</v>
      </c>
    </row>
    <row r="9555" spans="1:44">
      <c r="A9555" s="4" t="s">
        <v>10753</v>
      </c>
      <c r="B9555" s="4">
        <v>219358</v>
      </c>
      <c r="D9555" s="5" t="s">
        <v>12696</v>
      </c>
      <c r="E9555" s="6" t="str">
        <f>HYPERLINK("https://inpn.mnhn.fr/espece/cd_nom/219358","Strongylognathus testaceus (Schenck, 1852)")</f>
        <v>Strongylognathus testaceus (Schenck, 1852)</v>
      </c>
      <c r="AH9555" s="4" t="str">
        <f>HYPERLINK("#Statut_biogéographique!A"&amp;_xlfn.XMATCH("P",Statut_biogéographique!A:A,2,1),"P")</f>
        <v>P</v>
      </c>
      <c r="AP9555" s="4" t="s">
        <v>376</v>
      </c>
      <c r="AR9555" s="4" t="s">
        <v>377</v>
      </c>
    </row>
    <row r="9556" spans="1:44" ht="30">
      <c r="A9556" s="4" t="s">
        <v>10753</v>
      </c>
      <c r="B9556" s="4">
        <v>219359</v>
      </c>
      <c r="D9556" s="5" t="s">
        <v>12697</v>
      </c>
      <c r="E9556" s="6" t="str">
        <f>HYPERLINK("https://inpn.mnhn.fr/espece/cd_nom/219359","Stenamma debile (Förster, 1850)")</f>
        <v>Stenamma debile (Förster, 1850)</v>
      </c>
      <c r="AH9556" s="4" t="str">
        <f>HYPERLINK("#Statut_biogéographique!A"&amp;_xlfn.XMATCH("P",Statut_biogéographique!A:A,2,1),"P")</f>
        <v>P</v>
      </c>
      <c r="AP9556" s="4" t="s">
        <v>376</v>
      </c>
      <c r="AR9556" s="4" t="s">
        <v>377</v>
      </c>
    </row>
    <row r="9557" spans="1:44" ht="120">
      <c r="A9557" s="4" t="s">
        <v>10753</v>
      </c>
      <c r="B9557" s="4">
        <v>219366</v>
      </c>
      <c r="D9557" s="5" t="s">
        <v>12698</v>
      </c>
      <c r="E9557" s="6" t="str">
        <f>HYPERLINK("https://inpn.mnhn.fr/espece/cd_nom/219366","Solenopsis fugax (Latreille, 1798)")</f>
        <v>Solenopsis fugax (Latreille, 1798)</v>
      </c>
      <c r="AH9557" s="4" t="str">
        <f>HYPERLINK("#Statut_biogéographique!A"&amp;_xlfn.XMATCH("P",Statut_biogéographique!A:A,2,1),"P")</f>
        <v>P</v>
      </c>
      <c r="AP9557" s="4" t="s">
        <v>376</v>
      </c>
      <c r="AR9557" s="4" t="s">
        <v>377</v>
      </c>
    </row>
    <row r="9558" spans="1:44">
      <c r="A9558" s="4" t="s">
        <v>10753</v>
      </c>
      <c r="B9558" s="4">
        <v>21939</v>
      </c>
      <c r="D9558" s="5" t="s">
        <v>12699</v>
      </c>
      <c r="E9558" s="6" t="str">
        <f>HYPERLINK("https://inpn.mnhn.fr/espece/cd_nom/21939","Cordyla crassicornis Meigen, 1818")</f>
        <v>Cordyla crassicornis Meigen, 1818</v>
      </c>
      <c r="AH9558" s="4" t="str">
        <f>HYPERLINK("#Statut_biogéographique!A"&amp;_xlfn.XMATCH("P",Statut_biogéographique!A:A,2,1),"P")</f>
        <v>P</v>
      </c>
      <c r="AP9558" s="4" t="s">
        <v>376</v>
      </c>
      <c r="AR9558" s="4" t="s">
        <v>377</v>
      </c>
    </row>
    <row r="9559" spans="1:44" ht="30">
      <c r="A9559" s="4" t="s">
        <v>10753</v>
      </c>
      <c r="B9559" s="4">
        <v>219391</v>
      </c>
      <c r="D9559" s="5" t="s">
        <v>12700</v>
      </c>
      <c r="E9559" s="6" t="str">
        <f>HYPERLINK("https://inpn.mnhn.fr/espece/cd_nom/219391","Myrmica karavajevi (Arnoldi, 1930)")</f>
        <v>Myrmica karavajevi (Arnoldi, 1930)</v>
      </c>
      <c r="O9559" s="7" t="str">
        <f>HYPERLINK("#Liste_rouge!A"&amp;_xlfn.XMATCH("VU",Liste_rouge!A:A,2,1),"VU")</f>
        <v>VU</v>
      </c>
      <c r="AH9559" s="4" t="str">
        <f>HYPERLINK("#Statut_biogéographique!A"&amp;_xlfn.XMATCH("P",Statut_biogéographique!A:A,2,1),"P")</f>
        <v>P</v>
      </c>
      <c r="AP9559" s="4" t="s">
        <v>376</v>
      </c>
      <c r="AR9559" s="4" t="s">
        <v>377</v>
      </c>
    </row>
    <row r="9560" spans="1:44" ht="45">
      <c r="A9560" s="4" t="s">
        <v>10753</v>
      </c>
      <c r="B9560" s="4">
        <v>219392</v>
      </c>
      <c r="D9560" s="5" t="s">
        <v>12701</v>
      </c>
      <c r="E9560" s="6" t="str">
        <f>HYPERLINK("https://inpn.mnhn.fr/espece/cd_nom/219392","Myrmica lobicornis Nylander, 1846")</f>
        <v>Myrmica lobicornis Nylander, 1846</v>
      </c>
      <c r="AH9560" s="4" t="str">
        <f>HYPERLINK("#Statut_biogéographique!A"&amp;_xlfn.XMATCH("P",Statut_biogéographique!A:A,2,1),"P")</f>
        <v>P</v>
      </c>
      <c r="AP9560" s="4" t="s">
        <v>376</v>
      </c>
      <c r="AR9560" s="4" t="s">
        <v>377</v>
      </c>
    </row>
    <row r="9561" spans="1:44" ht="30">
      <c r="A9561" s="4" t="s">
        <v>10753</v>
      </c>
      <c r="B9561" s="4">
        <v>219394</v>
      </c>
      <c r="D9561" s="5" t="s">
        <v>12702</v>
      </c>
      <c r="E9561" s="6" t="str">
        <f>HYPERLINK("https://inpn.mnhn.fr/espece/cd_nom/219394","Myrmica rubra (Linnaeus, 1758)")</f>
        <v>Myrmica rubra (Linnaeus, 1758)</v>
      </c>
      <c r="F9561" s="5" t="s">
        <v>12703</v>
      </c>
      <c r="AH9561" s="4" t="str">
        <f>HYPERLINK("#Statut_biogéographique!A"&amp;_xlfn.XMATCH("P",Statut_biogéographique!A:A,2,1),"P")</f>
        <v>P</v>
      </c>
      <c r="AP9561" s="4" t="s">
        <v>376</v>
      </c>
      <c r="AR9561" s="4" t="s">
        <v>377</v>
      </c>
    </row>
    <row r="9562" spans="1:44">
      <c r="A9562" s="4" t="s">
        <v>10753</v>
      </c>
      <c r="B9562" s="4">
        <v>219396</v>
      </c>
      <c r="D9562" s="5" t="s">
        <v>12704</v>
      </c>
      <c r="E9562" s="6" t="str">
        <f>HYPERLINK("https://inpn.mnhn.fr/espece/cd_nom/219396","Myrmica sabuleti Meinert, 1861")</f>
        <v>Myrmica sabuleti Meinert, 1861</v>
      </c>
      <c r="AH9562" s="4" t="str">
        <f>HYPERLINK("#Statut_biogéographique!A"&amp;_xlfn.XMATCH("P",Statut_biogéographique!A:A,2,1),"P")</f>
        <v>P</v>
      </c>
      <c r="AP9562" s="4" t="s">
        <v>376</v>
      </c>
      <c r="AR9562" s="4" t="s">
        <v>377</v>
      </c>
    </row>
    <row r="9563" spans="1:44" ht="30">
      <c r="A9563" s="4" t="s">
        <v>10753</v>
      </c>
      <c r="B9563" s="4">
        <v>219397</v>
      </c>
      <c r="D9563" s="5" t="s">
        <v>12705</v>
      </c>
      <c r="E9563" s="6" t="str">
        <f>HYPERLINK("https://inpn.mnhn.fr/espece/cd_nom/219397","Myrmica schencki Viereck, 1903")</f>
        <v>Myrmica schencki Viereck, 1903</v>
      </c>
      <c r="AH9563" s="4" t="str">
        <f>HYPERLINK("#Statut_biogéographique!A"&amp;_xlfn.XMATCH("P",Statut_biogéographique!A:A,2,1),"P")</f>
        <v>P</v>
      </c>
      <c r="AP9563" s="4" t="s">
        <v>376</v>
      </c>
      <c r="AR9563" s="4" t="s">
        <v>377</v>
      </c>
    </row>
    <row r="9564" spans="1:44">
      <c r="A9564" s="4" t="s">
        <v>10753</v>
      </c>
      <c r="B9564" s="4">
        <v>219399</v>
      </c>
      <c r="D9564" s="5">
        <v>219399</v>
      </c>
      <c r="E9564" s="6" t="str">
        <f>HYPERLINK("https://inpn.mnhn.fr/espece/cd_nom/219399","Myrmica vandeli Bondroit, 1920")</f>
        <v>Myrmica vandeli Bondroit, 1920</v>
      </c>
      <c r="AH9564" s="4" t="str">
        <f>HYPERLINK("#Statut_biogéographique!A"&amp;_xlfn.XMATCH("P",Statut_biogéographique!A:A,2,1),"P")</f>
        <v>P</v>
      </c>
      <c r="AP9564" s="4" t="s">
        <v>376</v>
      </c>
      <c r="AR9564" s="4" t="s">
        <v>377</v>
      </c>
    </row>
    <row r="9565" spans="1:44">
      <c r="A9565" s="4" t="s">
        <v>10753</v>
      </c>
      <c r="B9565" s="4">
        <v>21940</v>
      </c>
      <c r="D9565" s="5" t="s">
        <v>12706</v>
      </c>
      <c r="E9565" s="6" t="str">
        <f>HYPERLINK("https://inpn.mnhn.fr/espece/cd_nom/21940","Cordyla flaviceps (Stæger, 1840)")</f>
        <v>Cordyla flaviceps (Stæger, 1840)</v>
      </c>
      <c r="AH9565" s="4" t="str">
        <f>HYPERLINK("#Statut_biogéographique!A"&amp;_xlfn.XMATCH("P",Statut_biogéographique!A:A,2,1),"P")</f>
        <v>P</v>
      </c>
      <c r="AP9565" s="4" t="s">
        <v>376</v>
      </c>
      <c r="AR9565" s="4" t="s">
        <v>377</v>
      </c>
    </row>
    <row r="9566" spans="1:44" ht="30">
      <c r="A9566" s="4" t="s">
        <v>10753</v>
      </c>
      <c r="B9566" s="4">
        <v>219401</v>
      </c>
      <c r="D9566" s="5" t="s">
        <v>12707</v>
      </c>
      <c r="E9566" s="6" t="str">
        <f>HYPERLINK("https://inpn.mnhn.fr/espece/cd_nom/219401","Myrmecina graminicola (Latreille, 1802)")</f>
        <v>Myrmecina graminicola (Latreille, 1802)</v>
      </c>
      <c r="AH9566" s="4" t="str">
        <f>HYPERLINK("#Statut_biogéographique!A"&amp;_xlfn.XMATCH("P",Statut_biogéographique!A:A,2,1),"P")</f>
        <v>P</v>
      </c>
      <c r="AP9566" s="4" t="s">
        <v>376</v>
      </c>
      <c r="AR9566" s="4" t="s">
        <v>377</v>
      </c>
    </row>
    <row r="9567" spans="1:44">
      <c r="A9567" s="4" t="s">
        <v>10753</v>
      </c>
      <c r="B9567" s="4">
        <v>21941</v>
      </c>
      <c r="D9567" s="5" t="s">
        <v>12708</v>
      </c>
      <c r="E9567" s="6" t="str">
        <f>HYPERLINK("https://inpn.mnhn.fr/espece/cd_nom/21941","Cordyla fusca Meigen, 1804")</f>
        <v>Cordyla fusca Meigen, 1804</v>
      </c>
      <c r="AH9567" s="4" t="str">
        <f>HYPERLINK("#Statut_biogéographique!A"&amp;_xlfn.XMATCH("P",Statut_biogéographique!A:A,2,1),"P")</f>
        <v>P</v>
      </c>
      <c r="AP9567" s="4" t="s">
        <v>376</v>
      </c>
      <c r="AR9567" s="4" t="s">
        <v>377</v>
      </c>
    </row>
    <row r="9568" spans="1:44" ht="45">
      <c r="A9568" s="4" t="s">
        <v>10753</v>
      </c>
      <c r="B9568" s="4">
        <v>219411</v>
      </c>
      <c r="D9568" s="5" t="s">
        <v>12709</v>
      </c>
      <c r="E9568" s="6" t="str">
        <f>HYPERLINK("https://inpn.mnhn.fr/espece/cd_nom/219411","Messor structor (Latreille, 1798)")</f>
        <v>Messor structor (Latreille, 1798)</v>
      </c>
      <c r="AH9568" s="4" t="str">
        <f>HYPERLINK("#Statut_biogéographique!A"&amp;_xlfn.XMATCH("P",Statut_biogéographique!A:A,2,1),"P")</f>
        <v>P</v>
      </c>
      <c r="AP9568" s="4" t="s">
        <v>376</v>
      </c>
      <c r="AR9568" s="4" t="s">
        <v>377</v>
      </c>
    </row>
    <row r="9569" spans="1:44">
      <c r="A9569" s="4" t="s">
        <v>10753</v>
      </c>
      <c r="B9569" s="4">
        <v>219412</v>
      </c>
      <c r="D9569" s="5" t="s">
        <v>12710</v>
      </c>
      <c r="E9569" s="6" t="str">
        <f>HYPERLINK("https://inpn.mnhn.fr/espece/cd_nom/219412","Manica rubida (Latreille, 1802)")</f>
        <v>Manica rubida (Latreille, 1802)</v>
      </c>
      <c r="AH9569" s="4" t="str">
        <f>HYPERLINK("#Statut_biogéographique!A"&amp;_xlfn.XMATCH("P",Statut_biogéographique!A:A,2,1),"P")</f>
        <v>P</v>
      </c>
      <c r="AP9569" s="4" t="s">
        <v>376</v>
      </c>
      <c r="AR9569" s="4" t="s">
        <v>377</v>
      </c>
    </row>
    <row r="9570" spans="1:44" ht="45">
      <c r="A9570" s="4" t="s">
        <v>10753</v>
      </c>
      <c r="B9570" s="4">
        <v>219413</v>
      </c>
      <c r="D9570" s="5" t="s">
        <v>12711</v>
      </c>
      <c r="E9570" s="6" t="str">
        <f>HYPERLINK("https://inpn.mnhn.fr/espece/cd_nom/219413","Leptothorax acervorum (Fabricius, 1793)")</f>
        <v>Leptothorax acervorum (Fabricius, 1793)</v>
      </c>
      <c r="AH9570" s="4" t="str">
        <f>HYPERLINK("#Statut_biogéographique!A"&amp;_xlfn.XMATCH("P",Statut_biogéographique!A:A,2,1),"P")</f>
        <v>P</v>
      </c>
      <c r="AP9570" s="4" t="s">
        <v>376</v>
      </c>
      <c r="AR9570" s="4" t="s">
        <v>377</v>
      </c>
    </row>
    <row r="9571" spans="1:44">
      <c r="A9571" s="4" t="s">
        <v>10753</v>
      </c>
      <c r="B9571" s="4">
        <v>21943</v>
      </c>
      <c r="D9571" s="5">
        <v>21943</v>
      </c>
      <c r="E9571" s="6" t="str">
        <f>HYPERLINK("https://inpn.mnhn.fr/espece/cd_nom/21943","Cordyla murina Winnertz, 1864")</f>
        <v>Cordyla murina Winnertz, 1864</v>
      </c>
      <c r="AH9571" s="4" t="str">
        <f>HYPERLINK("#Statut_biogéographique!A"&amp;_xlfn.XMATCH("P",Statut_biogéographique!A:A,2,1),"P")</f>
        <v>P</v>
      </c>
      <c r="AP9571" s="4" t="s">
        <v>376</v>
      </c>
      <c r="AR9571" s="4" t="s">
        <v>377</v>
      </c>
    </row>
    <row r="9572" spans="1:44">
      <c r="A9572" s="4" t="s">
        <v>10753</v>
      </c>
      <c r="B9572" s="4">
        <v>219432</v>
      </c>
      <c r="D9572" s="5" t="s">
        <v>12712</v>
      </c>
      <c r="E9572" s="6" t="str">
        <f>HYPERLINK("https://inpn.mnhn.fr/espece/cd_nom/219432","Leptothorax muscorum (Nylander, 1846)")</f>
        <v>Leptothorax muscorum (Nylander, 1846)</v>
      </c>
      <c r="AH9572" s="4" t="str">
        <f>HYPERLINK("#Statut_biogéographique!A"&amp;_xlfn.XMATCH("P",Statut_biogéographique!A:A,2,1),"P")</f>
        <v>P</v>
      </c>
      <c r="AP9572" s="4" t="s">
        <v>376</v>
      </c>
      <c r="AR9572" s="4" t="s">
        <v>377</v>
      </c>
    </row>
    <row r="9573" spans="1:44" ht="30">
      <c r="A9573" s="4" t="s">
        <v>10753</v>
      </c>
      <c r="B9573" s="4">
        <v>219458</v>
      </c>
      <c r="D9573" s="5" t="s">
        <v>12713</v>
      </c>
      <c r="E9573" s="6" t="str">
        <f>HYPERLINK("https://inpn.mnhn.fr/espece/cd_nom/219458","Aphaenogaster gibbosa (Latreille, 1798)")</f>
        <v>Aphaenogaster gibbosa (Latreille, 1798)</v>
      </c>
      <c r="F9573" s="5" t="s">
        <v>12714</v>
      </c>
      <c r="AH9573" s="4" t="str">
        <f>HYPERLINK("#Statut_biogéographique!A"&amp;_xlfn.XMATCH("P",Statut_biogéographique!A:A,2,1),"P")</f>
        <v>P</v>
      </c>
      <c r="AP9573" s="4" t="s">
        <v>376</v>
      </c>
      <c r="AR9573" s="4" t="s">
        <v>377</v>
      </c>
    </row>
    <row r="9574" spans="1:44" ht="30">
      <c r="A9574" s="4" t="s">
        <v>10753</v>
      </c>
      <c r="B9574" s="4">
        <v>219465</v>
      </c>
      <c r="D9574" s="5" t="s">
        <v>12715</v>
      </c>
      <c r="E9574" s="6" t="str">
        <f>HYPERLINK("https://inpn.mnhn.fr/espece/cd_nom/219465","Dolichoderus quadripunctatus (Linnaeus, 1771)")</f>
        <v>Dolichoderus quadripunctatus (Linnaeus, 1771)</v>
      </c>
      <c r="F9574" s="5" t="s">
        <v>12716</v>
      </c>
      <c r="AH9574" s="4" t="str">
        <f>HYPERLINK("#Statut_biogéographique!A"&amp;_xlfn.XMATCH("P",Statut_biogéographique!A:A,2,1),"P")</f>
        <v>P</v>
      </c>
      <c r="AP9574" s="4" t="s">
        <v>376</v>
      </c>
      <c r="AR9574" s="4" t="s">
        <v>377</v>
      </c>
    </row>
    <row r="9575" spans="1:44" ht="30">
      <c r="A9575" s="4" t="s">
        <v>10753</v>
      </c>
      <c r="B9575" s="4">
        <v>219467</v>
      </c>
      <c r="D9575" s="5" t="s">
        <v>12717</v>
      </c>
      <c r="E9575" s="6" t="str">
        <f>HYPERLINK("https://inpn.mnhn.fr/espece/cd_nom/219467","Bothriomyrmex corsicus Santschi, 1923")</f>
        <v>Bothriomyrmex corsicus Santschi, 1923</v>
      </c>
      <c r="AH9575" s="4" t="str">
        <f>HYPERLINK("#Statut_biogéographique!A"&amp;_xlfn.XMATCH("P",Statut_biogéographique!A:A,2,1),"P")</f>
        <v>P</v>
      </c>
      <c r="AP9575" s="4" t="s">
        <v>376</v>
      </c>
      <c r="AR9575" s="4" t="s">
        <v>377</v>
      </c>
    </row>
    <row r="9576" spans="1:44">
      <c r="A9576" s="4" t="s">
        <v>10753</v>
      </c>
      <c r="B9576" s="4">
        <v>219475</v>
      </c>
      <c r="D9576" s="5" t="s">
        <v>12718</v>
      </c>
      <c r="E9576" s="6" t="str">
        <f>HYPERLINK("https://inpn.mnhn.fr/espece/cd_nom/219475","Polyergus rufescens (Latreille, 1798)")</f>
        <v>Polyergus rufescens (Latreille, 1798)</v>
      </c>
      <c r="AH9576" s="4" t="str">
        <f>HYPERLINK("#Statut_biogéographique!A"&amp;_xlfn.XMATCH("P",Statut_biogéographique!A:A,2,1),"P")</f>
        <v>P</v>
      </c>
      <c r="AP9576" s="4" t="s">
        <v>376</v>
      </c>
      <c r="AR9576" s="4" t="s">
        <v>377</v>
      </c>
    </row>
    <row r="9577" spans="1:44">
      <c r="A9577" s="4" t="s">
        <v>10753</v>
      </c>
      <c r="B9577" s="4">
        <v>219479</v>
      </c>
      <c r="D9577" s="5">
        <v>219479</v>
      </c>
      <c r="E9577" s="6" t="str">
        <f>HYPERLINK("https://inpn.mnhn.fr/espece/cd_nom/219479","Plagiolepis xene Stärcke, 1936")</f>
        <v>Plagiolepis xene Stärcke, 1936</v>
      </c>
      <c r="AH9577" s="4" t="str">
        <f>HYPERLINK("#Statut_biogéographique!A"&amp;_xlfn.XMATCH("P",Statut_biogéographique!A:A,2,1),"P")</f>
        <v>P</v>
      </c>
      <c r="AP9577" s="4" t="s">
        <v>376</v>
      </c>
      <c r="AR9577" s="4" t="s">
        <v>377</v>
      </c>
    </row>
    <row r="9578" spans="1:44" ht="30">
      <c r="A9578" s="4" t="s">
        <v>10753</v>
      </c>
      <c r="B9578" s="4">
        <v>219482</v>
      </c>
      <c r="D9578" s="5" t="s">
        <v>12719</v>
      </c>
      <c r="E9578" s="6" t="str">
        <f>HYPERLINK("https://inpn.mnhn.fr/espece/cd_nom/219482","Lasius flavus (Fabricius, 1782)")</f>
        <v>Lasius flavus (Fabricius, 1782)</v>
      </c>
      <c r="F9578" s="5" t="s">
        <v>12720</v>
      </c>
      <c r="AH9578" s="4" t="str">
        <f>HYPERLINK("#Statut_biogéographique!A"&amp;_xlfn.XMATCH("P",Statut_biogéographique!A:A,2,1),"P")</f>
        <v>P</v>
      </c>
      <c r="AP9578" s="4" t="s">
        <v>376</v>
      </c>
      <c r="AR9578" s="4" t="s">
        <v>377</v>
      </c>
    </row>
    <row r="9579" spans="1:44">
      <c r="A9579" s="4" t="s">
        <v>10753</v>
      </c>
      <c r="B9579" s="4">
        <v>219486</v>
      </c>
      <c r="D9579" s="5" t="s">
        <v>12721</v>
      </c>
      <c r="E9579" s="6" t="str">
        <f>HYPERLINK("https://inpn.mnhn.fr/espece/cd_nom/219486","Lasius distinguendus Emery, 1916")</f>
        <v>Lasius distinguendus Emery, 1916</v>
      </c>
      <c r="AH9579" s="4" t="str">
        <f>HYPERLINK("#Statut_biogéographique!A"&amp;_xlfn.XMATCH("P",Statut_biogéographique!A:A,2,1),"P")</f>
        <v>P</v>
      </c>
      <c r="AP9579" s="4" t="s">
        <v>376</v>
      </c>
      <c r="AR9579" s="4" t="s">
        <v>377</v>
      </c>
    </row>
    <row r="9580" spans="1:44">
      <c r="A9580" s="4" t="s">
        <v>10753</v>
      </c>
      <c r="B9580" s="4">
        <v>219488</v>
      </c>
      <c r="D9580" s="5" t="s">
        <v>12722</v>
      </c>
      <c r="E9580" s="6" t="str">
        <f>HYPERLINK("https://inpn.mnhn.fr/espece/cd_nom/219488","Lasius mixtus (Nylander, 1846)")</f>
        <v>Lasius mixtus (Nylander, 1846)</v>
      </c>
      <c r="AH9580" s="4" t="str">
        <f>HYPERLINK("#Statut_biogéographique!A"&amp;_xlfn.XMATCH("P",Statut_biogéographique!A:A,2,1),"P")</f>
        <v>P</v>
      </c>
      <c r="AP9580" s="4" t="s">
        <v>376</v>
      </c>
      <c r="AR9580" s="4" t="s">
        <v>377</v>
      </c>
    </row>
    <row r="9581" spans="1:44">
      <c r="A9581" s="4" t="s">
        <v>10753</v>
      </c>
      <c r="B9581" s="4">
        <v>219490</v>
      </c>
      <c r="D9581" s="5" t="s">
        <v>12723</v>
      </c>
      <c r="E9581" s="6" t="str">
        <f>HYPERLINK("https://inpn.mnhn.fr/espece/cd_nom/219490","Lasius fuliginosus (Latreille, 1798)")</f>
        <v>Lasius fuliginosus (Latreille, 1798)</v>
      </c>
      <c r="F9581" s="5" t="s">
        <v>12724</v>
      </c>
      <c r="AH9581" s="4" t="str">
        <f>HYPERLINK("#Statut_biogéographique!A"&amp;_xlfn.XMATCH("P",Statut_biogéographique!A:A,2,1),"P")</f>
        <v>P</v>
      </c>
      <c r="AP9581" s="4" t="s">
        <v>376</v>
      </c>
      <c r="AR9581" s="4" t="s">
        <v>377</v>
      </c>
    </row>
    <row r="9582" spans="1:44">
      <c r="A9582" s="4" t="s">
        <v>10753</v>
      </c>
      <c r="B9582" s="4">
        <v>219493</v>
      </c>
      <c r="D9582" s="5">
        <v>219493</v>
      </c>
      <c r="E9582" s="6" t="str">
        <f>HYPERLINK("https://inpn.mnhn.fr/espece/cd_nom/219493","Lasius platythorax Seifert, 1991")</f>
        <v>Lasius platythorax Seifert, 1991</v>
      </c>
      <c r="AH9582" s="4" t="str">
        <f>HYPERLINK("#Statut_biogéographique!A"&amp;_xlfn.XMATCH("P",Statut_biogéographique!A:A,2,1),"P")</f>
        <v>P</v>
      </c>
      <c r="AP9582" s="4" t="s">
        <v>376</v>
      </c>
      <c r="AR9582" s="4" t="s">
        <v>377</v>
      </c>
    </row>
    <row r="9583" spans="1:44">
      <c r="A9583" s="4" t="s">
        <v>10753</v>
      </c>
      <c r="B9583" s="4">
        <v>219494</v>
      </c>
      <c r="D9583" s="5">
        <v>219494</v>
      </c>
      <c r="E9583" s="6" t="str">
        <f>HYPERLINK("https://inpn.mnhn.fr/espece/cd_nom/219494","Lasius psammophilus Seifert, 1992")</f>
        <v>Lasius psammophilus Seifert, 1992</v>
      </c>
      <c r="AH9583" s="4" t="str">
        <f>HYPERLINK("#Statut_biogéographique!A"&amp;_xlfn.XMATCH("P",Statut_biogéographique!A:A,2,1),"P")</f>
        <v>P</v>
      </c>
      <c r="AP9583" s="4" t="s">
        <v>376</v>
      </c>
      <c r="AR9583" s="4" t="s">
        <v>377</v>
      </c>
    </row>
    <row r="9584" spans="1:44" ht="30">
      <c r="A9584" s="4" t="s">
        <v>10753</v>
      </c>
      <c r="B9584" s="4">
        <v>219496</v>
      </c>
      <c r="D9584" s="5" t="s">
        <v>12725</v>
      </c>
      <c r="E9584" s="6" t="str">
        <f>HYPERLINK("https://inpn.mnhn.fr/espece/cd_nom/219496","Formica exsecta Nylander, 1846")</f>
        <v>Formica exsecta Nylander, 1846</v>
      </c>
      <c r="AH9584" s="4" t="str">
        <f>HYPERLINK("#Statut_biogéographique!A"&amp;_xlfn.XMATCH("P",Statut_biogéographique!A:A,2,1),"P")</f>
        <v>P</v>
      </c>
      <c r="AP9584" s="4" t="s">
        <v>376</v>
      </c>
      <c r="AR9584" s="4" t="s">
        <v>377</v>
      </c>
    </row>
    <row r="9585" spans="1:44" ht="60">
      <c r="A9585" s="4" t="s">
        <v>10753</v>
      </c>
      <c r="B9585" s="4">
        <v>219500</v>
      </c>
      <c r="D9585" s="5" t="s">
        <v>12726</v>
      </c>
      <c r="E9585" s="6" t="str">
        <f>HYPERLINK("https://inpn.mnhn.fr/espece/cd_nom/219500","Formica truncorum Fabricius, 1804")</f>
        <v>Formica truncorum Fabricius, 1804</v>
      </c>
      <c r="AH9585" s="4" t="str">
        <f>HYPERLINK("#Statut_biogéographique!A"&amp;_xlfn.XMATCH("P",Statut_biogéographique!A:A,2,1),"P")</f>
        <v>P</v>
      </c>
      <c r="AP9585" s="4" t="s">
        <v>376</v>
      </c>
      <c r="AR9585" s="4" t="s">
        <v>377</v>
      </c>
    </row>
    <row r="9586" spans="1:44">
      <c r="A9586" s="4" t="s">
        <v>10753</v>
      </c>
      <c r="B9586" s="4">
        <v>219505</v>
      </c>
      <c r="D9586" s="5" t="s">
        <v>12727</v>
      </c>
      <c r="E9586" s="6" t="str">
        <f>HYPERLINK("https://inpn.mnhn.fr/espece/cd_nom/219505","Formica gagates Latreille, 1798")</f>
        <v>Formica gagates Latreille, 1798</v>
      </c>
      <c r="F9586" s="5" t="s">
        <v>12728</v>
      </c>
      <c r="AH9586" s="4" t="str">
        <f>HYPERLINK("#Statut_biogéographique!A"&amp;_xlfn.XMATCH("P",Statut_biogéographique!A:A,2,1),"P")</f>
        <v>P</v>
      </c>
      <c r="AP9586" s="4" t="s">
        <v>376</v>
      </c>
      <c r="AR9586" s="4" t="s">
        <v>377</v>
      </c>
    </row>
    <row r="9587" spans="1:44">
      <c r="A9587" s="4" t="s">
        <v>10753</v>
      </c>
      <c r="B9587" s="4">
        <v>219507</v>
      </c>
      <c r="D9587" s="5" t="s">
        <v>12729</v>
      </c>
      <c r="E9587" s="6" t="str">
        <f>HYPERLINK("https://inpn.mnhn.fr/espece/cd_nom/219507","Formica lemani Bondroit, 1917")</f>
        <v>Formica lemani Bondroit, 1917</v>
      </c>
      <c r="AH9587" s="4" t="str">
        <f>HYPERLINK("#Statut_biogéographique!A"&amp;_xlfn.XMATCH("P",Statut_biogéographique!A:A,2,1),"P")</f>
        <v>P</v>
      </c>
      <c r="AP9587" s="4" t="s">
        <v>376</v>
      </c>
      <c r="AR9587" s="4" t="s">
        <v>377</v>
      </c>
    </row>
    <row r="9588" spans="1:44" ht="60">
      <c r="A9588" s="4" t="s">
        <v>10753</v>
      </c>
      <c r="B9588" s="4">
        <v>219514</v>
      </c>
      <c r="D9588" s="5" t="s">
        <v>12730</v>
      </c>
      <c r="E9588" s="6" t="str">
        <f>HYPERLINK("https://inpn.mnhn.fr/espece/cd_nom/219514","Camponotus herculeanus (Linnaeus, 1758)")</f>
        <v>Camponotus herculeanus (Linnaeus, 1758)</v>
      </c>
      <c r="F9588" s="5" t="s">
        <v>12731</v>
      </c>
      <c r="AH9588" s="4" t="str">
        <f>HYPERLINK("#Statut_biogéographique!A"&amp;_xlfn.XMATCH("P",Statut_biogéographique!A:A,2,1),"P")</f>
        <v>P</v>
      </c>
      <c r="AP9588" s="4" t="s">
        <v>376</v>
      </c>
      <c r="AR9588" s="4" t="s">
        <v>377</v>
      </c>
    </row>
    <row r="9589" spans="1:44" ht="30">
      <c r="A9589" s="4" t="s">
        <v>10753</v>
      </c>
      <c r="B9589" s="4">
        <v>219515</v>
      </c>
      <c r="D9589" s="5" t="s">
        <v>12732</v>
      </c>
      <c r="E9589" s="6" t="str">
        <f>HYPERLINK("https://inpn.mnhn.fr/espece/cd_nom/219515","Camponotus ligniperda (Latreille, 1802)")</f>
        <v>Camponotus ligniperda (Latreille, 1802)</v>
      </c>
      <c r="F9589" s="5" t="s">
        <v>12733</v>
      </c>
      <c r="AH9589" s="4" t="str">
        <f>HYPERLINK("#Statut_biogéographique!A"&amp;_xlfn.XMATCH("P",Statut_biogéographique!A:A,2,1),"P")</f>
        <v>P</v>
      </c>
      <c r="AP9589" s="4" t="s">
        <v>376</v>
      </c>
      <c r="AR9589" s="4" t="s">
        <v>377</v>
      </c>
    </row>
    <row r="9590" spans="1:44" ht="30">
      <c r="A9590" s="4" t="s">
        <v>10753</v>
      </c>
      <c r="B9590" s="4">
        <v>219517</v>
      </c>
      <c r="D9590" s="5" t="s">
        <v>12734</v>
      </c>
      <c r="E9590" s="6" t="str">
        <f>HYPERLINK("https://inpn.mnhn.fr/espece/cd_nom/219517","Camponotus fallax (Nylander, 1856)")</f>
        <v>Camponotus fallax (Nylander, 1856)</v>
      </c>
      <c r="AH9590" s="4" t="str">
        <f>HYPERLINK("#Statut_biogéographique!A"&amp;_xlfn.XMATCH("P",Statut_biogéographique!A:A,2,1),"P")</f>
        <v>P</v>
      </c>
      <c r="AP9590" s="4" t="s">
        <v>376</v>
      </c>
      <c r="AR9590" s="4" t="s">
        <v>377</v>
      </c>
    </row>
    <row r="9591" spans="1:44" ht="30">
      <c r="A9591" s="4" t="s">
        <v>10753</v>
      </c>
      <c r="B9591" s="4">
        <v>219519</v>
      </c>
      <c r="D9591" s="5" t="s">
        <v>12735</v>
      </c>
      <c r="E9591" s="6" t="str">
        <f>HYPERLINK("https://inpn.mnhn.fr/espece/cd_nom/219519","Camponotus piceus (Leach, 1825)")</f>
        <v>Camponotus piceus (Leach, 1825)</v>
      </c>
      <c r="AH9591" s="4" t="str">
        <f>HYPERLINK("#Statut_biogéographique!A"&amp;_xlfn.XMATCH("P",Statut_biogéographique!A:A,2,1),"P")</f>
        <v>P</v>
      </c>
      <c r="AP9591" s="4" t="s">
        <v>376</v>
      </c>
      <c r="AR9591" s="4" t="s">
        <v>377</v>
      </c>
    </row>
    <row r="9592" spans="1:44">
      <c r="A9592" s="4" t="s">
        <v>10753</v>
      </c>
      <c r="B9592" s="4">
        <v>219524</v>
      </c>
      <c r="D9592" s="5" t="s">
        <v>12736</v>
      </c>
      <c r="E9592" s="6" t="str">
        <f>HYPERLINK("https://inpn.mnhn.fr/espece/cd_nom/219524","Ponera coarctata (Latreille, 1802)")</f>
        <v>Ponera coarctata (Latreille, 1802)</v>
      </c>
      <c r="AH9592" s="4" t="str">
        <f>HYPERLINK("#Statut_biogéographique!A"&amp;_xlfn.XMATCH("P",Statut_biogéographique!A:A,2,1),"P")</f>
        <v>P</v>
      </c>
      <c r="AP9592" s="4" t="s">
        <v>376</v>
      </c>
      <c r="AR9592" s="4" t="s">
        <v>377</v>
      </c>
    </row>
    <row r="9593" spans="1:44">
      <c r="A9593" s="4" t="s">
        <v>10753</v>
      </c>
      <c r="B9593" s="4">
        <v>21953</v>
      </c>
      <c r="D9593" s="5" t="s">
        <v>12737</v>
      </c>
      <c r="E9593" s="6" t="str">
        <f>HYPERLINK("https://inpn.mnhn.fr/espece/cd_nom/21953","Exechia dizona Edwards, 1924")</f>
        <v>Exechia dizona Edwards, 1924</v>
      </c>
      <c r="AH9593" s="4" t="str">
        <f>HYPERLINK("#Statut_biogéographique!A"&amp;_xlfn.XMATCH("P",Statut_biogéographique!A:A,2,1),"P")</f>
        <v>P</v>
      </c>
      <c r="AP9593" s="4" t="s">
        <v>376</v>
      </c>
      <c r="AR9593" s="4" t="s">
        <v>377</v>
      </c>
    </row>
    <row r="9594" spans="1:44" ht="75">
      <c r="A9594" s="4" t="s">
        <v>10753</v>
      </c>
      <c r="B9594" s="4">
        <v>219530</v>
      </c>
      <c r="D9594" s="5" t="s">
        <v>12738</v>
      </c>
      <c r="E9594" s="6" t="str">
        <f>HYPERLINK("https://inpn.mnhn.fr/espece/cd_nom/219530","Hypoponera punctatissima (Roger, 1859)")</f>
        <v>Hypoponera punctatissima (Roger, 1859)</v>
      </c>
      <c r="AH9594" s="4" t="str">
        <f>HYPERLINK("#Statut_biogéographique!A"&amp;_xlfn.XMATCH("I",Statut_biogéographique!A:A,2,1),"I")</f>
        <v>I</v>
      </c>
      <c r="AP9594" s="4" t="s">
        <v>376</v>
      </c>
      <c r="AR9594" s="4" t="s">
        <v>377</v>
      </c>
    </row>
    <row r="9595" spans="1:44" ht="30">
      <c r="A9595" s="4" t="s">
        <v>10753</v>
      </c>
      <c r="B9595" s="4">
        <v>21955</v>
      </c>
      <c r="D9595" s="5" t="s">
        <v>12739</v>
      </c>
      <c r="E9595" s="6" t="str">
        <f>HYPERLINK("https://inpn.mnhn.fr/espece/cd_nom/21955","Exechia fusca (Meigen, 1804)")</f>
        <v>Exechia fusca (Meigen, 1804)</v>
      </c>
      <c r="AH9595" s="4" t="str">
        <f>HYPERLINK("#Statut_biogéographique!A"&amp;_xlfn.XMATCH("P",Statut_biogéographique!A:A,2,1),"P")</f>
        <v>P</v>
      </c>
      <c r="AP9595" s="4" t="s">
        <v>376</v>
      </c>
      <c r="AR9595" s="4" t="s">
        <v>377</v>
      </c>
    </row>
    <row r="9596" spans="1:44">
      <c r="A9596" s="4" t="s">
        <v>10753</v>
      </c>
      <c r="B9596" s="4">
        <v>219551</v>
      </c>
      <c r="D9596" s="5">
        <v>219551</v>
      </c>
      <c r="E9596" s="6" t="str">
        <f>HYPERLINK("https://inpn.mnhn.fr/espece/cd_nom/219551","Helorus anomalipes Panzer, 1798")</f>
        <v>Helorus anomalipes Panzer, 1798</v>
      </c>
      <c r="AH9596" s="4" t="str">
        <f>HYPERLINK("#Statut_biogéographique!A"&amp;_xlfn.XMATCH("P",Statut_biogéographique!A:A,2,1),"P")</f>
        <v>P</v>
      </c>
      <c r="AP9596" s="4" t="s">
        <v>376</v>
      </c>
      <c r="AR9596" s="4" t="s">
        <v>377</v>
      </c>
    </row>
    <row r="9597" spans="1:44">
      <c r="A9597" s="4" t="s">
        <v>10753</v>
      </c>
      <c r="B9597" s="4">
        <v>219553</v>
      </c>
      <c r="D9597" s="5" t="s">
        <v>12740</v>
      </c>
      <c r="E9597" s="6" t="str">
        <f>HYPERLINK("https://inpn.mnhn.fr/espece/cd_nom/219553","Helorus ruficornis Förster, 1856")</f>
        <v>Helorus ruficornis Förster, 1856</v>
      </c>
      <c r="AH9597" s="4" t="str">
        <f>HYPERLINK("#Statut_biogéographique!A"&amp;_xlfn.XMATCH("P",Statut_biogéographique!A:A,2,1),"P")</f>
        <v>P</v>
      </c>
      <c r="AP9597" s="4" t="s">
        <v>376</v>
      </c>
      <c r="AR9597" s="4" t="s">
        <v>377</v>
      </c>
    </row>
    <row r="9598" spans="1:44">
      <c r="A9598" s="4" t="s">
        <v>10753</v>
      </c>
      <c r="B9598" s="4">
        <v>21958</v>
      </c>
      <c r="D9598" s="5">
        <v>21958</v>
      </c>
      <c r="E9598" s="6" t="str">
        <f>HYPERLINK("https://inpn.mnhn.fr/espece/cd_nom/21958","Exechia nigroscutellata Landrock, 1912")</f>
        <v>Exechia nigroscutellata Landrock, 1912</v>
      </c>
      <c r="AH9598" s="4" t="str">
        <f>HYPERLINK("#Statut_biogéographique!A"&amp;_xlfn.XMATCH("P",Statut_biogéographique!A:A,2,1),"P")</f>
        <v>P</v>
      </c>
      <c r="AP9598" s="4" t="s">
        <v>376</v>
      </c>
      <c r="AR9598" s="4" t="s">
        <v>377</v>
      </c>
    </row>
    <row r="9599" spans="1:44" ht="30">
      <c r="A9599" s="4" t="s">
        <v>10753</v>
      </c>
      <c r="B9599" s="4">
        <v>219589</v>
      </c>
      <c r="D9599" s="5" t="s">
        <v>12741</v>
      </c>
      <c r="E9599" s="6" t="str">
        <f>HYPERLINK("https://inpn.mnhn.fr/espece/cd_nom/219589","Smicromyrme rufipes (Fabricius, 1787)")</f>
        <v>Smicromyrme rufipes (Fabricius, 1787)</v>
      </c>
      <c r="AH9599" s="4" t="str">
        <f>HYPERLINK("#Statut_biogéographique!A"&amp;_xlfn.XMATCH("P",Statut_biogéographique!A:A,2,1),"P")</f>
        <v>P</v>
      </c>
      <c r="AP9599" s="4" t="s">
        <v>376</v>
      </c>
      <c r="AR9599" s="4" t="s">
        <v>377</v>
      </c>
    </row>
    <row r="9600" spans="1:44">
      <c r="A9600" s="4" t="s">
        <v>10753</v>
      </c>
      <c r="B9600" s="4">
        <v>21959</v>
      </c>
      <c r="D9600" s="5">
        <v>21959</v>
      </c>
      <c r="E9600" s="6" t="str">
        <f>HYPERLINK("https://inpn.mnhn.fr/espece/cd_nom/21959","Exechia parva Lundström, 1909")</f>
        <v>Exechia parva Lundström, 1909</v>
      </c>
      <c r="AH9600" s="4" t="str">
        <f>HYPERLINK("#Statut_biogéographique!A"&amp;_xlfn.XMATCH("P",Statut_biogéographique!A:A,2,1),"P")</f>
        <v>P</v>
      </c>
      <c r="AP9600" s="4" t="s">
        <v>376</v>
      </c>
      <c r="AR9600" s="4" t="s">
        <v>377</v>
      </c>
    </row>
    <row r="9601" spans="1:44">
      <c r="A9601" s="4" t="s">
        <v>10753</v>
      </c>
      <c r="B9601" s="4">
        <v>219602</v>
      </c>
      <c r="D9601" s="5" t="s">
        <v>12742</v>
      </c>
      <c r="E9601" s="6" t="str">
        <f>HYPERLINK("https://inpn.mnhn.fr/espece/cd_nom/219602","Physetopoda scutellaris (Latreille, 1792)")</f>
        <v>Physetopoda scutellaris (Latreille, 1792)</v>
      </c>
      <c r="AH9601" s="4" t="str">
        <f>HYPERLINK("#Statut_biogéographique!A"&amp;_xlfn.XMATCH("P",Statut_biogéographique!A:A,2,1),"P")</f>
        <v>P</v>
      </c>
      <c r="AP9601" s="4" t="s">
        <v>376</v>
      </c>
      <c r="AR9601" s="4" t="s">
        <v>377</v>
      </c>
    </row>
    <row r="9602" spans="1:44">
      <c r="A9602" s="4" t="s">
        <v>10753</v>
      </c>
      <c r="B9602" s="4">
        <v>219606</v>
      </c>
      <c r="D9602" s="5" t="s">
        <v>12743</v>
      </c>
      <c r="E9602" s="6" t="str">
        <f>HYPERLINK("https://inpn.mnhn.fr/espece/cd_nom/219606","Mutilla europaea Linnaeus, 1758")</f>
        <v>Mutilla europaea Linnaeus, 1758</v>
      </c>
      <c r="AH9602" s="4" t="str">
        <f>HYPERLINK("#Statut_biogéographique!A"&amp;_xlfn.XMATCH("P",Statut_biogéographique!A:A,2,1),"P")</f>
        <v>P</v>
      </c>
      <c r="AP9602" s="4" t="s">
        <v>376</v>
      </c>
      <c r="AR9602" s="4" t="s">
        <v>377</v>
      </c>
    </row>
    <row r="9603" spans="1:44">
      <c r="A9603" s="4" t="s">
        <v>10753</v>
      </c>
      <c r="B9603" s="4">
        <v>219610</v>
      </c>
      <c r="D9603" s="5" t="s">
        <v>12744</v>
      </c>
      <c r="E9603" s="6" t="str">
        <f>HYPERLINK("https://inpn.mnhn.fr/espece/cd_nom/219610","Myrmilla calva (Villers, 1789)")</f>
        <v>Myrmilla calva (Villers, 1789)</v>
      </c>
      <c r="AH9603" s="4" t="str">
        <f>HYPERLINK("#Statut_biogéographique!A"&amp;_xlfn.XMATCH("P",Statut_biogéographique!A:A,2,1),"P")</f>
        <v>P</v>
      </c>
      <c r="AP9603" s="4" t="s">
        <v>376</v>
      </c>
      <c r="AR9603" s="4" t="s">
        <v>377</v>
      </c>
    </row>
    <row r="9604" spans="1:44">
      <c r="A9604" s="4" t="s">
        <v>10753</v>
      </c>
      <c r="B9604" s="4">
        <v>219619</v>
      </c>
      <c r="D9604" s="5" t="s">
        <v>12745</v>
      </c>
      <c r="E9604" s="6" t="str">
        <f>HYPERLINK("https://inpn.mnhn.fr/espece/cd_nom/219619","Myrmosa atra Panzer, 1801")</f>
        <v>Myrmosa atra Panzer, 1801</v>
      </c>
      <c r="AH9604" s="4" t="str">
        <f>HYPERLINK("#Statut_biogéographique!A"&amp;_xlfn.XMATCH("P",Statut_biogéographique!A:A,2,1),"P")</f>
        <v>P</v>
      </c>
      <c r="AP9604" s="4" t="s">
        <v>376</v>
      </c>
      <c r="AR9604" s="4" t="s">
        <v>377</v>
      </c>
    </row>
    <row r="9605" spans="1:44">
      <c r="A9605" s="4" t="s">
        <v>10753</v>
      </c>
      <c r="B9605" s="4">
        <v>21962</v>
      </c>
      <c r="D9605" s="5">
        <v>21962</v>
      </c>
      <c r="E9605" s="6" t="str">
        <f>HYPERLINK("https://inpn.mnhn.fr/espece/cd_nom/21962","Exechia repanda Johannsen, 1912")</f>
        <v>Exechia repanda Johannsen, 1912</v>
      </c>
      <c r="AH9605" s="4" t="str">
        <f>HYPERLINK("#Statut_biogéographique!A"&amp;_xlfn.XMATCH("P",Statut_biogéographique!A:A,2,1),"P")</f>
        <v>P</v>
      </c>
      <c r="AP9605" s="4" t="s">
        <v>376</v>
      </c>
      <c r="AR9605" s="4" t="s">
        <v>377</v>
      </c>
    </row>
    <row r="9606" spans="1:44">
      <c r="A9606" s="4" t="s">
        <v>10753</v>
      </c>
      <c r="B9606" s="4">
        <v>219737</v>
      </c>
      <c r="D9606" s="5" t="s">
        <v>12746</v>
      </c>
      <c r="E9606" s="6" t="str">
        <f>HYPERLINK("https://inpn.mnhn.fr/espece/cd_nom/219737","Stephanus serrator (Fabricius, 1798)")</f>
        <v>Stephanus serrator (Fabricius, 1798)</v>
      </c>
      <c r="AH9606" s="4" t="str">
        <f>HYPERLINK("#Statut_biogéographique!A"&amp;_xlfn.XMATCH("P",Statut_biogéographique!A:A,2,1),"P")</f>
        <v>P</v>
      </c>
      <c r="AP9606" s="4" t="s">
        <v>376</v>
      </c>
      <c r="AR9606" s="4" t="s">
        <v>377</v>
      </c>
    </row>
    <row r="9607" spans="1:44" ht="45">
      <c r="A9607" s="4" t="s">
        <v>10753</v>
      </c>
      <c r="B9607" s="4">
        <v>219740</v>
      </c>
      <c r="D9607" s="5" t="s">
        <v>12747</v>
      </c>
      <c r="E9607" s="6" t="str">
        <f>HYPERLINK("https://inpn.mnhn.fr/espece/cd_nom/219740","Ochlodes sylvanus (Esper, 1777)")</f>
        <v>Ochlodes sylvanus (Esper, 1777)</v>
      </c>
      <c r="F9607" s="5" t="s">
        <v>12748</v>
      </c>
      <c r="P9607" s="7" t="str">
        <f>HYPERLINK("#Liste_rouge!A"&amp;_xlfn.XMATCH("LC",Liste_rouge!A:A,2,1),"LC")</f>
        <v>LC</v>
      </c>
      <c r="Q9607" s="7" t="str">
        <f>HYPERLINK("#Liste_rouge!A"&amp;_xlfn.XMATCH("LC",Liste_rouge!A:A,2,1),"LC")</f>
        <v>LC</v>
      </c>
      <c r="T9607" s="7" t="str">
        <f>HYPERLINK("#Liste_rouge!A"&amp;_xlfn.XMATCH("LC",Liste_rouge!A:A,2,1),"LC")</f>
        <v>LC</v>
      </c>
      <c r="V9607" s="7" t="str">
        <f>HYPERLINK("#Liste_rouge!A"&amp;_xlfn.XMATCH("LC",Liste_rouge!A:A,2,1),"LC")</f>
        <v>LC</v>
      </c>
      <c r="AH9607" s="4" t="str">
        <f>HYPERLINK("#Statut_biogéographique!A"&amp;_xlfn.XMATCH("P",Statut_biogéographique!A:A,2,1),"P")</f>
        <v>P</v>
      </c>
      <c r="AM9607" s="4" t="s">
        <v>375</v>
      </c>
      <c r="AN9607" s="4" t="s">
        <v>375</v>
      </c>
      <c r="AO9607" s="4" t="s">
        <v>375</v>
      </c>
      <c r="AP9607" s="4" t="s">
        <v>376</v>
      </c>
      <c r="AR9607" s="4" t="s">
        <v>377</v>
      </c>
    </row>
    <row r="9608" spans="1:44" ht="45">
      <c r="A9608" s="4" t="s">
        <v>10753</v>
      </c>
      <c r="B9608" s="4">
        <v>219741</v>
      </c>
      <c r="D9608" s="5" t="s">
        <v>12749</v>
      </c>
      <c r="E9608" s="6" t="str">
        <f>HYPERLINK("https://inpn.mnhn.fr/espece/cd_nom/219741","Thymelicus lineola (Ochsenheimer, 1808)")</f>
        <v>Thymelicus lineola (Ochsenheimer, 1808)</v>
      </c>
      <c r="F9608" s="5" t="s">
        <v>12750</v>
      </c>
      <c r="P9608" s="7" t="str">
        <f>HYPERLINK("#Liste_rouge!A"&amp;_xlfn.XMATCH("LC",Liste_rouge!A:A,2,1),"LC")</f>
        <v>LC</v>
      </c>
      <c r="Q9608" s="7" t="str">
        <f>HYPERLINK("#Liste_rouge!A"&amp;_xlfn.XMATCH("LC",Liste_rouge!A:A,2,1),"LC")</f>
        <v>LC</v>
      </c>
      <c r="T9608" s="7" t="str">
        <f>HYPERLINK("#Liste_rouge!A"&amp;_xlfn.XMATCH("LC",Liste_rouge!A:A,2,1),"LC")</f>
        <v>LC</v>
      </c>
      <c r="V9608" s="7" t="str">
        <f>HYPERLINK("#Liste_rouge!A"&amp;_xlfn.XMATCH("LC",Liste_rouge!A:A,2,1),"LC")</f>
        <v>LC</v>
      </c>
      <c r="AH9608" s="4" t="str">
        <f>HYPERLINK("#Statut_biogéographique!A"&amp;_xlfn.XMATCH("P",Statut_biogéographique!A:A,2,1),"P")</f>
        <v>P</v>
      </c>
      <c r="AM9608" s="4" t="s">
        <v>375</v>
      </c>
      <c r="AN9608" s="4" t="s">
        <v>375</v>
      </c>
      <c r="AO9608" s="4" t="s">
        <v>375</v>
      </c>
      <c r="AP9608" s="4" t="s">
        <v>376</v>
      </c>
      <c r="AR9608" s="4" t="s">
        <v>377</v>
      </c>
    </row>
    <row r="9609" spans="1:44" ht="60">
      <c r="A9609" s="4" t="s">
        <v>10753</v>
      </c>
      <c r="B9609" s="4">
        <v>219742</v>
      </c>
      <c r="D9609" s="5" t="s">
        <v>12751</v>
      </c>
      <c r="E9609" s="6" t="str">
        <f>HYPERLINK("https://inpn.mnhn.fr/espece/cd_nom/219742","Thymelicus sylvestris (Poda, 1761)")</f>
        <v>Thymelicus sylvestris (Poda, 1761)</v>
      </c>
      <c r="F9609" s="5" t="s">
        <v>12752</v>
      </c>
      <c r="P9609" s="7" t="str">
        <f>HYPERLINK("#Liste_rouge!A"&amp;_xlfn.XMATCH("LC",Liste_rouge!A:A,2,1),"LC")</f>
        <v>LC</v>
      </c>
      <c r="Q9609" s="7" t="str">
        <f>HYPERLINK("#Liste_rouge!A"&amp;_xlfn.XMATCH("LC",Liste_rouge!A:A,2,1),"LC")</f>
        <v>LC</v>
      </c>
      <c r="T9609" s="7" t="str">
        <f>HYPERLINK("#Liste_rouge!A"&amp;_xlfn.XMATCH("LC",Liste_rouge!A:A,2,1),"LC")</f>
        <v>LC</v>
      </c>
      <c r="V9609" s="7" t="str">
        <f>HYPERLINK("#Liste_rouge!A"&amp;_xlfn.XMATCH("LC",Liste_rouge!A:A,2,1),"LC")</f>
        <v>LC</v>
      </c>
      <c r="AH9609" s="4" t="str">
        <f>HYPERLINK("#Statut_biogéographique!A"&amp;_xlfn.XMATCH("P",Statut_biogéographique!A:A,2,1),"P")</f>
        <v>P</v>
      </c>
      <c r="AM9609" s="4" t="s">
        <v>375</v>
      </c>
      <c r="AN9609" s="4" t="s">
        <v>375</v>
      </c>
      <c r="AO9609" s="4" t="s">
        <v>375</v>
      </c>
      <c r="AP9609" s="4" t="s">
        <v>376</v>
      </c>
      <c r="AR9609" s="4" t="s">
        <v>377</v>
      </c>
    </row>
    <row r="9610" spans="1:44" ht="45">
      <c r="A9610" s="4" t="s">
        <v>10753</v>
      </c>
      <c r="B9610" s="4">
        <v>219743</v>
      </c>
      <c r="D9610" s="5" t="s">
        <v>12753</v>
      </c>
      <c r="E9610" s="6" t="str">
        <f>HYPERLINK("https://inpn.mnhn.fr/espece/cd_nom/219743","Pyrgus carthami (Hübner, 1813)")</f>
        <v>Pyrgus carthami (Hübner, 1813)</v>
      </c>
      <c r="F9610" s="5" t="s">
        <v>12754</v>
      </c>
      <c r="P9610" s="7" t="str">
        <f>HYPERLINK("#Liste_rouge!A"&amp;_xlfn.XMATCH("LC",Liste_rouge!A:A,2,1),"LC")</f>
        <v>LC</v>
      </c>
      <c r="Q9610" s="7" t="str">
        <f>HYPERLINK("#Liste_rouge!A"&amp;_xlfn.XMATCH("LC",Liste_rouge!A:A,2,1),"LC")</f>
        <v>LC</v>
      </c>
      <c r="T9610" s="7" t="str">
        <f>HYPERLINK("#Liste_rouge!A"&amp;_xlfn.XMATCH("EN",Liste_rouge!A:A,2,1),"EN")</f>
        <v>EN</v>
      </c>
      <c r="U9610" s="4" t="str">
        <f>HYPERLINK("#Critères_liste_rouge!A$1","B(1+2)ab(i,iii)")</f>
        <v>B(1+2)ab(i,iii)</v>
      </c>
      <c r="V9610" s="7" t="str">
        <f>HYPERLINK("#Liste_rouge!A"&amp;_xlfn.XMATCH("NT",Liste_rouge!A:A,2,1),"NT")</f>
        <v>NT</v>
      </c>
      <c r="W9610" s="4" t="str">
        <f>HYPERLINK("#Critères_liste_rouge!A$1","pr.A2c")</f>
        <v>pr.A2c</v>
      </c>
      <c r="X9610" s="5" t="s">
        <v>12755</v>
      </c>
      <c r="Y9610" s="5" t="s">
        <v>12756</v>
      </c>
      <c r="AH9610" s="4" t="str">
        <f>HYPERLINK("#Statut_biogéographique!A"&amp;_xlfn.XMATCH("P",Statut_biogéographique!A:A,2,1),"P")</f>
        <v>P</v>
      </c>
      <c r="AM9610" s="4" t="s">
        <v>375</v>
      </c>
      <c r="AN9610" s="4" t="s">
        <v>375</v>
      </c>
      <c r="AO9610" s="4" t="s">
        <v>375</v>
      </c>
      <c r="AP9610" s="4" t="s">
        <v>376</v>
      </c>
      <c r="AR9610" s="4" t="s">
        <v>377</v>
      </c>
    </row>
    <row r="9611" spans="1:44" ht="60">
      <c r="A9611" s="4" t="s">
        <v>10753</v>
      </c>
      <c r="B9611" s="4">
        <v>219744</v>
      </c>
      <c r="D9611" s="5" t="s">
        <v>12757</v>
      </c>
      <c r="E9611" s="6" t="str">
        <f>HYPERLINK("https://inpn.mnhn.fr/espece/cd_nom/219744","Pyrgus malvoides (Elwes &amp; Edwards, 1897)")</f>
        <v>Pyrgus malvoides (Elwes &amp; Edwards, 1897)</v>
      </c>
      <c r="F9611" s="5" t="s">
        <v>12758</v>
      </c>
      <c r="O9611" s="7" t="str">
        <f>HYPERLINK("#Liste_rouge!A"&amp;_xlfn.XMATCH("LC",Liste_rouge!A:A,2,1),"LC")</f>
        <v>LC</v>
      </c>
      <c r="P9611" s="7" t="str">
        <f>HYPERLINK("#Liste_rouge!A"&amp;_xlfn.XMATCH("LC",Liste_rouge!A:A,2,1),"LC")</f>
        <v>LC</v>
      </c>
      <c r="Q9611" s="7" t="str">
        <f>HYPERLINK("#Liste_rouge!A"&amp;_xlfn.XMATCH("LC",Liste_rouge!A:A,2,1),"LC")</f>
        <v>LC</v>
      </c>
      <c r="AH9611" s="4" t="str">
        <f>HYPERLINK("#Statut_biogéographique!A"&amp;_xlfn.XMATCH("P",Statut_biogéographique!A:A,2,1),"P")</f>
        <v>P</v>
      </c>
      <c r="AP9611" s="4" t="s">
        <v>376</v>
      </c>
      <c r="AR9611" s="4" t="s">
        <v>377</v>
      </c>
    </row>
    <row r="9612" spans="1:44" ht="75">
      <c r="A9612" s="4" t="s">
        <v>10753</v>
      </c>
      <c r="B9612" s="4">
        <v>219750</v>
      </c>
      <c r="D9612" s="5" t="s">
        <v>12759</v>
      </c>
      <c r="E9612" s="6" t="str">
        <f>HYPERLINK("https://inpn.mnhn.fr/espece/cd_nom/219750","Lycaena virgaureae (Linnaeus, 1758)")</f>
        <v>Lycaena virgaureae (Linnaeus, 1758)</v>
      </c>
      <c r="F9612" s="5" t="s">
        <v>12760</v>
      </c>
      <c r="P9612" s="7" t="str">
        <f>HYPERLINK("#Liste_rouge!A"&amp;_xlfn.XMATCH("LC",Liste_rouge!A:A,2,1),"LC")</f>
        <v>LC</v>
      </c>
      <c r="Q9612" s="7" t="str">
        <f>HYPERLINK("#Liste_rouge!A"&amp;_xlfn.XMATCH("LC",Liste_rouge!A:A,2,1),"LC")</f>
        <v>LC</v>
      </c>
      <c r="T9612" s="7" t="str">
        <f>HYPERLINK("#Liste_rouge!A"&amp;_xlfn.XMATCH("NA",Liste_rouge!A:A,2,1),"NA")</f>
        <v>NA</v>
      </c>
      <c r="V9612" s="7" t="str">
        <f>HYPERLINK("#Liste_rouge!A"&amp;_xlfn.XMATCH("NT",Liste_rouge!A:A,2,1),"NT")</f>
        <v>NT</v>
      </c>
      <c r="W9612" s="4" t="str">
        <f>HYPERLINK("#Critères_liste_rouge!A$1","pr.A3c")</f>
        <v>pr.A3c</v>
      </c>
      <c r="X9612" s="5" t="s">
        <v>12755</v>
      </c>
      <c r="Y9612" s="5" t="s">
        <v>12761</v>
      </c>
      <c r="AD9612" s="4" t="s">
        <v>12762</v>
      </c>
      <c r="AH9612" s="4" t="str">
        <f>HYPERLINK("#Statut_biogéographique!A"&amp;_xlfn.XMATCH("P",Statut_biogéographique!A:A,2,1),"P")</f>
        <v>P</v>
      </c>
      <c r="AM9612" s="4" t="s">
        <v>375</v>
      </c>
      <c r="AN9612" s="4" t="s">
        <v>375</v>
      </c>
      <c r="AO9612" s="4" t="s">
        <v>375</v>
      </c>
      <c r="AP9612" s="4" t="s">
        <v>376</v>
      </c>
      <c r="AR9612" s="4" t="s">
        <v>377</v>
      </c>
    </row>
    <row r="9613" spans="1:44" ht="45">
      <c r="A9613" s="4" t="s">
        <v>10753</v>
      </c>
      <c r="B9613" s="4">
        <v>219751</v>
      </c>
      <c r="D9613" s="5" t="s">
        <v>12763</v>
      </c>
      <c r="E9613" s="6" t="str">
        <f>HYPERLINK("https://inpn.mnhn.fr/espece/cd_nom/219751","Lycaena tityrus (Poda, 1761)")</f>
        <v>Lycaena tityrus (Poda, 1761)</v>
      </c>
      <c r="F9613" s="5" t="s">
        <v>12764</v>
      </c>
      <c r="P9613" s="7" t="str">
        <f>HYPERLINK("#Liste_rouge!A"&amp;_xlfn.XMATCH("LC",Liste_rouge!A:A,2,1),"LC")</f>
        <v>LC</v>
      </c>
      <c r="Q9613" s="7" t="str">
        <f>HYPERLINK("#Liste_rouge!A"&amp;_xlfn.XMATCH("LC",Liste_rouge!A:A,2,1),"LC")</f>
        <v>LC</v>
      </c>
      <c r="T9613" s="7" t="str">
        <f>HYPERLINK("#Liste_rouge!A"&amp;_xlfn.XMATCH("LC",Liste_rouge!A:A,2,1),"LC")</f>
        <v>LC</v>
      </c>
      <c r="V9613" s="7" t="str">
        <f>HYPERLINK("#Liste_rouge!A"&amp;_xlfn.XMATCH("LC",Liste_rouge!A:A,2,1),"LC")</f>
        <v>LC</v>
      </c>
      <c r="AH9613" s="4" t="str">
        <f>HYPERLINK("#Statut_biogéographique!A"&amp;_xlfn.XMATCH("P",Statut_biogéographique!A:A,2,1),"P")</f>
        <v>P</v>
      </c>
      <c r="AM9613" s="4" t="s">
        <v>375</v>
      </c>
      <c r="AN9613" s="4" t="s">
        <v>375</v>
      </c>
      <c r="AO9613" s="4" t="s">
        <v>375</v>
      </c>
      <c r="AP9613" s="4" t="s">
        <v>376</v>
      </c>
      <c r="AR9613" s="4" t="s">
        <v>377</v>
      </c>
    </row>
    <row r="9614" spans="1:44" ht="30">
      <c r="A9614" s="4" t="s">
        <v>10753</v>
      </c>
      <c r="B9614" s="4">
        <v>219752</v>
      </c>
      <c r="D9614" s="5" t="s">
        <v>12765</v>
      </c>
      <c r="E9614" s="6" t="str">
        <f>HYPERLINK("https://inpn.mnhn.fr/espece/cd_nom/219752","Lycaena alciphron (Rottemburg, 1775)")</f>
        <v>Lycaena alciphron (Rottemburg, 1775)</v>
      </c>
      <c r="F9614" s="5" t="s">
        <v>12766</v>
      </c>
      <c r="P9614" s="7" t="str">
        <f>HYPERLINK("#Liste_rouge!A"&amp;_xlfn.XMATCH("LC",Liste_rouge!A:A,2,1),"LC")</f>
        <v>LC</v>
      </c>
      <c r="Q9614" s="7" t="str">
        <f>HYPERLINK("#Liste_rouge!A"&amp;_xlfn.XMATCH("LC",Liste_rouge!A:A,2,1),"LC")</f>
        <v>LC</v>
      </c>
      <c r="T9614" s="7" t="str">
        <f>HYPERLINK("#Liste_rouge!A"&amp;_xlfn.XMATCH("CR",Liste_rouge!A:A,2,1),"CR")</f>
        <v>CR</v>
      </c>
      <c r="U9614" s="4" t="str">
        <f>HYPERLINK("#Critères_liste_rouge!A$1","A2c")</f>
        <v>A2c</v>
      </c>
      <c r="V9614" s="7" t="str">
        <f>HYPERLINK("#Liste_rouge!A"&amp;_xlfn.XMATCH("VU",Liste_rouge!A:A,2,1),"VU")</f>
        <v>VU</v>
      </c>
      <c r="W9614" s="4" t="str">
        <f>HYPERLINK("#Critères_liste_rouge!A$1","A2acB2ab(iii)")</f>
        <v>A2acB2ab(iii)</v>
      </c>
      <c r="X9614" s="5" t="s">
        <v>374</v>
      </c>
      <c r="AD9614" s="4" t="s">
        <v>12762</v>
      </c>
      <c r="AH9614" s="4" t="str">
        <f>HYPERLINK("#Statut_biogéographique!A"&amp;_xlfn.XMATCH("P",Statut_biogéographique!A:A,2,1),"P")</f>
        <v>P</v>
      </c>
      <c r="AM9614" s="4" t="s">
        <v>375</v>
      </c>
      <c r="AN9614" s="4" t="s">
        <v>375</v>
      </c>
      <c r="AO9614" s="4" t="s">
        <v>375</v>
      </c>
      <c r="AP9614" s="4" t="s">
        <v>376</v>
      </c>
      <c r="AR9614" s="4" t="s">
        <v>377</v>
      </c>
    </row>
    <row r="9615" spans="1:44" ht="60">
      <c r="A9615" s="4" t="s">
        <v>10753</v>
      </c>
      <c r="B9615" s="4">
        <v>219753</v>
      </c>
      <c r="D9615" s="5" t="s">
        <v>12767</v>
      </c>
      <c r="E9615" s="6" t="str">
        <f>HYPERLINK("https://inpn.mnhn.fr/espece/cd_nom/219753","Lycaena hippothoe (Linnaeus, 1761)")</f>
        <v>Lycaena hippothoe (Linnaeus, 1761)</v>
      </c>
      <c r="F9615" s="5" t="s">
        <v>12768</v>
      </c>
      <c r="P9615" s="7" t="str">
        <f>HYPERLINK("#Liste_rouge!A"&amp;_xlfn.XMATCH("LC",Liste_rouge!A:A,2,1),"LC")</f>
        <v>LC</v>
      </c>
      <c r="Q9615" s="7" t="str">
        <f>HYPERLINK("#Liste_rouge!A"&amp;_xlfn.XMATCH("LC",Liste_rouge!A:A,2,1),"LC")</f>
        <v>LC</v>
      </c>
      <c r="T9615" s="7" t="str">
        <f>HYPERLINK("#Liste_rouge!A"&amp;_xlfn.XMATCH("EN",Liste_rouge!A:A,2,1),"EN")</f>
        <v>EN</v>
      </c>
      <c r="U9615" s="4" t="str">
        <f>HYPERLINK("#Critères_liste_rouge!A$1","A2c B(1+2)ab(i,ii,iii)c")</f>
        <v>A2c B(1+2)ab(i,ii,iii)c</v>
      </c>
      <c r="V9615" s="7" t="str">
        <f>HYPERLINK("#Liste_rouge!A"&amp;_xlfn.XMATCH("NT",Liste_rouge!A:A,2,1),"NT")</f>
        <v>NT</v>
      </c>
      <c r="W9615" s="4" t="str">
        <f>HYPERLINK("#Critères_liste_rouge!A$1","pr.A3c")</f>
        <v>pr.A3c</v>
      </c>
      <c r="X9615" s="5" t="s">
        <v>12755</v>
      </c>
      <c r="Y9615" s="5" t="s">
        <v>12769</v>
      </c>
      <c r="AH9615" s="4" t="str">
        <f>HYPERLINK("#Statut_biogéographique!A"&amp;_xlfn.XMATCH("P",Statut_biogéographique!A:A,2,1),"P")</f>
        <v>P</v>
      </c>
      <c r="AM9615" s="4" t="s">
        <v>375</v>
      </c>
      <c r="AN9615" s="4" t="s">
        <v>375</v>
      </c>
      <c r="AO9615" s="4" t="s">
        <v>375</v>
      </c>
      <c r="AP9615" s="4" t="s">
        <v>376</v>
      </c>
      <c r="AR9615" s="4" t="s">
        <v>377</v>
      </c>
    </row>
    <row r="9616" spans="1:44" ht="60">
      <c r="A9616" s="4" t="s">
        <v>10753</v>
      </c>
      <c r="B9616" s="4">
        <v>219755</v>
      </c>
      <c r="D9616" s="5" t="s">
        <v>12770</v>
      </c>
      <c r="E9616" s="6" t="str">
        <f>HYPERLINK("https://inpn.mnhn.fr/espece/cd_nom/219755","Satyrium w-album (Knoch, 1782)")</f>
        <v>Satyrium w-album (Knoch, 1782)</v>
      </c>
      <c r="F9616" s="5" t="s">
        <v>12771</v>
      </c>
      <c r="P9616" s="7" t="str">
        <f>HYPERLINK("#Liste_rouge!A"&amp;_xlfn.XMATCH("LC",Liste_rouge!A:A,2,1),"LC")</f>
        <v>LC</v>
      </c>
      <c r="Q9616" s="7" t="str">
        <f>HYPERLINK("#Liste_rouge!A"&amp;_xlfn.XMATCH("LC",Liste_rouge!A:A,2,1),"LC")</f>
        <v>LC</v>
      </c>
      <c r="T9616" s="7" t="str">
        <f>HYPERLINK("#Liste_rouge!A"&amp;_xlfn.XMATCH("NT",Liste_rouge!A:A,2,1),"NT")</f>
        <v>NT</v>
      </c>
      <c r="U9616" s="4" t="str">
        <f>HYPERLINK("#Critères_liste_rouge!A$1","pr. B2b(iii)")</f>
        <v>pr. B2b(iii)</v>
      </c>
      <c r="V9616" s="7" t="str">
        <f>HYPERLINK("#Liste_rouge!A"&amp;_xlfn.XMATCH("VU",Liste_rouge!A:A,2,1),"VU")</f>
        <v>VU</v>
      </c>
      <c r="W9616" s="4" t="str">
        <f>HYPERLINK("#Critères_liste_rouge!A$1","B2ab(iii)")</f>
        <v>B2ab(iii)</v>
      </c>
      <c r="X9616" s="5" t="s">
        <v>398</v>
      </c>
      <c r="AH9616" s="4" t="str">
        <f>HYPERLINK("#Statut_biogéographique!A"&amp;_xlfn.XMATCH("P",Statut_biogéographique!A:A,2,1),"P")</f>
        <v>P</v>
      </c>
      <c r="AM9616" s="4" t="s">
        <v>375</v>
      </c>
      <c r="AN9616" s="4" t="s">
        <v>375</v>
      </c>
      <c r="AO9616" s="4" t="s">
        <v>375</v>
      </c>
      <c r="AP9616" s="4" t="s">
        <v>376</v>
      </c>
      <c r="AR9616" s="4" t="s">
        <v>377</v>
      </c>
    </row>
    <row r="9617" spans="1:44" ht="45">
      <c r="A9617" s="4" t="s">
        <v>10753</v>
      </c>
      <c r="B9617" s="4">
        <v>219756</v>
      </c>
      <c r="D9617" s="5" t="s">
        <v>12772</v>
      </c>
      <c r="E9617" s="6" t="str">
        <f>HYPERLINK("https://inpn.mnhn.fr/espece/cd_nom/219756","Satyrium pruni (Linnaeus, 1758)")</f>
        <v>Satyrium pruni (Linnaeus, 1758)</v>
      </c>
      <c r="F9617" s="5" t="s">
        <v>12773</v>
      </c>
      <c r="P9617" s="7" t="str">
        <f>HYPERLINK("#Liste_rouge!A"&amp;_xlfn.XMATCH("LC",Liste_rouge!A:A,2,1),"LC")</f>
        <v>LC</v>
      </c>
      <c r="Q9617" s="7" t="str">
        <f>HYPERLINK("#Liste_rouge!A"&amp;_xlfn.XMATCH("LC",Liste_rouge!A:A,2,1),"LC")</f>
        <v>LC</v>
      </c>
      <c r="T9617" s="7" t="str">
        <f>HYPERLINK("#Liste_rouge!A"&amp;_xlfn.XMATCH("LC",Liste_rouge!A:A,2,1),"LC")</f>
        <v>LC</v>
      </c>
      <c r="V9617" s="7" t="str">
        <f>HYPERLINK("#Liste_rouge!A"&amp;_xlfn.XMATCH("LC",Liste_rouge!A:A,2,1),"LC")</f>
        <v>LC</v>
      </c>
      <c r="X9617" s="5" t="s">
        <v>398</v>
      </c>
      <c r="AH9617" s="4" t="str">
        <f>HYPERLINK("#Statut_biogéographique!A"&amp;_xlfn.XMATCH("P",Statut_biogéographique!A:A,2,1),"P")</f>
        <v>P</v>
      </c>
      <c r="AM9617" s="4" t="s">
        <v>375</v>
      </c>
      <c r="AN9617" s="4" t="s">
        <v>375</v>
      </c>
      <c r="AO9617" s="4" t="s">
        <v>375</v>
      </c>
      <c r="AP9617" s="4" t="s">
        <v>376</v>
      </c>
      <c r="AR9617" s="4" t="s">
        <v>377</v>
      </c>
    </row>
    <row r="9618" spans="1:44" ht="60">
      <c r="A9618" s="4" t="s">
        <v>10753</v>
      </c>
      <c r="B9618" s="4">
        <v>219757</v>
      </c>
      <c r="D9618" s="5" t="s">
        <v>12774</v>
      </c>
      <c r="E9618" s="6" t="str">
        <f>HYPERLINK("https://inpn.mnhn.fr/espece/cd_nom/219757","Satyrium spini (Denis &amp; Schiffermüller, 1775)")</f>
        <v>Satyrium spini (Denis &amp; Schiffermüller, 1775)</v>
      </c>
      <c r="F9618" s="5" t="s">
        <v>12775</v>
      </c>
      <c r="P9618" s="7" t="str">
        <f>HYPERLINK("#Liste_rouge!A"&amp;_xlfn.XMATCH("LC",Liste_rouge!A:A,2,1),"LC")</f>
        <v>LC</v>
      </c>
      <c r="Q9618" s="7" t="str">
        <f>HYPERLINK("#Liste_rouge!A"&amp;_xlfn.XMATCH("LC",Liste_rouge!A:A,2,1),"LC")</f>
        <v>LC</v>
      </c>
      <c r="T9618" s="7" t="str">
        <f>HYPERLINK("#Liste_rouge!A"&amp;_xlfn.XMATCH("NT",Liste_rouge!A:A,2,1),"NT")</f>
        <v>NT</v>
      </c>
      <c r="U9618" s="4" t="str">
        <f>HYPERLINK("#Critères_liste_rouge!A$1","pr. B2b(iii)")</f>
        <v>pr. B2b(iii)</v>
      </c>
      <c r="V9618" s="7" t="str">
        <f>HYPERLINK("#Liste_rouge!A"&amp;_xlfn.XMATCH("LC",Liste_rouge!A:A,2,1),"LC")</f>
        <v>LC</v>
      </c>
      <c r="X9618" s="5" t="s">
        <v>398</v>
      </c>
      <c r="AH9618" s="4" t="str">
        <f>HYPERLINK("#Statut_biogéographique!A"&amp;_xlfn.XMATCH("P",Statut_biogéographique!A:A,2,1),"P")</f>
        <v>P</v>
      </c>
      <c r="AM9618" s="4" t="s">
        <v>375</v>
      </c>
      <c r="AN9618" s="4" t="s">
        <v>375</v>
      </c>
      <c r="AO9618" s="4" t="s">
        <v>375</v>
      </c>
      <c r="AP9618" s="4" t="s">
        <v>376</v>
      </c>
      <c r="AR9618" s="4" t="s">
        <v>377</v>
      </c>
    </row>
    <row r="9619" spans="1:44" ht="60">
      <c r="A9619" s="4" t="s">
        <v>10753</v>
      </c>
      <c r="B9619" s="4">
        <v>219758</v>
      </c>
      <c r="D9619" s="5" t="s">
        <v>12776</v>
      </c>
      <c r="E9619" s="6" t="str">
        <f>HYPERLINK("https://inpn.mnhn.fr/espece/cd_nom/219758","Satyrium ilicis (Esper, 1779)")</f>
        <v>Satyrium ilicis (Esper, 1779)</v>
      </c>
      <c r="F9619" s="5" t="s">
        <v>12777</v>
      </c>
      <c r="P9619" s="7" t="str">
        <f>HYPERLINK("#Liste_rouge!A"&amp;_xlfn.XMATCH("LC",Liste_rouge!A:A,2,1),"LC")</f>
        <v>LC</v>
      </c>
      <c r="Q9619" s="7" t="str">
        <f>HYPERLINK("#Liste_rouge!A"&amp;_xlfn.XMATCH("LC",Liste_rouge!A:A,2,1),"LC")</f>
        <v>LC</v>
      </c>
      <c r="T9619" s="7" t="str">
        <f>HYPERLINK("#Liste_rouge!A"&amp;_xlfn.XMATCH("LC",Liste_rouge!A:A,2,1),"LC")</f>
        <v>LC</v>
      </c>
      <c r="V9619" s="7" t="str">
        <f>HYPERLINK("#Liste_rouge!A"&amp;_xlfn.XMATCH("LC",Liste_rouge!A:A,2,1),"LC")</f>
        <v>LC</v>
      </c>
      <c r="AH9619" s="4" t="str">
        <f>HYPERLINK("#Statut_biogéographique!A"&amp;_xlfn.XMATCH("P",Statut_biogéographique!A:A,2,1),"P")</f>
        <v>P</v>
      </c>
      <c r="AM9619" s="4" t="s">
        <v>375</v>
      </c>
      <c r="AN9619" s="4" t="s">
        <v>375</v>
      </c>
      <c r="AO9619" s="4" t="s">
        <v>375</v>
      </c>
      <c r="AP9619" s="4" t="s">
        <v>376</v>
      </c>
      <c r="AR9619" s="4" t="s">
        <v>377</v>
      </c>
    </row>
    <row r="9620" spans="1:44" ht="45">
      <c r="A9620" s="4" t="s">
        <v>10753</v>
      </c>
      <c r="B9620" s="4">
        <v>219760</v>
      </c>
      <c r="D9620" s="5" t="s">
        <v>12778</v>
      </c>
      <c r="E9620" s="6" t="str">
        <f>HYPERLINK("https://inpn.mnhn.fr/espece/cd_nom/219760","Satyrium acaciae (Fabricius, 1787)")</f>
        <v>Satyrium acaciae (Fabricius, 1787)</v>
      </c>
      <c r="F9620" s="5" t="s">
        <v>12779</v>
      </c>
      <c r="P9620" s="7" t="str">
        <f>HYPERLINK("#Liste_rouge!A"&amp;_xlfn.XMATCH("LC",Liste_rouge!A:A,2,1),"LC")</f>
        <v>LC</v>
      </c>
      <c r="Q9620" s="7" t="str">
        <f>HYPERLINK("#Liste_rouge!A"&amp;_xlfn.XMATCH("LC",Liste_rouge!A:A,2,1),"LC")</f>
        <v>LC</v>
      </c>
      <c r="T9620" s="7" t="str">
        <f>HYPERLINK("#Liste_rouge!A"&amp;_xlfn.XMATCH("NT",Liste_rouge!A:A,2,1),"NT")</f>
        <v>NT</v>
      </c>
      <c r="U9620" s="4" t="str">
        <f>HYPERLINK("#Critères_liste_rouge!A$1","pr. B2b(ii,iii)")</f>
        <v>pr. B2b(ii,iii)</v>
      </c>
      <c r="V9620" s="7" t="str">
        <f>HYPERLINK("#Liste_rouge!A"&amp;_xlfn.XMATCH("LC",Liste_rouge!A:A,2,1),"LC")</f>
        <v>LC</v>
      </c>
      <c r="X9620" s="5" t="s">
        <v>398</v>
      </c>
      <c r="AH9620" s="4" t="str">
        <f>HYPERLINK("#Statut_biogéographique!A"&amp;_xlfn.XMATCH("P",Statut_biogéographique!A:A,2,1),"P")</f>
        <v>P</v>
      </c>
      <c r="AM9620" s="4" t="s">
        <v>375</v>
      </c>
      <c r="AN9620" s="4" t="s">
        <v>375</v>
      </c>
      <c r="AO9620" s="4" t="s">
        <v>375</v>
      </c>
      <c r="AP9620" s="4" t="s">
        <v>376</v>
      </c>
      <c r="AR9620" s="4" t="s">
        <v>377</v>
      </c>
    </row>
    <row r="9621" spans="1:44" ht="60">
      <c r="A9621" s="4" t="s">
        <v>10753</v>
      </c>
      <c r="B9621" s="4">
        <v>219763</v>
      </c>
      <c r="D9621" s="5" t="s">
        <v>12780</v>
      </c>
      <c r="E9621" s="6" t="str">
        <f>HYPERLINK("https://inpn.mnhn.fr/espece/cd_nom/219763","Polyommatus dorylas (Denis &amp; Schiffermüller, 1775)")</f>
        <v>Polyommatus dorylas (Denis &amp; Schiffermüller, 1775)</v>
      </c>
      <c r="F9621" s="5" t="s">
        <v>12781</v>
      </c>
      <c r="P9621" s="7" t="str">
        <f>HYPERLINK("#Liste_rouge!A"&amp;_xlfn.XMATCH("NT",Liste_rouge!A:A,2,1),"NT")</f>
        <v>NT</v>
      </c>
      <c r="Q9621" s="7" t="str">
        <f>HYPERLINK("#Liste_rouge!A"&amp;_xlfn.XMATCH("NT",Liste_rouge!A:A,2,1),"NT")</f>
        <v>NT</v>
      </c>
      <c r="T9621" s="7" t="str">
        <f>HYPERLINK("#Liste_rouge!A"&amp;_xlfn.XMATCH("RE",Liste_rouge!A:A,2,1),"RE")</f>
        <v>RE</v>
      </c>
      <c r="V9621" s="7" t="str">
        <f>HYPERLINK("#Liste_rouge!A"&amp;_xlfn.XMATCH("VU",Liste_rouge!A:A,2,1),"VU")</f>
        <v>VU</v>
      </c>
      <c r="W9621" s="4" t="str">
        <f>HYPERLINK("#Critères_liste_rouge!A$1","A2cB2ab(iii)")</f>
        <v>A2cB2ab(iii)</v>
      </c>
      <c r="X9621" s="5" t="s">
        <v>374</v>
      </c>
      <c r="AH9621" s="4" t="str">
        <f>HYPERLINK("#Statut_biogéographique!A"&amp;_xlfn.XMATCH("P",Statut_biogéographique!A:A,2,1),"P")</f>
        <v>P</v>
      </c>
      <c r="AM9621" s="4" t="s">
        <v>375</v>
      </c>
      <c r="AN9621" s="4" t="s">
        <v>375</v>
      </c>
      <c r="AO9621" s="4" t="s">
        <v>375</v>
      </c>
      <c r="AP9621" s="4" t="s">
        <v>376</v>
      </c>
      <c r="AR9621" s="4" t="s">
        <v>377</v>
      </c>
    </row>
    <row r="9622" spans="1:44" ht="45">
      <c r="A9622" s="4" t="s">
        <v>10753</v>
      </c>
      <c r="B9622" s="4">
        <v>219765</v>
      </c>
      <c r="D9622" s="5" t="s">
        <v>12782</v>
      </c>
      <c r="E9622" s="6" t="str">
        <f>HYPERLINK("https://inpn.mnhn.fr/espece/cd_nom/219765","Polyommatus thersites (Cantener, 1835)")</f>
        <v>Polyommatus thersites (Cantener, 1835)</v>
      </c>
      <c r="F9622" s="5" t="s">
        <v>12783</v>
      </c>
      <c r="P9622" s="7" t="str">
        <f>HYPERLINK("#Liste_rouge!A"&amp;_xlfn.XMATCH("LC",Liste_rouge!A:A,2,1),"LC")</f>
        <v>LC</v>
      </c>
      <c r="Q9622" s="7" t="str">
        <f>HYPERLINK("#Liste_rouge!A"&amp;_xlfn.XMATCH("LC",Liste_rouge!A:A,2,1),"LC")</f>
        <v>LC</v>
      </c>
      <c r="T9622" s="7" t="str">
        <f>HYPERLINK("#Liste_rouge!A"&amp;_xlfn.XMATCH("VU",Liste_rouge!A:A,2,1),"VU")</f>
        <v>VU</v>
      </c>
      <c r="U9622" s="4" t="str">
        <f>HYPERLINK("#Critères_liste_rouge!A$1","B2ab(iii)")</f>
        <v>B2ab(iii)</v>
      </c>
      <c r="V9622" s="7" t="str">
        <f>HYPERLINK("#Liste_rouge!A"&amp;_xlfn.XMATCH("LC",Liste_rouge!A:A,2,1),"LC")</f>
        <v>LC</v>
      </c>
      <c r="X9622" s="5" t="s">
        <v>12755</v>
      </c>
      <c r="Y9622" s="5" t="s">
        <v>12784</v>
      </c>
      <c r="AH9622" s="4" t="str">
        <f>HYPERLINK("#Statut_biogéographique!A"&amp;_xlfn.XMATCH("P",Statut_biogéographique!A:A,2,1),"P")</f>
        <v>P</v>
      </c>
      <c r="AM9622" s="4" t="s">
        <v>375</v>
      </c>
      <c r="AN9622" s="4" t="s">
        <v>375</v>
      </c>
      <c r="AO9622" s="4" t="s">
        <v>375</v>
      </c>
      <c r="AP9622" s="4" t="s">
        <v>376</v>
      </c>
      <c r="AR9622" s="4" t="s">
        <v>377</v>
      </c>
    </row>
    <row r="9623" spans="1:44" ht="45">
      <c r="A9623" s="4" t="s">
        <v>10753</v>
      </c>
      <c r="B9623" s="4">
        <v>219793</v>
      </c>
      <c r="D9623" s="5" t="s">
        <v>12785</v>
      </c>
      <c r="E9623" s="6" t="str">
        <f>HYPERLINK("https://inpn.mnhn.fr/espece/cd_nom/219793","Cupido argiades (Pallas, 1771)")</f>
        <v>Cupido argiades (Pallas, 1771)</v>
      </c>
      <c r="F9623" s="5" t="s">
        <v>12786</v>
      </c>
      <c r="P9623" s="7" t="str">
        <f>HYPERLINK("#Liste_rouge!A"&amp;_xlfn.XMATCH("LC",Liste_rouge!A:A,2,1),"LC")</f>
        <v>LC</v>
      </c>
      <c r="Q9623" s="7" t="str">
        <f>HYPERLINK("#Liste_rouge!A"&amp;_xlfn.XMATCH("LC",Liste_rouge!A:A,2,1),"LC")</f>
        <v>LC</v>
      </c>
      <c r="T9623" s="7" t="str">
        <f>HYPERLINK("#Liste_rouge!A"&amp;_xlfn.XMATCH("LC",Liste_rouge!A:A,2,1),"LC")</f>
        <v>LC</v>
      </c>
      <c r="V9623" s="7" t="str">
        <f>HYPERLINK("#Liste_rouge!A"&amp;_xlfn.XMATCH("LC",Liste_rouge!A:A,2,1),"LC")</f>
        <v>LC</v>
      </c>
      <c r="AH9623" s="4" t="str">
        <f>HYPERLINK("#Statut_biogéographique!A"&amp;_xlfn.XMATCH("P",Statut_biogéographique!A:A,2,1),"P")</f>
        <v>P</v>
      </c>
      <c r="AM9623" s="4" t="s">
        <v>375</v>
      </c>
      <c r="AN9623" s="4" t="s">
        <v>375</v>
      </c>
      <c r="AO9623" s="4" t="s">
        <v>375</v>
      </c>
      <c r="AP9623" s="4" t="s">
        <v>376</v>
      </c>
      <c r="AR9623" s="4" t="s">
        <v>377</v>
      </c>
    </row>
    <row r="9624" spans="1:44" ht="45">
      <c r="A9624" s="4" t="s">
        <v>10753</v>
      </c>
      <c r="B9624" s="4">
        <v>219794</v>
      </c>
      <c r="D9624" s="5" t="s">
        <v>12787</v>
      </c>
      <c r="E9624" s="6" t="str">
        <f>HYPERLINK("https://inpn.mnhn.fr/espece/cd_nom/219794","Cupido alcetas (Hoffmannsegg, 1804)")</f>
        <v>Cupido alcetas (Hoffmannsegg, 1804)</v>
      </c>
      <c r="F9624" s="5" t="s">
        <v>12788</v>
      </c>
      <c r="P9624" s="7" t="str">
        <f>HYPERLINK("#Liste_rouge!A"&amp;_xlfn.XMATCH("LC",Liste_rouge!A:A,2,1),"LC")</f>
        <v>LC</v>
      </c>
      <c r="Q9624" s="7" t="str">
        <f>HYPERLINK("#Liste_rouge!A"&amp;_xlfn.XMATCH("LC",Liste_rouge!A:A,2,1),"LC")</f>
        <v>LC</v>
      </c>
      <c r="T9624" s="7" t="str">
        <f>HYPERLINK("#Liste_rouge!A"&amp;_xlfn.XMATCH("NA",Liste_rouge!A:A,2,1),"NA")</f>
        <v>NA</v>
      </c>
      <c r="V9624" s="7" t="str">
        <f>HYPERLINK("#Liste_rouge!A"&amp;_xlfn.XMATCH("DD",Liste_rouge!A:A,2,1),"DD")</f>
        <v>DD</v>
      </c>
      <c r="AH9624" s="4" t="str">
        <f>HYPERLINK("#Statut_biogéographique!A"&amp;_xlfn.XMATCH("P",Statut_biogéographique!A:A,2,1),"P")</f>
        <v>P</v>
      </c>
      <c r="AM9624" s="4" t="s">
        <v>375</v>
      </c>
      <c r="AN9624" s="4" t="s">
        <v>375</v>
      </c>
      <c r="AO9624" s="4" t="s">
        <v>375</v>
      </c>
      <c r="AP9624" s="4" t="s">
        <v>376</v>
      </c>
      <c r="AR9624" s="4" t="s">
        <v>377</v>
      </c>
    </row>
    <row r="9625" spans="1:44" ht="30">
      <c r="A9625" s="4" t="s">
        <v>10753</v>
      </c>
      <c r="B9625" s="4">
        <v>219796</v>
      </c>
      <c r="D9625" s="5">
        <v>219796</v>
      </c>
      <c r="E9625" s="6" t="str">
        <f>HYPERLINK("https://inpn.mnhn.fr/espece/cd_nom/219796","Cacyreus marshalli Butler, 1898")</f>
        <v>Cacyreus marshalli Butler, 1898</v>
      </c>
      <c r="F9625" s="5" t="s">
        <v>12789</v>
      </c>
      <c r="O9625" s="7" t="str">
        <f>HYPERLINK("#Liste_rouge!A"&amp;_xlfn.XMATCH("LC",Liste_rouge!A:A,2,1),"LC")</f>
        <v>LC</v>
      </c>
      <c r="Q9625" s="7" t="str">
        <f>HYPERLINK("#Liste_rouge!A"&amp;_xlfn.XMATCH("NA",Liste_rouge!A:A,2,1),"NA")</f>
        <v>NA</v>
      </c>
      <c r="T9625" s="7" t="str">
        <f>HYPERLINK("#Liste_rouge!A"&amp;_xlfn.XMATCH("NA",Liste_rouge!A:A,2,1),"NA")</f>
        <v>NA</v>
      </c>
      <c r="AH9625" s="4" t="str">
        <f>HYPERLINK("#Statut_biogéographique!A"&amp;_xlfn.XMATCH("J",Statut_biogéographique!A:A,2,1),"J")</f>
        <v>J</v>
      </c>
      <c r="AM9625" s="4" t="s">
        <v>375</v>
      </c>
      <c r="AN9625" s="4" t="s">
        <v>375</v>
      </c>
      <c r="AO9625" s="4" t="s">
        <v>375</v>
      </c>
      <c r="AP9625" s="4" t="s">
        <v>376</v>
      </c>
      <c r="AR9625" s="4" t="s">
        <v>377</v>
      </c>
    </row>
    <row r="9626" spans="1:44" ht="30">
      <c r="A9626" s="4" t="s">
        <v>10753</v>
      </c>
      <c r="B9626" s="4">
        <v>219799</v>
      </c>
      <c r="D9626" s="5" t="s">
        <v>12790</v>
      </c>
      <c r="E9626" s="6" t="str">
        <f>HYPERLINK("https://inpn.mnhn.fr/espece/cd_nom/219799","Aphantopus hyperantus (Linnaeus, 1758)")</f>
        <v>Aphantopus hyperantus (Linnaeus, 1758)</v>
      </c>
      <c r="F9626" s="5" t="s">
        <v>12791</v>
      </c>
      <c r="P9626" s="7" t="str">
        <f>HYPERLINK("#Liste_rouge!A"&amp;_xlfn.XMATCH("LC",Liste_rouge!A:A,2,1),"LC")</f>
        <v>LC</v>
      </c>
      <c r="Q9626" s="7" t="str">
        <f>HYPERLINK("#Liste_rouge!A"&amp;_xlfn.XMATCH("LC",Liste_rouge!A:A,2,1),"LC")</f>
        <v>LC</v>
      </c>
      <c r="T9626" s="7" t="str">
        <f>HYPERLINK("#Liste_rouge!A"&amp;_xlfn.XMATCH("LC",Liste_rouge!A:A,2,1),"LC")</f>
        <v>LC</v>
      </c>
      <c r="V9626" s="7" t="str">
        <f>HYPERLINK("#Liste_rouge!A"&amp;_xlfn.XMATCH("LC",Liste_rouge!A:A,2,1),"LC")</f>
        <v>LC</v>
      </c>
      <c r="AH9626" s="4" t="str">
        <f>HYPERLINK("#Statut_biogéographique!A"&amp;_xlfn.XMATCH("P",Statut_biogéographique!A:A,2,1),"P")</f>
        <v>P</v>
      </c>
      <c r="AM9626" s="4" t="s">
        <v>375</v>
      </c>
      <c r="AN9626" s="4" t="s">
        <v>375</v>
      </c>
      <c r="AO9626" s="4" t="s">
        <v>375</v>
      </c>
      <c r="AP9626" s="4" t="s">
        <v>376</v>
      </c>
      <c r="AR9626" s="4" t="s">
        <v>377</v>
      </c>
    </row>
    <row r="9627" spans="1:44" ht="60">
      <c r="A9627" s="4" t="s">
        <v>10753</v>
      </c>
      <c r="B9627" s="4">
        <v>219806</v>
      </c>
      <c r="D9627" s="5" t="s">
        <v>12792</v>
      </c>
      <c r="E9627" s="6" t="str">
        <f>HYPERLINK("https://inpn.mnhn.fr/espece/cd_nom/219806","Hipparchia statilinus (Hufnagel, 1766)")</f>
        <v>Hipparchia statilinus (Hufnagel, 1766)</v>
      </c>
      <c r="F9627" s="5" t="s">
        <v>12793</v>
      </c>
      <c r="O9627" s="7" t="str">
        <f>HYPERLINK("#Liste_rouge!A"&amp;_xlfn.XMATCH("LC",Liste_rouge!A:A,2,1),"LC")</f>
        <v>LC</v>
      </c>
      <c r="P9627" s="7" t="str">
        <f>HYPERLINK("#Liste_rouge!A"&amp;_xlfn.XMATCH("NT",Liste_rouge!A:A,2,1),"NT")</f>
        <v>NT</v>
      </c>
      <c r="Q9627" s="7" t="str">
        <f>HYPERLINK("#Liste_rouge!A"&amp;_xlfn.XMATCH("LC",Liste_rouge!A:A,2,1),"LC")</f>
        <v>LC</v>
      </c>
      <c r="T9627" s="7" t="str">
        <f>HYPERLINK("#Liste_rouge!A"&amp;_xlfn.XMATCH("CR",Liste_rouge!A:A,2,1),"CR")</f>
        <v>CR</v>
      </c>
      <c r="U9627" s="4" t="str">
        <f>HYPERLINK("#Critères_liste_rouge!A$1","B2ab(ii,iii)")</f>
        <v>B2ab(ii,iii)</v>
      </c>
      <c r="X9627" s="5" t="s">
        <v>374</v>
      </c>
      <c r="AH9627" s="4" t="str">
        <f>HYPERLINK("#Statut_biogéographique!A"&amp;_xlfn.XMATCH("P",Statut_biogéographique!A:A,2,1),"P")</f>
        <v>P</v>
      </c>
      <c r="AM9627" s="4" t="s">
        <v>382</v>
      </c>
      <c r="AN9627" s="4" t="s">
        <v>382</v>
      </c>
      <c r="AO9627" s="4" t="s">
        <v>382</v>
      </c>
      <c r="AP9627" s="4" t="s">
        <v>376</v>
      </c>
      <c r="AR9627" s="4" t="s">
        <v>377</v>
      </c>
    </row>
    <row r="9628" spans="1:44" ht="45">
      <c r="A9628" s="4" t="s">
        <v>10753</v>
      </c>
      <c r="B9628" s="4">
        <v>219807</v>
      </c>
      <c r="D9628" s="5" t="s">
        <v>12794</v>
      </c>
      <c r="E9628" s="6" t="str">
        <f>HYPERLINK("https://inpn.mnhn.fr/espece/cd_nom/219807","Hipparchia genava (Fruhstorfer, 1908)")</f>
        <v>Hipparchia genava (Fruhstorfer, 1908)</v>
      </c>
      <c r="F9628" s="5" t="s">
        <v>12795</v>
      </c>
      <c r="Q9628" s="7" t="str">
        <f>HYPERLINK("#Liste_rouge!A"&amp;_xlfn.XMATCH("LC",Liste_rouge!A:A,2,1),"LC")</f>
        <v>LC</v>
      </c>
      <c r="T9628" s="7" t="str">
        <f>HYPERLINK("#Liste_rouge!A"&amp;_xlfn.XMATCH("VU",Liste_rouge!A:A,2,1),"VU")</f>
        <v>VU</v>
      </c>
      <c r="U9628" s="4" t="str">
        <f>HYPERLINK("#Critères_liste_rouge!A$1","A2c")</f>
        <v>A2c</v>
      </c>
      <c r="V9628" s="7" t="str">
        <f>HYPERLINK("#Liste_rouge!A"&amp;_xlfn.XMATCH("NT",Liste_rouge!A:A,2,1),"NT")</f>
        <v>NT</v>
      </c>
      <c r="W9628" s="4" t="str">
        <f>HYPERLINK("#Critères_liste_rouge!A$1","pr.A3c")</f>
        <v>pr.A3c</v>
      </c>
      <c r="X9628" s="5" t="s">
        <v>12755</v>
      </c>
      <c r="Y9628" s="5" t="s">
        <v>12756</v>
      </c>
      <c r="AH9628" s="4" t="str">
        <f>HYPERLINK("#Statut_biogéographique!A"&amp;_xlfn.XMATCH("P",Statut_biogéographique!A:A,2,1),"P")</f>
        <v>P</v>
      </c>
      <c r="AM9628" s="4" t="s">
        <v>375</v>
      </c>
      <c r="AN9628" s="4" t="s">
        <v>375</v>
      </c>
      <c r="AO9628" s="4" t="s">
        <v>375</v>
      </c>
      <c r="AP9628" s="4" t="s">
        <v>376</v>
      </c>
      <c r="AR9628" s="4" t="s">
        <v>377</v>
      </c>
    </row>
    <row r="9629" spans="1:44" ht="45">
      <c r="A9629" s="4" t="s">
        <v>10753</v>
      </c>
      <c r="B9629" s="4">
        <v>219808</v>
      </c>
      <c r="D9629" s="5" t="s">
        <v>12796</v>
      </c>
      <c r="E9629" s="6" t="str">
        <f>HYPERLINK("https://inpn.mnhn.fr/espece/cd_nom/219808","Melitaea deione (Geyer, 1832)")</f>
        <v>Melitaea deione (Geyer, 1832)</v>
      </c>
      <c r="F9629" s="5" t="s">
        <v>12797</v>
      </c>
      <c r="P9629" s="7" t="str">
        <f>HYPERLINK("#Liste_rouge!A"&amp;_xlfn.XMATCH("LC",Liste_rouge!A:A,2,1),"LC")</f>
        <v>LC</v>
      </c>
      <c r="Q9629" s="7" t="str">
        <f>HYPERLINK("#Liste_rouge!A"&amp;_xlfn.XMATCH("LC",Liste_rouge!A:A,2,1),"LC")</f>
        <v>LC</v>
      </c>
      <c r="AH9629" s="4" t="str">
        <f>HYPERLINK("#Statut_biogéographique!A"&amp;_xlfn.XMATCH("P",Statut_biogéographique!A:A,2,1),"P")</f>
        <v>P</v>
      </c>
      <c r="AP9629" s="4" t="s">
        <v>376</v>
      </c>
      <c r="AR9629" s="4" t="s">
        <v>377</v>
      </c>
    </row>
    <row r="9630" spans="1:44" ht="30">
      <c r="A9630" s="4" t="s">
        <v>10753</v>
      </c>
      <c r="B9630" s="4">
        <v>219810</v>
      </c>
      <c r="D9630" s="5" t="s">
        <v>12798</v>
      </c>
      <c r="E9630" s="6" t="str">
        <f>HYPERLINK("https://inpn.mnhn.fr/espece/cd_nom/219810","Melitaea parthenoides Keferstein, 1851")</f>
        <v>Melitaea parthenoides Keferstein, 1851</v>
      </c>
      <c r="F9630" s="5" t="s">
        <v>12799</v>
      </c>
      <c r="O9630" s="7" t="str">
        <f>HYPERLINK("#Liste_rouge!A"&amp;_xlfn.XMATCH("LC",Liste_rouge!A:A,2,1),"LC")</f>
        <v>LC</v>
      </c>
      <c r="P9630" s="7" t="str">
        <f>HYPERLINK("#Liste_rouge!A"&amp;_xlfn.XMATCH("LC",Liste_rouge!A:A,2,1),"LC")</f>
        <v>LC</v>
      </c>
      <c r="Q9630" s="7" t="str">
        <f>HYPERLINK("#Liste_rouge!A"&amp;_xlfn.XMATCH("LC",Liste_rouge!A:A,2,1),"LC")</f>
        <v>LC</v>
      </c>
      <c r="T9630" s="7" t="str">
        <f>HYPERLINK("#Liste_rouge!A"&amp;_xlfn.XMATCH("LC",Liste_rouge!A:A,2,1),"LC")</f>
        <v>LC</v>
      </c>
      <c r="V9630" s="7" t="str">
        <f>HYPERLINK("#Liste_rouge!A"&amp;_xlfn.XMATCH("LC",Liste_rouge!A:A,2,1),"LC")</f>
        <v>LC</v>
      </c>
      <c r="AH9630" s="4" t="str">
        <f>HYPERLINK("#Statut_biogéographique!A"&amp;_xlfn.XMATCH("P",Statut_biogéographique!A:A,2,1),"P")</f>
        <v>P</v>
      </c>
      <c r="AM9630" s="4" t="s">
        <v>375</v>
      </c>
      <c r="AN9630" s="4" t="s">
        <v>375</v>
      </c>
      <c r="AO9630" s="4" t="s">
        <v>375</v>
      </c>
      <c r="AP9630" s="4" t="s">
        <v>376</v>
      </c>
      <c r="AR9630" s="4" t="s">
        <v>377</v>
      </c>
    </row>
    <row r="9631" spans="1:44" ht="30">
      <c r="A9631" s="4" t="s">
        <v>10753</v>
      </c>
      <c r="B9631" s="4">
        <v>219811</v>
      </c>
      <c r="D9631" s="5" t="s">
        <v>12800</v>
      </c>
      <c r="E9631" s="6" t="str">
        <f>HYPERLINK("https://inpn.mnhn.fr/espece/cd_nom/219811","Melitaea aurelia Nickerl, 1850")</f>
        <v>Melitaea aurelia Nickerl, 1850</v>
      </c>
      <c r="F9631" s="5" t="s">
        <v>12801</v>
      </c>
      <c r="P9631" s="7" t="str">
        <f>HYPERLINK("#Liste_rouge!A"&amp;_xlfn.XMATCH("NT",Liste_rouge!A:A,2,1),"NT")</f>
        <v>NT</v>
      </c>
      <c r="Q9631" s="7" t="str">
        <f>HYPERLINK("#Liste_rouge!A"&amp;_xlfn.XMATCH("VU",Liste_rouge!A:A,2,1),"VU")</f>
        <v>VU</v>
      </c>
      <c r="T9631" s="7" t="str">
        <f>HYPERLINK("#Liste_rouge!A"&amp;_xlfn.XMATCH("VU",Liste_rouge!A:A,2,1),"VU")</f>
        <v>VU</v>
      </c>
      <c r="U9631" s="4" t="str">
        <f>HYPERLINK("#Critères_liste_rouge!A$1","A2c")</f>
        <v>A2c</v>
      </c>
      <c r="V9631" s="7" t="str">
        <f>HYPERLINK("#Liste_rouge!A"&amp;_xlfn.XMATCH("EN",Liste_rouge!A:A,2,1),"EN")</f>
        <v>EN</v>
      </c>
      <c r="W9631" s="4" t="str">
        <f>HYPERLINK("#Critères_liste_rouge!A$1","B2ab(iii)")</f>
        <v>B2ab(iii)</v>
      </c>
      <c r="X9631" s="5" t="s">
        <v>374</v>
      </c>
      <c r="AH9631" s="4" t="str">
        <f>HYPERLINK("#Statut_biogéographique!A"&amp;_xlfn.XMATCH("P",Statut_biogéographique!A:A,2,1),"P")</f>
        <v>P</v>
      </c>
      <c r="AI9631" s="8" t="s">
        <v>12802</v>
      </c>
      <c r="AJ9631" s="4" t="s">
        <v>12803</v>
      </c>
      <c r="AM9631" s="4" t="s">
        <v>375</v>
      </c>
      <c r="AN9631" s="4" t="s">
        <v>375</v>
      </c>
      <c r="AO9631" s="4" t="s">
        <v>375</v>
      </c>
      <c r="AP9631" s="4" t="s">
        <v>376</v>
      </c>
      <c r="AR9631" s="4" t="s">
        <v>377</v>
      </c>
    </row>
    <row r="9632" spans="1:44" ht="45">
      <c r="A9632" s="4" t="s">
        <v>10753</v>
      </c>
      <c r="B9632" s="4">
        <v>219812</v>
      </c>
      <c r="D9632" s="5" t="s">
        <v>12804</v>
      </c>
      <c r="E9632" s="6" t="str">
        <f>HYPERLINK("https://inpn.mnhn.fr/espece/cd_nom/219812","Melitaea athalia (Rottemburg, 1775)")</f>
        <v>Melitaea athalia (Rottemburg, 1775)</v>
      </c>
      <c r="F9632" s="5" t="s">
        <v>12805</v>
      </c>
      <c r="P9632" s="7" t="str">
        <f>HYPERLINK("#Liste_rouge!A"&amp;_xlfn.XMATCH("LC",Liste_rouge!A:A,2,1),"LC")</f>
        <v>LC</v>
      </c>
      <c r="Q9632" s="7" t="str">
        <f>HYPERLINK("#Liste_rouge!A"&amp;_xlfn.XMATCH("LC",Liste_rouge!A:A,2,1),"LC")</f>
        <v>LC</v>
      </c>
      <c r="T9632" s="7" t="str">
        <f>HYPERLINK("#Liste_rouge!A"&amp;_xlfn.XMATCH("LC",Liste_rouge!A:A,2,1),"LC")</f>
        <v>LC</v>
      </c>
      <c r="AH9632" s="4" t="str">
        <f>HYPERLINK("#Statut_biogéographique!A"&amp;_xlfn.XMATCH("P",Statut_biogéographique!A:A,2,1),"P")</f>
        <v>P</v>
      </c>
      <c r="AM9632" s="4" t="s">
        <v>375</v>
      </c>
      <c r="AN9632" s="4" t="s">
        <v>375</v>
      </c>
      <c r="AO9632" s="4" t="s">
        <v>375</v>
      </c>
      <c r="AP9632" s="4" t="s">
        <v>376</v>
      </c>
      <c r="AR9632" s="4" t="s">
        <v>377</v>
      </c>
    </row>
    <row r="9633" spans="1:44" ht="45">
      <c r="A9633" s="4" t="s">
        <v>10753</v>
      </c>
      <c r="B9633" s="4">
        <v>219815</v>
      </c>
      <c r="D9633" s="5" t="s">
        <v>12806</v>
      </c>
      <c r="E9633" s="6" t="str">
        <f>HYPERLINK("https://inpn.mnhn.fr/espece/cd_nom/219815","Boloria euphrosyne (Linnaeus, 1758)")</f>
        <v>Boloria euphrosyne (Linnaeus, 1758)</v>
      </c>
      <c r="F9633" s="5" t="s">
        <v>12807</v>
      </c>
      <c r="P9633" s="7" t="str">
        <f>HYPERLINK("#Liste_rouge!A"&amp;_xlfn.XMATCH("LC",Liste_rouge!A:A,2,1),"LC")</f>
        <v>LC</v>
      </c>
      <c r="Q9633" s="7" t="str">
        <f>HYPERLINK("#Liste_rouge!A"&amp;_xlfn.XMATCH("LC",Liste_rouge!A:A,2,1),"LC")</f>
        <v>LC</v>
      </c>
      <c r="T9633" s="7" t="str">
        <f>HYPERLINK("#Liste_rouge!A"&amp;_xlfn.XMATCH("VU",Liste_rouge!A:A,2,1),"VU")</f>
        <v>VU</v>
      </c>
      <c r="U9633" s="4" t="str">
        <f>HYPERLINK("#Critères_liste_rouge!A$1","A2c")</f>
        <v>A2c</v>
      </c>
      <c r="V9633" s="7" t="str">
        <f>HYPERLINK("#Liste_rouge!A"&amp;_xlfn.XMATCH("LC",Liste_rouge!A:A,2,1),"LC")</f>
        <v>LC</v>
      </c>
      <c r="X9633" s="5" t="s">
        <v>12755</v>
      </c>
      <c r="Y9633" s="5" t="s">
        <v>12756</v>
      </c>
      <c r="AH9633" s="4" t="str">
        <f>HYPERLINK("#Statut_biogéographique!A"&amp;_xlfn.XMATCH("P",Statut_biogéographique!A:A,2,1),"P")</f>
        <v>P</v>
      </c>
      <c r="AM9633" s="4" t="s">
        <v>375</v>
      </c>
      <c r="AN9633" s="4" t="s">
        <v>375</v>
      </c>
      <c r="AO9633" s="4" t="s">
        <v>375</v>
      </c>
      <c r="AP9633" s="4" t="s">
        <v>376</v>
      </c>
      <c r="AR9633" s="4" t="s">
        <v>377</v>
      </c>
    </row>
    <row r="9634" spans="1:44" ht="45">
      <c r="A9634" s="4" t="s">
        <v>10753</v>
      </c>
      <c r="B9634" s="4">
        <v>219816</v>
      </c>
      <c r="D9634" s="5" t="s">
        <v>12808</v>
      </c>
      <c r="E9634" s="6" t="str">
        <f>HYPERLINK("https://inpn.mnhn.fr/espece/cd_nom/219816","Boloria titania (Esper, 1793)")</f>
        <v>Boloria titania (Esper, 1793)</v>
      </c>
      <c r="F9634" s="5" t="s">
        <v>12809</v>
      </c>
      <c r="P9634" s="7" t="str">
        <f>HYPERLINK("#Liste_rouge!A"&amp;_xlfn.XMATCH("NT",Liste_rouge!A:A,2,1),"NT")</f>
        <v>NT</v>
      </c>
      <c r="Q9634" s="7" t="str">
        <f>HYPERLINK("#Liste_rouge!A"&amp;_xlfn.XMATCH("LC",Liste_rouge!A:A,2,1),"LC")</f>
        <v>LC</v>
      </c>
      <c r="V9634" s="7" t="str">
        <f>HYPERLINK("#Liste_rouge!A"&amp;_xlfn.XMATCH("VU",Liste_rouge!A:A,2,1),"VU")</f>
        <v>VU</v>
      </c>
      <c r="W9634" s="4" t="str">
        <f>HYPERLINK("#Critères_liste_rouge!A$1","B2ab(iii)")</f>
        <v>B2ab(iii)</v>
      </c>
      <c r="X9634" s="5" t="s">
        <v>374</v>
      </c>
      <c r="AH9634" s="4" t="str">
        <f>HYPERLINK("#Statut_biogéographique!A"&amp;_xlfn.XMATCH("P",Statut_biogéographique!A:A,2,1),"P")</f>
        <v>P</v>
      </c>
      <c r="AM9634" s="4" t="s">
        <v>375</v>
      </c>
      <c r="AN9634" s="4" t="s">
        <v>375</v>
      </c>
      <c r="AO9634" s="4" t="s">
        <v>375</v>
      </c>
      <c r="AP9634" s="4" t="s">
        <v>376</v>
      </c>
      <c r="AR9634" s="4" t="s">
        <v>377</v>
      </c>
    </row>
    <row r="9635" spans="1:44" ht="30">
      <c r="A9635" s="4" t="s">
        <v>10753</v>
      </c>
      <c r="B9635" s="4">
        <v>219817</v>
      </c>
      <c r="D9635" s="5" t="s">
        <v>12810</v>
      </c>
      <c r="E9635" s="6" t="str">
        <f>HYPERLINK("https://inpn.mnhn.fr/espece/cd_nom/219817","Boloria selene (Denis &amp; Schiffermüller, 1775)")</f>
        <v>Boloria selene (Denis &amp; Schiffermüller, 1775)</v>
      </c>
      <c r="F9635" s="5" t="s">
        <v>12811</v>
      </c>
      <c r="P9635" s="7" t="str">
        <f>HYPERLINK("#Liste_rouge!A"&amp;_xlfn.XMATCH("LC",Liste_rouge!A:A,2,1),"LC")</f>
        <v>LC</v>
      </c>
      <c r="Q9635" s="7" t="str">
        <f>HYPERLINK("#Liste_rouge!A"&amp;_xlfn.XMATCH("NT",Liste_rouge!A:A,2,1),"NT")</f>
        <v>NT</v>
      </c>
      <c r="T9635" s="7" t="str">
        <f>HYPERLINK("#Liste_rouge!A"&amp;_xlfn.XMATCH("NT",Liste_rouge!A:A,2,1),"NT")</f>
        <v>NT</v>
      </c>
      <c r="U9635" s="4" t="str">
        <f>HYPERLINK("#Critères_liste_rouge!A$1","pr. B2b(ii,iii)")</f>
        <v>pr. B2b(ii,iii)</v>
      </c>
      <c r="V9635" s="7" t="str">
        <f>HYPERLINK("#Liste_rouge!A"&amp;_xlfn.XMATCH("NT",Liste_rouge!A:A,2,1),"NT")</f>
        <v>NT</v>
      </c>
      <c r="W9635" s="4" t="str">
        <f>HYPERLINK("#Critères_liste_rouge!A$1","pr.A2c")</f>
        <v>pr.A2c</v>
      </c>
      <c r="X9635" s="5" t="s">
        <v>398</v>
      </c>
      <c r="AE9635" s="4" t="str">
        <f>HYPERLINK("#SCAP!A"&amp;_xlfn.XMATCH("A",SCAP!A:A,2,1),"A")</f>
        <v>A</v>
      </c>
      <c r="AF9635" s="4" t="str">
        <f>HYPERLINK("#SCAP!A"&amp;_xlfn.XMATCH("A",SCAP!A:A,2,1),"A")</f>
        <v>A</v>
      </c>
      <c r="AH9635" s="4" t="str">
        <f>HYPERLINK("#Statut_biogéographique!A"&amp;_xlfn.XMATCH("P",Statut_biogéographique!A:A,2,1),"P")</f>
        <v>P</v>
      </c>
      <c r="AM9635" s="4" t="s">
        <v>375</v>
      </c>
      <c r="AN9635" s="4" t="s">
        <v>375</v>
      </c>
      <c r="AO9635" s="4" t="s">
        <v>375</v>
      </c>
      <c r="AP9635" s="4" t="s">
        <v>376</v>
      </c>
      <c r="AR9635" s="4" t="s">
        <v>377</v>
      </c>
    </row>
    <row r="9636" spans="1:44">
      <c r="A9636" s="4" t="s">
        <v>10753</v>
      </c>
      <c r="B9636" s="4">
        <v>219818</v>
      </c>
      <c r="D9636" s="5" t="s">
        <v>12812</v>
      </c>
      <c r="E9636" s="6" t="str">
        <f>HYPERLINK("https://inpn.mnhn.fr/espece/cd_nom/219818","Boloria dia (Linnaeus, 1767)")</f>
        <v>Boloria dia (Linnaeus, 1767)</v>
      </c>
      <c r="F9636" s="5" t="s">
        <v>12813</v>
      </c>
      <c r="P9636" s="7" t="str">
        <f>HYPERLINK("#Liste_rouge!A"&amp;_xlfn.XMATCH("LC",Liste_rouge!A:A,2,1),"LC")</f>
        <v>LC</v>
      </c>
      <c r="Q9636" s="7" t="str">
        <f>HYPERLINK("#Liste_rouge!A"&amp;_xlfn.XMATCH("LC",Liste_rouge!A:A,2,1),"LC")</f>
        <v>LC</v>
      </c>
      <c r="T9636" s="7" t="str">
        <f>HYPERLINK("#Liste_rouge!A"&amp;_xlfn.XMATCH("LC",Liste_rouge!A:A,2,1),"LC")</f>
        <v>LC</v>
      </c>
      <c r="V9636" s="7" t="str">
        <f>HYPERLINK("#Liste_rouge!A"&amp;_xlfn.XMATCH("LC",Liste_rouge!A:A,2,1),"LC")</f>
        <v>LC</v>
      </c>
      <c r="AH9636" s="4" t="str">
        <f>HYPERLINK("#Statut_biogéographique!A"&amp;_xlfn.XMATCH("P",Statut_biogéographique!A:A,2,1),"P")</f>
        <v>P</v>
      </c>
      <c r="AM9636" s="4" t="s">
        <v>375</v>
      </c>
      <c r="AN9636" s="4" t="s">
        <v>375</v>
      </c>
      <c r="AO9636" s="4" t="s">
        <v>375</v>
      </c>
      <c r="AP9636" s="4" t="s">
        <v>376</v>
      </c>
      <c r="AR9636" s="4" t="s">
        <v>377</v>
      </c>
    </row>
    <row r="9637" spans="1:44" ht="30">
      <c r="A9637" s="4" t="s">
        <v>10753</v>
      </c>
      <c r="B9637" s="4">
        <v>219826</v>
      </c>
      <c r="D9637" s="5" t="s">
        <v>12814</v>
      </c>
      <c r="E9637" s="6" t="str">
        <f>HYPERLINK("https://inpn.mnhn.fr/espece/cd_nom/219826","Colias alfacariensis Ribbe, 1905")</f>
        <v>Colias alfacariensis Ribbe, 1905</v>
      </c>
      <c r="F9637" s="5" t="s">
        <v>12815</v>
      </c>
      <c r="P9637" s="7" t="str">
        <f>HYPERLINK("#Liste_rouge!A"&amp;_xlfn.XMATCH("LC",Liste_rouge!A:A,2,1),"LC")</f>
        <v>LC</v>
      </c>
      <c r="Q9637" s="7" t="str">
        <f>HYPERLINK("#Liste_rouge!A"&amp;_xlfn.XMATCH("LC",Liste_rouge!A:A,2,1),"LC")</f>
        <v>LC</v>
      </c>
      <c r="T9637" s="7" t="str">
        <f>HYPERLINK("#Liste_rouge!A"&amp;_xlfn.XMATCH("LC",Liste_rouge!A:A,2,1),"LC")</f>
        <v>LC</v>
      </c>
      <c r="V9637" s="7" t="str">
        <f>HYPERLINK("#Liste_rouge!A"&amp;_xlfn.XMATCH("LC",Liste_rouge!A:A,2,1),"LC")</f>
        <v>LC</v>
      </c>
      <c r="AH9637" s="4" t="str">
        <f>HYPERLINK("#Statut_biogéographique!A"&amp;_xlfn.XMATCH("P",Statut_biogéographique!A:A,2,1),"P")</f>
        <v>P</v>
      </c>
      <c r="AM9637" s="4" t="s">
        <v>375</v>
      </c>
      <c r="AN9637" s="4" t="s">
        <v>375</v>
      </c>
      <c r="AO9637" s="4" t="s">
        <v>375</v>
      </c>
      <c r="AP9637" s="4" t="s">
        <v>376</v>
      </c>
      <c r="AR9637" s="4" t="s">
        <v>377</v>
      </c>
    </row>
    <row r="9638" spans="1:44" ht="60">
      <c r="A9638" s="4" t="s">
        <v>10753</v>
      </c>
      <c r="B9638" s="4">
        <v>219827</v>
      </c>
      <c r="D9638" s="5" t="s">
        <v>12816</v>
      </c>
      <c r="E9638" s="6" t="str">
        <f>HYPERLINK("https://inpn.mnhn.fr/espece/cd_nom/219827","Euchloe simplonia (Freyer, 1829)")</f>
        <v>Euchloe simplonia (Freyer, 1829)</v>
      </c>
      <c r="F9638" s="5" t="s">
        <v>12817</v>
      </c>
      <c r="O9638" s="7" t="str">
        <f>HYPERLINK("#Liste_rouge!A"&amp;_xlfn.XMATCH("LC",Liste_rouge!A:A,2,1),"LC")</f>
        <v>LC</v>
      </c>
      <c r="P9638" s="7" t="str">
        <f>HYPERLINK("#Liste_rouge!A"&amp;_xlfn.XMATCH("LC",Liste_rouge!A:A,2,1),"LC")</f>
        <v>LC</v>
      </c>
      <c r="Q9638" s="7" t="str">
        <f>HYPERLINK("#Liste_rouge!A"&amp;_xlfn.XMATCH("LC",Liste_rouge!A:A,2,1),"LC")</f>
        <v>LC</v>
      </c>
      <c r="AH9638" s="4" t="str">
        <f>HYPERLINK("#Statut_biogéographique!A"&amp;_xlfn.XMATCH("P",Statut_biogéographique!A:A,2,1),"P")</f>
        <v>P</v>
      </c>
      <c r="AP9638" s="4" t="s">
        <v>376</v>
      </c>
      <c r="AR9638" s="4" t="s">
        <v>377</v>
      </c>
    </row>
    <row r="9639" spans="1:44" ht="30">
      <c r="A9639" s="4" t="s">
        <v>10753</v>
      </c>
      <c r="B9639" s="4">
        <v>21983</v>
      </c>
      <c r="D9639" s="5" t="s">
        <v>12818</v>
      </c>
      <c r="E9639" s="6" t="str">
        <f>HYPERLINK("https://inpn.mnhn.fr/espece/cd_nom/21983","Mycetophila fungorum (De Geer, 1776)")</f>
        <v>Mycetophila fungorum (De Geer, 1776)</v>
      </c>
      <c r="AH9639" s="4" t="str">
        <f>HYPERLINK("#Statut_biogéographique!A"&amp;_xlfn.XMATCH("P",Statut_biogéographique!A:A,2,1),"P")</f>
        <v>P</v>
      </c>
      <c r="AP9639" s="4" t="s">
        <v>376</v>
      </c>
      <c r="AR9639" s="4" t="s">
        <v>377</v>
      </c>
    </row>
    <row r="9640" spans="1:44" ht="30">
      <c r="A9640" s="4" t="s">
        <v>10753</v>
      </c>
      <c r="B9640" s="4">
        <v>219830</v>
      </c>
      <c r="D9640" s="5" t="s">
        <v>12819</v>
      </c>
      <c r="E9640" s="6" t="str">
        <f>HYPERLINK("https://inpn.mnhn.fr/espece/cd_nom/219830","Pieris mannii (Mayer, 1851)")</f>
        <v>Pieris mannii (Mayer, 1851)</v>
      </c>
      <c r="F9640" s="5" t="s">
        <v>12820</v>
      </c>
      <c r="P9640" s="7" t="str">
        <f>HYPERLINK("#Liste_rouge!A"&amp;_xlfn.XMATCH("LC",Liste_rouge!A:A,2,1),"LC")</f>
        <v>LC</v>
      </c>
      <c r="Q9640" s="7" t="str">
        <f>HYPERLINK("#Liste_rouge!A"&amp;_xlfn.XMATCH("LC",Liste_rouge!A:A,2,1),"LC")</f>
        <v>LC</v>
      </c>
      <c r="T9640" s="7" t="str">
        <f>HYPERLINK("#Liste_rouge!A"&amp;_xlfn.XMATCH("NA",Liste_rouge!A:A,2,1),"NA")</f>
        <v>NA</v>
      </c>
      <c r="V9640" s="7" t="str">
        <f>HYPERLINK("#Liste_rouge!A"&amp;_xlfn.XMATCH("LC",Liste_rouge!A:A,2,1),"LC")</f>
        <v>LC</v>
      </c>
      <c r="AH9640" s="4" t="str">
        <f>HYPERLINK("#Statut_biogéographique!A"&amp;_xlfn.XMATCH("P",Statut_biogéographique!A:A,2,1),"P")</f>
        <v>P</v>
      </c>
      <c r="AM9640" s="4" t="s">
        <v>375</v>
      </c>
      <c r="AN9640" s="4" t="s">
        <v>375</v>
      </c>
      <c r="AO9640" s="4" t="s">
        <v>375</v>
      </c>
      <c r="AP9640" s="4" t="s">
        <v>376</v>
      </c>
      <c r="AR9640" s="4" t="s">
        <v>377</v>
      </c>
    </row>
    <row r="9641" spans="1:44" ht="30">
      <c r="A9641" s="4" t="s">
        <v>10753</v>
      </c>
      <c r="B9641" s="4">
        <v>219831</v>
      </c>
      <c r="D9641" s="5" t="s">
        <v>12821</v>
      </c>
      <c r="E9641" s="6" t="str">
        <f>HYPERLINK("https://inpn.mnhn.fr/espece/cd_nom/219831","Pieris rapae (Linnaeus, 1758)")</f>
        <v>Pieris rapae (Linnaeus, 1758)</v>
      </c>
      <c r="F9641" s="5" t="s">
        <v>12822</v>
      </c>
      <c r="P9641" s="7" t="str">
        <f>HYPERLINK("#Liste_rouge!A"&amp;_xlfn.XMATCH("LC",Liste_rouge!A:A,2,1),"LC")</f>
        <v>LC</v>
      </c>
      <c r="Q9641" s="7" t="str">
        <f>HYPERLINK("#Liste_rouge!A"&amp;_xlfn.XMATCH("LC",Liste_rouge!A:A,2,1),"LC")</f>
        <v>LC</v>
      </c>
      <c r="T9641" s="7" t="str">
        <f>HYPERLINK("#Liste_rouge!A"&amp;_xlfn.XMATCH("LC",Liste_rouge!A:A,2,1),"LC")</f>
        <v>LC</v>
      </c>
      <c r="V9641" s="7" t="str">
        <f>HYPERLINK("#Liste_rouge!A"&amp;_xlfn.XMATCH("LC",Liste_rouge!A:A,2,1),"LC")</f>
        <v>LC</v>
      </c>
      <c r="AH9641" s="4" t="str">
        <f>HYPERLINK("#Statut_biogéographique!A"&amp;_xlfn.XMATCH("P",Statut_biogéographique!A:A,2,1),"P")</f>
        <v>P</v>
      </c>
      <c r="AM9641" s="4" t="s">
        <v>375</v>
      </c>
      <c r="AN9641" s="4" t="s">
        <v>375</v>
      </c>
      <c r="AO9641" s="4" t="s">
        <v>375</v>
      </c>
      <c r="AP9641" s="4" t="s">
        <v>376</v>
      </c>
      <c r="AR9641" s="4" t="s">
        <v>377</v>
      </c>
    </row>
    <row r="9642" spans="1:44" ht="45">
      <c r="A9642" s="4" t="s">
        <v>10753</v>
      </c>
      <c r="B9642" s="4">
        <v>219833</v>
      </c>
      <c r="D9642" s="5" t="s">
        <v>12823</v>
      </c>
      <c r="E9642" s="6" t="str">
        <f>HYPERLINK("https://inpn.mnhn.fr/espece/cd_nom/219833","Pieris napi (Linnaeus, 1758)")</f>
        <v>Pieris napi (Linnaeus, 1758)</v>
      </c>
      <c r="F9642" s="5" t="s">
        <v>12824</v>
      </c>
      <c r="P9642" s="7" t="str">
        <f>HYPERLINK("#Liste_rouge!A"&amp;_xlfn.XMATCH("LC",Liste_rouge!A:A,2,1),"LC")</f>
        <v>LC</v>
      </c>
      <c r="Q9642" s="7" t="str">
        <f>HYPERLINK("#Liste_rouge!A"&amp;_xlfn.XMATCH("LC",Liste_rouge!A:A,2,1),"LC")</f>
        <v>LC</v>
      </c>
      <c r="T9642" s="7" t="str">
        <f>HYPERLINK("#Liste_rouge!A"&amp;_xlfn.XMATCH("LC",Liste_rouge!A:A,2,1),"LC")</f>
        <v>LC</v>
      </c>
      <c r="V9642" s="7" t="str">
        <f>HYPERLINK("#Liste_rouge!A"&amp;_xlfn.XMATCH("LC",Liste_rouge!A:A,2,1),"LC")</f>
        <v>LC</v>
      </c>
      <c r="AH9642" s="4" t="str">
        <f>HYPERLINK("#Statut_biogéographique!A"&amp;_xlfn.XMATCH("P",Statut_biogéographique!A:A,2,1),"P")</f>
        <v>P</v>
      </c>
      <c r="AM9642" s="4" t="s">
        <v>375</v>
      </c>
      <c r="AN9642" s="4" t="s">
        <v>375</v>
      </c>
      <c r="AO9642" s="4" t="s">
        <v>375</v>
      </c>
      <c r="AP9642" s="4" t="s">
        <v>376</v>
      </c>
      <c r="AR9642" s="4" t="s">
        <v>377</v>
      </c>
    </row>
    <row r="9643" spans="1:44">
      <c r="A9643" s="4" t="s">
        <v>10753</v>
      </c>
      <c r="B9643" s="4">
        <v>219835</v>
      </c>
      <c r="D9643" s="5" t="s">
        <v>12825</v>
      </c>
      <c r="E9643" s="6" t="str">
        <f>HYPERLINK("https://inpn.mnhn.fr/espece/cd_nom/219835","Leptidea reali Reissinger, 1990")</f>
        <v>Leptidea reali Reissinger, 1990</v>
      </c>
      <c r="F9643" s="5" t="s">
        <v>12826</v>
      </c>
      <c r="O9643" s="7" t="str">
        <f>HYPERLINK("#Liste_rouge!A"&amp;_xlfn.XMATCH("LC",Liste_rouge!A:A,2,1),"LC")</f>
        <v>LC</v>
      </c>
      <c r="P9643" s="7" t="str">
        <f>HYPERLINK("#Liste_rouge!A"&amp;_xlfn.XMATCH("LC",Liste_rouge!A:A,2,1),"LC")</f>
        <v>LC</v>
      </c>
      <c r="Q9643" s="7" t="str">
        <f>HYPERLINK("#Liste_rouge!A"&amp;_xlfn.XMATCH("LC",Liste_rouge!A:A,2,1),"LC")</f>
        <v>LC</v>
      </c>
      <c r="AH9643" s="4" t="str">
        <f>HYPERLINK("#Statut_biogéographique!A"&amp;_xlfn.XMATCH("P",Statut_biogéographique!A:A,2,1),"P")</f>
        <v>P</v>
      </c>
      <c r="AP9643" s="4" t="s">
        <v>376</v>
      </c>
      <c r="AR9643" s="4" t="s">
        <v>377</v>
      </c>
    </row>
    <row r="9644" spans="1:44">
      <c r="A9644" s="4" t="s">
        <v>10753</v>
      </c>
      <c r="B9644" s="4">
        <v>219836</v>
      </c>
      <c r="D9644" s="5">
        <v>219836</v>
      </c>
      <c r="E9644" s="6" t="str">
        <f>HYPERLINK("https://inpn.mnhn.fr/espece/cd_nom/219836","Sialis nigripes Pictet, 1865")</f>
        <v>Sialis nigripes Pictet, 1865</v>
      </c>
      <c r="AH9644" s="4" t="str">
        <f>HYPERLINK("#Statut_biogéographique!A"&amp;_xlfn.XMATCH("P",Statut_biogéographique!A:A,2,1),"P")</f>
        <v>P</v>
      </c>
      <c r="AP9644" s="4" t="s">
        <v>376</v>
      </c>
      <c r="AR9644" s="4" t="s">
        <v>377</v>
      </c>
    </row>
    <row r="9645" spans="1:44" ht="30">
      <c r="A9645" s="4" t="s">
        <v>10753</v>
      </c>
      <c r="B9645" s="4">
        <v>219838</v>
      </c>
      <c r="D9645" s="5" t="s">
        <v>12827</v>
      </c>
      <c r="E9645" s="6" t="str">
        <f>HYPERLINK("https://inpn.mnhn.fr/espece/cd_nom/219838","Trigoniophthalmus alternatus (Silvestri, 1904)")</f>
        <v>Trigoniophthalmus alternatus (Silvestri, 1904)</v>
      </c>
      <c r="AH9645" s="4" t="str">
        <f>HYPERLINK("#Statut_biogéographique!A"&amp;_xlfn.XMATCH("P",Statut_biogéographique!A:A,2,1),"P")</f>
        <v>P</v>
      </c>
      <c r="AP9645" s="4" t="s">
        <v>376</v>
      </c>
      <c r="AR9645" s="4" t="s">
        <v>377</v>
      </c>
    </row>
    <row r="9646" spans="1:44">
      <c r="A9646" s="4" t="s">
        <v>10753</v>
      </c>
      <c r="B9646" s="4">
        <v>219863</v>
      </c>
      <c r="D9646" s="5">
        <v>219863</v>
      </c>
      <c r="E9646" s="6" t="str">
        <f>HYPERLINK("https://inpn.mnhn.fr/espece/cd_nom/219863","Lepismachilis y-signata Kratochvil, 1945")</f>
        <v>Lepismachilis y-signata Kratochvil, 1945</v>
      </c>
      <c r="AH9646" s="4" t="str">
        <f>HYPERLINK("#Statut_biogéographique!A"&amp;_xlfn.XMATCH("P",Statut_biogéographique!A:A,2,1),"P")</f>
        <v>P</v>
      </c>
      <c r="AP9646" s="4" t="s">
        <v>376</v>
      </c>
      <c r="AR9646" s="4" t="s">
        <v>377</v>
      </c>
    </row>
    <row r="9647" spans="1:44">
      <c r="A9647" s="4" t="s">
        <v>10753</v>
      </c>
      <c r="B9647" s="4">
        <v>21988</v>
      </c>
      <c r="D9647" s="5">
        <v>21988</v>
      </c>
      <c r="E9647" s="6" t="str">
        <f>HYPERLINK("https://inpn.mnhn.fr/espece/cd_nom/21988","Mycetophila marginata Winnertz, 1864")</f>
        <v>Mycetophila marginata Winnertz, 1864</v>
      </c>
      <c r="AH9647" s="4" t="str">
        <f>HYPERLINK("#Statut_biogéographique!A"&amp;_xlfn.XMATCH("P",Statut_biogéographique!A:A,2,1),"P")</f>
        <v>P</v>
      </c>
      <c r="AP9647" s="4" t="s">
        <v>376</v>
      </c>
      <c r="AR9647" s="4" t="s">
        <v>377</v>
      </c>
    </row>
    <row r="9648" spans="1:44">
      <c r="A9648" s="4" t="s">
        <v>10753</v>
      </c>
      <c r="B9648" s="4">
        <v>219899</v>
      </c>
      <c r="D9648" s="5" t="s">
        <v>12828</v>
      </c>
      <c r="E9648" s="6" t="str">
        <f>HYPERLINK("https://inpn.mnhn.fr/espece/cd_nom/219899","Nineta vittata (Wesmael, 1841)")</f>
        <v>Nineta vittata (Wesmael, 1841)</v>
      </c>
      <c r="AH9648" s="4" t="str">
        <f>HYPERLINK("#Statut_biogéographique!A"&amp;_xlfn.XMATCH("P",Statut_biogéographique!A:A,2,1),"P")</f>
        <v>P</v>
      </c>
      <c r="AP9648" s="4" t="s">
        <v>376</v>
      </c>
      <c r="AR9648" s="4" t="s">
        <v>377</v>
      </c>
    </row>
    <row r="9649" spans="1:44">
      <c r="A9649" s="4" t="s">
        <v>10753</v>
      </c>
      <c r="B9649" s="4">
        <v>219918</v>
      </c>
      <c r="D9649" s="5" t="s">
        <v>12829</v>
      </c>
      <c r="E9649" s="6" t="str">
        <f>HYPERLINK("https://inpn.mnhn.fr/espece/cd_nom/219918","Chrysoperla lucasina (Lacroix, 1912)")</f>
        <v>Chrysoperla lucasina (Lacroix, 1912)</v>
      </c>
      <c r="AH9649" s="4" t="str">
        <f>HYPERLINK("#Statut_biogéographique!A"&amp;_xlfn.XMATCH("P",Statut_biogéographique!A:A,2,1),"P")</f>
        <v>P</v>
      </c>
      <c r="AP9649" s="4" t="s">
        <v>376</v>
      </c>
      <c r="AR9649" s="4" t="s">
        <v>377</v>
      </c>
    </row>
    <row r="9650" spans="1:44">
      <c r="A9650" s="4" t="s">
        <v>10753</v>
      </c>
      <c r="B9650" s="4">
        <v>219923</v>
      </c>
      <c r="D9650" s="5" t="s">
        <v>12830</v>
      </c>
      <c r="E9650" s="6" t="str">
        <f>HYPERLINK("https://inpn.mnhn.fr/espece/cd_nom/219923","Chrysopa formosa Brauer, 1851")</f>
        <v>Chrysopa formosa Brauer, 1851</v>
      </c>
      <c r="AH9650" s="4" t="str">
        <f>HYPERLINK("#Statut_biogéographique!A"&amp;_xlfn.XMATCH("P",Statut_biogéographique!A:A,2,1),"P")</f>
        <v>P</v>
      </c>
      <c r="AP9650" s="4" t="s">
        <v>376</v>
      </c>
      <c r="AR9650" s="4" t="s">
        <v>377</v>
      </c>
    </row>
    <row r="9651" spans="1:44">
      <c r="A9651" s="4" t="s">
        <v>10753</v>
      </c>
      <c r="B9651" s="4">
        <v>219927</v>
      </c>
      <c r="D9651" s="5" t="s">
        <v>12831</v>
      </c>
      <c r="E9651" s="6" t="str">
        <f>HYPERLINK("https://inpn.mnhn.fr/espece/cd_nom/219927","Chrysopa viridana Schneider, 1845")</f>
        <v>Chrysopa viridana Schneider, 1845</v>
      </c>
      <c r="AH9651" s="4" t="str">
        <f>HYPERLINK("#Statut_biogéographique!A"&amp;_xlfn.XMATCH("P",Statut_biogéographique!A:A,2,1),"P")</f>
        <v>P</v>
      </c>
      <c r="AP9651" s="4" t="s">
        <v>376</v>
      </c>
      <c r="AR9651" s="4" t="s">
        <v>377</v>
      </c>
    </row>
    <row r="9652" spans="1:44">
      <c r="A9652" s="4" t="s">
        <v>10753</v>
      </c>
      <c r="B9652" s="4">
        <v>219928</v>
      </c>
      <c r="D9652" s="5" t="s">
        <v>12832</v>
      </c>
      <c r="E9652" s="6" t="str">
        <f>HYPERLINK("https://inpn.mnhn.fr/espece/cd_nom/219928","Chrysopa walkeri McLachlan, 1893")</f>
        <v>Chrysopa walkeri McLachlan, 1893</v>
      </c>
      <c r="AH9652" s="4" t="str">
        <f>HYPERLINK("#Statut_biogéographique!A"&amp;_xlfn.XMATCH("P",Statut_biogéographique!A:A,2,1),"P")</f>
        <v>P</v>
      </c>
      <c r="AP9652" s="4" t="s">
        <v>376</v>
      </c>
      <c r="AR9652" s="4" t="s">
        <v>377</v>
      </c>
    </row>
    <row r="9653" spans="1:44">
      <c r="A9653" s="4" t="s">
        <v>10753</v>
      </c>
      <c r="B9653" s="4">
        <v>219931</v>
      </c>
      <c r="D9653" s="5" t="s">
        <v>12833</v>
      </c>
      <c r="E9653" s="6" t="str">
        <f>HYPERLINK("https://inpn.mnhn.fr/espece/cd_nom/219931","Hypochrysa elegans (Burmeister, 1839)")</f>
        <v>Hypochrysa elegans (Burmeister, 1839)</v>
      </c>
      <c r="AH9653" s="4" t="str">
        <f>HYPERLINK("#Statut_biogéographique!A"&amp;_xlfn.XMATCH("P",Statut_biogéographique!A:A,2,1),"P")</f>
        <v>P</v>
      </c>
      <c r="AP9653" s="4" t="s">
        <v>376</v>
      </c>
      <c r="AR9653" s="4" t="s">
        <v>377</v>
      </c>
    </row>
    <row r="9654" spans="1:44">
      <c r="A9654" s="4" t="s">
        <v>10753</v>
      </c>
      <c r="B9654" s="4">
        <v>219955</v>
      </c>
      <c r="D9654" s="5" t="s">
        <v>12834</v>
      </c>
      <c r="E9654" s="6" t="str">
        <f>HYPERLINK("https://inpn.mnhn.fr/espece/cd_nom/219955","Wesmaelius fassnidgei (Killington, 1933)")</f>
        <v>Wesmaelius fassnidgei (Killington, 1933)</v>
      </c>
      <c r="AH9654" s="4" t="str">
        <f>HYPERLINK("#Statut_biogéographique!A"&amp;_xlfn.XMATCH("P",Statut_biogéographique!A:A,2,1),"P")</f>
        <v>P</v>
      </c>
      <c r="AP9654" s="4" t="s">
        <v>376</v>
      </c>
      <c r="AR9654" s="4" t="s">
        <v>377</v>
      </c>
    </row>
    <row r="9655" spans="1:44">
      <c r="A9655" s="4" t="s">
        <v>10753</v>
      </c>
      <c r="B9655" s="4">
        <v>219961</v>
      </c>
      <c r="D9655" s="5" t="s">
        <v>12835</v>
      </c>
      <c r="E9655" s="6" t="str">
        <f>HYPERLINK("https://inpn.mnhn.fr/espece/cd_nom/219961","Wesmaelius subnebulosus (Stephens, 1836)")</f>
        <v>Wesmaelius subnebulosus (Stephens, 1836)</v>
      </c>
      <c r="AH9655" s="4" t="str">
        <f>HYPERLINK("#Statut_biogéographique!A"&amp;_xlfn.XMATCH("P",Statut_biogéographique!A:A,2,1),"P")</f>
        <v>P</v>
      </c>
      <c r="AP9655" s="4" t="s">
        <v>376</v>
      </c>
      <c r="AR9655" s="4" t="s">
        <v>377</v>
      </c>
    </row>
    <row r="9656" spans="1:44">
      <c r="A9656" s="4" t="s">
        <v>10753</v>
      </c>
      <c r="B9656" s="4">
        <v>21997</v>
      </c>
      <c r="D9656" s="5" t="s">
        <v>12836</v>
      </c>
      <c r="E9656" s="6" t="str">
        <f>HYPERLINK("https://inpn.mnhn.fr/espece/cd_nom/21997","Mycetophila stolida Walker, 1856")</f>
        <v>Mycetophila stolida Walker, 1856</v>
      </c>
      <c r="AH9656" s="4" t="str">
        <f>HYPERLINK("#Statut_biogéographique!A"&amp;_xlfn.XMATCH("P",Statut_biogéographique!A:A,2,1),"P")</f>
        <v>P</v>
      </c>
      <c r="AP9656" s="4" t="s">
        <v>376</v>
      </c>
      <c r="AR9656" s="4" t="s">
        <v>377</v>
      </c>
    </row>
    <row r="9657" spans="1:44">
      <c r="A9657" s="4" t="s">
        <v>10753</v>
      </c>
      <c r="B9657" s="4">
        <v>219970</v>
      </c>
      <c r="D9657" s="5" t="s">
        <v>12837</v>
      </c>
      <c r="E9657" s="6" t="str">
        <f>HYPERLINK("https://inpn.mnhn.fr/espece/cd_nom/219970","Hemerobius humulinus Linnaeus, 1758")</f>
        <v>Hemerobius humulinus Linnaeus, 1758</v>
      </c>
      <c r="AH9657" s="4" t="str">
        <f>HYPERLINK("#Statut_biogéographique!A"&amp;_xlfn.XMATCH("P",Statut_biogéographique!A:A,2,1),"P")</f>
        <v>P</v>
      </c>
      <c r="AP9657" s="4" t="s">
        <v>376</v>
      </c>
      <c r="AR9657" s="4" t="s">
        <v>377</v>
      </c>
    </row>
    <row r="9658" spans="1:44">
      <c r="A9658" s="4" t="s">
        <v>10753</v>
      </c>
      <c r="B9658" s="4">
        <v>219972</v>
      </c>
      <c r="D9658" s="5">
        <v>219972</v>
      </c>
      <c r="E9658" s="6" t="str">
        <f>HYPERLINK("https://inpn.mnhn.fr/espece/cd_nom/219972","Hemerobius micans Olivier, 1792")</f>
        <v>Hemerobius micans Olivier, 1792</v>
      </c>
      <c r="AH9658" s="4" t="str">
        <f>HYPERLINK("#Statut_biogéographique!A"&amp;_xlfn.XMATCH("P",Statut_biogéographique!A:A,2,1),"P")</f>
        <v>P</v>
      </c>
      <c r="AP9658" s="4" t="s">
        <v>376</v>
      </c>
      <c r="AR9658" s="4" t="s">
        <v>377</v>
      </c>
    </row>
    <row r="9659" spans="1:44">
      <c r="A9659" s="4" t="s">
        <v>10753</v>
      </c>
      <c r="B9659" s="4">
        <v>219976</v>
      </c>
      <c r="D9659" s="5">
        <v>219976</v>
      </c>
      <c r="E9659" s="6" t="str">
        <f>HYPERLINK("https://inpn.mnhn.fr/espece/cd_nom/219976","Hemerobius simulans Walker, 1853")</f>
        <v>Hemerobius simulans Walker, 1853</v>
      </c>
      <c r="AH9659" s="4" t="str">
        <f>HYPERLINK("#Statut_biogéographique!A"&amp;_xlfn.XMATCH("P",Statut_biogéographique!A:A,2,1),"P")</f>
        <v>P</v>
      </c>
      <c r="AP9659" s="4" t="s">
        <v>376</v>
      </c>
      <c r="AR9659" s="4" t="s">
        <v>377</v>
      </c>
    </row>
    <row r="9660" spans="1:44">
      <c r="A9660" s="4" t="s">
        <v>10753</v>
      </c>
      <c r="B9660" s="4">
        <v>219982</v>
      </c>
      <c r="D9660" s="5">
        <v>219982</v>
      </c>
      <c r="E9660" s="6" t="str">
        <f>HYPERLINK("https://inpn.mnhn.fr/espece/cd_nom/219982","Psectra diptera (Burmeister, 1839)")</f>
        <v>Psectra diptera (Burmeister, 1839)</v>
      </c>
      <c r="AH9660" s="4" t="str">
        <f>HYPERLINK("#Statut_biogéographique!A"&amp;_xlfn.XMATCH("P",Statut_biogéographique!A:A,2,1),"P")</f>
        <v>P</v>
      </c>
      <c r="AP9660" s="4" t="s">
        <v>376</v>
      </c>
      <c r="AR9660" s="4" t="s">
        <v>377</v>
      </c>
    </row>
    <row r="9661" spans="1:44">
      <c r="A9661" s="4" t="s">
        <v>10753</v>
      </c>
      <c r="B9661" s="4">
        <v>219983</v>
      </c>
      <c r="D9661" s="5">
        <v>219983</v>
      </c>
      <c r="E9661" s="6" t="str">
        <f>HYPERLINK("https://inpn.mnhn.fr/espece/cd_nom/219983","Micromus angulatus (Stephens, 1836)")</f>
        <v>Micromus angulatus (Stephens, 1836)</v>
      </c>
      <c r="AH9661" s="4" t="str">
        <f>HYPERLINK("#Statut_biogéographique!A"&amp;_xlfn.XMATCH("P",Statut_biogéographique!A:A,2,1),"P")</f>
        <v>P</v>
      </c>
      <c r="AP9661" s="4" t="s">
        <v>376</v>
      </c>
      <c r="AR9661" s="4" t="s">
        <v>377</v>
      </c>
    </row>
    <row r="9662" spans="1:44">
      <c r="A9662" s="4" t="s">
        <v>10753</v>
      </c>
      <c r="B9662" s="4">
        <v>219984</v>
      </c>
      <c r="D9662" s="5">
        <v>219984</v>
      </c>
      <c r="E9662" s="6" t="str">
        <f>HYPERLINK("https://inpn.mnhn.fr/espece/cd_nom/219984","Micromus gradatus Navás, 1912")</f>
        <v>Micromus gradatus Navás, 1912</v>
      </c>
      <c r="AH9662" s="4" t="str">
        <f>HYPERLINK("#Statut_biogéographique!A"&amp;_xlfn.XMATCH("P",Statut_biogéographique!A:A,2,1),"P")</f>
        <v>P</v>
      </c>
      <c r="AP9662" s="4" t="s">
        <v>376</v>
      </c>
      <c r="AR9662" s="4" t="s">
        <v>377</v>
      </c>
    </row>
    <row r="9663" spans="1:44" ht="30">
      <c r="A9663" s="4" t="s">
        <v>10753</v>
      </c>
      <c r="B9663" s="4">
        <v>219991</v>
      </c>
      <c r="D9663" s="5" t="s">
        <v>12838</v>
      </c>
      <c r="E9663" s="6" t="str">
        <f>HYPERLINK("https://inpn.mnhn.fr/espece/cd_nom/219991","Drepanepteryx phalaenoides (Linnaeus, 1758)")</f>
        <v>Drepanepteryx phalaenoides (Linnaeus, 1758)</v>
      </c>
      <c r="AH9663" s="4" t="str">
        <f>HYPERLINK("#Statut_biogéographique!A"&amp;_xlfn.XMATCH("P",Statut_biogéographique!A:A,2,1),"P")</f>
        <v>P</v>
      </c>
      <c r="AP9663" s="4" t="s">
        <v>376</v>
      </c>
      <c r="AR9663" s="4" t="s">
        <v>377</v>
      </c>
    </row>
    <row r="9664" spans="1:44">
      <c r="A9664" s="4" t="s">
        <v>10753</v>
      </c>
      <c r="B9664" s="4">
        <v>22000</v>
      </c>
      <c r="D9664" s="5" t="s">
        <v>12839</v>
      </c>
      <c r="E9664" s="6" t="str">
        <f>HYPERLINK("https://inpn.mnhn.fr/espece/cd_nom/22000","Mycetophila xanthopyga Winnertz, 1864")</f>
        <v>Mycetophila xanthopyga Winnertz, 1864</v>
      </c>
      <c r="AH9664" s="4" t="str">
        <f>HYPERLINK("#Statut_biogéographique!A"&amp;_xlfn.XMATCH("P",Statut_biogéographique!A:A,2,1),"P")</f>
        <v>P</v>
      </c>
      <c r="AP9664" s="4" t="s">
        <v>376</v>
      </c>
      <c r="AR9664" s="4" t="s">
        <v>377</v>
      </c>
    </row>
    <row r="9665" spans="1:44">
      <c r="A9665" s="4" t="s">
        <v>10753</v>
      </c>
      <c r="B9665" s="4">
        <v>220011</v>
      </c>
      <c r="D9665" s="5" t="s">
        <v>12840</v>
      </c>
      <c r="E9665" s="6" t="str">
        <f>HYPERLINK("https://inpn.mnhn.fr/espece/cd_nom/220011","Sisyra nigra (Retzius, 1783)")</f>
        <v>Sisyra nigra (Retzius, 1783)</v>
      </c>
      <c r="AH9665" s="4" t="str">
        <f>HYPERLINK("#Statut_biogéographique!A"&amp;_xlfn.XMATCH("P",Statut_biogéographique!A:A,2,1),"P")</f>
        <v>P</v>
      </c>
      <c r="AP9665" s="4" t="s">
        <v>376</v>
      </c>
      <c r="AR9665" s="4" t="s">
        <v>377</v>
      </c>
    </row>
    <row r="9666" spans="1:44">
      <c r="A9666" s="4" t="s">
        <v>10753</v>
      </c>
      <c r="B9666" s="4">
        <v>220012</v>
      </c>
      <c r="D9666" s="5">
        <v>220012</v>
      </c>
      <c r="E9666" s="6" t="str">
        <f>HYPERLINK("https://inpn.mnhn.fr/espece/cd_nom/220012","Sisyra terminalis Curtis, 1854")</f>
        <v>Sisyra terminalis Curtis, 1854</v>
      </c>
      <c r="AH9666" s="4" t="str">
        <f>HYPERLINK("#Statut_biogéographique!A"&amp;_xlfn.XMATCH("P",Statut_biogéographique!A:A,2,1),"P")</f>
        <v>P</v>
      </c>
      <c r="AP9666" s="4" t="s">
        <v>376</v>
      </c>
      <c r="AR9666" s="4" t="s">
        <v>377</v>
      </c>
    </row>
    <row r="9667" spans="1:44">
      <c r="A9667" s="4" t="s">
        <v>10753</v>
      </c>
      <c r="B9667" s="4">
        <v>220032</v>
      </c>
      <c r="D9667" s="5" t="s">
        <v>12841</v>
      </c>
      <c r="E9667" s="6" t="str">
        <f>HYPERLINK("https://inpn.mnhn.fr/espece/cd_nom/220032","Perlodes dispar (Rambur, 1842)")</f>
        <v>Perlodes dispar (Rambur, 1842)</v>
      </c>
      <c r="AH9667" s="4" t="str">
        <f>HYPERLINK("#Statut_biogéographique!A"&amp;_xlfn.XMATCH("P",Statut_biogéographique!A:A,2,1),"P")</f>
        <v>P</v>
      </c>
      <c r="AP9667" s="4" t="s">
        <v>376</v>
      </c>
      <c r="AR9667" s="4" t="s">
        <v>377</v>
      </c>
    </row>
    <row r="9668" spans="1:44">
      <c r="A9668" s="4" t="s">
        <v>10753</v>
      </c>
      <c r="B9668" s="4">
        <v>220034</v>
      </c>
      <c r="D9668" s="5" t="s">
        <v>12842</v>
      </c>
      <c r="E9668" s="6" t="str">
        <f>HYPERLINK("https://inpn.mnhn.fr/espece/cd_nom/220034","Perlodes jurassicus Aubert, 1946")</f>
        <v>Perlodes jurassicus Aubert, 1946</v>
      </c>
      <c r="AH9668" s="4" t="str">
        <f>HYPERLINK("#Statut_biogéographique!A"&amp;_xlfn.XMATCH("P",Statut_biogéographique!A:A,2,1),"P")</f>
        <v>P</v>
      </c>
      <c r="AP9668" s="4" t="s">
        <v>376</v>
      </c>
      <c r="AR9668" s="4" t="s">
        <v>377</v>
      </c>
    </row>
    <row r="9669" spans="1:44">
      <c r="A9669" s="4" t="s">
        <v>10753</v>
      </c>
      <c r="B9669" s="4">
        <v>220035</v>
      </c>
      <c r="D9669" s="5" t="s">
        <v>12843</v>
      </c>
      <c r="E9669" s="6" t="str">
        <f>HYPERLINK("https://inpn.mnhn.fr/espece/cd_nom/220035","Isogenus nubecula Newman, 1833")</f>
        <v>Isogenus nubecula Newman, 1833</v>
      </c>
      <c r="AH9669" s="4" t="str">
        <f>HYPERLINK("#Statut_biogéographique!A"&amp;_xlfn.XMATCH("P",Statut_biogéographique!A:A,2,1),"P")</f>
        <v>P</v>
      </c>
      <c r="AP9669" s="4" t="s">
        <v>376</v>
      </c>
      <c r="AR9669" s="4" t="s">
        <v>377</v>
      </c>
    </row>
    <row r="9670" spans="1:44">
      <c r="A9670" s="4" t="s">
        <v>10753</v>
      </c>
      <c r="B9670" s="4">
        <v>220037</v>
      </c>
      <c r="D9670" s="5" t="s">
        <v>12844</v>
      </c>
      <c r="E9670" s="6" t="str">
        <f>HYPERLINK("https://inpn.mnhn.fr/espece/cd_nom/220037","Dictyogenus fontium (Ris, 1896)")</f>
        <v>Dictyogenus fontium (Ris, 1896)</v>
      </c>
      <c r="AH9670" s="4" t="str">
        <f>HYPERLINK("#Statut_biogéographique!A"&amp;_xlfn.XMATCH("P",Statut_biogéographique!A:A,2,1),"P")</f>
        <v>P</v>
      </c>
      <c r="AP9670" s="4" t="s">
        <v>376</v>
      </c>
      <c r="AR9670" s="4" t="s">
        <v>377</v>
      </c>
    </row>
    <row r="9671" spans="1:44">
      <c r="A9671" s="4" t="s">
        <v>10753</v>
      </c>
      <c r="B9671" s="4">
        <v>220038</v>
      </c>
      <c r="D9671" s="5" t="s">
        <v>12845</v>
      </c>
      <c r="E9671" s="6" t="str">
        <f>HYPERLINK("https://inpn.mnhn.fr/espece/cd_nom/220038","Besdolus imhoffi (Pictet, 1841)")</f>
        <v>Besdolus imhoffi (Pictet, 1841)</v>
      </c>
      <c r="AH9671" s="4" t="str">
        <f>HYPERLINK("#Statut_biogéographique!A"&amp;_xlfn.XMATCH("P",Statut_biogéographique!A:A,2,1),"P")</f>
        <v>P</v>
      </c>
      <c r="AP9671" s="4" t="s">
        <v>376</v>
      </c>
      <c r="AR9671" s="4" t="s">
        <v>377</v>
      </c>
    </row>
    <row r="9672" spans="1:44" ht="30">
      <c r="A9672" s="4" t="s">
        <v>10753</v>
      </c>
      <c r="B9672" s="4">
        <v>220047</v>
      </c>
      <c r="D9672" s="5" t="s">
        <v>12846</v>
      </c>
      <c r="E9672" s="6" t="str">
        <f>HYPERLINK("https://inpn.mnhn.fr/espece/cd_nom/220047","Xanthoperla apicalis (Newman, 1836)")</f>
        <v>Xanthoperla apicalis (Newman, 1836)</v>
      </c>
      <c r="AH9672" s="4" t="str">
        <f>HYPERLINK("#Statut_biogéographique!A"&amp;_xlfn.XMATCH("P",Statut_biogéographique!A:A,2,1),"P")</f>
        <v>P</v>
      </c>
      <c r="AP9672" s="4" t="s">
        <v>376</v>
      </c>
      <c r="AR9672" s="4" t="s">
        <v>377</v>
      </c>
    </row>
    <row r="9673" spans="1:44">
      <c r="A9673" s="4" t="s">
        <v>10753</v>
      </c>
      <c r="B9673" s="4">
        <v>22005</v>
      </c>
      <c r="D9673" s="5" t="s">
        <v>12847</v>
      </c>
      <c r="E9673" s="6" t="str">
        <f>HYPERLINK("https://inpn.mnhn.fr/espece/cd_nom/22005","Phronia cinerascens Winnertz, 1864")</f>
        <v>Phronia cinerascens Winnertz, 1864</v>
      </c>
      <c r="AH9673" s="4" t="str">
        <f>HYPERLINK("#Statut_biogéographique!A"&amp;_xlfn.XMATCH("P",Statut_biogéographique!A:A,2,1),"P")</f>
        <v>P</v>
      </c>
      <c r="AP9673" s="4" t="s">
        <v>376</v>
      </c>
      <c r="AR9673" s="4" t="s">
        <v>377</v>
      </c>
    </row>
    <row r="9674" spans="1:44">
      <c r="A9674" s="4" t="s">
        <v>10753</v>
      </c>
      <c r="B9674" s="4">
        <v>220051</v>
      </c>
      <c r="D9674" s="5">
        <v>220051</v>
      </c>
      <c r="E9674" s="6" t="str">
        <f>HYPERLINK("https://inpn.mnhn.fr/espece/cd_nom/220051","Chloroperla susemicheli Zwick, 1967")</f>
        <v>Chloroperla susemicheli Zwick, 1967</v>
      </c>
      <c r="AH9674" s="4" t="str">
        <f>HYPERLINK("#Statut_biogéographique!A"&amp;_xlfn.XMATCH("P",Statut_biogéographique!A:A,2,1),"P")</f>
        <v>P</v>
      </c>
      <c r="AP9674" s="4" t="s">
        <v>376</v>
      </c>
      <c r="AR9674" s="4" t="s">
        <v>377</v>
      </c>
    </row>
    <row r="9675" spans="1:44" ht="30">
      <c r="A9675" s="4" t="s">
        <v>10753</v>
      </c>
      <c r="B9675" s="4">
        <v>220052</v>
      </c>
      <c r="D9675" s="5" t="s">
        <v>12848</v>
      </c>
      <c r="E9675" s="6" t="str">
        <f>HYPERLINK("https://inpn.mnhn.fr/espece/cd_nom/220052","Chloroperla tripunctata (Scopoli, 1763)")</f>
        <v>Chloroperla tripunctata (Scopoli, 1763)</v>
      </c>
      <c r="F9675" s="5" t="s">
        <v>12849</v>
      </c>
      <c r="AH9675" s="4" t="str">
        <f>HYPERLINK("#Statut_biogéographique!A"&amp;_xlfn.XMATCH("P",Statut_biogéographique!A:A,2,1),"P")</f>
        <v>P</v>
      </c>
      <c r="AP9675" s="4" t="s">
        <v>376</v>
      </c>
      <c r="AR9675" s="4" t="s">
        <v>377</v>
      </c>
    </row>
    <row r="9676" spans="1:44">
      <c r="A9676" s="4" t="s">
        <v>10753</v>
      </c>
      <c r="B9676" s="4">
        <v>220055</v>
      </c>
      <c r="D9676" s="5" t="s">
        <v>12850</v>
      </c>
      <c r="E9676" s="6" t="str">
        <f>HYPERLINK("https://inpn.mnhn.fr/espece/cd_nom/220055","Rhabdiopteryx neglecta (Albarda, 1889)")</f>
        <v>Rhabdiopteryx neglecta (Albarda, 1889)</v>
      </c>
      <c r="AH9676" s="4" t="str">
        <f>HYPERLINK("#Statut_biogéographique!A"&amp;_xlfn.XMATCH("P",Statut_biogéographique!A:A,2,1),"P")</f>
        <v>P</v>
      </c>
      <c r="AP9676" s="4" t="s">
        <v>376</v>
      </c>
      <c r="AR9676" s="4" t="s">
        <v>377</v>
      </c>
    </row>
    <row r="9677" spans="1:44">
      <c r="A9677" s="4" t="s">
        <v>10753</v>
      </c>
      <c r="B9677" s="4">
        <v>220056</v>
      </c>
      <c r="D9677" s="5">
        <v>220056</v>
      </c>
      <c r="E9677" s="6" t="str">
        <f>HYPERLINK("https://inpn.mnhn.fr/espece/cd_nom/220056","Rhabdiopteryx thienemanni Illies, 1957")</f>
        <v>Rhabdiopteryx thienemanni Illies, 1957</v>
      </c>
      <c r="AH9677" s="4" t="str">
        <f>HYPERLINK("#Statut_biogéographique!A"&amp;_xlfn.XMATCH("P",Statut_biogéographique!A:A,2,1),"P")</f>
        <v>P</v>
      </c>
      <c r="AP9677" s="4" t="s">
        <v>376</v>
      </c>
      <c r="AR9677" s="4" t="s">
        <v>377</v>
      </c>
    </row>
    <row r="9678" spans="1:44">
      <c r="A9678" s="4" t="s">
        <v>10753</v>
      </c>
      <c r="B9678" s="4">
        <v>220058</v>
      </c>
      <c r="D9678" s="5" t="s">
        <v>12851</v>
      </c>
      <c r="E9678" s="6" t="str">
        <f>HYPERLINK("https://inpn.mnhn.fr/espece/cd_nom/220058","Brachyptera braueri (Klapálek, 1900)")</f>
        <v>Brachyptera braueri (Klapálek, 1900)</v>
      </c>
      <c r="AH9678" s="4" t="str">
        <f>HYPERLINK("#Statut_biogéographique!A"&amp;_xlfn.XMATCH("P",Statut_biogéographique!A:A,2,1),"P")</f>
        <v>P</v>
      </c>
      <c r="AP9678" s="4" t="s">
        <v>376</v>
      </c>
      <c r="AR9678" s="4" t="s">
        <v>377</v>
      </c>
    </row>
    <row r="9679" spans="1:44">
      <c r="A9679" s="4" t="s">
        <v>10753</v>
      </c>
      <c r="B9679" s="4">
        <v>220059</v>
      </c>
      <c r="D9679" s="5" t="s">
        <v>12852</v>
      </c>
      <c r="E9679" s="6" t="str">
        <f>HYPERLINK("https://inpn.mnhn.fr/espece/cd_nom/220059","Brachyptera monilicornis (Pictet, 1841)")</f>
        <v>Brachyptera monilicornis (Pictet, 1841)</v>
      </c>
      <c r="AH9679" s="4" t="str">
        <f>HYPERLINK("#Statut_biogéographique!A"&amp;_xlfn.XMATCH("P",Statut_biogéographique!A:A,2,1),"P")</f>
        <v>P</v>
      </c>
      <c r="AP9679" s="4" t="s">
        <v>376</v>
      </c>
      <c r="AR9679" s="4" t="s">
        <v>377</v>
      </c>
    </row>
    <row r="9680" spans="1:44" ht="30">
      <c r="A9680" s="4" t="s">
        <v>10753</v>
      </c>
      <c r="B9680" s="4">
        <v>220061</v>
      </c>
      <c r="D9680" s="5" t="s">
        <v>12853</v>
      </c>
      <c r="E9680" s="6" t="str">
        <f>HYPERLINK("https://inpn.mnhn.fr/espece/cd_nom/220061","Nemurella pictetii Klapálek, 1900")</f>
        <v>Nemurella pictetii Klapálek, 1900</v>
      </c>
      <c r="AH9680" s="4" t="str">
        <f>HYPERLINK("#Statut_biogéographique!A"&amp;_xlfn.XMATCH("P",Statut_biogéographique!A:A,2,1),"P")</f>
        <v>P</v>
      </c>
      <c r="AP9680" s="4" t="s">
        <v>376</v>
      </c>
      <c r="AR9680" s="4" t="s">
        <v>377</v>
      </c>
    </row>
    <row r="9681" spans="1:44">
      <c r="A9681" s="4" t="s">
        <v>10753</v>
      </c>
      <c r="B9681" s="4">
        <v>220062</v>
      </c>
      <c r="D9681" s="5" t="s">
        <v>12854</v>
      </c>
      <c r="E9681" s="6" t="str">
        <f>HYPERLINK("https://inpn.mnhn.fr/espece/cd_nom/220062","Nemoura avicularis Morton, 1894")</f>
        <v>Nemoura avicularis Morton, 1894</v>
      </c>
      <c r="AH9681" s="4" t="str">
        <f>HYPERLINK("#Statut_biogéographique!A"&amp;_xlfn.XMATCH("P",Statut_biogéographique!A:A,2,1),"P")</f>
        <v>P</v>
      </c>
      <c r="AP9681" s="4" t="s">
        <v>376</v>
      </c>
      <c r="AR9681" s="4" t="s">
        <v>377</v>
      </c>
    </row>
    <row r="9682" spans="1:44">
      <c r="A9682" s="4" t="s">
        <v>10753</v>
      </c>
      <c r="B9682" s="4">
        <v>220063</v>
      </c>
      <c r="D9682" s="5" t="s">
        <v>12855</v>
      </c>
      <c r="E9682" s="6" t="str">
        <f>HYPERLINK("https://inpn.mnhn.fr/espece/cd_nom/220063","Nemoura cambrica Stephens, 1836")</f>
        <v>Nemoura cambrica Stephens, 1836</v>
      </c>
      <c r="AH9682" s="4" t="str">
        <f>HYPERLINK("#Statut_biogéographique!A"&amp;_xlfn.XMATCH("P",Statut_biogéographique!A:A,2,1),"P")</f>
        <v>P</v>
      </c>
      <c r="AP9682" s="4" t="s">
        <v>376</v>
      </c>
      <c r="AR9682" s="4" t="s">
        <v>377</v>
      </c>
    </row>
    <row r="9683" spans="1:44" ht="45">
      <c r="A9683" s="4" t="s">
        <v>10753</v>
      </c>
      <c r="B9683" s="4">
        <v>220064</v>
      </c>
      <c r="D9683" s="5" t="s">
        <v>12856</v>
      </c>
      <c r="E9683" s="6" t="str">
        <f>HYPERLINK("https://inpn.mnhn.fr/espece/cd_nom/220064","Nemoura cinerea (Retzius, 1783)")</f>
        <v>Nemoura cinerea (Retzius, 1783)</v>
      </c>
      <c r="AH9683" s="4" t="str">
        <f>HYPERLINK("#Statut_biogéographique!A"&amp;_xlfn.XMATCH("P",Statut_biogéographique!A:A,2,1),"P")</f>
        <v>P</v>
      </c>
      <c r="AP9683" s="4" t="s">
        <v>376</v>
      </c>
      <c r="AR9683" s="4" t="s">
        <v>377</v>
      </c>
    </row>
    <row r="9684" spans="1:44">
      <c r="A9684" s="4" t="s">
        <v>10753</v>
      </c>
      <c r="B9684" s="4">
        <v>220066</v>
      </c>
      <c r="D9684" s="5" t="s">
        <v>12857</v>
      </c>
      <c r="E9684" s="6" t="str">
        <f>HYPERLINK("https://inpn.mnhn.fr/espece/cd_nom/220066","Nemoura erratica Claassen, 1936")</f>
        <v>Nemoura erratica Claassen, 1936</v>
      </c>
      <c r="AH9684" s="4" t="str">
        <f>HYPERLINK("#Statut_biogéographique!A"&amp;_xlfn.XMATCH("P",Statut_biogéographique!A:A,2,1),"P")</f>
        <v>P</v>
      </c>
      <c r="AP9684" s="4" t="s">
        <v>376</v>
      </c>
      <c r="AR9684" s="4" t="s">
        <v>377</v>
      </c>
    </row>
    <row r="9685" spans="1:44">
      <c r="A9685" s="4" t="s">
        <v>10753</v>
      </c>
      <c r="B9685" s="4">
        <v>220067</v>
      </c>
      <c r="D9685" s="5" t="s">
        <v>12858</v>
      </c>
      <c r="E9685" s="6" t="str">
        <f>HYPERLINK("https://inpn.mnhn.fr/espece/cd_nom/220067","Nemoura flexuosa Aubert, 1949")</f>
        <v>Nemoura flexuosa Aubert, 1949</v>
      </c>
      <c r="AH9685" s="4" t="str">
        <f>HYPERLINK("#Statut_biogéographique!A"&amp;_xlfn.XMATCH("P",Statut_biogéographique!A:A,2,1),"P")</f>
        <v>P</v>
      </c>
      <c r="AP9685" s="4" t="s">
        <v>376</v>
      </c>
      <c r="AR9685" s="4" t="s">
        <v>377</v>
      </c>
    </row>
    <row r="9686" spans="1:44">
      <c r="A9686" s="4" t="s">
        <v>10753</v>
      </c>
      <c r="B9686" s="4">
        <v>220068</v>
      </c>
      <c r="D9686" s="5" t="s">
        <v>12859</v>
      </c>
      <c r="E9686" s="6" t="str">
        <f>HYPERLINK("https://inpn.mnhn.fr/espece/cd_nom/220068","Nemoura lacustris Pictet, 1865")</f>
        <v>Nemoura lacustris Pictet, 1865</v>
      </c>
      <c r="AH9686" s="4" t="str">
        <f>HYPERLINK("#Statut_biogéographique!A"&amp;_xlfn.XMATCH("P",Statut_biogéographique!A:A,2,1),"P")</f>
        <v>P</v>
      </c>
      <c r="AP9686" s="4" t="s">
        <v>376</v>
      </c>
      <c r="AR9686" s="4" t="s">
        <v>377</v>
      </c>
    </row>
    <row r="9687" spans="1:44">
      <c r="A9687" s="4" t="s">
        <v>10753</v>
      </c>
      <c r="B9687" s="4">
        <v>220070</v>
      </c>
      <c r="D9687" s="5" t="s">
        <v>12860</v>
      </c>
      <c r="E9687" s="6" t="str">
        <f>HYPERLINK("https://inpn.mnhn.fr/espece/cd_nom/220070","Nemoura marginata Pictet, 1836")</f>
        <v>Nemoura marginata Pictet, 1836</v>
      </c>
      <c r="AH9687" s="4" t="str">
        <f>HYPERLINK("#Statut_biogéographique!A"&amp;_xlfn.XMATCH("P",Statut_biogéographique!A:A,2,1),"P")</f>
        <v>P</v>
      </c>
      <c r="AP9687" s="4" t="s">
        <v>376</v>
      </c>
      <c r="AR9687" s="4" t="s">
        <v>377</v>
      </c>
    </row>
    <row r="9688" spans="1:44">
      <c r="A9688" s="4" t="s">
        <v>10753</v>
      </c>
      <c r="B9688" s="4">
        <v>220079</v>
      </c>
      <c r="D9688" s="5">
        <v>220079</v>
      </c>
      <c r="E9688" s="6" t="str">
        <f>HYPERLINK("https://inpn.mnhn.fr/espece/cd_nom/220079","Nemoura uncinata Despax, 1934")</f>
        <v>Nemoura uncinata Despax, 1934</v>
      </c>
      <c r="AH9688" s="4" t="str">
        <f>HYPERLINK("#Statut_biogéographique!A"&amp;_xlfn.XMATCH("P",Statut_biogéographique!A:A,2,1),"P")</f>
        <v>P</v>
      </c>
      <c r="AP9688" s="4" t="s">
        <v>376</v>
      </c>
      <c r="AR9688" s="4" t="s">
        <v>377</v>
      </c>
    </row>
    <row r="9689" spans="1:44">
      <c r="A9689" s="4" t="s">
        <v>10753</v>
      </c>
      <c r="B9689" s="4">
        <v>220084</v>
      </c>
      <c r="D9689" s="5" t="s">
        <v>12861</v>
      </c>
      <c r="E9689" s="6" t="str">
        <f>HYPERLINK("https://inpn.mnhn.fr/espece/cd_nom/220084","Protonemura beatensis Despax, 1929")</f>
        <v>Protonemura beatensis Despax, 1929</v>
      </c>
      <c r="AH9689" s="4" t="str">
        <f>HYPERLINK("#Statut_biogéographique!A"&amp;_xlfn.XMATCH("P",Statut_biogéographique!A:A,2,1),"P")</f>
        <v>P</v>
      </c>
      <c r="AP9689" s="4" t="s">
        <v>376</v>
      </c>
      <c r="AR9689" s="4" t="s">
        <v>377</v>
      </c>
    </row>
    <row r="9690" spans="1:44">
      <c r="A9690" s="4" t="s">
        <v>10753</v>
      </c>
      <c r="B9690" s="4">
        <v>220089</v>
      </c>
      <c r="D9690" s="5" t="s">
        <v>12862</v>
      </c>
      <c r="E9690" s="6" t="str">
        <f>HYPERLINK("https://inpn.mnhn.fr/espece/cd_nom/220089","Protonemura intricata (Ris, 1902)")</f>
        <v>Protonemura intricata (Ris, 1902)</v>
      </c>
      <c r="AH9690" s="4" t="str">
        <f>HYPERLINK("#Statut_biogéographique!A"&amp;_xlfn.XMATCH("P",Statut_biogéographique!A:A,2,1),"P")</f>
        <v>P</v>
      </c>
      <c r="AP9690" s="4" t="s">
        <v>376</v>
      </c>
      <c r="AR9690" s="4" t="s">
        <v>377</v>
      </c>
    </row>
    <row r="9691" spans="1:44">
      <c r="A9691" s="4" t="s">
        <v>10753</v>
      </c>
      <c r="B9691" s="4">
        <v>220095</v>
      </c>
      <c r="D9691" s="5">
        <v>220095</v>
      </c>
      <c r="E9691" s="6" t="str">
        <f>HYPERLINK("https://inpn.mnhn.fr/espece/cd_nom/220095","Protonemura vercingetorix Aubert, 1963")</f>
        <v>Protonemura vercingetorix Aubert, 1963</v>
      </c>
      <c r="AH9691" s="4" t="str">
        <f>HYPERLINK("#Statut_biogéographique!A"&amp;_xlfn.XMATCH("E",Statut_biogéographique!A:A,2,1),"E")</f>
        <v>E</v>
      </c>
      <c r="AP9691" s="4" t="s">
        <v>376</v>
      </c>
      <c r="AR9691" s="4" t="s">
        <v>377</v>
      </c>
    </row>
    <row r="9692" spans="1:44">
      <c r="A9692" s="4" t="s">
        <v>10753</v>
      </c>
      <c r="B9692" s="4">
        <v>220099</v>
      </c>
      <c r="D9692" s="5">
        <v>220099</v>
      </c>
      <c r="E9692" s="6" t="str">
        <f>HYPERLINK("https://inpn.mnhn.fr/espece/cd_nom/220099","Capnioneura nemuroides Ris, 1905")</f>
        <v>Capnioneura nemuroides Ris, 1905</v>
      </c>
      <c r="AH9692" s="4" t="str">
        <f>HYPERLINK("#Statut_biogéographique!A"&amp;_xlfn.XMATCH("P",Statut_biogéographique!A:A,2,1),"P")</f>
        <v>P</v>
      </c>
      <c r="AP9692" s="4" t="s">
        <v>376</v>
      </c>
      <c r="AR9692" s="4" t="s">
        <v>377</v>
      </c>
    </row>
    <row r="9693" spans="1:44">
      <c r="A9693" s="4" t="s">
        <v>10753</v>
      </c>
      <c r="B9693" s="4">
        <v>22010</v>
      </c>
      <c r="D9693" s="5" t="s">
        <v>12863</v>
      </c>
      <c r="E9693" s="6" t="str">
        <f>HYPERLINK("https://inpn.mnhn.fr/espece/cd_nom/22010","Phronia nigricornis (Zetterstedt, 1852)")</f>
        <v>Phronia nigricornis (Zetterstedt, 1852)</v>
      </c>
      <c r="AH9693" s="4" t="str">
        <f>HYPERLINK("#Statut_biogéographique!A"&amp;_xlfn.XMATCH("P",Statut_biogéographique!A:A,2,1),"P")</f>
        <v>P</v>
      </c>
      <c r="AP9693" s="4" t="s">
        <v>376</v>
      </c>
      <c r="AR9693" s="4" t="s">
        <v>377</v>
      </c>
    </row>
    <row r="9694" spans="1:44">
      <c r="A9694" s="4" t="s">
        <v>10753</v>
      </c>
      <c r="B9694" s="4">
        <v>220113</v>
      </c>
      <c r="D9694" s="5">
        <v>220113</v>
      </c>
      <c r="E9694" s="6" t="str">
        <f>HYPERLINK("https://inpn.mnhn.fr/espece/cd_nom/220113","Leuctra braueri Kempny, 1898")</f>
        <v>Leuctra braueri Kempny, 1898</v>
      </c>
      <c r="AH9694" s="4" t="str">
        <f>HYPERLINK("#Statut_biogéographique!A"&amp;_xlfn.XMATCH("P",Statut_biogéographique!A:A,2,1),"P")</f>
        <v>P</v>
      </c>
      <c r="AP9694" s="4" t="s">
        <v>376</v>
      </c>
      <c r="AR9694" s="4" t="s">
        <v>377</v>
      </c>
    </row>
    <row r="9695" spans="1:44">
      <c r="A9695" s="4" t="s">
        <v>10753</v>
      </c>
      <c r="B9695" s="4">
        <v>220114</v>
      </c>
      <c r="D9695" s="5">
        <v>220114</v>
      </c>
      <c r="E9695" s="6" t="str">
        <f>HYPERLINK("https://inpn.mnhn.fr/espece/cd_nom/220114","Leuctra castillana Aubert, 1956")</f>
        <v>Leuctra castillana Aubert, 1956</v>
      </c>
      <c r="AH9695" s="4" t="str">
        <f>HYPERLINK("#Statut_biogéographique!A"&amp;_xlfn.XMATCH("P",Statut_biogéographique!A:A,2,1),"P")</f>
        <v>P</v>
      </c>
      <c r="AP9695" s="4" t="s">
        <v>376</v>
      </c>
      <c r="AR9695" s="4" t="s">
        <v>377</v>
      </c>
    </row>
    <row r="9696" spans="1:44">
      <c r="A9696" s="4" t="s">
        <v>10753</v>
      </c>
      <c r="B9696" s="4">
        <v>220117</v>
      </c>
      <c r="D9696" s="5">
        <v>220117</v>
      </c>
      <c r="E9696" s="6" t="str">
        <f>HYPERLINK("https://inpn.mnhn.fr/espece/cd_nom/220117","Leuctra despaxi Mosely, 1930")</f>
        <v>Leuctra despaxi Mosely, 1930</v>
      </c>
      <c r="AH9696" s="4" t="str">
        <f>HYPERLINK("#Statut_biogéographique!A"&amp;_xlfn.XMATCH("P",Statut_biogéographique!A:A,2,1),"P")</f>
        <v>P</v>
      </c>
      <c r="AP9696" s="4" t="s">
        <v>376</v>
      </c>
      <c r="AR9696" s="4" t="s">
        <v>377</v>
      </c>
    </row>
    <row r="9697" spans="1:44">
      <c r="A9697" s="4" t="s">
        <v>10753</v>
      </c>
      <c r="B9697" s="4">
        <v>220118</v>
      </c>
      <c r="D9697" s="5">
        <v>220118</v>
      </c>
      <c r="E9697" s="6" t="str">
        <f>HYPERLINK("https://inpn.mnhn.fr/espece/cd_nom/220118","Leuctra digitata Kempny, 1899")</f>
        <v>Leuctra digitata Kempny, 1899</v>
      </c>
      <c r="AH9697" s="4" t="str">
        <f>HYPERLINK("#Statut_biogéographique!A"&amp;_xlfn.XMATCH("P",Statut_biogéographique!A:A,2,1),"P")</f>
        <v>P</v>
      </c>
      <c r="AP9697" s="4" t="s">
        <v>376</v>
      </c>
      <c r="AR9697" s="4" t="s">
        <v>377</v>
      </c>
    </row>
    <row r="9698" spans="1:44">
      <c r="A9698" s="4" t="s">
        <v>10753</v>
      </c>
      <c r="B9698" s="4">
        <v>22012</v>
      </c>
      <c r="D9698" s="5" t="s">
        <v>12864</v>
      </c>
      <c r="E9698" s="6" t="str">
        <f>HYPERLINK("https://inpn.mnhn.fr/espece/cd_nom/22012","Phronia nitidiventris (van der Wulp, 1859)")</f>
        <v>Phronia nitidiventris (van der Wulp, 1859)</v>
      </c>
      <c r="AH9698" s="4" t="str">
        <f>HYPERLINK("#Statut_biogéographique!A"&amp;_xlfn.XMATCH("P",Statut_biogéographique!A:A,2,1),"P")</f>
        <v>P</v>
      </c>
      <c r="AP9698" s="4" t="s">
        <v>376</v>
      </c>
      <c r="AR9698" s="4" t="s">
        <v>377</v>
      </c>
    </row>
    <row r="9699" spans="1:44">
      <c r="A9699" s="4" t="s">
        <v>10753</v>
      </c>
      <c r="B9699" s="4">
        <v>220120</v>
      </c>
      <c r="D9699" s="5">
        <v>220120</v>
      </c>
      <c r="E9699" s="6" t="str">
        <f>HYPERLINK("https://inpn.mnhn.fr/espece/cd_nom/220120","Leuctra flavomaculata Mosely, 1935")</f>
        <v>Leuctra flavomaculata Mosely, 1935</v>
      </c>
      <c r="AH9699" s="4" t="str">
        <f>HYPERLINK("#Statut_biogéographique!A"&amp;_xlfn.XMATCH("E",Statut_biogéographique!A:A,2,1),"E")</f>
        <v>E</v>
      </c>
      <c r="AP9699" s="4" t="s">
        <v>376</v>
      </c>
      <c r="AR9699" s="4" t="s">
        <v>377</v>
      </c>
    </row>
    <row r="9700" spans="1:44">
      <c r="A9700" s="4" t="s">
        <v>10753</v>
      </c>
      <c r="B9700" s="4">
        <v>220121</v>
      </c>
      <c r="D9700" s="5">
        <v>220121</v>
      </c>
      <c r="E9700" s="6" t="str">
        <f>HYPERLINK("https://inpn.mnhn.fr/espece/cd_nom/220121","Leuctra gallica Aubert, 1953")</f>
        <v>Leuctra gallica Aubert, 1953</v>
      </c>
      <c r="AH9700" s="4" t="str">
        <f>HYPERLINK("#Statut_biogéographique!A"&amp;_xlfn.XMATCH("P",Statut_biogéographique!A:A,2,1),"P")</f>
        <v>P</v>
      </c>
      <c r="AP9700" s="4" t="s">
        <v>376</v>
      </c>
      <c r="AR9700" s="4" t="s">
        <v>377</v>
      </c>
    </row>
    <row r="9701" spans="1:44">
      <c r="A9701" s="4" t="s">
        <v>10753</v>
      </c>
      <c r="B9701" s="4">
        <v>220124</v>
      </c>
      <c r="D9701" s="5" t="s">
        <v>12865</v>
      </c>
      <c r="E9701" s="6" t="str">
        <f>HYPERLINK("https://inpn.mnhn.fr/espece/cd_nom/220124","Leuctra hexacantha Despax, 1940")</f>
        <v>Leuctra hexacantha Despax, 1940</v>
      </c>
      <c r="AH9701" s="4" t="str">
        <f>HYPERLINK("#Statut_biogéographique!A"&amp;_xlfn.XMATCH("P",Statut_biogéographique!A:A,2,1),"P")</f>
        <v>P</v>
      </c>
      <c r="AP9701" s="4" t="s">
        <v>376</v>
      </c>
      <c r="AR9701" s="4" t="s">
        <v>377</v>
      </c>
    </row>
    <row r="9702" spans="1:44">
      <c r="A9702" s="4" t="s">
        <v>10753</v>
      </c>
      <c r="B9702" s="4">
        <v>220128</v>
      </c>
      <c r="D9702" s="5">
        <v>220128</v>
      </c>
      <c r="E9702" s="6" t="str">
        <f>HYPERLINK("https://inpn.mnhn.fr/espece/cd_nom/220128","Leuctra leptogaster Aubert, 1949")</f>
        <v>Leuctra leptogaster Aubert, 1949</v>
      </c>
      <c r="AH9702" s="4" t="str">
        <f>HYPERLINK("#Statut_biogéographique!A"&amp;_xlfn.XMATCH("P",Statut_biogéographique!A:A,2,1),"P")</f>
        <v>P</v>
      </c>
      <c r="AP9702" s="4" t="s">
        <v>376</v>
      </c>
      <c r="AR9702" s="4" t="s">
        <v>377</v>
      </c>
    </row>
    <row r="9703" spans="1:44">
      <c r="A9703" s="4" t="s">
        <v>10753</v>
      </c>
      <c r="B9703" s="4">
        <v>220132</v>
      </c>
      <c r="D9703" s="5">
        <v>220132</v>
      </c>
      <c r="E9703" s="6" t="str">
        <f>HYPERLINK("https://inpn.mnhn.fr/espece/cd_nom/220132","Leuctra moselyi Morton, 1929")</f>
        <v>Leuctra moselyi Morton, 1929</v>
      </c>
      <c r="AH9703" s="4" t="str">
        <f>HYPERLINK("#Statut_biogéographique!A"&amp;_xlfn.XMATCH("P",Statut_biogéographique!A:A,2,1),"P")</f>
        <v>P</v>
      </c>
      <c r="AP9703" s="4" t="s">
        <v>376</v>
      </c>
      <c r="AR9703" s="4" t="s">
        <v>377</v>
      </c>
    </row>
    <row r="9704" spans="1:44">
      <c r="A9704" s="4" t="s">
        <v>10753</v>
      </c>
      <c r="B9704" s="4">
        <v>220135</v>
      </c>
      <c r="D9704" s="5">
        <v>220135</v>
      </c>
      <c r="E9704" s="6" t="str">
        <f>HYPERLINK("https://inpn.mnhn.fr/espece/cd_nom/220135","Leuctra pseudorosinae Aubert, 1954")</f>
        <v>Leuctra pseudorosinae Aubert, 1954</v>
      </c>
      <c r="AH9704" s="4" t="str">
        <f>HYPERLINK("#Statut_biogéographique!A"&amp;_xlfn.XMATCH("P",Statut_biogéographique!A:A,2,1),"P")</f>
        <v>P</v>
      </c>
      <c r="AP9704" s="4" t="s">
        <v>376</v>
      </c>
      <c r="AR9704" s="4" t="s">
        <v>377</v>
      </c>
    </row>
    <row r="9705" spans="1:44" ht="30">
      <c r="A9705" s="4" t="s">
        <v>10753</v>
      </c>
      <c r="B9705" s="4">
        <v>220140</v>
      </c>
      <c r="D9705" s="5">
        <v>220140</v>
      </c>
      <c r="E9705" s="6" t="str">
        <f>HYPERLINK("https://inpn.mnhn.fr/espece/cd_nom/220140","Leuctra subalpina Vinçon, Ravizza &amp; Aubert, 1995")</f>
        <v>Leuctra subalpina Vinçon, Ravizza &amp; Aubert, 1995</v>
      </c>
      <c r="AH9705" s="4" t="str">
        <f>HYPERLINK("#Statut_biogéographique!A"&amp;_xlfn.XMATCH("P",Statut_biogéographique!A:A,2,1),"P")</f>
        <v>P</v>
      </c>
      <c r="AP9705" s="4" t="s">
        <v>376</v>
      </c>
      <c r="AR9705" s="4" t="s">
        <v>377</v>
      </c>
    </row>
    <row r="9706" spans="1:44">
      <c r="A9706" s="4" t="s">
        <v>10753</v>
      </c>
      <c r="B9706" s="4">
        <v>22015</v>
      </c>
      <c r="D9706" s="5" t="s">
        <v>12866</v>
      </c>
      <c r="E9706" s="6" t="str">
        <f>HYPERLINK("https://inpn.mnhn.fr/espece/cd_nom/22015","Phronia tenuis Winnertz, 1864")</f>
        <v>Phronia tenuis Winnertz, 1864</v>
      </c>
      <c r="AH9706" s="4" t="str">
        <f>HYPERLINK("#Statut_biogéographique!A"&amp;_xlfn.XMATCH("P",Statut_biogéographique!A:A,2,1),"P")</f>
        <v>P</v>
      </c>
      <c r="AP9706" s="4" t="s">
        <v>376</v>
      </c>
      <c r="AR9706" s="4" t="s">
        <v>377</v>
      </c>
    </row>
    <row r="9707" spans="1:44">
      <c r="A9707" s="4" t="s">
        <v>10753</v>
      </c>
      <c r="B9707" s="4">
        <v>22018</v>
      </c>
      <c r="D9707" s="5" t="s">
        <v>12867</v>
      </c>
      <c r="E9707" s="6" t="str">
        <f>HYPERLINK("https://inpn.mnhn.fr/espece/cd_nom/22018","Platurocypta punctum (Stannius, 1831)")</f>
        <v>Platurocypta punctum (Stannius, 1831)</v>
      </c>
      <c r="AH9707" s="4" t="str">
        <f>HYPERLINK("#Statut_biogéographique!A"&amp;_xlfn.XMATCH("P",Statut_biogéographique!A:A,2,1),"P")</f>
        <v>P</v>
      </c>
      <c r="AP9707" s="4" t="s">
        <v>376</v>
      </c>
      <c r="AR9707" s="4" t="s">
        <v>377</v>
      </c>
    </row>
    <row r="9708" spans="1:44">
      <c r="A9708" s="4" t="s">
        <v>10753</v>
      </c>
      <c r="B9708" s="4">
        <v>220189</v>
      </c>
      <c r="D9708" s="5" t="s">
        <v>12868</v>
      </c>
      <c r="E9708" s="6" t="str">
        <f>HYPERLINK("https://inpn.mnhn.fr/espece/cd_nom/220189","Atemnus politus (E. Simon, 1878)")</f>
        <v>Atemnus politus (E. Simon, 1878)</v>
      </c>
      <c r="AH9708" s="4" t="str">
        <f>HYPERLINK("#Statut_biogéographique!A"&amp;_xlfn.XMATCH("P",Statut_biogéographique!A:A,2,1),"P")</f>
        <v>P</v>
      </c>
      <c r="AP9708" s="4" t="s">
        <v>376</v>
      </c>
      <c r="AR9708" s="4" t="s">
        <v>377</v>
      </c>
    </row>
    <row r="9709" spans="1:44">
      <c r="A9709" s="4" t="s">
        <v>10753</v>
      </c>
      <c r="B9709" s="4">
        <v>220192</v>
      </c>
      <c r="D9709" s="5" t="s">
        <v>12869</v>
      </c>
      <c r="E9709" s="6" t="str">
        <f>HYPERLINK("https://inpn.mnhn.fr/espece/cd_nom/220192","Rhacochelifer disjunctus (L. Koch, 1873)")</f>
        <v>Rhacochelifer disjunctus (L. Koch, 1873)</v>
      </c>
      <c r="AH9709" s="4" t="str">
        <f>HYPERLINK("#Statut_biogéographique!A"&amp;_xlfn.XMATCH("P",Statut_biogéographique!A:A,2,1),"P")</f>
        <v>P</v>
      </c>
      <c r="AP9709" s="4" t="s">
        <v>376</v>
      </c>
      <c r="AR9709" s="4" t="s">
        <v>377</v>
      </c>
    </row>
    <row r="9710" spans="1:44">
      <c r="A9710" s="4" t="s">
        <v>10753</v>
      </c>
      <c r="B9710" s="4">
        <v>22025</v>
      </c>
      <c r="D9710" s="5" t="s">
        <v>12870</v>
      </c>
      <c r="E9710" s="6" t="str">
        <f>HYPERLINK("https://inpn.mnhn.fr/espece/cd_nom/22025","Rymosia fasciata (Meigen, 1804)")</f>
        <v>Rymosia fasciata (Meigen, 1804)</v>
      </c>
      <c r="AH9710" s="4" t="str">
        <f>HYPERLINK("#Statut_biogéographique!A"&amp;_xlfn.XMATCH("P",Statut_biogéographique!A:A,2,1),"P")</f>
        <v>P</v>
      </c>
      <c r="AP9710" s="4" t="s">
        <v>376</v>
      </c>
      <c r="AR9710" s="4" t="s">
        <v>377</v>
      </c>
    </row>
    <row r="9711" spans="1:44">
      <c r="A9711" s="4" t="s">
        <v>10753</v>
      </c>
      <c r="B9711" s="4">
        <v>220265</v>
      </c>
      <c r="D9711" s="5" t="s">
        <v>12871</v>
      </c>
      <c r="E9711" s="6" t="str">
        <f>HYPERLINK("https://inpn.mnhn.fr/espece/cd_nom/220265","Neobisium carcinoides (Hermann, 1804)")</f>
        <v>Neobisium carcinoides (Hermann, 1804)</v>
      </c>
      <c r="AH9711" s="4" t="str">
        <f>HYPERLINK("#Statut_biogéographique!A"&amp;_xlfn.XMATCH("P",Statut_biogéographique!A:A,2,1),"P")</f>
        <v>P</v>
      </c>
      <c r="AP9711" s="4" t="s">
        <v>376</v>
      </c>
      <c r="AR9711" s="4" t="s">
        <v>377</v>
      </c>
    </row>
    <row r="9712" spans="1:44">
      <c r="A9712" s="4" t="s">
        <v>10753</v>
      </c>
      <c r="B9712" s="4">
        <v>220275</v>
      </c>
      <c r="D9712" s="5" t="s">
        <v>12872</v>
      </c>
      <c r="E9712" s="6" t="str">
        <f>HYPERLINK("https://inpn.mnhn.fr/espece/cd_nom/220275","Neobisium maxvachoni Heurtault, 1990")</f>
        <v>Neobisium maxvachoni Heurtault, 1990</v>
      </c>
      <c r="AH9712" s="4" t="str">
        <f>HYPERLINK("#Statut_biogéographique!A"&amp;_xlfn.XMATCH("E",Statut_biogéographique!A:A,2,1),"E")</f>
        <v>E</v>
      </c>
      <c r="AP9712" s="4" t="s">
        <v>376</v>
      </c>
      <c r="AR9712" s="4" t="s">
        <v>377</v>
      </c>
    </row>
    <row r="9713" spans="1:44">
      <c r="A9713" s="4" t="s">
        <v>10753</v>
      </c>
      <c r="B9713" s="4">
        <v>220306</v>
      </c>
      <c r="D9713" s="5" t="s">
        <v>12873</v>
      </c>
      <c r="E9713" s="6" t="str">
        <f>HYPERLINK("https://inpn.mnhn.fr/espece/cd_nom/220306","Homotoma ficus (Linnaeus, 1758)")</f>
        <v>Homotoma ficus (Linnaeus, 1758)</v>
      </c>
      <c r="F9713" s="5" t="s">
        <v>12874</v>
      </c>
      <c r="AH9713" s="4" t="str">
        <f>HYPERLINK("#Statut_biogéographique!A"&amp;_xlfn.XMATCH("P",Statut_biogéographique!A:A,2,1),"P")</f>
        <v>P</v>
      </c>
      <c r="AP9713" s="4" t="s">
        <v>376</v>
      </c>
      <c r="AR9713" s="4" t="s">
        <v>377</v>
      </c>
    </row>
    <row r="9714" spans="1:44">
      <c r="A9714" s="4" t="s">
        <v>10753</v>
      </c>
      <c r="B9714" s="4">
        <v>220333</v>
      </c>
      <c r="D9714" s="5" t="s">
        <v>12875</v>
      </c>
      <c r="E9714" s="6" t="str">
        <f>HYPERLINK("https://inpn.mnhn.fr/espece/cd_nom/220333","Cacopsylla ambigua (Foerster, 1848)")</f>
        <v>Cacopsylla ambigua (Foerster, 1848)</v>
      </c>
      <c r="AH9714" s="4" t="str">
        <f>HYPERLINK("#Statut_biogéographique!A"&amp;_xlfn.XMATCH("P",Statut_biogéographique!A:A,2,1),"P")</f>
        <v>P</v>
      </c>
      <c r="AP9714" s="4" t="s">
        <v>376</v>
      </c>
      <c r="AR9714" s="4" t="s">
        <v>377</v>
      </c>
    </row>
    <row r="9715" spans="1:44">
      <c r="A9715" s="4" t="s">
        <v>10753</v>
      </c>
      <c r="B9715" s="4">
        <v>220355</v>
      </c>
      <c r="D9715" s="5" t="s">
        <v>12876</v>
      </c>
      <c r="E9715" s="6" t="str">
        <f>HYPERLINK("https://inpn.mnhn.fr/espece/cd_nom/220355","Cacopsylla pruni (Scopoli, 1763)")</f>
        <v>Cacopsylla pruni (Scopoli, 1763)</v>
      </c>
      <c r="AH9715" s="4" t="str">
        <f>HYPERLINK("#Statut_biogéographique!A"&amp;_xlfn.XMATCH("P",Statut_biogéographique!A:A,2,1),"P")</f>
        <v>P</v>
      </c>
      <c r="AP9715" s="4" t="s">
        <v>376</v>
      </c>
      <c r="AR9715" s="4" t="s">
        <v>377</v>
      </c>
    </row>
    <row r="9716" spans="1:44">
      <c r="A9716" s="4" t="s">
        <v>10753</v>
      </c>
      <c r="B9716" s="4">
        <v>220356</v>
      </c>
      <c r="D9716" s="5" t="s">
        <v>12877</v>
      </c>
      <c r="E9716" s="6" t="str">
        <f>HYPERLINK("https://inpn.mnhn.fr/espece/cd_nom/220356","Cacopsylla pulchella (Löw, 1877)")</f>
        <v>Cacopsylla pulchella (Löw, 1877)</v>
      </c>
      <c r="F9716" s="5" t="s">
        <v>12878</v>
      </c>
      <c r="AH9716" s="4" t="str">
        <f>HYPERLINK("#Statut_biogéographique!A"&amp;_xlfn.XMATCH("I",Statut_biogéographique!A:A,2,1),"I")</f>
        <v>I</v>
      </c>
      <c r="AP9716" s="4" t="s">
        <v>376</v>
      </c>
      <c r="AR9716" s="4" t="s">
        <v>377</v>
      </c>
    </row>
    <row r="9717" spans="1:44">
      <c r="A9717" s="4" t="s">
        <v>10753</v>
      </c>
      <c r="B9717" s="4">
        <v>220372</v>
      </c>
      <c r="D9717" s="5" t="s">
        <v>12879</v>
      </c>
      <c r="E9717" s="6" t="str">
        <f>HYPERLINK("https://inpn.mnhn.fr/espece/cd_nom/220372","Chamaepsylla hartigii (Flor, 1861)")</f>
        <v>Chamaepsylla hartigii (Flor, 1861)</v>
      </c>
      <c r="AH9717" s="4" t="str">
        <f>HYPERLINK("#Statut_biogéographique!A"&amp;_xlfn.XMATCH("P",Statut_biogéographique!A:A,2,1),"P")</f>
        <v>P</v>
      </c>
      <c r="AP9717" s="4" t="s">
        <v>376</v>
      </c>
      <c r="AR9717" s="4" t="s">
        <v>377</v>
      </c>
    </row>
    <row r="9718" spans="1:44">
      <c r="A9718" s="4" t="s">
        <v>10753</v>
      </c>
      <c r="B9718" s="4">
        <v>220407</v>
      </c>
      <c r="D9718" s="5" t="s">
        <v>12880</v>
      </c>
      <c r="E9718" s="6" t="str">
        <f>HYPERLINK("https://inpn.mnhn.fr/espece/cd_nom/220407","Psylla buxi (Linnaeus, 1758)")</f>
        <v>Psylla buxi (Linnaeus, 1758)</v>
      </c>
      <c r="AH9718" s="4" t="str">
        <f>HYPERLINK("#Statut_biogéographique!A"&amp;_xlfn.XMATCH("P",Statut_biogéographique!A:A,2,1),"P")</f>
        <v>P</v>
      </c>
      <c r="AP9718" s="4" t="s">
        <v>376</v>
      </c>
      <c r="AR9718" s="4" t="s">
        <v>377</v>
      </c>
    </row>
    <row r="9719" spans="1:44">
      <c r="A9719" s="4" t="s">
        <v>10753</v>
      </c>
      <c r="B9719" s="4">
        <v>220462</v>
      </c>
      <c r="D9719" s="5">
        <v>220462</v>
      </c>
      <c r="E9719" s="6" t="str">
        <f>HYPERLINK("https://inpn.mnhn.fr/espece/cd_nom/220462","Trioza remota Foerster, 1848")</f>
        <v>Trioza remota Foerster, 1848</v>
      </c>
      <c r="AH9719" s="4" t="str">
        <f>HYPERLINK("#Statut_biogéographique!A"&amp;_xlfn.XMATCH("P",Statut_biogéographique!A:A,2,1),"P")</f>
        <v>P</v>
      </c>
      <c r="AP9719" s="4" t="s">
        <v>376</v>
      </c>
      <c r="AR9719" s="4" t="s">
        <v>377</v>
      </c>
    </row>
    <row r="9720" spans="1:44">
      <c r="A9720" s="4" t="s">
        <v>10753</v>
      </c>
      <c r="B9720" s="4">
        <v>220474</v>
      </c>
      <c r="D9720" s="5" t="s">
        <v>12881</v>
      </c>
      <c r="E9720" s="6" t="str">
        <f>HYPERLINK("https://inpn.mnhn.fr/espece/cd_nom/220474","Atlantoraphidia maculicollis (Stephens, 1836)")</f>
        <v>Atlantoraphidia maculicollis (Stephens, 1836)</v>
      </c>
      <c r="AH9720" s="4" t="str">
        <f>HYPERLINK("#Statut_biogéographique!A"&amp;_xlfn.XMATCH("P",Statut_biogéographique!A:A,2,1),"P")</f>
        <v>P</v>
      </c>
      <c r="AP9720" s="4" t="s">
        <v>376</v>
      </c>
      <c r="AR9720" s="4" t="s">
        <v>377</v>
      </c>
    </row>
    <row r="9721" spans="1:44">
      <c r="A9721" s="4" t="s">
        <v>10753</v>
      </c>
      <c r="B9721" s="4">
        <v>220482</v>
      </c>
      <c r="D9721" s="5">
        <v>220482</v>
      </c>
      <c r="E9721" s="6" t="str">
        <f>HYPERLINK("https://inpn.mnhn.fr/espece/cd_nom/220482","Raphidia ophiopsis Linnaeus, 1758")</f>
        <v>Raphidia ophiopsis Linnaeus, 1758</v>
      </c>
      <c r="F9721" s="5" t="s">
        <v>12882</v>
      </c>
      <c r="AH9721" s="4" t="str">
        <f>HYPERLINK("#Statut_biogéographique!A"&amp;_xlfn.XMATCH("P",Statut_biogéographique!A:A,2,1),"P")</f>
        <v>P</v>
      </c>
      <c r="AP9721" s="4" t="s">
        <v>376</v>
      </c>
      <c r="AR9721" s="4" t="s">
        <v>377</v>
      </c>
    </row>
    <row r="9722" spans="1:44" ht="30">
      <c r="A9722" s="4" t="s">
        <v>10753</v>
      </c>
      <c r="B9722" s="4">
        <v>220487</v>
      </c>
      <c r="D9722" s="5" t="s">
        <v>12883</v>
      </c>
      <c r="E9722" s="6" t="str">
        <f>HYPERLINK("https://inpn.mnhn.fr/espece/cd_nom/220487","Xanthostigma xanthostigma (Schummel, 1832)")</f>
        <v>Xanthostigma xanthostigma (Schummel, 1832)</v>
      </c>
      <c r="AH9722" s="4" t="str">
        <f>HYPERLINK("#Statut_biogéographique!A"&amp;_xlfn.XMATCH("P",Statut_biogéographique!A:A,2,1),"P")</f>
        <v>P</v>
      </c>
      <c r="AP9722" s="4" t="s">
        <v>376</v>
      </c>
      <c r="AR9722" s="4" t="s">
        <v>377</v>
      </c>
    </row>
    <row r="9723" spans="1:44">
      <c r="A9723" s="4" t="s">
        <v>10753</v>
      </c>
      <c r="B9723" s="4">
        <v>220606</v>
      </c>
      <c r="D9723" s="5" t="s">
        <v>12884</v>
      </c>
      <c r="E9723" s="6" t="str">
        <f>HYPERLINK("https://inpn.mnhn.fr/espece/cd_nom/220606","Dendrothrips ornatus (Jablonowski, 1894)")</f>
        <v>Dendrothrips ornatus (Jablonowski, 1894)</v>
      </c>
      <c r="AH9723" s="4" t="str">
        <f>HYPERLINK("#Statut_biogéographique!A"&amp;_xlfn.XMATCH("P",Statut_biogéographique!A:A,2,1),"P")</f>
        <v>P</v>
      </c>
      <c r="AP9723" s="4" t="s">
        <v>376</v>
      </c>
      <c r="AR9723" s="4" t="s">
        <v>377</v>
      </c>
    </row>
    <row r="9724" spans="1:44" ht="30">
      <c r="A9724" s="4" t="s">
        <v>10753</v>
      </c>
      <c r="B9724" s="4">
        <v>22070</v>
      </c>
      <c r="D9724" s="5" t="s">
        <v>12885</v>
      </c>
      <c r="E9724" s="6" t="str">
        <f>HYPERLINK("https://inpn.mnhn.fr/espece/cd_nom/22070","Ctenosciara hyalipennis (Meigen, 1804)")</f>
        <v>Ctenosciara hyalipennis (Meigen, 1804)</v>
      </c>
      <c r="AH9724" s="4" t="str">
        <f>HYPERLINK("#Statut_biogéographique!A"&amp;_xlfn.XMATCH("P",Statut_biogéographique!A:A,2,1),"P")</f>
        <v>P</v>
      </c>
      <c r="AP9724" s="4" t="s">
        <v>376</v>
      </c>
      <c r="AR9724" s="4" t="s">
        <v>377</v>
      </c>
    </row>
    <row r="9725" spans="1:44">
      <c r="A9725" s="4" t="s">
        <v>10753</v>
      </c>
      <c r="B9725" s="4">
        <v>221013</v>
      </c>
      <c r="D9725" s="5" t="s">
        <v>12886</v>
      </c>
      <c r="E9725" s="6" t="str">
        <f>HYPERLINK("https://inpn.mnhn.fr/espece/cd_nom/221013","Neotrombicula autumnalis (Shaw, 1790)")</f>
        <v>Neotrombicula autumnalis (Shaw, 1790)</v>
      </c>
      <c r="F9725" s="5" t="s">
        <v>12887</v>
      </c>
      <c r="AH9725" s="4" t="str">
        <f>HYPERLINK("#Statut_biogéographique!A"&amp;_xlfn.XMATCH("P",Statut_biogéographique!A:A,2,1),"P")</f>
        <v>P</v>
      </c>
      <c r="AP9725" s="4" t="s">
        <v>376</v>
      </c>
      <c r="AR9725" s="4" t="s">
        <v>377</v>
      </c>
    </row>
    <row r="9726" spans="1:44">
      <c r="A9726" s="4" t="s">
        <v>10753</v>
      </c>
      <c r="B9726" s="4">
        <v>221033</v>
      </c>
      <c r="D9726" s="5" t="s">
        <v>12888</v>
      </c>
      <c r="E9726" s="6" t="str">
        <f>HYPERLINK("https://inpn.mnhn.fr/espece/cd_nom/221033","Trombidium holosericeum (Linnaeus, 1758)")</f>
        <v>Trombidium holosericeum (Linnaeus, 1758)</v>
      </c>
      <c r="AH9726" s="4" t="str">
        <f>HYPERLINK("#Statut_biogéographique!A"&amp;_xlfn.XMATCH("P",Statut_biogéographique!A:A,2,1),"P")</f>
        <v>P</v>
      </c>
      <c r="AP9726" s="4" t="s">
        <v>376</v>
      </c>
      <c r="AR9726" s="4" t="s">
        <v>377</v>
      </c>
    </row>
    <row r="9727" spans="1:44">
      <c r="A9727" s="4" t="s">
        <v>10753</v>
      </c>
      <c r="B9727" s="4">
        <v>22119</v>
      </c>
      <c r="D9727" s="5" t="s">
        <v>12889</v>
      </c>
      <c r="E9727" s="6" t="str">
        <f>HYPERLINK("https://inpn.mnhn.fr/espece/cd_nom/22119","Sciara humeralis Zetterstedt, 1851")</f>
        <v>Sciara humeralis Zetterstedt, 1851</v>
      </c>
      <c r="AH9727" s="4" t="str">
        <f>HYPERLINK("#Statut_biogéographique!A"&amp;_xlfn.XMATCH("P",Statut_biogéographique!A:A,2,1),"P")</f>
        <v>P</v>
      </c>
      <c r="AP9727" s="4" t="s">
        <v>376</v>
      </c>
      <c r="AR9727" s="4" t="s">
        <v>377</v>
      </c>
    </row>
    <row r="9728" spans="1:44">
      <c r="A9728" s="4" t="s">
        <v>10753</v>
      </c>
      <c r="B9728" s="4">
        <v>221196</v>
      </c>
      <c r="D9728" s="5" t="s">
        <v>12890</v>
      </c>
      <c r="E9728" s="6" t="str">
        <f>HYPERLINK("https://inpn.mnhn.fr/espece/cd_nom/221196","Riccardoella limacum (Schrank, 1776)")</f>
        <v>Riccardoella limacum (Schrank, 1776)</v>
      </c>
      <c r="F9728" s="5" t="s">
        <v>12891</v>
      </c>
      <c r="AH9728" s="4" t="str">
        <f>HYPERLINK("#Statut_biogéographique!A"&amp;_xlfn.XMATCH("P",Statut_biogéographique!A:A,2,1),"P")</f>
        <v>P</v>
      </c>
      <c r="AP9728" s="4" t="s">
        <v>376</v>
      </c>
      <c r="AR9728" s="4" t="s">
        <v>377</v>
      </c>
    </row>
    <row r="9729" spans="1:44">
      <c r="A9729" s="4" t="s">
        <v>10753</v>
      </c>
      <c r="B9729" s="4">
        <v>22121</v>
      </c>
      <c r="D9729" s="5">
        <v>22121</v>
      </c>
      <c r="E9729" s="6" t="str">
        <f>HYPERLINK("https://inpn.mnhn.fr/espece/cd_nom/22121","Sciara mendax Tuomikoski, 1960")</f>
        <v>Sciara mendax Tuomikoski, 1960</v>
      </c>
      <c r="AH9729" s="4" t="str">
        <f>HYPERLINK("#Statut_biogéographique!A"&amp;_xlfn.XMATCH("P",Statut_biogéographique!A:A,2,1),"P")</f>
        <v>P</v>
      </c>
      <c r="AP9729" s="4" t="s">
        <v>376</v>
      </c>
      <c r="AR9729" s="4" t="s">
        <v>377</v>
      </c>
    </row>
    <row r="9730" spans="1:44">
      <c r="A9730" s="4" t="s">
        <v>10753</v>
      </c>
      <c r="B9730" s="4">
        <v>221300</v>
      </c>
      <c r="D9730" s="5" t="s">
        <v>12892</v>
      </c>
      <c r="E9730" s="6" t="str">
        <f>HYPERLINK("https://inpn.mnhn.fr/espece/cd_nom/221300","Aceria laticincta (Nalepa, 1892)")</f>
        <v>Aceria laticincta (Nalepa, 1892)</v>
      </c>
      <c r="AH9730" s="4" t="str">
        <f>HYPERLINK("#Statut_biogéographique!A"&amp;_xlfn.XMATCH("P",Statut_biogéographique!A:A,2,1),"P")</f>
        <v>P</v>
      </c>
      <c r="AP9730" s="4" t="s">
        <v>376</v>
      </c>
      <c r="AR9730" s="4" t="s">
        <v>377</v>
      </c>
    </row>
    <row r="9731" spans="1:44">
      <c r="A9731" s="4" t="s">
        <v>10753</v>
      </c>
      <c r="B9731" s="4">
        <v>221307</v>
      </c>
      <c r="D9731" s="5" t="s">
        <v>12893</v>
      </c>
      <c r="E9731" s="6" t="str">
        <f>HYPERLINK("https://inpn.mnhn.fr/espece/cd_nom/221307","Aceria macrorhyncha (Nalepa, 1889)")</f>
        <v>Aceria macrorhyncha (Nalepa, 1889)</v>
      </c>
      <c r="AH9731" s="4" t="str">
        <f>HYPERLINK("#Statut_biogéographique!A"&amp;_xlfn.XMATCH("P",Statut_biogéographique!A:A,2,1),"P")</f>
        <v>P</v>
      </c>
      <c r="AP9731" s="4" t="s">
        <v>376</v>
      </c>
      <c r="AR9731" s="4" t="s">
        <v>377</v>
      </c>
    </row>
    <row r="9732" spans="1:44">
      <c r="A9732" s="4" t="s">
        <v>10753</v>
      </c>
      <c r="B9732" s="4">
        <v>221370</v>
      </c>
      <c r="D9732" s="5" t="s">
        <v>12894</v>
      </c>
      <c r="E9732" s="6" t="str">
        <f>HYPERLINK("https://inpn.mnhn.fr/espece/cd_nom/221370","Eriophyes exilis (Nalepa, 1892)")</f>
        <v>Eriophyes exilis (Nalepa, 1892)</v>
      </c>
      <c r="AH9732" s="4" t="str">
        <f>HYPERLINK("#Statut_biogéographique!A"&amp;_xlfn.XMATCH("P",Statut_biogéographique!A:A,2,1),"P")</f>
        <v>P</v>
      </c>
      <c r="AP9732" s="4" t="s">
        <v>376</v>
      </c>
      <c r="AR9732" s="4" t="s">
        <v>377</v>
      </c>
    </row>
    <row r="9733" spans="1:44">
      <c r="A9733" s="4" t="s">
        <v>10753</v>
      </c>
      <c r="B9733" s="4">
        <v>221372</v>
      </c>
      <c r="D9733" s="5">
        <v>221372</v>
      </c>
      <c r="E9733" s="6" t="str">
        <f>HYPERLINK("https://inpn.mnhn.fr/espece/cd_nom/221372","Eriophyes inangulis Nalepa, 1919")</f>
        <v>Eriophyes inangulis Nalepa, 1919</v>
      </c>
      <c r="AH9733" s="4" t="str">
        <f>HYPERLINK("#Statut_biogéographique!A"&amp;_xlfn.XMATCH("P",Statut_biogéographique!A:A,2,1),"P")</f>
        <v>P</v>
      </c>
      <c r="AP9733" s="4" t="s">
        <v>376</v>
      </c>
      <c r="AR9733" s="4" t="s">
        <v>377</v>
      </c>
    </row>
    <row r="9734" spans="1:44">
      <c r="A9734" s="4" t="s">
        <v>10753</v>
      </c>
      <c r="B9734" s="4">
        <v>221373</v>
      </c>
      <c r="D9734" s="5" t="s">
        <v>12895</v>
      </c>
      <c r="E9734" s="6" t="str">
        <f>HYPERLINK("https://inpn.mnhn.fr/espece/cd_nom/221373","Eriophyes laevis (Nalepa, 1889)")</f>
        <v>Eriophyes laevis (Nalepa, 1889)</v>
      </c>
      <c r="AH9734" s="4" t="str">
        <f>HYPERLINK("#Statut_biogéographique!A"&amp;_xlfn.XMATCH("P",Statut_biogéographique!A:A,2,1),"P")</f>
        <v>P</v>
      </c>
      <c r="AP9734" s="4" t="s">
        <v>376</v>
      </c>
      <c r="AR9734" s="4" t="s">
        <v>377</v>
      </c>
    </row>
    <row r="9735" spans="1:44">
      <c r="A9735" s="4" t="s">
        <v>10753</v>
      </c>
      <c r="B9735" s="4">
        <v>221382</v>
      </c>
      <c r="D9735" s="5" t="s">
        <v>12896</v>
      </c>
      <c r="E9735" s="6" t="str">
        <f>HYPERLINK("https://inpn.mnhn.fr/espece/cd_nom/221382","Eriophyes sorbi (Canestrini, 1890)")</f>
        <v>Eriophyes sorbi (Canestrini, 1890)</v>
      </c>
      <c r="AH9735" s="4" t="str">
        <f>HYPERLINK("#Statut_biogéographique!A"&amp;_xlfn.XMATCH("P",Statut_biogéographique!A:A,2,1),"P")</f>
        <v>P</v>
      </c>
      <c r="AP9735" s="4" t="s">
        <v>376</v>
      </c>
      <c r="AR9735" s="4" t="s">
        <v>377</v>
      </c>
    </row>
    <row r="9736" spans="1:44">
      <c r="A9736" s="4" t="s">
        <v>10753</v>
      </c>
      <c r="B9736" s="4">
        <v>221383</v>
      </c>
      <c r="D9736" s="5" t="s">
        <v>12897</v>
      </c>
      <c r="E9736" s="6" t="str">
        <f>HYPERLINK("https://inpn.mnhn.fr/espece/cd_nom/221383","Eriophyes tiliae (Pagenstecher, 1857)")</f>
        <v>Eriophyes tiliae (Pagenstecher, 1857)</v>
      </c>
      <c r="F9736" s="5" t="s">
        <v>12898</v>
      </c>
      <c r="AH9736" s="4" t="str">
        <f>HYPERLINK("#Statut_biogéographique!A"&amp;_xlfn.XMATCH("P",Statut_biogéographique!A:A,2,1),"P")</f>
        <v>P</v>
      </c>
      <c r="AP9736" s="4" t="s">
        <v>376</v>
      </c>
      <c r="AR9736" s="4" t="s">
        <v>377</v>
      </c>
    </row>
    <row r="9737" spans="1:44">
      <c r="A9737" s="4" t="s">
        <v>10753</v>
      </c>
      <c r="B9737" s="4">
        <v>22140</v>
      </c>
      <c r="D9737" s="5">
        <v>22140</v>
      </c>
      <c r="E9737" s="6" t="str">
        <f>HYPERLINK("https://inpn.mnhn.fr/espece/cd_nom/22140","Zygoneura sciarina Meigen, 1830")</f>
        <v>Zygoneura sciarina Meigen, 1830</v>
      </c>
      <c r="AH9737" s="4" t="str">
        <f>HYPERLINK("#Statut_biogéographique!A"&amp;_xlfn.XMATCH("P",Statut_biogéographique!A:A,2,1),"P")</f>
        <v>P</v>
      </c>
      <c r="AP9737" s="4" t="s">
        <v>376</v>
      </c>
      <c r="AR9737" s="4" t="s">
        <v>377</v>
      </c>
    </row>
    <row r="9738" spans="1:44" ht="30">
      <c r="A9738" s="4" t="s">
        <v>10753</v>
      </c>
      <c r="B9738" s="4">
        <v>221427</v>
      </c>
      <c r="D9738" s="5" t="s">
        <v>12899</v>
      </c>
      <c r="E9738" s="6" t="str">
        <f>HYPERLINK("https://inpn.mnhn.fr/espece/cd_nom/221427","Dermacentor marginatus (Sulzer, 1776)")</f>
        <v>Dermacentor marginatus (Sulzer, 1776)</v>
      </c>
      <c r="AH9738" s="4" t="str">
        <f>HYPERLINK("#Statut_biogéographique!A"&amp;_xlfn.XMATCH("P",Statut_biogéographique!A:A,2,1),"P")</f>
        <v>P</v>
      </c>
      <c r="AP9738" s="4" t="s">
        <v>376</v>
      </c>
      <c r="AR9738" s="4" t="s">
        <v>377</v>
      </c>
    </row>
    <row r="9739" spans="1:44" ht="30">
      <c r="A9739" s="4" t="s">
        <v>10753</v>
      </c>
      <c r="B9739" s="4">
        <v>221428</v>
      </c>
      <c r="D9739" s="5" t="s">
        <v>12900</v>
      </c>
      <c r="E9739" s="6" t="str">
        <f>HYPERLINK("https://inpn.mnhn.fr/espece/cd_nom/221428","Dermacentor reticulatus (Fabricius, 1794)")</f>
        <v>Dermacentor reticulatus (Fabricius, 1794)</v>
      </c>
      <c r="AH9739" s="4" t="str">
        <f>HYPERLINK("#Statut_biogéographique!A"&amp;_xlfn.XMATCH("P",Statut_biogéographique!A:A,2,1),"P")</f>
        <v>P</v>
      </c>
      <c r="AP9739" s="4" t="s">
        <v>376</v>
      </c>
      <c r="AR9739" s="4" t="s">
        <v>377</v>
      </c>
    </row>
    <row r="9740" spans="1:44" ht="90">
      <c r="A9740" s="4" t="s">
        <v>10753</v>
      </c>
      <c r="B9740" s="4">
        <v>221439</v>
      </c>
      <c r="D9740" s="5" t="s">
        <v>12901</v>
      </c>
      <c r="E9740" s="6" t="str">
        <f>HYPERLINK("https://inpn.mnhn.fr/espece/cd_nom/221439","Ixodes ricinus (Linnaeus, 1758)")</f>
        <v>Ixodes ricinus (Linnaeus, 1758)</v>
      </c>
      <c r="F9740" s="5" t="s">
        <v>12902</v>
      </c>
      <c r="AH9740" s="4" t="str">
        <f>HYPERLINK("#Statut_biogéographique!A"&amp;_xlfn.XMATCH("P",Statut_biogéographique!A:A,2,1),"P")</f>
        <v>P</v>
      </c>
      <c r="AP9740" s="4" t="s">
        <v>376</v>
      </c>
      <c r="AR9740" s="4" t="s">
        <v>377</v>
      </c>
    </row>
    <row r="9741" spans="1:44" ht="45">
      <c r="A9741" s="4" t="s">
        <v>10753</v>
      </c>
      <c r="B9741" s="4">
        <v>221452</v>
      </c>
      <c r="D9741" s="5" t="s">
        <v>12903</v>
      </c>
      <c r="E9741" s="6" t="str">
        <f>HYPERLINK("https://inpn.mnhn.fr/espece/cd_nom/221452","Eschatocephalus vespertilionis (Koch, 1844)")</f>
        <v>Eschatocephalus vespertilionis (Koch, 1844)</v>
      </c>
      <c r="AH9741" s="4" t="str">
        <f>HYPERLINK("#Statut_biogéographique!A"&amp;_xlfn.XMATCH("P",Statut_biogéographique!A:A,2,1),"P")</f>
        <v>P</v>
      </c>
      <c r="AP9741" s="4" t="s">
        <v>376</v>
      </c>
      <c r="AR9741" s="4" t="s">
        <v>377</v>
      </c>
    </row>
    <row r="9742" spans="1:44" ht="30">
      <c r="A9742" s="4" t="s">
        <v>10753</v>
      </c>
      <c r="B9742" s="4">
        <v>221467</v>
      </c>
      <c r="D9742" s="5">
        <v>221467</v>
      </c>
      <c r="E9742" s="6" t="str">
        <f>HYPERLINK("https://inpn.mnhn.fr/espece/cd_nom/221467","Schizonobia oudemansi Gutierrez &amp; Bolland, 1986")</f>
        <v>Schizonobia oudemansi Gutierrez &amp; Bolland, 1986</v>
      </c>
      <c r="AH9742" s="4" t="str">
        <f>HYPERLINK("#Statut_biogéographique!A"&amp;_xlfn.XMATCH("P",Statut_biogéographique!A:A,2,1),"P")</f>
        <v>P</v>
      </c>
      <c r="AP9742" s="4" t="s">
        <v>376</v>
      </c>
      <c r="AR9742" s="4" t="s">
        <v>377</v>
      </c>
    </row>
    <row r="9743" spans="1:44">
      <c r="A9743" s="4" t="s">
        <v>10753</v>
      </c>
      <c r="B9743" s="4">
        <v>22148</v>
      </c>
      <c r="D9743" s="5" t="s">
        <v>12904</v>
      </c>
      <c r="E9743" s="6" t="str">
        <f>HYPERLINK("https://inpn.mnhn.fr/espece/cd_nom/22148","Xylophagus ater Meigen, 1804")</f>
        <v>Xylophagus ater Meigen, 1804</v>
      </c>
      <c r="AH9743" s="4" t="str">
        <f>HYPERLINK("#Statut_biogéographique!A"&amp;_xlfn.XMATCH("P",Statut_biogéographique!A:A,2,1),"P")</f>
        <v>P</v>
      </c>
      <c r="AP9743" s="4" t="s">
        <v>376</v>
      </c>
      <c r="AR9743" s="4" t="s">
        <v>377</v>
      </c>
    </row>
    <row r="9744" spans="1:44">
      <c r="A9744" s="4" t="s">
        <v>10753</v>
      </c>
      <c r="B9744" s="4">
        <v>22149</v>
      </c>
      <c r="D9744" s="5" t="s">
        <v>12905</v>
      </c>
      <c r="E9744" s="6" t="str">
        <f>HYPERLINK("https://inpn.mnhn.fr/espece/cd_nom/22149","Xylophagus cinctus (De Geer, 1776)")</f>
        <v>Xylophagus cinctus (De Geer, 1776)</v>
      </c>
      <c r="AH9744" s="4" t="str">
        <f>HYPERLINK("#Statut_biogéographique!A"&amp;_xlfn.XMATCH("P",Statut_biogéographique!A:A,2,1),"P")</f>
        <v>P</v>
      </c>
      <c r="AP9744" s="4" t="s">
        <v>376</v>
      </c>
      <c r="AR9744" s="4" t="s">
        <v>377</v>
      </c>
    </row>
    <row r="9745" spans="1:44">
      <c r="A9745" s="4" t="s">
        <v>10753</v>
      </c>
      <c r="B9745" s="4">
        <v>22153</v>
      </c>
      <c r="D9745" s="5" t="s">
        <v>12906</v>
      </c>
      <c r="E9745" s="6" t="str">
        <f>HYPERLINK("https://inpn.mnhn.fr/espece/cd_nom/22153","Coenomyia ferruginea (Scopoli, 1763)")</f>
        <v>Coenomyia ferruginea (Scopoli, 1763)</v>
      </c>
      <c r="AH9745" s="4" t="str">
        <f>HYPERLINK("#Statut_biogéographique!A"&amp;_xlfn.XMATCH("P",Statut_biogéographique!A:A,2,1),"P")</f>
        <v>P</v>
      </c>
      <c r="AP9745" s="4" t="s">
        <v>376</v>
      </c>
      <c r="AR9745" s="4" t="s">
        <v>377</v>
      </c>
    </row>
    <row r="9746" spans="1:44">
      <c r="A9746" s="4" t="s">
        <v>10753</v>
      </c>
      <c r="B9746" s="4">
        <v>22157</v>
      </c>
      <c r="D9746" s="5" t="s">
        <v>12907</v>
      </c>
      <c r="E9746" s="6" t="str">
        <f>HYPERLINK("https://inpn.mnhn.fr/espece/cd_nom/22157","Solva marginata (Meigen, 1820)")</f>
        <v>Solva marginata (Meigen, 1820)</v>
      </c>
      <c r="AH9746" s="4" t="str">
        <f>HYPERLINK("#Statut_biogéographique!A"&amp;_xlfn.XMATCH("P",Statut_biogéographique!A:A,2,1),"P")</f>
        <v>P</v>
      </c>
      <c r="AP9746" s="4" t="s">
        <v>376</v>
      </c>
      <c r="AR9746" s="4" t="s">
        <v>377</v>
      </c>
    </row>
    <row r="9747" spans="1:44">
      <c r="A9747" s="4" t="s">
        <v>10753</v>
      </c>
      <c r="B9747" s="4">
        <v>221577</v>
      </c>
      <c r="D9747" s="5">
        <v>221577</v>
      </c>
      <c r="E9747" s="6" t="str">
        <f>HYPERLINK("https://inpn.mnhn.fr/espece/cd_nom/221577","Loboptera canariensis Chopard, 1954")</f>
        <v>Loboptera canariensis Chopard, 1954</v>
      </c>
      <c r="AH9747" s="4" t="str">
        <f>HYPERLINK("#Statut_biogéographique!A"&amp;_xlfn.XMATCH("P",Statut_biogéographique!A:A,2,1),"P")</f>
        <v>P</v>
      </c>
      <c r="AP9747" s="4" t="s">
        <v>376</v>
      </c>
      <c r="AR9747" s="4" t="s">
        <v>377</v>
      </c>
    </row>
    <row r="9748" spans="1:44">
      <c r="A9748" s="4" t="s">
        <v>10753</v>
      </c>
      <c r="B9748" s="4">
        <v>221578</v>
      </c>
      <c r="D9748" s="5">
        <v>221578</v>
      </c>
      <c r="E9748" s="6" t="str">
        <f>HYPERLINK("https://inpn.mnhn.fr/espece/cd_nom/221578","Phyllodromica bolivariana Bohn, 1999")</f>
        <v>Phyllodromica bolivariana Bohn, 1999</v>
      </c>
      <c r="AH9748" s="4" t="str">
        <f>HYPERLINK("#Statut_biogéographique!A"&amp;_xlfn.XMATCH("P",Statut_biogéographique!A:A,2,1),"P")</f>
        <v>P</v>
      </c>
      <c r="AP9748" s="4" t="s">
        <v>376</v>
      </c>
      <c r="AR9748" s="4" t="s">
        <v>377</v>
      </c>
    </row>
    <row r="9749" spans="1:44">
      <c r="A9749" s="4" t="s">
        <v>10753</v>
      </c>
      <c r="B9749" s="4">
        <v>221579</v>
      </c>
      <c r="D9749" s="5">
        <v>221579</v>
      </c>
      <c r="E9749" s="6" t="str">
        <f>HYPERLINK("https://inpn.mnhn.fr/espece/cd_nom/221579","Phyllodromica isolata Bohn, 1999")</f>
        <v>Phyllodromica isolata Bohn, 1999</v>
      </c>
      <c r="AH9749" s="4" t="str">
        <f>HYPERLINK("#Statut_biogéographique!A"&amp;_xlfn.XMATCH("E",Statut_biogéographique!A:A,2,1),"E")</f>
        <v>E</v>
      </c>
      <c r="AP9749" s="4" t="s">
        <v>376</v>
      </c>
      <c r="AR9749" s="4" t="s">
        <v>377</v>
      </c>
    </row>
    <row r="9750" spans="1:44">
      <c r="A9750" s="4" t="s">
        <v>10753</v>
      </c>
      <c r="B9750" s="4">
        <v>221580</v>
      </c>
      <c r="D9750" s="5" t="s">
        <v>12908</v>
      </c>
      <c r="E9750" s="6" t="str">
        <f>HYPERLINK("https://inpn.mnhn.fr/espece/cd_nom/221580","Ectobius lucidus (Hagenbach, 1822)")</f>
        <v>Ectobius lucidus (Hagenbach, 1822)</v>
      </c>
      <c r="AH9750" s="4" t="str">
        <f>HYPERLINK("#Statut_biogéographique!A"&amp;_xlfn.XMATCH("P",Statut_biogéographique!A:A,2,1),"P")</f>
        <v>P</v>
      </c>
      <c r="AP9750" s="4" t="s">
        <v>376</v>
      </c>
      <c r="AR9750" s="4" t="s">
        <v>377</v>
      </c>
    </row>
    <row r="9751" spans="1:44">
      <c r="A9751" s="4" t="s">
        <v>10753</v>
      </c>
      <c r="B9751" s="4">
        <v>221581</v>
      </c>
      <c r="D9751" s="5" t="s">
        <v>12909</v>
      </c>
      <c r="E9751" s="6" t="str">
        <f>HYPERLINK("https://inpn.mnhn.fr/espece/cd_nom/221581","Ectobius vittiventris (A.Costa, 1847)")</f>
        <v>Ectobius vittiventris (A.Costa, 1847)</v>
      </c>
      <c r="AH9751" s="4" t="str">
        <f>HYPERLINK("#Statut_biogéographique!A"&amp;_xlfn.XMATCH("P",Statut_biogéographique!A:A,2,1),"P")</f>
        <v>P</v>
      </c>
      <c r="AP9751" s="4" t="s">
        <v>376</v>
      </c>
      <c r="AR9751" s="4" t="s">
        <v>377</v>
      </c>
    </row>
    <row r="9752" spans="1:44">
      <c r="A9752" s="4" t="s">
        <v>10753</v>
      </c>
      <c r="B9752" s="4">
        <v>221582</v>
      </c>
      <c r="D9752" s="5" t="s">
        <v>12910</v>
      </c>
      <c r="E9752" s="6" t="str">
        <f>HYPERLINK("https://inpn.mnhn.fr/espece/cd_nom/221582","Capraiellus panzeri (Stephens, 1835)")</f>
        <v>Capraiellus panzeri (Stephens, 1835)</v>
      </c>
      <c r="AH9752" s="4" t="str">
        <f>HYPERLINK("#Statut_biogéographique!A"&amp;_xlfn.XMATCH("P",Statut_biogéographique!A:A,2,1),"P")</f>
        <v>P</v>
      </c>
      <c r="AP9752" s="4" t="s">
        <v>376</v>
      </c>
      <c r="AR9752" s="4" t="s">
        <v>377</v>
      </c>
    </row>
    <row r="9753" spans="1:44" ht="30">
      <c r="A9753" s="4" t="s">
        <v>10753</v>
      </c>
      <c r="B9753" s="4">
        <v>22160</v>
      </c>
      <c r="D9753" s="5" t="s">
        <v>12911</v>
      </c>
      <c r="E9753" s="6" t="str">
        <f>HYPERLINK("https://inpn.mnhn.fr/espece/cd_nom/22160","Beris chalybata (Forster, 1771)")</f>
        <v>Beris chalybata (Forster, 1771)</v>
      </c>
      <c r="AH9753" s="4" t="str">
        <f>HYPERLINK("#Statut_biogéographique!A"&amp;_xlfn.XMATCH("P",Statut_biogéographique!A:A,2,1),"P")</f>
        <v>P</v>
      </c>
      <c r="AP9753" s="4" t="s">
        <v>376</v>
      </c>
      <c r="AR9753" s="4" t="s">
        <v>377</v>
      </c>
    </row>
    <row r="9754" spans="1:44">
      <c r="A9754" s="4" t="s">
        <v>10753</v>
      </c>
      <c r="B9754" s="4">
        <v>22161</v>
      </c>
      <c r="D9754" s="5" t="s">
        <v>12912</v>
      </c>
      <c r="E9754" s="6" t="str">
        <f>HYPERLINK("https://inpn.mnhn.fr/espece/cd_nom/22161","Beris clavipes (Linnaeus, 1767)")</f>
        <v>Beris clavipes (Linnaeus, 1767)</v>
      </c>
      <c r="AH9754" s="4" t="str">
        <f>HYPERLINK("#Statut_biogéographique!A"&amp;_xlfn.XMATCH("P",Statut_biogéographique!A:A,2,1),"P")</f>
        <v>P</v>
      </c>
      <c r="AP9754" s="4" t="s">
        <v>376</v>
      </c>
      <c r="AR9754" s="4" t="s">
        <v>377</v>
      </c>
    </row>
    <row r="9755" spans="1:44">
      <c r="A9755" s="4" t="s">
        <v>10753</v>
      </c>
      <c r="B9755" s="4">
        <v>221613</v>
      </c>
      <c r="D9755" s="5">
        <v>221613</v>
      </c>
      <c r="E9755" s="6" t="str">
        <f>HYPERLINK("https://inpn.mnhn.fr/espece/cd_nom/221613","Coccus hesperidum Linnaeus, 1758")</f>
        <v>Coccus hesperidum Linnaeus, 1758</v>
      </c>
      <c r="AH9755" s="4" t="str">
        <f>HYPERLINK("#Statut_biogéographique!A"&amp;_xlfn.XMATCH("I",Statut_biogéographique!A:A,2,1),"I")</f>
        <v>I</v>
      </c>
      <c r="AP9755" s="4" t="s">
        <v>376</v>
      </c>
      <c r="AR9755" s="4" t="s">
        <v>377</v>
      </c>
    </row>
    <row r="9756" spans="1:44">
      <c r="A9756" s="4" t="s">
        <v>10753</v>
      </c>
      <c r="B9756" s="4">
        <v>22163</v>
      </c>
      <c r="D9756" s="5" t="s">
        <v>12913</v>
      </c>
      <c r="E9756" s="6" t="str">
        <f>HYPERLINK("https://inpn.mnhn.fr/espece/cd_nom/22163","Beris morrisii Dale, 1841")</f>
        <v>Beris morrisii Dale, 1841</v>
      </c>
      <c r="AH9756" s="4" t="str">
        <f>HYPERLINK("#Statut_biogéographique!A"&amp;_xlfn.XMATCH("P",Statut_biogéographique!A:A,2,1),"P")</f>
        <v>P</v>
      </c>
      <c r="AP9756" s="4" t="s">
        <v>376</v>
      </c>
      <c r="AR9756" s="4" t="s">
        <v>377</v>
      </c>
    </row>
    <row r="9757" spans="1:44">
      <c r="A9757" s="4" t="s">
        <v>10753</v>
      </c>
      <c r="B9757" s="4">
        <v>221648</v>
      </c>
      <c r="D9757" s="5" t="s">
        <v>12914</v>
      </c>
      <c r="E9757" s="6" t="str">
        <f>HYPERLINK("https://inpn.mnhn.fr/espece/cd_nom/221648","Parthenolecanium corni (Bouché, 1844)")</f>
        <v>Parthenolecanium corni (Bouché, 1844)</v>
      </c>
      <c r="AH9757" s="4" t="str">
        <f>HYPERLINK("#Statut_biogéographique!A"&amp;_xlfn.XMATCH("I",Statut_biogéographique!A:A,2,1),"I")</f>
        <v>I</v>
      </c>
      <c r="AP9757" s="4" t="s">
        <v>376</v>
      </c>
      <c r="AR9757" s="4" t="s">
        <v>377</v>
      </c>
    </row>
    <row r="9758" spans="1:44">
      <c r="A9758" s="4" t="s">
        <v>10753</v>
      </c>
      <c r="B9758" s="4">
        <v>221661</v>
      </c>
      <c r="D9758" s="5">
        <v>221661</v>
      </c>
      <c r="E9758" s="6" t="str">
        <f>HYPERLINK("https://inpn.mnhn.fr/espece/cd_nom/221661","Pulvinaria hydrangeae Steinweden, 1946")</f>
        <v>Pulvinaria hydrangeae Steinweden, 1946</v>
      </c>
      <c r="AH9758" s="4" t="str">
        <f>HYPERLINK("#Statut_biogéographique!A"&amp;_xlfn.XMATCH("I",Statut_biogéographique!A:A,2,1),"I")</f>
        <v>I</v>
      </c>
      <c r="AP9758" s="4" t="s">
        <v>376</v>
      </c>
      <c r="AR9758" s="4" t="s">
        <v>377</v>
      </c>
    </row>
    <row r="9759" spans="1:44">
      <c r="A9759" s="4" t="s">
        <v>10753</v>
      </c>
      <c r="B9759" s="4">
        <v>22167</v>
      </c>
      <c r="D9759" s="5">
        <v>22167</v>
      </c>
      <c r="E9759" s="6" t="str">
        <f>HYPERLINK("https://inpn.mnhn.fr/espece/cd_nom/22167","Chorisops nagatomii Rozkošný, 1979")</f>
        <v>Chorisops nagatomii Rozkošný, 1979</v>
      </c>
      <c r="AH9759" s="4" t="str">
        <f>HYPERLINK("#Statut_biogéographique!A"&amp;_xlfn.XMATCH("P",Statut_biogéographique!A:A,2,1),"P")</f>
        <v>P</v>
      </c>
      <c r="AP9759" s="4" t="s">
        <v>376</v>
      </c>
      <c r="AR9759" s="4" t="s">
        <v>377</v>
      </c>
    </row>
    <row r="9760" spans="1:44">
      <c r="A9760" s="4" t="s">
        <v>10753</v>
      </c>
      <c r="B9760" s="4">
        <v>22168</v>
      </c>
      <c r="D9760" s="5" t="s">
        <v>12915</v>
      </c>
      <c r="E9760" s="6" t="str">
        <f>HYPERLINK("https://inpn.mnhn.fr/espece/cd_nom/22168","Chorisops tibialis (Meigen, 1820)")</f>
        <v>Chorisops tibialis (Meigen, 1820)</v>
      </c>
      <c r="AH9760" s="4" t="str">
        <f>HYPERLINK("#Statut_biogéographique!A"&amp;_xlfn.XMATCH("P",Statut_biogéographique!A:A,2,1),"P")</f>
        <v>P</v>
      </c>
      <c r="AP9760" s="4" t="s">
        <v>376</v>
      </c>
      <c r="AR9760" s="4" t="s">
        <v>377</v>
      </c>
    </row>
    <row r="9761" spans="1:44" ht="30">
      <c r="A9761" s="4" t="s">
        <v>10753</v>
      </c>
      <c r="B9761" s="4">
        <v>22170</v>
      </c>
      <c r="D9761" s="5" t="s">
        <v>12916</v>
      </c>
      <c r="E9761" s="6" t="str">
        <f>HYPERLINK("https://inpn.mnhn.fr/espece/cd_nom/22170","Chloromyia formosa (Scopoli, 1763)")</f>
        <v>Chloromyia formosa (Scopoli, 1763)</v>
      </c>
      <c r="AH9761" s="4" t="str">
        <f>HYPERLINK("#Statut_biogéographique!A"&amp;_xlfn.XMATCH("P",Statut_biogéographique!A:A,2,1),"P")</f>
        <v>P</v>
      </c>
      <c r="AP9761" s="4" t="s">
        <v>376</v>
      </c>
      <c r="AR9761" s="4" t="s">
        <v>377</v>
      </c>
    </row>
    <row r="9762" spans="1:44">
      <c r="A9762" s="4" t="s">
        <v>10753</v>
      </c>
      <c r="B9762" s="4">
        <v>22172</v>
      </c>
      <c r="D9762" s="5" t="s">
        <v>12917</v>
      </c>
      <c r="E9762" s="6" t="str">
        <f>HYPERLINK("https://inpn.mnhn.fr/espece/cd_nom/22172","Microchrysa cyaneiventris (Zetterstedt, 1842)")</f>
        <v>Microchrysa cyaneiventris (Zetterstedt, 1842)</v>
      </c>
      <c r="AH9762" s="4" t="str">
        <f>HYPERLINK("#Statut_biogéographique!A"&amp;_xlfn.XMATCH("P",Statut_biogéographique!A:A,2,1),"P")</f>
        <v>P</v>
      </c>
      <c r="AP9762" s="4" t="s">
        <v>376</v>
      </c>
      <c r="AR9762" s="4" t="s">
        <v>377</v>
      </c>
    </row>
    <row r="9763" spans="1:44">
      <c r="A9763" s="4" t="s">
        <v>10753</v>
      </c>
      <c r="B9763" s="4">
        <v>22173</v>
      </c>
      <c r="D9763" s="5" t="s">
        <v>12918</v>
      </c>
      <c r="E9763" s="6" t="str">
        <f>HYPERLINK("https://inpn.mnhn.fr/espece/cd_nom/22173","Microchrysa flavicornis (Meigen, 1822)")</f>
        <v>Microchrysa flavicornis (Meigen, 1822)</v>
      </c>
      <c r="AH9763" s="4" t="str">
        <f>HYPERLINK("#Statut_biogéographique!A"&amp;_xlfn.XMATCH("P",Statut_biogéographique!A:A,2,1),"P")</f>
        <v>P</v>
      </c>
      <c r="AP9763" s="4" t="s">
        <v>376</v>
      </c>
      <c r="AR9763" s="4" t="s">
        <v>377</v>
      </c>
    </row>
    <row r="9764" spans="1:44" ht="30">
      <c r="A9764" s="4" t="s">
        <v>10753</v>
      </c>
      <c r="B9764" s="4">
        <v>22174</v>
      </c>
      <c r="D9764" s="5" t="s">
        <v>12919</v>
      </c>
      <c r="E9764" s="6" t="str">
        <f>HYPERLINK("https://inpn.mnhn.fr/espece/cd_nom/22174","Microchrysa polita (Linnaeus, 1758)")</f>
        <v>Microchrysa polita (Linnaeus, 1758)</v>
      </c>
      <c r="AH9764" s="4" t="str">
        <f>HYPERLINK("#Statut_biogéographique!A"&amp;_xlfn.XMATCH("P",Statut_biogéographique!A:A,2,1),"P")</f>
        <v>P</v>
      </c>
      <c r="AP9764" s="4" t="s">
        <v>376</v>
      </c>
      <c r="AR9764" s="4" t="s">
        <v>377</v>
      </c>
    </row>
    <row r="9765" spans="1:44">
      <c r="A9765" s="4" t="s">
        <v>10753</v>
      </c>
      <c r="B9765" s="4">
        <v>22177</v>
      </c>
      <c r="D9765" s="5" t="s">
        <v>12920</v>
      </c>
      <c r="E9765" s="6" t="str">
        <f>HYPERLINK("https://inpn.mnhn.fr/espece/cd_nom/22177","Sargus bipunctatus (Scopoli, 1763)")</f>
        <v>Sargus bipunctatus (Scopoli, 1763)</v>
      </c>
      <c r="AH9765" s="4" t="str">
        <f>HYPERLINK("#Statut_biogéographique!A"&amp;_xlfn.XMATCH("P",Statut_biogéographique!A:A,2,1),"P")</f>
        <v>P</v>
      </c>
      <c r="AP9765" s="4" t="s">
        <v>376</v>
      </c>
      <c r="AR9765" s="4" t="s">
        <v>377</v>
      </c>
    </row>
    <row r="9766" spans="1:44" ht="30">
      <c r="A9766" s="4" t="s">
        <v>10753</v>
      </c>
      <c r="B9766" s="4">
        <v>22178</v>
      </c>
      <c r="D9766" s="5" t="s">
        <v>12921</v>
      </c>
      <c r="E9766" s="6" t="str">
        <f>HYPERLINK("https://inpn.mnhn.fr/espece/cd_nom/22178","Sargus cuprarius (Linnaeus, 1758)")</f>
        <v>Sargus cuprarius (Linnaeus, 1758)</v>
      </c>
      <c r="AH9766" s="4" t="str">
        <f>HYPERLINK("#Statut_biogéographique!A"&amp;_xlfn.XMATCH("P",Statut_biogéographique!A:A,2,1),"P")</f>
        <v>P</v>
      </c>
      <c r="AP9766" s="4" t="s">
        <v>376</v>
      </c>
      <c r="AR9766" s="4" t="s">
        <v>377</v>
      </c>
    </row>
    <row r="9767" spans="1:44">
      <c r="A9767" s="4" t="s">
        <v>10753</v>
      </c>
      <c r="B9767" s="4">
        <v>22179</v>
      </c>
      <c r="D9767" s="5" t="s">
        <v>12922</v>
      </c>
      <c r="E9767" s="6" t="str">
        <f>HYPERLINK("https://inpn.mnhn.fr/espece/cd_nom/22179","Sargus flavipes Meigen, 1822")</f>
        <v>Sargus flavipes Meigen, 1822</v>
      </c>
      <c r="AH9767" s="4" t="str">
        <f>HYPERLINK("#Statut_biogéographique!A"&amp;_xlfn.XMATCH("P",Statut_biogéographique!A:A,2,1),"P")</f>
        <v>P</v>
      </c>
      <c r="AP9767" s="4" t="s">
        <v>376</v>
      </c>
      <c r="AR9767" s="4" t="s">
        <v>377</v>
      </c>
    </row>
    <row r="9768" spans="1:44" ht="30">
      <c r="A9768" s="4" t="s">
        <v>10753</v>
      </c>
      <c r="B9768" s="4">
        <v>22180</v>
      </c>
      <c r="D9768" s="5" t="s">
        <v>12923</v>
      </c>
      <c r="E9768" s="6" t="str">
        <f>HYPERLINK("https://inpn.mnhn.fr/espece/cd_nom/22180","Sargus iridatus (Scopoli, 1763)")</f>
        <v>Sargus iridatus (Scopoli, 1763)</v>
      </c>
      <c r="AH9768" s="4" t="str">
        <f>HYPERLINK("#Statut_biogéographique!A"&amp;_xlfn.XMATCH("P",Statut_biogéographique!A:A,2,1),"P")</f>
        <v>P</v>
      </c>
      <c r="AP9768" s="4" t="s">
        <v>376</v>
      </c>
      <c r="AR9768" s="4" t="s">
        <v>377</v>
      </c>
    </row>
    <row r="9769" spans="1:44" ht="30">
      <c r="A9769" s="4" t="s">
        <v>10753</v>
      </c>
      <c r="B9769" s="4">
        <v>22182</v>
      </c>
      <c r="D9769" s="5" t="s">
        <v>12924</v>
      </c>
      <c r="E9769" s="6" t="str">
        <f>HYPERLINK("https://inpn.mnhn.fr/espece/cd_nom/22182","Odontomyia angulata (Panzer, 1798)")</f>
        <v>Odontomyia angulata (Panzer, 1798)</v>
      </c>
      <c r="AH9769" s="4" t="str">
        <f>HYPERLINK("#Statut_biogéographique!A"&amp;_xlfn.XMATCH("P",Statut_biogéographique!A:A,2,1),"P")</f>
        <v>P</v>
      </c>
      <c r="AP9769" s="4" t="s">
        <v>376</v>
      </c>
      <c r="AR9769" s="4" t="s">
        <v>377</v>
      </c>
    </row>
    <row r="9770" spans="1:44">
      <c r="A9770" s="4" t="s">
        <v>10753</v>
      </c>
      <c r="B9770" s="4">
        <v>22183</v>
      </c>
      <c r="D9770" s="5" t="s">
        <v>12925</v>
      </c>
      <c r="E9770" s="6" t="str">
        <f>HYPERLINK("https://inpn.mnhn.fr/espece/cd_nom/22183","Odontomyia argentata (Fabricius, 1794)")</f>
        <v>Odontomyia argentata (Fabricius, 1794)</v>
      </c>
      <c r="AH9770" s="4" t="str">
        <f>HYPERLINK("#Statut_biogéographique!A"&amp;_xlfn.XMATCH("P",Statut_biogéographique!A:A,2,1),"P")</f>
        <v>P</v>
      </c>
      <c r="AP9770" s="4" t="s">
        <v>376</v>
      </c>
      <c r="AR9770" s="4" t="s">
        <v>377</v>
      </c>
    </row>
    <row r="9771" spans="1:44" ht="30">
      <c r="A9771" s="4" t="s">
        <v>10753</v>
      </c>
      <c r="B9771" s="4">
        <v>221835</v>
      </c>
      <c r="D9771" s="5" t="s">
        <v>12926</v>
      </c>
      <c r="E9771" s="6" t="str">
        <f>HYPERLINK("https://inpn.mnhn.fr/espece/cd_nom/221835","Planococcus citri (Risso, 1813)")</f>
        <v>Planococcus citri (Risso, 1813)</v>
      </c>
      <c r="AH9771" s="4" t="str">
        <f>HYPERLINK("#Statut_biogéographique!A"&amp;_xlfn.XMATCH("I",Statut_biogéographique!A:A,2,1),"I")</f>
        <v>I</v>
      </c>
      <c r="AP9771" s="4" t="s">
        <v>376</v>
      </c>
      <c r="AR9771" s="4" t="s">
        <v>377</v>
      </c>
    </row>
    <row r="9772" spans="1:44">
      <c r="A9772" s="4" t="s">
        <v>10753</v>
      </c>
      <c r="B9772" s="4">
        <v>22184</v>
      </c>
      <c r="D9772" s="5" t="s">
        <v>12927</v>
      </c>
      <c r="E9772" s="6" t="str">
        <f>HYPERLINK("https://inpn.mnhn.fr/espece/cd_nom/22184","Odontomyia hydroleon (Linnaeus, 1758)")</f>
        <v>Odontomyia hydroleon (Linnaeus, 1758)</v>
      </c>
      <c r="AH9772" s="4" t="str">
        <f>HYPERLINK("#Statut_biogéographique!A"&amp;_xlfn.XMATCH("P",Statut_biogéographique!A:A,2,1),"P")</f>
        <v>P</v>
      </c>
      <c r="AP9772" s="4" t="s">
        <v>376</v>
      </c>
      <c r="AR9772" s="4" t="s">
        <v>377</v>
      </c>
    </row>
    <row r="9773" spans="1:44" ht="45">
      <c r="A9773" s="4" t="s">
        <v>10753</v>
      </c>
      <c r="B9773" s="4">
        <v>22188</v>
      </c>
      <c r="D9773" s="5" t="s">
        <v>12928</v>
      </c>
      <c r="E9773" s="6" t="str">
        <f>HYPERLINK("https://inpn.mnhn.fr/espece/cd_nom/22188","Oplodontha viridula (Fabricius, 1775)")</f>
        <v>Oplodontha viridula (Fabricius, 1775)</v>
      </c>
      <c r="AH9773" s="4" t="str">
        <f>HYPERLINK("#Statut_biogéographique!A"&amp;_xlfn.XMATCH("P",Statut_biogéographique!A:A,2,1),"P")</f>
        <v>P</v>
      </c>
      <c r="AP9773" s="4" t="s">
        <v>376</v>
      </c>
      <c r="AR9773" s="4" t="s">
        <v>377</v>
      </c>
    </row>
    <row r="9774" spans="1:44">
      <c r="A9774" s="4" t="s">
        <v>10753</v>
      </c>
      <c r="B9774" s="4">
        <v>221887</v>
      </c>
      <c r="D9774" s="5" t="s">
        <v>12929</v>
      </c>
      <c r="E9774" s="6" t="str">
        <f>HYPERLINK("https://inpn.mnhn.fr/espece/cd_nom/221887","Sphaerosoma globosum (Sturm, 1807)")</f>
        <v>Sphaerosoma globosum (Sturm, 1807)</v>
      </c>
      <c r="AH9774" s="4" t="str">
        <f>HYPERLINK("#Statut_biogéographique!A"&amp;_xlfn.XMATCH("P",Statut_biogéographique!A:A,2,1),"P")</f>
        <v>P</v>
      </c>
      <c r="AP9774" s="4" t="s">
        <v>376</v>
      </c>
      <c r="AR9774" s="4" t="s">
        <v>377</v>
      </c>
    </row>
    <row r="9775" spans="1:44" ht="30">
      <c r="A9775" s="4" t="s">
        <v>10753</v>
      </c>
      <c r="B9775" s="4">
        <v>221888</v>
      </c>
      <c r="D9775" s="5" t="s">
        <v>12930</v>
      </c>
      <c r="E9775" s="6" t="str">
        <f>HYPERLINK("https://inpn.mnhn.fr/espece/cd_nom/221888","Sphaerosoma pilosum (Panzer, 1793)")</f>
        <v>Sphaerosoma pilosum (Panzer, 1793)</v>
      </c>
      <c r="AH9775" s="4" t="str">
        <f>HYPERLINK("#Statut_biogéographique!A"&amp;_xlfn.XMATCH("P",Statut_biogéographique!A:A,2,1),"P")</f>
        <v>P</v>
      </c>
      <c r="AP9775" s="4" t="s">
        <v>376</v>
      </c>
      <c r="AR9775" s="4" t="s">
        <v>377</v>
      </c>
    </row>
    <row r="9776" spans="1:44">
      <c r="A9776" s="4" t="s">
        <v>10753</v>
      </c>
      <c r="B9776" s="4">
        <v>221889</v>
      </c>
      <c r="D9776" s="5" t="s">
        <v>12931</v>
      </c>
      <c r="E9776" s="6" t="str">
        <f>HYPERLINK("https://inpn.mnhn.fr/espece/cd_nom/221889","Sphaerosoma quercus Samouelle, 1819")</f>
        <v>Sphaerosoma quercus Samouelle, 1819</v>
      </c>
      <c r="AH9776" s="4" t="str">
        <f>HYPERLINK("#Statut_biogéographique!A"&amp;_xlfn.XMATCH("P",Statut_biogéographique!A:A,2,1),"P")</f>
        <v>P</v>
      </c>
      <c r="AP9776" s="4" t="s">
        <v>376</v>
      </c>
      <c r="AR9776" s="4" t="s">
        <v>377</v>
      </c>
    </row>
    <row r="9777" spans="1:44" ht="30">
      <c r="A9777" s="4" t="s">
        <v>10753</v>
      </c>
      <c r="B9777" s="4">
        <v>221893</v>
      </c>
      <c r="D9777" s="5" t="s">
        <v>12932</v>
      </c>
      <c r="E9777" s="6" t="str">
        <f>HYPERLINK("https://inpn.mnhn.fr/espece/cd_nom/221893","Xyletinus pectinatus (Fabricius, 1792)")</f>
        <v>Xyletinus pectinatus (Fabricius, 1792)</v>
      </c>
      <c r="AH9777" s="4" t="str">
        <f>HYPERLINK("#Statut_biogéographique!A"&amp;_xlfn.XMATCH("P",Statut_biogéographique!A:A,2,1),"P")</f>
        <v>P</v>
      </c>
      <c r="AP9777" s="4" t="s">
        <v>376</v>
      </c>
      <c r="AR9777" s="4" t="s">
        <v>377</v>
      </c>
    </row>
    <row r="9778" spans="1:44" ht="45">
      <c r="A9778" s="4" t="s">
        <v>10753</v>
      </c>
      <c r="B9778" s="4">
        <v>22190</v>
      </c>
      <c r="D9778" s="5" t="s">
        <v>12933</v>
      </c>
      <c r="E9778" s="6" t="str">
        <f>HYPERLINK("https://inpn.mnhn.fr/espece/cd_nom/22190","Stratiomys chamaeleon (Linnaeus, 1758)")</f>
        <v>Stratiomys chamaeleon (Linnaeus, 1758)</v>
      </c>
      <c r="F9778" s="5" t="s">
        <v>12934</v>
      </c>
      <c r="AH9778" s="4" t="str">
        <f>HYPERLINK("#Statut_biogéographique!A"&amp;_xlfn.XMATCH("P",Statut_biogéographique!A:A,2,1),"P")</f>
        <v>P</v>
      </c>
      <c r="AP9778" s="4" t="s">
        <v>376</v>
      </c>
      <c r="AR9778" s="4" t="s">
        <v>377</v>
      </c>
    </row>
    <row r="9779" spans="1:44" ht="60">
      <c r="A9779" s="4" t="s">
        <v>10753</v>
      </c>
      <c r="B9779" s="4">
        <v>22191</v>
      </c>
      <c r="D9779" s="5" t="s">
        <v>12935</v>
      </c>
      <c r="E9779" s="6" t="str">
        <f>HYPERLINK("https://inpn.mnhn.fr/espece/cd_nom/22191","Stratiomys longicornis (Scopoli, 1763)")</f>
        <v>Stratiomys longicornis (Scopoli, 1763)</v>
      </c>
      <c r="AH9779" s="4" t="str">
        <f>HYPERLINK("#Statut_biogéographique!A"&amp;_xlfn.XMATCH("P",Statut_biogéographique!A:A,2,1),"P")</f>
        <v>P</v>
      </c>
      <c r="AP9779" s="4" t="s">
        <v>376</v>
      </c>
      <c r="AR9779" s="4" t="s">
        <v>377</v>
      </c>
    </row>
    <row r="9780" spans="1:44" ht="30">
      <c r="A9780" s="4" t="s">
        <v>10753</v>
      </c>
      <c r="B9780" s="4">
        <v>221910</v>
      </c>
      <c r="D9780" s="5" t="s">
        <v>12936</v>
      </c>
      <c r="E9780" s="6" t="str">
        <f>HYPERLINK("https://inpn.mnhn.fr/espece/cd_nom/221910","Lasioderma serricorne (Fabricius, 1792)")</f>
        <v>Lasioderma serricorne (Fabricius, 1792)</v>
      </c>
      <c r="AH9780" s="4" t="str">
        <f>HYPERLINK("#Statut_biogéographique!A"&amp;_xlfn.XMATCH("P",Statut_biogéographique!A:A,2,1),"P")</f>
        <v>P</v>
      </c>
      <c r="AP9780" s="4" t="s">
        <v>376</v>
      </c>
      <c r="AR9780" s="4" t="s">
        <v>377</v>
      </c>
    </row>
    <row r="9781" spans="1:44" ht="45">
      <c r="A9781" s="4" t="s">
        <v>10753</v>
      </c>
      <c r="B9781" s="4">
        <v>221914</v>
      </c>
      <c r="D9781" s="5" t="s">
        <v>12937</v>
      </c>
      <c r="E9781" s="6" t="str">
        <f>HYPERLINK("https://inpn.mnhn.fr/espece/cd_nom/221914","Xestobium rufovillosum (De Geer, 1774)")</f>
        <v>Xestobium rufovillosum (De Geer, 1774)</v>
      </c>
      <c r="F9781" s="5" t="s">
        <v>12938</v>
      </c>
      <c r="AH9781" s="4" t="str">
        <f>HYPERLINK("#Statut_biogéographique!A"&amp;_xlfn.XMATCH("P",Statut_biogéographique!A:A,2,1),"P")</f>
        <v>P</v>
      </c>
      <c r="AP9781" s="4" t="s">
        <v>376</v>
      </c>
      <c r="AR9781" s="4" t="s">
        <v>377</v>
      </c>
    </row>
    <row r="9782" spans="1:44">
      <c r="A9782" s="4" t="s">
        <v>10753</v>
      </c>
      <c r="B9782" s="4">
        <v>221917</v>
      </c>
      <c r="D9782" s="5" t="s">
        <v>12939</v>
      </c>
      <c r="E9782" s="6" t="str">
        <f>HYPERLINK("https://inpn.mnhn.fr/espece/cd_nom/221917","Ochina ptinoides (Marsham, 1802)")</f>
        <v>Ochina ptinoides (Marsham, 1802)</v>
      </c>
      <c r="F9782" s="5" t="s">
        <v>12940</v>
      </c>
      <c r="AH9782" s="4" t="str">
        <f>HYPERLINK("#Statut_biogéographique!A"&amp;_xlfn.XMATCH("P",Statut_biogéographique!A:A,2,1),"P")</f>
        <v>P</v>
      </c>
      <c r="AP9782" s="4" t="s">
        <v>376</v>
      </c>
      <c r="AR9782" s="4" t="s">
        <v>377</v>
      </c>
    </row>
    <row r="9783" spans="1:44">
      <c r="A9783" s="4" t="s">
        <v>10753</v>
      </c>
      <c r="B9783" s="4">
        <v>221918</v>
      </c>
      <c r="D9783" s="5" t="s">
        <v>12941</v>
      </c>
      <c r="E9783" s="6" t="str">
        <f>HYPERLINK("https://inpn.mnhn.fr/espece/cd_nom/221918","Ochina latreillii (Bonelli, 1812)")</f>
        <v>Ochina latreillii (Bonelli, 1812)</v>
      </c>
      <c r="AH9783" s="4" t="str">
        <f>HYPERLINK("#Statut_biogéographique!A"&amp;_xlfn.XMATCH("P",Statut_biogéographique!A:A,2,1),"P")</f>
        <v>P</v>
      </c>
      <c r="AP9783" s="4" t="s">
        <v>376</v>
      </c>
      <c r="AR9783" s="4" t="s">
        <v>377</v>
      </c>
    </row>
    <row r="9784" spans="1:44">
      <c r="A9784" s="4" t="s">
        <v>10753</v>
      </c>
      <c r="B9784" s="4">
        <v>221920</v>
      </c>
      <c r="D9784" s="5" t="s">
        <v>12942</v>
      </c>
      <c r="E9784" s="6" t="str">
        <f>HYPERLINK("https://inpn.mnhn.fr/espece/cd_nom/221920","Ernobius abietis (Fabricius, 1792)")</f>
        <v>Ernobius abietis (Fabricius, 1792)</v>
      </c>
      <c r="AH9784" s="4" t="str">
        <f>HYPERLINK("#Statut_biogéographique!A"&amp;_xlfn.XMATCH("P",Statut_biogéographique!A:A,2,1),"P")</f>
        <v>P</v>
      </c>
      <c r="AP9784" s="4" t="s">
        <v>376</v>
      </c>
      <c r="AR9784" s="4" t="s">
        <v>377</v>
      </c>
    </row>
    <row r="9785" spans="1:44">
      <c r="A9785" s="4" t="s">
        <v>10753</v>
      </c>
      <c r="B9785" s="4">
        <v>221921</v>
      </c>
      <c r="D9785" s="5" t="s">
        <v>12943</v>
      </c>
      <c r="E9785" s="6" t="str">
        <f>HYPERLINK("https://inpn.mnhn.fr/espece/cd_nom/221921","Ernobius angusticollis (Ratzeburg, 1837)")</f>
        <v>Ernobius angusticollis (Ratzeburg, 1837)</v>
      </c>
      <c r="AH9785" s="4" t="str">
        <f>HYPERLINK("#Statut_biogéographique!A"&amp;_xlfn.XMATCH("P",Statut_biogéographique!A:A,2,1),"P")</f>
        <v>P</v>
      </c>
      <c r="AP9785" s="4" t="s">
        <v>376</v>
      </c>
      <c r="AR9785" s="4" t="s">
        <v>377</v>
      </c>
    </row>
    <row r="9786" spans="1:44" ht="30">
      <c r="A9786" s="4" t="s">
        <v>10753</v>
      </c>
      <c r="B9786" s="4">
        <v>221929</v>
      </c>
      <c r="D9786" s="5" t="s">
        <v>12944</v>
      </c>
      <c r="E9786" s="6" t="str">
        <f>HYPERLINK("https://inpn.mnhn.fr/espece/cd_nom/221929","Ernobius longicornis (Sturm, 1837)")</f>
        <v>Ernobius longicornis (Sturm, 1837)</v>
      </c>
      <c r="AH9786" s="4" t="str">
        <f>HYPERLINK("#Statut_biogéographique!A"&amp;_xlfn.XMATCH("P",Statut_biogéographique!A:A,2,1),"P")</f>
        <v>P</v>
      </c>
      <c r="AP9786" s="4" t="s">
        <v>376</v>
      </c>
      <c r="AR9786" s="4" t="s">
        <v>377</v>
      </c>
    </row>
    <row r="9787" spans="1:44" ht="30">
      <c r="A9787" s="4" t="s">
        <v>10753</v>
      </c>
      <c r="B9787" s="4">
        <v>22193</v>
      </c>
      <c r="D9787" s="5" t="s">
        <v>12945</v>
      </c>
      <c r="E9787" s="6" t="str">
        <f>HYPERLINK("https://inpn.mnhn.fr/espece/cd_nom/22193","Stratiomys singularior (Harris, 1778)")</f>
        <v>Stratiomys singularior (Harris, 1778)</v>
      </c>
      <c r="AH9787" s="4" t="str">
        <f>HYPERLINK("#Statut_biogéographique!A"&amp;_xlfn.XMATCH("P",Statut_biogéographique!A:A,2,1),"P")</f>
        <v>P</v>
      </c>
      <c r="AP9787" s="4" t="s">
        <v>376</v>
      </c>
      <c r="AR9787" s="4" t="s">
        <v>377</v>
      </c>
    </row>
    <row r="9788" spans="1:44" ht="30">
      <c r="A9788" s="4" t="s">
        <v>10753</v>
      </c>
      <c r="B9788" s="4">
        <v>221944</v>
      </c>
      <c r="D9788" s="5" t="s">
        <v>12946</v>
      </c>
      <c r="E9788" s="6" t="str">
        <f>HYPERLINK("https://inpn.mnhn.fr/espece/cd_nom/221944","Ptinus rufipes Olivier, 1790")</f>
        <v>Ptinus rufipes Olivier, 1790</v>
      </c>
      <c r="AH9788" s="4" t="str">
        <f>HYPERLINK("#Statut_biogéographique!A"&amp;_xlfn.XMATCH("P",Statut_biogéographique!A:A,2,1),"P")</f>
        <v>P</v>
      </c>
      <c r="AP9788" s="4" t="s">
        <v>376</v>
      </c>
      <c r="AR9788" s="4" t="s">
        <v>377</v>
      </c>
    </row>
    <row r="9789" spans="1:44">
      <c r="A9789" s="4" t="s">
        <v>10753</v>
      </c>
      <c r="B9789" s="4">
        <v>221948</v>
      </c>
      <c r="D9789" s="5">
        <v>221948</v>
      </c>
      <c r="E9789" s="6" t="str">
        <f>HYPERLINK("https://inpn.mnhn.fr/espece/cd_nom/221948","Ptinus dubius Sturm, 1837")</f>
        <v>Ptinus dubius Sturm, 1837</v>
      </c>
      <c r="AH9789" s="4" t="str">
        <f>HYPERLINK("#Statut_biogéographique!A"&amp;_xlfn.XMATCH("P",Statut_biogéographique!A:A,2,1),"P")</f>
        <v>P</v>
      </c>
      <c r="AP9789" s="4" t="s">
        <v>376</v>
      </c>
      <c r="AR9789" s="4" t="s">
        <v>377</v>
      </c>
    </row>
    <row r="9790" spans="1:44">
      <c r="A9790" s="4" t="s">
        <v>10753</v>
      </c>
      <c r="B9790" s="4">
        <v>221950</v>
      </c>
      <c r="D9790" s="5" t="s">
        <v>12947</v>
      </c>
      <c r="E9790" s="6" t="str">
        <f>HYPERLINK("https://inpn.mnhn.fr/espece/cd_nom/221950","Ptinus sexpunctatus Panzer, 1789")</f>
        <v>Ptinus sexpunctatus Panzer, 1789</v>
      </c>
      <c r="AH9790" s="4" t="str">
        <f>HYPERLINK("#Statut_biogéographique!A"&amp;_xlfn.XMATCH("P",Statut_biogéographique!A:A,2,1),"P")</f>
        <v>P</v>
      </c>
      <c r="AP9790" s="4" t="s">
        <v>376</v>
      </c>
      <c r="AR9790" s="4" t="s">
        <v>377</v>
      </c>
    </row>
    <row r="9791" spans="1:44" ht="45">
      <c r="A9791" s="4" t="s">
        <v>10753</v>
      </c>
      <c r="B9791" s="4">
        <v>221960</v>
      </c>
      <c r="D9791" s="5" t="s">
        <v>12948</v>
      </c>
      <c r="E9791" s="6" t="str">
        <f>HYPERLINK("https://inpn.mnhn.fr/espece/cd_nom/221960","Ptinus fur (Linnaeus, 1758)")</f>
        <v>Ptinus fur (Linnaeus, 1758)</v>
      </c>
      <c r="AH9791" s="4" t="str">
        <f>HYPERLINK("#Statut_biogéographique!A"&amp;_xlfn.XMATCH("C",Statut_biogéographique!A:A,2,1),"C")</f>
        <v>C</v>
      </c>
      <c r="AP9791" s="4" t="s">
        <v>376</v>
      </c>
      <c r="AR9791" s="4" t="s">
        <v>377</v>
      </c>
    </row>
    <row r="9792" spans="1:44" ht="60">
      <c r="A9792" s="4" t="s">
        <v>10753</v>
      </c>
      <c r="B9792" s="4">
        <v>221961</v>
      </c>
      <c r="D9792" s="5" t="s">
        <v>12949</v>
      </c>
      <c r="E9792" s="6" t="str">
        <f>HYPERLINK("https://inpn.mnhn.fr/espece/cd_nom/221961","Ptinus latro Fabricius, 1775")</f>
        <v>Ptinus latro Fabricius, 1775</v>
      </c>
      <c r="AH9792" s="4" t="str">
        <f>HYPERLINK("#Statut_biogéographique!A"&amp;_xlfn.XMATCH("C",Statut_biogéographique!A:A,2,1),"C")</f>
        <v>C</v>
      </c>
      <c r="AP9792" s="4" t="s">
        <v>376</v>
      </c>
      <c r="AR9792" s="4" t="s">
        <v>377</v>
      </c>
    </row>
    <row r="9793" spans="1:44">
      <c r="A9793" s="4" t="s">
        <v>10753</v>
      </c>
      <c r="B9793" s="4">
        <v>22197</v>
      </c>
      <c r="D9793" s="5">
        <v>22197</v>
      </c>
      <c r="E9793" s="6" t="str">
        <f>HYPERLINK("https://inpn.mnhn.fr/espece/cd_nom/22197","Nemotelus nigrinus Fallén, 1817")</f>
        <v>Nemotelus nigrinus Fallén, 1817</v>
      </c>
      <c r="AH9793" s="4" t="str">
        <f>HYPERLINK("#Statut_biogéographique!A"&amp;_xlfn.XMATCH("P",Statut_biogéographique!A:A,2,1),"P")</f>
        <v>P</v>
      </c>
      <c r="AP9793" s="4" t="s">
        <v>376</v>
      </c>
      <c r="AR9793" s="4" t="s">
        <v>377</v>
      </c>
    </row>
    <row r="9794" spans="1:44">
      <c r="A9794" s="4" t="s">
        <v>10753</v>
      </c>
      <c r="B9794" s="4">
        <v>221977</v>
      </c>
      <c r="D9794" s="5" t="s">
        <v>12950</v>
      </c>
      <c r="E9794" s="6" t="str">
        <f>HYPERLINK("https://inpn.mnhn.fr/espece/cd_nom/221977","Niptus hololeucus (Faldermann, 1835)")</f>
        <v>Niptus hololeucus (Faldermann, 1835)</v>
      </c>
      <c r="AH9794" s="4" t="str">
        <f>HYPERLINK("#Statut_biogéographique!A"&amp;_xlfn.XMATCH("P",Statut_biogéographique!A:A,2,1),"P")</f>
        <v>P</v>
      </c>
      <c r="AP9794" s="4" t="s">
        <v>376</v>
      </c>
      <c r="AR9794" s="4" t="s">
        <v>377</v>
      </c>
    </row>
    <row r="9795" spans="1:44">
      <c r="A9795" s="4" t="s">
        <v>10753</v>
      </c>
      <c r="B9795" s="4">
        <v>22198</v>
      </c>
      <c r="D9795" s="5" t="s">
        <v>12951</v>
      </c>
      <c r="E9795" s="6" t="str">
        <f>HYPERLINK("https://inpn.mnhn.fr/espece/cd_nom/22198","Nemotelus notatus Zetterstedt, 1842")</f>
        <v>Nemotelus notatus Zetterstedt, 1842</v>
      </c>
      <c r="AH9795" s="4" t="str">
        <f>HYPERLINK("#Statut_biogéographique!A"&amp;_xlfn.XMATCH("P",Statut_biogéographique!A:A,2,1),"P")</f>
        <v>P</v>
      </c>
      <c r="AP9795" s="4" t="s">
        <v>376</v>
      </c>
      <c r="AR9795" s="4" t="s">
        <v>377</v>
      </c>
    </row>
    <row r="9796" spans="1:44" ht="45">
      <c r="A9796" s="4" t="s">
        <v>10753</v>
      </c>
      <c r="B9796" s="4">
        <v>22199</v>
      </c>
      <c r="D9796" s="5" t="s">
        <v>12952</v>
      </c>
      <c r="E9796" s="6" t="str">
        <f>HYPERLINK("https://inpn.mnhn.fr/espece/cd_nom/22199","Nemotelus pantherinus (Linnaeus, 1758)")</f>
        <v>Nemotelus pantherinus (Linnaeus, 1758)</v>
      </c>
      <c r="AH9796" s="4" t="str">
        <f>HYPERLINK("#Statut_biogéographique!A"&amp;_xlfn.XMATCH("P",Statut_biogéographique!A:A,2,1),"P")</f>
        <v>P</v>
      </c>
      <c r="AP9796" s="4" t="s">
        <v>376</v>
      </c>
      <c r="AR9796" s="4" t="s">
        <v>377</v>
      </c>
    </row>
    <row r="9797" spans="1:44">
      <c r="A9797" s="4" t="s">
        <v>10753</v>
      </c>
      <c r="B9797" s="4">
        <v>221992</v>
      </c>
      <c r="D9797" s="5">
        <v>221992</v>
      </c>
      <c r="E9797" s="6" t="str">
        <f>HYPERLINK("https://inpn.mnhn.fr/espece/cd_nom/221992","Mesocoelopus collaris Mulsant &amp; Rey, 1864")</f>
        <v>Mesocoelopus collaris Mulsant &amp; Rey, 1864</v>
      </c>
      <c r="AH9797" s="4" t="str">
        <f>HYPERLINK("#Statut_biogéographique!A"&amp;_xlfn.XMATCH("P",Statut_biogéographique!A:A,2,1),"P")</f>
        <v>P</v>
      </c>
      <c r="AP9797" s="4" t="s">
        <v>376</v>
      </c>
      <c r="AR9797" s="4" t="s">
        <v>377</v>
      </c>
    </row>
    <row r="9798" spans="1:44" ht="30">
      <c r="A9798" s="4" t="s">
        <v>10753</v>
      </c>
      <c r="B9798" s="4">
        <v>221993</v>
      </c>
      <c r="D9798" s="5" t="s">
        <v>12953</v>
      </c>
      <c r="E9798" s="6" t="str">
        <f>HYPERLINK("https://inpn.mnhn.fr/espece/cd_nom/221993","Mesocoelopus niger (P.W.J. Müller, 1821)")</f>
        <v>Mesocoelopus niger (P.W.J. Müller, 1821)</v>
      </c>
      <c r="AH9798" s="4" t="str">
        <f>HYPERLINK("#Statut_biogéographique!A"&amp;_xlfn.XMATCH("P",Statut_biogéographique!A:A,2,1),"P")</f>
        <v>P</v>
      </c>
      <c r="AP9798" s="4" t="s">
        <v>376</v>
      </c>
      <c r="AR9798" s="4" t="s">
        <v>377</v>
      </c>
    </row>
    <row r="9799" spans="1:44">
      <c r="A9799" s="4" t="s">
        <v>10753</v>
      </c>
      <c r="B9799" s="4">
        <v>221998</v>
      </c>
      <c r="D9799" s="5" t="s">
        <v>12954</v>
      </c>
      <c r="E9799" s="6" t="str">
        <f>HYPERLINK("https://inpn.mnhn.fr/espece/cd_nom/221998","Stagetus pilulus (Aubé, 1861)")</f>
        <v>Stagetus pilulus (Aubé, 1861)</v>
      </c>
      <c r="AH9799" s="4" t="str">
        <f>HYPERLINK("#Statut_biogéographique!A"&amp;_xlfn.XMATCH("P",Statut_biogéographique!A:A,2,1),"P")</f>
        <v>P</v>
      </c>
      <c r="AP9799" s="4" t="s">
        <v>376</v>
      </c>
      <c r="AR9799" s="4" t="s">
        <v>377</v>
      </c>
    </row>
    <row r="9800" spans="1:44" ht="30">
      <c r="A9800" s="4" t="s">
        <v>10753</v>
      </c>
      <c r="B9800" s="4">
        <v>222001</v>
      </c>
      <c r="D9800" s="5" t="s">
        <v>12955</v>
      </c>
      <c r="E9800" s="6" t="str">
        <f>HYPERLINK("https://inpn.mnhn.fr/espece/cd_nom/222001","Dorcatoma dresdensis Herbst, 1791")</f>
        <v>Dorcatoma dresdensis Herbst, 1791</v>
      </c>
      <c r="AH9800" s="4" t="str">
        <f>HYPERLINK("#Statut_biogéographique!A"&amp;_xlfn.XMATCH("P",Statut_biogéographique!A:A,2,1),"P")</f>
        <v>P</v>
      </c>
      <c r="AP9800" s="4" t="s">
        <v>376</v>
      </c>
      <c r="AR9800" s="4" t="s">
        <v>377</v>
      </c>
    </row>
    <row r="9801" spans="1:44">
      <c r="A9801" s="4" t="s">
        <v>10753</v>
      </c>
      <c r="B9801" s="4">
        <v>222002</v>
      </c>
      <c r="D9801" s="5" t="s">
        <v>12956</v>
      </c>
      <c r="E9801" s="6" t="str">
        <f>HYPERLINK("https://inpn.mnhn.fr/espece/cd_nom/222002","Dorcatoma punctulata Mulsant &amp; Rey, 1864")</f>
        <v>Dorcatoma punctulata Mulsant &amp; Rey, 1864</v>
      </c>
      <c r="AH9801" s="4" t="str">
        <f>HYPERLINK("#Statut_biogéographique!A"&amp;_xlfn.XMATCH("P",Statut_biogéographique!A:A,2,1),"P")</f>
        <v>P</v>
      </c>
      <c r="AP9801" s="4" t="s">
        <v>376</v>
      </c>
      <c r="AR9801" s="4" t="s">
        <v>377</v>
      </c>
    </row>
    <row r="9802" spans="1:44">
      <c r="A9802" s="4" t="s">
        <v>10753</v>
      </c>
      <c r="B9802" s="4">
        <v>222005</v>
      </c>
      <c r="D9802" s="5">
        <v>222005</v>
      </c>
      <c r="E9802" s="6" t="str">
        <f>HYPERLINK("https://inpn.mnhn.fr/espece/cd_nom/222005","Dorcatoma minor Zahradník, 1993")</f>
        <v>Dorcatoma minor Zahradník, 1993</v>
      </c>
      <c r="AH9802" s="4" t="str">
        <f>HYPERLINK("#Statut_biogéographique!A"&amp;_xlfn.XMATCH("P",Statut_biogéographique!A:A,2,1),"P")</f>
        <v>P</v>
      </c>
      <c r="AP9802" s="4" t="s">
        <v>376</v>
      </c>
      <c r="AR9802" s="4" t="s">
        <v>377</v>
      </c>
    </row>
    <row r="9803" spans="1:44">
      <c r="A9803" s="4" t="s">
        <v>10753</v>
      </c>
      <c r="B9803" s="4">
        <v>222006</v>
      </c>
      <c r="D9803" s="5" t="s">
        <v>12957</v>
      </c>
      <c r="E9803" s="6" t="str">
        <f>HYPERLINK("https://inpn.mnhn.fr/espece/cd_nom/222006","Dorcatoma substriata Hummel, 1829")</f>
        <v>Dorcatoma substriata Hummel, 1829</v>
      </c>
      <c r="AH9803" s="4" t="str">
        <f>HYPERLINK("#Statut_biogéographique!A"&amp;_xlfn.XMATCH("P",Statut_biogéographique!A:A,2,1),"P")</f>
        <v>P</v>
      </c>
      <c r="AP9803" s="4" t="s">
        <v>376</v>
      </c>
      <c r="AR9803" s="4" t="s">
        <v>377</v>
      </c>
    </row>
    <row r="9804" spans="1:44">
      <c r="A9804" s="4" t="s">
        <v>10753</v>
      </c>
      <c r="B9804" s="4">
        <v>222007</v>
      </c>
      <c r="D9804" s="5" t="s">
        <v>12958</v>
      </c>
      <c r="E9804" s="6" t="str">
        <f>HYPERLINK("https://inpn.mnhn.fr/espece/cd_nom/222007","Dorcatoma flavicornis (Fabricius, 1792)")</f>
        <v>Dorcatoma flavicornis (Fabricius, 1792)</v>
      </c>
      <c r="AH9804" s="4" t="str">
        <f>HYPERLINK("#Statut_biogéographique!A"&amp;_xlfn.XMATCH("P",Statut_biogéographique!A:A,2,1),"P")</f>
        <v>P</v>
      </c>
      <c r="AP9804" s="4" t="s">
        <v>376</v>
      </c>
      <c r="AR9804" s="4" t="s">
        <v>377</v>
      </c>
    </row>
    <row r="9805" spans="1:44" ht="30">
      <c r="A9805" s="4" t="s">
        <v>10753</v>
      </c>
      <c r="B9805" s="4">
        <v>222016</v>
      </c>
      <c r="D9805" s="5" t="s">
        <v>12959</v>
      </c>
      <c r="E9805" s="6" t="str">
        <f>HYPERLINK("https://inpn.mnhn.fr/espece/cd_nom/222016","Gibbium psylloides (Czenpinski, 1778)")</f>
        <v>Gibbium psylloides (Czenpinski, 1778)</v>
      </c>
      <c r="AH9805" s="4" t="str">
        <f>HYPERLINK("#Statut_biogéographique!A"&amp;_xlfn.XMATCH("C",Statut_biogéographique!A:A,2,1),"C")</f>
        <v>C</v>
      </c>
      <c r="AP9805" s="4" t="s">
        <v>376</v>
      </c>
      <c r="AR9805" s="4" t="s">
        <v>377</v>
      </c>
    </row>
    <row r="9806" spans="1:44" ht="60">
      <c r="A9806" s="4" t="s">
        <v>10753</v>
      </c>
      <c r="B9806" s="4">
        <v>222017</v>
      </c>
      <c r="D9806" s="5" t="s">
        <v>12960</v>
      </c>
      <c r="E9806" s="6" t="str">
        <f>HYPERLINK("https://inpn.mnhn.fr/espece/cd_nom/222017","Stegobium paniceum (Linnaeus, 1758)")</f>
        <v>Stegobium paniceum (Linnaeus, 1758)</v>
      </c>
      <c r="AH9806" s="4" t="str">
        <f>HYPERLINK("#Statut_biogéographique!A"&amp;_xlfn.XMATCH("C",Statut_biogéographique!A:A,2,1),"C")</f>
        <v>C</v>
      </c>
      <c r="AP9806" s="4" t="s">
        <v>376</v>
      </c>
      <c r="AR9806" s="4" t="s">
        <v>377</v>
      </c>
    </row>
    <row r="9807" spans="1:44">
      <c r="A9807" s="4" t="s">
        <v>10753</v>
      </c>
      <c r="B9807" s="4">
        <v>222018</v>
      </c>
      <c r="D9807" s="5" t="s">
        <v>12961</v>
      </c>
      <c r="E9807" s="6" t="str">
        <f>HYPERLINK("https://inpn.mnhn.fr/espece/cd_nom/222018","Priobium carpini (Herbst, 1793)")</f>
        <v>Priobium carpini (Herbst, 1793)</v>
      </c>
      <c r="AH9807" s="4" t="str">
        <f>HYPERLINK("#Statut_biogéographique!A"&amp;_xlfn.XMATCH("P",Statut_biogéographique!A:A,2,1),"P")</f>
        <v>P</v>
      </c>
      <c r="AP9807" s="4" t="s">
        <v>376</v>
      </c>
      <c r="AR9807" s="4" t="s">
        <v>377</v>
      </c>
    </row>
    <row r="9808" spans="1:44" ht="30">
      <c r="A9808" s="4" t="s">
        <v>10753</v>
      </c>
      <c r="B9808" s="4">
        <v>222022</v>
      </c>
      <c r="D9808" s="5" t="s">
        <v>12962</v>
      </c>
      <c r="E9808" s="6" t="str">
        <f>HYPERLINK("https://inpn.mnhn.fr/espece/cd_nom/222022","Microbregma emarginatum (Duftschmid, 1825)")</f>
        <v>Microbregma emarginatum (Duftschmid, 1825)</v>
      </c>
      <c r="AH9808" s="4" t="str">
        <f>HYPERLINK("#Statut_biogéographique!A"&amp;_xlfn.XMATCH("P",Statut_biogéographique!A:A,2,1),"P")</f>
        <v>P</v>
      </c>
      <c r="AP9808" s="4" t="s">
        <v>376</v>
      </c>
      <c r="AR9808" s="4" t="s">
        <v>377</v>
      </c>
    </row>
    <row r="9809" spans="1:44">
      <c r="A9809" s="4" t="s">
        <v>10753</v>
      </c>
      <c r="B9809" s="4">
        <v>222023</v>
      </c>
      <c r="D9809" s="5" t="s">
        <v>12963</v>
      </c>
      <c r="E9809" s="6" t="str">
        <f>HYPERLINK("https://inpn.mnhn.fr/espece/cd_nom/222023","Hemicoelus costatus (Aragona, 1830)")</f>
        <v>Hemicoelus costatus (Aragona, 1830)</v>
      </c>
      <c r="AH9809" s="4" t="str">
        <f>HYPERLINK("#Statut_biogéographique!A"&amp;_xlfn.XMATCH("P",Statut_biogéographique!A:A,2,1),"P")</f>
        <v>P</v>
      </c>
      <c r="AP9809" s="4" t="s">
        <v>376</v>
      </c>
      <c r="AR9809" s="4" t="s">
        <v>377</v>
      </c>
    </row>
    <row r="9810" spans="1:44" ht="30">
      <c r="A9810" s="4" t="s">
        <v>10753</v>
      </c>
      <c r="B9810" s="4">
        <v>222024</v>
      </c>
      <c r="D9810" s="5" t="s">
        <v>12964</v>
      </c>
      <c r="E9810" s="6" t="str">
        <f>HYPERLINK("https://inpn.mnhn.fr/espece/cd_nom/222024","Hemicoelus fulvicornis (Sturm, 1837)")</f>
        <v>Hemicoelus fulvicornis (Sturm, 1837)</v>
      </c>
      <c r="AH9810" s="4" t="str">
        <f>HYPERLINK("#Statut_biogéographique!A"&amp;_xlfn.XMATCH("P",Statut_biogéographique!A:A,2,1),"P")</f>
        <v>P</v>
      </c>
      <c r="AP9810" s="4" t="s">
        <v>376</v>
      </c>
      <c r="AR9810" s="4" t="s">
        <v>377</v>
      </c>
    </row>
    <row r="9811" spans="1:44" ht="30">
      <c r="A9811" s="4" t="s">
        <v>10753</v>
      </c>
      <c r="B9811" s="4">
        <v>222027</v>
      </c>
      <c r="D9811" s="5" t="s">
        <v>12965</v>
      </c>
      <c r="E9811" s="6" t="str">
        <f>HYPERLINK("https://inpn.mnhn.fr/espece/cd_nom/222027","Hadrobregmus denticollis (Creutzer in Panzer, 1796)")</f>
        <v>Hadrobregmus denticollis (Creutzer in Panzer, 1796)</v>
      </c>
      <c r="AH9811" s="4" t="str">
        <f>HYPERLINK("#Statut_biogéographique!A"&amp;_xlfn.XMATCH("P",Statut_biogéographique!A:A,2,1),"P")</f>
        <v>P</v>
      </c>
      <c r="AP9811" s="4" t="s">
        <v>376</v>
      </c>
      <c r="AR9811" s="4" t="s">
        <v>377</v>
      </c>
    </row>
    <row r="9812" spans="1:44" ht="30">
      <c r="A9812" s="4" t="s">
        <v>10753</v>
      </c>
      <c r="B9812" s="4">
        <v>222028</v>
      </c>
      <c r="D9812" s="5" t="s">
        <v>12966</v>
      </c>
      <c r="E9812" s="6" t="str">
        <f>HYPERLINK("https://inpn.mnhn.fr/espece/cd_nom/222028","Hadrobregmus pertinax (Linnaeus, 1758)")</f>
        <v>Hadrobregmus pertinax (Linnaeus, 1758)</v>
      </c>
      <c r="AH9812" s="4" t="str">
        <f>HYPERLINK("#Statut_biogéographique!A"&amp;_xlfn.XMATCH("P",Statut_biogéographique!A:A,2,1),"P")</f>
        <v>P</v>
      </c>
      <c r="AP9812" s="4" t="s">
        <v>376</v>
      </c>
      <c r="AR9812" s="4" t="s">
        <v>377</v>
      </c>
    </row>
    <row r="9813" spans="1:44">
      <c r="A9813" s="4" t="s">
        <v>10753</v>
      </c>
      <c r="B9813" s="4">
        <v>22203</v>
      </c>
      <c r="D9813" s="5" t="s">
        <v>12967</v>
      </c>
      <c r="E9813" s="6" t="str">
        <f>HYPERLINK("https://inpn.mnhn.fr/espece/cd_nom/22203","Oxycera leonina (Panzer, 1798)")</f>
        <v>Oxycera leonina (Panzer, 1798)</v>
      </c>
      <c r="AH9813" s="4" t="str">
        <f>HYPERLINK("#Statut_biogéographique!A"&amp;_xlfn.XMATCH("P",Statut_biogéographique!A:A,2,1),"P")</f>
        <v>P</v>
      </c>
      <c r="AP9813" s="4" t="s">
        <v>376</v>
      </c>
      <c r="AR9813" s="4" t="s">
        <v>377</v>
      </c>
    </row>
    <row r="9814" spans="1:44" ht="30">
      <c r="A9814" s="4" t="s">
        <v>10753</v>
      </c>
      <c r="B9814" s="4">
        <v>222030</v>
      </c>
      <c r="D9814" s="5" t="s">
        <v>12968</v>
      </c>
      <c r="E9814" s="6" t="str">
        <f>HYPERLINK("https://inpn.mnhn.fr/espece/cd_nom/222030","Gastrallus immarginatus (P.W.J. Müller, 1821)")</f>
        <v>Gastrallus immarginatus (P.W.J. Müller, 1821)</v>
      </c>
      <c r="AH9814" s="4" t="str">
        <f>HYPERLINK("#Statut_biogéographique!A"&amp;_xlfn.XMATCH("P",Statut_biogéographique!A:A,2,1),"P")</f>
        <v>P</v>
      </c>
      <c r="AP9814" s="4" t="s">
        <v>376</v>
      </c>
      <c r="AR9814" s="4" t="s">
        <v>377</v>
      </c>
    </row>
    <row r="9815" spans="1:44">
      <c r="A9815" s="4" t="s">
        <v>10753</v>
      </c>
      <c r="B9815" s="4">
        <v>222031</v>
      </c>
      <c r="D9815" s="5">
        <v>222031</v>
      </c>
      <c r="E9815" s="6" t="str">
        <f>HYPERLINK("https://inpn.mnhn.fr/espece/cd_nom/222031","Gastrallus knizeki Zahradník, 1996")</f>
        <v>Gastrallus knizeki Zahradník, 1996</v>
      </c>
      <c r="AH9815" s="4" t="str">
        <f>HYPERLINK("#Statut_biogéographique!A"&amp;_xlfn.XMATCH("P",Statut_biogéographique!A:A,2,1),"P")</f>
        <v>P</v>
      </c>
      <c r="AP9815" s="4" t="s">
        <v>376</v>
      </c>
      <c r="AR9815" s="4" t="s">
        <v>377</v>
      </c>
    </row>
    <row r="9816" spans="1:44">
      <c r="A9816" s="4" t="s">
        <v>10753</v>
      </c>
      <c r="B9816" s="4">
        <v>222032</v>
      </c>
      <c r="D9816" s="5" t="s">
        <v>12969</v>
      </c>
      <c r="E9816" s="6" t="str">
        <f>HYPERLINK("https://inpn.mnhn.fr/espece/cd_nom/222032","Gastrallus laevigatus (Olivier, 1790)")</f>
        <v>Gastrallus laevigatus (Olivier, 1790)</v>
      </c>
      <c r="AH9816" s="4" t="str">
        <f>HYPERLINK("#Statut_biogéographique!A"&amp;_xlfn.XMATCH("P",Statut_biogéographique!A:A,2,1),"P")</f>
        <v>P</v>
      </c>
      <c r="AP9816" s="4" t="s">
        <v>376</v>
      </c>
      <c r="AR9816" s="4" t="s">
        <v>377</v>
      </c>
    </row>
    <row r="9817" spans="1:44" ht="30">
      <c r="A9817" s="4" t="s">
        <v>10753</v>
      </c>
      <c r="B9817" s="4">
        <v>222033</v>
      </c>
      <c r="D9817" s="5" t="s">
        <v>12970</v>
      </c>
      <c r="E9817" s="6" t="str">
        <f>HYPERLINK("https://inpn.mnhn.fr/espece/cd_nom/222033","Cacotemnus rufipes (Fabricius, 1792)")</f>
        <v>Cacotemnus rufipes (Fabricius, 1792)</v>
      </c>
      <c r="AH9817" s="4" t="str">
        <f>HYPERLINK("#Statut_biogéographique!A"&amp;_xlfn.XMATCH("P",Statut_biogéographique!A:A,2,1),"P")</f>
        <v>P</v>
      </c>
      <c r="AP9817" s="4" t="s">
        <v>376</v>
      </c>
      <c r="AR9817" s="4" t="s">
        <v>377</v>
      </c>
    </row>
    <row r="9818" spans="1:44">
      <c r="A9818" s="4" t="s">
        <v>10753</v>
      </c>
      <c r="B9818" s="4">
        <v>222034</v>
      </c>
      <c r="D9818" s="5">
        <v>222034</v>
      </c>
      <c r="E9818" s="6" t="str">
        <f>HYPERLINK("https://inpn.mnhn.fr/espece/cd_nom/222034","Anobium hederae Ihssen, 1949")</f>
        <v>Anobium hederae Ihssen, 1949</v>
      </c>
      <c r="AH9818" s="4" t="str">
        <f>HYPERLINK("#Statut_biogéographique!A"&amp;_xlfn.XMATCH("P",Statut_biogéographique!A:A,2,1),"P")</f>
        <v>P</v>
      </c>
      <c r="AP9818" s="4" t="s">
        <v>376</v>
      </c>
      <c r="AR9818" s="4" t="s">
        <v>377</v>
      </c>
    </row>
    <row r="9819" spans="1:44">
      <c r="A9819" s="4" t="s">
        <v>10753</v>
      </c>
      <c r="B9819" s="4">
        <v>222035</v>
      </c>
      <c r="D9819" s="5" t="s">
        <v>12971</v>
      </c>
      <c r="E9819" s="6" t="str">
        <f>HYPERLINK("https://inpn.mnhn.fr/espece/cd_nom/222035","Anobium inexspectatum Lohse, 1954")</f>
        <v>Anobium inexspectatum Lohse, 1954</v>
      </c>
      <c r="AH9819" s="4" t="str">
        <f>HYPERLINK("#Statut_biogéographique!A"&amp;_xlfn.XMATCH("P",Statut_biogéographique!A:A,2,1),"P")</f>
        <v>P</v>
      </c>
      <c r="AP9819" s="4" t="s">
        <v>376</v>
      </c>
      <c r="AR9819" s="4" t="s">
        <v>377</v>
      </c>
    </row>
    <row r="9820" spans="1:44" ht="45">
      <c r="A9820" s="4" t="s">
        <v>10753</v>
      </c>
      <c r="B9820" s="4">
        <v>222037</v>
      </c>
      <c r="D9820" s="5" t="s">
        <v>12972</v>
      </c>
      <c r="E9820" s="6" t="str">
        <f>HYPERLINK("https://inpn.mnhn.fr/espece/cd_nom/222037","Ptinomorphus imperialis (Linnaeus, 1767)")</f>
        <v>Ptinomorphus imperialis (Linnaeus, 1767)</v>
      </c>
      <c r="F9820" s="5" t="s">
        <v>12973</v>
      </c>
      <c r="AH9820" s="4" t="str">
        <f>HYPERLINK("#Statut_biogéographique!A"&amp;_xlfn.XMATCH("P",Statut_biogéographique!A:A,2,1),"P")</f>
        <v>P</v>
      </c>
      <c r="AP9820" s="4" t="s">
        <v>376</v>
      </c>
      <c r="AR9820" s="4" t="s">
        <v>377</v>
      </c>
    </row>
    <row r="9821" spans="1:44" ht="30">
      <c r="A9821" s="4" t="s">
        <v>10753</v>
      </c>
      <c r="B9821" s="4">
        <v>222038</v>
      </c>
      <c r="D9821" s="5" t="s">
        <v>12974</v>
      </c>
      <c r="E9821" s="6" t="str">
        <f>HYPERLINK("https://inpn.mnhn.fr/espece/cd_nom/222038","Ptinomorphus regalis (Duftschmid, 1825)")</f>
        <v>Ptinomorphus regalis (Duftschmid, 1825)</v>
      </c>
      <c r="AH9821" s="4" t="str">
        <f>HYPERLINK("#Statut_biogéographique!A"&amp;_xlfn.XMATCH("P",Statut_biogéographique!A:A,2,1),"P")</f>
        <v>P</v>
      </c>
      <c r="AP9821" s="4" t="s">
        <v>376</v>
      </c>
      <c r="AR9821" s="4" t="s">
        <v>377</v>
      </c>
    </row>
    <row r="9822" spans="1:44" ht="30">
      <c r="A9822" s="4" t="s">
        <v>10753</v>
      </c>
      <c r="B9822" s="4">
        <v>222039</v>
      </c>
      <c r="D9822" s="5" t="s">
        <v>12975</v>
      </c>
      <c r="E9822" s="6" t="str">
        <f>HYPERLINK("https://inpn.mnhn.fr/espece/cd_nom/222039","Ptilinus fuscus Geoffroy in Fourcroy, 1785")</f>
        <v>Ptilinus fuscus Geoffroy in Fourcroy, 1785</v>
      </c>
      <c r="AH9822" s="4" t="str">
        <f>HYPERLINK("#Statut_biogéographique!A"&amp;_xlfn.XMATCH("P",Statut_biogéographique!A:A,2,1),"P")</f>
        <v>P</v>
      </c>
      <c r="AP9822" s="4" t="s">
        <v>376</v>
      </c>
      <c r="AR9822" s="4" t="s">
        <v>377</v>
      </c>
    </row>
    <row r="9823" spans="1:44" ht="30">
      <c r="A9823" s="4" t="s">
        <v>10753</v>
      </c>
      <c r="B9823" s="4">
        <v>222041</v>
      </c>
      <c r="D9823" s="5" t="s">
        <v>12976</v>
      </c>
      <c r="E9823" s="6" t="str">
        <f>HYPERLINK("https://inpn.mnhn.fr/espece/cd_nom/222041","Homophthalmus rugicollis (Mulsant &amp; Rey, 1853)")</f>
        <v>Homophthalmus rugicollis (Mulsant &amp; Rey, 1853)</v>
      </c>
      <c r="AH9823" s="4" t="str">
        <f>HYPERLINK("#Statut_biogéographique!A"&amp;_xlfn.XMATCH("P",Statut_biogéographique!A:A,2,1),"P")</f>
        <v>P</v>
      </c>
      <c r="AP9823" s="4" t="s">
        <v>376</v>
      </c>
      <c r="AR9823" s="4" t="s">
        <v>377</v>
      </c>
    </row>
    <row r="9824" spans="1:44" ht="30">
      <c r="A9824" s="4" t="s">
        <v>10753</v>
      </c>
      <c r="B9824" s="4">
        <v>222042</v>
      </c>
      <c r="D9824" s="5" t="s">
        <v>12977</v>
      </c>
      <c r="E9824" s="6" t="str">
        <f>HYPERLINK("https://inpn.mnhn.fr/espece/cd_nom/222042","Grynobius planus (Fabricius, 1787)")</f>
        <v>Grynobius planus (Fabricius, 1787)</v>
      </c>
      <c r="AH9824" s="4" t="str">
        <f>HYPERLINK("#Statut_biogéographique!A"&amp;_xlfn.XMATCH("P",Statut_biogéographique!A:A,2,1),"P")</f>
        <v>P</v>
      </c>
      <c r="AP9824" s="4" t="s">
        <v>376</v>
      </c>
      <c r="AR9824" s="4" t="s">
        <v>377</v>
      </c>
    </row>
    <row r="9825" spans="1:44">
      <c r="A9825" s="4" t="s">
        <v>10753</v>
      </c>
      <c r="B9825" s="4">
        <v>222046</v>
      </c>
      <c r="D9825" s="5" t="s">
        <v>12978</v>
      </c>
      <c r="E9825" s="6" t="str">
        <f>HYPERLINK("https://inpn.mnhn.fr/espece/cd_nom/222046","Biphyllus lunatus (Fabricius, 1787)")</f>
        <v>Biphyllus lunatus (Fabricius, 1787)</v>
      </c>
      <c r="AH9825" s="4" t="str">
        <f>HYPERLINK("#Statut_biogéographique!A"&amp;_xlfn.XMATCH("P",Statut_biogéographique!A:A,2,1),"P")</f>
        <v>P</v>
      </c>
      <c r="AP9825" s="4" t="s">
        <v>376</v>
      </c>
      <c r="AR9825" s="4" t="s">
        <v>377</v>
      </c>
    </row>
    <row r="9826" spans="1:44">
      <c r="A9826" s="4" t="s">
        <v>10753</v>
      </c>
      <c r="B9826" s="4">
        <v>22205</v>
      </c>
      <c r="D9826" s="5" t="s">
        <v>12979</v>
      </c>
      <c r="E9826" s="6" t="str">
        <f>HYPERLINK("https://inpn.mnhn.fr/espece/cd_nom/22205","Oxycera morrisii Curtis, 1833")</f>
        <v>Oxycera morrisii Curtis, 1833</v>
      </c>
      <c r="AH9826" s="4" t="str">
        <f>HYPERLINK("#Statut_biogéographique!A"&amp;_xlfn.XMATCH("P",Statut_biogéographique!A:A,2,1),"P")</f>
        <v>P</v>
      </c>
      <c r="AP9826" s="4" t="s">
        <v>376</v>
      </c>
      <c r="AR9826" s="4" t="s">
        <v>377</v>
      </c>
    </row>
    <row r="9827" spans="1:44">
      <c r="A9827" s="4" t="s">
        <v>10753</v>
      </c>
      <c r="B9827" s="4">
        <v>222051</v>
      </c>
      <c r="D9827" s="5" t="s">
        <v>12980</v>
      </c>
      <c r="E9827" s="6" t="str">
        <f>HYPERLINK("https://inpn.mnhn.fr/espece/cd_nom/222051","Rhyzopertha dominica (Fabricius, 1792)")</f>
        <v>Rhyzopertha dominica (Fabricius, 1792)</v>
      </c>
      <c r="AH9827" s="4" t="str">
        <f>HYPERLINK("#Statut_biogéographique!A"&amp;_xlfn.XMATCH("I",Statut_biogéographique!A:A,2,1),"I")</f>
        <v>I</v>
      </c>
      <c r="AP9827" s="4" t="s">
        <v>376</v>
      </c>
      <c r="AR9827" s="4" t="s">
        <v>377</v>
      </c>
    </row>
    <row r="9828" spans="1:44">
      <c r="A9828" s="4" t="s">
        <v>10753</v>
      </c>
      <c r="B9828" s="4">
        <v>222058</v>
      </c>
      <c r="D9828" s="5" t="s">
        <v>12981</v>
      </c>
      <c r="E9828" s="6" t="str">
        <f>HYPERLINK("https://inpn.mnhn.fr/espece/cd_nom/222058","Lichenophanes varius (Illiger, 1801)")</f>
        <v>Lichenophanes varius (Illiger, 1801)</v>
      </c>
      <c r="F9828" s="5" t="s">
        <v>12982</v>
      </c>
      <c r="P9828" s="7" t="str">
        <f>HYPERLINK("#Liste_rouge!A"&amp;_xlfn.XMATCH("NT",Liste_rouge!A:A,2,1),"NT")</f>
        <v>NT</v>
      </c>
      <c r="AH9828" s="4" t="str">
        <f>HYPERLINK("#Statut_biogéographique!A"&amp;_xlfn.XMATCH("P",Statut_biogéographique!A:A,2,1),"P")</f>
        <v>P</v>
      </c>
      <c r="AP9828" s="4" t="s">
        <v>376</v>
      </c>
      <c r="AR9828" s="4" t="s">
        <v>377</v>
      </c>
    </row>
    <row r="9829" spans="1:44">
      <c r="A9829" s="4" t="s">
        <v>10753</v>
      </c>
      <c r="B9829" s="4">
        <v>222059</v>
      </c>
      <c r="D9829" s="5" t="s">
        <v>12983</v>
      </c>
      <c r="E9829" s="6" t="str">
        <f>HYPERLINK("https://inpn.mnhn.fr/espece/cd_nom/222059","Bostrichus capucinus (Linnaeus, 1758)")</f>
        <v>Bostrichus capucinus (Linnaeus, 1758)</v>
      </c>
      <c r="F9829" s="5" t="s">
        <v>12984</v>
      </c>
      <c r="P9829" s="7" t="str">
        <f>HYPERLINK("#Liste_rouge!A"&amp;_xlfn.XMATCH("LC",Liste_rouge!A:A,2,1),"LC")</f>
        <v>LC</v>
      </c>
      <c r="AH9829" s="4" t="str">
        <f>HYPERLINK("#Statut_biogéographique!A"&amp;_xlfn.XMATCH("P",Statut_biogéographique!A:A,2,1),"P")</f>
        <v>P</v>
      </c>
      <c r="AP9829" s="4" t="s">
        <v>376</v>
      </c>
      <c r="AR9829" s="4" t="s">
        <v>377</v>
      </c>
    </row>
    <row r="9830" spans="1:44">
      <c r="A9830" s="4" t="s">
        <v>10753</v>
      </c>
      <c r="B9830" s="4">
        <v>22206</v>
      </c>
      <c r="D9830" s="5" t="s">
        <v>12985</v>
      </c>
      <c r="E9830" s="6" t="str">
        <f>HYPERLINK("https://inpn.mnhn.fr/espece/cd_nom/22206","Oxycera nigricornis Olivier, 1811")</f>
        <v>Oxycera nigricornis Olivier, 1811</v>
      </c>
      <c r="AH9830" s="4" t="str">
        <f>HYPERLINK("#Statut_biogéographique!A"&amp;_xlfn.XMATCH("P",Statut_biogéographique!A:A,2,1),"P")</f>
        <v>P</v>
      </c>
      <c r="AP9830" s="4" t="s">
        <v>376</v>
      </c>
      <c r="AR9830" s="4" t="s">
        <v>377</v>
      </c>
    </row>
    <row r="9831" spans="1:44">
      <c r="A9831" s="4" t="s">
        <v>10753</v>
      </c>
      <c r="B9831" s="4">
        <v>222063</v>
      </c>
      <c r="D9831" s="5" t="s">
        <v>12986</v>
      </c>
      <c r="E9831" s="6" t="str">
        <f>HYPERLINK("https://inpn.mnhn.fr/espece/cd_nom/222063","Xylopertha retusa (Olivier, 1790)")</f>
        <v>Xylopertha retusa (Olivier, 1790)</v>
      </c>
      <c r="P9831" s="7" t="str">
        <f>HYPERLINK("#Liste_rouge!A"&amp;_xlfn.XMATCH("LC",Liste_rouge!A:A,2,1),"LC")</f>
        <v>LC</v>
      </c>
      <c r="AH9831" s="4" t="str">
        <f>HYPERLINK("#Statut_biogéographique!A"&amp;_xlfn.XMATCH("P",Statut_biogéographique!A:A,2,1),"P")</f>
        <v>P</v>
      </c>
      <c r="AP9831" s="4" t="s">
        <v>376</v>
      </c>
      <c r="AR9831" s="4" t="s">
        <v>377</v>
      </c>
    </row>
    <row r="9832" spans="1:44" ht="30">
      <c r="A9832" s="4" t="s">
        <v>10753</v>
      </c>
      <c r="B9832" s="4">
        <v>22207</v>
      </c>
      <c r="D9832" s="5" t="s">
        <v>12987</v>
      </c>
      <c r="E9832" s="6" t="str">
        <f>HYPERLINK("https://inpn.mnhn.fr/espece/cd_nom/22207","Oxycera pardalina Meigen, 1822")</f>
        <v>Oxycera pardalina Meigen, 1822</v>
      </c>
      <c r="AH9832" s="4" t="str">
        <f>HYPERLINK("#Statut_biogéographique!A"&amp;_xlfn.XMATCH("P",Statut_biogéographique!A:A,2,1),"P")</f>
        <v>P</v>
      </c>
      <c r="AP9832" s="4" t="s">
        <v>376</v>
      </c>
      <c r="AR9832" s="4" t="s">
        <v>377</v>
      </c>
    </row>
    <row r="9833" spans="1:44">
      <c r="A9833" s="4" t="s">
        <v>10753</v>
      </c>
      <c r="B9833" s="4">
        <v>222075</v>
      </c>
      <c r="D9833" s="5" t="s">
        <v>12988</v>
      </c>
      <c r="E9833" s="6" t="str">
        <f>HYPERLINK("https://inpn.mnhn.fr/espece/cd_nom/222075","Oxylaemus variolosus (Dufour, 1843)")</f>
        <v>Oxylaemus variolosus (Dufour, 1843)</v>
      </c>
      <c r="AH9833" s="4" t="str">
        <f>HYPERLINK("#Statut_biogéographique!A"&amp;_xlfn.XMATCH("P",Statut_biogéographique!A:A,2,1),"P")</f>
        <v>P</v>
      </c>
      <c r="AP9833" s="4" t="s">
        <v>376</v>
      </c>
      <c r="AR9833" s="4" t="s">
        <v>377</v>
      </c>
    </row>
    <row r="9834" spans="1:44">
      <c r="A9834" s="4" t="s">
        <v>10753</v>
      </c>
      <c r="B9834" s="4">
        <v>222076</v>
      </c>
      <c r="D9834" s="5" t="s">
        <v>12989</v>
      </c>
      <c r="E9834" s="6" t="str">
        <f>HYPERLINK("https://inpn.mnhn.fr/espece/cd_nom/222076","Oxylaemus cylindricus (Creutzer, 1796)")</f>
        <v>Oxylaemus cylindricus (Creutzer, 1796)</v>
      </c>
      <c r="AH9834" s="4" t="str">
        <f>HYPERLINK("#Statut_biogéographique!A"&amp;_xlfn.XMATCH("P",Statut_biogéographique!A:A,2,1),"P")</f>
        <v>P</v>
      </c>
      <c r="AP9834" s="4" t="s">
        <v>376</v>
      </c>
      <c r="AR9834" s="4" t="s">
        <v>377</v>
      </c>
    </row>
    <row r="9835" spans="1:44">
      <c r="A9835" s="4" t="s">
        <v>10753</v>
      </c>
      <c r="B9835" s="4">
        <v>22208</v>
      </c>
      <c r="D9835" s="5" t="s">
        <v>12990</v>
      </c>
      <c r="E9835" s="6" t="str">
        <f>HYPERLINK("https://inpn.mnhn.fr/espece/cd_nom/22208","Oxycera pygmaea (Fallén, 1817)")</f>
        <v>Oxycera pygmaea (Fallén, 1817)</v>
      </c>
      <c r="AH9835" s="4" t="str">
        <f>HYPERLINK("#Statut_biogéographique!A"&amp;_xlfn.XMATCH("P",Statut_biogéographique!A:A,2,1),"P")</f>
        <v>P</v>
      </c>
      <c r="AP9835" s="4" t="s">
        <v>376</v>
      </c>
      <c r="AR9835" s="4" t="s">
        <v>377</v>
      </c>
    </row>
    <row r="9836" spans="1:44" ht="45">
      <c r="A9836" s="4" t="s">
        <v>10753</v>
      </c>
      <c r="B9836" s="4">
        <v>222082</v>
      </c>
      <c r="D9836" s="5" t="s">
        <v>12991</v>
      </c>
      <c r="E9836" s="6" t="str">
        <f>HYPERLINK("https://inpn.mnhn.fr/espece/cd_nom/222082","Anthaxia fulgurans (Schrank, 1789)")</f>
        <v>Anthaxia fulgurans (Schrank, 1789)</v>
      </c>
      <c r="AH9836" s="4" t="str">
        <f>HYPERLINK("#Statut_biogéographique!A"&amp;_xlfn.XMATCH("P",Statut_biogéographique!A:A,2,1),"P")</f>
        <v>P</v>
      </c>
      <c r="AP9836" s="4" t="s">
        <v>376</v>
      </c>
      <c r="AR9836" s="4" t="s">
        <v>377</v>
      </c>
    </row>
    <row r="9837" spans="1:44">
      <c r="A9837" s="4" t="s">
        <v>10753</v>
      </c>
      <c r="B9837" s="4">
        <v>222084</v>
      </c>
      <c r="D9837" s="5">
        <v>222084</v>
      </c>
      <c r="E9837" s="6" t="str">
        <f>HYPERLINK("https://inpn.mnhn.fr/espece/cd_nom/222084","Anthaxia mendizabali Cobos, 1965")</f>
        <v>Anthaxia mendizabali Cobos, 1965</v>
      </c>
      <c r="AH9837" s="4" t="str">
        <f>HYPERLINK("#Statut_biogéographique!A"&amp;_xlfn.XMATCH("P",Statut_biogéographique!A:A,2,1),"P")</f>
        <v>P</v>
      </c>
      <c r="AP9837" s="4" t="s">
        <v>376</v>
      </c>
      <c r="AR9837" s="4" t="s">
        <v>377</v>
      </c>
    </row>
    <row r="9838" spans="1:44">
      <c r="A9838" s="4" t="s">
        <v>10753</v>
      </c>
      <c r="B9838" s="4">
        <v>222087</v>
      </c>
      <c r="D9838" s="5" t="s">
        <v>12992</v>
      </c>
      <c r="E9838" s="6" t="str">
        <f>HYPERLINK("https://inpn.mnhn.fr/espece/cd_nom/222087","Anthaxia nitidula (Linnaeus, 1758)")</f>
        <v>Anthaxia nitidula (Linnaeus, 1758)</v>
      </c>
      <c r="AH9838" s="4" t="str">
        <f>HYPERLINK("#Statut_biogéographique!A"&amp;_xlfn.XMATCH("P",Statut_biogéographique!A:A,2,1),"P")</f>
        <v>P</v>
      </c>
      <c r="AP9838" s="4" t="s">
        <v>376</v>
      </c>
      <c r="AR9838" s="4" t="s">
        <v>377</v>
      </c>
    </row>
    <row r="9839" spans="1:44">
      <c r="A9839" s="4" t="s">
        <v>10753</v>
      </c>
      <c r="B9839" s="4">
        <v>222088</v>
      </c>
      <c r="D9839" s="5">
        <v>222088</v>
      </c>
      <c r="E9839" s="6" t="str">
        <f>HYPERLINK("https://inpn.mnhn.fr/espece/cd_nom/222088","Anthaxia podolica Mannerheim, 1837")</f>
        <v>Anthaxia podolica Mannerheim, 1837</v>
      </c>
      <c r="AH9839" s="4" t="str">
        <f>HYPERLINK("#Statut_biogéographique!A"&amp;_xlfn.XMATCH("P",Statut_biogéographique!A:A,2,1),"P")</f>
        <v>P</v>
      </c>
      <c r="AP9839" s="4" t="s">
        <v>376</v>
      </c>
      <c r="AR9839" s="4" t="s">
        <v>377</v>
      </c>
    </row>
    <row r="9840" spans="1:44">
      <c r="A9840" s="4" t="s">
        <v>10753</v>
      </c>
      <c r="B9840" s="4">
        <v>222097</v>
      </c>
      <c r="D9840" s="5">
        <v>222097</v>
      </c>
      <c r="E9840" s="6" t="str">
        <f>HYPERLINK("https://inpn.mnhn.fr/espece/cd_nom/222097","Anthaxia helvetica Stierlin, 1868")</f>
        <v>Anthaxia helvetica Stierlin, 1868</v>
      </c>
      <c r="AH9840" s="4" t="str">
        <f>HYPERLINK("#Statut_biogéographique!A"&amp;_xlfn.XMATCH("P",Statut_biogéographique!A:A,2,1),"P")</f>
        <v>P</v>
      </c>
      <c r="AP9840" s="4" t="s">
        <v>376</v>
      </c>
      <c r="AR9840" s="4" t="s">
        <v>377</v>
      </c>
    </row>
    <row r="9841" spans="1:44">
      <c r="A9841" s="4" t="s">
        <v>10753</v>
      </c>
      <c r="B9841" s="4">
        <v>22211</v>
      </c>
      <c r="D9841" s="5" t="s">
        <v>12993</v>
      </c>
      <c r="E9841" s="6" t="str">
        <f>HYPERLINK("https://inpn.mnhn.fr/espece/cd_nom/22211","Oxycera varipes Loew in Heyden, 1870")</f>
        <v>Oxycera varipes Loew in Heyden, 1870</v>
      </c>
      <c r="AH9841" s="4" t="str">
        <f>HYPERLINK("#Statut_biogéographique!A"&amp;_xlfn.XMATCH("P",Statut_biogéographique!A:A,2,1),"P")</f>
        <v>P</v>
      </c>
      <c r="AP9841" s="4" t="s">
        <v>376</v>
      </c>
      <c r="AR9841" s="4" t="s">
        <v>377</v>
      </c>
    </row>
    <row r="9842" spans="1:44" ht="30">
      <c r="A9842" s="4" t="s">
        <v>10753</v>
      </c>
      <c r="B9842" s="4">
        <v>222110</v>
      </c>
      <c r="D9842" s="5" t="s">
        <v>12994</v>
      </c>
      <c r="E9842" s="6" t="str">
        <f>HYPERLINK("https://inpn.mnhn.fr/espece/cd_nom/222110","Dicerca berolinensis (Herbst, 1779)")</f>
        <v>Dicerca berolinensis (Herbst, 1779)</v>
      </c>
      <c r="F9842" s="5" t="s">
        <v>12995</v>
      </c>
      <c r="AH9842" s="4" t="str">
        <f>HYPERLINK("#Statut_biogéographique!A"&amp;_xlfn.XMATCH("P",Statut_biogéographique!A:A,2,1),"P")</f>
        <v>P</v>
      </c>
      <c r="AP9842" s="4" t="s">
        <v>376</v>
      </c>
      <c r="AR9842" s="4" t="s">
        <v>377</v>
      </c>
    </row>
    <row r="9843" spans="1:44">
      <c r="A9843" s="4" t="s">
        <v>10753</v>
      </c>
      <c r="B9843" s="4">
        <v>222112</v>
      </c>
      <c r="D9843" s="5" t="s">
        <v>12996</v>
      </c>
      <c r="E9843" s="6" t="str">
        <f>HYPERLINK("https://inpn.mnhn.fr/espece/cd_nom/222112","Phaenops cyanea (Fabricius, 1775)")</f>
        <v>Phaenops cyanea (Fabricius, 1775)</v>
      </c>
      <c r="F9843" s="5" t="s">
        <v>12997</v>
      </c>
      <c r="AH9843" s="4" t="str">
        <f>HYPERLINK("#Statut_biogéographique!A"&amp;_xlfn.XMATCH("P",Statut_biogéographique!A:A,2,1),"P")</f>
        <v>P</v>
      </c>
      <c r="AP9843" s="4" t="s">
        <v>376</v>
      </c>
      <c r="AR9843" s="4" t="s">
        <v>377</v>
      </c>
    </row>
    <row r="9844" spans="1:44" ht="45">
      <c r="A9844" s="4" t="s">
        <v>10753</v>
      </c>
      <c r="B9844" s="4">
        <v>222116</v>
      </c>
      <c r="D9844" s="5" t="s">
        <v>12998</v>
      </c>
      <c r="E9844" s="6" t="str">
        <f>HYPERLINK("https://inpn.mnhn.fr/espece/cd_nom/222116","Melanophila acuminata (De Geer, 1774)")</f>
        <v>Melanophila acuminata (De Geer, 1774)</v>
      </c>
      <c r="AH9844" s="4" t="str">
        <f>HYPERLINK("#Statut_biogéographique!A"&amp;_xlfn.XMATCH("P",Statut_biogéographique!A:A,2,1),"P")</f>
        <v>P</v>
      </c>
      <c r="AP9844" s="4" t="s">
        <v>376</v>
      </c>
      <c r="AR9844" s="4" t="s">
        <v>377</v>
      </c>
    </row>
    <row r="9845" spans="1:44" ht="45">
      <c r="A9845" s="4" t="s">
        <v>10753</v>
      </c>
      <c r="B9845" s="4">
        <v>222120</v>
      </c>
      <c r="D9845" s="5" t="s">
        <v>12999</v>
      </c>
      <c r="E9845" s="6" t="str">
        <f>HYPERLINK("https://inpn.mnhn.fr/espece/cd_nom/222120","Capnodis tenebrionis (Linnaeus, 1761)")</f>
        <v>Capnodis tenebrionis (Linnaeus, 1761)</v>
      </c>
      <c r="F9845" s="5" t="s">
        <v>13000</v>
      </c>
      <c r="AH9845" s="4" t="str">
        <f>HYPERLINK("#Statut_biogéographique!A"&amp;_xlfn.XMATCH("P",Statut_biogéographique!A:A,2,1),"P")</f>
        <v>P</v>
      </c>
      <c r="AP9845" s="4" t="s">
        <v>376</v>
      </c>
      <c r="AR9845" s="4" t="s">
        <v>377</v>
      </c>
    </row>
    <row r="9846" spans="1:44">
      <c r="A9846" s="4" t="s">
        <v>10753</v>
      </c>
      <c r="B9846" s="4">
        <v>222128</v>
      </c>
      <c r="D9846" s="5">
        <v>222128</v>
      </c>
      <c r="E9846" s="6" t="str">
        <f>HYPERLINK("https://inpn.mnhn.fr/espece/cd_nom/222128","Agrilus auricollis Kiesenwetter, 1857")</f>
        <v>Agrilus auricollis Kiesenwetter, 1857</v>
      </c>
      <c r="AH9846" s="4" t="str">
        <f>HYPERLINK("#Statut_biogéographique!A"&amp;_xlfn.XMATCH("P",Statut_biogéographique!A:A,2,1),"P")</f>
        <v>P</v>
      </c>
      <c r="AP9846" s="4" t="s">
        <v>376</v>
      </c>
      <c r="AR9846" s="4" t="s">
        <v>377</v>
      </c>
    </row>
    <row r="9847" spans="1:44">
      <c r="A9847" s="4" t="s">
        <v>10753</v>
      </c>
      <c r="B9847" s="4">
        <v>222129</v>
      </c>
      <c r="D9847" s="5" t="s">
        <v>13001</v>
      </c>
      <c r="E9847" s="6" t="str">
        <f>HYPERLINK("https://inpn.mnhn.fr/espece/cd_nom/222129","Agrilus betuleti Ratzeburg, 1837")</f>
        <v>Agrilus betuleti Ratzeburg, 1837</v>
      </c>
      <c r="AH9847" s="4" t="str">
        <f>HYPERLINK("#Statut_biogéographique!A"&amp;_xlfn.XMATCH("P",Statut_biogéographique!A:A,2,1),"P")</f>
        <v>P</v>
      </c>
      <c r="AP9847" s="4" t="s">
        <v>376</v>
      </c>
      <c r="AR9847" s="4" t="s">
        <v>377</v>
      </c>
    </row>
    <row r="9848" spans="1:44">
      <c r="A9848" s="4" t="s">
        <v>10753</v>
      </c>
      <c r="B9848" s="4">
        <v>222130</v>
      </c>
      <c r="D9848" s="5" t="s">
        <v>13002</v>
      </c>
      <c r="E9848" s="6" t="str">
        <f>HYPERLINK("https://inpn.mnhn.fr/espece/cd_nom/222130","Agrilus cinctus (Olivier, 1790)")</f>
        <v>Agrilus cinctus (Olivier, 1790)</v>
      </c>
      <c r="AH9848" s="4" t="str">
        <f>HYPERLINK("#Statut_biogéographique!A"&amp;_xlfn.XMATCH("P",Statut_biogéographique!A:A,2,1),"P")</f>
        <v>P</v>
      </c>
      <c r="AP9848" s="4" t="s">
        <v>376</v>
      </c>
      <c r="AR9848" s="4" t="s">
        <v>377</v>
      </c>
    </row>
    <row r="9849" spans="1:44">
      <c r="A9849" s="4" t="s">
        <v>10753</v>
      </c>
      <c r="B9849" s="4">
        <v>222131</v>
      </c>
      <c r="D9849" s="5">
        <v>222131</v>
      </c>
      <c r="E9849" s="6" t="str">
        <f>HYPERLINK("https://inpn.mnhn.fr/espece/cd_nom/222131","Agrilus convexicollis Redtenbacher, 1849")</f>
        <v>Agrilus convexicollis Redtenbacher, 1849</v>
      </c>
      <c r="AH9849" s="4" t="str">
        <f>HYPERLINK("#Statut_biogéographique!A"&amp;_xlfn.XMATCH("P",Statut_biogéographique!A:A,2,1),"P")</f>
        <v>P</v>
      </c>
      <c r="AP9849" s="4" t="s">
        <v>376</v>
      </c>
      <c r="AR9849" s="4" t="s">
        <v>377</v>
      </c>
    </row>
    <row r="9850" spans="1:44">
      <c r="A9850" s="4" t="s">
        <v>10753</v>
      </c>
      <c r="B9850" s="4">
        <v>222132</v>
      </c>
      <c r="D9850" s="5" t="s">
        <v>13003</v>
      </c>
      <c r="E9850" s="6" t="str">
        <f>HYPERLINK("https://inpn.mnhn.fr/espece/cd_nom/222132","Agrilus cuprescens (Ménétriés, 1832)")</f>
        <v>Agrilus cuprescens (Ménétriés, 1832)</v>
      </c>
      <c r="AH9850" s="4" t="str">
        <f>HYPERLINK("#Statut_biogéographique!A"&amp;_xlfn.XMATCH("P",Statut_biogéographique!A:A,2,1),"P")</f>
        <v>P</v>
      </c>
      <c r="AP9850" s="4" t="s">
        <v>376</v>
      </c>
      <c r="AR9850" s="4" t="s">
        <v>377</v>
      </c>
    </row>
    <row r="9851" spans="1:44">
      <c r="A9851" s="4" t="s">
        <v>10753</v>
      </c>
      <c r="B9851" s="4">
        <v>222133</v>
      </c>
      <c r="D9851" s="5" t="s">
        <v>13004</v>
      </c>
      <c r="E9851" s="6" t="str">
        <f>HYPERLINK("https://inpn.mnhn.fr/espece/cd_nom/222133","Agrilus curtulus Mulsant &amp; Rey, 1863")</f>
        <v>Agrilus curtulus Mulsant &amp; Rey, 1863</v>
      </c>
      <c r="AH9851" s="4" t="str">
        <f>HYPERLINK("#Statut_biogéographique!A"&amp;_xlfn.XMATCH("P",Statut_biogéographique!A:A,2,1),"P")</f>
        <v>P</v>
      </c>
      <c r="AP9851" s="4" t="s">
        <v>376</v>
      </c>
      <c r="AR9851" s="4" t="s">
        <v>377</v>
      </c>
    </row>
    <row r="9852" spans="1:44">
      <c r="A9852" s="4" t="s">
        <v>10753</v>
      </c>
      <c r="B9852" s="4">
        <v>222134</v>
      </c>
      <c r="D9852" s="5" t="s">
        <v>13005</v>
      </c>
      <c r="E9852" s="6" t="str">
        <f>HYPERLINK("https://inpn.mnhn.fr/espece/cd_nom/222134","Agrilus derasofasciatus Lacordaire, 1835")</f>
        <v>Agrilus derasofasciatus Lacordaire, 1835</v>
      </c>
      <c r="AH9852" s="4" t="str">
        <f>HYPERLINK("#Statut_biogéographique!A"&amp;_xlfn.XMATCH("P",Statut_biogéographique!A:A,2,1),"P")</f>
        <v>P</v>
      </c>
      <c r="AP9852" s="4" t="s">
        <v>376</v>
      </c>
      <c r="AR9852" s="4" t="s">
        <v>377</v>
      </c>
    </row>
    <row r="9853" spans="1:44">
      <c r="A9853" s="4" t="s">
        <v>10753</v>
      </c>
      <c r="B9853" s="4">
        <v>222136</v>
      </c>
      <c r="D9853" s="5">
        <v>222136</v>
      </c>
      <c r="E9853" s="6" t="str">
        <f>HYPERLINK("https://inpn.mnhn.fr/espece/cd_nom/222136","Agrilus guerini Lacordaire, 1835")</f>
        <v>Agrilus guerini Lacordaire, 1835</v>
      </c>
      <c r="F9853" s="5" t="s">
        <v>13006</v>
      </c>
      <c r="AH9853" s="4" t="str">
        <f>HYPERLINK("#Statut_biogéographique!A"&amp;_xlfn.XMATCH("P",Statut_biogéographique!A:A,2,1),"P")</f>
        <v>P</v>
      </c>
      <c r="AP9853" s="4" t="s">
        <v>376</v>
      </c>
      <c r="AR9853" s="4" t="s">
        <v>377</v>
      </c>
    </row>
    <row r="9854" spans="1:44" ht="45">
      <c r="A9854" s="4" t="s">
        <v>10753</v>
      </c>
      <c r="B9854" s="4">
        <v>222137</v>
      </c>
      <c r="D9854" s="5" t="s">
        <v>13007</v>
      </c>
      <c r="E9854" s="6" t="str">
        <f>HYPERLINK("https://inpn.mnhn.fr/espece/cd_nom/222137","Agrilus hyperici (Creutzer, 1799)")</f>
        <v>Agrilus hyperici (Creutzer, 1799)</v>
      </c>
      <c r="AH9854" s="4" t="str">
        <f>HYPERLINK("#Statut_biogéographique!A"&amp;_xlfn.XMATCH("P",Statut_biogéographique!A:A,2,1),"P")</f>
        <v>P</v>
      </c>
      <c r="AP9854" s="4" t="s">
        <v>376</v>
      </c>
      <c r="AR9854" s="4" t="s">
        <v>377</v>
      </c>
    </row>
    <row r="9855" spans="1:44">
      <c r="A9855" s="4" t="s">
        <v>10753</v>
      </c>
      <c r="B9855" s="4">
        <v>222141</v>
      </c>
      <c r="D9855" s="5" t="s">
        <v>13008</v>
      </c>
      <c r="E9855" s="6" t="str">
        <f>HYPERLINK("https://inpn.mnhn.fr/espece/cd_nom/222141","Agrilus obscuricollis Kiesenwetter, 1857")</f>
        <v>Agrilus obscuricollis Kiesenwetter, 1857</v>
      </c>
      <c r="AH9855" s="4" t="str">
        <f>HYPERLINK("#Statut_biogéographique!A"&amp;_xlfn.XMATCH("P",Statut_biogéographique!A:A,2,1),"P")</f>
        <v>P</v>
      </c>
      <c r="AP9855" s="4" t="s">
        <v>376</v>
      </c>
      <c r="AR9855" s="4" t="s">
        <v>377</v>
      </c>
    </row>
    <row r="9856" spans="1:44">
      <c r="A9856" s="4" t="s">
        <v>10753</v>
      </c>
      <c r="B9856" s="4">
        <v>222142</v>
      </c>
      <c r="D9856" s="5" t="s">
        <v>13009</v>
      </c>
      <c r="E9856" s="6" t="str">
        <f>HYPERLINK("https://inpn.mnhn.fr/espece/cd_nom/222142","Agrilus olivicolor Kiesenwetter, 1857")</f>
        <v>Agrilus olivicolor Kiesenwetter, 1857</v>
      </c>
      <c r="AH9856" s="4" t="str">
        <f>HYPERLINK("#Statut_biogéographique!A"&amp;_xlfn.XMATCH("P",Statut_biogéographique!A:A,2,1),"P")</f>
        <v>P</v>
      </c>
      <c r="AP9856" s="4" t="s">
        <v>376</v>
      </c>
      <c r="AR9856" s="4" t="s">
        <v>377</v>
      </c>
    </row>
    <row r="9857" spans="1:44" ht="30">
      <c r="A9857" s="4" t="s">
        <v>10753</v>
      </c>
      <c r="B9857" s="4">
        <v>222143</v>
      </c>
      <c r="D9857" s="5" t="s">
        <v>13010</v>
      </c>
      <c r="E9857" s="6" t="str">
        <f>HYPERLINK("https://inpn.mnhn.fr/espece/cd_nom/222143","Agrilus pratensis (Ratzeburg, 1837)")</f>
        <v>Agrilus pratensis (Ratzeburg, 1837)</v>
      </c>
      <c r="AH9857" s="4" t="str">
        <f>HYPERLINK("#Statut_biogéographique!A"&amp;_xlfn.XMATCH("P",Statut_biogéographique!A:A,2,1),"P")</f>
        <v>P</v>
      </c>
      <c r="AP9857" s="4" t="s">
        <v>376</v>
      </c>
      <c r="AR9857" s="4" t="s">
        <v>377</v>
      </c>
    </row>
    <row r="9858" spans="1:44">
      <c r="A9858" s="4" t="s">
        <v>10753</v>
      </c>
      <c r="B9858" s="4">
        <v>222144</v>
      </c>
      <c r="D9858" s="5">
        <v>222144</v>
      </c>
      <c r="E9858" s="6" t="str">
        <f>HYPERLINK("https://inpn.mnhn.fr/espece/cd_nom/222144","Agrilus ribesi Schaefer, 1946")</f>
        <v>Agrilus ribesi Schaefer, 1946</v>
      </c>
      <c r="AH9858" s="4" t="str">
        <f>HYPERLINK("#Statut_biogéographique!A"&amp;_xlfn.XMATCH("P",Statut_biogéographique!A:A,2,1),"P")</f>
        <v>P</v>
      </c>
      <c r="AP9858" s="4" t="s">
        <v>376</v>
      </c>
      <c r="AR9858" s="4" t="s">
        <v>377</v>
      </c>
    </row>
    <row r="9859" spans="1:44" ht="30">
      <c r="A9859" s="4" t="s">
        <v>10753</v>
      </c>
      <c r="B9859" s="4">
        <v>222145</v>
      </c>
      <c r="D9859" s="5" t="s">
        <v>13011</v>
      </c>
      <c r="E9859" s="6" t="str">
        <f>HYPERLINK("https://inpn.mnhn.fr/espece/cd_nom/222145","Agrilus roscidus Kiesenwetter, 1857")</f>
        <v>Agrilus roscidus Kiesenwetter, 1857</v>
      </c>
      <c r="AH9859" s="4" t="str">
        <f>HYPERLINK("#Statut_biogéographique!A"&amp;_xlfn.XMATCH("P",Statut_biogéographique!A:A,2,1),"P")</f>
        <v>P</v>
      </c>
      <c r="AP9859" s="4" t="s">
        <v>376</v>
      </c>
      <c r="AR9859" s="4" t="s">
        <v>377</v>
      </c>
    </row>
    <row r="9860" spans="1:44">
      <c r="A9860" s="4" t="s">
        <v>10753</v>
      </c>
      <c r="B9860" s="4">
        <v>222146</v>
      </c>
      <c r="D9860" s="5" t="s">
        <v>13012</v>
      </c>
      <c r="E9860" s="6" t="str">
        <f>HYPERLINK("https://inpn.mnhn.fr/espece/cd_nom/222146","Agrilus salicis J. Frivaldszky, 1877")</f>
        <v>Agrilus salicis J. Frivaldszky, 1877</v>
      </c>
      <c r="AH9860" s="4" t="str">
        <f>HYPERLINK("#Statut_biogéographique!A"&amp;_xlfn.XMATCH("P",Statut_biogéographique!A:A,2,1),"P")</f>
        <v>P</v>
      </c>
      <c r="AP9860" s="4" t="s">
        <v>376</v>
      </c>
      <c r="AR9860" s="4" t="s">
        <v>377</v>
      </c>
    </row>
    <row r="9861" spans="1:44">
      <c r="A9861" s="4" t="s">
        <v>10753</v>
      </c>
      <c r="B9861" s="4">
        <v>222147</v>
      </c>
      <c r="D9861" s="5" t="s">
        <v>13013</v>
      </c>
      <c r="E9861" s="6" t="str">
        <f>HYPERLINK("https://inpn.mnhn.fr/espece/cd_nom/222147","Agrilus sinuatus (Olivier, 1790)")</f>
        <v>Agrilus sinuatus (Olivier, 1790)</v>
      </c>
      <c r="AH9861" s="4" t="str">
        <f>HYPERLINK("#Statut_biogéographique!A"&amp;_xlfn.XMATCH("P",Statut_biogéographique!A:A,2,1),"P")</f>
        <v>P</v>
      </c>
      <c r="AP9861" s="4" t="s">
        <v>376</v>
      </c>
      <c r="AR9861" s="4" t="s">
        <v>377</v>
      </c>
    </row>
    <row r="9862" spans="1:44">
      <c r="A9862" s="4" t="s">
        <v>10753</v>
      </c>
      <c r="B9862" s="4">
        <v>222149</v>
      </c>
      <c r="D9862" s="5" t="s">
        <v>13014</v>
      </c>
      <c r="E9862" s="6" t="str">
        <f>HYPERLINK("https://inpn.mnhn.fr/espece/cd_nom/222149","Agrilus subauratus (Gebler, 1833)")</f>
        <v>Agrilus subauratus (Gebler, 1833)</v>
      </c>
      <c r="AH9862" s="4" t="str">
        <f>HYPERLINK("#Statut_biogéographique!A"&amp;_xlfn.XMATCH("P",Statut_biogéographique!A:A,2,1),"P")</f>
        <v>P</v>
      </c>
      <c r="AP9862" s="4" t="s">
        <v>376</v>
      </c>
      <c r="AR9862" s="4" t="s">
        <v>377</v>
      </c>
    </row>
    <row r="9863" spans="1:44">
      <c r="A9863" s="4" t="s">
        <v>10753</v>
      </c>
      <c r="B9863" s="4">
        <v>22215</v>
      </c>
      <c r="D9863" s="5" t="s">
        <v>13015</v>
      </c>
      <c r="E9863" s="6" t="str">
        <f>HYPERLINK("https://inpn.mnhn.fr/espece/cd_nom/22215","Eupachygaster tarsalis (Zetterstedt, 1842)")</f>
        <v>Eupachygaster tarsalis (Zetterstedt, 1842)</v>
      </c>
      <c r="AH9863" s="4" t="str">
        <f>HYPERLINK("#Statut_biogéographique!A"&amp;_xlfn.XMATCH("P",Statut_biogéographique!A:A,2,1),"P")</f>
        <v>P</v>
      </c>
      <c r="AP9863" s="4" t="s">
        <v>376</v>
      </c>
      <c r="AR9863" s="4" t="s">
        <v>377</v>
      </c>
    </row>
    <row r="9864" spans="1:44">
      <c r="A9864" s="4" t="s">
        <v>10753</v>
      </c>
      <c r="B9864" s="4">
        <v>222150</v>
      </c>
      <c r="D9864" s="5" t="s">
        <v>13016</v>
      </c>
      <c r="E9864" s="6" t="str">
        <f>HYPERLINK("https://inpn.mnhn.fr/espece/cd_nom/222150","Agrilus suvorovi Obenberger, 1935")</f>
        <v>Agrilus suvorovi Obenberger, 1935</v>
      </c>
      <c r="AH9864" s="4" t="str">
        <f>HYPERLINK("#Statut_biogéographique!A"&amp;_xlfn.XMATCH("P",Statut_biogéographique!A:A,2,1),"P")</f>
        <v>P</v>
      </c>
      <c r="AP9864" s="4" t="s">
        <v>376</v>
      </c>
      <c r="AR9864" s="4" t="s">
        <v>377</v>
      </c>
    </row>
    <row r="9865" spans="1:44" ht="30">
      <c r="A9865" s="4" t="s">
        <v>10753</v>
      </c>
      <c r="B9865" s="4">
        <v>222155</v>
      </c>
      <c r="D9865" s="5" t="s">
        <v>13017</v>
      </c>
      <c r="E9865" s="6" t="str">
        <f>HYPERLINK("https://inpn.mnhn.fr/espece/cd_nom/222155","Meliboeus fulgidicollis (P.H. Lucas, 1846)")</f>
        <v>Meliboeus fulgidicollis (P.H. Lucas, 1846)</v>
      </c>
      <c r="AH9865" s="4" t="str">
        <f>HYPERLINK("#Statut_biogéographique!A"&amp;_xlfn.XMATCH("P",Statut_biogéographique!A:A,2,1),"P")</f>
        <v>P</v>
      </c>
      <c r="AP9865" s="4" t="s">
        <v>376</v>
      </c>
      <c r="AR9865" s="4" t="s">
        <v>377</v>
      </c>
    </row>
    <row r="9866" spans="1:44" ht="30">
      <c r="A9866" s="4" t="s">
        <v>10753</v>
      </c>
      <c r="B9866" s="4">
        <v>222164</v>
      </c>
      <c r="D9866" s="5">
        <v>222164</v>
      </c>
      <c r="E9866" s="6" t="str">
        <f>HYPERLINK("https://inpn.mnhn.fr/espece/cd_nom/222164","Cylindromorphus gallicus Mulsant &amp; Rey, 1863")</f>
        <v>Cylindromorphus gallicus Mulsant &amp; Rey, 1863</v>
      </c>
      <c r="AH9866" s="4" t="str">
        <f>HYPERLINK("#Statut_biogéographique!A"&amp;_xlfn.XMATCH("P",Statut_biogéographique!A:A,2,1),"P")</f>
        <v>P</v>
      </c>
      <c r="AP9866" s="4" t="s">
        <v>376</v>
      </c>
      <c r="AR9866" s="4" t="s">
        <v>377</v>
      </c>
    </row>
    <row r="9867" spans="1:44">
      <c r="A9867" s="4" t="s">
        <v>10753</v>
      </c>
      <c r="B9867" s="4">
        <v>222166</v>
      </c>
      <c r="D9867" s="5" t="s">
        <v>13018</v>
      </c>
      <c r="E9867" s="6" t="str">
        <f>HYPERLINK("https://inpn.mnhn.fr/espece/cd_nom/222166","Trachys fragariae Brisout de Barneville, 1874")</f>
        <v>Trachys fragariae Brisout de Barneville, 1874</v>
      </c>
      <c r="AH9867" s="4" t="str">
        <f>HYPERLINK("#Statut_biogéographique!A"&amp;_xlfn.XMATCH("P",Statut_biogéographique!A:A,2,1),"P")</f>
        <v>P</v>
      </c>
      <c r="AP9867" s="4" t="s">
        <v>376</v>
      </c>
      <c r="AR9867" s="4" t="s">
        <v>377</v>
      </c>
    </row>
    <row r="9868" spans="1:44">
      <c r="A9868" s="4" t="s">
        <v>10753</v>
      </c>
      <c r="B9868" s="4">
        <v>222168</v>
      </c>
      <c r="D9868" s="5">
        <v>222168</v>
      </c>
      <c r="E9868" s="6" t="str">
        <f>HYPERLINK("https://inpn.mnhn.fr/espece/cd_nom/222168","Trachys lichtensteini Buysson, 1918")</f>
        <v>Trachys lichtensteini Buysson, 1918</v>
      </c>
      <c r="AH9868" s="4" t="str">
        <f>HYPERLINK("#Statut_biogéographique!A"&amp;_xlfn.XMATCH("P",Statut_biogéographique!A:A,2,1),"P")</f>
        <v>P</v>
      </c>
      <c r="AP9868" s="4" t="s">
        <v>376</v>
      </c>
      <c r="AR9868" s="4" t="s">
        <v>377</v>
      </c>
    </row>
    <row r="9869" spans="1:44">
      <c r="A9869" s="4" t="s">
        <v>10753</v>
      </c>
      <c r="B9869" s="4">
        <v>222170</v>
      </c>
      <c r="D9869" s="5" t="s">
        <v>13019</v>
      </c>
      <c r="E9869" s="6" t="str">
        <f>HYPERLINK("https://inpn.mnhn.fr/espece/cd_nom/222170","Trachys quercicola Marseul, 1871")</f>
        <v>Trachys quercicola Marseul, 1871</v>
      </c>
      <c r="AH9869" s="4" t="str">
        <f>HYPERLINK("#Statut_biogéographique!A"&amp;_xlfn.XMATCH("P",Statut_biogéographique!A:A,2,1),"P")</f>
        <v>P</v>
      </c>
      <c r="AP9869" s="4" t="s">
        <v>376</v>
      </c>
      <c r="AR9869" s="4" t="s">
        <v>377</v>
      </c>
    </row>
    <row r="9870" spans="1:44">
      <c r="A9870" s="4" t="s">
        <v>10753</v>
      </c>
      <c r="B9870" s="4">
        <v>222171</v>
      </c>
      <c r="D9870" s="5">
        <v>222171</v>
      </c>
      <c r="E9870" s="6" t="str">
        <f>HYPERLINK("https://inpn.mnhn.fr/espece/cd_nom/222171","Trachys scrobiculatus Kiesenwetter, 1857")</f>
        <v>Trachys scrobiculatus Kiesenwetter, 1857</v>
      </c>
      <c r="AH9870" s="4" t="str">
        <f>HYPERLINK("#Statut_biogéographique!A"&amp;_xlfn.XMATCH("P",Statut_biogéographique!A:A,2,1),"P")</f>
        <v>P</v>
      </c>
      <c r="AP9870" s="4" t="s">
        <v>376</v>
      </c>
      <c r="AR9870" s="4" t="s">
        <v>377</v>
      </c>
    </row>
    <row r="9871" spans="1:44" ht="30">
      <c r="A9871" s="4" t="s">
        <v>10753</v>
      </c>
      <c r="B9871" s="4">
        <v>222172</v>
      </c>
      <c r="D9871" s="5">
        <v>222172</v>
      </c>
      <c r="E9871" s="6" t="str">
        <f>HYPERLINK("https://inpn.mnhn.fr/espece/cd_nom/222172","Trachys troglodytes Gyllenhal in Schönherr, 1817")</f>
        <v>Trachys troglodytes Gyllenhal in Schönherr, 1817</v>
      </c>
      <c r="AH9871" s="4" t="str">
        <f>HYPERLINK("#Statut_biogéographique!A"&amp;_xlfn.XMATCH("P",Statut_biogéographique!A:A,2,1),"P")</f>
        <v>P</v>
      </c>
      <c r="AP9871" s="4" t="s">
        <v>376</v>
      </c>
      <c r="AR9871" s="4" t="s">
        <v>377</v>
      </c>
    </row>
    <row r="9872" spans="1:44" ht="45">
      <c r="A9872" s="4" t="s">
        <v>10753</v>
      </c>
      <c r="B9872" s="4">
        <v>222173</v>
      </c>
      <c r="D9872" s="5" t="s">
        <v>13020</v>
      </c>
      <c r="E9872" s="6" t="str">
        <f>HYPERLINK("https://inpn.mnhn.fr/espece/cd_nom/222173","Trachys troglodytiformis Obenberger, 1918")</f>
        <v>Trachys troglodytiformis Obenberger, 1918</v>
      </c>
      <c r="AH9872" s="4" t="str">
        <f>HYPERLINK("#Statut_biogéographique!A"&amp;_xlfn.XMATCH("P",Statut_biogéographique!A:A,2,1),"P")</f>
        <v>P</v>
      </c>
      <c r="AP9872" s="4" t="s">
        <v>376</v>
      </c>
      <c r="AR9872" s="4" t="s">
        <v>377</v>
      </c>
    </row>
    <row r="9873" spans="1:44" ht="30">
      <c r="A9873" s="4" t="s">
        <v>10753</v>
      </c>
      <c r="B9873" s="4">
        <v>222177</v>
      </c>
      <c r="D9873" s="5" t="s">
        <v>13021</v>
      </c>
      <c r="E9873" s="6" t="str">
        <f>HYPERLINK("https://inpn.mnhn.fr/espece/cd_nom/222177","Acmaeoderella flavofasciata (Piller &amp; Mitterpacher, 1783)")</f>
        <v>Acmaeoderella flavofasciata (Piller &amp; Mitterpacher, 1783)</v>
      </c>
      <c r="AH9873" s="4" t="str">
        <f>HYPERLINK("#Statut_biogéographique!A"&amp;_xlfn.XMATCH("P",Statut_biogéographique!A:A,2,1),"P")</f>
        <v>P</v>
      </c>
      <c r="AP9873" s="4" t="s">
        <v>376</v>
      </c>
      <c r="AR9873" s="4" t="s">
        <v>377</v>
      </c>
    </row>
    <row r="9874" spans="1:44">
      <c r="A9874" s="4" t="s">
        <v>10753</v>
      </c>
      <c r="B9874" s="4">
        <v>222182</v>
      </c>
      <c r="D9874" s="5" t="s">
        <v>13022</v>
      </c>
      <c r="E9874" s="6" t="str">
        <f>HYPERLINK("https://inpn.mnhn.fr/espece/cd_nom/222182","Acmaeoderella adspersula (Illiger, 1803)")</f>
        <v>Acmaeoderella adspersula (Illiger, 1803)</v>
      </c>
      <c r="AH9874" s="4" t="str">
        <f>HYPERLINK("#Statut_biogéographique!A"&amp;_xlfn.XMATCH("P",Statut_biogéographique!A:A,2,1),"P")</f>
        <v>P</v>
      </c>
      <c r="AP9874" s="4" t="s">
        <v>376</v>
      </c>
      <c r="AR9874" s="4" t="s">
        <v>377</v>
      </c>
    </row>
    <row r="9875" spans="1:44">
      <c r="A9875" s="4" t="s">
        <v>10753</v>
      </c>
      <c r="B9875" s="4">
        <v>222188</v>
      </c>
      <c r="D9875" s="5" t="s">
        <v>13023</v>
      </c>
      <c r="E9875" s="6" t="str">
        <f>HYPERLINK("https://inpn.mnhn.fr/espece/cd_nom/222188","Ptosima undecimmaculata (Herbst, 1784)")</f>
        <v>Ptosima undecimmaculata (Herbst, 1784)</v>
      </c>
      <c r="F9875" s="5" t="s">
        <v>13024</v>
      </c>
      <c r="AH9875" s="4" t="str">
        <f>HYPERLINK("#Statut_biogéographique!A"&amp;_xlfn.XMATCH("P",Statut_biogéographique!A:A,2,1),"P")</f>
        <v>P</v>
      </c>
      <c r="AP9875" s="4" t="s">
        <v>376</v>
      </c>
      <c r="AR9875" s="4" t="s">
        <v>377</v>
      </c>
    </row>
    <row r="9876" spans="1:44">
      <c r="A9876" s="4" t="s">
        <v>10753</v>
      </c>
      <c r="B9876" s="4">
        <v>222189</v>
      </c>
      <c r="D9876" s="5" t="s">
        <v>13025</v>
      </c>
      <c r="E9876" s="6" t="str">
        <f>HYPERLINK("https://inpn.mnhn.fr/espece/cd_nom/222189","Byturus tomentosus (De Geer, 1774)")</f>
        <v>Byturus tomentosus (De Geer, 1774)</v>
      </c>
      <c r="F9876" s="5" t="s">
        <v>13026</v>
      </c>
      <c r="AH9876" s="4" t="str">
        <f>HYPERLINK("#Statut_biogéographique!A"&amp;_xlfn.XMATCH("P",Statut_biogéographique!A:A,2,1),"P")</f>
        <v>P</v>
      </c>
      <c r="AP9876" s="4" t="s">
        <v>376</v>
      </c>
      <c r="AR9876" s="4" t="s">
        <v>377</v>
      </c>
    </row>
    <row r="9877" spans="1:44">
      <c r="A9877" s="4" t="s">
        <v>10753</v>
      </c>
      <c r="B9877" s="4">
        <v>222190</v>
      </c>
      <c r="D9877" s="5" t="s">
        <v>13027</v>
      </c>
      <c r="E9877" s="6" t="str">
        <f>HYPERLINK("https://inpn.mnhn.fr/espece/cd_nom/222190","Byturus ochraceus (Scriba, 1790)")</f>
        <v>Byturus ochraceus (Scriba, 1790)</v>
      </c>
      <c r="AH9877" s="4" t="str">
        <f>HYPERLINK("#Statut_biogéographique!A"&amp;_xlfn.XMATCH("P",Statut_biogéographique!A:A,2,1),"P")</f>
        <v>P</v>
      </c>
      <c r="AP9877" s="4" t="s">
        <v>376</v>
      </c>
      <c r="AR9877" s="4" t="s">
        <v>377</v>
      </c>
    </row>
    <row r="9878" spans="1:44">
      <c r="A9878" s="4" t="s">
        <v>10753</v>
      </c>
      <c r="B9878" s="4">
        <v>222193</v>
      </c>
      <c r="D9878" s="5" t="s">
        <v>13028</v>
      </c>
      <c r="E9878" s="6" t="str">
        <f>HYPERLINK("https://inpn.mnhn.fr/espece/cd_nom/222193","Malthinus biguttatus (Linnaeus, 1758)")</f>
        <v>Malthinus biguttatus (Linnaeus, 1758)</v>
      </c>
      <c r="AH9878" s="4" t="str">
        <f>HYPERLINK("#Statut_biogéographique!A"&amp;_xlfn.XMATCH("P",Statut_biogéographique!A:A,2,1),"P")</f>
        <v>P</v>
      </c>
      <c r="AP9878" s="4" t="s">
        <v>376</v>
      </c>
      <c r="AR9878" s="4" t="s">
        <v>377</v>
      </c>
    </row>
    <row r="9879" spans="1:44">
      <c r="A9879" s="4" t="s">
        <v>10753</v>
      </c>
      <c r="B9879" s="4">
        <v>222194</v>
      </c>
      <c r="D9879" s="5">
        <v>222194</v>
      </c>
      <c r="E9879" s="6" t="str">
        <f>HYPERLINK("https://inpn.mnhn.fr/espece/cd_nom/222194","Malthinus bilineatus Kiesenwetter, 1852")</f>
        <v>Malthinus bilineatus Kiesenwetter, 1852</v>
      </c>
      <c r="AH9879" s="4" t="str">
        <f>HYPERLINK("#Statut_biogéographique!A"&amp;_xlfn.XMATCH("P",Statut_biogéographique!A:A,2,1),"P")</f>
        <v>P</v>
      </c>
      <c r="AP9879" s="4" t="s">
        <v>376</v>
      </c>
      <c r="AR9879" s="4" t="s">
        <v>377</v>
      </c>
    </row>
    <row r="9880" spans="1:44" ht="30">
      <c r="A9880" s="4" t="s">
        <v>10753</v>
      </c>
      <c r="B9880" s="4">
        <v>222197</v>
      </c>
      <c r="D9880" s="5" t="s">
        <v>13029</v>
      </c>
      <c r="E9880" s="6" t="str">
        <f>HYPERLINK("https://inpn.mnhn.fr/espece/cd_nom/222197","Malthinus facialis C.G. Thomson, 1864")</f>
        <v>Malthinus facialis C.G. Thomson, 1864</v>
      </c>
      <c r="AH9880" s="4" t="str">
        <f>HYPERLINK("#Statut_biogéographique!A"&amp;_xlfn.XMATCH("P",Statut_biogéographique!A:A,2,1),"P")</f>
        <v>P</v>
      </c>
      <c r="AP9880" s="4" t="s">
        <v>376</v>
      </c>
      <c r="AR9880" s="4" t="s">
        <v>377</v>
      </c>
    </row>
    <row r="9881" spans="1:44">
      <c r="A9881" s="4" t="s">
        <v>10753</v>
      </c>
      <c r="B9881" s="4">
        <v>22220</v>
      </c>
      <c r="D9881" s="5" t="s">
        <v>13030</v>
      </c>
      <c r="E9881" s="6" t="str">
        <f>HYPERLINK("https://inpn.mnhn.fr/espece/cd_nom/22220","Pachygaster atra (Panzer, 1798)")</f>
        <v>Pachygaster atra (Panzer, 1798)</v>
      </c>
      <c r="AH9881" s="4" t="str">
        <f>HYPERLINK("#Statut_biogéographique!A"&amp;_xlfn.XMATCH("P",Statut_biogéographique!A:A,2,1),"P")</f>
        <v>P</v>
      </c>
      <c r="AP9881" s="4" t="s">
        <v>376</v>
      </c>
      <c r="AR9881" s="4" t="s">
        <v>377</v>
      </c>
    </row>
    <row r="9882" spans="1:44">
      <c r="A9882" s="4" t="s">
        <v>10753</v>
      </c>
      <c r="B9882" s="4">
        <v>222200</v>
      </c>
      <c r="D9882" s="5" t="s">
        <v>13031</v>
      </c>
      <c r="E9882" s="6" t="str">
        <f>HYPERLINK("https://inpn.mnhn.fr/espece/cd_nom/222200","Malthodes brevicollis (Paykull, 1798)")</f>
        <v>Malthodes brevicollis (Paykull, 1798)</v>
      </c>
      <c r="AH9882" s="4" t="str">
        <f>HYPERLINK("#Statut_biogéographique!A"&amp;_xlfn.XMATCH("P",Statut_biogéographique!A:A,2,1),"P")</f>
        <v>P</v>
      </c>
      <c r="AP9882" s="4" t="s">
        <v>376</v>
      </c>
      <c r="AR9882" s="4" t="s">
        <v>377</v>
      </c>
    </row>
    <row r="9883" spans="1:44">
      <c r="A9883" s="4" t="s">
        <v>10753</v>
      </c>
      <c r="B9883" s="4">
        <v>222211</v>
      </c>
      <c r="D9883" s="5" t="s">
        <v>13032</v>
      </c>
      <c r="E9883" s="6" t="str">
        <f>HYPERLINK("https://inpn.mnhn.fr/espece/cd_nom/222211","Malthodes dispar (Germar, 1823)")</f>
        <v>Malthodes dispar (Germar, 1823)</v>
      </c>
      <c r="AH9883" s="4" t="str">
        <f>HYPERLINK("#Statut_biogéographique!A"&amp;_xlfn.XMATCH("P",Statut_biogéographique!A:A,2,1),"P")</f>
        <v>P</v>
      </c>
      <c r="AP9883" s="4" t="s">
        <v>376</v>
      </c>
      <c r="AR9883" s="4" t="s">
        <v>377</v>
      </c>
    </row>
    <row r="9884" spans="1:44">
      <c r="A9884" s="4" t="s">
        <v>10753</v>
      </c>
      <c r="B9884" s="4">
        <v>222221</v>
      </c>
      <c r="D9884" s="5" t="s">
        <v>13033</v>
      </c>
      <c r="E9884" s="6" t="str">
        <f>HYPERLINK("https://inpn.mnhn.fr/espece/cd_nom/222221","Malthodes marginatus (Latreille, 1806)")</f>
        <v>Malthodes marginatus (Latreille, 1806)</v>
      </c>
      <c r="AH9884" s="4" t="str">
        <f>HYPERLINK("#Statut_biogéographique!A"&amp;_xlfn.XMATCH("P",Statut_biogéographique!A:A,2,1),"P")</f>
        <v>P</v>
      </c>
      <c r="AP9884" s="4" t="s">
        <v>376</v>
      </c>
      <c r="AR9884" s="4" t="s">
        <v>377</v>
      </c>
    </row>
    <row r="9885" spans="1:44" ht="30">
      <c r="A9885" s="4" t="s">
        <v>10753</v>
      </c>
      <c r="B9885" s="4">
        <v>222224</v>
      </c>
      <c r="D9885" s="5" t="s">
        <v>13034</v>
      </c>
      <c r="E9885" s="6" t="str">
        <f>HYPERLINK("https://inpn.mnhn.fr/espece/cd_nom/222224","Malthodes minimus (Linnaeus, 1758)")</f>
        <v>Malthodes minimus (Linnaeus, 1758)</v>
      </c>
      <c r="AH9885" s="4" t="str">
        <f>HYPERLINK("#Statut_biogéographique!A"&amp;_xlfn.XMATCH("P",Statut_biogéographique!A:A,2,1),"P")</f>
        <v>P</v>
      </c>
      <c r="AP9885" s="4" t="s">
        <v>376</v>
      </c>
      <c r="AR9885" s="4" t="s">
        <v>377</v>
      </c>
    </row>
    <row r="9886" spans="1:44">
      <c r="A9886" s="4" t="s">
        <v>10753</v>
      </c>
      <c r="B9886" s="4">
        <v>222226</v>
      </c>
      <c r="D9886" s="5">
        <v>222226</v>
      </c>
      <c r="E9886" s="6" t="str">
        <f>HYPERLINK("https://inpn.mnhn.fr/espece/cd_nom/222226","Malthodes mysticus Kiesenwetter, 1852")</f>
        <v>Malthodes mysticus Kiesenwetter, 1852</v>
      </c>
      <c r="AH9886" s="4" t="str">
        <f>HYPERLINK("#Statut_biogéographique!A"&amp;_xlfn.XMATCH("P",Statut_biogéographique!A:A,2,1),"P")</f>
        <v>P</v>
      </c>
      <c r="AP9886" s="4" t="s">
        <v>376</v>
      </c>
      <c r="AR9886" s="4" t="s">
        <v>377</v>
      </c>
    </row>
    <row r="9887" spans="1:44">
      <c r="A9887" s="4" t="s">
        <v>10753</v>
      </c>
      <c r="B9887" s="4">
        <v>222234</v>
      </c>
      <c r="D9887" s="5" t="s">
        <v>13035</v>
      </c>
      <c r="E9887" s="6" t="str">
        <f>HYPERLINK("https://inpn.mnhn.fr/espece/cd_nom/222234","Malthodes spathifer Kiesenwetter, 1852")</f>
        <v>Malthodes spathifer Kiesenwetter, 1852</v>
      </c>
      <c r="AH9887" s="4" t="str">
        <f>HYPERLINK("#Statut_biogéographique!A"&amp;_xlfn.XMATCH("P",Statut_biogéographique!A:A,2,1),"P")</f>
        <v>P</v>
      </c>
      <c r="AP9887" s="4" t="s">
        <v>376</v>
      </c>
      <c r="AR9887" s="4" t="s">
        <v>377</v>
      </c>
    </row>
    <row r="9888" spans="1:44" ht="30">
      <c r="A9888" s="4" t="s">
        <v>10753</v>
      </c>
      <c r="B9888" s="4">
        <v>222244</v>
      </c>
      <c r="D9888" s="5" t="s">
        <v>13036</v>
      </c>
      <c r="E9888" s="6" t="str">
        <f>HYPERLINK("https://inpn.mnhn.fr/espece/cd_nom/222244","Rhagonycha atra (Linnaeus, 1767)")</f>
        <v>Rhagonycha atra (Linnaeus, 1767)</v>
      </c>
      <c r="AH9888" s="4" t="str">
        <f>HYPERLINK("#Statut_biogéographique!A"&amp;_xlfn.XMATCH("P",Statut_biogéographique!A:A,2,1),"P")</f>
        <v>P</v>
      </c>
      <c r="AP9888" s="4" t="s">
        <v>376</v>
      </c>
      <c r="AR9888" s="4" t="s">
        <v>377</v>
      </c>
    </row>
    <row r="9889" spans="1:44">
      <c r="A9889" s="4" t="s">
        <v>10753</v>
      </c>
      <c r="B9889" s="4">
        <v>222249</v>
      </c>
      <c r="D9889" s="5" t="s">
        <v>13037</v>
      </c>
      <c r="E9889" s="6" t="str">
        <f>HYPERLINK("https://inpn.mnhn.fr/espece/cd_nom/222249","Rhagonycha gallica Pic, 1923")</f>
        <v>Rhagonycha gallica Pic, 1923</v>
      </c>
      <c r="AH9889" s="4" t="str">
        <f>HYPERLINK("#Statut_biogéographique!A"&amp;_xlfn.XMATCH("P",Statut_biogéographique!A:A,2,1),"P")</f>
        <v>P</v>
      </c>
      <c r="AP9889" s="4" t="s">
        <v>376</v>
      </c>
      <c r="AR9889" s="4" t="s">
        <v>377</v>
      </c>
    </row>
    <row r="9890" spans="1:44" ht="30">
      <c r="A9890" s="4" t="s">
        <v>10753</v>
      </c>
      <c r="B9890" s="4">
        <v>222251</v>
      </c>
      <c r="D9890" s="5" t="s">
        <v>13038</v>
      </c>
      <c r="E9890" s="6" t="str">
        <f>HYPERLINK("https://inpn.mnhn.fr/espece/cd_nom/222251","Rhagonycha lutea (O.F. Müller, 1764)")</f>
        <v>Rhagonycha lutea (O.F. Müller, 1764)</v>
      </c>
      <c r="AH9890" s="4" t="str">
        <f>HYPERLINK("#Statut_biogéographique!A"&amp;_xlfn.XMATCH("P",Statut_biogéographique!A:A,2,1),"P")</f>
        <v>P</v>
      </c>
      <c r="AP9890" s="4" t="s">
        <v>376</v>
      </c>
      <c r="AR9890" s="4" t="s">
        <v>377</v>
      </c>
    </row>
    <row r="9891" spans="1:44" ht="30">
      <c r="A9891" s="4" t="s">
        <v>10753</v>
      </c>
      <c r="B9891" s="4">
        <v>222256</v>
      </c>
      <c r="D9891" s="5" t="s">
        <v>13039</v>
      </c>
      <c r="E9891" s="6" t="str">
        <f>HYPERLINK("https://inpn.mnhn.fr/espece/cd_nom/222256","Rhagonycha nigriventris Motschulsky, 1860")</f>
        <v>Rhagonycha nigriventris Motschulsky, 1860</v>
      </c>
      <c r="AH9891" s="4" t="str">
        <f>HYPERLINK("#Statut_biogéographique!A"&amp;_xlfn.XMATCH("P",Statut_biogéographique!A:A,2,1),"P")</f>
        <v>P</v>
      </c>
      <c r="AP9891" s="4" t="s">
        <v>376</v>
      </c>
      <c r="AR9891" s="4" t="s">
        <v>377</v>
      </c>
    </row>
    <row r="9892" spans="1:44" ht="60">
      <c r="A9892" s="4" t="s">
        <v>10753</v>
      </c>
      <c r="B9892" s="4">
        <v>222258</v>
      </c>
      <c r="D9892" s="5" t="s">
        <v>13040</v>
      </c>
      <c r="E9892" s="6" t="str">
        <f>HYPERLINK("https://inpn.mnhn.fr/espece/cd_nom/222258","Rhagonycha translucida (Krynicki, 1832)")</f>
        <v>Rhagonycha translucida (Krynicki, 1832)</v>
      </c>
      <c r="AH9892" s="4" t="str">
        <f>HYPERLINK("#Statut_biogéographique!A"&amp;_xlfn.XMATCH("P",Statut_biogéographique!A:A,2,1),"P")</f>
        <v>P</v>
      </c>
      <c r="AP9892" s="4" t="s">
        <v>376</v>
      </c>
      <c r="AR9892" s="4" t="s">
        <v>377</v>
      </c>
    </row>
    <row r="9893" spans="1:44">
      <c r="A9893" s="4" t="s">
        <v>10753</v>
      </c>
      <c r="B9893" s="4">
        <v>222260</v>
      </c>
      <c r="D9893" s="5" t="s">
        <v>13041</v>
      </c>
      <c r="E9893" s="6" t="str">
        <f>HYPERLINK("https://inpn.mnhn.fr/espece/cd_nom/222260","Podistra rufotestacea (Letzner, 1845)")</f>
        <v>Podistra rufotestacea (Letzner, 1845)</v>
      </c>
      <c r="AH9893" s="4" t="str">
        <f>HYPERLINK("#Statut_biogéographique!A"&amp;_xlfn.XMATCH("P",Statut_biogéographique!A:A,2,1),"P")</f>
        <v>P</v>
      </c>
      <c r="AP9893" s="4" t="s">
        <v>376</v>
      </c>
      <c r="AR9893" s="4" t="s">
        <v>377</v>
      </c>
    </row>
    <row r="9894" spans="1:44" ht="45">
      <c r="A9894" s="4" t="s">
        <v>10753</v>
      </c>
      <c r="B9894" s="4">
        <v>222262</v>
      </c>
      <c r="D9894" s="5" t="s">
        <v>13042</v>
      </c>
      <c r="E9894" s="6" t="str">
        <f>HYPERLINK("https://inpn.mnhn.fr/espece/cd_nom/222262","Metacantharis discoidea (Ahrens, 1812)")</f>
        <v>Metacantharis discoidea (Ahrens, 1812)</v>
      </c>
      <c r="AH9894" s="4" t="str">
        <f>HYPERLINK("#Statut_biogéographique!A"&amp;_xlfn.XMATCH("P",Statut_biogéographique!A:A,2,1),"P")</f>
        <v>P</v>
      </c>
      <c r="AP9894" s="4" t="s">
        <v>376</v>
      </c>
      <c r="AR9894" s="4" t="s">
        <v>377</v>
      </c>
    </row>
    <row r="9895" spans="1:44" ht="30">
      <c r="A9895" s="4" t="s">
        <v>10753</v>
      </c>
      <c r="B9895" s="4">
        <v>222263</v>
      </c>
      <c r="D9895" s="5" t="s">
        <v>13043</v>
      </c>
      <c r="E9895" s="6" t="str">
        <f>HYPERLINK("https://inpn.mnhn.fr/espece/cd_nom/222263","Cratosilis denticollis (Schummel, 1844)")</f>
        <v>Cratosilis denticollis (Schummel, 1844)</v>
      </c>
      <c r="AH9895" s="4" t="str">
        <f>HYPERLINK("#Statut_biogéographique!A"&amp;_xlfn.XMATCH("P",Statut_biogéographique!A:A,2,1),"P")</f>
        <v>P</v>
      </c>
      <c r="AP9895" s="4" t="s">
        <v>376</v>
      </c>
      <c r="AR9895" s="4" t="s">
        <v>377</v>
      </c>
    </row>
    <row r="9896" spans="1:44">
      <c r="A9896" s="4" t="s">
        <v>10753</v>
      </c>
      <c r="B9896" s="4">
        <v>222266</v>
      </c>
      <c r="D9896" s="5">
        <v>222266</v>
      </c>
      <c r="E9896" s="6" t="str">
        <f>HYPERLINK("https://inpn.mnhn.fr/espece/cd_nom/222266","Cantharis cryptica Ashe, 1947")</f>
        <v>Cantharis cryptica Ashe, 1947</v>
      </c>
      <c r="AH9896" s="4" t="str">
        <f>HYPERLINK("#Statut_biogéographique!A"&amp;_xlfn.XMATCH("P",Statut_biogéographique!A:A,2,1),"P")</f>
        <v>P</v>
      </c>
      <c r="AP9896" s="4" t="s">
        <v>376</v>
      </c>
      <c r="AR9896" s="4" t="s">
        <v>377</v>
      </c>
    </row>
    <row r="9897" spans="1:44">
      <c r="A9897" s="4" t="s">
        <v>10753</v>
      </c>
      <c r="B9897" s="4">
        <v>222268</v>
      </c>
      <c r="D9897" s="5">
        <v>222268</v>
      </c>
      <c r="E9897" s="6" t="str">
        <f>HYPERLINK("https://inpn.mnhn.fr/espece/cd_nom/222268","Cantharis decipiens Baudi di Selve, 1872")</f>
        <v>Cantharis decipiens Baudi di Selve, 1872</v>
      </c>
      <c r="AH9897" s="4" t="str">
        <f>HYPERLINK("#Statut_biogéographique!A"&amp;_xlfn.XMATCH("P",Statut_biogéographique!A:A,2,1),"P")</f>
        <v>P</v>
      </c>
      <c r="AP9897" s="4" t="s">
        <v>376</v>
      </c>
      <c r="AR9897" s="4" t="s">
        <v>377</v>
      </c>
    </row>
    <row r="9898" spans="1:44" ht="30">
      <c r="A9898" s="4" t="s">
        <v>10753</v>
      </c>
      <c r="B9898" s="4">
        <v>222270</v>
      </c>
      <c r="D9898" s="5" t="s">
        <v>13044</v>
      </c>
      <c r="E9898" s="6" t="str">
        <f>HYPERLINK("https://inpn.mnhn.fr/espece/cd_nom/222270","Cantharis figurata Mannerheim, 1843")</f>
        <v>Cantharis figurata Mannerheim, 1843</v>
      </c>
      <c r="AH9898" s="4" t="str">
        <f>HYPERLINK("#Statut_biogéographique!A"&amp;_xlfn.XMATCH("P",Statut_biogéographique!A:A,2,1),"P")</f>
        <v>P</v>
      </c>
      <c r="AP9898" s="4" t="s">
        <v>376</v>
      </c>
      <c r="AR9898" s="4" t="s">
        <v>377</v>
      </c>
    </row>
    <row r="9899" spans="1:44" ht="30">
      <c r="A9899" s="4" t="s">
        <v>10753</v>
      </c>
      <c r="B9899" s="4">
        <v>222271</v>
      </c>
      <c r="D9899" s="5" t="s">
        <v>13045</v>
      </c>
      <c r="E9899" s="6" t="str">
        <f>HYPERLINK("https://inpn.mnhn.fr/espece/cd_nom/222271","Cantharis flavilabris Fallén, 1807")</f>
        <v>Cantharis flavilabris Fallén, 1807</v>
      </c>
      <c r="AH9899" s="4" t="str">
        <f>HYPERLINK("#Statut_biogéographique!A"&amp;_xlfn.XMATCH("P",Statut_biogéographique!A:A,2,1),"P")</f>
        <v>P</v>
      </c>
      <c r="AP9899" s="4" t="s">
        <v>376</v>
      </c>
      <c r="AR9899" s="4" t="s">
        <v>377</v>
      </c>
    </row>
    <row r="9900" spans="1:44" ht="45">
      <c r="A9900" s="4" t="s">
        <v>10753</v>
      </c>
      <c r="B9900" s="4">
        <v>222274</v>
      </c>
      <c r="D9900" s="5" t="s">
        <v>13046</v>
      </c>
      <c r="E9900" s="6" t="str">
        <f>HYPERLINK("https://inpn.mnhn.fr/espece/cd_nom/222274","Cantharis nigra (De Geer, 1774)")</f>
        <v>Cantharis nigra (De Geer, 1774)</v>
      </c>
      <c r="AH9900" s="4" t="str">
        <f>HYPERLINK("#Statut_biogéographique!A"&amp;_xlfn.XMATCH("P",Statut_biogéographique!A:A,2,1),"P")</f>
        <v>P</v>
      </c>
      <c r="AP9900" s="4" t="s">
        <v>376</v>
      </c>
      <c r="AR9900" s="4" t="s">
        <v>377</v>
      </c>
    </row>
    <row r="9901" spans="1:44" ht="30">
      <c r="A9901" s="4" t="s">
        <v>10753</v>
      </c>
      <c r="B9901" s="4">
        <v>222276</v>
      </c>
      <c r="D9901" s="5" t="s">
        <v>13047</v>
      </c>
      <c r="E9901" s="6" t="str">
        <f>HYPERLINK("https://inpn.mnhn.fr/espece/cd_nom/222276","Cantharis pallida Goeze, 1777")</f>
        <v>Cantharis pallida Goeze, 1777</v>
      </c>
      <c r="AH9901" s="4" t="str">
        <f>HYPERLINK("#Statut_biogéographique!A"&amp;_xlfn.XMATCH("P",Statut_biogéographique!A:A,2,1),"P")</f>
        <v>P</v>
      </c>
      <c r="AP9901" s="4" t="s">
        <v>376</v>
      </c>
      <c r="AR9901" s="4" t="s">
        <v>377</v>
      </c>
    </row>
    <row r="9902" spans="1:44" ht="60">
      <c r="A9902" s="4" t="s">
        <v>10753</v>
      </c>
      <c r="B9902" s="4">
        <v>222280</v>
      </c>
      <c r="D9902" s="5" t="s">
        <v>13048</v>
      </c>
      <c r="E9902" s="6" t="str">
        <f>HYPERLINK("https://inpn.mnhn.fr/espece/cd_nom/222280","Cantharis rufa Linnaeus, 1758")</f>
        <v>Cantharis rufa Linnaeus, 1758</v>
      </c>
      <c r="F9902" s="5" t="s">
        <v>13049</v>
      </c>
      <c r="AH9902" s="4" t="str">
        <f>HYPERLINK("#Statut_biogéographique!A"&amp;_xlfn.XMATCH("P",Statut_biogéographique!A:A,2,1),"P")</f>
        <v>P</v>
      </c>
      <c r="AP9902" s="4" t="s">
        <v>376</v>
      </c>
      <c r="AR9902" s="4" t="s">
        <v>377</v>
      </c>
    </row>
    <row r="9903" spans="1:44" ht="30">
      <c r="A9903" s="4" t="s">
        <v>10753</v>
      </c>
      <c r="B9903" s="4">
        <v>222281</v>
      </c>
      <c r="D9903" s="5" t="s">
        <v>13050</v>
      </c>
      <c r="E9903" s="6" t="str">
        <f>HYPERLINK("https://inpn.mnhn.fr/espece/cd_nom/222281","Cantharis terminata Faldermann, 1835")</f>
        <v>Cantharis terminata Faldermann, 1835</v>
      </c>
      <c r="AH9903" s="4" t="str">
        <f>HYPERLINK("#Statut_biogéographique!A"&amp;_xlfn.XMATCH("P",Statut_biogéographique!A:A,2,1),"P")</f>
        <v>P</v>
      </c>
      <c r="AP9903" s="4" t="s">
        <v>376</v>
      </c>
      <c r="AR9903" s="4" t="s">
        <v>377</v>
      </c>
    </row>
    <row r="9904" spans="1:44" ht="30">
      <c r="A9904" s="4" t="s">
        <v>10753</v>
      </c>
      <c r="B9904" s="4">
        <v>222287</v>
      </c>
      <c r="D9904" s="5" t="s">
        <v>13051</v>
      </c>
      <c r="E9904" s="6" t="str">
        <f>HYPERLINK("https://inpn.mnhn.fr/espece/cd_nom/222287","Ancistronycha abdominalis (Fabricius, 1798)")</f>
        <v>Ancistronycha abdominalis (Fabricius, 1798)</v>
      </c>
      <c r="AH9904" s="4" t="str">
        <f>HYPERLINK("#Statut_biogéographique!A"&amp;_xlfn.XMATCH("P",Statut_biogéographique!A:A,2,1),"P")</f>
        <v>P</v>
      </c>
      <c r="AP9904" s="4" t="s">
        <v>376</v>
      </c>
      <c r="AR9904" s="4" t="s">
        <v>377</v>
      </c>
    </row>
    <row r="9905" spans="1:44" ht="30">
      <c r="A9905" s="4" t="s">
        <v>10753</v>
      </c>
      <c r="B9905" s="4">
        <v>222290</v>
      </c>
      <c r="D9905" s="5" t="s">
        <v>13052</v>
      </c>
      <c r="E9905" s="6" t="str">
        <f>HYPERLINK("https://inpn.mnhn.fr/espece/cd_nom/222290","Ancistronycha violacea (Paykull, 1798)")</f>
        <v>Ancistronycha violacea (Paykull, 1798)</v>
      </c>
      <c r="AH9905" s="4" t="str">
        <f>HYPERLINK("#Statut_biogéographique!A"&amp;_xlfn.XMATCH("P",Statut_biogéographique!A:A,2,1),"P")</f>
        <v>P</v>
      </c>
      <c r="AP9905" s="4" t="s">
        <v>376</v>
      </c>
      <c r="AR9905" s="4" t="s">
        <v>377</v>
      </c>
    </row>
    <row r="9906" spans="1:44" ht="30">
      <c r="A9906" s="4" t="s">
        <v>10753</v>
      </c>
      <c r="B9906" s="4">
        <v>222291</v>
      </c>
      <c r="D9906" s="5" t="s">
        <v>13053</v>
      </c>
      <c r="E9906" s="6" t="str">
        <f>HYPERLINK("https://inpn.mnhn.fr/espece/cd_nom/222291","Polistichus connexus (Geoffroy in Fourcroy, 1785)")</f>
        <v>Polistichus connexus (Geoffroy in Fourcroy, 1785)</v>
      </c>
      <c r="F9906" s="5" t="s">
        <v>13054</v>
      </c>
      <c r="AH9906" s="4" t="str">
        <f>HYPERLINK("#Statut_biogéographique!A"&amp;_xlfn.XMATCH("P",Statut_biogéographique!A:A,2,1),"P")</f>
        <v>P</v>
      </c>
      <c r="AP9906" s="4" t="s">
        <v>376</v>
      </c>
      <c r="AR9906" s="4" t="s">
        <v>377</v>
      </c>
    </row>
    <row r="9907" spans="1:44">
      <c r="A9907" s="4" t="s">
        <v>10753</v>
      </c>
      <c r="B9907" s="4">
        <v>222308</v>
      </c>
      <c r="D9907" s="5" t="s">
        <v>13055</v>
      </c>
      <c r="E9907" s="6" t="str">
        <f>HYPERLINK("https://inpn.mnhn.fr/espece/cd_nom/222308","Lionychus quadrillum (Duftschmid, 1812)")</f>
        <v>Lionychus quadrillum (Duftschmid, 1812)</v>
      </c>
      <c r="AH9907" s="4" t="str">
        <f>HYPERLINK("#Statut_biogéographique!A"&amp;_xlfn.XMATCH("P",Statut_biogéographique!A:A,2,1),"P")</f>
        <v>P</v>
      </c>
      <c r="AP9907" s="4" t="s">
        <v>376</v>
      </c>
      <c r="AR9907" s="4" t="s">
        <v>377</v>
      </c>
    </row>
    <row r="9908" spans="1:44" ht="30">
      <c r="A9908" s="4" t="s">
        <v>10753</v>
      </c>
      <c r="B9908" s="4">
        <v>222315</v>
      </c>
      <c r="D9908" s="5" t="s">
        <v>13056</v>
      </c>
      <c r="E9908" s="6" t="str">
        <f>HYPERLINK("https://inpn.mnhn.fr/espece/cd_nom/222315","Syntomus obscuroguttatus (Duftschmid, 1812)")</f>
        <v>Syntomus obscuroguttatus (Duftschmid, 1812)</v>
      </c>
      <c r="AH9908" s="4" t="str">
        <f>HYPERLINK("#Statut_biogéographique!A"&amp;_xlfn.XMATCH("P",Statut_biogéographique!A:A,2,1),"P")</f>
        <v>P</v>
      </c>
      <c r="AP9908" s="4" t="s">
        <v>376</v>
      </c>
      <c r="AR9908" s="4" t="s">
        <v>377</v>
      </c>
    </row>
    <row r="9909" spans="1:44">
      <c r="A9909" s="4" t="s">
        <v>10753</v>
      </c>
      <c r="B9909" s="4">
        <v>222318</v>
      </c>
      <c r="D9909" s="5" t="s">
        <v>13057</v>
      </c>
      <c r="E9909" s="6" t="str">
        <f>HYPERLINK("https://inpn.mnhn.fr/espece/cd_nom/222318","Philorhizus melanocephalus (Dejean, 1825)")</f>
        <v>Philorhizus melanocephalus (Dejean, 1825)</v>
      </c>
      <c r="AH9909" s="4" t="str">
        <f>HYPERLINK("#Statut_biogéographique!A"&amp;_xlfn.XMATCH("P",Statut_biogéographique!A:A,2,1),"P")</f>
        <v>P</v>
      </c>
      <c r="AP9909" s="4" t="s">
        <v>376</v>
      </c>
      <c r="AR9909" s="4" t="s">
        <v>377</v>
      </c>
    </row>
    <row r="9910" spans="1:44">
      <c r="A9910" s="4" t="s">
        <v>10753</v>
      </c>
      <c r="B9910" s="4">
        <v>22232</v>
      </c>
      <c r="D9910" s="5" t="s">
        <v>13058</v>
      </c>
      <c r="E9910" s="6" t="str">
        <f>HYPERLINK("https://inpn.mnhn.fr/espece/cd_nom/22232","Chrysopilus cristatus (Fabricius, 1775)")</f>
        <v>Chrysopilus cristatus (Fabricius, 1775)</v>
      </c>
      <c r="AH9910" s="4" t="str">
        <f>HYPERLINK("#Statut_biogéographique!A"&amp;_xlfn.XMATCH("P",Statut_biogéographique!A:A,2,1),"P")</f>
        <v>P</v>
      </c>
      <c r="AP9910" s="4" t="s">
        <v>376</v>
      </c>
      <c r="AR9910" s="4" t="s">
        <v>377</v>
      </c>
    </row>
    <row r="9911" spans="1:44">
      <c r="A9911" s="4" t="s">
        <v>10753</v>
      </c>
      <c r="B9911" s="4">
        <v>222320</v>
      </c>
      <c r="D9911" s="5" t="s">
        <v>13059</v>
      </c>
      <c r="E9911" s="6" t="str">
        <f>HYPERLINK("https://inpn.mnhn.fr/espece/cd_nom/222320","Philorhizus quadrisignatus (Dejean, 1825)")</f>
        <v>Philorhizus quadrisignatus (Dejean, 1825)</v>
      </c>
      <c r="AH9911" s="4" t="str">
        <f>HYPERLINK("#Statut_biogéographique!A"&amp;_xlfn.XMATCH("P",Statut_biogéographique!A:A,2,1),"P")</f>
        <v>P</v>
      </c>
      <c r="AP9911" s="4" t="s">
        <v>376</v>
      </c>
      <c r="AR9911" s="4" t="s">
        <v>377</v>
      </c>
    </row>
    <row r="9912" spans="1:44">
      <c r="A9912" s="4" t="s">
        <v>10753</v>
      </c>
      <c r="B9912" s="4">
        <v>222323</v>
      </c>
      <c r="D9912" s="5" t="s">
        <v>13060</v>
      </c>
      <c r="E9912" s="6" t="str">
        <f>HYPERLINK("https://inpn.mnhn.fr/espece/cd_nom/222323","Calodromius bifasciatus (Dejean, 1825)")</f>
        <v>Calodromius bifasciatus (Dejean, 1825)</v>
      </c>
      <c r="AH9912" s="4" t="str">
        <f>HYPERLINK("#Statut_biogéographique!A"&amp;_xlfn.XMATCH("P",Statut_biogéographique!A:A,2,1),"P")</f>
        <v>P</v>
      </c>
      <c r="AP9912" s="4" t="s">
        <v>376</v>
      </c>
      <c r="AR9912" s="4" t="s">
        <v>377</v>
      </c>
    </row>
    <row r="9913" spans="1:44" ht="30">
      <c r="A9913" s="4" t="s">
        <v>10753</v>
      </c>
      <c r="B9913" s="4">
        <v>222324</v>
      </c>
      <c r="D9913" s="5" t="s">
        <v>13061</v>
      </c>
      <c r="E9913" s="6" t="str">
        <f>HYPERLINK("https://inpn.mnhn.fr/espece/cd_nom/222324","Calodromius spilotus (Illiger, 1798)")</f>
        <v>Calodromius spilotus (Illiger, 1798)</v>
      </c>
      <c r="AH9913" s="4" t="str">
        <f>HYPERLINK("#Statut_biogéographique!A"&amp;_xlfn.XMATCH("P",Statut_biogéographique!A:A,2,1),"P")</f>
        <v>P</v>
      </c>
      <c r="AP9913" s="4" t="s">
        <v>376</v>
      </c>
      <c r="AR9913" s="4" t="s">
        <v>377</v>
      </c>
    </row>
    <row r="9914" spans="1:44">
      <c r="A9914" s="4" t="s">
        <v>10753</v>
      </c>
      <c r="B9914" s="4">
        <v>222325</v>
      </c>
      <c r="D9914" s="5" t="s">
        <v>13062</v>
      </c>
      <c r="E9914" s="6" t="str">
        <f>HYPERLINK("https://inpn.mnhn.fr/espece/cd_nom/222325","Dromius quadraticollis Morawitz, 1862")</f>
        <v>Dromius quadraticollis Morawitz, 1862</v>
      </c>
      <c r="AH9914" s="4" t="str">
        <f>HYPERLINK("#Statut_biogéographique!A"&amp;_xlfn.XMATCH("P",Statut_biogéographique!A:A,2,1),"P")</f>
        <v>P</v>
      </c>
      <c r="AP9914" s="4" t="s">
        <v>376</v>
      </c>
      <c r="AR9914" s="4" t="s">
        <v>377</v>
      </c>
    </row>
    <row r="9915" spans="1:44">
      <c r="A9915" s="4" t="s">
        <v>10753</v>
      </c>
      <c r="B9915" s="4">
        <v>222326</v>
      </c>
      <c r="D9915" s="5" t="s">
        <v>13063</v>
      </c>
      <c r="E9915" s="6" t="str">
        <f>HYPERLINK("https://inpn.mnhn.fr/espece/cd_nom/222326","Dromius quadrimaculatus (Linnaeus, 1758)")</f>
        <v>Dromius quadrimaculatus (Linnaeus, 1758)</v>
      </c>
      <c r="AH9915" s="4" t="str">
        <f>HYPERLINK("#Statut_biogéographique!A"&amp;_xlfn.XMATCH("P",Statut_biogéographique!A:A,2,1),"P")</f>
        <v>P</v>
      </c>
      <c r="AP9915" s="4" t="s">
        <v>376</v>
      </c>
      <c r="AR9915" s="4" t="s">
        <v>377</v>
      </c>
    </row>
    <row r="9916" spans="1:44">
      <c r="A9916" s="4" t="s">
        <v>10753</v>
      </c>
      <c r="B9916" s="4">
        <v>222329</v>
      </c>
      <c r="D9916" s="5" t="s">
        <v>13064</v>
      </c>
      <c r="E9916" s="6" t="str">
        <f>HYPERLINK("https://inpn.mnhn.fr/espece/cd_nom/222329","Paradromius linearis (Olivier, 1795)")</f>
        <v>Paradromius linearis (Olivier, 1795)</v>
      </c>
      <c r="AH9916" s="4" t="str">
        <f>HYPERLINK("#Statut_biogéographique!A"&amp;_xlfn.XMATCH("P",Statut_biogéographique!A:A,2,1),"P")</f>
        <v>P</v>
      </c>
      <c r="AP9916" s="4" t="s">
        <v>376</v>
      </c>
      <c r="AR9916" s="4" t="s">
        <v>377</v>
      </c>
    </row>
    <row r="9917" spans="1:44">
      <c r="A9917" s="4" t="s">
        <v>10753</v>
      </c>
      <c r="B9917" s="4">
        <v>222336</v>
      </c>
      <c r="D9917" s="5" t="s">
        <v>13065</v>
      </c>
      <c r="E9917" s="6" t="str">
        <f>HYPERLINK("https://inpn.mnhn.fr/espece/cd_nom/222336","Microlestes maurus (Sturm, 1827)")</f>
        <v>Microlestes maurus (Sturm, 1827)</v>
      </c>
      <c r="AH9917" s="4" t="str">
        <f>HYPERLINK("#Statut_biogéographique!A"&amp;_xlfn.XMATCH("P",Statut_biogéographique!A:A,2,1),"P")</f>
        <v>P</v>
      </c>
      <c r="AP9917" s="4" t="s">
        <v>376</v>
      </c>
      <c r="AR9917" s="4" t="s">
        <v>377</v>
      </c>
    </row>
    <row r="9918" spans="1:44">
      <c r="A9918" s="4" t="s">
        <v>10753</v>
      </c>
      <c r="B9918" s="4">
        <v>222337</v>
      </c>
      <c r="D9918" s="5" t="s">
        <v>13066</v>
      </c>
      <c r="E9918" s="6" t="str">
        <f>HYPERLINK("https://inpn.mnhn.fr/espece/cd_nom/222337","Demetrias monostigma Samouelle, 1819")</f>
        <v>Demetrias monostigma Samouelle, 1819</v>
      </c>
      <c r="AH9918" s="4" t="str">
        <f>HYPERLINK("#Statut_biogéographique!A"&amp;_xlfn.XMATCH("P",Statut_biogéographique!A:A,2,1),"P")</f>
        <v>P</v>
      </c>
      <c r="AP9918" s="4" t="s">
        <v>376</v>
      </c>
      <c r="AR9918" s="4" t="s">
        <v>377</v>
      </c>
    </row>
    <row r="9919" spans="1:44">
      <c r="A9919" s="4" t="s">
        <v>10753</v>
      </c>
      <c r="B9919" s="4">
        <v>22234</v>
      </c>
      <c r="D9919" s="5" t="s">
        <v>13067</v>
      </c>
      <c r="E9919" s="6" t="str">
        <f>HYPERLINK("https://inpn.mnhn.fr/espece/cd_nom/22234","Chrysopilus flaveolus (Meigen, 1820)")</f>
        <v>Chrysopilus flaveolus (Meigen, 1820)</v>
      </c>
      <c r="AH9919" s="4" t="str">
        <f>HYPERLINK("#Statut_biogéographique!A"&amp;_xlfn.XMATCH("P",Statut_biogéographique!A:A,2,1),"P")</f>
        <v>P</v>
      </c>
      <c r="AP9919" s="4" t="s">
        <v>376</v>
      </c>
      <c r="AR9919" s="4" t="s">
        <v>377</v>
      </c>
    </row>
    <row r="9920" spans="1:44">
      <c r="A9920" s="4" t="s">
        <v>10753</v>
      </c>
      <c r="B9920" s="4">
        <v>222343</v>
      </c>
      <c r="D9920" s="5" t="s">
        <v>13068</v>
      </c>
      <c r="E9920" s="6" t="str">
        <f>HYPERLINK("https://inpn.mnhn.fr/espece/cd_nom/222343","Lebia cruxminor (Linnaeus, 1758)")</f>
        <v>Lebia cruxminor (Linnaeus, 1758)</v>
      </c>
      <c r="F9920" s="5" t="s">
        <v>13069</v>
      </c>
      <c r="AH9920" s="4" t="str">
        <f>HYPERLINK("#Statut_biogéographique!A"&amp;_xlfn.XMATCH("P",Statut_biogéographique!A:A,2,1),"P")</f>
        <v>P</v>
      </c>
      <c r="AP9920" s="4" t="s">
        <v>376</v>
      </c>
      <c r="AR9920" s="4" t="s">
        <v>377</v>
      </c>
    </row>
    <row r="9921" spans="1:44">
      <c r="A9921" s="4" t="s">
        <v>10753</v>
      </c>
      <c r="B9921" s="4">
        <v>222351</v>
      </c>
      <c r="D9921" s="5" t="s">
        <v>13070</v>
      </c>
      <c r="E9921" s="6" t="str">
        <f>HYPERLINK("https://inpn.mnhn.fr/espece/cd_nom/222351","Synuchus vivalis (Illiger, 1798)")</f>
        <v>Synuchus vivalis (Illiger, 1798)</v>
      </c>
      <c r="F9921" s="5" t="s">
        <v>13071</v>
      </c>
      <c r="AH9921" s="4" t="str">
        <f>HYPERLINK("#Statut_biogéographique!A"&amp;_xlfn.XMATCH("P",Statut_biogéographique!A:A,2,1),"P")</f>
        <v>P</v>
      </c>
      <c r="AP9921" s="4" t="s">
        <v>376</v>
      </c>
      <c r="AR9921" s="4" t="s">
        <v>377</v>
      </c>
    </row>
    <row r="9922" spans="1:44" ht="30">
      <c r="A9922" s="4" t="s">
        <v>10753</v>
      </c>
      <c r="B9922" s="4">
        <v>222352</v>
      </c>
      <c r="D9922" s="5" t="s">
        <v>13072</v>
      </c>
      <c r="E9922" s="6" t="str">
        <f>HYPERLINK("https://inpn.mnhn.fr/espece/cd_nom/222352","Platyderus depressus (Audinet-Serville, 1821)")</f>
        <v>Platyderus depressus (Audinet-Serville, 1821)</v>
      </c>
      <c r="F9922" s="5" t="s">
        <v>13073</v>
      </c>
      <c r="AH9922" s="4" t="str">
        <f>HYPERLINK("#Statut_biogéographique!A"&amp;_xlfn.XMATCH("P",Statut_biogéographique!A:A,2,1),"P")</f>
        <v>P</v>
      </c>
      <c r="AP9922" s="4" t="s">
        <v>376</v>
      </c>
      <c r="AR9922" s="4" t="s">
        <v>377</v>
      </c>
    </row>
    <row r="9923" spans="1:44">
      <c r="A9923" s="4" t="s">
        <v>10753</v>
      </c>
      <c r="B9923" s="4">
        <v>222356</v>
      </c>
      <c r="D9923" s="5" t="s">
        <v>13074</v>
      </c>
      <c r="E9923" s="6" t="str">
        <f>HYPERLINK("https://inpn.mnhn.fr/espece/cd_nom/222356","Calathus cinctus Motschulsky, 1850")</f>
        <v>Calathus cinctus Motschulsky, 1850</v>
      </c>
      <c r="AH9923" s="4" t="str">
        <f>HYPERLINK("#Statut_biogéographique!A"&amp;_xlfn.XMATCH("P",Statut_biogéographique!A:A,2,1),"P")</f>
        <v>P</v>
      </c>
      <c r="AP9923" s="4" t="s">
        <v>376</v>
      </c>
      <c r="AR9923" s="4" t="s">
        <v>377</v>
      </c>
    </row>
    <row r="9924" spans="1:44">
      <c r="A9924" s="4" t="s">
        <v>10753</v>
      </c>
      <c r="B9924" s="4">
        <v>222357</v>
      </c>
      <c r="D9924" s="5" t="s">
        <v>13075</v>
      </c>
      <c r="E9924" s="6" t="str">
        <f>HYPERLINK("https://inpn.mnhn.fr/espece/cd_nom/222357","Calathus micropterus (Duftschmid, 1812)")</f>
        <v>Calathus micropterus (Duftschmid, 1812)</v>
      </c>
      <c r="AH9924" s="4" t="str">
        <f>HYPERLINK("#Statut_biogéographique!A"&amp;_xlfn.XMATCH("P",Statut_biogéographique!A:A,2,1),"P")</f>
        <v>P</v>
      </c>
      <c r="AP9924" s="4" t="s">
        <v>376</v>
      </c>
      <c r="AR9924" s="4" t="s">
        <v>377</v>
      </c>
    </row>
    <row r="9925" spans="1:44">
      <c r="A9925" s="4" t="s">
        <v>10753</v>
      </c>
      <c r="B9925" s="4">
        <v>222358</v>
      </c>
      <c r="D9925" s="5" t="s">
        <v>13076</v>
      </c>
      <c r="E9925" s="6" t="str">
        <f>HYPERLINK("https://inpn.mnhn.fr/espece/cd_nom/222358","Calathus rotundicollis Dejean, 1828")</f>
        <v>Calathus rotundicollis Dejean, 1828</v>
      </c>
      <c r="AH9925" s="4" t="str">
        <f>HYPERLINK("#Statut_biogéographique!A"&amp;_xlfn.XMATCH("P",Statut_biogéographique!A:A,2,1),"P")</f>
        <v>P</v>
      </c>
      <c r="AP9925" s="4" t="s">
        <v>376</v>
      </c>
      <c r="AR9925" s="4" t="s">
        <v>377</v>
      </c>
    </row>
    <row r="9926" spans="1:44">
      <c r="A9926" s="4" t="s">
        <v>10753</v>
      </c>
      <c r="B9926" s="4">
        <v>22236</v>
      </c>
      <c r="D9926" s="5" t="s">
        <v>13077</v>
      </c>
      <c r="E9926" s="6" t="str">
        <f>HYPERLINK("https://inpn.mnhn.fr/espece/cd_nom/22236","Chrysopilus luteolus (Fallén, 1814)")</f>
        <v>Chrysopilus luteolus (Fallén, 1814)</v>
      </c>
      <c r="AH9926" s="4" t="str">
        <f>HYPERLINK("#Statut_biogéographique!A"&amp;_xlfn.XMATCH("P",Statut_biogéographique!A:A,2,1),"P")</f>
        <v>P</v>
      </c>
      <c r="AP9926" s="4" t="s">
        <v>376</v>
      </c>
      <c r="AR9926" s="4" t="s">
        <v>377</v>
      </c>
    </row>
    <row r="9927" spans="1:44">
      <c r="A9927" s="4" t="s">
        <v>10753</v>
      </c>
      <c r="B9927" s="4">
        <v>222371</v>
      </c>
      <c r="D9927" s="5" t="s">
        <v>13078</v>
      </c>
      <c r="E9927" s="6" t="str">
        <f>HYPERLINK("https://inpn.mnhn.fr/espece/cd_nom/222371","Sphodrus leucophthalmus (Linnaeus, 1758)")</f>
        <v>Sphodrus leucophthalmus (Linnaeus, 1758)</v>
      </c>
      <c r="AH9927" s="4" t="str">
        <f>HYPERLINK("#Statut_biogéographique!A"&amp;_xlfn.XMATCH("P",Statut_biogéographique!A:A,2,1),"P")</f>
        <v>P</v>
      </c>
      <c r="AP9927" s="4" t="s">
        <v>376</v>
      </c>
      <c r="AR9927" s="4" t="s">
        <v>377</v>
      </c>
    </row>
    <row r="9928" spans="1:44" ht="30">
      <c r="A9928" s="4" t="s">
        <v>10753</v>
      </c>
      <c r="B9928" s="4">
        <v>222374</v>
      </c>
      <c r="D9928" s="5" t="s">
        <v>13079</v>
      </c>
      <c r="E9928" s="6" t="str">
        <f>HYPERLINK("https://inpn.mnhn.fr/espece/cd_nom/222374","Oxypselaphus obscurus (Herbst, 1784)")</f>
        <v>Oxypselaphus obscurus (Herbst, 1784)</v>
      </c>
      <c r="AH9928" s="4" t="str">
        <f>HYPERLINK("#Statut_biogéographique!A"&amp;_xlfn.XMATCH("P",Statut_biogéographique!A:A,2,1),"P")</f>
        <v>P</v>
      </c>
      <c r="AP9928" s="4" t="s">
        <v>376</v>
      </c>
      <c r="AR9928" s="4" t="s">
        <v>377</v>
      </c>
    </row>
    <row r="9929" spans="1:44" ht="30">
      <c r="A9929" s="4" t="s">
        <v>10753</v>
      </c>
      <c r="B9929" s="4">
        <v>222375</v>
      </c>
      <c r="D9929" s="5" t="s">
        <v>13080</v>
      </c>
      <c r="E9929" s="6" t="str">
        <f>HYPERLINK("https://inpn.mnhn.fr/espece/cd_nom/222375","Paranchus albipes (Fabricius, 1796)")</f>
        <v>Paranchus albipes (Fabricius, 1796)</v>
      </c>
      <c r="F9929" s="5" t="s">
        <v>13081</v>
      </c>
      <c r="AH9929" s="4" t="str">
        <f>HYPERLINK("#Statut_biogéographique!A"&amp;_xlfn.XMATCH("P",Statut_biogéographique!A:A,2,1),"P")</f>
        <v>P</v>
      </c>
      <c r="AP9929" s="4" t="s">
        <v>376</v>
      </c>
      <c r="AR9929" s="4" t="s">
        <v>377</v>
      </c>
    </row>
    <row r="9930" spans="1:44">
      <c r="A9930" s="4" t="s">
        <v>10753</v>
      </c>
      <c r="B9930" s="4">
        <v>222381</v>
      </c>
      <c r="D9930" s="5" t="s">
        <v>13082</v>
      </c>
      <c r="E9930" s="6" t="str">
        <f>HYPERLINK("https://inpn.mnhn.fr/espece/cd_nom/222381","Platynus livens (Gyllenhal, 1810)")</f>
        <v>Platynus livens (Gyllenhal, 1810)</v>
      </c>
      <c r="AH9930" s="4" t="str">
        <f>HYPERLINK("#Statut_biogéographique!A"&amp;_xlfn.XMATCH("P",Statut_biogéographique!A:A,2,1),"P")</f>
        <v>P</v>
      </c>
      <c r="AP9930" s="4" t="s">
        <v>376</v>
      </c>
      <c r="AR9930" s="4" t="s">
        <v>377</v>
      </c>
    </row>
    <row r="9931" spans="1:44" ht="30">
      <c r="A9931" s="4" t="s">
        <v>10753</v>
      </c>
      <c r="B9931" s="4">
        <v>222383</v>
      </c>
      <c r="D9931" s="5" t="s">
        <v>13083</v>
      </c>
      <c r="E9931" s="6" t="str">
        <f>HYPERLINK("https://inpn.mnhn.fr/espece/cd_nom/222383","Anchomenus dorsalis (Pontoppidan, 1763)")</f>
        <v>Anchomenus dorsalis (Pontoppidan, 1763)</v>
      </c>
      <c r="F9931" s="5" t="s">
        <v>13084</v>
      </c>
      <c r="AH9931" s="4" t="str">
        <f>HYPERLINK("#Statut_biogéographique!A"&amp;_xlfn.XMATCH("P",Statut_biogéographique!A:A,2,1),"P")</f>
        <v>P</v>
      </c>
      <c r="AP9931" s="4" t="s">
        <v>376</v>
      </c>
      <c r="AR9931" s="4" t="s">
        <v>377</v>
      </c>
    </row>
    <row r="9932" spans="1:44">
      <c r="A9932" s="4" t="s">
        <v>10753</v>
      </c>
      <c r="B9932" s="4">
        <v>222389</v>
      </c>
      <c r="D9932" s="5" t="s">
        <v>13085</v>
      </c>
      <c r="E9932" s="6" t="str">
        <f>HYPERLINK("https://inpn.mnhn.fr/espece/cd_nom/222389","Agonum monachum (Duftschmid, 1812)")</f>
        <v>Agonum monachum (Duftschmid, 1812)</v>
      </c>
      <c r="AH9932" s="4" t="str">
        <f>HYPERLINK("#Statut_biogéographique!A"&amp;_xlfn.XMATCH("P",Statut_biogéographique!A:A,2,1),"P")</f>
        <v>P</v>
      </c>
      <c r="AP9932" s="4" t="s">
        <v>376</v>
      </c>
      <c r="AR9932" s="4" t="s">
        <v>377</v>
      </c>
    </row>
    <row r="9933" spans="1:44">
      <c r="A9933" s="4" t="s">
        <v>10753</v>
      </c>
      <c r="B9933" s="4">
        <v>222391</v>
      </c>
      <c r="D9933" s="5" t="s">
        <v>13086</v>
      </c>
      <c r="E9933" s="6" t="str">
        <f>HYPERLINK("https://inpn.mnhn.fr/espece/cd_nom/222391","Agonum afrum (Duftschmid, 1812)")</f>
        <v>Agonum afrum (Duftschmid, 1812)</v>
      </c>
      <c r="AH9933" s="4" t="str">
        <f>HYPERLINK("#Statut_biogéographique!A"&amp;_xlfn.XMATCH("P",Statut_biogéographique!A:A,2,1),"P")</f>
        <v>P</v>
      </c>
      <c r="AP9933" s="4" t="s">
        <v>376</v>
      </c>
      <c r="AR9933" s="4" t="s">
        <v>377</v>
      </c>
    </row>
    <row r="9934" spans="1:44">
      <c r="A9934" s="4" t="s">
        <v>10753</v>
      </c>
      <c r="B9934" s="4">
        <v>222392</v>
      </c>
      <c r="D9934" s="5" t="s">
        <v>13087</v>
      </c>
      <c r="E9934" s="6" t="str">
        <f>HYPERLINK("https://inpn.mnhn.fr/espece/cd_nom/222392","Agonum duftschmidi Schmidt, 1994")</f>
        <v>Agonum duftschmidi Schmidt, 1994</v>
      </c>
      <c r="AH9934" s="4" t="str">
        <f>HYPERLINK("#Statut_biogéographique!A"&amp;_xlfn.XMATCH("P",Statut_biogéographique!A:A,2,1),"P")</f>
        <v>P</v>
      </c>
      <c r="AP9934" s="4" t="s">
        <v>376</v>
      </c>
      <c r="AR9934" s="4" t="s">
        <v>377</v>
      </c>
    </row>
    <row r="9935" spans="1:44">
      <c r="A9935" s="4" t="s">
        <v>10753</v>
      </c>
      <c r="B9935" s="4">
        <v>222393</v>
      </c>
      <c r="D9935" s="5" t="s">
        <v>13088</v>
      </c>
      <c r="E9935" s="6" t="str">
        <f>HYPERLINK("https://inpn.mnhn.fr/espece/cd_nom/222393","Agonum hypocrita (Apfelbeck, 1904)")</f>
        <v>Agonum hypocrita (Apfelbeck, 1904)</v>
      </c>
      <c r="AH9935" s="4" t="str">
        <f>HYPERLINK("#Statut_biogéographique!A"&amp;_xlfn.XMATCH("P",Statut_biogéographique!A:A,2,1),"P")</f>
        <v>P</v>
      </c>
      <c r="AP9935" s="4" t="s">
        <v>376</v>
      </c>
      <c r="AR9935" s="4" t="s">
        <v>377</v>
      </c>
    </row>
    <row r="9936" spans="1:44">
      <c r="A9936" s="4" t="s">
        <v>10753</v>
      </c>
      <c r="B9936" s="4">
        <v>222397</v>
      </c>
      <c r="D9936" s="5" t="s">
        <v>13089</v>
      </c>
      <c r="E9936" s="6" t="str">
        <f>HYPERLINK("https://inpn.mnhn.fr/espece/cd_nom/222397","Agonum ericeti (Panzer, 1809)")</f>
        <v>Agonum ericeti (Panzer, 1809)</v>
      </c>
      <c r="AH9936" s="4" t="str">
        <f>HYPERLINK("#Statut_biogéographique!A"&amp;_xlfn.XMATCH("P",Statut_biogéographique!A:A,2,1),"P")</f>
        <v>P</v>
      </c>
      <c r="AP9936" s="4" t="s">
        <v>376</v>
      </c>
      <c r="AR9936" s="4" t="s">
        <v>377</v>
      </c>
    </row>
    <row r="9937" spans="1:44">
      <c r="A9937" s="4" t="s">
        <v>10753</v>
      </c>
      <c r="B9937" s="4">
        <v>222400</v>
      </c>
      <c r="D9937" s="5" t="s">
        <v>13090</v>
      </c>
      <c r="E9937" s="6" t="str">
        <f>HYPERLINK("https://inpn.mnhn.fr/espece/cd_nom/222400","Agonum fuliginosum (Panzer, 1809)")</f>
        <v>Agonum fuliginosum (Panzer, 1809)</v>
      </c>
      <c r="AH9937" s="4" t="str">
        <f>HYPERLINK("#Statut_biogéographique!A"&amp;_xlfn.XMATCH("P",Statut_biogéographique!A:A,2,1),"P")</f>
        <v>P</v>
      </c>
      <c r="AP9937" s="4" t="s">
        <v>376</v>
      </c>
      <c r="AR9937" s="4" t="s">
        <v>377</v>
      </c>
    </row>
    <row r="9938" spans="1:44" ht="30">
      <c r="A9938" s="4" t="s">
        <v>10753</v>
      </c>
      <c r="B9938" s="4">
        <v>222401</v>
      </c>
      <c r="D9938" s="5" t="s">
        <v>13091</v>
      </c>
      <c r="E9938" s="6" t="str">
        <f>HYPERLINK("https://inpn.mnhn.fr/espece/cd_nom/222401","Agonum gracile Sturm, 1824")</f>
        <v>Agonum gracile Sturm, 1824</v>
      </c>
      <c r="AH9938" s="4" t="str">
        <f>HYPERLINK("#Statut_biogéographique!A"&amp;_xlfn.XMATCH("P",Statut_biogéographique!A:A,2,1),"P")</f>
        <v>P</v>
      </c>
      <c r="AP9938" s="4" t="s">
        <v>376</v>
      </c>
      <c r="AR9938" s="4" t="s">
        <v>377</v>
      </c>
    </row>
    <row r="9939" spans="1:44">
      <c r="A9939" s="4" t="s">
        <v>10753</v>
      </c>
      <c r="B9939" s="4">
        <v>222402</v>
      </c>
      <c r="D9939" s="5" t="s">
        <v>13092</v>
      </c>
      <c r="E9939" s="6" t="str">
        <f>HYPERLINK("https://inpn.mnhn.fr/espece/cd_nom/222402","Agonum micans (Nicolai, 1822)")</f>
        <v>Agonum micans (Nicolai, 1822)</v>
      </c>
      <c r="AH9939" s="4" t="str">
        <f>HYPERLINK("#Statut_biogéographique!A"&amp;_xlfn.XMATCH("P",Statut_biogéographique!A:A,2,1),"P")</f>
        <v>P</v>
      </c>
      <c r="AP9939" s="4" t="s">
        <v>376</v>
      </c>
      <c r="AR9939" s="4" t="s">
        <v>377</v>
      </c>
    </row>
    <row r="9940" spans="1:44" ht="30">
      <c r="A9940" s="4" t="s">
        <v>10753</v>
      </c>
      <c r="B9940" s="4">
        <v>222403</v>
      </c>
      <c r="D9940" s="5" t="s">
        <v>13093</v>
      </c>
      <c r="E9940" s="6" t="str">
        <f>HYPERLINK("https://inpn.mnhn.fr/espece/cd_nom/222403","Agonum piceum (Linnaeus, 1758)")</f>
        <v>Agonum piceum (Linnaeus, 1758)</v>
      </c>
      <c r="F9940" s="5" t="s">
        <v>13094</v>
      </c>
      <c r="AH9940" s="4" t="str">
        <f>HYPERLINK("#Statut_biogéographique!A"&amp;_xlfn.XMATCH("P",Statut_biogéographique!A:A,2,1),"P")</f>
        <v>P</v>
      </c>
      <c r="AP9940" s="4" t="s">
        <v>376</v>
      </c>
      <c r="AR9940" s="4" t="s">
        <v>377</v>
      </c>
    </row>
    <row r="9941" spans="1:44">
      <c r="A9941" s="4" t="s">
        <v>10753</v>
      </c>
      <c r="B9941" s="4">
        <v>222404</v>
      </c>
      <c r="D9941" s="5" t="s">
        <v>13095</v>
      </c>
      <c r="E9941" s="6" t="str">
        <f>HYPERLINK("https://inpn.mnhn.fr/espece/cd_nom/222404","Agonum scitulum Dejean, 1828")</f>
        <v>Agonum scitulum Dejean, 1828</v>
      </c>
      <c r="AH9941" s="4" t="str">
        <f>HYPERLINK("#Statut_biogéographique!A"&amp;_xlfn.XMATCH("P",Statut_biogéographique!A:A,2,1),"P")</f>
        <v>P</v>
      </c>
      <c r="AP9941" s="4" t="s">
        <v>376</v>
      </c>
      <c r="AR9941" s="4" t="s">
        <v>377</v>
      </c>
    </row>
    <row r="9942" spans="1:44">
      <c r="A9942" s="4" t="s">
        <v>10753</v>
      </c>
      <c r="B9942" s="4">
        <v>222407</v>
      </c>
      <c r="D9942" s="5" t="s">
        <v>13096</v>
      </c>
      <c r="E9942" s="6" t="str">
        <f>HYPERLINK("https://inpn.mnhn.fr/espece/cd_nom/222407","Olisthopus rotundatus (Paykull, 1798)")</f>
        <v>Olisthopus rotundatus (Paykull, 1798)</v>
      </c>
      <c r="AH9942" s="4" t="str">
        <f>HYPERLINK("#Statut_biogéographique!A"&amp;_xlfn.XMATCH("P",Statut_biogéographique!A:A,2,1),"P")</f>
        <v>P</v>
      </c>
      <c r="AP9942" s="4" t="s">
        <v>376</v>
      </c>
      <c r="AR9942" s="4" t="s">
        <v>377</v>
      </c>
    </row>
    <row r="9943" spans="1:44">
      <c r="A9943" s="4" t="s">
        <v>10753</v>
      </c>
      <c r="B9943" s="4">
        <v>222409</v>
      </c>
      <c r="D9943" s="5" t="s">
        <v>13097</v>
      </c>
      <c r="E9943" s="6" t="str">
        <f>HYPERLINK("https://inpn.mnhn.fr/espece/cd_nom/222409","Anisodactylus signatus (Panzer, 1796)")</f>
        <v>Anisodactylus signatus (Panzer, 1796)</v>
      </c>
      <c r="AH9943" s="4" t="str">
        <f>HYPERLINK("#Statut_biogéographique!A"&amp;_xlfn.XMATCH("P",Statut_biogéographique!A:A,2,1),"P")</f>
        <v>P</v>
      </c>
      <c r="AP9943" s="4" t="s">
        <v>376</v>
      </c>
      <c r="AR9943" s="4" t="s">
        <v>377</v>
      </c>
    </row>
    <row r="9944" spans="1:44">
      <c r="A9944" s="4" t="s">
        <v>10753</v>
      </c>
      <c r="B9944" s="4">
        <v>222412</v>
      </c>
      <c r="D9944" s="5" t="s">
        <v>13098</v>
      </c>
      <c r="E9944" s="6" t="str">
        <f>HYPERLINK("https://inpn.mnhn.fr/espece/cd_nom/222412","Scybalicus oblongiusculus (Dejean, 1829)")</f>
        <v>Scybalicus oblongiusculus (Dejean, 1829)</v>
      </c>
      <c r="AH9944" s="4" t="str">
        <f>HYPERLINK("#Statut_biogéographique!A"&amp;_xlfn.XMATCH("P",Statut_biogéographique!A:A,2,1),"P")</f>
        <v>P</v>
      </c>
      <c r="AP9944" s="4" t="s">
        <v>376</v>
      </c>
      <c r="AR9944" s="4" t="s">
        <v>377</v>
      </c>
    </row>
    <row r="9945" spans="1:44">
      <c r="A9945" s="4" t="s">
        <v>10753</v>
      </c>
      <c r="B9945" s="4">
        <v>222418</v>
      </c>
      <c r="D9945" s="5" t="s">
        <v>13099</v>
      </c>
      <c r="E9945" s="6" t="str">
        <f>HYPERLINK("https://inpn.mnhn.fr/espece/cd_nom/222418","Acupalpus exiguus Dejean, 1829")</f>
        <v>Acupalpus exiguus Dejean, 1829</v>
      </c>
      <c r="AH9945" s="4" t="str">
        <f>HYPERLINK("#Statut_biogéographique!A"&amp;_xlfn.XMATCH("P",Statut_biogéographique!A:A,2,1),"P")</f>
        <v>P</v>
      </c>
      <c r="AP9945" s="4" t="s">
        <v>376</v>
      </c>
      <c r="AR9945" s="4" t="s">
        <v>377</v>
      </c>
    </row>
    <row r="9946" spans="1:44">
      <c r="A9946" s="4" t="s">
        <v>10753</v>
      </c>
      <c r="B9946" s="4">
        <v>222419</v>
      </c>
      <c r="D9946" s="5" t="s">
        <v>13100</v>
      </c>
      <c r="E9946" s="6" t="str">
        <f>HYPERLINK("https://inpn.mnhn.fr/espece/cd_nom/222419","Acupalpus luteatus (Duftschmid, 1812)")</f>
        <v>Acupalpus luteatus (Duftschmid, 1812)</v>
      </c>
      <c r="AH9946" s="4" t="str">
        <f>HYPERLINK("#Statut_biogéographique!A"&amp;_xlfn.XMATCH("P",Statut_biogéographique!A:A,2,1),"P")</f>
        <v>P</v>
      </c>
      <c r="AP9946" s="4" t="s">
        <v>376</v>
      </c>
      <c r="AR9946" s="4" t="s">
        <v>377</v>
      </c>
    </row>
    <row r="9947" spans="1:44">
      <c r="A9947" s="4" t="s">
        <v>10753</v>
      </c>
      <c r="B9947" s="4">
        <v>222420</v>
      </c>
      <c r="D9947" s="5" t="s">
        <v>13101</v>
      </c>
      <c r="E9947" s="6" t="str">
        <f>HYPERLINK("https://inpn.mnhn.fr/espece/cd_nom/222420","Acupalpus parvulus (Sturm, 1825)")</f>
        <v>Acupalpus parvulus (Sturm, 1825)</v>
      </c>
      <c r="AH9947" s="4" t="str">
        <f>HYPERLINK("#Statut_biogéographique!A"&amp;_xlfn.XMATCH("P",Statut_biogéographique!A:A,2,1),"P")</f>
        <v>P</v>
      </c>
      <c r="AP9947" s="4" t="s">
        <v>376</v>
      </c>
      <c r="AR9947" s="4" t="s">
        <v>377</v>
      </c>
    </row>
    <row r="9948" spans="1:44">
      <c r="A9948" s="4" t="s">
        <v>10753</v>
      </c>
      <c r="B9948" s="4">
        <v>222421</v>
      </c>
      <c r="D9948" s="5">
        <v>222421</v>
      </c>
      <c r="E9948" s="6" t="str">
        <f>HYPERLINK("https://inpn.mnhn.fr/espece/cd_nom/222421","Acupalpus suturalis Dejean, 1829")</f>
        <v>Acupalpus suturalis Dejean, 1829</v>
      </c>
      <c r="AH9948" s="4" t="str">
        <f>HYPERLINK("#Statut_biogéographique!A"&amp;_xlfn.XMATCH("D",Statut_biogéographique!A:A,2,1),"D")</f>
        <v>D</v>
      </c>
      <c r="AP9948" s="4" t="s">
        <v>376</v>
      </c>
      <c r="AR9948" s="4" t="s">
        <v>377</v>
      </c>
    </row>
    <row r="9949" spans="1:44">
      <c r="A9949" s="4" t="s">
        <v>10753</v>
      </c>
      <c r="B9949" s="4">
        <v>22243</v>
      </c>
      <c r="D9949" s="5" t="s">
        <v>13102</v>
      </c>
      <c r="E9949" s="6" t="str">
        <f>HYPERLINK("https://inpn.mnhn.fr/espece/cd_nom/22243","Rhagio conspicuus Meigen, 1804")</f>
        <v>Rhagio conspicuus Meigen, 1804</v>
      </c>
      <c r="AH9949" s="4" t="str">
        <f>HYPERLINK("#Statut_biogéographique!A"&amp;_xlfn.XMATCH("P",Statut_biogéographique!A:A,2,1),"P")</f>
        <v>P</v>
      </c>
      <c r="AP9949" s="4" t="s">
        <v>376</v>
      </c>
      <c r="AR9949" s="4" t="s">
        <v>377</v>
      </c>
    </row>
    <row r="9950" spans="1:44" ht="30">
      <c r="A9950" s="4" t="s">
        <v>10753</v>
      </c>
      <c r="B9950" s="4">
        <v>222430</v>
      </c>
      <c r="D9950" s="5" t="s">
        <v>13103</v>
      </c>
      <c r="E9950" s="6" t="str">
        <f>HYPERLINK("https://inpn.mnhn.fr/espece/cd_nom/222430","Bradycellus caucasicus (Chaudoir, 1846)")</f>
        <v>Bradycellus caucasicus (Chaudoir, 1846)</v>
      </c>
      <c r="AH9950" s="4" t="str">
        <f>HYPERLINK("#Statut_biogéographique!A"&amp;_xlfn.XMATCH("P",Statut_biogéographique!A:A,2,1),"P")</f>
        <v>P</v>
      </c>
      <c r="AP9950" s="4" t="s">
        <v>376</v>
      </c>
      <c r="AR9950" s="4" t="s">
        <v>377</v>
      </c>
    </row>
    <row r="9951" spans="1:44">
      <c r="A9951" s="4" t="s">
        <v>10753</v>
      </c>
      <c r="B9951" s="4">
        <v>222432</v>
      </c>
      <c r="D9951" s="5" t="s">
        <v>13104</v>
      </c>
      <c r="E9951" s="6" t="str">
        <f>HYPERLINK("https://inpn.mnhn.fr/espece/cd_nom/222432","Bradycellus ruficollis (Stephens, 1828)")</f>
        <v>Bradycellus ruficollis (Stephens, 1828)</v>
      </c>
      <c r="AH9951" s="4" t="str">
        <f>HYPERLINK("#Statut_biogéographique!A"&amp;_xlfn.XMATCH("P",Statut_biogéographique!A:A,2,1),"P")</f>
        <v>P</v>
      </c>
      <c r="AP9951" s="4" t="s">
        <v>376</v>
      </c>
      <c r="AR9951" s="4" t="s">
        <v>377</v>
      </c>
    </row>
    <row r="9952" spans="1:44">
      <c r="A9952" s="4" t="s">
        <v>10753</v>
      </c>
      <c r="B9952" s="4">
        <v>222441</v>
      </c>
      <c r="D9952" s="5" t="s">
        <v>13105</v>
      </c>
      <c r="E9952" s="6" t="str">
        <f>HYPERLINK("https://inpn.mnhn.fr/espece/cd_nom/222441","Parophonus maculicornis (Duftschmid, 1812)")</f>
        <v>Parophonus maculicornis (Duftschmid, 1812)</v>
      </c>
      <c r="AH9952" s="4" t="str">
        <f>HYPERLINK("#Statut_biogéographique!A"&amp;_xlfn.XMATCH("P",Statut_biogéographique!A:A,2,1),"P")</f>
        <v>P</v>
      </c>
      <c r="AP9952" s="4" t="s">
        <v>376</v>
      </c>
      <c r="AR9952" s="4" t="s">
        <v>377</v>
      </c>
    </row>
    <row r="9953" spans="1:44" ht="30">
      <c r="A9953" s="4" t="s">
        <v>10753</v>
      </c>
      <c r="B9953" s="4">
        <v>222449</v>
      </c>
      <c r="D9953" s="5" t="s">
        <v>13106</v>
      </c>
      <c r="E9953" s="6" t="str">
        <f>HYPERLINK("https://inpn.mnhn.fr/espece/cd_nom/222449","Harpalus affinis (Schrank, 1781)")</f>
        <v>Harpalus affinis (Schrank, 1781)</v>
      </c>
      <c r="F9953" s="5" t="s">
        <v>13107</v>
      </c>
      <c r="AH9953" s="4" t="str">
        <f>HYPERLINK("#Statut_biogéographique!A"&amp;_xlfn.XMATCH("P",Statut_biogéographique!A:A,2,1),"P")</f>
        <v>P</v>
      </c>
      <c r="AP9953" s="4" t="s">
        <v>376</v>
      </c>
      <c r="AR9953" s="4" t="s">
        <v>377</v>
      </c>
    </row>
    <row r="9954" spans="1:44">
      <c r="A9954" s="4" t="s">
        <v>10753</v>
      </c>
      <c r="B9954" s="4">
        <v>222450</v>
      </c>
      <c r="D9954" s="5">
        <v>222450</v>
      </c>
      <c r="E9954" s="6" t="str">
        <f>HYPERLINK("https://inpn.mnhn.fr/espece/cd_nom/222450","Harpalus cupreus Dejean, 1829")</f>
        <v>Harpalus cupreus Dejean, 1829</v>
      </c>
      <c r="AH9954" s="4" t="str">
        <f>HYPERLINK("#Statut_biogéographique!A"&amp;_xlfn.XMATCH("P",Statut_biogéographique!A:A,2,1),"P")</f>
        <v>P</v>
      </c>
      <c r="AP9954" s="4" t="s">
        <v>376</v>
      </c>
      <c r="AR9954" s="4" t="s">
        <v>377</v>
      </c>
    </row>
    <row r="9955" spans="1:44" ht="30">
      <c r="A9955" s="4" t="s">
        <v>10753</v>
      </c>
      <c r="B9955" s="4">
        <v>222451</v>
      </c>
      <c r="D9955" s="5" t="s">
        <v>13108</v>
      </c>
      <c r="E9955" s="6" t="str">
        <f>HYPERLINK("https://inpn.mnhn.fr/espece/cd_nom/222451","Harpalus decipiens Dejean, 1829")</f>
        <v>Harpalus decipiens Dejean, 1829</v>
      </c>
      <c r="AH9955" s="4" t="str">
        <f>HYPERLINK("#Statut_biogéographique!A"&amp;_xlfn.XMATCH("P",Statut_biogéographique!A:A,2,1),"P")</f>
        <v>P</v>
      </c>
      <c r="AP9955" s="4" t="s">
        <v>376</v>
      </c>
      <c r="AR9955" s="4" t="s">
        <v>377</v>
      </c>
    </row>
    <row r="9956" spans="1:44">
      <c r="A9956" s="4" t="s">
        <v>10753</v>
      </c>
      <c r="B9956" s="4">
        <v>222452</v>
      </c>
      <c r="D9956" s="5">
        <v>222452</v>
      </c>
      <c r="E9956" s="6" t="str">
        <f>HYPERLINK("https://inpn.mnhn.fr/espece/cd_nom/222452","Harpalus froelichii Sturm, 1818")</f>
        <v>Harpalus froelichii Sturm, 1818</v>
      </c>
      <c r="AH9956" s="4" t="str">
        <f>HYPERLINK("#Statut_biogéographique!A"&amp;_xlfn.XMATCH("P",Statut_biogéographique!A:A,2,1),"P")</f>
        <v>P</v>
      </c>
      <c r="AP9956" s="4" t="s">
        <v>376</v>
      </c>
      <c r="AR9956" s="4" t="s">
        <v>377</v>
      </c>
    </row>
    <row r="9957" spans="1:44">
      <c r="A9957" s="4" t="s">
        <v>10753</v>
      </c>
      <c r="B9957" s="4">
        <v>222455</v>
      </c>
      <c r="D9957" s="5" t="s">
        <v>13109</v>
      </c>
      <c r="E9957" s="6" t="str">
        <f>HYPERLINK("https://inpn.mnhn.fr/espece/cd_nom/222455","Harpalus laevipes Zetterstedt, 1828")</f>
        <v>Harpalus laevipes Zetterstedt, 1828</v>
      </c>
      <c r="AH9957" s="4" t="str">
        <f>HYPERLINK("#Statut_biogéographique!A"&amp;_xlfn.XMATCH("P",Statut_biogéographique!A:A,2,1),"P")</f>
        <v>P</v>
      </c>
      <c r="AP9957" s="4" t="s">
        <v>376</v>
      </c>
      <c r="AR9957" s="4" t="s">
        <v>377</v>
      </c>
    </row>
    <row r="9958" spans="1:44">
      <c r="A9958" s="4" t="s">
        <v>10753</v>
      </c>
      <c r="B9958" s="4">
        <v>222456</v>
      </c>
      <c r="D9958" s="5" t="s">
        <v>13110</v>
      </c>
      <c r="E9958" s="6" t="str">
        <f>HYPERLINK("https://inpn.mnhn.fr/espece/cd_nom/222456","Harpalus luteicornis (Duftschmid, 1812)")</f>
        <v>Harpalus luteicornis (Duftschmid, 1812)</v>
      </c>
      <c r="AH9958" s="4" t="str">
        <f>HYPERLINK("#Statut_biogéographique!A"&amp;_xlfn.XMATCH("P",Statut_biogéographique!A:A,2,1),"P")</f>
        <v>P</v>
      </c>
      <c r="AP9958" s="4" t="s">
        <v>376</v>
      </c>
      <c r="AR9958" s="4" t="s">
        <v>377</v>
      </c>
    </row>
    <row r="9959" spans="1:44">
      <c r="A9959" s="4" t="s">
        <v>10753</v>
      </c>
      <c r="B9959" s="4">
        <v>222460</v>
      </c>
      <c r="D9959" s="5" t="s">
        <v>13111</v>
      </c>
      <c r="E9959" s="6" t="str">
        <f>HYPERLINK("https://inpn.mnhn.fr/espece/cd_nom/222460","Harpalus rufipalpis Sturm, 1818")</f>
        <v>Harpalus rufipalpis Sturm, 1818</v>
      </c>
      <c r="AH9959" s="4" t="str">
        <f>HYPERLINK("#Statut_biogéographique!A"&amp;_xlfn.XMATCH("P",Statut_biogéographique!A:A,2,1),"P")</f>
        <v>P</v>
      </c>
      <c r="AP9959" s="4" t="s">
        <v>376</v>
      </c>
      <c r="AR9959" s="4" t="s">
        <v>377</v>
      </c>
    </row>
    <row r="9960" spans="1:44">
      <c r="A9960" s="4" t="s">
        <v>10753</v>
      </c>
      <c r="B9960" s="4">
        <v>222461</v>
      </c>
      <c r="D9960" s="5" t="s">
        <v>13112</v>
      </c>
      <c r="E9960" s="6" t="str">
        <f>HYPERLINK("https://inpn.mnhn.fr/espece/cd_nom/222461","Harpalus smaragdinus (Duftschmid, 1812)")</f>
        <v>Harpalus smaragdinus (Duftschmid, 1812)</v>
      </c>
      <c r="AH9960" s="4" t="str">
        <f>HYPERLINK("#Statut_biogéographique!A"&amp;_xlfn.XMATCH("P",Statut_biogéographique!A:A,2,1),"P")</f>
        <v>P</v>
      </c>
      <c r="AP9960" s="4" t="s">
        <v>376</v>
      </c>
      <c r="AR9960" s="4" t="s">
        <v>377</v>
      </c>
    </row>
    <row r="9961" spans="1:44">
      <c r="A9961" s="4" t="s">
        <v>10753</v>
      </c>
      <c r="B9961" s="4">
        <v>222462</v>
      </c>
      <c r="D9961" s="5" t="s">
        <v>13113</v>
      </c>
      <c r="E9961" s="6" t="str">
        <f>HYPERLINK("https://inpn.mnhn.fr/espece/cd_nom/222462","Harpalus solitaris Dejean, 1829")</f>
        <v>Harpalus solitaris Dejean, 1829</v>
      </c>
      <c r="AH9961" s="4" t="str">
        <f>HYPERLINK("#Statut_biogéographique!A"&amp;_xlfn.XMATCH("P",Statut_biogéographique!A:A,2,1),"P")</f>
        <v>P</v>
      </c>
      <c r="AP9961" s="4" t="s">
        <v>376</v>
      </c>
      <c r="AR9961" s="4" t="s">
        <v>377</v>
      </c>
    </row>
    <row r="9962" spans="1:44">
      <c r="A9962" s="4" t="s">
        <v>10753</v>
      </c>
      <c r="B9962" s="4">
        <v>222465</v>
      </c>
      <c r="D9962" s="5" t="s">
        <v>13114</v>
      </c>
      <c r="E9962" s="6" t="str">
        <f>HYPERLINK("https://inpn.mnhn.fr/espece/cd_nom/222465","Pseudoophonus griseus (Panzer, 1797)")</f>
        <v>Pseudoophonus griseus (Panzer, 1797)</v>
      </c>
      <c r="AH9962" s="4" t="str">
        <f>HYPERLINK("#Statut_biogéographique!A"&amp;_xlfn.XMATCH("P",Statut_biogéographique!A:A,2,1),"P")</f>
        <v>P</v>
      </c>
      <c r="AP9962" s="4" t="s">
        <v>376</v>
      </c>
      <c r="AR9962" s="4" t="s">
        <v>377</v>
      </c>
    </row>
    <row r="9963" spans="1:44" ht="30">
      <c r="A9963" s="4" t="s">
        <v>10753</v>
      </c>
      <c r="B9963" s="4">
        <v>222466</v>
      </c>
      <c r="D9963" s="5" t="s">
        <v>13115</v>
      </c>
      <c r="E9963" s="6" t="str">
        <f>HYPERLINK("https://inpn.mnhn.fr/espece/cd_nom/222466","Pseudoophonus rufipes (De Geer, 1774)")</f>
        <v>Pseudoophonus rufipes (De Geer, 1774)</v>
      </c>
      <c r="AH9963" s="4" t="str">
        <f>HYPERLINK("#Statut_biogéographique!A"&amp;_xlfn.XMATCH("P",Statut_biogéographique!A:A,2,1),"P")</f>
        <v>P</v>
      </c>
      <c r="AP9963" s="4" t="s">
        <v>376</v>
      </c>
      <c r="AR9963" s="4" t="s">
        <v>377</v>
      </c>
    </row>
    <row r="9964" spans="1:44" ht="30">
      <c r="A9964" s="4" t="s">
        <v>10753</v>
      </c>
      <c r="B9964" s="4">
        <v>222467</v>
      </c>
      <c r="D9964" s="5" t="s">
        <v>13116</v>
      </c>
      <c r="E9964" s="6" t="str">
        <f>HYPERLINK("https://inpn.mnhn.fr/espece/cd_nom/222467","Pseudoophonus calceatus (Duftschmid, 1812)")</f>
        <v>Pseudoophonus calceatus (Duftschmid, 1812)</v>
      </c>
      <c r="AH9964" s="4" t="str">
        <f>HYPERLINK("#Statut_biogéographique!A"&amp;_xlfn.XMATCH("P",Statut_biogéographique!A:A,2,1),"P")</f>
        <v>P</v>
      </c>
      <c r="AP9964" s="4" t="s">
        <v>376</v>
      </c>
      <c r="AR9964" s="4" t="s">
        <v>377</v>
      </c>
    </row>
    <row r="9965" spans="1:44" ht="30">
      <c r="A9965" s="4" t="s">
        <v>10753</v>
      </c>
      <c r="B9965" s="4">
        <v>222468</v>
      </c>
      <c r="D9965" s="5" t="s">
        <v>13117</v>
      </c>
      <c r="E9965" s="6" t="str">
        <f>HYPERLINK("https://inpn.mnhn.fr/espece/cd_nom/222468","Semiophonus signaticornis (Duftschmid, 1812)")</f>
        <v>Semiophonus signaticornis (Duftschmid, 1812)</v>
      </c>
      <c r="AH9965" s="4" t="str">
        <f>HYPERLINK("#Statut_biogéographique!A"&amp;_xlfn.XMATCH("P",Statut_biogéographique!A:A,2,1),"P")</f>
        <v>P</v>
      </c>
      <c r="AP9965" s="4" t="s">
        <v>376</v>
      </c>
      <c r="AR9965" s="4" t="s">
        <v>377</v>
      </c>
    </row>
    <row r="9966" spans="1:44">
      <c r="A9966" s="4" t="s">
        <v>10753</v>
      </c>
      <c r="B9966" s="4">
        <v>22247</v>
      </c>
      <c r="D9966" s="5" t="s">
        <v>13118</v>
      </c>
      <c r="E9966" s="6" t="str">
        <f>HYPERLINK("https://inpn.mnhn.fr/espece/cd_nom/22247","Rhagio immaculatus Meigen, 1804")</f>
        <v>Rhagio immaculatus Meigen, 1804</v>
      </c>
      <c r="AH9966" s="4" t="str">
        <f>HYPERLINK("#Statut_biogéographique!A"&amp;_xlfn.XMATCH("P",Statut_biogéographique!A:A,2,1),"P")</f>
        <v>P</v>
      </c>
      <c r="AP9966" s="4" t="s">
        <v>376</v>
      </c>
      <c r="AR9966" s="4" t="s">
        <v>377</v>
      </c>
    </row>
    <row r="9967" spans="1:44">
      <c r="A9967" s="4" t="s">
        <v>10753</v>
      </c>
      <c r="B9967" s="4">
        <v>222470</v>
      </c>
      <c r="D9967" s="5" t="s">
        <v>13119</v>
      </c>
      <c r="E9967" s="6" t="str">
        <f>HYPERLINK("https://inpn.mnhn.fr/espece/cd_nom/222470","Cryptophonus melancholicus (Dejean, 1829)")</f>
        <v>Cryptophonus melancholicus (Dejean, 1829)</v>
      </c>
      <c r="AH9967" s="4" t="str">
        <f>HYPERLINK("#Statut_biogéographique!A"&amp;_xlfn.XMATCH("P",Statut_biogéographique!A:A,2,1),"P")</f>
        <v>P</v>
      </c>
      <c r="AP9967" s="4" t="s">
        <v>376</v>
      </c>
      <c r="AR9967" s="4" t="s">
        <v>377</v>
      </c>
    </row>
    <row r="9968" spans="1:44" ht="30">
      <c r="A9968" s="4" t="s">
        <v>10753</v>
      </c>
      <c r="B9968" s="4">
        <v>222472</v>
      </c>
      <c r="D9968" s="5" t="s">
        <v>13120</v>
      </c>
      <c r="E9968" s="6" t="str">
        <f>HYPERLINK("https://inpn.mnhn.fr/espece/cd_nom/222472","Cephalophonus cephalotes (Fairmaire &amp; Laboulbène, 1854)")</f>
        <v>Cephalophonus cephalotes (Fairmaire &amp; Laboulbène, 1854)</v>
      </c>
      <c r="AH9968" s="4" t="str">
        <f>HYPERLINK("#Statut_biogéographique!A"&amp;_xlfn.XMATCH("P",Statut_biogéographique!A:A,2,1),"P")</f>
        <v>P</v>
      </c>
      <c r="AP9968" s="4" t="s">
        <v>376</v>
      </c>
      <c r="AR9968" s="4" t="s">
        <v>377</v>
      </c>
    </row>
    <row r="9969" spans="1:44" ht="30">
      <c r="A9969" s="4" t="s">
        <v>10753</v>
      </c>
      <c r="B9969" s="4">
        <v>222473</v>
      </c>
      <c r="D9969" s="5" t="s">
        <v>13121</v>
      </c>
      <c r="E9969" s="6" t="str">
        <f>HYPERLINK("https://inpn.mnhn.fr/espece/cd_nom/222473","Ophonus ardosiacus (Lutshnik, 1922)")</f>
        <v>Ophonus ardosiacus (Lutshnik, 1922)</v>
      </c>
      <c r="AH9969" s="4" t="str">
        <f>HYPERLINK("#Statut_biogéographique!A"&amp;_xlfn.XMATCH("P",Statut_biogéographique!A:A,2,1),"P")</f>
        <v>P</v>
      </c>
      <c r="AP9969" s="4" t="s">
        <v>376</v>
      </c>
      <c r="AR9969" s="4" t="s">
        <v>377</v>
      </c>
    </row>
    <row r="9970" spans="1:44" ht="30">
      <c r="A9970" s="4" t="s">
        <v>10753</v>
      </c>
      <c r="B9970" s="4">
        <v>222476</v>
      </c>
      <c r="D9970" s="5" t="s">
        <v>13122</v>
      </c>
      <c r="E9970" s="6" t="str">
        <f>HYPERLINK("https://inpn.mnhn.fr/espece/cd_nom/222476","Ophonus sabulicola (Panzer, 1795)")</f>
        <v>Ophonus sabulicola (Panzer, 1795)</v>
      </c>
      <c r="AH9970" s="4" t="str">
        <f>HYPERLINK("#Statut_biogéographique!A"&amp;_xlfn.XMATCH("P",Statut_biogéographique!A:A,2,1),"P")</f>
        <v>P</v>
      </c>
      <c r="AP9970" s="4" t="s">
        <v>376</v>
      </c>
      <c r="AR9970" s="4" t="s">
        <v>377</v>
      </c>
    </row>
    <row r="9971" spans="1:44">
      <c r="A9971" s="4" t="s">
        <v>10753</v>
      </c>
      <c r="B9971" s="4">
        <v>222477</v>
      </c>
      <c r="D9971" s="5" t="s">
        <v>13123</v>
      </c>
      <c r="E9971" s="6" t="str">
        <f>HYPERLINK("https://inpn.mnhn.fr/espece/cd_nom/222477","Ophonus stictus Stephens, 1828")</f>
        <v>Ophonus stictus Stephens, 1828</v>
      </c>
      <c r="AH9971" s="4" t="str">
        <f>HYPERLINK("#Statut_biogéographique!A"&amp;_xlfn.XMATCH("P",Statut_biogéographique!A:A,2,1),"P")</f>
        <v>P</v>
      </c>
      <c r="AP9971" s="4" t="s">
        <v>376</v>
      </c>
      <c r="AR9971" s="4" t="s">
        <v>377</v>
      </c>
    </row>
    <row r="9972" spans="1:44" ht="30">
      <c r="A9972" s="4" t="s">
        <v>10753</v>
      </c>
      <c r="B9972" s="4">
        <v>222478</v>
      </c>
      <c r="D9972" s="5" t="s">
        <v>13124</v>
      </c>
      <c r="E9972" s="6" t="str">
        <f>HYPERLINK("https://inpn.mnhn.fr/espece/cd_nom/222478","Ophonus azureus (Fabricius, 1775)")</f>
        <v>Ophonus azureus (Fabricius, 1775)</v>
      </c>
      <c r="AH9972" s="4" t="str">
        <f>HYPERLINK("#Statut_biogéographique!A"&amp;_xlfn.XMATCH("P",Statut_biogéographique!A:A,2,1),"P")</f>
        <v>P</v>
      </c>
      <c r="AP9972" s="4" t="s">
        <v>376</v>
      </c>
      <c r="AR9972" s="4" t="s">
        <v>377</v>
      </c>
    </row>
    <row r="9973" spans="1:44">
      <c r="A9973" s="4" t="s">
        <v>10753</v>
      </c>
      <c r="B9973" s="4">
        <v>222483</v>
      </c>
      <c r="D9973" s="5" t="s">
        <v>13125</v>
      </c>
      <c r="E9973" s="6" t="str">
        <f>HYPERLINK("https://inpn.mnhn.fr/espece/cd_nom/222483","Ophonus brevicollis (Audinet-Serville, 1821)")</f>
        <v>Ophonus brevicollis (Audinet-Serville, 1821)</v>
      </c>
      <c r="AH9973" s="4" t="str">
        <f>HYPERLINK("#Statut_biogéographique!A"&amp;_xlfn.XMATCH("P",Statut_biogéographique!A:A,2,1),"P")</f>
        <v>P</v>
      </c>
      <c r="AP9973" s="4" t="s">
        <v>376</v>
      </c>
      <c r="AR9973" s="4" t="s">
        <v>377</v>
      </c>
    </row>
    <row r="9974" spans="1:44">
      <c r="A9974" s="4" t="s">
        <v>10753</v>
      </c>
      <c r="B9974" s="4">
        <v>222486</v>
      </c>
      <c r="D9974" s="5" t="s">
        <v>13126</v>
      </c>
      <c r="E9974" s="6" t="str">
        <f>HYPERLINK("https://inpn.mnhn.fr/espece/cd_nom/222486","Ophonus laticollis Mannerheim, 1825")</f>
        <v>Ophonus laticollis Mannerheim, 1825</v>
      </c>
      <c r="AH9974" s="4" t="str">
        <f>HYPERLINK("#Statut_biogéographique!A"&amp;_xlfn.XMATCH("P",Statut_biogéographique!A:A,2,1),"P")</f>
        <v>P</v>
      </c>
      <c r="AP9974" s="4" t="s">
        <v>376</v>
      </c>
      <c r="AR9974" s="4" t="s">
        <v>377</v>
      </c>
    </row>
    <row r="9975" spans="1:44" ht="30">
      <c r="A9975" s="4" t="s">
        <v>10753</v>
      </c>
      <c r="B9975" s="4">
        <v>222487</v>
      </c>
      <c r="D9975" s="5" t="s">
        <v>13127</v>
      </c>
      <c r="E9975" s="6" t="str">
        <f>HYPERLINK("https://inpn.mnhn.fr/espece/cd_nom/222487","Ophonus melletii (Heer, 1837)")</f>
        <v>Ophonus melletii (Heer, 1837)</v>
      </c>
      <c r="AH9975" s="4" t="str">
        <f>HYPERLINK("#Statut_biogéographique!A"&amp;_xlfn.XMATCH("P",Statut_biogéographique!A:A,2,1),"P")</f>
        <v>P</v>
      </c>
      <c r="AP9975" s="4" t="s">
        <v>376</v>
      </c>
      <c r="AR9975" s="4" t="s">
        <v>377</v>
      </c>
    </row>
    <row r="9976" spans="1:44" ht="30">
      <c r="A9976" s="4" t="s">
        <v>10753</v>
      </c>
      <c r="B9976" s="4">
        <v>222488</v>
      </c>
      <c r="D9976" s="5" t="s">
        <v>13128</v>
      </c>
      <c r="E9976" s="6" t="str">
        <f>HYPERLINK("https://inpn.mnhn.fr/espece/cd_nom/222488","Ophonus parallelus (Dejean, 1829)")</f>
        <v>Ophonus parallelus (Dejean, 1829)</v>
      </c>
      <c r="AH9976" s="4" t="str">
        <f>HYPERLINK("#Statut_biogéographique!A"&amp;_xlfn.XMATCH("P",Statut_biogéographique!A:A,2,1),"P")</f>
        <v>P</v>
      </c>
      <c r="AP9976" s="4" t="s">
        <v>376</v>
      </c>
      <c r="AR9976" s="4" t="s">
        <v>377</v>
      </c>
    </row>
    <row r="9977" spans="1:44">
      <c r="A9977" s="4" t="s">
        <v>10753</v>
      </c>
      <c r="B9977" s="4">
        <v>222489</v>
      </c>
      <c r="D9977" s="5">
        <v>222489</v>
      </c>
      <c r="E9977" s="6" t="str">
        <f>HYPERLINK("https://inpn.mnhn.fr/espece/cd_nom/222489","Ophonus puncticeps Stephens, 1828")</f>
        <v>Ophonus puncticeps Stephens, 1828</v>
      </c>
      <c r="AH9977" s="4" t="str">
        <f>HYPERLINK("#Statut_biogéographique!A"&amp;_xlfn.XMATCH("P",Statut_biogéographique!A:A,2,1),"P")</f>
        <v>P</v>
      </c>
      <c r="AP9977" s="4" t="s">
        <v>376</v>
      </c>
      <c r="AR9977" s="4" t="s">
        <v>377</v>
      </c>
    </row>
    <row r="9978" spans="1:44">
      <c r="A9978" s="4" t="s">
        <v>10753</v>
      </c>
      <c r="B9978" s="4">
        <v>22249</v>
      </c>
      <c r="D9978" s="5" t="s">
        <v>13129</v>
      </c>
      <c r="E9978" s="6" t="str">
        <f>HYPERLINK("https://inpn.mnhn.fr/espece/cd_nom/22249","Rhagio lineola Fabricius, 1794")</f>
        <v>Rhagio lineola Fabricius, 1794</v>
      </c>
      <c r="AH9978" s="4" t="str">
        <f>HYPERLINK("#Statut_biogéographique!A"&amp;_xlfn.XMATCH("P",Statut_biogéographique!A:A,2,1),"P")</f>
        <v>P</v>
      </c>
      <c r="AP9978" s="4" t="s">
        <v>376</v>
      </c>
      <c r="AR9978" s="4" t="s">
        <v>377</v>
      </c>
    </row>
    <row r="9979" spans="1:44" ht="30">
      <c r="A9979" s="4" t="s">
        <v>10753</v>
      </c>
      <c r="B9979" s="4">
        <v>222490</v>
      </c>
      <c r="D9979" s="5" t="s">
        <v>13130</v>
      </c>
      <c r="E9979" s="6" t="str">
        <f>HYPERLINK("https://inpn.mnhn.fr/espece/cd_nom/222490","Ophonus puncticollis (Paykull, 1798)")</f>
        <v>Ophonus puncticollis (Paykull, 1798)</v>
      </c>
      <c r="AH9979" s="4" t="str">
        <f>HYPERLINK("#Statut_biogéographique!A"&amp;_xlfn.XMATCH("P",Statut_biogéographique!A:A,2,1),"P")</f>
        <v>P</v>
      </c>
      <c r="AP9979" s="4" t="s">
        <v>376</v>
      </c>
      <c r="AR9979" s="4" t="s">
        <v>377</v>
      </c>
    </row>
    <row r="9980" spans="1:44">
      <c r="A9980" s="4" t="s">
        <v>10753</v>
      </c>
      <c r="B9980" s="4">
        <v>222491</v>
      </c>
      <c r="D9980" s="5" t="s">
        <v>13131</v>
      </c>
      <c r="E9980" s="6" t="str">
        <f>HYPERLINK("https://inpn.mnhn.fr/espece/cd_nom/222491","Ophonus rufibarbis (Fabricius, 1792)")</f>
        <v>Ophonus rufibarbis (Fabricius, 1792)</v>
      </c>
      <c r="AH9980" s="4" t="str">
        <f>HYPERLINK("#Statut_biogéographique!A"&amp;_xlfn.XMATCH("P",Statut_biogéographique!A:A,2,1),"P")</f>
        <v>P</v>
      </c>
      <c r="AP9980" s="4" t="s">
        <v>376</v>
      </c>
      <c r="AR9980" s="4" t="s">
        <v>377</v>
      </c>
    </row>
    <row r="9981" spans="1:44">
      <c r="A9981" s="4" t="s">
        <v>10753</v>
      </c>
      <c r="B9981" s="4">
        <v>222508</v>
      </c>
      <c r="D9981" s="5" t="s">
        <v>13132</v>
      </c>
      <c r="E9981" s="6" t="str">
        <f>HYPERLINK("https://inpn.mnhn.fr/espece/cd_nom/222508","Badister bullatus (Schrank, 1798)")</f>
        <v>Badister bullatus (Schrank, 1798)</v>
      </c>
      <c r="AH9981" s="4" t="str">
        <f>HYPERLINK("#Statut_biogéographique!A"&amp;_xlfn.XMATCH("P",Statut_biogéographique!A:A,2,1),"P")</f>
        <v>P</v>
      </c>
      <c r="AP9981" s="4" t="s">
        <v>376</v>
      </c>
      <c r="AR9981" s="4" t="s">
        <v>377</v>
      </c>
    </row>
    <row r="9982" spans="1:44">
      <c r="A9982" s="4" t="s">
        <v>10753</v>
      </c>
      <c r="B9982" s="4">
        <v>222509</v>
      </c>
      <c r="D9982" s="5" t="s">
        <v>13133</v>
      </c>
      <c r="E9982" s="6" t="str">
        <f>HYPERLINK("https://inpn.mnhn.fr/espece/cd_nom/222509","Badister lacertosus Sturm, 1815")</f>
        <v>Badister lacertosus Sturm, 1815</v>
      </c>
      <c r="AH9982" s="4" t="str">
        <f>HYPERLINK("#Statut_biogéographique!A"&amp;_xlfn.XMATCH("P",Statut_biogéographique!A:A,2,1),"P")</f>
        <v>P</v>
      </c>
      <c r="AP9982" s="4" t="s">
        <v>376</v>
      </c>
      <c r="AR9982" s="4" t="s">
        <v>377</v>
      </c>
    </row>
    <row r="9983" spans="1:44" ht="30">
      <c r="A9983" s="4" t="s">
        <v>10753</v>
      </c>
      <c r="B9983" s="4">
        <v>22251</v>
      </c>
      <c r="D9983" s="5" t="s">
        <v>13134</v>
      </c>
      <c r="E9983" s="6" t="str">
        <f>HYPERLINK("https://inpn.mnhn.fr/espece/cd_nom/22251","Rhagio maculatus (De Geer, 1776)")</f>
        <v>Rhagio maculatus (De Geer, 1776)</v>
      </c>
      <c r="AH9983" s="4" t="str">
        <f>HYPERLINK("#Statut_biogéographique!A"&amp;_xlfn.XMATCH("P",Statut_biogéographique!A:A,2,1),"P")</f>
        <v>P</v>
      </c>
      <c r="AP9983" s="4" t="s">
        <v>376</v>
      </c>
      <c r="AR9983" s="4" t="s">
        <v>377</v>
      </c>
    </row>
    <row r="9984" spans="1:44">
      <c r="A9984" s="4" t="s">
        <v>10753</v>
      </c>
      <c r="B9984" s="4">
        <v>222510</v>
      </c>
      <c r="D9984" s="5" t="s">
        <v>13135</v>
      </c>
      <c r="E9984" s="6" t="str">
        <f>HYPERLINK("https://inpn.mnhn.fr/espece/cd_nom/222510","Badister unipustulatus Bonelli, 1813")</f>
        <v>Badister unipustulatus Bonelli, 1813</v>
      </c>
      <c r="AH9984" s="4" t="str">
        <f>HYPERLINK("#Statut_biogéographique!A"&amp;_xlfn.XMATCH("P",Statut_biogéographique!A:A,2,1),"P")</f>
        <v>P</v>
      </c>
      <c r="AP9984" s="4" t="s">
        <v>376</v>
      </c>
      <c r="AR9984" s="4" t="s">
        <v>377</v>
      </c>
    </row>
    <row r="9985" spans="1:44">
      <c r="A9985" s="4" t="s">
        <v>10753</v>
      </c>
      <c r="B9985" s="4">
        <v>222511</v>
      </c>
      <c r="D9985" s="5" t="s">
        <v>13136</v>
      </c>
      <c r="E9985" s="6" t="str">
        <f>HYPERLINK("https://inpn.mnhn.fr/espece/cd_nom/222511","Badister sodalis (Duftschmid, 1812)")</f>
        <v>Badister sodalis (Duftschmid, 1812)</v>
      </c>
      <c r="AH9985" s="4" t="str">
        <f>HYPERLINK("#Statut_biogéographique!A"&amp;_xlfn.XMATCH("P",Statut_biogéographique!A:A,2,1),"P")</f>
        <v>P</v>
      </c>
      <c r="AP9985" s="4" t="s">
        <v>376</v>
      </c>
      <c r="AR9985" s="4" t="s">
        <v>377</v>
      </c>
    </row>
    <row r="9986" spans="1:44">
      <c r="A9986" s="4" t="s">
        <v>10753</v>
      </c>
      <c r="B9986" s="4">
        <v>222513</v>
      </c>
      <c r="D9986" s="5" t="s">
        <v>13137</v>
      </c>
      <c r="E9986" s="6" t="str">
        <f>HYPERLINK("https://inpn.mnhn.fr/espece/cd_nom/222513","Badister dilatatus Chaudoir, 1837")</f>
        <v>Badister dilatatus Chaudoir, 1837</v>
      </c>
      <c r="AH9986" s="4" t="str">
        <f>HYPERLINK("#Statut_biogéographique!A"&amp;_xlfn.XMATCH("P",Statut_biogéographique!A:A,2,1),"P")</f>
        <v>P</v>
      </c>
      <c r="AP9986" s="4" t="s">
        <v>376</v>
      </c>
      <c r="AR9986" s="4" t="s">
        <v>377</v>
      </c>
    </row>
    <row r="9987" spans="1:44" ht="30">
      <c r="A9987" s="4" t="s">
        <v>10753</v>
      </c>
      <c r="B9987" s="4">
        <v>222515</v>
      </c>
      <c r="D9987" s="5" t="s">
        <v>13138</v>
      </c>
      <c r="E9987" s="6" t="str">
        <f>HYPERLINK("https://inpn.mnhn.fr/espece/cd_nom/222515","Licinus cassideus (Fabricius, 1792)")</f>
        <v>Licinus cassideus (Fabricius, 1792)</v>
      </c>
      <c r="AH9987" s="4" t="str">
        <f>HYPERLINK("#Statut_biogéographique!A"&amp;_xlfn.XMATCH("P",Statut_biogéographique!A:A,2,1),"P")</f>
        <v>P</v>
      </c>
      <c r="AP9987" s="4" t="s">
        <v>376</v>
      </c>
      <c r="AR9987" s="4" t="s">
        <v>377</v>
      </c>
    </row>
    <row r="9988" spans="1:44">
      <c r="A9988" s="4" t="s">
        <v>10753</v>
      </c>
      <c r="B9988" s="4">
        <v>222532</v>
      </c>
      <c r="D9988" s="5" t="s">
        <v>13139</v>
      </c>
      <c r="E9988" s="6" t="str">
        <f>HYPERLINK("https://inpn.mnhn.fr/espece/cd_nom/222532","Panagaeus bipustulatus (Fabricius, 1775)")</f>
        <v>Panagaeus bipustulatus (Fabricius, 1775)</v>
      </c>
      <c r="F9988" s="5" t="s">
        <v>13140</v>
      </c>
      <c r="AH9988" s="4" t="str">
        <f>HYPERLINK("#Statut_biogéographique!A"&amp;_xlfn.XMATCH("P",Statut_biogéographique!A:A,2,1),"P")</f>
        <v>P</v>
      </c>
      <c r="AP9988" s="4" t="s">
        <v>376</v>
      </c>
      <c r="AR9988" s="4" t="s">
        <v>377</v>
      </c>
    </row>
    <row r="9989" spans="1:44">
      <c r="A9989" s="4" t="s">
        <v>10753</v>
      </c>
      <c r="B9989" s="4">
        <v>222533</v>
      </c>
      <c r="D9989" s="5" t="s">
        <v>13141</v>
      </c>
      <c r="E9989" s="6" t="str">
        <f>HYPERLINK("https://inpn.mnhn.fr/espece/cd_nom/222533","Panagaeus cruxmajor (Linnaeus, 1758)")</f>
        <v>Panagaeus cruxmajor (Linnaeus, 1758)</v>
      </c>
      <c r="F9989" s="5" t="s">
        <v>13142</v>
      </c>
      <c r="AH9989" s="4" t="str">
        <f>HYPERLINK("#Statut_biogéographique!A"&amp;_xlfn.XMATCH("P",Statut_biogéographique!A:A,2,1),"P")</f>
        <v>P</v>
      </c>
      <c r="AP9989" s="4" t="s">
        <v>376</v>
      </c>
      <c r="AR9989" s="4" t="s">
        <v>377</v>
      </c>
    </row>
    <row r="9990" spans="1:44">
      <c r="A9990" s="4" t="s">
        <v>10753</v>
      </c>
      <c r="B9990" s="4">
        <v>222535</v>
      </c>
      <c r="D9990" s="5">
        <v>222535</v>
      </c>
      <c r="E9990" s="6" t="str">
        <f>HYPERLINK("https://inpn.mnhn.fr/espece/cd_nom/222535","Stomis elegans Chaudoir, 1861")</f>
        <v>Stomis elegans Chaudoir, 1861</v>
      </c>
      <c r="AH9990" s="4" t="str">
        <f>HYPERLINK("#Statut_biogéographique!A"&amp;_xlfn.XMATCH("P",Statut_biogéographique!A:A,2,1),"P")</f>
        <v>P</v>
      </c>
      <c r="AP9990" s="4" t="s">
        <v>376</v>
      </c>
      <c r="AR9990" s="4" t="s">
        <v>377</v>
      </c>
    </row>
    <row r="9991" spans="1:44" ht="30">
      <c r="A9991" s="4" t="s">
        <v>10753</v>
      </c>
      <c r="B9991" s="4">
        <v>222538</v>
      </c>
      <c r="D9991" s="5" t="s">
        <v>13143</v>
      </c>
      <c r="E9991" s="6" t="str">
        <f>HYPERLINK("https://inpn.mnhn.fr/espece/cd_nom/222538","Pedius longicollis (Duftschmid, 1812)")</f>
        <v>Pedius longicollis (Duftschmid, 1812)</v>
      </c>
      <c r="AH9991" s="4" t="str">
        <f>HYPERLINK("#Statut_biogéographique!A"&amp;_xlfn.XMATCH("P",Statut_biogéographique!A:A,2,1),"P")</f>
        <v>P</v>
      </c>
      <c r="AP9991" s="4" t="s">
        <v>376</v>
      </c>
      <c r="AR9991" s="4" t="s">
        <v>377</v>
      </c>
    </row>
    <row r="9992" spans="1:44">
      <c r="A9992" s="4" t="s">
        <v>10753</v>
      </c>
      <c r="B9992" s="4">
        <v>222539</v>
      </c>
      <c r="D9992" s="5" t="s">
        <v>13144</v>
      </c>
      <c r="E9992" s="6" t="str">
        <f>HYPERLINK("https://inpn.mnhn.fr/espece/cd_nom/222539","Poecilus cupreus (Linnaeus, 1758)")</f>
        <v>Poecilus cupreus (Linnaeus, 1758)</v>
      </c>
      <c r="AH9992" s="4" t="str">
        <f>HYPERLINK("#Statut_biogéographique!A"&amp;_xlfn.XMATCH("P",Statut_biogéographique!A:A,2,1),"P")</f>
        <v>P</v>
      </c>
      <c r="AP9992" s="4" t="s">
        <v>376</v>
      </c>
      <c r="AR9992" s="4" t="s">
        <v>377</v>
      </c>
    </row>
    <row r="9993" spans="1:44">
      <c r="A9993" s="4" t="s">
        <v>10753</v>
      </c>
      <c r="B9993" s="4">
        <v>222540</v>
      </c>
      <c r="D9993" s="5" t="s">
        <v>13145</v>
      </c>
      <c r="E9993" s="6" t="str">
        <f>HYPERLINK("https://inpn.mnhn.fr/espece/cd_nom/222540","Poecilus cursorius (Dejean, 1828)")</f>
        <v>Poecilus cursorius (Dejean, 1828)</v>
      </c>
      <c r="AH9993" s="4" t="str">
        <f>HYPERLINK("#Statut_biogéographique!A"&amp;_xlfn.XMATCH("P",Statut_biogéographique!A:A,2,1),"P")</f>
        <v>P</v>
      </c>
      <c r="AP9993" s="4" t="s">
        <v>376</v>
      </c>
      <c r="AR9993" s="4" t="s">
        <v>377</v>
      </c>
    </row>
    <row r="9994" spans="1:44">
      <c r="A9994" s="4" t="s">
        <v>10753</v>
      </c>
      <c r="B9994" s="4">
        <v>222541</v>
      </c>
      <c r="D9994" s="5" t="s">
        <v>13146</v>
      </c>
      <c r="E9994" s="6" t="str">
        <f>HYPERLINK("https://inpn.mnhn.fr/espece/cd_nom/222541","Poecilus versicolor (Sturm, 1824)")</f>
        <v>Poecilus versicolor (Sturm, 1824)</v>
      </c>
      <c r="AH9994" s="4" t="str">
        <f>HYPERLINK("#Statut_biogéographique!A"&amp;_xlfn.XMATCH("P",Statut_biogéographique!A:A,2,1),"P")</f>
        <v>P</v>
      </c>
      <c r="AP9994" s="4" t="s">
        <v>376</v>
      </c>
      <c r="AR9994" s="4" t="s">
        <v>377</v>
      </c>
    </row>
    <row r="9995" spans="1:44">
      <c r="A9995" s="4" t="s">
        <v>10753</v>
      </c>
      <c r="B9995" s="4">
        <v>222545</v>
      </c>
      <c r="D9995" s="5" t="s">
        <v>13147</v>
      </c>
      <c r="E9995" s="6" t="str">
        <f>HYPERLINK("https://inpn.mnhn.fr/espece/cd_nom/222545","Poecilus kugelanni (Panzer, 1797)")</f>
        <v>Poecilus kugelanni (Panzer, 1797)</v>
      </c>
      <c r="F9995" s="5" t="s">
        <v>13148</v>
      </c>
      <c r="AH9995" s="4" t="str">
        <f>HYPERLINK("#Statut_biogéographique!A"&amp;_xlfn.XMATCH("P",Statut_biogéographique!A:A,2,1),"P")</f>
        <v>P</v>
      </c>
      <c r="AP9995" s="4" t="s">
        <v>376</v>
      </c>
      <c r="AR9995" s="4" t="s">
        <v>377</v>
      </c>
    </row>
    <row r="9996" spans="1:44">
      <c r="A9996" s="4" t="s">
        <v>10753</v>
      </c>
      <c r="B9996" s="4">
        <v>222546</v>
      </c>
      <c r="D9996" s="5" t="s">
        <v>13149</v>
      </c>
      <c r="E9996" s="6" t="str">
        <f>HYPERLINK("https://inpn.mnhn.fr/espece/cd_nom/222546","Poecilus lepidus (Leske, 1785)")</f>
        <v>Poecilus lepidus (Leske, 1785)</v>
      </c>
      <c r="AH9996" s="4" t="str">
        <f>HYPERLINK("#Statut_biogéographique!A"&amp;_xlfn.XMATCH("P",Statut_biogéographique!A:A,2,1),"P")</f>
        <v>P</v>
      </c>
      <c r="AP9996" s="4" t="s">
        <v>376</v>
      </c>
      <c r="AR9996" s="4" t="s">
        <v>377</v>
      </c>
    </row>
    <row r="9997" spans="1:44">
      <c r="A9997" s="4" t="s">
        <v>10753</v>
      </c>
      <c r="B9997" s="4">
        <v>222547</v>
      </c>
      <c r="D9997" s="5">
        <v>222547</v>
      </c>
      <c r="E9997" s="6" t="str">
        <f>HYPERLINK("https://inpn.mnhn.fr/espece/cd_nom/222547","Poecilus sericeus Fischer von Waldheim, 1824")</f>
        <v>Poecilus sericeus Fischer von Waldheim, 1824</v>
      </c>
      <c r="AH9997" s="4" t="str">
        <f>HYPERLINK("#Statut_biogéographique!A"&amp;_xlfn.XMATCH("P",Statut_biogéographique!A:A,2,1),"P")</f>
        <v>P</v>
      </c>
      <c r="AP9997" s="4" t="s">
        <v>376</v>
      </c>
      <c r="AR9997" s="4" t="s">
        <v>377</v>
      </c>
    </row>
    <row r="9998" spans="1:44">
      <c r="A9998" s="4" t="s">
        <v>10753</v>
      </c>
      <c r="B9998" s="4">
        <v>222550</v>
      </c>
      <c r="D9998" s="5" t="s">
        <v>13150</v>
      </c>
      <c r="E9998" s="6" t="str">
        <f>HYPERLINK("https://inpn.mnhn.fr/espece/cd_nom/222550","Poecilus purpurascens (Dejean, 1828)")</f>
        <v>Poecilus purpurascens (Dejean, 1828)</v>
      </c>
      <c r="AH9998" s="4" t="str">
        <f>HYPERLINK("#Statut_biogéographique!A"&amp;_xlfn.XMATCH("P",Statut_biogéographique!A:A,2,1),"P")</f>
        <v>P</v>
      </c>
      <c r="AP9998" s="4" t="s">
        <v>376</v>
      </c>
      <c r="AR9998" s="4" t="s">
        <v>377</v>
      </c>
    </row>
    <row r="9999" spans="1:44" ht="30">
      <c r="A9999" s="4" t="s">
        <v>10753</v>
      </c>
      <c r="B9999" s="4">
        <v>222552</v>
      </c>
      <c r="D9999" s="5" t="s">
        <v>13151</v>
      </c>
      <c r="E9999" s="6" t="str">
        <f>HYPERLINK("https://inpn.mnhn.fr/espece/cd_nom/222552","Pterostichus ovoideus (Sturm, 1824)")</f>
        <v>Pterostichus ovoideus (Sturm, 1824)</v>
      </c>
      <c r="AH9999" s="4" t="str">
        <f>HYPERLINK("#Statut_biogéographique!A"&amp;_xlfn.XMATCH("P",Statut_biogéographique!A:A,2,1),"P")</f>
        <v>P</v>
      </c>
      <c r="AP9999" s="4" t="s">
        <v>376</v>
      </c>
      <c r="AR9999" s="4" t="s">
        <v>377</v>
      </c>
    </row>
    <row r="10000" spans="1:44" ht="30">
      <c r="A10000" s="4" t="s">
        <v>10753</v>
      </c>
      <c r="B10000" s="4">
        <v>222555</v>
      </c>
      <c r="D10000" s="5" t="s">
        <v>13152</v>
      </c>
      <c r="E10000" s="6" t="str">
        <f>HYPERLINK("https://inpn.mnhn.fr/espece/cd_nom/222555","Pterostichus quadrifoveolatus Letzner, 1852")</f>
        <v>Pterostichus quadrifoveolatus Letzner, 1852</v>
      </c>
      <c r="AH10000" s="4" t="str">
        <f>HYPERLINK("#Statut_biogéographique!A"&amp;_xlfn.XMATCH("P",Statut_biogéographique!A:A,2,1),"P")</f>
        <v>P</v>
      </c>
      <c r="AP10000" s="4" t="s">
        <v>376</v>
      </c>
      <c r="AR10000" s="4" t="s">
        <v>377</v>
      </c>
    </row>
    <row r="10001" spans="1:44">
      <c r="A10001" s="4" t="s">
        <v>10753</v>
      </c>
      <c r="B10001" s="4">
        <v>222556</v>
      </c>
      <c r="D10001" s="5" t="s">
        <v>13153</v>
      </c>
      <c r="E10001" s="6" t="str">
        <f>HYPERLINK("https://inpn.mnhn.fr/espece/cd_nom/222556","Pterostichus macer (Marsham, 1802)")</f>
        <v>Pterostichus macer (Marsham, 1802)</v>
      </c>
      <c r="AH10001" s="4" t="str">
        <f>HYPERLINK("#Statut_biogéographique!A"&amp;_xlfn.XMATCH("P",Statut_biogéographique!A:A,2,1),"P")</f>
        <v>P</v>
      </c>
      <c r="AP10001" s="4" t="s">
        <v>376</v>
      </c>
      <c r="AR10001" s="4" t="s">
        <v>377</v>
      </c>
    </row>
    <row r="10002" spans="1:44">
      <c r="A10002" s="4" t="s">
        <v>10753</v>
      </c>
      <c r="B10002" s="4">
        <v>222557</v>
      </c>
      <c r="D10002" s="5" t="s">
        <v>13154</v>
      </c>
      <c r="E10002" s="6" t="str">
        <f>HYPERLINK("https://inpn.mnhn.fr/espece/cd_nom/222557","Pterostichus niger (Schaller, 1783)")</f>
        <v>Pterostichus niger (Schaller, 1783)</v>
      </c>
      <c r="F10002" s="5" t="s">
        <v>13155</v>
      </c>
      <c r="AH10002" s="4" t="str">
        <f>HYPERLINK("#Statut_biogéographique!A"&amp;_xlfn.XMATCH("P",Statut_biogéographique!A:A,2,1),"P")</f>
        <v>P</v>
      </c>
      <c r="AP10002" s="4" t="s">
        <v>376</v>
      </c>
      <c r="AR10002" s="4" t="s">
        <v>377</v>
      </c>
    </row>
    <row r="10003" spans="1:44" ht="45">
      <c r="A10003" s="4" t="s">
        <v>10753</v>
      </c>
      <c r="B10003" s="4">
        <v>222558</v>
      </c>
      <c r="D10003" s="5" t="s">
        <v>13156</v>
      </c>
      <c r="E10003" s="6" t="str">
        <f>HYPERLINK("https://inpn.mnhn.fr/espece/cd_nom/222558","Pterostichus melanarius (Illiger, 1798)")</f>
        <v>Pterostichus melanarius (Illiger, 1798)</v>
      </c>
      <c r="AH10003" s="4" t="str">
        <f>HYPERLINK("#Statut_biogéographique!A"&amp;_xlfn.XMATCH("P",Statut_biogéographique!A:A,2,1),"P")</f>
        <v>P</v>
      </c>
      <c r="AP10003" s="4" t="s">
        <v>376</v>
      </c>
      <c r="AR10003" s="4" t="s">
        <v>377</v>
      </c>
    </row>
    <row r="10004" spans="1:44">
      <c r="A10004" s="4" t="s">
        <v>10753</v>
      </c>
      <c r="B10004" s="4">
        <v>222559</v>
      </c>
      <c r="D10004" s="5" t="s">
        <v>13157</v>
      </c>
      <c r="E10004" s="6" t="str">
        <f>HYPERLINK("https://inpn.mnhn.fr/espece/cd_nom/222559","Pterostichus anthracinus (Illiger, 1798)")</f>
        <v>Pterostichus anthracinus (Illiger, 1798)</v>
      </c>
      <c r="AH10004" s="4" t="str">
        <f>HYPERLINK("#Statut_biogéographique!A"&amp;_xlfn.XMATCH("P",Statut_biogéographique!A:A,2,1),"P")</f>
        <v>P</v>
      </c>
      <c r="AP10004" s="4" t="s">
        <v>376</v>
      </c>
      <c r="AR10004" s="4" t="s">
        <v>377</v>
      </c>
    </row>
    <row r="10005" spans="1:44">
      <c r="A10005" s="4" t="s">
        <v>10753</v>
      </c>
      <c r="B10005" s="4">
        <v>22256</v>
      </c>
      <c r="D10005" s="5" t="s">
        <v>13158</v>
      </c>
      <c r="E10005" s="6" t="str">
        <f>HYPERLINK("https://inpn.mnhn.fr/espece/cd_nom/22256","Rhagio notatus (Meigen, 1820)")</f>
        <v>Rhagio notatus (Meigen, 1820)</v>
      </c>
      <c r="AH10005" s="4" t="str">
        <f>HYPERLINK("#Statut_biogéographique!A"&amp;_xlfn.XMATCH("P",Statut_biogéographique!A:A,2,1),"P")</f>
        <v>P</v>
      </c>
      <c r="AP10005" s="4" t="s">
        <v>376</v>
      </c>
      <c r="AR10005" s="4" t="s">
        <v>377</v>
      </c>
    </row>
    <row r="10006" spans="1:44">
      <c r="A10006" s="4" t="s">
        <v>10753</v>
      </c>
      <c r="B10006" s="4">
        <v>222560</v>
      </c>
      <c r="D10006" s="5" t="s">
        <v>13159</v>
      </c>
      <c r="E10006" s="6" t="str">
        <f>HYPERLINK("https://inpn.mnhn.fr/espece/cd_nom/222560","Pterostichus nigrita (Paykull, 1790)")</f>
        <v>Pterostichus nigrita (Paykull, 1790)</v>
      </c>
      <c r="AH10006" s="4" t="str">
        <f>HYPERLINK("#Statut_biogéographique!A"&amp;_xlfn.XMATCH("P",Statut_biogéographique!A:A,2,1),"P")</f>
        <v>P</v>
      </c>
      <c r="AP10006" s="4" t="s">
        <v>376</v>
      </c>
      <c r="AR10006" s="4" t="s">
        <v>377</v>
      </c>
    </row>
    <row r="10007" spans="1:44">
      <c r="A10007" s="4" t="s">
        <v>10753</v>
      </c>
      <c r="B10007" s="4">
        <v>222562</v>
      </c>
      <c r="D10007" s="5">
        <v>222562</v>
      </c>
      <c r="E10007" s="6" t="str">
        <f>HYPERLINK("https://inpn.mnhn.fr/espece/cd_nom/222562","Pterostichus rhaeticus Heer, 1837")</f>
        <v>Pterostichus rhaeticus Heer, 1837</v>
      </c>
      <c r="AH10007" s="4" t="str">
        <f>HYPERLINK("#Statut_biogéographique!A"&amp;_xlfn.XMATCH("P",Statut_biogéographique!A:A,2,1),"P")</f>
        <v>P</v>
      </c>
      <c r="AP10007" s="4" t="s">
        <v>376</v>
      </c>
      <c r="AR10007" s="4" t="s">
        <v>377</v>
      </c>
    </row>
    <row r="10008" spans="1:44" ht="30">
      <c r="A10008" s="4" t="s">
        <v>10753</v>
      </c>
      <c r="B10008" s="4">
        <v>222569</v>
      </c>
      <c r="D10008" s="5" t="s">
        <v>13160</v>
      </c>
      <c r="E10008" s="6" t="str">
        <f>HYPERLINK("https://inpn.mnhn.fr/espece/cd_nom/222569","Pterostichus pumilio (Dejean, 1828)")</f>
        <v>Pterostichus pumilio (Dejean, 1828)</v>
      </c>
      <c r="AH10008" s="4" t="str">
        <f>HYPERLINK("#Statut_biogéographique!A"&amp;_xlfn.XMATCH("P",Statut_biogéographique!A:A,2,1),"P")</f>
        <v>P</v>
      </c>
      <c r="AP10008" s="4" t="s">
        <v>376</v>
      </c>
      <c r="AR10008" s="4" t="s">
        <v>377</v>
      </c>
    </row>
    <row r="10009" spans="1:44">
      <c r="A10009" s="4" t="s">
        <v>10753</v>
      </c>
      <c r="B10009" s="4">
        <v>22257</v>
      </c>
      <c r="D10009" s="5" t="s">
        <v>13161</v>
      </c>
      <c r="E10009" s="6" t="str">
        <f>HYPERLINK("https://inpn.mnhn.fr/espece/cd_nom/22257","Rhagio scolopaceus (Linnaeus, 1758)")</f>
        <v>Rhagio scolopaceus (Linnaeus, 1758)</v>
      </c>
      <c r="AH10009" s="4" t="str">
        <f>HYPERLINK("#Statut_biogéographique!A"&amp;_xlfn.XMATCH("P",Statut_biogéographique!A:A,2,1),"P")</f>
        <v>P</v>
      </c>
      <c r="AP10009" s="4" t="s">
        <v>376</v>
      </c>
      <c r="AR10009" s="4" t="s">
        <v>377</v>
      </c>
    </row>
    <row r="10010" spans="1:44">
      <c r="A10010" s="4" t="s">
        <v>10753</v>
      </c>
      <c r="B10010" s="4">
        <v>222579</v>
      </c>
      <c r="D10010" s="5" t="s">
        <v>13162</v>
      </c>
      <c r="E10010" s="6" t="str">
        <f>HYPERLINK("https://inpn.mnhn.fr/espece/cd_nom/222579","Pterostichus madidus (Fabricius, 1775)")</f>
        <v>Pterostichus madidus (Fabricius, 1775)</v>
      </c>
      <c r="F10010" s="5" t="s">
        <v>13163</v>
      </c>
      <c r="AH10010" s="4" t="str">
        <f>HYPERLINK("#Statut_biogéographique!A"&amp;_xlfn.XMATCH("P",Statut_biogéographique!A:A,2,1),"P")</f>
        <v>P</v>
      </c>
      <c r="AP10010" s="4" t="s">
        <v>376</v>
      </c>
      <c r="AR10010" s="4" t="s">
        <v>377</v>
      </c>
    </row>
    <row r="10011" spans="1:44">
      <c r="A10011" s="4" t="s">
        <v>10753</v>
      </c>
      <c r="B10011" s="4">
        <v>222581</v>
      </c>
      <c r="D10011" s="5" t="s">
        <v>13164</v>
      </c>
      <c r="E10011" s="6" t="str">
        <f>HYPERLINK("https://inpn.mnhn.fr/espece/cd_nom/222581","Pterostichus aethiops (Panzer, 1797)")</f>
        <v>Pterostichus aethiops (Panzer, 1797)</v>
      </c>
      <c r="AH10011" s="4" t="str">
        <f>HYPERLINK("#Statut_biogéographique!A"&amp;_xlfn.XMATCH("P",Statut_biogéographique!A:A,2,1),"P")</f>
        <v>P</v>
      </c>
      <c r="AP10011" s="4" t="s">
        <v>376</v>
      </c>
      <c r="AR10011" s="4" t="s">
        <v>377</v>
      </c>
    </row>
    <row r="10012" spans="1:44">
      <c r="A10012" s="4" t="s">
        <v>10753</v>
      </c>
      <c r="B10012" s="4">
        <v>222582</v>
      </c>
      <c r="D10012" s="5" t="s">
        <v>13165</v>
      </c>
      <c r="E10012" s="6" t="str">
        <f>HYPERLINK("https://inpn.mnhn.fr/espece/cd_nom/222582","Pterostichus burmeisteri Heer, 1838")</f>
        <v>Pterostichus burmeisteri Heer, 1838</v>
      </c>
      <c r="AH10012" s="4" t="str">
        <f>HYPERLINK("#Statut_biogéographique!A"&amp;_xlfn.XMATCH("P",Statut_biogéographique!A:A,2,1),"P")</f>
        <v>P</v>
      </c>
      <c r="AP10012" s="4" t="s">
        <v>376</v>
      </c>
      <c r="AR10012" s="4" t="s">
        <v>377</v>
      </c>
    </row>
    <row r="10013" spans="1:44">
      <c r="A10013" s="4" t="s">
        <v>10753</v>
      </c>
      <c r="B10013" s="4">
        <v>222586</v>
      </c>
      <c r="D10013" s="5">
        <v>222586</v>
      </c>
      <c r="E10013" s="6" t="str">
        <f>HYPERLINK("https://inpn.mnhn.fr/espece/cd_nom/222586","Pterostichus hagenbachii Sturm, 1824")</f>
        <v>Pterostichus hagenbachii Sturm, 1824</v>
      </c>
      <c r="AH10013" s="4" t="str">
        <f>HYPERLINK("#Statut_biogéographique!A"&amp;_xlfn.XMATCH("P",Statut_biogéographique!A:A,2,1),"P")</f>
        <v>P</v>
      </c>
      <c r="AP10013" s="4" t="s">
        <v>376</v>
      </c>
      <c r="AR10013" s="4" t="s">
        <v>377</v>
      </c>
    </row>
    <row r="10014" spans="1:44">
      <c r="A10014" s="4" t="s">
        <v>10753</v>
      </c>
      <c r="B10014" s="4">
        <v>22260</v>
      </c>
      <c r="D10014" s="5" t="s">
        <v>13166</v>
      </c>
      <c r="E10014" s="6" t="str">
        <f>HYPERLINK("https://inpn.mnhn.fr/espece/cd_nom/22260","Rhagio strigosus Meigen, 1804")</f>
        <v>Rhagio strigosus Meigen, 1804</v>
      </c>
      <c r="AH10014" s="4" t="str">
        <f>HYPERLINK("#Statut_biogéographique!A"&amp;_xlfn.XMATCH("P",Statut_biogéographique!A:A,2,1),"P")</f>
        <v>P</v>
      </c>
      <c r="AP10014" s="4" t="s">
        <v>376</v>
      </c>
      <c r="AR10014" s="4" t="s">
        <v>377</v>
      </c>
    </row>
    <row r="10015" spans="1:44">
      <c r="A10015" s="4" t="s">
        <v>10753</v>
      </c>
      <c r="B10015" s="4">
        <v>222606</v>
      </c>
      <c r="D10015" s="5" t="s">
        <v>13167</v>
      </c>
      <c r="E10015" s="6" t="str">
        <f>HYPERLINK("https://inpn.mnhn.fr/espece/cd_nom/222606","Pterostichus selmanni (Duftschmid, 1812)")</f>
        <v>Pterostichus selmanni (Duftschmid, 1812)</v>
      </c>
      <c r="AH10015" s="4" t="str">
        <f>HYPERLINK("#Statut_biogéographique!A"&amp;_xlfn.XMATCH("P",Statut_biogéographique!A:A,2,1),"P")</f>
        <v>P</v>
      </c>
      <c r="AP10015" s="4" t="s">
        <v>376</v>
      </c>
      <c r="AR10015" s="4" t="s">
        <v>377</v>
      </c>
    </row>
    <row r="10016" spans="1:44" ht="30">
      <c r="A10016" s="4" t="s">
        <v>10753</v>
      </c>
      <c r="B10016" s="4">
        <v>222607</v>
      </c>
      <c r="D10016" s="5" t="s">
        <v>13168</v>
      </c>
      <c r="E10016" s="6" t="str">
        <f>HYPERLINK("https://inpn.mnhn.fr/espece/cd_nom/222607","Abax parallelepipedus (Piller &amp; Mitterpacher, 1783)")</f>
        <v>Abax parallelepipedus (Piller &amp; Mitterpacher, 1783)</v>
      </c>
      <c r="F10016" s="5" t="s">
        <v>13169</v>
      </c>
      <c r="AH10016" s="4" t="str">
        <f>HYPERLINK("#Statut_biogéographique!A"&amp;_xlfn.XMATCH("P",Statut_biogéographique!A:A,2,1),"P")</f>
        <v>P</v>
      </c>
      <c r="AP10016" s="4" t="s">
        <v>376</v>
      </c>
      <c r="AR10016" s="4" t="s">
        <v>377</v>
      </c>
    </row>
    <row r="10017" spans="1:44">
      <c r="A10017" s="4" t="s">
        <v>10753</v>
      </c>
      <c r="B10017" s="4">
        <v>222609</v>
      </c>
      <c r="D10017" s="5" t="s">
        <v>13170</v>
      </c>
      <c r="E10017" s="6" t="str">
        <f>HYPERLINK("https://inpn.mnhn.fr/espece/cd_nom/222609","Abax carinatus (Duftschmid, 1812)")</f>
        <v>Abax carinatus (Duftschmid, 1812)</v>
      </c>
      <c r="AH10017" s="4" t="str">
        <f>HYPERLINK("#Statut_biogéographique!A"&amp;_xlfn.XMATCH("P",Statut_biogéographique!A:A,2,1),"P")</f>
        <v>P</v>
      </c>
      <c r="AP10017" s="4" t="s">
        <v>376</v>
      </c>
      <c r="AR10017" s="4" t="s">
        <v>377</v>
      </c>
    </row>
    <row r="10018" spans="1:44" ht="30">
      <c r="A10018" s="4" t="s">
        <v>10753</v>
      </c>
      <c r="B10018" s="4">
        <v>222616</v>
      </c>
      <c r="D10018" s="5" t="s">
        <v>13171</v>
      </c>
      <c r="E10018" s="6" t="str">
        <f>HYPERLINK("https://inpn.mnhn.fr/espece/cd_nom/222616","Zabrus tenebrioides (Goeze, 1777)")</f>
        <v>Zabrus tenebrioides (Goeze, 1777)</v>
      </c>
      <c r="F10018" s="5" t="s">
        <v>13172</v>
      </c>
      <c r="AH10018" s="4" t="str">
        <f>HYPERLINK("#Statut_biogéographique!A"&amp;_xlfn.XMATCH("P",Statut_biogéographique!A:A,2,1),"P")</f>
        <v>P</v>
      </c>
      <c r="AP10018" s="4" t="s">
        <v>376</v>
      </c>
      <c r="AR10018" s="4" t="s">
        <v>377</v>
      </c>
    </row>
    <row r="10019" spans="1:44" ht="45">
      <c r="A10019" s="4" t="s">
        <v>10753</v>
      </c>
      <c r="B10019" s="4">
        <v>22262</v>
      </c>
      <c r="D10019" s="5" t="s">
        <v>13173</v>
      </c>
      <c r="E10019" s="6" t="str">
        <f>HYPERLINK("https://inpn.mnhn.fr/espece/cd_nom/22262","Rhagio tringarius (Linnaeus, 1758)")</f>
        <v>Rhagio tringarius (Linnaeus, 1758)</v>
      </c>
      <c r="AH10019" s="4" t="str">
        <f>HYPERLINK("#Statut_biogéographique!A"&amp;_xlfn.XMATCH("P",Statut_biogéographique!A:A,2,1),"P")</f>
        <v>P</v>
      </c>
      <c r="AP10019" s="4" t="s">
        <v>376</v>
      </c>
      <c r="AR10019" s="4" t="s">
        <v>377</v>
      </c>
    </row>
    <row r="10020" spans="1:44">
      <c r="A10020" s="4" t="s">
        <v>10753</v>
      </c>
      <c r="B10020" s="4">
        <v>222621</v>
      </c>
      <c r="D10020" s="5" t="s">
        <v>13174</v>
      </c>
      <c r="E10020" s="6" t="str">
        <f>HYPERLINK("https://inpn.mnhn.fr/espece/cd_nom/222621","Amara concinna Zimmermann, 1832")</f>
        <v>Amara concinna Zimmermann, 1832</v>
      </c>
      <c r="AH10020" s="4" t="str">
        <f>HYPERLINK("#Statut_biogéographique!A"&amp;_xlfn.XMATCH("P",Statut_biogéographique!A:A,2,1),"P")</f>
        <v>P</v>
      </c>
      <c r="AP10020" s="4" t="s">
        <v>376</v>
      </c>
      <c r="AR10020" s="4" t="s">
        <v>377</v>
      </c>
    </row>
    <row r="10021" spans="1:44">
      <c r="A10021" s="4" t="s">
        <v>10753</v>
      </c>
      <c r="B10021" s="4">
        <v>222622</v>
      </c>
      <c r="D10021" s="5" t="s">
        <v>13175</v>
      </c>
      <c r="E10021" s="6" t="str">
        <f>HYPERLINK("https://inpn.mnhn.fr/espece/cd_nom/222622","Amara strenua Zimmermann, 1832")</f>
        <v>Amara strenua Zimmermann, 1832</v>
      </c>
      <c r="AH10021" s="4" t="str">
        <f>HYPERLINK("#Statut_biogéographique!A"&amp;_xlfn.XMATCH("P",Statut_biogéographique!A:A,2,1),"P")</f>
        <v>P</v>
      </c>
      <c r="AP10021" s="4" t="s">
        <v>376</v>
      </c>
      <c r="AR10021" s="4" t="s">
        <v>377</v>
      </c>
    </row>
    <row r="10022" spans="1:44">
      <c r="A10022" s="4" t="s">
        <v>10753</v>
      </c>
      <c r="B10022" s="4">
        <v>222623</v>
      </c>
      <c r="D10022" s="5" t="s">
        <v>13176</v>
      </c>
      <c r="E10022" s="6" t="str">
        <f>HYPERLINK("https://inpn.mnhn.fr/espece/cd_nom/222623","Amara tricuspidata Dejean, 1831")</f>
        <v>Amara tricuspidata Dejean, 1831</v>
      </c>
      <c r="AH10022" s="4" t="str">
        <f>HYPERLINK("#Statut_biogéographique!A"&amp;_xlfn.XMATCH("P",Statut_biogéographique!A:A,2,1),"P")</f>
        <v>P</v>
      </c>
      <c r="AP10022" s="4" t="s">
        <v>376</v>
      </c>
      <c r="AR10022" s="4" t="s">
        <v>377</v>
      </c>
    </row>
    <row r="10023" spans="1:44">
      <c r="A10023" s="4" t="s">
        <v>10753</v>
      </c>
      <c r="B10023" s="4">
        <v>222624</v>
      </c>
      <c r="D10023" s="5" t="s">
        <v>13177</v>
      </c>
      <c r="E10023" s="6" t="str">
        <f>HYPERLINK("https://inpn.mnhn.fr/espece/cd_nom/222624","Amara anthobia A. Villa &amp; G.B. Villa, 1833")</f>
        <v>Amara anthobia A. Villa &amp; G.B. Villa, 1833</v>
      </c>
      <c r="AH10023" s="4" t="str">
        <f>HYPERLINK("#Statut_biogéographique!A"&amp;_xlfn.XMATCH("P",Statut_biogéographique!A:A,2,1),"P")</f>
        <v>P</v>
      </c>
      <c r="AP10023" s="4" t="s">
        <v>376</v>
      </c>
      <c r="AR10023" s="4" t="s">
        <v>377</v>
      </c>
    </row>
    <row r="10024" spans="1:44">
      <c r="A10024" s="4" t="s">
        <v>10753</v>
      </c>
      <c r="B10024" s="4">
        <v>222631</v>
      </c>
      <c r="D10024" s="5" t="s">
        <v>13178</v>
      </c>
      <c r="E10024" s="6" t="str">
        <f>HYPERLINK("https://inpn.mnhn.fr/espece/cd_nom/222631","Amara spreta Dejean, 1831")</f>
        <v>Amara spreta Dejean, 1831</v>
      </c>
      <c r="AH10024" s="4" t="str">
        <f>HYPERLINK("#Statut_biogéographique!A"&amp;_xlfn.XMATCH("P",Statut_biogéographique!A:A,2,1),"P")</f>
        <v>P</v>
      </c>
      <c r="AP10024" s="4" t="s">
        <v>376</v>
      </c>
      <c r="AR10024" s="4" t="s">
        <v>377</v>
      </c>
    </row>
    <row r="10025" spans="1:44">
      <c r="A10025" s="4" t="s">
        <v>10753</v>
      </c>
      <c r="B10025" s="4">
        <v>222634</v>
      </c>
      <c r="D10025" s="5" t="s">
        <v>13179</v>
      </c>
      <c r="E10025" s="6" t="str">
        <f>HYPERLINK("https://inpn.mnhn.fr/espece/cd_nom/222634","Amara bifrons (Gyllenhal, 1810)")</f>
        <v>Amara bifrons (Gyllenhal, 1810)</v>
      </c>
      <c r="AH10025" s="4" t="str">
        <f>HYPERLINK("#Statut_biogéographique!A"&amp;_xlfn.XMATCH("P",Statut_biogéographique!A:A,2,1),"P")</f>
        <v>P</v>
      </c>
      <c r="AP10025" s="4" t="s">
        <v>376</v>
      </c>
      <c r="AR10025" s="4" t="s">
        <v>377</v>
      </c>
    </row>
    <row r="10026" spans="1:44">
      <c r="A10026" s="4" t="s">
        <v>10753</v>
      </c>
      <c r="B10026" s="4">
        <v>222640</v>
      </c>
      <c r="D10026" s="5" t="s">
        <v>13180</v>
      </c>
      <c r="E10026" s="6" t="str">
        <f>HYPERLINK("https://inpn.mnhn.fr/espece/cd_nom/222640","Amara ingenua (Duftschmid, 1812)")</f>
        <v>Amara ingenua (Duftschmid, 1812)</v>
      </c>
      <c r="AH10026" s="4" t="str">
        <f>HYPERLINK("#Statut_biogéographique!A"&amp;_xlfn.XMATCH("P",Statut_biogéographique!A:A,2,1),"P")</f>
        <v>P</v>
      </c>
      <c r="AP10026" s="4" t="s">
        <v>376</v>
      </c>
      <c r="AR10026" s="4" t="s">
        <v>377</v>
      </c>
    </row>
    <row r="10027" spans="1:44">
      <c r="A10027" s="4" t="s">
        <v>10753</v>
      </c>
      <c r="B10027" s="4">
        <v>222643</v>
      </c>
      <c r="D10027" s="5" t="s">
        <v>13181</v>
      </c>
      <c r="E10027" s="6" t="str">
        <f>HYPERLINK("https://inpn.mnhn.fr/espece/cd_nom/222643","Amara municipalis (Duftschmid, 1812)")</f>
        <v>Amara municipalis (Duftschmid, 1812)</v>
      </c>
      <c r="AH10027" s="4" t="str">
        <f>HYPERLINK("#Statut_biogéographique!A"&amp;_xlfn.XMATCH("P",Statut_biogéographique!A:A,2,1),"P")</f>
        <v>P</v>
      </c>
      <c r="AP10027" s="4" t="s">
        <v>376</v>
      </c>
      <c r="AR10027" s="4" t="s">
        <v>377</v>
      </c>
    </row>
    <row r="10028" spans="1:44" ht="30">
      <c r="A10028" s="4" t="s">
        <v>10753</v>
      </c>
      <c r="B10028" s="4">
        <v>222644</v>
      </c>
      <c r="D10028" s="5" t="s">
        <v>13182</v>
      </c>
      <c r="E10028" s="6" t="str">
        <f>HYPERLINK("https://inpn.mnhn.fr/espece/cd_nom/222644","Amara praetermissa (C.R. Sahlberg, 1827)")</f>
        <v>Amara praetermissa (C.R. Sahlberg, 1827)</v>
      </c>
      <c r="AH10028" s="4" t="str">
        <f>HYPERLINK("#Statut_biogéographique!A"&amp;_xlfn.XMATCH("P",Statut_biogéographique!A:A,2,1),"P")</f>
        <v>P</v>
      </c>
      <c r="AP10028" s="4" t="s">
        <v>376</v>
      </c>
      <c r="AR10028" s="4" t="s">
        <v>377</v>
      </c>
    </row>
    <row r="10029" spans="1:44">
      <c r="A10029" s="4" t="s">
        <v>10753</v>
      </c>
      <c r="B10029" s="4">
        <v>222652</v>
      </c>
      <c r="D10029" s="5" t="s">
        <v>13183</v>
      </c>
      <c r="E10029" s="6" t="str">
        <f>HYPERLINK("https://inpn.mnhn.fr/espece/cd_nom/222652","Amara equestris (Duftschmid, 1812)")</f>
        <v>Amara equestris (Duftschmid, 1812)</v>
      </c>
      <c r="AH10029" s="4" t="str">
        <f>HYPERLINK("#Statut_biogéographique!A"&amp;_xlfn.XMATCH("P",Statut_biogéographique!A:A,2,1),"P")</f>
        <v>P</v>
      </c>
      <c r="AP10029" s="4" t="s">
        <v>376</v>
      </c>
      <c r="AR10029" s="4" t="s">
        <v>377</v>
      </c>
    </row>
    <row r="10030" spans="1:44">
      <c r="A10030" s="4" t="s">
        <v>10753</v>
      </c>
      <c r="B10030" s="4">
        <v>222655</v>
      </c>
      <c r="D10030" s="5" t="s">
        <v>13184</v>
      </c>
      <c r="E10030" s="6" t="str">
        <f>HYPERLINK("https://inpn.mnhn.fr/espece/cd_nom/222655","Amara fulva (O.F. Müller, 1776)")</f>
        <v>Amara fulva (O.F. Müller, 1776)</v>
      </c>
      <c r="AH10030" s="4" t="str">
        <f>HYPERLINK("#Statut_biogéographique!A"&amp;_xlfn.XMATCH("P",Statut_biogéographique!A:A,2,1),"P")</f>
        <v>P</v>
      </c>
      <c r="AP10030" s="4" t="s">
        <v>376</v>
      </c>
      <c r="AR10030" s="4" t="s">
        <v>377</v>
      </c>
    </row>
    <row r="10031" spans="1:44" ht="30">
      <c r="A10031" s="4" t="s">
        <v>10753</v>
      </c>
      <c r="B10031" s="4">
        <v>222661</v>
      </c>
      <c r="D10031" s="5" t="s">
        <v>13185</v>
      </c>
      <c r="E10031" s="6" t="str">
        <f>HYPERLINK("https://inpn.mnhn.fr/espece/cd_nom/222661","Amara aulica (Panzer, 1796)")</f>
        <v>Amara aulica (Panzer, 1796)</v>
      </c>
      <c r="AH10031" s="4" t="str">
        <f>HYPERLINK("#Statut_biogéographique!A"&amp;_xlfn.XMATCH("P",Statut_biogéographique!A:A,2,1),"P")</f>
        <v>P</v>
      </c>
      <c r="AP10031" s="4" t="s">
        <v>376</v>
      </c>
      <c r="AR10031" s="4" t="s">
        <v>377</v>
      </c>
    </row>
    <row r="10032" spans="1:44">
      <c r="A10032" s="4" t="s">
        <v>10753</v>
      </c>
      <c r="B10032" s="4">
        <v>222664</v>
      </c>
      <c r="D10032" s="5" t="s">
        <v>13186</v>
      </c>
      <c r="E10032" s="6" t="str">
        <f>HYPERLINK("https://inpn.mnhn.fr/espece/cd_nom/222664","Patrobus atrorufus (Strøm, 1768)")</f>
        <v>Patrobus atrorufus (Strøm, 1768)</v>
      </c>
      <c r="AH10032" s="4" t="str">
        <f>HYPERLINK("#Statut_biogéographique!A"&amp;_xlfn.XMATCH("P",Statut_biogéographique!A:A,2,1),"P")</f>
        <v>P</v>
      </c>
      <c r="AP10032" s="4" t="s">
        <v>376</v>
      </c>
      <c r="AR10032" s="4" t="s">
        <v>377</v>
      </c>
    </row>
    <row r="10033" spans="1:44" ht="30">
      <c r="A10033" s="4" t="s">
        <v>10753</v>
      </c>
      <c r="B10033" s="4">
        <v>222675</v>
      </c>
      <c r="D10033" s="5" t="s">
        <v>13187</v>
      </c>
      <c r="E10033" s="6" t="str">
        <f>HYPERLINK("https://inpn.mnhn.fr/espece/cd_nom/222675","Trichaphaenops sollaudi Jeannel, 1916")</f>
        <v>Trichaphaenops sollaudi Jeannel, 1916</v>
      </c>
      <c r="L10033" s="4" t="str">
        <f>HYPERLINK("#Réglementation!A"&amp;_xlfn.XMATCH("NI3",Réglementation!A:A,2,1),"NI3")</f>
        <v>NI3</v>
      </c>
      <c r="AH10033" s="4" t="str">
        <f>HYPERLINK("#Statut_biogéographique!A"&amp;_xlfn.XMATCH("S",Statut_biogéographique!A:A,2,1),"S")</f>
        <v>S</v>
      </c>
      <c r="AP10033" s="4" t="s">
        <v>376</v>
      </c>
      <c r="AR10033" s="4" t="s">
        <v>377</v>
      </c>
    </row>
    <row r="10034" spans="1:44">
      <c r="A10034" s="4" t="s">
        <v>10753</v>
      </c>
      <c r="B10034" s="4">
        <v>22271</v>
      </c>
      <c r="D10034" s="5" t="s">
        <v>13188</v>
      </c>
      <c r="E10034" s="6" t="str">
        <f>HYPERLINK("https://inpn.mnhn.fr/espece/cd_nom/22271","Rhagio vitripennis (Meigen, 1820)")</f>
        <v>Rhagio vitripennis (Meigen, 1820)</v>
      </c>
      <c r="AH10034" s="4" t="str">
        <f>HYPERLINK("#Statut_biogéographique!A"&amp;_xlfn.XMATCH("P",Statut_biogéographique!A:A,2,1),"P")</f>
        <v>P</v>
      </c>
      <c r="AP10034" s="4" t="s">
        <v>376</v>
      </c>
      <c r="AR10034" s="4" t="s">
        <v>377</v>
      </c>
    </row>
    <row r="10035" spans="1:44">
      <c r="A10035" s="4" t="s">
        <v>10753</v>
      </c>
      <c r="B10035" s="4">
        <v>222805</v>
      </c>
      <c r="D10035" s="5" t="s">
        <v>13189</v>
      </c>
      <c r="E10035" s="6" t="str">
        <f>HYPERLINK("https://inpn.mnhn.fr/espece/cd_nom/222805","Blemus discus (Fabricius, 1792)")</f>
        <v>Blemus discus (Fabricius, 1792)</v>
      </c>
      <c r="AH10035" s="4" t="str">
        <f>HYPERLINK("#Statut_biogéographique!A"&amp;_xlfn.XMATCH("P",Statut_biogéographique!A:A,2,1),"P")</f>
        <v>P</v>
      </c>
      <c r="AP10035" s="4" t="s">
        <v>376</v>
      </c>
      <c r="AR10035" s="4" t="s">
        <v>377</v>
      </c>
    </row>
    <row r="10036" spans="1:44">
      <c r="A10036" s="4" t="s">
        <v>10753</v>
      </c>
      <c r="B10036" s="4">
        <v>222806</v>
      </c>
      <c r="D10036" s="5" t="s">
        <v>13190</v>
      </c>
      <c r="E10036" s="6" t="str">
        <f>HYPERLINK("https://inpn.mnhn.fr/espece/cd_nom/222806","Trechoblemus micros (Herbst, 1784)")</f>
        <v>Trechoblemus micros (Herbst, 1784)</v>
      </c>
      <c r="AH10036" s="4" t="str">
        <f>HYPERLINK("#Statut_biogéographique!A"&amp;_xlfn.XMATCH("P",Statut_biogéographique!A:A,2,1),"P")</f>
        <v>P</v>
      </c>
      <c r="AP10036" s="4" t="s">
        <v>376</v>
      </c>
      <c r="AR10036" s="4" t="s">
        <v>377</v>
      </c>
    </row>
    <row r="10037" spans="1:44">
      <c r="A10037" s="4" t="s">
        <v>10753</v>
      </c>
      <c r="B10037" s="4">
        <v>222829</v>
      </c>
      <c r="D10037" s="5" t="s">
        <v>13191</v>
      </c>
      <c r="E10037" s="6" t="str">
        <f>HYPERLINK("https://inpn.mnhn.fr/espece/cd_nom/222829","Tachyura parvula (Dejean, 1831)")</f>
        <v>Tachyura parvula (Dejean, 1831)</v>
      </c>
      <c r="AH10037" s="4" t="str">
        <f>HYPERLINK("#Statut_biogéographique!A"&amp;_xlfn.XMATCH("P",Statut_biogéographique!A:A,2,1),"P")</f>
        <v>P</v>
      </c>
      <c r="AP10037" s="4" t="s">
        <v>376</v>
      </c>
      <c r="AR10037" s="4" t="s">
        <v>377</v>
      </c>
    </row>
    <row r="10038" spans="1:44">
      <c r="A10038" s="4" t="s">
        <v>10753</v>
      </c>
      <c r="B10038" s="4">
        <v>22283</v>
      </c>
      <c r="D10038" s="5" t="s">
        <v>13192</v>
      </c>
      <c r="E10038" s="6" t="str">
        <f>HYPERLINK("https://inpn.mnhn.fr/espece/cd_nom/22283","Ptiolina obscura (Fallén, 1814)")</f>
        <v>Ptiolina obscura (Fallén, 1814)</v>
      </c>
      <c r="AH10038" s="4" t="str">
        <f>HYPERLINK("#Statut_biogéographique!A"&amp;_xlfn.XMATCH("P",Statut_biogéographique!A:A,2,1),"P")</f>
        <v>P</v>
      </c>
      <c r="AP10038" s="4" t="s">
        <v>376</v>
      </c>
      <c r="AR10038" s="4" t="s">
        <v>377</v>
      </c>
    </row>
    <row r="10039" spans="1:44">
      <c r="A10039" s="4" t="s">
        <v>10753</v>
      </c>
      <c r="B10039" s="4">
        <v>222830</v>
      </c>
      <c r="D10039" s="5" t="s">
        <v>13193</v>
      </c>
      <c r="E10039" s="6" t="str">
        <f>HYPERLINK("https://inpn.mnhn.fr/espece/cd_nom/222830","Tachyura quadrisignata (Duftschmid, 1812)")</f>
        <v>Tachyura quadrisignata (Duftschmid, 1812)</v>
      </c>
      <c r="AH10039" s="4" t="str">
        <f>HYPERLINK("#Statut_biogéographique!A"&amp;_xlfn.XMATCH("P",Statut_biogéographique!A:A,2,1),"P")</f>
        <v>P</v>
      </c>
      <c r="AP10039" s="4" t="s">
        <v>376</v>
      </c>
      <c r="AR10039" s="4" t="s">
        <v>377</v>
      </c>
    </row>
    <row r="10040" spans="1:44">
      <c r="A10040" s="4" t="s">
        <v>10753</v>
      </c>
      <c r="B10040" s="4">
        <v>222833</v>
      </c>
      <c r="D10040" s="5" t="s">
        <v>13194</v>
      </c>
      <c r="E10040" s="6" t="str">
        <f>HYPERLINK("https://inpn.mnhn.fr/espece/cd_nom/222833","Porotachys bisulcatus (Nicolai, 1822)")</f>
        <v>Porotachys bisulcatus (Nicolai, 1822)</v>
      </c>
      <c r="AH10040" s="4" t="str">
        <f>HYPERLINK("#Statut_biogéographique!A"&amp;_xlfn.XMATCH("P",Statut_biogéographique!A:A,2,1),"P")</f>
        <v>P</v>
      </c>
      <c r="AP10040" s="4" t="s">
        <v>376</v>
      </c>
      <c r="AR10040" s="4" t="s">
        <v>377</v>
      </c>
    </row>
    <row r="10041" spans="1:44" ht="30">
      <c r="A10041" s="4" t="s">
        <v>10753</v>
      </c>
      <c r="B10041" s="4">
        <v>222843</v>
      </c>
      <c r="D10041" s="5" t="s">
        <v>13195</v>
      </c>
      <c r="E10041" s="6" t="str">
        <f>HYPERLINK("https://inpn.mnhn.fr/espece/cd_nom/222843","Sinechostictus cribrum (Jacquelin du Val, 1852)")</f>
        <v>Sinechostictus cribrum (Jacquelin du Val, 1852)</v>
      </c>
      <c r="AH10041" s="4" t="str">
        <f>HYPERLINK("#Statut_biogéographique!A"&amp;_xlfn.XMATCH("P",Statut_biogéographique!A:A,2,1),"P")</f>
        <v>P</v>
      </c>
      <c r="AP10041" s="4" t="s">
        <v>376</v>
      </c>
      <c r="AR10041" s="4" t="s">
        <v>377</v>
      </c>
    </row>
    <row r="10042" spans="1:44">
      <c r="A10042" s="4" t="s">
        <v>10753</v>
      </c>
      <c r="B10042" s="4">
        <v>222845</v>
      </c>
      <c r="D10042" s="5" t="s">
        <v>13196</v>
      </c>
      <c r="E10042" s="6" t="str">
        <f>HYPERLINK("https://inpn.mnhn.fr/espece/cd_nom/222845","Sinechostictus decoratus (Duftschmid, 1812)")</f>
        <v>Sinechostictus decoratus (Duftschmid, 1812)</v>
      </c>
      <c r="AH10042" s="4" t="str">
        <f>HYPERLINK("#Statut_biogéographique!A"&amp;_xlfn.XMATCH("P",Statut_biogéographique!A:A,2,1),"P")</f>
        <v>P</v>
      </c>
      <c r="AP10042" s="4" t="s">
        <v>376</v>
      </c>
      <c r="AR10042" s="4" t="s">
        <v>377</v>
      </c>
    </row>
    <row r="10043" spans="1:44">
      <c r="A10043" s="4" t="s">
        <v>10753</v>
      </c>
      <c r="B10043" s="4">
        <v>222846</v>
      </c>
      <c r="D10043" s="5" t="s">
        <v>13197</v>
      </c>
      <c r="E10043" s="6" t="str">
        <f>HYPERLINK("https://inpn.mnhn.fr/espece/cd_nom/222846","Sinechostictus elongatus (Dejean, 1831)")</f>
        <v>Sinechostictus elongatus (Dejean, 1831)</v>
      </c>
      <c r="AH10043" s="4" t="str">
        <f>HYPERLINK("#Statut_biogéographique!A"&amp;_xlfn.XMATCH("P",Statut_biogéographique!A:A,2,1),"P")</f>
        <v>P</v>
      </c>
      <c r="AP10043" s="4" t="s">
        <v>376</v>
      </c>
      <c r="AR10043" s="4" t="s">
        <v>377</v>
      </c>
    </row>
    <row r="10044" spans="1:44" ht="30">
      <c r="A10044" s="4" t="s">
        <v>10753</v>
      </c>
      <c r="B10044" s="4">
        <v>222848</v>
      </c>
      <c r="D10044" s="5" t="s">
        <v>13198</v>
      </c>
      <c r="E10044" s="6" t="str">
        <f>HYPERLINK("https://inpn.mnhn.fr/espece/cd_nom/222848","Sinechostictus inustus (Jacquelin du Val, 1857)")</f>
        <v>Sinechostictus inustus (Jacquelin du Val, 1857)</v>
      </c>
      <c r="AH10044" s="4" t="str">
        <f>HYPERLINK("#Statut_biogéographique!A"&amp;_xlfn.XMATCH("P",Statut_biogéographique!A:A,2,1),"P")</f>
        <v>P</v>
      </c>
      <c r="AP10044" s="4" t="s">
        <v>376</v>
      </c>
      <c r="AR10044" s="4" t="s">
        <v>377</v>
      </c>
    </row>
    <row r="10045" spans="1:44">
      <c r="A10045" s="4" t="s">
        <v>10753</v>
      </c>
      <c r="B10045" s="4">
        <v>222850</v>
      </c>
      <c r="D10045" s="5" t="s">
        <v>13199</v>
      </c>
      <c r="E10045" s="6" t="str">
        <f>HYPERLINK("https://inpn.mnhn.fr/espece/cd_nom/222850","Sinechostictus ruficorne (Sturm, 1825)")</f>
        <v>Sinechostictus ruficorne (Sturm, 1825)</v>
      </c>
      <c r="AH10045" s="4" t="str">
        <f>HYPERLINK("#Statut_biogéographique!A"&amp;_xlfn.XMATCH("P",Statut_biogéographique!A:A,2,1),"P")</f>
        <v>P</v>
      </c>
      <c r="AP10045" s="4" t="s">
        <v>376</v>
      </c>
      <c r="AR10045" s="4" t="s">
        <v>377</v>
      </c>
    </row>
    <row r="10046" spans="1:44">
      <c r="A10046" s="4" t="s">
        <v>10753</v>
      </c>
      <c r="B10046" s="4">
        <v>222855</v>
      </c>
      <c r="D10046" s="5" t="s">
        <v>13200</v>
      </c>
      <c r="E10046" s="6" t="str">
        <f>HYPERLINK("https://inpn.mnhn.fr/espece/cd_nom/222855","Bembidion atrocaeruleum (Stephens, 1828)")</f>
        <v>Bembidion atrocaeruleum (Stephens, 1828)</v>
      </c>
      <c r="AH10046" s="4" t="str">
        <f>HYPERLINK("#Statut_biogéographique!A"&amp;_xlfn.XMATCH("P",Statut_biogéographique!A:A,2,1),"P")</f>
        <v>P</v>
      </c>
      <c r="AP10046" s="4" t="s">
        <v>376</v>
      </c>
      <c r="AR10046" s="4" t="s">
        <v>377</v>
      </c>
    </row>
    <row r="10047" spans="1:44">
      <c r="A10047" s="4" t="s">
        <v>10753</v>
      </c>
      <c r="B10047" s="4">
        <v>22292</v>
      </c>
      <c r="D10047" s="5" t="s">
        <v>13201</v>
      </c>
      <c r="E10047" s="6" t="str">
        <f>HYPERLINK("https://inpn.mnhn.fr/espece/cd_nom/22292","Atherix ibis (Fabricus, 1798)")</f>
        <v>Atherix ibis (Fabricus, 1798)</v>
      </c>
      <c r="AH10047" s="4" t="str">
        <f>HYPERLINK("#Statut_biogéographique!A"&amp;_xlfn.XMATCH("P",Statut_biogéographique!A:A,2,1),"P")</f>
        <v>P</v>
      </c>
      <c r="AP10047" s="4" t="s">
        <v>376</v>
      </c>
      <c r="AR10047" s="4" t="s">
        <v>377</v>
      </c>
    </row>
    <row r="10048" spans="1:44">
      <c r="A10048" s="4" t="s">
        <v>10753</v>
      </c>
      <c r="B10048" s="4">
        <v>22294</v>
      </c>
      <c r="D10048" s="5" t="s">
        <v>13202</v>
      </c>
      <c r="E10048" s="6" t="str">
        <f>HYPERLINK("https://inpn.mnhn.fr/espece/cd_nom/22294","Atrichops crassipes (Meigen, 1820)")</f>
        <v>Atrichops crassipes (Meigen, 1820)</v>
      </c>
      <c r="AH10048" s="4" t="str">
        <f>HYPERLINK("#Statut_biogéographique!A"&amp;_xlfn.XMATCH("P",Statut_biogéographique!A:A,2,1),"P")</f>
        <v>P</v>
      </c>
      <c r="AP10048" s="4" t="s">
        <v>376</v>
      </c>
      <c r="AR10048" s="4" t="s">
        <v>377</v>
      </c>
    </row>
    <row r="10049" spans="1:44">
      <c r="A10049" s="4" t="s">
        <v>10753</v>
      </c>
      <c r="B10049" s="4">
        <v>222940</v>
      </c>
      <c r="D10049" s="5" t="s">
        <v>13203</v>
      </c>
      <c r="E10049" s="6" t="str">
        <f>HYPERLINK("https://inpn.mnhn.fr/espece/cd_nom/222940","Asaphidion curtum (Heyden, 1870)")</f>
        <v>Asaphidion curtum (Heyden, 1870)</v>
      </c>
      <c r="AH10049" s="4" t="str">
        <f>HYPERLINK("#Statut_biogéographique!A"&amp;_xlfn.XMATCH("P",Statut_biogéographique!A:A,2,1),"P")</f>
        <v>P</v>
      </c>
      <c r="AP10049" s="4" t="s">
        <v>376</v>
      </c>
      <c r="AR10049" s="4" t="s">
        <v>377</v>
      </c>
    </row>
    <row r="10050" spans="1:44">
      <c r="A10050" s="4" t="s">
        <v>10753</v>
      </c>
      <c r="B10050" s="4">
        <v>222945</v>
      </c>
      <c r="D10050" s="5" t="s">
        <v>13204</v>
      </c>
      <c r="E10050" s="6" t="str">
        <f>HYPERLINK("https://inpn.mnhn.fr/espece/cd_nom/222945","Asaphidion stierlini (Heyden, 1880)")</f>
        <v>Asaphidion stierlini (Heyden, 1880)</v>
      </c>
      <c r="AH10050" s="4" t="str">
        <f>HYPERLINK("#Statut_biogéographique!A"&amp;_xlfn.XMATCH("P",Statut_biogéographique!A:A,2,1),"P")</f>
        <v>P</v>
      </c>
      <c r="AP10050" s="4" t="s">
        <v>376</v>
      </c>
      <c r="AR10050" s="4" t="s">
        <v>377</v>
      </c>
    </row>
    <row r="10051" spans="1:44">
      <c r="A10051" s="4" t="s">
        <v>10753</v>
      </c>
      <c r="B10051" s="4">
        <v>222946</v>
      </c>
      <c r="D10051" s="5" t="s">
        <v>13205</v>
      </c>
      <c r="E10051" s="6" t="str">
        <f>HYPERLINK("https://inpn.mnhn.fr/espece/cd_nom/222946","Ocys quinquestriatus (Gyllenhal, 1810)")</f>
        <v>Ocys quinquestriatus (Gyllenhal, 1810)</v>
      </c>
      <c r="AH10051" s="4" t="str">
        <f>HYPERLINK("#Statut_biogéographique!A"&amp;_xlfn.XMATCH("P",Statut_biogéographique!A:A,2,1),"P")</f>
        <v>P</v>
      </c>
      <c r="AP10051" s="4" t="s">
        <v>376</v>
      </c>
      <c r="AR10051" s="4" t="s">
        <v>377</v>
      </c>
    </row>
    <row r="10052" spans="1:44">
      <c r="A10052" s="4" t="s">
        <v>10753</v>
      </c>
      <c r="B10052" s="4">
        <v>22296</v>
      </c>
      <c r="D10052" s="5" t="s">
        <v>13206</v>
      </c>
      <c r="E10052" s="6" t="str">
        <f>HYPERLINK("https://inpn.mnhn.fr/espece/cd_nom/22296","Ibisia marginata (Fabricius, 1781)")</f>
        <v>Ibisia marginata (Fabricius, 1781)</v>
      </c>
      <c r="AH10052" s="4" t="str">
        <f>HYPERLINK("#Statut_biogéographique!A"&amp;_xlfn.XMATCH("P",Statut_biogéographique!A:A,2,1),"P")</f>
        <v>P</v>
      </c>
      <c r="AP10052" s="4" t="s">
        <v>376</v>
      </c>
      <c r="AR10052" s="4" t="s">
        <v>377</v>
      </c>
    </row>
    <row r="10053" spans="1:44">
      <c r="A10053" s="4" t="s">
        <v>10753</v>
      </c>
      <c r="B10053" s="4">
        <v>22299</v>
      </c>
      <c r="D10053" s="5" t="s">
        <v>13207</v>
      </c>
      <c r="E10053" s="6" t="str">
        <f>HYPERLINK("https://inpn.mnhn.fr/espece/cd_nom/22299","Chrysops caecutiens (Linnaeus, 1758)")</f>
        <v>Chrysops caecutiens (Linnaeus, 1758)</v>
      </c>
      <c r="AH10053" s="4" t="str">
        <f>HYPERLINK("#Statut_biogéographique!A"&amp;_xlfn.XMATCH("P",Statut_biogéographique!A:A,2,1),"P")</f>
        <v>P</v>
      </c>
      <c r="AP10053" s="4" t="s">
        <v>376</v>
      </c>
      <c r="AR10053" s="4" t="s">
        <v>377</v>
      </c>
    </row>
    <row r="10054" spans="1:44">
      <c r="A10054" s="4" t="s">
        <v>10753</v>
      </c>
      <c r="B10054" s="4">
        <v>222990</v>
      </c>
      <c r="D10054" s="5" t="s">
        <v>13208</v>
      </c>
      <c r="E10054" s="6" t="str">
        <f>HYPERLINK("https://inpn.mnhn.fr/espece/cd_nom/222990","Blethisa multipunctata (Linnaeus, 1758)")</f>
        <v>Blethisa multipunctata (Linnaeus, 1758)</v>
      </c>
      <c r="F10054" s="5" t="s">
        <v>13209</v>
      </c>
      <c r="AH10054" s="4" t="str">
        <f>HYPERLINK("#Statut_biogéographique!A"&amp;_xlfn.XMATCH("P",Statut_biogéographique!A:A,2,1),"P")</f>
        <v>P</v>
      </c>
      <c r="AP10054" s="4" t="s">
        <v>376</v>
      </c>
      <c r="AR10054" s="4" t="s">
        <v>377</v>
      </c>
    </row>
    <row r="10055" spans="1:44" ht="30">
      <c r="A10055" s="4" t="s">
        <v>10753</v>
      </c>
      <c r="B10055" s="4">
        <v>223005</v>
      </c>
      <c r="D10055" s="5" t="s">
        <v>13210</v>
      </c>
      <c r="E10055" s="6" t="str">
        <f>HYPERLINK("https://inpn.mnhn.fr/espece/cd_nom/223005","Leistus terminatus (Panzer, 1793)")</f>
        <v>Leistus terminatus (Panzer, 1793)</v>
      </c>
      <c r="AH10055" s="4" t="str">
        <f>HYPERLINK("#Statut_biogéographique!A"&amp;_xlfn.XMATCH("P",Statut_biogéographique!A:A,2,1),"P")</f>
        <v>P</v>
      </c>
      <c r="AP10055" s="4" t="s">
        <v>376</v>
      </c>
      <c r="AR10055" s="4" t="s">
        <v>377</v>
      </c>
    </row>
    <row r="10056" spans="1:44">
      <c r="A10056" s="4" t="s">
        <v>10753</v>
      </c>
      <c r="B10056" s="4">
        <v>223008</v>
      </c>
      <c r="D10056" s="5" t="s">
        <v>13211</v>
      </c>
      <c r="E10056" s="6" t="str">
        <f>HYPERLINK("https://inpn.mnhn.fr/espece/cd_nom/223008","Notiophilus aestuans Dejean, 1826")</f>
        <v>Notiophilus aestuans Dejean, 1826</v>
      </c>
      <c r="AH10056" s="4" t="str">
        <f>HYPERLINK("#Statut_biogéographique!A"&amp;_xlfn.XMATCH("P",Statut_biogéographique!A:A,2,1),"P")</f>
        <v>P</v>
      </c>
      <c r="AP10056" s="4" t="s">
        <v>376</v>
      </c>
      <c r="AR10056" s="4" t="s">
        <v>377</v>
      </c>
    </row>
    <row r="10057" spans="1:44">
      <c r="A10057" s="4" t="s">
        <v>10753</v>
      </c>
      <c r="B10057" s="4">
        <v>223010</v>
      </c>
      <c r="D10057" s="5" t="s">
        <v>13212</v>
      </c>
      <c r="E10057" s="6" t="str">
        <f>HYPERLINK("https://inpn.mnhn.fr/espece/cd_nom/223010","Notiophilus germinyi Fauvel, 1863")</f>
        <v>Notiophilus germinyi Fauvel, 1863</v>
      </c>
      <c r="AH10057" s="4" t="str">
        <f>HYPERLINK("#Statut_biogéographique!A"&amp;_xlfn.XMATCH("P",Statut_biogéographique!A:A,2,1),"P")</f>
        <v>P</v>
      </c>
      <c r="AP10057" s="4" t="s">
        <v>376</v>
      </c>
      <c r="AR10057" s="4" t="s">
        <v>377</v>
      </c>
    </row>
    <row r="10058" spans="1:44">
      <c r="A10058" s="4" t="s">
        <v>10753</v>
      </c>
      <c r="B10058" s="4">
        <v>223023</v>
      </c>
      <c r="D10058" s="5">
        <v>223023</v>
      </c>
      <c r="E10058" s="6" t="str">
        <f>HYPERLINK("https://inpn.mnhn.fr/espece/cd_nom/223023","Carabus sylvestris Panzer, 1793")</f>
        <v>Carabus sylvestris Panzer, 1793</v>
      </c>
      <c r="AH10058" s="4" t="str">
        <f>HYPERLINK("#Statut_biogéographique!A"&amp;_xlfn.XMATCH("P",Statut_biogéographique!A:A,2,1),"P")</f>
        <v>P</v>
      </c>
      <c r="AP10058" s="4" t="s">
        <v>376</v>
      </c>
      <c r="AR10058" s="4" t="s">
        <v>377</v>
      </c>
    </row>
    <row r="10059" spans="1:44">
      <c r="A10059" s="4" t="s">
        <v>10753</v>
      </c>
      <c r="B10059" s="4">
        <v>223024</v>
      </c>
      <c r="D10059" s="5">
        <v>223024</v>
      </c>
      <c r="E10059" s="6" t="str">
        <f>HYPERLINK("https://inpn.mnhn.fr/espece/cd_nom/223024","Carabus glabratus Paykull, 1790")</f>
        <v>Carabus glabratus Paykull, 1790</v>
      </c>
      <c r="AH10059" s="4" t="str">
        <f>HYPERLINK("#Statut_biogéographique!A"&amp;_xlfn.XMATCH("P",Statut_biogéographique!A:A,2,1),"P")</f>
        <v>P</v>
      </c>
      <c r="AP10059" s="4" t="s">
        <v>376</v>
      </c>
      <c r="AR10059" s="4" t="s">
        <v>377</v>
      </c>
    </row>
    <row r="10060" spans="1:44">
      <c r="A10060" s="4" t="s">
        <v>10753</v>
      </c>
      <c r="B10060" s="4">
        <v>223030</v>
      </c>
      <c r="D10060" s="5">
        <v>223030</v>
      </c>
      <c r="E10060" s="6" t="str">
        <f>HYPERLINK("https://inpn.mnhn.fr/espece/cd_nom/223030","Carabus irregularis Fabricius, 1792")</f>
        <v>Carabus irregularis Fabricius, 1792</v>
      </c>
      <c r="AH10060" s="4" t="str">
        <f>HYPERLINK("#Statut_biogéographique!A"&amp;_xlfn.XMATCH("P",Statut_biogéographique!A:A,2,1),"P")</f>
        <v>P</v>
      </c>
      <c r="AP10060" s="4" t="s">
        <v>376</v>
      </c>
      <c r="AR10060" s="4" t="s">
        <v>377</v>
      </c>
    </row>
    <row r="10061" spans="1:44">
      <c r="A10061" s="4" t="s">
        <v>10753</v>
      </c>
      <c r="B10061" s="4">
        <v>223037</v>
      </c>
      <c r="D10061" s="5" t="s">
        <v>13213</v>
      </c>
      <c r="E10061" s="6" t="str">
        <f>HYPERLINK("https://inpn.mnhn.fr/espece/cd_nom/223037","Cylindera germanica (Linnaeus, 1758)")</f>
        <v>Cylindera germanica (Linnaeus, 1758)</v>
      </c>
      <c r="F10061" s="5" t="s">
        <v>13214</v>
      </c>
      <c r="AH10061" s="4" t="str">
        <f>HYPERLINK("#Statut_biogéographique!A"&amp;_xlfn.XMATCH("P",Statut_biogéographique!A:A,2,1),"P")</f>
        <v>P</v>
      </c>
      <c r="AP10061" s="4" t="s">
        <v>376</v>
      </c>
      <c r="AR10061" s="4" t="s">
        <v>377</v>
      </c>
    </row>
    <row r="10062" spans="1:44" ht="30">
      <c r="A10062" s="4" t="s">
        <v>10753</v>
      </c>
      <c r="B10062" s="4">
        <v>223045</v>
      </c>
      <c r="D10062" s="5">
        <v>223045</v>
      </c>
      <c r="E10062" s="6" t="str">
        <f>HYPERLINK("https://inpn.mnhn.fr/espece/cd_nom/223045","Cicindela sylvicola Dejean in Latreille &amp; Dejean, 1822")</f>
        <v>Cicindela sylvicola Dejean in Latreille &amp; Dejean, 1822</v>
      </c>
      <c r="AH10062" s="4" t="str">
        <f>HYPERLINK("#Statut_biogéographique!A"&amp;_xlfn.XMATCH("P",Statut_biogéographique!A:A,2,1),"P")</f>
        <v>P</v>
      </c>
      <c r="AP10062" s="4" t="s">
        <v>376</v>
      </c>
      <c r="AR10062" s="4" t="s">
        <v>377</v>
      </c>
    </row>
    <row r="10063" spans="1:44" ht="30">
      <c r="A10063" s="4" t="s">
        <v>10753</v>
      </c>
      <c r="B10063" s="4">
        <v>223049</v>
      </c>
      <c r="D10063" s="5" t="s">
        <v>13215</v>
      </c>
      <c r="E10063" s="6" t="str">
        <f>HYPERLINK("https://inpn.mnhn.fr/espece/cd_nom/223049","Brachinus bodemeyeri Apfelbeck, 1904")</f>
        <v>Brachinus bodemeyeri Apfelbeck, 1904</v>
      </c>
      <c r="AH10063" s="4" t="str">
        <f>HYPERLINK("#Statut_biogéographique!A"&amp;_xlfn.XMATCH("P",Statut_biogéographique!A:A,2,1),"P")</f>
        <v>P</v>
      </c>
      <c r="AP10063" s="4" t="s">
        <v>376</v>
      </c>
      <c r="AR10063" s="4" t="s">
        <v>377</v>
      </c>
    </row>
    <row r="10064" spans="1:44">
      <c r="A10064" s="4" t="s">
        <v>10753</v>
      </c>
      <c r="B10064" s="4">
        <v>22305</v>
      </c>
      <c r="D10064" s="5">
        <v>22305</v>
      </c>
      <c r="E10064" s="6" t="str">
        <f>HYPERLINK("https://inpn.mnhn.fr/espece/cd_nom/22305","Chrysops relictus Meigen, 1820")</f>
        <v>Chrysops relictus Meigen, 1820</v>
      </c>
      <c r="AH10064" s="4" t="str">
        <f>HYPERLINK("#Statut_biogéographique!A"&amp;_xlfn.XMATCH("P",Statut_biogéographique!A:A,2,1),"P")</f>
        <v>P</v>
      </c>
      <c r="AP10064" s="4" t="s">
        <v>376</v>
      </c>
      <c r="AR10064" s="4" t="s">
        <v>377</v>
      </c>
    </row>
    <row r="10065" spans="1:44">
      <c r="A10065" s="4" t="s">
        <v>10753</v>
      </c>
      <c r="B10065" s="4">
        <v>223050</v>
      </c>
      <c r="D10065" s="5">
        <v>223050</v>
      </c>
      <c r="E10065" s="6" t="str">
        <f>HYPERLINK("https://inpn.mnhn.fr/espece/cd_nom/223050","Brachinus glabratus Dejean, 1824")</f>
        <v>Brachinus glabratus Dejean, 1824</v>
      </c>
      <c r="AH10065" s="4" t="str">
        <f>HYPERLINK("#Statut_biogéographique!A"&amp;_xlfn.XMATCH("P",Statut_biogéographique!A:A,2,1),"P")</f>
        <v>P</v>
      </c>
      <c r="AP10065" s="4" t="s">
        <v>376</v>
      </c>
      <c r="AR10065" s="4" t="s">
        <v>377</v>
      </c>
    </row>
    <row r="10066" spans="1:44">
      <c r="A10066" s="4" t="s">
        <v>10753</v>
      </c>
      <c r="B10066" s="4">
        <v>223057</v>
      </c>
      <c r="D10066" s="5">
        <v>223057</v>
      </c>
      <c r="E10066" s="6" t="str">
        <f>HYPERLINK("https://inpn.mnhn.fr/espece/cd_nom/223057","Tetrops starkii Chevrolat, 1859")</f>
        <v>Tetrops starkii Chevrolat, 1859</v>
      </c>
      <c r="AH10066" s="4" t="str">
        <f>HYPERLINK("#Statut_biogéographique!A"&amp;_xlfn.XMATCH("P",Statut_biogéographique!A:A,2,1),"P")</f>
        <v>P</v>
      </c>
      <c r="AP10066" s="4" t="s">
        <v>376</v>
      </c>
      <c r="AR10066" s="4" t="s">
        <v>377</v>
      </c>
    </row>
    <row r="10067" spans="1:44">
      <c r="A10067" s="4" t="s">
        <v>10753</v>
      </c>
      <c r="B10067" s="4">
        <v>223058</v>
      </c>
      <c r="D10067" s="5" t="s">
        <v>13216</v>
      </c>
      <c r="E10067" s="6" t="str">
        <f>HYPERLINK("https://inpn.mnhn.fr/espece/cd_nom/223058","Phytoecia nigricornis (Fabricius, 1782)")</f>
        <v>Phytoecia nigricornis (Fabricius, 1782)</v>
      </c>
      <c r="F10067" s="5" t="s">
        <v>13217</v>
      </c>
      <c r="AH10067" s="4" t="str">
        <f>HYPERLINK("#Statut_biogéographique!A"&amp;_xlfn.XMATCH("P",Statut_biogéographique!A:A,2,1),"P")</f>
        <v>P</v>
      </c>
      <c r="AP10067" s="4" t="s">
        <v>376</v>
      </c>
      <c r="AR10067" s="4" t="s">
        <v>377</v>
      </c>
    </row>
    <row r="10068" spans="1:44">
      <c r="A10068" s="4" t="s">
        <v>10753</v>
      </c>
      <c r="B10068" s="4">
        <v>223061</v>
      </c>
      <c r="D10068" s="5" t="s">
        <v>13218</v>
      </c>
      <c r="E10068" s="6" t="str">
        <f>HYPERLINK("https://inpn.mnhn.fr/espece/cd_nom/223061","Opsilia coerulescens (Scopoli, 1763)")</f>
        <v>Opsilia coerulescens (Scopoli, 1763)</v>
      </c>
      <c r="F10068" s="5" t="s">
        <v>13219</v>
      </c>
      <c r="AH10068" s="4" t="str">
        <f>HYPERLINK("#Statut_biogéographique!A"&amp;_xlfn.XMATCH("P",Statut_biogéographique!A:A,2,1),"P")</f>
        <v>P</v>
      </c>
      <c r="AP10068" s="4" t="s">
        <v>376</v>
      </c>
      <c r="AR10068" s="4" t="s">
        <v>377</v>
      </c>
    </row>
    <row r="10069" spans="1:44">
      <c r="A10069" s="4" t="s">
        <v>10753</v>
      </c>
      <c r="B10069" s="4">
        <v>223065</v>
      </c>
      <c r="D10069" s="5" t="s">
        <v>13220</v>
      </c>
      <c r="E10069" s="6" t="str">
        <f>HYPERLINK("https://inpn.mnhn.fr/espece/cd_nom/223065","Menesia bipunctata (Zubkoff, 1829)")</f>
        <v>Menesia bipunctata (Zubkoff, 1829)</v>
      </c>
      <c r="F10069" s="5" t="s">
        <v>13221</v>
      </c>
      <c r="AH10069" s="4" t="str">
        <f>HYPERLINK("#Statut_biogéographique!A"&amp;_xlfn.XMATCH("P",Statut_biogéographique!A:A,2,1),"P")</f>
        <v>P</v>
      </c>
      <c r="AP10069" s="4" t="s">
        <v>376</v>
      </c>
      <c r="AR10069" s="4" t="s">
        <v>377</v>
      </c>
    </row>
    <row r="10070" spans="1:44">
      <c r="A10070" s="4" t="s">
        <v>10753</v>
      </c>
      <c r="B10070" s="4">
        <v>223066</v>
      </c>
      <c r="D10070" s="5" t="s">
        <v>13222</v>
      </c>
      <c r="E10070" s="6" t="str">
        <f>HYPERLINK("https://inpn.mnhn.fr/espece/cd_nom/223066","Saperda carcharias (Linnaeus, 1758)")</f>
        <v>Saperda carcharias (Linnaeus, 1758)</v>
      </c>
      <c r="F10070" s="5" t="s">
        <v>13223</v>
      </c>
      <c r="AH10070" s="4" t="str">
        <f>HYPERLINK("#Statut_biogéographique!A"&amp;_xlfn.XMATCH("P",Statut_biogéographique!A:A,2,1),"P")</f>
        <v>P</v>
      </c>
      <c r="AP10070" s="4" t="s">
        <v>376</v>
      </c>
      <c r="AR10070" s="4" t="s">
        <v>377</v>
      </c>
    </row>
    <row r="10071" spans="1:44">
      <c r="A10071" s="4" t="s">
        <v>10753</v>
      </c>
      <c r="B10071" s="4">
        <v>223067</v>
      </c>
      <c r="D10071" s="5" t="s">
        <v>13224</v>
      </c>
      <c r="E10071" s="6" t="str">
        <f>HYPERLINK("https://inpn.mnhn.fr/espece/cd_nom/223067","Saperda punctata (Linnaeus, 1767)")</f>
        <v>Saperda punctata (Linnaeus, 1767)</v>
      </c>
      <c r="F10071" s="5" t="s">
        <v>13225</v>
      </c>
      <c r="P10071" s="7" t="str">
        <f>HYPERLINK("#Liste_rouge!A"&amp;_xlfn.XMATCH("NT",Liste_rouge!A:A,2,1),"NT")</f>
        <v>NT</v>
      </c>
      <c r="AH10071" s="4" t="str">
        <f>HYPERLINK("#Statut_biogéographique!A"&amp;_xlfn.XMATCH("P",Statut_biogéographique!A:A,2,1),"P")</f>
        <v>P</v>
      </c>
      <c r="AP10071" s="4" t="s">
        <v>376</v>
      </c>
      <c r="AR10071" s="4" t="s">
        <v>377</v>
      </c>
    </row>
    <row r="10072" spans="1:44">
      <c r="A10072" s="4" t="s">
        <v>10753</v>
      </c>
      <c r="B10072" s="4">
        <v>223068</v>
      </c>
      <c r="D10072" s="5" t="s">
        <v>13226</v>
      </c>
      <c r="E10072" s="6" t="str">
        <f>HYPERLINK("https://inpn.mnhn.fr/espece/cd_nom/223068","Saperda perforata (Pallas, 1773)")</f>
        <v>Saperda perforata (Pallas, 1773)</v>
      </c>
      <c r="F10072" s="5" t="s">
        <v>13227</v>
      </c>
      <c r="P10072" s="7" t="str">
        <f>HYPERLINK("#Liste_rouge!A"&amp;_xlfn.XMATCH("LC",Liste_rouge!A:A,2,1),"LC")</f>
        <v>LC</v>
      </c>
      <c r="AH10072" s="4" t="str">
        <f>HYPERLINK("#Statut_biogéographique!A"&amp;_xlfn.XMATCH("P",Statut_biogéographique!A:A,2,1),"P")</f>
        <v>P</v>
      </c>
      <c r="AP10072" s="4" t="s">
        <v>376</v>
      </c>
      <c r="AR10072" s="4" t="s">
        <v>377</v>
      </c>
    </row>
    <row r="10073" spans="1:44">
      <c r="A10073" s="4" t="s">
        <v>10753</v>
      </c>
      <c r="B10073" s="4">
        <v>223069</v>
      </c>
      <c r="D10073" s="5" t="s">
        <v>13228</v>
      </c>
      <c r="E10073" s="6" t="str">
        <f>HYPERLINK("https://inpn.mnhn.fr/espece/cd_nom/223069","Oplosia cinerea (Mulsant, 1839)")</f>
        <v>Oplosia cinerea (Mulsant, 1839)</v>
      </c>
      <c r="AH10073" s="4" t="str">
        <f>HYPERLINK("#Statut_biogéographique!A"&amp;_xlfn.XMATCH("P",Statut_biogéographique!A:A,2,1),"P")</f>
        <v>P</v>
      </c>
      <c r="AP10073" s="4" t="s">
        <v>376</v>
      </c>
      <c r="AR10073" s="4" t="s">
        <v>377</v>
      </c>
    </row>
    <row r="10074" spans="1:44" ht="30">
      <c r="A10074" s="4" t="s">
        <v>10753</v>
      </c>
      <c r="B10074" s="4">
        <v>223070</v>
      </c>
      <c r="D10074" s="5" t="s">
        <v>13229</v>
      </c>
      <c r="E10074" s="6" t="str">
        <f>HYPERLINK("https://inpn.mnhn.fr/espece/cd_nom/223070","Aegomorphus clavipes (Schrank, 1781)")</f>
        <v>Aegomorphus clavipes (Schrank, 1781)</v>
      </c>
      <c r="F10074" s="5" t="s">
        <v>13230</v>
      </c>
      <c r="AH10074" s="4" t="str">
        <f>HYPERLINK("#Statut_biogéographique!A"&amp;_xlfn.XMATCH("P",Statut_biogéographique!A:A,2,1),"P")</f>
        <v>P</v>
      </c>
      <c r="AP10074" s="4" t="s">
        <v>376</v>
      </c>
      <c r="AR10074" s="4" t="s">
        <v>377</v>
      </c>
    </row>
    <row r="10075" spans="1:44">
      <c r="A10075" s="4" t="s">
        <v>10753</v>
      </c>
      <c r="B10075" s="4">
        <v>223072</v>
      </c>
      <c r="D10075" s="5" t="s">
        <v>13231</v>
      </c>
      <c r="E10075" s="6" t="str">
        <f>HYPERLINK("https://inpn.mnhn.fr/espece/cd_nom/223072","Exocentrus lusitanus (Linnaeus, 1767)")</f>
        <v>Exocentrus lusitanus (Linnaeus, 1767)</v>
      </c>
      <c r="AH10075" s="4" t="str">
        <f>HYPERLINK("#Statut_biogéographique!A"&amp;_xlfn.XMATCH("P",Statut_biogéographique!A:A,2,1),"P")</f>
        <v>P</v>
      </c>
      <c r="AP10075" s="4" t="s">
        <v>376</v>
      </c>
      <c r="AR10075" s="4" t="s">
        <v>377</v>
      </c>
    </row>
    <row r="10076" spans="1:44">
      <c r="A10076" s="4" t="s">
        <v>10753</v>
      </c>
      <c r="B10076" s="4">
        <v>223073</v>
      </c>
      <c r="D10076" s="5" t="s">
        <v>13232</v>
      </c>
      <c r="E10076" s="6" t="str">
        <f>HYPERLINK("https://inpn.mnhn.fr/espece/cd_nom/223073","Exocentrus adspersus Mulsant, 1846")</f>
        <v>Exocentrus adspersus Mulsant, 1846</v>
      </c>
      <c r="AH10076" s="4" t="str">
        <f>HYPERLINK("#Statut_biogéographique!A"&amp;_xlfn.XMATCH("P",Statut_biogéographique!A:A,2,1),"P")</f>
        <v>P</v>
      </c>
      <c r="AP10076" s="4" t="s">
        <v>376</v>
      </c>
      <c r="AR10076" s="4" t="s">
        <v>377</v>
      </c>
    </row>
    <row r="10077" spans="1:44">
      <c r="A10077" s="4" t="s">
        <v>10753</v>
      </c>
      <c r="B10077" s="4">
        <v>223074</v>
      </c>
      <c r="D10077" s="5" t="s">
        <v>13233</v>
      </c>
      <c r="E10077" s="6" t="str">
        <f>HYPERLINK("https://inpn.mnhn.fr/espece/cd_nom/223074","Leiopus nebulosus (Linnaeus, 1758)")</f>
        <v>Leiopus nebulosus (Linnaeus, 1758)</v>
      </c>
      <c r="F10077" s="5" t="s">
        <v>13234</v>
      </c>
      <c r="AH10077" s="4" t="str">
        <f>HYPERLINK("#Statut_biogéographique!A"&amp;_xlfn.XMATCH("P",Statut_biogéographique!A:A,2,1),"P")</f>
        <v>P</v>
      </c>
      <c r="AP10077" s="4" t="s">
        <v>376</v>
      </c>
      <c r="AR10077" s="4" t="s">
        <v>377</v>
      </c>
    </row>
    <row r="10078" spans="1:44">
      <c r="A10078" s="4" t="s">
        <v>10753</v>
      </c>
      <c r="B10078" s="4">
        <v>223076</v>
      </c>
      <c r="D10078" s="5">
        <v>223076</v>
      </c>
      <c r="E10078" s="6" t="str">
        <f>HYPERLINK("https://inpn.mnhn.fr/espece/cd_nom/223076","Leiopus femoratus Fairmaire, 1859")</f>
        <v>Leiopus femoratus Fairmaire, 1859</v>
      </c>
      <c r="AH10078" s="4" t="str">
        <f>HYPERLINK("#Statut_biogéographique!A"&amp;_xlfn.XMATCH("C",Statut_biogéographique!A:A,2,1),"C")</f>
        <v>C</v>
      </c>
      <c r="AP10078" s="4" t="s">
        <v>376</v>
      </c>
      <c r="AR10078" s="4" t="s">
        <v>377</v>
      </c>
    </row>
    <row r="10079" spans="1:44" ht="30">
      <c r="A10079" s="4" t="s">
        <v>10753</v>
      </c>
      <c r="B10079" s="4">
        <v>223077</v>
      </c>
      <c r="D10079" s="5" t="s">
        <v>13235</v>
      </c>
      <c r="E10079" s="6" t="str">
        <f>HYPERLINK("https://inpn.mnhn.fr/espece/cd_nom/223077","Acanthocinus reticulatus (Razoumowsky, 1789)")</f>
        <v>Acanthocinus reticulatus (Razoumowsky, 1789)</v>
      </c>
      <c r="AH10079" s="4" t="str">
        <f>HYPERLINK("#Statut_biogéographique!A"&amp;_xlfn.XMATCH("P",Statut_biogéographique!A:A,2,1),"P")</f>
        <v>P</v>
      </c>
      <c r="AP10079" s="4" t="s">
        <v>376</v>
      </c>
      <c r="AR10079" s="4" t="s">
        <v>377</v>
      </c>
    </row>
    <row r="10080" spans="1:44">
      <c r="A10080" s="4" t="s">
        <v>10753</v>
      </c>
      <c r="B10080" s="4">
        <v>223078</v>
      </c>
      <c r="D10080" s="5">
        <v>223078</v>
      </c>
      <c r="E10080" s="6" t="str">
        <f>HYPERLINK("https://inpn.mnhn.fr/espece/cd_nom/223078","Pogonocherus decoratus Fairmaire, 1855")</f>
        <v>Pogonocherus decoratus Fairmaire, 1855</v>
      </c>
      <c r="AH10080" s="4" t="str">
        <f>HYPERLINK("#Statut_biogéographique!A"&amp;_xlfn.XMATCH("P",Statut_biogéographique!A:A,2,1),"P")</f>
        <v>P</v>
      </c>
      <c r="AP10080" s="4" t="s">
        <v>376</v>
      </c>
      <c r="AR10080" s="4" t="s">
        <v>377</v>
      </c>
    </row>
    <row r="10081" spans="1:44">
      <c r="A10081" s="4" t="s">
        <v>10753</v>
      </c>
      <c r="B10081" s="4">
        <v>223079</v>
      </c>
      <c r="D10081" s="5" t="s">
        <v>13236</v>
      </c>
      <c r="E10081" s="6" t="str">
        <f>HYPERLINK("https://inpn.mnhn.fr/espece/cd_nom/223079","Pogonocherus ovatus (Goeze, 1777)")</f>
        <v>Pogonocherus ovatus (Goeze, 1777)</v>
      </c>
      <c r="F10081" s="5" t="s">
        <v>13237</v>
      </c>
      <c r="AH10081" s="4" t="str">
        <f>HYPERLINK("#Statut_biogéographique!A"&amp;_xlfn.XMATCH("P",Statut_biogéographique!A:A,2,1),"P")</f>
        <v>P</v>
      </c>
      <c r="AP10081" s="4" t="s">
        <v>376</v>
      </c>
      <c r="AR10081" s="4" t="s">
        <v>377</v>
      </c>
    </row>
    <row r="10082" spans="1:44">
      <c r="A10082" s="4" t="s">
        <v>10753</v>
      </c>
      <c r="B10082" s="4">
        <v>223080</v>
      </c>
      <c r="D10082" s="5" t="s">
        <v>13238</v>
      </c>
      <c r="E10082" s="6" t="str">
        <f>HYPERLINK("https://inpn.mnhn.fr/espece/cd_nom/223080","Pogonocherus hispidus (Linnaeus, 1758)")</f>
        <v>Pogonocherus hispidus (Linnaeus, 1758)</v>
      </c>
      <c r="AH10082" s="4" t="str">
        <f>HYPERLINK("#Statut_biogéographique!A"&amp;_xlfn.XMATCH("P",Statut_biogéographique!A:A,2,1),"P")</f>
        <v>P</v>
      </c>
      <c r="AP10082" s="4" t="s">
        <v>376</v>
      </c>
      <c r="AR10082" s="4" t="s">
        <v>377</v>
      </c>
    </row>
    <row r="10083" spans="1:44" ht="30">
      <c r="A10083" s="4" t="s">
        <v>10753</v>
      </c>
      <c r="B10083" s="4">
        <v>223081</v>
      </c>
      <c r="D10083" s="5" t="s">
        <v>13239</v>
      </c>
      <c r="E10083" s="6" t="str">
        <f>HYPERLINK("https://inpn.mnhn.fr/espece/cd_nom/223081","Pogonocherus hispidulus (Piller &amp; Mitterpacher, 1783)")</f>
        <v>Pogonocherus hispidulus (Piller &amp; Mitterpacher, 1783)</v>
      </c>
      <c r="AH10083" s="4" t="str">
        <f>HYPERLINK("#Statut_biogéographique!A"&amp;_xlfn.XMATCH("P",Statut_biogéographique!A:A,2,1),"P")</f>
        <v>P</v>
      </c>
      <c r="AP10083" s="4" t="s">
        <v>376</v>
      </c>
      <c r="AR10083" s="4" t="s">
        <v>377</v>
      </c>
    </row>
    <row r="10084" spans="1:44" ht="30">
      <c r="A10084" s="4" t="s">
        <v>10753</v>
      </c>
      <c r="B10084" s="4">
        <v>223089</v>
      </c>
      <c r="D10084" s="5" t="s">
        <v>13240</v>
      </c>
      <c r="E10084" s="6" t="str">
        <f>HYPERLINK("https://inpn.mnhn.fr/espece/cd_nom/223089","Agapanthia cardui (Linnaeus, 1767)")</f>
        <v>Agapanthia cardui (Linnaeus, 1767)</v>
      </c>
      <c r="F10084" s="5" t="s">
        <v>13241</v>
      </c>
      <c r="AH10084" s="4" t="str">
        <f>HYPERLINK("#Statut_biogéographique!A"&amp;_xlfn.XMATCH("P",Statut_biogéographique!A:A,2,1),"P")</f>
        <v>P</v>
      </c>
      <c r="AP10084" s="4" t="s">
        <v>376</v>
      </c>
      <c r="AR10084" s="4" t="s">
        <v>377</v>
      </c>
    </row>
    <row r="10085" spans="1:44">
      <c r="A10085" s="4" t="s">
        <v>10753</v>
      </c>
      <c r="B10085" s="4">
        <v>22309</v>
      </c>
      <c r="D10085" s="5" t="s">
        <v>13242</v>
      </c>
      <c r="E10085" s="6" t="str">
        <f>HYPERLINK("https://inpn.mnhn.fr/espece/cd_nom/22309","Philipomyia aprica (Meigen, 1820)")</f>
        <v>Philipomyia aprica (Meigen, 1820)</v>
      </c>
      <c r="AH10085" s="4" t="str">
        <f>HYPERLINK("#Statut_biogéographique!A"&amp;_xlfn.XMATCH("P",Statut_biogéographique!A:A,2,1),"P")</f>
        <v>P</v>
      </c>
      <c r="AP10085" s="4" t="s">
        <v>376</v>
      </c>
      <c r="AR10085" s="4" t="s">
        <v>377</v>
      </c>
    </row>
    <row r="10086" spans="1:44">
      <c r="A10086" s="4" t="s">
        <v>10753</v>
      </c>
      <c r="B10086" s="4">
        <v>223091</v>
      </c>
      <c r="D10086" s="5">
        <v>223091</v>
      </c>
      <c r="E10086" s="6" t="str">
        <f>HYPERLINK("https://inpn.mnhn.fr/espece/cd_nom/223091","Agapanthia intermedia Ganglbauer, 1884")</f>
        <v>Agapanthia intermedia Ganglbauer, 1884</v>
      </c>
      <c r="F10086" s="5" t="s">
        <v>13243</v>
      </c>
      <c r="AH10086" s="4" t="str">
        <f>HYPERLINK("#Statut_biogéographique!A"&amp;_xlfn.XMATCH("P",Statut_biogéographique!A:A,2,1),"P")</f>
        <v>P</v>
      </c>
      <c r="AP10086" s="4" t="s">
        <v>376</v>
      </c>
      <c r="AR10086" s="4" t="s">
        <v>377</v>
      </c>
    </row>
    <row r="10087" spans="1:44">
      <c r="A10087" s="4" t="s">
        <v>10753</v>
      </c>
      <c r="B10087" s="4">
        <v>223093</v>
      </c>
      <c r="D10087" s="5" t="s">
        <v>13244</v>
      </c>
      <c r="E10087" s="6" t="str">
        <f>HYPERLINK("https://inpn.mnhn.fr/espece/cd_nom/223093","Mesosa curculionoides (Linnaeus, 1761)")</f>
        <v>Mesosa curculionoides (Linnaeus, 1761)</v>
      </c>
      <c r="F10087" s="5" t="s">
        <v>13245</v>
      </c>
      <c r="AH10087" s="4" t="str">
        <f>HYPERLINK("#Statut_biogéographique!A"&amp;_xlfn.XMATCH("P",Statut_biogéographique!A:A,2,1),"P")</f>
        <v>P</v>
      </c>
      <c r="AP10087" s="4" t="s">
        <v>376</v>
      </c>
      <c r="AR10087" s="4" t="s">
        <v>377</v>
      </c>
    </row>
    <row r="10088" spans="1:44">
      <c r="A10088" s="4" t="s">
        <v>10753</v>
      </c>
      <c r="B10088" s="4">
        <v>223094</v>
      </c>
      <c r="D10088" s="5" t="s">
        <v>13246</v>
      </c>
      <c r="E10088" s="6" t="str">
        <f>HYPERLINK("https://inpn.mnhn.fr/espece/cd_nom/223094","Mesosa nebulosa (Fabricius, 1781)")</f>
        <v>Mesosa nebulosa (Fabricius, 1781)</v>
      </c>
      <c r="F10088" s="5" t="s">
        <v>13247</v>
      </c>
      <c r="AH10088" s="4" t="str">
        <f>HYPERLINK("#Statut_biogéographique!A"&amp;_xlfn.XMATCH("P",Statut_biogéographique!A:A,2,1),"P")</f>
        <v>P</v>
      </c>
      <c r="AP10088" s="4" t="s">
        <v>376</v>
      </c>
      <c r="AR10088" s="4" t="s">
        <v>377</v>
      </c>
    </row>
    <row r="10089" spans="1:44">
      <c r="A10089" s="4" t="s">
        <v>10753</v>
      </c>
      <c r="B10089" s="4">
        <v>223095</v>
      </c>
      <c r="D10089" s="5" t="s">
        <v>13248</v>
      </c>
      <c r="E10089" s="6" t="str">
        <f>HYPERLINK("https://inpn.mnhn.fr/espece/cd_nom/223095","Iberodorcadion fuliginator (Linnaeus, 1758)")</f>
        <v>Iberodorcadion fuliginator (Linnaeus, 1758)</v>
      </c>
      <c r="F10089" s="5" t="s">
        <v>13249</v>
      </c>
      <c r="AH10089" s="4" t="str">
        <f>HYPERLINK("#Statut_biogéographique!A"&amp;_xlfn.XMATCH("P",Statut_biogéographique!A:A,2,1),"P")</f>
        <v>P</v>
      </c>
      <c r="AP10089" s="4" t="s">
        <v>376</v>
      </c>
      <c r="AR10089" s="4" t="s">
        <v>377</v>
      </c>
    </row>
    <row r="10090" spans="1:44">
      <c r="A10090" s="4" t="s">
        <v>10753</v>
      </c>
      <c r="B10090" s="4">
        <v>223096</v>
      </c>
      <c r="D10090" s="5" t="s">
        <v>13250</v>
      </c>
      <c r="E10090" s="6" t="str">
        <f>HYPERLINK("https://inpn.mnhn.fr/espece/cd_nom/223096","Iberodorcadion molitor (Fabricius, 1775)")</f>
        <v>Iberodorcadion molitor (Fabricius, 1775)</v>
      </c>
      <c r="AH10090" s="4" t="str">
        <f>HYPERLINK("#Statut_biogéographique!A"&amp;_xlfn.XMATCH("P",Statut_biogéographique!A:A,2,1),"P")</f>
        <v>P</v>
      </c>
      <c r="AP10090" s="4" t="s">
        <v>376</v>
      </c>
      <c r="AR10090" s="4" t="s">
        <v>377</v>
      </c>
    </row>
    <row r="10091" spans="1:44">
      <c r="A10091" s="4" t="s">
        <v>10753</v>
      </c>
      <c r="B10091" s="4">
        <v>223099</v>
      </c>
      <c r="D10091" s="5" t="s">
        <v>13251</v>
      </c>
      <c r="E10091" s="6" t="str">
        <f>HYPERLINK("https://inpn.mnhn.fr/espece/cd_nom/223099","Chlorophorus glabromaculatus (Goeze, 1777)")</f>
        <v>Chlorophorus glabromaculatus (Goeze, 1777)</v>
      </c>
      <c r="F10091" s="5" t="s">
        <v>13252</v>
      </c>
      <c r="O10091" s="7" t="str">
        <f>HYPERLINK("#Liste_rouge!A"&amp;_xlfn.XMATCH("LC",Liste_rouge!A:A,2,1),"LC")</f>
        <v>LC</v>
      </c>
      <c r="P10091" s="7" t="str">
        <f>HYPERLINK("#Liste_rouge!A"&amp;_xlfn.XMATCH("LC",Liste_rouge!A:A,2,1),"LC")</f>
        <v>LC</v>
      </c>
      <c r="AH10091" s="4" t="str">
        <f>HYPERLINK("#Statut_biogéographique!A"&amp;_xlfn.XMATCH("P",Statut_biogéographique!A:A,2,1),"P")</f>
        <v>P</v>
      </c>
      <c r="AP10091" s="4" t="s">
        <v>376</v>
      </c>
      <c r="AR10091" s="4" t="s">
        <v>377</v>
      </c>
    </row>
    <row r="10092" spans="1:44">
      <c r="A10092" s="4" t="s">
        <v>10753</v>
      </c>
      <c r="B10092" s="4">
        <v>223102</v>
      </c>
      <c r="D10092" s="5" t="s">
        <v>13253</v>
      </c>
      <c r="E10092" s="6" t="str">
        <f>HYPERLINK("https://inpn.mnhn.fr/espece/cd_nom/223102","Plagionotus detritus (Linnaeus, 1758)")</f>
        <v>Plagionotus detritus (Linnaeus, 1758)</v>
      </c>
      <c r="F10092" s="5" t="s">
        <v>13254</v>
      </c>
      <c r="P10092" s="7" t="str">
        <f>HYPERLINK("#Liste_rouge!A"&amp;_xlfn.XMATCH("LC",Liste_rouge!A:A,2,1),"LC")</f>
        <v>LC</v>
      </c>
      <c r="AH10092" s="4" t="str">
        <f>HYPERLINK("#Statut_biogéographique!A"&amp;_xlfn.XMATCH("P",Statut_biogéographique!A:A,2,1),"P")</f>
        <v>P</v>
      </c>
      <c r="AP10092" s="4" t="s">
        <v>376</v>
      </c>
      <c r="AR10092" s="4" t="s">
        <v>377</v>
      </c>
    </row>
    <row r="10093" spans="1:44">
      <c r="A10093" s="4" t="s">
        <v>10753</v>
      </c>
      <c r="B10093" s="4">
        <v>223103</v>
      </c>
      <c r="D10093" s="5" t="s">
        <v>13255</v>
      </c>
      <c r="E10093" s="6" t="str">
        <f>HYPERLINK("https://inpn.mnhn.fr/espece/cd_nom/223103","Plagionotus floralis (Pallas, 1773)")</f>
        <v>Plagionotus floralis (Pallas, 1773)</v>
      </c>
      <c r="AH10093" s="4" t="str">
        <f>HYPERLINK("#Statut_biogéographique!A"&amp;_xlfn.XMATCH("P",Statut_biogéographique!A:A,2,1),"P")</f>
        <v>P</v>
      </c>
      <c r="AP10093" s="4" t="s">
        <v>376</v>
      </c>
      <c r="AR10093" s="4" t="s">
        <v>377</v>
      </c>
    </row>
    <row r="10094" spans="1:44">
      <c r="A10094" s="4" t="s">
        <v>10753</v>
      </c>
      <c r="B10094" s="4">
        <v>223108</v>
      </c>
      <c r="D10094" s="5" t="s">
        <v>13256</v>
      </c>
      <c r="E10094" s="6" t="str">
        <f>HYPERLINK("https://inpn.mnhn.fr/espece/cd_nom/223108","Poecilium lividum (Rossi, 1794)")</f>
        <v>Poecilium lividum (Rossi, 1794)</v>
      </c>
      <c r="P10094" s="7" t="str">
        <f>HYPERLINK("#Liste_rouge!A"&amp;_xlfn.XMATCH("DD",Liste_rouge!A:A,2,1),"DD")</f>
        <v>DD</v>
      </c>
      <c r="AH10094" s="4" t="str">
        <f>HYPERLINK("#Statut_biogéographique!A"&amp;_xlfn.XMATCH("P",Statut_biogéographique!A:A,2,1),"P")</f>
        <v>P</v>
      </c>
      <c r="AP10094" s="4" t="s">
        <v>376</v>
      </c>
      <c r="AR10094" s="4" t="s">
        <v>377</v>
      </c>
    </row>
    <row r="10095" spans="1:44">
      <c r="A10095" s="4" t="s">
        <v>10753</v>
      </c>
      <c r="B10095" s="4">
        <v>223109</v>
      </c>
      <c r="D10095" s="5" t="s">
        <v>13257</v>
      </c>
      <c r="E10095" s="6" t="str">
        <f>HYPERLINK("https://inpn.mnhn.fr/espece/cd_nom/223109","Poecilium pusillum (Fabricius, 1787)")</f>
        <v>Poecilium pusillum (Fabricius, 1787)</v>
      </c>
      <c r="P10095" s="7" t="str">
        <f>HYPERLINK("#Liste_rouge!A"&amp;_xlfn.XMATCH("LC",Liste_rouge!A:A,2,1),"LC")</f>
        <v>LC</v>
      </c>
      <c r="AH10095" s="4" t="str">
        <f>HYPERLINK("#Statut_biogéographique!A"&amp;_xlfn.XMATCH("P",Statut_biogéographique!A:A,2,1),"P")</f>
        <v>P</v>
      </c>
      <c r="AP10095" s="4" t="s">
        <v>376</v>
      </c>
      <c r="AR10095" s="4" t="s">
        <v>377</v>
      </c>
    </row>
    <row r="10096" spans="1:44">
      <c r="A10096" s="4" t="s">
        <v>10753</v>
      </c>
      <c r="B10096" s="4">
        <v>223111</v>
      </c>
      <c r="D10096" s="5" t="s">
        <v>13258</v>
      </c>
      <c r="E10096" s="6" t="str">
        <f>HYPERLINK("https://inpn.mnhn.fr/espece/cd_nom/223111","Poecilium alni (Linnaeus, 1767)")</f>
        <v>Poecilium alni (Linnaeus, 1767)</v>
      </c>
      <c r="F10096" s="5" t="s">
        <v>13259</v>
      </c>
      <c r="P10096" s="7" t="str">
        <f>HYPERLINK("#Liste_rouge!A"&amp;_xlfn.XMATCH("LC",Liste_rouge!A:A,2,1),"LC")</f>
        <v>LC</v>
      </c>
      <c r="AH10096" s="4" t="str">
        <f>HYPERLINK("#Statut_biogéographique!A"&amp;_xlfn.XMATCH("P",Statut_biogéographique!A:A,2,1),"P")</f>
        <v>P</v>
      </c>
      <c r="AP10096" s="4" t="s">
        <v>376</v>
      </c>
      <c r="AR10096" s="4" t="s">
        <v>377</v>
      </c>
    </row>
    <row r="10097" spans="1:44">
      <c r="A10097" s="4" t="s">
        <v>10753</v>
      </c>
      <c r="B10097" s="4">
        <v>223113</v>
      </c>
      <c r="D10097" s="5" t="s">
        <v>13260</v>
      </c>
      <c r="E10097" s="6" t="str">
        <f>HYPERLINK("https://inpn.mnhn.fr/espece/cd_nom/223113","Poecilium rufipes (Fabricius, 1777)")</f>
        <v>Poecilium rufipes (Fabricius, 1777)</v>
      </c>
      <c r="P10097" s="7" t="str">
        <f>HYPERLINK("#Liste_rouge!A"&amp;_xlfn.XMATCH("LC",Liste_rouge!A:A,2,1),"LC")</f>
        <v>LC</v>
      </c>
      <c r="AH10097" s="4" t="str">
        <f>HYPERLINK("#Statut_biogéographique!A"&amp;_xlfn.XMATCH("P",Statut_biogéographique!A:A,2,1),"P")</f>
        <v>P</v>
      </c>
      <c r="AP10097" s="4" t="s">
        <v>376</v>
      </c>
      <c r="AR10097" s="4" t="s">
        <v>377</v>
      </c>
    </row>
    <row r="10098" spans="1:44">
      <c r="A10098" s="4" t="s">
        <v>10753</v>
      </c>
      <c r="B10098" s="4">
        <v>223115</v>
      </c>
      <c r="D10098" s="5" t="s">
        <v>13261</v>
      </c>
      <c r="E10098" s="6" t="str">
        <f>HYPERLINK("https://inpn.mnhn.fr/espece/cd_nom/223115","Callidium coriaceum Paykull, 1800")</f>
        <v>Callidium coriaceum Paykull, 1800</v>
      </c>
      <c r="P10098" s="7" t="str">
        <f>HYPERLINK("#Liste_rouge!A"&amp;_xlfn.XMATCH("LC",Liste_rouge!A:A,2,1),"LC")</f>
        <v>LC</v>
      </c>
      <c r="AH10098" s="4" t="str">
        <f>HYPERLINK("#Statut_biogéographique!A"&amp;_xlfn.XMATCH("P",Statut_biogéographique!A:A,2,1),"P")</f>
        <v>P</v>
      </c>
      <c r="AP10098" s="4" t="s">
        <v>376</v>
      </c>
      <c r="AR10098" s="4" t="s">
        <v>377</v>
      </c>
    </row>
    <row r="10099" spans="1:44">
      <c r="A10099" s="4" t="s">
        <v>10753</v>
      </c>
      <c r="B10099" s="4">
        <v>223116</v>
      </c>
      <c r="D10099" s="5" t="s">
        <v>13262</v>
      </c>
      <c r="E10099" s="6" t="str">
        <f>HYPERLINK("https://inpn.mnhn.fr/espece/cd_nom/223116","Callidium violaceum (Linnaeus, 1758)")</f>
        <v>Callidium violaceum (Linnaeus, 1758)</v>
      </c>
      <c r="P10099" s="7" t="str">
        <f>HYPERLINK("#Liste_rouge!A"&amp;_xlfn.XMATCH("LC",Liste_rouge!A:A,2,1),"LC")</f>
        <v>LC</v>
      </c>
      <c r="AH10099" s="4" t="str">
        <f>HYPERLINK("#Statut_biogéographique!A"&amp;_xlfn.XMATCH("P",Statut_biogéographique!A:A,2,1),"P")</f>
        <v>P</v>
      </c>
      <c r="AP10099" s="4" t="s">
        <v>376</v>
      </c>
      <c r="AR10099" s="4" t="s">
        <v>377</v>
      </c>
    </row>
    <row r="10100" spans="1:44">
      <c r="A10100" s="4" t="s">
        <v>10753</v>
      </c>
      <c r="B10100" s="4">
        <v>223117</v>
      </c>
      <c r="D10100" s="5" t="s">
        <v>13263</v>
      </c>
      <c r="E10100" s="6" t="str">
        <f>HYPERLINK("https://inpn.mnhn.fr/espece/cd_nom/223117","Callidium aeneum (De Geer, 1775)")</f>
        <v>Callidium aeneum (De Geer, 1775)</v>
      </c>
      <c r="P10100" s="7" t="str">
        <f>HYPERLINK("#Liste_rouge!A"&amp;_xlfn.XMATCH("LC",Liste_rouge!A:A,2,1),"LC")</f>
        <v>LC</v>
      </c>
      <c r="AH10100" s="4" t="str">
        <f>HYPERLINK("#Statut_biogéographique!A"&amp;_xlfn.XMATCH("P",Statut_biogéographique!A:A,2,1),"P")</f>
        <v>P</v>
      </c>
      <c r="AP10100" s="4" t="s">
        <v>376</v>
      </c>
      <c r="AR10100" s="4" t="s">
        <v>377</v>
      </c>
    </row>
    <row r="10101" spans="1:44">
      <c r="A10101" s="4" t="s">
        <v>10753</v>
      </c>
      <c r="B10101" s="4">
        <v>223118</v>
      </c>
      <c r="D10101" s="5" t="s">
        <v>13264</v>
      </c>
      <c r="E10101" s="6" t="str">
        <f>HYPERLINK("https://inpn.mnhn.fr/espece/cd_nom/223118","Semanotus undatus (Linnaeus, 1758)")</f>
        <v>Semanotus undatus (Linnaeus, 1758)</v>
      </c>
      <c r="P10101" s="7" t="str">
        <f>HYPERLINK("#Liste_rouge!A"&amp;_xlfn.XMATCH("LC",Liste_rouge!A:A,2,1),"LC")</f>
        <v>LC</v>
      </c>
      <c r="AH10101" s="4" t="str">
        <f>HYPERLINK("#Statut_biogéographique!A"&amp;_xlfn.XMATCH("P",Statut_biogéographique!A:A,2,1),"P")</f>
        <v>P</v>
      </c>
      <c r="AP10101" s="4" t="s">
        <v>376</v>
      </c>
      <c r="AR10101" s="4" t="s">
        <v>377</v>
      </c>
    </row>
    <row r="10102" spans="1:44">
      <c r="A10102" s="4" t="s">
        <v>10753</v>
      </c>
      <c r="B10102" s="4">
        <v>223120</v>
      </c>
      <c r="D10102" s="5" t="s">
        <v>13265</v>
      </c>
      <c r="E10102" s="6" t="str">
        <f>HYPERLINK("https://inpn.mnhn.fr/espece/cd_nom/223120","Ropalopus ungaricus (Herbst, 1784)")</f>
        <v>Ropalopus ungaricus (Herbst, 1784)</v>
      </c>
      <c r="O10102" s="7" t="str">
        <f>HYPERLINK("#Liste_rouge!A"&amp;_xlfn.XMATCH("EN",Liste_rouge!A:A,2,1),"EN")</f>
        <v>EN</v>
      </c>
      <c r="P10102" s="7" t="str">
        <f>HYPERLINK("#Liste_rouge!A"&amp;_xlfn.XMATCH("EN",Liste_rouge!A:A,2,1),"EN")</f>
        <v>EN</v>
      </c>
      <c r="AH10102" s="4" t="str">
        <f>HYPERLINK("#Statut_biogéographique!A"&amp;_xlfn.XMATCH("P",Statut_biogéographique!A:A,2,1),"P")</f>
        <v>P</v>
      </c>
      <c r="AP10102" s="4" t="s">
        <v>376</v>
      </c>
      <c r="AR10102" s="4" t="s">
        <v>377</v>
      </c>
    </row>
    <row r="10103" spans="1:44">
      <c r="A10103" s="4" t="s">
        <v>10753</v>
      </c>
      <c r="B10103" s="4">
        <v>223122</v>
      </c>
      <c r="D10103" s="5" t="s">
        <v>13266</v>
      </c>
      <c r="E10103" s="6" t="str">
        <f>HYPERLINK("https://inpn.mnhn.fr/espece/cd_nom/223122","Ropalopus varini (Bedel, 1870)")</f>
        <v>Ropalopus varini (Bedel, 1870)</v>
      </c>
      <c r="P10103" s="7" t="str">
        <f>HYPERLINK("#Liste_rouge!A"&amp;_xlfn.XMATCH("LC",Liste_rouge!A:A,2,1),"LC")</f>
        <v>LC</v>
      </c>
      <c r="AH10103" s="4" t="str">
        <f>HYPERLINK("#Statut_biogéographique!A"&amp;_xlfn.XMATCH("P",Statut_biogéographique!A:A,2,1),"P")</f>
        <v>P</v>
      </c>
      <c r="AP10103" s="4" t="s">
        <v>376</v>
      </c>
      <c r="AR10103" s="4" t="s">
        <v>377</v>
      </c>
    </row>
    <row r="10104" spans="1:44">
      <c r="A10104" s="4" t="s">
        <v>10753</v>
      </c>
      <c r="B10104" s="4">
        <v>223123</v>
      </c>
      <c r="D10104" s="5" t="s">
        <v>13267</v>
      </c>
      <c r="E10104" s="6" t="str">
        <f>HYPERLINK("https://inpn.mnhn.fr/espece/cd_nom/223123","Ropalopus clavipes (Fabricius, 1775)")</f>
        <v>Ropalopus clavipes (Fabricius, 1775)</v>
      </c>
      <c r="P10104" s="7" t="str">
        <f>HYPERLINK("#Liste_rouge!A"&amp;_xlfn.XMATCH("LC",Liste_rouge!A:A,2,1),"LC")</f>
        <v>LC</v>
      </c>
      <c r="AH10104" s="4" t="str">
        <f>HYPERLINK("#Statut_biogéographique!A"&amp;_xlfn.XMATCH("P",Statut_biogéographique!A:A,2,1),"P")</f>
        <v>P</v>
      </c>
      <c r="AP10104" s="4" t="s">
        <v>376</v>
      </c>
      <c r="AR10104" s="4" t="s">
        <v>377</v>
      </c>
    </row>
    <row r="10105" spans="1:44">
      <c r="A10105" s="4" t="s">
        <v>10753</v>
      </c>
      <c r="B10105" s="4">
        <v>223124</v>
      </c>
      <c r="D10105" s="5" t="s">
        <v>13268</v>
      </c>
      <c r="E10105" s="6" t="str">
        <f>HYPERLINK("https://inpn.mnhn.fr/espece/cd_nom/223124","Deilus fugax (Olivier, 1790)")</f>
        <v>Deilus fugax (Olivier, 1790)</v>
      </c>
      <c r="F10105" s="5" t="s">
        <v>13269</v>
      </c>
      <c r="P10105" s="7" t="str">
        <f>HYPERLINK("#Liste_rouge!A"&amp;_xlfn.XMATCH("LC",Liste_rouge!A:A,2,1),"LC")</f>
        <v>LC</v>
      </c>
      <c r="AH10105" s="4" t="str">
        <f>HYPERLINK("#Statut_biogéographique!A"&amp;_xlfn.XMATCH("P",Statut_biogéographique!A:A,2,1),"P")</f>
        <v>P</v>
      </c>
      <c r="AP10105" s="4" t="s">
        <v>376</v>
      </c>
      <c r="AR10105" s="4" t="s">
        <v>377</v>
      </c>
    </row>
    <row r="10106" spans="1:44">
      <c r="A10106" s="4" t="s">
        <v>10753</v>
      </c>
      <c r="B10106" s="4">
        <v>223126</v>
      </c>
      <c r="D10106" s="5" t="s">
        <v>13270</v>
      </c>
      <c r="E10106" s="6" t="str">
        <f>HYPERLINK("https://inpn.mnhn.fr/espece/cd_nom/223126","Callimus angulatus (Schrank, 1789)")</f>
        <v>Callimus angulatus (Schrank, 1789)</v>
      </c>
      <c r="P10106" s="7" t="str">
        <f>HYPERLINK("#Liste_rouge!A"&amp;_xlfn.XMATCH("LC",Liste_rouge!A:A,2,1),"LC")</f>
        <v>LC</v>
      </c>
      <c r="AH10106" s="4" t="str">
        <f>HYPERLINK("#Statut_biogéographique!A"&amp;_xlfn.XMATCH("P",Statut_biogéographique!A:A,2,1),"P")</f>
        <v>P</v>
      </c>
      <c r="AP10106" s="4" t="s">
        <v>376</v>
      </c>
      <c r="AR10106" s="4" t="s">
        <v>377</v>
      </c>
    </row>
    <row r="10107" spans="1:44" ht="30">
      <c r="A10107" s="4" t="s">
        <v>10753</v>
      </c>
      <c r="B10107" s="4">
        <v>223128</v>
      </c>
      <c r="D10107" s="5" t="s">
        <v>13271</v>
      </c>
      <c r="E10107" s="6" t="str">
        <f>HYPERLINK("https://inpn.mnhn.fr/espece/cd_nom/223128","Glaphyra umbellatarum (Schreber, 1759)")</f>
        <v>Glaphyra umbellatarum (Schreber, 1759)</v>
      </c>
      <c r="P10107" s="7" t="str">
        <f>HYPERLINK("#Liste_rouge!A"&amp;_xlfn.XMATCH("LC",Liste_rouge!A:A,2,1),"LC")</f>
        <v>LC</v>
      </c>
      <c r="AH10107" s="4" t="str">
        <f>HYPERLINK("#Statut_biogéographique!A"&amp;_xlfn.XMATCH("P",Statut_biogéographique!A:A,2,1),"P")</f>
        <v>P</v>
      </c>
      <c r="AP10107" s="4" t="s">
        <v>376</v>
      </c>
      <c r="AR10107" s="4" t="s">
        <v>377</v>
      </c>
    </row>
    <row r="10108" spans="1:44" ht="30">
      <c r="A10108" s="4" t="s">
        <v>10753</v>
      </c>
      <c r="B10108" s="4">
        <v>22313</v>
      </c>
      <c r="D10108" s="5" t="s">
        <v>13272</v>
      </c>
      <c r="E10108" s="6" t="str">
        <f>HYPERLINK("https://inpn.mnhn.fr/espece/cd_nom/22313","Hybomitra auripila (Meigen, 1820)")</f>
        <v>Hybomitra auripila (Meigen, 1820)</v>
      </c>
      <c r="AH10108" s="4" t="str">
        <f>HYPERLINK("#Statut_biogéographique!A"&amp;_xlfn.XMATCH("P",Statut_biogéographique!A:A,2,1),"P")</f>
        <v>P</v>
      </c>
      <c r="AP10108" s="4" t="s">
        <v>376</v>
      </c>
      <c r="AR10108" s="4" t="s">
        <v>377</v>
      </c>
    </row>
    <row r="10109" spans="1:44">
      <c r="A10109" s="4" t="s">
        <v>10753</v>
      </c>
      <c r="B10109" s="4">
        <v>223130</v>
      </c>
      <c r="D10109" s="5" t="s">
        <v>13273</v>
      </c>
      <c r="E10109" s="6" t="str">
        <f>HYPERLINK("https://inpn.mnhn.fr/espece/cd_nom/223130","Molorchus minor (Linnaeus, 1758)")</f>
        <v>Molorchus minor (Linnaeus, 1758)</v>
      </c>
      <c r="P10109" s="7" t="str">
        <f>HYPERLINK("#Liste_rouge!A"&amp;_xlfn.XMATCH("LC",Liste_rouge!A:A,2,1),"LC")</f>
        <v>LC</v>
      </c>
      <c r="AH10109" s="4" t="str">
        <f>HYPERLINK("#Statut_biogéographique!A"&amp;_xlfn.XMATCH("P",Statut_biogéographique!A:A,2,1),"P")</f>
        <v>P</v>
      </c>
      <c r="AP10109" s="4" t="s">
        <v>376</v>
      </c>
      <c r="AR10109" s="4" t="s">
        <v>377</v>
      </c>
    </row>
    <row r="10110" spans="1:44">
      <c r="A10110" s="4" t="s">
        <v>10753</v>
      </c>
      <c r="B10110" s="4">
        <v>223131</v>
      </c>
      <c r="D10110" s="5" t="s">
        <v>13274</v>
      </c>
      <c r="E10110" s="6" t="str">
        <f>HYPERLINK("https://inpn.mnhn.fr/espece/cd_nom/223131","Obrium cantharinum (Linnaeus, 1767)")</f>
        <v>Obrium cantharinum (Linnaeus, 1767)</v>
      </c>
      <c r="P10110" s="7" t="str">
        <f>HYPERLINK("#Liste_rouge!A"&amp;_xlfn.XMATCH("LC",Liste_rouge!A:A,2,1),"LC")</f>
        <v>LC</v>
      </c>
      <c r="AH10110" s="4" t="str">
        <f>HYPERLINK("#Statut_biogéographique!A"&amp;_xlfn.XMATCH("P",Statut_biogéographique!A:A,2,1),"P")</f>
        <v>P</v>
      </c>
      <c r="AP10110" s="4" t="s">
        <v>376</v>
      </c>
      <c r="AR10110" s="4" t="s">
        <v>377</v>
      </c>
    </row>
    <row r="10111" spans="1:44">
      <c r="A10111" s="4" t="s">
        <v>10753</v>
      </c>
      <c r="B10111" s="4">
        <v>223132</v>
      </c>
      <c r="D10111" s="5" t="s">
        <v>13275</v>
      </c>
      <c r="E10111" s="6" t="str">
        <f>HYPERLINK("https://inpn.mnhn.fr/espece/cd_nom/223132","Obrium brunneum (Fabricius, 1792)")</f>
        <v>Obrium brunneum (Fabricius, 1792)</v>
      </c>
      <c r="P10111" s="7" t="str">
        <f>HYPERLINK("#Liste_rouge!A"&amp;_xlfn.XMATCH("LC",Liste_rouge!A:A,2,1),"LC")</f>
        <v>LC</v>
      </c>
      <c r="AH10111" s="4" t="str">
        <f>HYPERLINK("#Statut_biogéographique!A"&amp;_xlfn.XMATCH("P",Statut_biogéographique!A:A,2,1),"P")</f>
        <v>P</v>
      </c>
      <c r="AP10111" s="4" t="s">
        <v>376</v>
      </c>
      <c r="AR10111" s="4" t="s">
        <v>377</v>
      </c>
    </row>
    <row r="10112" spans="1:44" ht="30">
      <c r="A10112" s="4" t="s">
        <v>10753</v>
      </c>
      <c r="B10112" s="4">
        <v>22314</v>
      </c>
      <c r="D10112" s="5" t="s">
        <v>13276</v>
      </c>
      <c r="E10112" s="6" t="str">
        <f>HYPERLINK("https://inpn.mnhn.fr/espece/cd_nom/22314","Hybomitra bimaculata (Macquart, 1826)")</f>
        <v>Hybomitra bimaculata (Macquart, 1826)</v>
      </c>
      <c r="AH10112" s="4" t="str">
        <f>HYPERLINK("#Statut_biogéographique!A"&amp;_xlfn.XMATCH("P",Statut_biogéographique!A:A,2,1),"P")</f>
        <v>P</v>
      </c>
      <c r="AP10112" s="4" t="s">
        <v>376</v>
      </c>
      <c r="AR10112" s="4" t="s">
        <v>377</v>
      </c>
    </row>
    <row r="10113" spans="1:44">
      <c r="A10113" s="4" t="s">
        <v>10753</v>
      </c>
      <c r="B10113" s="4">
        <v>223140</v>
      </c>
      <c r="D10113" s="5" t="s">
        <v>13277</v>
      </c>
      <c r="E10113" s="6" t="str">
        <f>HYPERLINK("https://inpn.mnhn.fr/espece/cd_nom/223140","Trichoferus pallidus (Olivier, 1790)")</f>
        <v>Trichoferus pallidus (Olivier, 1790)</v>
      </c>
      <c r="F10113" s="5" t="s">
        <v>13278</v>
      </c>
      <c r="P10113" s="7" t="str">
        <f>HYPERLINK("#Liste_rouge!A"&amp;_xlfn.XMATCH("LC",Liste_rouge!A:A,2,1),"LC")</f>
        <v>LC</v>
      </c>
      <c r="AH10113" s="4" t="str">
        <f>HYPERLINK("#Statut_biogéographique!A"&amp;_xlfn.XMATCH("P",Statut_biogéographique!A:A,2,1),"P")</f>
        <v>P</v>
      </c>
      <c r="AP10113" s="4" t="s">
        <v>376</v>
      </c>
      <c r="AR10113" s="4" t="s">
        <v>377</v>
      </c>
    </row>
    <row r="10114" spans="1:44">
      <c r="A10114" s="4" t="s">
        <v>10753</v>
      </c>
      <c r="B10114" s="4">
        <v>223146</v>
      </c>
      <c r="D10114" s="5" t="s">
        <v>13279</v>
      </c>
      <c r="E10114" s="6" t="str">
        <f>HYPERLINK("https://inpn.mnhn.fr/espece/cd_nom/223146","Arhopalus ferus (Mulsant, 1839)")</f>
        <v>Arhopalus ferus (Mulsant, 1839)</v>
      </c>
      <c r="P10114" s="7" t="str">
        <f>HYPERLINK("#Liste_rouge!A"&amp;_xlfn.XMATCH("LC",Liste_rouge!A:A,2,1),"LC")</f>
        <v>LC</v>
      </c>
      <c r="AH10114" s="4" t="str">
        <f>HYPERLINK("#Statut_biogéographique!A"&amp;_xlfn.XMATCH("P",Statut_biogéographique!A:A,2,1),"P")</f>
        <v>P</v>
      </c>
      <c r="AP10114" s="4" t="s">
        <v>376</v>
      </c>
      <c r="AR10114" s="4" t="s">
        <v>377</v>
      </c>
    </row>
    <row r="10115" spans="1:44">
      <c r="A10115" s="4" t="s">
        <v>10753</v>
      </c>
      <c r="B10115" s="4">
        <v>223147</v>
      </c>
      <c r="D10115" s="5">
        <v>223147</v>
      </c>
      <c r="E10115" s="6" t="str">
        <f>HYPERLINK("https://inpn.mnhn.fr/espece/cd_nom/223147","Tetropium gabrieli Weise, 1905")</f>
        <v>Tetropium gabrieli Weise, 1905</v>
      </c>
      <c r="AH10115" s="4" t="str">
        <f>HYPERLINK("#Statut_biogéographique!A"&amp;_xlfn.XMATCH("P",Statut_biogéographique!A:A,2,1),"P")</f>
        <v>P</v>
      </c>
      <c r="AP10115" s="4" t="s">
        <v>376</v>
      </c>
      <c r="AR10115" s="4" t="s">
        <v>377</v>
      </c>
    </row>
    <row r="10116" spans="1:44">
      <c r="A10116" s="4" t="s">
        <v>10753</v>
      </c>
      <c r="B10116" s="4">
        <v>223148</v>
      </c>
      <c r="D10116" s="5" t="s">
        <v>13280</v>
      </c>
      <c r="E10116" s="6" t="str">
        <f>HYPERLINK("https://inpn.mnhn.fr/espece/cd_nom/223148","Tetropium fuscum (Fabricius, 1787)")</f>
        <v>Tetropium fuscum (Fabricius, 1787)</v>
      </c>
      <c r="P10116" s="7" t="str">
        <f>HYPERLINK("#Liste_rouge!A"&amp;_xlfn.XMATCH("LC",Liste_rouge!A:A,2,1),"LC")</f>
        <v>LC</v>
      </c>
      <c r="AH10116" s="4" t="str">
        <f>HYPERLINK("#Statut_biogéographique!A"&amp;_xlfn.XMATCH("P",Statut_biogéographique!A:A,2,1),"P")</f>
        <v>P</v>
      </c>
      <c r="AP10116" s="4" t="s">
        <v>376</v>
      </c>
      <c r="AR10116" s="4" t="s">
        <v>377</v>
      </c>
    </row>
    <row r="10117" spans="1:44">
      <c r="A10117" s="4" t="s">
        <v>10753</v>
      </c>
      <c r="B10117" s="4">
        <v>223150</v>
      </c>
      <c r="D10117" s="5" t="s">
        <v>13281</v>
      </c>
      <c r="E10117" s="6" t="str">
        <f>HYPERLINK("https://inpn.mnhn.fr/espece/cd_nom/223150","Necydalis major Linnaeus, 1758")</f>
        <v>Necydalis major Linnaeus, 1758</v>
      </c>
      <c r="F10117" s="5" t="s">
        <v>13282</v>
      </c>
      <c r="P10117" s="7" t="str">
        <f>HYPERLINK("#Liste_rouge!A"&amp;_xlfn.XMATCH("LC",Liste_rouge!A:A,2,1),"LC")</f>
        <v>LC</v>
      </c>
      <c r="AH10117" s="4" t="str">
        <f>HYPERLINK("#Statut_biogéographique!A"&amp;_xlfn.XMATCH("P",Statut_biogéographique!A:A,2,1),"P")</f>
        <v>P</v>
      </c>
      <c r="AP10117" s="4" t="s">
        <v>376</v>
      </c>
      <c r="AR10117" s="4" t="s">
        <v>377</v>
      </c>
    </row>
    <row r="10118" spans="1:44">
      <c r="A10118" s="4" t="s">
        <v>10753</v>
      </c>
      <c r="B10118" s="4">
        <v>223151</v>
      </c>
      <c r="D10118" s="5">
        <v>223151</v>
      </c>
      <c r="E10118" s="6" t="str">
        <f>HYPERLINK("https://inpn.mnhn.fr/espece/cd_nom/223151","Stenurella sennii Sama, 2002")</f>
        <v>Stenurella sennii Sama, 2002</v>
      </c>
      <c r="AH10118" s="4" t="str">
        <f>HYPERLINK("#Statut_biogéographique!A"&amp;_xlfn.XMATCH("S",Statut_biogéographique!A:A,2,1),"S")</f>
        <v>S</v>
      </c>
      <c r="AP10118" s="4" t="s">
        <v>376</v>
      </c>
      <c r="AR10118" s="4" t="s">
        <v>377</v>
      </c>
    </row>
    <row r="10119" spans="1:44">
      <c r="A10119" s="4" t="s">
        <v>10753</v>
      </c>
      <c r="B10119" s="4">
        <v>223152</v>
      </c>
      <c r="D10119" s="5" t="s">
        <v>13283</v>
      </c>
      <c r="E10119" s="6" t="str">
        <f>HYPERLINK("https://inpn.mnhn.fr/espece/cd_nom/223152","Rutpela maculata (Poda, 1761)")</f>
        <v>Rutpela maculata (Poda, 1761)</v>
      </c>
      <c r="F10119" s="5" t="s">
        <v>13284</v>
      </c>
      <c r="P10119" s="7" t="str">
        <f>HYPERLINK("#Liste_rouge!A"&amp;_xlfn.XMATCH("LC",Liste_rouge!A:A,2,1),"LC")</f>
        <v>LC</v>
      </c>
      <c r="AH10119" s="4" t="str">
        <f>HYPERLINK("#Statut_biogéographique!A"&amp;_xlfn.XMATCH("P",Statut_biogéographique!A:A,2,1),"P")</f>
        <v>P</v>
      </c>
      <c r="AP10119" s="4" t="s">
        <v>376</v>
      </c>
      <c r="AR10119" s="4" t="s">
        <v>377</v>
      </c>
    </row>
    <row r="10120" spans="1:44">
      <c r="A10120" s="4" t="s">
        <v>10753</v>
      </c>
      <c r="B10120" s="4">
        <v>223153</v>
      </c>
      <c r="D10120" s="5" t="s">
        <v>13285</v>
      </c>
      <c r="E10120" s="6" t="str">
        <f>HYPERLINK("https://inpn.mnhn.fr/espece/cd_nom/223153","Strangalia attenuata (Linnaeus, 1758)")</f>
        <v>Strangalia attenuata (Linnaeus, 1758)</v>
      </c>
      <c r="F10120" s="5" t="s">
        <v>13286</v>
      </c>
      <c r="P10120" s="7" t="str">
        <f>HYPERLINK("#Liste_rouge!A"&amp;_xlfn.XMATCH("LC",Liste_rouge!A:A,2,1),"LC")</f>
        <v>LC</v>
      </c>
      <c r="AH10120" s="4" t="str">
        <f>HYPERLINK("#Statut_biogéographique!A"&amp;_xlfn.XMATCH("P",Statut_biogéographique!A:A,2,1),"P")</f>
        <v>P</v>
      </c>
      <c r="AP10120" s="4" t="s">
        <v>376</v>
      </c>
      <c r="AR10120" s="4" t="s">
        <v>377</v>
      </c>
    </row>
    <row r="10121" spans="1:44">
      <c r="A10121" s="4" t="s">
        <v>10753</v>
      </c>
      <c r="B10121" s="4">
        <v>223156</v>
      </c>
      <c r="D10121" s="5" t="s">
        <v>13287</v>
      </c>
      <c r="E10121" s="6" t="str">
        <f>HYPERLINK("https://inpn.mnhn.fr/espece/cd_nom/223156","Pseudovadonia livida (Fabricius, 1777)")</f>
        <v>Pseudovadonia livida (Fabricius, 1777)</v>
      </c>
      <c r="F10121" s="5" t="s">
        <v>13288</v>
      </c>
      <c r="AH10121" s="4" t="str">
        <f>HYPERLINK("#Statut_biogéographique!A"&amp;_xlfn.XMATCH("P",Statut_biogéographique!A:A,2,1),"P")</f>
        <v>P</v>
      </c>
      <c r="AP10121" s="4" t="s">
        <v>376</v>
      </c>
      <c r="AR10121" s="4" t="s">
        <v>377</v>
      </c>
    </row>
    <row r="10122" spans="1:44">
      <c r="A10122" s="4" t="s">
        <v>10753</v>
      </c>
      <c r="B10122" s="4">
        <v>223158</v>
      </c>
      <c r="D10122" s="5" t="s">
        <v>13289</v>
      </c>
      <c r="E10122" s="6" t="str">
        <f>HYPERLINK("https://inpn.mnhn.fr/espece/cd_nom/223158","Judolia sexmaculata (Linnaeus, 1758)")</f>
        <v>Judolia sexmaculata (Linnaeus, 1758)</v>
      </c>
      <c r="P10122" s="7" t="str">
        <f>HYPERLINK("#Liste_rouge!A"&amp;_xlfn.XMATCH("LC",Liste_rouge!A:A,2,1),"LC")</f>
        <v>LC</v>
      </c>
      <c r="AH10122" s="4" t="str">
        <f>HYPERLINK("#Statut_biogéographique!A"&amp;_xlfn.XMATCH("P",Statut_biogéographique!A:A,2,1),"P")</f>
        <v>P</v>
      </c>
      <c r="AP10122" s="4" t="s">
        <v>376</v>
      </c>
      <c r="AR10122" s="4" t="s">
        <v>377</v>
      </c>
    </row>
    <row r="10123" spans="1:44" ht="30">
      <c r="A10123" s="4" t="s">
        <v>10753</v>
      </c>
      <c r="B10123" s="4">
        <v>223164</v>
      </c>
      <c r="D10123" s="5" t="s">
        <v>13290</v>
      </c>
      <c r="E10123" s="6" t="str">
        <f>HYPERLINK("https://inpn.mnhn.fr/espece/cd_nom/223164","Stictoleptura rubra (Linnaeus, 1758)")</f>
        <v>Stictoleptura rubra (Linnaeus, 1758)</v>
      </c>
      <c r="F10123" s="5" t="s">
        <v>13291</v>
      </c>
      <c r="P10123" s="7" t="str">
        <f>HYPERLINK("#Liste_rouge!A"&amp;_xlfn.XMATCH("LC",Liste_rouge!A:A,2,1),"LC")</f>
        <v>LC</v>
      </c>
      <c r="AH10123" s="4" t="str">
        <f>HYPERLINK("#Statut_biogéographique!A"&amp;_xlfn.XMATCH("P",Statut_biogéographique!A:A,2,1),"P")</f>
        <v>P</v>
      </c>
      <c r="AP10123" s="4" t="s">
        <v>376</v>
      </c>
      <c r="AR10123" s="4" t="s">
        <v>377</v>
      </c>
    </row>
    <row r="10124" spans="1:44">
      <c r="A10124" s="4" t="s">
        <v>10753</v>
      </c>
      <c r="B10124" s="4">
        <v>223166</v>
      </c>
      <c r="D10124" s="5" t="s">
        <v>13292</v>
      </c>
      <c r="E10124" s="6" t="str">
        <f>HYPERLINK("https://inpn.mnhn.fr/espece/cd_nom/223166","Stictoleptura cordigera (Fuessly, 1775)")</f>
        <v>Stictoleptura cordigera (Fuessly, 1775)</v>
      </c>
      <c r="F10124" s="5" t="s">
        <v>13293</v>
      </c>
      <c r="P10124" s="7" t="str">
        <f>HYPERLINK("#Liste_rouge!A"&amp;_xlfn.XMATCH("LC",Liste_rouge!A:A,2,1),"LC")</f>
        <v>LC</v>
      </c>
      <c r="AH10124" s="4" t="str">
        <f>HYPERLINK("#Statut_biogéographique!A"&amp;_xlfn.XMATCH("P",Statut_biogéographique!A:A,2,1),"P")</f>
        <v>P</v>
      </c>
      <c r="AP10124" s="4" t="s">
        <v>376</v>
      </c>
      <c r="AR10124" s="4" t="s">
        <v>377</v>
      </c>
    </row>
    <row r="10125" spans="1:44">
      <c r="A10125" s="4" t="s">
        <v>10753</v>
      </c>
      <c r="B10125" s="4">
        <v>223170</v>
      </c>
      <c r="D10125" s="5" t="s">
        <v>13294</v>
      </c>
      <c r="E10125" s="6" t="str">
        <f>HYPERLINK("https://inpn.mnhn.fr/espece/cd_nom/223170","Leptura annularis Fabricius, 1801")</f>
        <v>Leptura annularis Fabricius, 1801</v>
      </c>
      <c r="P10125" s="7" t="str">
        <f>HYPERLINK("#Liste_rouge!A"&amp;_xlfn.XMATCH("LC",Liste_rouge!A:A,2,1),"LC")</f>
        <v>LC</v>
      </c>
      <c r="AH10125" s="4" t="str">
        <f>HYPERLINK("#Statut_biogéographique!A"&amp;_xlfn.XMATCH("P",Statut_biogéographique!A:A,2,1),"P")</f>
        <v>P</v>
      </c>
      <c r="AP10125" s="4" t="s">
        <v>376</v>
      </c>
      <c r="AR10125" s="4" t="s">
        <v>377</v>
      </c>
    </row>
    <row r="10126" spans="1:44">
      <c r="A10126" s="4" t="s">
        <v>10753</v>
      </c>
      <c r="B10126" s="4">
        <v>223171</v>
      </c>
      <c r="D10126" s="5" t="s">
        <v>13295</v>
      </c>
      <c r="E10126" s="6" t="str">
        <f>HYPERLINK("https://inpn.mnhn.fr/espece/cd_nom/223171","Lepturobosca virens (Linnaeus, 1758)")</f>
        <v>Lepturobosca virens (Linnaeus, 1758)</v>
      </c>
      <c r="P10126" s="7" t="str">
        <f>HYPERLINK("#Liste_rouge!A"&amp;_xlfn.XMATCH("LC",Liste_rouge!A:A,2,1),"LC")</f>
        <v>LC</v>
      </c>
      <c r="AH10126" s="4" t="str">
        <f>HYPERLINK("#Statut_biogéographique!A"&amp;_xlfn.XMATCH("P",Statut_biogéographique!A:A,2,1),"P")</f>
        <v>P</v>
      </c>
      <c r="AP10126" s="4" t="s">
        <v>376</v>
      </c>
      <c r="AR10126" s="4" t="s">
        <v>377</v>
      </c>
    </row>
    <row r="10127" spans="1:44">
      <c r="A10127" s="4" t="s">
        <v>10753</v>
      </c>
      <c r="B10127" s="4">
        <v>223172</v>
      </c>
      <c r="D10127" s="5" t="s">
        <v>13296</v>
      </c>
      <c r="E10127" s="6" t="str">
        <f>HYPERLINK("https://inpn.mnhn.fr/espece/cd_nom/223172","Pedostrangalia revestita (Linnaeus, 1767)")</f>
        <v>Pedostrangalia revestita (Linnaeus, 1767)</v>
      </c>
      <c r="F10127" s="5" t="s">
        <v>13297</v>
      </c>
      <c r="O10127" s="7" t="str">
        <f>HYPERLINK("#Liste_rouge!A"&amp;_xlfn.XMATCH("VU",Liste_rouge!A:A,2,1),"VU")</f>
        <v>VU</v>
      </c>
      <c r="P10127" s="7" t="str">
        <f>HYPERLINK("#Liste_rouge!A"&amp;_xlfn.XMATCH("VU",Liste_rouge!A:A,2,1),"VU")</f>
        <v>VU</v>
      </c>
      <c r="AH10127" s="4" t="str">
        <f>HYPERLINK("#Statut_biogéographique!A"&amp;_xlfn.XMATCH("P",Statut_biogéographique!A:A,2,1),"P")</f>
        <v>P</v>
      </c>
      <c r="AP10127" s="4" t="s">
        <v>376</v>
      </c>
      <c r="AR10127" s="4" t="s">
        <v>377</v>
      </c>
    </row>
    <row r="10128" spans="1:44">
      <c r="A10128" s="4" t="s">
        <v>10753</v>
      </c>
      <c r="B10128" s="4">
        <v>223174</v>
      </c>
      <c r="D10128" s="5" t="s">
        <v>13298</v>
      </c>
      <c r="E10128" s="6" t="str">
        <f>HYPERLINK("https://inpn.mnhn.fr/espece/cd_nom/223174","Pidonia lurida (Fabricius, 1792)")</f>
        <v>Pidonia lurida (Fabricius, 1792)</v>
      </c>
      <c r="O10128" s="7" t="str">
        <f>HYPERLINK("#Liste_rouge!A"&amp;_xlfn.XMATCH("LC",Liste_rouge!A:A,2,1),"LC")</f>
        <v>LC</v>
      </c>
      <c r="P10128" s="7" t="str">
        <f>HYPERLINK("#Liste_rouge!A"&amp;_xlfn.XMATCH("LC",Liste_rouge!A:A,2,1),"LC")</f>
        <v>LC</v>
      </c>
      <c r="AH10128" s="4" t="str">
        <f>HYPERLINK("#Statut_biogéographique!A"&amp;_xlfn.XMATCH("P",Statut_biogéographique!A:A,2,1),"P")</f>
        <v>P</v>
      </c>
      <c r="AP10128" s="4" t="s">
        <v>376</v>
      </c>
      <c r="AR10128" s="4" t="s">
        <v>377</v>
      </c>
    </row>
    <row r="10129" spans="1:44">
      <c r="A10129" s="4" t="s">
        <v>10753</v>
      </c>
      <c r="B10129" s="4">
        <v>223175</v>
      </c>
      <c r="D10129" s="5" t="s">
        <v>13299</v>
      </c>
      <c r="E10129" s="6" t="str">
        <f>HYPERLINK("https://inpn.mnhn.fr/espece/cd_nom/223175","Grammoptera abdominalis (Stephens, 1831)")</f>
        <v>Grammoptera abdominalis (Stephens, 1831)</v>
      </c>
      <c r="F10129" s="5" t="s">
        <v>13300</v>
      </c>
      <c r="P10129" s="7" t="str">
        <f>HYPERLINK("#Liste_rouge!A"&amp;_xlfn.XMATCH("LC",Liste_rouge!A:A,2,1),"LC")</f>
        <v>LC</v>
      </c>
      <c r="AH10129" s="4" t="str">
        <f>HYPERLINK("#Statut_biogéographique!A"&amp;_xlfn.XMATCH("P",Statut_biogéographique!A:A,2,1),"P")</f>
        <v>P</v>
      </c>
      <c r="AP10129" s="4" t="s">
        <v>376</v>
      </c>
      <c r="AR10129" s="4" t="s">
        <v>377</v>
      </c>
    </row>
    <row r="10130" spans="1:44" ht="30">
      <c r="A10130" s="4" t="s">
        <v>10753</v>
      </c>
      <c r="B10130" s="4">
        <v>223177</v>
      </c>
      <c r="D10130" s="5" t="s">
        <v>13301</v>
      </c>
      <c r="E10130" s="6" t="str">
        <f>HYPERLINK("https://inpn.mnhn.fr/espece/cd_nom/223177","Acmaeops septentrionis (C. G. Thomson, 1866)")</f>
        <v>Acmaeops septentrionis (C. G. Thomson, 1866)</v>
      </c>
      <c r="P10130" s="7" t="str">
        <f>HYPERLINK("#Liste_rouge!A"&amp;_xlfn.XMATCH("LC",Liste_rouge!A:A,2,1),"LC")</f>
        <v>LC</v>
      </c>
      <c r="AH10130" s="4" t="str">
        <f>HYPERLINK("#Statut_biogéographique!A"&amp;_xlfn.XMATCH("P",Statut_biogéographique!A:A,2,1),"P")</f>
        <v>P</v>
      </c>
      <c r="AP10130" s="4" t="s">
        <v>376</v>
      </c>
      <c r="AR10130" s="4" t="s">
        <v>377</v>
      </c>
    </row>
    <row r="10131" spans="1:44">
      <c r="A10131" s="4" t="s">
        <v>10753</v>
      </c>
      <c r="B10131" s="4">
        <v>22318</v>
      </c>
      <c r="D10131" s="5" t="s">
        <v>13302</v>
      </c>
      <c r="E10131" s="6" t="str">
        <f>HYPERLINK("https://inpn.mnhn.fr/espece/cd_nom/22318","Hybomitra solstitialis (Meigen, 1820)")</f>
        <v>Hybomitra solstitialis (Meigen, 1820)</v>
      </c>
      <c r="AH10131" s="4" t="str">
        <f>HYPERLINK("#Statut_biogéographique!A"&amp;_xlfn.XMATCH("P",Statut_biogéographique!A:A,2,1),"P")</f>
        <v>P</v>
      </c>
      <c r="AP10131" s="4" t="s">
        <v>376</v>
      </c>
      <c r="AR10131" s="4" t="s">
        <v>377</v>
      </c>
    </row>
    <row r="10132" spans="1:44">
      <c r="A10132" s="4" t="s">
        <v>10753</v>
      </c>
      <c r="B10132" s="4">
        <v>223182</v>
      </c>
      <c r="D10132" s="5" t="s">
        <v>13303</v>
      </c>
      <c r="E10132" s="6" t="str">
        <f>HYPERLINK("https://inpn.mnhn.fr/espece/cd_nom/223182","Brachyta interrogationis (Linnaeus, 1758)")</f>
        <v>Brachyta interrogationis (Linnaeus, 1758)</v>
      </c>
      <c r="AH10132" s="4" t="str">
        <f>HYPERLINK("#Statut_biogéographique!A"&amp;_xlfn.XMATCH("P",Statut_biogéographique!A:A,2,1),"P")</f>
        <v>P</v>
      </c>
      <c r="AP10132" s="4" t="s">
        <v>376</v>
      </c>
      <c r="AR10132" s="4" t="s">
        <v>377</v>
      </c>
    </row>
    <row r="10133" spans="1:44">
      <c r="A10133" s="4" t="s">
        <v>10753</v>
      </c>
      <c r="B10133" s="4">
        <v>223185</v>
      </c>
      <c r="D10133" s="5" t="s">
        <v>13304</v>
      </c>
      <c r="E10133" s="6" t="str">
        <f>HYPERLINK("https://inpn.mnhn.fr/espece/cd_nom/223185","Rhamnusium bicolor (Schrank, 1781)")</f>
        <v>Rhamnusium bicolor (Schrank, 1781)</v>
      </c>
      <c r="F10133" s="5" t="s">
        <v>13305</v>
      </c>
      <c r="P10133" s="7" t="str">
        <f>HYPERLINK("#Liste_rouge!A"&amp;_xlfn.XMATCH("NT",Liste_rouge!A:A,2,1),"NT")</f>
        <v>NT</v>
      </c>
      <c r="AH10133" s="4" t="str">
        <f>HYPERLINK("#Statut_biogéographique!A"&amp;_xlfn.XMATCH("P",Statut_biogéographique!A:A,2,1),"P")</f>
        <v>P</v>
      </c>
      <c r="AP10133" s="4" t="s">
        <v>376</v>
      </c>
      <c r="AR10133" s="4" t="s">
        <v>377</v>
      </c>
    </row>
    <row r="10134" spans="1:44">
      <c r="A10134" s="4" t="s">
        <v>10753</v>
      </c>
      <c r="B10134" s="4">
        <v>223187</v>
      </c>
      <c r="D10134" s="5" t="s">
        <v>13306</v>
      </c>
      <c r="E10134" s="6" t="str">
        <f>HYPERLINK("https://inpn.mnhn.fr/espece/cd_nom/223187","Aegosoma scabricorne (Scopoli, 1763)")</f>
        <v>Aegosoma scabricorne (Scopoli, 1763)</v>
      </c>
      <c r="F10134" s="5" t="s">
        <v>13307</v>
      </c>
      <c r="P10134" s="7" t="str">
        <f>HYPERLINK("#Liste_rouge!A"&amp;_xlfn.XMATCH("LC",Liste_rouge!A:A,2,1),"LC")</f>
        <v>LC</v>
      </c>
      <c r="AH10134" s="4" t="str">
        <f>HYPERLINK("#Statut_biogéographique!A"&amp;_xlfn.XMATCH("P",Statut_biogéographique!A:A,2,1),"P")</f>
        <v>P</v>
      </c>
      <c r="AP10134" s="4" t="s">
        <v>376</v>
      </c>
      <c r="AR10134" s="4" t="s">
        <v>377</v>
      </c>
    </row>
    <row r="10135" spans="1:44">
      <c r="A10135" s="4" t="s">
        <v>10753</v>
      </c>
      <c r="B10135" s="4">
        <v>22319</v>
      </c>
      <c r="D10135" s="5" t="s">
        <v>13308</v>
      </c>
      <c r="E10135" s="6" t="str">
        <f>HYPERLINK("https://inpn.mnhn.fr/espece/cd_nom/22319","Hybomitra ciureai (Séguy, 1937)")</f>
        <v>Hybomitra ciureai (Séguy, 1937)</v>
      </c>
      <c r="AH10135" s="4" t="str">
        <f>HYPERLINK("#Statut_biogéographique!A"&amp;_xlfn.XMATCH("P",Statut_biogéographique!A:A,2,1),"P")</f>
        <v>P</v>
      </c>
      <c r="AP10135" s="4" t="s">
        <v>376</v>
      </c>
      <c r="AR10135" s="4" t="s">
        <v>377</v>
      </c>
    </row>
    <row r="10136" spans="1:44">
      <c r="A10136" s="4" t="s">
        <v>10753</v>
      </c>
      <c r="B10136" s="4">
        <v>223191</v>
      </c>
      <c r="D10136" s="5" t="s">
        <v>13309</v>
      </c>
      <c r="E10136" s="6" t="str">
        <f>HYPERLINK("https://inpn.mnhn.fr/espece/cd_nom/223191","Cerophytum elateroides (Latreille, 1804)")</f>
        <v>Cerophytum elateroides (Latreille, 1804)</v>
      </c>
      <c r="O10136" s="7" t="str">
        <f>HYPERLINK("#Liste_rouge!A"&amp;_xlfn.XMATCH("VU",Liste_rouge!A:A,2,1),"VU")</f>
        <v>VU</v>
      </c>
      <c r="P10136" s="7" t="str">
        <f>HYPERLINK("#Liste_rouge!A"&amp;_xlfn.XMATCH("VU",Liste_rouge!A:A,2,1),"VU")</f>
        <v>VU</v>
      </c>
      <c r="AH10136" s="4" t="str">
        <f>HYPERLINK("#Statut_biogéographique!A"&amp;_xlfn.XMATCH("P",Statut_biogéographique!A:A,2,1),"P")</f>
        <v>P</v>
      </c>
      <c r="AP10136" s="4" t="s">
        <v>376</v>
      </c>
      <c r="AR10136" s="4" t="s">
        <v>377</v>
      </c>
    </row>
    <row r="10137" spans="1:44">
      <c r="A10137" s="4" t="s">
        <v>10753</v>
      </c>
      <c r="B10137" s="4">
        <v>223195</v>
      </c>
      <c r="D10137" s="5">
        <v>223195</v>
      </c>
      <c r="E10137" s="6" t="str">
        <f>HYPERLINK("https://inpn.mnhn.fr/espece/cd_nom/223195","Cerylon deplanatum Gyllenhal, 1827")</f>
        <v>Cerylon deplanatum Gyllenhal, 1827</v>
      </c>
      <c r="AH10137" s="4" t="str">
        <f>HYPERLINK("#Statut_biogéographique!A"&amp;_xlfn.XMATCH("P",Statut_biogéographique!A:A,2,1),"P")</f>
        <v>P</v>
      </c>
      <c r="AP10137" s="4" t="s">
        <v>376</v>
      </c>
      <c r="AR10137" s="4" t="s">
        <v>377</v>
      </c>
    </row>
    <row r="10138" spans="1:44">
      <c r="A10138" s="4" t="s">
        <v>10753</v>
      </c>
      <c r="B10138" s="4">
        <v>223196</v>
      </c>
      <c r="D10138" s="5">
        <v>223196</v>
      </c>
      <c r="E10138" s="6" t="str">
        <f>HYPERLINK("https://inpn.mnhn.fr/espece/cd_nom/223196","Cerylon ferrugineum Stephens, 1830")</f>
        <v>Cerylon ferrugineum Stephens, 1830</v>
      </c>
      <c r="AH10138" s="4" t="str">
        <f>HYPERLINK("#Statut_biogéographique!A"&amp;_xlfn.XMATCH("P",Statut_biogéographique!A:A,2,1),"P")</f>
        <v>P</v>
      </c>
      <c r="AP10138" s="4" t="s">
        <v>376</v>
      </c>
      <c r="AR10138" s="4" t="s">
        <v>377</v>
      </c>
    </row>
    <row r="10139" spans="1:44">
      <c r="A10139" s="4" t="s">
        <v>10753</v>
      </c>
      <c r="B10139" s="4">
        <v>223197</v>
      </c>
      <c r="D10139" s="5">
        <v>223197</v>
      </c>
      <c r="E10139" s="6" t="str">
        <f>HYPERLINK("https://inpn.mnhn.fr/espece/cd_nom/223197","Cerylon impressum Erichson, 1845")</f>
        <v>Cerylon impressum Erichson, 1845</v>
      </c>
      <c r="AH10139" s="4" t="str">
        <f>HYPERLINK("#Statut_biogéographique!A"&amp;_xlfn.XMATCH("P",Statut_biogéographique!A:A,2,1),"P")</f>
        <v>P</v>
      </c>
      <c r="AP10139" s="4" t="s">
        <v>376</v>
      </c>
      <c r="AR10139" s="4" t="s">
        <v>377</v>
      </c>
    </row>
    <row r="10140" spans="1:44">
      <c r="A10140" s="4" t="s">
        <v>10753</v>
      </c>
      <c r="B10140" s="4">
        <v>22322</v>
      </c>
      <c r="D10140" s="5" t="s">
        <v>13310</v>
      </c>
      <c r="E10140" s="6" t="str">
        <f>HYPERLINK("https://inpn.mnhn.fr/espece/cd_nom/22322","Hybomitra distinguenda (Verrall, 1909)")</f>
        <v>Hybomitra distinguenda (Verrall, 1909)</v>
      </c>
      <c r="AH10140" s="4" t="str">
        <f>HYPERLINK("#Statut_biogéographique!A"&amp;_xlfn.XMATCH("P",Statut_biogéographique!A:A,2,1),"P")</f>
        <v>P</v>
      </c>
      <c r="AP10140" s="4" t="s">
        <v>376</v>
      </c>
      <c r="AR10140" s="4" t="s">
        <v>377</v>
      </c>
    </row>
    <row r="10141" spans="1:44" ht="45">
      <c r="A10141" s="4" t="s">
        <v>10753</v>
      </c>
      <c r="B10141" s="4">
        <v>223224</v>
      </c>
      <c r="D10141" s="5" t="s">
        <v>13311</v>
      </c>
      <c r="E10141" s="6" t="str">
        <f>HYPERLINK("https://inpn.mnhn.fr/espece/cd_nom/223224","Enicopus pilosus (Scopoli, 1763)")</f>
        <v>Enicopus pilosus (Scopoli, 1763)</v>
      </c>
      <c r="F10141" s="5" t="s">
        <v>13312</v>
      </c>
      <c r="AH10141" s="4" t="str">
        <f>HYPERLINK("#Statut_biogéographique!A"&amp;_xlfn.XMATCH("P",Statut_biogéographique!A:A,2,1),"P")</f>
        <v>P</v>
      </c>
      <c r="AP10141" s="4" t="s">
        <v>376</v>
      </c>
      <c r="AR10141" s="4" t="s">
        <v>377</v>
      </c>
    </row>
    <row r="10142" spans="1:44">
      <c r="A10142" s="4" t="s">
        <v>10753</v>
      </c>
      <c r="B10142" s="4">
        <v>223233</v>
      </c>
      <c r="D10142" s="5" t="s">
        <v>13313</v>
      </c>
      <c r="E10142" s="6" t="str">
        <f>HYPERLINK("https://inpn.mnhn.fr/espece/cd_nom/223233","Dasytes gonocerus Mulsant &amp; Rey, 1868")</f>
        <v>Dasytes gonocerus Mulsant &amp; Rey, 1868</v>
      </c>
      <c r="AH10142" s="4" t="str">
        <f>HYPERLINK("#Statut_biogéographique!A"&amp;_xlfn.XMATCH("P",Statut_biogéographique!A:A,2,1),"P")</f>
        <v>P</v>
      </c>
      <c r="AP10142" s="4" t="s">
        <v>376</v>
      </c>
      <c r="AR10142" s="4" t="s">
        <v>377</v>
      </c>
    </row>
    <row r="10143" spans="1:44">
      <c r="A10143" s="4" t="s">
        <v>10753</v>
      </c>
      <c r="B10143" s="4">
        <v>223237</v>
      </c>
      <c r="D10143" s="5" t="s">
        <v>13314</v>
      </c>
      <c r="E10143" s="6" t="str">
        <f>HYPERLINK("https://inpn.mnhn.fr/espece/cd_nom/223237","Dasytes niger (Linnaeus, 1761)")</f>
        <v>Dasytes niger (Linnaeus, 1761)</v>
      </c>
      <c r="AH10143" s="4" t="str">
        <f>HYPERLINK("#Statut_biogéographique!A"&amp;_xlfn.XMATCH("P",Statut_biogéographique!A:A,2,1),"P")</f>
        <v>P</v>
      </c>
      <c r="AP10143" s="4" t="s">
        <v>376</v>
      </c>
      <c r="AR10143" s="4" t="s">
        <v>377</v>
      </c>
    </row>
    <row r="10144" spans="1:44">
      <c r="A10144" s="4" t="s">
        <v>10753</v>
      </c>
      <c r="B10144" s="4">
        <v>223239</v>
      </c>
      <c r="D10144" s="5">
        <v>223239</v>
      </c>
      <c r="E10144" s="6" t="str">
        <f>HYPERLINK("https://inpn.mnhn.fr/espece/cd_nom/223239","Dasytes nigrocyaneus Mulsant &amp; Rey, 1868")</f>
        <v>Dasytes nigrocyaneus Mulsant &amp; Rey, 1868</v>
      </c>
      <c r="AH10144" s="4" t="str">
        <f>HYPERLINK("#Statut_biogéographique!A"&amp;_xlfn.XMATCH("E",Statut_biogéographique!A:A,2,1),"E")</f>
        <v>E</v>
      </c>
      <c r="AP10144" s="4" t="s">
        <v>376</v>
      </c>
      <c r="AR10144" s="4" t="s">
        <v>377</v>
      </c>
    </row>
    <row r="10145" spans="1:44">
      <c r="A10145" s="4" t="s">
        <v>10753</v>
      </c>
      <c r="B10145" s="4">
        <v>22324</v>
      </c>
      <c r="D10145" s="5">
        <v>22324</v>
      </c>
      <c r="E10145" s="6" t="str">
        <f>HYPERLINK("https://inpn.mnhn.fr/espece/cd_nom/22324","Hybomitra kaurii Chvála &amp; Lyneborg, 1970")</f>
        <v>Hybomitra kaurii Chvála &amp; Lyneborg, 1970</v>
      </c>
      <c r="AH10145" s="4" t="str">
        <f>HYPERLINK("#Statut_biogéographique!A"&amp;_xlfn.XMATCH("P",Statut_biogéographique!A:A,2,1),"P")</f>
        <v>P</v>
      </c>
      <c r="AP10145" s="4" t="s">
        <v>376</v>
      </c>
      <c r="AR10145" s="4" t="s">
        <v>377</v>
      </c>
    </row>
    <row r="10146" spans="1:44">
      <c r="A10146" s="4" t="s">
        <v>10753</v>
      </c>
      <c r="B10146" s="4">
        <v>223240</v>
      </c>
      <c r="D10146" s="5" t="s">
        <v>13315</v>
      </c>
      <c r="E10146" s="6" t="str">
        <f>HYPERLINK("https://inpn.mnhn.fr/espece/cd_nom/223240","Dasytes obscurus Gyllenhal, 1813")</f>
        <v>Dasytes obscurus Gyllenhal, 1813</v>
      </c>
      <c r="AH10146" s="4" t="str">
        <f>HYPERLINK("#Statut_biogéographique!A"&amp;_xlfn.XMATCH("P",Statut_biogéographique!A:A,2,1),"P")</f>
        <v>P</v>
      </c>
      <c r="AP10146" s="4" t="s">
        <v>376</v>
      </c>
      <c r="AR10146" s="4" t="s">
        <v>377</v>
      </c>
    </row>
    <row r="10147" spans="1:44" ht="30">
      <c r="A10147" s="4" t="s">
        <v>10753</v>
      </c>
      <c r="B10147" s="4">
        <v>223242</v>
      </c>
      <c r="D10147" s="5" t="s">
        <v>13316</v>
      </c>
      <c r="E10147" s="6" t="str">
        <f>HYPERLINK("https://inpn.mnhn.fr/espece/cd_nom/223242","Dasytes pauperculus Laporte de Castelnau, 1840")</f>
        <v>Dasytes pauperculus Laporte de Castelnau, 1840</v>
      </c>
      <c r="AH10147" s="4" t="str">
        <f>HYPERLINK("#Statut_biogéographique!A"&amp;_xlfn.XMATCH("P",Statut_biogéographique!A:A,2,1),"P")</f>
        <v>P</v>
      </c>
      <c r="AP10147" s="4" t="s">
        <v>376</v>
      </c>
      <c r="AR10147" s="4" t="s">
        <v>377</v>
      </c>
    </row>
    <row r="10148" spans="1:44">
      <c r="A10148" s="4" t="s">
        <v>10753</v>
      </c>
      <c r="B10148" s="4">
        <v>223248</v>
      </c>
      <c r="D10148" s="5" t="s">
        <v>13317</v>
      </c>
      <c r="E10148" s="6" t="str">
        <f>HYPERLINK("https://inpn.mnhn.fr/espece/cd_nom/223248","Dasytes virens (Marsham, 1802)")</f>
        <v>Dasytes virens (Marsham, 1802)</v>
      </c>
      <c r="AH10148" s="4" t="str">
        <f>HYPERLINK("#Statut_biogéographique!A"&amp;_xlfn.XMATCH("P",Statut_biogéographique!A:A,2,1),"P")</f>
        <v>P</v>
      </c>
      <c r="AP10148" s="4" t="s">
        <v>376</v>
      </c>
      <c r="AR10148" s="4" t="s">
        <v>377</v>
      </c>
    </row>
    <row r="10149" spans="1:44" ht="30">
      <c r="A10149" s="4" t="s">
        <v>10753</v>
      </c>
      <c r="B10149" s="4">
        <v>223254</v>
      </c>
      <c r="D10149" s="5" t="s">
        <v>13318</v>
      </c>
      <c r="E10149" s="6" t="str">
        <f>HYPERLINK("https://inpn.mnhn.fr/espece/cd_nom/223254","Psilothrix viridicoerulea (Geoffroy, 1785)")</f>
        <v>Psilothrix viridicoerulea (Geoffroy, 1785)</v>
      </c>
      <c r="F10149" s="5" t="s">
        <v>13319</v>
      </c>
      <c r="AH10149" s="4" t="str">
        <f>HYPERLINK("#Statut_biogéographique!A"&amp;_xlfn.XMATCH("P",Statut_biogéographique!A:A,2,1),"P")</f>
        <v>P</v>
      </c>
      <c r="AP10149" s="4" t="s">
        <v>376</v>
      </c>
      <c r="AR10149" s="4" t="s">
        <v>377</v>
      </c>
    </row>
    <row r="10150" spans="1:44">
      <c r="A10150" s="4" t="s">
        <v>10753</v>
      </c>
      <c r="B10150" s="4">
        <v>223258</v>
      </c>
      <c r="D10150" s="5" t="s">
        <v>13320</v>
      </c>
      <c r="E10150" s="6" t="str">
        <f>HYPERLINK("https://inpn.mnhn.fr/espece/cd_nom/223258","Danacea ambigua Mulsant &amp; Rey, 1868")</f>
        <v>Danacea ambigua Mulsant &amp; Rey, 1868</v>
      </c>
      <c r="AH10150" s="4" t="str">
        <f>HYPERLINK("#Statut_biogéographique!A"&amp;_xlfn.XMATCH("P",Statut_biogéographique!A:A,2,1),"P")</f>
        <v>P</v>
      </c>
      <c r="AP10150" s="4" t="s">
        <v>376</v>
      </c>
      <c r="AR10150" s="4" t="s">
        <v>377</v>
      </c>
    </row>
    <row r="10151" spans="1:44">
      <c r="A10151" s="4" t="s">
        <v>10753</v>
      </c>
      <c r="B10151" s="4">
        <v>223265</v>
      </c>
      <c r="D10151" s="5" t="s">
        <v>13321</v>
      </c>
      <c r="E10151" s="6" t="str">
        <f>HYPERLINK("https://inpn.mnhn.fr/espece/cd_nom/223265","Danacea nigritarsis (Küster, 1850)")</f>
        <v>Danacea nigritarsis (Küster, 1850)</v>
      </c>
      <c r="AH10151" s="4" t="str">
        <f>HYPERLINK("#Statut_biogéographique!A"&amp;_xlfn.XMATCH("P",Statut_biogéographique!A:A,2,1),"P")</f>
        <v>P</v>
      </c>
      <c r="AP10151" s="4" t="s">
        <v>376</v>
      </c>
      <c r="AR10151" s="4" t="s">
        <v>377</v>
      </c>
    </row>
    <row r="10152" spans="1:44">
      <c r="A10152" s="4" t="s">
        <v>10753</v>
      </c>
      <c r="B10152" s="4">
        <v>223266</v>
      </c>
      <c r="D10152" s="5" t="s">
        <v>13322</v>
      </c>
      <c r="E10152" s="6" t="str">
        <f>HYPERLINK("https://inpn.mnhn.fr/espece/cd_nom/223266","Danacea pallipes (Panzer, 1793)")</f>
        <v>Danacea pallipes (Panzer, 1793)</v>
      </c>
      <c r="AH10152" s="4" t="str">
        <f>HYPERLINK("#Statut_biogéographique!A"&amp;_xlfn.XMATCH("P",Statut_biogéographique!A:A,2,1),"P")</f>
        <v>P</v>
      </c>
      <c r="AP10152" s="4" t="s">
        <v>376</v>
      </c>
      <c r="AR10152" s="4" t="s">
        <v>377</v>
      </c>
    </row>
    <row r="10153" spans="1:44">
      <c r="A10153" s="4" t="s">
        <v>10753</v>
      </c>
      <c r="B10153" s="4">
        <v>223268</v>
      </c>
      <c r="D10153" s="5" t="s">
        <v>13323</v>
      </c>
      <c r="E10153" s="6" t="str">
        <f>HYPERLINK("https://inpn.mnhn.fr/espece/cd_nom/223268","Trichoceble floralis (Olivier, 1790)")</f>
        <v>Trichoceble floralis (Olivier, 1790)</v>
      </c>
      <c r="AH10153" s="4" t="str">
        <f>HYPERLINK("#Statut_biogéographique!A"&amp;_xlfn.XMATCH("P",Statut_biogéographique!A:A,2,1),"P")</f>
        <v>P</v>
      </c>
      <c r="AP10153" s="4" t="s">
        <v>376</v>
      </c>
      <c r="AR10153" s="4" t="s">
        <v>377</v>
      </c>
    </row>
    <row r="10154" spans="1:44">
      <c r="A10154" s="4" t="s">
        <v>10753</v>
      </c>
      <c r="B10154" s="4">
        <v>223270</v>
      </c>
      <c r="D10154" s="5" t="s">
        <v>13324</v>
      </c>
      <c r="E10154" s="6" t="str">
        <f>HYPERLINK("https://inpn.mnhn.fr/espece/cd_nom/223270","Aplocnemus alpestris Kiesenwetter, 1861")</f>
        <v>Aplocnemus alpestris Kiesenwetter, 1861</v>
      </c>
      <c r="AH10154" s="4" t="str">
        <f>HYPERLINK("#Statut_biogéographique!A"&amp;_xlfn.XMATCH("P",Statut_biogéographique!A:A,2,1),"P")</f>
        <v>P</v>
      </c>
      <c r="AP10154" s="4" t="s">
        <v>376</v>
      </c>
      <c r="AR10154" s="4" t="s">
        <v>377</v>
      </c>
    </row>
    <row r="10155" spans="1:44">
      <c r="A10155" s="4" t="s">
        <v>10753</v>
      </c>
      <c r="B10155" s="4">
        <v>223276</v>
      </c>
      <c r="D10155" s="5" t="s">
        <v>13325</v>
      </c>
      <c r="E10155" s="6" t="str">
        <f>HYPERLINK("https://inpn.mnhn.fr/espece/cd_nom/223276","Aplocnemus impressus (Marsham, 1802)")</f>
        <v>Aplocnemus impressus (Marsham, 1802)</v>
      </c>
      <c r="AH10155" s="4" t="str">
        <f>HYPERLINK("#Statut_biogéographique!A"&amp;_xlfn.XMATCH("P",Statut_biogéographique!A:A,2,1),"P")</f>
        <v>P</v>
      </c>
      <c r="AP10155" s="4" t="s">
        <v>376</v>
      </c>
      <c r="AR10155" s="4" t="s">
        <v>377</v>
      </c>
    </row>
    <row r="10156" spans="1:44">
      <c r="A10156" s="4" t="s">
        <v>10753</v>
      </c>
      <c r="B10156" s="4">
        <v>223279</v>
      </c>
      <c r="D10156" s="5" t="s">
        <v>13326</v>
      </c>
      <c r="E10156" s="6" t="str">
        <f>HYPERLINK("https://inpn.mnhn.fr/espece/cd_nom/223279","Aplocnemus nigricornis (Fabricius, 1792)")</f>
        <v>Aplocnemus nigricornis (Fabricius, 1792)</v>
      </c>
      <c r="AH10156" s="4" t="str">
        <f>HYPERLINK("#Statut_biogéographique!A"&amp;_xlfn.XMATCH("P",Statut_biogéographique!A:A,2,1),"P")</f>
        <v>P</v>
      </c>
      <c r="AP10156" s="4" t="s">
        <v>376</v>
      </c>
      <c r="AR10156" s="4" t="s">
        <v>377</v>
      </c>
    </row>
    <row r="10157" spans="1:44" ht="30">
      <c r="A10157" s="4" t="s">
        <v>10753</v>
      </c>
      <c r="B10157" s="4">
        <v>22328</v>
      </c>
      <c r="D10157" s="5" t="s">
        <v>13327</v>
      </c>
      <c r="E10157" s="6" t="str">
        <f>HYPERLINK("https://inpn.mnhn.fr/espece/cd_nom/22328","Hybomitra lurida (Fallén, 1817)")</f>
        <v>Hybomitra lurida (Fallén, 1817)</v>
      </c>
      <c r="AH10157" s="4" t="str">
        <f>HYPERLINK("#Statut_biogéographique!A"&amp;_xlfn.XMATCH("P",Statut_biogéographique!A:A,2,1),"P")</f>
        <v>P</v>
      </c>
      <c r="AP10157" s="4" t="s">
        <v>376</v>
      </c>
      <c r="AR10157" s="4" t="s">
        <v>377</v>
      </c>
    </row>
    <row r="10158" spans="1:44">
      <c r="A10158" s="4" t="s">
        <v>10753</v>
      </c>
      <c r="B10158" s="4">
        <v>223283</v>
      </c>
      <c r="D10158" s="5" t="s">
        <v>13328</v>
      </c>
      <c r="E10158" s="6" t="str">
        <f>HYPERLINK("https://inpn.mnhn.fr/espece/cd_nom/223283","Aplocnemus virens (Suffrian, 1843)")</f>
        <v>Aplocnemus virens (Suffrian, 1843)</v>
      </c>
      <c r="AH10158" s="4" t="str">
        <f>HYPERLINK("#Statut_biogéographique!A"&amp;_xlfn.XMATCH("P",Statut_biogéographique!A:A,2,1),"P")</f>
        <v>P</v>
      </c>
      <c r="AP10158" s="4" t="s">
        <v>376</v>
      </c>
      <c r="AR10158" s="4" t="s">
        <v>377</v>
      </c>
    </row>
    <row r="10159" spans="1:44">
      <c r="A10159" s="4" t="s">
        <v>10753</v>
      </c>
      <c r="B10159" s="4">
        <v>223286</v>
      </c>
      <c r="D10159" s="5">
        <v>223286</v>
      </c>
      <c r="E10159" s="6" t="str">
        <f>HYPERLINK("https://inpn.mnhn.fr/espece/cd_nom/223286","Dermestes laniarius Illiger, 1801")</f>
        <v>Dermestes laniarius Illiger, 1801</v>
      </c>
      <c r="AH10159" s="4" t="str">
        <f>HYPERLINK("#Statut_biogéographique!A"&amp;_xlfn.XMATCH("P",Statut_biogéographique!A:A,2,1),"P")</f>
        <v>P</v>
      </c>
      <c r="AP10159" s="4" t="s">
        <v>376</v>
      </c>
      <c r="AR10159" s="4" t="s">
        <v>377</v>
      </c>
    </row>
    <row r="10160" spans="1:44">
      <c r="A10160" s="4" t="s">
        <v>10753</v>
      </c>
      <c r="B10160" s="4">
        <v>223287</v>
      </c>
      <c r="D10160" s="5" t="s">
        <v>13329</v>
      </c>
      <c r="E10160" s="6" t="str">
        <f>HYPERLINK("https://inpn.mnhn.fr/espece/cd_nom/223287","Dermestes maculatus De Geer, 1774")</f>
        <v>Dermestes maculatus De Geer, 1774</v>
      </c>
      <c r="AH10160" s="4" t="str">
        <f>HYPERLINK("#Statut_biogéographique!A"&amp;_xlfn.XMATCH("C",Statut_biogéographique!A:A,2,1),"C")</f>
        <v>C</v>
      </c>
      <c r="AP10160" s="4" t="s">
        <v>376</v>
      </c>
      <c r="AR10160" s="4" t="s">
        <v>377</v>
      </c>
    </row>
    <row r="10161" spans="1:44">
      <c r="A10161" s="4" t="s">
        <v>10753</v>
      </c>
      <c r="B10161" s="4">
        <v>223288</v>
      </c>
      <c r="D10161" s="5">
        <v>223288</v>
      </c>
      <c r="E10161" s="6" t="str">
        <f>HYPERLINK("https://inpn.mnhn.fr/espece/cd_nom/223288","Dermestes murinus Linnaeus, 1758")</f>
        <v>Dermestes murinus Linnaeus, 1758</v>
      </c>
      <c r="F10161" s="5" t="s">
        <v>13330</v>
      </c>
      <c r="AH10161" s="4" t="str">
        <f>HYPERLINK("#Statut_biogéographique!A"&amp;_xlfn.XMATCH("P",Statut_biogéographique!A:A,2,1),"P")</f>
        <v>P</v>
      </c>
      <c r="AP10161" s="4" t="s">
        <v>376</v>
      </c>
      <c r="AR10161" s="4" t="s">
        <v>377</v>
      </c>
    </row>
    <row r="10162" spans="1:44" ht="30">
      <c r="A10162" s="4" t="s">
        <v>10753</v>
      </c>
      <c r="B10162" s="4">
        <v>223291</v>
      </c>
      <c r="D10162" s="5">
        <v>223291</v>
      </c>
      <c r="E10162" s="6" t="str">
        <f>HYPERLINK("https://inpn.mnhn.fr/espece/cd_nom/223291","Dermestes peruvianus Laporte de Castelnau, 1840")</f>
        <v>Dermestes peruvianus Laporte de Castelnau, 1840</v>
      </c>
      <c r="AH10162" s="4" t="str">
        <f>HYPERLINK("#Statut_biogéographique!A"&amp;_xlfn.XMATCH("I",Statut_biogéographique!A:A,2,1),"I")</f>
        <v>I</v>
      </c>
      <c r="AP10162" s="4" t="s">
        <v>376</v>
      </c>
      <c r="AR10162" s="4" t="s">
        <v>377</v>
      </c>
    </row>
    <row r="10163" spans="1:44">
      <c r="A10163" s="4" t="s">
        <v>10753</v>
      </c>
      <c r="B10163" s="4">
        <v>22330</v>
      </c>
      <c r="D10163" s="5" t="s">
        <v>13331</v>
      </c>
      <c r="E10163" s="6" t="str">
        <f>HYPERLINK("https://inpn.mnhn.fr/espece/cd_nom/22330","Hybomitra micans (Meigen, 1804)")</f>
        <v>Hybomitra micans (Meigen, 1804)</v>
      </c>
      <c r="AH10163" s="4" t="str">
        <f>HYPERLINK("#Statut_biogéographique!A"&amp;_xlfn.XMATCH("P",Statut_biogéographique!A:A,2,1),"P")</f>
        <v>P</v>
      </c>
      <c r="AP10163" s="4" t="s">
        <v>376</v>
      </c>
      <c r="AR10163" s="4" t="s">
        <v>377</v>
      </c>
    </row>
    <row r="10164" spans="1:44">
      <c r="A10164" s="4" t="s">
        <v>10753</v>
      </c>
      <c r="B10164" s="4">
        <v>223302</v>
      </c>
      <c r="D10164" s="5" t="s">
        <v>13332</v>
      </c>
      <c r="E10164" s="6" t="str">
        <f>HYPERLINK("https://inpn.mnhn.fr/espece/cd_nom/223302","Attagenus unicolor (Brahm, 1791)")</f>
        <v>Attagenus unicolor (Brahm, 1791)</v>
      </c>
      <c r="AH10164" s="4" t="str">
        <f>HYPERLINK("#Statut_biogéographique!A"&amp;_xlfn.XMATCH("P",Statut_biogéographique!A:A,2,1),"P")</f>
        <v>P</v>
      </c>
      <c r="AP10164" s="4" t="s">
        <v>376</v>
      </c>
      <c r="AR10164" s="4" t="s">
        <v>377</v>
      </c>
    </row>
    <row r="10165" spans="1:44">
      <c r="A10165" s="4" t="s">
        <v>10753</v>
      </c>
      <c r="B10165" s="4">
        <v>223303</v>
      </c>
      <c r="D10165" s="5" t="s">
        <v>13333</v>
      </c>
      <c r="E10165" s="6" t="str">
        <f>HYPERLINK("https://inpn.mnhn.fr/espece/cd_nom/223303","Trinodes hirtus (Fabricius, 1781)")</f>
        <v>Trinodes hirtus (Fabricius, 1781)</v>
      </c>
      <c r="AH10165" s="4" t="str">
        <f>HYPERLINK("#Statut_biogéographique!A"&amp;_xlfn.XMATCH("P",Statut_biogéographique!A:A,2,1),"P")</f>
        <v>P</v>
      </c>
      <c r="AP10165" s="4" t="s">
        <v>376</v>
      </c>
      <c r="AR10165" s="4" t="s">
        <v>377</v>
      </c>
    </row>
    <row r="10166" spans="1:44">
      <c r="A10166" s="4" t="s">
        <v>10753</v>
      </c>
      <c r="B10166" s="4">
        <v>223305</v>
      </c>
      <c r="D10166" s="5" t="s">
        <v>13334</v>
      </c>
      <c r="E10166" s="6" t="str">
        <f>HYPERLINK("https://inpn.mnhn.fr/espece/cd_nom/223305","Megatoma undata (Linnaeus, 1758)")</f>
        <v>Megatoma undata (Linnaeus, 1758)</v>
      </c>
      <c r="F10166" s="5" t="s">
        <v>13335</v>
      </c>
      <c r="AH10166" s="4" t="str">
        <f>HYPERLINK("#Statut_biogéographique!A"&amp;_xlfn.XMATCH("P",Statut_biogéographique!A:A,2,1),"P")</f>
        <v>P</v>
      </c>
      <c r="AP10166" s="4" t="s">
        <v>376</v>
      </c>
      <c r="AR10166" s="4" t="s">
        <v>377</v>
      </c>
    </row>
    <row r="10167" spans="1:44">
      <c r="A10167" s="4" t="s">
        <v>10753</v>
      </c>
      <c r="B10167" s="4">
        <v>223310</v>
      </c>
      <c r="D10167" s="5" t="s">
        <v>13336</v>
      </c>
      <c r="E10167" s="6" t="str">
        <f>HYPERLINK("https://inpn.mnhn.fr/espece/cd_nom/223310","Globicornis nigripes (Fabricius, 1792)")</f>
        <v>Globicornis nigripes (Fabricius, 1792)</v>
      </c>
      <c r="AH10167" s="4" t="str">
        <f>HYPERLINK("#Statut_biogéographique!A"&amp;_xlfn.XMATCH("P",Statut_biogéographique!A:A,2,1),"P")</f>
        <v>P</v>
      </c>
      <c r="AP10167" s="4" t="s">
        <v>376</v>
      </c>
      <c r="AR10167" s="4" t="s">
        <v>377</v>
      </c>
    </row>
    <row r="10168" spans="1:44">
      <c r="A10168" s="4" t="s">
        <v>10753</v>
      </c>
      <c r="B10168" s="4">
        <v>223321</v>
      </c>
      <c r="D10168" s="5" t="s">
        <v>13337</v>
      </c>
      <c r="E10168" s="6" t="str">
        <f>HYPERLINK("https://inpn.mnhn.fr/espece/cd_nom/223321","Ctesias serra (Fabricius, 1792)")</f>
        <v>Ctesias serra (Fabricius, 1792)</v>
      </c>
      <c r="AH10168" s="4" t="str">
        <f>HYPERLINK("#Statut_biogéographique!A"&amp;_xlfn.XMATCH("P",Statut_biogéographique!A:A,2,1),"P")</f>
        <v>P</v>
      </c>
      <c r="AP10168" s="4" t="s">
        <v>376</v>
      </c>
      <c r="AR10168" s="4" t="s">
        <v>377</v>
      </c>
    </row>
    <row r="10169" spans="1:44">
      <c r="A10169" s="4" t="s">
        <v>10753</v>
      </c>
      <c r="B10169" s="4">
        <v>223326</v>
      </c>
      <c r="D10169" s="5" t="s">
        <v>13338</v>
      </c>
      <c r="E10169" s="6" t="str">
        <f>HYPERLINK("https://inpn.mnhn.fr/espece/cd_nom/223326","Anthrenus pimpinellae (Fabricius, 1775)")</f>
        <v>Anthrenus pimpinellae (Fabricius, 1775)</v>
      </c>
      <c r="AH10169" s="4" t="str">
        <f>HYPERLINK("#Statut_biogéographique!A"&amp;_xlfn.XMATCH("P",Statut_biogéographique!A:A,2,1),"P")</f>
        <v>P</v>
      </c>
      <c r="AP10169" s="4" t="s">
        <v>376</v>
      </c>
      <c r="AR10169" s="4" t="s">
        <v>377</v>
      </c>
    </row>
    <row r="10170" spans="1:44">
      <c r="A10170" s="4" t="s">
        <v>10753</v>
      </c>
      <c r="B10170" s="4">
        <v>223327</v>
      </c>
      <c r="D10170" s="5" t="s">
        <v>13339</v>
      </c>
      <c r="E10170" s="6" t="str">
        <f>HYPERLINK("https://inpn.mnhn.fr/espece/cd_nom/223327","Anthrenus scrophulariae (Linnaeus, 1758)")</f>
        <v>Anthrenus scrophulariae (Linnaeus, 1758)</v>
      </c>
      <c r="F10170" s="5" t="s">
        <v>13340</v>
      </c>
      <c r="AH10170" s="4" t="str">
        <f>HYPERLINK("#Statut_biogéographique!A"&amp;_xlfn.XMATCH("P",Statut_biogéographique!A:A,2,1),"P")</f>
        <v>P</v>
      </c>
      <c r="AP10170" s="4" t="s">
        <v>376</v>
      </c>
      <c r="AR10170" s="4" t="s">
        <v>377</v>
      </c>
    </row>
    <row r="10171" spans="1:44">
      <c r="A10171" s="4" t="s">
        <v>10753</v>
      </c>
      <c r="B10171" s="4">
        <v>223329</v>
      </c>
      <c r="D10171" s="5">
        <v>223329</v>
      </c>
      <c r="E10171" s="6" t="str">
        <f>HYPERLINK("https://inpn.mnhn.fr/espece/cd_nom/223329","Anthrenus fuscus Olivier, 1790")</f>
        <v>Anthrenus fuscus Olivier, 1790</v>
      </c>
      <c r="AH10171" s="4" t="str">
        <f>HYPERLINK("#Statut_biogéographique!A"&amp;_xlfn.XMATCH("P",Statut_biogéographique!A:A,2,1),"P")</f>
        <v>P</v>
      </c>
      <c r="AP10171" s="4" t="s">
        <v>376</v>
      </c>
      <c r="AR10171" s="4" t="s">
        <v>377</v>
      </c>
    </row>
    <row r="10172" spans="1:44">
      <c r="A10172" s="4" t="s">
        <v>10753</v>
      </c>
      <c r="B10172" s="4">
        <v>223332</v>
      </c>
      <c r="D10172" s="5" t="s">
        <v>13341</v>
      </c>
      <c r="E10172" s="6" t="str">
        <f>HYPERLINK("https://inpn.mnhn.fr/espece/cd_nom/223332","Anthrenus museorum (Linnaeus, 1761)")</f>
        <v>Anthrenus museorum (Linnaeus, 1761)</v>
      </c>
      <c r="F10172" s="5" t="s">
        <v>13342</v>
      </c>
      <c r="AH10172" s="4" t="str">
        <f>HYPERLINK("#Statut_biogéographique!A"&amp;_xlfn.XMATCH("P",Statut_biogéographique!A:A,2,1),"P")</f>
        <v>P</v>
      </c>
      <c r="AP10172" s="4" t="s">
        <v>376</v>
      </c>
      <c r="AR10172" s="4" t="s">
        <v>377</v>
      </c>
    </row>
    <row r="10173" spans="1:44" ht="30">
      <c r="A10173" s="4" t="s">
        <v>10753</v>
      </c>
      <c r="B10173" s="4">
        <v>223334</v>
      </c>
      <c r="D10173" s="5" t="s">
        <v>13343</v>
      </c>
      <c r="E10173" s="6" t="str">
        <f>HYPERLINK("https://inpn.mnhn.fr/espece/cd_nom/223334","Anthrenus verbasci (Linnaeus, 1767)")</f>
        <v>Anthrenus verbasci (Linnaeus, 1767)</v>
      </c>
      <c r="F10173" s="5" t="s">
        <v>13344</v>
      </c>
      <c r="AH10173" s="4" t="str">
        <f>HYPERLINK("#Statut_biogéographique!A"&amp;_xlfn.XMATCH("P",Statut_biogéographique!A:A,2,1),"P")</f>
        <v>P</v>
      </c>
      <c r="AP10173" s="4" t="s">
        <v>376</v>
      </c>
      <c r="AR10173" s="4" t="s">
        <v>377</v>
      </c>
    </row>
    <row r="10174" spans="1:44">
      <c r="A10174" s="4" t="s">
        <v>10753</v>
      </c>
      <c r="B10174" s="4">
        <v>223337</v>
      </c>
      <c r="D10174" s="5" t="s">
        <v>13345</v>
      </c>
      <c r="E10174" s="6" t="str">
        <f>HYPERLINK("https://inpn.mnhn.fr/espece/cd_nom/223337","Laccophilus poecilus Klug, 1834")</f>
        <v>Laccophilus poecilus Klug, 1834</v>
      </c>
      <c r="AH10174" s="4" t="str">
        <f>HYPERLINK("#Statut_biogéographique!A"&amp;_xlfn.XMATCH("P",Statut_biogéographique!A:A,2,1),"P")</f>
        <v>P</v>
      </c>
      <c r="AP10174" s="4" t="s">
        <v>376</v>
      </c>
      <c r="AR10174" s="4" t="s">
        <v>377</v>
      </c>
    </row>
    <row r="10175" spans="1:44">
      <c r="A10175" s="4" t="s">
        <v>10753</v>
      </c>
      <c r="B10175" s="4">
        <v>223338</v>
      </c>
      <c r="D10175" s="5" t="s">
        <v>13346</v>
      </c>
      <c r="E10175" s="6" t="str">
        <f>HYPERLINK("https://inpn.mnhn.fr/espece/cd_nom/223338","Yola bicarinata (Latreille, 1804)")</f>
        <v>Yola bicarinata (Latreille, 1804)</v>
      </c>
      <c r="AH10175" s="4" t="str">
        <f>HYPERLINK("#Statut_biogéographique!A"&amp;_xlfn.XMATCH("P",Statut_biogéographique!A:A,2,1),"P")</f>
        <v>P</v>
      </c>
      <c r="AP10175" s="4" t="s">
        <v>376</v>
      </c>
      <c r="AR10175" s="4" t="s">
        <v>377</v>
      </c>
    </row>
    <row r="10176" spans="1:44">
      <c r="A10176" s="4" t="s">
        <v>10753</v>
      </c>
      <c r="B10176" s="4">
        <v>223339</v>
      </c>
      <c r="D10176" s="5" t="s">
        <v>13347</v>
      </c>
      <c r="E10176" s="6" t="str">
        <f>HYPERLINK("https://inpn.mnhn.fr/espece/cd_nom/223339","Hydroglyphus geminus (Fabricius, 1792)")</f>
        <v>Hydroglyphus geminus (Fabricius, 1792)</v>
      </c>
      <c r="AH10176" s="4" t="str">
        <f>HYPERLINK("#Statut_biogéographique!A"&amp;_xlfn.XMATCH("P",Statut_biogéographique!A:A,2,1),"P")</f>
        <v>P</v>
      </c>
      <c r="AP10176" s="4" t="s">
        <v>376</v>
      </c>
      <c r="AR10176" s="4" t="s">
        <v>377</v>
      </c>
    </row>
    <row r="10177" spans="1:44">
      <c r="A10177" s="4" t="s">
        <v>10753</v>
      </c>
      <c r="B10177" s="4">
        <v>22334</v>
      </c>
      <c r="D10177" s="5" t="s">
        <v>13348</v>
      </c>
      <c r="E10177" s="6" t="str">
        <f>HYPERLINK("https://inpn.mnhn.fr/espece/cd_nom/22334","Hybomitra muehlfeldi (Brauer, 1880)")</f>
        <v>Hybomitra muehlfeldi (Brauer, 1880)</v>
      </c>
      <c r="AH10177" s="4" t="str">
        <f>HYPERLINK("#Statut_biogéographique!A"&amp;_xlfn.XMATCH("P",Statut_biogéographique!A:A,2,1),"P")</f>
        <v>P</v>
      </c>
      <c r="AP10177" s="4" t="s">
        <v>376</v>
      </c>
      <c r="AR10177" s="4" t="s">
        <v>377</v>
      </c>
    </row>
    <row r="10178" spans="1:44">
      <c r="A10178" s="4" t="s">
        <v>10753</v>
      </c>
      <c r="B10178" s="4">
        <v>223343</v>
      </c>
      <c r="D10178" s="5" t="s">
        <v>13349</v>
      </c>
      <c r="E10178" s="6" t="str">
        <f>HYPERLINK("https://inpn.mnhn.fr/espece/cd_nom/223343","Bidessus grossepunctatus Vorbringer, 1907")</f>
        <v>Bidessus grossepunctatus Vorbringer, 1907</v>
      </c>
      <c r="AH10178" s="4" t="str">
        <f>HYPERLINK("#Statut_biogéographique!A"&amp;_xlfn.XMATCH("P",Statut_biogéographique!A:A,2,1),"P")</f>
        <v>P</v>
      </c>
      <c r="AP10178" s="4" t="s">
        <v>376</v>
      </c>
      <c r="AR10178" s="4" t="s">
        <v>377</v>
      </c>
    </row>
    <row r="10179" spans="1:44" ht="30">
      <c r="A10179" s="4" t="s">
        <v>10753</v>
      </c>
      <c r="B10179" s="4">
        <v>223347</v>
      </c>
      <c r="D10179" s="5" t="s">
        <v>13350</v>
      </c>
      <c r="E10179" s="6" t="str">
        <f>HYPERLINK("https://inpn.mnhn.fr/espece/cd_nom/223347","Stictotarsus duodecimpustulatus (Fabricius, 1792)")</f>
        <v>Stictotarsus duodecimpustulatus (Fabricius, 1792)</v>
      </c>
      <c r="AH10179" s="4" t="str">
        <f>HYPERLINK("#Statut_biogéographique!A"&amp;_xlfn.XMATCH("P",Statut_biogéographique!A:A,2,1),"P")</f>
        <v>P</v>
      </c>
      <c r="AP10179" s="4" t="s">
        <v>376</v>
      </c>
      <c r="AR10179" s="4" t="s">
        <v>377</v>
      </c>
    </row>
    <row r="10180" spans="1:44">
      <c r="A10180" s="4" t="s">
        <v>10753</v>
      </c>
      <c r="B10180" s="4">
        <v>223352</v>
      </c>
      <c r="D10180" s="5" t="s">
        <v>13351</v>
      </c>
      <c r="E10180" s="6" t="str">
        <f>HYPERLINK("https://inpn.mnhn.fr/espece/cd_nom/223352","Stictonectes lepidus (Olivier, 1795)")</f>
        <v>Stictonectes lepidus (Olivier, 1795)</v>
      </c>
      <c r="AH10180" s="4" t="str">
        <f>HYPERLINK("#Statut_biogéographique!A"&amp;_xlfn.XMATCH("P",Statut_biogéographique!A:A,2,1),"P")</f>
        <v>P</v>
      </c>
      <c r="AP10180" s="4" t="s">
        <v>376</v>
      </c>
      <c r="AR10180" s="4" t="s">
        <v>377</v>
      </c>
    </row>
    <row r="10181" spans="1:44">
      <c r="A10181" s="4" t="s">
        <v>10753</v>
      </c>
      <c r="B10181" s="4">
        <v>223354</v>
      </c>
      <c r="D10181" s="5" t="s">
        <v>13352</v>
      </c>
      <c r="E10181" s="6" t="str">
        <f>HYPERLINK("https://inpn.mnhn.fr/espece/cd_nom/223354","Scarodytes halensis (Fabricius, 1787)")</f>
        <v>Scarodytes halensis (Fabricius, 1787)</v>
      </c>
      <c r="AH10181" s="4" t="str">
        <f>HYPERLINK("#Statut_biogéographique!A"&amp;_xlfn.XMATCH("P",Statut_biogéographique!A:A,2,1),"P")</f>
        <v>P</v>
      </c>
      <c r="AP10181" s="4" t="s">
        <v>376</v>
      </c>
      <c r="AR10181" s="4" t="s">
        <v>377</v>
      </c>
    </row>
    <row r="10182" spans="1:44">
      <c r="A10182" s="4" t="s">
        <v>10753</v>
      </c>
      <c r="B10182" s="4">
        <v>223359</v>
      </c>
      <c r="D10182" s="5" t="s">
        <v>13353</v>
      </c>
      <c r="E10182" s="6" t="str">
        <f>HYPERLINK("https://inpn.mnhn.fr/espece/cd_nom/223359","Porhydrus lineatus (Fabricius, 1775)")</f>
        <v>Porhydrus lineatus (Fabricius, 1775)</v>
      </c>
      <c r="AH10182" s="4" t="str">
        <f>HYPERLINK("#Statut_biogéographique!A"&amp;_xlfn.XMATCH("P",Statut_biogéographique!A:A,2,1),"P")</f>
        <v>P</v>
      </c>
      <c r="AP10182" s="4" t="s">
        <v>376</v>
      </c>
      <c r="AR10182" s="4" t="s">
        <v>377</v>
      </c>
    </row>
    <row r="10183" spans="1:44" ht="30">
      <c r="A10183" s="4" t="s">
        <v>10753</v>
      </c>
      <c r="B10183" s="4">
        <v>22336</v>
      </c>
      <c r="D10183" s="5" t="s">
        <v>13354</v>
      </c>
      <c r="E10183" s="6" t="str">
        <f>HYPERLINK("https://inpn.mnhn.fr/espece/cd_nom/22336","Atylotus fulvus (Meigen, 1804)")</f>
        <v>Atylotus fulvus (Meigen, 1804)</v>
      </c>
      <c r="AH10183" s="4" t="str">
        <f>HYPERLINK("#Statut_biogéographique!A"&amp;_xlfn.XMATCH("P",Statut_biogéographique!A:A,2,1),"P")</f>
        <v>P</v>
      </c>
      <c r="AP10183" s="4" t="s">
        <v>376</v>
      </c>
      <c r="AR10183" s="4" t="s">
        <v>377</v>
      </c>
    </row>
    <row r="10184" spans="1:44">
      <c r="A10184" s="4" t="s">
        <v>10753</v>
      </c>
      <c r="B10184" s="4">
        <v>223365</v>
      </c>
      <c r="D10184" s="5" t="s">
        <v>13355</v>
      </c>
      <c r="E10184" s="6" t="str">
        <f>HYPERLINK("https://inpn.mnhn.fr/espece/cd_nom/223365","Nebrioporus elegans (Panzer, 1794)")</f>
        <v>Nebrioporus elegans (Panzer, 1794)</v>
      </c>
      <c r="AH10184" s="4" t="str">
        <f>HYPERLINK("#Statut_biogéographique!A"&amp;_xlfn.XMATCH("P",Statut_biogéographique!A:A,2,1),"P")</f>
        <v>P</v>
      </c>
      <c r="AP10184" s="4" t="s">
        <v>376</v>
      </c>
      <c r="AR10184" s="4" t="s">
        <v>377</v>
      </c>
    </row>
    <row r="10185" spans="1:44">
      <c r="A10185" s="4" t="s">
        <v>10753</v>
      </c>
      <c r="B10185" s="4">
        <v>223369</v>
      </c>
      <c r="D10185" s="5" t="s">
        <v>13356</v>
      </c>
      <c r="E10185" s="6" t="str">
        <f>HYPERLINK("https://inpn.mnhn.fr/espece/cd_nom/223369","Nebrioporus canaliculatus (Lacordaire, 1835)")</f>
        <v>Nebrioporus canaliculatus (Lacordaire, 1835)</v>
      </c>
      <c r="AH10185" s="4" t="str">
        <f>HYPERLINK("#Statut_biogéographique!A"&amp;_xlfn.XMATCH("P",Statut_biogéographique!A:A,2,1),"P")</f>
        <v>P</v>
      </c>
      <c r="AP10185" s="4" t="s">
        <v>376</v>
      </c>
      <c r="AR10185" s="4" t="s">
        <v>377</v>
      </c>
    </row>
    <row r="10186" spans="1:44" ht="30">
      <c r="A10186" s="4" t="s">
        <v>10753</v>
      </c>
      <c r="B10186" s="4">
        <v>223374</v>
      </c>
      <c r="D10186" s="5">
        <v>223374</v>
      </c>
      <c r="E10186" s="6" t="str">
        <f>HYPERLINK("https://inpn.mnhn.fr/espece/cd_nom/223374","Hydroporus discretus Fairmaire &amp; Ch. Brisout, 1859")</f>
        <v>Hydroporus discretus Fairmaire &amp; Ch. Brisout, 1859</v>
      </c>
      <c r="AH10186" s="4" t="str">
        <f>HYPERLINK("#Statut_biogéographique!A"&amp;_xlfn.XMATCH("P",Statut_biogéographique!A:A,2,1),"P")</f>
        <v>P</v>
      </c>
      <c r="AP10186" s="4" t="s">
        <v>376</v>
      </c>
      <c r="AR10186" s="4" t="s">
        <v>377</v>
      </c>
    </row>
    <row r="10187" spans="1:44">
      <c r="A10187" s="4" t="s">
        <v>10753</v>
      </c>
      <c r="B10187" s="4">
        <v>223376</v>
      </c>
      <c r="D10187" s="5">
        <v>223376</v>
      </c>
      <c r="E10187" s="6" t="str">
        <f>HYPERLINK("https://inpn.mnhn.fr/espece/cd_nom/223376","Hydroporus ferrugineus Stephens, 1829")</f>
        <v>Hydroporus ferrugineus Stephens, 1829</v>
      </c>
      <c r="AH10187" s="4" t="str">
        <f>HYPERLINK("#Statut_biogéographique!A"&amp;_xlfn.XMATCH("P",Statut_biogéographique!A:A,2,1),"P")</f>
        <v>P</v>
      </c>
      <c r="AP10187" s="4" t="s">
        <v>376</v>
      </c>
      <c r="AR10187" s="4" t="s">
        <v>377</v>
      </c>
    </row>
    <row r="10188" spans="1:44">
      <c r="A10188" s="4" t="s">
        <v>10753</v>
      </c>
      <c r="B10188" s="4">
        <v>223379</v>
      </c>
      <c r="D10188" s="5">
        <v>223379</v>
      </c>
      <c r="E10188" s="6" t="str">
        <f>HYPERLINK("https://inpn.mnhn.fr/espece/cd_nom/223379","Hydroporus gyllenhalii Schiødte, 1841")</f>
        <v>Hydroporus gyllenhalii Schiødte, 1841</v>
      </c>
      <c r="AH10188" s="4" t="str">
        <f>HYPERLINK("#Statut_biogéographique!A"&amp;_xlfn.XMATCH("P",Statut_biogéographique!A:A,2,1),"P")</f>
        <v>P</v>
      </c>
      <c r="AP10188" s="4" t="s">
        <v>376</v>
      </c>
      <c r="AR10188" s="4" t="s">
        <v>377</v>
      </c>
    </row>
    <row r="10189" spans="1:44" ht="30">
      <c r="A10189" s="4" t="s">
        <v>10753</v>
      </c>
      <c r="B10189" s="4">
        <v>22338</v>
      </c>
      <c r="D10189" s="5" t="s">
        <v>13357</v>
      </c>
      <c r="E10189" s="6" t="str">
        <f>HYPERLINK("https://inpn.mnhn.fr/espece/cd_nom/22338","Atylotus rusticus (Linnaeus, 1761)")</f>
        <v>Atylotus rusticus (Linnaeus, 1761)</v>
      </c>
      <c r="AH10189" s="4" t="str">
        <f>HYPERLINK("#Statut_biogéographique!A"&amp;_xlfn.XMATCH("P",Statut_biogéographique!A:A,2,1),"P")</f>
        <v>P</v>
      </c>
      <c r="AP10189" s="4" t="s">
        <v>376</v>
      </c>
      <c r="AR10189" s="4" t="s">
        <v>377</v>
      </c>
    </row>
    <row r="10190" spans="1:44">
      <c r="A10190" s="4" t="s">
        <v>10753</v>
      </c>
      <c r="B10190" s="4">
        <v>223382</v>
      </c>
      <c r="D10190" s="5">
        <v>223382</v>
      </c>
      <c r="E10190" s="6" t="str">
        <f>HYPERLINK("https://inpn.mnhn.fr/espece/cd_nom/223382","Hydroporus longicornis Sharp, 1871")</f>
        <v>Hydroporus longicornis Sharp, 1871</v>
      </c>
      <c r="AH10190" s="4" t="str">
        <f>HYPERLINK("#Statut_biogéographique!A"&amp;_xlfn.XMATCH("P",Statut_biogéographique!A:A,2,1),"P")</f>
        <v>P</v>
      </c>
      <c r="AP10190" s="4" t="s">
        <v>376</v>
      </c>
      <c r="AR10190" s="4" t="s">
        <v>377</v>
      </c>
    </row>
    <row r="10191" spans="1:44">
      <c r="A10191" s="4" t="s">
        <v>10753</v>
      </c>
      <c r="B10191" s="4">
        <v>223388</v>
      </c>
      <c r="D10191" s="5" t="s">
        <v>13358</v>
      </c>
      <c r="E10191" s="6" t="str">
        <f>HYPERLINK("https://inpn.mnhn.fr/espece/cd_nom/223388","Hydroporus nigrita (Fabricius, 1792)")</f>
        <v>Hydroporus nigrita (Fabricius, 1792)</v>
      </c>
      <c r="AH10191" s="4" t="str">
        <f>HYPERLINK("#Statut_biogéographique!A"&amp;_xlfn.XMATCH("P",Statut_biogéographique!A:A,2,1),"P")</f>
        <v>P</v>
      </c>
      <c r="AP10191" s="4" t="s">
        <v>376</v>
      </c>
      <c r="AR10191" s="4" t="s">
        <v>377</v>
      </c>
    </row>
    <row r="10192" spans="1:44">
      <c r="A10192" s="4" t="s">
        <v>10753</v>
      </c>
      <c r="B10192" s="4">
        <v>22339</v>
      </c>
      <c r="D10192" s="5" t="s">
        <v>13359</v>
      </c>
      <c r="E10192" s="6" t="str">
        <f>HYPERLINK("https://inpn.mnhn.fr/espece/cd_nom/22339","Atylotus sublunaticornis (Zetterstedt, 1842)")</f>
        <v>Atylotus sublunaticornis (Zetterstedt, 1842)</v>
      </c>
      <c r="AH10192" s="4" t="str">
        <f>HYPERLINK("#Statut_biogéographique!A"&amp;_xlfn.XMATCH("P",Statut_biogéographique!A:A,2,1),"P")</f>
        <v>P</v>
      </c>
      <c r="AP10192" s="4" t="s">
        <v>376</v>
      </c>
      <c r="AR10192" s="4" t="s">
        <v>377</v>
      </c>
    </row>
    <row r="10193" spans="1:44">
      <c r="A10193" s="4" t="s">
        <v>10753</v>
      </c>
      <c r="B10193" s="4">
        <v>223394</v>
      </c>
      <c r="D10193" s="5" t="s">
        <v>13360</v>
      </c>
      <c r="E10193" s="6" t="str">
        <f>HYPERLINK("https://inpn.mnhn.fr/espece/cd_nom/223394","Hydroporus rufifrons (O.F. Müller, 1776)")</f>
        <v>Hydroporus rufifrons (O.F. Müller, 1776)</v>
      </c>
      <c r="AH10193" s="4" t="str">
        <f>HYPERLINK("#Statut_biogéographique!A"&amp;_xlfn.XMATCH("P",Statut_biogéographique!A:A,2,1),"P")</f>
        <v>P</v>
      </c>
      <c r="AP10193" s="4" t="s">
        <v>376</v>
      </c>
      <c r="AR10193" s="4" t="s">
        <v>377</v>
      </c>
    </row>
    <row r="10194" spans="1:44">
      <c r="A10194" s="4" t="s">
        <v>10753</v>
      </c>
      <c r="B10194" s="4">
        <v>223395</v>
      </c>
      <c r="D10194" s="5">
        <v>223395</v>
      </c>
      <c r="E10194" s="6" t="str">
        <f>HYPERLINK("https://inpn.mnhn.fr/espece/cd_nom/223395","Hydroporus scalesianus Stephens, 1828")</f>
        <v>Hydroporus scalesianus Stephens, 1828</v>
      </c>
      <c r="AH10194" s="4" t="str">
        <f>HYPERLINK("#Statut_biogéographique!A"&amp;_xlfn.XMATCH("P",Statut_biogéographique!A:A,2,1),"P")</f>
        <v>P</v>
      </c>
      <c r="AP10194" s="4" t="s">
        <v>376</v>
      </c>
      <c r="AR10194" s="4" t="s">
        <v>377</v>
      </c>
    </row>
    <row r="10195" spans="1:44">
      <c r="A10195" s="4" t="s">
        <v>10753</v>
      </c>
      <c r="B10195" s="4">
        <v>223396</v>
      </c>
      <c r="D10195" s="5" t="s">
        <v>13361</v>
      </c>
      <c r="E10195" s="6" t="str">
        <f>HYPERLINK("https://inpn.mnhn.fr/espece/cd_nom/223396","Hydroporus striola (Gyllenhal, 1826)")</f>
        <v>Hydroporus striola (Gyllenhal, 1826)</v>
      </c>
      <c r="AH10195" s="4" t="str">
        <f>HYPERLINK("#Statut_biogéographique!A"&amp;_xlfn.XMATCH("P",Statut_biogéographique!A:A,2,1),"P")</f>
        <v>P</v>
      </c>
      <c r="AP10195" s="4" t="s">
        <v>376</v>
      </c>
      <c r="AR10195" s="4" t="s">
        <v>377</v>
      </c>
    </row>
    <row r="10196" spans="1:44">
      <c r="A10196" s="4" t="s">
        <v>10753</v>
      </c>
      <c r="B10196" s="4">
        <v>223397</v>
      </c>
      <c r="D10196" s="5" t="s">
        <v>13362</v>
      </c>
      <c r="E10196" s="6" t="str">
        <f>HYPERLINK("https://inpn.mnhn.fr/espece/cd_nom/223397","Hydroporus tessellatus (Drapiez, 1819)")</f>
        <v>Hydroporus tessellatus (Drapiez, 1819)</v>
      </c>
      <c r="AH10196" s="4" t="str">
        <f>HYPERLINK("#Statut_biogéographique!A"&amp;_xlfn.XMATCH("P",Statut_biogéographique!A:A,2,1),"P")</f>
        <v>P</v>
      </c>
      <c r="AP10196" s="4" t="s">
        <v>376</v>
      </c>
      <c r="AR10196" s="4" t="s">
        <v>377</v>
      </c>
    </row>
    <row r="10197" spans="1:44">
      <c r="A10197" s="4" t="s">
        <v>10753</v>
      </c>
      <c r="B10197" s="4">
        <v>223399</v>
      </c>
      <c r="D10197" s="5" t="s">
        <v>13363</v>
      </c>
      <c r="E10197" s="6" t="str">
        <f>HYPERLINK("https://inpn.mnhn.fr/espece/cd_nom/223399","Graptodytes flavipes (Olivier, 1795)")</f>
        <v>Graptodytes flavipes (Olivier, 1795)</v>
      </c>
      <c r="AH10197" s="4" t="str">
        <f>HYPERLINK("#Statut_biogéographique!A"&amp;_xlfn.XMATCH("P",Statut_biogéographique!A:A,2,1),"P")</f>
        <v>P</v>
      </c>
      <c r="AP10197" s="4" t="s">
        <v>376</v>
      </c>
      <c r="AR10197" s="4" t="s">
        <v>377</v>
      </c>
    </row>
    <row r="10198" spans="1:44">
      <c r="A10198" s="4" t="s">
        <v>10753</v>
      </c>
      <c r="B10198" s="4">
        <v>223401</v>
      </c>
      <c r="D10198" s="5" t="s">
        <v>13364</v>
      </c>
      <c r="E10198" s="6" t="str">
        <f>HYPERLINK("https://inpn.mnhn.fr/espece/cd_nom/223401","Graptodytes granularis (Linnaeus, 1767)")</f>
        <v>Graptodytes granularis (Linnaeus, 1767)</v>
      </c>
      <c r="AH10198" s="4" t="str">
        <f>HYPERLINK("#Statut_biogéographique!A"&amp;_xlfn.XMATCH("P",Statut_biogéographique!A:A,2,1),"P")</f>
        <v>P</v>
      </c>
      <c r="AP10198" s="4" t="s">
        <v>376</v>
      </c>
      <c r="AR10198" s="4" t="s">
        <v>377</v>
      </c>
    </row>
    <row r="10199" spans="1:44">
      <c r="A10199" s="4" t="s">
        <v>10753</v>
      </c>
      <c r="B10199" s="4">
        <v>223403</v>
      </c>
      <c r="D10199" s="5" t="s">
        <v>13365</v>
      </c>
      <c r="E10199" s="6" t="str">
        <f>HYPERLINK("https://inpn.mnhn.fr/espece/cd_nom/223403","Graptodytes pictus (Fabricius, 1787)")</f>
        <v>Graptodytes pictus (Fabricius, 1787)</v>
      </c>
      <c r="AH10199" s="4" t="str">
        <f>HYPERLINK("#Statut_biogéographique!A"&amp;_xlfn.XMATCH("P",Statut_biogéographique!A:A,2,1),"P")</f>
        <v>P</v>
      </c>
      <c r="AP10199" s="4" t="s">
        <v>376</v>
      </c>
      <c r="AR10199" s="4" t="s">
        <v>377</v>
      </c>
    </row>
    <row r="10200" spans="1:44">
      <c r="A10200" s="4" t="s">
        <v>10753</v>
      </c>
      <c r="B10200" s="4">
        <v>223409</v>
      </c>
      <c r="D10200" s="5" t="s">
        <v>13366</v>
      </c>
      <c r="E10200" s="6" t="str">
        <f>HYPERLINK("https://inpn.mnhn.fr/espece/cd_nom/223409","Deronectes opatrinus (Germar, 1823)")</f>
        <v>Deronectes opatrinus (Germar, 1823)</v>
      </c>
      <c r="AH10200" s="4" t="str">
        <f>HYPERLINK("#Statut_biogéographique!A"&amp;_xlfn.XMATCH("P",Statut_biogéographique!A:A,2,1),"P")</f>
        <v>P</v>
      </c>
      <c r="AP10200" s="4" t="s">
        <v>376</v>
      </c>
      <c r="AR10200" s="4" t="s">
        <v>377</v>
      </c>
    </row>
    <row r="10201" spans="1:44">
      <c r="A10201" s="4" t="s">
        <v>10753</v>
      </c>
      <c r="B10201" s="4">
        <v>223411</v>
      </c>
      <c r="D10201" s="5">
        <v>223411</v>
      </c>
      <c r="E10201" s="6" t="str">
        <f>HYPERLINK("https://inpn.mnhn.fr/espece/cd_nom/223411","Hydrovatus clypealis Sharp, 1876")</f>
        <v>Hydrovatus clypealis Sharp, 1876</v>
      </c>
      <c r="AH10201" s="4" t="str">
        <f>HYPERLINK("#Statut_biogéographique!A"&amp;_xlfn.XMATCH("P",Statut_biogéographique!A:A,2,1),"P")</f>
        <v>P</v>
      </c>
      <c r="AP10201" s="4" t="s">
        <v>376</v>
      </c>
      <c r="AR10201" s="4" t="s">
        <v>377</v>
      </c>
    </row>
    <row r="10202" spans="1:44">
      <c r="A10202" s="4" t="s">
        <v>10753</v>
      </c>
      <c r="B10202" s="4">
        <v>223412</v>
      </c>
      <c r="D10202" s="5" t="s">
        <v>13367</v>
      </c>
      <c r="E10202" s="6" t="str">
        <f>HYPERLINK("https://inpn.mnhn.fr/espece/cd_nom/223412","Hydrovatus cuspidatus Kunze, 1818")</f>
        <v>Hydrovatus cuspidatus Kunze, 1818</v>
      </c>
      <c r="AH10202" s="4" t="str">
        <f>HYPERLINK("#Statut_biogéographique!A"&amp;_xlfn.XMATCH("P",Statut_biogéographique!A:A,2,1),"P")</f>
        <v>P</v>
      </c>
      <c r="AP10202" s="4" t="s">
        <v>376</v>
      </c>
      <c r="AR10202" s="4" t="s">
        <v>377</v>
      </c>
    </row>
    <row r="10203" spans="1:44">
      <c r="A10203" s="4" t="s">
        <v>10753</v>
      </c>
      <c r="B10203" s="4">
        <v>223413</v>
      </c>
      <c r="D10203" s="5" t="s">
        <v>13368</v>
      </c>
      <c r="E10203" s="6" t="str">
        <f>HYPERLINK("https://inpn.mnhn.fr/espece/cd_nom/223413","Hygrotus confluens (Fabricius, 1787)")</f>
        <v>Hygrotus confluens (Fabricius, 1787)</v>
      </c>
      <c r="AH10203" s="4" t="str">
        <f>HYPERLINK("#Statut_biogéographique!A"&amp;_xlfn.XMATCH("P",Statut_biogéographique!A:A,2,1),"P")</f>
        <v>P</v>
      </c>
      <c r="AP10203" s="4" t="s">
        <v>376</v>
      </c>
      <c r="AR10203" s="4" t="s">
        <v>377</v>
      </c>
    </row>
    <row r="10204" spans="1:44">
      <c r="A10204" s="4" t="s">
        <v>10753</v>
      </c>
      <c r="B10204" s="4">
        <v>223414</v>
      </c>
      <c r="D10204" s="5" t="s">
        <v>13369</v>
      </c>
      <c r="E10204" s="6" t="str">
        <f>HYPERLINK("https://inpn.mnhn.fr/espece/cd_nom/223414","Hygrotus impressopunctatus (Schaller, 1783)")</f>
        <v>Hygrotus impressopunctatus (Schaller, 1783)</v>
      </c>
      <c r="AH10204" s="4" t="str">
        <f>HYPERLINK("#Statut_biogéographique!A"&amp;_xlfn.XMATCH("P",Statut_biogéographique!A:A,2,1),"P")</f>
        <v>P</v>
      </c>
      <c r="AP10204" s="4" t="s">
        <v>376</v>
      </c>
      <c r="AR10204" s="4" t="s">
        <v>377</v>
      </c>
    </row>
    <row r="10205" spans="1:44">
      <c r="A10205" s="4" t="s">
        <v>10753</v>
      </c>
      <c r="B10205" s="4">
        <v>223416</v>
      </c>
      <c r="D10205" s="5" t="s">
        <v>13370</v>
      </c>
      <c r="E10205" s="6" t="str">
        <f>HYPERLINK("https://inpn.mnhn.fr/espece/cd_nom/223416","Hygrotus nigrolineatus (Steven, 1808)")</f>
        <v>Hygrotus nigrolineatus (Steven, 1808)</v>
      </c>
      <c r="AH10205" s="4" t="str">
        <f>HYPERLINK("#Statut_biogéographique!A"&amp;_xlfn.XMATCH("P",Statut_biogéographique!A:A,2,1),"P")</f>
        <v>P</v>
      </c>
      <c r="AP10205" s="4" t="s">
        <v>376</v>
      </c>
      <c r="AR10205" s="4" t="s">
        <v>377</v>
      </c>
    </row>
    <row r="10206" spans="1:44">
      <c r="A10206" s="4" t="s">
        <v>10753</v>
      </c>
      <c r="B10206" s="4">
        <v>223420</v>
      </c>
      <c r="D10206" s="5" t="s">
        <v>13371</v>
      </c>
      <c r="E10206" s="6" t="str">
        <f>HYPERLINK("https://inpn.mnhn.fr/espece/cd_nom/223420","Hygrotus versicolor (Schaller, 1783)")</f>
        <v>Hygrotus versicolor (Schaller, 1783)</v>
      </c>
      <c r="AH10206" s="4" t="str">
        <f>HYPERLINK("#Statut_biogéographique!A"&amp;_xlfn.XMATCH("P",Statut_biogéographique!A:A,2,1),"P")</f>
        <v>P</v>
      </c>
      <c r="AP10206" s="4" t="s">
        <v>376</v>
      </c>
      <c r="AR10206" s="4" t="s">
        <v>377</v>
      </c>
    </row>
    <row r="10207" spans="1:44">
      <c r="A10207" s="4" t="s">
        <v>10753</v>
      </c>
      <c r="B10207" s="4">
        <v>223422</v>
      </c>
      <c r="D10207" s="5" t="s">
        <v>13372</v>
      </c>
      <c r="E10207" s="6" t="str">
        <f>HYPERLINK("https://inpn.mnhn.fr/espece/cd_nom/223422","Hyphydrus ovatus (Linnaeus, 1761)")</f>
        <v>Hyphydrus ovatus (Linnaeus, 1761)</v>
      </c>
      <c r="AH10207" s="4" t="str">
        <f>HYPERLINK("#Statut_biogéographique!A"&amp;_xlfn.XMATCH("P",Statut_biogéographique!A:A,2,1),"P")</f>
        <v>P</v>
      </c>
      <c r="AP10207" s="4" t="s">
        <v>376</v>
      </c>
      <c r="AR10207" s="4" t="s">
        <v>377</v>
      </c>
    </row>
    <row r="10208" spans="1:44">
      <c r="A10208" s="4" t="s">
        <v>10753</v>
      </c>
      <c r="B10208" s="4">
        <v>223423</v>
      </c>
      <c r="D10208" s="5" t="s">
        <v>13373</v>
      </c>
      <c r="E10208" s="6" t="str">
        <f>HYPERLINK("https://inpn.mnhn.fr/espece/cd_nom/223423","Laccornis oblongus (Stephens, 1835)")</f>
        <v>Laccornis oblongus (Stephens, 1835)</v>
      </c>
      <c r="AH10208" s="4" t="str">
        <f>HYPERLINK("#Statut_biogéographique!A"&amp;_xlfn.XMATCH("P",Statut_biogéographique!A:A,2,1),"P")</f>
        <v>P</v>
      </c>
      <c r="AP10208" s="4" t="s">
        <v>376</v>
      </c>
      <c r="AR10208" s="4" t="s">
        <v>377</v>
      </c>
    </row>
    <row r="10209" spans="1:44">
      <c r="A10209" s="4" t="s">
        <v>10753</v>
      </c>
      <c r="B10209" s="4">
        <v>223424</v>
      </c>
      <c r="D10209" s="5" t="s">
        <v>13374</v>
      </c>
      <c r="E10209" s="6" t="str">
        <f>HYPERLINK("https://inpn.mnhn.fr/espece/cd_nom/223424","Graphoderus zonatus (Hoppe, 1795)")</f>
        <v>Graphoderus zonatus (Hoppe, 1795)</v>
      </c>
      <c r="AH10209" s="4" t="str">
        <f>HYPERLINK("#Statut_biogéographique!A"&amp;_xlfn.XMATCH("P",Statut_biogéographique!A:A,2,1),"P")</f>
        <v>P</v>
      </c>
      <c r="AP10209" s="4" t="s">
        <v>376</v>
      </c>
      <c r="AR10209" s="4" t="s">
        <v>377</v>
      </c>
    </row>
    <row r="10210" spans="1:44">
      <c r="A10210" s="4" t="s">
        <v>10753</v>
      </c>
      <c r="B10210" s="4">
        <v>223427</v>
      </c>
      <c r="D10210" s="5" t="s">
        <v>13375</v>
      </c>
      <c r="E10210" s="6" t="str">
        <f>HYPERLINK("https://inpn.mnhn.fr/espece/cd_nom/223427","Cybister lateralimarginalis (De Geer, 1774)")</f>
        <v>Cybister lateralimarginalis (De Geer, 1774)</v>
      </c>
      <c r="F10210" s="5" t="s">
        <v>13376</v>
      </c>
      <c r="AH10210" s="4" t="str">
        <f>HYPERLINK("#Statut_biogéographique!A"&amp;_xlfn.XMATCH("P",Statut_biogéographique!A:A,2,1),"P")</f>
        <v>P</v>
      </c>
      <c r="AP10210" s="4" t="s">
        <v>376</v>
      </c>
      <c r="AR10210" s="4" t="s">
        <v>377</v>
      </c>
    </row>
    <row r="10211" spans="1:44">
      <c r="A10211" s="4" t="s">
        <v>10753</v>
      </c>
      <c r="B10211" s="4">
        <v>223428</v>
      </c>
      <c r="D10211" s="5">
        <v>223428</v>
      </c>
      <c r="E10211" s="6" t="str">
        <f>HYPERLINK("https://inpn.mnhn.fr/espece/cd_nom/223428","Dytiscus circumcinctus Ahrens, 1811")</f>
        <v>Dytiscus circumcinctus Ahrens, 1811</v>
      </c>
      <c r="F10211" s="5" t="s">
        <v>13377</v>
      </c>
      <c r="AH10211" s="4" t="str">
        <f>HYPERLINK("#Statut_biogéographique!A"&amp;_xlfn.XMATCH("P",Statut_biogéographique!A:A,2,1),"P")</f>
        <v>P</v>
      </c>
      <c r="AP10211" s="4" t="s">
        <v>376</v>
      </c>
      <c r="AR10211" s="4" t="s">
        <v>377</v>
      </c>
    </row>
    <row r="10212" spans="1:44" ht="30">
      <c r="A10212" s="4" t="s">
        <v>10753</v>
      </c>
      <c r="B10212" s="4">
        <v>22343</v>
      </c>
      <c r="D10212" s="5" t="s">
        <v>13378</v>
      </c>
      <c r="E10212" s="6" t="str">
        <f>HYPERLINK("https://inpn.mnhn.fr/espece/cd_nom/22343","Therioplectes gigas (Herbst, 1787)")</f>
        <v>Therioplectes gigas (Herbst, 1787)</v>
      </c>
      <c r="AH10212" s="4" t="str">
        <f>HYPERLINK("#Statut_biogéographique!A"&amp;_xlfn.XMATCH("P",Statut_biogéographique!A:A,2,1),"P")</f>
        <v>P</v>
      </c>
      <c r="AP10212" s="4" t="s">
        <v>376</v>
      </c>
      <c r="AR10212" s="4" t="s">
        <v>377</v>
      </c>
    </row>
    <row r="10213" spans="1:44">
      <c r="A10213" s="4" t="s">
        <v>10753</v>
      </c>
      <c r="B10213" s="4">
        <v>223430</v>
      </c>
      <c r="D10213" s="5" t="s">
        <v>13379</v>
      </c>
      <c r="E10213" s="6" t="str">
        <f>HYPERLINK("https://inpn.mnhn.fr/espece/cd_nom/223430","Dytiscus pisanus Laporte de Castelnau, 1835")</f>
        <v>Dytiscus pisanus Laporte de Castelnau, 1835</v>
      </c>
      <c r="AH10213" s="4" t="str">
        <f>HYPERLINK("#Statut_biogéographique!A"&amp;_xlfn.XMATCH("P",Statut_biogéographique!A:A,2,1),"P")</f>
        <v>P</v>
      </c>
      <c r="AP10213" s="4" t="s">
        <v>376</v>
      </c>
      <c r="AR10213" s="4" t="s">
        <v>377</v>
      </c>
    </row>
    <row r="10214" spans="1:44">
      <c r="A10214" s="4" t="s">
        <v>10753</v>
      </c>
      <c r="B10214" s="4">
        <v>223436</v>
      </c>
      <c r="D10214" s="5" t="s">
        <v>13380</v>
      </c>
      <c r="E10214" s="6" t="str">
        <f>HYPERLINK("https://inpn.mnhn.fr/espece/cd_nom/223436","Hydaticus transversalis (Pontoppidan, 1763)")</f>
        <v>Hydaticus transversalis (Pontoppidan, 1763)</v>
      </c>
      <c r="AH10214" s="4" t="str">
        <f>HYPERLINK("#Statut_biogéographique!A"&amp;_xlfn.XMATCH("P",Statut_biogéographique!A:A,2,1),"P")</f>
        <v>P</v>
      </c>
      <c r="AP10214" s="4" t="s">
        <v>376</v>
      </c>
      <c r="AR10214" s="4" t="s">
        <v>377</v>
      </c>
    </row>
    <row r="10215" spans="1:44">
      <c r="A10215" s="4" t="s">
        <v>10753</v>
      </c>
      <c r="B10215" s="4">
        <v>223440</v>
      </c>
      <c r="D10215" s="5" t="s">
        <v>13381</v>
      </c>
      <c r="E10215" s="6" t="str">
        <f>HYPERLINK("https://inpn.mnhn.fr/espece/cd_nom/223440","Rhantus bistriatus (Bergsträsser, 1778)")</f>
        <v>Rhantus bistriatus (Bergsträsser, 1778)</v>
      </c>
      <c r="AH10215" s="4" t="str">
        <f>HYPERLINK("#Statut_biogéographique!A"&amp;_xlfn.XMATCH("P",Statut_biogéographique!A:A,2,1),"P")</f>
        <v>P</v>
      </c>
      <c r="AP10215" s="4" t="s">
        <v>376</v>
      </c>
      <c r="AR10215" s="4" t="s">
        <v>377</v>
      </c>
    </row>
    <row r="10216" spans="1:44">
      <c r="A10216" s="4" t="s">
        <v>10753</v>
      </c>
      <c r="B10216" s="4">
        <v>223442</v>
      </c>
      <c r="D10216" s="5" t="s">
        <v>13382</v>
      </c>
      <c r="E10216" s="6" t="str">
        <f>HYPERLINK("https://inpn.mnhn.fr/espece/cd_nom/223442","Rhantus exsoletus (Forster, 1771)")</f>
        <v>Rhantus exsoletus (Forster, 1771)</v>
      </c>
      <c r="AH10216" s="4" t="str">
        <f>HYPERLINK("#Statut_biogéographique!A"&amp;_xlfn.XMATCH("P",Statut_biogéographique!A:A,2,1),"P")</f>
        <v>P</v>
      </c>
      <c r="AP10216" s="4" t="s">
        <v>376</v>
      </c>
      <c r="AR10216" s="4" t="s">
        <v>377</v>
      </c>
    </row>
    <row r="10217" spans="1:44">
      <c r="A10217" s="4" t="s">
        <v>10753</v>
      </c>
      <c r="B10217" s="4">
        <v>223443</v>
      </c>
      <c r="D10217" s="5" t="s">
        <v>13383</v>
      </c>
      <c r="E10217" s="6" t="str">
        <f>HYPERLINK("https://inpn.mnhn.fr/espece/cd_nom/223443","Rhantus frontalis (Marsham, 1802)")</f>
        <v>Rhantus frontalis (Marsham, 1802)</v>
      </c>
      <c r="AH10217" s="4" t="str">
        <f>HYPERLINK("#Statut_biogéographique!A"&amp;_xlfn.XMATCH("P",Statut_biogéographique!A:A,2,1),"P")</f>
        <v>P</v>
      </c>
      <c r="AP10217" s="4" t="s">
        <v>376</v>
      </c>
      <c r="AR10217" s="4" t="s">
        <v>377</v>
      </c>
    </row>
    <row r="10218" spans="1:44">
      <c r="A10218" s="4" t="s">
        <v>10753</v>
      </c>
      <c r="B10218" s="4">
        <v>223447</v>
      </c>
      <c r="D10218" s="5" t="s">
        <v>13384</v>
      </c>
      <c r="E10218" s="6" t="str">
        <f>HYPERLINK("https://inpn.mnhn.fr/espece/cd_nom/223447","Rhantus suturellus (Harris, 1828)")</f>
        <v>Rhantus suturellus (Harris, 1828)</v>
      </c>
      <c r="AH10218" s="4" t="str">
        <f>HYPERLINK("#Statut_biogéographique!A"&amp;_xlfn.XMATCH("P",Statut_biogéographique!A:A,2,1),"P")</f>
        <v>P</v>
      </c>
      <c r="AP10218" s="4" t="s">
        <v>376</v>
      </c>
      <c r="AR10218" s="4" t="s">
        <v>377</v>
      </c>
    </row>
    <row r="10219" spans="1:44">
      <c r="A10219" s="4" t="s">
        <v>10753</v>
      </c>
      <c r="B10219" s="4">
        <v>22345</v>
      </c>
      <c r="D10219" s="5">
        <v>22345</v>
      </c>
      <c r="E10219" s="6" t="str">
        <f>HYPERLINK("https://inpn.mnhn.fr/espece/cd_nom/22345","Tabanus autumnalis Linnaeus, 1761")</f>
        <v>Tabanus autumnalis Linnaeus, 1761</v>
      </c>
      <c r="AH10219" s="4" t="str">
        <f>HYPERLINK("#Statut_biogéographique!A"&amp;_xlfn.XMATCH("P",Statut_biogéographique!A:A,2,1),"P")</f>
        <v>P</v>
      </c>
      <c r="AP10219" s="4" t="s">
        <v>376</v>
      </c>
      <c r="AR10219" s="4" t="s">
        <v>377</v>
      </c>
    </row>
    <row r="10220" spans="1:44">
      <c r="A10220" s="4" t="s">
        <v>10753</v>
      </c>
      <c r="B10220" s="4">
        <v>223450</v>
      </c>
      <c r="D10220" s="5" t="s">
        <v>13385</v>
      </c>
      <c r="E10220" s="6" t="str">
        <f>HYPERLINK("https://inpn.mnhn.fr/espece/cd_nom/223450","Colymbetes fuscus (Linnaeus, 1758)")</f>
        <v>Colymbetes fuscus (Linnaeus, 1758)</v>
      </c>
      <c r="F10220" s="5" t="s">
        <v>13386</v>
      </c>
      <c r="AH10220" s="4" t="str">
        <f>HYPERLINK("#Statut_biogéographique!A"&amp;_xlfn.XMATCH("P",Statut_biogéographique!A:A,2,1),"P")</f>
        <v>P</v>
      </c>
      <c r="AP10220" s="4" t="s">
        <v>376</v>
      </c>
      <c r="AR10220" s="4" t="s">
        <v>377</v>
      </c>
    </row>
    <row r="10221" spans="1:44">
      <c r="A10221" s="4" t="s">
        <v>10753</v>
      </c>
      <c r="B10221" s="4">
        <v>223454</v>
      </c>
      <c r="D10221" s="5" t="s">
        <v>13387</v>
      </c>
      <c r="E10221" s="6" t="str">
        <f>HYPERLINK("https://inpn.mnhn.fr/espece/cd_nom/223454","Ilybius chalconatus (Panzer, 1797)")</f>
        <v>Ilybius chalconatus (Panzer, 1797)</v>
      </c>
      <c r="AH10221" s="4" t="str">
        <f>HYPERLINK("#Statut_biogéographique!A"&amp;_xlfn.XMATCH("P",Statut_biogéographique!A:A,2,1),"P")</f>
        <v>P</v>
      </c>
      <c r="AP10221" s="4" t="s">
        <v>376</v>
      </c>
      <c r="AR10221" s="4" t="s">
        <v>377</v>
      </c>
    </row>
    <row r="10222" spans="1:44">
      <c r="A10222" s="4" t="s">
        <v>10753</v>
      </c>
      <c r="B10222" s="4">
        <v>223456</v>
      </c>
      <c r="D10222" s="5" t="s">
        <v>13388</v>
      </c>
      <c r="E10222" s="6" t="str">
        <f>HYPERLINK("https://inpn.mnhn.fr/espece/cd_nom/223456","Ilybius montanus (Stephens, 1828)")</f>
        <v>Ilybius montanus (Stephens, 1828)</v>
      </c>
      <c r="AH10222" s="4" t="str">
        <f>HYPERLINK("#Statut_biogéographique!A"&amp;_xlfn.XMATCH("P",Statut_biogéographique!A:A,2,1),"P")</f>
        <v>P</v>
      </c>
      <c r="AP10222" s="4" t="s">
        <v>376</v>
      </c>
      <c r="AR10222" s="4" t="s">
        <v>377</v>
      </c>
    </row>
    <row r="10223" spans="1:44">
      <c r="A10223" s="4" t="s">
        <v>10753</v>
      </c>
      <c r="B10223" s="4">
        <v>223457</v>
      </c>
      <c r="D10223" s="5" t="s">
        <v>13389</v>
      </c>
      <c r="E10223" s="6" t="str">
        <f>HYPERLINK("https://inpn.mnhn.fr/espece/cd_nom/223457","Ilybius neglectus (Erichson, 1837)")</f>
        <v>Ilybius neglectus (Erichson, 1837)</v>
      </c>
      <c r="AH10223" s="4" t="str">
        <f>HYPERLINK("#Statut_biogéographique!A"&amp;_xlfn.XMATCH("P",Statut_biogéographique!A:A,2,1),"P")</f>
        <v>P</v>
      </c>
      <c r="AP10223" s="4" t="s">
        <v>376</v>
      </c>
      <c r="AR10223" s="4" t="s">
        <v>377</v>
      </c>
    </row>
    <row r="10224" spans="1:44">
      <c r="A10224" s="4" t="s">
        <v>10753</v>
      </c>
      <c r="B10224" s="4">
        <v>223459</v>
      </c>
      <c r="D10224" s="5">
        <v>223459</v>
      </c>
      <c r="E10224" s="6" t="str">
        <f>HYPERLINK("https://inpn.mnhn.fr/espece/cd_nom/223459","Ilybius subaeneus Erichson, 1837")</f>
        <v>Ilybius subaeneus Erichson, 1837</v>
      </c>
      <c r="AH10224" s="4" t="str">
        <f>HYPERLINK("#Statut_biogéographique!A"&amp;_xlfn.XMATCH("P",Statut_biogéographique!A:A,2,1),"P")</f>
        <v>P</v>
      </c>
      <c r="AP10224" s="4" t="s">
        <v>376</v>
      </c>
      <c r="AR10224" s="4" t="s">
        <v>377</v>
      </c>
    </row>
    <row r="10225" spans="1:44" ht="30">
      <c r="A10225" s="4" t="s">
        <v>10753</v>
      </c>
      <c r="B10225" s="4">
        <v>22346</v>
      </c>
      <c r="D10225" s="5">
        <v>22346</v>
      </c>
      <c r="E10225" s="6" t="str">
        <f>HYPERLINK("https://inpn.mnhn.fr/espece/cd_nom/22346","Tabanus bovinus Linnaeus, 1758")</f>
        <v>Tabanus bovinus Linnaeus, 1758</v>
      </c>
      <c r="F10225" s="5" t="s">
        <v>13390</v>
      </c>
      <c r="AH10225" s="4" t="str">
        <f>HYPERLINK("#Statut_biogéographique!A"&amp;_xlfn.XMATCH("P",Statut_biogéographique!A:A,2,1),"P")</f>
        <v>P</v>
      </c>
      <c r="AP10225" s="4" t="s">
        <v>376</v>
      </c>
      <c r="AR10225" s="4" t="s">
        <v>377</v>
      </c>
    </row>
    <row r="10226" spans="1:44">
      <c r="A10226" s="4" t="s">
        <v>10753</v>
      </c>
      <c r="B10226" s="4">
        <v>223460</v>
      </c>
      <c r="D10226" s="5" t="s">
        <v>13391</v>
      </c>
      <c r="E10226" s="6" t="str">
        <f>HYPERLINK("https://inpn.mnhn.fr/espece/cd_nom/223460","Ilybius subtilis (Erichson, 1837)")</f>
        <v>Ilybius subtilis (Erichson, 1837)</v>
      </c>
      <c r="AH10226" s="4" t="str">
        <f>HYPERLINK("#Statut_biogéographique!A"&amp;_xlfn.XMATCH("P",Statut_biogéographique!A:A,2,1),"P")</f>
        <v>P</v>
      </c>
      <c r="AP10226" s="4" t="s">
        <v>376</v>
      </c>
      <c r="AR10226" s="4" t="s">
        <v>377</v>
      </c>
    </row>
    <row r="10227" spans="1:44">
      <c r="A10227" s="4" t="s">
        <v>10753</v>
      </c>
      <c r="B10227" s="4">
        <v>223462</v>
      </c>
      <c r="D10227" s="5" t="s">
        <v>13392</v>
      </c>
      <c r="E10227" s="6" t="str">
        <f>HYPERLINK("https://inpn.mnhn.fr/espece/cd_nom/223462","Agabus sturmii (Gyllenhal, 1808)")</f>
        <v>Agabus sturmii (Gyllenhal, 1808)</v>
      </c>
      <c r="AH10227" s="4" t="str">
        <f>HYPERLINK("#Statut_biogéographique!A"&amp;_xlfn.XMATCH("P",Statut_biogéographique!A:A,2,1),"P")</f>
        <v>P</v>
      </c>
      <c r="AP10227" s="4" t="s">
        <v>376</v>
      </c>
      <c r="AR10227" s="4" t="s">
        <v>377</v>
      </c>
    </row>
    <row r="10228" spans="1:44">
      <c r="A10228" s="4" t="s">
        <v>10753</v>
      </c>
      <c r="B10228" s="4">
        <v>223463</v>
      </c>
      <c r="D10228" s="5" t="s">
        <v>13393</v>
      </c>
      <c r="E10228" s="6" t="str">
        <f>HYPERLINK("https://inpn.mnhn.fr/espece/cd_nom/223463","Agabus uliginosus (Linnaeus, 1761)")</f>
        <v>Agabus uliginosus (Linnaeus, 1761)</v>
      </c>
      <c r="AH10228" s="4" t="str">
        <f>HYPERLINK("#Statut_biogéographique!A"&amp;_xlfn.XMATCH("P",Statut_biogéographique!A:A,2,1),"P")</f>
        <v>P</v>
      </c>
      <c r="AP10228" s="4" t="s">
        <v>376</v>
      </c>
      <c r="AR10228" s="4" t="s">
        <v>377</v>
      </c>
    </row>
    <row r="10229" spans="1:44">
      <c r="A10229" s="4" t="s">
        <v>10753</v>
      </c>
      <c r="B10229" s="4">
        <v>223464</v>
      </c>
      <c r="D10229" s="5" t="s">
        <v>13394</v>
      </c>
      <c r="E10229" s="6" t="str">
        <f>HYPERLINK("https://inpn.mnhn.fr/espece/cd_nom/223464","Agabus affinis (Paykull, 1798)")</f>
        <v>Agabus affinis (Paykull, 1798)</v>
      </c>
      <c r="AH10229" s="4" t="str">
        <f>HYPERLINK("#Statut_biogéographique!A"&amp;_xlfn.XMATCH("P",Statut_biogéographique!A:A,2,1),"P")</f>
        <v>P</v>
      </c>
      <c r="AP10229" s="4" t="s">
        <v>376</v>
      </c>
      <c r="AR10229" s="4" t="s">
        <v>377</v>
      </c>
    </row>
    <row r="10230" spans="1:44">
      <c r="A10230" s="4" t="s">
        <v>10753</v>
      </c>
      <c r="B10230" s="4">
        <v>223466</v>
      </c>
      <c r="D10230" s="5" t="s">
        <v>13395</v>
      </c>
      <c r="E10230" s="6" t="str">
        <f>HYPERLINK("https://inpn.mnhn.fr/espece/cd_nom/223466","Agabus biguttatus (Olivier, 1795)")</f>
        <v>Agabus biguttatus (Olivier, 1795)</v>
      </c>
      <c r="AH10230" s="4" t="str">
        <f>HYPERLINK("#Statut_biogéographique!A"&amp;_xlfn.XMATCH("P",Statut_biogéographique!A:A,2,1),"P")</f>
        <v>P</v>
      </c>
      <c r="AP10230" s="4" t="s">
        <v>376</v>
      </c>
      <c r="AR10230" s="4" t="s">
        <v>377</v>
      </c>
    </row>
    <row r="10231" spans="1:44">
      <c r="A10231" s="4" t="s">
        <v>10753</v>
      </c>
      <c r="B10231" s="4">
        <v>223468</v>
      </c>
      <c r="D10231" s="5" t="s">
        <v>13396</v>
      </c>
      <c r="E10231" s="6" t="str">
        <f>HYPERLINK("https://inpn.mnhn.fr/espece/cd_nom/223468","Agabus brunneus (Fabricius, 1798)")</f>
        <v>Agabus brunneus (Fabricius, 1798)</v>
      </c>
      <c r="AH10231" s="4" t="str">
        <f>HYPERLINK("#Statut_biogéographique!A"&amp;_xlfn.XMATCH("P",Statut_biogéographique!A:A,2,1),"P")</f>
        <v>P</v>
      </c>
      <c r="AP10231" s="4" t="s">
        <v>376</v>
      </c>
      <c r="AR10231" s="4" t="s">
        <v>377</v>
      </c>
    </row>
    <row r="10232" spans="1:44">
      <c r="A10232" s="4" t="s">
        <v>10753</v>
      </c>
      <c r="B10232" s="4">
        <v>22347</v>
      </c>
      <c r="D10232" s="5">
        <v>22347</v>
      </c>
      <c r="E10232" s="6" t="str">
        <f>HYPERLINK("https://inpn.mnhn.fr/espece/cd_nom/22347","Tabanus bromius Linnaeus, 1758")</f>
        <v>Tabanus bromius Linnaeus, 1758</v>
      </c>
      <c r="F10232" s="5" t="s">
        <v>13397</v>
      </c>
      <c r="AH10232" s="4" t="str">
        <f>HYPERLINK("#Statut_biogéographique!A"&amp;_xlfn.XMATCH("P",Statut_biogéographique!A:A,2,1),"P")</f>
        <v>P</v>
      </c>
      <c r="AP10232" s="4" t="s">
        <v>376</v>
      </c>
      <c r="AR10232" s="4" t="s">
        <v>377</v>
      </c>
    </row>
    <row r="10233" spans="1:44">
      <c r="A10233" s="4" t="s">
        <v>10753</v>
      </c>
      <c r="B10233" s="4">
        <v>223470</v>
      </c>
      <c r="D10233" s="5" t="s">
        <v>13398</v>
      </c>
      <c r="E10233" s="6" t="str">
        <f>HYPERLINK("https://inpn.mnhn.fr/espece/cd_nom/223470","Agabus guttatus (Paykull, 1798)")</f>
        <v>Agabus guttatus (Paykull, 1798)</v>
      </c>
      <c r="AH10233" s="4" t="str">
        <f>HYPERLINK("#Statut_biogéographique!A"&amp;_xlfn.XMATCH("P",Statut_biogéographique!A:A,2,1),"P")</f>
        <v>P</v>
      </c>
      <c r="AP10233" s="4" t="s">
        <v>376</v>
      </c>
      <c r="AR10233" s="4" t="s">
        <v>377</v>
      </c>
    </row>
    <row r="10234" spans="1:44">
      <c r="A10234" s="4" t="s">
        <v>10753</v>
      </c>
      <c r="B10234" s="4">
        <v>223471</v>
      </c>
      <c r="D10234" s="5" t="s">
        <v>13399</v>
      </c>
      <c r="E10234" s="6" t="str">
        <f>HYPERLINK("https://inpn.mnhn.fr/espece/cd_nom/223471","Agabus paludosus (Fabricius, 1801)")</f>
        <v>Agabus paludosus (Fabricius, 1801)</v>
      </c>
      <c r="AH10234" s="4" t="str">
        <f>HYPERLINK("#Statut_biogéographique!A"&amp;_xlfn.XMATCH("P",Statut_biogéographique!A:A,2,1),"P")</f>
        <v>P</v>
      </c>
      <c r="AP10234" s="4" t="s">
        <v>376</v>
      </c>
      <c r="AR10234" s="4" t="s">
        <v>377</v>
      </c>
    </row>
    <row r="10235" spans="1:44">
      <c r="A10235" s="4" t="s">
        <v>10753</v>
      </c>
      <c r="B10235" s="4">
        <v>223473</v>
      </c>
      <c r="D10235" s="5" t="s">
        <v>13400</v>
      </c>
      <c r="E10235" s="6" t="str">
        <f>HYPERLINK("https://inpn.mnhn.fr/espece/cd_nom/223473","Agabus unguicularis (C.G. Thomson, 1867)")</f>
        <v>Agabus unguicularis (C.G. Thomson, 1867)</v>
      </c>
      <c r="AH10235" s="4" t="str">
        <f>HYPERLINK("#Statut_biogéographique!A"&amp;_xlfn.XMATCH("P",Statut_biogéographique!A:A,2,1),"P")</f>
        <v>P</v>
      </c>
      <c r="AP10235" s="4" t="s">
        <v>376</v>
      </c>
      <c r="AR10235" s="4" t="s">
        <v>377</v>
      </c>
    </row>
    <row r="10236" spans="1:44">
      <c r="A10236" s="4" t="s">
        <v>10753</v>
      </c>
      <c r="B10236" s="4">
        <v>223475</v>
      </c>
      <c r="D10236" s="5" t="s">
        <v>13401</v>
      </c>
      <c r="E10236" s="6" t="str">
        <f>HYPERLINK("https://inpn.mnhn.fr/espece/cd_nom/223475","Gyrinus aeratus Stephens, 1835")</f>
        <v>Gyrinus aeratus Stephens, 1835</v>
      </c>
      <c r="AH10236" s="4" t="str">
        <f>HYPERLINK("#Statut_biogéographique!A"&amp;_xlfn.XMATCH("P",Statut_biogéographique!A:A,2,1),"P")</f>
        <v>P</v>
      </c>
      <c r="AP10236" s="4" t="s">
        <v>376</v>
      </c>
      <c r="AR10236" s="4" t="s">
        <v>377</v>
      </c>
    </row>
    <row r="10237" spans="1:44">
      <c r="A10237" s="4" t="s">
        <v>10753</v>
      </c>
      <c r="B10237" s="4">
        <v>223479</v>
      </c>
      <c r="D10237" s="5">
        <v>223479</v>
      </c>
      <c r="E10237" s="6" t="str">
        <f>HYPERLINK("https://inpn.mnhn.fr/espece/cd_nom/223479","Gyrinus marinus Gyllenhal, 1808")</f>
        <v>Gyrinus marinus Gyllenhal, 1808</v>
      </c>
      <c r="AH10237" s="4" t="str">
        <f>HYPERLINK("#Statut_biogéographique!A"&amp;_xlfn.XMATCH("P",Statut_biogéographique!A:A,2,1),"P")</f>
        <v>P</v>
      </c>
      <c r="AP10237" s="4" t="s">
        <v>376</v>
      </c>
      <c r="AR10237" s="4" t="s">
        <v>377</v>
      </c>
    </row>
    <row r="10238" spans="1:44">
      <c r="A10238" s="4" t="s">
        <v>10753</v>
      </c>
      <c r="B10238" s="4">
        <v>223480</v>
      </c>
      <c r="D10238" s="5">
        <v>223480</v>
      </c>
      <c r="E10238" s="6" t="str">
        <f>HYPERLINK("https://inpn.mnhn.fr/espece/cd_nom/223480","Gyrinus paykulli Ochs, 1927")</f>
        <v>Gyrinus paykulli Ochs, 1927</v>
      </c>
      <c r="AH10238" s="4" t="str">
        <f>HYPERLINK("#Statut_biogéographique!A"&amp;_xlfn.XMATCH("P",Statut_biogéographique!A:A,2,1),"P")</f>
        <v>P</v>
      </c>
      <c r="AP10238" s="4" t="s">
        <v>376</v>
      </c>
      <c r="AR10238" s="4" t="s">
        <v>377</v>
      </c>
    </row>
    <row r="10239" spans="1:44">
      <c r="A10239" s="4" t="s">
        <v>10753</v>
      </c>
      <c r="B10239" s="4">
        <v>223481</v>
      </c>
      <c r="D10239" s="5">
        <v>223481</v>
      </c>
      <c r="E10239" s="6" t="str">
        <f>HYPERLINK("https://inpn.mnhn.fr/espece/cd_nom/223481","Gyrinus suffriani Scriba, 1855")</f>
        <v>Gyrinus suffriani Scriba, 1855</v>
      </c>
      <c r="AH10239" s="4" t="str">
        <f>HYPERLINK("#Statut_biogéographique!A"&amp;_xlfn.XMATCH("P",Statut_biogéographique!A:A,2,1),"P")</f>
        <v>P</v>
      </c>
      <c r="AP10239" s="4" t="s">
        <v>376</v>
      </c>
      <c r="AR10239" s="4" t="s">
        <v>377</v>
      </c>
    </row>
    <row r="10240" spans="1:44">
      <c r="A10240" s="4" t="s">
        <v>10753</v>
      </c>
      <c r="B10240" s="4">
        <v>223482</v>
      </c>
      <c r="D10240" s="5">
        <v>223482</v>
      </c>
      <c r="E10240" s="6" t="str">
        <f>HYPERLINK("https://inpn.mnhn.fr/espece/cd_nom/223482","Gyrinus urinator Illiger, 1807")</f>
        <v>Gyrinus urinator Illiger, 1807</v>
      </c>
      <c r="AH10240" s="4" t="str">
        <f>HYPERLINK("#Statut_biogéographique!A"&amp;_xlfn.XMATCH("P",Statut_biogéographique!A:A,2,1),"P")</f>
        <v>P</v>
      </c>
      <c r="AP10240" s="4" t="s">
        <v>376</v>
      </c>
      <c r="AR10240" s="4" t="s">
        <v>377</v>
      </c>
    </row>
    <row r="10241" spans="1:44">
      <c r="A10241" s="4" t="s">
        <v>10753</v>
      </c>
      <c r="B10241" s="4">
        <v>223483</v>
      </c>
      <c r="D10241" s="5">
        <v>223483</v>
      </c>
      <c r="E10241" s="6" t="str">
        <f>HYPERLINK("https://inpn.mnhn.fr/espece/cd_nom/223483","Gyrinus minutus Fabricius, 1798")</f>
        <v>Gyrinus minutus Fabricius, 1798</v>
      </c>
      <c r="AH10241" s="4" t="str">
        <f>HYPERLINK("#Statut_biogéographique!A"&amp;_xlfn.XMATCH("P",Statut_biogéographique!A:A,2,1),"P")</f>
        <v>P</v>
      </c>
      <c r="AP10241" s="4" t="s">
        <v>376</v>
      </c>
      <c r="AR10241" s="4" t="s">
        <v>377</v>
      </c>
    </row>
    <row r="10242" spans="1:44">
      <c r="A10242" s="4" t="s">
        <v>10753</v>
      </c>
      <c r="B10242" s="4">
        <v>223484</v>
      </c>
      <c r="D10242" s="5" t="s">
        <v>13402</v>
      </c>
      <c r="E10242" s="6" t="str">
        <f>HYPERLINK("https://inpn.mnhn.fr/espece/cd_nom/223484","Aulonogyrus concinnus (Klug, 1834)")</f>
        <v>Aulonogyrus concinnus (Klug, 1834)</v>
      </c>
      <c r="AH10242" s="4" t="str">
        <f>HYPERLINK("#Statut_biogéographique!A"&amp;_xlfn.XMATCH("P",Statut_biogéographique!A:A,2,1),"P")</f>
        <v>P</v>
      </c>
      <c r="AP10242" s="4" t="s">
        <v>376</v>
      </c>
      <c r="AR10242" s="4" t="s">
        <v>377</v>
      </c>
    </row>
    <row r="10243" spans="1:44">
      <c r="A10243" s="4" t="s">
        <v>10753</v>
      </c>
      <c r="B10243" s="4">
        <v>223486</v>
      </c>
      <c r="D10243" s="5" t="s">
        <v>13403</v>
      </c>
      <c r="E10243" s="6" t="str">
        <f>HYPERLINK("https://inpn.mnhn.fr/espece/cd_nom/223486","Peltodytes caesus (Duftschmid, 1805)")</f>
        <v>Peltodytes caesus (Duftschmid, 1805)</v>
      </c>
      <c r="AH10243" s="4" t="str">
        <f>HYPERLINK("#Statut_biogéographique!A"&amp;_xlfn.XMATCH("P",Statut_biogéographique!A:A,2,1),"P")</f>
        <v>P</v>
      </c>
      <c r="AP10243" s="4" t="s">
        <v>376</v>
      </c>
      <c r="AR10243" s="4" t="s">
        <v>377</v>
      </c>
    </row>
    <row r="10244" spans="1:44">
      <c r="A10244" s="4" t="s">
        <v>10753</v>
      </c>
      <c r="B10244" s="4">
        <v>223487</v>
      </c>
      <c r="D10244" s="5" t="s">
        <v>13404</v>
      </c>
      <c r="E10244" s="6" t="str">
        <f>HYPERLINK("https://inpn.mnhn.fr/espece/cd_nom/223487","Peltodytes rotundatus (Aubé, 1836)")</f>
        <v>Peltodytes rotundatus (Aubé, 1836)</v>
      </c>
      <c r="AH10244" s="4" t="str">
        <f>HYPERLINK("#Statut_biogéographique!A"&amp;_xlfn.XMATCH("P",Statut_biogéographique!A:A,2,1),"P")</f>
        <v>P</v>
      </c>
      <c r="AP10244" s="4" t="s">
        <v>376</v>
      </c>
      <c r="AR10244" s="4" t="s">
        <v>377</v>
      </c>
    </row>
    <row r="10245" spans="1:44">
      <c r="A10245" s="4" t="s">
        <v>10753</v>
      </c>
      <c r="B10245" s="4">
        <v>223488</v>
      </c>
      <c r="D10245" s="5" t="s">
        <v>13405</v>
      </c>
      <c r="E10245" s="6" t="str">
        <f>HYPERLINK("https://inpn.mnhn.fr/espece/cd_nom/223488","Brychius elevatus (Panzer, 1793)")</f>
        <v>Brychius elevatus (Panzer, 1793)</v>
      </c>
      <c r="AH10245" s="4" t="str">
        <f>HYPERLINK("#Statut_biogéographique!A"&amp;_xlfn.XMATCH("P",Statut_biogéographique!A:A,2,1),"P")</f>
        <v>P</v>
      </c>
      <c r="AP10245" s="4" t="s">
        <v>376</v>
      </c>
      <c r="AR10245" s="4" t="s">
        <v>377</v>
      </c>
    </row>
    <row r="10246" spans="1:44">
      <c r="A10246" s="4" t="s">
        <v>10753</v>
      </c>
      <c r="B10246" s="4">
        <v>223489</v>
      </c>
      <c r="D10246" s="5">
        <v>223489</v>
      </c>
      <c r="E10246" s="6" t="str">
        <f>HYPERLINK("https://inpn.mnhn.fr/espece/cd_nom/223489","Haliplus fluviatilis Aubé, 1836")</f>
        <v>Haliplus fluviatilis Aubé, 1836</v>
      </c>
      <c r="AH10246" s="4" t="str">
        <f>HYPERLINK("#Statut_biogéographique!A"&amp;_xlfn.XMATCH("P",Statut_biogéographique!A:A,2,1),"P")</f>
        <v>P</v>
      </c>
      <c r="AP10246" s="4" t="s">
        <v>376</v>
      </c>
      <c r="AR10246" s="4" t="s">
        <v>377</v>
      </c>
    </row>
    <row r="10247" spans="1:44">
      <c r="A10247" s="4" t="s">
        <v>10753</v>
      </c>
      <c r="B10247" s="4">
        <v>223491</v>
      </c>
      <c r="D10247" s="5">
        <v>223491</v>
      </c>
      <c r="E10247" s="6" t="str">
        <f>HYPERLINK("https://inpn.mnhn.fr/espece/cd_nom/223491","Haliplus furcatus Seidlitz, 1887")</f>
        <v>Haliplus furcatus Seidlitz, 1887</v>
      </c>
      <c r="AH10247" s="4" t="str">
        <f>HYPERLINK("#Statut_biogéographique!A"&amp;_xlfn.XMATCH("P",Statut_biogéographique!A:A,2,1),"P")</f>
        <v>P</v>
      </c>
      <c r="AP10247" s="4" t="s">
        <v>376</v>
      </c>
      <c r="AR10247" s="4" t="s">
        <v>377</v>
      </c>
    </row>
    <row r="10248" spans="1:44">
      <c r="A10248" s="4" t="s">
        <v>10753</v>
      </c>
      <c r="B10248" s="4">
        <v>223492</v>
      </c>
      <c r="D10248" s="5">
        <v>223492</v>
      </c>
      <c r="E10248" s="6" t="str">
        <f>HYPERLINK("https://inpn.mnhn.fr/espece/cd_nom/223492","Haliplus immaculatus Gerhardt, 1877")</f>
        <v>Haliplus immaculatus Gerhardt, 1877</v>
      </c>
      <c r="AH10248" s="4" t="str">
        <f>HYPERLINK("#Statut_biogéographique!A"&amp;_xlfn.XMATCH("P",Statut_biogéographique!A:A,2,1),"P")</f>
        <v>P</v>
      </c>
      <c r="AP10248" s="4" t="s">
        <v>376</v>
      </c>
      <c r="AR10248" s="4" t="s">
        <v>377</v>
      </c>
    </row>
    <row r="10249" spans="1:44">
      <c r="A10249" s="4" t="s">
        <v>10753</v>
      </c>
      <c r="B10249" s="4">
        <v>223498</v>
      </c>
      <c r="D10249" s="5" t="s">
        <v>13406</v>
      </c>
      <c r="E10249" s="6" t="str">
        <f>HYPERLINK("https://inpn.mnhn.fr/espece/cd_nom/223498","Haliplus laminatus (Schaller, 1783)")</f>
        <v>Haliplus laminatus (Schaller, 1783)</v>
      </c>
      <c r="AH10249" s="4" t="str">
        <f>HYPERLINK("#Statut_biogéographique!A"&amp;_xlfn.XMATCH("P",Statut_biogéographique!A:A,2,1),"P")</f>
        <v>P</v>
      </c>
      <c r="AP10249" s="4" t="s">
        <v>376</v>
      </c>
      <c r="AR10249" s="4" t="s">
        <v>377</v>
      </c>
    </row>
    <row r="10250" spans="1:44">
      <c r="A10250" s="4" t="s">
        <v>10753</v>
      </c>
      <c r="B10250" s="4">
        <v>223499</v>
      </c>
      <c r="D10250" s="5" t="s">
        <v>13407</v>
      </c>
      <c r="E10250" s="6" t="str">
        <f>HYPERLINK("https://inpn.mnhn.fr/espece/cd_nom/223499","Haliplus mucronatus Stephens, 1828")</f>
        <v>Haliplus mucronatus Stephens, 1828</v>
      </c>
      <c r="AH10250" s="4" t="str">
        <f>HYPERLINK("#Statut_biogéographique!A"&amp;_xlfn.XMATCH("P",Statut_biogéographique!A:A,2,1),"P")</f>
        <v>P</v>
      </c>
      <c r="AP10250" s="4" t="s">
        <v>376</v>
      </c>
      <c r="AR10250" s="4" t="s">
        <v>377</v>
      </c>
    </row>
    <row r="10251" spans="1:44">
      <c r="A10251" s="4" t="s">
        <v>10753</v>
      </c>
      <c r="B10251" s="4">
        <v>22350</v>
      </c>
      <c r="D10251" s="5">
        <v>22350</v>
      </c>
      <c r="E10251" s="6" t="str">
        <f>HYPERLINK("https://inpn.mnhn.fr/espece/cd_nom/22350","Tabanus glaucopis Meigen, 1820")</f>
        <v>Tabanus glaucopis Meigen, 1820</v>
      </c>
      <c r="AH10251" s="4" t="str">
        <f>HYPERLINK("#Statut_biogéographique!A"&amp;_xlfn.XMATCH("P",Statut_biogéographique!A:A,2,1),"P")</f>
        <v>P</v>
      </c>
      <c r="AP10251" s="4" t="s">
        <v>376</v>
      </c>
      <c r="AR10251" s="4" t="s">
        <v>377</v>
      </c>
    </row>
    <row r="10252" spans="1:44">
      <c r="A10252" s="4" t="s">
        <v>10753</v>
      </c>
      <c r="B10252" s="4">
        <v>22351</v>
      </c>
      <c r="D10252" s="5">
        <v>22351</v>
      </c>
      <c r="E10252" s="6" t="str">
        <f>HYPERLINK("https://inpn.mnhn.fr/espece/cd_nom/22351","Tabanus maculicornis Zetterstedt, 1842")</f>
        <v>Tabanus maculicornis Zetterstedt, 1842</v>
      </c>
      <c r="AH10252" s="4" t="str">
        <f>HYPERLINK("#Statut_biogéographique!A"&amp;_xlfn.XMATCH("P",Statut_biogéographique!A:A,2,1),"P")</f>
        <v>P</v>
      </c>
      <c r="AP10252" s="4" t="s">
        <v>376</v>
      </c>
      <c r="AR10252" s="4" t="s">
        <v>377</v>
      </c>
    </row>
    <row r="10253" spans="1:44">
      <c r="A10253" s="4" t="s">
        <v>10753</v>
      </c>
      <c r="B10253" s="4">
        <v>223511</v>
      </c>
      <c r="D10253" s="5" t="s">
        <v>13408</v>
      </c>
      <c r="E10253" s="6" t="str">
        <f>HYPERLINK("https://inpn.mnhn.fr/espece/cd_nom/223511","Heterocerus aragonicus Kiesenwetter, 1850")</f>
        <v>Heterocerus aragonicus Kiesenwetter, 1850</v>
      </c>
      <c r="AH10253" s="4" t="str">
        <f>HYPERLINK("#Statut_biogéographique!A"&amp;_xlfn.XMATCH("P",Statut_biogéographique!A:A,2,1),"P")</f>
        <v>P</v>
      </c>
      <c r="AP10253" s="4" t="s">
        <v>376</v>
      </c>
      <c r="AR10253" s="4" t="s">
        <v>377</v>
      </c>
    </row>
    <row r="10254" spans="1:44" ht="30">
      <c r="A10254" s="4" t="s">
        <v>10753</v>
      </c>
      <c r="B10254" s="4">
        <v>223512</v>
      </c>
      <c r="D10254" s="5" t="s">
        <v>13409</v>
      </c>
      <c r="E10254" s="6" t="str">
        <f>HYPERLINK("https://inpn.mnhn.fr/espece/cd_nom/223512","Heterocerus fenestratus (Thunberg, 1784)")</f>
        <v>Heterocerus fenestratus (Thunberg, 1784)</v>
      </c>
      <c r="AH10254" s="4" t="str">
        <f>HYPERLINK("#Statut_biogéographique!A"&amp;_xlfn.XMATCH("P",Statut_biogéographique!A:A,2,1),"P")</f>
        <v>P</v>
      </c>
      <c r="AP10254" s="4" t="s">
        <v>376</v>
      </c>
      <c r="AR10254" s="4" t="s">
        <v>377</v>
      </c>
    </row>
    <row r="10255" spans="1:44">
      <c r="A10255" s="4" t="s">
        <v>10753</v>
      </c>
      <c r="B10255" s="4">
        <v>223513</v>
      </c>
      <c r="D10255" s="5" t="s">
        <v>13410</v>
      </c>
      <c r="E10255" s="6" t="str">
        <f>HYPERLINK("https://inpn.mnhn.fr/espece/cd_nom/223513","Heterocerus fossor Kiesenwetter, 1843")</f>
        <v>Heterocerus fossor Kiesenwetter, 1843</v>
      </c>
      <c r="AH10255" s="4" t="str">
        <f>HYPERLINK("#Statut_biogéographique!A"&amp;_xlfn.XMATCH("P",Statut_biogéographique!A:A,2,1),"P")</f>
        <v>P</v>
      </c>
      <c r="AP10255" s="4" t="s">
        <v>376</v>
      </c>
      <c r="AR10255" s="4" t="s">
        <v>377</v>
      </c>
    </row>
    <row r="10256" spans="1:44">
      <c r="A10256" s="4" t="s">
        <v>10753</v>
      </c>
      <c r="B10256" s="4">
        <v>223514</v>
      </c>
      <c r="D10256" s="5">
        <v>223514</v>
      </c>
      <c r="E10256" s="6" t="str">
        <f>HYPERLINK("https://inpn.mnhn.fr/espece/cd_nom/223514","Heterocerus fusculus Kiesenwetter, 1843")</f>
        <v>Heterocerus fusculus Kiesenwetter, 1843</v>
      </c>
      <c r="AH10256" s="4" t="str">
        <f>HYPERLINK("#Statut_biogéographique!A"&amp;_xlfn.XMATCH("P",Statut_biogéographique!A:A,2,1),"P")</f>
        <v>P</v>
      </c>
      <c r="AP10256" s="4" t="s">
        <v>376</v>
      </c>
      <c r="AR10256" s="4" t="s">
        <v>377</v>
      </c>
    </row>
    <row r="10257" spans="1:44">
      <c r="A10257" s="4" t="s">
        <v>10753</v>
      </c>
      <c r="B10257" s="4">
        <v>223516</v>
      </c>
      <c r="D10257" s="5" t="s">
        <v>13411</v>
      </c>
      <c r="E10257" s="6" t="str">
        <f>HYPERLINK("https://inpn.mnhn.fr/espece/cd_nom/223516","Heterocerus marginatus (Fabricius, 1787)")</f>
        <v>Heterocerus marginatus (Fabricius, 1787)</v>
      </c>
      <c r="AH10257" s="4" t="str">
        <f>HYPERLINK("#Statut_biogéographique!A"&amp;_xlfn.XMATCH("P",Statut_biogéographique!A:A,2,1),"P")</f>
        <v>P</v>
      </c>
      <c r="AP10257" s="4" t="s">
        <v>376</v>
      </c>
      <c r="AR10257" s="4" t="s">
        <v>377</v>
      </c>
    </row>
    <row r="10258" spans="1:44">
      <c r="A10258" s="4" t="s">
        <v>10753</v>
      </c>
      <c r="B10258" s="4">
        <v>22352</v>
      </c>
      <c r="D10258" s="5">
        <v>22352</v>
      </c>
      <c r="E10258" s="6" t="str">
        <f>HYPERLINK("https://inpn.mnhn.fr/espece/cd_nom/22352","Tabanus miki Brauer, 1880")</f>
        <v>Tabanus miki Brauer, 1880</v>
      </c>
      <c r="AH10258" s="4" t="str">
        <f>HYPERLINK("#Statut_biogéographique!A"&amp;_xlfn.XMATCH("P",Statut_biogéographique!A:A,2,1),"P")</f>
        <v>P</v>
      </c>
      <c r="AP10258" s="4" t="s">
        <v>376</v>
      </c>
      <c r="AR10258" s="4" t="s">
        <v>377</v>
      </c>
    </row>
    <row r="10259" spans="1:44">
      <c r="A10259" s="4" t="s">
        <v>10753</v>
      </c>
      <c r="B10259" s="4">
        <v>22353</v>
      </c>
      <c r="D10259" s="5">
        <v>22353</v>
      </c>
      <c r="E10259" s="6" t="str">
        <f>HYPERLINK("https://inpn.mnhn.fr/espece/cd_nom/22353","Tabanus quatuornotatus Meigen, 1820")</f>
        <v>Tabanus quatuornotatus Meigen, 1820</v>
      </c>
      <c r="AH10259" s="4" t="str">
        <f>HYPERLINK("#Statut_biogéographique!A"&amp;_xlfn.XMATCH("P",Statut_biogéographique!A:A,2,1),"P")</f>
        <v>P</v>
      </c>
      <c r="AP10259" s="4" t="s">
        <v>376</v>
      </c>
      <c r="AR10259" s="4" t="s">
        <v>377</v>
      </c>
    </row>
    <row r="10260" spans="1:44">
      <c r="A10260" s="4" t="s">
        <v>10753</v>
      </c>
      <c r="B10260" s="4">
        <v>223535</v>
      </c>
      <c r="D10260" s="5" t="s">
        <v>13412</v>
      </c>
      <c r="E10260" s="6" t="str">
        <f>HYPERLINK("https://inpn.mnhn.fr/espece/cd_nom/223535","Chalcionellus decemstriatus (Rossi, 1792)")</f>
        <v>Chalcionellus decemstriatus (Rossi, 1792)</v>
      </c>
      <c r="AH10260" s="4" t="str">
        <f>HYPERLINK("#Statut_biogéographique!A"&amp;_xlfn.XMATCH("P",Statut_biogéographique!A:A,2,1),"P")</f>
        <v>P</v>
      </c>
      <c r="AP10260" s="4" t="s">
        <v>376</v>
      </c>
      <c r="AR10260" s="4" t="s">
        <v>377</v>
      </c>
    </row>
    <row r="10261" spans="1:44">
      <c r="A10261" s="4" t="s">
        <v>10753</v>
      </c>
      <c r="B10261" s="4">
        <v>22354</v>
      </c>
      <c r="D10261" s="5">
        <v>22354</v>
      </c>
      <c r="E10261" s="6" t="str">
        <f>HYPERLINK("https://inpn.mnhn.fr/espece/cd_nom/22354","Tabanus sudeticus Zeller, 1842")</f>
        <v>Tabanus sudeticus Zeller, 1842</v>
      </c>
      <c r="AH10261" s="4" t="str">
        <f>HYPERLINK("#Statut_biogéographique!A"&amp;_xlfn.XMATCH("P",Statut_biogéographique!A:A,2,1),"P")</f>
        <v>P</v>
      </c>
      <c r="AP10261" s="4" t="s">
        <v>376</v>
      </c>
      <c r="AR10261" s="4" t="s">
        <v>377</v>
      </c>
    </row>
    <row r="10262" spans="1:44">
      <c r="A10262" s="4" t="s">
        <v>10753</v>
      </c>
      <c r="B10262" s="4">
        <v>223559</v>
      </c>
      <c r="D10262" s="5" t="s">
        <v>13413</v>
      </c>
      <c r="E10262" s="6" t="str">
        <f>HYPERLINK("https://inpn.mnhn.fr/espece/cd_nom/223559","Gnathoncus nannetensis (Marseul, 1862)")</f>
        <v>Gnathoncus nannetensis (Marseul, 1862)</v>
      </c>
      <c r="AH10262" s="4" t="str">
        <f>HYPERLINK("#Statut_biogéographique!A"&amp;_xlfn.XMATCH("P",Statut_biogéographique!A:A,2,1),"P")</f>
        <v>P</v>
      </c>
      <c r="AP10262" s="4" t="s">
        <v>376</v>
      </c>
      <c r="AR10262" s="4" t="s">
        <v>377</v>
      </c>
    </row>
    <row r="10263" spans="1:44">
      <c r="A10263" s="4" t="s">
        <v>10753</v>
      </c>
      <c r="B10263" s="4">
        <v>22356</v>
      </c>
      <c r="D10263" s="5" t="s">
        <v>13414</v>
      </c>
      <c r="E10263" s="6" t="str">
        <f>HYPERLINK("https://inpn.mnhn.fr/espece/cd_nom/22356","Heptatoma pellucens (Fabricius, 1777)")</f>
        <v>Heptatoma pellucens (Fabricius, 1777)</v>
      </c>
      <c r="AH10263" s="4" t="str">
        <f>HYPERLINK("#Statut_biogéographique!A"&amp;_xlfn.XMATCH("P",Statut_biogéographique!A:A,2,1),"P")</f>
        <v>P</v>
      </c>
      <c r="AP10263" s="4" t="s">
        <v>376</v>
      </c>
      <c r="AR10263" s="4" t="s">
        <v>377</v>
      </c>
    </row>
    <row r="10264" spans="1:44">
      <c r="A10264" s="4" t="s">
        <v>10753</v>
      </c>
      <c r="B10264" s="4">
        <v>223560</v>
      </c>
      <c r="D10264" s="5" t="s">
        <v>13415</v>
      </c>
      <c r="E10264" s="6" t="str">
        <f>HYPERLINK("https://inpn.mnhn.fr/espece/cd_nom/223560","Gnathoncus communis (Marseul, 1862)")</f>
        <v>Gnathoncus communis (Marseul, 1862)</v>
      </c>
      <c r="AH10264" s="4" t="str">
        <f>HYPERLINK("#Statut_biogéographique!A"&amp;_xlfn.XMATCH("P",Statut_biogéographique!A:A,2,1),"P")</f>
        <v>P</v>
      </c>
      <c r="AP10264" s="4" t="s">
        <v>376</v>
      </c>
      <c r="AR10264" s="4" t="s">
        <v>377</v>
      </c>
    </row>
    <row r="10265" spans="1:44">
      <c r="A10265" s="4" t="s">
        <v>10753</v>
      </c>
      <c r="B10265" s="4">
        <v>223561</v>
      </c>
      <c r="D10265" s="5">
        <v>223561</v>
      </c>
      <c r="E10265" s="6" t="str">
        <f>HYPERLINK("https://inpn.mnhn.fr/espece/cd_nom/223561","Gnathoncus buyssoni Auzat, 1917")</f>
        <v>Gnathoncus buyssoni Auzat, 1917</v>
      </c>
      <c r="AH10265" s="4" t="str">
        <f>HYPERLINK("#Statut_biogéographique!A"&amp;_xlfn.XMATCH("P",Statut_biogéographique!A:A,2,1),"P")</f>
        <v>P</v>
      </c>
      <c r="AP10265" s="4" t="s">
        <v>376</v>
      </c>
      <c r="AR10265" s="4" t="s">
        <v>377</v>
      </c>
    </row>
    <row r="10266" spans="1:44">
      <c r="A10266" s="4" t="s">
        <v>10753</v>
      </c>
      <c r="B10266" s="4">
        <v>223562</v>
      </c>
      <c r="D10266" s="5" t="s">
        <v>13416</v>
      </c>
      <c r="E10266" s="6" t="str">
        <f>HYPERLINK("https://inpn.mnhn.fr/espece/cd_nom/223562","Abraeus granulum Erichson, 1839")</f>
        <v>Abraeus granulum Erichson, 1839</v>
      </c>
      <c r="AH10266" s="4" t="str">
        <f>HYPERLINK("#Statut_biogéographique!A"&amp;_xlfn.XMATCH("P",Statut_biogéographique!A:A,2,1),"P")</f>
        <v>P</v>
      </c>
      <c r="AP10266" s="4" t="s">
        <v>376</v>
      </c>
      <c r="AR10266" s="4" t="s">
        <v>377</v>
      </c>
    </row>
    <row r="10267" spans="1:44">
      <c r="A10267" s="4" t="s">
        <v>10753</v>
      </c>
      <c r="B10267" s="4">
        <v>223563</v>
      </c>
      <c r="D10267" s="5" t="s">
        <v>13417</v>
      </c>
      <c r="E10267" s="6" t="str">
        <f>HYPERLINK("https://inpn.mnhn.fr/espece/cd_nom/223563","Abraeus parvulus Aubé, 1843")</f>
        <v>Abraeus parvulus Aubé, 1843</v>
      </c>
      <c r="AH10267" s="4" t="str">
        <f>HYPERLINK("#Statut_biogéographique!A"&amp;_xlfn.XMATCH("P",Statut_biogéographique!A:A,2,1),"P")</f>
        <v>P</v>
      </c>
      <c r="AP10267" s="4" t="s">
        <v>376</v>
      </c>
      <c r="AR10267" s="4" t="s">
        <v>377</v>
      </c>
    </row>
    <row r="10268" spans="1:44">
      <c r="A10268" s="4" t="s">
        <v>10753</v>
      </c>
      <c r="B10268" s="4">
        <v>223564</v>
      </c>
      <c r="D10268" s="5" t="s">
        <v>13418</v>
      </c>
      <c r="E10268" s="6" t="str">
        <f>HYPERLINK("https://inpn.mnhn.fr/espece/cd_nom/223564","Abraeus perpusillus (Marsham, 1802)")</f>
        <v>Abraeus perpusillus (Marsham, 1802)</v>
      </c>
      <c r="AH10268" s="4" t="str">
        <f>HYPERLINK("#Statut_biogéographique!A"&amp;_xlfn.XMATCH("P",Statut_biogéographique!A:A,2,1),"P")</f>
        <v>P</v>
      </c>
      <c r="AP10268" s="4" t="s">
        <v>376</v>
      </c>
      <c r="AR10268" s="4" t="s">
        <v>377</v>
      </c>
    </row>
    <row r="10269" spans="1:44">
      <c r="A10269" s="4" t="s">
        <v>10753</v>
      </c>
      <c r="B10269" s="4">
        <v>223565</v>
      </c>
      <c r="D10269" s="5">
        <v>223565</v>
      </c>
      <c r="E10269" s="6" t="str">
        <f>HYPERLINK("https://inpn.mnhn.fr/espece/cd_nom/223565","Abraeus roubali Olexa, 1958")</f>
        <v>Abraeus roubali Olexa, 1958</v>
      </c>
      <c r="AH10269" s="4" t="str">
        <f>HYPERLINK("#Statut_biogéographique!A"&amp;_xlfn.XMATCH("P",Statut_biogéographique!A:A,2,1),"P")</f>
        <v>P</v>
      </c>
      <c r="AP10269" s="4" t="s">
        <v>376</v>
      </c>
      <c r="AR10269" s="4" t="s">
        <v>377</v>
      </c>
    </row>
    <row r="10270" spans="1:44">
      <c r="A10270" s="4" t="s">
        <v>10753</v>
      </c>
      <c r="B10270" s="4">
        <v>223570</v>
      </c>
      <c r="D10270" s="5" t="s">
        <v>13419</v>
      </c>
      <c r="E10270" s="6" t="str">
        <f>HYPERLINK("https://inpn.mnhn.fr/espece/cd_nom/223570","Plegaderus vulneratus (Panzer, 1797)")</f>
        <v>Plegaderus vulneratus (Panzer, 1797)</v>
      </c>
      <c r="AH10270" s="4" t="str">
        <f>HYPERLINK("#Statut_biogéographique!A"&amp;_xlfn.XMATCH("P",Statut_biogéographique!A:A,2,1),"P")</f>
        <v>P</v>
      </c>
      <c r="AP10270" s="4" t="s">
        <v>376</v>
      </c>
      <c r="AR10270" s="4" t="s">
        <v>377</v>
      </c>
    </row>
    <row r="10271" spans="1:44">
      <c r="A10271" s="4" t="s">
        <v>10753</v>
      </c>
      <c r="B10271" s="4">
        <v>223571</v>
      </c>
      <c r="D10271" s="5" t="s">
        <v>13420</v>
      </c>
      <c r="E10271" s="6" t="str">
        <f>HYPERLINK("https://inpn.mnhn.fr/espece/cd_nom/223571","Plegaderus caesus (Herbst, 1791)")</f>
        <v>Plegaderus caesus (Herbst, 1791)</v>
      </c>
      <c r="AH10271" s="4" t="str">
        <f>HYPERLINK("#Statut_biogéographique!A"&amp;_xlfn.XMATCH("P",Statut_biogéographique!A:A,2,1),"P")</f>
        <v>P</v>
      </c>
      <c r="AP10271" s="4" t="s">
        <v>376</v>
      </c>
      <c r="AR10271" s="4" t="s">
        <v>377</v>
      </c>
    </row>
    <row r="10272" spans="1:44">
      <c r="A10272" s="4" t="s">
        <v>10753</v>
      </c>
      <c r="B10272" s="4">
        <v>223572</v>
      </c>
      <c r="D10272" s="5" t="s">
        <v>13421</v>
      </c>
      <c r="E10272" s="6" t="str">
        <f>HYPERLINK("https://inpn.mnhn.fr/espece/cd_nom/223572","Plegaderus dissectus Erichson, 1839")</f>
        <v>Plegaderus dissectus Erichson, 1839</v>
      </c>
      <c r="AH10272" s="4" t="str">
        <f>HYPERLINK("#Statut_biogéographique!A"&amp;_xlfn.XMATCH("P",Statut_biogéographique!A:A,2,1),"P")</f>
        <v>P</v>
      </c>
      <c r="AP10272" s="4" t="s">
        <v>376</v>
      </c>
      <c r="AR10272" s="4" t="s">
        <v>377</v>
      </c>
    </row>
    <row r="10273" spans="1:44" ht="30">
      <c r="A10273" s="4" t="s">
        <v>10753</v>
      </c>
      <c r="B10273" s="4">
        <v>223580</v>
      </c>
      <c r="D10273" s="5" t="s">
        <v>13422</v>
      </c>
      <c r="E10273" s="6" t="str">
        <f>HYPERLINK("https://inpn.mnhn.fr/espece/cd_nom/223580","Acritus nigricornis (Hoffmann, 1803)")</f>
        <v>Acritus nigricornis (Hoffmann, 1803)</v>
      </c>
      <c r="AH10273" s="4" t="str">
        <f>HYPERLINK("#Statut_biogéographique!A"&amp;_xlfn.XMATCH("P",Statut_biogéographique!A:A,2,1),"P")</f>
        <v>P</v>
      </c>
      <c r="AP10273" s="4" t="s">
        <v>376</v>
      </c>
      <c r="AR10273" s="4" t="s">
        <v>377</v>
      </c>
    </row>
    <row r="10274" spans="1:44">
      <c r="A10274" s="4" t="s">
        <v>10753</v>
      </c>
      <c r="B10274" s="4">
        <v>223581</v>
      </c>
      <c r="D10274" s="5" t="s">
        <v>13423</v>
      </c>
      <c r="E10274" s="6" t="str">
        <f>HYPERLINK("https://inpn.mnhn.fr/espece/cd_nom/223581","Acritus homoeopathicus Wollaston, 1857")</f>
        <v>Acritus homoeopathicus Wollaston, 1857</v>
      </c>
      <c r="AH10274" s="4" t="str">
        <f>HYPERLINK("#Statut_biogéographique!A"&amp;_xlfn.XMATCH("P",Statut_biogéographique!A:A,2,1),"P")</f>
        <v>P</v>
      </c>
      <c r="AP10274" s="4" t="s">
        <v>376</v>
      </c>
      <c r="AR10274" s="4" t="s">
        <v>377</v>
      </c>
    </row>
    <row r="10275" spans="1:44">
      <c r="A10275" s="4" t="s">
        <v>10753</v>
      </c>
      <c r="B10275" s="4">
        <v>223585</v>
      </c>
      <c r="D10275" s="5" t="s">
        <v>13424</v>
      </c>
      <c r="E10275" s="6" t="str">
        <f>HYPERLINK("https://inpn.mnhn.fr/espece/cd_nom/223585","Dendrophilus punctatus (Herbst, 1791)")</f>
        <v>Dendrophilus punctatus (Herbst, 1791)</v>
      </c>
      <c r="AH10275" s="4" t="str">
        <f>HYPERLINK("#Statut_biogéographique!A"&amp;_xlfn.XMATCH("P",Statut_biogéographique!A:A,2,1),"P")</f>
        <v>P</v>
      </c>
      <c r="AP10275" s="4" t="s">
        <v>376</v>
      </c>
      <c r="AR10275" s="4" t="s">
        <v>377</v>
      </c>
    </row>
    <row r="10276" spans="1:44" ht="30">
      <c r="A10276" s="4" t="s">
        <v>10753</v>
      </c>
      <c r="B10276" s="4">
        <v>223586</v>
      </c>
      <c r="D10276" s="5" t="s">
        <v>13425</v>
      </c>
      <c r="E10276" s="6" t="str">
        <f>HYPERLINK("https://inpn.mnhn.fr/espece/cd_nom/223586","Dendrophilus pygmaeus (Linnaeus, 1758)")</f>
        <v>Dendrophilus pygmaeus (Linnaeus, 1758)</v>
      </c>
      <c r="AH10276" s="4" t="str">
        <f>HYPERLINK("#Statut_biogéographique!A"&amp;_xlfn.XMATCH("P",Statut_biogéographique!A:A,2,1),"P")</f>
        <v>P</v>
      </c>
      <c r="AP10276" s="4" t="s">
        <v>376</v>
      </c>
      <c r="AR10276" s="4" t="s">
        <v>377</v>
      </c>
    </row>
    <row r="10277" spans="1:44">
      <c r="A10277" s="4" t="s">
        <v>10753</v>
      </c>
      <c r="B10277" s="4">
        <v>223591</v>
      </c>
      <c r="D10277" s="5" t="s">
        <v>13426</v>
      </c>
      <c r="E10277" s="6" t="str">
        <f>HYPERLINK("https://inpn.mnhn.fr/espece/cd_nom/223591","Paromalus flavicornis (Herbst, 1791)")</f>
        <v>Paromalus flavicornis (Herbst, 1791)</v>
      </c>
      <c r="AH10277" s="4" t="str">
        <f>HYPERLINK("#Statut_biogéographique!A"&amp;_xlfn.XMATCH("P",Statut_biogéographique!A:A,2,1),"P")</f>
        <v>P</v>
      </c>
      <c r="AP10277" s="4" t="s">
        <v>376</v>
      </c>
      <c r="AR10277" s="4" t="s">
        <v>377</v>
      </c>
    </row>
    <row r="10278" spans="1:44">
      <c r="A10278" s="4" t="s">
        <v>10753</v>
      </c>
      <c r="B10278" s="4">
        <v>223592</v>
      </c>
      <c r="D10278" s="5" t="s">
        <v>13427</v>
      </c>
      <c r="E10278" s="6" t="str">
        <f>HYPERLINK("https://inpn.mnhn.fr/espece/cd_nom/223592","Paromalus parallelepipedus (Herbst, 1791)")</f>
        <v>Paromalus parallelepipedus (Herbst, 1791)</v>
      </c>
      <c r="AH10278" s="4" t="str">
        <f>HYPERLINK("#Statut_biogéographique!A"&amp;_xlfn.XMATCH("P",Statut_biogéographique!A:A,2,1),"P")</f>
        <v>P</v>
      </c>
      <c r="AP10278" s="4" t="s">
        <v>376</v>
      </c>
      <c r="AR10278" s="4" t="s">
        <v>377</v>
      </c>
    </row>
    <row r="10279" spans="1:44" ht="30">
      <c r="A10279" s="4" t="s">
        <v>10753</v>
      </c>
      <c r="B10279" s="4">
        <v>223597</v>
      </c>
      <c r="D10279" s="5" t="s">
        <v>13428</v>
      </c>
      <c r="E10279" s="6" t="str">
        <f>HYPERLINK("https://inpn.mnhn.fr/espece/cd_nom/223597","Carcinops pumilio (Erichson, 1834)")</f>
        <v>Carcinops pumilio (Erichson, 1834)</v>
      </c>
      <c r="AH10279" s="4" t="str">
        <f>HYPERLINK("#Statut_biogéographique!A"&amp;_xlfn.XMATCH("P",Statut_biogéographique!A:A,2,1),"P")</f>
        <v>P</v>
      </c>
      <c r="AP10279" s="4" t="s">
        <v>376</v>
      </c>
      <c r="AR10279" s="4" t="s">
        <v>377</v>
      </c>
    </row>
    <row r="10280" spans="1:44">
      <c r="A10280" s="4" t="s">
        <v>10753</v>
      </c>
      <c r="B10280" s="4">
        <v>22360</v>
      </c>
      <c r="D10280" s="5">
        <v>22360</v>
      </c>
      <c r="E10280" s="6" t="str">
        <f>HYPERLINK("https://inpn.mnhn.fr/espece/cd_nom/22360","Haematopota italica Meigen, 1804")</f>
        <v>Haematopota italica Meigen, 1804</v>
      </c>
      <c r="AH10280" s="4" t="str">
        <f>HYPERLINK("#Statut_biogéographique!A"&amp;_xlfn.XMATCH("P",Statut_biogéographique!A:A,2,1),"P")</f>
        <v>P</v>
      </c>
      <c r="AP10280" s="4" t="s">
        <v>376</v>
      </c>
      <c r="AR10280" s="4" t="s">
        <v>377</v>
      </c>
    </row>
    <row r="10281" spans="1:44">
      <c r="A10281" s="4" t="s">
        <v>10753</v>
      </c>
      <c r="B10281" s="4">
        <v>223600</v>
      </c>
      <c r="D10281" s="5" t="s">
        <v>13429</v>
      </c>
      <c r="E10281" s="6" t="str">
        <f>HYPERLINK("https://inpn.mnhn.fr/espece/cd_nom/223600","Haeterius ferrugineus (Olivier, 1789)")</f>
        <v>Haeterius ferrugineus (Olivier, 1789)</v>
      </c>
      <c r="AH10281" s="4" t="str">
        <f>HYPERLINK("#Statut_biogéographique!A"&amp;_xlfn.XMATCH("P",Statut_biogéographique!A:A,2,1),"P")</f>
        <v>P</v>
      </c>
      <c r="AP10281" s="4" t="s">
        <v>376</v>
      </c>
      <c r="AR10281" s="4" t="s">
        <v>377</v>
      </c>
    </row>
    <row r="10282" spans="1:44">
      <c r="A10282" s="4" t="s">
        <v>10753</v>
      </c>
      <c r="B10282" s="4">
        <v>223602</v>
      </c>
      <c r="D10282" s="5" t="s">
        <v>13430</v>
      </c>
      <c r="E10282" s="6" t="str">
        <f>HYPERLINK("https://inpn.mnhn.fr/espece/cd_nom/223602","Hololepta plana (Sulzer, 1776)")</f>
        <v>Hololepta plana (Sulzer, 1776)</v>
      </c>
      <c r="F10282" s="5" t="s">
        <v>13431</v>
      </c>
      <c r="AH10282" s="4" t="str">
        <f>HYPERLINK("#Statut_biogéographique!A"&amp;_xlfn.XMATCH("P",Statut_biogéographique!A:A,2,1),"P")</f>
        <v>P</v>
      </c>
      <c r="AP10282" s="4" t="s">
        <v>376</v>
      </c>
      <c r="AR10282" s="4" t="s">
        <v>377</v>
      </c>
    </row>
    <row r="10283" spans="1:44">
      <c r="A10283" s="4" t="s">
        <v>10753</v>
      </c>
      <c r="B10283" s="4">
        <v>223608</v>
      </c>
      <c r="D10283" s="5" t="s">
        <v>13432</v>
      </c>
      <c r="E10283" s="6" t="str">
        <f>HYPERLINK("https://inpn.mnhn.fr/espece/cd_nom/223608","Atholus duodecimstriatus (Schrank, 1781)")</f>
        <v>Atholus duodecimstriatus (Schrank, 1781)</v>
      </c>
      <c r="AH10283" s="4" t="str">
        <f>HYPERLINK("#Statut_biogéographique!A"&amp;_xlfn.XMATCH("P",Statut_biogéographique!A:A,2,1),"P")</f>
        <v>P</v>
      </c>
      <c r="AP10283" s="4" t="s">
        <v>376</v>
      </c>
      <c r="AR10283" s="4" t="s">
        <v>377</v>
      </c>
    </row>
    <row r="10284" spans="1:44">
      <c r="A10284" s="4" t="s">
        <v>10753</v>
      </c>
      <c r="B10284" s="4">
        <v>223609</v>
      </c>
      <c r="D10284" s="5" t="s">
        <v>13433</v>
      </c>
      <c r="E10284" s="6" t="str">
        <f>HYPERLINK("https://inpn.mnhn.fr/espece/cd_nom/223609","Atholus corvinus (Germar, 1817)")</f>
        <v>Atholus corvinus (Germar, 1817)</v>
      </c>
      <c r="AH10284" s="4" t="str">
        <f>HYPERLINK("#Statut_biogéographique!A"&amp;_xlfn.XMATCH("P",Statut_biogéographique!A:A,2,1),"P")</f>
        <v>P</v>
      </c>
      <c r="AP10284" s="4" t="s">
        <v>376</v>
      </c>
      <c r="AR10284" s="4" t="s">
        <v>377</v>
      </c>
    </row>
    <row r="10285" spans="1:44">
      <c r="A10285" s="4" t="s">
        <v>10753</v>
      </c>
      <c r="B10285" s="4">
        <v>223614</v>
      </c>
      <c r="D10285" s="5">
        <v>223614</v>
      </c>
      <c r="E10285" s="6" t="str">
        <f>HYPERLINK("https://inpn.mnhn.fr/espece/cd_nom/223614","Hister quadrinotatus Scriba, 1790")</f>
        <v>Hister quadrinotatus Scriba, 1790</v>
      </c>
      <c r="AH10285" s="4" t="str">
        <f>HYPERLINK("#Statut_biogéographique!A"&amp;_xlfn.XMATCH("P",Statut_biogéographique!A:A,2,1),"P")</f>
        <v>P</v>
      </c>
      <c r="AP10285" s="4" t="s">
        <v>376</v>
      </c>
      <c r="AR10285" s="4" t="s">
        <v>377</v>
      </c>
    </row>
    <row r="10286" spans="1:44">
      <c r="A10286" s="4" t="s">
        <v>10753</v>
      </c>
      <c r="B10286" s="4">
        <v>223616</v>
      </c>
      <c r="D10286" s="5">
        <v>223616</v>
      </c>
      <c r="E10286" s="6" t="str">
        <f>HYPERLINK("https://inpn.mnhn.fr/espece/cd_nom/223616","Hister illigeri Duftschmid, 1805")</f>
        <v>Hister illigeri Duftschmid, 1805</v>
      </c>
      <c r="AH10286" s="4" t="str">
        <f>HYPERLINK("#Statut_biogéographique!A"&amp;_xlfn.XMATCH("P",Statut_biogéographique!A:A,2,1),"P")</f>
        <v>P</v>
      </c>
      <c r="AP10286" s="4" t="s">
        <v>376</v>
      </c>
      <c r="AR10286" s="4" t="s">
        <v>377</v>
      </c>
    </row>
    <row r="10287" spans="1:44">
      <c r="A10287" s="4" t="s">
        <v>10753</v>
      </c>
      <c r="B10287" s="4">
        <v>223625</v>
      </c>
      <c r="D10287" s="5" t="s">
        <v>13434</v>
      </c>
      <c r="E10287" s="6" t="str">
        <f>HYPERLINK("https://inpn.mnhn.fr/espece/cd_nom/223625","Margarinotus merdarius (Hoffmann, 1803)")</f>
        <v>Margarinotus merdarius (Hoffmann, 1803)</v>
      </c>
      <c r="AH10287" s="4" t="str">
        <f>HYPERLINK("#Statut_biogéographique!A"&amp;_xlfn.XMATCH("P",Statut_biogéographique!A:A,2,1),"P")</f>
        <v>P</v>
      </c>
      <c r="AP10287" s="4" t="s">
        <v>376</v>
      </c>
      <c r="AR10287" s="4" t="s">
        <v>377</v>
      </c>
    </row>
    <row r="10288" spans="1:44">
      <c r="A10288" s="4" t="s">
        <v>10753</v>
      </c>
      <c r="B10288" s="4">
        <v>223627</v>
      </c>
      <c r="D10288" s="5" t="s">
        <v>13435</v>
      </c>
      <c r="E10288" s="6" t="str">
        <f>HYPERLINK("https://inpn.mnhn.fr/espece/cd_nom/223627","Margarinotus striola (Sahlberg, 1819)")</f>
        <v>Margarinotus striola (Sahlberg, 1819)</v>
      </c>
      <c r="AH10288" s="4" t="str">
        <f>HYPERLINK("#Statut_biogéographique!A"&amp;_xlfn.XMATCH("P",Statut_biogéographique!A:A,2,1),"P")</f>
        <v>P</v>
      </c>
      <c r="AP10288" s="4" t="s">
        <v>376</v>
      </c>
      <c r="AR10288" s="4" t="s">
        <v>377</v>
      </c>
    </row>
    <row r="10289" spans="1:44" ht="30">
      <c r="A10289" s="4" t="s">
        <v>10753</v>
      </c>
      <c r="B10289" s="4">
        <v>223628</v>
      </c>
      <c r="D10289" s="5" t="s">
        <v>13436</v>
      </c>
      <c r="E10289" s="6" t="str">
        <f>HYPERLINK("https://inpn.mnhn.fr/espece/cd_nom/223628","Margarinotus brunneus (Fabricius, 1775)")</f>
        <v>Margarinotus brunneus (Fabricius, 1775)</v>
      </c>
      <c r="AH10289" s="4" t="str">
        <f>HYPERLINK("#Statut_biogéographique!A"&amp;_xlfn.XMATCH("P",Statut_biogéographique!A:A,2,1),"P")</f>
        <v>P</v>
      </c>
      <c r="AP10289" s="4" t="s">
        <v>376</v>
      </c>
      <c r="AR10289" s="4" t="s">
        <v>377</v>
      </c>
    </row>
    <row r="10290" spans="1:44">
      <c r="A10290" s="4" t="s">
        <v>10753</v>
      </c>
      <c r="B10290" s="4">
        <v>22363</v>
      </c>
      <c r="D10290" s="5">
        <v>22363</v>
      </c>
      <c r="E10290" s="6" t="str">
        <f>HYPERLINK("https://inpn.mnhn.fr/espece/cd_nom/22363","Haematopota subcylindrica Pandellé, 1883")</f>
        <v>Haematopota subcylindrica Pandellé, 1883</v>
      </c>
      <c r="AH10290" s="4" t="str">
        <f>HYPERLINK("#Statut_biogéographique!A"&amp;_xlfn.XMATCH("P",Statut_biogéographique!A:A,2,1),"P")</f>
        <v>P</v>
      </c>
      <c r="AP10290" s="4" t="s">
        <v>376</v>
      </c>
      <c r="AR10290" s="4" t="s">
        <v>377</v>
      </c>
    </row>
    <row r="10291" spans="1:44" ht="30">
      <c r="A10291" s="4" t="s">
        <v>10753</v>
      </c>
      <c r="B10291" s="4">
        <v>223631</v>
      </c>
      <c r="D10291" s="5" t="s">
        <v>13437</v>
      </c>
      <c r="E10291" s="6" t="str">
        <f>HYPERLINK("https://inpn.mnhn.fr/espece/cd_nom/223631","Margarinotus obscurus (Kugelann, 1792)")</f>
        <v>Margarinotus obscurus (Kugelann, 1792)</v>
      </c>
      <c r="AH10291" s="4" t="str">
        <f>HYPERLINK("#Statut_biogéographique!A"&amp;_xlfn.XMATCH("P",Statut_biogéographique!A:A,2,1),"P")</f>
        <v>P</v>
      </c>
      <c r="AP10291" s="4" t="s">
        <v>376</v>
      </c>
      <c r="AR10291" s="4" t="s">
        <v>377</v>
      </c>
    </row>
    <row r="10292" spans="1:44">
      <c r="A10292" s="4" t="s">
        <v>10753</v>
      </c>
      <c r="B10292" s="4">
        <v>223633</v>
      </c>
      <c r="D10292" s="5" t="s">
        <v>13438</v>
      </c>
      <c r="E10292" s="6" t="str">
        <f>HYPERLINK("https://inpn.mnhn.fr/espece/cd_nom/223633","Margarinotus purpurascens (Herbst, 1791)")</f>
        <v>Margarinotus purpurascens (Herbst, 1791)</v>
      </c>
      <c r="AH10292" s="4" t="str">
        <f>HYPERLINK("#Statut_biogéographique!A"&amp;_xlfn.XMATCH("P",Statut_biogéographique!A:A,2,1),"P")</f>
        <v>P</v>
      </c>
      <c r="AP10292" s="4" t="s">
        <v>376</v>
      </c>
      <c r="AR10292" s="4" t="s">
        <v>377</v>
      </c>
    </row>
    <row r="10293" spans="1:44">
      <c r="A10293" s="4" t="s">
        <v>10753</v>
      </c>
      <c r="B10293" s="4">
        <v>223634</v>
      </c>
      <c r="D10293" s="5" t="s">
        <v>13439</v>
      </c>
      <c r="E10293" s="6" t="str">
        <f>HYPERLINK("https://inpn.mnhn.fr/espece/cd_nom/223634","Margarinotus neglectus (Germar, 1813)")</f>
        <v>Margarinotus neglectus (Germar, 1813)</v>
      </c>
      <c r="AH10293" s="4" t="str">
        <f>HYPERLINK("#Statut_biogéographique!A"&amp;_xlfn.XMATCH("P",Statut_biogéographique!A:A,2,1),"P")</f>
        <v>P</v>
      </c>
      <c r="AP10293" s="4" t="s">
        <v>376</v>
      </c>
      <c r="AR10293" s="4" t="s">
        <v>377</v>
      </c>
    </row>
    <row r="10294" spans="1:44">
      <c r="A10294" s="4" t="s">
        <v>10753</v>
      </c>
      <c r="B10294" s="4">
        <v>223635</v>
      </c>
      <c r="D10294" s="5" t="s">
        <v>13440</v>
      </c>
      <c r="E10294" s="6" t="str">
        <f>HYPERLINK("https://inpn.mnhn.fr/espece/cd_nom/223635","Margarinotus ventralis (Marseul, 1854)")</f>
        <v>Margarinotus ventralis (Marseul, 1854)</v>
      </c>
      <c r="AH10294" s="4" t="str">
        <f>HYPERLINK("#Statut_biogéographique!A"&amp;_xlfn.XMATCH("P",Statut_biogéographique!A:A,2,1),"P")</f>
        <v>P</v>
      </c>
      <c r="AP10294" s="4" t="s">
        <v>376</v>
      </c>
      <c r="AR10294" s="4" t="s">
        <v>377</v>
      </c>
    </row>
    <row r="10295" spans="1:44">
      <c r="A10295" s="4" t="s">
        <v>10753</v>
      </c>
      <c r="B10295" s="4">
        <v>223637</v>
      </c>
      <c r="D10295" s="5" t="s">
        <v>13441</v>
      </c>
      <c r="E10295" s="6" t="str">
        <f>HYPERLINK("https://inpn.mnhn.fr/espece/cd_nom/223637","Margarinotus ignobilis (Marseul, 1854)")</f>
        <v>Margarinotus ignobilis (Marseul, 1854)</v>
      </c>
      <c r="AH10295" s="4" t="str">
        <f>HYPERLINK("#Statut_biogéographique!A"&amp;_xlfn.XMATCH("P",Statut_biogéographique!A:A,2,1),"P")</f>
        <v>P</v>
      </c>
      <c r="AP10295" s="4" t="s">
        <v>376</v>
      </c>
      <c r="AR10295" s="4" t="s">
        <v>377</v>
      </c>
    </row>
    <row r="10296" spans="1:44">
      <c r="A10296" s="4" t="s">
        <v>10753</v>
      </c>
      <c r="B10296" s="4">
        <v>223638</v>
      </c>
      <c r="D10296" s="5" t="s">
        <v>13442</v>
      </c>
      <c r="E10296" s="6" t="str">
        <f>HYPERLINK("https://inpn.mnhn.fr/espece/cd_nom/223638","Margarinotus punctiventer (Marseul, 1854)")</f>
        <v>Margarinotus punctiventer (Marseul, 1854)</v>
      </c>
      <c r="AH10296" s="4" t="str">
        <f>HYPERLINK("#Statut_biogéographique!A"&amp;_xlfn.XMATCH("P",Statut_biogéographique!A:A,2,1),"P")</f>
        <v>P</v>
      </c>
      <c r="AP10296" s="4" t="s">
        <v>376</v>
      </c>
      <c r="AR10296" s="4" t="s">
        <v>377</v>
      </c>
    </row>
    <row r="10297" spans="1:44">
      <c r="A10297" s="4" t="s">
        <v>10753</v>
      </c>
      <c r="B10297" s="4">
        <v>223639</v>
      </c>
      <c r="D10297" s="5" t="s">
        <v>13443</v>
      </c>
      <c r="E10297" s="6" t="str">
        <f>HYPERLINK("https://inpn.mnhn.fr/espece/cd_nom/223639","Margarinotus carbonarius (Hoffmann, 1803)")</f>
        <v>Margarinotus carbonarius (Hoffmann, 1803)</v>
      </c>
      <c r="AH10297" s="4" t="str">
        <f>HYPERLINK("#Statut_biogéographique!A"&amp;_xlfn.XMATCH("P",Statut_biogéographique!A:A,2,1),"P")</f>
        <v>P</v>
      </c>
      <c r="AP10297" s="4" t="s">
        <v>376</v>
      </c>
      <c r="AR10297" s="4" t="s">
        <v>377</v>
      </c>
    </row>
    <row r="10298" spans="1:44">
      <c r="A10298" s="4" t="s">
        <v>10753</v>
      </c>
      <c r="B10298" s="4">
        <v>223651</v>
      </c>
      <c r="D10298" s="5" t="s">
        <v>13444</v>
      </c>
      <c r="E10298" s="6" t="str">
        <f>HYPERLINK("https://inpn.mnhn.fr/espece/cd_nom/223651","Hygrobia hermanni (Fabricius, 1775)")</f>
        <v>Hygrobia hermanni (Fabricius, 1775)</v>
      </c>
      <c r="F10298" s="5" t="s">
        <v>13445</v>
      </c>
      <c r="AH10298" s="4" t="str">
        <f>HYPERLINK("#Statut_biogéographique!A"&amp;_xlfn.XMATCH("P",Statut_biogéographique!A:A,2,1),"P")</f>
        <v>P</v>
      </c>
      <c r="AP10298" s="4" t="s">
        <v>376</v>
      </c>
      <c r="AR10298" s="4" t="s">
        <v>377</v>
      </c>
    </row>
    <row r="10299" spans="1:44">
      <c r="A10299" s="4" t="s">
        <v>10753</v>
      </c>
      <c r="B10299" s="4">
        <v>223652</v>
      </c>
      <c r="D10299" s="5" t="s">
        <v>13446</v>
      </c>
      <c r="E10299" s="6" t="str">
        <f>HYPERLINK("https://inpn.mnhn.fr/espece/cd_nom/223652","Kateretes pedicularius (Linnaeus, 1758)")</f>
        <v>Kateretes pedicularius (Linnaeus, 1758)</v>
      </c>
      <c r="AH10299" s="4" t="str">
        <f>HYPERLINK("#Statut_biogéographique!A"&amp;_xlfn.XMATCH("P",Statut_biogéographique!A:A,2,1),"P")</f>
        <v>P</v>
      </c>
      <c r="AP10299" s="4" t="s">
        <v>376</v>
      </c>
      <c r="AR10299" s="4" t="s">
        <v>377</v>
      </c>
    </row>
    <row r="10300" spans="1:44">
      <c r="A10300" s="4" t="s">
        <v>10753</v>
      </c>
      <c r="B10300" s="4">
        <v>223653</v>
      </c>
      <c r="D10300" s="5" t="s">
        <v>13447</v>
      </c>
      <c r="E10300" s="6" t="str">
        <f>HYPERLINK("https://inpn.mnhn.fr/espece/cd_nom/223653","Kateretes pusillus (Thunberg, 1794)")</f>
        <v>Kateretes pusillus (Thunberg, 1794)</v>
      </c>
      <c r="AH10300" s="4" t="str">
        <f>HYPERLINK("#Statut_biogéographique!A"&amp;_xlfn.XMATCH("P",Statut_biogéographique!A:A,2,1),"P")</f>
        <v>P</v>
      </c>
      <c r="AP10300" s="4" t="s">
        <v>376</v>
      </c>
      <c r="AR10300" s="4" t="s">
        <v>377</v>
      </c>
    </row>
    <row r="10301" spans="1:44" ht="30">
      <c r="A10301" s="4" t="s">
        <v>10753</v>
      </c>
      <c r="B10301" s="4">
        <v>223655</v>
      </c>
      <c r="D10301" s="5" t="s">
        <v>13448</v>
      </c>
      <c r="E10301" s="6" t="str">
        <f>HYPERLINK("https://inpn.mnhn.fr/espece/cd_nom/223655","Heterhelus scutellaris (Heer, 1841)")</f>
        <v>Heterhelus scutellaris (Heer, 1841)</v>
      </c>
      <c r="AH10301" s="4" t="str">
        <f>HYPERLINK("#Statut_biogéographique!A"&amp;_xlfn.XMATCH("P",Statut_biogéographique!A:A,2,1),"P")</f>
        <v>P</v>
      </c>
      <c r="AP10301" s="4" t="s">
        <v>376</v>
      </c>
      <c r="AR10301" s="4" t="s">
        <v>377</v>
      </c>
    </row>
    <row r="10302" spans="1:44" ht="30">
      <c r="A10302" s="4" t="s">
        <v>10753</v>
      </c>
      <c r="B10302" s="4">
        <v>223656</v>
      </c>
      <c r="D10302" s="5" t="s">
        <v>13449</v>
      </c>
      <c r="E10302" s="6" t="str">
        <f>HYPERLINK("https://inpn.mnhn.fr/espece/cd_nom/223656","Heterhelus solani (Heer, 1841)")</f>
        <v>Heterhelus solani (Heer, 1841)</v>
      </c>
      <c r="AH10302" s="4" t="str">
        <f>HYPERLINK("#Statut_biogéographique!A"&amp;_xlfn.XMATCH("P",Statut_biogéographique!A:A,2,1),"P")</f>
        <v>P</v>
      </c>
      <c r="AP10302" s="4" t="s">
        <v>376</v>
      </c>
      <c r="AR10302" s="4" t="s">
        <v>377</v>
      </c>
    </row>
    <row r="10303" spans="1:44" ht="30">
      <c r="A10303" s="4" t="s">
        <v>10753</v>
      </c>
      <c r="B10303" s="4">
        <v>223659</v>
      </c>
      <c r="D10303" s="5" t="s">
        <v>13450</v>
      </c>
      <c r="E10303" s="6" t="str">
        <f>HYPERLINK("https://inpn.mnhn.fr/espece/cd_nom/223659","Brachypterus glaber (Newman, 1834)")</f>
        <v>Brachypterus glaber (Newman, 1834)</v>
      </c>
      <c r="AH10303" s="4" t="str">
        <f>HYPERLINK("#Statut_biogéographique!A"&amp;_xlfn.XMATCH("P",Statut_biogéographique!A:A,2,1),"P")</f>
        <v>P</v>
      </c>
      <c r="AP10303" s="4" t="s">
        <v>376</v>
      </c>
      <c r="AR10303" s="4" t="s">
        <v>377</v>
      </c>
    </row>
    <row r="10304" spans="1:44" ht="30">
      <c r="A10304" s="4" t="s">
        <v>10753</v>
      </c>
      <c r="B10304" s="4">
        <v>223660</v>
      </c>
      <c r="D10304" s="5" t="s">
        <v>13451</v>
      </c>
      <c r="E10304" s="6" t="str">
        <f>HYPERLINK("https://inpn.mnhn.fr/espece/cd_nom/223660","Brachypterus urticae (Fabricius, 1792)")</f>
        <v>Brachypterus urticae (Fabricius, 1792)</v>
      </c>
      <c r="AH10304" s="4" t="str">
        <f>HYPERLINK("#Statut_biogéographique!A"&amp;_xlfn.XMATCH("P",Statut_biogéographique!A:A,2,1),"P")</f>
        <v>P</v>
      </c>
      <c r="AP10304" s="4" t="s">
        <v>376</v>
      </c>
      <c r="AR10304" s="4" t="s">
        <v>377</v>
      </c>
    </row>
    <row r="10305" spans="1:44">
      <c r="A10305" s="4" t="s">
        <v>10753</v>
      </c>
      <c r="B10305" s="4">
        <v>223664</v>
      </c>
      <c r="D10305" s="5" t="s">
        <v>13452</v>
      </c>
      <c r="E10305" s="6" t="str">
        <f>HYPERLINK("https://inpn.mnhn.fr/espece/cd_nom/223664","Brachypterolus vestitus (Kiesenwetter, 1850)")</f>
        <v>Brachypterolus vestitus (Kiesenwetter, 1850)</v>
      </c>
      <c r="AH10305" s="4" t="str">
        <f>HYPERLINK("#Statut_biogéographique!A"&amp;_xlfn.XMATCH("P",Statut_biogéographique!A:A,2,1),"P")</f>
        <v>P</v>
      </c>
      <c r="AP10305" s="4" t="s">
        <v>376</v>
      </c>
      <c r="AR10305" s="4" t="s">
        <v>377</v>
      </c>
    </row>
    <row r="10306" spans="1:44">
      <c r="A10306" s="4" t="s">
        <v>10753</v>
      </c>
      <c r="B10306" s="4">
        <v>223665</v>
      </c>
      <c r="D10306" s="5" t="s">
        <v>13453</v>
      </c>
      <c r="E10306" s="6" t="str">
        <f>HYPERLINK("https://inpn.mnhn.fr/espece/cd_nom/223665","Brachypterolus linariae (Stephens, 1830)")</f>
        <v>Brachypterolus linariae (Stephens, 1830)</v>
      </c>
      <c r="AH10306" s="4" t="str">
        <f>HYPERLINK("#Statut_biogéographique!A"&amp;_xlfn.XMATCH("P",Statut_biogéographique!A:A,2,1),"P")</f>
        <v>P</v>
      </c>
      <c r="AP10306" s="4" t="s">
        <v>376</v>
      </c>
      <c r="AR10306" s="4" t="s">
        <v>377</v>
      </c>
    </row>
    <row r="10307" spans="1:44">
      <c r="A10307" s="4" t="s">
        <v>10753</v>
      </c>
      <c r="B10307" s="4">
        <v>223666</v>
      </c>
      <c r="D10307" s="5" t="s">
        <v>13454</v>
      </c>
      <c r="E10307" s="6" t="str">
        <f>HYPERLINK("https://inpn.mnhn.fr/espece/cd_nom/223666","Brachypterolus pulicarius (Linnaeus, 1758)")</f>
        <v>Brachypterolus pulicarius (Linnaeus, 1758)</v>
      </c>
      <c r="AH10307" s="4" t="str">
        <f>HYPERLINK("#Statut_biogéographique!A"&amp;_xlfn.XMATCH("P",Statut_biogéographique!A:A,2,1),"P")</f>
        <v>P</v>
      </c>
      <c r="AP10307" s="4" t="s">
        <v>376</v>
      </c>
      <c r="AR10307" s="4" t="s">
        <v>377</v>
      </c>
    </row>
    <row r="10308" spans="1:44">
      <c r="A10308" s="4" t="s">
        <v>10753</v>
      </c>
      <c r="B10308" s="4">
        <v>223683</v>
      </c>
      <c r="D10308" s="5">
        <v>223683</v>
      </c>
      <c r="E10308" s="6" t="str">
        <f>HYPERLINK("https://inpn.mnhn.fr/espece/cd_nom/223683","Colon armipes Kraatz, 1854")</f>
        <v>Colon armipes Kraatz, 1854</v>
      </c>
      <c r="AH10308" s="4" t="str">
        <f>HYPERLINK("#Statut_biogéographique!A"&amp;_xlfn.XMATCH("P",Statut_biogéographique!A:A,2,1),"P")</f>
        <v>P</v>
      </c>
      <c r="AP10308" s="4" t="s">
        <v>376</v>
      </c>
      <c r="AR10308" s="4" t="s">
        <v>377</v>
      </c>
    </row>
    <row r="10309" spans="1:44" ht="30">
      <c r="A10309" s="4" t="s">
        <v>10753</v>
      </c>
      <c r="B10309" s="4">
        <v>223685</v>
      </c>
      <c r="D10309" s="5" t="s">
        <v>13455</v>
      </c>
      <c r="E10309" s="6" t="str">
        <f>HYPERLINK("https://inpn.mnhn.fr/espece/cd_nom/223685","Colon brunneum (Latreille, 1806)")</f>
        <v>Colon brunneum (Latreille, 1806)</v>
      </c>
      <c r="AH10309" s="4" t="str">
        <f>HYPERLINK("#Statut_biogéographique!A"&amp;_xlfn.XMATCH("P",Statut_biogéographique!A:A,2,1),"P")</f>
        <v>P</v>
      </c>
      <c r="AP10309" s="4" t="s">
        <v>376</v>
      </c>
      <c r="AR10309" s="4" t="s">
        <v>377</v>
      </c>
    </row>
    <row r="10310" spans="1:44" ht="30">
      <c r="A10310" s="4" t="s">
        <v>10753</v>
      </c>
      <c r="B10310" s="4">
        <v>223699</v>
      </c>
      <c r="D10310" s="5" t="s">
        <v>13456</v>
      </c>
      <c r="E10310" s="6" t="str">
        <f>HYPERLINK("https://inpn.mnhn.fr/espece/cd_nom/223699","Hydnobius multistriatus (Gyllenhal, 1813)")</f>
        <v>Hydnobius multistriatus (Gyllenhal, 1813)</v>
      </c>
      <c r="AH10310" s="4" t="str">
        <f>HYPERLINK("#Statut_biogéographique!A"&amp;_xlfn.XMATCH("P",Statut_biogéographique!A:A,2,1),"P")</f>
        <v>P</v>
      </c>
      <c r="AP10310" s="4" t="s">
        <v>376</v>
      </c>
      <c r="AR10310" s="4" t="s">
        <v>377</v>
      </c>
    </row>
    <row r="10311" spans="1:44">
      <c r="A10311" s="4" t="s">
        <v>10753</v>
      </c>
      <c r="B10311" s="4">
        <v>223703</v>
      </c>
      <c r="D10311" s="5" t="s">
        <v>13457</v>
      </c>
      <c r="E10311" s="6" t="str">
        <f>HYPERLINK("https://inpn.mnhn.fr/espece/cd_nom/223703","Liocyrtusa vittata (Curtis, 1840)")</f>
        <v>Liocyrtusa vittata (Curtis, 1840)</v>
      </c>
      <c r="AH10311" s="4" t="str">
        <f>HYPERLINK("#Statut_biogéographique!A"&amp;_xlfn.XMATCH("P",Statut_biogéographique!A:A,2,1),"P")</f>
        <v>P</v>
      </c>
      <c r="AP10311" s="4" t="s">
        <v>376</v>
      </c>
      <c r="AR10311" s="4" t="s">
        <v>377</v>
      </c>
    </row>
    <row r="10312" spans="1:44">
      <c r="A10312" s="4" t="s">
        <v>10753</v>
      </c>
      <c r="B10312" s="4">
        <v>223724</v>
      </c>
      <c r="D10312" s="5" t="s">
        <v>13458</v>
      </c>
      <c r="E10312" s="6" t="str">
        <f>HYPERLINK("https://inpn.mnhn.fr/espece/cd_nom/223724","Leiodes lucens (Fairmaire, 1855)")</f>
        <v>Leiodes lucens (Fairmaire, 1855)</v>
      </c>
      <c r="AH10312" s="4" t="str">
        <f>HYPERLINK("#Statut_biogéographique!A"&amp;_xlfn.XMATCH("P",Statut_biogéographique!A:A,2,1),"P")</f>
        <v>P</v>
      </c>
      <c r="AP10312" s="4" t="s">
        <v>376</v>
      </c>
      <c r="AR10312" s="4" t="s">
        <v>377</v>
      </c>
    </row>
    <row r="10313" spans="1:44" ht="30">
      <c r="A10313" s="4" t="s">
        <v>10753</v>
      </c>
      <c r="B10313" s="4">
        <v>223741</v>
      </c>
      <c r="D10313" s="5" t="s">
        <v>13459</v>
      </c>
      <c r="E10313" s="6" t="str">
        <f>HYPERLINK("https://inpn.mnhn.fr/espece/cd_nom/223741","Colenis immunda (Sturm, 1807)")</f>
        <v>Colenis immunda (Sturm, 1807)</v>
      </c>
      <c r="AH10313" s="4" t="str">
        <f>HYPERLINK("#Statut_biogéographique!A"&amp;_xlfn.XMATCH("P",Statut_biogéographique!A:A,2,1),"P")</f>
        <v>P</v>
      </c>
      <c r="AP10313" s="4" t="s">
        <v>376</v>
      </c>
      <c r="AR10313" s="4" t="s">
        <v>377</v>
      </c>
    </row>
    <row r="10314" spans="1:44" ht="30">
      <c r="A10314" s="4" t="s">
        <v>10753</v>
      </c>
      <c r="B10314" s="4">
        <v>223745</v>
      </c>
      <c r="D10314" s="5" t="s">
        <v>13460</v>
      </c>
      <c r="E10314" s="6" t="str">
        <f>HYPERLINK("https://inpn.mnhn.fr/espece/cd_nom/223745","Agathidium nigrinum Sturm, 1807")</f>
        <v>Agathidium nigrinum Sturm, 1807</v>
      </c>
      <c r="AH10314" s="4" t="str">
        <f>HYPERLINK("#Statut_biogéographique!A"&amp;_xlfn.XMATCH("P",Statut_biogéographique!A:A,2,1),"P")</f>
        <v>P</v>
      </c>
      <c r="AP10314" s="4" t="s">
        <v>376</v>
      </c>
      <c r="AR10314" s="4" t="s">
        <v>377</v>
      </c>
    </row>
    <row r="10315" spans="1:44" ht="30">
      <c r="A10315" s="4" t="s">
        <v>10753</v>
      </c>
      <c r="B10315" s="4">
        <v>223747</v>
      </c>
      <c r="D10315" s="5" t="s">
        <v>13461</v>
      </c>
      <c r="E10315" s="6" t="str">
        <f>HYPERLINK("https://inpn.mnhn.fr/espece/cd_nom/223747","Agathidium confusum Brisout de Barneville, 1863")</f>
        <v>Agathidium confusum Brisout de Barneville, 1863</v>
      </c>
      <c r="AH10315" s="4" t="str">
        <f>HYPERLINK("#Statut_biogéographique!A"&amp;_xlfn.XMATCH("P",Statut_biogéographique!A:A,2,1),"P")</f>
        <v>P</v>
      </c>
      <c r="AP10315" s="4" t="s">
        <v>376</v>
      </c>
      <c r="AR10315" s="4" t="s">
        <v>377</v>
      </c>
    </row>
    <row r="10316" spans="1:44">
      <c r="A10316" s="4" t="s">
        <v>10753</v>
      </c>
      <c r="B10316" s="4">
        <v>223752</v>
      </c>
      <c r="D10316" s="5" t="s">
        <v>13462</v>
      </c>
      <c r="E10316" s="6" t="str">
        <f>HYPERLINK("https://inpn.mnhn.fr/espece/cd_nom/223752","Agathidium nigripenne (Fabricius, 1792)")</f>
        <v>Agathidium nigripenne (Fabricius, 1792)</v>
      </c>
      <c r="AH10316" s="4" t="str">
        <f>HYPERLINK("#Statut_biogéographique!A"&amp;_xlfn.XMATCH("P",Statut_biogéographique!A:A,2,1),"P")</f>
        <v>P</v>
      </c>
      <c r="AP10316" s="4" t="s">
        <v>376</v>
      </c>
      <c r="AR10316" s="4" t="s">
        <v>377</v>
      </c>
    </row>
    <row r="10317" spans="1:44">
      <c r="A10317" s="4" t="s">
        <v>10753</v>
      </c>
      <c r="B10317" s="4">
        <v>223755</v>
      </c>
      <c r="D10317" s="5">
        <v>223755</v>
      </c>
      <c r="E10317" s="6" t="str">
        <f>HYPERLINK("https://inpn.mnhn.fr/espece/cd_nom/223755","Agathidium varians Beck, 1817")</f>
        <v>Agathidium varians Beck, 1817</v>
      </c>
      <c r="AH10317" s="4" t="str">
        <f>HYPERLINK("#Statut_biogéographique!A"&amp;_xlfn.XMATCH("P",Statut_biogéographique!A:A,2,1),"P")</f>
        <v>P</v>
      </c>
      <c r="AP10317" s="4" t="s">
        <v>376</v>
      </c>
      <c r="AR10317" s="4" t="s">
        <v>377</v>
      </c>
    </row>
    <row r="10318" spans="1:44" ht="30">
      <c r="A10318" s="4" t="s">
        <v>10753</v>
      </c>
      <c r="B10318" s="4">
        <v>223756</v>
      </c>
      <c r="D10318" s="5" t="s">
        <v>13463</v>
      </c>
      <c r="E10318" s="6" t="str">
        <f>HYPERLINK("https://inpn.mnhn.fr/espece/cd_nom/223756","Agathidium atrum (Paykull, 1798)")</f>
        <v>Agathidium atrum (Paykull, 1798)</v>
      </c>
      <c r="AH10318" s="4" t="str">
        <f>HYPERLINK("#Statut_biogéographique!A"&amp;_xlfn.XMATCH("P",Statut_biogéographique!A:A,2,1),"P")</f>
        <v>P</v>
      </c>
      <c r="AP10318" s="4" t="s">
        <v>376</v>
      </c>
      <c r="AR10318" s="4" t="s">
        <v>377</v>
      </c>
    </row>
    <row r="10319" spans="1:44">
      <c r="A10319" s="4" t="s">
        <v>10753</v>
      </c>
      <c r="B10319" s="4">
        <v>223759</v>
      </c>
      <c r="D10319" s="5">
        <v>223759</v>
      </c>
      <c r="E10319" s="6" t="str">
        <f>HYPERLINK("https://inpn.mnhn.fr/espece/cd_nom/223759","Agathidium laevigatum Erichson, 1845")</f>
        <v>Agathidium laevigatum Erichson, 1845</v>
      </c>
      <c r="AH10319" s="4" t="str">
        <f>HYPERLINK("#Statut_biogéographique!A"&amp;_xlfn.XMATCH("P",Statut_biogéographique!A:A,2,1),"P")</f>
        <v>P</v>
      </c>
      <c r="AP10319" s="4" t="s">
        <v>376</v>
      </c>
      <c r="AR10319" s="4" t="s">
        <v>377</v>
      </c>
    </row>
    <row r="10320" spans="1:44">
      <c r="A10320" s="4" t="s">
        <v>10753</v>
      </c>
      <c r="B10320" s="4">
        <v>223762</v>
      </c>
      <c r="D10320" s="5" t="s">
        <v>13464</v>
      </c>
      <c r="E10320" s="6" t="str">
        <f>HYPERLINK("https://inpn.mnhn.fr/espece/cd_nom/223762","Liodopria serricorne (Gyllenhal, 1813)")</f>
        <v>Liodopria serricorne (Gyllenhal, 1813)</v>
      </c>
      <c r="AH10320" s="4" t="str">
        <f>HYPERLINK("#Statut_biogéographique!A"&amp;_xlfn.XMATCH("P",Statut_biogéographique!A:A,2,1),"P")</f>
        <v>P</v>
      </c>
      <c r="AP10320" s="4" t="s">
        <v>376</v>
      </c>
      <c r="AR10320" s="4" t="s">
        <v>377</v>
      </c>
    </row>
    <row r="10321" spans="1:44">
      <c r="A10321" s="4" t="s">
        <v>10753</v>
      </c>
      <c r="B10321" s="4">
        <v>223763</v>
      </c>
      <c r="D10321" s="5" t="s">
        <v>13465</v>
      </c>
      <c r="E10321" s="6" t="str">
        <f>HYPERLINK("https://inpn.mnhn.fr/espece/cd_nom/223763","Amphicyllis globiformis (C.R. Sahlberg, 1833)")</f>
        <v>Amphicyllis globiformis (C.R. Sahlberg, 1833)</v>
      </c>
      <c r="AH10321" s="4" t="str">
        <f>HYPERLINK("#Statut_biogéographique!A"&amp;_xlfn.XMATCH("P",Statut_biogéographique!A:A,2,1),"P")</f>
        <v>P</v>
      </c>
      <c r="AP10321" s="4" t="s">
        <v>376</v>
      </c>
      <c r="AR10321" s="4" t="s">
        <v>377</v>
      </c>
    </row>
    <row r="10322" spans="1:44">
      <c r="A10322" s="4" t="s">
        <v>10753</v>
      </c>
      <c r="B10322" s="4">
        <v>223764</v>
      </c>
      <c r="D10322" s="5" t="s">
        <v>13466</v>
      </c>
      <c r="E10322" s="6" t="str">
        <f>HYPERLINK("https://inpn.mnhn.fr/espece/cd_nom/223764","Amphicyllis globus (Fabricius, 1792)")</f>
        <v>Amphicyllis globus (Fabricius, 1792)</v>
      </c>
      <c r="AH10322" s="4" t="str">
        <f>HYPERLINK("#Statut_biogéographique!A"&amp;_xlfn.XMATCH("P",Statut_biogéographique!A:A,2,1),"P")</f>
        <v>P</v>
      </c>
      <c r="AP10322" s="4" t="s">
        <v>376</v>
      </c>
      <c r="AR10322" s="4" t="s">
        <v>377</v>
      </c>
    </row>
    <row r="10323" spans="1:44">
      <c r="A10323" s="4" t="s">
        <v>10753</v>
      </c>
      <c r="B10323" s="4">
        <v>223765</v>
      </c>
      <c r="D10323" s="5" t="s">
        <v>13467</v>
      </c>
      <c r="E10323" s="6" t="str">
        <f>HYPERLINK("https://inpn.mnhn.fr/espece/cd_nom/223765","Anisotoma axillaris Gyllenhal, 1810")</f>
        <v>Anisotoma axillaris Gyllenhal, 1810</v>
      </c>
      <c r="AH10323" s="4" t="str">
        <f>HYPERLINK("#Statut_biogéographique!A"&amp;_xlfn.XMATCH("P",Statut_biogéographique!A:A,2,1),"P")</f>
        <v>P</v>
      </c>
      <c r="AP10323" s="4" t="s">
        <v>376</v>
      </c>
      <c r="AR10323" s="4" t="s">
        <v>377</v>
      </c>
    </row>
    <row r="10324" spans="1:44">
      <c r="A10324" s="4" t="s">
        <v>10753</v>
      </c>
      <c r="B10324" s="4">
        <v>223766</v>
      </c>
      <c r="D10324" s="5" t="s">
        <v>13468</v>
      </c>
      <c r="E10324" s="6" t="str">
        <f>HYPERLINK("https://inpn.mnhn.fr/espece/cd_nom/223766","Anisotoma castanea (Herbst, 1791)")</f>
        <v>Anisotoma castanea (Herbst, 1791)</v>
      </c>
      <c r="AH10324" s="4" t="str">
        <f>HYPERLINK("#Statut_biogéographique!A"&amp;_xlfn.XMATCH("P",Statut_biogéographique!A:A,2,1),"P")</f>
        <v>P</v>
      </c>
      <c r="AP10324" s="4" t="s">
        <v>376</v>
      </c>
      <c r="AR10324" s="4" t="s">
        <v>377</v>
      </c>
    </row>
    <row r="10325" spans="1:44" ht="30">
      <c r="A10325" s="4" t="s">
        <v>10753</v>
      </c>
      <c r="B10325" s="4">
        <v>223767</v>
      </c>
      <c r="D10325" s="5" t="s">
        <v>13469</v>
      </c>
      <c r="E10325" s="6" t="str">
        <f>HYPERLINK("https://inpn.mnhn.fr/espece/cd_nom/223767","Anisotoma humeralis (Herbst, 1791)")</f>
        <v>Anisotoma humeralis (Herbst, 1791)</v>
      </c>
      <c r="AH10325" s="4" t="str">
        <f>HYPERLINK("#Statut_biogéographique!A"&amp;_xlfn.XMATCH("P",Statut_biogéographique!A:A,2,1),"P")</f>
        <v>P</v>
      </c>
      <c r="AP10325" s="4" t="s">
        <v>376</v>
      </c>
      <c r="AR10325" s="4" t="s">
        <v>377</v>
      </c>
    </row>
    <row r="10326" spans="1:44">
      <c r="A10326" s="4" t="s">
        <v>10753</v>
      </c>
      <c r="B10326" s="4">
        <v>223768</v>
      </c>
      <c r="D10326" s="5" t="s">
        <v>13470</v>
      </c>
      <c r="E10326" s="6" t="str">
        <f>HYPERLINK("https://inpn.mnhn.fr/espece/cd_nom/223768","Anisotoma orbicularis (Herbst, 1791)")</f>
        <v>Anisotoma orbicularis (Herbst, 1791)</v>
      </c>
      <c r="AH10326" s="4" t="str">
        <f>HYPERLINK("#Statut_biogéographique!A"&amp;_xlfn.XMATCH("P",Statut_biogéographique!A:A,2,1),"P")</f>
        <v>P</v>
      </c>
      <c r="AP10326" s="4" t="s">
        <v>376</v>
      </c>
      <c r="AR10326" s="4" t="s">
        <v>377</v>
      </c>
    </row>
    <row r="10327" spans="1:44">
      <c r="A10327" s="4" t="s">
        <v>10753</v>
      </c>
      <c r="B10327" s="4">
        <v>223817</v>
      </c>
      <c r="D10327" s="5" t="s">
        <v>13471</v>
      </c>
      <c r="E10327" s="6" t="str">
        <f>HYPERLINK("https://inpn.mnhn.fr/espece/cd_nom/223817","Royerella villardi (Bedel, 1884)")</f>
        <v>Royerella villardi (Bedel, 1884)</v>
      </c>
      <c r="AH10327" s="4" t="str">
        <f>HYPERLINK("#Statut_biogéographique!A"&amp;_xlfn.XMATCH("P",Statut_biogéographique!A:A,2,1),"P")</f>
        <v>P</v>
      </c>
      <c r="AP10327" s="4" t="s">
        <v>376</v>
      </c>
      <c r="AR10327" s="4" t="s">
        <v>377</v>
      </c>
    </row>
    <row r="10328" spans="1:44">
      <c r="A10328" s="4" t="s">
        <v>10753</v>
      </c>
      <c r="B10328" s="4">
        <v>22386</v>
      </c>
      <c r="D10328" s="5" t="s">
        <v>13472</v>
      </c>
      <c r="E10328" s="6" t="str">
        <f>HYPERLINK("https://inpn.mnhn.fr/espece/cd_nom/22386","Anthrax anthrax (Schrank, 1781)")</f>
        <v>Anthrax anthrax (Schrank, 1781)</v>
      </c>
      <c r="AH10328" s="4" t="str">
        <f>HYPERLINK("#Statut_biogéographique!A"&amp;_xlfn.XMATCH("P",Statut_biogéographique!A:A,2,1),"P")</f>
        <v>P</v>
      </c>
      <c r="AP10328" s="4" t="s">
        <v>376</v>
      </c>
      <c r="AR10328" s="4" t="s">
        <v>377</v>
      </c>
    </row>
    <row r="10329" spans="1:44">
      <c r="A10329" s="4" t="s">
        <v>10753</v>
      </c>
      <c r="B10329" s="4">
        <v>223895</v>
      </c>
      <c r="D10329" s="5" t="s">
        <v>13473</v>
      </c>
      <c r="E10329" s="6" t="str">
        <f>HYPERLINK("https://inpn.mnhn.fr/espece/cd_nom/223895","Nemadus colonoides (Kraatz, 1851)")</f>
        <v>Nemadus colonoides (Kraatz, 1851)</v>
      </c>
      <c r="AH10329" s="4" t="str">
        <f>HYPERLINK("#Statut_biogéographique!A"&amp;_xlfn.XMATCH("P",Statut_biogéographique!A:A,2,1),"P")</f>
        <v>P</v>
      </c>
      <c r="AP10329" s="4" t="s">
        <v>376</v>
      </c>
      <c r="AR10329" s="4" t="s">
        <v>377</v>
      </c>
    </row>
    <row r="10330" spans="1:44">
      <c r="A10330" s="4" t="s">
        <v>10753</v>
      </c>
      <c r="B10330" s="4">
        <v>223897</v>
      </c>
      <c r="D10330" s="5" t="s">
        <v>13474</v>
      </c>
      <c r="E10330" s="6" t="str">
        <f>HYPERLINK("https://inpn.mnhn.fr/espece/cd_nom/223897","Nargus anisotomoides (Spence, 1815)")</f>
        <v>Nargus anisotomoides (Spence, 1815)</v>
      </c>
      <c r="AH10330" s="4" t="str">
        <f>HYPERLINK("#Statut_biogéographique!A"&amp;_xlfn.XMATCH("P",Statut_biogéographique!A:A,2,1),"P")</f>
        <v>P</v>
      </c>
      <c r="AP10330" s="4" t="s">
        <v>376</v>
      </c>
      <c r="AR10330" s="4" t="s">
        <v>377</v>
      </c>
    </row>
    <row r="10331" spans="1:44">
      <c r="A10331" s="4" t="s">
        <v>10753</v>
      </c>
      <c r="B10331" s="4">
        <v>223902</v>
      </c>
      <c r="D10331" s="5" t="s">
        <v>13475</v>
      </c>
      <c r="E10331" s="6" t="str">
        <f>HYPERLINK("https://inpn.mnhn.fr/espece/cd_nom/223902","Choleva angustata (Fabricius, 1781)")</f>
        <v>Choleva angustata (Fabricius, 1781)</v>
      </c>
      <c r="AH10331" s="4" t="str">
        <f>HYPERLINK("#Statut_biogéographique!A"&amp;_xlfn.XMATCH("P",Statut_biogéographique!A:A,2,1),"P")</f>
        <v>P</v>
      </c>
      <c r="AP10331" s="4" t="s">
        <v>376</v>
      </c>
      <c r="AR10331" s="4" t="s">
        <v>377</v>
      </c>
    </row>
    <row r="10332" spans="1:44">
      <c r="A10332" s="4" t="s">
        <v>10753</v>
      </c>
      <c r="B10332" s="4">
        <v>223903</v>
      </c>
      <c r="D10332" s="5" t="s">
        <v>13476</v>
      </c>
      <c r="E10332" s="6" t="str">
        <f>HYPERLINK("https://inpn.mnhn.fr/espece/cd_nom/223903","Choleva cisteloides (Frölich, 1799)")</f>
        <v>Choleva cisteloides (Frölich, 1799)</v>
      </c>
      <c r="AH10332" s="4" t="str">
        <f>HYPERLINK("#Statut_biogéographique!A"&amp;_xlfn.XMATCH("P",Statut_biogéographique!A:A,2,1),"P")</f>
        <v>P</v>
      </c>
      <c r="AP10332" s="4" t="s">
        <v>376</v>
      </c>
      <c r="AR10332" s="4" t="s">
        <v>377</v>
      </c>
    </row>
    <row r="10333" spans="1:44">
      <c r="A10333" s="4" t="s">
        <v>10753</v>
      </c>
      <c r="B10333" s="4">
        <v>223911</v>
      </c>
      <c r="D10333" s="5" t="s">
        <v>13477</v>
      </c>
      <c r="E10333" s="6" t="str">
        <f>HYPERLINK("https://inpn.mnhn.fr/espece/cd_nom/223911","Choleva sturmii Brisout de Barneville, 1863")</f>
        <v>Choleva sturmii Brisout de Barneville, 1863</v>
      </c>
      <c r="AH10333" s="4" t="str">
        <f>HYPERLINK("#Statut_biogéographique!A"&amp;_xlfn.XMATCH("P",Statut_biogéographique!A:A,2,1),"P")</f>
        <v>P</v>
      </c>
      <c r="AP10333" s="4" t="s">
        <v>376</v>
      </c>
      <c r="AR10333" s="4" t="s">
        <v>377</v>
      </c>
    </row>
    <row r="10334" spans="1:44">
      <c r="A10334" s="4" t="s">
        <v>10753</v>
      </c>
      <c r="B10334" s="4">
        <v>223921</v>
      </c>
      <c r="D10334" s="5" t="s">
        <v>13478</v>
      </c>
      <c r="E10334" s="6" t="str">
        <f>HYPERLINK("https://inpn.mnhn.fr/espece/cd_nom/223921","Sciodrepoides fumatus (Spence, 1815)")</f>
        <v>Sciodrepoides fumatus (Spence, 1815)</v>
      </c>
      <c r="AH10334" s="4" t="str">
        <f>HYPERLINK("#Statut_biogéographique!A"&amp;_xlfn.XMATCH("P",Statut_biogéographique!A:A,2,1),"P")</f>
        <v>P</v>
      </c>
      <c r="AP10334" s="4" t="s">
        <v>376</v>
      </c>
      <c r="AR10334" s="4" t="s">
        <v>377</v>
      </c>
    </row>
    <row r="10335" spans="1:44">
      <c r="A10335" s="4" t="s">
        <v>10753</v>
      </c>
      <c r="B10335" s="4">
        <v>223922</v>
      </c>
      <c r="D10335" s="5" t="s">
        <v>13479</v>
      </c>
      <c r="E10335" s="6" t="str">
        <f>HYPERLINK("https://inpn.mnhn.fr/espece/cd_nom/223922","Sciodrepoides watsoni (Spence, 1815)")</f>
        <v>Sciodrepoides watsoni (Spence, 1815)</v>
      </c>
      <c r="AH10335" s="4" t="str">
        <f>HYPERLINK("#Statut_biogéographique!A"&amp;_xlfn.XMATCH("P",Statut_biogéographique!A:A,2,1),"P")</f>
        <v>P</v>
      </c>
      <c r="AP10335" s="4" t="s">
        <v>376</v>
      </c>
      <c r="AR10335" s="4" t="s">
        <v>377</v>
      </c>
    </row>
    <row r="10336" spans="1:44">
      <c r="A10336" s="4" t="s">
        <v>10753</v>
      </c>
      <c r="B10336" s="4">
        <v>223923</v>
      </c>
      <c r="D10336" s="5" t="s">
        <v>13480</v>
      </c>
      <c r="E10336" s="6" t="str">
        <f>HYPERLINK("https://inpn.mnhn.fr/espece/cd_nom/223923","Fissocatops quadraticollis (Aubé, 1850)")</f>
        <v>Fissocatops quadraticollis (Aubé, 1850)</v>
      </c>
      <c r="AH10336" s="4" t="str">
        <f>HYPERLINK("#Statut_biogéographique!A"&amp;_xlfn.XMATCH("P",Statut_biogéographique!A:A,2,1),"P")</f>
        <v>P</v>
      </c>
      <c r="AP10336" s="4" t="s">
        <v>376</v>
      </c>
      <c r="AR10336" s="4" t="s">
        <v>377</v>
      </c>
    </row>
    <row r="10337" spans="1:44">
      <c r="A10337" s="4" t="s">
        <v>10753</v>
      </c>
      <c r="B10337" s="4">
        <v>223925</v>
      </c>
      <c r="D10337" s="5" t="s">
        <v>13481</v>
      </c>
      <c r="E10337" s="6" t="str">
        <f>HYPERLINK("https://inpn.mnhn.fr/espece/cd_nom/223925","Dreposcia umbrina (Erichson, 1837)")</f>
        <v>Dreposcia umbrina (Erichson, 1837)</v>
      </c>
      <c r="AH10337" s="4" t="str">
        <f>HYPERLINK("#Statut_biogéographique!A"&amp;_xlfn.XMATCH("P",Statut_biogéographique!A:A,2,1),"P")</f>
        <v>P</v>
      </c>
      <c r="AP10337" s="4" t="s">
        <v>376</v>
      </c>
      <c r="AR10337" s="4" t="s">
        <v>377</v>
      </c>
    </row>
    <row r="10338" spans="1:44">
      <c r="A10338" s="4" t="s">
        <v>10753</v>
      </c>
      <c r="B10338" s="4">
        <v>223926</v>
      </c>
      <c r="D10338" s="5">
        <v>223926</v>
      </c>
      <c r="E10338" s="6" t="str">
        <f>HYPERLINK("https://inpn.mnhn.fr/espece/cd_nom/223926","Catops subfuscus Kellner, 1846")</f>
        <v>Catops subfuscus Kellner, 1846</v>
      </c>
      <c r="AH10338" s="4" t="str">
        <f>HYPERLINK("#Statut_biogéographique!A"&amp;_xlfn.XMATCH("P",Statut_biogéographique!A:A,2,1),"P")</f>
        <v>P</v>
      </c>
      <c r="AP10338" s="4" t="s">
        <v>376</v>
      </c>
      <c r="AR10338" s="4" t="s">
        <v>377</v>
      </c>
    </row>
    <row r="10339" spans="1:44" ht="30">
      <c r="A10339" s="4" t="s">
        <v>10753</v>
      </c>
      <c r="B10339" s="4">
        <v>223928</v>
      </c>
      <c r="D10339" s="5" t="s">
        <v>13482</v>
      </c>
      <c r="E10339" s="6" t="str">
        <f>HYPERLINK("https://inpn.mnhn.fr/espece/cd_nom/223928","Catops fuliginosus Erichson, 1837")</f>
        <v>Catops fuliginosus Erichson, 1837</v>
      </c>
      <c r="AH10339" s="4" t="str">
        <f>HYPERLINK("#Statut_biogéographique!A"&amp;_xlfn.XMATCH("P",Statut_biogéographique!A:A,2,1),"P")</f>
        <v>P</v>
      </c>
      <c r="AP10339" s="4" t="s">
        <v>376</v>
      </c>
      <c r="AR10339" s="4" t="s">
        <v>377</v>
      </c>
    </row>
    <row r="10340" spans="1:44" ht="30">
      <c r="A10340" s="4" t="s">
        <v>10753</v>
      </c>
      <c r="B10340" s="4">
        <v>223931</v>
      </c>
      <c r="D10340" s="5" t="s">
        <v>13483</v>
      </c>
      <c r="E10340" s="6" t="str">
        <f>HYPERLINK("https://inpn.mnhn.fr/espece/cd_nom/223931","Catops nigricans (Spence, 1815)")</f>
        <v>Catops nigricans (Spence, 1815)</v>
      </c>
      <c r="AH10340" s="4" t="str">
        <f>HYPERLINK("#Statut_biogéographique!A"&amp;_xlfn.XMATCH("P",Statut_biogéographique!A:A,2,1),"P")</f>
        <v>P</v>
      </c>
      <c r="AP10340" s="4" t="s">
        <v>376</v>
      </c>
      <c r="AR10340" s="4" t="s">
        <v>377</v>
      </c>
    </row>
    <row r="10341" spans="1:44" ht="30">
      <c r="A10341" s="4" t="s">
        <v>10753</v>
      </c>
      <c r="B10341" s="4">
        <v>223934</v>
      </c>
      <c r="D10341" s="5" t="s">
        <v>13484</v>
      </c>
      <c r="E10341" s="6" t="str">
        <f>HYPERLINK("https://inpn.mnhn.fr/espece/cd_nom/223934","Catops morio (Fabricius, 1787)")</f>
        <v>Catops morio (Fabricius, 1787)</v>
      </c>
      <c r="AH10341" s="4" t="str">
        <f>HYPERLINK("#Statut_biogéographique!A"&amp;_xlfn.XMATCH("P",Statut_biogéographique!A:A,2,1),"P")</f>
        <v>P</v>
      </c>
      <c r="AP10341" s="4" t="s">
        <v>376</v>
      </c>
      <c r="AR10341" s="4" t="s">
        <v>377</v>
      </c>
    </row>
    <row r="10342" spans="1:44">
      <c r="A10342" s="4" t="s">
        <v>10753</v>
      </c>
      <c r="B10342" s="4">
        <v>223935</v>
      </c>
      <c r="D10342" s="5" t="s">
        <v>13485</v>
      </c>
      <c r="E10342" s="6" t="str">
        <f>HYPERLINK("https://inpn.mnhn.fr/espece/cd_nom/223935","Catops picipes (Fabricius, 1787)")</f>
        <v>Catops picipes (Fabricius, 1787)</v>
      </c>
      <c r="AH10342" s="4" t="str">
        <f>HYPERLINK("#Statut_biogéographique!A"&amp;_xlfn.XMATCH("P",Statut_biogéographique!A:A,2,1),"P")</f>
        <v>P</v>
      </c>
      <c r="AP10342" s="4" t="s">
        <v>376</v>
      </c>
      <c r="AR10342" s="4" t="s">
        <v>377</v>
      </c>
    </row>
    <row r="10343" spans="1:44">
      <c r="A10343" s="4" t="s">
        <v>10753</v>
      </c>
      <c r="B10343" s="4">
        <v>223939</v>
      </c>
      <c r="D10343" s="5">
        <v>223939</v>
      </c>
      <c r="E10343" s="6" t="str">
        <f>HYPERLINK("https://inpn.mnhn.fr/espece/cd_nom/223939","Catops neglectus Kraatz, 1852")</f>
        <v>Catops neglectus Kraatz, 1852</v>
      </c>
      <c r="AH10343" s="4" t="str">
        <f>HYPERLINK("#Statut_biogéographique!A"&amp;_xlfn.XMATCH("P",Statut_biogéographique!A:A,2,1),"P")</f>
        <v>P</v>
      </c>
      <c r="AP10343" s="4" t="s">
        <v>376</v>
      </c>
      <c r="AR10343" s="4" t="s">
        <v>377</v>
      </c>
    </row>
    <row r="10344" spans="1:44">
      <c r="A10344" s="4" t="s">
        <v>10753</v>
      </c>
      <c r="B10344" s="4">
        <v>223941</v>
      </c>
      <c r="D10344" s="5" t="s">
        <v>13486</v>
      </c>
      <c r="E10344" s="6" t="str">
        <f>HYPERLINK("https://inpn.mnhn.fr/espece/cd_nom/223941","Catops tristis (Panzer, 1793)")</f>
        <v>Catops tristis (Panzer, 1793)</v>
      </c>
      <c r="AH10344" s="4" t="str">
        <f>HYPERLINK("#Statut_biogéographique!A"&amp;_xlfn.XMATCH("P",Statut_biogéographique!A:A,2,1),"P")</f>
        <v>P</v>
      </c>
      <c r="AP10344" s="4" t="s">
        <v>376</v>
      </c>
      <c r="AR10344" s="4" t="s">
        <v>377</v>
      </c>
    </row>
    <row r="10345" spans="1:44" ht="30">
      <c r="A10345" s="4" t="s">
        <v>10753</v>
      </c>
      <c r="B10345" s="4">
        <v>223944</v>
      </c>
      <c r="D10345" s="5" t="s">
        <v>13487</v>
      </c>
      <c r="E10345" s="6" t="str">
        <f>HYPERLINK("https://inpn.mnhn.fr/espece/cd_nom/223944","Apocatops nigrita (Erichson, 1837)")</f>
        <v>Apocatops nigrita (Erichson, 1837)</v>
      </c>
      <c r="AH10345" s="4" t="str">
        <f>HYPERLINK("#Statut_biogéographique!A"&amp;_xlfn.XMATCH("P",Statut_biogéographique!A:A,2,1),"P")</f>
        <v>P</v>
      </c>
      <c r="AP10345" s="4" t="s">
        <v>376</v>
      </c>
      <c r="AR10345" s="4" t="s">
        <v>377</v>
      </c>
    </row>
    <row r="10346" spans="1:44">
      <c r="A10346" s="4" t="s">
        <v>10753</v>
      </c>
      <c r="B10346" s="4">
        <v>223947</v>
      </c>
      <c r="D10346" s="5" t="s">
        <v>13488</v>
      </c>
      <c r="E10346" s="6" t="str">
        <f>HYPERLINK("https://inpn.mnhn.fr/espece/cd_nom/223947","Ptomaphagus sericatus (Chaudoir, 1845)")</f>
        <v>Ptomaphagus sericatus (Chaudoir, 1845)</v>
      </c>
      <c r="AH10346" s="4" t="str">
        <f>HYPERLINK("#Statut_biogéographique!A"&amp;_xlfn.XMATCH("P",Statut_biogéographique!A:A,2,1),"P")</f>
        <v>P</v>
      </c>
      <c r="AP10346" s="4" t="s">
        <v>376</v>
      </c>
      <c r="AR10346" s="4" t="s">
        <v>377</v>
      </c>
    </row>
    <row r="10347" spans="1:44" ht="60">
      <c r="A10347" s="4" t="s">
        <v>10753</v>
      </c>
      <c r="B10347" s="4">
        <v>223948</v>
      </c>
      <c r="D10347" s="5" t="s">
        <v>13489</v>
      </c>
      <c r="E10347" s="6" t="str">
        <f>HYPERLINK("https://inpn.mnhn.fr/espece/cd_nom/223948","Ptomaphagus subvillosus (Goeze, 1777)")</f>
        <v>Ptomaphagus subvillosus (Goeze, 1777)</v>
      </c>
      <c r="AH10347" s="4" t="str">
        <f>HYPERLINK("#Statut_biogéographique!A"&amp;_xlfn.XMATCH("P",Statut_biogéographique!A:A,2,1),"P")</f>
        <v>P</v>
      </c>
      <c r="AP10347" s="4" t="s">
        <v>376</v>
      </c>
      <c r="AR10347" s="4" t="s">
        <v>377</v>
      </c>
    </row>
    <row r="10348" spans="1:44" ht="30">
      <c r="A10348" s="4" t="s">
        <v>10753</v>
      </c>
      <c r="B10348" s="4">
        <v>223949</v>
      </c>
      <c r="D10348" s="5" t="s">
        <v>13490</v>
      </c>
      <c r="E10348" s="6" t="str">
        <f>HYPERLINK("https://inpn.mnhn.fr/espece/cd_nom/223949","Ptomaphagus tenuicornis (Rosenhauer, 1856)")</f>
        <v>Ptomaphagus tenuicornis (Rosenhauer, 1856)</v>
      </c>
      <c r="AH10348" s="4" t="str">
        <f>HYPERLINK("#Statut_biogéographique!A"&amp;_xlfn.XMATCH("P",Statut_biogéographique!A:A,2,1),"P")</f>
        <v>P</v>
      </c>
      <c r="AP10348" s="4" t="s">
        <v>376</v>
      </c>
      <c r="AR10348" s="4" t="s">
        <v>377</v>
      </c>
    </row>
    <row r="10349" spans="1:44">
      <c r="A10349" s="4" t="s">
        <v>10753</v>
      </c>
      <c r="B10349" s="4">
        <v>223950</v>
      </c>
      <c r="D10349" s="5" t="s">
        <v>13491</v>
      </c>
      <c r="E10349" s="6" t="str">
        <f>HYPERLINK("https://inpn.mnhn.fr/espece/cd_nom/223950","Ptomaphagus varicornis (Rosenhauer, 1847)")</f>
        <v>Ptomaphagus varicornis (Rosenhauer, 1847)</v>
      </c>
      <c r="AH10349" s="4" t="str">
        <f>HYPERLINK("#Statut_biogéographique!A"&amp;_xlfn.XMATCH("P",Statut_biogéographique!A:A,2,1),"P")</f>
        <v>P</v>
      </c>
      <c r="AP10349" s="4" t="s">
        <v>376</v>
      </c>
      <c r="AR10349" s="4" t="s">
        <v>377</v>
      </c>
    </row>
    <row r="10350" spans="1:44">
      <c r="A10350" s="4" t="s">
        <v>10753</v>
      </c>
      <c r="B10350" s="4">
        <v>223951</v>
      </c>
      <c r="D10350" s="5" t="s">
        <v>13492</v>
      </c>
      <c r="E10350" s="6" t="str">
        <f>HYPERLINK("https://inpn.mnhn.fr/espece/cd_nom/223951","Pelochares versicolor (Waltl, 1838)")</f>
        <v>Pelochares versicolor (Waltl, 1838)</v>
      </c>
      <c r="AH10350" s="4" t="str">
        <f>HYPERLINK("#Statut_biogéographique!A"&amp;_xlfn.XMATCH("P",Statut_biogéographique!A:A,2,1),"P")</f>
        <v>P</v>
      </c>
      <c r="AP10350" s="4" t="s">
        <v>376</v>
      </c>
      <c r="AR10350" s="4" t="s">
        <v>377</v>
      </c>
    </row>
    <row r="10351" spans="1:44">
      <c r="A10351" s="4" t="s">
        <v>10753</v>
      </c>
      <c r="B10351" s="4">
        <v>223954</v>
      </c>
      <c r="D10351" s="5" t="s">
        <v>13493</v>
      </c>
      <c r="E10351" s="6" t="str">
        <f>HYPERLINK("https://inpn.mnhn.fr/espece/cd_nom/223954","Limnichus pygmaeus (Sturm, 1807)")</f>
        <v>Limnichus pygmaeus (Sturm, 1807)</v>
      </c>
      <c r="AH10351" s="4" t="str">
        <f>HYPERLINK("#Statut_biogéographique!A"&amp;_xlfn.XMATCH("P",Statut_biogéographique!A:A,2,1),"P")</f>
        <v>P</v>
      </c>
      <c r="AP10351" s="4" t="s">
        <v>376</v>
      </c>
      <c r="AR10351" s="4" t="s">
        <v>377</v>
      </c>
    </row>
    <row r="10352" spans="1:44">
      <c r="A10352" s="4" t="s">
        <v>10753</v>
      </c>
      <c r="B10352" s="4">
        <v>223955</v>
      </c>
      <c r="D10352" s="5" t="s">
        <v>13494</v>
      </c>
      <c r="E10352" s="6" t="str">
        <f>HYPERLINK("https://inpn.mnhn.fr/espece/cd_nom/223955","Limnichus sericeus (Duftschmid, 1825)")</f>
        <v>Limnichus sericeus (Duftschmid, 1825)</v>
      </c>
      <c r="AH10352" s="4" t="str">
        <f>HYPERLINK("#Statut_biogéographique!A"&amp;_xlfn.XMATCH("P",Statut_biogéographique!A:A,2,1),"P")</f>
        <v>P</v>
      </c>
      <c r="AP10352" s="4" t="s">
        <v>376</v>
      </c>
      <c r="AR10352" s="4" t="s">
        <v>377</v>
      </c>
    </row>
    <row r="10353" spans="1:44" ht="30">
      <c r="A10353" s="4" t="s">
        <v>10753</v>
      </c>
      <c r="B10353" s="4">
        <v>223958</v>
      </c>
      <c r="D10353" s="5" t="s">
        <v>13495</v>
      </c>
      <c r="E10353" s="6" t="str">
        <f>HYPERLINK("https://inpn.mnhn.fr/espece/cd_nom/223958","Lyctus brunneus (Stephens, 1830)")</f>
        <v>Lyctus brunneus (Stephens, 1830)</v>
      </c>
      <c r="AH10353" s="4" t="str">
        <f>HYPERLINK("#Statut_biogéographique!A"&amp;_xlfn.XMATCH("P",Statut_biogéographique!A:A,2,1),"P")</f>
        <v>P</v>
      </c>
      <c r="AP10353" s="4" t="s">
        <v>376</v>
      </c>
      <c r="AR10353" s="4" t="s">
        <v>377</v>
      </c>
    </row>
    <row r="10354" spans="1:44" ht="30">
      <c r="A10354" s="4" t="s">
        <v>10753</v>
      </c>
      <c r="B10354" s="4">
        <v>223963</v>
      </c>
      <c r="D10354" s="5" t="s">
        <v>13496</v>
      </c>
      <c r="E10354" s="6" t="str">
        <f>HYPERLINK("https://inpn.mnhn.fr/espece/cd_nom/223963","Orchesia micans (Panzer, 1793)")</f>
        <v>Orchesia micans (Panzer, 1793)</v>
      </c>
      <c r="AH10354" s="4" t="str">
        <f>HYPERLINK("#Statut_biogéographique!A"&amp;_xlfn.XMATCH("P",Statut_biogéographique!A:A,2,1),"P")</f>
        <v>P</v>
      </c>
      <c r="AP10354" s="4" t="s">
        <v>376</v>
      </c>
      <c r="AR10354" s="4" t="s">
        <v>377</v>
      </c>
    </row>
    <row r="10355" spans="1:44" ht="30">
      <c r="A10355" s="4" t="s">
        <v>10753</v>
      </c>
      <c r="B10355" s="4">
        <v>223964</v>
      </c>
      <c r="D10355" s="5">
        <v>223964</v>
      </c>
      <c r="E10355" s="6" t="str">
        <f>HYPERLINK("https://inpn.mnhn.fr/espece/cd_nom/223964","Orchesia luteipalpis Mulsant &amp; Guillebeau, 1857")</f>
        <v>Orchesia luteipalpis Mulsant &amp; Guillebeau, 1857</v>
      </c>
      <c r="AH10355" s="4" t="str">
        <f>HYPERLINK("#Statut_biogéographique!A"&amp;_xlfn.XMATCH("P",Statut_biogéographique!A:A,2,1),"P")</f>
        <v>P</v>
      </c>
      <c r="AP10355" s="4" t="s">
        <v>376</v>
      </c>
      <c r="AR10355" s="4" t="s">
        <v>377</v>
      </c>
    </row>
    <row r="10356" spans="1:44">
      <c r="A10356" s="4" t="s">
        <v>10753</v>
      </c>
      <c r="B10356" s="4">
        <v>223965</v>
      </c>
      <c r="D10356" s="5" t="s">
        <v>13497</v>
      </c>
      <c r="E10356" s="6" t="str">
        <f>HYPERLINK("https://inpn.mnhn.fr/espece/cd_nom/223965","Orchesia fasciata (Illiger, 1798)")</f>
        <v>Orchesia fasciata (Illiger, 1798)</v>
      </c>
      <c r="AH10356" s="4" t="str">
        <f>HYPERLINK("#Statut_biogéographique!A"&amp;_xlfn.XMATCH("P",Statut_biogéographique!A:A,2,1),"P")</f>
        <v>P</v>
      </c>
      <c r="AP10356" s="4" t="s">
        <v>376</v>
      </c>
      <c r="AR10356" s="4" t="s">
        <v>377</v>
      </c>
    </row>
    <row r="10357" spans="1:44">
      <c r="A10357" s="4" t="s">
        <v>10753</v>
      </c>
      <c r="B10357" s="4">
        <v>223966</v>
      </c>
      <c r="D10357" s="5" t="s">
        <v>13498</v>
      </c>
      <c r="E10357" s="6" t="str">
        <f>HYPERLINK("https://inpn.mnhn.fr/espece/cd_nom/223966","Orchesia minor Walker, 1837")</f>
        <v>Orchesia minor Walker, 1837</v>
      </c>
      <c r="AH10357" s="4" t="str">
        <f>HYPERLINK("#Statut_biogéographique!A"&amp;_xlfn.XMATCH("P",Statut_biogéographique!A:A,2,1),"P")</f>
        <v>P</v>
      </c>
      <c r="AP10357" s="4" t="s">
        <v>376</v>
      </c>
      <c r="AR10357" s="4" t="s">
        <v>377</v>
      </c>
    </row>
    <row r="10358" spans="1:44">
      <c r="A10358" s="4" t="s">
        <v>10753</v>
      </c>
      <c r="B10358" s="4">
        <v>223967</v>
      </c>
      <c r="D10358" s="5" t="s">
        <v>13499</v>
      </c>
      <c r="E10358" s="6" t="str">
        <f>HYPERLINK("https://inpn.mnhn.fr/espece/cd_nom/223967","Orchesia undulata Kraatz, 1853")</f>
        <v>Orchesia undulata Kraatz, 1853</v>
      </c>
      <c r="AH10358" s="4" t="str">
        <f>HYPERLINK("#Statut_biogéographique!A"&amp;_xlfn.XMATCH("P",Statut_biogéographique!A:A,2,1),"P")</f>
        <v>P</v>
      </c>
      <c r="AP10358" s="4" t="s">
        <v>376</v>
      </c>
      <c r="AR10358" s="4" t="s">
        <v>377</v>
      </c>
    </row>
    <row r="10359" spans="1:44">
      <c r="A10359" s="4" t="s">
        <v>10753</v>
      </c>
      <c r="B10359" s="4">
        <v>223968</v>
      </c>
      <c r="D10359" s="5" t="s">
        <v>13500</v>
      </c>
      <c r="E10359" s="6" t="str">
        <f>HYPERLINK("https://inpn.mnhn.fr/espece/cd_nom/223968","Anisoxya fuscula (Illiger, 1798)")</f>
        <v>Anisoxya fuscula (Illiger, 1798)</v>
      </c>
      <c r="AH10359" s="4" t="str">
        <f>HYPERLINK("#Statut_biogéographique!A"&amp;_xlfn.XMATCH("P",Statut_biogéographique!A:A,2,1),"P")</f>
        <v>P</v>
      </c>
      <c r="AP10359" s="4" t="s">
        <v>376</v>
      </c>
      <c r="AR10359" s="4" t="s">
        <v>377</v>
      </c>
    </row>
    <row r="10360" spans="1:44">
      <c r="A10360" s="4" t="s">
        <v>10753</v>
      </c>
      <c r="B10360" s="4">
        <v>223970</v>
      </c>
      <c r="D10360" s="5" t="s">
        <v>13501</v>
      </c>
      <c r="E10360" s="6" t="str">
        <f>HYPERLINK("https://inpn.mnhn.fr/espece/cd_nom/223970","Abdera quadrifasciata (Curtis, 1829)")</f>
        <v>Abdera quadrifasciata (Curtis, 1829)</v>
      </c>
      <c r="AH10360" s="4" t="str">
        <f>HYPERLINK("#Statut_biogéographique!A"&amp;_xlfn.XMATCH("P",Statut_biogéographique!A:A,2,1),"P")</f>
        <v>P</v>
      </c>
      <c r="AP10360" s="4" t="s">
        <v>376</v>
      </c>
      <c r="AR10360" s="4" t="s">
        <v>377</v>
      </c>
    </row>
    <row r="10361" spans="1:44">
      <c r="A10361" s="4" t="s">
        <v>10753</v>
      </c>
      <c r="B10361" s="4">
        <v>223973</v>
      </c>
      <c r="D10361" s="5" t="s">
        <v>13502</v>
      </c>
      <c r="E10361" s="6" t="str">
        <f>HYPERLINK("https://inpn.mnhn.fr/espece/cd_nom/223973","Abdera flexuosa (Paykull, 1799)")</f>
        <v>Abdera flexuosa (Paykull, 1799)</v>
      </c>
      <c r="AH10361" s="4" t="str">
        <f>HYPERLINK("#Statut_biogéographique!A"&amp;_xlfn.XMATCH("P",Statut_biogéographique!A:A,2,1),"P")</f>
        <v>P</v>
      </c>
      <c r="AP10361" s="4" t="s">
        <v>376</v>
      </c>
      <c r="AR10361" s="4" t="s">
        <v>377</v>
      </c>
    </row>
    <row r="10362" spans="1:44">
      <c r="A10362" s="4" t="s">
        <v>10753</v>
      </c>
      <c r="B10362" s="4">
        <v>223975</v>
      </c>
      <c r="D10362" s="5" t="s">
        <v>13503</v>
      </c>
      <c r="E10362" s="6" t="str">
        <f>HYPERLINK("https://inpn.mnhn.fr/espece/cd_nom/223975","Dircaea australis Fairmaire, 1857")</f>
        <v>Dircaea australis Fairmaire, 1857</v>
      </c>
      <c r="AH10362" s="4" t="str">
        <f>HYPERLINK("#Statut_biogéographique!A"&amp;_xlfn.XMATCH("P",Statut_biogéographique!A:A,2,1),"P")</f>
        <v>P</v>
      </c>
      <c r="AP10362" s="4" t="s">
        <v>376</v>
      </c>
      <c r="AR10362" s="4" t="s">
        <v>377</v>
      </c>
    </row>
    <row r="10363" spans="1:44">
      <c r="A10363" s="4" t="s">
        <v>10753</v>
      </c>
      <c r="B10363" s="4">
        <v>223976</v>
      </c>
      <c r="D10363" s="5" t="s">
        <v>13504</v>
      </c>
      <c r="E10363" s="6" t="str">
        <f>HYPERLINK("https://inpn.mnhn.fr/espece/cd_nom/223976","Dircaea quadriguttata (Paykull, 1798)")</f>
        <v>Dircaea quadriguttata (Paykull, 1798)</v>
      </c>
      <c r="AH10363" s="4" t="str">
        <f>HYPERLINK("#Statut_biogéographique!A"&amp;_xlfn.XMATCH("P",Statut_biogéographique!A:A,2,1),"P")</f>
        <v>P</v>
      </c>
      <c r="AP10363" s="4" t="s">
        <v>376</v>
      </c>
      <c r="AR10363" s="4" t="s">
        <v>377</v>
      </c>
    </row>
    <row r="10364" spans="1:44">
      <c r="A10364" s="4" t="s">
        <v>10753</v>
      </c>
      <c r="B10364" s="4">
        <v>223977</v>
      </c>
      <c r="D10364" s="5" t="s">
        <v>13505</v>
      </c>
      <c r="E10364" s="6" t="str">
        <f>HYPERLINK("https://inpn.mnhn.fr/espece/cd_nom/223977","Phloiotrya rufipes (Gyllenhal, 1810)")</f>
        <v>Phloiotrya rufipes (Gyllenhal, 1810)</v>
      </c>
      <c r="AH10364" s="4" t="str">
        <f>HYPERLINK("#Statut_biogéographique!A"&amp;_xlfn.XMATCH("P",Statut_biogéographique!A:A,2,1),"P")</f>
        <v>P</v>
      </c>
      <c r="AP10364" s="4" t="s">
        <v>376</v>
      </c>
      <c r="AR10364" s="4" t="s">
        <v>377</v>
      </c>
    </row>
    <row r="10365" spans="1:44" ht="30">
      <c r="A10365" s="4" t="s">
        <v>10753</v>
      </c>
      <c r="B10365" s="4">
        <v>223978</v>
      </c>
      <c r="D10365" s="5" t="s">
        <v>13506</v>
      </c>
      <c r="E10365" s="6" t="str">
        <f>HYPERLINK("https://inpn.mnhn.fr/espece/cd_nom/223978","Phloiotrya tenuis (Hampe, 1850)")</f>
        <v>Phloiotrya tenuis (Hampe, 1850)</v>
      </c>
      <c r="AH10365" s="4" t="str">
        <f>HYPERLINK("#Statut_biogéographique!A"&amp;_xlfn.XMATCH("P",Statut_biogéographique!A:A,2,1),"P")</f>
        <v>P</v>
      </c>
      <c r="AP10365" s="4" t="s">
        <v>376</v>
      </c>
      <c r="AR10365" s="4" t="s">
        <v>377</v>
      </c>
    </row>
    <row r="10366" spans="1:44">
      <c r="A10366" s="4" t="s">
        <v>10753</v>
      </c>
      <c r="B10366" s="4">
        <v>223979</v>
      </c>
      <c r="D10366" s="5" t="s">
        <v>13507</v>
      </c>
      <c r="E10366" s="6" t="str">
        <f>HYPERLINK("https://inpn.mnhn.fr/espece/cd_nom/223979","Serropalpus barbatus (Schaller, 1783)")</f>
        <v>Serropalpus barbatus (Schaller, 1783)</v>
      </c>
      <c r="AH10366" s="4" t="str">
        <f>HYPERLINK("#Statut_biogéographique!A"&amp;_xlfn.XMATCH("P",Statut_biogéographique!A:A,2,1),"P")</f>
        <v>P</v>
      </c>
      <c r="AP10366" s="4" t="s">
        <v>376</v>
      </c>
      <c r="AR10366" s="4" t="s">
        <v>377</v>
      </c>
    </row>
    <row r="10367" spans="1:44" ht="30">
      <c r="A10367" s="4" t="s">
        <v>10753</v>
      </c>
      <c r="B10367" s="4">
        <v>223980</v>
      </c>
      <c r="D10367" s="5" t="s">
        <v>13508</v>
      </c>
      <c r="E10367" s="6" t="str">
        <f>HYPERLINK("https://inpn.mnhn.fr/espece/cd_nom/223980","Xylita laevigata (Hellenius, 1786)")</f>
        <v>Xylita laevigata (Hellenius, 1786)</v>
      </c>
      <c r="AH10367" s="4" t="str">
        <f>HYPERLINK("#Statut_biogéographique!A"&amp;_xlfn.XMATCH("P",Statut_biogéographique!A:A,2,1),"P")</f>
        <v>P</v>
      </c>
      <c r="AP10367" s="4" t="s">
        <v>376</v>
      </c>
      <c r="AR10367" s="4" t="s">
        <v>377</v>
      </c>
    </row>
    <row r="10368" spans="1:44">
      <c r="A10368" s="4" t="s">
        <v>10753</v>
      </c>
      <c r="B10368" s="4">
        <v>223985</v>
      </c>
      <c r="D10368" s="5" t="s">
        <v>13509</v>
      </c>
      <c r="E10368" s="6" t="str">
        <f>HYPERLINK("https://inpn.mnhn.fr/espece/cd_nom/223985","Hypulus quercinus (Quensel, 1790)")</f>
        <v>Hypulus quercinus (Quensel, 1790)</v>
      </c>
      <c r="F10368" s="5" t="s">
        <v>13510</v>
      </c>
      <c r="AH10368" s="4" t="str">
        <f>HYPERLINK("#Statut_biogéographique!A"&amp;_xlfn.XMATCH("P",Statut_biogéographique!A:A,2,1),"P")</f>
        <v>P</v>
      </c>
      <c r="AP10368" s="4" t="s">
        <v>376</v>
      </c>
      <c r="AR10368" s="4" t="s">
        <v>377</v>
      </c>
    </row>
    <row r="10369" spans="1:44">
      <c r="A10369" s="4" t="s">
        <v>10753</v>
      </c>
      <c r="B10369" s="4">
        <v>223987</v>
      </c>
      <c r="D10369" s="5" t="s">
        <v>13511</v>
      </c>
      <c r="E10369" s="6" t="str">
        <f>HYPERLINK("https://inpn.mnhn.fr/espece/cd_nom/223987","Melandrya barbata (Fabricius, 1787)")</f>
        <v>Melandrya barbata (Fabricius, 1787)</v>
      </c>
      <c r="F10369" s="5" t="s">
        <v>13512</v>
      </c>
      <c r="AH10369" s="4" t="str">
        <f>HYPERLINK("#Statut_biogéographique!A"&amp;_xlfn.XMATCH("P",Statut_biogéographique!A:A,2,1),"P")</f>
        <v>P</v>
      </c>
      <c r="AP10369" s="4" t="s">
        <v>376</v>
      </c>
      <c r="AR10369" s="4" t="s">
        <v>377</v>
      </c>
    </row>
    <row r="10370" spans="1:44" ht="30">
      <c r="A10370" s="4" t="s">
        <v>10753</v>
      </c>
      <c r="B10370" s="4">
        <v>223988</v>
      </c>
      <c r="D10370" s="5" t="s">
        <v>13513</v>
      </c>
      <c r="E10370" s="6" t="str">
        <f>HYPERLINK("https://inpn.mnhn.fr/espece/cd_nom/223988","Melandrya caraboides (Linnaeus, 1761)")</f>
        <v>Melandrya caraboides (Linnaeus, 1761)</v>
      </c>
      <c r="F10370" s="5" t="s">
        <v>13514</v>
      </c>
      <c r="AH10370" s="4" t="str">
        <f>HYPERLINK("#Statut_biogéographique!A"&amp;_xlfn.XMATCH("P",Statut_biogéographique!A:A,2,1),"P")</f>
        <v>P</v>
      </c>
      <c r="AP10370" s="4" t="s">
        <v>376</v>
      </c>
      <c r="AR10370" s="4" t="s">
        <v>377</v>
      </c>
    </row>
    <row r="10371" spans="1:44" ht="45">
      <c r="A10371" s="4" t="s">
        <v>10753</v>
      </c>
      <c r="B10371" s="4">
        <v>223992</v>
      </c>
      <c r="D10371" s="5" t="s">
        <v>13515</v>
      </c>
      <c r="E10371" s="6" t="str">
        <f>HYPERLINK("https://inpn.mnhn.fr/espece/cd_nom/223992","Osphya bipunctata (Fabricius, 1775)")</f>
        <v>Osphya bipunctata (Fabricius, 1775)</v>
      </c>
      <c r="F10371" s="5" t="s">
        <v>13516</v>
      </c>
      <c r="AH10371" s="4" t="str">
        <f>HYPERLINK("#Statut_biogéographique!A"&amp;_xlfn.XMATCH("P",Statut_biogéographique!A:A,2,1),"P")</f>
        <v>P</v>
      </c>
      <c r="AP10371" s="4" t="s">
        <v>376</v>
      </c>
      <c r="AR10371" s="4" t="s">
        <v>377</v>
      </c>
    </row>
    <row r="10372" spans="1:44">
      <c r="A10372" s="4" t="s">
        <v>10753</v>
      </c>
      <c r="B10372" s="4">
        <v>223997</v>
      </c>
      <c r="D10372" s="5" t="s">
        <v>13517</v>
      </c>
      <c r="E10372" s="6" t="str">
        <f>HYPERLINK("https://inpn.mnhn.fr/espece/cd_nom/223997","Stenoria analis Schaum, 1859")</f>
        <v>Stenoria analis Schaum, 1859</v>
      </c>
      <c r="F10372" s="5" t="s">
        <v>13518</v>
      </c>
      <c r="AH10372" s="4" t="str">
        <f>HYPERLINK("#Statut_biogéographique!A"&amp;_xlfn.XMATCH("P",Statut_biogéographique!A:A,2,1),"P")</f>
        <v>P</v>
      </c>
      <c r="AP10372" s="4" t="s">
        <v>376</v>
      </c>
      <c r="AR10372" s="4" t="s">
        <v>377</v>
      </c>
    </row>
    <row r="10373" spans="1:44" ht="30">
      <c r="A10373" s="4" t="s">
        <v>10753</v>
      </c>
      <c r="B10373" s="4">
        <v>224008</v>
      </c>
      <c r="D10373" s="5" t="s">
        <v>13519</v>
      </c>
      <c r="E10373" s="6" t="str">
        <f>HYPERLINK("https://inpn.mnhn.fr/espece/cd_nom/224008","Mylabris variabilis (Pallas, 1781)")</f>
        <v>Mylabris variabilis (Pallas, 1781)</v>
      </c>
      <c r="F10373" s="5" t="s">
        <v>13520</v>
      </c>
      <c r="AH10373" s="4" t="str">
        <f>HYPERLINK("#Statut_biogéographique!A"&amp;_xlfn.XMATCH("P",Statut_biogéographique!A:A,2,1),"P")</f>
        <v>P</v>
      </c>
      <c r="AP10373" s="4" t="s">
        <v>376</v>
      </c>
      <c r="AR10373" s="4" t="s">
        <v>377</v>
      </c>
    </row>
    <row r="10374" spans="1:44">
      <c r="A10374" s="4" t="s">
        <v>10753</v>
      </c>
      <c r="B10374" s="4">
        <v>224033</v>
      </c>
      <c r="D10374" s="5" t="s">
        <v>13521</v>
      </c>
      <c r="E10374" s="6" t="str">
        <f>HYPERLINK("https://inpn.mnhn.fr/espece/cd_nom/224033","Mycetophagus ater (Reitter, 1879)")</f>
        <v>Mycetophagus ater (Reitter, 1879)</v>
      </c>
      <c r="P10374" s="7" t="str">
        <f>HYPERLINK("#Liste_rouge!A"&amp;_xlfn.XMATCH("DD",Liste_rouge!A:A,2,1),"DD")</f>
        <v>DD</v>
      </c>
      <c r="AH10374" s="4" t="str">
        <f>HYPERLINK("#Statut_biogéographique!A"&amp;_xlfn.XMATCH("P",Statut_biogéographique!A:A,2,1),"P")</f>
        <v>P</v>
      </c>
      <c r="AP10374" s="4" t="s">
        <v>376</v>
      </c>
      <c r="AR10374" s="4" t="s">
        <v>377</v>
      </c>
    </row>
    <row r="10375" spans="1:44" ht="30">
      <c r="A10375" s="4" t="s">
        <v>10753</v>
      </c>
      <c r="B10375" s="4">
        <v>224034</v>
      </c>
      <c r="D10375" s="5" t="s">
        <v>13522</v>
      </c>
      <c r="E10375" s="6" t="str">
        <f>HYPERLINK("https://inpn.mnhn.fr/espece/cd_nom/224034","Mycetophagus multipunctatus Fabricius, 1792")</f>
        <v>Mycetophagus multipunctatus Fabricius, 1792</v>
      </c>
      <c r="AH10375" s="4" t="str">
        <f>HYPERLINK("#Statut_biogéographique!A"&amp;_xlfn.XMATCH("P",Statut_biogéographique!A:A,2,1),"P")</f>
        <v>P</v>
      </c>
      <c r="AP10375" s="4" t="s">
        <v>376</v>
      </c>
      <c r="AR10375" s="4" t="s">
        <v>377</v>
      </c>
    </row>
    <row r="10376" spans="1:44" ht="30">
      <c r="A10376" s="4" t="s">
        <v>10753</v>
      </c>
      <c r="B10376" s="4">
        <v>224035</v>
      </c>
      <c r="D10376" s="5" t="s">
        <v>13523</v>
      </c>
      <c r="E10376" s="6" t="str">
        <f>HYPERLINK("https://inpn.mnhn.fr/espece/cd_nom/224035","Mycetophagus quadriguttatus P.W.J. Müller, 1821")</f>
        <v>Mycetophagus quadriguttatus P.W.J. Müller, 1821</v>
      </c>
      <c r="P10376" s="7" t="str">
        <f>HYPERLINK("#Liste_rouge!A"&amp;_xlfn.XMATCH("LC",Liste_rouge!A:A,2,1),"LC")</f>
        <v>LC</v>
      </c>
      <c r="AH10376" s="4" t="str">
        <f>HYPERLINK("#Statut_biogéographique!A"&amp;_xlfn.XMATCH("P",Statut_biogéographique!A:A,2,1),"P")</f>
        <v>P</v>
      </c>
      <c r="AP10376" s="4" t="s">
        <v>376</v>
      </c>
      <c r="AR10376" s="4" t="s">
        <v>377</v>
      </c>
    </row>
    <row r="10377" spans="1:44">
      <c r="A10377" s="4" t="s">
        <v>10753</v>
      </c>
      <c r="B10377" s="4">
        <v>224036</v>
      </c>
      <c r="D10377" s="5">
        <v>224036</v>
      </c>
      <c r="E10377" s="6" t="str">
        <f>HYPERLINK("https://inpn.mnhn.fr/espece/cd_nom/224036","Mycetophagus populi Fabricius, 1798")</f>
        <v>Mycetophagus populi Fabricius, 1798</v>
      </c>
      <c r="P10377" s="7" t="str">
        <f>HYPERLINK("#Liste_rouge!A"&amp;_xlfn.XMATCH("LC",Liste_rouge!A:A,2,1),"LC")</f>
        <v>LC</v>
      </c>
      <c r="AH10377" s="4" t="str">
        <f>HYPERLINK("#Statut_biogéographique!A"&amp;_xlfn.XMATCH("P",Statut_biogéographique!A:A,2,1),"P")</f>
        <v>P</v>
      </c>
      <c r="AP10377" s="4" t="s">
        <v>376</v>
      </c>
      <c r="AR10377" s="4" t="s">
        <v>377</v>
      </c>
    </row>
    <row r="10378" spans="1:44">
      <c r="A10378" s="4" t="s">
        <v>10753</v>
      </c>
      <c r="B10378" s="4">
        <v>224037</v>
      </c>
      <c r="D10378" s="5" t="s">
        <v>13524</v>
      </c>
      <c r="E10378" s="6" t="str">
        <f>HYPERLINK("https://inpn.mnhn.fr/espece/cd_nom/224037","Mycetophagus atomarius (Fabricius, 1787)")</f>
        <v>Mycetophagus atomarius (Fabricius, 1787)</v>
      </c>
      <c r="P10378" s="7" t="str">
        <f>HYPERLINK("#Liste_rouge!A"&amp;_xlfn.XMATCH("LC",Liste_rouge!A:A,2,1),"LC")</f>
        <v>LC</v>
      </c>
      <c r="AH10378" s="4" t="str">
        <f>HYPERLINK("#Statut_biogéographique!A"&amp;_xlfn.XMATCH("P",Statut_biogéographique!A:A,2,1),"P")</f>
        <v>P</v>
      </c>
      <c r="AP10378" s="4" t="s">
        <v>376</v>
      </c>
      <c r="AR10378" s="4" t="s">
        <v>377</v>
      </c>
    </row>
    <row r="10379" spans="1:44" ht="30">
      <c r="A10379" s="4" t="s">
        <v>10753</v>
      </c>
      <c r="B10379" s="4">
        <v>224038</v>
      </c>
      <c r="D10379" s="5" t="s">
        <v>13525</v>
      </c>
      <c r="E10379" s="6" t="str">
        <f>HYPERLINK("https://inpn.mnhn.fr/espece/cd_nom/224038","Mycetophagus decempunctatus Fabricius, 1801")</f>
        <v>Mycetophagus decempunctatus Fabricius, 1801</v>
      </c>
      <c r="P10379" s="7" t="str">
        <f>HYPERLINK("#Liste_rouge!A"&amp;_xlfn.XMATCH("LC",Liste_rouge!A:A,2,1),"LC")</f>
        <v>LC</v>
      </c>
      <c r="AH10379" s="4" t="str">
        <f>HYPERLINK("#Statut_biogéographique!A"&amp;_xlfn.XMATCH("P",Statut_biogéographique!A:A,2,1),"P")</f>
        <v>P</v>
      </c>
      <c r="AP10379" s="4" t="s">
        <v>376</v>
      </c>
      <c r="AR10379" s="4" t="s">
        <v>377</v>
      </c>
    </row>
    <row r="10380" spans="1:44" ht="45">
      <c r="A10380" s="4" t="s">
        <v>10753</v>
      </c>
      <c r="B10380" s="4">
        <v>224039</v>
      </c>
      <c r="D10380" s="5" t="s">
        <v>13526</v>
      </c>
      <c r="E10380" s="6" t="str">
        <f>HYPERLINK("https://inpn.mnhn.fr/espece/cd_nom/224039","Mycetophagus piceus (Fabricius, 1777)")</f>
        <v>Mycetophagus piceus (Fabricius, 1777)</v>
      </c>
      <c r="P10380" s="7" t="str">
        <f>HYPERLINK("#Liste_rouge!A"&amp;_xlfn.XMATCH("LC",Liste_rouge!A:A,2,1),"LC")</f>
        <v>LC</v>
      </c>
      <c r="AH10380" s="4" t="str">
        <f>HYPERLINK("#Statut_biogéographique!A"&amp;_xlfn.XMATCH("P",Statut_biogéographique!A:A,2,1),"P")</f>
        <v>P</v>
      </c>
      <c r="AP10380" s="4" t="s">
        <v>376</v>
      </c>
      <c r="AR10380" s="4" t="s">
        <v>377</v>
      </c>
    </row>
    <row r="10381" spans="1:44">
      <c r="A10381" s="4" t="s">
        <v>10753</v>
      </c>
      <c r="B10381" s="4">
        <v>224041</v>
      </c>
      <c r="D10381" s="5" t="s">
        <v>13527</v>
      </c>
      <c r="E10381" s="6" t="str">
        <f>HYPERLINK("https://inpn.mnhn.fr/espece/cd_nom/224041","Litargus balteatus LeConte, 1856")</f>
        <v>Litargus balteatus LeConte, 1856</v>
      </c>
      <c r="AH10381" s="4" t="str">
        <f>HYPERLINK("#Statut_biogéographique!A"&amp;_xlfn.XMATCH("I",Statut_biogéographique!A:A,2,1),"I")</f>
        <v>I</v>
      </c>
      <c r="AP10381" s="4" t="s">
        <v>376</v>
      </c>
      <c r="AR10381" s="4" t="s">
        <v>377</v>
      </c>
    </row>
    <row r="10382" spans="1:44" ht="30">
      <c r="A10382" s="4" t="s">
        <v>10753</v>
      </c>
      <c r="B10382" s="4">
        <v>224046</v>
      </c>
      <c r="D10382" s="5" t="s">
        <v>13528</v>
      </c>
      <c r="E10382" s="6" t="str">
        <f>HYPERLINK("https://inpn.mnhn.fr/espece/cd_nom/224046","Typhaea stercorea (Linnaeus, 1758)")</f>
        <v>Typhaea stercorea (Linnaeus, 1758)</v>
      </c>
      <c r="F10382" s="5" t="s">
        <v>13529</v>
      </c>
      <c r="AH10382" s="4" t="str">
        <f>HYPERLINK("#Statut_biogéographique!A"&amp;_xlfn.XMATCH("C",Statut_biogéographique!A:A,2,1),"C")</f>
        <v>C</v>
      </c>
      <c r="AP10382" s="4" t="s">
        <v>376</v>
      </c>
      <c r="AR10382" s="4" t="s">
        <v>377</v>
      </c>
    </row>
    <row r="10383" spans="1:44">
      <c r="A10383" s="4" t="s">
        <v>10753</v>
      </c>
      <c r="B10383" s="4">
        <v>224047</v>
      </c>
      <c r="D10383" s="5" t="s">
        <v>13530</v>
      </c>
      <c r="E10383" s="6" t="str">
        <f>HYPERLINK("https://inpn.mnhn.fr/espece/cd_nom/224047","Nosodendron fasciculare (Olivier, 1790)")</f>
        <v>Nosodendron fasciculare (Olivier, 1790)</v>
      </c>
      <c r="F10383" s="5" t="s">
        <v>13531</v>
      </c>
      <c r="AH10383" s="4" t="str">
        <f>HYPERLINK("#Statut_biogéographique!A"&amp;_xlfn.XMATCH("P",Statut_biogéographique!A:A,2,1),"P")</f>
        <v>P</v>
      </c>
      <c r="AP10383" s="4" t="s">
        <v>376</v>
      </c>
      <c r="AR10383" s="4" t="s">
        <v>377</v>
      </c>
    </row>
    <row r="10384" spans="1:44">
      <c r="A10384" s="4" t="s">
        <v>10753</v>
      </c>
      <c r="B10384" s="4">
        <v>224048</v>
      </c>
      <c r="D10384" s="5" t="s">
        <v>13532</v>
      </c>
      <c r="E10384" s="6" t="str">
        <f>HYPERLINK("https://inpn.mnhn.fr/espece/cd_nom/224048","Noterus crassicornis (O.F. Müller, 1776)")</f>
        <v>Noterus crassicornis (O.F. Müller, 1776)</v>
      </c>
      <c r="AH10384" s="4" t="str">
        <f>HYPERLINK("#Statut_biogéographique!A"&amp;_xlfn.XMATCH("P",Statut_biogéographique!A:A,2,1),"P")</f>
        <v>P</v>
      </c>
      <c r="AP10384" s="4" t="s">
        <v>376</v>
      </c>
      <c r="AR10384" s="4" t="s">
        <v>377</v>
      </c>
    </row>
    <row r="10385" spans="1:44">
      <c r="A10385" s="4" t="s">
        <v>10753</v>
      </c>
      <c r="B10385" s="4">
        <v>224049</v>
      </c>
      <c r="D10385" s="5" t="s">
        <v>13533</v>
      </c>
      <c r="E10385" s="6" t="str">
        <f>HYPERLINK("https://inpn.mnhn.fr/espece/cd_nom/224049","Ischnomera sanguinicollis (Fabricius, 1787)")</f>
        <v>Ischnomera sanguinicollis (Fabricius, 1787)</v>
      </c>
      <c r="F10385" s="5" t="s">
        <v>13534</v>
      </c>
      <c r="P10385" s="7" t="str">
        <f>HYPERLINK("#Liste_rouge!A"&amp;_xlfn.XMATCH("LC",Liste_rouge!A:A,2,1),"LC")</f>
        <v>LC</v>
      </c>
      <c r="AH10385" s="4" t="str">
        <f>HYPERLINK("#Statut_biogéographique!A"&amp;_xlfn.XMATCH("P",Statut_biogéographique!A:A,2,1),"P")</f>
        <v>P</v>
      </c>
      <c r="AP10385" s="4" t="s">
        <v>376</v>
      </c>
      <c r="AR10385" s="4" t="s">
        <v>377</v>
      </c>
    </row>
    <row r="10386" spans="1:44">
      <c r="A10386" s="4" t="s">
        <v>10753</v>
      </c>
      <c r="B10386" s="4">
        <v>224051</v>
      </c>
      <c r="D10386" s="5" t="s">
        <v>13535</v>
      </c>
      <c r="E10386" s="6" t="str">
        <f>HYPERLINK("https://inpn.mnhn.fr/espece/cd_nom/224051","Ischnomera cyanea (Fabricius, 1792)")</f>
        <v>Ischnomera cyanea (Fabricius, 1792)</v>
      </c>
      <c r="P10386" s="7" t="str">
        <f>HYPERLINK("#Liste_rouge!A"&amp;_xlfn.XMATCH("LC",Liste_rouge!A:A,2,1),"LC")</f>
        <v>LC</v>
      </c>
      <c r="AH10386" s="4" t="str">
        <f>HYPERLINK("#Statut_biogéographique!A"&amp;_xlfn.XMATCH("P",Statut_biogéographique!A:A,2,1),"P")</f>
        <v>P</v>
      </c>
      <c r="AP10386" s="4" t="s">
        <v>376</v>
      </c>
      <c r="AR10386" s="4" t="s">
        <v>377</v>
      </c>
    </row>
    <row r="10387" spans="1:44">
      <c r="A10387" s="4" t="s">
        <v>10753</v>
      </c>
      <c r="B10387" s="4">
        <v>224052</v>
      </c>
      <c r="D10387" s="5" t="s">
        <v>13536</v>
      </c>
      <c r="E10387" s="6" t="str">
        <f>HYPERLINK("https://inpn.mnhn.fr/espece/cd_nom/224052","Ischnomera caerulea (Linnaeus, 1758)")</f>
        <v>Ischnomera caerulea (Linnaeus, 1758)</v>
      </c>
      <c r="P10387" s="7" t="str">
        <f>HYPERLINK("#Liste_rouge!A"&amp;_xlfn.XMATCH("LC",Liste_rouge!A:A,2,1),"LC")</f>
        <v>LC</v>
      </c>
      <c r="AH10387" s="4" t="str">
        <f>HYPERLINK("#Statut_biogéographique!A"&amp;_xlfn.XMATCH("P",Statut_biogéographique!A:A,2,1),"P")</f>
        <v>P</v>
      </c>
      <c r="AP10387" s="4" t="s">
        <v>376</v>
      </c>
      <c r="AR10387" s="4" t="s">
        <v>377</v>
      </c>
    </row>
    <row r="10388" spans="1:44">
      <c r="A10388" s="4" t="s">
        <v>10753</v>
      </c>
      <c r="B10388" s="4">
        <v>224054</v>
      </c>
      <c r="D10388" s="5">
        <v>224054</v>
      </c>
      <c r="E10388" s="6" t="str">
        <f>HYPERLINK("https://inpn.mnhn.fr/espece/cd_nom/224054","Oedemera femoralis Olivier, 1803")</f>
        <v>Oedemera femoralis Olivier, 1803</v>
      </c>
      <c r="F10388" s="5" t="s">
        <v>13537</v>
      </c>
      <c r="P10388" s="7" t="str">
        <f>HYPERLINK("#Liste_rouge!A"&amp;_xlfn.XMATCH("LC",Liste_rouge!A:A,2,1),"LC")</f>
        <v>LC</v>
      </c>
      <c r="AH10388" s="4" t="str">
        <f>HYPERLINK("#Statut_biogéographique!A"&amp;_xlfn.XMATCH("P",Statut_biogéographique!A:A,2,1),"P")</f>
        <v>P</v>
      </c>
      <c r="AP10388" s="4" t="s">
        <v>376</v>
      </c>
      <c r="AR10388" s="4" t="s">
        <v>377</v>
      </c>
    </row>
    <row r="10389" spans="1:44">
      <c r="A10389" s="4" t="s">
        <v>10753</v>
      </c>
      <c r="B10389" s="4">
        <v>224056</v>
      </c>
      <c r="D10389" s="5" t="s">
        <v>13538</v>
      </c>
      <c r="E10389" s="6" t="str">
        <f>HYPERLINK("https://inpn.mnhn.fr/espece/cd_nom/224056","Oedemera barbara (Fabricius, 1792)")</f>
        <v>Oedemera barbara (Fabricius, 1792)</v>
      </c>
      <c r="AH10389" s="4" t="str">
        <f>HYPERLINK("#Statut_biogéographique!A"&amp;_xlfn.XMATCH("P",Statut_biogéographique!A:A,2,1),"P")</f>
        <v>P</v>
      </c>
      <c r="AP10389" s="4" t="s">
        <v>376</v>
      </c>
      <c r="AR10389" s="4" t="s">
        <v>377</v>
      </c>
    </row>
    <row r="10390" spans="1:44">
      <c r="A10390" s="4" t="s">
        <v>10753</v>
      </c>
      <c r="B10390" s="4">
        <v>224059</v>
      </c>
      <c r="D10390" s="5">
        <v>224059</v>
      </c>
      <c r="E10390" s="6" t="str">
        <f>HYPERLINK("https://inpn.mnhn.fr/espece/cd_nom/224059","Oedemera monticola Švihla, 1978")</f>
        <v>Oedemera monticola Švihla, 1978</v>
      </c>
      <c r="AH10390" s="4" t="str">
        <f>HYPERLINK("#Statut_biogéographique!A"&amp;_xlfn.XMATCH("P",Statut_biogéographique!A:A,2,1),"P")</f>
        <v>P</v>
      </c>
      <c r="AP10390" s="4" t="s">
        <v>376</v>
      </c>
      <c r="AR10390" s="4" t="s">
        <v>377</v>
      </c>
    </row>
    <row r="10391" spans="1:44">
      <c r="A10391" s="4" t="s">
        <v>10753</v>
      </c>
      <c r="B10391" s="4">
        <v>224060</v>
      </c>
      <c r="D10391" s="5">
        <v>224060</v>
      </c>
      <c r="E10391" s="6" t="str">
        <f>HYPERLINK("https://inpn.mnhn.fr/espece/cd_nom/224060","Oedemera tristis W.L.E. Schmidt, 1846")</f>
        <v>Oedemera tristis W.L.E. Schmidt, 1846</v>
      </c>
      <c r="AH10391" s="4" t="str">
        <f>HYPERLINK("#Statut_biogéographique!A"&amp;_xlfn.XMATCH("P",Statut_biogéographique!A:A,2,1),"P")</f>
        <v>P</v>
      </c>
      <c r="AP10391" s="4" t="s">
        <v>376</v>
      </c>
      <c r="AR10391" s="4" t="s">
        <v>377</v>
      </c>
    </row>
    <row r="10392" spans="1:44">
      <c r="A10392" s="4" t="s">
        <v>10753</v>
      </c>
      <c r="B10392" s="4">
        <v>224061</v>
      </c>
      <c r="D10392" s="5" t="s">
        <v>13539</v>
      </c>
      <c r="E10392" s="6" t="str">
        <f>HYPERLINK("https://inpn.mnhn.fr/espece/cd_nom/224061","Oedemera pthysica (Scopoli, 1763)")</f>
        <v>Oedemera pthysica (Scopoli, 1763)</v>
      </c>
      <c r="AH10392" s="4" t="str">
        <f>HYPERLINK("#Statut_biogéographique!A"&amp;_xlfn.XMATCH("P",Statut_biogéographique!A:A,2,1),"P")</f>
        <v>P</v>
      </c>
      <c r="AP10392" s="4" t="s">
        <v>376</v>
      </c>
      <c r="AR10392" s="4" t="s">
        <v>377</v>
      </c>
    </row>
    <row r="10393" spans="1:44">
      <c r="A10393" s="4" t="s">
        <v>10753</v>
      </c>
      <c r="B10393" s="4">
        <v>224062</v>
      </c>
      <c r="D10393" s="5" t="s">
        <v>13540</v>
      </c>
      <c r="E10393" s="6" t="str">
        <f>HYPERLINK("https://inpn.mnhn.fr/espece/cd_nom/224062","Oedemera femorata (Scopoli, 1763)")</f>
        <v>Oedemera femorata (Scopoli, 1763)</v>
      </c>
      <c r="AH10393" s="4" t="str">
        <f>HYPERLINK("#Statut_biogéographique!A"&amp;_xlfn.XMATCH("P",Statut_biogéographique!A:A,2,1),"P")</f>
        <v>P</v>
      </c>
      <c r="AP10393" s="4" t="s">
        <v>376</v>
      </c>
      <c r="AR10393" s="4" t="s">
        <v>377</v>
      </c>
    </row>
    <row r="10394" spans="1:44" ht="30">
      <c r="A10394" s="4" t="s">
        <v>10753</v>
      </c>
      <c r="B10394" s="4">
        <v>224065</v>
      </c>
      <c r="D10394" s="5" t="s">
        <v>13541</v>
      </c>
      <c r="E10394" s="6" t="str">
        <f>HYPERLINK("https://inpn.mnhn.fr/espece/cd_nom/224065","Chrysanthia geniculata (W.L.E. Schmidt, 1846)")</f>
        <v>Chrysanthia geniculata (W.L.E. Schmidt, 1846)</v>
      </c>
      <c r="F10394" s="5" t="s">
        <v>13542</v>
      </c>
      <c r="P10394" s="7" t="str">
        <f>HYPERLINK("#Liste_rouge!A"&amp;_xlfn.XMATCH("LC",Liste_rouge!A:A,2,1),"LC")</f>
        <v>LC</v>
      </c>
      <c r="AH10394" s="4" t="str">
        <f>HYPERLINK("#Statut_biogéographique!A"&amp;_xlfn.XMATCH("P",Statut_biogéographique!A:A,2,1),"P")</f>
        <v>P</v>
      </c>
      <c r="AP10394" s="4" t="s">
        <v>376</v>
      </c>
      <c r="AR10394" s="4" t="s">
        <v>377</v>
      </c>
    </row>
    <row r="10395" spans="1:44" ht="30">
      <c r="A10395" s="4" t="s">
        <v>10753</v>
      </c>
      <c r="B10395" s="4">
        <v>224068</v>
      </c>
      <c r="D10395" s="5" t="s">
        <v>13543</v>
      </c>
      <c r="E10395" s="6" t="str">
        <f>HYPERLINK("https://inpn.mnhn.fr/espece/cd_nom/224068","Anogcodes ustulatus (Scopoli, 1763)")</f>
        <v>Anogcodes ustulatus (Scopoli, 1763)</v>
      </c>
      <c r="P10395" s="7" t="str">
        <f>HYPERLINK("#Liste_rouge!A"&amp;_xlfn.XMATCH("LC",Liste_rouge!A:A,2,1),"LC")</f>
        <v>LC</v>
      </c>
      <c r="AH10395" s="4" t="str">
        <f>HYPERLINK("#Statut_biogéographique!A"&amp;_xlfn.XMATCH("P",Statut_biogéographique!A:A,2,1),"P")</f>
        <v>P</v>
      </c>
      <c r="AP10395" s="4" t="s">
        <v>376</v>
      </c>
      <c r="AR10395" s="4" t="s">
        <v>377</v>
      </c>
    </row>
    <row r="10396" spans="1:44">
      <c r="A10396" s="4" t="s">
        <v>10753</v>
      </c>
      <c r="B10396" s="4">
        <v>22407</v>
      </c>
      <c r="D10396" s="5">
        <v>22407</v>
      </c>
      <c r="E10396" s="6" t="str">
        <f>HYPERLINK("https://inpn.mnhn.fr/espece/cd_nom/22407","Exoprosopa cleomene Egger, 1859")</f>
        <v>Exoprosopa cleomene Egger, 1859</v>
      </c>
      <c r="AH10396" s="4" t="str">
        <f>HYPERLINK("#Statut_biogéographique!A"&amp;_xlfn.XMATCH("P",Statut_biogéographique!A:A,2,1),"P")</f>
        <v>P</v>
      </c>
      <c r="AP10396" s="4" t="s">
        <v>376</v>
      </c>
      <c r="AR10396" s="4" t="s">
        <v>377</v>
      </c>
    </row>
    <row r="10397" spans="1:44">
      <c r="A10397" s="4" t="s">
        <v>10753</v>
      </c>
      <c r="B10397" s="4">
        <v>224071</v>
      </c>
      <c r="D10397" s="5" t="s">
        <v>13544</v>
      </c>
      <c r="E10397" s="6" t="str">
        <f>HYPERLINK("https://inpn.mnhn.fr/espece/cd_nom/224071","Anogcodes seladonius (Fabricius, 1792)")</f>
        <v>Anogcodes seladonius (Fabricius, 1792)</v>
      </c>
      <c r="F10397" s="5" t="s">
        <v>13545</v>
      </c>
      <c r="P10397" s="7" t="str">
        <f>HYPERLINK("#Liste_rouge!A"&amp;_xlfn.XMATCH("LC",Liste_rouge!A:A,2,1),"LC")</f>
        <v>LC</v>
      </c>
      <c r="AH10397" s="4" t="str">
        <f>HYPERLINK("#Statut_biogéographique!A"&amp;_xlfn.XMATCH("P",Statut_biogéographique!A:A,2,1),"P")</f>
        <v>P</v>
      </c>
      <c r="AP10397" s="4" t="s">
        <v>376</v>
      </c>
      <c r="AR10397" s="4" t="s">
        <v>377</v>
      </c>
    </row>
    <row r="10398" spans="1:44">
      <c r="A10398" s="4" t="s">
        <v>10753</v>
      </c>
      <c r="B10398" s="4">
        <v>224075</v>
      </c>
      <c r="D10398" s="5" t="s">
        <v>13546</v>
      </c>
      <c r="E10398" s="6" t="str">
        <f>HYPERLINK("https://inpn.mnhn.fr/espece/cd_nom/224075","Nacerdes carniolica (Gistel, 1834)")</f>
        <v>Nacerdes carniolica (Gistel, 1834)</v>
      </c>
      <c r="F10398" s="5" t="s">
        <v>13547</v>
      </c>
      <c r="P10398" s="7" t="str">
        <f>HYPERLINK("#Liste_rouge!A"&amp;_xlfn.XMATCH("LC",Liste_rouge!A:A,2,1),"LC")</f>
        <v>LC</v>
      </c>
      <c r="AH10398" s="4" t="str">
        <f>HYPERLINK("#Statut_biogéographique!A"&amp;_xlfn.XMATCH("P",Statut_biogéographique!A:A,2,1),"P")</f>
        <v>P</v>
      </c>
      <c r="AP10398" s="4" t="s">
        <v>376</v>
      </c>
      <c r="AR10398" s="4" t="s">
        <v>377</v>
      </c>
    </row>
    <row r="10399" spans="1:44">
      <c r="A10399" s="4" t="s">
        <v>10753</v>
      </c>
      <c r="B10399" s="4">
        <v>224080</v>
      </c>
      <c r="D10399" s="5" t="s">
        <v>13548</v>
      </c>
      <c r="E10399" s="6" t="str">
        <f>HYPERLINK("https://inpn.mnhn.fr/espece/cd_nom/224080","Stilbus atomarius (Linnaeus, 1767)")</f>
        <v>Stilbus atomarius (Linnaeus, 1767)</v>
      </c>
      <c r="AH10399" s="4" t="str">
        <f>HYPERLINK("#Statut_biogéographique!A"&amp;_xlfn.XMATCH("P",Statut_biogéographique!A:A,2,1),"P")</f>
        <v>P</v>
      </c>
      <c r="AP10399" s="4" t="s">
        <v>376</v>
      </c>
      <c r="AR10399" s="4" t="s">
        <v>377</v>
      </c>
    </row>
    <row r="10400" spans="1:44">
      <c r="A10400" s="4" t="s">
        <v>10753</v>
      </c>
      <c r="B10400" s="4">
        <v>224082</v>
      </c>
      <c r="D10400" s="5" t="s">
        <v>13549</v>
      </c>
      <c r="E10400" s="6" t="str">
        <f>HYPERLINK("https://inpn.mnhn.fr/espece/cd_nom/224082","Stilbus testaceus (Panzer, 1796)")</f>
        <v>Stilbus testaceus (Panzer, 1796)</v>
      </c>
      <c r="AH10400" s="4" t="str">
        <f>HYPERLINK("#Statut_biogéographique!A"&amp;_xlfn.XMATCH("P",Statut_biogéographique!A:A,2,1),"P")</f>
        <v>P</v>
      </c>
      <c r="AP10400" s="4" t="s">
        <v>376</v>
      </c>
      <c r="AR10400" s="4" t="s">
        <v>377</v>
      </c>
    </row>
    <row r="10401" spans="1:44">
      <c r="A10401" s="4" t="s">
        <v>10753</v>
      </c>
      <c r="B10401" s="4">
        <v>224095</v>
      </c>
      <c r="D10401" s="5" t="s">
        <v>13550</v>
      </c>
      <c r="E10401" s="6" t="str">
        <f>HYPERLINK("https://inpn.mnhn.fr/espece/cd_nom/224095","Olibrus corticalis (Panzer, 1796)")</f>
        <v>Olibrus corticalis (Panzer, 1796)</v>
      </c>
      <c r="AH10401" s="4" t="str">
        <f>HYPERLINK("#Statut_biogéographique!A"&amp;_xlfn.XMATCH("P",Statut_biogéographique!A:A,2,1),"P")</f>
        <v>P</v>
      </c>
      <c r="AP10401" s="4" t="s">
        <v>376</v>
      </c>
      <c r="AR10401" s="4" t="s">
        <v>377</v>
      </c>
    </row>
    <row r="10402" spans="1:44">
      <c r="A10402" s="4" t="s">
        <v>10753</v>
      </c>
      <c r="B10402" s="4">
        <v>224100</v>
      </c>
      <c r="D10402" s="5">
        <v>224100</v>
      </c>
      <c r="E10402" s="6" t="str">
        <f>HYPERLINK("https://inpn.mnhn.fr/espece/cd_nom/224100","Phloiophilus edwardsii Stephens, 1830")</f>
        <v>Phloiophilus edwardsii Stephens, 1830</v>
      </c>
      <c r="AH10402" s="4" t="str">
        <f>HYPERLINK("#Statut_biogéographique!A"&amp;_xlfn.XMATCH("P",Statut_biogéographique!A:A,2,1),"P")</f>
        <v>P</v>
      </c>
      <c r="AP10402" s="4" t="s">
        <v>376</v>
      </c>
      <c r="AR10402" s="4" t="s">
        <v>377</v>
      </c>
    </row>
    <row r="10403" spans="1:44">
      <c r="A10403" s="4" t="s">
        <v>10753</v>
      </c>
      <c r="B10403" s="4">
        <v>224101</v>
      </c>
      <c r="D10403" s="5" t="s">
        <v>13551</v>
      </c>
      <c r="E10403" s="6" t="str">
        <f>HYPERLINK("https://inpn.mnhn.fr/espece/cd_nom/224101","Pytho depressus Linnaeus, 1767")</f>
        <v>Pytho depressus Linnaeus, 1767</v>
      </c>
      <c r="F10403" s="5" t="s">
        <v>13552</v>
      </c>
      <c r="P10403" s="7" t="str">
        <f>HYPERLINK("#Liste_rouge!A"&amp;_xlfn.XMATCH("LC",Liste_rouge!A:A,2,1),"LC")</f>
        <v>LC</v>
      </c>
      <c r="AH10403" s="4" t="str">
        <f>HYPERLINK("#Statut_biogéographique!A"&amp;_xlfn.XMATCH("P",Statut_biogéographique!A:A,2,1),"P")</f>
        <v>P</v>
      </c>
      <c r="AP10403" s="4" t="s">
        <v>376</v>
      </c>
      <c r="AR10403" s="4" t="s">
        <v>377</v>
      </c>
    </row>
    <row r="10404" spans="1:44">
      <c r="A10404" s="4" t="s">
        <v>10753</v>
      </c>
      <c r="B10404" s="4">
        <v>224102</v>
      </c>
      <c r="D10404" s="5" t="s">
        <v>13553</v>
      </c>
      <c r="E10404" s="6" t="str">
        <f>HYPERLINK("https://inpn.mnhn.fr/espece/cd_nom/224102","Salpingus planirostris (Fabricius, 1787)")</f>
        <v>Salpingus planirostris (Fabricius, 1787)</v>
      </c>
      <c r="AH10404" s="4" t="str">
        <f>HYPERLINK("#Statut_biogéographique!A"&amp;_xlfn.XMATCH("P",Statut_biogéographique!A:A,2,1),"P")</f>
        <v>P</v>
      </c>
      <c r="AP10404" s="4" t="s">
        <v>376</v>
      </c>
      <c r="AR10404" s="4" t="s">
        <v>377</v>
      </c>
    </row>
    <row r="10405" spans="1:44">
      <c r="A10405" s="4" t="s">
        <v>10753</v>
      </c>
      <c r="B10405" s="4">
        <v>224104</v>
      </c>
      <c r="D10405" s="5" t="s">
        <v>13554</v>
      </c>
      <c r="E10405" s="6" t="str">
        <f>HYPERLINK("https://inpn.mnhn.fr/espece/cd_nom/224104","Salpingus ruficollis (Linnaeus, 1761)")</f>
        <v>Salpingus ruficollis (Linnaeus, 1761)</v>
      </c>
      <c r="AH10405" s="4" t="str">
        <f>HYPERLINK("#Statut_biogéographique!A"&amp;_xlfn.XMATCH("P",Statut_biogéographique!A:A,2,1),"P")</f>
        <v>P</v>
      </c>
      <c r="AP10405" s="4" t="s">
        <v>376</v>
      </c>
      <c r="AR10405" s="4" t="s">
        <v>377</v>
      </c>
    </row>
    <row r="10406" spans="1:44">
      <c r="A10406" s="4" t="s">
        <v>10753</v>
      </c>
      <c r="B10406" s="4">
        <v>224106</v>
      </c>
      <c r="D10406" s="5" t="s">
        <v>13555</v>
      </c>
      <c r="E10406" s="6" t="str">
        <f>HYPERLINK("https://inpn.mnhn.fr/espece/cd_nom/224106","Vincenzellus ruficollis (Panzer, 1794)")</f>
        <v>Vincenzellus ruficollis (Panzer, 1794)</v>
      </c>
      <c r="AH10406" s="4" t="str">
        <f>HYPERLINK("#Statut_biogéographique!A"&amp;_xlfn.XMATCH("P",Statut_biogéographique!A:A,2,1),"P")</f>
        <v>P</v>
      </c>
      <c r="AP10406" s="4" t="s">
        <v>376</v>
      </c>
      <c r="AR10406" s="4" t="s">
        <v>377</v>
      </c>
    </row>
    <row r="10407" spans="1:44">
      <c r="A10407" s="4" t="s">
        <v>10753</v>
      </c>
      <c r="B10407" s="4">
        <v>22411</v>
      </c>
      <c r="D10407" s="5" t="s">
        <v>13556</v>
      </c>
      <c r="E10407" s="6" t="str">
        <f>HYPERLINK("https://inpn.mnhn.fr/espece/cd_nom/22411","Hemipenthes morio (Linnaeus, 1758)")</f>
        <v>Hemipenthes morio (Linnaeus, 1758)</v>
      </c>
      <c r="AH10407" s="4" t="str">
        <f>HYPERLINK("#Statut_biogéographique!A"&amp;_xlfn.XMATCH("P",Statut_biogéographique!A:A,2,1),"P")</f>
        <v>P</v>
      </c>
      <c r="AP10407" s="4" t="s">
        <v>376</v>
      </c>
      <c r="AR10407" s="4" t="s">
        <v>377</v>
      </c>
    </row>
    <row r="10408" spans="1:44">
      <c r="A10408" s="4" t="s">
        <v>10753</v>
      </c>
      <c r="B10408" s="4">
        <v>224111</v>
      </c>
      <c r="D10408" s="5" t="s">
        <v>13557</v>
      </c>
      <c r="E10408" s="6" t="str">
        <f>HYPERLINK("https://inpn.mnhn.fr/espece/cd_nom/224111","Sphaeriestes aeratus (Mulsant, 1859)")</f>
        <v>Sphaeriestes aeratus (Mulsant, 1859)</v>
      </c>
      <c r="AH10408" s="4" t="str">
        <f>HYPERLINK("#Statut_biogéographique!A"&amp;_xlfn.XMATCH("P",Statut_biogéographique!A:A,2,1),"P")</f>
        <v>P</v>
      </c>
      <c r="AP10408" s="4" t="s">
        <v>376</v>
      </c>
      <c r="AR10408" s="4" t="s">
        <v>377</v>
      </c>
    </row>
    <row r="10409" spans="1:44">
      <c r="A10409" s="4" t="s">
        <v>10753</v>
      </c>
      <c r="B10409" s="4">
        <v>224112</v>
      </c>
      <c r="D10409" s="5" t="s">
        <v>13558</v>
      </c>
      <c r="E10409" s="6" t="str">
        <f>HYPERLINK("https://inpn.mnhn.fr/espece/cd_nom/224112","Sphaeriestes castaneus (Panzer, 1796)")</f>
        <v>Sphaeriestes castaneus (Panzer, 1796)</v>
      </c>
      <c r="AH10409" s="4" t="str">
        <f>HYPERLINK("#Statut_biogéographique!A"&amp;_xlfn.XMATCH("P",Statut_biogéographique!A:A,2,1),"P")</f>
        <v>P</v>
      </c>
      <c r="AP10409" s="4" t="s">
        <v>376</v>
      </c>
      <c r="AR10409" s="4" t="s">
        <v>377</v>
      </c>
    </row>
    <row r="10410" spans="1:44">
      <c r="A10410" s="4" t="s">
        <v>10753</v>
      </c>
      <c r="B10410" s="4">
        <v>224113</v>
      </c>
      <c r="D10410" s="5" t="s">
        <v>13559</v>
      </c>
      <c r="E10410" s="6" t="str">
        <f>HYPERLINK("https://inpn.mnhn.fr/espece/cd_nom/224113","Rabocerus foveolatus (Ljungh, 1823)")</f>
        <v>Rabocerus foveolatus (Ljungh, 1823)</v>
      </c>
      <c r="AH10410" s="4" t="str">
        <f>HYPERLINK("#Statut_biogéographique!A"&amp;_xlfn.XMATCH("P",Statut_biogéographique!A:A,2,1),"P")</f>
        <v>P</v>
      </c>
      <c r="AP10410" s="4" t="s">
        <v>376</v>
      </c>
      <c r="AR10410" s="4" t="s">
        <v>377</v>
      </c>
    </row>
    <row r="10411" spans="1:44">
      <c r="A10411" s="4" t="s">
        <v>10753</v>
      </c>
      <c r="B10411" s="4">
        <v>224117</v>
      </c>
      <c r="D10411" s="5" t="s">
        <v>13560</v>
      </c>
      <c r="E10411" s="6" t="str">
        <f>HYPERLINK("https://inpn.mnhn.fr/espece/cd_nom/224117","Lissodema cursor (Gyllenhal, 1813)")</f>
        <v>Lissodema cursor (Gyllenhal, 1813)</v>
      </c>
      <c r="AH10411" s="4" t="str">
        <f>HYPERLINK("#Statut_biogéographique!A"&amp;_xlfn.XMATCH("P",Statut_biogéographique!A:A,2,1),"P")</f>
        <v>P</v>
      </c>
      <c r="AP10411" s="4" t="s">
        <v>376</v>
      </c>
      <c r="AR10411" s="4" t="s">
        <v>377</v>
      </c>
    </row>
    <row r="10412" spans="1:44">
      <c r="A10412" s="4" t="s">
        <v>10753</v>
      </c>
      <c r="B10412" s="4">
        <v>224118</v>
      </c>
      <c r="D10412" s="5" t="s">
        <v>13561</v>
      </c>
      <c r="E10412" s="6" t="str">
        <f>HYPERLINK("https://inpn.mnhn.fr/espece/cd_nom/224118","Lissodema denticolle (Gyllenhal, 1813)")</f>
        <v>Lissodema denticolle (Gyllenhal, 1813)</v>
      </c>
      <c r="AH10412" s="4" t="str">
        <f>HYPERLINK("#Statut_biogéographique!A"&amp;_xlfn.XMATCH("P",Statut_biogéographique!A:A,2,1),"P")</f>
        <v>P</v>
      </c>
      <c r="AP10412" s="4" t="s">
        <v>376</v>
      </c>
      <c r="AR10412" s="4" t="s">
        <v>377</v>
      </c>
    </row>
    <row r="10413" spans="1:44">
      <c r="A10413" s="4" t="s">
        <v>10753</v>
      </c>
      <c r="B10413" s="4">
        <v>224119</v>
      </c>
      <c r="D10413" s="5" t="s">
        <v>13562</v>
      </c>
      <c r="E10413" s="6" t="str">
        <f>HYPERLINK("https://inpn.mnhn.fr/espece/cd_nom/224119","Scirtes orbicularis (Panzer, 1793)")</f>
        <v>Scirtes orbicularis (Panzer, 1793)</v>
      </c>
      <c r="AH10413" s="4" t="str">
        <f>HYPERLINK("#Statut_biogéographique!A"&amp;_xlfn.XMATCH("P",Statut_biogéographique!A:A,2,1),"P")</f>
        <v>P</v>
      </c>
      <c r="AP10413" s="4" t="s">
        <v>376</v>
      </c>
      <c r="AR10413" s="4" t="s">
        <v>377</v>
      </c>
    </row>
    <row r="10414" spans="1:44">
      <c r="A10414" s="4" t="s">
        <v>10753</v>
      </c>
      <c r="B10414" s="4">
        <v>224125</v>
      </c>
      <c r="D10414" s="5" t="s">
        <v>13563</v>
      </c>
      <c r="E10414" s="6" t="str">
        <f>HYPERLINK("https://inpn.mnhn.fr/espece/cd_nom/224125","Elodes elongata Tournier, 1868")</f>
        <v>Elodes elongata Tournier, 1868</v>
      </c>
      <c r="AH10414" s="4" t="str">
        <f>HYPERLINK("#Statut_biogéographique!A"&amp;_xlfn.XMATCH("P",Statut_biogéographique!A:A,2,1),"P")</f>
        <v>P</v>
      </c>
      <c r="AP10414" s="4" t="s">
        <v>376</v>
      </c>
      <c r="AR10414" s="4" t="s">
        <v>377</v>
      </c>
    </row>
    <row r="10415" spans="1:44">
      <c r="A10415" s="4" t="s">
        <v>10753</v>
      </c>
      <c r="B10415" s="4">
        <v>224126</v>
      </c>
      <c r="D10415" s="5" t="s">
        <v>13564</v>
      </c>
      <c r="E10415" s="6" t="str">
        <f>HYPERLINK("https://inpn.mnhn.fr/espece/cd_nom/224126","Elodes minuta (Linnaeus, 1767)")</f>
        <v>Elodes minuta (Linnaeus, 1767)</v>
      </c>
      <c r="AH10415" s="4" t="str">
        <f>HYPERLINK("#Statut_biogéographique!A"&amp;_xlfn.XMATCH("P",Statut_biogéographique!A:A,2,1),"P")</f>
        <v>P</v>
      </c>
      <c r="AP10415" s="4" t="s">
        <v>376</v>
      </c>
      <c r="AR10415" s="4" t="s">
        <v>377</v>
      </c>
    </row>
    <row r="10416" spans="1:44">
      <c r="A10416" s="4" t="s">
        <v>10753</v>
      </c>
      <c r="B10416" s="4">
        <v>224147</v>
      </c>
      <c r="D10416" s="5" t="s">
        <v>13565</v>
      </c>
      <c r="E10416" s="6" t="str">
        <f>HYPERLINK("https://inpn.mnhn.fr/espece/cd_nom/224147","Psammoecus bipunctatus (Fabricius, 1792)")</f>
        <v>Psammoecus bipunctatus (Fabricius, 1792)</v>
      </c>
      <c r="AH10416" s="4" t="str">
        <f>HYPERLINK("#Statut_biogéographique!A"&amp;_xlfn.XMATCH("P",Statut_biogéographique!A:A,2,1),"P")</f>
        <v>P</v>
      </c>
      <c r="AP10416" s="4" t="s">
        <v>376</v>
      </c>
      <c r="AR10416" s="4" t="s">
        <v>377</v>
      </c>
    </row>
    <row r="10417" spans="1:44">
      <c r="A10417" s="4" t="s">
        <v>10753</v>
      </c>
      <c r="B10417" s="4">
        <v>224148</v>
      </c>
      <c r="D10417" s="5" t="s">
        <v>13566</v>
      </c>
      <c r="E10417" s="6" t="str">
        <f>HYPERLINK("https://inpn.mnhn.fr/espece/cd_nom/224148","Ahasverus advena (Waltl, 1834)")</f>
        <v>Ahasverus advena (Waltl, 1834)</v>
      </c>
      <c r="AH10417" s="4" t="str">
        <f>HYPERLINK("#Statut_biogéographique!A"&amp;_xlfn.XMATCH("P",Statut_biogéographique!A:A,2,1),"P")</f>
        <v>P</v>
      </c>
      <c r="AP10417" s="4" t="s">
        <v>376</v>
      </c>
      <c r="AR10417" s="4" t="s">
        <v>377</v>
      </c>
    </row>
    <row r="10418" spans="1:44">
      <c r="A10418" s="4" t="s">
        <v>10753</v>
      </c>
      <c r="B10418" s="4">
        <v>224150</v>
      </c>
      <c r="D10418" s="5" t="s">
        <v>13567</v>
      </c>
      <c r="E10418" s="6" t="str">
        <f>HYPERLINK("https://inpn.mnhn.fr/espece/cd_nom/224150","Dendrophagus crenatus (Paykull, 1799)")</f>
        <v>Dendrophagus crenatus (Paykull, 1799)</v>
      </c>
      <c r="AH10418" s="4" t="str">
        <f>HYPERLINK("#Statut_biogéographique!A"&amp;_xlfn.XMATCH("P",Statut_biogéographique!A:A,2,1),"P")</f>
        <v>P</v>
      </c>
      <c r="AP10418" s="4" t="s">
        <v>376</v>
      </c>
      <c r="AR10418" s="4" t="s">
        <v>377</v>
      </c>
    </row>
    <row r="10419" spans="1:44">
      <c r="A10419" s="4" t="s">
        <v>10753</v>
      </c>
      <c r="B10419" s="4">
        <v>224153</v>
      </c>
      <c r="D10419" s="5" t="s">
        <v>13568</v>
      </c>
      <c r="E10419" s="6" t="str">
        <f>HYPERLINK("https://inpn.mnhn.fr/espece/cd_nom/224153","Oryzaephilus surinamensis (Linnaeus, 1758)")</f>
        <v>Oryzaephilus surinamensis (Linnaeus, 1758)</v>
      </c>
      <c r="AH10419" s="4" t="str">
        <f>HYPERLINK("#Statut_biogéographique!A"&amp;_xlfn.XMATCH("I",Statut_biogéographique!A:A,2,1),"I")</f>
        <v>I</v>
      </c>
      <c r="AP10419" s="4" t="s">
        <v>376</v>
      </c>
      <c r="AR10419" s="4" t="s">
        <v>377</v>
      </c>
    </row>
    <row r="10420" spans="1:44">
      <c r="A10420" s="4" t="s">
        <v>10753</v>
      </c>
      <c r="B10420" s="4">
        <v>224154</v>
      </c>
      <c r="D10420" s="5" t="s">
        <v>13569</v>
      </c>
      <c r="E10420" s="6" t="str">
        <f>HYPERLINK("https://inpn.mnhn.fr/espece/cd_nom/224154","Silvanoprus fagi (Guérin-Méneville, 1844)")</f>
        <v>Silvanoprus fagi (Guérin-Méneville, 1844)</v>
      </c>
      <c r="AH10420" s="4" t="str">
        <f>HYPERLINK("#Statut_biogéographique!A"&amp;_xlfn.XMATCH("P",Statut_biogéographique!A:A,2,1),"P")</f>
        <v>P</v>
      </c>
      <c r="AP10420" s="4" t="s">
        <v>376</v>
      </c>
      <c r="AR10420" s="4" t="s">
        <v>377</v>
      </c>
    </row>
    <row r="10421" spans="1:44">
      <c r="A10421" s="4" t="s">
        <v>10753</v>
      </c>
      <c r="B10421" s="4">
        <v>224155</v>
      </c>
      <c r="D10421" s="5" t="s">
        <v>13570</v>
      </c>
      <c r="E10421" s="6" t="str">
        <f>HYPERLINK("https://inpn.mnhn.fr/espece/cd_nom/224155","Silvanus bidentatus (Fabricius, 1792)")</f>
        <v>Silvanus bidentatus (Fabricius, 1792)</v>
      </c>
      <c r="AH10421" s="4" t="str">
        <f>HYPERLINK("#Statut_biogéographique!A"&amp;_xlfn.XMATCH("P",Statut_biogéographique!A:A,2,1),"P")</f>
        <v>P</v>
      </c>
      <c r="AP10421" s="4" t="s">
        <v>376</v>
      </c>
      <c r="AR10421" s="4" t="s">
        <v>377</v>
      </c>
    </row>
    <row r="10422" spans="1:44">
      <c r="A10422" s="4" t="s">
        <v>10753</v>
      </c>
      <c r="B10422" s="4">
        <v>224156</v>
      </c>
      <c r="D10422" s="5" t="s">
        <v>13571</v>
      </c>
      <c r="E10422" s="6" t="str">
        <f>HYPERLINK("https://inpn.mnhn.fr/espece/cd_nom/224156","Sphaerius acaroides Waltl, 1838")</f>
        <v>Sphaerius acaroides Waltl, 1838</v>
      </c>
      <c r="AH10422" s="4" t="str">
        <f>HYPERLINK("#Statut_biogéographique!A"&amp;_xlfn.XMATCH("P",Statut_biogéographique!A:A,2,1),"P")</f>
        <v>P</v>
      </c>
      <c r="AP10422" s="4" t="s">
        <v>376</v>
      </c>
      <c r="AR10422" s="4" t="s">
        <v>377</v>
      </c>
    </row>
    <row r="10423" spans="1:44">
      <c r="A10423" s="4" t="s">
        <v>10753</v>
      </c>
      <c r="B10423" s="4">
        <v>224159</v>
      </c>
      <c r="D10423" s="5" t="s">
        <v>13572</v>
      </c>
      <c r="E10423" s="6" t="str">
        <f>HYPERLINK("https://inpn.mnhn.fr/espece/cd_nom/224159","Sphindus dubius (Gyllenhal, 1808)")</f>
        <v>Sphindus dubius (Gyllenhal, 1808)</v>
      </c>
      <c r="AH10423" s="4" t="str">
        <f>HYPERLINK("#Statut_biogéographique!A"&amp;_xlfn.XMATCH("P",Statut_biogéographique!A:A,2,1),"P")</f>
        <v>P</v>
      </c>
      <c r="AP10423" s="4" t="s">
        <v>376</v>
      </c>
      <c r="AR10423" s="4" t="s">
        <v>377</v>
      </c>
    </row>
    <row r="10424" spans="1:44">
      <c r="A10424" s="4" t="s">
        <v>10753</v>
      </c>
      <c r="B10424" s="4">
        <v>224160</v>
      </c>
      <c r="D10424" s="5">
        <v>224160</v>
      </c>
      <c r="E10424" s="6" t="str">
        <f>HYPERLINK("https://inpn.mnhn.fr/espece/cd_nom/224160","Aspidiphorus lareyniei Jacquelin du Val, 1859")</f>
        <v>Aspidiphorus lareyniei Jacquelin du Val, 1859</v>
      </c>
      <c r="AH10424" s="4" t="str">
        <f>HYPERLINK("#Statut_biogéographique!A"&amp;_xlfn.XMATCH("P",Statut_biogéographique!A:A,2,1),"P")</f>
        <v>P</v>
      </c>
      <c r="AP10424" s="4" t="s">
        <v>376</v>
      </c>
      <c r="AR10424" s="4" t="s">
        <v>377</v>
      </c>
    </row>
    <row r="10425" spans="1:44">
      <c r="A10425" s="4" t="s">
        <v>10753</v>
      </c>
      <c r="B10425" s="4">
        <v>224161</v>
      </c>
      <c r="D10425" s="5" t="s">
        <v>13573</v>
      </c>
      <c r="E10425" s="6" t="str">
        <f>HYPERLINK("https://inpn.mnhn.fr/espece/cd_nom/224161","Aspidiphorus orbiculatus (Gyllenhal, 1808)")</f>
        <v>Aspidiphorus orbiculatus (Gyllenhal, 1808)</v>
      </c>
      <c r="AH10425" s="4" t="str">
        <f>HYPERLINK("#Statut_biogéographique!A"&amp;_xlfn.XMATCH("P",Statut_biogéographique!A:A,2,1),"P")</f>
        <v>P</v>
      </c>
      <c r="AP10425" s="4" t="s">
        <v>376</v>
      </c>
      <c r="AR10425" s="4" t="s">
        <v>377</v>
      </c>
    </row>
    <row r="10426" spans="1:44">
      <c r="A10426" s="4" t="s">
        <v>10753</v>
      </c>
      <c r="B10426" s="4">
        <v>224162</v>
      </c>
      <c r="D10426" s="5" t="s">
        <v>13574</v>
      </c>
      <c r="E10426" s="6" t="str">
        <f>HYPERLINK("https://inpn.mnhn.fr/espece/cd_nom/224162","Mycetoma suturale (Panzer, 1797)")</f>
        <v>Mycetoma suturale (Panzer, 1797)</v>
      </c>
      <c r="AH10426" s="4" t="str">
        <f>HYPERLINK("#Statut_biogéographique!A"&amp;_xlfn.XMATCH("P",Statut_biogéographique!A:A,2,1),"P")</f>
        <v>P</v>
      </c>
      <c r="AP10426" s="4" t="s">
        <v>376</v>
      </c>
      <c r="AR10426" s="4" t="s">
        <v>377</v>
      </c>
    </row>
    <row r="10427" spans="1:44" ht="30">
      <c r="A10427" s="4" t="s">
        <v>10753</v>
      </c>
      <c r="B10427" s="4">
        <v>224163</v>
      </c>
      <c r="D10427" s="5" t="s">
        <v>13575</v>
      </c>
      <c r="E10427" s="6" t="str">
        <f>HYPERLINK("https://inpn.mnhn.fr/espece/cd_nom/224163","Hallomenus axillaris (Illiger, 1807)")</f>
        <v>Hallomenus axillaris (Illiger, 1807)</v>
      </c>
      <c r="AH10427" s="4" t="str">
        <f>HYPERLINK("#Statut_biogéographique!A"&amp;_xlfn.XMATCH("P",Statut_biogéographique!A:A,2,1),"P")</f>
        <v>P</v>
      </c>
      <c r="AP10427" s="4" t="s">
        <v>376</v>
      </c>
      <c r="AR10427" s="4" t="s">
        <v>377</v>
      </c>
    </row>
    <row r="10428" spans="1:44" ht="30">
      <c r="A10428" s="4" t="s">
        <v>10753</v>
      </c>
      <c r="B10428" s="4">
        <v>224164</v>
      </c>
      <c r="D10428" s="5" t="s">
        <v>13576</v>
      </c>
      <c r="E10428" s="6" t="str">
        <f>HYPERLINK("https://inpn.mnhn.fr/espece/cd_nom/224164","Hallomenus binotatus (Quensel, 1790)")</f>
        <v>Hallomenus binotatus (Quensel, 1790)</v>
      </c>
      <c r="AH10428" s="4" t="str">
        <f>HYPERLINK("#Statut_biogéographique!A"&amp;_xlfn.XMATCH("P",Statut_biogéographique!A:A,2,1),"P")</f>
        <v>P</v>
      </c>
      <c r="AP10428" s="4" t="s">
        <v>376</v>
      </c>
      <c r="AR10428" s="4" t="s">
        <v>377</v>
      </c>
    </row>
    <row r="10429" spans="1:44" ht="30">
      <c r="A10429" s="4" t="s">
        <v>10753</v>
      </c>
      <c r="B10429" s="4">
        <v>224166</v>
      </c>
      <c r="D10429" s="5" t="s">
        <v>13577</v>
      </c>
      <c r="E10429" s="6" t="str">
        <f>HYPERLINK("https://inpn.mnhn.fr/espece/cd_nom/224166","Tetratoma ancora Fabricius, 1790")</f>
        <v>Tetratoma ancora Fabricius, 1790</v>
      </c>
      <c r="AH10429" s="4" t="str">
        <f>HYPERLINK("#Statut_biogéographique!A"&amp;_xlfn.XMATCH("P",Statut_biogéographique!A:A,2,1),"P")</f>
        <v>P</v>
      </c>
      <c r="AP10429" s="4" t="s">
        <v>376</v>
      </c>
      <c r="AR10429" s="4" t="s">
        <v>377</v>
      </c>
    </row>
    <row r="10430" spans="1:44">
      <c r="A10430" s="4" t="s">
        <v>10753</v>
      </c>
      <c r="B10430" s="4">
        <v>224174</v>
      </c>
      <c r="D10430" s="5" t="s">
        <v>13578</v>
      </c>
      <c r="E10430" s="6" t="str">
        <f>HYPERLINK("https://inpn.mnhn.fr/espece/cd_nom/224174","Colobicus hirtus (Rossi, 1790)")</f>
        <v>Colobicus hirtus (Rossi, 1790)</v>
      </c>
      <c r="AH10430" s="4" t="str">
        <f>HYPERLINK("#Statut_biogéographique!A"&amp;_xlfn.XMATCH("P",Statut_biogéographique!A:A,2,1),"P")</f>
        <v>P</v>
      </c>
      <c r="AP10430" s="4" t="s">
        <v>376</v>
      </c>
      <c r="AR10430" s="4" t="s">
        <v>377</v>
      </c>
    </row>
    <row r="10431" spans="1:44">
      <c r="A10431" s="4" t="s">
        <v>10753</v>
      </c>
      <c r="B10431" s="4">
        <v>224176</v>
      </c>
      <c r="D10431" s="5" t="s">
        <v>13579</v>
      </c>
      <c r="E10431" s="6" t="str">
        <f>HYPERLINK("https://inpn.mnhn.fr/espece/cd_nom/224176","Bitoma crenata (Fabricius, 1775)")</f>
        <v>Bitoma crenata (Fabricius, 1775)</v>
      </c>
      <c r="AH10431" s="4" t="str">
        <f>HYPERLINK("#Statut_biogéographique!A"&amp;_xlfn.XMATCH("P",Statut_biogéographique!A:A,2,1),"P")</f>
        <v>P</v>
      </c>
      <c r="AP10431" s="4" t="s">
        <v>376</v>
      </c>
      <c r="AR10431" s="4" t="s">
        <v>377</v>
      </c>
    </row>
    <row r="10432" spans="1:44">
      <c r="A10432" s="4" t="s">
        <v>10753</v>
      </c>
      <c r="B10432" s="4">
        <v>224177</v>
      </c>
      <c r="D10432" s="5" t="s">
        <v>13580</v>
      </c>
      <c r="E10432" s="6" t="str">
        <f>HYPERLINK("https://inpn.mnhn.fr/espece/cd_nom/224177","Synchita separanda (Reitter, 1882)")</f>
        <v>Synchita separanda (Reitter, 1882)</v>
      </c>
      <c r="AH10432" s="4" t="str">
        <f>HYPERLINK("#Statut_biogéographique!A"&amp;_xlfn.XMATCH("P",Statut_biogéographique!A:A,2,1),"P")</f>
        <v>P</v>
      </c>
      <c r="AP10432" s="4" t="s">
        <v>376</v>
      </c>
      <c r="AR10432" s="4" t="s">
        <v>377</v>
      </c>
    </row>
    <row r="10433" spans="1:44" ht="30">
      <c r="A10433" s="4" t="s">
        <v>10753</v>
      </c>
      <c r="B10433" s="4">
        <v>224179</v>
      </c>
      <c r="D10433" s="5">
        <v>224179</v>
      </c>
      <c r="E10433" s="6" t="str">
        <f>HYPERLINK("https://inpn.mnhn.fr/espece/cd_nom/224179","Synchita mediolanensis A. Villa &amp; G.B. Villa, 1833")</f>
        <v>Synchita mediolanensis A. Villa &amp; G.B. Villa, 1833</v>
      </c>
      <c r="AH10433" s="4" t="str">
        <f>HYPERLINK("#Statut_biogéographique!A"&amp;_xlfn.XMATCH("P",Statut_biogéographique!A:A,2,1),"P")</f>
        <v>P</v>
      </c>
      <c r="AP10433" s="4" t="s">
        <v>376</v>
      </c>
      <c r="AR10433" s="4" t="s">
        <v>377</v>
      </c>
    </row>
    <row r="10434" spans="1:44">
      <c r="A10434" s="4" t="s">
        <v>10753</v>
      </c>
      <c r="B10434" s="4">
        <v>224180</v>
      </c>
      <c r="D10434" s="5" t="s">
        <v>13581</v>
      </c>
      <c r="E10434" s="6" t="str">
        <f>HYPERLINK("https://inpn.mnhn.fr/espece/cd_nom/224180","Synchita undata Guérin-Méneville, 1844")</f>
        <v>Synchita undata Guérin-Méneville, 1844</v>
      </c>
      <c r="AH10434" s="4" t="str">
        <f>HYPERLINK("#Statut_biogéographique!A"&amp;_xlfn.XMATCH("P",Statut_biogéographique!A:A,2,1),"P")</f>
        <v>P</v>
      </c>
      <c r="AP10434" s="4" t="s">
        <v>376</v>
      </c>
      <c r="AR10434" s="4" t="s">
        <v>377</v>
      </c>
    </row>
    <row r="10435" spans="1:44">
      <c r="A10435" s="4" t="s">
        <v>10753</v>
      </c>
      <c r="B10435" s="4">
        <v>224181</v>
      </c>
      <c r="D10435" s="5" t="s">
        <v>13582</v>
      </c>
      <c r="E10435" s="6" t="str">
        <f>HYPERLINK("https://inpn.mnhn.fr/espece/cd_nom/224181","Synchita variegata Hellwig, 1792")</f>
        <v>Synchita variegata Hellwig, 1792</v>
      </c>
      <c r="AH10435" s="4" t="str">
        <f>HYPERLINK("#Statut_biogéographique!A"&amp;_xlfn.XMATCH("P",Statut_biogéographique!A:A,2,1),"P")</f>
        <v>P</v>
      </c>
      <c r="AP10435" s="4" t="s">
        <v>376</v>
      </c>
      <c r="AR10435" s="4" t="s">
        <v>377</v>
      </c>
    </row>
    <row r="10436" spans="1:44">
      <c r="A10436" s="4" t="s">
        <v>10753</v>
      </c>
      <c r="B10436" s="4">
        <v>224191</v>
      </c>
      <c r="D10436" s="5" t="s">
        <v>13583</v>
      </c>
      <c r="E10436" s="6" t="str">
        <f>HYPERLINK("https://inpn.mnhn.fr/espece/cd_nom/224191","Aulonium trisulcum (Fourcroy, 1785)")</f>
        <v>Aulonium trisulcum (Fourcroy, 1785)</v>
      </c>
      <c r="F10436" s="5" t="s">
        <v>13584</v>
      </c>
      <c r="AH10436" s="4" t="str">
        <f>HYPERLINK("#Statut_biogéographique!A"&amp;_xlfn.XMATCH("P",Statut_biogéographique!A:A,2,1),"P")</f>
        <v>P</v>
      </c>
      <c r="AP10436" s="4" t="s">
        <v>376</v>
      </c>
      <c r="AR10436" s="4" t="s">
        <v>377</v>
      </c>
    </row>
    <row r="10437" spans="1:44">
      <c r="A10437" s="4" t="s">
        <v>10753</v>
      </c>
      <c r="B10437" s="4">
        <v>224192</v>
      </c>
      <c r="D10437" s="5" t="s">
        <v>13585</v>
      </c>
      <c r="E10437" s="6" t="str">
        <f>HYPERLINK("https://inpn.mnhn.fr/espece/cd_nom/224192","Pycnomerus terebrans (Olivier, 1790)")</f>
        <v>Pycnomerus terebrans (Olivier, 1790)</v>
      </c>
      <c r="AH10437" s="4" t="str">
        <f>HYPERLINK("#Statut_biogéographique!A"&amp;_xlfn.XMATCH("P",Statut_biogéographique!A:A,2,1),"P")</f>
        <v>P</v>
      </c>
      <c r="AP10437" s="4" t="s">
        <v>376</v>
      </c>
      <c r="AR10437" s="4" t="s">
        <v>377</v>
      </c>
    </row>
    <row r="10438" spans="1:44">
      <c r="A10438" s="4" t="s">
        <v>10753</v>
      </c>
      <c r="B10438" s="4">
        <v>224194</v>
      </c>
      <c r="D10438" s="5" t="s">
        <v>13586</v>
      </c>
      <c r="E10438" s="6" t="str">
        <f>HYPERLINK("https://inpn.mnhn.fr/espece/cd_nom/224194","Guanchia pubescens (Géné, 1837)")</f>
        <v>Guanchia pubescens (Géné, 1837)</v>
      </c>
      <c r="AH10438" s="4" t="str">
        <f>HYPERLINK("#Statut_biogéographique!A"&amp;_xlfn.XMATCH("P",Statut_biogéographique!A:A,2,1),"P")</f>
        <v>P</v>
      </c>
      <c r="AP10438" s="4" t="s">
        <v>376</v>
      </c>
      <c r="AR10438" s="4" t="s">
        <v>377</v>
      </c>
    </row>
    <row r="10439" spans="1:44">
      <c r="A10439" s="4" t="s">
        <v>10753</v>
      </c>
      <c r="B10439" s="4">
        <v>224204</v>
      </c>
      <c r="D10439" s="5" t="s">
        <v>13587</v>
      </c>
      <c r="E10439" s="6" t="str">
        <f>HYPERLINK("https://inpn.mnhn.fr/espece/cd_nom/224204","Phytomyza abdominalis Zetterstedt, 1848")</f>
        <v>Phytomyza abdominalis Zetterstedt, 1848</v>
      </c>
      <c r="AH10439" s="4" t="str">
        <f>HYPERLINK("#Statut_biogéographique!A"&amp;_xlfn.XMATCH("P",Statut_biogéographique!A:A,2,1),"P")</f>
        <v>P</v>
      </c>
      <c r="AP10439" s="4" t="s">
        <v>376</v>
      </c>
      <c r="AR10439" s="4" t="s">
        <v>377</v>
      </c>
    </row>
    <row r="10440" spans="1:44">
      <c r="A10440" s="4" t="s">
        <v>10753</v>
      </c>
      <c r="B10440" s="4">
        <v>224205</v>
      </c>
      <c r="D10440" s="5" t="s">
        <v>13588</v>
      </c>
      <c r="E10440" s="6" t="str">
        <f>HYPERLINK("https://inpn.mnhn.fr/espece/cd_nom/224205","Phytomyza aconiti Hendel, 1920")</f>
        <v>Phytomyza aconiti Hendel, 1920</v>
      </c>
      <c r="AH10440" s="4" t="str">
        <f>HYPERLINK("#Statut_biogéographique!A"&amp;_xlfn.XMATCH("P",Statut_biogéographique!A:A,2,1),"P")</f>
        <v>P</v>
      </c>
      <c r="AP10440" s="4" t="s">
        <v>376</v>
      </c>
      <c r="AR10440" s="4" t="s">
        <v>377</v>
      </c>
    </row>
    <row r="10441" spans="1:44">
      <c r="A10441" s="4" t="s">
        <v>10753</v>
      </c>
      <c r="B10441" s="4">
        <v>224208</v>
      </c>
      <c r="D10441" s="5" t="s">
        <v>13589</v>
      </c>
      <c r="E10441" s="6" t="str">
        <f>HYPERLINK("https://inpn.mnhn.fr/espece/cd_nom/224208","Phytomyza adjuncta Hering, 1928")</f>
        <v>Phytomyza adjuncta Hering, 1928</v>
      </c>
      <c r="AH10441" s="4" t="str">
        <f>HYPERLINK("#Statut_biogéographique!A"&amp;_xlfn.XMATCH("P",Statut_biogéographique!A:A,2,1),"P")</f>
        <v>P</v>
      </c>
      <c r="AP10441" s="4" t="s">
        <v>376</v>
      </c>
      <c r="AR10441" s="4" t="s">
        <v>377</v>
      </c>
    </row>
    <row r="10442" spans="1:44">
      <c r="A10442" s="4" t="s">
        <v>10753</v>
      </c>
      <c r="B10442" s="4">
        <v>224211</v>
      </c>
      <c r="D10442" s="5" t="s">
        <v>13590</v>
      </c>
      <c r="E10442" s="6" t="str">
        <f>HYPERLINK("https://inpn.mnhn.fr/espece/cd_nom/224211","Phytomyza angelicae Kaltenbach, 1872")</f>
        <v>Phytomyza angelicae Kaltenbach, 1872</v>
      </c>
      <c r="AH10442" s="4" t="str">
        <f>HYPERLINK("#Statut_biogéographique!A"&amp;_xlfn.XMATCH("P",Statut_biogéographique!A:A,2,1),"P")</f>
        <v>P</v>
      </c>
      <c r="AP10442" s="4" t="s">
        <v>376</v>
      </c>
      <c r="AR10442" s="4" t="s">
        <v>377</v>
      </c>
    </row>
    <row r="10443" spans="1:44">
      <c r="A10443" s="4" t="s">
        <v>10753</v>
      </c>
      <c r="B10443" s="4">
        <v>224212</v>
      </c>
      <c r="D10443" s="5">
        <v>224212</v>
      </c>
      <c r="E10443" s="6" t="str">
        <f>HYPERLINK("https://inpn.mnhn.fr/espece/cd_nom/224212","Phytomyza artemisivora Spencer, 1971")</f>
        <v>Phytomyza artemisivora Spencer, 1971</v>
      </c>
      <c r="AH10443" s="4" t="str">
        <f>HYPERLINK("#Statut_biogéographique!A"&amp;_xlfn.XMATCH("P",Statut_biogéographique!A:A,2,1),"P")</f>
        <v>P</v>
      </c>
      <c r="AP10443" s="4" t="s">
        <v>376</v>
      </c>
      <c r="AR10443" s="4" t="s">
        <v>377</v>
      </c>
    </row>
    <row r="10444" spans="1:44">
      <c r="A10444" s="4" t="s">
        <v>10753</v>
      </c>
      <c r="B10444" s="4">
        <v>224219</v>
      </c>
      <c r="D10444" s="5" t="s">
        <v>13591</v>
      </c>
      <c r="E10444" s="6" t="str">
        <f>HYPERLINK("https://inpn.mnhn.fr/espece/cd_nom/224219","Phytomyza cirsii Hendel, 1923")</f>
        <v>Phytomyza cirsii Hendel, 1923</v>
      </c>
      <c r="AH10444" s="4" t="str">
        <f>HYPERLINK("#Statut_biogéographique!A"&amp;_xlfn.XMATCH("P",Statut_biogéographique!A:A,2,1),"P")</f>
        <v>P</v>
      </c>
      <c r="AP10444" s="4" t="s">
        <v>376</v>
      </c>
      <c r="AR10444" s="4" t="s">
        <v>377</v>
      </c>
    </row>
    <row r="10445" spans="1:44">
      <c r="A10445" s="4" t="s">
        <v>10753</v>
      </c>
      <c r="B10445" s="4">
        <v>224222</v>
      </c>
      <c r="D10445" s="5" t="s">
        <v>13592</v>
      </c>
      <c r="E10445" s="6" t="str">
        <f>HYPERLINK("https://inpn.mnhn.fr/espece/cd_nom/224222","Phytomyza conyzae Hendel, 1920")</f>
        <v>Phytomyza conyzae Hendel, 1920</v>
      </c>
      <c r="AH10445" s="4" t="str">
        <f>HYPERLINK("#Statut_biogéographique!A"&amp;_xlfn.XMATCH("P",Statut_biogéographique!A:A,2,1),"P")</f>
        <v>P</v>
      </c>
      <c r="AP10445" s="4" t="s">
        <v>376</v>
      </c>
      <c r="AR10445" s="4" t="s">
        <v>377</v>
      </c>
    </row>
    <row r="10446" spans="1:44">
      <c r="A10446" s="4" t="s">
        <v>10753</v>
      </c>
      <c r="B10446" s="4">
        <v>224224</v>
      </c>
      <c r="D10446" s="5" t="s">
        <v>13593</v>
      </c>
      <c r="E10446" s="6" t="str">
        <f>HYPERLINK("https://inpn.mnhn.fr/espece/cd_nom/224224","Phytomyza crassiseta Zetterstedt, 1860")</f>
        <v>Phytomyza crassiseta Zetterstedt, 1860</v>
      </c>
      <c r="AH10446" s="4" t="str">
        <f>HYPERLINK("#Statut_biogéographique!A"&amp;_xlfn.XMATCH("P",Statut_biogéographique!A:A,2,1),"P")</f>
        <v>P</v>
      </c>
      <c r="AP10446" s="4" t="s">
        <v>376</v>
      </c>
      <c r="AR10446" s="4" t="s">
        <v>377</v>
      </c>
    </row>
    <row r="10447" spans="1:44" ht="30">
      <c r="A10447" s="4" t="s">
        <v>10753</v>
      </c>
      <c r="B10447" s="4">
        <v>224230</v>
      </c>
      <c r="D10447" s="5" t="s">
        <v>13594</v>
      </c>
      <c r="E10447" s="6" t="str">
        <f>HYPERLINK("https://inpn.mnhn.fr/espece/cd_nom/224230","Phytomyza fallaciosa Brischke, 1880")</f>
        <v>Phytomyza fallaciosa Brischke, 1880</v>
      </c>
      <c r="AH10447" s="4" t="str">
        <f>HYPERLINK("#Statut_biogéographique!A"&amp;_xlfn.XMATCH("P",Statut_biogéographique!A:A,2,1),"P")</f>
        <v>P</v>
      </c>
      <c r="AP10447" s="4" t="s">
        <v>376</v>
      </c>
      <c r="AR10447" s="4" t="s">
        <v>377</v>
      </c>
    </row>
    <row r="10448" spans="1:44">
      <c r="A10448" s="4" t="s">
        <v>10753</v>
      </c>
      <c r="B10448" s="4">
        <v>224237</v>
      </c>
      <c r="D10448" s="5" t="s">
        <v>13595</v>
      </c>
      <c r="E10448" s="6" t="str">
        <f>HYPERLINK("https://inpn.mnhn.fr/espece/cd_nom/224237","Phytomyza hellebori Kaltenbach, 1872")</f>
        <v>Phytomyza hellebori Kaltenbach, 1872</v>
      </c>
      <c r="AH10448" s="4" t="str">
        <f>HYPERLINK("#Statut_biogéographique!A"&amp;_xlfn.XMATCH("P",Statut_biogéographique!A:A,2,1),"P")</f>
        <v>P</v>
      </c>
      <c r="AP10448" s="4" t="s">
        <v>376</v>
      </c>
      <c r="AR10448" s="4" t="s">
        <v>377</v>
      </c>
    </row>
    <row r="10449" spans="1:44">
      <c r="A10449" s="4" t="s">
        <v>10753</v>
      </c>
      <c r="B10449" s="4">
        <v>224241</v>
      </c>
      <c r="D10449" s="5" t="s">
        <v>13596</v>
      </c>
      <c r="E10449" s="6" t="str">
        <f>HYPERLINK("https://inpn.mnhn.fr/espece/cd_nom/224241","Phytomyza leucanthemi Hering, 1935")</f>
        <v>Phytomyza leucanthemi Hering, 1935</v>
      </c>
      <c r="AH10449" s="4" t="str">
        <f>HYPERLINK("#Statut_biogéographique!A"&amp;_xlfn.XMATCH("P",Statut_biogéographique!A:A,2,1),"P")</f>
        <v>P</v>
      </c>
      <c r="AP10449" s="4" t="s">
        <v>376</v>
      </c>
      <c r="AR10449" s="4" t="s">
        <v>377</v>
      </c>
    </row>
    <row r="10450" spans="1:44" ht="45">
      <c r="A10450" s="4" t="s">
        <v>10753</v>
      </c>
      <c r="B10450" s="4">
        <v>224242</v>
      </c>
      <c r="D10450" s="5" t="s">
        <v>13597</v>
      </c>
      <c r="E10450" s="6" t="str">
        <f>HYPERLINK("https://inpn.mnhn.fr/espece/cd_nom/224242","Phytomyza marginella Fallén, 1823")</f>
        <v>Phytomyza marginella Fallén, 1823</v>
      </c>
      <c r="AH10450" s="4" t="str">
        <f>HYPERLINK("#Statut_biogéographique!A"&amp;_xlfn.XMATCH("P",Statut_biogéographique!A:A,2,1),"P")</f>
        <v>P</v>
      </c>
      <c r="AP10450" s="4" t="s">
        <v>376</v>
      </c>
      <c r="AR10450" s="4" t="s">
        <v>377</v>
      </c>
    </row>
    <row r="10451" spans="1:44">
      <c r="A10451" s="4" t="s">
        <v>10753</v>
      </c>
      <c r="B10451" s="4">
        <v>224251</v>
      </c>
      <c r="D10451" s="5" t="s">
        <v>13598</v>
      </c>
      <c r="E10451" s="6" t="str">
        <f>HYPERLINK("https://inpn.mnhn.fr/espece/cd_nom/224251","Phytomyza pastinacae Hendel, 1923")</f>
        <v>Phytomyza pastinacae Hendel, 1923</v>
      </c>
      <c r="AH10451" s="4" t="str">
        <f>HYPERLINK("#Statut_biogéographique!A"&amp;_xlfn.XMATCH("P",Statut_biogéographique!A:A,2,1),"P")</f>
        <v>P</v>
      </c>
      <c r="AP10451" s="4" t="s">
        <v>376</v>
      </c>
      <c r="AR10451" s="4" t="s">
        <v>377</v>
      </c>
    </row>
    <row r="10452" spans="1:44" ht="30">
      <c r="A10452" s="4" t="s">
        <v>10753</v>
      </c>
      <c r="B10452" s="4">
        <v>224255</v>
      </c>
      <c r="D10452" s="5" t="s">
        <v>13599</v>
      </c>
      <c r="E10452" s="6" t="str">
        <f>HYPERLINK("https://inpn.mnhn.fr/espece/cd_nom/224255","Phytomyza plantaginis Robineau-Desvoidy, 1851")</f>
        <v>Phytomyza plantaginis Robineau-Desvoidy, 1851</v>
      </c>
      <c r="AH10452" s="4" t="str">
        <f>HYPERLINK("#Statut_biogéographique!A"&amp;_xlfn.XMATCH("P",Statut_biogéographique!A:A,2,1),"P")</f>
        <v>P</v>
      </c>
      <c r="AP10452" s="4" t="s">
        <v>376</v>
      </c>
      <c r="AR10452" s="4" t="s">
        <v>377</v>
      </c>
    </row>
    <row r="10453" spans="1:44">
      <c r="A10453" s="4" t="s">
        <v>10753</v>
      </c>
      <c r="B10453" s="4">
        <v>224259</v>
      </c>
      <c r="D10453" s="5">
        <v>224259</v>
      </c>
      <c r="E10453" s="6" t="str">
        <f>HYPERLINK("https://inpn.mnhn.fr/espece/cd_nom/224259","Phytomyza ranunculivora Hering, 1932")</f>
        <v>Phytomyza ranunculivora Hering, 1932</v>
      </c>
      <c r="AH10453" s="4" t="str">
        <f>HYPERLINK("#Statut_biogéographique!A"&amp;_xlfn.XMATCH("P",Statut_biogéographique!A:A,2,1),"P")</f>
        <v>P</v>
      </c>
      <c r="AP10453" s="4" t="s">
        <v>376</v>
      </c>
      <c r="AR10453" s="4" t="s">
        <v>377</v>
      </c>
    </row>
    <row r="10454" spans="1:44">
      <c r="A10454" s="4" t="s">
        <v>10753</v>
      </c>
      <c r="B10454" s="4">
        <v>22426</v>
      </c>
      <c r="D10454" s="5" t="s">
        <v>13600</v>
      </c>
      <c r="E10454" s="6" t="str">
        <f>HYPERLINK("https://inpn.mnhn.fr/espece/cd_nom/22426","Villa hottentotta (Linnaeus, 1758)")</f>
        <v>Villa hottentotta (Linnaeus, 1758)</v>
      </c>
      <c r="AH10454" s="4" t="str">
        <f>HYPERLINK("#Statut_biogéographique!A"&amp;_xlfn.XMATCH("P",Statut_biogéographique!A:A,2,1),"P")</f>
        <v>P</v>
      </c>
      <c r="AP10454" s="4" t="s">
        <v>376</v>
      </c>
      <c r="AR10454" s="4" t="s">
        <v>377</v>
      </c>
    </row>
    <row r="10455" spans="1:44">
      <c r="A10455" s="4" t="s">
        <v>10753</v>
      </c>
      <c r="B10455" s="4">
        <v>224264</v>
      </c>
      <c r="D10455" s="5">
        <v>224264</v>
      </c>
      <c r="E10455" s="6" t="str">
        <f>HYPERLINK("https://inpn.mnhn.fr/espece/cd_nom/224264","Phytomyza sphondyliivora Spencer, 1957")</f>
        <v>Phytomyza sphondyliivora Spencer, 1957</v>
      </c>
      <c r="AH10455" s="4" t="str">
        <f>HYPERLINK("#Statut_biogéographique!A"&amp;_xlfn.XMATCH("P",Statut_biogéographique!A:A,2,1),"P")</f>
        <v>P</v>
      </c>
      <c r="AP10455" s="4" t="s">
        <v>376</v>
      </c>
      <c r="AR10455" s="4" t="s">
        <v>377</v>
      </c>
    </row>
    <row r="10456" spans="1:44">
      <c r="A10456" s="4" t="s">
        <v>10753</v>
      </c>
      <c r="B10456" s="4">
        <v>224265</v>
      </c>
      <c r="D10456" s="5">
        <v>224265</v>
      </c>
      <c r="E10456" s="6" t="str">
        <f>HYPERLINK("https://inpn.mnhn.fr/espece/cd_nom/224265","Phytomyza spinaciae Hendel, 1935")</f>
        <v>Phytomyza spinaciae Hendel, 1935</v>
      </c>
      <c r="AH10456" s="4" t="str">
        <f>HYPERLINK("#Statut_biogéographique!A"&amp;_xlfn.XMATCH("P",Statut_biogéographique!A:A,2,1),"P")</f>
        <v>P</v>
      </c>
      <c r="AP10456" s="4" t="s">
        <v>376</v>
      </c>
      <c r="AR10456" s="4" t="s">
        <v>377</v>
      </c>
    </row>
    <row r="10457" spans="1:44">
      <c r="A10457" s="4" t="s">
        <v>10753</v>
      </c>
      <c r="B10457" s="4">
        <v>224267</v>
      </c>
      <c r="D10457" s="5" t="s">
        <v>13601</v>
      </c>
      <c r="E10457" s="6" t="str">
        <f>HYPERLINK("https://inpn.mnhn.fr/espece/cd_nom/224267","Phytomyza tanaceti Hendel, 1923")</f>
        <v>Phytomyza tanaceti Hendel, 1923</v>
      </c>
      <c r="AH10457" s="4" t="str">
        <f>HYPERLINK("#Statut_biogéographique!A"&amp;_xlfn.XMATCH("P",Statut_biogéographique!A:A,2,1),"P")</f>
        <v>P</v>
      </c>
      <c r="AP10457" s="4" t="s">
        <v>376</v>
      </c>
      <c r="AR10457" s="4" t="s">
        <v>377</v>
      </c>
    </row>
    <row r="10458" spans="1:44">
      <c r="A10458" s="4" t="s">
        <v>10753</v>
      </c>
      <c r="B10458" s="4">
        <v>224268</v>
      </c>
      <c r="D10458" s="5">
        <v>224268</v>
      </c>
      <c r="E10458" s="6" t="str">
        <f>HYPERLINK("https://inpn.mnhn.fr/espece/cd_nom/224268","Phytomyza tetrasticha Hendel, 1927")</f>
        <v>Phytomyza tetrasticha Hendel, 1927</v>
      </c>
      <c r="AH10458" s="4" t="str">
        <f>HYPERLINK("#Statut_biogéographique!A"&amp;_xlfn.XMATCH("P",Statut_biogéographique!A:A,2,1),"P")</f>
        <v>P</v>
      </c>
      <c r="AP10458" s="4" t="s">
        <v>376</v>
      </c>
      <c r="AR10458" s="4" t="s">
        <v>377</v>
      </c>
    </row>
    <row r="10459" spans="1:44">
      <c r="A10459" s="4" t="s">
        <v>10753</v>
      </c>
      <c r="B10459" s="4">
        <v>224272</v>
      </c>
      <c r="D10459" s="5" t="s">
        <v>13602</v>
      </c>
      <c r="E10459" s="6" t="str">
        <f>HYPERLINK("https://inpn.mnhn.fr/espece/cd_nom/224272","Phytomyza tussilaginis Hendel, 1925")</f>
        <v>Phytomyza tussilaginis Hendel, 1925</v>
      </c>
      <c r="AH10459" s="4" t="str">
        <f>HYPERLINK("#Statut_biogéographique!A"&amp;_xlfn.XMATCH("P",Statut_biogéographique!A:A,2,1),"P")</f>
        <v>P</v>
      </c>
      <c r="AP10459" s="4" t="s">
        <v>376</v>
      </c>
      <c r="AR10459" s="4" t="s">
        <v>377</v>
      </c>
    </row>
    <row r="10460" spans="1:44">
      <c r="A10460" s="4" t="s">
        <v>10753</v>
      </c>
      <c r="B10460" s="4">
        <v>224274</v>
      </c>
      <c r="D10460" s="5" t="s">
        <v>13603</v>
      </c>
      <c r="E10460" s="6" t="str">
        <f>HYPERLINK("https://inpn.mnhn.fr/espece/cd_nom/224274","Phytomyza virgaureae Hering, 1926")</f>
        <v>Phytomyza virgaureae Hering, 1926</v>
      </c>
      <c r="AH10460" s="4" t="str">
        <f>HYPERLINK("#Statut_biogéographique!A"&amp;_xlfn.XMATCH("P",Statut_biogéographique!A:A,2,1),"P")</f>
        <v>P</v>
      </c>
      <c r="AP10460" s="4" t="s">
        <v>376</v>
      </c>
      <c r="AR10460" s="4" t="s">
        <v>377</v>
      </c>
    </row>
    <row r="10461" spans="1:44">
      <c r="A10461" s="4" t="s">
        <v>10753</v>
      </c>
      <c r="B10461" s="4">
        <v>224288</v>
      </c>
      <c r="D10461" s="5" t="s">
        <v>13604</v>
      </c>
      <c r="E10461" s="6" t="str">
        <f>HYPERLINK("https://inpn.mnhn.fr/espece/cd_nom/224288","Nemorimyza posticata (Meigen, 1830)")</f>
        <v>Nemorimyza posticata (Meigen, 1830)</v>
      </c>
      <c r="AH10461" s="4" t="str">
        <f>HYPERLINK("#Statut_biogéographique!A"&amp;_xlfn.XMATCH("P",Statut_biogéographique!A:A,2,1),"P")</f>
        <v>P</v>
      </c>
      <c r="AP10461" s="4" t="s">
        <v>376</v>
      </c>
      <c r="AR10461" s="4" t="s">
        <v>377</v>
      </c>
    </row>
    <row r="10462" spans="1:44">
      <c r="A10462" s="4" t="s">
        <v>10753</v>
      </c>
      <c r="B10462" s="4">
        <v>22430</v>
      </c>
      <c r="D10462" s="5" t="s">
        <v>13605</v>
      </c>
      <c r="E10462" s="6" t="str">
        <f>HYPERLINK("https://inpn.mnhn.fr/espece/cd_nom/22430","Villa cingulata (Meigen, 1804)")</f>
        <v>Villa cingulata (Meigen, 1804)</v>
      </c>
      <c r="AH10462" s="4" t="str">
        <f>HYPERLINK("#Statut_biogéographique!A"&amp;_xlfn.XMATCH("P",Statut_biogéographique!A:A,2,1),"P")</f>
        <v>P</v>
      </c>
      <c r="AP10462" s="4" t="s">
        <v>376</v>
      </c>
      <c r="AR10462" s="4" t="s">
        <v>377</v>
      </c>
    </row>
    <row r="10463" spans="1:44">
      <c r="A10463" s="4" t="s">
        <v>10753</v>
      </c>
      <c r="B10463" s="4">
        <v>224305</v>
      </c>
      <c r="D10463" s="5" t="s">
        <v>13606</v>
      </c>
      <c r="E10463" s="6" t="str">
        <f>HYPERLINK("https://inpn.mnhn.fr/espece/cd_nom/224305","Liriomyza centaureae Hering, 1927")</f>
        <v>Liriomyza centaureae Hering, 1927</v>
      </c>
      <c r="AH10463" s="4" t="str">
        <f>HYPERLINK("#Statut_biogéographique!A"&amp;_xlfn.XMATCH("P",Statut_biogéographique!A:A,2,1),"P")</f>
        <v>P</v>
      </c>
      <c r="AP10463" s="4" t="s">
        <v>376</v>
      </c>
      <c r="AR10463" s="4" t="s">
        <v>377</v>
      </c>
    </row>
    <row r="10464" spans="1:44">
      <c r="A10464" s="4" t="s">
        <v>10753</v>
      </c>
      <c r="B10464" s="4">
        <v>224310</v>
      </c>
      <c r="D10464" s="5" t="s">
        <v>13607</v>
      </c>
      <c r="E10464" s="6" t="str">
        <f>HYPERLINK("https://inpn.mnhn.fr/espece/cd_nom/224310","Liriomyza erucifolli de Meijere, 1944")</f>
        <v>Liriomyza erucifolli de Meijere, 1944</v>
      </c>
      <c r="AH10464" s="4" t="str">
        <f>HYPERLINK("#Statut_biogéographique!A"&amp;_xlfn.XMATCH("P",Statut_biogéographique!A:A,2,1),"P")</f>
        <v>P</v>
      </c>
      <c r="AP10464" s="4" t="s">
        <v>376</v>
      </c>
      <c r="AR10464" s="4" t="s">
        <v>377</v>
      </c>
    </row>
    <row r="10465" spans="1:44">
      <c r="A10465" s="4" t="s">
        <v>10753</v>
      </c>
      <c r="B10465" s="4">
        <v>224313</v>
      </c>
      <c r="D10465" s="5" t="s">
        <v>13608</v>
      </c>
      <c r="E10465" s="6" t="str">
        <f>HYPERLINK("https://inpn.mnhn.fr/espece/cd_nom/224313","Liriomyza hieracii (Kaltenbach, 1862)")</f>
        <v>Liriomyza hieracii (Kaltenbach, 1862)</v>
      </c>
      <c r="AH10465" s="4" t="str">
        <f>HYPERLINK("#Statut_biogéographique!A"&amp;_xlfn.XMATCH("P",Statut_biogéographique!A:A,2,1),"P")</f>
        <v>P</v>
      </c>
      <c r="AP10465" s="4" t="s">
        <v>376</v>
      </c>
      <c r="AR10465" s="4" t="s">
        <v>377</v>
      </c>
    </row>
    <row r="10466" spans="1:44">
      <c r="A10466" s="4" t="s">
        <v>10753</v>
      </c>
      <c r="B10466" s="4">
        <v>224322</v>
      </c>
      <c r="D10466" s="5" t="s">
        <v>13609</v>
      </c>
      <c r="E10466" s="6" t="str">
        <f>HYPERLINK("https://inpn.mnhn.fr/espece/cd_nom/224322","Liriomyza pisivora Hering, 1954")</f>
        <v>Liriomyza pisivora Hering, 1954</v>
      </c>
      <c r="AH10466" s="4" t="str">
        <f>HYPERLINK("#Statut_biogéographique!A"&amp;_xlfn.XMATCH("P",Statut_biogéographique!A:A,2,1),"P")</f>
        <v>P</v>
      </c>
      <c r="AP10466" s="4" t="s">
        <v>376</v>
      </c>
      <c r="AR10466" s="4" t="s">
        <v>377</v>
      </c>
    </row>
    <row r="10467" spans="1:44">
      <c r="A10467" s="4" t="s">
        <v>10753</v>
      </c>
      <c r="B10467" s="4">
        <v>224324</v>
      </c>
      <c r="D10467" s="5" t="s">
        <v>13610</v>
      </c>
      <c r="E10467" s="6" t="str">
        <f>HYPERLINK("https://inpn.mnhn.fr/espece/cd_nom/224324","Liriomyza ptarmicae de Meijere, 1925")</f>
        <v>Liriomyza ptarmicae de Meijere, 1925</v>
      </c>
      <c r="AH10467" s="4" t="str">
        <f>HYPERLINK("#Statut_biogéographique!A"&amp;_xlfn.XMATCH("P",Statut_biogéographique!A:A,2,1),"P")</f>
        <v>P</v>
      </c>
      <c r="AP10467" s="4" t="s">
        <v>376</v>
      </c>
      <c r="AR10467" s="4" t="s">
        <v>377</v>
      </c>
    </row>
    <row r="10468" spans="1:44">
      <c r="A10468" s="4" t="s">
        <v>10753</v>
      </c>
      <c r="B10468" s="4">
        <v>224331</v>
      </c>
      <c r="D10468" s="5">
        <v>224331</v>
      </c>
      <c r="E10468" s="6" t="str">
        <f>HYPERLINK("https://inpn.mnhn.fr/espece/cd_nom/224331","Liriomyza soror Hendel, 1931")</f>
        <v>Liriomyza soror Hendel, 1931</v>
      </c>
      <c r="AH10468" s="4" t="str">
        <f>HYPERLINK("#Statut_biogéographique!A"&amp;_xlfn.XMATCH("P",Statut_biogéographique!A:A,2,1),"P")</f>
        <v>P</v>
      </c>
      <c r="AP10468" s="4" t="s">
        <v>376</v>
      </c>
      <c r="AR10468" s="4" t="s">
        <v>377</v>
      </c>
    </row>
    <row r="10469" spans="1:44">
      <c r="A10469" s="4" t="s">
        <v>10753</v>
      </c>
      <c r="B10469" s="4">
        <v>224332</v>
      </c>
      <c r="D10469" s="5">
        <v>224332</v>
      </c>
      <c r="E10469" s="6" t="str">
        <f>HYPERLINK("https://inpn.mnhn.fr/espece/cd_nom/224332","Liriomyza tanaceti de Meijere, 1924")</f>
        <v>Liriomyza tanaceti de Meijere, 1924</v>
      </c>
      <c r="AH10469" s="4" t="str">
        <f>HYPERLINK("#Statut_biogéographique!A"&amp;_xlfn.XMATCH("P",Statut_biogéographique!A:A,2,1),"P")</f>
        <v>P</v>
      </c>
      <c r="AP10469" s="4" t="s">
        <v>376</v>
      </c>
      <c r="AR10469" s="4" t="s">
        <v>377</v>
      </c>
    </row>
    <row r="10470" spans="1:44">
      <c r="A10470" s="4" t="s">
        <v>10753</v>
      </c>
      <c r="B10470" s="4">
        <v>224336</v>
      </c>
      <c r="D10470" s="5">
        <v>224336</v>
      </c>
      <c r="E10470" s="6" t="str">
        <f>HYPERLINK("https://inpn.mnhn.fr/espece/cd_nom/224336","Liriomyza valerianae Hendel, 1932")</f>
        <v>Liriomyza valerianae Hendel, 1932</v>
      </c>
      <c r="AH10470" s="4" t="str">
        <f>HYPERLINK("#Statut_biogéographique!A"&amp;_xlfn.XMATCH("P",Statut_biogéographique!A:A,2,1),"P")</f>
        <v>P</v>
      </c>
      <c r="AP10470" s="4" t="s">
        <v>376</v>
      </c>
      <c r="AR10470" s="4" t="s">
        <v>377</v>
      </c>
    </row>
    <row r="10471" spans="1:44">
      <c r="A10471" s="4" t="s">
        <v>10753</v>
      </c>
      <c r="B10471" s="4">
        <v>224342</v>
      </c>
      <c r="D10471" s="5" t="s">
        <v>13611</v>
      </c>
      <c r="E10471" s="6" t="str">
        <f>HYPERLINK("https://inpn.mnhn.fr/espece/cd_nom/224342","Galiomyza morio (Brischke, 1880)")</f>
        <v>Galiomyza morio (Brischke, 1880)</v>
      </c>
      <c r="AH10471" s="4" t="str">
        <f>HYPERLINK("#Statut_biogéographique!A"&amp;_xlfn.XMATCH("P",Statut_biogéographique!A:A,2,1),"P")</f>
        <v>P</v>
      </c>
      <c r="AP10471" s="4" t="s">
        <v>376</v>
      </c>
      <c r="AR10471" s="4" t="s">
        <v>377</v>
      </c>
    </row>
    <row r="10472" spans="1:44">
      <c r="A10472" s="4" t="s">
        <v>10753</v>
      </c>
      <c r="B10472" s="4">
        <v>224343</v>
      </c>
      <c r="D10472" s="5" t="s">
        <v>13612</v>
      </c>
      <c r="E10472" s="6" t="str">
        <f>HYPERLINK("https://inpn.mnhn.fr/espece/cd_nom/224343","Galiomyza violiphaga (Hendel, 1932)")</f>
        <v>Galiomyza violiphaga (Hendel, 1932)</v>
      </c>
      <c r="AH10472" s="4" t="str">
        <f>HYPERLINK("#Statut_biogéographique!A"&amp;_xlfn.XMATCH("P",Statut_biogéographique!A:A,2,1),"P")</f>
        <v>P</v>
      </c>
      <c r="AP10472" s="4" t="s">
        <v>376</v>
      </c>
      <c r="AR10472" s="4" t="s">
        <v>377</v>
      </c>
    </row>
    <row r="10473" spans="1:44">
      <c r="A10473" s="4" t="s">
        <v>10753</v>
      </c>
      <c r="B10473" s="4">
        <v>224391</v>
      </c>
      <c r="D10473" s="5" t="s">
        <v>13613</v>
      </c>
      <c r="E10473" s="6" t="str">
        <f>HYPERLINK("https://inpn.mnhn.fr/espece/cd_nom/224391","Aulagromyza cornigera (Griffiths, 1973)")</f>
        <v>Aulagromyza cornigera (Griffiths, 1973)</v>
      </c>
      <c r="AH10473" s="4" t="str">
        <f>HYPERLINK("#Statut_biogéographique!A"&amp;_xlfn.XMATCH("P",Statut_biogéographique!A:A,2,1),"P")</f>
        <v>P</v>
      </c>
      <c r="AP10473" s="4" t="s">
        <v>376</v>
      </c>
      <c r="AR10473" s="4" t="s">
        <v>377</v>
      </c>
    </row>
    <row r="10474" spans="1:44">
      <c r="A10474" s="4" t="s">
        <v>10753</v>
      </c>
      <c r="B10474" s="4">
        <v>224394</v>
      </c>
      <c r="D10474" s="5" t="s">
        <v>13614</v>
      </c>
      <c r="E10474" s="6" t="str">
        <f>HYPERLINK("https://inpn.mnhn.fr/espece/cd_nom/224394","Aulagromyza hendeliana (Hering, 1926)")</f>
        <v>Aulagromyza hendeliana (Hering, 1926)</v>
      </c>
      <c r="AH10474" s="4" t="str">
        <f>HYPERLINK("#Statut_biogéographique!A"&amp;_xlfn.XMATCH("P",Statut_biogéographique!A:A,2,1),"P")</f>
        <v>P</v>
      </c>
      <c r="AP10474" s="4" t="s">
        <v>376</v>
      </c>
      <c r="AR10474" s="4" t="s">
        <v>377</v>
      </c>
    </row>
    <row r="10475" spans="1:44" ht="30">
      <c r="A10475" s="4" t="s">
        <v>10753</v>
      </c>
      <c r="B10475" s="4">
        <v>224396</v>
      </c>
      <c r="D10475" s="5" t="s">
        <v>13615</v>
      </c>
      <c r="E10475" s="6" t="str">
        <f>HYPERLINK("https://inpn.mnhn.fr/espece/cd_nom/224396","Aulagromyza luteoscutellata (de Meijere, 1924)")</f>
        <v>Aulagromyza luteoscutellata (de Meijere, 1924)</v>
      </c>
      <c r="AH10475" s="4" t="str">
        <f>HYPERLINK("#Statut_biogéographique!A"&amp;_xlfn.XMATCH("P",Statut_biogéographique!A:A,2,1),"P")</f>
        <v>P</v>
      </c>
      <c r="AP10475" s="4" t="s">
        <v>376</v>
      </c>
      <c r="AR10475" s="4" t="s">
        <v>377</v>
      </c>
    </row>
    <row r="10476" spans="1:44">
      <c r="A10476" s="4" t="s">
        <v>10753</v>
      </c>
      <c r="B10476" s="4">
        <v>224401</v>
      </c>
      <c r="D10476" s="5" t="s">
        <v>13616</v>
      </c>
      <c r="E10476" s="6" t="str">
        <f>HYPERLINK("https://inpn.mnhn.fr/espece/cd_nom/224401","Aulagromyza tridentata (Loew, 1858)")</f>
        <v>Aulagromyza tridentata (Loew, 1858)</v>
      </c>
      <c r="AH10476" s="4" t="str">
        <f>HYPERLINK("#Statut_biogéographique!A"&amp;_xlfn.XMATCH("P",Statut_biogéographique!A:A,2,1),"P")</f>
        <v>P</v>
      </c>
      <c r="AP10476" s="4" t="s">
        <v>376</v>
      </c>
      <c r="AR10476" s="4" t="s">
        <v>377</v>
      </c>
    </row>
    <row r="10477" spans="1:44">
      <c r="A10477" s="4" t="s">
        <v>10753</v>
      </c>
      <c r="B10477" s="4">
        <v>224406</v>
      </c>
      <c r="D10477" s="5" t="s">
        <v>13617</v>
      </c>
      <c r="E10477" s="6" t="str">
        <f>HYPERLINK("https://inpn.mnhn.fr/espece/cd_nom/224406","Amauromyza morionella (Zetterstedt, 1848)")</f>
        <v>Amauromyza morionella (Zetterstedt, 1848)</v>
      </c>
      <c r="AH10477" s="4" t="str">
        <f>HYPERLINK("#Statut_biogéographique!A"&amp;_xlfn.XMATCH("P",Statut_biogéographique!A:A,2,1),"P")</f>
        <v>P</v>
      </c>
      <c r="AP10477" s="4" t="s">
        <v>376</v>
      </c>
      <c r="AR10477" s="4" t="s">
        <v>377</v>
      </c>
    </row>
    <row r="10478" spans="1:44">
      <c r="A10478" s="4" t="s">
        <v>10753</v>
      </c>
      <c r="B10478" s="4">
        <v>224408</v>
      </c>
      <c r="D10478" s="5" t="s">
        <v>13618</v>
      </c>
      <c r="E10478" s="6" t="str">
        <f>HYPERLINK("https://inpn.mnhn.fr/espece/cd_nom/224408","Amauromyza gyrans (Fallén, 1823)")</f>
        <v>Amauromyza gyrans (Fallén, 1823)</v>
      </c>
      <c r="AH10478" s="4" t="str">
        <f>HYPERLINK("#Statut_biogéographique!A"&amp;_xlfn.XMATCH("P",Statut_biogéographique!A:A,2,1),"P")</f>
        <v>P</v>
      </c>
      <c r="AP10478" s="4" t="s">
        <v>376</v>
      </c>
      <c r="AR10478" s="4" t="s">
        <v>377</v>
      </c>
    </row>
    <row r="10479" spans="1:44">
      <c r="A10479" s="4" t="s">
        <v>10753</v>
      </c>
      <c r="B10479" s="4">
        <v>224417</v>
      </c>
      <c r="D10479" s="5" t="s">
        <v>13619</v>
      </c>
      <c r="E10479" s="6" t="str">
        <f>HYPERLINK("https://inpn.mnhn.fr/espece/cd_nom/224417","Ophiomyia cunctata (Hendel, 1920)")</f>
        <v>Ophiomyia cunctata (Hendel, 1920)</v>
      </c>
      <c r="AH10479" s="4" t="str">
        <f>HYPERLINK("#Statut_biogéographique!A"&amp;_xlfn.XMATCH("P",Statut_biogéographique!A:A,2,1),"P")</f>
        <v>P</v>
      </c>
      <c r="AP10479" s="4" t="s">
        <v>376</v>
      </c>
      <c r="AR10479" s="4" t="s">
        <v>377</v>
      </c>
    </row>
    <row r="10480" spans="1:44">
      <c r="A10480" s="4" t="s">
        <v>10753</v>
      </c>
      <c r="B10480" s="4">
        <v>224425</v>
      </c>
      <c r="D10480" s="5" t="s">
        <v>13620</v>
      </c>
      <c r="E10480" s="6" t="str">
        <f>HYPERLINK("https://inpn.mnhn.fr/espece/cd_nom/224425","Ophiomyia nasuta (Melander, 1913)")</f>
        <v>Ophiomyia nasuta (Melander, 1913)</v>
      </c>
      <c r="AH10480" s="4" t="str">
        <f>HYPERLINK("#Statut_biogéographique!A"&amp;_xlfn.XMATCH("P",Statut_biogéographique!A:A,2,1),"P")</f>
        <v>P</v>
      </c>
      <c r="AP10480" s="4" t="s">
        <v>376</v>
      </c>
      <c r="AR10480" s="4" t="s">
        <v>377</v>
      </c>
    </row>
    <row r="10481" spans="1:44">
      <c r="A10481" s="4" t="s">
        <v>10753</v>
      </c>
      <c r="B10481" s="4">
        <v>224444</v>
      </c>
      <c r="D10481" s="5" t="s">
        <v>13621</v>
      </c>
      <c r="E10481" s="6" t="str">
        <f>HYPERLINK("https://inpn.mnhn.fr/espece/cd_nom/224444","Agromyza abiens Zetterstedt, 1848")</f>
        <v>Agromyza abiens Zetterstedt, 1848</v>
      </c>
      <c r="AH10481" s="4" t="str">
        <f>HYPERLINK("#Statut_biogéographique!A"&amp;_xlfn.XMATCH("P",Statut_biogéographique!A:A,2,1),"P")</f>
        <v>P</v>
      </c>
      <c r="AP10481" s="4" t="s">
        <v>376</v>
      </c>
      <c r="AR10481" s="4" t="s">
        <v>377</v>
      </c>
    </row>
    <row r="10482" spans="1:44">
      <c r="A10482" s="4" t="s">
        <v>10753</v>
      </c>
      <c r="B10482" s="4">
        <v>224447</v>
      </c>
      <c r="D10482" s="5" t="s">
        <v>13622</v>
      </c>
      <c r="E10482" s="6" t="str">
        <f>HYPERLINK("https://inpn.mnhn.fr/espece/cd_nom/224447","Agromyza alnivora Spencer, 1969")</f>
        <v>Agromyza alnivora Spencer, 1969</v>
      </c>
      <c r="AH10482" s="4" t="str">
        <f>HYPERLINK("#Statut_biogéographique!A"&amp;_xlfn.XMATCH("P",Statut_biogéographique!A:A,2,1),"P")</f>
        <v>P</v>
      </c>
      <c r="AP10482" s="4" t="s">
        <v>376</v>
      </c>
      <c r="AR10482" s="4" t="s">
        <v>377</v>
      </c>
    </row>
    <row r="10483" spans="1:44">
      <c r="A10483" s="4" t="s">
        <v>10753</v>
      </c>
      <c r="B10483" s="4">
        <v>224450</v>
      </c>
      <c r="D10483" s="5" t="s">
        <v>13623</v>
      </c>
      <c r="E10483" s="6" t="str">
        <f>HYPERLINK("https://inpn.mnhn.fr/espece/cd_nom/224450","Agromyza anthracina Meigen, 1830")</f>
        <v>Agromyza anthracina Meigen, 1830</v>
      </c>
      <c r="AH10483" s="4" t="str">
        <f>HYPERLINK("#Statut_biogéographique!A"&amp;_xlfn.XMATCH("P",Statut_biogéographique!A:A,2,1),"P")</f>
        <v>P</v>
      </c>
      <c r="AP10483" s="4" t="s">
        <v>376</v>
      </c>
      <c r="AR10483" s="4" t="s">
        <v>377</v>
      </c>
    </row>
    <row r="10484" spans="1:44">
      <c r="A10484" s="4" t="s">
        <v>10753</v>
      </c>
      <c r="B10484" s="4">
        <v>224452</v>
      </c>
      <c r="D10484" s="5">
        <v>224452</v>
      </c>
      <c r="E10484" s="6" t="str">
        <f>HYPERLINK("https://inpn.mnhn.fr/espece/cd_nom/224452","Agromyza bicophaga Hering, 1925")</f>
        <v>Agromyza bicophaga Hering, 1925</v>
      </c>
      <c r="AH10484" s="4" t="str">
        <f>HYPERLINK("#Statut_biogéographique!A"&amp;_xlfn.XMATCH("P",Statut_biogéographique!A:A,2,1),"P")</f>
        <v>P</v>
      </c>
      <c r="AP10484" s="4" t="s">
        <v>376</v>
      </c>
      <c r="AR10484" s="4" t="s">
        <v>377</v>
      </c>
    </row>
    <row r="10485" spans="1:44">
      <c r="A10485" s="4" t="s">
        <v>10753</v>
      </c>
      <c r="B10485" s="4">
        <v>224457</v>
      </c>
      <c r="D10485" s="5">
        <v>224457</v>
      </c>
      <c r="E10485" s="6" t="str">
        <f>HYPERLINK("https://inpn.mnhn.fr/espece/cd_nom/224457","Agromyza dipsaci Hendel, 1927")</f>
        <v>Agromyza dipsaci Hendel, 1927</v>
      </c>
      <c r="AH10485" s="4" t="str">
        <f>HYPERLINK("#Statut_biogéographique!A"&amp;_xlfn.XMATCH("P",Statut_biogéographique!A:A,2,1),"P")</f>
        <v>P</v>
      </c>
      <c r="AP10485" s="4" t="s">
        <v>376</v>
      </c>
      <c r="AR10485" s="4" t="s">
        <v>377</v>
      </c>
    </row>
    <row r="10486" spans="1:44">
      <c r="A10486" s="4" t="s">
        <v>10753</v>
      </c>
      <c r="B10486" s="4">
        <v>224463</v>
      </c>
      <c r="D10486" s="5" t="s">
        <v>13624</v>
      </c>
      <c r="E10486" s="6" t="str">
        <f>HYPERLINK("https://inpn.mnhn.fr/espece/cd_nom/224463","Agromyza frontella (Rondani, 1875)")</f>
        <v>Agromyza frontella (Rondani, 1875)</v>
      </c>
      <c r="AH10486" s="4" t="str">
        <f>HYPERLINK("#Statut_biogéographique!A"&amp;_xlfn.XMATCH("P",Statut_biogéographique!A:A,2,1),"P")</f>
        <v>P</v>
      </c>
      <c r="AP10486" s="4" t="s">
        <v>376</v>
      </c>
      <c r="AR10486" s="4" t="s">
        <v>377</v>
      </c>
    </row>
    <row r="10487" spans="1:44" ht="30">
      <c r="A10487" s="4" t="s">
        <v>10753</v>
      </c>
      <c r="B10487" s="4">
        <v>224465</v>
      </c>
      <c r="D10487" s="5" t="s">
        <v>13625</v>
      </c>
      <c r="E10487" s="6" t="str">
        <f>HYPERLINK("https://inpn.mnhn.fr/espece/cd_nom/224465","Agromyza idaeiana Hardy, 1853")</f>
        <v>Agromyza idaeiana Hardy, 1853</v>
      </c>
      <c r="AH10487" s="4" t="str">
        <f>HYPERLINK("#Statut_biogéographique!A"&amp;_xlfn.XMATCH("P",Statut_biogéographique!A:A,2,1),"P")</f>
        <v>P</v>
      </c>
      <c r="AP10487" s="4" t="s">
        <v>376</v>
      </c>
      <c r="AR10487" s="4" t="s">
        <v>377</v>
      </c>
    </row>
    <row r="10488" spans="1:44">
      <c r="A10488" s="4" t="s">
        <v>10753</v>
      </c>
      <c r="B10488" s="4">
        <v>224467</v>
      </c>
      <c r="D10488" s="5">
        <v>224467</v>
      </c>
      <c r="E10488" s="6" t="str">
        <f>HYPERLINK("https://inpn.mnhn.fr/espece/cd_nom/224467","Agromyza johannae de Meijere, 1924")</f>
        <v>Agromyza johannae de Meijere, 1924</v>
      </c>
      <c r="AH10488" s="4" t="str">
        <f>HYPERLINK("#Statut_biogéographique!A"&amp;_xlfn.XMATCH("P",Statut_biogéographique!A:A,2,1),"P")</f>
        <v>P</v>
      </c>
      <c r="AP10488" s="4" t="s">
        <v>376</v>
      </c>
      <c r="AR10488" s="4" t="s">
        <v>377</v>
      </c>
    </row>
    <row r="10489" spans="1:44">
      <c r="A10489" s="4" t="s">
        <v>10753</v>
      </c>
      <c r="B10489" s="4">
        <v>224469</v>
      </c>
      <c r="D10489" s="5">
        <v>224469</v>
      </c>
      <c r="E10489" s="6" t="str">
        <f>HYPERLINK("https://inpn.mnhn.fr/espece/cd_nom/224469","Agromyza lithospermi Spencer, 1963")</f>
        <v>Agromyza lithospermi Spencer, 1963</v>
      </c>
      <c r="AH10489" s="4" t="str">
        <f>HYPERLINK("#Statut_biogéographique!A"&amp;_xlfn.XMATCH("P",Statut_biogéographique!A:A,2,1),"P")</f>
        <v>P</v>
      </c>
      <c r="AP10489" s="4" t="s">
        <v>376</v>
      </c>
      <c r="AR10489" s="4" t="s">
        <v>377</v>
      </c>
    </row>
    <row r="10490" spans="1:44">
      <c r="A10490" s="4" t="s">
        <v>10753</v>
      </c>
      <c r="B10490" s="4">
        <v>224476</v>
      </c>
      <c r="D10490" s="5" t="s">
        <v>13626</v>
      </c>
      <c r="E10490" s="6" t="str">
        <f>HYPERLINK("https://inpn.mnhn.fr/espece/cd_nom/224476","Agromyza nana Meigen, 1830")</f>
        <v>Agromyza nana Meigen, 1830</v>
      </c>
      <c r="AH10490" s="4" t="str">
        <f>HYPERLINK("#Statut_biogéographique!A"&amp;_xlfn.XMATCH("P",Statut_biogéographique!A:A,2,1),"P")</f>
        <v>P</v>
      </c>
      <c r="AP10490" s="4" t="s">
        <v>376</v>
      </c>
      <c r="AR10490" s="4" t="s">
        <v>377</v>
      </c>
    </row>
    <row r="10491" spans="1:44">
      <c r="A10491" s="4" t="s">
        <v>10753</v>
      </c>
      <c r="B10491" s="4">
        <v>224478</v>
      </c>
      <c r="D10491" s="5" t="s">
        <v>13627</v>
      </c>
      <c r="E10491" s="6" t="str">
        <f>HYPERLINK("https://inpn.mnhn.fr/espece/cd_nom/224478","Agromyza nigrescens Hendel, 1920")</f>
        <v>Agromyza nigrescens Hendel, 1920</v>
      </c>
      <c r="AH10491" s="4" t="str">
        <f>HYPERLINK("#Statut_biogéographique!A"&amp;_xlfn.XMATCH("P",Statut_biogéographique!A:A,2,1),"P")</f>
        <v>P</v>
      </c>
      <c r="AP10491" s="4" t="s">
        <v>376</v>
      </c>
      <c r="AR10491" s="4" t="s">
        <v>377</v>
      </c>
    </row>
    <row r="10492" spans="1:44">
      <c r="A10492" s="4" t="s">
        <v>10753</v>
      </c>
      <c r="B10492" s="4">
        <v>224483</v>
      </c>
      <c r="D10492" s="5" t="s">
        <v>13628</v>
      </c>
      <c r="E10492" s="6" t="str">
        <f>HYPERLINK("https://inpn.mnhn.fr/espece/cd_nom/224483","Agromyza pseudoreptans Nowakowski, 1967")</f>
        <v>Agromyza pseudoreptans Nowakowski, 1967</v>
      </c>
      <c r="AH10492" s="4" t="str">
        <f>HYPERLINK("#Statut_biogéographique!A"&amp;_xlfn.XMATCH("P",Statut_biogéographique!A:A,2,1),"P")</f>
        <v>P</v>
      </c>
      <c r="AP10492" s="4" t="s">
        <v>376</v>
      </c>
      <c r="AR10492" s="4" t="s">
        <v>377</v>
      </c>
    </row>
    <row r="10493" spans="1:44">
      <c r="A10493" s="4" t="s">
        <v>10753</v>
      </c>
      <c r="B10493" s="4">
        <v>224484</v>
      </c>
      <c r="D10493" s="5" t="s">
        <v>13629</v>
      </c>
      <c r="E10493" s="6" t="str">
        <f>HYPERLINK("https://inpn.mnhn.fr/espece/cd_nom/224484","Agromyza pulla Meigen, 1830")</f>
        <v>Agromyza pulla Meigen, 1830</v>
      </c>
      <c r="AH10493" s="4" t="str">
        <f>HYPERLINK("#Statut_biogéographique!A"&amp;_xlfn.XMATCH("P",Statut_biogéographique!A:A,2,1),"P")</f>
        <v>P</v>
      </c>
      <c r="AP10493" s="4" t="s">
        <v>376</v>
      </c>
      <c r="AR10493" s="4" t="s">
        <v>377</v>
      </c>
    </row>
    <row r="10494" spans="1:44">
      <c r="A10494" s="4" t="s">
        <v>10753</v>
      </c>
      <c r="B10494" s="4">
        <v>224488</v>
      </c>
      <c r="D10494" s="5">
        <v>224488</v>
      </c>
      <c r="E10494" s="6" t="str">
        <f>HYPERLINK("https://inpn.mnhn.fr/espece/cd_nom/224488","Agromyza vicifoliae Hering, 1932")</f>
        <v>Agromyza vicifoliae Hering, 1932</v>
      </c>
      <c r="AH10494" s="4" t="str">
        <f>HYPERLINK("#Statut_biogéographique!A"&amp;_xlfn.XMATCH("P",Statut_biogéographique!A:A,2,1),"P")</f>
        <v>P</v>
      </c>
      <c r="AP10494" s="4" t="s">
        <v>376</v>
      </c>
      <c r="AR10494" s="4" t="s">
        <v>377</v>
      </c>
    </row>
    <row r="10495" spans="1:44">
      <c r="A10495" s="4" t="s">
        <v>10753</v>
      </c>
      <c r="B10495" s="4">
        <v>2245</v>
      </c>
      <c r="D10495" s="5" t="s">
        <v>13630</v>
      </c>
      <c r="E10495" s="6" t="str">
        <f>HYPERLINK("https://inpn.mnhn.fr/espece/cd_nom/2245","Mideopsis orbicularis (O.F. Müller, 1776)")</f>
        <v>Mideopsis orbicularis (O.F. Müller, 1776)</v>
      </c>
      <c r="AH10495" s="4" t="str">
        <f>HYPERLINK("#Statut_biogéographique!A"&amp;_xlfn.XMATCH("P",Statut_biogéographique!A:A,2,1),"P")</f>
        <v>P</v>
      </c>
      <c r="AP10495" s="4" t="s">
        <v>376</v>
      </c>
      <c r="AR10495" s="4" t="s">
        <v>377</v>
      </c>
    </row>
    <row r="10496" spans="1:44">
      <c r="A10496" s="4" t="s">
        <v>10753</v>
      </c>
      <c r="B10496" s="4">
        <v>224520</v>
      </c>
      <c r="D10496" s="5" t="s">
        <v>13631</v>
      </c>
      <c r="E10496" s="6" t="str">
        <f>HYPERLINK("https://inpn.mnhn.fr/espece/cd_nom/224520","Chirosia betuleti (Ringdahl, 1935)")</f>
        <v>Chirosia betuleti (Ringdahl, 1935)</v>
      </c>
      <c r="AH10496" s="4" t="str">
        <f>HYPERLINK("#Statut_biogéographique!A"&amp;_xlfn.XMATCH("D",Statut_biogéographique!A:A,2,1),"D")</f>
        <v>D</v>
      </c>
      <c r="AP10496" s="4" t="s">
        <v>376</v>
      </c>
      <c r="AR10496" s="4" t="s">
        <v>377</v>
      </c>
    </row>
    <row r="10497" spans="1:44">
      <c r="A10497" s="4" t="s">
        <v>10753</v>
      </c>
      <c r="B10497" s="4">
        <v>224521</v>
      </c>
      <c r="D10497" s="5" t="s">
        <v>13632</v>
      </c>
      <c r="E10497" s="6" t="str">
        <f>HYPERLINK("https://inpn.mnhn.fr/espece/cd_nom/224521","Chirosia cinerosa (Zetterstedt, 1845)")</f>
        <v>Chirosia cinerosa (Zetterstedt, 1845)</v>
      </c>
      <c r="AH10497" s="4" t="str">
        <f>HYPERLINK("#Statut_biogéographique!A"&amp;_xlfn.XMATCH("P",Statut_biogéographique!A:A,2,1),"P")</f>
        <v>P</v>
      </c>
      <c r="AP10497" s="4" t="s">
        <v>376</v>
      </c>
      <c r="AR10497" s="4" t="s">
        <v>377</v>
      </c>
    </row>
    <row r="10498" spans="1:44">
      <c r="A10498" s="4" t="s">
        <v>10753</v>
      </c>
      <c r="B10498" s="4">
        <v>224534</v>
      </c>
      <c r="D10498" s="5" t="s">
        <v>13633</v>
      </c>
      <c r="E10498" s="6" t="str">
        <f>HYPERLINK("https://inpn.mnhn.fr/espece/cd_nom/224534","Delia lamelliseta (Stein, 1900)")</f>
        <v>Delia lamelliseta (Stein, 1900)</v>
      </c>
      <c r="AH10498" s="4" t="str">
        <f>HYPERLINK("#Statut_biogéographique!A"&amp;_xlfn.XMATCH("P",Statut_biogéographique!A:A,2,1),"P")</f>
        <v>P</v>
      </c>
      <c r="AP10498" s="4" t="s">
        <v>376</v>
      </c>
      <c r="AR10498" s="4" t="s">
        <v>377</v>
      </c>
    </row>
    <row r="10499" spans="1:44">
      <c r="A10499" s="4" t="s">
        <v>10753</v>
      </c>
      <c r="B10499" s="4">
        <v>22455</v>
      </c>
      <c r="D10499" s="5" t="s">
        <v>13634</v>
      </c>
      <c r="E10499" s="6" t="str">
        <f>HYPERLINK("https://inpn.mnhn.fr/espece/cd_nom/22455","Thereva handlirschi Kröber, 1912")</f>
        <v>Thereva handlirschi Kröber, 1912</v>
      </c>
      <c r="AH10499" s="4" t="str">
        <f>HYPERLINK("#Statut_biogéographique!A"&amp;_xlfn.XMATCH("P",Statut_biogéographique!A:A,2,1),"P")</f>
        <v>P</v>
      </c>
      <c r="AP10499" s="4" t="s">
        <v>376</v>
      </c>
      <c r="AR10499" s="4" t="s">
        <v>377</v>
      </c>
    </row>
    <row r="10500" spans="1:44" ht="30">
      <c r="A10500" s="4" t="s">
        <v>10753</v>
      </c>
      <c r="B10500" s="4">
        <v>224552</v>
      </c>
      <c r="D10500" s="5" t="s">
        <v>13635</v>
      </c>
      <c r="E10500" s="6" t="str">
        <f>HYPERLINK("https://inpn.mnhn.fr/espece/cd_nom/224552","Emmesomyia grisea (Robineau-Desvoidy, 1830)")</f>
        <v>Emmesomyia grisea (Robineau-Desvoidy, 1830)</v>
      </c>
      <c r="AH10500" s="4" t="str">
        <f>HYPERLINK("#Statut_biogéographique!A"&amp;_xlfn.XMATCH("P",Statut_biogéographique!A:A,2,1),"P")</f>
        <v>P</v>
      </c>
      <c r="AP10500" s="4" t="s">
        <v>376</v>
      </c>
      <c r="AR10500" s="4" t="s">
        <v>377</v>
      </c>
    </row>
    <row r="10501" spans="1:44">
      <c r="A10501" s="4" t="s">
        <v>10753</v>
      </c>
      <c r="B10501" s="4">
        <v>224555</v>
      </c>
      <c r="D10501" s="5" t="s">
        <v>13636</v>
      </c>
      <c r="E10501" s="6" t="str">
        <f>HYPERLINK("https://inpn.mnhn.fr/espece/cd_nom/224555","Eutrichota praepotens (Wiedemann, 1817)")</f>
        <v>Eutrichota praepotens (Wiedemann, 1817)</v>
      </c>
      <c r="AH10501" s="4" t="str">
        <f>HYPERLINK("#Statut_biogéographique!A"&amp;_xlfn.XMATCH("P",Statut_biogéographique!A:A,2,1),"P")</f>
        <v>P</v>
      </c>
      <c r="AP10501" s="4" t="s">
        <v>376</v>
      </c>
      <c r="AR10501" s="4" t="s">
        <v>377</v>
      </c>
    </row>
    <row r="10502" spans="1:44">
      <c r="A10502" s="4" t="s">
        <v>10753</v>
      </c>
      <c r="B10502" s="4">
        <v>22456</v>
      </c>
      <c r="D10502" s="5" t="s">
        <v>13637</v>
      </c>
      <c r="E10502" s="6" t="str">
        <f>HYPERLINK("https://inpn.mnhn.fr/espece/cd_nom/22456","Thereva nobilitata (Fabricius, 1775)")</f>
        <v>Thereva nobilitata (Fabricius, 1775)</v>
      </c>
      <c r="AH10502" s="4" t="str">
        <f>HYPERLINK("#Statut_biogéographique!A"&amp;_xlfn.XMATCH("P",Statut_biogéographique!A:A,2,1),"P")</f>
        <v>P</v>
      </c>
      <c r="AP10502" s="4" t="s">
        <v>376</v>
      </c>
      <c r="AR10502" s="4" t="s">
        <v>377</v>
      </c>
    </row>
    <row r="10503" spans="1:44">
      <c r="A10503" s="4" t="s">
        <v>10753</v>
      </c>
      <c r="B10503" s="4">
        <v>224560</v>
      </c>
      <c r="D10503" s="5">
        <v>224560</v>
      </c>
      <c r="E10503" s="6" t="str">
        <f>HYPERLINK("https://inpn.mnhn.fr/espece/cd_nom/224560","Heterostylodes nominabilis Collin, 1947")</f>
        <v>Heterostylodes nominabilis Collin, 1947</v>
      </c>
      <c r="AH10503" s="4" t="str">
        <f>HYPERLINK("#Statut_biogéographique!A"&amp;_xlfn.XMATCH("P",Statut_biogéographique!A:A,2,1),"P")</f>
        <v>P</v>
      </c>
      <c r="AP10503" s="4" t="s">
        <v>376</v>
      </c>
      <c r="AR10503" s="4" t="s">
        <v>377</v>
      </c>
    </row>
    <row r="10504" spans="1:44">
      <c r="A10504" s="4" t="s">
        <v>10753</v>
      </c>
      <c r="B10504" s="4">
        <v>224562</v>
      </c>
      <c r="D10504" s="5" t="s">
        <v>13638</v>
      </c>
      <c r="E10504" s="6" t="str">
        <f>HYPERLINK("https://inpn.mnhn.fr/espece/cd_nom/224562","Heterostylodes pilifer (Zetterstedt, 1845)")</f>
        <v>Heterostylodes pilifer (Zetterstedt, 1845)</v>
      </c>
      <c r="AH10504" s="4" t="str">
        <f>HYPERLINK("#Statut_biogéographique!A"&amp;_xlfn.XMATCH("P",Statut_biogéographique!A:A,2,1),"P")</f>
        <v>P</v>
      </c>
      <c r="AP10504" s="4" t="s">
        <v>376</v>
      </c>
      <c r="AR10504" s="4" t="s">
        <v>377</v>
      </c>
    </row>
    <row r="10505" spans="1:44">
      <c r="A10505" s="4" t="s">
        <v>10753</v>
      </c>
      <c r="B10505" s="4">
        <v>224564</v>
      </c>
      <c r="D10505" s="5" t="s">
        <v>13639</v>
      </c>
      <c r="E10505" s="6" t="str">
        <f>HYPERLINK("https://inpn.mnhn.fr/espece/cd_nom/224564","Hydrophoria diabata (Pandellé, 1899)")</f>
        <v>Hydrophoria diabata (Pandellé, 1899)</v>
      </c>
      <c r="AH10505" s="4" t="str">
        <f>HYPERLINK("#Statut_biogéographique!A"&amp;_xlfn.XMATCH("P",Statut_biogéographique!A:A,2,1),"P")</f>
        <v>P</v>
      </c>
      <c r="AP10505" s="4" t="s">
        <v>376</v>
      </c>
      <c r="AR10505" s="4" t="s">
        <v>377</v>
      </c>
    </row>
    <row r="10506" spans="1:44">
      <c r="A10506" s="4" t="s">
        <v>10753</v>
      </c>
      <c r="B10506" s="4">
        <v>224567</v>
      </c>
      <c r="D10506" s="5" t="s">
        <v>13640</v>
      </c>
      <c r="E10506" s="6" t="str">
        <f>HYPERLINK("https://inpn.mnhn.fr/espece/cd_nom/224567","Hylemyza partita (Meigen, 1826)")</f>
        <v>Hylemyza partita (Meigen, 1826)</v>
      </c>
      <c r="AH10506" s="4" t="str">
        <f>HYPERLINK("#Statut_biogéographique!A"&amp;_xlfn.XMATCH("P",Statut_biogéographique!A:A,2,1),"P")</f>
        <v>P</v>
      </c>
      <c r="AP10506" s="4" t="s">
        <v>376</v>
      </c>
      <c r="AR10506" s="4" t="s">
        <v>377</v>
      </c>
    </row>
    <row r="10507" spans="1:44">
      <c r="A10507" s="4" t="s">
        <v>10753</v>
      </c>
      <c r="B10507" s="4">
        <v>224579</v>
      </c>
      <c r="D10507" s="5" t="s">
        <v>13641</v>
      </c>
      <c r="E10507" s="6" t="str">
        <f>HYPERLINK("https://inpn.mnhn.fr/espece/cd_nom/224579","Leucophora unistriata (Zetterstedt, 1838)")</f>
        <v>Leucophora unistriata (Zetterstedt, 1838)</v>
      </c>
      <c r="AH10507" s="4" t="str">
        <f>HYPERLINK("#Statut_biogéographique!A"&amp;_xlfn.XMATCH("P",Statut_biogéographique!A:A,2,1),"P")</f>
        <v>P</v>
      </c>
      <c r="AP10507" s="4" t="s">
        <v>376</v>
      </c>
      <c r="AR10507" s="4" t="s">
        <v>377</v>
      </c>
    </row>
    <row r="10508" spans="1:44" ht="30">
      <c r="A10508" s="4" t="s">
        <v>10753</v>
      </c>
      <c r="B10508" s="4">
        <v>22458</v>
      </c>
      <c r="D10508" s="5" t="s">
        <v>13642</v>
      </c>
      <c r="E10508" s="6" t="str">
        <f>HYPERLINK("https://inpn.mnhn.fr/espece/cd_nom/22458","Thereva plebeja (Linnaeus, 1758)")</f>
        <v>Thereva plebeja (Linnaeus, 1758)</v>
      </c>
      <c r="F10508" s="5" t="s">
        <v>13643</v>
      </c>
      <c r="AH10508" s="4" t="str">
        <f>HYPERLINK("#Statut_biogéographique!A"&amp;_xlfn.XMATCH("P",Statut_biogéographique!A:A,2,1),"P")</f>
        <v>P</v>
      </c>
      <c r="AP10508" s="4" t="s">
        <v>376</v>
      </c>
      <c r="AR10508" s="4" t="s">
        <v>377</v>
      </c>
    </row>
    <row r="10509" spans="1:44">
      <c r="A10509" s="4" t="s">
        <v>10753</v>
      </c>
      <c r="B10509" s="4">
        <v>22460</v>
      </c>
      <c r="D10509" s="5" t="s">
        <v>13644</v>
      </c>
      <c r="E10509" s="6" t="str">
        <f>HYPERLINK("https://inpn.mnhn.fr/espece/cd_nom/22460","Thereva valida Loew, 1847")</f>
        <v>Thereva valida Loew, 1847</v>
      </c>
      <c r="AH10509" s="4" t="str">
        <f>HYPERLINK("#Statut_biogéographique!A"&amp;_xlfn.XMATCH("P",Statut_biogéographique!A:A,2,1),"P")</f>
        <v>P</v>
      </c>
      <c r="AP10509" s="4" t="s">
        <v>376</v>
      </c>
      <c r="AR10509" s="4" t="s">
        <v>377</v>
      </c>
    </row>
    <row r="10510" spans="1:44">
      <c r="A10510" s="4" t="s">
        <v>10753</v>
      </c>
      <c r="B10510" s="4">
        <v>224628</v>
      </c>
      <c r="D10510" s="5" t="s">
        <v>13645</v>
      </c>
      <c r="E10510" s="6" t="str">
        <f>HYPERLINK("https://inpn.mnhn.fr/espece/cd_nom/224628","Microphor crassipes (Macquart, 1827)")</f>
        <v>Microphor crassipes (Macquart, 1827)</v>
      </c>
      <c r="AH10510" s="4" t="str">
        <f>HYPERLINK("#Statut_biogéographique!A"&amp;_xlfn.XMATCH("P",Statut_biogéographique!A:A,2,1),"P")</f>
        <v>P</v>
      </c>
      <c r="AP10510" s="4" t="s">
        <v>376</v>
      </c>
      <c r="AR10510" s="4" t="s">
        <v>377</v>
      </c>
    </row>
    <row r="10511" spans="1:44">
      <c r="A10511" s="4" t="s">
        <v>10753</v>
      </c>
      <c r="B10511" s="4">
        <v>224657</v>
      </c>
      <c r="D10511" s="5" t="s">
        <v>13646</v>
      </c>
      <c r="E10511" s="6" t="str">
        <f>HYPERLINK("https://inpn.mnhn.fr/espece/cd_nom/224657","Bolitophila saundersii (Curtis, 1836)")</f>
        <v>Bolitophila saundersii (Curtis, 1836)</v>
      </c>
      <c r="AH10511" s="4" t="str">
        <f>HYPERLINK("#Statut_biogéographique!A"&amp;_xlfn.XMATCH("P",Statut_biogéographique!A:A,2,1),"P")</f>
        <v>P</v>
      </c>
      <c r="AP10511" s="4" t="s">
        <v>376</v>
      </c>
      <c r="AR10511" s="4" t="s">
        <v>377</v>
      </c>
    </row>
    <row r="10512" spans="1:44">
      <c r="A10512" s="4" t="s">
        <v>10753</v>
      </c>
      <c r="B10512" s="4">
        <v>224658</v>
      </c>
      <c r="D10512" s="5">
        <v>224658</v>
      </c>
      <c r="E10512" s="6" t="str">
        <f>HYPERLINK("https://inpn.mnhn.fr/espece/cd_nom/224658","Bolitophila spinigera Edwards, 1925")</f>
        <v>Bolitophila spinigera Edwards, 1925</v>
      </c>
      <c r="AH10512" s="4" t="str">
        <f>HYPERLINK("#Statut_biogéographique!A"&amp;_xlfn.XMATCH("P",Statut_biogéographique!A:A,2,1),"P")</f>
        <v>P</v>
      </c>
      <c r="AP10512" s="4" t="s">
        <v>376</v>
      </c>
      <c r="AR10512" s="4" t="s">
        <v>377</v>
      </c>
    </row>
    <row r="10513" spans="1:44">
      <c r="A10513" s="4" t="s">
        <v>10753</v>
      </c>
      <c r="B10513" s="4">
        <v>224659</v>
      </c>
      <c r="D10513" s="5" t="s">
        <v>13647</v>
      </c>
      <c r="E10513" s="6" t="str">
        <f>HYPERLINK("https://inpn.mnhn.fr/espece/cd_nom/224659","Bolitophila tenella Winnertz, 1863")</f>
        <v>Bolitophila tenella Winnertz, 1863</v>
      </c>
      <c r="AH10513" s="4" t="str">
        <f>HYPERLINK("#Statut_biogéographique!A"&amp;_xlfn.XMATCH("P",Statut_biogéographique!A:A,2,1),"P")</f>
        <v>P</v>
      </c>
      <c r="AP10513" s="4" t="s">
        <v>376</v>
      </c>
      <c r="AR10513" s="4" t="s">
        <v>377</v>
      </c>
    </row>
    <row r="10514" spans="1:44">
      <c r="A10514" s="4" t="s">
        <v>10753</v>
      </c>
      <c r="B10514" s="4">
        <v>224723</v>
      </c>
      <c r="D10514" s="5" t="s">
        <v>13648</v>
      </c>
      <c r="E10514" s="6" t="str">
        <f>HYPERLINK("https://inpn.mnhn.fr/espece/cd_nom/224723","Hemipenthes velutina (Meigen, 1820)")</f>
        <v>Hemipenthes velutina (Meigen, 1820)</v>
      </c>
      <c r="AH10514" s="4" t="str">
        <f>HYPERLINK("#Statut_biogéographique!A"&amp;_xlfn.XMATCH("P",Statut_biogéographique!A:A,2,1),"P")</f>
        <v>P</v>
      </c>
      <c r="AP10514" s="4" t="s">
        <v>376</v>
      </c>
      <c r="AR10514" s="4" t="s">
        <v>377</v>
      </c>
    </row>
    <row r="10515" spans="1:44">
      <c r="A10515" s="4" t="s">
        <v>10753</v>
      </c>
      <c r="B10515" s="4">
        <v>224742</v>
      </c>
      <c r="D10515" s="5" t="s">
        <v>13649</v>
      </c>
      <c r="E10515" s="6" t="str">
        <f>HYPERLINK("https://inpn.mnhn.fr/espece/cd_nom/224742","Systoechus ctenopterus (Mikan, 1787)")</f>
        <v>Systoechus ctenopterus (Mikan, 1787)</v>
      </c>
      <c r="AH10515" s="4" t="str">
        <f>HYPERLINK("#Statut_biogéographique!A"&amp;_xlfn.XMATCH("P",Statut_biogéographique!A:A,2,1),"P")</f>
        <v>P</v>
      </c>
      <c r="AP10515" s="4" t="s">
        <v>376</v>
      </c>
      <c r="AR10515" s="4" t="s">
        <v>377</v>
      </c>
    </row>
    <row r="10516" spans="1:44">
      <c r="A10516" s="4" t="s">
        <v>10753</v>
      </c>
      <c r="B10516" s="4">
        <v>224749</v>
      </c>
      <c r="D10516" s="5" t="s">
        <v>13650</v>
      </c>
      <c r="E10516" s="6" t="str">
        <f>HYPERLINK("https://inpn.mnhn.fr/espece/cd_nom/224749","Bombylius canescens Mikan, 1796")</f>
        <v>Bombylius canescens Mikan, 1796</v>
      </c>
      <c r="AH10516" s="4" t="str">
        <f>HYPERLINK("#Statut_biogéographique!A"&amp;_xlfn.XMATCH("P",Statut_biogéographique!A:A,2,1),"P")</f>
        <v>P</v>
      </c>
      <c r="AP10516" s="4" t="s">
        <v>376</v>
      </c>
      <c r="AR10516" s="4" t="s">
        <v>377</v>
      </c>
    </row>
    <row r="10517" spans="1:44">
      <c r="A10517" s="4" t="s">
        <v>10753</v>
      </c>
      <c r="B10517" s="4">
        <v>224750</v>
      </c>
      <c r="D10517" s="5" t="s">
        <v>13651</v>
      </c>
      <c r="E10517" s="6" t="str">
        <f>HYPERLINK("https://inpn.mnhn.fr/espece/cd_nom/224750","Bombylius cinerascens Mikan, 1796")</f>
        <v>Bombylius cinerascens Mikan, 1796</v>
      </c>
      <c r="AH10517" s="4" t="str">
        <f>HYPERLINK("#Statut_biogéographique!A"&amp;_xlfn.XMATCH("P",Statut_biogéographique!A:A,2,1),"P")</f>
        <v>P</v>
      </c>
      <c r="AP10517" s="4" t="s">
        <v>376</v>
      </c>
      <c r="AR10517" s="4" t="s">
        <v>377</v>
      </c>
    </row>
    <row r="10518" spans="1:44">
      <c r="A10518" s="4" t="s">
        <v>10753</v>
      </c>
      <c r="B10518" s="4">
        <v>224752</v>
      </c>
      <c r="D10518" s="5" t="s">
        <v>13652</v>
      </c>
      <c r="E10518" s="6" t="str">
        <f>HYPERLINK("https://inpn.mnhn.fr/espece/cd_nom/224752","Bombylius discolor Mikan, 1796")</f>
        <v>Bombylius discolor Mikan, 1796</v>
      </c>
      <c r="AH10518" s="4" t="str">
        <f>HYPERLINK("#Statut_biogéographique!A"&amp;_xlfn.XMATCH("P",Statut_biogéographique!A:A,2,1),"P")</f>
        <v>P</v>
      </c>
      <c r="AP10518" s="4" t="s">
        <v>376</v>
      </c>
      <c r="AR10518" s="4" t="s">
        <v>377</v>
      </c>
    </row>
    <row r="10519" spans="1:44">
      <c r="A10519" s="4" t="s">
        <v>10753</v>
      </c>
      <c r="B10519" s="4">
        <v>224753</v>
      </c>
      <c r="D10519" s="5" t="s">
        <v>13653</v>
      </c>
      <c r="E10519" s="6" t="str">
        <f>HYPERLINK("https://inpn.mnhn.fr/espece/cd_nom/224753","Bombylius fimbriatus Meigen, 1820")</f>
        <v>Bombylius fimbriatus Meigen, 1820</v>
      </c>
      <c r="AH10519" s="4" t="str">
        <f>HYPERLINK("#Statut_biogéographique!A"&amp;_xlfn.XMATCH("P",Statut_biogéographique!A:A,2,1),"P")</f>
        <v>P</v>
      </c>
      <c r="AP10519" s="4" t="s">
        <v>376</v>
      </c>
      <c r="AR10519" s="4" t="s">
        <v>377</v>
      </c>
    </row>
    <row r="10520" spans="1:44">
      <c r="A10520" s="4" t="s">
        <v>10753</v>
      </c>
      <c r="B10520" s="4">
        <v>224756</v>
      </c>
      <c r="D10520" s="5" t="s">
        <v>13654</v>
      </c>
      <c r="E10520" s="6" t="str">
        <f>HYPERLINK("https://inpn.mnhn.fr/espece/cd_nom/224756","Bombylius major Linnaeus, 1758")</f>
        <v>Bombylius major Linnaeus, 1758</v>
      </c>
      <c r="F10520" s="5" t="s">
        <v>13655</v>
      </c>
      <c r="AH10520" s="4" t="str">
        <f>HYPERLINK("#Statut_biogéographique!A"&amp;_xlfn.XMATCH("P",Statut_biogéographique!A:A,2,1),"P")</f>
        <v>P</v>
      </c>
      <c r="AP10520" s="4" t="s">
        <v>376</v>
      </c>
      <c r="AR10520" s="4" t="s">
        <v>377</v>
      </c>
    </row>
    <row r="10521" spans="1:44">
      <c r="A10521" s="4" t="s">
        <v>10753</v>
      </c>
      <c r="B10521" s="4">
        <v>224758</v>
      </c>
      <c r="D10521" s="5" t="s">
        <v>13656</v>
      </c>
      <c r="E10521" s="6" t="str">
        <f>HYPERLINK("https://inpn.mnhn.fr/espece/cd_nom/224758","Bombylius minor Linnaeus, 1758")</f>
        <v>Bombylius minor Linnaeus, 1758</v>
      </c>
      <c r="AH10521" s="4" t="str">
        <f>HYPERLINK("#Statut_biogéographique!A"&amp;_xlfn.XMATCH("P",Statut_biogéographique!A:A,2,1),"P")</f>
        <v>P</v>
      </c>
      <c r="AP10521" s="4" t="s">
        <v>376</v>
      </c>
      <c r="AR10521" s="4" t="s">
        <v>377</v>
      </c>
    </row>
    <row r="10522" spans="1:44">
      <c r="A10522" s="4" t="s">
        <v>10753</v>
      </c>
      <c r="B10522" s="4">
        <v>224766</v>
      </c>
      <c r="D10522" s="5" t="s">
        <v>13657</v>
      </c>
      <c r="E10522" s="6" t="str">
        <f>HYPERLINK("https://inpn.mnhn.fr/espece/cd_nom/224766","Bombylius venosus Mikan, 1796")</f>
        <v>Bombylius venosus Mikan, 1796</v>
      </c>
      <c r="AH10522" s="4" t="str">
        <f>HYPERLINK("#Statut_biogéographique!A"&amp;_xlfn.XMATCH("P",Statut_biogéographique!A:A,2,1),"P")</f>
        <v>P</v>
      </c>
      <c r="AP10522" s="4" t="s">
        <v>376</v>
      </c>
      <c r="AR10522" s="4" t="s">
        <v>377</v>
      </c>
    </row>
    <row r="10523" spans="1:44">
      <c r="A10523" s="4" t="s">
        <v>10753</v>
      </c>
      <c r="B10523" s="4">
        <v>224772</v>
      </c>
      <c r="D10523" s="5" t="s">
        <v>13658</v>
      </c>
      <c r="E10523" s="6" t="str">
        <f>HYPERLINK("https://inpn.mnhn.fr/espece/cd_nom/224772","Bombylella atra (Scopoli, 1763)")</f>
        <v>Bombylella atra (Scopoli, 1763)</v>
      </c>
      <c r="AH10523" s="4" t="str">
        <f>HYPERLINK("#Statut_biogéographique!A"&amp;_xlfn.XMATCH("P",Statut_biogéographique!A:A,2,1),"P")</f>
        <v>P</v>
      </c>
      <c r="AP10523" s="4" t="s">
        <v>376</v>
      </c>
      <c r="AR10523" s="4" t="s">
        <v>377</v>
      </c>
    </row>
    <row r="10524" spans="1:44">
      <c r="A10524" s="4" t="s">
        <v>10753</v>
      </c>
      <c r="B10524" s="4">
        <v>224824</v>
      </c>
      <c r="D10524" s="5" t="s">
        <v>13659</v>
      </c>
      <c r="E10524" s="6" t="str">
        <f>HYPERLINK("https://inpn.mnhn.fr/espece/cd_nom/224824","Calliphora loewi Enderlein, 1903")</f>
        <v>Calliphora loewi Enderlein, 1903</v>
      </c>
      <c r="AH10524" s="4" t="str">
        <f>HYPERLINK("#Statut_biogéographique!A"&amp;_xlfn.XMATCH("P",Statut_biogéographique!A:A,2,1),"P")</f>
        <v>P</v>
      </c>
      <c r="AP10524" s="4" t="s">
        <v>376</v>
      </c>
      <c r="AR10524" s="4" t="s">
        <v>377</v>
      </c>
    </row>
    <row r="10525" spans="1:44">
      <c r="A10525" s="4" t="s">
        <v>10753</v>
      </c>
      <c r="B10525" s="4">
        <v>224825</v>
      </c>
      <c r="D10525" s="5" t="s">
        <v>13660</v>
      </c>
      <c r="E10525" s="6" t="str">
        <f>HYPERLINK("https://inpn.mnhn.fr/espece/cd_nom/224825","Calliphora vicina Robineau-Desvoidy, 1830")</f>
        <v>Calliphora vicina Robineau-Desvoidy, 1830</v>
      </c>
      <c r="AH10525" s="4" t="str">
        <f>HYPERLINK("#Statut_biogéographique!A"&amp;_xlfn.XMATCH("P",Statut_biogéographique!A:A,2,1),"P")</f>
        <v>P</v>
      </c>
      <c r="AP10525" s="4" t="s">
        <v>376</v>
      </c>
      <c r="AR10525" s="4" t="s">
        <v>377</v>
      </c>
    </row>
    <row r="10526" spans="1:44">
      <c r="A10526" s="4" t="s">
        <v>10753</v>
      </c>
      <c r="B10526" s="4">
        <v>224826</v>
      </c>
      <c r="D10526" s="5" t="s">
        <v>13661</v>
      </c>
      <c r="E10526" s="6" t="str">
        <f>HYPERLINK("https://inpn.mnhn.fr/espece/cd_nom/224826","Calliphora vomitoria (Linnaeus, 1758)")</f>
        <v>Calliphora vomitoria (Linnaeus, 1758)</v>
      </c>
      <c r="F10526" s="5" t="s">
        <v>13662</v>
      </c>
      <c r="AH10526" s="4" t="str">
        <f>HYPERLINK("#Statut_biogéographique!A"&amp;_xlfn.XMATCH("P",Statut_biogéographique!A:A,2,1),"P")</f>
        <v>P</v>
      </c>
      <c r="AP10526" s="4" t="s">
        <v>376</v>
      </c>
      <c r="AR10526" s="4" t="s">
        <v>377</v>
      </c>
    </row>
    <row r="10527" spans="1:44">
      <c r="A10527" s="4" t="s">
        <v>10753</v>
      </c>
      <c r="B10527" s="4">
        <v>224828</v>
      </c>
      <c r="D10527" s="5" t="s">
        <v>13663</v>
      </c>
      <c r="E10527" s="6" t="str">
        <f>HYPERLINK("https://inpn.mnhn.fr/espece/cd_nom/224828","Cynomya mortuorum (Linnaeus, 1761)")</f>
        <v>Cynomya mortuorum (Linnaeus, 1761)</v>
      </c>
      <c r="AH10527" s="4" t="str">
        <f>HYPERLINK("#Statut_biogéographique!A"&amp;_xlfn.XMATCH("P",Statut_biogéographique!A:A,2,1),"P")</f>
        <v>P</v>
      </c>
      <c r="AP10527" s="4" t="s">
        <v>376</v>
      </c>
      <c r="AR10527" s="4" t="s">
        <v>377</v>
      </c>
    </row>
    <row r="10528" spans="1:44">
      <c r="A10528" s="4" t="s">
        <v>10753</v>
      </c>
      <c r="B10528" s="4">
        <v>224833</v>
      </c>
      <c r="D10528" s="5" t="s">
        <v>13664</v>
      </c>
      <c r="E10528" s="6" t="str">
        <f>HYPERLINK("https://inpn.mnhn.fr/espece/cd_nom/224833","Lucilia caesar (Linnaeus, 1758)")</f>
        <v>Lucilia caesar (Linnaeus, 1758)</v>
      </c>
      <c r="F10528" s="5" t="s">
        <v>13665</v>
      </c>
      <c r="AH10528" s="4" t="str">
        <f>HYPERLINK("#Statut_biogéographique!A"&amp;_xlfn.XMATCH("P",Statut_biogéographique!A:A,2,1),"P")</f>
        <v>P</v>
      </c>
      <c r="AP10528" s="4" t="s">
        <v>376</v>
      </c>
      <c r="AR10528" s="4" t="s">
        <v>377</v>
      </c>
    </row>
    <row r="10529" spans="1:44">
      <c r="A10529" s="4" t="s">
        <v>10753</v>
      </c>
      <c r="B10529" s="4">
        <v>224838</v>
      </c>
      <c r="D10529" s="5" t="s">
        <v>13666</v>
      </c>
      <c r="E10529" s="6" t="str">
        <f>HYPERLINK("https://inpn.mnhn.fr/espece/cd_nom/224838","Lucilia sericata (Meigen, 1826)")</f>
        <v>Lucilia sericata (Meigen, 1826)</v>
      </c>
      <c r="AH10529" s="4" t="str">
        <f>HYPERLINK("#Statut_biogéographique!A"&amp;_xlfn.XMATCH("P",Statut_biogéographique!A:A,2,1),"P")</f>
        <v>P</v>
      </c>
      <c r="AP10529" s="4" t="s">
        <v>376</v>
      </c>
      <c r="AR10529" s="4" t="s">
        <v>377</v>
      </c>
    </row>
    <row r="10530" spans="1:44">
      <c r="A10530" s="4" t="s">
        <v>10753</v>
      </c>
      <c r="B10530" s="4">
        <v>224839</v>
      </c>
      <c r="D10530" s="5" t="s">
        <v>13667</v>
      </c>
      <c r="E10530" s="6" t="str">
        <f>HYPERLINK("https://inpn.mnhn.fr/espece/cd_nom/224839","Lucilia silvarum (Meigen, 1826)")</f>
        <v>Lucilia silvarum (Meigen, 1826)</v>
      </c>
      <c r="AH10530" s="4" t="str">
        <f>HYPERLINK("#Statut_biogéographique!A"&amp;_xlfn.XMATCH("P",Statut_biogéographique!A:A,2,1),"P")</f>
        <v>P</v>
      </c>
      <c r="AP10530" s="4" t="s">
        <v>376</v>
      </c>
      <c r="AR10530" s="4" t="s">
        <v>377</v>
      </c>
    </row>
    <row r="10531" spans="1:44">
      <c r="A10531" s="4" t="s">
        <v>10753</v>
      </c>
      <c r="B10531" s="4">
        <v>224840</v>
      </c>
      <c r="D10531" s="5" t="s">
        <v>13668</v>
      </c>
      <c r="E10531" s="6" t="str">
        <f>HYPERLINK("https://inpn.mnhn.fr/espece/cd_nom/224840","Melanomya nana (Meigen, 1826)")</f>
        <v>Melanomya nana (Meigen, 1826)</v>
      </c>
      <c r="AH10531" s="4" t="str">
        <f>HYPERLINK("#Statut_biogéographique!A"&amp;_xlfn.XMATCH("P",Statut_biogéographique!A:A,2,1),"P")</f>
        <v>P</v>
      </c>
      <c r="AP10531" s="4" t="s">
        <v>376</v>
      </c>
      <c r="AR10531" s="4" t="s">
        <v>377</v>
      </c>
    </row>
    <row r="10532" spans="1:44">
      <c r="A10532" s="4" t="s">
        <v>10753</v>
      </c>
      <c r="B10532" s="4">
        <v>224847</v>
      </c>
      <c r="D10532" s="5" t="s">
        <v>13669</v>
      </c>
      <c r="E10532" s="6" t="str">
        <f>HYPERLINK("https://inpn.mnhn.fr/espece/cd_nom/224847","Pollenia amentaria (Scopoli, 1763)")</f>
        <v>Pollenia amentaria (Scopoli, 1763)</v>
      </c>
      <c r="AH10532" s="4" t="str">
        <f>HYPERLINK("#Statut_biogéographique!A"&amp;_xlfn.XMATCH("P",Statut_biogéographique!A:A,2,1),"P")</f>
        <v>P</v>
      </c>
      <c r="AP10532" s="4" t="s">
        <v>376</v>
      </c>
      <c r="AR10532" s="4" t="s">
        <v>377</v>
      </c>
    </row>
    <row r="10533" spans="1:44" ht="60">
      <c r="A10533" s="4" t="s">
        <v>10753</v>
      </c>
      <c r="B10533" s="4">
        <v>224873</v>
      </c>
      <c r="D10533" s="5" t="s">
        <v>13670</v>
      </c>
      <c r="E10533" s="6" t="str">
        <f>HYPERLINK("https://inpn.mnhn.fr/espece/cd_nom/224873","Culicoides obsoletus (Meigen, 1818)")</f>
        <v>Culicoides obsoletus (Meigen, 1818)</v>
      </c>
      <c r="AH10533" s="4" t="str">
        <f>HYPERLINK("#Statut_biogéographique!A"&amp;_xlfn.XMATCH("P",Statut_biogéographique!A:A,2,1),"P")</f>
        <v>P</v>
      </c>
      <c r="AP10533" s="4" t="s">
        <v>376</v>
      </c>
      <c r="AR10533" s="4" t="s">
        <v>377</v>
      </c>
    </row>
    <row r="10534" spans="1:44" ht="45">
      <c r="A10534" s="4" t="s">
        <v>10753</v>
      </c>
      <c r="B10534" s="4">
        <v>224884</v>
      </c>
      <c r="D10534" s="5" t="s">
        <v>13671</v>
      </c>
      <c r="E10534" s="6" t="str">
        <f>HYPERLINK("https://inpn.mnhn.fr/espece/cd_nom/224884","Culicoides pulicaris (Linnaeus, 1758)")</f>
        <v>Culicoides pulicaris (Linnaeus, 1758)</v>
      </c>
      <c r="AH10534" s="4" t="str">
        <f>HYPERLINK("#Statut_biogéographique!A"&amp;_xlfn.XMATCH("P",Statut_biogéographique!A:A,2,1),"P")</f>
        <v>P</v>
      </c>
      <c r="AP10534" s="4" t="s">
        <v>376</v>
      </c>
      <c r="AR10534" s="4" t="s">
        <v>377</v>
      </c>
    </row>
    <row r="10535" spans="1:44">
      <c r="A10535" s="4" t="s">
        <v>10753</v>
      </c>
      <c r="B10535" s="4">
        <v>22499</v>
      </c>
      <c r="D10535" s="5" t="s">
        <v>13672</v>
      </c>
      <c r="E10535" s="6" t="str">
        <f>HYPERLINK("https://inpn.mnhn.fr/espece/cd_nom/22499","Antipalus varipes (Meigen, 1820)")</f>
        <v>Antipalus varipes (Meigen, 1820)</v>
      </c>
      <c r="AH10535" s="4" t="str">
        <f>HYPERLINK("#Statut_biogéographique!A"&amp;_xlfn.XMATCH("P",Statut_biogéographique!A:A,2,1),"P")</f>
        <v>P</v>
      </c>
      <c r="AP10535" s="4" t="s">
        <v>376</v>
      </c>
      <c r="AR10535" s="4" t="s">
        <v>377</v>
      </c>
    </row>
    <row r="10536" spans="1:44">
      <c r="A10536" s="4" t="s">
        <v>10753</v>
      </c>
      <c r="B10536" s="4">
        <v>22501</v>
      </c>
      <c r="D10536" s="5">
        <v>22501</v>
      </c>
      <c r="E10536" s="6" t="str">
        <f>HYPERLINK("https://inpn.mnhn.fr/espece/cd_nom/22501","Asilus crabroniformis Linnaeus, 1758")</f>
        <v>Asilus crabroniformis Linnaeus, 1758</v>
      </c>
      <c r="F10536" s="5" t="s">
        <v>13673</v>
      </c>
      <c r="AH10536" s="4" t="str">
        <f>HYPERLINK("#Statut_biogéographique!A"&amp;_xlfn.XMATCH("P",Statut_biogéographique!A:A,2,1),"P")</f>
        <v>P</v>
      </c>
      <c r="AP10536" s="4" t="s">
        <v>376</v>
      </c>
      <c r="AR10536" s="4" t="s">
        <v>377</v>
      </c>
    </row>
    <row r="10537" spans="1:44">
      <c r="A10537" s="4" t="s">
        <v>10753</v>
      </c>
      <c r="B10537" s="4">
        <v>22507</v>
      </c>
      <c r="D10537" s="5" t="s">
        <v>13674</v>
      </c>
      <c r="E10537" s="6" t="str">
        <f>HYPERLINK("https://inpn.mnhn.fr/espece/cd_nom/22507","Choerades fulva (Meigen, 1804)")</f>
        <v>Choerades fulva (Meigen, 1804)</v>
      </c>
      <c r="AH10537" s="4" t="str">
        <f>HYPERLINK("#Statut_biogéographique!A"&amp;_xlfn.XMATCH("P",Statut_biogéographique!A:A,2,1),"P")</f>
        <v>P</v>
      </c>
      <c r="AP10537" s="4" t="s">
        <v>376</v>
      </c>
      <c r="AR10537" s="4" t="s">
        <v>377</v>
      </c>
    </row>
    <row r="10538" spans="1:44">
      <c r="A10538" s="4" t="s">
        <v>10753</v>
      </c>
      <c r="B10538" s="4">
        <v>22509</v>
      </c>
      <c r="D10538" s="5" t="s">
        <v>13675</v>
      </c>
      <c r="E10538" s="6" t="str">
        <f>HYPERLINK("https://inpn.mnhn.fr/espece/cd_nom/22509","Choerades marginata (Linnaeus, 1758)")</f>
        <v>Choerades marginata (Linnaeus, 1758)</v>
      </c>
      <c r="AH10538" s="4" t="str">
        <f>HYPERLINK("#Statut_biogéographique!A"&amp;_xlfn.XMATCH("P",Statut_biogéographique!A:A,2,1),"P")</f>
        <v>P</v>
      </c>
      <c r="AP10538" s="4" t="s">
        <v>376</v>
      </c>
      <c r="AR10538" s="4" t="s">
        <v>377</v>
      </c>
    </row>
    <row r="10539" spans="1:44">
      <c r="A10539" s="4" t="s">
        <v>10753</v>
      </c>
      <c r="B10539" s="4">
        <v>22511</v>
      </c>
      <c r="D10539" s="5" t="s">
        <v>13676</v>
      </c>
      <c r="E10539" s="6" t="str">
        <f>HYPERLINK("https://inpn.mnhn.fr/espece/cd_nom/22511","Cyrtopogon lateralis (Fallén, 1814)")</f>
        <v>Cyrtopogon lateralis (Fallén, 1814)</v>
      </c>
      <c r="AH10539" s="4" t="str">
        <f>HYPERLINK("#Statut_biogéographique!A"&amp;_xlfn.XMATCH("P",Statut_biogéographique!A:A,2,1),"P")</f>
        <v>P</v>
      </c>
      <c r="AP10539" s="4" t="s">
        <v>376</v>
      </c>
      <c r="AR10539" s="4" t="s">
        <v>377</v>
      </c>
    </row>
    <row r="10540" spans="1:44">
      <c r="A10540" s="4" t="s">
        <v>10753</v>
      </c>
      <c r="B10540" s="4">
        <v>225126</v>
      </c>
      <c r="D10540" s="5" t="s">
        <v>13677</v>
      </c>
      <c r="E10540" s="6" t="str">
        <f>HYPERLINK("https://inpn.mnhn.fr/espece/cd_nom/225126","Aedes cinereus Meigen, 1818")</f>
        <v>Aedes cinereus Meigen, 1818</v>
      </c>
      <c r="AH10540" s="4" t="str">
        <f>HYPERLINK("#Statut_biogéographique!A"&amp;_xlfn.XMATCH("P",Statut_biogéographique!A:A,2,1),"P")</f>
        <v>P</v>
      </c>
      <c r="AP10540" s="4" t="s">
        <v>376</v>
      </c>
      <c r="AR10540" s="4" t="s">
        <v>377</v>
      </c>
    </row>
    <row r="10541" spans="1:44">
      <c r="A10541" s="4" t="s">
        <v>10753</v>
      </c>
      <c r="B10541" s="4">
        <v>225132</v>
      </c>
      <c r="D10541" s="5" t="s">
        <v>13678</v>
      </c>
      <c r="E10541" s="6" t="str">
        <f>HYPERLINK("https://inpn.mnhn.fr/espece/cd_nom/225132","Aedes albopictus (Skuse, 1894)")</f>
        <v>Aedes albopictus (Skuse, 1894)</v>
      </c>
      <c r="F10541" s="5" t="s">
        <v>13679</v>
      </c>
      <c r="AH10541" s="4" t="str">
        <f>HYPERLINK("#Statut_biogéographique!A"&amp;_xlfn.XMATCH("I",Statut_biogéographique!A:A,2,1),"I")</f>
        <v>I</v>
      </c>
      <c r="AP10541" s="4" t="s">
        <v>376</v>
      </c>
      <c r="AR10541" s="4" t="s">
        <v>377</v>
      </c>
    </row>
    <row r="10542" spans="1:44">
      <c r="A10542" s="4" t="s">
        <v>10753</v>
      </c>
      <c r="B10542" s="4">
        <v>225136</v>
      </c>
      <c r="D10542" s="5" t="s">
        <v>13680</v>
      </c>
      <c r="E10542" s="6" t="str">
        <f>HYPERLINK("https://inpn.mnhn.fr/espece/cd_nom/225136","Culex pipiens Linnaeus, 1758")</f>
        <v>Culex pipiens Linnaeus, 1758</v>
      </c>
      <c r="F10542" s="5" t="s">
        <v>13681</v>
      </c>
      <c r="AH10542" s="4" t="str">
        <f>HYPERLINK("#Statut_biogéographique!A"&amp;_xlfn.XMATCH("P",Statut_biogéographique!A:A,2,1),"P")</f>
        <v>P</v>
      </c>
      <c r="AP10542" s="4" t="s">
        <v>376</v>
      </c>
      <c r="AR10542" s="4" t="s">
        <v>377</v>
      </c>
    </row>
    <row r="10543" spans="1:44">
      <c r="A10543" s="4" t="s">
        <v>10753</v>
      </c>
      <c r="B10543" s="4">
        <v>225139</v>
      </c>
      <c r="D10543" s="5">
        <v>225139</v>
      </c>
      <c r="E10543" s="6" t="str">
        <f>HYPERLINK("https://inpn.mnhn.fr/espece/cd_nom/225139","Culex hortensis Ficalbi, 1889")</f>
        <v>Culex hortensis Ficalbi, 1889</v>
      </c>
      <c r="AH10543" s="4" t="str">
        <f>HYPERLINK("#Statut_biogéographique!A"&amp;_xlfn.XMATCH("P",Statut_biogéographique!A:A,2,1),"P")</f>
        <v>P</v>
      </c>
      <c r="AP10543" s="4" t="s">
        <v>376</v>
      </c>
      <c r="AR10543" s="4" t="s">
        <v>377</v>
      </c>
    </row>
    <row r="10544" spans="1:44">
      <c r="A10544" s="4" t="s">
        <v>10753</v>
      </c>
      <c r="B10544" s="4">
        <v>225168</v>
      </c>
      <c r="D10544" s="5" t="s">
        <v>13682</v>
      </c>
      <c r="E10544" s="6" t="str">
        <f>HYPERLINK("https://inpn.mnhn.fr/espece/cd_nom/225168","Diadocidia ferruginosa (Meigen, 1830)")</f>
        <v>Diadocidia ferruginosa (Meigen, 1830)</v>
      </c>
      <c r="AH10544" s="4" t="str">
        <f>HYPERLINK("#Statut_biogéographique!A"&amp;_xlfn.XMATCH("P",Statut_biogéographique!A:A,2,1),"P")</f>
        <v>P</v>
      </c>
      <c r="AP10544" s="4" t="s">
        <v>376</v>
      </c>
      <c r="AR10544" s="4" t="s">
        <v>377</v>
      </c>
    </row>
    <row r="10545" spans="1:44">
      <c r="A10545" s="4" t="s">
        <v>10753</v>
      </c>
      <c r="B10545" s="4">
        <v>225169</v>
      </c>
      <c r="D10545" s="5" t="s">
        <v>13683</v>
      </c>
      <c r="E10545" s="6" t="str">
        <f>HYPERLINK("https://inpn.mnhn.fr/espece/cd_nom/225169","Diadocidia spinosula Tollet, 1948")</f>
        <v>Diadocidia spinosula Tollet, 1948</v>
      </c>
      <c r="AH10545" s="4" t="str">
        <f>HYPERLINK("#Statut_biogéographique!A"&amp;_xlfn.XMATCH("P",Statut_biogéographique!A:A,2,1),"P")</f>
        <v>P</v>
      </c>
      <c r="AP10545" s="4" t="s">
        <v>376</v>
      </c>
      <c r="AR10545" s="4" t="s">
        <v>377</v>
      </c>
    </row>
    <row r="10546" spans="1:44">
      <c r="A10546" s="4" t="s">
        <v>10753</v>
      </c>
      <c r="B10546" s="4">
        <v>225171</v>
      </c>
      <c r="D10546" s="5" t="s">
        <v>13684</v>
      </c>
      <c r="E10546" s="6" t="str">
        <f>HYPERLINK("https://inpn.mnhn.fr/espece/cd_nom/225171","Dixa dilatata Strobl, 1900")</f>
        <v>Dixa dilatata Strobl, 1900</v>
      </c>
      <c r="AH10546" s="4" t="str">
        <f>HYPERLINK("#Statut_biogéographique!A"&amp;_xlfn.XMATCH("P",Statut_biogéographique!A:A,2,1),"P")</f>
        <v>P</v>
      </c>
      <c r="AP10546" s="4" t="s">
        <v>376</v>
      </c>
      <c r="AR10546" s="4" t="s">
        <v>377</v>
      </c>
    </row>
    <row r="10547" spans="1:44">
      <c r="A10547" s="4" t="s">
        <v>10753</v>
      </c>
      <c r="B10547" s="4">
        <v>225178</v>
      </c>
      <c r="D10547" s="5" t="s">
        <v>13685</v>
      </c>
      <c r="E10547" s="6" t="str">
        <f>HYPERLINK("https://inpn.mnhn.fr/espece/cd_nom/225178","Dixa submaculata Edwards, 1920")</f>
        <v>Dixa submaculata Edwards, 1920</v>
      </c>
      <c r="AH10547" s="4" t="str">
        <f>HYPERLINK("#Statut_biogéographique!A"&amp;_xlfn.XMATCH("P",Statut_biogéographique!A:A,2,1),"P")</f>
        <v>P</v>
      </c>
      <c r="AP10547" s="4" t="s">
        <v>376</v>
      </c>
      <c r="AR10547" s="4" t="s">
        <v>377</v>
      </c>
    </row>
    <row r="10548" spans="1:44">
      <c r="A10548" s="4" t="s">
        <v>10753</v>
      </c>
      <c r="B10548" s="4">
        <v>225180</v>
      </c>
      <c r="D10548" s="5" t="s">
        <v>13686</v>
      </c>
      <c r="E10548" s="6" t="str">
        <f>HYPERLINK("https://inpn.mnhn.fr/espece/cd_nom/225180","Dixella aestivalis (Meigen, 1818)")</f>
        <v>Dixella aestivalis (Meigen, 1818)</v>
      </c>
      <c r="AH10548" s="4" t="str">
        <f>HYPERLINK("#Statut_biogéographique!A"&amp;_xlfn.XMATCH("P",Statut_biogéographique!A:A,2,1),"P")</f>
        <v>P</v>
      </c>
      <c r="AP10548" s="4" t="s">
        <v>376</v>
      </c>
      <c r="AR10548" s="4" t="s">
        <v>377</v>
      </c>
    </row>
    <row r="10549" spans="1:44">
      <c r="A10549" s="4" t="s">
        <v>10753</v>
      </c>
      <c r="B10549" s="4">
        <v>225187</v>
      </c>
      <c r="D10549" s="5" t="s">
        <v>13687</v>
      </c>
      <c r="E10549" s="6" t="str">
        <f>HYPERLINK("https://inpn.mnhn.fr/espece/cd_nom/225187","Dixella martinii (Peus, 1934)")</f>
        <v>Dixella martinii (Peus, 1934)</v>
      </c>
      <c r="AH10549" s="4" t="str">
        <f>HYPERLINK("#Statut_biogéographique!A"&amp;_xlfn.XMATCH("P",Statut_biogéographique!A:A,2,1),"P")</f>
        <v>P</v>
      </c>
      <c r="AP10549" s="4" t="s">
        <v>376</v>
      </c>
      <c r="AR10549" s="4" t="s">
        <v>377</v>
      </c>
    </row>
    <row r="10550" spans="1:44" ht="30">
      <c r="A10550" s="4" t="s">
        <v>10753</v>
      </c>
      <c r="B10550" s="4">
        <v>225191</v>
      </c>
      <c r="D10550" s="5">
        <v>225191</v>
      </c>
      <c r="E10550" s="6" t="str">
        <f>HYPERLINK("https://inpn.mnhn.fr/espece/cd_nom/225191","Achalcus nigropunctatus Pollet &amp; Brunhes, 1996")</f>
        <v>Achalcus nigropunctatus Pollet &amp; Brunhes, 1996</v>
      </c>
      <c r="AH10550" s="4" t="str">
        <f>HYPERLINK("#Statut_biogéographique!A"&amp;_xlfn.XMATCH("P",Statut_biogéographique!A:A,2,1),"P")</f>
        <v>P</v>
      </c>
      <c r="AP10550" s="4" t="s">
        <v>376</v>
      </c>
      <c r="AR10550" s="4" t="s">
        <v>377</v>
      </c>
    </row>
    <row r="10551" spans="1:44" ht="30">
      <c r="A10551" s="4" t="s">
        <v>10753</v>
      </c>
      <c r="B10551" s="4">
        <v>225203</v>
      </c>
      <c r="D10551" s="5" t="s">
        <v>13688</v>
      </c>
      <c r="E10551" s="6" t="str">
        <f>HYPERLINK("https://inpn.mnhn.fr/espece/cd_nom/225203","Campsicnemus curvipes (Fallén, 1823)")</f>
        <v>Campsicnemus curvipes (Fallén, 1823)</v>
      </c>
      <c r="AH10551" s="4" t="str">
        <f>HYPERLINK("#Statut_biogéographique!A"&amp;_xlfn.XMATCH("P",Statut_biogéographique!A:A,2,1),"P")</f>
        <v>P</v>
      </c>
      <c r="AP10551" s="4" t="s">
        <v>376</v>
      </c>
      <c r="AR10551" s="4" t="s">
        <v>377</v>
      </c>
    </row>
    <row r="10552" spans="1:44">
      <c r="A10552" s="4" t="s">
        <v>10753</v>
      </c>
      <c r="B10552" s="4">
        <v>225206</v>
      </c>
      <c r="D10552" s="5" t="s">
        <v>13689</v>
      </c>
      <c r="E10552" s="6" t="str">
        <f>HYPERLINK("https://inpn.mnhn.fr/espece/cd_nom/225206","Campsicnemus loripes (Haliday, 1832)")</f>
        <v>Campsicnemus loripes (Haliday, 1832)</v>
      </c>
      <c r="AH10552" s="4" t="str">
        <f>HYPERLINK("#Statut_biogéographique!A"&amp;_xlfn.XMATCH("P",Statut_biogéographique!A:A,2,1),"P")</f>
        <v>P</v>
      </c>
      <c r="AP10552" s="4" t="s">
        <v>376</v>
      </c>
      <c r="AR10552" s="4" t="s">
        <v>377</v>
      </c>
    </row>
    <row r="10553" spans="1:44">
      <c r="A10553" s="4" t="s">
        <v>10753</v>
      </c>
      <c r="B10553" s="4">
        <v>22523</v>
      </c>
      <c r="D10553" s="5" t="s">
        <v>13690</v>
      </c>
      <c r="E10553" s="6" t="str">
        <f>HYPERLINK("https://inpn.mnhn.fr/espece/cd_nom/22523","Dioctria hyalipennis (Fabricius, 1794)")</f>
        <v>Dioctria hyalipennis (Fabricius, 1794)</v>
      </c>
      <c r="AH10553" s="4" t="str">
        <f>HYPERLINK("#Statut_biogéographique!A"&amp;_xlfn.XMATCH("P",Statut_biogéographique!A:A,2,1),"P")</f>
        <v>P</v>
      </c>
      <c r="AP10553" s="4" t="s">
        <v>376</v>
      </c>
      <c r="AR10553" s="4" t="s">
        <v>377</v>
      </c>
    </row>
    <row r="10554" spans="1:44">
      <c r="A10554" s="4" t="s">
        <v>10753</v>
      </c>
      <c r="B10554" s="4">
        <v>225230</v>
      </c>
      <c r="D10554" s="5" t="s">
        <v>13691</v>
      </c>
      <c r="E10554" s="6" t="str">
        <f>HYPERLINK("https://inpn.mnhn.fr/espece/cd_nom/225230","Dolichopus arbustorum Stannius, 1831")</f>
        <v>Dolichopus arbustorum Stannius, 1831</v>
      </c>
      <c r="AH10554" s="4" t="str">
        <f>HYPERLINK("#Statut_biogéographique!A"&amp;_xlfn.XMATCH("P",Statut_biogéographique!A:A,2,1),"P")</f>
        <v>P</v>
      </c>
      <c r="AP10554" s="4" t="s">
        <v>376</v>
      </c>
      <c r="AR10554" s="4" t="s">
        <v>377</v>
      </c>
    </row>
    <row r="10555" spans="1:44">
      <c r="A10555" s="4" t="s">
        <v>10753</v>
      </c>
      <c r="B10555" s="4">
        <v>225233</v>
      </c>
      <c r="D10555" s="5" t="s">
        <v>13692</v>
      </c>
      <c r="E10555" s="6" t="str">
        <f>HYPERLINK("https://inpn.mnhn.fr/espece/cd_nom/225233","Dolichopus atripes Meigen, 1824")</f>
        <v>Dolichopus atripes Meigen, 1824</v>
      </c>
      <c r="AH10555" s="4" t="str">
        <f>HYPERLINK("#Statut_biogéographique!A"&amp;_xlfn.XMATCH("P",Statut_biogéographique!A:A,2,1),"P")</f>
        <v>P</v>
      </c>
      <c r="AP10555" s="4" t="s">
        <v>376</v>
      </c>
      <c r="AR10555" s="4" t="s">
        <v>377</v>
      </c>
    </row>
    <row r="10556" spans="1:44">
      <c r="A10556" s="4" t="s">
        <v>10753</v>
      </c>
      <c r="B10556" s="4">
        <v>225237</v>
      </c>
      <c r="D10556" s="5" t="s">
        <v>13693</v>
      </c>
      <c r="E10556" s="6" t="str">
        <f>HYPERLINK("https://inpn.mnhn.fr/espece/cd_nom/225237","Dolichopus cilifemoratus Macquart, 1827")</f>
        <v>Dolichopus cilifemoratus Macquart, 1827</v>
      </c>
      <c r="AH10556" s="4" t="str">
        <f>HYPERLINK("#Statut_biogéographique!A"&amp;_xlfn.XMATCH("P",Statut_biogéographique!A:A,2,1),"P")</f>
        <v>P</v>
      </c>
      <c r="AP10556" s="4" t="s">
        <v>376</v>
      </c>
      <c r="AR10556" s="4" t="s">
        <v>377</v>
      </c>
    </row>
    <row r="10557" spans="1:44">
      <c r="A10557" s="4" t="s">
        <v>10753</v>
      </c>
      <c r="B10557" s="4">
        <v>225238</v>
      </c>
      <c r="D10557" s="5" t="s">
        <v>13694</v>
      </c>
      <c r="E10557" s="6" t="str">
        <f>HYPERLINK("https://inpn.mnhn.fr/espece/cd_nom/225238","Dolichopus claviger Stannius, 1831")</f>
        <v>Dolichopus claviger Stannius, 1831</v>
      </c>
      <c r="AH10557" s="4" t="str">
        <f>HYPERLINK("#Statut_biogéographique!A"&amp;_xlfn.XMATCH("P",Statut_biogéographique!A:A,2,1),"P")</f>
        <v>P</v>
      </c>
      <c r="AP10557" s="4" t="s">
        <v>376</v>
      </c>
      <c r="AR10557" s="4" t="s">
        <v>377</v>
      </c>
    </row>
    <row r="10558" spans="1:44">
      <c r="A10558" s="4" t="s">
        <v>10753</v>
      </c>
      <c r="B10558" s="4">
        <v>225240</v>
      </c>
      <c r="D10558" s="5">
        <v>225240</v>
      </c>
      <c r="E10558" s="6" t="str">
        <f>HYPERLINK("https://inpn.mnhn.fr/espece/cd_nom/225240","Dolichopus consimilis Wahlberg, 1850")</f>
        <v>Dolichopus consimilis Wahlberg, 1850</v>
      </c>
      <c r="AH10558" s="4" t="str">
        <f>HYPERLINK("#Statut_biogéographique!A"&amp;_xlfn.XMATCH("P",Statut_biogéographique!A:A,2,1),"P")</f>
        <v>P</v>
      </c>
      <c r="AP10558" s="4" t="s">
        <v>376</v>
      </c>
      <c r="AR10558" s="4" t="s">
        <v>377</v>
      </c>
    </row>
    <row r="10559" spans="1:44">
      <c r="A10559" s="4" t="s">
        <v>10753</v>
      </c>
      <c r="B10559" s="4">
        <v>225241</v>
      </c>
      <c r="D10559" s="5" t="s">
        <v>13695</v>
      </c>
      <c r="E10559" s="6" t="str">
        <f>HYPERLINK("https://inpn.mnhn.fr/espece/cd_nom/225241","Dolichopus cruralis Wahlberg, 1850")</f>
        <v>Dolichopus cruralis Wahlberg, 1850</v>
      </c>
      <c r="AH10559" s="4" t="str">
        <f>HYPERLINK("#Statut_biogéographique!A"&amp;_xlfn.XMATCH("P",Statut_biogéographique!A:A,2,1),"P")</f>
        <v>P</v>
      </c>
      <c r="AP10559" s="4" t="s">
        <v>376</v>
      </c>
      <c r="AR10559" s="4" t="s">
        <v>377</v>
      </c>
    </row>
    <row r="10560" spans="1:44">
      <c r="A10560" s="4" t="s">
        <v>10753</v>
      </c>
      <c r="B10560" s="4">
        <v>225244</v>
      </c>
      <c r="D10560" s="5" t="s">
        <v>13696</v>
      </c>
      <c r="E10560" s="6" t="str">
        <f>HYPERLINK("https://inpn.mnhn.fr/espece/cd_nom/225244","Dolichopus festivus Haliday, 1832")</f>
        <v>Dolichopus festivus Haliday, 1832</v>
      </c>
      <c r="AH10560" s="4" t="str">
        <f>HYPERLINK("#Statut_biogéographique!A"&amp;_xlfn.XMATCH("P",Statut_biogéographique!A:A,2,1),"P")</f>
        <v>P</v>
      </c>
      <c r="AP10560" s="4" t="s">
        <v>376</v>
      </c>
      <c r="AR10560" s="4" t="s">
        <v>377</v>
      </c>
    </row>
    <row r="10561" spans="1:44">
      <c r="A10561" s="4" t="s">
        <v>10753</v>
      </c>
      <c r="B10561" s="4">
        <v>225246</v>
      </c>
      <c r="D10561" s="5" t="s">
        <v>13697</v>
      </c>
      <c r="E10561" s="6" t="str">
        <f>HYPERLINK("https://inpn.mnhn.fr/espece/cd_nom/225246","Dolichopus genicupallidus Becker, 1889")</f>
        <v>Dolichopus genicupallidus Becker, 1889</v>
      </c>
      <c r="AH10561" s="4" t="str">
        <f>HYPERLINK("#Statut_biogéographique!A"&amp;_xlfn.XMATCH("P",Statut_biogéographique!A:A,2,1),"P")</f>
        <v>P</v>
      </c>
      <c r="AP10561" s="4" t="s">
        <v>376</v>
      </c>
      <c r="AR10561" s="4" t="s">
        <v>377</v>
      </c>
    </row>
    <row r="10562" spans="1:44">
      <c r="A10562" s="4" t="s">
        <v>10753</v>
      </c>
      <c r="B10562" s="4">
        <v>22525</v>
      </c>
      <c r="D10562" s="5" t="s">
        <v>13698</v>
      </c>
      <c r="E10562" s="6" t="str">
        <f>HYPERLINK("https://inpn.mnhn.fr/espece/cd_nom/22525","Dioctria linearis (Fabricius, 1787)")</f>
        <v>Dioctria linearis (Fabricius, 1787)</v>
      </c>
      <c r="AH10562" s="4" t="str">
        <f>HYPERLINK("#Statut_biogéographique!A"&amp;_xlfn.XMATCH("P",Statut_biogéographique!A:A,2,1),"P")</f>
        <v>P</v>
      </c>
      <c r="AP10562" s="4" t="s">
        <v>376</v>
      </c>
      <c r="AR10562" s="4" t="s">
        <v>377</v>
      </c>
    </row>
    <row r="10563" spans="1:44">
      <c r="A10563" s="4" t="s">
        <v>10753</v>
      </c>
      <c r="B10563" s="4">
        <v>225250</v>
      </c>
      <c r="D10563" s="5" t="s">
        <v>13699</v>
      </c>
      <c r="E10563" s="6" t="str">
        <f>HYPERLINK("https://inpn.mnhn.fr/espece/cd_nom/225250","Dolichopus latilimbatus Macquart, 1827")</f>
        <v>Dolichopus latilimbatus Macquart, 1827</v>
      </c>
      <c r="AH10563" s="4" t="str">
        <f>HYPERLINK("#Statut_biogéographique!A"&amp;_xlfn.XMATCH("P",Statut_biogéographique!A:A,2,1),"P")</f>
        <v>P</v>
      </c>
      <c r="AP10563" s="4" t="s">
        <v>376</v>
      </c>
      <c r="AR10563" s="4" t="s">
        <v>377</v>
      </c>
    </row>
    <row r="10564" spans="1:44">
      <c r="A10564" s="4" t="s">
        <v>10753</v>
      </c>
      <c r="B10564" s="4">
        <v>225252</v>
      </c>
      <c r="D10564" s="5" t="s">
        <v>13700</v>
      </c>
      <c r="E10564" s="6" t="str">
        <f>HYPERLINK("https://inpn.mnhn.fr/espece/cd_nom/225252","Dolichopus lepidus Stæger, 1842")</f>
        <v>Dolichopus lepidus Stæger, 1842</v>
      </c>
      <c r="AH10564" s="4" t="str">
        <f>HYPERLINK("#Statut_biogéographique!A"&amp;_xlfn.XMATCH("P",Statut_biogéographique!A:A,2,1),"P")</f>
        <v>P</v>
      </c>
      <c r="AP10564" s="4" t="s">
        <v>376</v>
      </c>
      <c r="AR10564" s="4" t="s">
        <v>377</v>
      </c>
    </row>
    <row r="10565" spans="1:44">
      <c r="A10565" s="4" t="s">
        <v>10753</v>
      </c>
      <c r="B10565" s="4">
        <v>225254</v>
      </c>
      <c r="D10565" s="5" t="s">
        <v>13701</v>
      </c>
      <c r="E10565" s="6" t="str">
        <f>HYPERLINK("https://inpn.mnhn.fr/espece/cd_nom/225254","Dolichopus longicornis Stannius, 1831")</f>
        <v>Dolichopus longicornis Stannius, 1831</v>
      </c>
      <c r="AH10565" s="4" t="str">
        <f>HYPERLINK("#Statut_biogéographique!A"&amp;_xlfn.XMATCH("P",Statut_biogéographique!A:A,2,1),"P")</f>
        <v>P</v>
      </c>
      <c r="AP10565" s="4" t="s">
        <v>376</v>
      </c>
      <c r="AR10565" s="4" t="s">
        <v>377</v>
      </c>
    </row>
    <row r="10566" spans="1:44">
      <c r="A10566" s="4" t="s">
        <v>10753</v>
      </c>
      <c r="B10566" s="4">
        <v>225255</v>
      </c>
      <c r="D10566" s="5" t="s">
        <v>13702</v>
      </c>
      <c r="E10566" s="6" t="str">
        <f>HYPERLINK("https://inpn.mnhn.fr/espece/cd_nom/225255","Dolichopus longitarsis Stannius, 1831")</f>
        <v>Dolichopus longitarsis Stannius, 1831</v>
      </c>
      <c r="AH10566" s="4" t="str">
        <f>HYPERLINK("#Statut_biogéographique!A"&amp;_xlfn.XMATCH("P",Statut_biogéographique!A:A,2,1),"P")</f>
        <v>P</v>
      </c>
      <c r="AP10566" s="4" t="s">
        <v>376</v>
      </c>
      <c r="AR10566" s="4" t="s">
        <v>377</v>
      </c>
    </row>
    <row r="10567" spans="1:44">
      <c r="A10567" s="4" t="s">
        <v>10753</v>
      </c>
      <c r="B10567" s="4">
        <v>225256</v>
      </c>
      <c r="D10567" s="5">
        <v>225256</v>
      </c>
      <c r="E10567" s="6" t="str">
        <f>HYPERLINK("https://inpn.mnhn.fr/espece/cd_nom/225256","Dolichopus mediicornis Verrall, 1875")</f>
        <v>Dolichopus mediicornis Verrall, 1875</v>
      </c>
      <c r="AH10567" s="4" t="str">
        <f>HYPERLINK("#Statut_biogéographique!A"&amp;_xlfn.XMATCH("P",Statut_biogéographique!A:A,2,1),"P")</f>
        <v>P</v>
      </c>
      <c r="AP10567" s="4" t="s">
        <v>376</v>
      </c>
      <c r="AR10567" s="4" t="s">
        <v>377</v>
      </c>
    </row>
    <row r="10568" spans="1:44">
      <c r="A10568" s="4" t="s">
        <v>10753</v>
      </c>
      <c r="B10568" s="4">
        <v>22526</v>
      </c>
      <c r="D10568" s="5">
        <v>22526</v>
      </c>
      <c r="E10568" s="6" t="str">
        <f>HYPERLINK("https://inpn.mnhn.fr/espece/cd_nom/22526","Dioctria longicornis Meigen, 1820")</f>
        <v>Dioctria longicornis Meigen, 1820</v>
      </c>
      <c r="AH10568" s="4" t="str">
        <f>HYPERLINK("#Statut_biogéographique!A"&amp;_xlfn.XMATCH("P",Statut_biogéographique!A:A,2,1),"P")</f>
        <v>P</v>
      </c>
      <c r="AP10568" s="4" t="s">
        <v>376</v>
      </c>
      <c r="AR10568" s="4" t="s">
        <v>377</v>
      </c>
    </row>
    <row r="10569" spans="1:44" ht="30">
      <c r="A10569" s="4" t="s">
        <v>10753</v>
      </c>
      <c r="B10569" s="4">
        <v>225260</v>
      </c>
      <c r="D10569" s="5" t="s">
        <v>13703</v>
      </c>
      <c r="E10569" s="6" t="str">
        <f>HYPERLINK("https://inpn.mnhn.fr/espece/cd_nom/225260","Dolichopus nigricornis Meigen, 1824")</f>
        <v>Dolichopus nigricornis Meigen, 1824</v>
      </c>
      <c r="AH10569" s="4" t="str">
        <f>HYPERLINK("#Statut_biogéographique!A"&amp;_xlfn.XMATCH("P",Statut_biogéographique!A:A,2,1),"P")</f>
        <v>P</v>
      </c>
      <c r="AP10569" s="4" t="s">
        <v>376</v>
      </c>
      <c r="AR10569" s="4" t="s">
        <v>377</v>
      </c>
    </row>
    <row r="10570" spans="1:44" ht="30">
      <c r="A10570" s="4" t="s">
        <v>10753</v>
      </c>
      <c r="B10570" s="4">
        <v>225262</v>
      </c>
      <c r="D10570" s="5" t="s">
        <v>13704</v>
      </c>
      <c r="E10570" s="6" t="str">
        <f>HYPERLINK("https://inpn.mnhn.fr/espece/cd_nom/225262","Dolichopus nitidus Fallén, 1823")</f>
        <v>Dolichopus nitidus Fallén, 1823</v>
      </c>
      <c r="AH10570" s="4" t="str">
        <f>HYPERLINK("#Statut_biogéographique!A"&amp;_xlfn.XMATCH("P",Statut_biogéographique!A:A,2,1),"P")</f>
        <v>P</v>
      </c>
      <c r="AP10570" s="4" t="s">
        <v>376</v>
      </c>
      <c r="AR10570" s="4" t="s">
        <v>377</v>
      </c>
    </row>
    <row r="10571" spans="1:44">
      <c r="A10571" s="4" t="s">
        <v>10753</v>
      </c>
      <c r="B10571" s="4">
        <v>225264</v>
      </c>
      <c r="D10571" s="5" t="s">
        <v>13705</v>
      </c>
      <c r="E10571" s="6" t="str">
        <f>HYPERLINK("https://inpn.mnhn.fr/espece/cd_nom/225264","Dolichopus notatus Stæger, 1842")</f>
        <v>Dolichopus notatus Stæger, 1842</v>
      </c>
      <c r="AH10571" s="4" t="str">
        <f>HYPERLINK("#Statut_biogéographique!A"&amp;_xlfn.XMATCH("P",Statut_biogéographique!A:A,2,1),"P")</f>
        <v>P</v>
      </c>
      <c r="AP10571" s="4" t="s">
        <v>376</v>
      </c>
      <c r="AR10571" s="4" t="s">
        <v>377</v>
      </c>
    </row>
    <row r="10572" spans="1:44">
      <c r="A10572" s="4" t="s">
        <v>10753</v>
      </c>
      <c r="B10572" s="4">
        <v>225267</v>
      </c>
      <c r="D10572" s="5">
        <v>225267</v>
      </c>
      <c r="E10572" s="6" t="str">
        <f>HYPERLINK("https://inpn.mnhn.fr/espece/cd_nom/225267","Dolichopus pectinitarsis Stenhammar, 1852")</f>
        <v>Dolichopus pectinitarsis Stenhammar, 1852</v>
      </c>
      <c r="AH10572" s="4" t="str">
        <f>HYPERLINK("#Statut_biogéographique!A"&amp;_xlfn.XMATCH("P",Statut_biogéographique!A:A,2,1),"P")</f>
        <v>P</v>
      </c>
      <c r="AP10572" s="4" t="s">
        <v>376</v>
      </c>
      <c r="AR10572" s="4" t="s">
        <v>377</v>
      </c>
    </row>
    <row r="10573" spans="1:44">
      <c r="A10573" s="4" t="s">
        <v>10753</v>
      </c>
      <c r="B10573" s="4">
        <v>225268</v>
      </c>
      <c r="D10573" s="5" t="s">
        <v>13706</v>
      </c>
      <c r="E10573" s="6" t="str">
        <f>HYPERLINK("https://inpn.mnhn.fr/espece/cd_nom/225268","Dolichopus pennatus Meigen, 1824")</f>
        <v>Dolichopus pennatus Meigen, 1824</v>
      </c>
      <c r="AH10573" s="4" t="str">
        <f>HYPERLINK("#Statut_biogéographique!A"&amp;_xlfn.XMATCH("P",Statut_biogéographique!A:A,2,1),"P")</f>
        <v>P</v>
      </c>
      <c r="AP10573" s="4" t="s">
        <v>376</v>
      </c>
      <c r="AR10573" s="4" t="s">
        <v>377</v>
      </c>
    </row>
    <row r="10574" spans="1:44">
      <c r="A10574" s="4" t="s">
        <v>10753</v>
      </c>
      <c r="B10574" s="4">
        <v>22527</v>
      </c>
      <c r="D10574" s="5" t="s">
        <v>13707</v>
      </c>
      <c r="E10574" s="6" t="str">
        <f>HYPERLINK("https://inpn.mnhn.fr/espece/cd_nom/22527","Dioctria oelandica (Linnaeus, 1758)")</f>
        <v>Dioctria oelandica (Linnaeus, 1758)</v>
      </c>
      <c r="AH10574" s="4" t="str">
        <f>HYPERLINK("#Statut_biogéographique!A"&amp;_xlfn.XMATCH("P",Statut_biogéographique!A:A,2,1),"P")</f>
        <v>P</v>
      </c>
      <c r="AP10574" s="4" t="s">
        <v>376</v>
      </c>
      <c r="AR10574" s="4" t="s">
        <v>377</v>
      </c>
    </row>
    <row r="10575" spans="1:44">
      <c r="A10575" s="4" t="s">
        <v>10753</v>
      </c>
      <c r="B10575" s="4">
        <v>225270</v>
      </c>
      <c r="D10575" s="5" t="s">
        <v>13708</v>
      </c>
      <c r="E10575" s="6" t="str">
        <f>HYPERLINK("https://inpn.mnhn.fr/espece/cd_nom/225270","Dolichopus picipes Meigen, 1824")</f>
        <v>Dolichopus picipes Meigen, 1824</v>
      </c>
      <c r="AH10575" s="4" t="str">
        <f>HYPERLINK("#Statut_biogéographique!A"&amp;_xlfn.XMATCH("P",Statut_biogéographique!A:A,2,1),"P")</f>
        <v>P</v>
      </c>
      <c r="AP10575" s="4" t="s">
        <v>376</v>
      </c>
      <c r="AR10575" s="4" t="s">
        <v>377</v>
      </c>
    </row>
    <row r="10576" spans="1:44">
      <c r="A10576" s="4" t="s">
        <v>10753</v>
      </c>
      <c r="B10576" s="4">
        <v>225271</v>
      </c>
      <c r="D10576" s="5" t="s">
        <v>13709</v>
      </c>
      <c r="E10576" s="6" t="str">
        <f>HYPERLINK("https://inpn.mnhn.fr/espece/cd_nom/225271","Dolichopus planitarsis Fallén, 1823")</f>
        <v>Dolichopus planitarsis Fallén, 1823</v>
      </c>
      <c r="AH10576" s="4" t="str">
        <f>HYPERLINK("#Statut_biogéographique!A"&amp;_xlfn.XMATCH("P",Statut_biogéographique!A:A,2,1),"P")</f>
        <v>P</v>
      </c>
      <c r="AP10576" s="4" t="s">
        <v>376</v>
      </c>
      <c r="AR10576" s="4" t="s">
        <v>377</v>
      </c>
    </row>
    <row r="10577" spans="1:44">
      <c r="A10577" s="4" t="s">
        <v>10753</v>
      </c>
      <c r="B10577" s="4">
        <v>225272</v>
      </c>
      <c r="D10577" s="5" t="s">
        <v>13710</v>
      </c>
      <c r="E10577" s="6" t="str">
        <f>HYPERLINK("https://inpn.mnhn.fr/espece/cd_nom/225272","Dolichopus plumipes (Scopoli, 1763)")</f>
        <v>Dolichopus plumipes (Scopoli, 1763)</v>
      </c>
      <c r="AH10577" s="4" t="str">
        <f>HYPERLINK("#Statut_biogéographique!A"&amp;_xlfn.XMATCH("P",Statut_biogéographique!A:A,2,1),"P")</f>
        <v>P</v>
      </c>
      <c r="AP10577" s="4" t="s">
        <v>376</v>
      </c>
      <c r="AR10577" s="4" t="s">
        <v>377</v>
      </c>
    </row>
    <row r="10578" spans="1:44">
      <c r="A10578" s="4" t="s">
        <v>10753</v>
      </c>
      <c r="B10578" s="4">
        <v>225273</v>
      </c>
      <c r="D10578" s="5" t="s">
        <v>13711</v>
      </c>
      <c r="E10578" s="6" t="str">
        <f>HYPERLINK("https://inpn.mnhn.fr/espece/cd_nom/225273","Dolichopus popularis Wiedemann, 1817")</f>
        <v>Dolichopus popularis Wiedemann, 1817</v>
      </c>
      <c r="AH10578" s="4" t="str">
        <f>HYPERLINK("#Statut_biogéographique!A"&amp;_xlfn.XMATCH("P",Statut_biogéographique!A:A,2,1),"P")</f>
        <v>P</v>
      </c>
      <c r="AP10578" s="4" t="s">
        <v>376</v>
      </c>
      <c r="AR10578" s="4" t="s">
        <v>377</v>
      </c>
    </row>
    <row r="10579" spans="1:44">
      <c r="A10579" s="4" t="s">
        <v>10753</v>
      </c>
      <c r="B10579" s="4">
        <v>225275</v>
      </c>
      <c r="D10579" s="5" t="s">
        <v>13712</v>
      </c>
      <c r="E10579" s="6" t="str">
        <f>HYPERLINK("https://inpn.mnhn.fr/espece/cd_nom/225275","Dolichopus rupestris Haliday, 1833")</f>
        <v>Dolichopus rupestris Haliday, 1833</v>
      </c>
      <c r="AH10579" s="4" t="str">
        <f>HYPERLINK("#Statut_biogéographique!A"&amp;_xlfn.XMATCH("P",Statut_biogéographique!A:A,2,1),"P")</f>
        <v>P</v>
      </c>
      <c r="AP10579" s="4" t="s">
        <v>376</v>
      </c>
      <c r="AR10579" s="4" t="s">
        <v>377</v>
      </c>
    </row>
    <row r="10580" spans="1:44">
      <c r="A10580" s="4" t="s">
        <v>10753</v>
      </c>
      <c r="B10580" s="4">
        <v>225279</v>
      </c>
      <c r="D10580" s="5" t="s">
        <v>13713</v>
      </c>
      <c r="E10580" s="6" t="str">
        <f>HYPERLINK("https://inpn.mnhn.fr/espece/cd_nom/225279","Dolichopus signatus Meigen, 1824")</f>
        <v>Dolichopus signatus Meigen, 1824</v>
      </c>
      <c r="AH10580" s="4" t="str">
        <f>HYPERLINK("#Statut_biogéographique!A"&amp;_xlfn.XMATCH("P",Statut_biogéographique!A:A,2,1),"P")</f>
        <v>P</v>
      </c>
      <c r="AP10580" s="4" t="s">
        <v>376</v>
      </c>
      <c r="AR10580" s="4" t="s">
        <v>377</v>
      </c>
    </row>
    <row r="10581" spans="1:44">
      <c r="A10581" s="4" t="s">
        <v>10753</v>
      </c>
      <c r="B10581" s="4">
        <v>225281</v>
      </c>
      <c r="D10581" s="5" t="s">
        <v>13714</v>
      </c>
      <c r="E10581" s="6" t="str">
        <f>HYPERLINK("https://inpn.mnhn.fr/espece/cd_nom/225281","Dolichopus simplex Meigen, 1824")</f>
        <v>Dolichopus simplex Meigen, 1824</v>
      </c>
      <c r="AH10581" s="4" t="str">
        <f>HYPERLINK("#Statut_biogéographique!A"&amp;_xlfn.XMATCH("P",Statut_biogéographique!A:A,2,1),"P")</f>
        <v>P</v>
      </c>
      <c r="AP10581" s="4" t="s">
        <v>376</v>
      </c>
      <c r="AR10581" s="4" t="s">
        <v>377</v>
      </c>
    </row>
    <row r="10582" spans="1:44">
      <c r="A10582" s="4" t="s">
        <v>10753</v>
      </c>
      <c r="B10582" s="4">
        <v>225285</v>
      </c>
      <c r="D10582" s="5" t="s">
        <v>13715</v>
      </c>
      <c r="E10582" s="6" t="str">
        <f>HYPERLINK("https://inpn.mnhn.fr/espece/cd_nom/225285","Dolichopus tanythrix Loew, 1869")</f>
        <v>Dolichopus tanythrix Loew, 1869</v>
      </c>
      <c r="AH10582" s="4" t="str">
        <f>HYPERLINK("#Statut_biogéographique!A"&amp;_xlfn.XMATCH("P",Statut_biogéographique!A:A,2,1),"P")</f>
        <v>P</v>
      </c>
      <c r="AP10582" s="4" t="s">
        <v>376</v>
      </c>
      <c r="AR10582" s="4" t="s">
        <v>377</v>
      </c>
    </row>
    <row r="10583" spans="1:44">
      <c r="A10583" s="4" t="s">
        <v>10753</v>
      </c>
      <c r="B10583" s="4">
        <v>225286</v>
      </c>
      <c r="D10583" s="5" t="s">
        <v>13716</v>
      </c>
      <c r="E10583" s="6" t="str">
        <f>HYPERLINK("https://inpn.mnhn.fr/espece/cd_nom/225286","Dolichopus trivialis Haliday, 1832")</f>
        <v>Dolichopus trivialis Haliday, 1832</v>
      </c>
      <c r="AH10583" s="4" t="str">
        <f>HYPERLINK("#Statut_biogéographique!A"&amp;_xlfn.XMATCH("P",Statut_biogéographique!A:A,2,1),"P")</f>
        <v>P</v>
      </c>
      <c r="AP10583" s="4" t="s">
        <v>376</v>
      </c>
      <c r="AR10583" s="4" t="s">
        <v>377</v>
      </c>
    </row>
    <row r="10584" spans="1:44" ht="30">
      <c r="A10584" s="4" t="s">
        <v>10753</v>
      </c>
      <c r="B10584" s="4">
        <v>225287</v>
      </c>
      <c r="D10584" s="5" t="s">
        <v>13717</v>
      </c>
      <c r="E10584" s="6" t="str">
        <f>HYPERLINK("https://inpn.mnhn.fr/espece/cd_nom/225287","Dolichopus ungulatus (Linnaeus, 1758)")</f>
        <v>Dolichopus ungulatus (Linnaeus, 1758)</v>
      </c>
      <c r="AH10584" s="4" t="str">
        <f>HYPERLINK("#Statut_biogéographique!A"&amp;_xlfn.XMATCH("P",Statut_biogéographique!A:A,2,1),"P")</f>
        <v>P</v>
      </c>
      <c r="AP10584" s="4" t="s">
        <v>376</v>
      </c>
      <c r="AR10584" s="4" t="s">
        <v>377</v>
      </c>
    </row>
    <row r="10585" spans="1:44">
      <c r="A10585" s="4" t="s">
        <v>10753</v>
      </c>
      <c r="B10585" s="4">
        <v>225289</v>
      </c>
      <c r="D10585" s="5" t="s">
        <v>13718</v>
      </c>
      <c r="E10585" s="6" t="str">
        <f>HYPERLINK("https://inpn.mnhn.fr/espece/cd_nom/225289","Dolichopus urbanus Meigen, 1824")</f>
        <v>Dolichopus urbanus Meigen, 1824</v>
      </c>
      <c r="AH10585" s="4" t="str">
        <f>HYPERLINK("#Statut_biogéographique!A"&amp;_xlfn.XMATCH("P",Statut_biogéographique!A:A,2,1),"P")</f>
        <v>P</v>
      </c>
      <c r="AP10585" s="4" t="s">
        <v>376</v>
      </c>
      <c r="AR10585" s="4" t="s">
        <v>377</v>
      </c>
    </row>
    <row r="10586" spans="1:44">
      <c r="A10586" s="4" t="s">
        <v>10753</v>
      </c>
      <c r="B10586" s="4">
        <v>22529</v>
      </c>
      <c r="D10586" s="5" t="s">
        <v>13719</v>
      </c>
      <c r="E10586" s="6" t="str">
        <f>HYPERLINK("https://inpn.mnhn.fr/espece/cd_nom/22529","Dioctria rufipes (De Geer, 1776)")</f>
        <v>Dioctria rufipes (De Geer, 1776)</v>
      </c>
      <c r="AH10586" s="4" t="str">
        <f>HYPERLINK("#Statut_biogéographique!A"&amp;_xlfn.XMATCH("P",Statut_biogéographique!A:A,2,1),"P")</f>
        <v>P</v>
      </c>
      <c r="AP10586" s="4" t="s">
        <v>376</v>
      </c>
      <c r="AR10586" s="4" t="s">
        <v>377</v>
      </c>
    </row>
    <row r="10587" spans="1:44">
      <c r="A10587" s="4" t="s">
        <v>10753</v>
      </c>
      <c r="B10587" s="4">
        <v>225291</v>
      </c>
      <c r="D10587" s="5" t="s">
        <v>13720</v>
      </c>
      <c r="E10587" s="6" t="str">
        <f>HYPERLINK("https://inpn.mnhn.fr/espece/cd_nom/225291","Dolichopus vitripennis Meigen, 1824")</f>
        <v>Dolichopus vitripennis Meigen, 1824</v>
      </c>
      <c r="AH10587" s="4" t="str">
        <f>HYPERLINK("#Statut_biogéographique!A"&amp;_xlfn.XMATCH("P",Statut_biogéographique!A:A,2,1),"P")</f>
        <v>P</v>
      </c>
      <c r="AP10587" s="4" t="s">
        <v>376</v>
      </c>
      <c r="AR10587" s="4" t="s">
        <v>377</v>
      </c>
    </row>
    <row r="10588" spans="1:44">
      <c r="A10588" s="4" t="s">
        <v>10753</v>
      </c>
      <c r="B10588" s="4">
        <v>225292</v>
      </c>
      <c r="D10588" s="5" t="s">
        <v>13721</v>
      </c>
      <c r="E10588" s="6" t="str">
        <f>HYPERLINK("https://inpn.mnhn.fr/espece/cd_nom/225292","Dolichopus wahlbergi Zetterstedt, 1843")</f>
        <v>Dolichopus wahlbergi Zetterstedt, 1843</v>
      </c>
      <c r="AH10588" s="4" t="str">
        <f>HYPERLINK("#Statut_biogéographique!A"&amp;_xlfn.XMATCH("P",Statut_biogéographique!A:A,2,1),"P")</f>
        <v>P</v>
      </c>
      <c r="AP10588" s="4" t="s">
        <v>376</v>
      </c>
      <c r="AR10588" s="4" t="s">
        <v>377</v>
      </c>
    </row>
    <row r="10589" spans="1:44">
      <c r="A10589" s="4" t="s">
        <v>10753</v>
      </c>
      <c r="B10589" s="4">
        <v>225297</v>
      </c>
      <c r="D10589" s="5" t="s">
        <v>13722</v>
      </c>
      <c r="E10589" s="6" t="str">
        <f>HYPERLINK("https://inpn.mnhn.fr/espece/cd_nom/225297","Gymnopternus aerosus (Fallén, 1823)")</f>
        <v>Gymnopternus aerosus (Fallén, 1823)</v>
      </c>
      <c r="AH10589" s="4" t="str">
        <f>HYPERLINK("#Statut_biogéographique!A"&amp;_xlfn.XMATCH("P",Statut_biogéographique!A:A,2,1),"P")</f>
        <v>P</v>
      </c>
      <c r="AP10589" s="4" t="s">
        <v>376</v>
      </c>
      <c r="AR10589" s="4" t="s">
        <v>377</v>
      </c>
    </row>
    <row r="10590" spans="1:44">
      <c r="A10590" s="4" t="s">
        <v>10753</v>
      </c>
      <c r="B10590" s="4">
        <v>225298</v>
      </c>
      <c r="D10590" s="5" t="s">
        <v>13723</v>
      </c>
      <c r="E10590" s="6" t="str">
        <f>HYPERLINK("https://inpn.mnhn.fr/espece/cd_nom/225298","Gymnopternus angustifrons (Stæger, 1842)")</f>
        <v>Gymnopternus angustifrons (Stæger, 1842)</v>
      </c>
      <c r="AH10590" s="4" t="str">
        <f>HYPERLINK("#Statut_biogéographique!A"&amp;_xlfn.XMATCH("P",Statut_biogéographique!A:A,2,1),"P")</f>
        <v>P</v>
      </c>
      <c r="AP10590" s="4" t="s">
        <v>376</v>
      </c>
      <c r="AR10590" s="4" t="s">
        <v>377</v>
      </c>
    </row>
    <row r="10591" spans="1:44">
      <c r="A10591" s="4" t="s">
        <v>10753</v>
      </c>
      <c r="B10591" s="4">
        <v>225305</v>
      </c>
      <c r="D10591" s="5" t="s">
        <v>13724</v>
      </c>
      <c r="E10591" s="6" t="str">
        <f>HYPERLINK("https://inpn.mnhn.fr/espece/cd_nom/225305","Gymnopternus metallicus (Stannius, 1831)")</f>
        <v>Gymnopternus metallicus (Stannius, 1831)</v>
      </c>
      <c r="AH10591" s="4" t="str">
        <f>HYPERLINK("#Statut_biogéographique!A"&amp;_xlfn.XMATCH("P",Statut_biogéographique!A:A,2,1),"P")</f>
        <v>P</v>
      </c>
      <c r="AP10591" s="4" t="s">
        <v>376</v>
      </c>
      <c r="AR10591" s="4" t="s">
        <v>377</v>
      </c>
    </row>
    <row r="10592" spans="1:44">
      <c r="A10592" s="4" t="s">
        <v>10753</v>
      </c>
      <c r="B10592" s="4">
        <v>225306</v>
      </c>
      <c r="D10592" s="5">
        <v>225306</v>
      </c>
      <c r="E10592" s="6" t="str">
        <f>HYPERLINK("https://inpn.mnhn.fr/espece/cd_nom/225306","Gymnopternus silvestris Pollet, 1990")</f>
        <v>Gymnopternus silvestris Pollet, 1990</v>
      </c>
      <c r="AH10592" s="4" t="str">
        <f>HYPERLINK("#Statut_biogéographique!A"&amp;_xlfn.XMATCH("P",Statut_biogéographique!A:A,2,1),"P")</f>
        <v>P</v>
      </c>
      <c r="AP10592" s="4" t="s">
        <v>376</v>
      </c>
      <c r="AR10592" s="4" t="s">
        <v>377</v>
      </c>
    </row>
    <row r="10593" spans="1:44" ht="30">
      <c r="A10593" s="4" t="s">
        <v>10753</v>
      </c>
      <c r="B10593" s="4">
        <v>225323</v>
      </c>
      <c r="D10593" s="5" t="s">
        <v>13725</v>
      </c>
      <c r="E10593" s="6" t="str">
        <f>HYPERLINK("https://inpn.mnhn.fr/espece/cd_nom/225323","Hercostomus nigrilamellatus (Macquart, 1827)")</f>
        <v>Hercostomus nigrilamellatus (Macquart, 1827)</v>
      </c>
      <c r="AH10593" s="4" t="str">
        <f>HYPERLINK("#Statut_biogéographique!A"&amp;_xlfn.XMATCH("P",Statut_biogéographique!A:A,2,1),"P")</f>
        <v>P</v>
      </c>
      <c r="AP10593" s="4" t="s">
        <v>376</v>
      </c>
      <c r="AR10593" s="4" t="s">
        <v>377</v>
      </c>
    </row>
    <row r="10594" spans="1:44">
      <c r="A10594" s="4" t="s">
        <v>10753</v>
      </c>
      <c r="B10594" s="4">
        <v>225343</v>
      </c>
      <c r="D10594" s="5">
        <v>225343</v>
      </c>
      <c r="E10594" s="6" t="str">
        <f>HYPERLINK("https://inpn.mnhn.fr/espece/cd_nom/225343","Medetera glauca Loew, 1869")</f>
        <v>Medetera glauca Loew, 1869</v>
      </c>
      <c r="AH10594" s="4" t="str">
        <f>HYPERLINK("#Statut_biogéographique!A"&amp;_xlfn.XMATCH("P",Statut_biogéographique!A:A,2,1),"P")</f>
        <v>P</v>
      </c>
      <c r="AP10594" s="4" t="s">
        <v>376</v>
      </c>
      <c r="AR10594" s="4" t="s">
        <v>377</v>
      </c>
    </row>
    <row r="10595" spans="1:44">
      <c r="A10595" s="4" t="s">
        <v>10753</v>
      </c>
      <c r="B10595" s="4">
        <v>225348</v>
      </c>
      <c r="D10595" s="5" t="s">
        <v>13726</v>
      </c>
      <c r="E10595" s="6" t="str">
        <f>HYPERLINK("https://inpn.mnhn.fr/espece/cd_nom/225348","Medetera murina Becker, 1917")</f>
        <v>Medetera murina Becker, 1917</v>
      </c>
      <c r="AH10595" s="4" t="str">
        <f>HYPERLINK("#Statut_biogéographique!A"&amp;_xlfn.XMATCH("P",Statut_biogéographique!A:A,2,1),"P")</f>
        <v>P</v>
      </c>
      <c r="AP10595" s="4" t="s">
        <v>376</v>
      </c>
      <c r="AR10595" s="4" t="s">
        <v>377</v>
      </c>
    </row>
    <row r="10596" spans="1:44">
      <c r="A10596" s="4" t="s">
        <v>10753</v>
      </c>
      <c r="B10596" s="4">
        <v>225351</v>
      </c>
      <c r="D10596" s="5">
        <v>225351</v>
      </c>
      <c r="E10596" s="6" t="str">
        <f>HYPERLINK("https://inpn.mnhn.fr/espece/cd_nom/225351","Medetera tenuicauda Loew, 1857")</f>
        <v>Medetera tenuicauda Loew, 1857</v>
      </c>
      <c r="AH10596" s="4" t="str">
        <f>HYPERLINK("#Statut_biogéographique!A"&amp;_xlfn.XMATCH("P",Statut_biogéographique!A:A,2,1),"P")</f>
        <v>P</v>
      </c>
      <c r="AP10596" s="4" t="s">
        <v>376</v>
      </c>
      <c r="AR10596" s="4" t="s">
        <v>377</v>
      </c>
    </row>
    <row r="10597" spans="1:44">
      <c r="A10597" s="4" t="s">
        <v>10753</v>
      </c>
      <c r="B10597" s="4">
        <v>225360</v>
      </c>
      <c r="D10597" s="5" t="s">
        <v>13727</v>
      </c>
      <c r="E10597" s="6" t="str">
        <f>HYPERLINK("https://inpn.mnhn.fr/espece/cd_nom/225360","Rhaphium albomaculatum (Becker, 1891)")</f>
        <v>Rhaphium albomaculatum (Becker, 1891)</v>
      </c>
      <c r="AH10597" s="4" t="str">
        <f>HYPERLINK("#Statut_biogéographique!A"&amp;_xlfn.XMATCH("P",Statut_biogéographique!A:A,2,1),"P")</f>
        <v>P</v>
      </c>
      <c r="AP10597" s="4" t="s">
        <v>376</v>
      </c>
      <c r="AR10597" s="4" t="s">
        <v>377</v>
      </c>
    </row>
    <row r="10598" spans="1:44">
      <c r="A10598" s="4" t="s">
        <v>10753</v>
      </c>
      <c r="B10598" s="4">
        <v>225373</v>
      </c>
      <c r="D10598" s="5">
        <v>225373</v>
      </c>
      <c r="E10598" s="6" t="str">
        <f>HYPERLINK("https://inpn.mnhn.fr/espece/cd_nom/225373","Sciapus heteropygus Parent, 1926")</f>
        <v>Sciapus heteropygus Parent, 1926</v>
      </c>
      <c r="AH10598" s="4" t="str">
        <f>HYPERLINK("#Statut_biogéographique!A"&amp;_xlfn.XMATCH("P",Statut_biogéographique!A:A,2,1),"P")</f>
        <v>P</v>
      </c>
      <c r="AP10598" s="4" t="s">
        <v>376</v>
      </c>
      <c r="AR10598" s="4" t="s">
        <v>377</v>
      </c>
    </row>
    <row r="10599" spans="1:44">
      <c r="A10599" s="4" t="s">
        <v>10753</v>
      </c>
      <c r="B10599" s="4">
        <v>225383</v>
      </c>
      <c r="D10599" s="5" t="s">
        <v>13728</v>
      </c>
      <c r="E10599" s="6" t="str">
        <f>HYPERLINK("https://inpn.mnhn.fr/espece/cd_nom/225383","Sybistroma obscurellum (Fallén, 1823)")</f>
        <v>Sybistroma obscurellum (Fallén, 1823)</v>
      </c>
      <c r="AH10599" s="4" t="str">
        <f>HYPERLINK("#Statut_biogéographique!A"&amp;_xlfn.XMATCH("P",Statut_biogéographique!A:A,2,1),"P")</f>
        <v>P</v>
      </c>
      <c r="AP10599" s="4" t="s">
        <v>376</v>
      </c>
      <c r="AR10599" s="4" t="s">
        <v>377</v>
      </c>
    </row>
    <row r="10600" spans="1:44">
      <c r="A10600" s="4" t="s">
        <v>10753</v>
      </c>
      <c r="B10600" s="4">
        <v>225390</v>
      </c>
      <c r="D10600" s="5" t="s">
        <v>13729</v>
      </c>
      <c r="E10600" s="6" t="str">
        <f>HYPERLINK("https://inpn.mnhn.fr/espece/cd_nom/225390","Syntormon bicolorellum (Zetterstedt, 1843)")</f>
        <v>Syntormon bicolorellum (Zetterstedt, 1843)</v>
      </c>
      <c r="AH10600" s="4" t="str">
        <f>HYPERLINK("#Statut_biogéographique!A"&amp;_xlfn.XMATCH("P",Statut_biogéographique!A:A,2,1),"P")</f>
        <v>P</v>
      </c>
      <c r="AP10600" s="4" t="s">
        <v>376</v>
      </c>
      <c r="AR10600" s="4" t="s">
        <v>377</v>
      </c>
    </row>
    <row r="10601" spans="1:44" ht="30">
      <c r="A10601" s="4" t="s">
        <v>10753</v>
      </c>
      <c r="B10601" s="4">
        <v>225391</v>
      </c>
      <c r="D10601" s="5" t="s">
        <v>13730</v>
      </c>
      <c r="E10601" s="6" t="str">
        <f>HYPERLINK("https://inpn.mnhn.fr/espece/cd_nom/225391","Syntormon denticulatum (Zetterstedt, 1843)")</f>
        <v>Syntormon denticulatum (Zetterstedt, 1843)</v>
      </c>
      <c r="AH10601" s="4" t="str">
        <f>HYPERLINK("#Statut_biogéographique!A"&amp;_xlfn.XMATCH("P",Statut_biogéographique!A:A,2,1),"P")</f>
        <v>P</v>
      </c>
      <c r="AP10601" s="4" t="s">
        <v>376</v>
      </c>
      <c r="AR10601" s="4" t="s">
        <v>377</v>
      </c>
    </row>
    <row r="10602" spans="1:44" ht="30">
      <c r="A10602" s="4" t="s">
        <v>10753</v>
      </c>
      <c r="B10602" s="4">
        <v>225401</v>
      </c>
      <c r="D10602" s="5" t="s">
        <v>13731</v>
      </c>
      <c r="E10602" s="6" t="str">
        <f>HYPERLINK("https://inpn.mnhn.fr/espece/cd_nom/225401","Syntormon tarsatum (Fallén, 1823)")</f>
        <v>Syntormon tarsatum (Fallén, 1823)</v>
      </c>
      <c r="AH10602" s="4" t="str">
        <f>HYPERLINK("#Statut_biogéographique!A"&amp;_xlfn.XMATCH("P",Statut_biogéographique!A:A,2,1),"P")</f>
        <v>P</v>
      </c>
      <c r="AP10602" s="4" t="s">
        <v>376</v>
      </c>
      <c r="AR10602" s="4" t="s">
        <v>377</v>
      </c>
    </row>
    <row r="10603" spans="1:44">
      <c r="A10603" s="4" t="s">
        <v>10753</v>
      </c>
      <c r="B10603" s="4">
        <v>225424</v>
      </c>
      <c r="D10603" s="5">
        <v>225424</v>
      </c>
      <c r="E10603" s="6" t="str">
        <f>HYPERLINK("https://inpn.mnhn.fr/espece/cd_nom/225424","Hilara fulvibarba Strobl, 1899")</f>
        <v>Hilara fulvibarba Strobl, 1899</v>
      </c>
      <c r="AH10603" s="4" t="str">
        <f>HYPERLINK("#Statut_biogéographique!A"&amp;_xlfn.XMATCH("P",Statut_biogéographique!A:A,2,1),"P")</f>
        <v>P</v>
      </c>
      <c r="AP10603" s="4" t="s">
        <v>376</v>
      </c>
      <c r="AR10603" s="4" t="s">
        <v>377</v>
      </c>
    </row>
    <row r="10604" spans="1:44">
      <c r="A10604" s="4" t="s">
        <v>10753</v>
      </c>
      <c r="B10604" s="4">
        <v>225425</v>
      </c>
      <c r="D10604" s="5">
        <v>225425</v>
      </c>
      <c r="E10604" s="6" t="str">
        <f>HYPERLINK("https://inpn.mnhn.fr/espece/cd_nom/225425","Hilara galactoptera Strobl, 1910")</f>
        <v>Hilara galactoptera Strobl, 1910</v>
      </c>
      <c r="AH10604" s="4" t="str">
        <f>HYPERLINK("#Statut_biogéographique!A"&amp;_xlfn.XMATCH("P",Statut_biogéographique!A:A,2,1),"P")</f>
        <v>P</v>
      </c>
      <c r="AP10604" s="4" t="s">
        <v>376</v>
      </c>
      <c r="AR10604" s="4" t="s">
        <v>377</v>
      </c>
    </row>
    <row r="10605" spans="1:44">
      <c r="A10605" s="4" t="s">
        <v>10753</v>
      </c>
      <c r="B10605" s="4">
        <v>225436</v>
      </c>
      <c r="D10605" s="5">
        <v>225436</v>
      </c>
      <c r="E10605" s="6" t="str">
        <f>HYPERLINK("https://inpn.mnhn.fr/espece/cd_nom/225436","Hilara nitidula Zetterstedt, 1838")</f>
        <v>Hilara nitidula Zetterstedt, 1838</v>
      </c>
      <c r="AH10605" s="4" t="str">
        <f>HYPERLINK("#Statut_biogéographique!A"&amp;_xlfn.XMATCH("P",Statut_biogéographique!A:A,2,1),"P")</f>
        <v>P</v>
      </c>
      <c r="AP10605" s="4" t="s">
        <v>376</v>
      </c>
      <c r="AR10605" s="4" t="s">
        <v>377</v>
      </c>
    </row>
    <row r="10606" spans="1:44">
      <c r="A10606" s="4" t="s">
        <v>10753</v>
      </c>
      <c r="B10606" s="4">
        <v>225439</v>
      </c>
      <c r="D10606" s="5">
        <v>225439</v>
      </c>
      <c r="E10606" s="6" t="str">
        <f>HYPERLINK("https://inpn.mnhn.fr/espece/cd_nom/225439","Hilara quadrula Chvála, 2002")</f>
        <v>Hilara quadrula Chvála, 2002</v>
      </c>
      <c r="AH10606" s="4" t="str">
        <f>HYPERLINK("#Statut_biogéographique!A"&amp;_xlfn.XMATCH("P",Statut_biogéographique!A:A,2,1),"P")</f>
        <v>P</v>
      </c>
      <c r="AP10606" s="4" t="s">
        <v>376</v>
      </c>
      <c r="AR10606" s="4" t="s">
        <v>377</v>
      </c>
    </row>
    <row r="10607" spans="1:44">
      <c r="A10607" s="4" t="s">
        <v>10753</v>
      </c>
      <c r="B10607" s="4">
        <v>22544</v>
      </c>
      <c r="D10607" s="5" t="s">
        <v>13732</v>
      </c>
      <c r="E10607" s="6" t="str">
        <f>HYPERLINK("https://inpn.mnhn.fr/espece/cd_nom/22544","Eutolmus rufibarbis (Meigen, 1820)")</f>
        <v>Eutolmus rufibarbis (Meigen, 1820)</v>
      </c>
      <c r="AH10607" s="4" t="str">
        <f>HYPERLINK("#Statut_biogéographique!A"&amp;_xlfn.XMATCH("P",Statut_biogéographique!A:A,2,1),"P")</f>
        <v>P</v>
      </c>
      <c r="AP10607" s="4" t="s">
        <v>376</v>
      </c>
      <c r="AR10607" s="4" t="s">
        <v>377</v>
      </c>
    </row>
    <row r="10608" spans="1:44">
      <c r="A10608" s="4" t="s">
        <v>10753</v>
      </c>
      <c r="B10608" s="4">
        <v>225445</v>
      </c>
      <c r="D10608" s="5" t="s">
        <v>13733</v>
      </c>
      <c r="E10608" s="6" t="str">
        <f>HYPERLINK("https://inpn.mnhn.fr/espece/cd_nom/225445","Empis ciliata Fabricius, 1787")</f>
        <v>Empis ciliata Fabricius, 1787</v>
      </c>
      <c r="AH10608" s="4" t="str">
        <f>HYPERLINK("#Statut_biogéographique!A"&amp;_xlfn.XMATCH("P",Statut_biogéographique!A:A,2,1),"P")</f>
        <v>P</v>
      </c>
      <c r="AP10608" s="4" t="s">
        <v>376</v>
      </c>
      <c r="AR10608" s="4" t="s">
        <v>377</v>
      </c>
    </row>
    <row r="10609" spans="1:44">
      <c r="A10609" s="4" t="s">
        <v>10753</v>
      </c>
      <c r="B10609" s="4">
        <v>225446</v>
      </c>
      <c r="D10609" s="5" t="s">
        <v>13734</v>
      </c>
      <c r="E10609" s="6" t="str">
        <f>HYPERLINK("https://inpn.mnhn.fr/espece/cd_nom/225446","Empis tessellata Fabricius, 1794")</f>
        <v>Empis tessellata Fabricius, 1794</v>
      </c>
      <c r="F10609" s="5" t="s">
        <v>13735</v>
      </c>
      <c r="AH10609" s="4" t="str">
        <f>HYPERLINK("#Statut_biogéographique!A"&amp;_xlfn.XMATCH("P",Statut_biogéographique!A:A,2,1),"P")</f>
        <v>P</v>
      </c>
      <c r="AP10609" s="4" t="s">
        <v>376</v>
      </c>
      <c r="AR10609" s="4" t="s">
        <v>377</v>
      </c>
    </row>
    <row r="10610" spans="1:44">
      <c r="A10610" s="4" t="s">
        <v>10753</v>
      </c>
      <c r="B10610" s="4">
        <v>225447</v>
      </c>
      <c r="D10610" s="5" t="s">
        <v>13736</v>
      </c>
      <c r="E10610" s="6" t="str">
        <f>HYPERLINK("https://inpn.mnhn.fr/espece/cd_nom/225447","Empis femorata Fabricius, 1798")</f>
        <v>Empis femorata Fabricius, 1798</v>
      </c>
      <c r="AH10610" s="4" t="str">
        <f>HYPERLINK("#Statut_biogéographique!A"&amp;_xlfn.XMATCH("P",Statut_biogéographique!A:A,2,1),"P")</f>
        <v>P</v>
      </c>
      <c r="AP10610" s="4" t="s">
        <v>376</v>
      </c>
      <c r="AR10610" s="4" t="s">
        <v>377</v>
      </c>
    </row>
    <row r="10611" spans="1:44">
      <c r="A10611" s="4" t="s">
        <v>10753</v>
      </c>
      <c r="B10611" s="4">
        <v>225453</v>
      </c>
      <c r="D10611" s="5" t="s">
        <v>13737</v>
      </c>
      <c r="E10611" s="6" t="str">
        <f>HYPERLINK("https://inpn.mnhn.fr/espece/cd_nom/225453","Empis bistortae Meigen, 1822")</f>
        <v>Empis bistortae Meigen, 1822</v>
      </c>
      <c r="AH10611" s="4" t="str">
        <f>HYPERLINK("#Statut_biogéographique!A"&amp;_xlfn.XMATCH("P",Statut_biogéographique!A:A,2,1),"P")</f>
        <v>P</v>
      </c>
      <c r="AP10611" s="4" t="s">
        <v>376</v>
      </c>
      <c r="AR10611" s="4" t="s">
        <v>377</v>
      </c>
    </row>
    <row r="10612" spans="1:44">
      <c r="A10612" s="4" t="s">
        <v>10753</v>
      </c>
      <c r="B10612" s="4">
        <v>225454</v>
      </c>
      <c r="D10612" s="5">
        <v>225454</v>
      </c>
      <c r="E10612" s="6" t="str">
        <f>HYPERLINK("https://inpn.mnhn.fr/espece/cd_nom/225454","Empis nitida Meigen, 1804")</f>
        <v>Empis nitida Meigen, 1804</v>
      </c>
      <c r="AH10612" s="4" t="str">
        <f>HYPERLINK("#Statut_biogéographique!A"&amp;_xlfn.XMATCH("P",Statut_biogéographique!A:A,2,1),"P")</f>
        <v>P</v>
      </c>
      <c r="AP10612" s="4" t="s">
        <v>376</v>
      </c>
      <c r="AR10612" s="4" t="s">
        <v>377</v>
      </c>
    </row>
    <row r="10613" spans="1:44">
      <c r="A10613" s="4" t="s">
        <v>10753</v>
      </c>
      <c r="B10613" s="4">
        <v>225455</v>
      </c>
      <c r="D10613" s="5" t="s">
        <v>13738</v>
      </c>
      <c r="E10613" s="6" t="str">
        <f>HYPERLINK("https://inpn.mnhn.fr/espece/cd_nom/225455","Empis borealis Linnaeus, 1758")</f>
        <v>Empis borealis Linnaeus, 1758</v>
      </c>
      <c r="AH10613" s="4" t="str">
        <f>HYPERLINK("#Statut_biogéographique!A"&amp;_xlfn.XMATCH("P",Statut_biogéographique!A:A,2,1),"P")</f>
        <v>P</v>
      </c>
      <c r="AP10613" s="4" t="s">
        <v>376</v>
      </c>
      <c r="AR10613" s="4" t="s">
        <v>377</v>
      </c>
    </row>
    <row r="10614" spans="1:44">
      <c r="A10614" s="4" t="s">
        <v>10753</v>
      </c>
      <c r="B10614" s="4">
        <v>225456</v>
      </c>
      <c r="D10614" s="5" t="s">
        <v>13739</v>
      </c>
      <c r="E10614" s="6" t="str">
        <f>HYPERLINK("https://inpn.mnhn.fr/espece/cd_nom/225456","Empis livida Linnaeus, 1758")</f>
        <v>Empis livida Linnaeus, 1758</v>
      </c>
      <c r="AH10614" s="4" t="str">
        <f>HYPERLINK("#Statut_biogéographique!A"&amp;_xlfn.XMATCH("P",Statut_biogéographique!A:A,2,1),"P")</f>
        <v>P</v>
      </c>
      <c r="AP10614" s="4" t="s">
        <v>376</v>
      </c>
      <c r="AR10614" s="4" t="s">
        <v>377</v>
      </c>
    </row>
    <row r="10615" spans="1:44">
      <c r="A10615" s="4" t="s">
        <v>10753</v>
      </c>
      <c r="B10615" s="4">
        <v>225459</v>
      </c>
      <c r="D10615" s="5">
        <v>225459</v>
      </c>
      <c r="E10615" s="6" t="str">
        <f>HYPERLINK("https://inpn.mnhn.fr/espece/cd_nom/225459","Empis confusa Loew, 1865")</f>
        <v>Empis confusa Loew, 1865</v>
      </c>
      <c r="AH10615" s="4" t="str">
        <f>HYPERLINK("#Statut_biogéographique!A"&amp;_xlfn.XMATCH("P",Statut_biogéographique!A:A,2,1),"P")</f>
        <v>P</v>
      </c>
      <c r="AP10615" s="4" t="s">
        <v>376</v>
      </c>
      <c r="AR10615" s="4" t="s">
        <v>377</v>
      </c>
    </row>
    <row r="10616" spans="1:44">
      <c r="A10616" s="4" t="s">
        <v>10753</v>
      </c>
      <c r="B10616" s="4">
        <v>225461</v>
      </c>
      <c r="D10616" s="5" t="s">
        <v>13740</v>
      </c>
      <c r="E10616" s="6" t="str">
        <f>HYPERLINK("https://inpn.mnhn.fr/espece/cd_nom/225461","Empis maculata Fabricius, 1781")</f>
        <v>Empis maculata Fabricius, 1781</v>
      </c>
      <c r="AH10616" s="4" t="str">
        <f>HYPERLINK("#Statut_biogéographique!A"&amp;_xlfn.XMATCH("P",Statut_biogéographique!A:A,2,1),"P")</f>
        <v>P</v>
      </c>
      <c r="AP10616" s="4" t="s">
        <v>376</v>
      </c>
      <c r="AR10616" s="4" t="s">
        <v>377</v>
      </c>
    </row>
    <row r="10617" spans="1:44">
      <c r="A10617" s="4" t="s">
        <v>10753</v>
      </c>
      <c r="B10617" s="4">
        <v>225462</v>
      </c>
      <c r="D10617" s="5" t="s">
        <v>13741</v>
      </c>
      <c r="E10617" s="6" t="str">
        <f>HYPERLINK("https://inpn.mnhn.fr/espece/cd_nom/225462","Empis nigricans Meigen, 1804")</f>
        <v>Empis nigricans Meigen, 1804</v>
      </c>
      <c r="AH10617" s="4" t="str">
        <f>HYPERLINK("#Statut_biogéographique!A"&amp;_xlfn.XMATCH("P",Statut_biogéographique!A:A,2,1),"P")</f>
        <v>P</v>
      </c>
      <c r="AP10617" s="4" t="s">
        <v>376</v>
      </c>
      <c r="AR10617" s="4" t="s">
        <v>377</v>
      </c>
    </row>
    <row r="10618" spans="1:44">
      <c r="A10618" s="4" t="s">
        <v>10753</v>
      </c>
      <c r="B10618" s="4">
        <v>225465</v>
      </c>
      <c r="D10618" s="5" t="s">
        <v>13742</v>
      </c>
      <c r="E10618" s="6" t="str">
        <f>HYPERLINK("https://inpn.mnhn.fr/espece/cd_nom/225465","Empis caudatula Loew, 1867")</f>
        <v>Empis caudatula Loew, 1867</v>
      </c>
      <c r="AH10618" s="4" t="str">
        <f>HYPERLINK("#Statut_biogéographique!A"&amp;_xlfn.XMATCH("P",Statut_biogéographique!A:A,2,1),"P")</f>
        <v>P</v>
      </c>
      <c r="AP10618" s="4" t="s">
        <v>376</v>
      </c>
      <c r="AR10618" s="4" t="s">
        <v>377</v>
      </c>
    </row>
    <row r="10619" spans="1:44">
      <c r="A10619" s="4" t="s">
        <v>10753</v>
      </c>
      <c r="B10619" s="4">
        <v>225466</v>
      </c>
      <c r="D10619" s="5" t="s">
        <v>13743</v>
      </c>
      <c r="E10619" s="6" t="str">
        <f>HYPERLINK("https://inpn.mnhn.fr/espece/cd_nom/225466","Empis chioptera Meigen, 1804")</f>
        <v>Empis chioptera Meigen, 1804</v>
      </c>
      <c r="AH10619" s="4" t="str">
        <f>HYPERLINK("#Statut_biogéographique!A"&amp;_xlfn.XMATCH("P",Statut_biogéographique!A:A,2,1),"P")</f>
        <v>P</v>
      </c>
      <c r="AP10619" s="4" t="s">
        <v>376</v>
      </c>
      <c r="AR10619" s="4" t="s">
        <v>377</v>
      </c>
    </row>
    <row r="10620" spans="1:44">
      <c r="A10620" s="4" t="s">
        <v>10753</v>
      </c>
      <c r="B10620" s="4">
        <v>225467</v>
      </c>
      <c r="D10620" s="5">
        <v>225467</v>
      </c>
      <c r="E10620" s="6" t="str">
        <f>HYPERLINK("https://inpn.mnhn.fr/espece/cd_nom/225467","Empis ciliatopennata Strobl, 1893")</f>
        <v>Empis ciliatopennata Strobl, 1893</v>
      </c>
      <c r="AH10620" s="4" t="str">
        <f>HYPERLINK("#Statut_biogéographique!A"&amp;_xlfn.XMATCH("P",Statut_biogéographique!A:A,2,1),"P")</f>
        <v>P</v>
      </c>
      <c r="AP10620" s="4" t="s">
        <v>376</v>
      </c>
      <c r="AR10620" s="4" t="s">
        <v>377</v>
      </c>
    </row>
    <row r="10621" spans="1:44">
      <c r="A10621" s="4" t="s">
        <v>10753</v>
      </c>
      <c r="B10621" s="4">
        <v>225471</v>
      </c>
      <c r="D10621" s="5" t="s">
        <v>13744</v>
      </c>
      <c r="E10621" s="6" t="str">
        <f>HYPERLINK("https://inpn.mnhn.fr/espece/cd_nom/225471","Empis nigripes Fabricius, 1794")</f>
        <v>Empis nigripes Fabricius, 1794</v>
      </c>
      <c r="AH10621" s="4" t="str">
        <f>HYPERLINK("#Statut_biogéographique!A"&amp;_xlfn.XMATCH("P",Statut_biogéographique!A:A,2,1),"P")</f>
        <v>P</v>
      </c>
      <c r="AP10621" s="4" t="s">
        <v>376</v>
      </c>
      <c r="AR10621" s="4" t="s">
        <v>377</v>
      </c>
    </row>
    <row r="10622" spans="1:44">
      <c r="A10622" s="4" t="s">
        <v>10753</v>
      </c>
      <c r="B10622" s="4">
        <v>225472</v>
      </c>
      <c r="D10622" s="5" t="s">
        <v>13745</v>
      </c>
      <c r="E10622" s="6" t="str">
        <f>HYPERLINK("https://inpn.mnhn.fr/espece/cd_nom/225472","Empis pennipes Linnaeus, 1758")</f>
        <v>Empis pennipes Linnaeus, 1758</v>
      </c>
      <c r="AH10622" s="4" t="str">
        <f>HYPERLINK("#Statut_biogéographique!A"&amp;_xlfn.XMATCH("P",Statut_biogéographique!A:A,2,1),"P")</f>
        <v>P</v>
      </c>
      <c r="AP10622" s="4" t="s">
        <v>376</v>
      </c>
      <c r="AR10622" s="4" t="s">
        <v>377</v>
      </c>
    </row>
    <row r="10623" spans="1:44">
      <c r="A10623" s="4" t="s">
        <v>10753</v>
      </c>
      <c r="B10623" s="4">
        <v>225474</v>
      </c>
      <c r="D10623" s="5" t="s">
        <v>13746</v>
      </c>
      <c r="E10623" s="6" t="str">
        <f>HYPERLINK("https://inpn.mnhn.fr/espece/cd_nom/225474","Empis praevia Collin, 1927")</f>
        <v>Empis praevia Collin, 1927</v>
      </c>
      <c r="AH10623" s="4" t="str">
        <f>HYPERLINK("#Statut_biogéographique!A"&amp;_xlfn.XMATCH("P",Statut_biogéographique!A:A,2,1),"P")</f>
        <v>P</v>
      </c>
      <c r="AP10623" s="4" t="s">
        <v>376</v>
      </c>
      <c r="AR10623" s="4" t="s">
        <v>377</v>
      </c>
    </row>
    <row r="10624" spans="1:44">
      <c r="A10624" s="4" t="s">
        <v>10753</v>
      </c>
      <c r="B10624" s="4">
        <v>225477</v>
      </c>
      <c r="D10624" s="5" t="s">
        <v>13747</v>
      </c>
      <c r="E10624" s="6" t="str">
        <f>HYPERLINK("https://inpn.mnhn.fr/espece/cd_nom/225477","Empis albinervis Meigen, 1822")</f>
        <v>Empis albinervis Meigen, 1822</v>
      </c>
      <c r="AH10624" s="4" t="str">
        <f>HYPERLINK("#Statut_biogéographique!A"&amp;_xlfn.XMATCH("P",Statut_biogéographique!A:A,2,1),"P")</f>
        <v>P</v>
      </c>
      <c r="AP10624" s="4" t="s">
        <v>376</v>
      </c>
      <c r="AR10624" s="4" t="s">
        <v>377</v>
      </c>
    </row>
    <row r="10625" spans="1:44">
      <c r="A10625" s="4" t="s">
        <v>10753</v>
      </c>
      <c r="B10625" s="4">
        <v>22548</v>
      </c>
      <c r="D10625" s="5" t="s">
        <v>13748</v>
      </c>
      <c r="E10625" s="6" t="str">
        <f>HYPERLINK("https://inpn.mnhn.fr/espece/cd_nom/22548","Holopogon nigripennis (Meigen, 1820)")</f>
        <v>Holopogon nigripennis (Meigen, 1820)</v>
      </c>
      <c r="AH10625" s="4" t="str">
        <f>HYPERLINK("#Statut_biogéographique!A"&amp;_xlfn.XMATCH("P",Statut_biogéographique!A:A,2,1),"P")</f>
        <v>P</v>
      </c>
      <c r="AP10625" s="4" t="s">
        <v>376</v>
      </c>
      <c r="AR10625" s="4" t="s">
        <v>377</v>
      </c>
    </row>
    <row r="10626" spans="1:44">
      <c r="A10626" s="4" t="s">
        <v>10753</v>
      </c>
      <c r="B10626" s="4">
        <v>225485</v>
      </c>
      <c r="D10626" s="5" t="s">
        <v>13749</v>
      </c>
      <c r="E10626" s="6" t="str">
        <f>HYPERLINK("https://inpn.mnhn.fr/espece/cd_nom/225485","Empis lutea Meigen, 1804")</f>
        <v>Empis lutea Meigen, 1804</v>
      </c>
      <c r="AH10626" s="4" t="str">
        <f>HYPERLINK("#Statut_biogéographique!A"&amp;_xlfn.XMATCH("P",Statut_biogéographique!A:A,2,1),"P")</f>
        <v>P</v>
      </c>
      <c r="AP10626" s="4" t="s">
        <v>376</v>
      </c>
      <c r="AR10626" s="4" t="s">
        <v>377</v>
      </c>
    </row>
    <row r="10627" spans="1:44">
      <c r="A10627" s="4" t="s">
        <v>10753</v>
      </c>
      <c r="B10627" s="4">
        <v>225486</v>
      </c>
      <c r="D10627" s="5" t="s">
        <v>13750</v>
      </c>
      <c r="E10627" s="6" t="str">
        <f>HYPERLINK("https://inpn.mnhn.fr/espece/cd_nom/225486","Empis punctata Meigen, 1804")</f>
        <v>Empis punctata Meigen, 1804</v>
      </c>
      <c r="AH10627" s="4" t="str">
        <f>HYPERLINK("#Statut_biogéographique!A"&amp;_xlfn.XMATCH("P",Statut_biogéographique!A:A,2,1),"P")</f>
        <v>P</v>
      </c>
      <c r="AP10627" s="4" t="s">
        <v>376</v>
      </c>
      <c r="AR10627" s="4" t="s">
        <v>377</v>
      </c>
    </row>
    <row r="10628" spans="1:44">
      <c r="A10628" s="4" t="s">
        <v>10753</v>
      </c>
      <c r="B10628" s="4">
        <v>225487</v>
      </c>
      <c r="D10628" s="5" t="s">
        <v>13751</v>
      </c>
      <c r="E10628" s="6" t="str">
        <f>HYPERLINK("https://inpn.mnhn.fr/espece/cd_nom/225487","Empis scutellata Curtis, 1835")</f>
        <v>Empis scutellata Curtis, 1835</v>
      </c>
      <c r="AH10628" s="4" t="str">
        <f>HYPERLINK("#Statut_biogéographique!A"&amp;_xlfn.XMATCH("P",Statut_biogéographique!A:A,2,1),"P")</f>
        <v>P</v>
      </c>
      <c r="AP10628" s="4" t="s">
        <v>376</v>
      </c>
      <c r="AR10628" s="4" t="s">
        <v>377</v>
      </c>
    </row>
    <row r="10629" spans="1:44">
      <c r="A10629" s="4" t="s">
        <v>10753</v>
      </c>
      <c r="B10629" s="4">
        <v>225488</v>
      </c>
      <c r="D10629" s="5" t="s">
        <v>13752</v>
      </c>
      <c r="E10629" s="6" t="str">
        <f>HYPERLINK("https://inpn.mnhn.fr/espece/cd_nom/225488","Empis stercorea Linnaeus, 1761")</f>
        <v>Empis stercorea Linnaeus, 1761</v>
      </c>
      <c r="AH10629" s="4" t="str">
        <f>HYPERLINK("#Statut_biogéographique!A"&amp;_xlfn.XMATCH("P",Statut_biogéographique!A:A,2,1),"P")</f>
        <v>P</v>
      </c>
      <c r="AP10629" s="4" t="s">
        <v>376</v>
      </c>
      <c r="AR10629" s="4" t="s">
        <v>377</v>
      </c>
    </row>
    <row r="10630" spans="1:44" ht="30">
      <c r="A10630" s="4" t="s">
        <v>10753</v>
      </c>
      <c r="B10630" s="4">
        <v>225490</v>
      </c>
      <c r="D10630" s="5" t="s">
        <v>13753</v>
      </c>
      <c r="E10630" s="6" t="str">
        <f>HYPERLINK("https://inpn.mnhn.fr/espece/cd_nom/225490","Empis trigramma Wiedemann in Meigen, 1822")</f>
        <v>Empis trigramma Wiedemann in Meigen, 1822</v>
      </c>
      <c r="AH10630" s="4" t="str">
        <f>HYPERLINK("#Statut_biogéographique!A"&amp;_xlfn.XMATCH("P",Statut_biogéographique!A:A,2,1),"P")</f>
        <v>P</v>
      </c>
      <c r="AP10630" s="4" t="s">
        <v>376</v>
      </c>
      <c r="AR10630" s="4" t="s">
        <v>377</v>
      </c>
    </row>
    <row r="10631" spans="1:44">
      <c r="A10631" s="4" t="s">
        <v>10753</v>
      </c>
      <c r="B10631" s="4">
        <v>225492</v>
      </c>
      <c r="D10631" s="5" t="s">
        <v>13754</v>
      </c>
      <c r="E10631" s="6" t="str">
        <f>HYPERLINK("https://inpn.mnhn.fr/espece/cd_nom/225492","Rhamphomyia longipes (Meigen, 1804)")</f>
        <v>Rhamphomyia longipes (Meigen, 1804)</v>
      </c>
      <c r="AH10631" s="4" t="str">
        <f>HYPERLINK("#Statut_biogéographique!A"&amp;_xlfn.XMATCH("P",Statut_biogéographique!A:A,2,1),"P")</f>
        <v>P</v>
      </c>
      <c r="AP10631" s="4" t="s">
        <v>376</v>
      </c>
      <c r="AR10631" s="4" t="s">
        <v>377</v>
      </c>
    </row>
    <row r="10632" spans="1:44" ht="30">
      <c r="A10632" s="4" t="s">
        <v>10753</v>
      </c>
      <c r="B10632" s="4">
        <v>225498</v>
      </c>
      <c r="D10632" s="5">
        <v>225498</v>
      </c>
      <c r="E10632" s="6" t="str">
        <f>HYPERLINK("https://inpn.mnhn.fr/espece/cd_nom/225498","Rhamphomyia nigromaculata von Roser, 1840")</f>
        <v>Rhamphomyia nigromaculata von Roser, 1840</v>
      </c>
      <c r="AH10632" s="4" t="str">
        <f>HYPERLINK("#Statut_biogéographique!A"&amp;_xlfn.XMATCH("P",Statut_biogéographique!A:A,2,1),"P")</f>
        <v>P</v>
      </c>
      <c r="AP10632" s="4" t="s">
        <v>376</v>
      </c>
      <c r="AR10632" s="4" t="s">
        <v>377</v>
      </c>
    </row>
    <row r="10633" spans="1:44">
      <c r="A10633" s="4" t="s">
        <v>10753</v>
      </c>
      <c r="B10633" s="4">
        <v>22550</v>
      </c>
      <c r="D10633" s="5" t="s">
        <v>13755</v>
      </c>
      <c r="E10633" s="6" t="str">
        <f>HYPERLINK("https://inpn.mnhn.fr/espece/cd_nom/22550","Laphria ephippium (Fabricius, 1777)")</f>
        <v>Laphria ephippium (Fabricius, 1777)</v>
      </c>
      <c r="AH10633" s="4" t="str">
        <f>HYPERLINK("#Statut_biogéographique!A"&amp;_xlfn.XMATCH("P",Statut_biogéographique!A:A,2,1),"P")</f>
        <v>P</v>
      </c>
      <c r="AP10633" s="4" t="s">
        <v>376</v>
      </c>
      <c r="AR10633" s="4" t="s">
        <v>377</v>
      </c>
    </row>
    <row r="10634" spans="1:44">
      <c r="A10634" s="4" t="s">
        <v>10753</v>
      </c>
      <c r="B10634" s="4">
        <v>225501</v>
      </c>
      <c r="D10634" s="5" t="s">
        <v>13756</v>
      </c>
      <c r="E10634" s="6" t="str">
        <f>HYPERLINK("https://inpn.mnhn.fr/espece/cd_nom/225501","Rhamphomyia stigmosa Macquart, 1827")</f>
        <v>Rhamphomyia stigmosa Macquart, 1827</v>
      </c>
      <c r="AH10634" s="4" t="str">
        <f>HYPERLINK("#Statut_biogéographique!A"&amp;_xlfn.XMATCH("P",Statut_biogéographique!A:A,2,1),"P")</f>
        <v>P</v>
      </c>
      <c r="AP10634" s="4" t="s">
        <v>376</v>
      </c>
      <c r="AR10634" s="4" t="s">
        <v>377</v>
      </c>
    </row>
    <row r="10635" spans="1:44">
      <c r="A10635" s="4" t="s">
        <v>10753</v>
      </c>
      <c r="B10635" s="4">
        <v>225502</v>
      </c>
      <c r="D10635" s="5" t="s">
        <v>13757</v>
      </c>
      <c r="E10635" s="6" t="str">
        <f>HYPERLINK("https://inpn.mnhn.fr/espece/cd_nom/225502","Rhamphomyia sulcata (Meigen, 1804)")</f>
        <v>Rhamphomyia sulcata (Meigen, 1804)</v>
      </c>
      <c r="AH10635" s="4" t="str">
        <f>HYPERLINK("#Statut_biogéographique!A"&amp;_xlfn.XMATCH("P",Statut_biogéographique!A:A,2,1),"P")</f>
        <v>P</v>
      </c>
      <c r="AP10635" s="4" t="s">
        <v>376</v>
      </c>
      <c r="AR10635" s="4" t="s">
        <v>377</v>
      </c>
    </row>
    <row r="10636" spans="1:44">
      <c r="A10636" s="4" t="s">
        <v>10753</v>
      </c>
      <c r="B10636" s="4">
        <v>225503</v>
      </c>
      <c r="D10636" s="5" t="s">
        <v>13758</v>
      </c>
      <c r="E10636" s="6" t="str">
        <f>HYPERLINK("https://inpn.mnhn.fr/espece/cd_nom/225503","Rhamphomyia sulcatella Collin, 1926")</f>
        <v>Rhamphomyia sulcatella Collin, 1926</v>
      </c>
      <c r="AH10636" s="4" t="str">
        <f>HYPERLINK("#Statut_biogéographique!A"&amp;_xlfn.XMATCH("P",Statut_biogéographique!A:A,2,1),"P")</f>
        <v>P</v>
      </c>
      <c r="AP10636" s="4" t="s">
        <v>376</v>
      </c>
      <c r="AR10636" s="4" t="s">
        <v>377</v>
      </c>
    </row>
    <row r="10637" spans="1:44">
      <c r="A10637" s="4" t="s">
        <v>10753</v>
      </c>
      <c r="B10637" s="4">
        <v>225504</v>
      </c>
      <c r="D10637" s="5" t="s">
        <v>13759</v>
      </c>
      <c r="E10637" s="6" t="str">
        <f>HYPERLINK("https://inpn.mnhn.fr/espece/cd_nom/225504","Rhamphomyia tibialis Meigen, 1822")</f>
        <v>Rhamphomyia tibialis Meigen, 1822</v>
      </c>
      <c r="AH10637" s="4" t="str">
        <f>HYPERLINK("#Statut_biogéographique!A"&amp;_xlfn.XMATCH("P",Statut_biogéographique!A:A,2,1),"P")</f>
        <v>P</v>
      </c>
      <c r="AP10637" s="4" t="s">
        <v>376</v>
      </c>
      <c r="AR10637" s="4" t="s">
        <v>377</v>
      </c>
    </row>
    <row r="10638" spans="1:44">
      <c r="A10638" s="4" t="s">
        <v>10753</v>
      </c>
      <c r="B10638" s="4">
        <v>225505</v>
      </c>
      <c r="D10638" s="5" t="s">
        <v>13760</v>
      </c>
      <c r="E10638" s="6" t="str">
        <f>HYPERLINK("https://inpn.mnhn.fr/espece/cd_nom/225505","Rhamphomyia crassirostris (Fallén, 1816)")</f>
        <v>Rhamphomyia crassirostris (Fallén, 1816)</v>
      </c>
      <c r="AH10638" s="4" t="str">
        <f>HYPERLINK("#Statut_biogéographique!A"&amp;_xlfn.XMATCH("P",Statut_biogéographique!A:A,2,1),"P")</f>
        <v>P</v>
      </c>
      <c r="AP10638" s="4" t="s">
        <v>376</v>
      </c>
      <c r="AR10638" s="4" t="s">
        <v>377</v>
      </c>
    </row>
    <row r="10639" spans="1:44">
      <c r="A10639" s="4" t="s">
        <v>10753</v>
      </c>
      <c r="B10639" s="4">
        <v>225506</v>
      </c>
      <c r="D10639" s="5" t="s">
        <v>13761</v>
      </c>
      <c r="E10639" s="6" t="str">
        <f>HYPERLINK("https://inpn.mnhn.fr/espece/cd_nom/225506","Rhamphomyia poissoni (Trehen, 1966)")</f>
        <v>Rhamphomyia poissoni (Trehen, 1966)</v>
      </c>
      <c r="AH10639" s="4" t="str">
        <f>HYPERLINK("#Statut_biogéographique!A"&amp;_xlfn.XMATCH("P",Statut_biogéographique!A:A,2,1),"P")</f>
        <v>P</v>
      </c>
      <c r="AP10639" s="4" t="s">
        <v>376</v>
      </c>
      <c r="AR10639" s="4" t="s">
        <v>377</v>
      </c>
    </row>
    <row r="10640" spans="1:44">
      <c r="A10640" s="4" t="s">
        <v>10753</v>
      </c>
      <c r="B10640" s="4">
        <v>225507</v>
      </c>
      <c r="D10640" s="5" t="s">
        <v>13762</v>
      </c>
      <c r="E10640" s="6" t="str">
        <f>HYPERLINK("https://inpn.mnhn.fr/espece/cd_nom/225507","Rhamphomyia atra Meigen, 1822")</f>
        <v>Rhamphomyia atra Meigen, 1822</v>
      </c>
      <c r="AH10640" s="4" t="str">
        <f>HYPERLINK("#Statut_biogéographique!A"&amp;_xlfn.XMATCH("P",Statut_biogéographique!A:A,2,1),"P")</f>
        <v>P</v>
      </c>
      <c r="AP10640" s="4" t="s">
        <v>376</v>
      </c>
      <c r="AR10640" s="4" t="s">
        <v>377</v>
      </c>
    </row>
    <row r="10641" spans="1:44">
      <c r="A10641" s="4" t="s">
        <v>10753</v>
      </c>
      <c r="B10641" s="4">
        <v>225508</v>
      </c>
      <c r="D10641" s="5" t="s">
        <v>13763</v>
      </c>
      <c r="E10641" s="6" t="str">
        <f>HYPERLINK("https://inpn.mnhn.fr/espece/cd_nom/225508","Rhamphomyia barbata (Macquart, 1823)")</f>
        <v>Rhamphomyia barbata (Macquart, 1823)</v>
      </c>
      <c r="AH10641" s="4" t="str">
        <f>HYPERLINK("#Statut_biogéographique!A"&amp;_xlfn.XMATCH("P",Statut_biogéographique!A:A,2,1),"P")</f>
        <v>P</v>
      </c>
      <c r="AP10641" s="4" t="s">
        <v>376</v>
      </c>
      <c r="AR10641" s="4" t="s">
        <v>377</v>
      </c>
    </row>
    <row r="10642" spans="1:44">
      <c r="A10642" s="4" t="s">
        <v>10753</v>
      </c>
      <c r="B10642" s="4">
        <v>225509</v>
      </c>
      <c r="D10642" s="5" t="s">
        <v>13764</v>
      </c>
      <c r="E10642" s="6" t="str">
        <f>HYPERLINK("https://inpn.mnhn.fr/espece/cd_nom/225509","Rhamphomyia marginata (Fabricius, 1787)")</f>
        <v>Rhamphomyia marginata (Fabricius, 1787)</v>
      </c>
      <c r="AH10642" s="4" t="str">
        <f>HYPERLINK("#Statut_biogéographique!A"&amp;_xlfn.XMATCH("P",Statut_biogéographique!A:A,2,1),"P")</f>
        <v>P</v>
      </c>
      <c r="AP10642" s="4" t="s">
        <v>376</v>
      </c>
      <c r="AR10642" s="4" t="s">
        <v>377</v>
      </c>
    </row>
    <row r="10643" spans="1:44">
      <c r="A10643" s="4" t="s">
        <v>10753</v>
      </c>
      <c r="B10643" s="4">
        <v>22551</v>
      </c>
      <c r="D10643" s="5" t="s">
        <v>13765</v>
      </c>
      <c r="E10643" s="6" t="str">
        <f>HYPERLINK("https://inpn.mnhn.fr/espece/cd_nom/22551","Laphria flava (Linnaeus, 1761)")</f>
        <v>Laphria flava (Linnaeus, 1761)</v>
      </c>
      <c r="AH10643" s="4" t="str">
        <f>HYPERLINK("#Statut_biogéographique!A"&amp;_xlfn.XMATCH("P",Statut_biogéographique!A:A,2,1),"P")</f>
        <v>P</v>
      </c>
      <c r="AP10643" s="4" t="s">
        <v>376</v>
      </c>
      <c r="AR10643" s="4" t="s">
        <v>377</v>
      </c>
    </row>
    <row r="10644" spans="1:44">
      <c r="A10644" s="4" t="s">
        <v>10753</v>
      </c>
      <c r="B10644" s="4">
        <v>225510</v>
      </c>
      <c r="D10644" s="5" t="s">
        <v>13766</v>
      </c>
      <c r="E10644" s="6" t="str">
        <f>HYPERLINK("https://inpn.mnhn.fr/espece/cd_nom/225510","Rhamphomyia pilifer Meigen, 1838")</f>
        <v>Rhamphomyia pilifer Meigen, 1838</v>
      </c>
      <c r="AH10644" s="4" t="str">
        <f>HYPERLINK("#Statut_biogéographique!A"&amp;_xlfn.XMATCH("P",Statut_biogéographique!A:A,2,1),"P")</f>
        <v>P</v>
      </c>
      <c r="AP10644" s="4" t="s">
        <v>376</v>
      </c>
      <c r="AR10644" s="4" t="s">
        <v>377</v>
      </c>
    </row>
    <row r="10645" spans="1:44">
      <c r="A10645" s="4" t="s">
        <v>10753</v>
      </c>
      <c r="B10645" s="4">
        <v>225511</v>
      </c>
      <c r="D10645" s="5" t="s">
        <v>13767</v>
      </c>
      <c r="E10645" s="6" t="str">
        <f>HYPERLINK("https://inpn.mnhn.fr/espece/cd_nom/225511","Rhamphomyia tibiella Zetterstedt, 1842")</f>
        <v>Rhamphomyia tibiella Zetterstedt, 1842</v>
      </c>
      <c r="AH10645" s="4" t="str">
        <f>HYPERLINK("#Statut_biogéographique!A"&amp;_xlfn.XMATCH("P",Statut_biogéographique!A:A,2,1),"P")</f>
        <v>P</v>
      </c>
      <c r="AP10645" s="4" t="s">
        <v>376</v>
      </c>
      <c r="AR10645" s="4" t="s">
        <v>377</v>
      </c>
    </row>
    <row r="10646" spans="1:44">
      <c r="A10646" s="4" t="s">
        <v>10753</v>
      </c>
      <c r="B10646" s="4">
        <v>225513</v>
      </c>
      <c r="D10646" s="5" t="s">
        <v>13768</v>
      </c>
      <c r="E10646" s="6" t="str">
        <f>HYPERLINK("https://inpn.mnhn.fr/espece/cd_nom/225513","Rhamphomyia culicina (Fallén, 1816)")</f>
        <v>Rhamphomyia culicina (Fallén, 1816)</v>
      </c>
      <c r="AH10646" s="4" t="str">
        <f>HYPERLINK("#Statut_biogéographique!A"&amp;_xlfn.XMATCH("P",Statut_biogéographique!A:A,2,1),"P")</f>
        <v>P</v>
      </c>
      <c r="AP10646" s="4" t="s">
        <v>376</v>
      </c>
      <c r="AR10646" s="4" t="s">
        <v>377</v>
      </c>
    </row>
    <row r="10647" spans="1:44">
      <c r="A10647" s="4" t="s">
        <v>10753</v>
      </c>
      <c r="B10647" s="4">
        <v>225514</v>
      </c>
      <c r="D10647" s="5" t="s">
        <v>13769</v>
      </c>
      <c r="E10647" s="6" t="str">
        <f>HYPERLINK("https://inpn.mnhn.fr/espece/cd_nom/225514","Rhamphomyia flava (Fallén, 1816)")</f>
        <v>Rhamphomyia flava (Fallén, 1816)</v>
      </c>
      <c r="AH10647" s="4" t="str">
        <f>HYPERLINK("#Statut_biogéographique!A"&amp;_xlfn.XMATCH("P",Statut_biogéographique!A:A,2,1),"P")</f>
        <v>P</v>
      </c>
      <c r="AP10647" s="4" t="s">
        <v>376</v>
      </c>
      <c r="AR10647" s="4" t="s">
        <v>377</v>
      </c>
    </row>
    <row r="10648" spans="1:44">
      <c r="A10648" s="4" t="s">
        <v>10753</v>
      </c>
      <c r="B10648" s="4">
        <v>225516</v>
      </c>
      <c r="D10648" s="5" t="s">
        <v>13770</v>
      </c>
      <c r="E10648" s="6" t="str">
        <f>HYPERLINK("https://inpn.mnhn.fr/espece/cd_nom/225516","Rhamphomyia umbripennis Meigen, 1822")</f>
        <v>Rhamphomyia umbripennis Meigen, 1822</v>
      </c>
      <c r="AH10648" s="4" t="str">
        <f>HYPERLINK("#Statut_biogéographique!A"&amp;_xlfn.XMATCH("P",Statut_biogéographique!A:A,2,1),"P")</f>
        <v>P</v>
      </c>
      <c r="AP10648" s="4" t="s">
        <v>376</v>
      </c>
      <c r="AR10648" s="4" t="s">
        <v>377</v>
      </c>
    </row>
    <row r="10649" spans="1:44">
      <c r="A10649" s="4" t="s">
        <v>10753</v>
      </c>
      <c r="B10649" s="4">
        <v>225517</v>
      </c>
      <c r="D10649" s="5" t="s">
        <v>13771</v>
      </c>
      <c r="E10649" s="6" t="str">
        <f>HYPERLINK("https://inpn.mnhn.fr/espece/cd_nom/225517","Rhamphomyia variabilis (Fallén, 1816)")</f>
        <v>Rhamphomyia variabilis (Fallén, 1816)</v>
      </c>
      <c r="AH10649" s="4" t="str">
        <f>HYPERLINK("#Statut_biogéographique!A"&amp;_xlfn.XMATCH("P",Statut_biogéographique!A:A,2,1),"P")</f>
        <v>P</v>
      </c>
      <c r="AP10649" s="4" t="s">
        <v>376</v>
      </c>
      <c r="AR10649" s="4" t="s">
        <v>377</v>
      </c>
    </row>
    <row r="10650" spans="1:44">
      <c r="A10650" s="4" t="s">
        <v>10753</v>
      </c>
      <c r="B10650" s="4">
        <v>225520</v>
      </c>
      <c r="D10650" s="5">
        <v>225520</v>
      </c>
      <c r="E10650" s="6" t="str">
        <f>HYPERLINK("https://inpn.mnhn.fr/espece/cd_nom/225520","Hemerodromia adulatoria Collin, 1927")</f>
        <v>Hemerodromia adulatoria Collin, 1927</v>
      </c>
      <c r="AH10650" s="4" t="str">
        <f>HYPERLINK("#Statut_biogéographique!A"&amp;_xlfn.XMATCH("P",Statut_biogéographique!A:A,2,1),"P")</f>
        <v>P</v>
      </c>
      <c r="AP10650" s="4" t="s">
        <v>376</v>
      </c>
      <c r="AR10650" s="4" t="s">
        <v>377</v>
      </c>
    </row>
    <row r="10651" spans="1:44">
      <c r="A10651" s="4" t="s">
        <v>10753</v>
      </c>
      <c r="B10651" s="4">
        <v>225549</v>
      </c>
      <c r="D10651" s="5" t="s">
        <v>13772</v>
      </c>
      <c r="E10651" s="6" t="str">
        <f>HYPERLINK("https://inpn.mnhn.fr/espece/cd_nom/225549","Dolichocephala oblongoguttata (Dále, 1878)")</f>
        <v>Dolichocephala oblongoguttata (Dále, 1878)</v>
      </c>
      <c r="AH10651" s="4" t="str">
        <f>HYPERLINK("#Statut_biogéographique!A"&amp;_xlfn.XMATCH("P",Statut_biogéographique!A:A,2,1),"P")</f>
        <v>P</v>
      </c>
      <c r="AP10651" s="4" t="s">
        <v>376</v>
      </c>
      <c r="AR10651" s="4" t="s">
        <v>377</v>
      </c>
    </row>
    <row r="10652" spans="1:44">
      <c r="A10652" s="4" t="s">
        <v>10753</v>
      </c>
      <c r="B10652" s="4">
        <v>22555</v>
      </c>
      <c r="D10652" s="5" t="s">
        <v>13773</v>
      </c>
      <c r="E10652" s="6" t="str">
        <f>HYPERLINK("https://inpn.mnhn.fr/espece/cd_nom/22555","Lasiopogon cinctus (Fabricius, 1781)")</f>
        <v>Lasiopogon cinctus (Fabricius, 1781)</v>
      </c>
      <c r="AH10652" s="4" t="str">
        <f>HYPERLINK("#Statut_biogéographique!A"&amp;_xlfn.XMATCH("P",Statut_biogéographique!A:A,2,1),"P")</f>
        <v>P</v>
      </c>
      <c r="AP10652" s="4" t="s">
        <v>376</v>
      </c>
      <c r="AR10652" s="4" t="s">
        <v>377</v>
      </c>
    </row>
    <row r="10653" spans="1:44">
      <c r="A10653" s="4" t="s">
        <v>10753</v>
      </c>
      <c r="B10653" s="4">
        <v>225550</v>
      </c>
      <c r="D10653" s="5" t="s">
        <v>13774</v>
      </c>
      <c r="E10653" s="6" t="str">
        <f>HYPERLINK("https://inpn.mnhn.fr/espece/cd_nom/225550","Dolichocephala ocellata (Costa, 1854)")</f>
        <v>Dolichocephala ocellata (Costa, 1854)</v>
      </c>
      <c r="AH10653" s="4" t="str">
        <f>HYPERLINK("#Statut_biogéographique!A"&amp;_xlfn.XMATCH("P",Statut_biogéographique!A:A,2,1),"P")</f>
        <v>P</v>
      </c>
      <c r="AP10653" s="4" t="s">
        <v>376</v>
      </c>
      <c r="AR10653" s="4" t="s">
        <v>377</v>
      </c>
    </row>
    <row r="10654" spans="1:44">
      <c r="A10654" s="4" t="s">
        <v>10753</v>
      </c>
      <c r="B10654" s="4">
        <v>22558</v>
      </c>
      <c r="D10654" s="5" t="s">
        <v>13775</v>
      </c>
      <c r="E10654" s="6" t="str">
        <f>HYPERLINK("https://inpn.mnhn.fr/espece/cd_nom/22558","Leptarthrus brevirostris (Meigen, 1804)")</f>
        <v>Leptarthrus brevirostris (Meigen, 1804)</v>
      </c>
      <c r="AH10654" s="4" t="str">
        <f>HYPERLINK("#Statut_biogéographique!A"&amp;_xlfn.XMATCH("P",Statut_biogéographique!A:A,2,1),"P")</f>
        <v>P</v>
      </c>
      <c r="AP10654" s="4" t="s">
        <v>376</v>
      </c>
      <c r="AR10654" s="4" t="s">
        <v>377</v>
      </c>
    </row>
    <row r="10655" spans="1:44">
      <c r="A10655" s="4" t="s">
        <v>10753</v>
      </c>
      <c r="B10655" s="4">
        <v>225600</v>
      </c>
      <c r="D10655" s="5" t="s">
        <v>13776</v>
      </c>
      <c r="E10655" s="6" t="str">
        <f>HYPERLINK("https://inpn.mnhn.fr/espece/cd_nom/225600","Philygria interstincta (Fallén, 1813)")</f>
        <v>Philygria interstincta (Fallén, 1813)</v>
      </c>
      <c r="AH10655" s="4" t="str">
        <f>HYPERLINK("#Statut_biogéographique!A"&amp;_xlfn.XMATCH("P",Statut_biogéographique!A:A,2,1),"P")</f>
        <v>P</v>
      </c>
      <c r="AP10655" s="4" t="s">
        <v>376</v>
      </c>
      <c r="AR10655" s="4" t="s">
        <v>377</v>
      </c>
    </row>
    <row r="10656" spans="1:44">
      <c r="A10656" s="4" t="s">
        <v>10753</v>
      </c>
      <c r="B10656" s="4">
        <v>22561</v>
      </c>
      <c r="D10656" s="5" t="s">
        <v>13777</v>
      </c>
      <c r="E10656" s="6" t="str">
        <f>HYPERLINK("https://inpn.mnhn.fr/espece/cd_nom/22561","Leptogaster cylindrica (De Geer, 1776)")</f>
        <v>Leptogaster cylindrica (De Geer, 1776)</v>
      </c>
      <c r="AH10656" s="4" t="str">
        <f>HYPERLINK("#Statut_biogéographique!A"&amp;_xlfn.XMATCH("P",Statut_biogéographique!A:A,2,1),"P")</f>
        <v>P</v>
      </c>
      <c r="AP10656" s="4" t="s">
        <v>376</v>
      </c>
      <c r="AR10656" s="4" t="s">
        <v>377</v>
      </c>
    </row>
    <row r="10657" spans="1:44">
      <c r="A10657" s="4" t="s">
        <v>10753</v>
      </c>
      <c r="B10657" s="4">
        <v>225617</v>
      </c>
      <c r="D10657" s="5" t="s">
        <v>13778</v>
      </c>
      <c r="E10657" s="6" t="str">
        <f>HYPERLINK("https://inpn.mnhn.fr/espece/cd_nom/225617","Hydrellia maura Meigen, 1838")</f>
        <v>Hydrellia maura Meigen, 1838</v>
      </c>
      <c r="AH10657" s="4" t="str">
        <f>HYPERLINK("#Statut_biogéographique!A"&amp;_xlfn.XMATCH("P",Statut_biogéographique!A:A,2,1),"P")</f>
        <v>P</v>
      </c>
      <c r="AP10657" s="4" t="s">
        <v>376</v>
      </c>
      <c r="AR10657" s="4" t="s">
        <v>377</v>
      </c>
    </row>
    <row r="10658" spans="1:44">
      <c r="A10658" s="4" t="s">
        <v>10753</v>
      </c>
      <c r="B10658" s="4">
        <v>22562</v>
      </c>
      <c r="D10658" s="5">
        <v>22562</v>
      </c>
      <c r="E10658" s="6" t="str">
        <f>HYPERLINK("https://inpn.mnhn.fr/espece/cd_nom/22562","Leptogaster guttiventris Zetterstedt, 1842")</f>
        <v>Leptogaster guttiventris Zetterstedt, 1842</v>
      </c>
      <c r="AH10658" s="4" t="str">
        <f>HYPERLINK("#Statut_biogéographique!A"&amp;_xlfn.XMATCH("P",Statut_biogéographique!A:A,2,1),"P")</f>
        <v>P</v>
      </c>
      <c r="AP10658" s="4" t="s">
        <v>376</v>
      </c>
      <c r="AR10658" s="4" t="s">
        <v>377</v>
      </c>
    </row>
    <row r="10659" spans="1:44">
      <c r="A10659" s="4" t="s">
        <v>10753</v>
      </c>
      <c r="B10659" s="4">
        <v>225625</v>
      </c>
      <c r="D10659" s="5" t="s">
        <v>13779</v>
      </c>
      <c r="E10659" s="6" t="str">
        <f>HYPERLINK("https://inpn.mnhn.fr/espece/cd_nom/225625","Notiphila cinerea Fallén, 1813")</f>
        <v>Notiphila cinerea Fallén, 1813</v>
      </c>
      <c r="AH10659" s="4" t="str">
        <f>HYPERLINK("#Statut_biogéographique!A"&amp;_xlfn.XMATCH("P",Statut_biogéographique!A:A,2,1),"P")</f>
        <v>P</v>
      </c>
      <c r="AP10659" s="4" t="s">
        <v>376</v>
      </c>
      <c r="AR10659" s="4" t="s">
        <v>377</v>
      </c>
    </row>
    <row r="10660" spans="1:44">
      <c r="A10660" s="4" t="s">
        <v>10753</v>
      </c>
      <c r="B10660" s="4">
        <v>225630</v>
      </c>
      <c r="D10660" s="5" t="s">
        <v>13780</v>
      </c>
      <c r="E10660" s="6" t="str">
        <f>HYPERLINK("https://inpn.mnhn.fr/espece/cd_nom/225630","Notiphila riparia Meigen, 1830")</f>
        <v>Notiphila riparia Meigen, 1830</v>
      </c>
      <c r="AH10660" s="4" t="str">
        <f>HYPERLINK("#Statut_biogéographique!A"&amp;_xlfn.XMATCH("P",Statut_biogéographique!A:A,2,1),"P")</f>
        <v>P</v>
      </c>
      <c r="AP10660" s="4" t="s">
        <v>376</v>
      </c>
      <c r="AR10660" s="4" t="s">
        <v>377</v>
      </c>
    </row>
    <row r="10661" spans="1:44">
      <c r="A10661" s="4" t="s">
        <v>10753</v>
      </c>
      <c r="B10661" s="4">
        <v>225632</v>
      </c>
      <c r="D10661" s="5">
        <v>225632</v>
      </c>
      <c r="E10661" s="6" t="str">
        <f>HYPERLINK("https://inpn.mnhn.fr/espece/cd_nom/225632","Notiphila venusta Loew, 1856")</f>
        <v>Notiphila venusta Loew, 1856</v>
      </c>
      <c r="AH10661" s="4" t="str">
        <f>HYPERLINK("#Statut_biogéographique!A"&amp;_xlfn.XMATCH("P",Statut_biogéographique!A:A,2,1),"P")</f>
        <v>P</v>
      </c>
      <c r="AP10661" s="4" t="s">
        <v>376</v>
      </c>
      <c r="AR10661" s="4" t="s">
        <v>377</v>
      </c>
    </row>
    <row r="10662" spans="1:44">
      <c r="A10662" s="4" t="s">
        <v>10753</v>
      </c>
      <c r="B10662" s="4">
        <v>225669</v>
      </c>
      <c r="D10662" s="5" t="s">
        <v>13781</v>
      </c>
      <c r="E10662" s="6" t="str">
        <f>HYPERLINK("https://inpn.mnhn.fr/espece/cd_nom/225669","Haloscatella dichaeta Loew, 1860")</f>
        <v>Haloscatella dichaeta Loew, 1860</v>
      </c>
      <c r="AH10662" s="4" t="str">
        <f>HYPERLINK("#Statut_biogéographique!A"&amp;_xlfn.XMATCH("P",Statut_biogéographique!A:A,2,1),"P")</f>
        <v>P</v>
      </c>
      <c r="AP10662" s="4" t="s">
        <v>376</v>
      </c>
      <c r="AR10662" s="4" t="s">
        <v>377</v>
      </c>
    </row>
    <row r="10663" spans="1:44">
      <c r="A10663" s="4" t="s">
        <v>10753</v>
      </c>
      <c r="B10663" s="4">
        <v>225686</v>
      </c>
      <c r="D10663" s="5" t="s">
        <v>13782</v>
      </c>
      <c r="E10663" s="6" t="str">
        <f>HYPERLINK("https://inpn.mnhn.fr/espece/cd_nom/225686","Ditrichophora nivea (Becker, 1896)")</f>
        <v>Ditrichophora nivea (Becker, 1896)</v>
      </c>
      <c r="AH10663" s="4" t="str">
        <f>HYPERLINK("#Statut_biogéographique!A"&amp;_xlfn.XMATCH("P",Statut_biogéographique!A:A,2,1),"P")</f>
        <v>P</v>
      </c>
      <c r="AP10663" s="4" t="s">
        <v>376</v>
      </c>
      <c r="AR10663" s="4" t="s">
        <v>377</v>
      </c>
    </row>
    <row r="10664" spans="1:44">
      <c r="A10664" s="4" t="s">
        <v>10753</v>
      </c>
      <c r="B10664" s="4">
        <v>225690</v>
      </c>
      <c r="D10664" s="5" t="s">
        <v>13783</v>
      </c>
      <c r="E10664" s="6" t="str">
        <f>HYPERLINK("https://inpn.mnhn.fr/espece/cd_nom/225690","Oedalea tibialis Macquart, 1827")</f>
        <v>Oedalea tibialis Macquart, 1827</v>
      </c>
      <c r="AH10664" s="4" t="str">
        <f>HYPERLINK("#Statut_biogéographique!A"&amp;_xlfn.XMATCH("P",Statut_biogéographique!A:A,2,1),"P")</f>
        <v>P</v>
      </c>
      <c r="AP10664" s="4" t="s">
        <v>376</v>
      </c>
      <c r="AR10664" s="4" t="s">
        <v>377</v>
      </c>
    </row>
    <row r="10665" spans="1:44">
      <c r="A10665" s="4" t="s">
        <v>10753</v>
      </c>
      <c r="B10665" s="4">
        <v>225695</v>
      </c>
      <c r="D10665" s="5" t="s">
        <v>13784</v>
      </c>
      <c r="E10665" s="6" t="str">
        <f>HYPERLINK("https://inpn.mnhn.fr/espece/cd_nom/225695","Platypalpus fasciatus (Meigen, 1822)")</f>
        <v>Platypalpus fasciatus (Meigen, 1822)</v>
      </c>
      <c r="AH10665" s="4" t="str">
        <f>HYPERLINK("#Statut_biogéographique!A"&amp;_xlfn.XMATCH("P",Statut_biogéographique!A:A,2,1),"P")</f>
        <v>P</v>
      </c>
      <c r="AP10665" s="4" t="s">
        <v>376</v>
      </c>
      <c r="AR10665" s="4" t="s">
        <v>377</v>
      </c>
    </row>
    <row r="10666" spans="1:44">
      <c r="A10666" s="4" t="s">
        <v>10753</v>
      </c>
      <c r="B10666" s="4">
        <v>22570</v>
      </c>
      <c r="D10666" s="5" t="s">
        <v>13785</v>
      </c>
      <c r="E10666" s="6" t="str">
        <f>HYPERLINK("https://inpn.mnhn.fr/espece/cd_nom/22570","Machimus rusticus (Meigen, 1820)")</f>
        <v>Machimus rusticus (Meigen, 1820)</v>
      </c>
      <c r="AH10666" s="4" t="str">
        <f>HYPERLINK("#Statut_biogéographique!A"&amp;_xlfn.XMATCH("P",Statut_biogéographique!A:A,2,1),"P")</f>
        <v>P</v>
      </c>
      <c r="AP10666" s="4" t="s">
        <v>376</v>
      </c>
      <c r="AR10666" s="4" t="s">
        <v>377</v>
      </c>
    </row>
    <row r="10667" spans="1:44">
      <c r="A10667" s="4" t="s">
        <v>10753</v>
      </c>
      <c r="B10667" s="4">
        <v>225702</v>
      </c>
      <c r="D10667" s="5">
        <v>225702</v>
      </c>
      <c r="E10667" s="6" t="str">
        <f>HYPERLINK("https://inpn.mnhn.fr/espece/cd_nom/225702","Platypalpus rapidoides Chvála, 1975")</f>
        <v>Platypalpus rapidoides Chvála, 1975</v>
      </c>
      <c r="AH10667" s="4" t="str">
        <f>HYPERLINK("#Statut_biogéographique!A"&amp;_xlfn.XMATCH("P",Statut_biogéographique!A:A,2,1),"P")</f>
        <v>P</v>
      </c>
      <c r="AP10667" s="4" t="s">
        <v>376</v>
      </c>
      <c r="AR10667" s="4" t="s">
        <v>377</v>
      </c>
    </row>
    <row r="10668" spans="1:44">
      <c r="A10668" s="4" t="s">
        <v>10753</v>
      </c>
      <c r="B10668" s="4">
        <v>225713</v>
      </c>
      <c r="D10668" s="5">
        <v>225713</v>
      </c>
      <c r="E10668" s="6" t="str">
        <f>HYPERLINK("https://inpn.mnhn.fr/espece/cd_nom/225713","Drapetis infitialis Collin, 1961")</f>
        <v>Drapetis infitialis Collin, 1961</v>
      </c>
      <c r="AH10668" s="4" t="str">
        <f>HYPERLINK("#Statut_biogéographique!A"&amp;_xlfn.XMATCH("P",Statut_biogéographique!A:A,2,1),"P")</f>
        <v>P</v>
      </c>
      <c r="AP10668" s="4" t="s">
        <v>376</v>
      </c>
      <c r="AR10668" s="4" t="s">
        <v>377</v>
      </c>
    </row>
    <row r="10669" spans="1:44">
      <c r="A10669" s="4" t="s">
        <v>10753</v>
      </c>
      <c r="B10669" s="4">
        <v>225714</v>
      </c>
      <c r="D10669" s="5" t="s">
        <v>13786</v>
      </c>
      <c r="E10669" s="6" t="str">
        <f>HYPERLINK("https://inpn.mnhn.fr/espece/cd_nom/225714","Drapetis pusilla Loew, 1859")</f>
        <v>Drapetis pusilla Loew, 1859</v>
      </c>
      <c r="AH10669" s="4" t="str">
        <f>HYPERLINK("#Statut_biogéographique!A"&amp;_xlfn.XMATCH("P",Statut_biogéographique!A:A,2,1),"P")</f>
        <v>P</v>
      </c>
      <c r="AP10669" s="4" t="s">
        <v>376</v>
      </c>
      <c r="AR10669" s="4" t="s">
        <v>377</v>
      </c>
    </row>
    <row r="10670" spans="1:44">
      <c r="A10670" s="4" t="s">
        <v>10753</v>
      </c>
      <c r="B10670" s="4">
        <v>225715</v>
      </c>
      <c r="D10670" s="5" t="s">
        <v>13787</v>
      </c>
      <c r="E10670" s="6" t="str">
        <f>HYPERLINK("https://inpn.mnhn.fr/espece/cd_nom/225715","Drapetis ephippiata (Fallén, 1815)")</f>
        <v>Drapetis ephippiata (Fallén, 1815)</v>
      </c>
      <c r="AH10670" s="4" t="str">
        <f>HYPERLINK("#Statut_biogéographique!A"&amp;_xlfn.XMATCH("P",Statut_biogéographique!A:A,2,1),"P")</f>
        <v>P</v>
      </c>
      <c r="AP10670" s="4" t="s">
        <v>376</v>
      </c>
      <c r="AR10670" s="4" t="s">
        <v>377</v>
      </c>
    </row>
    <row r="10671" spans="1:44">
      <c r="A10671" s="4" t="s">
        <v>10753</v>
      </c>
      <c r="B10671" s="4">
        <v>225727</v>
      </c>
      <c r="D10671" s="5" t="s">
        <v>13788</v>
      </c>
      <c r="E10671" s="6" t="str">
        <f>HYPERLINK("https://inpn.mnhn.fr/espece/cd_nom/225727","Cerotelion striatum (Gmelin, 1790)")</f>
        <v>Cerotelion striatum (Gmelin, 1790)</v>
      </c>
      <c r="AH10671" s="4" t="str">
        <f>HYPERLINK("#Statut_biogéographique!A"&amp;_xlfn.XMATCH("P",Statut_biogéographique!A:A,2,1),"P")</f>
        <v>P</v>
      </c>
      <c r="AP10671" s="4" t="s">
        <v>376</v>
      </c>
      <c r="AR10671" s="4" t="s">
        <v>377</v>
      </c>
    </row>
    <row r="10672" spans="1:44">
      <c r="A10672" s="4" t="s">
        <v>10753</v>
      </c>
      <c r="B10672" s="4">
        <v>225730</v>
      </c>
      <c r="D10672" s="5" t="s">
        <v>13789</v>
      </c>
      <c r="E10672" s="6" t="str">
        <f>HYPERLINK("https://inpn.mnhn.fr/espece/cd_nom/225730","Pyratula zonata (Zetterstedt, 1855)")</f>
        <v>Pyratula zonata (Zetterstedt, 1855)</v>
      </c>
      <c r="AH10672" s="4" t="str">
        <f>HYPERLINK("#Statut_biogéographique!A"&amp;_xlfn.XMATCH("P",Statut_biogéographique!A:A,2,1),"P")</f>
        <v>P</v>
      </c>
      <c r="AP10672" s="4" t="s">
        <v>376</v>
      </c>
      <c r="AR10672" s="4" t="s">
        <v>377</v>
      </c>
    </row>
    <row r="10673" spans="1:44">
      <c r="A10673" s="4" t="s">
        <v>10753</v>
      </c>
      <c r="B10673" s="4">
        <v>22574</v>
      </c>
      <c r="D10673" s="5" t="s">
        <v>13790</v>
      </c>
      <c r="E10673" s="6" t="str">
        <f>HYPERLINK("https://inpn.mnhn.fr/espece/cd_nom/22574","Neoitamus cothurnatus (Meigen, 1820)")</f>
        <v>Neoitamus cothurnatus (Meigen, 1820)</v>
      </c>
      <c r="AH10673" s="4" t="str">
        <f>HYPERLINK("#Statut_biogéographique!A"&amp;_xlfn.XMATCH("P",Statut_biogéographique!A:A,2,1),"P")</f>
        <v>P</v>
      </c>
      <c r="AP10673" s="4" t="s">
        <v>376</v>
      </c>
      <c r="AR10673" s="4" t="s">
        <v>377</v>
      </c>
    </row>
    <row r="10674" spans="1:44">
      <c r="A10674" s="4" t="s">
        <v>10753</v>
      </c>
      <c r="B10674" s="4">
        <v>225745</v>
      </c>
      <c r="D10674" s="5" t="s">
        <v>13791</v>
      </c>
      <c r="E10674" s="6" t="str">
        <f>HYPERLINK("https://inpn.mnhn.fr/espece/cd_nom/225745","Monocentrota lundstromi Edwards, 1925")</f>
        <v>Monocentrota lundstromi Edwards, 1925</v>
      </c>
      <c r="AH10674" s="4" t="str">
        <f>HYPERLINK("#Statut_biogéographique!A"&amp;_xlfn.XMATCH("P",Statut_biogéographique!A:A,2,1),"P")</f>
        <v>P</v>
      </c>
      <c r="AP10674" s="4" t="s">
        <v>376</v>
      </c>
      <c r="AR10674" s="4" t="s">
        <v>377</v>
      </c>
    </row>
    <row r="10675" spans="1:44">
      <c r="A10675" s="4" t="s">
        <v>10753</v>
      </c>
      <c r="B10675" s="4">
        <v>22575</v>
      </c>
      <c r="D10675" s="5" t="s">
        <v>13792</v>
      </c>
      <c r="E10675" s="6" t="str">
        <f>HYPERLINK("https://inpn.mnhn.fr/espece/cd_nom/22575","Neoitamus cyanurus (Loew, 1849)")</f>
        <v>Neoitamus cyanurus (Loew, 1849)</v>
      </c>
      <c r="AH10675" s="4" t="str">
        <f>HYPERLINK("#Statut_biogéographique!A"&amp;_xlfn.XMATCH("P",Statut_biogéographique!A:A,2,1),"P")</f>
        <v>P</v>
      </c>
      <c r="AP10675" s="4" t="s">
        <v>376</v>
      </c>
      <c r="AR10675" s="4" t="s">
        <v>377</v>
      </c>
    </row>
    <row r="10676" spans="1:44" ht="60">
      <c r="A10676" s="4" t="s">
        <v>10753</v>
      </c>
      <c r="B10676" s="4">
        <v>225750</v>
      </c>
      <c r="D10676" s="5" t="s">
        <v>13793</v>
      </c>
      <c r="E10676" s="6" t="str">
        <f>HYPERLINK("https://inpn.mnhn.fr/espece/cd_nom/225750","Isoneuromyia semirufa (Meigen, 1818)")</f>
        <v>Isoneuromyia semirufa (Meigen, 1818)</v>
      </c>
      <c r="AH10676" s="4" t="str">
        <f>HYPERLINK("#Statut_biogéographique!A"&amp;_xlfn.XMATCH("P",Statut_biogéographique!A:A,2,1),"P")</f>
        <v>P</v>
      </c>
      <c r="AP10676" s="4" t="s">
        <v>376</v>
      </c>
      <c r="AR10676" s="4" t="s">
        <v>377</v>
      </c>
    </row>
    <row r="10677" spans="1:44">
      <c r="A10677" s="4" t="s">
        <v>10753</v>
      </c>
      <c r="B10677" s="4">
        <v>22578</v>
      </c>
      <c r="D10677" s="5" t="s">
        <v>13794</v>
      </c>
      <c r="E10677" s="6" t="str">
        <f>HYPERLINK("https://inpn.mnhn.fr/espece/cd_nom/22578","Neomochtherus pallipes (Meigen, 1820)")</f>
        <v>Neomochtherus pallipes (Meigen, 1820)</v>
      </c>
      <c r="AH10677" s="4" t="str">
        <f>HYPERLINK("#Statut_biogéographique!A"&amp;_xlfn.XMATCH("P",Statut_biogéographique!A:A,2,1),"P")</f>
        <v>P</v>
      </c>
      <c r="AP10677" s="4" t="s">
        <v>376</v>
      </c>
      <c r="AR10677" s="4" t="s">
        <v>377</v>
      </c>
    </row>
    <row r="10678" spans="1:44">
      <c r="A10678" s="4" t="s">
        <v>10753</v>
      </c>
      <c r="B10678" s="4">
        <v>225806</v>
      </c>
      <c r="D10678" s="5" t="s">
        <v>13795</v>
      </c>
      <c r="E10678" s="6" t="str">
        <f>HYPERLINK("https://inpn.mnhn.fr/espece/cd_nom/225806","Lispocephala alma (Meigen, 1826)")</f>
        <v>Lispocephala alma (Meigen, 1826)</v>
      </c>
      <c r="AH10678" s="4" t="str">
        <f>HYPERLINK("#Statut_biogéographique!A"&amp;_xlfn.XMATCH("P",Statut_biogéographique!A:A,2,1),"P")</f>
        <v>P</v>
      </c>
      <c r="AP10678" s="4" t="s">
        <v>376</v>
      </c>
      <c r="AR10678" s="4" t="s">
        <v>377</v>
      </c>
    </row>
    <row r="10679" spans="1:44">
      <c r="A10679" s="4" t="s">
        <v>10753</v>
      </c>
      <c r="B10679" s="4">
        <v>225807</v>
      </c>
      <c r="D10679" s="5" t="s">
        <v>13796</v>
      </c>
      <c r="E10679" s="6" t="str">
        <f>HYPERLINK("https://inpn.mnhn.fr/espece/cd_nom/225807","Lispocephala brachialis (Rondani, 1877)")</f>
        <v>Lispocephala brachialis (Rondani, 1877)</v>
      </c>
      <c r="AH10679" s="4" t="str">
        <f>HYPERLINK("#Statut_biogéographique!A"&amp;_xlfn.XMATCH("P",Statut_biogéographique!A:A,2,1),"P")</f>
        <v>P</v>
      </c>
      <c r="AP10679" s="4" t="s">
        <v>376</v>
      </c>
      <c r="AR10679" s="4" t="s">
        <v>377</v>
      </c>
    </row>
    <row r="10680" spans="1:44">
      <c r="A10680" s="4" t="s">
        <v>10753</v>
      </c>
      <c r="B10680" s="4">
        <v>225813</v>
      </c>
      <c r="D10680" s="5" t="s">
        <v>13797</v>
      </c>
      <c r="E10680" s="6" t="str">
        <f>HYPERLINK("https://inpn.mnhn.fr/espece/cd_nom/225813","Lispocephala verna (Fabricius, 1794)")</f>
        <v>Lispocephala verna (Fabricius, 1794)</v>
      </c>
      <c r="AH10680" s="4" t="str">
        <f>HYPERLINK("#Statut_biogéographique!A"&amp;_xlfn.XMATCH("P",Statut_biogéographique!A:A,2,1),"P")</f>
        <v>P</v>
      </c>
      <c r="AP10680" s="4" t="s">
        <v>376</v>
      </c>
      <c r="AR10680" s="4" t="s">
        <v>377</v>
      </c>
    </row>
    <row r="10681" spans="1:44">
      <c r="A10681" s="4" t="s">
        <v>10753</v>
      </c>
      <c r="B10681" s="4">
        <v>22582</v>
      </c>
      <c r="D10681" s="5" t="s">
        <v>13798</v>
      </c>
      <c r="E10681" s="6" t="str">
        <f>HYPERLINK("https://inpn.mnhn.fr/espece/cd_nom/22582","Philonicus albiceps (Meigen, 1820)")</f>
        <v>Philonicus albiceps (Meigen, 1820)</v>
      </c>
      <c r="AH10681" s="4" t="str">
        <f>HYPERLINK("#Statut_biogéographique!A"&amp;_xlfn.XMATCH("P",Statut_biogéographique!A:A,2,1),"P")</f>
        <v>P</v>
      </c>
      <c r="AP10681" s="4" t="s">
        <v>376</v>
      </c>
      <c r="AR10681" s="4" t="s">
        <v>377</v>
      </c>
    </row>
    <row r="10682" spans="1:44">
      <c r="A10682" s="4" t="s">
        <v>10753</v>
      </c>
      <c r="B10682" s="4">
        <v>225828</v>
      </c>
      <c r="D10682" s="5" t="s">
        <v>13799</v>
      </c>
      <c r="E10682" s="6" t="str">
        <f>HYPERLINK("https://inpn.mnhn.fr/espece/cd_nom/225828","Helina abdominalis (Zetterstedt, 1846)")</f>
        <v>Helina abdominalis (Zetterstedt, 1846)</v>
      </c>
      <c r="AH10682" s="4" t="str">
        <f>HYPERLINK("#Statut_biogéographique!A"&amp;_xlfn.XMATCH("P",Statut_biogéographique!A:A,2,1),"P")</f>
        <v>P</v>
      </c>
      <c r="AP10682" s="4" t="s">
        <v>376</v>
      </c>
      <c r="AR10682" s="4" t="s">
        <v>377</v>
      </c>
    </row>
    <row r="10683" spans="1:44">
      <c r="A10683" s="4" t="s">
        <v>10753</v>
      </c>
      <c r="B10683" s="4">
        <v>225866</v>
      </c>
      <c r="D10683" s="5">
        <v>225866</v>
      </c>
      <c r="E10683" s="6" t="str">
        <f>HYPERLINK("https://inpn.mnhn.fr/espece/cd_nom/225866","Phaonia latipalpis Schnabl, 1911")</f>
        <v>Phaonia latipalpis Schnabl, 1911</v>
      </c>
      <c r="AH10683" s="4" t="str">
        <f>HYPERLINK("#Statut_biogéographique!A"&amp;_xlfn.XMATCH("P",Statut_biogéographique!A:A,2,1),"P")</f>
        <v>P</v>
      </c>
      <c r="AP10683" s="4" t="s">
        <v>376</v>
      </c>
      <c r="AR10683" s="4" t="s">
        <v>377</v>
      </c>
    </row>
    <row r="10684" spans="1:44" ht="30">
      <c r="A10684" s="4" t="s">
        <v>10753</v>
      </c>
      <c r="B10684" s="4">
        <v>225879</v>
      </c>
      <c r="D10684" s="5" t="s">
        <v>13800</v>
      </c>
      <c r="E10684" s="6" t="str">
        <f>HYPERLINK("https://inpn.mnhn.fr/espece/cd_nom/225879","Dasyphora albofasciata (Macquart, 1839)")</f>
        <v>Dasyphora albofasciata (Macquart, 1839)</v>
      </c>
      <c r="AH10684" s="4" t="str">
        <f>HYPERLINK("#Statut_biogéographique!A"&amp;_xlfn.XMATCH("P",Statut_biogéographique!A:A,2,1),"P")</f>
        <v>P</v>
      </c>
      <c r="AP10684" s="4" t="s">
        <v>376</v>
      </c>
      <c r="AR10684" s="4" t="s">
        <v>377</v>
      </c>
    </row>
    <row r="10685" spans="1:44" ht="30">
      <c r="A10685" s="4" t="s">
        <v>10753</v>
      </c>
      <c r="B10685" s="4">
        <v>225881</v>
      </c>
      <c r="D10685" s="5" t="s">
        <v>13801</v>
      </c>
      <c r="E10685" s="6" t="str">
        <f>HYPERLINK("https://inpn.mnhn.fr/espece/cd_nom/225881","Eudasyphora cyanicolor (Zetterstedt, 1845)")</f>
        <v>Eudasyphora cyanicolor (Zetterstedt, 1845)</v>
      </c>
      <c r="AH10685" s="4" t="str">
        <f>HYPERLINK("#Statut_biogéographique!A"&amp;_xlfn.XMATCH("P",Statut_biogéographique!A:A,2,1),"P")</f>
        <v>P</v>
      </c>
      <c r="AP10685" s="4" t="s">
        <v>376</v>
      </c>
      <c r="AR10685" s="4" t="s">
        <v>377</v>
      </c>
    </row>
    <row r="10686" spans="1:44">
      <c r="A10686" s="4" t="s">
        <v>10753</v>
      </c>
      <c r="B10686" s="4">
        <v>225887</v>
      </c>
      <c r="D10686" s="5" t="s">
        <v>13802</v>
      </c>
      <c r="E10686" s="6" t="str">
        <f>HYPERLINK("https://inpn.mnhn.fr/espece/cd_nom/225887","Polietes lardarius (Fabricius, 1781)")</f>
        <v>Polietes lardarius (Fabricius, 1781)</v>
      </c>
      <c r="AH10686" s="4" t="str">
        <f>HYPERLINK("#Statut_biogéographique!A"&amp;_xlfn.XMATCH("P",Statut_biogéographique!A:A,2,1),"P")</f>
        <v>P</v>
      </c>
      <c r="AP10686" s="4" t="s">
        <v>376</v>
      </c>
      <c r="AR10686" s="4" t="s">
        <v>377</v>
      </c>
    </row>
    <row r="10687" spans="1:44">
      <c r="A10687" s="4" t="s">
        <v>10753</v>
      </c>
      <c r="B10687" s="4">
        <v>22590</v>
      </c>
      <c r="D10687" s="5" t="s">
        <v>13803</v>
      </c>
      <c r="E10687" s="6" t="str">
        <f>HYPERLINK("https://inpn.mnhn.fr/espece/cd_nom/22590","Microphor holosericeus (Meigen, 1804)")</f>
        <v>Microphor holosericeus (Meigen, 1804)</v>
      </c>
      <c r="AH10687" s="4" t="str">
        <f>HYPERLINK("#Statut_biogéographique!A"&amp;_xlfn.XMATCH("P",Statut_biogéographique!A:A,2,1),"P")</f>
        <v>P</v>
      </c>
      <c r="AP10687" s="4" t="s">
        <v>376</v>
      </c>
      <c r="AR10687" s="4" t="s">
        <v>377</v>
      </c>
    </row>
    <row r="10688" spans="1:44">
      <c r="A10688" s="4" t="s">
        <v>10753</v>
      </c>
      <c r="B10688" s="4">
        <v>22591</v>
      </c>
      <c r="D10688" s="5">
        <v>22591</v>
      </c>
      <c r="E10688" s="6" t="str">
        <f>HYPERLINK("https://inpn.mnhn.fr/espece/cd_nom/22591","Bicellaria vana Collin, 1926")</f>
        <v>Bicellaria vana Collin, 1926</v>
      </c>
      <c r="AH10688" s="4" t="str">
        <f>HYPERLINK("#Statut_biogéographique!A"&amp;_xlfn.XMATCH("P",Statut_biogéographique!A:A,2,1),"P")</f>
        <v>P</v>
      </c>
      <c r="AP10688" s="4" t="s">
        <v>376</v>
      </c>
      <c r="AR10688" s="4" t="s">
        <v>377</v>
      </c>
    </row>
    <row r="10689" spans="1:44">
      <c r="A10689" s="4" t="s">
        <v>10753</v>
      </c>
      <c r="B10689" s="4">
        <v>225918</v>
      </c>
      <c r="D10689" s="5" t="s">
        <v>13804</v>
      </c>
      <c r="E10689" s="6" t="str">
        <f>HYPERLINK("https://inpn.mnhn.fr/espece/cd_nom/225918","Sciophila geniculata Zetterstedt, 1838")</f>
        <v>Sciophila geniculata Zetterstedt, 1838</v>
      </c>
      <c r="AH10689" s="4" t="str">
        <f>HYPERLINK("#Statut_biogéographique!A"&amp;_xlfn.XMATCH("P",Statut_biogéographique!A:A,2,1),"P")</f>
        <v>P</v>
      </c>
      <c r="AP10689" s="4" t="s">
        <v>376</v>
      </c>
      <c r="AR10689" s="4" t="s">
        <v>377</v>
      </c>
    </row>
    <row r="10690" spans="1:44">
      <c r="A10690" s="4" t="s">
        <v>10753</v>
      </c>
      <c r="B10690" s="4">
        <v>225926</v>
      </c>
      <c r="D10690" s="5" t="s">
        <v>13805</v>
      </c>
      <c r="E10690" s="6" t="str">
        <f>HYPERLINK("https://inpn.mnhn.fr/espece/cd_nom/225926","Phthinia mira (Ostroverkhova, 1977)")</f>
        <v>Phthinia mira (Ostroverkhova, 1977)</v>
      </c>
      <c r="AH10690" s="4" t="str">
        <f>HYPERLINK("#Statut_biogéographique!A"&amp;_xlfn.XMATCH("P",Statut_biogéographique!A:A,2,1),"P")</f>
        <v>P</v>
      </c>
      <c r="AP10690" s="4" t="s">
        <v>376</v>
      </c>
      <c r="AR10690" s="4" t="s">
        <v>377</v>
      </c>
    </row>
    <row r="10691" spans="1:44">
      <c r="A10691" s="4" t="s">
        <v>10753</v>
      </c>
      <c r="B10691" s="4">
        <v>225932</v>
      </c>
      <c r="D10691" s="5">
        <v>225932</v>
      </c>
      <c r="E10691" s="6" t="str">
        <f>HYPERLINK("https://inpn.mnhn.fr/espece/cd_nom/225932","Neoempheria winnertzi Edwards, 1913")</f>
        <v>Neoempheria winnertzi Edwards, 1913</v>
      </c>
      <c r="AH10691" s="4" t="str">
        <f>HYPERLINK("#Statut_biogéographique!A"&amp;_xlfn.XMATCH("P",Statut_biogéographique!A:A,2,1),"P")</f>
        <v>P</v>
      </c>
      <c r="AP10691" s="4" t="s">
        <v>376</v>
      </c>
      <c r="AR10691" s="4" t="s">
        <v>377</v>
      </c>
    </row>
    <row r="10692" spans="1:44">
      <c r="A10692" s="4" t="s">
        <v>10753</v>
      </c>
      <c r="B10692" s="4">
        <v>225935</v>
      </c>
      <c r="D10692" s="5" t="s">
        <v>13806</v>
      </c>
      <c r="E10692" s="6" t="str">
        <f>HYPERLINK("https://inpn.mnhn.fr/espece/cd_nom/225935","Mycomya annulata (Meigen, 1818)")</f>
        <v>Mycomya annulata (Meigen, 1818)</v>
      </c>
      <c r="AH10692" s="4" t="str">
        <f>HYPERLINK("#Statut_biogéographique!A"&amp;_xlfn.XMATCH("P",Statut_biogéographique!A:A,2,1),"P")</f>
        <v>P</v>
      </c>
      <c r="AP10692" s="4" t="s">
        <v>376</v>
      </c>
      <c r="AR10692" s="4" t="s">
        <v>377</v>
      </c>
    </row>
    <row r="10693" spans="1:44">
      <c r="A10693" s="4" t="s">
        <v>10753</v>
      </c>
      <c r="B10693" s="4">
        <v>22594</v>
      </c>
      <c r="D10693" s="5">
        <v>22594</v>
      </c>
      <c r="E10693" s="6" t="str">
        <f>HYPERLINK("https://inpn.mnhn.fr/espece/cd_nom/22594","Euthyneura myrtilli Macquart, 1836")</f>
        <v>Euthyneura myrtilli Macquart, 1836</v>
      </c>
      <c r="AH10693" s="4" t="str">
        <f>HYPERLINK("#Statut_biogéographique!A"&amp;_xlfn.XMATCH("P",Statut_biogéographique!A:A,2,1),"P")</f>
        <v>P</v>
      </c>
      <c r="AP10693" s="4" t="s">
        <v>376</v>
      </c>
      <c r="AR10693" s="4" t="s">
        <v>377</v>
      </c>
    </row>
    <row r="10694" spans="1:44">
      <c r="A10694" s="4" t="s">
        <v>10753</v>
      </c>
      <c r="B10694" s="4">
        <v>225941</v>
      </c>
      <c r="D10694" s="5" t="s">
        <v>13807</v>
      </c>
      <c r="E10694" s="6" t="str">
        <f>HYPERLINK("https://inpn.mnhn.fr/espece/cd_nom/225941","Mycomya dziedzickii Väisänen, 1984")</f>
        <v>Mycomya dziedzickii Väisänen, 1984</v>
      </c>
      <c r="AH10694" s="4" t="str">
        <f>HYPERLINK("#Statut_biogéographique!A"&amp;_xlfn.XMATCH("P",Statut_biogéographique!A:A,2,1),"P")</f>
        <v>P</v>
      </c>
      <c r="AP10694" s="4" t="s">
        <v>376</v>
      </c>
      <c r="AR10694" s="4" t="s">
        <v>377</v>
      </c>
    </row>
    <row r="10695" spans="1:44">
      <c r="A10695" s="4" t="s">
        <v>10753</v>
      </c>
      <c r="B10695" s="4">
        <v>225943</v>
      </c>
      <c r="D10695" s="5" t="s">
        <v>13808</v>
      </c>
      <c r="E10695" s="6" t="str">
        <f>HYPERLINK("https://inpn.mnhn.fr/espece/cd_nom/225943","Mycomya flavicollis (Zetterstedt, 1852)")</f>
        <v>Mycomya flavicollis (Zetterstedt, 1852)</v>
      </c>
      <c r="AH10695" s="4" t="str">
        <f>HYPERLINK("#Statut_biogéographique!A"&amp;_xlfn.XMATCH("P",Statut_biogéographique!A:A,2,1),"P")</f>
        <v>P</v>
      </c>
      <c r="AP10695" s="4" t="s">
        <v>376</v>
      </c>
      <c r="AR10695" s="4" t="s">
        <v>377</v>
      </c>
    </row>
    <row r="10696" spans="1:44">
      <c r="A10696" s="4" t="s">
        <v>10753</v>
      </c>
      <c r="B10696" s="4">
        <v>225951</v>
      </c>
      <c r="D10696" s="5" t="s">
        <v>13809</v>
      </c>
      <c r="E10696" s="6" t="str">
        <f>HYPERLINK("https://inpn.mnhn.fr/espece/cd_nom/225951","Mycomya nitida (Zetterstedt, 1852)")</f>
        <v>Mycomya nitida (Zetterstedt, 1852)</v>
      </c>
      <c r="AH10696" s="4" t="str">
        <f>HYPERLINK("#Statut_biogéographique!A"&amp;_xlfn.XMATCH("P",Statut_biogéographique!A:A,2,1),"P")</f>
        <v>P</v>
      </c>
      <c r="AP10696" s="4" t="s">
        <v>376</v>
      </c>
      <c r="AR10696" s="4" t="s">
        <v>377</v>
      </c>
    </row>
    <row r="10697" spans="1:44">
      <c r="A10697" s="4" t="s">
        <v>10753</v>
      </c>
      <c r="B10697" s="4">
        <v>225955</v>
      </c>
      <c r="D10697" s="5" t="s">
        <v>13810</v>
      </c>
      <c r="E10697" s="6" t="str">
        <f>HYPERLINK("https://inpn.mnhn.fr/espece/cd_nom/225955","Mycomya prominens (Lundström, 1913)")</f>
        <v>Mycomya prominens (Lundström, 1913)</v>
      </c>
      <c r="AH10697" s="4" t="str">
        <f>HYPERLINK("#Statut_biogéographique!A"&amp;_xlfn.XMATCH("P",Statut_biogéographique!A:A,2,1),"P")</f>
        <v>P</v>
      </c>
      <c r="AP10697" s="4" t="s">
        <v>376</v>
      </c>
      <c r="AR10697" s="4" t="s">
        <v>377</v>
      </c>
    </row>
    <row r="10698" spans="1:44">
      <c r="A10698" s="4" t="s">
        <v>10753</v>
      </c>
      <c r="B10698" s="4">
        <v>225957</v>
      </c>
      <c r="D10698" s="5" t="s">
        <v>13811</v>
      </c>
      <c r="E10698" s="6" t="str">
        <f>HYPERLINK("https://inpn.mnhn.fr/espece/cd_nom/225957","Mycomya ruficollis (Zetterstedt, 1852)")</f>
        <v>Mycomya ruficollis (Zetterstedt, 1852)</v>
      </c>
      <c r="AH10698" s="4" t="str">
        <f>HYPERLINK("#Statut_biogéographique!A"&amp;_xlfn.XMATCH("P",Statut_biogéographique!A:A,2,1),"P")</f>
        <v>P</v>
      </c>
      <c r="AP10698" s="4" t="s">
        <v>376</v>
      </c>
      <c r="AR10698" s="4" t="s">
        <v>377</v>
      </c>
    </row>
    <row r="10699" spans="1:44">
      <c r="A10699" s="4" t="s">
        <v>10753</v>
      </c>
      <c r="B10699" s="4">
        <v>225963</v>
      </c>
      <c r="D10699" s="5" t="s">
        <v>13812</v>
      </c>
      <c r="E10699" s="6" t="str">
        <f>HYPERLINK("https://inpn.mnhn.fr/espece/cd_nom/225963","Mycomya tumida (Winnertz, 1864)")</f>
        <v>Mycomya tumida (Winnertz, 1864)</v>
      </c>
      <c r="AH10699" s="4" t="str">
        <f>HYPERLINK("#Statut_biogéographique!A"&amp;_xlfn.XMATCH("P",Statut_biogéographique!A:A,2,1),"P")</f>
        <v>P</v>
      </c>
      <c r="AP10699" s="4" t="s">
        <v>376</v>
      </c>
      <c r="AR10699" s="4" t="s">
        <v>377</v>
      </c>
    </row>
    <row r="10700" spans="1:44" ht="30">
      <c r="A10700" s="4" t="s">
        <v>10753</v>
      </c>
      <c r="B10700" s="4">
        <v>225964</v>
      </c>
      <c r="D10700" s="5" t="s">
        <v>13813</v>
      </c>
      <c r="E10700" s="6" t="str">
        <f>HYPERLINK("https://inpn.mnhn.fr/espece/cd_nom/225964","Mycomya wankowiczii (Dziedzicki, 1885)")</f>
        <v>Mycomya wankowiczii (Dziedzicki, 1885)</v>
      </c>
      <c r="AH10700" s="4" t="str">
        <f>HYPERLINK("#Statut_biogéographique!A"&amp;_xlfn.XMATCH("P",Statut_biogéographique!A:A,2,1),"P")</f>
        <v>P</v>
      </c>
      <c r="AP10700" s="4" t="s">
        <v>376</v>
      </c>
      <c r="AR10700" s="4" t="s">
        <v>377</v>
      </c>
    </row>
    <row r="10701" spans="1:44">
      <c r="A10701" s="4" t="s">
        <v>10753</v>
      </c>
      <c r="B10701" s="4">
        <v>225965</v>
      </c>
      <c r="D10701" s="5" t="s">
        <v>13814</v>
      </c>
      <c r="E10701" s="6" t="str">
        <f>HYPERLINK("https://inpn.mnhn.fr/espece/cd_nom/225965","Mycomya winnertzi (Dziedzicki, 1885)")</f>
        <v>Mycomya winnertzi (Dziedzicki, 1885)</v>
      </c>
      <c r="AH10701" s="4" t="str">
        <f>HYPERLINK("#Statut_biogéographique!A"&amp;_xlfn.XMATCH("P",Statut_biogéographique!A:A,2,1),"P")</f>
        <v>P</v>
      </c>
      <c r="AP10701" s="4" t="s">
        <v>376</v>
      </c>
      <c r="AR10701" s="4" t="s">
        <v>377</v>
      </c>
    </row>
    <row r="10702" spans="1:44">
      <c r="A10702" s="4" t="s">
        <v>10753</v>
      </c>
      <c r="B10702" s="4">
        <v>22597</v>
      </c>
      <c r="D10702" s="5" t="s">
        <v>13815</v>
      </c>
      <c r="E10702" s="6" t="str">
        <f>HYPERLINK("https://inpn.mnhn.fr/espece/cd_nom/22597","Leptopeza flavipes (Meigen, 1820)")</f>
        <v>Leptopeza flavipes (Meigen, 1820)</v>
      </c>
      <c r="AH10702" s="4" t="str">
        <f>HYPERLINK("#Statut_biogéographique!A"&amp;_xlfn.XMATCH("P",Statut_biogéographique!A:A,2,1),"P")</f>
        <v>P</v>
      </c>
      <c r="AP10702" s="4" t="s">
        <v>376</v>
      </c>
      <c r="AR10702" s="4" t="s">
        <v>377</v>
      </c>
    </row>
    <row r="10703" spans="1:44">
      <c r="A10703" s="4" t="s">
        <v>10753</v>
      </c>
      <c r="B10703" s="4">
        <v>225970</v>
      </c>
      <c r="D10703" s="5" t="s">
        <v>13816</v>
      </c>
      <c r="E10703" s="6" t="str">
        <f>HYPERLINK("https://inpn.mnhn.fr/espece/cd_nom/225970","Mycomya trilineata (Zetterstedt, 1838)")</f>
        <v>Mycomya trilineata (Zetterstedt, 1838)</v>
      </c>
      <c r="AH10703" s="4" t="str">
        <f>HYPERLINK("#Statut_biogéographique!A"&amp;_xlfn.XMATCH("P",Statut_biogéographique!A:A,2,1),"P")</f>
        <v>P</v>
      </c>
      <c r="AP10703" s="4" t="s">
        <v>376</v>
      </c>
      <c r="AR10703" s="4" t="s">
        <v>377</v>
      </c>
    </row>
    <row r="10704" spans="1:44">
      <c r="A10704" s="4" t="s">
        <v>10753</v>
      </c>
      <c r="B10704" s="4">
        <v>225971</v>
      </c>
      <c r="D10704" s="5" t="s">
        <v>13817</v>
      </c>
      <c r="E10704" s="6" t="str">
        <f>HYPERLINK("https://inpn.mnhn.fr/espece/cd_nom/225971","Mycomya fimbriata (Meigen, 1818)")</f>
        <v>Mycomya fimbriata (Meigen, 1818)</v>
      </c>
      <c r="AH10704" s="4" t="str">
        <f>HYPERLINK("#Statut_biogéographique!A"&amp;_xlfn.XMATCH("P",Statut_biogéographique!A:A,2,1),"P")</f>
        <v>P</v>
      </c>
      <c r="AP10704" s="4" t="s">
        <v>376</v>
      </c>
      <c r="AR10704" s="4" t="s">
        <v>377</v>
      </c>
    </row>
    <row r="10705" spans="1:44" ht="30">
      <c r="A10705" s="4" t="s">
        <v>10753</v>
      </c>
      <c r="B10705" s="4">
        <v>225975</v>
      </c>
      <c r="D10705" s="5" t="s">
        <v>13818</v>
      </c>
      <c r="E10705" s="6" t="str">
        <f>HYPERLINK("https://inpn.mnhn.fr/espece/cd_nom/225975","Stigmatomeria crassicornis (Stannius, 1831)")</f>
        <v>Stigmatomeria crassicornis (Stannius, 1831)</v>
      </c>
      <c r="AH10705" s="4" t="str">
        <f>HYPERLINK("#Statut_biogéographique!A"&amp;_xlfn.XMATCH("P",Statut_biogéographique!A:A,2,1),"P")</f>
        <v>P</v>
      </c>
      <c r="AP10705" s="4" t="s">
        <v>376</v>
      </c>
      <c r="AR10705" s="4" t="s">
        <v>377</v>
      </c>
    </row>
    <row r="10706" spans="1:44" ht="30">
      <c r="A10706" s="4" t="s">
        <v>10753</v>
      </c>
      <c r="B10706" s="4">
        <v>22599</v>
      </c>
      <c r="D10706" s="5" t="s">
        <v>13819</v>
      </c>
      <c r="E10706" s="6" t="str">
        <f>HYPERLINK("https://inpn.mnhn.fr/espece/cd_nom/22599","Ocydromia glabricula (Fallén, 1816)")</f>
        <v>Ocydromia glabricula (Fallén, 1816)</v>
      </c>
      <c r="AH10706" s="4" t="str">
        <f>HYPERLINK("#Statut_biogéographique!A"&amp;_xlfn.XMATCH("P",Statut_biogéographique!A:A,2,1),"P")</f>
        <v>P</v>
      </c>
      <c r="AP10706" s="4" t="s">
        <v>376</v>
      </c>
      <c r="AR10706" s="4" t="s">
        <v>377</v>
      </c>
    </row>
    <row r="10707" spans="1:44">
      <c r="A10707" s="4" t="s">
        <v>10753</v>
      </c>
      <c r="B10707" s="4">
        <v>226017</v>
      </c>
      <c r="D10707" s="5">
        <v>226017</v>
      </c>
      <c r="E10707" s="6" t="str">
        <f>HYPERLINK("https://inpn.mnhn.fr/espece/cd_nom/226017","Exechia lundstroemi Landrock, 1923")</f>
        <v>Exechia lundstroemi Landrock, 1923</v>
      </c>
      <c r="AH10707" s="4" t="str">
        <f>HYPERLINK("#Statut_biogéographique!A"&amp;_xlfn.XMATCH("P",Statut_biogéographique!A:A,2,1),"P")</f>
        <v>P</v>
      </c>
      <c r="AP10707" s="4" t="s">
        <v>376</v>
      </c>
      <c r="AR10707" s="4" t="s">
        <v>377</v>
      </c>
    </row>
    <row r="10708" spans="1:44">
      <c r="A10708" s="4" t="s">
        <v>10753</v>
      </c>
      <c r="B10708" s="4">
        <v>22602</v>
      </c>
      <c r="D10708" s="5">
        <v>22602</v>
      </c>
      <c r="E10708" s="6" t="str">
        <f>HYPERLINK("https://inpn.mnhn.fr/espece/cd_nom/22602","Oedalea flavipes Zetterstedt, 1842")</f>
        <v>Oedalea flavipes Zetterstedt, 1842</v>
      </c>
      <c r="AH10708" s="4" t="str">
        <f>HYPERLINK("#Statut_biogéographique!A"&amp;_xlfn.XMATCH("P",Statut_biogéographique!A:A,2,1),"P")</f>
        <v>P</v>
      </c>
      <c r="AP10708" s="4" t="s">
        <v>376</v>
      </c>
      <c r="AR10708" s="4" t="s">
        <v>377</v>
      </c>
    </row>
    <row r="10709" spans="1:44">
      <c r="A10709" s="4" t="s">
        <v>10753</v>
      </c>
      <c r="B10709" s="4">
        <v>226020</v>
      </c>
      <c r="D10709" s="5">
        <v>226020</v>
      </c>
      <c r="E10709" s="6" t="str">
        <f>HYPERLINK("https://inpn.mnhn.fr/espece/cd_nom/226020","Exechia pseudofestiva Lackschewitz, 1937")</f>
        <v>Exechia pseudofestiva Lackschewitz, 1937</v>
      </c>
      <c r="AH10709" s="4" t="str">
        <f>HYPERLINK("#Statut_biogéographique!A"&amp;_xlfn.XMATCH("P",Statut_biogéographique!A:A,2,1),"P")</f>
        <v>P</v>
      </c>
      <c r="AP10709" s="4" t="s">
        <v>376</v>
      </c>
      <c r="AR10709" s="4" t="s">
        <v>377</v>
      </c>
    </row>
    <row r="10710" spans="1:44">
      <c r="A10710" s="4" t="s">
        <v>10753</v>
      </c>
      <c r="B10710" s="4">
        <v>226021</v>
      </c>
      <c r="D10710" s="5">
        <v>226021</v>
      </c>
      <c r="E10710" s="6" t="str">
        <f>HYPERLINK("https://inpn.mnhn.fr/espece/cd_nom/226021","Exechia repandoides Caspers, 1984")</f>
        <v>Exechia repandoides Caspers, 1984</v>
      </c>
      <c r="AH10710" s="4" t="str">
        <f>HYPERLINK("#Statut_biogéographique!A"&amp;_xlfn.XMATCH("P",Statut_biogéographique!A:A,2,1),"P")</f>
        <v>P</v>
      </c>
      <c r="AP10710" s="4" t="s">
        <v>376</v>
      </c>
      <c r="AR10710" s="4" t="s">
        <v>377</v>
      </c>
    </row>
    <row r="10711" spans="1:44">
      <c r="A10711" s="4" t="s">
        <v>10753</v>
      </c>
      <c r="B10711" s="4">
        <v>226024</v>
      </c>
      <c r="D10711" s="5" t="s">
        <v>13820</v>
      </c>
      <c r="E10711" s="6" t="str">
        <f>HYPERLINK("https://inpn.mnhn.fr/espece/cd_nom/226024","Cordyla brevicornis (Stæger, 1840)")</f>
        <v>Cordyla brevicornis (Stæger, 1840)</v>
      </c>
      <c r="AH10711" s="4" t="str">
        <f>HYPERLINK("#Statut_biogéographique!A"&amp;_xlfn.XMATCH("P",Statut_biogéographique!A:A,2,1),"P")</f>
        <v>P</v>
      </c>
      <c r="AP10711" s="4" t="s">
        <v>376</v>
      </c>
      <c r="AR10711" s="4" t="s">
        <v>377</v>
      </c>
    </row>
    <row r="10712" spans="1:44">
      <c r="A10712" s="4" t="s">
        <v>10753</v>
      </c>
      <c r="B10712" s="4">
        <v>226025</v>
      </c>
      <c r="D10712" s="5" t="s">
        <v>13821</v>
      </c>
      <c r="E10712" s="6" t="str">
        <f>HYPERLINK("https://inpn.mnhn.fr/espece/cd_nom/226025","Cordyla fasciata Meigen, 1830")</f>
        <v>Cordyla fasciata Meigen, 1830</v>
      </c>
      <c r="AH10712" s="4" t="str">
        <f>HYPERLINK("#Statut_biogéographique!A"&amp;_xlfn.XMATCH("P",Statut_biogéographique!A:A,2,1),"P")</f>
        <v>P</v>
      </c>
      <c r="AP10712" s="4" t="s">
        <v>376</v>
      </c>
      <c r="AR10712" s="4" t="s">
        <v>377</v>
      </c>
    </row>
    <row r="10713" spans="1:44">
      <c r="A10713" s="4" t="s">
        <v>10753</v>
      </c>
      <c r="B10713" s="4">
        <v>226026</v>
      </c>
      <c r="D10713" s="5">
        <v>226026</v>
      </c>
      <c r="E10713" s="6" t="str">
        <f>HYPERLINK("https://inpn.mnhn.fr/espece/cd_nom/226026","Cordyla fissa Edwards, 1925")</f>
        <v>Cordyla fissa Edwards, 1925</v>
      </c>
      <c r="AH10713" s="4" t="str">
        <f>HYPERLINK("#Statut_biogéographique!A"&amp;_xlfn.XMATCH("P",Statut_biogéographique!A:A,2,1),"P")</f>
        <v>P</v>
      </c>
      <c r="AP10713" s="4" t="s">
        <v>376</v>
      </c>
      <c r="AR10713" s="4" t="s">
        <v>377</v>
      </c>
    </row>
    <row r="10714" spans="1:44">
      <c r="A10714" s="4" t="s">
        <v>10753</v>
      </c>
      <c r="B10714" s="4">
        <v>226029</v>
      </c>
      <c r="D10714" s="5">
        <v>226029</v>
      </c>
      <c r="E10714" s="6" t="str">
        <f>HYPERLINK("https://inpn.mnhn.fr/espece/cd_nom/226029","Cordyla parvipalpis Edwards, 1925")</f>
        <v>Cordyla parvipalpis Edwards, 1925</v>
      </c>
      <c r="AH10714" s="4" t="str">
        <f>HYPERLINK("#Statut_biogéographique!A"&amp;_xlfn.XMATCH("P",Statut_biogéographique!A:A,2,1),"P")</f>
        <v>P</v>
      </c>
      <c r="AP10714" s="4" t="s">
        <v>376</v>
      </c>
      <c r="AR10714" s="4" t="s">
        <v>377</v>
      </c>
    </row>
    <row r="10715" spans="1:44">
      <c r="A10715" s="4" t="s">
        <v>10753</v>
      </c>
      <c r="B10715" s="4">
        <v>22603</v>
      </c>
      <c r="D10715" s="5">
        <v>22603</v>
      </c>
      <c r="E10715" s="6" t="str">
        <f>HYPERLINK("https://inpn.mnhn.fr/espece/cd_nom/22603","Oedalea holmgreni Zetterstedt, 1852")</f>
        <v>Oedalea holmgreni Zetterstedt, 1852</v>
      </c>
      <c r="AH10715" s="4" t="str">
        <f>HYPERLINK("#Statut_biogéographique!A"&amp;_xlfn.XMATCH("P",Statut_biogéographique!A:A,2,1),"P")</f>
        <v>P</v>
      </c>
      <c r="AP10715" s="4" t="s">
        <v>376</v>
      </c>
      <c r="AR10715" s="4" t="s">
        <v>377</v>
      </c>
    </row>
    <row r="10716" spans="1:44">
      <c r="A10716" s="4" t="s">
        <v>10753</v>
      </c>
      <c r="B10716" s="4">
        <v>226032</v>
      </c>
      <c r="D10716" s="5" t="s">
        <v>13822</v>
      </c>
      <c r="E10716" s="6" t="str">
        <f>HYPERLINK("https://inpn.mnhn.fr/espece/cd_nom/226032","Brevicornu fissicauda (Lundström, 1911)")</f>
        <v>Brevicornu fissicauda (Lundström, 1911)</v>
      </c>
      <c r="AH10716" s="4" t="str">
        <f>HYPERLINK("#Statut_biogéographique!A"&amp;_xlfn.XMATCH("P",Statut_biogéographique!A:A,2,1),"P")</f>
        <v>P</v>
      </c>
      <c r="AP10716" s="4" t="s">
        <v>376</v>
      </c>
      <c r="AR10716" s="4" t="s">
        <v>377</v>
      </c>
    </row>
    <row r="10717" spans="1:44" ht="30">
      <c r="A10717" s="4" t="s">
        <v>10753</v>
      </c>
      <c r="B10717" s="4">
        <v>226036</v>
      </c>
      <c r="D10717" s="5" t="s">
        <v>13823</v>
      </c>
      <c r="E10717" s="6" t="str">
        <f>HYPERLINK("https://inpn.mnhn.fr/espece/cd_nom/226036","Brevicornu griseicolle (Stæger, 1840)")</f>
        <v>Brevicornu griseicolle (Stæger, 1840)</v>
      </c>
      <c r="AH10717" s="4" t="str">
        <f>HYPERLINK("#Statut_biogéographique!A"&amp;_xlfn.XMATCH("P",Statut_biogéographique!A:A,2,1),"P")</f>
        <v>P</v>
      </c>
      <c r="AP10717" s="4" t="s">
        <v>376</v>
      </c>
      <c r="AR10717" s="4" t="s">
        <v>377</v>
      </c>
    </row>
    <row r="10718" spans="1:44">
      <c r="A10718" s="4" t="s">
        <v>10753</v>
      </c>
      <c r="B10718" s="4">
        <v>226038</v>
      </c>
      <c r="D10718" s="5">
        <v>226038</v>
      </c>
      <c r="E10718" s="6" t="str">
        <f>HYPERLINK("https://inpn.mnhn.fr/espece/cd_nom/226038","Brevicornu improvisum Zaitzev, 1992")</f>
        <v>Brevicornu improvisum Zaitzev, 1992</v>
      </c>
      <c r="AH10718" s="4" t="str">
        <f>HYPERLINK("#Statut_biogéographique!A"&amp;_xlfn.XMATCH("P",Statut_biogéographique!A:A,2,1),"P")</f>
        <v>P</v>
      </c>
      <c r="AP10718" s="4" t="s">
        <v>376</v>
      </c>
      <c r="AR10718" s="4" t="s">
        <v>377</v>
      </c>
    </row>
    <row r="10719" spans="1:44">
      <c r="A10719" s="4" t="s">
        <v>10753</v>
      </c>
      <c r="B10719" s="4">
        <v>22604</v>
      </c>
      <c r="D10719" s="5" t="s">
        <v>13824</v>
      </c>
      <c r="E10719" s="6" t="str">
        <f>HYPERLINK("https://inpn.mnhn.fr/espece/cd_nom/22604","Oedalea hybotina (Fallén, 1816)")</f>
        <v>Oedalea hybotina (Fallén, 1816)</v>
      </c>
      <c r="AH10719" s="4" t="str">
        <f>HYPERLINK("#Statut_biogéographique!A"&amp;_xlfn.XMATCH("P",Statut_biogéographique!A:A,2,1),"P")</f>
        <v>P</v>
      </c>
      <c r="AP10719" s="4" t="s">
        <v>376</v>
      </c>
      <c r="AR10719" s="4" t="s">
        <v>377</v>
      </c>
    </row>
    <row r="10720" spans="1:44">
      <c r="A10720" s="4" t="s">
        <v>10753</v>
      </c>
      <c r="B10720" s="4">
        <v>226042</v>
      </c>
      <c r="D10720" s="5" t="s">
        <v>13825</v>
      </c>
      <c r="E10720" s="6" t="str">
        <f>HYPERLINK("https://inpn.mnhn.fr/espece/cd_nom/226042","Brevicornu proximum (Stæger, 1840)")</f>
        <v>Brevicornu proximum (Stæger, 1840)</v>
      </c>
      <c r="AH10720" s="4" t="str">
        <f>HYPERLINK("#Statut_biogéographique!A"&amp;_xlfn.XMATCH("P",Statut_biogéographique!A:A,2,1),"P")</f>
        <v>P</v>
      </c>
      <c r="AP10720" s="4" t="s">
        <v>376</v>
      </c>
      <c r="AR10720" s="4" t="s">
        <v>377</v>
      </c>
    </row>
    <row r="10721" spans="1:44">
      <c r="A10721" s="4" t="s">
        <v>10753</v>
      </c>
      <c r="B10721" s="4">
        <v>226043</v>
      </c>
      <c r="D10721" s="5" t="s">
        <v>13826</v>
      </c>
      <c r="E10721" s="6" t="str">
        <f>HYPERLINK("https://inpn.mnhn.fr/espece/cd_nom/226043","Brevicornu ruficorne (Meigen, 1838)")</f>
        <v>Brevicornu ruficorne (Meigen, 1838)</v>
      </c>
      <c r="AH10721" s="4" t="str">
        <f>HYPERLINK("#Statut_biogéographique!A"&amp;_xlfn.XMATCH("P",Statut_biogéographique!A:A,2,1),"P")</f>
        <v>P</v>
      </c>
      <c r="AP10721" s="4" t="s">
        <v>376</v>
      </c>
      <c r="AR10721" s="4" t="s">
        <v>377</v>
      </c>
    </row>
    <row r="10722" spans="1:44" ht="30">
      <c r="A10722" s="4" t="s">
        <v>10753</v>
      </c>
      <c r="B10722" s="4">
        <v>226045</v>
      </c>
      <c r="D10722" s="5" t="s">
        <v>13827</v>
      </c>
      <c r="E10722" s="6" t="str">
        <f>HYPERLINK("https://inpn.mnhn.fr/espece/cd_nom/226045","Brevicornu sericoma (Meigen, 1830)")</f>
        <v>Brevicornu sericoma (Meigen, 1830)</v>
      </c>
      <c r="AH10722" s="4" t="str">
        <f>HYPERLINK("#Statut_biogéographique!A"&amp;_xlfn.XMATCH("P",Statut_biogéographique!A:A,2,1),"P")</f>
        <v>P</v>
      </c>
      <c r="AP10722" s="4" t="s">
        <v>376</v>
      </c>
      <c r="AR10722" s="4" t="s">
        <v>377</v>
      </c>
    </row>
    <row r="10723" spans="1:44">
      <c r="A10723" s="4" t="s">
        <v>10753</v>
      </c>
      <c r="B10723" s="4">
        <v>22605</v>
      </c>
      <c r="D10723" s="5">
        <v>22605</v>
      </c>
      <c r="E10723" s="6" t="str">
        <f>HYPERLINK("https://inpn.mnhn.fr/espece/cd_nom/22605","Oedalea stigmatella Zetterstedt, 1842")</f>
        <v>Oedalea stigmatella Zetterstedt, 1842</v>
      </c>
      <c r="AH10723" s="4" t="str">
        <f>HYPERLINK("#Statut_biogéographique!A"&amp;_xlfn.XMATCH("P",Statut_biogéographique!A:A,2,1),"P")</f>
        <v>P</v>
      </c>
      <c r="AP10723" s="4" t="s">
        <v>376</v>
      </c>
      <c r="AR10723" s="4" t="s">
        <v>377</v>
      </c>
    </row>
    <row r="10724" spans="1:44">
      <c r="A10724" s="4" t="s">
        <v>10753</v>
      </c>
      <c r="B10724" s="4">
        <v>22607</v>
      </c>
      <c r="D10724" s="5">
        <v>22607</v>
      </c>
      <c r="E10724" s="6" t="str">
        <f>HYPERLINK("https://inpn.mnhn.fr/espece/cd_nom/22607","Oedalea zetterstedti Collin, 1926")</f>
        <v>Oedalea zetterstedti Collin, 1926</v>
      </c>
      <c r="AH10724" s="4" t="str">
        <f>HYPERLINK("#Statut_biogéographique!A"&amp;_xlfn.XMATCH("P",Statut_biogéographique!A:A,2,1),"P")</f>
        <v>P</v>
      </c>
      <c r="AP10724" s="4" t="s">
        <v>376</v>
      </c>
      <c r="AR10724" s="4" t="s">
        <v>377</v>
      </c>
    </row>
    <row r="10725" spans="1:44">
      <c r="A10725" s="4" t="s">
        <v>10753</v>
      </c>
      <c r="B10725" s="4">
        <v>226073</v>
      </c>
      <c r="D10725" s="5" t="s">
        <v>13828</v>
      </c>
      <c r="E10725" s="6" t="str">
        <f>HYPERLINK("https://inpn.mnhn.fr/espece/cd_nom/226073","Allodia grata (Meigen, 1830)")</f>
        <v>Allodia grata (Meigen, 1830)</v>
      </c>
      <c r="AH10725" s="4" t="str">
        <f>HYPERLINK("#Statut_biogéographique!A"&amp;_xlfn.XMATCH("P",Statut_biogéographique!A:A,2,1),"P")</f>
        <v>P</v>
      </c>
      <c r="AP10725" s="4" t="s">
        <v>376</v>
      </c>
      <c r="AR10725" s="4" t="s">
        <v>377</v>
      </c>
    </row>
    <row r="10726" spans="1:44">
      <c r="A10726" s="4" t="s">
        <v>10753</v>
      </c>
      <c r="B10726" s="4">
        <v>226075</v>
      </c>
      <c r="D10726" s="5" t="s">
        <v>13829</v>
      </c>
      <c r="E10726" s="6" t="str">
        <f>HYPERLINK("https://inpn.mnhn.fr/espece/cd_nom/226075","Allodia pistillata (Lundström, 1911)")</f>
        <v>Allodia pistillata (Lundström, 1911)</v>
      </c>
      <c r="AH10726" s="4" t="str">
        <f>HYPERLINK("#Statut_biogéographique!A"&amp;_xlfn.XMATCH("P",Statut_biogéographique!A:A,2,1),"P")</f>
        <v>P</v>
      </c>
      <c r="AP10726" s="4" t="s">
        <v>376</v>
      </c>
      <c r="AR10726" s="4" t="s">
        <v>377</v>
      </c>
    </row>
    <row r="10727" spans="1:44">
      <c r="A10727" s="4" t="s">
        <v>10753</v>
      </c>
      <c r="B10727" s="4">
        <v>226088</v>
      </c>
      <c r="D10727" s="5" t="s">
        <v>13830</v>
      </c>
      <c r="E10727" s="6" t="str">
        <f>HYPERLINK("https://inpn.mnhn.fr/espece/cd_nom/226088","Trichonta vulcani (Dziedzicki, 1889)")</f>
        <v>Trichonta vulcani (Dziedzicki, 1889)</v>
      </c>
      <c r="AH10727" s="4" t="str">
        <f>HYPERLINK("#Statut_biogéographique!A"&amp;_xlfn.XMATCH("P",Statut_biogéographique!A:A,2,1),"P")</f>
        <v>P</v>
      </c>
      <c r="AP10727" s="4" t="s">
        <v>376</v>
      </c>
      <c r="AR10727" s="4" t="s">
        <v>377</v>
      </c>
    </row>
    <row r="10728" spans="1:44">
      <c r="A10728" s="4" t="s">
        <v>10753</v>
      </c>
      <c r="B10728" s="4">
        <v>22609</v>
      </c>
      <c r="D10728" s="5" t="s">
        <v>13831</v>
      </c>
      <c r="E10728" s="6" t="str">
        <f>HYPERLINK("https://inpn.mnhn.fr/espece/cd_nom/22609","Oropezella sphenoptera (Loew, 1873)")</f>
        <v>Oropezella sphenoptera (Loew, 1873)</v>
      </c>
      <c r="AH10728" s="4" t="str">
        <f>HYPERLINK("#Statut_biogéographique!A"&amp;_xlfn.XMATCH("P",Statut_biogéographique!A:A,2,1),"P")</f>
        <v>P</v>
      </c>
      <c r="AP10728" s="4" t="s">
        <v>376</v>
      </c>
      <c r="AR10728" s="4" t="s">
        <v>377</v>
      </c>
    </row>
    <row r="10729" spans="1:44">
      <c r="A10729" s="4" t="s">
        <v>10753</v>
      </c>
      <c r="B10729" s="4">
        <v>226090</v>
      </c>
      <c r="D10729" s="5" t="s">
        <v>13832</v>
      </c>
      <c r="E10729" s="6" t="str">
        <f>HYPERLINK("https://inpn.mnhn.fr/espece/cd_nom/226090","Sceptonia costata (van der Wulp, 1859)")</f>
        <v>Sceptonia costata (van der Wulp, 1859)</v>
      </c>
      <c r="AH10729" s="4" t="str">
        <f>HYPERLINK("#Statut_biogéographique!A"&amp;_xlfn.XMATCH("P",Statut_biogéographique!A:A,2,1),"P")</f>
        <v>P</v>
      </c>
      <c r="AP10729" s="4" t="s">
        <v>376</v>
      </c>
      <c r="AR10729" s="4" t="s">
        <v>377</v>
      </c>
    </row>
    <row r="10730" spans="1:44">
      <c r="A10730" s="4" t="s">
        <v>10753</v>
      </c>
      <c r="B10730" s="4">
        <v>226093</v>
      </c>
      <c r="D10730" s="5">
        <v>226093</v>
      </c>
      <c r="E10730" s="6" t="str">
        <f>HYPERLINK("https://inpn.mnhn.fr/espece/cd_nom/226093","Sceptonia membranacea Edwards, 1925")</f>
        <v>Sceptonia membranacea Edwards, 1925</v>
      </c>
      <c r="AH10730" s="4" t="str">
        <f>HYPERLINK("#Statut_biogéographique!A"&amp;_xlfn.XMATCH("P",Statut_biogéographique!A:A,2,1),"P")</f>
        <v>P</v>
      </c>
      <c r="AP10730" s="4" t="s">
        <v>376</v>
      </c>
      <c r="AR10730" s="4" t="s">
        <v>377</v>
      </c>
    </row>
    <row r="10731" spans="1:44">
      <c r="A10731" s="4" t="s">
        <v>10753</v>
      </c>
      <c r="B10731" s="4">
        <v>226094</v>
      </c>
      <c r="D10731" s="5">
        <v>226094</v>
      </c>
      <c r="E10731" s="6" t="str">
        <f>HYPERLINK("https://inpn.mnhn.fr/espece/cd_nom/226094","Sceptonia pilosa Bukowski, 1934")</f>
        <v>Sceptonia pilosa Bukowski, 1934</v>
      </c>
      <c r="AH10731" s="4" t="str">
        <f>HYPERLINK("#Statut_biogéographique!A"&amp;_xlfn.XMATCH("P",Statut_biogéographique!A:A,2,1),"P")</f>
        <v>P</v>
      </c>
      <c r="AP10731" s="4" t="s">
        <v>376</v>
      </c>
      <c r="AR10731" s="4" t="s">
        <v>377</v>
      </c>
    </row>
    <row r="10732" spans="1:44">
      <c r="A10732" s="4" t="s">
        <v>10753</v>
      </c>
      <c r="B10732" s="4">
        <v>226097</v>
      </c>
      <c r="D10732" s="5" t="s">
        <v>13833</v>
      </c>
      <c r="E10732" s="6" t="str">
        <f>HYPERLINK("https://inpn.mnhn.fr/espece/cd_nom/226097","Platurocypta testata (Edwards, 1925)")</f>
        <v>Platurocypta testata (Edwards, 1925)</v>
      </c>
      <c r="AH10732" s="4" t="str">
        <f>HYPERLINK("#Statut_biogéographique!A"&amp;_xlfn.XMATCH("P",Statut_biogéographique!A:A,2,1),"P")</f>
        <v>P</v>
      </c>
      <c r="AP10732" s="4" t="s">
        <v>376</v>
      </c>
      <c r="AR10732" s="4" t="s">
        <v>377</v>
      </c>
    </row>
    <row r="10733" spans="1:44" ht="30">
      <c r="A10733" s="4" t="s">
        <v>10753</v>
      </c>
      <c r="B10733" s="4">
        <v>226098</v>
      </c>
      <c r="D10733" s="5" t="s">
        <v>13834</v>
      </c>
      <c r="E10733" s="6" t="str">
        <f>HYPERLINK("https://inpn.mnhn.fr/espece/cd_nom/226098","Phronia biarcuata (Becker, 1908)")</f>
        <v>Phronia biarcuata (Becker, 1908)</v>
      </c>
      <c r="AH10733" s="4" t="str">
        <f>HYPERLINK("#Statut_biogéographique!A"&amp;_xlfn.XMATCH("P",Statut_biogéographique!A:A,2,1),"P")</f>
        <v>P</v>
      </c>
      <c r="AP10733" s="4" t="s">
        <v>376</v>
      </c>
      <c r="AR10733" s="4" t="s">
        <v>377</v>
      </c>
    </row>
    <row r="10734" spans="1:44">
      <c r="A10734" s="4" t="s">
        <v>10753</v>
      </c>
      <c r="B10734" s="4">
        <v>22611</v>
      </c>
      <c r="D10734" s="5">
        <v>22611</v>
      </c>
      <c r="E10734" s="6" t="str">
        <f>HYPERLINK("https://inpn.mnhn.fr/espece/cd_nom/22611","Trichina clavipes Meigen, 1830")</f>
        <v>Trichina clavipes Meigen, 1830</v>
      </c>
      <c r="AH10734" s="4" t="str">
        <f>HYPERLINK("#Statut_biogéographique!A"&amp;_xlfn.XMATCH("P",Statut_biogéographique!A:A,2,1),"P")</f>
        <v>P</v>
      </c>
      <c r="AP10734" s="4" t="s">
        <v>376</v>
      </c>
      <c r="AR10734" s="4" t="s">
        <v>377</v>
      </c>
    </row>
    <row r="10735" spans="1:44">
      <c r="A10735" s="4" t="s">
        <v>10753</v>
      </c>
      <c r="B10735" s="4">
        <v>226110</v>
      </c>
      <c r="D10735" s="5">
        <v>226110</v>
      </c>
      <c r="E10735" s="6" t="str">
        <f>HYPERLINK("https://inpn.mnhn.fr/espece/cd_nom/226110","Phronia obtusa Winnertz, 1864")</f>
        <v>Phronia obtusa Winnertz, 1864</v>
      </c>
      <c r="AH10735" s="4" t="str">
        <f>HYPERLINK("#Statut_biogéographique!A"&amp;_xlfn.XMATCH("P",Statut_biogéographique!A:A,2,1),"P")</f>
        <v>P</v>
      </c>
      <c r="AP10735" s="4" t="s">
        <v>376</v>
      </c>
      <c r="AR10735" s="4" t="s">
        <v>377</v>
      </c>
    </row>
    <row r="10736" spans="1:44">
      <c r="A10736" s="4" t="s">
        <v>10753</v>
      </c>
      <c r="B10736" s="4">
        <v>226114</v>
      </c>
      <c r="D10736" s="5" t="s">
        <v>13835</v>
      </c>
      <c r="E10736" s="6" t="str">
        <f>HYPERLINK("https://inpn.mnhn.fr/espece/cd_nom/226114","Phronia strenua Winnertz, 1864")</f>
        <v>Phronia strenua Winnertz, 1864</v>
      </c>
      <c r="AH10736" s="4" t="str">
        <f>HYPERLINK("#Statut_biogéographique!A"&amp;_xlfn.XMATCH("P",Statut_biogéographique!A:A,2,1),"P")</f>
        <v>P</v>
      </c>
      <c r="AP10736" s="4" t="s">
        <v>376</v>
      </c>
      <c r="AR10736" s="4" t="s">
        <v>377</v>
      </c>
    </row>
    <row r="10737" spans="1:44">
      <c r="A10737" s="4" t="s">
        <v>10753</v>
      </c>
      <c r="B10737" s="4">
        <v>22612</v>
      </c>
      <c r="D10737" s="5">
        <v>22612</v>
      </c>
      <c r="E10737" s="6" t="str">
        <f>HYPERLINK("https://inpn.mnhn.fr/espece/cd_nom/22612","Trichina elongata Haliday, 1833")</f>
        <v>Trichina elongata Haliday, 1833</v>
      </c>
      <c r="AH10737" s="4" t="str">
        <f>HYPERLINK("#Statut_biogéographique!A"&amp;_xlfn.XMATCH("P",Statut_biogéographique!A:A,2,1),"P")</f>
        <v>P</v>
      </c>
      <c r="AP10737" s="4" t="s">
        <v>376</v>
      </c>
      <c r="AR10737" s="4" t="s">
        <v>377</v>
      </c>
    </row>
    <row r="10738" spans="1:44">
      <c r="A10738" s="4" t="s">
        <v>10753</v>
      </c>
      <c r="B10738" s="4">
        <v>226120</v>
      </c>
      <c r="D10738" s="5" t="s">
        <v>13836</v>
      </c>
      <c r="E10738" s="6" t="str">
        <f>HYPERLINK("https://inpn.mnhn.fr/espece/cd_nom/226120","Mycetophila alea Laffoon, 1965")</f>
        <v>Mycetophila alea Laffoon, 1965</v>
      </c>
      <c r="AH10738" s="4" t="str">
        <f>HYPERLINK("#Statut_biogéographique!A"&amp;_xlfn.XMATCH("P",Statut_biogéographique!A:A,2,1),"P")</f>
        <v>P</v>
      </c>
      <c r="AP10738" s="4" t="s">
        <v>376</v>
      </c>
      <c r="AR10738" s="4" t="s">
        <v>377</v>
      </c>
    </row>
    <row r="10739" spans="1:44">
      <c r="A10739" s="4" t="s">
        <v>10753</v>
      </c>
      <c r="B10739" s="4">
        <v>226122</v>
      </c>
      <c r="D10739" s="5" t="s">
        <v>13837</v>
      </c>
      <c r="E10739" s="6" t="str">
        <f>HYPERLINK("https://inpn.mnhn.fr/espece/cd_nom/226122","Mycetophila blanda Winnertz, 1864")</f>
        <v>Mycetophila blanda Winnertz, 1864</v>
      </c>
      <c r="AH10739" s="4" t="str">
        <f>HYPERLINK("#Statut_biogéographique!A"&amp;_xlfn.XMATCH("P",Statut_biogéographique!A:A,2,1),"P")</f>
        <v>P</v>
      </c>
      <c r="AP10739" s="4" t="s">
        <v>376</v>
      </c>
      <c r="AR10739" s="4" t="s">
        <v>377</v>
      </c>
    </row>
    <row r="10740" spans="1:44">
      <c r="A10740" s="4" t="s">
        <v>10753</v>
      </c>
      <c r="B10740" s="4">
        <v>226127</v>
      </c>
      <c r="D10740" s="5" t="s">
        <v>13838</v>
      </c>
      <c r="E10740" s="6" t="str">
        <f>HYPERLINK("https://inpn.mnhn.fr/espece/cd_nom/226127","Mycetophila confusa Dziedzicki, 1884")</f>
        <v>Mycetophila confusa Dziedzicki, 1884</v>
      </c>
      <c r="AH10740" s="4" t="str">
        <f>HYPERLINK("#Statut_biogéographique!A"&amp;_xlfn.XMATCH("P",Statut_biogéographique!A:A,2,1),"P")</f>
        <v>P</v>
      </c>
      <c r="AP10740" s="4" t="s">
        <v>376</v>
      </c>
      <c r="AR10740" s="4" t="s">
        <v>377</v>
      </c>
    </row>
    <row r="10741" spans="1:44">
      <c r="A10741" s="4" t="s">
        <v>10753</v>
      </c>
      <c r="B10741" s="4">
        <v>226133</v>
      </c>
      <c r="D10741" s="5" t="s">
        <v>13839</v>
      </c>
      <c r="E10741" s="6" t="str">
        <f>HYPERLINK("https://inpn.mnhn.fr/espece/cd_nom/226133","Mycetophila edwardsi Lundström, 1913")</f>
        <v>Mycetophila edwardsi Lundström, 1913</v>
      </c>
      <c r="AH10741" s="4" t="str">
        <f>HYPERLINK("#Statut_biogéographique!A"&amp;_xlfn.XMATCH("P",Statut_biogéographique!A:A,2,1),"P")</f>
        <v>P</v>
      </c>
      <c r="AP10741" s="4" t="s">
        <v>376</v>
      </c>
      <c r="AR10741" s="4" t="s">
        <v>377</v>
      </c>
    </row>
    <row r="10742" spans="1:44">
      <c r="A10742" s="4" t="s">
        <v>10753</v>
      </c>
      <c r="B10742" s="4">
        <v>226140</v>
      </c>
      <c r="D10742" s="5" t="s">
        <v>13840</v>
      </c>
      <c r="E10742" s="6" t="str">
        <f>HYPERLINK("https://inpn.mnhn.fr/espece/cd_nom/226140","Mycetophila ichneumonea Say, 1823")</f>
        <v>Mycetophila ichneumonea Say, 1823</v>
      </c>
      <c r="AH10742" s="4" t="str">
        <f>HYPERLINK("#Statut_biogéographique!A"&amp;_xlfn.XMATCH("P",Statut_biogéographique!A:A,2,1),"P")</f>
        <v>P</v>
      </c>
      <c r="AP10742" s="4" t="s">
        <v>376</v>
      </c>
      <c r="AR10742" s="4" t="s">
        <v>377</v>
      </c>
    </row>
    <row r="10743" spans="1:44">
      <c r="A10743" s="4" t="s">
        <v>10753</v>
      </c>
      <c r="B10743" s="4">
        <v>22615</v>
      </c>
      <c r="D10743" s="5" t="s">
        <v>13841</v>
      </c>
      <c r="E10743" s="6" t="str">
        <f>HYPERLINK("https://inpn.mnhn.fr/espece/cd_nom/22615","Trichinomyia flavipes (Meigen, 1830)")</f>
        <v>Trichinomyia flavipes (Meigen, 1830)</v>
      </c>
      <c r="AH10743" s="4" t="str">
        <f>HYPERLINK("#Statut_biogéographique!A"&amp;_xlfn.XMATCH("P",Statut_biogéographique!A:A,2,1),"P")</f>
        <v>P</v>
      </c>
      <c r="AP10743" s="4" t="s">
        <v>376</v>
      </c>
      <c r="AR10743" s="4" t="s">
        <v>377</v>
      </c>
    </row>
    <row r="10744" spans="1:44">
      <c r="A10744" s="4" t="s">
        <v>10753</v>
      </c>
      <c r="B10744" s="4">
        <v>226151</v>
      </c>
      <c r="D10744" s="5">
        <v>226151</v>
      </c>
      <c r="E10744" s="6" t="str">
        <f>HYPERLINK("https://inpn.mnhn.fr/espece/cd_nom/226151","Mycetophila perpallida Chandler, 1993")</f>
        <v>Mycetophila perpallida Chandler, 1993</v>
      </c>
      <c r="AH10744" s="4" t="str">
        <f>HYPERLINK("#Statut_biogéographique!A"&amp;_xlfn.XMATCH("P",Statut_biogéographique!A:A,2,1),"P")</f>
        <v>P</v>
      </c>
      <c r="AP10744" s="4" t="s">
        <v>376</v>
      </c>
      <c r="AR10744" s="4" t="s">
        <v>377</v>
      </c>
    </row>
    <row r="10745" spans="1:44">
      <c r="A10745" s="4" t="s">
        <v>10753</v>
      </c>
      <c r="B10745" s="4">
        <v>226160</v>
      </c>
      <c r="D10745" s="5" t="s">
        <v>13842</v>
      </c>
      <c r="E10745" s="6" t="str">
        <f>HYPERLINK("https://inpn.mnhn.fr/espece/cd_nom/226160","Mycetophila signatoides Dziedzicki, 1884")</f>
        <v>Mycetophila signatoides Dziedzicki, 1884</v>
      </c>
      <c r="AH10745" s="4" t="str">
        <f>HYPERLINK("#Statut_biogéographique!A"&amp;_xlfn.XMATCH("P",Statut_biogéographique!A:A,2,1),"P")</f>
        <v>P</v>
      </c>
      <c r="AP10745" s="4" t="s">
        <v>376</v>
      </c>
      <c r="AR10745" s="4" t="s">
        <v>377</v>
      </c>
    </row>
    <row r="10746" spans="1:44">
      <c r="A10746" s="4" t="s">
        <v>10753</v>
      </c>
      <c r="B10746" s="4">
        <v>226162</v>
      </c>
      <c r="D10746" s="5" t="s">
        <v>13843</v>
      </c>
      <c r="E10746" s="6" t="str">
        <f>HYPERLINK("https://inpn.mnhn.fr/espece/cd_nom/226162","Mycetophila strigata Stæger, 1840")</f>
        <v>Mycetophila strigata Stæger, 1840</v>
      </c>
      <c r="AH10746" s="4" t="str">
        <f>HYPERLINK("#Statut_biogéographique!A"&amp;_xlfn.XMATCH("P",Statut_biogéographique!A:A,2,1),"P")</f>
        <v>P</v>
      </c>
      <c r="AP10746" s="4" t="s">
        <v>376</v>
      </c>
      <c r="AR10746" s="4" t="s">
        <v>377</v>
      </c>
    </row>
    <row r="10747" spans="1:44">
      <c r="A10747" s="4" t="s">
        <v>10753</v>
      </c>
      <c r="B10747" s="4">
        <v>226163</v>
      </c>
      <c r="D10747" s="5" t="s">
        <v>13844</v>
      </c>
      <c r="E10747" s="6" t="str">
        <f>HYPERLINK("https://inpn.mnhn.fr/espece/cd_nom/226163","Mycetophila strigatoides Landrock, 1927")</f>
        <v>Mycetophila strigatoides Landrock, 1927</v>
      </c>
      <c r="AH10747" s="4" t="str">
        <f>HYPERLINK("#Statut_biogéographique!A"&amp;_xlfn.XMATCH("P",Statut_biogéographique!A:A,2,1),"P")</f>
        <v>P</v>
      </c>
      <c r="AP10747" s="4" t="s">
        <v>376</v>
      </c>
      <c r="AR10747" s="4" t="s">
        <v>377</v>
      </c>
    </row>
    <row r="10748" spans="1:44">
      <c r="A10748" s="4" t="s">
        <v>10753</v>
      </c>
      <c r="B10748" s="4">
        <v>226165</v>
      </c>
      <c r="D10748" s="5" t="s">
        <v>13845</v>
      </c>
      <c r="E10748" s="6" t="str">
        <f>HYPERLINK("https://inpn.mnhn.fr/espece/cd_nom/226165","Mycetophila stylata (Dziedzicki, 1884)")</f>
        <v>Mycetophila stylata (Dziedzicki, 1884)</v>
      </c>
      <c r="AH10748" s="4" t="str">
        <f>HYPERLINK("#Statut_biogéographique!A"&amp;_xlfn.XMATCH("P",Statut_biogéographique!A:A,2,1),"P")</f>
        <v>P</v>
      </c>
      <c r="AP10748" s="4" t="s">
        <v>376</v>
      </c>
      <c r="AR10748" s="4" t="s">
        <v>377</v>
      </c>
    </row>
    <row r="10749" spans="1:44">
      <c r="A10749" s="4" t="s">
        <v>10753</v>
      </c>
      <c r="B10749" s="4">
        <v>226168</v>
      </c>
      <c r="D10749" s="5">
        <v>226168</v>
      </c>
      <c r="E10749" s="6" t="str">
        <f>HYPERLINK("https://inpn.mnhn.fr/espece/cd_nom/226168","Mycetophila uninotata Zetterstedt, 1852")</f>
        <v>Mycetophila uninotata Zetterstedt, 1852</v>
      </c>
      <c r="AH10749" s="4" t="str">
        <f>HYPERLINK("#Statut_biogéographique!A"&amp;_xlfn.XMATCH("P",Statut_biogéographique!A:A,2,1),"P")</f>
        <v>P</v>
      </c>
      <c r="AP10749" s="4" t="s">
        <v>376</v>
      </c>
      <c r="AR10749" s="4" t="s">
        <v>377</v>
      </c>
    </row>
    <row r="10750" spans="1:44">
      <c r="A10750" s="4" t="s">
        <v>10753</v>
      </c>
      <c r="B10750" s="4">
        <v>226172</v>
      </c>
      <c r="D10750" s="5">
        <v>226172</v>
      </c>
      <c r="E10750" s="6" t="str">
        <f>HYPERLINK("https://inpn.mnhn.fr/espece/cd_nom/226172","Epicypta limnophila Chandler, 1981")</f>
        <v>Epicypta limnophila Chandler, 1981</v>
      </c>
      <c r="AH10750" s="4" t="str">
        <f>HYPERLINK("#Statut_biogéographique!A"&amp;_xlfn.XMATCH("P",Statut_biogéographique!A:A,2,1),"P")</f>
        <v>P</v>
      </c>
      <c r="AP10750" s="4" t="s">
        <v>376</v>
      </c>
      <c r="AR10750" s="4" t="s">
        <v>377</v>
      </c>
    </row>
    <row r="10751" spans="1:44" ht="30">
      <c r="A10751" s="4" t="s">
        <v>10753</v>
      </c>
      <c r="B10751" s="4">
        <v>226179</v>
      </c>
      <c r="D10751" s="5" t="s">
        <v>13846</v>
      </c>
      <c r="E10751" s="6" t="str">
        <f>HYPERLINK("https://inpn.mnhn.fr/espece/cd_nom/226179","Rondaniella dimidiata (Meigen, 1804)")</f>
        <v>Rondaniella dimidiata (Meigen, 1804)</v>
      </c>
      <c r="AH10751" s="4" t="str">
        <f>HYPERLINK("#Statut_biogéographique!A"&amp;_xlfn.XMATCH("P",Statut_biogéographique!A:A,2,1),"P")</f>
        <v>P</v>
      </c>
      <c r="AP10751" s="4" t="s">
        <v>376</v>
      </c>
      <c r="AR10751" s="4" t="s">
        <v>377</v>
      </c>
    </row>
    <row r="10752" spans="1:44">
      <c r="A10752" s="4" t="s">
        <v>10753</v>
      </c>
      <c r="B10752" s="4">
        <v>226184</v>
      </c>
      <c r="D10752" s="5" t="s">
        <v>13847</v>
      </c>
      <c r="E10752" s="6" t="str">
        <f>HYPERLINK("https://inpn.mnhn.fr/espece/cd_nom/226184","Leia picta Meigen, 1830")</f>
        <v>Leia picta Meigen, 1830</v>
      </c>
      <c r="AH10752" s="4" t="str">
        <f>HYPERLINK("#Statut_biogéographique!A"&amp;_xlfn.XMATCH("P",Statut_biogéographique!A:A,2,1),"P")</f>
        <v>P</v>
      </c>
      <c r="AP10752" s="4" t="s">
        <v>376</v>
      </c>
      <c r="AR10752" s="4" t="s">
        <v>377</v>
      </c>
    </row>
    <row r="10753" spans="1:44">
      <c r="A10753" s="4" t="s">
        <v>10753</v>
      </c>
      <c r="B10753" s="4">
        <v>226186</v>
      </c>
      <c r="D10753" s="5" t="s">
        <v>13848</v>
      </c>
      <c r="E10753" s="6" t="str">
        <f>HYPERLINK("https://inpn.mnhn.fr/espece/cd_nom/226186","Leia winthemii Lehmann, 1822")</f>
        <v>Leia winthemii Lehmann, 1822</v>
      </c>
      <c r="AH10753" s="4" t="str">
        <f>HYPERLINK("#Statut_biogéographique!A"&amp;_xlfn.XMATCH("P",Statut_biogéographique!A:A,2,1),"P")</f>
        <v>P</v>
      </c>
      <c r="AP10753" s="4" t="s">
        <v>376</v>
      </c>
      <c r="AR10753" s="4" t="s">
        <v>377</v>
      </c>
    </row>
    <row r="10754" spans="1:44">
      <c r="A10754" s="4" t="s">
        <v>10753</v>
      </c>
      <c r="B10754" s="4">
        <v>226192</v>
      </c>
      <c r="D10754" s="5" t="s">
        <v>13849</v>
      </c>
      <c r="E10754" s="6" t="str">
        <f>HYPERLINK("https://inpn.mnhn.fr/espece/cd_nom/226192","Saigusaia flaviventris (Strobl, 1894)")</f>
        <v>Saigusaia flaviventris (Strobl, 1894)</v>
      </c>
      <c r="AH10754" s="4" t="str">
        <f>HYPERLINK("#Statut_biogéographique!A"&amp;_xlfn.XMATCH("P",Statut_biogéographique!A:A,2,1),"P")</f>
        <v>P</v>
      </c>
      <c r="AP10754" s="4" t="s">
        <v>376</v>
      </c>
      <c r="AR10754" s="4" t="s">
        <v>377</v>
      </c>
    </row>
    <row r="10755" spans="1:44" ht="30">
      <c r="A10755" s="4" t="s">
        <v>10753</v>
      </c>
      <c r="B10755" s="4">
        <v>226194</v>
      </c>
      <c r="D10755" s="5" t="s">
        <v>13850</v>
      </c>
      <c r="E10755" s="6" t="str">
        <f>HYPERLINK("https://inpn.mnhn.fr/espece/cd_nom/226194","Grzegorzekia collaris (Meigen, 1818)")</f>
        <v>Grzegorzekia collaris (Meigen, 1818)</v>
      </c>
      <c r="AH10755" s="4" t="str">
        <f>HYPERLINK("#Statut_biogéographique!A"&amp;_xlfn.XMATCH("P",Statut_biogéographique!A:A,2,1),"P")</f>
        <v>P</v>
      </c>
      <c r="AP10755" s="4" t="s">
        <v>376</v>
      </c>
      <c r="AR10755" s="4" t="s">
        <v>377</v>
      </c>
    </row>
    <row r="10756" spans="1:44">
      <c r="A10756" s="4" t="s">
        <v>10753</v>
      </c>
      <c r="B10756" s="4">
        <v>226195</v>
      </c>
      <c r="D10756" s="5" t="s">
        <v>13851</v>
      </c>
      <c r="E10756" s="6" t="str">
        <f>HYPERLINK("https://inpn.mnhn.fr/espece/cd_nom/226195","Gnoriste bilineata Zetterstedt, 1852")</f>
        <v>Gnoriste bilineata Zetterstedt, 1852</v>
      </c>
      <c r="AH10756" s="4" t="str">
        <f>HYPERLINK("#Statut_biogéographique!A"&amp;_xlfn.XMATCH("P",Statut_biogéographique!A:A,2,1),"P")</f>
        <v>P</v>
      </c>
      <c r="AP10756" s="4" t="s">
        <v>376</v>
      </c>
      <c r="AR10756" s="4" t="s">
        <v>377</v>
      </c>
    </row>
    <row r="10757" spans="1:44">
      <c r="A10757" s="4" t="s">
        <v>10753</v>
      </c>
      <c r="B10757" s="4">
        <v>226197</v>
      </c>
      <c r="D10757" s="5">
        <v>226197</v>
      </c>
      <c r="E10757" s="6" t="str">
        <f>HYPERLINK("https://inpn.mnhn.fr/espece/cd_nom/226197","Ectrepesthoneura colyeri Chandler, 1980")</f>
        <v>Ectrepesthoneura colyeri Chandler, 1980</v>
      </c>
      <c r="AH10757" s="4" t="str">
        <f>HYPERLINK("#Statut_biogéographique!A"&amp;_xlfn.XMATCH("P",Statut_biogéographique!A:A,2,1),"P")</f>
        <v>P</v>
      </c>
      <c r="AP10757" s="4" t="s">
        <v>376</v>
      </c>
      <c r="AR10757" s="4" t="s">
        <v>377</v>
      </c>
    </row>
    <row r="10758" spans="1:44">
      <c r="A10758" s="4" t="s">
        <v>10753</v>
      </c>
      <c r="B10758" s="4">
        <v>226200</v>
      </c>
      <c r="D10758" s="5" t="s">
        <v>13852</v>
      </c>
      <c r="E10758" s="6" t="str">
        <f>HYPERLINK("https://inpn.mnhn.fr/espece/cd_nom/226200","Coelosia fusca Bezzi, 1892")</f>
        <v>Coelosia fusca Bezzi, 1892</v>
      </c>
      <c r="AH10758" s="4" t="str">
        <f>HYPERLINK("#Statut_biogéographique!A"&amp;_xlfn.XMATCH("P",Statut_biogéographique!A:A,2,1),"P")</f>
        <v>P</v>
      </c>
      <c r="AP10758" s="4" t="s">
        <v>376</v>
      </c>
      <c r="AR10758" s="4" t="s">
        <v>377</v>
      </c>
    </row>
    <row r="10759" spans="1:44">
      <c r="A10759" s="4" t="s">
        <v>10753</v>
      </c>
      <c r="B10759" s="4">
        <v>226214</v>
      </c>
      <c r="D10759" s="5" t="s">
        <v>13853</v>
      </c>
      <c r="E10759" s="6" t="str">
        <f>HYPERLINK("https://inpn.mnhn.fr/espece/cd_nom/226214","Hypoderma bovis (Linnaeus, 1758)")</f>
        <v>Hypoderma bovis (Linnaeus, 1758)</v>
      </c>
      <c r="AH10759" s="4" t="str">
        <f>HYPERLINK("#Statut_biogéographique!A"&amp;_xlfn.XMATCH("P",Statut_biogéographique!A:A,2,1),"P")</f>
        <v>P</v>
      </c>
      <c r="AP10759" s="4" t="s">
        <v>376</v>
      </c>
      <c r="AR10759" s="4" t="s">
        <v>377</v>
      </c>
    </row>
    <row r="10760" spans="1:44">
      <c r="A10760" s="4" t="s">
        <v>10753</v>
      </c>
      <c r="B10760" s="4">
        <v>226218</v>
      </c>
      <c r="D10760" s="5" t="s">
        <v>13854</v>
      </c>
      <c r="E10760" s="6" t="str">
        <f>HYPERLINK("https://inpn.mnhn.fr/espece/cd_nom/226218","Cephalosphaera furcata (Egger, 1860)")</f>
        <v>Cephalosphaera furcata (Egger, 1860)</v>
      </c>
      <c r="AH10760" s="4" t="str">
        <f>HYPERLINK("#Statut_biogéographique!A"&amp;_xlfn.XMATCH("P",Statut_biogéographique!A:A,2,1),"P")</f>
        <v>P</v>
      </c>
      <c r="AP10760" s="4" t="s">
        <v>376</v>
      </c>
      <c r="AR10760" s="4" t="s">
        <v>377</v>
      </c>
    </row>
    <row r="10761" spans="1:44">
      <c r="A10761" s="4" t="s">
        <v>10753</v>
      </c>
      <c r="B10761" s="4">
        <v>226221</v>
      </c>
      <c r="D10761" s="5" t="s">
        <v>13855</v>
      </c>
      <c r="E10761" s="6" t="str">
        <f>HYPERLINK("https://inpn.mnhn.fr/espece/cd_nom/226221","Eudorylas zermattensis (Becker, 1897)")</f>
        <v>Eudorylas zermattensis (Becker, 1897)</v>
      </c>
      <c r="AH10761" s="4" t="str">
        <f>HYPERLINK("#Statut_biogéographique!A"&amp;_xlfn.XMATCH("P",Statut_biogéographique!A:A,2,1),"P")</f>
        <v>P</v>
      </c>
      <c r="AP10761" s="4" t="s">
        <v>376</v>
      </c>
      <c r="AR10761" s="4" t="s">
        <v>377</v>
      </c>
    </row>
    <row r="10762" spans="1:44">
      <c r="A10762" s="4" t="s">
        <v>10753</v>
      </c>
      <c r="B10762" s="4">
        <v>226227</v>
      </c>
      <c r="D10762" s="5" t="s">
        <v>13856</v>
      </c>
      <c r="E10762" s="6" t="str">
        <f>HYPERLINK("https://inpn.mnhn.fr/espece/cd_nom/226227","Jassidophaga villosa (Roser, 1840)")</f>
        <v>Jassidophaga villosa (Roser, 1840)</v>
      </c>
      <c r="AH10762" s="4" t="str">
        <f>HYPERLINK("#Statut_biogéographique!A"&amp;_xlfn.XMATCH("P",Statut_biogéographique!A:A,2,1),"P")</f>
        <v>P</v>
      </c>
      <c r="AP10762" s="4" t="s">
        <v>376</v>
      </c>
      <c r="AR10762" s="4" t="s">
        <v>377</v>
      </c>
    </row>
    <row r="10763" spans="1:44">
      <c r="A10763" s="4" t="s">
        <v>10753</v>
      </c>
      <c r="B10763" s="4">
        <v>226229</v>
      </c>
      <c r="D10763" s="5">
        <v>226229</v>
      </c>
      <c r="E10763" s="6" t="str">
        <f>HYPERLINK("https://inpn.mnhn.fr/espece/cd_nom/226229","Chalarus indistinctus Jervis, 1992")</f>
        <v>Chalarus indistinctus Jervis, 1992</v>
      </c>
      <c r="AH10763" s="4" t="str">
        <f>HYPERLINK("#Statut_biogéographique!A"&amp;_xlfn.XMATCH("P",Statut_biogéographique!A:A,2,1),"P")</f>
        <v>P</v>
      </c>
      <c r="AP10763" s="4" t="s">
        <v>376</v>
      </c>
      <c r="AR10763" s="4" t="s">
        <v>377</v>
      </c>
    </row>
    <row r="10764" spans="1:44">
      <c r="A10764" s="4" t="s">
        <v>10753</v>
      </c>
      <c r="B10764" s="4">
        <v>226230</v>
      </c>
      <c r="D10764" s="5">
        <v>226230</v>
      </c>
      <c r="E10764" s="6" t="str">
        <f>HYPERLINK("https://inpn.mnhn.fr/espece/cd_nom/226230","Chalarus juliae Jervis, 1992")</f>
        <v>Chalarus juliae Jervis, 1992</v>
      </c>
      <c r="AH10764" s="4" t="str">
        <f>HYPERLINK("#Statut_biogéographique!A"&amp;_xlfn.XMATCH("P",Statut_biogéographique!A:A,2,1),"P")</f>
        <v>P</v>
      </c>
      <c r="AP10764" s="4" t="s">
        <v>376</v>
      </c>
      <c r="AR10764" s="4" t="s">
        <v>377</v>
      </c>
    </row>
    <row r="10765" spans="1:44">
      <c r="A10765" s="4" t="s">
        <v>10753</v>
      </c>
      <c r="B10765" s="4">
        <v>226231</v>
      </c>
      <c r="D10765" s="5">
        <v>226231</v>
      </c>
      <c r="E10765" s="6" t="str">
        <f>HYPERLINK("https://inpn.mnhn.fr/espece/cd_nom/226231","Chalarus longicaudis Jervis, 1992")</f>
        <v>Chalarus longicaudis Jervis, 1992</v>
      </c>
      <c r="AH10765" s="4" t="str">
        <f>HYPERLINK("#Statut_biogéographique!A"&amp;_xlfn.XMATCH("P",Statut_biogéographique!A:A,2,1),"P")</f>
        <v>P</v>
      </c>
      <c r="AP10765" s="4" t="s">
        <v>376</v>
      </c>
      <c r="AR10765" s="4" t="s">
        <v>377</v>
      </c>
    </row>
    <row r="10766" spans="1:44">
      <c r="A10766" s="4" t="s">
        <v>10753</v>
      </c>
      <c r="B10766" s="4">
        <v>226277</v>
      </c>
      <c r="D10766" s="5" t="s">
        <v>13857</v>
      </c>
      <c r="E10766" s="6" t="str">
        <f>HYPERLINK("https://inpn.mnhn.fr/espece/cd_nom/226277","Saraiella crypta (Vaillant, 1955)")</f>
        <v>Saraiella crypta (Vaillant, 1955)</v>
      </c>
      <c r="AH10766" s="4" t="str">
        <f>HYPERLINK("#Statut_biogéographique!A"&amp;_xlfn.XMATCH("P",Statut_biogéographique!A:A,2,1),"P")</f>
        <v>P</v>
      </c>
      <c r="AP10766" s="4" t="s">
        <v>376</v>
      </c>
      <c r="AR10766" s="4" t="s">
        <v>377</v>
      </c>
    </row>
    <row r="10767" spans="1:44">
      <c r="A10767" s="4" t="s">
        <v>10753</v>
      </c>
      <c r="B10767" s="4">
        <v>226308</v>
      </c>
      <c r="D10767" s="5">
        <v>226308</v>
      </c>
      <c r="E10767" s="6" t="str">
        <f>HYPERLINK("https://inpn.mnhn.fr/espece/cd_nom/226308","Psychoda brevicornis Tonnoir, 1940")</f>
        <v>Psychoda brevicornis Tonnoir, 1940</v>
      </c>
      <c r="AH10767" s="4" t="str">
        <f>HYPERLINK("#Statut_biogéographique!A"&amp;_xlfn.XMATCH("P",Statut_biogéographique!A:A,2,1),"P")</f>
        <v>P</v>
      </c>
      <c r="AP10767" s="4" t="s">
        <v>376</v>
      </c>
      <c r="AR10767" s="4" t="s">
        <v>377</v>
      </c>
    </row>
    <row r="10768" spans="1:44">
      <c r="A10768" s="4" t="s">
        <v>10753</v>
      </c>
      <c r="B10768" s="4">
        <v>22631</v>
      </c>
      <c r="D10768" s="5" t="s">
        <v>13858</v>
      </c>
      <c r="E10768" s="6" t="str">
        <f>HYPERLINK("https://inpn.mnhn.fr/espece/cd_nom/22631","Sciapus platypterus (Fabricius, 1805)")</f>
        <v>Sciapus platypterus (Fabricius, 1805)</v>
      </c>
      <c r="AH10768" s="4" t="str">
        <f>HYPERLINK("#Statut_biogéographique!A"&amp;_xlfn.XMATCH("P",Statut_biogéographique!A:A,2,1),"P")</f>
        <v>P</v>
      </c>
      <c r="AP10768" s="4" t="s">
        <v>376</v>
      </c>
      <c r="AR10768" s="4" t="s">
        <v>377</v>
      </c>
    </row>
    <row r="10769" spans="1:44">
      <c r="A10769" s="4" t="s">
        <v>10753</v>
      </c>
      <c r="B10769" s="4">
        <v>226311</v>
      </c>
      <c r="D10769" s="5" t="s">
        <v>13859</v>
      </c>
      <c r="E10769" s="6" t="str">
        <f>HYPERLINK("https://inpn.mnhn.fr/espece/cd_nom/226311","Psychoda gemina (Eaton, 1904)")</f>
        <v>Psychoda gemina (Eaton, 1904)</v>
      </c>
      <c r="AH10769" s="4" t="str">
        <f>HYPERLINK("#Statut_biogéographique!A"&amp;_xlfn.XMATCH("P",Statut_biogéographique!A:A,2,1),"P")</f>
        <v>P</v>
      </c>
      <c r="AP10769" s="4" t="s">
        <v>376</v>
      </c>
      <c r="AR10769" s="4" t="s">
        <v>377</v>
      </c>
    </row>
    <row r="10770" spans="1:44">
      <c r="A10770" s="4" t="s">
        <v>10753</v>
      </c>
      <c r="B10770" s="4">
        <v>226312</v>
      </c>
      <c r="D10770" s="5" t="s">
        <v>13860</v>
      </c>
      <c r="E10770" s="6" t="str">
        <f>HYPERLINK("https://inpn.mnhn.fr/espece/cd_nom/226312","Psychoda grisescens Tonnoir, 1922")</f>
        <v>Psychoda grisescens Tonnoir, 1922</v>
      </c>
      <c r="AH10770" s="4" t="str">
        <f>HYPERLINK("#Statut_biogéographique!A"&amp;_xlfn.XMATCH("P",Statut_biogéographique!A:A,2,1),"P")</f>
        <v>P</v>
      </c>
      <c r="AP10770" s="4" t="s">
        <v>376</v>
      </c>
      <c r="AR10770" s="4" t="s">
        <v>377</v>
      </c>
    </row>
    <row r="10771" spans="1:44">
      <c r="A10771" s="4" t="s">
        <v>10753</v>
      </c>
      <c r="B10771" s="4">
        <v>226318</v>
      </c>
      <c r="D10771" s="5" t="s">
        <v>13861</v>
      </c>
      <c r="E10771" s="6" t="str">
        <f>HYPERLINK("https://inpn.mnhn.fr/espece/cd_nom/226318","Psychoda setigera Tonnoir, 1922")</f>
        <v>Psychoda setigera Tonnoir, 1922</v>
      </c>
      <c r="AH10771" s="4" t="str">
        <f>HYPERLINK("#Statut_biogéographique!A"&amp;_xlfn.XMATCH("P",Statut_biogéographique!A:A,2,1),"P")</f>
        <v>P</v>
      </c>
      <c r="AP10771" s="4" t="s">
        <v>376</v>
      </c>
      <c r="AR10771" s="4" t="s">
        <v>377</v>
      </c>
    </row>
    <row r="10772" spans="1:44">
      <c r="A10772" s="4" t="s">
        <v>10753</v>
      </c>
      <c r="B10772" s="4">
        <v>226320</v>
      </c>
      <c r="D10772" s="5" t="s">
        <v>13862</v>
      </c>
      <c r="E10772" s="6" t="str">
        <f>HYPERLINK("https://inpn.mnhn.fr/espece/cd_nom/226320","Psychoda trinodulosa Tonnoir, 1922")</f>
        <v>Psychoda trinodulosa Tonnoir, 1922</v>
      </c>
      <c r="AH10772" s="4" t="str">
        <f>HYPERLINK("#Statut_biogéographique!A"&amp;_xlfn.XMATCH("P",Statut_biogéographique!A:A,2,1),"P")</f>
        <v>P</v>
      </c>
      <c r="AP10772" s="4" t="s">
        <v>376</v>
      </c>
      <c r="AR10772" s="4" t="s">
        <v>377</v>
      </c>
    </row>
    <row r="10773" spans="1:44">
      <c r="A10773" s="4" t="s">
        <v>10753</v>
      </c>
      <c r="B10773" s="4">
        <v>226355</v>
      </c>
      <c r="D10773" s="5" t="s">
        <v>13863</v>
      </c>
      <c r="E10773" s="6" t="str">
        <f>HYPERLINK("https://inpn.mnhn.fr/espece/cd_nom/226355","Jungiella longicornis (Tonnoir, 1919)")</f>
        <v>Jungiella longicornis (Tonnoir, 1919)</v>
      </c>
      <c r="AH10773" s="4" t="str">
        <f>HYPERLINK("#Statut_biogéographique!A"&amp;_xlfn.XMATCH("P",Statut_biogéographique!A:A,2,1),"P")</f>
        <v>P</v>
      </c>
      <c r="AP10773" s="4" t="s">
        <v>376</v>
      </c>
      <c r="AR10773" s="4" t="s">
        <v>377</v>
      </c>
    </row>
    <row r="10774" spans="1:44" ht="30">
      <c r="A10774" s="4" t="s">
        <v>10753</v>
      </c>
      <c r="B10774" s="4">
        <v>226368</v>
      </c>
      <c r="D10774" s="5" t="s">
        <v>13864</v>
      </c>
      <c r="E10774" s="6" t="str">
        <f>HYPERLINK("https://inpn.mnhn.fr/espece/cd_nom/226368","Chrysopilus asiliformis (Preyssler, 1791)")</f>
        <v>Chrysopilus asiliformis (Preyssler, 1791)</v>
      </c>
      <c r="AH10774" s="4" t="str">
        <f>HYPERLINK("#Statut_biogéographique!A"&amp;_xlfn.XMATCH("P",Statut_biogéographique!A:A,2,1),"P")</f>
        <v>P</v>
      </c>
      <c r="AP10774" s="4" t="s">
        <v>376</v>
      </c>
      <c r="AR10774" s="4" t="s">
        <v>377</v>
      </c>
    </row>
    <row r="10775" spans="1:44">
      <c r="A10775" s="4" t="s">
        <v>10753</v>
      </c>
      <c r="B10775" s="4">
        <v>22637</v>
      </c>
      <c r="D10775" s="5" t="s">
        <v>13865</v>
      </c>
      <c r="E10775" s="6" t="str">
        <f>HYPERLINK("https://inpn.mnhn.fr/espece/cd_nom/22637","Neurigona erichsoni (Zetterstedt, 1843)")</f>
        <v>Neurigona erichsoni (Zetterstedt, 1843)</v>
      </c>
      <c r="AH10775" s="4" t="str">
        <f>HYPERLINK("#Statut_biogéographique!A"&amp;_xlfn.XMATCH("P",Statut_biogéographique!A:A,2,1),"P")</f>
        <v>P</v>
      </c>
      <c r="AP10775" s="4" t="s">
        <v>376</v>
      </c>
      <c r="AR10775" s="4" t="s">
        <v>377</v>
      </c>
    </row>
    <row r="10776" spans="1:44">
      <c r="A10776" s="4" t="s">
        <v>10753</v>
      </c>
      <c r="B10776" s="4">
        <v>226374</v>
      </c>
      <c r="D10776" s="5" t="s">
        <v>13866</v>
      </c>
      <c r="E10776" s="6" t="str">
        <f>HYPERLINK("https://inpn.mnhn.fr/espece/cd_nom/226374","Rhagio cingulatus (Loew, 1856)")</f>
        <v>Rhagio cingulatus (Loew, 1856)</v>
      </c>
      <c r="AH10776" s="4" t="str">
        <f>HYPERLINK("#Statut_biogéographique!A"&amp;_xlfn.XMATCH("P",Statut_biogéographique!A:A,2,1),"P")</f>
        <v>P</v>
      </c>
      <c r="AP10776" s="4" t="s">
        <v>376</v>
      </c>
      <c r="AR10776" s="4" t="s">
        <v>377</v>
      </c>
    </row>
    <row r="10777" spans="1:44">
      <c r="A10777" s="4" t="s">
        <v>10753</v>
      </c>
      <c r="B10777" s="4">
        <v>226377</v>
      </c>
      <c r="D10777" s="5" t="s">
        <v>13867</v>
      </c>
      <c r="E10777" s="6" t="str">
        <f>HYPERLINK("https://inpn.mnhn.fr/espece/cd_nom/226377","Rhagio fuscipennis (Meigen, 1820)")</f>
        <v>Rhagio fuscipennis (Meigen, 1820)</v>
      </c>
      <c r="AH10777" s="4" t="str">
        <f>HYPERLINK("#Statut_biogéographique!A"&amp;_xlfn.XMATCH("P",Statut_biogéographique!A:A,2,1),"P")</f>
        <v>P</v>
      </c>
      <c r="AP10777" s="4" t="s">
        <v>376</v>
      </c>
      <c r="AR10777" s="4" t="s">
        <v>377</v>
      </c>
    </row>
    <row r="10778" spans="1:44">
      <c r="A10778" s="4" t="s">
        <v>10753</v>
      </c>
      <c r="B10778" s="4">
        <v>22638</v>
      </c>
      <c r="D10778" s="5" t="s">
        <v>13868</v>
      </c>
      <c r="E10778" s="6" t="str">
        <f>HYPERLINK("https://inpn.mnhn.fr/espece/cd_nom/22638","Neurigona pallida (Fallén, 1823)")</f>
        <v>Neurigona pallida (Fallén, 1823)</v>
      </c>
      <c r="AH10778" s="4" t="str">
        <f>HYPERLINK("#Statut_biogéographique!A"&amp;_xlfn.XMATCH("P",Statut_biogéographique!A:A,2,1),"P")</f>
        <v>P</v>
      </c>
      <c r="AP10778" s="4" t="s">
        <v>376</v>
      </c>
      <c r="AR10778" s="4" t="s">
        <v>377</v>
      </c>
    </row>
    <row r="10779" spans="1:44">
      <c r="A10779" s="4" t="s">
        <v>10753</v>
      </c>
      <c r="B10779" s="4">
        <v>226380</v>
      </c>
      <c r="D10779" s="5" t="s">
        <v>13869</v>
      </c>
      <c r="E10779" s="6" t="str">
        <f>HYPERLINK("https://inpn.mnhn.fr/espece/cd_nom/226380","Symphoromyia immaculata (Meigen, 1804)")</f>
        <v>Symphoromyia immaculata (Meigen, 1804)</v>
      </c>
      <c r="AH10779" s="4" t="str">
        <f>HYPERLINK("#Statut_biogéographique!A"&amp;_xlfn.XMATCH("P",Statut_biogéographique!A:A,2,1),"P")</f>
        <v>P</v>
      </c>
      <c r="AP10779" s="4" t="s">
        <v>376</v>
      </c>
      <c r="AR10779" s="4" t="s">
        <v>377</v>
      </c>
    </row>
    <row r="10780" spans="1:44" ht="30">
      <c r="A10780" s="4" t="s">
        <v>10753</v>
      </c>
      <c r="B10780" s="4">
        <v>226382</v>
      </c>
      <c r="D10780" s="5" t="s">
        <v>13870</v>
      </c>
      <c r="E10780" s="6" t="str">
        <f>HYPERLINK("https://inpn.mnhn.fr/espece/cd_nom/226382","Symphoromyia crassicornis (Panzer, 1806)")</f>
        <v>Symphoromyia crassicornis (Panzer, 1806)</v>
      </c>
      <c r="AH10780" s="4" t="str">
        <f>HYPERLINK("#Statut_biogéographique!A"&amp;_xlfn.XMATCH("P",Statut_biogéographique!A:A,2,1),"P")</f>
        <v>P</v>
      </c>
      <c r="AP10780" s="4" t="s">
        <v>376</v>
      </c>
      <c r="AR10780" s="4" t="s">
        <v>377</v>
      </c>
    </row>
    <row r="10781" spans="1:44">
      <c r="A10781" s="4" t="s">
        <v>10753</v>
      </c>
      <c r="B10781" s="4">
        <v>226383</v>
      </c>
      <c r="D10781" s="5" t="s">
        <v>13871</v>
      </c>
      <c r="E10781" s="6" t="str">
        <f>HYPERLINK("https://inpn.mnhn.fr/espece/cd_nom/226383","Sarcophaga subulata Pandellé, 1896")</f>
        <v>Sarcophaga subulata Pandellé, 1896</v>
      </c>
      <c r="AH10781" s="4" t="str">
        <f>HYPERLINK("#Statut_biogéographique!A"&amp;_xlfn.XMATCH("P",Statut_biogéographique!A:A,2,1),"P")</f>
        <v>P</v>
      </c>
      <c r="AP10781" s="4" t="s">
        <v>376</v>
      </c>
      <c r="AR10781" s="4" t="s">
        <v>377</v>
      </c>
    </row>
    <row r="10782" spans="1:44">
      <c r="A10782" s="4" t="s">
        <v>10753</v>
      </c>
      <c r="B10782" s="4">
        <v>226385</v>
      </c>
      <c r="D10782" s="5">
        <v>226385</v>
      </c>
      <c r="E10782" s="6" t="str">
        <f>HYPERLINK("https://inpn.mnhn.fr/espece/cd_nom/226385","Sarcophaga amita Rondani, 1860")</f>
        <v>Sarcophaga amita Rondani, 1860</v>
      </c>
      <c r="AH10782" s="4" t="str">
        <f>HYPERLINK("#Statut_biogéographique!A"&amp;_xlfn.XMATCH("P",Statut_biogéographique!A:A,2,1),"P")</f>
        <v>P</v>
      </c>
      <c r="AP10782" s="4" t="s">
        <v>376</v>
      </c>
      <c r="AR10782" s="4" t="s">
        <v>377</v>
      </c>
    </row>
    <row r="10783" spans="1:44">
      <c r="A10783" s="4" t="s">
        <v>10753</v>
      </c>
      <c r="B10783" s="4">
        <v>226388</v>
      </c>
      <c r="D10783" s="5">
        <v>226388</v>
      </c>
      <c r="E10783" s="6" t="str">
        <f>HYPERLINK("https://inpn.mnhn.fr/espece/cd_nom/226388","Sarcophaga pumila Meigen, 1826")</f>
        <v>Sarcophaga pumila Meigen, 1826</v>
      </c>
      <c r="AH10783" s="4" t="str">
        <f>HYPERLINK("#Statut_biogéographique!A"&amp;_xlfn.XMATCH("P",Statut_biogéographique!A:A,2,1),"P")</f>
        <v>P</v>
      </c>
      <c r="AP10783" s="4" t="s">
        <v>376</v>
      </c>
      <c r="AR10783" s="4" t="s">
        <v>377</v>
      </c>
    </row>
    <row r="10784" spans="1:44">
      <c r="A10784" s="4" t="s">
        <v>10753</v>
      </c>
      <c r="B10784" s="4">
        <v>226389</v>
      </c>
      <c r="D10784" s="5">
        <v>226389</v>
      </c>
      <c r="E10784" s="6" t="str">
        <f>HYPERLINK("https://inpn.mnhn.fr/espece/cd_nom/226389","Sarcophaga agnata Rondani, 1860")</f>
        <v>Sarcophaga agnata Rondani, 1860</v>
      </c>
      <c r="AH10784" s="4" t="str">
        <f>HYPERLINK("#Statut_biogéographique!A"&amp;_xlfn.XMATCH("P",Statut_biogéographique!A:A,2,1),"P")</f>
        <v>P</v>
      </c>
      <c r="AP10784" s="4" t="s">
        <v>376</v>
      </c>
      <c r="AR10784" s="4" t="s">
        <v>377</v>
      </c>
    </row>
    <row r="10785" spans="1:44">
      <c r="A10785" s="4" t="s">
        <v>10753</v>
      </c>
      <c r="B10785" s="4">
        <v>22639</v>
      </c>
      <c r="D10785" s="5" t="s">
        <v>13872</v>
      </c>
      <c r="E10785" s="6" t="str">
        <f>HYPERLINK("https://inpn.mnhn.fr/espece/cd_nom/22639","Neurigona quadrifasciata (Fabricius, 1781)")</f>
        <v>Neurigona quadrifasciata (Fabricius, 1781)</v>
      </c>
      <c r="AH10785" s="4" t="str">
        <f>HYPERLINK("#Statut_biogéographique!A"&amp;_xlfn.XMATCH("P",Statut_biogéographique!A:A,2,1),"P")</f>
        <v>P</v>
      </c>
      <c r="AP10785" s="4" t="s">
        <v>376</v>
      </c>
      <c r="AR10785" s="4" t="s">
        <v>377</v>
      </c>
    </row>
    <row r="10786" spans="1:44">
      <c r="A10786" s="4" t="s">
        <v>10753</v>
      </c>
      <c r="B10786" s="4">
        <v>226390</v>
      </c>
      <c r="D10786" s="5">
        <v>226390</v>
      </c>
      <c r="E10786" s="6" t="str">
        <f>HYPERLINK("https://inpn.mnhn.fr/espece/cd_nom/226390","Sarcophaga crassimargo Pandellé, 1896")</f>
        <v>Sarcophaga crassimargo Pandellé, 1896</v>
      </c>
      <c r="AH10786" s="4" t="str">
        <f>HYPERLINK("#Statut_biogéographique!A"&amp;_xlfn.XMATCH("P",Statut_biogéographique!A:A,2,1),"P")</f>
        <v>P</v>
      </c>
      <c r="AP10786" s="4" t="s">
        <v>376</v>
      </c>
      <c r="AR10786" s="4" t="s">
        <v>377</v>
      </c>
    </row>
    <row r="10787" spans="1:44">
      <c r="A10787" s="4" t="s">
        <v>10753</v>
      </c>
      <c r="B10787" s="4">
        <v>226395</v>
      </c>
      <c r="D10787" s="5">
        <v>226395</v>
      </c>
      <c r="E10787" s="6" t="str">
        <f>HYPERLINK("https://inpn.mnhn.fr/espece/cd_nom/226395","Sarcophaga noverca Rondani, 1860")</f>
        <v>Sarcophaga noverca Rondani, 1860</v>
      </c>
      <c r="AH10787" s="4" t="str">
        <f>HYPERLINK("#Statut_biogéographique!A"&amp;_xlfn.XMATCH("P",Statut_biogéographique!A:A,2,1),"P")</f>
        <v>P</v>
      </c>
      <c r="AP10787" s="4" t="s">
        <v>376</v>
      </c>
      <c r="AR10787" s="4" t="s">
        <v>377</v>
      </c>
    </row>
    <row r="10788" spans="1:44">
      <c r="A10788" s="4" t="s">
        <v>10753</v>
      </c>
      <c r="B10788" s="4">
        <v>226398</v>
      </c>
      <c r="D10788" s="5">
        <v>226398</v>
      </c>
      <c r="E10788" s="6" t="str">
        <f>HYPERLINK("https://inpn.mnhn.fr/espece/cd_nom/226398","Sarcophaga rosellei Böttcher, 1912")</f>
        <v>Sarcophaga rosellei Böttcher, 1912</v>
      </c>
      <c r="AH10788" s="4" t="str">
        <f>HYPERLINK("#Statut_biogéographique!A"&amp;_xlfn.XMATCH("P",Statut_biogéographique!A:A,2,1),"P")</f>
        <v>P</v>
      </c>
      <c r="AP10788" s="4" t="s">
        <v>376</v>
      </c>
      <c r="AR10788" s="4" t="s">
        <v>377</v>
      </c>
    </row>
    <row r="10789" spans="1:44">
      <c r="A10789" s="4" t="s">
        <v>10753</v>
      </c>
      <c r="B10789" s="4">
        <v>22640</v>
      </c>
      <c r="D10789" s="5" t="s">
        <v>13873</v>
      </c>
      <c r="E10789" s="6" t="str">
        <f>HYPERLINK("https://inpn.mnhn.fr/espece/cd_nom/22640","Neurigona suturalis (Fallén, 1823)")</f>
        <v>Neurigona suturalis (Fallén, 1823)</v>
      </c>
      <c r="AH10789" s="4" t="str">
        <f>HYPERLINK("#Statut_biogéographique!A"&amp;_xlfn.XMATCH("P",Statut_biogéographique!A:A,2,1),"P")</f>
        <v>P</v>
      </c>
      <c r="AP10789" s="4" t="s">
        <v>376</v>
      </c>
      <c r="AR10789" s="4" t="s">
        <v>377</v>
      </c>
    </row>
    <row r="10790" spans="1:44">
      <c r="A10790" s="4" t="s">
        <v>10753</v>
      </c>
      <c r="B10790" s="4">
        <v>226400</v>
      </c>
      <c r="D10790" s="5" t="s">
        <v>13874</v>
      </c>
      <c r="E10790" s="6" t="str">
        <f>HYPERLINK("https://inpn.mnhn.fr/espece/cd_nom/226400","Sarcophaga infantilis Böttcher, 1913")</f>
        <v>Sarcophaga infantilis Böttcher, 1913</v>
      </c>
      <c r="AH10790" s="4" t="str">
        <f>HYPERLINK("#Statut_biogéographique!A"&amp;_xlfn.XMATCH("P",Statut_biogéographique!A:A,2,1),"P")</f>
        <v>P</v>
      </c>
      <c r="AP10790" s="4" t="s">
        <v>376</v>
      </c>
      <c r="AR10790" s="4" t="s">
        <v>377</v>
      </c>
    </row>
    <row r="10791" spans="1:44">
      <c r="A10791" s="4" t="s">
        <v>10753</v>
      </c>
      <c r="B10791" s="4">
        <v>226403</v>
      </c>
      <c r="D10791" s="5" t="s">
        <v>13875</v>
      </c>
      <c r="E10791" s="6" t="str">
        <f>HYPERLINK("https://inpn.mnhn.fr/espece/cd_nom/226403","Sarcophaga depressifrons Zetterstedt, 1845")</f>
        <v>Sarcophaga depressifrons Zetterstedt, 1845</v>
      </c>
      <c r="AH10791" s="4" t="str">
        <f>HYPERLINK("#Statut_biogéographique!A"&amp;_xlfn.XMATCH("P",Statut_biogéographique!A:A,2,1),"P")</f>
        <v>P</v>
      </c>
      <c r="AP10791" s="4" t="s">
        <v>376</v>
      </c>
      <c r="AR10791" s="4" t="s">
        <v>377</v>
      </c>
    </row>
    <row r="10792" spans="1:44">
      <c r="A10792" s="4" t="s">
        <v>10753</v>
      </c>
      <c r="B10792" s="4">
        <v>226404</v>
      </c>
      <c r="D10792" s="5">
        <v>226404</v>
      </c>
      <c r="E10792" s="6" t="str">
        <f>HYPERLINK("https://inpn.mnhn.fr/espece/cd_nom/226404","Sarcophaga dissimilis Meigen, 1826")</f>
        <v>Sarcophaga dissimilis Meigen, 1826</v>
      </c>
      <c r="AH10792" s="4" t="str">
        <f>HYPERLINK("#Statut_biogéographique!A"&amp;_xlfn.XMATCH("P",Statut_biogéographique!A:A,2,1),"P")</f>
        <v>P</v>
      </c>
      <c r="AP10792" s="4" t="s">
        <v>376</v>
      </c>
      <c r="AR10792" s="4" t="s">
        <v>377</v>
      </c>
    </row>
    <row r="10793" spans="1:44">
      <c r="A10793" s="4" t="s">
        <v>10753</v>
      </c>
      <c r="B10793" s="4">
        <v>226407</v>
      </c>
      <c r="D10793" s="5">
        <v>226407</v>
      </c>
      <c r="E10793" s="6" t="str">
        <f>HYPERLINK("https://inpn.mnhn.fr/espece/cd_nom/226407","Sarcophaga haemorrhoa Meigen, 1826")</f>
        <v>Sarcophaga haemorrhoa Meigen, 1826</v>
      </c>
      <c r="AH10793" s="4" t="str">
        <f>HYPERLINK("#Statut_biogéographique!A"&amp;_xlfn.XMATCH("P",Statut_biogéographique!A:A,2,1),"P")</f>
        <v>P</v>
      </c>
      <c r="AP10793" s="4" t="s">
        <v>376</v>
      </c>
      <c r="AR10793" s="4" t="s">
        <v>377</v>
      </c>
    </row>
    <row r="10794" spans="1:44">
      <c r="A10794" s="4" t="s">
        <v>10753</v>
      </c>
      <c r="B10794" s="4">
        <v>226409</v>
      </c>
      <c r="D10794" s="5" t="s">
        <v>13876</v>
      </c>
      <c r="E10794" s="6" t="str">
        <f>HYPERLINK("https://inpn.mnhn.fr/espece/cd_nom/226409","Sarcophaga lederbergi (Lehrer, 1995)")</f>
        <v>Sarcophaga lederbergi (Lehrer, 1995)</v>
      </c>
      <c r="AH10794" s="4" t="str">
        <f>HYPERLINK("#Statut_biogéographique!A"&amp;_xlfn.XMATCH("P",Statut_biogéographique!A:A,2,1),"P")</f>
        <v>P</v>
      </c>
      <c r="AP10794" s="4" t="s">
        <v>376</v>
      </c>
      <c r="AR10794" s="4" t="s">
        <v>377</v>
      </c>
    </row>
    <row r="10795" spans="1:44">
      <c r="A10795" s="4" t="s">
        <v>10753</v>
      </c>
      <c r="B10795" s="4">
        <v>226412</v>
      </c>
      <c r="D10795" s="5" t="s">
        <v>13877</v>
      </c>
      <c r="E10795" s="6" t="str">
        <f>HYPERLINK("https://inpn.mnhn.fr/espece/cd_nom/226412","Sarcophaga pandellei (Rohdendorf, 1937)")</f>
        <v>Sarcophaga pandellei (Rohdendorf, 1937)</v>
      </c>
      <c r="AH10795" s="4" t="str">
        <f>HYPERLINK("#Statut_biogéographique!A"&amp;_xlfn.XMATCH("P",Statut_biogéographique!A:A,2,1),"P")</f>
        <v>P</v>
      </c>
      <c r="AP10795" s="4" t="s">
        <v>376</v>
      </c>
      <c r="AR10795" s="4" t="s">
        <v>377</v>
      </c>
    </row>
    <row r="10796" spans="1:44">
      <c r="A10796" s="4" t="s">
        <v>10753</v>
      </c>
      <c r="B10796" s="4">
        <v>226416</v>
      </c>
      <c r="D10796" s="5">
        <v>226416</v>
      </c>
      <c r="E10796" s="6" t="str">
        <f>HYPERLINK("https://inpn.mnhn.fr/espece/cd_nom/226416","Sarcophaga schineri Bezzi, 1891")</f>
        <v>Sarcophaga schineri Bezzi, 1891</v>
      </c>
      <c r="AH10796" s="4" t="str">
        <f>HYPERLINK("#Statut_biogéographique!A"&amp;_xlfn.XMATCH("P",Statut_biogéographique!A:A,2,1),"P")</f>
        <v>P</v>
      </c>
      <c r="AP10796" s="4" t="s">
        <v>376</v>
      </c>
      <c r="AR10796" s="4" t="s">
        <v>377</v>
      </c>
    </row>
    <row r="10797" spans="1:44">
      <c r="A10797" s="4" t="s">
        <v>10753</v>
      </c>
      <c r="B10797" s="4">
        <v>226422</v>
      </c>
      <c r="D10797" s="5">
        <v>226422</v>
      </c>
      <c r="E10797" s="6" t="str">
        <f>HYPERLINK("https://inpn.mnhn.fr/espece/cd_nom/226422","Sarcophaga vagans Meigen, 1826")</f>
        <v>Sarcophaga vagans Meigen, 1826</v>
      </c>
      <c r="AH10797" s="4" t="str">
        <f>HYPERLINK("#Statut_biogéographique!A"&amp;_xlfn.XMATCH("P",Statut_biogéographique!A:A,2,1),"P")</f>
        <v>P</v>
      </c>
      <c r="AP10797" s="4" t="s">
        <v>376</v>
      </c>
      <c r="AR10797" s="4" t="s">
        <v>377</v>
      </c>
    </row>
    <row r="10798" spans="1:44">
      <c r="A10798" s="4" t="s">
        <v>10753</v>
      </c>
      <c r="B10798" s="4">
        <v>226423</v>
      </c>
      <c r="D10798" s="5" t="s">
        <v>13878</v>
      </c>
      <c r="E10798" s="6" t="str">
        <f>HYPERLINK("https://inpn.mnhn.fr/espece/cd_nom/226423","Sarcophaga vicina Macquart, 1835")</f>
        <v>Sarcophaga vicina Macquart, 1835</v>
      </c>
      <c r="AH10798" s="4" t="str">
        <f>HYPERLINK("#Statut_biogéographique!A"&amp;_xlfn.XMATCH("P",Statut_biogéographique!A:A,2,1),"P")</f>
        <v>P</v>
      </c>
      <c r="AP10798" s="4" t="s">
        <v>376</v>
      </c>
      <c r="AR10798" s="4" t="s">
        <v>377</v>
      </c>
    </row>
    <row r="10799" spans="1:44">
      <c r="A10799" s="4" t="s">
        <v>10753</v>
      </c>
      <c r="B10799" s="4">
        <v>226437</v>
      </c>
      <c r="D10799" s="5">
        <v>226437</v>
      </c>
      <c r="E10799" s="6" t="str">
        <f>HYPERLINK("https://inpn.mnhn.fr/espece/cd_nom/226437","Sarcophaga teretirostris Pandellé, 1896")</f>
        <v>Sarcophaga teretirostris Pandellé, 1896</v>
      </c>
      <c r="AH10799" s="4" t="str">
        <f>HYPERLINK("#Statut_biogéographique!A"&amp;_xlfn.XMATCH("P",Statut_biogéographique!A:A,2,1),"P")</f>
        <v>P</v>
      </c>
      <c r="AP10799" s="4" t="s">
        <v>376</v>
      </c>
      <c r="AR10799" s="4" t="s">
        <v>377</v>
      </c>
    </row>
    <row r="10800" spans="1:44">
      <c r="A10800" s="4" t="s">
        <v>10753</v>
      </c>
      <c r="B10800" s="4">
        <v>226441</v>
      </c>
      <c r="D10800" s="5" t="s">
        <v>13879</v>
      </c>
      <c r="E10800" s="6" t="str">
        <f>HYPERLINK("https://inpn.mnhn.fr/espece/cd_nom/226441","Sarcophaga granulata Kramer, 1908")</f>
        <v>Sarcophaga granulata Kramer, 1908</v>
      </c>
      <c r="AH10800" s="4" t="str">
        <f>HYPERLINK("#Statut_biogéographique!A"&amp;_xlfn.XMATCH("P",Statut_biogéographique!A:A,2,1),"P")</f>
        <v>P</v>
      </c>
      <c r="AP10800" s="4" t="s">
        <v>376</v>
      </c>
      <c r="AR10800" s="4" t="s">
        <v>377</v>
      </c>
    </row>
    <row r="10801" spans="1:44">
      <c r="A10801" s="4" t="s">
        <v>10753</v>
      </c>
      <c r="B10801" s="4">
        <v>226442</v>
      </c>
      <c r="D10801" s="5">
        <v>226442</v>
      </c>
      <c r="E10801" s="6" t="str">
        <f>HYPERLINK("https://inpn.mnhn.fr/espece/cd_nom/226442","Sarcophaga lunigera Böttcher, 1914")</f>
        <v>Sarcophaga lunigera Böttcher, 1914</v>
      </c>
      <c r="AH10801" s="4" t="str">
        <f>HYPERLINK("#Statut_biogéographique!A"&amp;_xlfn.XMATCH("P",Statut_biogéographique!A:A,2,1),"P")</f>
        <v>P</v>
      </c>
      <c r="AP10801" s="4" t="s">
        <v>376</v>
      </c>
      <c r="AR10801" s="4" t="s">
        <v>377</v>
      </c>
    </row>
    <row r="10802" spans="1:44">
      <c r="A10802" s="4" t="s">
        <v>10753</v>
      </c>
      <c r="B10802" s="4">
        <v>226444</v>
      </c>
      <c r="D10802" s="5">
        <v>226444</v>
      </c>
      <c r="E10802" s="6" t="str">
        <f>HYPERLINK("https://inpn.mnhn.fr/espece/cd_nom/226444","Sarcophaga pandifera Blackith &amp; Pape, 1999")</f>
        <v>Sarcophaga pandifera Blackith &amp; Pape, 1999</v>
      </c>
      <c r="AH10802" s="4" t="str">
        <f>HYPERLINK("#Statut_biogéographique!A"&amp;_xlfn.XMATCH("P",Statut_biogéographique!A:A,2,1),"P")</f>
        <v>P</v>
      </c>
      <c r="AP10802" s="4" t="s">
        <v>376</v>
      </c>
      <c r="AR10802" s="4" t="s">
        <v>377</v>
      </c>
    </row>
    <row r="10803" spans="1:44">
      <c r="A10803" s="4" t="s">
        <v>10753</v>
      </c>
      <c r="B10803" s="4">
        <v>226448</v>
      </c>
      <c r="D10803" s="5" t="s">
        <v>13880</v>
      </c>
      <c r="E10803" s="6" t="str">
        <f>HYPERLINK("https://inpn.mnhn.fr/espece/cd_nom/226448","Sarcophaga protuberans Pandellé, 1896")</f>
        <v>Sarcophaga protuberans Pandellé, 1896</v>
      </c>
      <c r="AH10803" s="4" t="str">
        <f>HYPERLINK("#Statut_biogéographique!A"&amp;_xlfn.XMATCH("P",Statut_biogéographique!A:A,2,1),"P")</f>
        <v>P</v>
      </c>
      <c r="AP10803" s="4" t="s">
        <v>376</v>
      </c>
      <c r="AR10803" s="4" t="s">
        <v>377</v>
      </c>
    </row>
    <row r="10804" spans="1:44">
      <c r="A10804" s="4" t="s">
        <v>10753</v>
      </c>
      <c r="B10804" s="4">
        <v>226452</v>
      </c>
      <c r="D10804" s="5" t="s">
        <v>13881</v>
      </c>
      <c r="E10804" s="6" t="str">
        <f>HYPERLINK("https://inpn.mnhn.fr/espece/cd_nom/226452","Sarcophaga caerulescens Zetterstedt, 1838")</f>
        <v>Sarcophaga caerulescens Zetterstedt, 1838</v>
      </c>
      <c r="AH10804" s="4" t="str">
        <f>HYPERLINK("#Statut_biogéographique!A"&amp;_xlfn.XMATCH("P",Statut_biogéographique!A:A,2,1),"P")</f>
        <v>P</v>
      </c>
      <c r="AP10804" s="4" t="s">
        <v>376</v>
      </c>
      <c r="AR10804" s="4" t="s">
        <v>377</v>
      </c>
    </row>
    <row r="10805" spans="1:44">
      <c r="A10805" s="4" t="s">
        <v>10753</v>
      </c>
      <c r="B10805" s="4">
        <v>226455</v>
      </c>
      <c r="D10805" s="5">
        <v>226455</v>
      </c>
      <c r="E10805" s="6" t="str">
        <f>HYPERLINK("https://inpn.mnhn.fr/espece/cd_nom/226455","Sarcophaga jeanleclercqi Lehrer, 1975")</f>
        <v>Sarcophaga jeanleclercqi Lehrer, 1975</v>
      </c>
      <c r="AH10805" s="4" t="str">
        <f>HYPERLINK("#Statut_biogéographique!A"&amp;_xlfn.XMATCH("P",Statut_biogéographique!A:A,2,1),"P")</f>
        <v>P</v>
      </c>
      <c r="AP10805" s="4" t="s">
        <v>376</v>
      </c>
      <c r="AR10805" s="4" t="s">
        <v>377</v>
      </c>
    </row>
    <row r="10806" spans="1:44" ht="360">
      <c r="A10806" s="4" t="s">
        <v>10753</v>
      </c>
      <c r="B10806" s="4">
        <v>226459</v>
      </c>
      <c r="D10806" s="5" t="s">
        <v>13882</v>
      </c>
      <c r="E10806" s="6" t="str">
        <f>HYPERLINK("https://inpn.mnhn.fr/espece/cd_nom/226459","Sarcophaga variegata (Scopoli, 1763)")</f>
        <v>Sarcophaga variegata (Scopoli, 1763)</v>
      </c>
      <c r="AH10806" s="4" t="str">
        <f>HYPERLINK("#Statut_biogéographique!A"&amp;_xlfn.XMATCH("P",Statut_biogéographique!A:A,2,1),"P")</f>
        <v>P</v>
      </c>
      <c r="AP10806" s="4" t="s">
        <v>376</v>
      </c>
      <c r="AR10806" s="4" t="s">
        <v>377</v>
      </c>
    </row>
    <row r="10807" spans="1:44">
      <c r="A10807" s="4" t="s">
        <v>10753</v>
      </c>
      <c r="B10807" s="4">
        <v>226461</v>
      </c>
      <c r="D10807" s="5" t="s">
        <v>13883</v>
      </c>
      <c r="E10807" s="6" t="str">
        <f>HYPERLINK("https://inpn.mnhn.fr/espece/cd_nom/226461","Sarcophaga sinuata Meigen, 1826")</f>
        <v>Sarcophaga sinuata Meigen, 1826</v>
      </c>
      <c r="AH10807" s="4" t="str">
        <f>HYPERLINK("#Statut_biogéographique!A"&amp;_xlfn.XMATCH("P",Statut_biogéographique!A:A,2,1),"P")</f>
        <v>P</v>
      </c>
      <c r="AP10807" s="4" t="s">
        <v>376</v>
      </c>
      <c r="AR10807" s="4" t="s">
        <v>377</v>
      </c>
    </row>
    <row r="10808" spans="1:44">
      <c r="A10808" s="4" t="s">
        <v>10753</v>
      </c>
      <c r="B10808" s="4">
        <v>226465</v>
      </c>
      <c r="D10808" s="5" t="s">
        <v>13884</v>
      </c>
      <c r="E10808" s="6" t="str">
        <f>HYPERLINK("https://inpn.mnhn.fr/espece/cd_nom/226465","Sarcophaga incisilobata Pandellé, 1896")</f>
        <v>Sarcophaga incisilobata Pandellé, 1896</v>
      </c>
      <c r="AH10808" s="4" t="str">
        <f>HYPERLINK("#Statut_biogéographique!A"&amp;_xlfn.XMATCH("P",Statut_biogéographique!A:A,2,1),"P")</f>
        <v>P</v>
      </c>
      <c r="AP10808" s="4" t="s">
        <v>376</v>
      </c>
      <c r="AR10808" s="4" t="s">
        <v>377</v>
      </c>
    </row>
    <row r="10809" spans="1:44" ht="30">
      <c r="A10809" s="4" t="s">
        <v>10753</v>
      </c>
      <c r="B10809" s="4">
        <v>226477</v>
      </c>
      <c r="D10809" s="5" t="s">
        <v>13885</v>
      </c>
      <c r="E10809" s="6" t="str">
        <f>HYPERLINK("https://inpn.mnhn.fr/espece/cd_nom/226477","Blaesoxipha laticornis (Meigen, 1826)")</f>
        <v>Blaesoxipha laticornis (Meigen, 1826)</v>
      </c>
      <c r="AH10809" s="4" t="str">
        <f>HYPERLINK("#Statut_biogéographique!A"&amp;_xlfn.XMATCH("P",Statut_biogéographique!A:A,2,1),"P")</f>
        <v>P</v>
      </c>
      <c r="AP10809" s="4" t="s">
        <v>376</v>
      </c>
      <c r="AR10809" s="4" t="s">
        <v>377</v>
      </c>
    </row>
    <row r="10810" spans="1:44">
      <c r="A10810" s="4" t="s">
        <v>10753</v>
      </c>
      <c r="B10810" s="4">
        <v>22649</v>
      </c>
      <c r="D10810" s="5" t="s">
        <v>13886</v>
      </c>
      <c r="E10810" s="6" t="str">
        <f>HYPERLINK("https://inpn.mnhn.fr/espece/cd_nom/22649","Hilara chorica (Fallén, 1816)")</f>
        <v>Hilara chorica (Fallén, 1816)</v>
      </c>
      <c r="AH10810" s="4" t="str">
        <f>HYPERLINK("#Statut_biogéographique!A"&amp;_xlfn.XMATCH("P",Statut_biogéographique!A:A,2,1),"P")</f>
        <v>P</v>
      </c>
      <c r="AP10810" s="4" t="s">
        <v>376</v>
      </c>
      <c r="AR10810" s="4" t="s">
        <v>377</v>
      </c>
    </row>
    <row r="10811" spans="1:44" ht="75">
      <c r="A10811" s="4" t="s">
        <v>10753</v>
      </c>
      <c r="B10811" s="4">
        <v>226492</v>
      </c>
      <c r="D10811" s="5" t="s">
        <v>13887</v>
      </c>
      <c r="E10811" s="6" t="str">
        <f>HYPERLINK("https://inpn.mnhn.fr/espece/cd_nom/226492","Blaesoxipha grisea (Meigen, 1826)")</f>
        <v>Blaesoxipha grisea (Meigen, 1826)</v>
      </c>
      <c r="AH10811" s="4" t="str">
        <f>HYPERLINK("#Statut_biogéographique!A"&amp;_xlfn.XMATCH("P",Statut_biogéographique!A:A,2,1),"P")</f>
        <v>P</v>
      </c>
      <c r="AP10811" s="4" t="s">
        <v>376</v>
      </c>
      <c r="AR10811" s="4" t="s">
        <v>377</v>
      </c>
    </row>
    <row r="10812" spans="1:44">
      <c r="A10812" s="4" t="s">
        <v>10753</v>
      </c>
      <c r="B10812" s="4">
        <v>226551</v>
      </c>
      <c r="D10812" s="5" t="s">
        <v>13888</v>
      </c>
      <c r="E10812" s="6" t="str">
        <f>HYPERLINK("https://inpn.mnhn.fr/espece/cd_nom/226551","Conisternum obscurum (Fallén, 1819)")</f>
        <v>Conisternum obscurum (Fallén, 1819)</v>
      </c>
      <c r="AH10812" s="4" t="str">
        <f>HYPERLINK("#Statut_biogéographique!A"&amp;_xlfn.XMATCH("P",Statut_biogéographique!A:A,2,1),"P")</f>
        <v>P</v>
      </c>
      <c r="AP10812" s="4" t="s">
        <v>376</v>
      </c>
      <c r="AR10812" s="4" t="s">
        <v>377</v>
      </c>
    </row>
    <row r="10813" spans="1:44">
      <c r="A10813" s="4" t="s">
        <v>10753</v>
      </c>
      <c r="B10813" s="4">
        <v>226553</v>
      </c>
      <c r="D10813" s="5" t="s">
        <v>13889</v>
      </c>
      <c r="E10813" s="6" t="str">
        <f>HYPERLINK("https://inpn.mnhn.fr/espece/cd_nom/226553","Cordilura ciliata (Meigen, 1826)")</f>
        <v>Cordilura ciliata (Meigen, 1826)</v>
      </c>
      <c r="AH10813" s="4" t="str">
        <f>HYPERLINK("#Statut_biogéographique!A"&amp;_xlfn.XMATCH("P",Statut_biogéographique!A:A,2,1),"P")</f>
        <v>P</v>
      </c>
      <c r="AP10813" s="4" t="s">
        <v>376</v>
      </c>
      <c r="AR10813" s="4" t="s">
        <v>377</v>
      </c>
    </row>
    <row r="10814" spans="1:44">
      <c r="A10814" s="4" t="s">
        <v>10753</v>
      </c>
      <c r="B10814" s="4">
        <v>226554</v>
      </c>
      <c r="D10814" s="5" t="s">
        <v>13890</v>
      </c>
      <c r="E10814" s="6" t="str">
        <f>HYPERLINK("https://inpn.mnhn.fr/espece/cd_nom/226554","Cordilura picipes (Meigen, 1826)")</f>
        <v>Cordilura picipes (Meigen, 1826)</v>
      </c>
      <c r="AH10814" s="4" t="str">
        <f>HYPERLINK("#Statut_biogéographique!A"&amp;_xlfn.XMATCH("P",Statut_biogéographique!A:A,2,1),"P")</f>
        <v>P</v>
      </c>
      <c r="AP10814" s="4" t="s">
        <v>376</v>
      </c>
      <c r="AR10814" s="4" t="s">
        <v>377</v>
      </c>
    </row>
    <row r="10815" spans="1:44">
      <c r="A10815" s="4" t="s">
        <v>10753</v>
      </c>
      <c r="B10815" s="4">
        <v>226557</v>
      </c>
      <c r="D10815" s="5" t="s">
        <v>13891</v>
      </c>
      <c r="E10815" s="6" t="str">
        <f>HYPERLINK("https://inpn.mnhn.fr/espece/cd_nom/226557","Cordilura rufimana (Meigen, 1826)")</f>
        <v>Cordilura rufimana (Meigen, 1826)</v>
      </c>
      <c r="AH10815" s="4" t="str">
        <f>HYPERLINK("#Statut_biogéographique!A"&amp;_xlfn.XMATCH("P",Statut_biogéographique!A:A,2,1),"P")</f>
        <v>P</v>
      </c>
      <c r="AP10815" s="4" t="s">
        <v>376</v>
      </c>
      <c r="AR10815" s="4" t="s">
        <v>377</v>
      </c>
    </row>
    <row r="10816" spans="1:44" ht="30">
      <c r="A10816" s="4" t="s">
        <v>10753</v>
      </c>
      <c r="B10816" s="4">
        <v>226559</v>
      </c>
      <c r="D10816" s="5" t="s">
        <v>13892</v>
      </c>
      <c r="E10816" s="6" t="str">
        <f>HYPERLINK("https://inpn.mnhn.fr/espece/cd_nom/226559","Cordilura albipes (Fallén, 1819)")</f>
        <v>Cordilura albipes (Fallén, 1819)</v>
      </c>
      <c r="AH10816" s="4" t="str">
        <f>HYPERLINK("#Statut_biogéographique!A"&amp;_xlfn.XMATCH("P",Statut_biogéographique!A:A,2,1),"P")</f>
        <v>P</v>
      </c>
      <c r="AP10816" s="4" t="s">
        <v>376</v>
      </c>
      <c r="AR10816" s="4" t="s">
        <v>377</v>
      </c>
    </row>
    <row r="10817" spans="1:44">
      <c r="A10817" s="4" t="s">
        <v>10753</v>
      </c>
      <c r="B10817" s="4">
        <v>22656</v>
      </c>
      <c r="D10817" s="5">
        <v>22656</v>
      </c>
      <c r="E10817" s="6" t="str">
        <f>HYPERLINK("https://inpn.mnhn.fr/espece/cd_nom/22656","Hilara cornicula Loew, 1873")</f>
        <v>Hilara cornicula Loew, 1873</v>
      </c>
      <c r="AH10817" s="4" t="str">
        <f>HYPERLINK("#Statut_biogéographique!A"&amp;_xlfn.XMATCH("P",Statut_biogéographique!A:A,2,1),"P")</f>
        <v>P</v>
      </c>
      <c r="AP10817" s="4" t="s">
        <v>376</v>
      </c>
      <c r="AR10817" s="4" t="s">
        <v>377</v>
      </c>
    </row>
    <row r="10818" spans="1:44" ht="30">
      <c r="A10818" s="4" t="s">
        <v>10753</v>
      </c>
      <c r="B10818" s="4">
        <v>226565</v>
      </c>
      <c r="D10818" s="5" t="s">
        <v>13893</v>
      </c>
      <c r="E10818" s="6" t="str">
        <f>HYPERLINK("https://inpn.mnhn.fr/espece/cd_nom/226565","Norellisoma armipes (Meigen, 1826)")</f>
        <v>Norellisoma armipes (Meigen, 1826)</v>
      </c>
      <c r="AH10818" s="4" t="str">
        <f>HYPERLINK("#Statut_biogéographique!A"&amp;_xlfn.XMATCH("P",Statut_biogéographique!A:A,2,1),"P")</f>
        <v>P</v>
      </c>
      <c r="AP10818" s="4" t="s">
        <v>376</v>
      </c>
      <c r="AR10818" s="4" t="s">
        <v>377</v>
      </c>
    </row>
    <row r="10819" spans="1:44" ht="30">
      <c r="A10819" s="4" t="s">
        <v>10753</v>
      </c>
      <c r="B10819" s="4">
        <v>226566</v>
      </c>
      <c r="D10819" s="5" t="s">
        <v>13894</v>
      </c>
      <c r="E10819" s="6" t="str">
        <f>HYPERLINK("https://inpn.mnhn.fr/espece/cd_nom/226566","Norellisoma lituratum (Wiedemann in Meigen, 1826)")</f>
        <v>Norellisoma lituratum (Wiedemann in Meigen, 1826)</v>
      </c>
      <c r="AH10819" s="4" t="str">
        <f>HYPERLINK("#Statut_biogéographique!A"&amp;_xlfn.XMATCH("P",Statut_biogéographique!A:A,2,1),"P")</f>
        <v>P</v>
      </c>
      <c r="AP10819" s="4" t="s">
        <v>376</v>
      </c>
      <c r="AR10819" s="4" t="s">
        <v>377</v>
      </c>
    </row>
    <row r="10820" spans="1:44">
      <c r="A10820" s="4" t="s">
        <v>10753</v>
      </c>
      <c r="B10820" s="4">
        <v>226567</v>
      </c>
      <c r="D10820" s="5" t="s">
        <v>13895</v>
      </c>
      <c r="E10820" s="6" t="str">
        <f>HYPERLINK("https://inpn.mnhn.fr/espece/cd_nom/226567","Norellisoma nervosum (Meigen, 1826)")</f>
        <v>Norellisoma nervosum (Meigen, 1826)</v>
      </c>
      <c r="AH10820" s="4" t="str">
        <f>HYPERLINK("#Statut_biogéographique!A"&amp;_xlfn.XMATCH("P",Statut_biogéographique!A:A,2,1),"P")</f>
        <v>P</v>
      </c>
      <c r="AP10820" s="4" t="s">
        <v>376</v>
      </c>
      <c r="AR10820" s="4" t="s">
        <v>377</v>
      </c>
    </row>
    <row r="10821" spans="1:44">
      <c r="A10821" s="4" t="s">
        <v>10753</v>
      </c>
      <c r="B10821" s="4">
        <v>226568</v>
      </c>
      <c r="D10821" s="5" t="s">
        <v>13896</v>
      </c>
      <c r="E10821" s="6" t="str">
        <f>HYPERLINK("https://inpn.mnhn.fr/espece/cd_nom/226568","Norellisoma spinimanum (Fallén, 1819)")</f>
        <v>Norellisoma spinimanum (Fallén, 1819)</v>
      </c>
      <c r="AH10821" s="4" t="str">
        <f>HYPERLINK("#Statut_biogéographique!A"&amp;_xlfn.XMATCH("P",Statut_biogéographique!A:A,2,1),"P")</f>
        <v>P</v>
      </c>
      <c r="AP10821" s="4" t="s">
        <v>376</v>
      </c>
      <c r="AR10821" s="4" t="s">
        <v>377</v>
      </c>
    </row>
    <row r="10822" spans="1:44" ht="30">
      <c r="A10822" s="4" t="s">
        <v>10753</v>
      </c>
      <c r="B10822" s="4">
        <v>226571</v>
      </c>
      <c r="D10822" s="5" t="s">
        <v>13897</v>
      </c>
      <c r="E10822" s="6" t="str">
        <f>HYPERLINK("https://inpn.mnhn.fr/espece/cd_nom/226571","Parallelomma vittatum (Meigen, 1826)")</f>
        <v>Parallelomma vittatum (Meigen, 1826)</v>
      </c>
      <c r="AH10822" s="4" t="str">
        <f>HYPERLINK("#Statut_biogéographique!A"&amp;_xlfn.XMATCH("P",Statut_biogéographique!A:A,2,1),"P")</f>
        <v>P</v>
      </c>
      <c r="AP10822" s="4" t="s">
        <v>376</v>
      </c>
      <c r="AR10822" s="4" t="s">
        <v>377</v>
      </c>
    </row>
    <row r="10823" spans="1:44">
      <c r="A10823" s="4" t="s">
        <v>10753</v>
      </c>
      <c r="B10823" s="4">
        <v>226585</v>
      </c>
      <c r="D10823" s="5" t="s">
        <v>13898</v>
      </c>
      <c r="E10823" s="6" t="str">
        <f>HYPERLINK("https://inpn.mnhn.fr/espece/cd_nom/226585","Bradysia placida (Winnertz, 1867)")</f>
        <v>Bradysia placida (Winnertz, 1867)</v>
      </c>
      <c r="AH10823" s="4" t="str">
        <f>HYPERLINK("#Statut_biogéographique!A"&amp;_xlfn.XMATCH("P",Statut_biogéographique!A:A,2,1),"P")</f>
        <v>P</v>
      </c>
      <c r="AP10823" s="4" t="s">
        <v>376</v>
      </c>
      <c r="AR10823" s="4" t="s">
        <v>377</v>
      </c>
    </row>
    <row r="10824" spans="1:44">
      <c r="A10824" s="4" t="s">
        <v>10753</v>
      </c>
      <c r="B10824" s="4">
        <v>226606</v>
      </c>
      <c r="D10824" s="5" t="s">
        <v>13899</v>
      </c>
      <c r="E10824" s="6" t="str">
        <f>HYPERLINK("https://inpn.mnhn.fr/espece/cd_nom/226606","Corynoptera trepida (Winnertz, 1867)")</f>
        <v>Corynoptera trepida (Winnertz, 1867)</v>
      </c>
      <c r="AH10824" s="4" t="str">
        <f>HYPERLINK("#Statut_biogéographique!A"&amp;_xlfn.XMATCH("P",Statut_biogéographique!A:A,2,1),"P")</f>
        <v>P</v>
      </c>
      <c r="AP10824" s="4" t="s">
        <v>376</v>
      </c>
      <c r="AR10824" s="4" t="s">
        <v>377</v>
      </c>
    </row>
    <row r="10825" spans="1:44">
      <c r="A10825" s="4" t="s">
        <v>10753</v>
      </c>
      <c r="B10825" s="4">
        <v>226607</v>
      </c>
      <c r="D10825" s="5" t="s">
        <v>13900</v>
      </c>
      <c r="E10825" s="6" t="str">
        <f>HYPERLINK("https://inpn.mnhn.fr/espece/cd_nom/226607","Cratyna ambigua (Lengersdorf, 1934)")</f>
        <v>Cratyna ambigua (Lengersdorf, 1934)</v>
      </c>
      <c r="AH10825" s="4" t="str">
        <f>HYPERLINK("#Statut_biogéographique!A"&amp;_xlfn.XMATCH("P",Statut_biogéographique!A:A,2,1),"P")</f>
        <v>P</v>
      </c>
      <c r="AP10825" s="4" t="s">
        <v>376</v>
      </c>
      <c r="AR10825" s="4" t="s">
        <v>377</v>
      </c>
    </row>
    <row r="10826" spans="1:44">
      <c r="A10826" s="4" t="s">
        <v>10753</v>
      </c>
      <c r="B10826" s="4">
        <v>22661</v>
      </c>
      <c r="D10826" s="5" t="s">
        <v>13901</v>
      </c>
      <c r="E10826" s="6" t="str">
        <f>HYPERLINK("https://inpn.mnhn.fr/espece/cd_nom/22661","Hilara fuscipes (Fabricius, 1794)")</f>
        <v>Hilara fuscipes (Fabricius, 1794)</v>
      </c>
      <c r="AH10826" s="4" t="str">
        <f>HYPERLINK("#Statut_biogéographique!A"&amp;_xlfn.XMATCH("P",Statut_biogéographique!A:A,2,1),"P")</f>
        <v>P</v>
      </c>
      <c r="AP10826" s="4" t="s">
        <v>376</v>
      </c>
      <c r="AR10826" s="4" t="s">
        <v>377</v>
      </c>
    </row>
    <row r="10827" spans="1:44">
      <c r="A10827" s="4" t="s">
        <v>10753</v>
      </c>
      <c r="B10827" s="4">
        <v>226611</v>
      </c>
      <c r="D10827" s="5" t="s">
        <v>13902</v>
      </c>
      <c r="E10827" s="6" t="str">
        <f>HYPERLINK("https://inpn.mnhn.fr/espece/cd_nom/226611","Cratyna vagabunda (Winnertz, 1867)")</f>
        <v>Cratyna vagabunda (Winnertz, 1867)</v>
      </c>
      <c r="AH10827" s="4" t="str">
        <f>HYPERLINK("#Statut_biogéographique!A"&amp;_xlfn.XMATCH("P",Statut_biogéographique!A:A,2,1),"P")</f>
        <v>P</v>
      </c>
      <c r="AP10827" s="4" t="s">
        <v>376</v>
      </c>
      <c r="AR10827" s="4" t="s">
        <v>377</v>
      </c>
    </row>
    <row r="10828" spans="1:44">
      <c r="A10828" s="4" t="s">
        <v>10753</v>
      </c>
      <c r="B10828" s="4">
        <v>226613</v>
      </c>
      <c r="D10828" s="5" t="s">
        <v>13903</v>
      </c>
      <c r="E10828" s="6" t="str">
        <f>HYPERLINK("https://inpn.mnhn.fr/espece/cd_nom/226613","Cratyna falcifera (Lengersdorf, 1933)")</f>
        <v>Cratyna falcifera (Lengersdorf, 1933)</v>
      </c>
      <c r="AH10828" s="4" t="str">
        <f>HYPERLINK("#Statut_biogéographique!A"&amp;_xlfn.XMATCH("P",Statut_biogéographique!A:A,2,1),"P")</f>
        <v>P</v>
      </c>
      <c r="AP10828" s="4" t="s">
        <v>376</v>
      </c>
      <c r="AR10828" s="4" t="s">
        <v>377</v>
      </c>
    </row>
    <row r="10829" spans="1:44">
      <c r="A10829" s="4" t="s">
        <v>10753</v>
      </c>
      <c r="B10829" s="4">
        <v>226614</v>
      </c>
      <c r="D10829" s="5" t="s">
        <v>13904</v>
      </c>
      <c r="E10829" s="6" t="str">
        <f>HYPERLINK("https://inpn.mnhn.fr/espece/cd_nom/226614","Cratyna nobilis (Winnertz, 1867)")</f>
        <v>Cratyna nobilis (Winnertz, 1867)</v>
      </c>
      <c r="AH10829" s="4" t="str">
        <f>HYPERLINK("#Statut_biogéographique!A"&amp;_xlfn.XMATCH("P",Statut_biogéographique!A:A,2,1),"P")</f>
        <v>P</v>
      </c>
      <c r="AP10829" s="4" t="s">
        <v>376</v>
      </c>
      <c r="AR10829" s="4" t="s">
        <v>377</v>
      </c>
    </row>
    <row r="10830" spans="1:44" ht="30">
      <c r="A10830" s="4" t="s">
        <v>10753</v>
      </c>
      <c r="B10830" s="4">
        <v>226623</v>
      </c>
      <c r="D10830" s="5" t="s">
        <v>13905</v>
      </c>
      <c r="E10830" s="6" t="str">
        <f>HYPERLINK("https://inpn.mnhn.fr/espece/cd_nom/226623","Leptosciarella fuscipalpa (Mohrig &amp; Mamaev, 1979)")</f>
        <v>Leptosciarella fuscipalpa (Mohrig &amp; Mamaev, 1979)</v>
      </c>
      <c r="AH10830" s="4" t="str">
        <f>HYPERLINK("#Statut_biogéographique!A"&amp;_xlfn.XMATCH("P",Statut_biogéographique!A:A,2,1),"P")</f>
        <v>P</v>
      </c>
      <c r="AP10830" s="4" t="s">
        <v>376</v>
      </c>
      <c r="AR10830" s="4" t="s">
        <v>377</v>
      </c>
    </row>
    <row r="10831" spans="1:44" ht="30">
      <c r="A10831" s="4" t="s">
        <v>10753</v>
      </c>
      <c r="B10831" s="4">
        <v>226624</v>
      </c>
      <c r="D10831" s="5" t="s">
        <v>13906</v>
      </c>
      <c r="E10831" s="6" t="str">
        <f>HYPERLINK("https://inpn.mnhn.fr/espece/cd_nom/226624","Leptosciarella pilosa (Stæger, 1840)")</f>
        <v>Leptosciarella pilosa (Stæger, 1840)</v>
      </c>
      <c r="AH10831" s="4" t="str">
        <f>HYPERLINK("#Statut_biogéographique!A"&amp;_xlfn.XMATCH("P",Statut_biogéographique!A:A,2,1),"P")</f>
        <v>P</v>
      </c>
      <c r="AP10831" s="4" t="s">
        <v>376</v>
      </c>
      <c r="AR10831" s="4" t="s">
        <v>377</v>
      </c>
    </row>
    <row r="10832" spans="1:44">
      <c r="A10832" s="4" t="s">
        <v>10753</v>
      </c>
      <c r="B10832" s="4">
        <v>226625</v>
      </c>
      <c r="D10832" s="5" t="s">
        <v>13907</v>
      </c>
      <c r="E10832" s="6" t="str">
        <f>HYPERLINK("https://inpn.mnhn.fr/espece/cd_nom/226625","Leptosciarella rejecta (Winnertz, 1867)")</f>
        <v>Leptosciarella rejecta (Winnertz, 1867)</v>
      </c>
      <c r="AH10832" s="4" t="str">
        <f>HYPERLINK("#Statut_biogéographique!A"&amp;_xlfn.XMATCH("P",Statut_biogéographique!A:A,2,1),"P")</f>
        <v>P</v>
      </c>
      <c r="AP10832" s="4" t="s">
        <v>376</v>
      </c>
      <c r="AR10832" s="4" t="s">
        <v>377</v>
      </c>
    </row>
    <row r="10833" spans="1:44" ht="30">
      <c r="A10833" s="4" t="s">
        <v>10753</v>
      </c>
      <c r="B10833" s="4">
        <v>226626</v>
      </c>
      <c r="D10833" s="5" t="s">
        <v>13908</v>
      </c>
      <c r="E10833" s="6" t="str">
        <f>HYPERLINK("https://inpn.mnhn.fr/espece/cd_nom/226626","Leptosciarella scutellata (Stæger, 1840)")</f>
        <v>Leptosciarella scutellata (Stæger, 1840)</v>
      </c>
      <c r="AH10833" s="4" t="str">
        <f>HYPERLINK("#Statut_biogéographique!A"&amp;_xlfn.XMATCH("P",Statut_biogéographique!A:A,2,1),"P")</f>
        <v>P</v>
      </c>
      <c r="AP10833" s="4" t="s">
        <v>376</v>
      </c>
      <c r="AR10833" s="4" t="s">
        <v>377</v>
      </c>
    </row>
    <row r="10834" spans="1:44">
      <c r="A10834" s="4" t="s">
        <v>10753</v>
      </c>
      <c r="B10834" s="4">
        <v>226632</v>
      </c>
      <c r="D10834" s="5" t="s">
        <v>13909</v>
      </c>
      <c r="E10834" s="6" t="str">
        <f>HYPERLINK("https://inpn.mnhn.fr/espece/cd_nom/226632","Pseudolycoriella bruckii (Winnertz, 1867)")</f>
        <v>Pseudolycoriella bruckii (Winnertz, 1867)</v>
      </c>
      <c r="AH10834" s="4" t="str">
        <f>HYPERLINK("#Statut_biogéographique!A"&amp;_xlfn.XMATCH("P",Statut_biogéographique!A:A,2,1),"P")</f>
        <v>P</v>
      </c>
      <c r="AP10834" s="4" t="s">
        <v>376</v>
      </c>
      <c r="AR10834" s="4" t="s">
        <v>377</v>
      </c>
    </row>
    <row r="10835" spans="1:44" ht="30">
      <c r="A10835" s="4" t="s">
        <v>10753</v>
      </c>
      <c r="B10835" s="4">
        <v>226639</v>
      </c>
      <c r="D10835" s="5" t="s">
        <v>13910</v>
      </c>
      <c r="E10835" s="6" t="str">
        <f>HYPERLINK("https://inpn.mnhn.fr/espece/cd_nom/226639","Schwenckfeldina carbonaria (Meigen, 1830)")</f>
        <v>Schwenckfeldina carbonaria (Meigen, 1830)</v>
      </c>
      <c r="AH10835" s="4" t="str">
        <f>HYPERLINK("#Statut_biogéographique!A"&amp;_xlfn.XMATCH("P",Statut_biogéographique!A:A,2,1),"P")</f>
        <v>P</v>
      </c>
      <c r="AP10835" s="4" t="s">
        <v>376</v>
      </c>
      <c r="AR10835" s="4" t="s">
        <v>377</v>
      </c>
    </row>
    <row r="10836" spans="1:44">
      <c r="A10836" s="4" t="s">
        <v>10753</v>
      </c>
      <c r="B10836" s="4">
        <v>226640</v>
      </c>
      <c r="D10836" s="5" t="s">
        <v>13911</v>
      </c>
      <c r="E10836" s="6" t="str">
        <f>HYPERLINK("https://inpn.mnhn.fr/espece/cd_nom/226640","Sciara flavimana Zetterstedt, 1851")</f>
        <v>Sciara flavimana Zetterstedt, 1851</v>
      </c>
      <c r="AH10836" s="4" t="str">
        <f>HYPERLINK("#Statut_biogéographique!A"&amp;_xlfn.XMATCH("P",Statut_biogéographique!A:A,2,1),"P")</f>
        <v>P</v>
      </c>
      <c r="AP10836" s="4" t="s">
        <v>376</v>
      </c>
      <c r="AR10836" s="4" t="s">
        <v>377</v>
      </c>
    </row>
    <row r="10837" spans="1:44" ht="30">
      <c r="A10837" s="4" t="s">
        <v>10753</v>
      </c>
      <c r="B10837" s="4">
        <v>226641</v>
      </c>
      <c r="D10837" s="5" t="s">
        <v>13912</v>
      </c>
      <c r="E10837" s="6" t="str">
        <f>HYPERLINK("https://inpn.mnhn.fr/espece/cd_nom/226641","Sciara hemerobioides (Scopoli, 1763)")</f>
        <v>Sciara hemerobioides (Scopoli, 1763)</v>
      </c>
      <c r="AH10837" s="4" t="str">
        <f>HYPERLINK("#Statut_biogéographique!A"&amp;_xlfn.XMATCH("P",Statut_biogéographique!A:A,2,1),"P")</f>
        <v>P</v>
      </c>
      <c r="AP10837" s="4" t="s">
        <v>376</v>
      </c>
      <c r="AR10837" s="4" t="s">
        <v>377</v>
      </c>
    </row>
    <row r="10838" spans="1:44" ht="30">
      <c r="A10838" s="4" t="s">
        <v>10753</v>
      </c>
      <c r="B10838" s="4">
        <v>226644</v>
      </c>
      <c r="D10838" s="5" t="s">
        <v>13913</v>
      </c>
      <c r="E10838" s="6" t="str">
        <f>HYPERLINK("https://inpn.mnhn.fr/espece/cd_nom/226644","Trichosia morio (Fabricius, 1794)")</f>
        <v>Trichosia morio (Fabricius, 1794)</v>
      </c>
      <c r="AH10838" s="4" t="str">
        <f>HYPERLINK("#Statut_biogéographique!A"&amp;_xlfn.XMATCH("P",Statut_biogéographique!A:A,2,1),"P")</f>
        <v>P</v>
      </c>
      <c r="AP10838" s="4" t="s">
        <v>376</v>
      </c>
      <c r="AR10838" s="4" t="s">
        <v>377</v>
      </c>
    </row>
    <row r="10839" spans="1:44">
      <c r="A10839" s="4" t="s">
        <v>10753</v>
      </c>
      <c r="B10839" s="4">
        <v>226645</v>
      </c>
      <c r="D10839" s="5" t="s">
        <v>13914</v>
      </c>
      <c r="E10839" s="6" t="str">
        <f>HYPERLINK("https://inpn.mnhn.fr/espece/cd_nom/226645","Trichosia splendens Winnertz, 1867")</f>
        <v>Trichosia splendens Winnertz, 1867</v>
      </c>
      <c r="AH10839" s="4" t="str">
        <f>HYPERLINK("#Statut_biogéographique!A"&amp;_xlfn.XMATCH("P",Statut_biogéographique!A:A,2,1),"P")</f>
        <v>P</v>
      </c>
      <c r="AP10839" s="4" t="s">
        <v>376</v>
      </c>
      <c r="AR10839" s="4" t="s">
        <v>377</v>
      </c>
    </row>
    <row r="10840" spans="1:44" ht="30">
      <c r="A10840" s="4" t="s">
        <v>10753</v>
      </c>
      <c r="B10840" s="4">
        <v>226656</v>
      </c>
      <c r="D10840" s="5" t="s">
        <v>13915</v>
      </c>
      <c r="E10840" s="6" t="str">
        <f>HYPERLINK("https://inpn.mnhn.fr/espece/cd_nom/226656","Cylindromyia auriceps (Meigen, 1838)")</f>
        <v>Cylindromyia auriceps (Meigen, 1838)</v>
      </c>
      <c r="AH10840" s="4" t="str">
        <f>HYPERLINK("#Statut_biogéographique!A"&amp;_xlfn.XMATCH("P",Statut_biogéographique!A:A,2,1),"P")</f>
        <v>P</v>
      </c>
      <c r="AP10840" s="4" t="s">
        <v>376</v>
      </c>
      <c r="AR10840" s="4" t="s">
        <v>377</v>
      </c>
    </row>
    <row r="10841" spans="1:44">
      <c r="A10841" s="4" t="s">
        <v>10753</v>
      </c>
      <c r="B10841" s="4">
        <v>226657</v>
      </c>
      <c r="D10841" s="5" t="s">
        <v>13916</v>
      </c>
      <c r="E10841" s="6" t="str">
        <f>HYPERLINK("https://inpn.mnhn.fr/espece/cd_nom/226657","Cylindromyia bicolor (Olivier, 1811)")</f>
        <v>Cylindromyia bicolor (Olivier, 1811)</v>
      </c>
      <c r="AH10841" s="4" t="str">
        <f>HYPERLINK("#Statut_biogéographique!A"&amp;_xlfn.XMATCH("P",Statut_biogéographique!A:A,2,1),"P")</f>
        <v>P</v>
      </c>
      <c r="AP10841" s="4" t="s">
        <v>376</v>
      </c>
      <c r="AR10841" s="4" t="s">
        <v>377</v>
      </c>
    </row>
    <row r="10842" spans="1:44" ht="30">
      <c r="A10842" s="4" t="s">
        <v>10753</v>
      </c>
      <c r="B10842" s="4">
        <v>226658</v>
      </c>
      <c r="D10842" s="5" t="s">
        <v>13917</v>
      </c>
      <c r="E10842" s="6" t="str">
        <f>HYPERLINK("https://inpn.mnhn.fr/espece/cd_nom/226658","Cylindromyia brassicaria (Fabricius, 1775)")</f>
        <v>Cylindromyia brassicaria (Fabricius, 1775)</v>
      </c>
      <c r="AH10842" s="4" t="str">
        <f>HYPERLINK("#Statut_biogéographique!A"&amp;_xlfn.XMATCH("P",Statut_biogéographique!A:A,2,1),"P")</f>
        <v>P</v>
      </c>
      <c r="AP10842" s="4" t="s">
        <v>376</v>
      </c>
      <c r="AR10842" s="4" t="s">
        <v>377</v>
      </c>
    </row>
    <row r="10843" spans="1:44">
      <c r="A10843" s="4" t="s">
        <v>10753</v>
      </c>
      <c r="B10843" s="4">
        <v>226663</v>
      </c>
      <c r="D10843" s="5" t="s">
        <v>13918</v>
      </c>
      <c r="E10843" s="6" t="str">
        <f>HYPERLINK("https://inpn.mnhn.fr/espece/cd_nom/226663","Cylindromyia pilipes (Loew, 1844)")</f>
        <v>Cylindromyia pilipes (Loew, 1844)</v>
      </c>
      <c r="AH10843" s="4" t="str">
        <f>HYPERLINK("#Statut_biogéographique!A"&amp;_xlfn.XMATCH("P",Statut_biogéographique!A:A,2,1),"P")</f>
        <v>P</v>
      </c>
      <c r="AP10843" s="4" t="s">
        <v>376</v>
      </c>
      <c r="AR10843" s="4" t="s">
        <v>377</v>
      </c>
    </row>
    <row r="10844" spans="1:44">
      <c r="A10844" s="4" t="s">
        <v>10753</v>
      </c>
      <c r="B10844" s="4">
        <v>226664</v>
      </c>
      <c r="D10844" s="5" t="s">
        <v>13919</v>
      </c>
      <c r="E10844" s="6" t="str">
        <f>HYPERLINK("https://inpn.mnhn.fr/espece/cd_nom/226664","Cylindromyia pusilla (Meigen, 1824)")</f>
        <v>Cylindromyia pusilla (Meigen, 1824)</v>
      </c>
      <c r="AH10844" s="4" t="str">
        <f>HYPERLINK("#Statut_biogéographique!A"&amp;_xlfn.XMATCH("P",Statut_biogéographique!A:A,2,1),"P")</f>
        <v>P</v>
      </c>
      <c r="AP10844" s="4" t="s">
        <v>376</v>
      </c>
      <c r="AR10844" s="4" t="s">
        <v>377</v>
      </c>
    </row>
    <row r="10845" spans="1:44">
      <c r="A10845" s="4" t="s">
        <v>10753</v>
      </c>
      <c r="B10845" s="4">
        <v>22668</v>
      </c>
      <c r="D10845" s="5" t="s">
        <v>13920</v>
      </c>
      <c r="E10845" s="6" t="str">
        <f>HYPERLINK("https://inpn.mnhn.fr/espece/cd_nom/22668","Hilara interstincta (Fallén, 1816)")</f>
        <v>Hilara interstincta (Fallén, 1816)</v>
      </c>
      <c r="AH10845" s="4" t="str">
        <f>HYPERLINK("#Statut_biogéographique!A"&amp;_xlfn.XMATCH("P",Statut_biogéographique!A:A,2,1),"P")</f>
        <v>P</v>
      </c>
      <c r="AP10845" s="4" t="s">
        <v>376</v>
      </c>
      <c r="AR10845" s="4" t="s">
        <v>377</v>
      </c>
    </row>
    <row r="10846" spans="1:44">
      <c r="A10846" s="4" t="s">
        <v>10753</v>
      </c>
      <c r="B10846" s="4">
        <v>22669</v>
      </c>
      <c r="D10846" s="5" t="s">
        <v>13921</v>
      </c>
      <c r="E10846" s="6" t="str">
        <f>HYPERLINK("https://inpn.mnhn.fr/espece/cd_nom/22669","Hilara litorea (Fallén, 1816)")</f>
        <v>Hilara litorea (Fallén, 1816)</v>
      </c>
      <c r="AH10846" s="4" t="str">
        <f>HYPERLINK("#Statut_biogéographique!A"&amp;_xlfn.XMATCH("P",Statut_biogéographique!A:A,2,1),"P")</f>
        <v>P</v>
      </c>
      <c r="AP10846" s="4" t="s">
        <v>376</v>
      </c>
      <c r="AR10846" s="4" t="s">
        <v>377</v>
      </c>
    </row>
    <row r="10847" spans="1:44">
      <c r="A10847" s="4" t="s">
        <v>10753</v>
      </c>
      <c r="B10847" s="4">
        <v>226698</v>
      </c>
      <c r="D10847" s="5" t="s">
        <v>13922</v>
      </c>
      <c r="E10847" s="6" t="str">
        <f>HYPERLINK("https://inpn.mnhn.fr/espece/cd_nom/226698","Phasia hemiptera (Fabricius, 1794)")</f>
        <v>Phasia hemiptera (Fabricius, 1794)</v>
      </c>
      <c r="AH10847" s="4" t="str">
        <f>HYPERLINK("#Statut_biogéographique!A"&amp;_xlfn.XMATCH("P",Statut_biogéographique!A:A,2,1),"P")</f>
        <v>P</v>
      </c>
      <c r="AP10847" s="4" t="s">
        <v>376</v>
      </c>
      <c r="AR10847" s="4" t="s">
        <v>377</v>
      </c>
    </row>
    <row r="10848" spans="1:44">
      <c r="A10848" s="4" t="s">
        <v>10753</v>
      </c>
      <c r="B10848" s="4">
        <v>226713</v>
      </c>
      <c r="D10848" s="5" t="s">
        <v>13923</v>
      </c>
      <c r="E10848" s="6" t="str">
        <f>HYPERLINK("https://inpn.mnhn.fr/espece/cd_nom/226713","Gymnosoma rotundatum (Linnaeus, 1758)")</f>
        <v>Gymnosoma rotundatum (Linnaeus, 1758)</v>
      </c>
      <c r="AH10848" s="4" t="str">
        <f>HYPERLINK("#Statut_biogéographique!A"&amp;_xlfn.XMATCH("P",Statut_biogéographique!A:A,2,1),"P")</f>
        <v>P</v>
      </c>
      <c r="AP10848" s="4" t="s">
        <v>376</v>
      </c>
      <c r="AR10848" s="4" t="s">
        <v>377</v>
      </c>
    </row>
    <row r="10849" spans="1:44" ht="30">
      <c r="A10849" s="4" t="s">
        <v>10753</v>
      </c>
      <c r="B10849" s="4">
        <v>226720</v>
      </c>
      <c r="D10849" s="5" t="s">
        <v>13924</v>
      </c>
      <c r="E10849" s="6" t="str">
        <f>HYPERLINK("https://inpn.mnhn.fr/espece/cd_nom/226720","Eliozeta helluo (Fabricius, 1805)")</f>
        <v>Eliozeta helluo (Fabricius, 1805)</v>
      </c>
      <c r="AH10849" s="4" t="str">
        <f>HYPERLINK("#Statut_biogéographique!A"&amp;_xlfn.XMATCH("P",Statut_biogéographique!A:A,2,1),"P")</f>
        <v>P</v>
      </c>
      <c r="AP10849" s="4" t="s">
        <v>376</v>
      </c>
      <c r="AR10849" s="4" t="s">
        <v>377</v>
      </c>
    </row>
    <row r="10850" spans="1:44" ht="60">
      <c r="A10850" s="4" t="s">
        <v>10753</v>
      </c>
      <c r="B10850" s="4">
        <v>226724</v>
      </c>
      <c r="D10850" s="5" t="s">
        <v>13925</v>
      </c>
      <c r="E10850" s="6" t="str">
        <f>HYPERLINK("https://inpn.mnhn.fr/espece/cd_nom/226724","Microsoma exiguum (Meigen, 1824)")</f>
        <v>Microsoma exiguum (Meigen, 1824)</v>
      </c>
      <c r="AH10850" s="4" t="str">
        <f>HYPERLINK("#Statut_biogéographique!A"&amp;_xlfn.XMATCH("P",Statut_biogéographique!A:A,2,1),"P")</f>
        <v>P</v>
      </c>
      <c r="AP10850" s="4" t="s">
        <v>376</v>
      </c>
      <c r="AR10850" s="4" t="s">
        <v>377</v>
      </c>
    </row>
    <row r="10851" spans="1:44">
      <c r="A10851" s="4" t="s">
        <v>10753</v>
      </c>
      <c r="B10851" s="4">
        <v>226730</v>
      </c>
      <c r="D10851" s="5" t="s">
        <v>13926</v>
      </c>
      <c r="E10851" s="6" t="str">
        <f>HYPERLINK("https://inpn.mnhn.fr/espece/cd_nom/226730","Rondania fasciata (Macquart, 1834)")</f>
        <v>Rondania fasciata (Macquart, 1834)</v>
      </c>
      <c r="AH10851" s="4" t="str">
        <f>HYPERLINK("#Statut_biogéographique!A"&amp;_xlfn.XMATCH("P",Statut_biogéographique!A:A,2,1),"P")</f>
        <v>P</v>
      </c>
      <c r="AP10851" s="4" t="s">
        <v>376</v>
      </c>
      <c r="AR10851" s="4" t="s">
        <v>377</v>
      </c>
    </row>
    <row r="10852" spans="1:44" ht="30">
      <c r="A10852" s="4" t="s">
        <v>10753</v>
      </c>
      <c r="B10852" s="4">
        <v>226756</v>
      </c>
      <c r="D10852" s="5" t="s">
        <v>13927</v>
      </c>
      <c r="E10852" s="6" t="str">
        <f>HYPERLINK("https://inpn.mnhn.fr/espece/cd_nom/226756","Campylocheta inepta (Meigen, 1824)")</f>
        <v>Campylocheta inepta (Meigen, 1824)</v>
      </c>
      <c r="AH10852" s="4" t="str">
        <f>HYPERLINK("#Statut_biogéographique!A"&amp;_xlfn.XMATCH("P",Statut_biogéographique!A:A,2,1),"P")</f>
        <v>P</v>
      </c>
      <c r="AP10852" s="4" t="s">
        <v>376</v>
      </c>
      <c r="AR10852" s="4" t="s">
        <v>377</v>
      </c>
    </row>
    <row r="10853" spans="1:44">
      <c r="A10853" s="4" t="s">
        <v>10753</v>
      </c>
      <c r="B10853" s="4">
        <v>22676</v>
      </c>
      <c r="D10853" s="5" t="s">
        <v>13928</v>
      </c>
      <c r="E10853" s="6" t="str">
        <f>HYPERLINK("https://inpn.mnhn.fr/espece/cd_nom/22676","Hilara maura (Fabricius, 1777)")</f>
        <v>Hilara maura (Fabricius, 1777)</v>
      </c>
      <c r="AH10853" s="4" t="str">
        <f>HYPERLINK("#Statut_biogéographique!A"&amp;_xlfn.XMATCH("P",Statut_biogéographique!A:A,2,1),"P")</f>
        <v>P</v>
      </c>
      <c r="AP10853" s="4" t="s">
        <v>376</v>
      </c>
      <c r="AR10853" s="4" t="s">
        <v>377</v>
      </c>
    </row>
    <row r="10854" spans="1:44">
      <c r="A10854" s="4" t="s">
        <v>10753</v>
      </c>
      <c r="B10854" s="4">
        <v>226806</v>
      </c>
      <c r="D10854" s="5" t="s">
        <v>13929</v>
      </c>
      <c r="E10854" s="6" t="str">
        <f>HYPERLINK("https://inpn.mnhn.fr/espece/cd_nom/226806","Siphona grandistylum Pandellé, 1894")</f>
        <v>Siphona grandistylum Pandellé, 1894</v>
      </c>
      <c r="AH10854" s="4" t="str">
        <f>HYPERLINK("#Statut_biogéographique!A"&amp;_xlfn.XMATCH("P",Statut_biogéographique!A:A,2,1),"P")</f>
        <v>P</v>
      </c>
      <c r="AP10854" s="4" t="s">
        <v>376</v>
      </c>
      <c r="AR10854" s="4" t="s">
        <v>377</v>
      </c>
    </row>
    <row r="10855" spans="1:44">
      <c r="A10855" s="4" t="s">
        <v>10753</v>
      </c>
      <c r="B10855" s="4">
        <v>226807</v>
      </c>
      <c r="D10855" s="5">
        <v>226807</v>
      </c>
      <c r="E10855" s="6" t="str">
        <f>HYPERLINK("https://inpn.mnhn.fr/espece/cd_nom/226807","Siphona hokkaidensis Mesnil, 1957")</f>
        <v>Siphona hokkaidensis Mesnil, 1957</v>
      </c>
      <c r="AH10855" s="4" t="str">
        <f>HYPERLINK("#Statut_biogéographique!A"&amp;_xlfn.XMATCH("P",Statut_biogéographique!A:A,2,1),"P")</f>
        <v>P</v>
      </c>
      <c r="AP10855" s="4" t="s">
        <v>376</v>
      </c>
      <c r="AR10855" s="4" t="s">
        <v>377</v>
      </c>
    </row>
    <row r="10856" spans="1:44">
      <c r="A10856" s="4" t="s">
        <v>10753</v>
      </c>
      <c r="B10856" s="4">
        <v>226810</v>
      </c>
      <c r="D10856" s="5">
        <v>226810</v>
      </c>
      <c r="E10856" s="6" t="str">
        <f>HYPERLINK("https://inpn.mnhn.fr/espece/cd_nom/226810","Siphona variata Andersen, 1982")</f>
        <v>Siphona variata Andersen, 1982</v>
      </c>
      <c r="AH10856" s="4" t="str">
        <f>HYPERLINK("#Statut_biogéographique!A"&amp;_xlfn.XMATCH("P",Statut_biogéographique!A:A,2,1),"P")</f>
        <v>P</v>
      </c>
      <c r="AP10856" s="4" t="s">
        <v>376</v>
      </c>
      <c r="AR10856" s="4" t="s">
        <v>377</v>
      </c>
    </row>
    <row r="10857" spans="1:44">
      <c r="A10857" s="4" t="s">
        <v>10753</v>
      </c>
      <c r="B10857" s="4">
        <v>226818</v>
      </c>
      <c r="D10857" s="5" t="s">
        <v>13930</v>
      </c>
      <c r="E10857" s="6" t="str">
        <f>HYPERLINK("https://inpn.mnhn.fr/espece/cd_nom/226818","Peribaea setinervis (Thomson, 1869)")</f>
        <v>Peribaea setinervis (Thomson, 1869)</v>
      </c>
      <c r="AH10857" s="4" t="str">
        <f>HYPERLINK("#Statut_biogéographique!A"&amp;_xlfn.XMATCH("P",Statut_biogéographique!A:A,2,1),"P")</f>
        <v>P</v>
      </c>
      <c r="AP10857" s="4" t="s">
        <v>376</v>
      </c>
      <c r="AR10857" s="4" t="s">
        <v>377</v>
      </c>
    </row>
    <row r="10858" spans="1:44">
      <c r="A10858" s="4" t="s">
        <v>10753</v>
      </c>
      <c r="B10858" s="4">
        <v>226819</v>
      </c>
      <c r="D10858" s="5" t="s">
        <v>13931</v>
      </c>
      <c r="E10858" s="6" t="str">
        <f>HYPERLINK("https://inpn.mnhn.fr/espece/cd_nom/226819","Actia infantula (Zetterstedt, 1844)")</f>
        <v>Actia infantula (Zetterstedt, 1844)</v>
      </c>
      <c r="AH10858" s="4" t="str">
        <f>HYPERLINK("#Statut_biogéographique!A"&amp;_xlfn.XMATCH("P",Statut_biogéographique!A:A,2,1),"P")</f>
        <v>P</v>
      </c>
      <c r="AP10858" s="4" t="s">
        <v>376</v>
      </c>
      <c r="AR10858" s="4" t="s">
        <v>377</v>
      </c>
    </row>
    <row r="10859" spans="1:44">
      <c r="A10859" s="4" t="s">
        <v>10753</v>
      </c>
      <c r="B10859" s="4">
        <v>22687</v>
      </c>
      <c r="D10859" s="5">
        <v>22687</v>
      </c>
      <c r="E10859" s="6" t="str">
        <f>HYPERLINK("https://inpn.mnhn.fr/espece/cd_nom/22687","Hilara thoracica Macquart, 1827")</f>
        <v>Hilara thoracica Macquart, 1827</v>
      </c>
      <c r="AH10859" s="4" t="str">
        <f>HYPERLINK("#Statut_biogéographique!A"&amp;_xlfn.XMATCH("P",Statut_biogéographique!A:A,2,1),"P")</f>
        <v>P</v>
      </c>
      <c r="AP10859" s="4" t="s">
        <v>376</v>
      </c>
      <c r="AR10859" s="4" t="s">
        <v>377</v>
      </c>
    </row>
    <row r="10860" spans="1:44">
      <c r="A10860" s="4" t="s">
        <v>10753</v>
      </c>
      <c r="B10860" s="4">
        <v>226870</v>
      </c>
      <c r="D10860" s="5" t="s">
        <v>13932</v>
      </c>
      <c r="E10860" s="6" t="str">
        <f>HYPERLINK("https://inpn.mnhn.fr/espece/cd_nom/226870","Linnaemya haemorrhoidalis (Fallén, 1810)")</f>
        <v>Linnaemya haemorrhoidalis (Fallén, 1810)</v>
      </c>
      <c r="AH10860" s="4" t="str">
        <f>HYPERLINK("#Statut_biogéographique!A"&amp;_xlfn.XMATCH("P",Statut_biogéographique!A:A,2,1),"P")</f>
        <v>P</v>
      </c>
      <c r="AP10860" s="4" t="s">
        <v>376</v>
      </c>
      <c r="AR10860" s="4" t="s">
        <v>377</v>
      </c>
    </row>
    <row r="10861" spans="1:44">
      <c r="A10861" s="4" t="s">
        <v>10753</v>
      </c>
      <c r="B10861" s="4">
        <v>226893</v>
      </c>
      <c r="D10861" s="5" t="s">
        <v>13933</v>
      </c>
      <c r="E10861" s="6" t="str">
        <f>HYPERLINK("https://inpn.mnhn.fr/espece/cd_nom/226893","Nowickia ferox (Panzer, 1809)")</f>
        <v>Nowickia ferox (Panzer, 1809)</v>
      </c>
      <c r="AH10861" s="4" t="str">
        <f>HYPERLINK("#Statut_biogéographique!A"&amp;_xlfn.XMATCH("P",Statut_biogéographique!A:A,2,1),"P")</f>
        <v>P</v>
      </c>
      <c r="AP10861" s="4" t="s">
        <v>376</v>
      </c>
      <c r="AR10861" s="4" t="s">
        <v>377</v>
      </c>
    </row>
    <row r="10862" spans="1:44" ht="30">
      <c r="A10862" s="4" t="s">
        <v>10753</v>
      </c>
      <c r="B10862" s="4">
        <v>226900</v>
      </c>
      <c r="D10862" s="5" t="s">
        <v>13934</v>
      </c>
      <c r="E10862" s="6" t="str">
        <f>HYPERLINK("https://inpn.mnhn.fr/espece/cd_nom/226900","Tachina fera (Linnaeus, 1761)")</f>
        <v>Tachina fera (Linnaeus, 1761)</v>
      </c>
      <c r="AH10862" s="4" t="str">
        <f>HYPERLINK("#Statut_biogéographique!A"&amp;_xlfn.XMATCH("P",Statut_biogéographique!A:A,2,1),"P")</f>
        <v>P</v>
      </c>
      <c r="AP10862" s="4" t="s">
        <v>376</v>
      </c>
      <c r="AR10862" s="4" t="s">
        <v>377</v>
      </c>
    </row>
    <row r="10863" spans="1:44">
      <c r="A10863" s="4" t="s">
        <v>10753</v>
      </c>
      <c r="B10863" s="4">
        <v>226901</v>
      </c>
      <c r="D10863" s="5" t="s">
        <v>13935</v>
      </c>
      <c r="E10863" s="6" t="str">
        <f>HYPERLINK("https://inpn.mnhn.fr/espece/cd_nom/226901","Tachina grossa (Linnaeus, 1758)")</f>
        <v>Tachina grossa (Linnaeus, 1758)</v>
      </c>
      <c r="AH10863" s="4" t="str">
        <f>HYPERLINK("#Statut_biogéographique!A"&amp;_xlfn.XMATCH("P",Statut_biogéographique!A:A,2,1),"P")</f>
        <v>P</v>
      </c>
      <c r="AP10863" s="4" t="s">
        <v>376</v>
      </c>
      <c r="AR10863" s="4" t="s">
        <v>377</v>
      </c>
    </row>
    <row r="10864" spans="1:44">
      <c r="A10864" s="4" t="s">
        <v>10753</v>
      </c>
      <c r="B10864" s="4">
        <v>226907</v>
      </c>
      <c r="D10864" s="5" t="s">
        <v>13936</v>
      </c>
      <c r="E10864" s="6" t="str">
        <f>HYPERLINK("https://inpn.mnhn.fr/espece/cd_nom/226907","Tachina ursina Meigen, 1824")</f>
        <v>Tachina ursina Meigen, 1824</v>
      </c>
      <c r="AH10864" s="4" t="str">
        <f>HYPERLINK("#Statut_biogéographique!A"&amp;_xlfn.XMATCH("P",Statut_biogéographique!A:A,2,1),"P")</f>
        <v>P</v>
      </c>
      <c r="AP10864" s="4" t="s">
        <v>376</v>
      </c>
      <c r="AR10864" s="4" t="s">
        <v>377</v>
      </c>
    </row>
    <row r="10865" spans="1:44" ht="60">
      <c r="A10865" s="4" t="s">
        <v>10753</v>
      </c>
      <c r="B10865" s="4">
        <v>226940</v>
      </c>
      <c r="D10865" s="5" t="s">
        <v>13937</v>
      </c>
      <c r="E10865" s="6" t="str">
        <f>HYPERLINK("https://inpn.mnhn.fr/espece/cd_nom/226940","Platymya fimbriata (Meigen, 1824)")</f>
        <v>Platymya fimbriata (Meigen, 1824)</v>
      </c>
      <c r="AH10865" s="4" t="str">
        <f>HYPERLINK("#Statut_biogéographique!A"&amp;_xlfn.XMATCH("P",Statut_biogéographique!A:A,2,1),"P")</f>
        <v>P</v>
      </c>
      <c r="AP10865" s="4" t="s">
        <v>376</v>
      </c>
      <c r="AR10865" s="4" t="s">
        <v>377</v>
      </c>
    </row>
    <row r="10866" spans="1:44">
      <c r="A10866" s="4" t="s">
        <v>10753</v>
      </c>
      <c r="B10866" s="4">
        <v>226952</v>
      </c>
      <c r="D10866" s="5">
        <v>226952</v>
      </c>
      <c r="E10866" s="6" t="str">
        <f>HYPERLINK("https://inpn.mnhn.fr/espece/cd_nom/226952","Carcelia atricosta Herting, 1961")</f>
        <v>Carcelia atricosta Herting, 1961</v>
      </c>
      <c r="AH10866" s="4" t="str">
        <f>HYPERLINK("#Statut_biogéographique!A"&amp;_xlfn.XMATCH("P",Statut_biogéographique!A:A,2,1),"P")</f>
        <v>P</v>
      </c>
      <c r="AP10866" s="4" t="s">
        <v>376</v>
      </c>
      <c r="AR10866" s="4" t="s">
        <v>377</v>
      </c>
    </row>
    <row r="10867" spans="1:44">
      <c r="A10867" s="4" t="s">
        <v>10753</v>
      </c>
      <c r="B10867" s="4">
        <v>226956</v>
      </c>
      <c r="D10867" s="5" t="s">
        <v>13938</v>
      </c>
      <c r="E10867" s="6" t="str">
        <f>HYPERLINK("https://inpn.mnhn.fr/espece/cd_nom/226956","Carcelia iliaca (Ratzeburg, 1840)")</f>
        <v>Carcelia iliaca (Ratzeburg, 1840)</v>
      </c>
      <c r="AH10867" s="4" t="str">
        <f>HYPERLINK("#Statut_biogéographique!A"&amp;_xlfn.XMATCH("P",Statut_biogéographique!A:A,2,1),"P")</f>
        <v>P</v>
      </c>
      <c r="AP10867" s="4" t="s">
        <v>376</v>
      </c>
      <c r="AR10867" s="4" t="s">
        <v>377</v>
      </c>
    </row>
    <row r="10868" spans="1:44" ht="30">
      <c r="A10868" s="4" t="s">
        <v>10753</v>
      </c>
      <c r="B10868" s="4">
        <v>226961</v>
      </c>
      <c r="D10868" s="5" t="s">
        <v>13939</v>
      </c>
      <c r="E10868" s="6" t="str">
        <f>HYPERLINK("https://inpn.mnhn.fr/espece/cd_nom/226961","Carcelia rasa (Macquart, 1849)")</f>
        <v>Carcelia rasa (Macquart, 1849)</v>
      </c>
      <c r="AH10868" s="4" t="str">
        <f>HYPERLINK("#Statut_biogéographique!A"&amp;_xlfn.XMATCH("P",Statut_biogéographique!A:A,2,1),"P")</f>
        <v>P</v>
      </c>
      <c r="AP10868" s="4" t="s">
        <v>376</v>
      </c>
      <c r="AR10868" s="4" t="s">
        <v>377</v>
      </c>
    </row>
    <row r="10869" spans="1:44" ht="30">
      <c r="A10869" s="4" t="s">
        <v>10753</v>
      </c>
      <c r="B10869" s="4">
        <v>226976</v>
      </c>
      <c r="D10869" s="5" t="s">
        <v>13940</v>
      </c>
      <c r="E10869" s="6" t="str">
        <f>HYPERLINK("https://inpn.mnhn.fr/espece/cd_nom/226976","Phryxe magnicornis (Zetterstedt, 1838)")</f>
        <v>Phryxe magnicornis (Zetterstedt, 1838)</v>
      </c>
      <c r="AH10869" s="4" t="str">
        <f>HYPERLINK("#Statut_biogéographique!A"&amp;_xlfn.XMATCH("P",Statut_biogéographique!A:A,2,1),"P")</f>
        <v>P</v>
      </c>
      <c r="AP10869" s="4" t="s">
        <v>376</v>
      </c>
      <c r="AR10869" s="4" t="s">
        <v>377</v>
      </c>
    </row>
    <row r="10870" spans="1:44">
      <c r="A10870" s="4" t="s">
        <v>10753</v>
      </c>
      <c r="B10870" s="4">
        <v>227013</v>
      </c>
      <c r="D10870" s="5" t="s">
        <v>13941</v>
      </c>
      <c r="E10870" s="6" t="str">
        <f>HYPERLINK("https://inpn.mnhn.fr/espece/cd_nom/227013","Ligeriella aristata (Villeneuve, 1911)")</f>
        <v>Ligeriella aristata (Villeneuve, 1911)</v>
      </c>
      <c r="AH10870" s="4" t="str">
        <f>HYPERLINK("#Statut_biogéographique!A"&amp;_xlfn.XMATCH("P",Statut_biogéographique!A:A,2,1),"P")</f>
        <v>P</v>
      </c>
      <c r="AP10870" s="4" t="s">
        <v>376</v>
      </c>
      <c r="AR10870" s="4" t="s">
        <v>377</v>
      </c>
    </row>
    <row r="10871" spans="1:44" ht="30">
      <c r="A10871" s="4" t="s">
        <v>10753</v>
      </c>
      <c r="B10871" s="4">
        <v>227015</v>
      </c>
      <c r="D10871" s="5" t="s">
        <v>13942</v>
      </c>
      <c r="E10871" s="6" t="str">
        <f>HYPERLINK("https://inpn.mnhn.fr/espece/cd_nom/227015","Picconia incurva (Zetterstedt, 1844)")</f>
        <v>Picconia incurva (Zetterstedt, 1844)</v>
      </c>
      <c r="AH10871" s="4" t="str">
        <f>HYPERLINK("#Statut_biogéographique!A"&amp;_xlfn.XMATCH("P",Statut_biogéographique!A:A,2,1),"P")</f>
        <v>P</v>
      </c>
      <c r="AP10871" s="4" t="s">
        <v>376</v>
      </c>
      <c r="AR10871" s="4" t="s">
        <v>377</v>
      </c>
    </row>
    <row r="10872" spans="1:44" ht="30">
      <c r="A10872" s="4" t="s">
        <v>10753</v>
      </c>
      <c r="B10872" s="4">
        <v>227020</v>
      </c>
      <c r="D10872" s="5" t="s">
        <v>13943</v>
      </c>
      <c r="E10872" s="6" t="str">
        <f>HYPERLINK("https://inpn.mnhn.fr/espece/cd_nom/227020","Oswaldia spectabilis (Meigen, 1824)")</f>
        <v>Oswaldia spectabilis (Meigen, 1824)</v>
      </c>
      <c r="AH10872" s="4" t="str">
        <f>HYPERLINK("#Statut_biogéographique!A"&amp;_xlfn.XMATCH("P",Statut_biogéographique!A:A,2,1),"P")</f>
        <v>P</v>
      </c>
      <c r="AP10872" s="4" t="s">
        <v>376</v>
      </c>
      <c r="AR10872" s="4" t="s">
        <v>377</v>
      </c>
    </row>
    <row r="10873" spans="1:44">
      <c r="A10873" s="4" t="s">
        <v>10753</v>
      </c>
      <c r="B10873" s="4">
        <v>227027</v>
      </c>
      <c r="D10873" s="5" t="s">
        <v>13944</v>
      </c>
      <c r="E10873" s="6" t="str">
        <f>HYPERLINK("https://inpn.mnhn.fr/espece/cd_nom/227027","Lecanipa leucomelas (Meigen, 1824)")</f>
        <v>Lecanipa leucomelas (Meigen, 1824)</v>
      </c>
      <c r="AH10873" s="4" t="str">
        <f>HYPERLINK("#Statut_biogéographique!A"&amp;_xlfn.XMATCH("P",Statut_biogéographique!A:A,2,1),"P")</f>
        <v>P</v>
      </c>
      <c r="AP10873" s="4" t="s">
        <v>376</v>
      </c>
      <c r="AR10873" s="4" t="s">
        <v>377</v>
      </c>
    </row>
    <row r="10874" spans="1:44">
      <c r="A10874" s="4" t="s">
        <v>10753</v>
      </c>
      <c r="B10874" s="4">
        <v>227039</v>
      </c>
      <c r="D10874" s="5" t="s">
        <v>13945</v>
      </c>
      <c r="E10874" s="6" t="str">
        <f>HYPERLINK("https://inpn.mnhn.fr/espece/cd_nom/227039","Meigenia dorsalis (Meigen, 1824)")</f>
        <v>Meigenia dorsalis (Meigen, 1824)</v>
      </c>
      <c r="AH10874" s="4" t="str">
        <f>HYPERLINK("#Statut_biogéographique!A"&amp;_xlfn.XMATCH("P",Statut_biogéographique!A:A,2,1),"P")</f>
        <v>P</v>
      </c>
      <c r="AP10874" s="4" t="s">
        <v>376</v>
      </c>
      <c r="AR10874" s="4" t="s">
        <v>377</v>
      </c>
    </row>
    <row r="10875" spans="1:44" ht="30">
      <c r="A10875" s="4" t="s">
        <v>10753</v>
      </c>
      <c r="B10875" s="4">
        <v>227059</v>
      </c>
      <c r="D10875" s="5" t="s">
        <v>13946</v>
      </c>
      <c r="E10875" s="6" t="str">
        <f>HYPERLINK("https://inpn.mnhn.fr/espece/cd_nom/227059","Exorista grandis (Zetterstedt, 1844)")</f>
        <v>Exorista grandis (Zetterstedt, 1844)</v>
      </c>
      <c r="AH10875" s="4" t="str">
        <f>HYPERLINK("#Statut_biogéographique!A"&amp;_xlfn.XMATCH("P",Statut_biogéographique!A:A,2,1),"P")</f>
        <v>P</v>
      </c>
      <c r="AP10875" s="4" t="s">
        <v>376</v>
      </c>
      <c r="AR10875" s="4" t="s">
        <v>377</v>
      </c>
    </row>
    <row r="10876" spans="1:44" ht="405">
      <c r="A10876" s="4" t="s">
        <v>10753</v>
      </c>
      <c r="B10876" s="4">
        <v>227065</v>
      </c>
      <c r="D10876" s="5" t="s">
        <v>13947</v>
      </c>
      <c r="E10876" s="6" t="str">
        <f>HYPERLINK("https://inpn.mnhn.fr/espece/cd_nom/227065","Exorista rustica (Fallén, 1810)")</f>
        <v>Exorista rustica (Fallén, 1810)</v>
      </c>
      <c r="AH10876" s="4" t="str">
        <f>HYPERLINK("#Statut_biogéographique!A"&amp;_xlfn.XMATCH("P",Statut_biogéographique!A:A,2,1),"P")</f>
        <v>P</v>
      </c>
      <c r="AP10876" s="4" t="s">
        <v>376</v>
      </c>
      <c r="AR10876" s="4" t="s">
        <v>377</v>
      </c>
    </row>
    <row r="10877" spans="1:44" ht="45">
      <c r="A10877" s="4" t="s">
        <v>10753</v>
      </c>
      <c r="B10877" s="4">
        <v>227112</v>
      </c>
      <c r="D10877" s="5" t="s">
        <v>13948</v>
      </c>
      <c r="E10877" s="6" t="str">
        <f>HYPERLINK("https://inpn.mnhn.fr/espece/cd_nom/227112","Dicranomyia chorea (Meigen, 1818)")</f>
        <v>Dicranomyia chorea (Meigen, 1818)</v>
      </c>
      <c r="AH10877" s="4" t="str">
        <f>HYPERLINK("#Statut_biogéographique!A"&amp;_xlfn.XMATCH("P",Statut_biogéographique!A:A,2,1),"P")</f>
        <v>P</v>
      </c>
      <c r="AP10877" s="4" t="s">
        <v>376</v>
      </c>
      <c r="AR10877" s="4" t="s">
        <v>377</v>
      </c>
    </row>
    <row r="10878" spans="1:44" ht="30">
      <c r="A10878" s="4" t="s">
        <v>10753</v>
      </c>
      <c r="B10878" s="4">
        <v>227215</v>
      </c>
      <c r="D10878" s="5" t="s">
        <v>13949</v>
      </c>
      <c r="E10878" s="6" t="str">
        <f>HYPERLINK("https://inpn.mnhn.fr/espece/cd_nom/227215","Cheilotrichia cinerascens (Meigen, 1804)")</f>
        <v>Cheilotrichia cinerascens (Meigen, 1804)</v>
      </c>
      <c r="AH10878" s="4" t="str">
        <f>HYPERLINK("#Statut_biogéographique!A"&amp;_xlfn.XMATCH("P",Statut_biogéographique!A:A,2,1),"P")</f>
        <v>P</v>
      </c>
      <c r="AP10878" s="4" t="s">
        <v>376</v>
      </c>
      <c r="AR10878" s="4" t="s">
        <v>377</v>
      </c>
    </row>
    <row r="10879" spans="1:44">
      <c r="A10879" s="4" t="s">
        <v>10753</v>
      </c>
      <c r="B10879" s="4">
        <v>227277</v>
      </c>
      <c r="D10879" s="5" t="s">
        <v>13950</v>
      </c>
      <c r="E10879" s="6" t="str">
        <f>HYPERLINK("https://inpn.mnhn.fr/espece/cd_nom/227277","Ctenophora festiva Meigen, 1804")</f>
        <v>Ctenophora festiva Meigen, 1804</v>
      </c>
      <c r="AH10879" s="4" t="str">
        <f>HYPERLINK("#Statut_biogéographique!A"&amp;_xlfn.XMATCH("P",Statut_biogéographique!A:A,2,1),"P")</f>
        <v>P</v>
      </c>
      <c r="AP10879" s="4" t="s">
        <v>376</v>
      </c>
      <c r="AR10879" s="4" t="s">
        <v>377</v>
      </c>
    </row>
    <row r="10880" spans="1:44">
      <c r="A10880" s="4" t="s">
        <v>10753</v>
      </c>
      <c r="B10880" s="4">
        <v>227278</v>
      </c>
      <c r="D10880" s="5" t="s">
        <v>13951</v>
      </c>
      <c r="E10880" s="6" t="str">
        <f>HYPERLINK("https://inpn.mnhn.fr/espece/cd_nom/227278","Ctenophora ornata Meigen, 1818")</f>
        <v>Ctenophora ornata Meigen, 1818</v>
      </c>
      <c r="AH10880" s="4" t="str">
        <f>HYPERLINK("#Statut_biogéographique!A"&amp;_xlfn.XMATCH("P",Statut_biogéographique!A:A,2,1),"P")</f>
        <v>P</v>
      </c>
      <c r="AP10880" s="4" t="s">
        <v>376</v>
      </c>
      <c r="AR10880" s="4" t="s">
        <v>377</v>
      </c>
    </row>
    <row r="10881" spans="1:44">
      <c r="A10881" s="4" t="s">
        <v>10753</v>
      </c>
      <c r="B10881" s="4">
        <v>227279</v>
      </c>
      <c r="D10881" s="5" t="s">
        <v>13952</v>
      </c>
      <c r="E10881" s="6" t="str">
        <f>HYPERLINK("https://inpn.mnhn.fr/espece/cd_nom/227279","Ctenophora elegans Meigen, 1818")</f>
        <v>Ctenophora elegans Meigen, 1818</v>
      </c>
      <c r="AH10881" s="4" t="str">
        <f>HYPERLINK("#Statut_biogéographique!A"&amp;_xlfn.XMATCH("P",Statut_biogéographique!A:A,2,1),"P")</f>
        <v>P</v>
      </c>
      <c r="AP10881" s="4" t="s">
        <v>376</v>
      </c>
      <c r="AR10881" s="4" t="s">
        <v>377</v>
      </c>
    </row>
    <row r="10882" spans="1:44">
      <c r="A10882" s="4" t="s">
        <v>10753</v>
      </c>
      <c r="B10882" s="4">
        <v>227280</v>
      </c>
      <c r="D10882" s="5" t="s">
        <v>13953</v>
      </c>
      <c r="E10882" s="6" t="str">
        <f>HYPERLINK("https://inpn.mnhn.fr/espece/cd_nom/227280","Ctenophora flaveolata (Fabricius, 1794)")</f>
        <v>Ctenophora flaveolata (Fabricius, 1794)</v>
      </c>
      <c r="AH10882" s="4" t="str">
        <f>HYPERLINK("#Statut_biogéographique!A"&amp;_xlfn.XMATCH("P",Statut_biogéographique!A:A,2,1),"P")</f>
        <v>P</v>
      </c>
      <c r="AP10882" s="4" t="s">
        <v>376</v>
      </c>
      <c r="AR10882" s="4" t="s">
        <v>377</v>
      </c>
    </row>
    <row r="10883" spans="1:44">
      <c r="A10883" s="4" t="s">
        <v>10753</v>
      </c>
      <c r="B10883" s="4">
        <v>227282</v>
      </c>
      <c r="D10883" s="5" t="s">
        <v>13954</v>
      </c>
      <c r="E10883" s="6" t="str">
        <f>HYPERLINK("https://inpn.mnhn.fr/espece/cd_nom/227282","Ctenophora pectinicornis (Linnaeus, 1758)")</f>
        <v>Ctenophora pectinicornis (Linnaeus, 1758)</v>
      </c>
      <c r="AH10883" s="4" t="str">
        <f>HYPERLINK("#Statut_biogéographique!A"&amp;_xlfn.XMATCH("P",Statut_biogéographique!A:A,2,1),"P")</f>
        <v>P</v>
      </c>
      <c r="AP10883" s="4" t="s">
        <v>376</v>
      </c>
      <c r="AR10883" s="4" t="s">
        <v>377</v>
      </c>
    </row>
    <row r="10884" spans="1:44">
      <c r="A10884" s="4" t="s">
        <v>10753</v>
      </c>
      <c r="B10884" s="4">
        <v>227296</v>
      </c>
      <c r="D10884" s="5" t="s">
        <v>13955</v>
      </c>
      <c r="E10884" s="6" t="str">
        <f>HYPERLINK("https://inpn.mnhn.fr/espece/cd_nom/227296","Tipula luna Westhoff, 1879")</f>
        <v>Tipula luna Westhoff, 1879</v>
      </c>
      <c r="AH10884" s="4" t="str">
        <f>HYPERLINK("#Statut_biogéographique!A"&amp;_xlfn.XMATCH("P",Statut_biogéographique!A:A,2,1),"P")</f>
        <v>P</v>
      </c>
      <c r="AP10884" s="4" t="s">
        <v>376</v>
      </c>
      <c r="AR10884" s="4" t="s">
        <v>377</v>
      </c>
    </row>
    <row r="10885" spans="1:44" ht="30">
      <c r="A10885" s="4" t="s">
        <v>10753</v>
      </c>
      <c r="B10885" s="4">
        <v>227297</v>
      </c>
      <c r="D10885" s="5" t="s">
        <v>13956</v>
      </c>
      <c r="E10885" s="6" t="str">
        <f>HYPERLINK("https://inpn.mnhn.fr/espece/cd_nom/227297","Tipula maxima Poda, 1761")</f>
        <v>Tipula maxima Poda, 1761</v>
      </c>
      <c r="F10885" s="5" t="s">
        <v>13957</v>
      </c>
      <c r="AH10885" s="4" t="str">
        <f>HYPERLINK("#Statut_biogéographique!A"&amp;_xlfn.XMATCH("P",Statut_biogéographique!A:A,2,1),"P")</f>
        <v>P</v>
      </c>
      <c r="AP10885" s="4" t="s">
        <v>376</v>
      </c>
      <c r="AR10885" s="4" t="s">
        <v>377</v>
      </c>
    </row>
    <row r="10886" spans="1:44">
      <c r="A10886" s="4" t="s">
        <v>10753</v>
      </c>
      <c r="B10886" s="4">
        <v>227307</v>
      </c>
      <c r="D10886" s="5" t="s">
        <v>13958</v>
      </c>
      <c r="E10886" s="6" t="str">
        <f>HYPERLINK("https://inpn.mnhn.fr/espece/cd_nom/227307","Tipula cava Riedel, 1913")</f>
        <v>Tipula cava Riedel, 1913</v>
      </c>
      <c r="AH10886" s="4" t="str">
        <f>HYPERLINK("#Statut_biogéographique!A"&amp;_xlfn.XMATCH("P",Statut_biogéographique!A:A,2,1),"P")</f>
        <v>P</v>
      </c>
      <c r="AP10886" s="4" t="s">
        <v>376</v>
      </c>
      <c r="AR10886" s="4" t="s">
        <v>377</v>
      </c>
    </row>
    <row r="10887" spans="1:44">
      <c r="A10887" s="4" t="s">
        <v>10753</v>
      </c>
      <c r="B10887" s="4">
        <v>227315</v>
      </c>
      <c r="D10887" s="5" t="s">
        <v>13959</v>
      </c>
      <c r="E10887" s="6" t="str">
        <f>HYPERLINK("https://inpn.mnhn.fr/espece/cd_nom/227315","Tipula helvola Loew, 1873")</f>
        <v>Tipula helvola Loew, 1873</v>
      </c>
      <c r="AH10887" s="4" t="str">
        <f>HYPERLINK("#Statut_biogéographique!A"&amp;_xlfn.XMATCH("P",Statut_biogéographique!A:A,2,1),"P")</f>
        <v>P</v>
      </c>
      <c r="AP10887" s="4" t="s">
        <v>376</v>
      </c>
      <c r="AR10887" s="4" t="s">
        <v>377</v>
      </c>
    </row>
    <row r="10888" spans="1:44" ht="30">
      <c r="A10888" s="4" t="s">
        <v>10753</v>
      </c>
      <c r="B10888" s="4">
        <v>227320</v>
      </c>
      <c r="D10888" s="5" t="s">
        <v>13960</v>
      </c>
      <c r="E10888" s="6" t="str">
        <f>HYPERLINK("https://inpn.mnhn.fr/espece/cd_nom/227320","Tipula lunata Linnaeus, 1758")</f>
        <v>Tipula lunata Linnaeus, 1758</v>
      </c>
      <c r="F10888" s="5" t="s">
        <v>13961</v>
      </c>
      <c r="AH10888" s="4" t="str">
        <f>HYPERLINK("#Statut_biogéographique!A"&amp;_xlfn.XMATCH("P",Statut_biogéographique!A:A,2,1),"P")</f>
        <v>P</v>
      </c>
      <c r="AP10888" s="4" t="s">
        <v>376</v>
      </c>
      <c r="AR10888" s="4" t="s">
        <v>377</v>
      </c>
    </row>
    <row r="10889" spans="1:44" ht="30">
      <c r="A10889" s="4" t="s">
        <v>10753</v>
      </c>
      <c r="B10889" s="4">
        <v>227333</v>
      </c>
      <c r="D10889" s="5" t="s">
        <v>13962</v>
      </c>
      <c r="E10889" s="6" t="str">
        <f>HYPERLINK("https://inpn.mnhn.fr/espece/cd_nom/227333","Tipula vernalis Meigen, 1804")</f>
        <v>Tipula vernalis Meigen, 1804</v>
      </c>
      <c r="AH10889" s="4" t="str">
        <f>HYPERLINK("#Statut_biogéographique!A"&amp;_xlfn.XMATCH("P",Statut_biogéographique!A:A,2,1),"P")</f>
        <v>P</v>
      </c>
      <c r="AP10889" s="4" t="s">
        <v>376</v>
      </c>
      <c r="AR10889" s="4" t="s">
        <v>377</v>
      </c>
    </row>
    <row r="10890" spans="1:44">
      <c r="A10890" s="4" t="s">
        <v>10753</v>
      </c>
      <c r="B10890" s="4">
        <v>227338</v>
      </c>
      <c r="D10890" s="5" t="s">
        <v>13963</v>
      </c>
      <c r="E10890" s="6" t="str">
        <f>HYPERLINK("https://inpn.mnhn.fr/espece/cd_nom/227338","Tipula sarajevensis Strobl, 1898")</f>
        <v>Tipula sarajevensis Strobl, 1898</v>
      </c>
      <c r="AH10890" s="4" t="str">
        <f>HYPERLINK("#Statut_biogéographique!A"&amp;_xlfn.XMATCH("P",Statut_biogéographique!A:A,2,1),"P")</f>
        <v>P</v>
      </c>
      <c r="AP10890" s="4" t="s">
        <v>376</v>
      </c>
      <c r="AR10890" s="4" t="s">
        <v>377</v>
      </c>
    </row>
    <row r="10891" spans="1:44">
      <c r="A10891" s="4" t="s">
        <v>10753</v>
      </c>
      <c r="B10891" s="4">
        <v>227343</v>
      </c>
      <c r="D10891" s="5" t="s">
        <v>13964</v>
      </c>
      <c r="E10891" s="6" t="str">
        <f>HYPERLINK("https://inpn.mnhn.fr/espece/cd_nom/227343","Tipula irrorata Macquart, 1826")</f>
        <v>Tipula irrorata Macquart, 1826</v>
      </c>
      <c r="AH10891" s="4" t="str">
        <f>HYPERLINK("#Statut_biogéographique!A"&amp;_xlfn.XMATCH("P",Statut_biogéographique!A:A,2,1),"P")</f>
        <v>P</v>
      </c>
      <c r="AP10891" s="4" t="s">
        <v>376</v>
      </c>
      <c r="AR10891" s="4" t="s">
        <v>377</v>
      </c>
    </row>
    <row r="10892" spans="1:44">
      <c r="A10892" s="4" t="s">
        <v>10753</v>
      </c>
      <c r="B10892" s="4">
        <v>227346</v>
      </c>
      <c r="D10892" s="5" t="s">
        <v>13965</v>
      </c>
      <c r="E10892" s="6" t="str">
        <f>HYPERLINK("https://inpn.mnhn.fr/espece/cd_nom/227346","Tipula pabulina Meigen, 1818")</f>
        <v>Tipula pabulina Meigen, 1818</v>
      </c>
      <c r="AH10892" s="4" t="str">
        <f>HYPERLINK("#Statut_biogéographique!A"&amp;_xlfn.XMATCH("P",Statut_biogéographique!A:A,2,1),"P")</f>
        <v>P</v>
      </c>
      <c r="AP10892" s="4" t="s">
        <v>376</v>
      </c>
      <c r="AR10892" s="4" t="s">
        <v>377</v>
      </c>
    </row>
    <row r="10893" spans="1:44">
      <c r="A10893" s="4" t="s">
        <v>10753</v>
      </c>
      <c r="B10893" s="4">
        <v>227348</v>
      </c>
      <c r="D10893" s="5" t="s">
        <v>13966</v>
      </c>
      <c r="E10893" s="6" t="str">
        <f>HYPERLINK("https://inpn.mnhn.fr/espece/cd_nom/227348","Tipula pseudovariipennis Czižek, 1912")</f>
        <v>Tipula pseudovariipennis Czižek, 1912</v>
      </c>
      <c r="AH10893" s="4" t="str">
        <f>HYPERLINK("#Statut_biogéographique!A"&amp;_xlfn.XMATCH("P",Statut_biogéographique!A:A,2,1),"P")</f>
        <v>P</v>
      </c>
      <c r="AP10893" s="4" t="s">
        <v>376</v>
      </c>
      <c r="AR10893" s="4" t="s">
        <v>377</v>
      </c>
    </row>
    <row r="10894" spans="1:44">
      <c r="A10894" s="4" t="s">
        <v>10753</v>
      </c>
      <c r="B10894" s="4">
        <v>227350</v>
      </c>
      <c r="D10894" s="5" t="s">
        <v>13967</v>
      </c>
      <c r="E10894" s="6" t="str">
        <f>HYPERLINK("https://inpn.mnhn.fr/espece/cd_nom/227350","Tipula trifascingulata Theowald, 1980")</f>
        <v>Tipula trifascingulata Theowald, 1980</v>
      </c>
      <c r="AH10894" s="4" t="str">
        <f>HYPERLINK("#Statut_biogéographique!A"&amp;_xlfn.XMATCH("P",Statut_biogéographique!A:A,2,1),"P")</f>
        <v>P</v>
      </c>
      <c r="AP10894" s="4" t="s">
        <v>376</v>
      </c>
      <c r="AR10894" s="4" t="s">
        <v>377</v>
      </c>
    </row>
    <row r="10895" spans="1:44" ht="30">
      <c r="A10895" s="4" t="s">
        <v>10753</v>
      </c>
      <c r="B10895" s="4">
        <v>227352</v>
      </c>
      <c r="D10895" s="5" t="s">
        <v>13968</v>
      </c>
      <c r="E10895" s="6" t="str">
        <f>HYPERLINK("https://inpn.mnhn.fr/espece/cd_nom/227352","Tipula varipennis Meigen, 1818")</f>
        <v>Tipula varipennis Meigen, 1818</v>
      </c>
      <c r="AH10895" s="4" t="str">
        <f>HYPERLINK("#Statut_biogéographique!A"&amp;_xlfn.XMATCH("P",Statut_biogéographique!A:A,2,1),"P")</f>
        <v>P</v>
      </c>
      <c r="AP10895" s="4" t="s">
        <v>376</v>
      </c>
      <c r="AR10895" s="4" t="s">
        <v>377</v>
      </c>
    </row>
    <row r="10896" spans="1:44" ht="30">
      <c r="A10896" s="4" t="s">
        <v>10753</v>
      </c>
      <c r="B10896" s="4">
        <v>227370</v>
      </c>
      <c r="D10896" s="5" t="s">
        <v>13969</v>
      </c>
      <c r="E10896" s="6" t="str">
        <f>HYPERLINK("https://inpn.mnhn.fr/espece/cd_nom/227370","Tipula pagana Meigen, 1818")</f>
        <v>Tipula pagana Meigen, 1818</v>
      </c>
      <c r="AH10896" s="4" t="str">
        <f>HYPERLINK("#Statut_biogéographique!A"&amp;_xlfn.XMATCH("P",Statut_biogéographique!A:A,2,1),"P")</f>
        <v>P</v>
      </c>
      <c r="AP10896" s="4" t="s">
        <v>376</v>
      </c>
      <c r="AR10896" s="4" t="s">
        <v>377</v>
      </c>
    </row>
    <row r="10897" spans="1:44">
      <c r="A10897" s="4" t="s">
        <v>10753</v>
      </c>
      <c r="B10897" s="4">
        <v>227386</v>
      </c>
      <c r="D10897" s="5" t="s">
        <v>13970</v>
      </c>
      <c r="E10897" s="6" t="str">
        <f>HYPERLINK("https://inpn.mnhn.fr/espece/cd_nom/227386","Tipula oleracea Linnaeus, 1758")</f>
        <v>Tipula oleracea Linnaeus, 1758</v>
      </c>
      <c r="F10897" s="5" t="s">
        <v>13971</v>
      </c>
      <c r="AH10897" s="4" t="str">
        <f>HYPERLINK("#Statut_biogéographique!A"&amp;_xlfn.XMATCH("P",Statut_biogéographique!A:A,2,1),"P")</f>
        <v>P</v>
      </c>
      <c r="AP10897" s="4" t="s">
        <v>376</v>
      </c>
      <c r="AR10897" s="4" t="s">
        <v>377</v>
      </c>
    </row>
    <row r="10898" spans="1:44">
      <c r="A10898" s="4" t="s">
        <v>10753</v>
      </c>
      <c r="B10898" s="4">
        <v>227388</v>
      </c>
      <c r="D10898" s="5" t="s">
        <v>13972</v>
      </c>
      <c r="E10898" s="6" t="str">
        <f>HYPERLINK("https://inpn.mnhn.fr/espece/cd_nom/227388","Tipula paludosa Meigen, 1830")</f>
        <v>Tipula paludosa Meigen, 1830</v>
      </c>
      <c r="F10898" s="5" t="s">
        <v>13973</v>
      </c>
      <c r="AH10898" s="4" t="str">
        <f>HYPERLINK("#Statut_biogéographique!A"&amp;_xlfn.XMATCH("P",Statut_biogéographique!A:A,2,1),"P")</f>
        <v>P</v>
      </c>
      <c r="AP10898" s="4" t="s">
        <v>376</v>
      </c>
      <c r="AR10898" s="4" t="s">
        <v>377</v>
      </c>
    </row>
    <row r="10899" spans="1:44">
      <c r="A10899" s="4" t="s">
        <v>10753</v>
      </c>
      <c r="B10899" s="4">
        <v>227409</v>
      </c>
      <c r="D10899" s="5" t="s">
        <v>13974</v>
      </c>
      <c r="E10899" s="6" t="str">
        <f>HYPERLINK("https://inpn.mnhn.fr/espece/cd_nom/227409","Trichocera annulata Meigen, 1818")</f>
        <v>Trichocera annulata Meigen, 1818</v>
      </c>
      <c r="AH10899" s="4" t="str">
        <f>HYPERLINK("#Statut_biogéographique!A"&amp;_xlfn.XMATCH("P",Statut_biogéographique!A:A,2,1),"P")</f>
        <v>P</v>
      </c>
      <c r="AP10899" s="4" t="s">
        <v>376</v>
      </c>
      <c r="AR10899" s="4" t="s">
        <v>377</v>
      </c>
    </row>
    <row r="10900" spans="1:44">
      <c r="A10900" s="4" t="s">
        <v>10753</v>
      </c>
      <c r="B10900" s="4">
        <v>227412</v>
      </c>
      <c r="D10900" s="5" t="s">
        <v>13975</v>
      </c>
      <c r="E10900" s="6" t="str">
        <f>HYPERLINK("https://inpn.mnhn.fr/espece/cd_nom/227412","Trichocera maculipennis Meigen, 1818")</f>
        <v>Trichocera maculipennis Meigen, 1818</v>
      </c>
      <c r="AH10900" s="4" t="str">
        <f>HYPERLINK("#Statut_biogéographique!A"&amp;_xlfn.XMATCH("P",Statut_biogéographique!A:A,2,1),"P")</f>
        <v>P</v>
      </c>
      <c r="AP10900" s="4" t="s">
        <v>376</v>
      </c>
      <c r="AR10900" s="4" t="s">
        <v>377</v>
      </c>
    </row>
    <row r="10901" spans="1:44">
      <c r="A10901" s="4" t="s">
        <v>10753</v>
      </c>
      <c r="B10901" s="4">
        <v>227414</v>
      </c>
      <c r="D10901" s="5" t="s">
        <v>13976</v>
      </c>
      <c r="E10901" s="6" t="str">
        <f>HYPERLINK("https://inpn.mnhn.fr/espece/cd_nom/227414","Trichocera regelationis (Linnaeus, 1758)")</f>
        <v>Trichocera regelationis (Linnaeus, 1758)</v>
      </c>
      <c r="AH10901" s="4" t="str">
        <f>HYPERLINK("#Statut_biogéographique!A"&amp;_xlfn.XMATCH("P",Statut_biogéographique!A:A,2,1),"P")</f>
        <v>P</v>
      </c>
      <c r="AP10901" s="4" t="s">
        <v>376</v>
      </c>
      <c r="AR10901" s="4" t="s">
        <v>377</v>
      </c>
    </row>
    <row r="10902" spans="1:44">
      <c r="A10902" s="4" t="s">
        <v>10753</v>
      </c>
      <c r="B10902" s="4">
        <v>227416</v>
      </c>
      <c r="D10902" s="5">
        <v>227416</v>
      </c>
      <c r="E10902" s="6" t="str">
        <f>HYPERLINK("https://inpn.mnhn.fr/espece/cd_nom/227416","Trichocera major Edwards, 1921")</f>
        <v>Trichocera major Edwards, 1921</v>
      </c>
      <c r="AH10902" s="4" t="str">
        <f>HYPERLINK("#Statut_biogéographique!A"&amp;_xlfn.XMATCH("P",Statut_biogéographique!A:A,2,1),"P")</f>
        <v>P</v>
      </c>
      <c r="AP10902" s="4" t="s">
        <v>376</v>
      </c>
      <c r="AR10902" s="4" t="s">
        <v>377</v>
      </c>
    </row>
    <row r="10903" spans="1:44" ht="30">
      <c r="A10903" s="4" t="s">
        <v>10753</v>
      </c>
      <c r="B10903" s="4">
        <v>227419</v>
      </c>
      <c r="D10903" s="5" t="s">
        <v>13977</v>
      </c>
      <c r="E10903" s="6" t="str">
        <f>HYPERLINK("https://inpn.mnhn.fr/espece/cd_nom/227419","Physiphora alceae (Preyssler, 1791)")</f>
        <v>Physiphora alceae (Preyssler, 1791)</v>
      </c>
      <c r="AH10903" s="4" t="str">
        <f>HYPERLINK("#Statut_biogéographique!A"&amp;_xlfn.XMATCH("P",Statut_biogéographique!A:A,2,1),"P")</f>
        <v>P</v>
      </c>
      <c r="AP10903" s="4" t="s">
        <v>376</v>
      </c>
      <c r="AR10903" s="4" t="s">
        <v>377</v>
      </c>
    </row>
    <row r="10904" spans="1:44">
      <c r="A10904" s="4" t="s">
        <v>10753</v>
      </c>
      <c r="B10904" s="4">
        <v>227421</v>
      </c>
      <c r="D10904" s="5" t="s">
        <v>13978</v>
      </c>
      <c r="E10904" s="6" t="str">
        <f>HYPERLINK("https://inpn.mnhn.fr/espece/cd_nom/227421","Herina paludum (Fallén, 1820)")</f>
        <v>Herina paludum (Fallén, 1820)</v>
      </c>
      <c r="AH10904" s="4" t="str">
        <f>HYPERLINK("#Statut_biogéographique!A"&amp;_xlfn.XMATCH("P",Statut_biogéographique!A:A,2,1),"P")</f>
        <v>P</v>
      </c>
      <c r="AP10904" s="4" t="s">
        <v>376</v>
      </c>
      <c r="AR10904" s="4" t="s">
        <v>377</v>
      </c>
    </row>
    <row r="10905" spans="1:44">
      <c r="A10905" s="4" t="s">
        <v>10753</v>
      </c>
      <c r="B10905" s="4">
        <v>227424</v>
      </c>
      <c r="D10905" s="5" t="s">
        <v>13979</v>
      </c>
      <c r="E10905" s="6" t="str">
        <f>HYPERLINK("https://inpn.mnhn.fr/espece/cd_nom/227424","Herina scutellaris Robineau-Desvoidy, 1830")</f>
        <v>Herina scutellaris Robineau-Desvoidy, 1830</v>
      </c>
      <c r="AH10905" s="4" t="str">
        <f>HYPERLINK("#Statut_biogéographique!A"&amp;_xlfn.XMATCH("P",Statut_biogéographique!A:A,2,1),"P")</f>
        <v>P</v>
      </c>
      <c r="AP10905" s="4" t="s">
        <v>376</v>
      </c>
      <c r="AR10905" s="4" t="s">
        <v>377</v>
      </c>
    </row>
    <row r="10906" spans="1:44">
      <c r="A10906" s="4" t="s">
        <v>10753</v>
      </c>
      <c r="B10906" s="4">
        <v>227454</v>
      </c>
      <c r="D10906" s="5">
        <v>227454</v>
      </c>
      <c r="E10906" s="6" t="str">
        <f>HYPERLINK("https://inpn.mnhn.fr/espece/cd_nom/227454","Glomeris intermedia Latzel, 1884")</f>
        <v>Glomeris intermedia Latzel, 1884</v>
      </c>
      <c r="AH10906" s="4" t="str">
        <f>HYPERLINK("#Statut_biogéographique!A"&amp;_xlfn.XMATCH("P",Statut_biogéographique!A:A,2,1),"P")</f>
        <v>P</v>
      </c>
      <c r="AP10906" s="4" t="s">
        <v>376</v>
      </c>
      <c r="AR10906" s="4" t="s">
        <v>377</v>
      </c>
    </row>
    <row r="10907" spans="1:44" ht="30">
      <c r="A10907" s="4" t="s">
        <v>10753</v>
      </c>
      <c r="B10907" s="4">
        <v>227457</v>
      </c>
      <c r="D10907" s="5" t="s">
        <v>13980</v>
      </c>
      <c r="E10907" s="6" t="str">
        <f>HYPERLINK("https://inpn.mnhn.fr/espece/cd_nom/227457","Glomeris klugii Brandt, 1833")</f>
        <v>Glomeris klugii Brandt, 1833</v>
      </c>
      <c r="AH10907" s="4" t="str">
        <f>HYPERLINK("#Statut_biogéographique!A"&amp;_xlfn.XMATCH("P",Statut_biogéographique!A:A,2,1),"P")</f>
        <v>P</v>
      </c>
      <c r="AP10907" s="4" t="s">
        <v>376</v>
      </c>
      <c r="AR10907" s="4" t="s">
        <v>377</v>
      </c>
    </row>
    <row r="10908" spans="1:44" ht="75">
      <c r="A10908" s="4" t="s">
        <v>10753</v>
      </c>
      <c r="B10908" s="4">
        <v>227477</v>
      </c>
      <c r="D10908" s="5" t="s">
        <v>13981</v>
      </c>
      <c r="E10908" s="6" t="str">
        <f>HYPERLINK("https://inpn.mnhn.fr/espece/cd_nom/227477","Callipus foetidissimus (Savi, 1819)")</f>
        <v>Callipus foetidissimus (Savi, 1819)</v>
      </c>
      <c r="AH10908" s="4" t="str">
        <f>HYPERLINK("#Statut_biogéographique!A"&amp;_xlfn.XMATCH("P",Statut_biogéographique!A:A,2,1),"P")</f>
        <v>P</v>
      </c>
      <c r="AP10908" s="4" t="s">
        <v>376</v>
      </c>
      <c r="AR10908" s="4" t="s">
        <v>377</v>
      </c>
    </row>
    <row r="10909" spans="1:44">
      <c r="A10909" s="4" t="s">
        <v>10753</v>
      </c>
      <c r="B10909" s="4">
        <v>227531</v>
      </c>
      <c r="D10909" s="5">
        <v>227531</v>
      </c>
      <c r="E10909" s="6" t="str">
        <f>HYPERLINK("https://inpn.mnhn.fr/espece/cd_nom/227531","Xylophageuma zschokkei Bigler, 1912")</f>
        <v>Xylophageuma zschokkei Bigler, 1912</v>
      </c>
      <c r="AH10909" s="4" t="str">
        <f>HYPERLINK("#Statut_biogéographique!A"&amp;_xlfn.XMATCH("P",Statut_biogéographique!A:A,2,1),"P")</f>
        <v>P</v>
      </c>
      <c r="AP10909" s="4" t="s">
        <v>376</v>
      </c>
      <c r="AR10909" s="4" t="s">
        <v>377</v>
      </c>
    </row>
    <row r="10910" spans="1:44">
      <c r="A10910" s="4" t="s">
        <v>10753</v>
      </c>
      <c r="B10910" s="4">
        <v>22754</v>
      </c>
      <c r="D10910" s="5" t="s">
        <v>13982</v>
      </c>
      <c r="E10910" s="6" t="str">
        <f>HYPERLINK("https://inpn.mnhn.fr/espece/cd_nom/22754","Chelifera precatoria (Fallén, 1816)")</f>
        <v>Chelifera precatoria (Fallén, 1816)</v>
      </c>
      <c r="AH10910" s="4" t="str">
        <f>HYPERLINK("#Statut_biogéographique!A"&amp;_xlfn.XMATCH("P",Statut_biogéographique!A:A,2,1),"P")</f>
        <v>P</v>
      </c>
      <c r="AP10910" s="4" t="s">
        <v>376</v>
      </c>
      <c r="AR10910" s="4" t="s">
        <v>377</v>
      </c>
    </row>
    <row r="10911" spans="1:44" ht="30">
      <c r="A10911" s="4" t="s">
        <v>10753</v>
      </c>
      <c r="B10911" s="4">
        <v>227579</v>
      </c>
      <c r="D10911" s="5" t="s">
        <v>13983</v>
      </c>
      <c r="E10911" s="6" t="str">
        <f>HYPERLINK("https://inpn.mnhn.fr/espece/cd_nom/227579","Nanogona polydesmoides (Leach, 1814)")</f>
        <v>Nanogona polydesmoides (Leach, 1814)</v>
      </c>
      <c r="AH10911" s="4" t="str">
        <f>HYPERLINK("#Statut_biogéographique!A"&amp;_xlfn.XMATCH("P",Statut_biogéographique!A:A,2,1),"P")</f>
        <v>P</v>
      </c>
      <c r="AP10911" s="4" t="s">
        <v>376</v>
      </c>
      <c r="AR10911" s="4" t="s">
        <v>377</v>
      </c>
    </row>
    <row r="10912" spans="1:44">
      <c r="A10912" s="4" t="s">
        <v>10753</v>
      </c>
      <c r="B10912" s="4">
        <v>227591</v>
      </c>
      <c r="D10912" s="5">
        <v>227591</v>
      </c>
      <c r="E10912" s="6" t="str">
        <f>HYPERLINK("https://inpn.mnhn.fr/espece/cd_nom/227591","Archiboreoiulus sollaudi Brölemann, 1921")</f>
        <v>Archiboreoiulus sollaudi Brölemann, 1921</v>
      </c>
      <c r="AH10912" s="4" t="str">
        <f>HYPERLINK("#Statut_biogéographique!A"&amp;_xlfn.XMATCH("E",Statut_biogéographique!A:A,2,1),"E")</f>
        <v>E</v>
      </c>
      <c r="AP10912" s="4" t="s">
        <v>376</v>
      </c>
      <c r="AR10912" s="4" t="s">
        <v>377</v>
      </c>
    </row>
    <row r="10913" spans="1:44">
      <c r="A10913" s="4" t="s">
        <v>10753</v>
      </c>
      <c r="B10913" s="4">
        <v>227593</v>
      </c>
      <c r="D10913" s="5" t="s">
        <v>13984</v>
      </c>
      <c r="E10913" s="6" t="str">
        <f>HYPERLINK("https://inpn.mnhn.fr/espece/cd_nom/227593","Blaniulus guttulatus (Fabricius, 1798)")</f>
        <v>Blaniulus guttulatus (Fabricius, 1798)</v>
      </c>
      <c r="AH10913" s="4" t="str">
        <f>HYPERLINK("#Statut_biogéographique!A"&amp;_xlfn.XMATCH("P",Statut_biogéographique!A:A,2,1),"P")</f>
        <v>P</v>
      </c>
      <c r="AP10913" s="4" t="s">
        <v>376</v>
      </c>
      <c r="AR10913" s="4" t="s">
        <v>377</v>
      </c>
    </row>
    <row r="10914" spans="1:44">
      <c r="A10914" s="4" t="s">
        <v>10753</v>
      </c>
      <c r="B10914" s="4">
        <v>22760</v>
      </c>
      <c r="D10914" s="5" t="s">
        <v>13985</v>
      </c>
      <c r="E10914" s="6" t="str">
        <f>HYPERLINK("https://inpn.mnhn.fr/espece/cd_nom/22760","Chelipoda vocatoria (Fallén, 1816)")</f>
        <v>Chelipoda vocatoria (Fallén, 1816)</v>
      </c>
      <c r="AH10914" s="4" t="str">
        <f>HYPERLINK("#Statut_biogéographique!A"&amp;_xlfn.XMATCH("P",Statut_biogéographique!A:A,2,1),"P")</f>
        <v>P</v>
      </c>
      <c r="AP10914" s="4" t="s">
        <v>376</v>
      </c>
      <c r="AR10914" s="4" t="s">
        <v>377</v>
      </c>
    </row>
    <row r="10915" spans="1:44">
      <c r="A10915" s="4" t="s">
        <v>10753</v>
      </c>
      <c r="B10915" s="4">
        <v>227611</v>
      </c>
      <c r="D10915" s="5" t="s">
        <v>13986</v>
      </c>
      <c r="E10915" s="6" t="str">
        <f>HYPERLINK("https://inpn.mnhn.fr/espece/cd_nom/227611","Proteroiulus fuscus (Am Stein, 1857)")</f>
        <v>Proteroiulus fuscus (Am Stein, 1857)</v>
      </c>
      <c r="AH10915" s="4" t="str">
        <f>HYPERLINK("#Statut_biogéographique!A"&amp;_xlfn.XMATCH("P",Statut_biogéographique!A:A,2,1),"P")</f>
        <v>P</v>
      </c>
      <c r="AP10915" s="4" t="s">
        <v>376</v>
      </c>
      <c r="AR10915" s="4" t="s">
        <v>377</v>
      </c>
    </row>
    <row r="10916" spans="1:44">
      <c r="A10916" s="4" t="s">
        <v>10753</v>
      </c>
      <c r="B10916" s="4">
        <v>227618</v>
      </c>
      <c r="D10916" s="5" t="s">
        <v>13987</v>
      </c>
      <c r="E10916" s="6" t="str">
        <f>HYPERLINK("https://inpn.mnhn.fr/espece/cd_nom/227618","Allajulus nitidus (Verhoeff, 1891)")</f>
        <v>Allajulus nitidus (Verhoeff, 1891)</v>
      </c>
      <c r="AH10916" s="4" t="str">
        <f>HYPERLINK("#Statut_biogéographique!A"&amp;_xlfn.XMATCH("P",Statut_biogéographique!A:A,2,1),"P")</f>
        <v>P</v>
      </c>
      <c r="AP10916" s="4" t="s">
        <v>376</v>
      </c>
      <c r="AR10916" s="4" t="s">
        <v>377</v>
      </c>
    </row>
    <row r="10917" spans="1:44">
      <c r="A10917" s="4" t="s">
        <v>10753</v>
      </c>
      <c r="B10917" s="4">
        <v>22762</v>
      </c>
      <c r="D10917" s="5">
        <v>22762</v>
      </c>
      <c r="E10917" s="6" t="str">
        <f>HYPERLINK("https://inpn.mnhn.fr/espece/cd_nom/22762","Heleodromia immaculata Haliday, 1833")</f>
        <v>Heleodromia immaculata Haliday, 1833</v>
      </c>
      <c r="AH10917" s="4" t="str">
        <f>HYPERLINK("#Statut_biogéographique!A"&amp;_xlfn.XMATCH("P",Statut_biogéographique!A:A,2,1),"P")</f>
        <v>P</v>
      </c>
      <c r="AP10917" s="4" t="s">
        <v>376</v>
      </c>
      <c r="AR10917" s="4" t="s">
        <v>377</v>
      </c>
    </row>
    <row r="10918" spans="1:44">
      <c r="A10918" s="4" t="s">
        <v>10753</v>
      </c>
      <c r="B10918" s="4">
        <v>227630</v>
      </c>
      <c r="D10918" s="5" t="s">
        <v>13988</v>
      </c>
      <c r="E10918" s="6" t="str">
        <f>HYPERLINK("https://inpn.mnhn.fr/espece/cd_nom/227630","Cylindroiulus punctatus (Leach, 1815)")</f>
        <v>Cylindroiulus punctatus (Leach, 1815)</v>
      </c>
      <c r="AH10918" s="4" t="str">
        <f>HYPERLINK("#Statut_biogéographique!A"&amp;_xlfn.XMATCH("P",Statut_biogéographique!A:A,2,1),"P")</f>
        <v>P</v>
      </c>
      <c r="AP10918" s="4" t="s">
        <v>376</v>
      </c>
      <c r="AR10918" s="4" t="s">
        <v>377</v>
      </c>
    </row>
    <row r="10919" spans="1:44">
      <c r="A10919" s="4" t="s">
        <v>10753</v>
      </c>
      <c r="B10919" s="4">
        <v>227641</v>
      </c>
      <c r="D10919" s="5" t="s">
        <v>13989</v>
      </c>
      <c r="E10919" s="6" t="str">
        <f>HYPERLINK("https://inpn.mnhn.fr/espece/cd_nom/227641","Julus scandinavius Latzel, 1884")</f>
        <v>Julus scandinavius Latzel, 1884</v>
      </c>
      <c r="AH10919" s="4" t="str">
        <f>HYPERLINK("#Statut_biogéographique!A"&amp;_xlfn.XMATCH("P",Statut_biogéographique!A:A,2,1),"P")</f>
        <v>P</v>
      </c>
      <c r="AP10919" s="4" t="s">
        <v>376</v>
      </c>
      <c r="AR10919" s="4" t="s">
        <v>377</v>
      </c>
    </row>
    <row r="10920" spans="1:44">
      <c r="A10920" s="4" t="s">
        <v>10753</v>
      </c>
      <c r="B10920" s="4">
        <v>227668</v>
      </c>
      <c r="D10920" s="5" t="s">
        <v>13990</v>
      </c>
      <c r="E10920" s="6" t="str">
        <f>HYPERLINK("https://inpn.mnhn.fr/espece/cd_nom/227668","Ommatoiulus sabulosus (Linnaeus, 1758)")</f>
        <v>Ommatoiulus sabulosus (Linnaeus, 1758)</v>
      </c>
      <c r="AH10920" s="4" t="str">
        <f>HYPERLINK("#Statut_biogéographique!A"&amp;_xlfn.XMATCH("P",Statut_biogéographique!A:A,2,1),"P")</f>
        <v>P</v>
      </c>
      <c r="AP10920" s="4" t="s">
        <v>376</v>
      </c>
      <c r="AR10920" s="4" t="s">
        <v>377</v>
      </c>
    </row>
    <row r="10921" spans="1:44" ht="30">
      <c r="A10921" s="4" t="s">
        <v>10753</v>
      </c>
      <c r="B10921" s="4">
        <v>227673</v>
      </c>
      <c r="D10921" s="5" t="s">
        <v>13991</v>
      </c>
      <c r="E10921" s="6" t="str">
        <f>HYPERLINK("https://inpn.mnhn.fr/espece/cd_nom/227673","Ophyiulus pilosus (Newport, 1842)")</f>
        <v>Ophyiulus pilosus (Newport, 1842)</v>
      </c>
      <c r="AH10921" s="4" t="str">
        <f>HYPERLINK("#Statut_biogéographique!A"&amp;_xlfn.XMATCH("P",Statut_biogéographique!A:A,2,1),"P")</f>
        <v>P</v>
      </c>
      <c r="AP10921" s="4" t="s">
        <v>376</v>
      </c>
      <c r="AR10921" s="4" t="s">
        <v>377</v>
      </c>
    </row>
    <row r="10922" spans="1:44" ht="30">
      <c r="A10922" s="4" t="s">
        <v>10753</v>
      </c>
      <c r="B10922" s="4">
        <v>227676</v>
      </c>
      <c r="D10922" s="5" t="s">
        <v>13992</v>
      </c>
      <c r="E10922" s="6" t="str">
        <f>HYPERLINK("https://inpn.mnhn.fr/espece/cd_nom/227676","Tachypodoiulus niger (Leach, 1814)")</f>
        <v>Tachypodoiulus niger (Leach, 1814)</v>
      </c>
      <c r="AH10922" s="4" t="str">
        <f>HYPERLINK("#Statut_biogéographique!A"&amp;_xlfn.XMATCH("P",Statut_biogéographique!A:A,2,1),"P")</f>
        <v>P</v>
      </c>
      <c r="AP10922" s="4" t="s">
        <v>376</v>
      </c>
      <c r="AR10922" s="4" t="s">
        <v>377</v>
      </c>
    </row>
    <row r="10923" spans="1:44">
      <c r="A10923" s="4" t="s">
        <v>10753</v>
      </c>
      <c r="B10923" s="4">
        <v>22768</v>
      </c>
      <c r="D10923" s="5">
        <v>22768</v>
      </c>
      <c r="E10923" s="6" t="str">
        <f>HYPERLINK("https://inpn.mnhn.fr/espece/cd_nom/22768","Hemerodromia unilineata Zetterstedt, 1842")</f>
        <v>Hemerodromia unilineata Zetterstedt, 1842</v>
      </c>
      <c r="AH10923" s="4" t="str">
        <f>HYPERLINK("#Statut_biogéographique!A"&amp;_xlfn.XMATCH("P",Statut_biogéographique!A:A,2,1),"P")</f>
        <v>P</v>
      </c>
      <c r="AP10923" s="4" t="s">
        <v>376</v>
      </c>
      <c r="AR10923" s="4" t="s">
        <v>377</v>
      </c>
    </row>
    <row r="10924" spans="1:44" ht="45">
      <c r="A10924" s="4" t="s">
        <v>10753</v>
      </c>
      <c r="B10924" s="4">
        <v>227692</v>
      </c>
      <c r="D10924" s="5" t="s">
        <v>13993</v>
      </c>
      <c r="E10924" s="6" t="str">
        <f>HYPERLINK("https://inpn.mnhn.fr/espece/cd_nom/227692","Brachydesmus superus Latzel, 1884")</f>
        <v>Brachydesmus superus Latzel, 1884</v>
      </c>
      <c r="AH10924" s="4" t="str">
        <f>HYPERLINK("#Statut_biogéographique!A"&amp;_xlfn.XMATCH("P",Statut_biogéographique!A:A,2,1),"P")</f>
        <v>P</v>
      </c>
      <c r="AP10924" s="4" t="s">
        <v>376</v>
      </c>
      <c r="AR10924" s="4" t="s">
        <v>377</v>
      </c>
    </row>
    <row r="10925" spans="1:44" ht="30">
      <c r="A10925" s="4" t="s">
        <v>10753</v>
      </c>
      <c r="B10925" s="4">
        <v>22770</v>
      </c>
      <c r="D10925" s="5" t="s">
        <v>13994</v>
      </c>
      <c r="E10925" s="6" t="str">
        <f>HYPERLINK("https://inpn.mnhn.fr/espece/cd_nom/22770","Phyllodromia melanocephala (Fabricius, 1794)")</f>
        <v>Phyllodromia melanocephala (Fabricius, 1794)</v>
      </c>
      <c r="AH10925" s="4" t="str">
        <f>HYPERLINK("#Statut_biogéographique!A"&amp;_xlfn.XMATCH("P",Statut_biogéographique!A:A,2,1),"P")</f>
        <v>P</v>
      </c>
      <c r="AP10925" s="4" t="s">
        <v>376</v>
      </c>
      <c r="AR10925" s="4" t="s">
        <v>377</v>
      </c>
    </row>
    <row r="10926" spans="1:44">
      <c r="A10926" s="4" t="s">
        <v>10753</v>
      </c>
      <c r="B10926" s="4">
        <v>227700</v>
      </c>
      <c r="D10926" s="5" t="s">
        <v>13995</v>
      </c>
      <c r="E10926" s="6" t="str">
        <f>HYPERLINK("https://inpn.mnhn.fr/espece/cd_nom/227700","Polydesmus denticulatus C.L. Koch, 1847")</f>
        <v>Polydesmus denticulatus C.L. Koch, 1847</v>
      </c>
      <c r="AH10926" s="4" t="str">
        <f>HYPERLINK("#Statut_biogéographique!A"&amp;_xlfn.XMATCH("P",Statut_biogéographique!A:A,2,1),"P")</f>
        <v>P</v>
      </c>
      <c r="AP10926" s="4" t="s">
        <v>376</v>
      </c>
      <c r="AR10926" s="4" t="s">
        <v>377</v>
      </c>
    </row>
    <row r="10927" spans="1:44">
      <c r="A10927" s="4" t="s">
        <v>10753</v>
      </c>
      <c r="B10927" s="4">
        <v>227710</v>
      </c>
      <c r="D10927" s="5" t="s">
        <v>13996</v>
      </c>
      <c r="E10927" s="6" t="str">
        <f>HYPERLINK("https://inpn.mnhn.fr/espece/cd_nom/227710","Propolydesmus helveticus (Verhoeff, 1894)")</f>
        <v>Propolydesmus helveticus (Verhoeff, 1894)</v>
      </c>
      <c r="AH10927" s="4" t="str">
        <f>HYPERLINK("#Statut_biogéographique!A"&amp;_xlfn.XMATCH("P",Statut_biogéographique!A:A,2,1),"P")</f>
        <v>P</v>
      </c>
      <c r="AP10927" s="4" t="s">
        <v>376</v>
      </c>
      <c r="AR10927" s="4" t="s">
        <v>377</v>
      </c>
    </row>
    <row r="10928" spans="1:44" ht="30">
      <c r="A10928" s="4" t="s">
        <v>10753</v>
      </c>
      <c r="B10928" s="4">
        <v>227714</v>
      </c>
      <c r="D10928" s="5" t="s">
        <v>13997</v>
      </c>
      <c r="E10928" s="6" t="str">
        <f>HYPERLINK("https://inpn.mnhn.fr/espece/cd_nom/227714","Propolydesmus testaceus (C.L. Koch, 1847)")</f>
        <v>Propolydesmus testaceus (C.L. Koch, 1847)</v>
      </c>
      <c r="AH10928" s="4" t="str">
        <f>HYPERLINK("#Statut_biogéographique!A"&amp;_xlfn.XMATCH("P",Statut_biogéographique!A:A,2,1),"P")</f>
        <v>P</v>
      </c>
      <c r="AP10928" s="4" t="s">
        <v>376</v>
      </c>
      <c r="AR10928" s="4" t="s">
        <v>377</v>
      </c>
    </row>
    <row r="10929" spans="1:44">
      <c r="A10929" s="4" t="s">
        <v>10753</v>
      </c>
      <c r="B10929" s="4">
        <v>22772</v>
      </c>
      <c r="D10929" s="5" t="s">
        <v>13998</v>
      </c>
      <c r="E10929" s="6" t="str">
        <f>HYPERLINK("https://inpn.mnhn.fr/espece/cd_nom/22772","Trichopeza longicornis (Meigen, 1822)")</f>
        <v>Trichopeza longicornis (Meigen, 1822)</v>
      </c>
      <c r="AH10929" s="4" t="str">
        <f>HYPERLINK("#Statut_biogéographique!A"&amp;_xlfn.XMATCH("P",Statut_biogéographique!A:A,2,1),"P")</f>
        <v>P</v>
      </c>
      <c r="AP10929" s="4" t="s">
        <v>376</v>
      </c>
      <c r="AR10929" s="4" t="s">
        <v>377</v>
      </c>
    </row>
    <row r="10930" spans="1:44">
      <c r="A10930" s="4" t="s">
        <v>10753</v>
      </c>
      <c r="B10930" s="4">
        <v>227752</v>
      </c>
      <c r="D10930" s="5" t="s">
        <v>13999</v>
      </c>
      <c r="E10930" s="6" t="str">
        <f>HYPERLINK("https://inpn.mnhn.fr/espece/cd_nom/227752","Cryptops anomalans Newport, 1844")</f>
        <v>Cryptops anomalans Newport, 1844</v>
      </c>
      <c r="AH10930" s="4" t="str">
        <f>HYPERLINK("#Statut_biogéographique!A"&amp;_xlfn.XMATCH("P",Statut_biogéographique!A:A,2,1),"P")</f>
        <v>P</v>
      </c>
      <c r="AP10930" s="4" t="s">
        <v>376</v>
      </c>
      <c r="AR10930" s="4" t="s">
        <v>377</v>
      </c>
    </row>
    <row r="10931" spans="1:44">
      <c r="A10931" s="4" t="s">
        <v>10753</v>
      </c>
      <c r="B10931" s="4">
        <v>227753</v>
      </c>
      <c r="D10931" s="5" t="s">
        <v>14000</v>
      </c>
      <c r="E10931" s="6" t="str">
        <f>HYPERLINK("https://inpn.mnhn.fr/espece/cd_nom/227753","Cryptops hortensis (Donovan, 1810)")</f>
        <v>Cryptops hortensis (Donovan, 1810)</v>
      </c>
      <c r="AH10931" s="4" t="str">
        <f>HYPERLINK("#Statut_biogéographique!A"&amp;_xlfn.XMATCH("P",Statut_biogéographique!A:A,2,1),"P")</f>
        <v>P</v>
      </c>
      <c r="AP10931" s="4" t="s">
        <v>376</v>
      </c>
      <c r="AR10931" s="4" t="s">
        <v>377</v>
      </c>
    </row>
    <row r="10932" spans="1:44">
      <c r="A10932" s="4" t="s">
        <v>10753</v>
      </c>
      <c r="B10932" s="4">
        <v>227755</v>
      </c>
      <c r="D10932" s="5" t="s">
        <v>14001</v>
      </c>
      <c r="E10932" s="6" t="str">
        <f>HYPERLINK("https://inpn.mnhn.fr/espece/cd_nom/227755","Cryptops parisi Brölemann, 1920")</f>
        <v>Cryptops parisi Brölemann, 1920</v>
      </c>
      <c r="AH10932" s="4" t="str">
        <f>HYPERLINK("#Statut_biogéographique!A"&amp;_xlfn.XMATCH("P",Statut_biogéographique!A:A,2,1),"P")</f>
        <v>P</v>
      </c>
      <c r="AP10932" s="4" t="s">
        <v>376</v>
      </c>
      <c r="AR10932" s="4" t="s">
        <v>377</v>
      </c>
    </row>
    <row r="10933" spans="1:44" ht="30">
      <c r="A10933" s="4" t="s">
        <v>10753</v>
      </c>
      <c r="B10933" s="4">
        <v>227762</v>
      </c>
      <c r="D10933" s="5" t="s">
        <v>14002</v>
      </c>
      <c r="E10933" s="6" t="str">
        <f>HYPERLINK("https://inpn.mnhn.fr/espece/cd_nom/227762","Henia vesuviana (Newport, 1844)")</f>
        <v>Henia vesuviana (Newport, 1844)</v>
      </c>
      <c r="AH10933" s="4" t="str">
        <f>HYPERLINK("#Statut_biogéographique!A"&amp;_xlfn.XMATCH("P",Statut_biogéographique!A:A,2,1),"P")</f>
        <v>P</v>
      </c>
      <c r="AP10933" s="4" t="s">
        <v>376</v>
      </c>
      <c r="AR10933" s="4" t="s">
        <v>377</v>
      </c>
    </row>
    <row r="10934" spans="1:44">
      <c r="A10934" s="4" t="s">
        <v>10753</v>
      </c>
      <c r="B10934" s="4">
        <v>227769</v>
      </c>
      <c r="D10934" s="5" t="s">
        <v>14003</v>
      </c>
      <c r="E10934" s="6" t="str">
        <f>HYPERLINK("https://inpn.mnhn.fr/espece/cd_nom/227769","Geophilus carpophagus Leach, 1815")</f>
        <v>Geophilus carpophagus Leach, 1815</v>
      </c>
      <c r="AH10934" s="4" t="str">
        <f>HYPERLINK("#Statut_biogéographique!A"&amp;_xlfn.XMATCH("P",Statut_biogéographique!A:A,2,1),"P")</f>
        <v>P</v>
      </c>
      <c r="AP10934" s="4" t="s">
        <v>376</v>
      </c>
      <c r="AR10934" s="4" t="s">
        <v>377</v>
      </c>
    </row>
    <row r="10935" spans="1:44">
      <c r="A10935" s="4" t="s">
        <v>10753</v>
      </c>
      <c r="B10935" s="4">
        <v>227771</v>
      </c>
      <c r="D10935" s="5" t="s">
        <v>14004</v>
      </c>
      <c r="E10935" s="6" t="str">
        <f>HYPERLINK("https://inpn.mnhn.fr/espece/cd_nom/227771","Geophilus electricus (Linnaeus, 1758)")</f>
        <v>Geophilus electricus (Linnaeus, 1758)</v>
      </c>
      <c r="AH10935" s="4" t="str">
        <f>HYPERLINK("#Statut_biogéographique!A"&amp;_xlfn.XMATCH("P",Statut_biogéographique!A:A,2,1),"P")</f>
        <v>P</v>
      </c>
      <c r="AP10935" s="4" t="s">
        <v>376</v>
      </c>
      <c r="AR10935" s="4" t="s">
        <v>377</v>
      </c>
    </row>
    <row r="10936" spans="1:44" ht="45">
      <c r="A10936" s="4" t="s">
        <v>10753</v>
      </c>
      <c r="B10936" s="4">
        <v>227772</v>
      </c>
      <c r="D10936" s="5" t="s">
        <v>14005</v>
      </c>
      <c r="E10936" s="6" t="str">
        <f>HYPERLINK("https://inpn.mnhn.fr/espece/cd_nom/227772","Geophilus flavus (De Geer, 1778)")</f>
        <v>Geophilus flavus (De Geer, 1778)</v>
      </c>
      <c r="AH10936" s="4" t="str">
        <f>HYPERLINK("#Statut_biogéographique!A"&amp;_xlfn.XMATCH("P",Statut_biogéographique!A:A,2,1),"P")</f>
        <v>P</v>
      </c>
      <c r="AP10936" s="4" t="s">
        <v>376</v>
      </c>
      <c r="AR10936" s="4" t="s">
        <v>377</v>
      </c>
    </row>
    <row r="10937" spans="1:44">
      <c r="A10937" s="4" t="s">
        <v>10753</v>
      </c>
      <c r="B10937" s="4">
        <v>227786</v>
      </c>
      <c r="D10937" s="5" t="s">
        <v>14006</v>
      </c>
      <c r="E10937" s="6" t="str">
        <f>HYPERLINK("https://inpn.mnhn.fr/espece/cd_nom/227786","Geophilus truncorum Bergsö &amp; Meinert, 1866")</f>
        <v>Geophilus truncorum Bergsö &amp; Meinert, 1866</v>
      </c>
      <c r="AH10937" s="4" t="str">
        <f>HYPERLINK("#Statut_biogéographique!A"&amp;_xlfn.XMATCH("P",Statut_biogéographique!A:A,2,1),"P")</f>
        <v>P</v>
      </c>
      <c r="AP10937" s="4" t="s">
        <v>376</v>
      </c>
      <c r="AR10937" s="4" t="s">
        <v>377</v>
      </c>
    </row>
    <row r="10938" spans="1:44" ht="30">
      <c r="A10938" s="4" t="s">
        <v>10753</v>
      </c>
      <c r="B10938" s="4">
        <v>227796</v>
      </c>
      <c r="D10938" s="5" t="s">
        <v>14007</v>
      </c>
      <c r="E10938" s="6" t="str">
        <f>HYPERLINK("https://inpn.mnhn.fr/espece/cd_nom/227796","Stigmatogaster subterranea (Shaw, 1794)")</f>
        <v>Stigmatogaster subterranea (Shaw, 1794)</v>
      </c>
      <c r="AH10938" s="4" t="str">
        <f>HYPERLINK("#Statut_biogéographique!A"&amp;_xlfn.XMATCH("P",Statut_biogéographique!A:A,2,1),"P")</f>
        <v>P</v>
      </c>
      <c r="AP10938" s="4" t="s">
        <v>376</v>
      </c>
      <c r="AR10938" s="4" t="s">
        <v>377</v>
      </c>
    </row>
    <row r="10939" spans="1:44" ht="30">
      <c r="A10939" s="4" t="s">
        <v>10753</v>
      </c>
      <c r="B10939" s="4">
        <v>227798</v>
      </c>
      <c r="D10939" s="5" t="s">
        <v>14008</v>
      </c>
      <c r="E10939" s="6" t="str">
        <f>HYPERLINK("https://inpn.mnhn.fr/espece/cd_nom/227798","Strigamia acuminata (Leach, 1815)")</f>
        <v>Strigamia acuminata (Leach, 1815)</v>
      </c>
      <c r="AH10939" s="4" t="str">
        <f>HYPERLINK("#Statut_biogéographique!A"&amp;_xlfn.XMATCH("P",Statut_biogéographique!A:A,2,1),"P")</f>
        <v>P</v>
      </c>
      <c r="AP10939" s="4" t="s">
        <v>376</v>
      </c>
      <c r="AR10939" s="4" t="s">
        <v>377</v>
      </c>
    </row>
    <row r="10940" spans="1:44" ht="45">
      <c r="A10940" s="4" t="s">
        <v>10753</v>
      </c>
      <c r="B10940" s="4">
        <v>227799</v>
      </c>
      <c r="D10940" s="5" t="s">
        <v>14009</v>
      </c>
      <c r="E10940" s="6" t="str">
        <f>HYPERLINK("https://inpn.mnhn.fr/espece/cd_nom/227799","Strigamia crassipes (C.L. Koch, 1835)")</f>
        <v>Strigamia crassipes (C.L. Koch, 1835)</v>
      </c>
      <c r="AH10940" s="4" t="str">
        <f>HYPERLINK("#Statut_biogéographique!A"&amp;_xlfn.XMATCH("P",Statut_biogéographique!A:A,2,1),"P")</f>
        <v>P</v>
      </c>
      <c r="AP10940" s="4" t="s">
        <v>376</v>
      </c>
      <c r="AR10940" s="4" t="s">
        <v>377</v>
      </c>
    </row>
    <row r="10941" spans="1:44">
      <c r="A10941" s="4" t="s">
        <v>10753</v>
      </c>
      <c r="B10941" s="4">
        <v>227810</v>
      </c>
      <c r="D10941" s="5" t="s">
        <v>14010</v>
      </c>
      <c r="E10941" s="6" t="str">
        <f>HYPERLINK("https://inpn.mnhn.fr/espece/cd_nom/227810","Schendyla nemorensis (C.L. Koch, 1837)")</f>
        <v>Schendyla nemorensis (C.L. Koch, 1837)</v>
      </c>
      <c r="AH10941" s="4" t="str">
        <f>HYPERLINK("#Statut_biogéographique!A"&amp;_xlfn.XMATCH("P",Statut_biogéographique!A:A,2,1),"P")</f>
        <v>P</v>
      </c>
      <c r="AP10941" s="4" t="s">
        <v>376</v>
      </c>
      <c r="AR10941" s="4" t="s">
        <v>377</v>
      </c>
    </row>
    <row r="10942" spans="1:44" ht="30">
      <c r="A10942" s="4" t="s">
        <v>10753</v>
      </c>
      <c r="B10942" s="4">
        <v>227817</v>
      </c>
      <c r="D10942" s="5" t="s">
        <v>14011</v>
      </c>
      <c r="E10942" s="6" t="str">
        <f>HYPERLINK("https://inpn.mnhn.fr/espece/cd_nom/227817","Eumodicogryllus bordigalensis (Latreille, 1804)")</f>
        <v>Eumodicogryllus bordigalensis (Latreille, 1804)</v>
      </c>
      <c r="F10942" s="5" t="s">
        <v>14012</v>
      </c>
      <c r="P10942" s="7" t="str">
        <f>HYPERLINK("#Liste_rouge!A"&amp;_xlfn.XMATCH("LC",Liste_rouge!A:A,2,1),"LC")</f>
        <v>LC</v>
      </c>
      <c r="V10942" s="7" t="str">
        <f>HYPERLINK("#Liste_rouge!A"&amp;_xlfn.XMATCH("LC",Liste_rouge!A:A,2,1),"LC")</f>
        <v>LC</v>
      </c>
      <c r="AH10942" s="4" t="str">
        <f>HYPERLINK("#Statut_biogéographique!A"&amp;_xlfn.XMATCH("P",Statut_biogéographique!A:A,2,1),"P")</f>
        <v>P</v>
      </c>
      <c r="AM10942" s="4" t="s">
        <v>375</v>
      </c>
      <c r="AN10942" s="4" t="s">
        <v>375</v>
      </c>
      <c r="AO10942" s="4" t="s">
        <v>375</v>
      </c>
      <c r="AP10942" s="4" t="s">
        <v>376</v>
      </c>
      <c r="AR10942" s="4" t="s">
        <v>377</v>
      </c>
    </row>
    <row r="10943" spans="1:44" ht="30">
      <c r="A10943" s="4" t="s">
        <v>10753</v>
      </c>
      <c r="B10943" s="4">
        <v>227822</v>
      </c>
      <c r="D10943" s="5" t="s">
        <v>14013</v>
      </c>
      <c r="E10943" s="6" t="str">
        <f>HYPERLINK("https://inpn.mnhn.fr/espece/cd_nom/227822","Metcalfa pruinosa (Say, 1830)")</f>
        <v>Metcalfa pruinosa (Say, 1830)</v>
      </c>
      <c r="F10943" s="5" t="s">
        <v>14014</v>
      </c>
      <c r="AH10943" s="4" t="str">
        <f>HYPERLINK("#Statut_biogéographique!A"&amp;_xlfn.XMATCH("I",Statut_biogéographique!A:A,2,1),"I")</f>
        <v>I</v>
      </c>
      <c r="AP10943" s="4" t="s">
        <v>376</v>
      </c>
      <c r="AR10943" s="4" t="s">
        <v>377</v>
      </c>
    </row>
    <row r="10944" spans="1:44">
      <c r="A10944" s="4" t="s">
        <v>10753</v>
      </c>
      <c r="B10944" s="4">
        <v>22785</v>
      </c>
      <c r="D10944" s="5" t="s">
        <v>14015</v>
      </c>
      <c r="E10944" s="6" t="str">
        <f>HYPERLINK("https://inpn.mnhn.fr/espece/cd_nom/22785","Dolichocephala guttata (Haliday, 1833)")</f>
        <v>Dolichocephala guttata (Haliday, 1833)</v>
      </c>
      <c r="AH10944" s="4" t="str">
        <f>HYPERLINK("#Statut_biogéographique!A"&amp;_xlfn.XMATCH("P",Statut_biogéographique!A:A,2,1),"P")</f>
        <v>P</v>
      </c>
      <c r="AP10944" s="4" t="s">
        <v>376</v>
      </c>
      <c r="AR10944" s="4" t="s">
        <v>377</v>
      </c>
    </row>
    <row r="10945" spans="1:44" ht="30">
      <c r="A10945" s="4" t="s">
        <v>10753</v>
      </c>
      <c r="B10945" s="4">
        <v>227854</v>
      </c>
      <c r="D10945" s="5" t="s">
        <v>14016</v>
      </c>
      <c r="E10945" s="6" t="str">
        <f>HYPERLINK("https://inpn.mnhn.fr/espece/cd_nom/227854","Cixius nervosus (Linnaeus, 1758)")</f>
        <v>Cixius nervosus (Linnaeus, 1758)</v>
      </c>
      <c r="AH10945" s="4" t="str">
        <f>HYPERLINK("#Statut_biogéographique!A"&amp;_xlfn.XMATCH("P",Statut_biogéographique!A:A,2,1),"P")</f>
        <v>P</v>
      </c>
      <c r="AP10945" s="4" t="s">
        <v>376</v>
      </c>
      <c r="AR10945" s="4" t="s">
        <v>377</v>
      </c>
    </row>
    <row r="10946" spans="1:44">
      <c r="A10946" s="4" t="s">
        <v>10753</v>
      </c>
      <c r="B10946" s="4">
        <v>227860</v>
      </c>
      <c r="D10946" s="5" t="s">
        <v>14017</v>
      </c>
      <c r="E10946" s="6" t="str">
        <f>HYPERLINK("https://inpn.mnhn.fr/espece/cd_nom/227860","Cixius similis Kirschbaum, 1868")</f>
        <v>Cixius similis Kirschbaum, 1868</v>
      </c>
      <c r="AH10946" s="4" t="str">
        <f>HYPERLINK("#Statut_biogéographique!A"&amp;_xlfn.XMATCH("P",Statut_biogéographique!A:A,2,1),"P")</f>
        <v>P</v>
      </c>
      <c r="AP10946" s="4" t="s">
        <v>376</v>
      </c>
      <c r="AR10946" s="4" t="s">
        <v>377</v>
      </c>
    </row>
    <row r="10947" spans="1:44">
      <c r="A10947" s="4" t="s">
        <v>10753</v>
      </c>
      <c r="B10947" s="4">
        <v>227862</v>
      </c>
      <c r="D10947" s="5">
        <v>227862</v>
      </c>
      <c r="E10947" s="6" t="str">
        <f>HYPERLINK("https://inpn.mnhn.fr/espece/cd_nom/227862","Cixius stigmaticus (Germar, 1818)")</f>
        <v>Cixius stigmaticus (Germar, 1818)</v>
      </c>
      <c r="AH10947" s="4" t="str">
        <f>HYPERLINK("#Statut_biogéographique!A"&amp;_xlfn.XMATCH("P",Statut_biogéographique!A:A,2,1),"P")</f>
        <v>P</v>
      </c>
      <c r="AP10947" s="4" t="s">
        <v>376</v>
      </c>
      <c r="AR10947" s="4" t="s">
        <v>377</v>
      </c>
    </row>
    <row r="10948" spans="1:44" ht="30">
      <c r="A10948" s="4" t="s">
        <v>10753</v>
      </c>
      <c r="B10948" s="4">
        <v>227863</v>
      </c>
      <c r="D10948" s="5" t="s">
        <v>14018</v>
      </c>
      <c r="E10948" s="6" t="str">
        <f>HYPERLINK("https://inpn.mnhn.fr/espece/cd_nom/227863","Cixius cunicularius (Linnaeus, 1767)")</f>
        <v>Cixius cunicularius (Linnaeus, 1767)</v>
      </c>
      <c r="AH10948" s="4" t="str">
        <f>HYPERLINK("#Statut_biogéographique!A"&amp;_xlfn.XMATCH("P",Statut_biogéographique!A:A,2,1),"P")</f>
        <v>P</v>
      </c>
      <c r="AP10948" s="4" t="s">
        <v>376</v>
      </c>
      <c r="AR10948" s="4" t="s">
        <v>377</v>
      </c>
    </row>
    <row r="10949" spans="1:44">
      <c r="A10949" s="4" t="s">
        <v>10753</v>
      </c>
      <c r="B10949" s="4">
        <v>227869</v>
      </c>
      <c r="D10949" s="5" t="s">
        <v>14019</v>
      </c>
      <c r="E10949" s="6" t="str">
        <f>HYPERLINK("https://inpn.mnhn.fr/espece/cd_nom/227869","Cixius distinguendus Kirschbaum, 1868")</f>
        <v>Cixius distinguendus Kirschbaum, 1868</v>
      </c>
      <c r="AH10949" s="4" t="str">
        <f>HYPERLINK("#Statut_biogéographique!A"&amp;_xlfn.XMATCH("P",Statut_biogéographique!A:A,2,1),"P")</f>
        <v>P</v>
      </c>
      <c r="AP10949" s="4" t="s">
        <v>376</v>
      </c>
      <c r="AR10949" s="4" t="s">
        <v>377</v>
      </c>
    </row>
    <row r="10950" spans="1:44">
      <c r="A10950" s="4" t="s">
        <v>10753</v>
      </c>
      <c r="B10950" s="4">
        <v>227891</v>
      </c>
      <c r="D10950" s="5">
        <v>227891</v>
      </c>
      <c r="E10950" s="6" t="str">
        <f>HYPERLINK("https://inpn.mnhn.fr/espece/cd_nom/227891","Stiroma affinis Fieber, 1866")</f>
        <v>Stiroma affinis Fieber, 1866</v>
      </c>
      <c r="AH10950" s="4" t="str">
        <f>HYPERLINK("#Statut_biogéographique!A"&amp;_xlfn.XMATCH("P",Statut_biogéographique!A:A,2,1),"P")</f>
        <v>P</v>
      </c>
      <c r="AP10950" s="4" t="s">
        <v>376</v>
      </c>
      <c r="AR10950" s="4" t="s">
        <v>377</v>
      </c>
    </row>
    <row r="10951" spans="1:44" ht="30">
      <c r="A10951" s="4" t="s">
        <v>10753</v>
      </c>
      <c r="B10951" s="4">
        <v>227892</v>
      </c>
      <c r="D10951" s="5" t="s">
        <v>14020</v>
      </c>
      <c r="E10951" s="6" t="str">
        <f>HYPERLINK("https://inpn.mnhn.fr/espece/cd_nom/227892","Stiroma bicarinata (Herrich-Schäffer, 1835)")</f>
        <v>Stiroma bicarinata (Herrich-Schäffer, 1835)</v>
      </c>
      <c r="AH10951" s="4" t="str">
        <f>HYPERLINK("#Statut_biogéographique!A"&amp;_xlfn.XMATCH("P",Statut_biogéographique!A:A,2,1),"P")</f>
        <v>P</v>
      </c>
      <c r="AP10951" s="4" t="s">
        <v>376</v>
      </c>
      <c r="AR10951" s="4" t="s">
        <v>377</v>
      </c>
    </row>
    <row r="10952" spans="1:44">
      <c r="A10952" s="4" t="s">
        <v>10753</v>
      </c>
      <c r="B10952" s="4">
        <v>227909</v>
      </c>
      <c r="D10952" s="5" t="s">
        <v>14021</v>
      </c>
      <c r="E10952" s="6" t="str">
        <f>HYPERLINK("https://inpn.mnhn.fr/espece/cd_nom/227909","Muellerianella brevipennis (Boheman, 1847)")</f>
        <v>Muellerianella brevipennis (Boheman, 1847)</v>
      </c>
      <c r="AH10952" s="4" t="str">
        <f>HYPERLINK("#Statut_biogéographique!A"&amp;_xlfn.XMATCH("P",Statut_biogéographique!A:A,2,1),"P")</f>
        <v>P</v>
      </c>
      <c r="AP10952" s="4" t="s">
        <v>376</v>
      </c>
      <c r="AR10952" s="4" t="s">
        <v>377</v>
      </c>
    </row>
    <row r="10953" spans="1:44">
      <c r="A10953" s="4" t="s">
        <v>10753</v>
      </c>
      <c r="B10953" s="4">
        <v>227911</v>
      </c>
      <c r="D10953" s="5" t="s">
        <v>14022</v>
      </c>
      <c r="E10953" s="6" t="str">
        <f>HYPERLINK("https://inpn.mnhn.fr/espece/cd_nom/227911","Muellerianella fairmairei (Perris, 1857)")</f>
        <v>Muellerianella fairmairei (Perris, 1857)</v>
      </c>
      <c r="AH10953" s="4" t="str">
        <f>HYPERLINK("#Statut_biogéographique!A"&amp;_xlfn.XMATCH("P",Statut_biogéographique!A:A,2,1),"P")</f>
        <v>P</v>
      </c>
      <c r="AP10953" s="4" t="s">
        <v>376</v>
      </c>
      <c r="AR10953" s="4" t="s">
        <v>377</v>
      </c>
    </row>
    <row r="10954" spans="1:44" ht="30">
      <c r="A10954" s="4" t="s">
        <v>10753</v>
      </c>
      <c r="B10954" s="4">
        <v>227917</v>
      </c>
      <c r="D10954" s="5" t="s">
        <v>14023</v>
      </c>
      <c r="E10954" s="6" t="str">
        <f>HYPERLINK("https://inpn.mnhn.fr/espece/cd_nom/227917","Megamelus notulus (Germar, 1830)")</f>
        <v>Megamelus notulus (Germar, 1830)</v>
      </c>
      <c r="AH10954" s="4" t="str">
        <f>HYPERLINK("#Statut_biogéographique!A"&amp;_xlfn.XMATCH("P",Statut_biogéographique!A:A,2,1),"P")</f>
        <v>P</v>
      </c>
      <c r="AP10954" s="4" t="s">
        <v>376</v>
      </c>
      <c r="AR10954" s="4" t="s">
        <v>377</v>
      </c>
    </row>
    <row r="10955" spans="1:44" ht="45">
      <c r="A10955" s="4" t="s">
        <v>10753</v>
      </c>
      <c r="B10955" s="4">
        <v>227924</v>
      </c>
      <c r="D10955" s="5" t="s">
        <v>14024</v>
      </c>
      <c r="E10955" s="6" t="str">
        <f>HYPERLINK("https://inpn.mnhn.fr/espece/cd_nom/227924","Laodelphax striatellus (Fallén, 1826)")</f>
        <v>Laodelphax striatellus (Fallén, 1826)</v>
      </c>
      <c r="AH10955" s="4" t="str">
        <f>HYPERLINK("#Statut_biogéographique!A"&amp;_xlfn.XMATCH("P",Statut_biogéographique!A:A,2,1),"P")</f>
        <v>P</v>
      </c>
      <c r="AP10955" s="4" t="s">
        <v>376</v>
      </c>
      <c r="AR10955" s="4" t="s">
        <v>377</v>
      </c>
    </row>
    <row r="10956" spans="1:44">
      <c r="A10956" s="4" t="s">
        <v>10753</v>
      </c>
      <c r="B10956" s="4">
        <v>227927</v>
      </c>
      <c r="D10956" s="5" t="s">
        <v>14025</v>
      </c>
      <c r="E10956" s="6" t="str">
        <f>HYPERLINK("https://inpn.mnhn.fr/espece/cd_nom/227927","Javesella dubia (Kirschbaum, 1868)")</f>
        <v>Javesella dubia (Kirschbaum, 1868)</v>
      </c>
      <c r="AH10956" s="4" t="str">
        <f>HYPERLINK("#Statut_biogéographique!A"&amp;_xlfn.XMATCH("P",Statut_biogéographique!A:A,2,1),"P")</f>
        <v>P</v>
      </c>
      <c r="AP10956" s="4" t="s">
        <v>376</v>
      </c>
      <c r="AR10956" s="4" t="s">
        <v>377</v>
      </c>
    </row>
    <row r="10957" spans="1:44" ht="75">
      <c r="A10957" s="4" t="s">
        <v>10753</v>
      </c>
      <c r="B10957" s="4">
        <v>227930</v>
      </c>
      <c r="D10957" s="5" t="s">
        <v>14026</v>
      </c>
      <c r="E10957" s="6" t="str">
        <f>HYPERLINK("https://inpn.mnhn.fr/espece/cd_nom/227930","Javesella pellucida (Fabricius, 1794)")</f>
        <v>Javesella pellucida (Fabricius, 1794)</v>
      </c>
      <c r="AH10957" s="4" t="str">
        <f>HYPERLINK("#Statut_biogéographique!A"&amp;_xlfn.XMATCH("P",Statut_biogéographique!A:A,2,1),"P")</f>
        <v>P</v>
      </c>
      <c r="AP10957" s="4" t="s">
        <v>376</v>
      </c>
      <c r="AR10957" s="4" t="s">
        <v>377</v>
      </c>
    </row>
    <row r="10958" spans="1:44">
      <c r="A10958" s="4" t="s">
        <v>10753</v>
      </c>
      <c r="B10958" s="4">
        <v>227951</v>
      </c>
      <c r="D10958" s="5">
        <v>227951</v>
      </c>
      <c r="E10958" s="6" t="str">
        <f>HYPERLINK("https://inpn.mnhn.fr/espece/cd_nom/227951","Dicranotropis hamata (Boheman, 1847)")</f>
        <v>Dicranotropis hamata (Boheman, 1847)</v>
      </c>
      <c r="AH10958" s="4" t="str">
        <f>HYPERLINK("#Statut_biogéographique!A"&amp;_xlfn.XMATCH("P",Statut_biogéographique!A:A,2,1),"P")</f>
        <v>P</v>
      </c>
      <c r="AP10958" s="4" t="s">
        <v>376</v>
      </c>
      <c r="AR10958" s="4" t="s">
        <v>377</v>
      </c>
    </row>
    <row r="10959" spans="1:44" ht="30">
      <c r="A10959" s="4" t="s">
        <v>10753</v>
      </c>
      <c r="B10959" s="4">
        <v>227969</v>
      </c>
      <c r="D10959" s="5" t="s">
        <v>14027</v>
      </c>
      <c r="E10959" s="6" t="str">
        <f>HYPERLINK("https://inpn.mnhn.fr/espece/cd_nom/227969","Conomelus anceps (Germar, 1821)")</f>
        <v>Conomelus anceps (Germar, 1821)</v>
      </c>
      <c r="AH10959" s="4" t="str">
        <f>HYPERLINK("#Statut_biogéographique!A"&amp;_xlfn.XMATCH("P",Statut_biogéographique!A:A,2,1),"P")</f>
        <v>P</v>
      </c>
      <c r="AP10959" s="4" t="s">
        <v>376</v>
      </c>
      <c r="AR10959" s="4" t="s">
        <v>377</v>
      </c>
    </row>
    <row r="10960" spans="1:44">
      <c r="A10960" s="4" t="s">
        <v>10753</v>
      </c>
      <c r="B10960" s="4">
        <v>22799</v>
      </c>
      <c r="D10960" s="5">
        <v>22799</v>
      </c>
      <c r="E10960" s="6" t="str">
        <f>HYPERLINK("https://inpn.mnhn.fr/espece/cd_nom/22799","Gloma fuscipennis Meigen, 1822")</f>
        <v>Gloma fuscipennis Meigen, 1822</v>
      </c>
      <c r="AH10960" s="4" t="str">
        <f>HYPERLINK("#Statut_biogéographique!A"&amp;_xlfn.XMATCH("P",Statut_biogéographique!A:A,2,1),"P")</f>
        <v>P</v>
      </c>
      <c r="AP10960" s="4" t="s">
        <v>376</v>
      </c>
      <c r="AR10960" s="4" t="s">
        <v>377</v>
      </c>
    </row>
    <row r="10961" spans="1:44">
      <c r="A10961" s="4" t="s">
        <v>10753</v>
      </c>
      <c r="B10961" s="4">
        <v>228000</v>
      </c>
      <c r="D10961" s="5">
        <v>228000</v>
      </c>
      <c r="E10961" s="6" t="str">
        <f>HYPERLINK("https://inpn.mnhn.fr/espece/cd_nom/228000","Kelisia vittipennis (Sahlberg, 1868)")</f>
        <v>Kelisia vittipennis (Sahlberg, 1868)</v>
      </c>
      <c r="AH10961" s="4" t="str">
        <f>HYPERLINK("#Statut_biogéographique!A"&amp;_xlfn.XMATCH("P",Statut_biogéographique!A:A,2,1),"P")</f>
        <v>P</v>
      </c>
      <c r="AP10961" s="4" t="s">
        <v>376</v>
      </c>
      <c r="AR10961" s="4" t="s">
        <v>377</v>
      </c>
    </row>
    <row r="10962" spans="1:44">
      <c r="A10962" s="4" t="s">
        <v>10753</v>
      </c>
      <c r="B10962" s="4">
        <v>228003</v>
      </c>
      <c r="D10962" s="5">
        <v>228003</v>
      </c>
      <c r="E10962" s="6" t="str">
        <f>HYPERLINK("https://inpn.mnhn.fr/espece/cd_nom/228003","Asiraca clavicornis (Fabricius, 1794)")</f>
        <v>Asiraca clavicornis (Fabricius, 1794)</v>
      </c>
      <c r="F10962" s="5" t="s">
        <v>14028</v>
      </c>
      <c r="AH10962" s="4" t="str">
        <f>HYPERLINK("#Statut_biogéographique!A"&amp;_xlfn.XMATCH("P",Statut_biogéographique!A:A,2,1),"P")</f>
        <v>P</v>
      </c>
      <c r="AP10962" s="4" t="s">
        <v>376</v>
      </c>
      <c r="AR10962" s="4" t="s">
        <v>377</v>
      </c>
    </row>
    <row r="10963" spans="1:44">
      <c r="A10963" s="4" t="s">
        <v>10753</v>
      </c>
      <c r="B10963" s="4">
        <v>22809</v>
      </c>
      <c r="D10963" s="5" t="s">
        <v>14029</v>
      </c>
      <c r="E10963" s="6" t="str">
        <f>HYPERLINK("https://inpn.mnhn.fr/espece/cd_nom/22809","Hybos culiciformis (Fabricius, 1775)")</f>
        <v>Hybos culiciformis (Fabricius, 1775)</v>
      </c>
      <c r="AH10963" s="4" t="str">
        <f>HYPERLINK("#Statut_biogéographique!A"&amp;_xlfn.XMATCH("P",Statut_biogéographique!A:A,2,1),"P")</f>
        <v>P</v>
      </c>
      <c r="AP10963" s="4" t="s">
        <v>376</v>
      </c>
      <c r="AR10963" s="4" t="s">
        <v>377</v>
      </c>
    </row>
    <row r="10964" spans="1:44">
      <c r="A10964" s="4" t="s">
        <v>10753</v>
      </c>
      <c r="B10964" s="4">
        <v>22810</v>
      </c>
      <c r="D10964" s="5" t="s">
        <v>14030</v>
      </c>
      <c r="E10964" s="6" t="str">
        <f>HYPERLINK("https://inpn.mnhn.fr/espece/cd_nom/22810","Hybos femoratus (Müller, 1776)")</f>
        <v>Hybos femoratus (Müller, 1776)</v>
      </c>
      <c r="AH10964" s="4" t="str">
        <f>HYPERLINK("#Statut_biogéographique!A"&amp;_xlfn.XMATCH("P",Statut_biogéographique!A:A,2,1),"P")</f>
        <v>P</v>
      </c>
      <c r="AP10964" s="4" t="s">
        <v>376</v>
      </c>
      <c r="AR10964" s="4" t="s">
        <v>377</v>
      </c>
    </row>
    <row r="10965" spans="1:44">
      <c r="A10965" s="4" t="s">
        <v>10753</v>
      </c>
      <c r="B10965" s="4">
        <v>22811</v>
      </c>
      <c r="D10965" s="5" t="s">
        <v>14031</v>
      </c>
      <c r="E10965" s="6" t="str">
        <f>HYPERLINK("https://inpn.mnhn.fr/espece/cd_nom/22811","Hybos grossipes (Linnaeus, 1767)")</f>
        <v>Hybos grossipes (Linnaeus, 1767)</v>
      </c>
      <c r="AH10965" s="4" t="str">
        <f>HYPERLINK("#Statut_biogéographique!A"&amp;_xlfn.XMATCH("P",Statut_biogéographique!A:A,2,1),"P")</f>
        <v>P</v>
      </c>
      <c r="AP10965" s="4" t="s">
        <v>376</v>
      </c>
      <c r="AR10965" s="4" t="s">
        <v>377</v>
      </c>
    </row>
    <row r="10966" spans="1:44" ht="30">
      <c r="A10966" s="4" t="s">
        <v>10753</v>
      </c>
      <c r="B10966" s="4">
        <v>228178</v>
      </c>
      <c r="D10966" s="5">
        <v>228178</v>
      </c>
      <c r="E10966" s="6" t="str">
        <f>HYPERLINK("https://inpn.mnhn.fr/espece/cd_nom/228178","Wroughtonia spinator (Lepeletier de Saint Fargeau &amp; Audinet-Serville, 1827)")</f>
        <v>Wroughtonia spinator (Lepeletier de Saint Fargeau &amp; Audinet-Serville, 1827)</v>
      </c>
      <c r="AH10966" s="4" t="str">
        <f>HYPERLINK("#Statut_biogéographique!A"&amp;_xlfn.XMATCH("P",Statut_biogéographique!A:A,2,1),"P")</f>
        <v>P</v>
      </c>
      <c r="AP10966" s="4" t="s">
        <v>376</v>
      </c>
      <c r="AR10966" s="4" t="s">
        <v>377</v>
      </c>
    </row>
    <row r="10967" spans="1:44">
      <c r="A10967" s="4" t="s">
        <v>10753</v>
      </c>
      <c r="B10967" s="4">
        <v>22845</v>
      </c>
      <c r="D10967" s="5" t="s">
        <v>14032</v>
      </c>
      <c r="E10967" s="6" t="str">
        <f>HYPERLINK("https://inpn.mnhn.fr/espece/cd_nom/22845","Platypalpus aeneus (Macquart, 1823)")</f>
        <v>Platypalpus aeneus (Macquart, 1823)</v>
      </c>
      <c r="AH10967" s="4" t="str">
        <f>HYPERLINK("#Statut_biogéographique!A"&amp;_xlfn.XMATCH("P",Statut_biogéographique!A:A,2,1),"P")</f>
        <v>P</v>
      </c>
      <c r="AP10967" s="4" t="s">
        <v>376</v>
      </c>
      <c r="AR10967" s="4" t="s">
        <v>377</v>
      </c>
    </row>
    <row r="10968" spans="1:44">
      <c r="A10968" s="4" t="s">
        <v>10753</v>
      </c>
      <c r="B10968" s="4">
        <v>22846</v>
      </c>
      <c r="D10968" s="5" t="s">
        <v>14033</v>
      </c>
      <c r="E10968" s="6" t="str">
        <f>HYPERLINK("https://inpn.mnhn.fr/espece/cd_nom/22846","Platypalpus agilis (Meigen, 1822)")</f>
        <v>Platypalpus agilis (Meigen, 1822)</v>
      </c>
      <c r="AH10968" s="4" t="str">
        <f>HYPERLINK("#Statut_biogéographique!A"&amp;_xlfn.XMATCH("P",Statut_biogéographique!A:A,2,1),"P")</f>
        <v>P</v>
      </c>
      <c r="AP10968" s="4" t="s">
        <v>376</v>
      </c>
      <c r="AR10968" s="4" t="s">
        <v>377</v>
      </c>
    </row>
    <row r="10969" spans="1:44">
      <c r="A10969" s="4" t="s">
        <v>10753</v>
      </c>
      <c r="B10969" s="4">
        <v>22849</v>
      </c>
      <c r="D10969" s="5" t="s">
        <v>14034</v>
      </c>
      <c r="E10969" s="6" t="str">
        <f>HYPERLINK("https://inpn.mnhn.fr/espece/cd_nom/22849","Platypalpus albiseta (Panzer, 1806)")</f>
        <v>Platypalpus albiseta (Panzer, 1806)</v>
      </c>
      <c r="AH10969" s="4" t="str">
        <f>HYPERLINK("#Statut_biogéographique!A"&amp;_xlfn.XMATCH("P",Statut_biogéographique!A:A,2,1),"P")</f>
        <v>P</v>
      </c>
      <c r="AP10969" s="4" t="s">
        <v>376</v>
      </c>
      <c r="AR10969" s="4" t="s">
        <v>377</v>
      </c>
    </row>
    <row r="10970" spans="1:44">
      <c r="A10970" s="4" t="s">
        <v>10753</v>
      </c>
      <c r="B10970" s="4">
        <v>22857</v>
      </c>
      <c r="D10970" s="5">
        <v>22857</v>
      </c>
      <c r="E10970" s="6" t="str">
        <f>HYPERLINK("https://inpn.mnhn.fr/espece/cd_nom/22857","Medetera abstrusa Thuneberg, 1955")</f>
        <v>Medetera abstrusa Thuneberg, 1955</v>
      </c>
      <c r="AH10970" s="4" t="str">
        <f>HYPERLINK("#Statut_biogéographique!A"&amp;_xlfn.XMATCH("P",Statut_biogéographique!A:A,2,1),"P")</f>
        <v>P</v>
      </c>
      <c r="AP10970" s="4" t="s">
        <v>376</v>
      </c>
      <c r="AR10970" s="4" t="s">
        <v>377</v>
      </c>
    </row>
    <row r="10971" spans="1:44">
      <c r="A10971" s="4" t="s">
        <v>10753</v>
      </c>
      <c r="B10971" s="4">
        <v>228681</v>
      </c>
      <c r="D10971" s="5" t="s">
        <v>14035</v>
      </c>
      <c r="E10971" s="6" t="str">
        <f>HYPERLINK("https://inpn.mnhn.fr/espece/cd_nom/228681","Cotesia glomerata (Linnaeus, 1758)")</f>
        <v>Cotesia glomerata (Linnaeus, 1758)</v>
      </c>
      <c r="AH10971" s="4" t="str">
        <f>HYPERLINK("#Statut_biogéographique!A"&amp;_xlfn.XMATCH("P",Statut_biogéographique!A:A,2,1),"P")</f>
        <v>P</v>
      </c>
      <c r="AP10971" s="4" t="s">
        <v>376</v>
      </c>
      <c r="AR10971" s="4" t="s">
        <v>377</v>
      </c>
    </row>
    <row r="10972" spans="1:44">
      <c r="A10972" s="4" t="s">
        <v>10753</v>
      </c>
      <c r="B10972" s="4">
        <v>22870</v>
      </c>
      <c r="D10972" s="5">
        <v>22870</v>
      </c>
      <c r="E10972" s="6" t="str">
        <f>HYPERLINK("https://inpn.mnhn.fr/espece/cd_nom/22870","Medetera impigra Collin, 1941")</f>
        <v>Medetera impigra Collin, 1941</v>
      </c>
      <c r="AH10972" s="4" t="str">
        <f>HYPERLINK("#Statut_biogéographique!A"&amp;_xlfn.XMATCH("P",Statut_biogéographique!A:A,2,1),"P")</f>
        <v>P</v>
      </c>
      <c r="AP10972" s="4" t="s">
        <v>376</v>
      </c>
      <c r="AR10972" s="4" t="s">
        <v>377</v>
      </c>
    </row>
    <row r="10973" spans="1:44">
      <c r="A10973" s="4" t="s">
        <v>10753</v>
      </c>
      <c r="B10973" s="4">
        <v>22871</v>
      </c>
      <c r="D10973" s="5" t="s">
        <v>14036</v>
      </c>
      <c r="E10973" s="6" t="str">
        <f>HYPERLINK("https://inpn.mnhn.fr/espece/cd_nom/22871","Medetera infumata Loew, 1857")</f>
        <v>Medetera infumata Loew, 1857</v>
      </c>
      <c r="AH10973" s="4" t="str">
        <f>HYPERLINK("#Statut_biogéographique!A"&amp;_xlfn.XMATCH("P",Statut_biogéographique!A:A,2,1),"P")</f>
        <v>P</v>
      </c>
      <c r="AP10973" s="4" t="s">
        <v>376</v>
      </c>
      <c r="AR10973" s="4" t="s">
        <v>377</v>
      </c>
    </row>
    <row r="10974" spans="1:44">
      <c r="A10974" s="4" t="s">
        <v>10753</v>
      </c>
      <c r="B10974" s="4">
        <v>22874</v>
      </c>
      <c r="D10974" s="5" t="s">
        <v>14037</v>
      </c>
      <c r="E10974" s="6" t="str">
        <f>HYPERLINK("https://inpn.mnhn.fr/espece/cd_nom/22874","Medetera jacula (Fallén, 1823)")</f>
        <v>Medetera jacula (Fallén, 1823)</v>
      </c>
      <c r="AH10974" s="4" t="str">
        <f>HYPERLINK("#Statut_biogéographique!A"&amp;_xlfn.XMATCH("P",Statut_biogéographique!A:A,2,1),"P")</f>
        <v>P</v>
      </c>
      <c r="AP10974" s="4" t="s">
        <v>376</v>
      </c>
      <c r="AR10974" s="4" t="s">
        <v>377</v>
      </c>
    </row>
    <row r="10975" spans="1:44">
      <c r="A10975" s="4" t="s">
        <v>10753</v>
      </c>
      <c r="B10975" s="4">
        <v>228750</v>
      </c>
      <c r="D10975" s="5">
        <v>228750</v>
      </c>
      <c r="E10975" s="6" t="str">
        <f>HYPERLINK("https://inpn.mnhn.fr/espece/cd_nom/228750","Ascogaster abdominator (Dahlbom, 1833)")</f>
        <v>Ascogaster abdominator (Dahlbom, 1833)</v>
      </c>
      <c r="AH10975" s="4" t="str">
        <f>HYPERLINK("#Statut_biogéographique!A"&amp;_xlfn.XMATCH("P",Statut_biogéographique!A:A,2,1),"P")</f>
        <v>P</v>
      </c>
      <c r="AP10975" s="4" t="s">
        <v>376</v>
      </c>
      <c r="AR10975" s="4" t="s">
        <v>377</v>
      </c>
    </row>
    <row r="10976" spans="1:44">
      <c r="A10976" s="4" t="s">
        <v>10753</v>
      </c>
      <c r="B10976" s="4">
        <v>228753</v>
      </c>
      <c r="D10976" s="5">
        <v>228753</v>
      </c>
      <c r="E10976" s="6" t="str">
        <f>HYPERLINK("https://inpn.mnhn.fr/espece/cd_nom/228753","Ascogaster bidentula Wesmael, 1835")</f>
        <v>Ascogaster bidentula Wesmael, 1835</v>
      </c>
      <c r="AH10976" s="4" t="str">
        <f>HYPERLINK("#Statut_biogéographique!A"&amp;_xlfn.XMATCH("P",Statut_biogéographique!A:A,2,1),"P")</f>
        <v>P</v>
      </c>
      <c r="AP10976" s="4" t="s">
        <v>376</v>
      </c>
      <c r="AR10976" s="4" t="s">
        <v>377</v>
      </c>
    </row>
    <row r="10977" spans="1:44">
      <c r="A10977" s="4" t="s">
        <v>10753</v>
      </c>
      <c r="B10977" s="4">
        <v>228769</v>
      </c>
      <c r="D10977" s="5">
        <v>228769</v>
      </c>
      <c r="E10977" s="6" t="str">
        <f>HYPERLINK("https://inpn.mnhn.fr/espece/cd_nom/228769","Ascogaster varipes Wesmael, 1835")</f>
        <v>Ascogaster varipes Wesmael, 1835</v>
      </c>
      <c r="AH10977" s="4" t="str">
        <f>HYPERLINK("#Statut_biogéographique!A"&amp;_xlfn.XMATCH("P",Statut_biogéographique!A:A,2,1),"P")</f>
        <v>P</v>
      </c>
      <c r="AP10977" s="4" t="s">
        <v>376</v>
      </c>
      <c r="AR10977" s="4" t="s">
        <v>377</v>
      </c>
    </row>
    <row r="10978" spans="1:44">
      <c r="A10978" s="4" t="s">
        <v>10753</v>
      </c>
      <c r="B10978" s="4">
        <v>22886</v>
      </c>
      <c r="D10978" s="5">
        <v>22886</v>
      </c>
      <c r="E10978" s="6" t="str">
        <f>HYPERLINK("https://inpn.mnhn.fr/espece/cd_nom/22886","Medetera petrophila Kowarz, 1877")</f>
        <v>Medetera petrophila Kowarz, 1877</v>
      </c>
      <c r="AH10978" s="4" t="str">
        <f>HYPERLINK("#Statut_biogéographique!A"&amp;_xlfn.XMATCH("P",Statut_biogéographique!A:A,2,1),"P")</f>
        <v>P</v>
      </c>
      <c r="AP10978" s="4" t="s">
        <v>376</v>
      </c>
      <c r="AR10978" s="4" t="s">
        <v>377</v>
      </c>
    </row>
    <row r="10979" spans="1:44">
      <c r="A10979" s="4" t="s">
        <v>10753</v>
      </c>
      <c r="B10979" s="4">
        <v>22887</v>
      </c>
      <c r="D10979" s="5">
        <v>22887</v>
      </c>
      <c r="E10979" s="6" t="str">
        <f>HYPERLINK("https://inpn.mnhn.fr/espece/cd_nom/22887","Medetera petrophiloides Parent, 1925")</f>
        <v>Medetera petrophiloides Parent, 1925</v>
      </c>
      <c r="AH10979" s="4" t="str">
        <f>HYPERLINK("#Statut_biogéographique!A"&amp;_xlfn.XMATCH("P",Statut_biogéographique!A:A,2,1),"P")</f>
        <v>P</v>
      </c>
      <c r="AP10979" s="4" t="s">
        <v>376</v>
      </c>
      <c r="AR10979" s="4" t="s">
        <v>377</v>
      </c>
    </row>
    <row r="10980" spans="1:44">
      <c r="A10980" s="4" t="s">
        <v>10753</v>
      </c>
      <c r="B10980" s="4">
        <v>22894</v>
      </c>
      <c r="D10980" s="5">
        <v>22894</v>
      </c>
      <c r="E10980" s="6" t="str">
        <f>HYPERLINK("https://inpn.mnhn.fr/espece/cd_nom/22894","Medetera setiventris Thuneberg, 1955")</f>
        <v>Medetera setiventris Thuneberg, 1955</v>
      </c>
      <c r="AH10980" s="4" t="str">
        <f>HYPERLINK("#Statut_biogéographique!A"&amp;_xlfn.XMATCH("P",Statut_biogéographique!A:A,2,1),"P")</f>
        <v>P</v>
      </c>
      <c r="AP10980" s="4" t="s">
        <v>376</v>
      </c>
      <c r="AR10980" s="4" t="s">
        <v>377</v>
      </c>
    </row>
    <row r="10981" spans="1:44">
      <c r="A10981" s="4" t="s">
        <v>10753</v>
      </c>
      <c r="B10981" s="4">
        <v>22895</v>
      </c>
      <c r="D10981" s="5" t="s">
        <v>14038</v>
      </c>
      <c r="E10981" s="6" t="str">
        <f>HYPERLINK("https://inpn.mnhn.fr/espece/cd_nom/22895","Medetera signaticornis Loew, 1857")</f>
        <v>Medetera signaticornis Loew, 1857</v>
      </c>
      <c r="AH10981" s="4" t="str">
        <f>HYPERLINK("#Statut_biogéographique!A"&amp;_xlfn.XMATCH("P",Statut_biogéographique!A:A,2,1),"P")</f>
        <v>P</v>
      </c>
      <c r="AP10981" s="4" t="s">
        <v>376</v>
      </c>
      <c r="AR10981" s="4" t="s">
        <v>377</v>
      </c>
    </row>
    <row r="10982" spans="1:44">
      <c r="A10982" s="4" t="s">
        <v>10753</v>
      </c>
      <c r="B10982" s="4">
        <v>228953</v>
      </c>
      <c r="D10982" s="5" t="s">
        <v>14039</v>
      </c>
      <c r="E10982" s="6" t="str">
        <f>HYPERLINK("https://inpn.mnhn.fr/espece/cd_nom/228953","Xorides rufipes (Gravenhorst, 1829)")</f>
        <v>Xorides rufipes (Gravenhorst, 1829)</v>
      </c>
      <c r="AH10982" s="4" t="str">
        <f>HYPERLINK("#Statut_biogéographique!A"&amp;_xlfn.XMATCH("P",Statut_biogéographique!A:A,2,1),"P")</f>
        <v>P</v>
      </c>
      <c r="AP10982" s="4" t="s">
        <v>376</v>
      </c>
      <c r="AR10982" s="4" t="s">
        <v>377</v>
      </c>
    </row>
    <row r="10983" spans="1:44">
      <c r="A10983" s="4" t="s">
        <v>10753</v>
      </c>
      <c r="B10983" s="4">
        <v>228959</v>
      </c>
      <c r="D10983" s="5">
        <v>228959</v>
      </c>
      <c r="E10983" s="6" t="str">
        <f>HYPERLINK("https://inpn.mnhn.fr/espece/cd_nom/228959","Xorides filiformis (Gravenhorst, 1829)")</f>
        <v>Xorides filiformis (Gravenhorst, 1829)</v>
      </c>
      <c r="AH10983" s="4" t="str">
        <f>HYPERLINK("#Statut_biogéographique!A"&amp;_xlfn.XMATCH("P",Statut_biogéographique!A:A,2,1),"P")</f>
        <v>P</v>
      </c>
      <c r="AP10983" s="4" t="s">
        <v>376</v>
      </c>
      <c r="AR10983" s="4" t="s">
        <v>377</v>
      </c>
    </row>
    <row r="10984" spans="1:44" ht="30">
      <c r="A10984" s="4" t="s">
        <v>10753</v>
      </c>
      <c r="B10984" s="4">
        <v>228966</v>
      </c>
      <c r="D10984" s="5" t="s">
        <v>14040</v>
      </c>
      <c r="E10984" s="6" t="str">
        <f>HYPERLINK("https://inpn.mnhn.fr/espece/cd_nom/228966","Xorides praecatorius (Fabricius, 1793)")</f>
        <v>Xorides praecatorius (Fabricius, 1793)</v>
      </c>
      <c r="F10984" s="5" t="s">
        <v>14041</v>
      </c>
      <c r="AH10984" s="4" t="str">
        <f>HYPERLINK("#Statut_biogéographique!A"&amp;_xlfn.XMATCH("P",Statut_biogéographique!A:A,2,1),"P")</f>
        <v>P</v>
      </c>
      <c r="AP10984" s="4" t="s">
        <v>376</v>
      </c>
      <c r="AR10984" s="4" t="s">
        <v>377</v>
      </c>
    </row>
    <row r="10985" spans="1:44">
      <c r="A10985" s="4" t="s">
        <v>10753</v>
      </c>
      <c r="B10985" s="4">
        <v>228967</v>
      </c>
      <c r="D10985" s="5">
        <v>228967</v>
      </c>
      <c r="E10985" s="6" t="str">
        <f>HYPERLINK("https://inpn.mnhn.fr/espece/cd_nom/228967","Xorides sepulchralis (Holmgren, 1860)")</f>
        <v>Xorides sepulchralis (Holmgren, 1860)</v>
      </c>
      <c r="AH10985" s="4" t="str">
        <f>HYPERLINK("#Statut_biogéographique!A"&amp;_xlfn.XMATCH("P",Statut_biogéographique!A:A,2,1),"P")</f>
        <v>P</v>
      </c>
      <c r="AP10985" s="4" t="s">
        <v>376</v>
      </c>
      <c r="AR10985" s="4" t="s">
        <v>377</v>
      </c>
    </row>
    <row r="10986" spans="1:44">
      <c r="A10986" s="4" t="s">
        <v>10753</v>
      </c>
      <c r="B10986" s="4">
        <v>22897</v>
      </c>
      <c r="D10986" s="5" t="s">
        <v>14042</v>
      </c>
      <c r="E10986" s="6" t="str">
        <f>HYPERLINK("https://inpn.mnhn.fr/espece/cd_nom/22897","Medetera tristis (Zetterstedt, 1838)")</f>
        <v>Medetera tristis (Zetterstedt, 1838)</v>
      </c>
      <c r="AH10986" s="4" t="str">
        <f>HYPERLINK("#Statut_biogéographique!A"&amp;_xlfn.XMATCH("P",Statut_biogéographique!A:A,2,1),"P")</f>
        <v>P</v>
      </c>
      <c r="AP10986" s="4" t="s">
        <v>376</v>
      </c>
      <c r="AR10986" s="4" t="s">
        <v>377</v>
      </c>
    </row>
    <row r="10987" spans="1:44" ht="30">
      <c r="A10987" s="4" t="s">
        <v>10753</v>
      </c>
      <c r="B10987" s="4">
        <v>228975</v>
      </c>
      <c r="D10987" s="5" t="s">
        <v>14043</v>
      </c>
      <c r="E10987" s="6" t="str">
        <f>HYPERLINK("https://inpn.mnhn.fr/espece/cd_nom/228975","Ischnoceros rusticus (Geoffroy in Fourcroy, 1785)")</f>
        <v>Ischnoceros rusticus (Geoffroy in Fourcroy, 1785)</v>
      </c>
      <c r="F10987" s="5" t="s">
        <v>14044</v>
      </c>
      <c r="AH10987" s="4" t="str">
        <f>HYPERLINK("#Statut_biogéographique!A"&amp;_xlfn.XMATCH("P",Statut_biogéographique!A:A,2,1),"P")</f>
        <v>P</v>
      </c>
      <c r="AP10987" s="4" t="s">
        <v>376</v>
      </c>
      <c r="AR10987" s="4" t="s">
        <v>377</v>
      </c>
    </row>
    <row r="10988" spans="1:44">
      <c r="A10988" s="4" t="s">
        <v>10753</v>
      </c>
      <c r="B10988" s="4">
        <v>22898</v>
      </c>
      <c r="D10988" s="5">
        <v>22898</v>
      </c>
      <c r="E10988" s="6" t="str">
        <f>HYPERLINK("https://inpn.mnhn.fr/espece/cd_nom/22898","Medetera truncorum Meigen, 1824")</f>
        <v>Medetera truncorum Meigen, 1824</v>
      </c>
      <c r="AH10988" s="4" t="str">
        <f>HYPERLINK("#Statut_biogéographique!A"&amp;_xlfn.XMATCH("P",Statut_biogéographique!A:A,2,1),"P")</f>
        <v>P</v>
      </c>
      <c r="AP10988" s="4" t="s">
        <v>376</v>
      </c>
      <c r="AR10988" s="4" t="s">
        <v>377</v>
      </c>
    </row>
    <row r="10989" spans="1:44">
      <c r="A10989" s="4" t="s">
        <v>10753</v>
      </c>
      <c r="B10989" s="4">
        <v>22910</v>
      </c>
      <c r="D10989" s="5" t="s">
        <v>14045</v>
      </c>
      <c r="E10989" s="6" t="str">
        <f>HYPERLINK("https://inpn.mnhn.fr/espece/cd_nom/22910","Achalcus cinereus (Haliday in Walker, 1851)")</f>
        <v>Achalcus cinereus (Haliday in Walker, 1851)</v>
      </c>
      <c r="AH10989" s="4" t="str">
        <f>HYPERLINK("#Statut_biogéographique!A"&amp;_xlfn.XMATCH("P",Statut_biogéographique!A:A,2,1),"P")</f>
        <v>P</v>
      </c>
      <c r="AP10989" s="4" t="s">
        <v>376</v>
      </c>
      <c r="AR10989" s="4" t="s">
        <v>377</v>
      </c>
    </row>
    <row r="10990" spans="1:44">
      <c r="A10990" s="4" t="s">
        <v>10753</v>
      </c>
      <c r="B10990" s="4">
        <v>22911</v>
      </c>
      <c r="D10990" s="5" t="s">
        <v>14046</v>
      </c>
      <c r="E10990" s="6" t="str">
        <f>HYPERLINK("https://inpn.mnhn.fr/espece/cd_nom/22911","Achalcus flavicollis (Meigen, 1824)")</f>
        <v>Achalcus flavicollis (Meigen, 1824)</v>
      </c>
      <c r="AH10990" s="4" t="str">
        <f>HYPERLINK("#Statut_biogéographique!A"&amp;_xlfn.XMATCH("P",Statut_biogéographique!A:A,2,1),"P")</f>
        <v>P</v>
      </c>
      <c r="AP10990" s="4" t="s">
        <v>376</v>
      </c>
      <c r="AR10990" s="4" t="s">
        <v>377</v>
      </c>
    </row>
    <row r="10991" spans="1:44">
      <c r="A10991" s="4" t="s">
        <v>10753</v>
      </c>
      <c r="B10991" s="4">
        <v>22912</v>
      </c>
      <c r="D10991" s="5">
        <v>22912</v>
      </c>
      <c r="E10991" s="6" t="str">
        <f>HYPERLINK("https://inpn.mnhn.fr/espece/cd_nom/22912","Achalcus vaillanti Brunhes, 1987")</f>
        <v>Achalcus vaillanti Brunhes, 1987</v>
      </c>
      <c r="AH10991" s="4" t="str">
        <f>HYPERLINK("#Statut_biogéographique!A"&amp;_xlfn.XMATCH("P",Statut_biogéographique!A:A,2,1),"P")</f>
        <v>P</v>
      </c>
      <c r="AP10991" s="4" t="s">
        <v>376</v>
      </c>
      <c r="AR10991" s="4" t="s">
        <v>377</v>
      </c>
    </row>
    <row r="10992" spans="1:44">
      <c r="A10992" s="4" t="s">
        <v>10753</v>
      </c>
      <c r="B10992" s="4">
        <v>229200</v>
      </c>
      <c r="D10992" s="5">
        <v>229200</v>
      </c>
      <c r="E10992" s="6" t="str">
        <f>HYPERLINK("https://inpn.mnhn.fr/espece/cd_nom/229200","Rhyssella obliterata (Gravenhorst, 1829)")</f>
        <v>Rhyssella obliterata (Gravenhorst, 1829)</v>
      </c>
      <c r="AH10992" s="4" t="str">
        <f>HYPERLINK("#Statut_biogéographique!A"&amp;_xlfn.XMATCH("P",Statut_biogéographique!A:A,2,1),"P")</f>
        <v>P</v>
      </c>
      <c r="AP10992" s="4" t="s">
        <v>376</v>
      </c>
      <c r="AR10992" s="4" t="s">
        <v>377</v>
      </c>
    </row>
    <row r="10993" spans="1:44">
      <c r="A10993" s="4" t="s">
        <v>10753</v>
      </c>
      <c r="B10993" s="4">
        <v>229207</v>
      </c>
      <c r="D10993" s="5">
        <v>229207</v>
      </c>
      <c r="E10993" s="6" t="str">
        <f>HYPERLINK("https://inpn.mnhn.fr/espece/cd_nom/229207","Poemenia hectica (Gravenhorst, 1829)")</f>
        <v>Poemenia hectica (Gravenhorst, 1829)</v>
      </c>
      <c r="AH10993" s="4" t="str">
        <f>HYPERLINK("#Statut_biogéographique!A"&amp;_xlfn.XMATCH("P",Statut_biogéographique!A:A,2,1),"P")</f>
        <v>P</v>
      </c>
      <c r="AP10993" s="4" t="s">
        <v>376</v>
      </c>
      <c r="AR10993" s="4" t="s">
        <v>377</v>
      </c>
    </row>
    <row r="10994" spans="1:44">
      <c r="A10994" s="4" t="s">
        <v>10753</v>
      </c>
      <c r="B10994" s="4">
        <v>229209</v>
      </c>
      <c r="D10994" s="5">
        <v>229209</v>
      </c>
      <c r="E10994" s="6" t="str">
        <f>HYPERLINK("https://inpn.mnhn.fr/espece/cd_nom/229209","Podoschistus scutellaris (Desvignes, 1856)")</f>
        <v>Podoschistus scutellaris (Desvignes, 1856)</v>
      </c>
      <c r="AH10994" s="4" t="str">
        <f>HYPERLINK("#Statut_biogéographique!A"&amp;_xlfn.XMATCH("P",Statut_biogéographique!A:A,2,1),"P")</f>
        <v>P</v>
      </c>
      <c r="AP10994" s="4" t="s">
        <v>376</v>
      </c>
      <c r="AR10994" s="4" t="s">
        <v>377</v>
      </c>
    </row>
    <row r="10995" spans="1:44">
      <c r="A10995" s="4" t="s">
        <v>10753</v>
      </c>
      <c r="B10995" s="4">
        <v>229211</v>
      </c>
      <c r="D10995" s="5">
        <v>229211</v>
      </c>
      <c r="E10995" s="6" t="str">
        <f>HYPERLINK("https://inpn.mnhn.fr/espece/cd_nom/229211","Neoxorides nitens (Gravenhorst, 1829)")</f>
        <v>Neoxorides nitens (Gravenhorst, 1829)</v>
      </c>
      <c r="AH10995" s="4" t="str">
        <f>HYPERLINK("#Statut_biogéographique!A"&amp;_xlfn.XMATCH("P",Statut_biogéographique!A:A,2,1),"P")</f>
        <v>P</v>
      </c>
      <c r="AP10995" s="4" t="s">
        <v>376</v>
      </c>
      <c r="AR10995" s="4" t="s">
        <v>377</v>
      </c>
    </row>
    <row r="10996" spans="1:44">
      <c r="A10996" s="4" t="s">
        <v>10753</v>
      </c>
      <c r="B10996" s="4">
        <v>229212</v>
      </c>
      <c r="D10996" s="5">
        <v>229212</v>
      </c>
      <c r="E10996" s="6" t="str">
        <f>HYPERLINK("https://inpn.mnhn.fr/espece/cd_nom/229212","Deuteroxorides elevator (Panzer, 1799)")</f>
        <v>Deuteroxorides elevator (Panzer, 1799)</v>
      </c>
      <c r="AH10996" s="4" t="str">
        <f>HYPERLINK("#Statut_biogéographique!A"&amp;_xlfn.XMATCH("P",Statut_biogéographique!A:A,2,1),"P")</f>
        <v>P</v>
      </c>
      <c r="AP10996" s="4" t="s">
        <v>376</v>
      </c>
      <c r="AR10996" s="4" t="s">
        <v>377</v>
      </c>
    </row>
    <row r="10997" spans="1:44">
      <c r="A10997" s="4" t="s">
        <v>10753</v>
      </c>
      <c r="B10997" s="4">
        <v>22924</v>
      </c>
      <c r="D10997" s="5">
        <v>22924</v>
      </c>
      <c r="E10997" s="6" t="str">
        <f>HYPERLINK("https://inpn.mnhn.fr/espece/cd_nom/22924","Chrysotus blepharosceles Kowarz, 1874")</f>
        <v>Chrysotus blepharosceles Kowarz, 1874</v>
      </c>
      <c r="AH10997" s="4" t="str">
        <f>HYPERLINK("#Statut_biogéographique!A"&amp;_xlfn.XMATCH("P",Statut_biogéographique!A:A,2,1),"P")</f>
        <v>P</v>
      </c>
      <c r="AP10997" s="4" t="s">
        <v>376</v>
      </c>
      <c r="AR10997" s="4" t="s">
        <v>377</v>
      </c>
    </row>
    <row r="10998" spans="1:44">
      <c r="A10998" s="4" t="s">
        <v>10753</v>
      </c>
      <c r="B10998" s="4">
        <v>229244</v>
      </c>
      <c r="D10998" s="5">
        <v>229244</v>
      </c>
      <c r="E10998" s="6" t="str">
        <f>HYPERLINK("https://inpn.mnhn.fr/espece/cd_nom/229244","Paraperithous gnathaulax (Thomson, 1877)")</f>
        <v>Paraperithous gnathaulax (Thomson, 1877)</v>
      </c>
      <c r="AH10998" s="4" t="str">
        <f>HYPERLINK("#Statut_biogéographique!A"&amp;_xlfn.XMATCH("P",Statut_biogéographique!A:A,2,1),"P")</f>
        <v>P</v>
      </c>
      <c r="AP10998" s="4" t="s">
        <v>376</v>
      </c>
      <c r="AR10998" s="4" t="s">
        <v>377</v>
      </c>
    </row>
    <row r="10999" spans="1:44">
      <c r="A10999" s="4" t="s">
        <v>10753</v>
      </c>
      <c r="B10999" s="4">
        <v>229258</v>
      </c>
      <c r="D10999" s="5" t="s">
        <v>14047</v>
      </c>
      <c r="E10999" s="6" t="str">
        <f>HYPERLINK("https://inpn.mnhn.fr/espece/cd_nom/229258","Ephialtes manifestator (Linnaeus, 1758)")</f>
        <v>Ephialtes manifestator (Linnaeus, 1758)</v>
      </c>
      <c r="AH10999" s="4" t="str">
        <f>HYPERLINK("#Statut_biogéographique!A"&amp;_xlfn.XMATCH("P",Statut_biogéographique!A:A,2,1),"P")</f>
        <v>P</v>
      </c>
      <c r="AP10999" s="4" t="s">
        <v>376</v>
      </c>
      <c r="AR10999" s="4" t="s">
        <v>377</v>
      </c>
    </row>
    <row r="11000" spans="1:44" ht="30">
      <c r="A11000" s="4" t="s">
        <v>10753</v>
      </c>
      <c r="B11000" s="4">
        <v>229268</v>
      </c>
      <c r="D11000" s="5">
        <v>229268</v>
      </c>
      <c r="E11000" s="6" t="str">
        <f>HYPERLINK("https://inpn.mnhn.fr/espece/cd_nom/229268","Dolichomitus imperator (Kriechbaumer, 1854)")</f>
        <v>Dolichomitus imperator (Kriechbaumer, 1854)</v>
      </c>
      <c r="AH11000" s="4" t="str">
        <f>HYPERLINK("#Statut_biogéographique!A"&amp;_xlfn.XMATCH("P",Statut_biogéographique!A:A,2,1),"P")</f>
        <v>P</v>
      </c>
      <c r="AP11000" s="4" t="s">
        <v>376</v>
      </c>
      <c r="AR11000" s="4" t="s">
        <v>377</v>
      </c>
    </row>
    <row r="11001" spans="1:44" ht="30">
      <c r="A11001" s="4" t="s">
        <v>10753</v>
      </c>
      <c r="B11001" s="4">
        <v>22930</v>
      </c>
      <c r="D11001" s="5" t="s">
        <v>14048</v>
      </c>
      <c r="E11001" s="6" t="str">
        <f>HYPERLINK("https://inpn.mnhn.fr/espece/cd_nom/22930","Chrysotus gramineus (Fallén, 1823)")</f>
        <v>Chrysotus gramineus (Fallén, 1823)</v>
      </c>
      <c r="AH11001" s="4" t="str">
        <f>HYPERLINK("#Statut_biogéographique!A"&amp;_xlfn.XMATCH("P",Statut_biogéographique!A:A,2,1),"P")</f>
        <v>P</v>
      </c>
      <c r="AP11001" s="4" t="s">
        <v>376</v>
      </c>
      <c r="AR11001" s="4" t="s">
        <v>377</v>
      </c>
    </row>
    <row r="11002" spans="1:44">
      <c r="A11002" s="4" t="s">
        <v>10753</v>
      </c>
      <c r="B11002" s="4">
        <v>229307</v>
      </c>
      <c r="D11002" s="5" t="s">
        <v>14049</v>
      </c>
      <c r="E11002" s="6" t="str">
        <f>HYPERLINK("https://inpn.mnhn.fr/espece/cd_nom/229307","Itoplectis maculator (Fabricius, 1775)")</f>
        <v>Itoplectis maculator (Fabricius, 1775)</v>
      </c>
      <c r="AH11002" s="4" t="str">
        <f>HYPERLINK("#Statut_biogéographique!A"&amp;_xlfn.XMATCH("P",Statut_biogéographique!A:A,2,1),"P")</f>
        <v>P</v>
      </c>
      <c r="AP11002" s="4" t="s">
        <v>376</v>
      </c>
      <c r="AR11002" s="4" t="s">
        <v>377</v>
      </c>
    </row>
    <row r="11003" spans="1:44">
      <c r="A11003" s="4" t="s">
        <v>10753</v>
      </c>
      <c r="B11003" s="4">
        <v>229337</v>
      </c>
      <c r="D11003" s="5">
        <v>229337</v>
      </c>
      <c r="E11003" s="6" t="str">
        <f>HYPERLINK("https://inpn.mnhn.fr/espece/cd_nom/229337","Hybrizon buccatus (de Brébisson, 1825)")</f>
        <v>Hybrizon buccatus (de Brébisson, 1825)</v>
      </c>
      <c r="AH11003" s="4" t="str">
        <f>HYPERLINK("#Statut_biogéographique!A"&amp;_xlfn.XMATCH("P",Statut_biogéographique!A:A,2,1),"P")</f>
        <v>P</v>
      </c>
      <c r="AP11003" s="4" t="s">
        <v>376</v>
      </c>
      <c r="AR11003" s="4" t="s">
        <v>377</v>
      </c>
    </row>
    <row r="11004" spans="1:44">
      <c r="A11004" s="4" t="s">
        <v>10753</v>
      </c>
      <c r="B11004" s="4">
        <v>229443</v>
      </c>
      <c r="D11004" s="5" t="s">
        <v>14050</v>
      </c>
      <c r="E11004" s="6" t="str">
        <f>HYPERLINK("https://inpn.mnhn.fr/espece/cd_nom/229443","Ophion obscuratus Fabricius, 1798")</f>
        <v>Ophion obscuratus Fabricius, 1798</v>
      </c>
      <c r="AH11004" s="4" t="str">
        <f>HYPERLINK("#Statut_biogéographique!A"&amp;_xlfn.XMATCH("P",Statut_biogéographique!A:A,2,1),"P")</f>
        <v>P</v>
      </c>
      <c r="AP11004" s="4" t="s">
        <v>376</v>
      </c>
      <c r="AR11004" s="4" t="s">
        <v>377</v>
      </c>
    </row>
    <row r="11005" spans="1:44">
      <c r="A11005" s="4" t="s">
        <v>10753</v>
      </c>
      <c r="B11005" s="4">
        <v>22948</v>
      </c>
      <c r="D11005" s="5" t="s">
        <v>14051</v>
      </c>
      <c r="E11005" s="6" t="str">
        <f>HYPERLINK("https://inpn.mnhn.fr/espece/cd_nom/22948","Diaphorus oculatus (Fallén, 1823)")</f>
        <v>Diaphorus oculatus (Fallén, 1823)</v>
      </c>
      <c r="AH11005" s="4" t="str">
        <f>HYPERLINK("#Statut_biogéographique!A"&amp;_xlfn.XMATCH("P",Statut_biogéographique!A:A,2,1),"P")</f>
        <v>P</v>
      </c>
      <c r="AP11005" s="4" t="s">
        <v>376</v>
      </c>
      <c r="AR11005" s="4" t="s">
        <v>377</v>
      </c>
    </row>
    <row r="11006" spans="1:44">
      <c r="A11006" s="4" t="s">
        <v>10753</v>
      </c>
      <c r="B11006" s="4">
        <v>22957</v>
      </c>
      <c r="D11006" s="5" t="s">
        <v>14052</v>
      </c>
      <c r="E11006" s="6" t="str">
        <f>HYPERLINK("https://inpn.mnhn.fr/espece/cd_nom/22957","Argyra argentina (Meigen, 1824)")</f>
        <v>Argyra argentina (Meigen, 1824)</v>
      </c>
      <c r="AH11006" s="4" t="str">
        <f>HYPERLINK("#Statut_biogéographique!A"&amp;_xlfn.XMATCH("P",Statut_biogéographique!A:A,2,1),"P")</f>
        <v>P</v>
      </c>
      <c r="AP11006" s="4" t="s">
        <v>376</v>
      </c>
      <c r="AR11006" s="4" t="s">
        <v>377</v>
      </c>
    </row>
    <row r="11007" spans="1:44" ht="30">
      <c r="A11007" s="4" t="s">
        <v>10753</v>
      </c>
      <c r="B11007" s="4">
        <v>22958</v>
      </c>
      <c r="D11007" s="5" t="s">
        <v>14053</v>
      </c>
      <c r="E11007" s="6" t="str">
        <f>HYPERLINK("https://inpn.mnhn.fr/espece/cd_nom/22958","Argyra argyria (Meigen, 1824)")</f>
        <v>Argyra argyria (Meigen, 1824)</v>
      </c>
      <c r="AH11007" s="4" t="str">
        <f>HYPERLINK("#Statut_biogéographique!A"&amp;_xlfn.XMATCH("P",Statut_biogéographique!A:A,2,1),"P")</f>
        <v>P</v>
      </c>
      <c r="AP11007" s="4" t="s">
        <v>376</v>
      </c>
      <c r="AR11007" s="4" t="s">
        <v>377</v>
      </c>
    </row>
    <row r="11008" spans="1:44">
      <c r="A11008" s="4" t="s">
        <v>10753</v>
      </c>
      <c r="B11008" s="4">
        <v>22962</v>
      </c>
      <c r="D11008" s="5" t="s">
        <v>14054</v>
      </c>
      <c r="E11008" s="6" t="str">
        <f>HYPERLINK("https://inpn.mnhn.fr/espece/cd_nom/22962","Argyra auricollis (Meigen, 1824)")</f>
        <v>Argyra auricollis (Meigen, 1824)</v>
      </c>
      <c r="AH11008" s="4" t="str">
        <f>HYPERLINK("#Statut_biogéographique!A"&amp;_xlfn.XMATCH("P",Statut_biogéographique!A:A,2,1),"P")</f>
        <v>P</v>
      </c>
      <c r="AP11008" s="4" t="s">
        <v>376</v>
      </c>
      <c r="AR11008" s="4" t="s">
        <v>377</v>
      </c>
    </row>
    <row r="11009" spans="1:44">
      <c r="A11009" s="4" t="s">
        <v>10753</v>
      </c>
      <c r="B11009" s="4">
        <v>229629</v>
      </c>
      <c r="D11009" s="5">
        <v>229629</v>
      </c>
      <c r="E11009" s="6" t="str">
        <f>HYPERLINK("https://inpn.mnhn.fr/espece/cd_nom/229629","Tycherus ischiomelinus (Gravenhorst, 1829)")</f>
        <v>Tycherus ischiomelinus (Gravenhorst, 1829)</v>
      </c>
      <c r="AH11009" s="4" t="str">
        <f>HYPERLINK("#Statut_biogéographique!A"&amp;_xlfn.XMATCH("P",Statut_biogéographique!A:A,2,1),"P")</f>
        <v>P</v>
      </c>
      <c r="AP11009" s="4" t="s">
        <v>376</v>
      </c>
      <c r="AR11009" s="4" t="s">
        <v>377</v>
      </c>
    </row>
    <row r="11010" spans="1:44" ht="30">
      <c r="A11010" s="4" t="s">
        <v>10753</v>
      </c>
      <c r="B11010" s="4">
        <v>22963</v>
      </c>
      <c r="D11010" s="5" t="s">
        <v>14055</v>
      </c>
      <c r="E11010" s="6" t="str">
        <f>HYPERLINK("https://inpn.mnhn.fr/espece/cd_nom/22963","Argyra diaphana (Fabricius, 1775)")</f>
        <v>Argyra diaphana (Fabricius, 1775)</v>
      </c>
      <c r="AH11010" s="4" t="str">
        <f>HYPERLINK("#Statut_biogéographique!A"&amp;_xlfn.XMATCH("P",Statut_biogéographique!A:A,2,1),"P")</f>
        <v>P</v>
      </c>
      <c r="AP11010" s="4" t="s">
        <v>376</v>
      </c>
      <c r="AR11010" s="4" t="s">
        <v>377</v>
      </c>
    </row>
    <row r="11011" spans="1:44">
      <c r="A11011" s="4" t="s">
        <v>10753</v>
      </c>
      <c r="B11011" s="4">
        <v>22964</v>
      </c>
      <c r="D11011" s="5" t="s">
        <v>14056</v>
      </c>
      <c r="E11011" s="6" t="str">
        <f>HYPERLINK("https://inpn.mnhn.fr/espece/cd_nom/22964","Argyra elongata (Zetterstedt, 1843)")</f>
        <v>Argyra elongata (Zetterstedt, 1843)</v>
      </c>
      <c r="AH11011" s="4" t="str">
        <f>HYPERLINK("#Statut_biogéographique!A"&amp;_xlfn.XMATCH("P",Statut_biogéographique!A:A,2,1),"P")</f>
        <v>P</v>
      </c>
      <c r="AP11011" s="4" t="s">
        <v>376</v>
      </c>
      <c r="AR11011" s="4" t="s">
        <v>377</v>
      </c>
    </row>
    <row r="11012" spans="1:44" ht="30">
      <c r="A11012" s="4" t="s">
        <v>10753</v>
      </c>
      <c r="B11012" s="4">
        <v>229649</v>
      </c>
      <c r="D11012" s="5">
        <v>229649</v>
      </c>
      <c r="E11012" s="6" t="str">
        <f>HYPERLINK("https://inpn.mnhn.fr/espece/cd_nom/229649","Stenodontus marginellus (Gravenhorst, 1829)")</f>
        <v>Stenodontus marginellus (Gravenhorst, 1829)</v>
      </c>
      <c r="AH11012" s="4" t="str">
        <f>HYPERLINK("#Statut_biogéographique!A"&amp;_xlfn.XMATCH("P",Statut_biogéographique!A:A,2,1),"P")</f>
        <v>P</v>
      </c>
      <c r="AP11012" s="4" t="s">
        <v>376</v>
      </c>
      <c r="AR11012" s="4" t="s">
        <v>377</v>
      </c>
    </row>
    <row r="11013" spans="1:44">
      <c r="A11013" s="4" t="s">
        <v>10753</v>
      </c>
      <c r="B11013" s="4">
        <v>22965</v>
      </c>
      <c r="D11013" s="5" t="s">
        <v>14057</v>
      </c>
      <c r="E11013" s="6" t="str">
        <f>HYPERLINK("https://inpn.mnhn.fr/espece/cd_nom/22965","Argyra grata Loew, 1857")</f>
        <v>Argyra grata Loew, 1857</v>
      </c>
      <c r="AH11013" s="4" t="str">
        <f>HYPERLINK("#Statut_biogéographique!A"&amp;_xlfn.XMATCH("P",Statut_biogéographique!A:A,2,1),"P")</f>
        <v>P</v>
      </c>
      <c r="AP11013" s="4" t="s">
        <v>376</v>
      </c>
      <c r="AR11013" s="4" t="s">
        <v>377</v>
      </c>
    </row>
    <row r="11014" spans="1:44">
      <c r="A11014" s="4" t="s">
        <v>10753</v>
      </c>
      <c r="B11014" s="4">
        <v>229658</v>
      </c>
      <c r="D11014" s="5">
        <v>229658</v>
      </c>
      <c r="E11014" s="6" t="str">
        <f>HYPERLINK("https://inpn.mnhn.fr/espece/cd_nom/229658","Phaeogenes melanogonos (Gmelin, 1790)")</f>
        <v>Phaeogenes melanogonos (Gmelin, 1790)</v>
      </c>
      <c r="AH11014" s="4" t="str">
        <f>HYPERLINK("#Statut_biogéographique!A"&amp;_xlfn.XMATCH("P",Statut_biogéographique!A:A,2,1),"P")</f>
        <v>P</v>
      </c>
      <c r="AP11014" s="4" t="s">
        <v>376</v>
      </c>
      <c r="AR11014" s="4" t="s">
        <v>377</v>
      </c>
    </row>
    <row r="11015" spans="1:44">
      <c r="A11015" s="4" t="s">
        <v>10753</v>
      </c>
      <c r="B11015" s="4">
        <v>229666</v>
      </c>
      <c r="D11015" s="5">
        <v>229666</v>
      </c>
      <c r="E11015" s="6" t="str">
        <f>HYPERLINK("https://inpn.mnhn.fr/espece/cd_nom/229666","Oronotus binotatus (Gravenhorst, 1829)")</f>
        <v>Oronotus binotatus (Gravenhorst, 1829)</v>
      </c>
      <c r="AH11015" s="4" t="str">
        <f>HYPERLINK("#Statut_biogéographique!A"&amp;_xlfn.XMATCH("P",Statut_biogéographique!A:A,2,1),"P")</f>
        <v>P</v>
      </c>
      <c r="AP11015" s="4" t="s">
        <v>376</v>
      </c>
      <c r="AR11015" s="4" t="s">
        <v>377</v>
      </c>
    </row>
    <row r="11016" spans="1:44">
      <c r="A11016" s="4" t="s">
        <v>10753</v>
      </c>
      <c r="B11016" s="4">
        <v>229667</v>
      </c>
      <c r="D11016" s="5">
        <v>229667</v>
      </c>
      <c r="E11016" s="6" t="str">
        <f>HYPERLINK("https://inpn.mnhn.fr/espece/cd_nom/229667","Oiorhinus pallipalpis Wesmael, 1845")</f>
        <v>Oiorhinus pallipalpis Wesmael, 1845</v>
      </c>
      <c r="AH11016" s="4" t="str">
        <f>HYPERLINK("#Statut_biogéographique!A"&amp;_xlfn.XMATCH("P",Statut_biogéographique!A:A,2,1),"P")</f>
        <v>P</v>
      </c>
      <c r="AP11016" s="4" t="s">
        <v>376</v>
      </c>
      <c r="AR11016" s="4" t="s">
        <v>377</v>
      </c>
    </row>
    <row r="11017" spans="1:44">
      <c r="A11017" s="4" t="s">
        <v>10753</v>
      </c>
      <c r="B11017" s="4">
        <v>229669</v>
      </c>
      <c r="D11017" s="5">
        <v>229669</v>
      </c>
      <c r="E11017" s="6" t="str">
        <f>HYPERLINK("https://inpn.mnhn.fr/espece/cd_nom/229669","Misetus oculatus Wesmael, 1845")</f>
        <v>Misetus oculatus Wesmael, 1845</v>
      </c>
      <c r="AH11017" s="4" t="str">
        <f>HYPERLINK("#Statut_biogéographique!A"&amp;_xlfn.XMATCH("P",Statut_biogéographique!A:A,2,1),"P")</f>
        <v>P</v>
      </c>
      <c r="AP11017" s="4" t="s">
        <v>376</v>
      </c>
      <c r="AR11017" s="4" t="s">
        <v>377</v>
      </c>
    </row>
    <row r="11018" spans="1:44">
      <c r="A11018" s="4" t="s">
        <v>10753</v>
      </c>
      <c r="B11018" s="4">
        <v>22967</v>
      </c>
      <c r="D11018" s="5" t="s">
        <v>14058</v>
      </c>
      <c r="E11018" s="6" t="str">
        <f>HYPERLINK("https://inpn.mnhn.fr/espece/cd_nom/22967","Argyra ilonae Gosseries, 1988")</f>
        <v>Argyra ilonae Gosseries, 1988</v>
      </c>
      <c r="AH11018" s="4" t="str">
        <f>HYPERLINK("#Statut_biogéographique!A"&amp;_xlfn.XMATCH("P",Statut_biogéographique!A:A,2,1),"P")</f>
        <v>P</v>
      </c>
      <c r="AP11018" s="4" t="s">
        <v>376</v>
      </c>
      <c r="AR11018" s="4" t="s">
        <v>377</v>
      </c>
    </row>
    <row r="11019" spans="1:44">
      <c r="A11019" s="4" t="s">
        <v>10753</v>
      </c>
      <c r="B11019" s="4">
        <v>229682</v>
      </c>
      <c r="D11019" s="5" t="s">
        <v>14059</v>
      </c>
      <c r="E11019" s="6" t="str">
        <f>HYPERLINK("https://inpn.mnhn.fr/espece/cd_nom/229682","Heterischnus truncator (Fabricius, 1798)")</f>
        <v>Heterischnus truncator (Fabricius, 1798)</v>
      </c>
      <c r="AH11019" s="4" t="str">
        <f>HYPERLINK("#Statut_biogéographique!A"&amp;_xlfn.XMATCH("P",Statut_biogéographique!A:A,2,1),"P")</f>
        <v>P</v>
      </c>
      <c r="AP11019" s="4" t="s">
        <v>376</v>
      </c>
      <c r="AR11019" s="4" t="s">
        <v>377</v>
      </c>
    </row>
    <row r="11020" spans="1:44">
      <c r="A11020" s="4" t="s">
        <v>10753</v>
      </c>
      <c r="B11020" s="4">
        <v>229693</v>
      </c>
      <c r="D11020" s="5">
        <v>229693</v>
      </c>
      <c r="E11020" s="6" t="str">
        <f>HYPERLINK("https://inpn.mnhn.fr/espece/cd_nom/229693","Dirophanes callopus (Wesmael, 1845)")</f>
        <v>Dirophanes callopus (Wesmael, 1845)</v>
      </c>
      <c r="AH11020" s="4" t="str">
        <f>HYPERLINK("#Statut_biogéographique!A"&amp;_xlfn.XMATCH("P",Statut_biogéographique!A:A,2,1),"P")</f>
        <v>P</v>
      </c>
      <c r="AP11020" s="4" t="s">
        <v>376</v>
      </c>
      <c r="AR11020" s="4" t="s">
        <v>377</v>
      </c>
    </row>
    <row r="11021" spans="1:44">
      <c r="A11021" s="4" t="s">
        <v>10753</v>
      </c>
      <c r="B11021" s="4">
        <v>229695</v>
      </c>
      <c r="D11021" s="5" t="s">
        <v>14060</v>
      </c>
      <c r="E11021" s="6" t="str">
        <f>HYPERLINK("https://inpn.mnhn.fr/espece/cd_nom/229695","Dirophanes invisor (Thunberg, 1824)")</f>
        <v>Dirophanes invisor (Thunberg, 1824)</v>
      </c>
      <c r="AH11021" s="4" t="str">
        <f>HYPERLINK("#Statut_biogéographique!A"&amp;_xlfn.XMATCH("P",Statut_biogéographique!A:A,2,1),"P")</f>
        <v>P</v>
      </c>
      <c r="AP11021" s="4" t="s">
        <v>376</v>
      </c>
      <c r="AR11021" s="4" t="s">
        <v>377</v>
      </c>
    </row>
    <row r="11022" spans="1:44">
      <c r="A11022" s="4" t="s">
        <v>10753</v>
      </c>
      <c r="B11022" s="4">
        <v>229696</v>
      </c>
      <c r="D11022" s="5">
        <v>229696</v>
      </c>
      <c r="E11022" s="6" t="str">
        <f>HYPERLINK("https://inpn.mnhn.fr/espece/cd_nom/229696","Dirophanes maculicornis (Stephens, 1835)")</f>
        <v>Dirophanes maculicornis (Stephens, 1835)</v>
      </c>
      <c r="AH11022" s="4" t="str">
        <f>HYPERLINK("#Statut_biogéographique!A"&amp;_xlfn.XMATCH("P",Statut_biogéographique!A:A,2,1),"P")</f>
        <v>P</v>
      </c>
      <c r="AP11022" s="4" t="s">
        <v>376</v>
      </c>
      <c r="AR11022" s="4" t="s">
        <v>377</v>
      </c>
    </row>
    <row r="11023" spans="1:44">
      <c r="A11023" s="4" t="s">
        <v>10753</v>
      </c>
      <c r="B11023" s="4">
        <v>22970</v>
      </c>
      <c r="D11023" s="5" t="s">
        <v>14061</v>
      </c>
      <c r="E11023" s="6" t="str">
        <f>HYPERLINK("https://inpn.mnhn.fr/espece/cd_nom/22970","Argyra leucocephala (Meigen, 1824)")</f>
        <v>Argyra leucocephala (Meigen, 1824)</v>
      </c>
      <c r="AH11023" s="4" t="str">
        <f>HYPERLINK("#Statut_biogéographique!A"&amp;_xlfn.XMATCH("P",Statut_biogéographique!A:A,2,1),"P")</f>
        <v>P</v>
      </c>
      <c r="AP11023" s="4" t="s">
        <v>376</v>
      </c>
      <c r="AR11023" s="4" t="s">
        <v>377</v>
      </c>
    </row>
    <row r="11024" spans="1:44">
      <c r="A11024" s="4" t="s">
        <v>10753</v>
      </c>
      <c r="B11024" s="4">
        <v>22973</v>
      </c>
      <c r="D11024" s="5" t="s">
        <v>14062</v>
      </c>
      <c r="E11024" s="6" t="str">
        <f>HYPERLINK("https://inpn.mnhn.fr/espece/cd_nom/22973","Argyra vestita (Wiedemann, 1817)")</f>
        <v>Argyra vestita (Wiedemann, 1817)</v>
      </c>
      <c r="AH11024" s="4" t="str">
        <f>HYPERLINK("#Statut_biogéographique!A"&amp;_xlfn.XMATCH("P",Statut_biogéographique!A:A,2,1),"P")</f>
        <v>P</v>
      </c>
      <c r="AP11024" s="4" t="s">
        <v>376</v>
      </c>
      <c r="AR11024" s="4" t="s">
        <v>377</v>
      </c>
    </row>
    <row r="11025" spans="1:44">
      <c r="A11025" s="4" t="s">
        <v>10753</v>
      </c>
      <c r="B11025" s="4">
        <v>229732</v>
      </c>
      <c r="D11025" s="5">
        <v>229732</v>
      </c>
      <c r="E11025" s="6" t="str">
        <f>HYPERLINK("https://inpn.mnhn.fr/espece/cd_nom/229732","Diadromus troglodytes (Gravenhorst, 1829)")</f>
        <v>Diadromus troglodytes (Gravenhorst, 1829)</v>
      </c>
      <c r="AH11025" s="4" t="str">
        <f>HYPERLINK("#Statut_biogéographique!A"&amp;_xlfn.XMATCH("P",Statut_biogéographique!A:A,2,1),"P")</f>
        <v>P</v>
      </c>
      <c r="AP11025" s="4" t="s">
        <v>376</v>
      </c>
      <c r="AR11025" s="4" t="s">
        <v>377</v>
      </c>
    </row>
    <row r="11026" spans="1:44">
      <c r="A11026" s="4" t="s">
        <v>10753</v>
      </c>
      <c r="B11026" s="4">
        <v>22976</v>
      </c>
      <c r="D11026" s="5" t="s">
        <v>14063</v>
      </c>
      <c r="E11026" s="6" t="str">
        <f>HYPERLINK("https://inpn.mnhn.fr/espece/cd_nom/22976","Nematoproctus distendens (Meigen, 1824)")</f>
        <v>Nematoproctus distendens (Meigen, 1824)</v>
      </c>
      <c r="AH11026" s="4" t="str">
        <f>HYPERLINK("#Statut_biogéographique!A"&amp;_xlfn.XMATCH("P",Statut_biogéographique!A:A,2,1),"P")</f>
        <v>P</v>
      </c>
      <c r="AP11026" s="4" t="s">
        <v>376</v>
      </c>
      <c r="AR11026" s="4" t="s">
        <v>377</v>
      </c>
    </row>
    <row r="11027" spans="1:44">
      <c r="A11027" s="4" t="s">
        <v>10753</v>
      </c>
      <c r="B11027" s="4">
        <v>229765</v>
      </c>
      <c r="D11027" s="5" t="s">
        <v>14064</v>
      </c>
      <c r="E11027" s="6" t="str">
        <f>HYPERLINK("https://inpn.mnhn.fr/espece/cd_nom/229765","Callajoppa exaltatoria (Panzer, 1804)")</f>
        <v>Callajoppa exaltatoria (Panzer, 1804)</v>
      </c>
      <c r="AH11027" s="4" t="str">
        <f>HYPERLINK("#Statut_biogéographique!A"&amp;_xlfn.XMATCH("P",Statut_biogéographique!A:A,2,1),"P")</f>
        <v>P</v>
      </c>
      <c r="AP11027" s="4" t="s">
        <v>376</v>
      </c>
      <c r="AR11027" s="4" t="s">
        <v>377</v>
      </c>
    </row>
    <row r="11028" spans="1:44">
      <c r="A11028" s="4" t="s">
        <v>10753</v>
      </c>
      <c r="B11028" s="4">
        <v>229768</v>
      </c>
      <c r="D11028" s="5">
        <v>229768</v>
      </c>
      <c r="E11028" s="6" t="str">
        <f>HYPERLINK("https://inpn.mnhn.fr/espece/cd_nom/229768","Eurylabus tristis (Gravenhorst, 1829)")</f>
        <v>Eurylabus tristis (Gravenhorst, 1829)</v>
      </c>
      <c r="AH11028" s="4" t="str">
        <f>HYPERLINK("#Statut_biogéographique!A"&amp;_xlfn.XMATCH("P",Statut_biogéographique!A:A,2,1),"P")</f>
        <v>P</v>
      </c>
      <c r="AP11028" s="4" t="s">
        <v>376</v>
      </c>
      <c r="AR11028" s="4" t="s">
        <v>377</v>
      </c>
    </row>
    <row r="11029" spans="1:44">
      <c r="A11029" s="4" t="s">
        <v>10753</v>
      </c>
      <c r="B11029" s="4">
        <v>229769</v>
      </c>
      <c r="D11029" s="5">
        <v>229769</v>
      </c>
      <c r="E11029" s="6" t="str">
        <f>HYPERLINK("https://inpn.mnhn.fr/espece/cd_nom/229769","Goedartia alboguttata (Gravenhorst, 1829)")</f>
        <v>Goedartia alboguttata (Gravenhorst, 1829)</v>
      </c>
      <c r="AH11029" s="4" t="str">
        <f>HYPERLINK("#Statut_biogéographique!A"&amp;_xlfn.XMATCH("P",Statut_biogéographique!A:A,2,1),"P")</f>
        <v>P</v>
      </c>
      <c r="AP11029" s="4" t="s">
        <v>376</v>
      </c>
      <c r="AR11029" s="4" t="s">
        <v>377</v>
      </c>
    </row>
    <row r="11030" spans="1:44">
      <c r="A11030" s="4" t="s">
        <v>10753</v>
      </c>
      <c r="B11030" s="4">
        <v>229772</v>
      </c>
      <c r="D11030" s="5">
        <v>229772</v>
      </c>
      <c r="E11030" s="6" t="str">
        <f>HYPERLINK("https://inpn.mnhn.fr/espece/cd_nom/229772","Syspasis haesitator (Wesmael, 1845)")</f>
        <v>Syspasis haesitator (Wesmael, 1845)</v>
      </c>
      <c r="AH11030" s="4" t="str">
        <f>HYPERLINK("#Statut_biogéographique!A"&amp;_xlfn.XMATCH("P",Statut_biogéographique!A:A,2,1),"P")</f>
        <v>P</v>
      </c>
      <c r="AP11030" s="4" t="s">
        <v>376</v>
      </c>
      <c r="AR11030" s="4" t="s">
        <v>377</v>
      </c>
    </row>
    <row r="11031" spans="1:44">
      <c r="A11031" s="4" t="s">
        <v>10753</v>
      </c>
      <c r="B11031" s="4">
        <v>229777</v>
      </c>
      <c r="D11031" s="5">
        <v>229777</v>
      </c>
      <c r="E11031" s="6" t="str">
        <f>HYPERLINK("https://inpn.mnhn.fr/espece/cd_nom/229777","Syspasis rufina (Gravenhorst, 1820)")</f>
        <v>Syspasis rufina (Gravenhorst, 1820)</v>
      </c>
      <c r="AH11031" s="4" t="str">
        <f>HYPERLINK("#Statut_biogéographique!A"&amp;_xlfn.XMATCH("P",Statut_biogéographique!A:A,2,1),"P")</f>
        <v>P</v>
      </c>
      <c r="AP11031" s="4" t="s">
        <v>376</v>
      </c>
      <c r="AR11031" s="4" t="s">
        <v>377</v>
      </c>
    </row>
    <row r="11032" spans="1:44">
      <c r="A11032" s="4" t="s">
        <v>10753</v>
      </c>
      <c r="B11032" s="4">
        <v>229782</v>
      </c>
      <c r="D11032" s="5" t="s">
        <v>14065</v>
      </c>
      <c r="E11032" s="6" t="str">
        <f>HYPERLINK("https://inpn.mnhn.fr/espece/cd_nom/229782","Lymantrichneumon disparis (Poda, 1761)")</f>
        <v>Lymantrichneumon disparis (Poda, 1761)</v>
      </c>
      <c r="AH11032" s="4" t="str">
        <f>HYPERLINK("#Statut_biogéographique!A"&amp;_xlfn.XMATCH("P",Statut_biogéographique!A:A,2,1),"P")</f>
        <v>P</v>
      </c>
      <c r="AP11032" s="4" t="s">
        <v>376</v>
      </c>
      <c r="AR11032" s="4" t="s">
        <v>377</v>
      </c>
    </row>
    <row r="11033" spans="1:44">
      <c r="A11033" s="4" t="s">
        <v>10753</v>
      </c>
      <c r="B11033" s="4">
        <v>229783</v>
      </c>
      <c r="D11033" s="5">
        <v>229783</v>
      </c>
      <c r="E11033" s="6" t="str">
        <f>HYPERLINK("https://inpn.mnhn.fr/espece/cd_nom/229783","Heresiarches eudoxius (Wesmael, 1845)")</f>
        <v>Heresiarches eudoxius (Wesmael, 1845)</v>
      </c>
      <c r="AH11033" s="4" t="str">
        <f>HYPERLINK("#Statut_biogéographique!A"&amp;_xlfn.XMATCH("P",Statut_biogéographique!A:A,2,1),"P")</f>
        <v>P</v>
      </c>
      <c r="AP11033" s="4" t="s">
        <v>376</v>
      </c>
      <c r="AR11033" s="4" t="s">
        <v>377</v>
      </c>
    </row>
    <row r="11034" spans="1:44" ht="30">
      <c r="A11034" s="4" t="s">
        <v>10753</v>
      </c>
      <c r="B11034" s="4">
        <v>229788</v>
      </c>
      <c r="D11034" s="5" t="s">
        <v>14066</v>
      </c>
      <c r="E11034" s="6" t="str">
        <f>HYPERLINK("https://inpn.mnhn.fr/espece/cd_nom/229788","Coelichneumon biannulatus (Gravenhorst, 1820)")</f>
        <v>Coelichneumon biannulatus (Gravenhorst, 1820)</v>
      </c>
      <c r="AH11034" s="4" t="str">
        <f>HYPERLINK("#Statut_biogéographique!A"&amp;_xlfn.XMATCH("P",Statut_biogéographique!A:A,2,1),"P")</f>
        <v>P</v>
      </c>
      <c r="AP11034" s="4" t="s">
        <v>376</v>
      </c>
      <c r="AR11034" s="4" t="s">
        <v>377</v>
      </c>
    </row>
    <row r="11035" spans="1:44" ht="30">
      <c r="A11035" s="4" t="s">
        <v>10753</v>
      </c>
      <c r="B11035" s="4">
        <v>229792</v>
      </c>
      <c r="D11035" s="5">
        <v>229792</v>
      </c>
      <c r="E11035" s="6" t="str">
        <f>HYPERLINK("https://inpn.mnhn.fr/espece/cd_nom/229792","Coelichneumon castaniventris (Gravenhorst, 1829)")</f>
        <v>Coelichneumon castaniventris (Gravenhorst, 1829)</v>
      </c>
      <c r="AH11035" s="4" t="str">
        <f>HYPERLINK("#Statut_biogéographique!A"&amp;_xlfn.XMATCH("P",Statut_biogéographique!A:A,2,1),"P")</f>
        <v>P</v>
      </c>
      <c r="AP11035" s="4" t="s">
        <v>376</v>
      </c>
      <c r="AR11035" s="4" t="s">
        <v>377</v>
      </c>
    </row>
    <row r="11036" spans="1:44">
      <c r="A11036" s="4" t="s">
        <v>10753</v>
      </c>
      <c r="B11036" s="4">
        <v>229797</v>
      </c>
      <c r="D11036" s="5" t="s">
        <v>14067</v>
      </c>
      <c r="E11036" s="6" t="str">
        <f>HYPERLINK("https://inpn.mnhn.fr/espece/cd_nom/229797","Coelichneumon deliratorius (Linnaeus, 1758)")</f>
        <v>Coelichneumon deliratorius (Linnaeus, 1758)</v>
      </c>
      <c r="AH11036" s="4" t="str">
        <f>HYPERLINK("#Statut_biogéographique!A"&amp;_xlfn.XMATCH("P",Statut_biogéographique!A:A,2,1),"P")</f>
        <v>P</v>
      </c>
      <c r="AP11036" s="4" t="s">
        <v>376</v>
      </c>
      <c r="AR11036" s="4" t="s">
        <v>377</v>
      </c>
    </row>
    <row r="11037" spans="1:44" ht="30">
      <c r="A11037" s="4" t="s">
        <v>10753</v>
      </c>
      <c r="B11037" s="4">
        <v>229798</v>
      </c>
      <c r="D11037" s="5">
        <v>229798</v>
      </c>
      <c r="E11037" s="6" t="str">
        <f>HYPERLINK("https://inpn.mnhn.fr/espece/cd_nom/229798","Coelichneumon desinatorius (Thunberg, 1824)")</f>
        <v>Coelichneumon desinatorius (Thunberg, 1824)</v>
      </c>
      <c r="AH11037" s="4" t="str">
        <f>HYPERLINK("#Statut_biogéographique!A"&amp;_xlfn.XMATCH("P",Statut_biogéographique!A:A,2,1),"P")</f>
        <v>P</v>
      </c>
      <c r="AP11037" s="4" t="s">
        <v>376</v>
      </c>
      <c r="AR11037" s="4" t="s">
        <v>377</v>
      </c>
    </row>
    <row r="11038" spans="1:44" ht="30">
      <c r="A11038" s="4" t="s">
        <v>10753</v>
      </c>
      <c r="B11038" s="4">
        <v>229806</v>
      </c>
      <c r="D11038" s="5" t="s">
        <v>14068</v>
      </c>
      <c r="E11038" s="6" t="str">
        <f>HYPERLINK("https://inpn.mnhn.fr/espece/cd_nom/229806","Coelichneumon leucocerus (Gravenhorst, 1820)")</f>
        <v>Coelichneumon leucocerus (Gravenhorst, 1820)</v>
      </c>
      <c r="AH11038" s="4" t="str">
        <f>HYPERLINK("#Statut_biogéographique!A"&amp;_xlfn.XMATCH("P",Statut_biogéographique!A:A,2,1),"P")</f>
        <v>P</v>
      </c>
      <c r="AP11038" s="4" t="s">
        <v>376</v>
      </c>
      <c r="AR11038" s="4" t="s">
        <v>377</v>
      </c>
    </row>
    <row r="11039" spans="1:44">
      <c r="A11039" s="4" t="s">
        <v>10753</v>
      </c>
      <c r="B11039" s="4">
        <v>229815</v>
      </c>
      <c r="D11039" s="5">
        <v>229815</v>
      </c>
      <c r="E11039" s="6" t="str">
        <f>HYPERLINK("https://inpn.mnhn.fr/espece/cd_nom/229815","Coelichneumon ruficauda (Wesmael, 1845)")</f>
        <v>Coelichneumon ruficauda (Wesmael, 1845)</v>
      </c>
      <c r="AH11039" s="4" t="str">
        <f>HYPERLINK("#Statut_biogéographique!A"&amp;_xlfn.XMATCH("P",Statut_biogéographique!A:A,2,1),"P")</f>
        <v>P</v>
      </c>
      <c r="AP11039" s="4" t="s">
        <v>376</v>
      </c>
      <c r="AR11039" s="4" t="s">
        <v>377</v>
      </c>
    </row>
    <row r="11040" spans="1:44">
      <c r="A11040" s="4" t="s">
        <v>10753</v>
      </c>
      <c r="B11040" s="4">
        <v>229821</v>
      </c>
      <c r="D11040" s="5" t="s">
        <v>14069</v>
      </c>
      <c r="E11040" s="6" t="str">
        <f>HYPERLINK("https://inpn.mnhn.fr/espece/cd_nom/229821","Amblyjoppa fuscipennis (Wesmael, 1845)")</f>
        <v>Amblyjoppa fuscipennis (Wesmael, 1845)</v>
      </c>
      <c r="AH11040" s="4" t="str">
        <f>HYPERLINK("#Statut_biogéographique!A"&amp;_xlfn.XMATCH("P",Statut_biogéographique!A:A,2,1),"P")</f>
        <v>P</v>
      </c>
      <c r="AP11040" s="4" t="s">
        <v>376</v>
      </c>
      <c r="AR11040" s="4" t="s">
        <v>377</v>
      </c>
    </row>
    <row r="11041" spans="1:44">
      <c r="A11041" s="4" t="s">
        <v>10753</v>
      </c>
      <c r="B11041" s="4">
        <v>229824</v>
      </c>
      <c r="D11041" s="5">
        <v>229824</v>
      </c>
      <c r="E11041" s="6" t="str">
        <f>HYPERLINK("https://inpn.mnhn.fr/espece/cd_nom/229824","Zanthojoppa lutea (Gravenhorst, 1829)")</f>
        <v>Zanthojoppa lutea (Gravenhorst, 1829)</v>
      </c>
      <c r="AH11041" s="4" t="str">
        <f>HYPERLINK("#Statut_biogéographique!A"&amp;_xlfn.XMATCH("P",Statut_biogéographique!A:A,2,1),"P")</f>
        <v>P</v>
      </c>
      <c r="AP11041" s="4" t="s">
        <v>376</v>
      </c>
      <c r="AR11041" s="4" t="s">
        <v>377</v>
      </c>
    </row>
    <row r="11042" spans="1:44">
      <c r="A11042" s="4" t="s">
        <v>10753</v>
      </c>
      <c r="B11042" s="4">
        <v>229825</v>
      </c>
      <c r="D11042" s="5">
        <v>229825</v>
      </c>
      <c r="E11042" s="6" t="str">
        <f>HYPERLINK("https://inpn.mnhn.fr/espece/cd_nom/229825","Vulgichneumon bimaculatus (Schrank, 1776)")</f>
        <v>Vulgichneumon bimaculatus (Schrank, 1776)</v>
      </c>
      <c r="AH11042" s="4" t="str">
        <f>HYPERLINK("#Statut_biogéographique!A"&amp;_xlfn.XMATCH("P",Statut_biogéographique!A:A,2,1),"P")</f>
        <v>P</v>
      </c>
      <c r="AP11042" s="4" t="s">
        <v>376</v>
      </c>
      <c r="AR11042" s="4" t="s">
        <v>377</v>
      </c>
    </row>
    <row r="11043" spans="1:44">
      <c r="A11043" s="4" t="s">
        <v>10753</v>
      </c>
      <c r="B11043" s="4">
        <v>229830</v>
      </c>
      <c r="D11043" s="5" t="s">
        <v>14070</v>
      </c>
      <c r="E11043" s="6" t="str">
        <f>HYPERLINK("https://inpn.mnhn.fr/espece/cd_nom/229830","Vulgichneumon suavis (Gravenhorst, 1820)")</f>
        <v>Vulgichneumon suavis (Gravenhorst, 1820)</v>
      </c>
      <c r="AH11043" s="4" t="str">
        <f>HYPERLINK("#Statut_biogéographique!A"&amp;_xlfn.XMATCH("P",Statut_biogéographique!A:A,2,1),"P")</f>
        <v>P</v>
      </c>
      <c r="AP11043" s="4" t="s">
        <v>376</v>
      </c>
      <c r="AR11043" s="4" t="s">
        <v>377</v>
      </c>
    </row>
    <row r="11044" spans="1:44" ht="30">
      <c r="A11044" s="4" t="s">
        <v>10753</v>
      </c>
      <c r="B11044" s="4">
        <v>229835</v>
      </c>
      <c r="D11044" s="5" t="s">
        <v>14071</v>
      </c>
      <c r="E11044" s="6" t="str">
        <f>HYPERLINK("https://inpn.mnhn.fr/espece/cd_nom/229835","Virgichneumon digrammus (Gravenhorst, 1820)")</f>
        <v>Virgichneumon digrammus (Gravenhorst, 1820)</v>
      </c>
      <c r="AH11044" s="4" t="str">
        <f>HYPERLINK("#Statut_biogéographique!A"&amp;_xlfn.XMATCH("P",Statut_biogéographique!A:A,2,1),"P")</f>
        <v>P</v>
      </c>
      <c r="AP11044" s="4" t="s">
        <v>376</v>
      </c>
      <c r="AR11044" s="4" t="s">
        <v>377</v>
      </c>
    </row>
    <row r="11045" spans="1:44" ht="30">
      <c r="A11045" s="4" t="s">
        <v>10753</v>
      </c>
      <c r="B11045" s="4">
        <v>229836</v>
      </c>
      <c r="D11045" s="5">
        <v>229836</v>
      </c>
      <c r="E11045" s="6" t="str">
        <f>HYPERLINK("https://inpn.mnhn.fr/espece/cd_nom/229836","Virgichneumon dumeticola (Gravenhorst, 1829)")</f>
        <v>Virgichneumon dumeticola (Gravenhorst, 1829)</v>
      </c>
      <c r="AH11045" s="4" t="str">
        <f>HYPERLINK("#Statut_biogéographique!A"&amp;_xlfn.XMATCH("P",Statut_biogéographique!A:A,2,1),"P")</f>
        <v>P</v>
      </c>
      <c r="AP11045" s="4" t="s">
        <v>376</v>
      </c>
      <c r="AR11045" s="4" t="s">
        <v>377</v>
      </c>
    </row>
    <row r="11046" spans="1:44">
      <c r="A11046" s="4" t="s">
        <v>10753</v>
      </c>
      <c r="B11046" s="4">
        <v>229842</v>
      </c>
      <c r="D11046" s="5" t="s">
        <v>14072</v>
      </c>
      <c r="E11046" s="6" t="str">
        <f>HYPERLINK("https://inpn.mnhn.fr/espece/cd_nom/229842","Virgichneumon tergenus (Gravenhorst, 1820)")</f>
        <v>Virgichneumon tergenus (Gravenhorst, 1820)</v>
      </c>
      <c r="AH11046" s="4" t="str">
        <f>HYPERLINK("#Statut_biogéographique!A"&amp;_xlfn.XMATCH("P",Statut_biogéographique!A:A,2,1),"P")</f>
        <v>P</v>
      </c>
      <c r="AP11046" s="4" t="s">
        <v>376</v>
      </c>
      <c r="AR11046" s="4" t="s">
        <v>377</v>
      </c>
    </row>
    <row r="11047" spans="1:44">
      <c r="A11047" s="4" t="s">
        <v>10753</v>
      </c>
      <c r="B11047" s="4">
        <v>229843</v>
      </c>
      <c r="D11047" s="5">
        <v>229843</v>
      </c>
      <c r="E11047" s="6" t="str">
        <f>HYPERLINK("https://inpn.mnhn.fr/espece/cd_nom/229843","Ulesta perspicua (Wesmael, 1857)")</f>
        <v>Ulesta perspicua (Wesmael, 1857)</v>
      </c>
      <c r="AH11047" s="4" t="str">
        <f>HYPERLINK("#Statut_biogéographique!A"&amp;_xlfn.XMATCH("P",Statut_biogéographique!A:A,2,1),"P")</f>
        <v>P</v>
      </c>
      <c r="AP11047" s="4" t="s">
        <v>376</v>
      </c>
      <c r="AR11047" s="4" t="s">
        <v>377</v>
      </c>
    </row>
    <row r="11048" spans="1:44">
      <c r="A11048" s="4" t="s">
        <v>10753</v>
      </c>
      <c r="B11048" s="4">
        <v>229860</v>
      </c>
      <c r="D11048" s="5">
        <v>229860</v>
      </c>
      <c r="E11048" s="6" t="str">
        <f>HYPERLINK("https://inpn.mnhn.fr/espece/cd_nom/229860","Stenichneumon militarius (Thunberg, 1824)")</f>
        <v>Stenichneumon militarius (Thunberg, 1824)</v>
      </c>
      <c r="AH11048" s="4" t="str">
        <f>HYPERLINK("#Statut_biogéographique!A"&amp;_xlfn.XMATCH("P",Statut_biogéographique!A:A,2,1),"P")</f>
        <v>P</v>
      </c>
      <c r="AP11048" s="4" t="s">
        <v>376</v>
      </c>
      <c r="AR11048" s="4" t="s">
        <v>377</v>
      </c>
    </row>
    <row r="11049" spans="1:44">
      <c r="A11049" s="4" t="s">
        <v>10753</v>
      </c>
      <c r="B11049" s="4">
        <v>229869</v>
      </c>
      <c r="D11049" s="5">
        <v>229869</v>
      </c>
      <c r="E11049" s="6" t="str">
        <f>HYPERLINK("https://inpn.mnhn.fr/espece/cd_nom/229869","Spilichneumon occisorius (Fabricius, 1793)")</f>
        <v>Spilichneumon occisorius (Fabricius, 1793)</v>
      </c>
      <c r="AH11049" s="4" t="str">
        <f>HYPERLINK("#Statut_biogéographique!A"&amp;_xlfn.XMATCH("P",Statut_biogéographique!A:A,2,1),"P")</f>
        <v>P</v>
      </c>
      <c r="AP11049" s="4" t="s">
        <v>376</v>
      </c>
      <c r="AR11049" s="4" t="s">
        <v>377</v>
      </c>
    </row>
    <row r="11050" spans="1:44">
      <c r="A11050" s="4" t="s">
        <v>10753</v>
      </c>
      <c r="B11050" s="4">
        <v>229874</v>
      </c>
      <c r="D11050" s="5">
        <v>229874</v>
      </c>
      <c r="E11050" s="6" t="str">
        <f>HYPERLINK("https://inpn.mnhn.fr/espece/cd_nom/229874","Rhadinodonta flaviger (Wesmael, 1845)")</f>
        <v>Rhadinodonta flaviger (Wesmael, 1845)</v>
      </c>
      <c r="AH11050" s="4" t="str">
        <f>HYPERLINK("#Statut_biogéographique!A"&amp;_xlfn.XMATCH("P",Statut_biogéographique!A:A,2,1),"P")</f>
        <v>P</v>
      </c>
      <c r="AP11050" s="4" t="s">
        <v>376</v>
      </c>
      <c r="AR11050" s="4" t="s">
        <v>377</v>
      </c>
    </row>
    <row r="11051" spans="1:44" ht="30">
      <c r="A11051" s="4" t="s">
        <v>10753</v>
      </c>
      <c r="B11051" s="4">
        <v>229893</v>
      </c>
      <c r="D11051" s="5" t="s">
        <v>14073</v>
      </c>
      <c r="E11051" s="6" t="str">
        <f>HYPERLINK("https://inpn.mnhn.fr/espece/cd_nom/229893","Melanichneumon albipictus (Gravenhorst, 1820)")</f>
        <v>Melanichneumon albipictus (Gravenhorst, 1820)</v>
      </c>
      <c r="AH11051" s="4" t="str">
        <f>HYPERLINK("#Statut_biogéographique!A"&amp;_xlfn.XMATCH("P",Statut_biogéographique!A:A,2,1),"P")</f>
        <v>P</v>
      </c>
      <c r="AP11051" s="4" t="s">
        <v>376</v>
      </c>
      <c r="AR11051" s="4" t="s">
        <v>377</v>
      </c>
    </row>
    <row r="11052" spans="1:44" ht="30">
      <c r="A11052" s="4" t="s">
        <v>10753</v>
      </c>
      <c r="B11052" s="4">
        <v>229894</v>
      </c>
      <c r="D11052" s="5" t="s">
        <v>14074</v>
      </c>
      <c r="E11052" s="6" t="str">
        <f>HYPERLINK("https://inpn.mnhn.fr/espece/cd_nom/229894","Melanichneumon designatorius (Linnaeus, 1758)")</f>
        <v>Melanichneumon designatorius (Linnaeus, 1758)</v>
      </c>
      <c r="AH11052" s="4" t="str">
        <f>HYPERLINK("#Statut_biogéographique!A"&amp;_xlfn.XMATCH("P",Statut_biogéographique!A:A,2,1),"P")</f>
        <v>P</v>
      </c>
      <c r="AP11052" s="4" t="s">
        <v>376</v>
      </c>
      <c r="AR11052" s="4" t="s">
        <v>377</v>
      </c>
    </row>
    <row r="11053" spans="1:44">
      <c r="A11053" s="4" t="s">
        <v>10753</v>
      </c>
      <c r="B11053" s="4">
        <v>229919</v>
      </c>
      <c r="D11053" s="5">
        <v>229919</v>
      </c>
      <c r="E11053" s="6" t="str">
        <f>HYPERLINK("https://inpn.mnhn.fr/espece/cd_nom/229919","Ichneumon bucculentus Wesmael, 1845")</f>
        <v>Ichneumon bucculentus Wesmael, 1845</v>
      </c>
      <c r="AH11053" s="4" t="str">
        <f>HYPERLINK("#Statut_biogéographique!A"&amp;_xlfn.XMATCH("P",Statut_biogéographique!A:A,2,1),"P")</f>
        <v>P</v>
      </c>
      <c r="AP11053" s="4" t="s">
        <v>376</v>
      </c>
      <c r="AR11053" s="4" t="s">
        <v>377</v>
      </c>
    </row>
    <row r="11054" spans="1:44">
      <c r="A11054" s="4" t="s">
        <v>10753</v>
      </c>
      <c r="B11054" s="4">
        <v>229939</v>
      </c>
      <c r="D11054" s="5">
        <v>229939</v>
      </c>
      <c r="E11054" s="6" t="str">
        <f>HYPERLINK("https://inpn.mnhn.fr/espece/cd_nom/229939","Ichneumon extensorius Linnaeus, 1758")</f>
        <v>Ichneumon extensorius Linnaeus, 1758</v>
      </c>
      <c r="AH11054" s="4" t="str">
        <f>HYPERLINK("#Statut_biogéographique!A"&amp;_xlfn.XMATCH("P",Statut_biogéographique!A:A,2,1),"P")</f>
        <v>P</v>
      </c>
      <c r="AP11054" s="4" t="s">
        <v>376</v>
      </c>
      <c r="AR11054" s="4" t="s">
        <v>377</v>
      </c>
    </row>
    <row r="11055" spans="1:44">
      <c r="A11055" s="4" t="s">
        <v>10753</v>
      </c>
      <c r="B11055" s="4">
        <v>229945</v>
      </c>
      <c r="D11055" s="5">
        <v>229945</v>
      </c>
      <c r="E11055" s="6" t="str">
        <f>HYPERLINK("https://inpn.mnhn.fr/espece/cd_nom/229945","Ichneumon gracilentus Wesmael, 1845")</f>
        <v>Ichneumon gracilentus Wesmael, 1845</v>
      </c>
      <c r="AH11055" s="4" t="str">
        <f>HYPERLINK("#Statut_biogéographique!A"&amp;_xlfn.XMATCH("P",Statut_biogéographique!A:A,2,1),"P")</f>
        <v>P</v>
      </c>
      <c r="AP11055" s="4" t="s">
        <v>376</v>
      </c>
      <c r="AR11055" s="4" t="s">
        <v>377</v>
      </c>
    </row>
    <row r="11056" spans="1:44">
      <c r="A11056" s="4" t="s">
        <v>10753</v>
      </c>
      <c r="B11056" s="4">
        <v>229946</v>
      </c>
      <c r="D11056" s="5" t="s">
        <v>14075</v>
      </c>
      <c r="E11056" s="6" t="str">
        <f>HYPERLINK("https://inpn.mnhn.fr/espece/cd_nom/229946","Ichneumon gracilicornis Gravenhorst, 1829")</f>
        <v>Ichneumon gracilicornis Gravenhorst, 1829</v>
      </c>
      <c r="AH11056" s="4" t="str">
        <f>HYPERLINK("#Statut_biogéographique!A"&amp;_xlfn.XMATCH("P",Statut_biogéographique!A:A,2,1),"P")</f>
        <v>P</v>
      </c>
      <c r="AP11056" s="4" t="s">
        <v>376</v>
      </c>
      <c r="AR11056" s="4" t="s">
        <v>377</v>
      </c>
    </row>
    <row r="11057" spans="1:44">
      <c r="A11057" s="4" t="s">
        <v>10753</v>
      </c>
      <c r="B11057" s="4">
        <v>229952</v>
      </c>
      <c r="D11057" s="5">
        <v>229952</v>
      </c>
      <c r="E11057" s="6" t="str">
        <f>HYPERLINK("https://inpn.mnhn.fr/espece/cd_nom/229952","Ichneumon inquinatus Wesmael, 1845")</f>
        <v>Ichneumon inquinatus Wesmael, 1845</v>
      </c>
      <c r="AH11057" s="4" t="str">
        <f>HYPERLINK("#Statut_biogéographique!A"&amp;_xlfn.XMATCH("P",Statut_biogéographique!A:A,2,1),"P")</f>
        <v>P</v>
      </c>
      <c r="AP11057" s="4" t="s">
        <v>376</v>
      </c>
      <c r="AR11057" s="4" t="s">
        <v>377</v>
      </c>
    </row>
    <row r="11058" spans="1:44">
      <c r="A11058" s="4" t="s">
        <v>10753</v>
      </c>
      <c r="B11058" s="4">
        <v>229984</v>
      </c>
      <c r="D11058" s="5">
        <v>229984</v>
      </c>
      <c r="E11058" s="6" t="str">
        <f>HYPERLINK("https://inpn.mnhn.fr/espece/cd_nom/229984","Ichneumon sarcitorius Linnaeus, 1758")</f>
        <v>Ichneumon sarcitorius Linnaeus, 1758</v>
      </c>
      <c r="AH11058" s="4" t="str">
        <f>HYPERLINK("#Statut_biogéographique!A"&amp;_xlfn.XMATCH("P",Statut_biogéographique!A:A,2,1),"P")</f>
        <v>P</v>
      </c>
      <c r="AP11058" s="4" t="s">
        <v>376</v>
      </c>
      <c r="AR11058" s="4" t="s">
        <v>377</v>
      </c>
    </row>
    <row r="11059" spans="1:44">
      <c r="A11059" s="4" t="s">
        <v>10753</v>
      </c>
      <c r="B11059" s="4">
        <v>229988</v>
      </c>
      <c r="D11059" s="5">
        <v>229988</v>
      </c>
      <c r="E11059" s="6" t="str">
        <f>HYPERLINK("https://inpn.mnhn.fr/espece/cd_nom/229988","Ichneumon simulans Tischbein, 1873")</f>
        <v>Ichneumon simulans Tischbein, 1873</v>
      </c>
      <c r="AH11059" s="4" t="str">
        <f>HYPERLINK("#Statut_biogéographique!A"&amp;_xlfn.XMATCH("P",Statut_biogéographique!A:A,2,1),"P")</f>
        <v>P</v>
      </c>
      <c r="AP11059" s="4" t="s">
        <v>376</v>
      </c>
      <c r="AR11059" s="4" t="s">
        <v>377</v>
      </c>
    </row>
    <row r="11060" spans="1:44">
      <c r="A11060" s="4" t="s">
        <v>10753</v>
      </c>
      <c r="B11060" s="4">
        <v>22999</v>
      </c>
      <c r="D11060" s="5" t="s">
        <v>14076</v>
      </c>
      <c r="E11060" s="6" t="str">
        <f>HYPERLINK("https://inpn.mnhn.fr/espece/cd_nom/22999","Rhaphium appendiculatum Zetterstedt, 1849")</f>
        <v>Rhaphium appendiculatum Zetterstedt, 1849</v>
      </c>
      <c r="AH11060" s="4" t="str">
        <f>HYPERLINK("#Statut_biogéographique!A"&amp;_xlfn.XMATCH("P",Statut_biogéographique!A:A,2,1),"P")</f>
        <v>P</v>
      </c>
      <c r="AP11060" s="4" t="s">
        <v>376</v>
      </c>
      <c r="AR11060" s="4" t="s">
        <v>377</v>
      </c>
    </row>
    <row r="11061" spans="1:44" ht="30">
      <c r="A11061" s="4" t="s">
        <v>10753</v>
      </c>
      <c r="B11061" s="4">
        <v>229993</v>
      </c>
      <c r="D11061" s="5">
        <v>229993</v>
      </c>
      <c r="E11061" s="6" t="str">
        <f>HYPERLINK("https://inpn.mnhn.fr/espece/cd_nom/229993","Ichneumon submarginatus Gravenhorst, 1829")</f>
        <v>Ichneumon submarginatus Gravenhorst, 1829</v>
      </c>
      <c r="AH11061" s="4" t="str">
        <f>HYPERLINK("#Statut_biogéographique!A"&amp;_xlfn.XMATCH("P",Statut_biogéographique!A:A,2,1),"P")</f>
        <v>P</v>
      </c>
      <c r="AP11061" s="4" t="s">
        <v>376</v>
      </c>
      <c r="AR11061" s="4" t="s">
        <v>377</v>
      </c>
    </row>
    <row r="11062" spans="1:44">
      <c r="A11062" s="4" t="s">
        <v>10753</v>
      </c>
      <c r="B11062" s="4">
        <v>229999</v>
      </c>
      <c r="D11062" s="5">
        <v>229999</v>
      </c>
      <c r="E11062" s="6" t="str">
        <f>HYPERLINK("https://inpn.mnhn.fr/espece/cd_nom/229999","Ichneumon validicornis Holmgren, 1864")</f>
        <v>Ichneumon validicornis Holmgren, 1864</v>
      </c>
      <c r="AH11062" s="4" t="str">
        <f>HYPERLINK("#Statut_biogéographique!A"&amp;_xlfn.XMATCH("P",Statut_biogéographique!A:A,2,1),"P")</f>
        <v>P</v>
      </c>
      <c r="AP11062" s="4" t="s">
        <v>376</v>
      </c>
      <c r="AR11062" s="4" t="s">
        <v>377</v>
      </c>
    </row>
    <row r="11063" spans="1:44">
      <c r="A11063" s="4" t="s">
        <v>10753</v>
      </c>
      <c r="B11063" s="4">
        <v>230002</v>
      </c>
      <c r="D11063" s="5">
        <v>230002</v>
      </c>
      <c r="E11063" s="6" t="str">
        <f>HYPERLINK("https://inpn.mnhn.fr/espece/cd_nom/230002","Ichneumon xanthorius Forster, 1771")</f>
        <v>Ichneumon xanthorius Forster, 1771</v>
      </c>
      <c r="AH11063" s="4" t="str">
        <f>HYPERLINK("#Statut_biogéographique!A"&amp;_xlfn.XMATCH("P",Statut_biogéographique!A:A,2,1),"P")</f>
        <v>P</v>
      </c>
      <c r="AP11063" s="4" t="s">
        <v>376</v>
      </c>
      <c r="AR11063" s="4" t="s">
        <v>377</v>
      </c>
    </row>
    <row r="11064" spans="1:44">
      <c r="A11064" s="4" t="s">
        <v>10753</v>
      </c>
      <c r="B11064" s="4">
        <v>230007</v>
      </c>
      <c r="D11064" s="5">
        <v>230007</v>
      </c>
      <c r="E11064" s="6" t="str">
        <f>HYPERLINK("https://inpn.mnhn.fr/espece/cd_nom/230007","Hoplismenus bispinatorius (Thunberg, 1824)")</f>
        <v>Hoplismenus bispinatorius (Thunberg, 1824)</v>
      </c>
      <c r="AH11064" s="4" t="str">
        <f>HYPERLINK("#Statut_biogéographique!A"&amp;_xlfn.XMATCH("P",Statut_biogéographique!A:A,2,1),"P")</f>
        <v>P</v>
      </c>
      <c r="AP11064" s="4" t="s">
        <v>376</v>
      </c>
      <c r="AR11064" s="4" t="s">
        <v>377</v>
      </c>
    </row>
    <row r="11065" spans="1:44">
      <c r="A11065" s="4" t="s">
        <v>10753</v>
      </c>
      <c r="B11065" s="4">
        <v>230009</v>
      </c>
      <c r="D11065" s="5">
        <v>230009</v>
      </c>
      <c r="E11065" s="6" t="str">
        <f>HYPERLINK("https://inpn.mnhn.fr/espece/cd_nom/230009","Hoplismenus pica Wesmael, 1855")</f>
        <v>Hoplismenus pica Wesmael, 1855</v>
      </c>
      <c r="AH11065" s="4" t="str">
        <f>HYPERLINK("#Statut_biogéographique!A"&amp;_xlfn.XMATCH("P",Statut_biogéographique!A:A,2,1),"P")</f>
        <v>P</v>
      </c>
      <c r="AP11065" s="4" t="s">
        <v>376</v>
      </c>
      <c r="AR11065" s="4" t="s">
        <v>377</v>
      </c>
    </row>
    <row r="11066" spans="1:44">
      <c r="A11066" s="4" t="s">
        <v>10753</v>
      </c>
      <c r="B11066" s="4">
        <v>23001</v>
      </c>
      <c r="D11066" s="5" t="s">
        <v>14077</v>
      </c>
      <c r="E11066" s="6" t="str">
        <f>HYPERLINK("https://inpn.mnhn.fr/espece/cd_nom/23001","Rhaphium auctum Loew, 1857")</f>
        <v>Rhaphium auctum Loew, 1857</v>
      </c>
      <c r="AH11066" s="4" t="str">
        <f>HYPERLINK("#Statut_biogéographique!A"&amp;_xlfn.XMATCH("P",Statut_biogéographique!A:A,2,1),"P")</f>
        <v>P</v>
      </c>
      <c r="AP11066" s="4" t="s">
        <v>376</v>
      </c>
      <c r="AR11066" s="4" t="s">
        <v>377</v>
      </c>
    </row>
    <row r="11067" spans="1:44">
      <c r="A11067" s="4" t="s">
        <v>10753</v>
      </c>
      <c r="B11067" s="4">
        <v>230010</v>
      </c>
      <c r="D11067" s="5" t="s">
        <v>14078</v>
      </c>
      <c r="E11067" s="6" t="str">
        <f>HYPERLINK("https://inpn.mnhn.fr/espece/cd_nom/230010","Hoplismenus terrificus Wesmael, 1848")</f>
        <v>Hoplismenus terrificus Wesmael, 1848</v>
      </c>
      <c r="AH11067" s="4" t="str">
        <f>HYPERLINK("#Statut_biogéographique!A"&amp;_xlfn.XMATCH("P",Statut_biogéographique!A:A,2,1),"P")</f>
        <v>P</v>
      </c>
      <c r="AP11067" s="4" t="s">
        <v>376</v>
      </c>
      <c r="AR11067" s="4" t="s">
        <v>377</v>
      </c>
    </row>
    <row r="11068" spans="1:44">
      <c r="A11068" s="4" t="s">
        <v>10753</v>
      </c>
      <c r="B11068" s="4">
        <v>230017</v>
      </c>
      <c r="D11068" s="5">
        <v>230017</v>
      </c>
      <c r="E11068" s="6" t="str">
        <f>HYPERLINK("https://inpn.mnhn.fr/espece/cd_nom/230017","Gareila nivata (Gravenhorst, 1820)")</f>
        <v>Gareila nivata (Gravenhorst, 1820)</v>
      </c>
      <c r="AH11068" s="4" t="str">
        <f>HYPERLINK("#Statut_biogéographique!A"&amp;_xlfn.XMATCH("P",Statut_biogéographique!A:A,2,1),"P")</f>
        <v>P</v>
      </c>
      <c r="AP11068" s="4" t="s">
        <v>376</v>
      </c>
      <c r="AR11068" s="4" t="s">
        <v>377</v>
      </c>
    </row>
    <row r="11069" spans="1:44" ht="30">
      <c r="A11069" s="4" t="s">
        <v>10753</v>
      </c>
      <c r="B11069" s="4">
        <v>230021</v>
      </c>
      <c r="D11069" s="5">
        <v>230021</v>
      </c>
      <c r="E11069" s="6" t="str">
        <f>HYPERLINK("https://inpn.mnhn.fr/espece/cd_nom/230021","Exephanes ischioxanthus (Gravenhorst, 1829)")</f>
        <v>Exephanes ischioxanthus (Gravenhorst, 1829)</v>
      </c>
      <c r="AH11069" s="4" t="str">
        <f>HYPERLINK("#Statut_biogéographique!A"&amp;_xlfn.XMATCH("P",Statut_biogéographique!A:A,2,1),"P")</f>
        <v>P</v>
      </c>
      <c r="AP11069" s="4" t="s">
        <v>376</v>
      </c>
      <c r="AR11069" s="4" t="s">
        <v>377</v>
      </c>
    </row>
    <row r="11070" spans="1:44">
      <c r="A11070" s="4" t="s">
        <v>10753</v>
      </c>
      <c r="B11070" s="4">
        <v>230029</v>
      </c>
      <c r="D11070" s="5" t="s">
        <v>14079</v>
      </c>
      <c r="E11070" s="6" t="str">
        <f>HYPERLINK("https://inpn.mnhn.fr/espece/cd_nom/230029","Eutanyacra picta (Schrank, 1776)")</f>
        <v>Eutanyacra picta (Schrank, 1776)</v>
      </c>
      <c r="AH11070" s="4" t="str">
        <f>HYPERLINK("#Statut_biogéographique!A"&amp;_xlfn.XMATCH("P",Statut_biogéographique!A:A,2,1),"P")</f>
        <v>P</v>
      </c>
      <c r="AP11070" s="4" t="s">
        <v>376</v>
      </c>
      <c r="AR11070" s="4" t="s">
        <v>377</v>
      </c>
    </row>
    <row r="11071" spans="1:44">
      <c r="A11071" s="4" t="s">
        <v>10753</v>
      </c>
      <c r="B11071" s="4">
        <v>230030</v>
      </c>
      <c r="D11071" s="5">
        <v>230030</v>
      </c>
      <c r="E11071" s="6" t="str">
        <f>HYPERLINK("https://inpn.mnhn.fr/espece/cd_nom/230030","Eupalamus lacteator (Gravenhorst, 1829)")</f>
        <v>Eupalamus lacteator (Gravenhorst, 1829)</v>
      </c>
      <c r="AH11071" s="4" t="str">
        <f>HYPERLINK("#Statut_biogéographique!A"&amp;_xlfn.XMATCH("P",Statut_biogéographique!A:A,2,1),"P")</f>
        <v>P</v>
      </c>
      <c r="AP11071" s="4" t="s">
        <v>376</v>
      </c>
      <c r="AR11071" s="4" t="s">
        <v>377</v>
      </c>
    </row>
    <row r="11072" spans="1:44">
      <c r="A11072" s="4" t="s">
        <v>10753</v>
      </c>
      <c r="B11072" s="4">
        <v>230033</v>
      </c>
      <c r="D11072" s="5">
        <v>230033</v>
      </c>
      <c r="E11072" s="6" t="str">
        <f>HYPERLINK("https://inpn.mnhn.fr/espece/cd_nom/230033","Eupalamus wesmaeli (Thomson, 1886)")</f>
        <v>Eupalamus wesmaeli (Thomson, 1886)</v>
      </c>
      <c r="AH11072" s="4" t="str">
        <f>HYPERLINK("#Statut_biogéographique!A"&amp;_xlfn.XMATCH("P",Statut_biogéographique!A:A,2,1),"P")</f>
        <v>P</v>
      </c>
      <c r="AP11072" s="4" t="s">
        <v>376</v>
      </c>
      <c r="AR11072" s="4" t="s">
        <v>377</v>
      </c>
    </row>
    <row r="11073" spans="1:44">
      <c r="A11073" s="4" t="s">
        <v>10753</v>
      </c>
      <c r="B11073" s="4">
        <v>230035</v>
      </c>
      <c r="D11073" s="5">
        <v>230035</v>
      </c>
      <c r="E11073" s="6" t="str">
        <f>HYPERLINK("https://inpn.mnhn.fr/espece/cd_nom/230035","Eristicus clericus (Gravenhorst, 1829)")</f>
        <v>Eristicus clericus (Gravenhorst, 1829)</v>
      </c>
      <c r="AH11073" s="4" t="str">
        <f>HYPERLINK("#Statut_biogéographique!A"&amp;_xlfn.XMATCH("P",Statut_biogéographique!A:A,2,1),"P")</f>
        <v>P</v>
      </c>
      <c r="AP11073" s="4" t="s">
        <v>376</v>
      </c>
      <c r="AR11073" s="4" t="s">
        <v>377</v>
      </c>
    </row>
    <row r="11074" spans="1:44">
      <c r="A11074" s="4" t="s">
        <v>10753</v>
      </c>
      <c r="B11074" s="4">
        <v>230043</v>
      </c>
      <c r="D11074" s="5" t="s">
        <v>14080</v>
      </c>
      <c r="E11074" s="6" t="str">
        <f>HYPERLINK("https://inpn.mnhn.fr/espece/cd_nom/230043","Diphyus fossorius (Linnaeus, 1758)")</f>
        <v>Diphyus fossorius (Linnaeus, 1758)</v>
      </c>
      <c r="AH11074" s="4" t="str">
        <f>HYPERLINK("#Statut_biogéographique!A"&amp;_xlfn.XMATCH("P",Statut_biogéographique!A:A,2,1),"P")</f>
        <v>P</v>
      </c>
      <c r="AP11074" s="4" t="s">
        <v>376</v>
      </c>
      <c r="AR11074" s="4" t="s">
        <v>377</v>
      </c>
    </row>
    <row r="11075" spans="1:44">
      <c r="A11075" s="4" t="s">
        <v>10753</v>
      </c>
      <c r="B11075" s="4">
        <v>23005</v>
      </c>
      <c r="D11075" s="5" t="s">
        <v>14081</v>
      </c>
      <c r="E11075" s="6" t="str">
        <f>HYPERLINK("https://inpn.mnhn.fr/espece/cd_nom/23005","Rhaphium caliginosum Meigen, 1824")</f>
        <v>Rhaphium caliginosum Meigen, 1824</v>
      </c>
      <c r="AH11075" s="4" t="str">
        <f>HYPERLINK("#Statut_biogéographique!A"&amp;_xlfn.XMATCH("P",Statut_biogéographique!A:A,2,1),"P")</f>
        <v>P</v>
      </c>
      <c r="AP11075" s="4" t="s">
        <v>376</v>
      </c>
      <c r="AR11075" s="4" t="s">
        <v>377</v>
      </c>
    </row>
    <row r="11076" spans="1:44">
      <c r="A11076" s="4" t="s">
        <v>10753</v>
      </c>
      <c r="B11076" s="4">
        <v>230055</v>
      </c>
      <c r="D11076" s="5" t="s">
        <v>14082</v>
      </c>
      <c r="E11076" s="6" t="str">
        <f>HYPERLINK("https://inpn.mnhn.fr/espece/cd_nom/230055","Diphyus quadripunctorius (Müller, 1776)")</f>
        <v>Diphyus quadripunctorius (Müller, 1776)</v>
      </c>
      <c r="AH11076" s="4" t="str">
        <f>HYPERLINK("#Statut_biogéographique!A"&amp;_xlfn.XMATCH("P",Statut_biogéographique!A:A,2,1),"P")</f>
        <v>P</v>
      </c>
      <c r="AP11076" s="4" t="s">
        <v>376</v>
      </c>
      <c r="AR11076" s="4" t="s">
        <v>377</v>
      </c>
    </row>
    <row r="11077" spans="1:44" ht="30">
      <c r="A11077" s="4" t="s">
        <v>10753</v>
      </c>
      <c r="B11077" s="4">
        <v>230071</v>
      </c>
      <c r="D11077" s="5" t="s">
        <v>14083</v>
      </c>
      <c r="E11077" s="6" t="str">
        <f>HYPERLINK("https://inpn.mnhn.fr/espece/cd_nom/230071","Ctenichneumon melanocastanus (Gravenhorst, 1820)")</f>
        <v>Ctenichneumon melanocastanus (Gravenhorst, 1820)</v>
      </c>
      <c r="AH11077" s="4" t="str">
        <f>HYPERLINK("#Statut_biogéographique!A"&amp;_xlfn.XMATCH("P",Statut_biogéographique!A:A,2,1),"P")</f>
        <v>P</v>
      </c>
      <c r="AP11077" s="4" t="s">
        <v>376</v>
      </c>
      <c r="AR11077" s="4" t="s">
        <v>377</v>
      </c>
    </row>
    <row r="11078" spans="1:44" ht="30">
      <c r="A11078" s="4" t="s">
        <v>10753</v>
      </c>
      <c r="B11078" s="4">
        <v>230072</v>
      </c>
      <c r="D11078" s="5">
        <v>230072</v>
      </c>
      <c r="E11078" s="6" t="str">
        <f>HYPERLINK("https://inpn.mnhn.fr/espece/cd_nom/230072","Ctenichneumon messorius (Gravenhorst, 1820)")</f>
        <v>Ctenichneumon messorius (Gravenhorst, 1820)</v>
      </c>
      <c r="AH11078" s="4" t="str">
        <f>HYPERLINK("#Statut_biogéographique!A"&amp;_xlfn.XMATCH("P",Statut_biogéographique!A:A,2,1),"P")</f>
        <v>P</v>
      </c>
      <c r="AP11078" s="4" t="s">
        <v>376</v>
      </c>
      <c r="AR11078" s="4" t="s">
        <v>377</v>
      </c>
    </row>
    <row r="11079" spans="1:44">
      <c r="A11079" s="4" t="s">
        <v>10753</v>
      </c>
      <c r="B11079" s="4">
        <v>230079</v>
      </c>
      <c r="D11079" s="5">
        <v>230079</v>
      </c>
      <c r="E11079" s="6" t="str">
        <f>HYPERLINK("https://inpn.mnhn.fr/espece/cd_nom/230079","Crypteffigies lanius (Gravenhorst, 1829)")</f>
        <v>Crypteffigies lanius (Gravenhorst, 1829)</v>
      </c>
      <c r="AH11079" s="4" t="str">
        <f>HYPERLINK("#Statut_biogéographique!A"&amp;_xlfn.XMATCH("P",Statut_biogéographique!A:A,2,1),"P")</f>
        <v>P</v>
      </c>
      <c r="AP11079" s="4" t="s">
        <v>376</v>
      </c>
      <c r="AR11079" s="4" t="s">
        <v>377</v>
      </c>
    </row>
    <row r="11080" spans="1:44">
      <c r="A11080" s="4" t="s">
        <v>10753</v>
      </c>
      <c r="B11080" s="4">
        <v>23008</v>
      </c>
      <c r="D11080" s="5" t="s">
        <v>14084</v>
      </c>
      <c r="E11080" s="6" t="str">
        <f>HYPERLINK("https://inpn.mnhn.fr/espece/cd_nom/23008","Rhaphium commune (Meigen, 1824)")</f>
        <v>Rhaphium commune (Meigen, 1824)</v>
      </c>
      <c r="AH11080" s="4" t="str">
        <f>HYPERLINK("#Statut_biogéographique!A"&amp;_xlfn.XMATCH("P",Statut_biogéographique!A:A,2,1),"P")</f>
        <v>P</v>
      </c>
      <c r="AP11080" s="4" t="s">
        <v>376</v>
      </c>
      <c r="AR11080" s="4" t="s">
        <v>377</v>
      </c>
    </row>
    <row r="11081" spans="1:44">
      <c r="A11081" s="4" t="s">
        <v>10753</v>
      </c>
      <c r="B11081" s="4">
        <v>230082</v>
      </c>
      <c r="D11081" s="5">
        <v>230082</v>
      </c>
      <c r="E11081" s="6" t="str">
        <f>HYPERLINK("https://inpn.mnhn.fr/espece/cd_nom/230082","Cratichneumon albiscuta (Thomson, 1893)")</f>
        <v>Cratichneumon albiscuta (Thomson, 1893)</v>
      </c>
      <c r="AH11081" s="4" t="str">
        <f>HYPERLINK("#Statut_biogéographique!A"&amp;_xlfn.XMATCH("P",Statut_biogéographique!A:A,2,1),"P")</f>
        <v>P</v>
      </c>
      <c r="AP11081" s="4" t="s">
        <v>376</v>
      </c>
      <c r="AR11081" s="4" t="s">
        <v>377</v>
      </c>
    </row>
    <row r="11082" spans="1:44">
      <c r="A11082" s="4" t="s">
        <v>10753</v>
      </c>
      <c r="B11082" s="4">
        <v>230083</v>
      </c>
      <c r="D11082" s="5" t="s">
        <v>14085</v>
      </c>
      <c r="E11082" s="6" t="str">
        <f>HYPERLINK("https://inpn.mnhn.fr/espece/cd_nom/230083","Cratichneumon coruscator (Linnaeus, 1758)")</f>
        <v>Cratichneumon coruscator (Linnaeus, 1758)</v>
      </c>
      <c r="AH11082" s="4" t="str">
        <f>HYPERLINK("#Statut_biogéographique!A"&amp;_xlfn.XMATCH("P",Statut_biogéographique!A:A,2,1),"P")</f>
        <v>P</v>
      </c>
      <c r="AP11082" s="4" t="s">
        <v>376</v>
      </c>
      <c r="AR11082" s="4" t="s">
        <v>377</v>
      </c>
    </row>
    <row r="11083" spans="1:44">
      <c r="A11083" s="4" t="s">
        <v>10753</v>
      </c>
      <c r="B11083" s="4">
        <v>230084</v>
      </c>
      <c r="D11083" s="5" t="s">
        <v>14086</v>
      </c>
      <c r="E11083" s="6" t="str">
        <f>HYPERLINK("https://inpn.mnhn.fr/espece/cd_nom/230084","Cratichneumon culex (Müller, 1776)")</f>
        <v>Cratichneumon culex (Müller, 1776)</v>
      </c>
      <c r="AH11083" s="4" t="str">
        <f>HYPERLINK("#Statut_biogéographique!A"&amp;_xlfn.XMATCH("P",Statut_biogéographique!A:A,2,1),"P")</f>
        <v>P</v>
      </c>
      <c r="AP11083" s="4" t="s">
        <v>376</v>
      </c>
      <c r="AR11083" s="4" t="s">
        <v>377</v>
      </c>
    </row>
    <row r="11084" spans="1:44" ht="30">
      <c r="A11084" s="4" t="s">
        <v>10753</v>
      </c>
      <c r="B11084" s="4">
        <v>230086</v>
      </c>
      <c r="D11084" s="5" t="s">
        <v>14087</v>
      </c>
      <c r="E11084" s="6" t="str">
        <f>HYPERLINK("https://inpn.mnhn.fr/espece/cd_nom/230086","Cratichneumon flavifrons (Schrank, 1781)")</f>
        <v>Cratichneumon flavifrons (Schrank, 1781)</v>
      </c>
      <c r="F11084" s="5" t="s">
        <v>14088</v>
      </c>
      <c r="AH11084" s="4" t="str">
        <f>HYPERLINK("#Statut_biogéographique!A"&amp;_xlfn.XMATCH("P",Statut_biogéographique!A:A,2,1),"P")</f>
        <v>P</v>
      </c>
      <c r="AP11084" s="4" t="s">
        <v>376</v>
      </c>
      <c r="AR11084" s="4" t="s">
        <v>377</v>
      </c>
    </row>
    <row r="11085" spans="1:44" ht="30">
      <c r="A11085" s="4" t="s">
        <v>10753</v>
      </c>
      <c r="B11085" s="4">
        <v>230090</v>
      </c>
      <c r="D11085" s="5" t="s">
        <v>14089</v>
      </c>
      <c r="E11085" s="6" t="str">
        <f>HYPERLINK("https://inpn.mnhn.fr/espece/cd_nom/230090","Cratichneumon luteiventris (Gravenhorst, 1820)")</f>
        <v>Cratichneumon luteiventris (Gravenhorst, 1820)</v>
      </c>
      <c r="AH11085" s="4" t="str">
        <f>HYPERLINK("#Statut_biogéographique!A"&amp;_xlfn.XMATCH("P",Statut_biogéographique!A:A,2,1),"P")</f>
        <v>P</v>
      </c>
      <c r="AP11085" s="4" t="s">
        <v>376</v>
      </c>
      <c r="AR11085" s="4" t="s">
        <v>377</v>
      </c>
    </row>
    <row r="11086" spans="1:44">
      <c r="A11086" s="4" t="s">
        <v>10753</v>
      </c>
      <c r="B11086" s="4">
        <v>230092</v>
      </c>
      <c r="D11086" s="5" t="s">
        <v>14090</v>
      </c>
      <c r="E11086" s="6" t="str">
        <f>HYPERLINK("https://inpn.mnhn.fr/espece/cd_nom/230092","Cratichneumon rufifrons (Gravenhorst, 1829)")</f>
        <v>Cratichneumon rufifrons (Gravenhorst, 1829)</v>
      </c>
      <c r="AH11086" s="4" t="str">
        <f>HYPERLINK("#Statut_biogéographique!A"&amp;_xlfn.XMATCH("P",Statut_biogéographique!A:A,2,1),"P")</f>
        <v>P</v>
      </c>
      <c r="AP11086" s="4" t="s">
        <v>376</v>
      </c>
      <c r="AR11086" s="4" t="s">
        <v>377</v>
      </c>
    </row>
    <row r="11087" spans="1:44">
      <c r="A11087" s="4" t="s">
        <v>10753</v>
      </c>
      <c r="B11087" s="4">
        <v>230094</v>
      </c>
      <c r="D11087" s="5">
        <v>230094</v>
      </c>
      <c r="E11087" s="6" t="str">
        <f>HYPERLINK("https://inpn.mnhn.fr/espece/cd_nom/230094","Cratichneumon sicarius (Gravenhorst, 1829)")</f>
        <v>Cratichneumon sicarius (Gravenhorst, 1829)</v>
      </c>
      <c r="AH11087" s="4" t="str">
        <f>HYPERLINK("#Statut_biogéographique!A"&amp;_xlfn.XMATCH("P",Statut_biogéographique!A:A,2,1),"P")</f>
        <v>P</v>
      </c>
      <c r="AP11087" s="4" t="s">
        <v>376</v>
      </c>
      <c r="AR11087" s="4" t="s">
        <v>377</v>
      </c>
    </row>
    <row r="11088" spans="1:44">
      <c r="A11088" s="4" t="s">
        <v>10753</v>
      </c>
      <c r="B11088" s="4">
        <v>230096</v>
      </c>
      <c r="D11088" s="5">
        <v>230096</v>
      </c>
      <c r="E11088" s="6" t="str">
        <f>HYPERLINK("https://inpn.mnhn.fr/espece/cd_nom/230096","Cratichneumon versator (Thunberg, 1824)")</f>
        <v>Cratichneumon versator (Thunberg, 1824)</v>
      </c>
      <c r="AH11088" s="4" t="str">
        <f>HYPERLINK("#Statut_biogéographique!A"&amp;_xlfn.XMATCH("P",Statut_biogéographique!A:A,2,1),"P")</f>
        <v>P</v>
      </c>
      <c r="AP11088" s="4" t="s">
        <v>376</v>
      </c>
      <c r="AR11088" s="4" t="s">
        <v>377</v>
      </c>
    </row>
    <row r="11089" spans="1:44">
      <c r="A11089" s="4" t="s">
        <v>10753</v>
      </c>
      <c r="B11089" s="4">
        <v>230097</v>
      </c>
      <c r="D11089" s="5">
        <v>230097</v>
      </c>
      <c r="E11089" s="6" t="str">
        <f>HYPERLINK("https://inpn.mnhn.fr/espece/cd_nom/230097","Cratichneumon viator (Scopoli, 1763)")</f>
        <v>Cratichneumon viator (Scopoli, 1763)</v>
      </c>
      <c r="AH11089" s="4" t="str">
        <f>HYPERLINK("#Statut_biogéographique!A"&amp;_xlfn.XMATCH("P",Statut_biogéographique!A:A,2,1),"P")</f>
        <v>P</v>
      </c>
      <c r="AP11089" s="4" t="s">
        <v>376</v>
      </c>
      <c r="AR11089" s="4" t="s">
        <v>377</v>
      </c>
    </row>
    <row r="11090" spans="1:44">
      <c r="A11090" s="4" t="s">
        <v>10753</v>
      </c>
      <c r="B11090" s="4">
        <v>230110</v>
      </c>
      <c r="D11090" s="5">
        <v>230110</v>
      </c>
      <c r="E11090" s="6" t="str">
        <f>HYPERLINK("https://inpn.mnhn.fr/espece/cd_nom/230110","Barichneumon derogator (Wesmael, 1845)")</f>
        <v>Barichneumon derogator (Wesmael, 1845)</v>
      </c>
      <c r="AH11090" s="4" t="str">
        <f>HYPERLINK("#Statut_biogéographique!A"&amp;_xlfn.XMATCH("P",Statut_biogéographique!A:A,2,1),"P")</f>
        <v>P</v>
      </c>
      <c r="AP11090" s="4" t="s">
        <v>376</v>
      </c>
      <c r="AR11090" s="4" t="s">
        <v>377</v>
      </c>
    </row>
    <row r="11091" spans="1:44">
      <c r="A11091" s="4" t="s">
        <v>10753</v>
      </c>
      <c r="B11091" s="4">
        <v>23012</v>
      </c>
      <c r="D11091" s="5" t="s">
        <v>14091</v>
      </c>
      <c r="E11091" s="6" t="str">
        <f>HYPERLINK("https://inpn.mnhn.fr/espece/cd_nom/23012","Rhaphium crassipes (Meigen, 1824)")</f>
        <v>Rhaphium crassipes (Meigen, 1824)</v>
      </c>
      <c r="AH11091" s="4" t="str">
        <f>HYPERLINK("#Statut_biogéographique!A"&amp;_xlfn.XMATCH("P",Statut_biogéographique!A:A,2,1),"P")</f>
        <v>P</v>
      </c>
      <c r="AP11091" s="4" t="s">
        <v>376</v>
      </c>
      <c r="AR11091" s="4" t="s">
        <v>377</v>
      </c>
    </row>
    <row r="11092" spans="1:44" ht="30">
      <c r="A11092" s="4" t="s">
        <v>10753</v>
      </c>
      <c r="B11092" s="4">
        <v>230124</v>
      </c>
      <c r="D11092" s="5" t="s">
        <v>14092</v>
      </c>
      <c r="E11092" s="6" t="str">
        <f>HYPERLINK("https://inpn.mnhn.fr/espece/cd_nom/230124","Barichneumon sexalbatus (Gravenhorst, 1820)")</f>
        <v>Barichneumon sexalbatus (Gravenhorst, 1820)</v>
      </c>
      <c r="AH11092" s="4" t="str">
        <f>HYPERLINK("#Statut_biogéographique!A"&amp;_xlfn.XMATCH("P",Statut_biogéographique!A:A,2,1),"P")</f>
        <v>P</v>
      </c>
      <c r="AP11092" s="4" t="s">
        <v>376</v>
      </c>
      <c r="AR11092" s="4" t="s">
        <v>377</v>
      </c>
    </row>
    <row r="11093" spans="1:44">
      <c r="A11093" s="4" t="s">
        <v>10753</v>
      </c>
      <c r="B11093" s="4">
        <v>230127</v>
      </c>
      <c r="D11093" s="5" t="s">
        <v>14093</v>
      </c>
      <c r="E11093" s="6" t="str">
        <f>HYPERLINK("https://inpn.mnhn.fr/espece/cd_nom/230127","Baranisobas ridibundus (Gravenhorst, 1829)")</f>
        <v>Baranisobas ridibundus (Gravenhorst, 1829)</v>
      </c>
      <c r="AH11093" s="4" t="str">
        <f>HYPERLINK("#Statut_biogéographique!A"&amp;_xlfn.XMATCH("P",Statut_biogéographique!A:A,2,1),"P")</f>
        <v>P</v>
      </c>
      <c r="AP11093" s="4" t="s">
        <v>376</v>
      </c>
      <c r="AR11093" s="4" t="s">
        <v>377</v>
      </c>
    </row>
    <row r="11094" spans="1:44">
      <c r="A11094" s="4" t="s">
        <v>10753</v>
      </c>
      <c r="B11094" s="4">
        <v>230133</v>
      </c>
      <c r="D11094" s="5" t="s">
        <v>14094</v>
      </c>
      <c r="E11094" s="6" t="str">
        <f>HYPERLINK("https://inpn.mnhn.fr/espece/cd_nom/230133","Aoplus ochropis (Gmelin, 1790)")</f>
        <v>Aoplus ochropis (Gmelin, 1790)</v>
      </c>
      <c r="AH11094" s="4" t="str">
        <f>HYPERLINK("#Statut_biogéographique!A"&amp;_xlfn.XMATCH("P",Statut_biogéographique!A:A,2,1),"P")</f>
        <v>P</v>
      </c>
      <c r="AP11094" s="4" t="s">
        <v>376</v>
      </c>
      <c r="AR11094" s="4" t="s">
        <v>377</v>
      </c>
    </row>
    <row r="11095" spans="1:44">
      <c r="A11095" s="4" t="s">
        <v>10753</v>
      </c>
      <c r="B11095" s="4">
        <v>230134</v>
      </c>
      <c r="D11095" s="5">
        <v>230134</v>
      </c>
      <c r="E11095" s="6" t="str">
        <f>HYPERLINK("https://inpn.mnhn.fr/espece/cd_nom/230134","Aoplus personatus (Gravenhorst, 1829)")</f>
        <v>Aoplus personatus (Gravenhorst, 1829)</v>
      </c>
      <c r="AH11095" s="4" t="str">
        <f>HYPERLINK("#Statut_biogéographique!A"&amp;_xlfn.XMATCH("P",Statut_biogéographique!A:A,2,1),"P")</f>
        <v>P</v>
      </c>
      <c r="AP11095" s="4" t="s">
        <v>376</v>
      </c>
      <c r="AR11095" s="4" t="s">
        <v>377</v>
      </c>
    </row>
    <row r="11096" spans="1:44">
      <c r="A11096" s="4" t="s">
        <v>10753</v>
      </c>
      <c r="B11096" s="4">
        <v>230138</v>
      </c>
      <c r="D11096" s="5">
        <v>230138</v>
      </c>
      <c r="E11096" s="6" t="str">
        <f>HYPERLINK("https://inpn.mnhn.fr/espece/cd_nom/230138","Anisopygus pseudonymus (Wesmael, 1845)")</f>
        <v>Anisopygus pseudonymus (Wesmael, 1845)</v>
      </c>
      <c r="AH11096" s="4" t="str">
        <f>HYPERLINK("#Statut_biogéographique!A"&amp;_xlfn.XMATCH("P",Statut_biogéographique!A:A,2,1),"P")</f>
        <v>P</v>
      </c>
      <c r="AP11096" s="4" t="s">
        <v>376</v>
      </c>
      <c r="AR11096" s="4" t="s">
        <v>377</v>
      </c>
    </row>
    <row r="11097" spans="1:44">
      <c r="A11097" s="4" t="s">
        <v>10753</v>
      </c>
      <c r="B11097" s="4">
        <v>230139</v>
      </c>
      <c r="D11097" s="5" t="s">
        <v>14095</v>
      </c>
      <c r="E11097" s="6" t="str">
        <f>HYPERLINK("https://inpn.mnhn.fr/espece/cd_nom/230139","Amblyteles armatorius (Forster, 1771)")</f>
        <v>Amblyteles armatorius (Forster, 1771)</v>
      </c>
      <c r="AH11097" s="4" t="str">
        <f>HYPERLINK("#Statut_biogéographique!A"&amp;_xlfn.XMATCH("P",Statut_biogéographique!A:A,2,1),"P")</f>
        <v>P</v>
      </c>
      <c r="AP11097" s="4" t="s">
        <v>376</v>
      </c>
      <c r="AR11097" s="4" t="s">
        <v>377</v>
      </c>
    </row>
    <row r="11098" spans="1:44">
      <c r="A11098" s="4" t="s">
        <v>10753</v>
      </c>
      <c r="B11098" s="4">
        <v>230141</v>
      </c>
      <c r="D11098" s="5">
        <v>230141</v>
      </c>
      <c r="E11098" s="6" t="str">
        <f>HYPERLINK("https://inpn.mnhn.fr/espece/cd_nom/230141","Acolobus sericeus Wesmael, 1845")</f>
        <v>Acolobus sericeus Wesmael, 1845</v>
      </c>
      <c r="AH11098" s="4" t="str">
        <f>HYPERLINK("#Statut_biogéographique!A"&amp;_xlfn.XMATCH("P",Statut_biogéographique!A:A,2,1),"P")</f>
        <v>P</v>
      </c>
      <c r="AP11098" s="4" t="s">
        <v>376</v>
      </c>
      <c r="AR11098" s="4" t="s">
        <v>377</v>
      </c>
    </row>
    <row r="11099" spans="1:44">
      <c r="A11099" s="4" t="s">
        <v>10753</v>
      </c>
      <c r="B11099" s="4">
        <v>230143</v>
      </c>
      <c r="D11099" s="5" t="s">
        <v>14096</v>
      </c>
      <c r="E11099" s="6" t="str">
        <f>HYPERLINK("https://inpn.mnhn.fr/espece/cd_nom/230143","Achaius oratorius (Fabricius, 1793)")</f>
        <v>Achaius oratorius (Fabricius, 1793)</v>
      </c>
      <c r="AH11099" s="4" t="str">
        <f>HYPERLINK("#Statut_biogéographique!A"&amp;_xlfn.XMATCH("P",Statut_biogéographique!A:A,2,1),"P")</f>
        <v>P</v>
      </c>
      <c r="AP11099" s="4" t="s">
        <v>376</v>
      </c>
      <c r="AR11099" s="4" t="s">
        <v>377</v>
      </c>
    </row>
    <row r="11100" spans="1:44">
      <c r="A11100" s="4" t="s">
        <v>10753</v>
      </c>
      <c r="B11100" s="4">
        <v>230154</v>
      </c>
      <c r="D11100" s="5">
        <v>230154</v>
      </c>
      <c r="E11100" s="6" t="str">
        <f>HYPERLINK("https://inpn.mnhn.fr/espece/cd_nom/230154","Notosemus bohemani (Wesmael, 1855)")</f>
        <v>Notosemus bohemani (Wesmael, 1855)</v>
      </c>
      <c r="AH11100" s="4" t="str">
        <f>HYPERLINK("#Statut_biogéographique!A"&amp;_xlfn.XMATCH("P",Statut_biogéographique!A:A,2,1),"P")</f>
        <v>P</v>
      </c>
      <c r="AP11100" s="4" t="s">
        <v>376</v>
      </c>
      <c r="AR11100" s="4" t="s">
        <v>377</v>
      </c>
    </row>
    <row r="11101" spans="1:44">
      <c r="A11101" s="4" t="s">
        <v>10753</v>
      </c>
      <c r="B11101" s="4">
        <v>230163</v>
      </c>
      <c r="D11101" s="5" t="s">
        <v>14097</v>
      </c>
      <c r="E11101" s="6" t="str">
        <f>HYPERLINK("https://inpn.mnhn.fr/espece/cd_nom/230163","Platylabus curtorius (Thunberg, 1822)")</f>
        <v>Platylabus curtorius (Thunberg, 1822)</v>
      </c>
      <c r="AH11101" s="4" t="str">
        <f>HYPERLINK("#Statut_biogéographique!A"&amp;_xlfn.XMATCH("P",Statut_biogéographique!A:A,2,1),"P")</f>
        <v>P</v>
      </c>
      <c r="AP11101" s="4" t="s">
        <v>376</v>
      </c>
      <c r="AR11101" s="4" t="s">
        <v>377</v>
      </c>
    </row>
    <row r="11102" spans="1:44">
      <c r="A11102" s="4" t="s">
        <v>10753</v>
      </c>
      <c r="B11102" s="4">
        <v>230165</v>
      </c>
      <c r="D11102" s="5" t="s">
        <v>14098</v>
      </c>
      <c r="E11102" s="6" t="str">
        <f>HYPERLINK("https://inpn.mnhn.fr/espece/cd_nom/230165","Platylabus dolorosus (Gravenhorst, 1829)")</f>
        <v>Platylabus dolorosus (Gravenhorst, 1829)</v>
      </c>
      <c r="AH11102" s="4" t="str">
        <f>HYPERLINK("#Statut_biogéographique!A"&amp;_xlfn.XMATCH("P",Statut_biogéographique!A:A,2,1),"P")</f>
        <v>P</v>
      </c>
      <c r="AP11102" s="4" t="s">
        <v>376</v>
      </c>
      <c r="AR11102" s="4" t="s">
        <v>377</v>
      </c>
    </row>
    <row r="11103" spans="1:44">
      <c r="A11103" s="4" t="s">
        <v>10753</v>
      </c>
      <c r="B11103" s="4">
        <v>230166</v>
      </c>
      <c r="D11103" s="5">
        <v>230166</v>
      </c>
      <c r="E11103" s="6" t="str">
        <f>HYPERLINK("https://inpn.mnhn.fr/espece/cd_nom/230166","Platylabus gigas Kriechbaumer, 1886")</f>
        <v>Platylabus gigas Kriechbaumer, 1886</v>
      </c>
      <c r="AH11103" s="4" t="str">
        <f>HYPERLINK("#Statut_biogéographique!A"&amp;_xlfn.XMATCH("P",Statut_biogéographique!A:A,2,1),"P")</f>
        <v>P</v>
      </c>
      <c r="AP11103" s="4" t="s">
        <v>376</v>
      </c>
      <c r="AR11103" s="4" t="s">
        <v>377</v>
      </c>
    </row>
    <row r="11104" spans="1:44">
      <c r="A11104" s="4" t="s">
        <v>10753</v>
      </c>
      <c r="B11104" s="4">
        <v>230191</v>
      </c>
      <c r="D11104" s="5">
        <v>230191</v>
      </c>
      <c r="E11104" s="6" t="str">
        <f>HYPERLINK("https://inpn.mnhn.fr/espece/cd_nom/230191","Dentilabus variegatus (Wesmael, 1845)")</f>
        <v>Dentilabus variegatus (Wesmael, 1845)</v>
      </c>
      <c r="AH11104" s="4" t="str">
        <f>HYPERLINK("#Statut_biogéographique!A"&amp;_xlfn.XMATCH("P",Statut_biogéographique!A:A,2,1),"P")</f>
        <v>P</v>
      </c>
      <c r="AP11104" s="4" t="s">
        <v>376</v>
      </c>
      <c r="AR11104" s="4" t="s">
        <v>377</v>
      </c>
    </row>
    <row r="11105" spans="1:44">
      <c r="A11105" s="4" t="s">
        <v>10753</v>
      </c>
      <c r="B11105" s="4">
        <v>230193</v>
      </c>
      <c r="D11105" s="5">
        <v>230193</v>
      </c>
      <c r="E11105" s="6" t="str">
        <f>HYPERLINK("https://inpn.mnhn.fr/espece/cd_nom/230193","Cyclolabus nigricollis (Wesmael, 1845)")</f>
        <v>Cyclolabus nigricollis (Wesmael, 1845)</v>
      </c>
      <c r="AH11105" s="4" t="str">
        <f>HYPERLINK("#Statut_biogéographique!A"&amp;_xlfn.XMATCH("P",Statut_biogéographique!A:A,2,1),"P")</f>
        <v>P</v>
      </c>
      <c r="AP11105" s="4" t="s">
        <v>376</v>
      </c>
      <c r="AR11105" s="4" t="s">
        <v>377</v>
      </c>
    </row>
    <row r="11106" spans="1:44">
      <c r="A11106" s="4" t="s">
        <v>10753</v>
      </c>
      <c r="B11106" s="4">
        <v>23020</v>
      </c>
      <c r="D11106" s="5">
        <v>23020</v>
      </c>
      <c r="E11106" s="6" t="str">
        <f>HYPERLINK("https://inpn.mnhn.fr/espece/cd_nom/23020","Rhaphium fasciatum Meigen, 1824")</f>
        <v>Rhaphium fasciatum Meigen, 1824</v>
      </c>
      <c r="AH11106" s="4" t="str">
        <f>HYPERLINK("#Statut_biogéographique!A"&amp;_xlfn.XMATCH("P",Statut_biogéographique!A:A,2,1),"P")</f>
        <v>P</v>
      </c>
      <c r="AP11106" s="4" t="s">
        <v>376</v>
      </c>
      <c r="AR11106" s="4" t="s">
        <v>377</v>
      </c>
    </row>
    <row r="11107" spans="1:44">
      <c r="A11107" s="4" t="s">
        <v>10753</v>
      </c>
      <c r="B11107" s="4">
        <v>230204</v>
      </c>
      <c r="D11107" s="5">
        <v>230204</v>
      </c>
      <c r="E11107" s="6" t="str">
        <f>HYPERLINK("https://inpn.mnhn.fr/espece/cd_nom/230204","Apaeleticus mesostictus (Gravenhorst, 1829)")</f>
        <v>Apaeleticus mesostictus (Gravenhorst, 1829)</v>
      </c>
      <c r="AH11107" s="4" t="str">
        <f>HYPERLINK("#Statut_biogéographique!A"&amp;_xlfn.XMATCH("P",Statut_biogéographique!A:A,2,1),"P")</f>
        <v>P</v>
      </c>
      <c r="AP11107" s="4" t="s">
        <v>376</v>
      </c>
      <c r="AR11107" s="4" t="s">
        <v>377</v>
      </c>
    </row>
    <row r="11108" spans="1:44">
      <c r="A11108" s="4" t="s">
        <v>10753</v>
      </c>
      <c r="B11108" s="4">
        <v>23021</v>
      </c>
      <c r="D11108" s="5" t="s">
        <v>14099</v>
      </c>
      <c r="E11108" s="6" t="str">
        <f>HYPERLINK("https://inpn.mnhn.fr/espece/cd_nom/23021","Rhaphium fascipes (Meigen, 1824)")</f>
        <v>Rhaphium fascipes (Meigen, 1824)</v>
      </c>
      <c r="AH11108" s="4" t="str">
        <f>HYPERLINK("#Statut_biogéographique!A"&amp;_xlfn.XMATCH("P",Statut_biogéographique!A:A,2,1),"P")</f>
        <v>P</v>
      </c>
      <c r="AP11108" s="4" t="s">
        <v>376</v>
      </c>
      <c r="AR11108" s="4" t="s">
        <v>377</v>
      </c>
    </row>
    <row r="11109" spans="1:44">
      <c r="A11109" s="4" t="s">
        <v>10753</v>
      </c>
      <c r="B11109" s="4">
        <v>230230</v>
      </c>
      <c r="D11109" s="5">
        <v>230230</v>
      </c>
      <c r="E11109" s="6" t="str">
        <f>HYPERLINK("https://inpn.mnhn.fr/espece/cd_nom/230230","Syrphoctonus tarsatorius (Panzer, 1809)")</f>
        <v>Syrphoctonus tarsatorius (Panzer, 1809)</v>
      </c>
      <c r="AH11109" s="4" t="str">
        <f>HYPERLINK("#Statut_biogéographique!A"&amp;_xlfn.XMATCH("P",Statut_biogéographique!A:A,2,1),"P")</f>
        <v>P</v>
      </c>
      <c r="AP11109" s="4" t="s">
        <v>376</v>
      </c>
      <c r="AR11109" s="4" t="s">
        <v>377</v>
      </c>
    </row>
    <row r="11110" spans="1:44">
      <c r="A11110" s="4" t="s">
        <v>10753</v>
      </c>
      <c r="B11110" s="4">
        <v>230244</v>
      </c>
      <c r="D11110" s="5" t="s">
        <v>14100</v>
      </c>
      <c r="E11110" s="6" t="str">
        <f>HYPERLINK("https://inpn.mnhn.fr/espece/cd_nom/230244","Diplazon laetatorius (Fabricius, 1781)")</f>
        <v>Diplazon laetatorius (Fabricius, 1781)</v>
      </c>
      <c r="AH11110" s="4" t="str">
        <f>HYPERLINK("#Statut_biogéographique!A"&amp;_xlfn.XMATCH("P",Statut_biogéographique!A:A,2,1),"P")</f>
        <v>P</v>
      </c>
      <c r="AP11110" s="4" t="s">
        <v>376</v>
      </c>
      <c r="AR11110" s="4" t="s">
        <v>377</v>
      </c>
    </row>
    <row r="11111" spans="1:44">
      <c r="A11111" s="4" t="s">
        <v>10753</v>
      </c>
      <c r="B11111" s="4">
        <v>23026</v>
      </c>
      <c r="D11111" s="5" t="s">
        <v>14101</v>
      </c>
      <c r="E11111" s="6" t="str">
        <f>HYPERLINK("https://inpn.mnhn.fr/espece/cd_nom/23026","Rhaphium longicorne (Fallén, 1823)")</f>
        <v>Rhaphium longicorne (Fallén, 1823)</v>
      </c>
      <c r="AH11111" s="4" t="str">
        <f>HYPERLINK("#Statut_biogéographique!A"&amp;_xlfn.XMATCH("P",Statut_biogéographique!A:A,2,1),"P")</f>
        <v>P</v>
      </c>
      <c r="AP11111" s="4" t="s">
        <v>376</v>
      </c>
      <c r="AR11111" s="4" t="s">
        <v>377</v>
      </c>
    </row>
    <row r="11112" spans="1:44">
      <c r="A11112" s="4" t="s">
        <v>10753</v>
      </c>
      <c r="B11112" s="4">
        <v>23027</v>
      </c>
      <c r="D11112" s="5" t="s">
        <v>14102</v>
      </c>
      <c r="E11112" s="6" t="str">
        <f>HYPERLINK("https://inpn.mnhn.fr/espece/cd_nom/23027","Rhaphium micans (Meigen, 1824)")</f>
        <v>Rhaphium micans (Meigen, 1824)</v>
      </c>
      <c r="AH11112" s="4" t="str">
        <f>HYPERLINK("#Statut_biogéographique!A"&amp;_xlfn.XMATCH("P",Statut_biogéographique!A:A,2,1),"P")</f>
        <v>P</v>
      </c>
      <c r="AP11112" s="4" t="s">
        <v>376</v>
      </c>
      <c r="AR11112" s="4" t="s">
        <v>377</v>
      </c>
    </row>
    <row r="11113" spans="1:44">
      <c r="A11113" s="4" t="s">
        <v>10753</v>
      </c>
      <c r="B11113" s="4">
        <v>23028</v>
      </c>
      <c r="D11113" s="5">
        <v>23028</v>
      </c>
      <c r="E11113" s="6" t="str">
        <f>HYPERLINK("https://inpn.mnhn.fr/espece/cd_nom/23028","Rhaphium monotrichum Loew, 1850")</f>
        <v>Rhaphium monotrichum Loew, 1850</v>
      </c>
      <c r="AH11113" s="4" t="str">
        <f>HYPERLINK("#Statut_biogéographique!A"&amp;_xlfn.XMATCH("P",Statut_biogéographique!A:A,2,1),"P")</f>
        <v>P</v>
      </c>
      <c r="AP11113" s="4" t="s">
        <v>376</v>
      </c>
      <c r="AR11113" s="4" t="s">
        <v>377</v>
      </c>
    </row>
    <row r="11114" spans="1:44">
      <c r="A11114" s="4" t="s">
        <v>10753</v>
      </c>
      <c r="B11114" s="4">
        <v>23033</v>
      </c>
      <c r="D11114" s="5" t="s">
        <v>14103</v>
      </c>
      <c r="E11114" s="6" t="str">
        <f>HYPERLINK("https://inpn.mnhn.fr/espece/cd_nom/23033","Rhaphium quadrispinosum (Strobl, 1898)")</f>
        <v>Rhaphium quadrispinosum (Strobl, 1898)</v>
      </c>
      <c r="AH11114" s="4" t="str">
        <f>HYPERLINK("#Statut_biogéographique!A"&amp;_xlfn.XMATCH("P",Statut_biogéographique!A:A,2,1),"P")</f>
        <v>P</v>
      </c>
      <c r="AP11114" s="4" t="s">
        <v>376</v>
      </c>
      <c r="AR11114" s="4" t="s">
        <v>377</v>
      </c>
    </row>
    <row r="11115" spans="1:44">
      <c r="A11115" s="4" t="s">
        <v>10753</v>
      </c>
      <c r="B11115" s="4">
        <v>230330</v>
      </c>
      <c r="D11115" s="5">
        <v>230330</v>
      </c>
      <c r="E11115" s="6" t="str">
        <f>HYPERLINK("https://inpn.mnhn.fr/espece/cd_nom/230330","Euryproctus annulatus (Gravenhorst, 1829)")</f>
        <v>Euryproctus annulatus (Gravenhorst, 1829)</v>
      </c>
      <c r="AH11115" s="4" t="str">
        <f>HYPERLINK("#Statut_biogéographique!A"&amp;_xlfn.XMATCH("P",Statut_biogéographique!A:A,2,1),"P")</f>
        <v>P</v>
      </c>
      <c r="AP11115" s="4" t="s">
        <v>376</v>
      </c>
      <c r="AR11115" s="4" t="s">
        <v>377</v>
      </c>
    </row>
    <row r="11116" spans="1:44">
      <c r="A11116" s="4" t="s">
        <v>10753</v>
      </c>
      <c r="B11116" s="4">
        <v>23053</v>
      </c>
      <c r="D11116" s="5">
        <v>23053</v>
      </c>
      <c r="E11116" s="6" t="str">
        <f>HYPERLINK("https://inpn.mnhn.fr/espece/cd_nom/23053","Eudorylas obscurus Coe, 1966")</f>
        <v>Eudorylas obscurus Coe, 1966</v>
      </c>
      <c r="AH11116" s="4" t="str">
        <f>HYPERLINK("#Statut_biogéographique!A"&amp;_xlfn.XMATCH("P",Statut_biogéographique!A:A,2,1),"P")</f>
        <v>P</v>
      </c>
      <c r="AP11116" s="4" t="s">
        <v>376</v>
      </c>
      <c r="AR11116" s="4" t="s">
        <v>377</v>
      </c>
    </row>
    <row r="11117" spans="1:44">
      <c r="A11117" s="4" t="s">
        <v>10753</v>
      </c>
      <c r="B11117" s="4">
        <v>230556</v>
      </c>
      <c r="D11117" s="5">
        <v>230556</v>
      </c>
      <c r="E11117" s="6" t="str">
        <f>HYPERLINK("https://inpn.mnhn.fr/espece/cd_nom/230556","Stenarella domator (Poda, 1761)")</f>
        <v>Stenarella domator (Poda, 1761)</v>
      </c>
      <c r="AH11117" s="4" t="str">
        <f>HYPERLINK("#Statut_biogéographique!A"&amp;_xlfn.XMATCH("P",Statut_biogéographique!A:A,2,1),"P")</f>
        <v>P</v>
      </c>
      <c r="AP11117" s="4" t="s">
        <v>376</v>
      </c>
      <c r="AR11117" s="4" t="s">
        <v>377</v>
      </c>
    </row>
    <row r="11118" spans="1:44">
      <c r="A11118" s="4" t="s">
        <v>10753</v>
      </c>
      <c r="B11118" s="4">
        <v>230599</v>
      </c>
      <c r="D11118" s="5" t="s">
        <v>14104</v>
      </c>
      <c r="E11118" s="6" t="str">
        <f>HYPERLINK("https://inpn.mnhn.fr/espece/cd_nom/230599","Ischnus inquisitorius (Müller, 1776)")</f>
        <v>Ischnus inquisitorius (Müller, 1776)</v>
      </c>
      <c r="AH11118" s="4" t="str">
        <f>HYPERLINK("#Statut_biogéographique!A"&amp;_xlfn.XMATCH("P",Statut_biogéographique!A:A,2,1),"P")</f>
        <v>P</v>
      </c>
      <c r="AP11118" s="4" t="s">
        <v>376</v>
      </c>
      <c r="AR11118" s="4" t="s">
        <v>377</v>
      </c>
    </row>
    <row r="11119" spans="1:44">
      <c r="A11119" s="4" t="s">
        <v>10753</v>
      </c>
      <c r="B11119" s="4">
        <v>23062</v>
      </c>
      <c r="D11119" s="5" t="s">
        <v>14105</v>
      </c>
      <c r="E11119" s="6" t="str">
        <f>HYPERLINK("https://inpn.mnhn.fr/espece/cd_nom/23062","Pipunculus calceatus Von Roser, 1840")</f>
        <v>Pipunculus calceatus Von Roser, 1840</v>
      </c>
      <c r="AH11119" s="4" t="str">
        <f>HYPERLINK("#Statut_biogéographique!A"&amp;_xlfn.XMATCH("P",Statut_biogéographique!A:A,2,1),"P")</f>
        <v>P</v>
      </c>
      <c r="AP11119" s="4" t="s">
        <v>376</v>
      </c>
      <c r="AR11119" s="4" t="s">
        <v>377</v>
      </c>
    </row>
    <row r="11120" spans="1:44">
      <c r="A11120" s="4" t="s">
        <v>10753</v>
      </c>
      <c r="B11120" s="4">
        <v>23063</v>
      </c>
      <c r="D11120" s="5" t="s">
        <v>14106</v>
      </c>
      <c r="E11120" s="6" t="str">
        <f>HYPERLINK("https://inpn.mnhn.fr/espece/cd_nom/23063","Pipunculus campestris Latreille, 1802")</f>
        <v>Pipunculus campestris Latreille, 1802</v>
      </c>
      <c r="AH11120" s="4" t="str">
        <f>HYPERLINK("#Statut_biogéographique!A"&amp;_xlfn.XMATCH("P",Statut_biogéographique!A:A,2,1),"P")</f>
        <v>P</v>
      </c>
      <c r="AP11120" s="4" t="s">
        <v>376</v>
      </c>
      <c r="AR11120" s="4" t="s">
        <v>377</v>
      </c>
    </row>
    <row r="11121" spans="1:44">
      <c r="A11121" s="4" t="s">
        <v>10753</v>
      </c>
      <c r="B11121" s="4">
        <v>230667</v>
      </c>
      <c r="D11121" s="5">
        <v>230667</v>
      </c>
      <c r="E11121" s="6" t="str">
        <f>HYPERLINK("https://inpn.mnhn.fr/espece/cd_nom/230667","Agrothereutes leucorhaeus (Donovan, 1810)")</f>
        <v>Agrothereutes leucorhaeus (Donovan, 1810)</v>
      </c>
      <c r="AH11121" s="4" t="str">
        <f>HYPERLINK("#Statut_biogéographique!A"&amp;_xlfn.XMATCH("P",Statut_biogéographique!A:A,2,1),"P")</f>
        <v>P</v>
      </c>
      <c r="AP11121" s="4" t="s">
        <v>376</v>
      </c>
      <c r="AR11121" s="4" t="s">
        <v>377</v>
      </c>
    </row>
    <row r="11122" spans="1:44">
      <c r="A11122" s="4" t="s">
        <v>10753</v>
      </c>
      <c r="B11122" s="4">
        <v>23074</v>
      </c>
      <c r="D11122" s="5">
        <v>23074</v>
      </c>
      <c r="E11122" s="6" t="str">
        <f>HYPERLINK("https://inpn.mnhn.fr/espece/cd_nom/23074","Pipunculus tenuirostris Kozánek, 1981")</f>
        <v>Pipunculus tenuirostris Kozánek, 1981</v>
      </c>
      <c r="AH11122" s="4" t="str">
        <f>HYPERLINK("#Statut_biogéographique!A"&amp;_xlfn.XMATCH("P",Statut_biogéographique!A:A,2,1),"P")</f>
        <v>P</v>
      </c>
      <c r="AP11122" s="4" t="s">
        <v>376</v>
      </c>
      <c r="AR11122" s="4" t="s">
        <v>377</v>
      </c>
    </row>
    <row r="11123" spans="1:44">
      <c r="A11123" s="4" t="s">
        <v>10753</v>
      </c>
      <c r="B11123" s="4">
        <v>23081</v>
      </c>
      <c r="D11123" s="5" t="s">
        <v>14107</v>
      </c>
      <c r="E11123" s="6" t="str">
        <f>HYPERLINK("https://inpn.mnhn.fr/espece/cd_nom/23081","Tomosvaryella geniculata (Meigen, 1824)")</f>
        <v>Tomosvaryella geniculata (Meigen, 1824)</v>
      </c>
      <c r="AH11123" s="4" t="str">
        <f>HYPERLINK("#Statut_biogéographique!A"&amp;_xlfn.XMATCH("P",Statut_biogéographique!A:A,2,1),"P")</f>
        <v>P</v>
      </c>
      <c r="AP11123" s="4" t="s">
        <v>376</v>
      </c>
      <c r="AR11123" s="4" t="s">
        <v>377</v>
      </c>
    </row>
    <row r="11124" spans="1:44">
      <c r="A11124" s="4" t="s">
        <v>10753</v>
      </c>
      <c r="B11124" s="4">
        <v>23087</v>
      </c>
      <c r="D11124" s="5">
        <v>23087</v>
      </c>
      <c r="E11124" s="6" t="str">
        <f>HYPERLINK("https://inpn.mnhn.fr/espece/cd_nom/23087","Tomosvaryella kuthyi Aczél, 1944")</f>
        <v>Tomosvaryella kuthyi Aczél, 1944</v>
      </c>
      <c r="AH11124" s="4" t="str">
        <f>HYPERLINK("#Statut_biogéographique!A"&amp;_xlfn.XMATCH("P",Statut_biogéographique!A:A,2,1),"P")</f>
        <v>P</v>
      </c>
      <c r="AP11124" s="4" t="s">
        <v>376</v>
      </c>
      <c r="AR11124" s="4" t="s">
        <v>377</v>
      </c>
    </row>
    <row r="11125" spans="1:44">
      <c r="A11125" s="4" t="s">
        <v>10753</v>
      </c>
      <c r="B11125" s="4">
        <v>23091</v>
      </c>
      <c r="D11125" s="5" t="s">
        <v>14108</v>
      </c>
      <c r="E11125" s="6" t="str">
        <f>HYPERLINK("https://inpn.mnhn.fr/espece/cd_nom/23091","Tomosvaryella palliditarsis (Collin, 1931)")</f>
        <v>Tomosvaryella palliditarsis (Collin, 1931)</v>
      </c>
      <c r="AH11125" s="4" t="str">
        <f>HYPERLINK("#Statut_biogéographique!A"&amp;_xlfn.XMATCH("P",Statut_biogéographique!A:A,2,1),"P")</f>
        <v>P</v>
      </c>
      <c r="AP11125" s="4" t="s">
        <v>376</v>
      </c>
      <c r="AR11125" s="4" t="s">
        <v>377</v>
      </c>
    </row>
    <row r="11126" spans="1:44">
      <c r="A11126" s="4" t="s">
        <v>10753</v>
      </c>
      <c r="B11126" s="4">
        <v>23093</v>
      </c>
      <c r="D11126" s="5" t="s">
        <v>14109</v>
      </c>
      <c r="E11126" s="6" t="str">
        <f>HYPERLINK("https://inpn.mnhn.fr/espece/cd_nom/23093","Tomosvaryella sylvatica (Meigen, 1824)")</f>
        <v>Tomosvaryella sylvatica (Meigen, 1824)</v>
      </c>
      <c r="AH11126" s="4" t="str">
        <f>HYPERLINK("#Statut_biogéographique!A"&amp;_xlfn.XMATCH("P",Statut_biogéographique!A:A,2,1),"P")</f>
        <v>P</v>
      </c>
      <c r="AP11126" s="4" t="s">
        <v>376</v>
      </c>
      <c r="AR11126" s="4" t="s">
        <v>377</v>
      </c>
    </row>
    <row r="11127" spans="1:44">
      <c r="A11127" s="4" t="s">
        <v>10753</v>
      </c>
      <c r="B11127" s="4">
        <v>23099</v>
      </c>
      <c r="D11127" s="5">
        <v>23099</v>
      </c>
      <c r="E11127" s="6" t="str">
        <f>HYPERLINK("https://inpn.mnhn.fr/espece/cd_nom/23099","Eudorylas subfascipes Collin, 1956")</f>
        <v>Eudorylas subfascipes Collin, 1956</v>
      </c>
      <c r="AH11127" s="4" t="str">
        <f>HYPERLINK("#Statut_biogéographique!A"&amp;_xlfn.XMATCH("P",Statut_biogéographique!A:A,2,1),"P")</f>
        <v>P</v>
      </c>
      <c r="AP11127" s="4" t="s">
        <v>376</v>
      </c>
      <c r="AR11127" s="4" t="s">
        <v>377</v>
      </c>
    </row>
    <row r="11128" spans="1:44">
      <c r="A11128" s="4" t="s">
        <v>10753</v>
      </c>
      <c r="B11128" s="4">
        <v>23103</v>
      </c>
      <c r="D11128" s="5" t="s">
        <v>14110</v>
      </c>
      <c r="E11128" s="6" t="str">
        <f>HYPERLINK("https://inpn.mnhn.fr/espece/cd_nom/23103","Eudorylas terminalis (Thomson, 1870)")</f>
        <v>Eudorylas terminalis (Thomson, 1870)</v>
      </c>
      <c r="AH11128" s="4" t="str">
        <f>HYPERLINK("#Statut_biogéographique!A"&amp;_xlfn.XMATCH("P",Statut_biogéographique!A:A,2,1),"P")</f>
        <v>P</v>
      </c>
      <c r="AP11128" s="4" t="s">
        <v>376</v>
      </c>
      <c r="AR11128" s="4" t="s">
        <v>377</v>
      </c>
    </row>
    <row r="11129" spans="1:44">
      <c r="A11129" s="4" t="s">
        <v>10753</v>
      </c>
      <c r="B11129" s="4">
        <v>23105</v>
      </c>
      <c r="D11129" s="5" t="s">
        <v>14111</v>
      </c>
      <c r="E11129" s="6" t="str">
        <f>HYPERLINK("https://inpn.mnhn.fr/espece/cd_nom/23105","Eudorylas zonatus (Zetterstedt, 1849)")</f>
        <v>Eudorylas zonatus (Zetterstedt, 1849)</v>
      </c>
      <c r="AH11129" s="4" t="str">
        <f>HYPERLINK("#Statut_biogéographique!A"&amp;_xlfn.XMATCH("P",Statut_biogéographique!A:A,2,1),"P")</f>
        <v>P</v>
      </c>
      <c r="AP11129" s="4" t="s">
        <v>376</v>
      </c>
      <c r="AR11129" s="4" t="s">
        <v>377</v>
      </c>
    </row>
    <row r="11130" spans="1:44">
      <c r="A11130" s="4" t="s">
        <v>10753</v>
      </c>
      <c r="B11130" s="4">
        <v>23107</v>
      </c>
      <c r="D11130" s="5">
        <v>23107</v>
      </c>
      <c r="E11130" s="6" t="str">
        <f>HYPERLINK("https://inpn.mnhn.fr/espece/cd_nom/23107","Eudorylas zonellus Collin, 1956")</f>
        <v>Eudorylas zonellus Collin, 1956</v>
      </c>
      <c r="AH11130" s="4" t="str">
        <f>HYPERLINK("#Statut_biogéographique!A"&amp;_xlfn.XMATCH("P",Statut_biogéographique!A:A,2,1),"P")</f>
        <v>P</v>
      </c>
      <c r="AP11130" s="4" t="s">
        <v>376</v>
      </c>
      <c r="AR11130" s="4" t="s">
        <v>377</v>
      </c>
    </row>
    <row r="11131" spans="1:44">
      <c r="A11131" s="4" t="s">
        <v>10753</v>
      </c>
      <c r="B11131" s="4">
        <v>23111</v>
      </c>
      <c r="D11131" s="5" t="s">
        <v>14112</v>
      </c>
      <c r="E11131" s="6" t="str">
        <f>HYPERLINK("https://inpn.mnhn.fr/espece/cd_nom/23111","Dasysyrphus albostriatus (Fallén, 1817)")</f>
        <v>Dasysyrphus albostriatus (Fallén, 1817)</v>
      </c>
      <c r="P11131" s="7" t="str">
        <f>HYPERLINK("#Liste_rouge!A"&amp;_xlfn.XMATCH("LC",Liste_rouge!A:A,2,1),"LC")</f>
        <v>LC</v>
      </c>
      <c r="AH11131" s="4" t="str">
        <f>HYPERLINK("#Statut_biogéographique!A"&amp;_xlfn.XMATCH("P",Statut_biogéographique!A:A,2,1),"P")</f>
        <v>P</v>
      </c>
      <c r="AP11131" s="4" t="s">
        <v>376</v>
      </c>
      <c r="AR11131" s="4" t="s">
        <v>377</v>
      </c>
    </row>
    <row r="11132" spans="1:44">
      <c r="A11132" s="4" t="s">
        <v>10753</v>
      </c>
      <c r="B11132" s="4">
        <v>23113</v>
      </c>
      <c r="D11132" s="5" t="s">
        <v>14113</v>
      </c>
      <c r="E11132" s="6" t="str">
        <f>HYPERLINK("https://inpn.mnhn.fr/espece/cd_nom/23113","Dasysyrphus friuliensis (van der Goot, 1960)")</f>
        <v>Dasysyrphus friuliensis (van der Goot, 1960)</v>
      </c>
      <c r="P11132" s="7" t="str">
        <f>HYPERLINK("#Liste_rouge!A"&amp;_xlfn.XMATCH("LC",Liste_rouge!A:A,2,1),"LC")</f>
        <v>LC</v>
      </c>
      <c r="AH11132" s="4" t="str">
        <f>HYPERLINK("#Statut_biogéographique!A"&amp;_xlfn.XMATCH("P",Statut_biogéographique!A:A,2,1),"P")</f>
        <v>P</v>
      </c>
      <c r="AP11132" s="4" t="s">
        <v>376</v>
      </c>
      <c r="AR11132" s="4" t="s">
        <v>377</v>
      </c>
    </row>
    <row r="11133" spans="1:44">
      <c r="A11133" s="4" t="s">
        <v>10753</v>
      </c>
      <c r="B11133" s="4">
        <v>23114</v>
      </c>
      <c r="D11133" s="5" t="s">
        <v>14114</v>
      </c>
      <c r="E11133" s="6" t="str">
        <f>HYPERLINK("https://inpn.mnhn.fr/espece/cd_nom/23114","Dasysyrphus hilaris (Zetterstedt, 1843)")</f>
        <v>Dasysyrphus hilaris (Zetterstedt, 1843)</v>
      </c>
      <c r="P11133" s="7" t="str">
        <f>HYPERLINK("#Liste_rouge!A"&amp;_xlfn.XMATCH("LC",Liste_rouge!A:A,2,1),"LC")</f>
        <v>LC</v>
      </c>
      <c r="AH11133" s="4" t="str">
        <f>HYPERLINK("#Statut_biogéographique!A"&amp;_xlfn.XMATCH("P",Statut_biogéographique!A:A,2,1),"P")</f>
        <v>P</v>
      </c>
      <c r="AP11133" s="4" t="s">
        <v>376</v>
      </c>
      <c r="AR11133" s="4" t="s">
        <v>377</v>
      </c>
    </row>
    <row r="11134" spans="1:44">
      <c r="A11134" s="4" t="s">
        <v>10753</v>
      </c>
      <c r="B11134" s="4">
        <v>23117</v>
      </c>
      <c r="D11134" s="5" t="s">
        <v>14115</v>
      </c>
      <c r="E11134" s="6" t="str">
        <f>HYPERLINK("https://inpn.mnhn.fr/espece/cd_nom/23117","Dasysyrphus tricinctus (Fallén, 1817)")</f>
        <v>Dasysyrphus tricinctus (Fallén, 1817)</v>
      </c>
      <c r="P11134" s="7" t="str">
        <f>HYPERLINK("#Liste_rouge!A"&amp;_xlfn.XMATCH("LC",Liste_rouge!A:A,2,1),"LC")</f>
        <v>LC</v>
      </c>
      <c r="AH11134" s="4" t="str">
        <f>HYPERLINK("#Statut_biogéographique!A"&amp;_xlfn.XMATCH("P",Statut_biogéographique!A:A,2,1),"P")</f>
        <v>P</v>
      </c>
      <c r="AP11134" s="4" t="s">
        <v>376</v>
      </c>
      <c r="AR11134" s="4" t="s">
        <v>377</v>
      </c>
    </row>
    <row r="11135" spans="1:44">
      <c r="A11135" s="4" t="s">
        <v>10753</v>
      </c>
      <c r="B11135" s="4">
        <v>23118</v>
      </c>
      <c r="D11135" s="5" t="s">
        <v>14116</v>
      </c>
      <c r="E11135" s="6" t="str">
        <f>HYPERLINK("https://inpn.mnhn.fr/espece/cd_nom/23118","Dasysyrphus venustus (Meigen, 1822)")</f>
        <v>Dasysyrphus venustus (Meigen, 1822)</v>
      </c>
      <c r="P11135" s="7" t="str">
        <f>HYPERLINK("#Liste_rouge!A"&amp;_xlfn.XMATCH("LC",Liste_rouge!A:A,2,1),"LC")</f>
        <v>LC</v>
      </c>
      <c r="AH11135" s="4" t="str">
        <f>HYPERLINK("#Statut_biogéographique!A"&amp;_xlfn.XMATCH("P",Statut_biogéographique!A:A,2,1),"P")</f>
        <v>P</v>
      </c>
      <c r="AP11135" s="4" t="s">
        <v>376</v>
      </c>
      <c r="AR11135" s="4" t="s">
        <v>377</v>
      </c>
    </row>
    <row r="11136" spans="1:44">
      <c r="A11136" s="4" t="s">
        <v>10753</v>
      </c>
      <c r="B11136" s="4">
        <v>23121</v>
      </c>
      <c r="D11136" s="5" t="s">
        <v>14117</v>
      </c>
      <c r="E11136" s="6" t="str">
        <f>HYPERLINK("https://inpn.mnhn.fr/espece/cd_nom/23121","Epistrophe diaphana (Zetterstedt, 1843)")</f>
        <v>Epistrophe diaphana (Zetterstedt, 1843)</v>
      </c>
      <c r="P11136" s="7" t="str">
        <f>HYPERLINK("#Liste_rouge!A"&amp;_xlfn.XMATCH("LC",Liste_rouge!A:A,2,1),"LC")</f>
        <v>LC</v>
      </c>
      <c r="AH11136" s="4" t="str">
        <f>HYPERLINK("#Statut_biogéographique!A"&amp;_xlfn.XMATCH("P",Statut_biogéographique!A:A,2,1),"P")</f>
        <v>P</v>
      </c>
      <c r="AP11136" s="4" t="s">
        <v>376</v>
      </c>
      <c r="AR11136" s="4" t="s">
        <v>377</v>
      </c>
    </row>
    <row r="11137" spans="1:44">
      <c r="A11137" s="4" t="s">
        <v>10753</v>
      </c>
      <c r="B11137" s="4">
        <v>23122</v>
      </c>
      <c r="D11137" s="5" t="s">
        <v>14118</v>
      </c>
      <c r="E11137" s="6" t="str">
        <f>HYPERLINK("https://inpn.mnhn.fr/espece/cd_nom/23122","Epistrophe eligans (Harris, 1780)")</f>
        <v>Epistrophe eligans (Harris, 1780)</v>
      </c>
      <c r="P11137" s="7" t="str">
        <f>HYPERLINK("#Liste_rouge!A"&amp;_xlfn.XMATCH("LC",Liste_rouge!A:A,2,1),"LC")</f>
        <v>LC</v>
      </c>
      <c r="AH11137" s="4" t="str">
        <f>HYPERLINK("#Statut_biogéographique!A"&amp;_xlfn.XMATCH("P",Statut_biogéographique!A:A,2,1),"P")</f>
        <v>P</v>
      </c>
      <c r="AP11137" s="4" t="s">
        <v>376</v>
      </c>
      <c r="AR11137" s="4" t="s">
        <v>377</v>
      </c>
    </row>
    <row r="11138" spans="1:44">
      <c r="A11138" s="4" t="s">
        <v>10753</v>
      </c>
      <c r="B11138" s="4">
        <v>23126</v>
      </c>
      <c r="D11138" s="5" t="s">
        <v>14119</v>
      </c>
      <c r="E11138" s="6" t="str">
        <f>HYPERLINK("https://inpn.mnhn.fr/espece/cd_nom/23126","Epistrophe grossulariae (Meigen, 1822)")</f>
        <v>Epistrophe grossulariae (Meigen, 1822)</v>
      </c>
      <c r="P11138" s="7" t="str">
        <f>HYPERLINK("#Liste_rouge!A"&amp;_xlfn.XMATCH("LC",Liste_rouge!A:A,2,1),"LC")</f>
        <v>LC</v>
      </c>
      <c r="AH11138" s="4" t="str">
        <f>HYPERLINK("#Statut_biogéographique!A"&amp;_xlfn.XMATCH("P",Statut_biogéographique!A:A,2,1),"P")</f>
        <v>P</v>
      </c>
      <c r="AP11138" s="4" t="s">
        <v>376</v>
      </c>
      <c r="AR11138" s="4" t="s">
        <v>377</v>
      </c>
    </row>
    <row r="11139" spans="1:44">
      <c r="A11139" s="4" t="s">
        <v>10753</v>
      </c>
      <c r="B11139" s="4">
        <v>23128</v>
      </c>
      <c r="D11139" s="5" t="s">
        <v>14120</v>
      </c>
      <c r="E11139" s="6" t="str">
        <f>HYPERLINK("https://inpn.mnhn.fr/espece/cd_nom/23128","Epistrophe melanostoma (Zetterstedt, 1843)")</f>
        <v>Epistrophe melanostoma (Zetterstedt, 1843)</v>
      </c>
      <c r="P11139" s="7" t="str">
        <f>HYPERLINK("#Liste_rouge!A"&amp;_xlfn.XMATCH("LC",Liste_rouge!A:A,2,1),"LC")</f>
        <v>LC</v>
      </c>
      <c r="AH11139" s="4" t="str">
        <f>HYPERLINK("#Statut_biogéographique!A"&amp;_xlfn.XMATCH("P",Statut_biogéographique!A:A,2,1),"P")</f>
        <v>P</v>
      </c>
      <c r="AP11139" s="4" t="s">
        <v>376</v>
      </c>
      <c r="AR11139" s="4" t="s">
        <v>377</v>
      </c>
    </row>
    <row r="11140" spans="1:44">
      <c r="A11140" s="4" t="s">
        <v>10753</v>
      </c>
      <c r="B11140" s="4">
        <v>23129</v>
      </c>
      <c r="D11140" s="5" t="s">
        <v>14121</v>
      </c>
      <c r="E11140" s="6" t="str">
        <f>HYPERLINK("https://inpn.mnhn.fr/espece/cd_nom/23129","Epistrophe nitidicollis (Meigen, 1822)")</f>
        <v>Epistrophe nitidicollis (Meigen, 1822)</v>
      </c>
      <c r="P11140" s="7" t="str">
        <f>HYPERLINK("#Liste_rouge!A"&amp;_xlfn.XMATCH("LC",Liste_rouge!A:A,2,1),"LC")</f>
        <v>LC</v>
      </c>
      <c r="AH11140" s="4" t="str">
        <f>HYPERLINK("#Statut_biogéographique!A"&amp;_xlfn.XMATCH("P",Statut_biogéographique!A:A,2,1),"P")</f>
        <v>P</v>
      </c>
      <c r="AP11140" s="4" t="s">
        <v>376</v>
      </c>
      <c r="AR11140" s="4" t="s">
        <v>377</v>
      </c>
    </row>
    <row r="11141" spans="1:44">
      <c r="A11141" s="4" t="s">
        <v>10753</v>
      </c>
      <c r="B11141" s="4">
        <v>23132</v>
      </c>
      <c r="D11141" s="5" t="s">
        <v>14122</v>
      </c>
      <c r="E11141" s="6" t="str">
        <f>HYPERLINK("https://inpn.mnhn.fr/espece/cd_nom/23132","Eriozona syrphoides (Fallén, 1817)")</f>
        <v>Eriozona syrphoides (Fallén, 1817)</v>
      </c>
      <c r="P11141" s="7" t="str">
        <f>HYPERLINK("#Liste_rouge!A"&amp;_xlfn.XMATCH("LC",Liste_rouge!A:A,2,1),"LC")</f>
        <v>LC</v>
      </c>
      <c r="AH11141" s="4" t="str">
        <f>HYPERLINK("#Statut_biogéographique!A"&amp;_xlfn.XMATCH("P",Statut_biogéographique!A:A,2,1),"P")</f>
        <v>P</v>
      </c>
      <c r="AP11141" s="4" t="s">
        <v>376</v>
      </c>
      <c r="AR11141" s="4" t="s">
        <v>377</v>
      </c>
    </row>
    <row r="11142" spans="1:44">
      <c r="A11142" s="4" t="s">
        <v>10753</v>
      </c>
      <c r="B11142" s="4">
        <v>23137</v>
      </c>
      <c r="D11142" s="5" t="s">
        <v>14123</v>
      </c>
      <c r="E11142" s="6" t="str">
        <f>HYPERLINK("https://inpn.mnhn.fr/espece/cd_nom/23137","Leucozona lucorum (Linnaeus, 1758)")</f>
        <v>Leucozona lucorum (Linnaeus, 1758)</v>
      </c>
      <c r="P11142" s="7" t="str">
        <f>HYPERLINK("#Liste_rouge!A"&amp;_xlfn.XMATCH("LC",Liste_rouge!A:A,2,1),"LC")</f>
        <v>LC</v>
      </c>
      <c r="AH11142" s="4" t="str">
        <f>HYPERLINK("#Statut_biogéographique!A"&amp;_xlfn.XMATCH("P",Statut_biogéographique!A:A,2,1),"P")</f>
        <v>P</v>
      </c>
      <c r="AP11142" s="4" t="s">
        <v>376</v>
      </c>
      <c r="AR11142" s="4" t="s">
        <v>377</v>
      </c>
    </row>
    <row r="11143" spans="1:44">
      <c r="A11143" s="4" t="s">
        <v>10753</v>
      </c>
      <c r="B11143" s="4">
        <v>23154</v>
      </c>
      <c r="D11143" s="5" t="s">
        <v>14124</v>
      </c>
      <c r="E11143" s="6" t="str">
        <f>HYPERLINK("https://inpn.mnhn.fr/espece/cd_nom/23154","Scaeva pyrastri (Linnaeus, 1758)")</f>
        <v>Scaeva pyrastri (Linnaeus, 1758)</v>
      </c>
      <c r="F11143" s="5" t="s">
        <v>14125</v>
      </c>
      <c r="P11143" s="7" t="str">
        <f>HYPERLINK("#Liste_rouge!A"&amp;_xlfn.XMATCH("LC",Liste_rouge!A:A,2,1),"LC")</f>
        <v>LC</v>
      </c>
      <c r="AH11143" s="4" t="str">
        <f>HYPERLINK("#Statut_biogéographique!A"&amp;_xlfn.XMATCH("P",Statut_biogéographique!A:A,2,1),"P")</f>
        <v>P</v>
      </c>
      <c r="AP11143" s="4" t="s">
        <v>376</v>
      </c>
      <c r="AR11143" s="4" t="s">
        <v>377</v>
      </c>
    </row>
    <row r="11144" spans="1:44">
      <c r="A11144" s="4" t="s">
        <v>10753</v>
      </c>
      <c r="B11144" s="4">
        <v>23156</v>
      </c>
      <c r="D11144" s="5" t="s">
        <v>14126</v>
      </c>
      <c r="E11144" s="6" t="str">
        <f>HYPERLINK("https://inpn.mnhn.fr/espece/cd_nom/23156","Scaeva selenitica (Meigen, 1822)")</f>
        <v>Scaeva selenitica (Meigen, 1822)</v>
      </c>
      <c r="P11144" s="7" t="str">
        <f>HYPERLINK("#Liste_rouge!A"&amp;_xlfn.XMATCH("LC",Liste_rouge!A:A,2,1),"LC")</f>
        <v>LC</v>
      </c>
      <c r="AH11144" s="4" t="str">
        <f>HYPERLINK("#Statut_biogéographique!A"&amp;_xlfn.XMATCH("P",Statut_biogéographique!A:A,2,1),"P")</f>
        <v>P</v>
      </c>
      <c r="AP11144" s="4" t="s">
        <v>376</v>
      </c>
      <c r="AR11144" s="4" t="s">
        <v>377</v>
      </c>
    </row>
    <row r="11145" spans="1:44">
      <c r="A11145" s="4" t="s">
        <v>10753</v>
      </c>
      <c r="B11145" s="4">
        <v>231571</v>
      </c>
      <c r="D11145" s="5" t="s">
        <v>14127</v>
      </c>
      <c r="E11145" s="6" t="str">
        <f>HYPERLINK("https://inpn.mnhn.fr/espece/cd_nom/231571","Rynchobanchus bicolor Kriechbaumer, 1894")</f>
        <v>Rynchobanchus bicolor Kriechbaumer, 1894</v>
      </c>
      <c r="AH11145" s="4" t="str">
        <f>HYPERLINK("#Statut_biogéographique!A"&amp;_xlfn.XMATCH("P",Statut_biogéographique!A:A,2,1),"P")</f>
        <v>P</v>
      </c>
      <c r="AP11145" s="4" t="s">
        <v>376</v>
      </c>
      <c r="AR11145" s="4" t="s">
        <v>377</v>
      </c>
    </row>
    <row r="11146" spans="1:44">
      <c r="A11146" s="4" t="s">
        <v>10753</v>
      </c>
      <c r="B11146" s="4">
        <v>23162</v>
      </c>
      <c r="D11146" s="5">
        <v>23162</v>
      </c>
      <c r="E11146" s="6" t="str">
        <f>HYPERLINK("https://inpn.mnhn.fr/espece/cd_nom/23162","Syrphus nitidifrons Becker, 1921")</f>
        <v>Syrphus nitidifrons Becker, 1921</v>
      </c>
      <c r="O11146" s="7" t="str">
        <f>HYPERLINK("#Liste_rouge!A"&amp;_xlfn.XMATCH("LC",Liste_rouge!A:A,2,1),"LC")</f>
        <v>LC</v>
      </c>
      <c r="P11146" s="7" t="str">
        <f>HYPERLINK("#Liste_rouge!A"&amp;_xlfn.XMATCH("LC",Liste_rouge!A:A,2,1),"LC")</f>
        <v>LC</v>
      </c>
      <c r="AH11146" s="4" t="str">
        <f>HYPERLINK("#Statut_biogéographique!A"&amp;_xlfn.XMATCH("P",Statut_biogéographique!A:A,2,1),"P")</f>
        <v>P</v>
      </c>
      <c r="AP11146" s="4" t="s">
        <v>376</v>
      </c>
      <c r="AR11146" s="4" t="s">
        <v>377</v>
      </c>
    </row>
    <row r="11147" spans="1:44">
      <c r="A11147" s="4" t="s">
        <v>10753</v>
      </c>
      <c r="B11147" s="4">
        <v>23163</v>
      </c>
      <c r="D11147" s="5" t="s">
        <v>14128</v>
      </c>
      <c r="E11147" s="6" t="str">
        <f>HYPERLINK("https://inpn.mnhn.fr/espece/cd_nom/23163","Syrphus ribesii (Linnaeus, 1758)")</f>
        <v>Syrphus ribesii (Linnaeus, 1758)</v>
      </c>
      <c r="F11147" s="5" t="s">
        <v>14129</v>
      </c>
      <c r="P11147" s="7" t="str">
        <f>HYPERLINK("#Liste_rouge!A"&amp;_xlfn.XMATCH("LC",Liste_rouge!A:A,2,1),"LC")</f>
        <v>LC</v>
      </c>
      <c r="AH11147" s="4" t="str">
        <f>HYPERLINK("#Statut_biogéographique!A"&amp;_xlfn.XMATCH("P",Statut_biogéographique!A:A,2,1),"P")</f>
        <v>P</v>
      </c>
      <c r="AP11147" s="4" t="s">
        <v>376</v>
      </c>
      <c r="AR11147" s="4" t="s">
        <v>377</v>
      </c>
    </row>
    <row r="11148" spans="1:44">
      <c r="A11148" s="4" t="s">
        <v>10753</v>
      </c>
      <c r="B11148" s="4">
        <v>23164</v>
      </c>
      <c r="D11148" s="5">
        <v>23164</v>
      </c>
      <c r="E11148" s="6" t="str">
        <f>HYPERLINK("https://inpn.mnhn.fr/espece/cd_nom/23164","Syrphus torvus Osten-Sacken, 1875")</f>
        <v>Syrphus torvus Osten-Sacken, 1875</v>
      </c>
      <c r="P11148" s="7" t="str">
        <f>HYPERLINK("#Liste_rouge!A"&amp;_xlfn.XMATCH("LC",Liste_rouge!A:A,2,1),"LC")</f>
        <v>LC</v>
      </c>
      <c r="AH11148" s="4" t="str">
        <f>HYPERLINK("#Statut_biogéographique!A"&amp;_xlfn.XMATCH("P",Statut_biogéographique!A:A,2,1),"P")</f>
        <v>P</v>
      </c>
      <c r="AP11148" s="4" t="s">
        <v>376</v>
      </c>
      <c r="AR11148" s="4" t="s">
        <v>377</v>
      </c>
    </row>
    <row r="11149" spans="1:44">
      <c r="A11149" s="4" t="s">
        <v>10753</v>
      </c>
      <c r="B11149" s="4">
        <v>23165</v>
      </c>
      <c r="D11149" s="5">
        <v>23165</v>
      </c>
      <c r="E11149" s="6" t="str">
        <f>HYPERLINK("https://inpn.mnhn.fr/espece/cd_nom/23165","Syrphus vitripennis Meigen, 1822")</f>
        <v>Syrphus vitripennis Meigen, 1822</v>
      </c>
      <c r="P11149" s="7" t="str">
        <f>HYPERLINK("#Liste_rouge!A"&amp;_xlfn.XMATCH("LC",Liste_rouge!A:A,2,1),"LC")</f>
        <v>LC</v>
      </c>
      <c r="AH11149" s="4" t="str">
        <f>HYPERLINK("#Statut_biogéographique!A"&amp;_xlfn.XMATCH("P",Statut_biogéographique!A:A,2,1),"P")</f>
        <v>P</v>
      </c>
      <c r="AP11149" s="4" t="s">
        <v>376</v>
      </c>
      <c r="AR11149" s="4" t="s">
        <v>377</v>
      </c>
    </row>
    <row r="11150" spans="1:44">
      <c r="A11150" s="4" t="s">
        <v>10753</v>
      </c>
      <c r="B11150" s="4">
        <v>23168</v>
      </c>
      <c r="D11150" s="5" t="s">
        <v>14130</v>
      </c>
      <c r="E11150" s="6" t="str">
        <f>HYPERLINK("https://inpn.mnhn.fr/espece/cd_nom/23168","Baccha elongata (Fabricius, 1775)")</f>
        <v>Baccha elongata (Fabricius, 1775)</v>
      </c>
      <c r="P11150" s="7" t="str">
        <f>HYPERLINK("#Liste_rouge!A"&amp;_xlfn.XMATCH("LC",Liste_rouge!A:A,2,1),"LC")</f>
        <v>LC</v>
      </c>
      <c r="AH11150" s="4" t="str">
        <f>HYPERLINK("#Statut_biogéographique!A"&amp;_xlfn.XMATCH("P",Statut_biogéographique!A:A,2,1),"P")</f>
        <v>P</v>
      </c>
      <c r="AP11150" s="4" t="s">
        <v>376</v>
      </c>
      <c r="AR11150" s="4" t="s">
        <v>377</v>
      </c>
    </row>
    <row r="11151" spans="1:44">
      <c r="A11151" s="4" t="s">
        <v>10753</v>
      </c>
      <c r="B11151" s="4">
        <v>231703</v>
      </c>
      <c r="D11151" s="5" t="s">
        <v>14131</v>
      </c>
      <c r="E11151" s="6" t="str">
        <f>HYPERLINK("https://inpn.mnhn.fr/espece/cd_nom/231703","Phaenolobus terebrator (Scopoli, 1763)")</f>
        <v>Phaenolobus terebrator (Scopoli, 1763)</v>
      </c>
      <c r="AH11151" s="4" t="str">
        <f>HYPERLINK("#Statut_biogéographique!A"&amp;_xlfn.XMATCH("P",Statut_biogéographique!A:A,2,1),"P")</f>
        <v>P</v>
      </c>
      <c r="AP11151" s="4" t="s">
        <v>376</v>
      </c>
      <c r="AR11151" s="4" t="s">
        <v>377</v>
      </c>
    </row>
    <row r="11152" spans="1:44">
      <c r="A11152" s="4" t="s">
        <v>10753</v>
      </c>
      <c r="B11152" s="4">
        <v>231709</v>
      </c>
      <c r="D11152" s="5">
        <v>231709</v>
      </c>
      <c r="E11152" s="6" t="str">
        <f>HYPERLINK("https://inpn.mnhn.fr/espece/cd_nom/231709","Arotes albicinctus Gravenhorst, 1829")</f>
        <v>Arotes albicinctus Gravenhorst, 1829</v>
      </c>
      <c r="AH11152" s="4" t="str">
        <f>HYPERLINK("#Statut_biogéographique!A"&amp;_xlfn.XMATCH("P",Statut_biogéographique!A:A,2,1),"P")</f>
        <v>P</v>
      </c>
      <c r="AP11152" s="4" t="s">
        <v>376</v>
      </c>
      <c r="AR11152" s="4" t="s">
        <v>377</v>
      </c>
    </row>
    <row r="11153" spans="1:44" ht="45">
      <c r="A11153" s="4" t="s">
        <v>10753</v>
      </c>
      <c r="B11153" s="4">
        <v>231712</v>
      </c>
      <c r="D11153" s="5" t="s">
        <v>14132</v>
      </c>
      <c r="E11153" s="6" t="str">
        <f>HYPERLINK("https://inpn.mnhn.fr/espece/cd_nom/231712","Monosapyga clavicornis (Linnaeus, 1758)")</f>
        <v>Monosapyga clavicornis (Linnaeus, 1758)</v>
      </c>
      <c r="AH11153" s="4" t="str">
        <f>HYPERLINK("#Statut_biogéographique!A"&amp;_xlfn.XMATCH("P",Statut_biogéographique!A:A,2,1),"P")</f>
        <v>P</v>
      </c>
      <c r="AP11153" s="4" t="s">
        <v>376</v>
      </c>
      <c r="AR11153" s="4" t="s">
        <v>377</v>
      </c>
    </row>
    <row r="11154" spans="1:44" ht="45">
      <c r="A11154" s="4" t="s">
        <v>10753</v>
      </c>
      <c r="B11154" s="4">
        <v>231717</v>
      </c>
      <c r="D11154" s="5" t="s">
        <v>14133</v>
      </c>
      <c r="E11154" s="6" t="str">
        <f>HYPERLINK("https://inpn.mnhn.fr/espece/cd_nom/231717","Sapyga quinquepunctata (Fabricius, 1781)")</f>
        <v>Sapyga quinquepunctata (Fabricius, 1781)</v>
      </c>
      <c r="AH11154" s="4" t="str">
        <f>HYPERLINK("#Statut_biogéographique!A"&amp;_xlfn.XMATCH("P",Statut_biogéographique!A:A,2,1),"P")</f>
        <v>P</v>
      </c>
      <c r="AP11154" s="4" t="s">
        <v>376</v>
      </c>
      <c r="AR11154" s="4" t="s">
        <v>377</v>
      </c>
    </row>
    <row r="11155" spans="1:44" ht="30">
      <c r="A11155" s="4" t="s">
        <v>10753</v>
      </c>
      <c r="B11155" s="4">
        <v>231719</v>
      </c>
      <c r="D11155" s="5" t="s">
        <v>14134</v>
      </c>
      <c r="E11155" s="6" t="str">
        <f>HYPERLINK("https://inpn.mnhn.fr/espece/cd_nom/231719","Sapygina decemguttata (Jurine, 1807)")</f>
        <v>Sapygina decemguttata (Jurine, 1807)</v>
      </c>
      <c r="AH11155" s="4" t="str">
        <f>HYPERLINK("#Statut_biogéographique!A"&amp;_xlfn.XMATCH("P",Statut_biogéographique!A:A,2,1),"P")</f>
        <v>P</v>
      </c>
      <c r="AP11155" s="4" t="s">
        <v>376</v>
      </c>
      <c r="AR11155" s="4" t="s">
        <v>377</v>
      </c>
    </row>
    <row r="11156" spans="1:44">
      <c r="A11156" s="4" t="s">
        <v>10753</v>
      </c>
      <c r="B11156" s="4">
        <v>231725</v>
      </c>
      <c r="D11156" s="5">
        <v>231725</v>
      </c>
      <c r="E11156" s="6" t="str">
        <f>HYPERLINK("https://inpn.mnhn.fr/espece/cd_nom/231725","Scolia sexmaculata (O.F. Müller, 1766)")</f>
        <v>Scolia sexmaculata (O.F. Müller, 1766)</v>
      </c>
      <c r="AH11156" s="4" t="str">
        <f>HYPERLINK("#Statut_biogéographique!A"&amp;_xlfn.XMATCH("P",Statut_biogéographique!A:A,2,1),"P")</f>
        <v>P</v>
      </c>
      <c r="AP11156" s="4" t="s">
        <v>376</v>
      </c>
      <c r="AR11156" s="4" t="s">
        <v>377</v>
      </c>
    </row>
    <row r="11157" spans="1:44">
      <c r="A11157" s="4" t="s">
        <v>10753</v>
      </c>
      <c r="B11157" s="4">
        <v>231726</v>
      </c>
      <c r="D11157" s="5" t="s">
        <v>14135</v>
      </c>
      <c r="E11157" s="6" t="str">
        <f>HYPERLINK("https://inpn.mnhn.fr/espece/cd_nom/231726","Scolia hirta (Schrank, 1781)")</f>
        <v>Scolia hirta (Schrank, 1781)</v>
      </c>
      <c r="AH11157" s="4" t="str">
        <f>HYPERLINK("#Statut_biogéographique!A"&amp;_xlfn.XMATCH("P",Statut_biogéographique!A:A,2,1),"P")</f>
        <v>P</v>
      </c>
      <c r="AP11157" s="4" t="s">
        <v>376</v>
      </c>
      <c r="AR11157" s="4" t="s">
        <v>377</v>
      </c>
    </row>
    <row r="11158" spans="1:44">
      <c r="A11158" s="4" t="s">
        <v>10753</v>
      </c>
      <c r="B11158" s="4">
        <v>23173</v>
      </c>
      <c r="D11158" s="5" t="s">
        <v>14136</v>
      </c>
      <c r="E11158" s="6" t="str">
        <f>HYPERLINK("https://inpn.mnhn.fr/espece/cd_nom/23173","Chrysotoxum bicinctum (Linnaeus, 1758)")</f>
        <v>Chrysotoxum bicinctum (Linnaeus, 1758)</v>
      </c>
      <c r="P11158" s="7" t="str">
        <f>HYPERLINK("#Liste_rouge!A"&amp;_xlfn.XMATCH("LC",Liste_rouge!A:A,2,1),"LC")</f>
        <v>LC</v>
      </c>
      <c r="AH11158" s="4" t="str">
        <f>HYPERLINK("#Statut_biogéographique!A"&amp;_xlfn.XMATCH("P",Statut_biogéographique!A:A,2,1),"P")</f>
        <v>P</v>
      </c>
      <c r="AP11158" s="4" t="s">
        <v>376</v>
      </c>
      <c r="AR11158" s="4" t="s">
        <v>377</v>
      </c>
    </row>
    <row r="11159" spans="1:44" ht="30">
      <c r="A11159" s="4" t="s">
        <v>10753</v>
      </c>
      <c r="B11159" s="4">
        <v>231730</v>
      </c>
      <c r="D11159" s="5" t="s">
        <v>14137</v>
      </c>
      <c r="E11159" s="6" t="str">
        <f>HYPERLINK("https://inpn.mnhn.fr/espece/cd_nom/231730","Sterictiphora furcata (Villers, 1789)")</f>
        <v>Sterictiphora furcata (Villers, 1789)</v>
      </c>
      <c r="AH11159" s="4" t="str">
        <f>HYPERLINK("#Statut_biogéographique!A"&amp;_xlfn.XMATCH("P",Statut_biogéographique!A:A,2,1),"P")</f>
        <v>P</v>
      </c>
      <c r="AP11159" s="4" t="s">
        <v>376</v>
      </c>
      <c r="AR11159" s="4" t="s">
        <v>377</v>
      </c>
    </row>
    <row r="11160" spans="1:44" ht="30">
      <c r="A11160" s="4" t="s">
        <v>10753</v>
      </c>
      <c r="B11160" s="4">
        <v>231732</v>
      </c>
      <c r="D11160" s="5" t="s">
        <v>14138</v>
      </c>
      <c r="E11160" s="6" t="str">
        <f>HYPERLINK("https://inpn.mnhn.fr/espece/cd_nom/231732","Sterictiphora geminata (Gmelin, 1790)")</f>
        <v>Sterictiphora geminata (Gmelin, 1790)</v>
      </c>
      <c r="AH11160" s="4" t="str">
        <f>HYPERLINK("#Statut_biogéographique!A"&amp;_xlfn.XMATCH("P",Statut_biogéographique!A:A,2,1),"P")</f>
        <v>P</v>
      </c>
      <c r="AP11160" s="4" t="s">
        <v>376</v>
      </c>
      <c r="AR11160" s="4" t="s">
        <v>377</v>
      </c>
    </row>
    <row r="11161" spans="1:44">
      <c r="A11161" s="4" t="s">
        <v>10753</v>
      </c>
      <c r="B11161" s="4">
        <v>231736</v>
      </c>
      <c r="D11161" s="5" t="s">
        <v>14139</v>
      </c>
      <c r="E11161" s="6" t="str">
        <f>HYPERLINK("https://inpn.mnhn.fr/espece/cd_nom/231736","Aprosthema melanurum (Klug, 1814)")</f>
        <v>Aprosthema melanurum (Klug, 1814)</v>
      </c>
      <c r="AH11161" s="4" t="str">
        <f>HYPERLINK("#Statut_biogéographique!A"&amp;_xlfn.XMATCH("P",Statut_biogéographique!A:A,2,1),"P")</f>
        <v>P</v>
      </c>
      <c r="AP11161" s="4" t="s">
        <v>376</v>
      </c>
      <c r="AR11161" s="4" t="s">
        <v>377</v>
      </c>
    </row>
    <row r="11162" spans="1:44">
      <c r="A11162" s="4" t="s">
        <v>10753</v>
      </c>
      <c r="B11162" s="4">
        <v>231740</v>
      </c>
      <c r="D11162" s="5" t="s">
        <v>14140</v>
      </c>
      <c r="E11162" s="6" t="str">
        <f>HYPERLINK("https://inpn.mnhn.fr/espece/cd_nom/231740","Arge fuscipes (Fallén, 1808)")</f>
        <v>Arge fuscipes (Fallén, 1808)</v>
      </c>
      <c r="AH11162" s="4" t="str">
        <f>HYPERLINK("#Statut_biogéographique!A"&amp;_xlfn.XMATCH("P",Statut_biogéographique!A:A,2,1),"P")</f>
        <v>P</v>
      </c>
      <c r="AP11162" s="4" t="s">
        <v>376</v>
      </c>
      <c r="AR11162" s="4" t="s">
        <v>377</v>
      </c>
    </row>
    <row r="11163" spans="1:44" ht="45">
      <c r="A11163" s="4" t="s">
        <v>10753</v>
      </c>
      <c r="B11163" s="4">
        <v>231741</v>
      </c>
      <c r="D11163" s="5" t="s">
        <v>14141</v>
      </c>
      <c r="E11163" s="6" t="str">
        <f>HYPERLINK("https://inpn.mnhn.fr/espece/cd_nom/231741","Arge melanochra (Gmelin, 1790)")</f>
        <v>Arge melanochra (Gmelin, 1790)</v>
      </c>
      <c r="AH11163" s="4" t="str">
        <f>HYPERLINK("#Statut_biogéographique!A"&amp;_xlfn.XMATCH("P",Statut_biogéographique!A:A,2,1),"P")</f>
        <v>P</v>
      </c>
      <c r="AP11163" s="4" t="s">
        <v>376</v>
      </c>
      <c r="AR11163" s="4" t="s">
        <v>377</v>
      </c>
    </row>
    <row r="11164" spans="1:44" ht="30">
      <c r="A11164" s="4" t="s">
        <v>10753</v>
      </c>
      <c r="B11164" s="4">
        <v>231743</v>
      </c>
      <c r="D11164" s="5" t="s">
        <v>14142</v>
      </c>
      <c r="E11164" s="6" t="str">
        <f>HYPERLINK("https://inpn.mnhn.fr/espece/cd_nom/231743","Arge ochropus (Gmelin, 1790)")</f>
        <v>Arge ochropus (Gmelin, 1790)</v>
      </c>
      <c r="AH11164" s="4" t="str">
        <f>HYPERLINK("#Statut_biogéographique!A"&amp;_xlfn.XMATCH("P",Statut_biogéographique!A:A,2,1),"P")</f>
        <v>P</v>
      </c>
      <c r="AP11164" s="4" t="s">
        <v>376</v>
      </c>
      <c r="AR11164" s="4" t="s">
        <v>377</v>
      </c>
    </row>
    <row r="11165" spans="1:44">
      <c r="A11165" s="4" t="s">
        <v>10753</v>
      </c>
      <c r="B11165" s="4">
        <v>231744</v>
      </c>
      <c r="D11165" s="5" t="s">
        <v>14143</v>
      </c>
      <c r="E11165" s="6" t="str">
        <f>HYPERLINK("https://inpn.mnhn.fr/espece/cd_nom/231744","Arge pagana (Panzer, 1797)")</f>
        <v>Arge pagana (Panzer, 1797)</v>
      </c>
      <c r="AH11165" s="4" t="str">
        <f>HYPERLINK("#Statut_biogéographique!A"&amp;_xlfn.XMATCH("P",Statut_biogéographique!A:A,2,1),"P")</f>
        <v>P</v>
      </c>
      <c r="AP11165" s="4" t="s">
        <v>376</v>
      </c>
      <c r="AR11165" s="4" t="s">
        <v>377</v>
      </c>
    </row>
    <row r="11166" spans="1:44" ht="45">
      <c r="A11166" s="4" t="s">
        <v>10753</v>
      </c>
      <c r="B11166" s="4">
        <v>231746</v>
      </c>
      <c r="D11166" s="5" t="s">
        <v>14144</v>
      </c>
      <c r="E11166" s="6" t="str">
        <f>HYPERLINK("https://inpn.mnhn.fr/espece/cd_nom/231746","Arge rustica (Linnaeus, 1758)")</f>
        <v>Arge rustica (Linnaeus, 1758)</v>
      </c>
      <c r="F11166" s="5" t="s">
        <v>14145</v>
      </c>
      <c r="AH11166" s="4" t="str">
        <f>HYPERLINK("#Statut_biogéographique!A"&amp;_xlfn.XMATCH("P",Statut_biogéographique!A:A,2,1),"P")</f>
        <v>P</v>
      </c>
      <c r="AP11166" s="4" t="s">
        <v>376</v>
      </c>
      <c r="AR11166" s="4" t="s">
        <v>377</v>
      </c>
    </row>
    <row r="11167" spans="1:44">
      <c r="A11167" s="4" t="s">
        <v>10753</v>
      </c>
      <c r="B11167" s="4">
        <v>23175</v>
      </c>
      <c r="D11167" s="5" t="s">
        <v>14146</v>
      </c>
      <c r="E11167" s="6" t="str">
        <f>HYPERLINK("https://inpn.mnhn.fr/espece/cd_nom/23175","Chrysotoxum cautum (Harris, 1778)")</f>
        <v>Chrysotoxum cautum (Harris, 1778)</v>
      </c>
      <c r="P11167" s="7" t="str">
        <f>HYPERLINK("#Liste_rouge!A"&amp;_xlfn.XMATCH("LC",Liste_rouge!A:A,2,1),"LC")</f>
        <v>LC</v>
      </c>
      <c r="AH11167" s="4" t="str">
        <f>HYPERLINK("#Statut_biogéographique!A"&amp;_xlfn.XMATCH("P",Statut_biogéographique!A:A,2,1),"P")</f>
        <v>P</v>
      </c>
      <c r="AP11167" s="4" t="s">
        <v>376</v>
      </c>
      <c r="AR11167" s="4" t="s">
        <v>377</v>
      </c>
    </row>
    <row r="11168" spans="1:44" ht="30">
      <c r="A11168" s="4" t="s">
        <v>10753</v>
      </c>
      <c r="B11168" s="4">
        <v>231751</v>
      </c>
      <c r="D11168" s="5" t="s">
        <v>14147</v>
      </c>
      <c r="E11168" s="6" t="str">
        <f>HYPERLINK("https://inpn.mnhn.fr/espece/cd_nom/231751","Calameuta pallipes (Klug, 1803)")</f>
        <v>Calameuta pallipes (Klug, 1803)</v>
      </c>
      <c r="AH11168" s="4" t="str">
        <f>HYPERLINK("#Statut_biogéographique!A"&amp;_xlfn.XMATCH("P",Statut_biogéographique!A:A,2,1),"P")</f>
        <v>P</v>
      </c>
      <c r="AP11168" s="4" t="s">
        <v>376</v>
      </c>
      <c r="AR11168" s="4" t="s">
        <v>377</v>
      </c>
    </row>
    <row r="11169" spans="1:44">
      <c r="A11169" s="4" t="s">
        <v>10753</v>
      </c>
      <c r="B11169" s="4">
        <v>231753</v>
      </c>
      <c r="D11169" s="5" t="s">
        <v>14148</v>
      </c>
      <c r="E11169" s="6" t="str">
        <f>HYPERLINK("https://inpn.mnhn.fr/espece/cd_nom/231753","Cephus brachycercus C.G. Thomson, 1871")</f>
        <v>Cephus brachycercus C.G. Thomson, 1871</v>
      </c>
      <c r="AH11169" s="4" t="str">
        <f>HYPERLINK("#Statut_biogéographique!A"&amp;_xlfn.XMATCH("P",Statut_biogéographique!A:A,2,1),"P")</f>
        <v>P</v>
      </c>
      <c r="AP11169" s="4" t="s">
        <v>376</v>
      </c>
      <c r="AR11169" s="4" t="s">
        <v>377</v>
      </c>
    </row>
    <row r="11170" spans="1:44">
      <c r="A11170" s="4" t="s">
        <v>10753</v>
      </c>
      <c r="B11170" s="4">
        <v>231756</v>
      </c>
      <c r="D11170" s="5">
        <v>231756</v>
      </c>
      <c r="E11170" s="6" t="str">
        <f>HYPERLINK("https://inpn.mnhn.fr/espece/cd_nom/231756","Cephus nigrinus C.G. Thomson, 1871")</f>
        <v>Cephus nigrinus C.G. Thomson, 1871</v>
      </c>
      <c r="AH11170" s="4" t="str">
        <f>HYPERLINK("#Statut_biogéographique!A"&amp;_xlfn.XMATCH("P",Statut_biogéographique!A:A,2,1),"P")</f>
        <v>P</v>
      </c>
      <c r="AP11170" s="4" t="s">
        <v>376</v>
      </c>
      <c r="AR11170" s="4" t="s">
        <v>377</v>
      </c>
    </row>
    <row r="11171" spans="1:44" ht="45">
      <c r="A11171" s="4" t="s">
        <v>10753</v>
      </c>
      <c r="B11171" s="4">
        <v>231758</v>
      </c>
      <c r="D11171" s="5" t="s">
        <v>14149</v>
      </c>
      <c r="E11171" s="6" t="str">
        <f>HYPERLINK("https://inpn.mnhn.fr/espece/cd_nom/231758","Cephus pygmeus (Linnaeus, 1767)")</f>
        <v>Cephus pygmeus (Linnaeus, 1767)</v>
      </c>
      <c r="AH11171" s="4" t="str">
        <f>HYPERLINK("#Statut_biogéographique!A"&amp;_xlfn.XMATCH("P",Statut_biogéographique!A:A,2,1),"P")</f>
        <v>P</v>
      </c>
      <c r="AP11171" s="4" t="s">
        <v>376</v>
      </c>
      <c r="AR11171" s="4" t="s">
        <v>377</v>
      </c>
    </row>
    <row r="11172" spans="1:44" ht="30">
      <c r="A11172" s="4" t="s">
        <v>10753</v>
      </c>
      <c r="B11172" s="4">
        <v>231759</v>
      </c>
      <c r="D11172" s="5" t="s">
        <v>14150</v>
      </c>
      <c r="E11172" s="6" t="str">
        <f>HYPERLINK("https://inpn.mnhn.fr/espece/cd_nom/231759","Cephus spinipes (Panzer, 1800)")</f>
        <v>Cephus spinipes (Panzer, 1800)</v>
      </c>
      <c r="AH11172" s="4" t="str">
        <f>HYPERLINK("#Statut_biogéographique!A"&amp;_xlfn.XMATCH("P",Statut_biogéographique!A:A,2,1),"P")</f>
        <v>P</v>
      </c>
      <c r="AP11172" s="4" t="s">
        <v>376</v>
      </c>
      <c r="AR11172" s="4" t="s">
        <v>377</v>
      </c>
    </row>
    <row r="11173" spans="1:44">
      <c r="A11173" s="4" t="s">
        <v>10753</v>
      </c>
      <c r="B11173" s="4">
        <v>231765</v>
      </c>
      <c r="D11173" s="5" t="s">
        <v>14151</v>
      </c>
      <c r="E11173" s="6" t="str">
        <f>HYPERLINK("https://inpn.mnhn.fr/espece/cd_nom/231765","Janus luteipes (Le Peletier, 1823)")</f>
        <v>Janus luteipes (Le Peletier, 1823)</v>
      </c>
      <c r="AH11173" s="4" t="str">
        <f>HYPERLINK("#Statut_biogéographique!A"&amp;_xlfn.XMATCH("P",Statut_biogéographique!A:A,2,1),"P")</f>
        <v>P</v>
      </c>
      <c r="AP11173" s="4" t="s">
        <v>376</v>
      </c>
      <c r="AR11173" s="4" t="s">
        <v>377</v>
      </c>
    </row>
    <row r="11174" spans="1:44">
      <c r="A11174" s="4" t="s">
        <v>10753</v>
      </c>
      <c r="B11174" s="4">
        <v>231767</v>
      </c>
      <c r="D11174" s="5" t="s">
        <v>14152</v>
      </c>
      <c r="E11174" s="6" t="str">
        <f>HYPERLINK("https://inpn.mnhn.fr/espece/cd_nom/231767","Trachelus troglodyta (Fabricius, 1787)")</f>
        <v>Trachelus troglodyta (Fabricius, 1787)</v>
      </c>
      <c r="AH11174" s="4" t="str">
        <f>HYPERLINK("#Statut_biogéographique!A"&amp;_xlfn.XMATCH("P",Statut_biogéographique!A:A,2,1),"P")</f>
        <v>P</v>
      </c>
      <c r="AP11174" s="4" t="s">
        <v>376</v>
      </c>
      <c r="AR11174" s="4" t="s">
        <v>377</v>
      </c>
    </row>
    <row r="11175" spans="1:44">
      <c r="A11175" s="4" t="s">
        <v>10753</v>
      </c>
      <c r="B11175" s="4">
        <v>231768</v>
      </c>
      <c r="D11175" s="5" t="s">
        <v>14153</v>
      </c>
      <c r="E11175" s="6" t="str">
        <f>HYPERLINK("https://inpn.mnhn.fr/espece/cd_nom/231768","Corynis italica (Le Peletier, 1823)")</f>
        <v>Corynis italica (Le Peletier, 1823)</v>
      </c>
      <c r="AH11175" s="4" t="str">
        <f>HYPERLINK("#Statut_biogéographique!A"&amp;_xlfn.XMATCH("P",Statut_biogéographique!A:A,2,1),"P")</f>
        <v>P</v>
      </c>
      <c r="AP11175" s="4" t="s">
        <v>376</v>
      </c>
      <c r="AR11175" s="4" t="s">
        <v>377</v>
      </c>
    </row>
    <row r="11176" spans="1:44">
      <c r="A11176" s="4" t="s">
        <v>10753</v>
      </c>
      <c r="B11176" s="4">
        <v>23177</v>
      </c>
      <c r="D11176" s="5">
        <v>23177</v>
      </c>
      <c r="E11176" s="6" t="str">
        <f>HYPERLINK("https://inpn.mnhn.fr/espece/cd_nom/23177","Chrysotoxum elegans Loew, 1841")</f>
        <v>Chrysotoxum elegans Loew, 1841</v>
      </c>
      <c r="P11176" s="7" t="str">
        <f>HYPERLINK("#Liste_rouge!A"&amp;_xlfn.XMATCH("NT",Liste_rouge!A:A,2,1),"NT")</f>
        <v>NT</v>
      </c>
      <c r="AH11176" s="4" t="str">
        <f>HYPERLINK("#Statut_biogéographique!A"&amp;_xlfn.XMATCH("P",Statut_biogéographique!A:A,2,1),"P")</f>
        <v>P</v>
      </c>
      <c r="AP11176" s="4" t="s">
        <v>376</v>
      </c>
      <c r="AR11176" s="4" t="s">
        <v>377</v>
      </c>
    </row>
    <row r="11177" spans="1:44" ht="30">
      <c r="A11177" s="4" t="s">
        <v>10753</v>
      </c>
      <c r="B11177" s="4">
        <v>231776</v>
      </c>
      <c r="D11177" s="5" t="s">
        <v>14154</v>
      </c>
      <c r="E11177" s="6" t="str">
        <f>HYPERLINK("https://inpn.mnhn.fr/espece/cd_nom/231776","Cimbex quadrimaculatus (O.F. Müller, 1766)")</f>
        <v>Cimbex quadrimaculatus (O.F. Müller, 1766)</v>
      </c>
      <c r="F11177" s="5" t="s">
        <v>14155</v>
      </c>
      <c r="AH11177" s="4" t="str">
        <f>HYPERLINK("#Statut_biogéographique!A"&amp;_xlfn.XMATCH("P",Statut_biogéographique!A:A,2,1),"P")</f>
        <v>P</v>
      </c>
      <c r="AP11177" s="4" t="s">
        <v>376</v>
      </c>
      <c r="AR11177" s="4" t="s">
        <v>377</v>
      </c>
    </row>
    <row r="11178" spans="1:44">
      <c r="A11178" s="4" t="s">
        <v>10753</v>
      </c>
      <c r="B11178" s="4">
        <v>231777</v>
      </c>
      <c r="D11178" s="5" t="s">
        <v>14156</v>
      </c>
      <c r="E11178" s="6" t="str">
        <f>HYPERLINK("https://inpn.mnhn.fr/espece/cd_nom/231777","Abia aenea (Klug, 1820)")</f>
        <v>Abia aenea (Klug, 1820)</v>
      </c>
      <c r="AH11178" s="4" t="str">
        <f>HYPERLINK("#Statut_biogéographique!A"&amp;_xlfn.XMATCH("P",Statut_biogéographique!A:A,2,1),"P")</f>
        <v>P</v>
      </c>
      <c r="AP11178" s="4" t="s">
        <v>376</v>
      </c>
      <c r="AR11178" s="4" t="s">
        <v>377</v>
      </c>
    </row>
    <row r="11179" spans="1:44">
      <c r="A11179" s="4" t="s">
        <v>10753</v>
      </c>
      <c r="B11179" s="4">
        <v>231779</v>
      </c>
      <c r="D11179" s="5" t="s">
        <v>14157</v>
      </c>
      <c r="E11179" s="6" t="str">
        <f>HYPERLINK("https://inpn.mnhn.fr/espece/cd_nom/231779","Abia fasciata (Linnaeus, 1758)")</f>
        <v>Abia fasciata (Linnaeus, 1758)</v>
      </c>
      <c r="AH11179" s="4" t="str">
        <f>HYPERLINK("#Statut_biogéographique!A"&amp;_xlfn.XMATCH("P",Statut_biogéographique!A:A,2,1),"P")</f>
        <v>P</v>
      </c>
      <c r="AP11179" s="4" t="s">
        <v>376</v>
      </c>
      <c r="AR11179" s="4" t="s">
        <v>377</v>
      </c>
    </row>
    <row r="11180" spans="1:44">
      <c r="A11180" s="4" t="s">
        <v>10753</v>
      </c>
      <c r="B11180" s="4">
        <v>23178</v>
      </c>
      <c r="D11180" s="5" t="s">
        <v>14158</v>
      </c>
      <c r="E11180" s="6" t="str">
        <f>HYPERLINK("https://inpn.mnhn.fr/espece/cd_nom/23178","Chrysotoxum festivum (Linnaeus, 1758)")</f>
        <v>Chrysotoxum festivum (Linnaeus, 1758)</v>
      </c>
      <c r="P11180" s="7" t="str">
        <f>HYPERLINK("#Liste_rouge!A"&amp;_xlfn.XMATCH("LC",Liste_rouge!A:A,2,1),"LC")</f>
        <v>LC</v>
      </c>
      <c r="AH11180" s="4" t="str">
        <f>HYPERLINK("#Statut_biogéographique!A"&amp;_xlfn.XMATCH("P",Statut_biogéographique!A:A,2,1),"P")</f>
        <v>P</v>
      </c>
      <c r="AP11180" s="4" t="s">
        <v>376</v>
      </c>
      <c r="AR11180" s="4" t="s">
        <v>377</v>
      </c>
    </row>
    <row r="11181" spans="1:44">
      <c r="A11181" s="4" t="s">
        <v>10753</v>
      </c>
      <c r="B11181" s="4">
        <v>231781</v>
      </c>
      <c r="D11181" s="5" t="s">
        <v>14159</v>
      </c>
      <c r="E11181" s="6" t="str">
        <f>HYPERLINK("https://inpn.mnhn.fr/espece/cd_nom/231781","Abia lonicerae (Linnaeus, 1758)")</f>
        <v>Abia lonicerae (Linnaeus, 1758)</v>
      </c>
      <c r="AH11181" s="4" t="str">
        <f>HYPERLINK("#Statut_biogéographique!A"&amp;_xlfn.XMATCH("P",Statut_biogéographique!A:A,2,1),"P")</f>
        <v>P</v>
      </c>
      <c r="AP11181" s="4" t="s">
        <v>376</v>
      </c>
      <c r="AR11181" s="4" t="s">
        <v>377</v>
      </c>
    </row>
    <row r="11182" spans="1:44">
      <c r="A11182" s="4" t="s">
        <v>10753</v>
      </c>
      <c r="B11182" s="4">
        <v>231782</v>
      </c>
      <c r="D11182" s="5">
        <v>231782</v>
      </c>
      <c r="E11182" s="6" t="str">
        <f>HYPERLINK("https://inpn.mnhn.fr/espece/cd_nom/231782","Abia mutica C.G. Thomson, 1871")</f>
        <v>Abia mutica C.G. Thomson, 1871</v>
      </c>
      <c r="AH11182" s="4" t="str">
        <f>HYPERLINK("#Statut_biogéographique!A"&amp;_xlfn.XMATCH("P",Statut_biogéographique!A:A,2,1),"P")</f>
        <v>P</v>
      </c>
      <c r="AP11182" s="4" t="s">
        <v>376</v>
      </c>
      <c r="AR11182" s="4" t="s">
        <v>377</v>
      </c>
    </row>
    <row r="11183" spans="1:44">
      <c r="A11183" s="4" t="s">
        <v>10753</v>
      </c>
      <c r="B11183" s="4">
        <v>231783</v>
      </c>
      <c r="D11183" s="5" t="s">
        <v>14160</v>
      </c>
      <c r="E11183" s="6" t="str">
        <f>HYPERLINK("https://inpn.mnhn.fr/espece/cd_nom/231783","Monoctenus juniperi (Linnaeus, 1758)")</f>
        <v>Monoctenus juniperi (Linnaeus, 1758)</v>
      </c>
      <c r="AH11183" s="4" t="str">
        <f>HYPERLINK("#Statut_biogéographique!A"&amp;_xlfn.XMATCH("P",Statut_biogéographique!A:A,2,1),"P")</f>
        <v>P</v>
      </c>
      <c r="AP11183" s="4" t="s">
        <v>376</v>
      </c>
      <c r="AR11183" s="4" t="s">
        <v>377</v>
      </c>
    </row>
    <row r="11184" spans="1:44">
      <c r="A11184" s="4" t="s">
        <v>10753</v>
      </c>
      <c r="B11184" s="4">
        <v>23179</v>
      </c>
      <c r="D11184" s="5">
        <v>23179</v>
      </c>
      <c r="E11184" s="6" t="str">
        <f>HYPERLINK("https://inpn.mnhn.fr/espece/cd_nom/23179","Chrysotoxum intermedium Meigen, 1822")</f>
        <v>Chrysotoxum intermedium Meigen, 1822</v>
      </c>
      <c r="P11184" s="7" t="str">
        <f>HYPERLINK("#Liste_rouge!A"&amp;_xlfn.XMATCH("LC",Liste_rouge!A:A,2,1),"LC")</f>
        <v>LC</v>
      </c>
      <c r="AH11184" s="4" t="str">
        <f>HYPERLINK("#Statut_biogéographique!A"&amp;_xlfn.XMATCH("P",Statut_biogéographique!A:A,2,1),"P")</f>
        <v>P</v>
      </c>
      <c r="AP11184" s="4" t="s">
        <v>376</v>
      </c>
      <c r="AR11184" s="4" t="s">
        <v>377</v>
      </c>
    </row>
    <row r="11185" spans="1:44">
      <c r="A11185" s="4" t="s">
        <v>10753</v>
      </c>
      <c r="B11185" s="4">
        <v>231791</v>
      </c>
      <c r="D11185" s="5" t="s">
        <v>14161</v>
      </c>
      <c r="E11185" s="6" t="str">
        <f>HYPERLINK("https://inpn.mnhn.fr/espece/cd_nom/231791","Gilpinia polytoma (Hartig, 1837)")</f>
        <v>Gilpinia polytoma (Hartig, 1837)</v>
      </c>
      <c r="AH11185" s="4" t="str">
        <f>HYPERLINK("#Statut_biogéographique!A"&amp;_xlfn.XMATCH("P",Statut_biogéographique!A:A,2,1),"P")</f>
        <v>P</v>
      </c>
      <c r="AP11185" s="4" t="s">
        <v>376</v>
      </c>
      <c r="AR11185" s="4" t="s">
        <v>377</v>
      </c>
    </row>
    <row r="11186" spans="1:44">
      <c r="A11186" s="4" t="s">
        <v>10753</v>
      </c>
      <c r="B11186" s="4">
        <v>231797</v>
      </c>
      <c r="D11186" s="5" t="s">
        <v>14162</v>
      </c>
      <c r="E11186" s="6" t="str">
        <f>HYPERLINK("https://inpn.mnhn.fr/espece/cd_nom/231797","Megalodontes cephalotes (Fabricius, 1781)")</f>
        <v>Megalodontes cephalotes (Fabricius, 1781)</v>
      </c>
      <c r="AH11186" s="4" t="str">
        <f>HYPERLINK("#Statut_biogéographique!A"&amp;_xlfn.XMATCH("P",Statut_biogéographique!A:A,2,1),"P")</f>
        <v>P</v>
      </c>
      <c r="AP11186" s="4" t="s">
        <v>376</v>
      </c>
      <c r="AR11186" s="4" t="s">
        <v>377</v>
      </c>
    </row>
    <row r="11187" spans="1:44">
      <c r="A11187" s="4" t="s">
        <v>10753</v>
      </c>
      <c r="B11187" s="4">
        <v>231803</v>
      </c>
      <c r="D11187" s="5" t="s">
        <v>14163</v>
      </c>
      <c r="E11187" s="6" t="str">
        <f>HYPERLINK("https://inpn.mnhn.fr/espece/cd_nom/231803","Pamphilius alternans (A. Costa, 1860)")</f>
        <v>Pamphilius alternans (A. Costa, 1860)</v>
      </c>
      <c r="AH11187" s="4" t="str">
        <f>HYPERLINK("#Statut_biogéographique!A"&amp;_xlfn.XMATCH("P",Statut_biogéographique!A:A,2,1),"P")</f>
        <v>P</v>
      </c>
      <c r="AP11187" s="4" t="s">
        <v>376</v>
      </c>
      <c r="AR11187" s="4" t="s">
        <v>377</v>
      </c>
    </row>
    <row r="11188" spans="1:44">
      <c r="A11188" s="4" t="s">
        <v>10753</v>
      </c>
      <c r="B11188" s="4">
        <v>231804</v>
      </c>
      <c r="D11188" s="5" t="s">
        <v>14164</v>
      </c>
      <c r="E11188" s="6" t="str">
        <f>HYPERLINK("https://inpn.mnhn.fr/espece/cd_nom/231804","Pamphilius aurantiacus (Giraud, 1857)")</f>
        <v>Pamphilius aurantiacus (Giraud, 1857)</v>
      </c>
      <c r="AH11188" s="4" t="str">
        <f>HYPERLINK("#Statut_biogéographique!A"&amp;_xlfn.XMATCH("P",Statut_biogéographique!A:A,2,1),"P")</f>
        <v>P</v>
      </c>
      <c r="AP11188" s="4" t="s">
        <v>376</v>
      </c>
      <c r="AR11188" s="4" t="s">
        <v>377</v>
      </c>
    </row>
    <row r="11189" spans="1:44">
      <c r="A11189" s="4" t="s">
        <v>10753</v>
      </c>
      <c r="B11189" s="4">
        <v>231809</v>
      </c>
      <c r="D11189" s="5" t="s">
        <v>14165</v>
      </c>
      <c r="E11189" s="6" t="str">
        <f>HYPERLINK("https://inpn.mnhn.fr/espece/cd_nom/231809","Pamphilius gyllenhali (Dahlbom, 1835)")</f>
        <v>Pamphilius gyllenhali (Dahlbom, 1835)</v>
      </c>
      <c r="AH11189" s="4" t="str">
        <f>HYPERLINK("#Statut_biogéographique!A"&amp;_xlfn.XMATCH("P",Statut_biogéographique!A:A,2,1),"P")</f>
        <v>P</v>
      </c>
      <c r="AP11189" s="4" t="s">
        <v>376</v>
      </c>
      <c r="AR11189" s="4" t="s">
        <v>377</v>
      </c>
    </row>
    <row r="11190" spans="1:44">
      <c r="A11190" s="4" t="s">
        <v>10753</v>
      </c>
      <c r="B11190" s="4">
        <v>231819</v>
      </c>
      <c r="D11190" s="5" t="s">
        <v>14166</v>
      </c>
      <c r="E11190" s="6" t="str">
        <f>HYPERLINK("https://inpn.mnhn.fr/espece/cd_nom/231819","Pamphilius stramineipes (Hartig, 1837)")</f>
        <v>Pamphilius stramineipes (Hartig, 1837)</v>
      </c>
      <c r="AH11190" s="4" t="str">
        <f>HYPERLINK("#Statut_biogéographique!A"&amp;_xlfn.XMATCH("P",Statut_biogéographique!A:A,2,1),"P")</f>
        <v>P</v>
      </c>
      <c r="AP11190" s="4" t="s">
        <v>376</v>
      </c>
      <c r="AR11190" s="4" t="s">
        <v>377</v>
      </c>
    </row>
    <row r="11191" spans="1:44">
      <c r="A11191" s="4" t="s">
        <v>10753</v>
      </c>
      <c r="B11191" s="4">
        <v>23182</v>
      </c>
      <c r="D11191" s="5">
        <v>23182</v>
      </c>
      <c r="E11191" s="6" t="str">
        <f>HYPERLINK("https://inpn.mnhn.fr/espece/cd_nom/23182","Chrysotoxum vernale Loew, 1841")</f>
        <v>Chrysotoxum vernale Loew, 1841</v>
      </c>
      <c r="P11191" s="7" t="str">
        <f>HYPERLINK("#Liste_rouge!A"&amp;_xlfn.XMATCH("LC",Liste_rouge!A:A,2,1),"LC")</f>
        <v>LC</v>
      </c>
      <c r="AH11191" s="4" t="str">
        <f>HYPERLINK("#Statut_biogéographique!A"&amp;_xlfn.XMATCH("P",Statut_biogéographique!A:A,2,1),"P")</f>
        <v>P</v>
      </c>
      <c r="AP11191" s="4" t="s">
        <v>376</v>
      </c>
      <c r="AR11191" s="4" t="s">
        <v>377</v>
      </c>
    </row>
    <row r="11192" spans="1:44">
      <c r="A11192" s="4" t="s">
        <v>10753</v>
      </c>
      <c r="B11192" s="4">
        <v>231821</v>
      </c>
      <c r="D11192" s="5" t="s">
        <v>14167</v>
      </c>
      <c r="E11192" s="6" t="str">
        <f>HYPERLINK("https://inpn.mnhn.fr/espece/cd_nom/231821","Pamphilius sylvaticus (Linnaeus, 1758)")</f>
        <v>Pamphilius sylvaticus (Linnaeus, 1758)</v>
      </c>
      <c r="AH11192" s="4" t="str">
        <f>HYPERLINK("#Statut_biogéographique!A"&amp;_xlfn.XMATCH("P",Statut_biogéographique!A:A,2,1),"P")</f>
        <v>P</v>
      </c>
      <c r="AP11192" s="4" t="s">
        <v>376</v>
      </c>
      <c r="AR11192" s="4" t="s">
        <v>377</v>
      </c>
    </row>
    <row r="11193" spans="1:44" ht="30">
      <c r="A11193" s="4" t="s">
        <v>10753</v>
      </c>
      <c r="B11193" s="4">
        <v>231828</v>
      </c>
      <c r="D11193" s="5" t="s">
        <v>14168</v>
      </c>
      <c r="E11193" s="6" t="str">
        <f>HYPERLINK("https://inpn.mnhn.fr/espece/cd_nom/231828","Neurotoma nemoralis (Linnaeus, 1758)")</f>
        <v>Neurotoma nemoralis (Linnaeus, 1758)</v>
      </c>
      <c r="AH11193" s="4" t="str">
        <f>HYPERLINK("#Statut_biogéographique!A"&amp;_xlfn.XMATCH("P",Statut_biogéographique!A:A,2,1),"P")</f>
        <v>P</v>
      </c>
      <c r="AP11193" s="4" t="s">
        <v>376</v>
      </c>
      <c r="AR11193" s="4" t="s">
        <v>377</v>
      </c>
    </row>
    <row r="11194" spans="1:44" ht="45">
      <c r="A11194" s="4" t="s">
        <v>10753</v>
      </c>
      <c r="B11194" s="4">
        <v>231829</v>
      </c>
      <c r="D11194" s="5" t="s">
        <v>14169</v>
      </c>
      <c r="E11194" s="6" t="str">
        <f>HYPERLINK("https://inpn.mnhn.fr/espece/cd_nom/231829","Neurotoma saltuum (Linnaeus, 1758)")</f>
        <v>Neurotoma saltuum (Linnaeus, 1758)</v>
      </c>
      <c r="AH11194" s="4" t="str">
        <f>HYPERLINK("#Statut_biogéographique!A"&amp;_xlfn.XMATCH("P",Statut_biogéographique!A:A,2,1),"P")</f>
        <v>P</v>
      </c>
      <c r="AP11194" s="4" t="s">
        <v>376</v>
      </c>
      <c r="AR11194" s="4" t="s">
        <v>377</v>
      </c>
    </row>
    <row r="11195" spans="1:44">
      <c r="A11195" s="4" t="s">
        <v>10753</v>
      </c>
      <c r="B11195" s="4">
        <v>23183</v>
      </c>
      <c r="D11195" s="5">
        <v>23183</v>
      </c>
      <c r="E11195" s="6" t="str">
        <f>HYPERLINK("https://inpn.mnhn.fr/espece/cd_nom/23183","Chrysotoxum verralli Collin, 1940")</f>
        <v>Chrysotoxum verralli Collin, 1940</v>
      </c>
      <c r="P11195" s="7" t="str">
        <f>HYPERLINK("#Liste_rouge!A"&amp;_xlfn.XMATCH("LC",Liste_rouge!A:A,2,1),"LC")</f>
        <v>LC</v>
      </c>
      <c r="AH11195" s="4" t="str">
        <f>HYPERLINK("#Statut_biogéographique!A"&amp;_xlfn.XMATCH("P",Statut_biogéographique!A:A,2,1),"P")</f>
        <v>P</v>
      </c>
      <c r="AP11195" s="4" t="s">
        <v>376</v>
      </c>
      <c r="AR11195" s="4" t="s">
        <v>377</v>
      </c>
    </row>
    <row r="11196" spans="1:44" ht="30">
      <c r="A11196" s="4" t="s">
        <v>10753</v>
      </c>
      <c r="B11196" s="4">
        <v>231830</v>
      </c>
      <c r="D11196" s="5" t="s">
        <v>14170</v>
      </c>
      <c r="E11196" s="6" t="str">
        <f>HYPERLINK("https://inpn.mnhn.fr/espece/cd_nom/231830","Cephalcia abietis (Linnaeus, 1758)")</f>
        <v>Cephalcia abietis (Linnaeus, 1758)</v>
      </c>
      <c r="AH11196" s="4" t="str">
        <f>HYPERLINK("#Statut_biogéographique!A"&amp;_xlfn.XMATCH("P",Statut_biogéographique!A:A,2,1),"P")</f>
        <v>P</v>
      </c>
      <c r="AP11196" s="4" t="s">
        <v>376</v>
      </c>
      <c r="AR11196" s="4" t="s">
        <v>377</v>
      </c>
    </row>
    <row r="11197" spans="1:44">
      <c r="A11197" s="4" t="s">
        <v>10753</v>
      </c>
      <c r="B11197" s="4">
        <v>231832</v>
      </c>
      <c r="D11197" s="5" t="s">
        <v>14171</v>
      </c>
      <c r="E11197" s="6" t="str">
        <f>HYPERLINK("https://inpn.mnhn.fr/espece/cd_nom/231832","Cephalcia arvensis Panzer, 1802")</f>
        <v>Cephalcia arvensis Panzer, 1802</v>
      </c>
      <c r="AH11197" s="4" t="str">
        <f>HYPERLINK("#Statut_biogéographique!A"&amp;_xlfn.XMATCH("P",Statut_biogéographique!A:A,2,1),"P")</f>
        <v>P</v>
      </c>
      <c r="AP11197" s="4" t="s">
        <v>376</v>
      </c>
      <c r="AR11197" s="4" t="s">
        <v>377</v>
      </c>
    </row>
    <row r="11198" spans="1:44" ht="30">
      <c r="A11198" s="4" t="s">
        <v>10753</v>
      </c>
      <c r="B11198" s="4">
        <v>231841</v>
      </c>
      <c r="D11198" s="5" t="s">
        <v>14172</v>
      </c>
      <c r="E11198" s="6" t="str">
        <f>HYPERLINK("https://inpn.mnhn.fr/espece/cd_nom/231841","Xeris spectrum (Linnaeus, 1758)")</f>
        <v>Xeris spectrum (Linnaeus, 1758)</v>
      </c>
      <c r="AH11198" s="4" t="str">
        <f>HYPERLINK("#Statut_biogéographique!A"&amp;_xlfn.XMATCH("P",Statut_biogéographique!A:A,2,1),"P")</f>
        <v>P</v>
      </c>
      <c r="AP11198" s="4" t="s">
        <v>376</v>
      </c>
      <c r="AR11198" s="4" t="s">
        <v>377</v>
      </c>
    </row>
    <row r="11199" spans="1:44">
      <c r="A11199" s="4" t="s">
        <v>10753</v>
      </c>
      <c r="B11199" s="4">
        <v>231842</v>
      </c>
      <c r="D11199" s="5">
        <v>231842</v>
      </c>
      <c r="E11199" s="6" t="str">
        <f>HYPERLINK("https://inpn.mnhn.fr/espece/cd_nom/231842","Urocerus augur (Klug, 1803)")</f>
        <v>Urocerus augur (Klug, 1803)</v>
      </c>
      <c r="AH11199" s="4" t="str">
        <f>HYPERLINK("#Statut_biogéographique!A"&amp;_xlfn.XMATCH("P",Statut_biogéographique!A:A,2,1),"P")</f>
        <v>P</v>
      </c>
      <c r="AP11199" s="4" t="s">
        <v>376</v>
      </c>
      <c r="AR11199" s="4" t="s">
        <v>377</v>
      </c>
    </row>
    <row r="11200" spans="1:44" ht="30">
      <c r="A11200" s="4" t="s">
        <v>10753</v>
      </c>
      <c r="B11200" s="4">
        <v>231844</v>
      </c>
      <c r="D11200" s="5" t="s">
        <v>14173</v>
      </c>
      <c r="E11200" s="6" t="str">
        <f>HYPERLINK("https://inpn.mnhn.fr/espece/cd_nom/231844","Urocerus gigas (Linnaeus, 1758)")</f>
        <v>Urocerus gigas (Linnaeus, 1758)</v>
      </c>
      <c r="F11200" s="5" t="s">
        <v>14174</v>
      </c>
      <c r="AH11200" s="4" t="str">
        <f>HYPERLINK("#Statut_biogéographique!A"&amp;_xlfn.XMATCH("P",Statut_biogéographique!A:A,2,1),"P")</f>
        <v>P</v>
      </c>
      <c r="AP11200" s="4" t="s">
        <v>376</v>
      </c>
      <c r="AR11200" s="4" t="s">
        <v>377</v>
      </c>
    </row>
    <row r="11201" spans="1:44" ht="90">
      <c r="A11201" s="4" t="s">
        <v>10753</v>
      </c>
      <c r="B11201" s="4">
        <v>231849</v>
      </c>
      <c r="D11201" s="5" t="s">
        <v>14175</v>
      </c>
      <c r="E11201" s="6" t="str">
        <f>HYPERLINK("https://inpn.mnhn.fr/espece/cd_nom/231849","Tenthredopsis nassata (Linnaeus, 1767)")</f>
        <v>Tenthredopsis nassata (Linnaeus, 1767)</v>
      </c>
      <c r="F11201" s="5" t="s">
        <v>14176</v>
      </c>
      <c r="AH11201" s="4" t="str">
        <f>HYPERLINK("#Statut_biogéographique!A"&amp;_xlfn.XMATCH("P",Statut_biogéographique!A:A,2,1),"P")</f>
        <v>P</v>
      </c>
      <c r="AP11201" s="4" t="s">
        <v>376</v>
      </c>
      <c r="AR11201" s="4" t="s">
        <v>377</v>
      </c>
    </row>
    <row r="11202" spans="1:44">
      <c r="A11202" s="4" t="s">
        <v>10753</v>
      </c>
      <c r="B11202" s="4">
        <v>23185</v>
      </c>
      <c r="D11202" s="5" t="s">
        <v>14177</v>
      </c>
      <c r="E11202" s="6" t="str">
        <f>HYPERLINK("https://inpn.mnhn.fr/espece/cd_nom/23185","Didea alneti (Fallén, 1817)")</f>
        <v>Didea alneti (Fallén, 1817)</v>
      </c>
      <c r="P11202" s="7" t="str">
        <f>HYPERLINK("#Liste_rouge!A"&amp;_xlfn.XMATCH("LC",Liste_rouge!A:A,2,1),"LC")</f>
        <v>LC</v>
      </c>
      <c r="AH11202" s="4" t="str">
        <f>HYPERLINK("#Statut_biogéographique!A"&amp;_xlfn.XMATCH("P",Statut_biogéographique!A:A,2,1),"P")</f>
        <v>P</v>
      </c>
      <c r="AP11202" s="4" t="s">
        <v>376</v>
      </c>
      <c r="AR11202" s="4" t="s">
        <v>377</v>
      </c>
    </row>
    <row r="11203" spans="1:44" ht="30">
      <c r="A11203" s="4" t="s">
        <v>10753</v>
      </c>
      <c r="B11203" s="4">
        <v>231850</v>
      </c>
      <c r="D11203" s="5" t="s">
        <v>14178</v>
      </c>
      <c r="E11203" s="6" t="str">
        <f>HYPERLINK("https://inpn.mnhn.fr/espece/cd_nom/231850","Tenthredopsis ornata (Audinet-Serville, 1823)")</f>
        <v>Tenthredopsis ornata (Audinet-Serville, 1823)</v>
      </c>
      <c r="AH11203" s="4" t="str">
        <f>HYPERLINK("#Statut_biogéographique!A"&amp;_xlfn.XMATCH("P",Statut_biogéographique!A:A,2,1),"P")</f>
        <v>P</v>
      </c>
      <c r="AP11203" s="4" t="s">
        <v>376</v>
      </c>
      <c r="AR11203" s="4" t="s">
        <v>377</v>
      </c>
    </row>
    <row r="11204" spans="1:44">
      <c r="A11204" s="4" t="s">
        <v>10753</v>
      </c>
      <c r="B11204" s="4">
        <v>231851</v>
      </c>
      <c r="D11204" s="5" t="s">
        <v>14179</v>
      </c>
      <c r="E11204" s="6" t="str">
        <f>HYPERLINK("https://inpn.mnhn.fr/espece/cd_nom/231851","Tenthredopsis tarsata (Fabricius, 1804)")</f>
        <v>Tenthredopsis tarsata (Fabricius, 1804)</v>
      </c>
      <c r="AH11204" s="4" t="str">
        <f>HYPERLINK("#Statut_biogéographique!A"&amp;_xlfn.XMATCH("P",Statut_biogéographique!A:A,2,1),"P")</f>
        <v>P</v>
      </c>
      <c r="AP11204" s="4" t="s">
        <v>376</v>
      </c>
      <c r="AR11204" s="4" t="s">
        <v>377</v>
      </c>
    </row>
    <row r="11205" spans="1:44" ht="30">
      <c r="A11205" s="4" t="s">
        <v>10753</v>
      </c>
      <c r="B11205" s="4">
        <v>231852</v>
      </c>
      <c r="D11205" s="5" t="s">
        <v>14180</v>
      </c>
      <c r="E11205" s="6" t="str">
        <f>HYPERLINK("https://inpn.mnhn.fr/espece/cd_nom/231852","Tenthredopsis tessellata (Klug, 1817)")</f>
        <v>Tenthredopsis tessellata (Klug, 1817)</v>
      </c>
      <c r="AH11205" s="4" t="str">
        <f>HYPERLINK("#Statut_biogéographique!A"&amp;_xlfn.XMATCH("P",Statut_biogéographique!A:A,2,1),"P")</f>
        <v>P</v>
      </c>
      <c r="AP11205" s="4" t="s">
        <v>376</v>
      </c>
      <c r="AR11205" s="4" t="s">
        <v>377</v>
      </c>
    </row>
    <row r="11206" spans="1:44">
      <c r="A11206" s="4" t="s">
        <v>10753</v>
      </c>
      <c r="B11206" s="4">
        <v>231853</v>
      </c>
      <c r="D11206" s="5" t="s">
        <v>14181</v>
      </c>
      <c r="E11206" s="6" t="str">
        <f>HYPERLINK("https://inpn.mnhn.fr/espece/cd_nom/231853","Tenthredopsis tischbeinii (Frivaldszky, 1876)")</f>
        <v>Tenthredopsis tischbeinii (Frivaldszky, 1876)</v>
      </c>
      <c r="AH11206" s="4" t="str">
        <f>HYPERLINK("#Statut_biogéographique!A"&amp;_xlfn.XMATCH("P",Statut_biogéographique!A:A,2,1),"P")</f>
        <v>P</v>
      </c>
      <c r="AP11206" s="4" t="s">
        <v>376</v>
      </c>
      <c r="AR11206" s="4" t="s">
        <v>377</v>
      </c>
    </row>
    <row r="11207" spans="1:44">
      <c r="A11207" s="4" t="s">
        <v>10753</v>
      </c>
      <c r="B11207" s="4">
        <v>23186</v>
      </c>
      <c r="D11207" s="5">
        <v>23186</v>
      </c>
      <c r="E11207" s="6" t="str">
        <f>HYPERLINK("https://inpn.mnhn.fr/espece/cd_nom/23186","Didea fasciata Macquart, 1834")</f>
        <v>Didea fasciata Macquart, 1834</v>
      </c>
      <c r="P11207" s="7" t="str">
        <f>HYPERLINK("#Liste_rouge!A"&amp;_xlfn.XMATCH("LC",Liste_rouge!A:A,2,1),"LC")</f>
        <v>LC</v>
      </c>
      <c r="AH11207" s="4" t="str">
        <f>HYPERLINK("#Statut_biogéographique!A"&amp;_xlfn.XMATCH("P",Statut_biogéographique!A:A,2,1),"P")</f>
        <v>P</v>
      </c>
      <c r="AP11207" s="4" t="s">
        <v>376</v>
      </c>
      <c r="AR11207" s="4" t="s">
        <v>377</v>
      </c>
    </row>
    <row r="11208" spans="1:44" ht="30">
      <c r="A11208" s="4" t="s">
        <v>10753</v>
      </c>
      <c r="B11208" s="4">
        <v>231864</v>
      </c>
      <c r="D11208" s="5" t="s">
        <v>14182</v>
      </c>
      <c r="E11208" s="6" t="str">
        <f>HYPERLINK("https://inpn.mnhn.fr/espece/cd_nom/231864","Tenthredo crassa Scopoli, 1763")</f>
        <v>Tenthredo crassa Scopoli, 1763</v>
      </c>
      <c r="AH11208" s="4" t="str">
        <f>HYPERLINK("#Statut_biogéographique!A"&amp;_xlfn.XMATCH("P",Statut_biogéographique!A:A,2,1),"P")</f>
        <v>P</v>
      </c>
      <c r="AP11208" s="4" t="s">
        <v>376</v>
      </c>
      <c r="AR11208" s="4" t="s">
        <v>377</v>
      </c>
    </row>
    <row r="11209" spans="1:44">
      <c r="A11209" s="4" t="s">
        <v>10753</v>
      </c>
      <c r="B11209" s="4">
        <v>231865</v>
      </c>
      <c r="D11209" s="5" t="s">
        <v>14183</v>
      </c>
      <c r="E11209" s="6" t="str">
        <f>HYPERLINK("https://inpn.mnhn.fr/espece/cd_nom/231865","Tenthredo mesomela Linnaeus, 1758")</f>
        <v>Tenthredo mesomela Linnaeus, 1758</v>
      </c>
      <c r="AH11209" s="4" t="str">
        <f>HYPERLINK("#Statut_biogéographique!A"&amp;_xlfn.XMATCH("P",Statut_biogéographique!A:A,2,1),"P")</f>
        <v>P</v>
      </c>
      <c r="AP11209" s="4" t="s">
        <v>376</v>
      </c>
      <c r="AR11209" s="4" t="s">
        <v>377</v>
      </c>
    </row>
    <row r="11210" spans="1:44">
      <c r="A11210" s="4" t="s">
        <v>10753</v>
      </c>
      <c r="B11210" s="4">
        <v>231866</v>
      </c>
      <c r="D11210" s="5" t="s">
        <v>14184</v>
      </c>
      <c r="E11210" s="6" t="str">
        <f>HYPERLINK("https://inpn.mnhn.fr/espece/cd_nom/231866","Tenthredo obsoleta Klug, 1817")</f>
        <v>Tenthredo obsoleta Klug, 1817</v>
      </c>
      <c r="AH11210" s="4" t="str">
        <f>HYPERLINK("#Statut_biogéographique!A"&amp;_xlfn.XMATCH("P",Statut_biogéographique!A:A,2,1),"P")</f>
        <v>P</v>
      </c>
      <c r="AP11210" s="4" t="s">
        <v>376</v>
      </c>
      <c r="AR11210" s="4" t="s">
        <v>377</v>
      </c>
    </row>
    <row r="11211" spans="1:44">
      <c r="A11211" s="4" t="s">
        <v>10753</v>
      </c>
      <c r="B11211" s="4">
        <v>231868</v>
      </c>
      <c r="D11211" s="5" t="s">
        <v>14185</v>
      </c>
      <c r="E11211" s="6" t="str">
        <f>HYPERLINK("https://inpn.mnhn.fr/espece/cd_nom/231868","Tenthredo trabeata Klug, 1817")</f>
        <v>Tenthredo trabeata Klug, 1817</v>
      </c>
      <c r="AH11211" s="4" t="str">
        <f>HYPERLINK("#Statut_biogéographique!A"&amp;_xlfn.XMATCH("P",Statut_biogéographique!A:A,2,1),"P")</f>
        <v>P</v>
      </c>
      <c r="AP11211" s="4" t="s">
        <v>376</v>
      </c>
      <c r="AR11211" s="4" t="s">
        <v>377</v>
      </c>
    </row>
    <row r="11212" spans="1:44">
      <c r="A11212" s="4" t="s">
        <v>10753</v>
      </c>
      <c r="B11212" s="4">
        <v>23187</v>
      </c>
      <c r="D11212" s="5">
        <v>23187</v>
      </c>
      <c r="E11212" s="6" t="str">
        <f>HYPERLINK("https://inpn.mnhn.fr/espece/cd_nom/23187","Didea intermedia Loew, 1854")</f>
        <v>Didea intermedia Loew, 1854</v>
      </c>
      <c r="P11212" s="7" t="str">
        <f>HYPERLINK("#Liste_rouge!A"&amp;_xlfn.XMATCH("LC",Liste_rouge!A:A,2,1),"LC")</f>
        <v>LC</v>
      </c>
      <c r="AH11212" s="4" t="str">
        <f>HYPERLINK("#Statut_biogéographique!A"&amp;_xlfn.XMATCH("P",Statut_biogéographique!A:A,2,1),"P")</f>
        <v>P</v>
      </c>
      <c r="AP11212" s="4" t="s">
        <v>376</v>
      </c>
      <c r="AR11212" s="4" t="s">
        <v>377</v>
      </c>
    </row>
    <row r="11213" spans="1:44">
      <c r="A11213" s="4" t="s">
        <v>10753</v>
      </c>
      <c r="B11213" s="4">
        <v>231871</v>
      </c>
      <c r="D11213" s="5" t="s">
        <v>14186</v>
      </c>
      <c r="E11213" s="6" t="str">
        <f>HYPERLINK("https://inpn.mnhn.fr/espece/cd_nom/231871","Tenthredo balteata Klug, 1817")</f>
        <v>Tenthredo balteata Klug, 1817</v>
      </c>
      <c r="AH11213" s="4" t="str">
        <f>HYPERLINK("#Statut_biogéographique!A"&amp;_xlfn.XMATCH("P",Statut_biogéographique!A:A,2,1),"P")</f>
        <v>P</v>
      </c>
      <c r="AP11213" s="4" t="s">
        <v>376</v>
      </c>
      <c r="AR11213" s="4" t="s">
        <v>377</v>
      </c>
    </row>
    <row r="11214" spans="1:44">
      <c r="A11214" s="4" t="s">
        <v>10753</v>
      </c>
      <c r="B11214" s="4">
        <v>231872</v>
      </c>
      <c r="D11214" s="5">
        <v>231872</v>
      </c>
      <c r="E11214" s="6" t="str">
        <f>HYPERLINK("https://inpn.mnhn.fr/espece/cd_nom/231872","Tenthredo bipunctula Klug, 1817")</f>
        <v>Tenthredo bipunctula Klug, 1817</v>
      </c>
      <c r="AH11214" s="4" t="str">
        <f>HYPERLINK("#Statut_biogéographique!A"&amp;_xlfn.XMATCH("P",Statut_biogéographique!A:A,2,1),"P")</f>
        <v>P</v>
      </c>
      <c r="AP11214" s="4" t="s">
        <v>376</v>
      </c>
      <c r="AR11214" s="4" t="s">
        <v>377</v>
      </c>
    </row>
    <row r="11215" spans="1:44">
      <c r="A11215" s="4" t="s">
        <v>10753</v>
      </c>
      <c r="B11215" s="4">
        <v>231873</v>
      </c>
      <c r="D11215" s="5" t="s">
        <v>14187</v>
      </c>
      <c r="E11215" s="6" t="str">
        <f>HYPERLINK("https://inpn.mnhn.fr/espece/cd_nom/231873","Tenthredo cunyi Konow, 1886")</f>
        <v>Tenthredo cunyi Konow, 1886</v>
      </c>
      <c r="AH11215" s="4" t="str">
        <f>HYPERLINK("#Statut_biogéographique!A"&amp;_xlfn.XMATCH("P",Statut_biogéographique!A:A,2,1),"P")</f>
        <v>P</v>
      </c>
      <c r="AP11215" s="4" t="s">
        <v>376</v>
      </c>
      <c r="AR11215" s="4" t="s">
        <v>377</v>
      </c>
    </row>
    <row r="11216" spans="1:44">
      <c r="A11216" s="4" t="s">
        <v>10753</v>
      </c>
      <c r="B11216" s="4">
        <v>231874</v>
      </c>
      <c r="D11216" s="5" t="s">
        <v>14188</v>
      </c>
      <c r="E11216" s="6" t="str">
        <f>HYPERLINK("https://inpn.mnhn.fr/espece/cd_nom/231874","Tenthredo fagi Panzer, 1797")</f>
        <v>Tenthredo fagi Panzer, 1797</v>
      </c>
      <c r="AH11216" s="4" t="str">
        <f>HYPERLINK("#Statut_biogéographique!A"&amp;_xlfn.XMATCH("P",Statut_biogéographique!A:A,2,1),"P")</f>
        <v>P</v>
      </c>
      <c r="AP11216" s="4" t="s">
        <v>376</v>
      </c>
      <c r="AR11216" s="4" t="s">
        <v>377</v>
      </c>
    </row>
    <row r="11217" spans="1:44">
      <c r="A11217" s="4" t="s">
        <v>10753</v>
      </c>
      <c r="B11217" s="4">
        <v>231876</v>
      </c>
      <c r="D11217" s="5" t="s">
        <v>14189</v>
      </c>
      <c r="E11217" s="6" t="str">
        <f>HYPERLINK("https://inpn.mnhn.fr/espece/cd_nom/231876","Tenthredo mandibularis Fabricius, 1804")</f>
        <v>Tenthredo mandibularis Fabricius, 1804</v>
      </c>
      <c r="AH11217" s="4" t="str">
        <f>HYPERLINK("#Statut_biogéographique!A"&amp;_xlfn.XMATCH("P",Statut_biogéographique!A:A,2,1),"P")</f>
        <v>P</v>
      </c>
      <c r="AP11217" s="4" t="s">
        <v>376</v>
      </c>
      <c r="AR11217" s="4" t="s">
        <v>377</v>
      </c>
    </row>
    <row r="11218" spans="1:44">
      <c r="A11218" s="4" t="s">
        <v>10753</v>
      </c>
      <c r="B11218" s="4">
        <v>231878</v>
      </c>
      <c r="D11218" s="5" t="s">
        <v>14190</v>
      </c>
      <c r="E11218" s="6" t="str">
        <f>HYPERLINK("https://inpn.mnhn.fr/espece/cd_nom/231878","Tenthredo procera Klug, 1817")</f>
        <v>Tenthredo procera Klug, 1817</v>
      </c>
      <c r="AH11218" s="4" t="str">
        <f>HYPERLINK("#Statut_biogéographique!A"&amp;_xlfn.XMATCH("P",Statut_biogéographique!A:A,2,1),"P")</f>
        <v>P</v>
      </c>
      <c r="AP11218" s="4" t="s">
        <v>376</v>
      </c>
      <c r="AR11218" s="4" t="s">
        <v>377</v>
      </c>
    </row>
    <row r="11219" spans="1:44">
      <c r="A11219" s="4" t="s">
        <v>10753</v>
      </c>
      <c r="B11219" s="4">
        <v>231880</v>
      </c>
      <c r="D11219" s="5" t="s">
        <v>14191</v>
      </c>
      <c r="E11219" s="6" t="str">
        <f>HYPERLINK("https://inpn.mnhn.fr/espece/cd_nom/231880","Tenthredo silensis A. Costa, 1859")</f>
        <v>Tenthredo silensis A. Costa, 1859</v>
      </c>
      <c r="AH11219" s="4" t="str">
        <f>HYPERLINK("#Statut_biogéographique!A"&amp;_xlfn.XMATCH("P",Statut_biogéographique!A:A,2,1),"P")</f>
        <v>P</v>
      </c>
      <c r="AP11219" s="4" t="s">
        <v>376</v>
      </c>
      <c r="AR11219" s="4" t="s">
        <v>377</v>
      </c>
    </row>
    <row r="11220" spans="1:44" ht="30">
      <c r="A11220" s="4" t="s">
        <v>10753</v>
      </c>
      <c r="B11220" s="4">
        <v>231883</v>
      </c>
      <c r="D11220" s="5" t="s">
        <v>14192</v>
      </c>
      <c r="E11220" s="6" t="str">
        <f>HYPERLINK("https://inpn.mnhn.fr/espece/cd_nom/231883","Tenthredo brevicornis (Konow, 1886)")</f>
        <v>Tenthredo brevicornis (Konow, 1886)</v>
      </c>
      <c r="AH11220" s="4" t="str">
        <f>HYPERLINK("#Statut_biogéographique!A"&amp;_xlfn.XMATCH("P",Statut_biogéographique!A:A,2,1),"P")</f>
        <v>P</v>
      </c>
      <c r="AP11220" s="4" t="s">
        <v>376</v>
      </c>
      <c r="AR11220" s="4" t="s">
        <v>377</v>
      </c>
    </row>
    <row r="11221" spans="1:44" ht="30">
      <c r="A11221" s="4" t="s">
        <v>10753</v>
      </c>
      <c r="B11221" s="4">
        <v>231886</v>
      </c>
      <c r="D11221" s="5" t="s">
        <v>14193</v>
      </c>
      <c r="E11221" s="6" t="str">
        <f>HYPERLINK("https://inpn.mnhn.fr/espece/cd_nom/231886","Tenthredo marginella Fabricius, 1793")</f>
        <v>Tenthredo marginella Fabricius, 1793</v>
      </c>
      <c r="AH11221" s="4" t="str">
        <f>HYPERLINK("#Statut_biogéographique!A"&amp;_xlfn.XMATCH("P",Statut_biogéographique!A:A,2,1),"P")</f>
        <v>P</v>
      </c>
      <c r="AP11221" s="4" t="s">
        <v>376</v>
      </c>
      <c r="AR11221" s="4" t="s">
        <v>377</v>
      </c>
    </row>
    <row r="11222" spans="1:44" ht="30">
      <c r="A11222" s="4" t="s">
        <v>10753</v>
      </c>
      <c r="B11222" s="4">
        <v>231888</v>
      </c>
      <c r="D11222" s="5" t="s">
        <v>14194</v>
      </c>
      <c r="E11222" s="6" t="str">
        <f>HYPERLINK("https://inpn.mnhn.fr/espece/cd_nom/231888","Tenthredo notha Klug, 1817")</f>
        <v>Tenthredo notha Klug, 1817</v>
      </c>
      <c r="AH11222" s="4" t="str">
        <f>HYPERLINK("#Statut_biogéographique!A"&amp;_xlfn.XMATCH("P",Statut_biogéographique!A:A,2,1),"P")</f>
        <v>P</v>
      </c>
      <c r="AP11222" s="4" t="s">
        <v>376</v>
      </c>
      <c r="AR11222" s="4" t="s">
        <v>377</v>
      </c>
    </row>
    <row r="11223" spans="1:44">
      <c r="A11223" s="4" t="s">
        <v>10753</v>
      </c>
      <c r="B11223" s="4">
        <v>231890</v>
      </c>
      <c r="D11223" s="5">
        <v>231890</v>
      </c>
      <c r="E11223" s="6" t="str">
        <f>HYPERLINK("https://inpn.mnhn.fr/espece/cd_nom/231890","Tenthredo scrophulariae Linnaeus, 1758")</f>
        <v>Tenthredo scrophulariae Linnaeus, 1758</v>
      </c>
      <c r="F11223" s="5" t="s">
        <v>14195</v>
      </c>
      <c r="AH11223" s="4" t="str">
        <f>HYPERLINK("#Statut_biogéographique!A"&amp;_xlfn.XMATCH("P",Statut_biogéographique!A:A,2,1),"P")</f>
        <v>P</v>
      </c>
      <c r="AP11223" s="4" t="s">
        <v>376</v>
      </c>
      <c r="AR11223" s="4" t="s">
        <v>377</v>
      </c>
    </row>
    <row r="11224" spans="1:44">
      <c r="A11224" s="4" t="s">
        <v>10753</v>
      </c>
      <c r="B11224" s="4">
        <v>231893</v>
      </c>
      <c r="D11224" s="5" t="s">
        <v>14196</v>
      </c>
      <c r="E11224" s="6" t="str">
        <f>HYPERLINK("https://inpn.mnhn.fr/espece/cd_nom/231893","Tenthredo zona Klug, 1817")</f>
        <v>Tenthredo zona Klug, 1817</v>
      </c>
      <c r="AH11224" s="4" t="str">
        <f>HYPERLINK("#Statut_biogéographique!A"&amp;_xlfn.XMATCH("P",Statut_biogéographique!A:A,2,1),"P")</f>
        <v>P</v>
      </c>
      <c r="AP11224" s="4" t="s">
        <v>376</v>
      </c>
      <c r="AR11224" s="4" t="s">
        <v>377</v>
      </c>
    </row>
    <row r="11225" spans="1:44">
      <c r="A11225" s="4" t="s">
        <v>10753</v>
      </c>
      <c r="B11225" s="4">
        <v>231904</v>
      </c>
      <c r="D11225" s="5" t="s">
        <v>14197</v>
      </c>
      <c r="E11225" s="6" t="str">
        <f>HYPERLINK("https://inpn.mnhn.fr/espece/cd_nom/231904","Rhogogaster chlorosoma (Benson, 1943)")</f>
        <v>Rhogogaster chlorosoma (Benson, 1943)</v>
      </c>
      <c r="AH11225" s="4" t="str">
        <f>HYPERLINK("#Statut_biogéographique!A"&amp;_xlfn.XMATCH("P",Statut_biogéographique!A:A,2,1),"P")</f>
        <v>P</v>
      </c>
      <c r="AP11225" s="4" t="s">
        <v>376</v>
      </c>
      <c r="AR11225" s="4" t="s">
        <v>377</v>
      </c>
    </row>
    <row r="11226" spans="1:44">
      <c r="A11226" s="4" t="s">
        <v>10753</v>
      </c>
      <c r="B11226" s="4">
        <v>231905</v>
      </c>
      <c r="D11226" s="5" t="s">
        <v>14198</v>
      </c>
      <c r="E11226" s="6" t="str">
        <f>HYPERLINK("https://inpn.mnhn.fr/espece/cd_nom/231905","Perineura rubi (Panzer, 1803)")</f>
        <v>Perineura rubi (Panzer, 1803)</v>
      </c>
      <c r="AH11226" s="4" t="str">
        <f>HYPERLINK("#Statut_biogéographique!A"&amp;_xlfn.XMATCH("P",Statut_biogéographique!A:A,2,1),"P")</f>
        <v>P</v>
      </c>
      <c r="AP11226" s="4" t="s">
        <v>376</v>
      </c>
      <c r="AR11226" s="4" t="s">
        <v>377</v>
      </c>
    </row>
    <row r="11227" spans="1:44">
      <c r="A11227" s="4" t="s">
        <v>10753</v>
      </c>
      <c r="B11227" s="4">
        <v>231906</v>
      </c>
      <c r="D11227" s="5" t="s">
        <v>14199</v>
      </c>
      <c r="E11227" s="6" t="str">
        <f>HYPERLINK("https://inpn.mnhn.fr/espece/cd_nom/231906","Pachyprotasis simulans (Klug, 1817)")</f>
        <v>Pachyprotasis simulans (Klug, 1817)</v>
      </c>
      <c r="AH11227" s="4" t="str">
        <f>HYPERLINK("#Statut_biogéographique!A"&amp;_xlfn.XMATCH("P",Statut_biogéographique!A:A,2,1),"P")</f>
        <v>P</v>
      </c>
      <c r="AP11227" s="4" t="s">
        <v>376</v>
      </c>
      <c r="AR11227" s="4" t="s">
        <v>377</v>
      </c>
    </row>
    <row r="11228" spans="1:44">
      <c r="A11228" s="4" t="s">
        <v>10753</v>
      </c>
      <c r="B11228" s="4">
        <v>231908</v>
      </c>
      <c r="D11228" s="5" t="s">
        <v>14200</v>
      </c>
      <c r="E11228" s="6" t="str">
        <f>HYPERLINK("https://inpn.mnhn.fr/espece/cd_nom/231908","Macrophya albipuncta (Fallén, 1808)")</f>
        <v>Macrophya albipuncta (Fallén, 1808)</v>
      </c>
      <c r="AH11228" s="4" t="str">
        <f>HYPERLINK("#Statut_biogéographique!A"&amp;_xlfn.XMATCH("P",Statut_biogéographique!A:A,2,1),"P")</f>
        <v>P</v>
      </c>
      <c r="AP11228" s="4" t="s">
        <v>376</v>
      </c>
      <c r="AR11228" s="4" t="s">
        <v>377</v>
      </c>
    </row>
    <row r="11229" spans="1:44">
      <c r="A11229" s="4" t="s">
        <v>10753</v>
      </c>
      <c r="B11229" s="4">
        <v>231909</v>
      </c>
      <c r="D11229" s="5" t="s">
        <v>14201</v>
      </c>
      <c r="E11229" s="6" t="str">
        <f>HYPERLINK("https://inpn.mnhn.fr/espece/cd_nom/231909","Macrophya alboannulata A. Costa, 1859")</f>
        <v>Macrophya alboannulata A. Costa, 1859</v>
      </c>
      <c r="AH11229" s="4" t="str">
        <f>HYPERLINK("#Statut_biogéographique!A"&amp;_xlfn.XMATCH("P",Statut_biogéographique!A:A,2,1),"P")</f>
        <v>P</v>
      </c>
      <c r="AP11229" s="4" t="s">
        <v>376</v>
      </c>
      <c r="AR11229" s="4" t="s">
        <v>377</v>
      </c>
    </row>
    <row r="11230" spans="1:44" ht="30">
      <c r="A11230" s="4" t="s">
        <v>10753</v>
      </c>
      <c r="B11230" s="4">
        <v>231910</v>
      </c>
      <c r="D11230" s="5" t="s">
        <v>14202</v>
      </c>
      <c r="E11230" s="6" t="str">
        <f>HYPERLINK("https://inpn.mnhn.fr/espece/cd_nom/231910","Macrophya blanda (Fabricius, 1775)")</f>
        <v>Macrophya blanda (Fabricius, 1775)</v>
      </c>
      <c r="F11230" s="5" t="s">
        <v>14203</v>
      </c>
      <c r="AH11230" s="4" t="str">
        <f>HYPERLINK("#Statut_biogéographique!A"&amp;_xlfn.XMATCH("P",Statut_biogéographique!A:A,2,1),"P")</f>
        <v>P</v>
      </c>
      <c r="AP11230" s="4" t="s">
        <v>376</v>
      </c>
      <c r="AR11230" s="4" t="s">
        <v>377</v>
      </c>
    </row>
    <row r="11231" spans="1:44" ht="30">
      <c r="A11231" s="4" t="s">
        <v>10753</v>
      </c>
      <c r="B11231" s="4">
        <v>231915</v>
      </c>
      <c r="D11231" s="5" t="s">
        <v>14204</v>
      </c>
      <c r="E11231" s="6" t="str">
        <f>HYPERLINK("https://inpn.mnhn.fr/espece/cd_nom/231915","Macrophya militaris (Klug, 1817)")</f>
        <v>Macrophya militaris (Klug, 1817)</v>
      </c>
      <c r="AH11231" s="4" t="str">
        <f>HYPERLINK("#Statut_biogéographique!A"&amp;_xlfn.XMATCH("P",Statut_biogéographique!A:A,2,1),"P")</f>
        <v>P</v>
      </c>
      <c r="AP11231" s="4" t="s">
        <v>376</v>
      </c>
      <c r="AR11231" s="4" t="s">
        <v>377</v>
      </c>
    </row>
    <row r="11232" spans="1:44">
      <c r="A11232" s="4" t="s">
        <v>10753</v>
      </c>
      <c r="B11232" s="4">
        <v>231917</v>
      </c>
      <c r="D11232" s="5" t="s">
        <v>14205</v>
      </c>
      <c r="E11232" s="6" t="str">
        <f>HYPERLINK("https://inpn.mnhn.fr/espece/cd_nom/231917","Macrophya recognata Zombori, 1979")</f>
        <v>Macrophya recognata Zombori, 1979</v>
      </c>
      <c r="AH11232" s="4" t="str">
        <f>HYPERLINK("#Statut_biogéographique!A"&amp;_xlfn.XMATCH("P",Statut_biogéographique!A:A,2,1),"P")</f>
        <v>P</v>
      </c>
      <c r="AP11232" s="4" t="s">
        <v>376</v>
      </c>
      <c r="AR11232" s="4" t="s">
        <v>377</v>
      </c>
    </row>
    <row r="11233" spans="1:44" ht="30">
      <c r="A11233" s="4" t="s">
        <v>10753</v>
      </c>
      <c r="B11233" s="4">
        <v>231918</v>
      </c>
      <c r="D11233" s="5" t="s">
        <v>14206</v>
      </c>
      <c r="E11233" s="6" t="str">
        <f>HYPERLINK("https://inpn.mnhn.fr/espece/cd_nom/231918","Macrophya sanguinolenta (Gmelin, 1790)")</f>
        <v>Macrophya sanguinolenta (Gmelin, 1790)</v>
      </c>
      <c r="AH11233" s="4" t="str">
        <f>HYPERLINK("#Statut_biogéographique!A"&amp;_xlfn.XMATCH("P",Statut_biogéographique!A:A,2,1),"P")</f>
        <v>P</v>
      </c>
      <c r="AP11233" s="4" t="s">
        <v>376</v>
      </c>
      <c r="AR11233" s="4" t="s">
        <v>377</v>
      </c>
    </row>
    <row r="11234" spans="1:44">
      <c r="A11234" s="4" t="s">
        <v>10753</v>
      </c>
      <c r="B11234" s="4">
        <v>231920</v>
      </c>
      <c r="D11234" s="5" t="s">
        <v>14207</v>
      </c>
      <c r="E11234" s="6" t="str">
        <f>HYPERLINK("https://inpn.mnhn.fr/espece/cd_nom/231920","Macrophya teutona (Panzer, 1799)")</f>
        <v>Macrophya teutona (Panzer, 1799)</v>
      </c>
      <c r="AH11234" s="4" t="str">
        <f>HYPERLINK("#Statut_biogéographique!A"&amp;_xlfn.XMATCH("P",Statut_biogéographique!A:A,2,1),"P")</f>
        <v>P</v>
      </c>
      <c r="AP11234" s="4" t="s">
        <v>376</v>
      </c>
      <c r="AR11234" s="4" t="s">
        <v>377</v>
      </c>
    </row>
    <row r="11235" spans="1:44" ht="30">
      <c r="A11235" s="4" t="s">
        <v>10753</v>
      </c>
      <c r="B11235" s="4">
        <v>231921</v>
      </c>
      <c r="D11235" s="5" t="s">
        <v>14208</v>
      </c>
      <c r="E11235" s="6" t="str">
        <f>HYPERLINK("https://inpn.mnhn.fr/espece/cd_nom/231921","Macrophya punctumalbum (Linnaeus, 1767)")</f>
        <v>Macrophya punctumalbum (Linnaeus, 1767)</v>
      </c>
      <c r="F11235" s="5" t="s">
        <v>14209</v>
      </c>
      <c r="AH11235" s="4" t="str">
        <f>HYPERLINK("#Statut_biogéographique!A"&amp;_xlfn.XMATCH("P",Statut_biogéographique!A:A,2,1),"P")</f>
        <v>P</v>
      </c>
      <c r="AP11235" s="4" t="s">
        <v>376</v>
      </c>
      <c r="AR11235" s="4" t="s">
        <v>377</v>
      </c>
    </row>
    <row r="11236" spans="1:44">
      <c r="A11236" s="4" t="s">
        <v>10753</v>
      </c>
      <c r="B11236" s="4">
        <v>231929</v>
      </c>
      <c r="D11236" s="5" t="s">
        <v>14210</v>
      </c>
      <c r="E11236" s="6" t="str">
        <f>HYPERLINK("https://inpn.mnhn.fr/espece/cd_nom/231929","Strongylogaster macula (Klug, 1817)")</f>
        <v>Strongylogaster macula (Klug, 1817)</v>
      </c>
      <c r="AH11236" s="4" t="str">
        <f>HYPERLINK("#Statut_biogéographique!A"&amp;_xlfn.XMATCH("P",Statut_biogéographique!A:A,2,1),"P")</f>
        <v>P</v>
      </c>
      <c r="AP11236" s="4" t="s">
        <v>376</v>
      </c>
      <c r="AR11236" s="4" t="s">
        <v>377</v>
      </c>
    </row>
    <row r="11237" spans="1:44">
      <c r="A11237" s="4" t="s">
        <v>10753</v>
      </c>
      <c r="B11237" s="4">
        <v>231930</v>
      </c>
      <c r="D11237" s="5" t="s">
        <v>14211</v>
      </c>
      <c r="E11237" s="6" t="str">
        <f>HYPERLINK("https://inpn.mnhn.fr/espece/cd_nom/231930","Strongylogaster mixta (Klug, 1817)")</f>
        <v>Strongylogaster mixta (Klug, 1817)</v>
      </c>
      <c r="AH11237" s="4" t="str">
        <f>HYPERLINK("#Statut_biogéographique!A"&amp;_xlfn.XMATCH("P",Statut_biogéographique!A:A,2,1),"P")</f>
        <v>P</v>
      </c>
      <c r="AP11237" s="4" t="s">
        <v>376</v>
      </c>
      <c r="AR11237" s="4" t="s">
        <v>377</v>
      </c>
    </row>
    <row r="11238" spans="1:44" ht="45">
      <c r="A11238" s="4" t="s">
        <v>10753</v>
      </c>
      <c r="B11238" s="4">
        <v>231931</v>
      </c>
      <c r="D11238" s="5" t="s">
        <v>14212</v>
      </c>
      <c r="E11238" s="6" t="str">
        <f>HYPERLINK("https://inpn.mnhn.fr/espece/cd_nom/231931","Strongylogaster multifasciata (Geoffroy in Fourcroy, 1785)")</f>
        <v>Strongylogaster multifasciata (Geoffroy in Fourcroy, 1785)</v>
      </c>
      <c r="AH11238" s="4" t="str">
        <f>HYPERLINK("#Statut_biogéographique!A"&amp;_xlfn.XMATCH("P",Statut_biogéographique!A:A,2,1),"P")</f>
        <v>P</v>
      </c>
      <c r="AP11238" s="4" t="s">
        <v>376</v>
      </c>
      <c r="AR11238" s="4" t="s">
        <v>377</v>
      </c>
    </row>
    <row r="11239" spans="1:44">
      <c r="A11239" s="4" t="s">
        <v>10753</v>
      </c>
      <c r="B11239" s="4">
        <v>231932</v>
      </c>
      <c r="D11239" s="5" t="s">
        <v>14213</v>
      </c>
      <c r="E11239" s="6" t="str">
        <f>HYPERLINK("https://inpn.mnhn.fr/espece/cd_nom/231932","Strongylogaster xanthocera (Stephens, 1835)")</f>
        <v>Strongylogaster xanthocera (Stephens, 1835)</v>
      </c>
      <c r="AH11239" s="4" t="str">
        <f>HYPERLINK("#Statut_biogéographique!A"&amp;_xlfn.XMATCH("P",Statut_biogéographique!A:A,2,1),"P")</f>
        <v>P</v>
      </c>
      <c r="AP11239" s="4" t="s">
        <v>376</v>
      </c>
      <c r="AR11239" s="4" t="s">
        <v>377</v>
      </c>
    </row>
    <row r="11240" spans="1:44" ht="30">
      <c r="A11240" s="4" t="s">
        <v>10753</v>
      </c>
      <c r="B11240" s="4">
        <v>231933</v>
      </c>
      <c r="D11240" s="5" t="s">
        <v>14214</v>
      </c>
      <c r="E11240" s="6" t="str">
        <f>HYPERLINK("https://inpn.mnhn.fr/espece/cd_nom/231933","Stromboceros delicatulus (Fallén, 1808)")</f>
        <v>Stromboceros delicatulus (Fallén, 1808)</v>
      </c>
      <c r="AH11240" s="4" t="str">
        <f>HYPERLINK("#Statut_biogéographique!A"&amp;_xlfn.XMATCH("P",Statut_biogéographique!A:A,2,1),"P")</f>
        <v>P</v>
      </c>
      <c r="AP11240" s="4" t="s">
        <v>376</v>
      </c>
      <c r="AR11240" s="4" t="s">
        <v>377</v>
      </c>
    </row>
    <row r="11241" spans="1:44">
      <c r="A11241" s="4" t="s">
        <v>10753</v>
      </c>
      <c r="B11241" s="4">
        <v>231935</v>
      </c>
      <c r="D11241" s="5" t="s">
        <v>14215</v>
      </c>
      <c r="E11241" s="6" t="str">
        <f>HYPERLINK("https://inpn.mnhn.fr/espece/cd_nom/231935","Heptamelus ochroleucus (Stephens, 1835)")</f>
        <v>Heptamelus ochroleucus (Stephens, 1835)</v>
      </c>
      <c r="AH11241" s="4" t="str">
        <f>HYPERLINK("#Statut_biogéographique!A"&amp;_xlfn.XMATCH("P",Statut_biogéographique!A:A,2,1),"P")</f>
        <v>P</v>
      </c>
      <c r="AP11241" s="4" t="s">
        <v>376</v>
      </c>
      <c r="AR11241" s="4" t="s">
        <v>377</v>
      </c>
    </row>
    <row r="11242" spans="1:44">
      <c r="A11242" s="4" t="s">
        <v>10753</v>
      </c>
      <c r="B11242" s="4">
        <v>231936</v>
      </c>
      <c r="D11242" s="5" t="s">
        <v>14216</v>
      </c>
      <c r="E11242" s="6" t="str">
        <f>HYPERLINK("https://inpn.mnhn.fr/espece/cd_nom/231936","Dulophanes morio (Fabricius, 1781)")</f>
        <v>Dulophanes morio (Fabricius, 1781)</v>
      </c>
      <c r="AH11242" s="4" t="str">
        <f>HYPERLINK("#Statut_biogéographique!A"&amp;_xlfn.XMATCH("P",Statut_biogéographique!A:A,2,1),"P")</f>
        <v>P</v>
      </c>
      <c r="AP11242" s="4" t="s">
        <v>376</v>
      </c>
      <c r="AR11242" s="4" t="s">
        <v>377</v>
      </c>
    </row>
    <row r="11243" spans="1:44" ht="30">
      <c r="A11243" s="4" t="s">
        <v>10753</v>
      </c>
      <c r="B11243" s="4">
        <v>231937</v>
      </c>
      <c r="D11243" s="5" t="s">
        <v>14217</v>
      </c>
      <c r="E11243" s="6" t="str">
        <f>HYPERLINK("https://inpn.mnhn.fr/espece/cd_nom/231937","Dolerus madidus (Klug, 1818)")</f>
        <v>Dolerus madidus (Klug, 1818)</v>
      </c>
      <c r="AH11243" s="4" t="str">
        <f>HYPERLINK("#Statut_biogéographique!A"&amp;_xlfn.XMATCH("P",Statut_biogéographique!A:A,2,1),"P")</f>
        <v>P</v>
      </c>
      <c r="AP11243" s="4" t="s">
        <v>376</v>
      </c>
      <c r="AR11243" s="4" t="s">
        <v>377</v>
      </c>
    </row>
    <row r="11244" spans="1:44">
      <c r="A11244" s="4" t="s">
        <v>10753</v>
      </c>
      <c r="B11244" s="4">
        <v>231940</v>
      </c>
      <c r="D11244" s="5" t="s">
        <v>14218</v>
      </c>
      <c r="E11244" s="6" t="str">
        <f>HYPERLINK("https://inpn.mnhn.fr/espece/cd_nom/231940","Dolerus triplicatus (Klug, 1818)")</f>
        <v>Dolerus triplicatus (Klug, 1818)</v>
      </c>
      <c r="AH11244" s="4" t="str">
        <f>HYPERLINK("#Statut_biogéographique!A"&amp;_xlfn.XMATCH("P",Statut_biogéographique!A:A,2,1),"P")</f>
        <v>P</v>
      </c>
      <c r="AP11244" s="4" t="s">
        <v>376</v>
      </c>
      <c r="AR11244" s="4" t="s">
        <v>377</v>
      </c>
    </row>
    <row r="11245" spans="1:44">
      <c r="A11245" s="4" t="s">
        <v>10753</v>
      </c>
      <c r="B11245" s="4">
        <v>231952</v>
      </c>
      <c r="D11245" s="5" t="s">
        <v>14219</v>
      </c>
      <c r="E11245" s="6" t="str">
        <f>HYPERLINK("https://inpn.mnhn.fr/espece/cd_nom/231952","Dolerus aeneus Hartig, 1837")</f>
        <v>Dolerus aeneus Hartig, 1837</v>
      </c>
      <c r="AH11245" s="4" t="str">
        <f>HYPERLINK("#Statut_biogéographique!A"&amp;_xlfn.XMATCH("P",Statut_biogéographique!A:A,2,1),"P")</f>
        <v>P</v>
      </c>
      <c r="AP11245" s="4" t="s">
        <v>376</v>
      </c>
      <c r="AR11245" s="4" t="s">
        <v>377</v>
      </c>
    </row>
    <row r="11246" spans="1:44">
      <c r="A11246" s="4" t="s">
        <v>10753</v>
      </c>
      <c r="B11246" s="4">
        <v>23196</v>
      </c>
      <c r="D11246" s="5" t="s">
        <v>14220</v>
      </c>
      <c r="E11246" s="6" t="str">
        <f>HYPERLINK("https://inpn.mnhn.fr/espece/cd_nom/23196","Episyrphus balteatus (De Geer, 1776)")</f>
        <v>Episyrphus balteatus (De Geer, 1776)</v>
      </c>
      <c r="F11246" s="5" t="s">
        <v>14221</v>
      </c>
      <c r="P11246" s="7" t="str">
        <f>HYPERLINK("#Liste_rouge!A"&amp;_xlfn.XMATCH("LC",Liste_rouge!A:A,2,1),"LC")</f>
        <v>LC</v>
      </c>
      <c r="AH11246" s="4" t="str">
        <f>HYPERLINK("#Statut_biogéographique!A"&amp;_xlfn.XMATCH("P",Statut_biogéographique!A:A,2,1),"P")</f>
        <v>P</v>
      </c>
      <c r="AP11246" s="4" t="s">
        <v>376</v>
      </c>
      <c r="AR11246" s="4" t="s">
        <v>377</v>
      </c>
    </row>
    <row r="11247" spans="1:44" ht="45">
      <c r="A11247" s="4" t="s">
        <v>10753</v>
      </c>
      <c r="B11247" s="4">
        <v>231972</v>
      </c>
      <c r="D11247" s="5" t="s">
        <v>14222</v>
      </c>
      <c r="E11247" s="6" t="str">
        <f>HYPERLINK("https://inpn.mnhn.fr/espece/cd_nom/231972","Brachythops flavens (Klug, 1816)")</f>
        <v>Brachythops flavens (Klug, 1816)</v>
      </c>
      <c r="AH11247" s="4" t="str">
        <f>HYPERLINK("#Statut_biogéographique!A"&amp;_xlfn.XMATCH("P",Statut_biogéographique!A:A,2,1),"P")</f>
        <v>P</v>
      </c>
      <c r="AP11247" s="4" t="s">
        <v>376</v>
      </c>
      <c r="AR11247" s="4" t="s">
        <v>377</v>
      </c>
    </row>
    <row r="11248" spans="1:44" ht="30">
      <c r="A11248" s="4" t="s">
        <v>10753</v>
      </c>
      <c r="B11248" s="4">
        <v>231975</v>
      </c>
      <c r="D11248" s="5" t="s">
        <v>14223</v>
      </c>
      <c r="E11248" s="6" t="str">
        <f>HYPERLINK("https://inpn.mnhn.fr/espece/cd_nom/231975","Aneugmenus fuerstenbergensis (Konow, 1885)")</f>
        <v>Aneugmenus fuerstenbergensis (Konow, 1885)</v>
      </c>
      <c r="AH11248" s="4" t="str">
        <f>HYPERLINK("#Statut_biogéographique!A"&amp;_xlfn.XMATCH("P",Statut_biogéographique!A:A,2,1),"P")</f>
        <v>P</v>
      </c>
      <c r="AP11248" s="4" t="s">
        <v>376</v>
      </c>
      <c r="AR11248" s="4" t="s">
        <v>377</v>
      </c>
    </row>
    <row r="11249" spans="1:44">
      <c r="A11249" s="4" t="s">
        <v>10753</v>
      </c>
      <c r="B11249" s="4">
        <v>231977</v>
      </c>
      <c r="D11249" s="5" t="s">
        <v>14224</v>
      </c>
      <c r="E11249" s="6" t="str">
        <f>HYPERLINK("https://inpn.mnhn.fr/espece/cd_nom/231977","Pseudodineura fuscula (Klug, 1816)")</f>
        <v>Pseudodineura fuscula (Klug, 1816)</v>
      </c>
      <c r="AH11249" s="4" t="str">
        <f>HYPERLINK("#Statut_biogéographique!A"&amp;_xlfn.XMATCH("P",Statut_biogéographique!A:A,2,1),"P")</f>
        <v>P</v>
      </c>
      <c r="AP11249" s="4" t="s">
        <v>376</v>
      </c>
      <c r="AR11249" s="4" t="s">
        <v>377</v>
      </c>
    </row>
    <row r="11250" spans="1:44" ht="30">
      <c r="A11250" s="4" t="s">
        <v>10753</v>
      </c>
      <c r="B11250" s="4">
        <v>231980</v>
      </c>
      <c r="D11250" s="5" t="s">
        <v>14225</v>
      </c>
      <c r="E11250" s="6" t="str">
        <f>HYPERLINK("https://inpn.mnhn.fr/espece/cd_nom/231980","Pristiphora biscalis (Förster, 1854)")</f>
        <v>Pristiphora biscalis (Förster, 1854)</v>
      </c>
      <c r="AH11250" s="4" t="str">
        <f>HYPERLINK("#Statut_biogéographique!A"&amp;_xlfn.XMATCH("P",Statut_biogéographique!A:A,2,1),"P")</f>
        <v>P</v>
      </c>
      <c r="AP11250" s="4" t="s">
        <v>376</v>
      </c>
      <c r="AR11250" s="4" t="s">
        <v>377</v>
      </c>
    </row>
    <row r="11251" spans="1:44">
      <c r="A11251" s="4" t="s">
        <v>10753</v>
      </c>
      <c r="B11251" s="4">
        <v>231985</v>
      </c>
      <c r="D11251" s="5" t="s">
        <v>14226</v>
      </c>
      <c r="E11251" s="6" t="str">
        <f>HYPERLINK("https://inpn.mnhn.fr/espece/cd_nom/231985","Pristiphora decipiens (Enslin, 1916)")</f>
        <v>Pristiphora decipiens (Enslin, 1916)</v>
      </c>
      <c r="AH11251" s="4" t="str">
        <f>HYPERLINK("#Statut_biogéographique!A"&amp;_xlfn.XMATCH("P",Statut_biogéographique!A:A,2,1),"P")</f>
        <v>P</v>
      </c>
      <c r="AP11251" s="4" t="s">
        <v>376</v>
      </c>
      <c r="AR11251" s="4" t="s">
        <v>377</v>
      </c>
    </row>
    <row r="11252" spans="1:44">
      <c r="A11252" s="4" t="s">
        <v>10753</v>
      </c>
      <c r="B11252" s="4">
        <v>231987</v>
      </c>
      <c r="D11252" s="5" t="s">
        <v>14227</v>
      </c>
      <c r="E11252" s="6" t="str">
        <f>HYPERLINK("https://inpn.mnhn.fr/espece/cd_nom/231987","Pristiphora saxesenii (Hartig, 1837)")</f>
        <v>Pristiphora saxesenii (Hartig, 1837)</v>
      </c>
      <c r="AH11252" s="4" t="str">
        <f>HYPERLINK("#Statut_biogéographique!A"&amp;_xlfn.XMATCH("P",Statut_biogéographique!A:A,2,1),"P")</f>
        <v>P</v>
      </c>
      <c r="AP11252" s="4" t="s">
        <v>376</v>
      </c>
      <c r="AR11252" s="4" t="s">
        <v>377</v>
      </c>
    </row>
    <row r="11253" spans="1:44">
      <c r="A11253" s="4" t="s">
        <v>10753</v>
      </c>
      <c r="B11253" s="4">
        <v>231994</v>
      </c>
      <c r="D11253" s="5" t="s">
        <v>14228</v>
      </c>
      <c r="E11253" s="6" t="str">
        <f>HYPERLINK("https://inpn.mnhn.fr/espece/cd_nom/231994","Pristiphora mollis (Hartig, 1837)")</f>
        <v>Pristiphora mollis (Hartig, 1837)</v>
      </c>
      <c r="AH11253" s="4" t="str">
        <f>HYPERLINK("#Statut_biogéographique!A"&amp;_xlfn.XMATCH("P",Statut_biogéographique!A:A,2,1),"P")</f>
        <v>P</v>
      </c>
      <c r="AP11253" s="4" t="s">
        <v>376</v>
      </c>
      <c r="AR11253" s="4" t="s">
        <v>377</v>
      </c>
    </row>
    <row r="11254" spans="1:44" ht="30">
      <c r="A11254" s="4" t="s">
        <v>10753</v>
      </c>
      <c r="B11254" s="4">
        <v>231996</v>
      </c>
      <c r="D11254" s="5" t="s">
        <v>14229</v>
      </c>
      <c r="E11254" s="6" t="str">
        <f>HYPERLINK("https://inpn.mnhn.fr/espece/cd_nom/231996","Pristiphora monogyniae (Hartig, 1840)")</f>
        <v>Pristiphora monogyniae (Hartig, 1840)</v>
      </c>
      <c r="AH11254" s="4" t="str">
        <f>HYPERLINK("#Statut_biogéographique!A"&amp;_xlfn.XMATCH("P",Statut_biogéographique!A:A,2,1),"P")</f>
        <v>P</v>
      </c>
      <c r="AP11254" s="4" t="s">
        <v>376</v>
      </c>
      <c r="AR11254" s="4" t="s">
        <v>377</v>
      </c>
    </row>
    <row r="11255" spans="1:44">
      <c r="A11255" s="4" t="s">
        <v>10753</v>
      </c>
      <c r="B11255" s="4">
        <v>231999</v>
      </c>
      <c r="D11255" s="5" t="s">
        <v>14230</v>
      </c>
      <c r="E11255" s="6" t="str">
        <f>HYPERLINK("https://inpn.mnhn.fr/espece/cd_nom/231999","Pristiphora aphantoneura (Förster, 1854)")</f>
        <v>Pristiphora aphantoneura (Förster, 1854)</v>
      </c>
      <c r="AH11255" s="4" t="str">
        <f>HYPERLINK("#Statut_biogéographique!A"&amp;_xlfn.XMATCH("P",Statut_biogéographique!A:A,2,1),"P")</f>
        <v>P</v>
      </c>
      <c r="AP11255" s="4" t="s">
        <v>376</v>
      </c>
      <c r="AR11255" s="4" t="s">
        <v>377</v>
      </c>
    </row>
    <row r="11256" spans="1:44" ht="45">
      <c r="A11256" s="4" t="s">
        <v>10753</v>
      </c>
      <c r="B11256" s="4">
        <v>232000</v>
      </c>
      <c r="D11256" s="5" t="s">
        <v>14231</v>
      </c>
      <c r="E11256" s="6" t="str">
        <f>HYPERLINK("https://inpn.mnhn.fr/espece/cd_nom/232000","Pristiphora appendiculata (Hartig, 1837)")</f>
        <v>Pristiphora appendiculata (Hartig, 1837)</v>
      </c>
      <c r="AH11256" s="4" t="str">
        <f>HYPERLINK("#Statut_biogéographique!A"&amp;_xlfn.XMATCH("P",Statut_biogéographique!A:A,2,1),"P")</f>
        <v>P</v>
      </c>
      <c r="AP11256" s="4" t="s">
        <v>376</v>
      </c>
      <c r="AR11256" s="4" t="s">
        <v>377</v>
      </c>
    </row>
    <row r="11257" spans="1:44" ht="30">
      <c r="A11257" s="4" t="s">
        <v>10753</v>
      </c>
      <c r="B11257" s="4">
        <v>232001</v>
      </c>
      <c r="D11257" s="5" t="s">
        <v>14232</v>
      </c>
      <c r="E11257" s="6" t="str">
        <f>HYPERLINK("https://inpn.mnhn.fr/espece/cd_nom/232001","Pristiphora armata (C.G. Thomson, 1863)")</f>
        <v>Pristiphora armata (C.G. Thomson, 1863)</v>
      </c>
      <c r="AH11257" s="4" t="str">
        <f>HYPERLINK("#Statut_biogéographique!A"&amp;_xlfn.XMATCH("P",Statut_biogéographique!A:A,2,1),"P")</f>
        <v>P</v>
      </c>
      <c r="AP11257" s="4" t="s">
        <v>376</v>
      </c>
      <c r="AR11257" s="4" t="s">
        <v>377</v>
      </c>
    </row>
    <row r="11258" spans="1:44" ht="30">
      <c r="A11258" s="4" t="s">
        <v>10753</v>
      </c>
      <c r="B11258" s="4">
        <v>232007</v>
      </c>
      <c r="D11258" s="5" t="s">
        <v>14233</v>
      </c>
      <c r="E11258" s="6" t="str">
        <f>HYPERLINK("https://inpn.mnhn.fr/espece/cd_nom/232007","Pristiphora cincta Newman, 1837")</f>
        <v>Pristiphora cincta Newman, 1837</v>
      </c>
      <c r="AH11258" s="4" t="str">
        <f>HYPERLINK("#Statut_biogéographique!A"&amp;_xlfn.XMATCH("P",Statut_biogéographique!A:A,2,1),"P")</f>
        <v>P</v>
      </c>
      <c r="AP11258" s="4" t="s">
        <v>376</v>
      </c>
      <c r="AR11258" s="4" t="s">
        <v>377</v>
      </c>
    </row>
    <row r="11259" spans="1:44">
      <c r="A11259" s="4" t="s">
        <v>10753</v>
      </c>
      <c r="B11259" s="4">
        <v>232013</v>
      </c>
      <c r="D11259" s="5" t="s">
        <v>14234</v>
      </c>
      <c r="E11259" s="6" t="str">
        <f>HYPERLINK("https://inpn.mnhn.fr/espece/cd_nom/232013","Pristiphora melanocarpa (Hartig, 1840)")</f>
        <v>Pristiphora melanocarpa (Hartig, 1840)</v>
      </c>
      <c r="AH11259" s="4" t="str">
        <f>HYPERLINK("#Statut_biogéographique!A"&amp;_xlfn.XMATCH("P",Statut_biogéographique!A:A,2,1),"P")</f>
        <v>P</v>
      </c>
      <c r="AP11259" s="4" t="s">
        <v>376</v>
      </c>
      <c r="AR11259" s="4" t="s">
        <v>377</v>
      </c>
    </row>
    <row r="11260" spans="1:44" ht="30">
      <c r="A11260" s="4" t="s">
        <v>10753</v>
      </c>
      <c r="B11260" s="4">
        <v>232014</v>
      </c>
      <c r="D11260" s="5" t="s">
        <v>14235</v>
      </c>
      <c r="E11260" s="6" t="str">
        <f>HYPERLINK("https://inpn.mnhn.fr/espece/cd_nom/232014","Pristiphora punctifrons (C.G. Thomson, 1871)")</f>
        <v>Pristiphora punctifrons (C.G. Thomson, 1871)</v>
      </c>
      <c r="AH11260" s="4" t="str">
        <f>HYPERLINK("#Statut_biogéographique!A"&amp;_xlfn.XMATCH("P",Statut_biogéographique!A:A,2,1),"P")</f>
        <v>P</v>
      </c>
      <c r="AP11260" s="4" t="s">
        <v>376</v>
      </c>
      <c r="AR11260" s="4" t="s">
        <v>377</v>
      </c>
    </row>
    <row r="11261" spans="1:44">
      <c r="A11261" s="4" t="s">
        <v>10753</v>
      </c>
      <c r="B11261" s="4">
        <v>23203</v>
      </c>
      <c r="D11261" s="5" t="s">
        <v>14236</v>
      </c>
      <c r="E11261" s="6" t="str">
        <f>HYPERLINK("https://inpn.mnhn.fr/espece/cd_nom/23203","Melangyna barbifrons (Fallén, 1817)")</f>
        <v>Melangyna barbifrons (Fallén, 1817)</v>
      </c>
      <c r="P11261" s="7" t="str">
        <f>HYPERLINK("#Liste_rouge!A"&amp;_xlfn.XMATCH("LC",Liste_rouge!A:A,2,1),"LC")</f>
        <v>LC</v>
      </c>
      <c r="AH11261" s="4" t="str">
        <f>HYPERLINK("#Statut_biogéographique!A"&amp;_xlfn.XMATCH("P",Statut_biogéographique!A:A,2,1),"P")</f>
        <v>P</v>
      </c>
      <c r="AP11261" s="4" t="s">
        <v>376</v>
      </c>
      <c r="AR11261" s="4" t="s">
        <v>377</v>
      </c>
    </row>
    <row r="11262" spans="1:44">
      <c r="A11262" s="4" t="s">
        <v>10753</v>
      </c>
      <c r="B11262" s="4">
        <v>23205</v>
      </c>
      <c r="D11262" s="5" t="s">
        <v>14237</v>
      </c>
      <c r="E11262" s="6" t="str">
        <f>HYPERLINK("https://inpn.mnhn.fr/espece/cd_nom/23205","Meligramma cincta (Fallén, 1817)")</f>
        <v>Meligramma cincta (Fallén, 1817)</v>
      </c>
      <c r="P11262" s="7" t="str">
        <f>HYPERLINK("#Liste_rouge!A"&amp;_xlfn.XMATCH("LC",Liste_rouge!A:A,2,1),"LC")</f>
        <v>LC</v>
      </c>
      <c r="AH11262" s="4" t="str">
        <f>HYPERLINK("#Statut_biogéographique!A"&amp;_xlfn.XMATCH("P",Statut_biogéographique!A:A,2,1),"P")</f>
        <v>P</v>
      </c>
      <c r="AP11262" s="4" t="s">
        <v>376</v>
      </c>
      <c r="AR11262" s="4" t="s">
        <v>377</v>
      </c>
    </row>
    <row r="11263" spans="1:44">
      <c r="A11263" s="4" t="s">
        <v>10753</v>
      </c>
      <c r="B11263" s="4">
        <v>23206</v>
      </c>
      <c r="D11263" s="5" t="s">
        <v>14238</v>
      </c>
      <c r="E11263" s="6" t="str">
        <f>HYPERLINK("https://inpn.mnhn.fr/espece/cd_nom/23206","Melangyna compositarum (Verrall, 1873)")</f>
        <v>Melangyna compositarum (Verrall, 1873)</v>
      </c>
      <c r="P11263" s="7" t="str">
        <f>HYPERLINK("#Liste_rouge!A"&amp;_xlfn.XMATCH("LC",Liste_rouge!A:A,2,1),"LC")</f>
        <v>LC</v>
      </c>
      <c r="AH11263" s="4" t="str">
        <f>HYPERLINK("#Statut_biogéographique!A"&amp;_xlfn.XMATCH("P",Statut_biogéographique!A:A,2,1),"P")</f>
        <v>P</v>
      </c>
      <c r="AP11263" s="4" t="s">
        <v>376</v>
      </c>
      <c r="AR11263" s="4" t="s">
        <v>377</v>
      </c>
    </row>
    <row r="11264" spans="1:44">
      <c r="A11264" s="4" t="s">
        <v>10753</v>
      </c>
      <c r="B11264" s="4">
        <v>232063</v>
      </c>
      <c r="D11264" s="5" t="s">
        <v>14239</v>
      </c>
      <c r="E11264" s="6" t="str">
        <f>HYPERLINK("https://inpn.mnhn.fr/espece/cd_nom/232063","Nematus wahlbergi C.G. Thomson, 1871")</f>
        <v>Nematus wahlbergi C.G. Thomson, 1871</v>
      </c>
      <c r="AH11264" s="4" t="str">
        <f>HYPERLINK("#Statut_biogéographique!A"&amp;_xlfn.XMATCH("P",Statut_biogéographique!A:A,2,1),"P")</f>
        <v>P</v>
      </c>
      <c r="AP11264" s="4" t="s">
        <v>376</v>
      </c>
      <c r="AR11264" s="4" t="s">
        <v>377</v>
      </c>
    </row>
    <row r="11265" spans="1:44">
      <c r="A11265" s="4" t="s">
        <v>10753</v>
      </c>
      <c r="B11265" s="4">
        <v>232088</v>
      </c>
      <c r="D11265" s="5" t="s">
        <v>14240</v>
      </c>
      <c r="E11265" s="6" t="str">
        <f>HYPERLINK("https://inpn.mnhn.fr/espece/cd_nom/232088","Nematus umbratus C.G. Thomson, 1871")</f>
        <v>Nematus umbratus C.G. Thomson, 1871</v>
      </c>
      <c r="AH11265" s="4" t="str">
        <f>HYPERLINK("#Statut_biogéographique!A"&amp;_xlfn.XMATCH("P",Statut_biogéographique!A:A,2,1),"P")</f>
        <v>P</v>
      </c>
      <c r="AP11265" s="4" t="s">
        <v>376</v>
      </c>
      <c r="AR11265" s="4" t="s">
        <v>377</v>
      </c>
    </row>
    <row r="11266" spans="1:44" ht="30">
      <c r="A11266" s="4" t="s">
        <v>10753</v>
      </c>
      <c r="B11266" s="4">
        <v>23209</v>
      </c>
      <c r="D11266" s="5" t="s">
        <v>14241</v>
      </c>
      <c r="E11266" s="6" t="str">
        <f>HYPERLINK("https://inpn.mnhn.fr/espece/cd_nom/23209","Melangyna lasiophthalma (Zetterstedt, 1843)")</f>
        <v>Melangyna lasiophthalma (Zetterstedt, 1843)</v>
      </c>
      <c r="P11266" s="7" t="str">
        <f>HYPERLINK("#Liste_rouge!A"&amp;_xlfn.XMATCH("LC",Liste_rouge!A:A,2,1),"LC")</f>
        <v>LC</v>
      </c>
      <c r="AH11266" s="4" t="str">
        <f>HYPERLINK("#Statut_biogéographique!A"&amp;_xlfn.XMATCH("P",Statut_biogéographique!A:A,2,1),"P")</f>
        <v>P</v>
      </c>
      <c r="AP11266" s="4" t="s">
        <v>376</v>
      </c>
      <c r="AR11266" s="4" t="s">
        <v>377</v>
      </c>
    </row>
    <row r="11267" spans="1:44">
      <c r="A11267" s="4" t="s">
        <v>10753</v>
      </c>
      <c r="B11267" s="4">
        <v>232099</v>
      </c>
      <c r="D11267" s="5" t="s">
        <v>14242</v>
      </c>
      <c r="E11267" s="6" t="str">
        <f>HYPERLINK("https://inpn.mnhn.fr/espece/cd_nom/232099","Hoplocampa chrysorrhoea (Klug, 1816)")</f>
        <v>Hoplocampa chrysorrhoea (Klug, 1816)</v>
      </c>
      <c r="AH11267" s="4" t="str">
        <f>HYPERLINK("#Statut_biogéographique!A"&amp;_xlfn.XMATCH("P",Statut_biogéographique!A:A,2,1),"P")</f>
        <v>P</v>
      </c>
      <c r="AP11267" s="4" t="s">
        <v>376</v>
      </c>
      <c r="AR11267" s="4" t="s">
        <v>377</v>
      </c>
    </row>
    <row r="11268" spans="1:44" ht="30">
      <c r="A11268" s="4" t="s">
        <v>10753</v>
      </c>
      <c r="B11268" s="4">
        <v>232101</v>
      </c>
      <c r="D11268" s="5" t="s">
        <v>14243</v>
      </c>
      <c r="E11268" s="6" t="str">
        <f>HYPERLINK("https://inpn.mnhn.fr/espece/cd_nom/232101","Hoplocampa flava (Linnaeus, 1761)")</f>
        <v>Hoplocampa flava (Linnaeus, 1761)</v>
      </c>
      <c r="AH11268" s="4" t="str">
        <f>HYPERLINK("#Statut_biogéographique!A"&amp;_xlfn.XMATCH("P",Statut_biogéographique!A:A,2,1),"P")</f>
        <v>P</v>
      </c>
      <c r="AP11268" s="4" t="s">
        <v>376</v>
      </c>
      <c r="AR11268" s="4" t="s">
        <v>377</v>
      </c>
    </row>
    <row r="11269" spans="1:44">
      <c r="A11269" s="4" t="s">
        <v>10753</v>
      </c>
      <c r="B11269" s="4">
        <v>232104</v>
      </c>
      <c r="D11269" s="5" t="s">
        <v>14244</v>
      </c>
      <c r="E11269" s="6" t="str">
        <f>HYPERLINK("https://inpn.mnhn.fr/espece/cd_nom/232104","Hoplocampa pectoralis C.G. Thomson, 1871")</f>
        <v>Hoplocampa pectoralis C.G. Thomson, 1871</v>
      </c>
      <c r="F11269" s="5" t="s">
        <v>14245</v>
      </c>
      <c r="AH11269" s="4" t="str">
        <f>HYPERLINK("#Statut_biogéographique!A"&amp;_xlfn.XMATCH("P",Statut_biogéographique!A:A,2,1),"P")</f>
        <v>P</v>
      </c>
      <c r="AP11269" s="4" t="s">
        <v>376</v>
      </c>
      <c r="AR11269" s="4" t="s">
        <v>377</v>
      </c>
    </row>
    <row r="11270" spans="1:44" ht="45">
      <c r="A11270" s="4" t="s">
        <v>10753</v>
      </c>
      <c r="B11270" s="4">
        <v>232108</v>
      </c>
      <c r="D11270" s="5" t="s">
        <v>14246</v>
      </c>
      <c r="E11270" s="6" t="str">
        <f>HYPERLINK("https://inpn.mnhn.fr/espece/cd_nom/232108","Hemichroa crocea (Geoffroy in Fourcroy, 1785)")</f>
        <v>Hemichroa crocea (Geoffroy in Fourcroy, 1785)</v>
      </c>
      <c r="F11270" s="5" t="s">
        <v>14247</v>
      </c>
      <c r="AH11270" s="4" t="str">
        <f>HYPERLINK("#Statut_biogéographique!A"&amp;_xlfn.XMATCH("P",Statut_biogéographique!A:A,2,1),"P")</f>
        <v>P</v>
      </c>
      <c r="AP11270" s="4" t="s">
        <v>376</v>
      </c>
      <c r="AR11270" s="4" t="s">
        <v>377</v>
      </c>
    </row>
    <row r="11271" spans="1:44">
      <c r="A11271" s="4" t="s">
        <v>10753</v>
      </c>
      <c r="B11271" s="4">
        <v>23212</v>
      </c>
      <c r="D11271" s="5" t="s">
        <v>14248</v>
      </c>
      <c r="E11271" s="6" t="str">
        <f>HYPERLINK("https://inpn.mnhn.fr/espece/cd_nom/23212","Melangyna umbellatarum (Fabricius, 1794)")</f>
        <v>Melangyna umbellatarum (Fabricius, 1794)</v>
      </c>
      <c r="P11271" s="7" t="str">
        <f>HYPERLINK("#Liste_rouge!A"&amp;_xlfn.XMATCH("LC",Liste_rouge!A:A,2,1),"LC")</f>
        <v>LC</v>
      </c>
      <c r="AH11271" s="4" t="str">
        <f>HYPERLINK("#Statut_biogéographique!A"&amp;_xlfn.XMATCH("P",Statut_biogéographique!A:A,2,1),"P")</f>
        <v>P</v>
      </c>
      <c r="AP11271" s="4" t="s">
        <v>376</v>
      </c>
      <c r="AR11271" s="4" t="s">
        <v>377</v>
      </c>
    </row>
    <row r="11272" spans="1:44">
      <c r="A11272" s="4" t="s">
        <v>10753</v>
      </c>
      <c r="B11272" s="4">
        <v>23214</v>
      </c>
      <c r="D11272" s="5" t="s">
        <v>14249</v>
      </c>
      <c r="E11272" s="6" t="str">
        <f>HYPERLINK("https://inpn.mnhn.fr/espece/cd_nom/23214","Melanostoma mellinum (Linnaeus, 1758)")</f>
        <v>Melanostoma mellinum (Linnaeus, 1758)</v>
      </c>
      <c r="P11272" s="7" t="str">
        <f>HYPERLINK("#Liste_rouge!A"&amp;_xlfn.XMATCH("LC",Liste_rouge!A:A,2,1),"LC")</f>
        <v>LC</v>
      </c>
      <c r="AH11272" s="4" t="str">
        <f>HYPERLINK("#Statut_biogéographique!A"&amp;_xlfn.XMATCH("P",Statut_biogéographique!A:A,2,1),"P")</f>
        <v>P</v>
      </c>
      <c r="AP11272" s="4" t="s">
        <v>376</v>
      </c>
      <c r="AR11272" s="4" t="s">
        <v>377</v>
      </c>
    </row>
    <row r="11273" spans="1:44">
      <c r="A11273" s="4" t="s">
        <v>10753</v>
      </c>
      <c r="B11273" s="4">
        <v>232158</v>
      </c>
      <c r="D11273" s="5" t="s">
        <v>14250</v>
      </c>
      <c r="E11273" s="6" t="str">
        <f>HYPERLINK("https://inpn.mnhn.fr/espece/cd_nom/232158","Scolioneura betuleti (Klug, 1816)")</f>
        <v>Scolioneura betuleti (Klug, 1816)</v>
      </c>
      <c r="AH11273" s="4" t="str">
        <f>HYPERLINK("#Statut_biogéographique!A"&amp;_xlfn.XMATCH("P",Statut_biogéographique!A:A,2,1),"P")</f>
        <v>P</v>
      </c>
      <c r="AP11273" s="4" t="s">
        <v>376</v>
      </c>
      <c r="AR11273" s="4" t="s">
        <v>377</v>
      </c>
    </row>
    <row r="11274" spans="1:44">
      <c r="A11274" s="4" t="s">
        <v>10753</v>
      </c>
      <c r="B11274" s="4">
        <v>232159</v>
      </c>
      <c r="D11274" s="5" t="s">
        <v>14251</v>
      </c>
      <c r="E11274" s="6" t="str">
        <f>HYPERLINK("https://inpn.mnhn.fr/espece/cd_nom/232159","Profenusa thomsoni (Konow, 1886)")</f>
        <v>Profenusa thomsoni (Konow, 1886)</v>
      </c>
      <c r="AH11274" s="4" t="str">
        <f>HYPERLINK("#Statut_biogéographique!A"&amp;_xlfn.XMATCH("P",Statut_biogéographique!A:A,2,1),"P")</f>
        <v>P</v>
      </c>
      <c r="AP11274" s="4" t="s">
        <v>376</v>
      </c>
      <c r="AR11274" s="4" t="s">
        <v>377</v>
      </c>
    </row>
    <row r="11275" spans="1:44">
      <c r="A11275" s="4" t="s">
        <v>10753</v>
      </c>
      <c r="B11275" s="4">
        <v>23216</v>
      </c>
      <c r="D11275" s="5" t="s">
        <v>14252</v>
      </c>
      <c r="E11275" s="6" t="str">
        <f>HYPERLINK("https://inpn.mnhn.fr/espece/cd_nom/23216","Melanostoma scalare (Fabricius, 1794)")</f>
        <v>Melanostoma scalare (Fabricius, 1794)</v>
      </c>
      <c r="P11275" s="7" t="str">
        <f>HYPERLINK("#Liste_rouge!A"&amp;_xlfn.XMATCH("LC",Liste_rouge!A:A,2,1),"LC")</f>
        <v>LC</v>
      </c>
      <c r="AH11275" s="4" t="str">
        <f>HYPERLINK("#Statut_biogéographique!A"&amp;_xlfn.XMATCH("P",Statut_biogéographique!A:A,2,1),"P")</f>
        <v>P</v>
      </c>
      <c r="AP11275" s="4" t="s">
        <v>376</v>
      </c>
      <c r="AR11275" s="4" t="s">
        <v>377</v>
      </c>
    </row>
    <row r="11276" spans="1:44" ht="30">
      <c r="A11276" s="4" t="s">
        <v>10753</v>
      </c>
      <c r="B11276" s="4">
        <v>232161</v>
      </c>
      <c r="D11276" s="5" t="s">
        <v>14253</v>
      </c>
      <c r="E11276" s="6" t="str">
        <f>HYPERLINK("https://inpn.mnhn.fr/espece/cd_nom/232161","Metallus lanceolatus (C.G. Thomson, 1870)")</f>
        <v>Metallus lanceolatus (C.G. Thomson, 1870)</v>
      </c>
      <c r="AH11276" s="4" t="str">
        <f>HYPERLINK("#Statut_biogéographique!A"&amp;_xlfn.XMATCH("P",Statut_biogéographique!A:A,2,1),"P")</f>
        <v>P</v>
      </c>
      <c r="AP11276" s="4" t="s">
        <v>376</v>
      </c>
      <c r="AR11276" s="4" t="s">
        <v>377</v>
      </c>
    </row>
    <row r="11277" spans="1:44">
      <c r="A11277" s="4" t="s">
        <v>10753</v>
      </c>
      <c r="B11277" s="4">
        <v>232166</v>
      </c>
      <c r="D11277" s="5" t="s">
        <v>14254</v>
      </c>
      <c r="E11277" s="6" t="str">
        <f>HYPERLINK("https://inpn.mnhn.fr/espece/cd_nom/232166","Fenusella nana (Klug, 1816)")</f>
        <v>Fenusella nana (Klug, 1816)</v>
      </c>
      <c r="AH11277" s="4" t="str">
        <f>HYPERLINK("#Statut_biogéographique!A"&amp;_xlfn.XMATCH("P",Statut_biogéographique!A:A,2,1),"P")</f>
        <v>P</v>
      </c>
      <c r="AP11277" s="4" t="s">
        <v>376</v>
      </c>
      <c r="AR11277" s="4" t="s">
        <v>377</v>
      </c>
    </row>
    <row r="11278" spans="1:44">
      <c r="A11278" s="4" t="s">
        <v>10753</v>
      </c>
      <c r="B11278" s="4">
        <v>232168</v>
      </c>
      <c r="D11278" s="5" t="s">
        <v>14255</v>
      </c>
      <c r="E11278" s="6" t="str">
        <f>HYPERLINK("https://inpn.mnhn.fr/espece/cd_nom/232168","Fenella nigrita Westwood, 1839")</f>
        <v>Fenella nigrita Westwood, 1839</v>
      </c>
      <c r="AH11278" s="4" t="str">
        <f>HYPERLINK("#Statut_biogéographique!A"&amp;_xlfn.XMATCH("P",Statut_biogéographique!A:A,2,1),"P")</f>
        <v>P</v>
      </c>
      <c r="AP11278" s="4" t="s">
        <v>376</v>
      </c>
      <c r="AR11278" s="4" t="s">
        <v>377</v>
      </c>
    </row>
    <row r="11279" spans="1:44">
      <c r="A11279" s="4" t="s">
        <v>10753</v>
      </c>
      <c r="B11279" s="4">
        <v>232169</v>
      </c>
      <c r="D11279" s="5" t="s">
        <v>14256</v>
      </c>
      <c r="E11279" s="6" t="str">
        <f>HYPERLINK("https://inpn.mnhn.fr/espece/cd_nom/232169","Endelomyia aethiops (Gmelin, 1790)")</f>
        <v>Endelomyia aethiops (Gmelin, 1790)</v>
      </c>
      <c r="AH11279" s="4" t="str">
        <f>HYPERLINK("#Statut_biogéographique!A"&amp;_xlfn.XMATCH("P",Statut_biogéographique!A:A,2,1),"P")</f>
        <v>P</v>
      </c>
      <c r="AP11279" s="4" t="s">
        <v>376</v>
      </c>
      <c r="AR11279" s="4" t="s">
        <v>377</v>
      </c>
    </row>
    <row r="11280" spans="1:44">
      <c r="A11280" s="4" t="s">
        <v>10753</v>
      </c>
      <c r="B11280" s="4">
        <v>232171</v>
      </c>
      <c r="D11280" s="5" t="s">
        <v>14257</v>
      </c>
      <c r="E11280" s="6" t="str">
        <f>HYPERLINK("https://inpn.mnhn.fr/espece/cd_nom/232171","Caliroa cothurnata (Audinet-Serville, 1823)")</f>
        <v>Caliroa cothurnata (Audinet-Serville, 1823)</v>
      </c>
      <c r="AH11280" s="4" t="str">
        <f>HYPERLINK("#Statut_biogéographique!A"&amp;_xlfn.XMATCH("P",Statut_biogéographique!A:A,2,1),"P")</f>
        <v>P</v>
      </c>
      <c r="AP11280" s="4" t="s">
        <v>376</v>
      </c>
      <c r="AR11280" s="4" t="s">
        <v>377</v>
      </c>
    </row>
    <row r="11281" spans="1:44">
      <c r="A11281" s="4" t="s">
        <v>10753</v>
      </c>
      <c r="B11281" s="4">
        <v>232176</v>
      </c>
      <c r="D11281" s="5" t="s">
        <v>14258</v>
      </c>
      <c r="E11281" s="6" t="str">
        <f>HYPERLINK("https://inpn.mnhn.fr/espece/cd_nom/232176","Rhadinoceraea nodicornis Konow, 1886")</f>
        <v>Rhadinoceraea nodicornis Konow, 1886</v>
      </c>
      <c r="AH11281" s="4" t="str">
        <f>HYPERLINK("#Statut_biogéographique!A"&amp;_xlfn.XMATCH("P",Statut_biogéographique!A:A,2,1),"P")</f>
        <v>P</v>
      </c>
      <c r="AP11281" s="4" t="s">
        <v>376</v>
      </c>
      <c r="AR11281" s="4" t="s">
        <v>377</v>
      </c>
    </row>
    <row r="11282" spans="1:44">
      <c r="A11282" s="4" t="s">
        <v>10753</v>
      </c>
      <c r="B11282" s="4">
        <v>232177</v>
      </c>
      <c r="D11282" s="5" t="s">
        <v>14259</v>
      </c>
      <c r="E11282" s="6" t="str">
        <f>HYPERLINK("https://inpn.mnhn.fr/espece/cd_nom/232177","Phymatocera aterrima (Klug, 1816)")</f>
        <v>Phymatocera aterrima (Klug, 1816)</v>
      </c>
      <c r="AH11282" s="4" t="str">
        <f>HYPERLINK("#Statut_biogéographique!A"&amp;_xlfn.XMATCH("P",Statut_biogéographique!A:A,2,1),"P")</f>
        <v>P</v>
      </c>
      <c r="AP11282" s="4" t="s">
        <v>376</v>
      </c>
      <c r="AR11282" s="4" t="s">
        <v>377</v>
      </c>
    </row>
    <row r="11283" spans="1:44">
      <c r="A11283" s="4" t="s">
        <v>10753</v>
      </c>
      <c r="B11283" s="4">
        <v>232186</v>
      </c>
      <c r="D11283" s="5" t="s">
        <v>14260</v>
      </c>
      <c r="E11283" s="6" t="str">
        <f>HYPERLINK("https://inpn.mnhn.fr/espece/cd_nom/232186","Pareophora pruni (Linnaeus, 1758)")</f>
        <v>Pareophora pruni (Linnaeus, 1758)</v>
      </c>
      <c r="AH11283" s="4" t="str">
        <f>HYPERLINK("#Statut_biogéographique!A"&amp;_xlfn.XMATCH("P",Statut_biogéographique!A:A,2,1),"P")</f>
        <v>P</v>
      </c>
      <c r="AP11283" s="4" t="s">
        <v>376</v>
      </c>
      <c r="AR11283" s="4" t="s">
        <v>377</v>
      </c>
    </row>
    <row r="11284" spans="1:44">
      <c r="A11284" s="4" t="s">
        <v>10753</v>
      </c>
      <c r="B11284" s="4">
        <v>232188</v>
      </c>
      <c r="D11284" s="5" t="s">
        <v>14261</v>
      </c>
      <c r="E11284" s="6" t="str">
        <f>HYPERLINK("https://inpn.mnhn.fr/espece/cd_nom/232188","Paracharactus hyalinus (Konow, 1886)")</f>
        <v>Paracharactus hyalinus (Konow, 1886)</v>
      </c>
      <c r="AH11284" s="4" t="str">
        <f>HYPERLINK("#Statut_biogéographique!A"&amp;_xlfn.XMATCH("P",Statut_biogéographique!A:A,2,1),"P")</f>
        <v>P</v>
      </c>
      <c r="AP11284" s="4" t="s">
        <v>376</v>
      </c>
      <c r="AR11284" s="4" t="s">
        <v>377</v>
      </c>
    </row>
    <row r="11285" spans="1:44" ht="45">
      <c r="A11285" s="4" t="s">
        <v>10753</v>
      </c>
      <c r="B11285" s="4">
        <v>232190</v>
      </c>
      <c r="D11285" s="5" t="s">
        <v>14262</v>
      </c>
      <c r="E11285" s="6" t="str">
        <f>HYPERLINK("https://inpn.mnhn.fr/espece/cd_nom/232190","Monophadnus spinolae (Klug, 1816)")</f>
        <v>Monophadnus spinolae (Klug, 1816)</v>
      </c>
      <c r="AH11285" s="4" t="str">
        <f>HYPERLINK("#Statut_biogéographique!A"&amp;_xlfn.XMATCH("P",Statut_biogéographique!A:A,2,1),"P")</f>
        <v>P</v>
      </c>
      <c r="AP11285" s="4" t="s">
        <v>376</v>
      </c>
      <c r="AR11285" s="4" t="s">
        <v>377</v>
      </c>
    </row>
    <row r="11286" spans="1:44" ht="75">
      <c r="A11286" s="4" t="s">
        <v>10753</v>
      </c>
      <c r="B11286" s="4">
        <v>232191</v>
      </c>
      <c r="D11286" s="5" t="s">
        <v>14263</v>
      </c>
      <c r="E11286" s="6" t="str">
        <f>HYPERLINK("https://inpn.mnhn.fr/espece/cd_nom/232191","Monophadnoides rubi (Harris in Darling, 1845)")</f>
        <v>Monophadnoides rubi (Harris in Darling, 1845)</v>
      </c>
      <c r="AH11286" s="4" t="str">
        <f>HYPERLINK("#Statut_biogéographique!A"&amp;_xlfn.XMATCH("P",Statut_biogéographique!A:A,2,1),"P")</f>
        <v>P</v>
      </c>
      <c r="AP11286" s="4" t="s">
        <v>376</v>
      </c>
      <c r="AR11286" s="4" t="s">
        <v>377</v>
      </c>
    </row>
    <row r="11287" spans="1:44">
      <c r="A11287" s="4" t="s">
        <v>10753</v>
      </c>
      <c r="B11287" s="4">
        <v>232192</v>
      </c>
      <c r="D11287" s="5" t="s">
        <v>14264</v>
      </c>
      <c r="E11287" s="6" t="str">
        <f>HYPERLINK("https://inpn.mnhn.fr/espece/cd_nom/232192","Monophadnoides ruficruris (Brullé, 1832)")</f>
        <v>Monophadnoides ruficruris (Brullé, 1832)</v>
      </c>
      <c r="AH11287" s="4" t="str">
        <f>HYPERLINK("#Statut_biogéographique!A"&amp;_xlfn.XMATCH("P",Statut_biogéographique!A:A,2,1),"P")</f>
        <v>P</v>
      </c>
      <c r="AP11287" s="4" t="s">
        <v>376</v>
      </c>
      <c r="AR11287" s="4" t="s">
        <v>377</v>
      </c>
    </row>
    <row r="11288" spans="1:44">
      <c r="A11288" s="4" t="s">
        <v>10753</v>
      </c>
      <c r="B11288" s="4">
        <v>232193</v>
      </c>
      <c r="D11288" s="5" t="s">
        <v>14265</v>
      </c>
      <c r="E11288" s="6" t="str">
        <f>HYPERLINK("https://inpn.mnhn.fr/espece/cd_nom/232193","Monardis plana (Klug, 1817)")</f>
        <v>Monardis plana (Klug, 1817)</v>
      </c>
      <c r="AH11288" s="4" t="str">
        <f>HYPERLINK("#Statut_biogéographique!A"&amp;_xlfn.XMATCH("P",Statut_biogéographique!A:A,2,1),"P")</f>
        <v>P</v>
      </c>
      <c r="AP11288" s="4" t="s">
        <v>376</v>
      </c>
      <c r="AR11288" s="4" t="s">
        <v>377</v>
      </c>
    </row>
    <row r="11289" spans="1:44">
      <c r="A11289" s="4" t="s">
        <v>10753</v>
      </c>
      <c r="B11289" s="4">
        <v>232195</v>
      </c>
      <c r="D11289" s="5" t="s">
        <v>14266</v>
      </c>
      <c r="E11289" s="6" t="str">
        <f>HYPERLINK("https://inpn.mnhn.fr/espece/cd_nom/232195","Eutomostethus ephippium (Panzer, 1797)")</f>
        <v>Eutomostethus ephippium (Panzer, 1797)</v>
      </c>
      <c r="AH11289" s="4" t="str">
        <f>HYPERLINK("#Statut_biogéographique!A"&amp;_xlfn.XMATCH("P",Statut_biogéographique!A:A,2,1),"P")</f>
        <v>P</v>
      </c>
      <c r="AP11289" s="4" t="s">
        <v>376</v>
      </c>
      <c r="AR11289" s="4" t="s">
        <v>377</v>
      </c>
    </row>
    <row r="11290" spans="1:44">
      <c r="A11290" s="4" t="s">
        <v>10753</v>
      </c>
      <c r="B11290" s="4">
        <v>232196</v>
      </c>
      <c r="D11290" s="5" t="s">
        <v>14267</v>
      </c>
      <c r="E11290" s="6" t="str">
        <f>HYPERLINK("https://inpn.mnhn.fr/espece/cd_nom/232196","Eutomostethus gagathinus (Klug, 1816)")</f>
        <v>Eutomostethus gagathinus (Klug, 1816)</v>
      </c>
      <c r="AH11290" s="4" t="str">
        <f>HYPERLINK("#Statut_biogéographique!A"&amp;_xlfn.XMATCH("P",Statut_biogéographique!A:A,2,1),"P")</f>
        <v>P</v>
      </c>
      <c r="AP11290" s="4" t="s">
        <v>376</v>
      </c>
      <c r="AR11290" s="4" t="s">
        <v>377</v>
      </c>
    </row>
    <row r="11291" spans="1:44">
      <c r="A11291" s="4" t="s">
        <v>10753</v>
      </c>
      <c r="B11291" s="4">
        <v>232197</v>
      </c>
      <c r="D11291" s="5" t="s">
        <v>14268</v>
      </c>
      <c r="E11291" s="6" t="str">
        <f>HYPERLINK("https://inpn.mnhn.fr/espece/cd_nom/232197","Eutomostethus luteiventris (Klug, 1816)")</f>
        <v>Eutomostethus luteiventris (Klug, 1816)</v>
      </c>
      <c r="AH11291" s="4" t="str">
        <f>HYPERLINK("#Statut_biogéographique!A"&amp;_xlfn.XMATCH("P",Statut_biogéographique!A:A,2,1),"P")</f>
        <v>P</v>
      </c>
      <c r="AP11291" s="4" t="s">
        <v>376</v>
      </c>
      <c r="AR11291" s="4" t="s">
        <v>377</v>
      </c>
    </row>
    <row r="11292" spans="1:44">
      <c r="A11292" s="4" t="s">
        <v>10753</v>
      </c>
      <c r="B11292" s="4">
        <v>232198</v>
      </c>
      <c r="D11292" s="5" t="s">
        <v>14269</v>
      </c>
      <c r="E11292" s="6" t="str">
        <f>HYPERLINK("https://inpn.mnhn.fr/espece/cd_nom/232198","Eutomostethus punctatus (Konow, 1887)")</f>
        <v>Eutomostethus punctatus (Konow, 1887)</v>
      </c>
      <c r="AH11292" s="4" t="str">
        <f>HYPERLINK("#Statut_biogéographique!A"&amp;_xlfn.XMATCH("P",Statut_biogéographique!A:A,2,1),"P")</f>
        <v>P</v>
      </c>
      <c r="AP11292" s="4" t="s">
        <v>376</v>
      </c>
      <c r="AR11292" s="4" t="s">
        <v>377</v>
      </c>
    </row>
    <row r="11293" spans="1:44" ht="30">
      <c r="A11293" s="4" t="s">
        <v>10753</v>
      </c>
      <c r="B11293" s="4">
        <v>232203</v>
      </c>
      <c r="D11293" s="5" t="s">
        <v>14270</v>
      </c>
      <c r="E11293" s="6" t="str">
        <f>HYPERLINK("https://inpn.mnhn.fr/espece/cd_nom/232203","Claremontia tenuicornis (Klug, 1816)")</f>
        <v>Claremontia tenuicornis (Klug, 1816)</v>
      </c>
      <c r="AH11293" s="4" t="str">
        <f>HYPERLINK("#Statut_biogéographique!A"&amp;_xlfn.XMATCH("P",Statut_biogéographique!A:A,2,1),"P")</f>
        <v>P</v>
      </c>
      <c r="AP11293" s="4" t="s">
        <v>376</v>
      </c>
      <c r="AR11293" s="4" t="s">
        <v>377</v>
      </c>
    </row>
    <row r="11294" spans="1:44">
      <c r="A11294" s="4" t="s">
        <v>10753</v>
      </c>
      <c r="B11294" s="4">
        <v>232204</v>
      </c>
      <c r="D11294" s="5" t="s">
        <v>14271</v>
      </c>
      <c r="E11294" s="6" t="str">
        <f>HYPERLINK("https://inpn.mnhn.fr/espece/cd_nom/232204","Claremontia uncta (Klug, 1816)")</f>
        <v>Claremontia uncta (Klug, 1816)</v>
      </c>
      <c r="AH11294" s="4" t="str">
        <f>HYPERLINK("#Statut_biogéographique!A"&amp;_xlfn.XMATCH("P",Statut_biogéographique!A:A,2,1),"P")</f>
        <v>P</v>
      </c>
      <c r="AP11294" s="4" t="s">
        <v>376</v>
      </c>
      <c r="AR11294" s="4" t="s">
        <v>377</v>
      </c>
    </row>
    <row r="11295" spans="1:44" ht="30">
      <c r="A11295" s="4" t="s">
        <v>10753</v>
      </c>
      <c r="B11295" s="4">
        <v>232205</v>
      </c>
      <c r="D11295" s="5" t="s">
        <v>14272</v>
      </c>
      <c r="E11295" s="6" t="str">
        <f>HYPERLINK("https://inpn.mnhn.fr/espece/cd_nom/232205","Claremontia waldheimii (Gimmerthal, 1847)")</f>
        <v>Claremontia waldheimii (Gimmerthal, 1847)</v>
      </c>
      <c r="AH11295" s="4" t="str">
        <f>HYPERLINK("#Statut_biogéographique!A"&amp;_xlfn.XMATCH("P",Statut_biogéographique!A:A,2,1),"P")</f>
        <v>P</v>
      </c>
      <c r="AP11295" s="4" t="s">
        <v>376</v>
      </c>
      <c r="AR11295" s="4" t="s">
        <v>377</v>
      </c>
    </row>
    <row r="11296" spans="1:44">
      <c r="A11296" s="4" t="s">
        <v>10753</v>
      </c>
      <c r="B11296" s="4">
        <v>232206</v>
      </c>
      <c r="D11296" s="5" t="s">
        <v>14273</v>
      </c>
      <c r="E11296" s="6" t="str">
        <f>HYPERLINK("https://inpn.mnhn.fr/espece/cd_nom/232206","Cladardis elongatula (Klug, 1817)")</f>
        <v>Cladardis elongatula (Klug, 1817)</v>
      </c>
      <c r="AH11296" s="4" t="str">
        <f>HYPERLINK("#Statut_biogéographique!A"&amp;_xlfn.XMATCH("P",Statut_biogéographique!A:A,2,1),"P")</f>
        <v>P</v>
      </c>
      <c r="AP11296" s="4" t="s">
        <v>376</v>
      </c>
      <c r="AR11296" s="4" t="s">
        <v>377</v>
      </c>
    </row>
    <row r="11297" spans="1:44" ht="30">
      <c r="A11297" s="4" t="s">
        <v>10753</v>
      </c>
      <c r="B11297" s="4">
        <v>232207</v>
      </c>
      <c r="D11297" s="5" t="s">
        <v>14274</v>
      </c>
      <c r="E11297" s="6" t="str">
        <f>HYPERLINK("https://inpn.mnhn.fr/espece/cd_nom/232207","Blennocampa phyllocolpa Viitasaari &amp; Vikberg, 1985")</f>
        <v>Blennocampa phyllocolpa Viitasaari &amp; Vikberg, 1985</v>
      </c>
      <c r="AH11297" s="4" t="str">
        <f>HYPERLINK("#Statut_biogéographique!A"&amp;_xlfn.XMATCH("P",Statut_biogéographique!A:A,2,1),"P")</f>
        <v>P</v>
      </c>
      <c r="AP11297" s="4" t="s">
        <v>376</v>
      </c>
      <c r="AR11297" s="4" t="s">
        <v>377</v>
      </c>
    </row>
    <row r="11298" spans="1:44" ht="30">
      <c r="A11298" s="4" t="s">
        <v>10753</v>
      </c>
      <c r="B11298" s="4">
        <v>232209</v>
      </c>
      <c r="D11298" s="5" t="s">
        <v>14275</v>
      </c>
      <c r="E11298" s="6" t="str">
        <f>HYPERLINK("https://inpn.mnhn.fr/espece/cd_nom/232209","Taxonus agrorum (Fallén, 1808)")</f>
        <v>Taxonus agrorum (Fallén, 1808)</v>
      </c>
      <c r="AH11298" s="4" t="str">
        <f>HYPERLINK("#Statut_biogéographique!A"&amp;_xlfn.XMATCH("P",Statut_biogéographique!A:A,2,1),"P")</f>
        <v>P</v>
      </c>
      <c r="AP11298" s="4" t="s">
        <v>376</v>
      </c>
      <c r="AR11298" s="4" t="s">
        <v>377</v>
      </c>
    </row>
    <row r="11299" spans="1:44">
      <c r="A11299" s="4" t="s">
        <v>10753</v>
      </c>
      <c r="B11299" s="4">
        <v>23222</v>
      </c>
      <c r="D11299" s="5" t="s">
        <v>14276</v>
      </c>
      <c r="E11299" s="6" t="str">
        <f>HYPERLINK("https://inpn.mnhn.fr/espece/cd_nom/23222","Parasyrphus annulatus (Zetterstedt, 1838)")</f>
        <v>Parasyrphus annulatus (Zetterstedt, 1838)</v>
      </c>
      <c r="P11299" s="7" t="str">
        <f>HYPERLINK("#Liste_rouge!A"&amp;_xlfn.XMATCH("LC",Liste_rouge!A:A,2,1),"LC")</f>
        <v>LC</v>
      </c>
      <c r="AH11299" s="4" t="str">
        <f>HYPERLINK("#Statut_biogéographique!A"&amp;_xlfn.XMATCH("P",Statut_biogéographique!A:A,2,1),"P")</f>
        <v>P</v>
      </c>
      <c r="AP11299" s="4" t="s">
        <v>376</v>
      </c>
      <c r="AR11299" s="4" t="s">
        <v>377</v>
      </c>
    </row>
    <row r="11300" spans="1:44">
      <c r="A11300" s="4" t="s">
        <v>10753</v>
      </c>
      <c r="B11300" s="4">
        <v>232220</v>
      </c>
      <c r="D11300" s="5" t="s">
        <v>14277</v>
      </c>
      <c r="E11300" s="6" t="str">
        <f>HYPERLINK("https://inpn.mnhn.fr/espece/cd_nom/232220","Empria pallimacula (Audinet-Serville, 1823)")</f>
        <v>Empria pallimacula (Audinet-Serville, 1823)</v>
      </c>
      <c r="AH11300" s="4" t="str">
        <f>HYPERLINK("#Statut_biogéographique!A"&amp;_xlfn.XMATCH("P",Statut_biogéographique!A:A,2,1),"P")</f>
        <v>P</v>
      </c>
      <c r="AP11300" s="4" t="s">
        <v>376</v>
      </c>
      <c r="AR11300" s="4" t="s">
        <v>377</v>
      </c>
    </row>
    <row r="11301" spans="1:44" ht="30">
      <c r="A11301" s="4" t="s">
        <v>10753</v>
      </c>
      <c r="B11301" s="4">
        <v>232223</v>
      </c>
      <c r="D11301" s="5" t="s">
        <v>14278</v>
      </c>
      <c r="E11301" s="6" t="str">
        <f>HYPERLINK("https://inpn.mnhn.fr/espece/cd_nom/232223","Empria sexpunctata (Audinet-Serville, 1823)")</f>
        <v>Empria sexpunctata (Audinet-Serville, 1823)</v>
      </c>
      <c r="AH11301" s="4" t="str">
        <f>HYPERLINK("#Statut_biogéographique!A"&amp;_xlfn.XMATCH("P",Statut_biogéographique!A:A,2,1),"P")</f>
        <v>P</v>
      </c>
      <c r="AP11301" s="4" t="s">
        <v>376</v>
      </c>
      <c r="AR11301" s="4" t="s">
        <v>377</v>
      </c>
    </row>
    <row r="11302" spans="1:44">
      <c r="A11302" s="4" t="s">
        <v>10753</v>
      </c>
      <c r="B11302" s="4">
        <v>232224</v>
      </c>
      <c r="D11302" s="5" t="s">
        <v>14279</v>
      </c>
      <c r="E11302" s="6" t="str">
        <f>HYPERLINK("https://inpn.mnhn.fr/espece/cd_nom/232224","Empria tridens (Konow, 1896)")</f>
        <v>Empria tridens (Konow, 1896)</v>
      </c>
      <c r="AH11302" s="4" t="str">
        <f>HYPERLINK("#Statut_biogéographique!A"&amp;_xlfn.XMATCH("P",Statut_biogéographique!A:A,2,1),"P")</f>
        <v>P</v>
      </c>
      <c r="AP11302" s="4" t="s">
        <v>376</v>
      </c>
      <c r="AR11302" s="4" t="s">
        <v>377</v>
      </c>
    </row>
    <row r="11303" spans="1:44" ht="30">
      <c r="A11303" s="4" t="s">
        <v>10753</v>
      </c>
      <c r="B11303" s="4">
        <v>232230</v>
      </c>
      <c r="D11303" s="5" t="s">
        <v>14280</v>
      </c>
      <c r="E11303" s="6" t="str">
        <f>HYPERLINK("https://inpn.mnhn.fr/espece/cd_nom/232230","Athalia rufoscutellata Mocsáry, 1879")</f>
        <v>Athalia rufoscutellata Mocsáry, 1879</v>
      </c>
      <c r="AH11303" s="4" t="str">
        <f>HYPERLINK("#Statut_biogéographique!A"&amp;_xlfn.XMATCH("P",Statut_biogéographique!A:A,2,1),"P")</f>
        <v>P</v>
      </c>
      <c r="AP11303" s="4" t="s">
        <v>376</v>
      </c>
      <c r="AR11303" s="4" t="s">
        <v>377</v>
      </c>
    </row>
    <row r="11304" spans="1:44" ht="30">
      <c r="A11304" s="4" t="s">
        <v>10753</v>
      </c>
      <c r="B11304" s="4">
        <v>232233</v>
      </c>
      <c r="D11304" s="5" t="s">
        <v>14281</v>
      </c>
      <c r="E11304" s="6" t="str">
        <f>HYPERLINK("https://inpn.mnhn.fr/espece/cd_nom/232233","Apethymus serotinus (O.F. Müller, 1776)")</f>
        <v>Apethymus serotinus (O.F. Müller, 1776)</v>
      </c>
      <c r="AH11304" s="4" t="str">
        <f>HYPERLINK("#Statut_biogéographique!A"&amp;_xlfn.XMATCH("P",Statut_biogéographique!A:A,2,1),"P")</f>
        <v>P</v>
      </c>
      <c r="AP11304" s="4" t="s">
        <v>376</v>
      </c>
      <c r="AR11304" s="4" t="s">
        <v>377</v>
      </c>
    </row>
    <row r="11305" spans="1:44">
      <c r="A11305" s="4" t="s">
        <v>10753</v>
      </c>
      <c r="B11305" s="4">
        <v>232234</v>
      </c>
      <c r="D11305" s="5" t="s">
        <v>14282</v>
      </c>
      <c r="E11305" s="6" t="str">
        <f>HYPERLINK("https://inpn.mnhn.fr/espece/cd_nom/232234","Ametastegia perla (Klug, 1818)")</f>
        <v>Ametastegia perla (Klug, 1818)</v>
      </c>
      <c r="AH11305" s="4" t="str">
        <f>HYPERLINK("#Statut_biogéographique!A"&amp;_xlfn.XMATCH("P",Statut_biogéographique!A:A,2,1),"P")</f>
        <v>P</v>
      </c>
      <c r="AP11305" s="4" t="s">
        <v>376</v>
      </c>
      <c r="AR11305" s="4" t="s">
        <v>377</v>
      </c>
    </row>
    <row r="11306" spans="1:44" ht="45">
      <c r="A11306" s="4" t="s">
        <v>10753</v>
      </c>
      <c r="B11306" s="4">
        <v>232235</v>
      </c>
      <c r="D11306" s="5" t="s">
        <v>14283</v>
      </c>
      <c r="E11306" s="6" t="str">
        <f>HYPERLINK("https://inpn.mnhn.fr/espece/cd_nom/232235","Ametastegia tenera (Fallén, 1808)")</f>
        <v>Ametastegia tenera (Fallén, 1808)</v>
      </c>
      <c r="AH11306" s="4" t="str">
        <f>HYPERLINK("#Statut_biogéographique!A"&amp;_xlfn.XMATCH("P",Statut_biogéographique!A:A,2,1),"P")</f>
        <v>P</v>
      </c>
      <c r="AP11306" s="4" t="s">
        <v>376</v>
      </c>
      <c r="AR11306" s="4" t="s">
        <v>377</v>
      </c>
    </row>
    <row r="11307" spans="1:44">
      <c r="A11307" s="4" t="s">
        <v>10753</v>
      </c>
      <c r="B11307" s="4">
        <v>232236</v>
      </c>
      <c r="D11307" s="5" t="s">
        <v>14284</v>
      </c>
      <c r="E11307" s="6" t="str">
        <f>HYPERLINK("https://inpn.mnhn.fr/espece/cd_nom/232236","Allantus viennensis (Schrank, 1781)")</f>
        <v>Allantus viennensis (Schrank, 1781)</v>
      </c>
      <c r="AH11307" s="4" t="str">
        <f>HYPERLINK("#Statut_biogéographique!A"&amp;_xlfn.XMATCH("P",Statut_biogéographique!A:A,2,1),"P")</f>
        <v>P</v>
      </c>
      <c r="AP11307" s="4" t="s">
        <v>376</v>
      </c>
      <c r="AR11307" s="4" t="s">
        <v>377</v>
      </c>
    </row>
    <row r="11308" spans="1:44">
      <c r="A11308" s="4" t="s">
        <v>10753</v>
      </c>
      <c r="B11308" s="4">
        <v>23224</v>
      </c>
      <c r="D11308" s="5" t="s">
        <v>14285</v>
      </c>
      <c r="E11308" s="6" t="str">
        <f>HYPERLINK("https://inpn.mnhn.fr/espece/cd_nom/23224","Parasyrphus macularis (Zetterstedt, 1843)")</f>
        <v>Parasyrphus macularis (Zetterstedt, 1843)</v>
      </c>
      <c r="P11308" s="7" t="str">
        <f>HYPERLINK("#Liste_rouge!A"&amp;_xlfn.XMATCH("LC",Liste_rouge!A:A,2,1),"LC")</f>
        <v>LC</v>
      </c>
      <c r="AH11308" s="4" t="str">
        <f>HYPERLINK("#Statut_biogéographique!A"&amp;_xlfn.XMATCH("P",Statut_biogéographique!A:A,2,1),"P")</f>
        <v>P</v>
      </c>
      <c r="AP11308" s="4" t="s">
        <v>376</v>
      </c>
      <c r="AR11308" s="4" t="s">
        <v>377</v>
      </c>
    </row>
    <row r="11309" spans="1:44">
      <c r="A11309" s="4" t="s">
        <v>10753</v>
      </c>
      <c r="B11309" s="4">
        <v>23225</v>
      </c>
      <c r="D11309" s="5" t="s">
        <v>14286</v>
      </c>
      <c r="E11309" s="6" t="str">
        <f>HYPERLINK("https://inpn.mnhn.fr/espece/cd_nom/23225","Parasyrphus malinellus (Collin, 1952)")</f>
        <v>Parasyrphus malinellus (Collin, 1952)</v>
      </c>
      <c r="P11309" s="7" t="str">
        <f>HYPERLINK("#Liste_rouge!A"&amp;_xlfn.XMATCH("LC",Liste_rouge!A:A,2,1),"LC")</f>
        <v>LC</v>
      </c>
      <c r="AH11309" s="4" t="str">
        <f>HYPERLINK("#Statut_biogéographique!A"&amp;_xlfn.XMATCH("P",Statut_biogéographique!A:A,2,1),"P")</f>
        <v>P</v>
      </c>
      <c r="AP11309" s="4" t="s">
        <v>376</v>
      </c>
      <c r="AR11309" s="4" t="s">
        <v>377</v>
      </c>
    </row>
    <row r="11310" spans="1:44">
      <c r="A11310" s="4" t="s">
        <v>10753</v>
      </c>
      <c r="B11310" s="4">
        <v>232254</v>
      </c>
      <c r="D11310" s="5" t="s">
        <v>14287</v>
      </c>
      <c r="E11310" s="6" t="str">
        <f>HYPERLINK("https://inpn.mnhn.fr/espece/cd_nom/232254","Tiphia minuta Linden, 1827")</f>
        <v>Tiphia minuta Linden, 1827</v>
      </c>
      <c r="AH11310" s="4" t="str">
        <f>HYPERLINK("#Statut_biogéographique!A"&amp;_xlfn.XMATCH("P",Statut_biogéographique!A:A,2,1),"P")</f>
        <v>P</v>
      </c>
      <c r="AP11310" s="4" t="s">
        <v>376</v>
      </c>
      <c r="AR11310" s="4" t="s">
        <v>377</v>
      </c>
    </row>
    <row r="11311" spans="1:44">
      <c r="A11311" s="4" t="s">
        <v>10753</v>
      </c>
      <c r="B11311" s="4">
        <v>232256</v>
      </c>
      <c r="D11311" s="5" t="s">
        <v>14288</v>
      </c>
      <c r="E11311" s="6" t="str">
        <f>HYPERLINK("https://inpn.mnhn.fr/espece/cd_nom/232256","Tiphia femorata Fabricius, 1775")</f>
        <v>Tiphia femorata Fabricius, 1775</v>
      </c>
      <c r="AH11311" s="4" t="str">
        <f>HYPERLINK("#Statut_biogéographique!A"&amp;_xlfn.XMATCH("P",Statut_biogéographique!A:A,2,1),"P")</f>
        <v>P</v>
      </c>
      <c r="AP11311" s="4" t="s">
        <v>376</v>
      </c>
      <c r="AR11311" s="4" t="s">
        <v>377</v>
      </c>
    </row>
    <row r="11312" spans="1:44">
      <c r="A11312" s="4" t="s">
        <v>10753</v>
      </c>
      <c r="B11312" s="4">
        <v>23226</v>
      </c>
      <c r="D11312" s="5" t="s">
        <v>14289</v>
      </c>
      <c r="E11312" s="6" t="str">
        <f>HYPERLINK("https://inpn.mnhn.fr/espece/cd_nom/23226","Parasyrphus nigritarsis (Zetterstedt, 1843)")</f>
        <v>Parasyrphus nigritarsis (Zetterstedt, 1843)</v>
      </c>
      <c r="P11312" s="7" t="str">
        <f>HYPERLINK("#Liste_rouge!A"&amp;_xlfn.XMATCH("LC",Liste_rouge!A:A,2,1),"LC")</f>
        <v>LC</v>
      </c>
      <c r="AH11312" s="4" t="str">
        <f>HYPERLINK("#Statut_biogéographique!A"&amp;_xlfn.XMATCH("P",Statut_biogéographique!A:A,2,1),"P")</f>
        <v>P</v>
      </c>
      <c r="AP11312" s="4" t="s">
        <v>376</v>
      </c>
      <c r="AR11312" s="4" t="s">
        <v>377</v>
      </c>
    </row>
    <row r="11313" spans="1:44">
      <c r="A11313" s="4" t="s">
        <v>10753</v>
      </c>
      <c r="B11313" s="4">
        <v>232265</v>
      </c>
      <c r="D11313" s="5" t="s">
        <v>14290</v>
      </c>
      <c r="E11313" s="6" t="str">
        <f>HYPERLINK("https://inpn.mnhn.fr/espece/cd_nom/232265","Celonites abbreviatus (Villers, 1789)")</f>
        <v>Celonites abbreviatus (Villers, 1789)</v>
      </c>
      <c r="AH11313" s="4" t="str">
        <f>HYPERLINK("#Statut_biogéographique!A"&amp;_xlfn.XMATCH("P",Statut_biogéographique!A:A,2,1),"P")</f>
        <v>P</v>
      </c>
      <c r="AP11313" s="4" t="s">
        <v>376</v>
      </c>
      <c r="AR11313" s="4" t="s">
        <v>377</v>
      </c>
    </row>
    <row r="11314" spans="1:44">
      <c r="A11314" s="4" t="s">
        <v>10753</v>
      </c>
      <c r="B11314" s="4">
        <v>23227</v>
      </c>
      <c r="D11314" s="5" t="s">
        <v>14291</v>
      </c>
      <c r="E11314" s="6" t="str">
        <f>HYPERLINK("https://inpn.mnhn.fr/espece/cd_nom/23227","Parasyrphus punctulatus (Verrall, 1873)")</f>
        <v>Parasyrphus punctulatus (Verrall, 1873)</v>
      </c>
      <c r="P11314" s="7" t="str">
        <f>HYPERLINK("#Liste_rouge!A"&amp;_xlfn.XMATCH("LC",Liste_rouge!A:A,2,1),"LC")</f>
        <v>LC</v>
      </c>
      <c r="AH11314" s="4" t="str">
        <f>HYPERLINK("#Statut_biogéographique!A"&amp;_xlfn.XMATCH("P",Statut_biogéographique!A:A,2,1),"P")</f>
        <v>P</v>
      </c>
      <c r="AP11314" s="4" t="s">
        <v>376</v>
      </c>
      <c r="AR11314" s="4" t="s">
        <v>377</v>
      </c>
    </row>
    <row r="11315" spans="1:44">
      <c r="A11315" s="4" t="s">
        <v>10753</v>
      </c>
      <c r="B11315" s="4">
        <v>232272</v>
      </c>
      <c r="D11315" s="5" t="s">
        <v>14292</v>
      </c>
      <c r="E11315" s="6" t="str">
        <f>HYPERLINK("https://inpn.mnhn.fr/espece/cd_nom/232272","Symmorphus bifasciatus (Linnaeus, 1761)")</f>
        <v>Symmorphus bifasciatus (Linnaeus, 1761)</v>
      </c>
      <c r="AH11315" s="4" t="str">
        <f>HYPERLINK("#Statut_biogéographique!A"&amp;_xlfn.XMATCH("P",Statut_biogéographique!A:A,2,1),"P")</f>
        <v>P</v>
      </c>
      <c r="AP11315" s="4" t="s">
        <v>376</v>
      </c>
      <c r="AR11315" s="4" t="s">
        <v>377</v>
      </c>
    </row>
    <row r="11316" spans="1:44">
      <c r="A11316" s="4" t="s">
        <v>10753</v>
      </c>
      <c r="B11316" s="4">
        <v>232273</v>
      </c>
      <c r="D11316" s="5" t="s">
        <v>14293</v>
      </c>
      <c r="E11316" s="6" t="str">
        <f>HYPERLINK("https://inpn.mnhn.fr/espece/cd_nom/232273","Symmorphus connexus (Curtis, 1826)")</f>
        <v>Symmorphus connexus (Curtis, 1826)</v>
      </c>
      <c r="AH11316" s="4" t="str">
        <f>HYPERLINK("#Statut_biogéographique!A"&amp;_xlfn.XMATCH("P",Statut_biogéographique!A:A,2,1),"P")</f>
        <v>P</v>
      </c>
      <c r="AP11316" s="4" t="s">
        <v>376</v>
      </c>
      <c r="AR11316" s="4" t="s">
        <v>377</v>
      </c>
    </row>
    <row r="11317" spans="1:44">
      <c r="A11317" s="4" t="s">
        <v>10753</v>
      </c>
      <c r="B11317" s="4">
        <v>232274</v>
      </c>
      <c r="D11317" s="5" t="s">
        <v>14294</v>
      </c>
      <c r="E11317" s="6" t="str">
        <f>HYPERLINK("https://inpn.mnhn.fr/espece/cd_nom/232274","Symmorphus crassicornis (Panzer, 1798)")</f>
        <v>Symmorphus crassicornis (Panzer, 1798)</v>
      </c>
      <c r="AH11317" s="4" t="str">
        <f>HYPERLINK("#Statut_biogéographique!A"&amp;_xlfn.XMATCH("P",Statut_biogéographique!A:A,2,1),"P")</f>
        <v>P</v>
      </c>
      <c r="AP11317" s="4" t="s">
        <v>376</v>
      </c>
      <c r="AR11317" s="4" t="s">
        <v>377</v>
      </c>
    </row>
    <row r="11318" spans="1:44">
      <c r="A11318" s="4" t="s">
        <v>10753</v>
      </c>
      <c r="B11318" s="4">
        <v>232275</v>
      </c>
      <c r="D11318" s="5">
        <v>232275</v>
      </c>
      <c r="E11318" s="6" t="str">
        <f>HYPERLINK("https://inpn.mnhn.fr/espece/cd_nom/232275","Symmorphus debilitatus (Saussure, 1855)")</f>
        <v>Symmorphus debilitatus (Saussure, 1855)</v>
      </c>
      <c r="AH11318" s="4" t="str">
        <f>HYPERLINK("#Statut_biogéographique!A"&amp;_xlfn.XMATCH("P",Statut_biogéographique!A:A,2,1),"P")</f>
        <v>P</v>
      </c>
      <c r="AP11318" s="4" t="s">
        <v>376</v>
      </c>
      <c r="AR11318" s="4" t="s">
        <v>377</v>
      </c>
    </row>
    <row r="11319" spans="1:44">
      <c r="A11319" s="4" t="s">
        <v>10753</v>
      </c>
      <c r="B11319" s="4">
        <v>232276</v>
      </c>
      <c r="D11319" s="5" t="s">
        <v>14295</v>
      </c>
      <c r="E11319" s="6" t="str">
        <f>HYPERLINK("https://inpn.mnhn.fr/espece/cd_nom/232276","Symmorphus gracilis (Brullé, 1832)")</f>
        <v>Symmorphus gracilis (Brullé, 1832)</v>
      </c>
      <c r="AH11319" s="4" t="str">
        <f>HYPERLINK("#Statut_biogéographique!A"&amp;_xlfn.XMATCH("P",Statut_biogéographique!A:A,2,1),"P")</f>
        <v>P</v>
      </c>
      <c r="AP11319" s="4" t="s">
        <v>376</v>
      </c>
      <c r="AR11319" s="4" t="s">
        <v>377</v>
      </c>
    </row>
    <row r="11320" spans="1:44">
      <c r="A11320" s="4" t="s">
        <v>10753</v>
      </c>
      <c r="B11320" s="4">
        <v>232277</v>
      </c>
      <c r="D11320" s="5" t="s">
        <v>14296</v>
      </c>
      <c r="E11320" s="6" t="str">
        <f>HYPERLINK("https://inpn.mnhn.fr/espece/cd_nom/232277","Symmorphus murarius (Linnaeus, 1758)")</f>
        <v>Symmorphus murarius (Linnaeus, 1758)</v>
      </c>
      <c r="AH11320" s="4" t="str">
        <f>HYPERLINK("#Statut_biogéographique!A"&amp;_xlfn.XMATCH("P",Statut_biogéographique!A:A,2,1),"P")</f>
        <v>P</v>
      </c>
      <c r="AP11320" s="4" t="s">
        <v>376</v>
      </c>
      <c r="AR11320" s="4" t="s">
        <v>377</v>
      </c>
    </row>
    <row r="11321" spans="1:44">
      <c r="A11321" s="4" t="s">
        <v>10753</v>
      </c>
      <c r="B11321" s="4">
        <v>232279</v>
      </c>
      <c r="D11321" s="5" t="s">
        <v>14297</v>
      </c>
      <c r="E11321" s="6" t="str">
        <f>HYPERLINK("https://inpn.mnhn.fr/espece/cd_nom/232279","Stenodynerus bluethgeni van der Vecht, 1971")</f>
        <v>Stenodynerus bluethgeni van der Vecht, 1971</v>
      </c>
      <c r="AH11321" s="4" t="str">
        <f>HYPERLINK("#Statut_biogéographique!A"&amp;_xlfn.XMATCH("P",Statut_biogéographique!A:A,2,1),"P")</f>
        <v>P</v>
      </c>
      <c r="AP11321" s="4" t="s">
        <v>376</v>
      </c>
      <c r="AR11321" s="4" t="s">
        <v>377</v>
      </c>
    </row>
    <row r="11322" spans="1:44">
      <c r="A11322" s="4" t="s">
        <v>10753</v>
      </c>
      <c r="B11322" s="4">
        <v>23228</v>
      </c>
      <c r="D11322" s="5" t="s">
        <v>14298</v>
      </c>
      <c r="E11322" s="6" t="str">
        <f>HYPERLINK("https://inpn.mnhn.fr/espece/cd_nom/23228","Parasyrphus vittiger (Zetterstedt, 1843)")</f>
        <v>Parasyrphus vittiger (Zetterstedt, 1843)</v>
      </c>
      <c r="AH11322" s="4" t="str">
        <f>HYPERLINK("#Statut_biogéographique!A"&amp;_xlfn.XMATCH("P",Statut_biogéographique!A:A,2,1),"P")</f>
        <v>P</v>
      </c>
      <c r="AP11322" s="4" t="s">
        <v>376</v>
      </c>
      <c r="AR11322" s="4" t="s">
        <v>377</v>
      </c>
    </row>
    <row r="11323" spans="1:44" ht="30">
      <c r="A11323" s="4" t="s">
        <v>10753</v>
      </c>
      <c r="B11323" s="4">
        <v>232280</v>
      </c>
      <c r="D11323" s="5" t="s">
        <v>14299</v>
      </c>
      <c r="E11323" s="6" t="str">
        <f>HYPERLINK("https://inpn.mnhn.fr/espece/cd_nom/232280","Stenodynerus chevrieranus (Saussure, 1855)")</f>
        <v>Stenodynerus chevrieranus (Saussure, 1855)</v>
      </c>
      <c r="AH11323" s="4" t="str">
        <f>HYPERLINK("#Statut_biogéographique!A"&amp;_xlfn.XMATCH("P",Statut_biogéographique!A:A,2,1),"P")</f>
        <v>P</v>
      </c>
      <c r="AP11323" s="4" t="s">
        <v>376</v>
      </c>
      <c r="AR11323" s="4" t="s">
        <v>377</v>
      </c>
    </row>
    <row r="11324" spans="1:44" ht="30">
      <c r="A11324" s="4" t="s">
        <v>10753</v>
      </c>
      <c r="B11324" s="4">
        <v>232288</v>
      </c>
      <c r="D11324" s="5" t="s">
        <v>14300</v>
      </c>
      <c r="E11324" s="6" t="str">
        <f>HYPERLINK("https://inpn.mnhn.fr/espece/cd_nom/232288","Stenodynerus steckianus (von Schulthess, 1897)")</f>
        <v>Stenodynerus steckianus (von Schulthess, 1897)</v>
      </c>
      <c r="AH11324" s="4" t="str">
        <f>HYPERLINK("#Statut_biogéographique!A"&amp;_xlfn.XMATCH("P",Statut_biogéographique!A:A,2,1),"P")</f>
        <v>P</v>
      </c>
      <c r="AP11324" s="4" t="s">
        <v>376</v>
      </c>
      <c r="AR11324" s="4" t="s">
        <v>377</v>
      </c>
    </row>
    <row r="11325" spans="1:44" ht="30">
      <c r="A11325" s="4" t="s">
        <v>10753</v>
      </c>
      <c r="B11325" s="4">
        <v>232290</v>
      </c>
      <c r="D11325" s="5" t="s">
        <v>14301</v>
      </c>
      <c r="E11325" s="6" t="str">
        <f>HYPERLINK("https://inpn.mnhn.fr/espece/cd_nom/232290","Stenodynerus xanthomelas (Herrich-Schäffer, 1839)")</f>
        <v>Stenodynerus xanthomelas (Herrich-Schäffer, 1839)</v>
      </c>
      <c r="AH11325" s="4" t="str">
        <f>HYPERLINK("#Statut_biogéographique!A"&amp;_xlfn.XMATCH("P",Statut_biogéographique!A:A,2,1),"P")</f>
        <v>P</v>
      </c>
      <c r="AP11325" s="4" t="s">
        <v>376</v>
      </c>
      <c r="AR11325" s="4" t="s">
        <v>377</v>
      </c>
    </row>
    <row r="11326" spans="1:44">
      <c r="A11326" s="4" t="s">
        <v>10753</v>
      </c>
      <c r="B11326" s="4">
        <v>232304</v>
      </c>
      <c r="D11326" s="5" t="s">
        <v>14302</v>
      </c>
      <c r="E11326" s="6" t="str">
        <f>HYPERLINK("https://inpn.mnhn.fr/espece/cd_nom/232304","Odynerus melanocephalus (Gmelin, 1790)")</f>
        <v>Odynerus melanocephalus (Gmelin, 1790)</v>
      </c>
      <c r="AH11326" s="4" t="str">
        <f>HYPERLINK("#Statut_biogéographique!A"&amp;_xlfn.XMATCH("P",Statut_biogéographique!A:A,2,1),"P")</f>
        <v>P</v>
      </c>
      <c r="AP11326" s="4" t="s">
        <v>376</v>
      </c>
      <c r="AR11326" s="4" t="s">
        <v>377</v>
      </c>
    </row>
    <row r="11327" spans="1:44" ht="30">
      <c r="A11327" s="4" t="s">
        <v>10753</v>
      </c>
      <c r="B11327" s="4">
        <v>232306</v>
      </c>
      <c r="D11327" s="5" t="s">
        <v>14303</v>
      </c>
      <c r="E11327" s="6" t="str">
        <f>HYPERLINK("https://inpn.mnhn.fr/espece/cd_nom/232306","Odynerus spinipes (Linnaeus, 1758)")</f>
        <v>Odynerus spinipes (Linnaeus, 1758)</v>
      </c>
      <c r="AH11327" s="4" t="str">
        <f>HYPERLINK("#Statut_biogéographique!A"&amp;_xlfn.XMATCH("P",Statut_biogéographique!A:A,2,1),"P")</f>
        <v>P</v>
      </c>
      <c r="AP11327" s="4" t="s">
        <v>376</v>
      </c>
      <c r="AR11327" s="4" t="s">
        <v>377</v>
      </c>
    </row>
    <row r="11328" spans="1:44" ht="30">
      <c r="A11328" s="4" t="s">
        <v>10753</v>
      </c>
      <c r="B11328" s="4">
        <v>232308</v>
      </c>
      <c r="D11328" s="5" t="s">
        <v>14304</v>
      </c>
      <c r="E11328" s="6" t="str">
        <f>HYPERLINK("https://inpn.mnhn.fr/espece/cd_nom/232308","Odynerus reniformis (Gmelin, 1790)")</f>
        <v>Odynerus reniformis (Gmelin, 1790)</v>
      </c>
      <c r="AH11328" s="4" t="str">
        <f>HYPERLINK("#Statut_biogéographique!A"&amp;_xlfn.XMATCH("P",Statut_biogéographique!A:A,2,1),"P")</f>
        <v>P</v>
      </c>
      <c r="AP11328" s="4" t="s">
        <v>376</v>
      </c>
      <c r="AR11328" s="4" t="s">
        <v>377</v>
      </c>
    </row>
    <row r="11329" spans="1:44">
      <c r="A11329" s="4" t="s">
        <v>10753</v>
      </c>
      <c r="B11329" s="4">
        <v>23231</v>
      </c>
      <c r="D11329" s="5" t="s">
        <v>14305</v>
      </c>
      <c r="E11329" s="6" t="str">
        <f>HYPERLINK("https://inpn.mnhn.fr/espece/cd_nom/23231","Platycheirus albimanus (Fabricius, 1781)")</f>
        <v>Platycheirus albimanus (Fabricius, 1781)</v>
      </c>
      <c r="P11329" s="7" t="str">
        <f>HYPERLINK("#Liste_rouge!A"&amp;_xlfn.XMATCH("LC",Liste_rouge!A:A,2,1),"LC")</f>
        <v>LC</v>
      </c>
      <c r="AH11329" s="4" t="str">
        <f>HYPERLINK("#Statut_biogéographique!A"&amp;_xlfn.XMATCH("P",Statut_biogéographique!A:A,2,1),"P")</f>
        <v>P</v>
      </c>
      <c r="AP11329" s="4" t="s">
        <v>376</v>
      </c>
      <c r="AR11329" s="4" t="s">
        <v>377</v>
      </c>
    </row>
    <row r="11330" spans="1:44">
      <c r="A11330" s="4" t="s">
        <v>10753</v>
      </c>
      <c r="B11330" s="4">
        <v>232310</v>
      </c>
      <c r="D11330" s="5" t="s">
        <v>14306</v>
      </c>
      <c r="E11330" s="6" t="str">
        <f>HYPERLINK("https://inpn.mnhn.fr/espece/cd_nom/232310","Microdynerus exilis (Herrich-Schäffer, 1839)")</f>
        <v>Microdynerus exilis (Herrich-Schäffer, 1839)</v>
      </c>
      <c r="AH11330" s="4" t="str">
        <f>HYPERLINK("#Statut_biogéographique!A"&amp;_xlfn.XMATCH("P",Statut_biogéographique!A:A,2,1),"P")</f>
        <v>P</v>
      </c>
      <c r="AP11330" s="4" t="s">
        <v>376</v>
      </c>
      <c r="AR11330" s="4" t="s">
        <v>377</v>
      </c>
    </row>
    <row r="11331" spans="1:44">
      <c r="A11331" s="4" t="s">
        <v>10753</v>
      </c>
      <c r="B11331" s="4">
        <v>232313</v>
      </c>
      <c r="D11331" s="5">
        <v>232313</v>
      </c>
      <c r="E11331" s="6" t="str">
        <f>HYPERLINK("https://inpn.mnhn.fr/espece/cd_nom/232313","Microdynerus nugdunenesis (Saussure, 1855)")</f>
        <v>Microdynerus nugdunenesis (Saussure, 1855)</v>
      </c>
      <c r="AH11331" s="4" t="str">
        <f>HYPERLINK("#Statut_biogéographique!A"&amp;_xlfn.XMATCH("P",Statut_biogéographique!A:A,2,1),"P")</f>
        <v>P</v>
      </c>
      <c r="AP11331" s="4" t="s">
        <v>376</v>
      </c>
      <c r="AR11331" s="4" t="s">
        <v>377</v>
      </c>
    </row>
    <row r="11332" spans="1:44">
      <c r="A11332" s="4" t="s">
        <v>10753</v>
      </c>
      <c r="B11332" s="4">
        <v>232314</v>
      </c>
      <c r="D11332" s="5" t="s">
        <v>14307</v>
      </c>
      <c r="E11332" s="6" t="str">
        <f>HYPERLINK("https://inpn.mnhn.fr/espece/cd_nom/232314","Microdynerus timidus (Saussure, 1856)")</f>
        <v>Microdynerus timidus (Saussure, 1856)</v>
      </c>
      <c r="AH11332" s="4" t="str">
        <f>HYPERLINK("#Statut_biogéographique!A"&amp;_xlfn.XMATCH("P",Statut_biogéographique!A:A,2,1),"P")</f>
        <v>P</v>
      </c>
      <c r="AP11332" s="4" t="s">
        <v>376</v>
      </c>
      <c r="AR11332" s="4" t="s">
        <v>377</v>
      </c>
    </row>
    <row r="11333" spans="1:44" ht="30">
      <c r="A11333" s="4" t="s">
        <v>10753</v>
      </c>
      <c r="B11333" s="4">
        <v>232315</v>
      </c>
      <c r="D11333" s="5" t="s">
        <v>14308</v>
      </c>
      <c r="E11333" s="6" t="str">
        <f>HYPERLINK("https://inpn.mnhn.fr/espece/cd_nom/232315","Microdynerus parvulus (Herrich-Schäffer, 1838)")</f>
        <v>Microdynerus parvulus (Herrich-Schäffer, 1838)</v>
      </c>
      <c r="AH11333" s="4" t="str">
        <f>HYPERLINK("#Statut_biogéographique!A"&amp;_xlfn.XMATCH("P",Statut_biogéographique!A:A,2,1),"P")</f>
        <v>P</v>
      </c>
      <c r="AP11333" s="4" t="s">
        <v>376</v>
      </c>
      <c r="AR11333" s="4" t="s">
        <v>377</v>
      </c>
    </row>
    <row r="11334" spans="1:44">
      <c r="A11334" s="4" t="s">
        <v>10753</v>
      </c>
      <c r="B11334" s="4">
        <v>232319</v>
      </c>
      <c r="D11334" s="5" t="s">
        <v>14309</v>
      </c>
      <c r="E11334" s="6" t="str">
        <f>HYPERLINK("https://inpn.mnhn.fr/espece/cd_nom/232319","Leptochilus tarsatus (Saussure, 1855)")</f>
        <v>Leptochilus tarsatus (Saussure, 1855)</v>
      </c>
      <c r="AH11334" s="4" t="str">
        <f>HYPERLINK("#Statut_biogéographique!A"&amp;_xlfn.XMATCH("P",Statut_biogéographique!A:A,2,1),"P")</f>
        <v>P</v>
      </c>
      <c r="AP11334" s="4" t="s">
        <v>376</v>
      </c>
      <c r="AR11334" s="4" t="s">
        <v>377</v>
      </c>
    </row>
    <row r="11335" spans="1:44">
      <c r="A11335" s="4" t="s">
        <v>10753</v>
      </c>
      <c r="B11335" s="4">
        <v>23232</v>
      </c>
      <c r="D11335" s="5" t="s">
        <v>14310</v>
      </c>
      <c r="E11335" s="6" t="str">
        <f>HYPERLINK("https://inpn.mnhn.fr/espece/cd_nom/23232","Platycheirus ambiguus (Fallén, 1817)")</f>
        <v>Platycheirus ambiguus (Fallén, 1817)</v>
      </c>
      <c r="P11335" s="7" t="str">
        <f>HYPERLINK("#Liste_rouge!A"&amp;_xlfn.XMATCH("LC",Liste_rouge!A:A,2,1),"LC")</f>
        <v>LC</v>
      </c>
      <c r="AH11335" s="4" t="str">
        <f>HYPERLINK("#Statut_biogéographique!A"&amp;_xlfn.XMATCH("P",Statut_biogéographique!A:A,2,1),"P")</f>
        <v>P</v>
      </c>
      <c r="AP11335" s="4" t="s">
        <v>376</v>
      </c>
      <c r="AR11335" s="4" t="s">
        <v>377</v>
      </c>
    </row>
    <row r="11336" spans="1:44" ht="30">
      <c r="A11336" s="4" t="s">
        <v>10753</v>
      </c>
      <c r="B11336" s="4">
        <v>232321</v>
      </c>
      <c r="D11336" s="5" t="s">
        <v>14311</v>
      </c>
      <c r="E11336" s="6" t="str">
        <f>HYPERLINK("https://inpn.mnhn.fr/espece/cd_nom/232321","Leptochilus regulus (Saussure, 1855)")</f>
        <v>Leptochilus regulus (Saussure, 1855)</v>
      </c>
      <c r="AH11336" s="4" t="str">
        <f>HYPERLINK("#Statut_biogéographique!A"&amp;_xlfn.XMATCH("P",Statut_biogéographique!A:A,2,1),"P")</f>
        <v>P</v>
      </c>
      <c r="AP11336" s="4" t="s">
        <v>376</v>
      </c>
      <c r="AR11336" s="4" t="s">
        <v>377</v>
      </c>
    </row>
    <row r="11337" spans="1:44" ht="30">
      <c r="A11337" s="4" t="s">
        <v>10753</v>
      </c>
      <c r="B11337" s="4">
        <v>232328</v>
      </c>
      <c r="D11337" s="5" t="s">
        <v>14312</v>
      </c>
      <c r="E11337" s="6" t="str">
        <f>HYPERLINK("https://inpn.mnhn.fr/espece/cd_nom/232328","Euodynerus dantici (Rossi, 1790)")</f>
        <v>Euodynerus dantici (Rossi, 1790)</v>
      </c>
      <c r="AH11337" s="4" t="str">
        <f>HYPERLINK("#Statut_biogéographique!A"&amp;_xlfn.XMATCH("P",Statut_biogéographique!A:A,2,1),"P")</f>
        <v>P</v>
      </c>
      <c r="AP11337" s="4" t="s">
        <v>376</v>
      </c>
      <c r="AR11337" s="4" t="s">
        <v>377</v>
      </c>
    </row>
    <row r="11338" spans="1:44">
      <c r="A11338" s="4" t="s">
        <v>10753</v>
      </c>
      <c r="B11338" s="4">
        <v>23233</v>
      </c>
      <c r="D11338" s="5" t="s">
        <v>14313</v>
      </c>
      <c r="E11338" s="6" t="str">
        <f>HYPERLINK("https://inpn.mnhn.fr/espece/cd_nom/23233","Platycheirus angustatus (Zetterstedt, 1843)")</f>
        <v>Platycheirus angustatus (Zetterstedt, 1843)</v>
      </c>
      <c r="P11338" s="7" t="str">
        <f>HYPERLINK("#Liste_rouge!A"&amp;_xlfn.XMATCH("LC",Liste_rouge!A:A,2,1),"LC")</f>
        <v>LC</v>
      </c>
      <c r="AH11338" s="4" t="str">
        <f>HYPERLINK("#Statut_biogéographique!A"&amp;_xlfn.XMATCH("P",Statut_biogéographique!A:A,2,1),"P")</f>
        <v>P</v>
      </c>
      <c r="AP11338" s="4" t="s">
        <v>376</v>
      </c>
      <c r="AR11338" s="4" t="s">
        <v>377</v>
      </c>
    </row>
    <row r="11339" spans="1:44" ht="30">
      <c r="A11339" s="4" t="s">
        <v>10753</v>
      </c>
      <c r="B11339" s="4">
        <v>232334</v>
      </c>
      <c r="D11339" s="5" t="s">
        <v>14314</v>
      </c>
      <c r="E11339" s="6" t="str">
        <f>HYPERLINK("https://inpn.mnhn.fr/espece/cd_nom/232334","Euodynerus notatus (Jurine, 1807)")</f>
        <v>Euodynerus notatus (Jurine, 1807)</v>
      </c>
      <c r="AH11339" s="4" t="str">
        <f>HYPERLINK("#Statut_biogéographique!A"&amp;_xlfn.XMATCH("P",Statut_biogéographique!A:A,2,1),"P")</f>
        <v>P</v>
      </c>
      <c r="AP11339" s="4" t="s">
        <v>376</v>
      </c>
      <c r="AR11339" s="4" t="s">
        <v>377</v>
      </c>
    </row>
    <row r="11340" spans="1:44" ht="30">
      <c r="A11340" s="4" t="s">
        <v>10753</v>
      </c>
      <c r="B11340" s="4">
        <v>232336</v>
      </c>
      <c r="D11340" s="5" t="s">
        <v>14315</v>
      </c>
      <c r="E11340" s="6" t="str">
        <f>HYPERLINK("https://inpn.mnhn.fr/espece/cd_nom/232336","Euodynerus quadrifasciatus (Fabricius, 1793)")</f>
        <v>Euodynerus quadrifasciatus (Fabricius, 1793)</v>
      </c>
      <c r="AH11340" s="4" t="str">
        <f>HYPERLINK("#Statut_biogéographique!A"&amp;_xlfn.XMATCH("P",Statut_biogéographique!A:A,2,1),"P")</f>
        <v>P</v>
      </c>
      <c r="AP11340" s="4" t="s">
        <v>376</v>
      </c>
      <c r="AR11340" s="4" t="s">
        <v>377</v>
      </c>
    </row>
    <row r="11341" spans="1:44">
      <c r="A11341" s="4" t="s">
        <v>10753</v>
      </c>
      <c r="B11341" s="4">
        <v>232338</v>
      </c>
      <c r="D11341" s="5" t="s">
        <v>14316</v>
      </c>
      <c r="E11341" s="6" t="str">
        <f>HYPERLINK("https://inpn.mnhn.fr/espece/cd_nom/232338","Eumenes coarctatus (Linnaeus, 1758)")</f>
        <v>Eumenes coarctatus (Linnaeus, 1758)</v>
      </c>
      <c r="AH11341" s="4" t="str">
        <f>HYPERLINK("#Statut_biogéographique!A"&amp;_xlfn.XMATCH("P",Statut_biogéographique!A:A,2,1),"P")</f>
        <v>P</v>
      </c>
      <c r="AP11341" s="4" t="s">
        <v>376</v>
      </c>
      <c r="AR11341" s="4" t="s">
        <v>377</v>
      </c>
    </row>
    <row r="11342" spans="1:44">
      <c r="A11342" s="4" t="s">
        <v>10753</v>
      </c>
      <c r="B11342" s="4">
        <v>232339</v>
      </c>
      <c r="D11342" s="5">
        <v>232339</v>
      </c>
      <c r="E11342" s="6" t="str">
        <f>HYPERLINK("https://inpn.mnhn.fr/espece/cd_nom/232339","Eumenes coronatus (Panzer, 1799)")</f>
        <v>Eumenes coronatus (Panzer, 1799)</v>
      </c>
      <c r="AH11342" s="4" t="str">
        <f>HYPERLINK("#Statut_biogéographique!A"&amp;_xlfn.XMATCH("P",Statut_biogéographique!A:A,2,1),"P")</f>
        <v>P</v>
      </c>
      <c r="AP11342" s="4" t="s">
        <v>376</v>
      </c>
      <c r="AR11342" s="4" t="s">
        <v>377</v>
      </c>
    </row>
    <row r="11343" spans="1:44">
      <c r="A11343" s="4" t="s">
        <v>10753</v>
      </c>
      <c r="B11343" s="4">
        <v>23234</v>
      </c>
      <c r="D11343" s="5" t="s">
        <v>14317</v>
      </c>
      <c r="E11343" s="6" t="str">
        <f>HYPERLINK("https://inpn.mnhn.fr/espece/cd_nom/23234","Platycheirus clypeatus (Meigen, 1822)")</f>
        <v>Platycheirus clypeatus (Meigen, 1822)</v>
      </c>
      <c r="P11343" s="7" t="str">
        <f>HYPERLINK("#Liste_rouge!A"&amp;_xlfn.XMATCH("LC",Liste_rouge!A:A,2,1),"LC")</f>
        <v>LC</v>
      </c>
      <c r="AH11343" s="4" t="str">
        <f>HYPERLINK("#Statut_biogéographique!A"&amp;_xlfn.XMATCH("P",Statut_biogéographique!A:A,2,1),"P")</f>
        <v>P</v>
      </c>
      <c r="AP11343" s="4" t="s">
        <v>376</v>
      </c>
      <c r="AR11343" s="4" t="s">
        <v>377</v>
      </c>
    </row>
    <row r="11344" spans="1:44">
      <c r="A11344" s="4" t="s">
        <v>10753</v>
      </c>
      <c r="B11344" s="4">
        <v>232342</v>
      </c>
      <c r="D11344" s="5">
        <v>232342</v>
      </c>
      <c r="E11344" s="6" t="str">
        <f>HYPERLINK("https://inpn.mnhn.fr/espece/cd_nom/232342","Eumenes papillarius (Christ, 1791)")</f>
        <v>Eumenes papillarius (Christ, 1791)</v>
      </c>
      <c r="AH11344" s="4" t="str">
        <f>HYPERLINK("#Statut_biogéographique!A"&amp;_xlfn.XMATCH("P",Statut_biogéographique!A:A,2,1),"P")</f>
        <v>P</v>
      </c>
      <c r="AP11344" s="4" t="s">
        <v>376</v>
      </c>
      <c r="AR11344" s="4" t="s">
        <v>377</v>
      </c>
    </row>
    <row r="11345" spans="1:44">
      <c r="A11345" s="4" t="s">
        <v>10753</v>
      </c>
      <c r="B11345" s="4">
        <v>232343</v>
      </c>
      <c r="D11345" s="5" t="s">
        <v>14318</v>
      </c>
      <c r="E11345" s="6" t="str">
        <f>HYPERLINK("https://inpn.mnhn.fr/espece/cd_nom/232343","Eumenes pedunculatus (Panzer, 1799)")</f>
        <v>Eumenes pedunculatus (Panzer, 1799)</v>
      </c>
      <c r="AH11345" s="4" t="str">
        <f>HYPERLINK("#Statut_biogéographique!A"&amp;_xlfn.XMATCH("P",Statut_biogéographique!A:A,2,1),"P")</f>
        <v>P</v>
      </c>
      <c r="AP11345" s="4" t="s">
        <v>376</v>
      </c>
      <c r="AR11345" s="4" t="s">
        <v>377</v>
      </c>
    </row>
    <row r="11346" spans="1:44">
      <c r="A11346" s="4" t="s">
        <v>10753</v>
      </c>
      <c r="B11346" s="4">
        <v>232347</v>
      </c>
      <c r="D11346" s="5">
        <v>232347</v>
      </c>
      <c r="E11346" s="6" t="str">
        <f>HYPERLINK("https://inpn.mnhn.fr/espece/cd_nom/232347","Eumenes subpomiformis Bluethgen, 1938")</f>
        <v>Eumenes subpomiformis Bluethgen, 1938</v>
      </c>
      <c r="AH11346" s="4" t="str">
        <f>HYPERLINK("#Statut_biogéographique!A"&amp;_xlfn.XMATCH("P",Statut_biogéographique!A:A,2,1),"P")</f>
        <v>P</v>
      </c>
      <c r="AP11346" s="4" t="s">
        <v>376</v>
      </c>
      <c r="AR11346" s="4" t="s">
        <v>377</v>
      </c>
    </row>
    <row r="11347" spans="1:44">
      <c r="A11347" s="4" t="s">
        <v>10753</v>
      </c>
      <c r="B11347" s="4">
        <v>232348</v>
      </c>
      <c r="D11347" s="5" t="s">
        <v>14319</v>
      </c>
      <c r="E11347" s="6" t="str">
        <f>HYPERLINK("https://inpn.mnhn.fr/espece/cd_nom/232348","Discoelius dufourii Lepeletier, 1841")</f>
        <v>Discoelius dufourii Lepeletier, 1841</v>
      </c>
      <c r="AH11347" s="4" t="str">
        <f>HYPERLINK("#Statut_biogéographique!A"&amp;_xlfn.XMATCH("P",Statut_biogéographique!A:A,2,1),"P")</f>
        <v>P</v>
      </c>
      <c r="AP11347" s="4" t="s">
        <v>376</v>
      </c>
      <c r="AR11347" s="4" t="s">
        <v>377</v>
      </c>
    </row>
    <row r="11348" spans="1:44">
      <c r="A11348" s="4" t="s">
        <v>10753</v>
      </c>
      <c r="B11348" s="4">
        <v>232349</v>
      </c>
      <c r="D11348" s="5" t="s">
        <v>14320</v>
      </c>
      <c r="E11348" s="6" t="str">
        <f>HYPERLINK("https://inpn.mnhn.fr/espece/cd_nom/232349","Discoelius zonalis (Panzer, 1801)")</f>
        <v>Discoelius zonalis (Panzer, 1801)</v>
      </c>
      <c r="AH11348" s="4" t="str">
        <f>HYPERLINK("#Statut_biogéographique!A"&amp;_xlfn.XMATCH("P",Statut_biogéographique!A:A,2,1),"P")</f>
        <v>P</v>
      </c>
      <c r="AP11348" s="4" t="s">
        <v>376</v>
      </c>
      <c r="AR11348" s="4" t="s">
        <v>377</v>
      </c>
    </row>
    <row r="11349" spans="1:44">
      <c r="A11349" s="4" t="s">
        <v>10753</v>
      </c>
      <c r="B11349" s="4">
        <v>232350</v>
      </c>
      <c r="D11349" s="5">
        <v>232350</v>
      </c>
      <c r="E11349" s="6" t="str">
        <f>HYPERLINK("https://inpn.mnhn.fr/espece/cd_nom/232350","Delta unguiculatum (Villers, 1789)")</f>
        <v>Delta unguiculatum (Villers, 1789)</v>
      </c>
      <c r="AH11349" s="4" t="str">
        <f>HYPERLINK("#Statut_biogéographique!A"&amp;_xlfn.XMATCH("P",Statut_biogéographique!A:A,2,1),"P")</f>
        <v>P</v>
      </c>
      <c r="AP11349" s="4" t="s">
        <v>376</v>
      </c>
      <c r="AR11349" s="4" t="s">
        <v>377</v>
      </c>
    </row>
    <row r="11350" spans="1:44">
      <c r="A11350" s="4" t="s">
        <v>10753</v>
      </c>
      <c r="B11350" s="4">
        <v>232357</v>
      </c>
      <c r="D11350" s="5" t="s">
        <v>14321</v>
      </c>
      <c r="E11350" s="6" t="str">
        <f>HYPERLINK("https://inpn.mnhn.fr/espece/cd_nom/232357","Ancistrocerus antilope (Panzer, 1797)")</f>
        <v>Ancistrocerus antilope (Panzer, 1797)</v>
      </c>
      <c r="AH11350" s="4" t="str">
        <f>HYPERLINK("#Statut_biogéographique!A"&amp;_xlfn.XMATCH("P",Statut_biogéographique!A:A,2,1),"P")</f>
        <v>P</v>
      </c>
      <c r="AP11350" s="4" t="s">
        <v>376</v>
      </c>
      <c r="AR11350" s="4" t="s">
        <v>377</v>
      </c>
    </row>
    <row r="11351" spans="1:44">
      <c r="A11351" s="4" t="s">
        <v>10753</v>
      </c>
      <c r="B11351" s="4">
        <v>23236</v>
      </c>
      <c r="D11351" s="5" t="s">
        <v>14322</v>
      </c>
      <c r="E11351" s="6" t="str">
        <f>HYPERLINK("https://inpn.mnhn.fr/espece/cd_nom/23236","Platycheirus fulviventris (Macquart, 1829)")</f>
        <v>Platycheirus fulviventris (Macquart, 1829)</v>
      </c>
      <c r="P11351" s="7" t="str">
        <f>HYPERLINK("#Liste_rouge!A"&amp;_xlfn.XMATCH("LC",Liste_rouge!A:A,2,1),"LC")</f>
        <v>LC</v>
      </c>
      <c r="AH11351" s="4" t="str">
        <f>HYPERLINK("#Statut_biogéographique!A"&amp;_xlfn.XMATCH("P",Statut_biogéographique!A:A,2,1),"P")</f>
        <v>P</v>
      </c>
      <c r="AP11351" s="4" t="s">
        <v>376</v>
      </c>
      <c r="AR11351" s="4" t="s">
        <v>377</v>
      </c>
    </row>
    <row r="11352" spans="1:44">
      <c r="A11352" s="4" t="s">
        <v>10753</v>
      </c>
      <c r="B11352" s="4">
        <v>232360</v>
      </c>
      <c r="D11352" s="5" t="s">
        <v>14323</v>
      </c>
      <c r="E11352" s="6" t="str">
        <f>HYPERLINK("https://inpn.mnhn.fr/espece/cd_nom/232360","Ancistrocerus claripennis Thomson, 1874")</f>
        <v>Ancistrocerus claripennis Thomson, 1874</v>
      </c>
      <c r="AH11352" s="4" t="str">
        <f>HYPERLINK("#Statut_biogéographique!A"&amp;_xlfn.XMATCH("P",Statut_biogéographique!A:A,2,1),"P")</f>
        <v>P</v>
      </c>
      <c r="AP11352" s="4" t="s">
        <v>376</v>
      </c>
      <c r="AR11352" s="4" t="s">
        <v>377</v>
      </c>
    </row>
    <row r="11353" spans="1:44">
      <c r="A11353" s="4" t="s">
        <v>10753</v>
      </c>
      <c r="B11353" s="4">
        <v>232362</v>
      </c>
      <c r="D11353" s="5" t="s">
        <v>14324</v>
      </c>
      <c r="E11353" s="6" t="str">
        <f>HYPERLINK("https://inpn.mnhn.fr/espece/cd_nom/232362","Ancistrocerus gazella (Panzer, 1797)")</f>
        <v>Ancistrocerus gazella (Panzer, 1797)</v>
      </c>
      <c r="AH11353" s="4" t="str">
        <f>HYPERLINK("#Statut_biogéographique!A"&amp;_xlfn.XMATCH("P",Statut_biogéographique!A:A,2,1),"P")</f>
        <v>P</v>
      </c>
      <c r="AP11353" s="4" t="s">
        <v>376</v>
      </c>
      <c r="AR11353" s="4" t="s">
        <v>377</v>
      </c>
    </row>
    <row r="11354" spans="1:44">
      <c r="A11354" s="4" t="s">
        <v>10753</v>
      </c>
      <c r="B11354" s="4">
        <v>232365</v>
      </c>
      <c r="D11354" s="5" t="s">
        <v>14325</v>
      </c>
      <c r="E11354" s="6" t="str">
        <f>HYPERLINK("https://inpn.mnhn.fr/espece/cd_nom/232365","Ancistrocerus nigricornis (Curtis, 1826)")</f>
        <v>Ancistrocerus nigricornis (Curtis, 1826)</v>
      </c>
      <c r="AH11354" s="4" t="str">
        <f>HYPERLINK("#Statut_biogéographique!A"&amp;_xlfn.XMATCH("P",Statut_biogéographique!A:A,2,1),"P")</f>
        <v>P</v>
      </c>
      <c r="AP11354" s="4" t="s">
        <v>376</v>
      </c>
      <c r="AR11354" s="4" t="s">
        <v>377</v>
      </c>
    </row>
    <row r="11355" spans="1:44">
      <c r="A11355" s="4" t="s">
        <v>10753</v>
      </c>
      <c r="B11355" s="4">
        <v>232367</v>
      </c>
      <c r="D11355" s="5" t="s">
        <v>14326</v>
      </c>
      <c r="E11355" s="6" t="str">
        <f>HYPERLINK("https://inpn.mnhn.fr/espece/cd_nom/232367","Ancistrocerus parietinus (Linnaeus, 1761)")</f>
        <v>Ancistrocerus parietinus (Linnaeus, 1761)</v>
      </c>
      <c r="F11355" s="5" t="s">
        <v>14327</v>
      </c>
      <c r="AH11355" s="4" t="str">
        <f>HYPERLINK("#Statut_biogéographique!A"&amp;_xlfn.XMATCH("P",Statut_biogéographique!A:A,2,1),"P")</f>
        <v>P</v>
      </c>
      <c r="AP11355" s="4" t="s">
        <v>376</v>
      </c>
      <c r="AR11355" s="4" t="s">
        <v>377</v>
      </c>
    </row>
    <row r="11356" spans="1:44" ht="30">
      <c r="A11356" s="4" t="s">
        <v>10753</v>
      </c>
      <c r="B11356" s="4">
        <v>232368</v>
      </c>
      <c r="D11356" s="5" t="s">
        <v>14328</v>
      </c>
      <c r="E11356" s="6" t="str">
        <f>HYPERLINK("https://inpn.mnhn.fr/espece/cd_nom/232368","Ancistrocerus parietum (Linnaeus, 1758)")</f>
        <v>Ancistrocerus parietum (Linnaeus, 1758)</v>
      </c>
      <c r="AH11356" s="4" t="str">
        <f>HYPERLINK("#Statut_biogéographique!A"&amp;_xlfn.XMATCH("P",Statut_biogéographique!A:A,2,1),"P")</f>
        <v>P</v>
      </c>
      <c r="AP11356" s="4" t="s">
        <v>376</v>
      </c>
      <c r="AR11356" s="4" t="s">
        <v>377</v>
      </c>
    </row>
    <row r="11357" spans="1:44">
      <c r="A11357" s="4" t="s">
        <v>10753</v>
      </c>
      <c r="B11357" s="4">
        <v>232371</v>
      </c>
      <c r="D11357" s="5" t="s">
        <v>14329</v>
      </c>
      <c r="E11357" s="6" t="str">
        <f>HYPERLINK("https://inpn.mnhn.fr/espece/cd_nom/232371","Ancistrocerus trifasciatus (Müller, 1776)")</f>
        <v>Ancistrocerus trifasciatus (Müller, 1776)</v>
      </c>
      <c r="AH11357" s="4" t="str">
        <f>HYPERLINK("#Statut_biogéographique!A"&amp;_xlfn.XMATCH("P",Statut_biogéographique!A:A,2,1),"P")</f>
        <v>P</v>
      </c>
      <c r="AP11357" s="4" t="s">
        <v>376</v>
      </c>
      <c r="AR11357" s="4" t="s">
        <v>377</v>
      </c>
    </row>
    <row r="11358" spans="1:44">
      <c r="A11358" s="4" t="s">
        <v>10753</v>
      </c>
      <c r="B11358" s="4">
        <v>232373</v>
      </c>
      <c r="D11358" s="5" t="s">
        <v>14330</v>
      </c>
      <c r="E11358" s="6" t="str">
        <f>HYPERLINK("https://inpn.mnhn.fr/espece/cd_nom/232373","Allodynerus delphinalis (Giraud, 1866)")</f>
        <v>Allodynerus delphinalis (Giraud, 1866)</v>
      </c>
      <c r="AH11358" s="4" t="str">
        <f>HYPERLINK("#Statut_biogéographique!A"&amp;_xlfn.XMATCH("P",Statut_biogéographique!A:A,2,1),"P")</f>
        <v>P</v>
      </c>
      <c r="AP11358" s="4" t="s">
        <v>376</v>
      </c>
      <c r="AR11358" s="4" t="s">
        <v>377</v>
      </c>
    </row>
    <row r="11359" spans="1:44">
      <c r="A11359" s="4" t="s">
        <v>10753</v>
      </c>
      <c r="B11359" s="4">
        <v>232376</v>
      </c>
      <c r="D11359" s="5" t="s">
        <v>14331</v>
      </c>
      <c r="E11359" s="6" t="str">
        <f>HYPERLINK("https://inpn.mnhn.fr/espece/cd_nom/232376","Allodynerus rossii (Lepeletier, 1841)")</f>
        <v>Allodynerus rossii (Lepeletier, 1841)</v>
      </c>
      <c r="AH11359" s="4" t="str">
        <f>HYPERLINK("#Statut_biogéographique!A"&amp;_xlfn.XMATCH("P",Statut_biogéographique!A:A,2,1),"P")</f>
        <v>P</v>
      </c>
      <c r="AP11359" s="4" t="s">
        <v>376</v>
      </c>
      <c r="AR11359" s="4" t="s">
        <v>377</v>
      </c>
    </row>
    <row r="11360" spans="1:44">
      <c r="A11360" s="4" t="s">
        <v>10753</v>
      </c>
      <c r="B11360" s="4">
        <v>232378</v>
      </c>
      <c r="D11360" s="5" t="s">
        <v>14332</v>
      </c>
      <c r="E11360" s="6" t="str">
        <f>HYPERLINK("https://inpn.mnhn.fr/espece/cd_nom/232378","Dolichovespula norwegica (Fabricius, 1781)")</f>
        <v>Dolichovespula norwegica (Fabricius, 1781)</v>
      </c>
      <c r="F11360" s="5" t="s">
        <v>14333</v>
      </c>
      <c r="AH11360" s="4" t="str">
        <f>HYPERLINK("#Statut_biogéographique!A"&amp;_xlfn.XMATCH("P",Statut_biogéographique!A:A,2,1),"P")</f>
        <v>P</v>
      </c>
      <c r="AP11360" s="4" t="s">
        <v>376</v>
      </c>
      <c r="AR11360" s="4" t="s">
        <v>377</v>
      </c>
    </row>
    <row r="11361" spans="1:44">
      <c r="A11361" s="4" t="s">
        <v>10753</v>
      </c>
      <c r="B11361" s="4">
        <v>232379</v>
      </c>
      <c r="D11361" s="5">
        <v>232379</v>
      </c>
      <c r="E11361" s="6" t="str">
        <f>HYPERLINK("https://inpn.mnhn.fr/espece/cd_nom/232379","Polistes associus Kohl, 1898")</f>
        <v>Polistes associus Kohl, 1898</v>
      </c>
      <c r="AH11361" s="4" t="str">
        <f>HYPERLINK("#Statut_biogéographique!A"&amp;_xlfn.XMATCH("P",Statut_biogéographique!A:A,2,1),"P")</f>
        <v>P</v>
      </c>
      <c r="AP11361" s="4" t="s">
        <v>376</v>
      </c>
      <c r="AR11361" s="4" t="s">
        <v>377</v>
      </c>
    </row>
    <row r="11362" spans="1:44">
      <c r="A11362" s="4" t="s">
        <v>10753</v>
      </c>
      <c r="B11362" s="4">
        <v>23238</v>
      </c>
      <c r="D11362" s="5" t="s">
        <v>14334</v>
      </c>
      <c r="E11362" s="6" t="str">
        <f>HYPERLINK("https://inpn.mnhn.fr/espece/cd_nom/23238","Platycheirus manicatus (Meigen, 1822)")</f>
        <v>Platycheirus manicatus (Meigen, 1822)</v>
      </c>
      <c r="P11362" s="7" t="str">
        <f>HYPERLINK("#Liste_rouge!A"&amp;_xlfn.XMATCH("LC",Liste_rouge!A:A,2,1),"LC")</f>
        <v>LC</v>
      </c>
      <c r="AH11362" s="4" t="str">
        <f>HYPERLINK("#Statut_biogéographique!A"&amp;_xlfn.XMATCH("P",Statut_biogéographique!A:A,2,1),"P")</f>
        <v>P</v>
      </c>
      <c r="AP11362" s="4" t="s">
        <v>376</v>
      </c>
      <c r="AR11362" s="4" t="s">
        <v>377</v>
      </c>
    </row>
    <row r="11363" spans="1:44">
      <c r="A11363" s="4" t="s">
        <v>10753</v>
      </c>
      <c r="B11363" s="4">
        <v>232382</v>
      </c>
      <c r="D11363" s="5" t="s">
        <v>14335</v>
      </c>
      <c r="E11363" s="6" t="str">
        <f>HYPERLINK("https://inpn.mnhn.fr/espece/cd_nom/232382","Polistes semenowi Morawitz, 1889")</f>
        <v>Polistes semenowi Morawitz, 1889</v>
      </c>
      <c r="AH11363" s="4" t="str">
        <f>HYPERLINK("#Statut_biogéographique!A"&amp;_xlfn.XMATCH("P",Statut_biogéographique!A:A,2,1),"P")</f>
        <v>P</v>
      </c>
      <c r="AP11363" s="4" t="s">
        <v>376</v>
      </c>
      <c r="AR11363" s="4" t="s">
        <v>377</v>
      </c>
    </row>
    <row r="11364" spans="1:44">
      <c r="A11364" s="4" t="s">
        <v>10753</v>
      </c>
      <c r="B11364" s="4">
        <v>23240</v>
      </c>
      <c r="D11364" s="5" t="s">
        <v>14336</v>
      </c>
      <c r="E11364" s="6" t="str">
        <f>HYPERLINK("https://inpn.mnhn.fr/espece/cd_nom/23240","Platycheirus peltatus (Meigen, 1822)")</f>
        <v>Platycheirus peltatus (Meigen, 1822)</v>
      </c>
      <c r="P11364" s="7" t="str">
        <f>HYPERLINK("#Liste_rouge!A"&amp;_xlfn.XMATCH("LC",Liste_rouge!A:A,2,1),"LC")</f>
        <v>LC</v>
      </c>
      <c r="AH11364" s="4" t="str">
        <f>HYPERLINK("#Statut_biogéographique!A"&amp;_xlfn.XMATCH("P",Statut_biogéographique!A:A,2,1),"P")</f>
        <v>P</v>
      </c>
      <c r="AP11364" s="4" t="s">
        <v>376</v>
      </c>
      <c r="AR11364" s="4" t="s">
        <v>377</v>
      </c>
    </row>
    <row r="11365" spans="1:44" ht="30">
      <c r="A11365" s="4" t="s">
        <v>10753</v>
      </c>
      <c r="B11365" s="4">
        <v>232411</v>
      </c>
      <c r="D11365" s="5" t="s">
        <v>14337</v>
      </c>
      <c r="E11365" s="6" t="str">
        <f>HYPERLINK("https://inpn.mnhn.fr/espece/cd_nom/232411","Caecilius fuscopterus (Latreille in Coquebert, 1799)")</f>
        <v>Caecilius fuscopterus (Latreille in Coquebert, 1799)</v>
      </c>
      <c r="AH11365" s="4" t="str">
        <f>HYPERLINK("#Statut_biogéographique!A"&amp;_xlfn.XMATCH("P",Statut_biogéographique!A:A,2,1),"P")</f>
        <v>P</v>
      </c>
      <c r="AP11365" s="4" t="s">
        <v>376</v>
      </c>
      <c r="AR11365" s="4" t="s">
        <v>377</v>
      </c>
    </row>
    <row r="11366" spans="1:44">
      <c r="A11366" s="4" t="s">
        <v>10753</v>
      </c>
      <c r="B11366" s="4">
        <v>232413</v>
      </c>
      <c r="D11366" s="5" t="s">
        <v>14338</v>
      </c>
      <c r="E11366" s="6" t="str">
        <f>HYPERLINK("https://inpn.mnhn.fr/espece/cd_nom/232413","Valenzuela burmeisteri (Brauer, 1876)")</f>
        <v>Valenzuela burmeisteri (Brauer, 1876)</v>
      </c>
      <c r="AH11366" s="4" t="str">
        <f>HYPERLINK("#Statut_biogéographique!A"&amp;_xlfn.XMATCH("P",Statut_biogéographique!A:A,2,1),"P")</f>
        <v>P</v>
      </c>
      <c r="AP11366" s="4" t="s">
        <v>376</v>
      </c>
      <c r="AR11366" s="4" t="s">
        <v>377</v>
      </c>
    </row>
    <row r="11367" spans="1:44">
      <c r="A11367" s="4" t="s">
        <v>10753</v>
      </c>
      <c r="B11367" s="4">
        <v>232416</v>
      </c>
      <c r="D11367" s="5" t="s">
        <v>14339</v>
      </c>
      <c r="E11367" s="6" t="str">
        <f>HYPERLINK("https://inpn.mnhn.fr/espece/cd_nom/232416","Valenzuela flavidus (Stephens, 1836)")</f>
        <v>Valenzuela flavidus (Stephens, 1836)</v>
      </c>
      <c r="F11367" s="5" t="s">
        <v>14340</v>
      </c>
      <c r="AH11367" s="4" t="str">
        <f>HYPERLINK("#Statut_biogéographique!A"&amp;_xlfn.XMATCH("P",Statut_biogéographique!A:A,2,1),"P")</f>
        <v>P</v>
      </c>
      <c r="AP11367" s="4" t="s">
        <v>376</v>
      </c>
      <c r="AR11367" s="4" t="s">
        <v>377</v>
      </c>
    </row>
    <row r="11368" spans="1:44">
      <c r="A11368" s="4" t="s">
        <v>10753</v>
      </c>
      <c r="B11368" s="4">
        <v>23242</v>
      </c>
      <c r="D11368" s="5" t="s">
        <v>14341</v>
      </c>
      <c r="E11368" s="6" t="str">
        <f>HYPERLINK("https://inpn.mnhn.fr/espece/cd_nom/23242","Platycheirus perpallidus Verrall, 1901")</f>
        <v>Platycheirus perpallidus Verrall, 1901</v>
      </c>
      <c r="P11368" s="7" t="str">
        <f>HYPERLINK("#Liste_rouge!A"&amp;_xlfn.XMATCH("LC",Liste_rouge!A:A,2,1),"LC")</f>
        <v>LC</v>
      </c>
      <c r="AH11368" s="4" t="str">
        <f>HYPERLINK("#Statut_biogéographique!A"&amp;_xlfn.XMATCH("P",Statut_biogéographique!A:A,2,1),"P")</f>
        <v>P</v>
      </c>
      <c r="AP11368" s="4" t="s">
        <v>376</v>
      </c>
      <c r="AR11368" s="4" t="s">
        <v>377</v>
      </c>
    </row>
    <row r="11369" spans="1:44">
      <c r="A11369" s="4" t="s">
        <v>10753</v>
      </c>
      <c r="B11369" s="4">
        <v>232430</v>
      </c>
      <c r="D11369" s="5">
        <v>232430</v>
      </c>
      <c r="E11369" s="6" t="str">
        <f>HYPERLINK("https://inpn.mnhn.fr/espece/cd_nom/232430","Ectopsocus petersi Smithers, 1978")</f>
        <v>Ectopsocus petersi Smithers, 1978</v>
      </c>
      <c r="AH11369" s="4" t="str">
        <f>HYPERLINK("#Statut_biogéographique!A"&amp;_xlfn.XMATCH("P",Statut_biogéographique!A:A,2,1),"P")</f>
        <v>P</v>
      </c>
      <c r="AP11369" s="4" t="s">
        <v>376</v>
      </c>
      <c r="AR11369" s="4" t="s">
        <v>377</v>
      </c>
    </row>
    <row r="11370" spans="1:44">
      <c r="A11370" s="4" t="s">
        <v>10753</v>
      </c>
      <c r="B11370" s="4">
        <v>23244</v>
      </c>
      <c r="D11370" s="5" t="s">
        <v>14342</v>
      </c>
      <c r="E11370" s="6" t="str">
        <f>HYPERLINK("https://inpn.mnhn.fr/espece/cd_nom/23244","Platypalpus annulipes (Meigen, 1822)")</f>
        <v>Platypalpus annulipes (Meigen, 1822)</v>
      </c>
      <c r="AH11370" s="4" t="str">
        <f>HYPERLINK("#Statut_biogéographique!A"&amp;_xlfn.XMATCH("P",Statut_biogéographique!A:A,2,1),"P")</f>
        <v>P</v>
      </c>
      <c r="AP11370" s="4" t="s">
        <v>376</v>
      </c>
      <c r="AR11370" s="4" t="s">
        <v>377</v>
      </c>
    </row>
    <row r="11371" spans="1:44">
      <c r="A11371" s="4" t="s">
        <v>10753</v>
      </c>
      <c r="B11371" s="4">
        <v>232443</v>
      </c>
      <c r="D11371" s="5">
        <v>232443</v>
      </c>
      <c r="E11371" s="6" t="str">
        <f>HYPERLINK("https://inpn.mnhn.fr/espece/cd_nom/232443","Elipsocus moebiusi Tetens, 1891")</f>
        <v>Elipsocus moebiusi Tetens, 1891</v>
      </c>
      <c r="AH11371" s="4" t="str">
        <f>HYPERLINK("#Statut_biogéographique!A"&amp;_xlfn.XMATCH("P",Statut_biogéographique!A:A,2,1),"P")</f>
        <v>P</v>
      </c>
      <c r="AP11371" s="4" t="s">
        <v>376</v>
      </c>
      <c r="AR11371" s="4" t="s">
        <v>377</v>
      </c>
    </row>
    <row r="11372" spans="1:44">
      <c r="A11372" s="4" t="s">
        <v>10753</v>
      </c>
      <c r="B11372" s="4">
        <v>23245</v>
      </c>
      <c r="D11372" s="5" t="s">
        <v>14343</v>
      </c>
      <c r="E11372" s="6" t="str">
        <f>HYPERLINK("https://inpn.mnhn.fr/espece/cd_nom/23245","Platypalpus aristatus (Collin, 1926)")</f>
        <v>Platypalpus aristatus (Collin, 1926)</v>
      </c>
      <c r="AH11372" s="4" t="str">
        <f>HYPERLINK("#Statut_biogéographique!A"&amp;_xlfn.XMATCH("P",Statut_biogéographique!A:A,2,1),"P")</f>
        <v>P</v>
      </c>
      <c r="AP11372" s="4" t="s">
        <v>376</v>
      </c>
      <c r="AR11372" s="4" t="s">
        <v>377</v>
      </c>
    </row>
    <row r="11373" spans="1:44">
      <c r="A11373" s="4" t="s">
        <v>10753</v>
      </c>
      <c r="B11373" s="4">
        <v>232450</v>
      </c>
      <c r="D11373" s="5">
        <v>232450</v>
      </c>
      <c r="E11373" s="6" t="str">
        <f>HYPERLINK("https://inpn.mnhn.fr/espece/cd_nom/232450","Neopsocus rhenanus Kolbe, 1882")</f>
        <v>Neopsocus rhenanus Kolbe, 1882</v>
      </c>
      <c r="AH11373" s="4" t="str">
        <f>HYPERLINK("#Statut_biogéographique!A"&amp;_xlfn.XMATCH("P",Statut_biogéographique!A:A,2,1),"P")</f>
        <v>P</v>
      </c>
      <c r="AP11373" s="4" t="s">
        <v>376</v>
      </c>
      <c r="AR11373" s="4" t="s">
        <v>377</v>
      </c>
    </row>
    <row r="11374" spans="1:44">
      <c r="A11374" s="4" t="s">
        <v>10753</v>
      </c>
      <c r="B11374" s="4">
        <v>232478</v>
      </c>
      <c r="D11374" s="5">
        <v>232478</v>
      </c>
      <c r="E11374" s="6" t="str">
        <f>HYPERLINK("https://inpn.mnhn.fr/espece/cd_nom/232478","Xenos vesparum Rossius, 1793")</f>
        <v>Xenos vesparum Rossius, 1793</v>
      </c>
      <c r="AH11374" s="4" t="str">
        <f>HYPERLINK("#Statut_biogéographique!A"&amp;_xlfn.XMATCH("P",Statut_biogéographique!A:A,2,1),"P")</f>
        <v>P</v>
      </c>
      <c r="AP11374" s="4" t="s">
        <v>376</v>
      </c>
      <c r="AR11374" s="4" t="s">
        <v>377</v>
      </c>
    </row>
    <row r="11375" spans="1:44">
      <c r="A11375" s="4" t="s">
        <v>10753</v>
      </c>
      <c r="B11375" s="4">
        <v>232489</v>
      </c>
      <c r="D11375" s="5">
        <v>232489</v>
      </c>
      <c r="E11375" s="6" t="str">
        <f>HYPERLINK("https://inpn.mnhn.fr/espece/cd_nom/232489","Rhyacophila aquitanica McLachlan, 1879")</f>
        <v>Rhyacophila aquitanica McLachlan, 1879</v>
      </c>
      <c r="AH11375" s="4" t="str">
        <f>HYPERLINK("#Statut_biogéographique!A"&amp;_xlfn.XMATCH("P",Statut_biogéographique!A:A,2,1),"P")</f>
        <v>P</v>
      </c>
      <c r="AP11375" s="4" t="s">
        <v>376</v>
      </c>
      <c r="AR11375" s="4" t="s">
        <v>377</v>
      </c>
    </row>
    <row r="11376" spans="1:44">
      <c r="A11376" s="4" t="s">
        <v>10753</v>
      </c>
      <c r="B11376" s="4">
        <v>232492</v>
      </c>
      <c r="D11376" s="5">
        <v>232492</v>
      </c>
      <c r="E11376" s="6" t="str">
        <f>HYPERLINK("https://inpn.mnhn.fr/espece/cd_nom/232492","Rhyacophila evoluta McLachlan, 1879")</f>
        <v>Rhyacophila evoluta McLachlan, 1879</v>
      </c>
      <c r="AH11376" s="4" t="str">
        <f>HYPERLINK("#Statut_biogéographique!A"&amp;_xlfn.XMATCH("P",Statut_biogéographique!A:A,2,1),"P")</f>
        <v>P</v>
      </c>
      <c r="AP11376" s="4" t="s">
        <v>376</v>
      </c>
      <c r="AR11376" s="4" t="s">
        <v>377</v>
      </c>
    </row>
    <row r="11377" spans="1:44">
      <c r="A11377" s="4" t="s">
        <v>10753</v>
      </c>
      <c r="B11377" s="4">
        <v>232493</v>
      </c>
      <c r="D11377" s="5" t="s">
        <v>14344</v>
      </c>
      <c r="E11377" s="6" t="str">
        <f>HYPERLINK("https://inpn.mnhn.fr/espece/cd_nom/232493","Rhyacophila fasciata Hagen, 1859")</f>
        <v>Rhyacophila fasciata Hagen, 1859</v>
      </c>
      <c r="AH11377" s="4" t="str">
        <f>HYPERLINK("#Statut_biogéographique!A"&amp;_xlfn.XMATCH("P",Statut_biogéographique!A:A,2,1),"P")</f>
        <v>P</v>
      </c>
      <c r="AP11377" s="4" t="s">
        <v>376</v>
      </c>
      <c r="AR11377" s="4" t="s">
        <v>377</v>
      </c>
    </row>
    <row r="11378" spans="1:44" ht="30">
      <c r="A11378" s="4" t="s">
        <v>10753</v>
      </c>
      <c r="B11378" s="4">
        <v>232495</v>
      </c>
      <c r="D11378" s="5" t="s">
        <v>14345</v>
      </c>
      <c r="E11378" s="6" t="str">
        <f>HYPERLINK("https://inpn.mnhn.fr/espece/cd_nom/232495","Rhyacophila intermedia McLachlan, 1868")</f>
        <v>Rhyacophila intermedia McLachlan, 1868</v>
      </c>
      <c r="AH11378" s="4" t="str">
        <f>HYPERLINK("#Statut_biogéographique!A"&amp;_xlfn.XMATCH("P",Statut_biogéographique!A:A,2,1),"P")</f>
        <v>P</v>
      </c>
      <c r="AP11378" s="4" t="s">
        <v>376</v>
      </c>
      <c r="AR11378" s="4" t="s">
        <v>377</v>
      </c>
    </row>
    <row r="11379" spans="1:44">
      <c r="A11379" s="4" t="s">
        <v>10753</v>
      </c>
      <c r="B11379" s="4">
        <v>232497</v>
      </c>
      <c r="D11379" s="5" t="s">
        <v>14346</v>
      </c>
      <c r="E11379" s="6" t="str">
        <f>HYPERLINK("https://inpn.mnhn.fr/espece/cd_nom/232497","Rhyacophila laevis Pictet, 1834")</f>
        <v>Rhyacophila laevis Pictet, 1834</v>
      </c>
      <c r="AH11379" s="4" t="str">
        <f>HYPERLINK("#Statut_biogéographique!A"&amp;_xlfn.XMATCH("P",Statut_biogéographique!A:A,2,1),"P")</f>
        <v>P</v>
      </c>
      <c r="AP11379" s="4" t="s">
        <v>376</v>
      </c>
      <c r="AR11379" s="4" t="s">
        <v>377</v>
      </c>
    </row>
    <row r="11380" spans="1:44">
      <c r="A11380" s="4" t="s">
        <v>10753</v>
      </c>
      <c r="B11380" s="4">
        <v>232499</v>
      </c>
      <c r="D11380" s="5" t="s">
        <v>14347</v>
      </c>
      <c r="E11380" s="6" t="str">
        <f>HYPERLINK("https://inpn.mnhn.fr/espece/cd_nom/232499","Rhyacophila meridionalis Pictet, 1865")</f>
        <v>Rhyacophila meridionalis Pictet, 1865</v>
      </c>
      <c r="AH11380" s="4" t="str">
        <f>HYPERLINK("#Statut_biogéographique!A"&amp;_xlfn.XMATCH("P",Statut_biogéographique!A:A,2,1),"P")</f>
        <v>P</v>
      </c>
      <c r="AP11380" s="4" t="s">
        <v>376</v>
      </c>
      <c r="AR11380" s="4" t="s">
        <v>377</v>
      </c>
    </row>
    <row r="11381" spans="1:44">
      <c r="A11381" s="4" t="s">
        <v>10753</v>
      </c>
      <c r="B11381" s="4">
        <v>232501</v>
      </c>
      <c r="D11381" s="5">
        <v>232501</v>
      </c>
      <c r="E11381" s="6" t="str">
        <f>HYPERLINK("https://inpn.mnhn.fr/espece/cd_nom/232501","Rhyacophila munda McLachlan, 1862")</f>
        <v>Rhyacophila munda McLachlan, 1862</v>
      </c>
      <c r="AH11381" s="4" t="str">
        <f>HYPERLINK("#Statut_biogéographique!A"&amp;_xlfn.XMATCH("P",Statut_biogéographique!A:A,2,1),"P")</f>
        <v>P</v>
      </c>
      <c r="AP11381" s="4" t="s">
        <v>376</v>
      </c>
      <c r="AR11381" s="4" t="s">
        <v>377</v>
      </c>
    </row>
    <row r="11382" spans="1:44">
      <c r="A11382" s="4" t="s">
        <v>10753</v>
      </c>
      <c r="B11382" s="4">
        <v>232502</v>
      </c>
      <c r="D11382" s="5" t="s">
        <v>14348</v>
      </c>
      <c r="E11382" s="6" t="str">
        <f>HYPERLINK("https://inpn.mnhn.fr/espece/cd_nom/232502","Rhyacophila obliterata McLachlan, 1863")</f>
        <v>Rhyacophila obliterata McLachlan, 1863</v>
      </c>
      <c r="AH11382" s="4" t="str">
        <f>HYPERLINK("#Statut_biogéographique!A"&amp;_xlfn.XMATCH("P",Statut_biogéographique!A:A,2,1),"P")</f>
        <v>P</v>
      </c>
      <c r="AP11382" s="4" t="s">
        <v>376</v>
      </c>
      <c r="AR11382" s="4" t="s">
        <v>377</v>
      </c>
    </row>
    <row r="11383" spans="1:44" ht="30">
      <c r="A11383" s="4" t="s">
        <v>10753</v>
      </c>
      <c r="B11383" s="4">
        <v>232506</v>
      </c>
      <c r="D11383" s="5">
        <v>232506</v>
      </c>
      <c r="E11383" s="6" t="str">
        <f>HYPERLINK("https://inpn.mnhn.fr/espece/cd_nom/232506","Rhyacophila philopotamoides McLachlan, 1879")</f>
        <v>Rhyacophila philopotamoides McLachlan, 1879</v>
      </c>
      <c r="AH11383" s="4" t="str">
        <f>HYPERLINK("#Statut_biogéographique!A"&amp;_xlfn.XMATCH("P",Statut_biogéographique!A:A,2,1),"P")</f>
        <v>P</v>
      </c>
      <c r="AP11383" s="4" t="s">
        <v>376</v>
      </c>
      <c r="AR11383" s="4" t="s">
        <v>377</v>
      </c>
    </row>
    <row r="11384" spans="1:44">
      <c r="A11384" s="4" t="s">
        <v>10753</v>
      </c>
      <c r="B11384" s="4">
        <v>232507</v>
      </c>
      <c r="D11384" s="5">
        <v>232507</v>
      </c>
      <c r="E11384" s="6" t="str">
        <f>HYPERLINK("https://inpn.mnhn.fr/espece/cd_nom/232507","Rhyacophila pubescens Pictet, 1834")</f>
        <v>Rhyacophila pubescens Pictet, 1834</v>
      </c>
      <c r="AH11384" s="4" t="str">
        <f>HYPERLINK("#Statut_biogéographique!A"&amp;_xlfn.XMATCH("P",Statut_biogéographique!A:A,2,1),"P")</f>
        <v>P</v>
      </c>
      <c r="AP11384" s="4" t="s">
        <v>376</v>
      </c>
      <c r="AR11384" s="4" t="s">
        <v>377</v>
      </c>
    </row>
    <row r="11385" spans="1:44">
      <c r="A11385" s="4" t="s">
        <v>10753</v>
      </c>
      <c r="B11385" s="4">
        <v>23251</v>
      </c>
      <c r="D11385" s="5" t="s">
        <v>14349</v>
      </c>
      <c r="E11385" s="6" t="str">
        <f>HYPERLINK("https://inpn.mnhn.fr/espece/cd_nom/23251","Platypalpus calceatus (Meigen, 1822)")</f>
        <v>Platypalpus calceatus (Meigen, 1822)</v>
      </c>
      <c r="AH11385" s="4" t="str">
        <f>HYPERLINK("#Statut_biogéographique!A"&amp;_xlfn.XMATCH("P",Statut_biogéographique!A:A,2,1),"P")</f>
        <v>P</v>
      </c>
      <c r="AP11385" s="4" t="s">
        <v>376</v>
      </c>
      <c r="AR11385" s="4" t="s">
        <v>377</v>
      </c>
    </row>
    <row r="11386" spans="1:44">
      <c r="A11386" s="4" t="s">
        <v>10753</v>
      </c>
      <c r="B11386" s="4">
        <v>232511</v>
      </c>
      <c r="D11386" s="5">
        <v>232511</v>
      </c>
      <c r="E11386" s="6" t="str">
        <f>HYPERLINK("https://inpn.mnhn.fr/espece/cd_nom/232511","Rhyacophila simulatrix McLachlan, 1879")</f>
        <v>Rhyacophila simulatrix McLachlan, 1879</v>
      </c>
      <c r="AH11386" s="4" t="str">
        <f>HYPERLINK("#Statut_biogéographique!A"&amp;_xlfn.XMATCH("P",Statut_biogéographique!A:A,2,1),"P")</f>
        <v>P</v>
      </c>
      <c r="AP11386" s="4" t="s">
        <v>376</v>
      </c>
      <c r="AR11386" s="4" t="s">
        <v>377</v>
      </c>
    </row>
    <row r="11387" spans="1:44">
      <c r="A11387" s="4" t="s">
        <v>10753</v>
      </c>
      <c r="B11387" s="4">
        <v>232513</v>
      </c>
      <c r="D11387" s="5">
        <v>232513</v>
      </c>
      <c r="E11387" s="6" t="str">
        <f>HYPERLINK("https://inpn.mnhn.fr/espece/cd_nom/232513","Rhyacophila torrentium Pictet, 1834")</f>
        <v>Rhyacophila torrentium Pictet, 1834</v>
      </c>
      <c r="AH11387" s="4" t="str">
        <f>HYPERLINK("#Statut_biogéographique!A"&amp;_xlfn.XMATCH("P",Statut_biogéographique!A:A,2,1),"P")</f>
        <v>P</v>
      </c>
      <c r="AP11387" s="4" t="s">
        <v>376</v>
      </c>
      <c r="AR11387" s="4" t="s">
        <v>377</v>
      </c>
    </row>
    <row r="11388" spans="1:44">
      <c r="A11388" s="4" t="s">
        <v>10753</v>
      </c>
      <c r="B11388" s="4">
        <v>232519</v>
      </c>
      <c r="D11388" s="5" t="s">
        <v>14350</v>
      </c>
      <c r="E11388" s="6" t="str">
        <f>HYPERLINK("https://inpn.mnhn.fr/espece/cd_nom/232519","Agapetus laniger Pictet, 1834")</f>
        <v>Agapetus laniger Pictet, 1834</v>
      </c>
      <c r="AH11388" s="4" t="str">
        <f>HYPERLINK("#Statut_biogéographique!A"&amp;_xlfn.XMATCH("P",Statut_biogéographique!A:A,2,1),"P")</f>
        <v>P</v>
      </c>
      <c r="AP11388" s="4" t="s">
        <v>376</v>
      </c>
      <c r="AR11388" s="4" t="s">
        <v>377</v>
      </c>
    </row>
    <row r="11389" spans="1:44" ht="30">
      <c r="A11389" s="4" t="s">
        <v>10753</v>
      </c>
      <c r="B11389" s="4">
        <v>23252</v>
      </c>
      <c r="D11389" s="5" t="s">
        <v>14351</v>
      </c>
      <c r="E11389" s="6" t="str">
        <f>HYPERLINK("https://inpn.mnhn.fr/espece/cd_nom/23252","Platypalpus candicans (Fallén, 1815)")</f>
        <v>Platypalpus candicans (Fallén, 1815)</v>
      </c>
      <c r="AH11389" s="4" t="str">
        <f>HYPERLINK("#Statut_biogéographique!A"&amp;_xlfn.XMATCH("P",Statut_biogéographique!A:A,2,1),"P")</f>
        <v>P</v>
      </c>
      <c r="AP11389" s="4" t="s">
        <v>376</v>
      </c>
      <c r="AR11389" s="4" t="s">
        <v>377</v>
      </c>
    </row>
    <row r="11390" spans="1:44">
      <c r="A11390" s="4" t="s">
        <v>10753</v>
      </c>
      <c r="B11390" s="4">
        <v>232521</v>
      </c>
      <c r="D11390" s="5" t="s">
        <v>14352</v>
      </c>
      <c r="E11390" s="6" t="str">
        <f>HYPERLINK("https://inpn.mnhn.fr/espece/cd_nom/232521","Agapetus ochripes Curtis, 1834")</f>
        <v>Agapetus ochripes Curtis, 1834</v>
      </c>
      <c r="AH11390" s="4" t="str">
        <f>HYPERLINK("#Statut_biogéographique!A"&amp;_xlfn.XMATCH("P",Statut_biogéographique!A:A,2,1),"P")</f>
        <v>P</v>
      </c>
      <c r="AP11390" s="4" t="s">
        <v>376</v>
      </c>
      <c r="AR11390" s="4" t="s">
        <v>377</v>
      </c>
    </row>
    <row r="11391" spans="1:44">
      <c r="A11391" s="4" t="s">
        <v>10753</v>
      </c>
      <c r="B11391" s="4">
        <v>232525</v>
      </c>
      <c r="D11391" s="5" t="s">
        <v>14353</v>
      </c>
      <c r="E11391" s="6" t="str">
        <f>HYPERLINK("https://inpn.mnhn.fr/espece/cd_nom/232525","Synagapetus diversus (McLachlan, 1884)")</f>
        <v>Synagapetus diversus (McLachlan, 1884)</v>
      </c>
      <c r="AH11391" s="4" t="str">
        <f>HYPERLINK("#Statut_biogéographique!A"&amp;_xlfn.XMATCH("P",Statut_biogéographique!A:A,2,1),"P")</f>
        <v>P</v>
      </c>
      <c r="AP11391" s="4" t="s">
        <v>376</v>
      </c>
      <c r="AR11391" s="4" t="s">
        <v>377</v>
      </c>
    </row>
    <row r="11392" spans="1:44">
      <c r="A11392" s="4" t="s">
        <v>10753</v>
      </c>
      <c r="B11392" s="4">
        <v>232528</v>
      </c>
      <c r="D11392" s="5" t="s">
        <v>14354</v>
      </c>
      <c r="E11392" s="6" t="str">
        <f>HYPERLINK("https://inpn.mnhn.fr/espece/cd_nom/232528","Synagapetus iridipennis McLachlan, 1879")</f>
        <v>Synagapetus iridipennis McLachlan, 1879</v>
      </c>
      <c r="AH11392" s="4" t="str">
        <f>HYPERLINK("#Statut_biogéographique!A"&amp;_xlfn.XMATCH("P",Statut_biogéographique!A:A,2,1),"P")</f>
        <v>P</v>
      </c>
      <c r="AP11392" s="4" t="s">
        <v>376</v>
      </c>
      <c r="AR11392" s="4" t="s">
        <v>377</v>
      </c>
    </row>
    <row r="11393" spans="1:44" ht="30">
      <c r="A11393" s="4" t="s">
        <v>10753</v>
      </c>
      <c r="B11393" s="4">
        <v>232531</v>
      </c>
      <c r="D11393" s="5" t="s">
        <v>14355</v>
      </c>
      <c r="E11393" s="6" t="str">
        <f>HYPERLINK("https://inpn.mnhn.fr/espece/cd_nom/232531","Glossosoma boltoni Curtis, 1834")</f>
        <v>Glossosoma boltoni Curtis, 1834</v>
      </c>
      <c r="AH11393" s="4" t="str">
        <f>HYPERLINK("#Statut_biogéographique!A"&amp;_xlfn.XMATCH("P",Statut_biogéographique!A:A,2,1),"P")</f>
        <v>P</v>
      </c>
      <c r="AP11393" s="4" t="s">
        <v>376</v>
      </c>
      <c r="AR11393" s="4" t="s">
        <v>377</v>
      </c>
    </row>
    <row r="11394" spans="1:44">
      <c r="A11394" s="4" t="s">
        <v>10753</v>
      </c>
      <c r="B11394" s="4">
        <v>232532</v>
      </c>
      <c r="D11394" s="5" t="s">
        <v>14356</v>
      </c>
      <c r="E11394" s="6" t="str">
        <f>HYPERLINK("https://inpn.mnhn.fr/espece/cd_nom/232532","Glossosoma conforme Neboiss, 1963")</f>
        <v>Glossosoma conforme Neboiss, 1963</v>
      </c>
      <c r="AH11394" s="4" t="str">
        <f>HYPERLINK("#Statut_biogéographique!A"&amp;_xlfn.XMATCH("P",Statut_biogéographique!A:A,2,1),"P")</f>
        <v>P</v>
      </c>
      <c r="AP11394" s="4" t="s">
        <v>376</v>
      </c>
      <c r="AR11394" s="4" t="s">
        <v>377</v>
      </c>
    </row>
    <row r="11395" spans="1:44" ht="30">
      <c r="A11395" s="4" t="s">
        <v>10753</v>
      </c>
      <c r="B11395" s="4">
        <v>232533</v>
      </c>
      <c r="D11395" s="5" t="s">
        <v>14357</v>
      </c>
      <c r="E11395" s="6" t="str">
        <f>HYPERLINK("https://inpn.mnhn.fr/espece/cd_nom/232533","Glossosoma spoliatum McLachlan, 1879")</f>
        <v>Glossosoma spoliatum McLachlan, 1879</v>
      </c>
      <c r="AH11395" s="4" t="str">
        <f>HYPERLINK("#Statut_biogéographique!A"&amp;_xlfn.XMATCH("P",Statut_biogéographique!A:A,2,1),"P")</f>
        <v>P</v>
      </c>
      <c r="AP11395" s="4" t="s">
        <v>376</v>
      </c>
      <c r="AR11395" s="4" t="s">
        <v>377</v>
      </c>
    </row>
    <row r="11396" spans="1:44">
      <c r="A11396" s="4" t="s">
        <v>10753</v>
      </c>
      <c r="B11396" s="4">
        <v>232539</v>
      </c>
      <c r="D11396" s="5" t="s">
        <v>14358</v>
      </c>
      <c r="E11396" s="6" t="str">
        <f>HYPERLINK("https://inpn.mnhn.fr/espece/cd_nom/232539","Hydroptila forcipata (Eaton, 1873)")</f>
        <v>Hydroptila forcipata (Eaton, 1873)</v>
      </c>
      <c r="AH11396" s="4" t="str">
        <f>HYPERLINK("#Statut_biogéographique!A"&amp;_xlfn.XMATCH("P",Statut_biogéographique!A:A,2,1),"P")</f>
        <v>P</v>
      </c>
      <c r="AP11396" s="4" t="s">
        <v>376</v>
      </c>
      <c r="AR11396" s="4" t="s">
        <v>377</v>
      </c>
    </row>
    <row r="11397" spans="1:44">
      <c r="A11397" s="4" t="s">
        <v>10753</v>
      </c>
      <c r="B11397" s="4">
        <v>232541</v>
      </c>
      <c r="D11397" s="5" t="s">
        <v>14359</v>
      </c>
      <c r="E11397" s="6" t="str">
        <f>HYPERLINK("https://inpn.mnhn.fr/espece/cd_nom/232541","Hydroptila occulta (Eaton, 1873)")</f>
        <v>Hydroptila occulta (Eaton, 1873)</v>
      </c>
      <c r="AH11397" s="4" t="str">
        <f>HYPERLINK("#Statut_biogéographique!A"&amp;_xlfn.XMATCH("P",Statut_biogéographique!A:A,2,1),"P")</f>
        <v>P</v>
      </c>
      <c r="AP11397" s="4" t="s">
        <v>376</v>
      </c>
      <c r="AR11397" s="4" t="s">
        <v>377</v>
      </c>
    </row>
    <row r="11398" spans="1:44">
      <c r="A11398" s="4" t="s">
        <v>10753</v>
      </c>
      <c r="B11398" s="4">
        <v>232545</v>
      </c>
      <c r="D11398" s="5">
        <v>232545</v>
      </c>
      <c r="E11398" s="6" t="str">
        <f>HYPERLINK("https://inpn.mnhn.fr/espece/cd_nom/232545","Hydroptila simulans Mosely, 1920")</f>
        <v>Hydroptila simulans Mosely, 1920</v>
      </c>
      <c r="AH11398" s="4" t="str">
        <f>HYPERLINK("#Statut_biogéographique!A"&amp;_xlfn.XMATCH("P",Statut_biogéographique!A:A,2,1),"P")</f>
        <v>P</v>
      </c>
      <c r="AP11398" s="4" t="s">
        <v>376</v>
      </c>
      <c r="AR11398" s="4" t="s">
        <v>377</v>
      </c>
    </row>
    <row r="11399" spans="1:44">
      <c r="A11399" s="4" t="s">
        <v>10753</v>
      </c>
      <c r="B11399" s="4">
        <v>232548</v>
      </c>
      <c r="D11399" s="5" t="s">
        <v>14360</v>
      </c>
      <c r="E11399" s="6" t="str">
        <f>HYPERLINK("https://inpn.mnhn.fr/espece/cd_nom/232548","Hydroptila tineoides Dalman, 1819")</f>
        <v>Hydroptila tineoides Dalman, 1819</v>
      </c>
      <c r="AH11399" s="4" t="str">
        <f>HYPERLINK("#Statut_biogéographique!A"&amp;_xlfn.XMATCH("P",Statut_biogéographique!A:A,2,1),"P")</f>
        <v>P</v>
      </c>
      <c r="AP11399" s="4" t="s">
        <v>376</v>
      </c>
      <c r="AR11399" s="4" t="s">
        <v>377</v>
      </c>
    </row>
    <row r="11400" spans="1:44">
      <c r="A11400" s="4" t="s">
        <v>10753</v>
      </c>
      <c r="B11400" s="4">
        <v>232552</v>
      </c>
      <c r="D11400" s="5">
        <v>232552</v>
      </c>
      <c r="E11400" s="6" t="str">
        <f>HYPERLINK("https://inpn.mnhn.fr/espece/cd_nom/232552","Ithytrichia lamellaris Eaton, 1873")</f>
        <v>Ithytrichia lamellaris Eaton, 1873</v>
      </c>
      <c r="AH11400" s="4" t="str">
        <f>HYPERLINK("#Statut_biogéographique!A"&amp;_xlfn.XMATCH("P",Statut_biogéographique!A:A,2,1),"P")</f>
        <v>P</v>
      </c>
      <c r="AP11400" s="4" t="s">
        <v>376</v>
      </c>
      <c r="AR11400" s="4" t="s">
        <v>377</v>
      </c>
    </row>
    <row r="11401" spans="1:44">
      <c r="A11401" s="4" t="s">
        <v>10753</v>
      </c>
      <c r="B11401" s="4">
        <v>232556</v>
      </c>
      <c r="D11401" s="5" t="s">
        <v>14361</v>
      </c>
      <c r="E11401" s="6" t="str">
        <f>HYPERLINK("https://inpn.mnhn.fr/espece/cd_nom/232556","Oxyethira falcata Morton, 1893")</f>
        <v>Oxyethira falcata Morton, 1893</v>
      </c>
      <c r="AH11401" s="4" t="str">
        <f>HYPERLINK("#Statut_biogéographique!A"&amp;_xlfn.XMATCH("P",Statut_biogéographique!A:A,2,1),"P")</f>
        <v>P</v>
      </c>
      <c r="AP11401" s="4" t="s">
        <v>376</v>
      </c>
      <c r="AR11401" s="4" t="s">
        <v>377</v>
      </c>
    </row>
    <row r="11402" spans="1:44">
      <c r="A11402" s="4" t="s">
        <v>10753</v>
      </c>
      <c r="B11402" s="4">
        <v>232557</v>
      </c>
      <c r="D11402" s="5" t="s">
        <v>14362</v>
      </c>
      <c r="E11402" s="6" t="str">
        <f>HYPERLINK("https://inpn.mnhn.fr/espece/cd_nom/232557","Oxyethira flavicornis (Pictet, 1834)")</f>
        <v>Oxyethira flavicornis (Pictet, 1834)</v>
      </c>
      <c r="AH11402" s="4" t="str">
        <f>HYPERLINK("#Statut_biogéographique!A"&amp;_xlfn.XMATCH("P",Statut_biogéographique!A:A,2,1),"P")</f>
        <v>P</v>
      </c>
      <c r="AP11402" s="4" t="s">
        <v>376</v>
      </c>
      <c r="AR11402" s="4" t="s">
        <v>377</v>
      </c>
    </row>
    <row r="11403" spans="1:44">
      <c r="A11403" s="4" t="s">
        <v>10753</v>
      </c>
      <c r="B11403" s="4">
        <v>23256</v>
      </c>
      <c r="D11403" s="5" t="s">
        <v>14363</v>
      </c>
      <c r="E11403" s="6" t="str">
        <f>HYPERLINK("https://inpn.mnhn.fr/espece/cd_nom/23256","Platypalpus ciliaris (Fallén, 1816)")</f>
        <v>Platypalpus ciliaris (Fallén, 1816)</v>
      </c>
      <c r="AH11403" s="4" t="str">
        <f>HYPERLINK("#Statut_biogéographique!A"&amp;_xlfn.XMATCH("P",Statut_biogéographique!A:A,2,1),"P")</f>
        <v>P</v>
      </c>
      <c r="AP11403" s="4" t="s">
        <v>376</v>
      </c>
      <c r="AR11403" s="4" t="s">
        <v>377</v>
      </c>
    </row>
    <row r="11404" spans="1:44">
      <c r="A11404" s="4" t="s">
        <v>10753</v>
      </c>
      <c r="B11404" s="4">
        <v>232564</v>
      </c>
      <c r="D11404" s="5" t="s">
        <v>14364</v>
      </c>
      <c r="E11404" s="6" t="str">
        <f>HYPERLINK("https://inpn.mnhn.fr/espece/cd_nom/232564","Chimarra marginata (Linnaeus, 1767)")</f>
        <v>Chimarra marginata (Linnaeus, 1767)</v>
      </c>
      <c r="AH11404" s="4" t="str">
        <f>HYPERLINK("#Statut_biogéographique!A"&amp;_xlfn.XMATCH("P",Statut_biogéographique!A:A,2,1),"P")</f>
        <v>P</v>
      </c>
      <c r="AP11404" s="4" t="s">
        <v>376</v>
      </c>
      <c r="AR11404" s="4" t="s">
        <v>377</v>
      </c>
    </row>
    <row r="11405" spans="1:44">
      <c r="A11405" s="4" t="s">
        <v>10753</v>
      </c>
      <c r="B11405" s="4">
        <v>232566</v>
      </c>
      <c r="D11405" s="5">
        <v>232566</v>
      </c>
      <c r="E11405" s="6" t="str">
        <f>HYPERLINK("https://inpn.mnhn.fr/espece/cd_nom/232566","Philopotamus ludificatus McLachlan, 1878")</f>
        <v>Philopotamus ludificatus McLachlan, 1878</v>
      </c>
      <c r="AH11405" s="4" t="str">
        <f>HYPERLINK("#Statut_biogéographique!A"&amp;_xlfn.XMATCH("P",Statut_biogéographique!A:A,2,1),"P")</f>
        <v>P</v>
      </c>
      <c r="AP11405" s="4" t="s">
        <v>376</v>
      </c>
      <c r="AR11405" s="4" t="s">
        <v>377</v>
      </c>
    </row>
    <row r="11406" spans="1:44">
      <c r="A11406" s="4" t="s">
        <v>10753</v>
      </c>
      <c r="B11406" s="4">
        <v>23257</v>
      </c>
      <c r="D11406" s="5" t="s">
        <v>14365</v>
      </c>
      <c r="E11406" s="6" t="str">
        <f>HYPERLINK("https://inpn.mnhn.fr/espece/cd_nom/23257","Platypalpus clarandus (Collin, 1926)")</f>
        <v>Platypalpus clarandus (Collin, 1926)</v>
      </c>
      <c r="AH11406" s="4" t="str">
        <f>HYPERLINK("#Statut_biogéographique!A"&amp;_xlfn.XMATCH("P",Statut_biogéographique!A:A,2,1),"P")</f>
        <v>P</v>
      </c>
      <c r="AP11406" s="4" t="s">
        <v>376</v>
      </c>
      <c r="AR11406" s="4" t="s">
        <v>377</v>
      </c>
    </row>
    <row r="11407" spans="1:44">
      <c r="A11407" s="4" t="s">
        <v>10753</v>
      </c>
      <c r="B11407" s="4">
        <v>232575</v>
      </c>
      <c r="D11407" s="5">
        <v>232575</v>
      </c>
      <c r="E11407" s="6" t="str">
        <f>HYPERLINK("https://inpn.mnhn.fr/espece/cd_nom/232575","Wormaldia triangulifera McLachlan, 1878")</f>
        <v>Wormaldia triangulifera McLachlan, 1878</v>
      </c>
      <c r="AH11407" s="4" t="str">
        <f>HYPERLINK("#Statut_biogéographique!A"&amp;_xlfn.XMATCH("P",Statut_biogéographique!A:A,2,1),"P")</f>
        <v>P</v>
      </c>
      <c r="AP11407" s="4" t="s">
        <v>376</v>
      </c>
      <c r="AR11407" s="4" t="s">
        <v>377</v>
      </c>
    </row>
    <row r="11408" spans="1:44">
      <c r="A11408" s="4" t="s">
        <v>10753</v>
      </c>
      <c r="B11408" s="4">
        <v>232578</v>
      </c>
      <c r="D11408" s="5">
        <v>232578</v>
      </c>
      <c r="E11408" s="6" t="str">
        <f>HYPERLINK("https://inpn.mnhn.fr/espece/cd_nom/232578","Cyrnus cintranus McLachlan, 1884")</f>
        <v>Cyrnus cintranus McLachlan, 1884</v>
      </c>
      <c r="AH11408" s="4" t="str">
        <f>HYPERLINK("#Statut_biogéographique!A"&amp;_xlfn.XMATCH("P",Statut_biogéographique!A:A,2,1),"P")</f>
        <v>P</v>
      </c>
      <c r="AP11408" s="4" t="s">
        <v>376</v>
      </c>
      <c r="AR11408" s="4" t="s">
        <v>377</v>
      </c>
    </row>
    <row r="11409" spans="1:44">
      <c r="A11409" s="4" t="s">
        <v>10753</v>
      </c>
      <c r="B11409" s="4">
        <v>23258</v>
      </c>
      <c r="D11409" s="5">
        <v>23258</v>
      </c>
      <c r="E11409" s="6" t="str">
        <f>HYPERLINK("https://inpn.mnhn.fr/espece/cd_nom/23258","Platypalpus cothurnatus Macquart, 1827")</f>
        <v>Platypalpus cothurnatus Macquart, 1827</v>
      </c>
      <c r="AH11409" s="4" t="str">
        <f>HYPERLINK("#Statut_biogéographique!A"&amp;_xlfn.XMATCH("P",Statut_biogéographique!A:A,2,1),"P")</f>
        <v>P</v>
      </c>
      <c r="AP11409" s="4" t="s">
        <v>376</v>
      </c>
      <c r="AR11409" s="4" t="s">
        <v>377</v>
      </c>
    </row>
    <row r="11410" spans="1:44" ht="30">
      <c r="A11410" s="4" t="s">
        <v>10753</v>
      </c>
      <c r="B11410" s="4">
        <v>232581</v>
      </c>
      <c r="D11410" s="5" t="s">
        <v>14366</v>
      </c>
      <c r="E11410" s="6" t="str">
        <f>HYPERLINK("https://inpn.mnhn.fr/espece/cd_nom/232581","Neureclipsis bimaculata (Linnaeus, 1758)")</f>
        <v>Neureclipsis bimaculata (Linnaeus, 1758)</v>
      </c>
      <c r="AH11410" s="4" t="str">
        <f>HYPERLINK("#Statut_biogéographique!A"&amp;_xlfn.XMATCH("P",Statut_biogéographique!A:A,2,1),"P")</f>
        <v>P</v>
      </c>
      <c r="AP11410" s="4" t="s">
        <v>376</v>
      </c>
      <c r="AR11410" s="4" t="s">
        <v>377</v>
      </c>
    </row>
    <row r="11411" spans="1:44">
      <c r="A11411" s="4" t="s">
        <v>10753</v>
      </c>
      <c r="B11411" s="4">
        <v>232583</v>
      </c>
      <c r="D11411" s="5">
        <v>232583</v>
      </c>
      <c r="E11411" s="6" t="str">
        <f>HYPERLINK("https://inpn.mnhn.fr/espece/cd_nom/232583","Plectrocnemia laetabilis McLachlan, 1880")</f>
        <v>Plectrocnemia laetabilis McLachlan, 1880</v>
      </c>
      <c r="AH11411" s="4" t="str">
        <f>HYPERLINK("#Statut_biogéographique!A"&amp;_xlfn.XMATCH("P",Statut_biogéographique!A:A,2,1),"P")</f>
        <v>P</v>
      </c>
      <c r="AP11411" s="4" t="s">
        <v>376</v>
      </c>
      <c r="AR11411" s="4" t="s">
        <v>377</v>
      </c>
    </row>
    <row r="11412" spans="1:44">
      <c r="A11412" s="4" t="s">
        <v>10753</v>
      </c>
      <c r="B11412" s="4">
        <v>232590</v>
      </c>
      <c r="D11412" s="5">
        <v>232590</v>
      </c>
      <c r="E11412" s="6" t="str">
        <f>HYPERLINK("https://inpn.mnhn.fr/espece/cd_nom/232590","Polycentropus irroratus Curtis, 1835")</f>
        <v>Polycentropus irroratus Curtis, 1835</v>
      </c>
      <c r="AH11412" s="4" t="str">
        <f>HYPERLINK("#Statut_biogéographique!A"&amp;_xlfn.XMATCH("P",Statut_biogéographique!A:A,2,1),"P")</f>
        <v>P</v>
      </c>
      <c r="AP11412" s="4" t="s">
        <v>376</v>
      </c>
      <c r="AR11412" s="4" t="s">
        <v>377</v>
      </c>
    </row>
    <row r="11413" spans="1:44">
      <c r="A11413" s="4" t="s">
        <v>10753</v>
      </c>
      <c r="B11413" s="4">
        <v>232591</v>
      </c>
      <c r="D11413" s="5">
        <v>232591</v>
      </c>
      <c r="E11413" s="6" t="str">
        <f>HYPERLINK("https://inpn.mnhn.fr/espece/cd_nom/232591","Polycentropus kingi McLachlan, 1881")</f>
        <v>Polycentropus kingi McLachlan, 1881</v>
      </c>
      <c r="AH11413" s="4" t="str">
        <f>HYPERLINK("#Statut_biogéographique!A"&amp;_xlfn.XMATCH("P",Statut_biogéographique!A:A,2,1),"P")</f>
        <v>P</v>
      </c>
      <c r="AP11413" s="4" t="s">
        <v>376</v>
      </c>
      <c r="AR11413" s="4" t="s">
        <v>377</v>
      </c>
    </row>
    <row r="11414" spans="1:44">
      <c r="A11414" s="4" t="s">
        <v>10753</v>
      </c>
      <c r="B11414" s="4">
        <v>232595</v>
      </c>
      <c r="D11414" s="5">
        <v>232595</v>
      </c>
      <c r="E11414" s="6" t="str">
        <f>HYPERLINK("https://inpn.mnhn.fr/espece/cd_nom/232595","Lype auripilis McLachlan, 1884")</f>
        <v>Lype auripilis McLachlan, 1884</v>
      </c>
      <c r="AH11414" s="4" t="str">
        <f>HYPERLINK("#Statut_biogéographique!A"&amp;_xlfn.XMATCH("P",Statut_biogéographique!A:A,2,1),"P")</f>
        <v>P</v>
      </c>
      <c r="AP11414" s="4" t="s">
        <v>376</v>
      </c>
      <c r="AR11414" s="4" t="s">
        <v>377</v>
      </c>
    </row>
    <row r="11415" spans="1:44" ht="30">
      <c r="A11415" s="4" t="s">
        <v>10753</v>
      </c>
      <c r="B11415" s="4">
        <v>232596</v>
      </c>
      <c r="D11415" s="5" t="s">
        <v>14367</v>
      </c>
      <c r="E11415" s="6" t="str">
        <f>HYPERLINK("https://inpn.mnhn.fr/espece/cd_nom/232596","Lype phaeopa (Stephens, 1836)")</f>
        <v>Lype phaeopa (Stephens, 1836)</v>
      </c>
      <c r="AH11415" s="4" t="str">
        <f>HYPERLINK("#Statut_biogéographique!A"&amp;_xlfn.XMATCH("P",Statut_biogéographique!A:A,2,1),"P")</f>
        <v>P</v>
      </c>
      <c r="AP11415" s="4" t="s">
        <v>376</v>
      </c>
      <c r="AR11415" s="4" t="s">
        <v>377</v>
      </c>
    </row>
    <row r="11416" spans="1:44">
      <c r="A11416" s="4" t="s">
        <v>10753</v>
      </c>
      <c r="B11416" s="4">
        <v>232597</v>
      </c>
      <c r="D11416" s="5" t="s">
        <v>14368</v>
      </c>
      <c r="E11416" s="6" t="str">
        <f>HYPERLINK("https://inpn.mnhn.fr/espece/cd_nom/232597","Lype reducta (Hagen, 1868)")</f>
        <v>Lype reducta (Hagen, 1868)</v>
      </c>
      <c r="AH11416" s="4" t="str">
        <f>HYPERLINK("#Statut_biogéographique!A"&amp;_xlfn.XMATCH("P",Statut_biogéographique!A:A,2,1),"P")</f>
        <v>P</v>
      </c>
      <c r="AP11416" s="4" t="s">
        <v>376</v>
      </c>
      <c r="AR11416" s="4" t="s">
        <v>377</v>
      </c>
    </row>
    <row r="11417" spans="1:44">
      <c r="A11417" s="4" t="s">
        <v>10753</v>
      </c>
      <c r="B11417" s="4">
        <v>23260</v>
      </c>
      <c r="D11417" s="5" t="s">
        <v>14369</v>
      </c>
      <c r="E11417" s="6" t="str">
        <f>HYPERLINK("https://inpn.mnhn.fr/espece/cd_nom/23260","Platypalpus cruralis (Collin, 1961)")</f>
        <v>Platypalpus cruralis (Collin, 1961)</v>
      </c>
      <c r="AH11417" s="4" t="str">
        <f>HYPERLINK("#Statut_biogéographique!A"&amp;_xlfn.XMATCH("P",Statut_biogéographique!A:A,2,1),"P")</f>
        <v>P</v>
      </c>
      <c r="AP11417" s="4" t="s">
        <v>376</v>
      </c>
      <c r="AR11417" s="4" t="s">
        <v>377</v>
      </c>
    </row>
    <row r="11418" spans="1:44">
      <c r="A11418" s="4" t="s">
        <v>10753</v>
      </c>
      <c r="B11418" s="4">
        <v>232600</v>
      </c>
      <c r="D11418" s="5">
        <v>232600</v>
      </c>
      <c r="E11418" s="6" t="str">
        <f>HYPERLINK("https://inpn.mnhn.fr/espece/cd_nom/232600","Tinodes assimilis McLachlan, 1865")</f>
        <v>Tinodes assimilis McLachlan, 1865</v>
      </c>
      <c r="AH11418" s="4" t="str">
        <f>HYPERLINK("#Statut_biogéographique!A"&amp;_xlfn.XMATCH("P",Statut_biogéographique!A:A,2,1),"P")</f>
        <v>P</v>
      </c>
      <c r="AP11418" s="4" t="s">
        <v>376</v>
      </c>
      <c r="AR11418" s="4" t="s">
        <v>377</v>
      </c>
    </row>
    <row r="11419" spans="1:44">
      <c r="A11419" s="4" t="s">
        <v>10753</v>
      </c>
      <c r="B11419" s="4">
        <v>232605</v>
      </c>
      <c r="D11419" s="5" t="s">
        <v>14370</v>
      </c>
      <c r="E11419" s="6" t="str">
        <f>HYPERLINK("https://inpn.mnhn.fr/espece/cd_nom/232605","Tinodes maculicornis (Pictet, 1834)")</f>
        <v>Tinodes maculicornis (Pictet, 1834)</v>
      </c>
      <c r="AH11419" s="4" t="str">
        <f>HYPERLINK("#Statut_biogéographique!A"&amp;_xlfn.XMATCH("P",Statut_biogéographique!A:A,2,1),"P")</f>
        <v>P</v>
      </c>
      <c r="AP11419" s="4" t="s">
        <v>376</v>
      </c>
      <c r="AR11419" s="4" t="s">
        <v>377</v>
      </c>
    </row>
    <row r="11420" spans="1:44">
      <c r="A11420" s="4" t="s">
        <v>10753</v>
      </c>
      <c r="B11420" s="4">
        <v>232607</v>
      </c>
      <c r="D11420" s="5">
        <v>232607</v>
      </c>
      <c r="E11420" s="6" t="str">
        <f>HYPERLINK("https://inpn.mnhn.fr/espece/cd_nom/232607","Tinodes rostocki McLachlan, 1878")</f>
        <v>Tinodes rostocki McLachlan, 1878</v>
      </c>
      <c r="AH11420" s="4" t="str">
        <f>HYPERLINK("#Statut_biogéographique!A"&amp;_xlfn.XMATCH("P",Statut_biogéographique!A:A,2,1),"P")</f>
        <v>P</v>
      </c>
      <c r="AP11420" s="4" t="s">
        <v>376</v>
      </c>
      <c r="AR11420" s="4" t="s">
        <v>377</v>
      </c>
    </row>
    <row r="11421" spans="1:44">
      <c r="A11421" s="4" t="s">
        <v>10753</v>
      </c>
      <c r="B11421" s="4">
        <v>23261</v>
      </c>
      <c r="D11421" s="5" t="s">
        <v>14371</v>
      </c>
      <c r="E11421" s="6" t="str">
        <f>HYPERLINK("https://inpn.mnhn.fr/espece/cd_nom/23261","Platypalpus cursitans (Fabricius, 1775)")</f>
        <v>Platypalpus cursitans (Fabricius, 1775)</v>
      </c>
      <c r="AH11421" s="4" t="str">
        <f>HYPERLINK("#Statut_biogéographique!A"&amp;_xlfn.XMATCH("P",Statut_biogéographique!A:A,2,1),"P")</f>
        <v>P</v>
      </c>
      <c r="AP11421" s="4" t="s">
        <v>376</v>
      </c>
      <c r="AR11421" s="4" t="s">
        <v>377</v>
      </c>
    </row>
    <row r="11422" spans="1:44">
      <c r="A11422" s="4" t="s">
        <v>10753</v>
      </c>
      <c r="B11422" s="4">
        <v>232612</v>
      </c>
      <c r="D11422" s="5" t="s">
        <v>14372</v>
      </c>
      <c r="E11422" s="6" t="str">
        <f>HYPERLINK("https://inpn.mnhn.fr/espece/cd_nom/232612","Diplectrona felix McLachlan, 1878")</f>
        <v>Diplectrona felix McLachlan, 1878</v>
      </c>
      <c r="AH11422" s="4" t="str">
        <f>HYPERLINK("#Statut_biogéographique!A"&amp;_xlfn.XMATCH("P",Statut_biogéographique!A:A,2,1),"P")</f>
        <v>P</v>
      </c>
      <c r="AP11422" s="4" t="s">
        <v>376</v>
      </c>
      <c r="AR11422" s="4" t="s">
        <v>377</v>
      </c>
    </row>
    <row r="11423" spans="1:44" ht="30">
      <c r="A11423" s="4" t="s">
        <v>10753</v>
      </c>
      <c r="B11423" s="4">
        <v>232615</v>
      </c>
      <c r="D11423" s="5" t="s">
        <v>14373</v>
      </c>
      <c r="E11423" s="6" t="str">
        <f>HYPERLINK("https://inpn.mnhn.fr/espece/cd_nom/232615","Hydropsyche angustipennis (Curtis, 1834)")</f>
        <v>Hydropsyche angustipennis (Curtis, 1834)</v>
      </c>
      <c r="AH11423" s="4" t="str">
        <f>HYPERLINK("#Statut_biogéographique!A"&amp;_xlfn.XMATCH("P",Statut_biogéographique!A:A,2,1),"P")</f>
        <v>P</v>
      </c>
      <c r="AP11423" s="4" t="s">
        <v>376</v>
      </c>
      <c r="AR11423" s="4" t="s">
        <v>377</v>
      </c>
    </row>
    <row r="11424" spans="1:44">
      <c r="A11424" s="4" t="s">
        <v>10753</v>
      </c>
      <c r="B11424" s="4">
        <v>232619</v>
      </c>
      <c r="D11424" s="5">
        <v>232619</v>
      </c>
      <c r="E11424" s="6" t="str">
        <f>HYPERLINK("https://inpn.mnhn.fr/espece/cd_nom/232619","Hydropsyche contubernalis McLachlan, 1865")</f>
        <v>Hydropsyche contubernalis McLachlan, 1865</v>
      </c>
      <c r="AH11424" s="4" t="str">
        <f>HYPERLINK("#Statut_biogéographique!A"&amp;_xlfn.XMATCH("P",Statut_biogéographique!A:A,2,1),"P")</f>
        <v>P</v>
      </c>
      <c r="AP11424" s="4" t="s">
        <v>376</v>
      </c>
      <c r="AR11424" s="4" t="s">
        <v>377</v>
      </c>
    </row>
    <row r="11425" spans="1:44" ht="30">
      <c r="A11425" s="4" t="s">
        <v>10753</v>
      </c>
      <c r="B11425" s="4">
        <v>232621</v>
      </c>
      <c r="D11425" s="5" t="s">
        <v>14374</v>
      </c>
      <c r="E11425" s="6" t="str">
        <f>HYPERLINK("https://inpn.mnhn.fr/espece/cd_nom/232621","Hydropsyche dinarica Marinković-Gospodnetić, 1979")</f>
        <v>Hydropsyche dinarica Marinković-Gospodnetić, 1979</v>
      </c>
      <c r="AH11425" s="4" t="str">
        <f>HYPERLINK("#Statut_biogéographique!A"&amp;_xlfn.XMATCH("P",Statut_biogéographique!A:A,2,1),"P")</f>
        <v>P</v>
      </c>
      <c r="AP11425" s="4" t="s">
        <v>376</v>
      </c>
      <c r="AR11425" s="4" t="s">
        <v>377</v>
      </c>
    </row>
    <row r="11426" spans="1:44">
      <c r="A11426" s="4" t="s">
        <v>10753</v>
      </c>
      <c r="B11426" s="4">
        <v>232623</v>
      </c>
      <c r="D11426" s="5" t="s">
        <v>14375</v>
      </c>
      <c r="E11426" s="6" t="str">
        <f>HYPERLINK("https://inpn.mnhn.fr/espece/cd_nom/232623","Hydropsyche exocellata Dufour, 1841")</f>
        <v>Hydropsyche exocellata Dufour, 1841</v>
      </c>
      <c r="AH11426" s="4" t="str">
        <f>HYPERLINK("#Statut_biogéographique!A"&amp;_xlfn.XMATCH("P",Statut_biogéographique!A:A,2,1),"P")</f>
        <v>P</v>
      </c>
      <c r="AP11426" s="4" t="s">
        <v>376</v>
      </c>
      <c r="AR11426" s="4" t="s">
        <v>377</v>
      </c>
    </row>
    <row r="11427" spans="1:44">
      <c r="A11427" s="4" t="s">
        <v>10753</v>
      </c>
      <c r="B11427" s="4">
        <v>232627</v>
      </c>
      <c r="D11427" s="5">
        <v>232627</v>
      </c>
      <c r="E11427" s="6" t="str">
        <f>HYPERLINK("https://inpn.mnhn.fr/espece/cd_nom/232627","Hydropsyche incognita Pitsch, 1993")</f>
        <v>Hydropsyche incognita Pitsch, 1993</v>
      </c>
      <c r="AH11427" s="4" t="str">
        <f>HYPERLINK("#Statut_biogéographique!A"&amp;_xlfn.XMATCH("P",Statut_biogéographique!A:A,2,1),"P")</f>
        <v>P</v>
      </c>
      <c r="AP11427" s="4" t="s">
        <v>376</v>
      </c>
      <c r="AR11427" s="4" t="s">
        <v>377</v>
      </c>
    </row>
    <row r="11428" spans="1:44">
      <c r="A11428" s="4" t="s">
        <v>10753</v>
      </c>
      <c r="B11428" s="4">
        <v>232631</v>
      </c>
      <c r="D11428" s="5" t="s">
        <v>14376</v>
      </c>
      <c r="E11428" s="6" t="str">
        <f>HYPERLINK("https://inpn.mnhn.fr/espece/cd_nom/232631","Agrypnia varia (Fabricius, 1793)")</f>
        <v>Agrypnia varia (Fabricius, 1793)</v>
      </c>
      <c r="AH11428" s="4" t="str">
        <f>HYPERLINK("#Statut_biogéographique!A"&amp;_xlfn.XMATCH("P",Statut_biogéographique!A:A,2,1),"P")</f>
        <v>P</v>
      </c>
      <c r="AP11428" s="4" t="s">
        <v>376</v>
      </c>
      <c r="AR11428" s="4" t="s">
        <v>377</v>
      </c>
    </row>
    <row r="11429" spans="1:44">
      <c r="A11429" s="4" t="s">
        <v>10753</v>
      </c>
      <c r="B11429" s="4">
        <v>232632</v>
      </c>
      <c r="D11429" s="5" t="s">
        <v>14377</v>
      </c>
      <c r="E11429" s="6" t="str">
        <f>HYPERLINK("https://inpn.mnhn.fr/espece/cd_nom/232632","Hagenella clathrata (Kolenati, 1848)")</f>
        <v>Hagenella clathrata (Kolenati, 1848)</v>
      </c>
      <c r="AH11429" s="4" t="str">
        <f>HYPERLINK("#Statut_biogéographique!A"&amp;_xlfn.XMATCH("P",Statut_biogéographique!A:A,2,1),"P")</f>
        <v>P</v>
      </c>
      <c r="AP11429" s="4" t="s">
        <v>376</v>
      </c>
      <c r="AR11429" s="4" t="s">
        <v>377</v>
      </c>
    </row>
    <row r="11430" spans="1:44">
      <c r="A11430" s="4" t="s">
        <v>10753</v>
      </c>
      <c r="B11430" s="4">
        <v>232633</v>
      </c>
      <c r="D11430" s="5" t="s">
        <v>14378</v>
      </c>
      <c r="E11430" s="6" t="str">
        <f>HYPERLINK("https://inpn.mnhn.fr/espece/cd_nom/232633","Oligostomis reticulata (Linnaeus, 1761)")</f>
        <v>Oligostomis reticulata (Linnaeus, 1761)</v>
      </c>
      <c r="AH11430" s="4" t="str">
        <f>HYPERLINK("#Statut_biogéographique!A"&amp;_xlfn.XMATCH("P",Statut_biogéographique!A:A,2,1),"P")</f>
        <v>P</v>
      </c>
      <c r="AP11430" s="4" t="s">
        <v>376</v>
      </c>
      <c r="AR11430" s="4" t="s">
        <v>377</v>
      </c>
    </row>
    <row r="11431" spans="1:44" ht="30">
      <c r="A11431" s="4" t="s">
        <v>10753</v>
      </c>
      <c r="B11431" s="4">
        <v>232634</v>
      </c>
      <c r="D11431" s="5" t="s">
        <v>14379</v>
      </c>
      <c r="E11431" s="6" t="str">
        <f>HYPERLINK("https://inpn.mnhn.fr/espece/cd_nom/232634","Oligotricha striata (Linnaeus, 1758)")</f>
        <v>Oligotricha striata (Linnaeus, 1758)</v>
      </c>
      <c r="F11431" s="5" t="s">
        <v>14380</v>
      </c>
      <c r="AH11431" s="4" t="str">
        <f>HYPERLINK("#Statut_biogéographique!A"&amp;_xlfn.XMATCH("P",Statut_biogéographique!A:A,2,1),"P")</f>
        <v>P</v>
      </c>
      <c r="AP11431" s="4" t="s">
        <v>376</v>
      </c>
      <c r="AR11431" s="4" t="s">
        <v>377</v>
      </c>
    </row>
    <row r="11432" spans="1:44">
      <c r="A11432" s="4" t="s">
        <v>10753</v>
      </c>
      <c r="B11432" s="4">
        <v>232635</v>
      </c>
      <c r="D11432" s="5" t="s">
        <v>14381</v>
      </c>
      <c r="E11432" s="6" t="str">
        <f>HYPERLINK("https://inpn.mnhn.fr/espece/cd_nom/232635","Phryganea bipunctata Retzius, 1783")</f>
        <v>Phryganea bipunctata Retzius, 1783</v>
      </c>
      <c r="AH11432" s="4" t="str">
        <f>HYPERLINK("#Statut_biogéographique!A"&amp;_xlfn.XMATCH("P",Statut_biogéographique!A:A,2,1),"P")</f>
        <v>P</v>
      </c>
      <c r="AP11432" s="4" t="s">
        <v>376</v>
      </c>
      <c r="AR11432" s="4" t="s">
        <v>377</v>
      </c>
    </row>
    <row r="11433" spans="1:44">
      <c r="A11433" s="4" t="s">
        <v>10753</v>
      </c>
      <c r="B11433" s="4">
        <v>232636</v>
      </c>
      <c r="D11433" s="5" t="s">
        <v>14382</v>
      </c>
      <c r="E11433" s="6" t="str">
        <f>HYPERLINK("https://inpn.mnhn.fr/espece/cd_nom/232636","Trichostegia minor (Curtis, 1834)")</f>
        <v>Trichostegia minor (Curtis, 1834)</v>
      </c>
      <c r="AH11433" s="4" t="str">
        <f>HYPERLINK("#Statut_biogéographique!A"&amp;_xlfn.XMATCH("P",Statut_biogéographique!A:A,2,1),"P")</f>
        <v>P</v>
      </c>
      <c r="AP11433" s="4" t="s">
        <v>376</v>
      </c>
      <c r="AR11433" s="4" t="s">
        <v>377</v>
      </c>
    </row>
    <row r="11434" spans="1:44" ht="30">
      <c r="A11434" s="4" t="s">
        <v>10753</v>
      </c>
      <c r="B11434" s="4">
        <v>232637</v>
      </c>
      <c r="D11434" s="5" t="s">
        <v>14383</v>
      </c>
      <c r="E11434" s="6" t="str">
        <f>HYPERLINK("https://inpn.mnhn.fr/espece/cd_nom/232637","Brachycentrus maculatus (Geoffroy in Fourcroy, 1785)")</f>
        <v>Brachycentrus maculatus (Geoffroy in Fourcroy, 1785)</v>
      </c>
      <c r="F11434" s="5" t="s">
        <v>14384</v>
      </c>
      <c r="AH11434" s="4" t="str">
        <f>HYPERLINK("#Statut_biogéographique!A"&amp;_xlfn.XMATCH("P",Statut_biogéographique!A:A,2,1),"P")</f>
        <v>P</v>
      </c>
      <c r="AP11434" s="4" t="s">
        <v>376</v>
      </c>
      <c r="AR11434" s="4" t="s">
        <v>377</v>
      </c>
    </row>
    <row r="11435" spans="1:44" ht="30">
      <c r="A11435" s="4" t="s">
        <v>10753</v>
      </c>
      <c r="B11435" s="4">
        <v>232638</v>
      </c>
      <c r="D11435" s="5" t="s">
        <v>14385</v>
      </c>
      <c r="E11435" s="6" t="str">
        <f>HYPERLINK("https://inpn.mnhn.fr/espece/cd_nom/232638","Brachycentrus subnubilus Curtis, 1834")</f>
        <v>Brachycentrus subnubilus Curtis, 1834</v>
      </c>
      <c r="AH11435" s="4" t="str">
        <f>HYPERLINK("#Statut_biogéographique!A"&amp;_xlfn.XMATCH("P",Statut_biogéographique!A:A,2,1),"P")</f>
        <v>P</v>
      </c>
      <c r="AP11435" s="4" t="s">
        <v>376</v>
      </c>
      <c r="AR11435" s="4" t="s">
        <v>377</v>
      </c>
    </row>
    <row r="11436" spans="1:44">
      <c r="A11436" s="4" t="s">
        <v>10753</v>
      </c>
      <c r="B11436" s="4">
        <v>232640</v>
      </c>
      <c r="D11436" s="5">
        <v>232640</v>
      </c>
      <c r="E11436" s="6" t="str">
        <f>HYPERLINK("https://inpn.mnhn.fr/espece/cd_nom/232640","Micrasema longulum McLachlan, 1876")</f>
        <v>Micrasema longulum McLachlan, 1876</v>
      </c>
      <c r="AH11436" s="4" t="str">
        <f>HYPERLINK("#Statut_biogéographique!A"&amp;_xlfn.XMATCH("P",Statut_biogéographique!A:A,2,1),"P")</f>
        <v>P</v>
      </c>
      <c r="AP11436" s="4" t="s">
        <v>376</v>
      </c>
      <c r="AR11436" s="4" t="s">
        <v>377</v>
      </c>
    </row>
    <row r="11437" spans="1:44">
      <c r="A11437" s="4" t="s">
        <v>10753</v>
      </c>
      <c r="B11437" s="4">
        <v>232641</v>
      </c>
      <c r="D11437" s="5" t="s">
        <v>14386</v>
      </c>
      <c r="E11437" s="6" t="str">
        <f>HYPERLINK("https://inpn.mnhn.fr/espece/cd_nom/232641","Micrasema minimum McLachlan, 1876")</f>
        <v>Micrasema minimum McLachlan, 1876</v>
      </c>
      <c r="AH11437" s="4" t="str">
        <f>HYPERLINK("#Statut_biogéographique!A"&amp;_xlfn.XMATCH("P",Statut_biogéographique!A:A,2,1),"P")</f>
        <v>P</v>
      </c>
      <c r="AP11437" s="4" t="s">
        <v>376</v>
      </c>
      <c r="AR11437" s="4" t="s">
        <v>377</v>
      </c>
    </row>
    <row r="11438" spans="1:44">
      <c r="A11438" s="4" t="s">
        <v>10753</v>
      </c>
      <c r="B11438" s="4">
        <v>232642</v>
      </c>
      <c r="D11438" s="5" t="s">
        <v>14387</v>
      </c>
      <c r="E11438" s="6" t="str">
        <f>HYPERLINK("https://inpn.mnhn.fr/espece/cd_nom/232642","Micrasema moestum (Hagen, 1868)")</f>
        <v>Micrasema moestum (Hagen, 1868)</v>
      </c>
      <c r="AH11438" s="4" t="str">
        <f>HYPERLINK("#Statut_biogéographique!A"&amp;_xlfn.XMATCH("P",Statut_biogéographique!A:A,2,1),"P")</f>
        <v>P</v>
      </c>
      <c r="AP11438" s="4" t="s">
        <v>376</v>
      </c>
      <c r="AR11438" s="4" t="s">
        <v>377</v>
      </c>
    </row>
    <row r="11439" spans="1:44">
      <c r="A11439" s="4" t="s">
        <v>10753</v>
      </c>
      <c r="B11439" s="4">
        <v>232644</v>
      </c>
      <c r="D11439" s="5" t="s">
        <v>14388</v>
      </c>
      <c r="E11439" s="6" t="str">
        <f>HYPERLINK("https://inpn.mnhn.fr/espece/cd_nom/232644","Micrasema setiferum (Pictet, 1834)")</f>
        <v>Micrasema setiferum (Pictet, 1834)</v>
      </c>
      <c r="AH11439" s="4" t="str">
        <f>HYPERLINK("#Statut_biogéographique!A"&amp;_xlfn.XMATCH("P",Statut_biogéographique!A:A,2,1),"P")</f>
        <v>P</v>
      </c>
      <c r="AP11439" s="4" t="s">
        <v>376</v>
      </c>
      <c r="AR11439" s="4" t="s">
        <v>377</v>
      </c>
    </row>
    <row r="11440" spans="1:44">
      <c r="A11440" s="4" t="s">
        <v>10753</v>
      </c>
      <c r="B11440" s="4">
        <v>232645</v>
      </c>
      <c r="D11440" s="5" t="s">
        <v>14389</v>
      </c>
      <c r="E11440" s="6" t="str">
        <f>HYPERLINK("https://inpn.mnhn.fr/espece/cd_nom/232645","Lithax niger (Hagen, 1859)")</f>
        <v>Lithax niger (Hagen, 1859)</v>
      </c>
      <c r="AH11440" s="4" t="str">
        <f>HYPERLINK("#Statut_biogéographique!A"&amp;_xlfn.XMATCH("P",Statut_biogéographique!A:A,2,1),"P")</f>
        <v>P</v>
      </c>
      <c r="AP11440" s="4" t="s">
        <v>376</v>
      </c>
      <c r="AR11440" s="4" t="s">
        <v>377</v>
      </c>
    </row>
    <row r="11441" spans="1:44">
      <c r="A11441" s="4" t="s">
        <v>10753</v>
      </c>
      <c r="B11441" s="4">
        <v>232646</v>
      </c>
      <c r="D11441" s="5" t="s">
        <v>14390</v>
      </c>
      <c r="E11441" s="6" t="str">
        <f>HYPERLINK("https://inpn.mnhn.fr/espece/cd_nom/232646","Silo graellsii Pictet, 1865")</f>
        <v>Silo graellsii Pictet, 1865</v>
      </c>
      <c r="AH11441" s="4" t="str">
        <f>HYPERLINK("#Statut_biogéographique!A"&amp;_xlfn.XMATCH("P",Statut_biogéographique!A:A,2,1),"P")</f>
        <v>P</v>
      </c>
      <c r="AP11441" s="4" t="s">
        <v>376</v>
      </c>
      <c r="AR11441" s="4" t="s">
        <v>377</v>
      </c>
    </row>
    <row r="11442" spans="1:44" ht="30">
      <c r="A11442" s="4" t="s">
        <v>10753</v>
      </c>
      <c r="B11442" s="4">
        <v>232647</v>
      </c>
      <c r="D11442" s="5" t="s">
        <v>14391</v>
      </c>
      <c r="E11442" s="6" t="str">
        <f>HYPERLINK("https://inpn.mnhn.fr/espece/cd_nom/232647","Silo pallipes (Fabricius, 1781)")</f>
        <v>Silo pallipes (Fabricius, 1781)</v>
      </c>
      <c r="AH11442" s="4" t="str">
        <f>HYPERLINK("#Statut_biogéographique!A"&amp;_xlfn.XMATCH("P",Statut_biogéographique!A:A,2,1),"P")</f>
        <v>P</v>
      </c>
      <c r="AP11442" s="4" t="s">
        <v>376</v>
      </c>
      <c r="AR11442" s="4" t="s">
        <v>377</v>
      </c>
    </row>
    <row r="11443" spans="1:44" ht="30">
      <c r="A11443" s="4" t="s">
        <v>10753</v>
      </c>
      <c r="B11443" s="4">
        <v>232648</v>
      </c>
      <c r="D11443" s="5" t="s">
        <v>14392</v>
      </c>
      <c r="E11443" s="6" t="str">
        <f>HYPERLINK("https://inpn.mnhn.fr/espece/cd_nom/232648","Silo piceus (Brauer, 1857)")</f>
        <v>Silo piceus (Brauer, 1857)</v>
      </c>
      <c r="AH11443" s="4" t="str">
        <f>HYPERLINK("#Statut_biogéographique!A"&amp;_xlfn.XMATCH("P",Statut_biogéographique!A:A,2,1),"P")</f>
        <v>P</v>
      </c>
      <c r="AP11443" s="4" t="s">
        <v>376</v>
      </c>
      <c r="AR11443" s="4" t="s">
        <v>377</v>
      </c>
    </row>
    <row r="11444" spans="1:44" ht="45">
      <c r="A11444" s="4" t="s">
        <v>10753</v>
      </c>
      <c r="B11444" s="4">
        <v>232650</v>
      </c>
      <c r="D11444" s="5" t="s">
        <v>14393</v>
      </c>
      <c r="E11444" s="6" t="str">
        <f>HYPERLINK("https://inpn.mnhn.fr/espece/cd_nom/232650","Lepidostoma hirtum (Fabricius, 1775)")</f>
        <v>Lepidostoma hirtum (Fabricius, 1775)</v>
      </c>
      <c r="AH11444" s="4" t="str">
        <f>HYPERLINK("#Statut_biogéographique!A"&amp;_xlfn.XMATCH("P",Statut_biogéographique!A:A,2,1),"P")</f>
        <v>P</v>
      </c>
      <c r="AP11444" s="4" t="s">
        <v>376</v>
      </c>
      <c r="AR11444" s="4" t="s">
        <v>377</v>
      </c>
    </row>
    <row r="11445" spans="1:44">
      <c r="A11445" s="4" t="s">
        <v>10753</v>
      </c>
      <c r="B11445" s="4">
        <v>232652</v>
      </c>
      <c r="D11445" s="5">
        <v>232652</v>
      </c>
      <c r="E11445" s="6" t="str">
        <f>HYPERLINK("https://inpn.mnhn.fr/espece/cd_nom/232652","Apatania eatoniana McLachlan, 1880")</f>
        <v>Apatania eatoniana McLachlan, 1880</v>
      </c>
      <c r="AH11445" s="4" t="str">
        <f>HYPERLINK("#Statut_biogéographique!A"&amp;_xlfn.XMATCH("P",Statut_biogéographique!A:A,2,1),"P")</f>
        <v>P</v>
      </c>
      <c r="AP11445" s="4" t="s">
        <v>376</v>
      </c>
      <c r="AR11445" s="4" t="s">
        <v>377</v>
      </c>
    </row>
    <row r="11446" spans="1:44">
      <c r="A11446" s="4" t="s">
        <v>10753</v>
      </c>
      <c r="B11446" s="4">
        <v>232659</v>
      </c>
      <c r="D11446" s="5" t="s">
        <v>14394</v>
      </c>
      <c r="E11446" s="6" t="str">
        <f>HYPERLINK("https://inpn.mnhn.fr/espece/cd_nom/232659","Allogamus ligonifer (McLachlan, 1876)")</f>
        <v>Allogamus ligonifer (McLachlan, 1876)</v>
      </c>
      <c r="AH11446" s="4" t="str">
        <f>HYPERLINK("#Statut_biogéographique!A"&amp;_xlfn.XMATCH("P",Statut_biogéographique!A:A,2,1),"P")</f>
        <v>P</v>
      </c>
      <c r="AP11446" s="4" t="s">
        <v>376</v>
      </c>
      <c r="AR11446" s="4" t="s">
        <v>377</v>
      </c>
    </row>
    <row r="11447" spans="1:44">
      <c r="A11447" s="4" t="s">
        <v>10753</v>
      </c>
      <c r="B11447" s="4">
        <v>23268</v>
      </c>
      <c r="D11447" s="5" t="s">
        <v>14395</v>
      </c>
      <c r="E11447" s="6" t="str">
        <f>HYPERLINK("https://inpn.mnhn.fr/espece/cd_nom/23268","Platypalpus exilis (Meigen, 1822)")</f>
        <v>Platypalpus exilis (Meigen, 1822)</v>
      </c>
      <c r="AH11447" s="4" t="str">
        <f>HYPERLINK("#Statut_biogéographique!A"&amp;_xlfn.XMATCH("P",Statut_biogéographique!A:A,2,1),"P")</f>
        <v>P</v>
      </c>
      <c r="AP11447" s="4" t="s">
        <v>376</v>
      </c>
      <c r="AR11447" s="4" t="s">
        <v>377</v>
      </c>
    </row>
    <row r="11448" spans="1:44">
      <c r="A11448" s="4" t="s">
        <v>10753</v>
      </c>
      <c r="B11448" s="4">
        <v>232684</v>
      </c>
      <c r="D11448" s="5" t="s">
        <v>14396</v>
      </c>
      <c r="E11448" s="6" t="str">
        <f>HYPERLINK("https://inpn.mnhn.fr/espece/cd_nom/232684","Enoicyla pusilla (Burmeister, 1839)")</f>
        <v>Enoicyla pusilla (Burmeister, 1839)</v>
      </c>
      <c r="AH11448" s="4" t="str">
        <f>HYPERLINK("#Statut_biogéographique!A"&amp;_xlfn.XMATCH("P",Statut_biogéographique!A:A,2,1),"P")</f>
        <v>P</v>
      </c>
      <c r="AP11448" s="4" t="s">
        <v>376</v>
      </c>
      <c r="AR11448" s="4" t="s">
        <v>377</v>
      </c>
    </row>
    <row r="11449" spans="1:44">
      <c r="A11449" s="4" t="s">
        <v>10753</v>
      </c>
      <c r="B11449" s="4">
        <v>232685</v>
      </c>
      <c r="D11449" s="5" t="s">
        <v>14397</v>
      </c>
      <c r="E11449" s="6" t="str">
        <f>HYPERLINK("https://inpn.mnhn.fr/espece/cd_nom/232685","Glyphotaelius pellucidus (Retzius, 1783)")</f>
        <v>Glyphotaelius pellucidus (Retzius, 1783)</v>
      </c>
      <c r="AH11449" s="4" t="str">
        <f>HYPERLINK("#Statut_biogéographique!A"&amp;_xlfn.XMATCH("P",Statut_biogéographique!A:A,2,1),"P")</f>
        <v>P</v>
      </c>
      <c r="AP11449" s="4" t="s">
        <v>376</v>
      </c>
      <c r="AR11449" s="4" t="s">
        <v>377</v>
      </c>
    </row>
    <row r="11450" spans="1:44" ht="30">
      <c r="A11450" s="4" t="s">
        <v>10753</v>
      </c>
      <c r="B11450" s="4">
        <v>232686</v>
      </c>
      <c r="D11450" s="5" t="s">
        <v>14398</v>
      </c>
      <c r="E11450" s="6" t="str">
        <f>HYPERLINK("https://inpn.mnhn.fr/espece/cd_nom/232686","Grammotaulius nigropunctatus (Retzius, 1783)")</f>
        <v>Grammotaulius nigropunctatus (Retzius, 1783)</v>
      </c>
      <c r="AH11450" s="4" t="str">
        <f>HYPERLINK("#Statut_biogéographique!A"&amp;_xlfn.XMATCH("P",Statut_biogéographique!A:A,2,1),"P")</f>
        <v>P</v>
      </c>
      <c r="AP11450" s="4" t="s">
        <v>376</v>
      </c>
      <c r="AR11450" s="4" t="s">
        <v>377</v>
      </c>
    </row>
    <row r="11451" spans="1:44">
      <c r="A11451" s="4" t="s">
        <v>10753</v>
      </c>
      <c r="B11451" s="4">
        <v>232688</v>
      </c>
      <c r="D11451" s="5" t="s">
        <v>14399</v>
      </c>
      <c r="E11451" s="6" t="str">
        <f>HYPERLINK("https://inpn.mnhn.fr/espece/cd_nom/232688","Halesus digitatus (Schrank, 1781)")</f>
        <v>Halesus digitatus (Schrank, 1781)</v>
      </c>
      <c r="AH11451" s="4" t="str">
        <f>HYPERLINK("#Statut_biogéographique!A"&amp;_xlfn.XMATCH("P",Statut_biogéographique!A:A,2,1),"P")</f>
        <v>P</v>
      </c>
      <c r="AP11451" s="4" t="s">
        <v>376</v>
      </c>
      <c r="AR11451" s="4" t="s">
        <v>377</v>
      </c>
    </row>
    <row r="11452" spans="1:44">
      <c r="A11452" s="4" t="s">
        <v>10753</v>
      </c>
      <c r="B11452" s="4">
        <v>232690</v>
      </c>
      <c r="D11452" s="5" t="s">
        <v>14400</v>
      </c>
      <c r="E11452" s="6" t="str">
        <f>HYPERLINK("https://inpn.mnhn.fr/espece/cd_nom/232690","Halesus tesselatus (Rambur, 1842)")</f>
        <v>Halesus tesselatus (Rambur, 1842)</v>
      </c>
      <c r="AH11452" s="4" t="str">
        <f>HYPERLINK("#Statut_biogéographique!A"&amp;_xlfn.XMATCH("P",Statut_biogéographique!A:A,2,1),"P")</f>
        <v>P</v>
      </c>
      <c r="AP11452" s="4" t="s">
        <v>376</v>
      </c>
      <c r="AR11452" s="4" t="s">
        <v>377</v>
      </c>
    </row>
    <row r="11453" spans="1:44">
      <c r="A11453" s="4" t="s">
        <v>10753</v>
      </c>
      <c r="B11453" s="4">
        <v>232691</v>
      </c>
      <c r="D11453" s="5" t="s">
        <v>14401</v>
      </c>
      <c r="E11453" s="6" t="str">
        <f>HYPERLINK("https://inpn.mnhn.fr/espece/cd_nom/232691","Hydatophylax infumatus (McLachlan, 1865)")</f>
        <v>Hydatophylax infumatus (McLachlan, 1865)</v>
      </c>
      <c r="AH11453" s="4" t="str">
        <f>HYPERLINK("#Statut_biogéographique!A"&amp;_xlfn.XMATCH("P",Statut_biogéographique!A:A,2,1),"P")</f>
        <v>P</v>
      </c>
      <c r="AP11453" s="4" t="s">
        <v>376</v>
      </c>
      <c r="AR11453" s="4" t="s">
        <v>377</v>
      </c>
    </row>
    <row r="11454" spans="1:44" ht="30">
      <c r="A11454" s="4" t="s">
        <v>10753</v>
      </c>
      <c r="B11454" s="4">
        <v>232692</v>
      </c>
      <c r="D11454" s="5" t="s">
        <v>14402</v>
      </c>
      <c r="E11454" s="6" t="str">
        <f>HYPERLINK("https://inpn.mnhn.fr/espece/cd_nom/232692","Limnephilus affinis Curtis, 1834")</f>
        <v>Limnephilus affinis Curtis, 1834</v>
      </c>
      <c r="AH11454" s="4" t="str">
        <f>HYPERLINK("#Statut_biogéographique!A"&amp;_xlfn.XMATCH("P",Statut_biogéographique!A:A,2,1),"P")</f>
        <v>P</v>
      </c>
      <c r="AP11454" s="4" t="s">
        <v>376</v>
      </c>
      <c r="AR11454" s="4" t="s">
        <v>377</v>
      </c>
    </row>
    <row r="11455" spans="1:44">
      <c r="A11455" s="4" t="s">
        <v>10753</v>
      </c>
      <c r="B11455" s="4">
        <v>232693</v>
      </c>
      <c r="D11455" s="5" t="s">
        <v>14403</v>
      </c>
      <c r="E11455" s="6" t="str">
        <f>HYPERLINK("https://inpn.mnhn.fr/espece/cd_nom/232693","Limnephilus binotatus Curtis, 1834")</f>
        <v>Limnephilus binotatus Curtis, 1834</v>
      </c>
      <c r="AH11455" s="4" t="str">
        <f>HYPERLINK("#Statut_biogéographique!A"&amp;_xlfn.XMATCH("P",Statut_biogéographique!A:A,2,1),"P")</f>
        <v>P</v>
      </c>
      <c r="AP11455" s="4" t="s">
        <v>376</v>
      </c>
      <c r="AR11455" s="4" t="s">
        <v>377</v>
      </c>
    </row>
    <row r="11456" spans="1:44" ht="30">
      <c r="A11456" s="4" t="s">
        <v>10753</v>
      </c>
      <c r="B11456" s="4">
        <v>232694</v>
      </c>
      <c r="D11456" s="5" t="s">
        <v>14404</v>
      </c>
      <c r="E11456" s="6" t="str">
        <f>HYPERLINK("https://inpn.mnhn.fr/espece/cd_nom/232694","Limnephilus bipunctatus Curtis, 1834")</f>
        <v>Limnephilus bipunctatus Curtis, 1834</v>
      </c>
      <c r="AH11456" s="4" t="str">
        <f>HYPERLINK("#Statut_biogéographique!A"&amp;_xlfn.XMATCH("P",Statut_biogéographique!A:A,2,1),"P")</f>
        <v>P</v>
      </c>
      <c r="AP11456" s="4" t="s">
        <v>376</v>
      </c>
      <c r="AR11456" s="4" t="s">
        <v>377</v>
      </c>
    </row>
    <row r="11457" spans="1:44">
      <c r="A11457" s="4" t="s">
        <v>10753</v>
      </c>
      <c r="B11457" s="4">
        <v>232695</v>
      </c>
      <c r="D11457" s="5" t="s">
        <v>14405</v>
      </c>
      <c r="E11457" s="6" t="str">
        <f>HYPERLINK("https://inpn.mnhn.fr/espece/cd_nom/232695","Limnephilus decipiens (Kolenati, 1848)")</f>
        <v>Limnephilus decipiens (Kolenati, 1848)</v>
      </c>
      <c r="AH11457" s="4" t="str">
        <f>HYPERLINK("#Statut_biogéographique!A"&amp;_xlfn.XMATCH("P",Statut_biogéographique!A:A,2,1),"P")</f>
        <v>P</v>
      </c>
      <c r="AP11457" s="4" t="s">
        <v>376</v>
      </c>
      <c r="AR11457" s="4" t="s">
        <v>377</v>
      </c>
    </row>
    <row r="11458" spans="1:44">
      <c r="A11458" s="4" t="s">
        <v>10753</v>
      </c>
      <c r="B11458" s="4">
        <v>232696</v>
      </c>
      <c r="D11458" s="5" t="s">
        <v>14406</v>
      </c>
      <c r="E11458" s="6" t="str">
        <f>HYPERLINK("https://inpn.mnhn.fr/espece/cd_nom/232696","Limnephilus elegans Curtis, 1834")</f>
        <v>Limnephilus elegans Curtis, 1834</v>
      </c>
      <c r="AH11458" s="4" t="str">
        <f>HYPERLINK("#Statut_biogéographique!A"&amp;_xlfn.XMATCH("P",Statut_biogéographique!A:A,2,1),"P")</f>
        <v>P</v>
      </c>
      <c r="AP11458" s="4" t="s">
        <v>376</v>
      </c>
      <c r="AR11458" s="4" t="s">
        <v>377</v>
      </c>
    </row>
    <row r="11459" spans="1:44">
      <c r="A11459" s="4" t="s">
        <v>10753</v>
      </c>
      <c r="B11459" s="4">
        <v>232698</v>
      </c>
      <c r="D11459" s="5" t="s">
        <v>14407</v>
      </c>
      <c r="E11459" s="6" t="str">
        <f>HYPERLINK("https://inpn.mnhn.fr/espece/cd_nom/232698","Limnephilus fuscicornis Rambur, 1842")</f>
        <v>Limnephilus fuscicornis Rambur, 1842</v>
      </c>
      <c r="AH11459" s="4" t="str">
        <f>HYPERLINK("#Statut_biogéographique!A"&amp;_xlfn.XMATCH("P",Statut_biogéographique!A:A,2,1),"P")</f>
        <v>P</v>
      </c>
      <c r="AP11459" s="4" t="s">
        <v>376</v>
      </c>
      <c r="AR11459" s="4" t="s">
        <v>377</v>
      </c>
    </row>
    <row r="11460" spans="1:44">
      <c r="A11460" s="4" t="s">
        <v>10753</v>
      </c>
      <c r="B11460" s="4">
        <v>232699</v>
      </c>
      <c r="D11460" s="5" t="s">
        <v>14408</v>
      </c>
      <c r="E11460" s="6" t="str">
        <f>HYPERLINK("https://inpn.mnhn.fr/espece/cd_nom/232699","Limnephilus germanus (McLachlan, 1875)")</f>
        <v>Limnephilus germanus (McLachlan, 1875)</v>
      </c>
      <c r="AH11460" s="4" t="str">
        <f>HYPERLINK("#Statut_biogéographique!A"&amp;_xlfn.XMATCH("P",Statut_biogéographique!A:A,2,1),"P")</f>
        <v>P</v>
      </c>
      <c r="AP11460" s="4" t="s">
        <v>376</v>
      </c>
      <c r="AR11460" s="4" t="s">
        <v>377</v>
      </c>
    </row>
    <row r="11461" spans="1:44">
      <c r="A11461" s="4" t="s">
        <v>10753</v>
      </c>
      <c r="B11461" s="4">
        <v>232700</v>
      </c>
      <c r="D11461" s="5" t="s">
        <v>14409</v>
      </c>
      <c r="E11461" s="6" t="str">
        <f>HYPERLINK("https://inpn.mnhn.fr/espece/cd_nom/232700","Limnephilus hirsutus (Pictet, 1834)")</f>
        <v>Limnephilus hirsutus (Pictet, 1834)</v>
      </c>
      <c r="AH11461" s="4" t="str">
        <f>HYPERLINK("#Statut_biogéographique!A"&amp;_xlfn.XMATCH("P",Statut_biogéographique!A:A,2,1),"P")</f>
        <v>P</v>
      </c>
      <c r="AP11461" s="4" t="s">
        <v>376</v>
      </c>
      <c r="AR11461" s="4" t="s">
        <v>377</v>
      </c>
    </row>
    <row r="11462" spans="1:44">
      <c r="A11462" s="4" t="s">
        <v>10753</v>
      </c>
      <c r="B11462" s="4">
        <v>232701</v>
      </c>
      <c r="D11462" s="5" t="s">
        <v>14410</v>
      </c>
      <c r="E11462" s="6" t="str">
        <f>HYPERLINK("https://inpn.mnhn.fr/espece/cd_nom/232701","Limnephilus ignavus McLachlan, 1865")</f>
        <v>Limnephilus ignavus McLachlan, 1865</v>
      </c>
      <c r="AH11462" s="4" t="str">
        <f>HYPERLINK("#Statut_biogéographique!A"&amp;_xlfn.XMATCH("P",Statut_biogéographique!A:A,2,1),"P")</f>
        <v>P</v>
      </c>
      <c r="AP11462" s="4" t="s">
        <v>376</v>
      </c>
      <c r="AR11462" s="4" t="s">
        <v>377</v>
      </c>
    </row>
    <row r="11463" spans="1:44">
      <c r="A11463" s="4" t="s">
        <v>10753</v>
      </c>
      <c r="B11463" s="4">
        <v>232703</v>
      </c>
      <c r="D11463" s="5">
        <v>232703</v>
      </c>
      <c r="E11463" s="6" t="str">
        <f>HYPERLINK("https://inpn.mnhn.fr/espece/cd_nom/232703","Limnephilus italicus McLachlan, 1884")</f>
        <v>Limnephilus italicus McLachlan, 1884</v>
      </c>
      <c r="AH11463" s="4" t="str">
        <f>HYPERLINK("#Statut_biogéographique!A"&amp;_xlfn.XMATCH("P",Statut_biogéographique!A:A,2,1),"P")</f>
        <v>P</v>
      </c>
      <c r="AP11463" s="4" t="s">
        <v>376</v>
      </c>
      <c r="AR11463" s="4" t="s">
        <v>377</v>
      </c>
    </row>
    <row r="11464" spans="1:44">
      <c r="A11464" s="4" t="s">
        <v>10753</v>
      </c>
      <c r="B11464" s="4">
        <v>23271</v>
      </c>
      <c r="D11464" s="5" t="s">
        <v>14411</v>
      </c>
      <c r="E11464" s="6" t="str">
        <f>HYPERLINK("https://inpn.mnhn.fr/espece/cd_nom/23271","Platypalpus incertus (Collin, 1926)")</f>
        <v>Platypalpus incertus (Collin, 1926)</v>
      </c>
      <c r="AH11464" s="4" t="str">
        <f>HYPERLINK("#Statut_biogéographique!A"&amp;_xlfn.XMATCH("P",Statut_biogéographique!A:A,2,1),"P")</f>
        <v>P</v>
      </c>
      <c r="AP11464" s="4" t="s">
        <v>376</v>
      </c>
      <c r="AR11464" s="4" t="s">
        <v>377</v>
      </c>
    </row>
    <row r="11465" spans="1:44">
      <c r="A11465" s="4" t="s">
        <v>10753</v>
      </c>
      <c r="B11465" s="4">
        <v>232713</v>
      </c>
      <c r="D11465" s="5" t="s">
        <v>14412</v>
      </c>
      <c r="E11465" s="6" t="str">
        <f>HYPERLINK("https://inpn.mnhn.fr/espece/cd_nom/232713","Parachiona picicornis (Pictet, 1834)")</f>
        <v>Parachiona picicornis (Pictet, 1834)</v>
      </c>
      <c r="AH11465" s="4" t="str">
        <f>HYPERLINK("#Statut_biogéographique!A"&amp;_xlfn.XMATCH("P",Statut_biogéographique!A:A,2,1),"P")</f>
        <v>P</v>
      </c>
      <c r="AP11465" s="4" t="s">
        <v>376</v>
      </c>
      <c r="AR11465" s="4" t="s">
        <v>377</v>
      </c>
    </row>
    <row r="11466" spans="1:44" ht="30">
      <c r="A11466" s="4" t="s">
        <v>10753</v>
      </c>
      <c r="B11466" s="4">
        <v>232715</v>
      </c>
      <c r="D11466" s="5" t="s">
        <v>14413</v>
      </c>
      <c r="E11466" s="6" t="str">
        <f>HYPERLINK("https://inpn.mnhn.fr/espece/cd_nom/232715","Potamophylax luctuosus (Piller &amp; Mitterpacher, 1783)")</f>
        <v>Potamophylax luctuosus (Piller &amp; Mitterpacher, 1783)</v>
      </c>
      <c r="AH11466" s="4" t="str">
        <f>HYPERLINK("#Statut_biogéographique!A"&amp;_xlfn.XMATCH("P",Statut_biogéographique!A:A,2,1),"P")</f>
        <v>P</v>
      </c>
      <c r="AP11466" s="4" t="s">
        <v>376</v>
      </c>
      <c r="AR11466" s="4" t="s">
        <v>377</v>
      </c>
    </row>
    <row r="11467" spans="1:44">
      <c r="A11467" s="4" t="s">
        <v>10753</v>
      </c>
      <c r="B11467" s="4">
        <v>232716</v>
      </c>
      <c r="D11467" s="5" t="s">
        <v>14414</v>
      </c>
      <c r="E11467" s="6" t="str">
        <f>HYPERLINK("https://inpn.mnhn.fr/espece/cd_nom/232716","Potamophylax nigricornis (Pictet, 1834)")</f>
        <v>Potamophylax nigricornis (Pictet, 1834)</v>
      </c>
      <c r="AH11467" s="4" t="str">
        <f>HYPERLINK("#Statut_biogéographique!A"&amp;_xlfn.XMATCH("D",Statut_biogéographique!A:A,2,1),"D")</f>
        <v>D</v>
      </c>
      <c r="AP11467" s="4" t="s">
        <v>376</v>
      </c>
      <c r="AR11467" s="4" t="s">
        <v>377</v>
      </c>
    </row>
    <row r="11468" spans="1:44">
      <c r="A11468" s="4" t="s">
        <v>10753</v>
      </c>
      <c r="B11468" s="4">
        <v>232717</v>
      </c>
      <c r="D11468" s="5" t="s">
        <v>14415</v>
      </c>
      <c r="E11468" s="6" t="str">
        <f>HYPERLINK("https://inpn.mnhn.fr/espece/cd_nom/232717","Potamophylax rotundipennis (Brauer, 1857)")</f>
        <v>Potamophylax rotundipennis (Brauer, 1857)</v>
      </c>
      <c r="AH11468" s="4" t="str">
        <f>HYPERLINK("#Statut_biogéographique!A"&amp;_xlfn.XMATCH("P",Statut_biogéographique!A:A,2,1),"P")</f>
        <v>P</v>
      </c>
      <c r="AP11468" s="4" t="s">
        <v>376</v>
      </c>
      <c r="AR11468" s="4" t="s">
        <v>377</v>
      </c>
    </row>
    <row r="11469" spans="1:44">
      <c r="A11469" s="4" t="s">
        <v>10753</v>
      </c>
      <c r="B11469" s="4">
        <v>232719</v>
      </c>
      <c r="D11469" s="5" t="s">
        <v>14416</v>
      </c>
      <c r="E11469" s="6" t="str">
        <f>HYPERLINK("https://inpn.mnhn.fr/espece/cd_nom/232719","Rhadicoleptus alpestris (Kolenati, 1848)")</f>
        <v>Rhadicoleptus alpestris (Kolenati, 1848)</v>
      </c>
      <c r="AH11469" s="4" t="str">
        <f>HYPERLINK("#Statut_biogéographique!A"&amp;_xlfn.XMATCH("P",Statut_biogéographique!A:A,2,1),"P")</f>
        <v>P</v>
      </c>
      <c r="AP11469" s="4" t="s">
        <v>376</v>
      </c>
      <c r="AR11469" s="4" t="s">
        <v>377</v>
      </c>
    </row>
    <row r="11470" spans="1:44">
      <c r="A11470" s="4" t="s">
        <v>10753</v>
      </c>
      <c r="B11470" s="4">
        <v>232728</v>
      </c>
      <c r="D11470" s="5">
        <v>232728</v>
      </c>
      <c r="E11470" s="6" t="str">
        <f>HYPERLINK("https://inpn.mnhn.fr/espece/cd_nom/232728","Stenophylax mitis McLachlan, 1875")</f>
        <v>Stenophylax mitis McLachlan, 1875</v>
      </c>
      <c r="AH11470" s="4" t="str">
        <f>HYPERLINK("#Statut_biogéographique!A"&amp;_xlfn.XMATCH("P",Statut_biogéographique!A:A,2,1),"P")</f>
        <v>P</v>
      </c>
      <c r="AP11470" s="4" t="s">
        <v>376</v>
      </c>
      <c r="AR11470" s="4" t="s">
        <v>377</v>
      </c>
    </row>
    <row r="11471" spans="1:44">
      <c r="A11471" s="4" t="s">
        <v>10753</v>
      </c>
      <c r="B11471" s="4">
        <v>232729</v>
      </c>
      <c r="D11471" s="5" t="s">
        <v>14417</v>
      </c>
      <c r="E11471" s="6" t="str">
        <f>HYPERLINK("https://inpn.mnhn.fr/espece/cd_nom/232729","Stenophylax permistus McLachlan, 1895")</f>
        <v>Stenophylax permistus McLachlan, 1895</v>
      </c>
      <c r="AH11471" s="4" t="str">
        <f>HYPERLINK("#Statut_biogéographique!A"&amp;_xlfn.XMATCH("P",Statut_biogéographique!A:A,2,1),"P")</f>
        <v>P</v>
      </c>
      <c r="AP11471" s="4" t="s">
        <v>376</v>
      </c>
      <c r="AR11471" s="4" t="s">
        <v>377</v>
      </c>
    </row>
    <row r="11472" spans="1:44">
      <c r="A11472" s="4" t="s">
        <v>10753</v>
      </c>
      <c r="B11472" s="4">
        <v>232730</v>
      </c>
      <c r="D11472" s="5" t="s">
        <v>14418</v>
      </c>
      <c r="E11472" s="6" t="str">
        <f>HYPERLINK("https://inpn.mnhn.fr/espece/cd_nom/232730","Stenophylax vibex (Curtis, 1834)")</f>
        <v>Stenophylax vibex (Curtis, 1834)</v>
      </c>
      <c r="AH11472" s="4" t="str">
        <f>HYPERLINK("#Statut_biogéographique!A"&amp;_xlfn.XMATCH("P",Statut_biogéographique!A:A,2,1),"P")</f>
        <v>P</v>
      </c>
      <c r="AP11472" s="4" t="s">
        <v>376</v>
      </c>
      <c r="AR11472" s="4" t="s">
        <v>377</v>
      </c>
    </row>
    <row r="11473" spans="1:44">
      <c r="A11473" s="4" t="s">
        <v>10753</v>
      </c>
      <c r="B11473" s="4">
        <v>232731</v>
      </c>
      <c r="D11473" s="5" t="s">
        <v>14419</v>
      </c>
      <c r="E11473" s="6" t="str">
        <f>HYPERLINK("https://inpn.mnhn.fr/espece/cd_nom/232731","Athripsodes braueri (Pictet, 1865)")</f>
        <v>Athripsodes braueri (Pictet, 1865)</v>
      </c>
      <c r="AH11473" s="4" t="str">
        <f>HYPERLINK("#Statut_biogéographique!A"&amp;_xlfn.XMATCH("P",Statut_biogéographique!A:A,2,1),"P")</f>
        <v>P</v>
      </c>
      <c r="AP11473" s="4" t="s">
        <v>376</v>
      </c>
      <c r="AR11473" s="4" t="s">
        <v>377</v>
      </c>
    </row>
    <row r="11474" spans="1:44" ht="30">
      <c r="A11474" s="4" t="s">
        <v>10753</v>
      </c>
      <c r="B11474" s="4">
        <v>232735</v>
      </c>
      <c r="D11474" s="5" t="s">
        <v>14420</v>
      </c>
      <c r="E11474" s="6" t="str">
        <f>HYPERLINK("https://inpn.mnhn.fr/espece/cd_nom/232735","Ceraclea albimacula (Rambur, 1842)")</f>
        <v>Ceraclea albimacula (Rambur, 1842)</v>
      </c>
      <c r="AH11474" s="4" t="str">
        <f>HYPERLINK("#Statut_biogéographique!A"&amp;_xlfn.XMATCH("P",Statut_biogéographique!A:A,2,1),"P")</f>
        <v>P</v>
      </c>
      <c r="AP11474" s="4" t="s">
        <v>376</v>
      </c>
      <c r="AR11474" s="4" t="s">
        <v>377</v>
      </c>
    </row>
    <row r="11475" spans="1:44" ht="30">
      <c r="A11475" s="4" t="s">
        <v>10753</v>
      </c>
      <c r="B11475" s="4">
        <v>232739</v>
      </c>
      <c r="D11475" s="5" t="s">
        <v>14421</v>
      </c>
      <c r="E11475" s="6" t="str">
        <f>HYPERLINK("https://inpn.mnhn.fr/espece/cd_nom/232739","Ceraclea dissimilis (Stephens, 1836)")</f>
        <v>Ceraclea dissimilis (Stephens, 1836)</v>
      </c>
      <c r="AH11475" s="4" t="str">
        <f>HYPERLINK("#Statut_biogéographique!A"&amp;_xlfn.XMATCH("P",Statut_biogéographique!A:A,2,1),"P")</f>
        <v>P</v>
      </c>
      <c r="AP11475" s="4" t="s">
        <v>376</v>
      </c>
      <c r="AR11475" s="4" t="s">
        <v>377</v>
      </c>
    </row>
    <row r="11476" spans="1:44" ht="30">
      <c r="A11476" s="4" t="s">
        <v>10753</v>
      </c>
      <c r="B11476" s="4">
        <v>232748</v>
      </c>
      <c r="D11476" s="5" t="s">
        <v>14422</v>
      </c>
      <c r="E11476" s="6" t="str">
        <f>HYPERLINK("https://inpn.mnhn.fr/espece/cd_nom/232748","Mystacides azureus (Linnaeus, 1761)")</f>
        <v>Mystacides azureus (Linnaeus, 1761)</v>
      </c>
      <c r="AH11476" s="4" t="str">
        <f>HYPERLINK("#Statut_biogéographique!A"&amp;_xlfn.XMATCH("P",Statut_biogéographique!A:A,2,1),"P")</f>
        <v>P</v>
      </c>
      <c r="AP11476" s="4" t="s">
        <v>376</v>
      </c>
      <c r="AR11476" s="4" t="s">
        <v>377</v>
      </c>
    </row>
    <row r="11477" spans="1:44">
      <c r="A11477" s="4" t="s">
        <v>10753</v>
      </c>
      <c r="B11477" s="4">
        <v>232749</v>
      </c>
      <c r="D11477" s="5" t="s">
        <v>14423</v>
      </c>
      <c r="E11477" s="6" t="str">
        <f>HYPERLINK("https://inpn.mnhn.fr/espece/cd_nom/232749","Mystacides niger (Linnaeus, 1758)")</f>
        <v>Mystacides niger (Linnaeus, 1758)</v>
      </c>
      <c r="AH11477" s="4" t="str">
        <f>HYPERLINK("#Statut_biogéographique!A"&amp;_xlfn.XMATCH("P",Statut_biogéographique!A:A,2,1),"P")</f>
        <v>P</v>
      </c>
      <c r="AP11477" s="4" t="s">
        <v>376</v>
      </c>
      <c r="AR11477" s="4" t="s">
        <v>377</v>
      </c>
    </row>
    <row r="11478" spans="1:44">
      <c r="A11478" s="4" t="s">
        <v>10753</v>
      </c>
      <c r="B11478" s="4">
        <v>23276</v>
      </c>
      <c r="D11478" s="5">
        <v>23276</v>
      </c>
      <c r="E11478" s="6" t="str">
        <f>HYPERLINK("https://inpn.mnhn.fr/espece/cd_nom/23276","Platypalpus laticinctus Walker, 1851")</f>
        <v>Platypalpus laticinctus Walker, 1851</v>
      </c>
      <c r="AH11478" s="4" t="str">
        <f>HYPERLINK("#Statut_biogéographique!A"&amp;_xlfn.XMATCH("P",Statut_biogéographique!A:A,2,1),"P")</f>
        <v>P</v>
      </c>
      <c r="AP11478" s="4" t="s">
        <v>376</v>
      </c>
      <c r="AR11478" s="4" t="s">
        <v>377</v>
      </c>
    </row>
    <row r="11479" spans="1:44">
      <c r="A11479" s="4" t="s">
        <v>10753</v>
      </c>
      <c r="B11479" s="4">
        <v>232763</v>
      </c>
      <c r="D11479" s="5" t="s">
        <v>14424</v>
      </c>
      <c r="E11479" s="6" t="str">
        <f>HYPERLINK("https://inpn.mnhn.fr/espece/cd_nom/232763","Beraeodes minutus (Linnaeus, 1761)")</f>
        <v>Beraeodes minutus (Linnaeus, 1761)</v>
      </c>
      <c r="AH11479" s="4" t="str">
        <f>HYPERLINK("#Statut_biogéographique!A"&amp;_xlfn.XMATCH("P",Statut_biogéographique!A:A,2,1),"P")</f>
        <v>P</v>
      </c>
      <c r="AP11479" s="4" t="s">
        <v>376</v>
      </c>
      <c r="AR11479" s="4" t="s">
        <v>377</v>
      </c>
    </row>
    <row r="11480" spans="1:44">
      <c r="A11480" s="4" t="s">
        <v>10753</v>
      </c>
      <c r="B11480" s="4">
        <v>232767</v>
      </c>
      <c r="D11480" s="5" t="s">
        <v>14425</v>
      </c>
      <c r="E11480" s="6" t="str">
        <f>HYPERLINK("https://inpn.mnhn.fr/espece/cd_nom/232767","Ernodes vicinus (McLachlan, 1879)")</f>
        <v>Ernodes vicinus (McLachlan, 1879)</v>
      </c>
      <c r="AH11480" s="4" t="str">
        <f>HYPERLINK("#Statut_biogéographique!A"&amp;_xlfn.XMATCH("P",Statut_biogéographique!A:A,2,1),"P")</f>
        <v>P</v>
      </c>
      <c r="AP11480" s="4" t="s">
        <v>376</v>
      </c>
      <c r="AR11480" s="4" t="s">
        <v>377</v>
      </c>
    </row>
    <row r="11481" spans="1:44">
      <c r="A11481" s="4" t="s">
        <v>10753</v>
      </c>
      <c r="B11481" s="4">
        <v>232769</v>
      </c>
      <c r="D11481" s="5">
        <v>232769</v>
      </c>
      <c r="E11481" s="6" t="str">
        <f>HYPERLINK("https://inpn.mnhn.fr/espece/cd_nom/232769","Sericostoma flavicorne Schneider, 1845")</f>
        <v>Sericostoma flavicorne Schneider, 1845</v>
      </c>
      <c r="AH11481" s="4" t="str">
        <f>HYPERLINK("#Statut_biogéographique!A"&amp;_xlfn.XMATCH("P",Statut_biogéographique!A:A,2,1),"P")</f>
        <v>P</v>
      </c>
      <c r="AP11481" s="4" t="s">
        <v>376</v>
      </c>
      <c r="AR11481" s="4" t="s">
        <v>377</v>
      </c>
    </row>
    <row r="11482" spans="1:44">
      <c r="A11482" s="4" t="s">
        <v>10753</v>
      </c>
      <c r="B11482" s="4">
        <v>232773</v>
      </c>
      <c r="D11482" s="5" t="s">
        <v>14426</v>
      </c>
      <c r="E11482" s="6" t="str">
        <f>HYPERLINK("https://inpn.mnhn.fr/espece/cd_nom/232773","Calamoceras marsupus Brauer, 1865")</f>
        <v>Calamoceras marsupus Brauer, 1865</v>
      </c>
      <c r="AH11482" s="4" t="str">
        <f>HYPERLINK("#Statut_biogéographique!A"&amp;_xlfn.XMATCH("P",Statut_biogéographique!A:A,2,1),"P")</f>
        <v>P</v>
      </c>
      <c r="AP11482" s="4" t="s">
        <v>376</v>
      </c>
      <c r="AR11482" s="4" t="s">
        <v>377</v>
      </c>
    </row>
    <row r="11483" spans="1:44">
      <c r="A11483" s="4" t="s">
        <v>10753</v>
      </c>
      <c r="B11483" s="4">
        <v>23279</v>
      </c>
      <c r="D11483" s="5" t="s">
        <v>14427</v>
      </c>
      <c r="E11483" s="6" t="str">
        <f>HYPERLINK("https://inpn.mnhn.fr/espece/cd_nom/23279","Platypalpus longicornis (Meigen, 1822)")</f>
        <v>Platypalpus longicornis (Meigen, 1822)</v>
      </c>
      <c r="AH11483" s="4" t="str">
        <f>HYPERLINK("#Statut_biogéographique!A"&amp;_xlfn.XMATCH("P",Statut_biogéographique!A:A,2,1),"P")</f>
        <v>P</v>
      </c>
      <c r="AP11483" s="4" t="s">
        <v>376</v>
      </c>
      <c r="AR11483" s="4" t="s">
        <v>377</v>
      </c>
    </row>
    <row r="11484" spans="1:44">
      <c r="A11484" s="4" t="s">
        <v>10753</v>
      </c>
      <c r="B11484" s="4">
        <v>23282</v>
      </c>
      <c r="D11484" s="5" t="s">
        <v>14428</v>
      </c>
      <c r="E11484" s="6" t="str">
        <f>HYPERLINK("https://inpn.mnhn.fr/espece/cd_nom/23282","Platypalpus longiseta (Zetterstedt, 1842)")</f>
        <v>Platypalpus longiseta (Zetterstedt, 1842)</v>
      </c>
      <c r="AH11484" s="4" t="str">
        <f>HYPERLINK("#Statut_biogéographique!A"&amp;_xlfn.XMATCH("P",Statut_biogéographique!A:A,2,1),"P")</f>
        <v>P</v>
      </c>
      <c r="AP11484" s="4" t="s">
        <v>376</v>
      </c>
      <c r="AR11484" s="4" t="s">
        <v>377</v>
      </c>
    </row>
    <row r="11485" spans="1:44">
      <c r="A11485" s="4" t="s">
        <v>10753</v>
      </c>
      <c r="B11485" s="4">
        <v>23289</v>
      </c>
      <c r="D11485" s="5" t="s">
        <v>14429</v>
      </c>
      <c r="E11485" s="6" t="str">
        <f>HYPERLINK("https://inpn.mnhn.fr/espece/cd_nom/23289","Platypalpus luteolus (Collin, 1926)")</f>
        <v>Platypalpus luteolus (Collin, 1926)</v>
      </c>
      <c r="AH11485" s="4" t="str">
        <f>HYPERLINK("#Statut_biogéographique!A"&amp;_xlfn.XMATCH("P",Statut_biogéographique!A:A,2,1),"P")</f>
        <v>P</v>
      </c>
      <c r="AP11485" s="4" t="s">
        <v>376</v>
      </c>
      <c r="AR11485" s="4" t="s">
        <v>377</v>
      </c>
    </row>
    <row r="11486" spans="1:44">
      <c r="A11486" s="4" t="s">
        <v>10753</v>
      </c>
      <c r="B11486" s="4">
        <v>23294</v>
      </c>
      <c r="D11486" s="5" t="s">
        <v>14430</v>
      </c>
      <c r="E11486" s="6" t="str">
        <f>HYPERLINK("https://inpn.mnhn.fr/espece/cd_nom/23294","Platypalpus major (Zetterstedt, 1842)")</f>
        <v>Platypalpus major (Zetterstedt, 1842)</v>
      </c>
      <c r="AH11486" s="4" t="str">
        <f>HYPERLINK("#Statut_biogéographique!A"&amp;_xlfn.XMATCH("P",Statut_biogéographique!A:A,2,1),"P")</f>
        <v>P</v>
      </c>
      <c r="AP11486" s="4" t="s">
        <v>376</v>
      </c>
      <c r="AR11486" s="4" t="s">
        <v>377</v>
      </c>
    </row>
    <row r="11487" spans="1:44">
      <c r="A11487" s="4" t="s">
        <v>10753</v>
      </c>
      <c r="B11487" s="4">
        <v>23296</v>
      </c>
      <c r="D11487" s="5" t="s">
        <v>14431</v>
      </c>
      <c r="E11487" s="6" t="str">
        <f>HYPERLINK("https://inpn.mnhn.fr/espece/cd_nom/23296","Platypalpus minutus (Meigen, 1804)")</f>
        <v>Platypalpus minutus (Meigen, 1804)</v>
      </c>
      <c r="AH11487" s="4" t="str">
        <f>HYPERLINK("#Statut_biogéographique!A"&amp;_xlfn.XMATCH("P",Statut_biogéographique!A:A,2,1),"P")</f>
        <v>P</v>
      </c>
      <c r="AP11487" s="4" t="s">
        <v>376</v>
      </c>
      <c r="AR11487" s="4" t="s">
        <v>377</v>
      </c>
    </row>
    <row r="11488" spans="1:44">
      <c r="A11488" s="4" t="s">
        <v>10753</v>
      </c>
      <c r="B11488" s="4">
        <v>23301</v>
      </c>
      <c r="D11488" s="5" t="s">
        <v>14432</v>
      </c>
      <c r="E11488" s="6" t="str">
        <f>HYPERLINK("https://inpn.mnhn.fr/espece/cd_nom/23301","Platypalpus nigritarsis (Fallén, 1816)")</f>
        <v>Platypalpus nigritarsis (Fallén, 1816)</v>
      </c>
      <c r="AH11488" s="4" t="str">
        <f>HYPERLINK("#Statut_biogéographique!A"&amp;_xlfn.XMATCH("P",Statut_biogéographique!A:A,2,1),"P")</f>
        <v>P</v>
      </c>
      <c r="AP11488" s="4" t="s">
        <v>376</v>
      </c>
      <c r="AR11488" s="4" t="s">
        <v>377</v>
      </c>
    </row>
    <row r="11489" spans="1:44">
      <c r="A11489" s="4" t="s">
        <v>10753</v>
      </c>
      <c r="B11489" s="4">
        <v>23307</v>
      </c>
      <c r="D11489" s="5" t="s">
        <v>14433</v>
      </c>
      <c r="E11489" s="6" t="str">
        <f>HYPERLINK("https://inpn.mnhn.fr/espece/cd_nom/23307","Platypalpus optivus (Collin, 1926)")</f>
        <v>Platypalpus optivus (Collin, 1926)</v>
      </c>
      <c r="AH11489" s="4" t="str">
        <f>HYPERLINK("#Statut_biogéographique!A"&amp;_xlfn.XMATCH("P",Statut_biogéographique!A:A,2,1),"P")</f>
        <v>P</v>
      </c>
      <c r="AP11489" s="4" t="s">
        <v>376</v>
      </c>
      <c r="AR11489" s="4" t="s">
        <v>377</v>
      </c>
    </row>
    <row r="11490" spans="1:44">
      <c r="A11490" s="4" t="s">
        <v>10753</v>
      </c>
      <c r="B11490" s="4">
        <v>233083</v>
      </c>
      <c r="D11490" s="5" t="s">
        <v>14434</v>
      </c>
      <c r="E11490" s="6" t="str">
        <f>HYPERLINK("https://inpn.mnhn.fr/espece/cd_nom/233083","Aporrectodea rosea (Savigny, 1826)")</f>
        <v>Aporrectodea rosea (Savigny, 1826)</v>
      </c>
      <c r="AH11490" s="4" t="str">
        <f>HYPERLINK("#Statut_biogéographique!A"&amp;_xlfn.XMATCH("P",Statut_biogéographique!A:A,2,1),"P")</f>
        <v>P</v>
      </c>
      <c r="AP11490" s="4" t="s">
        <v>376</v>
      </c>
      <c r="AR11490" s="4" t="s">
        <v>377</v>
      </c>
    </row>
    <row r="11491" spans="1:44">
      <c r="A11491" s="4" t="s">
        <v>10753</v>
      </c>
      <c r="B11491" s="4">
        <v>233094</v>
      </c>
      <c r="D11491" s="5" t="s">
        <v>14435</v>
      </c>
      <c r="E11491" s="6" t="str">
        <f>HYPERLINK("https://inpn.mnhn.fr/espece/cd_nom/233094","Allolobophora chlorotica (Savigny, 1826)")</f>
        <v>Allolobophora chlorotica (Savigny, 1826)</v>
      </c>
      <c r="AH11491" s="4" t="str">
        <f>HYPERLINK("#Statut_biogéographique!A"&amp;_xlfn.XMATCH("P",Statut_biogéographique!A:A,2,1),"P")</f>
        <v>P</v>
      </c>
      <c r="AP11491" s="4" t="s">
        <v>376</v>
      </c>
      <c r="AR11491" s="4" t="s">
        <v>377</v>
      </c>
    </row>
    <row r="11492" spans="1:44">
      <c r="A11492" s="4" t="s">
        <v>10753</v>
      </c>
      <c r="B11492" s="4">
        <v>23310</v>
      </c>
      <c r="D11492" s="5" t="s">
        <v>14436</v>
      </c>
      <c r="E11492" s="6" t="str">
        <f>HYPERLINK("https://inpn.mnhn.fr/espece/cd_nom/23310","Platypalpus pallidiventris (Meigen, 1822)")</f>
        <v>Platypalpus pallidiventris (Meigen, 1822)</v>
      </c>
      <c r="AH11492" s="4" t="str">
        <f>HYPERLINK("#Statut_biogéographique!A"&amp;_xlfn.XMATCH("P",Statut_biogéographique!A:A,2,1),"P")</f>
        <v>P</v>
      </c>
      <c r="AP11492" s="4" t="s">
        <v>376</v>
      </c>
      <c r="AR11492" s="4" t="s">
        <v>377</v>
      </c>
    </row>
    <row r="11493" spans="1:44">
      <c r="A11493" s="4" t="s">
        <v>10753</v>
      </c>
      <c r="B11493" s="4">
        <v>233116</v>
      </c>
      <c r="D11493" s="5" t="s">
        <v>14437</v>
      </c>
      <c r="E11493" s="6" t="str">
        <f>HYPERLINK("https://inpn.mnhn.fr/espece/cd_nom/233116","Octolasion cyaneum (Savigny, 1826)")</f>
        <v>Octolasion cyaneum (Savigny, 1826)</v>
      </c>
      <c r="AH11493" s="4" t="str">
        <f>HYPERLINK("#Statut_biogéographique!A"&amp;_xlfn.XMATCH("P",Statut_biogéographique!A:A,2,1),"P")</f>
        <v>P</v>
      </c>
      <c r="AP11493" s="4" t="s">
        <v>376</v>
      </c>
      <c r="AR11493" s="4" t="s">
        <v>377</v>
      </c>
    </row>
    <row r="11494" spans="1:44">
      <c r="A11494" s="4" t="s">
        <v>10753</v>
      </c>
      <c r="B11494" s="4">
        <v>23312</v>
      </c>
      <c r="D11494" s="5" t="s">
        <v>14438</v>
      </c>
      <c r="E11494" s="6" t="str">
        <f>HYPERLINK("https://inpn.mnhn.fr/espece/cd_nom/23312","Platypalpus pallipes (Fallén, 1815)")</f>
        <v>Platypalpus pallipes (Fallén, 1815)</v>
      </c>
      <c r="AH11494" s="4" t="str">
        <f>HYPERLINK("#Statut_biogéographique!A"&amp;_xlfn.XMATCH("P",Statut_biogéographique!A:A,2,1),"P")</f>
        <v>P</v>
      </c>
      <c r="AP11494" s="4" t="s">
        <v>376</v>
      </c>
      <c r="AR11494" s="4" t="s">
        <v>377</v>
      </c>
    </row>
    <row r="11495" spans="1:44" ht="30">
      <c r="A11495" s="4" t="s">
        <v>10753</v>
      </c>
      <c r="B11495" s="4">
        <v>23314</v>
      </c>
      <c r="D11495" s="5" t="s">
        <v>14439</v>
      </c>
      <c r="E11495" s="6" t="str">
        <f>HYPERLINK("https://inpn.mnhn.fr/espece/cd_nom/23314","Platypalpus pectoralis (Fallén, 1815)")</f>
        <v>Platypalpus pectoralis (Fallén, 1815)</v>
      </c>
      <c r="AH11495" s="4" t="str">
        <f>HYPERLINK("#Statut_biogéographique!A"&amp;_xlfn.XMATCH("P",Statut_biogéographique!A:A,2,1),"P")</f>
        <v>P</v>
      </c>
      <c r="AP11495" s="4" t="s">
        <v>376</v>
      </c>
      <c r="AR11495" s="4" t="s">
        <v>377</v>
      </c>
    </row>
    <row r="11496" spans="1:44">
      <c r="A11496" s="4" t="s">
        <v>10753</v>
      </c>
      <c r="B11496" s="4">
        <v>233169</v>
      </c>
      <c r="D11496" s="5" t="s">
        <v>14440</v>
      </c>
      <c r="E11496" s="6" t="str">
        <f>HYPERLINK("https://inpn.mnhn.fr/espece/cd_nom/233169","Agelena labyrinthica (Clerck, 1758)")</f>
        <v>Agelena labyrinthica (Clerck, 1758)</v>
      </c>
      <c r="F11496" s="5" t="s">
        <v>14441</v>
      </c>
      <c r="Q11496" s="7" t="str">
        <f>HYPERLINK("#Liste_rouge!A"&amp;_xlfn.XMATCH("LC",Liste_rouge!A:A,2,1),"LC")</f>
        <v>LC</v>
      </c>
      <c r="AH11496" s="4" t="str">
        <f>HYPERLINK("#Statut_biogéographique!A"&amp;_xlfn.XMATCH("P",Statut_biogéographique!A:A,2,1),"P")</f>
        <v>P</v>
      </c>
      <c r="AP11496" s="4" t="s">
        <v>376</v>
      </c>
      <c r="AR11496" s="4" t="s">
        <v>377</v>
      </c>
    </row>
    <row r="11497" spans="1:44">
      <c r="A11497" s="4" t="s">
        <v>10753</v>
      </c>
      <c r="B11497" s="4">
        <v>233170</v>
      </c>
      <c r="D11497" s="5" t="s">
        <v>14442</v>
      </c>
      <c r="E11497" s="6" t="str">
        <f>HYPERLINK("https://inpn.mnhn.fr/espece/cd_nom/233170","Histopona torpida (C.L. Koch, 1837)")</f>
        <v>Histopona torpida (C.L. Koch, 1837)</v>
      </c>
      <c r="Q11497" s="7" t="str">
        <f>HYPERLINK("#Liste_rouge!A"&amp;_xlfn.XMATCH("LC",Liste_rouge!A:A,2,1),"LC")</f>
        <v>LC</v>
      </c>
      <c r="AH11497" s="4" t="str">
        <f>HYPERLINK("#Statut_biogéographique!A"&amp;_xlfn.XMATCH("P",Statut_biogéographique!A:A,2,1),"P")</f>
        <v>P</v>
      </c>
      <c r="AP11497" s="4" t="s">
        <v>376</v>
      </c>
      <c r="AR11497" s="4" t="s">
        <v>377</v>
      </c>
    </row>
    <row r="11498" spans="1:44">
      <c r="A11498" s="4" t="s">
        <v>10753</v>
      </c>
      <c r="B11498" s="4">
        <v>233178</v>
      </c>
      <c r="D11498" s="5" t="s">
        <v>14443</v>
      </c>
      <c r="E11498" s="6" t="str">
        <f>HYPERLINK("https://inpn.mnhn.fr/espece/cd_nom/233178","Tegenaria ferruginea (Panzer, 1804)")</f>
        <v>Tegenaria ferruginea (Panzer, 1804)</v>
      </c>
      <c r="Q11498" s="7" t="str">
        <f>HYPERLINK("#Liste_rouge!A"&amp;_xlfn.XMATCH("EN",Liste_rouge!A:A,2,1),"EN")</f>
        <v>EN</v>
      </c>
      <c r="AH11498" s="4" t="str">
        <f>HYPERLINK("#Statut_biogéographique!A"&amp;_xlfn.XMATCH("P",Statut_biogéographique!A:A,2,1),"P")</f>
        <v>P</v>
      </c>
      <c r="AP11498" s="4" t="s">
        <v>376</v>
      </c>
      <c r="AR11498" s="4" t="s">
        <v>377</v>
      </c>
    </row>
    <row r="11499" spans="1:44">
      <c r="A11499" s="4" t="s">
        <v>10753</v>
      </c>
      <c r="B11499" s="4">
        <v>23320</v>
      </c>
      <c r="D11499" s="5" t="s">
        <v>14444</v>
      </c>
      <c r="E11499" s="6" t="str">
        <f>HYPERLINK("https://inpn.mnhn.fr/espece/cd_nom/23320","Platypalpus pseudofulvipes (Frey, 1909)")</f>
        <v>Platypalpus pseudofulvipes (Frey, 1909)</v>
      </c>
      <c r="AH11499" s="4" t="str">
        <f>HYPERLINK("#Statut_biogéographique!A"&amp;_xlfn.XMATCH("P",Statut_biogéographique!A:A,2,1),"P")</f>
        <v>P</v>
      </c>
      <c r="AP11499" s="4" t="s">
        <v>376</v>
      </c>
      <c r="AR11499" s="4" t="s">
        <v>377</v>
      </c>
    </row>
    <row r="11500" spans="1:44">
      <c r="A11500" s="4" t="s">
        <v>10753</v>
      </c>
      <c r="B11500" s="4">
        <v>233208</v>
      </c>
      <c r="D11500" s="5" t="s">
        <v>14445</v>
      </c>
      <c r="E11500" s="6" t="str">
        <f>HYPERLINK("https://inpn.mnhn.fr/espece/cd_nom/233208","Araneus triguttatus Fabricius, 1775")</f>
        <v>Araneus triguttatus Fabricius, 1775</v>
      </c>
      <c r="Q11500" s="7" t="str">
        <f>HYPERLINK("#Liste_rouge!A"&amp;_xlfn.XMATCH("LC",Liste_rouge!A:A,2,1),"LC")</f>
        <v>LC</v>
      </c>
      <c r="AH11500" s="4" t="str">
        <f>HYPERLINK("#Statut_biogéographique!A"&amp;_xlfn.XMATCH("P",Statut_biogéographique!A:A,2,1),"P")</f>
        <v>P</v>
      </c>
      <c r="AP11500" s="4" t="s">
        <v>376</v>
      </c>
      <c r="AR11500" s="4" t="s">
        <v>377</v>
      </c>
    </row>
    <row r="11501" spans="1:44">
      <c r="A11501" s="4" t="s">
        <v>10753</v>
      </c>
      <c r="B11501" s="4">
        <v>233210</v>
      </c>
      <c r="D11501" s="5" t="s">
        <v>14446</v>
      </c>
      <c r="E11501" s="6" t="str">
        <f>HYPERLINK("https://inpn.mnhn.fr/espece/cd_nom/233210","Araniella alpica (L. Koch, 1869)")</f>
        <v>Araniella alpica (L. Koch, 1869)</v>
      </c>
      <c r="Q11501" s="7" t="str">
        <f>HYPERLINK("#Liste_rouge!A"&amp;_xlfn.XMATCH("LC",Liste_rouge!A:A,2,1),"LC")</f>
        <v>LC</v>
      </c>
      <c r="AH11501" s="4" t="str">
        <f>HYPERLINK("#Statut_biogéographique!A"&amp;_xlfn.XMATCH("P",Statut_biogéographique!A:A,2,1),"P")</f>
        <v>P</v>
      </c>
      <c r="AP11501" s="4" t="s">
        <v>376</v>
      </c>
      <c r="AR11501" s="4" t="s">
        <v>377</v>
      </c>
    </row>
    <row r="11502" spans="1:44">
      <c r="A11502" s="4" t="s">
        <v>10753</v>
      </c>
      <c r="B11502" s="4">
        <v>233213</v>
      </c>
      <c r="D11502" s="5" t="s">
        <v>14447</v>
      </c>
      <c r="E11502" s="6" t="str">
        <f>HYPERLINK("https://inpn.mnhn.fr/espece/cd_nom/233213","Cercidia prominens (Westring, 1851)")</f>
        <v>Cercidia prominens (Westring, 1851)</v>
      </c>
      <c r="Q11502" s="7" t="str">
        <f>HYPERLINK("#Liste_rouge!A"&amp;_xlfn.XMATCH("LC",Liste_rouge!A:A,2,1),"LC")</f>
        <v>LC</v>
      </c>
      <c r="AH11502" s="4" t="str">
        <f>HYPERLINK("#Statut_biogéographique!A"&amp;_xlfn.XMATCH("P",Statut_biogéographique!A:A,2,1),"P")</f>
        <v>P</v>
      </c>
      <c r="AP11502" s="4" t="s">
        <v>376</v>
      </c>
      <c r="AR11502" s="4" t="s">
        <v>377</v>
      </c>
    </row>
    <row r="11503" spans="1:44">
      <c r="A11503" s="4" t="s">
        <v>10753</v>
      </c>
      <c r="B11503" s="4">
        <v>233219</v>
      </c>
      <c r="D11503" s="5" t="s">
        <v>14448</v>
      </c>
      <c r="E11503" s="6" t="str">
        <f>HYPERLINK("https://inpn.mnhn.fr/espece/cd_nom/233219","Gibbaranea omoeda (Thorell, 1870)")</f>
        <v>Gibbaranea omoeda (Thorell, 1870)</v>
      </c>
      <c r="Q11503" s="7" t="str">
        <f>HYPERLINK("#Liste_rouge!A"&amp;_xlfn.XMATCH("DD",Liste_rouge!A:A,2,1),"DD")</f>
        <v>DD</v>
      </c>
      <c r="AH11503" s="4" t="str">
        <f>HYPERLINK("#Statut_biogéographique!A"&amp;_xlfn.XMATCH("P",Statut_biogéographique!A:A,2,1),"P")</f>
        <v>P</v>
      </c>
      <c r="AP11503" s="4" t="s">
        <v>376</v>
      </c>
      <c r="AR11503" s="4" t="s">
        <v>377</v>
      </c>
    </row>
    <row r="11504" spans="1:44">
      <c r="A11504" s="4" t="s">
        <v>10753</v>
      </c>
      <c r="B11504" s="4">
        <v>233221</v>
      </c>
      <c r="D11504" s="5" t="s">
        <v>14449</v>
      </c>
      <c r="E11504" s="6" t="str">
        <f>HYPERLINK("https://inpn.mnhn.fr/espece/cd_nom/233221","Hypsosinga albovittata (Westring, 1851)")</f>
        <v>Hypsosinga albovittata (Westring, 1851)</v>
      </c>
      <c r="Q11504" s="7" t="str">
        <f>HYPERLINK("#Liste_rouge!A"&amp;_xlfn.XMATCH("LC",Liste_rouge!A:A,2,1),"LC")</f>
        <v>LC</v>
      </c>
      <c r="AH11504" s="4" t="str">
        <f>HYPERLINK("#Statut_biogéographique!A"&amp;_xlfn.XMATCH("P",Statut_biogéographique!A:A,2,1),"P")</f>
        <v>P</v>
      </c>
      <c r="AP11504" s="4" t="s">
        <v>376</v>
      </c>
      <c r="AR11504" s="4" t="s">
        <v>377</v>
      </c>
    </row>
    <row r="11505" spans="1:44">
      <c r="A11505" s="4" t="s">
        <v>10753</v>
      </c>
      <c r="B11505" s="4">
        <v>233224</v>
      </c>
      <c r="D11505" s="5" t="s">
        <v>14450</v>
      </c>
      <c r="E11505" s="6" t="str">
        <f>HYPERLINK("https://inpn.mnhn.fr/espece/cd_nom/233224","Hypsosinga sanguinea (C.L. Koch, 1844)")</f>
        <v>Hypsosinga sanguinea (C.L. Koch, 1844)</v>
      </c>
      <c r="Q11505" s="7" t="str">
        <f>HYPERLINK("#Liste_rouge!A"&amp;_xlfn.XMATCH("LC",Liste_rouge!A:A,2,1),"LC")</f>
        <v>LC</v>
      </c>
      <c r="AH11505" s="4" t="str">
        <f>HYPERLINK("#Statut_biogéographique!A"&amp;_xlfn.XMATCH("P",Statut_biogéographique!A:A,2,1),"P")</f>
        <v>P</v>
      </c>
      <c r="AP11505" s="4" t="s">
        <v>376</v>
      </c>
      <c r="AR11505" s="4" t="s">
        <v>377</v>
      </c>
    </row>
    <row r="11506" spans="1:44">
      <c r="A11506" s="4" t="s">
        <v>10753</v>
      </c>
      <c r="B11506" s="4">
        <v>233226</v>
      </c>
      <c r="D11506" s="5" t="s">
        <v>14451</v>
      </c>
      <c r="E11506" s="6" t="str">
        <f>HYPERLINK("https://inpn.mnhn.fr/espece/cd_nom/233226","Larinioides cornutus (Clerck, 1758)")</f>
        <v>Larinioides cornutus (Clerck, 1758)</v>
      </c>
      <c r="F11506" s="5" t="s">
        <v>14452</v>
      </c>
      <c r="Q11506" s="7" t="str">
        <f>HYPERLINK("#Liste_rouge!A"&amp;_xlfn.XMATCH("LC",Liste_rouge!A:A,2,1),"LC")</f>
        <v>LC</v>
      </c>
      <c r="AH11506" s="4" t="str">
        <f>HYPERLINK("#Statut_biogéographique!A"&amp;_xlfn.XMATCH("P",Statut_biogéographique!A:A,2,1),"P")</f>
        <v>P</v>
      </c>
      <c r="AP11506" s="4" t="s">
        <v>376</v>
      </c>
      <c r="AR11506" s="4" t="s">
        <v>377</v>
      </c>
    </row>
    <row r="11507" spans="1:44">
      <c r="A11507" s="4" t="s">
        <v>10753</v>
      </c>
      <c r="B11507" s="4">
        <v>233237</v>
      </c>
      <c r="D11507" s="5" t="s">
        <v>14453</v>
      </c>
      <c r="E11507" s="6" t="str">
        <f>HYPERLINK("https://inpn.mnhn.fr/espece/cd_nom/233237","Zilla diodia (Walckenaer, 1802)")</f>
        <v>Zilla diodia (Walckenaer, 1802)</v>
      </c>
      <c r="F11507" s="5" t="s">
        <v>14454</v>
      </c>
      <c r="Q11507" s="7" t="str">
        <f>HYPERLINK("#Liste_rouge!A"&amp;_xlfn.XMATCH("LC",Liste_rouge!A:A,2,1),"LC")</f>
        <v>LC</v>
      </c>
      <c r="AH11507" s="4" t="str">
        <f>HYPERLINK("#Statut_biogéographique!A"&amp;_xlfn.XMATCH("P",Statut_biogéographique!A:A,2,1),"P")</f>
        <v>P</v>
      </c>
      <c r="AP11507" s="4" t="s">
        <v>376</v>
      </c>
      <c r="AR11507" s="4" t="s">
        <v>377</v>
      </c>
    </row>
    <row r="11508" spans="1:44">
      <c r="A11508" s="4" t="s">
        <v>10753</v>
      </c>
      <c r="B11508" s="4">
        <v>233242</v>
      </c>
      <c r="D11508" s="5" t="s">
        <v>14455</v>
      </c>
      <c r="E11508" s="6" t="str">
        <f>HYPERLINK("https://inpn.mnhn.fr/espece/cd_nom/233242","Zygiella x-notata (Clerck, 1758)")</f>
        <v>Zygiella x-notata (Clerck, 1758)</v>
      </c>
      <c r="F11508" s="5" t="s">
        <v>14456</v>
      </c>
      <c r="Q11508" s="7" t="str">
        <f>HYPERLINK("#Liste_rouge!A"&amp;_xlfn.XMATCH("LC",Liste_rouge!A:A,2,1),"LC")</f>
        <v>LC</v>
      </c>
      <c r="AH11508" s="4" t="str">
        <f>HYPERLINK("#Statut_biogéographique!A"&amp;_xlfn.XMATCH("P",Statut_biogéographique!A:A,2,1),"P")</f>
        <v>P</v>
      </c>
      <c r="AP11508" s="4" t="s">
        <v>376</v>
      </c>
      <c r="AR11508" s="4" t="s">
        <v>377</v>
      </c>
    </row>
    <row r="11509" spans="1:44">
      <c r="A11509" s="4" t="s">
        <v>10753</v>
      </c>
      <c r="B11509" s="4">
        <v>233243</v>
      </c>
      <c r="D11509" s="5" t="s">
        <v>14457</v>
      </c>
      <c r="E11509" s="6" t="str">
        <f>HYPERLINK("https://inpn.mnhn.fr/espece/cd_nom/233243","Clubiona comta C.L. Koch, 1839")</f>
        <v>Clubiona comta C.L. Koch, 1839</v>
      </c>
      <c r="Q11509" s="7" t="str">
        <f>HYPERLINK("#Liste_rouge!A"&amp;_xlfn.XMATCH("LC",Liste_rouge!A:A,2,1),"LC")</f>
        <v>LC</v>
      </c>
      <c r="AH11509" s="4" t="str">
        <f>HYPERLINK("#Statut_biogéographique!A"&amp;_xlfn.XMATCH("P",Statut_biogéographique!A:A,2,1),"P")</f>
        <v>P</v>
      </c>
      <c r="AP11509" s="4" t="s">
        <v>376</v>
      </c>
      <c r="AR11509" s="4" t="s">
        <v>377</v>
      </c>
    </row>
    <row r="11510" spans="1:44">
      <c r="A11510" s="4" t="s">
        <v>10753</v>
      </c>
      <c r="B11510" s="4">
        <v>233245</v>
      </c>
      <c r="D11510" s="5" t="s">
        <v>14458</v>
      </c>
      <c r="E11510" s="6" t="str">
        <f>HYPERLINK("https://inpn.mnhn.fr/espece/cd_nom/233245","Cetonana laticeps (Canestrini, 1868)")</f>
        <v>Cetonana laticeps (Canestrini, 1868)</v>
      </c>
      <c r="Q11510" s="7" t="str">
        <f>HYPERLINK("#Liste_rouge!A"&amp;_xlfn.XMATCH("LC",Liste_rouge!A:A,2,1),"LC")</f>
        <v>LC</v>
      </c>
      <c r="AH11510" s="4" t="str">
        <f>HYPERLINK("#Statut_biogéographique!A"&amp;_xlfn.XMATCH("P",Statut_biogéographique!A:A,2,1),"P")</f>
        <v>P</v>
      </c>
      <c r="AP11510" s="4" t="s">
        <v>376</v>
      </c>
      <c r="AR11510" s="4" t="s">
        <v>377</v>
      </c>
    </row>
    <row r="11511" spans="1:44">
      <c r="A11511" s="4" t="s">
        <v>10753</v>
      </c>
      <c r="B11511" s="4">
        <v>233253</v>
      </c>
      <c r="D11511" s="5" t="s">
        <v>14459</v>
      </c>
      <c r="E11511" s="6" t="str">
        <f>HYPERLINK("https://inpn.mnhn.fr/espece/cd_nom/233253","Cicurina cicur (Fabricius, 1793)")</f>
        <v>Cicurina cicur (Fabricius, 1793)</v>
      </c>
      <c r="Q11511" s="7" t="str">
        <f>HYPERLINK("#Liste_rouge!A"&amp;_xlfn.XMATCH("LC",Liste_rouge!A:A,2,1),"LC")</f>
        <v>LC</v>
      </c>
      <c r="AH11511" s="4" t="str">
        <f>HYPERLINK("#Statut_biogéographique!A"&amp;_xlfn.XMATCH("P",Statut_biogéographique!A:A,2,1),"P")</f>
        <v>P</v>
      </c>
      <c r="AP11511" s="4" t="s">
        <v>376</v>
      </c>
      <c r="AR11511" s="4" t="s">
        <v>377</v>
      </c>
    </row>
    <row r="11512" spans="1:44">
      <c r="A11512" s="4" t="s">
        <v>10753</v>
      </c>
      <c r="B11512" s="4">
        <v>233266</v>
      </c>
      <c r="D11512" s="5" t="s">
        <v>14460</v>
      </c>
      <c r="E11512" s="6" t="str">
        <f>HYPERLINK("https://inpn.mnhn.fr/espece/cd_nom/233266","Nigma puella (Simon, 1870)")</f>
        <v>Nigma puella (Simon, 1870)</v>
      </c>
      <c r="F11512" s="5" t="s">
        <v>14461</v>
      </c>
      <c r="Q11512" s="7" t="str">
        <f>HYPERLINK("#Liste_rouge!A"&amp;_xlfn.XMATCH("LC",Liste_rouge!A:A,2,1),"LC")</f>
        <v>LC</v>
      </c>
      <c r="AH11512" s="4" t="str">
        <f>HYPERLINK("#Statut_biogéographique!A"&amp;_xlfn.XMATCH("P",Statut_biogéographique!A:A,2,1),"P")</f>
        <v>P</v>
      </c>
      <c r="AP11512" s="4" t="s">
        <v>376</v>
      </c>
      <c r="AR11512" s="4" t="s">
        <v>377</v>
      </c>
    </row>
    <row r="11513" spans="1:44">
      <c r="A11513" s="4" t="s">
        <v>10753</v>
      </c>
      <c r="B11513" s="4">
        <v>233268</v>
      </c>
      <c r="D11513" s="5" t="s">
        <v>14462</v>
      </c>
      <c r="E11513" s="6" t="str">
        <f>HYPERLINK("https://inpn.mnhn.fr/espece/cd_nom/233268","Nigma walckenaeri (Roewer, 1951)")</f>
        <v>Nigma walckenaeri (Roewer, 1951)</v>
      </c>
      <c r="Q11513" s="7" t="str">
        <f>HYPERLINK("#Liste_rouge!A"&amp;_xlfn.XMATCH("LC",Liste_rouge!A:A,2,1),"LC")</f>
        <v>LC</v>
      </c>
      <c r="AH11513" s="4" t="str">
        <f>HYPERLINK("#Statut_biogéographique!A"&amp;_xlfn.XMATCH("P",Statut_biogéographique!A:A,2,1),"P")</f>
        <v>P</v>
      </c>
      <c r="AP11513" s="4" t="s">
        <v>376</v>
      </c>
      <c r="AR11513" s="4" t="s">
        <v>377</v>
      </c>
    </row>
    <row r="11514" spans="1:44">
      <c r="A11514" s="4" t="s">
        <v>10753</v>
      </c>
      <c r="B11514" s="4">
        <v>23327</v>
      </c>
      <c r="D11514" s="5" t="s">
        <v>14463</v>
      </c>
      <c r="E11514" s="6" t="str">
        <f>HYPERLINK("https://inpn.mnhn.fr/espece/cd_nom/23327","Platypalpus rapidus (Meigen, 1822)")</f>
        <v>Platypalpus rapidus (Meigen, 1822)</v>
      </c>
      <c r="AH11514" s="4" t="str">
        <f>HYPERLINK("#Statut_biogéographique!A"&amp;_xlfn.XMATCH("P",Statut_biogéographique!A:A,2,1),"P")</f>
        <v>P</v>
      </c>
      <c r="AP11514" s="4" t="s">
        <v>376</v>
      </c>
      <c r="AR11514" s="4" t="s">
        <v>377</v>
      </c>
    </row>
    <row r="11515" spans="1:44">
      <c r="A11515" s="4" t="s">
        <v>10753</v>
      </c>
      <c r="B11515" s="4">
        <v>233271</v>
      </c>
      <c r="D11515" s="5" t="s">
        <v>14464</v>
      </c>
      <c r="E11515" s="6" t="str">
        <f>HYPERLINK("https://inpn.mnhn.fr/espece/cd_nom/233271","Dysdera erythrina (Walckenaer, 1802)")</f>
        <v>Dysdera erythrina (Walckenaer, 1802)</v>
      </c>
      <c r="F11515" s="5" t="s">
        <v>14465</v>
      </c>
      <c r="Q11515" s="7" t="str">
        <f>HYPERLINK("#Liste_rouge!A"&amp;_xlfn.XMATCH("LC",Liste_rouge!A:A,2,1),"LC")</f>
        <v>LC</v>
      </c>
      <c r="AH11515" s="4" t="str">
        <f>HYPERLINK("#Statut_biogéographique!A"&amp;_xlfn.XMATCH("P",Statut_biogéographique!A:A,2,1),"P")</f>
        <v>P</v>
      </c>
      <c r="AP11515" s="4" t="s">
        <v>376</v>
      </c>
      <c r="AR11515" s="4" t="s">
        <v>377</v>
      </c>
    </row>
    <row r="11516" spans="1:44">
      <c r="A11516" s="4" t="s">
        <v>10753</v>
      </c>
      <c r="B11516" s="4">
        <v>233284</v>
      </c>
      <c r="D11516" s="5" t="s">
        <v>14466</v>
      </c>
      <c r="E11516" s="6" t="str">
        <f>HYPERLINK("https://inpn.mnhn.fr/espece/cd_nom/233284","Harpactea hombergi (Scopoli, 1763)")</f>
        <v>Harpactea hombergi (Scopoli, 1763)</v>
      </c>
      <c r="F11516" s="5" t="s">
        <v>14467</v>
      </c>
      <c r="Q11516" s="7" t="str">
        <f>HYPERLINK("#Liste_rouge!A"&amp;_xlfn.XMATCH("LC",Liste_rouge!A:A,2,1),"LC")</f>
        <v>LC</v>
      </c>
      <c r="AH11516" s="4" t="str">
        <f>HYPERLINK("#Statut_biogéographique!A"&amp;_xlfn.XMATCH("P",Statut_biogéographique!A:A,2,1),"P")</f>
        <v>P</v>
      </c>
      <c r="AP11516" s="4" t="s">
        <v>376</v>
      </c>
      <c r="AR11516" s="4" t="s">
        <v>377</v>
      </c>
    </row>
    <row r="11517" spans="1:44">
      <c r="A11517" s="4" t="s">
        <v>10753</v>
      </c>
      <c r="B11517" s="4">
        <v>233285</v>
      </c>
      <c r="D11517" s="5" t="s">
        <v>14468</v>
      </c>
      <c r="E11517" s="6" t="str">
        <f>HYPERLINK("https://inpn.mnhn.fr/espece/cd_nom/233285","Harpactea lepida (C.L. Koch, 1838)")</f>
        <v>Harpactea lepida (C.L. Koch, 1838)</v>
      </c>
      <c r="AH11517" s="4" t="str">
        <f>HYPERLINK("#Statut_biogéographique!A"&amp;_xlfn.XMATCH("P",Statut_biogéographique!A:A,2,1),"P")</f>
        <v>P</v>
      </c>
      <c r="AP11517" s="4" t="s">
        <v>376</v>
      </c>
      <c r="AR11517" s="4" t="s">
        <v>377</v>
      </c>
    </row>
    <row r="11518" spans="1:44">
      <c r="A11518" s="4" t="s">
        <v>10753</v>
      </c>
      <c r="B11518" s="4">
        <v>23329</v>
      </c>
      <c r="D11518" s="5" t="s">
        <v>14469</v>
      </c>
      <c r="E11518" s="6" t="str">
        <f>HYPERLINK("https://inpn.mnhn.fr/espece/cd_nom/23329","Platypalpus stabilis (Collin, 1961)")</f>
        <v>Platypalpus stabilis (Collin, 1961)</v>
      </c>
      <c r="AH11518" s="4" t="str">
        <f>HYPERLINK("#Statut_biogéographique!A"&amp;_xlfn.XMATCH("P",Statut_biogéographique!A:A,2,1),"P")</f>
        <v>P</v>
      </c>
      <c r="AP11518" s="4" t="s">
        <v>376</v>
      </c>
      <c r="AR11518" s="4" t="s">
        <v>377</v>
      </c>
    </row>
    <row r="11519" spans="1:44">
      <c r="A11519" s="4" t="s">
        <v>10753</v>
      </c>
      <c r="B11519" s="4">
        <v>233305</v>
      </c>
      <c r="D11519" s="5" t="s">
        <v>14470</v>
      </c>
      <c r="E11519" s="6" t="str">
        <f>HYPERLINK("https://inpn.mnhn.fr/espece/cd_nom/233305","Drassodes cupreus (Blackwall, 1834)")</f>
        <v>Drassodes cupreus (Blackwall, 1834)</v>
      </c>
      <c r="Q11519" s="7" t="str">
        <f>HYPERLINK("#Liste_rouge!A"&amp;_xlfn.XMATCH("LC",Liste_rouge!A:A,2,1),"LC")</f>
        <v>LC</v>
      </c>
      <c r="AH11519" s="4" t="str">
        <f>HYPERLINK("#Statut_biogéographique!A"&amp;_xlfn.XMATCH("P",Statut_biogéographique!A:A,2,1),"P")</f>
        <v>P</v>
      </c>
      <c r="AP11519" s="4" t="s">
        <v>376</v>
      </c>
      <c r="AR11519" s="4" t="s">
        <v>377</v>
      </c>
    </row>
    <row r="11520" spans="1:44">
      <c r="A11520" s="4" t="s">
        <v>10753</v>
      </c>
      <c r="B11520" s="4">
        <v>233318</v>
      </c>
      <c r="D11520" s="5" t="s">
        <v>14471</v>
      </c>
      <c r="E11520" s="6" t="str">
        <f>HYPERLINK("https://inpn.mnhn.fr/espece/cd_nom/233318","Drassyllus praeficus (L. Koch, 1866)")</f>
        <v>Drassyllus praeficus (L. Koch, 1866)</v>
      </c>
      <c r="Q11520" s="7" t="str">
        <f>HYPERLINK("#Liste_rouge!A"&amp;_xlfn.XMATCH("LC",Liste_rouge!A:A,2,1),"LC")</f>
        <v>LC</v>
      </c>
      <c r="AH11520" s="4" t="str">
        <f>HYPERLINK("#Statut_biogéographique!A"&amp;_xlfn.XMATCH("P",Statut_biogéographique!A:A,2,1),"P")</f>
        <v>P</v>
      </c>
      <c r="AP11520" s="4" t="s">
        <v>376</v>
      </c>
      <c r="AR11520" s="4" t="s">
        <v>377</v>
      </c>
    </row>
    <row r="11521" spans="1:44">
      <c r="A11521" s="4" t="s">
        <v>10753</v>
      </c>
      <c r="B11521" s="4">
        <v>233327</v>
      </c>
      <c r="D11521" s="5" t="s">
        <v>14472</v>
      </c>
      <c r="E11521" s="6" t="str">
        <f>HYPERLINK("https://inpn.mnhn.fr/espece/cd_nom/233327","Gnaphosa bicolor (Hahn, 1833)")</f>
        <v>Gnaphosa bicolor (Hahn, 1833)</v>
      </c>
      <c r="Q11521" s="7" t="str">
        <f>HYPERLINK("#Liste_rouge!A"&amp;_xlfn.XMATCH("DD",Liste_rouge!A:A,2,1),"DD")</f>
        <v>DD</v>
      </c>
      <c r="AH11521" s="4" t="str">
        <f>HYPERLINK("#Statut_biogéographique!A"&amp;_xlfn.XMATCH("P",Statut_biogéographique!A:A,2,1),"P")</f>
        <v>P</v>
      </c>
      <c r="AP11521" s="4" t="s">
        <v>376</v>
      </c>
      <c r="AR11521" s="4" t="s">
        <v>377</v>
      </c>
    </row>
    <row r="11522" spans="1:44">
      <c r="A11522" s="4" t="s">
        <v>10753</v>
      </c>
      <c r="B11522" s="4">
        <v>233333</v>
      </c>
      <c r="D11522" s="5" t="s">
        <v>14473</v>
      </c>
      <c r="E11522" s="6" t="str">
        <f>HYPERLINK("https://inpn.mnhn.fr/espece/cd_nom/233333","Gnaphosa montana (L. Koch, 1866)")</f>
        <v>Gnaphosa montana (L. Koch, 1866)</v>
      </c>
      <c r="Q11522" s="7" t="str">
        <f>HYPERLINK("#Liste_rouge!A"&amp;_xlfn.XMATCH("DD",Liste_rouge!A:A,2,1),"DD")</f>
        <v>DD</v>
      </c>
      <c r="AH11522" s="4" t="str">
        <f>HYPERLINK("#Statut_biogéographique!A"&amp;_xlfn.XMATCH("P",Statut_biogéographique!A:A,2,1),"P")</f>
        <v>P</v>
      </c>
      <c r="AP11522" s="4" t="s">
        <v>376</v>
      </c>
      <c r="AR11522" s="4" t="s">
        <v>377</v>
      </c>
    </row>
    <row r="11523" spans="1:44">
      <c r="A11523" s="4" t="s">
        <v>10753</v>
      </c>
      <c r="B11523" s="4">
        <v>233376</v>
      </c>
      <c r="D11523" s="5" t="s">
        <v>14474</v>
      </c>
      <c r="E11523" s="6" t="str">
        <f>HYPERLINK("https://inpn.mnhn.fr/espece/cd_nom/233376","Scotophaeus scutulatus (L. Koch, 1866)")</f>
        <v>Scotophaeus scutulatus (L. Koch, 1866)</v>
      </c>
      <c r="Q11523" s="7" t="str">
        <f>HYPERLINK("#Liste_rouge!A"&amp;_xlfn.XMATCH("LC",Liste_rouge!A:A,2,1),"LC")</f>
        <v>LC</v>
      </c>
      <c r="AH11523" s="4" t="str">
        <f>HYPERLINK("#Statut_biogéographique!A"&amp;_xlfn.XMATCH("P",Statut_biogéographique!A:A,2,1),"P")</f>
        <v>P</v>
      </c>
      <c r="AP11523" s="4" t="s">
        <v>376</v>
      </c>
      <c r="AR11523" s="4" t="s">
        <v>377</v>
      </c>
    </row>
    <row r="11524" spans="1:44" ht="30">
      <c r="A11524" s="4" t="s">
        <v>10753</v>
      </c>
      <c r="B11524" s="4">
        <v>233456</v>
      </c>
      <c r="D11524" s="5" t="s">
        <v>14475</v>
      </c>
      <c r="E11524" s="6" t="str">
        <f>HYPERLINK("https://inpn.mnhn.fr/espece/cd_nom/233456","Agyneta conigera (O. Pickard-Cambridge, 1863)")</f>
        <v>Agyneta conigera (O. Pickard-Cambridge, 1863)</v>
      </c>
      <c r="Q11524" s="7" t="str">
        <f>HYPERLINK("#Liste_rouge!A"&amp;_xlfn.XMATCH("LC",Liste_rouge!A:A,2,1),"LC")</f>
        <v>LC</v>
      </c>
      <c r="AH11524" s="4" t="str">
        <f>HYPERLINK("#Statut_biogéographique!A"&amp;_xlfn.XMATCH("P",Statut_biogéographique!A:A,2,1),"P")</f>
        <v>P</v>
      </c>
      <c r="AP11524" s="4" t="s">
        <v>376</v>
      </c>
      <c r="AR11524" s="4" t="s">
        <v>377</v>
      </c>
    </row>
    <row r="11525" spans="1:44" ht="30">
      <c r="A11525" s="4" t="s">
        <v>10753</v>
      </c>
      <c r="B11525" s="4">
        <v>23346</v>
      </c>
      <c r="D11525" s="5" t="s">
        <v>14476</v>
      </c>
      <c r="E11525" s="6" t="str">
        <f>HYPERLINK("https://inpn.mnhn.fr/espece/cd_nom/23346","Symballophthalmus fuscitarsis (Zetterstedt, 1859)")</f>
        <v>Symballophthalmus fuscitarsis (Zetterstedt, 1859)</v>
      </c>
      <c r="AH11525" s="4" t="str">
        <f>HYPERLINK("#Statut_biogéographique!A"&amp;_xlfn.XMATCH("P",Statut_biogéographique!A:A,2,1),"P")</f>
        <v>P</v>
      </c>
      <c r="AP11525" s="4" t="s">
        <v>376</v>
      </c>
      <c r="AR11525" s="4" t="s">
        <v>377</v>
      </c>
    </row>
    <row r="11526" spans="1:44">
      <c r="A11526" s="4" t="s">
        <v>10753</v>
      </c>
      <c r="B11526" s="4">
        <v>233466</v>
      </c>
      <c r="D11526" s="5" t="s">
        <v>14477</v>
      </c>
      <c r="E11526" s="6" t="str">
        <f>HYPERLINK("https://inpn.mnhn.fr/espece/cd_nom/233466","Araeoncus humilis (Blackwall, 1841)")</f>
        <v>Araeoncus humilis (Blackwall, 1841)</v>
      </c>
      <c r="Q11526" s="7" t="str">
        <f>HYPERLINK("#Liste_rouge!A"&amp;_xlfn.XMATCH("LC",Liste_rouge!A:A,2,1),"LC")</f>
        <v>LC</v>
      </c>
      <c r="AH11526" s="4" t="str">
        <f>HYPERLINK("#Statut_biogéographique!A"&amp;_xlfn.XMATCH("P",Statut_biogéographique!A:A,2,1),"P")</f>
        <v>P</v>
      </c>
      <c r="AP11526" s="4" t="s">
        <v>376</v>
      </c>
      <c r="AR11526" s="4" t="s">
        <v>377</v>
      </c>
    </row>
    <row r="11527" spans="1:44">
      <c r="A11527" s="4" t="s">
        <v>10753</v>
      </c>
      <c r="B11527" s="4">
        <v>233470</v>
      </c>
      <c r="D11527" s="5" t="s">
        <v>14478</v>
      </c>
      <c r="E11527" s="6" t="str">
        <f>HYPERLINK("https://inpn.mnhn.fr/espece/cd_nom/233470","Asthenargus paganus (Simon, 1884)")</f>
        <v>Asthenargus paganus (Simon, 1884)</v>
      </c>
      <c r="Q11527" s="7" t="str">
        <f>HYPERLINK("#Liste_rouge!A"&amp;_xlfn.XMATCH("DD",Liste_rouge!A:A,2,1),"DD")</f>
        <v>DD</v>
      </c>
      <c r="AH11527" s="4" t="str">
        <f>HYPERLINK("#Statut_biogéographique!A"&amp;_xlfn.XMATCH("P",Statut_biogéographique!A:A,2,1),"P")</f>
        <v>P</v>
      </c>
      <c r="AP11527" s="4" t="s">
        <v>376</v>
      </c>
      <c r="AR11527" s="4" t="s">
        <v>377</v>
      </c>
    </row>
    <row r="11528" spans="1:44" ht="30">
      <c r="A11528" s="4" t="s">
        <v>10753</v>
      </c>
      <c r="B11528" s="4">
        <v>233488</v>
      </c>
      <c r="D11528" s="5" t="s">
        <v>14479</v>
      </c>
      <c r="E11528" s="6" t="str">
        <f>HYPERLINK("https://inpn.mnhn.fr/espece/cd_nom/233488","Centromerus arcanus (O. Pickard-Cambridge, 1873)")</f>
        <v>Centromerus arcanus (O. Pickard-Cambridge, 1873)</v>
      </c>
      <c r="Q11528" s="7" t="str">
        <f>HYPERLINK("#Liste_rouge!A"&amp;_xlfn.XMATCH("LC",Liste_rouge!A:A,2,1),"LC")</f>
        <v>LC</v>
      </c>
      <c r="AH11528" s="4" t="str">
        <f>HYPERLINK("#Statut_biogéographique!A"&amp;_xlfn.XMATCH("P",Statut_biogéographique!A:A,2,1),"P")</f>
        <v>P</v>
      </c>
      <c r="AP11528" s="4" t="s">
        <v>376</v>
      </c>
      <c r="AR11528" s="4" t="s">
        <v>377</v>
      </c>
    </row>
    <row r="11529" spans="1:44">
      <c r="A11529" s="4" t="s">
        <v>10753</v>
      </c>
      <c r="B11529" s="4">
        <v>23350</v>
      </c>
      <c r="D11529" s="5" t="s">
        <v>14480</v>
      </c>
      <c r="E11529" s="6" t="str">
        <f>HYPERLINK("https://inpn.mnhn.fr/espece/cd_nom/23350","Tachydromia aemula (Loew, 1864)")</f>
        <v>Tachydromia aemula (Loew, 1864)</v>
      </c>
      <c r="AH11529" s="4" t="str">
        <f>HYPERLINK("#Statut_biogéographique!A"&amp;_xlfn.XMATCH("P",Statut_biogéographique!A:A,2,1),"P")</f>
        <v>P</v>
      </c>
      <c r="AP11529" s="4" t="s">
        <v>376</v>
      </c>
      <c r="AR11529" s="4" t="s">
        <v>377</v>
      </c>
    </row>
    <row r="11530" spans="1:44" ht="30">
      <c r="A11530" s="4" t="s">
        <v>10753</v>
      </c>
      <c r="B11530" s="4">
        <v>233502</v>
      </c>
      <c r="D11530" s="5" t="s">
        <v>14481</v>
      </c>
      <c r="E11530" s="6" t="str">
        <f>HYPERLINK("https://inpn.mnhn.fr/espece/cd_nom/233502","Centromerus serratus (O. Pickard-Cambridge, 1875)")</f>
        <v>Centromerus serratus (O. Pickard-Cambridge, 1875)</v>
      </c>
      <c r="Q11530" s="7" t="str">
        <f>HYPERLINK("#Liste_rouge!A"&amp;_xlfn.XMATCH("LC",Liste_rouge!A:A,2,1),"LC")</f>
        <v>LC</v>
      </c>
      <c r="AH11530" s="4" t="str">
        <f>HYPERLINK("#Statut_biogéographique!A"&amp;_xlfn.XMATCH("P",Statut_biogéographique!A:A,2,1),"P")</f>
        <v>P</v>
      </c>
      <c r="AP11530" s="4" t="s">
        <v>376</v>
      </c>
      <c r="AR11530" s="4" t="s">
        <v>377</v>
      </c>
    </row>
    <row r="11531" spans="1:44" ht="30">
      <c r="A11531" s="4" t="s">
        <v>10753</v>
      </c>
      <c r="B11531" s="4">
        <v>233505</v>
      </c>
      <c r="D11531" s="5" t="s">
        <v>14482</v>
      </c>
      <c r="E11531" s="6" t="str">
        <f>HYPERLINK("https://inpn.mnhn.fr/espece/cd_nom/233505","Ceratinella scabrosa (O. Pickard-Cambridge, 1871)")</f>
        <v>Ceratinella scabrosa (O. Pickard-Cambridge, 1871)</v>
      </c>
      <c r="Q11531" s="7" t="str">
        <f>HYPERLINK("#Liste_rouge!A"&amp;_xlfn.XMATCH("LC",Liste_rouge!A:A,2,1),"LC")</f>
        <v>LC</v>
      </c>
      <c r="AH11531" s="4" t="str">
        <f>HYPERLINK("#Statut_biogéographique!A"&amp;_xlfn.XMATCH("P",Statut_biogéographique!A:A,2,1),"P")</f>
        <v>P</v>
      </c>
      <c r="AP11531" s="4" t="s">
        <v>376</v>
      </c>
      <c r="AR11531" s="4" t="s">
        <v>377</v>
      </c>
    </row>
    <row r="11532" spans="1:44">
      <c r="A11532" s="4" t="s">
        <v>10753</v>
      </c>
      <c r="B11532" s="4">
        <v>233507</v>
      </c>
      <c r="D11532" s="5" t="s">
        <v>14483</v>
      </c>
      <c r="E11532" s="6" t="str">
        <f>HYPERLINK("https://inpn.mnhn.fr/espece/cd_nom/233507","Cinetata gradata (Simon, 1881)")</f>
        <v>Cinetata gradata (Simon, 1881)</v>
      </c>
      <c r="Q11532" s="7" t="str">
        <f>HYPERLINK("#Liste_rouge!A"&amp;_xlfn.XMATCH("LC",Liste_rouge!A:A,2,1),"LC")</f>
        <v>LC</v>
      </c>
      <c r="AH11532" s="4" t="str">
        <f>HYPERLINK("#Statut_biogéographique!A"&amp;_xlfn.XMATCH("P",Statut_biogéographique!A:A,2,1),"P")</f>
        <v>P</v>
      </c>
      <c r="AP11532" s="4" t="s">
        <v>376</v>
      </c>
      <c r="AR11532" s="4" t="s">
        <v>377</v>
      </c>
    </row>
    <row r="11533" spans="1:44">
      <c r="A11533" s="4" t="s">
        <v>10753</v>
      </c>
      <c r="B11533" s="4">
        <v>23351</v>
      </c>
      <c r="D11533" s="5">
        <v>23351</v>
      </c>
      <c r="E11533" s="6" t="str">
        <f>HYPERLINK("https://inpn.mnhn.fr/espece/cd_nom/23351","Tachydromia annulimana Meigen, 1822")</f>
        <v>Tachydromia annulimana Meigen, 1822</v>
      </c>
      <c r="AH11533" s="4" t="str">
        <f>HYPERLINK("#Statut_biogéographique!A"&amp;_xlfn.XMATCH("P",Statut_biogéographique!A:A,2,1),"P")</f>
        <v>P</v>
      </c>
      <c r="AP11533" s="4" t="s">
        <v>376</v>
      </c>
      <c r="AR11533" s="4" t="s">
        <v>377</v>
      </c>
    </row>
    <row r="11534" spans="1:44">
      <c r="A11534" s="4" t="s">
        <v>10753</v>
      </c>
      <c r="B11534" s="4">
        <v>23352</v>
      </c>
      <c r="D11534" s="5" t="s">
        <v>14484</v>
      </c>
      <c r="E11534" s="6" t="str">
        <f>HYPERLINK("https://inpn.mnhn.fr/espece/cd_nom/23352","Tachydromia arrogans (Linnaeus, 1761)")</f>
        <v>Tachydromia arrogans (Linnaeus, 1761)</v>
      </c>
      <c r="AH11534" s="4" t="str">
        <f>HYPERLINK("#Statut_biogéographique!A"&amp;_xlfn.XMATCH("P",Statut_biogéographique!A:A,2,1),"P")</f>
        <v>P</v>
      </c>
      <c r="AP11534" s="4" t="s">
        <v>376</v>
      </c>
      <c r="AR11534" s="4" t="s">
        <v>377</v>
      </c>
    </row>
    <row r="11535" spans="1:44" ht="30">
      <c r="A11535" s="4" t="s">
        <v>10753</v>
      </c>
      <c r="B11535" s="4">
        <v>233529</v>
      </c>
      <c r="D11535" s="5" t="s">
        <v>14485</v>
      </c>
      <c r="E11535" s="6" t="str">
        <f>HYPERLINK("https://inpn.mnhn.fr/espece/cd_nom/233529","Diplocephalus latifrons (O. Pickard-Cambridge, 1863)")</f>
        <v>Diplocephalus latifrons (O. Pickard-Cambridge, 1863)</v>
      </c>
      <c r="Q11535" s="7" t="str">
        <f>HYPERLINK("#Liste_rouge!A"&amp;_xlfn.XMATCH("LC",Liste_rouge!A:A,2,1),"LC")</f>
        <v>LC</v>
      </c>
      <c r="AH11535" s="4" t="str">
        <f>HYPERLINK("#Statut_biogéographique!A"&amp;_xlfn.XMATCH("P",Statut_biogéographique!A:A,2,1),"P")</f>
        <v>P</v>
      </c>
      <c r="AP11535" s="4" t="s">
        <v>376</v>
      </c>
      <c r="AR11535" s="4" t="s">
        <v>377</v>
      </c>
    </row>
    <row r="11536" spans="1:44">
      <c r="A11536" s="4" t="s">
        <v>10753</v>
      </c>
      <c r="B11536" s="4">
        <v>23353</v>
      </c>
      <c r="D11536" s="5">
        <v>23353</v>
      </c>
      <c r="E11536" s="6" t="str">
        <f>HYPERLINK("https://inpn.mnhn.fr/espece/cd_nom/23353","Tachydromia connexa Meigen, 1822")</f>
        <v>Tachydromia connexa Meigen, 1822</v>
      </c>
      <c r="AH11536" s="4" t="str">
        <f>HYPERLINK("#Statut_biogéographique!A"&amp;_xlfn.XMATCH("P",Statut_biogéographique!A:A,2,1),"P")</f>
        <v>P</v>
      </c>
      <c r="AP11536" s="4" t="s">
        <v>376</v>
      </c>
      <c r="AR11536" s="4" t="s">
        <v>377</v>
      </c>
    </row>
    <row r="11537" spans="1:44" ht="30">
      <c r="A11537" s="4" t="s">
        <v>10753</v>
      </c>
      <c r="B11537" s="4">
        <v>233532</v>
      </c>
      <c r="D11537" s="5" t="s">
        <v>14486</v>
      </c>
      <c r="E11537" s="6" t="str">
        <f>HYPERLINK("https://inpn.mnhn.fr/espece/cd_nom/233532","Diplocephalus permixtus (O. Pickard-Cambridge, 1871)")</f>
        <v>Diplocephalus permixtus (O. Pickard-Cambridge, 1871)</v>
      </c>
      <c r="Q11537" s="7" t="str">
        <f>HYPERLINK("#Liste_rouge!A"&amp;_xlfn.XMATCH("LC",Liste_rouge!A:A,2,1),"LC")</f>
        <v>LC</v>
      </c>
      <c r="AH11537" s="4" t="str">
        <f>HYPERLINK("#Statut_biogéographique!A"&amp;_xlfn.XMATCH("P",Statut_biogéographique!A:A,2,1),"P")</f>
        <v>P</v>
      </c>
      <c r="AP11537" s="4" t="s">
        <v>376</v>
      </c>
      <c r="AR11537" s="4" t="s">
        <v>377</v>
      </c>
    </row>
    <row r="11538" spans="1:44">
      <c r="A11538" s="4" t="s">
        <v>10753</v>
      </c>
      <c r="B11538" s="4">
        <v>233533</v>
      </c>
      <c r="D11538" s="5" t="s">
        <v>14487</v>
      </c>
      <c r="E11538" s="6" t="str">
        <f>HYPERLINK("https://inpn.mnhn.fr/espece/cd_nom/233533","Diplocephalus picinus (Blackwall, 1841)")</f>
        <v>Diplocephalus picinus (Blackwall, 1841)</v>
      </c>
      <c r="Q11538" s="7" t="str">
        <f>HYPERLINK("#Liste_rouge!A"&amp;_xlfn.XMATCH("LC",Liste_rouge!A:A,2,1),"LC")</f>
        <v>LC</v>
      </c>
      <c r="AH11538" s="4" t="str">
        <f>HYPERLINK("#Statut_biogéographique!A"&amp;_xlfn.XMATCH("P",Statut_biogéographique!A:A,2,1),"P")</f>
        <v>P</v>
      </c>
      <c r="AP11538" s="4" t="s">
        <v>376</v>
      </c>
      <c r="AR11538" s="4" t="s">
        <v>377</v>
      </c>
    </row>
    <row r="11539" spans="1:44">
      <c r="A11539" s="4" t="s">
        <v>10753</v>
      </c>
      <c r="B11539" s="4">
        <v>233538</v>
      </c>
      <c r="D11539" s="5" t="s">
        <v>14488</v>
      </c>
      <c r="E11539" s="6" t="str">
        <f>HYPERLINK("https://inpn.mnhn.fr/espece/cd_nom/233538","Dismodicus elevatus (C.L. Koch, 1838)")</f>
        <v>Dismodicus elevatus (C.L. Koch, 1838)</v>
      </c>
      <c r="Q11539" s="7" t="str">
        <f>HYPERLINK("#Liste_rouge!A"&amp;_xlfn.XMATCH("LC",Liste_rouge!A:A,2,1),"LC")</f>
        <v>LC</v>
      </c>
      <c r="AH11539" s="4" t="str">
        <f>HYPERLINK("#Statut_biogéographique!A"&amp;_xlfn.XMATCH("P",Statut_biogéographique!A:A,2,1),"P")</f>
        <v>P</v>
      </c>
      <c r="AP11539" s="4" t="s">
        <v>376</v>
      </c>
      <c r="AR11539" s="4" t="s">
        <v>377</v>
      </c>
    </row>
    <row r="11540" spans="1:44">
      <c r="A11540" s="4" t="s">
        <v>10753</v>
      </c>
      <c r="B11540" s="4">
        <v>233541</v>
      </c>
      <c r="D11540" s="5" t="s">
        <v>14489</v>
      </c>
      <c r="E11540" s="6" t="str">
        <f>HYPERLINK("https://inpn.mnhn.fr/espece/cd_nom/233541","Drapetisca socialis (Sundevall, 1833)")</f>
        <v>Drapetisca socialis (Sundevall, 1833)</v>
      </c>
      <c r="Q11540" s="7" t="str">
        <f>HYPERLINK("#Liste_rouge!A"&amp;_xlfn.XMATCH("LC",Liste_rouge!A:A,2,1),"LC")</f>
        <v>LC</v>
      </c>
      <c r="AH11540" s="4" t="str">
        <f>HYPERLINK("#Statut_biogéographique!A"&amp;_xlfn.XMATCH("P",Statut_biogéographique!A:A,2,1),"P")</f>
        <v>P</v>
      </c>
      <c r="AP11540" s="4" t="s">
        <v>376</v>
      </c>
      <c r="AR11540" s="4" t="s">
        <v>377</v>
      </c>
    </row>
    <row r="11541" spans="1:44">
      <c r="A11541" s="4" t="s">
        <v>10753</v>
      </c>
      <c r="B11541" s="4">
        <v>233544</v>
      </c>
      <c r="D11541" s="5" t="s">
        <v>14490</v>
      </c>
      <c r="E11541" s="6" t="str">
        <f>HYPERLINK("https://inpn.mnhn.fr/espece/cd_nom/233544","Entelecara acuminata (Wider, 1834)")</f>
        <v>Entelecara acuminata (Wider, 1834)</v>
      </c>
      <c r="Q11541" s="7" t="str">
        <f>HYPERLINK("#Liste_rouge!A"&amp;_xlfn.XMATCH("LC",Liste_rouge!A:A,2,1),"LC")</f>
        <v>LC</v>
      </c>
      <c r="AH11541" s="4" t="str">
        <f>HYPERLINK("#Statut_biogéographique!A"&amp;_xlfn.XMATCH("P",Statut_biogéographique!A:A,2,1),"P")</f>
        <v>P</v>
      </c>
      <c r="AP11541" s="4" t="s">
        <v>376</v>
      </c>
      <c r="AR11541" s="4" t="s">
        <v>377</v>
      </c>
    </row>
    <row r="11542" spans="1:44" ht="30">
      <c r="A11542" s="4" t="s">
        <v>10753</v>
      </c>
      <c r="B11542" s="4">
        <v>233547</v>
      </c>
      <c r="D11542" s="5" t="s">
        <v>14491</v>
      </c>
      <c r="E11542" s="6" t="str">
        <f>HYPERLINK("https://inpn.mnhn.fr/espece/cd_nom/233547","Entelecara congenera (O. Pickard-Cambridge, 1879)")</f>
        <v>Entelecara congenera (O. Pickard-Cambridge, 1879)</v>
      </c>
      <c r="Q11542" s="7" t="str">
        <f>HYPERLINK("#Liste_rouge!A"&amp;_xlfn.XMATCH("DD",Liste_rouge!A:A,2,1),"DD")</f>
        <v>DD</v>
      </c>
      <c r="AH11542" s="4" t="str">
        <f>HYPERLINK("#Statut_biogéographique!A"&amp;_xlfn.XMATCH("P",Statut_biogéographique!A:A,2,1),"P")</f>
        <v>P</v>
      </c>
      <c r="AP11542" s="4" t="s">
        <v>376</v>
      </c>
      <c r="AR11542" s="4" t="s">
        <v>377</v>
      </c>
    </row>
    <row r="11543" spans="1:44">
      <c r="A11543" s="4" t="s">
        <v>10753</v>
      </c>
      <c r="B11543" s="4">
        <v>233549</v>
      </c>
      <c r="D11543" s="5" t="s">
        <v>14492</v>
      </c>
      <c r="E11543" s="6" t="str">
        <f>HYPERLINK("https://inpn.mnhn.fr/espece/cd_nom/233549","Entelecara flavipes (Blackwall, 1834)")</f>
        <v>Entelecara flavipes (Blackwall, 1834)</v>
      </c>
      <c r="Q11543" s="7" t="str">
        <f>HYPERLINK("#Liste_rouge!A"&amp;_xlfn.XMATCH("LC",Liste_rouge!A:A,2,1),"LC")</f>
        <v>LC</v>
      </c>
      <c r="AH11543" s="4" t="str">
        <f>HYPERLINK("#Statut_biogéographique!A"&amp;_xlfn.XMATCH("P",Statut_biogéographique!A:A,2,1),"P")</f>
        <v>P</v>
      </c>
      <c r="AP11543" s="4" t="s">
        <v>376</v>
      </c>
      <c r="AR11543" s="4" t="s">
        <v>377</v>
      </c>
    </row>
    <row r="11544" spans="1:44">
      <c r="A11544" s="4" t="s">
        <v>10753</v>
      </c>
      <c r="B11544" s="4">
        <v>233562</v>
      </c>
      <c r="D11544" s="5" t="s">
        <v>14493</v>
      </c>
      <c r="E11544" s="6" t="str">
        <f>HYPERLINK("https://inpn.mnhn.fr/espece/cd_nom/233562","Erigonella hiemalis (Blackwall, 1841)")</f>
        <v>Erigonella hiemalis (Blackwall, 1841)</v>
      </c>
      <c r="Q11544" s="7" t="str">
        <f>HYPERLINK("#Liste_rouge!A"&amp;_xlfn.XMATCH("LC",Liste_rouge!A:A,2,1),"LC")</f>
        <v>LC</v>
      </c>
      <c r="AH11544" s="4" t="str">
        <f>HYPERLINK("#Statut_biogéographique!A"&amp;_xlfn.XMATCH("P",Statut_biogéographique!A:A,2,1),"P")</f>
        <v>P</v>
      </c>
      <c r="AP11544" s="4" t="s">
        <v>376</v>
      </c>
      <c r="AR11544" s="4" t="s">
        <v>377</v>
      </c>
    </row>
    <row r="11545" spans="1:44">
      <c r="A11545" s="4" t="s">
        <v>10753</v>
      </c>
      <c r="B11545" s="4">
        <v>233579</v>
      </c>
      <c r="D11545" s="5" t="s">
        <v>14494</v>
      </c>
      <c r="E11545" s="6" t="str">
        <f>HYPERLINK("https://inpn.mnhn.fr/espece/cd_nom/233579","Gonatium paradoxum (L. Koch, 1869)")</f>
        <v>Gonatium paradoxum (L. Koch, 1869)</v>
      </c>
      <c r="Q11545" s="7" t="str">
        <f>HYPERLINK("#Liste_rouge!A"&amp;_xlfn.XMATCH("LC",Liste_rouge!A:A,2,1),"LC")</f>
        <v>LC</v>
      </c>
      <c r="AH11545" s="4" t="str">
        <f>HYPERLINK("#Statut_biogéographique!A"&amp;_xlfn.XMATCH("P",Statut_biogéographique!A:A,2,1),"P")</f>
        <v>P</v>
      </c>
      <c r="AP11545" s="4" t="s">
        <v>376</v>
      </c>
      <c r="AR11545" s="4" t="s">
        <v>377</v>
      </c>
    </row>
    <row r="11546" spans="1:44">
      <c r="A11546" s="4" t="s">
        <v>10753</v>
      </c>
      <c r="B11546" s="4">
        <v>233580</v>
      </c>
      <c r="D11546" s="5" t="s">
        <v>14495</v>
      </c>
      <c r="E11546" s="6" t="str">
        <f>HYPERLINK("https://inpn.mnhn.fr/espece/cd_nom/233580","Gonatium rubellum (Blackwall, 1841)")</f>
        <v>Gonatium rubellum (Blackwall, 1841)</v>
      </c>
      <c r="Q11546" s="7" t="str">
        <f>HYPERLINK("#Liste_rouge!A"&amp;_xlfn.XMATCH("LC",Liste_rouge!A:A,2,1),"LC")</f>
        <v>LC</v>
      </c>
      <c r="AH11546" s="4" t="str">
        <f>HYPERLINK("#Statut_biogéographique!A"&amp;_xlfn.XMATCH("P",Statut_biogéographique!A:A,2,1),"P")</f>
        <v>P</v>
      </c>
      <c r="AP11546" s="4" t="s">
        <v>376</v>
      </c>
      <c r="AR11546" s="4" t="s">
        <v>377</v>
      </c>
    </row>
    <row r="11547" spans="1:44">
      <c r="A11547" s="4" t="s">
        <v>10753</v>
      </c>
      <c r="B11547" s="4">
        <v>233591</v>
      </c>
      <c r="D11547" s="5" t="s">
        <v>14496</v>
      </c>
      <c r="E11547" s="6" t="str">
        <f>HYPERLINK("https://inpn.mnhn.fr/espece/cd_nom/233591","Hylyphantes nigritus (Simon, 1881)")</f>
        <v>Hylyphantes nigritus (Simon, 1881)</v>
      </c>
      <c r="Q11547" s="7" t="str">
        <f>HYPERLINK("#Liste_rouge!A"&amp;_xlfn.XMATCH("LC",Liste_rouge!A:A,2,1),"LC")</f>
        <v>LC</v>
      </c>
      <c r="AH11547" s="4" t="str">
        <f>HYPERLINK("#Statut_biogéographique!A"&amp;_xlfn.XMATCH("P",Statut_biogéographique!A:A,2,1),"P")</f>
        <v>P</v>
      </c>
      <c r="AP11547" s="4" t="s">
        <v>376</v>
      </c>
      <c r="AR11547" s="4" t="s">
        <v>377</v>
      </c>
    </row>
    <row r="11548" spans="1:44">
      <c r="A11548" s="4" t="s">
        <v>10753</v>
      </c>
      <c r="B11548" s="4">
        <v>233592</v>
      </c>
      <c r="D11548" s="5" t="s">
        <v>14497</v>
      </c>
      <c r="E11548" s="6" t="str">
        <f>HYPERLINK("https://inpn.mnhn.fr/espece/cd_nom/233592","Hypomma bituberculatum (Wider, 1834)")</f>
        <v>Hypomma bituberculatum (Wider, 1834)</v>
      </c>
      <c r="Q11548" s="7" t="str">
        <f>HYPERLINK("#Liste_rouge!A"&amp;_xlfn.XMATCH("LC",Liste_rouge!A:A,2,1),"LC")</f>
        <v>LC</v>
      </c>
      <c r="AH11548" s="4" t="str">
        <f>HYPERLINK("#Statut_biogéographique!A"&amp;_xlfn.XMATCH("P",Statut_biogéographique!A:A,2,1),"P")</f>
        <v>P</v>
      </c>
      <c r="AP11548" s="4" t="s">
        <v>376</v>
      </c>
      <c r="AR11548" s="4" t="s">
        <v>377</v>
      </c>
    </row>
    <row r="11549" spans="1:44">
      <c r="A11549" s="4" t="s">
        <v>10753</v>
      </c>
      <c r="B11549" s="4">
        <v>233593</v>
      </c>
      <c r="D11549" s="5" t="s">
        <v>14498</v>
      </c>
      <c r="E11549" s="6" t="str">
        <f>HYPERLINK("https://inpn.mnhn.fr/espece/cd_nom/233593","Hypomma cornutum (Blackwall, 1833)")</f>
        <v>Hypomma cornutum (Blackwall, 1833)</v>
      </c>
      <c r="Q11549" s="7" t="str">
        <f>HYPERLINK("#Liste_rouge!A"&amp;_xlfn.XMATCH("LC",Liste_rouge!A:A,2,1),"LC")</f>
        <v>LC</v>
      </c>
      <c r="AH11549" s="4" t="str">
        <f>HYPERLINK("#Statut_biogéographique!A"&amp;_xlfn.XMATCH("P",Statut_biogéographique!A:A,2,1),"P")</f>
        <v>P</v>
      </c>
      <c r="AP11549" s="4" t="s">
        <v>376</v>
      </c>
      <c r="AR11549" s="4" t="s">
        <v>377</v>
      </c>
    </row>
    <row r="11550" spans="1:44">
      <c r="A11550" s="4" t="s">
        <v>10753</v>
      </c>
      <c r="B11550" s="4">
        <v>23360</v>
      </c>
      <c r="D11550" s="5">
        <v>23360</v>
      </c>
      <c r="E11550" s="6" t="str">
        <f>HYPERLINK("https://inpn.mnhn.fr/espece/cd_nom/23360","Tachydromia umbrarum Haliday, 1833")</f>
        <v>Tachydromia umbrarum Haliday, 1833</v>
      </c>
      <c r="AH11550" s="4" t="str">
        <f>HYPERLINK("#Statut_biogéographique!A"&amp;_xlfn.XMATCH("P",Statut_biogéographique!A:A,2,1),"P")</f>
        <v>P</v>
      </c>
      <c r="AP11550" s="4" t="s">
        <v>376</v>
      </c>
      <c r="AR11550" s="4" t="s">
        <v>377</v>
      </c>
    </row>
    <row r="11551" spans="1:44">
      <c r="A11551" s="4" t="s">
        <v>10753</v>
      </c>
      <c r="B11551" s="4">
        <v>233604</v>
      </c>
      <c r="D11551" s="5" t="s">
        <v>14499</v>
      </c>
      <c r="E11551" s="6" t="str">
        <f>HYPERLINK("https://inpn.mnhn.fr/espece/cd_nom/233604","Kaestneria dorsalis (Wider, 1834)")</f>
        <v>Kaestneria dorsalis (Wider, 1834)</v>
      </c>
      <c r="Q11551" s="7" t="str">
        <f>HYPERLINK("#Liste_rouge!A"&amp;_xlfn.XMATCH("LC",Liste_rouge!A:A,2,1),"LC")</f>
        <v>LC</v>
      </c>
      <c r="AH11551" s="4" t="str">
        <f>HYPERLINK("#Statut_biogéographique!A"&amp;_xlfn.XMATCH("P",Statut_biogéographique!A:A,2,1),"P")</f>
        <v>P</v>
      </c>
      <c r="AP11551" s="4" t="s">
        <v>376</v>
      </c>
      <c r="AR11551" s="4" t="s">
        <v>377</v>
      </c>
    </row>
    <row r="11552" spans="1:44">
      <c r="A11552" s="4" t="s">
        <v>10753</v>
      </c>
      <c r="B11552" s="4">
        <v>233619</v>
      </c>
      <c r="D11552" s="5" t="s">
        <v>14500</v>
      </c>
      <c r="E11552" s="6" t="str">
        <f>HYPERLINK("https://inpn.mnhn.fr/espece/cd_nom/233619","Lepthyphantes minutus (Blackwall, 1833)")</f>
        <v>Lepthyphantes minutus (Blackwall, 1833)</v>
      </c>
      <c r="Q11552" s="7" t="str">
        <f>HYPERLINK("#Liste_rouge!A"&amp;_xlfn.XMATCH("LC",Liste_rouge!A:A,2,1),"LC")</f>
        <v>LC</v>
      </c>
      <c r="AH11552" s="4" t="str">
        <f>HYPERLINK("#Statut_biogéographique!A"&amp;_xlfn.XMATCH("P",Statut_biogéographique!A:A,2,1),"P")</f>
        <v>P</v>
      </c>
      <c r="AP11552" s="4" t="s">
        <v>376</v>
      </c>
      <c r="AR11552" s="4" t="s">
        <v>377</v>
      </c>
    </row>
    <row r="11553" spans="1:44">
      <c r="A11553" s="4" t="s">
        <v>10753</v>
      </c>
      <c r="B11553" s="4">
        <v>233633</v>
      </c>
      <c r="D11553" s="5" t="s">
        <v>14501</v>
      </c>
      <c r="E11553" s="6" t="str">
        <f>HYPERLINK("https://inpn.mnhn.fr/espece/cd_nom/233633","Macrargus rufus (Wider, 1834)")</f>
        <v>Macrargus rufus (Wider, 1834)</v>
      </c>
      <c r="Q11553" s="7" t="str">
        <f>HYPERLINK("#Liste_rouge!A"&amp;_xlfn.XMATCH("LC",Liste_rouge!A:A,2,1),"LC")</f>
        <v>LC</v>
      </c>
      <c r="AH11553" s="4" t="str">
        <f>HYPERLINK("#Statut_biogéographique!A"&amp;_xlfn.XMATCH("P",Statut_biogéographique!A:A,2,1),"P")</f>
        <v>P</v>
      </c>
      <c r="AP11553" s="4" t="s">
        <v>376</v>
      </c>
      <c r="AR11553" s="4" t="s">
        <v>377</v>
      </c>
    </row>
    <row r="11554" spans="1:44">
      <c r="A11554" s="4" t="s">
        <v>10753</v>
      </c>
      <c r="B11554" s="4">
        <v>233638</v>
      </c>
      <c r="D11554" s="5">
        <v>233638</v>
      </c>
      <c r="E11554" s="6" t="str">
        <f>HYPERLINK("https://inpn.mnhn.fr/espece/cd_nom/233638","Maro minutus O. Pickard-Cambridge, 1906")</f>
        <v>Maro minutus O. Pickard-Cambridge, 1906</v>
      </c>
      <c r="Q11554" s="7" t="str">
        <f>HYPERLINK("#Liste_rouge!A"&amp;_xlfn.XMATCH("NT",Liste_rouge!A:A,2,1),"NT")</f>
        <v>NT</v>
      </c>
      <c r="AH11554" s="4" t="str">
        <f>HYPERLINK("#Statut_biogéographique!A"&amp;_xlfn.XMATCH("P",Statut_biogéographique!A:A,2,1),"P")</f>
        <v>P</v>
      </c>
      <c r="AP11554" s="4" t="s">
        <v>376</v>
      </c>
      <c r="AR11554" s="4" t="s">
        <v>377</v>
      </c>
    </row>
    <row r="11555" spans="1:44">
      <c r="A11555" s="4" t="s">
        <v>10753</v>
      </c>
      <c r="B11555" s="4">
        <v>233639</v>
      </c>
      <c r="D11555" s="5" t="s">
        <v>14502</v>
      </c>
      <c r="E11555" s="6" t="str">
        <f>HYPERLINK("https://inpn.mnhn.fr/espece/cd_nom/233639","Maso sundevalli (Westring, 1851)")</f>
        <v>Maso sundevalli (Westring, 1851)</v>
      </c>
      <c r="Q11555" s="7" t="str">
        <f>HYPERLINK("#Liste_rouge!A"&amp;_xlfn.XMATCH("LC",Liste_rouge!A:A,2,1),"LC")</f>
        <v>LC</v>
      </c>
      <c r="AH11555" s="4" t="str">
        <f>HYPERLINK("#Statut_biogéographique!A"&amp;_xlfn.XMATCH("P",Statut_biogéographique!A:A,2,1),"P")</f>
        <v>P</v>
      </c>
      <c r="AP11555" s="4" t="s">
        <v>376</v>
      </c>
      <c r="AR11555" s="4" t="s">
        <v>377</v>
      </c>
    </row>
    <row r="11556" spans="1:44">
      <c r="A11556" s="4" t="s">
        <v>10753</v>
      </c>
      <c r="B11556" s="4">
        <v>23364</v>
      </c>
      <c r="D11556" s="5" t="s">
        <v>14503</v>
      </c>
      <c r="E11556" s="6" t="str">
        <f>HYPERLINK("https://inpn.mnhn.fr/espece/cd_nom/23364","Tachypeza fuscipennis (Fallén, 1815)")</f>
        <v>Tachypeza fuscipennis (Fallén, 1815)</v>
      </c>
      <c r="AH11556" s="4" t="str">
        <f>HYPERLINK("#Statut_biogéographique!A"&amp;_xlfn.XMATCH("P",Statut_biogéographique!A:A,2,1),"P")</f>
        <v>P</v>
      </c>
      <c r="AP11556" s="4" t="s">
        <v>376</v>
      </c>
      <c r="AR11556" s="4" t="s">
        <v>377</v>
      </c>
    </row>
    <row r="11557" spans="1:44">
      <c r="A11557" s="4" t="s">
        <v>10753</v>
      </c>
      <c r="B11557" s="4">
        <v>23365</v>
      </c>
      <c r="D11557" s="5" t="s">
        <v>14504</v>
      </c>
      <c r="E11557" s="6" t="str">
        <f>HYPERLINK("https://inpn.mnhn.fr/espece/cd_nom/23365","Tachypeza nubila (Meigen, 1804)")</f>
        <v>Tachypeza nubila (Meigen, 1804)</v>
      </c>
      <c r="AH11557" s="4" t="str">
        <f>HYPERLINK("#Statut_biogéographique!A"&amp;_xlfn.XMATCH("P",Statut_biogéographique!A:A,2,1),"P")</f>
        <v>P</v>
      </c>
      <c r="AP11557" s="4" t="s">
        <v>376</v>
      </c>
      <c r="AR11557" s="4" t="s">
        <v>377</v>
      </c>
    </row>
    <row r="11558" spans="1:44">
      <c r="A11558" s="4" t="s">
        <v>10753</v>
      </c>
      <c r="B11558" s="4">
        <v>233665</v>
      </c>
      <c r="D11558" s="5" t="s">
        <v>14505</v>
      </c>
      <c r="E11558" s="6" t="str">
        <f>HYPERLINK("https://inpn.mnhn.fr/espece/cd_nom/233665","Micrargus subaequalis (Westring, 1851)")</f>
        <v>Micrargus subaequalis (Westring, 1851)</v>
      </c>
      <c r="Q11558" s="7" t="str">
        <f>HYPERLINK("#Liste_rouge!A"&amp;_xlfn.XMATCH("LC",Liste_rouge!A:A,2,1),"LC")</f>
        <v>LC</v>
      </c>
      <c r="AH11558" s="4" t="str">
        <f>HYPERLINK("#Statut_biogéographique!A"&amp;_xlfn.XMATCH("P",Statut_biogéographique!A:A,2,1),"P")</f>
        <v>P</v>
      </c>
      <c r="AP11558" s="4" t="s">
        <v>376</v>
      </c>
      <c r="AR11558" s="4" t="s">
        <v>377</v>
      </c>
    </row>
    <row r="11559" spans="1:44" ht="30">
      <c r="A11559" s="4" t="s">
        <v>10753</v>
      </c>
      <c r="B11559" s="4">
        <v>233667</v>
      </c>
      <c r="D11559" s="5" t="s">
        <v>14506</v>
      </c>
      <c r="E11559" s="6" t="str">
        <f>HYPERLINK("https://inpn.mnhn.fr/espece/cd_nom/233667","Microlinyphia impigra (O. Pickard-Cambridge, 1871)")</f>
        <v>Microlinyphia impigra (O. Pickard-Cambridge, 1871)</v>
      </c>
      <c r="Q11559" s="7" t="str">
        <f>HYPERLINK("#Liste_rouge!A"&amp;_xlfn.XMATCH("LC",Liste_rouge!A:A,2,1),"LC")</f>
        <v>LC</v>
      </c>
      <c r="AH11559" s="4" t="str">
        <f>HYPERLINK("#Statut_biogéographique!A"&amp;_xlfn.XMATCH("P",Statut_biogéographique!A:A,2,1),"P")</f>
        <v>P</v>
      </c>
      <c r="AP11559" s="4" t="s">
        <v>376</v>
      </c>
      <c r="AR11559" s="4" t="s">
        <v>377</v>
      </c>
    </row>
    <row r="11560" spans="1:44">
      <c r="A11560" s="4" t="s">
        <v>10753</v>
      </c>
      <c r="B11560" s="4">
        <v>233668</v>
      </c>
      <c r="D11560" s="5" t="s">
        <v>14507</v>
      </c>
      <c r="E11560" s="6" t="str">
        <f>HYPERLINK("https://inpn.mnhn.fr/espece/cd_nom/233668","Microneta viaria (Blackwall, 1841)")</f>
        <v>Microneta viaria (Blackwall, 1841)</v>
      </c>
      <c r="Q11560" s="7" t="str">
        <f>HYPERLINK("#Liste_rouge!A"&amp;_xlfn.XMATCH("LC",Liste_rouge!A:A,2,1),"LC")</f>
        <v>LC</v>
      </c>
      <c r="AH11560" s="4" t="str">
        <f>HYPERLINK("#Statut_biogéographique!A"&amp;_xlfn.XMATCH("P",Statut_biogéographique!A:A,2,1),"P")</f>
        <v>P</v>
      </c>
      <c r="AP11560" s="4" t="s">
        <v>376</v>
      </c>
      <c r="AR11560" s="4" t="s">
        <v>377</v>
      </c>
    </row>
    <row r="11561" spans="1:44">
      <c r="A11561" s="4" t="s">
        <v>10753</v>
      </c>
      <c r="B11561" s="4">
        <v>233675</v>
      </c>
      <c r="D11561" s="5" t="s">
        <v>14508</v>
      </c>
      <c r="E11561" s="6" t="str">
        <f>HYPERLINK("https://inpn.mnhn.fr/espece/cd_nom/233675","Monocephalus fuscipes (Blackwall, 1836)")</f>
        <v>Monocephalus fuscipes (Blackwall, 1836)</v>
      </c>
      <c r="Q11561" s="7" t="str">
        <f>HYPERLINK("#Liste_rouge!A"&amp;_xlfn.XMATCH("LC",Liste_rouge!A:A,2,1),"LC")</f>
        <v>LC</v>
      </c>
      <c r="AH11561" s="4" t="str">
        <f>HYPERLINK("#Statut_biogéographique!A"&amp;_xlfn.XMATCH("P",Statut_biogéographique!A:A,2,1),"P")</f>
        <v>P</v>
      </c>
      <c r="AP11561" s="4" t="s">
        <v>376</v>
      </c>
      <c r="AR11561" s="4" t="s">
        <v>377</v>
      </c>
    </row>
    <row r="11562" spans="1:44">
      <c r="A11562" s="4" t="s">
        <v>10753</v>
      </c>
      <c r="B11562" s="4">
        <v>23368</v>
      </c>
      <c r="D11562" s="5">
        <v>23368</v>
      </c>
      <c r="E11562" s="6" t="str">
        <f>HYPERLINK("https://inpn.mnhn.fr/espece/cd_nom/23368","Bicellaria intermedia Lundbeck, 1910")</f>
        <v>Bicellaria intermedia Lundbeck, 1910</v>
      </c>
      <c r="AH11562" s="4" t="str">
        <f>HYPERLINK("#Statut_biogéographique!A"&amp;_xlfn.XMATCH("P",Statut_biogéographique!A:A,2,1),"P")</f>
        <v>P</v>
      </c>
      <c r="AP11562" s="4" t="s">
        <v>376</v>
      </c>
      <c r="AR11562" s="4" t="s">
        <v>377</v>
      </c>
    </row>
    <row r="11563" spans="1:44">
      <c r="A11563" s="4" t="s">
        <v>10753</v>
      </c>
      <c r="B11563" s="4">
        <v>233685</v>
      </c>
      <c r="D11563" s="5" t="s">
        <v>14509</v>
      </c>
      <c r="E11563" s="6" t="str">
        <f>HYPERLINK("https://inpn.mnhn.fr/espece/cd_nom/233685","Neriene emphana (Walckenaer, 1841)")</f>
        <v>Neriene emphana (Walckenaer, 1841)</v>
      </c>
      <c r="Q11563" s="7" t="str">
        <f>HYPERLINK("#Liste_rouge!A"&amp;_xlfn.XMATCH("LC",Liste_rouge!A:A,2,1),"LC")</f>
        <v>LC</v>
      </c>
      <c r="AH11563" s="4" t="str">
        <f>HYPERLINK("#Statut_biogéographique!A"&amp;_xlfn.XMATCH("P",Statut_biogéographique!A:A,2,1),"P")</f>
        <v>P</v>
      </c>
      <c r="AP11563" s="4" t="s">
        <v>376</v>
      </c>
      <c r="AR11563" s="4" t="s">
        <v>377</v>
      </c>
    </row>
    <row r="11564" spans="1:44">
      <c r="A11564" s="4" t="s">
        <v>10753</v>
      </c>
      <c r="B11564" s="4">
        <v>23369</v>
      </c>
      <c r="D11564" s="5" t="s">
        <v>14510</v>
      </c>
      <c r="E11564" s="6" t="str">
        <f>HYPERLINK("https://inpn.mnhn.fr/espece/cd_nom/23369","Bicellaria nigra (Meigen, 1824)")</f>
        <v>Bicellaria nigra (Meigen, 1824)</v>
      </c>
      <c r="AH11564" s="4" t="str">
        <f>HYPERLINK("#Statut_biogéographique!A"&amp;_xlfn.XMATCH("P",Statut_biogéographique!A:A,2,1),"P")</f>
        <v>P</v>
      </c>
      <c r="AP11564" s="4" t="s">
        <v>376</v>
      </c>
      <c r="AR11564" s="4" t="s">
        <v>377</v>
      </c>
    </row>
    <row r="11565" spans="1:44" ht="30">
      <c r="A11565" s="4" t="s">
        <v>10753</v>
      </c>
      <c r="B11565" s="4">
        <v>233709</v>
      </c>
      <c r="D11565" s="5" t="s">
        <v>14511</v>
      </c>
      <c r="E11565" s="6" t="str">
        <f>HYPERLINK("https://inpn.mnhn.fr/espece/cd_nom/233709","Palliduphantes pallidus (O. Pickard-Cambridge, 1871)")</f>
        <v>Palliduphantes pallidus (O. Pickard-Cambridge, 1871)</v>
      </c>
      <c r="Q11565" s="7" t="str">
        <f>HYPERLINK("#Liste_rouge!A"&amp;_xlfn.XMATCH("LC",Liste_rouge!A:A,2,1),"LC")</f>
        <v>LC</v>
      </c>
      <c r="AH11565" s="4" t="str">
        <f>HYPERLINK("#Statut_biogéographique!A"&amp;_xlfn.XMATCH("P",Statut_biogéographique!A:A,2,1),"P")</f>
        <v>P</v>
      </c>
      <c r="AP11565" s="4" t="s">
        <v>376</v>
      </c>
      <c r="AR11565" s="4" t="s">
        <v>377</v>
      </c>
    </row>
    <row r="11566" spans="1:44">
      <c r="A11566" s="4" t="s">
        <v>10753</v>
      </c>
      <c r="B11566" s="4">
        <v>23372</v>
      </c>
      <c r="D11566" s="5" t="s">
        <v>14512</v>
      </c>
      <c r="E11566" s="6" t="str">
        <f>HYPERLINK("https://inpn.mnhn.fr/espece/cd_nom/23372","Bicellaria spuria (Fallén, 1816)")</f>
        <v>Bicellaria spuria (Fallén, 1816)</v>
      </c>
      <c r="AH11566" s="4" t="str">
        <f>HYPERLINK("#Statut_biogéographique!A"&amp;_xlfn.XMATCH("P",Statut_biogéographique!A:A,2,1),"P")</f>
        <v>P</v>
      </c>
      <c r="AP11566" s="4" t="s">
        <v>376</v>
      </c>
      <c r="AR11566" s="4" t="s">
        <v>377</v>
      </c>
    </row>
    <row r="11567" spans="1:44">
      <c r="A11567" s="4" t="s">
        <v>10753</v>
      </c>
      <c r="B11567" s="4">
        <v>233720</v>
      </c>
      <c r="D11567" s="5" t="s">
        <v>14513</v>
      </c>
      <c r="E11567" s="6" t="str">
        <f>HYPERLINK("https://inpn.mnhn.fr/espece/cd_nom/233720","Pelecopsis elongata (Wider, 1834)")</f>
        <v>Pelecopsis elongata (Wider, 1834)</v>
      </c>
      <c r="Q11567" s="7" t="str">
        <f>HYPERLINK("#Liste_rouge!A"&amp;_xlfn.XMATCH("LC",Liste_rouge!A:A,2,1),"LC")</f>
        <v>LC</v>
      </c>
      <c r="AH11567" s="4" t="str">
        <f>HYPERLINK("#Statut_biogéographique!A"&amp;_xlfn.XMATCH("P",Statut_biogéographique!A:A,2,1),"P")</f>
        <v>P</v>
      </c>
      <c r="AP11567" s="4" t="s">
        <v>376</v>
      </c>
      <c r="AR11567" s="4" t="s">
        <v>377</v>
      </c>
    </row>
    <row r="11568" spans="1:44">
      <c r="A11568" s="4" t="s">
        <v>10753</v>
      </c>
      <c r="B11568" s="4">
        <v>233731</v>
      </c>
      <c r="D11568" s="5" t="s">
        <v>14514</v>
      </c>
      <c r="E11568" s="6" t="str">
        <f>HYPERLINK("https://inpn.mnhn.fr/espece/cd_nom/233731","Pityohyphantes phrygianus (C.L. Koch, 1836)")</f>
        <v>Pityohyphantes phrygianus (C.L. Koch, 1836)</v>
      </c>
      <c r="Q11568" s="7" t="str">
        <f>HYPERLINK("#Liste_rouge!A"&amp;_xlfn.XMATCH("LC",Liste_rouge!A:A,2,1),"LC")</f>
        <v>LC</v>
      </c>
      <c r="AH11568" s="4" t="str">
        <f>HYPERLINK("#Statut_biogéographique!A"&amp;_xlfn.XMATCH("P",Statut_biogéographique!A:A,2,1),"P")</f>
        <v>P</v>
      </c>
      <c r="AP11568" s="4" t="s">
        <v>376</v>
      </c>
      <c r="AR11568" s="4" t="s">
        <v>377</v>
      </c>
    </row>
    <row r="11569" spans="1:44">
      <c r="A11569" s="4" t="s">
        <v>10753</v>
      </c>
      <c r="B11569" s="4">
        <v>233735</v>
      </c>
      <c r="D11569" s="5" t="s">
        <v>14515</v>
      </c>
      <c r="E11569" s="6" t="str">
        <f>HYPERLINK("https://inpn.mnhn.fr/espece/cd_nom/233735","Pocadicnemis pumila (Blackwall, 1841)")</f>
        <v>Pocadicnemis pumila (Blackwall, 1841)</v>
      </c>
      <c r="Q11569" s="7" t="str">
        <f>HYPERLINK("#Liste_rouge!A"&amp;_xlfn.XMATCH("LC",Liste_rouge!A:A,2,1),"LC")</f>
        <v>LC</v>
      </c>
      <c r="AH11569" s="4" t="str">
        <f>HYPERLINK("#Statut_biogéographique!A"&amp;_xlfn.XMATCH("P",Statut_biogéographique!A:A,2,1),"P")</f>
        <v>P</v>
      </c>
      <c r="AP11569" s="4" t="s">
        <v>376</v>
      </c>
      <c r="AR11569" s="4" t="s">
        <v>377</v>
      </c>
    </row>
    <row r="11570" spans="1:44">
      <c r="A11570" s="4" t="s">
        <v>10753</v>
      </c>
      <c r="B11570" s="4">
        <v>233738</v>
      </c>
      <c r="D11570" s="5" t="s">
        <v>14516</v>
      </c>
      <c r="E11570" s="6" t="str">
        <f>HYPERLINK("https://inpn.mnhn.fr/espece/cd_nom/233738","Porrhomma convexum (Westring, 1851)")</f>
        <v>Porrhomma convexum (Westring, 1851)</v>
      </c>
      <c r="Q11570" s="7" t="str">
        <f>HYPERLINK("#Liste_rouge!A"&amp;_xlfn.XMATCH("LC",Liste_rouge!A:A,2,1),"LC")</f>
        <v>LC</v>
      </c>
      <c r="AH11570" s="4" t="str">
        <f>HYPERLINK("#Statut_biogéographique!A"&amp;_xlfn.XMATCH("P",Statut_biogéographique!A:A,2,1),"P")</f>
        <v>P</v>
      </c>
      <c r="AP11570" s="4" t="s">
        <v>376</v>
      </c>
      <c r="AR11570" s="4" t="s">
        <v>377</v>
      </c>
    </row>
    <row r="11571" spans="1:44" ht="30">
      <c r="A11571" s="4" t="s">
        <v>10753</v>
      </c>
      <c r="B11571" s="4">
        <v>233741</v>
      </c>
      <c r="D11571" s="5" t="s">
        <v>14517</v>
      </c>
      <c r="E11571" s="6" t="str">
        <f>HYPERLINK("https://inpn.mnhn.fr/espece/cd_nom/233741","Porrhomma microphthalmum (O. Pickard-Cambridge, 1871)")</f>
        <v>Porrhomma microphthalmum (O. Pickard-Cambridge, 1871)</v>
      </c>
      <c r="Q11571" s="7" t="str">
        <f>HYPERLINK("#Liste_rouge!A"&amp;_xlfn.XMATCH("LC",Liste_rouge!A:A,2,1),"LC")</f>
        <v>LC</v>
      </c>
      <c r="AH11571" s="4" t="str">
        <f>HYPERLINK("#Statut_biogéographique!A"&amp;_xlfn.XMATCH("P",Statut_biogéographique!A:A,2,1),"P")</f>
        <v>P</v>
      </c>
      <c r="AP11571" s="4" t="s">
        <v>376</v>
      </c>
      <c r="AR11571" s="4" t="s">
        <v>377</v>
      </c>
    </row>
    <row r="11572" spans="1:44">
      <c r="A11572" s="4" t="s">
        <v>10753</v>
      </c>
      <c r="B11572" s="4">
        <v>233744</v>
      </c>
      <c r="D11572" s="5" t="s">
        <v>14518</v>
      </c>
      <c r="E11572" s="6" t="str">
        <f>HYPERLINK("https://inpn.mnhn.fr/espece/cd_nom/233744","Porrhomma rosenhaueri (L. Koch, 1872)")</f>
        <v>Porrhomma rosenhaueri (L. Koch, 1872)</v>
      </c>
      <c r="Q11572" s="7" t="str">
        <f>HYPERLINK("#Liste_rouge!A"&amp;_xlfn.XMATCH("LC",Liste_rouge!A:A,2,1),"LC")</f>
        <v>LC</v>
      </c>
      <c r="AH11572" s="4" t="str">
        <f>HYPERLINK("#Statut_biogéographique!A"&amp;_xlfn.XMATCH("P",Statut_biogéographique!A:A,2,1),"P")</f>
        <v>P</v>
      </c>
      <c r="AP11572" s="4" t="s">
        <v>376</v>
      </c>
      <c r="AR11572" s="4" t="s">
        <v>377</v>
      </c>
    </row>
    <row r="11573" spans="1:44">
      <c r="A11573" s="4" t="s">
        <v>10753</v>
      </c>
      <c r="B11573" s="4">
        <v>23375</v>
      </c>
      <c r="D11573" s="5" t="s">
        <v>14519</v>
      </c>
      <c r="E11573" s="6" t="str">
        <f>HYPERLINK("https://inpn.mnhn.fr/espece/cd_nom/23375","Bicellaria sulcata (Zetterstedt, 1842)")</f>
        <v>Bicellaria sulcata (Zetterstedt, 1842)</v>
      </c>
      <c r="AH11573" s="4" t="str">
        <f>HYPERLINK("#Statut_biogéographique!A"&amp;_xlfn.XMATCH("P",Statut_biogéographique!A:A,2,1),"P")</f>
        <v>P</v>
      </c>
      <c r="AP11573" s="4" t="s">
        <v>376</v>
      </c>
      <c r="AR11573" s="4" t="s">
        <v>377</v>
      </c>
    </row>
    <row r="11574" spans="1:44" ht="30">
      <c r="A11574" s="4" t="s">
        <v>10753</v>
      </c>
      <c r="B11574" s="4">
        <v>233775</v>
      </c>
      <c r="D11574" s="5" t="s">
        <v>14520</v>
      </c>
      <c r="E11574" s="6" t="str">
        <f>HYPERLINK("https://inpn.mnhn.fr/espece/cd_nom/233775","Tapinocyba pallens (O. Pickard-Cambridge, 1873)")</f>
        <v>Tapinocyba pallens (O. Pickard-Cambridge, 1873)</v>
      </c>
      <c r="Q11574" s="7" t="str">
        <f>HYPERLINK("#Liste_rouge!A"&amp;_xlfn.XMATCH("LC",Liste_rouge!A:A,2,1),"LC")</f>
        <v>LC</v>
      </c>
      <c r="AH11574" s="4" t="str">
        <f>HYPERLINK("#Statut_biogéographique!A"&amp;_xlfn.XMATCH("P",Statut_biogéographique!A:A,2,1),"P")</f>
        <v>P</v>
      </c>
      <c r="AP11574" s="4" t="s">
        <v>376</v>
      </c>
      <c r="AR11574" s="4" t="s">
        <v>377</v>
      </c>
    </row>
    <row r="11575" spans="1:44">
      <c r="A11575" s="4" t="s">
        <v>10753</v>
      </c>
      <c r="B11575" s="4">
        <v>233781</v>
      </c>
      <c r="D11575" s="5" t="s">
        <v>14521</v>
      </c>
      <c r="E11575" s="6" t="str">
        <f>HYPERLINK("https://inpn.mnhn.fr/espece/cd_nom/233781","Tenuiphantes flavipes (Blackwall, 1854)")</f>
        <v>Tenuiphantes flavipes (Blackwall, 1854)</v>
      </c>
      <c r="Q11575" s="7" t="str">
        <f>HYPERLINK("#Liste_rouge!A"&amp;_xlfn.XMATCH("LC",Liste_rouge!A:A,2,1),"LC")</f>
        <v>LC</v>
      </c>
      <c r="AH11575" s="4" t="str">
        <f>HYPERLINK("#Statut_biogéographique!A"&amp;_xlfn.XMATCH("P",Statut_biogéographique!A:A,2,1),"P")</f>
        <v>P</v>
      </c>
      <c r="AP11575" s="4" t="s">
        <v>376</v>
      </c>
      <c r="AR11575" s="4" t="s">
        <v>377</v>
      </c>
    </row>
    <row r="11576" spans="1:44">
      <c r="A11576" s="4" t="s">
        <v>10753</v>
      </c>
      <c r="B11576" s="4">
        <v>233783</v>
      </c>
      <c r="D11576" s="5" t="s">
        <v>14522</v>
      </c>
      <c r="E11576" s="6" t="str">
        <f>HYPERLINK("https://inpn.mnhn.fr/espece/cd_nom/233783","Tenuiphantes mengei (Kulczyński, 1887)")</f>
        <v>Tenuiphantes mengei (Kulczyński, 1887)</v>
      </c>
      <c r="Q11576" s="7" t="str">
        <f>HYPERLINK("#Liste_rouge!A"&amp;_xlfn.XMATCH("LC",Liste_rouge!A:A,2,1),"LC")</f>
        <v>LC</v>
      </c>
      <c r="AH11576" s="4" t="str">
        <f>HYPERLINK("#Statut_biogéographique!A"&amp;_xlfn.XMATCH("P",Statut_biogéographique!A:A,2,1),"P")</f>
        <v>P</v>
      </c>
      <c r="AP11576" s="4" t="s">
        <v>376</v>
      </c>
      <c r="AR11576" s="4" t="s">
        <v>377</v>
      </c>
    </row>
    <row r="11577" spans="1:44">
      <c r="A11577" s="4" t="s">
        <v>10753</v>
      </c>
      <c r="B11577" s="4">
        <v>233786</v>
      </c>
      <c r="D11577" s="5" t="s">
        <v>14523</v>
      </c>
      <c r="E11577" s="6" t="str">
        <f>HYPERLINK("https://inpn.mnhn.fr/espece/cd_nom/233786","Tenuiphantes tenebricola (Wider, 1834)")</f>
        <v>Tenuiphantes tenebricola (Wider, 1834)</v>
      </c>
      <c r="Q11577" s="7" t="str">
        <f>HYPERLINK("#Liste_rouge!A"&amp;_xlfn.XMATCH("LC",Liste_rouge!A:A,2,1),"LC")</f>
        <v>LC</v>
      </c>
      <c r="AH11577" s="4" t="str">
        <f>HYPERLINK("#Statut_biogéographique!A"&amp;_xlfn.XMATCH("P",Statut_biogéographique!A:A,2,1),"P")</f>
        <v>P</v>
      </c>
      <c r="AP11577" s="4" t="s">
        <v>376</v>
      </c>
      <c r="AR11577" s="4" t="s">
        <v>377</v>
      </c>
    </row>
    <row r="11578" spans="1:44">
      <c r="A11578" s="4" t="s">
        <v>10753</v>
      </c>
      <c r="B11578" s="4">
        <v>233787</v>
      </c>
      <c r="D11578" s="5" t="s">
        <v>14524</v>
      </c>
      <c r="E11578" s="6" t="str">
        <f>HYPERLINK("https://inpn.mnhn.fr/espece/cd_nom/233787","Tenuiphantes tenuis (Blackwall, 1852)")</f>
        <v>Tenuiphantes tenuis (Blackwall, 1852)</v>
      </c>
      <c r="Q11578" s="7" t="str">
        <f>HYPERLINK("#Liste_rouge!A"&amp;_xlfn.XMATCH("LC",Liste_rouge!A:A,2,1),"LC")</f>
        <v>LC</v>
      </c>
      <c r="AH11578" s="4" t="str">
        <f>HYPERLINK("#Statut_biogéographique!A"&amp;_xlfn.XMATCH("P",Statut_biogéographique!A:A,2,1),"P")</f>
        <v>P</v>
      </c>
      <c r="AP11578" s="4" t="s">
        <v>376</v>
      </c>
      <c r="AR11578" s="4" t="s">
        <v>377</v>
      </c>
    </row>
    <row r="11579" spans="1:44">
      <c r="A11579" s="4" t="s">
        <v>10753</v>
      </c>
      <c r="B11579" s="4">
        <v>233788</v>
      </c>
      <c r="D11579" s="5" t="s">
        <v>14525</v>
      </c>
      <c r="E11579" s="6" t="str">
        <f>HYPERLINK("https://inpn.mnhn.fr/espece/cd_nom/233788","Tenuiphantes zimmermanni (Bertkau, 1890)")</f>
        <v>Tenuiphantes zimmermanni (Bertkau, 1890)</v>
      </c>
      <c r="Q11579" s="7" t="str">
        <f>HYPERLINK("#Liste_rouge!A"&amp;_xlfn.XMATCH("LC",Liste_rouge!A:A,2,1),"LC")</f>
        <v>LC</v>
      </c>
      <c r="AH11579" s="4" t="str">
        <f>HYPERLINK("#Statut_biogéographique!A"&amp;_xlfn.XMATCH("P",Statut_biogéographique!A:A,2,1),"P")</f>
        <v>P</v>
      </c>
      <c r="AP11579" s="4" t="s">
        <v>376</v>
      </c>
      <c r="AR11579" s="4" t="s">
        <v>377</v>
      </c>
    </row>
    <row r="11580" spans="1:44">
      <c r="A11580" s="4" t="s">
        <v>10753</v>
      </c>
      <c r="B11580" s="4">
        <v>233790</v>
      </c>
      <c r="D11580" s="5" t="s">
        <v>14526</v>
      </c>
      <c r="E11580" s="6" t="str">
        <f>HYPERLINK("https://inpn.mnhn.fr/espece/cd_nom/233790","Theonina cornix (Simon, 1881)")</f>
        <v>Theonina cornix (Simon, 1881)</v>
      </c>
      <c r="Q11580" s="7" t="str">
        <f>HYPERLINK("#Liste_rouge!A"&amp;_xlfn.XMATCH("LC",Liste_rouge!A:A,2,1),"LC")</f>
        <v>LC</v>
      </c>
      <c r="AH11580" s="4" t="str">
        <f>HYPERLINK("#Statut_biogéographique!A"&amp;_xlfn.XMATCH("P",Statut_biogéographique!A:A,2,1),"P")</f>
        <v>P</v>
      </c>
      <c r="AP11580" s="4" t="s">
        <v>376</v>
      </c>
      <c r="AR11580" s="4" t="s">
        <v>377</v>
      </c>
    </row>
    <row r="11581" spans="1:44">
      <c r="A11581" s="4" t="s">
        <v>10753</v>
      </c>
      <c r="B11581" s="4">
        <v>233794</v>
      </c>
      <c r="D11581" s="5" t="s">
        <v>14527</v>
      </c>
      <c r="E11581" s="6" t="str">
        <f>HYPERLINK("https://inpn.mnhn.fr/espece/cd_nom/233794","Trematocephalus cristatus (Wider, 1834)")</f>
        <v>Trematocephalus cristatus (Wider, 1834)</v>
      </c>
      <c r="Q11581" s="7" t="str">
        <f>HYPERLINK("#Liste_rouge!A"&amp;_xlfn.XMATCH("LC",Liste_rouge!A:A,2,1),"LC")</f>
        <v>LC</v>
      </c>
      <c r="AH11581" s="4" t="str">
        <f>HYPERLINK("#Statut_biogéographique!A"&amp;_xlfn.XMATCH("P",Statut_biogéographique!A:A,2,1),"P")</f>
        <v>P</v>
      </c>
      <c r="AP11581" s="4" t="s">
        <v>376</v>
      </c>
      <c r="AR11581" s="4" t="s">
        <v>377</v>
      </c>
    </row>
    <row r="11582" spans="1:44">
      <c r="A11582" s="4" t="s">
        <v>10753</v>
      </c>
      <c r="B11582" s="4">
        <v>233799</v>
      </c>
      <c r="D11582" s="5">
        <v>233799</v>
      </c>
      <c r="E11582" s="6" t="str">
        <f>HYPERLINK("https://inpn.mnhn.fr/espece/cd_nom/233799","Trichoncus gibbulus Denis, 1944")</f>
        <v>Trichoncus gibbulus Denis, 1944</v>
      </c>
      <c r="Q11582" s="7" t="str">
        <f>HYPERLINK("#Liste_rouge!A"&amp;_xlfn.XMATCH("DD",Liste_rouge!A:A,2,1),"DD")</f>
        <v>DD</v>
      </c>
      <c r="AH11582" s="4" t="str">
        <f>HYPERLINK("#Statut_biogéographique!A"&amp;_xlfn.XMATCH("P",Statut_biogéographique!A:A,2,1),"P")</f>
        <v>P</v>
      </c>
      <c r="AP11582" s="4" t="s">
        <v>376</v>
      </c>
      <c r="AR11582" s="4" t="s">
        <v>377</v>
      </c>
    </row>
    <row r="11583" spans="1:44" ht="30">
      <c r="A11583" s="4" t="s">
        <v>10753</v>
      </c>
      <c r="B11583" s="4">
        <v>233805</v>
      </c>
      <c r="D11583" s="5" t="s">
        <v>14528</v>
      </c>
      <c r="E11583" s="6" t="str">
        <f>HYPERLINK("https://inpn.mnhn.fr/espece/cd_nom/233805","Trichopterna cito (O. Pickard-Cambridge, 1873)")</f>
        <v>Trichopterna cito (O. Pickard-Cambridge, 1873)</v>
      </c>
      <c r="Q11583" s="7" t="str">
        <f>HYPERLINK("#Liste_rouge!A"&amp;_xlfn.XMATCH("LC",Liste_rouge!A:A,2,1),"LC")</f>
        <v>LC</v>
      </c>
      <c r="AH11583" s="4" t="str">
        <f>HYPERLINK("#Statut_biogéographique!A"&amp;_xlfn.XMATCH("P",Statut_biogéographique!A:A,2,1),"P")</f>
        <v>P</v>
      </c>
      <c r="AP11583" s="4" t="s">
        <v>376</v>
      </c>
      <c r="AR11583" s="4" t="s">
        <v>377</v>
      </c>
    </row>
    <row r="11584" spans="1:44">
      <c r="A11584" s="4" t="s">
        <v>10753</v>
      </c>
      <c r="B11584" s="4">
        <v>233827</v>
      </c>
      <c r="D11584" s="5" t="s">
        <v>14529</v>
      </c>
      <c r="E11584" s="6" t="str">
        <f>HYPERLINK("https://inpn.mnhn.fr/espece/cd_nom/233827","Walckenaeria acuminata Blackwall, 1833")</f>
        <v>Walckenaeria acuminata Blackwall, 1833</v>
      </c>
      <c r="F11584" s="5" t="s">
        <v>14530</v>
      </c>
      <c r="Q11584" s="7" t="str">
        <f>HYPERLINK("#Liste_rouge!A"&amp;_xlfn.XMATCH("LC",Liste_rouge!A:A,2,1),"LC")</f>
        <v>LC</v>
      </c>
      <c r="AH11584" s="4" t="str">
        <f>HYPERLINK("#Statut_biogéographique!A"&amp;_xlfn.XMATCH("P",Statut_biogéographique!A:A,2,1),"P")</f>
        <v>P</v>
      </c>
      <c r="AP11584" s="4" t="s">
        <v>376</v>
      </c>
      <c r="AR11584" s="4" t="s">
        <v>377</v>
      </c>
    </row>
    <row r="11585" spans="1:44">
      <c r="A11585" s="4" t="s">
        <v>10753</v>
      </c>
      <c r="B11585" s="4">
        <v>233829</v>
      </c>
      <c r="D11585" s="5" t="s">
        <v>14531</v>
      </c>
      <c r="E11585" s="6" t="str">
        <f>HYPERLINK("https://inpn.mnhn.fr/espece/cd_nom/233829","Walckenaeria antica (Wider, 1834)")</f>
        <v>Walckenaeria antica (Wider, 1834)</v>
      </c>
      <c r="Q11585" s="7" t="str">
        <f>HYPERLINK("#Liste_rouge!A"&amp;_xlfn.XMATCH("LC",Liste_rouge!A:A,2,1),"LC")</f>
        <v>LC</v>
      </c>
      <c r="AH11585" s="4" t="str">
        <f>HYPERLINK("#Statut_biogéographique!A"&amp;_xlfn.XMATCH("P",Statut_biogéographique!A:A,2,1),"P")</f>
        <v>P</v>
      </c>
      <c r="AP11585" s="4" t="s">
        <v>376</v>
      </c>
      <c r="AR11585" s="4" t="s">
        <v>377</v>
      </c>
    </row>
    <row r="11586" spans="1:44">
      <c r="A11586" s="4" t="s">
        <v>10753</v>
      </c>
      <c r="B11586" s="4">
        <v>233833</v>
      </c>
      <c r="D11586" s="5" t="s">
        <v>14532</v>
      </c>
      <c r="E11586" s="6" t="str">
        <f>HYPERLINK("https://inpn.mnhn.fr/espece/cd_nom/233833","Walckenaeria cucullata (C.L. Koch, 1836)")</f>
        <v>Walckenaeria cucullata (C.L. Koch, 1836)</v>
      </c>
      <c r="Q11586" s="7" t="str">
        <f>HYPERLINK("#Liste_rouge!A"&amp;_xlfn.XMATCH("LC",Liste_rouge!A:A,2,1),"LC")</f>
        <v>LC</v>
      </c>
      <c r="AH11586" s="4" t="str">
        <f>HYPERLINK("#Statut_biogéographique!A"&amp;_xlfn.XMATCH("P",Statut_biogéographique!A:A,2,1),"P")</f>
        <v>P</v>
      </c>
      <c r="AP11586" s="4" t="s">
        <v>376</v>
      </c>
      <c r="AR11586" s="4" t="s">
        <v>377</v>
      </c>
    </row>
    <row r="11587" spans="1:44">
      <c r="A11587" s="4" t="s">
        <v>10753</v>
      </c>
      <c r="B11587" s="4">
        <v>233837</v>
      </c>
      <c r="D11587" s="5" t="s">
        <v>14533</v>
      </c>
      <c r="E11587" s="6" t="str">
        <f>HYPERLINK("https://inpn.mnhn.fr/espece/cd_nom/233837","Walckenaeria dysderoides (Wider, 1834)")</f>
        <v>Walckenaeria dysderoides (Wider, 1834)</v>
      </c>
      <c r="Q11587" s="7" t="str">
        <f>HYPERLINK("#Liste_rouge!A"&amp;_xlfn.XMATCH("LC",Liste_rouge!A:A,2,1),"LC")</f>
        <v>LC</v>
      </c>
      <c r="AH11587" s="4" t="str">
        <f>HYPERLINK("#Statut_biogéographique!A"&amp;_xlfn.XMATCH("P",Statut_biogéographique!A:A,2,1),"P")</f>
        <v>P</v>
      </c>
      <c r="AP11587" s="4" t="s">
        <v>376</v>
      </c>
      <c r="AR11587" s="4" t="s">
        <v>377</v>
      </c>
    </row>
    <row r="11588" spans="1:44" ht="30">
      <c r="A11588" s="4" t="s">
        <v>10753</v>
      </c>
      <c r="B11588" s="4">
        <v>233841</v>
      </c>
      <c r="D11588" s="5" t="s">
        <v>14534</v>
      </c>
      <c r="E11588" s="6" t="str">
        <f>HYPERLINK("https://inpn.mnhn.fr/espece/cd_nom/233841","Walckenaeria kochi (O. Pickard-Cambridge, 1873)")</f>
        <v>Walckenaeria kochi (O. Pickard-Cambridge, 1873)</v>
      </c>
      <c r="Q11588" s="7" t="str">
        <f>HYPERLINK("#Liste_rouge!A"&amp;_xlfn.XMATCH("VU",Liste_rouge!A:A,2,1),"VU")</f>
        <v>VU</v>
      </c>
      <c r="AH11588" s="4" t="str">
        <f>HYPERLINK("#Statut_biogéographique!A"&amp;_xlfn.XMATCH("P",Statut_biogéographique!A:A,2,1),"P")</f>
        <v>P</v>
      </c>
      <c r="AP11588" s="4" t="s">
        <v>376</v>
      </c>
      <c r="AR11588" s="4" t="s">
        <v>377</v>
      </c>
    </row>
    <row r="11589" spans="1:44">
      <c r="A11589" s="4" t="s">
        <v>10753</v>
      </c>
      <c r="B11589" s="4">
        <v>233846</v>
      </c>
      <c r="D11589" s="5" t="s">
        <v>14535</v>
      </c>
      <c r="E11589" s="6" t="str">
        <f>HYPERLINK("https://inpn.mnhn.fr/espece/cd_nom/233846","Walckenaeria nudipalpis (Westring, 1851)")</f>
        <v>Walckenaeria nudipalpis (Westring, 1851)</v>
      </c>
      <c r="Q11589" s="7" t="str">
        <f>HYPERLINK("#Liste_rouge!A"&amp;_xlfn.XMATCH("LC",Liste_rouge!A:A,2,1),"LC")</f>
        <v>LC</v>
      </c>
      <c r="AH11589" s="4" t="str">
        <f>HYPERLINK("#Statut_biogéographique!A"&amp;_xlfn.XMATCH("P",Statut_biogéographique!A:A,2,1),"P")</f>
        <v>P</v>
      </c>
      <c r="AP11589" s="4" t="s">
        <v>376</v>
      </c>
      <c r="AR11589" s="4" t="s">
        <v>377</v>
      </c>
    </row>
    <row r="11590" spans="1:44">
      <c r="A11590" s="4" t="s">
        <v>10753</v>
      </c>
      <c r="B11590" s="4">
        <v>233856</v>
      </c>
      <c r="D11590" s="5" t="s">
        <v>14536</v>
      </c>
      <c r="E11590" s="6" t="str">
        <f>HYPERLINK("https://inpn.mnhn.fr/espece/cd_nom/233856","Apostenus fuscus Westring, 1851")</f>
        <v>Apostenus fuscus Westring, 1851</v>
      </c>
      <c r="Q11590" s="7" t="str">
        <f>HYPERLINK("#Liste_rouge!A"&amp;_xlfn.XMATCH("LC",Liste_rouge!A:A,2,1),"LC")</f>
        <v>LC</v>
      </c>
      <c r="AH11590" s="4" t="str">
        <f>HYPERLINK("#Statut_biogéographique!A"&amp;_xlfn.XMATCH("P",Statut_biogéographique!A:A,2,1),"P")</f>
        <v>P</v>
      </c>
      <c r="AP11590" s="4" t="s">
        <v>376</v>
      </c>
      <c r="AR11590" s="4" t="s">
        <v>377</v>
      </c>
    </row>
    <row r="11591" spans="1:44">
      <c r="A11591" s="4" t="s">
        <v>10753</v>
      </c>
      <c r="B11591" s="4">
        <v>233864</v>
      </c>
      <c r="D11591" s="5" t="s">
        <v>14537</v>
      </c>
      <c r="E11591" s="6" t="str">
        <f>HYPERLINK("https://inpn.mnhn.fr/espece/cd_nom/233864","Scotina palliardii (L. Koch, 1881)")</f>
        <v>Scotina palliardii (L. Koch, 1881)</v>
      </c>
      <c r="Q11591" s="7" t="str">
        <f>HYPERLINK("#Liste_rouge!A"&amp;_xlfn.XMATCH("DD",Liste_rouge!A:A,2,1),"DD")</f>
        <v>DD</v>
      </c>
      <c r="AH11591" s="4" t="str">
        <f>HYPERLINK("#Statut_biogéographique!A"&amp;_xlfn.XMATCH("P",Statut_biogéographique!A:A,2,1),"P")</f>
        <v>P</v>
      </c>
      <c r="AP11591" s="4" t="s">
        <v>376</v>
      </c>
      <c r="AR11591" s="4" t="s">
        <v>377</v>
      </c>
    </row>
    <row r="11592" spans="1:44">
      <c r="A11592" s="4" t="s">
        <v>10753</v>
      </c>
      <c r="B11592" s="4">
        <v>233876</v>
      </c>
      <c r="D11592" s="5" t="s">
        <v>14538</v>
      </c>
      <c r="E11592" s="6" t="str">
        <f>HYPERLINK("https://inpn.mnhn.fr/espece/cd_nom/233876","Hogna radiata (Latreille, 1817)")</f>
        <v>Hogna radiata (Latreille, 1817)</v>
      </c>
      <c r="F11592" s="5" t="s">
        <v>14539</v>
      </c>
      <c r="Q11592" s="7" t="str">
        <f>HYPERLINK("#Liste_rouge!A"&amp;_xlfn.XMATCH("LC",Liste_rouge!A:A,2,1),"LC")</f>
        <v>LC</v>
      </c>
      <c r="AH11592" s="4" t="str">
        <f>HYPERLINK("#Statut_biogéographique!A"&amp;_xlfn.XMATCH("P",Statut_biogéographique!A:A,2,1),"P")</f>
        <v>P</v>
      </c>
      <c r="AP11592" s="4" t="s">
        <v>376</v>
      </c>
      <c r="AR11592" s="4" t="s">
        <v>377</v>
      </c>
    </row>
    <row r="11593" spans="1:44">
      <c r="A11593" s="4" t="s">
        <v>10753</v>
      </c>
      <c r="B11593" s="4">
        <v>233879</v>
      </c>
      <c r="D11593" s="5" t="s">
        <v>14540</v>
      </c>
      <c r="E11593" s="6" t="str">
        <f>HYPERLINK("https://inpn.mnhn.fr/espece/cd_nom/233879","Pardosa bifasciata (C.L. Koch, 1834)")</f>
        <v>Pardosa bifasciata (C.L. Koch, 1834)</v>
      </c>
      <c r="Q11593" s="7" t="str">
        <f>HYPERLINK("#Liste_rouge!A"&amp;_xlfn.XMATCH("LC",Liste_rouge!A:A,2,1),"LC")</f>
        <v>LC</v>
      </c>
      <c r="AE11593" s="4" t="str">
        <f>HYPERLINK("#SCAP!A"&amp;_xlfn.XMATCH("1-",SCAP!A:A,2,1),"1-")</f>
        <v>1-</v>
      </c>
      <c r="AF11593" s="4" t="str">
        <f>HYPERLINK("#SCAP!A"&amp;_xlfn.XMATCH("1-",SCAP!A:A,2,1),"1-")</f>
        <v>1-</v>
      </c>
      <c r="AG11593" s="4" t="str">
        <f>HYPERLINK("#SCAP!A"&amp;_xlfn.XMATCH("1-",SCAP!A:A,2,1),"1-")</f>
        <v>1-</v>
      </c>
      <c r="AH11593" s="4" t="str">
        <f>HYPERLINK("#Statut_biogéographique!A"&amp;_xlfn.XMATCH("P",Statut_biogéographique!A:A,2,1),"P")</f>
        <v>P</v>
      </c>
      <c r="AP11593" s="4" t="s">
        <v>376</v>
      </c>
      <c r="AR11593" s="4" t="s">
        <v>377</v>
      </c>
    </row>
    <row r="11594" spans="1:44">
      <c r="A11594" s="4" t="s">
        <v>10753</v>
      </c>
      <c r="B11594" s="4">
        <v>23389</v>
      </c>
      <c r="D11594" s="5" t="s">
        <v>14541</v>
      </c>
      <c r="E11594" s="6" t="str">
        <f>HYPERLINK("https://inpn.mnhn.fr/espece/cd_nom/23389","Chrysotimus flaviventris (von Roser, 1840)")</f>
        <v>Chrysotimus flaviventris (von Roser, 1840)</v>
      </c>
      <c r="AH11594" s="4" t="str">
        <f>HYPERLINK("#Statut_biogéographique!A"&amp;_xlfn.XMATCH("P",Statut_biogéographique!A:A,2,1),"P")</f>
        <v>P</v>
      </c>
      <c r="AP11594" s="4" t="s">
        <v>376</v>
      </c>
      <c r="AR11594" s="4" t="s">
        <v>377</v>
      </c>
    </row>
    <row r="11595" spans="1:44">
      <c r="A11595" s="4" t="s">
        <v>10753</v>
      </c>
      <c r="B11595" s="4">
        <v>233898</v>
      </c>
      <c r="D11595" s="5">
        <v>233898</v>
      </c>
      <c r="E11595" s="6" t="str">
        <f>HYPERLINK("https://inpn.mnhn.fr/espece/cd_nom/233898","Cheiracanthium elegans Thorell, 1875")</f>
        <v>Cheiracanthium elegans Thorell, 1875</v>
      </c>
      <c r="Q11595" s="7" t="str">
        <f>HYPERLINK("#Liste_rouge!A"&amp;_xlfn.XMATCH("LC",Liste_rouge!A:A,2,1),"LC")</f>
        <v>LC</v>
      </c>
      <c r="AH11595" s="4" t="str">
        <f>HYPERLINK("#Statut_biogéographique!A"&amp;_xlfn.XMATCH("P",Statut_biogéographique!A:A,2,1),"P")</f>
        <v>P</v>
      </c>
      <c r="AP11595" s="4" t="s">
        <v>376</v>
      </c>
      <c r="AR11595" s="4" t="s">
        <v>377</v>
      </c>
    </row>
    <row r="11596" spans="1:44">
      <c r="A11596" s="4" t="s">
        <v>10753</v>
      </c>
      <c r="B11596" s="4">
        <v>233901</v>
      </c>
      <c r="D11596" s="5">
        <v>233901</v>
      </c>
      <c r="E11596" s="6" t="str">
        <f>HYPERLINK("https://inpn.mnhn.fr/espece/cd_nom/233901","Cheiracanthium mildei L. Koch, 1864")</f>
        <v>Cheiracanthium mildei L. Koch, 1864</v>
      </c>
      <c r="Q11596" s="7" t="str">
        <f>HYPERLINK("#Liste_rouge!A"&amp;_xlfn.XMATCH("LC",Liste_rouge!A:A,2,1),"LC")</f>
        <v>LC</v>
      </c>
      <c r="AH11596" s="4" t="str">
        <f>HYPERLINK("#Statut_biogéographique!A"&amp;_xlfn.XMATCH("P",Statut_biogéographique!A:A,2,1),"P")</f>
        <v>P</v>
      </c>
      <c r="AP11596" s="4" t="s">
        <v>376</v>
      </c>
      <c r="AR11596" s="4" t="s">
        <v>377</v>
      </c>
    </row>
    <row r="11597" spans="1:44">
      <c r="A11597" s="4" t="s">
        <v>10753</v>
      </c>
      <c r="B11597" s="4">
        <v>23391</v>
      </c>
      <c r="D11597" s="5" t="s">
        <v>14542</v>
      </c>
      <c r="E11597" s="6" t="str">
        <f>HYPERLINK("https://inpn.mnhn.fr/espece/cd_nom/23391","Chrysotimus molliculus (Fallén, 1823)")</f>
        <v>Chrysotimus molliculus (Fallén, 1823)</v>
      </c>
      <c r="AH11597" s="4" t="str">
        <f>HYPERLINK("#Statut_biogéographique!A"&amp;_xlfn.XMATCH("P",Statut_biogéographique!A:A,2,1),"P")</f>
        <v>P</v>
      </c>
      <c r="AP11597" s="4" t="s">
        <v>376</v>
      </c>
      <c r="AR11597" s="4" t="s">
        <v>377</v>
      </c>
    </row>
    <row r="11598" spans="1:44" ht="30">
      <c r="A11598" s="4" t="s">
        <v>10753</v>
      </c>
      <c r="B11598" s="4">
        <v>23393</v>
      </c>
      <c r="D11598" s="5" t="s">
        <v>14543</v>
      </c>
      <c r="E11598" s="6" t="str">
        <f>HYPERLINK("https://inpn.mnhn.fr/espece/cd_nom/23393","Lamprochromus bifasciatus (Macquart, 1827)")</f>
        <v>Lamprochromus bifasciatus (Macquart, 1827)</v>
      </c>
      <c r="AH11598" s="4" t="str">
        <f>HYPERLINK("#Statut_biogéographique!A"&amp;_xlfn.XMATCH("P",Statut_biogéographique!A:A,2,1),"P")</f>
        <v>P</v>
      </c>
      <c r="AP11598" s="4" t="s">
        <v>376</v>
      </c>
      <c r="AR11598" s="4" t="s">
        <v>377</v>
      </c>
    </row>
    <row r="11599" spans="1:44">
      <c r="A11599" s="4" t="s">
        <v>10753</v>
      </c>
      <c r="B11599" s="4">
        <v>233938</v>
      </c>
      <c r="D11599" s="5">
        <v>233938</v>
      </c>
      <c r="E11599" s="6" t="str">
        <f>HYPERLINK("https://inpn.mnhn.fr/espece/cd_nom/233938","Philodromus albidus Kulczyński, 1911")</f>
        <v>Philodromus albidus Kulczyński, 1911</v>
      </c>
      <c r="Q11599" s="7" t="str">
        <f>HYPERLINK("#Liste_rouge!A"&amp;_xlfn.XMATCH("LC",Liste_rouge!A:A,2,1),"LC")</f>
        <v>LC</v>
      </c>
      <c r="AH11599" s="4" t="str">
        <f>HYPERLINK("#Statut_biogéographique!A"&amp;_xlfn.XMATCH("P",Statut_biogéographique!A:A,2,1),"P")</f>
        <v>P</v>
      </c>
      <c r="AP11599" s="4" t="s">
        <v>376</v>
      </c>
      <c r="AR11599" s="4" t="s">
        <v>377</v>
      </c>
    </row>
    <row r="11600" spans="1:44">
      <c r="A11600" s="4" t="s">
        <v>10753</v>
      </c>
      <c r="B11600" s="4">
        <v>233941</v>
      </c>
      <c r="D11600" s="5">
        <v>233941</v>
      </c>
      <c r="E11600" s="6" t="str">
        <f>HYPERLINK("https://inpn.mnhn.fr/espece/cd_nom/233941","Philodromus collinus C.L. Koch, 1835")</f>
        <v>Philodromus collinus C.L. Koch, 1835</v>
      </c>
      <c r="Q11600" s="7" t="str">
        <f>HYPERLINK("#Liste_rouge!A"&amp;_xlfn.XMATCH("LC",Liste_rouge!A:A,2,1),"LC")</f>
        <v>LC</v>
      </c>
      <c r="AH11600" s="4" t="str">
        <f>HYPERLINK("#Statut_biogéographique!A"&amp;_xlfn.XMATCH("P",Statut_biogéographique!A:A,2,1),"P")</f>
        <v>P</v>
      </c>
      <c r="AP11600" s="4" t="s">
        <v>376</v>
      </c>
      <c r="AR11600" s="4" t="s">
        <v>377</v>
      </c>
    </row>
    <row r="11601" spans="1:44">
      <c r="A11601" s="4" t="s">
        <v>10753</v>
      </c>
      <c r="B11601" s="4">
        <v>233943</v>
      </c>
      <c r="D11601" s="5" t="s">
        <v>14544</v>
      </c>
      <c r="E11601" s="6" t="str">
        <f>HYPERLINK("https://inpn.mnhn.fr/espece/cd_nom/233943","Philodromus emarginatus (Schrank, 1803)")</f>
        <v>Philodromus emarginatus (Schrank, 1803)</v>
      </c>
      <c r="Q11601" s="7" t="str">
        <f>HYPERLINK("#Liste_rouge!A"&amp;_xlfn.XMATCH("LC",Liste_rouge!A:A,2,1),"LC")</f>
        <v>LC</v>
      </c>
      <c r="AH11601" s="4" t="str">
        <f>HYPERLINK("#Statut_biogéographique!A"&amp;_xlfn.XMATCH("P",Statut_biogéographique!A:A,2,1),"P")</f>
        <v>P</v>
      </c>
      <c r="AP11601" s="4" t="s">
        <v>376</v>
      </c>
      <c r="AR11601" s="4" t="s">
        <v>377</v>
      </c>
    </row>
    <row r="11602" spans="1:44">
      <c r="A11602" s="4" t="s">
        <v>10753</v>
      </c>
      <c r="B11602" s="4">
        <v>233944</v>
      </c>
      <c r="D11602" s="5">
        <v>233944</v>
      </c>
      <c r="E11602" s="6" t="str">
        <f>HYPERLINK("https://inpn.mnhn.fr/espece/cd_nom/233944","Philodromus fuscolimbatus Lucas, 1846")</f>
        <v>Philodromus fuscolimbatus Lucas, 1846</v>
      </c>
      <c r="Q11602" s="7" t="str">
        <f>HYPERLINK("#Liste_rouge!A"&amp;_xlfn.XMATCH("LC",Liste_rouge!A:A,2,1),"LC")</f>
        <v>LC</v>
      </c>
      <c r="AH11602" s="4" t="str">
        <f>HYPERLINK("#Statut_biogéographique!A"&amp;_xlfn.XMATCH("P",Statut_biogéographique!A:A,2,1),"P")</f>
        <v>P</v>
      </c>
      <c r="AP11602" s="4" t="s">
        <v>376</v>
      </c>
      <c r="AR11602" s="4" t="s">
        <v>377</v>
      </c>
    </row>
    <row r="11603" spans="1:44">
      <c r="A11603" s="4" t="s">
        <v>10753</v>
      </c>
      <c r="B11603" s="4">
        <v>233969</v>
      </c>
      <c r="D11603" s="5" t="s">
        <v>14545</v>
      </c>
      <c r="E11603" s="6" t="str">
        <f>HYPERLINK("https://inpn.mnhn.fr/espece/cd_nom/233969","Ballus chalybeius (Walckenaer, 1802)")</f>
        <v>Ballus chalybeius (Walckenaer, 1802)</v>
      </c>
      <c r="Q11603" s="7" t="str">
        <f>HYPERLINK("#Liste_rouge!A"&amp;_xlfn.XMATCH("LC",Liste_rouge!A:A,2,1),"LC")</f>
        <v>LC</v>
      </c>
      <c r="AH11603" s="4" t="str">
        <f>HYPERLINK("#Statut_biogéographique!A"&amp;_xlfn.XMATCH("P",Statut_biogéographique!A:A,2,1),"P")</f>
        <v>P</v>
      </c>
      <c r="AP11603" s="4" t="s">
        <v>376</v>
      </c>
      <c r="AR11603" s="4" t="s">
        <v>377</v>
      </c>
    </row>
    <row r="11604" spans="1:44">
      <c r="A11604" s="4" t="s">
        <v>10753</v>
      </c>
      <c r="B11604" s="4">
        <v>233970</v>
      </c>
      <c r="D11604" s="5" t="s">
        <v>14546</v>
      </c>
      <c r="E11604" s="6" t="str">
        <f>HYPERLINK("https://inpn.mnhn.fr/espece/cd_nom/233970","Carrhotus xanthogramma (Latreille, 1819)")</f>
        <v>Carrhotus xanthogramma (Latreille, 1819)</v>
      </c>
      <c r="Q11604" s="7" t="str">
        <f>HYPERLINK("#Liste_rouge!A"&amp;_xlfn.XMATCH("LC",Liste_rouge!A:A,2,1),"LC")</f>
        <v>LC</v>
      </c>
      <c r="AH11604" s="4" t="str">
        <f>HYPERLINK("#Statut_biogéographique!A"&amp;_xlfn.XMATCH("P",Statut_biogéographique!A:A,2,1),"P")</f>
        <v>P</v>
      </c>
      <c r="AP11604" s="4" t="s">
        <v>376</v>
      </c>
      <c r="AR11604" s="4" t="s">
        <v>377</v>
      </c>
    </row>
    <row r="11605" spans="1:44">
      <c r="A11605" s="4" t="s">
        <v>10753</v>
      </c>
      <c r="B11605" s="4">
        <v>233978</v>
      </c>
      <c r="D11605" s="5" t="s">
        <v>14547</v>
      </c>
      <c r="E11605" s="6" t="str">
        <f>HYPERLINK("https://inpn.mnhn.fr/espece/cd_nom/233978","Euophrys frontalis (Walckenaer, 1802)")</f>
        <v>Euophrys frontalis (Walckenaer, 1802)</v>
      </c>
      <c r="Q11605" s="7" t="str">
        <f>HYPERLINK("#Liste_rouge!A"&amp;_xlfn.XMATCH("LC",Liste_rouge!A:A,2,1),"LC")</f>
        <v>LC</v>
      </c>
      <c r="AH11605" s="4" t="str">
        <f>HYPERLINK("#Statut_biogéographique!A"&amp;_xlfn.XMATCH("P",Statut_biogéographique!A:A,2,1),"P")</f>
        <v>P</v>
      </c>
      <c r="AP11605" s="4" t="s">
        <v>376</v>
      </c>
      <c r="AR11605" s="4" t="s">
        <v>377</v>
      </c>
    </row>
    <row r="11606" spans="1:44">
      <c r="A11606" s="4" t="s">
        <v>10753</v>
      </c>
      <c r="B11606" s="4">
        <v>233993</v>
      </c>
      <c r="D11606" s="5" t="s">
        <v>14548</v>
      </c>
      <c r="E11606" s="6" t="str">
        <f>HYPERLINK("https://inpn.mnhn.fr/espece/cd_nom/233993","Evarcha falcata (Clerck, 1758)")</f>
        <v>Evarcha falcata (Clerck, 1758)</v>
      </c>
      <c r="F11606" s="5" t="s">
        <v>14549</v>
      </c>
      <c r="Q11606" s="7" t="str">
        <f>HYPERLINK("#Liste_rouge!A"&amp;_xlfn.XMATCH("LC",Liste_rouge!A:A,2,1),"LC")</f>
        <v>LC</v>
      </c>
      <c r="AH11606" s="4" t="str">
        <f>HYPERLINK("#Statut_biogéographique!A"&amp;_xlfn.XMATCH("P",Statut_biogéographique!A:A,2,1),"P")</f>
        <v>P</v>
      </c>
      <c r="AP11606" s="4" t="s">
        <v>376</v>
      </c>
      <c r="AR11606" s="4" t="s">
        <v>377</v>
      </c>
    </row>
    <row r="11607" spans="1:44">
      <c r="A11607" s="4" t="s">
        <v>10753</v>
      </c>
      <c r="B11607" s="4">
        <v>233995</v>
      </c>
      <c r="D11607" s="5" t="s">
        <v>14550</v>
      </c>
      <c r="E11607" s="6" t="str">
        <f>HYPERLINK("https://inpn.mnhn.fr/espece/cd_nom/233995","Heliophanus aeneus (Hahn, 1832)")</f>
        <v>Heliophanus aeneus (Hahn, 1832)</v>
      </c>
      <c r="Q11607" s="7" t="str">
        <f>HYPERLINK("#Liste_rouge!A"&amp;_xlfn.XMATCH("LC",Liste_rouge!A:A,2,1),"LC")</f>
        <v>LC</v>
      </c>
      <c r="AH11607" s="4" t="str">
        <f>HYPERLINK("#Statut_biogéographique!A"&amp;_xlfn.XMATCH("P",Statut_biogéographique!A:A,2,1),"P")</f>
        <v>P</v>
      </c>
      <c r="AP11607" s="4" t="s">
        <v>376</v>
      </c>
      <c r="AR11607" s="4" t="s">
        <v>377</v>
      </c>
    </row>
    <row r="11608" spans="1:44">
      <c r="A11608" s="4" t="s">
        <v>10753</v>
      </c>
      <c r="B11608" s="4">
        <v>233998</v>
      </c>
      <c r="D11608" s="5">
        <v>233998</v>
      </c>
      <c r="E11608" s="6" t="str">
        <f>HYPERLINK("https://inpn.mnhn.fr/espece/cd_nom/233998","Heliophanus dampfi Schenkel, 1923")</f>
        <v>Heliophanus dampfi Schenkel, 1923</v>
      </c>
      <c r="Q11608" s="7" t="str">
        <f>HYPERLINK("#Liste_rouge!A"&amp;_xlfn.XMATCH("EN",Liste_rouge!A:A,2,1),"EN")</f>
        <v>EN</v>
      </c>
      <c r="AH11608" s="4" t="str">
        <f>HYPERLINK("#Statut_biogéographique!A"&amp;_xlfn.XMATCH("P",Statut_biogéographique!A:A,2,1),"P")</f>
        <v>P</v>
      </c>
      <c r="AP11608" s="4" t="s">
        <v>376</v>
      </c>
      <c r="AR11608" s="4" t="s">
        <v>377</v>
      </c>
    </row>
    <row r="11609" spans="1:44">
      <c r="A11609" s="4" t="s">
        <v>10753</v>
      </c>
      <c r="B11609" s="4">
        <v>233999</v>
      </c>
      <c r="D11609" s="5" t="s">
        <v>14551</v>
      </c>
      <c r="E11609" s="6" t="str">
        <f>HYPERLINK("https://inpn.mnhn.fr/espece/cd_nom/233999","Heliophanus dubius C.L. Koch, 1835")</f>
        <v>Heliophanus dubius C.L. Koch, 1835</v>
      </c>
      <c r="Q11609" s="7" t="str">
        <f>HYPERLINK("#Liste_rouge!A"&amp;_xlfn.XMATCH("LC",Liste_rouge!A:A,2,1),"LC")</f>
        <v>LC</v>
      </c>
      <c r="AH11609" s="4" t="str">
        <f>HYPERLINK("#Statut_biogéographique!A"&amp;_xlfn.XMATCH("P",Statut_biogéographique!A:A,2,1),"P")</f>
        <v>P</v>
      </c>
      <c r="AP11609" s="4" t="s">
        <v>376</v>
      </c>
      <c r="AR11609" s="4" t="s">
        <v>377</v>
      </c>
    </row>
    <row r="11610" spans="1:44">
      <c r="A11610" s="4" t="s">
        <v>10753</v>
      </c>
      <c r="B11610" s="4">
        <v>23400</v>
      </c>
      <c r="D11610" s="5" t="s">
        <v>14552</v>
      </c>
      <c r="E11610" s="6" t="str">
        <f>HYPERLINK("https://inpn.mnhn.fr/espece/cd_nom/23400","Sympycnus aeneicoxa (Meigen, 1824)")</f>
        <v>Sympycnus aeneicoxa (Meigen, 1824)</v>
      </c>
      <c r="AH11610" s="4" t="str">
        <f>HYPERLINK("#Statut_biogéographique!A"&amp;_xlfn.XMATCH("P",Statut_biogéographique!A:A,2,1),"P")</f>
        <v>P</v>
      </c>
      <c r="AP11610" s="4" t="s">
        <v>376</v>
      </c>
      <c r="AR11610" s="4" t="s">
        <v>377</v>
      </c>
    </row>
    <row r="11611" spans="1:44" ht="30">
      <c r="A11611" s="4" t="s">
        <v>10753</v>
      </c>
      <c r="B11611" s="4">
        <v>234006</v>
      </c>
      <c r="D11611" s="5" t="s">
        <v>14553</v>
      </c>
      <c r="E11611" s="6" t="str">
        <f>HYPERLINK("https://inpn.mnhn.fr/espece/cd_nom/234006","Macaroeris nidicolens (Walckenaer, 1802)")</f>
        <v>Macaroeris nidicolens (Walckenaer, 1802)</v>
      </c>
      <c r="Q11611" s="7" t="str">
        <f>HYPERLINK("#Liste_rouge!A"&amp;_xlfn.XMATCH("LC",Liste_rouge!A:A,2,1),"LC")</f>
        <v>LC</v>
      </c>
      <c r="AH11611" s="4" t="str">
        <f>HYPERLINK("#Statut_biogéographique!A"&amp;_xlfn.XMATCH("P",Statut_biogéographique!A:A,2,1),"P")</f>
        <v>P</v>
      </c>
      <c r="AP11611" s="4" t="s">
        <v>376</v>
      </c>
      <c r="AR11611" s="4" t="s">
        <v>377</v>
      </c>
    </row>
    <row r="11612" spans="1:44">
      <c r="A11612" s="4" t="s">
        <v>10753</v>
      </c>
      <c r="B11612" s="4">
        <v>234009</v>
      </c>
      <c r="D11612" s="5" t="s">
        <v>14554</v>
      </c>
      <c r="E11612" s="6" t="str">
        <f>HYPERLINK("https://inpn.mnhn.fr/espece/cd_nom/234009","Neon levis (Simon, 1871)")</f>
        <v>Neon levis (Simon, 1871)</v>
      </c>
      <c r="AH11612" s="4" t="str">
        <f>HYPERLINK("#Statut_biogéographique!A"&amp;_xlfn.XMATCH("P",Statut_biogéographique!A:A,2,1),"P")</f>
        <v>P</v>
      </c>
      <c r="AP11612" s="4" t="s">
        <v>376</v>
      </c>
      <c r="AR11612" s="4" t="s">
        <v>377</v>
      </c>
    </row>
    <row r="11613" spans="1:44">
      <c r="A11613" s="4" t="s">
        <v>10753</v>
      </c>
      <c r="B11613" s="4">
        <v>234020</v>
      </c>
      <c r="D11613" s="5" t="s">
        <v>14555</v>
      </c>
      <c r="E11613" s="6" t="str">
        <f>HYPERLINK("https://inpn.mnhn.fr/espece/cd_nom/234020","Phlegra bresnieri (Lucas, 1846)")</f>
        <v>Phlegra bresnieri (Lucas, 1846)</v>
      </c>
      <c r="Q11613" s="7" t="str">
        <f>HYPERLINK("#Liste_rouge!A"&amp;_xlfn.XMATCH("LC",Liste_rouge!A:A,2,1),"LC")</f>
        <v>LC</v>
      </c>
      <c r="AH11613" s="4" t="str">
        <f>HYPERLINK("#Statut_biogéographique!A"&amp;_xlfn.XMATCH("P",Statut_biogéographique!A:A,2,1),"P")</f>
        <v>P</v>
      </c>
      <c r="AP11613" s="4" t="s">
        <v>376</v>
      </c>
      <c r="AR11613" s="4" t="s">
        <v>377</v>
      </c>
    </row>
    <row r="11614" spans="1:44" ht="30">
      <c r="A11614" s="4" t="s">
        <v>10753</v>
      </c>
      <c r="B11614" s="4">
        <v>234021</v>
      </c>
      <c r="D11614" s="5" t="s">
        <v>14556</v>
      </c>
      <c r="E11614" s="6" t="str">
        <f>HYPERLINK("https://inpn.mnhn.fr/espece/cd_nom/234021","Phlegra cinereofasciata (Simon, 1868)")</f>
        <v>Phlegra cinereofasciata (Simon, 1868)</v>
      </c>
      <c r="Q11614" s="7" t="str">
        <f>HYPERLINK("#Liste_rouge!A"&amp;_xlfn.XMATCH("LC",Liste_rouge!A:A,2,1),"LC")</f>
        <v>LC</v>
      </c>
      <c r="AH11614" s="4" t="str">
        <f>HYPERLINK("#Statut_biogéographique!A"&amp;_xlfn.XMATCH("P",Statut_biogéographique!A:A,2,1),"P")</f>
        <v>P</v>
      </c>
      <c r="AP11614" s="4" t="s">
        <v>376</v>
      </c>
      <c r="AR11614" s="4" t="s">
        <v>377</v>
      </c>
    </row>
    <row r="11615" spans="1:44">
      <c r="A11615" s="4" t="s">
        <v>10753</v>
      </c>
      <c r="B11615" s="4">
        <v>234026</v>
      </c>
      <c r="D11615" s="5" t="s">
        <v>14557</v>
      </c>
      <c r="E11615" s="6" t="str">
        <f>HYPERLINK("https://inpn.mnhn.fr/espece/cd_nom/234026","Pseudeuophrys erratica (Walckenaer, 1826)")</f>
        <v>Pseudeuophrys erratica (Walckenaer, 1826)</v>
      </c>
      <c r="Q11615" s="7" t="str">
        <f>HYPERLINK("#Liste_rouge!A"&amp;_xlfn.XMATCH("LC",Liste_rouge!A:A,2,1),"LC")</f>
        <v>LC</v>
      </c>
      <c r="AH11615" s="4" t="str">
        <f>HYPERLINK("#Statut_biogéographique!A"&amp;_xlfn.XMATCH("P",Statut_biogéographique!A:A,2,1),"P")</f>
        <v>P</v>
      </c>
      <c r="AP11615" s="4" t="s">
        <v>376</v>
      </c>
      <c r="AR11615" s="4" t="s">
        <v>377</v>
      </c>
    </row>
    <row r="11616" spans="1:44">
      <c r="A11616" s="4" t="s">
        <v>10753</v>
      </c>
      <c r="B11616" s="4">
        <v>234027</v>
      </c>
      <c r="D11616" s="5" t="s">
        <v>14558</v>
      </c>
      <c r="E11616" s="6" t="str">
        <f>HYPERLINK("https://inpn.mnhn.fr/espece/cd_nom/234027","Pseudeuophrys lanigera (Simon, 1871)")</f>
        <v>Pseudeuophrys lanigera (Simon, 1871)</v>
      </c>
      <c r="Q11616" s="7" t="str">
        <f>HYPERLINK("#Liste_rouge!A"&amp;_xlfn.XMATCH("LC",Liste_rouge!A:A,2,1),"LC")</f>
        <v>LC</v>
      </c>
      <c r="AH11616" s="4" t="str">
        <f>HYPERLINK("#Statut_biogéographique!A"&amp;_xlfn.XMATCH("P",Statut_biogéographique!A:A,2,1),"P")</f>
        <v>P</v>
      </c>
      <c r="AP11616" s="4" t="s">
        <v>376</v>
      </c>
      <c r="AR11616" s="4" t="s">
        <v>377</v>
      </c>
    </row>
    <row r="11617" spans="1:44">
      <c r="A11617" s="4" t="s">
        <v>10753</v>
      </c>
      <c r="B11617" s="4">
        <v>23403</v>
      </c>
      <c r="D11617" s="5" t="s">
        <v>14559</v>
      </c>
      <c r="E11617" s="6" t="str">
        <f>HYPERLINK("https://inpn.mnhn.fr/espece/cd_nom/23403","Sympycnus desoutteri Parent, 1925")</f>
        <v>Sympycnus desoutteri Parent, 1925</v>
      </c>
      <c r="AH11617" s="4" t="str">
        <f>HYPERLINK("#Statut_biogéographique!A"&amp;_xlfn.XMATCH("P",Statut_biogéographique!A:A,2,1),"P")</f>
        <v>P</v>
      </c>
      <c r="AP11617" s="4" t="s">
        <v>376</v>
      </c>
      <c r="AR11617" s="4" t="s">
        <v>377</v>
      </c>
    </row>
    <row r="11618" spans="1:44">
      <c r="A11618" s="4" t="s">
        <v>10753</v>
      </c>
      <c r="B11618" s="4">
        <v>234030</v>
      </c>
      <c r="D11618" s="5" t="s">
        <v>14560</v>
      </c>
      <c r="E11618" s="6" t="str">
        <f>HYPERLINK("https://inpn.mnhn.fr/espece/cd_nom/234030","Salticus cingulatus (Panzer, 1796)")</f>
        <v>Salticus cingulatus (Panzer, 1796)</v>
      </c>
      <c r="Q11618" s="7" t="str">
        <f>HYPERLINK("#Liste_rouge!A"&amp;_xlfn.XMATCH("LC",Liste_rouge!A:A,2,1),"LC")</f>
        <v>LC</v>
      </c>
      <c r="AH11618" s="4" t="str">
        <f>HYPERLINK("#Statut_biogéographique!A"&amp;_xlfn.XMATCH("P",Statut_biogéographique!A:A,2,1),"P")</f>
        <v>P</v>
      </c>
      <c r="AP11618" s="4" t="s">
        <v>376</v>
      </c>
      <c r="AR11618" s="4" t="s">
        <v>377</v>
      </c>
    </row>
    <row r="11619" spans="1:44">
      <c r="A11619" s="4" t="s">
        <v>10753</v>
      </c>
      <c r="B11619" s="4">
        <v>234039</v>
      </c>
      <c r="D11619" s="5" t="s">
        <v>14561</v>
      </c>
      <c r="E11619" s="6" t="str">
        <f>HYPERLINK("https://inpn.mnhn.fr/espece/cd_nom/234039","Sibianor aurocinctus (Ohlert, 1865)")</f>
        <v>Sibianor aurocinctus (Ohlert, 1865)</v>
      </c>
      <c r="Q11619" s="7" t="str">
        <f>HYPERLINK("#Liste_rouge!A"&amp;_xlfn.XMATCH("LC",Liste_rouge!A:A,2,1),"LC")</f>
        <v>LC</v>
      </c>
      <c r="AH11619" s="4" t="str">
        <f>HYPERLINK("#Statut_biogéographique!A"&amp;_xlfn.XMATCH("P",Statut_biogéographique!A:A,2,1),"P")</f>
        <v>P</v>
      </c>
      <c r="AP11619" s="4" t="s">
        <v>376</v>
      </c>
      <c r="AR11619" s="4" t="s">
        <v>377</v>
      </c>
    </row>
    <row r="11620" spans="1:44">
      <c r="A11620" s="4" t="s">
        <v>10753</v>
      </c>
      <c r="B11620" s="4">
        <v>23404</v>
      </c>
      <c r="D11620" s="5">
        <v>23404</v>
      </c>
      <c r="E11620" s="6" t="str">
        <f>HYPERLINK("https://inpn.mnhn.fr/espece/cd_nom/23404","Sympycnus spiculatus Gerstäcker, 1864")</f>
        <v>Sympycnus spiculatus Gerstäcker, 1864</v>
      </c>
      <c r="AH11620" s="4" t="str">
        <f>HYPERLINK("#Statut_biogéographique!A"&amp;_xlfn.XMATCH("P",Statut_biogéographique!A:A,2,1),"P")</f>
        <v>P</v>
      </c>
      <c r="AP11620" s="4" t="s">
        <v>376</v>
      </c>
      <c r="AR11620" s="4" t="s">
        <v>377</v>
      </c>
    </row>
    <row r="11621" spans="1:44" ht="30">
      <c r="A11621" s="4" t="s">
        <v>10753</v>
      </c>
      <c r="B11621" s="4">
        <v>234053</v>
      </c>
      <c r="D11621" s="5" t="s">
        <v>14562</v>
      </c>
      <c r="E11621" s="6" t="str">
        <f>HYPERLINK("https://inpn.mnhn.fr/espece/cd_nom/234053","Talavera aequipes (O. Pickard-Cambridge, 1871)")</f>
        <v>Talavera aequipes (O. Pickard-Cambridge, 1871)</v>
      </c>
      <c r="Q11621" s="7" t="str">
        <f>HYPERLINK("#Liste_rouge!A"&amp;_xlfn.XMATCH("LC",Liste_rouge!A:A,2,1),"LC")</f>
        <v>LC</v>
      </c>
      <c r="AH11621" s="4" t="str">
        <f>HYPERLINK("#Statut_biogéographique!A"&amp;_xlfn.XMATCH("P",Statut_biogéographique!A:A,2,1),"P")</f>
        <v>P</v>
      </c>
      <c r="AP11621" s="4" t="s">
        <v>376</v>
      </c>
      <c r="AR11621" s="4" t="s">
        <v>377</v>
      </c>
    </row>
    <row r="11622" spans="1:44">
      <c r="A11622" s="4" t="s">
        <v>10753</v>
      </c>
      <c r="B11622" s="4">
        <v>234065</v>
      </c>
      <c r="D11622" s="5" t="s">
        <v>14563</v>
      </c>
      <c r="E11622" s="6" t="str">
        <f>HYPERLINK("https://inpn.mnhn.fr/espece/cd_nom/234065","Metellina merianae (Scopoli, 1763)")</f>
        <v>Metellina merianae (Scopoli, 1763)</v>
      </c>
      <c r="Q11622" s="7" t="str">
        <f>HYPERLINK("#Liste_rouge!A"&amp;_xlfn.XMATCH("LC",Liste_rouge!A:A,2,1),"LC")</f>
        <v>LC</v>
      </c>
      <c r="AH11622" s="4" t="str">
        <f>HYPERLINK("#Statut_biogéographique!A"&amp;_xlfn.XMATCH("P",Statut_biogéographique!A:A,2,1),"P")</f>
        <v>P</v>
      </c>
      <c r="AP11622" s="4" t="s">
        <v>376</v>
      </c>
      <c r="AR11622" s="4" t="s">
        <v>377</v>
      </c>
    </row>
    <row r="11623" spans="1:44">
      <c r="A11623" s="4" t="s">
        <v>10753</v>
      </c>
      <c r="B11623" s="4">
        <v>234066</v>
      </c>
      <c r="D11623" s="5" t="s">
        <v>14564</v>
      </c>
      <c r="E11623" s="6" t="str">
        <f>HYPERLINK("https://inpn.mnhn.fr/espece/cd_nom/234066","Metellina segmentata (Clerck, 1758)")</f>
        <v>Metellina segmentata (Clerck, 1758)</v>
      </c>
      <c r="F11623" s="5" t="s">
        <v>14565</v>
      </c>
      <c r="Q11623" s="7" t="str">
        <f>HYPERLINK("#Liste_rouge!A"&amp;_xlfn.XMATCH("LC",Liste_rouge!A:A,2,1),"LC")</f>
        <v>LC</v>
      </c>
      <c r="AH11623" s="4" t="str">
        <f>HYPERLINK("#Statut_biogéographique!A"&amp;_xlfn.XMATCH("P",Statut_biogéographique!A:A,2,1),"P")</f>
        <v>P</v>
      </c>
      <c r="AP11623" s="4" t="s">
        <v>376</v>
      </c>
      <c r="AR11623" s="4" t="s">
        <v>377</v>
      </c>
    </row>
    <row r="11624" spans="1:44">
      <c r="A11624" s="4" t="s">
        <v>10753</v>
      </c>
      <c r="B11624" s="4">
        <v>234067</v>
      </c>
      <c r="D11624" s="5" t="s">
        <v>14566</v>
      </c>
      <c r="E11624" s="6" t="str">
        <f>HYPERLINK("https://inpn.mnhn.fr/espece/cd_nom/234067","Pachygnatha clercki Sundevall, 1823")</f>
        <v>Pachygnatha clercki Sundevall, 1823</v>
      </c>
      <c r="Q11624" s="7" t="str">
        <f>HYPERLINK("#Liste_rouge!A"&amp;_xlfn.XMATCH("LC",Liste_rouge!A:A,2,1),"LC")</f>
        <v>LC</v>
      </c>
      <c r="AH11624" s="4" t="str">
        <f>HYPERLINK("#Statut_biogéographique!A"&amp;_xlfn.XMATCH("P",Statut_biogéographique!A:A,2,1),"P")</f>
        <v>P</v>
      </c>
      <c r="AP11624" s="4" t="s">
        <v>376</v>
      </c>
      <c r="AR11624" s="4" t="s">
        <v>377</v>
      </c>
    </row>
    <row r="11625" spans="1:44">
      <c r="A11625" s="4" t="s">
        <v>10753</v>
      </c>
      <c r="B11625" s="4">
        <v>234070</v>
      </c>
      <c r="D11625" s="5">
        <v>234070</v>
      </c>
      <c r="E11625" s="6" t="str">
        <f>HYPERLINK("https://inpn.mnhn.fr/espece/cd_nom/234070","Tetragnatha nigrita Lendl, 1886")</f>
        <v>Tetragnatha nigrita Lendl, 1886</v>
      </c>
      <c r="Q11625" s="7" t="str">
        <f>HYPERLINK("#Liste_rouge!A"&amp;_xlfn.XMATCH("LC",Liste_rouge!A:A,2,1),"LC")</f>
        <v>LC</v>
      </c>
      <c r="AH11625" s="4" t="str">
        <f>HYPERLINK("#Statut_biogéographique!A"&amp;_xlfn.XMATCH("P",Statut_biogéographique!A:A,2,1),"P")</f>
        <v>P</v>
      </c>
      <c r="AP11625" s="4" t="s">
        <v>376</v>
      </c>
      <c r="AR11625" s="4" t="s">
        <v>377</v>
      </c>
    </row>
    <row r="11626" spans="1:44">
      <c r="A11626" s="4" t="s">
        <v>10753</v>
      </c>
      <c r="B11626" s="4">
        <v>234072</v>
      </c>
      <c r="D11626" s="5">
        <v>234072</v>
      </c>
      <c r="E11626" s="6" t="str">
        <f>HYPERLINK("https://inpn.mnhn.fr/espece/cd_nom/234072","Tetragnatha pinicola L. Koch, 1870")</f>
        <v>Tetragnatha pinicola L. Koch, 1870</v>
      </c>
      <c r="Q11626" s="7" t="str">
        <f>HYPERLINK("#Liste_rouge!A"&amp;_xlfn.XMATCH("LC",Liste_rouge!A:A,2,1),"LC")</f>
        <v>LC</v>
      </c>
      <c r="AH11626" s="4" t="str">
        <f>HYPERLINK("#Statut_biogéographique!A"&amp;_xlfn.XMATCH("P",Statut_biogéographique!A:A,2,1),"P")</f>
        <v>P</v>
      </c>
      <c r="AP11626" s="4" t="s">
        <v>376</v>
      </c>
      <c r="AR11626" s="4" t="s">
        <v>377</v>
      </c>
    </row>
    <row r="11627" spans="1:44">
      <c r="A11627" s="4" t="s">
        <v>10753</v>
      </c>
      <c r="B11627" s="4">
        <v>234103</v>
      </c>
      <c r="D11627" s="5" t="s">
        <v>14567</v>
      </c>
      <c r="E11627" s="6" t="str">
        <f>HYPERLINK("https://inpn.mnhn.fr/espece/cd_nom/234103","Lasaeola tristis (Hahn, 1833)")</f>
        <v>Lasaeola tristis (Hahn, 1833)</v>
      </c>
      <c r="Q11627" s="7" t="str">
        <f>HYPERLINK("#Liste_rouge!A"&amp;_xlfn.XMATCH("LC",Liste_rouge!A:A,2,1),"LC")</f>
        <v>LC</v>
      </c>
      <c r="AH11627" s="4" t="str">
        <f>HYPERLINK("#Statut_biogéographique!A"&amp;_xlfn.XMATCH("P",Statut_biogéographique!A:A,2,1),"P")</f>
        <v>P</v>
      </c>
      <c r="AP11627" s="4" t="s">
        <v>376</v>
      </c>
      <c r="AR11627" s="4" t="s">
        <v>377</v>
      </c>
    </row>
    <row r="11628" spans="1:44">
      <c r="A11628" s="4" t="s">
        <v>10753</v>
      </c>
      <c r="B11628" s="4">
        <v>234105</v>
      </c>
      <c r="D11628" s="5" t="s">
        <v>14568</v>
      </c>
      <c r="E11628" s="6" t="str">
        <f>HYPERLINK("https://inpn.mnhn.fr/espece/cd_nom/234105","Neottiura bimaculata (Linnaeus, 1767)")</f>
        <v>Neottiura bimaculata (Linnaeus, 1767)</v>
      </c>
      <c r="F11628" s="5" t="s">
        <v>14569</v>
      </c>
      <c r="Q11628" s="7" t="str">
        <f>HYPERLINK("#Liste_rouge!A"&amp;_xlfn.XMATCH("LC",Liste_rouge!A:A,2,1),"LC")</f>
        <v>LC</v>
      </c>
      <c r="AH11628" s="4" t="str">
        <f>HYPERLINK("#Statut_biogéographique!A"&amp;_xlfn.XMATCH("P",Statut_biogéographique!A:A,2,1),"P")</f>
        <v>P</v>
      </c>
      <c r="AP11628" s="4" t="s">
        <v>376</v>
      </c>
      <c r="AR11628" s="4" t="s">
        <v>377</v>
      </c>
    </row>
    <row r="11629" spans="1:44">
      <c r="A11629" s="4" t="s">
        <v>10753</v>
      </c>
      <c r="B11629" s="4">
        <v>234111</v>
      </c>
      <c r="D11629" s="5" t="s">
        <v>14570</v>
      </c>
      <c r="E11629" s="6" t="str">
        <f>HYPERLINK("https://inpn.mnhn.fr/espece/cd_nom/234111","Paidiscura pallens (Blackwall, 1834)")</f>
        <v>Paidiscura pallens (Blackwall, 1834)</v>
      </c>
      <c r="Q11629" s="7" t="str">
        <f>HYPERLINK("#Liste_rouge!A"&amp;_xlfn.XMATCH("LC",Liste_rouge!A:A,2,1),"LC")</f>
        <v>LC</v>
      </c>
      <c r="AH11629" s="4" t="str">
        <f>HYPERLINK("#Statut_biogéographique!A"&amp;_xlfn.XMATCH("P",Statut_biogéographique!A:A,2,1),"P")</f>
        <v>P</v>
      </c>
      <c r="AP11629" s="4" t="s">
        <v>376</v>
      </c>
      <c r="AR11629" s="4" t="s">
        <v>377</v>
      </c>
    </row>
    <row r="11630" spans="1:44" ht="30">
      <c r="A11630" s="4" t="s">
        <v>10753</v>
      </c>
      <c r="B11630" s="4">
        <v>234117</v>
      </c>
      <c r="D11630" s="5" t="s">
        <v>14571</v>
      </c>
      <c r="E11630" s="6" t="str">
        <f>HYPERLINK("https://inpn.mnhn.fr/espece/cd_nom/234117","Rugathodes instabilis (O. Pickard-Cambridge, 1871)")</f>
        <v>Rugathodes instabilis (O. Pickard-Cambridge, 1871)</v>
      </c>
      <c r="Q11630" s="7" t="str">
        <f>HYPERLINK("#Liste_rouge!A"&amp;_xlfn.XMATCH("LC",Liste_rouge!A:A,2,1),"LC")</f>
        <v>LC</v>
      </c>
      <c r="AH11630" s="4" t="str">
        <f>HYPERLINK("#Statut_biogéographique!A"&amp;_xlfn.XMATCH("P",Statut_biogéographique!A:A,2,1),"P")</f>
        <v>P</v>
      </c>
      <c r="AP11630" s="4" t="s">
        <v>376</v>
      </c>
      <c r="AR11630" s="4" t="s">
        <v>377</v>
      </c>
    </row>
    <row r="11631" spans="1:44">
      <c r="A11631" s="4" t="s">
        <v>10753</v>
      </c>
      <c r="B11631" s="4">
        <v>234125</v>
      </c>
      <c r="D11631" s="5" t="s">
        <v>14572</v>
      </c>
      <c r="E11631" s="6" t="str">
        <f>HYPERLINK("https://inpn.mnhn.fr/espece/cd_nom/234125","Steatoda triangulosa (Walckenaer, 1802)")</f>
        <v>Steatoda triangulosa (Walckenaer, 1802)</v>
      </c>
      <c r="Q11631" s="7" t="str">
        <f>HYPERLINK("#Liste_rouge!A"&amp;_xlfn.XMATCH("LC",Liste_rouge!A:A,2,1),"LC")</f>
        <v>LC</v>
      </c>
      <c r="AH11631" s="4" t="str">
        <f>HYPERLINK("#Statut_biogéographique!A"&amp;_xlfn.XMATCH("P",Statut_biogéographique!A:A,2,1),"P")</f>
        <v>P</v>
      </c>
      <c r="AP11631" s="4" t="s">
        <v>376</v>
      </c>
      <c r="AR11631" s="4" t="s">
        <v>377</v>
      </c>
    </row>
    <row r="11632" spans="1:44">
      <c r="A11632" s="4" t="s">
        <v>10753</v>
      </c>
      <c r="B11632" s="4">
        <v>234139</v>
      </c>
      <c r="D11632" s="5">
        <v>234139</v>
      </c>
      <c r="E11632" s="6" t="str">
        <f>HYPERLINK("https://inpn.mnhn.fr/espece/cd_nom/234139","Theridion melanurum Hahn, 1831")</f>
        <v>Theridion melanurum Hahn, 1831</v>
      </c>
      <c r="Q11632" s="7" t="str">
        <f>HYPERLINK("#Liste_rouge!A"&amp;_xlfn.XMATCH("LC",Liste_rouge!A:A,2,1),"LC")</f>
        <v>LC</v>
      </c>
      <c r="AH11632" s="4" t="str">
        <f>HYPERLINK("#Statut_biogéographique!A"&amp;_xlfn.XMATCH("P",Statut_biogéographique!A:A,2,1),"P")</f>
        <v>P</v>
      </c>
      <c r="AP11632" s="4" t="s">
        <v>376</v>
      </c>
      <c r="AR11632" s="4" t="s">
        <v>377</v>
      </c>
    </row>
    <row r="11633" spans="1:44">
      <c r="A11633" s="4" t="s">
        <v>10753</v>
      </c>
      <c r="B11633" s="4">
        <v>234144</v>
      </c>
      <c r="D11633" s="5" t="s">
        <v>14573</v>
      </c>
      <c r="E11633" s="6" t="str">
        <f>HYPERLINK("https://inpn.mnhn.fr/espece/cd_nom/234144","Theridion pictum (Walckenaer, 1802)")</f>
        <v>Theridion pictum (Walckenaer, 1802)</v>
      </c>
      <c r="Q11633" s="7" t="str">
        <f>HYPERLINK("#Liste_rouge!A"&amp;_xlfn.XMATCH("LC",Liste_rouge!A:A,2,1),"LC")</f>
        <v>LC</v>
      </c>
      <c r="AH11633" s="4" t="str">
        <f>HYPERLINK("#Statut_biogéographique!A"&amp;_xlfn.XMATCH("P",Statut_biogéographique!A:A,2,1),"P")</f>
        <v>P</v>
      </c>
      <c r="AP11633" s="4" t="s">
        <v>376</v>
      </c>
      <c r="AR11633" s="4" t="s">
        <v>377</v>
      </c>
    </row>
    <row r="11634" spans="1:44">
      <c r="A11634" s="4" t="s">
        <v>10753</v>
      </c>
      <c r="B11634" s="4">
        <v>234152</v>
      </c>
      <c r="D11634" s="5" t="s">
        <v>14574</v>
      </c>
      <c r="E11634" s="6" t="str">
        <f>HYPERLINK("https://inpn.mnhn.fr/espece/cd_nom/234152","Ozyptila atomaria (Panzer, 1800)")</f>
        <v>Ozyptila atomaria (Panzer, 1800)</v>
      </c>
      <c r="F11634" s="5" t="s">
        <v>14575</v>
      </c>
      <c r="Q11634" s="7" t="str">
        <f>HYPERLINK("#Liste_rouge!A"&amp;_xlfn.XMATCH("LC",Liste_rouge!A:A,2,1),"LC")</f>
        <v>LC</v>
      </c>
      <c r="AH11634" s="4" t="str">
        <f>HYPERLINK("#Statut_biogéographique!A"&amp;_xlfn.XMATCH("P",Statut_biogéographique!A:A,2,1),"P")</f>
        <v>P</v>
      </c>
      <c r="AP11634" s="4" t="s">
        <v>376</v>
      </c>
      <c r="AR11634" s="4" t="s">
        <v>377</v>
      </c>
    </row>
    <row r="11635" spans="1:44">
      <c r="A11635" s="4" t="s">
        <v>10753</v>
      </c>
      <c r="B11635" s="4">
        <v>234155</v>
      </c>
      <c r="D11635" s="5" t="s">
        <v>14576</v>
      </c>
      <c r="E11635" s="6" t="str">
        <f>HYPERLINK("https://inpn.mnhn.fr/espece/cd_nom/234155","Ozyptila brevipes (Hahn, 1826)")</f>
        <v>Ozyptila brevipes (Hahn, 1826)</v>
      </c>
      <c r="Q11635" s="7" t="str">
        <f>HYPERLINK("#Liste_rouge!A"&amp;_xlfn.XMATCH("LC",Liste_rouge!A:A,2,1),"LC")</f>
        <v>LC</v>
      </c>
      <c r="AH11635" s="4" t="str">
        <f>HYPERLINK("#Statut_biogéographique!A"&amp;_xlfn.XMATCH("P",Statut_biogéographique!A:A,2,1),"P")</f>
        <v>P</v>
      </c>
      <c r="AP11635" s="4" t="s">
        <v>376</v>
      </c>
      <c r="AR11635" s="4" t="s">
        <v>377</v>
      </c>
    </row>
    <row r="11636" spans="1:44">
      <c r="A11636" s="4" t="s">
        <v>10753</v>
      </c>
      <c r="B11636" s="4">
        <v>234161</v>
      </c>
      <c r="D11636" s="5" t="s">
        <v>14577</v>
      </c>
      <c r="E11636" s="6" t="str">
        <f>HYPERLINK("https://inpn.mnhn.fr/espece/cd_nom/234161","Ozyptila praticola (C.L. Koch, 1837)")</f>
        <v>Ozyptila praticola (C.L. Koch, 1837)</v>
      </c>
      <c r="Q11636" s="7" t="str">
        <f>HYPERLINK("#Liste_rouge!A"&amp;_xlfn.XMATCH("LC",Liste_rouge!A:A,2,1),"LC")</f>
        <v>LC</v>
      </c>
      <c r="AH11636" s="4" t="str">
        <f>HYPERLINK("#Statut_biogéographique!A"&amp;_xlfn.XMATCH("P",Statut_biogéographique!A:A,2,1),"P")</f>
        <v>P</v>
      </c>
      <c r="AP11636" s="4" t="s">
        <v>376</v>
      </c>
      <c r="AR11636" s="4" t="s">
        <v>377</v>
      </c>
    </row>
    <row r="11637" spans="1:44" ht="30">
      <c r="A11637" s="4" t="s">
        <v>10753</v>
      </c>
      <c r="B11637" s="4">
        <v>234165</v>
      </c>
      <c r="D11637" s="5" t="s">
        <v>14578</v>
      </c>
      <c r="E11637" s="6" t="str">
        <f>HYPERLINK("https://inpn.mnhn.fr/espece/cd_nom/234165","Ozyptila simplex (O. Pickard-Cambridge, 1862)")</f>
        <v>Ozyptila simplex (O. Pickard-Cambridge, 1862)</v>
      </c>
      <c r="Q11637" s="7" t="str">
        <f>HYPERLINK("#Liste_rouge!A"&amp;_xlfn.XMATCH("LC",Liste_rouge!A:A,2,1),"LC")</f>
        <v>LC</v>
      </c>
      <c r="AH11637" s="4" t="str">
        <f>HYPERLINK("#Statut_biogéographique!A"&amp;_xlfn.XMATCH("P",Statut_biogéographique!A:A,2,1),"P")</f>
        <v>P</v>
      </c>
      <c r="AP11637" s="4" t="s">
        <v>376</v>
      </c>
      <c r="AR11637" s="4" t="s">
        <v>377</v>
      </c>
    </row>
    <row r="11638" spans="1:44">
      <c r="A11638" s="4" t="s">
        <v>10753</v>
      </c>
      <c r="B11638" s="4">
        <v>234166</v>
      </c>
      <c r="D11638" s="5" t="s">
        <v>14579</v>
      </c>
      <c r="E11638" s="6" t="str">
        <f>HYPERLINK("https://inpn.mnhn.fr/espece/cd_nom/234166","Ozyptila trux (Blackwall, 1846)")</f>
        <v>Ozyptila trux (Blackwall, 1846)</v>
      </c>
      <c r="Q11638" s="7" t="str">
        <f>HYPERLINK("#Liste_rouge!A"&amp;_xlfn.XMATCH("LC",Liste_rouge!A:A,2,1),"LC")</f>
        <v>LC</v>
      </c>
      <c r="AH11638" s="4" t="str">
        <f>HYPERLINK("#Statut_biogéographique!A"&amp;_xlfn.XMATCH("P",Statut_biogéographique!A:A,2,1),"P")</f>
        <v>P</v>
      </c>
      <c r="AP11638" s="4" t="s">
        <v>376</v>
      </c>
      <c r="AR11638" s="4" t="s">
        <v>377</v>
      </c>
    </row>
    <row r="11639" spans="1:44">
      <c r="A11639" s="4" t="s">
        <v>10753</v>
      </c>
      <c r="B11639" s="4">
        <v>234169</v>
      </c>
      <c r="D11639" s="5" t="s">
        <v>14580</v>
      </c>
      <c r="E11639" s="6" t="str">
        <f>HYPERLINK("https://inpn.mnhn.fr/espece/cd_nom/234169","Synema globosum (Fabricius, 1775)")</f>
        <v>Synema globosum (Fabricius, 1775)</v>
      </c>
      <c r="F11639" s="5" t="s">
        <v>14581</v>
      </c>
      <c r="Q11639" s="7" t="str">
        <f>HYPERLINK("#Liste_rouge!A"&amp;_xlfn.XMATCH("LC",Liste_rouge!A:A,2,1),"LC")</f>
        <v>LC</v>
      </c>
      <c r="AH11639" s="4" t="str">
        <f>HYPERLINK("#Statut_biogéographique!A"&amp;_xlfn.XMATCH("P",Statut_biogéographique!A:A,2,1),"P")</f>
        <v>P</v>
      </c>
      <c r="AP11639" s="4" t="s">
        <v>376</v>
      </c>
      <c r="AR11639" s="4" t="s">
        <v>377</v>
      </c>
    </row>
    <row r="11640" spans="1:44">
      <c r="A11640" s="4" t="s">
        <v>10753</v>
      </c>
      <c r="B11640" s="4">
        <v>234186</v>
      </c>
      <c r="D11640" s="5" t="s">
        <v>14582</v>
      </c>
      <c r="E11640" s="6" t="str">
        <f>HYPERLINK("https://inpn.mnhn.fr/espece/cd_nom/234186","Titanoeca quadriguttata (Hahn, 1833)")</f>
        <v>Titanoeca quadriguttata (Hahn, 1833)</v>
      </c>
      <c r="Q11640" s="7" t="str">
        <f>HYPERLINK("#Liste_rouge!A"&amp;_xlfn.XMATCH("LC",Liste_rouge!A:A,2,1),"LC")</f>
        <v>LC</v>
      </c>
      <c r="AH11640" s="4" t="str">
        <f>HYPERLINK("#Statut_biogéographique!A"&amp;_xlfn.XMATCH("P",Statut_biogéographique!A:A,2,1),"P")</f>
        <v>P</v>
      </c>
      <c r="AP11640" s="4" t="s">
        <v>376</v>
      </c>
      <c r="AR11640" s="4" t="s">
        <v>377</v>
      </c>
    </row>
    <row r="11641" spans="1:44">
      <c r="A11641" s="4" t="s">
        <v>10753</v>
      </c>
      <c r="B11641" s="4">
        <v>234211</v>
      </c>
      <c r="D11641" s="5" t="s">
        <v>14583</v>
      </c>
      <c r="E11641" s="6" t="str">
        <f>HYPERLINK("https://inpn.mnhn.fr/espece/cd_nom/234211","Zoropsis spinimana (Dufour, 1820)")</f>
        <v>Zoropsis spinimana (Dufour, 1820)</v>
      </c>
      <c r="F11641" s="5" t="s">
        <v>14584</v>
      </c>
      <c r="Q11641" s="7" t="str">
        <f>HYPERLINK("#Liste_rouge!A"&amp;_xlfn.XMATCH("LC",Liste_rouge!A:A,2,1),"LC")</f>
        <v>LC</v>
      </c>
      <c r="AH11641" s="4" t="str">
        <f>HYPERLINK("#Statut_biogéographique!A"&amp;_xlfn.XMATCH("P",Statut_biogéographique!A:A,2,1),"P")</f>
        <v>P</v>
      </c>
      <c r="AP11641" s="4" t="s">
        <v>376</v>
      </c>
      <c r="AR11641" s="4" t="s">
        <v>377</v>
      </c>
    </row>
    <row r="11642" spans="1:44">
      <c r="A11642" s="4" t="s">
        <v>10753</v>
      </c>
      <c r="B11642" s="4">
        <v>23429</v>
      </c>
      <c r="D11642" s="5" t="s">
        <v>14585</v>
      </c>
      <c r="E11642" s="6" t="str">
        <f>HYPERLINK("https://inpn.mnhn.fr/espece/cd_nom/23429","Teuchophorus nigricosta (von Roser, 1840)")</f>
        <v>Teuchophorus nigricosta (von Roser, 1840)</v>
      </c>
      <c r="AH11642" s="4" t="str">
        <f>HYPERLINK("#Statut_biogéographique!A"&amp;_xlfn.XMATCH("P",Statut_biogéographique!A:A,2,1),"P")</f>
        <v>P</v>
      </c>
      <c r="AP11642" s="4" t="s">
        <v>376</v>
      </c>
      <c r="AR11642" s="4" t="s">
        <v>377</v>
      </c>
    </row>
    <row r="11643" spans="1:44" ht="30">
      <c r="A11643" s="4" t="s">
        <v>10753</v>
      </c>
      <c r="B11643" s="4">
        <v>23432</v>
      </c>
      <c r="D11643" s="5" t="s">
        <v>14586</v>
      </c>
      <c r="E11643" s="6" t="str">
        <f>HYPERLINK("https://inpn.mnhn.fr/espece/cd_nom/23432","Teuchophorus spinigerellus (Zetterstedt, 1843)")</f>
        <v>Teuchophorus spinigerellus (Zetterstedt, 1843)</v>
      </c>
      <c r="AH11643" s="4" t="str">
        <f>HYPERLINK("#Statut_biogéographique!A"&amp;_xlfn.XMATCH("P",Statut_biogéographique!A:A,2,1),"P")</f>
        <v>P</v>
      </c>
      <c r="AP11643" s="4" t="s">
        <v>376</v>
      </c>
      <c r="AR11643" s="4" t="s">
        <v>377</v>
      </c>
    </row>
    <row r="11644" spans="1:44">
      <c r="A11644" s="4" t="s">
        <v>10753</v>
      </c>
      <c r="B11644" s="4">
        <v>234433</v>
      </c>
      <c r="D11644" s="5">
        <v>234433</v>
      </c>
      <c r="E11644" s="6" t="str">
        <f>HYPERLINK("https://inpn.mnhn.fr/espece/cd_nom/234433","Lithobius agilis C.L. Koch, 1847")</f>
        <v>Lithobius agilis C.L. Koch, 1847</v>
      </c>
      <c r="AH11644" s="4" t="str">
        <f>HYPERLINK("#Statut_biogéographique!A"&amp;_xlfn.XMATCH("P",Statut_biogéographique!A:A,2,1),"P")</f>
        <v>P</v>
      </c>
      <c r="AP11644" s="4" t="s">
        <v>376</v>
      </c>
      <c r="AR11644" s="4" t="s">
        <v>377</v>
      </c>
    </row>
    <row r="11645" spans="1:44">
      <c r="A11645" s="4" t="s">
        <v>10753</v>
      </c>
      <c r="B11645" s="4">
        <v>234440</v>
      </c>
      <c r="D11645" s="5" t="s">
        <v>14587</v>
      </c>
      <c r="E11645" s="6" t="str">
        <f>HYPERLINK("https://inpn.mnhn.fr/espece/cd_nom/234440","Lithobius calcaratus C.L. Koch, 1844")</f>
        <v>Lithobius calcaratus C.L. Koch, 1844</v>
      </c>
      <c r="AH11645" s="4" t="str">
        <f>HYPERLINK("#Statut_biogéographique!A"&amp;_xlfn.XMATCH("P",Statut_biogéographique!A:A,2,1),"P")</f>
        <v>P</v>
      </c>
      <c r="AP11645" s="4" t="s">
        <v>376</v>
      </c>
      <c r="AR11645" s="4" t="s">
        <v>377</v>
      </c>
    </row>
    <row r="11646" spans="1:44">
      <c r="A11646" s="4" t="s">
        <v>10753</v>
      </c>
      <c r="B11646" s="4">
        <v>234445</v>
      </c>
      <c r="D11646" s="5" t="s">
        <v>14588</v>
      </c>
      <c r="E11646" s="6" t="str">
        <f>HYPERLINK("https://inpn.mnhn.fr/espece/cd_nom/234445","Lithobius dentatus C.L. Koch, 1844")</f>
        <v>Lithobius dentatus C.L. Koch, 1844</v>
      </c>
      <c r="AH11646" s="4" t="str">
        <f>HYPERLINK("#Statut_biogéographique!A"&amp;_xlfn.XMATCH("P",Statut_biogéographique!A:A,2,1),"P")</f>
        <v>P</v>
      </c>
      <c r="AP11646" s="4" t="s">
        <v>376</v>
      </c>
      <c r="AR11646" s="4" t="s">
        <v>377</v>
      </c>
    </row>
    <row r="11647" spans="1:44" ht="120">
      <c r="A11647" s="4" t="s">
        <v>10753</v>
      </c>
      <c r="B11647" s="4">
        <v>234449</v>
      </c>
      <c r="D11647" s="5" t="s">
        <v>14589</v>
      </c>
      <c r="E11647" s="6" t="str">
        <f>HYPERLINK("https://inpn.mnhn.fr/espece/cd_nom/234449","Lithobius forficatus (Linnaeus, 1758)")</f>
        <v>Lithobius forficatus (Linnaeus, 1758)</v>
      </c>
      <c r="AH11647" s="4" t="str">
        <f>HYPERLINK("#Statut_biogéographique!A"&amp;_xlfn.XMATCH("P",Statut_biogéographique!A:A,2,1),"P")</f>
        <v>P</v>
      </c>
      <c r="AP11647" s="4" t="s">
        <v>376</v>
      </c>
      <c r="AR11647" s="4" t="s">
        <v>377</v>
      </c>
    </row>
    <row r="11648" spans="1:44" ht="30">
      <c r="A11648" s="4" t="s">
        <v>10753</v>
      </c>
      <c r="B11648" s="4">
        <v>234454</v>
      </c>
      <c r="D11648" s="5" t="s">
        <v>14590</v>
      </c>
      <c r="E11648" s="6" t="str">
        <f>HYPERLINK("https://inpn.mnhn.fr/espece/cd_nom/234454","Lithobius macilentus L. Koch, 1862")</f>
        <v>Lithobius macilentus L. Koch, 1862</v>
      </c>
      <c r="AH11648" s="4" t="str">
        <f>HYPERLINK("#Statut_biogéographique!A"&amp;_xlfn.XMATCH("P",Statut_biogéographique!A:A,2,1),"P")</f>
        <v>P</v>
      </c>
      <c r="AP11648" s="4" t="s">
        <v>376</v>
      </c>
      <c r="AR11648" s="4" t="s">
        <v>377</v>
      </c>
    </row>
    <row r="11649" spans="1:44">
      <c r="A11649" s="4" t="s">
        <v>10753</v>
      </c>
      <c r="B11649" s="4">
        <v>234456</v>
      </c>
      <c r="D11649" s="5">
        <v>234456</v>
      </c>
      <c r="E11649" s="6" t="str">
        <f>HYPERLINK("https://inpn.mnhn.fr/espece/cd_nom/234456","Lithobius melanops Newport, 1845")</f>
        <v>Lithobius melanops Newport, 1845</v>
      </c>
      <c r="AH11649" s="4" t="str">
        <f>HYPERLINK("#Statut_biogéographique!A"&amp;_xlfn.XMATCH("P",Statut_biogéographique!A:A,2,1),"P")</f>
        <v>P</v>
      </c>
      <c r="AP11649" s="4" t="s">
        <v>376</v>
      </c>
      <c r="AR11649" s="4" t="s">
        <v>377</v>
      </c>
    </row>
    <row r="11650" spans="1:44" ht="75">
      <c r="A11650" s="4" t="s">
        <v>10753</v>
      </c>
      <c r="B11650" s="4">
        <v>234458</v>
      </c>
      <c r="D11650" s="5" t="s">
        <v>14591</v>
      </c>
      <c r="E11650" s="6" t="str">
        <f>HYPERLINK("https://inpn.mnhn.fr/espece/cd_nom/234458","Lithobius mutabilis L. Koch, 1862")</f>
        <v>Lithobius mutabilis L. Koch, 1862</v>
      </c>
      <c r="AH11650" s="4" t="str">
        <f>HYPERLINK("#Statut_biogéographique!A"&amp;_xlfn.XMATCH("P",Statut_biogéographique!A:A,2,1),"P")</f>
        <v>P</v>
      </c>
      <c r="AP11650" s="4" t="s">
        <v>376</v>
      </c>
      <c r="AR11650" s="4" t="s">
        <v>377</v>
      </c>
    </row>
    <row r="11651" spans="1:44">
      <c r="A11651" s="4" t="s">
        <v>10753</v>
      </c>
      <c r="B11651" s="4">
        <v>234459</v>
      </c>
      <c r="D11651" s="5" t="s">
        <v>14592</v>
      </c>
      <c r="E11651" s="6" t="str">
        <f>HYPERLINK("https://inpn.mnhn.fr/espece/cd_nom/234459","Lithobius muticus C.L. Koch, 1847")</f>
        <v>Lithobius muticus C.L. Koch, 1847</v>
      </c>
      <c r="AH11651" s="4" t="str">
        <f>HYPERLINK("#Statut_biogéographique!A"&amp;_xlfn.XMATCH("P",Statut_biogéographique!A:A,2,1),"P")</f>
        <v>P</v>
      </c>
      <c r="AP11651" s="4" t="s">
        <v>376</v>
      </c>
      <c r="AR11651" s="4" t="s">
        <v>377</v>
      </c>
    </row>
    <row r="11652" spans="1:44">
      <c r="A11652" s="4" t="s">
        <v>10753</v>
      </c>
      <c r="B11652" s="4">
        <v>234462</v>
      </c>
      <c r="D11652" s="5">
        <v>234462</v>
      </c>
      <c r="E11652" s="6" t="str">
        <f>HYPERLINK("https://inpn.mnhn.fr/espece/cd_nom/234462","Lithobius piceus L. Koch, 1862")</f>
        <v>Lithobius piceus L. Koch, 1862</v>
      </c>
      <c r="AH11652" s="4" t="str">
        <f>HYPERLINK("#Statut_biogéographique!A"&amp;_xlfn.XMATCH("P",Statut_biogéographique!A:A,2,1),"P")</f>
        <v>P</v>
      </c>
      <c r="AP11652" s="4" t="s">
        <v>376</v>
      </c>
      <c r="AR11652" s="4" t="s">
        <v>377</v>
      </c>
    </row>
    <row r="11653" spans="1:44">
      <c r="A11653" s="4" t="s">
        <v>10753</v>
      </c>
      <c r="B11653" s="4">
        <v>234471</v>
      </c>
      <c r="D11653" s="5">
        <v>234471</v>
      </c>
      <c r="E11653" s="6" t="str">
        <f>HYPERLINK("https://inpn.mnhn.fr/espece/cd_nom/234471","Lithobius tenebrosus Meinert, 1872")</f>
        <v>Lithobius tenebrosus Meinert, 1872</v>
      </c>
      <c r="AH11653" s="4" t="str">
        <f>HYPERLINK("#Statut_biogéographique!A"&amp;_xlfn.XMATCH("P",Statut_biogéographique!A:A,2,1),"P")</f>
        <v>P</v>
      </c>
      <c r="AP11653" s="4" t="s">
        <v>376</v>
      </c>
      <c r="AR11653" s="4" t="s">
        <v>377</v>
      </c>
    </row>
    <row r="11654" spans="1:44" ht="45">
      <c r="A11654" s="4" t="s">
        <v>10753</v>
      </c>
      <c r="B11654" s="4">
        <v>234472</v>
      </c>
      <c r="D11654" s="5" t="s">
        <v>14593</v>
      </c>
      <c r="E11654" s="6" t="str">
        <f>HYPERLINK("https://inpn.mnhn.fr/espece/cd_nom/234472","Lithobius tricuspis Meinert, 1872")</f>
        <v>Lithobius tricuspis Meinert, 1872</v>
      </c>
      <c r="AH11654" s="4" t="str">
        <f>HYPERLINK("#Statut_biogéographique!A"&amp;_xlfn.XMATCH("P",Statut_biogéographique!A:A,2,1),"P")</f>
        <v>P</v>
      </c>
      <c r="AP11654" s="4" t="s">
        <v>376</v>
      </c>
      <c r="AR11654" s="4" t="s">
        <v>377</v>
      </c>
    </row>
    <row r="11655" spans="1:44" ht="30">
      <c r="A11655" s="4" t="s">
        <v>10753</v>
      </c>
      <c r="B11655" s="4">
        <v>234477</v>
      </c>
      <c r="D11655" s="5" t="s">
        <v>14594</v>
      </c>
      <c r="E11655" s="6" t="str">
        <f>HYPERLINK("https://inpn.mnhn.fr/espece/cd_nom/234477","Lithobius aeruginosus L. Koch, 1862")</f>
        <v>Lithobius aeruginosus L. Koch, 1862</v>
      </c>
      <c r="AH11655" s="4" t="str">
        <f>HYPERLINK("#Statut_biogéographique!A"&amp;_xlfn.XMATCH("P",Statut_biogéographique!A:A,2,1),"P")</f>
        <v>P</v>
      </c>
      <c r="AP11655" s="4" t="s">
        <v>376</v>
      </c>
      <c r="AR11655" s="4" t="s">
        <v>377</v>
      </c>
    </row>
    <row r="11656" spans="1:44" ht="30">
      <c r="A11656" s="4" t="s">
        <v>10753</v>
      </c>
      <c r="B11656" s="4">
        <v>234478</v>
      </c>
      <c r="D11656" s="5" t="s">
        <v>14595</v>
      </c>
      <c r="E11656" s="6" t="str">
        <f>HYPERLINK("https://inpn.mnhn.fr/espece/cd_nom/234478","Lithobius crassipes L. Koch, 1862")</f>
        <v>Lithobius crassipes L. Koch, 1862</v>
      </c>
      <c r="AH11656" s="4" t="str">
        <f>HYPERLINK("#Statut_biogéographique!A"&amp;_xlfn.XMATCH("P",Statut_biogéographique!A:A,2,1),"P")</f>
        <v>P</v>
      </c>
      <c r="AP11656" s="4" t="s">
        <v>376</v>
      </c>
      <c r="AR11656" s="4" t="s">
        <v>377</v>
      </c>
    </row>
    <row r="11657" spans="1:44">
      <c r="A11657" s="4" t="s">
        <v>10753</v>
      </c>
      <c r="B11657" s="4">
        <v>234481</v>
      </c>
      <c r="D11657" s="5">
        <v>234481</v>
      </c>
      <c r="E11657" s="6" t="str">
        <f>HYPERLINK("https://inpn.mnhn.fr/espece/cd_nom/234481","Lithobius microps Meinert, 1868")</f>
        <v>Lithobius microps Meinert, 1868</v>
      </c>
      <c r="AH11657" s="4" t="str">
        <f>HYPERLINK("#Statut_biogéographique!A"&amp;_xlfn.XMATCH("P",Statut_biogéographique!A:A,2,1),"P")</f>
        <v>P</v>
      </c>
      <c r="AP11657" s="4" t="s">
        <v>376</v>
      </c>
      <c r="AR11657" s="4" t="s">
        <v>377</v>
      </c>
    </row>
    <row r="11658" spans="1:44" ht="75">
      <c r="A11658" s="4" t="s">
        <v>10753</v>
      </c>
      <c r="B11658" s="4">
        <v>234482</v>
      </c>
      <c r="D11658" s="5" t="s">
        <v>14596</v>
      </c>
      <c r="E11658" s="6" t="str">
        <f>HYPERLINK("https://inpn.mnhn.fr/espece/cd_nom/234482","Scutigera coleoptrata (Linnaeus, 1758)")</f>
        <v>Scutigera coleoptrata (Linnaeus, 1758)</v>
      </c>
      <c r="F11658" s="5" t="s">
        <v>14597</v>
      </c>
      <c r="AH11658" s="4" t="str">
        <f>HYPERLINK("#Statut_biogéographique!A"&amp;_xlfn.XMATCH("P",Statut_biogéographique!A:A,2,1),"P")</f>
        <v>P</v>
      </c>
      <c r="AP11658" s="4" t="s">
        <v>376</v>
      </c>
      <c r="AR11658" s="4" t="s">
        <v>377</v>
      </c>
    </row>
    <row r="11659" spans="1:44">
      <c r="A11659" s="4" t="s">
        <v>10753</v>
      </c>
      <c r="B11659" s="4">
        <v>234577</v>
      </c>
      <c r="D11659" s="5" t="s">
        <v>14598</v>
      </c>
      <c r="E11659" s="6" t="str">
        <f>HYPERLINK("https://inpn.mnhn.fr/espece/cd_nom/234577","Necrophilus subterraneus (Dahl, 1807)")</f>
        <v>Necrophilus subterraneus (Dahl, 1807)</v>
      </c>
      <c r="AH11659" s="4" t="str">
        <f>HYPERLINK("#Statut_biogéographique!A"&amp;_xlfn.XMATCH("P",Statut_biogéographique!A:A,2,1),"P")</f>
        <v>P</v>
      </c>
      <c r="AP11659" s="4" t="s">
        <v>376</v>
      </c>
      <c r="AR11659" s="4" t="s">
        <v>377</v>
      </c>
    </row>
    <row r="11660" spans="1:44" ht="30">
      <c r="A11660" s="4" t="s">
        <v>10753</v>
      </c>
      <c r="B11660" s="4">
        <v>234580</v>
      </c>
      <c r="D11660" s="5" t="s">
        <v>14599</v>
      </c>
      <c r="E11660" s="6" t="str">
        <f>HYPERLINK("https://inpn.mnhn.fr/espece/cd_nom/234580","Nicrophorus humator (Gleditsch, 1767)")</f>
        <v>Nicrophorus humator (Gleditsch, 1767)</v>
      </c>
      <c r="F11660" s="5" t="s">
        <v>14600</v>
      </c>
      <c r="AH11660" s="4" t="str">
        <f>HYPERLINK("#Statut_biogéographique!A"&amp;_xlfn.XMATCH("P",Statut_biogéographique!A:A,2,1),"P")</f>
        <v>P</v>
      </c>
      <c r="AP11660" s="4" t="s">
        <v>376</v>
      </c>
      <c r="AR11660" s="4" t="s">
        <v>377</v>
      </c>
    </row>
    <row r="11661" spans="1:44" ht="60">
      <c r="A11661" s="4" t="s">
        <v>10753</v>
      </c>
      <c r="B11661" s="4">
        <v>234581</v>
      </c>
      <c r="D11661" s="5" t="s">
        <v>14601</v>
      </c>
      <c r="E11661" s="6" t="str">
        <f>HYPERLINK("https://inpn.mnhn.fr/espece/cd_nom/234581","Nicrophorus interruptus Stephens, 1830")</f>
        <v>Nicrophorus interruptus Stephens, 1830</v>
      </c>
      <c r="AH11661" s="4" t="str">
        <f>HYPERLINK("#Statut_biogéographique!A"&amp;_xlfn.XMATCH("P",Statut_biogéographique!A:A,2,1),"P")</f>
        <v>P</v>
      </c>
      <c r="AP11661" s="4" t="s">
        <v>376</v>
      </c>
      <c r="AR11661" s="4" t="s">
        <v>377</v>
      </c>
    </row>
    <row r="11662" spans="1:44" ht="75">
      <c r="A11662" s="4" t="s">
        <v>10753</v>
      </c>
      <c r="B11662" s="4">
        <v>234582</v>
      </c>
      <c r="D11662" s="5" t="s">
        <v>14602</v>
      </c>
      <c r="E11662" s="6" t="str">
        <f>HYPERLINK("https://inpn.mnhn.fr/espece/cd_nom/234582","Nicrophorus investigator Zetterstedt, 1824")</f>
        <v>Nicrophorus investigator Zetterstedt, 1824</v>
      </c>
      <c r="AH11662" s="4" t="str">
        <f>HYPERLINK("#Statut_biogéographique!A"&amp;_xlfn.XMATCH("P",Statut_biogéographique!A:A,2,1),"P")</f>
        <v>P</v>
      </c>
      <c r="AP11662" s="4" t="s">
        <v>376</v>
      </c>
      <c r="AR11662" s="4" t="s">
        <v>377</v>
      </c>
    </row>
    <row r="11663" spans="1:44" ht="60">
      <c r="A11663" s="4" t="s">
        <v>10753</v>
      </c>
      <c r="B11663" s="4">
        <v>234585</v>
      </c>
      <c r="D11663" s="5" t="s">
        <v>14603</v>
      </c>
      <c r="E11663" s="6" t="str">
        <f>HYPERLINK("https://inpn.mnhn.fr/espece/cd_nom/234585","Nicrophorus vespillo (Linnaeus, 1758)")</f>
        <v>Nicrophorus vespillo (Linnaeus, 1758)</v>
      </c>
      <c r="F11663" s="5" t="s">
        <v>14604</v>
      </c>
      <c r="AH11663" s="4" t="str">
        <f>HYPERLINK("#Statut_biogéographique!A"&amp;_xlfn.XMATCH("P",Statut_biogéographique!A:A,2,1),"P")</f>
        <v>P</v>
      </c>
      <c r="AP11663" s="4" t="s">
        <v>376</v>
      </c>
      <c r="AR11663" s="4" t="s">
        <v>377</v>
      </c>
    </row>
    <row r="11664" spans="1:44" ht="45">
      <c r="A11664" s="4" t="s">
        <v>10753</v>
      </c>
      <c r="B11664" s="4">
        <v>234586</v>
      </c>
      <c r="D11664" s="5" t="s">
        <v>14605</v>
      </c>
      <c r="E11664" s="6" t="str">
        <f>HYPERLINK("https://inpn.mnhn.fr/espece/cd_nom/234586","Nicrophorus vespilloides Herbst, 1783")</f>
        <v>Nicrophorus vespilloides Herbst, 1783</v>
      </c>
      <c r="F11664" s="5" t="s">
        <v>14606</v>
      </c>
      <c r="AH11664" s="4" t="str">
        <f>HYPERLINK("#Statut_biogéographique!A"&amp;_xlfn.XMATCH("P",Statut_biogéographique!A:A,2,1),"P")</f>
        <v>P</v>
      </c>
      <c r="AP11664" s="4" t="s">
        <v>376</v>
      </c>
      <c r="AR11664" s="4" t="s">
        <v>377</v>
      </c>
    </row>
    <row r="11665" spans="1:44" ht="60">
      <c r="A11665" s="4" t="s">
        <v>10753</v>
      </c>
      <c r="B11665" s="4">
        <v>234587</v>
      </c>
      <c r="D11665" s="5" t="s">
        <v>14607</v>
      </c>
      <c r="E11665" s="6" t="str">
        <f>HYPERLINK("https://inpn.mnhn.fr/espece/cd_nom/234587","Nicrophorus vestigator Herschel, 1807")</f>
        <v>Nicrophorus vestigator Herschel, 1807</v>
      </c>
      <c r="AH11665" s="4" t="str">
        <f>HYPERLINK("#Statut_biogéographique!A"&amp;_xlfn.XMATCH("P",Statut_biogéographique!A:A,2,1),"P")</f>
        <v>P</v>
      </c>
      <c r="AP11665" s="4" t="s">
        <v>376</v>
      </c>
      <c r="AR11665" s="4" t="s">
        <v>377</v>
      </c>
    </row>
    <row r="11666" spans="1:44" ht="45">
      <c r="A11666" s="4" t="s">
        <v>10753</v>
      </c>
      <c r="B11666" s="4">
        <v>234588</v>
      </c>
      <c r="D11666" s="5" t="s">
        <v>14608</v>
      </c>
      <c r="E11666" s="6" t="str">
        <f>HYPERLINK("https://inpn.mnhn.fr/espece/cd_nom/234588","Thanatophilus sinuatus (Fabricius, 1775)")</f>
        <v>Thanatophilus sinuatus (Fabricius, 1775)</v>
      </c>
      <c r="F11666" s="5" t="s">
        <v>14609</v>
      </c>
      <c r="AH11666" s="4" t="str">
        <f>HYPERLINK("#Statut_biogéographique!A"&amp;_xlfn.XMATCH("P",Statut_biogéographique!A:A,2,1),"P")</f>
        <v>P</v>
      </c>
      <c r="AP11666" s="4" t="s">
        <v>376</v>
      </c>
      <c r="AR11666" s="4" t="s">
        <v>377</v>
      </c>
    </row>
    <row r="11667" spans="1:44" ht="30">
      <c r="A11667" s="4" t="s">
        <v>10753</v>
      </c>
      <c r="B11667" s="4">
        <v>234590</v>
      </c>
      <c r="D11667" s="5" t="s">
        <v>14610</v>
      </c>
      <c r="E11667" s="6" t="str">
        <f>HYPERLINK("https://inpn.mnhn.fr/espece/cd_nom/234590","Oiceoptoma thoracicum (Linnaeus, 1758)")</f>
        <v>Oiceoptoma thoracicum (Linnaeus, 1758)</v>
      </c>
      <c r="F11667" s="5" t="s">
        <v>14611</v>
      </c>
      <c r="AH11667" s="4" t="str">
        <f>HYPERLINK("#Statut_biogéographique!A"&amp;_xlfn.XMATCH("P",Statut_biogéographique!A:A,2,1),"P")</f>
        <v>P</v>
      </c>
      <c r="AP11667" s="4" t="s">
        <v>376</v>
      </c>
      <c r="AR11667" s="4" t="s">
        <v>377</v>
      </c>
    </row>
    <row r="11668" spans="1:44" ht="30">
      <c r="A11668" s="4" t="s">
        <v>10753</v>
      </c>
      <c r="B11668" s="4">
        <v>234591</v>
      </c>
      <c r="D11668" s="5" t="s">
        <v>14612</v>
      </c>
      <c r="E11668" s="6" t="str">
        <f>HYPERLINK("https://inpn.mnhn.fr/espece/cd_nom/234591","Dendroxena quadrimaculata (Scopoli, 1771)")</f>
        <v>Dendroxena quadrimaculata (Scopoli, 1771)</v>
      </c>
      <c r="F11668" s="5" t="s">
        <v>14613</v>
      </c>
      <c r="AH11668" s="4" t="str">
        <f>HYPERLINK("#Statut_biogéographique!A"&amp;_xlfn.XMATCH("P",Statut_biogéographique!A:A,2,1),"P")</f>
        <v>P</v>
      </c>
      <c r="AP11668" s="4" t="s">
        <v>376</v>
      </c>
      <c r="AR11668" s="4" t="s">
        <v>377</v>
      </c>
    </row>
    <row r="11669" spans="1:44" ht="45">
      <c r="A11669" s="4" t="s">
        <v>10753</v>
      </c>
      <c r="B11669" s="4">
        <v>234592</v>
      </c>
      <c r="D11669" s="5" t="s">
        <v>14614</v>
      </c>
      <c r="E11669" s="6" t="str">
        <f>HYPERLINK("https://inpn.mnhn.fr/espece/cd_nom/234592","Aclypea opaca (Linnaeus, 1758)")</f>
        <v>Aclypea opaca (Linnaeus, 1758)</v>
      </c>
      <c r="AH11669" s="4" t="str">
        <f>HYPERLINK("#Statut_biogéographique!A"&amp;_xlfn.XMATCH("P",Statut_biogéographique!A:A,2,1),"P")</f>
        <v>P</v>
      </c>
      <c r="AP11669" s="4" t="s">
        <v>376</v>
      </c>
      <c r="AR11669" s="4" t="s">
        <v>377</v>
      </c>
    </row>
    <row r="11670" spans="1:44" ht="45">
      <c r="A11670" s="4" t="s">
        <v>10753</v>
      </c>
      <c r="B11670" s="4">
        <v>234594</v>
      </c>
      <c r="D11670" s="5" t="s">
        <v>14615</v>
      </c>
      <c r="E11670" s="6" t="str">
        <f>HYPERLINK("https://inpn.mnhn.fr/espece/cd_nom/234594","Aclypea undata (O.F. Müller, 1776)")</f>
        <v>Aclypea undata (O.F. Müller, 1776)</v>
      </c>
      <c r="AH11670" s="4" t="str">
        <f>HYPERLINK("#Statut_biogéographique!A"&amp;_xlfn.XMATCH("P",Statut_biogéographique!A:A,2,1),"P")</f>
        <v>P</v>
      </c>
      <c r="AP11670" s="4" t="s">
        <v>376</v>
      </c>
      <c r="AR11670" s="4" t="s">
        <v>377</v>
      </c>
    </row>
    <row r="11671" spans="1:44">
      <c r="A11671" s="4" t="s">
        <v>10753</v>
      </c>
      <c r="B11671" s="4">
        <v>234597</v>
      </c>
      <c r="D11671" s="5" t="s">
        <v>14616</v>
      </c>
      <c r="E11671" s="6" t="str">
        <f>HYPERLINK("https://inpn.mnhn.fr/espece/cd_nom/234597","Bruchela rufipes (Olivier, 1790)")</f>
        <v>Bruchela rufipes (Olivier, 1790)</v>
      </c>
      <c r="AH11671" s="4" t="str">
        <f>HYPERLINK("#Statut_biogéographique!A"&amp;_xlfn.XMATCH("P",Statut_biogéographique!A:A,2,1),"P")</f>
        <v>P</v>
      </c>
      <c r="AP11671" s="4" t="s">
        <v>376</v>
      </c>
      <c r="AR11671" s="4" t="s">
        <v>377</v>
      </c>
    </row>
    <row r="11672" spans="1:44">
      <c r="A11672" s="4" t="s">
        <v>10753</v>
      </c>
      <c r="B11672" s="4">
        <v>234599</v>
      </c>
      <c r="D11672" s="5" t="s">
        <v>14617</v>
      </c>
      <c r="E11672" s="6" t="str">
        <f>HYPERLINK("https://inpn.mnhn.fr/espece/cd_nom/234599","Bruchela suturalis (Fabricius, 1792)")</f>
        <v>Bruchela suturalis (Fabricius, 1792)</v>
      </c>
      <c r="AH11672" s="4" t="str">
        <f>HYPERLINK("#Statut_biogéographique!A"&amp;_xlfn.XMATCH("P",Statut_biogéographique!A:A,2,1),"P")</f>
        <v>P</v>
      </c>
      <c r="AP11672" s="4" t="s">
        <v>376</v>
      </c>
      <c r="AR11672" s="4" t="s">
        <v>377</v>
      </c>
    </row>
    <row r="11673" spans="1:44" ht="30">
      <c r="A11673" s="4" t="s">
        <v>10753</v>
      </c>
      <c r="B11673" s="4">
        <v>234603</v>
      </c>
      <c r="D11673" s="5" t="s">
        <v>14618</v>
      </c>
      <c r="E11673" s="6" t="str">
        <f>HYPERLINK("https://inpn.mnhn.fr/espece/cd_nom/234603","Choragus sheppardi Kirby, 1819")</f>
        <v>Choragus sheppardi Kirby, 1819</v>
      </c>
      <c r="AH11673" s="4" t="str">
        <f>HYPERLINK("#Statut_biogéographique!A"&amp;_xlfn.XMATCH("P",Statut_biogéographique!A:A,2,1),"P")</f>
        <v>P</v>
      </c>
      <c r="AP11673" s="4" t="s">
        <v>376</v>
      </c>
      <c r="AR11673" s="4" t="s">
        <v>377</v>
      </c>
    </row>
    <row r="11674" spans="1:44">
      <c r="A11674" s="4" t="s">
        <v>10753</v>
      </c>
      <c r="B11674" s="4">
        <v>234605</v>
      </c>
      <c r="D11674" s="5" t="s">
        <v>14619</v>
      </c>
      <c r="E11674" s="6" t="str">
        <f>HYPERLINK("https://inpn.mnhn.fr/espece/cd_nom/234605","Tropideres albirostris (Schaller, 1783)")</f>
        <v>Tropideres albirostris (Schaller, 1783)</v>
      </c>
      <c r="F11674" s="5" t="s">
        <v>14620</v>
      </c>
      <c r="AH11674" s="4" t="str">
        <f>HYPERLINK("#Statut_biogéographique!A"&amp;_xlfn.XMATCH("P",Statut_biogéographique!A:A,2,1),"P")</f>
        <v>P</v>
      </c>
      <c r="AP11674" s="4" t="s">
        <v>376</v>
      </c>
      <c r="AR11674" s="4" t="s">
        <v>377</v>
      </c>
    </row>
    <row r="11675" spans="1:44">
      <c r="A11675" s="4" t="s">
        <v>10753</v>
      </c>
      <c r="B11675" s="4">
        <v>234609</v>
      </c>
      <c r="D11675" s="5" t="s">
        <v>14621</v>
      </c>
      <c r="E11675" s="6" t="str">
        <f>HYPERLINK("https://inpn.mnhn.fr/espece/cd_nom/234609","Platystomos albinus (Linnaeus, 1758)")</f>
        <v>Platystomos albinus (Linnaeus, 1758)</v>
      </c>
      <c r="F11675" s="5" t="s">
        <v>14622</v>
      </c>
      <c r="AH11675" s="4" t="str">
        <f>HYPERLINK("#Statut_biogéographique!A"&amp;_xlfn.XMATCH("P",Statut_biogéographique!A:A,2,1),"P")</f>
        <v>P</v>
      </c>
      <c r="AP11675" s="4" t="s">
        <v>376</v>
      </c>
      <c r="AR11675" s="4" t="s">
        <v>377</v>
      </c>
    </row>
    <row r="11676" spans="1:44" ht="45">
      <c r="A11676" s="4" t="s">
        <v>10753</v>
      </c>
      <c r="B11676" s="4">
        <v>234610</v>
      </c>
      <c r="D11676" s="5" t="s">
        <v>14623</v>
      </c>
      <c r="E11676" s="6" t="str">
        <f>HYPERLINK("https://inpn.mnhn.fr/espece/cd_nom/234610","Platyrhinus resinosus (Scopoli, 1763)")</f>
        <v>Platyrhinus resinosus (Scopoli, 1763)</v>
      </c>
      <c r="F11676" s="5" t="s">
        <v>14624</v>
      </c>
      <c r="AH11676" s="4" t="str">
        <f>HYPERLINK("#Statut_biogéographique!A"&amp;_xlfn.XMATCH("P",Statut_biogéographique!A:A,2,1),"P")</f>
        <v>P</v>
      </c>
      <c r="AP11676" s="4" t="s">
        <v>376</v>
      </c>
      <c r="AR11676" s="4" t="s">
        <v>377</v>
      </c>
    </row>
    <row r="11677" spans="1:44">
      <c r="A11677" s="4" t="s">
        <v>10753</v>
      </c>
      <c r="B11677" s="4">
        <v>234611</v>
      </c>
      <c r="D11677" s="5" t="s">
        <v>14625</v>
      </c>
      <c r="E11677" s="6" t="str">
        <f>HYPERLINK("https://inpn.mnhn.fr/espece/cd_nom/234611","Phaeochrotes pudens (Gyllenhal, 1833)")</f>
        <v>Phaeochrotes pudens (Gyllenhal, 1833)</v>
      </c>
      <c r="AH11677" s="4" t="str">
        <f>HYPERLINK("#Statut_biogéographique!A"&amp;_xlfn.XMATCH("P",Statut_biogéographique!A:A,2,1),"P")</f>
        <v>P</v>
      </c>
      <c r="AP11677" s="4" t="s">
        <v>376</v>
      </c>
      <c r="AR11677" s="4" t="s">
        <v>377</v>
      </c>
    </row>
    <row r="11678" spans="1:44">
      <c r="A11678" s="4" t="s">
        <v>10753</v>
      </c>
      <c r="B11678" s="4">
        <v>234612</v>
      </c>
      <c r="D11678" s="5" t="s">
        <v>14626</v>
      </c>
      <c r="E11678" s="6" t="str">
        <f>HYPERLINK("https://inpn.mnhn.fr/espece/cd_nom/234612","Opanthribus tessellatus (Boheman, 1829)")</f>
        <v>Opanthribus tessellatus (Boheman, 1829)</v>
      </c>
      <c r="AH11678" s="4" t="str">
        <f>HYPERLINK("#Statut_biogéographique!A"&amp;_xlfn.XMATCH("P",Statut_biogéographique!A:A,2,1),"P")</f>
        <v>P</v>
      </c>
      <c r="AP11678" s="4" t="s">
        <v>376</v>
      </c>
      <c r="AR11678" s="4" t="s">
        <v>377</v>
      </c>
    </row>
    <row r="11679" spans="1:44">
      <c r="A11679" s="4" t="s">
        <v>10753</v>
      </c>
      <c r="B11679" s="4">
        <v>234618</v>
      </c>
      <c r="D11679" s="5" t="s">
        <v>14627</v>
      </c>
      <c r="E11679" s="6" t="str">
        <f>HYPERLINK("https://inpn.mnhn.fr/espece/cd_nom/234618","Dissoleucas niveirostris (Fabricius, 1798)")</f>
        <v>Dissoleucas niveirostris (Fabricius, 1798)</v>
      </c>
      <c r="F11679" s="5" t="s">
        <v>14628</v>
      </c>
      <c r="AH11679" s="4" t="str">
        <f>HYPERLINK("#Statut_biogéographique!A"&amp;_xlfn.XMATCH("P",Statut_biogéographique!A:A,2,1),"P")</f>
        <v>P</v>
      </c>
      <c r="AP11679" s="4" t="s">
        <v>376</v>
      </c>
      <c r="AR11679" s="4" t="s">
        <v>377</v>
      </c>
    </row>
    <row r="11680" spans="1:44">
      <c r="A11680" s="4" t="s">
        <v>10753</v>
      </c>
      <c r="B11680" s="4">
        <v>234619</v>
      </c>
      <c r="D11680" s="5" t="s">
        <v>14629</v>
      </c>
      <c r="E11680" s="6" t="str">
        <f>HYPERLINK("https://inpn.mnhn.fr/espece/cd_nom/234619","Anthribus nebulosus Forster, 1770")</f>
        <v>Anthribus nebulosus Forster, 1770</v>
      </c>
      <c r="F11680" s="5" t="s">
        <v>14630</v>
      </c>
      <c r="AH11680" s="4" t="str">
        <f>HYPERLINK("#Statut_biogéographique!A"&amp;_xlfn.XMATCH("P",Statut_biogéographique!A:A,2,1),"P")</f>
        <v>P</v>
      </c>
      <c r="AP11680" s="4" t="s">
        <v>376</v>
      </c>
      <c r="AR11680" s="4" t="s">
        <v>377</v>
      </c>
    </row>
    <row r="11681" spans="1:44">
      <c r="A11681" s="4" t="s">
        <v>10753</v>
      </c>
      <c r="B11681" s="4">
        <v>234624</v>
      </c>
      <c r="D11681" s="5" t="s">
        <v>14631</v>
      </c>
      <c r="E11681" s="6" t="str">
        <f>HYPERLINK("https://inpn.mnhn.fr/espece/cd_nom/234624","Octotemnus glabriculus (Gyllenhal, 1827)")</f>
        <v>Octotemnus glabriculus (Gyllenhal, 1827)</v>
      </c>
      <c r="AH11681" s="4" t="str">
        <f>HYPERLINK("#Statut_biogéographique!A"&amp;_xlfn.XMATCH("P",Statut_biogéographique!A:A,2,1),"P")</f>
        <v>P</v>
      </c>
      <c r="AP11681" s="4" t="s">
        <v>376</v>
      </c>
      <c r="AR11681" s="4" t="s">
        <v>377</v>
      </c>
    </row>
    <row r="11682" spans="1:44">
      <c r="A11682" s="4" t="s">
        <v>10753</v>
      </c>
      <c r="B11682" s="4">
        <v>234627</v>
      </c>
      <c r="D11682" s="5" t="s">
        <v>14632</v>
      </c>
      <c r="E11682" s="6" t="str">
        <f>HYPERLINK("https://inpn.mnhn.fr/espece/cd_nom/234627","Rhopalodontus perforatus (Gyllenhal, 1813)")</f>
        <v>Rhopalodontus perforatus (Gyllenhal, 1813)</v>
      </c>
      <c r="AH11682" s="4" t="str">
        <f>HYPERLINK("#Statut_biogéographique!A"&amp;_xlfn.XMATCH("P",Statut_biogéographique!A:A,2,1),"P")</f>
        <v>P</v>
      </c>
      <c r="AP11682" s="4" t="s">
        <v>376</v>
      </c>
      <c r="AR11682" s="4" t="s">
        <v>377</v>
      </c>
    </row>
    <row r="11683" spans="1:44">
      <c r="A11683" s="4" t="s">
        <v>10753</v>
      </c>
      <c r="B11683" s="4">
        <v>234630</v>
      </c>
      <c r="D11683" s="5" t="s">
        <v>14633</v>
      </c>
      <c r="E11683" s="6" t="str">
        <f>HYPERLINK("https://inpn.mnhn.fr/espece/cd_nom/234630","Cis bidentatus (Olivier, 1790)")</f>
        <v>Cis bidentatus (Olivier, 1790)</v>
      </c>
      <c r="AH11683" s="4" t="str">
        <f>HYPERLINK("#Statut_biogéographique!A"&amp;_xlfn.XMATCH("P",Statut_biogéographique!A:A,2,1),"P")</f>
        <v>P</v>
      </c>
      <c r="AP11683" s="4" t="s">
        <v>376</v>
      </c>
      <c r="AR11683" s="4" t="s">
        <v>377</v>
      </c>
    </row>
    <row r="11684" spans="1:44">
      <c r="A11684" s="4" t="s">
        <v>10753</v>
      </c>
      <c r="B11684" s="4">
        <v>234632</v>
      </c>
      <c r="D11684" s="5">
        <v>234632</v>
      </c>
      <c r="E11684" s="6" t="str">
        <f>HYPERLINK("https://inpn.mnhn.fr/espece/cd_nom/234632","Cis comptus Gyllenhal, 1827")</f>
        <v>Cis comptus Gyllenhal, 1827</v>
      </c>
      <c r="AH11684" s="4" t="str">
        <f>HYPERLINK("#Statut_biogéographique!A"&amp;_xlfn.XMATCH("P",Statut_biogéographique!A:A,2,1),"P")</f>
        <v>P</v>
      </c>
      <c r="AP11684" s="4" t="s">
        <v>376</v>
      </c>
      <c r="AR11684" s="4" t="s">
        <v>377</v>
      </c>
    </row>
    <row r="11685" spans="1:44">
      <c r="A11685" s="4" t="s">
        <v>10753</v>
      </c>
      <c r="B11685" s="4">
        <v>234634</v>
      </c>
      <c r="D11685" s="5" t="s">
        <v>14634</v>
      </c>
      <c r="E11685" s="6" t="str">
        <f>HYPERLINK("https://inpn.mnhn.fr/espece/cd_nom/234634","Cis fagi Waltl, 1839")</f>
        <v>Cis fagi Waltl, 1839</v>
      </c>
      <c r="AH11685" s="4" t="str">
        <f>HYPERLINK("#Statut_biogéographique!A"&amp;_xlfn.XMATCH("P",Statut_biogéographique!A:A,2,1),"P")</f>
        <v>P</v>
      </c>
      <c r="AP11685" s="4" t="s">
        <v>376</v>
      </c>
      <c r="AR11685" s="4" t="s">
        <v>377</v>
      </c>
    </row>
    <row r="11686" spans="1:44">
      <c r="A11686" s="4" t="s">
        <v>10753</v>
      </c>
      <c r="B11686" s="4">
        <v>234636</v>
      </c>
      <c r="D11686" s="5">
        <v>234636</v>
      </c>
      <c r="E11686" s="6" t="str">
        <f>HYPERLINK("https://inpn.mnhn.fr/espece/cd_nom/234636","Cis glabratus Mellié, 1848")</f>
        <v>Cis glabratus Mellié, 1848</v>
      </c>
      <c r="AH11686" s="4" t="str">
        <f>HYPERLINK("#Statut_biogéographique!A"&amp;_xlfn.XMATCH("P",Statut_biogéographique!A:A,2,1),"P")</f>
        <v>P</v>
      </c>
      <c r="AP11686" s="4" t="s">
        <v>376</v>
      </c>
      <c r="AR11686" s="4" t="s">
        <v>377</v>
      </c>
    </row>
    <row r="11687" spans="1:44">
      <c r="A11687" s="4" t="s">
        <v>10753</v>
      </c>
      <c r="B11687" s="4">
        <v>234638</v>
      </c>
      <c r="D11687" s="5">
        <v>234638</v>
      </c>
      <c r="E11687" s="6" t="str">
        <f>HYPERLINK("https://inpn.mnhn.fr/espece/cd_nom/234638","Cis jacquemartii Mellié, 1848")</f>
        <v>Cis jacquemartii Mellié, 1848</v>
      </c>
      <c r="AH11687" s="4" t="str">
        <f>HYPERLINK("#Statut_biogéographique!A"&amp;_xlfn.XMATCH("P",Statut_biogéographique!A:A,2,1),"P")</f>
        <v>P</v>
      </c>
      <c r="AP11687" s="4" t="s">
        <v>376</v>
      </c>
      <c r="AR11687" s="4" t="s">
        <v>377</v>
      </c>
    </row>
    <row r="11688" spans="1:44" ht="30">
      <c r="A11688" s="4" t="s">
        <v>10753</v>
      </c>
      <c r="B11688" s="4">
        <v>234641</v>
      </c>
      <c r="D11688" s="5" t="s">
        <v>14635</v>
      </c>
      <c r="E11688" s="6" t="str">
        <f>HYPERLINK("https://inpn.mnhn.fr/espece/cd_nom/234641","Cis micans (Fabricius, 1792)")</f>
        <v>Cis micans (Fabricius, 1792)</v>
      </c>
      <c r="AH11688" s="4" t="str">
        <f>HYPERLINK("#Statut_biogéographique!A"&amp;_xlfn.XMATCH("P",Statut_biogéographique!A:A,2,1),"P")</f>
        <v>P</v>
      </c>
      <c r="AP11688" s="4" t="s">
        <v>376</v>
      </c>
      <c r="AR11688" s="4" t="s">
        <v>377</v>
      </c>
    </row>
    <row r="11689" spans="1:44">
      <c r="A11689" s="4" t="s">
        <v>10753</v>
      </c>
      <c r="B11689" s="4">
        <v>234644</v>
      </c>
      <c r="D11689" s="5">
        <v>234644</v>
      </c>
      <c r="E11689" s="6" t="str">
        <f>HYPERLINK("https://inpn.mnhn.fr/espece/cd_nom/234644","Cis punctulatus Gyllenhal, 1827")</f>
        <v>Cis punctulatus Gyllenhal, 1827</v>
      </c>
      <c r="AH11689" s="4" t="str">
        <f>HYPERLINK("#Statut_biogéographique!A"&amp;_xlfn.XMATCH("P",Statut_biogéographique!A:A,2,1),"P")</f>
        <v>P</v>
      </c>
      <c r="AP11689" s="4" t="s">
        <v>376</v>
      </c>
      <c r="AR11689" s="4" t="s">
        <v>377</v>
      </c>
    </row>
    <row r="11690" spans="1:44">
      <c r="A11690" s="4" t="s">
        <v>10753</v>
      </c>
      <c r="B11690" s="4">
        <v>234647</v>
      </c>
      <c r="D11690" s="5">
        <v>234647</v>
      </c>
      <c r="E11690" s="6" t="str">
        <f>HYPERLINK("https://inpn.mnhn.fr/espece/cd_nom/234647","Cis rugulosus Mellié, 1848")</f>
        <v>Cis rugulosus Mellié, 1848</v>
      </c>
      <c r="AH11690" s="4" t="str">
        <f>HYPERLINK("#Statut_biogéographique!A"&amp;_xlfn.XMATCH("P",Statut_biogéographique!A:A,2,1),"P")</f>
        <v>P</v>
      </c>
      <c r="AP11690" s="4" t="s">
        <v>376</v>
      </c>
      <c r="AR11690" s="4" t="s">
        <v>377</v>
      </c>
    </row>
    <row r="11691" spans="1:44">
      <c r="A11691" s="4" t="s">
        <v>10753</v>
      </c>
      <c r="B11691" s="4">
        <v>234651</v>
      </c>
      <c r="D11691" s="5" t="s">
        <v>14636</v>
      </c>
      <c r="E11691" s="6" t="str">
        <f>HYPERLINK("https://inpn.mnhn.fr/espece/cd_nom/234651","Orthocis alni (Gyllenhal, 1813)")</f>
        <v>Orthocis alni (Gyllenhal, 1813)</v>
      </c>
      <c r="AH11691" s="4" t="str">
        <f>HYPERLINK("#Statut_biogéographique!A"&amp;_xlfn.XMATCH("P",Statut_biogéographique!A:A,2,1),"P")</f>
        <v>P</v>
      </c>
      <c r="AP11691" s="4" t="s">
        <v>376</v>
      </c>
      <c r="AR11691" s="4" t="s">
        <v>377</v>
      </c>
    </row>
    <row r="11692" spans="1:44">
      <c r="A11692" s="4" t="s">
        <v>10753</v>
      </c>
      <c r="B11692" s="4">
        <v>234657</v>
      </c>
      <c r="D11692" s="5" t="s">
        <v>14637</v>
      </c>
      <c r="E11692" s="6" t="str">
        <f>HYPERLINK("https://inpn.mnhn.fr/espece/cd_nom/234657","Wagaicis wagae (Wankowicz, 1869)")</f>
        <v>Wagaicis wagae (Wankowicz, 1869)</v>
      </c>
      <c r="AH11692" s="4" t="str">
        <f>HYPERLINK("#Statut_biogéographique!A"&amp;_xlfn.XMATCH("P",Statut_biogéographique!A:A,2,1),"P")</f>
        <v>P</v>
      </c>
      <c r="AP11692" s="4" t="s">
        <v>376</v>
      </c>
      <c r="AR11692" s="4" t="s">
        <v>377</v>
      </c>
    </row>
    <row r="11693" spans="1:44">
      <c r="A11693" s="4" t="s">
        <v>10753</v>
      </c>
      <c r="B11693" s="4">
        <v>234661</v>
      </c>
      <c r="D11693" s="5" t="s">
        <v>14638</v>
      </c>
      <c r="E11693" s="6" t="str">
        <f>HYPERLINK("https://inpn.mnhn.fr/espece/cd_nom/234661","Strigocis bicornis (Mellié, 1848)")</f>
        <v>Strigocis bicornis (Mellié, 1848)</v>
      </c>
      <c r="AH11693" s="4" t="str">
        <f>HYPERLINK("#Statut_biogéographique!A"&amp;_xlfn.XMATCH("P",Statut_biogéographique!A:A,2,1),"P")</f>
        <v>P</v>
      </c>
      <c r="AP11693" s="4" t="s">
        <v>376</v>
      </c>
      <c r="AR11693" s="4" t="s">
        <v>377</v>
      </c>
    </row>
    <row r="11694" spans="1:44">
      <c r="A11694" s="4" t="s">
        <v>10753</v>
      </c>
      <c r="B11694" s="4">
        <v>234663</v>
      </c>
      <c r="D11694" s="5" t="s">
        <v>14639</v>
      </c>
      <c r="E11694" s="6" t="str">
        <f>HYPERLINK("https://inpn.mnhn.fr/espece/cd_nom/234663","Ennearthron cornutum (Gyllenhal, 1827)")</f>
        <v>Ennearthron cornutum (Gyllenhal, 1827)</v>
      </c>
      <c r="AH11694" s="4" t="str">
        <f>HYPERLINK("#Statut_biogéographique!A"&amp;_xlfn.XMATCH("P",Statut_biogéographique!A:A,2,1),"P")</f>
        <v>P</v>
      </c>
      <c r="AP11694" s="4" t="s">
        <v>376</v>
      </c>
      <c r="AR11694" s="4" t="s">
        <v>377</v>
      </c>
    </row>
    <row r="11695" spans="1:44" ht="30">
      <c r="A11695" s="4" t="s">
        <v>10753</v>
      </c>
      <c r="B11695" s="4">
        <v>234673</v>
      </c>
      <c r="D11695" s="5" t="s">
        <v>14640</v>
      </c>
      <c r="E11695" s="6" t="str">
        <f>HYPERLINK("https://inpn.mnhn.fr/espece/cd_nom/234673","Dermestoides sanguinicollis (Fabricius, 1787)")</f>
        <v>Dermestoides sanguinicollis (Fabricius, 1787)</v>
      </c>
      <c r="F11695" s="5" t="s">
        <v>14641</v>
      </c>
      <c r="AH11695" s="4" t="str">
        <f>HYPERLINK("#Statut_biogéographique!A"&amp;_xlfn.XMATCH("P",Statut_biogéographique!A:A,2,1),"P")</f>
        <v>P</v>
      </c>
      <c r="AP11695" s="4" t="s">
        <v>376</v>
      </c>
      <c r="AR11695" s="4" t="s">
        <v>377</v>
      </c>
    </row>
    <row r="11696" spans="1:44">
      <c r="A11696" s="4" t="s">
        <v>10753</v>
      </c>
      <c r="B11696" s="4">
        <v>234675</v>
      </c>
      <c r="D11696" s="5" t="s">
        <v>14642</v>
      </c>
      <c r="E11696" s="6" t="str">
        <f>HYPERLINK("https://inpn.mnhn.fr/espece/cd_nom/234675","Allonyx quadrimaculatus (Schaller, 1783)")</f>
        <v>Allonyx quadrimaculatus (Schaller, 1783)</v>
      </c>
      <c r="F11696" s="5" t="s">
        <v>14643</v>
      </c>
      <c r="AH11696" s="4" t="str">
        <f>HYPERLINK("#Statut_biogéographique!A"&amp;_xlfn.XMATCH("P",Statut_biogéographique!A:A,2,1),"P")</f>
        <v>P</v>
      </c>
      <c r="AP11696" s="4" t="s">
        <v>376</v>
      </c>
      <c r="AR11696" s="4" t="s">
        <v>377</v>
      </c>
    </row>
    <row r="11697" spans="1:44">
      <c r="A11697" s="4" t="s">
        <v>10753</v>
      </c>
      <c r="B11697" s="4">
        <v>234678</v>
      </c>
      <c r="D11697" s="5" t="s">
        <v>14644</v>
      </c>
      <c r="E11697" s="6" t="str">
        <f>HYPERLINK("https://inpn.mnhn.fr/espece/cd_nom/234678","Opilo mollis (Linnaeus, 1758)")</f>
        <v>Opilo mollis (Linnaeus, 1758)</v>
      </c>
      <c r="F11697" s="5" t="s">
        <v>14645</v>
      </c>
      <c r="AH11697" s="4" t="str">
        <f>HYPERLINK("#Statut_biogéographique!A"&amp;_xlfn.XMATCH("P",Statut_biogéographique!A:A,2,1),"P")</f>
        <v>P</v>
      </c>
      <c r="AP11697" s="4" t="s">
        <v>376</v>
      </c>
      <c r="AR11697" s="4" t="s">
        <v>377</v>
      </c>
    </row>
    <row r="11698" spans="1:44">
      <c r="A11698" s="4" t="s">
        <v>10753</v>
      </c>
      <c r="B11698" s="4">
        <v>234679</v>
      </c>
      <c r="D11698" s="5" t="s">
        <v>14646</v>
      </c>
      <c r="E11698" s="6" t="str">
        <f>HYPERLINK("https://inpn.mnhn.fr/espece/cd_nom/234679","Opilo pallidus (Olivier, 1795)")</f>
        <v>Opilo pallidus (Olivier, 1795)</v>
      </c>
      <c r="AH11698" s="4" t="str">
        <f>HYPERLINK("#Statut_biogéographique!A"&amp;_xlfn.XMATCH("P",Statut_biogéographique!A:A,2,1),"P")</f>
        <v>P</v>
      </c>
      <c r="AP11698" s="4" t="s">
        <v>376</v>
      </c>
      <c r="AR11698" s="4" t="s">
        <v>377</v>
      </c>
    </row>
    <row r="11699" spans="1:44" ht="30">
      <c r="A11699" s="4" t="s">
        <v>10753</v>
      </c>
      <c r="B11699" s="4">
        <v>234680</v>
      </c>
      <c r="D11699" s="5" t="s">
        <v>14647</v>
      </c>
      <c r="E11699" s="6" t="str">
        <f>HYPERLINK("https://inpn.mnhn.fr/espece/cd_nom/234680","Tilloidea unifasciata (Fabricius, 1787)")</f>
        <v>Tilloidea unifasciata (Fabricius, 1787)</v>
      </c>
      <c r="AH11699" s="4" t="str">
        <f>HYPERLINK("#Statut_biogéographique!A"&amp;_xlfn.XMATCH("P",Statut_biogéographique!A:A,2,1),"P")</f>
        <v>P</v>
      </c>
      <c r="AP11699" s="4" t="s">
        <v>376</v>
      </c>
      <c r="AR11699" s="4" t="s">
        <v>377</v>
      </c>
    </row>
    <row r="11700" spans="1:44">
      <c r="A11700" s="4" t="s">
        <v>10753</v>
      </c>
      <c r="B11700" s="4">
        <v>234694</v>
      </c>
      <c r="D11700" s="5" t="s">
        <v>14648</v>
      </c>
      <c r="E11700" s="6" t="str">
        <f>HYPERLINK("https://inpn.mnhn.fr/espece/cd_nom/234694","Arthrolips nana (Mulsant &amp; Rey, 1861)")</f>
        <v>Arthrolips nana (Mulsant &amp; Rey, 1861)</v>
      </c>
      <c r="AH11700" s="4" t="str">
        <f>HYPERLINK("#Statut_biogéographique!A"&amp;_xlfn.XMATCH("P",Statut_biogéographique!A:A,2,1),"P")</f>
        <v>P</v>
      </c>
      <c r="AP11700" s="4" t="s">
        <v>376</v>
      </c>
      <c r="AR11700" s="4" t="s">
        <v>377</v>
      </c>
    </row>
    <row r="11701" spans="1:44" ht="30">
      <c r="A11701" s="4" t="s">
        <v>10753</v>
      </c>
      <c r="B11701" s="4">
        <v>234704</v>
      </c>
      <c r="D11701" s="5" t="s">
        <v>14649</v>
      </c>
      <c r="E11701" s="6" t="str">
        <f>HYPERLINK("https://inpn.mnhn.fr/espece/cd_nom/234704","Corylophus sublaevipennis Jacquelin du Val, 1859")</f>
        <v>Corylophus sublaevipennis Jacquelin du Val, 1859</v>
      </c>
      <c r="AH11701" s="4" t="str">
        <f>HYPERLINK("#Statut_biogéographique!A"&amp;_xlfn.XMATCH("P",Statut_biogéographique!A:A,2,1),"P")</f>
        <v>P</v>
      </c>
      <c r="AP11701" s="4" t="s">
        <v>376</v>
      </c>
      <c r="AR11701" s="4" t="s">
        <v>377</v>
      </c>
    </row>
    <row r="11702" spans="1:44">
      <c r="A11702" s="4" t="s">
        <v>10753</v>
      </c>
      <c r="B11702" s="4">
        <v>234716</v>
      </c>
      <c r="D11702" s="5">
        <v>234716</v>
      </c>
      <c r="E11702" s="6" t="str">
        <f>HYPERLINK("https://inpn.mnhn.fr/espece/cd_nom/234716","Atomaria diluta Erichson, 1846")</f>
        <v>Atomaria diluta Erichson, 1846</v>
      </c>
      <c r="AH11702" s="4" t="str">
        <f>HYPERLINK("#Statut_biogéographique!A"&amp;_xlfn.XMATCH("P",Statut_biogéographique!A:A,2,1),"P")</f>
        <v>P</v>
      </c>
      <c r="AP11702" s="4" t="s">
        <v>376</v>
      </c>
      <c r="AR11702" s="4" t="s">
        <v>377</v>
      </c>
    </row>
    <row r="11703" spans="1:44" ht="30">
      <c r="A11703" s="4" t="s">
        <v>10753</v>
      </c>
      <c r="B11703" s="4">
        <v>234733</v>
      </c>
      <c r="D11703" s="5" t="s">
        <v>14650</v>
      </c>
      <c r="E11703" s="6" t="str">
        <f>HYPERLINK("https://inpn.mnhn.fr/espece/cd_nom/234733","Atomaria fuscata (Schönherr, 1808)")</f>
        <v>Atomaria fuscata (Schönherr, 1808)</v>
      </c>
      <c r="AH11703" s="4" t="str">
        <f>HYPERLINK("#Statut_biogéographique!A"&amp;_xlfn.XMATCH("P",Statut_biogéographique!A:A,2,1),"P")</f>
        <v>P</v>
      </c>
      <c r="AP11703" s="4" t="s">
        <v>376</v>
      </c>
      <c r="AR11703" s="4" t="s">
        <v>377</v>
      </c>
    </row>
    <row r="11704" spans="1:44">
      <c r="A11704" s="4" t="s">
        <v>10753</v>
      </c>
      <c r="B11704" s="4">
        <v>234748</v>
      </c>
      <c r="D11704" s="5" t="s">
        <v>14651</v>
      </c>
      <c r="E11704" s="6" t="str">
        <f>HYPERLINK("https://inpn.mnhn.fr/espece/cd_nom/234748","Atomaria peltata Kraatz, 1853")</f>
        <v>Atomaria peltata Kraatz, 1853</v>
      </c>
      <c r="AH11704" s="4" t="str">
        <f>HYPERLINK("#Statut_biogéographique!A"&amp;_xlfn.XMATCH("P",Statut_biogéographique!A:A,2,1),"P")</f>
        <v>P</v>
      </c>
      <c r="AP11704" s="4" t="s">
        <v>376</v>
      </c>
      <c r="AR11704" s="4" t="s">
        <v>377</v>
      </c>
    </row>
    <row r="11705" spans="1:44" ht="45">
      <c r="A11705" s="4" t="s">
        <v>10753</v>
      </c>
      <c r="B11705" s="4">
        <v>234751</v>
      </c>
      <c r="D11705" s="5" t="s">
        <v>14652</v>
      </c>
      <c r="E11705" s="6" t="str">
        <f>HYPERLINK("https://inpn.mnhn.fr/espece/cd_nom/234751","Atomaria pusilla (Paykull, 1798)")</f>
        <v>Atomaria pusilla (Paykull, 1798)</v>
      </c>
      <c r="AH11705" s="4" t="str">
        <f>HYPERLINK("#Statut_biogéographique!A"&amp;_xlfn.XMATCH("P",Statut_biogéographique!A:A,2,1),"P")</f>
        <v>P</v>
      </c>
      <c r="AP11705" s="4" t="s">
        <v>376</v>
      </c>
      <c r="AR11705" s="4" t="s">
        <v>377</v>
      </c>
    </row>
    <row r="11706" spans="1:44">
      <c r="A11706" s="4" t="s">
        <v>10753</v>
      </c>
      <c r="B11706" s="4">
        <v>234756</v>
      </c>
      <c r="D11706" s="5" t="s">
        <v>14653</v>
      </c>
      <c r="E11706" s="6" t="str">
        <f>HYPERLINK("https://inpn.mnhn.fr/espece/cd_nom/234756","Atomaria versicolor Erichson, 1846")</f>
        <v>Atomaria versicolor Erichson, 1846</v>
      </c>
      <c r="AH11706" s="4" t="str">
        <f>HYPERLINK("#Statut_biogéographique!A"&amp;_xlfn.XMATCH("P",Statut_biogéographique!A:A,2,1),"P")</f>
        <v>P</v>
      </c>
      <c r="AP11706" s="4" t="s">
        <v>376</v>
      </c>
      <c r="AR11706" s="4" t="s">
        <v>377</v>
      </c>
    </row>
    <row r="11707" spans="1:44" ht="30">
      <c r="A11707" s="4" t="s">
        <v>10753</v>
      </c>
      <c r="B11707" s="4">
        <v>234763</v>
      </c>
      <c r="D11707" s="5" t="s">
        <v>14654</v>
      </c>
      <c r="E11707" s="6" t="str">
        <f>HYPERLINK("https://inpn.mnhn.fr/espece/cd_nom/234763","Cryptophagus cellaris (Scopoli, 1763)")</f>
        <v>Cryptophagus cellaris (Scopoli, 1763)</v>
      </c>
      <c r="AH11707" s="4" t="str">
        <f>HYPERLINK("#Statut_biogéographique!A"&amp;_xlfn.XMATCH("C",Statut_biogéographique!A:A,2,1),"C")</f>
        <v>C</v>
      </c>
      <c r="AP11707" s="4" t="s">
        <v>376</v>
      </c>
      <c r="AR11707" s="4" t="s">
        <v>377</v>
      </c>
    </row>
    <row r="11708" spans="1:44">
      <c r="A11708" s="4" t="s">
        <v>10753</v>
      </c>
      <c r="B11708" s="4">
        <v>234774</v>
      </c>
      <c r="D11708" s="5">
        <v>234774</v>
      </c>
      <c r="E11708" s="6" t="str">
        <f>HYPERLINK("https://inpn.mnhn.fr/espece/cd_nom/234774","Cryptophagus labilis Erichson, 1846")</f>
        <v>Cryptophagus labilis Erichson, 1846</v>
      </c>
      <c r="AH11708" s="4" t="str">
        <f>HYPERLINK("#Statut_biogéographique!A"&amp;_xlfn.XMATCH("P",Statut_biogéographique!A:A,2,1),"P")</f>
        <v>P</v>
      </c>
      <c r="AP11708" s="4" t="s">
        <v>376</v>
      </c>
      <c r="AR11708" s="4" t="s">
        <v>377</v>
      </c>
    </row>
    <row r="11709" spans="1:44" ht="30">
      <c r="A11709" s="4" t="s">
        <v>10753</v>
      </c>
      <c r="B11709" s="4">
        <v>234786</v>
      </c>
      <c r="D11709" s="5" t="s">
        <v>14655</v>
      </c>
      <c r="E11709" s="6" t="str">
        <f>HYPERLINK("https://inpn.mnhn.fr/espece/cd_nom/234786","Cryptophagus saginatus Sturm, 1845")</f>
        <v>Cryptophagus saginatus Sturm, 1845</v>
      </c>
      <c r="AH11709" s="4" t="str">
        <f>HYPERLINK("#Statut_biogéographique!A"&amp;_xlfn.XMATCH("P",Statut_biogéographique!A:A,2,1),"P")</f>
        <v>P</v>
      </c>
      <c r="AP11709" s="4" t="s">
        <v>376</v>
      </c>
      <c r="AR11709" s="4" t="s">
        <v>377</v>
      </c>
    </row>
    <row r="11710" spans="1:44">
      <c r="A11710" s="4" t="s">
        <v>10753</v>
      </c>
      <c r="B11710" s="4">
        <v>234787</v>
      </c>
      <c r="D11710" s="5" t="s">
        <v>14656</v>
      </c>
      <c r="E11710" s="6" t="str">
        <f>HYPERLINK("https://inpn.mnhn.fr/espece/cd_nom/234787","Cryptophagus scanicus (Linnaeus, 1758)")</f>
        <v>Cryptophagus scanicus (Linnaeus, 1758)</v>
      </c>
      <c r="AH11710" s="4" t="str">
        <f>HYPERLINK("#Statut_biogéographique!A"&amp;_xlfn.XMATCH("P",Statut_biogéographique!A:A,2,1),"P")</f>
        <v>P</v>
      </c>
      <c r="AP11710" s="4" t="s">
        <v>376</v>
      </c>
      <c r="AR11710" s="4" t="s">
        <v>377</v>
      </c>
    </row>
    <row r="11711" spans="1:44" ht="30">
      <c r="A11711" s="4" t="s">
        <v>10753</v>
      </c>
      <c r="B11711" s="4">
        <v>234790</v>
      </c>
      <c r="D11711" s="5" t="s">
        <v>14657</v>
      </c>
      <c r="E11711" s="6" t="str">
        <f>HYPERLINK("https://inpn.mnhn.fr/espece/cd_nom/234790","Cryptophagus setulosus Sturm, 1845")</f>
        <v>Cryptophagus setulosus Sturm, 1845</v>
      </c>
      <c r="AH11711" s="4" t="str">
        <f>HYPERLINK("#Statut_biogéographique!A"&amp;_xlfn.XMATCH("P",Statut_biogéographique!A:A,2,1),"P")</f>
        <v>P</v>
      </c>
      <c r="AP11711" s="4" t="s">
        <v>376</v>
      </c>
      <c r="AR11711" s="4" t="s">
        <v>377</v>
      </c>
    </row>
    <row r="11712" spans="1:44">
      <c r="A11712" s="4" t="s">
        <v>10753</v>
      </c>
      <c r="B11712" s="4">
        <v>234794</v>
      </c>
      <c r="D11712" s="5" t="s">
        <v>14658</v>
      </c>
      <c r="E11712" s="6" t="str">
        <f>HYPERLINK("https://inpn.mnhn.fr/espece/cd_nom/234794","Cryptophagus subfumatus Kraatz, 1856")</f>
        <v>Cryptophagus subfumatus Kraatz, 1856</v>
      </c>
      <c r="AH11712" s="4" t="str">
        <f>HYPERLINK("#Statut_biogéographique!A"&amp;_xlfn.XMATCH("C",Statut_biogéographique!A:A,2,1),"C")</f>
        <v>C</v>
      </c>
      <c r="AP11712" s="4" t="s">
        <v>376</v>
      </c>
      <c r="AR11712" s="4" t="s">
        <v>377</v>
      </c>
    </row>
    <row r="11713" spans="1:44" ht="30">
      <c r="A11713" s="4" t="s">
        <v>10753</v>
      </c>
      <c r="B11713" s="4">
        <v>234811</v>
      </c>
      <c r="D11713" s="5" t="s">
        <v>14659</v>
      </c>
      <c r="E11713" s="6" t="str">
        <f>HYPERLINK("https://inpn.mnhn.fr/espece/cd_nom/234811","Antherophagus pallens (Linnaeus, 1758)")</f>
        <v>Antherophagus pallens (Linnaeus, 1758)</v>
      </c>
      <c r="AH11713" s="4" t="str">
        <f>HYPERLINK("#Statut_biogéographique!A"&amp;_xlfn.XMATCH("P",Statut_biogéographique!A:A,2,1),"P")</f>
        <v>P</v>
      </c>
      <c r="AP11713" s="4" t="s">
        <v>376</v>
      </c>
      <c r="AR11713" s="4" t="s">
        <v>377</v>
      </c>
    </row>
    <row r="11714" spans="1:44">
      <c r="A11714" s="4" t="s">
        <v>10753</v>
      </c>
      <c r="B11714" s="4">
        <v>234814</v>
      </c>
      <c r="D11714" s="5" t="s">
        <v>14660</v>
      </c>
      <c r="E11714" s="6" t="str">
        <f>HYPERLINK("https://inpn.mnhn.fr/espece/cd_nom/234814","Telmatophilus typhae (Fallén, 1802)")</f>
        <v>Telmatophilus typhae (Fallén, 1802)</v>
      </c>
      <c r="AH11714" s="4" t="str">
        <f>HYPERLINK("#Statut_biogéographique!A"&amp;_xlfn.XMATCH("P",Statut_biogéographique!A:A,2,1),"P")</f>
        <v>P</v>
      </c>
      <c r="AP11714" s="4" t="s">
        <v>376</v>
      </c>
      <c r="AR11714" s="4" t="s">
        <v>377</v>
      </c>
    </row>
    <row r="11715" spans="1:44">
      <c r="A11715" s="4" t="s">
        <v>10753</v>
      </c>
      <c r="B11715" s="4">
        <v>234817</v>
      </c>
      <c r="D11715" s="5" t="s">
        <v>14661</v>
      </c>
      <c r="E11715" s="6" t="str">
        <f>HYPERLINK("https://inpn.mnhn.fr/espece/cd_nom/234817","Pediacus depressus (Herbst, 1797)")</f>
        <v>Pediacus depressus (Herbst, 1797)</v>
      </c>
      <c r="P11715" s="7" t="str">
        <f>HYPERLINK("#Liste_rouge!A"&amp;_xlfn.XMATCH("LC",Liste_rouge!A:A,2,1),"LC")</f>
        <v>LC</v>
      </c>
      <c r="AH11715" s="4" t="str">
        <f>HYPERLINK("#Statut_biogéographique!A"&amp;_xlfn.XMATCH("P",Statut_biogéographique!A:A,2,1),"P")</f>
        <v>P</v>
      </c>
      <c r="AP11715" s="4" t="s">
        <v>376</v>
      </c>
      <c r="AR11715" s="4" t="s">
        <v>377</v>
      </c>
    </row>
    <row r="11716" spans="1:44">
      <c r="A11716" s="4" t="s">
        <v>10753</v>
      </c>
      <c r="B11716" s="4">
        <v>234818</v>
      </c>
      <c r="D11716" s="5" t="s">
        <v>14662</v>
      </c>
      <c r="E11716" s="6" t="str">
        <f>HYPERLINK("https://inpn.mnhn.fr/espece/cd_nom/234818","Pediacus dermestoides (Fabricius, 1792)")</f>
        <v>Pediacus dermestoides (Fabricius, 1792)</v>
      </c>
      <c r="P11716" s="7" t="str">
        <f>HYPERLINK("#Liste_rouge!A"&amp;_xlfn.XMATCH("DD",Liste_rouge!A:A,2,1),"DD")</f>
        <v>DD</v>
      </c>
      <c r="AH11716" s="4" t="str">
        <f>HYPERLINK("#Statut_biogéographique!A"&amp;_xlfn.XMATCH("P",Statut_biogéographique!A:A,2,1),"P")</f>
        <v>P</v>
      </c>
      <c r="AP11716" s="4" t="s">
        <v>376</v>
      </c>
      <c r="AR11716" s="4" t="s">
        <v>377</v>
      </c>
    </row>
    <row r="11717" spans="1:44">
      <c r="A11717" s="4" t="s">
        <v>10753</v>
      </c>
      <c r="B11717" s="4">
        <v>234827</v>
      </c>
      <c r="D11717" s="5" t="s">
        <v>14663</v>
      </c>
      <c r="E11717" s="6" t="str">
        <f>HYPERLINK("https://inpn.mnhn.fr/espece/cd_nom/234827","Mycetaea subterranea (Fabricius, 1801)")</f>
        <v>Mycetaea subterranea (Fabricius, 1801)</v>
      </c>
      <c r="AH11717" s="4" t="str">
        <f>HYPERLINK("#Statut_biogéographique!A"&amp;_xlfn.XMATCH("P",Statut_biogéographique!A:A,2,1),"P")</f>
        <v>P</v>
      </c>
      <c r="AP11717" s="4" t="s">
        <v>376</v>
      </c>
      <c r="AR11717" s="4" t="s">
        <v>377</v>
      </c>
    </row>
    <row r="11718" spans="1:44">
      <c r="A11718" s="4" t="s">
        <v>10753</v>
      </c>
      <c r="B11718" s="4">
        <v>234829</v>
      </c>
      <c r="D11718" s="5" t="s">
        <v>14664</v>
      </c>
      <c r="E11718" s="6" t="str">
        <f>HYPERLINK("https://inpn.mnhn.fr/espece/cd_nom/234829","Mycetina cruciata (Schaller, 1783)")</f>
        <v>Mycetina cruciata (Schaller, 1783)</v>
      </c>
      <c r="F11718" s="5" t="s">
        <v>14665</v>
      </c>
      <c r="AH11718" s="4" t="str">
        <f>HYPERLINK("#Statut_biogéographique!A"&amp;_xlfn.XMATCH("P",Statut_biogéographique!A:A,2,1),"P")</f>
        <v>P</v>
      </c>
      <c r="AP11718" s="4" t="s">
        <v>376</v>
      </c>
      <c r="AR11718" s="4" t="s">
        <v>377</v>
      </c>
    </row>
    <row r="11719" spans="1:44">
      <c r="A11719" s="4" t="s">
        <v>10753</v>
      </c>
      <c r="B11719" s="4">
        <v>234834</v>
      </c>
      <c r="D11719" s="5" t="s">
        <v>14666</v>
      </c>
      <c r="E11719" s="6" t="str">
        <f>HYPERLINK("https://inpn.mnhn.fr/espece/cd_nom/234834","Symbiotes gibberosus (P.H. Lucas, 1846)")</f>
        <v>Symbiotes gibberosus (P.H. Lucas, 1846)</v>
      </c>
      <c r="AH11719" s="4" t="str">
        <f>HYPERLINK("#Statut_biogéographique!A"&amp;_xlfn.XMATCH("P",Statut_biogéographique!A:A,2,1),"P")</f>
        <v>P</v>
      </c>
      <c r="AP11719" s="4" t="s">
        <v>376</v>
      </c>
      <c r="AR11719" s="4" t="s">
        <v>377</v>
      </c>
    </row>
    <row r="11720" spans="1:44" ht="45">
      <c r="A11720" s="4" t="s">
        <v>10753</v>
      </c>
      <c r="B11720" s="4">
        <v>234836</v>
      </c>
      <c r="D11720" s="5" t="s">
        <v>14667</v>
      </c>
      <c r="E11720" s="6" t="str">
        <f>HYPERLINK("https://inpn.mnhn.fr/espece/cd_nom/234836","Tritoma bipustulata Fabricius, 1775")</f>
        <v>Tritoma bipustulata Fabricius, 1775</v>
      </c>
      <c r="O11720" s="7" t="str">
        <f>HYPERLINK("#Liste_rouge!A"&amp;_xlfn.XMATCH("LC",Liste_rouge!A:A,2,1),"LC")</f>
        <v>LC</v>
      </c>
      <c r="P11720" s="7" t="str">
        <f>HYPERLINK("#Liste_rouge!A"&amp;_xlfn.XMATCH("LC",Liste_rouge!A:A,2,1),"LC")</f>
        <v>LC</v>
      </c>
      <c r="AH11720" s="4" t="str">
        <f>HYPERLINK("#Statut_biogéographique!A"&amp;_xlfn.XMATCH("P",Statut_biogéographique!A:A,2,1),"P")</f>
        <v>P</v>
      </c>
      <c r="AP11720" s="4" t="s">
        <v>376</v>
      </c>
      <c r="AR11720" s="4" t="s">
        <v>377</v>
      </c>
    </row>
    <row r="11721" spans="1:44">
      <c r="A11721" s="4" t="s">
        <v>10753</v>
      </c>
      <c r="B11721" s="4">
        <v>234841</v>
      </c>
      <c r="D11721" s="5" t="s">
        <v>14668</v>
      </c>
      <c r="E11721" s="6" t="str">
        <f>HYPERLINK("https://inpn.mnhn.fr/espece/cd_nom/234841","Triplax lepida (Faldermann, 1837)")</f>
        <v>Triplax lepida (Faldermann, 1837)</v>
      </c>
      <c r="P11721" s="7" t="str">
        <f>HYPERLINK("#Liste_rouge!A"&amp;_xlfn.XMATCH("LC",Liste_rouge!A:A,2,1),"LC")</f>
        <v>LC</v>
      </c>
      <c r="AH11721" s="4" t="str">
        <f>HYPERLINK("#Statut_biogéographique!A"&amp;_xlfn.XMATCH("P",Statut_biogéographique!A:A,2,1),"P")</f>
        <v>P</v>
      </c>
      <c r="AP11721" s="4" t="s">
        <v>376</v>
      </c>
      <c r="AR11721" s="4" t="s">
        <v>377</v>
      </c>
    </row>
    <row r="11722" spans="1:44" ht="30">
      <c r="A11722" s="4" t="s">
        <v>10753</v>
      </c>
      <c r="B11722" s="4">
        <v>234843</v>
      </c>
      <c r="D11722" s="5" t="s">
        <v>14669</v>
      </c>
      <c r="E11722" s="6" t="str">
        <f>HYPERLINK("https://inpn.mnhn.fr/espece/cd_nom/234843","Triplax rufipes (Fabricius, 1781)")</f>
        <v>Triplax rufipes (Fabricius, 1781)</v>
      </c>
      <c r="P11722" s="7" t="str">
        <f>HYPERLINK("#Liste_rouge!A"&amp;_xlfn.XMATCH("LC",Liste_rouge!A:A,2,1),"LC")</f>
        <v>LC</v>
      </c>
      <c r="AH11722" s="4" t="str">
        <f>HYPERLINK("#Statut_biogéographique!A"&amp;_xlfn.XMATCH("P",Statut_biogéographique!A:A,2,1),"P")</f>
        <v>P</v>
      </c>
      <c r="AP11722" s="4" t="s">
        <v>376</v>
      </c>
      <c r="AR11722" s="4" t="s">
        <v>377</v>
      </c>
    </row>
    <row r="11723" spans="1:44" ht="30">
      <c r="A11723" s="4" t="s">
        <v>10753</v>
      </c>
      <c r="B11723" s="4">
        <v>234844</v>
      </c>
      <c r="D11723" s="5" t="s">
        <v>14670</v>
      </c>
      <c r="E11723" s="6" t="str">
        <f>HYPERLINK("https://inpn.mnhn.fr/espece/cd_nom/234844","Triplax russica (Linnaeus, 1758)")</f>
        <v>Triplax russica (Linnaeus, 1758)</v>
      </c>
      <c r="P11723" s="7" t="str">
        <f>HYPERLINK("#Liste_rouge!A"&amp;_xlfn.XMATCH("LC",Liste_rouge!A:A,2,1),"LC")</f>
        <v>LC</v>
      </c>
      <c r="AH11723" s="4" t="str">
        <f>HYPERLINK("#Statut_biogéographique!A"&amp;_xlfn.XMATCH("P",Statut_biogéographique!A:A,2,1),"P")</f>
        <v>P</v>
      </c>
      <c r="AP11723" s="4" t="s">
        <v>376</v>
      </c>
      <c r="AR11723" s="4" t="s">
        <v>377</v>
      </c>
    </row>
    <row r="11724" spans="1:44" ht="30">
      <c r="A11724" s="4" t="s">
        <v>10753</v>
      </c>
      <c r="B11724" s="4">
        <v>234847</v>
      </c>
      <c r="D11724" s="5" t="s">
        <v>14671</v>
      </c>
      <c r="E11724" s="6" t="str">
        <f>HYPERLINK("https://inpn.mnhn.fr/espece/cd_nom/234847","Dacne bipustulata (Thunberg, 1781)")</f>
        <v>Dacne bipustulata (Thunberg, 1781)</v>
      </c>
      <c r="P11724" s="7" t="str">
        <f>HYPERLINK("#Liste_rouge!A"&amp;_xlfn.XMATCH("LC",Liste_rouge!A:A,2,1),"LC")</f>
        <v>LC</v>
      </c>
      <c r="AH11724" s="4" t="str">
        <f>HYPERLINK("#Statut_biogéographique!A"&amp;_xlfn.XMATCH("P",Statut_biogéographique!A:A,2,1),"P")</f>
        <v>P</v>
      </c>
      <c r="AP11724" s="4" t="s">
        <v>376</v>
      </c>
      <c r="AR11724" s="4" t="s">
        <v>377</v>
      </c>
    </row>
    <row r="11725" spans="1:44" ht="30">
      <c r="A11725" s="4" t="s">
        <v>10753</v>
      </c>
      <c r="B11725" s="4">
        <v>234851</v>
      </c>
      <c r="D11725" s="5" t="s">
        <v>14672</v>
      </c>
      <c r="E11725" s="6" t="str">
        <f>HYPERLINK("https://inpn.mnhn.fr/espece/cd_nom/234851","Dromaeolus barnabita (A. Villa &amp; J.B. Villa, 1838)")</f>
        <v>Dromaeolus barnabita (A. Villa &amp; J.B. Villa, 1838)</v>
      </c>
      <c r="F11725" s="5" t="s">
        <v>14673</v>
      </c>
      <c r="P11725" s="7" t="str">
        <f>HYPERLINK("#Liste_rouge!A"&amp;_xlfn.XMATCH("LC",Liste_rouge!A:A,2,1),"LC")</f>
        <v>LC</v>
      </c>
      <c r="AH11725" s="4" t="str">
        <f>HYPERLINK("#Statut_biogéographique!A"&amp;_xlfn.XMATCH("P",Statut_biogéographique!A:A,2,1),"P")</f>
        <v>P</v>
      </c>
      <c r="AP11725" s="4" t="s">
        <v>376</v>
      </c>
      <c r="AR11725" s="4" t="s">
        <v>377</v>
      </c>
    </row>
    <row r="11726" spans="1:44">
      <c r="A11726" s="4" t="s">
        <v>10753</v>
      </c>
      <c r="B11726" s="4">
        <v>234853</v>
      </c>
      <c r="D11726" s="5" t="s">
        <v>14674</v>
      </c>
      <c r="E11726" s="6" t="str">
        <f>HYPERLINK("https://inpn.mnhn.fr/espece/cd_nom/234853","Rhacopus sahlbergi (Mannerheim, 1823)")</f>
        <v>Rhacopus sahlbergi (Mannerheim, 1823)</v>
      </c>
      <c r="P11726" s="7" t="str">
        <f>HYPERLINK("#Liste_rouge!A"&amp;_xlfn.XMATCH("LC",Liste_rouge!A:A,2,1),"LC")</f>
        <v>LC</v>
      </c>
      <c r="AH11726" s="4" t="str">
        <f>HYPERLINK("#Statut_biogéographique!A"&amp;_xlfn.XMATCH("P",Statut_biogéographique!A:A,2,1),"P")</f>
        <v>P</v>
      </c>
      <c r="AP11726" s="4" t="s">
        <v>376</v>
      </c>
      <c r="AR11726" s="4" t="s">
        <v>377</v>
      </c>
    </row>
    <row r="11727" spans="1:44">
      <c r="A11727" s="4" t="s">
        <v>10753</v>
      </c>
      <c r="B11727" s="4">
        <v>234854</v>
      </c>
      <c r="D11727" s="5" t="s">
        <v>14675</v>
      </c>
      <c r="E11727" s="6" t="str">
        <f>HYPERLINK("https://inpn.mnhn.fr/espece/cd_nom/234854","Microrhagus emyi (Rouget, 1856)")</f>
        <v>Microrhagus emyi (Rouget, 1856)</v>
      </c>
      <c r="O11727" s="7" t="str">
        <f>HYPERLINK("#Liste_rouge!A"&amp;_xlfn.XMATCH("LC",Liste_rouge!A:A,2,1),"LC")</f>
        <v>LC</v>
      </c>
      <c r="P11727" s="7" t="str">
        <f>HYPERLINK("#Liste_rouge!A"&amp;_xlfn.XMATCH("LC",Liste_rouge!A:A,2,1),"LC")</f>
        <v>LC</v>
      </c>
      <c r="AH11727" s="4" t="str">
        <f>HYPERLINK("#Statut_biogéographique!A"&amp;_xlfn.XMATCH("P",Statut_biogéographique!A:A,2,1),"P")</f>
        <v>P</v>
      </c>
      <c r="AP11727" s="4" t="s">
        <v>376</v>
      </c>
      <c r="AR11727" s="4" t="s">
        <v>377</v>
      </c>
    </row>
    <row r="11728" spans="1:44">
      <c r="A11728" s="4" t="s">
        <v>10753</v>
      </c>
      <c r="B11728" s="4">
        <v>234855</v>
      </c>
      <c r="D11728" s="5" t="s">
        <v>14676</v>
      </c>
      <c r="E11728" s="6" t="str">
        <f>HYPERLINK("https://inpn.mnhn.fr/espece/cd_nom/234855","Microrhagus lepidus Rosenhauer, 1847")</f>
        <v>Microrhagus lepidus Rosenhauer, 1847</v>
      </c>
      <c r="O11728" s="7" t="str">
        <f>HYPERLINK("#Liste_rouge!A"&amp;_xlfn.XMATCH("LC",Liste_rouge!A:A,2,1),"LC")</f>
        <v>LC</v>
      </c>
      <c r="P11728" s="7" t="str">
        <f>HYPERLINK("#Liste_rouge!A"&amp;_xlfn.XMATCH("LC",Liste_rouge!A:A,2,1),"LC")</f>
        <v>LC</v>
      </c>
      <c r="AH11728" s="4" t="str">
        <f>HYPERLINK("#Statut_biogéographique!A"&amp;_xlfn.XMATCH("P",Statut_biogéographique!A:A,2,1),"P")</f>
        <v>P</v>
      </c>
      <c r="AP11728" s="4" t="s">
        <v>376</v>
      </c>
      <c r="AR11728" s="4" t="s">
        <v>377</v>
      </c>
    </row>
    <row r="11729" spans="1:44">
      <c r="A11729" s="4" t="s">
        <v>10753</v>
      </c>
      <c r="B11729" s="4">
        <v>234856</v>
      </c>
      <c r="D11729" s="5" t="s">
        <v>14677</v>
      </c>
      <c r="E11729" s="6" t="str">
        <f>HYPERLINK("https://inpn.mnhn.fr/espece/cd_nom/234856","Microrhagus pygmaeus (Fabricius, 1792)")</f>
        <v>Microrhagus pygmaeus (Fabricius, 1792)</v>
      </c>
      <c r="O11729" s="7" t="str">
        <f>HYPERLINK("#Liste_rouge!A"&amp;_xlfn.XMATCH("LC",Liste_rouge!A:A,2,1),"LC")</f>
        <v>LC</v>
      </c>
      <c r="P11729" s="7" t="str">
        <f>HYPERLINK("#Liste_rouge!A"&amp;_xlfn.XMATCH("LC",Liste_rouge!A:A,2,1),"LC")</f>
        <v>LC</v>
      </c>
      <c r="AH11729" s="4" t="str">
        <f>HYPERLINK("#Statut_biogéographique!A"&amp;_xlfn.XMATCH("P",Statut_biogéographique!A:A,2,1),"P")</f>
        <v>P</v>
      </c>
      <c r="AP11729" s="4" t="s">
        <v>376</v>
      </c>
      <c r="AR11729" s="4" t="s">
        <v>377</v>
      </c>
    </row>
    <row r="11730" spans="1:44">
      <c r="A11730" s="4" t="s">
        <v>10753</v>
      </c>
      <c r="B11730" s="4">
        <v>234857</v>
      </c>
      <c r="D11730" s="5" t="s">
        <v>14678</v>
      </c>
      <c r="E11730" s="6" t="str">
        <f>HYPERLINK("https://inpn.mnhn.fr/espece/cd_nom/234857","Microrhagus pyrenaeus Bonvouloir, 1872")</f>
        <v>Microrhagus pyrenaeus Bonvouloir, 1872</v>
      </c>
      <c r="O11730" s="7" t="str">
        <f>HYPERLINK("#Liste_rouge!A"&amp;_xlfn.XMATCH("NT",Liste_rouge!A:A,2,1),"NT")</f>
        <v>NT</v>
      </c>
      <c r="P11730" s="7" t="str">
        <f>HYPERLINK("#Liste_rouge!A"&amp;_xlfn.XMATCH("NT",Liste_rouge!A:A,2,1),"NT")</f>
        <v>NT</v>
      </c>
      <c r="AH11730" s="4" t="str">
        <f>HYPERLINK("#Statut_biogéographique!A"&amp;_xlfn.XMATCH("P",Statut_biogéographique!A:A,2,1),"P")</f>
        <v>P</v>
      </c>
      <c r="AP11730" s="4" t="s">
        <v>376</v>
      </c>
      <c r="AR11730" s="4" t="s">
        <v>377</v>
      </c>
    </row>
    <row r="11731" spans="1:44">
      <c r="A11731" s="4" t="s">
        <v>10753</v>
      </c>
      <c r="B11731" s="4">
        <v>234860</v>
      </c>
      <c r="D11731" s="5" t="s">
        <v>14679</v>
      </c>
      <c r="E11731" s="6" t="str">
        <f>HYPERLINK("https://inpn.mnhn.fr/espece/cd_nom/234860","Hylis cariniceps (Reitter, 1902)")</f>
        <v>Hylis cariniceps (Reitter, 1902)</v>
      </c>
      <c r="O11731" s="7" t="str">
        <f>HYPERLINK("#Liste_rouge!A"&amp;_xlfn.XMATCH("LC",Liste_rouge!A:A,2,1),"LC")</f>
        <v>LC</v>
      </c>
      <c r="P11731" s="7" t="str">
        <f>HYPERLINK("#Liste_rouge!A"&amp;_xlfn.XMATCH("LC",Liste_rouge!A:A,2,1),"LC")</f>
        <v>LC</v>
      </c>
      <c r="AH11731" s="4" t="str">
        <f>HYPERLINK("#Statut_biogéographique!A"&amp;_xlfn.XMATCH("P",Statut_biogéographique!A:A,2,1),"P")</f>
        <v>P</v>
      </c>
      <c r="AP11731" s="4" t="s">
        <v>376</v>
      </c>
      <c r="AR11731" s="4" t="s">
        <v>377</v>
      </c>
    </row>
    <row r="11732" spans="1:44">
      <c r="A11732" s="4" t="s">
        <v>10753</v>
      </c>
      <c r="B11732" s="4">
        <v>234861</v>
      </c>
      <c r="D11732" s="5" t="s">
        <v>14680</v>
      </c>
      <c r="E11732" s="6" t="str">
        <f>HYPERLINK("https://inpn.mnhn.fr/espece/cd_nom/234861","Hylis foveicollis (C.G. Thomson, 1874)")</f>
        <v>Hylis foveicollis (C.G. Thomson, 1874)</v>
      </c>
      <c r="P11732" s="7" t="str">
        <f>HYPERLINK("#Liste_rouge!A"&amp;_xlfn.XMATCH("LC",Liste_rouge!A:A,2,1),"LC")</f>
        <v>LC</v>
      </c>
      <c r="AH11732" s="4" t="str">
        <f>HYPERLINK("#Statut_biogéographique!A"&amp;_xlfn.XMATCH("P",Statut_biogéographique!A:A,2,1),"P")</f>
        <v>P</v>
      </c>
      <c r="AP11732" s="4" t="s">
        <v>376</v>
      </c>
      <c r="AR11732" s="4" t="s">
        <v>377</v>
      </c>
    </row>
    <row r="11733" spans="1:44">
      <c r="A11733" s="4" t="s">
        <v>10753</v>
      </c>
      <c r="B11733" s="4">
        <v>234862</v>
      </c>
      <c r="D11733" s="5" t="s">
        <v>14681</v>
      </c>
      <c r="E11733" s="6" t="str">
        <f>HYPERLINK("https://inpn.mnhn.fr/espece/cd_nom/234862","Hylis olexai (Palm, 1955)")</f>
        <v>Hylis olexai (Palm, 1955)</v>
      </c>
      <c r="P11733" s="7" t="str">
        <f>HYPERLINK("#Liste_rouge!A"&amp;_xlfn.XMATCH("LC",Liste_rouge!A:A,2,1),"LC")</f>
        <v>LC</v>
      </c>
      <c r="AH11733" s="4" t="str">
        <f>HYPERLINK("#Statut_biogéographique!A"&amp;_xlfn.XMATCH("P",Statut_biogéographique!A:A,2,1),"P")</f>
        <v>P</v>
      </c>
      <c r="AP11733" s="4" t="s">
        <v>376</v>
      </c>
      <c r="AR11733" s="4" t="s">
        <v>377</v>
      </c>
    </row>
    <row r="11734" spans="1:44">
      <c r="A11734" s="4" t="s">
        <v>10753</v>
      </c>
      <c r="B11734" s="4">
        <v>234863</v>
      </c>
      <c r="D11734" s="5" t="s">
        <v>14682</v>
      </c>
      <c r="E11734" s="6" t="str">
        <f>HYPERLINK("https://inpn.mnhn.fr/espece/cd_nom/234863","Hylis procerulus (Mannerheim, 1823)")</f>
        <v>Hylis procerulus (Mannerheim, 1823)</v>
      </c>
      <c r="O11734" s="7" t="str">
        <f>HYPERLINK("#Liste_rouge!A"&amp;_xlfn.XMATCH("LC",Liste_rouge!A:A,2,1),"LC")</f>
        <v>LC</v>
      </c>
      <c r="P11734" s="7" t="str">
        <f>HYPERLINK("#Liste_rouge!A"&amp;_xlfn.XMATCH("LC",Liste_rouge!A:A,2,1),"LC")</f>
        <v>LC</v>
      </c>
      <c r="AH11734" s="4" t="str">
        <f>HYPERLINK("#Statut_biogéographique!A"&amp;_xlfn.XMATCH("P",Statut_biogéographique!A:A,2,1),"P")</f>
        <v>P</v>
      </c>
      <c r="AP11734" s="4" t="s">
        <v>376</v>
      </c>
      <c r="AR11734" s="4" t="s">
        <v>377</v>
      </c>
    </row>
    <row r="11735" spans="1:44">
      <c r="A11735" s="4" t="s">
        <v>10753</v>
      </c>
      <c r="B11735" s="4">
        <v>234864</v>
      </c>
      <c r="D11735" s="5" t="s">
        <v>14683</v>
      </c>
      <c r="E11735" s="6" t="str">
        <f>HYPERLINK("https://inpn.mnhn.fr/espece/cd_nom/234864","Hylis simonae (Olexa, 1970)")</f>
        <v>Hylis simonae (Olexa, 1970)</v>
      </c>
      <c r="O11735" s="7" t="str">
        <f>HYPERLINK("#Liste_rouge!A"&amp;_xlfn.XMATCH("NT",Liste_rouge!A:A,2,1),"NT")</f>
        <v>NT</v>
      </c>
      <c r="P11735" s="7" t="str">
        <f>HYPERLINK("#Liste_rouge!A"&amp;_xlfn.XMATCH("NT",Liste_rouge!A:A,2,1),"NT")</f>
        <v>NT</v>
      </c>
      <c r="AH11735" s="4" t="str">
        <f>HYPERLINK("#Statut_biogéographique!A"&amp;_xlfn.XMATCH("P",Statut_biogéographique!A:A,2,1),"P")</f>
        <v>P</v>
      </c>
      <c r="AP11735" s="4" t="s">
        <v>376</v>
      </c>
      <c r="AR11735" s="4" t="s">
        <v>377</v>
      </c>
    </row>
    <row r="11736" spans="1:44">
      <c r="A11736" s="4" t="s">
        <v>10753</v>
      </c>
      <c r="B11736" s="4">
        <v>234865</v>
      </c>
      <c r="D11736" s="5" t="s">
        <v>14684</v>
      </c>
      <c r="E11736" s="6" t="str">
        <f>HYPERLINK("https://inpn.mnhn.fr/espece/cd_nom/234865","Xylophilus corticalis (Paykull, 1800)")</f>
        <v>Xylophilus corticalis (Paykull, 1800)</v>
      </c>
      <c r="O11736" s="7" t="str">
        <f>HYPERLINK("#Liste_rouge!A"&amp;_xlfn.XMATCH("LC",Liste_rouge!A:A,2,1),"LC")</f>
        <v>LC</v>
      </c>
      <c r="P11736" s="7" t="str">
        <f>HYPERLINK("#Liste_rouge!A"&amp;_xlfn.XMATCH("LC",Liste_rouge!A:A,2,1),"LC")</f>
        <v>LC</v>
      </c>
      <c r="AH11736" s="4" t="str">
        <f>HYPERLINK("#Statut_biogéographique!A"&amp;_xlfn.XMATCH("P",Statut_biogéographique!A:A,2,1),"P")</f>
        <v>P</v>
      </c>
      <c r="AP11736" s="4" t="s">
        <v>376</v>
      </c>
      <c r="AR11736" s="4" t="s">
        <v>377</v>
      </c>
    </row>
    <row r="11737" spans="1:44">
      <c r="A11737" s="4" t="s">
        <v>10753</v>
      </c>
      <c r="B11737" s="4">
        <v>234875</v>
      </c>
      <c r="D11737" s="5" t="s">
        <v>14685</v>
      </c>
      <c r="E11737" s="6" t="str">
        <f>HYPERLINK("https://inpn.mnhn.fr/espece/cd_nom/234875","Enochrus affinis (Thunberg, 1794)")</f>
        <v>Enochrus affinis (Thunberg, 1794)</v>
      </c>
      <c r="AH11737" s="4" t="str">
        <f>HYPERLINK("#Statut_biogéographique!A"&amp;_xlfn.XMATCH("P",Statut_biogéographique!A:A,2,1),"P")</f>
        <v>P</v>
      </c>
      <c r="AP11737" s="4" t="s">
        <v>376</v>
      </c>
      <c r="AR11737" s="4" t="s">
        <v>377</v>
      </c>
    </row>
    <row r="11738" spans="1:44">
      <c r="A11738" s="4" t="s">
        <v>10753</v>
      </c>
      <c r="B11738" s="4">
        <v>234876</v>
      </c>
      <c r="D11738" s="5" t="s">
        <v>14686</v>
      </c>
      <c r="E11738" s="6" t="str">
        <f>HYPERLINK("https://inpn.mnhn.fr/espece/cd_nom/234876","Enochrus coarctatus (Gredler, 1863)")</f>
        <v>Enochrus coarctatus (Gredler, 1863)</v>
      </c>
      <c r="AH11738" s="4" t="str">
        <f>HYPERLINK("#Statut_biogéographique!A"&amp;_xlfn.XMATCH("P",Statut_biogéographique!A:A,2,1),"P")</f>
        <v>P</v>
      </c>
      <c r="AP11738" s="4" t="s">
        <v>376</v>
      </c>
      <c r="AR11738" s="4" t="s">
        <v>377</v>
      </c>
    </row>
    <row r="11739" spans="1:44">
      <c r="A11739" s="4" t="s">
        <v>10753</v>
      </c>
      <c r="B11739" s="4">
        <v>234878</v>
      </c>
      <c r="D11739" s="5" t="s">
        <v>14687</v>
      </c>
      <c r="E11739" s="6" t="str">
        <f>HYPERLINK("https://inpn.mnhn.fr/espece/cd_nom/234878","Enochrus nigritus (Sharp, 1872)")</f>
        <v>Enochrus nigritus (Sharp, 1872)</v>
      </c>
      <c r="AH11739" s="4" t="str">
        <f>HYPERLINK("#Statut_biogéographique!A"&amp;_xlfn.XMATCH("P",Statut_biogéographique!A:A,2,1),"P")</f>
        <v>P</v>
      </c>
      <c r="AP11739" s="4" t="s">
        <v>376</v>
      </c>
      <c r="AR11739" s="4" t="s">
        <v>377</v>
      </c>
    </row>
    <row r="11740" spans="1:44" ht="60">
      <c r="A11740" s="4" t="s">
        <v>10753</v>
      </c>
      <c r="B11740" s="4">
        <v>234880</v>
      </c>
      <c r="D11740" s="5" t="s">
        <v>14688</v>
      </c>
      <c r="E11740" s="6" t="str">
        <f>HYPERLINK("https://inpn.mnhn.fr/espece/cd_nom/234880","Enochrus bicolor (Fabricius, 1792)")</f>
        <v>Enochrus bicolor (Fabricius, 1792)</v>
      </c>
      <c r="AH11740" s="4" t="str">
        <f>HYPERLINK("#Statut_biogéographique!A"&amp;_xlfn.XMATCH("P",Statut_biogéographique!A:A,2,1),"P")</f>
        <v>P</v>
      </c>
      <c r="AP11740" s="4" t="s">
        <v>376</v>
      </c>
      <c r="AR11740" s="4" t="s">
        <v>377</v>
      </c>
    </row>
    <row r="11741" spans="1:44" ht="30">
      <c r="A11741" s="4" t="s">
        <v>10753</v>
      </c>
      <c r="B11741" s="4">
        <v>234881</v>
      </c>
      <c r="D11741" s="5" t="s">
        <v>14689</v>
      </c>
      <c r="E11741" s="6" t="str">
        <f>HYPERLINK("https://inpn.mnhn.fr/espece/cd_nom/234881","Enochrus fuscipennis (Thomson, 1884)")</f>
        <v>Enochrus fuscipennis (Thomson, 1884)</v>
      </c>
      <c r="AH11741" s="4" t="str">
        <f>HYPERLINK("#Statut_biogéographique!A"&amp;_xlfn.XMATCH("P",Statut_biogéographique!A:A,2,1),"P")</f>
        <v>P</v>
      </c>
      <c r="AP11741" s="4" t="s">
        <v>376</v>
      </c>
      <c r="AR11741" s="4" t="s">
        <v>377</v>
      </c>
    </row>
    <row r="11742" spans="1:44">
      <c r="A11742" s="4" t="s">
        <v>10753</v>
      </c>
      <c r="B11742" s="4">
        <v>234882</v>
      </c>
      <c r="D11742" s="5" t="s">
        <v>14690</v>
      </c>
      <c r="E11742" s="6" t="str">
        <f>HYPERLINK("https://inpn.mnhn.fr/espece/cd_nom/234882","Enochrus halophilus (Bedel, 1879)")</f>
        <v>Enochrus halophilus (Bedel, 1879)</v>
      </c>
      <c r="AH11742" s="4" t="str">
        <f>HYPERLINK("#Statut_biogéographique!A"&amp;_xlfn.XMATCH("P",Statut_biogéographique!A:A,2,1),"P")</f>
        <v>P</v>
      </c>
      <c r="AP11742" s="4" t="s">
        <v>376</v>
      </c>
      <c r="AR11742" s="4" t="s">
        <v>377</v>
      </c>
    </row>
    <row r="11743" spans="1:44">
      <c r="A11743" s="4" t="s">
        <v>10753</v>
      </c>
      <c r="B11743" s="4">
        <v>234883</v>
      </c>
      <c r="D11743" s="5" t="s">
        <v>14691</v>
      </c>
      <c r="E11743" s="6" t="str">
        <f>HYPERLINK("https://inpn.mnhn.fr/espece/cd_nom/234883","Enochrus ochropterus (Marsham, 1802)")</f>
        <v>Enochrus ochropterus (Marsham, 1802)</v>
      </c>
      <c r="AH11743" s="4" t="str">
        <f>HYPERLINK("#Statut_biogéographique!A"&amp;_xlfn.XMATCH("P",Statut_biogéographique!A:A,2,1),"P")</f>
        <v>P</v>
      </c>
      <c r="AP11743" s="4" t="s">
        <v>376</v>
      </c>
      <c r="AR11743" s="4" t="s">
        <v>377</v>
      </c>
    </row>
    <row r="11744" spans="1:44" ht="30">
      <c r="A11744" s="4" t="s">
        <v>10753</v>
      </c>
      <c r="B11744" s="4">
        <v>234885</v>
      </c>
      <c r="D11744" s="5" t="s">
        <v>14692</v>
      </c>
      <c r="E11744" s="6" t="str">
        <f>HYPERLINK("https://inpn.mnhn.fr/espece/cd_nom/234885","Enochrus quadripunctatus (Herbst, 1797)")</f>
        <v>Enochrus quadripunctatus (Herbst, 1797)</v>
      </c>
      <c r="AH11744" s="4" t="str">
        <f>HYPERLINK("#Statut_biogéographique!A"&amp;_xlfn.XMATCH("P",Statut_biogéographique!A:A,2,1),"P")</f>
        <v>P</v>
      </c>
      <c r="AP11744" s="4" t="s">
        <v>376</v>
      </c>
      <c r="AR11744" s="4" t="s">
        <v>377</v>
      </c>
    </row>
    <row r="11745" spans="1:44">
      <c r="A11745" s="4" t="s">
        <v>10753</v>
      </c>
      <c r="B11745" s="4">
        <v>234887</v>
      </c>
      <c r="D11745" s="5" t="s">
        <v>14693</v>
      </c>
      <c r="E11745" s="6" t="str">
        <f>HYPERLINK("https://inpn.mnhn.fr/espece/cd_nom/234887","Enochrus testaceus (Fabricius, 1801)")</f>
        <v>Enochrus testaceus (Fabricius, 1801)</v>
      </c>
      <c r="AH11745" s="4" t="str">
        <f>HYPERLINK("#Statut_biogéographique!A"&amp;_xlfn.XMATCH("P",Statut_biogéographique!A:A,2,1),"P")</f>
        <v>P</v>
      </c>
      <c r="AP11745" s="4" t="s">
        <v>376</v>
      </c>
      <c r="AR11745" s="4" t="s">
        <v>377</v>
      </c>
    </row>
    <row r="11746" spans="1:44">
      <c r="A11746" s="4" t="s">
        <v>10753</v>
      </c>
      <c r="B11746" s="4">
        <v>234888</v>
      </c>
      <c r="D11746" s="5" t="s">
        <v>14694</v>
      </c>
      <c r="E11746" s="6" t="str">
        <f>HYPERLINK("https://inpn.mnhn.fr/espece/cd_nom/234888","Enochrus melanocephalus (Olivier, 1793)")</f>
        <v>Enochrus melanocephalus (Olivier, 1793)</v>
      </c>
      <c r="AH11746" s="4" t="str">
        <f>HYPERLINK("#Statut_biogéographique!A"&amp;_xlfn.XMATCH("P",Statut_biogéographique!A:A,2,1),"P")</f>
        <v>P</v>
      </c>
      <c r="AP11746" s="4" t="s">
        <v>376</v>
      </c>
      <c r="AR11746" s="4" t="s">
        <v>377</v>
      </c>
    </row>
    <row r="11747" spans="1:44" ht="30">
      <c r="A11747" s="4" t="s">
        <v>10753</v>
      </c>
      <c r="B11747" s="4">
        <v>234889</v>
      </c>
      <c r="D11747" s="5" t="s">
        <v>14695</v>
      </c>
      <c r="E11747" s="6" t="str">
        <f>HYPERLINK("https://inpn.mnhn.fr/espece/cd_nom/234889","Helochares lividus (Forster, 1771)")</f>
        <v>Helochares lividus (Forster, 1771)</v>
      </c>
      <c r="F11747" s="5" t="s">
        <v>14696</v>
      </c>
      <c r="AH11747" s="4" t="str">
        <f>HYPERLINK("#Statut_biogéographique!A"&amp;_xlfn.XMATCH("P",Statut_biogéographique!A:A,2,1),"P")</f>
        <v>P</v>
      </c>
      <c r="AP11747" s="4" t="s">
        <v>376</v>
      </c>
      <c r="AR11747" s="4" t="s">
        <v>377</v>
      </c>
    </row>
    <row r="11748" spans="1:44" ht="30">
      <c r="A11748" s="4" t="s">
        <v>10753</v>
      </c>
      <c r="B11748" s="4">
        <v>234890</v>
      </c>
      <c r="D11748" s="5" t="s">
        <v>14697</v>
      </c>
      <c r="E11748" s="6" t="str">
        <f>HYPERLINK("https://inpn.mnhn.fr/espece/cd_nom/234890","Helochares obscurus (O.F. Müller, 1776)")</f>
        <v>Helochares obscurus (O.F. Müller, 1776)</v>
      </c>
      <c r="AH11748" s="4" t="str">
        <f>HYPERLINK("#Statut_biogéographique!A"&amp;_xlfn.XMATCH("P",Statut_biogéographique!A:A,2,1),"P")</f>
        <v>P</v>
      </c>
      <c r="AP11748" s="4" t="s">
        <v>376</v>
      </c>
      <c r="AR11748" s="4" t="s">
        <v>377</v>
      </c>
    </row>
    <row r="11749" spans="1:44">
      <c r="A11749" s="4" t="s">
        <v>10753</v>
      </c>
      <c r="B11749" s="4">
        <v>234891</v>
      </c>
      <c r="D11749" s="5">
        <v>234891</v>
      </c>
      <c r="E11749" s="6" t="str">
        <f>HYPERLINK("https://inpn.mnhn.fr/espece/cd_nom/234891","Laccobius femoralis Rey, 1885")</f>
        <v>Laccobius femoralis Rey, 1885</v>
      </c>
      <c r="AH11749" s="4" t="str">
        <f>HYPERLINK("#Statut_biogéographique!A"&amp;_xlfn.XMATCH("P",Statut_biogéographique!A:A,2,1),"P")</f>
        <v>P</v>
      </c>
      <c r="AP11749" s="4" t="s">
        <v>376</v>
      </c>
      <c r="AR11749" s="4" t="s">
        <v>377</v>
      </c>
    </row>
    <row r="11750" spans="1:44">
      <c r="A11750" s="4" t="s">
        <v>10753</v>
      </c>
      <c r="B11750" s="4">
        <v>234894</v>
      </c>
      <c r="D11750" s="5" t="s">
        <v>14698</v>
      </c>
      <c r="E11750" s="6" t="str">
        <f>HYPERLINK("https://inpn.mnhn.fr/espece/cd_nom/234894","Laccobius bipunctatus (Fabricius, 1775)")</f>
        <v>Laccobius bipunctatus (Fabricius, 1775)</v>
      </c>
      <c r="AH11750" s="4" t="str">
        <f>HYPERLINK("#Statut_biogéographique!A"&amp;_xlfn.XMATCH("P",Statut_biogéographique!A:A,2,1),"P")</f>
        <v>P</v>
      </c>
      <c r="AP11750" s="4" t="s">
        <v>376</v>
      </c>
      <c r="AR11750" s="4" t="s">
        <v>377</v>
      </c>
    </row>
    <row r="11751" spans="1:44">
      <c r="A11751" s="4" t="s">
        <v>10753</v>
      </c>
      <c r="B11751" s="4">
        <v>234898</v>
      </c>
      <c r="D11751" s="5">
        <v>234898</v>
      </c>
      <c r="E11751" s="6" t="str">
        <f>HYPERLINK("https://inpn.mnhn.fr/espece/cd_nom/234898","Laccobius obscuratus Rottenberg, 1874")</f>
        <v>Laccobius obscuratus Rottenberg, 1874</v>
      </c>
      <c r="AH11751" s="4" t="str">
        <f>HYPERLINK("#Statut_biogéographique!A"&amp;_xlfn.XMATCH("P",Statut_biogéographique!A:A,2,1),"P")</f>
        <v>P</v>
      </c>
      <c r="AP11751" s="4" t="s">
        <v>376</v>
      </c>
      <c r="AR11751" s="4" t="s">
        <v>377</v>
      </c>
    </row>
    <row r="11752" spans="1:44" ht="30">
      <c r="A11752" s="4" t="s">
        <v>10753</v>
      </c>
      <c r="B11752" s="4">
        <v>234901</v>
      </c>
      <c r="D11752" s="5" t="s">
        <v>14699</v>
      </c>
      <c r="E11752" s="6" t="str">
        <f>HYPERLINK("https://inpn.mnhn.fr/espece/cd_nom/234901","Laccobius striatulus (Fabricius, 1801)")</f>
        <v>Laccobius striatulus (Fabricius, 1801)</v>
      </c>
      <c r="AH11752" s="4" t="str">
        <f>HYPERLINK("#Statut_biogéographique!A"&amp;_xlfn.XMATCH("P",Statut_biogéographique!A:A,2,1),"P")</f>
        <v>P</v>
      </c>
      <c r="AP11752" s="4" t="s">
        <v>376</v>
      </c>
      <c r="AR11752" s="4" t="s">
        <v>377</v>
      </c>
    </row>
    <row r="11753" spans="1:44">
      <c r="A11753" s="4" t="s">
        <v>10753</v>
      </c>
      <c r="B11753" s="4">
        <v>234902</v>
      </c>
      <c r="D11753" s="5" t="s">
        <v>14700</v>
      </c>
      <c r="E11753" s="6" t="str">
        <f>HYPERLINK("https://inpn.mnhn.fr/espece/cd_nom/234902","Laccobius ytenensis Sharp, 1910")</f>
        <v>Laccobius ytenensis Sharp, 1910</v>
      </c>
      <c r="AH11753" s="4" t="str">
        <f>HYPERLINK("#Statut_biogéographique!A"&amp;_xlfn.XMATCH("P",Statut_biogéographique!A:A,2,1),"P")</f>
        <v>P</v>
      </c>
      <c r="AP11753" s="4" t="s">
        <v>376</v>
      </c>
      <c r="AR11753" s="4" t="s">
        <v>377</v>
      </c>
    </row>
    <row r="11754" spans="1:44">
      <c r="A11754" s="4" t="s">
        <v>10753</v>
      </c>
      <c r="B11754" s="4">
        <v>234903</v>
      </c>
      <c r="D11754" s="5">
        <v>234903</v>
      </c>
      <c r="E11754" s="6" t="str">
        <f>HYPERLINK("https://inpn.mnhn.fr/espece/cd_nom/234903","Laccobius albipes Kuwert, 1890")</f>
        <v>Laccobius albipes Kuwert, 1890</v>
      </c>
      <c r="AH11754" s="4" t="str">
        <f>HYPERLINK("#Statut_biogéographique!A"&amp;_xlfn.XMATCH("P",Statut_biogéographique!A:A,2,1),"P")</f>
        <v>P</v>
      </c>
      <c r="AP11754" s="4" t="s">
        <v>376</v>
      </c>
      <c r="AR11754" s="4" t="s">
        <v>377</v>
      </c>
    </row>
    <row r="11755" spans="1:44" ht="30">
      <c r="A11755" s="4" t="s">
        <v>10753</v>
      </c>
      <c r="B11755" s="4">
        <v>234904</v>
      </c>
      <c r="D11755" s="5" t="s">
        <v>14701</v>
      </c>
      <c r="E11755" s="6" t="str">
        <f>HYPERLINK("https://inpn.mnhn.fr/espece/cd_nom/234904","Laccobius colon (Stephens, 1829)")</f>
        <v>Laccobius colon (Stephens, 1829)</v>
      </c>
      <c r="AH11755" s="4" t="str">
        <f>HYPERLINK("#Statut_biogéographique!A"&amp;_xlfn.XMATCH("P",Statut_biogéographique!A:A,2,1),"P")</f>
        <v>P</v>
      </c>
      <c r="AP11755" s="4" t="s">
        <v>376</v>
      </c>
      <c r="AR11755" s="4" t="s">
        <v>377</v>
      </c>
    </row>
    <row r="11756" spans="1:44" ht="45">
      <c r="A11756" s="4" t="s">
        <v>10753</v>
      </c>
      <c r="B11756" s="4">
        <v>234905</v>
      </c>
      <c r="D11756" s="5" t="s">
        <v>14702</v>
      </c>
      <c r="E11756" s="6" t="str">
        <f>HYPERLINK("https://inpn.mnhn.fr/espece/cd_nom/234905","Laccobius minutus (Linnaeus, 1758)")</f>
        <v>Laccobius minutus (Linnaeus, 1758)</v>
      </c>
      <c r="AH11756" s="4" t="str">
        <f>HYPERLINK("#Statut_biogéographique!A"&amp;_xlfn.XMATCH("P",Statut_biogéographique!A:A,2,1),"P")</f>
        <v>P</v>
      </c>
      <c r="AP11756" s="4" t="s">
        <v>376</v>
      </c>
      <c r="AR11756" s="4" t="s">
        <v>377</v>
      </c>
    </row>
    <row r="11757" spans="1:44">
      <c r="A11757" s="4" t="s">
        <v>10753</v>
      </c>
      <c r="B11757" s="4">
        <v>234908</v>
      </c>
      <c r="D11757" s="5" t="s">
        <v>14703</v>
      </c>
      <c r="E11757" s="6" t="str">
        <f>HYPERLINK("https://inpn.mnhn.fr/espece/cd_nom/234908","Anacaena bipustulata (Marsham, 1802)")</f>
        <v>Anacaena bipustulata (Marsham, 1802)</v>
      </c>
      <c r="AH11757" s="4" t="str">
        <f>HYPERLINK("#Statut_biogéographique!A"&amp;_xlfn.XMATCH("P",Statut_biogéographique!A:A,2,1),"P")</f>
        <v>P</v>
      </c>
      <c r="AP11757" s="4" t="s">
        <v>376</v>
      </c>
      <c r="AR11757" s="4" t="s">
        <v>377</v>
      </c>
    </row>
    <row r="11758" spans="1:44" ht="30">
      <c r="A11758" s="4" t="s">
        <v>10753</v>
      </c>
      <c r="B11758" s="4">
        <v>234910</v>
      </c>
      <c r="D11758" s="5" t="s">
        <v>14704</v>
      </c>
      <c r="E11758" s="6" t="str">
        <f>HYPERLINK("https://inpn.mnhn.fr/espece/cd_nom/234910","Anacaena globulus (Paykull, 1798)")</f>
        <v>Anacaena globulus (Paykull, 1798)</v>
      </c>
      <c r="AH11758" s="4" t="str">
        <f>HYPERLINK("#Statut_biogéographique!A"&amp;_xlfn.XMATCH("P",Statut_biogéographique!A:A,2,1),"P")</f>
        <v>P</v>
      </c>
      <c r="AP11758" s="4" t="s">
        <v>376</v>
      </c>
      <c r="AR11758" s="4" t="s">
        <v>377</v>
      </c>
    </row>
    <row r="11759" spans="1:44">
      <c r="A11759" s="4" t="s">
        <v>10753</v>
      </c>
      <c r="B11759" s="4">
        <v>234913</v>
      </c>
      <c r="D11759" s="5" t="s">
        <v>14705</v>
      </c>
      <c r="E11759" s="6" t="str">
        <f>HYPERLINK("https://inpn.mnhn.fr/espece/cd_nom/234913","Paracymus scutellaris (Rosenhauer, 1856)")</f>
        <v>Paracymus scutellaris (Rosenhauer, 1856)</v>
      </c>
      <c r="AH11759" s="4" t="str">
        <f>HYPERLINK("#Statut_biogéographique!A"&amp;_xlfn.XMATCH("P",Statut_biogéographique!A:A,2,1),"P")</f>
        <v>P</v>
      </c>
      <c r="AP11759" s="4" t="s">
        <v>376</v>
      </c>
      <c r="AR11759" s="4" t="s">
        <v>377</v>
      </c>
    </row>
    <row r="11760" spans="1:44">
      <c r="A11760" s="4" t="s">
        <v>10753</v>
      </c>
      <c r="B11760" s="4">
        <v>234914</v>
      </c>
      <c r="D11760" s="5" t="s">
        <v>14706</v>
      </c>
      <c r="E11760" s="6" t="str">
        <f>HYPERLINK("https://inpn.mnhn.fr/espece/cd_nom/234914","Chaetarthria seminulum (Herbst, 1797)")</f>
        <v>Chaetarthria seminulum (Herbst, 1797)</v>
      </c>
      <c r="AH11760" s="4" t="str">
        <f>HYPERLINK("#Statut_biogéographique!A"&amp;_xlfn.XMATCH("P",Statut_biogéographique!A:A,2,1),"P")</f>
        <v>P</v>
      </c>
      <c r="AP11760" s="4" t="s">
        <v>376</v>
      </c>
      <c r="AR11760" s="4" t="s">
        <v>377</v>
      </c>
    </row>
    <row r="11761" spans="1:44">
      <c r="A11761" s="4" t="s">
        <v>10753</v>
      </c>
      <c r="B11761" s="4">
        <v>234915</v>
      </c>
      <c r="D11761" s="5">
        <v>234915</v>
      </c>
      <c r="E11761" s="6" t="str">
        <f>HYPERLINK("https://inpn.mnhn.fr/espece/cd_nom/234915","Chaetarthria similis Wollaston, 1864")</f>
        <v>Chaetarthria similis Wollaston, 1864</v>
      </c>
      <c r="AH11761" s="4" t="str">
        <f>HYPERLINK("#Statut_biogéographique!A"&amp;_xlfn.XMATCH("P",Statut_biogéographique!A:A,2,1),"P")</f>
        <v>P</v>
      </c>
      <c r="AP11761" s="4" t="s">
        <v>376</v>
      </c>
      <c r="AR11761" s="4" t="s">
        <v>377</v>
      </c>
    </row>
    <row r="11762" spans="1:44" ht="30">
      <c r="A11762" s="4" t="s">
        <v>10753</v>
      </c>
      <c r="B11762" s="4">
        <v>234923</v>
      </c>
      <c r="D11762" s="5" t="s">
        <v>14707</v>
      </c>
      <c r="E11762" s="6" t="str">
        <f>HYPERLINK("https://inpn.mnhn.fr/espece/cd_nom/234923","Berosus luridus (Linnaeus, 1761)")</f>
        <v>Berosus luridus (Linnaeus, 1761)</v>
      </c>
      <c r="AH11762" s="4" t="str">
        <f>HYPERLINK("#Statut_biogéographique!A"&amp;_xlfn.XMATCH("P",Statut_biogéographique!A:A,2,1),"P")</f>
        <v>P</v>
      </c>
      <c r="AP11762" s="4" t="s">
        <v>376</v>
      </c>
      <c r="AR11762" s="4" t="s">
        <v>377</v>
      </c>
    </row>
    <row r="11763" spans="1:44" ht="30">
      <c r="A11763" s="4" t="s">
        <v>10753</v>
      </c>
      <c r="B11763" s="4">
        <v>234924</v>
      </c>
      <c r="D11763" s="5" t="s">
        <v>14708</v>
      </c>
      <c r="E11763" s="6" t="str">
        <f>HYPERLINK("https://inpn.mnhn.fr/espece/cd_nom/234924","Berosus signaticollis Charpentier, 1825")</f>
        <v>Berosus signaticollis Charpentier, 1825</v>
      </c>
      <c r="AH11763" s="4" t="str">
        <f>HYPERLINK("#Statut_biogéographique!A"&amp;_xlfn.XMATCH("P",Statut_biogéographique!A:A,2,1),"P")</f>
        <v>P</v>
      </c>
      <c r="AP11763" s="4" t="s">
        <v>376</v>
      </c>
      <c r="AR11763" s="4" t="s">
        <v>377</v>
      </c>
    </row>
    <row r="11764" spans="1:44">
      <c r="A11764" s="4" t="s">
        <v>10753</v>
      </c>
      <c r="B11764" s="4">
        <v>234925</v>
      </c>
      <c r="D11764" s="5">
        <v>234925</v>
      </c>
      <c r="E11764" s="6" t="str">
        <f>HYPERLINK("https://inpn.mnhn.fr/espece/cd_nom/234925","Sphaeridium bipustulatum Fabricius, 1781")</f>
        <v>Sphaeridium bipustulatum Fabricius, 1781</v>
      </c>
      <c r="AH11764" s="4" t="str">
        <f>HYPERLINK("#Statut_biogéographique!A"&amp;_xlfn.XMATCH("P",Statut_biogéographique!A:A,2,1),"P")</f>
        <v>P</v>
      </c>
      <c r="AP11764" s="4" t="s">
        <v>376</v>
      </c>
      <c r="AR11764" s="4" t="s">
        <v>377</v>
      </c>
    </row>
    <row r="11765" spans="1:44">
      <c r="A11765" s="4" t="s">
        <v>10753</v>
      </c>
      <c r="B11765" s="4">
        <v>234926</v>
      </c>
      <c r="D11765" s="5" t="s">
        <v>14709</v>
      </c>
      <c r="E11765" s="6" t="str">
        <f>HYPERLINK("https://inpn.mnhn.fr/espece/cd_nom/234926","Sphaeridium lunatum Fabricius, 1792")</f>
        <v>Sphaeridium lunatum Fabricius, 1792</v>
      </c>
      <c r="AH11765" s="4" t="str">
        <f>HYPERLINK("#Statut_biogéographique!A"&amp;_xlfn.XMATCH("P",Statut_biogéographique!A:A,2,1),"P")</f>
        <v>P</v>
      </c>
      <c r="AP11765" s="4" t="s">
        <v>376</v>
      </c>
      <c r="AR11765" s="4" t="s">
        <v>377</v>
      </c>
    </row>
    <row r="11766" spans="1:44" ht="45">
      <c r="A11766" s="4" t="s">
        <v>10753</v>
      </c>
      <c r="B11766" s="4">
        <v>234927</v>
      </c>
      <c r="D11766" s="5" t="s">
        <v>14710</v>
      </c>
      <c r="E11766" s="6" t="str">
        <f>HYPERLINK("https://inpn.mnhn.fr/espece/cd_nom/234927","Sphaeridium scarabaeoides (Linnaeus, 1758)")</f>
        <v>Sphaeridium scarabaeoides (Linnaeus, 1758)</v>
      </c>
      <c r="F11766" s="5" t="s">
        <v>14711</v>
      </c>
      <c r="AH11766" s="4" t="str">
        <f>HYPERLINK("#Statut_biogéographique!A"&amp;_xlfn.XMATCH("P",Statut_biogéographique!A:A,2,1),"P")</f>
        <v>P</v>
      </c>
      <c r="AP11766" s="4" t="s">
        <v>376</v>
      </c>
      <c r="AR11766" s="4" t="s">
        <v>377</v>
      </c>
    </row>
    <row r="11767" spans="1:44">
      <c r="A11767" s="4" t="s">
        <v>10753</v>
      </c>
      <c r="B11767" s="4">
        <v>234928</v>
      </c>
      <c r="D11767" s="5" t="s">
        <v>14712</v>
      </c>
      <c r="E11767" s="6" t="str">
        <f>HYPERLINK("https://inpn.mnhn.fr/espece/cd_nom/234928","Cryptopleurum crenatum (Kugelann, 1794)")</f>
        <v>Cryptopleurum crenatum (Kugelann, 1794)</v>
      </c>
      <c r="AH11767" s="4" t="str">
        <f>HYPERLINK("#Statut_biogéographique!A"&amp;_xlfn.XMATCH("P",Statut_biogéographique!A:A,2,1),"P")</f>
        <v>P</v>
      </c>
      <c r="AP11767" s="4" t="s">
        <v>376</v>
      </c>
      <c r="AR11767" s="4" t="s">
        <v>377</v>
      </c>
    </row>
    <row r="11768" spans="1:44">
      <c r="A11768" s="4" t="s">
        <v>10753</v>
      </c>
      <c r="B11768" s="4">
        <v>234929</v>
      </c>
      <c r="D11768" s="5" t="s">
        <v>14713</v>
      </c>
      <c r="E11768" s="6" t="str">
        <f>HYPERLINK("https://inpn.mnhn.fr/espece/cd_nom/234929","Cryptopleurum minutum (Fabricius, 1775)")</f>
        <v>Cryptopleurum minutum (Fabricius, 1775)</v>
      </c>
      <c r="AH11768" s="4" t="str">
        <f>HYPERLINK("#Statut_biogéographique!A"&amp;_xlfn.XMATCH("P",Statut_biogéographique!A:A,2,1),"P")</f>
        <v>P</v>
      </c>
      <c r="AP11768" s="4" t="s">
        <v>376</v>
      </c>
      <c r="AR11768" s="4" t="s">
        <v>377</v>
      </c>
    </row>
    <row r="11769" spans="1:44" ht="60">
      <c r="A11769" s="4" t="s">
        <v>10753</v>
      </c>
      <c r="B11769" s="4">
        <v>234930</v>
      </c>
      <c r="D11769" s="5" t="s">
        <v>14714</v>
      </c>
      <c r="E11769" s="6" t="str">
        <f>HYPERLINK("https://inpn.mnhn.fr/espece/cd_nom/234930","Megasternum concinnum (Marsham, 1802)")</f>
        <v>Megasternum concinnum (Marsham, 1802)</v>
      </c>
      <c r="AH11769" s="4" t="str">
        <f>HYPERLINK("#Statut_biogéographique!A"&amp;_xlfn.XMATCH("P",Statut_biogéographique!A:A,2,1),"P")</f>
        <v>P</v>
      </c>
      <c r="AP11769" s="4" t="s">
        <v>376</v>
      </c>
      <c r="AR11769" s="4" t="s">
        <v>377</v>
      </c>
    </row>
    <row r="11770" spans="1:44">
      <c r="A11770" s="4" t="s">
        <v>10753</v>
      </c>
      <c r="B11770" s="4">
        <v>234932</v>
      </c>
      <c r="D11770" s="5" t="s">
        <v>14715</v>
      </c>
      <c r="E11770" s="6" t="str">
        <f>HYPERLINK("https://inpn.mnhn.fr/espece/cd_nom/234932","Cercyon laminatus Sharp, 1873")</f>
        <v>Cercyon laminatus Sharp, 1873</v>
      </c>
      <c r="AH11770" s="4" t="str">
        <f>HYPERLINK("#Statut_biogéographique!A"&amp;_xlfn.XMATCH("I",Statut_biogéographique!A:A,2,1),"I")</f>
        <v>I</v>
      </c>
      <c r="AP11770" s="4" t="s">
        <v>376</v>
      </c>
      <c r="AR11770" s="4" t="s">
        <v>377</v>
      </c>
    </row>
    <row r="11771" spans="1:44">
      <c r="A11771" s="4" t="s">
        <v>10753</v>
      </c>
      <c r="B11771" s="4">
        <v>234934</v>
      </c>
      <c r="D11771" s="5" t="s">
        <v>14716</v>
      </c>
      <c r="E11771" s="6" t="str">
        <f>HYPERLINK("https://inpn.mnhn.fr/espece/cd_nom/234934","Cercyon bifenestratus Küster, 1851")</f>
        <v>Cercyon bifenestratus Küster, 1851</v>
      </c>
      <c r="AH11771" s="4" t="str">
        <f>HYPERLINK("#Statut_biogéographique!A"&amp;_xlfn.XMATCH("P",Statut_biogéographique!A:A,2,1),"P")</f>
        <v>P</v>
      </c>
      <c r="AP11771" s="4" t="s">
        <v>376</v>
      </c>
      <c r="AR11771" s="4" t="s">
        <v>377</v>
      </c>
    </row>
    <row r="11772" spans="1:44">
      <c r="A11772" s="4" t="s">
        <v>10753</v>
      </c>
      <c r="B11772" s="4">
        <v>234936</v>
      </c>
      <c r="D11772" s="5">
        <v>234936</v>
      </c>
      <c r="E11772" s="6" t="str">
        <f>HYPERLINK("https://inpn.mnhn.fr/espece/cd_nom/234936","Cercyon granarius Erichson, 1837")</f>
        <v>Cercyon granarius Erichson, 1837</v>
      </c>
      <c r="AH11772" s="4" t="str">
        <f>HYPERLINK("#Statut_biogéographique!A"&amp;_xlfn.XMATCH("P",Statut_biogéographique!A:A,2,1),"P")</f>
        <v>P</v>
      </c>
      <c r="AP11772" s="4" t="s">
        <v>376</v>
      </c>
      <c r="AR11772" s="4" t="s">
        <v>377</v>
      </c>
    </row>
    <row r="11773" spans="1:44" ht="30">
      <c r="A11773" s="4" t="s">
        <v>10753</v>
      </c>
      <c r="B11773" s="4">
        <v>234937</v>
      </c>
      <c r="D11773" s="5" t="s">
        <v>14717</v>
      </c>
      <c r="E11773" s="6" t="str">
        <f>HYPERLINK("https://inpn.mnhn.fr/espece/cd_nom/234937","Cercyon impressus (Sturm, 1807)")</f>
        <v>Cercyon impressus (Sturm, 1807)</v>
      </c>
      <c r="AH11773" s="4" t="str">
        <f>HYPERLINK("#Statut_biogéographique!A"&amp;_xlfn.XMATCH("P",Statut_biogéographique!A:A,2,1),"P")</f>
        <v>P</v>
      </c>
      <c r="AP11773" s="4" t="s">
        <v>376</v>
      </c>
      <c r="AR11773" s="4" t="s">
        <v>377</v>
      </c>
    </row>
    <row r="11774" spans="1:44">
      <c r="A11774" s="4" t="s">
        <v>10753</v>
      </c>
      <c r="B11774" s="4">
        <v>234938</v>
      </c>
      <c r="D11774" s="5" t="s">
        <v>14718</v>
      </c>
      <c r="E11774" s="6" t="str">
        <f>HYPERLINK("https://inpn.mnhn.fr/espece/cd_nom/234938","Cercyon lateralis (Marsham, 1802)")</f>
        <v>Cercyon lateralis (Marsham, 1802)</v>
      </c>
      <c r="AH11774" s="4" t="str">
        <f>HYPERLINK("#Statut_biogéographique!A"&amp;_xlfn.XMATCH("P",Statut_biogéographique!A:A,2,1),"P")</f>
        <v>P</v>
      </c>
      <c r="AP11774" s="4" t="s">
        <v>376</v>
      </c>
      <c r="AR11774" s="4" t="s">
        <v>377</v>
      </c>
    </row>
    <row r="11775" spans="1:44">
      <c r="A11775" s="4" t="s">
        <v>10753</v>
      </c>
      <c r="B11775" s="4">
        <v>234939</v>
      </c>
      <c r="D11775" s="5" t="s">
        <v>14719</v>
      </c>
      <c r="E11775" s="6" t="str">
        <f>HYPERLINK("https://inpn.mnhn.fr/espece/cd_nom/234939","Cercyon marinus Thomson, 1853")</f>
        <v>Cercyon marinus Thomson, 1853</v>
      </c>
      <c r="AH11775" s="4" t="str">
        <f>HYPERLINK("#Statut_biogéographique!A"&amp;_xlfn.XMATCH("P",Statut_biogéographique!A:A,2,1),"P")</f>
        <v>P</v>
      </c>
      <c r="AP11775" s="4" t="s">
        <v>376</v>
      </c>
      <c r="AR11775" s="4" t="s">
        <v>377</v>
      </c>
    </row>
    <row r="11776" spans="1:44" ht="60">
      <c r="A11776" s="4" t="s">
        <v>10753</v>
      </c>
      <c r="B11776" s="4">
        <v>234940</v>
      </c>
      <c r="D11776" s="5" t="s">
        <v>14720</v>
      </c>
      <c r="E11776" s="6" t="str">
        <f>HYPERLINK("https://inpn.mnhn.fr/espece/cd_nom/234940","Cercyon nigriceps (Marsham, 1802)")</f>
        <v>Cercyon nigriceps (Marsham, 1802)</v>
      </c>
      <c r="AH11776" s="4" t="str">
        <f>HYPERLINK("#Statut_biogéographique!A"&amp;_xlfn.XMATCH("P",Statut_biogéographique!A:A,2,1),"P")</f>
        <v>P</v>
      </c>
      <c r="AP11776" s="4" t="s">
        <v>376</v>
      </c>
      <c r="AR11776" s="4" t="s">
        <v>377</v>
      </c>
    </row>
    <row r="11777" spans="1:44" ht="30">
      <c r="A11777" s="4" t="s">
        <v>10753</v>
      </c>
      <c r="B11777" s="4">
        <v>234941</v>
      </c>
      <c r="D11777" s="5" t="s">
        <v>14721</v>
      </c>
      <c r="E11777" s="6" t="str">
        <f>HYPERLINK("https://inpn.mnhn.fr/espece/cd_nom/234941","Cercyon pygmaeus (Illiger, 1801)")</f>
        <v>Cercyon pygmaeus (Illiger, 1801)</v>
      </c>
      <c r="AH11777" s="4" t="str">
        <f>HYPERLINK("#Statut_biogéographique!A"&amp;_xlfn.XMATCH("P",Statut_biogéographique!A:A,2,1),"P")</f>
        <v>P</v>
      </c>
      <c r="AP11777" s="4" t="s">
        <v>376</v>
      </c>
      <c r="AR11777" s="4" t="s">
        <v>377</v>
      </c>
    </row>
    <row r="11778" spans="1:44" ht="30">
      <c r="A11778" s="4" t="s">
        <v>10753</v>
      </c>
      <c r="B11778" s="4">
        <v>234942</v>
      </c>
      <c r="D11778" s="5" t="s">
        <v>14722</v>
      </c>
      <c r="E11778" s="6" t="str">
        <f>HYPERLINK("https://inpn.mnhn.fr/espece/cd_nom/234942","Cercyon quisquilius (Linnaeus, 1761)")</f>
        <v>Cercyon quisquilius (Linnaeus, 1761)</v>
      </c>
      <c r="AH11778" s="4" t="str">
        <f>HYPERLINK("#Statut_biogéographique!A"&amp;_xlfn.XMATCH("P",Statut_biogéographique!A:A,2,1),"P")</f>
        <v>P</v>
      </c>
      <c r="AP11778" s="4" t="s">
        <v>376</v>
      </c>
      <c r="AR11778" s="4" t="s">
        <v>377</v>
      </c>
    </row>
    <row r="11779" spans="1:44" ht="45">
      <c r="A11779" s="4" t="s">
        <v>10753</v>
      </c>
      <c r="B11779" s="4">
        <v>234945</v>
      </c>
      <c r="D11779" s="5" t="s">
        <v>14723</v>
      </c>
      <c r="E11779" s="6" t="str">
        <f>HYPERLINK("https://inpn.mnhn.fr/espece/cd_nom/234945","Cercyon terminatus (Marsham, 1802)")</f>
        <v>Cercyon terminatus (Marsham, 1802)</v>
      </c>
      <c r="AH11779" s="4" t="str">
        <f>HYPERLINK("#Statut_biogéographique!A"&amp;_xlfn.XMATCH("P",Statut_biogéographique!A:A,2,1),"P")</f>
        <v>P</v>
      </c>
      <c r="AP11779" s="4" t="s">
        <v>376</v>
      </c>
      <c r="AR11779" s="4" t="s">
        <v>377</v>
      </c>
    </row>
    <row r="11780" spans="1:44">
      <c r="A11780" s="4" t="s">
        <v>10753</v>
      </c>
      <c r="B11780" s="4">
        <v>234946</v>
      </c>
      <c r="D11780" s="5" t="s">
        <v>14724</v>
      </c>
      <c r="E11780" s="6" t="str">
        <f>HYPERLINK("https://inpn.mnhn.fr/espece/cd_nom/234946","Cercyon tristis (Illiger, 1801)")</f>
        <v>Cercyon tristis (Illiger, 1801)</v>
      </c>
      <c r="AH11780" s="4" t="str">
        <f>HYPERLINK("#Statut_biogéographique!A"&amp;_xlfn.XMATCH("P",Statut_biogéographique!A:A,2,1),"P")</f>
        <v>P</v>
      </c>
      <c r="AP11780" s="4" t="s">
        <v>376</v>
      </c>
      <c r="AR11780" s="4" t="s">
        <v>377</v>
      </c>
    </row>
    <row r="11781" spans="1:44" ht="30">
      <c r="A11781" s="4" t="s">
        <v>10753</v>
      </c>
      <c r="B11781" s="4">
        <v>234947</v>
      </c>
      <c r="D11781" s="5" t="s">
        <v>14725</v>
      </c>
      <c r="E11781" s="6" t="str">
        <f>HYPERLINK("https://inpn.mnhn.fr/espece/cd_nom/234947","Cercyon unipunctatus (Linnaeus, 1758)")</f>
        <v>Cercyon unipunctatus (Linnaeus, 1758)</v>
      </c>
      <c r="AH11781" s="4" t="str">
        <f>HYPERLINK("#Statut_biogéographique!A"&amp;_xlfn.XMATCH("P",Statut_biogéographique!A:A,2,1),"P")</f>
        <v>P</v>
      </c>
      <c r="AP11781" s="4" t="s">
        <v>376</v>
      </c>
      <c r="AR11781" s="4" t="s">
        <v>377</v>
      </c>
    </row>
    <row r="11782" spans="1:44">
      <c r="A11782" s="4" t="s">
        <v>10753</v>
      </c>
      <c r="B11782" s="4">
        <v>234948</v>
      </c>
      <c r="D11782" s="5" t="s">
        <v>14726</v>
      </c>
      <c r="E11782" s="6" t="str">
        <f>HYPERLINK("https://inpn.mnhn.fr/espece/cd_nom/234948","Cercyon ustulatus (Preyssler, 1790)")</f>
        <v>Cercyon ustulatus (Preyssler, 1790)</v>
      </c>
      <c r="AH11782" s="4" t="str">
        <f>HYPERLINK("#Statut_biogéographique!A"&amp;_xlfn.XMATCH("P",Statut_biogéographique!A:A,2,1),"P")</f>
        <v>P</v>
      </c>
      <c r="AP11782" s="4" t="s">
        <v>376</v>
      </c>
      <c r="AR11782" s="4" t="s">
        <v>377</v>
      </c>
    </row>
    <row r="11783" spans="1:44" ht="30">
      <c r="A11783" s="4" t="s">
        <v>10753</v>
      </c>
      <c r="B11783" s="4">
        <v>234949</v>
      </c>
      <c r="D11783" s="5" t="s">
        <v>14727</v>
      </c>
      <c r="E11783" s="6" t="str">
        <f>HYPERLINK("https://inpn.mnhn.fr/espece/cd_nom/234949","Cercyon analis (Paykull, 1798)")</f>
        <v>Cercyon analis (Paykull, 1798)</v>
      </c>
      <c r="AH11783" s="4" t="str">
        <f>HYPERLINK("#Statut_biogéographique!A"&amp;_xlfn.XMATCH("P",Statut_biogéographique!A:A,2,1),"P")</f>
        <v>P</v>
      </c>
      <c r="AP11783" s="4" t="s">
        <v>376</v>
      </c>
      <c r="AR11783" s="4" t="s">
        <v>377</v>
      </c>
    </row>
    <row r="11784" spans="1:44" ht="30">
      <c r="A11784" s="4" t="s">
        <v>10753</v>
      </c>
      <c r="B11784" s="4">
        <v>234950</v>
      </c>
      <c r="D11784" s="5" t="s">
        <v>14728</v>
      </c>
      <c r="E11784" s="6" t="str">
        <f>HYPERLINK("https://inpn.mnhn.fr/espece/cd_nom/234950","Dactylosternum abdominale (Fabricius, 1792)")</f>
        <v>Dactylosternum abdominale (Fabricius, 1792)</v>
      </c>
      <c r="AH11784" s="4" t="str">
        <f>HYPERLINK("#Statut_biogéographique!A"&amp;_xlfn.XMATCH("I",Statut_biogéographique!A:A,2,1),"I")</f>
        <v>I</v>
      </c>
      <c r="AP11784" s="4" t="s">
        <v>376</v>
      </c>
      <c r="AR11784" s="4" t="s">
        <v>377</v>
      </c>
    </row>
    <row r="11785" spans="1:44">
      <c r="A11785" s="4" t="s">
        <v>10753</v>
      </c>
      <c r="B11785" s="4">
        <v>234951</v>
      </c>
      <c r="D11785" s="5" t="s">
        <v>14729</v>
      </c>
      <c r="E11785" s="6" t="str">
        <f>HYPERLINK("https://inpn.mnhn.fr/espece/cd_nom/234951","Coelostoma hispanicum (Küster, 1848)")</f>
        <v>Coelostoma hispanicum (Küster, 1848)</v>
      </c>
      <c r="AH11785" s="4" t="str">
        <f>HYPERLINK("#Statut_biogéographique!A"&amp;_xlfn.XMATCH("P",Statut_biogéographique!A:A,2,1),"P")</f>
        <v>P</v>
      </c>
      <c r="AP11785" s="4" t="s">
        <v>376</v>
      </c>
      <c r="AR11785" s="4" t="s">
        <v>377</v>
      </c>
    </row>
    <row r="11786" spans="1:44">
      <c r="A11786" s="4" t="s">
        <v>10753</v>
      </c>
      <c r="B11786" s="4">
        <v>234953</v>
      </c>
      <c r="D11786" s="5" t="s">
        <v>14730</v>
      </c>
      <c r="E11786" s="6" t="str">
        <f>HYPERLINK("https://inpn.mnhn.fr/espece/cd_nom/234953","Hydrochus crenatus (Fabricius, 1792)")</f>
        <v>Hydrochus crenatus (Fabricius, 1792)</v>
      </c>
      <c r="AH11786" s="4" t="str">
        <f>HYPERLINK("#Statut_biogéographique!A"&amp;_xlfn.XMATCH("P",Statut_biogéographique!A:A,2,1),"P")</f>
        <v>P</v>
      </c>
      <c r="AP11786" s="4" t="s">
        <v>376</v>
      </c>
      <c r="AR11786" s="4" t="s">
        <v>377</v>
      </c>
    </row>
    <row r="11787" spans="1:44" ht="30">
      <c r="A11787" s="4" t="s">
        <v>10753</v>
      </c>
      <c r="B11787" s="4">
        <v>234954</v>
      </c>
      <c r="D11787" s="5" t="s">
        <v>14731</v>
      </c>
      <c r="E11787" s="6" t="str">
        <f>HYPERLINK("https://inpn.mnhn.fr/espece/cd_nom/234954","Hydrochus elongatus (Schaller, 1783)")</f>
        <v>Hydrochus elongatus (Schaller, 1783)</v>
      </c>
      <c r="AH11787" s="4" t="str">
        <f>HYPERLINK("#Statut_biogéographique!A"&amp;_xlfn.XMATCH("P",Statut_biogéographique!A:A,2,1),"P")</f>
        <v>P</v>
      </c>
      <c r="AP11787" s="4" t="s">
        <v>376</v>
      </c>
      <c r="AR11787" s="4" t="s">
        <v>377</v>
      </c>
    </row>
    <row r="11788" spans="1:44">
      <c r="A11788" s="4" t="s">
        <v>10753</v>
      </c>
      <c r="B11788" s="4">
        <v>234956</v>
      </c>
      <c r="D11788" s="5">
        <v>234956</v>
      </c>
      <c r="E11788" s="6" t="str">
        <f>HYPERLINK("https://inpn.mnhn.fr/espece/cd_nom/234956","Hydrochus grandicollis Kiesenwetter, 1870")</f>
        <v>Hydrochus grandicollis Kiesenwetter, 1870</v>
      </c>
      <c r="AH11788" s="4" t="str">
        <f>HYPERLINK("#Statut_biogéographique!A"&amp;_xlfn.XMATCH("P",Statut_biogéographique!A:A,2,1),"P")</f>
        <v>P</v>
      </c>
      <c r="AP11788" s="4" t="s">
        <v>376</v>
      </c>
      <c r="AR11788" s="4" t="s">
        <v>377</v>
      </c>
    </row>
    <row r="11789" spans="1:44">
      <c r="A11789" s="4" t="s">
        <v>10753</v>
      </c>
      <c r="B11789" s="4">
        <v>234957</v>
      </c>
      <c r="D11789" s="5">
        <v>234957</v>
      </c>
      <c r="E11789" s="6" t="str">
        <f>HYPERLINK("https://inpn.mnhn.fr/espece/cd_nom/234957","Hydrochus ignicollis Motschulsky, 1860")</f>
        <v>Hydrochus ignicollis Motschulsky, 1860</v>
      </c>
      <c r="AH11789" s="4" t="str">
        <f>HYPERLINK("#Statut_biogéographique!A"&amp;_xlfn.XMATCH("P",Statut_biogéographique!A:A,2,1),"P")</f>
        <v>P</v>
      </c>
      <c r="AP11789" s="4" t="s">
        <v>376</v>
      </c>
      <c r="AR11789" s="4" t="s">
        <v>377</v>
      </c>
    </row>
    <row r="11790" spans="1:44">
      <c r="A11790" s="4" t="s">
        <v>10753</v>
      </c>
      <c r="B11790" s="4">
        <v>234958</v>
      </c>
      <c r="D11790" s="5" t="s">
        <v>14732</v>
      </c>
      <c r="E11790" s="6" t="str">
        <f>HYPERLINK("https://inpn.mnhn.fr/espece/cd_nom/234958","Hydrochus nitidicollis Mulsant, 1844")</f>
        <v>Hydrochus nitidicollis Mulsant, 1844</v>
      </c>
      <c r="AH11790" s="4" t="str">
        <f>HYPERLINK("#Statut_biogéographique!A"&amp;_xlfn.XMATCH("P",Statut_biogéographique!A:A,2,1),"P")</f>
        <v>P</v>
      </c>
      <c r="AP11790" s="4" t="s">
        <v>376</v>
      </c>
      <c r="AR11790" s="4" t="s">
        <v>377</v>
      </c>
    </row>
    <row r="11791" spans="1:44">
      <c r="A11791" s="4" t="s">
        <v>10753</v>
      </c>
      <c r="B11791" s="4">
        <v>234959</v>
      </c>
      <c r="D11791" s="5" t="s">
        <v>14733</v>
      </c>
      <c r="E11791" s="6" t="str">
        <f>HYPERLINK("https://inpn.mnhn.fr/espece/cd_nom/234959","Hydrochus smaragdineus Fairmaire, 1879")</f>
        <v>Hydrochus smaragdineus Fairmaire, 1879</v>
      </c>
      <c r="AH11791" s="4" t="str">
        <f>HYPERLINK("#Statut_biogéographique!A"&amp;_xlfn.XMATCH("P",Statut_biogéographique!A:A,2,1),"P")</f>
        <v>P</v>
      </c>
      <c r="AP11791" s="4" t="s">
        <v>376</v>
      </c>
      <c r="AR11791" s="4" t="s">
        <v>377</v>
      </c>
    </row>
    <row r="11792" spans="1:44" ht="30">
      <c r="A11792" s="4" t="s">
        <v>10753</v>
      </c>
      <c r="B11792" s="4">
        <v>234961</v>
      </c>
      <c r="D11792" s="5" t="s">
        <v>14734</v>
      </c>
      <c r="E11792" s="6" t="str">
        <f>HYPERLINK("https://inpn.mnhn.fr/espece/cd_nom/234961","Georissus costatus Laporte de Castelnau, 1840")</f>
        <v>Georissus costatus Laporte de Castelnau, 1840</v>
      </c>
      <c r="AH11792" s="4" t="str">
        <f>HYPERLINK("#Statut_biogéographique!A"&amp;_xlfn.XMATCH("P",Statut_biogéographique!A:A,2,1),"P")</f>
        <v>P</v>
      </c>
      <c r="AP11792" s="4" t="s">
        <v>376</v>
      </c>
      <c r="AR11792" s="4" t="s">
        <v>377</v>
      </c>
    </row>
    <row r="11793" spans="1:44">
      <c r="A11793" s="4" t="s">
        <v>10753</v>
      </c>
      <c r="B11793" s="4">
        <v>234962</v>
      </c>
      <c r="D11793" s="5" t="s">
        <v>14735</v>
      </c>
      <c r="E11793" s="6" t="str">
        <f>HYPERLINK("https://inpn.mnhn.fr/espece/cd_nom/234962","Georissus laesicollis Germar, 1832")</f>
        <v>Georissus laesicollis Germar, 1832</v>
      </c>
      <c r="AH11793" s="4" t="str">
        <f>HYPERLINK("#Statut_biogéographique!A"&amp;_xlfn.XMATCH("P",Statut_biogéographique!A:A,2,1),"P")</f>
        <v>P</v>
      </c>
      <c r="AP11793" s="4" t="s">
        <v>376</v>
      </c>
      <c r="AR11793" s="4" t="s">
        <v>377</v>
      </c>
    </row>
    <row r="11794" spans="1:44" ht="45">
      <c r="A11794" s="4" t="s">
        <v>10753</v>
      </c>
      <c r="B11794" s="4">
        <v>234963</v>
      </c>
      <c r="D11794" s="5" t="s">
        <v>14736</v>
      </c>
      <c r="E11794" s="6" t="str">
        <f>HYPERLINK("https://inpn.mnhn.fr/espece/cd_nom/234963","Georissus crenulatus (Rossi, 1794)")</f>
        <v>Georissus crenulatus (Rossi, 1794)</v>
      </c>
      <c r="AH11794" s="4" t="str">
        <f>HYPERLINK("#Statut_biogéographique!A"&amp;_xlfn.XMATCH("P",Statut_biogéographique!A:A,2,1),"P")</f>
        <v>P</v>
      </c>
      <c r="AP11794" s="4" t="s">
        <v>376</v>
      </c>
      <c r="AR11794" s="4" t="s">
        <v>377</v>
      </c>
    </row>
    <row r="11795" spans="1:44" ht="30">
      <c r="A11795" s="4" t="s">
        <v>10753</v>
      </c>
      <c r="B11795" s="4">
        <v>234965</v>
      </c>
      <c r="D11795" s="5" t="s">
        <v>14737</v>
      </c>
      <c r="E11795" s="6" t="str">
        <f>HYPERLINK("https://inpn.mnhn.fr/espece/cd_nom/234965","Helophorus nubilus Fabricius, 1777")</f>
        <v>Helophorus nubilus Fabricius, 1777</v>
      </c>
      <c r="F11795" s="5" t="s">
        <v>14738</v>
      </c>
      <c r="AH11795" s="4" t="str">
        <f>HYPERLINK("#Statut_biogéographique!A"&amp;_xlfn.XMATCH("P",Statut_biogéographique!A:A,2,1),"P")</f>
        <v>P</v>
      </c>
      <c r="AP11795" s="4" t="s">
        <v>376</v>
      </c>
      <c r="AR11795" s="4" t="s">
        <v>377</v>
      </c>
    </row>
    <row r="11796" spans="1:44">
      <c r="A11796" s="4" t="s">
        <v>10753</v>
      </c>
      <c r="B11796" s="4">
        <v>234966</v>
      </c>
      <c r="D11796" s="5" t="s">
        <v>14739</v>
      </c>
      <c r="E11796" s="6" t="str">
        <f>HYPERLINK("https://inpn.mnhn.fr/espece/cd_nom/234966","Helophorus porculus Bedel, 1881")</f>
        <v>Helophorus porculus Bedel, 1881</v>
      </c>
      <c r="AH11796" s="4" t="str">
        <f>HYPERLINK("#Statut_biogéographique!A"&amp;_xlfn.XMATCH("P",Statut_biogéographique!A:A,2,1),"P")</f>
        <v>P</v>
      </c>
      <c r="AP11796" s="4" t="s">
        <v>376</v>
      </c>
      <c r="AR11796" s="4" t="s">
        <v>377</v>
      </c>
    </row>
    <row r="11797" spans="1:44">
      <c r="A11797" s="4" t="s">
        <v>10753</v>
      </c>
      <c r="B11797" s="4">
        <v>234970</v>
      </c>
      <c r="D11797" s="5" t="s">
        <v>14740</v>
      </c>
      <c r="E11797" s="6" t="str">
        <f>HYPERLINK("https://inpn.mnhn.fr/espece/cd_nom/234970","Helophorus grandis Illiger, 1798")</f>
        <v>Helophorus grandis Illiger, 1798</v>
      </c>
      <c r="AH11797" s="4" t="str">
        <f>HYPERLINK("#Statut_biogéographique!A"&amp;_xlfn.XMATCH("P",Statut_biogéographique!A:A,2,1),"P")</f>
        <v>P</v>
      </c>
      <c r="AP11797" s="4" t="s">
        <v>376</v>
      </c>
      <c r="AR11797" s="4" t="s">
        <v>377</v>
      </c>
    </row>
    <row r="11798" spans="1:44">
      <c r="A11798" s="4" t="s">
        <v>10753</v>
      </c>
      <c r="B11798" s="4">
        <v>234974</v>
      </c>
      <c r="D11798" s="5">
        <v>234974</v>
      </c>
      <c r="E11798" s="6" t="str">
        <f>HYPERLINK("https://inpn.mnhn.fr/espece/cd_nom/234974","Helophorus arvernicus Mulsant, 1846")</f>
        <v>Helophorus arvernicus Mulsant, 1846</v>
      </c>
      <c r="AH11798" s="4" t="str">
        <f>HYPERLINK("#Statut_biogéographique!A"&amp;_xlfn.XMATCH("P",Statut_biogéographique!A:A,2,1),"P")</f>
        <v>P</v>
      </c>
      <c r="AP11798" s="4" t="s">
        <v>376</v>
      </c>
      <c r="AR11798" s="4" t="s">
        <v>377</v>
      </c>
    </row>
    <row r="11799" spans="1:44">
      <c r="A11799" s="4" t="s">
        <v>10753</v>
      </c>
      <c r="B11799" s="4">
        <v>234975</v>
      </c>
      <c r="D11799" s="5" t="s">
        <v>14741</v>
      </c>
      <c r="E11799" s="6" t="str">
        <f>HYPERLINK("https://inpn.mnhn.fr/espece/cd_nom/234975","Helophorus asperatus Rey, 1885")</f>
        <v>Helophorus asperatus Rey, 1885</v>
      </c>
      <c r="AH11799" s="4" t="str">
        <f>HYPERLINK("#Statut_biogéographique!A"&amp;_xlfn.XMATCH("P",Statut_biogéographique!A:A,2,1),"P")</f>
        <v>P</v>
      </c>
      <c r="AP11799" s="4" t="s">
        <v>376</v>
      </c>
      <c r="AR11799" s="4" t="s">
        <v>377</v>
      </c>
    </row>
    <row r="11800" spans="1:44">
      <c r="A11800" s="4" t="s">
        <v>10753</v>
      </c>
      <c r="B11800" s="4">
        <v>234976</v>
      </c>
      <c r="D11800" s="5" t="s">
        <v>14742</v>
      </c>
      <c r="E11800" s="6" t="str">
        <f>HYPERLINK("https://inpn.mnhn.fr/espece/cd_nom/234976","Helophorus asturiensis Kuwert, 1885")</f>
        <v>Helophorus asturiensis Kuwert, 1885</v>
      </c>
      <c r="AH11800" s="4" t="str">
        <f>HYPERLINK("#Statut_biogéographique!A"&amp;_xlfn.XMATCH("P",Statut_biogéographique!A:A,2,1),"P")</f>
        <v>P</v>
      </c>
      <c r="AP11800" s="4" t="s">
        <v>376</v>
      </c>
      <c r="AR11800" s="4" t="s">
        <v>377</v>
      </c>
    </row>
    <row r="11801" spans="1:44">
      <c r="A11801" s="4" t="s">
        <v>10753</v>
      </c>
      <c r="B11801" s="4">
        <v>234977</v>
      </c>
      <c r="D11801" s="5" t="s">
        <v>14743</v>
      </c>
      <c r="E11801" s="6" t="str">
        <f>HYPERLINK("https://inpn.mnhn.fr/espece/cd_nom/234977","Helophorus croaticus Kuwert, 1886")</f>
        <v>Helophorus croaticus Kuwert, 1886</v>
      </c>
      <c r="AH11801" s="4" t="str">
        <f>HYPERLINK("#Statut_biogéographique!A"&amp;_xlfn.XMATCH("P",Statut_biogéographique!A:A,2,1),"P")</f>
        <v>P</v>
      </c>
      <c r="AP11801" s="4" t="s">
        <v>376</v>
      </c>
      <c r="AR11801" s="4" t="s">
        <v>377</v>
      </c>
    </row>
    <row r="11802" spans="1:44" ht="30">
      <c r="A11802" s="4" t="s">
        <v>10753</v>
      </c>
      <c r="B11802" s="4">
        <v>234979</v>
      </c>
      <c r="D11802" s="5" t="s">
        <v>14744</v>
      </c>
      <c r="E11802" s="6" t="str">
        <f>HYPERLINK("https://inpn.mnhn.fr/espece/cd_nom/234979","Helophorus flavipes Fabricius, 1792")</f>
        <v>Helophorus flavipes Fabricius, 1792</v>
      </c>
      <c r="AH11802" s="4" t="str">
        <f>HYPERLINK("#Statut_biogéographique!A"&amp;_xlfn.XMATCH("P",Statut_biogéographique!A:A,2,1),"P")</f>
        <v>P</v>
      </c>
      <c r="AP11802" s="4" t="s">
        <v>376</v>
      </c>
      <c r="AR11802" s="4" t="s">
        <v>377</v>
      </c>
    </row>
    <row r="11803" spans="1:44">
      <c r="A11803" s="4" t="s">
        <v>10753</v>
      </c>
      <c r="B11803" s="4">
        <v>234982</v>
      </c>
      <c r="D11803" s="5" t="s">
        <v>14745</v>
      </c>
      <c r="E11803" s="6" t="str">
        <f>HYPERLINK("https://inpn.mnhn.fr/espece/cd_nom/234982","Helophorus griseus Herbst, 1793")</f>
        <v>Helophorus griseus Herbst, 1793</v>
      </c>
      <c r="AH11803" s="4" t="str">
        <f>HYPERLINK("#Statut_biogéographique!A"&amp;_xlfn.XMATCH("P",Statut_biogéographique!A:A,2,1),"P")</f>
        <v>P</v>
      </c>
      <c r="AP11803" s="4" t="s">
        <v>376</v>
      </c>
      <c r="AR11803" s="4" t="s">
        <v>377</v>
      </c>
    </row>
    <row r="11804" spans="1:44" ht="30">
      <c r="A11804" s="4" t="s">
        <v>10753</v>
      </c>
      <c r="B11804" s="4">
        <v>234985</v>
      </c>
      <c r="D11804" s="5" t="s">
        <v>14746</v>
      </c>
      <c r="E11804" s="6" t="str">
        <f>HYPERLINK("https://inpn.mnhn.fr/espece/cd_nom/234985","Helophorus longitarsis Wollaston, 1864")</f>
        <v>Helophorus longitarsis Wollaston, 1864</v>
      </c>
      <c r="AH11804" s="4" t="str">
        <f>HYPERLINK("#Statut_biogéographique!A"&amp;_xlfn.XMATCH("P",Statut_biogéographique!A:A,2,1),"P")</f>
        <v>P</v>
      </c>
      <c r="AP11804" s="4" t="s">
        <v>376</v>
      </c>
      <c r="AR11804" s="4" t="s">
        <v>377</v>
      </c>
    </row>
    <row r="11805" spans="1:44">
      <c r="A11805" s="4" t="s">
        <v>10753</v>
      </c>
      <c r="B11805" s="4">
        <v>234986</v>
      </c>
      <c r="D11805" s="5" t="s">
        <v>14747</v>
      </c>
      <c r="E11805" s="6" t="str">
        <f>HYPERLINK("https://inpn.mnhn.fr/espece/cd_nom/234986","Helophorus nanus (Sturm, 1836)")</f>
        <v>Helophorus nanus (Sturm, 1836)</v>
      </c>
      <c r="AH11805" s="4" t="str">
        <f>HYPERLINK("#Statut_biogéographique!A"&amp;_xlfn.XMATCH("P",Statut_biogéographique!A:A,2,1),"P")</f>
        <v>P</v>
      </c>
      <c r="AP11805" s="4" t="s">
        <v>376</v>
      </c>
      <c r="AR11805" s="4" t="s">
        <v>377</v>
      </c>
    </row>
    <row r="11806" spans="1:44">
      <c r="A11806" s="4" t="s">
        <v>10753</v>
      </c>
      <c r="B11806" s="4">
        <v>234988</v>
      </c>
      <c r="D11806" s="5" t="s">
        <v>14748</v>
      </c>
      <c r="E11806" s="6" t="str">
        <f>HYPERLINK("https://inpn.mnhn.fr/espece/cd_nom/234988","Helophorus pumilio Erichson, 1837")</f>
        <v>Helophorus pumilio Erichson, 1837</v>
      </c>
      <c r="AH11806" s="4" t="str">
        <f>HYPERLINK("#Statut_biogéographique!A"&amp;_xlfn.XMATCH("P",Statut_biogéographique!A:A,2,1),"P")</f>
        <v>P</v>
      </c>
      <c r="AP11806" s="4" t="s">
        <v>376</v>
      </c>
      <c r="AR11806" s="4" t="s">
        <v>377</v>
      </c>
    </row>
    <row r="11807" spans="1:44">
      <c r="A11807" s="4" t="s">
        <v>10753</v>
      </c>
      <c r="B11807" s="4">
        <v>234990</v>
      </c>
      <c r="D11807" s="5" t="s">
        <v>14749</v>
      </c>
      <c r="E11807" s="6" t="str">
        <f>HYPERLINK("https://inpn.mnhn.fr/espece/cd_nom/234990","Helophorus strigifrons Thomson, 1868")</f>
        <v>Helophorus strigifrons Thomson, 1868</v>
      </c>
      <c r="AH11807" s="4" t="str">
        <f>HYPERLINK("#Statut_biogéographique!A"&amp;_xlfn.XMATCH("P",Statut_biogéographique!A:A,2,1),"P")</f>
        <v>P</v>
      </c>
      <c r="AP11807" s="4" t="s">
        <v>376</v>
      </c>
      <c r="AR11807" s="4" t="s">
        <v>377</v>
      </c>
    </row>
    <row r="11808" spans="1:44">
      <c r="A11808" s="4" t="s">
        <v>10753</v>
      </c>
      <c r="B11808" s="4">
        <v>234995</v>
      </c>
      <c r="D11808" s="5" t="s">
        <v>14750</v>
      </c>
      <c r="E11808" s="6" t="str">
        <f>HYPERLINK("https://inpn.mnhn.fr/espece/cd_nom/234995","Cryptolestes corticinus (Erichson, 1846)")</f>
        <v>Cryptolestes corticinus (Erichson, 1846)</v>
      </c>
      <c r="AH11808" s="4" t="str">
        <f>HYPERLINK("#Statut_biogéographique!A"&amp;_xlfn.XMATCH("P",Statut_biogéographique!A:A,2,1),"P")</f>
        <v>P</v>
      </c>
      <c r="AP11808" s="4" t="s">
        <v>376</v>
      </c>
      <c r="AR11808" s="4" t="s">
        <v>377</v>
      </c>
    </row>
    <row r="11809" spans="1:44">
      <c r="A11809" s="4" t="s">
        <v>10753</v>
      </c>
      <c r="B11809" s="4">
        <v>234996</v>
      </c>
      <c r="D11809" s="5" t="s">
        <v>14751</v>
      </c>
      <c r="E11809" s="6" t="str">
        <f>HYPERLINK("https://inpn.mnhn.fr/espece/cd_nom/234996","Cryptolestes duplicatus (Waltl, 1839)")</f>
        <v>Cryptolestes duplicatus (Waltl, 1839)</v>
      </c>
      <c r="AH11809" s="4" t="str">
        <f>HYPERLINK("#Statut_biogéographique!A"&amp;_xlfn.XMATCH("C",Statut_biogéographique!A:A,2,1),"C")</f>
        <v>C</v>
      </c>
      <c r="AP11809" s="4" t="s">
        <v>376</v>
      </c>
      <c r="AR11809" s="4" t="s">
        <v>377</v>
      </c>
    </row>
    <row r="11810" spans="1:44">
      <c r="A11810" s="4" t="s">
        <v>10753</v>
      </c>
      <c r="B11810" s="4">
        <v>234997</v>
      </c>
      <c r="D11810" s="5" t="s">
        <v>14752</v>
      </c>
      <c r="E11810" s="6" t="str">
        <f>HYPERLINK("https://inpn.mnhn.fr/espece/cd_nom/234997","Cryptolestes ferrugineus (Stephens, 1831)")</f>
        <v>Cryptolestes ferrugineus (Stephens, 1831)</v>
      </c>
      <c r="AH11810" s="4" t="str">
        <f>HYPERLINK("#Statut_biogéographique!A"&amp;_xlfn.XMATCH("I",Statut_biogéographique!A:A,2,1),"I")</f>
        <v>I</v>
      </c>
      <c r="AP11810" s="4" t="s">
        <v>376</v>
      </c>
      <c r="AR11810" s="4" t="s">
        <v>377</v>
      </c>
    </row>
    <row r="11811" spans="1:44">
      <c r="A11811" s="4" t="s">
        <v>10753</v>
      </c>
      <c r="B11811" s="4">
        <v>235005</v>
      </c>
      <c r="D11811" s="5" t="s">
        <v>14753</v>
      </c>
      <c r="E11811" s="6" t="str">
        <f>HYPERLINK("https://inpn.mnhn.fr/espece/cd_nom/235005","Lathropus sepicola (P.W.J. Müller, 1821)")</f>
        <v>Lathropus sepicola (P.W.J. Müller, 1821)</v>
      </c>
      <c r="AH11811" s="4" t="str">
        <f>HYPERLINK("#Statut_biogéographique!A"&amp;_xlfn.XMATCH("P",Statut_biogéographique!A:A,2,1),"P")</f>
        <v>P</v>
      </c>
      <c r="AP11811" s="4" t="s">
        <v>376</v>
      </c>
      <c r="AR11811" s="4" t="s">
        <v>377</v>
      </c>
    </row>
    <row r="11812" spans="1:44">
      <c r="A11812" s="4" t="s">
        <v>10753</v>
      </c>
      <c r="B11812" s="4">
        <v>235007</v>
      </c>
      <c r="D11812" s="5" t="s">
        <v>14754</v>
      </c>
      <c r="E11812" s="6" t="str">
        <f>HYPERLINK("https://inpn.mnhn.fr/espece/cd_nom/235007","Notolaemus unifasciatus (Latreille, 1804)")</f>
        <v>Notolaemus unifasciatus (Latreille, 1804)</v>
      </c>
      <c r="AH11812" s="4" t="str">
        <f>HYPERLINK("#Statut_biogéographique!A"&amp;_xlfn.XMATCH("P",Statut_biogéographique!A:A,2,1),"P")</f>
        <v>P</v>
      </c>
      <c r="AP11812" s="4" t="s">
        <v>376</v>
      </c>
      <c r="AR11812" s="4" t="s">
        <v>377</v>
      </c>
    </row>
    <row r="11813" spans="1:44">
      <c r="A11813" s="4" t="s">
        <v>10753</v>
      </c>
      <c r="B11813" s="4">
        <v>235008</v>
      </c>
      <c r="D11813" s="5" t="s">
        <v>14755</v>
      </c>
      <c r="E11813" s="6" t="str">
        <f>HYPERLINK("https://inpn.mnhn.fr/espece/cd_nom/235008","Placonotus testaceus (Fabricius, 1787)")</f>
        <v>Placonotus testaceus (Fabricius, 1787)</v>
      </c>
      <c r="AH11813" s="4" t="str">
        <f>HYPERLINK("#Statut_biogéographique!A"&amp;_xlfn.XMATCH("P",Statut_biogéographique!A:A,2,1),"P")</f>
        <v>P</v>
      </c>
      <c r="AP11813" s="4" t="s">
        <v>376</v>
      </c>
      <c r="AR11813" s="4" t="s">
        <v>377</v>
      </c>
    </row>
    <row r="11814" spans="1:44" ht="30">
      <c r="A11814" s="4" t="s">
        <v>10753</v>
      </c>
      <c r="B11814" s="4">
        <v>235016</v>
      </c>
      <c r="D11814" s="5" t="s">
        <v>14756</v>
      </c>
      <c r="E11814" s="6" t="str">
        <f>HYPERLINK("https://inpn.mnhn.fr/espece/cd_nom/235016","Melanophthalma distinguenda (Comolli, 1837)")</f>
        <v>Melanophthalma distinguenda (Comolli, 1837)</v>
      </c>
      <c r="AH11814" s="4" t="str">
        <f>HYPERLINK("#Statut_biogéographique!A"&amp;_xlfn.XMATCH("P",Statut_biogéographique!A:A,2,1),"P")</f>
        <v>P</v>
      </c>
      <c r="AP11814" s="4" t="s">
        <v>376</v>
      </c>
      <c r="AR11814" s="4" t="s">
        <v>377</v>
      </c>
    </row>
    <row r="11815" spans="1:44" ht="30">
      <c r="A11815" s="4" t="s">
        <v>10753</v>
      </c>
      <c r="B11815" s="4">
        <v>235018</v>
      </c>
      <c r="D11815" s="5" t="s">
        <v>14757</v>
      </c>
      <c r="E11815" s="6" t="str">
        <f>HYPERLINK("https://inpn.mnhn.fr/espece/cd_nom/235018","Melanophthalma fuscipennis (Mannerheim, 1844)")</f>
        <v>Melanophthalma fuscipennis (Mannerheim, 1844)</v>
      </c>
      <c r="AH11815" s="4" t="str">
        <f>HYPERLINK("#Statut_biogéographique!A"&amp;_xlfn.XMATCH("P",Statut_biogéographique!A:A,2,1),"P")</f>
        <v>P</v>
      </c>
      <c r="AP11815" s="4" t="s">
        <v>376</v>
      </c>
      <c r="AR11815" s="4" t="s">
        <v>377</v>
      </c>
    </row>
    <row r="11816" spans="1:44" ht="30">
      <c r="A11816" s="4" t="s">
        <v>10753</v>
      </c>
      <c r="B11816" s="4">
        <v>235020</v>
      </c>
      <c r="D11816" s="5" t="s">
        <v>14758</v>
      </c>
      <c r="E11816" s="6" t="str">
        <f>HYPERLINK("https://inpn.mnhn.fr/espece/cd_nom/235020","Melanophthalma suturalis (Mannerheim, 1844)")</f>
        <v>Melanophthalma suturalis (Mannerheim, 1844)</v>
      </c>
      <c r="AH11816" s="4" t="str">
        <f>HYPERLINK("#Statut_biogéographique!A"&amp;_xlfn.XMATCH("P",Statut_biogéographique!A:A,2,1),"P")</f>
        <v>P</v>
      </c>
      <c r="AP11816" s="4" t="s">
        <v>376</v>
      </c>
      <c r="AR11816" s="4" t="s">
        <v>377</v>
      </c>
    </row>
    <row r="11817" spans="1:44">
      <c r="A11817" s="4" t="s">
        <v>10753</v>
      </c>
      <c r="B11817" s="4">
        <v>235024</v>
      </c>
      <c r="D11817" s="5" t="s">
        <v>14759</v>
      </c>
      <c r="E11817" s="6" t="str">
        <f>HYPERLINK("https://inpn.mnhn.fr/espece/cd_nom/235024","Corticarina similata (Gyllenhal, 1827)")</f>
        <v>Corticarina similata (Gyllenhal, 1827)</v>
      </c>
      <c r="AH11817" s="4" t="str">
        <f>HYPERLINK("#Statut_biogéographique!A"&amp;_xlfn.XMATCH("P",Statut_biogéographique!A:A,2,1),"P")</f>
        <v>P</v>
      </c>
      <c r="AP11817" s="4" t="s">
        <v>376</v>
      </c>
      <c r="AR11817" s="4" t="s">
        <v>377</v>
      </c>
    </row>
    <row r="11818" spans="1:44">
      <c r="A11818" s="4" t="s">
        <v>10753</v>
      </c>
      <c r="B11818" s="4">
        <v>235028</v>
      </c>
      <c r="D11818" s="5" t="s">
        <v>14760</v>
      </c>
      <c r="E11818" s="6" t="str">
        <f>HYPERLINK("https://inpn.mnhn.fr/espece/cd_nom/235028","Cortinicara gibbosa (Herbst, 1793)")</f>
        <v>Cortinicara gibbosa (Herbst, 1793)</v>
      </c>
      <c r="AH11818" s="4" t="str">
        <f>HYPERLINK("#Statut_biogéographique!A"&amp;_xlfn.XMATCH("P",Statut_biogéographique!A:A,2,1),"P")</f>
        <v>P</v>
      </c>
      <c r="AP11818" s="4" t="s">
        <v>376</v>
      </c>
      <c r="AR11818" s="4" t="s">
        <v>377</v>
      </c>
    </row>
    <row r="11819" spans="1:44" ht="30">
      <c r="A11819" s="4" t="s">
        <v>10753</v>
      </c>
      <c r="B11819" s="4">
        <v>235029</v>
      </c>
      <c r="D11819" s="5" t="s">
        <v>14761</v>
      </c>
      <c r="E11819" s="6" t="str">
        <f>HYPERLINK("https://inpn.mnhn.fr/espece/cd_nom/235029","Corticaria pubescens (Gyllenhal, 1827)")</f>
        <v>Corticaria pubescens (Gyllenhal, 1827)</v>
      </c>
      <c r="AH11819" s="4" t="str">
        <f>HYPERLINK("#Statut_biogéographique!A"&amp;_xlfn.XMATCH("C",Statut_biogéographique!A:A,2,1),"C")</f>
        <v>C</v>
      </c>
      <c r="AP11819" s="4" t="s">
        <v>376</v>
      </c>
      <c r="AR11819" s="4" t="s">
        <v>377</v>
      </c>
    </row>
    <row r="11820" spans="1:44">
      <c r="A11820" s="4" t="s">
        <v>10753</v>
      </c>
      <c r="B11820" s="4">
        <v>235030</v>
      </c>
      <c r="D11820" s="5" t="s">
        <v>14762</v>
      </c>
      <c r="E11820" s="6" t="str">
        <f>HYPERLINK("https://inpn.mnhn.fr/espece/cd_nom/235030","Corticaria crenulata (Gyllenhal, 1827)")</f>
        <v>Corticaria crenulata (Gyllenhal, 1827)</v>
      </c>
      <c r="AH11820" s="4" t="str">
        <f>HYPERLINK("#Statut_biogéographique!A"&amp;_xlfn.XMATCH("P",Statut_biogéographique!A:A,2,1),"P")</f>
        <v>P</v>
      </c>
      <c r="AP11820" s="4" t="s">
        <v>376</v>
      </c>
      <c r="AR11820" s="4" t="s">
        <v>377</v>
      </c>
    </row>
    <row r="11821" spans="1:44" ht="30">
      <c r="A11821" s="4" t="s">
        <v>10753</v>
      </c>
      <c r="B11821" s="4">
        <v>235037</v>
      </c>
      <c r="D11821" s="5" t="s">
        <v>14763</v>
      </c>
      <c r="E11821" s="6" t="str">
        <f>HYPERLINK("https://inpn.mnhn.fr/espece/cd_nom/235037","Corticaria longicornis (Herbst, 1783)")</f>
        <v>Corticaria longicornis (Herbst, 1783)</v>
      </c>
      <c r="F11821" s="5" t="s">
        <v>14764</v>
      </c>
      <c r="AH11821" s="4" t="str">
        <f>HYPERLINK("#Statut_biogéographique!A"&amp;_xlfn.XMATCH("P",Statut_biogéographique!A:A,2,1),"P")</f>
        <v>P</v>
      </c>
      <c r="AP11821" s="4" t="s">
        <v>376</v>
      </c>
      <c r="AR11821" s="4" t="s">
        <v>377</v>
      </c>
    </row>
    <row r="11822" spans="1:44" ht="45">
      <c r="A11822" s="4" t="s">
        <v>10753</v>
      </c>
      <c r="B11822" s="4">
        <v>235041</v>
      </c>
      <c r="D11822" s="5" t="s">
        <v>14765</v>
      </c>
      <c r="E11822" s="6" t="str">
        <f>HYPERLINK("https://inpn.mnhn.fr/espece/cd_nom/235041","Corticaria serrata (Paykull, 1798)")</f>
        <v>Corticaria serrata (Paykull, 1798)</v>
      </c>
      <c r="AH11822" s="4" t="str">
        <f>HYPERLINK("#Statut_biogéographique!A"&amp;_xlfn.XMATCH("P",Statut_biogéographique!A:A,2,1),"P")</f>
        <v>P</v>
      </c>
      <c r="AP11822" s="4" t="s">
        <v>376</v>
      </c>
      <c r="AR11822" s="4" t="s">
        <v>377</v>
      </c>
    </row>
    <row r="11823" spans="1:44" ht="30">
      <c r="A11823" s="4" t="s">
        <v>10753</v>
      </c>
      <c r="B11823" s="4">
        <v>235043</v>
      </c>
      <c r="D11823" s="5">
        <v>235043</v>
      </c>
      <c r="E11823" s="6" t="str">
        <f>HYPERLINK("https://inpn.mnhn.fr/espece/cd_nom/235043","Corticaria obscura C. Brisout de Barneville, 1863")</f>
        <v>Corticaria obscura C. Brisout de Barneville, 1863</v>
      </c>
      <c r="AH11823" s="4" t="str">
        <f>HYPERLINK("#Statut_biogéographique!A"&amp;_xlfn.XMATCH("P",Statut_biogéographique!A:A,2,1),"P")</f>
        <v>P</v>
      </c>
      <c r="AP11823" s="4" t="s">
        <v>376</v>
      </c>
      <c r="AR11823" s="4" t="s">
        <v>377</v>
      </c>
    </row>
    <row r="11824" spans="1:44">
      <c r="A11824" s="4" t="s">
        <v>10753</v>
      </c>
      <c r="B11824" s="4">
        <v>235048</v>
      </c>
      <c r="D11824" s="5" t="s">
        <v>14766</v>
      </c>
      <c r="E11824" s="6" t="str">
        <f>HYPERLINK("https://inpn.mnhn.fr/espece/cd_nom/235048","Corticaria lateritia Mannerheim, 1844")</f>
        <v>Corticaria lateritia Mannerheim, 1844</v>
      </c>
      <c r="AH11824" s="4" t="str">
        <f>HYPERLINK("#Statut_biogéographique!A"&amp;_xlfn.XMATCH("P",Statut_biogéographique!A:A,2,1),"P")</f>
        <v>P</v>
      </c>
      <c r="AP11824" s="4" t="s">
        <v>376</v>
      </c>
      <c r="AR11824" s="4" t="s">
        <v>377</v>
      </c>
    </row>
    <row r="11825" spans="1:44">
      <c r="A11825" s="4" t="s">
        <v>10753</v>
      </c>
      <c r="B11825" s="4">
        <v>235054</v>
      </c>
      <c r="D11825" s="5">
        <v>235054</v>
      </c>
      <c r="E11825" s="6" t="str">
        <f>HYPERLINK("https://inpn.mnhn.fr/espece/cd_nom/235054","Corticaria bella L. Redtenbacher, 1847")</f>
        <v>Corticaria bella L. Redtenbacher, 1847</v>
      </c>
      <c r="AH11825" s="4" t="str">
        <f>HYPERLINK("#Statut_biogéographique!A"&amp;_xlfn.XMATCH("P",Statut_biogéographique!A:A,2,1),"P")</f>
        <v>P</v>
      </c>
      <c r="AP11825" s="4" t="s">
        <v>376</v>
      </c>
      <c r="AR11825" s="4" t="s">
        <v>377</v>
      </c>
    </row>
    <row r="11826" spans="1:44">
      <c r="A11826" s="4" t="s">
        <v>10753</v>
      </c>
      <c r="B11826" s="4">
        <v>235056</v>
      </c>
      <c r="D11826" s="5" t="s">
        <v>14767</v>
      </c>
      <c r="E11826" s="6" t="str">
        <f>HYPERLINK("https://inpn.mnhn.fr/espece/cd_nom/235056","Corticaria elongata (Gyllenhal, 1827)")</f>
        <v>Corticaria elongata (Gyllenhal, 1827)</v>
      </c>
      <c r="AH11826" s="4" t="str">
        <f>HYPERLINK("#Statut_biogéographique!A"&amp;_xlfn.XMATCH("C",Statut_biogéographique!A:A,2,1),"C")</f>
        <v>C</v>
      </c>
      <c r="AP11826" s="4" t="s">
        <v>376</v>
      </c>
      <c r="AR11826" s="4" t="s">
        <v>377</v>
      </c>
    </row>
    <row r="11827" spans="1:44" ht="45">
      <c r="A11827" s="4" t="s">
        <v>10753</v>
      </c>
      <c r="B11827" s="4">
        <v>235058</v>
      </c>
      <c r="D11827" s="5" t="s">
        <v>14768</v>
      </c>
      <c r="E11827" s="6" t="str">
        <f>HYPERLINK("https://inpn.mnhn.fr/espece/cd_nom/235058","Cartodere constricta (Gyllenhal, 1827)")</f>
        <v>Cartodere constricta (Gyllenhal, 1827)</v>
      </c>
      <c r="AH11827" s="4" t="str">
        <f>HYPERLINK("#Statut_biogéographique!A"&amp;_xlfn.XMATCH("P",Statut_biogéographique!A:A,2,1),"P")</f>
        <v>P</v>
      </c>
      <c r="AP11827" s="4" t="s">
        <v>376</v>
      </c>
      <c r="AR11827" s="4" t="s">
        <v>377</v>
      </c>
    </row>
    <row r="11828" spans="1:44" ht="30">
      <c r="A11828" s="4" t="s">
        <v>10753</v>
      </c>
      <c r="B11828" s="4">
        <v>235062</v>
      </c>
      <c r="D11828" s="5" t="s">
        <v>14769</v>
      </c>
      <c r="E11828" s="6" t="str">
        <f>HYPERLINK("https://inpn.mnhn.fr/espece/cd_nom/235062","Cartodere nodifer (Westwood, 1839)")</f>
        <v>Cartodere nodifer (Westwood, 1839)</v>
      </c>
      <c r="AH11828" s="4" t="str">
        <f>HYPERLINK("#Statut_biogéographique!A"&amp;_xlfn.XMATCH("I",Statut_biogéographique!A:A,2,1),"I")</f>
        <v>I</v>
      </c>
      <c r="AP11828" s="4" t="s">
        <v>376</v>
      </c>
      <c r="AR11828" s="4" t="s">
        <v>377</v>
      </c>
    </row>
    <row r="11829" spans="1:44" ht="30">
      <c r="A11829" s="4" t="s">
        <v>10753</v>
      </c>
      <c r="B11829" s="4">
        <v>235064</v>
      </c>
      <c r="D11829" s="5" t="s">
        <v>14770</v>
      </c>
      <c r="E11829" s="6" t="str">
        <f>HYPERLINK("https://inpn.mnhn.fr/espece/cd_nom/235064","Stephostethus angusticollis (Gyllenhal, 1827)")</f>
        <v>Stephostethus angusticollis (Gyllenhal, 1827)</v>
      </c>
      <c r="AH11829" s="4" t="str">
        <f>HYPERLINK("#Statut_biogéographique!A"&amp;_xlfn.XMATCH("P",Statut_biogéographique!A:A,2,1),"P")</f>
        <v>P</v>
      </c>
      <c r="AP11829" s="4" t="s">
        <v>376</v>
      </c>
      <c r="AR11829" s="4" t="s">
        <v>377</v>
      </c>
    </row>
    <row r="11830" spans="1:44" ht="30">
      <c r="A11830" s="4" t="s">
        <v>10753</v>
      </c>
      <c r="B11830" s="4">
        <v>235066</v>
      </c>
      <c r="D11830" s="5" t="s">
        <v>14771</v>
      </c>
      <c r="E11830" s="6" t="str">
        <f>HYPERLINK("https://inpn.mnhn.fr/espece/cd_nom/235066","Stephostethus pandellei (C. Brisout de Barneville, 1863)")</f>
        <v>Stephostethus pandellei (C. Brisout de Barneville, 1863)</v>
      </c>
      <c r="AH11830" s="4" t="str">
        <f>HYPERLINK("#Statut_biogéographique!A"&amp;_xlfn.XMATCH("P",Statut_biogéographique!A:A,2,1),"P")</f>
        <v>P</v>
      </c>
      <c r="AP11830" s="4" t="s">
        <v>376</v>
      </c>
      <c r="AR11830" s="4" t="s">
        <v>377</v>
      </c>
    </row>
    <row r="11831" spans="1:44" ht="30">
      <c r="A11831" s="4" t="s">
        <v>10753</v>
      </c>
      <c r="B11831" s="4">
        <v>235067</v>
      </c>
      <c r="D11831" s="5" t="s">
        <v>14772</v>
      </c>
      <c r="E11831" s="6" t="str">
        <f>HYPERLINK("https://inpn.mnhn.fr/espece/cd_nom/235067","Stephostethus alternans (Mannerheim, 1844)")</f>
        <v>Stephostethus alternans (Mannerheim, 1844)</v>
      </c>
      <c r="AH11831" s="4" t="str">
        <f>HYPERLINK("#Statut_biogéographique!A"&amp;_xlfn.XMATCH("P",Statut_biogéographique!A:A,2,1),"P")</f>
        <v>P</v>
      </c>
      <c r="AP11831" s="4" t="s">
        <v>376</v>
      </c>
      <c r="AR11831" s="4" t="s">
        <v>377</v>
      </c>
    </row>
    <row r="11832" spans="1:44">
      <c r="A11832" s="4" t="s">
        <v>10753</v>
      </c>
      <c r="B11832" s="4">
        <v>235073</v>
      </c>
      <c r="D11832" s="5" t="s">
        <v>14773</v>
      </c>
      <c r="E11832" s="6" t="str">
        <f>HYPERLINK("https://inpn.mnhn.fr/espece/cd_nom/235073","Dienerella clathrata (Mannerheim, 1844)")</f>
        <v>Dienerella clathrata (Mannerheim, 1844)</v>
      </c>
      <c r="AH11832" s="4" t="str">
        <f>HYPERLINK("#Statut_biogéographique!A"&amp;_xlfn.XMATCH("P",Statut_biogéographique!A:A,2,1),"P")</f>
        <v>P</v>
      </c>
      <c r="AP11832" s="4" t="s">
        <v>376</v>
      </c>
      <c r="AR11832" s="4" t="s">
        <v>377</v>
      </c>
    </row>
    <row r="11833" spans="1:44" ht="30">
      <c r="A11833" s="4" t="s">
        <v>10753</v>
      </c>
      <c r="B11833" s="4">
        <v>235075</v>
      </c>
      <c r="D11833" s="5" t="s">
        <v>14774</v>
      </c>
      <c r="E11833" s="6" t="str">
        <f>HYPERLINK("https://inpn.mnhn.fr/espece/cd_nom/235075","Dienerella ruficollis (Marsham, 1802)")</f>
        <v>Dienerella ruficollis (Marsham, 1802)</v>
      </c>
      <c r="AH11833" s="4" t="str">
        <f>HYPERLINK("#Statut_biogéographique!A"&amp;_xlfn.XMATCH("P",Statut_biogéographique!A:A,2,1),"P")</f>
        <v>P</v>
      </c>
      <c r="AP11833" s="4" t="s">
        <v>376</v>
      </c>
      <c r="AR11833" s="4" t="s">
        <v>377</v>
      </c>
    </row>
    <row r="11834" spans="1:44">
      <c r="A11834" s="4" t="s">
        <v>10753</v>
      </c>
      <c r="B11834" s="4">
        <v>235084</v>
      </c>
      <c r="D11834" s="5" t="s">
        <v>14775</v>
      </c>
      <c r="E11834" s="6" t="str">
        <f>HYPERLINK("https://inpn.mnhn.fr/espece/cd_nom/235084","Enicmus brevicornis (Mannerheim, 1844)")</f>
        <v>Enicmus brevicornis (Mannerheim, 1844)</v>
      </c>
      <c r="AH11834" s="4" t="str">
        <f>HYPERLINK("#Statut_biogéographique!A"&amp;_xlfn.XMATCH("P",Statut_biogéographique!A:A,2,1),"P")</f>
        <v>P</v>
      </c>
      <c r="AP11834" s="4" t="s">
        <v>376</v>
      </c>
      <c r="AR11834" s="4" t="s">
        <v>377</v>
      </c>
    </row>
    <row r="11835" spans="1:44">
      <c r="A11835" s="4" t="s">
        <v>10753</v>
      </c>
      <c r="B11835" s="4">
        <v>235086</v>
      </c>
      <c r="D11835" s="5" t="s">
        <v>14776</v>
      </c>
      <c r="E11835" s="6" t="str">
        <f>HYPERLINK("https://inpn.mnhn.fr/espece/cd_nom/235086","Enicmus testaceus (Stephens, 1830)")</f>
        <v>Enicmus testaceus (Stephens, 1830)</v>
      </c>
      <c r="AH11835" s="4" t="str">
        <f>HYPERLINK("#Statut_biogéographique!A"&amp;_xlfn.XMATCH("P",Statut_biogéographique!A:A,2,1),"P")</f>
        <v>P</v>
      </c>
      <c r="AP11835" s="4" t="s">
        <v>376</v>
      </c>
      <c r="AR11835" s="4" t="s">
        <v>377</v>
      </c>
    </row>
    <row r="11836" spans="1:44">
      <c r="A11836" s="4" t="s">
        <v>10753</v>
      </c>
      <c r="B11836" s="4">
        <v>235087</v>
      </c>
      <c r="D11836" s="5">
        <v>235087</v>
      </c>
      <c r="E11836" s="6" t="str">
        <f>HYPERLINK("https://inpn.mnhn.fr/espece/cd_nom/235087","Enicmus histrio Joy &amp; Tomlin, 1910")</f>
        <v>Enicmus histrio Joy &amp; Tomlin, 1910</v>
      </c>
      <c r="AH11836" s="4" t="str">
        <f>HYPERLINK("#Statut_biogéographique!A"&amp;_xlfn.XMATCH("P",Statut_biogéographique!A:A,2,1),"P")</f>
        <v>P</v>
      </c>
      <c r="AP11836" s="4" t="s">
        <v>376</v>
      </c>
      <c r="AR11836" s="4" t="s">
        <v>377</v>
      </c>
    </row>
    <row r="11837" spans="1:44">
      <c r="A11837" s="4" t="s">
        <v>10753</v>
      </c>
      <c r="B11837" s="4">
        <v>235088</v>
      </c>
      <c r="D11837" s="5" t="s">
        <v>14777</v>
      </c>
      <c r="E11837" s="6" t="str">
        <f>HYPERLINK("https://inpn.mnhn.fr/espece/cd_nom/235088","Latridius hirtus Gyllenhal, 1827")</f>
        <v>Latridius hirtus Gyllenhal, 1827</v>
      </c>
      <c r="AH11837" s="4" t="str">
        <f>HYPERLINK("#Statut_biogéographique!A"&amp;_xlfn.XMATCH("P",Statut_biogéographique!A:A,2,1),"P")</f>
        <v>P</v>
      </c>
      <c r="AP11837" s="4" t="s">
        <v>376</v>
      </c>
      <c r="AR11837" s="4" t="s">
        <v>377</v>
      </c>
    </row>
    <row r="11838" spans="1:44">
      <c r="A11838" s="4" t="s">
        <v>10753</v>
      </c>
      <c r="B11838" s="4">
        <v>235089</v>
      </c>
      <c r="D11838" s="5" t="s">
        <v>14778</v>
      </c>
      <c r="E11838" s="6" t="str">
        <f>HYPERLINK("https://inpn.mnhn.fr/espece/cd_nom/235089","Latridius consimilis (Mannerheim, 1844)")</f>
        <v>Latridius consimilis (Mannerheim, 1844)</v>
      </c>
      <c r="AH11838" s="4" t="str">
        <f>HYPERLINK("#Statut_biogéographique!A"&amp;_xlfn.XMATCH("P",Statut_biogéographique!A:A,2,1),"P")</f>
        <v>P</v>
      </c>
      <c r="AP11838" s="4" t="s">
        <v>376</v>
      </c>
      <c r="AR11838" s="4" t="s">
        <v>377</v>
      </c>
    </row>
    <row r="11839" spans="1:44">
      <c r="A11839" s="4" t="s">
        <v>10753</v>
      </c>
      <c r="B11839" s="4">
        <v>235090</v>
      </c>
      <c r="D11839" s="5" t="s">
        <v>14779</v>
      </c>
      <c r="E11839" s="6" t="str">
        <f>HYPERLINK("https://inpn.mnhn.fr/espece/cd_nom/235090","Latridius minutus (Linnaeus, 1767)")</f>
        <v>Latridius minutus (Linnaeus, 1767)</v>
      </c>
      <c r="AH11839" s="4" t="str">
        <f>HYPERLINK("#Statut_biogéographique!A"&amp;_xlfn.XMATCH("C",Statut_biogéographique!A:A,2,1),"C")</f>
        <v>C</v>
      </c>
      <c r="AP11839" s="4" t="s">
        <v>376</v>
      </c>
      <c r="AR11839" s="4" t="s">
        <v>377</v>
      </c>
    </row>
    <row r="11840" spans="1:44">
      <c r="A11840" s="4" t="s">
        <v>10753</v>
      </c>
      <c r="B11840" s="4">
        <v>235102</v>
      </c>
      <c r="D11840" s="5" t="s">
        <v>14780</v>
      </c>
      <c r="E11840" s="6" t="str">
        <f>HYPERLINK("https://inpn.mnhn.fr/espece/cd_nom/235102","Dictyoptera aurora (Herbst, 1784)")</f>
        <v>Dictyoptera aurora (Herbst, 1784)</v>
      </c>
      <c r="AH11840" s="4" t="str">
        <f>HYPERLINK("#Statut_biogéographique!A"&amp;_xlfn.XMATCH("P",Statut_biogéographique!A:A,2,1),"P")</f>
        <v>P</v>
      </c>
      <c r="AP11840" s="4" t="s">
        <v>376</v>
      </c>
      <c r="AR11840" s="4" t="s">
        <v>377</v>
      </c>
    </row>
    <row r="11841" spans="1:44">
      <c r="A11841" s="4" t="s">
        <v>10753</v>
      </c>
      <c r="B11841" s="4">
        <v>235105</v>
      </c>
      <c r="D11841" s="5" t="s">
        <v>14781</v>
      </c>
      <c r="E11841" s="6" t="str">
        <f>HYPERLINK("https://inpn.mnhn.fr/espece/cd_nom/235105","Platycis minutus (Fabricius, 1787)")</f>
        <v>Platycis minutus (Fabricius, 1787)</v>
      </c>
      <c r="F11841" s="5" t="s">
        <v>14782</v>
      </c>
      <c r="AH11841" s="4" t="str">
        <f>HYPERLINK("#Statut_biogéographique!A"&amp;_xlfn.XMATCH("P",Statut_biogéographique!A:A,2,1),"P")</f>
        <v>P</v>
      </c>
      <c r="AP11841" s="4" t="s">
        <v>376</v>
      </c>
      <c r="AR11841" s="4" t="s">
        <v>377</v>
      </c>
    </row>
    <row r="11842" spans="1:44">
      <c r="A11842" s="4" t="s">
        <v>10753</v>
      </c>
      <c r="B11842" s="4">
        <v>235106</v>
      </c>
      <c r="D11842" s="5" t="s">
        <v>14783</v>
      </c>
      <c r="E11842" s="6" t="str">
        <f>HYPERLINK("https://inpn.mnhn.fr/espece/cd_nom/235106","Pyropterus nigroruber (De Geer, 1774)")</f>
        <v>Pyropterus nigroruber (De Geer, 1774)</v>
      </c>
      <c r="F11842" s="5" t="s">
        <v>14784</v>
      </c>
      <c r="AH11842" s="4" t="str">
        <f>HYPERLINK("#Statut_biogéographique!A"&amp;_xlfn.XMATCH("P",Statut_biogéographique!A:A,2,1),"P")</f>
        <v>P</v>
      </c>
      <c r="AP11842" s="4" t="s">
        <v>376</v>
      </c>
      <c r="AR11842" s="4" t="s">
        <v>377</v>
      </c>
    </row>
    <row r="11843" spans="1:44">
      <c r="A11843" s="4" t="s">
        <v>10753</v>
      </c>
      <c r="B11843" s="4">
        <v>235107</v>
      </c>
      <c r="D11843" s="5" t="s">
        <v>14785</v>
      </c>
      <c r="E11843" s="6" t="str">
        <f>HYPERLINK("https://inpn.mnhn.fr/espece/cd_nom/235107","Omalisus fontisbellaquei Geoffroy, 1785")</f>
        <v>Omalisus fontisbellaquei Geoffroy, 1785</v>
      </c>
      <c r="F11843" s="5" t="s">
        <v>14786</v>
      </c>
      <c r="AH11843" s="4" t="str">
        <f>HYPERLINK("#Statut_biogéographique!A"&amp;_xlfn.XMATCH("P",Statut_biogéographique!A:A,2,1),"P")</f>
        <v>P</v>
      </c>
      <c r="AP11843" s="4" t="s">
        <v>376</v>
      </c>
      <c r="AR11843" s="4" t="s">
        <v>377</v>
      </c>
    </row>
    <row r="11844" spans="1:44">
      <c r="A11844" s="4" t="s">
        <v>10753</v>
      </c>
      <c r="B11844" s="4">
        <v>235120</v>
      </c>
      <c r="D11844" s="5" t="s">
        <v>14787</v>
      </c>
      <c r="E11844" s="6" t="str">
        <f>HYPERLINK("https://inpn.mnhn.fr/espece/cd_nom/235120","Cordylepherus viridis (Fabricius, 1787)")</f>
        <v>Cordylepherus viridis (Fabricius, 1787)</v>
      </c>
      <c r="AH11844" s="4" t="str">
        <f>HYPERLINK("#Statut_biogéographique!A"&amp;_xlfn.XMATCH("P",Statut_biogéographique!A:A,2,1),"P")</f>
        <v>P</v>
      </c>
      <c r="AP11844" s="4" t="s">
        <v>376</v>
      </c>
      <c r="AR11844" s="4" t="s">
        <v>377</v>
      </c>
    </row>
    <row r="11845" spans="1:44">
      <c r="A11845" s="4" t="s">
        <v>10753</v>
      </c>
      <c r="B11845" s="4">
        <v>235128</v>
      </c>
      <c r="D11845" s="5" t="s">
        <v>14788</v>
      </c>
      <c r="E11845" s="6" t="str">
        <f>HYPERLINK("https://inpn.mnhn.fr/espece/cd_nom/235128","Clanoptilus elegans (Olivier, 1790)")</f>
        <v>Clanoptilus elegans (Olivier, 1790)</v>
      </c>
      <c r="AH11845" s="4" t="str">
        <f>HYPERLINK("#Statut_biogéographique!A"&amp;_xlfn.XMATCH("P",Statut_biogéographique!A:A,2,1),"P")</f>
        <v>P</v>
      </c>
      <c r="AP11845" s="4" t="s">
        <v>376</v>
      </c>
      <c r="AR11845" s="4" t="s">
        <v>377</v>
      </c>
    </row>
    <row r="11846" spans="1:44">
      <c r="A11846" s="4" t="s">
        <v>10753</v>
      </c>
      <c r="B11846" s="4">
        <v>235130</v>
      </c>
      <c r="D11846" s="5" t="s">
        <v>14789</v>
      </c>
      <c r="E11846" s="6" t="str">
        <f>HYPERLINK("https://inpn.mnhn.fr/espece/cd_nom/235130","Clanoptilus geniculatus (Germar, 1823)")</f>
        <v>Clanoptilus geniculatus (Germar, 1823)</v>
      </c>
      <c r="AH11846" s="4" t="str">
        <f>HYPERLINK("#Statut_biogéographique!A"&amp;_xlfn.XMATCH("P",Statut_biogéographique!A:A,2,1),"P")</f>
        <v>P</v>
      </c>
      <c r="AP11846" s="4" t="s">
        <v>376</v>
      </c>
      <c r="AR11846" s="4" t="s">
        <v>377</v>
      </c>
    </row>
    <row r="11847" spans="1:44">
      <c r="A11847" s="4" t="s">
        <v>10753</v>
      </c>
      <c r="B11847" s="4">
        <v>235139</v>
      </c>
      <c r="D11847" s="5" t="s">
        <v>14790</v>
      </c>
      <c r="E11847" s="6" t="str">
        <f>HYPERLINK("https://inpn.mnhn.fr/espece/cd_nom/235139","Anthocomus rufus (Herbst, 1784)")</f>
        <v>Anthocomus rufus (Herbst, 1784)</v>
      </c>
      <c r="AH11847" s="4" t="str">
        <f>HYPERLINK("#Statut_biogéographique!A"&amp;_xlfn.XMATCH("P",Statut_biogéographique!A:A,2,1),"P")</f>
        <v>P</v>
      </c>
      <c r="AP11847" s="4" t="s">
        <v>376</v>
      </c>
      <c r="AR11847" s="4" t="s">
        <v>377</v>
      </c>
    </row>
    <row r="11848" spans="1:44">
      <c r="A11848" s="4" t="s">
        <v>10753</v>
      </c>
      <c r="B11848" s="4">
        <v>235140</v>
      </c>
      <c r="D11848" s="5" t="s">
        <v>14791</v>
      </c>
      <c r="E11848" s="6" t="str">
        <f>HYPERLINK("https://inpn.mnhn.fr/espece/cd_nom/235140","Anthocomus equestris (Fabricius, 1781)")</f>
        <v>Anthocomus equestris (Fabricius, 1781)</v>
      </c>
      <c r="AH11848" s="4" t="str">
        <f>HYPERLINK("#Statut_biogéographique!A"&amp;_xlfn.XMATCH("P",Statut_biogéographique!A:A,2,1),"P")</f>
        <v>P</v>
      </c>
      <c r="AP11848" s="4" t="s">
        <v>376</v>
      </c>
      <c r="AR11848" s="4" t="s">
        <v>377</v>
      </c>
    </row>
    <row r="11849" spans="1:44">
      <c r="A11849" s="4" t="s">
        <v>10753</v>
      </c>
      <c r="B11849" s="4">
        <v>235141</v>
      </c>
      <c r="D11849" s="5" t="s">
        <v>14792</v>
      </c>
      <c r="E11849" s="6" t="str">
        <f>HYPERLINK("https://inpn.mnhn.fr/espece/cd_nom/235141","Anthocomus fasciatus (Linnaeus, 1758)")</f>
        <v>Anthocomus fasciatus (Linnaeus, 1758)</v>
      </c>
      <c r="AH11849" s="4" t="str">
        <f>HYPERLINK("#Statut_biogéographique!A"&amp;_xlfn.XMATCH("P",Statut_biogéographique!A:A,2,1),"P")</f>
        <v>P</v>
      </c>
      <c r="AP11849" s="4" t="s">
        <v>376</v>
      </c>
      <c r="AR11849" s="4" t="s">
        <v>377</v>
      </c>
    </row>
    <row r="11850" spans="1:44">
      <c r="A11850" s="4" t="s">
        <v>10753</v>
      </c>
      <c r="B11850" s="4">
        <v>235144</v>
      </c>
      <c r="D11850" s="5" t="s">
        <v>14793</v>
      </c>
      <c r="E11850" s="6" t="str">
        <f>HYPERLINK("https://inpn.mnhn.fr/espece/cd_nom/235144","Cerapheles terminatus (Ménétriés, 1832)")</f>
        <v>Cerapheles terminatus (Ménétriés, 1832)</v>
      </c>
      <c r="AH11850" s="4" t="str">
        <f>HYPERLINK("#Statut_biogéographique!A"&amp;_xlfn.XMATCH("P",Statut_biogéographique!A:A,2,1),"P")</f>
        <v>P</v>
      </c>
      <c r="AP11850" s="4" t="s">
        <v>376</v>
      </c>
      <c r="AR11850" s="4" t="s">
        <v>377</v>
      </c>
    </row>
    <row r="11851" spans="1:44">
      <c r="A11851" s="4" t="s">
        <v>10753</v>
      </c>
      <c r="B11851" s="4">
        <v>235148</v>
      </c>
      <c r="D11851" s="5" t="s">
        <v>14794</v>
      </c>
      <c r="E11851" s="6" t="str">
        <f>HYPERLINK("https://inpn.mnhn.fr/espece/cd_nom/235148","Axinotarsus ruficollis (Olivier, 1790)")</f>
        <v>Axinotarsus ruficollis (Olivier, 1790)</v>
      </c>
      <c r="AH11851" s="4" t="str">
        <f>HYPERLINK("#Statut_biogéographique!A"&amp;_xlfn.XMATCH("P",Statut_biogéographique!A:A,2,1),"P")</f>
        <v>P</v>
      </c>
      <c r="AP11851" s="4" t="s">
        <v>376</v>
      </c>
      <c r="AR11851" s="4" t="s">
        <v>377</v>
      </c>
    </row>
    <row r="11852" spans="1:44">
      <c r="A11852" s="4" t="s">
        <v>10753</v>
      </c>
      <c r="B11852" s="4">
        <v>235155</v>
      </c>
      <c r="D11852" s="5" t="s">
        <v>14795</v>
      </c>
      <c r="E11852" s="6" t="str">
        <f>HYPERLINK("https://inpn.mnhn.fr/espece/cd_nom/235155","Attalus minimus (Rossi, 1790)")</f>
        <v>Attalus minimus (Rossi, 1790)</v>
      </c>
      <c r="AH11852" s="4" t="str">
        <f>HYPERLINK("#Statut_biogéographique!A"&amp;_xlfn.XMATCH("P",Statut_biogéographique!A:A,2,1),"P")</f>
        <v>P</v>
      </c>
      <c r="AP11852" s="4" t="s">
        <v>376</v>
      </c>
      <c r="AR11852" s="4" t="s">
        <v>377</v>
      </c>
    </row>
    <row r="11853" spans="1:44">
      <c r="A11853" s="4" t="s">
        <v>10753</v>
      </c>
      <c r="B11853" s="4">
        <v>235157</v>
      </c>
      <c r="D11853" s="5" t="s">
        <v>14796</v>
      </c>
      <c r="E11853" s="6" t="str">
        <f>HYPERLINK("https://inpn.mnhn.fr/espece/cd_nom/235157","Attalus varitarsis (Kraatz, 1862)")</f>
        <v>Attalus varitarsis (Kraatz, 1862)</v>
      </c>
      <c r="AH11853" s="4" t="str">
        <f>HYPERLINK("#Statut_biogéographique!A"&amp;_xlfn.XMATCH("P",Statut_biogéographique!A:A,2,1),"P")</f>
        <v>P</v>
      </c>
      <c r="AP11853" s="4" t="s">
        <v>376</v>
      </c>
      <c r="AR11853" s="4" t="s">
        <v>377</v>
      </c>
    </row>
    <row r="11854" spans="1:44">
      <c r="A11854" s="4" t="s">
        <v>10753</v>
      </c>
      <c r="B11854" s="4">
        <v>235165</v>
      </c>
      <c r="D11854" s="5" t="s">
        <v>14797</v>
      </c>
      <c r="E11854" s="6" t="str">
        <f>HYPERLINK("https://inpn.mnhn.fr/espece/cd_nom/235165","Sphinginus lobatus (Olivier, 1790)")</f>
        <v>Sphinginus lobatus (Olivier, 1790)</v>
      </c>
      <c r="AH11854" s="4" t="str">
        <f>HYPERLINK("#Statut_biogéographique!A"&amp;_xlfn.XMATCH("P",Statut_biogéographique!A:A,2,1),"P")</f>
        <v>P</v>
      </c>
      <c r="AP11854" s="4" t="s">
        <v>376</v>
      </c>
      <c r="AR11854" s="4" t="s">
        <v>377</v>
      </c>
    </row>
    <row r="11855" spans="1:44" ht="30">
      <c r="A11855" s="4" t="s">
        <v>10753</v>
      </c>
      <c r="B11855" s="4">
        <v>235174</v>
      </c>
      <c r="D11855" s="5" t="s">
        <v>14798</v>
      </c>
      <c r="E11855" s="6" t="str">
        <f>HYPERLINK("https://inpn.mnhn.fr/espece/cd_nom/235174","Ebaeus thoracicus (Geoffroy in Fourcroy, 1785)")</f>
        <v>Ebaeus thoracicus (Geoffroy in Fourcroy, 1785)</v>
      </c>
      <c r="F11855" s="5" t="s">
        <v>14799</v>
      </c>
      <c r="AH11855" s="4" t="str">
        <f>HYPERLINK("#Statut_biogéographique!A"&amp;_xlfn.XMATCH("P",Statut_biogéographique!A:A,2,1),"P")</f>
        <v>P</v>
      </c>
      <c r="AP11855" s="4" t="s">
        <v>376</v>
      </c>
      <c r="AR11855" s="4" t="s">
        <v>377</v>
      </c>
    </row>
    <row r="11856" spans="1:44">
      <c r="A11856" s="4" t="s">
        <v>10753</v>
      </c>
      <c r="B11856" s="4">
        <v>235175</v>
      </c>
      <c r="D11856" s="5" t="s">
        <v>14800</v>
      </c>
      <c r="E11856" s="6" t="str">
        <f>HYPERLINK("https://inpn.mnhn.fr/espece/cd_nom/235175","Hypebaeus albifrons (Fabricius, 1775)")</f>
        <v>Hypebaeus albifrons (Fabricius, 1775)</v>
      </c>
      <c r="AH11856" s="4" t="str">
        <f>HYPERLINK("#Statut_biogéographique!A"&amp;_xlfn.XMATCH("P",Statut_biogéographique!A:A,2,1),"P")</f>
        <v>P</v>
      </c>
      <c r="AP11856" s="4" t="s">
        <v>376</v>
      </c>
      <c r="AR11856" s="4" t="s">
        <v>377</v>
      </c>
    </row>
    <row r="11857" spans="1:44">
      <c r="A11857" s="4" t="s">
        <v>10753</v>
      </c>
      <c r="B11857" s="4">
        <v>235179</v>
      </c>
      <c r="D11857" s="5" t="s">
        <v>14801</v>
      </c>
      <c r="E11857" s="6" t="str">
        <f>HYPERLINK("https://inpn.mnhn.fr/espece/cd_nom/235179","Hypebaeus flavipes (Fabricius, 1787)")</f>
        <v>Hypebaeus flavipes (Fabricius, 1787)</v>
      </c>
      <c r="AH11857" s="4" t="str">
        <f>HYPERLINK("#Statut_biogéographique!A"&amp;_xlfn.XMATCH("P",Statut_biogéographique!A:A,2,1),"P")</f>
        <v>P</v>
      </c>
      <c r="AP11857" s="4" t="s">
        <v>376</v>
      </c>
      <c r="AR11857" s="4" t="s">
        <v>377</v>
      </c>
    </row>
    <row r="11858" spans="1:44">
      <c r="A11858" s="4" t="s">
        <v>10753</v>
      </c>
      <c r="B11858" s="4">
        <v>235181</v>
      </c>
      <c r="D11858" s="5" t="s">
        <v>14802</v>
      </c>
      <c r="E11858" s="6" t="str">
        <f>HYPERLINK("https://inpn.mnhn.fr/espece/cd_nom/235181","Troglops albicans (Linnaeus, 1767)")</f>
        <v>Troglops albicans (Linnaeus, 1767)</v>
      </c>
      <c r="AH11858" s="4" t="str">
        <f>HYPERLINK("#Statut_biogéographique!A"&amp;_xlfn.XMATCH("P",Statut_biogéographique!A:A,2,1),"P")</f>
        <v>P</v>
      </c>
      <c r="AP11858" s="4" t="s">
        <v>376</v>
      </c>
      <c r="AR11858" s="4" t="s">
        <v>377</v>
      </c>
    </row>
    <row r="11859" spans="1:44">
      <c r="A11859" s="4" t="s">
        <v>10753</v>
      </c>
      <c r="B11859" s="4">
        <v>235189</v>
      </c>
      <c r="D11859" s="5" t="s">
        <v>14803</v>
      </c>
      <c r="E11859" s="6" t="str">
        <f>HYPERLINK("https://inpn.mnhn.fr/espece/cd_nom/235189","Rhizophagus cribratus Gyllenhal, 1827")</f>
        <v>Rhizophagus cribratus Gyllenhal, 1827</v>
      </c>
      <c r="AH11859" s="4" t="str">
        <f>HYPERLINK("#Statut_biogéographique!A"&amp;_xlfn.XMATCH("P",Statut_biogéographique!A:A,2,1),"P")</f>
        <v>P</v>
      </c>
      <c r="AP11859" s="4" t="s">
        <v>376</v>
      </c>
      <c r="AR11859" s="4" t="s">
        <v>377</v>
      </c>
    </row>
    <row r="11860" spans="1:44">
      <c r="A11860" s="4" t="s">
        <v>10753</v>
      </c>
      <c r="B11860" s="4">
        <v>235190</v>
      </c>
      <c r="D11860" s="5">
        <v>235190</v>
      </c>
      <c r="E11860" s="6" t="str">
        <f>HYPERLINK("https://inpn.mnhn.fr/espece/cd_nom/235190","Rhizophagus aeneus Richter, 1820")</f>
        <v>Rhizophagus aeneus Richter, 1820</v>
      </c>
      <c r="AH11860" s="4" t="str">
        <f>HYPERLINK("#Statut_biogéographique!A"&amp;_xlfn.XMATCH("P",Statut_biogéographique!A:A,2,1),"P")</f>
        <v>P</v>
      </c>
      <c r="AP11860" s="4" t="s">
        <v>376</v>
      </c>
      <c r="AR11860" s="4" t="s">
        <v>377</v>
      </c>
    </row>
    <row r="11861" spans="1:44">
      <c r="A11861" s="4" t="s">
        <v>10753</v>
      </c>
      <c r="B11861" s="4">
        <v>235191</v>
      </c>
      <c r="D11861" s="5" t="s">
        <v>14804</v>
      </c>
      <c r="E11861" s="6" t="str">
        <f>HYPERLINK("https://inpn.mnhn.fr/espece/cd_nom/235191","Rhizophagus depressus (Fabricius, 1792)")</f>
        <v>Rhizophagus depressus (Fabricius, 1792)</v>
      </c>
      <c r="AH11861" s="4" t="str">
        <f>HYPERLINK("#Statut_biogéographique!A"&amp;_xlfn.XMATCH("P",Statut_biogéographique!A:A,2,1),"P")</f>
        <v>P</v>
      </c>
      <c r="AP11861" s="4" t="s">
        <v>376</v>
      </c>
      <c r="AR11861" s="4" t="s">
        <v>377</v>
      </c>
    </row>
    <row r="11862" spans="1:44">
      <c r="A11862" s="4" t="s">
        <v>10753</v>
      </c>
      <c r="B11862" s="4">
        <v>235192</v>
      </c>
      <c r="D11862" s="5" t="s">
        <v>14805</v>
      </c>
      <c r="E11862" s="6" t="str">
        <f>HYPERLINK("https://inpn.mnhn.fr/espece/cd_nom/235192","Rhizophagus grandis Gyllenhal, 1827")</f>
        <v>Rhizophagus grandis Gyllenhal, 1827</v>
      </c>
      <c r="AH11862" s="4" t="str">
        <f>HYPERLINK("#Statut_biogéographique!A"&amp;_xlfn.XMATCH("P",Statut_biogéographique!A:A,2,1),"P")</f>
        <v>P</v>
      </c>
      <c r="AP11862" s="4" t="s">
        <v>376</v>
      </c>
      <c r="AR11862" s="4" t="s">
        <v>377</v>
      </c>
    </row>
    <row r="11863" spans="1:44">
      <c r="A11863" s="4" t="s">
        <v>10753</v>
      </c>
      <c r="B11863" s="4">
        <v>235194</v>
      </c>
      <c r="D11863" s="5" t="s">
        <v>14806</v>
      </c>
      <c r="E11863" s="6" t="str">
        <f>HYPERLINK("https://inpn.mnhn.fr/espece/cd_nom/235194","Rhizophagus dispar (Paykull, 1800)")</f>
        <v>Rhizophagus dispar (Paykull, 1800)</v>
      </c>
      <c r="AH11863" s="4" t="str">
        <f>HYPERLINK("#Statut_biogéographique!A"&amp;_xlfn.XMATCH("P",Statut_biogéographique!A:A,2,1),"P")</f>
        <v>P</v>
      </c>
      <c r="AP11863" s="4" t="s">
        <v>376</v>
      </c>
      <c r="AR11863" s="4" t="s">
        <v>377</v>
      </c>
    </row>
    <row r="11864" spans="1:44">
      <c r="A11864" s="4" t="s">
        <v>10753</v>
      </c>
      <c r="B11864" s="4">
        <v>235195</v>
      </c>
      <c r="D11864" s="5" t="s">
        <v>14807</v>
      </c>
      <c r="E11864" s="6" t="str">
        <f>HYPERLINK("https://inpn.mnhn.fr/espece/cd_nom/235195","Rhizophagus ferrugineus (Paykull, 1800)")</f>
        <v>Rhizophagus ferrugineus (Paykull, 1800)</v>
      </c>
      <c r="AH11864" s="4" t="str">
        <f>HYPERLINK("#Statut_biogéographique!A"&amp;_xlfn.XMATCH("P",Statut_biogéographique!A:A,2,1),"P")</f>
        <v>P</v>
      </c>
      <c r="AP11864" s="4" t="s">
        <v>376</v>
      </c>
      <c r="AR11864" s="4" t="s">
        <v>377</v>
      </c>
    </row>
    <row r="11865" spans="1:44">
      <c r="A11865" s="4" t="s">
        <v>10753</v>
      </c>
      <c r="B11865" s="4">
        <v>235196</v>
      </c>
      <c r="D11865" s="5" t="s">
        <v>14808</v>
      </c>
      <c r="E11865" s="6" t="str">
        <f>HYPERLINK("https://inpn.mnhn.fr/espece/cd_nom/235196","Rhizophagus nitidulus (Fabricius, 1798)")</f>
        <v>Rhizophagus nitidulus (Fabricius, 1798)</v>
      </c>
      <c r="AH11865" s="4" t="str">
        <f>HYPERLINK("#Statut_biogéographique!A"&amp;_xlfn.XMATCH("P",Statut_biogéographique!A:A,2,1),"P")</f>
        <v>P</v>
      </c>
      <c r="AP11865" s="4" t="s">
        <v>376</v>
      </c>
      <c r="AR11865" s="4" t="s">
        <v>377</v>
      </c>
    </row>
    <row r="11866" spans="1:44" ht="30">
      <c r="A11866" s="4" t="s">
        <v>10753</v>
      </c>
      <c r="B11866" s="4">
        <v>235198</v>
      </c>
      <c r="D11866" s="5" t="s">
        <v>14809</v>
      </c>
      <c r="E11866" s="6" t="str">
        <f>HYPERLINK("https://inpn.mnhn.fr/espece/cd_nom/235198","Rhizophagus parallelocollis Gyllenhal, 1827")</f>
        <v>Rhizophagus parallelocollis Gyllenhal, 1827</v>
      </c>
      <c r="AH11866" s="4" t="str">
        <f>HYPERLINK("#Statut_biogéographique!A"&amp;_xlfn.XMATCH("P",Statut_biogéographique!A:A,2,1),"P")</f>
        <v>P</v>
      </c>
      <c r="AP11866" s="4" t="s">
        <v>376</v>
      </c>
      <c r="AR11866" s="4" t="s">
        <v>377</v>
      </c>
    </row>
    <row r="11867" spans="1:44">
      <c r="A11867" s="4" t="s">
        <v>10753</v>
      </c>
      <c r="B11867" s="4">
        <v>235200</v>
      </c>
      <c r="D11867" s="5" t="s">
        <v>14810</v>
      </c>
      <c r="E11867" s="6" t="str">
        <f>HYPERLINK("https://inpn.mnhn.fr/espece/cd_nom/235200","Rhizophagus perforatus Erichson, 1845")</f>
        <v>Rhizophagus perforatus Erichson, 1845</v>
      </c>
      <c r="AH11867" s="4" t="str">
        <f>HYPERLINK("#Statut_biogéographique!A"&amp;_xlfn.XMATCH("P",Statut_biogéographique!A:A,2,1),"P")</f>
        <v>P</v>
      </c>
      <c r="AP11867" s="4" t="s">
        <v>376</v>
      </c>
      <c r="AR11867" s="4" t="s">
        <v>377</v>
      </c>
    </row>
    <row r="11868" spans="1:44">
      <c r="A11868" s="4" t="s">
        <v>10753</v>
      </c>
      <c r="B11868" s="4">
        <v>235201</v>
      </c>
      <c r="D11868" s="5" t="s">
        <v>14811</v>
      </c>
      <c r="E11868" s="6" t="str">
        <f>HYPERLINK("https://inpn.mnhn.fr/espece/cd_nom/235201","Rhizophagus picipes (Olivier, 1790)")</f>
        <v>Rhizophagus picipes (Olivier, 1790)</v>
      </c>
      <c r="AH11868" s="4" t="str">
        <f>HYPERLINK("#Statut_biogéographique!A"&amp;_xlfn.XMATCH("P",Statut_biogéographique!A:A,2,1),"P")</f>
        <v>P</v>
      </c>
      <c r="AP11868" s="4" t="s">
        <v>376</v>
      </c>
      <c r="AR11868" s="4" t="s">
        <v>377</v>
      </c>
    </row>
    <row r="11869" spans="1:44">
      <c r="A11869" s="4" t="s">
        <v>10753</v>
      </c>
      <c r="B11869" s="4">
        <v>235203</v>
      </c>
      <c r="D11869" s="5" t="s">
        <v>14812</v>
      </c>
      <c r="E11869" s="6" t="str">
        <f>HYPERLINK("https://inpn.mnhn.fr/espece/cd_nom/235203","Monotoma angusticollis (Gyllenhal, 1827)")</f>
        <v>Monotoma angusticollis (Gyllenhal, 1827)</v>
      </c>
      <c r="AH11869" s="4" t="str">
        <f>HYPERLINK("#Statut_biogéographique!A"&amp;_xlfn.XMATCH("P",Statut_biogéographique!A:A,2,1),"P")</f>
        <v>P</v>
      </c>
      <c r="AP11869" s="4" t="s">
        <v>376</v>
      </c>
      <c r="AR11869" s="4" t="s">
        <v>377</v>
      </c>
    </row>
    <row r="11870" spans="1:44">
      <c r="A11870" s="4" t="s">
        <v>10753</v>
      </c>
      <c r="B11870" s="4">
        <v>235204</v>
      </c>
      <c r="D11870" s="5">
        <v>235204</v>
      </c>
      <c r="E11870" s="6" t="str">
        <f>HYPERLINK("https://inpn.mnhn.fr/espece/cd_nom/235204","Monotoma conicicollis Aubé, 1838")</f>
        <v>Monotoma conicicollis Aubé, 1838</v>
      </c>
      <c r="AH11870" s="4" t="str">
        <f>HYPERLINK("#Statut_biogéographique!A"&amp;_xlfn.XMATCH("P",Statut_biogéographique!A:A,2,1),"P")</f>
        <v>P</v>
      </c>
      <c r="AP11870" s="4" t="s">
        <v>376</v>
      </c>
      <c r="AR11870" s="4" t="s">
        <v>377</v>
      </c>
    </row>
    <row r="11871" spans="1:44">
      <c r="A11871" s="4" t="s">
        <v>10753</v>
      </c>
      <c r="B11871" s="4">
        <v>235205</v>
      </c>
      <c r="D11871" s="5" t="s">
        <v>14813</v>
      </c>
      <c r="E11871" s="6" t="str">
        <f>HYPERLINK("https://inpn.mnhn.fr/espece/cd_nom/235205","Monotoma brevicollis Aubé, 1838")</f>
        <v>Monotoma brevicollis Aubé, 1838</v>
      </c>
      <c r="AH11871" s="4" t="str">
        <f>HYPERLINK("#Statut_biogéographique!A"&amp;_xlfn.XMATCH("P",Statut_biogéographique!A:A,2,1),"P")</f>
        <v>P</v>
      </c>
      <c r="AP11871" s="4" t="s">
        <v>376</v>
      </c>
      <c r="AR11871" s="4" t="s">
        <v>377</v>
      </c>
    </row>
    <row r="11872" spans="1:44" ht="30">
      <c r="A11872" s="4" t="s">
        <v>10753</v>
      </c>
      <c r="B11872" s="4">
        <v>235209</v>
      </c>
      <c r="D11872" s="5" t="s">
        <v>14814</v>
      </c>
      <c r="E11872" s="6" t="str">
        <f>HYPERLINK("https://inpn.mnhn.fr/espece/cd_nom/235209","Monotoma picipes Herbst, 1793")</f>
        <v>Monotoma picipes Herbst, 1793</v>
      </c>
      <c r="AH11872" s="4" t="str">
        <f>HYPERLINK("#Statut_biogéographique!A"&amp;_xlfn.XMATCH("P",Statut_biogéographique!A:A,2,1),"P")</f>
        <v>P</v>
      </c>
      <c r="AP11872" s="4" t="s">
        <v>376</v>
      </c>
      <c r="AR11872" s="4" t="s">
        <v>377</v>
      </c>
    </row>
    <row r="11873" spans="1:44">
      <c r="A11873" s="4" t="s">
        <v>10753</v>
      </c>
      <c r="B11873" s="4">
        <v>235211</v>
      </c>
      <c r="D11873" s="5">
        <v>235211</v>
      </c>
      <c r="E11873" s="6" t="str">
        <f>HYPERLINK("https://inpn.mnhn.fr/espece/cd_nom/235211","Monotoma quadricollis Aubé, 1838")</f>
        <v>Monotoma quadricollis Aubé, 1838</v>
      </c>
      <c r="AH11873" s="4" t="str">
        <f>HYPERLINK("#Statut_biogéographique!A"&amp;_xlfn.XMATCH("P",Statut_biogéographique!A:A,2,1),"P")</f>
        <v>P</v>
      </c>
      <c r="AP11873" s="4" t="s">
        <v>376</v>
      </c>
      <c r="AR11873" s="4" t="s">
        <v>377</v>
      </c>
    </row>
    <row r="11874" spans="1:44">
      <c r="A11874" s="4" t="s">
        <v>10753</v>
      </c>
      <c r="B11874" s="4">
        <v>235212</v>
      </c>
      <c r="D11874" s="5" t="s">
        <v>14815</v>
      </c>
      <c r="E11874" s="6" t="str">
        <f>HYPERLINK("https://inpn.mnhn.fr/espece/cd_nom/235212","Monotoma spinicollis Aubé, 1838")</f>
        <v>Monotoma spinicollis Aubé, 1838</v>
      </c>
      <c r="AH11874" s="4" t="str">
        <f>HYPERLINK("#Statut_biogéographique!A"&amp;_xlfn.XMATCH("P",Statut_biogéographique!A:A,2,1),"P")</f>
        <v>P</v>
      </c>
      <c r="AP11874" s="4" t="s">
        <v>376</v>
      </c>
      <c r="AR11874" s="4" t="s">
        <v>377</v>
      </c>
    </row>
    <row r="11875" spans="1:44">
      <c r="A11875" s="4" t="s">
        <v>10753</v>
      </c>
      <c r="B11875" s="4">
        <v>235215</v>
      </c>
      <c r="D11875" s="5" t="s">
        <v>14816</v>
      </c>
      <c r="E11875" s="6" t="str">
        <f>HYPERLINK("https://inpn.mnhn.fr/espece/cd_nom/235215","Tolida artemisiae (Mulsant, 1856)")</f>
        <v>Tolida artemisiae (Mulsant, 1856)</v>
      </c>
      <c r="AH11875" s="4" t="str">
        <f>HYPERLINK("#Statut_biogéographique!A"&amp;_xlfn.XMATCH("P",Statut_biogéographique!A:A,2,1),"P")</f>
        <v>P</v>
      </c>
      <c r="AP11875" s="4" t="s">
        <v>376</v>
      </c>
      <c r="AR11875" s="4" t="s">
        <v>377</v>
      </c>
    </row>
    <row r="11876" spans="1:44" ht="30">
      <c r="A11876" s="4" t="s">
        <v>10753</v>
      </c>
      <c r="B11876" s="4">
        <v>235217</v>
      </c>
      <c r="D11876" s="5" t="s">
        <v>14817</v>
      </c>
      <c r="E11876" s="6" t="str">
        <f>HYPERLINK("https://inpn.mnhn.fr/espece/cd_nom/235217","Mordellochroa abdominalis (Fabricius, 1775)")</f>
        <v>Mordellochroa abdominalis (Fabricius, 1775)</v>
      </c>
      <c r="F11876" s="5" t="s">
        <v>14818</v>
      </c>
      <c r="AH11876" s="4" t="str">
        <f>HYPERLINK("#Statut_biogéographique!A"&amp;_xlfn.XMATCH("P",Statut_biogéographique!A:A,2,1),"P")</f>
        <v>P</v>
      </c>
      <c r="AP11876" s="4" t="s">
        <v>376</v>
      </c>
      <c r="AR11876" s="4" t="s">
        <v>377</v>
      </c>
    </row>
    <row r="11877" spans="1:44" ht="30">
      <c r="A11877" s="4" t="s">
        <v>10753</v>
      </c>
      <c r="B11877" s="4">
        <v>235221</v>
      </c>
      <c r="D11877" s="5" t="s">
        <v>14819</v>
      </c>
      <c r="E11877" s="6" t="str">
        <f>HYPERLINK("https://inpn.mnhn.fr/espece/cd_nom/235221","Mordellochroa tournieri (Emery, 1876)")</f>
        <v>Mordellochroa tournieri (Emery, 1876)</v>
      </c>
      <c r="AH11877" s="4" t="str">
        <f>HYPERLINK("#Statut_biogéographique!A"&amp;_xlfn.XMATCH("P",Statut_biogéographique!A:A,2,1),"P")</f>
        <v>P</v>
      </c>
      <c r="AP11877" s="4" t="s">
        <v>376</v>
      </c>
      <c r="AR11877" s="4" t="s">
        <v>377</v>
      </c>
    </row>
    <row r="11878" spans="1:44">
      <c r="A11878" s="4" t="s">
        <v>10753</v>
      </c>
      <c r="B11878" s="4">
        <v>235244</v>
      </c>
      <c r="D11878" s="5">
        <v>235244</v>
      </c>
      <c r="E11878" s="6" t="str">
        <f>HYPERLINK("https://inpn.mnhn.fr/espece/cd_nom/235244","Mordellistena kraatzi Emery, 1876")</f>
        <v>Mordellistena kraatzi Emery, 1876</v>
      </c>
      <c r="AH11878" s="4" t="str">
        <f>HYPERLINK("#Statut_biogéographique!A"&amp;_xlfn.XMATCH("P",Statut_biogéographique!A:A,2,1),"P")</f>
        <v>P</v>
      </c>
      <c r="AP11878" s="4" t="s">
        <v>376</v>
      </c>
      <c r="AR11878" s="4" t="s">
        <v>377</v>
      </c>
    </row>
    <row r="11879" spans="1:44" ht="30">
      <c r="A11879" s="4" t="s">
        <v>10753</v>
      </c>
      <c r="B11879" s="4">
        <v>235249</v>
      </c>
      <c r="D11879" s="5" t="s">
        <v>14820</v>
      </c>
      <c r="E11879" s="6" t="str">
        <f>HYPERLINK("https://inpn.mnhn.fr/espece/cd_nom/235249","Mordellistena neuwaldeggiana (Panzer, 1796)")</f>
        <v>Mordellistena neuwaldeggiana (Panzer, 1796)</v>
      </c>
      <c r="AH11879" s="4" t="str">
        <f>HYPERLINK("#Statut_biogéographique!A"&amp;_xlfn.XMATCH("P",Statut_biogéographique!A:A,2,1),"P")</f>
        <v>P</v>
      </c>
      <c r="AP11879" s="4" t="s">
        <v>376</v>
      </c>
      <c r="AR11879" s="4" t="s">
        <v>377</v>
      </c>
    </row>
    <row r="11880" spans="1:44">
      <c r="A11880" s="4" t="s">
        <v>10753</v>
      </c>
      <c r="B11880" s="4">
        <v>235251</v>
      </c>
      <c r="D11880" s="5">
        <v>235251</v>
      </c>
      <c r="E11880" s="6" t="str">
        <f>HYPERLINK("https://inpn.mnhn.fr/espece/cd_nom/235251","Mordellistena perroudi Mulsant, 1856")</f>
        <v>Mordellistena perroudi Mulsant, 1856</v>
      </c>
      <c r="AH11880" s="4" t="str">
        <f>HYPERLINK("#Statut_biogéographique!A"&amp;_xlfn.XMATCH("P",Statut_biogéographique!A:A,2,1),"P")</f>
        <v>P</v>
      </c>
      <c r="AP11880" s="4" t="s">
        <v>376</v>
      </c>
      <c r="AR11880" s="4" t="s">
        <v>377</v>
      </c>
    </row>
    <row r="11881" spans="1:44">
      <c r="A11881" s="4" t="s">
        <v>10753</v>
      </c>
      <c r="B11881" s="4">
        <v>235255</v>
      </c>
      <c r="D11881" s="5" t="s">
        <v>14821</v>
      </c>
      <c r="E11881" s="6" t="str">
        <f>HYPERLINK("https://inpn.mnhn.fr/espece/cd_nom/235255","Mordellistena pumila (Gyllenhal, 1810)")</f>
        <v>Mordellistena pumila (Gyllenhal, 1810)</v>
      </c>
      <c r="AH11881" s="4" t="str">
        <f>HYPERLINK("#Statut_biogéographique!A"&amp;_xlfn.XMATCH("P",Statut_biogéographique!A:A,2,1),"P")</f>
        <v>P</v>
      </c>
      <c r="AP11881" s="4" t="s">
        <v>376</v>
      </c>
      <c r="AR11881" s="4" t="s">
        <v>377</v>
      </c>
    </row>
    <row r="11882" spans="1:44" ht="45">
      <c r="A11882" s="4" t="s">
        <v>10753</v>
      </c>
      <c r="B11882" s="4">
        <v>235273</v>
      </c>
      <c r="D11882" s="5" t="s">
        <v>14822</v>
      </c>
      <c r="E11882" s="6" t="str">
        <f>HYPERLINK("https://inpn.mnhn.fr/espece/cd_nom/235273","Variimorda villosa (Schrank, 1781)")</f>
        <v>Variimorda villosa (Schrank, 1781)</v>
      </c>
      <c r="F11882" s="5" t="s">
        <v>14823</v>
      </c>
      <c r="AH11882" s="4" t="str">
        <f>HYPERLINK("#Statut_biogéographique!A"&amp;_xlfn.XMATCH("P",Statut_biogéographique!A:A,2,1),"P")</f>
        <v>P</v>
      </c>
      <c r="AP11882" s="4" t="s">
        <v>376</v>
      </c>
      <c r="AR11882" s="4" t="s">
        <v>377</v>
      </c>
    </row>
    <row r="11883" spans="1:44">
      <c r="A11883" s="4" t="s">
        <v>10753</v>
      </c>
      <c r="B11883" s="4">
        <v>235275</v>
      </c>
      <c r="D11883" s="5">
        <v>235275</v>
      </c>
      <c r="E11883" s="6" t="str">
        <f>HYPERLINK("https://inpn.mnhn.fr/espece/cd_nom/235275","Tomoxia bucephala A. Costa, 1854")</f>
        <v>Tomoxia bucephala A. Costa, 1854</v>
      </c>
      <c r="AH11883" s="4" t="str">
        <f>HYPERLINK("#Statut_biogéographique!A"&amp;_xlfn.XMATCH("P",Statut_biogéographique!A:A,2,1),"P")</f>
        <v>P</v>
      </c>
      <c r="AP11883" s="4" t="s">
        <v>376</v>
      </c>
      <c r="AR11883" s="4" t="s">
        <v>377</v>
      </c>
    </row>
    <row r="11884" spans="1:44">
      <c r="A11884" s="4" t="s">
        <v>10753</v>
      </c>
      <c r="B11884" s="4">
        <v>235276</v>
      </c>
      <c r="D11884" s="5" t="s">
        <v>14824</v>
      </c>
      <c r="E11884" s="6" t="str">
        <f>HYPERLINK("https://inpn.mnhn.fr/espece/cd_nom/235276","Mordellaria aurofasciata (Comolli, 1837)")</f>
        <v>Mordellaria aurofasciata (Comolli, 1837)</v>
      </c>
      <c r="AH11884" s="4" t="str">
        <f>HYPERLINK("#Statut_biogéographique!A"&amp;_xlfn.XMATCH("P",Statut_biogéographique!A:A,2,1),"P")</f>
        <v>P</v>
      </c>
      <c r="AP11884" s="4" t="s">
        <v>376</v>
      </c>
      <c r="AR11884" s="4" t="s">
        <v>377</v>
      </c>
    </row>
    <row r="11885" spans="1:44">
      <c r="A11885" s="4" t="s">
        <v>10753</v>
      </c>
      <c r="B11885" s="4">
        <v>235277</v>
      </c>
      <c r="D11885" s="5">
        <v>235277</v>
      </c>
      <c r="E11885" s="6" t="str">
        <f>HYPERLINK("https://inpn.mnhn.fr/espece/cd_nom/235277","Mordella brachyura Mulsant, 1856")</f>
        <v>Mordella brachyura Mulsant, 1856</v>
      </c>
      <c r="AH11885" s="4" t="str">
        <f>HYPERLINK("#Statut_biogéographique!A"&amp;_xlfn.XMATCH("P",Statut_biogéographique!A:A,2,1),"P")</f>
        <v>P</v>
      </c>
      <c r="AP11885" s="4" t="s">
        <v>376</v>
      </c>
      <c r="AR11885" s="4" t="s">
        <v>377</v>
      </c>
    </row>
    <row r="11886" spans="1:44">
      <c r="A11886" s="4" t="s">
        <v>10753</v>
      </c>
      <c r="B11886" s="4">
        <v>235278</v>
      </c>
      <c r="D11886" s="5">
        <v>235278</v>
      </c>
      <c r="E11886" s="6" t="str">
        <f>HYPERLINK("https://inpn.mnhn.fr/espece/cd_nom/235278","Mordella holomelaena Apfelbeck, 1914")</f>
        <v>Mordella holomelaena Apfelbeck, 1914</v>
      </c>
      <c r="AH11886" s="4" t="str">
        <f>HYPERLINK("#Statut_biogéographique!A"&amp;_xlfn.XMATCH("P",Statut_biogéographique!A:A,2,1),"P")</f>
        <v>P</v>
      </c>
      <c r="AP11886" s="4" t="s">
        <v>376</v>
      </c>
      <c r="AR11886" s="4" t="s">
        <v>377</v>
      </c>
    </row>
    <row r="11887" spans="1:44">
      <c r="A11887" s="4" t="s">
        <v>10753</v>
      </c>
      <c r="B11887" s="4">
        <v>235280</v>
      </c>
      <c r="D11887" s="5" t="s">
        <v>14825</v>
      </c>
      <c r="E11887" s="6" t="str">
        <f>HYPERLINK("https://inpn.mnhn.fr/espece/cd_nom/235280","Mordella leucaspis Küster, 1849")</f>
        <v>Mordella leucaspis Küster, 1849</v>
      </c>
      <c r="AH11887" s="4" t="str">
        <f>HYPERLINK("#Statut_biogéographique!A"&amp;_xlfn.XMATCH("P",Statut_biogéographique!A:A,2,1),"P")</f>
        <v>P</v>
      </c>
      <c r="AP11887" s="4" t="s">
        <v>376</v>
      </c>
      <c r="AR11887" s="4" t="s">
        <v>377</v>
      </c>
    </row>
    <row r="11888" spans="1:44" ht="30">
      <c r="A11888" s="4" t="s">
        <v>10753</v>
      </c>
      <c r="B11888" s="4">
        <v>235292</v>
      </c>
      <c r="D11888" s="5" t="s">
        <v>14826</v>
      </c>
      <c r="E11888" s="6" t="str">
        <f>HYPERLINK("https://inpn.mnhn.fr/espece/cd_nom/235292","Curtimorda maculosa (Naezen, 1794)")</f>
        <v>Curtimorda maculosa (Naezen, 1794)</v>
      </c>
      <c r="AH11888" s="4" t="str">
        <f>HYPERLINK("#Statut_biogéographique!A"&amp;_xlfn.XMATCH("P",Statut_biogéographique!A:A,2,1),"P")</f>
        <v>P</v>
      </c>
      <c r="AP11888" s="4" t="s">
        <v>376</v>
      </c>
      <c r="AR11888" s="4" t="s">
        <v>377</v>
      </c>
    </row>
    <row r="11889" spans="1:44" ht="30">
      <c r="A11889" s="4" t="s">
        <v>10753</v>
      </c>
      <c r="B11889" s="4">
        <v>235299</v>
      </c>
      <c r="D11889" s="5" t="s">
        <v>14827</v>
      </c>
      <c r="E11889" s="6" t="str">
        <f>HYPERLINK("https://inpn.mnhn.fr/espece/cd_nom/235299","Acrotrichis fascicularis (Herbst, 1793)")</f>
        <v>Acrotrichis fascicularis (Herbst, 1793)</v>
      </c>
      <c r="AH11889" s="4" t="str">
        <f>HYPERLINK("#Statut_biogéographique!A"&amp;_xlfn.XMATCH("P",Statut_biogéographique!A:A,2,1),"P")</f>
        <v>P</v>
      </c>
      <c r="AP11889" s="4" t="s">
        <v>376</v>
      </c>
      <c r="AR11889" s="4" t="s">
        <v>377</v>
      </c>
    </row>
    <row r="11890" spans="1:44">
      <c r="A11890" s="4" t="s">
        <v>10753</v>
      </c>
      <c r="B11890" s="4">
        <v>235301</v>
      </c>
      <c r="D11890" s="5" t="s">
        <v>14828</v>
      </c>
      <c r="E11890" s="6" t="str">
        <f>HYPERLINK("https://inpn.mnhn.fr/espece/cd_nom/235301","Acrotrichis intermedia (Gillmeister, 1845)")</f>
        <v>Acrotrichis intermedia (Gillmeister, 1845)</v>
      </c>
      <c r="AH11890" s="4" t="str">
        <f>HYPERLINK("#Statut_biogéographique!A"&amp;_xlfn.XMATCH("P",Statut_biogéographique!A:A,2,1),"P")</f>
        <v>P</v>
      </c>
      <c r="AP11890" s="4" t="s">
        <v>376</v>
      </c>
      <c r="AR11890" s="4" t="s">
        <v>377</v>
      </c>
    </row>
    <row r="11891" spans="1:44" ht="30">
      <c r="A11891" s="4" t="s">
        <v>10753</v>
      </c>
      <c r="B11891" s="4">
        <v>235316</v>
      </c>
      <c r="D11891" s="5" t="s">
        <v>14829</v>
      </c>
      <c r="E11891" s="6" t="str">
        <f>HYPERLINK("https://inpn.mnhn.fr/espece/cd_nom/235316","Pteryx suturalis (Heer, 1841)")</f>
        <v>Pteryx suturalis (Heer, 1841)</v>
      </c>
      <c r="AH11891" s="4" t="str">
        <f>HYPERLINK("#Statut_biogéographique!A"&amp;_xlfn.XMATCH("P",Statut_biogéographique!A:A,2,1),"P")</f>
        <v>P</v>
      </c>
      <c r="AP11891" s="4" t="s">
        <v>376</v>
      </c>
      <c r="AR11891" s="4" t="s">
        <v>377</v>
      </c>
    </row>
    <row r="11892" spans="1:44" ht="30">
      <c r="A11892" s="4" t="s">
        <v>10753</v>
      </c>
      <c r="B11892" s="4">
        <v>235319</v>
      </c>
      <c r="D11892" s="5" t="s">
        <v>14830</v>
      </c>
      <c r="E11892" s="6" t="str">
        <f>HYPERLINK("https://inpn.mnhn.fr/espece/cd_nom/235319","Ptinella limbata (Heer, 1841)")</f>
        <v>Ptinella limbata (Heer, 1841)</v>
      </c>
      <c r="AH11892" s="4" t="str">
        <f>HYPERLINK("#Statut_biogéographique!A"&amp;_xlfn.XMATCH("P",Statut_biogéographique!A:A,2,1),"P")</f>
        <v>P</v>
      </c>
      <c r="AP11892" s="4" t="s">
        <v>376</v>
      </c>
      <c r="AR11892" s="4" t="s">
        <v>377</v>
      </c>
    </row>
    <row r="11893" spans="1:44" ht="75">
      <c r="A11893" s="4" t="s">
        <v>10753</v>
      </c>
      <c r="B11893" s="4">
        <v>235366</v>
      </c>
      <c r="D11893" s="5" t="s">
        <v>14831</v>
      </c>
      <c r="E11893" s="6" t="str">
        <f>HYPERLINK("https://inpn.mnhn.fr/espece/cd_nom/235366","Metoecus paradoxus (Linnaeus, 1761)")</f>
        <v>Metoecus paradoxus (Linnaeus, 1761)</v>
      </c>
      <c r="F11893" s="5" t="s">
        <v>14832</v>
      </c>
      <c r="AH11893" s="4" t="str">
        <f>HYPERLINK("#Statut_biogéographique!A"&amp;_xlfn.XMATCH("P",Statut_biogéographique!A:A,2,1),"P")</f>
        <v>P</v>
      </c>
      <c r="AP11893" s="4" t="s">
        <v>376</v>
      </c>
      <c r="AR11893" s="4" t="s">
        <v>377</v>
      </c>
    </row>
    <row r="11894" spans="1:44" ht="45">
      <c r="A11894" s="4" t="s">
        <v>10753</v>
      </c>
      <c r="B11894" s="4">
        <v>235373</v>
      </c>
      <c r="D11894" s="5" t="s">
        <v>14833</v>
      </c>
      <c r="E11894" s="6" t="str">
        <f>HYPERLINK("https://inpn.mnhn.fr/espece/cd_nom/235373","Ripidius quadriceps Abeille de Perrin, 1872")</f>
        <v>Ripidius quadriceps Abeille de Perrin, 1872</v>
      </c>
      <c r="AH11894" s="4" t="str">
        <f>HYPERLINK("#Statut_biogéographique!A"&amp;_xlfn.XMATCH("P",Statut_biogéographique!A:A,2,1),"P")</f>
        <v>P</v>
      </c>
      <c r="AP11894" s="4" t="s">
        <v>376</v>
      </c>
      <c r="AR11894" s="4" t="s">
        <v>377</v>
      </c>
    </row>
    <row r="11895" spans="1:44">
      <c r="A11895" s="4" t="s">
        <v>10753</v>
      </c>
      <c r="B11895" s="4">
        <v>235377</v>
      </c>
      <c r="D11895" s="5" t="s">
        <v>14834</v>
      </c>
      <c r="E11895" s="6" t="str">
        <f>HYPERLINK("https://inpn.mnhn.fr/espece/cd_nom/235377","Anaspis fasciata (Forster, 1771)")</f>
        <v>Anaspis fasciata (Forster, 1771)</v>
      </c>
      <c r="AH11895" s="4" t="str">
        <f>HYPERLINK("#Statut_biogéographique!A"&amp;_xlfn.XMATCH("P",Statut_biogéographique!A:A,2,1),"P")</f>
        <v>P</v>
      </c>
      <c r="AP11895" s="4" t="s">
        <v>376</v>
      </c>
      <c r="AR11895" s="4" t="s">
        <v>377</v>
      </c>
    </row>
    <row r="11896" spans="1:44">
      <c r="A11896" s="4" t="s">
        <v>10753</v>
      </c>
      <c r="B11896" s="4">
        <v>235378</v>
      </c>
      <c r="D11896" s="5" t="s">
        <v>14835</v>
      </c>
      <c r="E11896" s="6" t="str">
        <f>HYPERLINK("https://inpn.mnhn.fr/espece/cd_nom/235378","Anaspis lurida Stephens, 1832")</f>
        <v>Anaspis lurida Stephens, 1832</v>
      </c>
      <c r="AH11896" s="4" t="str">
        <f>HYPERLINK("#Statut_biogéographique!A"&amp;_xlfn.XMATCH("P",Statut_biogéographique!A:A,2,1),"P")</f>
        <v>P</v>
      </c>
      <c r="AP11896" s="4" t="s">
        <v>376</v>
      </c>
      <c r="AR11896" s="4" t="s">
        <v>377</v>
      </c>
    </row>
    <row r="11897" spans="1:44">
      <c r="A11897" s="4" t="s">
        <v>10753</v>
      </c>
      <c r="B11897" s="4">
        <v>235381</v>
      </c>
      <c r="D11897" s="5" t="s">
        <v>14836</v>
      </c>
      <c r="E11897" s="6" t="str">
        <f>HYPERLINK("https://inpn.mnhn.fr/espece/cd_nom/235381","Anaspis regimbarti Schilsky, 1895")</f>
        <v>Anaspis regimbarti Schilsky, 1895</v>
      </c>
      <c r="AH11897" s="4" t="str">
        <f>HYPERLINK("#Statut_biogéographique!A"&amp;_xlfn.XMATCH("P",Statut_biogéographique!A:A,2,1),"P")</f>
        <v>P</v>
      </c>
      <c r="AP11897" s="4" t="s">
        <v>376</v>
      </c>
      <c r="AR11897" s="4" t="s">
        <v>377</v>
      </c>
    </row>
    <row r="11898" spans="1:44">
      <c r="A11898" s="4" t="s">
        <v>10753</v>
      </c>
      <c r="B11898" s="4">
        <v>235382</v>
      </c>
      <c r="D11898" s="5" t="s">
        <v>14837</v>
      </c>
      <c r="E11898" s="6" t="str">
        <f>HYPERLINK("https://inpn.mnhn.fr/espece/cd_nom/235382","Anaspis ruficollis (Fabricius, 1792)")</f>
        <v>Anaspis ruficollis (Fabricius, 1792)</v>
      </c>
      <c r="AH11898" s="4" t="str">
        <f>HYPERLINK("#Statut_biogéographique!A"&amp;_xlfn.XMATCH("P",Statut_biogéographique!A:A,2,1),"P")</f>
        <v>P</v>
      </c>
      <c r="AP11898" s="4" t="s">
        <v>376</v>
      </c>
      <c r="AR11898" s="4" t="s">
        <v>377</v>
      </c>
    </row>
    <row r="11899" spans="1:44" ht="30">
      <c r="A11899" s="4" t="s">
        <v>10753</v>
      </c>
      <c r="B11899" s="4">
        <v>235383</v>
      </c>
      <c r="D11899" s="5" t="s">
        <v>14838</v>
      </c>
      <c r="E11899" s="6" t="str">
        <f>HYPERLINK("https://inpn.mnhn.fr/espece/cd_nom/235383","Anaspis thoracica (Linnaeus, 1758)")</f>
        <v>Anaspis thoracica (Linnaeus, 1758)</v>
      </c>
      <c r="F11899" s="5" t="s">
        <v>14839</v>
      </c>
      <c r="AH11899" s="4" t="str">
        <f>HYPERLINK("#Statut_biogéographique!A"&amp;_xlfn.XMATCH("P",Statut_biogéographique!A:A,2,1),"P")</f>
        <v>P</v>
      </c>
      <c r="AP11899" s="4" t="s">
        <v>376</v>
      </c>
      <c r="AR11899" s="4" t="s">
        <v>377</v>
      </c>
    </row>
    <row r="11900" spans="1:44">
      <c r="A11900" s="4" t="s">
        <v>10753</v>
      </c>
      <c r="B11900" s="4">
        <v>235384</v>
      </c>
      <c r="D11900" s="5" t="s">
        <v>14840</v>
      </c>
      <c r="E11900" s="6" t="str">
        <f>HYPERLINK("https://inpn.mnhn.fr/espece/cd_nom/235384","Anaspis costai Emery, 1876")</f>
        <v>Anaspis costai Emery, 1876</v>
      </c>
      <c r="AH11900" s="4" t="str">
        <f>HYPERLINK("#Statut_biogéographique!A"&amp;_xlfn.XMATCH("P",Statut_biogéographique!A:A,2,1),"P")</f>
        <v>P</v>
      </c>
      <c r="AP11900" s="4" t="s">
        <v>376</v>
      </c>
      <c r="AR11900" s="4" t="s">
        <v>377</v>
      </c>
    </row>
    <row r="11901" spans="1:44">
      <c r="A11901" s="4" t="s">
        <v>10753</v>
      </c>
      <c r="B11901" s="4">
        <v>235385</v>
      </c>
      <c r="D11901" s="5" t="s">
        <v>14841</v>
      </c>
      <c r="E11901" s="6" t="str">
        <f>HYPERLINK("https://inpn.mnhn.fr/espece/cd_nom/235385","Anaspis flava (Linnaeus, 1758)")</f>
        <v>Anaspis flava (Linnaeus, 1758)</v>
      </c>
      <c r="AH11901" s="4" t="str">
        <f>HYPERLINK("#Statut_biogéographique!A"&amp;_xlfn.XMATCH("P",Statut_biogéographique!A:A,2,1),"P")</f>
        <v>P</v>
      </c>
      <c r="AP11901" s="4" t="s">
        <v>376</v>
      </c>
      <c r="AR11901" s="4" t="s">
        <v>377</v>
      </c>
    </row>
    <row r="11902" spans="1:44">
      <c r="A11902" s="4" t="s">
        <v>10753</v>
      </c>
      <c r="B11902" s="4">
        <v>235386</v>
      </c>
      <c r="D11902" s="5" t="s">
        <v>14842</v>
      </c>
      <c r="E11902" s="6" t="str">
        <f>HYPERLINK("https://inpn.mnhn.fr/espece/cd_nom/235386","Anaspis melanostoma Costa, 1854")</f>
        <v>Anaspis melanostoma Costa, 1854</v>
      </c>
      <c r="AH11902" s="4" t="str">
        <f>HYPERLINK("#Statut_biogéographique!A"&amp;_xlfn.XMATCH("P",Statut_biogéographique!A:A,2,1),"P")</f>
        <v>P</v>
      </c>
      <c r="AP11902" s="4" t="s">
        <v>376</v>
      </c>
      <c r="AR11902" s="4" t="s">
        <v>377</v>
      </c>
    </row>
    <row r="11903" spans="1:44">
      <c r="A11903" s="4" t="s">
        <v>10753</v>
      </c>
      <c r="B11903" s="4">
        <v>235387</v>
      </c>
      <c r="D11903" s="5" t="s">
        <v>14843</v>
      </c>
      <c r="E11903" s="6" t="str">
        <f>HYPERLINK("https://inpn.mnhn.fr/espece/cd_nom/235387","Anaspis rufilabris (Gyllenhall, 1827)")</f>
        <v>Anaspis rufilabris (Gyllenhall, 1827)</v>
      </c>
      <c r="AH11903" s="4" t="str">
        <f>HYPERLINK("#Statut_biogéographique!A"&amp;_xlfn.XMATCH("P",Statut_biogéographique!A:A,2,1),"P")</f>
        <v>P</v>
      </c>
      <c r="AP11903" s="4" t="s">
        <v>376</v>
      </c>
      <c r="AR11903" s="4" t="s">
        <v>377</v>
      </c>
    </row>
    <row r="11904" spans="1:44">
      <c r="A11904" s="4" t="s">
        <v>10753</v>
      </c>
      <c r="B11904" s="4">
        <v>235390</v>
      </c>
      <c r="D11904" s="5" t="s">
        <v>14844</v>
      </c>
      <c r="E11904" s="6" t="str">
        <f>HYPERLINK("https://inpn.mnhn.fr/espece/cd_nom/235390","Anaspis quadrimaculata Gyllenhal, 1817")</f>
        <v>Anaspis quadrimaculata Gyllenhal, 1817</v>
      </c>
      <c r="AH11904" s="4" t="str">
        <f>HYPERLINK("#Statut_biogéographique!A"&amp;_xlfn.XMATCH("P",Statut_biogéographique!A:A,2,1),"P")</f>
        <v>P</v>
      </c>
      <c r="AP11904" s="4" t="s">
        <v>376</v>
      </c>
      <c r="AR11904" s="4" t="s">
        <v>377</v>
      </c>
    </row>
    <row r="11905" spans="1:44">
      <c r="A11905" s="4" t="s">
        <v>10753</v>
      </c>
      <c r="B11905" s="4">
        <v>235398</v>
      </c>
      <c r="D11905" s="5" t="s">
        <v>14845</v>
      </c>
      <c r="E11905" s="6" t="str">
        <f>HYPERLINK("https://inpn.mnhn.fr/espece/cd_nom/235398","Cyrtanaspis phalerata (Germar, 1847)")</f>
        <v>Cyrtanaspis phalerata (Germar, 1847)</v>
      </c>
      <c r="AH11905" s="4" t="str">
        <f>HYPERLINK("#Statut_biogéographique!A"&amp;_xlfn.XMATCH("P",Statut_biogéographique!A:A,2,1),"P")</f>
        <v>P</v>
      </c>
      <c r="AP11905" s="4" t="s">
        <v>376</v>
      </c>
      <c r="AR11905" s="4" t="s">
        <v>377</v>
      </c>
    </row>
    <row r="11906" spans="1:44">
      <c r="A11906" s="4" t="s">
        <v>10753</v>
      </c>
      <c r="B11906" s="4">
        <v>235403</v>
      </c>
      <c r="D11906" s="5" t="s">
        <v>14846</v>
      </c>
      <c r="E11906" s="6" t="str">
        <f>HYPERLINK("https://inpn.mnhn.fr/espece/cd_nom/235403","Scraptia dubia (Olivier, 1790)")</f>
        <v>Scraptia dubia (Olivier, 1790)</v>
      </c>
      <c r="AH11906" s="4" t="str">
        <f>HYPERLINK("#Statut_biogéographique!A"&amp;_xlfn.XMATCH("P",Statut_biogéographique!A:A,2,1),"P")</f>
        <v>P</v>
      </c>
      <c r="AP11906" s="4" t="s">
        <v>376</v>
      </c>
      <c r="AR11906" s="4" t="s">
        <v>377</v>
      </c>
    </row>
    <row r="11907" spans="1:44">
      <c r="A11907" s="4" t="s">
        <v>10753</v>
      </c>
      <c r="B11907" s="4">
        <v>235406</v>
      </c>
      <c r="D11907" s="5" t="s">
        <v>14847</v>
      </c>
      <c r="E11907" s="6" t="str">
        <f>HYPERLINK("https://inpn.mnhn.fr/espece/cd_nom/235406","Sphaerites glabratus (Fabricius, 1792)")</f>
        <v>Sphaerites glabratus (Fabricius, 1792)</v>
      </c>
      <c r="AH11907" s="4" t="str">
        <f>HYPERLINK("#Statut_biogéographique!A"&amp;_xlfn.XMATCH("P",Statut_biogéographique!A:A,2,1),"P")</f>
        <v>P</v>
      </c>
      <c r="AP11907" s="4" t="s">
        <v>376</v>
      </c>
      <c r="AR11907" s="4" t="s">
        <v>377</v>
      </c>
    </row>
    <row r="11908" spans="1:44">
      <c r="A11908" s="4" t="s">
        <v>10753</v>
      </c>
      <c r="B11908" s="4">
        <v>235407</v>
      </c>
      <c r="D11908" s="5" t="s">
        <v>14848</v>
      </c>
      <c r="E11908" s="6" t="str">
        <f>HYPERLINK("https://inpn.mnhn.fr/espece/cd_nom/235407","Aulonothroscus brevicollis (Bonvouloir, 1859)")</f>
        <v>Aulonothroscus brevicollis (Bonvouloir, 1859)</v>
      </c>
      <c r="AH11908" s="4" t="str">
        <f>HYPERLINK("#Statut_biogéographique!A"&amp;_xlfn.XMATCH("P",Statut_biogéographique!A:A,2,1),"P")</f>
        <v>P</v>
      </c>
      <c r="AP11908" s="4" t="s">
        <v>376</v>
      </c>
      <c r="AR11908" s="4" t="s">
        <v>377</v>
      </c>
    </row>
    <row r="11909" spans="1:44">
      <c r="A11909" s="4" t="s">
        <v>10753</v>
      </c>
      <c r="B11909" s="4">
        <v>235411</v>
      </c>
      <c r="D11909" s="5" t="s">
        <v>14849</v>
      </c>
      <c r="E11909" s="6" t="str">
        <f>HYPERLINK("https://inpn.mnhn.fr/espece/cd_nom/235411","Trixagus carinifrons (Bonvouloir, 1859)")</f>
        <v>Trixagus carinifrons (Bonvouloir, 1859)</v>
      </c>
      <c r="AH11909" s="4" t="str">
        <f>HYPERLINK("#Statut_biogéographique!A"&amp;_xlfn.XMATCH("P",Statut_biogéographique!A:A,2,1),"P")</f>
        <v>P</v>
      </c>
      <c r="AP11909" s="4" t="s">
        <v>376</v>
      </c>
      <c r="AR11909" s="4" t="s">
        <v>377</v>
      </c>
    </row>
    <row r="11910" spans="1:44" ht="30">
      <c r="A11910" s="4" t="s">
        <v>10753</v>
      </c>
      <c r="B11910" s="4">
        <v>235412</v>
      </c>
      <c r="D11910" s="5" t="s">
        <v>14850</v>
      </c>
      <c r="E11910" s="6" t="str">
        <f>HYPERLINK("https://inpn.mnhn.fr/espece/cd_nom/235412","Trixagus dermestoides (Linnaeus, 1767)")</f>
        <v>Trixagus dermestoides (Linnaeus, 1767)</v>
      </c>
      <c r="F11910" s="5" t="s">
        <v>14851</v>
      </c>
      <c r="AH11910" s="4" t="str">
        <f>HYPERLINK("#Statut_biogéographique!A"&amp;_xlfn.XMATCH("P",Statut_biogéographique!A:A,2,1),"P")</f>
        <v>P</v>
      </c>
      <c r="AP11910" s="4" t="s">
        <v>376</v>
      </c>
      <c r="AR11910" s="4" t="s">
        <v>377</v>
      </c>
    </row>
    <row r="11911" spans="1:44">
      <c r="A11911" s="4" t="s">
        <v>10753</v>
      </c>
      <c r="B11911" s="4">
        <v>235413</v>
      </c>
      <c r="D11911" s="5" t="s">
        <v>14852</v>
      </c>
      <c r="E11911" s="6" t="str">
        <f>HYPERLINK("https://inpn.mnhn.fr/espece/cd_nom/235413","Trixagus duvalii (Bonvouloir, 1859)")</f>
        <v>Trixagus duvalii (Bonvouloir, 1859)</v>
      </c>
      <c r="AH11911" s="4" t="str">
        <f>HYPERLINK("#Statut_biogéographique!A"&amp;_xlfn.XMATCH("P",Statut_biogéographique!A:A,2,1),"P")</f>
        <v>P</v>
      </c>
      <c r="AP11911" s="4" t="s">
        <v>376</v>
      </c>
      <c r="AR11911" s="4" t="s">
        <v>377</v>
      </c>
    </row>
    <row r="11912" spans="1:44">
      <c r="A11912" s="4" t="s">
        <v>10753</v>
      </c>
      <c r="B11912" s="4">
        <v>235414</v>
      </c>
      <c r="D11912" s="5" t="s">
        <v>14853</v>
      </c>
      <c r="E11912" s="6" t="str">
        <f>HYPERLINK("https://inpn.mnhn.fr/espece/cd_nom/235414","Trixagus elateroides (Heer, 1841)")</f>
        <v>Trixagus elateroides (Heer, 1841)</v>
      </c>
      <c r="AH11912" s="4" t="str">
        <f>HYPERLINK("#Statut_biogéographique!A"&amp;_xlfn.XMATCH("P",Statut_biogéographique!A:A,2,1),"P")</f>
        <v>P</v>
      </c>
      <c r="AP11912" s="4" t="s">
        <v>376</v>
      </c>
      <c r="AR11912" s="4" t="s">
        <v>377</v>
      </c>
    </row>
    <row r="11913" spans="1:44">
      <c r="A11913" s="4" t="s">
        <v>10753</v>
      </c>
      <c r="B11913" s="4">
        <v>235416</v>
      </c>
      <c r="D11913" s="5">
        <v>235416</v>
      </c>
      <c r="E11913" s="6" t="str">
        <f>HYPERLINK("https://inpn.mnhn.fr/espece/cd_nom/235416","Trixagus gracilis Wollaston, 1854")</f>
        <v>Trixagus gracilis Wollaston, 1854</v>
      </c>
      <c r="AH11913" s="4" t="str">
        <f>HYPERLINK("#Statut_biogéographique!A"&amp;_xlfn.XMATCH("P",Statut_biogéographique!A:A,2,1),"P")</f>
        <v>P</v>
      </c>
      <c r="AP11913" s="4" t="s">
        <v>376</v>
      </c>
      <c r="AR11913" s="4" t="s">
        <v>377</v>
      </c>
    </row>
    <row r="11914" spans="1:44">
      <c r="A11914" s="4" t="s">
        <v>10753</v>
      </c>
      <c r="B11914" s="4">
        <v>235417</v>
      </c>
      <c r="D11914" s="5">
        <v>235417</v>
      </c>
      <c r="E11914" s="6" t="str">
        <f>HYPERLINK("https://inpn.mnhn.fr/espece/cd_nom/235417","Trixagus leseigneuri Muona, 2002")</f>
        <v>Trixagus leseigneuri Muona, 2002</v>
      </c>
      <c r="AH11914" s="4" t="str">
        <f>HYPERLINK("#Statut_biogéographique!A"&amp;_xlfn.XMATCH("P",Statut_biogéographique!A:A,2,1),"P")</f>
        <v>P</v>
      </c>
      <c r="AP11914" s="4" t="s">
        <v>376</v>
      </c>
      <c r="AR11914" s="4" t="s">
        <v>377</v>
      </c>
    </row>
    <row r="11915" spans="1:44">
      <c r="A11915" s="4" t="s">
        <v>10753</v>
      </c>
      <c r="B11915" s="4">
        <v>235419</v>
      </c>
      <c r="D11915" s="5" t="s">
        <v>14854</v>
      </c>
      <c r="E11915" s="6" t="str">
        <f>HYPERLINK("https://inpn.mnhn.fr/espece/cd_nom/235419","Trixagus obtusus (Curtis, 1827)")</f>
        <v>Trixagus obtusus (Curtis, 1827)</v>
      </c>
      <c r="AH11915" s="4" t="str">
        <f>HYPERLINK("#Statut_biogéographique!A"&amp;_xlfn.XMATCH("P",Statut_biogéographique!A:A,2,1),"P")</f>
        <v>P</v>
      </c>
      <c r="AP11915" s="4" t="s">
        <v>376</v>
      </c>
      <c r="AR11915" s="4" t="s">
        <v>377</v>
      </c>
    </row>
    <row r="11916" spans="1:44">
      <c r="A11916" s="4" t="s">
        <v>10753</v>
      </c>
      <c r="B11916" s="4">
        <v>235420</v>
      </c>
      <c r="D11916" s="5" t="s">
        <v>14855</v>
      </c>
      <c r="E11916" s="6" t="str">
        <f>HYPERLINK("https://inpn.mnhn.fr/espece/cd_nom/235420","Trixagus rougeti (Fauvel, 1885)")</f>
        <v>Trixagus rougeti (Fauvel, 1885)</v>
      </c>
      <c r="AH11916" s="4" t="str">
        <f>HYPERLINK("#Statut_biogéographique!A"&amp;_xlfn.XMATCH("P",Statut_biogéographique!A:A,2,1),"P")</f>
        <v>P</v>
      </c>
      <c r="AP11916" s="4" t="s">
        <v>376</v>
      </c>
      <c r="AR11916" s="4" t="s">
        <v>377</v>
      </c>
    </row>
    <row r="11917" spans="1:44" ht="30">
      <c r="A11917" s="4" t="s">
        <v>10753</v>
      </c>
      <c r="B11917" s="4">
        <v>235421</v>
      </c>
      <c r="D11917" s="5" t="s">
        <v>14856</v>
      </c>
      <c r="E11917" s="6" t="str">
        <f>HYPERLINK("https://inpn.mnhn.fr/espece/cd_nom/235421","Thymalus limbatus (Fabricius, 1787)")</f>
        <v>Thymalus limbatus (Fabricius, 1787)</v>
      </c>
      <c r="F11917" s="5" t="s">
        <v>14857</v>
      </c>
      <c r="P11917" s="7" t="str">
        <f>HYPERLINK("#Liste_rouge!A"&amp;_xlfn.XMATCH("LC",Liste_rouge!A:A,2,1),"LC")</f>
        <v>LC</v>
      </c>
      <c r="AH11917" s="4" t="str">
        <f>HYPERLINK("#Statut_biogéographique!A"&amp;_xlfn.XMATCH("P",Statut_biogéographique!A:A,2,1),"P")</f>
        <v>P</v>
      </c>
      <c r="AP11917" s="4" t="s">
        <v>376</v>
      </c>
      <c r="AR11917" s="4" t="s">
        <v>377</v>
      </c>
    </row>
    <row r="11918" spans="1:44">
      <c r="A11918" s="4" t="s">
        <v>10753</v>
      </c>
      <c r="B11918" s="4">
        <v>235425</v>
      </c>
      <c r="D11918" s="5" t="s">
        <v>14858</v>
      </c>
      <c r="E11918" s="6" t="str">
        <f>HYPERLINK("https://inpn.mnhn.fr/espece/cd_nom/235425","Grynocharis oblonga (Linnaeus, 1758)")</f>
        <v>Grynocharis oblonga (Linnaeus, 1758)</v>
      </c>
      <c r="F11918" s="5" t="s">
        <v>14859</v>
      </c>
      <c r="O11918" s="7" t="str">
        <f>HYPERLINK("#Liste_rouge!A"&amp;_xlfn.XMATCH("LC",Liste_rouge!A:A,2,1),"LC")</f>
        <v>LC</v>
      </c>
      <c r="P11918" s="7" t="str">
        <f>HYPERLINK("#Liste_rouge!A"&amp;_xlfn.XMATCH("LC",Liste_rouge!A:A,2,1),"LC")</f>
        <v>LC</v>
      </c>
      <c r="AH11918" s="4" t="str">
        <f>HYPERLINK("#Statut_biogéographique!A"&amp;_xlfn.XMATCH("P",Statut_biogéographique!A:A,2,1),"P")</f>
        <v>P</v>
      </c>
      <c r="AP11918" s="4" t="s">
        <v>376</v>
      </c>
      <c r="AR11918" s="4" t="s">
        <v>377</v>
      </c>
    </row>
    <row r="11919" spans="1:44">
      <c r="A11919" s="4" t="s">
        <v>10753</v>
      </c>
      <c r="B11919" s="4">
        <v>235430</v>
      </c>
      <c r="D11919" s="5" t="s">
        <v>14860</v>
      </c>
      <c r="E11919" s="6" t="str">
        <f>HYPERLINK("https://inpn.mnhn.fr/espece/cd_nom/235430","Nemozoma elongatum (Linnaeus, 1761)")</f>
        <v>Nemozoma elongatum (Linnaeus, 1761)</v>
      </c>
      <c r="P11919" s="7" t="str">
        <f>HYPERLINK("#Liste_rouge!A"&amp;_xlfn.XMATCH("LC",Liste_rouge!A:A,2,1),"LC")</f>
        <v>LC</v>
      </c>
      <c r="AH11919" s="4" t="str">
        <f>HYPERLINK("#Statut_biogéographique!A"&amp;_xlfn.XMATCH("P",Statut_biogéographique!A:A,2,1),"P")</f>
        <v>P</v>
      </c>
      <c r="AP11919" s="4" t="s">
        <v>376</v>
      </c>
      <c r="AR11919" s="4" t="s">
        <v>377</v>
      </c>
    </row>
    <row r="11920" spans="1:44" ht="30">
      <c r="A11920" s="4" t="s">
        <v>10753</v>
      </c>
      <c r="B11920" s="4">
        <v>23544</v>
      </c>
      <c r="D11920" s="5" t="s">
        <v>14861</v>
      </c>
      <c r="E11920" s="6" t="str">
        <f>HYPERLINK("https://inpn.mnhn.fr/espece/cd_nom/23544","Hercostomus chrysozygos (Wiedemann, 1817)")</f>
        <v>Hercostomus chrysozygos (Wiedemann, 1817)</v>
      </c>
      <c r="AH11920" s="4" t="str">
        <f>HYPERLINK("#Statut_biogéographique!A"&amp;_xlfn.XMATCH("P",Statut_biogéographique!A:A,2,1),"P")</f>
        <v>P</v>
      </c>
      <c r="AP11920" s="4" t="s">
        <v>376</v>
      </c>
      <c r="AR11920" s="4" t="s">
        <v>377</v>
      </c>
    </row>
    <row r="11921" spans="1:44" ht="45">
      <c r="A11921" s="4" t="s">
        <v>10753</v>
      </c>
      <c r="B11921" s="4">
        <v>235440</v>
      </c>
      <c r="D11921" s="5" t="s">
        <v>14862</v>
      </c>
      <c r="E11921" s="6" t="str">
        <f>HYPERLINK("https://inpn.mnhn.fr/espece/cd_nom/235440","Chaoborus crystallinus (De Geer, 1776)")</f>
        <v>Chaoborus crystallinus (De Geer, 1776)</v>
      </c>
      <c r="AH11921" s="4" t="str">
        <f>HYPERLINK("#Statut_biogéographique!A"&amp;_xlfn.XMATCH("P",Statut_biogéographique!A:A,2,1),"P")</f>
        <v>P</v>
      </c>
      <c r="AP11921" s="4" t="s">
        <v>376</v>
      </c>
      <c r="AR11921" s="4" t="s">
        <v>377</v>
      </c>
    </row>
    <row r="11922" spans="1:44">
      <c r="A11922" s="4" t="s">
        <v>10753</v>
      </c>
      <c r="B11922" s="4">
        <v>235444</v>
      </c>
      <c r="D11922" s="5" t="s">
        <v>14863</v>
      </c>
      <c r="E11922" s="6" t="str">
        <f>HYPERLINK("https://inpn.mnhn.fr/espece/cd_nom/235444","Thripomorpha bifida (Zilahi-Sebess, 1956)")</f>
        <v>Thripomorpha bifida (Zilahi-Sebess, 1956)</v>
      </c>
      <c r="AH11922" s="4" t="str">
        <f>HYPERLINK("#Statut_biogéographique!A"&amp;_xlfn.XMATCH("P",Statut_biogéographique!A:A,2,1),"P")</f>
        <v>P</v>
      </c>
      <c r="AP11922" s="4" t="s">
        <v>376</v>
      </c>
      <c r="AR11922" s="4" t="s">
        <v>377</v>
      </c>
    </row>
    <row r="11923" spans="1:44">
      <c r="A11923" s="4" t="s">
        <v>10753</v>
      </c>
      <c r="B11923" s="4">
        <v>235455</v>
      </c>
      <c r="D11923" s="5" t="s">
        <v>14864</v>
      </c>
      <c r="E11923" s="6" t="str">
        <f>HYPERLINK("https://inpn.mnhn.fr/espece/cd_nom/235455","Reichertella geniculata (Zetterstedt, 1850)")</f>
        <v>Reichertella geniculata (Zetterstedt, 1850)</v>
      </c>
      <c r="AH11923" s="4" t="str">
        <f>HYPERLINK("#Statut_biogéographique!A"&amp;_xlfn.XMATCH("P",Statut_biogéographique!A:A,2,1),"P")</f>
        <v>P</v>
      </c>
      <c r="AP11923" s="4" t="s">
        <v>376</v>
      </c>
      <c r="AR11923" s="4" t="s">
        <v>377</v>
      </c>
    </row>
    <row r="11924" spans="1:44">
      <c r="A11924" s="4" t="s">
        <v>10753</v>
      </c>
      <c r="B11924" s="4">
        <v>235461</v>
      </c>
      <c r="D11924" s="5" t="s">
        <v>14865</v>
      </c>
      <c r="E11924" s="6" t="str">
        <f>HYPERLINK("https://inpn.mnhn.fr/espece/cd_nom/235461","Efcookella albitarsis (Zetterstedt, 1850)")</f>
        <v>Efcookella albitarsis (Zetterstedt, 1850)</v>
      </c>
      <c r="AH11924" s="4" t="str">
        <f>HYPERLINK("#Statut_biogéographique!A"&amp;_xlfn.XMATCH("P",Statut_biogéographique!A:A,2,1),"P")</f>
        <v>P</v>
      </c>
      <c r="AP11924" s="4" t="s">
        <v>376</v>
      </c>
      <c r="AR11924" s="4" t="s">
        <v>377</v>
      </c>
    </row>
    <row r="11925" spans="1:44">
      <c r="A11925" s="4" t="s">
        <v>10753</v>
      </c>
      <c r="B11925" s="4">
        <v>235470</v>
      </c>
      <c r="D11925" s="5">
        <v>235470</v>
      </c>
      <c r="E11925" s="6" t="str">
        <f>HYPERLINK("https://inpn.mnhn.fr/espece/cd_nom/235470","Anapausis baueri Fritz, 1983")</f>
        <v>Anapausis baueri Fritz, 1983</v>
      </c>
      <c r="AH11925" s="4" t="str">
        <f>HYPERLINK("#Statut_biogéographique!A"&amp;_xlfn.XMATCH("P",Statut_biogéographique!A:A,2,1),"P")</f>
        <v>P</v>
      </c>
      <c r="AP11925" s="4" t="s">
        <v>376</v>
      </c>
      <c r="AR11925" s="4" t="s">
        <v>377</v>
      </c>
    </row>
    <row r="11926" spans="1:44">
      <c r="A11926" s="4" t="s">
        <v>10753</v>
      </c>
      <c r="B11926" s="4">
        <v>235472</v>
      </c>
      <c r="D11926" s="5">
        <v>235472</v>
      </c>
      <c r="E11926" s="6" t="str">
        <f>HYPERLINK("https://inpn.mnhn.fr/espece/cd_nom/235472","Anapausis dalmatina Duda, 1928")</f>
        <v>Anapausis dalmatina Duda, 1928</v>
      </c>
      <c r="AH11926" s="4" t="str">
        <f>HYPERLINK("#Statut_biogéographique!A"&amp;_xlfn.XMATCH("P",Statut_biogéographique!A:A,2,1),"P")</f>
        <v>P</v>
      </c>
      <c r="AP11926" s="4" t="s">
        <v>376</v>
      </c>
      <c r="AR11926" s="4" t="s">
        <v>377</v>
      </c>
    </row>
    <row r="11927" spans="1:44">
      <c r="A11927" s="4" t="s">
        <v>10753</v>
      </c>
      <c r="B11927" s="4">
        <v>235480</v>
      </c>
      <c r="D11927" s="5">
        <v>235480</v>
      </c>
      <c r="E11927" s="6" t="str">
        <f>HYPERLINK("https://inpn.mnhn.fr/espece/cd_nom/235480","Anapausis rectinervis Duda, 1928")</f>
        <v>Anapausis rectinervis Duda, 1928</v>
      </c>
      <c r="AH11927" s="4" t="str">
        <f>HYPERLINK("#Statut_biogéographique!A"&amp;_xlfn.XMATCH("P",Statut_biogéographique!A:A,2,1),"P")</f>
        <v>P</v>
      </c>
      <c r="AP11927" s="4" t="s">
        <v>376</v>
      </c>
      <c r="AR11927" s="4" t="s">
        <v>377</v>
      </c>
    </row>
    <row r="11928" spans="1:44">
      <c r="A11928" s="4" t="s">
        <v>10753</v>
      </c>
      <c r="B11928" s="4">
        <v>235491</v>
      </c>
      <c r="D11928" s="5" t="s">
        <v>14866</v>
      </c>
      <c r="E11928" s="6" t="str">
        <f>HYPERLINK("https://inpn.mnhn.fr/espece/cd_nom/235491","Baetopus tenellus (Albarda, 1878)")</f>
        <v>Baetopus tenellus (Albarda, 1878)</v>
      </c>
      <c r="Q11928" s="7" t="str">
        <f>HYPERLINK("#Liste_rouge!A"&amp;_xlfn.XMATCH("LC",Liste_rouge!A:A,2,1),"LC")</f>
        <v>LC</v>
      </c>
      <c r="AH11928" s="4" t="str">
        <f>HYPERLINK("#Statut_biogéographique!A"&amp;_xlfn.XMATCH("P",Statut_biogéographique!A:A,2,1),"P")</f>
        <v>P</v>
      </c>
      <c r="AP11928" s="4" t="s">
        <v>376</v>
      </c>
      <c r="AR11928" s="4" t="s">
        <v>377</v>
      </c>
    </row>
    <row r="11929" spans="1:44" ht="30">
      <c r="A11929" s="4" t="s">
        <v>10753</v>
      </c>
      <c r="B11929" s="4">
        <v>235498</v>
      </c>
      <c r="D11929" s="5" t="s">
        <v>14867</v>
      </c>
      <c r="E11929" s="6" t="str">
        <f>HYPERLINK("https://inpn.mnhn.fr/espece/cd_nom/235498","Serratella ignita (Poda, 1761)")</f>
        <v>Serratella ignita (Poda, 1761)</v>
      </c>
      <c r="Q11929" s="7" t="str">
        <f>HYPERLINK("#Liste_rouge!A"&amp;_xlfn.XMATCH("LC",Liste_rouge!A:A,2,1),"LC")</f>
        <v>LC</v>
      </c>
      <c r="AH11929" s="4" t="str">
        <f>HYPERLINK("#Statut_biogéographique!A"&amp;_xlfn.XMATCH("P",Statut_biogéographique!A:A,2,1),"P")</f>
        <v>P</v>
      </c>
      <c r="AP11929" s="4" t="s">
        <v>376</v>
      </c>
      <c r="AR11929" s="4" t="s">
        <v>377</v>
      </c>
    </row>
    <row r="11930" spans="1:44">
      <c r="A11930" s="4" t="s">
        <v>10753</v>
      </c>
      <c r="B11930" s="4">
        <v>235499</v>
      </c>
      <c r="D11930" s="5" t="s">
        <v>14868</v>
      </c>
      <c r="E11930" s="6" t="str">
        <f>HYPERLINK("https://inpn.mnhn.fr/espece/cd_nom/235499","Serratella mesoleuca (Brauer, 1857)")</f>
        <v>Serratella mesoleuca (Brauer, 1857)</v>
      </c>
      <c r="Q11930" s="7" t="str">
        <f>HYPERLINK("#Liste_rouge!A"&amp;_xlfn.XMATCH("EN",Liste_rouge!A:A,2,1),"EN")</f>
        <v>EN</v>
      </c>
      <c r="AH11930" s="4" t="str">
        <f>HYPERLINK("#Statut_biogéographique!A"&amp;_xlfn.XMATCH("P",Statut_biogéographique!A:A,2,1),"P")</f>
        <v>P</v>
      </c>
      <c r="AP11930" s="4" t="s">
        <v>376</v>
      </c>
      <c r="AR11930" s="4" t="s">
        <v>377</v>
      </c>
    </row>
    <row r="11931" spans="1:44">
      <c r="A11931" s="4" t="s">
        <v>10753</v>
      </c>
      <c r="B11931" s="4">
        <v>23550</v>
      </c>
      <c r="D11931" s="5" t="s">
        <v>14869</v>
      </c>
      <c r="E11931" s="6" t="str">
        <f>HYPERLINK("https://inpn.mnhn.fr/espece/cd_nom/23550","Hercostomus inornatus (Loew, 1857)")</f>
        <v>Hercostomus inornatus (Loew, 1857)</v>
      </c>
      <c r="AH11931" s="4" t="str">
        <f>HYPERLINK("#Statut_biogéographique!A"&amp;_xlfn.XMATCH("P",Statut_biogéographique!A:A,2,1),"P")</f>
        <v>P</v>
      </c>
      <c r="AP11931" s="4" t="s">
        <v>376</v>
      </c>
      <c r="AR11931" s="4" t="s">
        <v>377</v>
      </c>
    </row>
    <row r="11932" spans="1:44">
      <c r="A11932" s="4" t="s">
        <v>10753</v>
      </c>
      <c r="B11932" s="4">
        <v>235502</v>
      </c>
      <c r="D11932" s="5" t="s">
        <v>14870</v>
      </c>
      <c r="E11932" s="6" t="str">
        <f>HYPERLINK("https://inpn.mnhn.fr/espece/cd_nom/235502","Electrogena affinis (Eaton, 1887)")</f>
        <v>Electrogena affinis (Eaton, 1887)</v>
      </c>
      <c r="Q11932" s="7" t="str">
        <f>HYPERLINK("#Liste_rouge!A"&amp;_xlfn.XMATCH("LC",Liste_rouge!A:A,2,1),"LC")</f>
        <v>LC</v>
      </c>
      <c r="AH11932" s="4" t="str">
        <f>HYPERLINK("#Statut_biogéographique!A"&amp;_xlfn.XMATCH("P",Statut_biogéographique!A:A,2,1),"P")</f>
        <v>P</v>
      </c>
      <c r="AP11932" s="4" t="s">
        <v>376</v>
      </c>
      <c r="AR11932" s="4" t="s">
        <v>377</v>
      </c>
    </row>
    <row r="11933" spans="1:44" ht="30">
      <c r="A11933" s="4" t="s">
        <v>10753</v>
      </c>
      <c r="B11933" s="4">
        <v>235504</v>
      </c>
      <c r="D11933" s="5" t="s">
        <v>14871</v>
      </c>
      <c r="E11933" s="6" t="str">
        <f>HYPERLINK("https://inpn.mnhn.fr/espece/cd_nom/235504","Kageronia fuscogrisea (Retzius, 1783)")</f>
        <v>Kageronia fuscogrisea (Retzius, 1783)</v>
      </c>
      <c r="Q11933" s="7" t="str">
        <f>HYPERLINK("#Liste_rouge!A"&amp;_xlfn.XMATCH("VU",Liste_rouge!A:A,2,1),"VU")</f>
        <v>VU</v>
      </c>
      <c r="AH11933" s="4" t="str">
        <f>HYPERLINK("#Statut_biogéographique!A"&amp;_xlfn.XMATCH("P",Statut_biogéographique!A:A,2,1),"P")</f>
        <v>P</v>
      </c>
      <c r="AP11933" s="4" t="s">
        <v>376</v>
      </c>
      <c r="AR11933" s="4" t="s">
        <v>377</v>
      </c>
    </row>
    <row r="11934" spans="1:44">
      <c r="A11934" s="4" t="s">
        <v>10753</v>
      </c>
      <c r="B11934" s="4">
        <v>23551</v>
      </c>
      <c r="D11934" s="5" t="s">
        <v>14872</v>
      </c>
      <c r="E11934" s="6" t="str">
        <f>HYPERLINK("https://inpn.mnhn.fr/espece/cd_nom/23551","Hercostomus longiventris (Loew, 1857)")</f>
        <v>Hercostomus longiventris (Loew, 1857)</v>
      </c>
      <c r="AH11934" s="4" t="str">
        <f>HYPERLINK("#Statut_biogéographique!A"&amp;_xlfn.XMATCH("P",Statut_biogéographique!A:A,2,1),"P")</f>
        <v>P</v>
      </c>
      <c r="AP11934" s="4" t="s">
        <v>376</v>
      </c>
      <c r="AR11934" s="4" t="s">
        <v>377</v>
      </c>
    </row>
    <row r="11935" spans="1:44">
      <c r="A11935" s="4" t="s">
        <v>10753</v>
      </c>
      <c r="B11935" s="4">
        <v>235514</v>
      </c>
      <c r="D11935" s="5" t="s">
        <v>14873</v>
      </c>
      <c r="E11935" s="6" t="str">
        <f>HYPERLINK("https://inpn.mnhn.fr/espece/cd_nom/235514","Goniagnathus brevis (Herrich-Schäffer, 1835)")</f>
        <v>Goniagnathus brevis (Herrich-Schäffer, 1835)</v>
      </c>
      <c r="AH11935" s="4" t="str">
        <f>HYPERLINK("#Statut_biogéographique!A"&amp;_xlfn.XMATCH("P",Statut_biogéographique!A:A,2,1),"P")</f>
        <v>P</v>
      </c>
      <c r="AP11935" s="4" t="s">
        <v>376</v>
      </c>
      <c r="AR11935" s="4" t="s">
        <v>377</v>
      </c>
    </row>
    <row r="11936" spans="1:44" ht="30">
      <c r="A11936" s="4" t="s">
        <v>10753</v>
      </c>
      <c r="B11936" s="4">
        <v>235517</v>
      </c>
      <c r="D11936" s="5" t="s">
        <v>14874</v>
      </c>
      <c r="E11936" s="6" t="str">
        <f>HYPERLINK("https://inpn.mnhn.fr/espece/cd_nom/235517","Opsius stactogalus Fieber, 1866")</f>
        <v>Opsius stactogalus Fieber, 1866</v>
      </c>
      <c r="AH11936" s="4" t="str">
        <f>HYPERLINK("#Statut_biogéographique!A"&amp;_xlfn.XMATCH("P",Statut_biogéographique!A:A,2,1),"P")</f>
        <v>P</v>
      </c>
      <c r="AP11936" s="4" t="s">
        <v>376</v>
      </c>
      <c r="AR11936" s="4" t="s">
        <v>377</v>
      </c>
    </row>
    <row r="11937" spans="1:44" ht="30">
      <c r="A11937" s="4" t="s">
        <v>10753</v>
      </c>
      <c r="B11937" s="4">
        <v>235519</v>
      </c>
      <c r="D11937" s="5" t="s">
        <v>14875</v>
      </c>
      <c r="E11937" s="6" t="str">
        <f>HYPERLINK("https://inpn.mnhn.fr/espece/cd_nom/235519","Neoaliturus fenestratus (Herrich-Schäffer, 1834)")</f>
        <v>Neoaliturus fenestratus (Herrich-Schäffer, 1834)</v>
      </c>
      <c r="AH11937" s="4" t="str">
        <f>HYPERLINK("#Statut_biogéographique!A"&amp;_xlfn.XMATCH("P",Statut_biogéographique!A:A,2,1),"P")</f>
        <v>P</v>
      </c>
      <c r="AP11937" s="4" t="s">
        <v>376</v>
      </c>
      <c r="AR11937" s="4" t="s">
        <v>377</v>
      </c>
    </row>
    <row r="11938" spans="1:44">
      <c r="A11938" s="4" t="s">
        <v>10753</v>
      </c>
      <c r="B11938" s="4">
        <v>23553</v>
      </c>
      <c r="D11938" s="5" t="s">
        <v>14876</v>
      </c>
      <c r="E11938" s="6" t="str">
        <f>HYPERLINK("https://inpn.mnhn.fr/espece/cd_nom/23553","Hercostomus nanus (Macquart, 1827)")</f>
        <v>Hercostomus nanus (Macquart, 1827)</v>
      </c>
      <c r="AH11938" s="4" t="str">
        <f>HYPERLINK("#Statut_biogéographique!A"&amp;_xlfn.XMATCH("P",Statut_biogéographique!A:A,2,1),"P")</f>
        <v>P</v>
      </c>
      <c r="AP11938" s="4" t="s">
        <v>376</v>
      </c>
      <c r="AR11938" s="4" t="s">
        <v>377</v>
      </c>
    </row>
    <row r="11939" spans="1:44">
      <c r="A11939" s="4" t="s">
        <v>10753</v>
      </c>
      <c r="B11939" s="4">
        <v>235531</v>
      </c>
      <c r="D11939" s="5">
        <v>235531</v>
      </c>
      <c r="E11939" s="6" t="str">
        <f>HYPERLINK("https://inpn.mnhn.fr/espece/cd_nom/235531","Macrosteles cristatus (Ribaut, 1927)")</f>
        <v>Macrosteles cristatus (Ribaut, 1927)</v>
      </c>
      <c r="AH11939" s="4" t="str">
        <f>HYPERLINK("#Statut_biogéographique!A"&amp;_xlfn.XMATCH("P",Statut_biogéographique!A:A,2,1),"P")</f>
        <v>P</v>
      </c>
      <c r="AP11939" s="4" t="s">
        <v>376</v>
      </c>
      <c r="AR11939" s="4" t="s">
        <v>377</v>
      </c>
    </row>
    <row r="11940" spans="1:44">
      <c r="A11940" s="4" t="s">
        <v>10753</v>
      </c>
      <c r="B11940" s="4">
        <v>235543</v>
      </c>
      <c r="D11940" s="5">
        <v>235543</v>
      </c>
      <c r="E11940" s="6" t="str">
        <f>HYPERLINK("https://inpn.mnhn.fr/espece/cd_nom/235543","Macrosteles septemnotatus (Fallén, 1806)")</f>
        <v>Macrosteles septemnotatus (Fallén, 1806)</v>
      </c>
      <c r="AH11940" s="4" t="str">
        <f>HYPERLINK("#Statut_biogéographique!A"&amp;_xlfn.XMATCH("P",Statut_biogéographique!A:A,2,1),"P")</f>
        <v>P</v>
      </c>
      <c r="AP11940" s="4" t="s">
        <v>376</v>
      </c>
      <c r="AR11940" s="4" t="s">
        <v>377</v>
      </c>
    </row>
    <row r="11941" spans="1:44" ht="30">
      <c r="A11941" s="4" t="s">
        <v>10753</v>
      </c>
      <c r="B11941" s="4">
        <v>235544</v>
      </c>
      <c r="D11941" s="5" t="s">
        <v>14877</v>
      </c>
      <c r="E11941" s="6" t="str">
        <f>HYPERLINK("https://inpn.mnhn.fr/espece/cd_nom/235544","Macrosteles sexnotatus (Fallén, 1806)")</f>
        <v>Macrosteles sexnotatus (Fallén, 1806)</v>
      </c>
      <c r="AH11941" s="4" t="str">
        <f>HYPERLINK("#Statut_biogéographique!A"&amp;_xlfn.XMATCH("P",Statut_biogéographique!A:A,2,1),"P")</f>
        <v>P</v>
      </c>
      <c r="AP11941" s="4" t="s">
        <v>376</v>
      </c>
      <c r="AR11941" s="4" t="s">
        <v>377</v>
      </c>
    </row>
    <row r="11942" spans="1:44">
      <c r="A11942" s="4" t="s">
        <v>10753</v>
      </c>
      <c r="B11942" s="4">
        <v>235545</v>
      </c>
      <c r="D11942" s="5" t="s">
        <v>14878</v>
      </c>
      <c r="E11942" s="6" t="str">
        <f>HYPERLINK("https://inpn.mnhn.fr/espece/cd_nom/235545","Macrosteles variatus (Fallén, 1806)")</f>
        <v>Macrosteles variatus (Fallén, 1806)</v>
      </c>
      <c r="AH11942" s="4" t="str">
        <f>HYPERLINK("#Statut_biogéographique!A"&amp;_xlfn.XMATCH("P",Statut_biogéographique!A:A,2,1),"P")</f>
        <v>P</v>
      </c>
      <c r="AP11942" s="4" t="s">
        <v>376</v>
      </c>
      <c r="AR11942" s="4" t="s">
        <v>377</v>
      </c>
    </row>
    <row r="11943" spans="1:44">
      <c r="A11943" s="4" t="s">
        <v>10753</v>
      </c>
      <c r="B11943" s="4">
        <v>235551</v>
      </c>
      <c r="D11943" s="5" t="s">
        <v>14879</v>
      </c>
      <c r="E11943" s="6" t="str">
        <f>HYPERLINK("https://inpn.mnhn.fr/espece/cd_nom/235551","Balclutha punctata (Fabricius, 1775)")</f>
        <v>Balclutha punctata (Fabricius, 1775)</v>
      </c>
      <c r="AH11943" s="4" t="str">
        <f>HYPERLINK("#Statut_biogéographique!A"&amp;_xlfn.XMATCH("P",Statut_biogéographique!A:A,2,1),"P")</f>
        <v>P</v>
      </c>
      <c r="AP11943" s="4" t="s">
        <v>376</v>
      </c>
      <c r="AR11943" s="4" t="s">
        <v>377</v>
      </c>
    </row>
    <row r="11944" spans="1:44">
      <c r="A11944" s="4" t="s">
        <v>10753</v>
      </c>
      <c r="B11944" s="4">
        <v>235554</v>
      </c>
      <c r="D11944" s="5" t="s">
        <v>14880</v>
      </c>
      <c r="E11944" s="6" t="str">
        <f>HYPERLINK("https://inpn.mnhn.fr/espece/cd_nom/235554","Deltocephalus pulicaris (Fallén, 1806)")</f>
        <v>Deltocephalus pulicaris (Fallén, 1806)</v>
      </c>
      <c r="AH11944" s="4" t="str">
        <f>HYPERLINK("#Statut_biogéographique!A"&amp;_xlfn.XMATCH("P",Statut_biogéographique!A:A,2,1),"P")</f>
        <v>P</v>
      </c>
      <c r="AP11944" s="4" t="s">
        <v>376</v>
      </c>
      <c r="AR11944" s="4" t="s">
        <v>377</v>
      </c>
    </row>
    <row r="11945" spans="1:44">
      <c r="A11945" s="4" t="s">
        <v>10753</v>
      </c>
      <c r="B11945" s="4">
        <v>235566</v>
      </c>
      <c r="D11945" s="5">
        <v>235566</v>
      </c>
      <c r="E11945" s="6" t="str">
        <f>HYPERLINK("https://inpn.mnhn.fr/espece/cd_nom/235566","Fieberiella florii (Stål, 1864)")</f>
        <v>Fieberiella florii (Stål, 1864)</v>
      </c>
      <c r="AH11945" s="4" t="str">
        <f>HYPERLINK("#Statut_biogéographique!A"&amp;_xlfn.XMATCH("P",Statut_biogéographique!A:A,2,1),"P")</f>
        <v>P</v>
      </c>
      <c r="AP11945" s="4" t="s">
        <v>376</v>
      </c>
      <c r="AR11945" s="4" t="s">
        <v>377</v>
      </c>
    </row>
    <row r="11946" spans="1:44">
      <c r="A11946" s="4" t="s">
        <v>10753</v>
      </c>
      <c r="B11946" s="4">
        <v>235571</v>
      </c>
      <c r="D11946" s="5">
        <v>235571</v>
      </c>
      <c r="E11946" s="6" t="str">
        <f>HYPERLINK("https://inpn.mnhn.fr/espece/cd_nom/235571","Thamnotettix confinis Zetterstedt, 1828")</f>
        <v>Thamnotettix confinis Zetterstedt, 1828</v>
      </c>
      <c r="AH11946" s="4" t="str">
        <f>HYPERLINK("#Statut_biogéographique!A"&amp;_xlfn.XMATCH("P",Statut_biogéographique!A:A,2,1),"P")</f>
        <v>P</v>
      </c>
      <c r="AP11946" s="4" t="s">
        <v>376</v>
      </c>
      <c r="AR11946" s="4" t="s">
        <v>377</v>
      </c>
    </row>
    <row r="11947" spans="1:44">
      <c r="A11947" s="4" t="s">
        <v>10753</v>
      </c>
      <c r="B11947" s="4">
        <v>235574</v>
      </c>
      <c r="D11947" s="5" t="s">
        <v>14881</v>
      </c>
      <c r="E11947" s="6" t="str">
        <f>HYPERLINK("https://inpn.mnhn.fr/espece/cd_nom/235574","Streptanus aemulans (Kirschbaum, 1868)")</f>
        <v>Streptanus aemulans (Kirschbaum, 1868)</v>
      </c>
      <c r="AH11947" s="4" t="str">
        <f>HYPERLINK("#Statut_biogéographique!A"&amp;_xlfn.XMATCH("P",Statut_biogéographique!A:A,2,1),"P")</f>
        <v>P</v>
      </c>
      <c r="AP11947" s="4" t="s">
        <v>376</v>
      </c>
      <c r="AR11947" s="4" t="s">
        <v>377</v>
      </c>
    </row>
    <row r="11948" spans="1:44" ht="30">
      <c r="A11948" s="4" t="s">
        <v>10753</v>
      </c>
      <c r="B11948" s="4">
        <v>235577</v>
      </c>
      <c r="D11948" s="5" t="s">
        <v>14882</v>
      </c>
      <c r="E11948" s="6" t="str">
        <f>HYPERLINK("https://inpn.mnhn.fr/espece/cd_nom/235577","Streptanus sordidus (Zetterstedt, 1828)")</f>
        <v>Streptanus sordidus (Zetterstedt, 1828)</v>
      </c>
      <c r="AH11948" s="4" t="str">
        <f>HYPERLINK("#Statut_biogéographique!A"&amp;_xlfn.XMATCH("P",Statut_biogéographique!A:A,2,1),"P")</f>
        <v>P</v>
      </c>
      <c r="AP11948" s="4" t="s">
        <v>376</v>
      </c>
      <c r="AR11948" s="4" t="s">
        <v>377</v>
      </c>
    </row>
    <row r="11949" spans="1:44">
      <c r="A11949" s="4" t="s">
        <v>10753</v>
      </c>
      <c r="B11949" s="4">
        <v>235579</v>
      </c>
      <c r="D11949" s="5" t="s">
        <v>14883</v>
      </c>
      <c r="E11949" s="6" t="str">
        <f>HYPERLINK("https://inpn.mnhn.fr/espece/cd_nom/235579","Speudotettix subfusculus (Fallén, 1806)")</f>
        <v>Speudotettix subfusculus (Fallén, 1806)</v>
      </c>
      <c r="AH11949" s="4" t="str">
        <f>HYPERLINK("#Statut_biogéographique!A"&amp;_xlfn.XMATCH("P",Statut_biogéographique!A:A,2,1),"P")</f>
        <v>P</v>
      </c>
      <c r="AP11949" s="4" t="s">
        <v>376</v>
      </c>
      <c r="AR11949" s="4" t="s">
        <v>377</v>
      </c>
    </row>
    <row r="11950" spans="1:44">
      <c r="A11950" s="4" t="s">
        <v>10753</v>
      </c>
      <c r="B11950" s="4">
        <v>235583</v>
      </c>
      <c r="D11950" s="5" t="s">
        <v>14884</v>
      </c>
      <c r="E11950" s="6" t="str">
        <f>HYPERLINK("https://inpn.mnhn.fr/espece/cd_nom/235583","Scaphoideus titanus Ball, 1932")</f>
        <v>Scaphoideus titanus Ball, 1932</v>
      </c>
      <c r="F11950" s="5" t="s">
        <v>14885</v>
      </c>
      <c r="AH11950" s="4" t="str">
        <f>HYPERLINK("#Statut_biogéographique!A"&amp;_xlfn.XMATCH("I",Statut_biogéographique!A:A,2,1),"I")</f>
        <v>I</v>
      </c>
      <c r="AP11950" s="4" t="s">
        <v>376</v>
      </c>
      <c r="AR11950" s="4" t="s">
        <v>377</v>
      </c>
    </row>
    <row r="11951" spans="1:44">
      <c r="A11951" s="4" t="s">
        <v>10753</v>
      </c>
      <c r="B11951" s="4">
        <v>235599</v>
      </c>
      <c r="D11951" s="5" t="s">
        <v>14886</v>
      </c>
      <c r="E11951" s="6" t="str">
        <f>HYPERLINK("https://inpn.mnhn.fr/espece/cd_nom/235599","Pithyotettix abietinus (Fallén, 1806)")</f>
        <v>Pithyotettix abietinus (Fallén, 1806)</v>
      </c>
      <c r="AH11951" s="4" t="str">
        <f>HYPERLINK("#Statut_biogéographique!A"&amp;_xlfn.XMATCH("P",Statut_biogéographique!A:A,2,1),"P")</f>
        <v>P</v>
      </c>
      <c r="AP11951" s="4" t="s">
        <v>376</v>
      </c>
      <c r="AR11951" s="4" t="s">
        <v>377</v>
      </c>
    </row>
    <row r="11952" spans="1:44">
      <c r="A11952" s="4" t="s">
        <v>10753</v>
      </c>
      <c r="B11952" s="4">
        <v>235603</v>
      </c>
      <c r="D11952" s="5" t="s">
        <v>14887</v>
      </c>
      <c r="E11952" s="6" t="str">
        <f>HYPERLINK("https://inpn.mnhn.fr/espece/cd_nom/235603","Perotettix pictus (Lethierry, 1880)")</f>
        <v>Perotettix pictus (Lethierry, 1880)</v>
      </c>
      <c r="AH11952" s="4" t="str">
        <f>HYPERLINK("#Statut_biogéographique!A"&amp;_xlfn.XMATCH("P",Statut_biogéographique!A:A,2,1),"P")</f>
        <v>P</v>
      </c>
      <c r="AP11952" s="4" t="s">
        <v>376</v>
      </c>
      <c r="AR11952" s="4" t="s">
        <v>377</v>
      </c>
    </row>
    <row r="11953" spans="1:44">
      <c r="A11953" s="4" t="s">
        <v>10753</v>
      </c>
      <c r="B11953" s="4">
        <v>235614</v>
      </c>
      <c r="D11953" s="5">
        <v>235614</v>
      </c>
      <c r="E11953" s="6" t="str">
        <f>HYPERLINK("https://inpn.mnhn.fr/espece/cd_nom/235614","Mimallygus lacteinervis (Kirschbaum, 1868)")</f>
        <v>Mimallygus lacteinervis (Kirschbaum, 1868)</v>
      </c>
      <c r="AH11953" s="4" t="str">
        <f>HYPERLINK("#Statut_biogéographique!A"&amp;_xlfn.XMATCH("P",Statut_biogéographique!A:A,2,1),"P")</f>
        <v>P</v>
      </c>
      <c r="AP11953" s="4" t="s">
        <v>376</v>
      </c>
      <c r="AR11953" s="4" t="s">
        <v>377</v>
      </c>
    </row>
    <row r="11954" spans="1:44">
      <c r="A11954" s="4" t="s">
        <v>10753</v>
      </c>
      <c r="B11954" s="4">
        <v>235616</v>
      </c>
      <c r="D11954" s="5" t="s">
        <v>14888</v>
      </c>
      <c r="E11954" s="6" t="str">
        <f>HYPERLINK("https://inpn.mnhn.fr/espece/cd_nom/235616","Macustus grisescens (Zetterstedt, 1828)")</f>
        <v>Macustus grisescens (Zetterstedt, 1828)</v>
      </c>
      <c r="AH11954" s="4" t="str">
        <f>HYPERLINK("#Statut_biogéographique!A"&amp;_xlfn.XMATCH("P",Statut_biogéographique!A:A,2,1),"P")</f>
        <v>P</v>
      </c>
      <c r="AP11954" s="4" t="s">
        <v>376</v>
      </c>
      <c r="AR11954" s="4" t="s">
        <v>377</v>
      </c>
    </row>
    <row r="11955" spans="1:44" ht="30">
      <c r="A11955" s="4" t="s">
        <v>10753</v>
      </c>
      <c r="B11955" s="4">
        <v>235618</v>
      </c>
      <c r="D11955" s="5" t="s">
        <v>14889</v>
      </c>
      <c r="E11955" s="6" t="str">
        <f>HYPERLINK("https://inpn.mnhn.fr/espece/cd_nom/235618","Lamprotettix nitidulus (Fabricius, 1787)")</f>
        <v>Lamprotettix nitidulus (Fabricius, 1787)</v>
      </c>
      <c r="AH11955" s="4" t="str">
        <f>HYPERLINK("#Statut_biogéographique!A"&amp;_xlfn.XMATCH("P",Statut_biogéographique!A:A,2,1),"P")</f>
        <v>P</v>
      </c>
      <c r="AP11955" s="4" t="s">
        <v>376</v>
      </c>
      <c r="AR11955" s="4" t="s">
        <v>377</v>
      </c>
    </row>
    <row r="11956" spans="1:44">
      <c r="A11956" s="4" t="s">
        <v>10753</v>
      </c>
      <c r="B11956" s="4">
        <v>235640</v>
      </c>
      <c r="D11956" s="5" t="s">
        <v>14890</v>
      </c>
      <c r="E11956" s="6" t="str">
        <f>HYPERLINK("https://inpn.mnhn.fr/espece/cd_nom/235640","Elymana sulphurella (Zetterstedt, 1828)")</f>
        <v>Elymana sulphurella (Zetterstedt, 1828)</v>
      </c>
      <c r="AH11956" s="4" t="str">
        <f>HYPERLINK("#Statut_biogéographique!A"&amp;_xlfn.XMATCH("P",Statut_biogéographique!A:A,2,1),"P")</f>
        <v>P</v>
      </c>
      <c r="AP11956" s="4" t="s">
        <v>376</v>
      </c>
      <c r="AR11956" s="4" t="s">
        <v>377</v>
      </c>
    </row>
    <row r="11957" spans="1:44" ht="30">
      <c r="A11957" s="4" t="s">
        <v>10753</v>
      </c>
      <c r="B11957" s="4">
        <v>235642</v>
      </c>
      <c r="D11957" s="5" t="s">
        <v>14891</v>
      </c>
      <c r="E11957" s="6" t="str">
        <f>HYPERLINK("https://inpn.mnhn.fr/espece/cd_nom/235642","Conosanus obsoletus (Kirschbaum, 1858)")</f>
        <v>Conosanus obsoletus (Kirschbaum, 1858)</v>
      </c>
      <c r="AH11957" s="4" t="str">
        <f>HYPERLINK("#Statut_biogéographique!A"&amp;_xlfn.XMATCH("P",Statut_biogéographique!A:A,2,1),"P")</f>
        <v>P</v>
      </c>
      <c r="AP11957" s="4" t="s">
        <v>376</v>
      </c>
      <c r="AR11957" s="4" t="s">
        <v>377</v>
      </c>
    </row>
    <row r="11958" spans="1:44">
      <c r="A11958" s="4" t="s">
        <v>10753</v>
      </c>
      <c r="B11958" s="4">
        <v>235644</v>
      </c>
      <c r="D11958" s="5" t="s">
        <v>14892</v>
      </c>
      <c r="E11958" s="6" t="str">
        <f>HYPERLINK("https://inpn.mnhn.fr/espece/cd_nom/235644","Colladonus torneellus (Zetterstedt, 1828)")</f>
        <v>Colladonus torneellus (Zetterstedt, 1828)</v>
      </c>
      <c r="AH11958" s="4" t="str">
        <f>HYPERLINK("#Statut_biogéographique!A"&amp;_xlfn.XMATCH("P",Statut_biogéographique!A:A,2,1),"P")</f>
        <v>P</v>
      </c>
      <c r="AP11958" s="4" t="s">
        <v>376</v>
      </c>
      <c r="AR11958" s="4" t="s">
        <v>377</v>
      </c>
    </row>
    <row r="11959" spans="1:44">
      <c r="A11959" s="4" t="s">
        <v>10753</v>
      </c>
      <c r="B11959" s="4">
        <v>235646</v>
      </c>
      <c r="D11959" s="5">
        <v>235646</v>
      </c>
      <c r="E11959" s="6" t="str">
        <f>HYPERLINK("https://inpn.mnhn.fr/espece/cd_nom/235646","Cicadula persimilis (Edwards, 1920)")</f>
        <v>Cicadula persimilis (Edwards, 1920)</v>
      </c>
      <c r="AH11959" s="4" t="str">
        <f>HYPERLINK("#Statut_biogéographique!A"&amp;_xlfn.XMATCH("P",Statut_biogéographique!A:A,2,1),"P")</f>
        <v>P</v>
      </c>
      <c r="AP11959" s="4" t="s">
        <v>376</v>
      </c>
      <c r="AR11959" s="4" t="s">
        <v>377</v>
      </c>
    </row>
    <row r="11960" spans="1:44">
      <c r="A11960" s="4" t="s">
        <v>10753</v>
      </c>
      <c r="B11960" s="4">
        <v>235647</v>
      </c>
      <c r="D11960" s="5" t="s">
        <v>14893</v>
      </c>
      <c r="E11960" s="6" t="str">
        <f>HYPERLINK("https://inpn.mnhn.fr/espece/cd_nom/235647","Cicadula quadrinotata (Fabricius, 1794)")</f>
        <v>Cicadula quadrinotata (Fabricius, 1794)</v>
      </c>
      <c r="AH11960" s="4" t="str">
        <f>HYPERLINK("#Statut_biogéographique!A"&amp;_xlfn.XMATCH("P",Statut_biogéographique!A:A,2,1),"P")</f>
        <v>P</v>
      </c>
      <c r="AP11960" s="4" t="s">
        <v>376</v>
      </c>
      <c r="AR11960" s="4" t="s">
        <v>377</v>
      </c>
    </row>
    <row r="11961" spans="1:44">
      <c r="A11961" s="4" t="s">
        <v>10753</v>
      </c>
      <c r="B11961" s="4">
        <v>235649</v>
      </c>
      <c r="D11961" s="5">
        <v>235649</v>
      </c>
      <c r="E11961" s="6" t="str">
        <f>HYPERLINK("https://inpn.mnhn.fr/espece/cd_nom/235649","Cicadula saturata (Edwards, 1915)")</f>
        <v>Cicadula saturata (Edwards, 1915)</v>
      </c>
      <c r="AH11961" s="4" t="str">
        <f>HYPERLINK("#Statut_biogéographique!A"&amp;_xlfn.XMATCH("P",Statut_biogéographique!A:A,2,1),"P")</f>
        <v>P</v>
      </c>
      <c r="AP11961" s="4" t="s">
        <v>376</v>
      </c>
      <c r="AR11961" s="4" t="s">
        <v>377</v>
      </c>
    </row>
    <row r="11962" spans="1:44">
      <c r="A11962" s="4" t="s">
        <v>10753</v>
      </c>
      <c r="B11962" s="4">
        <v>235657</v>
      </c>
      <c r="D11962" s="5">
        <v>235657</v>
      </c>
      <c r="E11962" s="6" t="str">
        <f>HYPERLINK("https://inpn.mnhn.fr/espece/cd_nom/235657","Athysanus quadrum Boheman, 1845")</f>
        <v>Athysanus quadrum Boheman, 1845</v>
      </c>
      <c r="AH11962" s="4" t="str">
        <f>HYPERLINK("#Statut_biogéographique!A"&amp;_xlfn.XMATCH("D",Statut_biogéographique!A:A,2,1),"D")</f>
        <v>D</v>
      </c>
      <c r="AP11962" s="4" t="s">
        <v>376</v>
      </c>
      <c r="AR11962" s="4" t="s">
        <v>377</v>
      </c>
    </row>
    <row r="11963" spans="1:44">
      <c r="A11963" s="4" t="s">
        <v>10753</v>
      </c>
      <c r="B11963" s="4">
        <v>235664</v>
      </c>
      <c r="D11963" s="5" t="s">
        <v>14894</v>
      </c>
      <c r="E11963" s="6" t="str">
        <f>HYPERLINK("https://inpn.mnhn.fr/espece/cd_nom/235664","Allygidius commutatus (Fieber, 1872)")</f>
        <v>Allygidius commutatus (Fieber, 1872)</v>
      </c>
      <c r="AH11963" s="4" t="str">
        <f>HYPERLINK("#Statut_biogéographique!A"&amp;_xlfn.XMATCH("P",Statut_biogéographique!A:A,2,1),"P")</f>
        <v>P</v>
      </c>
      <c r="AP11963" s="4" t="s">
        <v>376</v>
      </c>
      <c r="AR11963" s="4" t="s">
        <v>377</v>
      </c>
    </row>
    <row r="11964" spans="1:44" ht="30">
      <c r="A11964" s="4" t="s">
        <v>10753</v>
      </c>
      <c r="B11964" s="4">
        <v>235667</v>
      </c>
      <c r="D11964" s="5" t="s">
        <v>14895</v>
      </c>
      <c r="E11964" s="6" t="str">
        <f>HYPERLINK("https://inpn.mnhn.fr/espece/cd_nom/235667","Allygus communis (Ferrari, 1882)")</f>
        <v>Allygus communis (Ferrari, 1882)</v>
      </c>
      <c r="AH11964" s="4" t="str">
        <f>HYPERLINK("#Statut_biogéographique!A"&amp;_xlfn.XMATCH("P",Statut_biogéographique!A:A,2,1),"P")</f>
        <v>P</v>
      </c>
      <c r="AP11964" s="4" t="s">
        <v>376</v>
      </c>
      <c r="AR11964" s="4" t="s">
        <v>377</v>
      </c>
    </row>
    <row r="11965" spans="1:44">
      <c r="A11965" s="4" t="s">
        <v>10753</v>
      </c>
      <c r="B11965" s="4">
        <v>235669</v>
      </c>
      <c r="D11965" s="5" t="s">
        <v>14896</v>
      </c>
      <c r="E11965" s="6" t="str">
        <f>HYPERLINK("https://inpn.mnhn.fr/espece/cd_nom/235669","Allygus mixtus (Fabricius, 1794)")</f>
        <v>Allygus mixtus (Fabricius, 1794)</v>
      </c>
      <c r="AH11965" s="4" t="str">
        <f>HYPERLINK("#Statut_biogéographique!A"&amp;_xlfn.XMATCH("P",Statut_biogéographique!A:A,2,1),"P")</f>
        <v>P</v>
      </c>
      <c r="AP11965" s="4" t="s">
        <v>376</v>
      </c>
      <c r="AR11965" s="4" t="s">
        <v>377</v>
      </c>
    </row>
    <row r="11966" spans="1:44">
      <c r="A11966" s="4" t="s">
        <v>10753</v>
      </c>
      <c r="B11966" s="4">
        <v>235686</v>
      </c>
      <c r="D11966" s="5" t="s">
        <v>14897</v>
      </c>
      <c r="E11966" s="6" t="str">
        <f>HYPERLINK("https://inpn.mnhn.fr/espece/cd_nom/235686","Psammotettix alienus (Dahlbom, 1850)")</f>
        <v>Psammotettix alienus (Dahlbom, 1850)</v>
      </c>
      <c r="AH11966" s="4" t="str">
        <f>HYPERLINK("#Statut_biogéographique!A"&amp;_xlfn.XMATCH("P",Statut_biogéographique!A:A,2,1),"P")</f>
        <v>P</v>
      </c>
      <c r="AP11966" s="4" t="s">
        <v>376</v>
      </c>
      <c r="AR11966" s="4" t="s">
        <v>377</v>
      </c>
    </row>
    <row r="11967" spans="1:44" ht="30">
      <c r="A11967" s="4" t="s">
        <v>10753</v>
      </c>
      <c r="B11967" s="4">
        <v>235689</v>
      </c>
      <c r="D11967" s="5" t="s">
        <v>14898</v>
      </c>
      <c r="E11967" s="6" t="str">
        <f>HYPERLINK("https://inpn.mnhn.fr/espece/cd_nom/235689","Psammotettix confinis (Dahlbom, 1850)")</f>
        <v>Psammotettix confinis (Dahlbom, 1850)</v>
      </c>
      <c r="AH11967" s="4" t="str">
        <f>HYPERLINK("#Statut_biogéographique!A"&amp;_xlfn.XMATCH("P",Statut_biogéographique!A:A,2,1),"P")</f>
        <v>P</v>
      </c>
      <c r="AP11967" s="4" t="s">
        <v>376</v>
      </c>
      <c r="AR11967" s="4" t="s">
        <v>377</v>
      </c>
    </row>
    <row r="11968" spans="1:44" ht="30">
      <c r="A11968" s="4" t="s">
        <v>10753</v>
      </c>
      <c r="B11968" s="4">
        <v>235710</v>
      </c>
      <c r="D11968" s="5" t="s">
        <v>14899</v>
      </c>
      <c r="E11968" s="6" t="str">
        <f>HYPERLINK("https://inpn.mnhn.fr/espece/cd_nom/235710","Mocuellus metrius (Flor, 1861)")</f>
        <v>Mocuellus metrius (Flor, 1861)</v>
      </c>
      <c r="AH11968" s="4" t="str">
        <f>HYPERLINK("#Statut_biogéographique!A"&amp;_xlfn.XMATCH("P",Statut_biogéographique!A:A,2,1),"P")</f>
        <v>P</v>
      </c>
      <c r="AP11968" s="4" t="s">
        <v>376</v>
      </c>
      <c r="AR11968" s="4" t="s">
        <v>377</v>
      </c>
    </row>
    <row r="11969" spans="1:44">
      <c r="A11969" s="4" t="s">
        <v>10753</v>
      </c>
      <c r="B11969" s="4">
        <v>235712</v>
      </c>
      <c r="D11969" s="5" t="s">
        <v>14900</v>
      </c>
      <c r="E11969" s="6" t="str">
        <f>HYPERLINK("https://inpn.mnhn.fr/espece/cd_nom/235712","Metalimnus formosus (Boheman, 1845)")</f>
        <v>Metalimnus formosus (Boheman, 1845)</v>
      </c>
      <c r="AH11969" s="4" t="str">
        <f>HYPERLINK("#Statut_biogéographique!A"&amp;_xlfn.XMATCH("P",Statut_biogéographique!A:A,2,1),"P")</f>
        <v>P</v>
      </c>
      <c r="AP11969" s="4" t="s">
        <v>376</v>
      </c>
      <c r="AR11969" s="4" t="s">
        <v>377</v>
      </c>
    </row>
    <row r="11970" spans="1:44">
      <c r="A11970" s="4" t="s">
        <v>10753</v>
      </c>
      <c r="B11970" s="4">
        <v>235727</v>
      </c>
      <c r="D11970" s="5" t="s">
        <v>14901</v>
      </c>
      <c r="E11970" s="6" t="str">
        <f>HYPERLINK("https://inpn.mnhn.fr/espece/cd_nom/235727","Errastunus ocellaris (Fallén, 1806)")</f>
        <v>Errastunus ocellaris (Fallén, 1806)</v>
      </c>
      <c r="AH11970" s="4" t="str">
        <f>HYPERLINK("#Statut_biogéographique!A"&amp;_xlfn.XMATCH("P",Statut_biogéographique!A:A,2,1),"P")</f>
        <v>P</v>
      </c>
      <c r="AP11970" s="4" t="s">
        <v>376</v>
      </c>
      <c r="AR11970" s="4" t="s">
        <v>377</v>
      </c>
    </row>
    <row r="11971" spans="1:44">
      <c r="A11971" s="4" t="s">
        <v>10753</v>
      </c>
      <c r="B11971" s="4">
        <v>235740</v>
      </c>
      <c r="D11971" s="5" t="s">
        <v>14902</v>
      </c>
      <c r="E11971" s="6" t="str">
        <f>HYPERLINK("https://inpn.mnhn.fr/espece/cd_nom/235740","Arthaldeus pascuellus (Fallén, 1826)")</f>
        <v>Arthaldeus pascuellus (Fallén, 1826)</v>
      </c>
      <c r="AH11971" s="4" t="str">
        <f>HYPERLINK("#Statut_biogéographique!A"&amp;_xlfn.XMATCH("P",Statut_biogéographique!A:A,2,1),"P")</f>
        <v>P</v>
      </c>
      <c r="AP11971" s="4" t="s">
        <v>376</v>
      </c>
      <c r="AR11971" s="4" t="s">
        <v>377</v>
      </c>
    </row>
    <row r="11972" spans="1:44">
      <c r="A11972" s="4" t="s">
        <v>10753</v>
      </c>
      <c r="B11972" s="4">
        <v>235755</v>
      </c>
      <c r="D11972" s="5">
        <v>235755</v>
      </c>
      <c r="E11972" s="6" t="str">
        <f>HYPERLINK("https://inpn.mnhn.fr/espece/cd_nom/235755","Alebra albostriella (Fallén, 1826)")</f>
        <v>Alebra albostriella (Fallén, 1826)</v>
      </c>
      <c r="AH11972" s="4" t="str">
        <f>HYPERLINK("#Statut_biogéographique!A"&amp;_xlfn.XMATCH("P",Statut_biogéographique!A:A,2,1),"P")</f>
        <v>P</v>
      </c>
      <c r="AP11972" s="4" t="s">
        <v>376</v>
      </c>
      <c r="AR11972" s="4" t="s">
        <v>377</v>
      </c>
    </row>
    <row r="11973" spans="1:44">
      <c r="A11973" s="4" t="s">
        <v>10753</v>
      </c>
      <c r="B11973" s="4">
        <v>235760</v>
      </c>
      <c r="D11973" s="5">
        <v>235760</v>
      </c>
      <c r="E11973" s="6" t="str">
        <f>HYPERLINK("https://inpn.mnhn.fr/espece/cd_nom/235760","Wagneriala palustris (Ribaut, 1936)")</f>
        <v>Wagneriala palustris (Ribaut, 1936)</v>
      </c>
      <c r="AH11973" s="4" t="str">
        <f>HYPERLINK("#Statut_biogéographique!A"&amp;_xlfn.XMATCH("P",Statut_biogéographique!A:A,2,1),"P")</f>
        <v>P</v>
      </c>
      <c r="AP11973" s="4" t="s">
        <v>376</v>
      </c>
      <c r="AR11973" s="4" t="s">
        <v>377</v>
      </c>
    </row>
    <row r="11974" spans="1:44">
      <c r="A11974" s="4" t="s">
        <v>10753</v>
      </c>
      <c r="B11974" s="4">
        <v>235761</v>
      </c>
      <c r="D11974" s="5">
        <v>235761</v>
      </c>
      <c r="E11974" s="6" t="str">
        <f>HYPERLINK("https://inpn.mnhn.fr/espece/cd_nom/235761","Wagneriala sinuata (Then, 1897)")</f>
        <v>Wagneriala sinuata (Then, 1897)</v>
      </c>
      <c r="AH11974" s="4" t="str">
        <f>HYPERLINK("#Statut_biogéographique!A"&amp;_xlfn.XMATCH("P",Statut_biogéographique!A:A,2,1),"P")</f>
        <v>P</v>
      </c>
      <c r="AP11974" s="4" t="s">
        <v>376</v>
      </c>
      <c r="AR11974" s="4" t="s">
        <v>377</v>
      </c>
    </row>
    <row r="11975" spans="1:44" ht="30">
      <c r="A11975" s="4" t="s">
        <v>10753</v>
      </c>
      <c r="B11975" s="4">
        <v>235765</v>
      </c>
      <c r="D11975" s="5" t="s">
        <v>14903</v>
      </c>
      <c r="E11975" s="6" t="str">
        <f>HYPERLINK("https://inpn.mnhn.fr/espece/cd_nom/235765","Forcipata citrinella (Zetterstedt, 1828)")</f>
        <v>Forcipata citrinella (Zetterstedt, 1828)</v>
      </c>
      <c r="AH11975" s="4" t="str">
        <f>HYPERLINK("#Statut_biogéographique!A"&amp;_xlfn.XMATCH("P",Statut_biogéographique!A:A,2,1),"P")</f>
        <v>P</v>
      </c>
      <c r="AP11975" s="4" t="s">
        <v>376</v>
      </c>
      <c r="AR11975" s="4" t="s">
        <v>377</v>
      </c>
    </row>
    <row r="11976" spans="1:44" ht="30">
      <c r="A11976" s="4" t="s">
        <v>10753</v>
      </c>
      <c r="B11976" s="4">
        <v>235774</v>
      </c>
      <c r="D11976" s="5" t="s">
        <v>14904</v>
      </c>
      <c r="E11976" s="6" t="str">
        <f>HYPERLINK("https://inpn.mnhn.fr/espece/cd_nom/235774","Emelyanoviana mollicula (Boheman, 1845)")</f>
        <v>Emelyanoviana mollicula (Boheman, 1845)</v>
      </c>
      <c r="AH11976" s="4" t="str">
        <f>HYPERLINK("#Statut_biogéographique!A"&amp;_xlfn.XMATCH("P",Statut_biogéographique!A:A,2,1),"P")</f>
        <v>P</v>
      </c>
      <c r="AP11976" s="4" t="s">
        <v>376</v>
      </c>
      <c r="AR11976" s="4" t="s">
        <v>377</v>
      </c>
    </row>
    <row r="11977" spans="1:44">
      <c r="A11977" s="4" t="s">
        <v>10753</v>
      </c>
      <c r="B11977" s="4">
        <v>235777</v>
      </c>
      <c r="D11977" s="5" t="s">
        <v>14905</v>
      </c>
      <c r="E11977" s="6" t="str">
        <f>HYPERLINK("https://inpn.mnhn.fr/espece/cd_nom/235777","Kybos butleri (Edwards, 1908)")</f>
        <v>Kybos butleri (Edwards, 1908)</v>
      </c>
      <c r="AH11977" s="4" t="str">
        <f>HYPERLINK("#Statut_biogéographique!A"&amp;_xlfn.XMATCH("P",Statut_biogéographique!A:A,2,1),"P")</f>
        <v>P</v>
      </c>
      <c r="AP11977" s="4" t="s">
        <v>376</v>
      </c>
      <c r="AR11977" s="4" t="s">
        <v>377</v>
      </c>
    </row>
    <row r="11978" spans="1:44">
      <c r="A11978" s="4" t="s">
        <v>10753</v>
      </c>
      <c r="B11978" s="4">
        <v>235792</v>
      </c>
      <c r="D11978" s="5">
        <v>235792</v>
      </c>
      <c r="E11978" s="6" t="str">
        <f>HYPERLINK("https://inpn.mnhn.fr/espece/cd_nom/235792","Empoasca vitis (Göthe, 1875)")</f>
        <v>Empoasca vitis (Göthe, 1875)</v>
      </c>
      <c r="AH11978" s="4" t="str">
        <f>HYPERLINK("#Statut_biogéographique!A"&amp;_xlfn.XMATCH("P",Statut_biogéographique!A:A,2,1),"P")</f>
        <v>P</v>
      </c>
      <c r="AP11978" s="4" t="s">
        <v>376</v>
      </c>
      <c r="AR11978" s="4" t="s">
        <v>377</v>
      </c>
    </row>
    <row r="11979" spans="1:44">
      <c r="A11979" s="4" t="s">
        <v>10753</v>
      </c>
      <c r="B11979" s="4">
        <v>235809</v>
      </c>
      <c r="D11979" s="5" t="s">
        <v>14906</v>
      </c>
      <c r="E11979" s="6" t="str">
        <f>HYPERLINK("https://inpn.mnhn.fr/espece/cd_nom/235809","Arboridia parvula (Boheman, 1845)")</f>
        <v>Arboridia parvula (Boheman, 1845)</v>
      </c>
      <c r="AH11979" s="4" t="str">
        <f>HYPERLINK("#Statut_biogéographique!A"&amp;_xlfn.XMATCH("P",Statut_biogéographique!A:A,2,1),"P")</f>
        <v>P</v>
      </c>
      <c r="AP11979" s="4" t="s">
        <v>376</v>
      </c>
      <c r="AR11979" s="4" t="s">
        <v>377</v>
      </c>
    </row>
    <row r="11980" spans="1:44">
      <c r="A11980" s="4" t="s">
        <v>10753</v>
      </c>
      <c r="B11980" s="4">
        <v>23581</v>
      </c>
      <c r="D11980" s="5" t="s">
        <v>14907</v>
      </c>
      <c r="E11980" s="6" t="str">
        <f>HYPERLINK("https://inpn.mnhn.fr/espece/cd_nom/23581","Poecilobothrus nobilitatus (Linnaeus, 1767)")</f>
        <v>Poecilobothrus nobilitatus (Linnaeus, 1767)</v>
      </c>
      <c r="AH11980" s="4" t="str">
        <f>HYPERLINK("#Statut_biogéographique!A"&amp;_xlfn.XMATCH("P",Statut_biogéographique!A:A,2,1),"P")</f>
        <v>P</v>
      </c>
      <c r="AP11980" s="4" t="s">
        <v>376</v>
      </c>
      <c r="AR11980" s="4" t="s">
        <v>377</v>
      </c>
    </row>
    <row r="11981" spans="1:44">
      <c r="A11981" s="4" t="s">
        <v>10753</v>
      </c>
      <c r="B11981" s="4">
        <v>235819</v>
      </c>
      <c r="D11981" s="5" t="s">
        <v>14908</v>
      </c>
      <c r="E11981" s="6" t="str">
        <f>HYPERLINK("https://inpn.mnhn.fr/espece/cd_nom/235819","Zyginidia mocsaryi (Horváth, 1910)")</f>
        <v>Zyginidia mocsaryi (Horváth, 1910)</v>
      </c>
      <c r="AH11981" s="4" t="str">
        <f>HYPERLINK("#Statut_biogéographique!A"&amp;_xlfn.XMATCH("P",Statut_biogéographique!A:A,2,1),"P")</f>
        <v>P</v>
      </c>
      <c r="AP11981" s="4" t="s">
        <v>376</v>
      </c>
      <c r="AR11981" s="4" t="s">
        <v>377</v>
      </c>
    </row>
    <row r="11982" spans="1:44">
      <c r="A11982" s="4" t="s">
        <v>10753</v>
      </c>
      <c r="B11982" s="4">
        <v>235825</v>
      </c>
      <c r="D11982" s="5">
        <v>235825</v>
      </c>
      <c r="E11982" s="6" t="str">
        <f>HYPERLINK("https://inpn.mnhn.fr/espece/cd_nom/235825","Zygina angusta Lethierry, 1874")</f>
        <v>Zygina angusta Lethierry, 1874</v>
      </c>
      <c r="AH11982" s="4" t="str">
        <f>HYPERLINK("#Statut_biogéographique!A"&amp;_xlfn.XMATCH("P",Statut_biogéographique!A:A,2,1),"P")</f>
        <v>P</v>
      </c>
      <c r="AP11982" s="4" t="s">
        <v>376</v>
      </c>
      <c r="AR11982" s="4" t="s">
        <v>377</v>
      </c>
    </row>
    <row r="11983" spans="1:44" ht="30">
      <c r="A11983" s="4" t="s">
        <v>10753</v>
      </c>
      <c r="B11983" s="4">
        <v>235829</v>
      </c>
      <c r="D11983" s="5" t="s">
        <v>14909</v>
      </c>
      <c r="E11983" s="6" t="str">
        <f>HYPERLINK("https://inpn.mnhn.fr/espece/cd_nom/235829","Zygina flammigera (Fourcroy, 1785)")</f>
        <v>Zygina flammigera (Fourcroy, 1785)</v>
      </c>
      <c r="AH11983" s="4" t="str">
        <f>HYPERLINK("#Statut_biogéographique!A"&amp;_xlfn.XMATCH("P",Statut_biogéographique!A:A,2,1),"P")</f>
        <v>P</v>
      </c>
      <c r="AP11983" s="4" t="s">
        <v>376</v>
      </c>
      <c r="AR11983" s="4" t="s">
        <v>377</v>
      </c>
    </row>
    <row r="11984" spans="1:44">
      <c r="A11984" s="4" t="s">
        <v>10753</v>
      </c>
      <c r="B11984" s="4">
        <v>235835</v>
      </c>
      <c r="D11984" s="5" t="s">
        <v>14910</v>
      </c>
      <c r="E11984" s="6" t="str">
        <f>HYPERLINK("https://inpn.mnhn.fr/espece/cd_nom/235835","Zygina ordinaria (Ribaut, 1936)")</f>
        <v>Zygina ordinaria (Ribaut, 1936)</v>
      </c>
      <c r="AH11984" s="4" t="str">
        <f>HYPERLINK("#Statut_biogéographique!A"&amp;_xlfn.XMATCH("P",Statut_biogéographique!A:A,2,1),"P")</f>
        <v>P</v>
      </c>
      <c r="AP11984" s="4" t="s">
        <v>376</v>
      </c>
      <c r="AR11984" s="4" t="s">
        <v>377</v>
      </c>
    </row>
    <row r="11985" spans="1:44">
      <c r="A11985" s="4" t="s">
        <v>10753</v>
      </c>
      <c r="B11985" s="4">
        <v>235853</v>
      </c>
      <c r="D11985" s="5" t="s">
        <v>14911</v>
      </c>
      <c r="E11985" s="6" t="str">
        <f>HYPERLINK("https://inpn.mnhn.fr/espece/cd_nom/235853","Typhlocyba quercus (Fabricius, 1777)")</f>
        <v>Typhlocyba quercus (Fabricius, 1777)</v>
      </c>
      <c r="AH11985" s="4" t="str">
        <f>HYPERLINK("#Statut_biogéographique!A"&amp;_xlfn.XMATCH("P",Statut_biogéographique!A:A,2,1),"P")</f>
        <v>P</v>
      </c>
      <c r="AP11985" s="4" t="s">
        <v>376</v>
      </c>
      <c r="AR11985" s="4" t="s">
        <v>377</v>
      </c>
    </row>
    <row r="11986" spans="1:44">
      <c r="A11986" s="4" t="s">
        <v>10753</v>
      </c>
      <c r="B11986" s="4">
        <v>235856</v>
      </c>
      <c r="D11986" s="5" t="s">
        <v>14912</v>
      </c>
      <c r="E11986" s="6" t="str">
        <f>HYPERLINK("https://inpn.mnhn.fr/espece/cd_nom/235856","Ribautiana debilis (Douglas, 1876)")</f>
        <v>Ribautiana debilis (Douglas, 1876)</v>
      </c>
      <c r="AH11986" s="4" t="str">
        <f>HYPERLINK("#Statut_biogéographique!A"&amp;_xlfn.XMATCH("P",Statut_biogéographique!A:A,2,1),"P")</f>
        <v>P</v>
      </c>
      <c r="AP11986" s="4" t="s">
        <v>376</v>
      </c>
      <c r="AR11986" s="4" t="s">
        <v>377</v>
      </c>
    </row>
    <row r="11987" spans="1:44" ht="30">
      <c r="A11987" s="4" t="s">
        <v>10753</v>
      </c>
      <c r="B11987" s="4">
        <v>235858</v>
      </c>
      <c r="D11987" s="5" t="s">
        <v>14913</v>
      </c>
      <c r="E11987" s="6" t="str">
        <f>HYPERLINK("https://inpn.mnhn.fr/espece/cd_nom/235858","Ribautiana tenerrima (Herrich-Schäffer, 1834)")</f>
        <v>Ribautiana tenerrima (Herrich-Schäffer, 1834)</v>
      </c>
      <c r="AH11987" s="4" t="str">
        <f>HYPERLINK("#Statut_biogéographique!A"&amp;_xlfn.XMATCH("P",Statut_biogéographique!A:A,2,1),"P")</f>
        <v>P</v>
      </c>
      <c r="AP11987" s="4" t="s">
        <v>376</v>
      </c>
      <c r="AR11987" s="4" t="s">
        <v>377</v>
      </c>
    </row>
    <row r="11988" spans="1:44">
      <c r="A11988" s="4" t="s">
        <v>10753</v>
      </c>
      <c r="B11988" s="4">
        <v>235862</v>
      </c>
      <c r="D11988" s="5" t="s">
        <v>14914</v>
      </c>
      <c r="E11988" s="6" t="str">
        <f>HYPERLINK("https://inpn.mnhn.fr/espece/cd_nom/235862","Linnavuoriana sexmaculata (Hardy, J., 1850)")</f>
        <v>Linnavuoriana sexmaculata (Hardy, J., 1850)</v>
      </c>
      <c r="AH11988" s="4" t="str">
        <f>HYPERLINK("#Statut_biogéographique!A"&amp;_xlfn.XMATCH("P",Statut_biogéographique!A:A,2,1),"P")</f>
        <v>P</v>
      </c>
      <c r="AP11988" s="4" t="s">
        <v>376</v>
      </c>
      <c r="AR11988" s="4" t="s">
        <v>377</v>
      </c>
    </row>
    <row r="11989" spans="1:44">
      <c r="A11989" s="4" t="s">
        <v>10753</v>
      </c>
      <c r="B11989" s="4">
        <v>235863</v>
      </c>
      <c r="D11989" s="5" t="s">
        <v>14915</v>
      </c>
      <c r="E11989" s="6" t="str">
        <f>HYPERLINK("https://inpn.mnhn.fr/espece/cd_nom/235863","Lindbergina aurovittata (Douglas, 1875)")</f>
        <v>Lindbergina aurovittata (Douglas, 1875)</v>
      </c>
      <c r="AH11989" s="4" t="str">
        <f>HYPERLINK("#Statut_biogéographique!A"&amp;_xlfn.XMATCH("P",Statut_biogéographique!A:A,2,1),"P")</f>
        <v>P</v>
      </c>
      <c r="AP11989" s="4" t="s">
        <v>376</v>
      </c>
      <c r="AR11989" s="4" t="s">
        <v>377</v>
      </c>
    </row>
    <row r="11990" spans="1:44">
      <c r="A11990" s="4" t="s">
        <v>10753</v>
      </c>
      <c r="B11990" s="4">
        <v>235869</v>
      </c>
      <c r="D11990" s="5" t="s">
        <v>14916</v>
      </c>
      <c r="E11990" s="6" t="str">
        <f>HYPERLINK("https://inpn.mnhn.fr/espece/cd_nom/235869","Fagocyba cruenta (Herrich-Schäffer, 1838)")</f>
        <v>Fagocyba cruenta (Herrich-Schäffer, 1838)</v>
      </c>
      <c r="AH11990" s="4" t="str">
        <f>HYPERLINK("#Statut_biogéographique!A"&amp;_xlfn.XMATCH("P",Statut_biogéographique!A:A,2,1),"P")</f>
        <v>P</v>
      </c>
      <c r="AP11990" s="4" t="s">
        <v>376</v>
      </c>
      <c r="AR11990" s="4" t="s">
        <v>377</v>
      </c>
    </row>
    <row r="11991" spans="1:44">
      <c r="A11991" s="4" t="s">
        <v>10753</v>
      </c>
      <c r="B11991" s="4">
        <v>235870</v>
      </c>
      <c r="D11991" s="5" t="s">
        <v>14917</v>
      </c>
      <c r="E11991" s="6" t="str">
        <f>HYPERLINK("https://inpn.mnhn.fr/espece/cd_nom/235870","Fagocyba douglasi (Edwards, 1878)")</f>
        <v>Fagocyba douglasi (Edwards, 1878)</v>
      </c>
      <c r="AH11991" s="4" t="str">
        <f>HYPERLINK("#Statut_biogéographique!A"&amp;_xlfn.XMATCH("P",Statut_biogéographique!A:A,2,1),"P")</f>
        <v>P</v>
      </c>
      <c r="AP11991" s="4" t="s">
        <v>376</v>
      </c>
      <c r="AR11991" s="4" t="s">
        <v>377</v>
      </c>
    </row>
    <row r="11992" spans="1:44">
      <c r="A11992" s="4" t="s">
        <v>10753</v>
      </c>
      <c r="B11992" s="4">
        <v>235872</v>
      </c>
      <c r="D11992" s="5" t="s">
        <v>14918</v>
      </c>
      <c r="E11992" s="6" t="str">
        <f>HYPERLINK("https://inpn.mnhn.fr/espece/cd_nom/235872","Eurhadina concinna (Germar, 1831)")</f>
        <v>Eurhadina concinna (Germar, 1831)</v>
      </c>
      <c r="AH11992" s="4" t="str">
        <f>HYPERLINK("#Statut_biogéographique!A"&amp;_xlfn.XMATCH("P",Statut_biogéographique!A:A,2,1),"P")</f>
        <v>P</v>
      </c>
      <c r="AP11992" s="4" t="s">
        <v>376</v>
      </c>
      <c r="AR11992" s="4" t="s">
        <v>377</v>
      </c>
    </row>
    <row r="11993" spans="1:44">
      <c r="A11993" s="4" t="s">
        <v>10753</v>
      </c>
      <c r="B11993" s="4">
        <v>235881</v>
      </c>
      <c r="D11993" s="5" t="s">
        <v>14919</v>
      </c>
      <c r="E11993" s="6" t="str">
        <f>HYPERLINK("https://inpn.mnhn.fr/espece/cd_nom/235881","Eupteryx atropunctata (Goeze, 1778)")</f>
        <v>Eupteryx atropunctata (Goeze, 1778)</v>
      </c>
      <c r="AH11993" s="4" t="str">
        <f>HYPERLINK("#Statut_biogéographique!A"&amp;_xlfn.XMATCH("P",Statut_biogéographique!A:A,2,1),"P")</f>
        <v>P</v>
      </c>
      <c r="AP11993" s="4" t="s">
        <v>376</v>
      </c>
      <c r="AR11993" s="4" t="s">
        <v>377</v>
      </c>
    </row>
    <row r="11994" spans="1:44" ht="30">
      <c r="A11994" s="4" t="s">
        <v>10753</v>
      </c>
      <c r="B11994" s="4">
        <v>235882</v>
      </c>
      <c r="D11994" s="5" t="s">
        <v>14920</v>
      </c>
      <c r="E11994" s="6" t="str">
        <f>HYPERLINK("https://inpn.mnhn.fr/espece/cd_nom/235882","Eupteryx aurata (Linnaeus, 1758)")</f>
        <v>Eupteryx aurata (Linnaeus, 1758)</v>
      </c>
      <c r="AH11994" s="4" t="str">
        <f>HYPERLINK("#Statut_biogéographique!A"&amp;_xlfn.XMATCH("P",Statut_biogéographique!A:A,2,1),"P")</f>
        <v>P</v>
      </c>
      <c r="AP11994" s="4" t="s">
        <v>376</v>
      </c>
      <c r="AR11994" s="4" t="s">
        <v>377</v>
      </c>
    </row>
    <row r="11995" spans="1:44">
      <c r="A11995" s="4" t="s">
        <v>10753</v>
      </c>
      <c r="B11995" s="4">
        <v>235889</v>
      </c>
      <c r="D11995" s="5">
        <v>235889</v>
      </c>
      <c r="E11995" s="6" t="str">
        <f>HYPERLINK("https://inpn.mnhn.fr/espece/cd_nom/235889","Eupteryx cyclops Matsumura, 1906")</f>
        <v>Eupteryx cyclops Matsumura, 1906</v>
      </c>
      <c r="AH11995" s="4" t="str">
        <f>HYPERLINK("#Statut_biogéographique!A"&amp;_xlfn.XMATCH("P",Statut_biogéographique!A:A,2,1),"P")</f>
        <v>P</v>
      </c>
      <c r="AP11995" s="4" t="s">
        <v>376</v>
      </c>
      <c r="AR11995" s="4" t="s">
        <v>377</v>
      </c>
    </row>
    <row r="11996" spans="1:44">
      <c r="A11996" s="4" t="s">
        <v>10753</v>
      </c>
      <c r="B11996" s="4">
        <v>235890</v>
      </c>
      <c r="D11996" s="5" t="s">
        <v>14921</v>
      </c>
      <c r="E11996" s="6" t="str">
        <f>HYPERLINK("https://inpn.mnhn.fr/espece/cd_nom/235890","Eupteryx decemnotata Rey, 1891")</f>
        <v>Eupteryx decemnotata Rey, 1891</v>
      </c>
      <c r="AH11996" s="4" t="str">
        <f>HYPERLINK("#Statut_biogéographique!A"&amp;_xlfn.XMATCH("P",Statut_biogéographique!A:A,2,1),"P")</f>
        <v>P</v>
      </c>
      <c r="AP11996" s="4" t="s">
        <v>376</v>
      </c>
      <c r="AR11996" s="4" t="s">
        <v>377</v>
      </c>
    </row>
    <row r="11997" spans="1:44">
      <c r="A11997" s="4" t="s">
        <v>10753</v>
      </c>
      <c r="B11997" s="4">
        <v>235893</v>
      </c>
      <c r="D11997" s="5">
        <v>235893</v>
      </c>
      <c r="E11997" s="6" t="str">
        <f>HYPERLINK("https://inpn.mnhn.fr/espece/cd_nom/235893","Eupteryx florida Ribaut, 1936")</f>
        <v>Eupteryx florida Ribaut, 1936</v>
      </c>
      <c r="AH11997" s="4" t="str">
        <f>HYPERLINK("#Statut_biogéographique!A"&amp;_xlfn.XMATCH("P",Statut_biogéographique!A:A,2,1),"P")</f>
        <v>P</v>
      </c>
      <c r="AP11997" s="4" t="s">
        <v>376</v>
      </c>
      <c r="AR11997" s="4" t="s">
        <v>377</v>
      </c>
    </row>
    <row r="11998" spans="1:44">
      <c r="A11998" s="4" t="s">
        <v>10753</v>
      </c>
      <c r="B11998" s="4">
        <v>235895</v>
      </c>
      <c r="D11998" s="5" t="s">
        <v>14922</v>
      </c>
      <c r="E11998" s="6" t="str">
        <f>HYPERLINK("https://inpn.mnhn.fr/espece/cd_nom/235895","Eupteryx heydenii (Kirschbaum, 1868)")</f>
        <v>Eupteryx heydenii (Kirschbaum, 1868)</v>
      </c>
      <c r="AH11998" s="4" t="str">
        <f>HYPERLINK("#Statut_biogéographique!A"&amp;_xlfn.XMATCH("P",Statut_biogéographique!A:A,2,1),"P")</f>
        <v>P</v>
      </c>
      <c r="AP11998" s="4" t="s">
        <v>376</v>
      </c>
      <c r="AR11998" s="4" t="s">
        <v>377</v>
      </c>
    </row>
    <row r="11999" spans="1:44">
      <c r="A11999" s="4" t="s">
        <v>10753</v>
      </c>
      <c r="B11999" s="4">
        <v>235899</v>
      </c>
      <c r="D11999" s="5" t="s">
        <v>14923</v>
      </c>
      <c r="E11999" s="6" t="str">
        <f>HYPERLINK("https://inpn.mnhn.fr/espece/cd_nom/235899","Eupteryx notata Curtis, 1837")</f>
        <v>Eupteryx notata Curtis, 1837</v>
      </c>
      <c r="AH11999" s="4" t="str">
        <f>HYPERLINK("#Statut_biogéographique!A"&amp;_xlfn.XMATCH("P",Statut_biogéographique!A:A,2,1),"P")</f>
        <v>P</v>
      </c>
      <c r="AP11999" s="4" t="s">
        <v>376</v>
      </c>
      <c r="AR11999" s="4" t="s">
        <v>377</v>
      </c>
    </row>
    <row r="12000" spans="1:44">
      <c r="A12000" s="4" t="s">
        <v>10753</v>
      </c>
      <c r="B12000" s="4">
        <v>23590</v>
      </c>
      <c r="D12000" s="5" t="s">
        <v>14924</v>
      </c>
      <c r="E12000" s="6" t="str">
        <f>HYPERLINK("https://inpn.mnhn.fr/espece/cd_nom/23590","Tachytrechus notatus (Stannius, 1831)")</f>
        <v>Tachytrechus notatus (Stannius, 1831)</v>
      </c>
      <c r="AH12000" s="4" t="str">
        <f>HYPERLINK("#Statut_biogéographique!A"&amp;_xlfn.XMATCH("P",Statut_biogéographique!A:A,2,1),"P")</f>
        <v>P</v>
      </c>
      <c r="AP12000" s="4" t="s">
        <v>376</v>
      </c>
      <c r="AR12000" s="4" t="s">
        <v>377</v>
      </c>
    </row>
    <row r="12001" spans="1:44">
      <c r="A12001" s="4" t="s">
        <v>10753</v>
      </c>
      <c r="B12001" s="4">
        <v>235904</v>
      </c>
      <c r="D12001" s="5">
        <v>235904</v>
      </c>
      <c r="E12001" s="6" t="str">
        <f>HYPERLINK("https://inpn.mnhn.fr/espece/cd_nom/235904","Eupteryx stachydearum (Hardy, 1850)")</f>
        <v>Eupteryx stachydearum (Hardy, 1850)</v>
      </c>
      <c r="AH12001" s="4" t="str">
        <f>HYPERLINK("#Statut_biogéographique!A"&amp;_xlfn.XMATCH("P",Statut_biogéographique!A:A,2,1),"P")</f>
        <v>P</v>
      </c>
      <c r="AP12001" s="4" t="s">
        <v>376</v>
      </c>
      <c r="AR12001" s="4" t="s">
        <v>377</v>
      </c>
    </row>
    <row r="12002" spans="1:44">
      <c r="A12002" s="4" t="s">
        <v>10753</v>
      </c>
      <c r="B12002" s="4">
        <v>235907</v>
      </c>
      <c r="D12002" s="5" t="s">
        <v>14925</v>
      </c>
      <c r="E12002" s="6" t="str">
        <f>HYPERLINK("https://inpn.mnhn.fr/espece/cd_nom/235907","Eupteryx vittata (Linnaeus, 1758)")</f>
        <v>Eupteryx vittata (Linnaeus, 1758)</v>
      </c>
      <c r="AH12002" s="4" t="str">
        <f>HYPERLINK("#Statut_biogéographique!A"&amp;_xlfn.XMATCH("P",Statut_biogéographique!A:A,2,1),"P")</f>
        <v>P</v>
      </c>
      <c r="AP12002" s="4" t="s">
        <v>376</v>
      </c>
      <c r="AR12002" s="4" t="s">
        <v>377</v>
      </c>
    </row>
    <row r="12003" spans="1:44">
      <c r="A12003" s="4" t="s">
        <v>10753</v>
      </c>
      <c r="B12003" s="4">
        <v>235911</v>
      </c>
      <c r="D12003" s="5">
        <v>235911</v>
      </c>
      <c r="E12003" s="6" t="str">
        <f>HYPERLINK("https://inpn.mnhn.fr/espece/cd_nom/235911","Edwardsiana bergmanni (Tullgren, 1916)")</f>
        <v>Edwardsiana bergmanni (Tullgren, 1916)</v>
      </c>
      <c r="AH12003" s="4" t="str">
        <f>HYPERLINK("#Statut_biogéographique!A"&amp;_xlfn.XMATCH("P",Statut_biogéographique!A:A,2,1),"P")</f>
        <v>P</v>
      </c>
      <c r="AP12003" s="4" t="s">
        <v>376</v>
      </c>
      <c r="AR12003" s="4" t="s">
        <v>377</v>
      </c>
    </row>
    <row r="12004" spans="1:44" ht="30">
      <c r="A12004" s="4" t="s">
        <v>10753</v>
      </c>
      <c r="B12004" s="4">
        <v>235914</v>
      </c>
      <c r="D12004" s="5" t="s">
        <v>14926</v>
      </c>
      <c r="E12004" s="6" t="str">
        <f>HYPERLINK("https://inpn.mnhn.fr/espece/cd_nom/235914","Edwardsiana flavescens (Fabricius, 1794)")</f>
        <v>Edwardsiana flavescens (Fabricius, 1794)</v>
      </c>
      <c r="AH12004" s="4" t="str">
        <f>HYPERLINK("#Statut_biogéographique!A"&amp;_xlfn.XMATCH("P",Statut_biogéographique!A:A,2,1),"P")</f>
        <v>P</v>
      </c>
      <c r="AP12004" s="4" t="s">
        <v>376</v>
      </c>
      <c r="AR12004" s="4" t="s">
        <v>377</v>
      </c>
    </row>
    <row r="12005" spans="1:44">
      <c r="A12005" s="4" t="s">
        <v>10753</v>
      </c>
      <c r="B12005" s="4">
        <v>235925</v>
      </c>
      <c r="D12005" s="5" t="s">
        <v>14927</v>
      </c>
      <c r="E12005" s="6" t="str">
        <f>HYPERLINK("https://inpn.mnhn.fr/espece/cd_nom/235925","Edwardsiana prunicola (Edwards, 1914)")</f>
        <v>Edwardsiana prunicola (Edwards, 1914)</v>
      </c>
      <c r="AH12005" s="4" t="str">
        <f>HYPERLINK("#Statut_biogéographique!A"&amp;_xlfn.XMATCH("P",Statut_biogéographique!A:A,2,1),"P")</f>
        <v>P</v>
      </c>
      <c r="AP12005" s="4" t="s">
        <v>376</v>
      </c>
      <c r="AR12005" s="4" t="s">
        <v>377</v>
      </c>
    </row>
    <row r="12006" spans="1:44" ht="30">
      <c r="A12006" s="4" t="s">
        <v>10753</v>
      </c>
      <c r="B12006" s="4">
        <v>235927</v>
      </c>
      <c r="D12006" s="5" t="s">
        <v>14928</v>
      </c>
      <c r="E12006" s="6" t="str">
        <f>HYPERLINK("https://inpn.mnhn.fr/espece/cd_nom/235927","Edwardsiana rosae (Linnaeus, 1758)")</f>
        <v>Edwardsiana rosae (Linnaeus, 1758)</v>
      </c>
      <c r="AH12006" s="4" t="str">
        <f>HYPERLINK("#Statut_biogéographique!A"&amp;_xlfn.XMATCH("P",Statut_biogéographique!A:A,2,1),"P")</f>
        <v>P</v>
      </c>
      <c r="AP12006" s="4" t="s">
        <v>376</v>
      </c>
      <c r="AR12006" s="4" t="s">
        <v>377</v>
      </c>
    </row>
    <row r="12007" spans="1:44">
      <c r="A12007" s="4" t="s">
        <v>10753</v>
      </c>
      <c r="B12007" s="4">
        <v>235931</v>
      </c>
      <c r="D12007" s="5">
        <v>235931</v>
      </c>
      <c r="E12007" s="6" t="str">
        <f>HYPERLINK("https://inpn.mnhn.fr/espece/cd_nom/235931","Edwardsiana spinigera (Edwards, 1924)")</f>
        <v>Edwardsiana spinigera (Edwards, 1924)</v>
      </c>
      <c r="AH12007" s="4" t="str">
        <f>HYPERLINK("#Statut_biogéographique!A"&amp;_xlfn.XMATCH("P",Statut_biogéographique!A:A,2,1),"P")</f>
        <v>P</v>
      </c>
      <c r="AP12007" s="4" t="s">
        <v>376</v>
      </c>
      <c r="AR12007" s="4" t="s">
        <v>377</v>
      </c>
    </row>
    <row r="12008" spans="1:44">
      <c r="A12008" s="4" t="s">
        <v>10753</v>
      </c>
      <c r="B12008" s="4">
        <v>235936</v>
      </c>
      <c r="D12008" s="5" t="s">
        <v>14929</v>
      </c>
      <c r="E12008" s="6" t="str">
        <f>HYPERLINK("https://inpn.mnhn.fr/espece/cd_nom/235936","Zyginella pulchra Löw, 1885")</f>
        <v>Zyginella pulchra Löw, 1885</v>
      </c>
      <c r="AH12008" s="4" t="str">
        <f>HYPERLINK("#Statut_biogéographique!A"&amp;_xlfn.XMATCH("P",Statut_biogéographique!A:A,2,1),"P")</f>
        <v>P</v>
      </c>
      <c r="AP12008" s="4" t="s">
        <v>376</v>
      </c>
      <c r="AR12008" s="4" t="s">
        <v>377</v>
      </c>
    </row>
    <row r="12009" spans="1:44">
      <c r="A12009" s="4" t="s">
        <v>10753</v>
      </c>
      <c r="B12009" s="4">
        <v>235937</v>
      </c>
      <c r="D12009" s="5">
        <v>235937</v>
      </c>
      <c r="E12009" s="6" t="str">
        <f>HYPERLINK("https://inpn.mnhn.fr/espece/cd_nom/235937","Graphocephala fennahi Young, 1977")</f>
        <v>Graphocephala fennahi Young, 1977</v>
      </c>
      <c r="AH12009" s="4" t="str">
        <f>HYPERLINK("#Statut_biogéographique!A"&amp;_xlfn.XMATCH("I",Statut_biogéographique!A:A,2,1),"I")</f>
        <v>I</v>
      </c>
      <c r="AP12009" s="4" t="s">
        <v>376</v>
      </c>
      <c r="AR12009" s="4" t="s">
        <v>377</v>
      </c>
    </row>
    <row r="12010" spans="1:44">
      <c r="A12010" s="4" t="s">
        <v>10753</v>
      </c>
      <c r="B12010" s="4">
        <v>235938</v>
      </c>
      <c r="D12010" s="5" t="s">
        <v>14930</v>
      </c>
      <c r="E12010" s="6" t="str">
        <f>HYPERLINK("https://inpn.mnhn.fr/espece/cd_nom/235938","Errhomenus brachypterus Fieber, 1866")</f>
        <v>Errhomenus brachypterus Fieber, 1866</v>
      </c>
      <c r="AH12010" s="4" t="str">
        <f>HYPERLINK("#Statut_biogéographique!A"&amp;_xlfn.XMATCH("P",Statut_biogéographique!A:A,2,1),"P")</f>
        <v>P</v>
      </c>
      <c r="AP12010" s="4" t="s">
        <v>376</v>
      </c>
      <c r="AR12010" s="4" t="s">
        <v>377</v>
      </c>
    </row>
    <row r="12011" spans="1:44">
      <c r="A12011" s="4" t="s">
        <v>10753</v>
      </c>
      <c r="B12011" s="4">
        <v>235943</v>
      </c>
      <c r="D12011" s="5" t="s">
        <v>14931</v>
      </c>
      <c r="E12011" s="6" t="str">
        <f>HYPERLINK("https://inpn.mnhn.fr/espece/cd_nom/235943","Planaphrodes bifasciatus (Linnaeus, 1758)")</f>
        <v>Planaphrodes bifasciatus (Linnaeus, 1758)</v>
      </c>
      <c r="AH12011" s="4" t="str">
        <f>HYPERLINK("#Statut_biogéographique!A"&amp;_xlfn.XMATCH("P",Statut_biogéographique!A:A,2,1),"P")</f>
        <v>P</v>
      </c>
      <c r="AP12011" s="4" t="s">
        <v>376</v>
      </c>
      <c r="AR12011" s="4" t="s">
        <v>377</v>
      </c>
    </row>
    <row r="12012" spans="1:44">
      <c r="A12012" s="4" t="s">
        <v>10753</v>
      </c>
      <c r="B12012" s="4">
        <v>235947</v>
      </c>
      <c r="D12012" s="5">
        <v>235947</v>
      </c>
      <c r="E12012" s="6" t="str">
        <f>HYPERLINK("https://inpn.mnhn.fr/espece/cd_nom/235947","Aphrodes makarovi Zachvatkin, 1948")</f>
        <v>Aphrodes makarovi Zachvatkin, 1948</v>
      </c>
      <c r="AH12012" s="4" t="str">
        <f>HYPERLINK("#Statut_biogéographique!A"&amp;_xlfn.XMATCH("P",Statut_biogéographique!A:A,2,1),"P")</f>
        <v>P</v>
      </c>
      <c r="AP12012" s="4" t="s">
        <v>376</v>
      </c>
      <c r="AR12012" s="4" t="s">
        <v>377</v>
      </c>
    </row>
    <row r="12013" spans="1:44">
      <c r="A12013" s="4" t="s">
        <v>10753</v>
      </c>
      <c r="B12013" s="4">
        <v>235951</v>
      </c>
      <c r="D12013" s="5" t="s">
        <v>14932</v>
      </c>
      <c r="E12013" s="6" t="str">
        <f>HYPERLINK("https://inpn.mnhn.fr/espece/cd_nom/235951","Anoscopus flavostriatus (Donovan, 1799)")</f>
        <v>Anoscopus flavostriatus (Donovan, 1799)</v>
      </c>
      <c r="AH12013" s="4" t="str">
        <f>HYPERLINK("#Statut_biogéographique!A"&amp;_xlfn.XMATCH("P",Statut_biogéographique!A:A,2,1),"P")</f>
        <v>P</v>
      </c>
      <c r="AP12013" s="4" t="s">
        <v>376</v>
      </c>
      <c r="AR12013" s="4" t="s">
        <v>377</v>
      </c>
    </row>
    <row r="12014" spans="1:44">
      <c r="A12014" s="4" t="s">
        <v>10753</v>
      </c>
      <c r="B12014" s="4">
        <v>235957</v>
      </c>
      <c r="D12014" s="5" t="s">
        <v>14933</v>
      </c>
      <c r="E12014" s="6" t="str">
        <f>HYPERLINK("https://inpn.mnhn.fr/espece/cd_nom/235957","Eupelix cuspidata (Fabricius, 1775)")</f>
        <v>Eupelix cuspidata (Fabricius, 1775)</v>
      </c>
      <c r="AH12014" s="4" t="str">
        <f>HYPERLINK("#Statut_biogéographique!A"&amp;_xlfn.XMATCH("P",Statut_biogéographique!A:A,2,1),"P")</f>
        <v>P</v>
      </c>
      <c r="AP12014" s="4" t="s">
        <v>376</v>
      </c>
      <c r="AR12014" s="4" t="s">
        <v>377</v>
      </c>
    </row>
    <row r="12015" spans="1:44" ht="30">
      <c r="A12015" s="4" t="s">
        <v>10753</v>
      </c>
      <c r="B12015" s="4">
        <v>235958</v>
      </c>
      <c r="D12015" s="5" t="s">
        <v>14934</v>
      </c>
      <c r="E12015" s="6" t="str">
        <f>HYPERLINK("https://inpn.mnhn.fr/espece/cd_nom/235958","Penthimia nigra (Goeze, 1778)")</f>
        <v>Penthimia nigra (Goeze, 1778)</v>
      </c>
      <c r="AH12015" s="4" t="str">
        <f>HYPERLINK("#Statut_biogéographique!A"&amp;_xlfn.XMATCH("P",Statut_biogéographique!A:A,2,1),"P")</f>
        <v>P</v>
      </c>
      <c r="AP12015" s="4" t="s">
        <v>376</v>
      </c>
      <c r="AR12015" s="4" t="s">
        <v>377</v>
      </c>
    </row>
    <row r="12016" spans="1:44">
      <c r="A12016" s="4" t="s">
        <v>10753</v>
      </c>
      <c r="B12016" s="4">
        <v>235959</v>
      </c>
      <c r="D12016" s="5" t="s">
        <v>14935</v>
      </c>
      <c r="E12016" s="6" t="str">
        <f>HYPERLINK("https://inpn.mnhn.fr/espece/cd_nom/235959","Iassus lanio (Linnaeus, 1761)")</f>
        <v>Iassus lanio (Linnaeus, 1761)</v>
      </c>
      <c r="AH12016" s="4" t="str">
        <f>HYPERLINK("#Statut_biogéographique!A"&amp;_xlfn.XMATCH("P",Statut_biogéographique!A:A,2,1),"P")</f>
        <v>P</v>
      </c>
      <c r="AP12016" s="4" t="s">
        <v>376</v>
      </c>
      <c r="AR12016" s="4" t="s">
        <v>377</v>
      </c>
    </row>
    <row r="12017" spans="1:44">
      <c r="A12017" s="4" t="s">
        <v>10753</v>
      </c>
      <c r="B12017" s="4">
        <v>235962</v>
      </c>
      <c r="D12017" s="5" t="s">
        <v>14936</v>
      </c>
      <c r="E12017" s="6" t="str">
        <f>HYPERLINK("https://inpn.mnhn.fr/espece/cd_nom/235962","Batracomorphus irroratus Lewis, 1834")</f>
        <v>Batracomorphus irroratus Lewis, 1834</v>
      </c>
      <c r="AH12017" s="4" t="str">
        <f>HYPERLINK("#Statut_biogéographique!A"&amp;_xlfn.XMATCH("P",Statut_biogéographique!A:A,2,1),"P")</f>
        <v>P</v>
      </c>
      <c r="AP12017" s="4" t="s">
        <v>376</v>
      </c>
      <c r="AR12017" s="4" t="s">
        <v>377</v>
      </c>
    </row>
    <row r="12018" spans="1:44" ht="30">
      <c r="A12018" s="4" t="s">
        <v>10753</v>
      </c>
      <c r="B12018" s="4">
        <v>235963</v>
      </c>
      <c r="D12018" s="5" t="s">
        <v>14937</v>
      </c>
      <c r="E12018" s="6" t="str">
        <f>HYPERLINK("https://inpn.mnhn.fr/espece/cd_nom/235963","Viridicerus ustulatus (Mulsant &amp; Rey, 1855)")</f>
        <v>Viridicerus ustulatus (Mulsant &amp; Rey, 1855)</v>
      </c>
      <c r="AH12018" s="4" t="str">
        <f>HYPERLINK("#Statut_biogéographique!A"&amp;_xlfn.XMATCH("P",Statut_biogéographique!A:A,2,1),"P")</f>
        <v>P</v>
      </c>
      <c r="AP12018" s="4" t="s">
        <v>376</v>
      </c>
      <c r="AR12018" s="4" t="s">
        <v>377</v>
      </c>
    </row>
    <row r="12019" spans="1:44" ht="30">
      <c r="A12019" s="4" t="s">
        <v>10753</v>
      </c>
      <c r="B12019" s="4">
        <v>235976</v>
      </c>
      <c r="D12019" s="5" t="s">
        <v>14938</v>
      </c>
      <c r="E12019" s="6" t="str">
        <f>HYPERLINK("https://inpn.mnhn.fr/espece/cd_nom/235976","Populicerus populi (Linnaeus, 1761)")</f>
        <v>Populicerus populi (Linnaeus, 1761)</v>
      </c>
      <c r="AH12019" s="4" t="str">
        <f>HYPERLINK("#Statut_biogéographique!A"&amp;_xlfn.XMATCH("P",Statut_biogéographique!A:A,2,1),"P")</f>
        <v>P</v>
      </c>
      <c r="AP12019" s="4" t="s">
        <v>376</v>
      </c>
      <c r="AR12019" s="4" t="s">
        <v>377</v>
      </c>
    </row>
    <row r="12020" spans="1:44">
      <c r="A12020" s="4" t="s">
        <v>10753</v>
      </c>
      <c r="B12020" s="4">
        <v>235977</v>
      </c>
      <c r="D12020" s="5" t="s">
        <v>14939</v>
      </c>
      <c r="E12020" s="6" t="str">
        <f>HYPERLINK("https://inpn.mnhn.fr/espece/cd_nom/235977","Metidiocerus elegans (Flor, 1861)")</f>
        <v>Metidiocerus elegans (Flor, 1861)</v>
      </c>
      <c r="AH12020" s="4" t="str">
        <f>HYPERLINK("#Statut_biogéographique!A"&amp;_xlfn.XMATCH("P",Statut_biogéographique!A:A,2,1),"P")</f>
        <v>P</v>
      </c>
      <c r="AP12020" s="4" t="s">
        <v>376</v>
      </c>
      <c r="AR12020" s="4" t="s">
        <v>377</v>
      </c>
    </row>
    <row r="12021" spans="1:44">
      <c r="A12021" s="4" t="s">
        <v>10753</v>
      </c>
      <c r="B12021" s="4">
        <v>235983</v>
      </c>
      <c r="D12021" s="5" t="s">
        <v>14940</v>
      </c>
      <c r="E12021" s="6" t="str">
        <f>HYPERLINK("https://inpn.mnhn.fr/espece/cd_nom/235983","Idiocerus lituratus (Fallén, 1806)")</f>
        <v>Idiocerus lituratus (Fallén, 1806)</v>
      </c>
      <c r="F12021" s="5" t="s">
        <v>14941</v>
      </c>
      <c r="AH12021" s="4" t="str">
        <f>HYPERLINK("#Statut_biogéographique!A"&amp;_xlfn.XMATCH("P",Statut_biogéographique!A:A,2,1),"P")</f>
        <v>P</v>
      </c>
      <c r="AP12021" s="4" t="s">
        <v>376</v>
      </c>
      <c r="AR12021" s="4" t="s">
        <v>377</v>
      </c>
    </row>
    <row r="12022" spans="1:44">
      <c r="A12022" s="4" t="s">
        <v>10753</v>
      </c>
      <c r="B12022" s="4">
        <v>235984</v>
      </c>
      <c r="D12022" s="5" t="s">
        <v>14942</v>
      </c>
      <c r="E12022" s="6" t="str">
        <f>HYPERLINK("https://inpn.mnhn.fr/espece/cd_nom/235984","Idiocerus similis Kirschbaum, 1868")</f>
        <v>Idiocerus similis Kirschbaum, 1868</v>
      </c>
      <c r="AH12022" s="4" t="str">
        <f>HYPERLINK("#Statut_biogéographique!A"&amp;_xlfn.XMATCH("P",Statut_biogéographique!A:A,2,1),"P")</f>
        <v>P</v>
      </c>
      <c r="AP12022" s="4" t="s">
        <v>376</v>
      </c>
      <c r="AR12022" s="4" t="s">
        <v>377</v>
      </c>
    </row>
    <row r="12023" spans="1:44">
      <c r="A12023" s="4" t="s">
        <v>10753</v>
      </c>
      <c r="B12023" s="4">
        <v>235985</v>
      </c>
      <c r="D12023" s="5" t="s">
        <v>14943</v>
      </c>
      <c r="E12023" s="6" t="str">
        <f>HYPERLINK("https://inpn.mnhn.fr/espece/cd_nom/235985","Idiocerus stigmaticalis Lewis, 1834")</f>
        <v>Idiocerus stigmaticalis Lewis, 1834</v>
      </c>
      <c r="AH12023" s="4" t="str">
        <f>HYPERLINK("#Statut_biogéographique!A"&amp;_xlfn.XMATCH("P",Statut_biogéographique!A:A,2,1),"P")</f>
        <v>P</v>
      </c>
      <c r="AP12023" s="4" t="s">
        <v>376</v>
      </c>
      <c r="AR12023" s="4" t="s">
        <v>377</v>
      </c>
    </row>
    <row r="12024" spans="1:44" ht="30">
      <c r="A12024" s="4" t="s">
        <v>10753</v>
      </c>
      <c r="B12024" s="4">
        <v>235988</v>
      </c>
      <c r="D12024" s="5" t="s">
        <v>14944</v>
      </c>
      <c r="E12024" s="6" t="str">
        <f>HYPERLINK("https://inpn.mnhn.fr/espece/cd_nom/235988","Balcanocerus larvatus (Herrich-Schäffer, 1835)")</f>
        <v>Balcanocerus larvatus (Herrich-Schäffer, 1835)</v>
      </c>
      <c r="AH12024" s="4" t="str">
        <f>HYPERLINK("#Statut_biogéographique!A"&amp;_xlfn.XMATCH("P",Statut_biogéographique!A:A,2,1),"P")</f>
        <v>P</v>
      </c>
      <c r="AP12024" s="4" t="s">
        <v>376</v>
      </c>
      <c r="AR12024" s="4" t="s">
        <v>377</v>
      </c>
    </row>
    <row r="12025" spans="1:44">
      <c r="A12025" s="4" t="s">
        <v>10753</v>
      </c>
      <c r="B12025" s="4">
        <v>235990</v>
      </c>
      <c r="D12025" s="5" t="s">
        <v>14945</v>
      </c>
      <c r="E12025" s="6" t="str">
        <f>HYPERLINK("https://inpn.mnhn.fr/espece/cd_nom/235990","Acericerus heydenii (Kirschbaum, 1868)")</f>
        <v>Acericerus heydenii (Kirschbaum, 1868)</v>
      </c>
      <c r="AH12025" s="4" t="str">
        <f>HYPERLINK("#Statut_biogéographique!A"&amp;_xlfn.XMATCH("P",Statut_biogéographique!A:A,2,1),"P")</f>
        <v>P</v>
      </c>
      <c r="AP12025" s="4" t="s">
        <v>376</v>
      </c>
      <c r="AR12025" s="4" t="s">
        <v>377</v>
      </c>
    </row>
    <row r="12026" spans="1:44">
      <c r="A12026" s="4" t="s">
        <v>10753</v>
      </c>
      <c r="B12026" s="4">
        <v>235991</v>
      </c>
      <c r="D12026" s="5">
        <v>235991</v>
      </c>
      <c r="E12026" s="6" t="str">
        <f>HYPERLINK("https://inpn.mnhn.fr/espece/cd_nom/235991","Acericerus ribauti Nickel &amp; Remane, 2002")</f>
        <v>Acericerus ribauti Nickel &amp; Remane, 2002</v>
      </c>
      <c r="AH12026" s="4" t="str">
        <f>HYPERLINK("#Statut_biogéographique!A"&amp;_xlfn.XMATCH("P",Statut_biogéographique!A:A,2,1),"P")</f>
        <v>P</v>
      </c>
      <c r="AP12026" s="4" t="s">
        <v>376</v>
      </c>
      <c r="AR12026" s="4" t="s">
        <v>377</v>
      </c>
    </row>
    <row r="12027" spans="1:44">
      <c r="A12027" s="4" t="s">
        <v>10753</v>
      </c>
      <c r="B12027" s="4">
        <v>235999</v>
      </c>
      <c r="D12027" s="5">
        <v>235999</v>
      </c>
      <c r="E12027" s="6" t="str">
        <f>HYPERLINK("https://inpn.mnhn.fr/espece/cd_nom/235999","Anaceratagallia ribauti (Ossiannilsson, 1938)")</f>
        <v>Anaceratagallia ribauti (Ossiannilsson, 1938)</v>
      </c>
      <c r="AH12027" s="4" t="str">
        <f>HYPERLINK("#Statut_biogéographique!A"&amp;_xlfn.XMATCH("P",Statut_biogéographique!A:A,2,1),"P")</f>
        <v>P</v>
      </c>
      <c r="AP12027" s="4" t="s">
        <v>376</v>
      </c>
      <c r="AR12027" s="4" t="s">
        <v>377</v>
      </c>
    </row>
    <row r="12028" spans="1:44">
      <c r="A12028" s="4" t="s">
        <v>10753</v>
      </c>
      <c r="B12028" s="4">
        <v>236001</v>
      </c>
      <c r="D12028" s="5" t="s">
        <v>14946</v>
      </c>
      <c r="E12028" s="6" t="str">
        <f>HYPERLINK("https://inpn.mnhn.fr/espece/cd_nom/236001","Anaceratagallia venosa (Fourcroy, 1785)")</f>
        <v>Anaceratagallia venosa (Fourcroy, 1785)</v>
      </c>
      <c r="F12028" s="5" t="s">
        <v>14947</v>
      </c>
      <c r="AH12028" s="4" t="str">
        <f>HYPERLINK("#Statut_biogéographique!A"&amp;_xlfn.XMATCH("P",Statut_biogéographique!A:A,2,1),"P")</f>
        <v>P</v>
      </c>
      <c r="AP12028" s="4" t="s">
        <v>376</v>
      </c>
      <c r="AR12028" s="4" t="s">
        <v>377</v>
      </c>
    </row>
    <row r="12029" spans="1:44">
      <c r="A12029" s="4" t="s">
        <v>10753</v>
      </c>
      <c r="B12029" s="4">
        <v>236002</v>
      </c>
      <c r="D12029" s="5">
        <v>236002</v>
      </c>
      <c r="E12029" s="6" t="str">
        <f>HYPERLINK("https://inpn.mnhn.fr/espece/cd_nom/236002","Agallia brachyptera (Boheman, 1847)")</f>
        <v>Agallia brachyptera (Boheman, 1847)</v>
      </c>
      <c r="AH12029" s="4" t="str">
        <f>HYPERLINK("#Statut_biogéographique!A"&amp;_xlfn.XMATCH("P",Statut_biogéographique!A:A,2,1),"P")</f>
        <v>P</v>
      </c>
      <c r="AP12029" s="4" t="s">
        <v>376</v>
      </c>
      <c r="AR12029" s="4" t="s">
        <v>377</v>
      </c>
    </row>
    <row r="12030" spans="1:44">
      <c r="A12030" s="4" t="s">
        <v>10753</v>
      </c>
      <c r="B12030" s="4">
        <v>236003</v>
      </c>
      <c r="D12030" s="5" t="s">
        <v>14948</v>
      </c>
      <c r="E12030" s="6" t="str">
        <f>HYPERLINK("https://inpn.mnhn.fr/espece/cd_nom/236003","Agallia consobrina Curtis, 1833")</f>
        <v>Agallia consobrina Curtis, 1833</v>
      </c>
      <c r="AH12030" s="4" t="str">
        <f>HYPERLINK("#Statut_biogéographique!A"&amp;_xlfn.XMATCH("P",Statut_biogéographique!A:A,2,1),"P")</f>
        <v>P</v>
      </c>
      <c r="AP12030" s="4" t="s">
        <v>376</v>
      </c>
      <c r="AR12030" s="4" t="s">
        <v>377</v>
      </c>
    </row>
    <row r="12031" spans="1:44">
      <c r="A12031" s="4" t="s">
        <v>10753</v>
      </c>
      <c r="B12031" s="4">
        <v>236008</v>
      </c>
      <c r="D12031" s="5" t="s">
        <v>14949</v>
      </c>
      <c r="E12031" s="6" t="str">
        <f>HYPERLINK("https://inpn.mnhn.fr/espece/cd_nom/236008","Oncopsis flavicollis (Linnaeus, 1761)")</f>
        <v>Oncopsis flavicollis (Linnaeus, 1761)</v>
      </c>
      <c r="AH12031" s="4" t="str">
        <f>HYPERLINK("#Statut_biogéographique!A"&amp;_xlfn.XMATCH("P",Statut_biogéographique!A:A,2,1),"P")</f>
        <v>P</v>
      </c>
      <c r="AP12031" s="4" t="s">
        <v>376</v>
      </c>
      <c r="AR12031" s="4" t="s">
        <v>377</v>
      </c>
    </row>
    <row r="12032" spans="1:44">
      <c r="A12032" s="4" t="s">
        <v>10753</v>
      </c>
      <c r="B12032" s="4">
        <v>236015</v>
      </c>
      <c r="D12032" s="5" t="s">
        <v>14950</v>
      </c>
      <c r="E12032" s="6" t="str">
        <f>HYPERLINK("https://inpn.mnhn.fr/espece/cd_nom/236015","Macropsis fuscula (Zetterstedt, 1828)")</f>
        <v>Macropsis fuscula (Zetterstedt, 1828)</v>
      </c>
      <c r="AH12032" s="4" t="str">
        <f>HYPERLINK("#Statut_biogéographique!A"&amp;_xlfn.XMATCH("P",Statut_biogéographique!A:A,2,1),"P")</f>
        <v>P</v>
      </c>
      <c r="AP12032" s="4" t="s">
        <v>376</v>
      </c>
      <c r="AR12032" s="4" t="s">
        <v>377</v>
      </c>
    </row>
    <row r="12033" spans="1:44" ht="30">
      <c r="A12033" s="4" t="s">
        <v>10753</v>
      </c>
      <c r="B12033" s="4">
        <v>236021</v>
      </c>
      <c r="D12033" s="5">
        <v>236021</v>
      </c>
      <c r="E12033" s="6" t="str">
        <f>HYPERLINK("https://inpn.mnhn.fr/espece/cd_nom/236021","Macropsis marginata (Herrich-Schäffer, 1836)")</f>
        <v>Macropsis marginata (Herrich-Schäffer, 1836)</v>
      </c>
      <c r="AH12033" s="4" t="str">
        <f>HYPERLINK("#Statut_biogéographique!A"&amp;_xlfn.XMATCH("P",Statut_biogéographique!A:A,2,1),"P")</f>
        <v>P</v>
      </c>
      <c r="AP12033" s="4" t="s">
        <v>376</v>
      </c>
      <c r="AR12033" s="4" t="s">
        <v>377</v>
      </c>
    </row>
    <row r="12034" spans="1:44">
      <c r="A12034" s="4" t="s">
        <v>10753</v>
      </c>
      <c r="B12034" s="4">
        <v>236024</v>
      </c>
      <c r="D12034" s="5" t="s">
        <v>14951</v>
      </c>
      <c r="E12034" s="6" t="str">
        <f>HYPERLINK("https://inpn.mnhn.fr/espece/cd_nom/236024","Macropsis notata (Prohaska, 1923)")</f>
        <v>Macropsis notata (Prohaska, 1923)</v>
      </c>
      <c r="AH12034" s="4" t="str">
        <f>HYPERLINK("#Statut_biogéographique!A"&amp;_xlfn.XMATCH("P",Statut_biogéographique!A:A,2,1),"P")</f>
        <v>P</v>
      </c>
      <c r="AP12034" s="4" t="s">
        <v>376</v>
      </c>
      <c r="AR12034" s="4" t="s">
        <v>377</v>
      </c>
    </row>
    <row r="12035" spans="1:44">
      <c r="A12035" s="4" t="s">
        <v>10753</v>
      </c>
      <c r="B12035" s="4">
        <v>236033</v>
      </c>
      <c r="D12035" s="5">
        <v>236033</v>
      </c>
      <c r="E12035" s="6" t="str">
        <f>HYPERLINK("https://inpn.mnhn.fr/espece/cd_nom/236033","Branchiobdella astaci Odier, 1823")</f>
        <v>Branchiobdella astaci Odier, 1823</v>
      </c>
      <c r="AH12035" s="4" t="str">
        <f>HYPERLINK("#Statut_biogéographique!A"&amp;_xlfn.XMATCH("P",Statut_biogéographique!A:A,2,1),"P")</f>
        <v>P</v>
      </c>
      <c r="AP12035" s="4" t="s">
        <v>376</v>
      </c>
      <c r="AR12035" s="4" t="s">
        <v>377</v>
      </c>
    </row>
    <row r="12036" spans="1:44" ht="45">
      <c r="A12036" s="4" t="s">
        <v>10753</v>
      </c>
      <c r="B12036" s="4">
        <v>236034</v>
      </c>
      <c r="D12036" s="5" t="s">
        <v>14952</v>
      </c>
      <c r="E12036" s="6" t="str">
        <f>HYPERLINK("https://inpn.mnhn.fr/espece/cd_nom/236034","Branchiobdella parasita (Braun, 1805)")</f>
        <v>Branchiobdella parasita (Braun, 1805)</v>
      </c>
      <c r="AH12036" s="4" t="str">
        <f>HYPERLINK("#Statut_biogéographique!A"&amp;_xlfn.XMATCH("P",Statut_biogéographique!A:A,2,1),"P")</f>
        <v>P</v>
      </c>
      <c r="AP12036" s="4" t="s">
        <v>376</v>
      </c>
      <c r="AR12036" s="4" t="s">
        <v>377</v>
      </c>
    </row>
    <row r="12037" spans="1:44">
      <c r="A12037" s="4" t="s">
        <v>10753</v>
      </c>
      <c r="B12037" s="4">
        <v>236035</v>
      </c>
      <c r="D12037" s="5" t="s">
        <v>14953</v>
      </c>
      <c r="E12037" s="6" t="str">
        <f>HYPERLINK("https://inpn.mnhn.fr/espece/cd_nom/236035","Dina lineata (O.F. Müller, 1774)")</f>
        <v>Dina lineata (O.F. Müller, 1774)</v>
      </c>
      <c r="AH12037" s="4" t="str">
        <f>HYPERLINK("#Statut_biogéographique!A"&amp;_xlfn.XMATCH("P",Statut_biogéographique!A:A,2,1),"P")</f>
        <v>P</v>
      </c>
      <c r="AP12037" s="4" t="s">
        <v>376</v>
      </c>
      <c r="AR12037" s="4" t="s">
        <v>377</v>
      </c>
    </row>
    <row r="12038" spans="1:44">
      <c r="A12038" s="4" t="s">
        <v>10753</v>
      </c>
      <c r="B12038" s="4">
        <v>236036</v>
      </c>
      <c r="D12038" s="5" t="s">
        <v>14954</v>
      </c>
      <c r="E12038" s="6" t="str">
        <f>HYPERLINK("https://inpn.mnhn.fr/espece/cd_nom/236036","Dina punctata Johansson, 1927")</f>
        <v>Dina punctata Johansson, 1927</v>
      </c>
      <c r="AH12038" s="4" t="str">
        <f>HYPERLINK("#Statut_biogéographique!A"&amp;_xlfn.XMATCH("P",Statut_biogéographique!A:A,2,1),"P")</f>
        <v>P</v>
      </c>
      <c r="AP12038" s="4" t="s">
        <v>376</v>
      </c>
      <c r="AR12038" s="4" t="s">
        <v>377</v>
      </c>
    </row>
    <row r="12039" spans="1:44">
      <c r="A12039" s="4" t="s">
        <v>10753</v>
      </c>
      <c r="B12039" s="4">
        <v>236037</v>
      </c>
      <c r="D12039" s="5" t="s">
        <v>14955</v>
      </c>
      <c r="E12039" s="6" t="str">
        <f>HYPERLINK("https://inpn.mnhn.fr/espece/cd_nom/236037","Erpobdella nigricollis (Brandes, 1900)")</f>
        <v>Erpobdella nigricollis (Brandes, 1900)</v>
      </c>
      <c r="AH12039" s="4" t="str">
        <f>HYPERLINK("#Statut_biogéographique!A"&amp;_xlfn.XMATCH("P",Statut_biogéographique!A:A,2,1),"P")</f>
        <v>P</v>
      </c>
      <c r="AP12039" s="4" t="s">
        <v>376</v>
      </c>
      <c r="AR12039" s="4" t="s">
        <v>377</v>
      </c>
    </row>
    <row r="12040" spans="1:44">
      <c r="A12040" s="4" t="s">
        <v>10753</v>
      </c>
      <c r="B12040" s="4">
        <v>236038</v>
      </c>
      <c r="D12040" s="5" t="s">
        <v>14956</v>
      </c>
      <c r="E12040" s="6" t="str">
        <f>HYPERLINK("https://inpn.mnhn.fr/espece/cd_nom/236038","Erpobdella testacea (Savigny, 1820)")</f>
        <v>Erpobdella testacea (Savigny, 1820)</v>
      </c>
      <c r="AH12040" s="4" t="str">
        <f>HYPERLINK("#Statut_biogéographique!A"&amp;_xlfn.XMATCH("P",Statut_biogéographique!A:A,2,1),"P")</f>
        <v>P</v>
      </c>
      <c r="AP12040" s="4" t="s">
        <v>376</v>
      </c>
      <c r="AR12040" s="4" t="s">
        <v>377</v>
      </c>
    </row>
    <row r="12041" spans="1:44">
      <c r="A12041" s="4" t="s">
        <v>10753</v>
      </c>
      <c r="B12041" s="4">
        <v>236039</v>
      </c>
      <c r="D12041" s="5" t="s">
        <v>14957</v>
      </c>
      <c r="E12041" s="6" t="str">
        <f>HYPERLINK("https://inpn.mnhn.fr/espece/cd_nom/236039","Erpobdella vilnensis (Liskiewicz, 1925)")</f>
        <v>Erpobdella vilnensis (Liskiewicz, 1925)</v>
      </c>
      <c r="AH12041" s="4" t="str">
        <f>HYPERLINK("#Statut_biogéographique!A"&amp;_xlfn.XMATCH("P",Statut_biogéographique!A:A,2,1),"P")</f>
        <v>P</v>
      </c>
      <c r="AP12041" s="4" t="s">
        <v>376</v>
      </c>
      <c r="AR12041" s="4" t="s">
        <v>377</v>
      </c>
    </row>
    <row r="12042" spans="1:44">
      <c r="A12042" s="4" t="s">
        <v>10753</v>
      </c>
      <c r="B12042" s="4">
        <v>236040</v>
      </c>
      <c r="D12042" s="5">
        <v>236040</v>
      </c>
      <c r="E12042" s="6" t="str">
        <f>HYPERLINK("https://inpn.mnhn.fr/espece/cd_nom/236040","Trocheta pseudodina Nesemann, 1990")</f>
        <v>Trocheta pseudodina Nesemann, 1990</v>
      </c>
      <c r="AH12042" s="4" t="str">
        <f>HYPERLINK("#Statut_biogéographique!A"&amp;_xlfn.XMATCH("P",Statut_biogéographique!A:A,2,1),"P")</f>
        <v>P</v>
      </c>
      <c r="AP12042" s="4" t="s">
        <v>376</v>
      </c>
      <c r="AR12042" s="4" t="s">
        <v>377</v>
      </c>
    </row>
    <row r="12043" spans="1:44">
      <c r="A12043" s="4" t="s">
        <v>10753</v>
      </c>
      <c r="B12043" s="4">
        <v>236041</v>
      </c>
      <c r="D12043" s="5" t="s">
        <v>14958</v>
      </c>
      <c r="E12043" s="6" t="str">
        <f>HYPERLINK("https://inpn.mnhn.fr/espece/cd_nom/236041","Trocheta subviridis Dutrochet, 1817")</f>
        <v>Trocheta subviridis Dutrochet, 1817</v>
      </c>
      <c r="AH12043" s="4" t="str">
        <f>HYPERLINK("#Statut_biogéographique!A"&amp;_xlfn.XMATCH("P",Statut_biogéographique!A:A,2,1),"P")</f>
        <v>P</v>
      </c>
      <c r="AP12043" s="4" t="s">
        <v>376</v>
      </c>
      <c r="AR12043" s="4" t="s">
        <v>377</v>
      </c>
    </row>
    <row r="12044" spans="1:44">
      <c r="A12044" s="4" t="s">
        <v>10753</v>
      </c>
      <c r="B12044" s="4">
        <v>236042</v>
      </c>
      <c r="D12044" s="5" t="s">
        <v>14959</v>
      </c>
      <c r="E12044" s="6" t="str">
        <f>HYPERLINK("https://inpn.mnhn.fr/espece/cd_nom/236042","Alboglossiphonia heteroclita (Linnaeus, 1761)")</f>
        <v>Alboglossiphonia heteroclita (Linnaeus, 1761)</v>
      </c>
      <c r="AH12044" s="4" t="str">
        <f>HYPERLINK("#Statut_biogéographique!A"&amp;_xlfn.XMATCH("P",Statut_biogéographique!A:A,2,1),"P")</f>
        <v>P</v>
      </c>
      <c r="AP12044" s="4" t="s">
        <v>376</v>
      </c>
      <c r="AR12044" s="4" t="s">
        <v>377</v>
      </c>
    </row>
    <row r="12045" spans="1:44">
      <c r="A12045" s="4" t="s">
        <v>10753</v>
      </c>
      <c r="B12045" s="4">
        <v>236043</v>
      </c>
      <c r="D12045" s="5" t="s">
        <v>14960</v>
      </c>
      <c r="E12045" s="6" t="str">
        <f>HYPERLINK("https://inpn.mnhn.fr/espece/cd_nom/236043","Batracobdella algira (Moquin-Tandon, 1846)")</f>
        <v>Batracobdella algira (Moquin-Tandon, 1846)</v>
      </c>
      <c r="AH12045" s="4" t="str">
        <f>HYPERLINK("#Statut_biogéographique!A"&amp;_xlfn.XMATCH("P",Statut_biogéographique!A:A,2,1),"P")</f>
        <v>P</v>
      </c>
      <c r="AP12045" s="4" t="s">
        <v>376</v>
      </c>
      <c r="AR12045" s="4" t="s">
        <v>377</v>
      </c>
    </row>
    <row r="12046" spans="1:44">
      <c r="A12046" s="4" t="s">
        <v>10753</v>
      </c>
      <c r="B12046" s="4">
        <v>236044</v>
      </c>
      <c r="D12046" s="5" t="s">
        <v>14961</v>
      </c>
      <c r="E12046" s="6" t="str">
        <f>HYPERLINK("https://inpn.mnhn.fr/espece/cd_nom/236044","Glossiphonia complanata (Linnaeus, 1758)")</f>
        <v>Glossiphonia complanata (Linnaeus, 1758)</v>
      </c>
      <c r="AH12046" s="4" t="str">
        <f>HYPERLINK("#Statut_biogéographique!A"&amp;_xlfn.XMATCH("P",Statut_biogéographique!A:A,2,1),"P")</f>
        <v>P</v>
      </c>
      <c r="AP12046" s="4" t="s">
        <v>376</v>
      </c>
      <c r="AR12046" s="4" t="s">
        <v>377</v>
      </c>
    </row>
    <row r="12047" spans="1:44">
      <c r="A12047" s="4" t="s">
        <v>10753</v>
      </c>
      <c r="B12047" s="4">
        <v>236045</v>
      </c>
      <c r="D12047" s="5" t="s">
        <v>14962</v>
      </c>
      <c r="E12047" s="6" t="str">
        <f>HYPERLINK("https://inpn.mnhn.fr/espece/cd_nom/236045","Glossiphonia concolor (Apáthy, 1888)")</f>
        <v>Glossiphonia concolor (Apáthy, 1888)</v>
      </c>
      <c r="AH12047" s="4" t="str">
        <f>HYPERLINK("#Statut_biogéographique!A"&amp;_xlfn.XMATCH("P",Statut_biogéographique!A:A,2,1),"P")</f>
        <v>P</v>
      </c>
      <c r="AP12047" s="4" t="s">
        <v>376</v>
      </c>
      <c r="AR12047" s="4" t="s">
        <v>377</v>
      </c>
    </row>
    <row r="12048" spans="1:44">
      <c r="A12048" s="4" t="s">
        <v>10753</v>
      </c>
      <c r="B12048" s="4">
        <v>236046</v>
      </c>
      <c r="D12048" s="5" t="s">
        <v>14963</v>
      </c>
      <c r="E12048" s="6" t="str">
        <f>HYPERLINK("https://inpn.mnhn.fr/espece/cd_nom/236046","Glossiphonia nebulosa Kalbe, 1964")</f>
        <v>Glossiphonia nebulosa Kalbe, 1964</v>
      </c>
      <c r="AH12048" s="4" t="str">
        <f>HYPERLINK("#Statut_biogéographique!A"&amp;_xlfn.XMATCH("P",Statut_biogéographique!A:A,2,1),"P")</f>
        <v>P</v>
      </c>
      <c r="AP12048" s="4" t="s">
        <v>376</v>
      </c>
      <c r="AR12048" s="4" t="s">
        <v>377</v>
      </c>
    </row>
    <row r="12049" spans="1:44">
      <c r="A12049" s="4" t="s">
        <v>10753</v>
      </c>
      <c r="B12049" s="4">
        <v>236047</v>
      </c>
      <c r="D12049" s="5" t="s">
        <v>14964</v>
      </c>
      <c r="E12049" s="6" t="str">
        <f>HYPERLINK("https://inpn.mnhn.fr/espece/cd_nom/236047","Glossiphonia paludosa (Carena, 1824)")</f>
        <v>Glossiphonia paludosa (Carena, 1824)</v>
      </c>
      <c r="AH12049" s="4" t="str">
        <f>HYPERLINK("#Statut_biogéographique!A"&amp;_xlfn.XMATCH("P",Statut_biogéographique!A:A,2,1),"P")</f>
        <v>P</v>
      </c>
      <c r="AP12049" s="4" t="s">
        <v>376</v>
      </c>
      <c r="AR12049" s="4" t="s">
        <v>377</v>
      </c>
    </row>
    <row r="12050" spans="1:44">
      <c r="A12050" s="4" t="s">
        <v>10753</v>
      </c>
      <c r="B12050" s="4">
        <v>236048</v>
      </c>
      <c r="D12050" s="5" t="s">
        <v>14965</v>
      </c>
      <c r="E12050" s="6" t="str">
        <f>HYPERLINK("https://inpn.mnhn.fr/espece/cd_nom/236048","Hemiclepsis marginata (O.F. Müller, 1774)")</f>
        <v>Hemiclepsis marginata (O.F. Müller, 1774)</v>
      </c>
      <c r="AH12050" s="4" t="str">
        <f>HYPERLINK("#Statut_biogéographique!A"&amp;_xlfn.XMATCH("P",Statut_biogéographique!A:A,2,1),"P")</f>
        <v>P</v>
      </c>
      <c r="AP12050" s="4" t="s">
        <v>376</v>
      </c>
      <c r="AR12050" s="4" t="s">
        <v>377</v>
      </c>
    </row>
    <row r="12051" spans="1:44">
      <c r="A12051" s="4" t="s">
        <v>10753</v>
      </c>
      <c r="B12051" s="4">
        <v>236049</v>
      </c>
      <c r="D12051" s="5" t="s">
        <v>14966</v>
      </c>
      <c r="E12051" s="6" t="str">
        <f>HYPERLINK("https://inpn.mnhn.fr/espece/cd_nom/236049","Theromyzon tessulatum (O.F. Müller, 1774)")</f>
        <v>Theromyzon tessulatum (O.F. Müller, 1774)</v>
      </c>
      <c r="AH12051" s="4" t="str">
        <f>HYPERLINK("#Statut_biogéographique!A"&amp;_xlfn.XMATCH("P",Statut_biogéographique!A:A,2,1),"P")</f>
        <v>P</v>
      </c>
      <c r="AP12051" s="4" t="s">
        <v>376</v>
      </c>
      <c r="AR12051" s="4" t="s">
        <v>377</v>
      </c>
    </row>
    <row r="12052" spans="1:44">
      <c r="A12052" s="4" t="s">
        <v>10753</v>
      </c>
      <c r="B12052" s="4">
        <v>236051</v>
      </c>
      <c r="D12052" s="5" t="s">
        <v>14967</v>
      </c>
      <c r="E12052" s="6" t="str">
        <f>HYPERLINK("https://inpn.mnhn.fr/espece/cd_nom/236051","Cystobranchus respirans (Troschel, 1850)")</f>
        <v>Cystobranchus respirans (Troschel, 1850)</v>
      </c>
      <c r="AH12052" s="4" t="str">
        <f>HYPERLINK("#Statut_biogéographique!A"&amp;_xlfn.XMATCH("P",Statut_biogéographique!A:A,2,1),"P")</f>
        <v>P</v>
      </c>
      <c r="AP12052" s="4" t="s">
        <v>376</v>
      </c>
      <c r="AR12052" s="4" t="s">
        <v>377</v>
      </c>
    </row>
    <row r="12053" spans="1:44">
      <c r="A12053" s="4" t="s">
        <v>10753</v>
      </c>
      <c r="B12053" s="4">
        <v>236052</v>
      </c>
      <c r="D12053" s="5">
        <v>236052</v>
      </c>
      <c r="E12053" s="6" t="str">
        <f>HYPERLINK("https://inpn.mnhn.fr/espece/cd_nom/236052","Piscicola haranti Jarry, 1960")</f>
        <v>Piscicola haranti Jarry, 1960</v>
      </c>
      <c r="AH12053" s="4" t="str">
        <f>HYPERLINK("#Statut_biogéographique!A"&amp;_xlfn.XMATCH("P",Statut_biogéographique!A:A,2,1),"P")</f>
        <v>P</v>
      </c>
      <c r="AP12053" s="4" t="s">
        <v>376</v>
      </c>
      <c r="AR12053" s="4" t="s">
        <v>377</v>
      </c>
    </row>
    <row r="12054" spans="1:44">
      <c r="A12054" s="4" t="s">
        <v>10753</v>
      </c>
      <c r="B12054" s="4">
        <v>236055</v>
      </c>
      <c r="D12054" s="5" t="s">
        <v>14968</v>
      </c>
      <c r="E12054" s="6" t="str">
        <f>HYPERLINK("https://inpn.mnhn.fr/espece/cd_nom/236055","Sphex funerarius Gussakovskij, 1934")</f>
        <v>Sphex funerarius Gussakovskij, 1934</v>
      </c>
      <c r="AH12054" s="4" t="str">
        <f>HYPERLINK("#Statut_biogéographique!A"&amp;_xlfn.XMATCH("P",Statut_biogéographique!A:A,2,1),"P")</f>
        <v>P</v>
      </c>
      <c r="AP12054" s="4" t="s">
        <v>376</v>
      </c>
      <c r="AR12054" s="4" t="s">
        <v>377</v>
      </c>
    </row>
    <row r="12055" spans="1:44">
      <c r="A12055" s="4" t="s">
        <v>10753</v>
      </c>
      <c r="B12055" s="4">
        <v>236057</v>
      </c>
      <c r="D12055" s="5">
        <v>236057</v>
      </c>
      <c r="E12055" s="6" t="str">
        <f>HYPERLINK("https://inpn.mnhn.fr/espece/cd_nom/236057","Isodontia mexicana (Saussure, 1867)")</f>
        <v>Isodontia mexicana (Saussure, 1867)</v>
      </c>
      <c r="AH12055" s="4" t="str">
        <f>HYPERLINK("#Statut_biogéographique!A"&amp;_xlfn.XMATCH("I",Statut_biogéographique!A:A,2,1),"I")</f>
        <v>I</v>
      </c>
      <c r="AP12055" s="4" t="s">
        <v>376</v>
      </c>
      <c r="AR12055" s="4" t="s">
        <v>377</v>
      </c>
    </row>
    <row r="12056" spans="1:44">
      <c r="A12056" s="4" t="s">
        <v>10753</v>
      </c>
      <c r="B12056" s="4">
        <v>236060</v>
      </c>
      <c r="D12056" s="5">
        <v>236060</v>
      </c>
      <c r="E12056" s="6" t="str">
        <f>HYPERLINK("https://inpn.mnhn.fr/espece/cd_nom/236060","Prionyx kirbii (Vander Linden, 1827)")</f>
        <v>Prionyx kirbii (Vander Linden, 1827)</v>
      </c>
      <c r="AH12056" s="4" t="str">
        <f>HYPERLINK("#Statut_biogéographique!A"&amp;_xlfn.XMATCH("P",Statut_biogéographique!A:A,2,1),"P")</f>
        <v>P</v>
      </c>
      <c r="AP12056" s="4" t="s">
        <v>376</v>
      </c>
      <c r="AR12056" s="4" t="s">
        <v>377</v>
      </c>
    </row>
    <row r="12057" spans="1:44">
      <c r="A12057" s="4" t="s">
        <v>10753</v>
      </c>
      <c r="B12057" s="4">
        <v>236066</v>
      </c>
      <c r="D12057" s="5" t="s">
        <v>14969</v>
      </c>
      <c r="E12057" s="6" t="str">
        <f>HYPERLINK("https://inpn.mnhn.fr/espece/cd_nom/236066","Sceliphron caementarium (Drury, 1770)")</f>
        <v>Sceliphron caementarium (Drury, 1770)</v>
      </c>
      <c r="AH12057" s="4" t="str">
        <f>HYPERLINK("#Statut_biogéographique!A"&amp;_xlfn.XMATCH("I",Statut_biogéographique!A:A,2,1),"I")</f>
        <v>I</v>
      </c>
      <c r="AP12057" s="4" t="s">
        <v>376</v>
      </c>
      <c r="AR12057" s="4" t="s">
        <v>377</v>
      </c>
    </row>
    <row r="12058" spans="1:44">
      <c r="A12058" s="4" t="s">
        <v>10753</v>
      </c>
      <c r="B12058" s="4">
        <v>236067</v>
      </c>
      <c r="D12058" s="5">
        <v>236067</v>
      </c>
      <c r="E12058" s="6" t="str">
        <f>HYPERLINK("https://inpn.mnhn.fr/espece/cd_nom/236067","Sceliphron curvatum (Smith, 1870)")</f>
        <v>Sceliphron curvatum (Smith, 1870)</v>
      </c>
      <c r="AH12058" s="4" t="str">
        <f>HYPERLINK("#Statut_biogéographique!A"&amp;_xlfn.XMATCH("I",Statut_biogéographique!A:A,2,1),"I")</f>
        <v>I</v>
      </c>
      <c r="AP12058" s="4" t="s">
        <v>376</v>
      </c>
      <c r="AR12058" s="4" t="s">
        <v>377</v>
      </c>
    </row>
    <row r="12059" spans="1:44">
      <c r="A12059" s="4" t="s">
        <v>10753</v>
      </c>
      <c r="B12059" s="4">
        <v>236073</v>
      </c>
      <c r="D12059" s="5" t="s">
        <v>14970</v>
      </c>
      <c r="E12059" s="6" t="str">
        <f>HYPERLINK("https://inpn.mnhn.fr/espece/cd_nom/236073","Podalonia affinis (W. Kirby, 1798)")</f>
        <v>Podalonia affinis (W. Kirby, 1798)</v>
      </c>
      <c r="AH12059" s="4" t="str">
        <f>HYPERLINK("#Statut_biogéographique!A"&amp;_xlfn.XMATCH("P",Statut_biogéographique!A:A,2,1),"P")</f>
        <v>P</v>
      </c>
      <c r="AP12059" s="4" t="s">
        <v>376</v>
      </c>
      <c r="AR12059" s="4" t="s">
        <v>377</v>
      </c>
    </row>
    <row r="12060" spans="1:44">
      <c r="A12060" s="4" t="s">
        <v>10753</v>
      </c>
      <c r="B12060" s="4">
        <v>236074</v>
      </c>
      <c r="D12060" s="5" t="s">
        <v>14971</v>
      </c>
      <c r="E12060" s="6" t="str">
        <f>HYPERLINK("https://inpn.mnhn.fr/espece/cd_nom/236074","Podalonia alpina (Kohl, 1888)")</f>
        <v>Podalonia alpina (Kohl, 1888)</v>
      </c>
      <c r="AH12060" s="4" t="str">
        <f>HYPERLINK("#Statut_biogéographique!A"&amp;_xlfn.XMATCH("P",Statut_biogéographique!A:A,2,1),"P")</f>
        <v>P</v>
      </c>
      <c r="AP12060" s="4" t="s">
        <v>376</v>
      </c>
      <c r="AR12060" s="4" t="s">
        <v>377</v>
      </c>
    </row>
    <row r="12061" spans="1:44">
      <c r="A12061" s="4" t="s">
        <v>10753</v>
      </c>
      <c r="B12061" s="4">
        <v>236076</v>
      </c>
      <c r="D12061" s="5" t="s">
        <v>14972</v>
      </c>
      <c r="E12061" s="6" t="str">
        <f>HYPERLINK("https://inpn.mnhn.fr/espece/cd_nom/236076","Podalonia hirsuta (Scopoli, 1763)")</f>
        <v>Podalonia hirsuta (Scopoli, 1763)</v>
      </c>
      <c r="AH12061" s="4" t="str">
        <f>HYPERLINK("#Statut_biogéographique!A"&amp;_xlfn.XMATCH("P",Statut_biogéographique!A:A,2,1),"P")</f>
        <v>P</v>
      </c>
      <c r="AP12061" s="4" t="s">
        <v>376</v>
      </c>
      <c r="AR12061" s="4" t="s">
        <v>377</v>
      </c>
    </row>
    <row r="12062" spans="1:44">
      <c r="A12062" s="4" t="s">
        <v>10753</v>
      </c>
      <c r="B12062" s="4">
        <v>236081</v>
      </c>
      <c r="D12062" s="5">
        <v>236081</v>
      </c>
      <c r="E12062" s="6" t="str">
        <f>HYPERLINK("https://inpn.mnhn.fr/espece/cd_nom/236081","Ammophila campestris Latreille, 1809")</f>
        <v>Ammophila campestris Latreille, 1809</v>
      </c>
      <c r="AH12062" s="4" t="str">
        <f>HYPERLINK("#Statut_biogéographique!A"&amp;_xlfn.XMATCH("P",Statut_biogéographique!A:A,2,1),"P")</f>
        <v>P</v>
      </c>
      <c r="AP12062" s="4" t="s">
        <v>376</v>
      </c>
      <c r="AR12062" s="4" t="s">
        <v>377</v>
      </c>
    </row>
    <row r="12063" spans="1:44">
      <c r="A12063" s="4" t="s">
        <v>10753</v>
      </c>
      <c r="B12063" s="4">
        <v>236086</v>
      </c>
      <c r="D12063" s="5">
        <v>236086</v>
      </c>
      <c r="E12063" s="6" t="str">
        <f>HYPERLINK("https://inpn.mnhn.fr/espece/cd_nom/236086","Ammophila pubescens Curtis, 1836")</f>
        <v>Ammophila pubescens Curtis, 1836</v>
      </c>
      <c r="AH12063" s="4" t="str">
        <f>HYPERLINK("#Statut_biogéographique!A"&amp;_xlfn.XMATCH("P",Statut_biogéographique!A:A,2,1),"P")</f>
        <v>P</v>
      </c>
      <c r="AP12063" s="4" t="s">
        <v>376</v>
      </c>
      <c r="AR12063" s="4" t="s">
        <v>377</v>
      </c>
    </row>
    <row r="12064" spans="1:44">
      <c r="A12064" s="4" t="s">
        <v>10753</v>
      </c>
      <c r="B12064" s="4">
        <v>236089</v>
      </c>
      <c r="D12064" s="5" t="s">
        <v>14973</v>
      </c>
      <c r="E12064" s="6" t="str">
        <f>HYPERLINK("https://inpn.mnhn.fr/espece/cd_nom/236089","Cerceris arenaria (Linnaeus, 1758)")</f>
        <v>Cerceris arenaria (Linnaeus, 1758)</v>
      </c>
      <c r="AH12064" s="4" t="str">
        <f>HYPERLINK("#Statut_biogéographique!A"&amp;_xlfn.XMATCH("P",Statut_biogéographique!A:A,2,1),"P")</f>
        <v>P</v>
      </c>
      <c r="AP12064" s="4" t="s">
        <v>376</v>
      </c>
      <c r="AR12064" s="4" t="s">
        <v>377</v>
      </c>
    </row>
    <row r="12065" spans="1:44">
      <c r="A12065" s="4" t="s">
        <v>10753</v>
      </c>
      <c r="B12065" s="4">
        <v>236098</v>
      </c>
      <c r="D12065" s="5">
        <v>236098</v>
      </c>
      <c r="E12065" s="6" t="str">
        <f>HYPERLINK("https://inpn.mnhn.fr/espece/cd_nom/236098","Cerceris flavilabris (Fabricius, 1793)")</f>
        <v>Cerceris flavilabris (Fabricius, 1793)</v>
      </c>
      <c r="AH12065" s="4" t="str">
        <f>HYPERLINK("#Statut_biogéographique!A"&amp;_xlfn.XMATCH("P",Statut_biogéographique!A:A,2,1),"P")</f>
        <v>P</v>
      </c>
      <c r="AP12065" s="4" t="s">
        <v>376</v>
      </c>
      <c r="AR12065" s="4" t="s">
        <v>377</v>
      </c>
    </row>
    <row r="12066" spans="1:44">
      <c r="A12066" s="4" t="s">
        <v>10753</v>
      </c>
      <c r="B12066" s="4">
        <v>236099</v>
      </c>
      <c r="D12066" s="5">
        <v>236099</v>
      </c>
      <c r="E12066" s="6" t="str">
        <f>HYPERLINK("https://inpn.mnhn.fr/espece/cd_nom/236099","Cerceris hortivaga Kohl, 1880")</f>
        <v>Cerceris hortivaga Kohl, 1880</v>
      </c>
      <c r="AH12066" s="4" t="str">
        <f>HYPERLINK("#Statut_biogéographique!A"&amp;_xlfn.XMATCH("P",Statut_biogéographique!A:A,2,1),"P")</f>
        <v>P</v>
      </c>
      <c r="AP12066" s="4" t="s">
        <v>376</v>
      </c>
      <c r="AR12066" s="4" t="s">
        <v>377</v>
      </c>
    </row>
    <row r="12067" spans="1:44">
      <c r="A12067" s="4" t="s">
        <v>10753</v>
      </c>
      <c r="B12067" s="4">
        <v>236101</v>
      </c>
      <c r="D12067" s="5">
        <v>236101</v>
      </c>
      <c r="E12067" s="6" t="str">
        <f>HYPERLINK("https://inpn.mnhn.fr/espece/cd_nom/236101","Cerceris interrupta (Panzer, 1799)")</f>
        <v>Cerceris interrupta (Panzer, 1799)</v>
      </c>
      <c r="AH12067" s="4" t="str">
        <f>HYPERLINK("#Statut_biogéographique!A"&amp;_xlfn.XMATCH("P",Statut_biogéographique!A:A,2,1),"P")</f>
        <v>P</v>
      </c>
      <c r="AP12067" s="4" t="s">
        <v>376</v>
      </c>
      <c r="AR12067" s="4" t="s">
        <v>377</v>
      </c>
    </row>
    <row r="12068" spans="1:44">
      <c r="A12068" s="4" t="s">
        <v>10753</v>
      </c>
      <c r="B12068" s="4">
        <v>236104</v>
      </c>
      <c r="D12068" s="5">
        <v>236104</v>
      </c>
      <c r="E12068" s="6" t="str">
        <f>HYPERLINK("https://inpn.mnhn.fr/espece/cd_nom/236104","Cerceris quadricincta (Panzer, 1799)")</f>
        <v>Cerceris quadricincta (Panzer, 1799)</v>
      </c>
      <c r="AH12068" s="4" t="str">
        <f>HYPERLINK("#Statut_biogéographique!A"&amp;_xlfn.XMATCH("P",Statut_biogéographique!A:A,2,1),"P")</f>
        <v>P</v>
      </c>
      <c r="AP12068" s="4" t="s">
        <v>376</v>
      </c>
      <c r="AR12068" s="4" t="s">
        <v>377</v>
      </c>
    </row>
    <row r="12069" spans="1:44">
      <c r="A12069" s="4" t="s">
        <v>10753</v>
      </c>
      <c r="B12069" s="4">
        <v>236107</v>
      </c>
      <c r="D12069" s="5">
        <v>236107</v>
      </c>
      <c r="E12069" s="6" t="str">
        <f>HYPERLINK("https://inpn.mnhn.fr/espece/cd_nom/236107","Cerceris ruficornis (Fabricius, 1793)")</f>
        <v>Cerceris ruficornis (Fabricius, 1793)</v>
      </c>
      <c r="AH12069" s="4" t="str">
        <f>HYPERLINK("#Statut_biogéographique!A"&amp;_xlfn.XMATCH("P",Statut_biogéographique!A:A,2,1),"P")</f>
        <v>P</v>
      </c>
      <c r="AP12069" s="4" t="s">
        <v>376</v>
      </c>
      <c r="AR12069" s="4" t="s">
        <v>377</v>
      </c>
    </row>
    <row r="12070" spans="1:44">
      <c r="A12070" s="4" t="s">
        <v>10753</v>
      </c>
      <c r="B12070" s="4">
        <v>236108</v>
      </c>
      <c r="D12070" s="5" t="s">
        <v>14974</v>
      </c>
      <c r="E12070" s="6" t="str">
        <f>HYPERLINK("https://inpn.mnhn.fr/espece/cd_nom/236108","Cerceris rybyensis (Linnaeus, 1771)")</f>
        <v>Cerceris rybyensis (Linnaeus, 1771)</v>
      </c>
      <c r="AH12070" s="4" t="str">
        <f>HYPERLINK("#Statut_biogéographique!A"&amp;_xlfn.XMATCH("P",Statut_biogéographique!A:A,2,1),"P")</f>
        <v>P</v>
      </c>
      <c r="AP12070" s="4" t="s">
        <v>376</v>
      </c>
      <c r="AR12070" s="4" t="s">
        <v>377</v>
      </c>
    </row>
    <row r="12071" spans="1:44">
      <c r="A12071" s="4" t="s">
        <v>10753</v>
      </c>
      <c r="B12071" s="4">
        <v>236109</v>
      </c>
      <c r="D12071" s="5">
        <v>236109</v>
      </c>
      <c r="E12071" s="6" t="str">
        <f>HYPERLINK("https://inpn.mnhn.fr/espece/cd_nom/236109","Cerceris sabulosa (Panzer, 1799)")</f>
        <v>Cerceris sabulosa (Panzer, 1799)</v>
      </c>
      <c r="AH12071" s="4" t="str">
        <f>HYPERLINK("#Statut_biogéographique!A"&amp;_xlfn.XMATCH("P",Statut_biogéographique!A:A,2,1),"P")</f>
        <v>P</v>
      </c>
      <c r="AP12071" s="4" t="s">
        <v>376</v>
      </c>
      <c r="AR12071" s="4" t="s">
        <v>377</v>
      </c>
    </row>
    <row r="12072" spans="1:44">
      <c r="A12072" s="4" t="s">
        <v>10753</v>
      </c>
      <c r="B12072" s="4">
        <v>236114</v>
      </c>
      <c r="D12072" s="5">
        <v>236114</v>
      </c>
      <c r="E12072" s="6" t="str">
        <f>HYPERLINK("https://inpn.mnhn.fr/espece/cd_nom/236114","Philanthus coronatus (Thunberg, 1784)")</f>
        <v>Philanthus coronatus (Thunberg, 1784)</v>
      </c>
      <c r="AH12072" s="4" t="str">
        <f>HYPERLINK("#Statut_biogéographique!A"&amp;_xlfn.XMATCH("P",Statut_biogéographique!A:A,2,1),"P")</f>
        <v>P</v>
      </c>
      <c r="AP12072" s="4" t="s">
        <v>376</v>
      </c>
      <c r="AR12072" s="4" t="s">
        <v>377</v>
      </c>
    </row>
    <row r="12073" spans="1:44">
      <c r="A12073" s="4" t="s">
        <v>10753</v>
      </c>
      <c r="B12073" s="4">
        <v>236116</v>
      </c>
      <c r="D12073" s="5">
        <v>236116</v>
      </c>
      <c r="E12073" s="6" t="str">
        <f>HYPERLINK("https://inpn.mnhn.fr/espece/cd_nom/236116","Philanthus triangulum (Fabricius, 1775)")</f>
        <v>Philanthus triangulum (Fabricius, 1775)</v>
      </c>
      <c r="AH12073" s="4" t="str">
        <f>HYPERLINK("#Statut_biogéographique!A"&amp;_xlfn.XMATCH("P",Statut_biogéographique!A:A,2,1),"P")</f>
        <v>P</v>
      </c>
      <c r="AP12073" s="4" t="s">
        <v>376</v>
      </c>
      <c r="AR12073" s="4" t="s">
        <v>377</v>
      </c>
    </row>
    <row r="12074" spans="1:44">
      <c r="A12074" s="4" t="s">
        <v>10753</v>
      </c>
      <c r="B12074" s="4">
        <v>236119</v>
      </c>
      <c r="D12074" s="5">
        <v>236119</v>
      </c>
      <c r="E12074" s="6" t="str">
        <f>HYPERLINK("https://inpn.mnhn.fr/espece/cd_nom/236119","Stigmus solskyi A. Morawitz, 1864")</f>
        <v>Stigmus solskyi A. Morawitz, 1864</v>
      </c>
      <c r="AH12074" s="4" t="str">
        <f>HYPERLINK("#Statut_biogéographique!A"&amp;_xlfn.XMATCH("P",Statut_biogéographique!A:A,2,1),"P")</f>
        <v>P</v>
      </c>
      <c r="AP12074" s="4" t="s">
        <v>376</v>
      </c>
      <c r="AR12074" s="4" t="s">
        <v>377</v>
      </c>
    </row>
    <row r="12075" spans="1:44">
      <c r="A12075" s="4" t="s">
        <v>10753</v>
      </c>
      <c r="B12075" s="4">
        <v>236120</v>
      </c>
      <c r="D12075" s="5">
        <v>236120</v>
      </c>
      <c r="E12075" s="6" t="str">
        <f>HYPERLINK("https://inpn.mnhn.fr/espece/cd_nom/236120","Spilomena beata Blüthgen, 1953")</f>
        <v>Spilomena beata Blüthgen, 1953</v>
      </c>
      <c r="AH12075" s="4" t="str">
        <f>HYPERLINK("#Statut_biogéographique!A"&amp;_xlfn.XMATCH("P",Statut_biogéographique!A:A,2,1),"P")</f>
        <v>P</v>
      </c>
      <c r="AP12075" s="4" t="s">
        <v>376</v>
      </c>
      <c r="AR12075" s="4" t="s">
        <v>377</v>
      </c>
    </row>
    <row r="12076" spans="1:44">
      <c r="A12076" s="4" t="s">
        <v>10753</v>
      </c>
      <c r="B12076" s="4">
        <v>236122</v>
      </c>
      <c r="D12076" s="5">
        <v>236122</v>
      </c>
      <c r="E12076" s="6" t="str">
        <f>HYPERLINK("https://inpn.mnhn.fr/espece/cd_nom/236122","Polemistus abnormis (Kohl, 1888)")</f>
        <v>Polemistus abnormis (Kohl, 1888)</v>
      </c>
      <c r="AH12076" s="4" t="str">
        <f>HYPERLINK("#Statut_biogéographique!A"&amp;_xlfn.XMATCH("P",Statut_biogéographique!A:A,2,1),"P")</f>
        <v>P</v>
      </c>
      <c r="AP12076" s="4" t="s">
        <v>376</v>
      </c>
      <c r="AR12076" s="4" t="s">
        <v>377</v>
      </c>
    </row>
    <row r="12077" spans="1:44">
      <c r="A12077" s="4" t="s">
        <v>10753</v>
      </c>
      <c r="B12077" s="4">
        <v>236123</v>
      </c>
      <c r="D12077" s="5" t="s">
        <v>14975</v>
      </c>
      <c r="E12077" s="6" t="str">
        <f>HYPERLINK("https://inpn.mnhn.fr/espece/cd_nom/236123","Pemphredon austriaca (Kohl, 1888)")</f>
        <v>Pemphredon austriaca (Kohl, 1888)</v>
      </c>
      <c r="AH12077" s="4" t="str">
        <f>HYPERLINK("#Statut_biogéographique!A"&amp;_xlfn.XMATCH("P",Statut_biogéographique!A:A,2,1),"P")</f>
        <v>P</v>
      </c>
      <c r="AP12077" s="4" t="s">
        <v>376</v>
      </c>
      <c r="AR12077" s="4" t="s">
        <v>377</v>
      </c>
    </row>
    <row r="12078" spans="1:44">
      <c r="A12078" s="4" t="s">
        <v>10753</v>
      </c>
      <c r="B12078" s="4">
        <v>236126</v>
      </c>
      <c r="D12078" s="5" t="s">
        <v>14976</v>
      </c>
      <c r="E12078" s="6" t="str">
        <f>HYPERLINK("https://inpn.mnhn.fr/espece/cd_nom/236126","Pemphredon inornata Say, 1824")</f>
        <v>Pemphredon inornata Say, 1824</v>
      </c>
      <c r="AH12078" s="4" t="str">
        <f>HYPERLINK("#Statut_biogéographique!A"&amp;_xlfn.XMATCH("P",Statut_biogéographique!A:A,2,1),"P")</f>
        <v>P</v>
      </c>
      <c r="AP12078" s="4" t="s">
        <v>376</v>
      </c>
      <c r="AR12078" s="4" t="s">
        <v>377</v>
      </c>
    </row>
    <row r="12079" spans="1:44">
      <c r="A12079" s="4" t="s">
        <v>10753</v>
      </c>
      <c r="B12079" s="4">
        <v>236127</v>
      </c>
      <c r="D12079" s="5">
        <v>236127</v>
      </c>
      <c r="E12079" s="6" t="str">
        <f>HYPERLINK("https://inpn.mnhn.fr/espece/cd_nom/236127","Pemphredon montana Dahlbom, 1845")</f>
        <v>Pemphredon montana Dahlbom, 1845</v>
      </c>
      <c r="AH12079" s="4" t="str">
        <f>HYPERLINK("#Statut_biogéographique!A"&amp;_xlfn.XMATCH("P",Statut_biogéographique!A:A,2,1),"P")</f>
        <v>P</v>
      </c>
      <c r="AP12079" s="4" t="s">
        <v>376</v>
      </c>
      <c r="AR12079" s="4" t="s">
        <v>377</v>
      </c>
    </row>
    <row r="12080" spans="1:44">
      <c r="A12080" s="4" t="s">
        <v>10753</v>
      </c>
      <c r="B12080" s="4">
        <v>236128</v>
      </c>
      <c r="D12080" s="5" t="s">
        <v>14977</v>
      </c>
      <c r="E12080" s="6" t="str">
        <f>HYPERLINK("https://inpn.mnhn.fr/espece/cd_nom/236128","Pemphredon morio Vander Linden, 1829")</f>
        <v>Pemphredon morio Vander Linden, 1829</v>
      </c>
      <c r="AH12080" s="4" t="str">
        <f>HYPERLINK("#Statut_biogéographique!A"&amp;_xlfn.XMATCH("P",Statut_biogéographique!A:A,2,1),"P")</f>
        <v>P</v>
      </c>
      <c r="AP12080" s="4" t="s">
        <v>376</v>
      </c>
      <c r="AR12080" s="4" t="s">
        <v>377</v>
      </c>
    </row>
    <row r="12081" spans="1:44">
      <c r="A12081" s="4" t="s">
        <v>10753</v>
      </c>
      <c r="B12081" s="4">
        <v>236129</v>
      </c>
      <c r="D12081" s="5">
        <v>236129</v>
      </c>
      <c r="E12081" s="6" t="str">
        <f>HYPERLINK("https://inpn.mnhn.fr/espece/cd_nom/236129","Pemphredon podagrica Chevrier, 1870")</f>
        <v>Pemphredon podagrica Chevrier, 1870</v>
      </c>
      <c r="AH12081" s="4" t="str">
        <f>HYPERLINK("#Statut_biogéographique!A"&amp;_xlfn.XMATCH("P",Statut_biogéographique!A:A,2,1),"P")</f>
        <v>P</v>
      </c>
      <c r="AP12081" s="4" t="s">
        <v>376</v>
      </c>
      <c r="AR12081" s="4" t="s">
        <v>377</v>
      </c>
    </row>
    <row r="12082" spans="1:44">
      <c r="A12082" s="4" t="s">
        <v>10753</v>
      </c>
      <c r="B12082" s="4">
        <v>236131</v>
      </c>
      <c r="D12082" s="5">
        <v>236131</v>
      </c>
      <c r="E12082" s="6" t="str">
        <f>HYPERLINK("https://inpn.mnhn.fr/espece/cd_nom/236131","Passaloecus brevilabris Wolf, 1958")</f>
        <v>Passaloecus brevilabris Wolf, 1958</v>
      </c>
      <c r="AH12082" s="4" t="str">
        <f>HYPERLINK("#Statut_biogéographique!A"&amp;_xlfn.XMATCH("P",Statut_biogéographique!A:A,2,1),"P")</f>
        <v>P</v>
      </c>
      <c r="AP12082" s="4" t="s">
        <v>376</v>
      </c>
      <c r="AR12082" s="4" t="s">
        <v>377</v>
      </c>
    </row>
    <row r="12083" spans="1:44">
      <c r="A12083" s="4" t="s">
        <v>10753</v>
      </c>
      <c r="B12083" s="4">
        <v>236132</v>
      </c>
      <c r="D12083" s="5">
        <v>236132</v>
      </c>
      <c r="E12083" s="6" t="str">
        <f>HYPERLINK("https://inpn.mnhn.fr/espece/cd_nom/236132","Passaloecus insignis (Vander Linden, 1829)")</f>
        <v>Passaloecus insignis (Vander Linden, 1829)</v>
      </c>
      <c r="AH12083" s="4" t="str">
        <f>HYPERLINK("#Statut_biogéographique!A"&amp;_xlfn.XMATCH("P",Statut_biogéographique!A:A,2,1),"P")</f>
        <v>P</v>
      </c>
      <c r="AP12083" s="4" t="s">
        <v>376</v>
      </c>
      <c r="AR12083" s="4" t="s">
        <v>377</v>
      </c>
    </row>
    <row r="12084" spans="1:44">
      <c r="A12084" s="4" t="s">
        <v>10753</v>
      </c>
      <c r="B12084" s="4">
        <v>236135</v>
      </c>
      <c r="D12084" s="5">
        <v>236135</v>
      </c>
      <c r="E12084" s="6" t="str">
        <f>HYPERLINK("https://inpn.mnhn.fr/espece/cd_nom/236135","Passaloecus singularis Dahlbom, 1844")</f>
        <v>Passaloecus singularis Dahlbom, 1844</v>
      </c>
      <c r="AH12084" s="4" t="str">
        <f>HYPERLINK("#Statut_biogéographique!A"&amp;_xlfn.XMATCH("P",Statut_biogéographique!A:A,2,1),"P")</f>
        <v>P</v>
      </c>
      <c r="AP12084" s="4" t="s">
        <v>376</v>
      </c>
      <c r="AR12084" s="4" t="s">
        <v>377</v>
      </c>
    </row>
    <row r="12085" spans="1:44">
      <c r="A12085" s="4" t="s">
        <v>10753</v>
      </c>
      <c r="B12085" s="4">
        <v>236136</v>
      </c>
      <c r="D12085" s="5">
        <v>236136</v>
      </c>
      <c r="E12085" s="6" t="str">
        <f>HYPERLINK("https://inpn.mnhn.fr/espece/cd_nom/236136","Passaloecus vandeli Ribaut, 1952")</f>
        <v>Passaloecus vandeli Ribaut, 1952</v>
      </c>
      <c r="AH12085" s="4" t="str">
        <f>HYPERLINK("#Statut_biogéographique!A"&amp;_xlfn.XMATCH("P",Statut_biogéographique!A:A,2,1),"P")</f>
        <v>P</v>
      </c>
      <c r="AP12085" s="4" t="s">
        <v>376</v>
      </c>
      <c r="AR12085" s="4" t="s">
        <v>377</v>
      </c>
    </row>
    <row r="12086" spans="1:44">
      <c r="A12086" s="4" t="s">
        <v>10753</v>
      </c>
      <c r="B12086" s="4">
        <v>236138</v>
      </c>
      <c r="D12086" s="5">
        <v>236138</v>
      </c>
      <c r="E12086" s="6" t="str">
        <f>HYPERLINK("https://inpn.mnhn.fr/espece/cd_nom/236138","Diodontus insidiosus Spooner, 1938")</f>
        <v>Diodontus insidiosus Spooner, 1938</v>
      </c>
      <c r="AH12086" s="4" t="str">
        <f>HYPERLINK("#Statut_biogéographique!A"&amp;_xlfn.XMATCH("P",Statut_biogéographique!A:A,2,1),"P")</f>
        <v>P</v>
      </c>
      <c r="AP12086" s="4" t="s">
        <v>376</v>
      </c>
      <c r="AR12086" s="4" t="s">
        <v>377</v>
      </c>
    </row>
    <row r="12087" spans="1:44">
      <c r="A12087" s="4" t="s">
        <v>10753</v>
      </c>
      <c r="B12087" s="4">
        <v>236139</v>
      </c>
      <c r="D12087" s="5">
        <v>236139</v>
      </c>
      <c r="E12087" s="6" t="str">
        <f>HYPERLINK("https://inpn.mnhn.fr/espece/cd_nom/236139","Diodontus luperus Shuckard, 1837")</f>
        <v>Diodontus luperus Shuckard, 1837</v>
      </c>
      <c r="AH12087" s="4" t="str">
        <f>HYPERLINK("#Statut_biogéographique!A"&amp;_xlfn.XMATCH("P",Statut_biogéographique!A:A,2,1),"P")</f>
        <v>P</v>
      </c>
      <c r="AP12087" s="4" t="s">
        <v>376</v>
      </c>
      <c r="AR12087" s="4" t="s">
        <v>377</v>
      </c>
    </row>
    <row r="12088" spans="1:44">
      <c r="A12088" s="4" t="s">
        <v>10753</v>
      </c>
      <c r="B12088" s="4">
        <v>236142</v>
      </c>
      <c r="D12088" s="5">
        <v>236142</v>
      </c>
      <c r="E12088" s="6" t="str">
        <f>HYPERLINK("https://inpn.mnhn.fr/espece/cd_nom/236142","Diodontus minutus (Fabricius, 1793)")</f>
        <v>Diodontus minutus (Fabricius, 1793)</v>
      </c>
      <c r="AH12088" s="4" t="str">
        <f>HYPERLINK("#Statut_biogéographique!A"&amp;_xlfn.XMATCH("P",Statut_biogéographique!A:A,2,1),"P")</f>
        <v>P</v>
      </c>
      <c r="AP12088" s="4" t="s">
        <v>376</v>
      </c>
      <c r="AR12088" s="4" t="s">
        <v>377</v>
      </c>
    </row>
    <row r="12089" spans="1:44">
      <c r="A12089" s="4" t="s">
        <v>10753</v>
      </c>
      <c r="B12089" s="4">
        <v>236143</v>
      </c>
      <c r="D12089" s="5">
        <v>236143</v>
      </c>
      <c r="E12089" s="6" t="str">
        <f>HYPERLINK("https://inpn.mnhn.fr/espece/cd_nom/236143","Diodontus tristis (Vander Linden, 1829)")</f>
        <v>Diodontus tristis (Vander Linden, 1829)</v>
      </c>
      <c r="AH12089" s="4" t="str">
        <f>HYPERLINK("#Statut_biogéographique!A"&amp;_xlfn.XMATCH("P",Statut_biogéographique!A:A,2,1),"P")</f>
        <v>P</v>
      </c>
      <c r="AP12089" s="4" t="s">
        <v>376</v>
      </c>
      <c r="AR12089" s="4" t="s">
        <v>377</v>
      </c>
    </row>
    <row r="12090" spans="1:44">
      <c r="A12090" s="4" t="s">
        <v>10753</v>
      </c>
      <c r="B12090" s="4">
        <v>236155</v>
      </c>
      <c r="D12090" s="5">
        <v>236155</v>
      </c>
      <c r="E12090" s="6" t="str">
        <f>HYPERLINK("https://inpn.mnhn.fr/espece/cd_nom/236155","Psenulus laevigatus (Schenck, 1857)")</f>
        <v>Psenulus laevigatus (Schenck, 1857)</v>
      </c>
      <c r="AH12090" s="4" t="str">
        <f>HYPERLINK("#Statut_biogéographique!A"&amp;_xlfn.XMATCH("P",Statut_biogéographique!A:A,2,1),"P")</f>
        <v>P</v>
      </c>
      <c r="AP12090" s="4" t="s">
        <v>376</v>
      </c>
      <c r="AR12090" s="4" t="s">
        <v>377</v>
      </c>
    </row>
    <row r="12091" spans="1:44">
      <c r="A12091" s="4" t="s">
        <v>10753</v>
      </c>
      <c r="B12091" s="4">
        <v>236157</v>
      </c>
      <c r="D12091" s="5">
        <v>236157</v>
      </c>
      <c r="E12091" s="6" t="str">
        <f>HYPERLINK("https://inpn.mnhn.fr/espece/cd_nom/236157","Psenulus pallipes (Panzer, 1798) s.l.")</f>
        <v>Psenulus pallipes (Panzer, 1798) s.l.</v>
      </c>
      <c r="AH12091" s="4" t="str">
        <f>HYPERLINK("#Statut_biogéographique!A"&amp;_xlfn.XMATCH("P",Statut_biogéographique!A:A,2,1),"P")</f>
        <v>P</v>
      </c>
      <c r="AP12091" s="4" t="s">
        <v>376</v>
      </c>
      <c r="AR12091" s="4" t="s">
        <v>377</v>
      </c>
    </row>
    <row r="12092" spans="1:44">
      <c r="A12092" s="4" t="s">
        <v>10753</v>
      </c>
      <c r="B12092" s="4">
        <v>236158</v>
      </c>
      <c r="D12092" s="5">
        <v>236158</v>
      </c>
      <c r="E12092" s="6" t="str">
        <f>HYPERLINK("https://inpn.mnhn.fr/espece/cd_nom/236158","Pseneo exaratus (Eversmann, 1849)")</f>
        <v>Pseneo exaratus (Eversmann, 1849)</v>
      </c>
      <c r="AH12092" s="4" t="str">
        <f>HYPERLINK("#Statut_biogéographique!A"&amp;_xlfn.XMATCH("P",Statut_biogéographique!A:A,2,1),"P")</f>
        <v>P</v>
      </c>
      <c r="AP12092" s="4" t="s">
        <v>376</v>
      </c>
      <c r="AR12092" s="4" t="s">
        <v>377</v>
      </c>
    </row>
    <row r="12093" spans="1:44">
      <c r="A12093" s="4" t="s">
        <v>10753</v>
      </c>
      <c r="B12093" s="4">
        <v>236159</v>
      </c>
      <c r="D12093" s="5">
        <v>236159</v>
      </c>
      <c r="E12093" s="6" t="str">
        <f>HYPERLINK("https://inpn.mnhn.fr/espece/cd_nom/236159","Psen ater (Olivier, 1792)")</f>
        <v>Psen ater (Olivier, 1792)</v>
      </c>
      <c r="AH12093" s="4" t="str">
        <f>HYPERLINK("#Statut_biogéographique!A"&amp;_xlfn.XMATCH("P",Statut_biogéographique!A:A,2,1),"P")</f>
        <v>P</v>
      </c>
      <c r="AP12093" s="4" t="s">
        <v>376</v>
      </c>
      <c r="AR12093" s="4" t="s">
        <v>377</v>
      </c>
    </row>
    <row r="12094" spans="1:44">
      <c r="A12094" s="4" t="s">
        <v>10753</v>
      </c>
      <c r="B12094" s="4">
        <v>236160</v>
      </c>
      <c r="D12094" s="5" t="s">
        <v>14978</v>
      </c>
      <c r="E12094" s="6" t="str">
        <f>HYPERLINK("https://inpn.mnhn.fr/espece/cd_nom/236160","Mimumesa atratina (Morawitz, 1891)")</f>
        <v>Mimumesa atratina (Morawitz, 1891)</v>
      </c>
      <c r="AH12094" s="4" t="str">
        <f>HYPERLINK("#Statut_biogéographique!A"&amp;_xlfn.XMATCH("P",Statut_biogéographique!A:A,2,1),"P")</f>
        <v>P</v>
      </c>
      <c r="AP12094" s="4" t="s">
        <v>376</v>
      </c>
      <c r="AR12094" s="4" t="s">
        <v>377</v>
      </c>
    </row>
    <row r="12095" spans="1:44">
      <c r="A12095" s="4" t="s">
        <v>10753</v>
      </c>
      <c r="B12095" s="4">
        <v>236162</v>
      </c>
      <c r="D12095" s="5" t="s">
        <v>14979</v>
      </c>
      <c r="E12095" s="6" t="str">
        <f>HYPERLINK("https://inpn.mnhn.fr/espece/cd_nom/236162","Mimumesa dahlbomi (Wesmael, 1852)")</f>
        <v>Mimumesa dahlbomi (Wesmael, 1852)</v>
      </c>
      <c r="AH12095" s="4" t="str">
        <f>HYPERLINK("#Statut_biogéographique!A"&amp;_xlfn.XMATCH("P",Statut_biogéographique!A:A,2,1),"P")</f>
        <v>P</v>
      </c>
      <c r="AP12095" s="4" t="s">
        <v>376</v>
      </c>
      <c r="AR12095" s="4" t="s">
        <v>377</v>
      </c>
    </row>
    <row r="12096" spans="1:44">
      <c r="A12096" s="4" t="s">
        <v>10753</v>
      </c>
      <c r="B12096" s="4">
        <v>236164</v>
      </c>
      <c r="D12096" s="5">
        <v>236164</v>
      </c>
      <c r="E12096" s="6" t="str">
        <f>HYPERLINK("https://inpn.mnhn.fr/espece/cd_nom/236164","Mimumesa unicolor (Vander Linden, 1829)")</f>
        <v>Mimumesa unicolor (Vander Linden, 1829)</v>
      </c>
      <c r="AH12096" s="4" t="str">
        <f>HYPERLINK("#Statut_biogéographique!A"&amp;_xlfn.XMATCH("P",Statut_biogéographique!A:A,2,1),"P")</f>
        <v>P</v>
      </c>
      <c r="AP12096" s="4" t="s">
        <v>376</v>
      </c>
      <c r="AR12096" s="4" t="s">
        <v>377</v>
      </c>
    </row>
    <row r="12097" spans="1:44">
      <c r="A12097" s="4" t="s">
        <v>10753</v>
      </c>
      <c r="B12097" s="4">
        <v>236165</v>
      </c>
      <c r="D12097" s="5">
        <v>236165</v>
      </c>
      <c r="E12097" s="6" t="str">
        <f>HYPERLINK("https://inpn.mnhn.fr/espece/cd_nom/236165","Mimesa bicolor (Jurine, 1807)")</f>
        <v>Mimesa bicolor (Jurine, 1807)</v>
      </c>
      <c r="AH12097" s="4" t="str">
        <f>HYPERLINK("#Statut_biogéographique!A"&amp;_xlfn.XMATCH("P",Statut_biogéographique!A:A,2,1),"P")</f>
        <v>P</v>
      </c>
      <c r="AP12097" s="4" t="s">
        <v>376</v>
      </c>
      <c r="AR12097" s="4" t="s">
        <v>377</v>
      </c>
    </row>
    <row r="12098" spans="1:44">
      <c r="A12098" s="4" t="s">
        <v>10753</v>
      </c>
      <c r="B12098" s="4">
        <v>236166</v>
      </c>
      <c r="D12098" s="5">
        <v>236166</v>
      </c>
      <c r="E12098" s="6" t="str">
        <f>HYPERLINK("https://inpn.mnhn.fr/espece/cd_nom/236166","Mimesa bruxellensis Bondroit, 1934")</f>
        <v>Mimesa bruxellensis Bondroit, 1934</v>
      </c>
      <c r="AH12098" s="4" t="str">
        <f>HYPERLINK("#Statut_biogéographique!A"&amp;_xlfn.XMATCH("P",Statut_biogéographique!A:A,2,1),"P")</f>
        <v>P</v>
      </c>
      <c r="AP12098" s="4" t="s">
        <v>376</v>
      </c>
      <c r="AR12098" s="4" t="s">
        <v>377</v>
      </c>
    </row>
    <row r="12099" spans="1:44">
      <c r="A12099" s="4" t="s">
        <v>10753</v>
      </c>
      <c r="B12099" s="4">
        <v>236168</v>
      </c>
      <c r="D12099" s="5">
        <v>236168</v>
      </c>
      <c r="E12099" s="6" t="str">
        <f>HYPERLINK("https://inpn.mnhn.fr/espece/cd_nom/236168","Mimesa equestris (Fabricius, 1804)")</f>
        <v>Mimesa equestris (Fabricius, 1804)</v>
      </c>
      <c r="AH12099" s="4" t="str">
        <f>HYPERLINK("#Statut_biogéographique!A"&amp;_xlfn.XMATCH("P",Statut_biogéographique!A:A,2,1),"P")</f>
        <v>P</v>
      </c>
      <c r="AP12099" s="4" t="s">
        <v>376</v>
      </c>
      <c r="AR12099" s="4" t="s">
        <v>377</v>
      </c>
    </row>
    <row r="12100" spans="1:44">
      <c r="A12100" s="4" t="s">
        <v>10753</v>
      </c>
      <c r="B12100" s="4">
        <v>236171</v>
      </c>
      <c r="D12100" s="5">
        <v>236171</v>
      </c>
      <c r="E12100" s="6" t="str">
        <f>HYPERLINK("https://inpn.mnhn.fr/espece/cd_nom/236171","Dinetus pictus (Fabricius, 1793)")</f>
        <v>Dinetus pictus (Fabricius, 1793)</v>
      </c>
      <c r="AH12100" s="4" t="str">
        <f>HYPERLINK("#Statut_biogéographique!A"&amp;_xlfn.XMATCH("P",Statut_biogéographique!A:A,2,1),"P")</f>
        <v>P</v>
      </c>
      <c r="AP12100" s="4" t="s">
        <v>376</v>
      </c>
      <c r="AR12100" s="4" t="s">
        <v>377</v>
      </c>
    </row>
    <row r="12101" spans="1:44">
      <c r="A12101" s="4" t="s">
        <v>10753</v>
      </c>
      <c r="B12101" s="4">
        <v>236175</v>
      </c>
      <c r="D12101" s="5">
        <v>236175</v>
      </c>
      <c r="E12101" s="6" t="str">
        <f>HYPERLINK("https://inpn.mnhn.fr/espece/cd_nom/236175","Rhopalum gracile Wesmael, 1852")</f>
        <v>Rhopalum gracile Wesmael, 1852</v>
      </c>
      <c r="AH12101" s="4" t="str">
        <f>HYPERLINK("#Statut_biogéographique!A"&amp;_xlfn.XMATCH("P",Statut_biogéographique!A:A,2,1),"P")</f>
        <v>P</v>
      </c>
      <c r="AP12101" s="4" t="s">
        <v>376</v>
      </c>
      <c r="AR12101" s="4" t="s">
        <v>377</v>
      </c>
    </row>
    <row r="12102" spans="1:44">
      <c r="A12102" s="4" t="s">
        <v>10753</v>
      </c>
      <c r="B12102" s="4">
        <v>236176</v>
      </c>
      <c r="D12102" s="5">
        <v>236176</v>
      </c>
      <c r="E12102" s="6" t="str">
        <f>HYPERLINK("https://inpn.mnhn.fr/espece/cd_nom/236176","Lindenius albilabris (Fabricius, 1793)")</f>
        <v>Lindenius albilabris (Fabricius, 1793)</v>
      </c>
      <c r="AH12102" s="4" t="str">
        <f>HYPERLINK("#Statut_biogéographique!A"&amp;_xlfn.XMATCH("P",Statut_biogéographique!A:A,2,1),"P")</f>
        <v>P</v>
      </c>
      <c r="AP12102" s="4" t="s">
        <v>376</v>
      </c>
      <c r="AR12102" s="4" t="s">
        <v>377</v>
      </c>
    </row>
    <row r="12103" spans="1:44">
      <c r="A12103" s="4" t="s">
        <v>10753</v>
      </c>
      <c r="B12103" s="4">
        <v>236181</v>
      </c>
      <c r="D12103" s="5" t="s">
        <v>14980</v>
      </c>
      <c r="E12103" s="6" t="str">
        <f>HYPERLINK("https://inpn.mnhn.fr/espece/cd_nom/236181","Lindenius panzeri (Vander Linden, 1829)")</f>
        <v>Lindenius panzeri (Vander Linden, 1829)</v>
      </c>
      <c r="AH12103" s="4" t="str">
        <f>HYPERLINK("#Statut_biogéographique!A"&amp;_xlfn.XMATCH("P",Statut_biogéographique!A:A,2,1),"P")</f>
        <v>P</v>
      </c>
      <c r="AP12103" s="4" t="s">
        <v>376</v>
      </c>
      <c r="AR12103" s="4" t="s">
        <v>377</v>
      </c>
    </row>
    <row r="12104" spans="1:44">
      <c r="A12104" s="4" t="s">
        <v>10753</v>
      </c>
      <c r="B12104" s="4">
        <v>236182</v>
      </c>
      <c r="D12104" s="5">
        <v>236182</v>
      </c>
      <c r="E12104" s="6" t="str">
        <f>HYPERLINK("https://inpn.mnhn.fr/espece/cd_nom/236182","Lindenius subaeneus Lepeletier &amp; Brullé, 1835")</f>
        <v>Lindenius subaeneus Lepeletier &amp; Brullé, 1835</v>
      </c>
      <c r="AH12104" s="4" t="str">
        <f>HYPERLINK("#Statut_biogéographique!A"&amp;_xlfn.XMATCH("P",Statut_biogéographique!A:A,2,1),"P")</f>
        <v>P</v>
      </c>
      <c r="AP12104" s="4" t="s">
        <v>376</v>
      </c>
      <c r="AR12104" s="4" t="s">
        <v>377</v>
      </c>
    </row>
    <row r="12105" spans="1:44">
      <c r="A12105" s="4" t="s">
        <v>10753</v>
      </c>
      <c r="B12105" s="4">
        <v>236183</v>
      </c>
      <c r="D12105" s="5">
        <v>236183</v>
      </c>
      <c r="E12105" s="6" t="str">
        <f>HYPERLINK("https://inpn.mnhn.fr/espece/cd_nom/236183","Lestica alata (Panzer, 1797)")</f>
        <v>Lestica alata (Panzer, 1797)</v>
      </c>
      <c r="AH12105" s="4" t="str">
        <f>HYPERLINK("#Statut_biogéographique!A"&amp;_xlfn.XMATCH("P",Statut_biogéographique!A:A,2,1),"P")</f>
        <v>P</v>
      </c>
      <c r="AP12105" s="4" t="s">
        <v>376</v>
      </c>
      <c r="AR12105" s="4" t="s">
        <v>377</v>
      </c>
    </row>
    <row r="12106" spans="1:44">
      <c r="A12106" s="4" t="s">
        <v>10753</v>
      </c>
      <c r="B12106" s="4">
        <v>236184</v>
      </c>
      <c r="D12106" s="5" t="s">
        <v>14981</v>
      </c>
      <c r="E12106" s="6" t="str">
        <f>HYPERLINK("https://inpn.mnhn.fr/espece/cd_nom/236184","Lestica subterranea (Fabricius, 1775)")</f>
        <v>Lestica subterranea (Fabricius, 1775)</v>
      </c>
      <c r="AH12106" s="4" t="str">
        <f>HYPERLINK("#Statut_biogéographique!A"&amp;_xlfn.XMATCH("P",Statut_biogéographique!A:A,2,1),"P")</f>
        <v>P</v>
      </c>
      <c r="AP12106" s="4" t="s">
        <v>376</v>
      </c>
      <c r="AR12106" s="4" t="s">
        <v>377</v>
      </c>
    </row>
    <row r="12107" spans="1:44">
      <c r="A12107" s="4" t="s">
        <v>10753</v>
      </c>
      <c r="B12107" s="4">
        <v>236185</v>
      </c>
      <c r="D12107" s="5" t="s">
        <v>14982</v>
      </c>
      <c r="E12107" s="6" t="str">
        <f>HYPERLINK("https://inpn.mnhn.fr/espece/cd_nom/236185","Ectemnius cavifrons (Thomson, 1870)")</f>
        <v>Ectemnius cavifrons (Thomson, 1870)</v>
      </c>
      <c r="AH12107" s="4" t="str">
        <f>HYPERLINK("#Statut_biogéographique!A"&amp;_xlfn.XMATCH("P",Statut_biogéographique!A:A,2,1),"P")</f>
        <v>P</v>
      </c>
      <c r="AP12107" s="4" t="s">
        <v>376</v>
      </c>
      <c r="AR12107" s="4" t="s">
        <v>377</v>
      </c>
    </row>
    <row r="12108" spans="1:44">
      <c r="A12108" s="4" t="s">
        <v>10753</v>
      </c>
      <c r="B12108" s="4">
        <v>236186</v>
      </c>
      <c r="D12108" s="5" t="s">
        <v>14983</v>
      </c>
      <c r="E12108" s="6" t="str">
        <f>HYPERLINK("https://inpn.mnhn.fr/espece/cd_nom/236186","Ectemnius confinis (Walker, 1871)")</f>
        <v>Ectemnius confinis (Walker, 1871)</v>
      </c>
      <c r="AH12108" s="4" t="str">
        <f>HYPERLINK("#Statut_biogéographique!A"&amp;_xlfn.XMATCH("P",Statut_biogéographique!A:A,2,1),"P")</f>
        <v>P</v>
      </c>
      <c r="AP12108" s="4" t="s">
        <v>376</v>
      </c>
      <c r="AR12108" s="4" t="s">
        <v>377</v>
      </c>
    </row>
    <row r="12109" spans="1:44">
      <c r="A12109" s="4" t="s">
        <v>10753</v>
      </c>
      <c r="B12109" s="4">
        <v>236188</v>
      </c>
      <c r="D12109" s="5" t="s">
        <v>14984</v>
      </c>
      <c r="E12109" s="6" t="str">
        <f>HYPERLINK("https://inpn.mnhn.fr/espece/cd_nom/236188","Ectemnius fossorius (Linnaeus, 1758)")</f>
        <v>Ectemnius fossorius (Linnaeus, 1758)</v>
      </c>
      <c r="AH12109" s="4" t="str">
        <f>HYPERLINK("#Statut_biogéographique!A"&amp;_xlfn.XMATCH("P",Statut_biogéographique!A:A,2,1),"P")</f>
        <v>P</v>
      </c>
      <c r="AP12109" s="4" t="s">
        <v>376</v>
      </c>
      <c r="AR12109" s="4" t="s">
        <v>377</v>
      </c>
    </row>
    <row r="12110" spans="1:44" ht="30">
      <c r="A12110" s="4" t="s">
        <v>10753</v>
      </c>
      <c r="B12110" s="4">
        <v>236193</v>
      </c>
      <c r="D12110" s="5">
        <v>236193</v>
      </c>
      <c r="E12110" s="6" t="str">
        <f>HYPERLINK("https://inpn.mnhn.fr/espece/cd_nom/236193","Ectemnius nigritarsus (Herrich-Schäffer, 1841)")</f>
        <v>Ectemnius nigritarsus (Herrich-Schäffer, 1841)</v>
      </c>
      <c r="AH12110" s="4" t="str">
        <f>HYPERLINK("#Statut_biogéographique!A"&amp;_xlfn.XMATCH("P",Statut_biogéographique!A:A,2,1),"P")</f>
        <v>P</v>
      </c>
      <c r="AP12110" s="4" t="s">
        <v>376</v>
      </c>
      <c r="AR12110" s="4" t="s">
        <v>377</v>
      </c>
    </row>
    <row r="12111" spans="1:44" ht="30">
      <c r="A12111" s="4" t="s">
        <v>10753</v>
      </c>
      <c r="B12111" s="4">
        <v>236197</v>
      </c>
      <c r="D12111" s="5">
        <v>236197</v>
      </c>
      <c r="E12111" s="6" t="str">
        <f>HYPERLINK("https://inpn.mnhn.fr/espece/cd_nom/236197","Crossocerus binotatus Lepeletier &amp; Brullé, 1835")</f>
        <v>Crossocerus binotatus Lepeletier &amp; Brullé, 1835</v>
      </c>
      <c r="AH12111" s="4" t="str">
        <f>HYPERLINK("#Statut_biogéographique!A"&amp;_xlfn.XMATCH("P",Statut_biogéographique!A:A,2,1),"P")</f>
        <v>P</v>
      </c>
      <c r="AP12111" s="4" t="s">
        <v>376</v>
      </c>
      <c r="AR12111" s="4" t="s">
        <v>377</v>
      </c>
    </row>
    <row r="12112" spans="1:44">
      <c r="A12112" s="4" t="s">
        <v>10753</v>
      </c>
      <c r="B12112" s="4">
        <v>236198</v>
      </c>
      <c r="D12112" s="5">
        <v>236198</v>
      </c>
      <c r="E12112" s="6" t="str">
        <f>HYPERLINK("https://inpn.mnhn.fr/espece/cd_nom/236198","Crossocerus capitosus (Shuckard, 1837)")</f>
        <v>Crossocerus capitosus (Shuckard, 1837)</v>
      </c>
      <c r="AH12112" s="4" t="str">
        <f>HYPERLINK("#Statut_biogéographique!A"&amp;_xlfn.XMATCH("P",Statut_biogéographique!A:A,2,1),"P")</f>
        <v>P</v>
      </c>
      <c r="AP12112" s="4" t="s">
        <v>376</v>
      </c>
      <c r="AR12112" s="4" t="s">
        <v>377</v>
      </c>
    </row>
    <row r="12113" spans="1:44">
      <c r="A12113" s="4" t="s">
        <v>10753</v>
      </c>
      <c r="B12113" s="4">
        <v>236199</v>
      </c>
      <c r="D12113" s="5">
        <v>236199</v>
      </c>
      <c r="E12113" s="6" t="str">
        <f>HYPERLINK("https://inpn.mnhn.fr/espece/cd_nom/236199","Crossocerus cinxius (Dahlbom, 1838)")</f>
        <v>Crossocerus cinxius (Dahlbom, 1838)</v>
      </c>
      <c r="AH12113" s="4" t="str">
        <f>HYPERLINK("#Statut_biogéographique!A"&amp;_xlfn.XMATCH("P",Statut_biogéographique!A:A,2,1),"P")</f>
        <v>P</v>
      </c>
      <c r="AP12113" s="4" t="s">
        <v>376</v>
      </c>
      <c r="AR12113" s="4" t="s">
        <v>377</v>
      </c>
    </row>
    <row r="12114" spans="1:44">
      <c r="A12114" s="4" t="s">
        <v>10753</v>
      </c>
      <c r="B12114" s="4">
        <v>236200</v>
      </c>
      <c r="D12114" s="5">
        <v>236200</v>
      </c>
      <c r="E12114" s="6" t="str">
        <f>HYPERLINK("https://inpn.mnhn.fr/espece/cd_nom/236200","Crossocerus congener (Dahlbom, 1844)")</f>
        <v>Crossocerus congener (Dahlbom, 1844)</v>
      </c>
      <c r="AH12114" s="4" t="str">
        <f>HYPERLINK("#Statut_biogéographique!A"&amp;_xlfn.XMATCH("P",Statut_biogéographique!A:A,2,1),"P")</f>
        <v>P</v>
      </c>
      <c r="AP12114" s="4" t="s">
        <v>376</v>
      </c>
      <c r="AR12114" s="4" t="s">
        <v>377</v>
      </c>
    </row>
    <row r="12115" spans="1:44">
      <c r="A12115" s="4" t="s">
        <v>10753</v>
      </c>
      <c r="B12115" s="4">
        <v>236201</v>
      </c>
      <c r="D12115" s="5">
        <v>236201</v>
      </c>
      <c r="E12115" s="6" t="str">
        <f>HYPERLINK("https://inpn.mnhn.fr/espece/cd_nom/236201","Crossocerus denticoxa (Bischoff, 1932)")</f>
        <v>Crossocerus denticoxa (Bischoff, 1932)</v>
      </c>
      <c r="AH12115" s="4" t="str">
        <f>HYPERLINK("#Statut_biogéographique!A"&amp;_xlfn.XMATCH("P",Statut_biogéographique!A:A,2,1),"P")</f>
        <v>P</v>
      </c>
      <c r="AP12115" s="4" t="s">
        <v>376</v>
      </c>
      <c r="AR12115" s="4" t="s">
        <v>377</v>
      </c>
    </row>
    <row r="12116" spans="1:44">
      <c r="A12116" s="4" t="s">
        <v>10753</v>
      </c>
      <c r="B12116" s="4">
        <v>236202</v>
      </c>
      <c r="D12116" s="5">
        <v>236202</v>
      </c>
      <c r="E12116" s="6" t="str">
        <f>HYPERLINK("https://inpn.mnhn.fr/espece/cd_nom/236202","Crossocerus denticrus Herrich-Schäffer, 1841")</f>
        <v>Crossocerus denticrus Herrich-Schäffer, 1841</v>
      </c>
      <c r="AH12116" s="4" t="str">
        <f>HYPERLINK("#Statut_biogéographique!A"&amp;_xlfn.XMATCH("P",Statut_biogéographique!A:A,2,1),"P")</f>
        <v>P</v>
      </c>
      <c r="AP12116" s="4" t="s">
        <v>376</v>
      </c>
      <c r="AR12116" s="4" t="s">
        <v>377</v>
      </c>
    </row>
    <row r="12117" spans="1:44">
      <c r="A12117" s="4" t="s">
        <v>10753</v>
      </c>
      <c r="B12117" s="4">
        <v>236203</v>
      </c>
      <c r="D12117" s="5">
        <v>236203</v>
      </c>
      <c r="E12117" s="6" t="str">
        <f>HYPERLINK("https://inpn.mnhn.fr/espece/cd_nom/236203","Crossocerus dimidiatus (Fabricius, 1781)")</f>
        <v>Crossocerus dimidiatus (Fabricius, 1781)</v>
      </c>
      <c r="AH12117" s="4" t="str">
        <f>HYPERLINK("#Statut_biogéographique!A"&amp;_xlfn.XMATCH("P",Statut_biogéographique!A:A,2,1),"P")</f>
        <v>P</v>
      </c>
      <c r="AP12117" s="4" t="s">
        <v>376</v>
      </c>
      <c r="AR12117" s="4" t="s">
        <v>377</v>
      </c>
    </row>
    <row r="12118" spans="1:44" ht="30">
      <c r="A12118" s="4" t="s">
        <v>10753</v>
      </c>
      <c r="B12118" s="4">
        <v>236204</v>
      </c>
      <c r="D12118" s="5" t="s">
        <v>14985</v>
      </c>
      <c r="E12118" s="6" t="str">
        <f>HYPERLINK("https://inpn.mnhn.fr/espece/cd_nom/236204","Crossocerus distinguendus (A. Morawitz, 1866)")</f>
        <v>Crossocerus distinguendus (A. Morawitz, 1866)</v>
      </c>
      <c r="AH12118" s="4" t="str">
        <f>HYPERLINK("#Statut_biogéographique!A"&amp;_xlfn.XMATCH("P",Statut_biogéographique!A:A,2,1),"P")</f>
        <v>P</v>
      </c>
      <c r="AP12118" s="4" t="s">
        <v>376</v>
      </c>
      <c r="AR12118" s="4" t="s">
        <v>377</v>
      </c>
    </row>
    <row r="12119" spans="1:44">
      <c r="A12119" s="4" t="s">
        <v>10753</v>
      </c>
      <c r="B12119" s="4">
        <v>236206</v>
      </c>
      <c r="D12119" s="5">
        <v>236206</v>
      </c>
      <c r="E12119" s="6" t="str">
        <f>HYPERLINK("https://inpn.mnhn.fr/espece/cd_nom/236206","Crossocerus heydeni Kohl, 1880")</f>
        <v>Crossocerus heydeni Kohl, 1880</v>
      </c>
      <c r="AH12119" s="4" t="str">
        <f>HYPERLINK("#Statut_biogéographique!A"&amp;_xlfn.XMATCH("P",Statut_biogéographique!A:A,2,1),"P")</f>
        <v>P</v>
      </c>
      <c r="AP12119" s="4" t="s">
        <v>376</v>
      </c>
      <c r="AR12119" s="4" t="s">
        <v>377</v>
      </c>
    </row>
    <row r="12120" spans="1:44">
      <c r="A12120" s="4" t="s">
        <v>10753</v>
      </c>
      <c r="B12120" s="4">
        <v>236207</v>
      </c>
      <c r="D12120" s="5" t="s">
        <v>14986</v>
      </c>
      <c r="E12120" s="6" t="str">
        <f>HYPERLINK("https://inpn.mnhn.fr/espece/cd_nom/236207","Crossocerus leucostoma (Linnaeus, 1758)")</f>
        <v>Crossocerus leucostoma (Linnaeus, 1758)</v>
      </c>
      <c r="AH12120" s="4" t="str">
        <f>HYPERLINK("#Statut_biogéographique!A"&amp;_xlfn.XMATCH("P",Statut_biogéographique!A:A,2,1),"P")</f>
        <v>P</v>
      </c>
      <c r="AP12120" s="4" t="s">
        <v>376</v>
      </c>
      <c r="AR12120" s="4" t="s">
        <v>377</v>
      </c>
    </row>
    <row r="12121" spans="1:44" ht="30">
      <c r="A12121" s="4" t="s">
        <v>10753</v>
      </c>
      <c r="B12121" s="4">
        <v>236208</v>
      </c>
      <c r="D12121" s="5">
        <v>236208</v>
      </c>
      <c r="E12121" s="6" t="str">
        <f>HYPERLINK("https://inpn.mnhn.fr/espece/cd_nom/236208","Crossocerus nigritus (Lepeletier &amp; Brullé, 1835)")</f>
        <v>Crossocerus nigritus (Lepeletier &amp; Brullé, 1835)</v>
      </c>
      <c r="AH12121" s="4" t="str">
        <f>HYPERLINK("#Statut_biogéographique!A"&amp;_xlfn.XMATCH("P",Statut_biogéographique!A:A,2,1),"P")</f>
        <v>P</v>
      </c>
      <c r="AP12121" s="4" t="s">
        <v>376</v>
      </c>
      <c r="AR12121" s="4" t="s">
        <v>377</v>
      </c>
    </row>
    <row r="12122" spans="1:44">
      <c r="A12122" s="4" t="s">
        <v>10753</v>
      </c>
      <c r="B12122" s="4">
        <v>236209</v>
      </c>
      <c r="D12122" s="5">
        <v>236209</v>
      </c>
      <c r="E12122" s="6" t="str">
        <f>HYPERLINK("https://inpn.mnhn.fr/espece/cd_nom/236209","Crossocerus ovalis Lepeletier &amp; Brullé, 1835")</f>
        <v>Crossocerus ovalis Lepeletier &amp; Brullé, 1835</v>
      </c>
      <c r="AH12122" s="4" t="str">
        <f>HYPERLINK("#Statut_biogéographique!A"&amp;_xlfn.XMATCH("P",Statut_biogéographique!A:A,2,1),"P")</f>
        <v>P</v>
      </c>
      <c r="AP12122" s="4" t="s">
        <v>376</v>
      </c>
      <c r="AR12122" s="4" t="s">
        <v>377</v>
      </c>
    </row>
    <row r="12123" spans="1:44">
      <c r="A12123" s="4" t="s">
        <v>10753</v>
      </c>
      <c r="B12123" s="4">
        <v>236210</v>
      </c>
      <c r="D12123" s="5">
        <v>236210</v>
      </c>
      <c r="E12123" s="6" t="str">
        <f>HYPERLINK("https://inpn.mnhn.fr/espece/cd_nom/236210","Crossocerus palmipes (Linnaeus, 1767)")</f>
        <v>Crossocerus palmipes (Linnaeus, 1767)</v>
      </c>
      <c r="AH12123" s="4" t="str">
        <f>HYPERLINK("#Statut_biogéographique!A"&amp;_xlfn.XMATCH("P",Statut_biogéographique!A:A,2,1),"P")</f>
        <v>P</v>
      </c>
      <c r="AP12123" s="4" t="s">
        <v>376</v>
      </c>
      <c r="AR12123" s="4" t="s">
        <v>377</v>
      </c>
    </row>
    <row r="12124" spans="1:44">
      <c r="A12124" s="4" t="s">
        <v>10753</v>
      </c>
      <c r="B12124" s="4">
        <v>236211</v>
      </c>
      <c r="D12124" s="5">
        <v>236211</v>
      </c>
      <c r="E12124" s="6" t="str">
        <f>HYPERLINK("https://inpn.mnhn.fr/espece/cd_nom/236211","Crossocerus styrius (Kohl, 1892)")</f>
        <v>Crossocerus styrius (Kohl, 1892)</v>
      </c>
      <c r="AH12124" s="4" t="str">
        <f>HYPERLINK("#Statut_biogéographique!A"&amp;_xlfn.XMATCH("P",Statut_biogéographique!A:A,2,1),"P")</f>
        <v>P</v>
      </c>
      <c r="AP12124" s="4" t="s">
        <v>376</v>
      </c>
      <c r="AR12124" s="4" t="s">
        <v>377</v>
      </c>
    </row>
    <row r="12125" spans="1:44">
      <c r="A12125" s="4" t="s">
        <v>10753</v>
      </c>
      <c r="B12125" s="4">
        <v>236212</v>
      </c>
      <c r="D12125" s="5" t="s">
        <v>14987</v>
      </c>
      <c r="E12125" s="6" t="str">
        <f>HYPERLINK("https://inpn.mnhn.fr/espece/cd_nom/236212","Crossocerus varus Lepeletier &amp; Brullé, 1835")</f>
        <v>Crossocerus varus Lepeletier &amp; Brullé, 1835</v>
      </c>
      <c r="AH12125" s="4" t="str">
        <f>HYPERLINK("#Statut_biogéographique!A"&amp;_xlfn.XMATCH("P",Statut_biogéographique!A:A,2,1),"P")</f>
        <v>P</v>
      </c>
      <c r="AP12125" s="4" t="s">
        <v>376</v>
      </c>
      <c r="AR12125" s="4" t="s">
        <v>377</v>
      </c>
    </row>
    <row r="12126" spans="1:44">
      <c r="A12126" s="4" t="s">
        <v>10753</v>
      </c>
      <c r="B12126" s="4">
        <v>236213</v>
      </c>
      <c r="D12126" s="5">
        <v>236213</v>
      </c>
      <c r="E12126" s="6" t="str">
        <f>HYPERLINK("https://inpn.mnhn.fr/espece/cd_nom/236213","Crabro alpinus Imhoff, 1863")</f>
        <v>Crabro alpinus Imhoff, 1863</v>
      </c>
      <c r="AH12126" s="4" t="str">
        <f>HYPERLINK("#Statut_biogéographique!A"&amp;_xlfn.XMATCH("P",Statut_biogéographique!A:A,2,1),"P")</f>
        <v>P</v>
      </c>
      <c r="AP12126" s="4" t="s">
        <v>376</v>
      </c>
      <c r="AR12126" s="4" t="s">
        <v>377</v>
      </c>
    </row>
    <row r="12127" spans="1:44">
      <c r="A12127" s="4" t="s">
        <v>10753</v>
      </c>
      <c r="B12127" s="4">
        <v>236214</v>
      </c>
      <c r="D12127" s="5" t="s">
        <v>14988</v>
      </c>
      <c r="E12127" s="6" t="str">
        <f>HYPERLINK("https://inpn.mnhn.fr/espece/cd_nom/236214","Crabro cribrarius (Linnaeus, 1758)")</f>
        <v>Crabro cribrarius (Linnaeus, 1758)</v>
      </c>
      <c r="AH12127" s="4" t="str">
        <f>HYPERLINK("#Statut_biogéographique!A"&amp;_xlfn.XMATCH("P",Statut_biogéographique!A:A,2,1),"P")</f>
        <v>P</v>
      </c>
      <c r="AP12127" s="4" t="s">
        <v>376</v>
      </c>
      <c r="AR12127" s="4" t="s">
        <v>377</v>
      </c>
    </row>
    <row r="12128" spans="1:44">
      <c r="A12128" s="4" t="s">
        <v>10753</v>
      </c>
      <c r="B12128" s="4">
        <v>236219</v>
      </c>
      <c r="D12128" s="5">
        <v>236219</v>
      </c>
      <c r="E12128" s="6" t="str">
        <f>HYPERLINK("https://inpn.mnhn.fr/espece/cd_nom/236219","Crabro peltarius (Schreber, 1784)")</f>
        <v>Crabro peltarius (Schreber, 1784)</v>
      </c>
      <c r="AH12128" s="4" t="str">
        <f>HYPERLINK("#Statut_biogéographique!A"&amp;_xlfn.XMATCH("P",Statut_biogéographique!A:A,2,1),"P")</f>
        <v>P</v>
      </c>
      <c r="AP12128" s="4" t="s">
        <v>376</v>
      </c>
      <c r="AR12128" s="4" t="s">
        <v>377</v>
      </c>
    </row>
    <row r="12129" spans="1:44">
      <c r="A12129" s="4" t="s">
        <v>10753</v>
      </c>
      <c r="B12129" s="4">
        <v>236221</v>
      </c>
      <c r="D12129" s="5">
        <v>236221</v>
      </c>
      <c r="E12129" s="6" t="str">
        <f>HYPERLINK("https://inpn.mnhn.fr/espece/cd_nom/236221","Crabro scutellatus (Scheven, 1781)")</f>
        <v>Crabro scutellatus (Scheven, 1781)</v>
      </c>
      <c r="AH12129" s="4" t="str">
        <f>HYPERLINK("#Statut_biogéographique!A"&amp;_xlfn.XMATCH("P",Statut_biogéographique!A:A,2,1),"P")</f>
        <v>P</v>
      </c>
      <c r="AP12129" s="4" t="s">
        <v>376</v>
      </c>
      <c r="AR12129" s="4" t="s">
        <v>377</v>
      </c>
    </row>
    <row r="12130" spans="1:44">
      <c r="A12130" s="4" t="s">
        <v>10753</v>
      </c>
      <c r="B12130" s="4">
        <v>236223</v>
      </c>
      <c r="D12130" s="5">
        <v>236223</v>
      </c>
      <c r="E12130" s="6" t="str">
        <f>HYPERLINK("https://inpn.mnhn.fr/espece/cd_nom/236223","Oxybelus argentatus Curtis, 1833")</f>
        <v>Oxybelus argentatus Curtis, 1833</v>
      </c>
      <c r="AH12130" s="4" t="str">
        <f>HYPERLINK("#Statut_biogéographique!A"&amp;_xlfn.XMATCH("P",Statut_biogéographique!A:A,2,1),"P")</f>
        <v>P</v>
      </c>
      <c r="AP12130" s="4" t="s">
        <v>376</v>
      </c>
      <c r="AR12130" s="4" t="s">
        <v>377</v>
      </c>
    </row>
    <row r="12131" spans="1:44">
      <c r="A12131" s="4" t="s">
        <v>10753</v>
      </c>
      <c r="B12131" s="4">
        <v>236225</v>
      </c>
      <c r="D12131" s="5" t="s">
        <v>14989</v>
      </c>
      <c r="E12131" s="6" t="str">
        <f>HYPERLINK("https://inpn.mnhn.fr/espece/cd_nom/236225","Oxybelus bipunctatus Olivier, 1812")</f>
        <v>Oxybelus bipunctatus Olivier, 1812</v>
      </c>
      <c r="AH12131" s="4" t="str">
        <f>HYPERLINK("#Statut_biogéographique!A"&amp;_xlfn.XMATCH("P",Statut_biogéographique!A:A,2,1),"P")</f>
        <v>P</v>
      </c>
      <c r="AP12131" s="4" t="s">
        <v>376</v>
      </c>
      <c r="AR12131" s="4" t="s">
        <v>377</v>
      </c>
    </row>
    <row r="12132" spans="1:44">
      <c r="A12132" s="4" t="s">
        <v>10753</v>
      </c>
      <c r="B12132" s="4">
        <v>236227</v>
      </c>
      <c r="D12132" s="5">
        <v>236227</v>
      </c>
      <c r="E12132" s="6" t="str">
        <f>HYPERLINK("https://inpn.mnhn.fr/espece/cd_nom/236227","Oxybelus haemorrhoidalis Olivier, 1812")</f>
        <v>Oxybelus haemorrhoidalis Olivier, 1812</v>
      </c>
      <c r="AH12132" s="4" t="str">
        <f>HYPERLINK("#Statut_biogéographique!A"&amp;_xlfn.XMATCH("P",Statut_biogéographique!A:A,2,1),"P")</f>
        <v>P</v>
      </c>
      <c r="AP12132" s="4" t="s">
        <v>376</v>
      </c>
      <c r="AR12132" s="4" t="s">
        <v>377</v>
      </c>
    </row>
    <row r="12133" spans="1:44">
      <c r="A12133" s="4" t="s">
        <v>10753</v>
      </c>
      <c r="B12133" s="4">
        <v>236229</v>
      </c>
      <c r="D12133" s="5">
        <v>236229</v>
      </c>
      <c r="E12133" s="6" t="str">
        <f>HYPERLINK("https://inpn.mnhn.fr/espece/cd_nom/236229","Oxybelus latro Olivier, 1812")</f>
        <v>Oxybelus latro Olivier, 1812</v>
      </c>
      <c r="AH12133" s="4" t="str">
        <f>HYPERLINK("#Statut_biogéographique!A"&amp;_xlfn.XMATCH("P",Statut_biogéographique!A:A,2,1),"P")</f>
        <v>P</v>
      </c>
      <c r="AP12133" s="4" t="s">
        <v>376</v>
      </c>
      <c r="AR12133" s="4" t="s">
        <v>377</v>
      </c>
    </row>
    <row r="12134" spans="1:44">
      <c r="A12134" s="4" t="s">
        <v>10753</v>
      </c>
      <c r="B12134" s="4">
        <v>236230</v>
      </c>
      <c r="D12134" s="5">
        <v>236230</v>
      </c>
      <c r="E12134" s="6" t="str">
        <f>HYPERLINK("https://inpn.mnhn.fr/espece/cd_nom/236230","Oxybelus lineatus (Fabricius, 1787)")</f>
        <v>Oxybelus lineatus (Fabricius, 1787)</v>
      </c>
      <c r="AH12134" s="4" t="str">
        <f>HYPERLINK("#Statut_biogéographique!A"&amp;_xlfn.XMATCH("P",Statut_biogéographique!A:A,2,1),"P")</f>
        <v>P</v>
      </c>
      <c r="AP12134" s="4" t="s">
        <v>376</v>
      </c>
      <c r="AR12134" s="4" t="s">
        <v>377</v>
      </c>
    </row>
    <row r="12135" spans="1:44">
      <c r="A12135" s="4" t="s">
        <v>10753</v>
      </c>
      <c r="B12135" s="4">
        <v>236231</v>
      </c>
      <c r="D12135" s="5">
        <v>236231</v>
      </c>
      <c r="E12135" s="6" t="str">
        <f>HYPERLINK("https://inpn.mnhn.fr/espece/cd_nom/236231","Oxybelus mandibularis Dahlbom, 1845")</f>
        <v>Oxybelus mandibularis Dahlbom, 1845</v>
      </c>
      <c r="AH12135" s="4" t="str">
        <f>HYPERLINK("#Statut_biogéographique!A"&amp;_xlfn.XMATCH("P",Statut_biogéographique!A:A,2,1),"P")</f>
        <v>P</v>
      </c>
      <c r="AP12135" s="4" t="s">
        <v>376</v>
      </c>
      <c r="AR12135" s="4" t="s">
        <v>377</v>
      </c>
    </row>
    <row r="12136" spans="1:44">
      <c r="A12136" s="4" t="s">
        <v>10753</v>
      </c>
      <c r="B12136" s="4">
        <v>236232</v>
      </c>
      <c r="D12136" s="5">
        <v>236232</v>
      </c>
      <c r="E12136" s="6" t="str">
        <f>HYPERLINK("https://inpn.mnhn.fr/espece/cd_nom/236232","Oxybelus mucronatus (Fabricius, 1793)")</f>
        <v>Oxybelus mucronatus (Fabricius, 1793)</v>
      </c>
      <c r="AH12136" s="4" t="str">
        <f>HYPERLINK("#Statut_biogéographique!A"&amp;_xlfn.XMATCH("P",Statut_biogéographique!A:A,2,1),"P")</f>
        <v>P</v>
      </c>
      <c r="AP12136" s="4" t="s">
        <v>376</v>
      </c>
      <c r="AR12136" s="4" t="s">
        <v>377</v>
      </c>
    </row>
    <row r="12137" spans="1:44">
      <c r="A12137" s="4" t="s">
        <v>10753</v>
      </c>
      <c r="B12137" s="4">
        <v>236234</v>
      </c>
      <c r="D12137" s="5">
        <v>236234</v>
      </c>
      <c r="E12137" s="6" t="str">
        <f>HYPERLINK("https://inpn.mnhn.fr/espece/cd_nom/236234","Oxybelus quatuordecimnotatus Jurine, 1807")</f>
        <v>Oxybelus quatuordecimnotatus Jurine, 1807</v>
      </c>
      <c r="AH12137" s="4" t="str">
        <f>HYPERLINK("#Statut_biogéographique!A"&amp;_xlfn.XMATCH("P",Statut_biogéographique!A:A,2,1),"P")</f>
        <v>P</v>
      </c>
      <c r="AP12137" s="4" t="s">
        <v>376</v>
      </c>
      <c r="AR12137" s="4" t="s">
        <v>377</v>
      </c>
    </row>
    <row r="12138" spans="1:44">
      <c r="A12138" s="4" t="s">
        <v>10753</v>
      </c>
      <c r="B12138" s="4">
        <v>236236</v>
      </c>
      <c r="D12138" s="5">
        <v>236236</v>
      </c>
      <c r="E12138" s="6" t="str">
        <f>HYPERLINK("https://inpn.mnhn.fr/espece/cd_nom/236236","Oxybelus trispinosus (Fabricius, 1787)")</f>
        <v>Oxybelus trispinosus (Fabricius, 1787)</v>
      </c>
      <c r="AH12138" s="4" t="str">
        <f>HYPERLINK("#Statut_biogéographique!A"&amp;_xlfn.XMATCH("P",Statut_biogéographique!A:A,2,1),"P")</f>
        <v>P</v>
      </c>
      <c r="AP12138" s="4" t="s">
        <v>376</v>
      </c>
      <c r="AR12138" s="4" t="s">
        <v>377</v>
      </c>
    </row>
    <row r="12139" spans="1:44">
      <c r="A12139" s="4" t="s">
        <v>10753</v>
      </c>
      <c r="B12139" s="4">
        <v>236237</v>
      </c>
      <c r="D12139" s="5" t="s">
        <v>14990</v>
      </c>
      <c r="E12139" s="6" t="str">
        <f>HYPERLINK("https://inpn.mnhn.fr/espece/cd_nom/236237","Oxybelus uniglumis (Linnaeus, 1758)")</f>
        <v>Oxybelus uniglumis (Linnaeus, 1758)</v>
      </c>
      <c r="AH12139" s="4" t="str">
        <f>HYPERLINK("#Statut_biogéographique!A"&amp;_xlfn.XMATCH("P",Statut_biogéographique!A:A,2,1),"P")</f>
        <v>P</v>
      </c>
      <c r="AP12139" s="4" t="s">
        <v>376</v>
      </c>
      <c r="AR12139" s="4" t="s">
        <v>377</v>
      </c>
    </row>
    <row r="12140" spans="1:44">
      <c r="A12140" s="4" t="s">
        <v>10753</v>
      </c>
      <c r="B12140" s="4">
        <v>236238</v>
      </c>
      <c r="D12140" s="5">
        <v>236238</v>
      </c>
      <c r="E12140" s="6" t="str">
        <f>HYPERLINK("https://inpn.mnhn.fr/espece/cd_nom/236238","Oxybelus variegatus Wesmael, 1852")</f>
        <v>Oxybelus variegatus Wesmael, 1852</v>
      </c>
      <c r="AH12140" s="4" t="str">
        <f>HYPERLINK("#Statut_biogéographique!A"&amp;_xlfn.XMATCH("P",Statut_biogéographique!A:A,2,1),"P")</f>
        <v>P</v>
      </c>
      <c r="AP12140" s="4" t="s">
        <v>376</v>
      </c>
      <c r="AR12140" s="4" t="s">
        <v>377</v>
      </c>
    </row>
    <row r="12141" spans="1:44">
      <c r="A12141" s="4" t="s">
        <v>10753</v>
      </c>
      <c r="B12141" s="4">
        <v>236249</v>
      </c>
      <c r="D12141" s="5" t="s">
        <v>14991</v>
      </c>
      <c r="E12141" s="6" t="str">
        <f>HYPERLINK("https://inpn.mnhn.fr/espece/cd_nom/236249","Tachysphex brullii (F. Smith, 1833)")</f>
        <v>Tachysphex brullii (F. Smith, 1833)</v>
      </c>
      <c r="AH12141" s="4" t="str">
        <f>HYPERLINK("#Statut_biogéographique!A"&amp;_xlfn.XMATCH("P",Statut_biogéographique!A:A,2,1),"P")</f>
        <v>P</v>
      </c>
      <c r="AP12141" s="4" t="s">
        <v>376</v>
      </c>
      <c r="AR12141" s="4" t="s">
        <v>377</v>
      </c>
    </row>
    <row r="12142" spans="1:44">
      <c r="A12142" s="4" t="s">
        <v>10753</v>
      </c>
      <c r="B12142" s="4">
        <v>236255</v>
      </c>
      <c r="D12142" s="5">
        <v>236255</v>
      </c>
      <c r="E12142" s="6" t="str">
        <f>HYPERLINK("https://inpn.mnhn.fr/espece/cd_nom/236255","Tachysphex fulvitarsis A. Costa, 1867")</f>
        <v>Tachysphex fulvitarsis A. Costa, 1867</v>
      </c>
      <c r="AH12142" s="4" t="str">
        <f>HYPERLINK("#Statut_biogéographique!A"&amp;_xlfn.XMATCH("P",Statut_biogéographique!A:A,2,1),"P")</f>
        <v>P</v>
      </c>
      <c r="AP12142" s="4" t="s">
        <v>376</v>
      </c>
      <c r="AR12142" s="4" t="s">
        <v>377</v>
      </c>
    </row>
    <row r="12143" spans="1:44">
      <c r="A12143" s="4" t="s">
        <v>10753</v>
      </c>
      <c r="B12143" s="4">
        <v>236256</v>
      </c>
      <c r="D12143" s="5">
        <v>236256</v>
      </c>
      <c r="E12143" s="6" t="str">
        <f>HYPERLINK("https://inpn.mnhn.fr/espece/cd_nom/236256","Tachysphex helveticus Kohl, 1885")</f>
        <v>Tachysphex helveticus Kohl, 1885</v>
      </c>
      <c r="AH12143" s="4" t="str">
        <f>HYPERLINK("#Statut_biogéographique!A"&amp;_xlfn.XMATCH("P",Statut_biogéographique!A:A,2,1),"P")</f>
        <v>P</v>
      </c>
      <c r="AP12143" s="4" t="s">
        <v>376</v>
      </c>
      <c r="AR12143" s="4" t="s">
        <v>377</v>
      </c>
    </row>
    <row r="12144" spans="1:44">
      <c r="A12144" s="4" t="s">
        <v>10753</v>
      </c>
      <c r="B12144" s="4">
        <v>236262</v>
      </c>
      <c r="D12144" s="5" t="s">
        <v>14992</v>
      </c>
      <c r="E12144" s="6" t="str">
        <f>HYPERLINK("https://inpn.mnhn.fr/espece/cd_nom/236262","Tachysphex obscuripennis (Schenck, 1857)")</f>
        <v>Tachysphex obscuripennis (Schenck, 1857)</v>
      </c>
      <c r="AH12144" s="4" t="str">
        <f>HYPERLINK("#Statut_biogéographique!A"&amp;_xlfn.XMATCH("P",Statut_biogéographique!A:A,2,1),"P")</f>
        <v>P</v>
      </c>
      <c r="AP12144" s="4" t="s">
        <v>376</v>
      </c>
      <c r="AR12144" s="4" t="s">
        <v>377</v>
      </c>
    </row>
    <row r="12145" spans="1:44">
      <c r="A12145" s="4" t="s">
        <v>10753</v>
      </c>
      <c r="B12145" s="4">
        <v>236266</v>
      </c>
      <c r="D12145" s="5">
        <v>236266</v>
      </c>
      <c r="E12145" s="6" t="str">
        <f>HYPERLINK("https://inpn.mnhn.fr/espece/cd_nom/236266","Tachysphex tarsinus (Lepeletier, 1845)")</f>
        <v>Tachysphex tarsinus (Lepeletier, 1845)</v>
      </c>
      <c r="AH12145" s="4" t="str">
        <f>HYPERLINK("#Statut_biogéographique!A"&amp;_xlfn.XMATCH("P",Statut_biogéographique!A:A,2,1),"P")</f>
        <v>P</v>
      </c>
      <c r="AP12145" s="4" t="s">
        <v>376</v>
      </c>
      <c r="AR12145" s="4" t="s">
        <v>377</v>
      </c>
    </row>
    <row r="12146" spans="1:44">
      <c r="A12146" s="4" t="s">
        <v>10753</v>
      </c>
      <c r="B12146" s="4">
        <v>236267</v>
      </c>
      <c r="D12146" s="5">
        <v>236267</v>
      </c>
      <c r="E12146" s="6" t="str">
        <f>HYPERLINK("https://inpn.mnhn.fr/espece/cd_nom/236267","Tachysphex unicolor (Panzer, 1806)")</f>
        <v>Tachysphex unicolor (Panzer, 1806)</v>
      </c>
      <c r="AH12146" s="4" t="str">
        <f>HYPERLINK("#Statut_biogéographique!A"&amp;_xlfn.XMATCH("P",Statut_biogéographique!A:A,2,1),"P")</f>
        <v>P</v>
      </c>
      <c r="AP12146" s="4" t="s">
        <v>376</v>
      </c>
      <c r="AR12146" s="4" t="s">
        <v>377</v>
      </c>
    </row>
    <row r="12147" spans="1:44">
      <c r="A12147" s="4" t="s">
        <v>10753</v>
      </c>
      <c r="B12147" s="4">
        <v>236269</v>
      </c>
      <c r="D12147" s="5" t="s">
        <v>14993</v>
      </c>
      <c r="E12147" s="6" t="str">
        <f>HYPERLINK("https://inpn.mnhn.fr/espece/cd_nom/236269","Solierella compedita (Piccioli, 1869)")</f>
        <v>Solierella compedita (Piccioli, 1869)</v>
      </c>
      <c r="AH12147" s="4" t="str">
        <f>HYPERLINK("#Statut_biogéographique!A"&amp;_xlfn.XMATCH("P",Statut_biogéographique!A:A,2,1),"P")</f>
        <v>P</v>
      </c>
      <c r="AP12147" s="4" t="s">
        <v>376</v>
      </c>
      <c r="AR12147" s="4" t="s">
        <v>377</v>
      </c>
    </row>
    <row r="12148" spans="1:44">
      <c r="A12148" s="4" t="s">
        <v>10753</v>
      </c>
      <c r="B12148" s="4">
        <v>236272</v>
      </c>
      <c r="D12148" s="5">
        <v>236272</v>
      </c>
      <c r="E12148" s="6" t="str">
        <f>HYPERLINK("https://inpn.mnhn.fr/espece/cd_nom/236272","Nitela borealis Valkeila, 1974")</f>
        <v>Nitela borealis Valkeila, 1974</v>
      </c>
      <c r="AH12148" s="4" t="str">
        <f>HYPERLINK("#Statut_biogéographique!A"&amp;_xlfn.XMATCH("P",Statut_biogéographique!A:A,2,1),"P")</f>
        <v>P</v>
      </c>
      <c r="AP12148" s="4" t="s">
        <v>376</v>
      </c>
      <c r="AR12148" s="4" t="s">
        <v>377</v>
      </c>
    </row>
    <row r="12149" spans="1:44">
      <c r="A12149" s="4" t="s">
        <v>10753</v>
      </c>
      <c r="B12149" s="4">
        <v>236273</v>
      </c>
      <c r="D12149" s="5">
        <v>236273</v>
      </c>
      <c r="E12149" s="6" t="str">
        <f>HYPERLINK("https://inpn.mnhn.fr/espece/cd_nom/236273","Nitela fallax Kohl, 1884")</f>
        <v>Nitela fallax Kohl, 1884</v>
      </c>
      <c r="AH12149" s="4" t="str">
        <f>HYPERLINK("#Statut_biogéographique!A"&amp;_xlfn.XMATCH("P",Statut_biogéographique!A:A,2,1),"P")</f>
        <v>P</v>
      </c>
      <c r="AP12149" s="4" t="s">
        <v>376</v>
      </c>
      <c r="AR12149" s="4" t="s">
        <v>377</v>
      </c>
    </row>
    <row r="12150" spans="1:44">
      <c r="A12150" s="4" t="s">
        <v>10753</v>
      </c>
      <c r="B12150" s="4">
        <v>236277</v>
      </c>
      <c r="D12150" s="5">
        <v>236277</v>
      </c>
      <c r="E12150" s="6" t="str">
        <f>HYPERLINK("https://inpn.mnhn.fr/espece/cd_nom/236277","Miscophus bicolor Jurine, 1807")</f>
        <v>Miscophus bicolor Jurine, 1807</v>
      </c>
      <c r="AH12150" s="4" t="str">
        <f>HYPERLINK("#Statut_biogéographique!A"&amp;_xlfn.XMATCH("P",Statut_biogéographique!A:A,2,1),"P")</f>
        <v>P</v>
      </c>
      <c r="AP12150" s="4" t="s">
        <v>376</v>
      </c>
      <c r="AR12150" s="4" t="s">
        <v>377</v>
      </c>
    </row>
    <row r="12151" spans="1:44">
      <c r="A12151" s="4" t="s">
        <v>10753</v>
      </c>
      <c r="B12151" s="4">
        <v>236286</v>
      </c>
      <c r="D12151" s="5">
        <v>236286</v>
      </c>
      <c r="E12151" s="6" t="str">
        <f>HYPERLINK("https://inpn.mnhn.fr/espece/cd_nom/236286","Miscophus niger Dahlbom, 1844")</f>
        <v>Miscophus niger Dahlbom, 1844</v>
      </c>
      <c r="AH12151" s="4" t="str">
        <f>HYPERLINK("#Statut_biogéographique!A"&amp;_xlfn.XMATCH("P",Statut_biogéographique!A:A,2,1),"P")</f>
        <v>P</v>
      </c>
      <c r="AP12151" s="4" t="s">
        <v>376</v>
      </c>
      <c r="AR12151" s="4" t="s">
        <v>377</v>
      </c>
    </row>
    <row r="12152" spans="1:44">
      <c r="A12152" s="4" t="s">
        <v>10753</v>
      </c>
      <c r="B12152" s="4">
        <v>236291</v>
      </c>
      <c r="D12152" s="5">
        <v>236291</v>
      </c>
      <c r="E12152" s="6" t="str">
        <f>HYPERLINK("https://inpn.mnhn.fr/espece/cd_nom/236291","Trypoxylon beaumonti Antropov, 1991")</f>
        <v>Trypoxylon beaumonti Antropov, 1991</v>
      </c>
      <c r="AH12152" s="4" t="str">
        <f>HYPERLINK("#Statut_biogéographique!A"&amp;_xlfn.XMATCH("P",Statut_biogéographique!A:A,2,1),"P")</f>
        <v>P</v>
      </c>
      <c r="AP12152" s="4" t="s">
        <v>376</v>
      </c>
      <c r="AR12152" s="4" t="s">
        <v>377</v>
      </c>
    </row>
    <row r="12153" spans="1:44">
      <c r="A12153" s="4" t="s">
        <v>10753</v>
      </c>
      <c r="B12153" s="4">
        <v>236292</v>
      </c>
      <c r="D12153" s="5">
        <v>236292</v>
      </c>
      <c r="E12153" s="6" t="str">
        <f>HYPERLINK("https://inpn.mnhn.fr/espece/cd_nom/236292","Trypoxylon deceptorium Antropov, 1991")</f>
        <v>Trypoxylon deceptorium Antropov, 1991</v>
      </c>
      <c r="AH12153" s="4" t="str">
        <f>HYPERLINK("#Statut_biogéographique!A"&amp;_xlfn.XMATCH("P",Statut_biogéographique!A:A,2,1),"P")</f>
        <v>P</v>
      </c>
      <c r="AP12153" s="4" t="s">
        <v>376</v>
      </c>
      <c r="AR12153" s="4" t="s">
        <v>377</v>
      </c>
    </row>
    <row r="12154" spans="1:44">
      <c r="A12154" s="4" t="s">
        <v>10753</v>
      </c>
      <c r="B12154" s="4">
        <v>236293</v>
      </c>
      <c r="D12154" s="5">
        <v>236293</v>
      </c>
      <c r="E12154" s="6" t="str">
        <f>HYPERLINK("https://inpn.mnhn.fr/espece/cd_nom/236293","Trypoxylon fronticorne Gussakowskij, 1936")</f>
        <v>Trypoxylon fronticorne Gussakowskij, 1936</v>
      </c>
      <c r="AH12154" s="4" t="str">
        <f>HYPERLINK("#Statut_biogéographique!A"&amp;_xlfn.XMATCH("P",Statut_biogéographique!A:A,2,1),"P")</f>
        <v>P</v>
      </c>
      <c r="AP12154" s="4" t="s">
        <v>376</v>
      </c>
      <c r="AR12154" s="4" t="s">
        <v>377</v>
      </c>
    </row>
    <row r="12155" spans="1:44">
      <c r="A12155" s="4" t="s">
        <v>10753</v>
      </c>
      <c r="B12155" s="4">
        <v>236296</v>
      </c>
      <c r="D12155" s="5" t="s">
        <v>14994</v>
      </c>
      <c r="E12155" s="6" t="str">
        <f>HYPERLINK("https://inpn.mnhn.fr/espece/cd_nom/236296","Trypoxylon medium Beaumont, 1945")</f>
        <v>Trypoxylon medium Beaumont, 1945</v>
      </c>
      <c r="AH12155" s="4" t="str">
        <f>HYPERLINK("#Statut_biogéographique!A"&amp;_xlfn.XMATCH("P",Statut_biogéographique!A:A,2,1),"P")</f>
        <v>P</v>
      </c>
      <c r="AP12155" s="4" t="s">
        <v>376</v>
      </c>
      <c r="AR12155" s="4" t="s">
        <v>377</v>
      </c>
    </row>
    <row r="12156" spans="1:44">
      <c r="A12156" s="4" t="s">
        <v>10753</v>
      </c>
      <c r="B12156" s="4">
        <v>236297</v>
      </c>
      <c r="D12156" s="5">
        <v>236297</v>
      </c>
      <c r="E12156" s="6" t="str">
        <f>HYPERLINK("https://inpn.mnhn.fr/espece/cd_nom/236297","Trypoxylon minus Beaumont, 1945")</f>
        <v>Trypoxylon minus Beaumont, 1945</v>
      </c>
      <c r="AH12156" s="4" t="str">
        <f>HYPERLINK("#Statut_biogéographique!A"&amp;_xlfn.XMATCH("P",Statut_biogéographique!A:A,2,1),"P")</f>
        <v>P</v>
      </c>
      <c r="AP12156" s="4" t="s">
        <v>376</v>
      </c>
      <c r="AR12156" s="4" t="s">
        <v>377</v>
      </c>
    </row>
    <row r="12157" spans="1:44">
      <c r="A12157" s="4" t="s">
        <v>10753</v>
      </c>
      <c r="B12157" s="4">
        <v>236298</v>
      </c>
      <c r="D12157" s="5">
        <v>236298</v>
      </c>
      <c r="E12157" s="6" t="str">
        <f>HYPERLINK("https://inpn.mnhn.fr/espece/cd_nom/236298","Trypoxylon scutatum Chevrier, 1867")</f>
        <v>Trypoxylon scutatum Chevrier, 1867</v>
      </c>
      <c r="AH12157" s="4" t="str">
        <f>HYPERLINK("#Statut_biogéographique!A"&amp;_xlfn.XMATCH("P",Statut_biogéographique!A:A,2,1),"P")</f>
        <v>P</v>
      </c>
      <c r="AP12157" s="4" t="s">
        <v>376</v>
      </c>
      <c r="AR12157" s="4" t="s">
        <v>377</v>
      </c>
    </row>
    <row r="12158" spans="1:44">
      <c r="A12158" s="4" t="s">
        <v>10753</v>
      </c>
      <c r="B12158" s="4">
        <v>236299</v>
      </c>
      <c r="D12158" s="5" t="s">
        <v>14995</v>
      </c>
      <c r="E12158" s="6" t="str">
        <f>HYPERLINK("https://inpn.mnhn.fr/espece/cd_nom/236299","Pison atrum (Spinola, 1808)")</f>
        <v>Pison atrum (Spinola, 1808)</v>
      </c>
      <c r="AH12158" s="4" t="str">
        <f>HYPERLINK("#Statut_biogéographique!A"&amp;_xlfn.XMATCH("P",Statut_biogéographique!A:A,2,1),"P")</f>
        <v>P</v>
      </c>
      <c r="AP12158" s="4" t="s">
        <v>376</v>
      </c>
      <c r="AR12158" s="4" t="s">
        <v>377</v>
      </c>
    </row>
    <row r="12159" spans="1:44">
      <c r="A12159" s="4" t="s">
        <v>10753</v>
      </c>
      <c r="B12159" s="4">
        <v>23630</v>
      </c>
      <c r="D12159" s="5">
        <v>23630</v>
      </c>
      <c r="E12159" s="6" t="str">
        <f>HYPERLINK("https://inpn.mnhn.fr/espece/cd_nom/23630","Lonchoptera lutea Panzer, 1809")</f>
        <v>Lonchoptera lutea Panzer, 1809</v>
      </c>
      <c r="AH12159" s="4" t="str">
        <f>HYPERLINK("#Statut_biogéographique!A"&amp;_xlfn.XMATCH("P",Statut_biogéographique!A:A,2,1),"P")</f>
        <v>P</v>
      </c>
      <c r="AP12159" s="4" t="s">
        <v>376</v>
      </c>
      <c r="AR12159" s="4" t="s">
        <v>377</v>
      </c>
    </row>
    <row r="12160" spans="1:44">
      <c r="A12160" s="4" t="s">
        <v>10753</v>
      </c>
      <c r="B12160" s="4">
        <v>236301</v>
      </c>
      <c r="D12160" s="5" t="s">
        <v>14996</v>
      </c>
      <c r="E12160" s="6" t="str">
        <f>HYPERLINK("https://inpn.mnhn.fr/espece/cd_nom/236301","Didineis lunicornis (Fabricius, 1798)")</f>
        <v>Didineis lunicornis (Fabricius, 1798)</v>
      </c>
      <c r="AH12160" s="4" t="str">
        <f>HYPERLINK("#Statut_biogéographique!A"&amp;_xlfn.XMATCH("P",Statut_biogéographique!A:A,2,1),"P")</f>
        <v>P</v>
      </c>
      <c r="AP12160" s="4" t="s">
        <v>376</v>
      </c>
      <c r="AR12160" s="4" t="s">
        <v>377</v>
      </c>
    </row>
    <row r="12161" spans="1:44">
      <c r="A12161" s="4" t="s">
        <v>10753</v>
      </c>
      <c r="B12161" s="4">
        <v>236303</v>
      </c>
      <c r="D12161" s="5" t="s">
        <v>14997</v>
      </c>
      <c r="E12161" s="6" t="str">
        <f>HYPERLINK("https://inpn.mnhn.fr/espece/cd_nom/236303","Alysson ratzeburgi Dahlbom, 1843")</f>
        <v>Alysson ratzeburgi Dahlbom, 1843</v>
      </c>
      <c r="AH12161" s="4" t="str">
        <f>HYPERLINK("#Statut_biogéographique!A"&amp;_xlfn.XMATCH("P",Statut_biogéographique!A:A,2,1),"P")</f>
        <v>P</v>
      </c>
      <c r="AP12161" s="4" t="s">
        <v>376</v>
      </c>
      <c r="AR12161" s="4" t="s">
        <v>377</v>
      </c>
    </row>
    <row r="12162" spans="1:44">
      <c r="A12162" s="4" t="s">
        <v>10753</v>
      </c>
      <c r="B12162" s="4">
        <v>236304</v>
      </c>
      <c r="D12162" s="5" t="s">
        <v>14998</v>
      </c>
      <c r="E12162" s="6" t="str">
        <f>HYPERLINK("https://inpn.mnhn.fr/espece/cd_nom/236304","Alysson spinosus (Panzer, 1801)")</f>
        <v>Alysson spinosus (Panzer, 1801)</v>
      </c>
      <c r="AH12162" s="4" t="str">
        <f>HYPERLINK("#Statut_biogéographique!A"&amp;_xlfn.XMATCH("P",Statut_biogéographique!A:A,2,1),"P")</f>
        <v>P</v>
      </c>
      <c r="AP12162" s="4" t="s">
        <v>376</v>
      </c>
      <c r="AR12162" s="4" t="s">
        <v>377</v>
      </c>
    </row>
    <row r="12163" spans="1:44">
      <c r="A12163" s="4" t="s">
        <v>10753</v>
      </c>
      <c r="B12163" s="4">
        <v>236319</v>
      </c>
      <c r="D12163" s="5" t="s">
        <v>14999</v>
      </c>
      <c r="E12163" s="6" t="str">
        <f>HYPERLINK("https://inpn.mnhn.fr/espece/cd_nom/236319","Lestiphorus bicinctus (Rossi, 1794)")</f>
        <v>Lestiphorus bicinctus (Rossi, 1794)</v>
      </c>
      <c r="AH12163" s="4" t="str">
        <f>HYPERLINK("#Statut_biogéographique!A"&amp;_xlfn.XMATCH("P",Statut_biogéographique!A:A,2,1),"P")</f>
        <v>P</v>
      </c>
      <c r="AP12163" s="4" t="s">
        <v>376</v>
      </c>
      <c r="AR12163" s="4" t="s">
        <v>377</v>
      </c>
    </row>
    <row r="12164" spans="1:44" ht="30">
      <c r="A12164" s="4" t="s">
        <v>10753</v>
      </c>
      <c r="B12164" s="4">
        <v>236323</v>
      </c>
      <c r="D12164" s="5" t="s">
        <v>15000</v>
      </c>
      <c r="E12164" s="6" t="str">
        <f>HYPERLINK("https://inpn.mnhn.fr/espece/cd_nom/236323","Hoplisoides punctuosus (Eversmann, 1849)")</f>
        <v>Hoplisoides punctuosus (Eversmann, 1849)</v>
      </c>
      <c r="AH12164" s="4" t="str">
        <f>HYPERLINK("#Statut_biogéographique!A"&amp;_xlfn.XMATCH("P",Statut_biogéographique!A:A,2,1),"P")</f>
        <v>P</v>
      </c>
      <c r="AP12164" s="4" t="s">
        <v>376</v>
      </c>
      <c r="AR12164" s="4" t="s">
        <v>377</v>
      </c>
    </row>
    <row r="12165" spans="1:44">
      <c r="A12165" s="4" t="s">
        <v>10753</v>
      </c>
      <c r="B12165" s="4">
        <v>236324</v>
      </c>
      <c r="D12165" s="5" t="s">
        <v>15001</v>
      </c>
      <c r="E12165" s="6" t="str">
        <f>HYPERLINK("https://inpn.mnhn.fr/espece/cd_nom/236324","Harpactus affinis (Spinola, 1808)")</f>
        <v>Harpactus affinis (Spinola, 1808)</v>
      </c>
      <c r="AH12165" s="4" t="str">
        <f>HYPERLINK("#Statut_biogéographique!A"&amp;_xlfn.XMATCH("P",Statut_biogéographique!A:A,2,1),"P")</f>
        <v>P</v>
      </c>
      <c r="AP12165" s="4" t="s">
        <v>376</v>
      </c>
      <c r="AR12165" s="4" t="s">
        <v>377</v>
      </c>
    </row>
    <row r="12166" spans="1:44" ht="30">
      <c r="A12166" s="4" t="s">
        <v>10753</v>
      </c>
      <c r="B12166" s="4">
        <v>236327</v>
      </c>
      <c r="D12166" s="5" t="s">
        <v>15002</v>
      </c>
      <c r="E12166" s="6" t="str">
        <f>HYPERLINK("https://inpn.mnhn.fr/espece/cd_nom/236327","Harpactus elegans (Lepeletier de Saint Fargeau, 1832)")</f>
        <v>Harpactus elegans (Lepeletier de Saint Fargeau, 1832)</v>
      </c>
      <c r="AH12166" s="4" t="str">
        <f>HYPERLINK("#Statut_biogéographique!A"&amp;_xlfn.XMATCH("P",Statut_biogéographique!A:A,2,1),"P")</f>
        <v>P</v>
      </c>
      <c r="AP12166" s="4" t="s">
        <v>376</v>
      </c>
      <c r="AR12166" s="4" t="s">
        <v>377</v>
      </c>
    </row>
    <row r="12167" spans="1:44">
      <c r="A12167" s="4" t="s">
        <v>10753</v>
      </c>
      <c r="B12167" s="4">
        <v>236328</v>
      </c>
      <c r="D12167" s="5">
        <v>236328</v>
      </c>
      <c r="E12167" s="6" t="str">
        <f>HYPERLINK("https://inpn.mnhn.fr/espece/cd_nom/236328","Harpactus exiguus (Handlirsch, 1888)")</f>
        <v>Harpactus exiguus (Handlirsch, 1888)</v>
      </c>
      <c r="AH12167" s="4" t="str">
        <f>HYPERLINK("#Statut_biogéographique!A"&amp;_xlfn.XMATCH("P",Statut_biogéographique!A:A,2,1),"P")</f>
        <v>P</v>
      </c>
      <c r="AP12167" s="4" t="s">
        <v>376</v>
      </c>
      <c r="AR12167" s="4" t="s">
        <v>377</v>
      </c>
    </row>
    <row r="12168" spans="1:44">
      <c r="A12168" s="4" t="s">
        <v>10753</v>
      </c>
      <c r="B12168" s="4">
        <v>236330</v>
      </c>
      <c r="D12168" s="5" t="s">
        <v>15003</v>
      </c>
      <c r="E12168" s="6" t="str">
        <f>HYPERLINK("https://inpn.mnhn.fr/espece/cd_nom/236330","Harpactus formosus (Jurine, 1807)")</f>
        <v>Harpactus formosus (Jurine, 1807)</v>
      </c>
      <c r="AH12168" s="4" t="str">
        <f>HYPERLINK("#Statut_biogéographique!A"&amp;_xlfn.XMATCH("P",Statut_biogéographique!A:A,2,1),"P")</f>
        <v>P</v>
      </c>
      <c r="AP12168" s="4" t="s">
        <v>376</v>
      </c>
      <c r="AR12168" s="4" t="s">
        <v>377</v>
      </c>
    </row>
    <row r="12169" spans="1:44">
      <c r="A12169" s="4" t="s">
        <v>10753</v>
      </c>
      <c r="B12169" s="4">
        <v>236331</v>
      </c>
      <c r="D12169" s="5" t="s">
        <v>15004</v>
      </c>
      <c r="E12169" s="6" t="str">
        <f>HYPERLINK("https://inpn.mnhn.fr/espece/cd_nom/236331","Harpactus laevis (Latreille, 1792)")</f>
        <v>Harpactus laevis (Latreille, 1792)</v>
      </c>
      <c r="AH12169" s="4" t="str">
        <f>HYPERLINK("#Statut_biogéographique!A"&amp;_xlfn.XMATCH("P",Statut_biogéographique!A:A,2,1),"P")</f>
        <v>P</v>
      </c>
      <c r="AP12169" s="4" t="s">
        <v>376</v>
      </c>
      <c r="AR12169" s="4" t="s">
        <v>377</v>
      </c>
    </row>
    <row r="12170" spans="1:44">
      <c r="A12170" s="4" t="s">
        <v>10753</v>
      </c>
      <c r="B12170" s="4">
        <v>236336</v>
      </c>
      <c r="D12170" s="5" t="s">
        <v>15005</v>
      </c>
      <c r="E12170" s="6" t="str">
        <f>HYPERLINK("https://inpn.mnhn.fr/espece/cd_nom/236336","Harpactus tumidus (Panzer, 1801)")</f>
        <v>Harpactus tumidus (Panzer, 1801)</v>
      </c>
      <c r="AH12170" s="4" t="str">
        <f>HYPERLINK("#Statut_biogéographique!A"&amp;_xlfn.XMATCH("P",Statut_biogéographique!A:A,2,1),"P")</f>
        <v>P</v>
      </c>
      <c r="AP12170" s="4" t="s">
        <v>376</v>
      </c>
      <c r="AR12170" s="4" t="s">
        <v>377</v>
      </c>
    </row>
    <row r="12171" spans="1:44">
      <c r="A12171" s="4" t="s">
        <v>10753</v>
      </c>
      <c r="B12171" s="4">
        <v>236338</v>
      </c>
      <c r="D12171" s="5">
        <v>236338</v>
      </c>
      <c r="E12171" s="6" t="str">
        <f>HYPERLINK("https://inpn.mnhn.fr/espece/cd_nom/236338","Gorytes fallax Handlirsch, 1888")</f>
        <v>Gorytes fallax Handlirsch, 1888</v>
      </c>
      <c r="AH12171" s="4" t="str">
        <f>HYPERLINK("#Statut_biogéographique!A"&amp;_xlfn.XMATCH("P",Statut_biogéographique!A:A,2,1),"P")</f>
        <v>P</v>
      </c>
      <c r="AP12171" s="4" t="s">
        <v>376</v>
      </c>
      <c r="AR12171" s="4" t="s">
        <v>377</v>
      </c>
    </row>
    <row r="12172" spans="1:44">
      <c r="A12172" s="4" t="s">
        <v>10753</v>
      </c>
      <c r="B12172" s="4">
        <v>236341</v>
      </c>
      <c r="D12172" s="5" t="s">
        <v>15006</v>
      </c>
      <c r="E12172" s="6" t="str">
        <f>HYPERLINK("https://inpn.mnhn.fr/espece/cd_nom/236341","Gorytes quinquefasciatus (Panzer, 1798)")</f>
        <v>Gorytes quinquefasciatus (Panzer, 1798)</v>
      </c>
      <c r="AH12172" s="4" t="str">
        <f>HYPERLINK("#Statut_biogéographique!A"&amp;_xlfn.XMATCH("P",Statut_biogéographique!A:A,2,1),"P")</f>
        <v>P</v>
      </c>
      <c r="AP12172" s="4" t="s">
        <v>376</v>
      </c>
      <c r="AR12172" s="4" t="s">
        <v>377</v>
      </c>
    </row>
    <row r="12173" spans="1:44">
      <c r="A12173" s="4" t="s">
        <v>10753</v>
      </c>
      <c r="B12173" s="4">
        <v>236344</v>
      </c>
      <c r="D12173" s="5" t="s">
        <v>15007</v>
      </c>
      <c r="E12173" s="6" t="str">
        <f>HYPERLINK("https://inpn.mnhn.fr/espece/cd_nom/236344","Argogorytes fargeii (Shuckard, 1837)")</f>
        <v>Argogorytes fargeii (Shuckard, 1837)</v>
      </c>
      <c r="AH12173" s="4" t="str">
        <f>HYPERLINK("#Statut_biogéographique!A"&amp;_xlfn.XMATCH("P",Statut_biogéographique!A:A,2,1),"P")</f>
        <v>P</v>
      </c>
      <c r="AP12173" s="4" t="s">
        <v>376</v>
      </c>
      <c r="AR12173" s="4" t="s">
        <v>377</v>
      </c>
    </row>
    <row r="12174" spans="1:44">
      <c r="A12174" s="4" t="s">
        <v>10753</v>
      </c>
      <c r="B12174" s="4">
        <v>236349</v>
      </c>
      <c r="D12174" s="5" t="s">
        <v>15008</v>
      </c>
      <c r="E12174" s="6" t="str">
        <f>HYPERLINK("https://inpn.mnhn.fr/espece/cd_nom/236349","Bembix rostrata (Linnaeus, 1758)")</f>
        <v>Bembix rostrata (Linnaeus, 1758)</v>
      </c>
      <c r="AH12174" s="4" t="str">
        <f>HYPERLINK("#Statut_biogéographique!A"&amp;_xlfn.XMATCH("P",Statut_biogéographique!A:A,2,1),"P")</f>
        <v>P</v>
      </c>
      <c r="AP12174" s="4" t="s">
        <v>376</v>
      </c>
      <c r="AR12174" s="4" t="s">
        <v>377</v>
      </c>
    </row>
    <row r="12175" spans="1:44">
      <c r="A12175" s="4" t="s">
        <v>10753</v>
      </c>
      <c r="B12175" s="4">
        <v>236354</v>
      </c>
      <c r="D12175" s="5">
        <v>236354</v>
      </c>
      <c r="E12175" s="6" t="str">
        <f>HYPERLINK("https://inpn.mnhn.fr/espece/cd_nom/236354","Bembecinus hungaricus (Frivaldszky, 1876)")</f>
        <v>Bembecinus hungaricus (Frivaldszky, 1876)</v>
      </c>
      <c r="AH12175" s="4" t="str">
        <f>HYPERLINK("#Statut_biogéographique!A"&amp;_xlfn.XMATCH("P",Statut_biogéographique!A:A,2,1),"P")</f>
        <v>P</v>
      </c>
      <c r="AP12175" s="4" t="s">
        <v>376</v>
      </c>
      <c r="AR12175" s="4" t="s">
        <v>377</v>
      </c>
    </row>
    <row r="12176" spans="1:44">
      <c r="A12176" s="4" t="s">
        <v>10753</v>
      </c>
      <c r="B12176" s="4">
        <v>236356</v>
      </c>
      <c r="D12176" s="5">
        <v>236356</v>
      </c>
      <c r="E12176" s="6" t="str">
        <f>HYPERLINK("https://inpn.mnhn.fr/espece/cd_nom/236356","Nysson dimidiatus Jurine, 1807")</f>
        <v>Nysson dimidiatus Jurine, 1807</v>
      </c>
      <c r="AH12176" s="4" t="str">
        <f>HYPERLINK("#Statut_biogéographique!A"&amp;_xlfn.XMATCH("P",Statut_biogéographique!A:A,2,1),"P")</f>
        <v>P</v>
      </c>
      <c r="AP12176" s="4" t="s">
        <v>376</v>
      </c>
      <c r="AR12176" s="4" t="s">
        <v>377</v>
      </c>
    </row>
    <row r="12177" spans="1:44">
      <c r="A12177" s="4" t="s">
        <v>10753</v>
      </c>
      <c r="B12177" s="4">
        <v>236360</v>
      </c>
      <c r="D12177" s="5">
        <v>236360</v>
      </c>
      <c r="E12177" s="6" t="str">
        <f>HYPERLINK("https://inpn.mnhn.fr/espece/cd_nom/236360","Nysson interruptus (Fabricius, 1798)")</f>
        <v>Nysson interruptus (Fabricius, 1798)</v>
      </c>
      <c r="AH12177" s="4" t="str">
        <f>HYPERLINK("#Statut_biogéographique!A"&amp;_xlfn.XMATCH("P",Statut_biogéographique!A:A,2,1),"P")</f>
        <v>P</v>
      </c>
      <c r="AP12177" s="4" t="s">
        <v>376</v>
      </c>
      <c r="AR12177" s="4" t="s">
        <v>377</v>
      </c>
    </row>
    <row r="12178" spans="1:44">
      <c r="A12178" s="4" t="s">
        <v>10753</v>
      </c>
      <c r="B12178" s="4">
        <v>236361</v>
      </c>
      <c r="D12178" s="5">
        <v>236361</v>
      </c>
      <c r="E12178" s="6" t="str">
        <f>HYPERLINK("https://inpn.mnhn.fr/espece/cd_nom/236361","Nysson mimulus Valkeila, 1964")</f>
        <v>Nysson mimulus Valkeila, 1964</v>
      </c>
      <c r="AH12178" s="4" t="str">
        <f>HYPERLINK("#Statut_biogéographique!A"&amp;_xlfn.XMATCH("P",Statut_biogéographique!A:A,2,1),"P")</f>
        <v>P</v>
      </c>
      <c r="AP12178" s="4" t="s">
        <v>376</v>
      </c>
      <c r="AR12178" s="4" t="s">
        <v>377</v>
      </c>
    </row>
    <row r="12179" spans="1:44">
      <c r="A12179" s="4" t="s">
        <v>10753</v>
      </c>
      <c r="B12179" s="4">
        <v>236362</v>
      </c>
      <c r="D12179" s="5">
        <v>236362</v>
      </c>
      <c r="E12179" s="6" t="str">
        <f>HYPERLINK("https://inpn.mnhn.fr/espece/cd_nom/236362","Nysson niger Chevrier, 1868")</f>
        <v>Nysson niger Chevrier, 1868</v>
      </c>
      <c r="AH12179" s="4" t="str">
        <f>HYPERLINK("#Statut_biogéographique!A"&amp;_xlfn.XMATCH("P",Statut_biogéographique!A:A,2,1),"P")</f>
        <v>P</v>
      </c>
      <c r="AP12179" s="4" t="s">
        <v>376</v>
      </c>
      <c r="AR12179" s="4" t="s">
        <v>377</v>
      </c>
    </row>
    <row r="12180" spans="1:44">
      <c r="A12180" s="4" t="s">
        <v>10753</v>
      </c>
      <c r="B12180" s="4">
        <v>236365</v>
      </c>
      <c r="D12180" s="5">
        <v>236365</v>
      </c>
      <c r="E12180" s="6" t="str">
        <f>HYPERLINK("https://inpn.mnhn.fr/espece/cd_nom/236365","Nysson tridens Gerstäcker, 1867")</f>
        <v>Nysson tridens Gerstäcker, 1867</v>
      </c>
      <c r="AH12180" s="4" t="str">
        <f>HYPERLINK("#Statut_biogéographique!A"&amp;_xlfn.XMATCH("P",Statut_biogéographique!A:A,2,1),"P")</f>
        <v>P</v>
      </c>
      <c r="AP12180" s="4" t="s">
        <v>376</v>
      </c>
      <c r="AR12180" s="4" t="s">
        <v>377</v>
      </c>
    </row>
    <row r="12181" spans="1:44">
      <c r="A12181" s="4" t="s">
        <v>10753</v>
      </c>
      <c r="B12181" s="4">
        <v>236369</v>
      </c>
      <c r="D12181" s="5">
        <v>236369</v>
      </c>
      <c r="E12181" s="6" t="str">
        <f>HYPERLINK("https://inpn.mnhn.fr/espece/cd_nom/236369","Brachystegus scalaris (Illiger, 1807)")</f>
        <v>Brachystegus scalaris (Illiger, 1807)</v>
      </c>
      <c r="AH12181" s="4" t="str">
        <f>HYPERLINK("#Statut_biogéographique!A"&amp;_xlfn.XMATCH("P",Statut_biogéographique!A:A,2,1),"P")</f>
        <v>P</v>
      </c>
      <c r="AP12181" s="4" t="s">
        <v>376</v>
      </c>
      <c r="AR12181" s="4" t="s">
        <v>377</v>
      </c>
    </row>
    <row r="12182" spans="1:44">
      <c r="A12182" s="4" t="s">
        <v>10753</v>
      </c>
      <c r="B12182" s="4">
        <v>236379</v>
      </c>
      <c r="D12182" s="5">
        <v>236379</v>
      </c>
      <c r="E12182" s="6" t="str">
        <f>HYPERLINK("https://inpn.mnhn.fr/espece/cd_nom/236379","Astata kashmirensis Nurse, 1909")</f>
        <v>Astata kashmirensis Nurse, 1909</v>
      </c>
      <c r="AH12182" s="4" t="str">
        <f>HYPERLINK("#Statut_biogéographique!A"&amp;_xlfn.XMATCH("P",Statut_biogéographique!A:A,2,1),"P")</f>
        <v>P</v>
      </c>
      <c r="AP12182" s="4" t="s">
        <v>376</v>
      </c>
      <c r="AR12182" s="4" t="s">
        <v>377</v>
      </c>
    </row>
    <row r="12183" spans="1:44">
      <c r="A12183" s="4" t="s">
        <v>10753</v>
      </c>
      <c r="B12183" s="4">
        <v>236381</v>
      </c>
      <c r="D12183" s="5">
        <v>236381</v>
      </c>
      <c r="E12183" s="6" t="str">
        <f>HYPERLINK("https://inpn.mnhn.fr/espece/cd_nom/236381","Astata minor Kohl, 1885")</f>
        <v>Astata minor Kohl, 1885</v>
      </c>
      <c r="AH12183" s="4" t="str">
        <f>HYPERLINK("#Statut_biogéographique!A"&amp;_xlfn.XMATCH("P",Statut_biogéographique!A:A,2,1),"P")</f>
        <v>P</v>
      </c>
      <c r="AP12183" s="4" t="s">
        <v>376</v>
      </c>
      <c r="AR12183" s="4" t="s">
        <v>377</v>
      </c>
    </row>
    <row r="12184" spans="1:44">
      <c r="A12184" s="4" t="s">
        <v>10753</v>
      </c>
      <c r="B12184" s="4">
        <v>23639</v>
      </c>
      <c r="D12184" s="5">
        <v>23639</v>
      </c>
      <c r="E12184" s="6" t="str">
        <f>HYPERLINK("https://inpn.mnhn.fr/espece/cd_nom/23639","Lonchoptera tristis Meigen, 1824")</f>
        <v>Lonchoptera tristis Meigen, 1824</v>
      </c>
      <c r="AH12184" s="4" t="str">
        <f>HYPERLINK("#Statut_biogéographique!A"&amp;_xlfn.XMATCH("P",Statut_biogéographique!A:A,2,1),"P")</f>
        <v>P</v>
      </c>
      <c r="AP12184" s="4" t="s">
        <v>376</v>
      </c>
      <c r="AR12184" s="4" t="s">
        <v>377</v>
      </c>
    </row>
    <row r="12185" spans="1:44">
      <c r="A12185" s="4" t="s">
        <v>10753</v>
      </c>
      <c r="B12185" s="4">
        <v>236407</v>
      </c>
      <c r="D12185" s="5" t="s">
        <v>15009</v>
      </c>
      <c r="E12185" s="6" t="str">
        <f>HYPERLINK("https://inpn.mnhn.fr/espece/cd_nom/236407","Pediaspis aceris (Gmelin, 1790)")</f>
        <v>Pediaspis aceris (Gmelin, 1790)</v>
      </c>
      <c r="AH12185" s="4" t="str">
        <f>HYPERLINK("#Statut_biogéographique!A"&amp;_xlfn.XMATCH("P",Statut_biogéographique!A:A,2,1),"P")</f>
        <v>P</v>
      </c>
      <c r="AP12185" s="4" t="s">
        <v>376</v>
      </c>
      <c r="AR12185" s="4" t="s">
        <v>377</v>
      </c>
    </row>
    <row r="12186" spans="1:44">
      <c r="A12186" s="4" t="s">
        <v>10753</v>
      </c>
      <c r="B12186" s="4">
        <v>236411</v>
      </c>
      <c r="D12186" s="5" t="s">
        <v>15010</v>
      </c>
      <c r="E12186" s="6" t="str">
        <f>HYPERLINK("https://inpn.mnhn.fr/espece/cd_nom/236411","Diplolepis rosae (Linnaeus, 1758)")</f>
        <v>Diplolepis rosae (Linnaeus, 1758)</v>
      </c>
      <c r="F12186" s="5" t="s">
        <v>15011</v>
      </c>
      <c r="AH12186" s="4" t="str">
        <f>HYPERLINK("#Statut_biogéographique!A"&amp;_xlfn.XMATCH("P",Statut_biogéographique!A:A,2,1),"P")</f>
        <v>P</v>
      </c>
      <c r="AP12186" s="4" t="s">
        <v>376</v>
      </c>
      <c r="AR12186" s="4" t="s">
        <v>377</v>
      </c>
    </row>
    <row r="12187" spans="1:44">
      <c r="A12187" s="4" t="s">
        <v>10753</v>
      </c>
      <c r="B12187" s="4">
        <v>23642</v>
      </c>
      <c r="D12187" s="5" t="s">
        <v>15012</v>
      </c>
      <c r="E12187" s="6" t="str">
        <f>HYPERLINK("https://inpn.mnhn.fr/espece/cd_nom/23642","Agathomyia antennata (Zetterstedt, 1819)")</f>
        <v>Agathomyia antennata (Zetterstedt, 1819)</v>
      </c>
      <c r="AH12187" s="4" t="str">
        <f>HYPERLINK("#Statut_biogéographique!A"&amp;_xlfn.XMATCH("P",Statut_biogéographique!A:A,2,1),"P")</f>
        <v>P</v>
      </c>
      <c r="AP12187" s="4" t="s">
        <v>376</v>
      </c>
      <c r="AR12187" s="4" t="s">
        <v>377</v>
      </c>
    </row>
    <row r="12188" spans="1:44" ht="75">
      <c r="A12188" s="4" t="s">
        <v>10753</v>
      </c>
      <c r="B12188" s="4">
        <v>236429</v>
      </c>
      <c r="D12188" s="5" t="s">
        <v>15013</v>
      </c>
      <c r="E12188" s="6" t="str">
        <f>HYPERLINK("https://inpn.mnhn.fr/espece/cd_nom/236429","Neuroterus quercusbaccarum (Linnaeus, 1758)")</f>
        <v>Neuroterus quercusbaccarum (Linnaeus, 1758)</v>
      </c>
      <c r="F12188" s="5" t="s">
        <v>15014</v>
      </c>
      <c r="AH12188" s="4" t="str">
        <f>HYPERLINK("#Statut_biogéographique!A"&amp;_xlfn.XMATCH("P",Statut_biogéographique!A:A,2,1),"P")</f>
        <v>P</v>
      </c>
      <c r="AP12188" s="4" t="s">
        <v>376</v>
      </c>
      <c r="AR12188" s="4" t="s">
        <v>377</v>
      </c>
    </row>
    <row r="12189" spans="1:44">
      <c r="A12189" s="4" t="s">
        <v>10753</v>
      </c>
      <c r="B12189" s="4">
        <v>236437</v>
      </c>
      <c r="D12189" s="5" t="s">
        <v>15015</v>
      </c>
      <c r="E12189" s="6" t="str">
        <f>HYPERLINK("https://inpn.mnhn.fr/espece/cd_nom/236437","Cynips longiventris Hartig, 1840")</f>
        <v>Cynips longiventris Hartig, 1840</v>
      </c>
      <c r="AH12189" s="4" t="str">
        <f>HYPERLINK("#Statut_biogéographique!A"&amp;_xlfn.XMATCH("P",Statut_biogéographique!A:A,2,1),"P")</f>
        <v>P</v>
      </c>
      <c r="AP12189" s="4" t="s">
        <v>376</v>
      </c>
      <c r="AR12189" s="4" t="s">
        <v>377</v>
      </c>
    </row>
    <row r="12190" spans="1:44" ht="30">
      <c r="A12190" s="4" t="s">
        <v>10753</v>
      </c>
      <c r="B12190" s="4">
        <v>236439</v>
      </c>
      <c r="D12190" s="5" t="s">
        <v>15016</v>
      </c>
      <c r="E12190" s="6" t="str">
        <f>HYPERLINK("https://inpn.mnhn.fr/espece/cd_nom/236439","Cynips quercusfolii Linnaeus, 1758")</f>
        <v>Cynips quercusfolii Linnaeus, 1758</v>
      </c>
      <c r="AH12190" s="4" t="str">
        <f>HYPERLINK("#Statut_biogéographique!A"&amp;_xlfn.XMATCH("P",Statut_biogéographique!A:A,2,1),"P")</f>
        <v>P</v>
      </c>
      <c r="AP12190" s="4" t="s">
        <v>376</v>
      </c>
      <c r="AR12190" s="4" t="s">
        <v>377</v>
      </c>
    </row>
    <row r="12191" spans="1:44" ht="30">
      <c r="A12191" s="4" t="s">
        <v>10753</v>
      </c>
      <c r="B12191" s="4">
        <v>236443</v>
      </c>
      <c r="D12191" s="5" t="s">
        <v>15017</v>
      </c>
      <c r="E12191" s="6" t="str">
        <f>HYPERLINK("https://inpn.mnhn.fr/espece/cd_nom/236443","Biorhiza pallida (Olivier, 1791)")</f>
        <v>Biorhiza pallida (Olivier, 1791)</v>
      </c>
      <c r="F12191" s="5" t="s">
        <v>15018</v>
      </c>
      <c r="AH12191" s="4" t="str">
        <f>HYPERLINK("#Statut_biogéographique!A"&amp;_xlfn.XMATCH("P",Statut_biogéographique!A:A,2,1),"P")</f>
        <v>P</v>
      </c>
      <c r="AP12191" s="4" t="s">
        <v>376</v>
      </c>
      <c r="AR12191" s="4" t="s">
        <v>377</v>
      </c>
    </row>
    <row r="12192" spans="1:44">
      <c r="A12192" s="4" t="s">
        <v>10753</v>
      </c>
      <c r="B12192" s="4">
        <v>236477</v>
      </c>
      <c r="D12192" s="5" t="s">
        <v>15019</v>
      </c>
      <c r="E12192" s="6" t="str">
        <f>HYPERLINK("https://inpn.mnhn.fr/espece/cd_nom/236477","Andricus quercuscalicis (Burgsdorff, 1783)")</f>
        <v>Andricus quercuscalicis (Burgsdorff, 1783)</v>
      </c>
      <c r="AH12192" s="4" t="str">
        <f>HYPERLINK("#Statut_biogéographique!A"&amp;_xlfn.XMATCH("P",Statut_biogéographique!A:A,2,1),"P")</f>
        <v>P</v>
      </c>
      <c r="AP12192" s="4" t="s">
        <v>376</v>
      </c>
      <c r="AR12192" s="4" t="s">
        <v>377</v>
      </c>
    </row>
    <row r="12193" spans="1:44" ht="30">
      <c r="A12193" s="4" t="s">
        <v>10753</v>
      </c>
      <c r="B12193" s="4">
        <v>236487</v>
      </c>
      <c r="D12193" s="5" t="s">
        <v>15020</v>
      </c>
      <c r="E12193" s="6" t="str">
        <f>HYPERLINK("https://inpn.mnhn.fr/espece/cd_nom/236487","Andricus solitarius (Boyer de Fonscolombe, 1832)")</f>
        <v>Andricus solitarius (Boyer de Fonscolombe, 1832)</v>
      </c>
      <c r="AH12193" s="4" t="str">
        <f>HYPERLINK("#Statut_biogéographique!A"&amp;_xlfn.XMATCH("P",Statut_biogéographique!A:A,2,1),"P")</f>
        <v>P</v>
      </c>
      <c r="AP12193" s="4" t="s">
        <v>376</v>
      </c>
      <c r="AR12193" s="4" t="s">
        <v>377</v>
      </c>
    </row>
    <row r="12194" spans="1:44" ht="30">
      <c r="A12194" s="4" t="s">
        <v>10753</v>
      </c>
      <c r="B12194" s="4">
        <v>236520</v>
      </c>
      <c r="D12194" s="5" t="s">
        <v>15021</v>
      </c>
      <c r="E12194" s="6" t="str">
        <f>HYPERLINK("https://inpn.mnhn.fr/espece/cd_nom/236520","Homonotus sanguinolentus (Fabricius, 1793)")</f>
        <v>Homonotus sanguinolentus (Fabricius, 1793)</v>
      </c>
      <c r="AH12194" s="4" t="str">
        <f>HYPERLINK("#Statut_biogéographique!A"&amp;_xlfn.XMATCH("D",Statut_biogéographique!A:A,2,1),"D")</f>
        <v>D</v>
      </c>
      <c r="AP12194" s="4" t="s">
        <v>376</v>
      </c>
      <c r="AR12194" s="4" t="s">
        <v>377</v>
      </c>
    </row>
    <row r="12195" spans="1:44">
      <c r="A12195" s="4" t="s">
        <v>10753</v>
      </c>
      <c r="B12195" s="4">
        <v>236531</v>
      </c>
      <c r="D12195" s="5" t="s">
        <v>15022</v>
      </c>
      <c r="E12195" s="6" t="str">
        <f>HYPERLINK("https://inpn.mnhn.fr/espece/cd_nom/236531","Nanoclavelia leucoptera (Dahlbom, 1843)")</f>
        <v>Nanoclavelia leucoptera (Dahlbom, 1843)</v>
      </c>
      <c r="AH12195" s="4" t="str">
        <f>HYPERLINK("#Statut_biogéographique!A"&amp;_xlfn.XMATCH("P",Statut_biogéographique!A:A,2,1),"P")</f>
        <v>P</v>
      </c>
      <c r="AP12195" s="4" t="s">
        <v>376</v>
      </c>
      <c r="AR12195" s="4" t="s">
        <v>377</v>
      </c>
    </row>
    <row r="12196" spans="1:44">
      <c r="A12196" s="4" t="s">
        <v>10753</v>
      </c>
      <c r="B12196" s="4">
        <v>236533</v>
      </c>
      <c r="D12196" s="5" t="s">
        <v>15023</v>
      </c>
      <c r="E12196" s="6" t="str">
        <f>HYPERLINK("https://inpn.mnhn.fr/espece/cd_nom/236533","Evagetes alamannicus (Blüthgen, 1944)")</f>
        <v>Evagetes alamannicus (Blüthgen, 1944)</v>
      </c>
      <c r="AH12196" s="4" t="str">
        <f>HYPERLINK("#Statut_biogéographique!A"&amp;_xlfn.XMATCH("P",Statut_biogéographique!A:A,2,1),"P")</f>
        <v>P</v>
      </c>
      <c r="AP12196" s="4" t="s">
        <v>376</v>
      </c>
      <c r="AR12196" s="4" t="s">
        <v>377</v>
      </c>
    </row>
    <row r="12197" spans="1:44" ht="30">
      <c r="A12197" s="4" t="s">
        <v>10753</v>
      </c>
      <c r="B12197" s="4">
        <v>236534</v>
      </c>
      <c r="D12197" s="5" t="s">
        <v>15024</v>
      </c>
      <c r="E12197" s="6" t="str">
        <f>HYPERLINK("https://inpn.mnhn.fr/espece/cd_nom/236534","Evagetes crassicornis (Shuckard, 1837)")</f>
        <v>Evagetes crassicornis (Shuckard, 1837)</v>
      </c>
      <c r="AH12197" s="4" t="str">
        <f>HYPERLINK("#Statut_biogéographique!A"&amp;_xlfn.XMATCH("P",Statut_biogéographique!A:A,2,1),"P")</f>
        <v>P</v>
      </c>
      <c r="AP12197" s="4" t="s">
        <v>376</v>
      </c>
      <c r="AR12197" s="4" t="s">
        <v>377</v>
      </c>
    </row>
    <row r="12198" spans="1:44" ht="30">
      <c r="A12198" s="4" t="s">
        <v>10753</v>
      </c>
      <c r="B12198" s="4">
        <v>236537</v>
      </c>
      <c r="D12198" s="5" t="s">
        <v>15025</v>
      </c>
      <c r="E12198" s="6" t="str">
        <f>HYPERLINK("https://inpn.mnhn.fr/espece/cd_nom/236537","Evagetes gibbulus (Lepeletier, 1845)")</f>
        <v>Evagetes gibbulus (Lepeletier, 1845)</v>
      </c>
      <c r="AH12198" s="4" t="str">
        <f>HYPERLINK("#Statut_biogéographique!A"&amp;_xlfn.XMATCH("P",Statut_biogéographique!A:A,2,1),"P")</f>
        <v>P</v>
      </c>
      <c r="AP12198" s="4" t="s">
        <v>376</v>
      </c>
      <c r="AR12198" s="4" t="s">
        <v>377</v>
      </c>
    </row>
    <row r="12199" spans="1:44">
      <c r="A12199" s="4" t="s">
        <v>10753</v>
      </c>
      <c r="B12199" s="4">
        <v>23654</v>
      </c>
      <c r="D12199" s="5">
        <v>23654</v>
      </c>
      <c r="E12199" s="6" t="str">
        <f>HYPERLINK("https://inpn.mnhn.fr/espece/cd_nom/23654","Callomyia elegans Meigen, 1804")</f>
        <v>Callomyia elegans Meigen, 1804</v>
      </c>
      <c r="AH12199" s="4" t="str">
        <f>HYPERLINK("#Statut_biogéographique!A"&amp;_xlfn.XMATCH("P",Statut_biogéographique!A:A,2,1),"P")</f>
        <v>P</v>
      </c>
      <c r="AP12199" s="4" t="s">
        <v>376</v>
      </c>
      <c r="AR12199" s="4" t="s">
        <v>377</v>
      </c>
    </row>
    <row r="12200" spans="1:44" ht="30">
      <c r="A12200" s="4" t="s">
        <v>10753</v>
      </c>
      <c r="B12200" s="4">
        <v>236542</v>
      </c>
      <c r="D12200" s="5" t="s">
        <v>15026</v>
      </c>
      <c r="E12200" s="6" t="str">
        <f>HYPERLINK("https://inpn.mnhn.fr/espece/cd_nom/236542","Evagetes siculus (Lepeletier, 1845)")</f>
        <v>Evagetes siculus (Lepeletier, 1845)</v>
      </c>
      <c r="AH12200" s="4" t="str">
        <f>HYPERLINK("#Statut_biogéographique!A"&amp;_xlfn.XMATCH("P",Statut_biogéographique!A:A,2,1),"P")</f>
        <v>P</v>
      </c>
      <c r="AP12200" s="4" t="s">
        <v>376</v>
      </c>
      <c r="AR12200" s="4" t="s">
        <v>377</v>
      </c>
    </row>
    <row r="12201" spans="1:44">
      <c r="A12201" s="4" t="s">
        <v>10753</v>
      </c>
      <c r="B12201" s="4">
        <v>236543</v>
      </c>
      <c r="D12201" s="5" t="s">
        <v>15027</v>
      </c>
      <c r="E12201" s="6" t="str">
        <f>HYPERLINK("https://inpn.mnhn.fr/espece/cd_nom/236543","Evagetes subglaber (Haupt, 1941)")</f>
        <v>Evagetes subglaber (Haupt, 1941)</v>
      </c>
      <c r="AH12201" s="4" t="str">
        <f>HYPERLINK("#Statut_biogéographique!A"&amp;_xlfn.XMATCH("P",Statut_biogéographique!A:A,2,1),"P")</f>
        <v>P</v>
      </c>
      <c r="AP12201" s="4" t="s">
        <v>376</v>
      </c>
      <c r="AR12201" s="4" t="s">
        <v>377</v>
      </c>
    </row>
    <row r="12202" spans="1:44">
      <c r="A12202" s="4" t="s">
        <v>10753</v>
      </c>
      <c r="B12202" s="4">
        <v>236545</v>
      </c>
      <c r="D12202" s="5" t="s">
        <v>15028</v>
      </c>
      <c r="E12202" s="6" t="str">
        <f>HYPERLINK("https://inpn.mnhn.fr/espece/cd_nom/236545","Episyron albonotatum (Vander Linden, 1827)")</f>
        <v>Episyron albonotatum (Vander Linden, 1827)</v>
      </c>
      <c r="AH12202" s="4" t="str">
        <f>HYPERLINK("#Statut_biogéographique!A"&amp;_xlfn.XMATCH("P",Statut_biogéographique!A:A,2,1),"P")</f>
        <v>P</v>
      </c>
      <c r="AP12202" s="4" t="s">
        <v>376</v>
      </c>
      <c r="AR12202" s="4" t="s">
        <v>377</v>
      </c>
    </row>
    <row r="12203" spans="1:44">
      <c r="A12203" s="4" t="s">
        <v>10753</v>
      </c>
      <c r="B12203" s="4">
        <v>236546</v>
      </c>
      <c r="D12203" s="5" t="s">
        <v>15029</v>
      </c>
      <c r="E12203" s="6" t="str">
        <f>HYPERLINK("https://inpn.mnhn.fr/espece/cd_nom/236546","Episyron arrogans (Smith, 1873)")</f>
        <v>Episyron arrogans (Smith, 1873)</v>
      </c>
      <c r="AH12203" s="4" t="str">
        <f>HYPERLINK("#Statut_biogéographique!A"&amp;_xlfn.XMATCH("P",Statut_biogéographique!A:A,2,1),"P")</f>
        <v>P</v>
      </c>
      <c r="AP12203" s="4" t="s">
        <v>376</v>
      </c>
      <c r="AR12203" s="4" t="s">
        <v>377</v>
      </c>
    </row>
    <row r="12204" spans="1:44">
      <c r="A12204" s="4" t="s">
        <v>10753</v>
      </c>
      <c r="B12204" s="4">
        <v>236550</v>
      </c>
      <c r="D12204" s="5" t="s">
        <v>15030</v>
      </c>
      <c r="E12204" s="6" t="str">
        <f>HYPERLINK("https://inpn.mnhn.fr/espece/cd_nom/236550","Episyron gallicum (Tournier, 1889)")</f>
        <v>Episyron gallicum (Tournier, 1889)</v>
      </c>
      <c r="AH12204" s="4" t="str">
        <f>HYPERLINK("#Statut_biogéographique!A"&amp;_xlfn.XMATCH("P",Statut_biogéographique!A:A,2,1),"P")</f>
        <v>P</v>
      </c>
      <c r="AP12204" s="4" t="s">
        <v>376</v>
      </c>
      <c r="AR12204" s="4" t="s">
        <v>377</v>
      </c>
    </row>
    <row r="12205" spans="1:44" ht="30">
      <c r="A12205" s="4" t="s">
        <v>10753</v>
      </c>
      <c r="B12205" s="4">
        <v>236554</v>
      </c>
      <c r="D12205" s="5" t="s">
        <v>15031</v>
      </c>
      <c r="E12205" s="6" t="str">
        <f>HYPERLINK("https://inpn.mnhn.fr/espece/cd_nom/236554","Entomobora crassitarsis (Costa, 1887)")</f>
        <v>Entomobora crassitarsis (Costa, 1887)</v>
      </c>
      <c r="AH12205" s="4" t="str">
        <f>HYPERLINK("#Statut_biogéographique!A"&amp;_xlfn.XMATCH("P",Statut_biogéographique!A:A,2,1),"P")</f>
        <v>P</v>
      </c>
      <c r="AP12205" s="4" t="s">
        <v>376</v>
      </c>
      <c r="AR12205" s="4" t="s">
        <v>377</v>
      </c>
    </row>
    <row r="12206" spans="1:44">
      <c r="A12206" s="4" t="s">
        <v>10753</v>
      </c>
      <c r="B12206" s="4">
        <v>236561</v>
      </c>
      <c r="D12206" s="5">
        <v>236561</v>
      </c>
      <c r="E12206" s="6" t="str">
        <f>HYPERLINK("https://inpn.mnhn.fr/espece/cd_nom/236561","Arachnospila abnormis (Dahlbom, 1842)")</f>
        <v>Arachnospila abnormis (Dahlbom, 1842)</v>
      </c>
      <c r="AH12206" s="4" t="str">
        <f>HYPERLINK("#Statut_biogéographique!A"&amp;_xlfn.XMATCH("P",Statut_biogéographique!A:A,2,1),"P")</f>
        <v>P</v>
      </c>
      <c r="AP12206" s="4" t="s">
        <v>376</v>
      </c>
      <c r="AR12206" s="4" t="s">
        <v>377</v>
      </c>
    </row>
    <row r="12207" spans="1:44" ht="45">
      <c r="A12207" s="4" t="s">
        <v>10753</v>
      </c>
      <c r="B12207" s="4">
        <v>236562</v>
      </c>
      <c r="D12207" s="5" t="s">
        <v>15032</v>
      </c>
      <c r="E12207" s="6" t="str">
        <f>HYPERLINK("https://inpn.mnhn.fr/espece/cd_nom/236562","Arachnospila anceps (Wesmael, 1851)")</f>
        <v>Arachnospila anceps (Wesmael, 1851)</v>
      </c>
      <c r="AH12207" s="4" t="str">
        <f>HYPERLINK("#Statut_biogéographique!A"&amp;_xlfn.XMATCH("P",Statut_biogéographique!A:A,2,1),"P")</f>
        <v>P</v>
      </c>
      <c r="AP12207" s="4" t="s">
        <v>376</v>
      </c>
      <c r="AR12207" s="4" t="s">
        <v>377</v>
      </c>
    </row>
    <row r="12208" spans="1:44">
      <c r="A12208" s="4" t="s">
        <v>10753</v>
      </c>
      <c r="B12208" s="4">
        <v>236563</v>
      </c>
      <c r="D12208" s="5">
        <v>236563</v>
      </c>
      <c r="E12208" s="6" t="str">
        <f>HYPERLINK("https://inpn.mnhn.fr/espece/cd_nom/236563","Arachnospila ausa (Tournier, 1890)")</f>
        <v>Arachnospila ausa (Tournier, 1890)</v>
      </c>
      <c r="AH12208" s="4" t="str">
        <f>HYPERLINK("#Statut_biogéographique!A"&amp;_xlfn.XMATCH("P",Statut_biogéographique!A:A,2,1),"P")</f>
        <v>P</v>
      </c>
      <c r="AP12208" s="4" t="s">
        <v>376</v>
      </c>
      <c r="AR12208" s="4" t="s">
        <v>377</v>
      </c>
    </row>
    <row r="12209" spans="1:44">
      <c r="A12209" s="4" t="s">
        <v>10753</v>
      </c>
      <c r="B12209" s="4">
        <v>236566</v>
      </c>
      <c r="D12209" s="5" t="s">
        <v>15033</v>
      </c>
      <c r="E12209" s="6" t="str">
        <f>HYPERLINK("https://inpn.mnhn.fr/espece/cd_nom/236566","Arachnospila hedickei (Haupt, 1929)")</f>
        <v>Arachnospila hedickei (Haupt, 1929)</v>
      </c>
      <c r="AH12209" s="4" t="str">
        <f>HYPERLINK("#Statut_biogéographique!A"&amp;_xlfn.XMATCH("P",Statut_biogéographique!A:A,2,1),"P")</f>
        <v>P</v>
      </c>
      <c r="AP12209" s="4" t="s">
        <v>376</v>
      </c>
      <c r="AR12209" s="4" t="s">
        <v>377</v>
      </c>
    </row>
    <row r="12210" spans="1:44">
      <c r="A12210" s="4" t="s">
        <v>10753</v>
      </c>
      <c r="B12210" s="4">
        <v>236568</v>
      </c>
      <c r="D12210" s="5" t="s">
        <v>15034</v>
      </c>
      <c r="E12210" s="6" t="str">
        <f>HYPERLINK("https://inpn.mnhn.fr/espece/cd_nom/236568","Arachnospila opinata (Tournier, 1890)")</f>
        <v>Arachnospila opinata (Tournier, 1890)</v>
      </c>
      <c r="AH12210" s="4" t="str">
        <f>HYPERLINK("#Statut_biogéographique!A"&amp;_xlfn.XMATCH("P",Statut_biogéographique!A:A,2,1),"P")</f>
        <v>P</v>
      </c>
      <c r="AP12210" s="4" t="s">
        <v>376</v>
      </c>
      <c r="AR12210" s="4" t="s">
        <v>377</v>
      </c>
    </row>
    <row r="12211" spans="1:44" ht="30">
      <c r="A12211" s="4" t="s">
        <v>10753</v>
      </c>
      <c r="B12211" s="4">
        <v>236570</v>
      </c>
      <c r="D12211" s="5" t="s">
        <v>15035</v>
      </c>
      <c r="E12211" s="6" t="str">
        <f>HYPERLINK("https://inpn.mnhn.fr/espece/cd_nom/236570","Arachnospila trivialis (Dahlbom, 1843)")</f>
        <v>Arachnospila trivialis (Dahlbom, 1843)</v>
      </c>
      <c r="AH12211" s="4" t="str">
        <f>HYPERLINK("#Statut_biogéographique!A"&amp;_xlfn.XMATCH("P",Statut_biogéographique!A:A,2,1),"P")</f>
        <v>P</v>
      </c>
      <c r="AP12211" s="4" t="s">
        <v>376</v>
      </c>
      <c r="AR12211" s="4" t="s">
        <v>377</v>
      </c>
    </row>
    <row r="12212" spans="1:44" ht="30">
      <c r="A12212" s="4" t="s">
        <v>10753</v>
      </c>
      <c r="B12212" s="4">
        <v>236573</v>
      </c>
      <c r="D12212" s="5" t="s">
        <v>15036</v>
      </c>
      <c r="E12212" s="6" t="str">
        <f>HYPERLINK("https://inpn.mnhn.fr/espece/cd_nom/236573","Arachnospila minutula (Dahlbom, 1842)")</f>
        <v>Arachnospila minutula (Dahlbom, 1842)</v>
      </c>
      <c r="AH12212" s="4" t="str">
        <f>HYPERLINK("#Statut_biogéographique!A"&amp;_xlfn.XMATCH("P",Statut_biogéographique!A:A,2,1),"P")</f>
        <v>P</v>
      </c>
      <c r="AP12212" s="4" t="s">
        <v>376</v>
      </c>
      <c r="AR12212" s="4" t="s">
        <v>377</v>
      </c>
    </row>
    <row r="12213" spans="1:44">
      <c r="A12213" s="4" t="s">
        <v>10753</v>
      </c>
      <c r="B12213" s="4">
        <v>236583</v>
      </c>
      <c r="D12213" s="5" t="s">
        <v>15037</v>
      </c>
      <c r="E12213" s="6" t="str">
        <f>HYPERLINK("https://inpn.mnhn.fr/espece/cd_nom/236583","Anoplius caviventris (Aurivillius, 1907)")</f>
        <v>Anoplius caviventris (Aurivillius, 1907)</v>
      </c>
      <c r="AH12213" s="4" t="str">
        <f>HYPERLINK("#Statut_biogéographique!A"&amp;_xlfn.XMATCH("P",Statut_biogéographique!A:A,2,1),"P")</f>
        <v>P</v>
      </c>
      <c r="AP12213" s="4" t="s">
        <v>376</v>
      </c>
      <c r="AR12213" s="4" t="s">
        <v>377</v>
      </c>
    </row>
    <row r="12214" spans="1:44" ht="30">
      <c r="A12214" s="4" t="s">
        <v>10753</v>
      </c>
      <c r="B12214" s="4">
        <v>236584</v>
      </c>
      <c r="D12214" s="5" t="s">
        <v>15038</v>
      </c>
      <c r="E12214" s="6" t="str">
        <f>HYPERLINK("https://inpn.mnhn.fr/espece/cd_nom/236584","Anoplius concinnus (Dahlbom, 1845)")</f>
        <v>Anoplius concinnus (Dahlbom, 1845)</v>
      </c>
      <c r="AH12214" s="4" t="str">
        <f>HYPERLINK("#Statut_biogéographique!A"&amp;_xlfn.XMATCH("P",Statut_biogéographique!A:A,2,1),"P")</f>
        <v>P</v>
      </c>
      <c r="AP12214" s="4" t="s">
        <v>376</v>
      </c>
      <c r="AR12214" s="4" t="s">
        <v>377</v>
      </c>
    </row>
    <row r="12215" spans="1:44">
      <c r="A12215" s="4" t="s">
        <v>10753</v>
      </c>
      <c r="B12215" s="4">
        <v>236586</v>
      </c>
      <c r="D12215" s="5" t="s">
        <v>15039</v>
      </c>
      <c r="E12215" s="6" t="str">
        <f>HYPERLINK("https://inpn.mnhn.fr/espece/cd_nom/236586","Anoplius tenuicornis (Tournier, 1889)")</f>
        <v>Anoplius tenuicornis (Tournier, 1889)</v>
      </c>
      <c r="AH12215" s="4" t="str">
        <f>HYPERLINK("#Statut_biogéographique!A"&amp;_xlfn.XMATCH("P",Statut_biogéographique!A:A,2,1),"P")</f>
        <v>P</v>
      </c>
      <c r="AP12215" s="4" t="s">
        <v>376</v>
      </c>
      <c r="AR12215" s="4" t="s">
        <v>377</v>
      </c>
    </row>
    <row r="12216" spans="1:44" ht="60">
      <c r="A12216" s="4" t="s">
        <v>10753</v>
      </c>
      <c r="B12216" s="4">
        <v>236587</v>
      </c>
      <c r="D12216" s="5" t="s">
        <v>15040</v>
      </c>
      <c r="E12216" s="6" t="str">
        <f>HYPERLINK("https://inpn.mnhn.fr/espece/cd_nom/236587","Anoplius infuscatus (Vander Linden, 1827)")</f>
        <v>Anoplius infuscatus (Vander Linden, 1827)</v>
      </c>
      <c r="AH12216" s="4" t="str">
        <f>HYPERLINK("#Statut_biogéographique!A"&amp;_xlfn.XMATCH("P",Statut_biogéographique!A:A,2,1),"P")</f>
        <v>P</v>
      </c>
      <c r="AP12216" s="4" t="s">
        <v>376</v>
      </c>
      <c r="AR12216" s="4" t="s">
        <v>377</v>
      </c>
    </row>
    <row r="12217" spans="1:44" ht="45">
      <c r="A12217" s="4" t="s">
        <v>10753</v>
      </c>
      <c r="B12217" s="4">
        <v>236588</v>
      </c>
      <c r="D12217" s="5" t="s">
        <v>15041</v>
      </c>
      <c r="E12217" s="6" t="str">
        <f>HYPERLINK("https://inpn.mnhn.fr/espece/cd_nom/236588","Anoplius viaticus (Linnaeus, 1758)")</f>
        <v>Anoplius viaticus (Linnaeus, 1758)</v>
      </c>
      <c r="AH12217" s="4" t="str">
        <f>HYPERLINK("#Statut_biogéographique!A"&amp;_xlfn.XMATCH("P",Statut_biogéographique!A:A,2,1),"P")</f>
        <v>P</v>
      </c>
      <c r="AP12217" s="4" t="s">
        <v>376</v>
      </c>
      <c r="AR12217" s="4" t="s">
        <v>377</v>
      </c>
    </row>
    <row r="12218" spans="1:44" ht="30">
      <c r="A12218" s="4" t="s">
        <v>10753</v>
      </c>
      <c r="B12218" s="4">
        <v>236591</v>
      </c>
      <c r="D12218" s="5" t="s">
        <v>15042</v>
      </c>
      <c r="E12218" s="6" t="str">
        <f>HYPERLINK("https://inpn.mnhn.fr/espece/cd_nom/236591","Agenioideus apicalis (Vander Linden, 1827)")</f>
        <v>Agenioideus apicalis (Vander Linden, 1827)</v>
      </c>
      <c r="AH12218" s="4" t="str">
        <f>HYPERLINK("#Statut_biogéographique!A"&amp;_xlfn.XMATCH("P",Statut_biogéographique!A:A,2,1),"P")</f>
        <v>P</v>
      </c>
      <c r="AP12218" s="4" t="s">
        <v>376</v>
      </c>
      <c r="AR12218" s="4" t="s">
        <v>377</v>
      </c>
    </row>
    <row r="12219" spans="1:44">
      <c r="A12219" s="4" t="s">
        <v>10753</v>
      </c>
      <c r="B12219" s="4">
        <v>236592</v>
      </c>
      <c r="D12219" s="5" t="s">
        <v>15043</v>
      </c>
      <c r="E12219" s="6" t="str">
        <f>HYPERLINK("https://inpn.mnhn.fr/espece/cd_nom/236592","Agenioideus cinctellus (Spinola, 1807)")</f>
        <v>Agenioideus cinctellus (Spinola, 1807)</v>
      </c>
      <c r="AH12219" s="4" t="str">
        <f>HYPERLINK("#Statut_biogéographique!A"&amp;_xlfn.XMATCH("P",Statut_biogéographique!A:A,2,1),"P")</f>
        <v>P</v>
      </c>
      <c r="AP12219" s="4" t="s">
        <v>376</v>
      </c>
      <c r="AR12219" s="4" t="s">
        <v>377</v>
      </c>
    </row>
    <row r="12220" spans="1:44" ht="30">
      <c r="A12220" s="4" t="s">
        <v>10753</v>
      </c>
      <c r="B12220" s="4">
        <v>236596</v>
      </c>
      <c r="D12220" s="5" t="s">
        <v>15044</v>
      </c>
      <c r="E12220" s="6" t="str">
        <f>HYPERLINK("https://inpn.mnhn.fr/espece/cd_nom/236596","Agenioideus sericeus (Vander Linden, 1827)")</f>
        <v>Agenioideus sericeus (Vander Linden, 1827)</v>
      </c>
      <c r="AH12220" s="4" t="str">
        <f>HYPERLINK("#Statut_biogéographique!A"&amp;_xlfn.XMATCH("P",Statut_biogéographique!A:A,2,1),"P")</f>
        <v>P</v>
      </c>
      <c r="AP12220" s="4" t="s">
        <v>376</v>
      </c>
      <c r="AR12220" s="4" t="s">
        <v>377</v>
      </c>
    </row>
    <row r="12221" spans="1:44">
      <c r="A12221" s="4" t="s">
        <v>10753</v>
      </c>
      <c r="B12221" s="4">
        <v>236597</v>
      </c>
      <c r="D12221" s="5" t="s">
        <v>15045</v>
      </c>
      <c r="E12221" s="6" t="str">
        <f>HYPERLINK("https://inpn.mnhn.fr/espece/cd_nom/236597","Agenioideus usurarius (Tournier, 1889)")</f>
        <v>Agenioideus usurarius (Tournier, 1889)</v>
      </c>
      <c r="AH12221" s="4" t="str">
        <f>HYPERLINK("#Statut_biogéographique!A"&amp;_xlfn.XMATCH("P",Statut_biogéographique!A:A,2,1),"P")</f>
        <v>P</v>
      </c>
      <c r="AP12221" s="4" t="s">
        <v>376</v>
      </c>
      <c r="AR12221" s="4" t="s">
        <v>377</v>
      </c>
    </row>
    <row r="12222" spans="1:44" ht="30">
      <c r="A12222" s="4" t="s">
        <v>10753</v>
      </c>
      <c r="B12222" s="4">
        <v>236606</v>
      </c>
      <c r="D12222" s="5" t="s">
        <v>15046</v>
      </c>
      <c r="E12222" s="6" t="str">
        <f>HYPERLINK("https://inpn.mnhn.fr/espece/cd_nom/236606","Priocnemis agilis (Shuckard, 1837)")</f>
        <v>Priocnemis agilis (Shuckard, 1837)</v>
      </c>
      <c r="AH12222" s="4" t="str">
        <f>HYPERLINK("#Statut_biogéographique!A"&amp;_xlfn.XMATCH("P",Statut_biogéographique!A:A,2,1),"P")</f>
        <v>P</v>
      </c>
      <c r="AP12222" s="4" t="s">
        <v>376</v>
      </c>
      <c r="AR12222" s="4" t="s">
        <v>377</v>
      </c>
    </row>
    <row r="12223" spans="1:44">
      <c r="A12223" s="4" t="s">
        <v>10753</v>
      </c>
      <c r="B12223" s="4">
        <v>236608</v>
      </c>
      <c r="D12223" s="5">
        <v>236608</v>
      </c>
      <c r="E12223" s="6" t="str">
        <f>HYPERLINK("https://inpn.mnhn.fr/espece/cd_nom/236608","Priocnemis cordivalvata Haupt, 1927")</f>
        <v>Priocnemis cordivalvata Haupt, 1927</v>
      </c>
      <c r="AH12223" s="4" t="str">
        <f>HYPERLINK("#Statut_biogéographique!A"&amp;_xlfn.XMATCH("P",Statut_biogéographique!A:A,2,1),"P")</f>
        <v>P</v>
      </c>
      <c r="AP12223" s="4" t="s">
        <v>376</v>
      </c>
      <c r="AR12223" s="4" t="s">
        <v>377</v>
      </c>
    </row>
    <row r="12224" spans="1:44">
      <c r="A12224" s="4" t="s">
        <v>10753</v>
      </c>
      <c r="B12224" s="4">
        <v>236612</v>
      </c>
      <c r="D12224" s="5">
        <v>236612</v>
      </c>
      <c r="E12224" s="6" t="str">
        <f>HYPERLINK("https://inpn.mnhn.fr/espece/cd_nom/236612","Priocnemis hyalinata (Fabricius, 1793)")</f>
        <v>Priocnemis hyalinata (Fabricius, 1793)</v>
      </c>
      <c r="AH12224" s="4" t="str">
        <f>HYPERLINK("#Statut_biogéographique!A"&amp;_xlfn.XMATCH("P",Statut_biogéographique!A:A,2,1),"P")</f>
        <v>P</v>
      </c>
      <c r="AP12224" s="4" t="s">
        <v>376</v>
      </c>
      <c r="AR12224" s="4" t="s">
        <v>377</v>
      </c>
    </row>
    <row r="12225" spans="1:44">
      <c r="A12225" s="4" t="s">
        <v>10753</v>
      </c>
      <c r="B12225" s="4">
        <v>236614</v>
      </c>
      <c r="D12225" s="5">
        <v>236614</v>
      </c>
      <c r="E12225" s="6" t="str">
        <f>HYPERLINK("https://inpn.mnhn.fr/espece/cd_nom/236614","Priocnemis minuta (Vander Linden, 1827)")</f>
        <v>Priocnemis minuta (Vander Linden, 1827)</v>
      </c>
      <c r="AH12225" s="4" t="str">
        <f>HYPERLINK("#Statut_biogéographique!A"&amp;_xlfn.XMATCH("P",Statut_biogéographique!A:A,2,1),"P")</f>
        <v>P</v>
      </c>
      <c r="AP12225" s="4" t="s">
        <v>376</v>
      </c>
      <c r="AR12225" s="4" t="s">
        <v>377</v>
      </c>
    </row>
    <row r="12226" spans="1:44">
      <c r="A12226" s="4" t="s">
        <v>10753</v>
      </c>
      <c r="B12226" s="4">
        <v>236616</v>
      </c>
      <c r="D12226" s="5">
        <v>236616</v>
      </c>
      <c r="E12226" s="6" t="str">
        <f>HYPERLINK("https://inpn.mnhn.fr/espece/cd_nom/236616","Priocnemis pellipleuris Wahis, 1998")</f>
        <v>Priocnemis pellipleuris Wahis, 1998</v>
      </c>
      <c r="AH12226" s="4" t="str">
        <f>HYPERLINK("#Statut_biogéographique!A"&amp;_xlfn.XMATCH("P",Statut_biogéographique!A:A,2,1),"P")</f>
        <v>P</v>
      </c>
      <c r="AP12226" s="4" t="s">
        <v>376</v>
      </c>
      <c r="AR12226" s="4" t="s">
        <v>377</v>
      </c>
    </row>
    <row r="12227" spans="1:44">
      <c r="A12227" s="4" t="s">
        <v>10753</v>
      </c>
      <c r="B12227" s="4">
        <v>236620</v>
      </c>
      <c r="D12227" s="5" t="s">
        <v>15047</v>
      </c>
      <c r="E12227" s="6" t="str">
        <f>HYPERLINK("https://inpn.mnhn.fr/espece/cd_nom/236620","Priocnemis pusilla (Schioedte, 1837)")</f>
        <v>Priocnemis pusilla (Schioedte, 1837)</v>
      </c>
      <c r="AH12227" s="4" t="str">
        <f>HYPERLINK("#Statut_biogéographique!A"&amp;_xlfn.XMATCH("P",Statut_biogéographique!A:A,2,1),"P")</f>
        <v>P</v>
      </c>
      <c r="AP12227" s="4" t="s">
        <v>376</v>
      </c>
      <c r="AR12227" s="4" t="s">
        <v>377</v>
      </c>
    </row>
    <row r="12228" spans="1:44">
      <c r="A12228" s="4" t="s">
        <v>10753</v>
      </c>
      <c r="B12228" s="4">
        <v>236624</v>
      </c>
      <c r="D12228" s="5" t="s">
        <v>15048</v>
      </c>
      <c r="E12228" s="6" t="str">
        <f>HYPERLINK("https://inpn.mnhn.fr/espece/cd_nom/236624","Priocnemis coriacea Dahlbom, 1843")</f>
        <v>Priocnemis coriacea Dahlbom, 1843</v>
      </c>
      <c r="AH12228" s="4" t="str">
        <f>HYPERLINK("#Statut_biogéographique!A"&amp;_xlfn.XMATCH("P",Statut_biogéographique!A:A,2,1),"P")</f>
        <v>P</v>
      </c>
      <c r="AP12228" s="4" t="s">
        <v>376</v>
      </c>
      <c r="AR12228" s="4" t="s">
        <v>377</v>
      </c>
    </row>
    <row r="12229" spans="1:44" ht="30">
      <c r="A12229" s="4" t="s">
        <v>10753</v>
      </c>
      <c r="B12229" s="4">
        <v>236629</v>
      </c>
      <c r="D12229" s="5" t="s">
        <v>15049</v>
      </c>
      <c r="E12229" s="6" t="str">
        <f>HYPERLINK("https://inpn.mnhn.fr/espece/cd_nom/236629","Priocnemis perturbator (Harris, 1780)")</f>
        <v>Priocnemis perturbator (Harris, 1780)</v>
      </c>
      <c r="AH12229" s="4" t="str">
        <f>HYPERLINK("#Statut_biogéographique!A"&amp;_xlfn.XMATCH("P",Statut_biogéographique!A:A,2,1),"P")</f>
        <v>P</v>
      </c>
      <c r="AP12229" s="4" t="s">
        <v>376</v>
      </c>
      <c r="AR12229" s="4" t="s">
        <v>377</v>
      </c>
    </row>
    <row r="12230" spans="1:44">
      <c r="A12230" s="4" t="s">
        <v>10753</v>
      </c>
      <c r="B12230" s="4">
        <v>236631</v>
      </c>
      <c r="D12230" s="5" t="s">
        <v>15050</v>
      </c>
      <c r="E12230" s="6" t="str">
        <f>HYPERLINK("https://inpn.mnhn.fr/espece/cd_nom/236631","Priocnemis susterai Haupt, 1927")</f>
        <v>Priocnemis susterai Haupt, 1927</v>
      </c>
      <c r="AH12230" s="4" t="str">
        <f>HYPERLINK("#Statut_biogéographique!A"&amp;_xlfn.XMATCH("P",Statut_biogéographique!A:A,2,1),"P")</f>
        <v>P</v>
      </c>
      <c r="AP12230" s="4" t="s">
        <v>376</v>
      </c>
      <c r="AR12230" s="4" t="s">
        <v>377</v>
      </c>
    </row>
    <row r="12231" spans="1:44">
      <c r="A12231" s="4" t="s">
        <v>10753</v>
      </c>
      <c r="B12231" s="4">
        <v>236632</v>
      </c>
      <c r="D12231" s="5" t="s">
        <v>15051</v>
      </c>
      <c r="E12231" s="6" t="str">
        <f>HYPERLINK("https://inpn.mnhn.fr/espece/cd_nom/236632","Priocnemis vulgaris (Dufour, 1841)")</f>
        <v>Priocnemis vulgaris (Dufour, 1841)</v>
      </c>
      <c r="AH12231" s="4" t="str">
        <f>HYPERLINK("#Statut_biogéographique!A"&amp;_xlfn.XMATCH("P",Statut_biogéographique!A:A,2,1),"P")</f>
        <v>P</v>
      </c>
      <c r="AP12231" s="4" t="s">
        <v>376</v>
      </c>
      <c r="AR12231" s="4" t="s">
        <v>377</v>
      </c>
    </row>
    <row r="12232" spans="1:44" ht="30">
      <c r="A12232" s="4" t="s">
        <v>10753</v>
      </c>
      <c r="B12232" s="4">
        <v>23664</v>
      </c>
      <c r="D12232" s="5" t="s">
        <v>15052</v>
      </c>
      <c r="E12232" s="6" t="str">
        <f>HYPERLINK("https://inpn.mnhn.fr/espece/cd_nom/23664","Chalcosyrphus nemorum (Fabricius, 1805)")</f>
        <v>Chalcosyrphus nemorum (Fabricius, 1805)</v>
      </c>
      <c r="P12232" s="7" t="str">
        <f>HYPERLINK("#Liste_rouge!A"&amp;_xlfn.XMATCH("LC",Liste_rouge!A:A,2,1),"LC")</f>
        <v>LC</v>
      </c>
      <c r="AH12232" s="4" t="str">
        <f>HYPERLINK("#Statut_biogéographique!A"&amp;_xlfn.XMATCH("P",Statut_biogéographique!A:A,2,1),"P")</f>
        <v>P</v>
      </c>
      <c r="AP12232" s="4" t="s">
        <v>376</v>
      </c>
      <c r="AR12232" s="4" t="s">
        <v>377</v>
      </c>
    </row>
    <row r="12233" spans="1:44" ht="30">
      <c r="A12233" s="4" t="s">
        <v>10753</v>
      </c>
      <c r="B12233" s="4">
        <v>236645</v>
      </c>
      <c r="D12233" s="5" t="s">
        <v>15053</v>
      </c>
      <c r="E12233" s="6" t="str">
        <f>HYPERLINK("https://inpn.mnhn.fr/espece/cd_nom/236645","Cryptocheilus notatus (Rossius, 1792)")</f>
        <v>Cryptocheilus notatus (Rossius, 1792)</v>
      </c>
      <c r="AH12233" s="4" t="str">
        <f>HYPERLINK("#Statut_biogéographique!A"&amp;_xlfn.XMATCH("P",Statut_biogéographique!A:A,2,1),"P")</f>
        <v>P</v>
      </c>
      <c r="AP12233" s="4" t="s">
        <v>376</v>
      </c>
      <c r="AR12233" s="4" t="s">
        <v>377</v>
      </c>
    </row>
    <row r="12234" spans="1:44" ht="45">
      <c r="A12234" s="4" t="s">
        <v>10753</v>
      </c>
      <c r="B12234" s="4">
        <v>236648</v>
      </c>
      <c r="D12234" s="5" t="s">
        <v>15054</v>
      </c>
      <c r="E12234" s="6" t="str">
        <f>HYPERLINK("https://inpn.mnhn.fr/espece/cd_nom/236648","Cryptocheilus versicolor (Scopoli, 1763)")</f>
        <v>Cryptocheilus versicolor (Scopoli, 1763)</v>
      </c>
      <c r="AH12234" s="4" t="str">
        <f>HYPERLINK("#Statut_biogéographique!A"&amp;_xlfn.XMATCH("P",Statut_biogéographique!A:A,2,1),"P")</f>
        <v>P</v>
      </c>
      <c r="AP12234" s="4" t="s">
        <v>376</v>
      </c>
      <c r="AR12234" s="4" t="s">
        <v>377</v>
      </c>
    </row>
    <row r="12235" spans="1:44" ht="45">
      <c r="A12235" s="4" t="s">
        <v>10753</v>
      </c>
      <c r="B12235" s="4">
        <v>236652</v>
      </c>
      <c r="D12235" s="5" t="s">
        <v>15055</v>
      </c>
      <c r="E12235" s="6" t="str">
        <f>HYPERLINK("https://inpn.mnhn.fr/espece/cd_nom/236652","Caliadurgus fasciatellus (Spinola, 1807)")</f>
        <v>Caliadurgus fasciatellus (Spinola, 1807)</v>
      </c>
      <c r="AH12235" s="4" t="str">
        <f>HYPERLINK("#Statut_biogéographique!A"&amp;_xlfn.XMATCH("P",Statut_biogéographique!A:A,2,1),"P")</f>
        <v>P</v>
      </c>
      <c r="AP12235" s="4" t="s">
        <v>376</v>
      </c>
      <c r="AR12235" s="4" t="s">
        <v>377</v>
      </c>
    </row>
    <row r="12236" spans="1:44">
      <c r="A12236" s="4" t="s">
        <v>10753</v>
      </c>
      <c r="B12236" s="4">
        <v>236653</v>
      </c>
      <c r="D12236" s="5" t="s">
        <v>15056</v>
      </c>
      <c r="E12236" s="6" t="str">
        <f>HYPERLINK("https://inpn.mnhn.fr/espece/cd_nom/236653","Poecilagenia rubricans (Lepeletier, 1845)")</f>
        <v>Poecilagenia rubricans (Lepeletier, 1845)</v>
      </c>
      <c r="AH12236" s="4" t="str">
        <f>HYPERLINK("#Statut_biogéographique!A"&amp;_xlfn.XMATCH("P",Statut_biogéographique!A:A,2,1),"P")</f>
        <v>P</v>
      </c>
      <c r="AP12236" s="4" t="s">
        <v>376</v>
      </c>
      <c r="AR12236" s="4" t="s">
        <v>377</v>
      </c>
    </row>
    <row r="12237" spans="1:44">
      <c r="A12237" s="4" t="s">
        <v>10753</v>
      </c>
      <c r="B12237" s="4">
        <v>236655</v>
      </c>
      <c r="D12237" s="5">
        <v>236655</v>
      </c>
      <c r="E12237" s="6" t="str">
        <f>HYPERLINK("https://inpn.mnhn.fr/espece/cd_nom/236655","Auplopus albifrons (Dalman, 1823)")</f>
        <v>Auplopus albifrons (Dalman, 1823)</v>
      </c>
      <c r="AH12237" s="4" t="str">
        <f>HYPERLINK("#Statut_biogéographique!A"&amp;_xlfn.XMATCH("P",Statut_biogéographique!A:A,2,1),"P")</f>
        <v>P</v>
      </c>
      <c r="AP12237" s="4" t="s">
        <v>376</v>
      </c>
      <c r="AR12237" s="4" t="s">
        <v>377</v>
      </c>
    </row>
    <row r="12238" spans="1:44" ht="30">
      <c r="A12238" s="4" t="s">
        <v>10753</v>
      </c>
      <c r="B12238" s="4">
        <v>236656</v>
      </c>
      <c r="D12238" s="5" t="s">
        <v>15057</v>
      </c>
      <c r="E12238" s="6" t="str">
        <f>HYPERLINK("https://inpn.mnhn.fr/espece/cd_nom/236656","Auplopus carbonarius (Scopoli, 1763)")</f>
        <v>Auplopus carbonarius (Scopoli, 1763)</v>
      </c>
      <c r="AH12238" s="4" t="str">
        <f>HYPERLINK("#Statut_biogéographique!A"&amp;_xlfn.XMATCH("P",Statut_biogéographique!A:A,2,1),"P")</f>
        <v>P</v>
      </c>
      <c r="AP12238" s="4" t="s">
        <v>376</v>
      </c>
      <c r="AR12238" s="4" t="s">
        <v>377</v>
      </c>
    </row>
    <row r="12239" spans="1:44">
      <c r="A12239" s="4" t="s">
        <v>10753</v>
      </c>
      <c r="B12239" s="4">
        <v>23666</v>
      </c>
      <c r="D12239" s="5" t="s">
        <v>15058</v>
      </c>
      <c r="E12239" s="6" t="str">
        <f>HYPERLINK("https://inpn.mnhn.fr/espece/cd_nom/23666","Xylota segnis (Linnaeus, 1758)")</f>
        <v>Xylota segnis (Linnaeus, 1758)</v>
      </c>
      <c r="P12239" s="7" t="str">
        <f>HYPERLINK("#Liste_rouge!A"&amp;_xlfn.XMATCH("LC",Liste_rouge!A:A,2,1),"LC")</f>
        <v>LC</v>
      </c>
      <c r="AH12239" s="4" t="str">
        <f>HYPERLINK("#Statut_biogéographique!A"&amp;_xlfn.XMATCH("P",Statut_biogéographique!A:A,2,1),"P")</f>
        <v>P</v>
      </c>
      <c r="AP12239" s="4" t="s">
        <v>376</v>
      </c>
      <c r="AR12239" s="4" t="s">
        <v>377</v>
      </c>
    </row>
    <row r="12240" spans="1:44">
      <c r="A12240" s="4" t="s">
        <v>10753</v>
      </c>
      <c r="B12240" s="4">
        <v>236660</v>
      </c>
      <c r="D12240" s="5" t="s">
        <v>15059</v>
      </c>
      <c r="E12240" s="6" t="str">
        <f>HYPERLINK("https://inpn.mnhn.fr/espece/cd_nom/236660","Ceropales albicincta (Rossius, 1790)")</f>
        <v>Ceropales albicincta (Rossius, 1790)</v>
      </c>
      <c r="AH12240" s="4" t="str">
        <f>HYPERLINK("#Statut_biogéographique!A"&amp;_xlfn.XMATCH("P",Statut_biogéographique!A:A,2,1),"P")</f>
        <v>P</v>
      </c>
      <c r="AP12240" s="4" t="s">
        <v>376</v>
      </c>
      <c r="AR12240" s="4" t="s">
        <v>377</v>
      </c>
    </row>
    <row r="12241" spans="1:44">
      <c r="A12241" s="4" t="s">
        <v>10753</v>
      </c>
      <c r="B12241" s="4">
        <v>236663</v>
      </c>
      <c r="D12241" s="5">
        <v>236663</v>
      </c>
      <c r="E12241" s="6" t="str">
        <f>HYPERLINK("https://inpn.mnhn.fr/espece/cd_nom/236663","Ceropales maculata (Fabricius, 1775)")</f>
        <v>Ceropales maculata (Fabricius, 1775)</v>
      </c>
      <c r="AH12241" s="4" t="str">
        <f>HYPERLINK("#Statut_biogéographique!A"&amp;_xlfn.XMATCH("P",Statut_biogéographique!A:A,2,1),"P")</f>
        <v>P</v>
      </c>
      <c r="AP12241" s="4" t="s">
        <v>376</v>
      </c>
      <c r="AR12241" s="4" t="s">
        <v>377</v>
      </c>
    </row>
    <row r="12242" spans="1:44">
      <c r="A12242" s="4" t="s">
        <v>10753</v>
      </c>
      <c r="B12242" s="4">
        <v>23667</v>
      </c>
      <c r="D12242" s="5" t="s">
        <v>15060</v>
      </c>
      <c r="E12242" s="6" t="str">
        <f>HYPERLINK("https://inpn.mnhn.fr/espece/cd_nom/23667","Xylota sylvarum (Linnaeus, 1758)")</f>
        <v>Xylota sylvarum (Linnaeus, 1758)</v>
      </c>
      <c r="P12242" s="7" t="str">
        <f>HYPERLINK("#Liste_rouge!A"&amp;_xlfn.XMATCH("LC",Liste_rouge!A:A,2,1),"LC")</f>
        <v>LC</v>
      </c>
      <c r="AH12242" s="4" t="str">
        <f>HYPERLINK("#Statut_biogéographique!A"&amp;_xlfn.XMATCH("P",Statut_biogéographique!A:A,2,1),"P")</f>
        <v>P</v>
      </c>
      <c r="AP12242" s="4" t="s">
        <v>376</v>
      </c>
      <c r="AR12242" s="4" t="s">
        <v>377</v>
      </c>
    </row>
    <row r="12243" spans="1:44">
      <c r="A12243" s="4" t="s">
        <v>10753</v>
      </c>
      <c r="B12243" s="4">
        <v>23668</v>
      </c>
      <c r="D12243" s="5">
        <v>23668</v>
      </c>
      <c r="E12243" s="6" t="str">
        <f>HYPERLINK("https://inpn.mnhn.fr/espece/cd_nom/23668","Xylota tarda Meigen, 1822")</f>
        <v>Xylota tarda Meigen, 1822</v>
      </c>
      <c r="P12243" s="7" t="str">
        <f>HYPERLINK("#Liste_rouge!A"&amp;_xlfn.XMATCH("LC",Liste_rouge!A:A,2,1),"LC")</f>
        <v>LC</v>
      </c>
      <c r="AH12243" s="4" t="str">
        <f>HYPERLINK("#Statut_biogéographique!A"&amp;_xlfn.XMATCH("P",Statut_biogéographique!A:A,2,1),"P")</f>
        <v>P</v>
      </c>
      <c r="AP12243" s="4" t="s">
        <v>376</v>
      </c>
      <c r="AR12243" s="4" t="s">
        <v>377</v>
      </c>
    </row>
    <row r="12244" spans="1:44">
      <c r="A12244" s="4" t="s">
        <v>10753</v>
      </c>
      <c r="B12244" s="4">
        <v>23669</v>
      </c>
      <c r="D12244" s="5">
        <v>23669</v>
      </c>
      <c r="E12244" s="6" t="str">
        <f>HYPERLINK("https://inpn.mnhn.fr/espece/cd_nom/23669","Xylota xanthocnema Collin, 1939")</f>
        <v>Xylota xanthocnema Collin, 1939</v>
      </c>
      <c r="P12244" s="7" t="str">
        <f>HYPERLINK("#Liste_rouge!A"&amp;_xlfn.XMATCH("LC",Liste_rouge!A:A,2,1),"LC")</f>
        <v>LC</v>
      </c>
      <c r="AH12244" s="4" t="str">
        <f>HYPERLINK("#Statut_biogéographique!A"&amp;_xlfn.XMATCH("P",Statut_biogéographique!A:A,2,1),"P")</f>
        <v>P</v>
      </c>
      <c r="AP12244" s="4" t="s">
        <v>376</v>
      </c>
      <c r="AR12244" s="4" t="s">
        <v>377</v>
      </c>
    </row>
    <row r="12245" spans="1:44">
      <c r="A12245" s="4" t="s">
        <v>10753</v>
      </c>
      <c r="B12245" s="4">
        <v>23671</v>
      </c>
      <c r="D12245" s="5">
        <v>23671</v>
      </c>
      <c r="E12245" s="6" t="str">
        <f>HYPERLINK("https://inpn.mnhn.fr/espece/cd_nom/23671","Anasimyia contracta Claussen &amp; Torp, 1980")</f>
        <v>Anasimyia contracta Claussen &amp; Torp, 1980</v>
      </c>
      <c r="P12245" s="7" t="str">
        <f>HYPERLINK("#Liste_rouge!A"&amp;_xlfn.XMATCH("LC",Liste_rouge!A:A,2,1),"LC")</f>
        <v>LC</v>
      </c>
      <c r="AH12245" s="4" t="str">
        <f>HYPERLINK("#Statut_biogéographique!A"&amp;_xlfn.XMATCH("P",Statut_biogéographique!A:A,2,1),"P")</f>
        <v>P</v>
      </c>
      <c r="AP12245" s="4" t="s">
        <v>376</v>
      </c>
      <c r="AR12245" s="4" t="s">
        <v>377</v>
      </c>
    </row>
    <row r="12246" spans="1:44">
      <c r="A12246" s="4" t="s">
        <v>10753</v>
      </c>
      <c r="B12246" s="4">
        <v>23672</v>
      </c>
      <c r="D12246" s="5" t="s">
        <v>15061</v>
      </c>
      <c r="E12246" s="6" t="str">
        <f>HYPERLINK("https://inpn.mnhn.fr/espece/cd_nom/23672","Anasimyia interpuncta (Harris, 1778)")</f>
        <v>Anasimyia interpuncta (Harris, 1778)</v>
      </c>
      <c r="P12246" s="7" t="str">
        <f>HYPERLINK("#Liste_rouge!A"&amp;_xlfn.XMATCH("LC",Liste_rouge!A:A,2,1),"LC")</f>
        <v>LC</v>
      </c>
      <c r="AH12246" s="4" t="str">
        <f>HYPERLINK("#Statut_biogéographique!A"&amp;_xlfn.XMATCH("P",Statut_biogéographique!A:A,2,1),"P")</f>
        <v>P</v>
      </c>
      <c r="AP12246" s="4" t="s">
        <v>376</v>
      </c>
      <c r="AR12246" s="4" t="s">
        <v>377</v>
      </c>
    </row>
    <row r="12247" spans="1:44">
      <c r="A12247" s="4" t="s">
        <v>10753</v>
      </c>
      <c r="B12247" s="4">
        <v>23673</v>
      </c>
      <c r="D12247" s="5" t="s">
        <v>15062</v>
      </c>
      <c r="E12247" s="6" t="str">
        <f>HYPERLINK("https://inpn.mnhn.fr/espece/cd_nom/23673","Anasimyia lineata (Fabricius, 1787)")</f>
        <v>Anasimyia lineata (Fabricius, 1787)</v>
      </c>
      <c r="AH12247" s="4" t="str">
        <f>HYPERLINK("#Statut_biogéographique!A"&amp;_xlfn.XMATCH("P",Statut_biogéographique!A:A,2,1),"P")</f>
        <v>P</v>
      </c>
      <c r="AP12247" s="4" t="s">
        <v>376</v>
      </c>
      <c r="AR12247" s="4" t="s">
        <v>377</v>
      </c>
    </row>
    <row r="12248" spans="1:44">
      <c r="A12248" s="4" t="s">
        <v>10753</v>
      </c>
      <c r="B12248" s="4">
        <v>23674</v>
      </c>
      <c r="D12248" s="5" t="s">
        <v>15063</v>
      </c>
      <c r="E12248" s="6" t="str">
        <f>HYPERLINK("https://inpn.mnhn.fr/espece/cd_nom/23674","Anasimyia lunulata (Meigen, 1822)")</f>
        <v>Anasimyia lunulata (Meigen, 1822)</v>
      </c>
      <c r="P12248" s="7" t="str">
        <f>HYPERLINK("#Liste_rouge!A"&amp;_xlfn.XMATCH("LC",Liste_rouge!A:A,2,1),"LC")</f>
        <v>LC</v>
      </c>
      <c r="AH12248" s="4" t="str">
        <f>HYPERLINK("#Statut_biogéographique!A"&amp;_xlfn.XMATCH("P",Statut_biogéographique!A:A,2,1),"P")</f>
        <v>P</v>
      </c>
      <c r="AP12248" s="4" t="s">
        <v>376</v>
      </c>
      <c r="AR12248" s="4" t="s">
        <v>377</v>
      </c>
    </row>
    <row r="12249" spans="1:44">
      <c r="A12249" s="4" t="s">
        <v>10753</v>
      </c>
      <c r="B12249" s="4">
        <v>23675</v>
      </c>
      <c r="D12249" s="5" t="s">
        <v>15064</v>
      </c>
      <c r="E12249" s="6" t="str">
        <f>HYPERLINK("https://inpn.mnhn.fr/espece/cd_nom/23675","Anasimyia transfuga (Linnaeus, 1758)")</f>
        <v>Anasimyia transfuga (Linnaeus, 1758)</v>
      </c>
      <c r="P12249" s="7" t="str">
        <f>HYPERLINK("#Liste_rouge!A"&amp;_xlfn.XMATCH("LC",Liste_rouge!A:A,2,1),"LC")</f>
        <v>LC</v>
      </c>
      <c r="AH12249" s="4" t="str">
        <f>HYPERLINK("#Statut_biogéographique!A"&amp;_xlfn.XMATCH("P",Statut_biogéographique!A:A,2,1),"P")</f>
        <v>P</v>
      </c>
      <c r="AP12249" s="4" t="s">
        <v>376</v>
      </c>
      <c r="AR12249" s="4" t="s">
        <v>377</v>
      </c>
    </row>
    <row r="12250" spans="1:44">
      <c r="A12250" s="4" t="s">
        <v>10753</v>
      </c>
      <c r="B12250" s="4">
        <v>23678</v>
      </c>
      <c r="D12250" s="5" t="s">
        <v>15065</v>
      </c>
      <c r="E12250" s="6" t="str">
        <f>HYPERLINK("https://inpn.mnhn.fr/espece/cd_nom/23678","Blera fallax (Linnaeus, 1758)")</f>
        <v>Blera fallax (Linnaeus, 1758)</v>
      </c>
      <c r="P12250" s="7" t="str">
        <f>HYPERLINK("#Liste_rouge!A"&amp;_xlfn.XMATCH("LC",Liste_rouge!A:A,2,1),"LC")</f>
        <v>LC</v>
      </c>
      <c r="AH12250" s="4" t="str">
        <f>HYPERLINK("#Statut_biogéographique!A"&amp;_xlfn.XMATCH("P",Statut_biogéographique!A:A,2,1),"P")</f>
        <v>P</v>
      </c>
      <c r="AP12250" s="4" t="s">
        <v>376</v>
      </c>
      <c r="AR12250" s="4" t="s">
        <v>377</v>
      </c>
    </row>
    <row r="12251" spans="1:44">
      <c r="A12251" s="4" t="s">
        <v>10753</v>
      </c>
      <c r="B12251" s="4">
        <v>23683</v>
      </c>
      <c r="D12251" s="5" t="s">
        <v>15066</v>
      </c>
      <c r="E12251" s="6" t="str">
        <f>HYPERLINK("https://inpn.mnhn.fr/espece/cd_nom/23683","Ceriana conopsoides (Linnaeus, 1758)")</f>
        <v>Ceriana conopsoides (Linnaeus, 1758)</v>
      </c>
      <c r="P12251" s="7" t="str">
        <f>HYPERLINK("#Liste_rouge!A"&amp;_xlfn.XMATCH("LC",Liste_rouge!A:A,2,1),"LC")</f>
        <v>LC</v>
      </c>
      <c r="AH12251" s="4" t="str">
        <f>HYPERLINK("#Statut_biogéographique!A"&amp;_xlfn.XMATCH("P",Statut_biogéographique!A:A,2,1),"P")</f>
        <v>P</v>
      </c>
      <c r="AP12251" s="4" t="s">
        <v>376</v>
      </c>
      <c r="AR12251" s="4" t="s">
        <v>377</v>
      </c>
    </row>
    <row r="12252" spans="1:44">
      <c r="A12252" s="4" t="s">
        <v>10753</v>
      </c>
      <c r="B12252" s="4">
        <v>23686</v>
      </c>
      <c r="D12252" s="5" t="s">
        <v>15067</v>
      </c>
      <c r="E12252" s="6" t="str">
        <f>HYPERLINK("https://inpn.mnhn.fr/espece/cd_nom/23686","Criorhina asilica (Fallén, 1816)")</f>
        <v>Criorhina asilica (Fallén, 1816)</v>
      </c>
      <c r="O12252" s="7" t="str">
        <f>HYPERLINK("#Liste_rouge!A"&amp;_xlfn.XMATCH("LC",Liste_rouge!A:A,2,1),"LC")</f>
        <v>LC</v>
      </c>
      <c r="P12252" s="7" t="str">
        <f>HYPERLINK("#Liste_rouge!A"&amp;_xlfn.XMATCH("LC",Liste_rouge!A:A,2,1),"LC")</f>
        <v>LC</v>
      </c>
      <c r="AH12252" s="4" t="str">
        <f>HYPERLINK("#Statut_biogéographique!A"&amp;_xlfn.XMATCH("P",Statut_biogéographique!A:A,2,1),"P")</f>
        <v>P</v>
      </c>
      <c r="AP12252" s="4" t="s">
        <v>376</v>
      </c>
      <c r="AR12252" s="4" t="s">
        <v>377</v>
      </c>
    </row>
    <row r="12253" spans="1:44">
      <c r="A12253" s="4" t="s">
        <v>10753</v>
      </c>
      <c r="B12253" s="4">
        <v>23687</v>
      </c>
      <c r="D12253" s="5" t="s">
        <v>15068</v>
      </c>
      <c r="E12253" s="6" t="str">
        <f>HYPERLINK("https://inpn.mnhn.fr/espece/cd_nom/23687","Criorhina berberina (Fabricius, 1805)")</f>
        <v>Criorhina berberina (Fabricius, 1805)</v>
      </c>
      <c r="P12253" s="7" t="str">
        <f>HYPERLINK("#Liste_rouge!A"&amp;_xlfn.XMATCH("LC",Liste_rouge!A:A,2,1),"LC")</f>
        <v>LC</v>
      </c>
      <c r="AH12253" s="4" t="str">
        <f>HYPERLINK("#Statut_biogéographique!A"&amp;_xlfn.XMATCH("P",Statut_biogéographique!A:A,2,1),"P")</f>
        <v>P</v>
      </c>
      <c r="AP12253" s="4" t="s">
        <v>376</v>
      </c>
      <c r="AR12253" s="4" t="s">
        <v>377</v>
      </c>
    </row>
    <row r="12254" spans="1:44">
      <c r="A12254" s="4" t="s">
        <v>10753</v>
      </c>
      <c r="B12254" s="4">
        <v>23689</v>
      </c>
      <c r="D12254" s="5" t="s">
        <v>15069</v>
      </c>
      <c r="E12254" s="6" t="str">
        <f>HYPERLINK("https://inpn.mnhn.fr/espece/cd_nom/23689","Criorhina floccosa (Meigen, 1822)")</f>
        <v>Criorhina floccosa (Meigen, 1822)</v>
      </c>
      <c r="P12254" s="7" t="str">
        <f>HYPERLINK("#Liste_rouge!A"&amp;_xlfn.XMATCH("LC",Liste_rouge!A:A,2,1),"LC")</f>
        <v>LC</v>
      </c>
      <c r="AH12254" s="4" t="str">
        <f>HYPERLINK("#Statut_biogéographique!A"&amp;_xlfn.XMATCH("P",Statut_biogéographique!A:A,2,1),"P")</f>
        <v>P</v>
      </c>
      <c r="AP12254" s="4" t="s">
        <v>376</v>
      </c>
      <c r="AR12254" s="4" t="s">
        <v>377</v>
      </c>
    </row>
    <row r="12255" spans="1:44">
      <c r="A12255" s="4" t="s">
        <v>10753</v>
      </c>
      <c r="B12255" s="4">
        <v>23690</v>
      </c>
      <c r="D12255" s="5" t="s">
        <v>15070</v>
      </c>
      <c r="E12255" s="6" t="str">
        <f>HYPERLINK("https://inpn.mnhn.fr/espece/cd_nom/23690","Criorhina pachymera (Egger, 1858)")</f>
        <v>Criorhina pachymera (Egger, 1858)</v>
      </c>
      <c r="O12255" s="7" t="str">
        <f>HYPERLINK("#Liste_rouge!A"&amp;_xlfn.XMATCH("LC",Liste_rouge!A:A,2,1),"LC")</f>
        <v>LC</v>
      </c>
      <c r="P12255" s="7" t="str">
        <f>HYPERLINK("#Liste_rouge!A"&amp;_xlfn.XMATCH("LC",Liste_rouge!A:A,2,1),"LC")</f>
        <v>LC</v>
      </c>
      <c r="AH12255" s="4" t="str">
        <f>HYPERLINK("#Statut_biogéographique!A"&amp;_xlfn.XMATCH("P",Statut_biogéographique!A:A,2,1),"P")</f>
        <v>P</v>
      </c>
      <c r="AP12255" s="4" t="s">
        <v>376</v>
      </c>
      <c r="AR12255" s="4" t="s">
        <v>377</v>
      </c>
    </row>
    <row r="12256" spans="1:44">
      <c r="A12256" s="4" t="s">
        <v>10753</v>
      </c>
      <c r="B12256" s="4">
        <v>23692</v>
      </c>
      <c r="D12256" s="5" t="s">
        <v>15071</v>
      </c>
      <c r="E12256" s="6" t="str">
        <f>HYPERLINK("https://inpn.mnhn.fr/espece/cd_nom/23692","Criorhina ranunculi (Panzer, 1804)")</f>
        <v>Criorhina ranunculi (Panzer, 1804)</v>
      </c>
      <c r="O12256" s="7" t="str">
        <f>HYPERLINK("#Liste_rouge!A"&amp;_xlfn.XMATCH("LC",Liste_rouge!A:A,2,1),"LC")</f>
        <v>LC</v>
      </c>
      <c r="P12256" s="7" t="str">
        <f>HYPERLINK("#Liste_rouge!A"&amp;_xlfn.XMATCH("LC",Liste_rouge!A:A,2,1),"LC")</f>
        <v>LC</v>
      </c>
      <c r="AH12256" s="4" t="str">
        <f>HYPERLINK("#Statut_biogéographique!A"&amp;_xlfn.XMATCH("P",Statut_biogéographique!A:A,2,1),"P")</f>
        <v>P</v>
      </c>
      <c r="AP12256" s="4" t="s">
        <v>376</v>
      </c>
      <c r="AR12256" s="4" t="s">
        <v>377</v>
      </c>
    </row>
    <row r="12257" spans="1:44" ht="45">
      <c r="A12257" s="4" t="s">
        <v>10753</v>
      </c>
      <c r="B12257" s="4">
        <v>23697</v>
      </c>
      <c r="D12257" s="5" t="s">
        <v>15072</v>
      </c>
      <c r="E12257" s="6" t="str">
        <f>HYPERLINK("https://inpn.mnhn.fr/espece/cd_nom/23697","Eristalinus aeneus (Scopoli, 1763)")</f>
        <v>Eristalinus aeneus (Scopoli, 1763)</v>
      </c>
      <c r="P12257" s="7" t="str">
        <f>HYPERLINK("#Liste_rouge!A"&amp;_xlfn.XMATCH("LC",Liste_rouge!A:A,2,1),"LC")</f>
        <v>LC</v>
      </c>
      <c r="AH12257" s="4" t="str">
        <f>HYPERLINK("#Statut_biogéographique!A"&amp;_xlfn.XMATCH("P",Statut_biogéographique!A:A,2,1),"P")</f>
        <v>P</v>
      </c>
      <c r="AP12257" s="4" t="s">
        <v>376</v>
      </c>
      <c r="AR12257" s="4" t="s">
        <v>377</v>
      </c>
    </row>
    <row r="12258" spans="1:44">
      <c r="A12258" s="4" t="s">
        <v>10753</v>
      </c>
      <c r="B12258" s="4">
        <v>237039</v>
      </c>
      <c r="D12258" s="5" t="s">
        <v>15073</v>
      </c>
      <c r="E12258" s="6" t="str">
        <f>HYPERLINK("https://inpn.mnhn.fr/espece/cd_nom/237039","Cylisticus convexus (De Geer, 1778)")</f>
        <v>Cylisticus convexus (De Geer, 1778)</v>
      </c>
      <c r="AH12258" s="4" t="str">
        <f>HYPERLINK("#Statut_biogéographique!A"&amp;_xlfn.XMATCH("P",Statut_biogéographique!A:A,2,1),"P")</f>
        <v>P</v>
      </c>
      <c r="AP12258" s="4" t="s">
        <v>376</v>
      </c>
      <c r="AR12258" s="4" t="s">
        <v>377</v>
      </c>
    </row>
    <row r="12259" spans="1:44" ht="45">
      <c r="A12259" s="4" t="s">
        <v>10753</v>
      </c>
      <c r="B12259" s="4">
        <v>23705</v>
      </c>
      <c r="D12259" s="5" t="s">
        <v>15074</v>
      </c>
      <c r="E12259" s="6" t="str">
        <f>HYPERLINK("https://inpn.mnhn.fr/espece/cd_nom/23705","Eristalis arbustorum (Linnaeus, 1758)")</f>
        <v>Eristalis arbustorum (Linnaeus, 1758)</v>
      </c>
      <c r="P12259" s="7" t="str">
        <f>HYPERLINK("#Liste_rouge!A"&amp;_xlfn.XMATCH("LC",Liste_rouge!A:A,2,1),"LC")</f>
        <v>LC</v>
      </c>
      <c r="AH12259" s="4" t="str">
        <f>HYPERLINK("#Statut_biogéographique!A"&amp;_xlfn.XMATCH("P",Statut_biogéographique!A:A,2,1),"P")</f>
        <v>P</v>
      </c>
      <c r="AP12259" s="4" t="s">
        <v>376</v>
      </c>
      <c r="AR12259" s="4" t="s">
        <v>377</v>
      </c>
    </row>
    <row r="12260" spans="1:44">
      <c r="A12260" s="4" t="s">
        <v>10753</v>
      </c>
      <c r="B12260" s="4">
        <v>237050</v>
      </c>
      <c r="D12260" s="5">
        <v>237050</v>
      </c>
      <c r="E12260" s="6" t="str">
        <f>HYPERLINK("https://inpn.mnhn.fr/espece/cd_nom/237050","Ligidium hypnorum (Cuvier, 1792)")</f>
        <v>Ligidium hypnorum (Cuvier, 1792)</v>
      </c>
      <c r="F12260" s="5" t="s">
        <v>15075</v>
      </c>
      <c r="AH12260" s="4" t="str">
        <f>HYPERLINK("#Statut_biogéographique!A"&amp;_xlfn.XMATCH("P",Statut_biogéographique!A:A,2,1),"P")</f>
        <v>P</v>
      </c>
      <c r="AP12260" s="4" t="s">
        <v>376</v>
      </c>
      <c r="AR12260" s="4" t="s">
        <v>377</v>
      </c>
    </row>
    <row r="12261" spans="1:44">
      <c r="A12261" s="4" t="s">
        <v>10753</v>
      </c>
      <c r="B12261" s="4">
        <v>237051</v>
      </c>
      <c r="D12261" s="5">
        <v>237051</v>
      </c>
      <c r="E12261" s="6" t="str">
        <f>HYPERLINK("https://inpn.mnhn.fr/espece/cd_nom/237051","Oniscus asellus Linnaeus, 1758")</f>
        <v>Oniscus asellus Linnaeus, 1758</v>
      </c>
      <c r="F12261" s="5" t="s">
        <v>15076</v>
      </c>
      <c r="AH12261" s="4" t="str">
        <f>HYPERLINK("#Statut_biogéographique!A"&amp;_xlfn.XMATCH("P",Statut_biogéographique!A:A,2,1),"P")</f>
        <v>P</v>
      </c>
      <c r="AP12261" s="4" t="s">
        <v>376</v>
      </c>
      <c r="AR12261" s="4" t="s">
        <v>377</v>
      </c>
    </row>
    <row r="12262" spans="1:44">
      <c r="A12262" s="4" t="s">
        <v>10753</v>
      </c>
      <c r="B12262" s="4">
        <v>237061</v>
      </c>
      <c r="D12262" s="5" t="s">
        <v>15077</v>
      </c>
      <c r="E12262" s="6" t="str">
        <f>HYPERLINK("https://inpn.mnhn.fr/espece/cd_nom/237061","Philoscia muscorum (Scopoli, 1763)")</f>
        <v>Philoscia muscorum (Scopoli, 1763)</v>
      </c>
      <c r="F12262" s="5" t="s">
        <v>15078</v>
      </c>
      <c r="AH12262" s="4" t="str">
        <f>HYPERLINK("#Statut_biogéographique!A"&amp;_xlfn.XMATCH("P",Statut_biogéographique!A:A,2,1),"P")</f>
        <v>P</v>
      </c>
      <c r="AP12262" s="4" t="s">
        <v>376</v>
      </c>
      <c r="AR12262" s="4" t="s">
        <v>377</v>
      </c>
    </row>
    <row r="12263" spans="1:44">
      <c r="A12263" s="4" t="s">
        <v>10753</v>
      </c>
      <c r="B12263" s="4">
        <v>23707</v>
      </c>
      <c r="D12263" s="5" t="s">
        <v>15079</v>
      </c>
      <c r="E12263" s="6" t="str">
        <f>HYPERLINK("https://inpn.mnhn.fr/espece/cd_nom/23707","Eristalis horticola (De Geer, 1776)")</f>
        <v>Eristalis horticola (De Geer, 1776)</v>
      </c>
      <c r="P12263" s="7" t="str">
        <f>HYPERLINK("#Liste_rouge!A"&amp;_xlfn.XMATCH("LC",Liste_rouge!A:A,2,1),"LC")</f>
        <v>LC</v>
      </c>
      <c r="AH12263" s="4" t="str">
        <f>HYPERLINK("#Statut_biogéographique!A"&amp;_xlfn.XMATCH("P",Statut_biogéographique!A:A,2,1),"P")</f>
        <v>P</v>
      </c>
      <c r="AP12263" s="4" t="s">
        <v>376</v>
      </c>
      <c r="AR12263" s="4" t="s">
        <v>377</v>
      </c>
    </row>
    <row r="12264" spans="1:44">
      <c r="A12264" s="4" t="s">
        <v>10753</v>
      </c>
      <c r="B12264" s="4">
        <v>237085</v>
      </c>
      <c r="D12264" s="5">
        <v>237085</v>
      </c>
      <c r="E12264" s="6" t="str">
        <f>HYPERLINK("https://inpn.mnhn.fr/espece/cd_nom/237085","Porcellio dilatatus Brandt, 1833")</f>
        <v>Porcellio dilatatus Brandt, 1833</v>
      </c>
      <c r="AH12264" s="4" t="str">
        <f>HYPERLINK("#Statut_biogéographique!A"&amp;_xlfn.XMATCH("P",Statut_biogéographique!A:A,2,1),"P")</f>
        <v>P</v>
      </c>
      <c r="AP12264" s="4" t="s">
        <v>376</v>
      </c>
      <c r="AR12264" s="4" t="s">
        <v>377</v>
      </c>
    </row>
    <row r="12265" spans="1:44">
      <c r="A12265" s="4" t="s">
        <v>10753</v>
      </c>
      <c r="B12265" s="4">
        <v>23710</v>
      </c>
      <c r="D12265" s="5">
        <v>23710</v>
      </c>
      <c r="E12265" s="6" t="str">
        <f>HYPERLINK("https://inpn.mnhn.fr/espece/cd_nom/23710","Eristalis jugorum Egger, 1858")</f>
        <v>Eristalis jugorum Egger, 1858</v>
      </c>
      <c r="P12265" s="7" t="str">
        <f>HYPERLINK("#Liste_rouge!A"&amp;_xlfn.XMATCH("LC",Liste_rouge!A:A,2,1),"LC")</f>
        <v>LC</v>
      </c>
      <c r="AH12265" s="4" t="str">
        <f>HYPERLINK("#Statut_biogéographique!A"&amp;_xlfn.XMATCH("P",Statut_biogéographique!A:A,2,1),"P")</f>
        <v>P</v>
      </c>
      <c r="AP12265" s="4" t="s">
        <v>376</v>
      </c>
      <c r="AR12265" s="4" t="s">
        <v>377</v>
      </c>
    </row>
    <row r="12266" spans="1:44">
      <c r="A12266" s="4" t="s">
        <v>10753</v>
      </c>
      <c r="B12266" s="4">
        <v>23711</v>
      </c>
      <c r="D12266" s="5" t="s">
        <v>15080</v>
      </c>
      <c r="E12266" s="6" t="str">
        <f>HYPERLINK("https://inpn.mnhn.fr/espece/cd_nom/23711","Eristalis nemorum (Linnaeus, 1758)")</f>
        <v>Eristalis nemorum (Linnaeus, 1758)</v>
      </c>
      <c r="P12266" s="7" t="str">
        <f>HYPERLINK("#Liste_rouge!A"&amp;_xlfn.XMATCH("LC",Liste_rouge!A:A,2,1),"LC")</f>
        <v>LC</v>
      </c>
      <c r="AH12266" s="4" t="str">
        <f>HYPERLINK("#Statut_biogéographique!A"&amp;_xlfn.XMATCH("P",Statut_biogéographique!A:A,2,1),"P")</f>
        <v>P</v>
      </c>
      <c r="AP12266" s="4" t="s">
        <v>376</v>
      </c>
      <c r="AR12266" s="4" t="s">
        <v>377</v>
      </c>
    </row>
    <row r="12267" spans="1:44">
      <c r="A12267" s="4" t="s">
        <v>10753</v>
      </c>
      <c r="B12267" s="4">
        <v>23712</v>
      </c>
      <c r="D12267" s="5" t="s">
        <v>15081</v>
      </c>
      <c r="E12267" s="6" t="str">
        <f>HYPERLINK("https://inpn.mnhn.fr/espece/cd_nom/23712","Eristalis pertinax (Scopoli, 1763)")</f>
        <v>Eristalis pertinax (Scopoli, 1763)</v>
      </c>
      <c r="P12267" s="7" t="str">
        <f>HYPERLINK("#Liste_rouge!A"&amp;_xlfn.XMATCH("LC",Liste_rouge!A:A,2,1),"LC")</f>
        <v>LC</v>
      </c>
      <c r="AH12267" s="4" t="str">
        <f>HYPERLINK("#Statut_biogéographique!A"&amp;_xlfn.XMATCH("P",Statut_biogéographique!A:A,2,1),"P")</f>
        <v>P</v>
      </c>
      <c r="AP12267" s="4" t="s">
        <v>376</v>
      </c>
      <c r="AR12267" s="4" t="s">
        <v>377</v>
      </c>
    </row>
    <row r="12268" spans="1:44">
      <c r="A12268" s="4" t="s">
        <v>10753</v>
      </c>
      <c r="B12268" s="4">
        <v>237120</v>
      </c>
      <c r="D12268" s="5">
        <v>237120</v>
      </c>
      <c r="E12268" s="6" t="str">
        <f>HYPERLINK("https://inpn.mnhn.fr/espece/cd_nom/237120","Androniscus dentiger Verhoeff, 1908")</f>
        <v>Androniscus dentiger Verhoeff, 1908</v>
      </c>
      <c r="AH12268" s="4" t="str">
        <f>HYPERLINK("#Statut_biogéographique!A"&amp;_xlfn.XMATCH("P",Statut_biogéographique!A:A,2,1),"P")</f>
        <v>P</v>
      </c>
      <c r="AP12268" s="4" t="s">
        <v>376</v>
      </c>
      <c r="AR12268" s="4" t="s">
        <v>377</v>
      </c>
    </row>
    <row r="12269" spans="1:44">
      <c r="A12269" s="4" t="s">
        <v>10753</v>
      </c>
      <c r="B12269" s="4">
        <v>237130</v>
      </c>
      <c r="D12269" s="5" t="s">
        <v>15082</v>
      </c>
      <c r="E12269" s="6" t="str">
        <f>HYPERLINK("https://inpn.mnhn.fr/espece/cd_nom/237130","Haplophthalmus danicus Budde-Lund, 1880")</f>
        <v>Haplophthalmus danicus Budde-Lund, 1880</v>
      </c>
      <c r="AH12269" s="4" t="str">
        <f>HYPERLINK("#Statut_biogéographique!A"&amp;_xlfn.XMATCH("P",Statut_biogéographique!A:A,2,1),"P")</f>
        <v>P</v>
      </c>
      <c r="AP12269" s="4" t="s">
        <v>376</v>
      </c>
      <c r="AR12269" s="4" t="s">
        <v>377</v>
      </c>
    </row>
    <row r="12270" spans="1:44">
      <c r="A12270" s="4" t="s">
        <v>10753</v>
      </c>
      <c r="B12270" s="4">
        <v>23716</v>
      </c>
      <c r="D12270" s="5">
        <v>23716</v>
      </c>
      <c r="E12270" s="6" t="str">
        <f>HYPERLINK("https://inpn.mnhn.fr/espece/cd_nom/23716","Eristalis rupium Fabricius, 1805")</f>
        <v>Eristalis rupium Fabricius, 1805</v>
      </c>
      <c r="P12270" s="7" t="str">
        <f>HYPERLINK("#Liste_rouge!A"&amp;_xlfn.XMATCH("LC",Liste_rouge!A:A,2,1),"LC")</f>
        <v>LC</v>
      </c>
      <c r="AH12270" s="4" t="str">
        <f>HYPERLINK("#Statut_biogéographique!A"&amp;_xlfn.XMATCH("P",Statut_biogéographique!A:A,2,1),"P")</f>
        <v>P</v>
      </c>
      <c r="AP12270" s="4" t="s">
        <v>376</v>
      </c>
      <c r="AR12270" s="4" t="s">
        <v>377</v>
      </c>
    </row>
    <row r="12271" spans="1:44">
      <c r="A12271" s="4" t="s">
        <v>10753</v>
      </c>
      <c r="B12271" s="4">
        <v>237171</v>
      </c>
      <c r="D12271" s="5" t="s">
        <v>15083</v>
      </c>
      <c r="E12271" s="6" t="str">
        <f>HYPERLINK("https://inpn.mnhn.fr/espece/cd_nom/237171","Oritoniscus virei (Carl, 1908)")</f>
        <v>Oritoniscus virei (Carl, 1908)</v>
      </c>
      <c r="AH12271" s="4" t="str">
        <f>HYPERLINK("#Statut_biogéographique!A"&amp;_xlfn.XMATCH("E",Statut_biogéographique!A:A,2,1),"E")</f>
        <v>E</v>
      </c>
      <c r="AP12271" s="4" t="s">
        <v>376</v>
      </c>
      <c r="AR12271" s="4" t="s">
        <v>377</v>
      </c>
    </row>
    <row r="12272" spans="1:44">
      <c r="A12272" s="4" t="s">
        <v>10753</v>
      </c>
      <c r="B12272" s="4">
        <v>237187</v>
      </c>
      <c r="D12272" s="5">
        <v>237187</v>
      </c>
      <c r="E12272" s="6" t="str">
        <f>HYPERLINK("https://inpn.mnhn.fr/espece/cd_nom/237187","Trichoniscoides mixtus Racovitza, 1908")</f>
        <v>Trichoniscoides mixtus Racovitza, 1908</v>
      </c>
      <c r="AH12272" s="4" t="str">
        <f>HYPERLINK("#Statut_biogéographique!A"&amp;_xlfn.XMATCH("E",Statut_biogéographique!A:A,2,1),"E")</f>
        <v>E</v>
      </c>
      <c r="AP12272" s="4" t="s">
        <v>376</v>
      </c>
      <c r="AR12272" s="4" t="s">
        <v>377</v>
      </c>
    </row>
    <row r="12273" spans="1:44">
      <c r="A12273" s="4" t="s">
        <v>10753</v>
      </c>
      <c r="B12273" s="4">
        <v>237211</v>
      </c>
      <c r="D12273" s="5" t="s">
        <v>15084</v>
      </c>
      <c r="E12273" s="6" t="str">
        <f>HYPERLINK("https://inpn.mnhn.fr/espece/cd_nom/237211","Trichoniscus pusillus Brandt, 1833")</f>
        <v>Trichoniscus pusillus Brandt, 1833</v>
      </c>
      <c r="AH12273" s="4" t="str">
        <f>HYPERLINK("#Statut_biogéographique!A"&amp;_xlfn.XMATCH("P",Statut_biogéographique!A:A,2,1),"P")</f>
        <v>P</v>
      </c>
      <c r="AP12273" s="4" t="s">
        <v>376</v>
      </c>
      <c r="AR12273" s="4" t="s">
        <v>377</v>
      </c>
    </row>
    <row r="12274" spans="1:44">
      <c r="A12274" s="4" t="s">
        <v>10753</v>
      </c>
      <c r="B12274" s="4">
        <v>23722</v>
      </c>
      <c r="D12274" s="5" t="s">
        <v>15085</v>
      </c>
      <c r="E12274" s="6" t="str">
        <f>HYPERLINK("https://inpn.mnhn.fr/espece/cd_nom/23722","Opetia nigra Meigen, 1830")</f>
        <v>Opetia nigra Meigen, 1830</v>
      </c>
      <c r="AH12274" s="4" t="str">
        <f>HYPERLINK("#Statut_biogéographique!A"&amp;_xlfn.XMATCH("P",Statut_biogéographique!A:A,2,1),"P")</f>
        <v>P</v>
      </c>
      <c r="AP12274" s="4" t="s">
        <v>376</v>
      </c>
      <c r="AR12274" s="4" t="s">
        <v>377</v>
      </c>
    </row>
    <row r="12275" spans="1:44" ht="30">
      <c r="A12275" s="4" t="s">
        <v>10753</v>
      </c>
      <c r="B12275" s="4">
        <v>237227</v>
      </c>
      <c r="D12275" s="5" t="s">
        <v>15086</v>
      </c>
      <c r="E12275" s="6" t="str">
        <f>HYPERLINK("https://inpn.mnhn.fr/espece/cd_nom/237227","Simulium erythrocephalum (De Geer, 1776)")</f>
        <v>Simulium erythrocephalum (De Geer, 1776)</v>
      </c>
      <c r="AH12275" s="4" t="str">
        <f>HYPERLINK("#Statut_biogéographique!A"&amp;_xlfn.XMATCH("P",Statut_biogéographique!A:A,2,1),"P")</f>
        <v>P</v>
      </c>
      <c r="AP12275" s="4" t="s">
        <v>376</v>
      </c>
      <c r="AR12275" s="4" t="s">
        <v>377</v>
      </c>
    </row>
    <row r="12276" spans="1:44">
      <c r="A12276" s="4" t="s">
        <v>10753</v>
      </c>
      <c r="B12276" s="4">
        <v>237275</v>
      </c>
      <c r="D12276" s="5" t="s">
        <v>15087</v>
      </c>
      <c r="E12276" s="6" t="str">
        <f>HYPERLINK("https://inpn.mnhn.fr/espece/cd_nom/237275","Glaenocorisa propinqua (Fieber, 1860)")</f>
        <v>Glaenocorisa propinqua (Fieber, 1860)</v>
      </c>
      <c r="AH12276" s="4" t="str">
        <f>HYPERLINK("#Statut_biogéographique!A"&amp;_xlfn.XMATCH("P",Statut_biogéographique!A:A,2,1),"P")</f>
        <v>P</v>
      </c>
      <c r="AP12276" s="4" t="s">
        <v>376</v>
      </c>
      <c r="AR12276" s="4" t="s">
        <v>377</v>
      </c>
    </row>
    <row r="12277" spans="1:44">
      <c r="A12277" s="4" t="s">
        <v>10753</v>
      </c>
      <c r="B12277" s="4">
        <v>237278</v>
      </c>
      <c r="D12277" s="5" t="s">
        <v>15088</v>
      </c>
      <c r="E12277" s="6" t="str">
        <f>HYPERLINK("https://inpn.mnhn.fr/espece/cd_nom/237278","Sigara nigrolineata (Fieber, 1848)")</f>
        <v>Sigara nigrolineata (Fieber, 1848)</v>
      </c>
      <c r="AH12277" s="4" t="str">
        <f>HYPERLINK("#Statut_biogéographique!A"&amp;_xlfn.XMATCH("P",Statut_biogéographique!A:A,2,1),"P")</f>
        <v>P</v>
      </c>
      <c r="AP12277" s="4" t="s">
        <v>376</v>
      </c>
      <c r="AR12277" s="4" t="s">
        <v>377</v>
      </c>
    </row>
    <row r="12278" spans="1:44">
      <c r="A12278" s="4" t="s">
        <v>10753</v>
      </c>
      <c r="B12278" s="4">
        <v>237279</v>
      </c>
      <c r="D12278" s="5" t="s">
        <v>15089</v>
      </c>
      <c r="E12278" s="6" t="str">
        <f>HYPERLINK("https://inpn.mnhn.fr/espece/cd_nom/237279","Sigara limitata (Fieber, 1848)")</f>
        <v>Sigara limitata (Fieber, 1848)</v>
      </c>
      <c r="AH12278" s="4" t="str">
        <f>HYPERLINK("#Statut_biogéographique!A"&amp;_xlfn.XMATCH("P",Statut_biogéographique!A:A,2,1),"P")</f>
        <v>P</v>
      </c>
      <c r="AP12278" s="4" t="s">
        <v>376</v>
      </c>
      <c r="AR12278" s="4" t="s">
        <v>377</v>
      </c>
    </row>
    <row r="12279" spans="1:44">
      <c r="A12279" s="4" t="s">
        <v>10753</v>
      </c>
      <c r="B12279" s="4">
        <v>23728</v>
      </c>
      <c r="D12279" s="5">
        <v>23728</v>
      </c>
      <c r="E12279" s="6" t="str">
        <f>HYPERLINK("https://inpn.mnhn.fr/espece/cd_nom/23728","Platypeza consobrina Zetterstedt, 1844")</f>
        <v>Platypeza consobrina Zetterstedt, 1844</v>
      </c>
      <c r="AH12279" s="4" t="str">
        <f>HYPERLINK("#Statut_biogéographique!A"&amp;_xlfn.XMATCH("P",Statut_biogéographique!A:A,2,1),"P")</f>
        <v>P</v>
      </c>
      <c r="AP12279" s="4" t="s">
        <v>376</v>
      </c>
      <c r="AR12279" s="4" t="s">
        <v>377</v>
      </c>
    </row>
    <row r="12280" spans="1:44">
      <c r="A12280" s="4" t="s">
        <v>10753</v>
      </c>
      <c r="B12280" s="4">
        <v>237280</v>
      </c>
      <c r="D12280" s="5" t="s">
        <v>15090</v>
      </c>
      <c r="E12280" s="6" t="str">
        <f>HYPERLINK("https://inpn.mnhn.fr/espece/cd_nom/237280","Sigara semistriata (Fieber, 1848)")</f>
        <v>Sigara semistriata (Fieber, 1848)</v>
      </c>
      <c r="AH12280" s="4" t="str">
        <f>HYPERLINK("#Statut_biogéographique!A"&amp;_xlfn.XMATCH("P",Statut_biogéographique!A:A,2,1),"P")</f>
        <v>P</v>
      </c>
      <c r="AP12280" s="4" t="s">
        <v>376</v>
      </c>
      <c r="AR12280" s="4" t="s">
        <v>377</v>
      </c>
    </row>
    <row r="12281" spans="1:44">
      <c r="A12281" s="4" t="s">
        <v>10753</v>
      </c>
      <c r="B12281" s="4">
        <v>237281</v>
      </c>
      <c r="D12281" s="5" t="s">
        <v>15091</v>
      </c>
      <c r="E12281" s="6" t="str">
        <f>HYPERLINK("https://inpn.mnhn.fr/espece/cd_nom/237281","Sigara venusta (Douglas &amp; Scott, 1869)")</f>
        <v>Sigara venusta (Douglas &amp; Scott, 1869)</v>
      </c>
      <c r="AH12281" s="4" t="str">
        <f>HYPERLINK("#Statut_biogéographique!A"&amp;_xlfn.XMATCH("P",Statut_biogéographique!A:A,2,1),"P")</f>
        <v>P</v>
      </c>
      <c r="AP12281" s="4" t="s">
        <v>376</v>
      </c>
      <c r="AR12281" s="4" t="s">
        <v>377</v>
      </c>
    </row>
    <row r="12282" spans="1:44" ht="30">
      <c r="A12282" s="4" t="s">
        <v>10753</v>
      </c>
      <c r="B12282" s="4">
        <v>237283</v>
      </c>
      <c r="D12282" s="5" t="s">
        <v>15092</v>
      </c>
      <c r="E12282" s="6" t="str">
        <f>HYPERLINK("https://inpn.mnhn.fr/espece/cd_nom/237283","Sigara striata (Linnaeus, 1758)")</f>
        <v>Sigara striata (Linnaeus, 1758)</v>
      </c>
      <c r="AH12282" s="4" t="str">
        <f>HYPERLINK("#Statut_biogéographique!A"&amp;_xlfn.XMATCH("P",Statut_biogéographique!A:A,2,1),"P")</f>
        <v>P</v>
      </c>
      <c r="AP12282" s="4" t="s">
        <v>376</v>
      </c>
      <c r="AR12282" s="4" t="s">
        <v>377</v>
      </c>
    </row>
    <row r="12283" spans="1:44">
      <c r="A12283" s="4" t="s">
        <v>10753</v>
      </c>
      <c r="B12283" s="4">
        <v>237284</v>
      </c>
      <c r="D12283" s="5" t="s">
        <v>15093</v>
      </c>
      <c r="E12283" s="6" t="str">
        <f>HYPERLINK("https://inpn.mnhn.fr/espece/cd_nom/237284","Sigara distincta (Fieber, 1848)")</f>
        <v>Sigara distincta (Fieber, 1848)</v>
      </c>
      <c r="AH12283" s="4" t="str">
        <f>HYPERLINK("#Statut_biogéographique!A"&amp;_xlfn.XMATCH("P",Statut_biogéographique!A:A,2,1),"P")</f>
        <v>P</v>
      </c>
      <c r="AP12283" s="4" t="s">
        <v>376</v>
      </c>
      <c r="AR12283" s="4" t="s">
        <v>377</v>
      </c>
    </row>
    <row r="12284" spans="1:44">
      <c r="A12284" s="4" t="s">
        <v>10753</v>
      </c>
      <c r="B12284" s="4">
        <v>237285</v>
      </c>
      <c r="D12284" s="5" t="s">
        <v>15094</v>
      </c>
      <c r="E12284" s="6" t="str">
        <f>HYPERLINK("https://inpn.mnhn.fr/espece/cd_nom/237285","Sigara fossarum (Leach, 1817)")</f>
        <v>Sigara fossarum (Leach, 1817)</v>
      </c>
      <c r="AH12284" s="4" t="str">
        <f>HYPERLINK("#Statut_biogéographique!A"&amp;_xlfn.XMATCH("P",Statut_biogéographique!A:A,2,1),"P")</f>
        <v>P</v>
      </c>
      <c r="AP12284" s="4" t="s">
        <v>376</v>
      </c>
      <c r="AR12284" s="4" t="s">
        <v>377</v>
      </c>
    </row>
    <row r="12285" spans="1:44">
      <c r="A12285" s="4" t="s">
        <v>10753</v>
      </c>
      <c r="B12285" s="4">
        <v>237286</v>
      </c>
      <c r="D12285" s="5" t="s">
        <v>15095</v>
      </c>
      <c r="E12285" s="6" t="str">
        <f>HYPERLINK("https://inpn.mnhn.fr/espece/cd_nom/237286","Sigara scotti (Douglas &amp; Scott, 1868)")</f>
        <v>Sigara scotti (Douglas &amp; Scott, 1868)</v>
      </c>
      <c r="AH12285" s="4" t="str">
        <f>HYPERLINK("#Statut_biogéographique!A"&amp;_xlfn.XMATCH("P",Statut_biogéographique!A:A,2,1),"P")</f>
        <v>P</v>
      </c>
      <c r="AP12285" s="4" t="s">
        <v>376</v>
      </c>
      <c r="AR12285" s="4" t="s">
        <v>377</v>
      </c>
    </row>
    <row r="12286" spans="1:44">
      <c r="A12286" s="4" t="s">
        <v>10753</v>
      </c>
      <c r="B12286" s="4">
        <v>237287</v>
      </c>
      <c r="D12286" s="5" t="s">
        <v>15096</v>
      </c>
      <c r="E12286" s="6" t="str">
        <f>HYPERLINK("https://inpn.mnhn.fr/espece/cd_nom/237287","Sigara lateralis (Leach, 1817)")</f>
        <v>Sigara lateralis (Leach, 1817)</v>
      </c>
      <c r="AH12286" s="4" t="str">
        <f>HYPERLINK("#Statut_biogéographique!A"&amp;_xlfn.XMATCH("P",Statut_biogéographique!A:A,2,1),"P")</f>
        <v>P</v>
      </c>
      <c r="AP12286" s="4" t="s">
        <v>376</v>
      </c>
      <c r="AR12286" s="4" t="s">
        <v>377</v>
      </c>
    </row>
    <row r="12287" spans="1:44">
      <c r="A12287" s="4" t="s">
        <v>10753</v>
      </c>
      <c r="B12287" s="4">
        <v>237289</v>
      </c>
      <c r="D12287" s="5" t="s">
        <v>15097</v>
      </c>
      <c r="E12287" s="6" t="str">
        <f>HYPERLINK("https://inpn.mnhn.fr/espece/cd_nom/237289","Hesperocorixa castanea (Thomson, 1869)")</f>
        <v>Hesperocorixa castanea (Thomson, 1869)</v>
      </c>
      <c r="AH12287" s="4" t="str">
        <f>HYPERLINK("#Statut_biogéographique!A"&amp;_xlfn.XMATCH("P",Statut_biogéographique!A:A,2,1),"P")</f>
        <v>P</v>
      </c>
      <c r="AP12287" s="4" t="s">
        <v>376</v>
      </c>
      <c r="AR12287" s="4" t="s">
        <v>377</v>
      </c>
    </row>
    <row r="12288" spans="1:44">
      <c r="A12288" s="4" t="s">
        <v>10753</v>
      </c>
      <c r="B12288" s="4">
        <v>237290</v>
      </c>
      <c r="D12288" s="5" t="s">
        <v>15098</v>
      </c>
      <c r="E12288" s="6" t="str">
        <f>HYPERLINK("https://inpn.mnhn.fr/espece/cd_nom/237290","Hesperocorixa moesta (Fieber, 1848)")</f>
        <v>Hesperocorixa moesta (Fieber, 1848)</v>
      </c>
      <c r="AH12288" s="4" t="str">
        <f>HYPERLINK("#Statut_biogéographique!A"&amp;_xlfn.XMATCH("P",Statut_biogéographique!A:A,2,1),"P")</f>
        <v>P</v>
      </c>
      <c r="AP12288" s="4" t="s">
        <v>376</v>
      </c>
      <c r="AR12288" s="4" t="s">
        <v>377</v>
      </c>
    </row>
    <row r="12289" spans="1:44">
      <c r="A12289" s="4" t="s">
        <v>10753</v>
      </c>
      <c r="B12289" s="4">
        <v>237292</v>
      </c>
      <c r="D12289" s="5" t="s">
        <v>15099</v>
      </c>
      <c r="E12289" s="6" t="str">
        <f>HYPERLINK("https://inpn.mnhn.fr/espece/cd_nom/237292","Corixa dentipes (Thomson, 1869)")</f>
        <v>Corixa dentipes (Thomson, 1869)</v>
      </c>
      <c r="AH12289" s="4" t="str">
        <f>HYPERLINK("#Statut_biogéographique!A"&amp;_xlfn.XMATCH("P",Statut_biogéographique!A:A,2,1),"P")</f>
        <v>P</v>
      </c>
      <c r="AP12289" s="4" t="s">
        <v>376</v>
      </c>
      <c r="AR12289" s="4" t="s">
        <v>377</v>
      </c>
    </row>
    <row r="12290" spans="1:44">
      <c r="A12290" s="4" t="s">
        <v>10753</v>
      </c>
      <c r="B12290" s="4">
        <v>237294</v>
      </c>
      <c r="D12290" s="5" t="s">
        <v>15100</v>
      </c>
      <c r="E12290" s="6" t="str">
        <f>HYPERLINK("https://inpn.mnhn.fr/espece/cd_nom/237294","Cymatia bonsdorffii (C.R. Sahlberg, 1819)")</f>
        <v>Cymatia bonsdorffii (C.R. Sahlberg, 1819)</v>
      </c>
      <c r="AH12290" s="4" t="str">
        <f>HYPERLINK("#Statut_biogéographique!A"&amp;_xlfn.XMATCH("P",Statut_biogéographique!A:A,2,1),"P")</f>
        <v>P</v>
      </c>
      <c r="AP12290" s="4" t="s">
        <v>376</v>
      </c>
      <c r="AR12290" s="4" t="s">
        <v>377</v>
      </c>
    </row>
    <row r="12291" spans="1:44">
      <c r="A12291" s="4" t="s">
        <v>10753</v>
      </c>
      <c r="B12291" s="4">
        <v>237295</v>
      </c>
      <c r="D12291" s="5" t="s">
        <v>15101</v>
      </c>
      <c r="E12291" s="6" t="str">
        <f>HYPERLINK("https://inpn.mnhn.fr/espece/cd_nom/237295","Cymatia rogenhoferi (Fieber, 1864)")</f>
        <v>Cymatia rogenhoferi (Fieber, 1864)</v>
      </c>
      <c r="AH12291" s="4" t="str">
        <f>HYPERLINK("#Statut_biogéographique!A"&amp;_xlfn.XMATCH("P",Statut_biogéographique!A:A,2,1),"P")</f>
        <v>P</v>
      </c>
      <c r="AP12291" s="4" t="s">
        <v>376</v>
      </c>
      <c r="AR12291" s="4" t="s">
        <v>377</v>
      </c>
    </row>
    <row r="12292" spans="1:44" ht="30">
      <c r="A12292" s="4" t="s">
        <v>10753</v>
      </c>
      <c r="B12292" s="4">
        <v>237296</v>
      </c>
      <c r="D12292" s="5" t="s">
        <v>15102</v>
      </c>
      <c r="E12292" s="6" t="str">
        <f>HYPERLINK("https://inpn.mnhn.fr/espece/cd_nom/237296","Micronecta scholtzi (Fieber, 1860)")</f>
        <v>Micronecta scholtzi (Fieber, 1860)</v>
      </c>
      <c r="F12292" s="5" t="s">
        <v>15103</v>
      </c>
      <c r="AH12292" s="4" t="str">
        <f>HYPERLINK("#Statut_biogéographique!A"&amp;_xlfn.XMATCH("P",Statut_biogéographique!A:A,2,1),"P")</f>
        <v>P</v>
      </c>
      <c r="AP12292" s="4" t="s">
        <v>376</v>
      </c>
      <c r="AR12292" s="4" t="s">
        <v>377</v>
      </c>
    </row>
    <row r="12293" spans="1:44">
      <c r="A12293" s="4" t="s">
        <v>10753</v>
      </c>
      <c r="B12293" s="4">
        <v>237297</v>
      </c>
      <c r="D12293" s="5" t="s">
        <v>15104</v>
      </c>
      <c r="E12293" s="6" t="str">
        <f>HYPERLINK("https://inpn.mnhn.fr/espece/cd_nom/237297","Micronecta griseola Horváth, 1899")</f>
        <v>Micronecta griseola Horváth, 1899</v>
      </c>
      <c r="AH12293" s="4" t="str">
        <f>HYPERLINK("#Statut_biogéographique!A"&amp;_xlfn.XMATCH("P",Statut_biogéographique!A:A,2,1),"P")</f>
        <v>P</v>
      </c>
      <c r="AP12293" s="4" t="s">
        <v>376</v>
      </c>
      <c r="AR12293" s="4" t="s">
        <v>377</v>
      </c>
    </row>
    <row r="12294" spans="1:44">
      <c r="A12294" s="4" t="s">
        <v>10753</v>
      </c>
      <c r="B12294" s="4">
        <v>237299</v>
      </c>
      <c r="D12294" s="5">
        <v>237299</v>
      </c>
      <c r="E12294" s="6" t="str">
        <f>HYPERLINK("https://inpn.mnhn.fr/espece/cd_nom/237299","Micronecta minuscula Poisson, 1929")</f>
        <v>Micronecta minuscula Poisson, 1929</v>
      </c>
      <c r="AH12294" s="4" t="str">
        <f>HYPERLINK("#Statut_biogéographique!A"&amp;_xlfn.XMATCH("D",Statut_biogéographique!A:A,2,1),"D")</f>
        <v>D</v>
      </c>
      <c r="AP12294" s="4" t="s">
        <v>376</v>
      </c>
      <c r="AR12294" s="4" t="s">
        <v>377</v>
      </c>
    </row>
    <row r="12295" spans="1:44">
      <c r="A12295" s="4" t="s">
        <v>10753</v>
      </c>
      <c r="B12295" s="4">
        <v>237300</v>
      </c>
      <c r="D12295" s="5" t="s">
        <v>15105</v>
      </c>
      <c r="E12295" s="6" t="str">
        <f>HYPERLINK("https://inpn.mnhn.fr/espece/cd_nom/237300","Micronecta poweri (Douglas &amp; Scott, 1869)")</f>
        <v>Micronecta poweri (Douglas &amp; Scott, 1869)</v>
      </c>
      <c r="AH12295" s="4" t="str">
        <f>HYPERLINK("#Statut_biogéographique!A"&amp;_xlfn.XMATCH("P",Statut_biogéographique!A:A,2,1),"P")</f>
        <v>P</v>
      </c>
      <c r="AP12295" s="4" t="s">
        <v>376</v>
      </c>
      <c r="AR12295" s="4" t="s">
        <v>377</v>
      </c>
    </row>
    <row r="12296" spans="1:44">
      <c r="A12296" s="4" t="s">
        <v>10753</v>
      </c>
      <c r="B12296" s="4">
        <v>237302</v>
      </c>
      <c r="D12296" s="5" t="s">
        <v>15106</v>
      </c>
      <c r="E12296" s="6" t="str">
        <f>HYPERLINK("https://inpn.mnhn.fr/espece/cd_nom/237302","Notonecta obliqua Gallèn in Thunberg, 1787")</f>
        <v>Notonecta obliqua Gallèn in Thunberg, 1787</v>
      </c>
      <c r="AH12296" s="4" t="str">
        <f>HYPERLINK("#Statut_biogéographique!A"&amp;_xlfn.XMATCH("P",Statut_biogéographique!A:A,2,1),"P")</f>
        <v>P</v>
      </c>
      <c r="AP12296" s="4" t="s">
        <v>376</v>
      </c>
      <c r="AR12296" s="4" t="s">
        <v>377</v>
      </c>
    </row>
    <row r="12297" spans="1:44">
      <c r="A12297" s="4" t="s">
        <v>10753</v>
      </c>
      <c r="B12297" s="4">
        <v>237304</v>
      </c>
      <c r="D12297" s="5">
        <v>237304</v>
      </c>
      <c r="E12297" s="6" t="str">
        <f>HYPERLINK("https://inpn.mnhn.fr/espece/cd_nom/237304","Notonecta viridis Delcourt, 1909")</f>
        <v>Notonecta viridis Delcourt, 1909</v>
      </c>
      <c r="AH12297" s="4" t="str">
        <f>HYPERLINK("#Statut_biogéographique!A"&amp;_xlfn.XMATCH("P",Statut_biogéographique!A:A,2,1),"P")</f>
        <v>P</v>
      </c>
      <c r="AP12297" s="4" t="s">
        <v>376</v>
      </c>
      <c r="AR12297" s="4" t="s">
        <v>377</v>
      </c>
    </row>
    <row r="12298" spans="1:44">
      <c r="A12298" s="4" t="s">
        <v>10753</v>
      </c>
      <c r="B12298" s="4">
        <v>237307</v>
      </c>
      <c r="D12298" s="5">
        <v>237307</v>
      </c>
      <c r="E12298" s="6" t="str">
        <f>HYPERLINK("https://inpn.mnhn.fr/espece/cd_nom/237307","Plea minutissima Leach, 1817")</f>
        <v>Plea minutissima Leach, 1817</v>
      </c>
      <c r="AH12298" s="4" t="str">
        <f>HYPERLINK("#Statut_biogéographique!A"&amp;_xlfn.XMATCH("P",Statut_biogéographique!A:A,2,1),"P")</f>
        <v>P</v>
      </c>
      <c r="AP12298" s="4" t="s">
        <v>376</v>
      </c>
      <c r="AR12298" s="4" t="s">
        <v>377</v>
      </c>
    </row>
    <row r="12299" spans="1:44">
      <c r="A12299" s="4" t="s">
        <v>10753</v>
      </c>
      <c r="B12299" s="4">
        <v>237308</v>
      </c>
      <c r="D12299" s="5">
        <v>237308</v>
      </c>
      <c r="E12299" s="6" t="str">
        <f>HYPERLINK("https://inpn.mnhn.fr/espece/cd_nom/237308","Mesovelia furcata Mulsant &amp; Rey, 1852")</f>
        <v>Mesovelia furcata Mulsant &amp; Rey, 1852</v>
      </c>
      <c r="AH12299" s="4" t="str">
        <f>HYPERLINK("#Statut_biogéographique!A"&amp;_xlfn.XMATCH("P",Statut_biogéographique!A:A,2,1),"P")</f>
        <v>P</v>
      </c>
      <c r="AP12299" s="4" t="s">
        <v>376</v>
      </c>
      <c r="AR12299" s="4" t="s">
        <v>377</v>
      </c>
    </row>
    <row r="12300" spans="1:44">
      <c r="A12300" s="4" t="s">
        <v>10753</v>
      </c>
      <c r="B12300" s="4">
        <v>237312</v>
      </c>
      <c r="D12300" s="5">
        <v>237312</v>
      </c>
      <c r="E12300" s="6" t="str">
        <f>HYPERLINK("https://inpn.mnhn.fr/espece/cd_nom/237312","Hebrus ruficeps Thomson, 1871")</f>
        <v>Hebrus ruficeps Thomson, 1871</v>
      </c>
      <c r="AH12300" s="4" t="str">
        <f>HYPERLINK("#Statut_biogéographique!A"&amp;_xlfn.XMATCH("P",Statut_biogéographique!A:A,2,1),"P")</f>
        <v>P</v>
      </c>
      <c r="AP12300" s="4" t="s">
        <v>376</v>
      </c>
      <c r="AR12300" s="4" t="s">
        <v>377</v>
      </c>
    </row>
    <row r="12301" spans="1:44">
      <c r="A12301" s="4" t="s">
        <v>10753</v>
      </c>
      <c r="B12301" s="4">
        <v>237313</v>
      </c>
      <c r="D12301" s="5">
        <v>237313</v>
      </c>
      <c r="E12301" s="6" t="str">
        <f>HYPERLINK("https://inpn.mnhn.fr/espece/cd_nom/237313","Hydrometra gracilenta Horváth, 1899")</f>
        <v>Hydrometra gracilenta Horváth, 1899</v>
      </c>
      <c r="AH12301" s="4" t="str">
        <f>HYPERLINK("#Statut_biogéographique!A"&amp;_xlfn.XMATCH("P",Statut_biogéographique!A:A,2,1),"P")</f>
        <v>P</v>
      </c>
      <c r="AP12301" s="4" t="s">
        <v>376</v>
      </c>
      <c r="AR12301" s="4" t="s">
        <v>377</v>
      </c>
    </row>
    <row r="12302" spans="1:44">
      <c r="A12302" s="4" t="s">
        <v>10753</v>
      </c>
      <c r="B12302" s="4">
        <v>237315</v>
      </c>
      <c r="D12302" s="5">
        <v>237315</v>
      </c>
      <c r="E12302" s="6" t="str">
        <f>HYPERLINK("https://inpn.mnhn.fr/espece/cd_nom/237315","Velia caprai Tamanini, 1947")</f>
        <v>Velia caprai Tamanini, 1947</v>
      </c>
      <c r="AH12302" s="4" t="str">
        <f>HYPERLINK("#Statut_biogéographique!A"&amp;_xlfn.XMATCH("P",Statut_biogéographique!A:A,2,1),"P")</f>
        <v>P</v>
      </c>
      <c r="AP12302" s="4" t="s">
        <v>376</v>
      </c>
      <c r="AR12302" s="4" t="s">
        <v>377</v>
      </c>
    </row>
    <row r="12303" spans="1:44">
      <c r="A12303" s="4" t="s">
        <v>10753</v>
      </c>
      <c r="B12303" s="4">
        <v>237320</v>
      </c>
      <c r="D12303" s="5" t="s">
        <v>15107</v>
      </c>
      <c r="E12303" s="6" t="str">
        <f>HYPERLINK("https://inpn.mnhn.fr/espece/cd_nom/237320","Limnoporus rufoscutellatus (Latreille, 1807)")</f>
        <v>Limnoporus rufoscutellatus (Latreille, 1807)</v>
      </c>
      <c r="AH12303" s="4" t="str">
        <f>HYPERLINK("#Statut_biogéographique!A"&amp;_xlfn.XMATCH("P",Statut_biogéographique!A:A,2,1),"P")</f>
        <v>P</v>
      </c>
      <c r="AP12303" s="4" t="s">
        <v>376</v>
      </c>
      <c r="AR12303" s="4" t="s">
        <v>377</v>
      </c>
    </row>
    <row r="12304" spans="1:44">
      <c r="A12304" s="4" t="s">
        <v>10753</v>
      </c>
      <c r="B12304" s="4">
        <v>237322</v>
      </c>
      <c r="D12304" s="5" t="s">
        <v>15108</v>
      </c>
      <c r="E12304" s="6" t="str">
        <f>HYPERLINK("https://inpn.mnhn.fr/espece/cd_nom/237322","Gerris odontogaster (Zetterstedt, 1828)")</f>
        <v>Gerris odontogaster (Zetterstedt, 1828)</v>
      </c>
      <c r="AH12304" s="4" t="str">
        <f>HYPERLINK("#Statut_biogéographique!A"&amp;_xlfn.XMATCH("P",Statut_biogéographique!A:A,2,1),"P")</f>
        <v>P</v>
      </c>
      <c r="AP12304" s="4" t="s">
        <v>376</v>
      </c>
      <c r="AR12304" s="4" t="s">
        <v>377</v>
      </c>
    </row>
    <row r="12305" spans="1:44">
      <c r="A12305" s="4" t="s">
        <v>10753</v>
      </c>
      <c r="B12305" s="4">
        <v>237323</v>
      </c>
      <c r="D12305" s="5" t="s">
        <v>15109</v>
      </c>
      <c r="E12305" s="6" t="str">
        <f>HYPERLINK("https://inpn.mnhn.fr/espece/cd_nom/237323","Gerris thoracicus Schummel, 1832")</f>
        <v>Gerris thoracicus Schummel, 1832</v>
      </c>
      <c r="AH12305" s="4" t="str">
        <f>HYPERLINK("#Statut_biogéographique!A"&amp;_xlfn.XMATCH("P",Statut_biogéographique!A:A,2,1),"P")</f>
        <v>P</v>
      </c>
      <c r="AP12305" s="4" t="s">
        <v>376</v>
      </c>
      <c r="AR12305" s="4" t="s">
        <v>377</v>
      </c>
    </row>
    <row r="12306" spans="1:44">
      <c r="A12306" s="4" t="s">
        <v>10753</v>
      </c>
      <c r="B12306" s="4">
        <v>237326</v>
      </c>
      <c r="D12306" s="5" t="s">
        <v>15110</v>
      </c>
      <c r="E12306" s="6" t="str">
        <f>HYPERLINK("https://inpn.mnhn.fr/espece/cd_nom/237326","Aquarius najas (De Geer, 1773)")</f>
        <v>Aquarius najas (De Geer, 1773)</v>
      </c>
      <c r="AH12306" s="4" t="str">
        <f>HYPERLINK("#Statut_biogéographique!A"&amp;_xlfn.XMATCH("P",Statut_biogéographique!A:A,2,1),"P")</f>
        <v>P</v>
      </c>
      <c r="AP12306" s="4" t="s">
        <v>376</v>
      </c>
      <c r="AR12306" s="4" t="s">
        <v>377</v>
      </c>
    </row>
    <row r="12307" spans="1:44">
      <c r="A12307" s="4" t="s">
        <v>10753</v>
      </c>
      <c r="B12307" s="4">
        <v>237327</v>
      </c>
      <c r="D12307" s="5" t="s">
        <v>15111</v>
      </c>
      <c r="E12307" s="6" t="str">
        <f>HYPERLINK("https://inpn.mnhn.fr/espece/cd_nom/237327","Aquarius paludum (Fabricius, 1794)")</f>
        <v>Aquarius paludum (Fabricius, 1794)</v>
      </c>
      <c r="F12307" s="5" t="s">
        <v>15112</v>
      </c>
      <c r="AH12307" s="4" t="str">
        <f>HYPERLINK("#Statut_biogéographique!A"&amp;_xlfn.XMATCH("P",Statut_biogéographique!A:A,2,1),"P")</f>
        <v>P</v>
      </c>
      <c r="AP12307" s="4" t="s">
        <v>376</v>
      </c>
      <c r="AR12307" s="4" t="s">
        <v>377</v>
      </c>
    </row>
    <row r="12308" spans="1:44">
      <c r="A12308" s="4" t="s">
        <v>10753</v>
      </c>
      <c r="B12308" s="4">
        <v>237331</v>
      </c>
      <c r="D12308" s="5" t="s">
        <v>15113</v>
      </c>
      <c r="E12308" s="6" t="str">
        <f>HYPERLINK("https://inpn.mnhn.fr/espece/cd_nom/237331","Saldula c-album (Fieber, 1859)")</f>
        <v>Saldula c-album (Fieber, 1859)</v>
      </c>
      <c r="AH12308" s="4" t="str">
        <f>HYPERLINK("#Statut_biogéographique!A"&amp;_xlfn.XMATCH("P",Statut_biogéographique!A:A,2,1),"P")</f>
        <v>P</v>
      </c>
      <c r="AP12308" s="4" t="s">
        <v>376</v>
      </c>
      <c r="AR12308" s="4" t="s">
        <v>377</v>
      </c>
    </row>
    <row r="12309" spans="1:44">
      <c r="A12309" s="4" t="s">
        <v>10753</v>
      </c>
      <c r="B12309" s="4">
        <v>237335</v>
      </c>
      <c r="D12309" s="5">
        <v>237335</v>
      </c>
      <c r="E12309" s="6" t="str">
        <f>HYPERLINK("https://inpn.mnhn.fr/espece/cd_nom/237335","Saldula orthochila (Fieber, 1859)")</f>
        <v>Saldula orthochila (Fieber, 1859)</v>
      </c>
      <c r="AH12309" s="4" t="str">
        <f>HYPERLINK("#Statut_biogéographique!A"&amp;_xlfn.XMATCH("P",Statut_biogéographique!A:A,2,1),"P")</f>
        <v>P</v>
      </c>
      <c r="AP12309" s="4" t="s">
        <v>376</v>
      </c>
      <c r="AR12309" s="4" t="s">
        <v>377</v>
      </c>
    </row>
    <row r="12310" spans="1:44">
      <c r="A12310" s="4" t="s">
        <v>10753</v>
      </c>
      <c r="B12310" s="4">
        <v>237338</v>
      </c>
      <c r="D12310" s="5" t="s">
        <v>15114</v>
      </c>
      <c r="E12310" s="6" t="str">
        <f>HYPERLINK("https://inpn.mnhn.fr/espece/cd_nom/237338","Saldula saltatoria (Linnaeus, 1758)")</f>
        <v>Saldula saltatoria (Linnaeus, 1758)</v>
      </c>
      <c r="AH12310" s="4" t="str">
        <f>HYPERLINK("#Statut_biogéographique!A"&amp;_xlfn.XMATCH("P",Statut_biogéographique!A:A,2,1),"P")</f>
        <v>P</v>
      </c>
      <c r="AP12310" s="4" t="s">
        <v>376</v>
      </c>
      <c r="AR12310" s="4" t="s">
        <v>377</v>
      </c>
    </row>
    <row r="12311" spans="1:44">
      <c r="A12311" s="4" t="s">
        <v>10753</v>
      </c>
      <c r="B12311" s="4">
        <v>237345</v>
      </c>
      <c r="D12311" s="5" t="s">
        <v>15115</v>
      </c>
      <c r="E12311" s="6" t="str">
        <f>HYPERLINK("https://inpn.mnhn.fr/espece/cd_nom/237345","Chartoscirta cincta (Herrich-Schäffer, 1841)")</f>
        <v>Chartoscirta cincta (Herrich-Schäffer, 1841)</v>
      </c>
      <c r="AH12311" s="4" t="str">
        <f>HYPERLINK("#Statut_biogéographique!A"&amp;_xlfn.XMATCH("P",Statut_biogéographique!A:A,2,1),"P")</f>
        <v>P</v>
      </c>
      <c r="AP12311" s="4" t="s">
        <v>376</v>
      </c>
      <c r="AR12311" s="4" t="s">
        <v>377</v>
      </c>
    </row>
    <row r="12312" spans="1:44">
      <c r="A12312" s="4" t="s">
        <v>10753</v>
      </c>
      <c r="B12312" s="4">
        <v>237359</v>
      </c>
      <c r="D12312" s="5" t="s">
        <v>15116</v>
      </c>
      <c r="E12312" s="6" t="str">
        <f>HYPERLINK("https://inpn.mnhn.fr/espece/cd_nom/237359","Tingis pilosa Hummel, 1825")</f>
        <v>Tingis pilosa Hummel, 1825</v>
      </c>
      <c r="AH12312" s="4" t="str">
        <f>HYPERLINK("#Statut_biogéographique!A"&amp;_xlfn.XMATCH("P",Statut_biogéographique!A:A,2,1),"P")</f>
        <v>P</v>
      </c>
      <c r="AP12312" s="4" t="s">
        <v>376</v>
      </c>
      <c r="AR12312" s="4" t="s">
        <v>377</v>
      </c>
    </row>
    <row r="12313" spans="1:44">
      <c r="A12313" s="4" t="s">
        <v>10753</v>
      </c>
      <c r="B12313" s="4">
        <v>237372</v>
      </c>
      <c r="D12313" s="5" t="s">
        <v>15117</v>
      </c>
      <c r="E12313" s="6" t="str">
        <f>HYPERLINK("https://inpn.mnhn.fr/espece/cd_nom/237372","Tingis cardui (Linnaeus, 1758)")</f>
        <v>Tingis cardui (Linnaeus, 1758)</v>
      </c>
      <c r="AH12313" s="4" t="str">
        <f>HYPERLINK("#Statut_biogéographique!A"&amp;_xlfn.XMATCH("P",Statut_biogéographique!A:A,2,1),"P")</f>
        <v>P</v>
      </c>
      <c r="AP12313" s="4" t="s">
        <v>376</v>
      </c>
      <c r="AR12313" s="4" t="s">
        <v>377</v>
      </c>
    </row>
    <row r="12314" spans="1:44">
      <c r="A12314" s="4" t="s">
        <v>10753</v>
      </c>
      <c r="B12314" s="4">
        <v>237376</v>
      </c>
      <c r="D12314" s="5" t="s">
        <v>15118</v>
      </c>
      <c r="E12314" s="6" t="str">
        <f>HYPERLINK("https://inpn.mnhn.fr/espece/cd_nom/237376","Stephanitis pyri (Fabricius, 1775)")</f>
        <v>Stephanitis pyri (Fabricius, 1775)</v>
      </c>
      <c r="AH12314" s="4" t="str">
        <f>HYPERLINK("#Statut_biogéographique!A"&amp;_xlfn.XMATCH("P",Statut_biogéographique!A:A,2,1),"P")</f>
        <v>P</v>
      </c>
      <c r="AP12314" s="4" t="s">
        <v>376</v>
      </c>
      <c r="AR12314" s="4" t="s">
        <v>377</v>
      </c>
    </row>
    <row r="12315" spans="1:44">
      <c r="A12315" s="4" t="s">
        <v>10753</v>
      </c>
      <c r="B12315" s="4">
        <v>237379</v>
      </c>
      <c r="D12315" s="5" t="s">
        <v>15119</v>
      </c>
      <c r="E12315" s="6" t="str">
        <f>HYPERLINK("https://inpn.mnhn.fr/espece/cd_nom/237379","Physatocheila costata (Fabricius, 1794)")</f>
        <v>Physatocheila costata (Fabricius, 1794)</v>
      </c>
      <c r="AH12315" s="4" t="str">
        <f>HYPERLINK("#Statut_biogéographique!A"&amp;_xlfn.XMATCH("P",Statut_biogéographique!A:A,2,1),"P")</f>
        <v>P</v>
      </c>
      <c r="AP12315" s="4" t="s">
        <v>376</v>
      </c>
      <c r="AR12315" s="4" t="s">
        <v>377</v>
      </c>
    </row>
    <row r="12316" spans="1:44" ht="30">
      <c r="A12316" s="4" t="s">
        <v>10753</v>
      </c>
      <c r="B12316" s="4">
        <v>237380</v>
      </c>
      <c r="D12316" s="5" t="s">
        <v>15120</v>
      </c>
      <c r="E12316" s="6" t="str">
        <f>HYPERLINK("https://inpn.mnhn.fr/espece/cd_nom/237380","Physatocheila dumetorum (Herrich-Schäffer, 1838)")</f>
        <v>Physatocheila dumetorum (Herrich-Schäffer, 1838)</v>
      </c>
      <c r="AH12316" s="4" t="str">
        <f>HYPERLINK("#Statut_biogéographique!A"&amp;_xlfn.XMATCH("P",Statut_biogéographique!A:A,2,1),"P")</f>
        <v>P</v>
      </c>
      <c r="AP12316" s="4" t="s">
        <v>376</v>
      </c>
      <c r="AR12316" s="4" t="s">
        <v>377</v>
      </c>
    </row>
    <row r="12317" spans="1:44">
      <c r="A12317" s="4" t="s">
        <v>10753</v>
      </c>
      <c r="B12317" s="4">
        <v>237381</v>
      </c>
      <c r="D12317" s="5">
        <v>237381</v>
      </c>
      <c r="E12317" s="6" t="str">
        <f>HYPERLINK("https://inpn.mnhn.fr/espece/cd_nom/237381","Physatocheila harwoodi China, 1936")</f>
        <v>Physatocheila harwoodi China, 1936</v>
      </c>
      <c r="AH12317" s="4" t="str">
        <f>HYPERLINK("#Statut_biogéographique!A"&amp;_xlfn.XMATCH("P",Statut_biogéographique!A:A,2,1),"P")</f>
        <v>P</v>
      </c>
      <c r="AP12317" s="4" t="s">
        <v>376</v>
      </c>
      <c r="AR12317" s="4" t="s">
        <v>377</v>
      </c>
    </row>
    <row r="12318" spans="1:44">
      <c r="A12318" s="4" t="s">
        <v>10753</v>
      </c>
      <c r="B12318" s="4">
        <v>237382</v>
      </c>
      <c r="D12318" s="5">
        <v>237382</v>
      </c>
      <c r="E12318" s="6" t="str">
        <f>HYPERLINK("https://inpn.mnhn.fr/espece/cd_nom/237382","Physatocheila smreczynskii China, 1952")</f>
        <v>Physatocheila smreczynskii China, 1952</v>
      </c>
      <c r="AH12318" s="4" t="str">
        <f>HYPERLINK("#Statut_biogéographique!A"&amp;_xlfn.XMATCH("P",Statut_biogéographique!A:A,2,1),"P")</f>
        <v>P</v>
      </c>
      <c r="AP12318" s="4" t="s">
        <v>376</v>
      </c>
      <c r="AR12318" s="4" t="s">
        <v>377</v>
      </c>
    </row>
    <row r="12319" spans="1:44">
      <c r="A12319" s="4" t="s">
        <v>10753</v>
      </c>
      <c r="B12319" s="4">
        <v>237384</v>
      </c>
      <c r="D12319" s="5" t="s">
        <v>15121</v>
      </c>
      <c r="E12319" s="6" t="str">
        <f>HYPERLINK("https://inpn.mnhn.fr/espece/cd_nom/237384","Oncochila simplex (Herrich-Schäffer, 1830)")</f>
        <v>Oncochila simplex (Herrich-Schäffer, 1830)</v>
      </c>
      <c r="AH12319" s="4" t="str">
        <f>HYPERLINK("#Statut_biogéographique!A"&amp;_xlfn.XMATCH("P",Statut_biogéographique!A:A,2,1),"P")</f>
        <v>P</v>
      </c>
      <c r="AP12319" s="4" t="s">
        <v>376</v>
      </c>
      <c r="AR12319" s="4" t="s">
        <v>377</v>
      </c>
    </row>
    <row r="12320" spans="1:44">
      <c r="A12320" s="4" t="s">
        <v>10753</v>
      </c>
      <c r="B12320" s="4">
        <v>237386</v>
      </c>
      <c r="D12320" s="5" t="s">
        <v>15122</v>
      </c>
      <c r="E12320" s="6" t="str">
        <f>HYPERLINK("https://inpn.mnhn.fr/espece/cd_nom/237386","Lasiacantha capucina (Germar, 1837)")</f>
        <v>Lasiacantha capucina (Germar, 1837)</v>
      </c>
      <c r="AH12320" s="4" t="str">
        <f>HYPERLINK("#Statut_biogéographique!A"&amp;_xlfn.XMATCH("P",Statut_biogéographique!A:A,2,1),"P")</f>
        <v>P</v>
      </c>
      <c r="AP12320" s="4" t="s">
        <v>376</v>
      </c>
      <c r="AR12320" s="4" t="s">
        <v>377</v>
      </c>
    </row>
    <row r="12321" spans="1:44">
      <c r="A12321" s="4" t="s">
        <v>10753</v>
      </c>
      <c r="B12321" s="4">
        <v>237403</v>
      </c>
      <c r="D12321" s="5">
        <v>237403</v>
      </c>
      <c r="E12321" s="6" t="str">
        <f>HYPERLINK("https://inpn.mnhn.fr/espece/cd_nom/237403","Dictyonota strichnocera Fieber, 1844")</f>
        <v>Dictyonota strichnocera Fieber, 1844</v>
      </c>
      <c r="AH12321" s="4" t="str">
        <f>HYPERLINK("#Statut_biogéographique!A"&amp;_xlfn.XMATCH("P",Statut_biogéographique!A:A,2,1),"P")</f>
        <v>P</v>
      </c>
      <c r="AP12321" s="4" t="s">
        <v>376</v>
      </c>
      <c r="AR12321" s="4" t="s">
        <v>377</v>
      </c>
    </row>
    <row r="12322" spans="1:44">
      <c r="A12322" s="4" t="s">
        <v>10753</v>
      </c>
      <c r="B12322" s="4">
        <v>237404</v>
      </c>
      <c r="D12322" s="5">
        <v>237404</v>
      </c>
      <c r="E12322" s="6" t="str">
        <f>HYPERLINK("https://inpn.mnhn.fr/espece/cd_nom/237404","Dictyla convergens (Herrich-Schäffer, 1835)")</f>
        <v>Dictyla convergens (Herrich-Schäffer, 1835)</v>
      </c>
      <c r="AH12322" s="4" t="str">
        <f>HYPERLINK("#Statut_biogéographique!A"&amp;_xlfn.XMATCH("P",Statut_biogéographique!A:A,2,1),"P")</f>
        <v>P</v>
      </c>
      <c r="AP12322" s="4" t="s">
        <v>376</v>
      </c>
      <c r="AR12322" s="4" t="s">
        <v>377</v>
      </c>
    </row>
    <row r="12323" spans="1:44">
      <c r="A12323" s="4" t="s">
        <v>10753</v>
      </c>
      <c r="B12323" s="4">
        <v>237405</v>
      </c>
      <c r="D12323" s="5" t="s">
        <v>15123</v>
      </c>
      <c r="E12323" s="6" t="str">
        <f>HYPERLINK("https://inpn.mnhn.fr/espece/cd_nom/237405","Dictyla echii (Schrank, 1782)")</f>
        <v>Dictyla echii (Schrank, 1782)</v>
      </c>
      <c r="AH12323" s="4" t="str">
        <f>HYPERLINK("#Statut_biogéographique!A"&amp;_xlfn.XMATCH("P",Statut_biogéographique!A:A,2,1),"P")</f>
        <v>P</v>
      </c>
      <c r="AP12323" s="4" t="s">
        <v>376</v>
      </c>
      <c r="AR12323" s="4" t="s">
        <v>377</v>
      </c>
    </row>
    <row r="12324" spans="1:44">
      <c r="A12324" s="4" t="s">
        <v>10753</v>
      </c>
      <c r="B12324" s="4">
        <v>23741</v>
      </c>
      <c r="D12324" s="5" t="s">
        <v>15124</v>
      </c>
      <c r="E12324" s="6" t="str">
        <f>HYPERLINK("https://inpn.mnhn.fr/espece/cd_nom/23741","Protoclythia modesta (Zetterstedt, 1844)")</f>
        <v>Protoclythia modesta (Zetterstedt, 1844)</v>
      </c>
      <c r="AH12324" s="4" t="str">
        <f>HYPERLINK("#Statut_biogéographique!A"&amp;_xlfn.XMATCH("P",Statut_biogéographique!A:A,2,1),"P")</f>
        <v>P</v>
      </c>
      <c r="AP12324" s="4" t="s">
        <v>376</v>
      </c>
      <c r="AR12324" s="4" t="s">
        <v>377</v>
      </c>
    </row>
    <row r="12325" spans="1:44">
      <c r="A12325" s="4" t="s">
        <v>10753</v>
      </c>
      <c r="B12325" s="4">
        <v>237410</v>
      </c>
      <c r="D12325" s="5">
        <v>237410</v>
      </c>
      <c r="E12325" s="6" t="str">
        <f>HYPERLINK("https://inpn.mnhn.fr/espece/cd_nom/237410","Derephysia foliacea (Fallén, 1807)")</f>
        <v>Derephysia foliacea (Fallén, 1807)</v>
      </c>
      <c r="AH12325" s="4" t="str">
        <f>HYPERLINK("#Statut_biogéographique!A"&amp;_xlfn.XMATCH("P",Statut_biogéographique!A:A,2,1),"P")</f>
        <v>P</v>
      </c>
      <c r="AP12325" s="4" t="s">
        <v>376</v>
      </c>
      <c r="AR12325" s="4" t="s">
        <v>377</v>
      </c>
    </row>
    <row r="12326" spans="1:44">
      <c r="A12326" s="4" t="s">
        <v>10753</v>
      </c>
      <c r="B12326" s="4">
        <v>237413</v>
      </c>
      <c r="D12326" s="5" t="s">
        <v>15125</v>
      </c>
      <c r="E12326" s="6" t="str">
        <f>HYPERLINK("https://inpn.mnhn.fr/espece/cd_nom/237413","Corythucha ciliata (Say, 1832)")</f>
        <v>Corythucha ciliata (Say, 1832)</v>
      </c>
      <c r="F12326" s="5" t="s">
        <v>15126</v>
      </c>
      <c r="AH12326" s="4" t="str">
        <f>HYPERLINK("#Statut_biogéographique!A"&amp;_xlfn.XMATCH("J",Statut_biogéographique!A:A,2,1),"J")</f>
        <v>J</v>
      </c>
      <c r="AP12326" s="4" t="s">
        <v>376</v>
      </c>
      <c r="AR12326" s="4" t="s">
        <v>377</v>
      </c>
    </row>
    <row r="12327" spans="1:44">
      <c r="A12327" s="4" t="s">
        <v>10753</v>
      </c>
      <c r="B12327" s="4">
        <v>237414</v>
      </c>
      <c r="D12327" s="5" t="s">
        <v>15127</v>
      </c>
      <c r="E12327" s="6" t="str">
        <f>HYPERLINK("https://inpn.mnhn.fr/espece/cd_nom/237414","Copium clavicorne (Linnaeus, 1758)")</f>
        <v>Copium clavicorne (Linnaeus, 1758)</v>
      </c>
      <c r="AH12327" s="4" t="str">
        <f>HYPERLINK("#Statut_biogéographique!A"&amp;_xlfn.XMATCH("P",Statut_biogéographique!A:A,2,1),"P")</f>
        <v>P</v>
      </c>
      <c r="AP12327" s="4" t="s">
        <v>376</v>
      </c>
      <c r="AR12327" s="4" t="s">
        <v>377</v>
      </c>
    </row>
    <row r="12328" spans="1:44">
      <c r="A12328" s="4" t="s">
        <v>10753</v>
      </c>
      <c r="B12328" s="4">
        <v>237415</v>
      </c>
      <c r="D12328" s="5">
        <v>237415</v>
      </c>
      <c r="E12328" s="6" t="str">
        <f>HYPERLINK("https://inpn.mnhn.fr/espece/cd_nom/237415","Copium teucrii (Host, 1788)")</f>
        <v>Copium teucrii (Host, 1788)</v>
      </c>
      <c r="AH12328" s="4" t="str">
        <f>HYPERLINK("#Statut_biogéographique!A"&amp;_xlfn.XMATCH("P",Statut_biogéographique!A:A,2,1),"P")</f>
        <v>P</v>
      </c>
      <c r="AP12328" s="4" t="s">
        <v>376</v>
      </c>
      <c r="AR12328" s="4" t="s">
        <v>377</v>
      </c>
    </row>
    <row r="12329" spans="1:44">
      <c r="A12329" s="4" t="s">
        <v>10753</v>
      </c>
      <c r="B12329" s="4">
        <v>237416</v>
      </c>
      <c r="D12329" s="5" t="s">
        <v>15128</v>
      </c>
      <c r="E12329" s="6" t="str">
        <f>HYPERLINK("https://inpn.mnhn.fr/espece/cd_nom/237416","Catoplatus carthusianus (Goeze, 1778)")</f>
        <v>Catoplatus carthusianus (Goeze, 1778)</v>
      </c>
      <c r="AH12329" s="4" t="str">
        <f>HYPERLINK("#Statut_biogéographique!A"&amp;_xlfn.XMATCH("P",Statut_biogéographique!A:A,2,1),"P")</f>
        <v>P</v>
      </c>
      <c r="AP12329" s="4" t="s">
        <v>376</v>
      </c>
      <c r="AR12329" s="4" t="s">
        <v>377</v>
      </c>
    </row>
    <row r="12330" spans="1:44">
      <c r="A12330" s="4" t="s">
        <v>10753</v>
      </c>
      <c r="B12330" s="4">
        <v>237418</v>
      </c>
      <c r="D12330" s="5" t="s">
        <v>15129</v>
      </c>
      <c r="E12330" s="6" t="str">
        <f>HYPERLINK("https://inpn.mnhn.fr/espece/cd_nom/237418","Catoplatus horvathi (Puton, 1878)")</f>
        <v>Catoplatus horvathi (Puton, 1878)</v>
      </c>
      <c r="AH12330" s="4" t="str">
        <f>HYPERLINK("#Statut_biogéographique!A"&amp;_xlfn.XMATCH("P",Statut_biogéographique!A:A,2,1),"P")</f>
        <v>P</v>
      </c>
      <c r="AP12330" s="4" t="s">
        <v>376</v>
      </c>
      <c r="AR12330" s="4" t="s">
        <v>377</v>
      </c>
    </row>
    <row r="12331" spans="1:44">
      <c r="A12331" s="4" t="s">
        <v>10753</v>
      </c>
      <c r="B12331" s="4">
        <v>23742</v>
      </c>
      <c r="D12331" s="5" t="s">
        <v>15130</v>
      </c>
      <c r="E12331" s="6" t="str">
        <f>HYPERLINK("https://inpn.mnhn.fr/espece/cd_nom/23742","Protoclythia rufa (Meigen, 1830)")</f>
        <v>Protoclythia rufa (Meigen, 1830)</v>
      </c>
      <c r="AH12331" s="4" t="str">
        <f>HYPERLINK("#Statut_biogéographique!A"&amp;_xlfn.XMATCH("P",Statut_biogéographique!A:A,2,1),"P")</f>
        <v>P</v>
      </c>
      <c r="AP12331" s="4" t="s">
        <v>376</v>
      </c>
      <c r="AR12331" s="4" t="s">
        <v>377</v>
      </c>
    </row>
    <row r="12332" spans="1:44">
      <c r="A12332" s="4" t="s">
        <v>10753</v>
      </c>
      <c r="B12332" s="4">
        <v>237421</v>
      </c>
      <c r="D12332" s="5" t="s">
        <v>15131</v>
      </c>
      <c r="E12332" s="6" t="str">
        <f>HYPERLINK("https://inpn.mnhn.fr/espece/cd_nom/237421","Agramma confusum (Puton, 1879)")</f>
        <v>Agramma confusum (Puton, 1879)</v>
      </c>
      <c r="AH12332" s="4" t="str">
        <f>HYPERLINK("#Statut_biogéographique!A"&amp;_xlfn.XMATCH("P",Statut_biogéographique!A:A,2,1),"P")</f>
        <v>P</v>
      </c>
      <c r="AP12332" s="4" t="s">
        <v>376</v>
      </c>
      <c r="AR12332" s="4" t="s">
        <v>377</v>
      </c>
    </row>
    <row r="12333" spans="1:44">
      <c r="A12333" s="4" t="s">
        <v>10753</v>
      </c>
      <c r="B12333" s="4">
        <v>237430</v>
      </c>
      <c r="D12333" s="5" t="s">
        <v>15132</v>
      </c>
      <c r="E12333" s="6" t="str">
        <f>HYPERLINK("https://inpn.mnhn.fr/espece/cd_nom/237430","Acalypta musci (Schrank, 1781)")</f>
        <v>Acalypta musci (Schrank, 1781)</v>
      </c>
      <c r="AH12333" s="4" t="str">
        <f>HYPERLINK("#Statut_biogéographique!A"&amp;_xlfn.XMATCH("P",Statut_biogéographique!A:A,2,1),"P")</f>
        <v>P</v>
      </c>
      <c r="AP12333" s="4" t="s">
        <v>376</v>
      </c>
      <c r="AR12333" s="4" t="s">
        <v>377</v>
      </c>
    </row>
    <row r="12334" spans="1:44">
      <c r="A12334" s="4" t="s">
        <v>10753</v>
      </c>
      <c r="B12334" s="4">
        <v>237438</v>
      </c>
      <c r="D12334" s="5">
        <v>237438</v>
      </c>
      <c r="E12334" s="6" t="str">
        <f>HYPERLINK("https://inpn.mnhn.fr/espece/cd_nom/237438","Loricula elegantula (Baerensprung, 1858)")</f>
        <v>Loricula elegantula (Baerensprung, 1858)</v>
      </c>
      <c r="AH12334" s="4" t="str">
        <f>HYPERLINK("#Statut_biogéographique!A"&amp;_xlfn.XMATCH("P",Statut_biogéographique!A:A,2,1),"P")</f>
        <v>P</v>
      </c>
      <c r="AP12334" s="4" t="s">
        <v>376</v>
      </c>
      <c r="AR12334" s="4" t="s">
        <v>377</v>
      </c>
    </row>
    <row r="12335" spans="1:44">
      <c r="A12335" s="4" t="s">
        <v>10753</v>
      </c>
      <c r="B12335" s="4">
        <v>237439</v>
      </c>
      <c r="D12335" s="5" t="s">
        <v>15133</v>
      </c>
      <c r="E12335" s="6" t="str">
        <f>HYPERLINK("https://inpn.mnhn.fr/espece/cd_nom/237439","Loricula pselaphiformis Curtis, 1833")</f>
        <v>Loricula pselaphiformis Curtis, 1833</v>
      </c>
      <c r="AH12335" s="4" t="str">
        <f>HYPERLINK("#Statut_biogéographique!A"&amp;_xlfn.XMATCH("P",Statut_biogéographique!A:A,2,1),"P")</f>
        <v>P</v>
      </c>
      <c r="AP12335" s="4" t="s">
        <v>376</v>
      </c>
      <c r="AR12335" s="4" t="s">
        <v>377</v>
      </c>
    </row>
    <row r="12336" spans="1:44" ht="30">
      <c r="A12336" s="4" t="s">
        <v>10753</v>
      </c>
      <c r="B12336" s="4">
        <v>237446</v>
      </c>
      <c r="D12336" s="5">
        <v>237446</v>
      </c>
      <c r="E12336" s="6" t="str">
        <f>HYPERLINK("https://inpn.mnhn.fr/espece/cd_nom/237446","Pilophorus cinnamopterus (Kirschbaum, 1856)")</f>
        <v>Pilophorus cinnamopterus (Kirschbaum, 1856)</v>
      </c>
      <c r="AH12336" s="4" t="str">
        <f>HYPERLINK("#Statut_biogéographique!A"&amp;_xlfn.XMATCH("P",Statut_biogéographique!A:A,2,1),"P")</f>
        <v>P</v>
      </c>
      <c r="AP12336" s="4" t="s">
        <v>376</v>
      </c>
      <c r="AR12336" s="4" t="s">
        <v>377</v>
      </c>
    </row>
    <row r="12337" spans="1:44">
      <c r="A12337" s="4" t="s">
        <v>10753</v>
      </c>
      <c r="B12337" s="4">
        <v>237448</v>
      </c>
      <c r="D12337" s="5">
        <v>237448</v>
      </c>
      <c r="E12337" s="6" t="str">
        <f>HYPERLINK("https://inpn.mnhn.fr/espece/cd_nom/237448","Pilophorus perplexus Douglas &amp; Scott, 1875")</f>
        <v>Pilophorus perplexus Douglas &amp; Scott, 1875</v>
      </c>
      <c r="AH12337" s="4" t="str">
        <f>HYPERLINK("#Statut_biogéographique!A"&amp;_xlfn.XMATCH("P",Statut_biogéographique!A:A,2,1),"P")</f>
        <v>P</v>
      </c>
      <c r="AP12337" s="4" t="s">
        <v>376</v>
      </c>
      <c r="AR12337" s="4" t="s">
        <v>377</v>
      </c>
    </row>
    <row r="12338" spans="1:44">
      <c r="A12338" s="4" t="s">
        <v>10753</v>
      </c>
      <c r="B12338" s="4">
        <v>237450</v>
      </c>
      <c r="D12338" s="5">
        <v>237450</v>
      </c>
      <c r="E12338" s="6" t="str">
        <f>HYPERLINK("https://inpn.mnhn.fr/espece/cd_nom/237450","Hypseloecus visci (Puton, 1888)")</f>
        <v>Hypseloecus visci (Puton, 1888)</v>
      </c>
      <c r="AH12338" s="4" t="str">
        <f>HYPERLINK("#Statut_biogéographique!A"&amp;_xlfn.XMATCH("P",Statut_biogéographique!A:A,2,1),"P")</f>
        <v>P</v>
      </c>
      <c r="AP12338" s="4" t="s">
        <v>376</v>
      </c>
      <c r="AR12338" s="4" t="s">
        <v>377</v>
      </c>
    </row>
    <row r="12339" spans="1:44">
      <c r="A12339" s="4" t="s">
        <v>10753</v>
      </c>
      <c r="B12339" s="4">
        <v>237453</v>
      </c>
      <c r="D12339" s="5">
        <v>237453</v>
      </c>
      <c r="E12339" s="6" t="str">
        <f>HYPERLINK("https://inpn.mnhn.fr/espece/cd_nom/237453","Systellonotus thymi (Signoret, 1859)")</f>
        <v>Systellonotus thymi (Signoret, 1859)</v>
      </c>
      <c r="AH12339" s="4" t="str">
        <f>HYPERLINK("#Statut_biogéographique!A"&amp;_xlfn.XMATCH("P",Statut_biogéographique!A:A,2,1),"P")</f>
        <v>P</v>
      </c>
      <c r="AP12339" s="4" t="s">
        <v>376</v>
      </c>
      <c r="AR12339" s="4" t="s">
        <v>377</v>
      </c>
    </row>
    <row r="12340" spans="1:44">
      <c r="A12340" s="4" t="s">
        <v>10753</v>
      </c>
      <c r="B12340" s="4">
        <v>237464</v>
      </c>
      <c r="D12340" s="5">
        <v>237464</v>
      </c>
      <c r="E12340" s="6" t="str">
        <f>HYPERLINK("https://inpn.mnhn.fr/espece/cd_nom/237464","Cremnocephalus alpestris Wagner, 1941")</f>
        <v>Cremnocephalus alpestris Wagner, 1941</v>
      </c>
      <c r="AH12340" s="4" t="str">
        <f>HYPERLINK("#Statut_biogéographique!A"&amp;_xlfn.XMATCH("P",Statut_biogéographique!A:A,2,1),"P")</f>
        <v>P</v>
      </c>
      <c r="AP12340" s="4" t="s">
        <v>376</v>
      </c>
      <c r="AR12340" s="4" t="s">
        <v>377</v>
      </c>
    </row>
    <row r="12341" spans="1:44">
      <c r="A12341" s="4" t="s">
        <v>10753</v>
      </c>
      <c r="B12341" s="4">
        <v>237481</v>
      </c>
      <c r="D12341" s="5">
        <v>237481</v>
      </c>
      <c r="E12341" s="6" t="str">
        <f>HYPERLINK("https://inpn.mnhn.fr/espece/cd_nom/237481","Psallus betuleti (Fallén, 1826)")</f>
        <v>Psallus betuleti (Fallén, 1826)</v>
      </c>
      <c r="AH12341" s="4" t="str">
        <f>HYPERLINK("#Statut_biogéographique!A"&amp;_xlfn.XMATCH("P",Statut_biogéographique!A:A,2,1),"P")</f>
        <v>P</v>
      </c>
      <c r="AP12341" s="4" t="s">
        <v>376</v>
      </c>
      <c r="AR12341" s="4" t="s">
        <v>377</v>
      </c>
    </row>
    <row r="12342" spans="1:44">
      <c r="A12342" s="4" t="s">
        <v>10753</v>
      </c>
      <c r="B12342" s="4">
        <v>237482</v>
      </c>
      <c r="D12342" s="5">
        <v>237482</v>
      </c>
      <c r="E12342" s="6" t="str">
        <f>HYPERLINK("https://inpn.mnhn.fr/espece/cd_nom/237482","Psallus assimilis Stichel, 1956")</f>
        <v>Psallus assimilis Stichel, 1956</v>
      </c>
      <c r="AH12342" s="4" t="str">
        <f>HYPERLINK("#Statut_biogéographique!A"&amp;_xlfn.XMATCH("P",Statut_biogéographique!A:A,2,1),"P")</f>
        <v>P</v>
      </c>
      <c r="AP12342" s="4" t="s">
        <v>376</v>
      </c>
      <c r="AR12342" s="4" t="s">
        <v>377</v>
      </c>
    </row>
    <row r="12343" spans="1:44">
      <c r="A12343" s="4" t="s">
        <v>10753</v>
      </c>
      <c r="B12343" s="4">
        <v>237484</v>
      </c>
      <c r="D12343" s="5">
        <v>237484</v>
      </c>
      <c r="E12343" s="6" t="str">
        <f>HYPERLINK("https://inpn.mnhn.fr/espece/cd_nom/237484","Psallus perrisi (Mulsant &amp; Rey, 1852)")</f>
        <v>Psallus perrisi (Mulsant &amp; Rey, 1852)</v>
      </c>
      <c r="AH12343" s="4" t="str">
        <f>HYPERLINK("#Statut_biogéographique!A"&amp;_xlfn.XMATCH("P",Statut_biogéographique!A:A,2,1),"P")</f>
        <v>P</v>
      </c>
      <c r="AP12343" s="4" t="s">
        <v>376</v>
      </c>
      <c r="AR12343" s="4" t="s">
        <v>377</v>
      </c>
    </row>
    <row r="12344" spans="1:44">
      <c r="A12344" s="4" t="s">
        <v>10753</v>
      </c>
      <c r="B12344" s="4">
        <v>237486</v>
      </c>
      <c r="D12344" s="5">
        <v>237486</v>
      </c>
      <c r="E12344" s="6" t="str">
        <f>HYPERLINK("https://inpn.mnhn.fr/espece/cd_nom/237486","Psallus variabilis (Fallén, 1807)")</f>
        <v>Psallus variabilis (Fallén, 1807)</v>
      </c>
      <c r="AH12344" s="4" t="str">
        <f>HYPERLINK("#Statut_biogéographique!A"&amp;_xlfn.XMATCH("P",Statut_biogéographique!A:A,2,1),"P")</f>
        <v>P</v>
      </c>
      <c r="AP12344" s="4" t="s">
        <v>376</v>
      </c>
      <c r="AR12344" s="4" t="s">
        <v>377</v>
      </c>
    </row>
    <row r="12345" spans="1:44">
      <c r="A12345" s="4" t="s">
        <v>10753</v>
      </c>
      <c r="B12345" s="4">
        <v>237487</v>
      </c>
      <c r="D12345" s="5">
        <v>237487</v>
      </c>
      <c r="E12345" s="6" t="str">
        <f>HYPERLINK("https://inpn.mnhn.fr/espece/cd_nom/237487","Psallus wagneri Ossiannilsson, 1953")</f>
        <v>Psallus wagneri Ossiannilsson, 1953</v>
      </c>
      <c r="AH12345" s="4" t="str">
        <f>HYPERLINK("#Statut_biogéographique!A"&amp;_xlfn.XMATCH("P",Statut_biogéographique!A:A,2,1),"P")</f>
        <v>P</v>
      </c>
      <c r="AP12345" s="4" t="s">
        <v>376</v>
      </c>
      <c r="AR12345" s="4" t="s">
        <v>377</v>
      </c>
    </row>
    <row r="12346" spans="1:44">
      <c r="A12346" s="4" t="s">
        <v>10753</v>
      </c>
      <c r="B12346" s="4">
        <v>237488</v>
      </c>
      <c r="D12346" s="5">
        <v>237488</v>
      </c>
      <c r="E12346" s="6" t="str">
        <f>HYPERLINK("https://inpn.mnhn.fr/espece/cd_nom/237488","Psallus ambiguus (Fallén, 1807)")</f>
        <v>Psallus ambiguus (Fallén, 1807)</v>
      </c>
      <c r="AH12346" s="4" t="str">
        <f>HYPERLINK("#Statut_biogéographique!A"&amp;_xlfn.XMATCH("P",Statut_biogéographique!A:A,2,1),"P")</f>
        <v>P</v>
      </c>
      <c r="AP12346" s="4" t="s">
        <v>376</v>
      </c>
      <c r="AR12346" s="4" t="s">
        <v>377</v>
      </c>
    </row>
    <row r="12347" spans="1:44">
      <c r="A12347" s="4" t="s">
        <v>10753</v>
      </c>
      <c r="B12347" s="4">
        <v>237503</v>
      </c>
      <c r="D12347" s="5">
        <v>237503</v>
      </c>
      <c r="E12347" s="6" t="str">
        <f>HYPERLINK("https://inpn.mnhn.fr/espece/cd_nom/237503","Psallus cruentatus (Mulsant &amp; Rey, 1852)")</f>
        <v>Psallus cruentatus (Mulsant &amp; Rey, 1852)</v>
      </c>
      <c r="AH12347" s="4" t="str">
        <f>HYPERLINK("#Statut_biogéographique!A"&amp;_xlfn.XMATCH("P",Statut_biogéographique!A:A,2,1),"P")</f>
        <v>P</v>
      </c>
      <c r="AP12347" s="4" t="s">
        <v>376</v>
      </c>
      <c r="AR12347" s="4" t="s">
        <v>377</v>
      </c>
    </row>
    <row r="12348" spans="1:44" ht="30">
      <c r="A12348" s="4" t="s">
        <v>10753</v>
      </c>
      <c r="B12348" s="4">
        <v>237506</v>
      </c>
      <c r="D12348" s="5" t="s">
        <v>15134</v>
      </c>
      <c r="E12348" s="6" t="str">
        <f>HYPERLINK("https://inpn.mnhn.fr/espece/cd_nom/237506","Psallus haematodes (Gmelin, 1790)")</f>
        <v>Psallus haematodes (Gmelin, 1790)</v>
      </c>
      <c r="AH12348" s="4" t="str">
        <f>HYPERLINK("#Statut_biogéographique!A"&amp;_xlfn.XMATCH("P",Statut_biogéographique!A:A,2,1),"P")</f>
        <v>P</v>
      </c>
      <c r="AP12348" s="4" t="s">
        <v>376</v>
      </c>
      <c r="AR12348" s="4" t="s">
        <v>377</v>
      </c>
    </row>
    <row r="12349" spans="1:44">
      <c r="A12349" s="4" t="s">
        <v>10753</v>
      </c>
      <c r="B12349" s="4">
        <v>237507</v>
      </c>
      <c r="D12349" s="5">
        <v>237507</v>
      </c>
      <c r="E12349" s="6" t="str">
        <f>HYPERLINK("https://inpn.mnhn.fr/espece/cd_nom/237507","Psallus lepidus Fieber, 1858")</f>
        <v>Psallus lepidus Fieber, 1858</v>
      </c>
      <c r="AH12349" s="4" t="str">
        <f>HYPERLINK("#Statut_biogéographique!A"&amp;_xlfn.XMATCH("P",Statut_biogéographique!A:A,2,1),"P")</f>
        <v>P</v>
      </c>
      <c r="AP12349" s="4" t="s">
        <v>376</v>
      </c>
      <c r="AR12349" s="4" t="s">
        <v>377</v>
      </c>
    </row>
    <row r="12350" spans="1:44" ht="30">
      <c r="A12350" s="4" t="s">
        <v>10753</v>
      </c>
      <c r="B12350" s="4">
        <v>237508</v>
      </c>
      <c r="D12350" s="5" t="s">
        <v>15135</v>
      </c>
      <c r="E12350" s="6" t="str">
        <f>HYPERLINK("https://inpn.mnhn.fr/espece/cd_nom/237508","Psallus mollis (Mulsant &amp; Rey, 1852)")</f>
        <v>Psallus mollis (Mulsant &amp; Rey, 1852)</v>
      </c>
      <c r="AH12350" s="4" t="str">
        <f>HYPERLINK("#Statut_biogéographique!A"&amp;_xlfn.XMATCH("P",Statut_biogéographique!A:A,2,1),"P")</f>
        <v>P</v>
      </c>
      <c r="AP12350" s="4" t="s">
        <v>376</v>
      </c>
      <c r="AR12350" s="4" t="s">
        <v>377</v>
      </c>
    </row>
    <row r="12351" spans="1:44">
      <c r="A12351" s="4" t="s">
        <v>10753</v>
      </c>
      <c r="B12351" s="4">
        <v>237511</v>
      </c>
      <c r="D12351" s="5" t="s">
        <v>15136</v>
      </c>
      <c r="E12351" s="6" t="str">
        <f>HYPERLINK("https://inpn.mnhn.fr/espece/cd_nom/237511","Psallus varians (Herrich-Schäffer, 1841)")</f>
        <v>Psallus varians (Herrich-Schäffer, 1841)</v>
      </c>
      <c r="AH12351" s="4" t="str">
        <f>HYPERLINK("#Statut_biogéographique!A"&amp;_xlfn.XMATCH("P",Statut_biogéographique!A:A,2,1),"P")</f>
        <v>P</v>
      </c>
      <c r="AP12351" s="4" t="s">
        <v>376</v>
      </c>
      <c r="AR12351" s="4" t="s">
        <v>377</v>
      </c>
    </row>
    <row r="12352" spans="1:44">
      <c r="A12352" s="4" t="s">
        <v>10753</v>
      </c>
      <c r="B12352" s="4">
        <v>237515</v>
      </c>
      <c r="D12352" s="5" t="s">
        <v>15137</v>
      </c>
      <c r="E12352" s="6" t="str">
        <f>HYPERLINK("https://inpn.mnhn.fr/espece/cd_nom/237515","Plagiognathus chrysanthemi (Wolff, 1804)")</f>
        <v>Plagiognathus chrysanthemi (Wolff, 1804)</v>
      </c>
      <c r="AH12352" s="4" t="str">
        <f>HYPERLINK("#Statut_biogéographique!A"&amp;_xlfn.XMATCH("P",Statut_biogéographique!A:A,2,1),"P")</f>
        <v>P</v>
      </c>
      <c r="AP12352" s="4" t="s">
        <v>376</v>
      </c>
      <c r="AR12352" s="4" t="s">
        <v>377</v>
      </c>
    </row>
    <row r="12353" spans="1:44" ht="30">
      <c r="A12353" s="4" t="s">
        <v>10753</v>
      </c>
      <c r="B12353" s="4">
        <v>237517</v>
      </c>
      <c r="D12353" s="5" t="s">
        <v>15138</v>
      </c>
      <c r="E12353" s="6" t="str">
        <f>HYPERLINK("https://inpn.mnhn.fr/espece/cd_nom/237517","Plagiognathus fulvipennis (Kirschbaum, 1856)")</f>
        <v>Plagiognathus fulvipennis (Kirschbaum, 1856)</v>
      </c>
      <c r="AH12353" s="4" t="str">
        <f>HYPERLINK("#Statut_biogéographique!A"&amp;_xlfn.XMATCH("P",Statut_biogéographique!A:A,2,1),"P")</f>
        <v>P</v>
      </c>
      <c r="AP12353" s="4" t="s">
        <v>376</v>
      </c>
      <c r="AR12353" s="4" t="s">
        <v>377</v>
      </c>
    </row>
    <row r="12354" spans="1:44">
      <c r="A12354" s="4" t="s">
        <v>10753</v>
      </c>
      <c r="B12354" s="4">
        <v>237520</v>
      </c>
      <c r="D12354" s="5">
        <v>237520</v>
      </c>
      <c r="E12354" s="6" t="str">
        <f>HYPERLINK("https://inpn.mnhn.fr/espece/cd_nom/237520","Placochilus seladonicus (Fallén, 1807)")</f>
        <v>Placochilus seladonicus (Fallén, 1807)</v>
      </c>
      <c r="AH12354" s="4" t="str">
        <f>HYPERLINK("#Statut_biogéographique!A"&amp;_xlfn.XMATCH("P",Statut_biogéographique!A:A,2,1),"P")</f>
        <v>P</v>
      </c>
      <c r="AP12354" s="4" t="s">
        <v>376</v>
      </c>
      <c r="AR12354" s="4" t="s">
        <v>377</v>
      </c>
    </row>
    <row r="12355" spans="1:44">
      <c r="A12355" s="4" t="s">
        <v>10753</v>
      </c>
      <c r="B12355" s="4">
        <v>237521</v>
      </c>
      <c r="D12355" s="5" t="s">
        <v>15139</v>
      </c>
      <c r="E12355" s="6" t="str">
        <f>HYPERLINK("https://inpn.mnhn.fr/espece/cd_nom/237521","Phylus coryli (Linnaeus, 1758)")</f>
        <v>Phylus coryli (Linnaeus, 1758)</v>
      </c>
      <c r="AH12355" s="4" t="str">
        <f>HYPERLINK("#Statut_biogéographique!A"&amp;_xlfn.XMATCH("P",Statut_biogéographique!A:A,2,1),"P")</f>
        <v>P</v>
      </c>
      <c r="AP12355" s="4" t="s">
        <v>376</v>
      </c>
      <c r="AR12355" s="4" t="s">
        <v>377</v>
      </c>
    </row>
    <row r="12356" spans="1:44">
      <c r="A12356" s="4" t="s">
        <v>10753</v>
      </c>
      <c r="B12356" s="4">
        <v>237522</v>
      </c>
      <c r="D12356" s="5" t="s">
        <v>15140</v>
      </c>
      <c r="E12356" s="6" t="str">
        <f>HYPERLINK("https://inpn.mnhn.fr/espece/cd_nom/237522","Phylus melanocephalus (Linnaeus, 1767)")</f>
        <v>Phylus melanocephalus (Linnaeus, 1767)</v>
      </c>
      <c r="AH12356" s="4" t="str">
        <f>HYPERLINK("#Statut_biogéographique!A"&amp;_xlfn.XMATCH("P",Statut_biogéographique!A:A,2,1),"P")</f>
        <v>P</v>
      </c>
      <c r="AP12356" s="4" t="s">
        <v>376</v>
      </c>
      <c r="AR12356" s="4" t="s">
        <v>377</v>
      </c>
    </row>
    <row r="12357" spans="1:44">
      <c r="A12357" s="4" t="s">
        <v>10753</v>
      </c>
      <c r="B12357" s="4">
        <v>237529</v>
      </c>
      <c r="D12357" s="5" t="s">
        <v>15141</v>
      </c>
      <c r="E12357" s="6" t="str">
        <f>HYPERLINK("https://inpn.mnhn.fr/espece/cd_nom/237529","Parapsallus vitellinus (Scholtz, 1847)")</f>
        <v>Parapsallus vitellinus (Scholtz, 1847)</v>
      </c>
      <c r="AH12357" s="4" t="str">
        <f>HYPERLINK("#Statut_biogéographique!A"&amp;_xlfn.XMATCH("P",Statut_biogéographique!A:A,2,1),"P")</f>
        <v>P</v>
      </c>
      <c r="AP12357" s="4" t="s">
        <v>376</v>
      </c>
      <c r="AR12357" s="4" t="s">
        <v>377</v>
      </c>
    </row>
    <row r="12358" spans="1:44">
      <c r="A12358" s="4" t="s">
        <v>10753</v>
      </c>
      <c r="B12358" s="4">
        <v>237535</v>
      </c>
      <c r="D12358" s="5" t="s">
        <v>15142</v>
      </c>
      <c r="E12358" s="6" t="str">
        <f>HYPERLINK("https://inpn.mnhn.fr/espece/cd_nom/237535","Orthonotus rufifrons (Fallén, 1807)")</f>
        <v>Orthonotus rufifrons (Fallén, 1807)</v>
      </c>
      <c r="AH12358" s="4" t="str">
        <f>HYPERLINK("#Statut_biogéographique!A"&amp;_xlfn.XMATCH("P",Statut_biogéographique!A:A,2,1),"P")</f>
        <v>P</v>
      </c>
      <c r="AP12358" s="4" t="s">
        <v>376</v>
      </c>
      <c r="AR12358" s="4" t="s">
        <v>377</v>
      </c>
    </row>
    <row r="12359" spans="1:44">
      <c r="A12359" s="4" t="s">
        <v>10753</v>
      </c>
      <c r="B12359" s="4">
        <v>237568</v>
      </c>
      <c r="D12359" s="5" t="s">
        <v>15143</v>
      </c>
      <c r="E12359" s="6" t="str">
        <f>HYPERLINK("https://inpn.mnhn.fr/espece/cd_nom/237568","Macrotylus paykullii (Fallén, 1807)")</f>
        <v>Macrotylus paykullii (Fallén, 1807)</v>
      </c>
      <c r="AH12359" s="4" t="str">
        <f>HYPERLINK("#Statut_biogéographique!A"&amp;_xlfn.XMATCH("P",Statut_biogéographique!A:A,2,1),"P")</f>
        <v>P</v>
      </c>
      <c r="AP12359" s="4" t="s">
        <v>376</v>
      </c>
      <c r="AR12359" s="4" t="s">
        <v>377</v>
      </c>
    </row>
    <row r="12360" spans="1:44">
      <c r="A12360" s="4" t="s">
        <v>10753</v>
      </c>
      <c r="B12360" s="4">
        <v>237569</v>
      </c>
      <c r="D12360" s="5" t="s">
        <v>15144</v>
      </c>
      <c r="E12360" s="6" t="str">
        <f>HYPERLINK("https://inpn.mnhn.fr/espece/cd_nom/237569","Macrotylus solitarius (Meyer-Dür, 1843)")</f>
        <v>Macrotylus solitarius (Meyer-Dür, 1843)</v>
      </c>
      <c r="AH12360" s="4" t="str">
        <f>HYPERLINK("#Statut_biogéographique!A"&amp;_xlfn.XMATCH("P",Statut_biogéographique!A:A,2,1),"P")</f>
        <v>P</v>
      </c>
      <c r="AP12360" s="4" t="s">
        <v>376</v>
      </c>
      <c r="AR12360" s="4" t="s">
        <v>377</v>
      </c>
    </row>
    <row r="12361" spans="1:44">
      <c r="A12361" s="4" t="s">
        <v>10753</v>
      </c>
      <c r="B12361" s="4">
        <v>237570</v>
      </c>
      <c r="D12361" s="5">
        <v>237570</v>
      </c>
      <c r="E12361" s="6" t="str">
        <f>HYPERLINK("https://inpn.mnhn.fr/espece/cd_nom/237570","Macrotylus herrichi (Reuter, 1873)")</f>
        <v>Macrotylus herrichi (Reuter, 1873)</v>
      </c>
      <c r="AH12361" s="4" t="str">
        <f>HYPERLINK("#Statut_biogéographique!A"&amp;_xlfn.XMATCH("P",Statut_biogéographique!A:A,2,1),"P")</f>
        <v>P</v>
      </c>
      <c r="AP12361" s="4" t="s">
        <v>376</v>
      </c>
      <c r="AR12361" s="4" t="s">
        <v>377</v>
      </c>
    </row>
    <row r="12362" spans="1:44">
      <c r="A12362" s="4" t="s">
        <v>10753</v>
      </c>
      <c r="B12362" s="4">
        <v>237574</v>
      </c>
      <c r="D12362" s="5" t="s">
        <v>15145</v>
      </c>
      <c r="E12362" s="6" t="str">
        <f>HYPERLINK("https://inpn.mnhn.fr/espece/cd_nom/237574","Lepidargyrus ancorifer (Fieber, 1858)")</f>
        <v>Lepidargyrus ancorifer (Fieber, 1858)</v>
      </c>
      <c r="AH12362" s="4" t="str">
        <f>HYPERLINK("#Statut_biogéographique!A"&amp;_xlfn.XMATCH("P",Statut_biogéographique!A:A,2,1),"P")</f>
        <v>P</v>
      </c>
      <c r="AP12362" s="4" t="s">
        <v>376</v>
      </c>
      <c r="AR12362" s="4" t="s">
        <v>377</v>
      </c>
    </row>
    <row r="12363" spans="1:44">
      <c r="A12363" s="4" t="s">
        <v>10753</v>
      </c>
      <c r="B12363" s="4">
        <v>237576</v>
      </c>
      <c r="D12363" s="5" t="s">
        <v>15146</v>
      </c>
      <c r="E12363" s="6" t="str">
        <f>HYPERLINK("https://inpn.mnhn.fr/espece/cd_nom/237576","Hoplomachus thunbergii (Fallén, 1807)")</f>
        <v>Hoplomachus thunbergii (Fallén, 1807)</v>
      </c>
      <c r="AH12363" s="4" t="str">
        <f>HYPERLINK("#Statut_biogéographique!A"&amp;_xlfn.XMATCH("P",Statut_biogéographique!A:A,2,1),"P")</f>
        <v>P</v>
      </c>
      <c r="AP12363" s="4" t="s">
        <v>376</v>
      </c>
      <c r="AR12363" s="4" t="s">
        <v>377</v>
      </c>
    </row>
    <row r="12364" spans="1:44">
      <c r="A12364" s="4" t="s">
        <v>10753</v>
      </c>
      <c r="B12364" s="4">
        <v>237581</v>
      </c>
      <c r="D12364" s="5">
        <v>237581</v>
      </c>
      <c r="E12364" s="6" t="str">
        <f>HYPERLINK("https://inpn.mnhn.fr/espece/cd_nom/237581","Harpocera thoracica (Fallén, 1807)")</f>
        <v>Harpocera thoracica (Fallén, 1807)</v>
      </c>
      <c r="AH12364" s="4" t="str">
        <f>HYPERLINK("#Statut_biogéographique!A"&amp;_xlfn.XMATCH("P",Statut_biogéographique!A:A,2,1),"P")</f>
        <v>P</v>
      </c>
      <c r="AP12364" s="4" t="s">
        <v>376</v>
      </c>
      <c r="AR12364" s="4" t="s">
        <v>377</v>
      </c>
    </row>
    <row r="12365" spans="1:44">
      <c r="A12365" s="4" t="s">
        <v>10753</v>
      </c>
      <c r="B12365" s="4">
        <v>237585</v>
      </c>
      <c r="D12365" s="5" t="s">
        <v>15147</v>
      </c>
      <c r="E12365" s="6" t="str">
        <f>HYPERLINK("https://inpn.mnhn.fr/espece/cd_nom/237585","Europiella alpina (Reuter, 1875)")</f>
        <v>Europiella alpina (Reuter, 1875)</v>
      </c>
      <c r="AH12365" s="4" t="str">
        <f>HYPERLINK("#Statut_biogéographique!A"&amp;_xlfn.XMATCH("P",Statut_biogéographique!A:A,2,1),"P")</f>
        <v>P</v>
      </c>
      <c r="AP12365" s="4" t="s">
        <v>376</v>
      </c>
      <c r="AR12365" s="4" t="s">
        <v>377</v>
      </c>
    </row>
    <row r="12366" spans="1:44">
      <c r="A12366" s="4" t="s">
        <v>10753</v>
      </c>
      <c r="B12366" s="4">
        <v>237589</v>
      </c>
      <c r="D12366" s="5" t="s">
        <v>15148</v>
      </c>
      <c r="E12366" s="6" t="str">
        <f>HYPERLINK("https://inpn.mnhn.fr/espece/cd_nom/237589","Criocoris crassicornis (Hahn, 1834)")</f>
        <v>Criocoris crassicornis (Hahn, 1834)</v>
      </c>
      <c r="AH12366" s="4" t="str">
        <f>HYPERLINK("#Statut_biogéographique!A"&amp;_xlfn.XMATCH("P",Statut_biogéographique!A:A,2,1),"P")</f>
        <v>P</v>
      </c>
      <c r="AP12366" s="4" t="s">
        <v>376</v>
      </c>
      <c r="AR12366" s="4" t="s">
        <v>377</v>
      </c>
    </row>
    <row r="12367" spans="1:44">
      <c r="A12367" s="4" t="s">
        <v>10753</v>
      </c>
      <c r="B12367" s="4">
        <v>237604</v>
      </c>
      <c r="D12367" s="5" t="s">
        <v>15149</v>
      </c>
      <c r="E12367" s="6" t="str">
        <f>HYPERLINK("https://inpn.mnhn.fr/espece/cd_nom/237604","Chlamydatus pullus (Reuter, 1870)")</f>
        <v>Chlamydatus pullus (Reuter, 1870)</v>
      </c>
      <c r="AH12367" s="4" t="str">
        <f>HYPERLINK("#Statut_biogéographique!A"&amp;_xlfn.XMATCH("P",Statut_biogéographique!A:A,2,1),"P")</f>
        <v>P</v>
      </c>
      <c r="AP12367" s="4" t="s">
        <v>376</v>
      </c>
      <c r="AR12367" s="4" t="s">
        <v>377</v>
      </c>
    </row>
    <row r="12368" spans="1:44">
      <c r="A12368" s="4" t="s">
        <v>10753</v>
      </c>
      <c r="B12368" s="4">
        <v>237608</v>
      </c>
      <c r="D12368" s="5">
        <v>237608</v>
      </c>
      <c r="E12368" s="6" t="str">
        <f>HYPERLINK("https://inpn.mnhn.fr/espece/cd_nom/237608","Campylomma verbasci (Meyer-Dür, 1843)")</f>
        <v>Campylomma verbasci (Meyer-Dür, 1843)</v>
      </c>
      <c r="AH12368" s="4" t="str">
        <f>HYPERLINK("#Statut_biogéographique!A"&amp;_xlfn.XMATCH("P",Statut_biogéographique!A:A,2,1),"P")</f>
        <v>P</v>
      </c>
      <c r="AP12368" s="4" t="s">
        <v>376</v>
      </c>
      <c r="AR12368" s="4" t="s">
        <v>377</v>
      </c>
    </row>
    <row r="12369" spans="1:44">
      <c r="A12369" s="4" t="s">
        <v>10753</v>
      </c>
      <c r="B12369" s="4">
        <v>237610</v>
      </c>
      <c r="D12369" s="5">
        <v>237610</v>
      </c>
      <c r="E12369" s="6" t="str">
        <f>HYPERLINK("https://inpn.mnhn.fr/espece/cd_nom/237610","Brachyarthrum limitatum Fieber, 1858")</f>
        <v>Brachyarthrum limitatum Fieber, 1858</v>
      </c>
      <c r="AH12369" s="4" t="str">
        <f>HYPERLINK("#Statut_biogéographique!A"&amp;_xlfn.XMATCH("P",Statut_biogéographique!A:A,2,1),"P")</f>
        <v>P</v>
      </c>
      <c r="AP12369" s="4" t="s">
        <v>376</v>
      </c>
      <c r="AR12369" s="4" t="s">
        <v>377</v>
      </c>
    </row>
    <row r="12370" spans="1:44">
      <c r="A12370" s="4" t="s">
        <v>10753</v>
      </c>
      <c r="B12370" s="4">
        <v>237613</v>
      </c>
      <c r="D12370" s="5">
        <v>237613</v>
      </c>
      <c r="E12370" s="6" t="str">
        <f>HYPERLINK("https://inpn.mnhn.fr/espece/cd_nom/237613","Atractotomus mali (Meyer-Dür, 1843)")</f>
        <v>Atractotomus mali (Meyer-Dür, 1843)</v>
      </c>
      <c r="AH12370" s="4" t="str">
        <f>HYPERLINK("#Statut_biogéographique!A"&amp;_xlfn.XMATCH("P",Statut_biogéographique!A:A,2,1),"P")</f>
        <v>P</v>
      </c>
      <c r="AP12370" s="4" t="s">
        <v>376</v>
      </c>
      <c r="AR12370" s="4" t="s">
        <v>377</v>
      </c>
    </row>
    <row r="12371" spans="1:44">
      <c r="A12371" s="4" t="s">
        <v>10753</v>
      </c>
      <c r="B12371" s="4">
        <v>237614</v>
      </c>
      <c r="D12371" s="5">
        <v>237614</v>
      </c>
      <c r="E12371" s="6" t="str">
        <f>HYPERLINK("https://inpn.mnhn.fr/espece/cd_nom/237614","Atractotomus parvulus Reuter, 1878")</f>
        <v>Atractotomus parvulus Reuter, 1878</v>
      </c>
      <c r="AH12371" s="4" t="str">
        <f>HYPERLINK("#Statut_biogéographique!A"&amp;_xlfn.XMATCH("P",Statut_biogéographique!A:A,2,1),"P")</f>
        <v>P</v>
      </c>
      <c r="AP12371" s="4" t="s">
        <v>376</v>
      </c>
      <c r="AR12371" s="4" t="s">
        <v>377</v>
      </c>
    </row>
    <row r="12372" spans="1:44">
      <c r="A12372" s="4" t="s">
        <v>10753</v>
      </c>
      <c r="B12372" s="4">
        <v>237621</v>
      </c>
      <c r="D12372" s="5" t="s">
        <v>15150</v>
      </c>
      <c r="E12372" s="6" t="str">
        <f>HYPERLINK("https://inpn.mnhn.fr/espece/cd_nom/237621","Amblytylus nasutus (Kirschbaum, 1856)")</f>
        <v>Amblytylus nasutus (Kirschbaum, 1856)</v>
      </c>
      <c r="AH12372" s="4" t="str">
        <f>HYPERLINK("#Statut_biogéographique!A"&amp;_xlfn.XMATCH("P",Statut_biogéographique!A:A,2,1),"P")</f>
        <v>P</v>
      </c>
      <c r="AP12372" s="4" t="s">
        <v>376</v>
      </c>
      <c r="AR12372" s="4" t="s">
        <v>377</v>
      </c>
    </row>
    <row r="12373" spans="1:44" ht="30">
      <c r="A12373" s="4" t="s">
        <v>10753</v>
      </c>
      <c r="B12373" s="4">
        <v>237627</v>
      </c>
      <c r="D12373" s="5" t="s">
        <v>15151</v>
      </c>
      <c r="E12373" s="6" t="str">
        <f>HYPERLINK("https://inpn.mnhn.fr/espece/cd_nom/237627","Strongylocoris leucocephalus (Linnaeus, 1758)")</f>
        <v>Strongylocoris leucocephalus (Linnaeus, 1758)</v>
      </c>
      <c r="AH12373" s="4" t="str">
        <f>HYPERLINK("#Statut_biogéographique!A"&amp;_xlfn.XMATCH("P",Statut_biogéographique!A:A,2,1),"P")</f>
        <v>P</v>
      </c>
      <c r="AP12373" s="4" t="s">
        <v>376</v>
      </c>
      <c r="AR12373" s="4" t="s">
        <v>377</v>
      </c>
    </row>
    <row r="12374" spans="1:44">
      <c r="A12374" s="4" t="s">
        <v>10753</v>
      </c>
      <c r="B12374" s="4">
        <v>237641</v>
      </c>
      <c r="D12374" s="5" t="s">
        <v>15152</v>
      </c>
      <c r="E12374" s="6" t="str">
        <f>HYPERLINK("https://inpn.mnhn.fr/espece/cd_nom/237641","Orthocephalus coriaceus (Fabricius, 1777)")</f>
        <v>Orthocephalus coriaceus (Fabricius, 1777)</v>
      </c>
      <c r="AH12374" s="4" t="str">
        <f>HYPERLINK("#Statut_biogéographique!A"&amp;_xlfn.XMATCH("P",Statut_biogéographique!A:A,2,1),"P")</f>
        <v>P</v>
      </c>
      <c r="AP12374" s="4" t="s">
        <v>376</v>
      </c>
      <c r="AR12374" s="4" t="s">
        <v>377</v>
      </c>
    </row>
    <row r="12375" spans="1:44">
      <c r="A12375" s="4" t="s">
        <v>10753</v>
      </c>
      <c r="B12375" s="4">
        <v>237644</v>
      </c>
      <c r="D12375" s="5" t="s">
        <v>15153</v>
      </c>
      <c r="E12375" s="6" t="str">
        <f>HYPERLINK("https://inpn.mnhn.fr/espece/cd_nom/237644","Orthocephalus saltator (Hahn, 1835)")</f>
        <v>Orthocephalus saltator (Hahn, 1835)</v>
      </c>
      <c r="AH12375" s="4" t="str">
        <f>HYPERLINK("#Statut_biogéographique!A"&amp;_xlfn.XMATCH("P",Statut_biogéographique!A:A,2,1),"P")</f>
        <v>P</v>
      </c>
      <c r="AP12375" s="4" t="s">
        <v>376</v>
      </c>
      <c r="AR12375" s="4" t="s">
        <v>377</v>
      </c>
    </row>
    <row r="12376" spans="1:44">
      <c r="A12376" s="4" t="s">
        <v>10753</v>
      </c>
      <c r="B12376" s="4">
        <v>237647</v>
      </c>
      <c r="D12376" s="5">
        <v>237647</v>
      </c>
      <c r="E12376" s="6" t="str">
        <f>HYPERLINK("https://inpn.mnhn.fr/espece/cd_nom/237647","Halticus apterus (Linnaeus, 1758)")</f>
        <v>Halticus apterus (Linnaeus, 1758)</v>
      </c>
      <c r="AH12376" s="4" t="str">
        <f>HYPERLINK("#Statut_biogéographique!A"&amp;_xlfn.XMATCH("P",Statut_biogéographique!A:A,2,1),"P")</f>
        <v>P</v>
      </c>
      <c r="AP12376" s="4" t="s">
        <v>376</v>
      </c>
      <c r="AR12376" s="4" t="s">
        <v>377</v>
      </c>
    </row>
    <row r="12377" spans="1:44">
      <c r="A12377" s="4" t="s">
        <v>10753</v>
      </c>
      <c r="B12377" s="4">
        <v>237648</v>
      </c>
      <c r="D12377" s="5" t="s">
        <v>15154</v>
      </c>
      <c r="E12377" s="6" t="str">
        <f>HYPERLINK("https://inpn.mnhn.fr/espece/cd_nom/237648","Halticus luteicollis (Panzer, 1803)")</f>
        <v>Halticus luteicollis (Panzer, 1803)</v>
      </c>
      <c r="AH12377" s="4" t="str">
        <f>HYPERLINK("#Statut_biogéographique!A"&amp;_xlfn.XMATCH("P",Statut_biogéographique!A:A,2,1),"P")</f>
        <v>P</v>
      </c>
      <c r="AP12377" s="4" t="s">
        <v>376</v>
      </c>
      <c r="AR12377" s="4" t="s">
        <v>377</v>
      </c>
    </row>
    <row r="12378" spans="1:44">
      <c r="A12378" s="4" t="s">
        <v>10753</v>
      </c>
      <c r="B12378" s="4">
        <v>237653</v>
      </c>
      <c r="D12378" s="5" t="s">
        <v>15155</v>
      </c>
      <c r="E12378" s="6" t="str">
        <f>HYPERLINK("https://inpn.mnhn.fr/espece/cd_nom/237653","Euryopicoris nitidus (Meyer-Dür, 1843)")</f>
        <v>Euryopicoris nitidus (Meyer-Dür, 1843)</v>
      </c>
      <c r="AH12378" s="4" t="str">
        <f>HYPERLINK("#Statut_biogéographique!A"&amp;_xlfn.XMATCH("P",Statut_biogéographique!A:A,2,1),"P")</f>
        <v>P</v>
      </c>
      <c r="AP12378" s="4" t="s">
        <v>376</v>
      </c>
      <c r="AR12378" s="4" t="s">
        <v>377</v>
      </c>
    </row>
    <row r="12379" spans="1:44">
      <c r="A12379" s="4" t="s">
        <v>10753</v>
      </c>
      <c r="B12379" s="4">
        <v>237685</v>
      </c>
      <c r="D12379" s="5" t="s">
        <v>15156</v>
      </c>
      <c r="E12379" s="6" t="str">
        <f>HYPERLINK("https://inpn.mnhn.fr/espece/cd_nom/237685","Orthotylus nassatus (Fabricius, 1787)")</f>
        <v>Orthotylus nassatus (Fabricius, 1787)</v>
      </c>
      <c r="AH12379" s="4" t="str">
        <f>HYPERLINK("#Statut_biogéographique!A"&amp;_xlfn.XMATCH("P",Statut_biogéographique!A:A,2,1),"P")</f>
        <v>P</v>
      </c>
      <c r="AP12379" s="4" t="s">
        <v>376</v>
      </c>
      <c r="AR12379" s="4" t="s">
        <v>377</v>
      </c>
    </row>
    <row r="12380" spans="1:44">
      <c r="A12380" s="4" t="s">
        <v>10753</v>
      </c>
      <c r="B12380" s="4">
        <v>237686</v>
      </c>
      <c r="D12380" s="5">
        <v>237686</v>
      </c>
      <c r="E12380" s="6" t="str">
        <f>HYPERLINK("https://inpn.mnhn.fr/espece/cd_nom/237686","Orthotylus obscurus Reuter, 1875")</f>
        <v>Orthotylus obscurus Reuter, 1875</v>
      </c>
      <c r="AH12380" s="4" t="str">
        <f>HYPERLINK("#Statut_biogéographique!A"&amp;_xlfn.XMATCH("P",Statut_biogéographique!A:A,2,1),"P")</f>
        <v>P</v>
      </c>
      <c r="AP12380" s="4" t="s">
        <v>376</v>
      </c>
      <c r="AR12380" s="4" t="s">
        <v>377</v>
      </c>
    </row>
    <row r="12381" spans="1:44">
      <c r="A12381" s="4" t="s">
        <v>10753</v>
      </c>
      <c r="B12381" s="4">
        <v>237688</v>
      </c>
      <c r="D12381" s="5">
        <v>237688</v>
      </c>
      <c r="E12381" s="6" t="str">
        <f>HYPERLINK("https://inpn.mnhn.fr/espece/cd_nom/237688","Orthotylus prasinus (Fallén, 1826)")</f>
        <v>Orthotylus prasinus (Fallén, 1826)</v>
      </c>
      <c r="AH12381" s="4" t="str">
        <f>HYPERLINK("#Statut_biogéographique!A"&amp;_xlfn.XMATCH("P",Statut_biogéographique!A:A,2,1),"P")</f>
        <v>P</v>
      </c>
      <c r="AP12381" s="4" t="s">
        <v>376</v>
      </c>
      <c r="AR12381" s="4" t="s">
        <v>377</v>
      </c>
    </row>
    <row r="12382" spans="1:44">
      <c r="A12382" s="4" t="s">
        <v>10753</v>
      </c>
      <c r="B12382" s="4">
        <v>237689</v>
      </c>
      <c r="D12382" s="5">
        <v>237689</v>
      </c>
      <c r="E12382" s="6" t="str">
        <f>HYPERLINK("https://inpn.mnhn.fr/espece/cd_nom/237689","Orthotylus tenellus (Fallén, 1807)")</f>
        <v>Orthotylus tenellus (Fallén, 1807)</v>
      </c>
      <c r="AH12382" s="4" t="str">
        <f>HYPERLINK("#Statut_biogéographique!A"&amp;_xlfn.XMATCH("P",Statut_biogéographique!A:A,2,1),"P")</f>
        <v>P</v>
      </c>
      <c r="AP12382" s="4" t="s">
        <v>376</v>
      </c>
      <c r="AR12382" s="4" t="s">
        <v>377</v>
      </c>
    </row>
    <row r="12383" spans="1:44">
      <c r="A12383" s="4" t="s">
        <v>10753</v>
      </c>
      <c r="B12383" s="4">
        <v>237692</v>
      </c>
      <c r="D12383" s="5">
        <v>237692</v>
      </c>
      <c r="E12383" s="6" t="str">
        <f>HYPERLINK("https://inpn.mnhn.fr/espece/cd_nom/237692","Orthotylus viridinervis (Kirschbaum, 1856)")</f>
        <v>Orthotylus viridinervis (Kirschbaum, 1856)</v>
      </c>
      <c r="AH12383" s="4" t="str">
        <f>HYPERLINK("#Statut_biogéographique!A"&amp;_xlfn.XMATCH("P",Statut_biogéographique!A:A,2,1),"P")</f>
        <v>P</v>
      </c>
      <c r="AP12383" s="4" t="s">
        <v>376</v>
      </c>
      <c r="AR12383" s="4" t="s">
        <v>377</v>
      </c>
    </row>
    <row r="12384" spans="1:44">
      <c r="A12384" s="4" t="s">
        <v>10753</v>
      </c>
      <c r="B12384" s="4">
        <v>237702</v>
      </c>
      <c r="D12384" s="5" t="s">
        <v>15157</v>
      </c>
      <c r="E12384" s="6" t="str">
        <f>HYPERLINK("https://inpn.mnhn.fr/espece/cd_nom/237702","Mecomma ambulans (Fallén, 1807)")</f>
        <v>Mecomma ambulans (Fallén, 1807)</v>
      </c>
      <c r="AH12384" s="4" t="str">
        <f>HYPERLINK("#Statut_biogéographique!A"&amp;_xlfn.XMATCH("P",Statut_biogéographique!A:A,2,1),"P")</f>
        <v>P</v>
      </c>
      <c r="AP12384" s="4" t="s">
        <v>376</v>
      </c>
      <c r="AR12384" s="4" t="s">
        <v>377</v>
      </c>
    </row>
    <row r="12385" spans="1:44">
      <c r="A12385" s="4" t="s">
        <v>10753</v>
      </c>
      <c r="B12385" s="4">
        <v>237703</v>
      </c>
      <c r="D12385" s="5" t="s">
        <v>15158</v>
      </c>
      <c r="E12385" s="6" t="str">
        <f>HYPERLINK("https://inpn.mnhn.fr/espece/cd_nom/237703","Malacocoris chlorizans (Panzer, 1794)")</f>
        <v>Malacocoris chlorizans (Panzer, 1794)</v>
      </c>
      <c r="AH12385" s="4" t="str">
        <f>HYPERLINK("#Statut_biogéographique!A"&amp;_xlfn.XMATCH("P",Statut_biogéographique!A:A,2,1),"P")</f>
        <v>P</v>
      </c>
      <c r="AP12385" s="4" t="s">
        <v>376</v>
      </c>
      <c r="AR12385" s="4" t="s">
        <v>377</v>
      </c>
    </row>
    <row r="12386" spans="1:44">
      <c r="A12386" s="4" t="s">
        <v>10753</v>
      </c>
      <c r="B12386" s="4">
        <v>237706</v>
      </c>
      <c r="D12386" s="5" t="s">
        <v>15159</v>
      </c>
      <c r="E12386" s="6" t="str">
        <f>HYPERLINK("https://inpn.mnhn.fr/espece/cd_nom/237706","Heterotoma planicornis (Pallas, 1772)")</f>
        <v>Heterotoma planicornis (Pallas, 1772)</v>
      </c>
      <c r="AH12386" s="4" t="str">
        <f>HYPERLINK("#Statut_biogéographique!A"&amp;_xlfn.XMATCH("P",Statut_biogéographique!A:A,2,1),"P")</f>
        <v>P</v>
      </c>
      <c r="AP12386" s="4" t="s">
        <v>376</v>
      </c>
      <c r="AR12386" s="4" t="s">
        <v>377</v>
      </c>
    </row>
    <row r="12387" spans="1:44">
      <c r="A12387" s="4" t="s">
        <v>10753</v>
      </c>
      <c r="B12387" s="4">
        <v>237709</v>
      </c>
      <c r="D12387" s="5">
        <v>237709</v>
      </c>
      <c r="E12387" s="6" t="str">
        <f>HYPERLINK("https://inpn.mnhn.fr/espece/cd_nom/237709","Heterocordylus genistae (Scopoli, 1763)")</f>
        <v>Heterocordylus genistae (Scopoli, 1763)</v>
      </c>
      <c r="AH12387" s="4" t="str">
        <f>HYPERLINK("#Statut_biogéographique!A"&amp;_xlfn.XMATCH("P",Statut_biogéographique!A:A,2,1),"P")</f>
        <v>P</v>
      </c>
      <c r="AP12387" s="4" t="s">
        <v>376</v>
      </c>
      <c r="AR12387" s="4" t="s">
        <v>377</v>
      </c>
    </row>
    <row r="12388" spans="1:44" ht="30">
      <c r="A12388" s="4" t="s">
        <v>10753</v>
      </c>
      <c r="B12388" s="4">
        <v>237710</v>
      </c>
      <c r="D12388" s="5">
        <v>237710</v>
      </c>
      <c r="E12388" s="6" t="str">
        <f>HYPERLINK("https://inpn.mnhn.fr/espece/cd_nom/237710","Heterocordylus leptocerus (Kirschbaum, 1856)")</f>
        <v>Heterocordylus leptocerus (Kirschbaum, 1856)</v>
      </c>
      <c r="AH12388" s="4" t="str">
        <f>HYPERLINK("#Statut_biogéographique!A"&amp;_xlfn.XMATCH("P",Statut_biogéographique!A:A,2,1),"P")</f>
        <v>P</v>
      </c>
      <c r="AP12388" s="4" t="s">
        <v>376</v>
      </c>
      <c r="AR12388" s="4" t="s">
        <v>377</v>
      </c>
    </row>
    <row r="12389" spans="1:44">
      <c r="A12389" s="4" t="s">
        <v>10753</v>
      </c>
      <c r="B12389" s="4">
        <v>237711</v>
      </c>
      <c r="D12389" s="5">
        <v>237711</v>
      </c>
      <c r="E12389" s="6" t="str">
        <f>HYPERLINK("https://inpn.mnhn.fr/espece/cd_nom/237711","Heterocordylus tibialis (Hahn, 1833)")</f>
        <v>Heterocordylus tibialis (Hahn, 1833)</v>
      </c>
      <c r="AH12389" s="4" t="str">
        <f>HYPERLINK("#Statut_biogéographique!A"&amp;_xlfn.XMATCH("P",Statut_biogéographique!A:A,2,1),"P")</f>
        <v>P</v>
      </c>
      <c r="AP12389" s="4" t="s">
        <v>376</v>
      </c>
      <c r="AR12389" s="4" t="s">
        <v>377</v>
      </c>
    </row>
    <row r="12390" spans="1:44" ht="30">
      <c r="A12390" s="4" t="s">
        <v>10753</v>
      </c>
      <c r="B12390" s="4">
        <v>237712</v>
      </c>
      <c r="D12390" s="5">
        <v>237712</v>
      </c>
      <c r="E12390" s="6" t="str">
        <f>HYPERLINK("https://inpn.mnhn.fr/espece/cd_nom/237712","Heterocordylus tumidicornis (Herrich-Schäffer, 1835)")</f>
        <v>Heterocordylus tumidicornis (Herrich-Schäffer, 1835)</v>
      </c>
      <c r="AH12390" s="4" t="str">
        <f>HYPERLINK("#Statut_biogéographique!A"&amp;_xlfn.XMATCH("P",Statut_biogéographique!A:A,2,1),"P")</f>
        <v>P</v>
      </c>
      <c r="AP12390" s="4" t="s">
        <v>376</v>
      </c>
      <c r="AR12390" s="4" t="s">
        <v>377</v>
      </c>
    </row>
    <row r="12391" spans="1:44">
      <c r="A12391" s="4" t="s">
        <v>10753</v>
      </c>
      <c r="B12391" s="4">
        <v>237713</v>
      </c>
      <c r="D12391" s="5" t="s">
        <v>15160</v>
      </c>
      <c r="E12391" s="6" t="str">
        <f>HYPERLINK("https://inpn.mnhn.fr/espece/cd_nom/237713","Globiceps sphaegiformis (Rossi, 1790)")</f>
        <v>Globiceps sphaegiformis (Rossi, 1790)</v>
      </c>
      <c r="AH12391" s="4" t="str">
        <f>HYPERLINK("#Statut_biogéographique!A"&amp;_xlfn.XMATCH("P",Statut_biogéographique!A:A,2,1),"P")</f>
        <v>P</v>
      </c>
      <c r="AP12391" s="4" t="s">
        <v>376</v>
      </c>
      <c r="AR12391" s="4" t="s">
        <v>377</v>
      </c>
    </row>
    <row r="12392" spans="1:44">
      <c r="A12392" s="4" t="s">
        <v>10753</v>
      </c>
      <c r="B12392" s="4">
        <v>237714</v>
      </c>
      <c r="D12392" s="5" t="s">
        <v>15161</v>
      </c>
      <c r="E12392" s="6" t="str">
        <f>HYPERLINK("https://inpn.mnhn.fr/espece/cd_nom/237714","Globiceps flavomaculatus (Fabricius, 1794)")</f>
        <v>Globiceps flavomaculatus (Fabricius, 1794)</v>
      </c>
      <c r="AH12392" s="4" t="str">
        <f>HYPERLINK("#Statut_biogéographique!A"&amp;_xlfn.XMATCH("P",Statut_biogéographique!A:A,2,1),"P")</f>
        <v>P</v>
      </c>
      <c r="AP12392" s="4" t="s">
        <v>376</v>
      </c>
      <c r="AR12392" s="4" t="s">
        <v>377</v>
      </c>
    </row>
    <row r="12393" spans="1:44">
      <c r="A12393" s="4" t="s">
        <v>10753</v>
      </c>
      <c r="B12393" s="4">
        <v>237715</v>
      </c>
      <c r="D12393" s="5" t="s">
        <v>15162</v>
      </c>
      <c r="E12393" s="6" t="str">
        <f>HYPERLINK("https://inpn.mnhn.fr/espece/cd_nom/237715","Globiceps fulvicollis Jakovlev, 1877")</f>
        <v>Globiceps fulvicollis Jakovlev, 1877</v>
      </c>
      <c r="AH12393" s="4" t="str">
        <f>HYPERLINK("#Statut_biogéographique!A"&amp;_xlfn.XMATCH("P",Statut_biogéographique!A:A,2,1),"P")</f>
        <v>P</v>
      </c>
      <c r="AP12393" s="4" t="s">
        <v>376</v>
      </c>
      <c r="AR12393" s="4" t="s">
        <v>377</v>
      </c>
    </row>
    <row r="12394" spans="1:44" ht="30">
      <c r="A12394" s="4" t="s">
        <v>10753</v>
      </c>
      <c r="B12394" s="4">
        <v>237720</v>
      </c>
      <c r="D12394" s="5" t="s">
        <v>15163</v>
      </c>
      <c r="E12394" s="6" t="str">
        <f>HYPERLINK("https://inpn.mnhn.fr/espece/cd_nom/237720","Dryophilocoris flavoquadrimaculatus (De Geer, 1773)")</f>
        <v>Dryophilocoris flavoquadrimaculatus (De Geer, 1773)</v>
      </c>
      <c r="AH12394" s="4" t="str">
        <f>HYPERLINK("#Statut_biogéographique!A"&amp;_xlfn.XMATCH("P",Statut_biogéographique!A:A,2,1),"P")</f>
        <v>P</v>
      </c>
      <c r="AP12394" s="4" t="s">
        <v>376</v>
      </c>
      <c r="AR12394" s="4" t="s">
        <v>377</v>
      </c>
    </row>
    <row r="12395" spans="1:44">
      <c r="A12395" s="4" t="s">
        <v>10753</v>
      </c>
      <c r="B12395" s="4">
        <v>237727</v>
      </c>
      <c r="D12395" s="5" t="s">
        <v>15164</v>
      </c>
      <c r="E12395" s="6" t="str">
        <f>HYPERLINK("https://inpn.mnhn.fr/espece/cd_nom/237727","Rhabdomiris striatellus (Fabricius, 1794)")</f>
        <v>Rhabdomiris striatellus (Fabricius, 1794)</v>
      </c>
      <c r="F12395" s="5" t="s">
        <v>15165</v>
      </c>
      <c r="AH12395" s="4" t="str">
        <f>HYPERLINK("#Statut_biogéographique!A"&amp;_xlfn.XMATCH("P",Statut_biogéographique!A:A,2,1),"P")</f>
        <v>P</v>
      </c>
      <c r="AP12395" s="4" t="s">
        <v>376</v>
      </c>
      <c r="AR12395" s="4" t="s">
        <v>377</v>
      </c>
    </row>
    <row r="12396" spans="1:44">
      <c r="A12396" s="4" t="s">
        <v>10753</v>
      </c>
      <c r="B12396" s="4">
        <v>237729</v>
      </c>
      <c r="D12396" s="5">
        <v>237729</v>
      </c>
      <c r="E12396" s="6" t="str">
        <f>HYPERLINK("https://inpn.mnhn.fr/espece/cd_nom/237729","Polymerus brevicornis (Reuter, 1879)")</f>
        <v>Polymerus brevicornis (Reuter, 1879)</v>
      </c>
      <c r="AH12396" s="4" t="str">
        <f>HYPERLINK("#Statut_biogéographique!A"&amp;_xlfn.XMATCH("P",Statut_biogéographique!A:A,2,1),"P")</f>
        <v>P</v>
      </c>
      <c r="AP12396" s="4" t="s">
        <v>376</v>
      </c>
      <c r="AR12396" s="4" t="s">
        <v>377</v>
      </c>
    </row>
    <row r="12397" spans="1:44">
      <c r="A12397" s="4" t="s">
        <v>10753</v>
      </c>
      <c r="B12397" s="4">
        <v>237732</v>
      </c>
      <c r="D12397" s="5">
        <v>237732</v>
      </c>
      <c r="E12397" s="6" t="str">
        <f>HYPERLINK("https://inpn.mnhn.fr/espece/cd_nom/237732","Polymerus palustris (Reuter, 1907)")</f>
        <v>Polymerus palustris (Reuter, 1907)</v>
      </c>
      <c r="AH12397" s="4" t="str">
        <f>HYPERLINK("#Statut_biogéographique!A"&amp;_xlfn.XMATCH("P",Statut_biogéographique!A:A,2,1),"P")</f>
        <v>P</v>
      </c>
      <c r="AP12397" s="4" t="s">
        <v>376</v>
      </c>
      <c r="AR12397" s="4" t="s">
        <v>377</v>
      </c>
    </row>
    <row r="12398" spans="1:44">
      <c r="A12398" s="4" t="s">
        <v>10753</v>
      </c>
      <c r="B12398" s="4">
        <v>237733</v>
      </c>
      <c r="D12398" s="5" t="s">
        <v>15166</v>
      </c>
      <c r="E12398" s="6" t="str">
        <f>HYPERLINK("https://inpn.mnhn.fr/espece/cd_nom/237733","Polymerus unifasciatus (Fabricius, 1794)")</f>
        <v>Polymerus unifasciatus (Fabricius, 1794)</v>
      </c>
      <c r="AH12398" s="4" t="str">
        <f>HYPERLINK("#Statut_biogéographique!A"&amp;_xlfn.XMATCH("P",Statut_biogéographique!A:A,2,1),"P")</f>
        <v>P</v>
      </c>
      <c r="AP12398" s="4" t="s">
        <v>376</v>
      </c>
      <c r="AR12398" s="4" t="s">
        <v>377</v>
      </c>
    </row>
    <row r="12399" spans="1:44">
      <c r="A12399" s="4" t="s">
        <v>10753</v>
      </c>
      <c r="B12399" s="4">
        <v>237736</v>
      </c>
      <c r="D12399" s="5" t="s">
        <v>15167</v>
      </c>
      <c r="E12399" s="6" t="str">
        <f>HYPERLINK("https://inpn.mnhn.fr/espece/cd_nom/237736","Polymerus holosericeus Hahn, 1831")</f>
        <v>Polymerus holosericeus Hahn, 1831</v>
      </c>
      <c r="AH12399" s="4" t="str">
        <f>HYPERLINK("#Statut_biogéographique!A"&amp;_xlfn.XMATCH("P",Statut_biogéographique!A:A,2,1),"P")</f>
        <v>P</v>
      </c>
      <c r="AP12399" s="4" t="s">
        <v>376</v>
      </c>
      <c r="AR12399" s="4" t="s">
        <v>377</v>
      </c>
    </row>
    <row r="12400" spans="1:44">
      <c r="A12400" s="4" t="s">
        <v>10753</v>
      </c>
      <c r="B12400" s="4">
        <v>237737</v>
      </c>
      <c r="D12400" s="5" t="s">
        <v>15168</v>
      </c>
      <c r="E12400" s="6" t="str">
        <f>HYPERLINK("https://inpn.mnhn.fr/espece/cd_nom/237737","Polymerus nigrita (Fallén, 1807)")</f>
        <v>Polymerus nigrita (Fallén, 1807)</v>
      </c>
      <c r="AH12400" s="4" t="str">
        <f>HYPERLINK("#Statut_biogéographique!A"&amp;_xlfn.XMATCH("P",Statut_biogéographique!A:A,2,1),"P")</f>
        <v>P</v>
      </c>
      <c r="AP12400" s="4" t="s">
        <v>376</v>
      </c>
      <c r="AR12400" s="4" t="s">
        <v>377</v>
      </c>
    </row>
    <row r="12401" spans="1:44">
      <c r="A12401" s="4" t="s">
        <v>10753</v>
      </c>
      <c r="B12401" s="4">
        <v>237738</v>
      </c>
      <c r="D12401" s="5" t="s">
        <v>15169</v>
      </c>
      <c r="E12401" s="6" t="str">
        <f>HYPERLINK("https://inpn.mnhn.fr/espece/cd_nom/237738","Pinalitus atomarius (Meyer-Dür, 1843)")</f>
        <v>Pinalitus atomarius (Meyer-Dür, 1843)</v>
      </c>
      <c r="AH12401" s="4" t="str">
        <f>HYPERLINK("#Statut_biogéographique!A"&amp;_xlfn.XMATCH("P",Statut_biogéographique!A:A,2,1),"P")</f>
        <v>P</v>
      </c>
      <c r="AP12401" s="4" t="s">
        <v>376</v>
      </c>
      <c r="AR12401" s="4" t="s">
        <v>377</v>
      </c>
    </row>
    <row r="12402" spans="1:44">
      <c r="A12402" s="4" t="s">
        <v>10753</v>
      </c>
      <c r="B12402" s="4">
        <v>237739</v>
      </c>
      <c r="D12402" s="5" t="s">
        <v>15170</v>
      </c>
      <c r="E12402" s="6" t="str">
        <f>HYPERLINK("https://inpn.mnhn.fr/espece/cd_nom/237739","Pinalitus cervinus (Herrich-Schäffer, 1841)")</f>
        <v>Pinalitus cervinus (Herrich-Schäffer, 1841)</v>
      </c>
      <c r="AH12402" s="4" t="str">
        <f>HYPERLINK("#Statut_biogéographique!A"&amp;_xlfn.XMATCH("P",Statut_biogéographique!A:A,2,1),"P")</f>
        <v>P</v>
      </c>
      <c r="AP12402" s="4" t="s">
        <v>376</v>
      </c>
      <c r="AR12402" s="4" t="s">
        <v>377</v>
      </c>
    </row>
    <row r="12403" spans="1:44">
      <c r="A12403" s="4" t="s">
        <v>10753</v>
      </c>
      <c r="B12403" s="4">
        <v>237740</v>
      </c>
      <c r="D12403" s="5" t="s">
        <v>15171</v>
      </c>
      <c r="E12403" s="6" t="str">
        <f>HYPERLINK("https://inpn.mnhn.fr/espece/cd_nom/237740","Pinalitus rubricatus (Fallén, 1807)")</f>
        <v>Pinalitus rubricatus (Fallén, 1807)</v>
      </c>
      <c r="AH12403" s="4" t="str">
        <f>HYPERLINK("#Statut_biogéographique!A"&amp;_xlfn.XMATCH("P",Statut_biogéographique!A:A,2,1),"P")</f>
        <v>P</v>
      </c>
      <c r="AP12403" s="4" t="s">
        <v>376</v>
      </c>
      <c r="AR12403" s="4" t="s">
        <v>377</v>
      </c>
    </row>
    <row r="12404" spans="1:44">
      <c r="A12404" s="4" t="s">
        <v>10753</v>
      </c>
      <c r="B12404" s="4">
        <v>237742</v>
      </c>
      <c r="D12404" s="5" t="s">
        <v>15172</v>
      </c>
      <c r="E12404" s="6" t="str">
        <f>HYPERLINK("https://inpn.mnhn.fr/espece/cd_nom/237742","Pinalitus viscicola (Puton, 1888)")</f>
        <v>Pinalitus viscicola (Puton, 1888)</v>
      </c>
      <c r="AH12404" s="4" t="str">
        <f>HYPERLINK("#Statut_biogéographique!A"&amp;_xlfn.XMATCH("P",Statut_biogéographique!A:A,2,1),"P")</f>
        <v>P</v>
      </c>
      <c r="AP12404" s="4" t="s">
        <v>376</v>
      </c>
      <c r="AR12404" s="4" t="s">
        <v>377</v>
      </c>
    </row>
    <row r="12405" spans="1:44">
      <c r="A12405" s="4" t="s">
        <v>10753</v>
      </c>
      <c r="B12405" s="4">
        <v>237751</v>
      </c>
      <c r="D12405" s="5">
        <v>237751</v>
      </c>
      <c r="E12405" s="6" t="str">
        <f>HYPERLINK("https://inpn.mnhn.fr/espece/cd_nom/237751","Phytocoris austriacus Wagner, 1954")</f>
        <v>Phytocoris austriacus Wagner, 1954</v>
      </c>
      <c r="AH12405" s="4" t="str">
        <f>HYPERLINK("#Statut_biogéographique!A"&amp;_xlfn.XMATCH("P",Statut_biogéographique!A:A,2,1),"P")</f>
        <v>P</v>
      </c>
      <c r="AP12405" s="4" t="s">
        <v>376</v>
      </c>
      <c r="AR12405" s="4" t="s">
        <v>377</v>
      </c>
    </row>
    <row r="12406" spans="1:44">
      <c r="A12406" s="4" t="s">
        <v>10753</v>
      </c>
      <c r="B12406" s="4">
        <v>237756</v>
      </c>
      <c r="D12406" s="5" t="s">
        <v>15173</v>
      </c>
      <c r="E12406" s="6" t="str">
        <f>HYPERLINK("https://inpn.mnhn.fr/espece/cd_nom/237756","Phytocoris ulmi (Linnaeus, 1758)")</f>
        <v>Phytocoris ulmi (Linnaeus, 1758)</v>
      </c>
      <c r="AH12406" s="4" t="str">
        <f>HYPERLINK("#Statut_biogéographique!A"&amp;_xlfn.XMATCH("P",Statut_biogéographique!A:A,2,1),"P")</f>
        <v>P</v>
      </c>
      <c r="AP12406" s="4" t="s">
        <v>376</v>
      </c>
      <c r="AR12406" s="4" t="s">
        <v>377</v>
      </c>
    </row>
    <row r="12407" spans="1:44">
      <c r="A12407" s="4" t="s">
        <v>10753</v>
      </c>
      <c r="B12407" s="4">
        <v>237757</v>
      </c>
      <c r="D12407" s="5" t="s">
        <v>15174</v>
      </c>
      <c r="E12407" s="6" t="str">
        <f>HYPERLINK("https://inpn.mnhn.fr/espece/cd_nom/237757","Phytocoris varipes Boheman, 1852")</f>
        <v>Phytocoris varipes Boheman, 1852</v>
      </c>
      <c r="AH12407" s="4" t="str">
        <f>HYPERLINK("#Statut_biogéographique!A"&amp;_xlfn.XMATCH("P",Statut_biogéographique!A:A,2,1),"P")</f>
        <v>P</v>
      </c>
      <c r="AP12407" s="4" t="s">
        <v>376</v>
      </c>
      <c r="AR12407" s="4" t="s">
        <v>377</v>
      </c>
    </row>
    <row r="12408" spans="1:44">
      <c r="A12408" s="4" t="s">
        <v>10753</v>
      </c>
      <c r="B12408" s="4">
        <v>237763</v>
      </c>
      <c r="D12408" s="5">
        <v>237763</v>
      </c>
      <c r="E12408" s="6" t="str">
        <f>HYPERLINK("https://inpn.mnhn.fr/espece/cd_nom/237763","Phytocoris dimidiatus Kirschbaum, 1856")</f>
        <v>Phytocoris dimidiatus Kirschbaum, 1856</v>
      </c>
      <c r="AH12408" s="4" t="str">
        <f>HYPERLINK("#Statut_biogéographique!A"&amp;_xlfn.XMATCH("P",Statut_biogéographique!A:A,2,1),"P")</f>
        <v>P</v>
      </c>
      <c r="AP12408" s="4" t="s">
        <v>376</v>
      </c>
      <c r="AR12408" s="4" t="s">
        <v>377</v>
      </c>
    </row>
    <row r="12409" spans="1:44">
      <c r="A12409" s="4" t="s">
        <v>10753</v>
      </c>
      <c r="B12409" s="4">
        <v>237764</v>
      </c>
      <c r="D12409" s="5">
        <v>237764</v>
      </c>
      <c r="E12409" s="6" t="str">
        <f>HYPERLINK("https://inpn.mnhn.fr/espece/cd_nom/237764","Phytocoris intricatus Flor, 1861")</f>
        <v>Phytocoris intricatus Flor, 1861</v>
      </c>
      <c r="AH12409" s="4" t="str">
        <f>HYPERLINK("#Statut_biogéographique!A"&amp;_xlfn.XMATCH("P",Statut_biogéographique!A:A,2,1),"P")</f>
        <v>P</v>
      </c>
      <c r="AP12409" s="4" t="s">
        <v>376</v>
      </c>
      <c r="AR12409" s="4" t="s">
        <v>377</v>
      </c>
    </row>
    <row r="12410" spans="1:44">
      <c r="A12410" s="4" t="s">
        <v>10753</v>
      </c>
      <c r="B12410" s="4">
        <v>237765</v>
      </c>
      <c r="D12410" s="5">
        <v>237765</v>
      </c>
      <c r="E12410" s="6" t="str">
        <f>HYPERLINK("https://inpn.mnhn.fr/espece/cd_nom/237765","Phytocoris longipennis Flor, 1861")</f>
        <v>Phytocoris longipennis Flor, 1861</v>
      </c>
      <c r="AH12410" s="4" t="str">
        <f>HYPERLINK("#Statut_biogéographique!A"&amp;_xlfn.XMATCH("P",Statut_biogéographique!A:A,2,1),"P")</f>
        <v>P</v>
      </c>
      <c r="AP12410" s="4" t="s">
        <v>376</v>
      </c>
      <c r="AR12410" s="4" t="s">
        <v>377</v>
      </c>
    </row>
    <row r="12411" spans="1:44">
      <c r="A12411" s="4" t="s">
        <v>10753</v>
      </c>
      <c r="B12411" s="4">
        <v>237776</v>
      </c>
      <c r="D12411" s="5">
        <v>237776</v>
      </c>
      <c r="E12411" s="6" t="str">
        <f>HYPERLINK("https://inpn.mnhn.fr/espece/cd_nom/237776","Orthops basalis (A. Costa, 1853)")</f>
        <v>Orthops basalis (A. Costa, 1853)</v>
      </c>
      <c r="AH12411" s="4" t="str">
        <f>HYPERLINK("#Statut_biogéographique!A"&amp;_xlfn.XMATCH("P",Statut_biogéographique!A:A,2,1),"P")</f>
        <v>P</v>
      </c>
      <c r="AP12411" s="4" t="s">
        <v>376</v>
      </c>
      <c r="AR12411" s="4" t="s">
        <v>377</v>
      </c>
    </row>
    <row r="12412" spans="1:44">
      <c r="A12412" s="4" t="s">
        <v>10753</v>
      </c>
      <c r="B12412" s="4">
        <v>237777</v>
      </c>
      <c r="D12412" s="5" t="s">
        <v>15175</v>
      </c>
      <c r="E12412" s="6" t="str">
        <f>HYPERLINK("https://inpn.mnhn.fr/espece/cd_nom/237777","Orthops campestris (Linnaeus, 1758)")</f>
        <v>Orthops campestris (Linnaeus, 1758)</v>
      </c>
      <c r="AH12412" s="4" t="str">
        <f>HYPERLINK("#Statut_biogéographique!A"&amp;_xlfn.XMATCH("P",Statut_biogéographique!A:A,2,1),"P")</f>
        <v>P</v>
      </c>
      <c r="AP12412" s="4" t="s">
        <v>376</v>
      </c>
      <c r="AR12412" s="4" t="s">
        <v>377</v>
      </c>
    </row>
    <row r="12413" spans="1:44" ht="30">
      <c r="A12413" s="4" t="s">
        <v>10753</v>
      </c>
      <c r="B12413" s="4">
        <v>237778</v>
      </c>
      <c r="D12413" s="5" t="s">
        <v>15176</v>
      </c>
      <c r="E12413" s="6" t="str">
        <f>HYPERLINK("https://inpn.mnhn.fr/espece/cd_nom/237778","Orthops kalmii (Linnaeus, 1758)")</f>
        <v>Orthops kalmii (Linnaeus, 1758)</v>
      </c>
      <c r="AH12413" s="4" t="str">
        <f>HYPERLINK("#Statut_biogéographique!A"&amp;_xlfn.XMATCH("P",Statut_biogéographique!A:A,2,1),"P")</f>
        <v>P</v>
      </c>
      <c r="AP12413" s="4" t="s">
        <v>376</v>
      </c>
      <c r="AR12413" s="4" t="s">
        <v>377</v>
      </c>
    </row>
    <row r="12414" spans="1:44">
      <c r="A12414" s="4" t="s">
        <v>10753</v>
      </c>
      <c r="B12414" s="4">
        <v>237779</v>
      </c>
      <c r="D12414" s="5" t="s">
        <v>15177</v>
      </c>
      <c r="E12414" s="6" t="str">
        <f>HYPERLINK("https://inpn.mnhn.fr/espece/cd_nom/237779","Neolygus contaminatus (Fallén, 1807)")</f>
        <v>Neolygus contaminatus (Fallén, 1807)</v>
      </c>
      <c r="AH12414" s="4" t="str">
        <f>HYPERLINK("#Statut_biogéographique!A"&amp;_xlfn.XMATCH("P",Statut_biogéographique!A:A,2,1),"P")</f>
        <v>P</v>
      </c>
      <c r="AP12414" s="4" t="s">
        <v>376</v>
      </c>
      <c r="AR12414" s="4" t="s">
        <v>377</v>
      </c>
    </row>
    <row r="12415" spans="1:44" ht="30">
      <c r="A12415" s="4" t="s">
        <v>10753</v>
      </c>
      <c r="B12415" s="4">
        <v>237781</v>
      </c>
      <c r="D12415" s="5" t="s">
        <v>15178</v>
      </c>
      <c r="E12415" s="6" t="str">
        <f>HYPERLINK("https://inpn.mnhn.fr/espece/cd_nom/237781","Neolygus viridis (Fallén, 1807)")</f>
        <v>Neolygus viridis (Fallén, 1807)</v>
      </c>
      <c r="AH12415" s="4" t="str">
        <f>HYPERLINK("#Statut_biogéographique!A"&amp;_xlfn.XMATCH("P",Statut_biogéographique!A:A,2,1),"P")</f>
        <v>P</v>
      </c>
      <c r="AP12415" s="4" t="s">
        <v>376</v>
      </c>
      <c r="AR12415" s="4" t="s">
        <v>377</v>
      </c>
    </row>
    <row r="12416" spans="1:44">
      <c r="A12416" s="4" t="s">
        <v>10753</v>
      </c>
      <c r="B12416" s="4">
        <v>237782</v>
      </c>
      <c r="D12416" s="5" t="s">
        <v>15179</v>
      </c>
      <c r="E12416" s="6" t="str">
        <f>HYPERLINK("https://inpn.mnhn.fr/espece/cd_nom/237782","Miris striatus (Linnaeus, 1758)")</f>
        <v>Miris striatus (Linnaeus, 1758)</v>
      </c>
      <c r="AH12416" s="4" t="str">
        <f>HYPERLINK("#Statut_biogéographique!A"&amp;_xlfn.XMATCH("P",Statut_biogéographique!A:A,2,1),"P")</f>
        <v>P</v>
      </c>
      <c r="AP12416" s="4" t="s">
        <v>376</v>
      </c>
      <c r="AR12416" s="4" t="s">
        <v>377</v>
      </c>
    </row>
    <row r="12417" spans="1:44">
      <c r="A12417" s="4" t="s">
        <v>10753</v>
      </c>
      <c r="B12417" s="4">
        <v>237784</v>
      </c>
      <c r="D12417" s="5" t="s">
        <v>15180</v>
      </c>
      <c r="E12417" s="6" t="str">
        <f>HYPERLINK("https://inpn.mnhn.fr/espece/cd_nom/237784","Miridius quadrivirgatus (A. Costa, 1853)")</f>
        <v>Miridius quadrivirgatus (A. Costa, 1853)</v>
      </c>
      <c r="AH12417" s="4" t="str">
        <f>HYPERLINK("#Statut_biogéographique!A"&amp;_xlfn.XMATCH("P",Statut_biogéographique!A:A,2,1),"P")</f>
        <v>P</v>
      </c>
      <c r="AP12417" s="4" t="s">
        <v>376</v>
      </c>
      <c r="AR12417" s="4" t="s">
        <v>377</v>
      </c>
    </row>
    <row r="12418" spans="1:44">
      <c r="A12418" s="4" t="s">
        <v>10753</v>
      </c>
      <c r="B12418" s="4">
        <v>237785</v>
      </c>
      <c r="D12418" s="5" t="s">
        <v>15181</v>
      </c>
      <c r="E12418" s="6" t="str">
        <f>HYPERLINK("https://inpn.mnhn.fr/espece/cd_nom/237785","Mermitelocerus schmidtii (Fieber, 1836)")</f>
        <v>Mermitelocerus schmidtii (Fieber, 1836)</v>
      </c>
      <c r="AH12418" s="4" t="str">
        <f>HYPERLINK("#Statut_biogéographique!A"&amp;_xlfn.XMATCH("P",Statut_biogéographique!A:A,2,1),"P")</f>
        <v>P</v>
      </c>
      <c r="AP12418" s="4" t="s">
        <v>376</v>
      </c>
      <c r="AR12418" s="4" t="s">
        <v>377</v>
      </c>
    </row>
    <row r="12419" spans="1:44">
      <c r="A12419" s="4" t="s">
        <v>10753</v>
      </c>
      <c r="B12419" s="4">
        <v>237788</v>
      </c>
      <c r="D12419" s="5" t="s">
        <v>15182</v>
      </c>
      <c r="E12419" s="6" t="str">
        <f>HYPERLINK("https://inpn.mnhn.fr/espece/cd_nom/237788","Lygus gemellatus (Herrich-Schäffer, 1835)")</f>
        <v>Lygus gemellatus (Herrich-Schäffer, 1835)</v>
      </c>
      <c r="AH12419" s="4" t="str">
        <f>HYPERLINK("#Statut_biogéographique!A"&amp;_xlfn.XMATCH("P",Statut_biogéographique!A:A,2,1),"P")</f>
        <v>P</v>
      </c>
      <c r="AP12419" s="4" t="s">
        <v>376</v>
      </c>
      <c r="AR12419" s="4" t="s">
        <v>377</v>
      </c>
    </row>
    <row r="12420" spans="1:44">
      <c r="A12420" s="4" t="s">
        <v>10753</v>
      </c>
      <c r="B12420" s="4">
        <v>237791</v>
      </c>
      <c r="D12420" s="5" t="s">
        <v>15183</v>
      </c>
      <c r="E12420" s="6" t="str">
        <f>HYPERLINK("https://inpn.mnhn.fr/espece/cd_nom/237791","Lygus pratensis (Linnaeus, 1758)")</f>
        <v>Lygus pratensis (Linnaeus, 1758)</v>
      </c>
      <c r="AH12420" s="4" t="str">
        <f>HYPERLINK("#Statut_biogéographique!A"&amp;_xlfn.XMATCH("P",Statut_biogéographique!A:A,2,1),"P")</f>
        <v>P</v>
      </c>
      <c r="AP12420" s="4" t="s">
        <v>376</v>
      </c>
      <c r="AR12420" s="4" t="s">
        <v>377</v>
      </c>
    </row>
    <row r="12421" spans="1:44">
      <c r="A12421" s="4" t="s">
        <v>10753</v>
      </c>
      <c r="B12421" s="4">
        <v>237792</v>
      </c>
      <c r="D12421" s="5">
        <v>237792</v>
      </c>
      <c r="E12421" s="6" t="str">
        <f>HYPERLINK("https://inpn.mnhn.fr/espece/cd_nom/237792","Lygus punctatus (Zetterstedt, 1838)")</f>
        <v>Lygus punctatus (Zetterstedt, 1838)</v>
      </c>
      <c r="AH12421" s="4" t="str">
        <f>HYPERLINK("#Statut_biogéographique!A"&amp;_xlfn.XMATCH("P",Statut_biogéographique!A:A,2,1),"P")</f>
        <v>P</v>
      </c>
      <c r="AP12421" s="4" t="s">
        <v>376</v>
      </c>
      <c r="AR12421" s="4" t="s">
        <v>377</v>
      </c>
    </row>
    <row r="12422" spans="1:44">
      <c r="A12422" s="4" t="s">
        <v>10753</v>
      </c>
      <c r="B12422" s="4">
        <v>237793</v>
      </c>
      <c r="D12422" s="5">
        <v>237793</v>
      </c>
      <c r="E12422" s="6" t="str">
        <f>HYPERLINK("https://inpn.mnhn.fr/espece/cd_nom/237793","Lygus wagneri Remane, 1955")</f>
        <v>Lygus wagneri Remane, 1955</v>
      </c>
      <c r="AH12422" s="4" t="str">
        <f>HYPERLINK("#Statut_biogéographique!A"&amp;_xlfn.XMATCH("P",Statut_biogéographique!A:A,2,1),"P")</f>
        <v>P</v>
      </c>
      <c r="AP12422" s="4" t="s">
        <v>376</v>
      </c>
      <c r="AR12422" s="4" t="s">
        <v>377</v>
      </c>
    </row>
    <row r="12423" spans="1:44">
      <c r="A12423" s="4" t="s">
        <v>10753</v>
      </c>
      <c r="B12423" s="4">
        <v>237795</v>
      </c>
      <c r="D12423" s="5" t="s">
        <v>15184</v>
      </c>
      <c r="E12423" s="6" t="str">
        <f>HYPERLINK("https://inpn.mnhn.fr/espece/cd_nom/237795","Lygocoris pabulinus (Linnaeus, 1761)")</f>
        <v>Lygocoris pabulinus (Linnaeus, 1761)</v>
      </c>
      <c r="F12423" s="5" t="s">
        <v>15185</v>
      </c>
      <c r="AH12423" s="4" t="str">
        <f>HYPERLINK("#Statut_biogéographique!A"&amp;_xlfn.XMATCH("P",Statut_biogéographique!A:A,2,1),"P")</f>
        <v>P</v>
      </c>
      <c r="AP12423" s="4" t="s">
        <v>376</v>
      </c>
      <c r="AR12423" s="4" t="s">
        <v>377</v>
      </c>
    </row>
    <row r="12424" spans="1:44">
      <c r="A12424" s="4" t="s">
        <v>10753</v>
      </c>
      <c r="B12424" s="4">
        <v>237797</v>
      </c>
      <c r="D12424" s="5" t="s">
        <v>15186</v>
      </c>
      <c r="E12424" s="6" t="str">
        <f>HYPERLINK("https://inpn.mnhn.fr/espece/cd_nom/237797","Liocoris tripustulatus (Fabricius, 1781)")</f>
        <v>Liocoris tripustulatus (Fabricius, 1781)</v>
      </c>
      <c r="AH12424" s="4" t="str">
        <f>HYPERLINK("#Statut_biogéographique!A"&amp;_xlfn.XMATCH("P",Statut_biogéographique!A:A,2,1),"P")</f>
        <v>P</v>
      </c>
      <c r="AP12424" s="4" t="s">
        <v>376</v>
      </c>
      <c r="AR12424" s="4" t="s">
        <v>377</v>
      </c>
    </row>
    <row r="12425" spans="1:44" ht="45">
      <c r="A12425" s="4" t="s">
        <v>10753</v>
      </c>
      <c r="B12425" s="4">
        <v>237800</v>
      </c>
      <c r="D12425" s="5" t="s">
        <v>15187</v>
      </c>
      <c r="E12425" s="6" t="str">
        <f>HYPERLINK("https://inpn.mnhn.fr/espece/cd_nom/237800","Horistus orientalis (Gmelin, 1790)")</f>
        <v>Horistus orientalis (Gmelin, 1790)</v>
      </c>
      <c r="AH12425" s="4" t="str">
        <f>HYPERLINK("#Statut_biogéographique!A"&amp;_xlfn.XMATCH("P",Statut_biogéographique!A:A,2,1),"P")</f>
        <v>P</v>
      </c>
      <c r="AP12425" s="4" t="s">
        <v>376</v>
      </c>
      <c r="AR12425" s="4" t="s">
        <v>377</v>
      </c>
    </row>
    <row r="12426" spans="1:44">
      <c r="A12426" s="4" t="s">
        <v>10753</v>
      </c>
      <c r="B12426" s="4">
        <v>237801</v>
      </c>
      <c r="D12426" s="5" t="s">
        <v>15188</v>
      </c>
      <c r="E12426" s="6" t="str">
        <f>HYPERLINK("https://inpn.mnhn.fr/espece/cd_nom/237801","Hadrodemus m-flavum (Goeze, 1778)")</f>
        <v>Hadrodemus m-flavum (Goeze, 1778)</v>
      </c>
      <c r="AH12426" s="4" t="str">
        <f>HYPERLINK("#Statut_biogéographique!A"&amp;_xlfn.XMATCH("P",Statut_biogéographique!A:A,2,1),"P")</f>
        <v>P</v>
      </c>
      <c r="AP12426" s="4" t="s">
        <v>376</v>
      </c>
      <c r="AR12426" s="4" t="s">
        <v>377</v>
      </c>
    </row>
    <row r="12427" spans="1:44">
      <c r="A12427" s="4" t="s">
        <v>10753</v>
      </c>
      <c r="B12427" s="4">
        <v>237803</v>
      </c>
      <c r="D12427" s="5" t="s">
        <v>15189</v>
      </c>
      <c r="E12427" s="6" t="str">
        <f>HYPERLINK("https://inpn.mnhn.fr/espece/cd_nom/237803","Grypocoris sexguttatus (Fabricius, 1777)")</f>
        <v>Grypocoris sexguttatus (Fabricius, 1777)</v>
      </c>
      <c r="AH12427" s="4" t="str">
        <f>HYPERLINK("#Statut_biogéographique!A"&amp;_xlfn.XMATCH("P",Statut_biogéographique!A:A,2,1),"P")</f>
        <v>P</v>
      </c>
      <c r="AP12427" s="4" t="s">
        <v>376</v>
      </c>
      <c r="AR12427" s="4" t="s">
        <v>377</v>
      </c>
    </row>
    <row r="12428" spans="1:44">
      <c r="A12428" s="4" t="s">
        <v>10753</v>
      </c>
      <c r="B12428" s="4">
        <v>237807</v>
      </c>
      <c r="D12428" s="5">
        <v>237807</v>
      </c>
      <c r="E12428" s="6" t="str">
        <f>HYPERLINK("https://inpn.mnhn.fr/espece/cd_nom/237807","Dichrooscytus intermedius Reuter, 1885")</f>
        <v>Dichrooscytus intermedius Reuter, 1885</v>
      </c>
      <c r="AH12428" s="4" t="str">
        <f>HYPERLINK("#Statut_biogéographique!A"&amp;_xlfn.XMATCH("P",Statut_biogéographique!A:A,2,1),"P")</f>
        <v>P</v>
      </c>
      <c r="AP12428" s="4" t="s">
        <v>376</v>
      </c>
      <c r="AR12428" s="4" t="s">
        <v>377</v>
      </c>
    </row>
    <row r="12429" spans="1:44" ht="30">
      <c r="A12429" s="4" t="s">
        <v>10753</v>
      </c>
      <c r="B12429" s="4">
        <v>237813</v>
      </c>
      <c r="D12429" s="5" t="s">
        <v>15190</v>
      </c>
      <c r="E12429" s="6" t="str">
        <f>HYPERLINK("https://inpn.mnhn.fr/espece/cd_nom/237813","Closterotomus biclavatus (Herrich-Schäffer, 1835)")</f>
        <v>Closterotomus biclavatus (Herrich-Schäffer, 1835)</v>
      </c>
      <c r="AH12429" s="4" t="str">
        <f>HYPERLINK("#Statut_biogéographique!A"&amp;_xlfn.XMATCH("P",Statut_biogéographique!A:A,2,1),"P")</f>
        <v>P</v>
      </c>
      <c r="AP12429" s="4" t="s">
        <v>376</v>
      </c>
      <c r="AR12429" s="4" t="s">
        <v>377</v>
      </c>
    </row>
    <row r="12430" spans="1:44" ht="30">
      <c r="A12430" s="4" t="s">
        <v>10753</v>
      </c>
      <c r="B12430" s="4">
        <v>237814</v>
      </c>
      <c r="D12430" s="5" t="s">
        <v>15191</v>
      </c>
      <c r="E12430" s="6" t="str">
        <f>HYPERLINK("https://inpn.mnhn.fr/espece/cd_nom/237814","Closterotomus fulvomaculatus (De Geer, 1773)")</f>
        <v>Closterotomus fulvomaculatus (De Geer, 1773)</v>
      </c>
      <c r="AH12430" s="4" t="str">
        <f>HYPERLINK("#Statut_biogéographique!A"&amp;_xlfn.XMATCH("P",Statut_biogéographique!A:A,2,1),"P")</f>
        <v>P</v>
      </c>
      <c r="AP12430" s="4" t="s">
        <v>376</v>
      </c>
      <c r="AR12430" s="4" t="s">
        <v>377</v>
      </c>
    </row>
    <row r="12431" spans="1:44" ht="30">
      <c r="A12431" s="4" t="s">
        <v>10753</v>
      </c>
      <c r="B12431" s="4">
        <v>237815</v>
      </c>
      <c r="D12431" s="5" t="s">
        <v>15192</v>
      </c>
      <c r="E12431" s="6" t="str">
        <f>HYPERLINK("https://inpn.mnhn.fr/espece/cd_nom/237815","Closterotomus norwegicus (Gmelin, 1790)")</f>
        <v>Closterotomus norwegicus (Gmelin, 1790)</v>
      </c>
      <c r="F12431" s="5" t="s">
        <v>15193</v>
      </c>
      <c r="AH12431" s="4" t="str">
        <f>HYPERLINK("#Statut_biogéographique!A"&amp;_xlfn.XMATCH("P",Statut_biogéographique!A:A,2,1),"P")</f>
        <v>P</v>
      </c>
      <c r="AP12431" s="4" t="s">
        <v>376</v>
      </c>
      <c r="AR12431" s="4" t="s">
        <v>377</v>
      </c>
    </row>
    <row r="12432" spans="1:44">
      <c r="A12432" s="4" t="s">
        <v>10753</v>
      </c>
      <c r="B12432" s="4">
        <v>237818</v>
      </c>
      <c r="D12432" s="5" t="s">
        <v>15194</v>
      </c>
      <c r="E12432" s="6" t="str">
        <f>HYPERLINK("https://inpn.mnhn.fr/espece/cd_nom/237818","Charagochilus gyllenhalii (Fallén, 1807)")</f>
        <v>Charagochilus gyllenhalii (Fallén, 1807)</v>
      </c>
      <c r="AH12432" s="4" t="str">
        <f>HYPERLINK("#Statut_biogéographique!A"&amp;_xlfn.XMATCH("P",Statut_biogéographique!A:A,2,1),"P")</f>
        <v>P</v>
      </c>
      <c r="AP12432" s="4" t="s">
        <v>376</v>
      </c>
      <c r="AR12432" s="4" t="s">
        <v>377</v>
      </c>
    </row>
    <row r="12433" spans="1:44">
      <c r="A12433" s="4" t="s">
        <v>10753</v>
      </c>
      <c r="B12433" s="4">
        <v>237819</v>
      </c>
      <c r="D12433" s="5">
        <v>237819</v>
      </c>
      <c r="E12433" s="6" t="str">
        <f>HYPERLINK("https://inpn.mnhn.fr/espece/cd_nom/237819","Charagochilus weberi Wagner, 1953")</f>
        <v>Charagochilus weberi Wagner, 1953</v>
      </c>
      <c r="AH12433" s="4" t="str">
        <f>HYPERLINK("#Statut_biogéographique!A"&amp;_xlfn.XMATCH("P",Statut_biogéographique!A:A,2,1),"P")</f>
        <v>P</v>
      </c>
      <c r="AP12433" s="4" t="s">
        <v>376</v>
      </c>
      <c r="AR12433" s="4" t="s">
        <v>377</v>
      </c>
    </row>
    <row r="12434" spans="1:44" ht="30">
      <c r="A12434" s="4" t="s">
        <v>10753</v>
      </c>
      <c r="B12434" s="4">
        <v>237820</v>
      </c>
      <c r="D12434" s="5" t="s">
        <v>15195</v>
      </c>
      <c r="E12434" s="6" t="str">
        <f>HYPERLINK("https://inpn.mnhn.fr/espece/cd_nom/237820","Capsus ater (Linnaeus, 1758)")</f>
        <v>Capsus ater (Linnaeus, 1758)</v>
      </c>
      <c r="AH12434" s="4" t="str">
        <f>HYPERLINK("#Statut_biogéographique!A"&amp;_xlfn.XMATCH("P",Statut_biogéographique!A:A,2,1),"P")</f>
        <v>P</v>
      </c>
      <c r="AP12434" s="4" t="s">
        <v>376</v>
      </c>
      <c r="AR12434" s="4" t="s">
        <v>377</v>
      </c>
    </row>
    <row r="12435" spans="1:44">
      <c r="A12435" s="4" t="s">
        <v>10753</v>
      </c>
      <c r="B12435" s="4">
        <v>237821</v>
      </c>
      <c r="D12435" s="5">
        <v>237821</v>
      </c>
      <c r="E12435" s="6" t="str">
        <f>HYPERLINK("https://inpn.mnhn.fr/espece/cd_nom/237821","Capsus wagneri (Remane, 1950)")</f>
        <v>Capsus wagneri (Remane, 1950)</v>
      </c>
      <c r="AH12435" s="4" t="str">
        <f>HYPERLINK("#Statut_biogéographique!A"&amp;_xlfn.XMATCH("P",Statut_biogéographique!A:A,2,1),"P")</f>
        <v>P</v>
      </c>
      <c r="AP12435" s="4" t="s">
        <v>376</v>
      </c>
      <c r="AR12435" s="4" t="s">
        <v>377</v>
      </c>
    </row>
    <row r="12436" spans="1:44">
      <c r="A12436" s="4" t="s">
        <v>10753</v>
      </c>
      <c r="B12436" s="4">
        <v>237822</v>
      </c>
      <c r="D12436" s="5" t="s">
        <v>15196</v>
      </c>
      <c r="E12436" s="6" t="str">
        <f>HYPERLINK("https://inpn.mnhn.fr/espece/cd_nom/237822","Capsodes flavomarginatus (Donovan, 1798)")</f>
        <v>Capsodes flavomarginatus (Donovan, 1798)</v>
      </c>
      <c r="AH12436" s="4" t="str">
        <f>HYPERLINK("#Statut_biogéographique!A"&amp;_xlfn.XMATCH("P",Statut_biogéographique!A:A,2,1),"P")</f>
        <v>P</v>
      </c>
      <c r="AP12436" s="4" t="s">
        <v>376</v>
      </c>
      <c r="AR12436" s="4" t="s">
        <v>377</v>
      </c>
    </row>
    <row r="12437" spans="1:44">
      <c r="A12437" s="4" t="s">
        <v>10753</v>
      </c>
      <c r="B12437" s="4">
        <v>237823</v>
      </c>
      <c r="D12437" s="5" t="s">
        <v>15197</v>
      </c>
      <c r="E12437" s="6" t="str">
        <f>HYPERLINK("https://inpn.mnhn.fr/espece/cd_nom/237823","Capsodes gothicus (Linnaeus, 1758)")</f>
        <v>Capsodes gothicus (Linnaeus, 1758)</v>
      </c>
      <c r="AH12437" s="4" t="str">
        <f>HYPERLINK("#Statut_biogéographique!A"&amp;_xlfn.XMATCH("P",Statut_biogéographique!A:A,2,1),"P")</f>
        <v>P</v>
      </c>
      <c r="AP12437" s="4" t="s">
        <v>376</v>
      </c>
      <c r="AR12437" s="4" t="s">
        <v>377</v>
      </c>
    </row>
    <row r="12438" spans="1:44">
      <c r="A12438" s="4" t="s">
        <v>10753</v>
      </c>
      <c r="B12438" s="4">
        <v>237825</v>
      </c>
      <c r="D12438" s="5" t="s">
        <v>15198</v>
      </c>
      <c r="E12438" s="6" t="str">
        <f>HYPERLINK("https://inpn.mnhn.fr/espece/cd_nom/237825","Capsodes sulcatus (Fieber, 1861)")</f>
        <v>Capsodes sulcatus (Fieber, 1861)</v>
      </c>
      <c r="AH12438" s="4" t="str">
        <f>HYPERLINK("#Statut_biogéographique!A"&amp;_xlfn.XMATCH("P",Statut_biogéographique!A:A,2,1),"P")</f>
        <v>P</v>
      </c>
      <c r="AP12438" s="4" t="s">
        <v>376</v>
      </c>
      <c r="AR12438" s="4" t="s">
        <v>377</v>
      </c>
    </row>
    <row r="12439" spans="1:44">
      <c r="A12439" s="4" t="s">
        <v>10753</v>
      </c>
      <c r="B12439" s="4">
        <v>237826</v>
      </c>
      <c r="D12439" s="5" t="s">
        <v>15199</v>
      </c>
      <c r="E12439" s="6" t="str">
        <f>HYPERLINK("https://inpn.mnhn.fr/espece/cd_nom/237826","Camptozygum aequale (Villers, 1789)")</f>
        <v>Camptozygum aequale (Villers, 1789)</v>
      </c>
      <c r="AH12439" s="4" t="str">
        <f>HYPERLINK("#Statut_biogéographique!A"&amp;_xlfn.XMATCH("P",Statut_biogéographique!A:A,2,1),"P")</f>
        <v>P</v>
      </c>
      <c r="AP12439" s="4" t="s">
        <v>376</v>
      </c>
      <c r="AR12439" s="4" t="s">
        <v>377</v>
      </c>
    </row>
    <row r="12440" spans="1:44">
      <c r="A12440" s="4" t="s">
        <v>10753</v>
      </c>
      <c r="B12440" s="4">
        <v>237827</v>
      </c>
      <c r="D12440" s="5">
        <v>237827</v>
      </c>
      <c r="E12440" s="6" t="str">
        <f>HYPERLINK("https://inpn.mnhn.fr/espece/cd_nom/237827","Calocoris affinis (Herrich-Schäffer, 1835)")</f>
        <v>Calocoris affinis (Herrich-Schäffer, 1835)</v>
      </c>
      <c r="AH12440" s="4" t="str">
        <f>HYPERLINK("#Statut_biogéographique!A"&amp;_xlfn.XMATCH("P",Statut_biogéographique!A:A,2,1),"P")</f>
        <v>P</v>
      </c>
      <c r="AP12440" s="4" t="s">
        <v>376</v>
      </c>
      <c r="AR12440" s="4" t="s">
        <v>377</v>
      </c>
    </row>
    <row r="12441" spans="1:44">
      <c r="A12441" s="4" t="s">
        <v>10753</v>
      </c>
      <c r="B12441" s="4">
        <v>237828</v>
      </c>
      <c r="D12441" s="5">
        <v>237828</v>
      </c>
      <c r="E12441" s="6" t="str">
        <f>HYPERLINK("https://inpn.mnhn.fr/espece/cd_nom/237828","Calocoris alpestris (Meyer-Dür, 1843)")</f>
        <v>Calocoris alpestris (Meyer-Dür, 1843)</v>
      </c>
      <c r="AH12441" s="4" t="str">
        <f>HYPERLINK("#Statut_biogéographique!A"&amp;_xlfn.XMATCH("P",Statut_biogéographique!A:A,2,1),"P")</f>
        <v>P</v>
      </c>
      <c r="AP12441" s="4" t="s">
        <v>376</v>
      </c>
      <c r="AR12441" s="4" t="s">
        <v>377</v>
      </c>
    </row>
    <row r="12442" spans="1:44">
      <c r="A12442" s="4" t="s">
        <v>10753</v>
      </c>
      <c r="B12442" s="4">
        <v>237830</v>
      </c>
      <c r="D12442" s="5">
        <v>237830</v>
      </c>
      <c r="E12442" s="6" t="str">
        <f>HYPERLINK("https://inpn.mnhn.fr/espece/cd_nom/237830","Calocoris roseomaculatus (De Geer, 1773)")</f>
        <v>Calocoris roseomaculatus (De Geer, 1773)</v>
      </c>
      <c r="AH12442" s="4" t="str">
        <f>HYPERLINK("#Statut_biogéographique!A"&amp;_xlfn.XMATCH("P",Statut_biogéographique!A:A,2,1),"P")</f>
        <v>P</v>
      </c>
      <c r="AP12442" s="4" t="s">
        <v>376</v>
      </c>
      <c r="AR12442" s="4" t="s">
        <v>377</v>
      </c>
    </row>
    <row r="12443" spans="1:44">
      <c r="A12443" s="4" t="s">
        <v>10753</v>
      </c>
      <c r="B12443" s="4">
        <v>237832</v>
      </c>
      <c r="D12443" s="5" t="s">
        <v>15200</v>
      </c>
      <c r="E12443" s="6" t="str">
        <f>HYPERLINK("https://inpn.mnhn.fr/espece/cd_nom/237832","Brachycoleus pilicornis (Panzer, 1806)")</f>
        <v>Brachycoleus pilicornis (Panzer, 1806)</v>
      </c>
      <c r="AH12443" s="4" t="str">
        <f>HYPERLINK("#Statut_biogéographique!A"&amp;_xlfn.XMATCH("P",Statut_biogéographique!A:A,2,1),"P")</f>
        <v>P</v>
      </c>
      <c r="AP12443" s="4" t="s">
        <v>376</v>
      </c>
      <c r="AR12443" s="4" t="s">
        <v>377</v>
      </c>
    </row>
    <row r="12444" spans="1:44">
      <c r="A12444" s="4" t="s">
        <v>10753</v>
      </c>
      <c r="B12444" s="4">
        <v>237834</v>
      </c>
      <c r="D12444" s="5" t="s">
        <v>15201</v>
      </c>
      <c r="E12444" s="6" t="str">
        <f>HYPERLINK("https://inpn.mnhn.fr/espece/cd_nom/237834","Apolygus lucorum (Meyer-Dür, 1843)")</f>
        <v>Apolygus lucorum (Meyer-Dür, 1843)</v>
      </c>
      <c r="AH12444" s="4" t="str">
        <f>HYPERLINK("#Statut_biogéographique!A"&amp;_xlfn.XMATCH("P",Statut_biogéographique!A:A,2,1),"P")</f>
        <v>P</v>
      </c>
      <c r="AP12444" s="4" t="s">
        <v>376</v>
      </c>
      <c r="AR12444" s="4" t="s">
        <v>377</v>
      </c>
    </row>
    <row r="12445" spans="1:44">
      <c r="A12445" s="4" t="s">
        <v>10753</v>
      </c>
      <c r="B12445" s="4">
        <v>237835</v>
      </c>
      <c r="D12445" s="5" t="s">
        <v>15202</v>
      </c>
      <c r="E12445" s="6" t="str">
        <f>HYPERLINK("https://inpn.mnhn.fr/espece/cd_nom/237835","Apolygus rhamnicola (Reuter, 1885)")</f>
        <v>Apolygus rhamnicola (Reuter, 1885)</v>
      </c>
      <c r="AH12445" s="4" t="str">
        <f>HYPERLINK("#Statut_biogéographique!A"&amp;_xlfn.XMATCH("P",Statut_biogéographique!A:A,2,1),"P")</f>
        <v>P</v>
      </c>
      <c r="AP12445" s="4" t="s">
        <v>376</v>
      </c>
      <c r="AR12445" s="4" t="s">
        <v>377</v>
      </c>
    </row>
    <row r="12446" spans="1:44">
      <c r="A12446" s="4" t="s">
        <v>10753</v>
      </c>
      <c r="B12446" s="4">
        <v>237836</v>
      </c>
      <c r="D12446" s="5" t="s">
        <v>15203</v>
      </c>
      <c r="E12446" s="6" t="str">
        <f>HYPERLINK("https://inpn.mnhn.fr/espece/cd_nom/237836","Apolygus spinolae (H. Meyer-Dür, 1841)")</f>
        <v>Apolygus spinolae (H. Meyer-Dür, 1841)</v>
      </c>
      <c r="AH12446" s="4" t="str">
        <f>HYPERLINK("#Statut_biogéographique!A"&amp;_xlfn.XMATCH("P",Statut_biogéographique!A:A,2,1),"P")</f>
        <v>P</v>
      </c>
      <c r="AP12446" s="4" t="s">
        <v>376</v>
      </c>
      <c r="AR12446" s="4" t="s">
        <v>377</v>
      </c>
    </row>
    <row r="12447" spans="1:44">
      <c r="A12447" s="4" t="s">
        <v>10753</v>
      </c>
      <c r="B12447" s="4">
        <v>237838</v>
      </c>
      <c r="D12447" s="5" t="s">
        <v>15204</v>
      </c>
      <c r="E12447" s="6" t="str">
        <f>HYPERLINK("https://inpn.mnhn.fr/espece/cd_nom/237838","Agnocoris rubicundus (Fallén, 1807)")</f>
        <v>Agnocoris rubicundus (Fallén, 1807)</v>
      </c>
      <c r="AH12447" s="4" t="str">
        <f>HYPERLINK("#Statut_biogéographique!A"&amp;_xlfn.XMATCH("P",Statut_biogéographique!A:A,2,1),"P")</f>
        <v>P</v>
      </c>
      <c r="AP12447" s="4" t="s">
        <v>376</v>
      </c>
      <c r="AR12447" s="4" t="s">
        <v>377</v>
      </c>
    </row>
    <row r="12448" spans="1:44" ht="30">
      <c r="A12448" s="4" t="s">
        <v>10753</v>
      </c>
      <c r="B12448" s="4">
        <v>237840</v>
      </c>
      <c r="D12448" s="5" t="s">
        <v>15205</v>
      </c>
      <c r="E12448" s="6" t="str">
        <f>HYPERLINK("https://inpn.mnhn.fr/espece/cd_nom/237840","Adelphocoris quadripunctatus (Fabricius, 1794)")</f>
        <v>Adelphocoris quadripunctatus (Fabricius, 1794)</v>
      </c>
      <c r="AH12448" s="4" t="str">
        <f>HYPERLINK("#Statut_biogéographique!A"&amp;_xlfn.XMATCH("P",Statut_biogéographique!A:A,2,1),"P")</f>
        <v>P</v>
      </c>
      <c r="AP12448" s="4" t="s">
        <v>376</v>
      </c>
      <c r="AR12448" s="4" t="s">
        <v>377</v>
      </c>
    </row>
    <row r="12449" spans="1:44">
      <c r="A12449" s="4" t="s">
        <v>10753</v>
      </c>
      <c r="B12449" s="4">
        <v>237842</v>
      </c>
      <c r="D12449" s="5" t="s">
        <v>15206</v>
      </c>
      <c r="E12449" s="6" t="str">
        <f>HYPERLINK("https://inpn.mnhn.fr/espece/cd_nom/237842","Adelphocoris ticinensis (Meyer-Dür, 1843)")</f>
        <v>Adelphocoris ticinensis (Meyer-Dür, 1843)</v>
      </c>
      <c r="AH12449" s="4" t="str">
        <f>HYPERLINK("#Statut_biogéographique!A"&amp;_xlfn.XMATCH("P",Statut_biogéographique!A:A,2,1),"P")</f>
        <v>P</v>
      </c>
      <c r="AP12449" s="4" t="s">
        <v>376</v>
      </c>
      <c r="AR12449" s="4" t="s">
        <v>377</v>
      </c>
    </row>
    <row r="12450" spans="1:44">
      <c r="A12450" s="4" t="s">
        <v>10753</v>
      </c>
      <c r="B12450" s="4">
        <v>237843</v>
      </c>
      <c r="D12450" s="5" t="s">
        <v>15207</v>
      </c>
      <c r="E12450" s="6" t="str">
        <f>HYPERLINK("https://inpn.mnhn.fr/espece/cd_nom/237843","Adelphocoris vandalicus (Rossi, 1790)")</f>
        <v>Adelphocoris vandalicus (Rossi, 1790)</v>
      </c>
      <c r="AH12450" s="4" t="str">
        <f>HYPERLINK("#Statut_biogéographique!A"&amp;_xlfn.XMATCH("P",Statut_biogéographique!A:A,2,1),"P")</f>
        <v>P</v>
      </c>
      <c r="AP12450" s="4" t="s">
        <v>376</v>
      </c>
      <c r="AR12450" s="4" t="s">
        <v>377</v>
      </c>
    </row>
    <row r="12451" spans="1:44">
      <c r="A12451" s="4" t="s">
        <v>10753</v>
      </c>
      <c r="B12451" s="4">
        <v>237844</v>
      </c>
      <c r="D12451" s="5" t="s">
        <v>15208</v>
      </c>
      <c r="E12451" s="6" t="str">
        <f>HYPERLINK("https://inpn.mnhn.fr/espece/cd_nom/237844","Actinonotus pulcher (Herrich-Schäffer, 1835)")</f>
        <v>Actinonotus pulcher (Herrich-Schäffer, 1835)</v>
      </c>
      <c r="AH12451" s="4" t="str">
        <f>HYPERLINK("#Statut_biogéographique!A"&amp;_xlfn.XMATCH("P",Statut_biogéographique!A:A,2,1),"P")</f>
        <v>P</v>
      </c>
      <c r="AP12451" s="4" t="s">
        <v>376</v>
      </c>
      <c r="AR12451" s="4" t="s">
        <v>377</v>
      </c>
    </row>
    <row r="12452" spans="1:44">
      <c r="A12452" s="4" t="s">
        <v>10753</v>
      </c>
      <c r="B12452" s="4">
        <v>237845</v>
      </c>
      <c r="D12452" s="5" t="s">
        <v>15209</v>
      </c>
      <c r="E12452" s="6" t="str">
        <f>HYPERLINK("https://inpn.mnhn.fr/espece/cd_nom/237845","Trigonotylus caelestialium (Kirkaldy, 1902)")</f>
        <v>Trigonotylus caelestialium (Kirkaldy, 1902)</v>
      </c>
      <c r="AH12452" s="4" t="str">
        <f>HYPERLINK("#Statut_biogéographique!A"&amp;_xlfn.XMATCH("P",Statut_biogéographique!A:A,2,1),"P")</f>
        <v>P</v>
      </c>
      <c r="AP12452" s="4" t="s">
        <v>376</v>
      </c>
      <c r="AR12452" s="4" t="s">
        <v>377</v>
      </c>
    </row>
    <row r="12453" spans="1:44">
      <c r="A12453" s="4" t="s">
        <v>10753</v>
      </c>
      <c r="B12453" s="4">
        <v>237849</v>
      </c>
      <c r="D12453" s="5">
        <v>237849</v>
      </c>
      <c r="E12453" s="6" t="str">
        <f>HYPERLINK("https://inpn.mnhn.fr/espece/cd_nom/237849","Teratocoris paludum J. Sahlberg, 1870")</f>
        <v>Teratocoris paludum J. Sahlberg, 1870</v>
      </c>
      <c r="AH12453" s="4" t="str">
        <f>HYPERLINK("#Statut_biogéographique!A"&amp;_xlfn.XMATCH("P",Statut_biogéographique!A:A,2,1),"P")</f>
        <v>P</v>
      </c>
      <c r="AP12453" s="4" t="s">
        <v>376</v>
      </c>
      <c r="AR12453" s="4" t="s">
        <v>377</v>
      </c>
    </row>
    <row r="12454" spans="1:44">
      <c r="A12454" s="4" t="s">
        <v>10753</v>
      </c>
      <c r="B12454" s="4">
        <v>237850</v>
      </c>
      <c r="D12454" s="5" t="s">
        <v>15210</v>
      </c>
      <c r="E12454" s="6" t="str">
        <f>HYPERLINK("https://inpn.mnhn.fr/espece/cd_nom/237850","Stenodema calcarata (Fallén, 1807)")</f>
        <v>Stenodema calcarata (Fallén, 1807)</v>
      </c>
      <c r="AH12454" s="4" t="str">
        <f>HYPERLINK("#Statut_biogéographique!A"&amp;_xlfn.XMATCH("P",Statut_biogéographique!A:A,2,1),"P")</f>
        <v>P</v>
      </c>
      <c r="AP12454" s="4" t="s">
        <v>376</v>
      </c>
      <c r="AR12454" s="4" t="s">
        <v>377</v>
      </c>
    </row>
    <row r="12455" spans="1:44">
      <c r="A12455" s="4" t="s">
        <v>10753</v>
      </c>
      <c r="B12455" s="4">
        <v>237853</v>
      </c>
      <c r="D12455" s="5" t="s">
        <v>15211</v>
      </c>
      <c r="E12455" s="6" t="str">
        <f>HYPERLINK("https://inpn.mnhn.fr/espece/cd_nom/237853","Stenodema holsata (Fabricius, 1787)")</f>
        <v>Stenodema holsata (Fabricius, 1787)</v>
      </c>
      <c r="AH12455" s="4" t="str">
        <f>HYPERLINK("#Statut_biogéographique!A"&amp;_xlfn.XMATCH("P",Statut_biogéographique!A:A,2,1),"P")</f>
        <v>P</v>
      </c>
      <c r="AP12455" s="4" t="s">
        <v>376</v>
      </c>
      <c r="AR12455" s="4" t="s">
        <v>377</v>
      </c>
    </row>
    <row r="12456" spans="1:44">
      <c r="A12456" s="4" t="s">
        <v>10753</v>
      </c>
      <c r="B12456" s="4">
        <v>237854</v>
      </c>
      <c r="D12456" s="5" t="s">
        <v>15212</v>
      </c>
      <c r="E12456" s="6" t="str">
        <f>HYPERLINK("https://inpn.mnhn.fr/espece/cd_nom/237854","Stenodema laevigata (Linnaeus, 1758)")</f>
        <v>Stenodema laevigata (Linnaeus, 1758)</v>
      </c>
      <c r="AH12456" s="4" t="str">
        <f>HYPERLINK("#Statut_biogéographique!A"&amp;_xlfn.XMATCH("P",Statut_biogéographique!A:A,2,1),"P")</f>
        <v>P</v>
      </c>
      <c r="AP12456" s="4" t="s">
        <v>376</v>
      </c>
      <c r="AR12456" s="4" t="s">
        <v>377</v>
      </c>
    </row>
    <row r="12457" spans="1:44">
      <c r="A12457" s="4" t="s">
        <v>10753</v>
      </c>
      <c r="B12457" s="4">
        <v>237855</v>
      </c>
      <c r="D12457" s="5" t="s">
        <v>15213</v>
      </c>
      <c r="E12457" s="6" t="str">
        <f>HYPERLINK("https://inpn.mnhn.fr/espece/cd_nom/237855","Stenodema sericans (Fieber, 1861)")</f>
        <v>Stenodema sericans (Fieber, 1861)</v>
      </c>
      <c r="AH12457" s="4" t="str">
        <f>HYPERLINK("#Statut_biogéographique!A"&amp;_xlfn.XMATCH("P",Statut_biogéographique!A:A,2,1),"P")</f>
        <v>P</v>
      </c>
      <c r="AP12457" s="4" t="s">
        <v>376</v>
      </c>
      <c r="AR12457" s="4" t="s">
        <v>377</v>
      </c>
    </row>
    <row r="12458" spans="1:44">
      <c r="A12458" s="4" t="s">
        <v>10753</v>
      </c>
      <c r="B12458" s="4">
        <v>237857</v>
      </c>
      <c r="D12458" s="5" t="s">
        <v>15214</v>
      </c>
      <c r="E12458" s="6" t="str">
        <f>HYPERLINK("https://inpn.mnhn.fr/espece/cd_nom/237857","Pithanus maerkelii (Herrich-Schäffer, 1838)")</f>
        <v>Pithanus maerkelii (Herrich-Schäffer, 1838)</v>
      </c>
      <c r="AH12458" s="4" t="str">
        <f>HYPERLINK("#Statut_biogéographique!A"&amp;_xlfn.XMATCH("P",Statut_biogéographique!A:A,2,1),"P")</f>
        <v>P</v>
      </c>
      <c r="AP12458" s="4" t="s">
        <v>376</v>
      </c>
      <c r="AR12458" s="4" t="s">
        <v>377</v>
      </c>
    </row>
    <row r="12459" spans="1:44">
      <c r="A12459" s="4" t="s">
        <v>10753</v>
      </c>
      <c r="B12459" s="4">
        <v>237859</v>
      </c>
      <c r="D12459" s="5" t="s">
        <v>15215</v>
      </c>
      <c r="E12459" s="6" t="str">
        <f>HYPERLINK("https://inpn.mnhn.fr/espece/cd_nom/237859","Notostira elongata (Geoffroy, 1785)")</f>
        <v>Notostira elongata (Geoffroy, 1785)</v>
      </c>
      <c r="AH12459" s="4" t="str">
        <f>HYPERLINK("#Statut_biogéographique!A"&amp;_xlfn.XMATCH("P",Statut_biogéographique!A:A,2,1),"P")</f>
        <v>P</v>
      </c>
      <c r="AP12459" s="4" t="s">
        <v>376</v>
      </c>
      <c r="AR12459" s="4" t="s">
        <v>377</v>
      </c>
    </row>
    <row r="12460" spans="1:44" ht="30">
      <c r="A12460" s="4" t="s">
        <v>10753</v>
      </c>
      <c r="B12460" s="4">
        <v>237860</v>
      </c>
      <c r="D12460" s="5" t="s">
        <v>15216</v>
      </c>
      <c r="E12460" s="6" t="str">
        <f>HYPERLINK("https://inpn.mnhn.fr/espece/cd_nom/237860","Notostira erratica (Linnaeus, 1758)")</f>
        <v>Notostira erratica (Linnaeus, 1758)</v>
      </c>
      <c r="AH12460" s="4" t="str">
        <f>HYPERLINK("#Statut_biogéographique!A"&amp;_xlfn.XMATCH("P",Statut_biogéographique!A:A,2,1),"P")</f>
        <v>P</v>
      </c>
      <c r="AP12460" s="4" t="s">
        <v>376</v>
      </c>
      <c r="AR12460" s="4" t="s">
        <v>377</v>
      </c>
    </row>
    <row r="12461" spans="1:44">
      <c r="A12461" s="4" t="s">
        <v>10753</v>
      </c>
      <c r="B12461" s="4">
        <v>237861</v>
      </c>
      <c r="D12461" s="5" t="s">
        <v>15217</v>
      </c>
      <c r="E12461" s="6" t="str">
        <f>HYPERLINK("https://inpn.mnhn.fr/espece/cd_nom/237861","Megaloceroea recticornis (Geoffroy, 1785)")</f>
        <v>Megaloceroea recticornis (Geoffroy, 1785)</v>
      </c>
      <c r="F12461" s="5" t="s">
        <v>15218</v>
      </c>
      <c r="AH12461" s="4" t="str">
        <f>HYPERLINK("#Statut_biogéographique!A"&amp;_xlfn.XMATCH("P",Statut_biogéographique!A:A,2,1),"P")</f>
        <v>P</v>
      </c>
      <c r="AP12461" s="4" t="s">
        <v>376</v>
      </c>
      <c r="AR12461" s="4" t="s">
        <v>377</v>
      </c>
    </row>
    <row r="12462" spans="1:44">
      <c r="A12462" s="4" t="s">
        <v>10753</v>
      </c>
      <c r="B12462" s="4">
        <v>237862</v>
      </c>
      <c r="D12462" s="5" t="s">
        <v>15219</v>
      </c>
      <c r="E12462" s="6" t="str">
        <f>HYPERLINK("https://inpn.mnhn.fr/espece/cd_nom/237862","Leptopterna dolabrata (Linnaeus, 1758)")</f>
        <v>Leptopterna dolabrata (Linnaeus, 1758)</v>
      </c>
      <c r="AH12462" s="4" t="str">
        <f>HYPERLINK("#Statut_biogéographique!A"&amp;_xlfn.XMATCH("P",Statut_biogéographique!A:A,2,1),"P")</f>
        <v>P</v>
      </c>
      <c r="AP12462" s="4" t="s">
        <v>376</v>
      </c>
      <c r="AR12462" s="4" t="s">
        <v>377</v>
      </c>
    </row>
    <row r="12463" spans="1:44">
      <c r="A12463" s="4" t="s">
        <v>10753</v>
      </c>
      <c r="B12463" s="4">
        <v>237863</v>
      </c>
      <c r="D12463" s="5" t="s">
        <v>15220</v>
      </c>
      <c r="E12463" s="6" t="str">
        <f>HYPERLINK("https://inpn.mnhn.fr/espece/cd_nom/237863","Leptopterna ferrugata (Fallén, 1807)")</f>
        <v>Leptopterna ferrugata (Fallén, 1807)</v>
      </c>
      <c r="AH12463" s="4" t="str">
        <f>HYPERLINK("#Statut_biogéographique!A"&amp;_xlfn.XMATCH("P",Statut_biogéographique!A:A,2,1),"P")</f>
        <v>P</v>
      </c>
      <c r="AP12463" s="4" t="s">
        <v>376</v>
      </c>
      <c r="AR12463" s="4" t="s">
        <v>377</v>
      </c>
    </row>
    <row r="12464" spans="1:44">
      <c r="A12464" s="4" t="s">
        <v>10753</v>
      </c>
      <c r="B12464" s="4">
        <v>237864</v>
      </c>
      <c r="D12464" s="5">
        <v>237864</v>
      </c>
      <c r="E12464" s="6" t="str">
        <f>HYPERLINK("https://inpn.mnhn.fr/espece/cd_nom/237864","Leptopterna griesheimae Wagner, 1952")</f>
        <v>Leptopterna griesheimae Wagner, 1952</v>
      </c>
      <c r="AH12464" s="4" t="str">
        <f>HYPERLINK("#Statut_biogéographique!A"&amp;_xlfn.XMATCH("P",Statut_biogéographique!A:A,2,1),"P")</f>
        <v>P</v>
      </c>
      <c r="AP12464" s="4" t="s">
        <v>376</v>
      </c>
      <c r="AR12464" s="4" t="s">
        <v>377</v>
      </c>
    </row>
    <row r="12465" spans="1:44">
      <c r="A12465" s="4" t="s">
        <v>10753</v>
      </c>
      <c r="B12465" s="4">
        <v>237867</v>
      </c>
      <c r="D12465" s="5" t="s">
        <v>15221</v>
      </c>
      <c r="E12465" s="6" t="str">
        <f>HYPERLINK("https://inpn.mnhn.fr/espece/cd_nom/237867","Bothynotus pilosus (Boheman, 1852)")</f>
        <v>Bothynotus pilosus (Boheman, 1852)</v>
      </c>
      <c r="AH12465" s="4" t="str">
        <f>HYPERLINK("#Statut_biogéographique!A"&amp;_xlfn.XMATCH("P",Statut_biogéographique!A:A,2,1),"P")</f>
        <v>P</v>
      </c>
      <c r="AP12465" s="4" t="s">
        <v>376</v>
      </c>
      <c r="AR12465" s="4" t="s">
        <v>377</v>
      </c>
    </row>
    <row r="12466" spans="1:44" ht="30">
      <c r="A12466" s="4" t="s">
        <v>10753</v>
      </c>
      <c r="B12466" s="4">
        <v>237871</v>
      </c>
      <c r="D12466" s="5">
        <v>237871</v>
      </c>
      <c r="E12466" s="6" t="str">
        <f>HYPERLINK("https://inpn.mnhn.fr/espece/cd_nom/237871","Deraeocoris annulipes (Herrich-Schäffer, 1842)")</f>
        <v>Deraeocoris annulipes (Herrich-Schäffer, 1842)</v>
      </c>
      <c r="AH12466" s="4" t="str">
        <f>HYPERLINK("#Statut_biogéographique!A"&amp;_xlfn.XMATCH("P",Statut_biogéographique!A:A,2,1),"P")</f>
        <v>P</v>
      </c>
      <c r="AP12466" s="4" t="s">
        <v>376</v>
      </c>
      <c r="AR12466" s="4" t="s">
        <v>377</v>
      </c>
    </row>
    <row r="12467" spans="1:44">
      <c r="A12467" s="4" t="s">
        <v>10753</v>
      </c>
      <c r="B12467" s="4">
        <v>237873</v>
      </c>
      <c r="D12467" s="5">
        <v>237873</v>
      </c>
      <c r="E12467" s="6" t="str">
        <f>HYPERLINK("https://inpn.mnhn.fr/espece/cd_nom/237873","Deraeocoris flavilinea (A. Costa, 1862)")</f>
        <v>Deraeocoris flavilinea (A. Costa, 1862)</v>
      </c>
      <c r="AH12467" s="4" t="str">
        <f>HYPERLINK("#Statut_biogéographique!A"&amp;_xlfn.XMATCH("I",Statut_biogéographique!A:A,2,1),"I")</f>
        <v>I</v>
      </c>
      <c r="AP12467" s="4" t="s">
        <v>376</v>
      </c>
      <c r="AR12467" s="4" t="s">
        <v>377</v>
      </c>
    </row>
    <row r="12468" spans="1:44">
      <c r="A12468" s="4" t="s">
        <v>10753</v>
      </c>
      <c r="B12468" s="4">
        <v>237874</v>
      </c>
      <c r="D12468" s="5">
        <v>237874</v>
      </c>
      <c r="E12468" s="6" t="str">
        <f>HYPERLINK("https://inpn.mnhn.fr/espece/cd_nom/237874","Deraeocoris olivaceus (Fabricius, 1777)")</f>
        <v>Deraeocoris olivaceus (Fabricius, 1777)</v>
      </c>
      <c r="AH12468" s="4" t="str">
        <f>HYPERLINK("#Statut_biogéographique!A"&amp;_xlfn.XMATCH("P",Statut_biogéographique!A:A,2,1),"P")</f>
        <v>P</v>
      </c>
      <c r="AP12468" s="4" t="s">
        <v>376</v>
      </c>
      <c r="AR12468" s="4" t="s">
        <v>377</v>
      </c>
    </row>
    <row r="12469" spans="1:44">
      <c r="A12469" s="4" t="s">
        <v>10753</v>
      </c>
      <c r="B12469" s="4">
        <v>237877</v>
      </c>
      <c r="D12469" s="5">
        <v>237877</v>
      </c>
      <c r="E12469" s="6" t="str">
        <f>HYPERLINK("https://inpn.mnhn.fr/espece/cd_nom/237877","Deraeocoris schach (Fabricius, 1781)")</f>
        <v>Deraeocoris schach (Fabricius, 1781)</v>
      </c>
      <c r="AH12469" s="4" t="str">
        <f>HYPERLINK("#Statut_biogéographique!A"&amp;_xlfn.XMATCH("P",Statut_biogéographique!A:A,2,1),"P")</f>
        <v>P</v>
      </c>
      <c r="AP12469" s="4" t="s">
        <v>376</v>
      </c>
      <c r="AR12469" s="4" t="s">
        <v>377</v>
      </c>
    </row>
    <row r="12470" spans="1:44">
      <c r="A12470" s="4" t="s">
        <v>10753</v>
      </c>
      <c r="B12470" s="4">
        <v>237878</v>
      </c>
      <c r="D12470" s="5" t="s">
        <v>15222</v>
      </c>
      <c r="E12470" s="6" t="str">
        <f>HYPERLINK("https://inpn.mnhn.fr/espece/cd_nom/237878","Deraeocoris trifasciatus (Linnaeus, 1767)")</f>
        <v>Deraeocoris trifasciatus (Linnaeus, 1767)</v>
      </c>
      <c r="AH12470" s="4" t="str">
        <f>HYPERLINK("#Statut_biogéographique!A"&amp;_xlfn.XMATCH("P",Statut_biogéographique!A:A,2,1),"P")</f>
        <v>P</v>
      </c>
      <c r="AP12470" s="4" t="s">
        <v>376</v>
      </c>
      <c r="AR12470" s="4" t="s">
        <v>377</v>
      </c>
    </row>
    <row r="12471" spans="1:44">
      <c r="A12471" s="4" t="s">
        <v>10753</v>
      </c>
      <c r="B12471" s="4">
        <v>237881</v>
      </c>
      <c r="D12471" s="5" t="s">
        <v>15223</v>
      </c>
      <c r="E12471" s="6" t="str">
        <f>HYPERLINK("https://inpn.mnhn.fr/espece/cd_nom/237881","Monalocoris filicis (Linnaeus, 1758)")</f>
        <v>Monalocoris filicis (Linnaeus, 1758)</v>
      </c>
      <c r="AH12471" s="4" t="str">
        <f>HYPERLINK("#Statut_biogéographique!A"&amp;_xlfn.XMATCH("P",Statut_biogéographique!A:A,2,1),"P")</f>
        <v>P</v>
      </c>
      <c r="AP12471" s="4" t="s">
        <v>376</v>
      </c>
      <c r="AR12471" s="4" t="s">
        <v>377</v>
      </c>
    </row>
    <row r="12472" spans="1:44">
      <c r="A12472" s="4" t="s">
        <v>10753</v>
      </c>
      <c r="B12472" s="4">
        <v>237882</v>
      </c>
      <c r="D12472" s="5">
        <v>237882</v>
      </c>
      <c r="E12472" s="6" t="str">
        <f>HYPERLINK("https://inpn.mnhn.fr/espece/cd_nom/237882","Bryocoris pteridis (Fallén, 1807)")</f>
        <v>Bryocoris pteridis (Fallén, 1807)</v>
      </c>
      <c r="AH12472" s="4" t="str">
        <f>HYPERLINK("#Statut_biogéographique!A"&amp;_xlfn.XMATCH("P",Statut_biogéographique!A:A,2,1),"P")</f>
        <v>P</v>
      </c>
      <c r="AP12472" s="4" t="s">
        <v>376</v>
      </c>
      <c r="AR12472" s="4" t="s">
        <v>377</v>
      </c>
    </row>
    <row r="12473" spans="1:44">
      <c r="A12473" s="4" t="s">
        <v>10753</v>
      </c>
      <c r="B12473" s="4">
        <v>237884</v>
      </c>
      <c r="D12473" s="5" t="s">
        <v>15224</v>
      </c>
      <c r="E12473" s="6" t="str">
        <f>HYPERLINK("https://inpn.mnhn.fr/espece/cd_nom/237884","Macrolophus costalis Fieber, 1858")</f>
        <v>Macrolophus costalis Fieber, 1858</v>
      </c>
      <c r="AH12473" s="4" t="str">
        <f>HYPERLINK("#Statut_biogéographique!A"&amp;_xlfn.XMATCH("P",Statut_biogéographique!A:A,2,1),"P")</f>
        <v>P</v>
      </c>
      <c r="AP12473" s="4" t="s">
        <v>376</v>
      </c>
      <c r="AR12473" s="4" t="s">
        <v>377</v>
      </c>
    </row>
    <row r="12474" spans="1:44">
      <c r="A12474" s="4" t="s">
        <v>10753</v>
      </c>
      <c r="B12474" s="4">
        <v>237887</v>
      </c>
      <c r="D12474" s="5" t="s">
        <v>15225</v>
      </c>
      <c r="E12474" s="6" t="str">
        <f>HYPERLINK("https://inpn.mnhn.fr/espece/cd_nom/237887","Macrolophus pygmaeus (Rambur, 1839)")</f>
        <v>Macrolophus pygmaeus (Rambur, 1839)</v>
      </c>
      <c r="AH12474" s="4" t="str">
        <f>HYPERLINK("#Statut_biogéographique!A"&amp;_xlfn.XMATCH("P",Statut_biogéographique!A:A,2,1),"P")</f>
        <v>P</v>
      </c>
      <c r="AP12474" s="4" t="s">
        <v>376</v>
      </c>
      <c r="AR12474" s="4" t="s">
        <v>377</v>
      </c>
    </row>
    <row r="12475" spans="1:44">
      <c r="A12475" s="4" t="s">
        <v>10753</v>
      </c>
      <c r="B12475" s="4">
        <v>237892</v>
      </c>
      <c r="D12475" s="5">
        <v>237892</v>
      </c>
      <c r="E12475" s="6" t="str">
        <f>HYPERLINK("https://inpn.mnhn.fr/espece/cd_nom/237892","Dicyphus globulifer (Fallén, 1829)")</f>
        <v>Dicyphus globulifer (Fallén, 1829)</v>
      </c>
      <c r="AH12475" s="4" t="str">
        <f>HYPERLINK("#Statut_biogéographique!A"&amp;_xlfn.XMATCH("P",Statut_biogéographique!A:A,2,1),"P")</f>
        <v>P</v>
      </c>
      <c r="AP12475" s="4" t="s">
        <v>376</v>
      </c>
      <c r="AR12475" s="4" t="s">
        <v>377</v>
      </c>
    </row>
    <row r="12476" spans="1:44">
      <c r="A12476" s="4" t="s">
        <v>10753</v>
      </c>
      <c r="B12476" s="4">
        <v>237896</v>
      </c>
      <c r="D12476" s="5">
        <v>237896</v>
      </c>
      <c r="E12476" s="6" t="str">
        <f>HYPERLINK("https://inpn.mnhn.fr/espece/cd_nom/237896","Dicyphus errans (Wolff, 1804)")</f>
        <v>Dicyphus errans (Wolff, 1804)</v>
      </c>
      <c r="AH12476" s="4" t="str">
        <f>HYPERLINK("#Statut_biogéographique!A"&amp;_xlfn.XMATCH("P",Statut_biogéographique!A:A,2,1),"P")</f>
        <v>P</v>
      </c>
      <c r="AP12476" s="4" t="s">
        <v>376</v>
      </c>
      <c r="AR12476" s="4" t="s">
        <v>377</v>
      </c>
    </row>
    <row r="12477" spans="1:44">
      <c r="A12477" s="4" t="s">
        <v>10753</v>
      </c>
      <c r="B12477" s="4">
        <v>237898</v>
      </c>
      <c r="D12477" s="5">
        <v>237898</v>
      </c>
      <c r="E12477" s="6" t="str">
        <f>HYPERLINK("https://inpn.mnhn.fr/espece/cd_nom/237898","Dicyphus hyalinipennis (Burmeister, 1835)")</f>
        <v>Dicyphus hyalinipennis (Burmeister, 1835)</v>
      </c>
      <c r="AH12477" s="4" t="str">
        <f>HYPERLINK("#Statut_biogéographique!A"&amp;_xlfn.XMATCH("P",Statut_biogéographique!A:A,2,1),"P")</f>
        <v>P</v>
      </c>
      <c r="AP12477" s="4" t="s">
        <v>376</v>
      </c>
      <c r="AR12477" s="4" t="s">
        <v>377</v>
      </c>
    </row>
    <row r="12478" spans="1:44">
      <c r="A12478" s="4" t="s">
        <v>10753</v>
      </c>
      <c r="B12478" s="4">
        <v>237899</v>
      </c>
      <c r="D12478" s="5">
        <v>237899</v>
      </c>
      <c r="E12478" s="6" t="str">
        <f>HYPERLINK("https://inpn.mnhn.fr/espece/cd_nom/237899","Dicyphus pallidus (Herrich-Schäffer, 1836)")</f>
        <v>Dicyphus pallidus (Herrich-Schäffer, 1836)</v>
      </c>
      <c r="AH12478" s="4" t="str">
        <f>HYPERLINK("#Statut_biogéographique!A"&amp;_xlfn.XMATCH("P",Statut_biogéographique!A:A,2,1),"P")</f>
        <v>P</v>
      </c>
      <c r="AP12478" s="4" t="s">
        <v>376</v>
      </c>
      <c r="AR12478" s="4" t="s">
        <v>377</v>
      </c>
    </row>
    <row r="12479" spans="1:44">
      <c r="A12479" s="4" t="s">
        <v>10753</v>
      </c>
      <c r="B12479" s="4">
        <v>237900</v>
      </c>
      <c r="D12479" s="5">
        <v>237900</v>
      </c>
      <c r="E12479" s="6" t="str">
        <f>HYPERLINK("https://inpn.mnhn.fr/espece/cd_nom/237900","Dicyphus stachydis J. Sahlberg, 1878")</f>
        <v>Dicyphus stachydis J. Sahlberg, 1878</v>
      </c>
      <c r="AH12479" s="4" t="str">
        <f>HYPERLINK("#Statut_biogéographique!A"&amp;_xlfn.XMATCH("P",Statut_biogéographique!A:A,2,1),"P")</f>
        <v>P</v>
      </c>
      <c r="AP12479" s="4" t="s">
        <v>376</v>
      </c>
      <c r="AR12479" s="4" t="s">
        <v>377</v>
      </c>
    </row>
    <row r="12480" spans="1:44" ht="30">
      <c r="A12480" s="4" t="s">
        <v>10753</v>
      </c>
      <c r="B12480" s="4">
        <v>237904</v>
      </c>
      <c r="D12480" s="5" t="s">
        <v>15226</v>
      </c>
      <c r="E12480" s="6" t="str">
        <f>HYPERLINK("https://inpn.mnhn.fr/espece/cd_nom/237904","Campyloneura virgula (Herrich-Schäffer, 1835)")</f>
        <v>Campyloneura virgula (Herrich-Schäffer, 1835)</v>
      </c>
      <c r="AH12480" s="4" t="str">
        <f>HYPERLINK("#Statut_biogéographique!A"&amp;_xlfn.XMATCH("P",Statut_biogéographique!A:A,2,1),"P")</f>
        <v>P</v>
      </c>
      <c r="AP12480" s="4" t="s">
        <v>376</v>
      </c>
      <c r="AR12480" s="4" t="s">
        <v>377</v>
      </c>
    </row>
    <row r="12481" spans="1:44">
      <c r="A12481" s="4" t="s">
        <v>10753</v>
      </c>
      <c r="B12481" s="4">
        <v>237910</v>
      </c>
      <c r="D12481" s="5" t="s">
        <v>15227</v>
      </c>
      <c r="E12481" s="6" t="str">
        <f>HYPERLINK("https://inpn.mnhn.fr/espece/cd_nom/237910","Nabis limbatus Dahlbom, 1851")</f>
        <v>Nabis limbatus Dahlbom, 1851</v>
      </c>
      <c r="AH12481" s="4" t="str">
        <f>HYPERLINK("#Statut_biogéographique!A"&amp;_xlfn.XMATCH("P",Statut_biogéographique!A:A,2,1),"P")</f>
        <v>P</v>
      </c>
      <c r="AP12481" s="4" t="s">
        <v>376</v>
      </c>
      <c r="AR12481" s="4" t="s">
        <v>377</v>
      </c>
    </row>
    <row r="12482" spans="1:44">
      <c r="A12482" s="4" t="s">
        <v>10753</v>
      </c>
      <c r="B12482" s="4">
        <v>237913</v>
      </c>
      <c r="D12482" s="5" t="s">
        <v>15228</v>
      </c>
      <c r="E12482" s="6" t="str">
        <f>HYPERLINK("https://inpn.mnhn.fr/espece/cd_nom/237913","Nabis flavomarginatus Scholtz, 1847")</f>
        <v>Nabis flavomarginatus Scholtz, 1847</v>
      </c>
      <c r="AH12482" s="4" t="str">
        <f>HYPERLINK("#Statut_biogéographique!A"&amp;_xlfn.XMATCH("P",Statut_biogéographique!A:A,2,1),"P")</f>
        <v>P</v>
      </c>
      <c r="AP12482" s="4" t="s">
        <v>376</v>
      </c>
      <c r="AR12482" s="4" t="s">
        <v>377</v>
      </c>
    </row>
    <row r="12483" spans="1:44">
      <c r="A12483" s="4" t="s">
        <v>10753</v>
      </c>
      <c r="B12483" s="4">
        <v>237914</v>
      </c>
      <c r="D12483" s="5">
        <v>237914</v>
      </c>
      <c r="E12483" s="6" t="str">
        <f>HYPERLINK("https://inpn.mnhn.fr/espece/cd_nom/237914","Nabis brevis Scholtz, 1847")</f>
        <v>Nabis brevis Scholtz, 1847</v>
      </c>
      <c r="AH12483" s="4" t="str">
        <f>HYPERLINK("#Statut_biogéographique!A"&amp;_xlfn.XMATCH("P",Statut_biogéographique!A:A,2,1),"P")</f>
        <v>P</v>
      </c>
      <c r="AP12483" s="4" t="s">
        <v>376</v>
      </c>
      <c r="AR12483" s="4" t="s">
        <v>377</v>
      </c>
    </row>
    <row r="12484" spans="1:44">
      <c r="A12484" s="4" t="s">
        <v>10753</v>
      </c>
      <c r="B12484" s="4">
        <v>237915</v>
      </c>
      <c r="D12484" s="5" t="s">
        <v>15229</v>
      </c>
      <c r="E12484" s="6" t="str">
        <f>HYPERLINK("https://inpn.mnhn.fr/espece/cd_nom/237915","Nabis ferus (Linnaeus, 1758)")</f>
        <v>Nabis ferus (Linnaeus, 1758)</v>
      </c>
      <c r="AH12484" s="4" t="str">
        <f>HYPERLINK("#Statut_biogéographique!A"&amp;_xlfn.XMATCH("P",Statut_biogéographique!A:A,2,1),"P")</f>
        <v>P</v>
      </c>
      <c r="AP12484" s="4" t="s">
        <v>376</v>
      </c>
      <c r="AR12484" s="4" t="s">
        <v>377</v>
      </c>
    </row>
    <row r="12485" spans="1:44">
      <c r="A12485" s="4" t="s">
        <v>10753</v>
      </c>
      <c r="B12485" s="4">
        <v>237919</v>
      </c>
      <c r="D12485" s="5">
        <v>237919</v>
      </c>
      <c r="E12485" s="6" t="str">
        <f>HYPERLINK("https://inpn.mnhn.fr/espece/cd_nom/237919","Nabis pseudoferus Remane, 1949")</f>
        <v>Nabis pseudoferus Remane, 1949</v>
      </c>
      <c r="AH12485" s="4" t="str">
        <f>HYPERLINK("#Statut_biogéographique!A"&amp;_xlfn.XMATCH("P",Statut_biogéographique!A:A,2,1),"P")</f>
        <v>P</v>
      </c>
      <c r="AP12485" s="4" t="s">
        <v>376</v>
      </c>
      <c r="AR12485" s="4" t="s">
        <v>377</v>
      </c>
    </row>
    <row r="12486" spans="1:44">
      <c r="A12486" s="4" t="s">
        <v>10753</v>
      </c>
      <c r="B12486" s="4">
        <v>237920</v>
      </c>
      <c r="D12486" s="5">
        <v>237920</v>
      </c>
      <c r="E12486" s="6" t="str">
        <f>HYPERLINK("https://inpn.mnhn.fr/espece/cd_nom/237920","Nabis punctatus A. Costa, 1847")</f>
        <v>Nabis punctatus A. Costa, 1847</v>
      </c>
      <c r="AH12486" s="4" t="str">
        <f>HYPERLINK("#Statut_biogéographique!A"&amp;_xlfn.XMATCH("P",Statut_biogéographique!A:A,2,1),"P")</f>
        <v>P</v>
      </c>
      <c r="AP12486" s="4" t="s">
        <v>376</v>
      </c>
      <c r="AR12486" s="4" t="s">
        <v>377</v>
      </c>
    </row>
    <row r="12487" spans="1:44">
      <c r="A12487" s="4" t="s">
        <v>10753</v>
      </c>
      <c r="B12487" s="4">
        <v>237925</v>
      </c>
      <c r="D12487" s="5" t="s">
        <v>15230</v>
      </c>
      <c r="E12487" s="6" t="str">
        <f>HYPERLINK("https://inpn.mnhn.fr/espece/cd_nom/237925","Himacerus mirmicoides (O. Costa, 1834)")</f>
        <v>Himacerus mirmicoides (O. Costa, 1834)</v>
      </c>
      <c r="F12487" s="5" t="s">
        <v>15231</v>
      </c>
      <c r="AH12487" s="4" t="str">
        <f>HYPERLINK("#Statut_biogéographique!A"&amp;_xlfn.XMATCH("P",Statut_biogéographique!A:A,2,1),"P")</f>
        <v>P</v>
      </c>
      <c r="AP12487" s="4" t="s">
        <v>376</v>
      </c>
      <c r="AR12487" s="4" t="s">
        <v>377</v>
      </c>
    </row>
    <row r="12488" spans="1:44">
      <c r="A12488" s="4" t="s">
        <v>10753</v>
      </c>
      <c r="B12488" s="4">
        <v>237926</v>
      </c>
      <c r="D12488" s="5" t="s">
        <v>15232</v>
      </c>
      <c r="E12488" s="6" t="str">
        <f>HYPERLINK("https://inpn.mnhn.fr/espece/cd_nom/237926","Himacerus apterus (Fabricius, 1798)")</f>
        <v>Himacerus apterus (Fabricius, 1798)</v>
      </c>
      <c r="AH12488" s="4" t="str">
        <f>HYPERLINK("#Statut_biogéographique!A"&amp;_xlfn.XMATCH("P",Statut_biogéographique!A:A,2,1),"P")</f>
        <v>P</v>
      </c>
      <c r="AP12488" s="4" t="s">
        <v>376</v>
      </c>
      <c r="AR12488" s="4" t="s">
        <v>377</v>
      </c>
    </row>
    <row r="12489" spans="1:44">
      <c r="A12489" s="4" t="s">
        <v>10753</v>
      </c>
      <c r="B12489" s="4">
        <v>237930</v>
      </c>
      <c r="D12489" s="5" t="s">
        <v>15233</v>
      </c>
      <c r="E12489" s="6" t="str">
        <f>HYPERLINK("https://inpn.mnhn.fr/espece/cd_nom/237930","Prostemma guttula (Fabricius, 1787)")</f>
        <v>Prostemma guttula (Fabricius, 1787)</v>
      </c>
      <c r="AH12489" s="4" t="str">
        <f>HYPERLINK("#Statut_biogéographique!A"&amp;_xlfn.XMATCH("P",Statut_biogéographique!A:A,2,1),"P")</f>
        <v>P</v>
      </c>
      <c r="AP12489" s="4" t="s">
        <v>376</v>
      </c>
      <c r="AR12489" s="4" t="s">
        <v>377</v>
      </c>
    </row>
    <row r="12490" spans="1:44">
      <c r="A12490" s="4" t="s">
        <v>10753</v>
      </c>
      <c r="B12490" s="4">
        <v>237932</v>
      </c>
      <c r="D12490" s="5" t="s">
        <v>15234</v>
      </c>
      <c r="E12490" s="6" t="str">
        <f>HYPERLINK("https://inpn.mnhn.fr/espece/cd_nom/237932","Alloeorhynchus flavipes (Fieber, 1836)")</f>
        <v>Alloeorhynchus flavipes (Fieber, 1836)</v>
      </c>
      <c r="AH12490" s="4" t="str">
        <f>HYPERLINK("#Statut_biogéographique!A"&amp;_xlfn.XMATCH("P",Statut_biogéographique!A:A,2,1),"P")</f>
        <v>P</v>
      </c>
      <c r="AP12490" s="4" t="s">
        <v>376</v>
      </c>
      <c r="AR12490" s="4" t="s">
        <v>377</v>
      </c>
    </row>
    <row r="12491" spans="1:44">
      <c r="A12491" s="4" t="s">
        <v>10753</v>
      </c>
      <c r="B12491" s="4">
        <v>237937</v>
      </c>
      <c r="D12491" s="5" t="s">
        <v>15235</v>
      </c>
      <c r="E12491" s="6" t="str">
        <f>HYPERLINK("https://inpn.mnhn.fr/espece/cd_nom/237937","Dufouriellus ater (Dufour, 1833)")</f>
        <v>Dufouriellus ater (Dufour, 1833)</v>
      </c>
      <c r="AH12491" s="4" t="str">
        <f>HYPERLINK("#Statut_biogéographique!A"&amp;_xlfn.XMATCH("P",Statut_biogéographique!A:A,2,1),"P")</f>
        <v>P</v>
      </c>
      <c r="AP12491" s="4" t="s">
        <v>376</v>
      </c>
      <c r="AR12491" s="4" t="s">
        <v>377</v>
      </c>
    </row>
    <row r="12492" spans="1:44">
      <c r="A12492" s="4" t="s">
        <v>10753</v>
      </c>
      <c r="B12492" s="4">
        <v>237938</v>
      </c>
      <c r="D12492" s="5" t="s">
        <v>15236</v>
      </c>
      <c r="E12492" s="6" t="str">
        <f>HYPERLINK("https://inpn.mnhn.fr/espece/cd_nom/237938","Cardiastethus fasciiventris (Garbiglietti, 1869)")</f>
        <v>Cardiastethus fasciiventris (Garbiglietti, 1869)</v>
      </c>
      <c r="AH12492" s="4" t="str">
        <f>HYPERLINK("#Statut_biogéographique!A"&amp;_xlfn.XMATCH("P",Statut_biogéographique!A:A,2,1),"P")</f>
        <v>P</v>
      </c>
      <c r="AP12492" s="4" t="s">
        <v>376</v>
      </c>
      <c r="AR12492" s="4" t="s">
        <v>377</v>
      </c>
    </row>
    <row r="12493" spans="1:44">
      <c r="A12493" s="4" t="s">
        <v>10753</v>
      </c>
      <c r="B12493" s="4">
        <v>237946</v>
      </c>
      <c r="D12493" s="5" t="s">
        <v>15237</v>
      </c>
      <c r="E12493" s="6" t="str">
        <f>HYPERLINK("https://inpn.mnhn.fr/espece/cd_nom/237946","Xylocoris galactinus (Fieber, 1836)")</f>
        <v>Xylocoris galactinus (Fieber, 1836)</v>
      </c>
      <c r="AH12493" s="4" t="str">
        <f>HYPERLINK("#Statut_biogéographique!A"&amp;_xlfn.XMATCH("P",Statut_biogéographique!A:A,2,1),"P")</f>
        <v>P</v>
      </c>
      <c r="AP12493" s="4" t="s">
        <v>376</v>
      </c>
      <c r="AR12493" s="4" t="s">
        <v>377</v>
      </c>
    </row>
    <row r="12494" spans="1:44">
      <c r="A12494" s="4" t="s">
        <v>10753</v>
      </c>
      <c r="B12494" s="4">
        <v>237948</v>
      </c>
      <c r="D12494" s="5" t="s">
        <v>15238</v>
      </c>
      <c r="E12494" s="6" t="str">
        <f>HYPERLINK("https://inpn.mnhn.fr/espece/cd_nom/237948","Xylocoris cursitans (Fallén, 1807)")</f>
        <v>Xylocoris cursitans (Fallén, 1807)</v>
      </c>
      <c r="AH12494" s="4" t="str">
        <f>HYPERLINK("#Statut_biogéographique!A"&amp;_xlfn.XMATCH("P",Statut_biogéographique!A:A,2,1),"P")</f>
        <v>P</v>
      </c>
      <c r="AP12494" s="4" t="s">
        <v>376</v>
      </c>
      <c r="AR12494" s="4" t="s">
        <v>377</v>
      </c>
    </row>
    <row r="12495" spans="1:44">
      <c r="A12495" s="4" t="s">
        <v>10753</v>
      </c>
      <c r="B12495" s="4">
        <v>237954</v>
      </c>
      <c r="D12495" s="5">
        <v>237954</v>
      </c>
      <c r="E12495" s="6" t="str">
        <f>HYPERLINK("https://inpn.mnhn.fr/espece/cd_nom/237954","Temnostethus gracilis Horváth, 1907")</f>
        <v>Temnostethus gracilis Horváth, 1907</v>
      </c>
      <c r="AH12495" s="4" t="str">
        <f>HYPERLINK("#Statut_biogéographique!A"&amp;_xlfn.XMATCH("P",Statut_biogéographique!A:A,2,1),"P")</f>
        <v>P</v>
      </c>
      <c r="AP12495" s="4" t="s">
        <v>376</v>
      </c>
      <c r="AR12495" s="4" t="s">
        <v>377</v>
      </c>
    </row>
    <row r="12496" spans="1:44" ht="30">
      <c r="A12496" s="4" t="s">
        <v>10753</v>
      </c>
      <c r="B12496" s="4">
        <v>237955</v>
      </c>
      <c r="D12496" s="5">
        <v>237955</v>
      </c>
      <c r="E12496" s="6" t="str">
        <f>HYPERLINK("https://inpn.mnhn.fr/espece/cd_nom/237955","Temnostethus pusillus (Herrich-Schäffer, 1835)")</f>
        <v>Temnostethus pusillus (Herrich-Schäffer, 1835)</v>
      </c>
      <c r="AH12496" s="4" t="str">
        <f>HYPERLINK("#Statut_biogéographique!A"&amp;_xlfn.XMATCH("P",Statut_biogéographique!A:A,2,1),"P")</f>
        <v>P</v>
      </c>
      <c r="AP12496" s="4" t="s">
        <v>376</v>
      </c>
      <c r="AR12496" s="4" t="s">
        <v>377</v>
      </c>
    </row>
    <row r="12497" spans="1:44">
      <c r="A12497" s="4" t="s">
        <v>10753</v>
      </c>
      <c r="B12497" s="4">
        <v>237960</v>
      </c>
      <c r="D12497" s="5">
        <v>237960</v>
      </c>
      <c r="E12497" s="6" t="str">
        <f>HYPERLINK("https://inpn.mnhn.fr/espece/cd_nom/237960","Anthocoris butleri Le Quesne, 1954")</f>
        <v>Anthocoris butleri Le Quesne, 1954</v>
      </c>
      <c r="AH12497" s="4" t="str">
        <f>HYPERLINK("#Statut_biogéographique!A"&amp;_xlfn.XMATCH("P",Statut_biogéographique!A:A,2,1),"P")</f>
        <v>P</v>
      </c>
      <c r="AP12497" s="4" t="s">
        <v>376</v>
      </c>
      <c r="AR12497" s="4" t="s">
        <v>377</v>
      </c>
    </row>
    <row r="12498" spans="1:44">
      <c r="A12498" s="4" t="s">
        <v>10753</v>
      </c>
      <c r="B12498" s="4">
        <v>237961</v>
      </c>
      <c r="D12498" s="5">
        <v>237961</v>
      </c>
      <c r="E12498" s="6" t="str">
        <f>HYPERLINK("https://inpn.mnhn.fr/espece/cd_nom/237961","Anthocoris confusus Reuter, 1884")</f>
        <v>Anthocoris confusus Reuter, 1884</v>
      </c>
      <c r="AH12498" s="4" t="str">
        <f>HYPERLINK("#Statut_biogéographique!A"&amp;_xlfn.XMATCH("P",Statut_biogéographique!A:A,2,1),"P")</f>
        <v>P</v>
      </c>
      <c r="AP12498" s="4" t="s">
        <v>376</v>
      </c>
      <c r="AR12498" s="4" t="s">
        <v>377</v>
      </c>
    </row>
    <row r="12499" spans="1:44">
      <c r="A12499" s="4" t="s">
        <v>10753</v>
      </c>
      <c r="B12499" s="4">
        <v>237963</v>
      </c>
      <c r="D12499" s="5">
        <v>237963</v>
      </c>
      <c r="E12499" s="6" t="str">
        <f>HYPERLINK("https://inpn.mnhn.fr/espece/cd_nom/237963","Anthocoris limbatus Fieber, 1836")</f>
        <v>Anthocoris limbatus Fieber, 1836</v>
      </c>
      <c r="AH12499" s="4" t="str">
        <f>HYPERLINK("#Statut_biogéographique!A"&amp;_xlfn.XMATCH("P",Statut_biogéographique!A:A,2,1),"P")</f>
        <v>P</v>
      </c>
      <c r="AP12499" s="4" t="s">
        <v>376</v>
      </c>
      <c r="AR12499" s="4" t="s">
        <v>377</v>
      </c>
    </row>
    <row r="12500" spans="1:44">
      <c r="A12500" s="4" t="s">
        <v>10753</v>
      </c>
      <c r="B12500" s="4">
        <v>237965</v>
      </c>
      <c r="D12500" s="5" t="s">
        <v>15239</v>
      </c>
      <c r="E12500" s="6" t="str">
        <f>HYPERLINK("https://inpn.mnhn.fr/espece/cd_nom/237965","Anthocoris nemoralis (Fabricius, 1794)")</f>
        <v>Anthocoris nemoralis (Fabricius, 1794)</v>
      </c>
      <c r="AH12500" s="4" t="str">
        <f>HYPERLINK("#Statut_biogéographique!A"&amp;_xlfn.XMATCH("P",Statut_biogéographique!A:A,2,1),"P")</f>
        <v>P</v>
      </c>
      <c r="AP12500" s="4" t="s">
        <v>376</v>
      </c>
      <c r="AR12500" s="4" t="s">
        <v>377</v>
      </c>
    </row>
    <row r="12501" spans="1:44">
      <c r="A12501" s="4" t="s">
        <v>10753</v>
      </c>
      <c r="B12501" s="4">
        <v>237966</v>
      </c>
      <c r="D12501" s="5" t="s">
        <v>15240</v>
      </c>
      <c r="E12501" s="6" t="str">
        <f>HYPERLINK("https://inpn.mnhn.fr/espece/cd_nom/237966","Anthocoris nemorum (Linnaeus, 1761)")</f>
        <v>Anthocoris nemorum (Linnaeus, 1761)</v>
      </c>
      <c r="F12501" s="5" t="s">
        <v>15241</v>
      </c>
      <c r="AH12501" s="4" t="str">
        <f>HYPERLINK("#Statut_biogéographique!A"&amp;_xlfn.XMATCH("P",Statut_biogéographique!A:A,2,1),"P")</f>
        <v>P</v>
      </c>
      <c r="AP12501" s="4" t="s">
        <v>376</v>
      </c>
      <c r="AR12501" s="4" t="s">
        <v>377</v>
      </c>
    </row>
    <row r="12502" spans="1:44">
      <c r="A12502" s="4" t="s">
        <v>10753</v>
      </c>
      <c r="B12502" s="4">
        <v>237970</v>
      </c>
      <c r="D12502" s="5">
        <v>237970</v>
      </c>
      <c r="E12502" s="6" t="str">
        <f>HYPERLINK("https://inpn.mnhn.fr/espece/cd_nom/237970","Anthocoris visci Douglas, 1889")</f>
        <v>Anthocoris visci Douglas, 1889</v>
      </c>
      <c r="AH12502" s="4" t="str">
        <f>HYPERLINK("#Statut_biogéographique!A"&amp;_xlfn.XMATCH("P",Statut_biogéographique!A:A,2,1),"P")</f>
        <v>P</v>
      </c>
      <c r="AP12502" s="4" t="s">
        <v>376</v>
      </c>
      <c r="AR12502" s="4" t="s">
        <v>377</v>
      </c>
    </row>
    <row r="12503" spans="1:44">
      <c r="A12503" s="4" t="s">
        <v>10753</v>
      </c>
      <c r="B12503" s="4">
        <v>237971</v>
      </c>
      <c r="D12503" s="5">
        <v>237971</v>
      </c>
      <c r="E12503" s="6" t="str">
        <f>HYPERLINK("https://inpn.mnhn.fr/espece/cd_nom/237971","Acompocoris alpinus Reuter, 1875")</f>
        <v>Acompocoris alpinus Reuter, 1875</v>
      </c>
      <c r="AH12503" s="4" t="str">
        <f>HYPERLINK("#Statut_biogéographique!A"&amp;_xlfn.XMATCH("P",Statut_biogéographique!A:A,2,1),"P")</f>
        <v>P</v>
      </c>
      <c r="AP12503" s="4" t="s">
        <v>376</v>
      </c>
      <c r="AR12503" s="4" t="s">
        <v>377</v>
      </c>
    </row>
    <row r="12504" spans="1:44">
      <c r="A12504" s="4" t="s">
        <v>10753</v>
      </c>
      <c r="B12504" s="4">
        <v>237976</v>
      </c>
      <c r="D12504" s="5" t="s">
        <v>15242</v>
      </c>
      <c r="E12504" s="6" t="str">
        <f>HYPERLINK("https://inpn.mnhn.fr/espece/cd_nom/237976","Orius minutus (Linnaeus, 1758)")</f>
        <v>Orius minutus (Linnaeus, 1758)</v>
      </c>
      <c r="AH12504" s="4" t="str">
        <f>HYPERLINK("#Statut_biogéographique!A"&amp;_xlfn.XMATCH("P",Statut_biogéographique!A:A,2,1),"P")</f>
        <v>P</v>
      </c>
      <c r="AP12504" s="4" t="s">
        <v>376</v>
      </c>
      <c r="AR12504" s="4" t="s">
        <v>377</v>
      </c>
    </row>
    <row r="12505" spans="1:44">
      <c r="A12505" s="4" t="s">
        <v>10753</v>
      </c>
      <c r="B12505" s="4">
        <v>237977</v>
      </c>
      <c r="D12505" s="5" t="s">
        <v>15243</v>
      </c>
      <c r="E12505" s="6" t="str">
        <f>HYPERLINK("https://inpn.mnhn.fr/espece/cd_nom/237977","Orius vicinus (Ribaut, 1923)")</f>
        <v>Orius vicinus (Ribaut, 1923)</v>
      </c>
      <c r="AH12505" s="4" t="str">
        <f>HYPERLINK("#Statut_biogéographique!A"&amp;_xlfn.XMATCH("P",Statut_biogéographique!A:A,2,1),"P")</f>
        <v>P</v>
      </c>
      <c r="AP12505" s="4" t="s">
        <v>376</v>
      </c>
      <c r="AR12505" s="4" t="s">
        <v>377</v>
      </c>
    </row>
    <row r="12506" spans="1:44" ht="30">
      <c r="A12506" s="4" t="s">
        <v>10753</v>
      </c>
      <c r="B12506" s="4">
        <v>237980</v>
      </c>
      <c r="D12506" s="5" t="s">
        <v>15244</v>
      </c>
      <c r="E12506" s="6" t="str">
        <f>HYPERLINK("https://inpn.mnhn.fr/espece/cd_nom/237980","Orius niger (Wolff, 1811)")</f>
        <v>Orius niger (Wolff, 1811)</v>
      </c>
      <c r="AH12506" s="4" t="str">
        <f>HYPERLINK("#Statut_biogéographique!A"&amp;_xlfn.XMATCH("P",Statut_biogéographique!A:A,2,1),"P")</f>
        <v>P</v>
      </c>
      <c r="AP12506" s="4" t="s">
        <v>376</v>
      </c>
      <c r="AR12506" s="4" t="s">
        <v>377</v>
      </c>
    </row>
    <row r="12507" spans="1:44">
      <c r="A12507" s="4" t="s">
        <v>10753</v>
      </c>
      <c r="B12507" s="4">
        <v>237985</v>
      </c>
      <c r="D12507" s="5" t="s">
        <v>15245</v>
      </c>
      <c r="E12507" s="6" t="str">
        <f>HYPERLINK("https://inpn.mnhn.fr/espece/cd_nom/237985","Cimex dissimilis (Horváth, 1910)")</f>
        <v>Cimex dissimilis (Horváth, 1910)</v>
      </c>
      <c r="AH12507" s="4" t="str">
        <f>HYPERLINK("#Statut_biogéographique!A"&amp;_xlfn.XMATCH("P",Statut_biogéographique!A:A,2,1),"P")</f>
        <v>P</v>
      </c>
      <c r="AP12507" s="4" t="s">
        <v>376</v>
      </c>
      <c r="AR12507" s="4" t="s">
        <v>377</v>
      </c>
    </row>
    <row r="12508" spans="1:44">
      <c r="A12508" s="4" t="s">
        <v>10753</v>
      </c>
      <c r="B12508" s="4">
        <v>237989</v>
      </c>
      <c r="D12508" s="5" t="s">
        <v>15246</v>
      </c>
      <c r="E12508" s="6" t="str">
        <f>HYPERLINK("https://inpn.mnhn.fr/espece/cd_nom/237989","Rhynocoris annulatus (Linnaeus, 1758)")</f>
        <v>Rhynocoris annulatus (Linnaeus, 1758)</v>
      </c>
      <c r="AH12508" s="4" t="str">
        <f>HYPERLINK("#Statut_biogéographique!A"&amp;_xlfn.XMATCH("P",Statut_biogéographique!A:A,2,1),"P")</f>
        <v>P</v>
      </c>
      <c r="AP12508" s="4" t="s">
        <v>376</v>
      </c>
      <c r="AR12508" s="4" t="s">
        <v>377</v>
      </c>
    </row>
    <row r="12509" spans="1:44">
      <c r="A12509" s="4" t="s">
        <v>10753</v>
      </c>
      <c r="B12509" s="4">
        <v>237991</v>
      </c>
      <c r="D12509" s="5" t="s">
        <v>15247</v>
      </c>
      <c r="E12509" s="6" t="str">
        <f>HYPERLINK("https://inpn.mnhn.fr/espece/cd_nom/237991","Rhynocoris erythropus (Linnaeus, 1767)")</f>
        <v>Rhynocoris erythropus (Linnaeus, 1767)</v>
      </c>
      <c r="F12509" s="5" t="s">
        <v>15248</v>
      </c>
      <c r="AH12509" s="4" t="str">
        <f>HYPERLINK("#Statut_biogéographique!A"&amp;_xlfn.XMATCH("P",Statut_biogéographique!A:A,2,1),"P")</f>
        <v>P</v>
      </c>
      <c r="AP12509" s="4" t="s">
        <v>376</v>
      </c>
      <c r="AR12509" s="4" t="s">
        <v>377</v>
      </c>
    </row>
    <row r="12510" spans="1:44">
      <c r="A12510" s="4" t="s">
        <v>10753</v>
      </c>
      <c r="B12510" s="4">
        <v>237992</v>
      </c>
      <c r="D12510" s="5" t="s">
        <v>15249</v>
      </c>
      <c r="E12510" s="6" t="str">
        <f>HYPERLINK("https://inpn.mnhn.fr/espece/cd_nom/237992","Rhynocoris iracundus (Poda, 1761)")</f>
        <v>Rhynocoris iracundus (Poda, 1761)</v>
      </c>
      <c r="AH12510" s="4" t="str">
        <f>HYPERLINK("#Statut_biogéographique!A"&amp;_xlfn.XMATCH("P",Statut_biogéographique!A:A,2,1),"P")</f>
        <v>P</v>
      </c>
      <c r="AP12510" s="4" t="s">
        <v>376</v>
      </c>
      <c r="AR12510" s="4" t="s">
        <v>377</v>
      </c>
    </row>
    <row r="12511" spans="1:44">
      <c r="A12511" s="4" t="s">
        <v>10753</v>
      </c>
      <c r="B12511" s="4">
        <v>237995</v>
      </c>
      <c r="D12511" s="5" t="s">
        <v>15250</v>
      </c>
      <c r="E12511" s="6" t="str">
        <f>HYPERLINK("https://inpn.mnhn.fr/espece/cd_nom/237995","Coranus griseus (Rossi, 1790)")</f>
        <v>Coranus griseus (Rossi, 1790)</v>
      </c>
      <c r="AH12511" s="4" t="str">
        <f>HYPERLINK("#Statut_biogéographique!A"&amp;_xlfn.XMATCH("P",Statut_biogéographique!A:A,2,1),"P")</f>
        <v>P</v>
      </c>
      <c r="AP12511" s="4" t="s">
        <v>376</v>
      </c>
      <c r="AR12511" s="4" t="s">
        <v>377</v>
      </c>
    </row>
    <row r="12512" spans="1:44">
      <c r="A12512" s="4" t="s">
        <v>10753</v>
      </c>
      <c r="B12512" s="4">
        <v>238005</v>
      </c>
      <c r="D12512" s="5" t="s">
        <v>15251</v>
      </c>
      <c r="E12512" s="6" t="str">
        <f>HYPERLINK("https://inpn.mnhn.fr/espece/cd_nom/238005","Reduvius personatus (Linnaeus, 1758)")</f>
        <v>Reduvius personatus (Linnaeus, 1758)</v>
      </c>
      <c r="F12512" s="5" t="s">
        <v>15252</v>
      </c>
      <c r="AH12512" s="4" t="str">
        <f>HYPERLINK("#Statut_biogéographique!A"&amp;_xlfn.XMATCH("P",Statut_biogéographique!A:A,2,1),"P")</f>
        <v>P</v>
      </c>
      <c r="AP12512" s="4" t="s">
        <v>376</v>
      </c>
      <c r="AR12512" s="4" t="s">
        <v>377</v>
      </c>
    </row>
    <row r="12513" spans="1:44">
      <c r="A12513" s="4" t="s">
        <v>10753</v>
      </c>
      <c r="B12513" s="4">
        <v>238009</v>
      </c>
      <c r="D12513" s="5" t="s">
        <v>15253</v>
      </c>
      <c r="E12513" s="6" t="str">
        <f>HYPERLINK("https://inpn.mnhn.fr/espece/cd_nom/238009","Phymata crassipes (Fabricius, 1775)")</f>
        <v>Phymata crassipes (Fabricius, 1775)</v>
      </c>
      <c r="F12513" s="5" t="s">
        <v>15254</v>
      </c>
      <c r="AH12513" s="4" t="str">
        <f>HYPERLINK("#Statut_biogéographique!A"&amp;_xlfn.XMATCH("P",Statut_biogéographique!A:A,2,1),"P")</f>
        <v>P</v>
      </c>
      <c r="AP12513" s="4" t="s">
        <v>376</v>
      </c>
      <c r="AR12513" s="4" t="s">
        <v>377</v>
      </c>
    </row>
    <row r="12514" spans="1:44">
      <c r="A12514" s="4" t="s">
        <v>10753</v>
      </c>
      <c r="B12514" s="4">
        <v>238011</v>
      </c>
      <c r="D12514" s="5" t="s">
        <v>15255</v>
      </c>
      <c r="E12514" s="6" t="str">
        <f>HYPERLINK("https://inpn.mnhn.fr/espece/cd_nom/238011","Peirates hybridus (Scopoli, 1763)")</f>
        <v>Peirates hybridus (Scopoli, 1763)</v>
      </c>
      <c r="AH12514" s="4" t="str">
        <f>HYPERLINK("#Statut_biogéographique!A"&amp;_xlfn.XMATCH("P",Statut_biogéographique!A:A,2,1),"P")</f>
        <v>P</v>
      </c>
      <c r="AP12514" s="4" t="s">
        <v>376</v>
      </c>
      <c r="AR12514" s="4" t="s">
        <v>377</v>
      </c>
    </row>
    <row r="12515" spans="1:44">
      <c r="A12515" s="4" t="s">
        <v>10753</v>
      </c>
      <c r="B12515" s="4">
        <v>238013</v>
      </c>
      <c r="D12515" s="5" t="s">
        <v>15256</v>
      </c>
      <c r="E12515" s="6" t="str">
        <f>HYPERLINK("https://inpn.mnhn.fr/espece/cd_nom/238013","Peirates stridulus (Fabricius, 1787)")</f>
        <v>Peirates stridulus (Fabricius, 1787)</v>
      </c>
      <c r="F12515" s="5" t="s">
        <v>15257</v>
      </c>
      <c r="AH12515" s="4" t="str">
        <f>HYPERLINK("#Statut_biogéographique!A"&amp;_xlfn.XMATCH("P",Statut_biogéographique!A:A,2,1),"P")</f>
        <v>P</v>
      </c>
      <c r="AP12515" s="4" t="s">
        <v>376</v>
      </c>
      <c r="AR12515" s="4" t="s">
        <v>377</v>
      </c>
    </row>
    <row r="12516" spans="1:44">
      <c r="A12516" s="4" t="s">
        <v>10753</v>
      </c>
      <c r="B12516" s="4">
        <v>238021</v>
      </c>
      <c r="D12516" s="5" t="s">
        <v>15258</v>
      </c>
      <c r="E12516" s="6" t="str">
        <f>HYPERLINK("https://inpn.mnhn.fr/espece/cd_nom/238021","Empicoris baerensprungi (Dohrn, 1863)")</f>
        <v>Empicoris baerensprungi (Dohrn, 1863)</v>
      </c>
      <c r="AH12516" s="4" t="str">
        <f>HYPERLINK("#Statut_biogéographique!A"&amp;_xlfn.XMATCH("P",Statut_biogéographique!A:A,2,1),"P")</f>
        <v>P</v>
      </c>
      <c r="AP12516" s="4" t="s">
        <v>376</v>
      </c>
      <c r="AR12516" s="4" t="s">
        <v>377</v>
      </c>
    </row>
    <row r="12517" spans="1:44">
      <c r="A12517" s="4" t="s">
        <v>10753</v>
      </c>
      <c r="B12517" s="4">
        <v>238038</v>
      </c>
      <c r="D12517" s="5">
        <v>238038</v>
      </c>
      <c r="E12517" s="6" t="str">
        <f>HYPERLINK("https://inpn.mnhn.fr/espece/cd_nom/238038","Aradus betulinus Fallén, 1807")</f>
        <v>Aradus betulinus Fallén, 1807</v>
      </c>
      <c r="AH12517" s="4" t="str">
        <f>HYPERLINK("#Statut_biogéographique!A"&amp;_xlfn.XMATCH("P",Statut_biogéographique!A:A,2,1),"P")</f>
        <v>P</v>
      </c>
      <c r="AP12517" s="4" t="s">
        <v>376</v>
      </c>
      <c r="AR12517" s="4" t="s">
        <v>377</v>
      </c>
    </row>
    <row r="12518" spans="1:44">
      <c r="A12518" s="4" t="s">
        <v>10753</v>
      </c>
      <c r="B12518" s="4">
        <v>238041</v>
      </c>
      <c r="D12518" s="5">
        <v>238041</v>
      </c>
      <c r="E12518" s="6" t="str">
        <f>HYPERLINK("https://inpn.mnhn.fr/espece/cd_nom/238041","Aradus cinnamomeus Panzer, 1806")</f>
        <v>Aradus cinnamomeus Panzer, 1806</v>
      </c>
      <c r="AH12518" s="4" t="str">
        <f>HYPERLINK("#Statut_biogéographique!A"&amp;_xlfn.XMATCH("P",Statut_biogéographique!A:A,2,1),"P")</f>
        <v>P</v>
      </c>
      <c r="AP12518" s="4" t="s">
        <v>376</v>
      </c>
      <c r="AR12518" s="4" t="s">
        <v>377</v>
      </c>
    </row>
    <row r="12519" spans="1:44">
      <c r="A12519" s="4" t="s">
        <v>10753</v>
      </c>
      <c r="B12519" s="4">
        <v>238045</v>
      </c>
      <c r="D12519" s="5">
        <v>238045</v>
      </c>
      <c r="E12519" s="6" t="str">
        <f>HYPERLINK("https://inpn.mnhn.fr/espece/cd_nom/238045","Aradus depressus (Fabricius, 1794)")</f>
        <v>Aradus depressus (Fabricius, 1794)</v>
      </c>
      <c r="AH12519" s="4" t="str">
        <f>HYPERLINK("#Statut_biogéographique!A"&amp;_xlfn.XMATCH("P",Statut_biogéographique!A:A,2,1),"P")</f>
        <v>P</v>
      </c>
      <c r="AP12519" s="4" t="s">
        <v>376</v>
      </c>
      <c r="AR12519" s="4" t="s">
        <v>377</v>
      </c>
    </row>
    <row r="12520" spans="1:44">
      <c r="A12520" s="4" t="s">
        <v>10753</v>
      </c>
      <c r="B12520" s="4">
        <v>238062</v>
      </c>
      <c r="D12520" s="5">
        <v>238062</v>
      </c>
      <c r="E12520" s="6" t="str">
        <f>HYPERLINK("https://inpn.mnhn.fr/espece/cd_nom/238062","Aneurus avenius (Dufour, 1833)")</f>
        <v>Aneurus avenius (Dufour, 1833)</v>
      </c>
      <c r="AH12520" s="4" t="str">
        <f>HYPERLINK("#Statut_biogéographique!A"&amp;_xlfn.XMATCH("P",Statut_biogéographique!A:A,2,1),"P")</f>
        <v>P</v>
      </c>
      <c r="AP12520" s="4" t="s">
        <v>376</v>
      </c>
      <c r="AR12520" s="4" t="s">
        <v>377</v>
      </c>
    </row>
    <row r="12521" spans="1:44">
      <c r="A12521" s="4" t="s">
        <v>10753</v>
      </c>
      <c r="B12521" s="4">
        <v>238063</v>
      </c>
      <c r="D12521" s="5">
        <v>238063</v>
      </c>
      <c r="E12521" s="6" t="str">
        <f>HYPERLINK("https://inpn.mnhn.fr/espece/cd_nom/238063","Aneurus laevis (Fabricius, 1775)")</f>
        <v>Aneurus laevis (Fabricius, 1775)</v>
      </c>
      <c r="AH12521" s="4" t="str">
        <f>HYPERLINK("#Statut_biogéographique!A"&amp;_xlfn.XMATCH("P",Statut_biogéographique!A:A,2,1),"P")</f>
        <v>P</v>
      </c>
      <c r="AP12521" s="4" t="s">
        <v>376</v>
      </c>
      <c r="AR12521" s="4" t="s">
        <v>377</v>
      </c>
    </row>
    <row r="12522" spans="1:44">
      <c r="A12522" s="4" t="s">
        <v>10753</v>
      </c>
      <c r="B12522" s="4">
        <v>238065</v>
      </c>
      <c r="D12522" s="5" t="s">
        <v>15259</v>
      </c>
      <c r="E12522" s="6" t="str">
        <f>HYPERLINK("https://inpn.mnhn.fr/espece/cd_nom/238065","Tropistethus holosericus (Scholtz, 1846)")</f>
        <v>Tropistethus holosericus (Scholtz, 1846)</v>
      </c>
      <c r="AH12522" s="4" t="str">
        <f>HYPERLINK("#Statut_biogéographique!A"&amp;_xlfn.XMATCH("P",Statut_biogéographique!A:A,2,1),"P")</f>
        <v>P</v>
      </c>
      <c r="AP12522" s="4" t="s">
        <v>376</v>
      </c>
      <c r="AR12522" s="4" t="s">
        <v>377</v>
      </c>
    </row>
    <row r="12523" spans="1:44">
      <c r="A12523" s="4" t="s">
        <v>10753</v>
      </c>
      <c r="B12523" s="4">
        <v>238068</v>
      </c>
      <c r="D12523" s="5" t="s">
        <v>15260</v>
      </c>
      <c r="E12523" s="6" t="str">
        <f>HYPERLINK("https://inpn.mnhn.fr/espece/cd_nom/238068","Taphropeltus andrei (Puton, 1877)")</f>
        <v>Taphropeltus andrei (Puton, 1877)</v>
      </c>
      <c r="AH12523" s="4" t="str">
        <f>HYPERLINK("#Statut_biogéographique!A"&amp;_xlfn.XMATCH("P",Statut_biogéographique!A:A,2,1),"P")</f>
        <v>P</v>
      </c>
      <c r="AP12523" s="4" t="s">
        <v>376</v>
      </c>
      <c r="AR12523" s="4" t="s">
        <v>377</v>
      </c>
    </row>
    <row r="12524" spans="1:44">
      <c r="A12524" s="4" t="s">
        <v>10753</v>
      </c>
      <c r="B12524" s="4">
        <v>238071</v>
      </c>
      <c r="D12524" s="5">
        <v>238071</v>
      </c>
      <c r="E12524" s="6" t="str">
        <f>HYPERLINK("https://inpn.mnhn.fr/espece/cd_nom/238071","Scolopostethus affinis (Schilling, 1829)")</f>
        <v>Scolopostethus affinis (Schilling, 1829)</v>
      </c>
      <c r="AH12524" s="4" t="str">
        <f>HYPERLINK("#Statut_biogéographique!A"&amp;_xlfn.XMATCH("P",Statut_biogéographique!A:A,2,1),"P")</f>
        <v>P</v>
      </c>
      <c r="AP12524" s="4" t="s">
        <v>376</v>
      </c>
      <c r="AR12524" s="4" t="s">
        <v>377</v>
      </c>
    </row>
    <row r="12525" spans="1:44">
      <c r="A12525" s="4" t="s">
        <v>10753</v>
      </c>
      <c r="B12525" s="4">
        <v>238073</v>
      </c>
      <c r="D12525" s="5" t="s">
        <v>15261</v>
      </c>
      <c r="E12525" s="6" t="str">
        <f>HYPERLINK("https://inpn.mnhn.fr/espece/cd_nom/238073","Scolopostethus decoratus (Hahn, 1833)")</f>
        <v>Scolopostethus decoratus (Hahn, 1833)</v>
      </c>
      <c r="AH12525" s="4" t="str">
        <f>HYPERLINK("#Statut_biogéographique!A"&amp;_xlfn.XMATCH("P",Statut_biogéographique!A:A,2,1),"P")</f>
        <v>P</v>
      </c>
      <c r="AP12525" s="4" t="s">
        <v>376</v>
      </c>
      <c r="AR12525" s="4" t="s">
        <v>377</v>
      </c>
    </row>
    <row r="12526" spans="1:44">
      <c r="A12526" s="4" t="s">
        <v>10753</v>
      </c>
      <c r="B12526" s="4">
        <v>238074</v>
      </c>
      <c r="D12526" s="5">
        <v>238074</v>
      </c>
      <c r="E12526" s="6" t="str">
        <f>HYPERLINK("https://inpn.mnhn.fr/espece/cd_nom/238074","Scolopostethus grandis Horváth, 1880")</f>
        <v>Scolopostethus grandis Horváth, 1880</v>
      </c>
      <c r="AH12526" s="4" t="str">
        <f>HYPERLINK("#Statut_biogéographique!A"&amp;_xlfn.XMATCH("P",Statut_biogéographique!A:A,2,1),"P")</f>
        <v>P</v>
      </c>
      <c r="AP12526" s="4" t="s">
        <v>376</v>
      </c>
      <c r="AR12526" s="4" t="s">
        <v>377</v>
      </c>
    </row>
    <row r="12527" spans="1:44">
      <c r="A12527" s="4" t="s">
        <v>10753</v>
      </c>
      <c r="B12527" s="4">
        <v>238078</v>
      </c>
      <c r="D12527" s="5">
        <v>238078</v>
      </c>
      <c r="E12527" s="6" t="str">
        <f>HYPERLINK("https://inpn.mnhn.fr/espece/cd_nom/238078","Scolopostethus puberulus Horváth, 1887")</f>
        <v>Scolopostethus puberulus Horváth, 1887</v>
      </c>
      <c r="AH12527" s="4" t="str">
        <f>HYPERLINK("#Statut_biogéographique!A"&amp;_xlfn.XMATCH("P",Statut_biogéographique!A:A,2,1),"P")</f>
        <v>P</v>
      </c>
      <c r="AP12527" s="4" t="s">
        <v>376</v>
      </c>
      <c r="AR12527" s="4" t="s">
        <v>377</v>
      </c>
    </row>
    <row r="12528" spans="1:44">
      <c r="A12528" s="4" t="s">
        <v>10753</v>
      </c>
      <c r="B12528" s="4">
        <v>238079</v>
      </c>
      <c r="D12528" s="5">
        <v>238079</v>
      </c>
      <c r="E12528" s="6" t="str">
        <f>HYPERLINK("https://inpn.mnhn.fr/espece/cd_nom/238079","Scolopostethus thomsoni Reuter, 1875")</f>
        <v>Scolopostethus thomsoni Reuter, 1875</v>
      </c>
      <c r="AH12528" s="4" t="str">
        <f>HYPERLINK("#Statut_biogéographique!A"&amp;_xlfn.XMATCH("P",Statut_biogéographique!A:A,2,1),"P")</f>
        <v>P</v>
      </c>
      <c r="AP12528" s="4" t="s">
        <v>376</v>
      </c>
      <c r="AR12528" s="4" t="s">
        <v>377</v>
      </c>
    </row>
    <row r="12529" spans="1:44">
      <c r="A12529" s="4" t="s">
        <v>10753</v>
      </c>
      <c r="B12529" s="4">
        <v>238087</v>
      </c>
      <c r="D12529" s="5" t="s">
        <v>15262</v>
      </c>
      <c r="E12529" s="6" t="str">
        <f>HYPERLINK("https://inpn.mnhn.fr/espece/cd_nom/238087","Ischnocoris hemipterus (Schilling, 1829)")</f>
        <v>Ischnocoris hemipterus (Schilling, 1829)</v>
      </c>
      <c r="AH12529" s="4" t="str">
        <f>HYPERLINK("#Statut_biogéographique!A"&amp;_xlfn.XMATCH("P",Statut_biogéographique!A:A,2,1),"P")</f>
        <v>P</v>
      </c>
      <c r="AP12529" s="4" t="s">
        <v>376</v>
      </c>
      <c r="AR12529" s="4" t="s">
        <v>377</v>
      </c>
    </row>
    <row r="12530" spans="1:44">
      <c r="A12530" s="4" t="s">
        <v>10753</v>
      </c>
      <c r="B12530" s="4">
        <v>238089</v>
      </c>
      <c r="D12530" s="5" t="s">
        <v>15263</v>
      </c>
      <c r="E12530" s="6" t="str">
        <f>HYPERLINK("https://inpn.mnhn.fr/espece/cd_nom/238089","Gastrodes abietum Bergroth, 1914")</f>
        <v>Gastrodes abietum Bergroth, 1914</v>
      </c>
      <c r="AH12530" s="4" t="str">
        <f>HYPERLINK("#Statut_biogéographique!A"&amp;_xlfn.XMATCH("P",Statut_biogéographique!A:A,2,1),"P")</f>
        <v>P</v>
      </c>
      <c r="AP12530" s="4" t="s">
        <v>376</v>
      </c>
      <c r="AR12530" s="4" t="s">
        <v>377</v>
      </c>
    </row>
    <row r="12531" spans="1:44">
      <c r="A12531" s="4" t="s">
        <v>10753</v>
      </c>
      <c r="B12531" s="4">
        <v>238090</v>
      </c>
      <c r="D12531" s="5" t="s">
        <v>15264</v>
      </c>
      <c r="E12531" s="6" t="str">
        <f>HYPERLINK("https://inpn.mnhn.fr/espece/cd_nom/238090","Gastrodes grossipes (De Geer, 1773)")</f>
        <v>Gastrodes grossipes (De Geer, 1773)</v>
      </c>
      <c r="AH12531" s="4" t="str">
        <f>HYPERLINK("#Statut_biogéographique!A"&amp;_xlfn.XMATCH("P",Statut_biogéographique!A:A,2,1),"P")</f>
        <v>P</v>
      </c>
      <c r="AP12531" s="4" t="s">
        <v>376</v>
      </c>
      <c r="AR12531" s="4" t="s">
        <v>377</v>
      </c>
    </row>
    <row r="12532" spans="1:44">
      <c r="A12532" s="4" t="s">
        <v>10753</v>
      </c>
      <c r="B12532" s="4">
        <v>238091</v>
      </c>
      <c r="D12532" s="5" t="s">
        <v>15265</v>
      </c>
      <c r="E12532" s="6" t="str">
        <f>HYPERLINK("https://inpn.mnhn.fr/espece/cd_nom/238091","Eremocoris abietis (Linnaeus, 1758)")</f>
        <v>Eremocoris abietis (Linnaeus, 1758)</v>
      </c>
      <c r="AH12532" s="4" t="str">
        <f>HYPERLINK("#Statut_biogéographique!A"&amp;_xlfn.XMATCH("P",Statut_biogéographique!A:A,2,1),"P")</f>
        <v>P</v>
      </c>
      <c r="AP12532" s="4" t="s">
        <v>376</v>
      </c>
      <c r="AR12532" s="4" t="s">
        <v>377</v>
      </c>
    </row>
    <row r="12533" spans="1:44">
      <c r="A12533" s="4" t="s">
        <v>10753</v>
      </c>
      <c r="B12533" s="4">
        <v>238093</v>
      </c>
      <c r="D12533" s="5">
        <v>238093</v>
      </c>
      <c r="E12533" s="6" t="str">
        <f>HYPERLINK("https://inpn.mnhn.fr/espece/cd_nom/238093","Eremocoris plebejus (Fallén, 1807)")</f>
        <v>Eremocoris plebejus (Fallén, 1807)</v>
      </c>
      <c r="AH12533" s="4" t="str">
        <f>HYPERLINK("#Statut_biogéographique!A"&amp;_xlfn.XMATCH("P",Statut_biogéographique!A:A,2,1),"P")</f>
        <v>P</v>
      </c>
      <c r="AP12533" s="4" t="s">
        <v>376</v>
      </c>
      <c r="AR12533" s="4" t="s">
        <v>377</v>
      </c>
    </row>
    <row r="12534" spans="1:44">
      <c r="A12534" s="4" t="s">
        <v>10753</v>
      </c>
      <c r="B12534" s="4">
        <v>238094</v>
      </c>
      <c r="D12534" s="5" t="s">
        <v>15266</v>
      </c>
      <c r="E12534" s="6" t="str">
        <f>HYPERLINK("https://inpn.mnhn.fr/espece/cd_nom/238094","Eremocoris podagricus (Fabricius, 1775)")</f>
        <v>Eremocoris podagricus (Fabricius, 1775)</v>
      </c>
      <c r="AH12534" s="4" t="str">
        <f>HYPERLINK("#Statut_biogéographique!A"&amp;_xlfn.XMATCH("P",Statut_biogéographique!A:A,2,1),"P")</f>
        <v>P</v>
      </c>
      <c r="AP12534" s="4" t="s">
        <v>376</v>
      </c>
      <c r="AR12534" s="4" t="s">
        <v>377</v>
      </c>
    </row>
    <row r="12535" spans="1:44">
      <c r="A12535" s="4" t="s">
        <v>10753</v>
      </c>
      <c r="B12535" s="4">
        <v>238101</v>
      </c>
      <c r="D12535" s="5" t="s">
        <v>15267</v>
      </c>
      <c r="E12535" s="6" t="str">
        <f>HYPERLINK("https://inpn.mnhn.fr/espece/cd_nom/238101","Drymus ryeii Douglas &amp; Scott, 1865")</f>
        <v>Drymus ryeii Douglas &amp; Scott, 1865</v>
      </c>
      <c r="AH12535" s="4" t="str">
        <f>HYPERLINK("#Statut_biogéographique!A"&amp;_xlfn.XMATCH("P",Statut_biogéographique!A:A,2,1),"P")</f>
        <v>P</v>
      </c>
      <c r="AP12535" s="4" t="s">
        <v>376</v>
      </c>
      <c r="AR12535" s="4" t="s">
        <v>377</v>
      </c>
    </row>
    <row r="12536" spans="1:44">
      <c r="A12536" s="4" t="s">
        <v>10753</v>
      </c>
      <c r="B12536" s="4">
        <v>238102</v>
      </c>
      <c r="D12536" s="5" t="s">
        <v>15268</v>
      </c>
      <c r="E12536" s="6" t="str">
        <f>HYPERLINK("https://inpn.mnhn.fr/espece/cd_nom/238102","Drymus sylvaticus (Fabricius, 1775)")</f>
        <v>Drymus sylvaticus (Fabricius, 1775)</v>
      </c>
      <c r="AH12536" s="4" t="str">
        <f>HYPERLINK("#Statut_biogéographique!A"&amp;_xlfn.XMATCH("P",Statut_biogéographique!A:A,2,1),"P")</f>
        <v>P</v>
      </c>
      <c r="AP12536" s="4" t="s">
        <v>376</v>
      </c>
      <c r="AR12536" s="4" t="s">
        <v>377</v>
      </c>
    </row>
    <row r="12537" spans="1:44">
      <c r="A12537" s="4" t="s">
        <v>10753</v>
      </c>
      <c r="B12537" s="4">
        <v>238106</v>
      </c>
      <c r="D12537" s="5" t="s">
        <v>15269</v>
      </c>
      <c r="E12537" s="6" t="str">
        <f>HYPERLINK("https://inpn.mnhn.fr/espece/cd_nom/238106","Trapezonotus dispar Stål, 1872")</f>
        <v>Trapezonotus dispar Stål, 1872</v>
      </c>
      <c r="AH12537" s="4" t="str">
        <f>HYPERLINK("#Statut_biogéographique!A"&amp;_xlfn.XMATCH("P",Statut_biogéographique!A:A,2,1),"P")</f>
        <v>P</v>
      </c>
      <c r="AP12537" s="4" t="s">
        <v>376</v>
      </c>
      <c r="AR12537" s="4" t="s">
        <v>377</v>
      </c>
    </row>
    <row r="12538" spans="1:44">
      <c r="A12538" s="4" t="s">
        <v>10753</v>
      </c>
      <c r="B12538" s="4">
        <v>238108</v>
      </c>
      <c r="D12538" s="5" t="s">
        <v>15270</v>
      </c>
      <c r="E12538" s="6" t="str">
        <f>HYPERLINK("https://inpn.mnhn.fr/espece/cd_nom/238108","Trapezonotus ullrichi (Fieber, 1837)")</f>
        <v>Trapezonotus ullrichi (Fieber, 1837)</v>
      </c>
      <c r="AH12538" s="4" t="str">
        <f>HYPERLINK("#Statut_biogéographique!A"&amp;_xlfn.XMATCH("P",Statut_biogéographique!A:A,2,1),"P")</f>
        <v>P</v>
      </c>
      <c r="AP12538" s="4" t="s">
        <v>376</v>
      </c>
      <c r="AR12538" s="4" t="s">
        <v>377</v>
      </c>
    </row>
    <row r="12539" spans="1:44">
      <c r="A12539" s="4" t="s">
        <v>10753</v>
      </c>
      <c r="B12539" s="4">
        <v>238110</v>
      </c>
      <c r="D12539" s="5" t="s">
        <v>15271</v>
      </c>
      <c r="E12539" s="6" t="str">
        <f>HYPERLINK("https://inpn.mnhn.fr/espece/cd_nom/238110","Pterotmetus staphyliniformis (Schilling, 1829)")</f>
        <v>Pterotmetus staphyliniformis (Schilling, 1829)</v>
      </c>
      <c r="AH12539" s="4" t="str">
        <f>HYPERLINK("#Statut_biogéographique!A"&amp;_xlfn.XMATCH("P",Statut_biogéographique!A:A,2,1),"P")</f>
        <v>P</v>
      </c>
      <c r="AP12539" s="4" t="s">
        <v>376</v>
      </c>
      <c r="AR12539" s="4" t="s">
        <v>377</v>
      </c>
    </row>
    <row r="12540" spans="1:44">
      <c r="A12540" s="4" t="s">
        <v>10753</v>
      </c>
      <c r="B12540" s="4">
        <v>238118</v>
      </c>
      <c r="D12540" s="5">
        <v>238118</v>
      </c>
      <c r="E12540" s="6" t="str">
        <f>HYPERLINK("https://inpn.mnhn.fr/espece/cd_nom/238118","Emblethis denticollis Horváth, 1878")</f>
        <v>Emblethis denticollis Horváth, 1878</v>
      </c>
      <c r="AH12540" s="4" t="str">
        <f>HYPERLINK("#Statut_biogéographique!A"&amp;_xlfn.XMATCH("P",Statut_biogéographique!A:A,2,1),"P")</f>
        <v>P</v>
      </c>
      <c r="AP12540" s="4" t="s">
        <v>376</v>
      </c>
      <c r="AR12540" s="4" t="s">
        <v>377</v>
      </c>
    </row>
    <row r="12541" spans="1:44">
      <c r="A12541" s="4" t="s">
        <v>10753</v>
      </c>
      <c r="B12541" s="4">
        <v>238122</v>
      </c>
      <c r="D12541" s="5" t="s">
        <v>15272</v>
      </c>
      <c r="E12541" s="6" t="str">
        <f>HYPERLINK("https://inpn.mnhn.fr/espece/cd_nom/238122","Aphanus rolandri (Linnaeus, 1758)")</f>
        <v>Aphanus rolandri (Linnaeus, 1758)</v>
      </c>
      <c r="F12541" s="5" t="s">
        <v>15273</v>
      </c>
      <c r="AH12541" s="4" t="str">
        <f>HYPERLINK("#Statut_biogéographique!A"&amp;_xlfn.XMATCH("P",Statut_biogéographique!A:A,2,1),"P")</f>
        <v>P</v>
      </c>
      <c r="AP12541" s="4" t="s">
        <v>376</v>
      </c>
      <c r="AR12541" s="4" t="s">
        <v>377</v>
      </c>
    </row>
    <row r="12542" spans="1:44">
      <c r="A12542" s="4" t="s">
        <v>10753</v>
      </c>
      <c r="B12542" s="4">
        <v>238126</v>
      </c>
      <c r="D12542" s="5">
        <v>238126</v>
      </c>
      <c r="E12542" s="6" t="str">
        <f>HYPERLINK("https://inpn.mnhn.fr/espece/cd_nom/238126","Sphragisticus nebulosus (Fallén, 1807)")</f>
        <v>Sphragisticus nebulosus (Fallén, 1807)</v>
      </c>
      <c r="AH12542" s="4" t="str">
        <f>HYPERLINK("#Statut_biogéographique!A"&amp;_xlfn.XMATCH("P",Statut_biogéographique!A:A,2,1),"P")</f>
        <v>P</v>
      </c>
      <c r="AP12542" s="4" t="s">
        <v>376</v>
      </c>
      <c r="AR12542" s="4" t="s">
        <v>377</v>
      </c>
    </row>
    <row r="12543" spans="1:44">
      <c r="A12543" s="4" t="s">
        <v>10753</v>
      </c>
      <c r="B12543" s="4">
        <v>238129</v>
      </c>
      <c r="D12543" s="5" t="s">
        <v>15274</v>
      </c>
      <c r="E12543" s="6" t="str">
        <f>HYPERLINK("https://inpn.mnhn.fr/espece/cd_nom/238129","Megalonotus antennatus (Schilling, 1829)")</f>
        <v>Megalonotus antennatus (Schilling, 1829)</v>
      </c>
      <c r="AH12543" s="4" t="str">
        <f>HYPERLINK("#Statut_biogéographique!A"&amp;_xlfn.XMATCH("P",Statut_biogéographique!A:A,2,1),"P")</f>
        <v>P</v>
      </c>
      <c r="AP12543" s="4" t="s">
        <v>376</v>
      </c>
      <c r="AR12543" s="4" t="s">
        <v>377</v>
      </c>
    </row>
    <row r="12544" spans="1:44" ht="30">
      <c r="A12544" s="4" t="s">
        <v>10753</v>
      </c>
      <c r="B12544" s="4">
        <v>238130</v>
      </c>
      <c r="D12544" s="5" t="s">
        <v>15275</v>
      </c>
      <c r="E12544" s="6" t="str">
        <f>HYPERLINK("https://inpn.mnhn.fr/espece/cd_nom/238130","Megalonotus chiragra (Fabricius, 1794)")</f>
        <v>Megalonotus chiragra (Fabricius, 1794)</v>
      </c>
      <c r="AH12544" s="4" t="str">
        <f>HYPERLINK("#Statut_biogéographique!A"&amp;_xlfn.XMATCH("P",Statut_biogéographique!A:A,2,1),"P")</f>
        <v>P</v>
      </c>
      <c r="AP12544" s="4" t="s">
        <v>376</v>
      </c>
      <c r="AR12544" s="4" t="s">
        <v>377</v>
      </c>
    </row>
    <row r="12545" spans="1:44" ht="30">
      <c r="A12545" s="4" t="s">
        <v>10753</v>
      </c>
      <c r="B12545" s="4">
        <v>238131</v>
      </c>
      <c r="D12545" s="5" t="s">
        <v>15276</v>
      </c>
      <c r="E12545" s="6" t="str">
        <f>HYPERLINK("https://inpn.mnhn.fr/espece/cd_nom/238131","Megalonotus dilatatus (Herrich-Schäffer, 1840)")</f>
        <v>Megalonotus dilatatus (Herrich-Schäffer, 1840)</v>
      </c>
      <c r="AH12545" s="4" t="str">
        <f>HYPERLINK("#Statut_biogéographique!A"&amp;_xlfn.XMATCH("P",Statut_biogéographique!A:A,2,1),"P")</f>
        <v>P</v>
      </c>
      <c r="AP12545" s="4" t="s">
        <v>376</v>
      </c>
      <c r="AR12545" s="4" t="s">
        <v>377</v>
      </c>
    </row>
    <row r="12546" spans="1:44">
      <c r="A12546" s="4" t="s">
        <v>10753</v>
      </c>
      <c r="B12546" s="4">
        <v>238132</v>
      </c>
      <c r="D12546" s="5" t="s">
        <v>15277</v>
      </c>
      <c r="E12546" s="6" t="str">
        <f>HYPERLINK("https://inpn.mnhn.fr/espece/cd_nom/238132","Megalonotus emarginatus (Rey, 1888)")</f>
        <v>Megalonotus emarginatus (Rey, 1888)</v>
      </c>
      <c r="AH12546" s="4" t="str">
        <f>HYPERLINK("#Statut_biogéographique!A"&amp;_xlfn.XMATCH("P",Statut_biogéographique!A:A,2,1),"P")</f>
        <v>P</v>
      </c>
      <c r="AP12546" s="4" t="s">
        <v>376</v>
      </c>
      <c r="AR12546" s="4" t="s">
        <v>377</v>
      </c>
    </row>
    <row r="12547" spans="1:44">
      <c r="A12547" s="4" t="s">
        <v>10753</v>
      </c>
      <c r="B12547" s="4">
        <v>238133</v>
      </c>
      <c r="D12547" s="5" t="s">
        <v>15278</v>
      </c>
      <c r="E12547" s="6" t="str">
        <f>HYPERLINK("https://inpn.mnhn.fr/espece/cd_nom/238133","Megalonotus hirsutus Fieber, 1861")</f>
        <v>Megalonotus hirsutus Fieber, 1861</v>
      </c>
      <c r="AH12547" s="4" t="str">
        <f>HYPERLINK("#Statut_biogéographique!A"&amp;_xlfn.XMATCH("P",Statut_biogéographique!A:A,2,1),"P")</f>
        <v>P</v>
      </c>
      <c r="AP12547" s="4" t="s">
        <v>376</v>
      </c>
      <c r="AR12547" s="4" t="s">
        <v>377</v>
      </c>
    </row>
    <row r="12548" spans="1:44" ht="30">
      <c r="A12548" s="4" t="s">
        <v>10753</v>
      </c>
      <c r="B12548" s="4">
        <v>238136</v>
      </c>
      <c r="D12548" s="5" t="s">
        <v>15279</v>
      </c>
      <c r="E12548" s="6" t="str">
        <f>HYPERLINK("https://inpn.mnhn.fr/espece/cd_nom/238136","Megalonotus praetextatus (Herrich-Schäffer, 1835)")</f>
        <v>Megalonotus praetextatus (Herrich-Schäffer, 1835)</v>
      </c>
      <c r="AH12548" s="4" t="str">
        <f>HYPERLINK("#Statut_biogéographique!A"&amp;_xlfn.XMATCH("P",Statut_biogéographique!A:A,2,1),"P")</f>
        <v>P</v>
      </c>
      <c r="AP12548" s="4" t="s">
        <v>376</v>
      </c>
      <c r="AR12548" s="4" t="s">
        <v>377</v>
      </c>
    </row>
    <row r="12549" spans="1:44" ht="30">
      <c r="A12549" s="4" t="s">
        <v>10753</v>
      </c>
      <c r="B12549" s="4">
        <v>238138</v>
      </c>
      <c r="D12549" s="5" t="s">
        <v>15280</v>
      </c>
      <c r="E12549" s="6" t="str">
        <f>HYPERLINK("https://inpn.mnhn.fr/espece/cd_nom/238138","Megalonotus sabulicola (Thomson, 1870)")</f>
        <v>Megalonotus sabulicola (Thomson, 1870)</v>
      </c>
      <c r="AH12549" s="4" t="str">
        <f>HYPERLINK("#Statut_biogéographique!A"&amp;_xlfn.XMATCH("P",Statut_biogéographique!A:A,2,1),"P")</f>
        <v>P</v>
      </c>
      <c r="AP12549" s="4" t="s">
        <v>376</v>
      </c>
      <c r="AR12549" s="4" t="s">
        <v>377</v>
      </c>
    </row>
    <row r="12550" spans="1:44">
      <c r="A12550" s="4" t="s">
        <v>10753</v>
      </c>
      <c r="B12550" s="4">
        <v>238146</v>
      </c>
      <c r="D12550" s="5" t="s">
        <v>15281</v>
      </c>
      <c r="E12550" s="6" t="str">
        <f>HYPERLINK("https://inpn.mnhn.fr/espece/cd_nom/238146","Pachybrachius fracticollis (Schilling, 1829)")</f>
        <v>Pachybrachius fracticollis (Schilling, 1829)</v>
      </c>
      <c r="AH12550" s="4" t="str">
        <f>HYPERLINK("#Statut_biogéographique!A"&amp;_xlfn.XMATCH("P",Statut_biogéographique!A:A,2,1),"P")</f>
        <v>P</v>
      </c>
      <c r="AP12550" s="4" t="s">
        <v>376</v>
      </c>
      <c r="AR12550" s="4" t="s">
        <v>377</v>
      </c>
    </row>
    <row r="12551" spans="1:44">
      <c r="A12551" s="4" t="s">
        <v>10753</v>
      </c>
      <c r="B12551" s="4">
        <v>238147</v>
      </c>
      <c r="D12551" s="5" t="s">
        <v>15282</v>
      </c>
      <c r="E12551" s="6" t="str">
        <f>HYPERLINK("https://inpn.mnhn.fr/espece/cd_nom/238147","Pachybrachius luridus Hahn, 1826")</f>
        <v>Pachybrachius luridus Hahn, 1826</v>
      </c>
      <c r="AH12551" s="4" t="str">
        <f>HYPERLINK("#Statut_biogéographique!A"&amp;_xlfn.XMATCH("P",Statut_biogéographique!A:A,2,1),"P")</f>
        <v>P</v>
      </c>
      <c r="AP12551" s="4" t="s">
        <v>376</v>
      </c>
      <c r="AR12551" s="4" t="s">
        <v>377</v>
      </c>
    </row>
    <row r="12552" spans="1:44">
      <c r="A12552" s="4" t="s">
        <v>10753</v>
      </c>
      <c r="B12552" s="4">
        <v>238148</v>
      </c>
      <c r="D12552" s="5" t="s">
        <v>15283</v>
      </c>
      <c r="E12552" s="6" t="str">
        <f>HYPERLINK("https://inpn.mnhn.fr/espece/cd_nom/238148","Ligyrocoris sylvestris (Linnaeus, 1758)")</f>
        <v>Ligyrocoris sylvestris (Linnaeus, 1758)</v>
      </c>
      <c r="AH12552" s="4" t="str">
        <f>HYPERLINK("#Statut_biogéographique!A"&amp;_xlfn.XMATCH("P",Statut_biogéographique!A:A,2,1),"P")</f>
        <v>P</v>
      </c>
      <c r="AP12552" s="4" t="s">
        <v>376</v>
      </c>
      <c r="AR12552" s="4" t="s">
        <v>377</v>
      </c>
    </row>
    <row r="12553" spans="1:44">
      <c r="A12553" s="4" t="s">
        <v>10753</v>
      </c>
      <c r="B12553" s="4">
        <v>238152</v>
      </c>
      <c r="D12553" s="5" t="s">
        <v>15284</v>
      </c>
      <c r="E12553" s="6" t="str">
        <f>HYPERLINK("https://inpn.mnhn.fr/espece/cd_nom/238152","Plinthisus brevipennis (Latreille, 1807)")</f>
        <v>Plinthisus brevipennis (Latreille, 1807)</v>
      </c>
      <c r="AH12553" s="4" t="str">
        <f>HYPERLINK("#Statut_biogéographique!A"&amp;_xlfn.XMATCH("P",Statut_biogéographique!A:A,2,1),"P")</f>
        <v>P</v>
      </c>
      <c r="AP12553" s="4" t="s">
        <v>376</v>
      </c>
      <c r="AR12553" s="4" t="s">
        <v>377</v>
      </c>
    </row>
    <row r="12554" spans="1:44" ht="30">
      <c r="A12554" s="4" t="s">
        <v>10753</v>
      </c>
      <c r="B12554" s="4">
        <v>238158</v>
      </c>
      <c r="D12554" s="5" t="s">
        <v>15285</v>
      </c>
      <c r="E12554" s="6" t="str">
        <f>HYPERLINK("https://inpn.mnhn.fr/espece/cd_nom/238158","Xanthochilus quadratus (Fabricius, 1798)")</f>
        <v>Xanthochilus quadratus (Fabricius, 1798)</v>
      </c>
      <c r="AH12554" s="4" t="str">
        <f>HYPERLINK("#Statut_biogéographique!A"&amp;_xlfn.XMATCH("P",Statut_biogéographique!A:A,2,1),"P")</f>
        <v>P</v>
      </c>
      <c r="AP12554" s="4" t="s">
        <v>376</v>
      </c>
      <c r="AR12554" s="4" t="s">
        <v>377</v>
      </c>
    </row>
    <row r="12555" spans="1:44">
      <c r="A12555" s="4" t="s">
        <v>10753</v>
      </c>
      <c r="B12555" s="4">
        <v>238160</v>
      </c>
      <c r="D12555" s="5" t="s">
        <v>15286</v>
      </c>
      <c r="E12555" s="6" t="str">
        <f>HYPERLINK("https://inpn.mnhn.fr/espece/cd_nom/238160","Rhyparochromus phoeniceus (Rossi, 1794)")</f>
        <v>Rhyparochromus phoeniceus (Rossi, 1794)</v>
      </c>
      <c r="AH12555" s="4" t="str">
        <f>HYPERLINK("#Statut_biogéographique!A"&amp;_xlfn.XMATCH("P",Statut_biogéographique!A:A,2,1),"P")</f>
        <v>P</v>
      </c>
      <c r="AP12555" s="4" t="s">
        <v>376</v>
      </c>
      <c r="AR12555" s="4" t="s">
        <v>377</v>
      </c>
    </row>
    <row r="12556" spans="1:44">
      <c r="A12556" s="4" t="s">
        <v>10753</v>
      </c>
      <c r="B12556" s="4">
        <v>238162</v>
      </c>
      <c r="D12556" s="5" t="s">
        <v>15287</v>
      </c>
      <c r="E12556" s="6" t="str">
        <f>HYPERLINK("https://inpn.mnhn.fr/espece/cd_nom/238162","Rhyparochromus vulgaris (Schilling, 1829)")</f>
        <v>Rhyparochromus vulgaris (Schilling, 1829)</v>
      </c>
      <c r="AH12556" s="4" t="str">
        <f>HYPERLINK("#Statut_biogéographique!A"&amp;_xlfn.XMATCH("P",Statut_biogéographique!A:A,2,1),"P")</f>
        <v>P</v>
      </c>
      <c r="AP12556" s="4" t="s">
        <v>376</v>
      </c>
      <c r="AR12556" s="4" t="s">
        <v>377</v>
      </c>
    </row>
    <row r="12557" spans="1:44" ht="30">
      <c r="A12557" s="4" t="s">
        <v>10753</v>
      </c>
      <c r="B12557" s="4">
        <v>238163</v>
      </c>
      <c r="D12557" s="5" t="s">
        <v>15288</v>
      </c>
      <c r="E12557" s="6" t="str">
        <f>HYPERLINK("https://inpn.mnhn.fr/espece/cd_nom/238163","Raglius alboacuminatus (Goeze, 1778)")</f>
        <v>Raglius alboacuminatus (Goeze, 1778)</v>
      </c>
      <c r="AH12557" s="4" t="str">
        <f>HYPERLINK("#Statut_biogéographique!A"&amp;_xlfn.XMATCH("P",Statut_biogéographique!A:A,2,1),"P")</f>
        <v>P</v>
      </c>
      <c r="AP12557" s="4" t="s">
        <v>376</v>
      </c>
      <c r="AR12557" s="4" t="s">
        <v>377</v>
      </c>
    </row>
    <row r="12558" spans="1:44">
      <c r="A12558" s="4" t="s">
        <v>10753</v>
      </c>
      <c r="B12558" s="4">
        <v>238164</v>
      </c>
      <c r="D12558" s="5" t="s">
        <v>15289</v>
      </c>
      <c r="E12558" s="6" t="str">
        <f>HYPERLINK("https://inpn.mnhn.fr/espece/cd_nom/238164","Raglius confusus (Reuter, 1886)")</f>
        <v>Raglius confusus (Reuter, 1886)</v>
      </c>
      <c r="AH12558" s="4" t="str">
        <f>HYPERLINK("#Statut_biogéographique!A"&amp;_xlfn.XMATCH("P",Statut_biogéographique!A:A,2,1),"P")</f>
        <v>P</v>
      </c>
      <c r="AP12558" s="4" t="s">
        <v>376</v>
      </c>
      <c r="AR12558" s="4" t="s">
        <v>377</v>
      </c>
    </row>
    <row r="12559" spans="1:44">
      <c r="A12559" s="4" t="s">
        <v>10753</v>
      </c>
      <c r="B12559" s="4">
        <v>238173</v>
      </c>
      <c r="D12559" s="5" t="s">
        <v>15290</v>
      </c>
      <c r="E12559" s="6" t="str">
        <f>HYPERLINK("https://inpn.mnhn.fr/espece/cd_nom/238173","Graptopeltus lynceus (Fabricius, 1775)")</f>
        <v>Graptopeltus lynceus (Fabricius, 1775)</v>
      </c>
      <c r="AH12559" s="4" t="str">
        <f>HYPERLINK("#Statut_biogéographique!A"&amp;_xlfn.XMATCH("P",Statut_biogéographique!A:A,2,1),"P")</f>
        <v>P</v>
      </c>
      <c r="AP12559" s="4" t="s">
        <v>376</v>
      </c>
      <c r="AR12559" s="4" t="s">
        <v>377</v>
      </c>
    </row>
    <row r="12560" spans="1:44">
      <c r="A12560" s="4" t="s">
        <v>10753</v>
      </c>
      <c r="B12560" s="4">
        <v>238177</v>
      </c>
      <c r="D12560" s="5" t="s">
        <v>15291</v>
      </c>
      <c r="E12560" s="6" t="str">
        <f>HYPERLINK("https://inpn.mnhn.fr/espece/cd_nom/238177","Aellopus atratus (Goeze, 1778)")</f>
        <v>Aellopus atratus (Goeze, 1778)</v>
      </c>
      <c r="AH12560" s="4" t="str">
        <f>HYPERLINK("#Statut_biogéographique!A"&amp;_xlfn.XMATCH("P",Statut_biogéographique!A:A,2,1),"P")</f>
        <v>P</v>
      </c>
      <c r="AP12560" s="4" t="s">
        <v>376</v>
      </c>
      <c r="AR12560" s="4" t="s">
        <v>377</v>
      </c>
    </row>
    <row r="12561" spans="1:44">
      <c r="A12561" s="4" t="s">
        <v>10753</v>
      </c>
      <c r="B12561" s="4">
        <v>238179</v>
      </c>
      <c r="D12561" s="5" t="s">
        <v>15292</v>
      </c>
      <c r="E12561" s="6" t="str">
        <f>HYPERLINK("https://inpn.mnhn.fr/espece/cd_nom/238179","Stygnocoris fuligineus (Geoffroy, 1785)")</f>
        <v>Stygnocoris fuligineus (Geoffroy, 1785)</v>
      </c>
      <c r="F12561" s="5" t="s">
        <v>15293</v>
      </c>
      <c r="AH12561" s="4" t="str">
        <f>HYPERLINK("#Statut_biogéographique!A"&amp;_xlfn.XMATCH("P",Statut_biogéographique!A:A,2,1),"P")</f>
        <v>P</v>
      </c>
      <c r="AP12561" s="4" t="s">
        <v>376</v>
      </c>
      <c r="AR12561" s="4" t="s">
        <v>377</v>
      </c>
    </row>
    <row r="12562" spans="1:44">
      <c r="A12562" s="4" t="s">
        <v>10753</v>
      </c>
      <c r="B12562" s="4">
        <v>238182</v>
      </c>
      <c r="D12562" s="5" t="s">
        <v>15294</v>
      </c>
      <c r="E12562" s="6" t="str">
        <f>HYPERLINK("https://inpn.mnhn.fr/espece/cd_nom/238182","Stygnocoris sabulosus (Schilling, 1829)")</f>
        <v>Stygnocoris sabulosus (Schilling, 1829)</v>
      </c>
      <c r="AH12562" s="4" t="str">
        <f>HYPERLINK("#Statut_biogéographique!A"&amp;_xlfn.XMATCH("P",Statut_biogéographique!A:A,2,1),"P")</f>
        <v>P</v>
      </c>
      <c r="AP12562" s="4" t="s">
        <v>376</v>
      </c>
      <c r="AR12562" s="4" t="s">
        <v>377</v>
      </c>
    </row>
    <row r="12563" spans="1:44">
      <c r="A12563" s="4" t="s">
        <v>10753</v>
      </c>
      <c r="B12563" s="4">
        <v>238188</v>
      </c>
      <c r="D12563" s="5" t="s">
        <v>15295</v>
      </c>
      <c r="E12563" s="6" t="str">
        <f>HYPERLINK("https://inpn.mnhn.fr/espece/cd_nom/238188","Acompus rufipes (Wolff, 1804)")</f>
        <v>Acompus rufipes (Wolff, 1804)</v>
      </c>
      <c r="AH12563" s="4" t="str">
        <f>HYPERLINK("#Statut_biogéographique!A"&amp;_xlfn.XMATCH("P",Statut_biogéographique!A:A,2,1),"P")</f>
        <v>P</v>
      </c>
      <c r="AP12563" s="4" t="s">
        <v>376</v>
      </c>
      <c r="AR12563" s="4" t="s">
        <v>377</v>
      </c>
    </row>
    <row r="12564" spans="1:44">
      <c r="A12564" s="4" t="s">
        <v>10753</v>
      </c>
      <c r="B12564" s="4">
        <v>238192</v>
      </c>
      <c r="D12564" s="5" t="s">
        <v>15296</v>
      </c>
      <c r="E12564" s="6" t="str">
        <f>HYPERLINK("https://inpn.mnhn.fr/espece/cd_nom/238192","Oxycarenus lavaterae (Fabricius, 1787)")</f>
        <v>Oxycarenus lavaterae (Fabricius, 1787)</v>
      </c>
      <c r="AH12564" s="4" t="str">
        <f>HYPERLINK("#Statut_biogéographique!A"&amp;_xlfn.XMATCH("P",Statut_biogéographique!A:A,2,1),"P")</f>
        <v>P</v>
      </c>
      <c r="AP12564" s="4" t="s">
        <v>376</v>
      </c>
      <c r="AR12564" s="4" t="s">
        <v>377</v>
      </c>
    </row>
    <row r="12565" spans="1:44">
      <c r="A12565" s="4" t="s">
        <v>10753</v>
      </c>
      <c r="B12565" s="4">
        <v>238196</v>
      </c>
      <c r="D12565" s="5" t="s">
        <v>15297</v>
      </c>
      <c r="E12565" s="6" t="str">
        <f>HYPERLINK("https://inpn.mnhn.fr/espece/cd_nom/238196","Metopoplax ditomoides (A. Costa, 1847)")</f>
        <v>Metopoplax ditomoides (A. Costa, 1847)</v>
      </c>
      <c r="AH12565" s="4" t="str">
        <f>HYPERLINK("#Statut_biogéographique!A"&amp;_xlfn.XMATCH("P",Statut_biogéographique!A:A,2,1),"P")</f>
        <v>P</v>
      </c>
      <c r="AP12565" s="4" t="s">
        <v>376</v>
      </c>
      <c r="AR12565" s="4" t="s">
        <v>377</v>
      </c>
    </row>
    <row r="12566" spans="1:44">
      <c r="A12566" s="4" t="s">
        <v>10753</v>
      </c>
      <c r="B12566" s="4">
        <v>238197</v>
      </c>
      <c r="D12566" s="5">
        <v>238197</v>
      </c>
      <c r="E12566" s="6" t="str">
        <f>HYPERLINK("https://inpn.mnhn.fr/espece/cd_nom/238197","Metopoplax fuscinervis Stål, 1872")</f>
        <v>Metopoplax fuscinervis Stål, 1872</v>
      </c>
      <c r="AH12566" s="4" t="str">
        <f>HYPERLINK("#Statut_biogéographique!A"&amp;_xlfn.XMATCH("P",Statut_biogéographique!A:A,2,1),"P")</f>
        <v>P</v>
      </c>
      <c r="AP12566" s="4" t="s">
        <v>376</v>
      </c>
      <c r="AR12566" s="4" t="s">
        <v>377</v>
      </c>
    </row>
    <row r="12567" spans="1:44">
      <c r="A12567" s="4" t="s">
        <v>10753</v>
      </c>
      <c r="B12567" s="4">
        <v>238201</v>
      </c>
      <c r="D12567" s="5" t="s">
        <v>15298</v>
      </c>
      <c r="E12567" s="6" t="str">
        <f>HYPERLINK("https://inpn.mnhn.fr/espece/cd_nom/238201","Macroplax preyssleri (Fieber, 1837)")</f>
        <v>Macroplax preyssleri (Fieber, 1837)</v>
      </c>
      <c r="AH12567" s="4" t="str">
        <f>HYPERLINK("#Statut_biogéographique!A"&amp;_xlfn.XMATCH("P",Statut_biogéographique!A:A,2,1),"P")</f>
        <v>P</v>
      </c>
      <c r="AP12567" s="4" t="s">
        <v>376</v>
      </c>
      <c r="AR12567" s="4" t="s">
        <v>377</v>
      </c>
    </row>
    <row r="12568" spans="1:44">
      <c r="A12568" s="4" t="s">
        <v>10753</v>
      </c>
      <c r="B12568" s="4">
        <v>238207</v>
      </c>
      <c r="D12568" s="5">
        <v>238207</v>
      </c>
      <c r="E12568" s="6" t="str">
        <f>HYPERLINK("https://inpn.mnhn.fr/espece/cd_nom/238207","Platyplax salviae (Schilling, 1829)")</f>
        <v>Platyplax salviae (Schilling, 1829)</v>
      </c>
      <c r="AH12568" s="4" t="str">
        <f>HYPERLINK("#Statut_biogéographique!A"&amp;_xlfn.XMATCH("P",Statut_biogéographique!A:A,2,1),"P")</f>
        <v>P</v>
      </c>
      <c r="AP12568" s="4" t="s">
        <v>376</v>
      </c>
      <c r="AR12568" s="4" t="s">
        <v>377</v>
      </c>
    </row>
    <row r="12569" spans="1:44">
      <c r="A12569" s="4" t="s">
        <v>10753</v>
      </c>
      <c r="B12569" s="4">
        <v>238209</v>
      </c>
      <c r="D12569" s="5">
        <v>238209</v>
      </c>
      <c r="E12569" s="6" t="str">
        <f>HYPERLINK("https://inpn.mnhn.fr/espece/cd_nom/238209","Heterogaster artemisiae Schilling, 1829")</f>
        <v>Heterogaster artemisiae Schilling, 1829</v>
      </c>
      <c r="AH12569" s="4" t="str">
        <f>HYPERLINK("#Statut_biogéographique!A"&amp;_xlfn.XMATCH("P",Statut_biogéographique!A:A,2,1),"P")</f>
        <v>P</v>
      </c>
      <c r="AP12569" s="4" t="s">
        <v>376</v>
      </c>
      <c r="AR12569" s="4" t="s">
        <v>377</v>
      </c>
    </row>
    <row r="12570" spans="1:44" ht="30">
      <c r="A12570" s="4" t="s">
        <v>10753</v>
      </c>
      <c r="B12570" s="4">
        <v>238220</v>
      </c>
      <c r="D12570" s="5" t="s">
        <v>15299</v>
      </c>
      <c r="E12570" s="6" t="str">
        <f>HYPERLINK("https://inpn.mnhn.fr/espece/cd_nom/238220","Geocoris erythrocephalus (Lepeletier de Saint Fargeau &amp; Audinet-Serville, 1825)")</f>
        <v>Geocoris erythrocephalus (Lepeletier de Saint Fargeau &amp; Audinet-Serville, 1825)</v>
      </c>
      <c r="F12570" s="5" t="s">
        <v>15300</v>
      </c>
      <c r="AH12570" s="4" t="str">
        <f>HYPERLINK("#Statut_biogéographique!A"&amp;_xlfn.XMATCH("P",Statut_biogéographique!A:A,2,1),"P")</f>
        <v>P</v>
      </c>
      <c r="AP12570" s="4" t="s">
        <v>376</v>
      </c>
      <c r="AR12570" s="4" t="s">
        <v>377</v>
      </c>
    </row>
    <row r="12571" spans="1:44">
      <c r="A12571" s="4" t="s">
        <v>10753</v>
      </c>
      <c r="B12571" s="4">
        <v>238225</v>
      </c>
      <c r="D12571" s="5" t="s">
        <v>15301</v>
      </c>
      <c r="E12571" s="6" t="str">
        <f>HYPERLINK("https://inpn.mnhn.fr/espece/cd_nom/238225","Dimorphopterus spinolae (Signoret, 1857)")</f>
        <v>Dimorphopterus spinolae (Signoret, 1857)</v>
      </c>
      <c r="AH12571" s="4" t="str">
        <f>HYPERLINK("#Statut_biogéographique!A"&amp;_xlfn.XMATCH("P",Statut_biogéographique!A:A,2,1),"P")</f>
        <v>P</v>
      </c>
      <c r="AP12571" s="4" t="s">
        <v>376</v>
      </c>
      <c r="AR12571" s="4" t="s">
        <v>377</v>
      </c>
    </row>
    <row r="12572" spans="1:44">
      <c r="A12572" s="4" t="s">
        <v>10753</v>
      </c>
      <c r="B12572" s="4">
        <v>238226</v>
      </c>
      <c r="D12572" s="5">
        <v>238226</v>
      </c>
      <c r="E12572" s="6" t="str">
        <f>HYPERLINK("https://inpn.mnhn.fr/espece/cd_nom/238226","Cymus aurescens Distant, 1883")</f>
        <v>Cymus aurescens Distant, 1883</v>
      </c>
      <c r="AH12572" s="4" t="str">
        <f>HYPERLINK("#Statut_biogéographique!A"&amp;_xlfn.XMATCH("P",Statut_biogéographique!A:A,2,1),"P")</f>
        <v>P</v>
      </c>
      <c r="AP12572" s="4" t="s">
        <v>376</v>
      </c>
      <c r="AR12572" s="4" t="s">
        <v>377</v>
      </c>
    </row>
    <row r="12573" spans="1:44">
      <c r="A12573" s="4" t="s">
        <v>10753</v>
      </c>
      <c r="B12573" s="4">
        <v>238227</v>
      </c>
      <c r="D12573" s="5">
        <v>238227</v>
      </c>
      <c r="E12573" s="6" t="str">
        <f>HYPERLINK("https://inpn.mnhn.fr/espece/cd_nom/238227","Cymus claviculus (Fallén, 1807)")</f>
        <v>Cymus claviculus (Fallén, 1807)</v>
      </c>
      <c r="AH12573" s="4" t="str">
        <f>HYPERLINK("#Statut_biogéographique!A"&amp;_xlfn.XMATCH("P",Statut_biogéographique!A:A,2,1),"P")</f>
        <v>P</v>
      </c>
      <c r="AP12573" s="4" t="s">
        <v>376</v>
      </c>
      <c r="AR12573" s="4" t="s">
        <v>377</v>
      </c>
    </row>
    <row r="12574" spans="1:44">
      <c r="A12574" s="4" t="s">
        <v>10753</v>
      </c>
      <c r="B12574" s="4">
        <v>238228</v>
      </c>
      <c r="D12574" s="5" t="s">
        <v>15302</v>
      </c>
      <c r="E12574" s="6" t="str">
        <f>HYPERLINK("https://inpn.mnhn.fr/espece/cd_nom/238228","Cymus glandicolor Hahn, 1832")</f>
        <v>Cymus glandicolor Hahn, 1832</v>
      </c>
      <c r="AH12574" s="4" t="str">
        <f>HYPERLINK("#Statut_biogéographique!A"&amp;_xlfn.XMATCH("P",Statut_biogéographique!A:A,2,1),"P")</f>
        <v>P</v>
      </c>
      <c r="AP12574" s="4" t="s">
        <v>376</v>
      </c>
      <c r="AR12574" s="4" t="s">
        <v>377</v>
      </c>
    </row>
    <row r="12575" spans="1:44">
      <c r="A12575" s="4" t="s">
        <v>10753</v>
      </c>
      <c r="B12575" s="4">
        <v>238229</v>
      </c>
      <c r="D12575" s="5">
        <v>238229</v>
      </c>
      <c r="E12575" s="6" t="str">
        <f>HYPERLINK("https://inpn.mnhn.fr/espece/cd_nom/238229","Cymus melanocephalus Fieber, 1861")</f>
        <v>Cymus melanocephalus Fieber, 1861</v>
      </c>
      <c r="AH12575" s="4" t="str">
        <f>HYPERLINK("#Statut_biogéographique!A"&amp;_xlfn.XMATCH("P",Statut_biogéographique!A:A,2,1),"P")</f>
        <v>P</v>
      </c>
      <c r="AP12575" s="4" t="s">
        <v>376</v>
      </c>
      <c r="AR12575" s="4" t="s">
        <v>377</v>
      </c>
    </row>
    <row r="12576" spans="1:44">
      <c r="A12576" s="4" t="s">
        <v>10753</v>
      </c>
      <c r="B12576" s="4">
        <v>238233</v>
      </c>
      <c r="D12576" s="5" t="s">
        <v>15303</v>
      </c>
      <c r="E12576" s="6" t="str">
        <f>HYPERLINK("https://inpn.mnhn.fr/espece/cd_nom/238233","Kleidocerys resedae (Panzer, 1797)")</f>
        <v>Kleidocerys resedae (Panzer, 1797)</v>
      </c>
      <c r="AH12576" s="4" t="str">
        <f>HYPERLINK("#Statut_biogéographique!A"&amp;_xlfn.XMATCH("P",Statut_biogéographique!A:A,2,1),"P")</f>
        <v>P</v>
      </c>
      <c r="AP12576" s="4" t="s">
        <v>376</v>
      </c>
      <c r="AR12576" s="4" t="s">
        <v>377</v>
      </c>
    </row>
    <row r="12577" spans="1:44">
      <c r="A12577" s="4" t="s">
        <v>10753</v>
      </c>
      <c r="B12577" s="4">
        <v>238234</v>
      </c>
      <c r="D12577" s="5" t="s">
        <v>15304</v>
      </c>
      <c r="E12577" s="6" t="str">
        <f>HYPERLINK("https://inpn.mnhn.fr/espece/cd_nom/238234","Nysius cymoides (Spinola, 1837)")</f>
        <v>Nysius cymoides (Spinola, 1837)</v>
      </c>
      <c r="AH12577" s="4" t="str">
        <f>HYPERLINK("#Statut_biogéographique!A"&amp;_xlfn.XMATCH("P",Statut_biogéographique!A:A,2,1),"P")</f>
        <v>P</v>
      </c>
      <c r="AP12577" s="4" t="s">
        <v>376</v>
      </c>
      <c r="AR12577" s="4" t="s">
        <v>377</v>
      </c>
    </row>
    <row r="12578" spans="1:44">
      <c r="A12578" s="4" t="s">
        <v>10753</v>
      </c>
      <c r="B12578" s="4">
        <v>238236</v>
      </c>
      <c r="D12578" s="5">
        <v>238236</v>
      </c>
      <c r="E12578" s="6" t="str">
        <f>HYPERLINK("https://inpn.mnhn.fr/espece/cd_nom/238236","Nysius graminicola (Kolenati, 1845)")</f>
        <v>Nysius graminicola (Kolenati, 1845)</v>
      </c>
      <c r="AH12578" s="4" t="str">
        <f>HYPERLINK("#Statut_biogéographique!A"&amp;_xlfn.XMATCH("P",Statut_biogéographique!A:A,2,1),"P")</f>
        <v>P</v>
      </c>
      <c r="AP12578" s="4" t="s">
        <v>376</v>
      </c>
      <c r="AR12578" s="4" t="s">
        <v>377</v>
      </c>
    </row>
    <row r="12579" spans="1:44">
      <c r="A12579" s="4" t="s">
        <v>10753</v>
      </c>
      <c r="B12579" s="4">
        <v>238240</v>
      </c>
      <c r="D12579" s="5">
        <v>238240</v>
      </c>
      <c r="E12579" s="6" t="str">
        <f>HYPERLINK("https://inpn.mnhn.fr/espece/cd_nom/238240","Nysius thymi (Wolff, 1804)")</f>
        <v>Nysius thymi (Wolff, 1804)</v>
      </c>
      <c r="AH12579" s="4" t="str">
        <f>HYPERLINK("#Statut_biogéographique!A"&amp;_xlfn.XMATCH("P",Statut_biogéographique!A:A,2,1),"P")</f>
        <v>P</v>
      </c>
      <c r="AP12579" s="4" t="s">
        <v>376</v>
      </c>
      <c r="AR12579" s="4" t="s">
        <v>377</v>
      </c>
    </row>
    <row r="12580" spans="1:44">
      <c r="A12580" s="4" t="s">
        <v>10753</v>
      </c>
      <c r="B12580" s="4">
        <v>238241</v>
      </c>
      <c r="D12580" s="5" t="s">
        <v>15305</v>
      </c>
      <c r="E12580" s="6" t="str">
        <f>HYPERLINK("https://inpn.mnhn.fr/espece/cd_nom/238241","Nithecus jacobaeae (Schilling, 1829)")</f>
        <v>Nithecus jacobaeae (Schilling, 1829)</v>
      </c>
      <c r="AH12580" s="4" t="str">
        <f>HYPERLINK("#Statut_biogéographique!A"&amp;_xlfn.XMATCH("P",Statut_biogéographique!A:A,2,1),"P")</f>
        <v>P</v>
      </c>
      <c r="AP12580" s="4" t="s">
        <v>376</v>
      </c>
      <c r="AR12580" s="4" t="s">
        <v>377</v>
      </c>
    </row>
    <row r="12581" spans="1:44" ht="30">
      <c r="A12581" s="4" t="s">
        <v>10753</v>
      </c>
      <c r="B12581" s="4">
        <v>238243</v>
      </c>
      <c r="D12581" s="5" t="s">
        <v>15306</v>
      </c>
      <c r="E12581" s="6" t="str">
        <f>HYPERLINK("https://inpn.mnhn.fr/espece/cd_nom/238243","Ortholomus punctipennis (Herrich-Schäffer, 1838)")</f>
        <v>Ortholomus punctipennis (Herrich-Schäffer, 1838)</v>
      </c>
      <c r="AH12581" s="4" t="str">
        <f>HYPERLINK("#Statut_biogéographique!A"&amp;_xlfn.XMATCH("P",Statut_biogéographique!A:A,2,1),"P")</f>
        <v>P</v>
      </c>
      <c r="AP12581" s="4" t="s">
        <v>376</v>
      </c>
      <c r="AR12581" s="4" t="s">
        <v>377</v>
      </c>
    </row>
    <row r="12582" spans="1:44">
      <c r="A12582" s="4" t="s">
        <v>10753</v>
      </c>
      <c r="B12582" s="4">
        <v>238244</v>
      </c>
      <c r="D12582" s="5">
        <v>238244</v>
      </c>
      <c r="E12582" s="6" t="str">
        <f>HYPERLINK("https://inpn.mnhn.fr/espece/cd_nom/238244","Orsillus depressus (Mulsant &amp; Rey, 1852)")</f>
        <v>Orsillus depressus (Mulsant &amp; Rey, 1852)</v>
      </c>
      <c r="AH12582" s="4" t="str">
        <f>HYPERLINK("#Statut_biogéographique!A"&amp;_xlfn.XMATCH("P",Statut_biogéographique!A:A,2,1),"P")</f>
        <v>P</v>
      </c>
      <c r="AP12582" s="4" t="s">
        <v>376</v>
      </c>
      <c r="AR12582" s="4" t="s">
        <v>377</v>
      </c>
    </row>
    <row r="12583" spans="1:44">
      <c r="A12583" s="4" t="s">
        <v>10753</v>
      </c>
      <c r="B12583" s="4">
        <v>238247</v>
      </c>
      <c r="D12583" s="5" t="s">
        <v>15307</v>
      </c>
      <c r="E12583" s="6" t="str">
        <f>HYPERLINK("https://inpn.mnhn.fr/espece/cd_nom/238247","Tropidothorax leucopterus (Goeze, 1778)")</f>
        <v>Tropidothorax leucopterus (Goeze, 1778)</v>
      </c>
      <c r="F12583" s="5" t="s">
        <v>15308</v>
      </c>
      <c r="AH12583" s="4" t="str">
        <f>HYPERLINK("#Statut_biogéographique!A"&amp;_xlfn.XMATCH("P",Statut_biogéographique!A:A,2,1),"P")</f>
        <v>P</v>
      </c>
      <c r="AP12583" s="4" t="s">
        <v>376</v>
      </c>
      <c r="AR12583" s="4" t="s">
        <v>377</v>
      </c>
    </row>
    <row r="12584" spans="1:44">
      <c r="A12584" s="4" t="s">
        <v>10753</v>
      </c>
      <c r="B12584" s="4">
        <v>238248</v>
      </c>
      <c r="D12584" s="5" t="s">
        <v>15309</v>
      </c>
      <c r="E12584" s="6" t="str">
        <f>HYPERLINK("https://inpn.mnhn.fr/espece/cd_nom/238248","Spilostethus pandurus (Scopoli, 1763)")</f>
        <v>Spilostethus pandurus (Scopoli, 1763)</v>
      </c>
      <c r="AH12584" s="4" t="str">
        <f>HYPERLINK("#Statut_biogéographique!A"&amp;_xlfn.XMATCH("P",Statut_biogéographique!A:A,2,1),"P")</f>
        <v>P</v>
      </c>
      <c r="AP12584" s="4" t="s">
        <v>376</v>
      </c>
      <c r="AR12584" s="4" t="s">
        <v>377</v>
      </c>
    </row>
    <row r="12585" spans="1:44">
      <c r="A12585" s="4" t="s">
        <v>10753</v>
      </c>
      <c r="B12585" s="4">
        <v>238249</v>
      </c>
      <c r="D12585" s="5" t="s">
        <v>15310</v>
      </c>
      <c r="E12585" s="6" t="str">
        <f>HYPERLINK("https://inpn.mnhn.fr/espece/cd_nom/238249","Spilostethus saxatilis (Scopoli, 1763)")</f>
        <v>Spilostethus saxatilis (Scopoli, 1763)</v>
      </c>
      <c r="F12585" s="5" t="s">
        <v>15311</v>
      </c>
      <c r="AH12585" s="4" t="str">
        <f>HYPERLINK("#Statut_biogéographique!A"&amp;_xlfn.XMATCH("P",Statut_biogéographique!A:A,2,1),"P")</f>
        <v>P</v>
      </c>
      <c r="AP12585" s="4" t="s">
        <v>376</v>
      </c>
      <c r="AR12585" s="4" t="s">
        <v>377</v>
      </c>
    </row>
    <row r="12586" spans="1:44" ht="30">
      <c r="A12586" s="4" t="s">
        <v>10753</v>
      </c>
      <c r="B12586" s="4">
        <v>238250</v>
      </c>
      <c r="D12586" s="5" t="s">
        <v>15312</v>
      </c>
      <c r="E12586" s="6" t="str">
        <f>HYPERLINK("https://inpn.mnhn.fr/espece/cd_nom/238250","Melanocoryphus albomaculatus (Goeze, 1778)")</f>
        <v>Melanocoryphus albomaculatus (Goeze, 1778)</v>
      </c>
      <c r="AH12586" s="4" t="str">
        <f>HYPERLINK("#Statut_biogéographique!A"&amp;_xlfn.XMATCH("P",Statut_biogéographique!A:A,2,1),"P")</f>
        <v>P</v>
      </c>
      <c r="AP12586" s="4" t="s">
        <v>376</v>
      </c>
      <c r="AR12586" s="4" t="s">
        <v>377</v>
      </c>
    </row>
    <row r="12587" spans="1:44">
      <c r="A12587" s="4" t="s">
        <v>10753</v>
      </c>
      <c r="B12587" s="4">
        <v>238256</v>
      </c>
      <c r="D12587" s="5" t="s">
        <v>15313</v>
      </c>
      <c r="E12587" s="6" t="str">
        <f>HYPERLINK("https://inpn.mnhn.fr/espece/cd_nom/238256","Horvathiolus superbus (Pollich, 1781)")</f>
        <v>Horvathiolus superbus (Pollich, 1781)</v>
      </c>
      <c r="AH12587" s="4" t="str">
        <f>HYPERLINK("#Statut_biogéographique!A"&amp;_xlfn.XMATCH("P",Statut_biogéographique!A:A,2,1),"P")</f>
        <v>P</v>
      </c>
      <c r="AP12587" s="4" t="s">
        <v>376</v>
      </c>
      <c r="AR12587" s="4" t="s">
        <v>377</v>
      </c>
    </row>
    <row r="12588" spans="1:44">
      <c r="A12588" s="4" t="s">
        <v>10753</v>
      </c>
      <c r="B12588" s="4">
        <v>238258</v>
      </c>
      <c r="D12588" s="5" t="s">
        <v>15314</v>
      </c>
      <c r="E12588" s="6" t="str">
        <f>HYPERLINK("https://inpn.mnhn.fr/espece/cd_nom/238258","Arocatus melanocephalus (Fabricius, 1798)")</f>
        <v>Arocatus melanocephalus (Fabricius, 1798)</v>
      </c>
      <c r="AH12588" s="4" t="str">
        <f>HYPERLINK("#Statut_biogéographique!A"&amp;_xlfn.XMATCH("P",Statut_biogéographique!A:A,2,1),"P")</f>
        <v>P</v>
      </c>
      <c r="AP12588" s="4" t="s">
        <v>376</v>
      </c>
      <c r="AR12588" s="4" t="s">
        <v>377</v>
      </c>
    </row>
    <row r="12589" spans="1:44">
      <c r="A12589" s="4" t="s">
        <v>10753</v>
      </c>
      <c r="B12589" s="4">
        <v>238259</v>
      </c>
      <c r="D12589" s="5" t="s">
        <v>15315</v>
      </c>
      <c r="E12589" s="6" t="str">
        <f>HYPERLINK("https://inpn.mnhn.fr/espece/cd_nom/238259","Arocatus roeselii (Schilling, 1829)")</f>
        <v>Arocatus roeselii (Schilling, 1829)</v>
      </c>
      <c r="AH12589" s="4" t="str">
        <f>HYPERLINK("#Statut_biogéographique!A"&amp;_xlfn.XMATCH("P",Statut_biogéographique!A:A,2,1),"P")</f>
        <v>P</v>
      </c>
      <c r="AP12589" s="4" t="s">
        <v>376</v>
      </c>
      <c r="AR12589" s="4" t="s">
        <v>377</v>
      </c>
    </row>
    <row r="12590" spans="1:44">
      <c r="A12590" s="4" t="s">
        <v>10753</v>
      </c>
      <c r="B12590" s="4">
        <v>238266</v>
      </c>
      <c r="D12590" s="5" t="s">
        <v>15316</v>
      </c>
      <c r="E12590" s="6" t="str">
        <f>HYPERLINK("https://inpn.mnhn.fr/espece/cd_nom/238266","Piesma capitatum (Wolff, 1804)")</f>
        <v>Piesma capitatum (Wolff, 1804)</v>
      </c>
      <c r="AH12590" s="4" t="str">
        <f>HYPERLINK("#Statut_biogéographique!A"&amp;_xlfn.XMATCH("P",Statut_biogéographique!A:A,2,1),"P")</f>
        <v>P</v>
      </c>
      <c r="AP12590" s="4" t="s">
        <v>376</v>
      </c>
      <c r="AR12590" s="4" t="s">
        <v>377</v>
      </c>
    </row>
    <row r="12591" spans="1:44" ht="30">
      <c r="A12591" s="4" t="s">
        <v>10753</v>
      </c>
      <c r="B12591" s="4">
        <v>238267</v>
      </c>
      <c r="D12591" s="5" t="s">
        <v>15317</v>
      </c>
      <c r="E12591" s="6" t="str">
        <f>HYPERLINK("https://inpn.mnhn.fr/espece/cd_nom/238267","Piesma maculatum (Laporte de Castelnau, 1833)")</f>
        <v>Piesma maculatum (Laporte de Castelnau, 1833)</v>
      </c>
      <c r="AH12591" s="4" t="str">
        <f>HYPERLINK("#Statut_biogéographique!A"&amp;_xlfn.XMATCH("P",Statut_biogéographique!A:A,2,1),"P")</f>
        <v>P</v>
      </c>
      <c r="AP12591" s="4" t="s">
        <v>376</v>
      </c>
      <c r="AR12591" s="4" t="s">
        <v>377</v>
      </c>
    </row>
    <row r="12592" spans="1:44" ht="30">
      <c r="A12592" s="4" t="s">
        <v>10753</v>
      </c>
      <c r="B12592" s="4">
        <v>238271</v>
      </c>
      <c r="D12592" s="5">
        <v>238271</v>
      </c>
      <c r="E12592" s="6" t="str">
        <f>HYPERLINK("https://inpn.mnhn.fr/espece/cd_nom/238271","Metatropis rufescens (Herrich-Schäffer, 1835)")</f>
        <v>Metatropis rufescens (Herrich-Schäffer, 1835)</v>
      </c>
      <c r="AH12592" s="4" t="str">
        <f>HYPERLINK("#Statut_biogéographique!A"&amp;_xlfn.XMATCH("P",Statut_biogéographique!A:A,2,1),"P")</f>
        <v>P</v>
      </c>
      <c r="AP12592" s="4" t="s">
        <v>376</v>
      </c>
      <c r="AR12592" s="4" t="s">
        <v>377</v>
      </c>
    </row>
    <row r="12593" spans="1:44">
      <c r="A12593" s="4" t="s">
        <v>10753</v>
      </c>
      <c r="B12593" s="4">
        <v>238274</v>
      </c>
      <c r="D12593" s="5" t="s">
        <v>15318</v>
      </c>
      <c r="E12593" s="6" t="str">
        <f>HYPERLINK("https://inpn.mnhn.fr/espece/cd_nom/238274","Neides tipularius (Linnaeus, 1758)")</f>
        <v>Neides tipularius (Linnaeus, 1758)</v>
      </c>
      <c r="AH12593" s="4" t="str">
        <f>HYPERLINK("#Statut_biogéographique!A"&amp;_xlfn.XMATCH("P",Statut_biogéographique!A:A,2,1),"P")</f>
        <v>P</v>
      </c>
      <c r="AP12593" s="4" t="s">
        <v>376</v>
      </c>
      <c r="AR12593" s="4" t="s">
        <v>377</v>
      </c>
    </row>
    <row r="12594" spans="1:44">
      <c r="A12594" s="4" t="s">
        <v>10753</v>
      </c>
      <c r="B12594" s="4">
        <v>238276</v>
      </c>
      <c r="D12594" s="5" t="s">
        <v>15319</v>
      </c>
      <c r="E12594" s="6" t="str">
        <f>HYPERLINK("https://inpn.mnhn.fr/espece/cd_nom/238276","Berytinus clavipes (Fabricius, 1775)")</f>
        <v>Berytinus clavipes (Fabricius, 1775)</v>
      </c>
      <c r="AH12594" s="4" t="str">
        <f>HYPERLINK("#Statut_biogéographique!A"&amp;_xlfn.XMATCH("P",Statut_biogéographique!A:A,2,1),"P")</f>
        <v>P</v>
      </c>
      <c r="AP12594" s="4" t="s">
        <v>376</v>
      </c>
      <c r="AR12594" s="4" t="s">
        <v>377</v>
      </c>
    </row>
    <row r="12595" spans="1:44">
      <c r="A12595" s="4" t="s">
        <v>10753</v>
      </c>
      <c r="B12595" s="4">
        <v>238284</v>
      </c>
      <c r="D12595" s="5">
        <v>238284</v>
      </c>
      <c r="E12595" s="6" t="str">
        <f>HYPERLINK("https://inpn.mnhn.fr/espece/cd_nom/238284","Berytinus montivagus (Meyer-Dür, 1841)")</f>
        <v>Berytinus montivagus (Meyer-Dür, 1841)</v>
      </c>
      <c r="AH12595" s="4" t="str">
        <f>HYPERLINK("#Statut_biogéographique!A"&amp;_xlfn.XMATCH("P",Statut_biogéographique!A:A,2,1),"P")</f>
        <v>P</v>
      </c>
      <c r="AP12595" s="4" t="s">
        <v>376</v>
      </c>
      <c r="AR12595" s="4" t="s">
        <v>377</v>
      </c>
    </row>
    <row r="12596" spans="1:44">
      <c r="A12596" s="4" t="s">
        <v>10753</v>
      </c>
      <c r="B12596" s="4">
        <v>238286</v>
      </c>
      <c r="D12596" s="5" t="s">
        <v>15320</v>
      </c>
      <c r="E12596" s="6" t="str">
        <f>HYPERLINK("https://inpn.mnhn.fr/espece/cd_nom/238286","Berytinus signoreti (Fieber, 1859)")</f>
        <v>Berytinus signoreti (Fieber, 1859)</v>
      </c>
      <c r="AH12596" s="4" t="str">
        <f>HYPERLINK("#Statut_biogéographique!A"&amp;_xlfn.XMATCH("P",Statut_biogéographique!A:A,2,1),"P")</f>
        <v>P</v>
      </c>
      <c r="AP12596" s="4" t="s">
        <v>376</v>
      </c>
      <c r="AR12596" s="4" t="s">
        <v>377</v>
      </c>
    </row>
    <row r="12597" spans="1:44">
      <c r="A12597" s="4" t="s">
        <v>10753</v>
      </c>
      <c r="B12597" s="4">
        <v>238290</v>
      </c>
      <c r="D12597" s="5" t="s">
        <v>15321</v>
      </c>
      <c r="E12597" s="6" t="str">
        <f>HYPERLINK("https://inpn.mnhn.fr/espece/cd_nom/238290","Dicranocephalus agilis (Scopoli, 1763)")</f>
        <v>Dicranocephalus agilis (Scopoli, 1763)</v>
      </c>
      <c r="AH12597" s="4" t="str">
        <f>HYPERLINK("#Statut_biogéographique!A"&amp;_xlfn.XMATCH("P",Statut_biogéographique!A:A,2,1),"P")</f>
        <v>P</v>
      </c>
      <c r="AP12597" s="4" t="s">
        <v>376</v>
      </c>
      <c r="AR12597" s="4" t="s">
        <v>377</v>
      </c>
    </row>
    <row r="12598" spans="1:44" ht="30">
      <c r="A12598" s="4" t="s">
        <v>10753</v>
      </c>
      <c r="B12598" s="4">
        <v>238291</v>
      </c>
      <c r="D12598" s="5" t="s">
        <v>15322</v>
      </c>
      <c r="E12598" s="6" t="str">
        <f>HYPERLINK("https://inpn.mnhn.fr/espece/cd_nom/238291","Dicranocephalus albipes (Fabricius, 1781)")</f>
        <v>Dicranocephalus albipes (Fabricius, 1781)</v>
      </c>
      <c r="AH12598" s="4" t="str">
        <f>HYPERLINK("#Statut_biogéographique!A"&amp;_xlfn.XMATCH("P",Statut_biogéographique!A:A,2,1),"P")</f>
        <v>P</v>
      </c>
      <c r="AP12598" s="4" t="s">
        <v>376</v>
      </c>
      <c r="AR12598" s="4" t="s">
        <v>377</v>
      </c>
    </row>
    <row r="12599" spans="1:44" ht="30">
      <c r="A12599" s="4" t="s">
        <v>10753</v>
      </c>
      <c r="B12599" s="4">
        <v>238293</v>
      </c>
      <c r="D12599" s="5">
        <v>238293</v>
      </c>
      <c r="E12599" s="6" t="str">
        <f>HYPERLINK("https://inpn.mnhn.fr/espece/cd_nom/238293","Dicranocephalus medius (Mulsant &amp; Rey, 1870)")</f>
        <v>Dicranocephalus medius (Mulsant &amp; Rey, 1870)</v>
      </c>
      <c r="AH12599" s="4" t="str">
        <f>HYPERLINK("#Statut_biogéographique!A"&amp;_xlfn.XMATCH("P",Statut_biogéographique!A:A,2,1),"P")</f>
        <v>P</v>
      </c>
      <c r="AP12599" s="4" t="s">
        <v>376</v>
      </c>
      <c r="AR12599" s="4" t="s">
        <v>377</v>
      </c>
    </row>
    <row r="12600" spans="1:44">
      <c r="A12600" s="4" t="s">
        <v>10753</v>
      </c>
      <c r="B12600" s="4">
        <v>238295</v>
      </c>
      <c r="D12600" s="5" t="s">
        <v>15323</v>
      </c>
      <c r="E12600" s="6" t="str">
        <f>HYPERLINK("https://inpn.mnhn.fr/espece/cd_nom/238295","Stictopleurus abutilon (Rossi, 1790)")</f>
        <v>Stictopleurus abutilon (Rossi, 1790)</v>
      </c>
      <c r="AH12600" s="4" t="str">
        <f>HYPERLINK("#Statut_biogéographique!A"&amp;_xlfn.XMATCH("P",Statut_biogéographique!A:A,2,1),"P")</f>
        <v>P</v>
      </c>
      <c r="AP12600" s="4" t="s">
        <v>376</v>
      </c>
      <c r="AR12600" s="4" t="s">
        <v>377</v>
      </c>
    </row>
    <row r="12601" spans="1:44">
      <c r="A12601" s="4" t="s">
        <v>10753</v>
      </c>
      <c r="B12601" s="4">
        <v>238296</v>
      </c>
      <c r="D12601" s="5" t="s">
        <v>15324</v>
      </c>
      <c r="E12601" s="6" t="str">
        <f>HYPERLINK("https://inpn.mnhn.fr/espece/cd_nom/238296","Stictopleurus crassicornis (Linnaeus, 1758)")</f>
        <v>Stictopleurus crassicornis (Linnaeus, 1758)</v>
      </c>
      <c r="AH12601" s="4" t="str">
        <f>HYPERLINK("#Statut_biogéographique!A"&amp;_xlfn.XMATCH("P",Statut_biogéographique!A:A,2,1),"P")</f>
        <v>P</v>
      </c>
      <c r="AP12601" s="4" t="s">
        <v>376</v>
      </c>
      <c r="AR12601" s="4" t="s">
        <v>377</v>
      </c>
    </row>
    <row r="12602" spans="1:44" ht="30">
      <c r="A12602" s="4" t="s">
        <v>10753</v>
      </c>
      <c r="B12602" s="4">
        <v>238298</v>
      </c>
      <c r="D12602" s="5" t="s">
        <v>15325</v>
      </c>
      <c r="E12602" s="6" t="str">
        <f>HYPERLINK("https://inpn.mnhn.fr/espece/cd_nom/238298","Stictopleurus punctatonervosus (Goeze, 1778)")</f>
        <v>Stictopleurus punctatonervosus (Goeze, 1778)</v>
      </c>
      <c r="AH12602" s="4" t="str">
        <f>HYPERLINK("#Statut_biogéographique!A"&amp;_xlfn.XMATCH("P",Statut_biogéographique!A:A,2,1),"P")</f>
        <v>P</v>
      </c>
      <c r="AP12602" s="4" t="s">
        <v>376</v>
      </c>
      <c r="AR12602" s="4" t="s">
        <v>377</v>
      </c>
    </row>
    <row r="12603" spans="1:44">
      <c r="A12603" s="4" t="s">
        <v>10753</v>
      </c>
      <c r="B12603" s="4">
        <v>238300</v>
      </c>
      <c r="D12603" s="5" t="s">
        <v>15326</v>
      </c>
      <c r="E12603" s="6" t="str">
        <f>HYPERLINK("https://inpn.mnhn.fr/espece/cd_nom/238300","Rhopalus maculatus (Fieber, 1837)")</f>
        <v>Rhopalus maculatus (Fieber, 1837)</v>
      </c>
      <c r="AH12603" s="4" t="str">
        <f>HYPERLINK("#Statut_biogéographique!A"&amp;_xlfn.XMATCH("P",Statut_biogéographique!A:A,2,1),"P")</f>
        <v>P</v>
      </c>
      <c r="AP12603" s="4" t="s">
        <v>376</v>
      </c>
      <c r="AR12603" s="4" t="s">
        <v>377</v>
      </c>
    </row>
    <row r="12604" spans="1:44">
      <c r="A12604" s="4" t="s">
        <v>10753</v>
      </c>
      <c r="B12604" s="4">
        <v>238301</v>
      </c>
      <c r="D12604" s="5" t="s">
        <v>15327</v>
      </c>
      <c r="E12604" s="6" t="str">
        <f>HYPERLINK("https://inpn.mnhn.fr/espece/cd_nom/238301","Rhopalus conspersus (Fieber, 1837)")</f>
        <v>Rhopalus conspersus (Fieber, 1837)</v>
      </c>
      <c r="AH12604" s="4" t="str">
        <f>HYPERLINK("#Statut_biogéographique!A"&amp;_xlfn.XMATCH("P",Statut_biogéographique!A:A,2,1),"P")</f>
        <v>P</v>
      </c>
      <c r="AP12604" s="4" t="s">
        <v>376</v>
      </c>
      <c r="AR12604" s="4" t="s">
        <v>377</v>
      </c>
    </row>
    <row r="12605" spans="1:44">
      <c r="A12605" s="4" t="s">
        <v>10753</v>
      </c>
      <c r="B12605" s="4">
        <v>238304</v>
      </c>
      <c r="D12605" s="5" t="s">
        <v>15328</v>
      </c>
      <c r="E12605" s="6" t="str">
        <f>HYPERLINK("https://inpn.mnhn.fr/espece/cd_nom/238304","Rhopalus parumpunctatus Schilling, 1829")</f>
        <v>Rhopalus parumpunctatus Schilling, 1829</v>
      </c>
      <c r="AH12605" s="4" t="str">
        <f>HYPERLINK("#Statut_biogéographique!A"&amp;_xlfn.XMATCH("P",Statut_biogéographique!A:A,2,1),"P")</f>
        <v>P</v>
      </c>
      <c r="AP12605" s="4" t="s">
        <v>376</v>
      </c>
      <c r="AR12605" s="4" t="s">
        <v>377</v>
      </c>
    </row>
    <row r="12606" spans="1:44">
      <c r="A12606" s="4" t="s">
        <v>10753</v>
      </c>
      <c r="B12606" s="4">
        <v>238306</v>
      </c>
      <c r="D12606" s="5" t="s">
        <v>15329</v>
      </c>
      <c r="E12606" s="6" t="str">
        <f>HYPERLINK("https://inpn.mnhn.fr/espece/cd_nom/238306","Rhopalus subrufus (Gmelin, 1790)")</f>
        <v>Rhopalus subrufus (Gmelin, 1790)</v>
      </c>
      <c r="AH12606" s="4" t="str">
        <f>HYPERLINK("#Statut_biogéographique!A"&amp;_xlfn.XMATCH("P",Statut_biogéographique!A:A,2,1),"P")</f>
        <v>P</v>
      </c>
      <c r="AP12606" s="4" t="s">
        <v>376</v>
      </c>
      <c r="AR12606" s="4" t="s">
        <v>377</v>
      </c>
    </row>
    <row r="12607" spans="1:44">
      <c r="A12607" s="4" t="s">
        <v>10753</v>
      </c>
      <c r="B12607" s="4">
        <v>238309</v>
      </c>
      <c r="D12607" s="5" t="s">
        <v>15330</v>
      </c>
      <c r="E12607" s="6" t="str">
        <f>HYPERLINK("https://inpn.mnhn.fr/espece/cd_nom/238309","Liorhyssus hyalinus (Fabricius, 1794)")</f>
        <v>Liorhyssus hyalinus (Fabricius, 1794)</v>
      </c>
      <c r="AH12607" s="4" t="str">
        <f>HYPERLINK("#Statut_biogéographique!A"&amp;_xlfn.XMATCH("P",Statut_biogéographique!A:A,2,1),"P")</f>
        <v>P</v>
      </c>
      <c r="AP12607" s="4" t="s">
        <v>376</v>
      </c>
      <c r="AR12607" s="4" t="s">
        <v>377</v>
      </c>
    </row>
    <row r="12608" spans="1:44">
      <c r="A12608" s="4" t="s">
        <v>10753</v>
      </c>
      <c r="B12608" s="4">
        <v>238310</v>
      </c>
      <c r="D12608" s="5" t="s">
        <v>15331</v>
      </c>
      <c r="E12608" s="6" t="str">
        <f>HYPERLINK("https://inpn.mnhn.fr/espece/cd_nom/238310","Corizus hyoscyami (Linnaeus, 1758)")</f>
        <v>Corizus hyoscyami (Linnaeus, 1758)</v>
      </c>
      <c r="F12608" s="5" t="s">
        <v>15332</v>
      </c>
      <c r="AH12608" s="4" t="str">
        <f>HYPERLINK("#Statut_biogéographique!A"&amp;_xlfn.XMATCH("P",Statut_biogéographique!A:A,2,1),"P")</f>
        <v>P</v>
      </c>
      <c r="AP12608" s="4" t="s">
        <v>376</v>
      </c>
      <c r="AR12608" s="4" t="s">
        <v>377</v>
      </c>
    </row>
    <row r="12609" spans="1:44">
      <c r="A12609" s="4" t="s">
        <v>10753</v>
      </c>
      <c r="B12609" s="4">
        <v>238311</v>
      </c>
      <c r="D12609" s="5" t="s">
        <v>15333</v>
      </c>
      <c r="E12609" s="6" t="str">
        <f>HYPERLINK("https://inpn.mnhn.fr/espece/cd_nom/238311","Brachycarenus tigrinus (Schilling, 1829)")</f>
        <v>Brachycarenus tigrinus (Schilling, 1829)</v>
      </c>
      <c r="AH12609" s="4" t="str">
        <f>HYPERLINK("#Statut_biogéographique!A"&amp;_xlfn.XMATCH("P",Statut_biogéographique!A:A,2,1),"P")</f>
        <v>P</v>
      </c>
      <c r="AP12609" s="4" t="s">
        <v>376</v>
      </c>
      <c r="AR12609" s="4" t="s">
        <v>377</v>
      </c>
    </row>
    <row r="12610" spans="1:44">
      <c r="A12610" s="4" t="s">
        <v>10753</v>
      </c>
      <c r="B12610" s="4">
        <v>238316</v>
      </c>
      <c r="D12610" s="5" t="s">
        <v>15334</v>
      </c>
      <c r="E12610" s="6" t="str">
        <f>HYPERLINK("https://inpn.mnhn.fr/espece/cd_nom/238316","Alydus calcaratus (Linnaeus, 1758)")</f>
        <v>Alydus calcaratus (Linnaeus, 1758)</v>
      </c>
      <c r="AH12610" s="4" t="str">
        <f>HYPERLINK("#Statut_biogéographique!A"&amp;_xlfn.XMATCH("P",Statut_biogéographique!A:A,2,1),"P")</f>
        <v>P</v>
      </c>
      <c r="AP12610" s="4" t="s">
        <v>376</v>
      </c>
      <c r="AR12610" s="4" t="s">
        <v>377</v>
      </c>
    </row>
    <row r="12611" spans="1:44">
      <c r="A12611" s="4" t="s">
        <v>10753</v>
      </c>
      <c r="B12611" s="4">
        <v>238318</v>
      </c>
      <c r="D12611" s="5" t="s">
        <v>15335</v>
      </c>
      <c r="E12611" s="6" t="str">
        <f>HYPERLINK("https://inpn.mnhn.fr/espece/cd_nom/238318","Camptopus lateralis (Germar, 1817)")</f>
        <v>Camptopus lateralis (Germar, 1817)</v>
      </c>
      <c r="F12611" s="5" t="s">
        <v>15336</v>
      </c>
      <c r="AH12611" s="4" t="str">
        <f>HYPERLINK("#Statut_biogéographique!A"&amp;_xlfn.XMATCH("P",Statut_biogéographique!A:A,2,1),"P")</f>
        <v>P</v>
      </c>
      <c r="AP12611" s="4" t="s">
        <v>376</v>
      </c>
      <c r="AR12611" s="4" t="s">
        <v>377</v>
      </c>
    </row>
    <row r="12612" spans="1:44" ht="30">
      <c r="A12612" s="4" t="s">
        <v>10753</v>
      </c>
      <c r="B12612" s="4">
        <v>238320</v>
      </c>
      <c r="D12612" s="5" t="s">
        <v>15337</v>
      </c>
      <c r="E12612" s="6" t="str">
        <f>HYPERLINK("https://inpn.mnhn.fr/espece/cd_nom/238320","Syromastus rhombeus (Linnaeus, 1767)")</f>
        <v>Syromastus rhombeus (Linnaeus, 1767)</v>
      </c>
      <c r="AH12612" s="4" t="str">
        <f>HYPERLINK("#Statut_biogéographique!A"&amp;_xlfn.XMATCH("P",Statut_biogéographique!A:A,2,1),"P")</f>
        <v>P</v>
      </c>
      <c r="AP12612" s="4" t="s">
        <v>376</v>
      </c>
      <c r="AR12612" s="4" t="s">
        <v>377</v>
      </c>
    </row>
    <row r="12613" spans="1:44">
      <c r="A12613" s="4" t="s">
        <v>10753</v>
      </c>
      <c r="B12613" s="4">
        <v>238326</v>
      </c>
      <c r="D12613" s="5" t="s">
        <v>15338</v>
      </c>
      <c r="E12613" s="6" t="str">
        <f>HYPERLINK("https://inpn.mnhn.fr/espece/cd_nom/238326","Enoplops scapha (Fabricius, 1794)")</f>
        <v>Enoplops scapha (Fabricius, 1794)</v>
      </c>
      <c r="AH12613" s="4" t="str">
        <f>HYPERLINK("#Statut_biogéographique!A"&amp;_xlfn.XMATCH("P",Statut_biogéographique!A:A,2,1),"P")</f>
        <v>P</v>
      </c>
      <c r="AP12613" s="4" t="s">
        <v>376</v>
      </c>
      <c r="AR12613" s="4" t="s">
        <v>377</v>
      </c>
    </row>
    <row r="12614" spans="1:44">
      <c r="A12614" s="4" t="s">
        <v>10753</v>
      </c>
      <c r="B12614" s="4">
        <v>238329</v>
      </c>
      <c r="D12614" s="5" t="s">
        <v>15339</v>
      </c>
      <c r="E12614" s="6" t="str">
        <f>HYPERLINK("https://inpn.mnhn.fr/espece/cd_nom/238329","Gonocerus acuteangulatus (Goeze, 1778)")</f>
        <v>Gonocerus acuteangulatus (Goeze, 1778)</v>
      </c>
      <c r="F12614" s="5" t="s">
        <v>15340</v>
      </c>
      <c r="AH12614" s="4" t="str">
        <f>HYPERLINK("#Statut_biogéographique!A"&amp;_xlfn.XMATCH("P",Statut_biogéographique!A:A,2,1),"P")</f>
        <v>P</v>
      </c>
      <c r="AP12614" s="4" t="s">
        <v>376</v>
      </c>
      <c r="AR12614" s="4" t="s">
        <v>377</v>
      </c>
    </row>
    <row r="12615" spans="1:44">
      <c r="A12615" s="4" t="s">
        <v>10753</v>
      </c>
      <c r="B12615" s="4">
        <v>238331</v>
      </c>
      <c r="D12615" s="5">
        <v>238331</v>
      </c>
      <c r="E12615" s="6" t="str">
        <f>HYPERLINK("https://inpn.mnhn.fr/espece/cd_nom/238331","Gonocerus juniperi Herrich-Schäffer, 1839")</f>
        <v>Gonocerus juniperi Herrich-Schäffer, 1839</v>
      </c>
      <c r="F12615" s="5" t="s">
        <v>15341</v>
      </c>
      <c r="AH12615" s="4" t="str">
        <f>HYPERLINK("#Statut_biogéographique!A"&amp;_xlfn.XMATCH("P",Statut_biogéographique!A:A,2,1),"P")</f>
        <v>P</v>
      </c>
      <c r="AP12615" s="4" t="s">
        <v>376</v>
      </c>
      <c r="AR12615" s="4" t="s">
        <v>377</v>
      </c>
    </row>
    <row r="12616" spans="1:44">
      <c r="A12616" s="4" t="s">
        <v>10753</v>
      </c>
      <c r="B12616" s="4">
        <v>238338</v>
      </c>
      <c r="D12616" s="5" t="s">
        <v>15342</v>
      </c>
      <c r="E12616" s="6" t="str">
        <f>HYPERLINK("https://inpn.mnhn.fr/espece/cd_nom/238338","Coriomeris affinis (Herrich-Schäffer, 1839)")</f>
        <v>Coriomeris affinis (Herrich-Schäffer, 1839)</v>
      </c>
      <c r="AH12616" s="4" t="str">
        <f>HYPERLINK("#Statut_biogéographique!A"&amp;_xlfn.XMATCH("P",Statut_biogéographique!A:A,2,1),"P")</f>
        <v>P</v>
      </c>
      <c r="AP12616" s="4" t="s">
        <v>376</v>
      </c>
      <c r="AR12616" s="4" t="s">
        <v>377</v>
      </c>
    </row>
    <row r="12617" spans="1:44">
      <c r="A12617" s="4" t="s">
        <v>10753</v>
      </c>
      <c r="B12617" s="4">
        <v>238340</v>
      </c>
      <c r="D12617" s="5" t="s">
        <v>15343</v>
      </c>
      <c r="E12617" s="6" t="str">
        <f>HYPERLINK("https://inpn.mnhn.fr/espece/cd_nom/238340","Coriomeris denticulatus (Scopoli, 1763)")</f>
        <v>Coriomeris denticulatus (Scopoli, 1763)</v>
      </c>
      <c r="AH12617" s="4" t="str">
        <f>HYPERLINK("#Statut_biogéographique!A"&amp;_xlfn.XMATCH("P",Statut_biogéographique!A:A,2,1),"P")</f>
        <v>P</v>
      </c>
      <c r="AP12617" s="4" t="s">
        <v>376</v>
      </c>
      <c r="AR12617" s="4" t="s">
        <v>377</v>
      </c>
    </row>
    <row r="12618" spans="1:44" ht="30">
      <c r="A12618" s="4" t="s">
        <v>10753</v>
      </c>
      <c r="B12618" s="4">
        <v>238342</v>
      </c>
      <c r="D12618" s="5">
        <v>238342</v>
      </c>
      <c r="E12618" s="6" t="str">
        <f>HYPERLINK("https://inpn.mnhn.fr/espece/cd_nom/238342","Ceraleptus gracilicornis (Herrich-Schäffer, 1835)")</f>
        <v>Ceraleptus gracilicornis (Herrich-Schäffer, 1835)</v>
      </c>
      <c r="AH12618" s="4" t="str">
        <f>HYPERLINK("#Statut_biogéographique!A"&amp;_xlfn.XMATCH("P",Statut_biogéographique!A:A,2,1),"P")</f>
        <v>P</v>
      </c>
      <c r="AP12618" s="4" t="s">
        <v>376</v>
      </c>
      <c r="AR12618" s="4" t="s">
        <v>377</v>
      </c>
    </row>
    <row r="12619" spans="1:44">
      <c r="A12619" s="4" t="s">
        <v>10753</v>
      </c>
      <c r="B12619" s="4">
        <v>238343</v>
      </c>
      <c r="D12619" s="5">
        <v>238343</v>
      </c>
      <c r="E12619" s="6" t="str">
        <f>HYPERLINK("https://inpn.mnhn.fr/espece/cd_nom/238343","Ceraleptus lividus Stein, 1858")</f>
        <v>Ceraleptus lividus Stein, 1858</v>
      </c>
      <c r="AH12619" s="4" t="str">
        <f>HYPERLINK("#Statut_biogéographique!A"&amp;_xlfn.XMATCH("P",Statut_biogéographique!A:A,2,1),"P")</f>
        <v>P</v>
      </c>
      <c r="AP12619" s="4" t="s">
        <v>376</v>
      </c>
      <c r="AR12619" s="4" t="s">
        <v>377</v>
      </c>
    </row>
    <row r="12620" spans="1:44">
      <c r="A12620" s="4" t="s">
        <v>10753</v>
      </c>
      <c r="B12620" s="4">
        <v>238350</v>
      </c>
      <c r="D12620" s="5" t="s">
        <v>15344</v>
      </c>
      <c r="E12620" s="6" t="str">
        <f>HYPERLINK("https://inpn.mnhn.fr/espece/cd_nom/238350","Tritomegas bicolor (Linnaeus, 1758)")</f>
        <v>Tritomegas bicolor (Linnaeus, 1758)</v>
      </c>
      <c r="F12620" s="5" t="s">
        <v>15345</v>
      </c>
      <c r="AH12620" s="4" t="str">
        <f>HYPERLINK("#Statut_biogéographique!A"&amp;_xlfn.XMATCH("P",Statut_biogéographique!A:A,2,1),"P")</f>
        <v>P</v>
      </c>
      <c r="AP12620" s="4" t="s">
        <v>376</v>
      </c>
      <c r="AR12620" s="4" t="s">
        <v>377</v>
      </c>
    </row>
    <row r="12621" spans="1:44">
      <c r="A12621" s="4" t="s">
        <v>10753</v>
      </c>
      <c r="B12621" s="4">
        <v>238351</v>
      </c>
      <c r="D12621" s="5" t="s">
        <v>15346</v>
      </c>
      <c r="E12621" s="6" t="str">
        <f>HYPERLINK("https://inpn.mnhn.fr/espece/cd_nom/238351","Tritomegas rotundipennis (Dohrn, 1862)")</f>
        <v>Tritomegas rotundipennis (Dohrn, 1862)</v>
      </c>
      <c r="AH12621" s="4" t="str">
        <f>HYPERLINK("#Statut_biogéographique!A"&amp;_xlfn.XMATCH("P",Statut_biogéographique!A:A,2,1),"P")</f>
        <v>P</v>
      </c>
      <c r="AP12621" s="4" t="s">
        <v>376</v>
      </c>
      <c r="AR12621" s="4" t="s">
        <v>377</v>
      </c>
    </row>
    <row r="12622" spans="1:44">
      <c r="A12622" s="4" t="s">
        <v>10753</v>
      </c>
      <c r="B12622" s="4">
        <v>238352</v>
      </c>
      <c r="D12622" s="5" t="s">
        <v>15347</v>
      </c>
      <c r="E12622" s="6" t="str">
        <f>HYPERLINK("https://inpn.mnhn.fr/espece/cd_nom/238352","Tritomegas sexmaculatus (Rambur, 1839)")</f>
        <v>Tritomegas sexmaculatus (Rambur, 1839)</v>
      </c>
      <c r="AH12622" s="4" t="str">
        <f>HYPERLINK("#Statut_biogéographique!A"&amp;_xlfn.XMATCH("P",Statut_biogéographique!A:A,2,1),"P")</f>
        <v>P</v>
      </c>
      <c r="AP12622" s="4" t="s">
        <v>376</v>
      </c>
      <c r="AR12622" s="4" t="s">
        <v>377</v>
      </c>
    </row>
    <row r="12623" spans="1:44">
      <c r="A12623" s="4" t="s">
        <v>10753</v>
      </c>
      <c r="B12623" s="4">
        <v>238353</v>
      </c>
      <c r="D12623" s="5">
        <v>238353</v>
      </c>
      <c r="E12623" s="6" t="str">
        <f>HYPERLINK("https://inpn.mnhn.fr/espece/cd_nom/238353","Sehirus luctuosus Mulsant &amp; Rey, 1866")</f>
        <v>Sehirus luctuosus Mulsant &amp; Rey, 1866</v>
      </c>
      <c r="AH12623" s="4" t="str">
        <f>HYPERLINK("#Statut_biogéographique!A"&amp;_xlfn.XMATCH("P",Statut_biogéographique!A:A,2,1),"P")</f>
        <v>P</v>
      </c>
      <c r="AP12623" s="4" t="s">
        <v>376</v>
      </c>
      <c r="AR12623" s="4" t="s">
        <v>377</v>
      </c>
    </row>
    <row r="12624" spans="1:44">
      <c r="A12624" s="4" t="s">
        <v>10753</v>
      </c>
      <c r="B12624" s="4">
        <v>238354</v>
      </c>
      <c r="D12624" s="5" t="s">
        <v>15348</v>
      </c>
      <c r="E12624" s="6" t="str">
        <f>HYPERLINK("https://inpn.mnhn.fr/espece/cd_nom/238354","Sehirus morio (Linnaeus, 1761)")</f>
        <v>Sehirus morio (Linnaeus, 1761)</v>
      </c>
      <c r="AH12624" s="4" t="str">
        <f>HYPERLINK("#Statut_biogéographique!A"&amp;_xlfn.XMATCH("P",Statut_biogéographique!A:A,2,1),"P")</f>
        <v>P</v>
      </c>
      <c r="AP12624" s="4" t="s">
        <v>376</v>
      </c>
      <c r="AR12624" s="4" t="s">
        <v>377</v>
      </c>
    </row>
    <row r="12625" spans="1:44">
      <c r="A12625" s="4" t="s">
        <v>10753</v>
      </c>
      <c r="B12625" s="4">
        <v>238358</v>
      </c>
      <c r="D12625" s="5" t="s">
        <v>15349</v>
      </c>
      <c r="E12625" s="6" t="str">
        <f>HYPERLINK("https://inpn.mnhn.fr/espece/cd_nom/238358","Legnotus limbosus (Geoffroy, 1785)")</f>
        <v>Legnotus limbosus (Geoffroy, 1785)</v>
      </c>
      <c r="F12625" s="5" t="s">
        <v>15350</v>
      </c>
      <c r="AH12625" s="4" t="str">
        <f>HYPERLINK("#Statut_biogéographique!A"&amp;_xlfn.XMATCH("P",Statut_biogéographique!A:A,2,1),"P")</f>
        <v>P</v>
      </c>
      <c r="AP12625" s="4" t="s">
        <v>376</v>
      </c>
      <c r="AR12625" s="4" t="s">
        <v>377</v>
      </c>
    </row>
    <row r="12626" spans="1:44">
      <c r="A12626" s="4" t="s">
        <v>10753</v>
      </c>
      <c r="B12626" s="4">
        <v>238359</v>
      </c>
      <c r="D12626" s="5" t="s">
        <v>15351</v>
      </c>
      <c r="E12626" s="6" t="str">
        <f>HYPERLINK("https://inpn.mnhn.fr/espece/cd_nom/238359","Legnotus picipes (Fallén, 1807)")</f>
        <v>Legnotus picipes (Fallén, 1807)</v>
      </c>
      <c r="AH12626" s="4" t="str">
        <f>HYPERLINK("#Statut_biogéographique!A"&amp;_xlfn.XMATCH("P",Statut_biogéographique!A:A,2,1),"P")</f>
        <v>P</v>
      </c>
      <c r="AP12626" s="4" t="s">
        <v>376</v>
      </c>
      <c r="AR12626" s="4" t="s">
        <v>377</v>
      </c>
    </row>
    <row r="12627" spans="1:44">
      <c r="A12627" s="4" t="s">
        <v>10753</v>
      </c>
      <c r="B12627" s="4">
        <v>238361</v>
      </c>
      <c r="D12627" s="5" t="s">
        <v>15352</v>
      </c>
      <c r="E12627" s="6" t="str">
        <f>HYPERLINK("https://inpn.mnhn.fr/espece/cd_nom/238361","Canthophorus dubius (Scopoli, 1763)")</f>
        <v>Canthophorus dubius (Scopoli, 1763)</v>
      </c>
      <c r="AH12627" s="4" t="str">
        <f>HYPERLINK("#Statut_biogéographique!A"&amp;_xlfn.XMATCH("P",Statut_biogéographique!A:A,2,1),"P")</f>
        <v>P</v>
      </c>
      <c r="AP12627" s="4" t="s">
        <v>376</v>
      </c>
      <c r="AR12627" s="4" t="s">
        <v>377</v>
      </c>
    </row>
    <row r="12628" spans="1:44">
      <c r="A12628" s="4" t="s">
        <v>10753</v>
      </c>
      <c r="B12628" s="4">
        <v>238363</v>
      </c>
      <c r="D12628" s="5" t="s">
        <v>15353</v>
      </c>
      <c r="E12628" s="6" t="str">
        <f>HYPERLINK("https://inpn.mnhn.fr/espece/cd_nom/238363","Canthophorus impressus (Horváth, 1881)")</f>
        <v>Canthophorus impressus (Horváth, 1881)</v>
      </c>
      <c r="AH12628" s="4" t="str">
        <f>HYPERLINK("#Statut_biogéographique!A"&amp;_xlfn.XMATCH("P",Statut_biogéographique!A:A,2,1),"P")</f>
        <v>P</v>
      </c>
      <c r="AP12628" s="4" t="s">
        <v>376</v>
      </c>
      <c r="AR12628" s="4" t="s">
        <v>377</v>
      </c>
    </row>
    <row r="12629" spans="1:44" ht="30">
      <c r="A12629" s="4" t="s">
        <v>10753</v>
      </c>
      <c r="B12629" s="4">
        <v>238365</v>
      </c>
      <c r="D12629" s="5" t="s">
        <v>15354</v>
      </c>
      <c r="E12629" s="6" t="str">
        <f>HYPERLINK("https://inpn.mnhn.fr/espece/cd_nom/238365","Canthophorus melanopterus (Herrich-Schäffer, 1835)")</f>
        <v>Canthophorus melanopterus (Herrich-Schäffer, 1835)</v>
      </c>
      <c r="AH12629" s="4" t="str">
        <f>HYPERLINK("#Statut_biogéographique!A"&amp;_xlfn.XMATCH("P",Statut_biogéographique!A:A,2,1),"P")</f>
        <v>P</v>
      </c>
      <c r="AP12629" s="4" t="s">
        <v>376</v>
      </c>
      <c r="AR12629" s="4" t="s">
        <v>377</v>
      </c>
    </row>
    <row r="12630" spans="1:44">
      <c r="A12630" s="4" t="s">
        <v>10753</v>
      </c>
      <c r="B12630" s="4">
        <v>238366</v>
      </c>
      <c r="D12630" s="5" t="s">
        <v>15355</v>
      </c>
      <c r="E12630" s="6" t="str">
        <f>HYPERLINK("https://inpn.mnhn.fr/espece/cd_nom/238366","Adomerus biguttatus (Linnaeus, 1758)")</f>
        <v>Adomerus biguttatus (Linnaeus, 1758)</v>
      </c>
      <c r="AH12630" s="4" t="str">
        <f>HYPERLINK("#Statut_biogéographique!A"&amp;_xlfn.XMATCH("P",Statut_biogéographique!A:A,2,1),"P")</f>
        <v>P</v>
      </c>
      <c r="AP12630" s="4" t="s">
        <v>376</v>
      </c>
      <c r="AR12630" s="4" t="s">
        <v>377</v>
      </c>
    </row>
    <row r="12631" spans="1:44">
      <c r="A12631" s="4" t="s">
        <v>10753</v>
      </c>
      <c r="B12631" s="4">
        <v>238367</v>
      </c>
      <c r="D12631" s="5" t="s">
        <v>15356</v>
      </c>
      <c r="E12631" s="6" t="str">
        <f>HYPERLINK("https://inpn.mnhn.fr/espece/cd_nom/238367","Cydnus aterrimus (Forster, 1771)")</f>
        <v>Cydnus aterrimus (Forster, 1771)</v>
      </c>
      <c r="AH12631" s="4" t="str">
        <f>HYPERLINK("#Statut_biogéographique!A"&amp;_xlfn.XMATCH("P",Statut_biogéographique!A:A,2,1),"P")</f>
        <v>P</v>
      </c>
      <c r="AP12631" s="4" t="s">
        <v>376</v>
      </c>
      <c r="AR12631" s="4" t="s">
        <v>377</v>
      </c>
    </row>
    <row r="12632" spans="1:44">
      <c r="A12632" s="4" t="s">
        <v>10753</v>
      </c>
      <c r="B12632" s="4">
        <v>238368</v>
      </c>
      <c r="D12632" s="5" t="s">
        <v>15357</v>
      </c>
      <c r="E12632" s="6" t="str">
        <f>HYPERLINK("https://inpn.mnhn.fr/espece/cd_nom/238368","Microporus nigrita (Fabricius, 1794)")</f>
        <v>Microporus nigrita (Fabricius, 1794)</v>
      </c>
      <c r="AH12632" s="4" t="str">
        <f>HYPERLINK("#Statut_biogéographique!A"&amp;_xlfn.XMATCH("P",Statut_biogéographique!A:A,2,1),"P")</f>
        <v>P</v>
      </c>
      <c r="AP12632" s="4" t="s">
        <v>376</v>
      </c>
      <c r="AR12632" s="4" t="s">
        <v>377</v>
      </c>
    </row>
    <row r="12633" spans="1:44">
      <c r="A12633" s="4" t="s">
        <v>10753</v>
      </c>
      <c r="B12633" s="4">
        <v>238372</v>
      </c>
      <c r="D12633" s="5" t="s">
        <v>15358</v>
      </c>
      <c r="E12633" s="6" t="str">
        <f>HYPERLINK("https://inpn.mnhn.fr/espece/cd_nom/238372","Geotomus punctulatus (A. Costa, 1847)")</f>
        <v>Geotomus punctulatus (A. Costa, 1847)</v>
      </c>
      <c r="AH12633" s="4" t="str">
        <f>HYPERLINK("#Statut_biogéographique!A"&amp;_xlfn.XMATCH("P",Statut_biogéographique!A:A,2,1),"P")</f>
        <v>P</v>
      </c>
      <c r="AP12633" s="4" t="s">
        <v>376</v>
      </c>
      <c r="AR12633" s="4" t="s">
        <v>377</v>
      </c>
    </row>
    <row r="12634" spans="1:44">
      <c r="A12634" s="4" t="s">
        <v>10753</v>
      </c>
      <c r="B12634" s="4">
        <v>238381</v>
      </c>
      <c r="D12634" s="5" t="s">
        <v>15359</v>
      </c>
      <c r="E12634" s="6" t="str">
        <f>HYPERLINK("https://inpn.mnhn.fr/espece/cd_nom/238381","Thyreocoris scarabaeoides (Linnaeus, 1758)")</f>
        <v>Thyreocoris scarabaeoides (Linnaeus, 1758)</v>
      </c>
      <c r="AH12634" s="4" t="str">
        <f>HYPERLINK("#Statut_biogéographique!A"&amp;_xlfn.XMATCH("P",Statut_biogéographique!A:A,2,1),"P")</f>
        <v>P</v>
      </c>
      <c r="AP12634" s="4" t="s">
        <v>376</v>
      </c>
      <c r="AR12634" s="4" t="s">
        <v>377</v>
      </c>
    </row>
    <row r="12635" spans="1:44" ht="30">
      <c r="A12635" s="4" t="s">
        <v>10753</v>
      </c>
      <c r="B12635" s="4">
        <v>238382</v>
      </c>
      <c r="D12635" s="5" t="s">
        <v>15360</v>
      </c>
      <c r="E12635" s="6" t="str">
        <f>HYPERLINK("https://inpn.mnhn.fr/espece/cd_nom/238382","Coptosoma scutellatum (Geoffroy, 1785)")</f>
        <v>Coptosoma scutellatum (Geoffroy, 1785)</v>
      </c>
      <c r="F12635" s="5" t="s">
        <v>15361</v>
      </c>
      <c r="AH12635" s="4" t="str">
        <f>HYPERLINK("#Statut_biogéographique!A"&amp;_xlfn.XMATCH("P",Statut_biogéographique!A:A,2,1),"P")</f>
        <v>P</v>
      </c>
      <c r="AP12635" s="4" t="s">
        <v>376</v>
      </c>
      <c r="AR12635" s="4" t="s">
        <v>377</v>
      </c>
    </row>
    <row r="12636" spans="1:44">
      <c r="A12636" s="4" t="s">
        <v>10753</v>
      </c>
      <c r="B12636" s="4">
        <v>238383</v>
      </c>
      <c r="D12636" s="5" t="s">
        <v>15362</v>
      </c>
      <c r="E12636" s="6" t="str">
        <f>HYPERLINK("https://inpn.mnhn.fr/espece/cd_nom/238383","Elasmucha ferrugata (Fabricius, 1787)")</f>
        <v>Elasmucha ferrugata (Fabricius, 1787)</v>
      </c>
      <c r="AH12636" s="4" t="str">
        <f>HYPERLINK("#Statut_biogéographique!A"&amp;_xlfn.XMATCH("P",Statut_biogéographique!A:A,2,1),"P")</f>
        <v>P</v>
      </c>
      <c r="AP12636" s="4" t="s">
        <v>376</v>
      </c>
      <c r="AR12636" s="4" t="s">
        <v>377</v>
      </c>
    </row>
    <row r="12637" spans="1:44">
      <c r="A12637" s="4" t="s">
        <v>10753</v>
      </c>
      <c r="B12637" s="4">
        <v>238385</v>
      </c>
      <c r="D12637" s="5" t="s">
        <v>15363</v>
      </c>
      <c r="E12637" s="6" t="str">
        <f>HYPERLINK("https://inpn.mnhn.fr/espece/cd_nom/238385","Elasmostethus interstinctus (Linnaeus, 1758)")</f>
        <v>Elasmostethus interstinctus (Linnaeus, 1758)</v>
      </c>
      <c r="AH12637" s="4" t="str">
        <f>HYPERLINK("#Statut_biogéographique!A"&amp;_xlfn.XMATCH("P",Statut_biogéographique!A:A,2,1),"P")</f>
        <v>P</v>
      </c>
      <c r="AP12637" s="4" t="s">
        <v>376</v>
      </c>
      <c r="AR12637" s="4" t="s">
        <v>377</v>
      </c>
    </row>
    <row r="12638" spans="1:44">
      <c r="A12638" s="4" t="s">
        <v>10753</v>
      </c>
      <c r="B12638" s="4">
        <v>238386</v>
      </c>
      <c r="D12638" s="5">
        <v>238386</v>
      </c>
      <c r="E12638" s="6" t="str">
        <f>HYPERLINK("https://inpn.mnhn.fr/espece/cd_nom/238386","Elasmostethus minor Horváth, 1899")</f>
        <v>Elasmostethus minor Horváth, 1899</v>
      </c>
      <c r="AH12638" s="4" t="str">
        <f>HYPERLINK("#Statut_biogéographique!A"&amp;_xlfn.XMATCH("P",Statut_biogéographique!A:A,2,1),"P")</f>
        <v>P</v>
      </c>
      <c r="AP12638" s="4" t="s">
        <v>376</v>
      </c>
      <c r="AR12638" s="4" t="s">
        <v>377</v>
      </c>
    </row>
    <row r="12639" spans="1:44">
      <c r="A12639" s="4" t="s">
        <v>10753</v>
      </c>
      <c r="B12639" s="4">
        <v>238387</v>
      </c>
      <c r="D12639" s="5" t="s">
        <v>15364</v>
      </c>
      <c r="E12639" s="6" t="str">
        <f>HYPERLINK("https://inpn.mnhn.fr/espece/cd_nom/238387","Cyphostethus tristriatus (Fabricius, 1787)")</f>
        <v>Cyphostethus tristriatus (Fabricius, 1787)</v>
      </c>
      <c r="AH12639" s="4" t="str">
        <f>HYPERLINK("#Statut_biogéographique!A"&amp;_xlfn.XMATCH("P",Statut_biogéographique!A:A,2,1),"P")</f>
        <v>P</v>
      </c>
      <c r="AP12639" s="4" t="s">
        <v>376</v>
      </c>
      <c r="AR12639" s="4" t="s">
        <v>377</v>
      </c>
    </row>
    <row r="12640" spans="1:44">
      <c r="A12640" s="4" t="s">
        <v>10753</v>
      </c>
      <c r="B12640" s="4">
        <v>238391</v>
      </c>
      <c r="D12640" s="5" t="s">
        <v>15365</v>
      </c>
      <c r="E12640" s="6" t="str">
        <f>HYPERLINK("https://inpn.mnhn.fr/espece/cd_nom/238391","Psacasta exanthematica (Scopoli, 1763)")</f>
        <v>Psacasta exanthematica (Scopoli, 1763)</v>
      </c>
      <c r="F12640" s="5" t="s">
        <v>15366</v>
      </c>
      <c r="AH12640" s="4" t="str">
        <f>HYPERLINK("#Statut_biogéographique!A"&amp;_xlfn.XMATCH("P",Statut_biogéographique!A:A,2,1),"P")</f>
        <v>P</v>
      </c>
      <c r="AP12640" s="4" t="s">
        <v>376</v>
      </c>
      <c r="AR12640" s="4" t="s">
        <v>377</v>
      </c>
    </row>
    <row r="12641" spans="1:44" ht="45">
      <c r="A12641" s="4" t="s">
        <v>10753</v>
      </c>
      <c r="B12641" s="4">
        <v>238393</v>
      </c>
      <c r="D12641" s="5" t="s">
        <v>15367</v>
      </c>
      <c r="E12641" s="6" t="str">
        <f>HYPERLINK("https://inpn.mnhn.fr/espece/cd_nom/238393","Eurygaster austriaca (Schrank, 1776)")</f>
        <v>Eurygaster austriaca (Schrank, 1776)</v>
      </c>
      <c r="AH12641" s="4" t="str">
        <f>HYPERLINK("#Statut_biogéographique!A"&amp;_xlfn.XMATCH("P",Statut_biogéographique!A:A,2,1),"P")</f>
        <v>P</v>
      </c>
      <c r="AP12641" s="4" t="s">
        <v>376</v>
      </c>
      <c r="AR12641" s="4" t="s">
        <v>377</v>
      </c>
    </row>
    <row r="12642" spans="1:44">
      <c r="A12642" s="4" t="s">
        <v>10753</v>
      </c>
      <c r="B12642" s="4">
        <v>238397</v>
      </c>
      <c r="D12642" s="5" t="s">
        <v>15368</v>
      </c>
      <c r="E12642" s="6" t="str">
        <f>HYPERLINK("https://inpn.mnhn.fr/espece/cd_nom/238397","Eurygaster testudinaria (Geoffroy, 1785)")</f>
        <v>Eurygaster testudinaria (Geoffroy, 1785)</v>
      </c>
      <c r="F12642" s="5" t="s">
        <v>15369</v>
      </c>
      <c r="AH12642" s="4" t="str">
        <f>HYPERLINK("#Statut_biogéographique!A"&amp;_xlfn.XMATCH("P",Statut_biogéographique!A:A,2,1),"P")</f>
        <v>P</v>
      </c>
      <c r="AP12642" s="4" t="s">
        <v>376</v>
      </c>
      <c r="AR12642" s="4" t="s">
        <v>377</v>
      </c>
    </row>
    <row r="12643" spans="1:44">
      <c r="A12643" s="4" t="s">
        <v>10753</v>
      </c>
      <c r="B12643" s="4">
        <v>238398</v>
      </c>
      <c r="D12643" s="5" t="s">
        <v>15370</v>
      </c>
      <c r="E12643" s="6" t="str">
        <f>HYPERLINK("https://inpn.mnhn.fr/espece/cd_nom/238398","Odontoscelis fuliginosa (Linnaeus, 1761)")</f>
        <v>Odontoscelis fuliginosa (Linnaeus, 1761)</v>
      </c>
      <c r="AH12643" s="4" t="str">
        <f>HYPERLINK("#Statut_biogéographique!A"&amp;_xlfn.XMATCH("P",Statut_biogéographique!A:A,2,1),"P")</f>
        <v>P</v>
      </c>
      <c r="AP12643" s="4" t="s">
        <v>376</v>
      </c>
      <c r="AR12643" s="4" t="s">
        <v>377</v>
      </c>
    </row>
    <row r="12644" spans="1:44">
      <c r="A12644" s="4" t="s">
        <v>10753</v>
      </c>
      <c r="B12644" s="4">
        <v>238399</v>
      </c>
      <c r="D12644" s="5" t="s">
        <v>15371</v>
      </c>
      <c r="E12644" s="6" t="str">
        <f>HYPERLINK("https://inpn.mnhn.fr/espece/cd_nom/238399","Odontoscelis lineola Rambur, 1839")</f>
        <v>Odontoscelis lineola Rambur, 1839</v>
      </c>
      <c r="AH12644" s="4" t="str">
        <f>HYPERLINK("#Statut_biogéographique!A"&amp;_xlfn.XMATCH("P",Statut_biogéographique!A:A,2,1),"P")</f>
        <v>P</v>
      </c>
      <c r="AP12644" s="4" t="s">
        <v>376</v>
      </c>
      <c r="AR12644" s="4" t="s">
        <v>377</v>
      </c>
    </row>
    <row r="12645" spans="1:44">
      <c r="A12645" s="4" t="s">
        <v>10753</v>
      </c>
      <c r="B12645" s="4">
        <v>238404</v>
      </c>
      <c r="D12645" s="5" t="s">
        <v>15372</v>
      </c>
      <c r="E12645" s="6" t="str">
        <f>HYPERLINK("https://inpn.mnhn.fr/espece/cd_nom/238404","Odontotarsus purpureolineatus (Rossi, 1790)")</f>
        <v>Odontotarsus purpureolineatus (Rossi, 1790)</v>
      </c>
      <c r="AH12645" s="4" t="str">
        <f>HYPERLINK("#Statut_biogéographique!A"&amp;_xlfn.XMATCH("P",Statut_biogéographique!A:A,2,1),"P")</f>
        <v>P</v>
      </c>
      <c r="AP12645" s="4" t="s">
        <v>376</v>
      </c>
      <c r="AR12645" s="4" t="s">
        <v>377</v>
      </c>
    </row>
    <row r="12646" spans="1:44">
      <c r="A12646" s="4" t="s">
        <v>10753</v>
      </c>
      <c r="B12646" s="4">
        <v>238423</v>
      </c>
      <c r="D12646" s="5" t="s">
        <v>15373</v>
      </c>
      <c r="E12646" s="6" t="str">
        <f>HYPERLINK("https://inpn.mnhn.fr/espece/cd_nom/238423","Neottiglossa bifida (A. Costa, 1847)")</f>
        <v>Neottiglossa bifida (A. Costa, 1847)</v>
      </c>
      <c r="AH12646" s="4" t="str">
        <f>HYPERLINK("#Statut_biogéographique!A"&amp;_xlfn.XMATCH("P",Statut_biogéographique!A:A,2,1),"P")</f>
        <v>P</v>
      </c>
      <c r="AP12646" s="4" t="s">
        <v>376</v>
      </c>
      <c r="AR12646" s="4" t="s">
        <v>377</v>
      </c>
    </row>
    <row r="12647" spans="1:44" ht="30">
      <c r="A12647" s="4" t="s">
        <v>10753</v>
      </c>
      <c r="B12647" s="4">
        <v>238425</v>
      </c>
      <c r="D12647" s="5" t="s">
        <v>15374</v>
      </c>
      <c r="E12647" s="6" t="str">
        <f>HYPERLINK("https://inpn.mnhn.fr/espece/cd_nom/238425","Neottiglossa leporina (Herrich-Schäffer, 1830)")</f>
        <v>Neottiglossa leporina (Herrich-Schäffer, 1830)</v>
      </c>
      <c r="AH12647" s="4" t="str">
        <f>HYPERLINK("#Statut_biogéographique!A"&amp;_xlfn.XMATCH("P",Statut_biogéographique!A:A,2,1),"P")</f>
        <v>P</v>
      </c>
      <c r="AP12647" s="4" t="s">
        <v>376</v>
      </c>
      <c r="AR12647" s="4" t="s">
        <v>377</v>
      </c>
    </row>
    <row r="12648" spans="1:44">
      <c r="A12648" s="4" t="s">
        <v>10753</v>
      </c>
      <c r="B12648" s="4">
        <v>238426</v>
      </c>
      <c r="D12648" s="5" t="s">
        <v>15375</v>
      </c>
      <c r="E12648" s="6" t="str">
        <f>HYPERLINK("https://inpn.mnhn.fr/espece/cd_nom/238426","Neottiglossa lineolata (Mulsant &amp; Rey, 1852)")</f>
        <v>Neottiglossa lineolata (Mulsant &amp; Rey, 1852)</v>
      </c>
      <c r="AH12648" s="4" t="str">
        <f>HYPERLINK("#Statut_biogéographique!A"&amp;_xlfn.XMATCH("P",Statut_biogéographique!A:A,2,1),"P")</f>
        <v>P</v>
      </c>
      <c r="AP12648" s="4" t="s">
        <v>376</v>
      </c>
      <c r="AR12648" s="4" t="s">
        <v>377</v>
      </c>
    </row>
    <row r="12649" spans="1:44">
      <c r="A12649" s="4" t="s">
        <v>10753</v>
      </c>
      <c r="B12649" s="4">
        <v>238427</v>
      </c>
      <c r="D12649" s="5" t="s">
        <v>15376</v>
      </c>
      <c r="E12649" s="6" t="str">
        <f>HYPERLINK("https://inpn.mnhn.fr/espece/cd_nom/238427","Neottiglossa pusilla (Gmelin, 1790)")</f>
        <v>Neottiglossa pusilla (Gmelin, 1790)</v>
      </c>
      <c r="AH12649" s="4" t="str">
        <f>HYPERLINK("#Statut_biogéographique!A"&amp;_xlfn.XMATCH("P",Statut_biogéographique!A:A,2,1),"P")</f>
        <v>P</v>
      </c>
      <c r="AP12649" s="4" t="s">
        <v>376</v>
      </c>
      <c r="AR12649" s="4" t="s">
        <v>377</v>
      </c>
    </row>
    <row r="12650" spans="1:44">
      <c r="A12650" s="4" t="s">
        <v>10753</v>
      </c>
      <c r="B12650" s="4">
        <v>238434</v>
      </c>
      <c r="D12650" s="5" t="s">
        <v>15377</v>
      </c>
      <c r="E12650" s="6" t="str">
        <f>HYPERLINK("https://inpn.mnhn.fr/espece/cd_nom/238434","Holcogaster fibulata (Germar, 1831)")</f>
        <v>Holcogaster fibulata (Germar, 1831)</v>
      </c>
      <c r="AH12650" s="4" t="str">
        <f>HYPERLINK("#Statut_biogéographique!A"&amp;_xlfn.XMATCH("P",Statut_biogéographique!A:A,2,1),"P")</f>
        <v>P</v>
      </c>
      <c r="AP12650" s="4" t="s">
        <v>376</v>
      </c>
      <c r="AR12650" s="4" t="s">
        <v>377</v>
      </c>
    </row>
    <row r="12651" spans="1:44">
      <c r="A12651" s="4" t="s">
        <v>10753</v>
      </c>
      <c r="B12651" s="4">
        <v>238435</v>
      </c>
      <c r="D12651" s="5" t="s">
        <v>15378</v>
      </c>
      <c r="E12651" s="6" t="str">
        <f>HYPERLINK("https://inpn.mnhn.fr/espece/cd_nom/238435","Staria lunata (Hahn, 1835)")</f>
        <v>Staria lunata (Hahn, 1835)</v>
      </c>
      <c r="AH12651" s="4" t="str">
        <f>HYPERLINK("#Statut_biogéographique!A"&amp;_xlfn.XMATCH("P",Statut_biogéographique!A:A,2,1),"P")</f>
        <v>P</v>
      </c>
      <c r="AP12651" s="4" t="s">
        <v>376</v>
      </c>
      <c r="AR12651" s="4" t="s">
        <v>377</v>
      </c>
    </row>
    <row r="12652" spans="1:44">
      <c r="A12652" s="4" t="s">
        <v>10753</v>
      </c>
      <c r="B12652" s="4">
        <v>238436</v>
      </c>
      <c r="D12652" s="5" t="s">
        <v>15379</v>
      </c>
      <c r="E12652" s="6" t="str">
        <f>HYPERLINK("https://inpn.mnhn.fr/espece/cd_nom/238436","Rubiconia intermedia (Wolff, 1811)")</f>
        <v>Rubiconia intermedia (Wolff, 1811)</v>
      </c>
      <c r="AH12652" s="4" t="str">
        <f>HYPERLINK("#Statut_biogéographique!A"&amp;_xlfn.XMATCH("P",Statut_biogéographique!A:A,2,1),"P")</f>
        <v>P</v>
      </c>
      <c r="AP12652" s="4" t="s">
        <v>376</v>
      </c>
      <c r="AR12652" s="4" t="s">
        <v>377</v>
      </c>
    </row>
    <row r="12653" spans="1:44">
      <c r="A12653" s="4" t="s">
        <v>10753</v>
      </c>
      <c r="B12653" s="4">
        <v>238439</v>
      </c>
      <c r="D12653" s="5" t="s">
        <v>15380</v>
      </c>
      <c r="E12653" s="6" t="str">
        <f>HYPERLINK("https://inpn.mnhn.fr/espece/cd_nom/238439","Holcostethus sphacelatus (Fabricius, 1794)")</f>
        <v>Holcostethus sphacelatus (Fabricius, 1794)</v>
      </c>
      <c r="AH12653" s="4" t="str">
        <f>HYPERLINK("#Statut_biogéographique!A"&amp;_xlfn.XMATCH("P",Statut_biogéographique!A:A,2,1),"P")</f>
        <v>P</v>
      </c>
      <c r="AP12653" s="4" t="s">
        <v>376</v>
      </c>
      <c r="AR12653" s="4" t="s">
        <v>377</v>
      </c>
    </row>
    <row r="12654" spans="1:44" ht="30">
      <c r="A12654" s="4" t="s">
        <v>10753</v>
      </c>
      <c r="B12654" s="4">
        <v>238441</v>
      </c>
      <c r="D12654" s="5" t="s">
        <v>15381</v>
      </c>
      <c r="E12654" s="6" t="str">
        <f>HYPERLINK("https://inpn.mnhn.fr/espece/cd_nom/238441","Codophila varia (Fabricius, 1787)")</f>
        <v>Codophila varia (Fabricius, 1787)</v>
      </c>
      <c r="AH12654" s="4" t="str">
        <f>HYPERLINK("#Statut_biogéographique!A"&amp;_xlfn.XMATCH("P",Statut_biogéographique!A:A,2,1),"P")</f>
        <v>P</v>
      </c>
      <c r="AP12654" s="4" t="s">
        <v>376</v>
      </c>
      <c r="AR12654" s="4" t="s">
        <v>377</v>
      </c>
    </row>
    <row r="12655" spans="1:44" ht="30">
      <c r="A12655" s="4" t="s">
        <v>10753</v>
      </c>
      <c r="B12655" s="4">
        <v>238442</v>
      </c>
      <c r="D12655" s="5" t="s">
        <v>15382</v>
      </c>
      <c r="E12655" s="6" t="str">
        <f>HYPERLINK("https://inpn.mnhn.fr/espece/cd_nom/238442","Chlorochroa juniperina (Linnaeus, 1758)")</f>
        <v>Chlorochroa juniperina (Linnaeus, 1758)</v>
      </c>
      <c r="AH12655" s="4" t="str">
        <f>HYPERLINK("#Statut_biogéographique!A"&amp;_xlfn.XMATCH("P",Statut_biogéographique!A:A,2,1),"P")</f>
        <v>P</v>
      </c>
      <c r="AP12655" s="4" t="s">
        <v>376</v>
      </c>
      <c r="AR12655" s="4" t="s">
        <v>377</v>
      </c>
    </row>
    <row r="12656" spans="1:44" ht="30">
      <c r="A12656" s="4" t="s">
        <v>10753</v>
      </c>
      <c r="B12656" s="4">
        <v>238445</v>
      </c>
      <c r="D12656" s="5" t="s">
        <v>15383</v>
      </c>
      <c r="E12656" s="6" t="str">
        <f>HYPERLINK("https://inpn.mnhn.fr/espece/cd_nom/238445","Carpocoris fuscispinus (Boheman, 1850)")</f>
        <v>Carpocoris fuscispinus (Boheman, 1850)</v>
      </c>
      <c r="AH12656" s="4" t="str">
        <f>HYPERLINK("#Statut_biogéographique!A"&amp;_xlfn.XMATCH("P",Statut_biogéographique!A:A,2,1),"P")</f>
        <v>P</v>
      </c>
      <c r="AP12656" s="4" t="s">
        <v>376</v>
      </c>
      <c r="AR12656" s="4" t="s">
        <v>377</v>
      </c>
    </row>
    <row r="12657" spans="1:44" ht="30">
      <c r="A12657" s="4" t="s">
        <v>10753</v>
      </c>
      <c r="B12657" s="4">
        <v>238447</v>
      </c>
      <c r="D12657" s="5" t="s">
        <v>15384</v>
      </c>
      <c r="E12657" s="6" t="str">
        <f>HYPERLINK("https://inpn.mnhn.fr/espece/cd_nom/238447","Carpocoris melanocerus (Mulsant &amp; Rey, 1852)")</f>
        <v>Carpocoris melanocerus (Mulsant &amp; Rey, 1852)</v>
      </c>
      <c r="AH12657" s="4" t="str">
        <f>HYPERLINK("#Statut_biogéographique!A"&amp;_xlfn.XMATCH("P",Statut_biogéographique!A:A,2,1),"P")</f>
        <v>P</v>
      </c>
      <c r="AP12657" s="4" t="s">
        <v>376</v>
      </c>
      <c r="AR12657" s="4" t="s">
        <v>377</v>
      </c>
    </row>
    <row r="12658" spans="1:44">
      <c r="A12658" s="4" t="s">
        <v>10753</v>
      </c>
      <c r="B12658" s="4">
        <v>238451</v>
      </c>
      <c r="D12658" s="5" t="s">
        <v>15385</v>
      </c>
      <c r="E12658" s="6" t="str">
        <f>HYPERLINK("https://inpn.mnhn.fr/espece/cd_nom/238451","Antheminia absinthii (Wagner, 1952)")</f>
        <v>Antheminia absinthii (Wagner, 1952)</v>
      </c>
      <c r="AH12658" s="4" t="str">
        <f>HYPERLINK("#Statut_biogéographique!A"&amp;_xlfn.XMATCH("P",Statut_biogéographique!A:A,2,1),"P")</f>
        <v>P</v>
      </c>
      <c r="AP12658" s="4" t="s">
        <v>376</v>
      </c>
      <c r="AR12658" s="4" t="s">
        <v>377</v>
      </c>
    </row>
    <row r="12659" spans="1:44" ht="30">
      <c r="A12659" s="4" t="s">
        <v>10753</v>
      </c>
      <c r="B12659" s="4">
        <v>238452</v>
      </c>
      <c r="D12659" s="5" t="s">
        <v>15386</v>
      </c>
      <c r="E12659" s="6" t="str">
        <f>HYPERLINK("https://inpn.mnhn.fr/espece/cd_nom/238452","Antheminia lunulata (Goeze, 1778)")</f>
        <v>Antheminia lunulata (Goeze, 1778)</v>
      </c>
      <c r="AH12659" s="4" t="str">
        <f>HYPERLINK("#Statut_biogéographique!A"&amp;_xlfn.XMATCH("P",Statut_biogéographique!A:A,2,1),"P")</f>
        <v>P</v>
      </c>
      <c r="AP12659" s="4" t="s">
        <v>376</v>
      </c>
      <c r="AR12659" s="4" t="s">
        <v>377</v>
      </c>
    </row>
    <row r="12660" spans="1:44">
      <c r="A12660" s="4" t="s">
        <v>10753</v>
      </c>
      <c r="B12660" s="4">
        <v>238457</v>
      </c>
      <c r="D12660" s="5" t="s">
        <v>15387</v>
      </c>
      <c r="E12660" s="6" t="str">
        <f>HYPERLINK("https://inpn.mnhn.fr/espece/cd_nom/238457","Eysarcoris aeneus (Scopoli, 1763)")</f>
        <v>Eysarcoris aeneus (Scopoli, 1763)</v>
      </c>
      <c r="AH12660" s="4" t="str">
        <f>HYPERLINK("#Statut_biogéographique!A"&amp;_xlfn.XMATCH("P",Statut_biogéographique!A:A,2,1),"P")</f>
        <v>P</v>
      </c>
      <c r="AP12660" s="4" t="s">
        <v>376</v>
      </c>
      <c r="AR12660" s="4" t="s">
        <v>377</v>
      </c>
    </row>
    <row r="12661" spans="1:44" ht="30">
      <c r="A12661" s="4" t="s">
        <v>10753</v>
      </c>
      <c r="B12661" s="4">
        <v>238458</v>
      </c>
      <c r="D12661" s="5" t="s">
        <v>15388</v>
      </c>
      <c r="E12661" s="6" t="str">
        <f>HYPERLINK("https://inpn.mnhn.fr/espece/cd_nom/238458","Eysarcoris ventralis (Westwood, 1837)")</f>
        <v>Eysarcoris ventralis (Westwood, 1837)</v>
      </c>
      <c r="AH12661" s="4" t="str">
        <f>HYPERLINK("#Statut_biogéographique!A"&amp;_xlfn.XMATCH("P",Statut_biogéographique!A:A,2,1),"P")</f>
        <v>P</v>
      </c>
      <c r="AP12661" s="4" t="s">
        <v>376</v>
      </c>
      <c r="AR12661" s="4" t="s">
        <v>377</v>
      </c>
    </row>
    <row r="12662" spans="1:44">
      <c r="A12662" s="4" t="s">
        <v>10753</v>
      </c>
      <c r="B12662" s="4">
        <v>238460</v>
      </c>
      <c r="D12662" s="5" t="s">
        <v>15389</v>
      </c>
      <c r="E12662" s="6" t="str">
        <f>HYPERLINK("https://inpn.mnhn.fr/espece/cd_nom/238460","Rhaphigaster nebulosa (Poda, 1761)")</f>
        <v>Rhaphigaster nebulosa (Poda, 1761)</v>
      </c>
      <c r="F12662" s="5" t="s">
        <v>15390</v>
      </c>
      <c r="AH12662" s="4" t="str">
        <f>HYPERLINK("#Statut_biogéographique!A"&amp;_xlfn.XMATCH("P",Statut_biogéographique!A:A,2,1),"P")</f>
        <v>P</v>
      </c>
      <c r="AP12662" s="4" t="s">
        <v>376</v>
      </c>
      <c r="AR12662" s="4" t="s">
        <v>377</v>
      </c>
    </row>
    <row r="12663" spans="1:44" ht="30">
      <c r="A12663" s="4" t="s">
        <v>10753</v>
      </c>
      <c r="B12663" s="4">
        <v>238461</v>
      </c>
      <c r="D12663" s="5" t="s">
        <v>15391</v>
      </c>
      <c r="E12663" s="6" t="str">
        <f>HYPERLINK("https://inpn.mnhn.fr/espece/cd_nom/238461","Nezara viridula (Linnaeus, 1758)")</f>
        <v>Nezara viridula (Linnaeus, 1758)</v>
      </c>
      <c r="F12663" s="5" t="s">
        <v>15392</v>
      </c>
      <c r="AH12663" s="4" t="str">
        <f>HYPERLINK("#Statut_biogéographique!A"&amp;_xlfn.XMATCH("C",Statut_biogéographique!A:A,2,1),"C")</f>
        <v>C</v>
      </c>
      <c r="AP12663" s="4" t="s">
        <v>376</v>
      </c>
      <c r="AR12663" s="4" t="s">
        <v>377</v>
      </c>
    </row>
    <row r="12664" spans="1:44">
      <c r="A12664" s="4" t="s">
        <v>10753</v>
      </c>
      <c r="B12664" s="4">
        <v>238464</v>
      </c>
      <c r="D12664" s="5" t="s">
        <v>15393</v>
      </c>
      <c r="E12664" s="6" t="str">
        <f>HYPERLINK("https://inpn.mnhn.fr/espece/cd_nom/238464","Sciocoris cursitans (Fabricius, 1794)")</f>
        <v>Sciocoris cursitans (Fabricius, 1794)</v>
      </c>
      <c r="AH12664" s="4" t="str">
        <f>HYPERLINK("#Statut_biogéographique!A"&amp;_xlfn.XMATCH("P",Statut_biogéographique!A:A,2,1),"P")</f>
        <v>P</v>
      </c>
      <c r="AP12664" s="4" t="s">
        <v>376</v>
      </c>
      <c r="AR12664" s="4" t="s">
        <v>377</v>
      </c>
    </row>
    <row r="12665" spans="1:44">
      <c r="A12665" s="4" t="s">
        <v>10753</v>
      </c>
      <c r="B12665" s="4">
        <v>238468</v>
      </c>
      <c r="D12665" s="5">
        <v>238468</v>
      </c>
      <c r="E12665" s="6" t="str">
        <f>HYPERLINK("https://inpn.mnhn.fr/espece/cd_nom/238468","Sciocoris homalonotus Fieber, 1852")</f>
        <v>Sciocoris homalonotus Fieber, 1852</v>
      </c>
      <c r="AH12665" s="4" t="str">
        <f>HYPERLINK("#Statut_biogéographique!A"&amp;_xlfn.XMATCH("P",Statut_biogéographique!A:A,2,1),"P")</f>
        <v>P</v>
      </c>
      <c r="AP12665" s="4" t="s">
        <v>376</v>
      </c>
      <c r="AR12665" s="4" t="s">
        <v>377</v>
      </c>
    </row>
    <row r="12666" spans="1:44">
      <c r="A12666" s="4" t="s">
        <v>10753</v>
      </c>
      <c r="B12666" s="4">
        <v>238469</v>
      </c>
      <c r="D12666" s="5">
        <v>238469</v>
      </c>
      <c r="E12666" s="6" t="str">
        <f>HYPERLINK("https://inpn.mnhn.fr/espece/cd_nom/238469","Sciocoris macrocephalus Fieber, 1852")</f>
        <v>Sciocoris macrocephalus Fieber, 1852</v>
      </c>
      <c r="AH12666" s="4" t="str">
        <f>HYPERLINK("#Statut_biogéographique!A"&amp;_xlfn.XMATCH("P",Statut_biogéographique!A:A,2,1),"P")</f>
        <v>P</v>
      </c>
      <c r="AP12666" s="4" t="s">
        <v>376</v>
      </c>
      <c r="AR12666" s="4" t="s">
        <v>377</v>
      </c>
    </row>
    <row r="12667" spans="1:44">
      <c r="A12667" s="4" t="s">
        <v>10753</v>
      </c>
      <c r="B12667" s="4">
        <v>238470</v>
      </c>
      <c r="D12667" s="5" t="s">
        <v>15394</v>
      </c>
      <c r="E12667" s="6" t="str">
        <f>HYPERLINK("https://inpn.mnhn.fr/espece/cd_nom/238470","Sciocoris microphthalmus Flor, 1860")</f>
        <v>Sciocoris microphthalmus Flor, 1860</v>
      </c>
      <c r="AH12667" s="4" t="str">
        <f>HYPERLINK("#Statut_biogéographique!A"&amp;_xlfn.XMATCH("P",Statut_biogéographique!A:A,2,1),"P")</f>
        <v>P</v>
      </c>
      <c r="AP12667" s="4" t="s">
        <v>376</v>
      </c>
      <c r="AR12667" s="4" t="s">
        <v>377</v>
      </c>
    </row>
    <row r="12668" spans="1:44">
      <c r="A12668" s="4" t="s">
        <v>10753</v>
      </c>
      <c r="B12668" s="4">
        <v>238471</v>
      </c>
      <c r="D12668" s="5" t="s">
        <v>15395</v>
      </c>
      <c r="E12668" s="6" t="str">
        <f>HYPERLINK("https://inpn.mnhn.fr/espece/cd_nom/238471","Sciocoris umbrinus (Wolff, 1804)")</f>
        <v>Sciocoris umbrinus (Wolff, 1804)</v>
      </c>
      <c r="AH12668" s="4" t="str">
        <f>HYPERLINK("#Statut_biogéographique!A"&amp;_xlfn.XMATCH("P",Statut_biogéographique!A:A,2,1),"P")</f>
        <v>P</v>
      </c>
      <c r="AP12668" s="4" t="s">
        <v>376</v>
      </c>
      <c r="AR12668" s="4" t="s">
        <v>377</v>
      </c>
    </row>
    <row r="12669" spans="1:44">
      <c r="A12669" s="4" t="s">
        <v>10753</v>
      </c>
      <c r="B12669" s="4">
        <v>238477</v>
      </c>
      <c r="D12669" s="5" t="s">
        <v>15396</v>
      </c>
      <c r="E12669" s="6" t="str">
        <f>HYPERLINK("https://inpn.mnhn.fr/espece/cd_nom/238477","Menaccarus arenicola (Scholz, 1847)")</f>
        <v>Menaccarus arenicola (Scholz, 1847)</v>
      </c>
      <c r="AH12669" s="4" t="str">
        <f>HYPERLINK("#Statut_biogéographique!A"&amp;_xlfn.XMATCH("P",Statut_biogéographique!A:A,2,1),"P")</f>
        <v>P</v>
      </c>
      <c r="AP12669" s="4" t="s">
        <v>376</v>
      </c>
      <c r="AR12669" s="4" t="s">
        <v>377</v>
      </c>
    </row>
    <row r="12670" spans="1:44" ht="45">
      <c r="A12670" s="4" t="s">
        <v>10753</v>
      </c>
      <c r="B12670" s="4">
        <v>238479</v>
      </c>
      <c r="D12670" s="5" t="s">
        <v>15397</v>
      </c>
      <c r="E12670" s="6" t="str">
        <f>HYPERLINK("https://inpn.mnhn.fr/espece/cd_nom/238479","Eurydema oleracea (Linnaeus, 1758)")</f>
        <v>Eurydema oleracea (Linnaeus, 1758)</v>
      </c>
      <c r="F12670" s="5" t="s">
        <v>15398</v>
      </c>
      <c r="AH12670" s="4" t="str">
        <f>HYPERLINK("#Statut_biogéographique!A"&amp;_xlfn.XMATCH("P",Statut_biogéographique!A:A,2,1),"P")</f>
        <v>P</v>
      </c>
      <c r="AP12670" s="4" t="s">
        <v>376</v>
      </c>
      <c r="AR12670" s="4" t="s">
        <v>377</v>
      </c>
    </row>
    <row r="12671" spans="1:44" ht="60">
      <c r="A12671" s="4" t="s">
        <v>10753</v>
      </c>
      <c r="B12671" s="4">
        <v>238480</v>
      </c>
      <c r="D12671" s="5" t="s">
        <v>15399</v>
      </c>
      <c r="E12671" s="6" t="str">
        <f>HYPERLINK("https://inpn.mnhn.fr/espece/cd_nom/238480","Eurydema ornata (Linnaeus, 1758)")</f>
        <v>Eurydema ornata (Linnaeus, 1758)</v>
      </c>
      <c r="AH12671" s="4" t="str">
        <f>HYPERLINK("#Statut_biogéographique!A"&amp;_xlfn.XMATCH("P",Statut_biogéographique!A:A,2,1),"P")</f>
        <v>P</v>
      </c>
      <c r="AP12671" s="4" t="s">
        <v>376</v>
      </c>
      <c r="AR12671" s="4" t="s">
        <v>377</v>
      </c>
    </row>
    <row r="12672" spans="1:44">
      <c r="A12672" s="4" t="s">
        <v>10753</v>
      </c>
      <c r="B12672" s="4">
        <v>238484</v>
      </c>
      <c r="D12672" s="5" t="s">
        <v>15400</v>
      </c>
      <c r="E12672" s="6" t="str">
        <f>HYPERLINK("https://inpn.mnhn.fr/espece/cd_nom/238484","Eurydema dominulus (Scopoli, 1763)")</f>
        <v>Eurydema dominulus (Scopoli, 1763)</v>
      </c>
      <c r="AH12672" s="4" t="str">
        <f>HYPERLINK("#Statut_biogéographique!A"&amp;_xlfn.XMATCH("P",Statut_biogéographique!A:A,2,1),"P")</f>
        <v>P</v>
      </c>
      <c r="AP12672" s="4" t="s">
        <v>376</v>
      </c>
      <c r="AR12672" s="4" t="s">
        <v>377</v>
      </c>
    </row>
    <row r="12673" spans="1:44" ht="30">
      <c r="A12673" s="4" t="s">
        <v>10753</v>
      </c>
      <c r="B12673" s="4">
        <v>238485</v>
      </c>
      <c r="D12673" s="5" t="s">
        <v>15401</v>
      </c>
      <c r="E12673" s="6" t="str">
        <f>HYPERLINK("https://inpn.mnhn.fr/espece/cd_nom/238485","Eurydema ventralis Kolenati, 1846")</f>
        <v>Eurydema ventralis Kolenati, 1846</v>
      </c>
      <c r="AH12673" s="4" t="str">
        <f>HYPERLINK("#Statut_biogéographique!A"&amp;_xlfn.XMATCH("P",Statut_biogéographique!A:A,2,1),"P")</f>
        <v>P</v>
      </c>
      <c r="AP12673" s="4" t="s">
        <v>376</v>
      </c>
      <c r="AR12673" s="4" t="s">
        <v>377</v>
      </c>
    </row>
    <row r="12674" spans="1:44">
      <c r="A12674" s="4" t="s">
        <v>10753</v>
      </c>
      <c r="B12674" s="4">
        <v>238489</v>
      </c>
      <c r="D12674" s="5" t="s">
        <v>15402</v>
      </c>
      <c r="E12674" s="6" t="str">
        <f>HYPERLINK("https://inpn.mnhn.fr/espece/cd_nom/238489","Zicrona caerulea (Linnaeus, 1758)")</f>
        <v>Zicrona caerulea (Linnaeus, 1758)</v>
      </c>
      <c r="F12674" s="5" t="s">
        <v>15403</v>
      </c>
      <c r="AH12674" s="4" t="str">
        <f>HYPERLINK("#Statut_biogéographique!A"&amp;_xlfn.XMATCH("P",Statut_biogéographique!A:A,2,1),"P")</f>
        <v>P</v>
      </c>
      <c r="AP12674" s="4" t="s">
        <v>376</v>
      </c>
      <c r="AR12674" s="4" t="s">
        <v>377</v>
      </c>
    </row>
    <row r="12675" spans="1:44">
      <c r="A12675" s="4" t="s">
        <v>10753</v>
      </c>
      <c r="B12675" s="4">
        <v>238490</v>
      </c>
      <c r="D12675" s="5" t="s">
        <v>15404</v>
      </c>
      <c r="E12675" s="6" t="str">
        <f>HYPERLINK("https://inpn.mnhn.fr/espece/cd_nom/238490","Troilus luridus (Fabricius, 1775)")</f>
        <v>Troilus luridus (Fabricius, 1775)</v>
      </c>
      <c r="AH12675" s="4" t="str">
        <f>HYPERLINK("#Statut_biogéographique!A"&amp;_xlfn.XMATCH("P",Statut_biogéographique!A:A,2,1),"P")</f>
        <v>P</v>
      </c>
      <c r="AP12675" s="4" t="s">
        <v>376</v>
      </c>
      <c r="AR12675" s="4" t="s">
        <v>377</v>
      </c>
    </row>
    <row r="12676" spans="1:44">
      <c r="A12676" s="4" t="s">
        <v>10753</v>
      </c>
      <c r="B12676" s="4">
        <v>238491</v>
      </c>
      <c r="D12676" s="5" t="s">
        <v>15405</v>
      </c>
      <c r="E12676" s="6" t="str">
        <f>HYPERLINK("https://inpn.mnhn.fr/espece/cd_nom/238491","Pinthaeus sanguinipes (Fabricius, 1781)")</f>
        <v>Pinthaeus sanguinipes (Fabricius, 1781)</v>
      </c>
      <c r="AH12676" s="4" t="str">
        <f>HYPERLINK("#Statut_biogéographique!A"&amp;_xlfn.XMATCH("P",Statut_biogéographique!A:A,2,1),"P")</f>
        <v>P</v>
      </c>
      <c r="AP12676" s="4" t="s">
        <v>376</v>
      </c>
      <c r="AR12676" s="4" t="s">
        <v>377</v>
      </c>
    </row>
    <row r="12677" spans="1:44">
      <c r="A12677" s="4" t="s">
        <v>10753</v>
      </c>
      <c r="B12677" s="4">
        <v>238492</v>
      </c>
      <c r="D12677" s="5" t="s">
        <v>15406</v>
      </c>
      <c r="E12677" s="6" t="str">
        <f>HYPERLINK("https://inpn.mnhn.fr/espece/cd_nom/238492","Picromerus bidens (Linnaeus, 1758)")</f>
        <v>Picromerus bidens (Linnaeus, 1758)</v>
      </c>
      <c r="AH12677" s="4" t="str">
        <f>HYPERLINK("#Statut_biogéographique!A"&amp;_xlfn.XMATCH("P",Statut_biogéographique!A:A,2,1),"P")</f>
        <v>P</v>
      </c>
      <c r="AP12677" s="4" t="s">
        <v>376</v>
      </c>
      <c r="AR12677" s="4" t="s">
        <v>377</v>
      </c>
    </row>
    <row r="12678" spans="1:44">
      <c r="A12678" s="4" t="s">
        <v>10753</v>
      </c>
      <c r="B12678" s="4">
        <v>238494</v>
      </c>
      <c r="D12678" s="5" t="s">
        <v>15407</v>
      </c>
      <c r="E12678" s="6" t="str">
        <f>HYPERLINK("https://inpn.mnhn.fr/espece/cd_nom/238494","Jalla dumosa (Linnaeus, 1758)")</f>
        <v>Jalla dumosa (Linnaeus, 1758)</v>
      </c>
      <c r="AH12678" s="4" t="str">
        <f>HYPERLINK("#Statut_biogéographique!A"&amp;_xlfn.XMATCH("P",Statut_biogéographique!A:A,2,1),"P")</f>
        <v>P</v>
      </c>
      <c r="AP12678" s="4" t="s">
        <v>376</v>
      </c>
      <c r="AR12678" s="4" t="s">
        <v>377</v>
      </c>
    </row>
    <row r="12679" spans="1:44">
      <c r="A12679" s="4" t="s">
        <v>10753</v>
      </c>
      <c r="B12679" s="4">
        <v>238495</v>
      </c>
      <c r="D12679" s="5" t="s">
        <v>15408</v>
      </c>
      <c r="E12679" s="6" t="str">
        <f>HYPERLINK("https://inpn.mnhn.fr/espece/cd_nom/238495","Arma custos (Fabricius, 1794)")</f>
        <v>Arma custos (Fabricius, 1794)</v>
      </c>
      <c r="AH12679" s="4" t="str">
        <f>HYPERLINK("#Statut_biogéographique!A"&amp;_xlfn.XMATCH("P",Statut_biogéographique!A:A,2,1),"P")</f>
        <v>P</v>
      </c>
      <c r="AP12679" s="4" t="s">
        <v>376</v>
      </c>
      <c r="AR12679" s="4" t="s">
        <v>377</v>
      </c>
    </row>
    <row r="12680" spans="1:44">
      <c r="A12680" s="4" t="s">
        <v>10753</v>
      </c>
      <c r="B12680" s="4">
        <v>238498</v>
      </c>
      <c r="D12680" s="5" t="s">
        <v>15409</v>
      </c>
      <c r="E12680" s="6" t="str">
        <f>HYPERLINK("https://inpn.mnhn.fr/espece/cd_nom/238498","Aulops alpina (Rambur, 1842)")</f>
        <v>Aulops alpina (Rambur, 1842)</v>
      </c>
      <c r="F12680" s="5" t="s">
        <v>15410</v>
      </c>
      <c r="AH12680" s="4" t="str">
        <f>HYPERLINK("#Statut_biogéographique!A"&amp;_xlfn.XMATCH("P",Statut_biogéographique!A:A,2,1),"P")</f>
        <v>P</v>
      </c>
      <c r="AP12680" s="4" t="s">
        <v>376</v>
      </c>
      <c r="AR12680" s="4" t="s">
        <v>377</v>
      </c>
    </row>
    <row r="12681" spans="1:44">
      <c r="A12681" s="4" t="s">
        <v>10753</v>
      </c>
      <c r="B12681" s="4">
        <v>238955</v>
      </c>
      <c r="D12681" s="5" t="s">
        <v>15411</v>
      </c>
      <c r="E12681" s="6" t="str">
        <f>HYPERLINK("https://inpn.mnhn.fr/espece/cd_nom/238955","Aderus populneus (Creutzer in Panzer, 1796)")</f>
        <v>Aderus populneus (Creutzer in Panzer, 1796)</v>
      </c>
      <c r="AH12681" s="4" t="str">
        <f>HYPERLINK("#Statut_biogéographique!A"&amp;_xlfn.XMATCH("P",Statut_biogéographique!A:A,2,1),"P")</f>
        <v>P</v>
      </c>
      <c r="AP12681" s="4" t="s">
        <v>376</v>
      </c>
      <c r="AR12681" s="4" t="s">
        <v>377</v>
      </c>
    </row>
    <row r="12682" spans="1:44">
      <c r="A12682" s="4" t="s">
        <v>10753</v>
      </c>
      <c r="B12682" s="4">
        <v>238957</v>
      </c>
      <c r="D12682" s="5" t="s">
        <v>15412</v>
      </c>
      <c r="E12682" s="6" t="str">
        <f>HYPERLINK("https://inpn.mnhn.fr/espece/cd_nom/238957","Anidorus nigrinus (Germar, 1842)")</f>
        <v>Anidorus nigrinus (Germar, 1842)</v>
      </c>
      <c r="AH12682" s="4" t="str">
        <f>HYPERLINK("#Statut_biogéographique!A"&amp;_xlfn.XMATCH("P",Statut_biogéographique!A:A,2,1),"P")</f>
        <v>P</v>
      </c>
      <c r="AP12682" s="4" t="s">
        <v>376</v>
      </c>
      <c r="AR12682" s="4" t="s">
        <v>377</v>
      </c>
    </row>
    <row r="12683" spans="1:44">
      <c r="A12683" s="4" t="s">
        <v>10753</v>
      </c>
      <c r="B12683" s="4">
        <v>238961</v>
      </c>
      <c r="D12683" s="5" t="s">
        <v>15413</v>
      </c>
      <c r="E12683" s="6" t="str">
        <f>HYPERLINK("https://inpn.mnhn.fr/espece/cd_nom/238961","Euglenes oculatus (Paykull, 1798)")</f>
        <v>Euglenes oculatus (Paykull, 1798)</v>
      </c>
      <c r="AH12683" s="4" t="str">
        <f>HYPERLINK("#Statut_biogéographique!A"&amp;_xlfn.XMATCH("P",Statut_biogéographique!A:A,2,1),"P")</f>
        <v>P</v>
      </c>
      <c r="AP12683" s="4" t="s">
        <v>376</v>
      </c>
      <c r="AR12683" s="4" t="s">
        <v>377</v>
      </c>
    </row>
    <row r="12684" spans="1:44">
      <c r="A12684" s="4" t="s">
        <v>10753</v>
      </c>
      <c r="B12684" s="4">
        <v>238962</v>
      </c>
      <c r="D12684" s="5" t="s">
        <v>15414</v>
      </c>
      <c r="E12684" s="6" t="str">
        <f>HYPERLINK("https://inpn.mnhn.fr/espece/cd_nom/238962","Euglenes pygmaeus (De Geer, 1774)")</f>
        <v>Euglenes pygmaeus (De Geer, 1774)</v>
      </c>
      <c r="AH12684" s="4" t="str">
        <f>HYPERLINK("#Statut_biogéographique!A"&amp;_xlfn.XMATCH("P",Statut_biogéographique!A:A,2,1),"P")</f>
        <v>P</v>
      </c>
      <c r="AP12684" s="4" t="s">
        <v>376</v>
      </c>
      <c r="AR12684" s="4" t="s">
        <v>377</v>
      </c>
    </row>
    <row r="12685" spans="1:44">
      <c r="A12685" s="4" t="s">
        <v>10753</v>
      </c>
      <c r="B12685" s="4">
        <v>238967</v>
      </c>
      <c r="D12685" s="5">
        <v>238967</v>
      </c>
      <c r="E12685" s="6" t="str">
        <f>HYPERLINK("https://inpn.mnhn.fr/espece/cd_nom/238967","Phytobaenus amabilis R.F. Sahlberg, 1834")</f>
        <v>Phytobaenus amabilis R.F. Sahlberg, 1834</v>
      </c>
      <c r="AH12685" s="4" t="str">
        <f>HYPERLINK("#Statut_biogéographique!A"&amp;_xlfn.XMATCH("P",Statut_biogéographique!A:A,2,1),"P")</f>
        <v>P</v>
      </c>
      <c r="AP12685" s="4" t="s">
        <v>376</v>
      </c>
      <c r="AR12685" s="4" t="s">
        <v>377</v>
      </c>
    </row>
    <row r="12686" spans="1:44">
      <c r="A12686" s="4" t="s">
        <v>10753</v>
      </c>
      <c r="B12686" s="4">
        <v>239003</v>
      </c>
      <c r="D12686" s="5" t="s">
        <v>15415</v>
      </c>
      <c r="E12686" s="6" t="str">
        <f>HYPERLINK("https://inpn.mnhn.fr/espece/cd_nom/239003","Omonadus bifasciatus (Rossi, 1792)")</f>
        <v>Omonadus bifasciatus (Rossi, 1792)</v>
      </c>
      <c r="AH12686" s="4" t="str">
        <f>HYPERLINK("#Statut_biogéographique!A"&amp;_xlfn.XMATCH("P",Statut_biogéographique!A:A,2,1),"P")</f>
        <v>P</v>
      </c>
      <c r="AP12686" s="4" t="s">
        <v>376</v>
      </c>
      <c r="AR12686" s="4" t="s">
        <v>377</v>
      </c>
    </row>
    <row r="12687" spans="1:44">
      <c r="A12687" s="4" t="s">
        <v>10753</v>
      </c>
      <c r="B12687" s="4">
        <v>239004</v>
      </c>
      <c r="D12687" s="5" t="s">
        <v>15416</v>
      </c>
      <c r="E12687" s="6" t="str">
        <f>HYPERLINK("https://inpn.mnhn.fr/espece/cd_nom/239004","Omonadus floralis (Linnaeus, 1758)")</f>
        <v>Omonadus floralis (Linnaeus, 1758)</v>
      </c>
      <c r="AH12687" s="4" t="str">
        <f>HYPERLINK("#Statut_biogéographique!A"&amp;_xlfn.XMATCH("I",Statut_biogéographique!A:A,2,1),"I")</f>
        <v>I</v>
      </c>
      <c r="AP12687" s="4" t="s">
        <v>376</v>
      </c>
      <c r="AR12687" s="4" t="s">
        <v>377</v>
      </c>
    </row>
    <row r="12688" spans="1:44">
      <c r="A12688" s="4" t="s">
        <v>10753</v>
      </c>
      <c r="B12688" s="4">
        <v>239013</v>
      </c>
      <c r="D12688" s="5" t="s">
        <v>15417</v>
      </c>
      <c r="E12688" s="6" t="str">
        <f>HYPERLINK("https://inpn.mnhn.fr/espece/cd_nom/239013","Anthicus flavipes (Panzer, 1796)")</f>
        <v>Anthicus flavipes (Panzer, 1796)</v>
      </c>
      <c r="AH12688" s="4" t="str">
        <f>HYPERLINK("#Statut_biogéographique!A"&amp;_xlfn.XMATCH("P",Statut_biogéographique!A:A,2,1),"P")</f>
        <v>P</v>
      </c>
      <c r="AP12688" s="4" t="s">
        <v>376</v>
      </c>
      <c r="AR12688" s="4" t="s">
        <v>377</v>
      </c>
    </row>
    <row r="12689" spans="1:44">
      <c r="A12689" s="4" t="s">
        <v>10753</v>
      </c>
      <c r="B12689" s="4">
        <v>23904</v>
      </c>
      <c r="D12689" s="5" t="s">
        <v>15418</v>
      </c>
      <c r="E12689" s="6" t="str">
        <f>HYPERLINK("https://inpn.mnhn.fr/espece/cd_nom/23904","Pseudacteon formicarum (Verrall, 1877)")</f>
        <v>Pseudacteon formicarum (Verrall, 1877)</v>
      </c>
      <c r="AH12689" s="4" t="str">
        <f>HYPERLINK("#Statut_biogéographique!A"&amp;_xlfn.XMATCH("P",Statut_biogéographique!A:A,2,1),"P")</f>
        <v>P</v>
      </c>
      <c r="AP12689" s="4" t="s">
        <v>376</v>
      </c>
      <c r="AR12689" s="4" t="s">
        <v>377</v>
      </c>
    </row>
    <row r="12690" spans="1:44" ht="30">
      <c r="A12690" s="4" t="s">
        <v>10753</v>
      </c>
      <c r="B12690" s="4">
        <v>239048</v>
      </c>
      <c r="D12690" s="5" t="s">
        <v>15419</v>
      </c>
      <c r="E12690" s="6" t="str">
        <f>HYPERLINK("https://inpn.mnhn.fr/espece/cd_nom/239048","Henosepilachna argus (Geoffroy in Fourcroy, 1785)")</f>
        <v>Henosepilachna argus (Geoffroy in Fourcroy, 1785)</v>
      </c>
      <c r="F12690" s="5" t="s">
        <v>15420</v>
      </c>
      <c r="AH12690" s="4" t="str">
        <f>HYPERLINK("#Statut_biogéographique!A"&amp;_xlfn.XMATCH("P",Statut_biogéographique!A:A,2,1),"P")</f>
        <v>P</v>
      </c>
      <c r="AP12690" s="4" t="s">
        <v>376</v>
      </c>
      <c r="AR12690" s="4" t="s">
        <v>377</v>
      </c>
    </row>
    <row r="12691" spans="1:44">
      <c r="A12691" s="4" t="s">
        <v>10753</v>
      </c>
      <c r="B12691" s="4">
        <v>239051</v>
      </c>
      <c r="D12691" s="5" t="s">
        <v>15421</v>
      </c>
      <c r="E12691" s="6" t="str">
        <f>HYPERLINK("https://inpn.mnhn.fr/espece/cd_nom/239051","Cynegetis impunctata (Linnaeus, 1767)")</f>
        <v>Cynegetis impunctata (Linnaeus, 1767)</v>
      </c>
      <c r="AH12691" s="4" t="str">
        <f>HYPERLINK("#Statut_biogéographique!A"&amp;_xlfn.XMATCH("D",Statut_biogéographique!A:A,2,1),"D")</f>
        <v>D</v>
      </c>
      <c r="AP12691" s="4" t="s">
        <v>376</v>
      </c>
      <c r="AR12691" s="4" t="s">
        <v>377</v>
      </c>
    </row>
    <row r="12692" spans="1:44" ht="30">
      <c r="A12692" s="4" t="s">
        <v>10753</v>
      </c>
      <c r="B12692" s="4">
        <v>239052</v>
      </c>
      <c r="D12692" s="5" t="s">
        <v>15422</v>
      </c>
      <c r="E12692" s="6" t="str">
        <f>HYPERLINK("https://inpn.mnhn.fr/espece/cd_nom/239052","Subcoccinella vigintiquatuorpunctata (Linnaeus, 1758)")</f>
        <v>Subcoccinella vigintiquatuorpunctata (Linnaeus, 1758)</v>
      </c>
      <c r="F12692" s="5" t="s">
        <v>15423</v>
      </c>
      <c r="AH12692" s="4" t="str">
        <f>HYPERLINK("#Statut_biogéographique!A"&amp;_xlfn.XMATCH("P",Statut_biogéographique!A:A,2,1),"P")</f>
        <v>P</v>
      </c>
      <c r="AP12692" s="4" t="s">
        <v>376</v>
      </c>
      <c r="AR12692" s="4" t="s">
        <v>377</v>
      </c>
    </row>
    <row r="12693" spans="1:44">
      <c r="A12693" s="4" t="s">
        <v>10753</v>
      </c>
      <c r="B12693" s="4">
        <v>239054</v>
      </c>
      <c r="D12693" s="5" t="s">
        <v>15424</v>
      </c>
      <c r="E12693" s="6" t="str">
        <f>HYPERLINK("https://inpn.mnhn.fr/espece/cd_nom/239054","Platynaspis luteorubra (Goeze, 1777)")</f>
        <v>Platynaspis luteorubra (Goeze, 1777)</v>
      </c>
      <c r="AH12693" s="4" t="str">
        <f>HYPERLINK("#Statut_biogéographique!A"&amp;_xlfn.XMATCH("P",Statut_biogéographique!A:A,2,1),"P")</f>
        <v>P</v>
      </c>
      <c r="AP12693" s="4" t="s">
        <v>376</v>
      </c>
      <c r="AR12693" s="4" t="s">
        <v>377</v>
      </c>
    </row>
    <row r="12694" spans="1:44" ht="30">
      <c r="A12694" s="4" t="s">
        <v>10753</v>
      </c>
      <c r="B12694" s="4">
        <v>239062</v>
      </c>
      <c r="D12694" s="5">
        <v>239062</v>
      </c>
      <c r="E12694" s="6" t="str">
        <f>HYPERLINK("https://inpn.mnhn.fr/espece/cd_nom/239062","Scymnus mediterraneus Iablokoff-Khnzorian, 1972")</f>
        <v>Scymnus mediterraneus Iablokoff-Khnzorian, 1972</v>
      </c>
      <c r="AH12694" s="4" t="str">
        <f>HYPERLINK("#Statut_biogéographique!A"&amp;_xlfn.XMATCH("P",Statut_biogéographique!A:A,2,1),"P")</f>
        <v>P</v>
      </c>
      <c r="AP12694" s="4" t="s">
        <v>376</v>
      </c>
      <c r="AR12694" s="4" t="s">
        <v>377</v>
      </c>
    </row>
    <row r="12695" spans="1:44">
      <c r="A12695" s="4" t="s">
        <v>10753</v>
      </c>
      <c r="B12695" s="4">
        <v>239063</v>
      </c>
      <c r="D12695" s="5" t="s">
        <v>15425</v>
      </c>
      <c r="E12695" s="6" t="str">
        <f>HYPERLINK("https://inpn.mnhn.fr/espece/cd_nom/239063","Scymnus haemorrhoidalis Herbst, 1797")</f>
        <v>Scymnus haemorrhoidalis Herbst, 1797</v>
      </c>
      <c r="AH12695" s="4" t="str">
        <f>HYPERLINK("#Statut_biogéographique!A"&amp;_xlfn.XMATCH("P",Statut_biogéographique!A:A,2,1),"P")</f>
        <v>P</v>
      </c>
      <c r="AP12695" s="4" t="s">
        <v>376</v>
      </c>
      <c r="AR12695" s="4" t="s">
        <v>377</v>
      </c>
    </row>
    <row r="12696" spans="1:44">
      <c r="A12696" s="4" t="s">
        <v>10753</v>
      </c>
      <c r="B12696" s="4">
        <v>239064</v>
      </c>
      <c r="D12696" s="5" t="s">
        <v>15426</v>
      </c>
      <c r="E12696" s="6" t="str">
        <f>HYPERLINK("https://inpn.mnhn.fr/espece/cd_nom/239064","Scymnus limbatus Stephens, 1832")</f>
        <v>Scymnus limbatus Stephens, 1832</v>
      </c>
      <c r="AH12696" s="4" t="str">
        <f>HYPERLINK("#Statut_biogéographique!A"&amp;_xlfn.XMATCH("P",Statut_biogéographique!A:A,2,1),"P")</f>
        <v>P</v>
      </c>
      <c r="AP12696" s="4" t="s">
        <v>376</v>
      </c>
      <c r="AR12696" s="4" t="s">
        <v>377</v>
      </c>
    </row>
    <row r="12697" spans="1:44">
      <c r="A12697" s="4" t="s">
        <v>10753</v>
      </c>
      <c r="B12697" s="4">
        <v>239065</v>
      </c>
      <c r="D12697" s="5" t="s">
        <v>15427</v>
      </c>
      <c r="E12697" s="6" t="str">
        <f>HYPERLINK("https://inpn.mnhn.fr/espece/cd_nom/239065","Scymnus abietis (Paykull, 1798)")</f>
        <v>Scymnus abietis (Paykull, 1798)</v>
      </c>
      <c r="AH12697" s="4" t="str">
        <f>HYPERLINK("#Statut_biogéographique!A"&amp;_xlfn.XMATCH("P",Statut_biogéographique!A:A,2,1),"P")</f>
        <v>P</v>
      </c>
      <c r="AP12697" s="4" t="s">
        <v>376</v>
      </c>
      <c r="AR12697" s="4" t="s">
        <v>377</v>
      </c>
    </row>
    <row r="12698" spans="1:44">
      <c r="A12698" s="4" t="s">
        <v>10753</v>
      </c>
      <c r="B12698" s="4">
        <v>239067</v>
      </c>
      <c r="D12698" s="5" t="s">
        <v>15428</v>
      </c>
      <c r="E12698" s="6" t="str">
        <f>HYPERLINK("https://inpn.mnhn.fr/espece/cd_nom/239067","Scymnus fraxini Mulsant, 1850")</f>
        <v>Scymnus fraxini Mulsant, 1850</v>
      </c>
      <c r="AH12698" s="4" t="str">
        <f>HYPERLINK("#Statut_biogéographique!A"&amp;_xlfn.XMATCH("P",Statut_biogéographique!A:A,2,1),"P")</f>
        <v>P</v>
      </c>
      <c r="AP12698" s="4" t="s">
        <v>376</v>
      </c>
      <c r="AR12698" s="4" t="s">
        <v>377</v>
      </c>
    </row>
    <row r="12699" spans="1:44">
      <c r="A12699" s="4" t="s">
        <v>10753</v>
      </c>
      <c r="B12699" s="4">
        <v>239068</v>
      </c>
      <c r="D12699" s="5" t="s">
        <v>15429</v>
      </c>
      <c r="E12699" s="6" t="str">
        <f>HYPERLINK("https://inpn.mnhn.fr/espece/cd_nom/239068","Scymnus impexus Mulsant, 1850")</f>
        <v>Scymnus impexus Mulsant, 1850</v>
      </c>
      <c r="AH12699" s="4" t="str">
        <f>HYPERLINK("#Statut_biogéographique!A"&amp;_xlfn.XMATCH("P",Statut_biogéographique!A:A,2,1),"P")</f>
        <v>P</v>
      </c>
      <c r="AP12699" s="4" t="s">
        <v>376</v>
      </c>
      <c r="AR12699" s="4" t="s">
        <v>377</v>
      </c>
    </row>
    <row r="12700" spans="1:44">
      <c r="A12700" s="4" t="s">
        <v>10753</v>
      </c>
      <c r="B12700" s="4">
        <v>239071</v>
      </c>
      <c r="D12700" s="5">
        <v>239071</v>
      </c>
      <c r="E12700" s="6" t="str">
        <f>HYPERLINK("https://inpn.mnhn.fr/espece/cd_nom/239071","Scymnus doriae Capra, 1924")</f>
        <v>Scymnus doriae Capra, 1924</v>
      </c>
      <c r="AH12700" s="4" t="str">
        <f>HYPERLINK("#Statut_biogéographique!A"&amp;_xlfn.XMATCH("P",Statut_biogéographique!A:A,2,1),"P")</f>
        <v>P</v>
      </c>
      <c r="AP12700" s="4" t="s">
        <v>376</v>
      </c>
      <c r="AR12700" s="4" t="s">
        <v>377</v>
      </c>
    </row>
    <row r="12701" spans="1:44">
      <c r="A12701" s="4" t="s">
        <v>10753</v>
      </c>
      <c r="B12701" s="4">
        <v>239072</v>
      </c>
      <c r="D12701" s="5" t="s">
        <v>15430</v>
      </c>
      <c r="E12701" s="6" t="str">
        <f>HYPERLINK("https://inpn.mnhn.fr/espece/cd_nom/239072","Scymnus marginalis (Rossi, 1794)")</f>
        <v>Scymnus marginalis (Rossi, 1794)</v>
      </c>
      <c r="AH12701" s="4" t="str">
        <f>HYPERLINK("#Statut_biogéographique!A"&amp;_xlfn.XMATCH("P",Statut_biogéographique!A:A,2,1),"P")</f>
        <v>P</v>
      </c>
      <c r="AP12701" s="4" t="s">
        <v>376</v>
      </c>
      <c r="AR12701" s="4" t="s">
        <v>377</v>
      </c>
    </row>
    <row r="12702" spans="1:44">
      <c r="A12702" s="4" t="s">
        <v>10753</v>
      </c>
      <c r="B12702" s="4">
        <v>239074</v>
      </c>
      <c r="D12702" s="5">
        <v>239074</v>
      </c>
      <c r="E12702" s="6" t="str">
        <f>HYPERLINK("https://inpn.mnhn.fr/espece/cd_nom/239074","Scymnus nigrinus Kugelann, 1794")</f>
        <v>Scymnus nigrinus Kugelann, 1794</v>
      </c>
      <c r="AH12702" s="4" t="str">
        <f>HYPERLINK("#Statut_biogéographique!A"&amp;_xlfn.XMATCH("P",Statut_biogéographique!A:A,2,1),"P")</f>
        <v>P</v>
      </c>
      <c r="AP12702" s="4" t="s">
        <v>376</v>
      </c>
      <c r="AR12702" s="4" t="s">
        <v>377</v>
      </c>
    </row>
    <row r="12703" spans="1:44">
      <c r="A12703" s="4" t="s">
        <v>10753</v>
      </c>
      <c r="B12703" s="4">
        <v>239077</v>
      </c>
      <c r="D12703" s="5" t="s">
        <v>15431</v>
      </c>
      <c r="E12703" s="6" t="str">
        <f>HYPERLINK("https://inpn.mnhn.fr/espece/cd_nom/239077","Scymnus rufipes (Fabricius, 1798)")</f>
        <v>Scymnus rufipes (Fabricius, 1798)</v>
      </c>
      <c r="AH12703" s="4" t="str">
        <f>HYPERLINK("#Statut_biogéographique!A"&amp;_xlfn.XMATCH("P",Statut_biogéographique!A:A,2,1),"P")</f>
        <v>P</v>
      </c>
      <c r="AP12703" s="4" t="s">
        <v>376</v>
      </c>
      <c r="AR12703" s="4" t="s">
        <v>377</v>
      </c>
    </row>
    <row r="12704" spans="1:44">
      <c r="A12704" s="4" t="s">
        <v>10753</v>
      </c>
      <c r="B12704" s="4">
        <v>239081</v>
      </c>
      <c r="D12704" s="5" t="s">
        <v>15432</v>
      </c>
      <c r="E12704" s="6" t="str">
        <f>HYPERLINK("https://inpn.mnhn.fr/espece/cd_nom/239081","Nephus bipunctatus (Kugelann, 1794)")</f>
        <v>Nephus bipunctatus (Kugelann, 1794)</v>
      </c>
      <c r="AH12704" s="4" t="str">
        <f>HYPERLINK("#Statut_biogéographique!A"&amp;_xlfn.XMATCH("P",Statut_biogéographique!A:A,2,1),"P")</f>
        <v>P</v>
      </c>
      <c r="AP12704" s="4" t="s">
        <v>376</v>
      </c>
      <c r="AR12704" s="4" t="s">
        <v>377</v>
      </c>
    </row>
    <row r="12705" spans="1:44">
      <c r="A12705" s="4" t="s">
        <v>10753</v>
      </c>
      <c r="B12705" s="4">
        <v>239084</v>
      </c>
      <c r="D12705" s="5">
        <v>239084</v>
      </c>
      <c r="E12705" s="6" t="str">
        <f>HYPERLINK("https://inpn.mnhn.fr/espece/cd_nom/239084","Nephus nigricans Weise, 1879")</f>
        <v>Nephus nigricans Weise, 1879</v>
      </c>
      <c r="AH12705" s="4" t="str">
        <f>HYPERLINK("#Statut_biogéographique!A"&amp;_xlfn.XMATCH("P",Statut_biogéographique!A:A,2,1),"P")</f>
        <v>P</v>
      </c>
      <c r="AP12705" s="4" t="s">
        <v>376</v>
      </c>
      <c r="AR12705" s="4" t="s">
        <v>377</v>
      </c>
    </row>
    <row r="12706" spans="1:44" ht="30">
      <c r="A12706" s="4" t="s">
        <v>10753</v>
      </c>
      <c r="B12706" s="4">
        <v>239085</v>
      </c>
      <c r="D12706" s="5" t="s">
        <v>15433</v>
      </c>
      <c r="E12706" s="6" t="str">
        <f>HYPERLINK("https://inpn.mnhn.fr/espece/cd_nom/239085","Nephus binotatus (Brisout de Barneville, 1863)")</f>
        <v>Nephus binotatus (Brisout de Barneville, 1863)</v>
      </c>
      <c r="AH12706" s="4" t="str">
        <f>HYPERLINK("#Statut_biogéographique!A"&amp;_xlfn.XMATCH("P",Statut_biogéographique!A:A,2,1),"P")</f>
        <v>P</v>
      </c>
      <c r="AP12706" s="4" t="s">
        <v>376</v>
      </c>
      <c r="AR12706" s="4" t="s">
        <v>377</v>
      </c>
    </row>
    <row r="12707" spans="1:44" ht="60">
      <c r="A12707" s="4" t="s">
        <v>10753</v>
      </c>
      <c r="B12707" s="4">
        <v>239087</v>
      </c>
      <c r="D12707" s="5" t="s">
        <v>15434</v>
      </c>
      <c r="E12707" s="6" t="str">
        <f>HYPERLINK("https://inpn.mnhn.fr/espece/cd_nom/239087","Nephus quadrimaculatus (Herbst, 1783)")</f>
        <v>Nephus quadrimaculatus (Herbst, 1783)</v>
      </c>
      <c r="F12707" s="5" t="s">
        <v>15435</v>
      </c>
      <c r="AH12707" s="4" t="str">
        <f>HYPERLINK("#Statut_biogéographique!A"&amp;_xlfn.XMATCH("P",Statut_biogéographique!A:A,2,1),"P")</f>
        <v>P</v>
      </c>
      <c r="AP12707" s="4" t="s">
        <v>376</v>
      </c>
      <c r="AR12707" s="4" t="s">
        <v>377</v>
      </c>
    </row>
    <row r="12708" spans="1:44">
      <c r="A12708" s="4" t="s">
        <v>10753</v>
      </c>
      <c r="B12708" s="4">
        <v>239096</v>
      </c>
      <c r="D12708" s="5">
        <v>239096</v>
      </c>
      <c r="E12708" s="6" t="str">
        <f>HYPERLINK("https://inpn.mnhn.fr/espece/cd_nom/239096","Cryptolaemus montrouzieri Mulsant, 1853")</f>
        <v>Cryptolaemus montrouzieri Mulsant, 1853</v>
      </c>
      <c r="AH12708" s="4" t="str">
        <f>HYPERLINK("#Statut_biogéographique!A"&amp;_xlfn.XMATCH("I",Statut_biogéographique!A:A,2,1),"I")</f>
        <v>I</v>
      </c>
      <c r="AP12708" s="4" t="s">
        <v>376</v>
      </c>
      <c r="AR12708" s="4" t="s">
        <v>377</v>
      </c>
    </row>
    <row r="12709" spans="1:44">
      <c r="A12709" s="4" t="s">
        <v>10753</v>
      </c>
      <c r="B12709" s="4">
        <v>239097</v>
      </c>
      <c r="D12709" s="5" t="s">
        <v>15436</v>
      </c>
      <c r="E12709" s="6" t="str">
        <f>HYPERLINK("https://inpn.mnhn.fr/espece/cd_nom/239097","Clitostethus arcuatus (Rossi, 1794)")</f>
        <v>Clitostethus arcuatus (Rossi, 1794)</v>
      </c>
      <c r="AH12709" s="4" t="str">
        <f>HYPERLINK("#Statut_biogéographique!A"&amp;_xlfn.XMATCH("P",Statut_biogéographique!A:A,2,1),"P")</f>
        <v>P</v>
      </c>
      <c r="AP12709" s="4" t="s">
        <v>376</v>
      </c>
      <c r="AR12709" s="4" t="s">
        <v>377</v>
      </c>
    </row>
    <row r="12710" spans="1:44">
      <c r="A12710" s="4" t="s">
        <v>10753</v>
      </c>
      <c r="B12710" s="4">
        <v>239098</v>
      </c>
      <c r="D12710" s="5" t="s">
        <v>15437</v>
      </c>
      <c r="E12710" s="6" t="str">
        <f>HYPERLINK("https://inpn.mnhn.fr/espece/cd_nom/239098","Hyperaspis campestris (Herbst, 1783)")</f>
        <v>Hyperaspis campestris (Herbst, 1783)</v>
      </c>
      <c r="AH12710" s="4" t="str">
        <f>HYPERLINK("#Statut_biogéographique!A"&amp;_xlfn.XMATCH("P",Statut_biogéographique!A:A,2,1),"P")</f>
        <v>P</v>
      </c>
      <c r="AP12710" s="4" t="s">
        <v>376</v>
      </c>
      <c r="AR12710" s="4" t="s">
        <v>377</v>
      </c>
    </row>
    <row r="12711" spans="1:44">
      <c r="A12711" s="4" t="s">
        <v>10753</v>
      </c>
      <c r="B12711" s="4">
        <v>239100</v>
      </c>
      <c r="D12711" s="5" t="s">
        <v>15438</v>
      </c>
      <c r="E12711" s="6" t="str">
        <f>HYPERLINK("https://inpn.mnhn.fr/espece/cd_nom/239100","Hyperaspis concolor Suffrian, 1843")</f>
        <v>Hyperaspis concolor Suffrian, 1843</v>
      </c>
      <c r="AH12711" s="4" t="str">
        <f>HYPERLINK("#Statut_biogéographique!A"&amp;_xlfn.XMATCH("P",Statut_biogéographique!A:A,2,1),"P")</f>
        <v>P</v>
      </c>
      <c r="AP12711" s="4" t="s">
        <v>376</v>
      </c>
      <c r="AR12711" s="4" t="s">
        <v>377</v>
      </c>
    </row>
    <row r="12712" spans="1:44">
      <c r="A12712" s="4" t="s">
        <v>10753</v>
      </c>
      <c r="B12712" s="4">
        <v>239110</v>
      </c>
      <c r="D12712" s="5" t="s">
        <v>15439</v>
      </c>
      <c r="E12712" s="6" t="str">
        <f>HYPERLINK("https://inpn.mnhn.fr/espece/cd_nom/239110","Sospita vigintiguttata (Linnaeus, 1758)")</f>
        <v>Sospita vigintiguttata (Linnaeus, 1758)</v>
      </c>
      <c r="AH12712" s="4" t="str">
        <f>HYPERLINK("#Statut_biogéographique!A"&amp;_xlfn.XMATCH("P",Statut_biogéographique!A:A,2,1),"P")</f>
        <v>P</v>
      </c>
      <c r="AP12712" s="4" t="s">
        <v>376</v>
      </c>
      <c r="AR12712" s="4" t="s">
        <v>377</v>
      </c>
    </row>
    <row r="12713" spans="1:44" ht="30">
      <c r="A12713" s="4" t="s">
        <v>10753</v>
      </c>
      <c r="B12713" s="4">
        <v>239111</v>
      </c>
      <c r="D12713" s="5" t="s">
        <v>15440</v>
      </c>
      <c r="E12713" s="6" t="str">
        <f>HYPERLINK("https://inpn.mnhn.fr/espece/cd_nom/239111","Propylea quatuordecimpunctata (Linnaeus, 1758)")</f>
        <v>Propylea quatuordecimpunctata (Linnaeus, 1758)</v>
      </c>
      <c r="F12713" s="5" t="s">
        <v>15441</v>
      </c>
      <c r="AH12713" s="4" t="str">
        <f>HYPERLINK("#Statut_biogéographique!A"&amp;_xlfn.XMATCH("P",Statut_biogéographique!A:A,2,1),"P")</f>
        <v>P</v>
      </c>
      <c r="AP12713" s="4" t="s">
        <v>376</v>
      </c>
      <c r="AR12713" s="4" t="s">
        <v>377</v>
      </c>
    </row>
    <row r="12714" spans="1:44">
      <c r="A12714" s="4" t="s">
        <v>10753</v>
      </c>
      <c r="B12714" s="4">
        <v>239112</v>
      </c>
      <c r="D12714" s="5" t="s">
        <v>15442</v>
      </c>
      <c r="E12714" s="6" t="str">
        <f>HYPERLINK("https://inpn.mnhn.fr/espece/cd_nom/239112","Oenopia conglobata (Linnaeus, 1758)")</f>
        <v>Oenopia conglobata (Linnaeus, 1758)</v>
      </c>
      <c r="F12714" s="5" t="s">
        <v>15443</v>
      </c>
      <c r="AH12714" s="4" t="str">
        <f>HYPERLINK("#Statut_biogéographique!A"&amp;_xlfn.XMATCH("P",Statut_biogéographique!A:A,2,1),"P")</f>
        <v>P</v>
      </c>
      <c r="AP12714" s="4" t="s">
        <v>376</v>
      </c>
      <c r="AR12714" s="4" t="s">
        <v>377</v>
      </c>
    </row>
    <row r="12715" spans="1:44">
      <c r="A12715" s="4" t="s">
        <v>10753</v>
      </c>
      <c r="B12715" s="4">
        <v>239114</v>
      </c>
      <c r="D12715" s="5" t="s">
        <v>15444</v>
      </c>
      <c r="E12715" s="6" t="str">
        <f>HYPERLINK("https://inpn.mnhn.fr/espece/cd_nom/239114","Oenopia impustulata (Linnaeus, 1767)")</f>
        <v>Oenopia impustulata (Linnaeus, 1767)</v>
      </c>
      <c r="AH12715" s="4" t="str">
        <f>HYPERLINK("#Statut_biogéographique!A"&amp;_xlfn.XMATCH("P",Statut_biogéographique!A:A,2,1),"P")</f>
        <v>P</v>
      </c>
      <c r="AP12715" s="4" t="s">
        <v>376</v>
      </c>
      <c r="AR12715" s="4" t="s">
        <v>377</v>
      </c>
    </row>
    <row r="12716" spans="1:44">
      <c r="A12716" s="4" t="s">
        <v>10753</v>
      </c>
      <c r="B12716" s="4">
        <v>239115</v>
      </c>
      <c r="D12716" s="5" t="s">
        <v>15445</v>
      </c>
      <c r="E12716" s="6" t="str">
        <f>HYPERLINK("https://inpn.mnhn.fr/espece/cd_nom/239115","Oenopia lyncea (Olivier, 1808)")</f>
        <v>Oenopia lyncea (Olivier, 1808)</v>
      </c>
      <c r="AH12716" s="4" t="str">
        <f>HYPERLINK("#Statut_biogéographique!A"&amp;_xlfn.XMATCH("P",Statut_biogéographique!A:A,2,1),"P")</f>
        <v>P</v>
      </c>
      <c r="AP12716" s="4" t="s">
        <v>376</v>
      </c>
      <c r="AR12716" s="4" t="s">
        <v>377</v>
      </c>
    </row>
    <row r="12717" spans="1:44">
      <c r="A12717" s="4" t="s">
        <v>10753</v>
      </c>
      <c r="B12717" s="4">
        <v>239116</v>
      </c>
      <c r="D12717" s="5" t="s">
        <v>15446</v>
      </c>
      <c r="E12717" s="6" t="str">
        <f>HYPERLINK("https://inpn.mnhn.fr/espece/cd_nom/239116","Myzia oblongoguttata (Linnaeus, 1758)")</f>
        <v>Myzia oblongoguttata (Linnaeus, 1758)</v>
      </c>
      <c r="F12717" s="5" t="s">
        <v>15447</v>
      </c>
      <c r="AH12717" s="4" t="str">
        <f>HYPERLINK("#Statut_biogéographique!A"&amp;_xlfn.XMATCH("P",Statut_biogéographique!A:A,2,1),"P")</f>
        <v>P</v>
      </c>
      <c r="AP12717" s="4" t="s">
        <v>376</v>
      </c>
      <c r="AR12717" s="4" t="s">
        <v>377</v>
      </c>
    </row>
    <row r="12718" spans="1:44">
      <c r="A12718" s="4" t="s">
        <v>10753</v>
      </c>
      <c r="B12718" s="4">
        <v>239117</v>
      </c>
      <c r="D12718" s="5" t="s">
        <v>15448</v>
      </c>
      <c r="E12718" s="6" t="str">
        <f>HYPERLINK("https://inpn.mnhn.fr/espece/cd_nom/239117","Myrrha octodecimguttata (Linnaeus, 1758)")</f>
        <v>Myrrha octodecimguttata (Linnaeus, 1758)</v>
      </c>
      <c r="F12718" s="5" t="s">
        <v>15449</v>
      </c>
      <c r="AH12718" s="4" t="str">
        <f>HYPERLINK("#Statut_biogéographique!A"&amp;_xlfn.XMATCH("P",Statut_biogéographique!A:A,2,1),"P")</f>
        <v>P</v>
      </c>
      <c r="AP12718" s="4" t="s">
        <v>376</v>
      </c>
      <c r="AR12718" s="4" t="s">
        <v>377</v>
      </c>
    </row>
    <row r="12719" spans="1:44" ht="30">
      <c r="A12719" s="4" t="s">
        <v>10753</v>
      </c>
      <c r="B12719" s="4">
        <v>239120</v>
      </c>
      <c r="D12719" s="5" t="s">
        <v>15450</v>
      </c>
      <c r="E12719" s="6" t="str">
        <f>HYPERLINK("https://inpn.mnhn.fr/espece/cd_nom/239120","Hippodamia septemmaculata (De Geer, 1775)")</f>
        <v>Hippodamia septemmaculata (De Geer, 1775)</v>
      </c>
      <c r="AH12719" s="4" t="str">
        <f>HYPERLINK("#Statut_biogéographique!A"&amp;_xlfn.XMATCH("P",Statut_biogéographique!A:A,2,1),"P")</f>
        <v>P</v>
      </c>
      <c r="AP12719" s="4" t="s">
        <v>376</v>
      </c>
      <c r="AR12719" s="4" t="s">
        <v>377</v>
      </c>
    </row>
    <row r="12720" spans="1:44" ht="30">
      <c r="A12720" s="4" t="s">
        <v>10753</v>
      </c>
      <c r="B12720" s="4">
        <v>239122</v>
      </c>
      <c r="D12720" s="5" t="s">
        <v>15451</v>
      </c>
      <c r="E12720" s="6" t="str">
        <f>HYPERLINK("https://inpn.mnhn.fr/espece/cd_nom/239122","Coccinula quatuordecimpustulata (Linnaeus, 1758)")</f>
        <v>Coccinula quatuordecimpustulata (Linnaeus, 1758)</v>
      </c>
      <c r="AH12720" s="4" t="str">
        <f>HYPERLINK("#Statut_biogéographique!A"&amp;_xlfn.XMATCH("P",Statut_biogéographique!A:A,2,1),"P")</f>
        <v>P</v>
      </c>
      <c r="AP12720" s="4" t="s">
        <v>376</v>
      </c>
      <c r="AR12720" s="4" t="s">
        <v>377</v>
      </c>
    </row>
    <row r="12721" spans="1:44">
      <c r="A12721" s="4" t="s">
        <v>10753</v>
      </c>
      <c r="B12721" s="4">
        <v>239125</v>
      </c>
      <c r="D12721" s="5">
        <v>239125</v>
      </c>
      <c r="E12721" s="6" t="str">
        <f>HYPERLINK("https://inpn.mnhn.fr/espece/cd_nom/239125","Coccinella hieroglyphica Linnaeus, 1758")</f>
        <v>Coccinella hieroglyphica Linnaeus, 1758</v>
      </c>
      <c r="AH12721" s="4" t="str">
        <f>HYPERLINK("#Statut_biogéographique!A"&amp;_xlfn.XMATCH("P",Statut_biogéographique!A:A,2,1),"P")</f>
        <v>P</v>
      </c>
      <c r="AP12721" s="4" t="s">
        <v>376</v>
      </c>
      <c r="AR12721" s="4" t="s">
        <v>377</v>
      </c>
    </row>
    <row r="12722" spans="1:44">
      <c r="A12722" s="4" t="s">
        <v>10753</v>
      </c>
      <c r="B12722" s="4">
        <v>239126</v>
      </c>
      <c r="D12722" s="5" t="s">
        <v>15452</v>
      </c>
      <c r="E12722" s="6" t="str">
        <f>HYPERLINK("https://inpn.mnhn.fr/espece/cd_nom/239126","Coccinella magnifica Redtenbacher, 1843")</f>
        <v>Coccinella magnifica Redtenbacher, 1843</v>
      </c>
      <c r="F12722" s="5" t="s">
        <v>15453</v>
      </c>
      <c r="AH12722" s="4" t="str">
        <f>HYPERLINK("#Statut_biogéographique!A"&amp;_xlfn.XMATCH("P",Statut_biogéographique!A:A,2,1),"P")</f>
        <v>P</v>
      </c>
      <c r="AP12722" s="4" t="s">
        <v>376</v>
      </c>
      <c r="AR12722" s="4" t="s">
        <v>377</v>
      </c>
    </row>
    <row r="12723" spans="1:44">
      <c r="A12723" s="4" t="s">
        <v>10753</v>
      </c>
      <c r="B12723" s="4">
        <v>239127</v>
      </c>
      <c r="D12723" s="5">
        <v>239127</v>
      </c>
      <c r="E12723" s="6" t="str">
        <f>HYPERLINK("https://inpn.mnhn.fr/espece/cd_nom/239127","Coccinella quinquepunctata Linnaeus, 1758")</f>
        <v>Coccinella quinquepunctata Linnaeus, 1758</v>
      </c>
      <c r="AH12723" s="4" t="str">
        <f>HYPERLINK("#Statut_biogéographique!A"&amp;_xlfn.XMATCH("P",Statut_biogéographique!A:A,2,1),"P")</f>
        <v>P</v>
      </c>
      <c r="AP12723" s="4" t="s">
        <v>376</v>
      </c>
      <c r="AR12723" s="4" t="s">
        <v>377</v>
      </c>
    </row>
    <row r="12724" spans="1:44">
      <c r="A12724" s="4" t="s">
        <v>10753</v>
      </c>
      <c r="B12724" s="4">
        <v>239128</v>
      </c>
      <c r="D12724" s="5" t="s">
        <v>15454</v>
      </c>
      <c r="E12724" s="6" t="str">
        <f>HYPERLINK("https://inpn.mnhn.fr/espece/cd_nom/239128","Calvia quatuordecimguttata (Linnaeus, 1758)")</f>
        <v>Calvia quatuordecimguttata (Linnaeus, 1758)</v>
      </c>
      <c r="AH12724" s="4" t="str">
        <f>HYPERLINK("#Statut_biogéographique!A"&amp;_xlfn.XMATCH("P",Statut_biogéographique!A:A,2,1),"P")</f>
        <v>P</v>
      </c>
      <c r="AP12724" s="4" t="s">
        <v>376</v>
      </c>
      <c r="AR12724" s="4" t="s">
        <v>377</v>
      </c>
    </row>
    <row r="12725" spans="1:44">
      <c r="A12725" s="4" t="s">
        <v>10753</v>
      </c>
      <c r="B12725" s="4">
        <v>239129</v>
      </c>
      <c r="D12725" s="5" t="s">
        <v>15455</v>
      </c>
      <c r="E12725" s="6" t="str">
        <f>HYPERLINK("https://inpn.mnhn.fr/espece/cd_nom/239129","Calvia quindecimguttata (Fabricius, 1777)")</f>
        <v>Calvia quindecimguttata (Fabricius, 1777)</v>
      </c>
      <c r="AH12725" s="4" t="str">
        <f>HYPERLINK("#Statut_biogéographique!A"&amp;_xlfn.XMATCH("P",Statut_biogéographique!A:A,2,1),"P")</f>
        <v>P</v>
      </c>
      <c r="AP12725" s="4" t="s">
        <v>376</v>
      </c>
      <c r="AR12725" s="4" t="s">
        <v>377</v>
      </c>
    </row>
    <row r="12726" spans="1:44">
      <c r="A12726" s="4" t="s">
        <v>10753</v>
      </c>
      <c r="B12726" s="4">
        <v>239130</v>
      </c>
      <c r="D12726" s="5" t="s">
        <v>15456</v>
      </c>
      <c r="E12726" s="6" t="str">
        <f>HYPERLINK("https://inpn.mnhn.fr/espece/cd_nom/239130","Calvia decemguttata (Linnaeus, 1767)")</f>
        <v>Calvia decemguttata (Linnaeus, 1767)</v>
      </c>
      <c r="F12726" s="5" t="s">
        <v>15457</v>
      </c>
      <c r="AH12726" s="4" t="str">
        <f>HYPERLINK("#Statut_biogéographique!A"&amp;_xlfn.XMATCH("P",Statut_biogéographique!A:A,2,1),"P")</f>
        <v>P</v>
      </c>
      <c r="AP12726" s="4" t="s">
        <v>376</v>
      </c>
      <c r="AR12726" s="4" t="s">
        <v>377</v>
      </c>
    </row>
    <row r="12727" spans="1:44">
      <c r="A12727" s="4" t="s">
        <v>10753</v>
      </c>
      <c r="B12727" s="4">
        <v>239131</v>
      </c>
      <c r="D12727" s="5" t="s">
        <v>15458</v>
      </c>
      <c r="E12727" s="6" t="str">
        <f>HYPERLINK("https://inpn.mnhn.fr/espece/cd_nom/239131","Aphidecta obliterata (Linnaeus, 1758)")</f>
        <v>Aphidecta obliterata (Linnaeus, 1758)</v>
      </c>
      <c r="AH12727" s="4" t="str">
        <f>HYPERLINK("#Statut_biogéographique!A"&amp;_xlfn.XMATCH("P",Statut_biogéographique!A:A,2,1),"P")</f>
        <v>P</v>
      </c>
      <c r="AP12727" s="4" t="s">
        <v>376</v>
      </c>
      <c r="AR12727" s="4" t="s">
        <v>377</v>
      </c>
    </row>
    <row r="12728" spans="1:44" ht="30">
      <c r="A12728" s="4" t="s">
        <v>10753</v>
      </c>
      <c r="B12728" s="4">
        <v>239132</v>
      </c>
      <c r="D12728" s="5" t="s">
        <v>15459</v>
      </c>
      <c r="E12728" s="6" t="str">
        <f>HYPERLINK("https://inpn.mnhn.fr/espece/cd_nom/239132","Anisosticta novemdecimpunctata (Linnaeus, 1758)")</f>
        <v>Anisosticta novemdecimpunctata (Linnaeus, 1758)</v>
      </c>
      <c r="F12728" s="5" t="s">
        <v>15460</v>
      </c>
      <c r="AH12728" s="4" t="str">
        <f>HYPERLINK("#Statut_biogéographique!A"&amp;_xlfn.XMATCH("P",Statut_biogéographique!A:A,2,1),"P")</f>
        <v>P</v>
      </c>
      <c r="AP12728" s="4" t="s">
        <v>376</v>
      </c>
      <c r="AR12728" s="4" t="s">
        <v>377</v>
      </c>
    </row>
    <row r="12729" spans="1:44" ht="30">
      <c r="A12729" s="4" t="s">
        <v>10753</v>
      </c>
      <c r="B12729" s="4">
        <v>239133</v>
      </c>
      <c r="D12729" s="5" t="s">
        <v>15461</v>
      </c>
      <c r="E12729" s="6" t="str">
        <f>HYPERLINK("https://inpn.mnhn.fr/espece/cd_nom/239133","Psyllobora vigintiduopunctata (Linnaeus, 1758)")</f>
        <v>Psyllobora vigintiduopunctata (Linnaeus, 1758)</v>
      </c>
      <c r="F12729" s="5" t="s">
        <v>15462</v>
      </c>
      <c r="AH12729" s="4" t="str">
        <f>HYPERLINK("#Statut_biogéographique!A"&amp;_xlfn.XMATCH("P",Statut_biogéographique!A:A,2,1),"P")</f>
        <v>P</v>
      </c>
      <c r="AP12729" s="4" t="s">
        <v>376</v>
      </c>
      <c r="AR12729" s="4" t="s">
        <v>377</v>
      </c>
    </row>
    <row r="12730" spans="1:44">
      <c r="A12730" s="4" t="s">
        <v>10753</v>
      </c>
      <c r="B12730" s="4">
        <v>239134</v>
      </c>
      <c r="D12730" s="5" t="s">
        <v>15463</v>
      </c>
      <c r="E12730" s="6" t="str">
        <f>HYPERLINK("https://inpn.mnhn.fr/espece/cd_nom/239134","Tytthaspis sedecimpunctata (Linnaeus, 1761)")</f>
        <v>Tytthaspis sedecimpunctata (Linnaeus, 1761)</v>
      </c>
      <c r="F12730" s="5" t="s">
        <v>15464</v>
      </c>
      <c r="AH12730" s="4" t="str">
        <f>HYPERLINK("#Statut_biogéographique!A"&amp;_xlfn.XMATCH("P",Statut_biogéographique!A:A,2,1),"P")</f>
        <v>P</v>
      </c>
      <c r="AP12730" s="4" t="s">
        <v>376</v>
      </c>
      <c r="AR12730" s="4" t="s">
        <v>377</v>
      </c>
    </row>
    <row r="12731" spans="1:44">
      <c r="A12731" s="4" t="s">
        <v>10753</v>
      </c>
      <c r="B12731" s="4">
        <v>239137</v>
      </c>
      <c r="D12731" s="5" t="s">
        <v>15465</v>
      </c>
      <c r="E12731" s="6" t="str">
        <f>HYPERLINK("https://inpn.mnhn.fr/espece/cd_nom/239137","Rhyzobius forestieri (Mulsant, 1853)")</f>
        <v>Rhyzobius forestieri (Mulsant, 1853)</v>
      </c>
      <c r="AH12731" s="4" t="str">
        <f>HYPERLINK("#Statut_biogéographique!A"&amp;_xlfn.XMATCH("I",Statut_biogéographique!A:A,2,1),"I")</f>
        <v>I</v>
      </c>
      <c r="AP12731" s="4" t="s">
        <v>376</v>
      </c>
      <c r="AR12731" s="4" t="s">
        <v>377</v>
      </c>
    </row>
    <row r="12732" spans="1:44" ht="30">
      <c r="A12732" s="4" t="s">
        <v>10753</v>
      </c>
      <c r="B12732" s="4">
        <v>239138</v>
      </c>
      <c r="D12732" s="5" t="s">
        <v>15466</v>
      </c>
      <c r="E12732" s="6" t="str">
        <f>HYPERLINK("https://inpn.mnhn.fr/espece/cd_nom/239138","Rhyzobius lophanthae (Blaisdell, 1892)")</f>
        <v>Rhyzobius lophanthae (Blaisdell, 1892)</v>
      </c>
      <c r="AH12732" s="4" t="str">
        <f>HYPERLINK("#Statut_biogéographique!A"&amp;_xlfn.XMATCH("I",Statut_biogéographique!A:A,2,1),"I")</f>
        <v>I</v>
      </c>
      <c r="AP12732" s="4" t="s">
        <v>376</v>
      </c>
      <c r="AR12732" s="4" t="s">
        <v>377</v>
      </c>
    </row>
    <row r="12733" spans="1:44">
      <c r="A12733" s="4" t="s">
        <v>10753</v>
      </c>
      <c r="B12733" s="4">
        <v>239145</v>
      </c>
      <c r="D12733" s="5" t="s">
        <v>15467</v>
      </c>
      <c r="E12733" s="6" t="str">
        <f>HYPERLINK("https://inpn.mnhn.fr/espece/cd_nom/239145","Meligethes atratus (Olivier, 1790)")</f>
        <v>Meligethes atratus (Olivier, 1790)</v>
      </c>
      <c r="AH12733" s="4" t="str">
        <f>HYPERLINK("#Statut_biogéographique!A"&amp;_xlfn.XMATCH("P",Statut_biogéographique!A:A,2,1),"P")</f>
        <v>P</v>
      </c>
      <c r="AP12733" s="4" t="s">
        <v>376</v>
      </c>
      <c r="AR12733" s="4" t="s">
        <v>377</v>
      </c>
    </row>
    <row r="12734" spans="1:44">
      <c r="A12734" s="4" t="s">
        <v>10753</v>
      </c>
      <c r="B12734" s="4">
        <v>23915</v>
      </c>
      <c r="D12734" s="5" t="s">
        <v>15468</v>
      </c>
      <c r="E12734" s="6" t="str">
        <f>HYPERLINK("https://inpn.mnhn.fr/espece/cd_nom/23915","Eristalis tenax (Linnaeus, 1758)")</f>
        <v>Eristalis tenax (Linnaeus, 1758)</v>
      </c>
      <c r="F12734" s="5" t="s">
        <v>15469</v>
      </c>
      <c r="P12734" s="7" t="str">
        <f>HYPERLINK("#Liste_rouge!A"&amp;_xlfn.XMATCH("LC",Liste_rouge!A:A,2,1),"LC")</f>
        <v>LC</v>
      </c>
      <c r="AH12734" s="4" t="str">
        <f>HYPERLINK("#Statut_biogéographique!A"&amp;_xlfn.XMATCH("P",Statut_biogéographique!A:A,2,1),"P")</f>
        <v>P</v>
      </c>
      <c r="AP12734" s="4" t="s">
        <v>376</v>
      </c>
      <c r="AR12734" s="4" t="s">
        <v>377</v>
      </c>
    </row>
    <row r="12735" spans="1:44">
      <c r="A12735" s="4" t="s">
        <v>10753</v>
      </c>
      <c r="B12735" s="4">
        <v>23918</v>
      </c>
      <c r="D12735" s="5">
        <v>23918</v>
      </c>
      <c r="E12735" s="6" t="str">
        <f>HYPERLINK("https://inpn.mnhn.fr/espece/cd_nom/23918","Helophilus hybridus Loew, 1846")</f>
        <v>Helophilus hybridus Loew, 1846</v>
      </c>
      <c r="P12735" s="7" t="str">
        <f>HYPERLINK("#Liste_rouge!A"&amp;_xlfn.XMATCH("LC",Liste_rouge!A:A,2,1),"LC")</f>
        <v>LC</v>
      </c>
      <c r="AH12735" s="4" t="str">
        <f>HYPERLINK("#Statut_biogéographique!A"&amp;_xlfn.XMATCH("P",Statut_biogéographique!A:A,2,1),"P")</f>
        <v>P</v>
      </c>
      <c r="AP12735" s="4" t="s">
        <v>376</v>
      </c>
      <c r="AR12735" s="4" t="s">
        <v>377</v>
      </c>
    </row>
    <row r="12736" spans="1:44">
      <c r="A12736" s="4" t="s">
        <v>10753</v>
      </c>
      <c r="B12736" s="4">
        <v>23919</v>
      </c>
      <c r="D12736" s="5" t="s">
        <v>15470</v>
      </c>
      <c r="E12736" s="6" t="str">
        <f>HYPERLINK("https://inpn.mnhn.fr/espece/cd_nom/23919","Helophilus pendulus (Linnaeus, 1758)")</f>
        <v>Helophilus pendulus (Linnaeus, 1758)</v>
      </c>
      <c r="P12736" s="7" t="str">
        <f>HYPERLINK("#Liste_rouge!A"&amp;_xlfn.XMATCH("LC",Liste_rouge!A:A,2,1),"LC")</f>
        <v>LC</v>
      </c>
      <c r="AH12736" s="4" t="str">
        <f>HYPERLINK("#Statut_biogéographique!A"&amp;_xlfn.XMATCH("P",Statut_biogéographique!A:A,2,1),"P")</f>
        <v>P</v>
      </c>
      <c r="AP12736" s="4" t="s">
        <v>376</v>
      </c>
      <c r="AR12736" s="4" t="s">
        <v>377</v>
      </c>
    </row>
    <row r="12737" spans="1:44">
      <c r="A12737" s="4" t="s">
        <v>10753</v>
      </c>
      <c r="B12737" s="4">
        <v>23920</v>
      </c>
      <c r="D12737" s="5" t="s">
        <v>15471</v>
      </c>
      <c r="E12737" s="6" t="str">
        <f>HYPERLINK("https://inpn.mnhn.fr/espece/cd_nom/23920","Helophilus trivittatus (Fabricius, 1805)")</f>
        <v>Helophilus trivittatus (Fabricius, 1805)</v>
      </c>
      <c r="P12737" s="7" t="str">
        <f>HYPERLINK("#Liste_rouge!A"&amp;_xlfn.XMATCH("LC",Liste_rouge!A:A,2,1),"LC")</f>
        <v>LC</v>
      </c>
      <c r="AH12737" s="4" t="str">
        <f>HYPERLINK("#Statut_biogéographique!A"&amp;_xlfn.XMATCH("P",Statut_biogéographique!A:A,2,1),"P")</f>
        <v>P</v>
      </c>
      <c r="AP12737" s="4" t="s">
        <v>376</v>
      </c>
      <c r="AR12737" s="4" t="s">
        <v>377</v>
      </c>
    </row>
    <row r="12738" spans="1:44" ht="30">
      <c r="A12738" s="4" t="s">
        <v>10753</v>
      </c>
      <c r="B12738" s="4">
        <v>239216</v>
      </c>
      <c r="D12738" s="5" t="s">
        <v>15472</v>
      </c>
      <c r="E12738" s="6" t="str">
        <f>HYPERLINK("https://inpn.mnhn.fr/espece/cd_nom/239216","Pria dulcamarae (Scopoli, 1763)")</f>
        <v>Pria dulcamarae (Scopoli, 1763)</v>
      </c>
      <c r="AH12738" s="4" t="str">
        <f>HYPERLINK("#Statut_biogéographique!A"&amp;_xlfn.XMATCH("P",Statut_biogéographique!A:A,2,1),"P")</f>
        <v>P</v>
      </c>
      <c r="AP12738" s="4" t="s">
        <v>376</v>
      </c>
      <c r="AR12738" s="4" t="s">
        <v>377</v>
      </c>
    </row>
    <row r="12739" spans="1:44" ht="30">
      <c r="A12739" s="4" t="s">
        <v>10753</v>
      </c>
      <c r="B12739" s="4">
        <v>239217</v>
      </c>
      <c r="D12739" s="5" t="s">
        <v>15473</v>
      </c>
      <c r="E12739" s="6" t="str">
        <f>HYPERLINK("https://inpn.mnhn.fr/espece/cd_nom/239217","Epuraea aestiva (Linnaeus, 1758)")</f>
        <v>Epuraea aestiva (Linnaeus, 1758)</v>
      </c>
      <c r="AH12739" s="4" t="str">
        <f>HYPERLINK("#Statut_biogéographique!A"&amp;_xlfn.XMATCH("P",Statut_biogéographique!A:A,2,1),"P")</f>
        <v>P</v>
      </c>
      <c r="AP12739" s="4" t="s">
        <v>376</v>
      </c>
      <c r="AR12739" s="4" t="s">
        <v>377</v>
      </c>
    </row>
    <row r="12740" spans="1:44">
      <c r="A12740" s="4" t="s">
        <v>10753</v>
      </c>
      <c r="B12740" s="4">
        <v>239219</v>
      </c>
      <c r="D12740" s="5" t="s">
        <v>15474</v>
      </c>
      <c r="E12740" s="6" t="str">
        <f>HYPERLINK("https://inpn.mnhn.fr/espece/cd_nom/239219","Epuraea biguttata (Thunberg, 1784)")</f>
        <v>Epuraea biguttata (Thunberg, 1784)</v>
      </c>
      <c r="AH12740" s="4" t="str">
        <f>HYPERLINK("#Statut_biogéographique!A"&amp;_xlfn.XMATCH("P",Statut_biogéographique!A:A,2,1),"P")</f>
        <v>P</v>
      </c>
      <c r="AP12740" s="4" t="s">
        <v>376</v>
      </c>
      <c r="AR12740" s="4" t="s">
        <v>377</v>
      </c>
    </row>
    <row r="12741" spans="1:44">
      <c r="A12741" s="4" t="s">
        <v>10753</v>
      </c>
      <c r="B12741" s="4">
        <v>239220</v>
      </c>
      <c r="D12741" s="5" t="s">
        <v>15475</v>
      </c>
      <c r="E12741" s="6" t="str">
        <f>HYPERLINK("https://inpn.mnhn.fr/espece/cd_nom/239220","Epuraea binotata Reitter, 1873")</f>
        <v>Epuraea binotata Reitter, 1873</v>
      </c>
      <c r="AH12741" s="4" t="str">
        <f>HYPERLINK("#Statut_biogéographique!A"&amp;_xlfn.XMATCH("P",Statut_biogéographique!A:A,2,1),"P")</f>
        <v>P</v>
      </c>
      <c r="AP12741" s="4" t="s">
        <v>376</v>
      </c>
      <c r="AR12741" s="4" t="s">
        <v>377</v>
      </c>
    </row>
    <row r="12742" spans="1:44">
      <c r="A12742" s="4" t="s">
        <v>10753</v>
      </c>
      <c r="B12742" s="4">
        <v>239224</v>
      </c>
      <c r="D12742" s="5" t="s">
        <v>15476</v>
      </c>
      <c r="E12742" s="6" t="str">
        <f>HYPERLINK("https://inpn.mnhn.fr/espece/cd_nom/239224","Epuraea fuscicollis (Stephens, 1835)")</f>
        <v>Epuraea fuscicollis (Stephens, 1835)</v>
      </c>
      <c r="AH12742" s="4" t="str">
        <f>HYPERLINK("#Statut_biogéographique!A"&amp;_xlfn.XMATCH("P",Statut_biogéographique!A:A,2,1),"P")</f>
        <v>P</v>
      </c>
      <c r="AP12742" s="4" t="s">
        <v>376</v>
      </c>
      <c r="AR12742" s="4" t="s">
        <v>377</v>
      </c>
    </row>
    <row r="12743" spans="1:44">
      <c r="A12743" s="4" t="s">
        <v>10753</v>
      </c>
      <c r="B12743" s="4">
        <v>239225</v>
      </c>
      <c r="D12743" s="5" t="s">
        <v>15477</v>
      </c>
      <c r="E12743" s="6" t="str">
        <f>HYPERLINK("https://inpn.mnhn.fr/espece/cd_nom/239225","Epuraea guttata (Olivier, 1811)")</f>
        <v>Epuraea guttata (Olivier, 1811)</v>
      </c>
      <c r="AH12743" s="4" t="str">
        <f>HYPERLINK("#Statut_biogéographique!A"&amp;_xlfn.XMATCH("P",Statut_biogéographique!A:A,2,1),"P")</f>
        <v>P</v>
      </c>
      <c r="AP12743" s="4" t="s">
        <v>376</v>
      </c>
      <c r="AR12743" s="4" t="s">
        <v>377</v>
      </c>
    </row>
    <row r="12744" spans="1:44">
      <c r="A12744" s="4" t="s">
        <v>10753</v>
      </c>
      <c r="B12744" s="4">
        <v>239227</v>
      </c>
      <c r="D12744" s="5" t="s">
        <v>15478</v>
      </c>
      <c r="E12744" s="6" t="str">
        <f>HYPERLINK("https://inpn.mnhn.fr/espece/cd_nom/239227","Epuraea limbata (Fabricius, 1787)")</f>
        <v>Epuraea limbata (Fabricius, 1787)</v>
      </c>
      <c r="AH12744" s="4" t="str">
        <f>HYPERLINK("#Statut_biogéographique!A"&amp;_xlfn.XMATCH("P",Statut_biogéographique!A:A,2,1),"P")</f>
        <v>P</v>
      </c>
      <c r="AP12744" s="4" t="s">
        <v>376</v>
      </c>
      <c r="AR12744" s="4" t="s">
        <v>377</v>
      </c>
    </row>
    <row r="12745" spans="1:44">
      <c r="A12745" s="4" t="s">
        <v>10753</v>
      </c>
      <c r="B12745" s="4">
        <v>239228</v>
      </c>
      <c r="D12745" s="5">
        <v>239228</v>
      </c>
      <c r="E12745" s="6" t="str">
        <f>HYPERLINK("https://inpn.mnhn.fr/espece/cd_nom/239228","Epuraea longiclavis Sjöberg, 1939")</f>
        <v>Epuraea longiclavis Sjöberg, 1939</v>
      </c>
      <c r="AH12745" s="4" t="str">
        <f>HYPERLINK("#Statut_biogéographique!A"&amp;_xlfn.XMATCH("P",Statut_biogéographique!A:A,2,1),"P")</f>
        <v>P</v>
      </c>
      <c r="AP12745" s="4" t="s">
        <v>376</v>
      </c>
      <c r="AR12745" s="4" t="s">
        <v>377</v>
      </c>
    </row>
    <row r="12746" spans="1:44">
      <c r="A12746" s="4" t="s">
        <v>10753</v>
      </c>
      <c r="B12746" s="4">
        <v>239229</v>
      </c>
      <c r="D12746" s="5">
        <v>239229</v>
      </c>
      <c r="E12746" s="6" t="str">
        <f>HYPERLINK("https://inpn.mnhn.fr/espece/cd_nom/239229","Epuraea longula Erichson, 1845")</f>
        <v>Epuraea longula Erichson, 1845</v>
      </c>
      <c r="AH12746" s="4" t="str">
        <f>HYPERLINK("#Statut_biogéographique!A"&amp;_xlfn.XMATCH("P",Statut_biogéographique!A:A,2,1),"P")</f>
        <v>P</v>
      </c>
      <c r="AP12746" s="4" t="s">
        <v>376</v>
      </c>
      <c r="AR12746" s="4" t="s">
        <v>377</v>
      </c>
    </row>
    <row r="12747" spans="1:44">
      <c r="A12747" s="4" t="s">
        <v>10753</v>
      </c>
      <c r="B12747" s="4">
        <v>239231</v>
      </c>
      <c r="D12747" s="5" t="s">
        <v>15479</v>
      </c>
      <c r="E12747" s="6" t="str">
        <f>HYPERLINK("https://inpn.mnhn.fr/espece/cd_nom/239231","Epuraea marseuli Reitter, 1873")</f>
        <v>Epuraea marseuli Reitter, 1873</v>
      </c>
      <c r="AH12747" s="4" t="str">
        <f>HYPERLINK("#Statut_biogéographique!A"&amp;_xlfn.XMATCH("P",Statut_biogéographique!A:A,2,1),"P")</f>
        <v>P</v>
      </c>
      <c r="AP12747" s="4" t="s">
        <v>376</v>
      </c>
      <c r="AR12747" s="4" t="s">
        <v>377</v>
      </c>
    </row>
    <row r="12748" spans="1:44">
      <c r="A12748" s="4" t="s">
        <v>10753</v>
      </c>
      <c r="B12748" s="4">
        <v>239232</v>
      </c>
      <c r="D12748" s="5" t="s">
        <v>15480</v>
      </c>
      <c r="E12748" s="6" t="str">
        <f>HYPERLINK("https://inpn.mnhn.fr/espece/cd_nom/239232","Epuraea melanocephala (Marsham, 1802)")</f>
        <v>Epuraea melanocephala (Marsham, 1802)</v>
      </c>
      <c r="AH12748" s="4" t="str">
        <f>HYPERLINK("#Statut_biogéographique!A"&amp;_xlfn.XMATCH("P",Statut_biogéographique!A:A,2,1),"P")</f>
        <v>P</v>
      </c>
      <c r="AP12748" s="4" t="s">
        <v>376</v>
      </c>
      <c r="AR12748" s="4" t="s">
        <v>377</v>
      </c>
    </row>
    <row r="12749" spans="1:44">
      <c r="A12749" s="4" t="s">
        <v>10753</v>
      </c>
      <c r="B12749" s="4">
        <v>239233</v>
      </c>
      <c r="D12749" s="5">
        <v>239233</v>
      </c>
      <c r="E12749" s="6" t="str">
        <f>HYPERLINK("https://inpn.mnhn.fr/espece/cd_nom/239233","Epuraea melina Erichson, 1843")</f>
        <v>Epuraea melina Erichson, 1843</v>
      </c>
      <c r="AH12749" s="4" t="str">
        <f>HYPERLINK("#Statut_biogéographique!A"&amp;_xlfn.XMATCH("P",Statut_biogéographique!A:A,2,1),"P")</f>
        <v>P</v>
      </c>
      <c r="AP12749" s="4" t="s">
        <v>376</v>
      </c>
      <c r="AR12749" s="4" t="s">
        <v>377</v>
      </c>
    </row>
    <row r="12750" spans="1:44">
      <c r="A12750" s="4" t="s">
        <v>10753</v>
      </c>
      <c r="B12750" s="4">
        <v>239234</v>
      </c>
      <c r="D12750" s="5" t="s">
        <v>15481</v>
      </c>
      <c r="E12750" s="6" t="str">
        <f>HYPERLINK("https://inpn.mnhn.fr/espece/cd_nom/239234","Epuraea neglecta (Heer, 1841)")</f>
        <v>Epuraea neglecta (Heer, 1841)</v>
      </c>
      <c r="AH12750" s="4" t="str">
        <f>HYPERLINK("#Statut_biogéographique!A"&amp;_xlfn.XMATCH("P",Statut_biogéographique!A:A,2,1),"P")</f>
        <v>P</v>
      </c>
      <c r="AP12750" s="4" t="s">
        <v>376</v>
      </c>
      <c r="AR12750" s="4" t="s">
        <v>377</v>
      </c>
    </row>
    <row r="12751" spans="1:44">
      <c r="A12751" s="4" t="s">
        <v>10753</v>
      </c>
      <c r="B12751" s="4">
        <v>239235</v>
      </c>
      <c r="D12751" s="5" t="s">
        <v>15482</v>
      </c>
      <c r="E12751" s="6" t="str">
        <f>HYPERLINK("https://inpn.mnhn.fr/espece/cd_nom/239235","Epuraea oblonga (Herbst, 1793)")</f>
        <v>Epuraea oblonga (Herbst, 1793)</v>
      </c>
      <c r="AH12751" s="4" t="str">
        <f>HYPERLINK("#Statut_biogéographique!A"&amp;_xlfn.XMATCH("P",Statut_biogéographique!A:A,2,1),"P")</f>
        <v>P</v>
      </c>
      <c r="AP12751" s="4" t="s">
        <v>376</v>
      </c>
      <c r="AR12751" s="4" t="s">
        <v>377</v>
      </c>
    </row>
    <row r="12752" spans="1:44">
      <c r="A12752" s="4" t="s">
        <v>10753</v>
      </c>
      <c r="B12752" s="4">
        <v>239236</v>
      </c>
      <c r="D12752" s="5" t="s">
        <v>15483</v>
      </c>
      <c r="E12752" s="6" t="str">
        <f>HYPERLINK("https://inpn.mnhn.fr/espece/cd_nom/239236","Epuraea ocularis Fairmaire, 1849")</f>
        <v>Epuraea ocularis Fairmaire, 1849</v>
      </c>
      <c r="AH12752" s="4" t="str">
        <f>HYPERLINK("#Statut_biogéographique!A"&amp;_xlfn.XMATCH("I",Statut_biogéographique!A:A,2,1),"I")</f>
        <v>I</v>
      </c>
      <c r="AP12752" s="4" t="s">
        <v>376</v>
      </c>
      <c r="AR12752" s="4" t="s">
        <v>377</v>
      </c>
    </row>
    <row r="12753" spans="1:44">
      <c r="A12753" s="4" t="s">
        <v>10753</v>
      </c>
      <c r="B12753" s="4">
        <v>239237</v>
      </c>
      <c r="D12753" s="5" t="s">
        <v>15484</v>
      </c>
      <c r="E12753" s="6" t="str">
        <f>HYPERLINK("https://inpn.mnhn.fr/espece/cd_nom/239237","Epuraea pallescens (Stephens, 1835)")</f>
        <v>Epuraea pallescens (Stephens, 1835)</v>
      </c>
      <c r="AH12753" s="4" t="str">
        <f>HYPERLINK("#Statut_biogéographique!A"&amp;_xlfn.XMATCH("P",Statut_biogéographique!A:A,2,1),"P")</f>
        <v>P</v>
      </c>
      <c r="AP12753" s="4" t="s">
        <v>376</v>
      </c>
      <c r="AR12753" s="4" t="s">
        <v>377</v>
      </c>
    </row>
    <row r="12754" spans="1:44">
      <c r="A12754" s="4" t="s">
        <v>10753</v>
      </c>
      <c r="B12754" s="4">
        <v>239242</v>
      </c>
      <c r="D12754" s="5" t="s">
        <v>15485</v>
      </c>
      <c r="E12754" s="6" t="str">
        <f>HYPERLINK("https://inpn.mnhn.fr/espece/cd_nom/239242","Epuraea unicolor (Olivier, 1790)")</f>
        <v>Epuraea unicolor (Olivier, 1790)</v>
      </c>
      <c r="AH12754" s="4" t="str">
        <f>HYPERLINK("#Statut_biogéographique!A"&amp;_xlfn.XMATCH("P",Statut_biogéographique!A:A,2,1),"P")</f>
        <v>P</v>
      </c>
      <c r="AP12754" s="4" t="s">
        <v>376</v>
      </c>
      <c r="AR12754" s="4" t="s">
        <v>377</v>
      </c>
    </row>
    <row r="12755" spans="1:44">
      <c r="A12755" s="4" t="s">
        <v>10753</v>
      </c>
      <c r="B12755" s="4">
        <v>239243</v>
      </c>
      <c r="D12755" s="5" t="s">
        <v>15486</v>
      </c>
      <c r="E12755" s="6" t="str">
        <f>HYPERLINK("https://inpn.mnhn.fr/espece/cd_nom/239243","Epuraea variegata (Herbst, 1793)")</f>
        <v>Epuraea variegata (Herbst, 1793)</v>
      </c>
      <c r="AH12755" s="4" t="str">
        <f>HYPERLINK("#Statut_biogéographique!A"&amp;_xlfn.XMATCH("P",Statut_biogéographique!A:A,2,1),"P")</f>
        <v>P</v>
      </c>
      <c r="AP12755" s="4" t="s">
        <v>376</v>
      </c>
      <c r="AR12755" s="4" t="s">
        <v>377</v>
      </c>
    </row>
    <row r="12756" spans="1:44" ht="30">
      <c r="A12756" s="4" t="s">
        <v>10753</v>
      </c>
      <c r="B12756" s="4">
        <v>239247</v>
      </c>
      <c r="D12756" s="5" t="s">
        <v>15487</v>
      </c>
      <c r="E12756" s="6" t="str">
        <f>HYPERLINK("https://inpn.mnhn.fr/espece/cd_nom/239247","Carpophilus dimidiatus (Fabricius, 1792)")</f>
        <v>Carpophilus dimidiatus (Fabricius, 1792)</v>
      </c>
      <c r="AH12756" s="4" t="str">
        <f>HYPERLINK("#Statut_biogéographique!A"&amp;_xlfn.XMATCH("I",Statut_biogéographique!A:A,2,1),"I")</f>
        <v>I</v>
      </c>
      <c r="AP12756" s="4" t="s">
        <v>376</v>
      </c>
      <c r="AR12756" s="4" t="s">
        <v>377</v>
      </c>
    </row>
    <row r="12757" spans="1:44">
      <c r="A12757" s="4" t="s">
        <v>10753</v>
      </c>
      <c r="B12757" s="4">
        <v>239249</v>
      </c>
      <c r="D12757" s="5" t="s">
        <v>15488</v>
      </c>
      <c r="E12757" s="6" t="str">
        <f>HYPERLINK("https://inpn.mnhn.fr/espece/cd_nom/239249","Carpophilus marginellus Motschulsky, 1858")</f>
        <v>Carpophilus marginellus Motschulsky, 1858</v>
      </c>
      <c r="AH12757" s="4" t="str">
        <f>HYPERLINK("#Statut_biogéographique!A"&amp;_xlfn.XMATCH("I",Statut_biogéographique!A:A,2,1),"I")</f>
        <v>I</v>
      </c>
      <c r="AP12757" s="4" t="s">
        <v>376</v>
      </c>
      <c r="AR12757" s="4" t="s">
        <v>377</v>
      </c>
    </row>
    <row r="12758" spans="1:44">
      <c r="A12758" s="4" t="s">
        <v>10753</v>
      </c>
      <c r="B12758" s="4">
        <v>239254</v>
      </c>
      <c r="D12758" s="5" t="s">
        <v>15489</v>
      </c>
      <c r="E12758" s="6" t="str">
        <f>HYPERLINK("https://inpn.mnhn.fr/espece/cd_nom/239254","Carpophilus sexpustulatus (Fabricius, 1792)")</f>
        <v>Carpophilus sexpustulatus (Fabricius, 1792)</v>
      </c>
      <c r="AH12758" s="4" t="str">
        <f>HYPERLINK("#Statut_biogéographique!A"&amp;_xlfn.XMATCH("P",Statut_biogéographique!A:A,2,1),"P")</f>
        <v>P</v>
      </c>
      <c r="AP12758" s="4" t="s">
        <v>376</v>
      </c>
      <c r="AR12758" s="4" t="s">
        <v>377</v>
      </c>
    </row>
    <row r="12759" spans="1:44">
      <c r="A12759" s="4" t="s">
        <v>10753</v>
      </c>
      <c r="B12759" s="4">
        <v>239256</v>
      </c>
      <c r="D12759" s="5" t="s">
        <v>15490</v>
      </c>
      <c r="E12759" s="6" t="str">
        <f>HYPERLINK("https://inpn.mnhn.fr/espece/cd_nom/239256","Pityophagus ferrugineus (Linnaeus, 1761)")</f>
        <v>Pityophagus ferrugineus (Linnaeus, 1761)</v>
      </c>
      <c r="AH12759" s="4" t="str">
        <f>HYPERLINK("#Statut_biogéographique!A"&amp;_xlfn.XMATCH("P",Statut_biogéographique!A:A,2,1),"P")</f>
        <v>P</v>
      </c>
      <c r="AP12759" s="4" t="s">
        <v>376</v>
      </c>
      <c r="AR12759" s="4" t="s">
        <v>377</v>
      </c>
    </row>
    <row r="12760" spans="1:44">
      <c r="A12760" s="4" t="s">
        <v>10753</v>
      </c>
      <c r="B12760" s="4">
        <v>239257</v>
      </c>
      <c r="D12760" s="5" t="s">
        <v>15491</v>
      </c>
      <c r="E12760" s="6" t="str">
        <f>HYPERLINK("https://inpn.mnhn.fr/espece/cd_nom/239257","Pityophagus laevior Abeille de Perrin, 1872")</f>
        <v>Pityophagus laevior Abeille de Perrin, 1872</v>
      </c>
      <c r="AH12760" s="4" t="str">
        <f>HYPERLINK("#Statut_biogéographique!A"&amp;_xlfn.XMATCH("P",Statut_biogéographique!A:A,2,1),"P")</f>
        <v>P</v>
      </c>
      <c r="AP12760" s="4" t="s">
        <v>376</v>
      </c>
      <c r="AR12760" s="4" t="s">
        <v>377</v>
      </c>
    </row>
    <row r="12761" spans="1:44" ht="30">
      <c r="A12761" s="4" t="s">
        <v>10753</v>
      </c>
      <c r="B12761" s="4">
        <v>239258</v>
      </c>
      <c r="D12761" s="5" t="s">
        <v>15492</v>
      </c>
      <c r="E12761" s="6" t="str">
        <f>HYPERLINK("https://inpn.mnhn.fr/espece/cd_nom/239258","Glischrochilus hortensis (Geoffroy in Fourcroy, 1785)")</f>
        <v>Glischrochilus hortensis (Geoffroy in Fourcroy, 1785)</v>
      </c>
      <c r="F12761" s="5" t="s">
        <v>15493</v>
      </c>
      <c r="AH12761" s="4" t="str">
        <f>HYPERLINK("#Statut_biogéographique!A"&amp;_xlfn.XMATCH("P",Statut_biogéographique!A:A,2,1),"P")</f>
        <v>P</v>
      </c>
      <c r="AP12761" s="4" t="s">
        <v>376</v>
      </c>
      <c r="AR12761" s="4" t="s">
        <v>377</v>
      </c>
    </row>
    <row r="12762" spans="1:44" ht="30">
      <c r="A12762" s="4" t="s">
        <v>10753</v>
      </c>
      <c r="B12762" s="4">
        <v>239259</v>
      </c>
      <c r="D12762" s="5" t="s">
        <v>15494</v>
      </c>
      <c r="E12762" s="6" t="str">
        <f>HYPERLINK("https://inpn.mnhn.fr/espece/cd_nom/239259","Glischrochilus quadriguttatus (Fabricius, 1777)")</f>
        <v>Glischrochilus quadriguttatus (Fabricius, 1777)</v>
      </c>
      <c r="AH12762" s="4" t="str">
        <f>HYPERLINK("#Statut_biogéographique!A"&amp;_xlfn.XMATCH("P",Statut_biogéographique!A:A,2,1),"P")</f>
        <v>P</v>
      </c>
      <c r="AP12762" s="4" t="s">
        <v>376</v>
      </c>
      <c r="AR12762" s="4" t="s">
        <v>377</v>
      </c>
    </row>
    <row r="12763" spans="1:44" ht="30">
      <c r="A12763" s="4" t="s">
        <v>10753</v>
      </c>
      <c r="B12763" s="4">
        <v>239260</v>
      </c>
      <c r="D12763" s="5" t="s">
        <v>15495</v>
      </c>
      <c r="E12763" s="6" t="str">
        <f>HYPERLINK("https://inpn.mnhn.fr/espece/cd_nom/239260","Glischrochilus quadripunctatus (Linnaeus, 1758)")</f>
        <v>Glischrochilus quadripunctatus (Linnaeus, 1758)</v>
      </c>
      <c r="AH12763" s="4" t="str">
        <f>HYPERLINK("#Statut_biogéographique!A"&amp;_xlfn.XMATCH("P",Statut_biogéographique!A:A,2,1),"P")</f>
        <v>P</v>
      </c>
      <c r="AP12763" s="4" t="s">
        <v>376</v>
      </c>
      <c r="AR12763" s="4" t="s">
        <v>377</v>
      </c>
    </row>
    <row r="12764" spans="1:44">
      <c r="A12764" s="4" t="s">
        <v>10753</v>
      </c>
      <c r="B12764" s="4">
        <v>239261</v>
      </c>
      <c r="D12764" s="5" t="s">
        <v>15496</v>
      </c>
      <c r="E12764" s="6" t="str">
        <f>HYPERLINK("https://inpn.mnhn.fr/espece/cd_nom/239261","Glischrochilus quadrisignatus (Say, 1835)")</f>
        <v>Glischrochilus quadrisignatus (Say, 1835)</v>
      </c>
      <c r="AH12764" s="4" t="str">
        <f>HYPERLINK("#Statut_biogéographique!A"&amp;_xlfn.XMATCH("I",Statut_biogéographique!A:A,2,1),"I")</f>
        <v>I</v>
      </c>
      <c r="AP12764" s="4" t="s">
        <v>376</v>
      </c>
      <c r="AR12764" s="4" t="s">
        <v>377</v>
      </c>
    </row>
    <row r="12765" spans="1:44">
      <c r="A12765" s="4" t="s">
        <v>10753</v>
      </c>
      <c r="B12765" s="4">
        <v>239262</v>
      </c>
      <c r="D12765" s="5" t="s">
        <v>15497</v>
      </c>
      <c r="E12765" s="6" t="str">
        <f>HYPERLINK("https://inpn.mnhn.fr/espece/cd_nom/239262","Cryptarcha strigata (Fabricius, 1787)")</f>
        <v>Cryptarcha strigata (Fabricius, 1787)</v>
      </c>
      <c r="AH12765" s="4" t="str">
        <f>HYPERLINK("#Statut_biogéographique!A"&amp;_xlfn.XMATCH("P",Statut_biogéographique!A:A,2,1),"P")</f>
        <v>P</v>
      </c>
      <c r="AP12765" s="4" t="s">
        <v>376</v>
      </c>
      <c r="AR12765" s="4" t="s">
        <v>377</v>
      </c>
    </row>
    <row r="12766" spans="1:44">
      <c r="A12766" s="4" t="s">
        <v>10753</v>
      </c>
      <c r="B12766" s="4">
        <v>239263</v>
      </c>
      <c r="D12766" s="5" t="s">
        <v>15498</v>
      </c>
      <c r="E12766" s="6" t="str">
        <f>HYPERLINK("https://inpn.mnhn.fr/espece/cd_nom/239263","Cryptarcha undata (Olivier, 1790)")</f>
        <v>Cryptarcha undata (Olivier, 1790)</v>
      </c>
      <c r="AH12766" s="4" t="str">
        <f>HYPERLINK("#Statut_biogéographique!A"&amp;_xlfn.XMATCH("P",Statut_biogéographique!A:A,2,1),"P")</f>
        <v>P</v>
      </c>
      <c r="AP12766" s="4" t="s">
        <v>376</v>
      </c>
      <c r="AR12766" s="4" t="s">
        <v>377</v>
      </c>
    </row>
    <row r="12767" spans="1:44">
      <c r="A12767" s="4" t="s">
        <v>10753</v>
      </c>
      <c r="B12767" s="4">
        <v>239264</v>
      </c>
      <c r="D12767" s="5" t="s">
        <v>15499</v>
      </c>
      <c r="E12767" s="6" t="str">
        <f>HYPERLINK("https://inpn.mnhn.fr/espece/cd_nom/239264","Thalycra fervida (Olivier, 1790)")</f>
        <v>Thalycra fervida (Olivier, 1790)</v>
      </c>
      <c r="AH12767" s="4" t="str">
        <f>HYPERLINK("#Statut_biogéographique!A"&amp;_xlfn.XMATCH("P",Statut_biogéographique!A:A,2,1),"P")</f>
        <v>P</v>
      </c>
      <c r="AP12767" s="4" t="s">
        <v>376</v>
      </c>
      <c r="AR12767" s="4" t="s">
        <v>377</v>
      </c>
    </row>
    <row r="12768" spans="1:44">
      <c r="A12768" s="4" t="s">
        <v>10753</v>
      </c>
      <c r="B12768" s="4">
        <v>239266</v>
      </c>
      <c r="D12768" s="5" t="s">
        <v>15500</v>
      </c>
      <c r="E12768" s="6" t="str">
        <f>HYPERLINK("https://inpn.mnhn.fr/espece/cd_nom/239266","Pocadius ferrugineus (Fabricius, 1775)")</f>
        <v>Pocadius ferrugineus (Fabricius, 1775)</v>
      </c>
      <c r="AH12768" s="4" t="str">
        <f>HYPERLINK("#Statut_biogéographique!A"&amp;_xlfn.XMATCH("P",Statut_biogéographique!A:A,2,1),"P")</f>
        <v>P</v>
      </c>
      <c r="AP12768" s="4" t="s">
        <v>376</v>
      </c>
      <c r="AR12768" s="4" t="s">
        <v>377</v>
      </c>
    </row>
    <row r="12769" spans="1:44">
      <c r="A12769" s="4" t="s">
        <v>10753</v>
      </c>
      <c r="B12769" s="4">
        <v>239269</v>
      </c>
      <c r="D12769" s="5" t="s">
        <v>15501</v>
      </c>
      <c r="E12769" s="6" t="str">
        <f>HYPERLINK("https://inpn.mnhn.fr/espece/cd_nom/239269","Cychramus variegatus (Herbst, 1792)")</f>
        <v>Cychramus variegatus (Herbst, 1792)</v>
      </c>
      <c r="AH12769" s="4" t="str">
        <f>HYPERLINK("#Statut_biogéographique!A"&amp;_xlfn.XMATCH("P",Statut_biogéographique!A:A,2,1),"P")</f>
        <v>P</v>
      </c>
      <c r="AP12769" s="4" t="s">
        <v>376</v>
      </c>
      <c r="AR12769" s="4" t="s">
        <v>377</v>
      </c>
    </row>
    <row r="12770" spans="1:44">
      <c r="A12770" s="4" t="s">
        <v>10753</v>
      </c>
      <c r="B12770" s="4">
        <v>239272</v>
      </c>
      <c r="D12770" s="5" t="s">
        <v>15502</v>
      </c>
      <c r="E12770" s="6" t="str">
        <f>HYPERLINK("https://inpn.mnhn.fr/espece/cd_nom/239272","Stelidota geminata (Say, 1825)")</f>
        <v>Stelidota geminata (Say, 1825)</v>
      </c>
      <c r="AH12770" s="4" t="str">
        <f>HYPERLINK("#Statut_biogéographique!A"&amp;_xlfn.XMATCH("I",Statut_biogéographique!A:A,2,1),"I")</f>
        <v>I</v>
      </c>
      <c r="AP12770" s="4" t="s">
        <v>376</v>
      </c>
      <c r="AR12770" s="4" t="s">
        <v>377</v>
      </c>
    </row>
    <row r="12771" spans="1:44">
      <c r="A12771" s="4" t="s">
        <v>10753</v>
      </c>
      <c r="B12771" s="4">
        <v>239273</v>
      </c>
      <c r="D12771" s="5" t="s">
        <v>15503</v>
      </c>
      <c r="E12771" s="6" t="str">
        <f>HYPERLINK("https://inpn.mnhn.fr/espece/cd_nom/239273","Amphotis marginata (Fabricius, 1781)")</f>
        <v>Amphotis marginata (Fabricius, 1781)</v>
      </c>
      <c r="AH12771" s="4" t="str">
        <f>HYPERLINK("#Statut_biogéographique!A"&amp;_xlfn.XMATCH("P",Statut_biogéographique!A:A,2,1),"P")</f>
        <v>P</v>
      </c>
      <c r="AP12771" s="4" t="s">
        <v>376</v>
      </c>
      <c r="AR12771" s="4" t="s">
        <v>377</v>
      </c>
    </row>
    <row r="12772" spans="1:44" ht="30">
      <c r="A12772" s="4" t="s">
        <v>10753</v>
      </c>
      <c r="B12772" s="4">
        <v>239274</v>
      </c>
      <c r="D12772" s="5" t="s">
        <v>15504</v>
      </c>
      <c r="E12772" s="6" t="str">
        <f>HYPERLINK("https://inpn.mnhn.fr/espece/cd_nom/239274","Soronia grisea (Linnaeus, 1758)")</f>
        <v>Soronia grisea (Linnaeus, 1758)</v>
      </c>
      <c r="AH12772" s="4" t="str">
        <f>HYPERLINK("#Statut_biogéographique!A"&amp;_xlfn.XMATCH("P",Statut_biogéographique!A:A,2,1),"P")</f>
        <v>P</v>
      </c>
      <c r="AP12772" s="4" t="s">
        <v>376</v>
      </c>
      <c r="AR12772" s="4" t="s">
        <v>377</v>
      </c>
    </row>
    <row r="12773" spans="1:44" ht="30">
      <c r="A12773" s="4" t="s">
        <v>10753</v>
      </c>
      <c r="B12773" s="4">
        <v>239275</v>
      </c>
      <c r="D12773" s="5">
        <v>239275</v>
      </c>
      <c r="E12773" s="6" t="str">
        <f>HYPERLINK("https://inpn.mnhn.fr/espece/cd_nom/239275","Soronia oblonga C. Brisout de Barneville, 1863")</f>
        <v>Soronia oblonga C. Brisout de Barneville, 1863</v>
      </c>
      <c r="AH12773" s="4" t="str">
        <f>HYPERLINK("#Statut_biogéographique!A"&amp;_xlfn.XMATCH("P",Statut_biogéographique!A:A,2,1),"P")</f>
        <v>P</v>
      </c>
      <c r="AP12773" s="4" t="s">
        <v>376</v>
      </c>
      <c r="AR12773" s="4" t="s">
        <v>377</v>
      </c>
    </row>
    <row r="12774" spans="1:44">
      <c r="A12774" s="4" t="s">
        <v>10753</v>
      </c>
      <c r="B12774" s="4">
        <v>239276</v>
      </c>
      <c r="D12774" s="5" t="s">
        <v>15505</v>
      </c>
      <c r="E12774" s="6" t="str">
        <f>HYPERLINK("https://inpn.mnhn.fr/espece/cd_nom/239276","Soronia punctatissima (Illiger, 1794)")</f>
        <v>Soronia punctatissima (Illiger, 1794)</v>
      </c>
      <c r="AH12774" s="4" t="str">
        <f>HYPERLINK("#Statut_biogéographique!A"&amp;_xlfn.XMATCH("P",Statut_biogéographique!A:A,2,1),"P")</f>
        <v>P</v>
      </c>
      <c r="AP12774" s="4" t="s">
        <v>376</v>
      </c>
      <c r="AR12774" s="4" t="s">
        <v>377</v>
      </c>
    </row>
    <row r="12775" spans="1:44">
      <c r="A12775" s="4" t="s">
        <v>10753</v>
      </c>
      <c r="B12775" s="4">
        <v>239277</v>
      </c>
      <c r="D12775" s="5" t="s">
        <v>15506</v>
      </c>
      <c r="E12775" s="6" t="str">
        <f>HYPERLINK("https://inpn.mnhn.fr/espece/cd_nom/239277","Omosita colon (Linnaeus, 1758)")</f>
        <v>Omosita colon (Linnaeus, 1758)</v>
      </c>
      <c r="AH12775" s="4" t="str">
        <f>HYPERLINK("#Statut_biogéographique!A"&amp;_xlfn.XMATCH("P",Statut_biogéographique!A:A,2,1),"P")</f>
        <v>P</v>
      </c>
      <c r="AP12775" s="4" t="s">
        <v>376</v>
      </c>
      <c r="AR12775" s="4" t="s">
        <v>377</v>
      </c>
    </row>
    <row r="12776" spans="1:44">
      <c r="A12776" s="4" t="s">
        <v>10753</v>
      </c>
      <c r="B12776" s="4">
        <v>239278</v>
      </c>
      <c r="D12776" s="5" t="s">
        <v>15507</v>
      </c>
      <c r="E12776" s="6" t="str">
        <f>HYPERLINK("https://inpn.mnhn.fr/espece/cd_nom/239278","Omosita depressa (Linnaeus, 1758)")</f>
        <v>Omosita depressa (Linnaeus, 1758)</v>
      </c>
      <c r="AH12776" s="4" t="str">
        <f>HYPERLINK("#Statut_biogéographique!A"&amp;_xlfn.XMATCH("P",Statut_biogéographique!A:A,2,1),"P")</f>
        <v>P</v>
      </c>
      <c r="AP12776" s="4" t="s">
        <v>376</v>
      </c>
      <c r="AR12776" s="4" t="s">
        <v>377</v>
      </c>
    </row>
    <row r="12777" spans="1:44">
      <c r="A12777" s="4" t="s">
        <v>10753</v>
      </c>
      <c r="B12777" s="4">
        <v>239279</v>
      </c>
      <c r="D12777" s="5" t="s">
        <v>15508</v>
      </c>
      <c r="E12777" s="6" t="str">
        <f>HYPERLINK("https://inpn.mnhn.fr/espece/cd_nom/239279","Omosita discoidea (Fabricius, 1775)")</f>
        <v>Omosita discoidea (Fabricius, 1775)</v>
      </c>
      <c r="AH12777" s="4" t="str">
        <f>HYPERLINK("#Statut_biogéographique!A"&amp;_xlfn.XMATCH("P",Statut_biogéographique!A:A,2,1),"P")</f>
        <v>P</v>
      </c>
      <c r="AP12777" s="4" t="s">
        <v>376</v>
      </c>
      <c r="AR12777" s="4" t="s">
        <v>377</v>
      </c>
    </row>
    <row r="12778" spans="1:44">
      <c r="A12778" s="4" t="s">
        <v>10753</v>
      </c>
      <c r="B12778" s="4">
        <v>239283</v>
      </c>
      <c r="D12778" s="5" t="s">
        <v>15509</v>
      </c>
      <c r="E12778" s="6" t="str">
        <f>HYPERLINK("https://inpn.mnhn.fr/espece/cd_nom/239283","Sylvicola fuscatus (Fabricius, 1775)")</f>
        <v>Sylvicola fuscatus (Fabricius, 1775)</v>
      </c>
      <c r="AH12778" s="4" t="str">
        <f>HYPERLINK("#Statut_biogéographique!A"&amp;_xlfn.XMATCH("P",Statut_biogéographique!A:A,2,1),"P")</f>
        <v>P</v>
      </c>
      <c r="AP12778" s="4" t="s">
        <v>376</v>
      </c>
      <c r="AR12778" s="4" t="s">
        <v>377</v>
      </c>
    </row>
    <row r="12779" spans="1:44">
      <c r="A12779" s="4" t="s">
        <v>10753</v>
      </c>
      <c r="B12779" s="4">
        <v>239284</v>
      </c>
      <c r="D12779" s="5" t="s">
        <v>15510</v>
      </c>
      <c r="E12779" s="6" t="str">
        <f>HYPERLINK("https://inpn.mnhn.fr/espece/cd_nom/239284","Sylvicola punctatus (Fabricius, 1787)")</f>
        <v>Sylvicola punctatus (Fabricius, 1787)</v>
      </c>
      <c r="AH12779" s="4" t="str">
        <f>HYPERLINK("#Statut_biogéographique!A"&amp;_xlfn.XMATCH("P",Statut_biogéographique!A:A,2,1),"P")</f>
        <v>P</v>
      </c>
      <c r="AP12779" s="4" t="s">
        <v>376</v>
      </c>
      <c r="AR12779" s="4" t="s">
        <v>377</v>
      </c>
    </row>
    <row r="12780" spans="1:44">
      <c r="A12780" s="4" t="s">
        <v>10753</v>
      </c>
      <c r="B12780" s="4">
        <v>239285</v>
      </c>
      <c r="D12780" s="5" t="s">
        <v>15511</v>
      </c>
      <c r="E12780" s="6" t="str">
        <f>HYPERLINK("https://inpn.mnhn.fr/espece/cd_nom/239285","Aglaoapis tridentata (Nylander, 1848)")</f>
        <v>Aglaoapis tridentata (Nylander, 1848)</v>
      </c>
      <c r="P12780" s="7" t="str">
        <f>HYPERLINK("#Liste_rouge!A"&amp;_xlfn.XMATCH("LC",Liste_rouge!A:A,2,1),"LC")</f>
        <v>LC</v>
      </c>
      <c r="AH12780" s="4" t="str">
        <f>HYPERLINK("#Statut_biogéographique!A"&amp;_xlfn.XMATCH("P",Statut_biogéographique!A:A,2,1),"P")</f>
        <v>P</v>
      </c>
      <c r="AP12780" s="4" t="s">
        <v>376</v>
      </c>
      <c r="AR12780" s="4" t="s">
        <v>377</v>
      </c>
    </row>
    <row r="12781" spans="1:44">
      <c r="A12781" s="4" t="s">
        <v>10753</v>
      </c>
      <c r="B12781" s="4">
        <v>239286</v>
      </c>
      <c r="D12781" s="5" t="s">
        <v>15512</v>
      </c>
      <c r="E12781" s="6" t="str">
        <f>HYPERLINK("https://inpn.mnhn.fr/espece/cd_nom/239286","Amegilla albigena (Lepeletier, 1841)")</f>
        <v>Amegilla albigena (Lepeletier, 1841)</v>
      </c>
      <c r="F12781" s="5" t="s">
        <v>15513</v>
      </c>
      <c r="P12781" s="7" t="str">
        <f>HYPERLINK("#Liste_rouge!A"&amp;_xlfn.XMATCH("LC",Liste_rouge!A:A,2,1),"LC")</f>
        <v>LC</v>
      </c>
      <c r="AH12781" s="4" t="str">
        <f>HYPERLINK("#Statut_biogéographique!A"&amp;_xlfn.XMATCH("P",Statut_biogéographique!A:A,2,1),"P")</f>
        <v>P</v>
      </c>
      <c r="AP12781" s="4" t="s">
        <v>376</v>
      </c>
      <c r="AR12781" s="4" t="s">
        <v>377</v>
      </c>
    </row>
    <row r="12782" spans="1:44">
      <c r="A12782" s="4" t="s">
        <v>10753</v>
      </c>
      <c r="B12782" s="4">
        <v>239301</v>
      </c>
      <c r="D12782" s="5" t="s">
        <v>15514</v>
      </c>
      <c r="E12782" s="6" t="str">
        <f>HYPERLINK("https://inpn.mnhn.fr/espece/cd_nom/239301","Andrena agilissima (Scopoli, 1770)")</f>
        <v>Andrena agilissima (Scopoli, 1770)</v>
      </c>
      <c r="P12782" s="7" t="str">
        <f>HYPERLINK("#Liste_rouge!A"&amp;_xlfn.XMATCH("DD",Liste_rouge!A:A,2,1),"DD")</f>
        <v>DD</v>
      </c>
      <c r="AH12782" s="4" t="str">
        <f>HYPERLINK("#Statut_biogéographique!A"&amp;_xlfn.XMATCH("P",Statut_biogéographique!A:A,2,1),"P")</f>
        <v>P</v>
      </c>
      <c r="AP12782" s="4" t="s">
        <v>376</v>
      </c>
      <c r="AR12782" s="4" t="s">
        <v>377</v>
      </c>
    </row>
    <row r="12783" spans="1:44">
      <c r="A12783" s="4" t="s">
        <v>10753</v>
      </c>
      <c r="B12783" s="4">
        <v>239303</v>
      </c>
      <c r="D12783" s="5" t="s">
        <v>15515</v>
      </c>
      <c r="E12783" s="6" t="str">
        <f>HYPERLINK("https://inpn.mnhn.fr/espece/cd_nom/239303","Andrena alfkenella Perkins, 1914")</f>
        <v>Andrena alfkenella Perkins, 1914</v>
      </c>
      <c r="P12783" s="7" t="str">
        <f>HYPERLINK("#Liste_rouge!A"&amp;_xlfn.XMATCH("DD",Liste_rouge!A:A,2,1),"DD")</f>
        <v>DD</v>
      </c>
      <c r="AH12783" s="4" t="str">
        <f>HYPERLINK("#Statut_biogéographique!A"&amp;_xlfn.XMATCH("P",Statut_biogéographique!A:A,2,1),"P")</f>
        <v>P</v>
      </c>
      <c r="AP12783" s="4" t="s">
        <v>376</v>
      </c>
      <c r="AR12783" s="4" t="s">
        <v>377</v>
      </c>
    </row>
    <row r="12784" spans="1:44">
      <c r="A12784" s="4" t="s">
        <v>10753</v>
      </c>
      <c r="B12784" s="4">
        <v>239308</v>
      </c>
      <c r="D12784" s="5" t="s">
        <v>15516</v>
      </c>
      <c r="E12784" s="6" t="str">
        <f>HYPERLINK("https://inpn.mnhn.fr/espece/cd_nom/239308","Andrena apicata Smith, 1847")</f>
        <v>Andrena apicata Smith, 1847</v>
      </c>
      <c r="P12784" s="7" t="str">
        <f>HYPERLINK("#Liste_rouge!A"&amp;_xlfn.XMATCH("DD",Liste_rouge!A:A,2,1),"DD")</f>
        <v>DD</v>
      </c>
      <c r="AH12784" s="4" t="str">
        <f>HYPERLINK("#Statut_biogéographique!A"&amp;_xlfn.XMATCH("P",Statut_biogéographique!A:A,2,1),"P")</f>
        <v>P</v>
      </c>
      <c r="AP12784" s="4" t="s">
        <v>376</v>
      </c>
      <c r="AR12784" s="4" t="s">
        <v>377</v>
      </c>
    </row>
    <row r="12785" spans="1:44">
      <c r="A12785" s="4" t="s">
        <v>10753</v>
      </c>
      <c r="B12785" s="4">
        <v>239309</v>
      </c>
      <c r="D12785" s="5">
        <v>239309</v>
      </c>
      <c r="E12785" s="6" t="str">
        <f>HYPERLINK("https://inpn.mnhn.fr/espece/cd_nom/239309","Andrena argentata Smith, 1844")</f>
        <v>Andrena argentata Smith, 1844</v>
      </c>
      <c r="P12785" s="7" t="str">
        <f>HYPERLINK("#Liste_rouge!A"&amp;_xlfn.XMATCH("DD",Liste_rouge!A:A,2,1),"DD")</f>
        <v>DD</v>
      </c>
      <c r="AH12785" s="4" t="str">
        <f>HYPERLINK("#Statut_biogéographique!A"&amp;_xlfn.XMATCH("P",Statut_biogéographique!A:A,2,1),"P")</f>
        <v>P</v>
      </c>
      <c r="AP12785" s="4" t="s">
        <v>376</v>
      </c>
      <c r="AR12785" s="4" t="s">
        <v>377</v>
      </c>
    </row>
    <row r="12786" spans="1:44">
      <c r="A12786" s="4" t="s">
        <v>10753</v>
      </c>
      <c r="B12786" s="4">
        <v>23931</v>
      </c>
      <c r="D12786" s="5" t="s">
        <v>15517</v>
      </c>
      <c r="E12786" s="6" t="str">
        <f>HYPERLINK("https://inpn.mnhn.fr/espece/cd_nom/23931","Merodon aeneus Meigen, 1822")</f>
        <v>Merodon aeneus Meigen, 1822</v>
      </c>
      <c r="AH12786" s="4" t="str">
        <f>HYPERLINK("#Statut_biogéographique!A"&amp;_xlfn.XMATCH("P",Statut_biogéographique!A:A,2,1),"P")</f>
        <v>P</v>
      </c>
      <c r="AP12786" s="4" t="s">
        <v>376</v>
      </c>
      <c r="AR12786" s="4" t="s">
        <v>377</v>
      </c>
    </row>
    <row r="12787" spans="1:44">
      <c r="A12787" s="4" t="s">
        <v>10753</v>
      </c>
      <c r="B12787" s="4">
        <v>239313</v>
      </c>
      <c r="D12787" s="5" t="s">
        <v>15518</v>
      </c>
      <c r="E12787" s="6" t="str">
        <f>HYPERLINK("https://inpn.mnhn.fr/espece/cd_nom/239313","Andrena barbilabris (Kirby, 1802)")</f>
        <v>Andrena barbilabris (Kirby, 1802)</v>
      </c>
      <c r="P12787" s="7" t="str">
        <f>HYPERLINK("#Liste_rouge!A"&amp;_xlfn.XMATCH("DD",Liste_rouge!A:A,2,1),"DD")</f>
        <v>DD</v>
      </c>
      <c r="AH12787" s="4" t="str">
        <f>HYPERLINK("#Statut_biogéographique!A"&amp;_xlfn.XMATCH("P",Statut_biogéographique!A:A,2,1),"P")</f>
        <v>P</v>
      </c>
      <c r="AP12787" s="4" t="s">
        <v>376</v>
      </c>
      <c r="AR12787" s="4" t="s">
        <v>377</v>
      </c>
    </row>
    <row r="12788" spans="1:44">
      <c r="A12788" s="4" t="s">
        <v>10753</v>
      </c>
      <c r="B12788" s="4">
        <v>239314</v>
      </c>
      <c r="D12788" s="5" t="s">
        <v>15519</v>
      </c>
      <c r="E12788" s="6" t="str">
        <f>HYPERLINK("https://inpn.mnhn.fr/espece/cd_nom/239314","Andrena bicolor Fabricius, 1775")</f>
        <v>Andrena bicolor Fabricius, 1775</v>
      </c>
      <c r="P12788" s="7" t="str">
        <f>HYPERLINK("#Liste_rouge!A"&amp;_xlfn.XMATCH("LC",Liste_rouge!A:A,2,1),"LC")</f>
        <v>LC</v>
      </c>
      <c r="AH12788" s="4" t="str">
        <f>HYPERLINK("#Statut_biogéographique!A"&amp;_xlfn.XMATCH("P",Statut_biogéographique!A:A,2,1),"P")</f>
        <v>P</v>
      </c>
      <c r="AP12788" s="4" t="s">
        <v>376</v>
      </c>
      <c r="AR12788" s="4" t="s">
        <v>377</v>
      </c>
    </row>
    <row r="12789" spans="1:44">
      <c r="A12789" s="4" t="s">
        <v>10753</v>
      </c>
      <c r="B12789" s="4">
        <v>239316</v>
      </c>
      <c r="D12789" s="5" t="s">
        <v>15520</v>
      </c>
      <c r="E12789" s="6" t="str">
        <f>HYPERLINK("https://inpn.mnhn.fr/espece/cd_nom/239316","Andrena bimaculata (Kirby, 1802)")</f>
        <v>Andrena bimaculata (Kirby, 1802)</v>
      </c>
      <c r="P12789" s="7" t="str">
        <f>HYPERLINK("#Liste_rouge!A"&amp;_xlfn.XMATCH("DD",Liste_rouge!A:A,2,1),"DD")</f>
        <v>DD</v>
      </c>
      <c r="AH12789" s="4" t="str">
        <f>HYPERLINK("#Statut_biogéographique!A"&amp;_xlfn.XMATCH("P",Statut_biogéographique!A:A,2,1),"P")</f>
        <v>P</v>
      </c>
      <c r="AP12789" s="4" t="s">
        <v>376</v>
      </c>
      <c r="AR12789" s="4" t="s">
        <v>377</v>
      </c>
    </row>
    <row r="12790" spans="1:44">
      <c r="A12790" s="4" t="s">
        <v>10753</v>
      </c>
      <c r="B12790" s="4">
        <v>23932</v>
      </c>
      <c r="D12790" s="5" t="s">
        <v>15521</v>
      </c>
      <c r="E12790" s="6" t="str">
        <f>HYPERLINK("https://inpn.mnhn.fr/espece/cd_nom/23932","Merodon avidus (Rossi, 1790)")</f>
        <v>Merodon avidus (Rossi, 1790)</v>
      </c>
      <c r="P12790" s="7" t="str">
        <f>HYPERLINK("#Liste_rouge!A"&amp;_xlfn.XMATCH("LC",Liste_rouge!A:A,2,1),"LC")</f>
        <v>LC</v>
      </c>
      <c r="AH12790" s="4" t="str">
        <f>HYPERLINK("#Statut_biogéographique!A"&amp;_xlfn.XMATCH("P",Statut_biogéographique!A:A,2,1),"P")</f>
        <v>P</v>
      </c>
      <c r="AP12790" s="4" t="s">
        <v>376</v>
      </c>
      <c r="AR12790" s="4" t="s">
        <v>377</v>
      </c>
    </row>
    <row r="12791" spans="1:44">
      <c r="A12791" s="4" t="s">
        <v>10753</v>
      </c>
      <c r="B12791" s="4">
        <v>239321</v>
      </c>
      <c r="D12791" s="5">
        <v>239321</v>
      </c>
      <c r="E12791" s="6" t="str">
        <f>HYPERLINK("https://inpn.mnhn.fr/espece/cd_nom/239321","Andrena bucephala Stephens, 1846")</f>
        <v>Andrena bucephala Stephens, 1846</v>
      </c>
      <c r="O12791" s="7" t="str">
        <f>HYPERLINK("#Liste_rouge!A"&amp;_xlfn.XMATCH("DD",Liste_rouge!A:A,2,1),"DD")</f>
        <v>DD</v>
      </c>
      <c r="P12791" s="7" t="str">
        <f>HYPERLINK("#Liste_rouge!A"&amp;_xlfn.XMATCH("DD",Liste_rouge!A:A,2,1),"DD")</f>
        <v>DD</v>
      </c>
      <c r="AH12791" s="4" t="str">
        <f>HYPERLINK("#Statut_biogéographique!A"&amp;_xlfn.XMATCH("P",Statut_biogéographique!A:A,2,1),"P")</f>
        <v>P</v>
      </c>
      <c r="AP12791" s="4" t="s">
        <v>376</v>
      </c>
      <c r="AR12791" s="4" t="s">
        <v>377</v>
      </c>
    </row>
    <row r="12792" spans="1:44">
      <c r="A12792" s="4" t="s">
        <v>10753</v>
      </c>
      <c r="B12792" s="4">
        <v>239322</v>
      </c>
      <c r="D12792" s="5" t="s">
        <v>15522</v>
      </c>
      <c r="E12792" s="6" t="str">
        <f>HYPERLINK("https://inpn.mnhn.fr/espece/cd_nom/239322","Andrena carantonica Pérez, 1902")</f>
        <v>Andrena carantonica Pérez, 1902</v>
      </c>
      <c r="AH12792" s="4" t="str">
        <f>HYPERLINK("#Statut_biogéographique!A"&amp;_xlfn.XMATCH("P",Statut_biogéographique!A:A,2,1),"P")</f>
        <v>P</v>
      </c>
      <c r="AP12792" s="4" t="s">
        <v>376</v>
      </c>
      <c r="AR12792" s="4" t="s">
        <v>377</v>
      </c>
    </row>
    <row r="12793" spans="1:44">
      <c r="A12793" s="4" t="s">
        <v>10753</v>
      </c>
      <c r="B12793" s="4">
        <v>239325</v>
      </c>
      <c r="D12793" s="5" t="s">
        <v>15523</v>
      </c>
      <c r="E12793" s="6" t="str">
        <f>HYPERLINK("https://inpn.mnhn.fr/espece/cd_nom/239325","Andrena chrysosceles (Kirby, 1802)")</f>
        <v>Andrena chrysosceles (Kirby, 1802)</v>
      </c>
      <c r="P12793" s="7" t="str">
        <f>HYPERLINK("#Liste_rouge!A"&amp;_xlfn.XMATCH("DD",Liste_rouge!A:A,2,1),"DD")</f>
        <v>DD</v>
      </c>
      <c r="AH12793" s="4" t="str">
        <f>HYPERLINK("#Statut_biogéographique!A"&amp;_xlfn.XMATCH("P",Statut_biogéographique!A:A,2,1),"P")</f>
        <v>P</v>
      </c>
      <c r="AP12793" s="4" t="s">
        <v>376</v>
      </c>
      <c r="AR12793" s="4" t="s">
        <v>377</v>
      </c>
    </row>
    <row r="12794" spans="1:44">
      <c r="A12794" s="4" t="s">
        <v>10753</v>
      </c>
      <c r="B12794" s="4">
        <v>239326</v>
      </c>
      <c r="D12794" s="5" t="s">
        <v>15524</v>
      </c>
      <c r="E12794" s="6" t="str">
        <f>HYPERLINK("https://inpn.mnhn.fr/espece/cd_nom/239326","Andrena cinerea Brullé, 1832")</f>
        <v>Andrena cinerea Brullé, 1832</v>
      </c>
      <c r="P12794" s="7" t="str">
        <f>HYPERLINK("#Liste_rouge!A"&amp;_xlfn.XMATCH("DD",Liste_rouge!A:A,2,1),"DD")</f>
        <v>DD</v>
      </c>
      <c r="AH12794" s="4" t="str">
        <f>HYPERLINK("#Statut_biogéographique!A"&amp;_xlfn.XMATCH("P",Statut_biogéographique!A:A,2,1),"P")</f>
        <v>P</v>
      </c>
      <c r="AP12794" s="4" t="s">
        <v>376</v>
      </c>
      <c r="AR12794" s="4" t="s">
        <v>377</v>
      </c>
    </row>
    <row r="12795" spans="1:44">
      <c r="A12795" s="4" t="s">
        <v>10753</v>
      </c>
      <c r="B12795" s="4">
        <v>239327</v>
      </c>
      <c r="D12795" s="5" t="s">
        <v>15525</v>
      </c>
      <c r="E12795" s="6" t="str">
        <f>HYPERLINK("https://inpn.mnhn.fr/espece/cd_nom/239327","Andrena clarkella (Kirby, 1802)")</f>
        <v>Andrena clarkella (Kirby, 1802)</v>
      </c>
      <c r="P12795" s="7" t="str">
        <f>HYPERLINK("#Liste_rouge!A"&amp;_xlfn.XMATCH("DD",Liste_rouge!A:A,2,1),"DD")</f>
        <v>DD</v>
      </c>
      <c r="AH12795" s="4" t="str">
        <f>HYPERLINK("#Statut_biogéographique!A"&amp;_xlfn.XMATCH("P",Statut_biogéographique!A:A,2,1),"P")</f>
        <v>P</v>
      </c>
      <c r="AP12795" s="4" t="s">
        <v>376</v>
      </c>
      <c r="AR12795" s="4" t="s">
        <v>377</v>
      </c>
    </row>
    <row r="12796" spans="1:44">
      <c r="A12796" s="4" t="s">
        <v>10753</v>
      </c>
      <c r="B12796" s="4">
        <v>239329</v>
      </c>
      <c r="D12796" s="5" t="s">
        <v>15526</v>
      </c>
      <c r="E12796" s="6" t="str">
        <f>HYPERLINK("https://inpn.mnhn.fr/espece/cd_nom/239329","Andrena coitana (Kirby, 1802)")</f>
        <v>Andrena coitana (Kirby, 1802)</v>
      </c>
      <c r="P12796" s="7" t="str">
        <f>HYPERLINK("#Liste_rouge!A"&amp;_xlfn.XMATCH("DD",Liste_rouge!A:A,2,1),"DD")</f>
        <v>DD</v>
      </c>
      <c r="AH12796" s="4" t="str">
        <f>HYPERLINK("#Statut_biogéographique!A"&amp;_xlfn.XMATCH("P",Statut_biogéographique!A:A,2,1),"P")</f>
        <v>P</v>
      </c>
      <c r="AP12796" s="4" t="s">
        <v>376</v>
      </c>
      <c r="AR12796" s="4" t="s">
        <v>377</v>
      </c>
    </row>
    <row r="12797" spans="1:44">
      <c r="A12797" s="4" t="s">
        <v>10753</v>
      </c>
      <c r="B12797" s="4">
        <v>239331</v>
      </c>
      <c r="D12797" s="5" t="s">
        <v>15527</v>
      </c>
      <c r="E12797" s="6" t="str">
        <f>HYPERLINK("https://inpn.mnhn.fr/espece/cd_nom/239331","Andrena combinata (Christ, 1791)")</f>
        <v>Andrena combinata (Christ, 1791)</v>
      </c>
      <c r="P12797" s="7" t="str">
        <f>HYPERLINK("#Liste_rouge!A"&amp;_xlfn.XMATCH("DD",Liste_rouge!A:A,2,1),"DD")</f>
        <v>DD</v>
      </c>
      <c r="AH12797" s="4" t="str">
        <f>HYPERLINK("#Statut_biogéographique!A"&amp;_xlfn.XMATCH("P",Statut_biogéographique!A:A,2,1),"P")</f>
        <v>P</v>
      </c>
      <c r="AP12797" s="4" t="s">
        <v>376</v>
      </c>
      <c r="AR12797" s="4" t="s">
        <v>377</v>
      </c>
    </row>
    <row r="12798" spans="1:44">
      <c r="A12798" s="4" t="s">
        <v>10753</v>
      </c>
      <c r="B12798" s="4">
        <v>239332</v>
      </c>
      <c r="D12798" s="5">
        <v>239332</v>
      </c>
      <c r="E12798" s="6" t="str">
        <f>HYPERLINK("https://inpn.mnhn.fr/espece/cd_nom/239332","Andrena congruens Schmiedeknecht, 1883")</f>
        <v>Andrena congruens Schmiedeknecht, 1883</v>
      </c>
      <c r="P12798" s="7" t="str">
        <f>HYPERLINK("#Liste_rouge!A"&amp;_xlfn.XMATCH("LC",Liste_rouge!A:A,2,1),"LC")</f>
        <v>LC</v>
      </c>
      <c r="AH12798" s="4" t="str">
        <f>HYPERLINK("#Statut_biogéographique!A"&amp;_xlfn.XMATCH("P",Statut_biogéographique!A:A,2,1),"P")</f>
        <v>P</v>
      </c>
      <c r="AP12798" s="4" t="s">
        <v>376</v>
      </c>
      <c r="AR12798" s="4" t="s">
        <v>377</v>
      </c>
    </row>
    <row r="12799" spans="1:44">
      <c r="A12799" s="4" t="s">
        <v>10753</v>
      </c>
      <c r="B12799" s="4">
        <v>239334</v>
      </c>
      <c r="D12799" s="5">
        <v>239334</v>
      </c>
      <c r="E12799" s="6" t="str">
        <f>HYPERLINK("https://inpn.mnhn.fr/espece/cd_nom/239334","Andrena curvungula Thomson, 1870")</f>
        <v>Andrena curvungula Thomson, 1870</v>
      </c>
      <c r="P12799" s="7" t="str">
        <f>HYPERLINK("#Liste_rouge!A"&amp;_xlfn.XMATCH("DD",Liste_rouge!A:A,2,1),"DD")</f>
        <v>DD</v>
      </c>
      <c r="AH12799" s="4" t="str">
        <f>HYPERLINK("#Statut_biogéographique!A"&amp;_xlfn.XMATCH("P",Statut_biogéographique!A:A,2,1),"P")</f>
        <v>P</v>
      </c>
      <c r="AP12799" s="4" t="s">
        <v>376</v>
      </c>
      <c r="AR12799" s="4" t="s">
        <v>377</v>
      </c>
    </row>
    <row r="12800" spans="1:44">
      <c r="A12800" s="4" t="s">
        <v>10753</v>
      </c>
      <c r="B12800" s="4">
        <v>239336</v>
      </c>
      <c r="D12800" s="5">
        <v>239336</v>
      </c>
      <c r="E12800" s="6" t="str">
        <f>HYPERLINK("https://inpn.mnhn.fr/espece/cd_nom/239336","Andrena decipiens Schenck, 1861")</f>
        <v>Andrena decipiens Schenck, 1861</v>
      </c>
      <c r="P12800" s="7" t="str">
        <f>HYPERLINK("#Liste_rouge!A"&amp;_xlfn.XMATCH("DD",Liste_rouge!A:A,2,1),"DD")</f>
        <v>DD</v>
      </c>
      <c r="AH12800" s="4" t="str">
        <f>HYPERLINK("#Statut_biogéographique!A"&amp;_xlfn.XMATCH("P",Statut_biogéographique!A:A,2,1),"P")</f>
        <v>P</v>
      </c>
      <c r="AP12800" s="4" t="s">
        <v>376</v>
      </c>
      <c r="AR12800" s="4" t="s">
        <v>377</v>
      </c>
    </row>
    <row r="12801" spans="1:44">
      <c r="A12801" s="4" t="s">
        <v>10753</v>
      </c>
      <c r="B12801" s="4">
        <v>239339</v>
      </c>
      <c r="D12801" s="5" t="s">
        <v>15528</v>
      </c>
      <c r="E12801" s="6" t="str">
        <f>HYPERLINK("https://inpn.mnhn.fr/espece/cd_nom/239339","Andrena dorsata (Kirby, 1802)")</f>
        <v>Andrena dorsata (Kirby, 1802)</v>
      </c>
      <c r="P12801" s="7" t="str">
        <f>HYPERLINK("#Liste_rouge!A"&amp;_xlfn.XMATCH("DD",Liste_rouge!A:A,2,1),"DD")</f>
        <v>DD</v>
      </c>
      <c r="AH12801" s="4" t="str">
        <f>HYPERLINK("#Statut_biogéographique!A"&amp;_xlfn.XMATCH("P",Statut_biogéographique!A:A,2,1),"P")</f>
        <v>P</v>
      </c>
      <c r="AP12801" s="4" t="s">
        <v>376</v>
      </c>
      <c r="AR12801" s="4" t="s">
        <v>377</v>
      </c>
    </row>
    <row r="12802" spans="1:44" ht="30">
      <c r="A12802" s="4" t="s">
        <v>10753</v>
      </c>
      <c r="B12802" s="4">
        <v>23934</v>
      </c>
      <c r="D12802" s="5" t="s">
        <v>15529</v>
      </c>
      <c r="E12802" s="6" t="str">
        <f>HYPERLINK("https://inpn.mnhn.fr/espece/cd_nom/23934","Merodon equestris (Fabricius, 1794)")</f>
        <v>Merodon equestris (Fabricius, 1794)</v>
      </c>
      <c r="F12802" s="5" t="s">
        <v>15530</v>
      </c>
      <c r="P12802" s="7" t="str">
        <f>HYPERLINK("#Liste_rouge!A"&amp;_xlfn.XMATCH("LC",Liste_rouge!A:A,2,1),"LC")</f>
        <v>LC</v>
      </c>
      <c r="AH12802" s="4" t="str">
        <f>HYPERLINK("#Statut_biogéographique!A"&amp;_xlfn.XMATCH("P",Statut_biogéographique!A:A,2,1),"P")</f>
        <v>P</v>
      </c>
      <c r="AP12802" s="4" t="s">
        <v>376</v>
      </c>
      <c r="AR12802" s="4" t="s">
        <v>377</v>
      </c>
    </row>
    <row r="12803" spans="1:44">
      <c r="A12803" s="4" t="s">
        <v>10753</v>
      </c>
      <c r="B12803" s="4">
        <v>239343</v>
      </c>
      <c r="D12803" s="5">
        <v>239343</v>
      </c>
      <c r="E12803" s="6" t="str">
        <f>HYPERLINK("https://inpn.mnhn.fr/espece/cd_nom/239343","Andrena falsifica Perkins, 1915")</f>
        <v>Andrena falsifica Perkins, 1915</v>
      </c>
      <c r="P12803" s="7" t="str">
        <f>HYPERLINK("#Liste_rouge!A"&amp;_xlfn.XMATCH("DD",Liste_rouge!A:A,2,1),"DD")</f>
        <v>DD</v>
      </c>
      <c r="AH12803" s="4" t="str">
        <f>HYPERLINK("#Statut_biogéographique!A"&amp;_xlfn.XMATCH("P",Statut_biogéographique!A:A,2,1),"P")</f>
        <v>P</v>
      </c>
      <c r="AP12803" s="4" t="s">
        <v>376</v>
      </c>
      <c r="AR12803" s="4" t="s">
        <v>377</v>
      </c>
    </row>
    <row r="12804" spans="1:44">
      <c r="A12804" s="4" t="s">
        <v>10753</v>
      </c>
      <c r="B12804" s="4">
        <v>239345</v>
      </c>
      <c r="D12804" s="5">
        <v>239345</v>
      </c>
      <c r="E12804" s="6" t="str">
        <f>HYPERLINK("https://inpn.mnhn.fr/espece/cd_nom/239345","Andrena ferox Smith, 1847")</f>
        <v>Andrena ferox Smith, 1847</v>
      </c>
      <c r="P12804" s="7" t="str">
        <f>HYPERLINK("#Liste_rouge!A"&amp;_xlfn.XMATCH("DD",Liste_rouge!A:A,2,1),"DD")</f>
        <v>DD</v>
      </c>
      <c r="AH12804" s="4" t="str">
        <f>HYPERLINK("#Statut_biogéographique!A"&amp;_xlfn.XMATCH("P",Statut_biogéographique!A:A,2,1),"P")</f>
        <v>P</v>
      </c>
      <c r="AP12804" s="4" t="s">
        <v>376</v>
      </c>
      <c r="AR12804" s="4" t="s">
        <v>377</v>
      </c>
    </row>
    <row r="12805" spans="1:44">
      <c r="A12805" s="4" t="s">
        <v>10753</v>
      </c>
      <c r="B12805" s="4">
        <v>239347</v>
      </c>
      <c r="D12805" s="5">
        <v>239347</v>
      </c>
      <c r="E12805" s="6" t="str">
        <f>HYPERLINK("https://inpn.mnhn.fr/espece/cd_nom/239347","Andrena flavipes Panzer, 1799")</f>
        <v>Andrena flavipes Panzer, 1799</v>
      </c>
      <c r="P12805" s="7" t="str">
        <f>HYPERLINK("#Liste_rouge!A"&amp;_xlfn.XMATCH("LC",Liste_rouge!A:A,2,1),"LC")</f>
        <v>LC</v>
      </c>
      <c r="AH12805" s="4" t="str">
        <f>HYPERLINK("#Statut_biogéographique!A"&amp;_xlfn.XMATCH("P",Statut_biogéographique!A:A,2,1),"P")</f>
        <v>P</v>
      </c>
      <c r="AP12805" s="4" t="s">
        <v>376</v>
      </c>
      <c r="AR12805" s="4" t="s">
        <v>377</v>
      </c>
    </row>
    <row r="12806" spans="1:44">
      <c r="A12806" s="4" t="s">
        <v>10753</v>
      </c>
      <c r="B12806" s="4">
        <v>239348</v>
      </c>
      <c r="D12806" s="5">
        <v>239348</v>
      </c>
      <c r="E12806" s="6" t="str">
        <f>HYPERLINK("https://inpn.mnhn.fr/espece/cd_nom/239348","Andrena florea Fabricius, 1793")</f>
        <v>Andrena florea Fabricius, 1793</v>
      </c>
      <c r="P12806" s="7" t="str">
        <f>HYPERLINK("#Liste_rouge!A"&amp;_xlfn.XMATCH("DD",Liste_rouge!A:A,2,1),"DD")</f>
        <v>DD</v>
      </c>
      <c r="AH12806" s="4" t="str">
        <f>HYPERLINK("#Statut_biogéographique!A"&amp;_xlfn.XMATCH("P",Statut_biogéographique!A:A,2,1),"P")</f>
        <v>P</v>
      </c>
      <c r="AP12806" s="4" t="s">
        <v>376</v>
      </c>
      <c r="AR12806" s="4" t="s">
        <v>377</v>
      </c>
    </row>
    <row r="12807" spans="1:44">
      <c r="A12807" s="4" t="s">
        <v>10753</v>
      </c>
      <c r="B12807" s="4">
        <v>239351</v>
      </c>
      <c r="D12807" s="5">
        <v>239351</v>
      </c>
      <c r="E12807" s="6" t="str">
        <f>HYPERLINK("https://inpn.mnhn.fr/espece/cd_nom/239351","Andrena fucata Smith, 1847")</f>
        <v>Andrena fucata Smith, 1847</v>
      </c>
      <c r="P12807" s="7" t="str">
        <f>HYPERLINK("#Liste_rouge!A"&amp;_xlfn.XMATCH("DD",Liste_rouge!A:A,2,1),"DD")</f>
        <v>DD</v>
      </c>
      <c r="AH12807" s="4" t="str">
        <f>HYPERLINK("#Statut_biogéographique!A"&amp;_xlfn.XMATCH("P",Statut_biogéographique!A:A,2,1),"P")</f>
        <v>P</v>
      </c>
      <c r="AP12807" s="4" t="s">
        <v>376</v>
      </c>
      <c r="AR12807" s="4" t="s">
        <v>377</v>
      </c>
    </row>
    <row r="12808" spans="1:44">
      <c r="A12808" s="4" t="s">
        <v>10753</v>
      </c>
      <c r="B12808" s="4">
        <v>239352</v>
      </c>
      <c r="D12808" s="5" t="s">
        <v>15531</v>
      </c>
      <c r="E12808" s="6" t="str">
        <f>HYPERLINK("https://inpn.mnhn.fr/espece/cd_nom/239352","Andrena fulvago (Christ, 1791)")</f>
        <v>Andrena fulvago (Christ, 1791)</v>
      </c>
      <c r="P12808" s="7" t="str">
        <f>HYPERLINK("#Liste_rouge!A"&amp;_xlfn.XMATCH("DD",Liste_rouge!A:A,2,1),"DD")</f>
        <v>DD</v>
      </c>
      <c r="AH12808" s="4" t="str">
        <f>HYPERLINK("#Statut_biogéographique!A"&amp;_xlfn.XMATCH("P",Statut_biogéographique!A:A,2,1),"P")</f>
        <v>P</v>
      </c>
      <c r="AP12808" s="4" t="s">
        <v>376</v>
      </c>
      <c r="AR12808" s="4" t="s">
        <v>377</v>
      </c>
    </row>
    <row r="12809" spans="1:44">
      <c r="A12809" s="4" t="s">
        <v>10753</v>
      </c>
      <c r="B12809" s="4">
        <v>239353</v>
      </c>
      <c r="D12809" s="5">
        <v>239353</v>
      </c>
      <c r="E12809" s="6" t="str">
        <f>HYPERLINK("https://inpn.mnhn.fr/espece/cd_nom/239353","Andrena fulvata Stoeckhert, 1930")</f>
        <v>Andrena fulvata Stoeckhert, 1930</v>
      </c>
      <c r="O12809" s="7" t="str">
        <f>HYPERLINK("#Liste_rouge!A"&amp;_xlfn.XMATCH("DD",Liste_rouge!A:A,2,1),"DD")</f>
        <v>DD</v>
      </c>
      <c r="P12809" s="7" t="str">
        <f>HYPERLINK("#Liste_rouge!A"&amp;_xlfn.XMATCH("DD",Liste_rouge!A:A,2,1),"DD")</f>
        <v>DD</v>
      </c>
      <c r="AH12809" s="4" t="str">
        <f>HYPERLINK("#Statut_biogéographique!A"&amp;_xlfn.XMATCH("P",Statut_biogéographique!A:A,2,1),"P")</f>
        <v>P</v>
      </c>
      <c r="AP12809" s="4" t="s">
        <v>376</v>
      </c>
      <c r="AR12809" s="4" t="s">
        <v>377</v>
      </c>
    </row>
    <row r="12810" spans="1:44">
      <c r="A12810" s="4" t="s">
        <v>10753</v>
      </c>
      <c r="B12810" s="4">
        <v>239360</v>
      </c>
      <c r="D12810" s="5">
        <v>239360</v>
      </c>
      <c r="E12810" s="6" t="str">
        <f>HYPERLINK("https://inpn.mnhn.fr/espece/cd_nom/239360","Andrena gravida Imhoff, 1832")</f>
        <v>Andrena gravida Imhoff, 1832</v>
      </c>
      <c r="P12810" s="7" t="str">
        <f>HYPERLINK("#Liste_rouge!A"&amp;_xlfn.XMATCH("DD",Liste_rouge!A:A,2,1),"DD")</f>
        <v>DD</v>
      </c>
      <c r="AH12810" s="4" t="str">
        <f>HYPERLINK("#Statut_biogéographique!A"&amp;_xlfn.XMATCH("P",Statut_biogéographique!A:A,2,1),"P")</f>
        <v>P</v>
      </c>
      <c r="AP12810" s="4" t="s">
        <v>376</v>
      </c>
      <c r="AR12810" s="4" t="s">
        <v>377</v>
      </c>
    </row>
    <row r="12811" spans="1:44">
      <c r="A12811" s="4" t="s">
        <v>10753</v>
      </c>
      <c r="B12811" s="4">
        <v>239362</v>
      </c>
      <c r="D12811" s="5" t="s">
        <v>15532</v>
      </c>
      <c r="E12811" s="6" t="str">
        <f>HYPERLINK("https://inpn.mnhn.fr/espece/cd_nom/239362","Andrena haemorrhoa (Fabricius, 1781)")</f>
        <v>Andrena haemorrhoa (Fabricius, 1781)</v>
      </c>
      <c r="P12811" s="7" t="str">
        <f>HYPERLINK("#Liste_rouge!A"&amp;_xlfn.XMATCH("LC",Liste_rouge!A:A,2,1),"LC")</f>
        <v>LC</v>
      </c>
      <c r="AH12811" s="4" t="str">
        <f>HYPERLINK("#Statut_biogéographique!A"&amp;_xlfn.XMATCH("P",Statut_biogéographique!A:A,2,1),"P")</f>
        <v>P</v>
      </c>
      <c r="AP12811" s="4" t="s">
        <v>376</v>
      </c>
      <c r="AR12811" s="4" t="s">
        <v>377</v>
      </c>
    </row>
    <row r="12812" spans="1:44">
      <c r="A12812" s="4" t="s">
        <v>10753</v>
      </c>
      <c r="B12812" s="4">
        <v>239363</v>
      </c>
      <c r="D12812" s="5" t="s">
        <v>15533</v>
      </c>
      <c r="E12812" s="6" t="str">
        <f>HYPERLINK("https://inpn.mnhn.fr/espece/cd_nom/239363","Andrena hattorfiana (Fabricius, 1775)")</f>
        <v>Andrena hattorfiana (Fabricius, 1775)</v>
      </c>
      <c r="F12812" s="5" t="s">
        <v>15534</v>
      </c>
      <c r="P12812" s="7" t="str">
        <f>HYPERLINK("#Liste_rouge!A"&amp;_xlfn.XMATCH("NT",Liste_rouge!A:A,2,1),"NT")</f>
        <v>NT</v>
      </c>
      <c r="AH12812" s="4" t="str">
        <f>HYPERLINK("#Statut_biogéographique!A"&amp;_xlfn.XMATCH("P",Statut_biogéographique!A:A,2,1),"P")</f>
        <v>P</v>
      </c>
      <c r="AP12812" s="4" t="s">
        <v>376</v>
      </c>
      <c r="AR12812" s="4" t="s">
        <v>377</v>
      </c>
    </row>
    <row r="12813" spans="1:44">
      <c r="A12813" s="4" t="s">
        <v>10753</v>
      </c>
      <c r="B12813" s="4">
        <v>239365</v>
      </c>
      <c r="D12813" s="5" t="s">
        <v>15535</v>
      </c>
      <c r="E12813" s="6" t="str">
        <f>HYPERLINK("https://inpn.mnhn.fr/espece/cd_nom/239365","Andrena helvola (Linnaeus, 1758)")</f>
        <v>Andrena helvola (Linnaeus, 1758)</v>
      </c>
      <c r="P12813" s="7" t="str">
        <f>HYPERLINK("#Liste_rouge!A"&amp;_xlfn.XMATCH("DD",Liste_rouge!A:A,2,1),"DD")</f>
        <v>DD</v>
      </c>
      <c r="AH12813" s="4" t="str">
        <f>HYPERLINK("#Statut_biogéographique!A"&amp;_xlfn.XMATCH("P",Statut_biogéographique!A:A,2,1),"P")</f>
        <v>P</v>
      </c>
      <c r="AP12813" s="4" t="s">
        <v>376</v>
      </c>
      <c r="AR12813" s="4" t="s">
        <v>377</v>
      </c>
    </row>
    <row r="12814" spans="1:44">
      <c r="A12814" s="4" t="s">
        <v>10753</v>
      </c>
      <c r="B12814" s="4">
        <v>239368</v>
      </c>
      <c r="D12814" s="5">
        <v>239368</v>
      </c>
      <c r="E12814" s="6" t="str">
        <f>HYPERLINK("https://inpn.mnhn.fr/espece/cd_nom/239368","Andrena humilis Imhoff, 1832")</f>
        <v>Andrena humilis Imhoff, 1832</v>
      </c>
      <c r="P12814" s="7" t="str">
        <f>HYPERLINK("#Liste_rouge!A"&amp;_xlfn.XMATCH("DD",Liste_rouge!A:A,2,1),"DD")</f>
        <v>DD</v>
      </c>
      <c r="AH12814" s="4" t="str">
        <f>HYPERLINK("#Statut_biogéographique!A"&amp;_xlfn.XMATCH("P",Statut_biogéographique!A:A,2,1),"P")</f>
        <v>P</v>
      </c>
      <c r="AP12814" s="4" t="s">
        <v>376</v>
      </c>
      <c r="AR12814" s="4" t="s">
        <v>377</v>
      </c>
    </row>
    <row r="12815" spans="1:44">
      <c r="A12815" s="4" t="s">
        <v>10753</v>
      </c>
      <c r="B12815" s="4">
        <v>239372</v>
      </c>
      <c r="D12815" s="5">
        <v>239372</v>
      </c>
      <c r="E12815" s="6" t="str">
        <f>HYPERLINK("https://inpn.mnhn.fr/espece/cd_nom/239372","Andrena intermedia Thomson, 1870")</f>
        <v>Andrena intermedia Thomson, 1870</v>
      </c>
      <c r="P12815" s="7" t="str">
        <f>HYPERLINK("#Liste_rouge!A"&amp;_xlfn.XMATCH("LC",Liste_rouge!A:A,2,1),"LC")</f>
        <v>LC</v>
      </c>
      <c r="AH12815" s="4" t="str">
        <f>HYPERLINK("#Statut_biogéographique!A"&amp;_xlfn.XMATCH("P",Statut_biogéographique!A:A,2,1),"P")</f>
        <v>P</v>
      </c>
      <c r="AP12815" s="4" t="s">
        <v>376</v>
      </c>
      <c r="AR12815" s="4" t="s">
        <v>377</v>
      </c>
    </row>
    <row r="12816" spans="1:44">
      <c r="A12816" s="4" t="s">
        <v>10753</v>
      </c>
      <c r="B12816" s="4">
        <v>239374</v>
      </c>
      <c r="D12816" s="5" t="s">
        <v>15536</v>
      </c>
      <c r="E12816" s="6" t="str">
        <f>HYPERLINK("https://inpn.mnhn.fr/espece/cd_nom/239374","Andrena labialis (Kirby, 1802)")</f>
        <v>Andrena labialis (Kirby, 1802)</v>
      </c>
      <c r="P12816" s="7" t="str">
        <f>HYPERLINK("#Liste_rouge!A"&amp;_xlfn.XMATCH("DD",Liste_rouge!A:A,2,1),"DD")</f>
        <v>DD</v>
      </c>
      <c r="AH12816" s="4" t="str">
        <f>HYPERLINK("#Statut_biogéographique!A"&amp;_xlfn.XMATCH("P",Statut_biogéographique!A:A,2,1),"P")</f>
        <v>P</v>
      </c>
      <c r="AP12816" s="4" t="s">
        <v>376</v>
      </c>
      <c r="AR12816" s="4" t="s">
        <v>377</v>
      </c>
    </row>
    <row r="12817" spans="1:44">
      <c r="A12817" s="4" t="s">
        <v>10753</v>
      </c>
      <c r="B12817" s="4">
        <v>239375</v>
      </c>
      <c r="D12817" s="5" t="s">
        <v>15537</v>
      </c>
      <c r="E12817" s="6" t="str">
        <f>HYPERLINK("https://inpn.mnhn.fr/espece/cd_nom/239375","Andrena labiata Fabricius, 1781")</f>
        <v>Andrena labiata Fabricius, 1781</v>
      </c>
      <c r="P12817" s="7" t="str">
        <f>HYPERLINK("#Liste_rouge!A"&amp;_xlfn.XMATCH("DD",Liste_rouge!A:A,2,1),"DD")</f>
        <v>DD</v>
      </c>
      <c r="AH12817" s="4" t="str">
        <f>HYPERLINK("#Statut_biogéographique!A"&amp;_xlfn.XMATCH("P",Statut_biogéographique!A:A,2,1),"P")</f>
        <v>P</v>
      </c>
      <c r="AP12817" s="4" t="s">
        <v>376</v>
      </c>
      <c r="AR12817" s="4" t="s">
        <v>377</v>
      </c>
    </row>
    <row r="12818" spans="1:44">
      <c r="A12818" s="4" t="s">
        <v>10753</v>
      </c>
      <c r="B12818" s="4">
        <v>239376</v>
      </c>
      <c r="D12818" s="5" t="s">
        <v>15538</v>
      </c>
      <c r="E12818" s="6" t="str">
        <f>HYPERLINK("https://inpn.mnhn.fr/espece/cd_nom/239376","Andrena lagopus Latreille, 1809")</f>
        <v>Andrena lagopus Latreille, 1809</v>
      </c>
      <c r="P12818" s="7" t="str">
        <f>HYPERLINK("#Liste_rouge!A"&amp;_xlfn.XMATCH("LC",Liste_rouge!A:A,2,1),"LC")</f>
        <v>LC</v>
      </c>
      <c r="AH12818" s="4" t="str">
        <f>HYPERLINK("#Statut_biogéographique!A"&amp;_xlfn.XMATCH("P",Statut_biogéographique!A:A,2,1),"P")</f>
        <v>P</v>
      </c>
      <c r="AP12818" s="4" t="s">
        <v>376</v>
      </c>
      <c r="AR12818" s="4" t="s">
        <v>377</v>
      </c>
    </row>
    <row r="12819" spans="1:44">
      <c r="A12819" s="4" t="s">
        <v>10753</v>
      </c>
      <c r="B12819" s="4">
        <v>239377</v>
      </c>
      <c r="D12819" s="5">
        <v>239377</v>
      </c>
      <c r="E12819" s="6" t="str">
        <f>HYPERLINK("https://inpn.mnhn.fr/espece/cd_nom/239377","Andrena lapponica Zetterstedt, 1838")</f>
        <v>Andrena lapponica Zetterstedt, 1838</v>
      </c>
      <c r="P12819" s="7" t="str">
        <f>HYPERLINK("#Liste_rouge!A"&amp;_xlfn.XMATCH("LC",Liste_rouge!A:A,2,1),"LC")</f>
        <v>LC</v>
      </c>
      <c r="AH12819" s="4" t="str">
        <f>HYPERLINK("#Statut_biogéographique!A"&amp;_xlfn.XMATCH("P",Statut_biogéographique!A:A,2,1),"P")</f>
        <v>P</v>
      </c>
      <c r="AP12819" s="4" t="s">
        <v>376</v>
      </c>
      <c r="AR12819" s="4" t="s">
        <v>377</v>
      </c>
    </row>
    <row r="12820" spans="1:44">
      <c r="A12820" s="4" t="s">
        <v>10753</v>
      </c>
      <c r="B12820" s="4">
        <v>239378</v>
      </c>
      <c r="D12820" s="5" t="s">
        <v>15539</v>
      </c>
      <c r="E12820" s="6" t="str">
        <f>HYPERLINK("https://inpn.mnhn.fr/espece/cd_nom/239378","Andrena lathyri Alfken, 1899")</f>
        <v>Andrena lathyri Alfken, 1899</v>
      </c>
      <c r="P12820" s="7" t="str">
        <f>HYPERLINK("#Liste_rouge!A"&amp;_xlfn.XMATCH("DD",Liste_rouge!A:A,2,1),"DD")</f>
        <v>DD</v>
      </c>
      <c r="AH12820" s="4" t="str">
        <f>HYPERLINK("#Statut_biogéographique!A"&amp;_xlfn.XMATCH("P",Statut_biogéographique!A:A,2,1),"P")</f>
        <v>P</v>
      </c>
      <c r="AP12820" s="4" t="s">
        <v>376</v>
      </c>
      <c r="AR12820" s="4" t="s">
        <v>377</v>
      </c>
    </row>
    <row r="12821" spans="1:44">
      <c r="A12821" s="4" t="s">
        <v>10753</v>
      </c>
      <c r="B12821" s="4">
        <v>239382</v>
      </c>
      <c r="D12821" s="5" t="s">
        <v>15540</v>
      </c>
      <c r="E12821" s="6" t="str">
        <f>HYPERLINK("https://inpn.mnhn.fr/espece/cd_nom/239382","Andrena limata Smith, 1853")</f>
        <v>Andrena limata Smith, 1853</v>
      </c>
      <c r="P12821" s="7" t="str">
        <f>HYPERLINK("#Liste_rouge!A"&amp;_xlfn.XMATCH("DD",Liste_rouge!A:A,2,1),"DD")</f>
        <v>DD</v>
      </c>
      <c r="AH12821" s="4" t="str">
        <f>HYPERLINK("#Statut_biogéographique!A"&amp;_xlfn.XMATCH("P",Statut_biogéographique!A:A,2,1),"P")</f>
        <v>P</v>
      </c>
      <c r="AP12821" s="4" t="s">
        <v>376</v>
      </c>
      <c r="AR12821" s="4" t="s">
        <v>377</v>
      </c>
    </row>
    <row r="12822" spans="1:44">
      <c r="A12822" s="4" t="s">
        <v>10753</v>
      </c>
      <c r="B12822" s="4">
        <v>239385</v>
      </c>
      <c r="D12822" s="5">
        <v>239385</v>
      </c>
      <c r="E12822" s="6" t="str">
        <f>HYPERLINK("https://inpn.mnhn.fr/espece/cd_nom/239385","Andrena marginata Fabricius, 1777")</f>
        <v>Andrena marginata Fabricius, 1777</v>
      </c>
      <c r="P12822" s="7" t="str">
        <f>HYPERLINK("#Liste_rouge!A"&amp;_xlfn.XMATCH("DD",Liste_rouge!A:A,2,1),"DD")</f>
        <v>DD</v>
      </c>
      <c r="AH12822" s="4" t="str">
        <f>HYPERLINK("#Statut_biogéographique!A"&amp;_xlfn.XMATCH("P",Statut_biogéographique!A:A,2,1),"P")</f>
        <v>P</v>
      </c>
      <c r="AP12822" s="4" t="s">
        <v>376</v>
      </c>
      <c r="AR12822" s="4" t="s">
        <v>377</v>
      </c>
    </row>
    <row r="12823" spans="1:44">
      <c r="A12823" s="4" t="s">
        <v>10753</v>
      </c>
      <c r="B12823" s="4">
        <v>239387</v>
      </c>
      <c r="D12823" s="5" t="s">
        <v>15541</v>
      </c>
      <c r="E12823" s="6" t="str">
        <f>HYPERLINK("https://inpn.mnhn.fr/espece/cd_nom/239387","Andrena minutula (Kirby, 1802)")</f>
        <v>Andrena minutula (Kirby, 1802)</v>
      </c>
      <c r="P12823" s="7" t="str">
        <f>HYPERLINK("#Liste_rouge!A"&amp;_xlfn.XMATCH("DD",Liste_rouge!A:A,2,1),"DD")</f>
        <v>DD</v>
      </c>
      <c r="AH12823" s="4" t="str">
        <f>HYPERLINK("#Statut_biogéographique!A"&amp;_xlfn.XMATCH("P",Statut_biogéographique!A:A,2,1),"P")</f>
        <v>P</v>
      </c>
      <c r="AP12823" s="4" t="s">
        <v>376</v>
      </c>
      <c r="AR12823" s="4" t="s">
        <v>377</v>
      </c>
    </row>
    <row r="12824" spans="1:44">
      <c r="A12824" s="4" t="s">
        <v>10753</v>
      </c>
      <c r="B12824" s="4">
        <v>239388</v>
      </c>
      <c r="D12824" s="5">
        <v>239388</v>
      </c>
      <c r="E12824" s="6" t="str">
        <f>HYPERLINK("https://inpn.mnhn.fr/espece/cd_nom/239388","Andrena minutuloides Perkins, 1914")</f>
        <v>Andrena minutuloides Perkins, 1914</v>
      </c>
      <c r="P12824" s="7" t="str">
        <f>HYPERLINK("#Liste_rouge!A"&amp;_xlfn.XMATCH("DD",Liste_rouge!A:A,2,1),"DD")</f>
        <v>DD</v>
      </c>
      <c r="AH12824" s="4" t="str">
        <f>HYPERLINK("#Statut_biogéographique!A"&amp;_xlfn.XMATCH("P",Statut_biogéographique!A:A,2,1),"P")</f>
        <v>P</v>
      </c>
      <c r="AP12824" s="4" t="s">
        <v>376</v>
      </c>
      <c r="AR12824" s="4" t="s">
        <v>377</v>
      </c>
    </row>
    <row r="12825" spans="1:44">
      <c r="A12825" s="4" t="s">
        <v>10753</v>
      </c>
      <c r="B12825" s="4">
        <v>239389</v>
      </c>
      <c r="D12825" s="5">
        <v>239389</v>
      </c>
      <c r="E12825" s="6" t="str">
        <f>HYPERLINK("https://inpn.mnhn.fr/espece/cd_nom/239389","Andrena mitis Schmiedeknecht, 1883")</f>
        <v>Andrena mitis Schmiedeknecht, 1883</v>
      </c>
      <c r="P12825" s="7" t="str">
        <f>HYPERLINK("#Liste_rouge!A"&amp;_xlfn.XMATCH("DD",Liste_rouge!A:A,2,1),"DD")</f>
        <v>DD</v>
      </c>
      <c r="AH12825" s="4" t="str">
        <f>HYPERLINK("#Statut_biogéographique!A"&amp;_xlfn.XMATCH("P",Statut_biogéographique!A:A,2,1),"P")</f>
        <v>P</v>
      </c>
      <c r="AP12825" s="4" t="s">
        <v>376</v>
      </c>
      <c r="AR12825" s="4" t="s">
        <v>377</v>
      </c>
    </row>
    <row r="12826" spans="1:44">
      <c r="A12826" s="4" t="s">
        <v>10753</v>
      </c>
      <c r="B12826" s="4">
        <v>23939</v>
      </c>
      <c r="D12826" s="5">
        <v>23939</v>
      </c>
      <c r="E12826" s="6" t="str">
        <f>HYPERLINK("https://inpn.mnhn.fr/espece/cd_nom/23939","Merodon ruficornis Meigen, 1822")</f>
        <v>Merodon ruficornis Meigen, 1822</v>
      </c>
      <c r="P12826" s="7" t="str">
        <f>HYPERLINK("#Liste_rouge!A"&amp;_xlfn.XMATCH("LC",Liste_rouge!A:A,2,1),"LC")</f>
        <v>LC</v>
      </c>
      <c r="AH12826" s="4" t="str">
        <f>HYPERLINK("#Statut_biogéographique!A"&amp;_xlfn.XMATCH("P",Statut_biogéographique!A:A,2,1),"P")</f>
        <v>P</v>
      </c>
      <c r="AP12826" s="4" t="s">
        <v>376</v>
      </c>
      <c r="AR12826" s="4" t="s">
        <v>377</v>
      </c>
    </row>
    <row r="12827" spans="1:44">
      <c r="A12827" s="4" t="s">
        <v>10753</v>
      </c>
      <c r="B12827" s="4">
        <v>239396</v>
      </c>
      <c r="D12827" s="5">
        <v>239396</v>
      </c>
      <c r="E12827" s="6" t="str">
        <f>HYPERLINK("https://inpn.mnhn.fr/espece/cd_nom/239396","Andrena nigroolivacea Dours, 1873")</f>
        <v>Andrena nigroolivacea Dours, 1873</v>
      </c>
      <c r="P12827" s="7" t="str">
        <f>HYPERLINK("#Liste_rouge!A"&amp;_xlfn.XMATCH("LC",Liste_rouge!A:A,2,1),"LC")</f>
        <v>LC</v>
      </c>
      <c r="AH12827" s="4" t="str">
        <f>HYPERLINK("#Statut_biogéographique!A"&amp;_xlfn.XMATCH("P",Statut_biogéographique!A:A,2,1),"P")</f>
        <v>P</v>
      </c>
      <c r="AP12827" s="4" t="s">
        <v>376</v>
      </c>
      <c r="AR12827" s="4" t="s">
        <v>377</v>
      </c>
    </row>
    <row r="12828" spans="1:44">
      <c r="A12828" s="4" t="s">
        <v>10753</v>
      </c>
      <c r="B12828" s="4">
        <v>239399</v>
      </c>
      <c r="D12828" s="5" t="s">
        <v>15542</v>
      </c>
      <c r="E12828" s="6" t="str">
        <f>HYPERLINK("https://inpn.mnhn.fr/espece/cd_nom/239399","Andrena nitida (Müller, 1776)")</f>
        <v>Andrena nitida (Müller, 1776)</v>
      </c>
      <c r="P12828" s="7" t="str">
        <f>HYPERLINK("#Liste_rouge!A"&amp;_xlfn.XMATCH("LC",Liste_rouge!A:A,2,1),"LC")</f>
        <v>LC</v>
      </c>
      <c r="AH12828" s="4" t="str">
        <f>HYPERLINK("#Statut_biogéographique!A"&amp;_xlfn.XMATCH("P",Statut_biogéographique!A:A,2,1),"P")</f>
        <v>P</v>
      </c>
      <c r="AP12828" s="4" t="s">
        <v>376</v>
      </c>
      <c r="AR12828" s="4" t="s">
        <v>377</v>
      </c>
    </row>
    <row r="12829" spans="1:44">
      <c r="A12829" s="4" t="s">
        <v>10753</v>
      </c>
      <c r="B12829" s="4">
        <v>23940</v>
      </c>
      <c r="D12829" s="5">
        <v>23940</v>
      </c>
      <c r="E12829" s="6" t="str">
        <f>HYPERLINK("https://inpn.mnhn.fr/espece/cd_nom/23940","Merodon rufus Meigen, 1838")</f>
        <v>Merodon rufus Meigen, 1838</v>
      </c>
      <c r="P12829" s="7" t="str">
        <f>HYPERLINK("#Liste_rouge!A"&amp;_xlfn.XMATCH("LC",Liste_rouge!A:A,2,1),"LC")</f>
        <v>LC</v>
      </c>
      <c r="AH12829" s="4" t="str">
        <f>HYPERLINK("#Statut_biogéographique!A"&amp;_xlfn.XMATCH("P",Statut_biogéographique!A:A,2,1),"P")</f>
        <v>P</v>
      </c>
      <c r="AP12829" s="4" t="s">
        <v>376</v>
      </c>
      <c r="AR12829" s="4" t="s">
        <v>377</v>
      </c>
    </row>
    <row r="12830" spans="1:44">
      <c r="A12830" s="4" t="s">
        <v>10753</v>
      </c>
      <c r="B12830" s="4">
        <v>239404</v>
      </c>
      <c r="D12830" s="5">
        <v>239404</v>
      </c>
      <c r="E12830" s="6" t="str">
        <f>HYPERLINK("https://inpn.mnhn.fr/espece/cd_nom/239404","Andrena nuptialis Pérez, 1902")</f>
        <v>Andrena nuptialis Pérez, 1902</v>
      </c>
      <c r="O12830" s="7" t="str">
        <f>HYPERLINK("#Liste_rouge!A"&amp;_xlfn.XMATCH("LC",Liste_rouge!A:A,2,1),"LC")</f>
        <v>LC</v>
      </c>
      <c r="P12830" s="7" t="str">
        <f>HYPERLINK("#Liste_rouge!A"&amp;_xlfn.XMATCH("LC",Liste_rouge!A:A,2,1),"LC")</f>
        <v>LC</v>
      </c>
      <c r="AH12830" s="4" t="str">
        <f>HYPERLINK("#Statut_biogéographique!A"&amp;_xlfn.XMATCH("P",Statut_biogéographique!A:A,2,1),"P")</f>
        <v>P</v>
      </c>
      <c r="AP12830" s="4" t="s">
        <v>376</v>
      </c>
      <c r="AR12830" s="4" t="s">
        <v>377</v>
      </c>
    </row>
    <row r="12831" spans="1:44">
      <c r="A12831" s="4" t="s">
        <v>10753</v>
      </c>
      <c r="B12831" s="4">
        <v>239407</v>
      </c>
      <c r="D12831" s="5" t="s">
        <v>15543</v>
      </c>
      <c r="E12831" s="6" t="str">
        <f>HYPERLINK("https://inpn.mnhn.fr/espece/cd_nom/239407","Andrena ovatula (Kirby, 1802)")</f>
        <v>Andrena ovatula (Kirby, 1802)</v>
      </c>
      <c r="P12831" s="7" t="str">
        <f>HYPERLINK("#Liste_rouge!A"&amp;_xlfn.XMATCH("NT",Liste_rouge!A:A,2,1),"NT")</f>
        <v>NT</v>
      </c>
      <c r="AH12831" s="4" t="str">
        <f>HYPERLINK("#Statut_biogéographique!A"&amp;_xlfn.XMATCH("P",Statut_biogéographique!A:A,2,1),"P")</f>
        <v>P</v>
      </c>
      <c r="AP12831" s="4" t="s">
        <v>376</v>
      </c>
      <c r="AR12831" s="4" t="s">
        <v>377</v>
      </c>
    </row>
    <row r="12832" spans="1:44">
      <c r="A12832" s="4" t="s">
        <v>10753</v>
      </c>
      <c r="B12832" s="4">
        <v>239408</v>
      </c>
      <c r="D12832" s="5">
        <v>239408</v>
      </c>
      <c r="E12832" s="6" t="str">
        <f>HYPERLINK("https://inpn.mnhn.fr/espece/cd_nom/239408","Andrena pallitarsis Pérez, 1903")</f>
        <v>Andrena pallitarsis Pérez, 1903</v>
      </c>
      <c r="P12832" s="7" t="str">
        <f>HYPERLINK("#Liste_rouge!A"&amp;_xlfn.XMATCH("DD",Liste_rouge!A:A,2,1),"DD")</f>
        <v>DD</v>
      </c>
      <c r="AH12832" s="4" t="str">
        <f>HYPERLINK("#Statut_biogéographique!A"&amp;_xlfn.XMATCH("P",Statut_biogéographique!A:A,2,1),"P")</f>
        <v>P</v>
      </c>
      <c r="AP12832" s="4" t="s">
        <v>376</v>
      </c>
      <c r="AR12832" s="4" t="s">
        <v>377</v>
      </c>
    </row>
    <row r="12833" spans="1:44">
      <c r="A12833" s="4" t="s">
        <v>10753</v>
      </c>
      <c r="B12833" s="4">
        <v>239409</v>
      </c>
      <c r="D12833" s="5">
        <v>239409</v>
      </c>
      <c r="E12833" s="6" t="str">
        <f>HYPERLINK("https://inpn.mnhn.fr/espece/cd_nom/239409","Andrena pandellei Pérez, 1895")</f>
        <v>Andrena pandellei Pérez, 1895</v>
      </c>
      <c r="P12833" s="7" t="str">
        <f>HYPERLINK("#Liste_rouge!A"&amp;_xlfn.XMATCH("LC",Liste_rouge!A:A,2,1),"LC")</f>
        <v>LC</v>
      </c>
      <c r="AH12833" s="4" t="str">
        <f>HYPERLINK("#Statut_biogéographique!A"&amp;_xlfn.XMATCH("P",Statut_biogéographique!A:A,2,1),"P")</f>
        <v>P</v>
      </c>
      <c r="AP12833" s="4" t="s">
        <v>376</v>
      </c>
      <c r="AR12833" s="4" t="s">
        <v>377</v>
      </c>
    </row>
    <row r="12834" spans="1:44">
      <c r="A12834" s="4" t="s">
        <v>10753</v>
      </c>
      <c r="B12834" s="4">
        <v>239414</v>
      </c>
      <c r="D12834" s="5" t="s">
        <v>15544</v>
      </c>
      <c r="E12834" s="6" t="str">
        <f>HYPERLINK("https://inpn.mnhn.fr/espece/cd_nom/239414","Andrena pilipes Fabricius, 1781")</f>
        <v>Andrena pilipes Fabricius, 1781</v>
      </c>
      <c r="P12834" s="7" t="str">
        <f>HYPERLINK("#Liste_rouge!A"&amp;_xlfn.XMATCH("LC",Liste_rouge!A:A,2,1),"LC")</f>
        <v>LC</v>
      </c>
      <c r="AH12834" s="4" t="str">
        <f>HYPERLINK("#Statut_biogéographique!A"&amp;_xlfn.XMATCH("P",Statut_biogéographique!A:A,2,1),"P")</f>
        <v>P</v>
      </c>
      <c r="AP12834" s="4" t="s">
        <v>376</v>
      </c>
      <c r="AR12834" s="4" t="s">
        <v>377</v>
      </c>
    </row>
    <row r="12835" spans="1:44">
      <c r="A12835" s="4" t="s">
        <v>10753</v>
      </c>
      <c r="B12835" s="4">
        <v>239416</v>
      </c>
      <c r="D12835" s="5">
        <v>239416</v>
      </c>
      <c r="E12835" s="6" t="str">
        <f>HYPERLINK("https://inpn.mnhn.fr/espece/cd_nom/239416","Andrena potentillae Panzer, 1808")</f>
        <v>Andrena potentillae Panzer, 1808</v>
      </c>
      <c r="P12835" s="7" t="str">
        <f>HYPERLINK("#Liste_rouge!A"&amp;_xlfn.XMATCH("DD",Liste_rouge!A:A,2,1),"DD")</f>
        <v>DD</v>
      </c>
      <c r="AH12835" s="4" t="str">
        <f>HYPERLINK("#Statut_biogéographique!A"&amp;_xlfn.XMATCH("P",Statut_biogéographique!A:A,2,1),"P")</f>
        <v>P</v>
      </c>
      <c r="AP12835" s="4" t="s">
        <v>376</v>
      </c>
      <c r="AR12835" s="4" t="s">
        <v>377</v>
      </c>
    </row>
    <row r="12836" spans="1:44">
      <c r="A12836" s="4" t="s">
        <v>10753</v>
      </c>
      <c r="B12836" s="4">
        <v>239418</v>
      </c>
      <c r="D12836" s="5" t="s">
        <v>15545</v>
      </c>
      <c r="E12836" s="6" t="str">
        <f>HYPERLINK("https://inpn.mnhn.fr/espece/cd_nom/239418","Andrena proxima (Kirby, 1802)")</f>
        <v>Andrena proxima (Kirby, 1802)</v>
      </c>
      <c r="P12836" s="7" t="str">
        <f>HYPERLINK("#Liste_rouge!A"&amp;_xlfn.XMATCH("DD",Liste_rouge!A:A,2,1),"DD")</f>
        <v>DD</v>
      </c>
      <c r="AH12836" s="4" t="str">
        <f>HYPERLINK("#Statut_biogéographique!A"&amp;_xlfn.XMATCH("P",Statut_biogéographique!A:A,2,1),"P")</f>
        <v>P</v>
      </c>
      <c r="AP12836" s="4" t="s">
        <v>376</v>
      </c>
      <c r="AR12836" s="4" t="s">
        <v>377</v>
      </c>
    </row>
    <row r="12837" spans="1:44">
      <c r="A12837" s="4" t="s">
        <v>10753</v>
      </c>
      <c r="B12837" s="4">
        <v>239419</v>
      </c>
      <c r="D12837" s="5">
        <v>239419</v>
      </c>
      <c r="E12837" s="6" t="str">
        <f>HYPERLINK("https://inpn.mnhn.fr/espece/cd_nom/239419","Andrena pusilla Pérez, 1903")</f>
        <v>Andrena pusilla Pérez, 1903</v>
      </c>
      <c r="P12837" s="7" t="str">
        <f>HYPERLINK("#Liste_rouge!A"&amp;_xlfn.XMATCH("DD",Liste_rouge!A:A,2,1),"DD")</f>
        <v>DD</v>
      </c>
      <c r="AH12837" s="4" t="str">
        <f>HYPERLINK("#Statut_biogéographique!A"&amp;_xlfn.XMATCH("P",Statut_biogéographique!A:A,2,1),"P")</f>
        <v>P</v>
      </c>
      <c r="AP12837" s="4" t="s">
        <v>376</v>
      </c>
      <c r="AR12837" s="4" t="s">
        <v>377</v>
      </c>
    </row>
    <row r="12838" spans="1:44">
      <c r="A12838" s="4" t="s">
        <v>10753</v>
      </c>
      <c r="B12838" s="4">
        <v>23942</v>
      </c>
      <c r="D12838" s="5" t="s">
        <v>15546</v>
      </c>
      <c r="E12838" s="6" t="str">
        <f>HYPERLINK("https://inpn.mnhn.fr/espece/cd_nom/23942","Myathropa florea (Linnaeus, 1758)")</f>
        <v>Myathropa florea (Linnaeus, 1758)</v>
      </c>
      <c r="P12838" s="7" t="str">
        <f>HYPERLINK("#Liste_rouge!A"&amp;_xlfn.XMATCH("LC",Liste_rouge!A:A,2,1),"LC")</f>
        <v>LC</v>
      </c>
      <c r="AH12838" s="4" t="str">
        <f>HYPERLINK("#Statut_biogéographique!A"&amp;_xlfn.XMATCH("P",Statut_biogéographique!A:A,2,1),"P")</f>
        <v>P</v>
      </c>
      <c r="AP12838" s="4" t="s">
        <v>376</v>
      </c>
      <c r="AR12838" s="4" t="s">
        <v>377</v>
      </c>
    </row>
    <row r="12839" spans="1:44">
      <c r="A12839" s="4" t="s">
        <v>10753</v>
      </c>
      <c r="B12839" s="4">
        <v>239420</v>
      </c>
      <c r="D12839" s="5">
        <v>239420</v>
      </c>
      <c r="E12839" s="6" t="str">
        <f>HYPERLINK("https://inpn.mnhn.fr/espece/cd_nom/239420","Andrena ranunculi Schmiedeknecht, 1884")</f>
        <v>Andrena ranunculi Schmiedeknecht, 1884</v>
      </c>
      <c r="P12839" s="7" t="str">
        <f>HYPERLINK("#Liste_rouge!A"&amp;_xlfn.XMATCH("LC",Liste_rouge!A:A,2,1),"LC")</f>
        <v>LC</v>
      </c>
      <c r="AH12839" s="4" t="str">
        <f>HYPERLINK("#Statut_biogéographique!A"&amp;_xlfn.XMATCH("P",Statut_biogéographique!A:A,2,1),"P")</f>
        <v>P</v>
      </c>
      <c r="AP12839" s="4" t="s">
        <v>376</v>
      </c>
      <c r="AR12839" s="4" t="s">
        <v>377</v>
      </c>
    </row>
    <row r="12840" spans="1:44">
      <c r="A12840" s="4" t="s">
        <v>10753</v>
      </c>
      <c r="B12840" s="4">
        <v>239428</v>
      </c>
      <c r="D12840" s="5">
        <v>239428</v>
      </c>
      <c r="E12840" s="6" t="str">
        <f>HYPERLINK("https://inpn.mnhn.fr/espece/cd_nom/239428","Andrena rufula Schmiedeknecht, 1883")</f>
        <v>Andrena rufula Schmiedeknecht, 1883</v>
      </c>
      <c r="P12840" s="7" t="str">
        <f>HYPERLINK("#Liste_rouge!A"&amp;_xlfn.XMATCH("LC",Liste_rouge!A:A,2,1),"LC")</f>
        <v>LC</v>
      </c>
      <c r="AH12840" s="4" t="str">
        <f>HYPERLINK("#Statut_biogéographique!A"&amp;_xlfn.XMATCH("P",Statut_biogéographique!A:A,2,1),"P")</f>
        <v>P</v>
      </c>
      <c r="AP12840" s="4" t="s">
        <v>376</v>
      </c>
      <c r="AR12840" s="4" t="s">
        <v>377</v>
      </c>
    </row>
    <row r="12841" spans="1:44">
      <c r="A12841" s="4" t="s">
        <v>10753</v>
      </c>
      <c r="B12841" s="4">
        <v>239434</v>
      </c>
      <c r="D12841" s="5" t="s">
        <v>15547</v>
      </c>
      <c r="E12841" s="6" t="str">
        <f>HYPERLINK("https://inpn.mnhn.fr/espece/cd_nom/239434","Andrena schencki Morawitz, 1866")</f>
        <v>Andrena schencki Morawitz, 1866</v>
      </c>
      <c r="P12841" s="7" t="str">
        <f>HYPERLINK("#Liste_rouge!A"&amp;_xlfn.XMATCH("DD",Liste_rouge!A:A,2,1),"DD")</f>
        <v>DD</v>
      </c>
      <c r="AH12841" s="4" t="str">
        <f>HYPERLINK("#Statut_biogéographique!A"&amp;_xlfn.XMATCH("P",Statut_biogéographique!A:A,2,1),"P")</f>
        <v>P</v>
      </c>
      <c r="AP12841" s="4" t="s">
        <v>376</v>
      </c>
      <c r="AR12841" s="4" t="s">
        <v>377</v>
      </c>
    </row>
    <row r="12842" spans="1:44">
      <c r="A12842" s="4" t="s">
        <v>10753</v>
      </c>
      <c r="B12842" s="4">
        <v>23944</v>
      </c>
      <c r="D12842" s="5" t="s">
        <v>15548</v>
      </c>
      <c r="E12842" s="6" t="str">
        <f>HYPERLINK("https://inpn.mnhn.fr/espece/cd_nom/23944","Parhelophilus consimilis (Malm, 1863)")</f>
        <v>Parhelophilus consimilis (Malm, 1863)</v>
      </c>
      <c r="P12842" s="7" t="str">
        <f>HYPERLINK("#Liste_rouge!A"&amp;_xlfn.XMATCH("LC",Liste_rouge!A:A,2,1),"LC")</f>
        <v>LC</v>
      </c>
      <c r="AH12842" s="4" t="str">
        <f>HYPERLINK("#Statut_biogéographique!A"&amp;_xlfn.XMATCH("P",Statut_biogéographique!A:A,2,1),"P")</f>
        <v>P</v>
      </c>
      <c r="AP12842" s="4" t="s">
        <v>376</v>
      </c>
      <c r="AR12842" s="4" t="s">
        <v>377</v>
      </c>
    </row>
    <row r="12843" spans="1:44">
      <c r="A12843" s="4" t="s">
        <v>10753</v>
      </c>
      <c r="B12843" s="4">
        <v>239440</v>
      </c>
      <c r="D12843" s="5">
        <v>239440</v>
      </c>
      <c r="E12843" s="6" t="str">
        <f>HYPERLINK("https://inpn.mnhn.fr/espece/cd_nom/239440","Andrena simontornyella Noskiewicz, 1939")</f>
        <v>Andrena simontornyella Noskiewicz, 1939</v>
      </c>
      <c r="P12843" s="7" t="str">
        <f>HYPERLINK("#Liste_rouge!A"&amp;_xlfn.XMATCH("LC",Liste_rouge!A:A,2,1),"LC")</f>
        <v>LC</v>
      </c>
      <c r="AH12843" s="4" t="str">
        <f>HYPERLINK("#Statut_biogéographique!A"&amp;_xlfn.XMATCH("P",Statut_biogéographique!A:A,2,1),"P")</f>
        <v>P</v>
      </c>
      <c r="AP12843" s="4" t="s">
        <v>376</v>
      </c>
      <c r="AR12843" s="4" t="s">
        <v>377</v>
      </c>
    </row>
    <row r="12844" spans="1:44">
      <c r="A12844" s="4" t="s">
        <v>10753</v>
      </c>
      <c r="B12844" s="4">
        <v>239444</v>
      </c>
      <c r="D12844" s="5">
        <v>239444</v>
      </c>
      <c r="E12844" s="6" t="str">
        <f>HYPERLINK("https://inpn.mnhn.fr/espece/cd_nom/239444","Andrena strohmella Stoeckhert, 1928")</f>
        <v>Andrena strohmella Stoeckhert, 1928</v>
      </c>
      <c r="P12844" s="7" t="str">
        <f>HYPERLINK("#Liste_rouge!A"&amp;_xlfn.XMATCH("LC",Liste_rouge!A:A,2,1),"LC")</f>
        <v>LC</v>
      </c>
      <c r="AH12844" s="4" t="str">
        <f>HYPERLINK("#Statut_biogéographique!A"&amp;_xlfn.XMATCH("P",Statut_biogéographique!A:A,2,1),"P")</f>
        <v>P</v>
      </c>
      <c r="AP12844" s="4" t="s">
        <v>376</v>
      </c>
      <c r="AR12844" s="4" t="s">
        <v>377</v>
      </c>
    </row>
    <row r="12845" spans="1:44">
      <c r="A12845" s="4" t="s">
        <v>10753</v>
      </c>
      <c r="B12845" s="4">
        <v>239445</v>
      </c>
      <c r="D12845" s="5">
        <v>239445</v>
      </c>
      <c r="E12845" s="6" t="str">
        <f>HYPERLINK("https://inpn.mnhn.fr/espece/cd_nom/239445","Andrena subopaca Nylander, 1848")</f>
        <v>Andrena subopaca Nylander, 1848</v>
      </c>
      <c r="P12845" s="7" t="str">
        <f>HYPERLINK("#Liste_rouge!A"&amp;_xlfn.XMATCH("LC",Liste_rouge!A:A,2,1),"LC")</f>
        <v>LC</v>
      </c>
      <c r="AH12845" s="4" t="str">
        <f>HYPERLINK("#Statut_biogéographique!A"&amp;_xlfn.XMATCH("P",Statut_biogéographique!A:A,2,1),"P")</f>
        <v>P</v>
      </c>
      <c r="AP12845" s="4" t="s">
        <v>376</v>
      </c>
      <c r="AR12845" s="4" t="s">
        <v>377</v>
      </c>
    </row>
    <row r="12846" spans="1:44">
      <c r="A12846" s="4" t="s">
        <v>10753</v>
      </c>
      <c r="B12846" s="4">
        <v>23945</v>
      </c>
      <c r="D12846" s="5" t="s">
        <v>15549</v>
      </c>
      <c r="E12846" s="6" t="str">
        <f>HYPERLINK("https://inpn.mnhn.fr/espece/cd_nom/23945","Parhelophilus frutetorum (Fabricius, 1775)")</f>
        <v>Parhelophilus frutetorum (Fabricius, 1775)</v>
      </c>
      <c r="P12846" s="7" t="str">
        <f>HYPERLINK("#Liste_rouge!A"&amp;_xlfn.XMATCH("LC",Liste_rouge!A:A,2,1),"LC")</f>
        <v>LC</v>
      </c>
      <c r="AH12846" s="4" t="str">
        <f>HYPERLINK("#Statut_biogéographique!A"&amp;_xlfn.XMATCH("P",Statut_biogéographique!A:A,2,1),"P")</f>
        <v>P</v>
      </c>
      <c r="AP12846" s="4" t="s">
        <v>376</v>
      </c>
      <c r="AR12846" s="4" t="s">
        <v>377</v>
      </c>
    </row>
    <row r="12847" spans="1:44">
      <c r="A12847" s="4" t="s">
        <v>10753</v>
      </c>
      <c r="B12847" s="4">
        <v>239454</v>
      </c>
      <c r="D12847" s="5" t="s">
        <v>15550</v>
      </c>
      <c r="E12847" s="6" t="str">
        <f>HYPERLINK("https://inpn.mnhn.fr/espece/cd_nom/239454","Andrena tibialis (Kirby, 1802)")</f>
        <v>Andrena tibialis (Kirby, 1802)</v>
      </c>
      <c r="P12847" s="7" t="str">
        <f>HYPERLINK("#Liste_rouge!A"&amp;_xlfn.XMATCH("LC",Liste_rouge!A:A,2,1),"LC")</f>
        <v>LC</v>
      </c>
      <c r="AH12847" s="4" t="str">
        <f>HYPERLINK("#Statut_biogéographique!A"&amp;_xlfn.XMATCH("P",Statut_biogéographique!A:A,2,1),"P")</f>
        <v>P</v>
      </c>
      <c r="AP12847" s="4" t="s">
        <v>376</v>
      </c>
      <c r="AR12847" s="4" t="s">
        <v>377</v>
      </c>
    </row>
    <row r="12848" spans="1:44">
      <c r="A12848" s="4" t="s">
        <v>10753</v>
      </c>
      <c r="B12848" s="4">
        <v>239458</v>
      </c>
      <c r="D12848" s="5" t="s">
        <v>15551</v>
      </c>
      <c r="E12848" s="6" t="str">
        <f>HYPERLINK("https://inpn.mnhn.fr/espece/cd_nom/239458","Andrena vaga Panzer, 1799")</f>
        <v>Andrena vaga Panzer, 1799</v>
      </c>
      <c r="P12848" s="7" t="str">
        <f>HYPERLINK("#Liste_rouge!A"&amp;_xlfn.XMATCH("LC",Liste_rouge!A:A,2,1),"LC")</f>
        <v>LC</v>
      </c>
      <c r="AH12848" s="4" t="str">
        <f>HYPERLINK("#Statut_biogéographique!A"&amp;_xlfn.XMATCH("P",Statut_biogéographique!A:A,2,1),"P")</f>
        <v>P</v>
      </c>
      <c r="AP12848" s="4" t="s">
        <v>376</v>
      </c>
      <c r="AR12848" s="4" t="s">
        <v>377</v>
      </c>
    </row>
    <row r="12849" spans="1:44">
      <c r="A12849" s="4" t="s">
        <v>10753</v>
      </c>
      <c r="B12849" s="4">
        <v>23946</v>
      </c>
      <c r="D12849" s="5" t="s">
        <v>15552</v>
      </c>
      <c r="E12849" s="6" t="str">
        <f>HYPERLINK("https://inpn.mnhn.fr/espece/cd_nom/23946","Parhelophilus versicolor (Fabricius, 1794)")</f>
        <v>Parhelophilus versicolor (Fabricius, 1794)</v>
      </c>
      <c r="P12849" s="7" t="str">
        <f>HYPERLINK("#Liste_rouge!A"&amp;_xlfn.XMATCH("LC",Liste_rouge!A:A,2,1),"LC")</f>
        <v>LC</v>
      </c>
      <c r="AH12849" s="4" t="str">
        <f>HYPERLINK("#Statut_biogéographique!A"&amp;_xlfn.XMATCH("P",Statut_biogéographique!A:A,2,1),"P")</f>
        <v>P</v>
      </c>
      <c r="AP12849" s="4" t="s">
        <v>376</v>
      </c>
      <c r="AR12849" s="4" t="s">
        <v>377</v>
      </c>
    </row>
    <row r="12850" spans="1:44">
      <c r="A12850" s="4" t="s">
        <v>10753</v>
      </c>
      <c r="B12850" s="4">
        <v>239460</v>
      </c>
      <c r="D12850" s="5" t="s">
        <v>15553</v>
      </c>
      <c r="E12850" s="6" t="str">
        <f>HYPERLINK("https://inpn.mnhn.fr/espece/cd_nom/239460","Andrena varians (Kirby, 1802)")</f>
        <v>Andrena varians (Kirby, 1802)</v>
      </c>
      <c r="P12850" s="7" t="str">
        <f>HYPERLINK("#Liste_rouge!A"&amp;_xlfn.XMATCH("LC",Liste_rouge!A:A,2,1),"LC")</f>
        <v>LC</v>
      </c>
      <c r="AH12850" s="4" t="str">
        <f>HYPERLINK("#Statut_biogéographique!A"&amp;_xlfn.XMATCH("P",Statut_biogéographique!A:A,2,1),"P")</f>
        <v>P</v>
      </c>
      <c r="AP12850" s="4" t="s">
        <v>376</v>
      </c>
      <c r="AR12850" s="4" t="s">
        <v>377</v>
      </c>
    </row>
    <row r="12851" spans="1:44">
      <c r="A12851" s="4" t="s">
        <v>10753</v>
      </c>
      <c r="B12851" s="4">
        <v>239461</v>
      </c>
      <c r="D12851" s="5">
        <v>239461</v>
      </c>
      <c r="E12851" s="6" t="str">
        <f>HYPERLINK("https://inpn.mnhn.fr/espece/cd_nom/239461","Andrena ventralis Imhoff, 1832")</f>
        <v>Andrena ventralis Imhoff, 1832</v>
      </c>
      <c r="P12851" s="7" t="str">
        <f>HYPERLINK("#Liste_rouge!A"&amp;_xlfn.XMATCH("DD",Liste_rouge!A:A,2,1),"DD")</f>
        <v>DD</v>
      </c>
      <c r="AH12851" s="4" t="str">
        <f>HYPERLINK("#Statut_biogéographique!A"&amp;_xlfn.XMATCH("P",Statut_biogéographique!A:A,2,1),"P")</f>
        <v>P</v>
      </c>
      <c r="AP12851" s="4" t="s">
        <v>376</v>
      </c>
      <c r="AR12851" s="4" t="s">
        <v>377</v>
      </c>
    </row>
    <row r="12852" spans="1:44">
      <c r="A12852" s="4" t="s">
        <v>10753</v>
      </c>
      <c r="B12852" s="4">
        <v>239468</v>
      </c>
      <c r="D12852" s="5" t="s">
        <v>15554</v>
      </c>
      <c r="E12852" s="6" t="str">
        <f>HYPERLINK("https://inpn.mnhn.fr/espece/cd_nom/239468","Andrena wilkella (Kirby, 1802)")</f>
        <v>Andrena wilkella (Kirby, 1802)</v>
      </c>
      <c r="P12852" s="7" t="str">
        <f>HYPERLINK("#Liste_rouge!A"&amp;_xlfn.XMATCH("DD",Liste_rouge!A:A,2,1),"DD")</f>
        <v>DD</v>
      </c>
      <c r="AH12852" s="4" t="str">
        <f>HYPERLINK("#Statut_biogéographique!A"&amp;_xlfn.XMATCH("P",Statut_biogéographique!A:A,2,1),"P")</f>
        <v>P</v>
      </c>
      <c r="AP12852" s="4" t="s">
        <v>376</v>
      </c>
      <c r="AR12852" s="4" t="s">
        <v>377</v>
      </c>
    </row>
    <row r="12853" spans="1:44">
      <c r="A12853" s="4" t="s">
        <v>10753</v>
      </c>
      <c r="B12853" s="4">
        <v>239470</v>
      </c>
      <c r="D12853" s="5" t="s">
        <v>15555</v>
      </c>
      <c r="E12853" s="6" t="str">
        <f>HYPERLINK("https://inpn.mnhn.fr/espece/cd_nom/239470","Anthidiellum strigatum (Panzer, 1802)")</f>
        <v>Anthidiellum strigatum (Panzer, 1802)</v>
      </c>
      <c r="P12853" s="7" t="str">
        <f>HYPERLINK("#Liste_rouge!A"&amp;_xlfn.XMATCH("LC",Liste_rouge!A:A,2,1),"LC")</f>
        <v>LC</v>
      </c>
      <c r="AH12853" s="4" t="str">
        <f>HYPERLINK("#Statut_biogéographique!A"&amp;_xlfn.XMATCH("P",Statut_biogéographique!A:A,2,1),"P")</f>
        <v>P</v>
      </c>
      <c r="AP12853" s="4" t="s">
        <v>376</v>
      </c>
      <c r="AR12853" s="4" t="s">
        <v>377</v>
      </c>
    </row>
    <row r="12854" spans="1:44">
      <c r="A12854" s="4" t="s">
        <v>10753</v>
      </c>
      <c r="B12854" s="4">
        <v>239474</v>
      </c>
      <c r="D12854" s="5" t="s">
        <v>15556</v>
      </c>
      <c r="E12854" s="6" t="str">
        <f>HYPERLINK("https://inpn.mnhn.fr/espece/cd_nom/239474","Anthidium florentinum (Fabricius, 1775)")</f>
        <v>Anthidium florentinum (Fabricius, 1775)</v>
      </c>
      <c r="P12854" s="7" t="str">
        <f>HYPERLINK("#Liste_rouge!A"&amp;_xlfn.XMATCH("LC",Liste_rouge!A:A,2,1),"LC")</f>
        <v>LC</v>
      </c>
      <c r="AH12854" s="4" t="str">
        <f>HYPERLINK("#Statut_biogéographique!A"&amp;_xlfn.XMATCH("P",Statut_biogéographique!A:A,2,1),"P")</f>
        <v>P</v>
      </c>
      <c r="AP12854" s="4" t="s">
        <v>376</v>
      </c>
      <c r="AR12854" s="4" t="s">
        <v>377</v>
      </c>
    </row>
    <row r="12855" spans="1:44">
      <c r="A12855" s="4" t="s">
        <v>10753</v>
      </c>
      <c r="B12855" s="4">
        <v>239478</v>
      </c>
      <c r="D12855" s="5" t="s">
        <v>15557</v>
      </c>
      <c r="E12855" s="6" t="str">
        <f>HYPERLINK("https://inpn.mnhn.fr/espece/cd_nom/239478","Anthidium oblongatum (Illiger, 1806)")</f>
        <v>Anthidium oblongatum (Illiger, 1806)</v>
      </c>
      <c r="P12855" s="7" t="str">
        <f>HYPERLINK("#Liste_rouge!A"&amp;_xlfn.XMATCH("LC",Liste_rouge!A:A,2,1),"LC")</f>
        <v>LC</v>
      </c>
      <c r="AH12855" s="4" t="str">
        <f>HYPERLINK("#Statut_biogéographique!A"&amp;_xlfn.XMATCH("P",Statut_biogéographique!A:A,2,1),"P")</f>
        <v>P</v>
      </c>
      <c r="AP12855" s="4" t="s">
        <v>376</v>
      </c>
      <c r="AR12855" s="4" t="s">
        <v>377</v>
      </c>
    </row>
    <row r="12856" spans="1:44">
      <c r="A12856" s="4" t="s">
        <v>10753</v>
      </c>
      <c r="B12856" s="4">
        <v>239480</v>
      </c>
      <c r="D12856" s="5">
        <v>239480</v>
      </c>
      <c r="E12856" s="6" t="str">
        <f>HYPERLINK("https://inpn.mnhn.fr/espece/cd_nom/239480","Anthidium septemspinosum Lepeletier, 1841")</f>
        <v>Anthidium septemspinosum Lepeletier, 1841</v>
      </c>
      <c r="P12856" s="7" t="str">
        <f>HYPERLINK("#Liste_rouge!A"&amp;_xlfn.XMATCH("DD",Liste_rouge!A:A,2,1),"DD")</f>
        <v>DD</v>
      </c>
      <c r="AH12856" s="4" t="str">
        <f>HYPERLINK("#Statut_biogéographique!A"&amp;_xlfn.XMATCH("P",Statut_biogéographique!A:A,2,1),"P")</f>
        <v>P</v>
      </c>
      <c r="AP12856" s="4" t="s">
        <v>376</v>
      </c>
      <c r="AR12856" s="4" t="s">
        <v>377</v>
      </c>
    </row>
    <row r="12857" spans="1:44">
      <c r="A12857" s="4" t="s">
        <v>10753</v>
      </c>
      <c r="B12857" s="4">
        <v>239483</v>
      </c>
      <c r="D12857" s="5" t="s">
        <v>15558</v>
      </c>
      <c r="E12857" s="6" t="str">
        <f>HYPERLINK("https://inpn.mnhn.fr/espece/cd_nom/239483","Anthophora aestivalis (Panzer, 1801)")</f>
        <v>Anthophora aestivalis (Panzer, 1801)</v>
      </c>
      <c r="F12857" s="5" t="s">
        <v>15559</v>
      </c>
      <c r="P12857" s="7" t="str">
        <f>HYPERLINK("#Liste_rouge!A"&amp;_xlfn.XMATCH("LC",Liste_rouge!A:A,2,1),"LC")</f>
        <v>LC</v>
      </c>
      <c r="AH12857" s="4" t="str">
        <f>HYPERLINK("#Statut_biogéographique!A"&amp;_xlfn.XMATCH("P",Statut_biogéographique!A:A,2,1),"P")</f>
        <v>P</v>
      </c>
      <c r="AP12857" s="4" t="s">
        <v>376</v>
      </c>
      <c r="AR12857" s="4" t="s">
        <v>377</v>
      </c>
    </row>
    <row r="12858" spans="1:44">
      <c r="A12858" s="4" t="s">
        <v>10753</v>
      </c>
      <c r="B12858" s="4">
        <v>239500</v>
      </c>
      <c r="D12858" s="5" t="s">
        <v>15560</v>
      </c>
      <c r="E12858" s="6" t="str">
        <f>HYPERLINK("https://inpn.mnhn.fr/espece/cd_nom/239500","Anthophora furcata (Panzer, 1798)")</f>
        <v>Anthophora furcata (Panzer, 1798)</v>
      </c>
      <c r="F12858" s="5" t="s">
        <v>15561</v>
      </c>
      <c r="P12858" s="7" t="str">
        <f>HYPERLINK("#Liste_rouge!A"&amp;_xlfn.XMATCH("LC",Liste_rouge!A:A,2,1),"LC")</f>
        <v>LC</v>
      </c>
      <c r="AH12858" s="4" t="str">
        <f>HYPERLINK("#Statut_biogéographique!A"&amp;_xlfn.XMATCH("P",Statut_biogéographique!A:A,2,1),"P")</f>
        <v>P</v>
      </c>
      <c r="AP12858" s="4" t="s">
        <v>376</v>
      </c>
      <c r="AR12858" s="4" t="s">
        <v>377</v>
      </c>
    </row>
    <row r="12859" spans="1:44" ht="30">
      <c r="A12859" s="4" t="s">
        <v>10753</v>
      </c>
      <c r="B12859" s="4">
        <v>239508</v>
      </c>
      <c r="D12859" s="5" t="s">
        <v>15562</v>
      </c>
      <c r="E12859" s="6" t="str">
        <f>HYPERLINK("https://inpn.mnhn.fr/espece/cd_nom/239508","Anthophora plumipes (Pallas, 1772)")</f>
        <v>Anthophora plumipes (Pallas, 1772)</v>
      </c>
      <c r="F12859" s="5" t="s">
        <v>15563</v>
      </c>
      <c r="P12859" s="7" t="str">
        <f>HYPERLINK("#Liste_rouge!A"&amp;_xlfn.XMATCH("LC",Liste_rouge!A:A,2,1),"LC")</f>
        <v>LC</v>
      </c>
      <c r="AH12859" s="4" t="str">
        <f>HYPERLINK("#Statut_biogéographique!A"&amp;_xlfn.XMATCH("P",Statut_biogéographique!A:A,2,1),"P")</f>
        <v>P</v>
      </c>
      <c r="AP12859" s="4" t="s">
        <v>376</v>
      </c>
      <c r="AR12859" s="4" t="s">
        <v>377</v>
      </c>
    </row>
    <row r="12860" spans="1:44" ht="30">
      <c r="A12860" s="4" t="s">
        <v>10753</v>
      </c>
      <c r="B12860" s="4">
        <v>23951</v>
      </c>
      <c r="D12860" s="5" t="s">
        <v>15564</v>
      </c>
      <c r="E12860" s="6" t="str">
        <f>HYPERLINK("https://inpn.mnhn.fr/espece/cd_nom/23951","Sphiximorpha subsessilis (Illiger in Rossi, 1807)")</f>
        <v>Sphiximorpha subsessilis (Illiger in Rossi, 1807)</v>
      </c>
      <c r="P12860" s="7" t="str">
        <f>HYPERLINK("#Liste_rouge!A"&amp;_xlfn.XMATCH("LC",Liste_rouge!A:A,2,1),"LC")</f>
        <v>LC</v>
      </c>
      <c r="AH12860" s="4" t="str">
        <f>HYPERLINK("#Statut_biogéographique!A"&amp;_xlfn.XMATCH("P",Statut_biogéographique!A:A,2,1),"P")</f>
        <v>P</v>
      </c>
      <c r="AP12860" s="4" t="s">
        <v>376</v>
      </c>
      <c r="AR12860" s="4" t="s">
        <v>377</v>
      </c>
    </row>
    <row r="12861" spans="1:44">
      <c r="A12861" s="4" t="s">
        <v>10753</v>
      </c>
      <c r="B12861" s="4">
        <v>239513</v>
      </c>
      <c r="D12861" s="5" t="s">
        <v>15565</v>
      </c>
      <c r="E12861" s="6" t="str">
        <f>HYPERLINK("https://inpn.mnhn.fr/espece/cd_nom/239513","Anthophora quadrimaculata (Panzer, 1798)")</f>
        <v>Anthophora quadrimaculata (Panzer, 1798)</v>
      </c>
      <c r="F12861" s="5" t="s">
        <v>15566</v>
      </c>
      <c r="P12861" s="7" t="str">
        <f>HYPERLINK("#Liste_rouge!A"&amp;_xlfn.XMATCH("DD",Liste_rouge!A:A,2,1),"DD")</f>
        <v>DD</v>
      </c>
      <c r="AH12861" s="4" t="str">
        <f>HYPERLINK("#Statut_biogéographique!A"&amp;_xlfn.XMATCH("P",Statut_biogéographique!A:A,2,1),"P")</f>
        <v>P</v>
      </c>
      <c r="AP12861" s="4" t="s">
        <v>376</v>
      </c>
      <c r="AR12861" s="4" t="s">
        <v>377</v>
      </c>
    </row>
    <row r="12862" spans="1:44" ht="30">
      <c r="A12862" s="4" t="s">
        <v>10753</v>
      </c>
      <c r="B12862" s="4">
        <v>239523</v>
      </c>
      <c r="D12862" s="5" t="s">
        <v>15567</v>
      </c>
      <c r="E12862" s="6" t="str">
        <f>HYPERLINK("https://inpn.mnhn.fr/espece/cd_nom/239523","Apis mellifera Linnaeus, 1758")</f>
        <v>Apis mellifera Linnaeus, 1758</v>
      </c>
      <c r="F12862" s="5" t="s">
        <v>15568</v>
      </c>
      <c r="P12862" s="7" t="str">
        <f>HYPERLINK("#Liste_rouge!A"&amp;_xlfn.XMATCH("DD",Liste_rouge!A:A,2,1),"DD")</f>
        <v>DD</v>
      </c>
      <c r="AH12862" s="4" t="str">
        <f>HYPERLINK("#Statut_biogéographique!A"&amp;_xlfn.XMATCH("P",Statut_biogéographique!A:A,2,1),"P")</f>
        <v>P</v>
      </c>
      <c r="AP12862" s="4" t="s">
        <v>376</v>
      </c>
      <c r="AR12862" s="4" t="s">
        <v>377</v>
      </c>
    </row>
    <row r="12863" spans="1:44">
      <c r="A12863" s="4" t="s">
        <v>10753</v>
      </c>
      <c r="B12863" s="4">
        <v>239528</v>
      </c>
      <c r="D12863" s="5" t="s">
        <v>15569</v>
      </c>
      <c r="E12863" s="6" t="str">
        <f>HYPERLINK("https://inpn.mnhn.fr/espece/cd_nom/239528","Bombus barbutellus (Kirby, 1802)")</f>
        <v>Bombus barbutellus (Kirby, 1802)</v>
      </c>
      <c r="F12863" s="5" t="s">
        <v>15570</v>
      </c>
      <c r="P12863" s="7" t="str">
        <f>HYPERLINK("#Liste_rouge!A"&amp;_xlfn.XMATCH("LC",Liste_rouge!A:A,2,1),"LC")</f>
        <v>LC</v>
      </c>
      <c r="AH12863" s="4" t="str">
        <f>HYPERLINK("#Statut_biogéographique!A"&amp;_xlfn.XMATCH("P",Statut_biogéographique!A:A,2,1),"P")</f>
        <v>P</v>
      </c>
      <c r="AP12863" s="4" t="s">
        <v>376</v>
      </c>
      <c r="AR12863" s="4" t="s">
        <v>377</v>
      </c>
    </row>
    <row r="12864" spans="1:44">
      <c r="A12864" s="4" t="s">
        <v>10753</v>
      </c>
      <c r="B12864" s="4">
        <v>239529</v>
      </c>
      <c r="D12864" s="5" t="s">
        <v>15571</v>
      </c>
      <c r="E12864" s="6" t="str">
        <f>HYPERLINK("https://inpn.mnhn.fr/espece/cd_nom/239529","Bombus bohemicus Seidl, 1838")</f>
        <v>Bombus bohemicus Seidl, 1838</v>
      </c>
      <c r="F12864" s="5" t="s">
        <v>15572</v>
      </c>
      <c r="O12864" s="7" t="str">
        <f>HYPERLINK("#Liste_rouge!A"&amp;_xlfn.XMATCH("DD",Liste_rouge!A:A,2,1),"DD")</f>
        <v>DD</v>
      </c>
      <c r="P12864" s="7" t="str">
        <f>HYPERLINK("#Liste_rouge!A"&amp;_xlfn.XMATCH("LC",Liste_rouge!A:A,2,1),"LC")</f>
        <v>LC</v>
      </c>
      <c r="AH12864" s="4" t="str">
        <f>HYPERLINK("#Statut_biogéographique!A"&amp;_xlfn.XMATCH("P",Statut_biogéographique!A:A,2,1),"P")</f>
        <v>P</v>
      </c>
      <c r="AP12864" s="4" t="s">
        <v>376</v>
      </c>
      <c r="AR12864" s="4" t="s">
        <v>377</v>
      </c>
    </row>
    <row r="12865" spans="1:44">
      <c r="A12865" s="4" t="s">
        <v>10753</v>
      </c>
      <c r="B12865" s="4">
        <v>239531</v>
      </c>
      <c r="D12865" s="5" t="s">
        <v>15573</v>
      </c>
      <c r="E12865" s="6" t="str">
        <f>HYPERLINK("https://inpn.mnhn.fr/espece/cd_nom/239531","Bombus campestris (Panzer, 1800)")</f>
        <v>Bombus campestris (Panzer, 1800)</v>
      </c>
      <c r="F12865" s="5" t="s">
        <v>15574</v>
      </c>
      <c r="P12865" s="7" t="str">
        <f>HYPERLINK("#Liste_rouge!A"&amp;_xlfn.XMATCH("LC",Liste_rouge!A:A,2,1),"LC")</f>
        <v>LC</v>
      </c>
      <c r="AH12865" s="4" t="str">
        <f>HYPERLINK("#Statut_biogéographique!A"&amp;_xlfn.XMATCH("P",Statut_biogéographique!A:A,2,1),"P")</f>
        <v>P</v>
      </c>
      <c r="AP12865" s="4" t="s">
        <v>376</v>
      </c>
      <c r="AR12865" s="4" t="s">
        <v>377</v>
      </c>
    </row>
    <row r="12866" spans="1:44">
      <c r="A12866" s="4" t="s">
        <v>10753</v>
      </c>
      <c r="B12866" s="4">
        <v>239532</v>
      </c>
      <c r="D12866" s="5">
        <v>239532</v>
      </c>
      <c r="E12866" s="6" t="str">
        <f>HYPERLINK("https://inpn.mnhn.fr/espece/cd_nom/239532","Bombus confusus Schenck, 1861")</f>
        <v>Bombus confusus Schenck, 1861</v>
      </c>
      <c r="F12866" s="5" t="s">
        <v>15575</v>
      </c>
      <c r="P12866" s="7" t="str">
        <f>HYPERLINK("#Liste_rouge!A"&amp;_xlfn.XMATCH("VU",Liste_rouge!A:A,2,1),"VU")</f>
        <v>VU</v>
      </c>
      <c r="AH12866" s="4" t="str">
        <f>HYPERLINK("#Statut_biogéographique!A"&amp;_xlfn.XMATCH("P",Statut_biogéographique!A:A,2,1),"P")</f>
        <v>P</v>
      </c>
      <c r="AP12866" s="4" t="s">
        <v>376</v>
      </c>
      <c r="AR12866" s="4" t="s">
        <v>377</v>
      </c>
    </row>
    <row r="12867" spans="1:44">
      <c r="A12867" s="4" t="s">
        <v>10753</v>
      </c>
      <c r="B12867" s="4">
        <v>239533</v>
      </c>
      <c r="D12867" s="5" t="s">
        <v>15576</v>
      </c>
      <c r="E12867" s="6" t="str">
        <f>HYPERLINK("https://inpn.mnhn.fr/espece/cd_nom/239533","Bombus distinguendus Morawitz, 1868")</f>
        <v>Bombus distinguendus Morawitz, 1868</v>
      </c>
      <c r="F12867" s="5" t="s">
        <v>15577</v>
      </c>
      <c r="O12867" s="7" t="str">
        <f>HYPERLINK("#Liste_rouge!A"&amp;_xlfn.XMATCH("DD",Liste_rouge!A:A,2,1),"DD")</f>
        <v>DD</v>
      </c>
      <c r="P12867" s="7" t="str">
        <f>HYPERLINK("#Liste_rouge!A"&amp;_xlfn.XMATCH("VU",Liste_rouge!A:A,2,1),"VU")</f>
        <v>VU</v>
      </c>
      <c r="AH12867" s="4" t="str">
        <f>HYPERLINK("#Statut_biogéographique!A"&amp;_xlfn.XMATCH("P",Statut_biogéographique!A:A,2,1),"P")</f>
        <v>P</v>
      </c>
      <c r="AP12867" s="4" t="s">
        <v>376</v>
      </c>
      <c r="AR12867" s="4" t="s">
        <v>377</v>
      </c>
    </row>
    <row r="12868" spans="1:44">
      <c r="A12868" s="4" t="s">
        <v>10753</v>
      </c>
      <c r="B12868" s="4">
        <v>239534</v>
      </c>
      <c r="D12868" s="5" t="s">
        <v>15578</v>
      </c>
      <c r="E12868" s="6" t="str">
        <f>HYPERLINK("https://inpn.mnhn.fr/espece/cd_nom/239534","Bombus flavidus Eversmann, 1852")</f>
        <v>Bombus flavidus Eversmann, 1852</v>
      </c>
      <c r="F12868" s="5" t="s">
        <v>15579</v>
      </c>
      <c r="O12868" s="7" t="str">
        <f>HYPERLINK("#Liste_rouge!A"&amp;_xlfn.XMATCH("DD",Liste_rouge!A:A,2,1),"DD")</f>
        <v>DD</v>
      </c>
      <c r="P12868" s="7" t="str">
        <f>HYPERLINK("#Liste_rouge!A"&amp;_xlfn.XMATCH("LC",Liste_rouge!A:A,2,1),"LC")</f>
        <v>LC</v>
      </c>
      <c r="AH12868" s="4" t="str">
        <f>HYPERLINK("#Statut_biogéographique!A"&amp;_xlfn.XMATCH("P",Statut_biogéographique!A:A,2,1),"P")</f>
        <v>P</v>
      </c>
      <c r="AP12868" s="4" t="s">
        <v>376</v>
      </c>
      <c r="AR12868" s="4" t="s">
        <v>377</v>
      </c>
    </row>
    <row r="12869" spans="1:44">
      <c r="A12869" s="4" t="s">
        <v>10753</v>
      </c>
      <c r="B12869" s="4">
        <v>239536</v>
      </c>
      <c r="D12869" s="5" t="s">
        <v>15580</v>
      </c>
      <c r="E12869" s="6" t="str">
        <f>HYPERLINK("https://inpn.mnhn.fr/espece/cd_nom/239536","Bombus humilis Illiger, 1806")</f>
        <v>Bombus humilis Illiger, 1806</v>
      </c>
      <c r="F12869" s="5" t="s">
        <v>15581</v>
      </c>
      <c r="P12869" s="7" t="str">
        <f>HYPERLINK("#Liste_rouge!A"&amp;_xlfn.XMATCH("LC",Liste_rouge!A:A,2,1),"LC")</f>
        <v>LC</v>
      </c>
      <c r="AH12869" s="4" t="str">
        <f>HYPERLINK("#Statut_biogéographique!A"&amp;_xlfn.XMATCH("P",Statut_biogéographique!A:A,2,1),"P")</f>
        <v>P</v>
      </c>
      <c r="AP12869" s="4" t="s">
        <v>376</v>
      </c>
      <c r="AR12869" s="4" t="s">
        <v>377</v>
      </c>
    </row>
    <row r="12870" spans="1:44">
      <c r="A12870" s="4" t="s">
        <v>10753</v>
      </c>
      <c r="B12870" s="4">
        <v>239538</v>
      </c>
      <c r="D12870" s="5" t="s">
        <v>15582</v>
      </c>
      <c r="E12870" s="6" t="str">
        <f>HYPERLINK("https://inpn.mnhn.fr/espece/cd_nom/239538","Bombus jonellus (Kirby, 1802)")</f>
        <v>Bombus jonellus (Kirby, 1802)</v>
      </c>
      <c r="F12870" s="5" t="s">
        <v>15583</v>
      </c>
      <c r="O12870" s="7" t="str">
        <f>HYPERLINK("#Liste_rouge!A"&amp;_xlfn.XMATCH("DD",Liste_rouge!A:A,2,1),"DD")</f>
        <v>DD</v>
      </c>
      <c r="P12870" s="7" t="str">
        <f>HYPERLINK("#Liste_rouge!A"&amp;_xlfn.XMATCH("LC",Liste_rouge!A:A,2,1),"LC")</f>
        <v>LC</v>
      </c>
      <c r="AH12870" s="4" t="str">
        <f>HYPERLINK("#Statut_biogéographique!A"&amp;_xlfn.XMATCH("P",Statut_biogéographique!A:A,2,1),"P")</f>
        <v>P</v>
      </c>
      <c r="AP12870" s="4" t="s">
        <v>376</v>
      </c>
      <c r="AR12870" s="4" t="s">
        <v>377</v>
      </c>
    </row>
    <row r="12871" spans="1:44">
      <c r="A12871" s="4" t="s">
        <v>10753</v>
      </c>
      <c r="B12871" s="4">
        <v>239543</v>
      </c>
      <c r="D12871" s="5" t="s">
        <v>15584</v>
      </c>
      <c r="E12871" s="6" t="str">
        <f>HYPERLINK("https://inpn.mnhn.fr/espece/cd_nom/239543","Bombus mesomelas Gerstäcker, 1869")</f>
        <v>Bombus mesomelas Gerstäcker, 1869</v>
      </c>
      <c r="F12871" s="5" t="s">
        <v>15585</v>
      </c>
      <c r="P12871" s="7" t="str">
        <f>HYPERLINK("#Liste_rouge!A"&amp;_xlfn.XMATCH("LC",Liste_rouge!A:A,2,1),"LC")</f>
        <v>LC</v>
      </c>
      <c r="AH12871" s="4" t="str">
        <f>HYPERLINK("#Statut_biogéographique!A"&amp;_xlfn.XMATCH("P",Statut_biogéographique!A:A,2,1),"P")</f>
        <v>P</v>
      </c>
      <c r="AP12871" s="4" t="s">
        <v>376</v>
      </c>
      <c r="AR12871" s="4" t="s">
        <v>377</v>
      </c>
    </row>
    <row r="12872" spans="1:44">
      <c r="A12872" s="4" t="s">
        <v>10753</v>
      </c>
      <c r="B12872" s="4">
        <v>239544</v>
      </c>
      <c r="D12872" s="5" t="s">
        <v>15586</v>
      </c>
      <c r="E12872" s="6" t="str">
        <f>HYPERLINK("https://inpn.mnhn.fr/espece/cd_nom/239544","Bombus monticola Smith, 1849")</f>
        <v>Bombus monticola Smith, 1849</v>
      </c>
      <c r="F12872" s="5" t="s">
        <v>15587</v>
      </c>
      <c r="P12872" s="7" t="str">
        <f>HYPERLINK("#Liste_rouge!A"&amp;_xlfn.XMATCH("LC",Liste_rouge!A:A,2,1),"LC")</f>
        <v>LC</v>
      </c>
      <c r="AH12872" s="4" t="str">
        <f>HYPERLINK("#Statut_biogéographique!A"&amp;_xlfn.XMATCH("P",Statut_biogéographique!A:A,2,1),"P")</f>
        <v>P</v>
      </c>
      <c r="AP12872" s="4" t="s">
        <v>376</v>
      </c>
      <c r="AR12872" s="4" t="s">
        <v>377</v>
      </c>
    </row>
    <row r="12873" spans="1:44">
      <c r="A12873" s="4" t="s">
        <v>10753</v>
      </c>
      <c r="B12873" s="4">
        <v>239545</v>
      </c>
      <c r="D12873" s="5">
        <v>239545</v>
      </c>
      <c r="E12873" s="6" t="str">
        <f>HYPERLINK("https://inpn.mnhn.fr/espece/cd_nom/239545","Bombus mucidus Gerstäcker, 1869")</f>
        <v>Bombus mucidus Gerstäcker, 1869</v>
      </c>
      <c r="F12873" s="5" t="s">
        <v>15588</v>
      </c>
      <c r="O12873" s="7" t="str">
        <f>HYPERLINK("#Liste_rouge!A"&amp;_xlfn.XMATCH("NT",Liste_rouge!A:A,2,1),"NT")</f>
        <v>NT</v>
      </c>
      <c r="P12873" s="7" t="str">
        <f>HYPERLINK("#Liste_rouge!A"&amp;_xlfn.XMATCH("NT",Liste_rouge!A:A,2,1),"NT")</f>
        <v>NT</v>
      </c>
      <c r="AH12873" s="4" t="str">
        <f>HYPERLINK("#Statut_biogéographique!A"&amp;_xlfn.XMATCH("P",Statut_biogéographique!A:A,2,1),"P")</f>
        <v>P</v>
      </c>
      <c r="AP12873" s="4" t="s">
        <v>376</v>
      </c>
      <c r="AR12873" s="4" t="s">
        <v>377</v>
      </c>
    </row>
    <row r="12874" spans="1:44">
      <c r="A12874" s="4" t="s">
        <v>10753</v>
      </c>
      <c r="B12874" s="4">
        <v>239546</v>
      </c>
      <c r="D12874" s="5" t="s">
        <v>15589</v>
      </c>
      <c r="E12874" s="6" t="str">
        <f>HYPERLINK("https://inpn.mnhn.fr/espece/cd_nom/239546","Bombus muscorum (Linnaeus, 1758)")</f>
        <v>Bombus muscorum (Linnaeus, 1758)</v>
      </c>
      <c r="F12874" s="5" t="s">
        <v>15590</v>
      </c>
      <c r="P12874" s="7" t="str">
        <f>HYPERLINK("#Liste_rouge!A"&amp;_xlfn.XMATCH("VU",Liste_rouge!A:A,2,1),"VU")</f>
        <v>VU</v>
      </c>
      <c r="AH12874" s="4" t="str">
        <f>HYPERLINK("#Statut_biogéographique!A"&amp;_xlfn.XMATCH("P",Statut_biogéographique!A:A,2,1),"P")</f>
        <v>P</v>
      </c>
      <c r="AP12874" s="4" t="s">
        <v>376</v>
      </c>
      <c r="AR12874" s="4" t="s">
        <v>377</v>
      </c>
    </row>
    <row r="12875" spans="1:44">
      <c r="A12875" s="4" t="s">
        <v>10753</v>
      </c>
      <c r="B12875" s="4">
        <v>239547</v>
      </c>
      <c r="D12875" s="5" t="s">
        <v>15591</v>
      </c>
      <c r="E12875" s="6" t="str">
        <f>HYPERLINK("https://inpn.mnhn.fr/espece/cd_nom/239547","Bombus norvegicus (Sparre-Schneider, 1918)")</f>
        <v>Bombus norvegicus (Sparre-Schneider, 1918)</v>
      </c>
      <c r="F12875" s="5" t="s">
        <v>15592</v>
      </c>
      <c r="P12875" s="7" t="str">
        <f>HYPERLINK("#Liste_rouge!A"&amp;_xlfn.XMATCH("LC",Liste_rouge!A:A,2,1),"LC")</f>
        <v>LC</v>
      </c>
      <c r="AH12875" s="4" t="str">
        <f>HYPERLINK("#Statut_biogéographique!A"&amp;_xlfn.XMATCH("P",Statut_biogéographique!A:A,2,1),"P")</f>
        <v>P</v>
      </c>
      <c r="AP12875" s="4" t="s">
        <v>376</v>
      </c>
      <c r="AR12875" s="4" t="s">
        <v>377</v>
      </c>
    </row>
    <row r="12876" spans="1:44">
      <c r="A12876" s="4" t="s">
        <v>10753</v>
      </c>
      <c r="B12876" s="4">
        <v>239549</v>
      </c>
      <c r="D12876" s="5" t="s">
        <v>15593</v>
      </c>
      <c r="E12876" s="6" t="str">
        <f>HYPERLINK("https://inpn.mnhn.fr/espece/cd_nom/239549","Bombus pomorum (Panzer, 1802)")</f>
        <v>Bombus pomorum (Panzer, 1802)</v>
      </c>
      <c r="F12876" s="5" t="s">
        <v>15594</v>
      </c>
      <c r="P12876" s="7" t="str">
        <f>HYPERLINK("#Liste_rouge!A"&amp;_xlfn.XMATCH("VU",Liste_rouge!A:A,2,1),"VU")</f>
        <v>VU</v>
      </c>
      <c r="AH12876" s="4" t="str">
        <f>HYPERLINK("#Statut_biogéographique!A"&amp;_xlfn.XMATCH("P",Statut_biogéographique!A:A,2,1),"P")</f>
        <v>P</v>
      </c>
      <c r="AP12876" s="4" t="s">
        <v>376</v>
      </c>
      <c r="AR12876" s="4" t="s">
        <v>377</v>
      </c>
    </row>
    <row r="12877" spans="1:44">
      <c r="A12877" s="4" t="s">
        <v>10753</v>
      </c>
      <c r="B12877" s="4">
        <v>239550</v>
      </c>
      <c r="D12877" s="5">
        <v>239550</v>
      </c>
      <c r="E12877" s="6" t="str">
        <f>HYPERLINK("https://inpn.mnhn.fr/espece/cd_nom/239550","Bombus pyrenaeus Pérez, 1880")</f>
        <v>Bombus pyrenaeus Pérez, 1880</v>
      </c>
      <c r="F12877" s="5" t="s">
        <v>15595</v>
      </c>
      <c r="O12877" s="7" t="str">
        <f>HYPERLINK("#Liste_rouge!A"&amp;_xlfn.XMATCH("LC",Liste_rouge!A:A,2,1),"LC")</f>
        <v>LC</v>
      </c>
      <c r="P12877" s="7" t="str">
        <f>HYPERLINK("#Liste_rouge!A"&amp;_xlfn.XMATCH("LC",Liste_rouge!A:A,2,1),"LC")</f>
        <v>LC</v>
      </c>
      <c r="AH12877" s="4" t="str">
        <f>HYPERLINK("#Statut_biogéographique!A"&amp;_xlfn.XMATCH("P",Statut_biogéographique!A:A,2,1),"P")</f>
        <v>P</v>
      </c>
      <c r="AP12877" s="4" t="s">
        <v>376</v>
      </c>
      <c r="AR12877" s="4" t="s">
        <v>377</v>
      </c>
    </row>
    <row r="12878" spans="1:44">
      <c r="A12878" s="4" t="s">
        <v>10753</v>
      </c>
      <c r="B12878" s="4">
        <v>239551</v>
      </c>
      <c r="D12878" s="5" t="s">
        <v>15596</v>
      </c>
      <c r="E12878" s="6" t="str">
        <f>HYPERLINK("https://inpn.mnhn.fr/espece/cd_nom/239551","Bombus quadricolor (Lepeletier, 1833)")</f>
        <v>Bombus quadricolor (Lepeletier, 1833)</v>
      </c>
      <c r="F12878" s="5" t="s">
        <v>15597</v>
      </c>
      <c r="P12878" s="7" t="str">
        <f>HYPERLINK("#Liste_rouge!A"&amp;_xlfn.XMATCH("LC",Liste_rouge!A:A,2,1),"LC")</f>
        <v>LC</v>
      </c>
      <c r="AH12878" s="4" t="str">
        <f>HYPERLINK("#Statut_biogéographique!A"&amp;_xlfn.XMATCH("P",Statut_biogéographique!A:A,2,1),"P")</f>
        <v>P</v>
      </c>
      <c r="AP12878" s="4" t="s">
        <v>376</v>
      </c>
      <c r="AR12878" s="4" t="s">
        <v>377</v>
      </c>
    </row>
    <row r="12879" spans="1:44">
      <c r="A12879" s="4" t="s">
        <v>10753</v>
      </c>
      <c r="B12879" s="4">
        <v>239552</v>
      </c>
      <c r="D12879" s="5" t="s">
        <v>15598</v>
      </c>
      <c r="E12879" s="6" t="str">
        <f>HYPERLINK("https://inpn.mnhn.fr/espece/cd_nom/239552","Bombus ruderatus (Fabricius, 1775)")</f>
        <v>Bombus ruderatus (Fabricius, 1775)</v>
      </c>
      <c r="F12879" s="5" t="s">
        <v>15599</v>
      </c>
      <c r="P12879" s="7" t="str">
        <f>HYPERLINK("#Liste_rouge!A"&amp;_xlfn.XMATCH("LC",Liste_rouge!A:A,2,1),"LC")</f>
        <v>LC</v>
      </c>
      <c r="AH12879" s="4" t="str">
        <f>HYPERLINK("#Statut_biogéographique!A"&amp;_xlfn.XMATCH("P",Statut_biogéographique!A:A,2,1),"P")</f>
        <v>P</v>
      </c>
      <c r="AP12879" s="4" t="s">
        <v>376</v>
      </c>
      <c r="AR12879" s="4" t="s">
        <v>377</v>
      </c>
    </row>
    <row r="12880" spans="1:44">
      <c r="A12880" s="4" t="s">
        <v>10753</v>
      </c>
      <c r="B12880" s="4">
        <v>239553</v>
      </c>
      <c r="D12880" s="5" t="s">
        <v>15600</v>
      </c>
      <c r="E12880" s="6" t="str">
        <f>HYPERLINK("https://inpn.mnhn.fr/espece/cd_nom/239553","Bombus rupestris (Fabricius, 1793)")</f>
        <v>Bombus rupestris (Fabricius, 1793)</v>
      </c>
      <c r="F12880" s="5" t="s">
        <v>15601</v>
      </c>
      <c r="P12880" s="7" t="str">
        <f>HYPERLINK("#Liste_rouge!A"&amp;_xlfn.XMATCH("LC",Liste_rouge!A:A,2,1),"LC")</f>
        <v>LC</v>
      </c>
      <c r="AH12880" s="4" t="str">
        <f>HYPERLINK("#Statut_biogéographique!A"&amp;_xlfn.XMATCH("P",Statut_biogéographique!A:A,2,1),"P")</f>
        <v>P</v>
      </c>
      <c r="AP12880" s="4" t="s">
        <v>376</v>
      </c>
      <c r="AR12880" s="4" t="s">
        <v>377</v>
      </c>
    </row>
    <row r="12881" spans="1:44">
      <c r="A12881" s="4" t="s">
        <v>10753</v>
      </c>
      <c r="B12881" s="4">
        <v>239554</v>
      </c>
      <c r="D12881" s="5" t="s">
        <v>15602</v>
      </c>
      <c r="E12881" s="6" t="str">
        <f>HYPERLINK("https://inpn.mnhn.fr/espece/cd_nom/239554","Bombus sichelii Radoszkowski, 1859")</f>
        <v>Bombus sichelii Radoszkowski, 1859</v>
      </c>
      <c r="F12881" s="5" t="s">
        <v>15603</v>
      </c>
      <c r="P12881" s="7" t="str">
        <f>HYPERLINK("#Liste_rouge!A"&amp;_xlfn.XMATCH("LC",Liste_rouge!A:A,2,1),"LC")</f>
        <v>LC</v>
      </c>
      <c r="AH12881" s="4" t="str">
        <f>HYPERLINK("#Statut_biogéographique!A"&amp;_xlfn.XMATCH("P",Statut_biogéographique!A:A,2,1),"P")</f>
        <v>P</v>
      </c>
      <c r="AP12881" s="4" t="s">
        <v>376</v>
      </c>
      <c r="AR12881" s="4" t="s">
        <v>377</v>
      </c>
    </row>
    <row r="12882" spans="1:44">
      <c r="A12882" s="4" t="s">
        <v>10753</v>
      </c>
      <c r="B12882" s="4">
        <v>239555</v>
      </c>
      <c r="D12882" s="5" t="s">
        <v>15604</v>
      </c>
      <c r="E12882" s="6" t="str">
        <f>HYPERLINK("https://inpn.mnhn.fr/espece/cd_nom/239555","Bombus soroeensis (Fabricius, 1777)")</f>
        <v>Bombus soroeensis (Fabricius, 1777)</v>
      </c>
      <c r="F12882" s="5" t="s">
        <v>15605</v>
      </c>
      <c r="P12882" s="7" t="str">
        <f>HYPERLINK("#Liste_rouge!A"&amp;_xlfn.XMATCH("LC",Liste_rouge!A:A,2,1),"LC")</f>
        <v>LC</v>
      </c>
      <c r="AH12882" s="4" t="str">
        <f>HYPERLINK("#Statut_biogéographique!A"&amp;_xlfn.XMATCH("P",Statut_biogéographique!A:A,2,1),"P")</f>
        <v>P</v>
      </c>
      <c r="AP12882" s="4" t="s">
        <v>376</v>
      </c>
      <c r="AR12882" s="4" t="s">
        <v>377</v>
      </c>
    </row>
    <row r="12883" spans="1:44">
      <c r="A12883" s="4" t="s">
        <v>10753</v>
      </c>
      <c r="B12883" s="4">
        <v>239556</v>
      </c>
      <c r="D12883" s="5" t="s">
        <v>15606</v>
      </c>
      <c r="E12883" s="6" t="str">
        <f>HYPERLINK("https://inpn.mnhn.fr/espece/cd_nom/239556","Bombus subterraneus (Linnaeus, 1758)")</f>
        <v>Bombus subterraneus (Linnaeus, 1758)</v>
      </c>
      <c r="F12883" s="5" t="s">
        <v>15607</v>
      </c>
      <c r="P12883" s="7" t="str">
        <f>HYPERLINK("#Liste_rouge!A"&amp;_xlfn.XMATCH("LC",Liste_rouge!A:A,2,1),"LC")</f>
        <v>LC</v>
      </c>
      <c r="AH12883" s="4" t="str">
        <f>HYPERLINK("#Statut_biogéographique!A"&amp;_xlfn.XMATCH("P",Statut_biogéographique!A:A,2,1),"P")</f>
        <v>P</v>
      </c>
      <c r="AP12883" s="4" t="s">
        <v>376</v>
      </c>
      <c r="AR12883" s="4" t="s">
        <v>377</v>
      </c>
    </row>
    <row r="12884" spans="1:44">
      <c r="A12884" s="4" t="s">
        <v>10753</v>
      </c>
      <c r="B12884" s="4">
        <v>239557</v>
      </c>
      <c r="D12884" s="5" t="s">
        <v>15608</v>
      </c>
      <c r="E12884" s="6" t="str">
        <f>HYPERLINK("https://inpn.mnhn.fr/espece/cd_nom/239557","Bombus sylvestris (Lepeletier, 1833)")</f>
        <v>Bombus sylvestris (Lepeletier, 1833)</v>
      </c>
      <c r="F12884" s="5" t="s">
        <v>15609</v>
      </c>
      <c r="P12884" s="7" t="str">
        <f>HYPERLINK("#Liste_rouge!A"&amp;_xlfn.XMATCH("LC",Liste_rouge!A:A,2,1),"LC")</f>
        <v>LC</v>
      </c>
      <c r="AH12884" s="4" t="str">
        <f>HYPERLINK("#Statut_biogéographique!A"&amp;_xlfn.XMATCH("P",Statut_biogéographique!A:A,2,1),"P")</f>
        <v>P</v>
      </c>
      <c r="AP12884" s="4" t="s">
        <v>376</v>
      </c>
      <c r="AR12884" s="4" t="s">
        <v>377</v>
      </c>
    </row>
    <row r="12885" spans="1:44">
      <c r="A12885" s="4" t="s">
        <v>10753</v>
      </c>
      <c r="B12885" s="4">
        <v>239558</v>
      </c>
      <c r="D12885" s="5" t="s">
        <v>15610</v>
      </c>
      <c r="E12885" s="6" t="str">
        <f>HYPERLINK("https://inpn.mnhn.fr/espece/cd_nom/239558","Bombus vestalis (Geoffroy in Fourcroy, 1785)")</f>
        <v>Bombus vestalis (Geoffroy in Fourcroy, 1785)</v>
      </c>
      <c r="F12885" s="5" t="s">
        <v>15611</v>
      </c>
      <c r="P12885" s="7" t="str">
        <f>HYPERLINK("#Liste_rouge!A"&amp;_xlfn.XMATCH("LC",Liste_rouge!A:A,2,1),"LC")</f>
        <v>LC</v>
      </c>
      <c r="AH12885" s="4" t="str">
        <f>HYPERLINK("#Statut_biogéographique!A"&amp;_xlfn.XMATCH("P",Statut_biogéographique!A:A,2,1),"P")</f>
        <v>P</v>
      </c>
      <c r="AP12885" s="4" t="s">
        <v>376</v>
      </c>
      <c r="AR12885" s="4" t="s">
        <v>377</v>
      </c>
    </row>
    <row r="12886" spans="1:44">
      <c r="A12886" s="4" t="s">
        <v>10753</v>
      </c>
      <c r="B12886" s="4">
        <v>239559</v>
      </c>
      <c r="D12886" s="5" t="s">
        <v>15612</v>
      </c>
      <c r="E12886" s="6" t="str">
        <f>HYPERLINK("https://inpn.mnhn.fr/espece/cd_nom/239559","Bombus veteranus (Fabricius, 1793)")</f>
        <v>Bombus veteranus (Fabricius, 1793)</v>
      </c>
      <c r="F12886" s="5" t="s">
        <v>15613</v>
      </c>
      <c r="P12886" s="7" t="str">
        <f>HYPERLINK("#Liste_rouge!A"&amp;_xlfn.XMATCH("LC",Liste_rouge!A:A,2,1),"LC")</f>
        <v>LC</v>
      </c>
      <c r="AH12886" s="4" t="str">
        <f>HYPERLINK("#Statut_biogéographique!A"&amp;_xlfn.XMATCH("P",Statut_biogéographique!A:A,2,1),"P")</f>
        <v>P</v>
      </c>
      <c r="AP12886" s="4" t="s">
        <v>376</v>
      </c>
      <c r="AR12886" s="4" t="s">
        <v>377</v>
      </c>
    </row>
    <row r="12887" spans="1:44">
      <c r="A12887" s="4" t="s">
        <v>10753</v>
      </c>
      <c r="B12887" s="4">
        <v>23956</v>
      </c>
      <c r="D12887" s="5" t="s">
        <v>15614</v>
      </c>
      <c r="E12887" s="6" t="str">
        <f>HYPERLINK("https://inpn.mnhn.fr/espece/cd_nom/23956","Conops flavipes Linnaeus, 1758")</f>
        <v>Conops flavipes Linnaeus, 1758</v>
      </c>
      <c r="AH12887" s="4" t="str">
        <f>HYPERLINK("#Statut_biogéographique!A"&amp;_xlfn.XMATCH("P",Statut_biogéographique!A:A,2,1),"P")</f>
        <v>P</v>
      </c>
      <c r="AP12887" s="4" t="s">
        <v>376</v>
      </c>
      <c r="AR12887" s="4" t="s">
        <v>377</v>
      </c>
    </row>
    <row r="12888" spans="1:44">
      <c r="A12888" s="4" t="s">
        <v>10753</v>
      </c>
      <c r="B12888" s="4">
        <v>239560</v>
      </c>
      <c r="D12888" s="5">
        <v>239560</v>
      </c>
      <c r="E12888" s="6" t="str">
        <f>HYPERLINK("https://inpn.mnhn.fr/espece/cd_nom/239560","Bombus wurflenii Radoszkowski, 1859")</f>
        <v>Bombus wurflenii Radoszkowski, 1859</v>
      </c>
      <c r="F12888" s="5" t="s">
        <v>15615</v>
      </c>
      <c r="P12888" s="7" t="str">
        <f>HYPERLINK("#Liste_rouge!A"&amp;_xlfn.XMATCH("LC",Liste_rouge!A:A,2,1),"LC")</f>
        <v>LC</v>
      </c>
      <c r="AH12888" s="4" t="str">
        <f>HYPERLINK("#Statut_biogéographique!A"&amp;_xlfn.XMATCH("P",Statut_biogéographique!A:A,2,1),"P")</f>
        <v>P</v>
      </c>
      <c r="AP12888" s="4" t="s">
        <v>376</v>
      </c>
      <c r="AR12888" s="4" t="s">
        <v>377</v>
      </c>
    </row>
    <row r="12889" spans="1:44">
      <c r="A12889" s="4" t="s">
        <v>10753</v>
      </c>
      <c r="B12889" s="4">
        <v>239563</v>
      </c>
      <c r="D12889" s="5" t="s">
        <v>15616</v>
      </c>
      <c r="E12889" s="6" t="str">
        <f>HYPERLINK("https://inpn.mnhn.fr/espece/cd_nom/239563","Ceratina chalcites Germar, 1839")</f>
        <v>Ceratina chalcites Germar, 1839</v>
      </c>
      <c r="F12889" s="5" t="s">
        <v>15617</v>
      </c>
      <c r="P12889" s="7" t="str">
        <f>HYPERLINK("#Liste_rouge!A"&amp;_xlfn.XMATCH("LC",Liste_rouge!A:A,2,1),"LC")</f>
        <v>LC</v>
      </c>
      <c r="AH12889" s="4" t="str">
        <f>HYPERLINK("#Statut_biogéographique!A"&amp;_xlfn.XMATCH("P",Statut_biogéographique!A:A,2,1),"P")</f>
        <v>P</v>
      </c>
      <c r="AP12889" s="4" t="s">
        <v>376</v>
      </c>
      <c r="AR12889" s="4" t="s">
        <v>377</v>
      </c>
    </row>
    <row r="12890" spans="1:44">
      <c r="A12890" s="4" t="s">
        <v>10753</v>
      </c>
      <c r="B12890" s="4">
        <v>239564</v>
      </c>
      <c r="D12890" s="5">
        <v>239564</v>
      </c>
      <c r="E12890" s="6" t="str">
        <f>HYPERLINK("https://inpn.mnhn.fr/espece/cd_nom/239564","Ceratina chalybea Chevrier, 1872")</f>
        <v>Ceratina chalybea Chevrier, 1872</v>
      </c>
      <c r="F12890" s="5" t="s">
        <v>15618</v>
      </c>
      <c r="P12890" s="7" t="str">
        <f>HYPERLINK("#Liste_rouge!A"&amp;_xlfn.XMATCH("LC",Liste_rouge!A:A,2,1),"LC")</f>
        <v>LC</v>
      </c>
      <c r="AH12890" s="4" t="str">
        <f>HYPERLINK("#Statut_biogéographique!A"&amp;_xlfn.XMATCH("P",Statut_biogéographique!A:A,2,1),"P")</f>
        <v>P</v>
      </c>
      <c r="AP12890" s="4" t="s">
        <v>376</v>
      </c>
      <c r="AR12890" s="4" t="s">
        <v>377</v>
      </c>
    </row>
    <row r="12891" spans="1:44">
      <c r="A12891" s="4" t="s">
        <v>10753</v>
      </c>
      <c r="B12891" s="4">
        <v>239565</v>
      </c>
      <c r="D12891" s="5" t="s">
        <v>15619</v>
      </c>
      <c r="E12891" s="6" t="str">
        <f>HYPERLINK("https://inpn.mnhn.fr/espece/cd_nom/239565","Ceratina cucurbitina (Rossi, 1792)")</f>
        <v>Ceratina cucurbitina (Rossi, 1792)</v>
      </c>
      <c r="F12891" s="5" t="s">
        <v>15620</v>
      </c>
      <c r="P12891" s="7" t="str">
        <f>HYPERLINK("#Liste_rouge!A"&amp;_xlfn.XMATCH("LC",Liste_rouge!A:A,2,1),"LC")</f>
        <v>LC</v>
      </c>
      <c r="AH12891" s="4" t="str">
        <f>HYPERLINK("#Statut_biogéographique!A"&amp;_xlfn.XMATCH("P",Statut_biogéographique!A:A,2,1),"P")</f>
        <v>P</v>
      </c>
      <c r="AP12891" s="4" t="s">
        <v>376</v>
      </c>
      <c r="AR12891" s="4" t="s">
        <v>377</v>
      </c>
    </row>
    <row r="12892" spans="1:44">
      <c r="A12892" s="4" t="s">
        <v>10753</v>
      </c>
      <c r="B12892" s="4">
        <v>239566</v>
      </c>
      <c r="D12892" s="5" t="s">
        <v>15621</v>
      </c>
      <c r="E12892" s="6" t="str">
        <f>HYPERLINK("https://inpn.mnhn.fr/espece/cd_nom/239566","Ceratina cyanea (Kirby, 1802)")</f>
        <v>Ceratina cyanea (Kirby, 1802)</v>
      </c>
      <c r="F12892" s="5" t="s">
        <v>15622</v>
      </c>
      <c r="P12892" s="7" t="str">
        <f>HYPERLINK("#Liste_rouge!A"&amp;_xlfn.XMATCH("LC",Liste_rouge!A:A,2,1),"LC")</f>
        <v>LC</v>
      </c>
      <c r="AH12892" s="4" t="str">
        <f>HYPERLINK("#Statut_biogéographique!A"&amp;_xlfn.XMATCH("P",Statut_biogéographique!A:A,2,1),"P")</f>
        <v>P</v>
      </c>
      <c r="AP12892" s="4" t="s">
        <v>376</v>
      </c>
      <c r="AR12892" s="4" t="s">
        <v>377</v>
      </c>
    </row>
    <row r="12893" spans="1:44">
      <c r="A12893" s="4" t="s">
        <v>10753</v>
      </c>
      <c r="B12893" s="4">
        <v>239584</v>
      </c>
      <c r="D12893" s="5" t="s">
        <v>15623</v>
      </c>
      <c r="E12893" s="6" t="str">
        <f>HYPERLINK("https://inpn.mnhn.fr/espece/cd_nom/239584","Chelostoma campanularum (Kirby, 1802)")</f>
        <v>Chelostoma campanularum (Kirby, 1802)</v>
      </c>
      <c r="P12893" s="7" t="str">
        <f>HYPERLINK("#Liste_rouge!A"&amp;_xlfn.XMATCH("LC",Liste_rouge!A:A,2,1),"LC")</f>
        <v>LC</v>
      </c>
      <c r="AH12893" s="4" t="str">
        <f>HYPERLINK("#Statut_biogéographique!A"&amp;_xlfn.XMATCH("P",Statut_biogéographique!A:A,2,1),"P")</f>
        <v>P</v>
      </c>
      <c r="AP12893" s="4" t="s">
        <v>376</v>
      </c>
      <c r="AR12893" s="4" t="s">
        <v>377</v>
      </c>
    </row>
    <row r="12894" spans="1:44">
      <c r="A12894" s="4" t="s">
        <v>10753</v>
      </c>
      <c r="B12894" s="4">
        <v>239588</v>
      </c>
      <c r="D12894" s="5" t="s">
        <v>15624</v>
      </c>
      <c r="E12894" s="6" t="str">
        <f>HYPERLINK("https://inpn.mnhn.fr/espece/cd_nom/239588","Chelostoma florisomne (Linnaeus, 1758)")</f>
        <v>Chelostoma florisomne (Linnaeus, 1758)</v>
      </c>
      <c r="P12894" s="7" t="str">
        <f>HYPERLINK("#Liste_rouge!A"&amp;_xlfn.XMATCH("LC",Liste_rouge!A:A,2,1),"LC")</f>
        <v>LC</v>
      </c>
      <c r="AH12894" s="4" t="str">
        <f>HYPERLINK("#Statut_biogéographique!A"&amp;_xlfn.XMATCH("P",Statut_biogéographique!A:A,2,1),"P")</f>
        <v>P</v>
      </c>
      <c r="AP12894" s="4" t="s">
        <v>376</v>
      </c>
      <c r="AR12894" s="4" t="s">
        <v>377</v>
      </c>
    </row>
    <row r="12895" spans="1:44">
      <c r="A12895" s="4" t="s">
        <v>10753</v>
      </c>
      <c r="B12895" s="4">
        <v>239589</v>
      </c>
      <c r="D12895" s="5" t="s">
        <v>15625</v>
      </c>
      <c r="E12895" s="6" t="str">
        <f>HYPERLINK("https://inpn.mnhn.fr/espece/cd_nom/239589","Chelostoma foveolatum (Morawitz, 1868)")</f>
        <v>Chelostoma foveolatum (Morawitz, 1868)</v>
      </c>
      <c r="P12895" s="7" t="str">
        <f>HYPERLINK("#Liste_rouge!A"&amp;_xlfn.XMATCH("LC",Liste_rouge!A:A,2,1),"LC")</f>
        <v>LC</v>
      </c>
      <c r="AH12895" s="4" t="str">
        <f>HYPERLINK("#Statut_biogéographique!A"&amp;_xlfn.XMATCH("P",Statut_biogéographique!A:A,2,1),"P")</f>
        <v>P</v>
      </c>
      <c r="AP12895" s="4" t="s">
        <v>376</v>
      </c>
      <c r="AR12895" s="4" t="s">
        <v>377</v>
      </c>
    </row>
    <row r="12896" spans="1:44">
      <c r="A12896" s="4" t="s">
        <v>10753</v>
      </c>
      <c r="B12896" s="4">
        <v>23959</v>
      </c>
      <c r="D12896" s="5" t="s">
        <v>15626</v>
      </c>
      <c r="E12896" s="6" t="str">
        <f>HYPERLINK("https://inpn.mnhn.fr/espece/cd_nom/23959","Conops quadrifasciatus De Geer, 1776")</f>
        <v>Conops quadrifasciatus De Geer, 1776</v>
      </c>
      <c r="AH12896" s="4" t="str">
        <f>HYPERLINK("#Statut_biogéographique!A"&amp;_xlfn.XMATCH("P",Statut_biogéographique!A:A,2,1),"P")</f>
        <v>P</v>
      </c>
      <c r="AP12896" s="4" t="s">
        <v>376</v>
      </c>
      <c r="AR12896" s="4" t="s">
        <v>377</v>
      </c>
    </row>
    <row r="12897" spans="1:44">
      <c r="A12897" s="4" t="s">
        <v>10753</v>
      </c>
      <c r="B12897" s="4">
        <v>239594</v>
      </c>
      <c r="D12897" s="5" t="s">
        <v>15627</v>
      </c>
      <c r="E12897" s="6" t="str">
        <f>HYPERLINK("https://inpn.mnhn.fr/espece/cd_nom/239594","Chelostoma rapunculi (Lepeletier, 1841)")</f>
        <v>Chelostoma rapunculi (Lepeletier, 1841)</v>
      </c>
      <c r="P12897" s="7" t="str">
        <f>HYPERLINK("#Liste_rouge!A"&amp;_xlfn.XMATCH("LC",Liste_rouge!A:A,2,1),"LC")</f>
        <v>LC</v>
      </c>
      <c r="AH12897" s="4" t="str">
        <f>HYPERLINK("#Statut_biogéographique!A"&amp;_xlfn.XMATCH("P",Statut_biogéographique!A:A,2,1),"P")</f>
        <v>P</v>
      </c>
      <c r="AP12897" s="4" t="s">
        <v>376</v>
      </c>
      <c r="AR12897" s="4" t="s">
        <v>377</v>
      </c>
    </row>
    <row r="12898" spans="1:44">
      <c r="A12898" s="4" t="s">
        <v>10753</v>
      </c>
      <c r="B12898" s="4">
        <v>239597</v>
      </c>
      <c r="D12898" s="5" t="s">
        <v>15628</v>
      </c>
      <c r="E12898" s="6" t="str">
        <f>HYPERLINK("https://inpn.mnhn.fr/espece/cd_nom/239597","Coelioxys afra Lepeletier, 1841")</f>
        <v>Coelioxys afra Lepeletier, 1841</v>
      </c>
      <c r="P12898" s="7" t="str">
        <f>HYPERLINK("#Liste_rouge!A"&amp;_xlfn.XMATCH("LC",Liste_rouge!A:A,2,1),"LC")</f>
        <v>LC</v>
      </c>
      <c r="AH12898" s="4" t="str">
        <f>HYPERLINK("#Statut_biogéographique!A"&amp;_xlfn.XMATCH("P",Statut_biogéographique!A:A,2,1),"P")</f>
        <v>P</v>
      </c>
      <c r="AP12898" s="4" t="s">
        <v>376</v>
      </c>
      <c r="AR12898" s="4" t="s">
        <v>377</v>
      </c>
    </row>
    <row r="12899" spans="1:44">
      <c r="A12899" s="4" t="s">
        <v>10753</v>
      </c>
      <c r="B12899" s="4">
        <v>239602</v>
      </c>
      <c r="D12899" s="5" t="s">
        <v>15629</v>
      </c>
      <c r="E12899" s="6" t="str">
        <f>HYPERLINK("https://inpn.mnhn.fr/espece/cd_nom/239602","Coelioxys conoidea (Illiger, 1806)")</f>
        <v>Coelioxys conoidea (Illiger, 1806)</v>
      </c>
      <c r="P12899" s="7" t="str">
        <f>HYPERLINK("#Liste_rouge!A"&amp;_xlfn.XMATCH("LC",Liste_rouge!A:A,2,1),"LC")</f>
        <v>LC</v>
      </c>
      <c r="AH12899" s="4" t="str">
        <f>HYPERLINK("#Statut_biogéographique!A"&amp;_xlfn.XMATCH("P",Statut_biogéographique!A:A,2,1),"P")</f>
        <v>P</v>
      </c>
      <c r="AP12899" s="4" t="s">
        <v>376</v>
      </c>
      <c r="AR12899" s="4" t="s">
        <v>377</v>
      </c>
    </row>
    <row r="12900" spans="1:44">
      <c r="A12900" s="4" t="s">
        <v>10753</v>
      </c>
      <c r="B12900" s="4">
        <v>239605</v>
      </c>
      <c r="D12900" s="5" t="s">
        <v>15630</v>
      </c>
      <c r="E12900" s="6" t="str">
        <f>HYPERLINK("https://inpn.mnhn.fr/espece/cd_nom/239605","Coelioxys elongata Lepeletier, 1841")</f>
        <v>Coelioxys elongata Lepeletier, 1841</v>
      </c>
      <c r="P12900" s="7" t="str">
        <f>HYPERLINK("#Liste_rouge!A"&amp;_xlfn.XMATCH("LC",Liste_rouge!A:A,2,1),"LC")</f>
        <v>LC</v>
      </c>
      <c r="AH12900" s="4" t="str">
        <f>HYPERLINK("#Statut_biogéographique!A"&amp;_xlfn.XMATCH("P",Statut_biogéographique!A:A,2,1),"P")</f>
        <v>P</v>
      </c>
      <c r="AP12900" s="4" t="s">
        <v>376</v>
      </c>
      <c r="AR12900" s="4" t="s">
        <v>377</v>
      </c>
    </row>
    <row r="12901" spans="1:44">
      <c r="A12901" s="4" t="s">
        <v>10753</v>
      </c>
      <c r="B12901" s="4">
        <v>239609</v>
      </c>
      <c r="D12901" s="5" t="s">
        <v>15631</v>
      </c>
      <c r="E12901" s="6" t="str">
        <f>HYPERLINK("https://inpn.mnhn.fr/espece/cd_nom/239609","Coelioxys lanceolata Nylander, 1852")</f>
        <v>Coelioxys lanceolata Nylander, 1852</v>
      </c>
      <c r="P12901" s="7" t="str">
        <f>HYPERLINK("#Liste_rouge!A"&amp;_xlfn.XMATCH("LC",Liste_rouge!A:A,2,1),"LC")</f>
        <v>LC</v>
      </c>
      <c r="AH12901" s="4" t="str">
        <f>HYPERLINK("#Statut_biogéographique!A"&amp;_xlfn.XMATCH("P",Statut_biogéographique!A:A,2,1),"P")</f>
        <v>P</v>
      </c>
      <c r="AP12901" s="4" t="s">
        <v>376</v>
      </c>
      <c r="AR12901" s="4" t="s">
        <v>377</v>
      </c>
    </row>
    <row r="12902" spans="1:44">
      <c r="A12902" s="4" t="s">
        <v>10753</v>
      </c>
      <c r="B12902" s="4">
        <v>23961</v>
      </c>
      <c r="D12902" s="5">
        <v>23961</v>
      </c>
      <c r="E12902" s="6" t="str">
        <f>HYPERLINK("https://inpn.mnhn.fr/espece/cd_nom/23961","Conops scutellatus Meigen, 1804")</f>
        <v>Conops scutellatus Meigen, 1804</v>
      </c>
      <c r="AH12902" s="4" t="str">
        <f>HYPERLINK("#Statut_biogéographique!A"&amp;_xlfn.XMATCH("P",Statut_biogéographique!A:A,2,1),"P")</f>
        <v>P</v>
      </c>
      <c r="AP12902" s="4" t="s">
        <v>376</v>
      </c>
      <c r="AR12902" s="4" t="s">
        <v>377</v>
      </c>
    </row>
    <row r="12903" spans="1:44">
      <c r="A12903" s="4" t="s">
        <v>10753</v>
      </c>
      <c r="B12903" s="4">
        <v>239610</v>
      </c>
      <c r="D12903" s="5">
        <v>239610</v>
      </c>
      <c r="E12903" s="6" t="str">
        <f>HYPERLINK("https://inpn.mnhn.fr/espece/cd_nom/239610","Coelioxys mandibularis Nylander, 1848")</f>
        <v>Coelioxys mandibularis Nylander, 1848</v>
      </c>
      <c r="P12903" s="7" t="str">
        <f>HYPERLINK("#Liste_rouge!A"&amp;_xlfn.XMATCH("LC",Liste_rouge!A:A,2,1),"LC")</f>
        <v>LC</v>
      </c>
      <c r="AH12903" s="4" t="str">
        <f>HYPERLINK("#Statut_biogéographique!A"&amp;_xlfn.XMATCH("P",Statut_biogéographique!A:A,2,1),"P")</f>
        <v>P</v>
      </c>
      <c r="AP12903" s="4" t="s">
        <v>376</v>
      </c>
      <c r="AR12903" s="4" t="s">
        <v>377</v>
      </c>
    </row>
    <row r="12904" spans="1:44" ht="30">
      <c r="A12904" s="4" t="s">
        <v>10753</v>
      </c>
      <c r="B12904" s="4">
        <v>239613</v>
      </c>
      <c r="D12904" s="5">
        <v>239613</v>
      </c>
      <c r="E12904" s="6" t="str">
        <f>HYPERLINK("https://inpn.mnhn.fr/espece/cd_nom/239613","Coelioxys rufescens Lepeletier &amp; Audinet-Serville, 1825")</f>
        <v>Coelioxys rufescens Lepeletier &amp; Audinet-Serville, 1825</v>
      </c>
      <c r="P12904" s="7" t="str">
        <f>HYPERLINK("#Liste_rouge!A"&amp;_xlfn.XMATCH("LC",Liste_rouge!A:A,2,1),"LC")</f>
        <v>LC</v>
      </c>
      <c r="AH12904" s="4" t="str">
        <f>HYPERLINK("#Statut_biogéographique!A"&amp;_xlfn.XMATCH("P",Statut_biogéographique!A:A,2,1),"P")</f>
        <v>P</v>
      </c>
      <c r="AP12904" s="4" t="s">
        <v>376</v>
      </c>
      <c r="AR12904" s="4" t="s">
        <v>377</v>
      </c>
    </row>
    <row r="12905" spans="1:44" ht="30">
      <c r="A12905" s="4" t="s">
        <v>10753</v>
      </c>
      <c r="B12905" s="4">
        <v>23962</v>
      </c>
      <c r="D12905" s="5">
        <v>23962</v>
      </c>
      <c r="E12905" s="6" t="str">
        <f>HYPERLINK("https://inpn.mnhn.fr/espece/cd_nom/23962","Conops strigatus Wiedemann in Meigen, 1824")</f>
        <v>Conops strigatus Wiedemann in Meigen, 1824</v>
      </c>
      <c r="AH12905" s="4" t="str">
        <f>HYPERLINK("#Statut_biogéographique!A"&amp;_xlfn.XMATCH("P",Statut_biogéographique!A:A,2,1),"P")</f>
        <v>P</v>
      </c>
      <c r="AP12905" s="4" t="s">
        <v>376</v>
      </c>
      <c r="AR12905" s="4" t="s">
        <v>377</v>
      </c>
    </row>
    <row r="12906" spans="1:44">
      <c r="A12906" s="4" t="s">
        <v>10753</v>
      </c>
      <c r="B12906" s="4">
        <v>239621</v>
      </c>
      <c r="D12906" s="5" t="s">
        <v>15632</v>
      </c>
      <c r="E12906" s="6" t="str">
        <f>HYPERLINK("https://inpn.mnhn.fr/espece/cd_nom/239621","Colletes cunicularius (Linnaeus, 1761)")</f>
        <v>Colletes cunicularius (Linnaeus, 1761)</v>
      </c>
      <c r="P12906" s="7" t="str">
        <f>HYPERLINK("#Liste_rouge!A"&amp;_xlfn.XMATCH("LC",Liste_rouge!A:A,2,1),"LC")</f>
        <v>LC</v>
      </c>
      <c r="AH12906" s="4" t="str">
        <f>HYPERLINK("#Statut_biogéographique!A"&amp;_xlfn.XMATCH("P",Statut_biogéographique!A:A,2,1),"P")</f>
        <v>P</v>
      </c>
      <c r="AP12906" s="4" t="s">
        <v>376</v>
      </c>
      <c r="AR12906" s="4" t="s">
        <v>377</v>
      </c>
    </row>
    <row r="12907" spans="1:44">
      <c r="A12907" s="4" t="s">
        <v>10753</v>
      </c>
      <c r="B12907" s="4">
        <v>239622</v>
      </c>
      <c r="D12907" s="5">
        <v>239622</v>
      </c>
      <c r="E12907" s="6" t="str">
        <f>HYPERLINK("https://inpn.mnhn.fr/espece/cd_nom/239622","Colletes dimidiatus Brullé, 1840")</f>
        <v>Colletes dimidiatus Brullé, 1840</v>
      </c>
      <c r="O12907" s="7" t="str">
        <f>HYPERLINK("#Liste_rouge!A"&amp;_xlfn.XMATCH("VU",Liste_rouge!A:A,2,1),"VU")</f>
        <v>VU</v>
      </c>
      <c r="P12907" s="7" t="str">
        <f>HYPERLINK("#Liste_rouge!A"&amp;_xlfn.XMATCH("VU",Liste_rouge!A:A,2,1),"VU")</f>
        <v>VU</v>
      </c>
      <c r="AH12907" s="4" t="str">
        <f>HYPERLINK("#Statut_biogéographique!A"&amp;_xlfn.XMATCH("Q",Statut_biogéographique!A:A,2,1),"Q")</f>
        <v>Q</v>
      </c>
      <c r="AP12907" s="4" t="s">
        <v>376</v>
      </c>
      <c r="AR12907" s="4" t="s">
        <v>377</v>
      </c>
    </row>
    <row r="12908" spans="1:44">
      <c r="A12908" s="4" t="s">
        <v>10753</v>
      </c>
      <c r="B12908" s="4">
        <v>239636</v>
      </c>
      <c r="D12908" s="5">
        <v>239636</v>
      </c>
      <c r="E12908" s="6" t="str">
        <f>HYPERLINK("https://inpn.mnhn.fr/espece/cd_nom/239636","Colletes similis Schenck, 1853")</f>
        <v>Colletes similis Schenck, 1853</v>
      </c>
      <c r="P12908" s="7" t="str">
        <f>HYPERLINK("#Liste_rouge!A"&amp;_xlfn.XMATCH("LC",Liste_rouge!A:A,2,1),"LC")</f>
        <v>LC</v>
      </c>
      <c r="AH12908" s="4" t="str">
        <f>HYPERLINK("#Statut_biogéographique!A"&amp;_xlfn.XMATCH("P",Statut_biogéographique!A:A,2,1),"P")</f>
        <v>P</v>
      </c>
      <c r="AP12908" s="4" t="s">
        <v>376</v>
      </c>
      <c r="AR12908" s="4" t="s">
        <v>377</v>
      </c>
    </row>
    <row r="12909" spans="1:44">
      <c r="A12909" s="4" t="s">
        <v>10753</v>
      </c>
      <c r="B12909" s="4">
        <v>23964</v>
      </c>
      <c r="D12909" s="5" t="s">
        <v>15633</v>
      </c>
      <c r="E12909" s="6" t="str">
        <f>HYPERLINK("https://inpn.mnhn.fr/espece/cd_nom/23964","Conops vesicularis Linnaeus, 1761")</f>
        <v>Conops vesicularis Linnaeus, 1761</v>
      </c>
      <c r="AH12909" s="4" t="str">
        <f>HYPERLINK("#Statut_biogéographique!A"&amp;_xlfn.XMATCH("P",Statut_biogéographique!A:A,2,1),"P")</f>
        <v>P</v>
      </c>
      <c r="AP12909" s="4" t="s">
        <v>376</v>
      </c>
      <c r="AR12909" s="4" t="s">
        <v>377</v>
      </c>
    </row>
    <row r="12910" spans="1:44">
      <c r="A12910" s="4" t="s">
        <v>10753</v>
      </c>
      <c r="B12910" s="4">
        <v>239655</v>
      </c>
      <c r="D12910" s="5" t="s">
        <v>15634</v>
      </c>
      <c r="E12910" s="6" t="str">
        <f>HYPERLINK("https://inpn.mnhn.fr/espece/cd_nom/239655","Epeoloides coecutiens (Fabricius, 1775)")</f>
        <v>Epeoloides coecutiens (Fabricius, 1775)</v>
      </c>
      <c r="P12910" s="7" t="str">
        <f>HYPERLINK("#Liste_rouge!A"&amp;_xlfn.XMATCH("LC",Liste_rouge!A:A,2,1),"LC")</f>
        <v>LC</v>
      </c>
      <c r="AH12910" s="4" t="str">
        <f>HYPERLINK("#Statut_biogéographique!A"&amp;_xlfn.XMATCH("P",Statut_biogéographique!A:A,2,1),"P")</f>
        <v>P</v>
      </c>
      <c r="AP12910" s="4" t="s">
        <v>376</v>
      </c>
      <c r="AR12910" s="4" t="s">
        <v>377</v>
      </c>
    </row>
    <row r="12911" spans="1:44">
      <c r="A12911" s="4" t="s">
        <v>10753</v>
      </c>
      <c r="B12911" s="4">
        <v>239661</v>
      </c>
      <c r="D12911" s="5" t="s">
        <v>15635</v>
      </c>
      <c r="E12911" s="6" t="str">
        <f>HYPERLINK("https://inpn.mnhn.fr/espece/cd_nom/239661","Epeolus variegatus (Linnaeus, 1758)")</f>
        <v>Epeolus variegatus (Linnaeus, 1758)</v>
      </c>
      <c r="P12911" s="7" t="str">
        <f>HYPERLINK("#Liste_rouge!A"&amp;_xlfn.XMATCH("LC",Liste_rouge!A:A,2,1),"LC")</f>
        <v>LC</v>
      </c>
      <c r="AH12911" s="4" t="str">
        <f>HYPERLINK("#Statut_biogéographique!A"&amp;_xlfn.XMATCH("P",Statut_biogéographique!A:A,2,1),"P")</f>
        <v>P</v>
      </c>
      <c r="AP12911" s="4" t="s">
        <v>376</v>
      </c>
      <c r="AR12911" s="4" t="s">
        <v>377</v>
      </c>
    </row>
    <row r="12912" spans="1:44">
      <c r="A12912" s="4" t="s">
        <v>10753</v>
      </c>
      <c r="B12912" s="4">
        <v>239678</v>
      </c>
      <c r="D12912" s="5" t="s">
        <v>15636</v>
      </c>
      <c r="E12912" s="6" t="str">
        <f>HYPERLINK("https://inpn.mnhn.fr/espece/cd_nom/239678","Eucera longicornis (Linnaeus, 1758)")</f>
        <v>Eucera longicornis (Linnaeus, 1758)</v>
      </c>
      <c r="F12912" s="5" t="s">
        <v>15637</v>
      </c>
      <c r="P12912" s="7" t="str">
        <f>HYPERLINK("#Liste_rouge!A"&amp;_xlfn.XMATCH("LC",Liste_rouge!A:A,2,1),"LC")</f>
        <v>LC</v>
      </c>
      <c r="AH12912" s="4" t="str">
        <f>HYPERLINK("#Statut_biogéographique!A"&amp;_xlfn.XMATCH("P",Statut_biogéographique!A:A,2,1),"P")</f>
        <v>P</v>
      </c>
      <c r="AP12912" s="4" t="s">
        <v>376</v>
      </c>
      <c r="AR12912" s="4" t="s">
        <v>377</v>
      </c>
    </row>
    <row r="12913" spans="1:44">
      <c r="A12913" s="4" t="s">
        <v>10753</v>
      </c>
      <c r="B12913" s="4">
        <v>239679</v>
      </c>
      <c r="D12913" s="5" t="s">
        <v>15638</v>
      </c>
      <c r="E12913" s="6" t="str">
        <f>HYPERLINK("https://inpn.mnhn.fr/espece/cd_nom/239679","Eucera nigrescens Pérez, 1880")</f>
        <v>Eucera nigrescens Pérez, 1880</v>
      </c>
      <c r="F12913" s="5" t="s">
        <v>15639</v>
      </c>
      <c r="P12913" s="7" t="str">
        <f>HYPERLINK("#Liste_rouge!A"&amp;_xlfn.XMATCH("LC",Liste_rouge!A:A,2,1),"LC")</f>
        <v>LC</v>
      </c>
      <c r="AH12913" s="4" t="str">
        <f>HYPERLINK("#Statut_biogéographique!A"&amp;_xlfn.XMATCH("P",Statut_biogéographique!A:A,2,1),"P")</f>
        <v>P</v>
      </c>
      <c r="AP12913" s="4" t="s">
        <v>376</v>
      </c>
      <c r="AR12913" s="4" t="s">
        <v>377</v>
      </c>
    </row>
    <row r="12914" spans="1:44" ht="30">
      <c r="A12914" s="4" t="s">
        <v>10753</v>
      </c>
      <c r="B12914" s="4">
        <v>23969</v>
      </c>
      <c r="D12914" s="5" t="s">
        <v>15640</v>
      </c>
      <c r="E12914" s="6" t="str">
        <f>HYPERLINK("https://inpn.mnhn.fr/espece/cd_nom/23969","Leopoldius signatus (Wiedemann in Meigen, 1824)")</f>
        <v>Leopoldius signatus (Wiedemann in Meigen, 1824)</v>
      </c>
      <c r="AH12914" s="4" t="str">
        <f>HYPERLINK("#Statut_biogéographique!A"&amp;_xlfn.XMATCH("P",Statut_biogéographique!A:A,2,1),"P")</f>
        <v>P</v>
      </c>
      <c r="AP12914" s="4" t="s">
        <v>376</v>
      </c>
      <c r="AR12914" s="4" t="s">
        <v>377</v>
      </c>
    </row>
    <row r="12915" spans="1:44">
      <c r="A12915" s="4" t="s">
        <v>10753</v>
      </c>
      <c r="B12915" s="4">
        <v>239702</v>
      </c>
      <c r="D12915" s="5">
        <v>239702</v>
      </c>
      <c r="E12915" s="6" t="str">
        <f>HYPERLINK("https://inpn.mnhn.fr/espece/cd_nom/239702","Halictus langobardicus Blüthgen, 1944")</f>
        <v>Halictus langobardicus Blüthgen, 1944</v>
      </c>
      <c r="O12915" s="7" t="str">
        <f>HYPERLINK("#Liste_rouge!A"&amp;_xlfn.XMATCH("LC",Liste_rouge!A:A,2,1),"LC")</f>
        <v>LC</v>
      </c>
      <c r="P12915" s="7" t="str">
        <f>HYPERLINK("#Liste_rouge!A"&amp;_xlfn.XMATCH("LC",Liste_rouge!A:A,2,1),"LC")</f>
        <v>LC</v>
      </c>
      <c r="AH12915" s="4" t="str">
        <f>HYPERLINK("#Statut_biogéographique!A"&amp;_xlfn.XMATCH("P",Statut_biogéographique!A:A,2,1),"P")</f>
        <v>P</v>
      </c>
      <c r="AP12915" s="4" t="s">
        <v>376</v>
      </c>
      <c r="AR12915" s="4" t="s">
        <v>377</v>
      </c>
    </row>
    <row r="12916" spans="1:44">
      <c r="A12916" s="4" t="s">
        <v>10753</v>
      </c>
      <c r="B12916" s="4">
        <v>239708</v>
      </c>
      <c r="D12916" s="5" t="s">
        <v>15641</v>
      </c>
      <c r="E12916" s="6" t="str">
        <f>HYPERLINK("https://inpn.mnhn.fr/espece/cd_nom/239708","Halictus sexcinctus (Fabricius, 1775)")</f>
        <v>Halictus sexcinctus (Fabricius, 1775)</v>
      </c>
      <c r="P12916" s="7" t="str">
        <f>HYPERLINK("#Liste_rouge!A"&amp;_xlfn.XMATCH("LC",Liste_rouge!A:A,2,1),"LC")</f>
        <v>LC</v>
      </c>
      <c r="AH12916" s="4" t="str">
        <f>HYPERLINK("#Statut_biogéographique!A"&amp;_xlfn.XMATCH("P",Statut_biogéographique!A:A,2,1),"P")</f>
        <v>P</v>
      </c>
      <c r="AP12916" s="4" t="s">
        <v>376</v>
      </c>
      <c r="AR12916" s="4" t="s">
        <v>377</v>
      </c>
    </row>
    <row r="12917" spans="1:44">
      <c r="A12917" s="4" t="s">
        <v>10753</v>
      </c>
      <c r="B12917" s="4">
        <v>239712</v>
      </c>
      <c r="D12917" s="5" t="s">
        <v>15642</v>
      </c>
      <c r="E12917" s="6" t="str">
        <f>HYPERLINK("https://inpn.mnhn.fr/espece/cd_nom/239712","Halictus tetrazonius (Klug in Germar, 1817)")</f>
        <v>Halictus tetrazonius (Klug in Germar, 1817)</v>
      </c>
      <c r="P12917" s="7" t="str">
        <f>HYPERLINK("#Liste_rouge!A"&amp;_xlfn.XMATCH("DD",Liste_rouge!A:A,2,1),"DD")</f>
        <v>DD</v>
      </c>
      <c r="AH12917" s="4" t="str">
        <f>HYPERLINK("#Statut_biogéographique!A"&amp;_xlfn.XMATCH("P",Statut_biogéographique!A:A,2,1),"P")</f>
        <v>P</v>
      </c>
      <c r="AP12917" s="4" t="s">
        <v>376</v>
      </c>
      <c r="AR12917" s="4" t="s">
        <v>377</v>
      </c>
    </row>
    <row r="12918" spans="1:44">
      <c r="A12918" s="4" t="s">
        <v>10753</v>
      </c>
      <c r="B12918" s="4">
        <v>239718</v>
      </c>
      <c r="D12918" s="5" t="s">
        <v>15643</v>
      </c>
      <c r="E12918" s="6" t="str">
        <f>HYPERLINK("https://inpn.mnhn.fr/espece/cd_nom/239718","Heriades truncorum (Linnaeus, 1758)")</f>
        <v>Heriades truncorum (Linnaeus, 1758)</v>
      </c>
      <c r="P12918" s="7" t="str">
        <f>HYPERLINK("#Liste_rouge!A"&amp;_xlfn.XMATCH("LC",Liste_rouge!A:A,2,1),"LC")</f>
        <v>LC</v>
      </c>
      <c r="AH12918" s="4" t="str">
        <f>HYPERLINK("#Statut_biogéographique!A"&amp;_xlfn.XMATCH("P",Statut_biogéographique!A:A,2,1),"P")</f>
        <v>P</v>
      </c>
      <c r="AP12918" s="4" t="s">
        <v>376</v>
      </c>
      <c r="AR12918" s="4" t="s">
        <v>377</v>
      </c>
    </row>
    <row r="12919" spans="1:44">
      <c r="A12919" s="4" t="s">
        <v>10753</v>
      </c>
      <c r="B12919" s="4">
        <v>239720</v>
      </c>
      <c r="D12919" s="5" t="s">
        <v>15644</v>
      </c>
      <c r="E12919" s="6" t="str">
        <f>HYPERLINK("https://inpn.mnhn.fr/espece/cd_nom/239720","Hoplitis adunca (Panzer, 1798)")</f>
        <v>Hoplitis adunca (Panzer, 1798)</v>
      </c>
      <c r="P12919" s="7" t="str">
        <f>HYPERLINK("#Liste_rouge!A"&amp;_xlfn.XMATCH("LC",Liste_rouge!A:A,2,1),"LC")</f>
        <v>LC</v>
      </c>
      <c r="AH12919" s="4" t="str">
        <f>HYPERLINK("#Statut_biogéographique!A"&amp;_xlfn.XMATCH("P",Statut_biogéographique!A:A,2,1),"P")</f>
        <v>P</v>
      </c>
      <c r="AP12919" s="4" t="s">
        <v>376</v>
      </c>
      <c r="AR12919" s="4" t="s">
        <v>377</v>
      </c>
    </row>
    <row r="12920" spans="1:44">
      <c r="A12920" s="4" t="s">
        <v>10753</v>
      </c>
      <c r="B12920" s="4">
        <v>239729</v>
      </c>
      <c r="D12920" s="5" t="s">
        <v>15645</v>
      </c>
      <c r="E12920" s="6" t="str">
        <f>HYPERLINK("https://inpn.mnhn.fr/espece/cd_nom/239729","Hoplitis claviventris (Thomson, 1872)")</f>
        <v>Hoplitis claviventris (Thomson, 1872)</v>
      </c>
      <c r="P12920" s="7" t="str">
        <f>HYPERLINK("#Liste_rouge!A"&amp;_xlfn.XMATCH("LC",Liste_rouge!A:A,2,1),"LC")</f>
        <v>LC</v>
      </c>
      <c r="AH12920" s="4" t="str">
        <f>HYPERLINK("#Statut_biogéographique!A"&amp;_xlfn.XMATCH("P",Statut_biogéographique!A:A,2,1),"P")</f>
        <v>P</v>
      </c>
      <c r="AP12920" s="4" t="s">
        <v>376</v>
      </c>
      <c r="AR12920" s="4" t="s">
        <v>377</v>
      </c>
    </row>
    <row r="12921" spans="1:44">
      <c r="A12921" s="4" t="s">
        <v>10753</v>
      </c>
      <c r="B12921" s="4">
        <v>23973</v>
      </c>
      <c r="D12921" s="5" t="s">
        <v>15646</v>
      </c>
      <c r="E12921" s="6" t="str">
        <f>HYPERLINK("https://inpn.mnhn.fr/espece/cd_nom/23973","Myopa buccata (Linnaeus, 1758)")</f>
        <v>Myopa buccata (Linnaeus, 1758)</v>
      </c>
      <c r="AH12921" s="4" t="str">
        <f>HYPERLINK("#Statut_biogéographique!A"&amp;_xlfn.XMATCH("P",Statut_biogéographique!A:A,2,1),"P")</f>
        <v>P</v>
      </c>
      <c r="AP12921" s="4" t="s">
        <v>376</v>
      </c>
      <c r="AR12921" s="4" t="s">
        <v>377</v>
      </c>
    </row>
    <row r="12922" spans="1:44">
      <c r="A12922" s="4" t="s">
        <v>10753</v>
      </c>
      <c r="B12922" s="4">
        <v>239738</v>
      </c>
      <c r="D12922" s="5" t="s">
        <v>15647</v>
      </c>
      <c r="E12922" s="6" t="str">
        <f>HYPERLINK("https://inpn.mnhn.fr/espece/cd_nom/239738","Hoplitis leucomelana (Kirby, 1802)")</f>
        <v>Hoplitis leucomelana (Kirby, 1802)</v>
      </c>
      <c r="P12922" s="7" t="str">
        <f>HYPERLINK("#Liste_rouge!A"&amp;_xlfn.XMATCH("LC",Liste_rouge!A:A,2,1),"LC")</f>
        <v>LC</v>
      </c>
      <c r="AH12922" s="4" t="str">
        <f>HYPERLINK("#Statut_biogéographique!A"&amp;_xlfn.XMATCH("P",Statut_biogéographique!A:A,2,1),"P")</f>
        <v>P</v>
      </c>
      <c r="AP12922" s="4" t="s">
        <v>376</v>
      </c>
      <c r="AR12922" s="4" t="s">
        <v>377</v>
      </c>
    </row>
    <row r="12923" spans="1:44">
      <c r="A12923" s="4" t="s">
        <v>10753</v>
      </c>
      <c r="B12923" s="4">
        <v>239739</v>
      </c>
      <c r="D12923" s="5" t="s">
        <v>15648</v>
      </c>
      <c r="E12923" s="6" t="str">
        <f>HYPERLINK("https://inpn.mnhn.fr/espece/cd_nom/239739","Hoplitis loti (Morawitz, 1867)")</f>
        <v>Hoplitis loti (Morawitz, 1867)</v>
      </c>
      <c r="O12923" s="7" t="str">
        <f>HYPERLINK("#Liste_rouge!A"&amp;_xlfn.XMATCH("LC",Liste_rouge!A:A,2,1),"LC")</f>
        <v>LC</v>
      </c>
      <c r="P12923" s="7" t="str">
        <f>HYPERLINK("#Liste_rouge!A"&amp;_xlfn.XMATCH("LC",Liste_rouge!A:A,2,1),"LC")</f>
        <v>LC</v>
      </c>
      <c r="AH12923" s="4" t="str">
        <f>HYPERLINK("#Statut_biogéographique!A"&amp;_xlfn.XMATCH("P",Statut_biogéographique!A:A,2,1),"P")</f>
        <v>P</v>
      </c>
      <c r="AP12923" s="4" t="s">
        <v>376</v>
      </c>
      <c r="AR12923" s="4" t="s">
        <v>377</v>
      </c>
    </row>
    <row r="12924" spans="1:44">
      <c r="A12924" s="4" t="s">
        <v>10753</v>
      </c>
      <c r="B12924" s="4">
        <v>239740</v>
      </c>
      <c r="D12924" s="5" t="s">
        <v>15649</v>
      </c>
      <c r="E12924" s="6" t="str">
        <f>HYPERLINK("https://inpn.mnhn.fr/espece/cd_nom/239740","Hoplitis mitis (Nylander, 1852)")</f>
        <v>Hoplitis mitis (Nylander, 1852)</v>
      </c>
      <c r="P12924" s="7" t="str">
        <f>HYPERLINK("#Liste_rouge!A"&amp;_xlfn.XMATCH("LC",Liste_rouge!A:A,2,1),"LC")</f>
        <v>LC</v>
      </c>
      <c r="AH12924" s="4" t="str">
        <f>HYPERLINK("#Statut_biogéographique!A"&amp;_xlfn.XMATCH("P",Statut_biogéographique!A:A,2,1),"P")</f>
        <v>P</v>
      </c>
      <c r="AP12924" s="4" t="s">
        <v>376</v>
      </c>
      <c r="AR12924" s="4" t="s">
        <v>377</v>
      </c>
    </row>
    <row r="12925" spans="1:44">
      <c r="A12925" s="4" t="s">
        <v>10753</v>
      </c>
      <c r="B12925" s="4">
        <v>239747</v>
      </c>
      <c r="D12925" s="5" t="s">
        <v>15650</v>
      </c>
      <c r="E12925" s="6" t="str">
        <f>HYPERLINK("https://inpn.mnhn.fr/espece/cd_nom/239747","Hoplitis ravouxi (Pérez, 1902)")</f>
        <v>Hoplitis ravouxi (Pérez, 1902)</v>
      </c>
      <c r="O12925" s="7" t="str">
        <f>HYPERLINK("#Liste_rouge!A"&amp;_xlfn.XMATCH("LC",Liste_rouge!A:A,2,1),"LC")</f>
        <v>LC</v>
      </c>
      <c r="P12925" s="7" t="str">
        <f>HYPERLINK("#Liste_rouge!A"&amp;_xlfn.XMATCH("LC",Liste_rouge!A:A,2,1),"LC")</f>
        <v>LC</v>
      </c>
      <c r="AH12925" s="4" t="str">
        <f>HYPERLINK("#Statut_biogéographique!A"&amp;_xlfn.XMATCH("P",Statut_biogéographique!A:A,2,1),"P")</f>
        <v>P</v>
      </c>
      <c r="AP12925" s="4" t="s">
        <v>376</v>
      </c>
      <c r="AR12925" s="4" t="s">
        <v>377</v>
      </c>
    </row>
    <row r="12926" spans="1:44">
      <c r="A12926" s="4" t="s">
        <v>10753</v>
      </c>
      <c r="B12926" s="4">
        <v>23975</v>
      </c>
      <c r="D12926" s="5" t="s">
        <v>15651</v>
      </c>
      <c r="E12926" s="6" t="str">
        <f>HYPERLINK("https://inpn.mnhn.fr/espece/cd_nom/23975","Myopa dorsalis Fabricius, 1794")</f>
        <v>Myopa dorsalis Fabricius, 1794</v>
      </c>
      <c r="AH12926" s="4" t="str">
        <f>HYPERLINK("#Statut_biogéographique!A"&amp;_xlfn.XMATCH("P",Statut_biogéographique!A:A,2,1),"P")</f>
        <v>P</v>
      </c>
      <c r="AP12926" s="4" t="s">
        <v>376</v>
      </c>
      <c r="AR12926" s="4" t="s">
        <v>377</v>
      </c>
    </row>
    <row r="12927" spans="1:44">
      <c r="A12927" s="4" t="s">
        <v>10753</v>
      </c>
      <c r="B12927" s="4">
        <v>239751</v>
      </c>
      <c r="D12927" s="5" t="s">
        <v>15652</v>
      </c>
      <c r="E12927" s="6" t="str">
        <f>HYPERLINK("https://inpn.mnhn.fr/espece/cd_nom/239751","Hoplitis tridentata (Dufour &amp; Perris, 1840)")</f>
        <v>Hoplitis tridentata (Dufour &amp; Perris, 1840)</v>
      </c>
      <c r="P12927" s="7" t="str">
        <f>HYPERLINK("#Liste_rouge!A"&amp;_xlfn.XMATCH("LC",Liste_rouge!A:A,2,1),"LC")</f>
        <v>LC</v>
      </c>
      <c r="AH12927" s="4" t="str">
        <f>HYPERLINK("#Statut_biogéographique!A"&amp;_xlfn.XMATCH("P",Statut_biogéographique!A:A,2,1),"P")</f>
        <v>P</v>
      </c>
      <c r="AP12927" s="4" t="s">
        <v>376</v>
      </c>
      <c r="AR12927" s="4" t="s">
        <v>377</v>
      </c>
    </row>
    <row r="12928" spans="1:44">
      <c r="A12928" s="4" t="s">
        <v>10753</v>
      </c>
      <c r="B12928" s="4">
        <v>239752</v>
      </c>
      <c r="D12928" s="5" t="s">
        <v>15653</v>
      </c>
      <c r="E12928" s="6" t="str">
        <f>HYPERLINK("https://inpn.mnhn.fr/espece/cd_nom/239752","Hoplitis tuberculata (Nylander, 1848)")</f>
        <v>Hoplitis tuberculata (Nylander, 1848)</v>
      </c>
      <c r="P12928" s="7" t="str">
        <f>HYPERLINK("#Liste_rouge!A"&amp;_xlfn.XMATCH("LC",Liste_rouge!A:A,2,1),"LC")</f>
        <v>LC</v>
      </c>
      <c r="AH12928" s="4" t="str">
        <f>HYPERLINK("#Statut_biogéographique!A"&amp;_xlfn.XMATCH("P",Statut_biogéographique!A:A,2,1),"P")</f>
        <v>P</v>
      </c>
      <c r="AP12928" s="4" t="s">
        <v>376</v>
      </c>
      <c r="AR12928" s="4" t="s">
        <v>377</v>
      </c>
    </row>
    <row r="12929" spans="1:44">
      <c r="A12929" s="4" t="s">
        <v>10753</v>
      </c>
      <c r="B12929" s="4">
        <v>239753</v>
      </c>
      <c r="D12929" s="5" t="s">
        <v>15654</v>
      </c>
      <c r="E12929" s="6" t="str">
        <f>HYPERLINK("https://inpn.mnhn.fr/espece/cd_nom/239753","Hoplitis villosa (Schenck, 1853)")</f>
        <v>Hoplitis villosa (Schenck, 1853)</v>
      </c>
      <c r="O12929" s="7" t="str">
        <f>HYPERLINK("#Liste_rouge!A"&amp;_xlfn.XMATCH("LC",Liste_rouge!A:A,2,1),"LC")</f>
        <v>LC</v>
      </c>
      <c r="P12929" s="7" t="str">
        <f>HYPERLINK("#Liste_rouge!A"&amp;_xlfn.XMATCH("LC",Liste_rouge!A:A,2,1),"LC")</f>
        <v>LC</v>
      </c>
      <c r="AH12929" s="4" t="str">
        <f>HYPERLINK("#Statut_biogéographique!A"&amp;_xlfn.XMATCH("P",Statut_biogéographique!A:A,2,1),"P")</f>
        <v>P</v>
      </c>
      <c r="AP12929" s="4" t="s">
        <v>376</v>
      </c>
      <c r="AR12929" s="4" t="s">
        <v>377</v>
      </c>
    </row>
    <row r="12930" spans="1:44">
      <c r="A12930" s="4" t="s">
        <v>10753</v>
      </c>
      <c r="B12930" s="4">
        <v>23976</v>
      </c>
      <c r="D12930" s="5" t="s">
        <v>15655</v>
      </c>
      <c r="E12930" s="6" t="str">
        <f>HYPERLINK("https://inpn.mnhn.fr/espece/cd_nom/23976","Myopa extricata Collin, 1960")</f>
        <v>Myopa extricata Collin, 1960</v>
      </c>
      <c r="AH12930" s="4" t="str">
        <f>HYPERLINK("#Statut_biogéographique!A"&amp;_xlfn.XMATCH("P",Statut_biogéographique!A:A,2,1),"P")</f>
        <v>P</v>
      </c>
      <c r="AP12930" s="4" t="s">
        <v>376</v>
      </c>
      <c r="AR12930" s="4" t="s">
        <v>377</v>
      </c>
    </row>
    <row r="12931" spans="1:44">
      <c r="A12931" s="4" t="s">
        <v>10753</v>
      </c>
      <c r="B12931" s="4">
        <v>239760</v>
      </c>
      <c r="D12931" s="5" t="s">
        <v>15656</v>
      </c>
      <c r="E12931" s="6" t="str">
        <f>HYPERLINK("https://inpn.mnhn.fr/espece/cd_nom/239760","Hylaeus angustatus (Schenck, 1861)")</f>
        <v>Hylaeus angustatus (Schenck, 1861)</v>
      </c>
      <c r="P12931" s="7" t="str">
        <f>HYPERLINK("#Liste_rouge!A"&amp;_xlfn.XMATCH("LC",Liste_rouge!A:A,2,1),"LC")</f>
        <v>LC</v>
      </c>
      <c r="AH12931" s="4" t="str">
        <f>HYPERLINK("#Statut_biogéographique!A"&amp;_xlfn.XMATCH("P",Statut_biogéographique!A:A,2,1),"P")</f>
        <v>P</v>
      </c>
      <c r="AP12931" s="4" t="s">
        <v>376</v>
      </c>
      <c r="AR12931" s="4" t="s">
        <v>377</v>
      </c>
    </row>
    <row r="12932" spans="1:44">
      <c r="A12932" s="4" t="s">
        <v>10753</v>
      </c>
      <c r="B12932" s="4">
        <v>239761</v>
      </c>
      <c r="D12932" s="5" t="s">
        <v>15657</v>
      </c>
      <c r="E12932" s="6" t="str">
        <f>HYPERLINK("https://inpn.mnhn.fr/espece/cd_nom/239761","Hylaeus annularis (Kirby, 1802)")</f>
        <v>Hylaeus annularis (Kirby, 1802)</v>
      </c>
      <c r="P12932" s="7" t="str">
        <f>HYPERLINK("#Liste_rouge!A"&amp;_xlfn.XMATCH("DD",Liste_rouge!A:A,2,1),"DD")</f>
        <v>DD</v>
      </c>
      <c r="AH12932" s="4" t="str">
        <f>HYPERLINK("#Statut_biogéographique!A"&amp;_xlfn.XMATCH("P",Statut_biogéographique!A:A,2,1),"P")</f>
        <v>P</v>
      </c>
      <c r="AP12932" s="4" t="s">
        <v>376</v>
      </c>
      <c r="AR12932" s="4" t="s">
        <v>377</v>
      </c>
    </row>
    <row r="12933" spans="1:44">
      <c r="A12933" s="4" t="s">
        <v>10753</v>
      </c>
      <c r="B12933" s="4">
        <v>239762</v>
      </c>
      <c r="D12933" s="5" t="s">
        <v>15658</v>
      </c>
      <c r="E12933" s="6" t="str">
        <f>HYPERLINK("https://inpn.mnhn.fr/espece/cd_nom/239762","Hylaeus annulatus (Linnaeus, 1758)")</f>
        <v>Hylaeus annulatus (Linnaeus, 1758)</v>
      </c>
      <c r="P12933" s="7" t="str">
        <f>HYPERLINK("#Liste_rouge!A"&amp;_xlfn.XMATCH("DD",Liste_rouge!A:A,2,1),"DD")</f>
        <v>DD</v>
      </c>
      <c r="AH12933" s="4" t="str">
        <f>HYPERLINK("#Statut_biogéographique!A"&amp;_xlfn.XMATCH("P",Statut_biogéographique!A:A,2,1),"P")</f>
        <v>P</v>
      </c>
      <c r="AP12933" s="4" t="s">
        <v>376</v>
      </c>
      <c r="AR12933" s="4" t="s">
        <v>377</v>
      </c>
    </row>
    <row r="12934" spans="1:44">
      <c r="A12934" s="4" t="s">
        <v>10753</v>
      </c>
      <c r="B12934" s="4">
        <v>239766</v>
      </c>
      <c r="D12934" s="5" t="s">
        <v>15659</v>
      </c>
      <c r="E12934" s="6" t="str">
        <f>HYPERLINK("https://inpn.mnhn.fr/espece/cd_nom/239766","Hylaeus brevicornis Nylander, 1852")</f>
        <v>Hylaeus brevicornis Nylander, 1852</v>
      </c>
      <c r="P12934" s="7" t="str">
        <f>HYPERLINK("#Liste_rouge!A"&amp;_xlfn.XMATCH("LC",Liste_rouge!A:A,2,1),"LC")</f>
        <v>LC</v>
      </c>
      <c r="AH12934" s="4" t="str">
        <f>HYPERLINK("#Statut_biogéographique!A"&amp;_xlfn.XMATCH("P",Statut_biogéographique!A:A,2,1),"P")</f>
        <v>P</v>
      </c>
      <c r="AP12934" s="4" t="s">
        <v>376</v>
      </c>
      <c r="AR12934" s="4" t="s">
        <v>377</v>
      </c>
    </row>
    <row r="12935" spans="1:44">
      <c r="A12935" s="4" t="s">
        <v>10753</v>
      </c>
      <c r="B12935" s="4">
        <v>239767</v>
      </c>
      <c r="D12935" s="5" t="s">
        <v>15660</v>
      </c>
      <c r="E12935" s="6" t="str">
        <f>HYPERLINK("https://inpn.mnhn.fr/espece/cd_nom/239767","Hylaeus clypearis (Schenck, 1853)")</f>
        <v>Hylaeus clypearis (Schenck, 1853)</v>
      </c>
      <c r="P12935" s="7" t="str">
        <f>HYPERLINK("#Liste_rouge!A"&amp;_xlfn.XMATCH("LC",Liste_rouge!A:A,2,1),"LC")</f>
        <v>LC</v>
      </c>
      <c r="AH12935" s="4" t="str">
        <f>HYPERLINK("#Statut_biogéographique!A"&amp;_xlfn.XMATCH("P",Statut_biogéographique!A:A,2,1),"P")</f>
        <v>P</v>
      </c>
      <c r="AP12935" s="4" t="s">
        <v>376</v>
      </c>
      <c r="AR12935" s="4" t="s">
        <v>377</v>
      </c>
    </row>
    <row r="12936" spans="1:44">
      <c r="A12936" s="4" t="s">
        <v>10753</v>
      </c>
      <c r="B12936" s="4">
        <v>239768</v>
      </c>
      <c r="D12936" s="5">
        <v>239768</v>
      </c>
      <c r="E12936" s="6" t="str">
        <f>HYPERLINK("https://inpn.mnhn.fr/espece/cd_nom/239768","Hylaeus communis Nylander, 1852")</f>
        <v>Hylaeus communis Nylander, 1852</v>
      </c>
      <c r="P12936" s="7" t="str">
        <f>HYPERLINK("#Liste_rouge!A"&amp;_xlfn.XMATCH("LC",Liste_rouge!A:A,2,1),"LC")</f>
        <v>LC</v>
      </c>
      <c r="AH12936" s="4" t="str">
        <f>HYPERLINK("#Statut_biogéographique!A"&amp;_xlfn.XMATCH("P",Statut_biogéographique!A:A,2,1),"P")</f>
        <v>P</v>
      </c>
      <c r="AP12936" s="4" t="s">
        <v>376</v>
      </c>
      <c r="AR12936" s="4" t="s">
        <v>377</v>
      </c>
    </row>
    <row r="12937" spans="1:44">
      <c r="A12937" s="4" t="s">
        <v>10753</v>
      </c>
      <c r="B12937" s="4">
        <v>239770</v>
      </c>
      <c r="D12937" s="5" t="s">
        <v>15661</v>
      </c>
      <c r="E12937" s="6" t="str">
        <f>HYPERLINK("https://inpn.mnhn.fr/espece/cd_nom/239770","Hylaeus confusus Nylander, 1852")</f>
        <v>Hylaeus confusus Nylander, 1852</v>
      </c>
      <c r="P12937" s="7" t="str">
        <f>HYPERLINK("#Liste_rouge!A"&amp;_xlfn.XMATCH("LC",Liste_rouge!A:A,2,1),"LC")</f>
        <v>LC</v>
      </c>
      <c r="AH12937" s="4" t="str">
        <f>HYPERLINK("#Statut_biogéographique!A"&amp;_xlfn.XMATCH("P",Statut_biogéographique!A:A,2,1),"P")</f>
        <v>P</v>
      </c>
      <c r="AP12937" s="4" t="s">
        <v>376</v>
      </c>
      <c r="AR12937" s="4" t="s">
        <v>377</v>
      </c>
    </row>
    <row r="12938" spans="1:44">
      <c r="A12938" s="4" t="s">
        <v>10753</v>
      </c>
      <c r="B12938" s="4">
        <v>239773</v>
      </c>
      <c r="D12938" s="5" t="s">
        <v>15662</v>
      </c>
      <c r="E12938" s="6" t="str">
        <f>HYPERLINK("https://inpn.mnhn.fr/espece/cd_nom/239773","Hylaeus difformis (Eversmann, 1852)")</f>
        <v>Hylaeus difformis (Eversmann, 1852)</v>
      </c>
      <c r="P12938" s="7" t="str">
        <f>HYPERLINK("#Liste_rouge!A"&amp;_xlfn.XMATCH("LC",Liste_rouge!A:A,2,1),"LC")</f>
        <v>LC</v>
      </c>
      <c r="AH12938" s="4" t="str">
        <f>HYPERLINK("#Statut_biogéographique!A"&amp;_xlfn.XMATCH("P",Statut_biogéographique!A:A,2,1),"P")</f>
        <v>P</v>
      </c>
      <c r="AP12938" s="4" t="s">
        <v>376</v>
      </c>
      <c r="AR12938" s="4" t="s">
        <v>377</v>
      </c>
    </row>
    <row r="12939" spans="1:44">
      <c r="A12939" s="4" t="s">
        <v>10753</v>
      </c>
      <c r="B12939" s="4">
        <v>239776</v>
      </c>
      <c r="D12939" s="5" t="s">
        <v>15663</v>
      </c>
      <c r="E12939" s="6" t="str">
        <f>HYPERLINK("https://inpn.mnhn.fr/espece/cd_nom/239776","Hylaeus gibbus Saunders, 1850")</f>
        <v>Hylaeus gibbus Saunders, 1850</v>
      </c>
      <c r="P12939" s="7" t="str">
        <f>HYPERLINK("#Liste_rouge!A"&amp;_xlfn.XMATCH("LC",Liste_rouge!A:A,2,1),"LC")</f>
        <v>LC</v>
      </c>
      <c r="AH12939" s="4" t="str">
        <f>HYPERLINK("#Statut_biogéographique!A"&amp;_xlfn.XMATCH("P",Statut_biogéographique!A:A,2,1),"P")</f>
        <v>P</v>
      </c>
      <c r="AP12939" s="4" t="s">
        <v>376</v>
      </c>
      <c r="AR12939" s="4" t="s">
        <v>377</v>
      </c>
    </row>
    <row r="12940" spans="1:44">
      <c r="A12940" s="4" t="s">
        <v>10753</v>
      </c>
      <c r="B12940" s="4">
        <v>239779</v>
      </c>
      <c r="D12940" s="5">
        <v>239779</v>
      </c>
      <c r="E12940" s="6" t="str">
        <f>HYPERLINK("https://inpn.mnhn.fr/espece/cd_nom/239779","Hylaeus gredleri Förster, 1871")</f>
        <v>Hylaeus gredleri Förster, 1871</v>
      </c>
      <c r="P12940" s="7" t="str">
        <f>HYPERLINK("#Liste_rouge!A"&amp;_xlfn.XMATCH("LC",Liste_rouge!A:A,2,1),"LC")</f>
        <v>LC</v>
      </c>
      <c r="AH12940" s="4" t="str">
        <f>HYPERLINK("#Statut_biogéographique!A"&amp;_xlfn.XMATCH("P",Statut_biogéographique!A:A,2,1),"P")</f>
        <v>P</v>
      </c>
      <c r="AP12940" s="4" t="s">
        <v>376</v>
      </c>
      <c r="AR12940" s="4" t="s">
        <v>377</v>
      </c>
    </row>
    <row r="12941" spans="1:44">
      <c r="A12941" s="4" t="s">
        <v>10753</v>
      </c>
      <c r="B12941" s="4">
        <v>239780</v>
      </c>
      <c r="D12941" s="5">
        <v>239780</v>
      </c>
      <c r="E12941" s="6" t="str">
        <f>HYPERLINK("https://inpn.mnhn.fr/espece/cd_nom/239780","Hylaeus hyalinatus Smith, 1842")</f>
        <v>Hylaeus hyalinatus Smith, 1842</v>
      </c>
      <c r="P12941" s="7" t="str">
        <f>HYPERLINK("#Liste_rouge!A"&amp;_xlfn.XMATCH("LC",Liste_rouge!A:A,2,1),"LC")</f>
        <v>LC</v>
      </c>
      <c r="AH12941" s="4" t="str">
        <f>HYPERLINK("#Statut_biogéographique!A"&amp;_xlfn.XMATCH("P",Statut_biogéographique!A:A,2,1),"P")</f>
        <v>P</v>
      </c>
      <c r="AP12941" s="4" t="s">
        <v>376</v>
      </c>
      <c r="AR12941" s="4" t="s">
        <v>377</v>
      </c>
    </row>
    <row r="12942" spans="1:44">
      <c r="A12942" s="4" t="s">
        <v>10753</v>
      </c>
      <c r="B12942" s="4">
        <v>239782</v>
      </c>
      <c r="D12942" s="5">
        <v>239782</v>
      </c>
      <c r="E12942" s="6" t="str">
        <f>HYPERLINK("https://inpn.mnhn.fr/espece/cd_nom/239782","Hylaeus kahri Förster, 1871")</f>
        <v>Hylaeus kahri Förster, 1871</v>
      </c>
      <c r="P12942" s="7" t="str">
        <f>HYPERLINK("#Liste_rouge!A"&amp;_xlfn.XMATCH("DD",Liste_rouge!A:A,2,1),"DD")</f>
        <v>DD</v>
      </c>
      <c r="AH12942" s="4" t="str">
        <f>HYPERLINK("#Statut_biogéographique!A"&amp;_xlfn.XMATCH("P",Statut_biogéographique!A:A,2,1),"P")</f>
        <v>P</v>
      </c>
      <c r="AP12942" s="4" t="s">
        <v>376</v>
      </c>
      <c r="AR12942" s="4" t="s">
        <v>377</v>
      </c>
    </row>
    <row r="12943" spans="1:44">
      <c r="A12943" s="4" t="s">
        <v>10753</v>
      </c>
      <c r="B12943" s="4">
        <v>239790</v>
      </c>
      <c r="D12943" s="5">
        <v>239790</v>
      </c>
      <c r="E12943" s="6" t="str">
        <f>HYPERLINK("https://inpn.mnhn.fr/espece/cd_nom/239790","Hylaeus pictipes Nylander, 1852")</f>
        <v>Hylaeus pictipes Nylander, 1852</v>
      </c>
      <c r="P12943" s="7" t="str">
        <f>HYPERLINK("#Liste_rouge!A"&amp;_xlfn.XMATCH("LC",Liste_rouge!A:A,2,1),"LC")</f>
        <v>LC</v>
      </c>
      <c r="AH12943" s="4" t="str">
        <f>HYPERLINK("#Statut_biogéographique!A"&amp;_xlfn.XMATCH("P",Statut_biogéographique!A:A,2,1),"P")</f>
        <v>P</v>
      </c>
      <c r="AP12943" s="4" t="s">
        <v>376</v>
      </c>
      <c r="AR12943" s="4" t="s">
        <v>377</v>
      </c>
    </row>
    <row r="12944" spans="1:44">
      <c r="A12944" s="4" t="s">
        <v>10753</v>
      </c>
      <c r="B12944" s="4">
        <v>239792</v>
      </c>
      <c r="D12944" s="5" t="s">
        <v>15664</v>
      </c>
      <c r="E12944" s="6" t="str">
        <f>HYPERLINK("https://inpn.mnhn.fr/espece/cd_nom/239792","Hylaeus punctatus (Brullé, 1832)")</f>
        <v>Hylaeus punctatus (Brullé, 1832)</v>
      </c>
      <c r="P12944" s="7" t="str">
        <f>HYPERLINK("#Liste_rouge!A"&amp;_xlfn.XMATCH("LC",Liste_rouge!A:A,2,1),"LC")</f>
        <v>LC</v>
      </c>
      <c r="AH12944" s="4" t="str">
        <f>HYPERLINK("#Statut_biogéographique!A"&amp;_xlfn.XMATCH("P",Statut_biogéographique!A:A,2,1),"P")</f>
        <v>P</v>
      </c>
      <c r="AP12944" s="4" t="s">
        <v>376</v>
      </c>
      <c r="AR12944" s="4" t="s">
        <v>377</v>
      </c>
    </row>
    <row r="12945" spans="1:44">
      <c r="A12945" s="4" t="s">
        <v>10753</v>
      </c>
      <c r="B12945" s="4">
        <v>239796</v>
      </c>
      <c r="D12945" s="5" t="s">
        <v>15665</v>
      </c>
      <c r="E12945" s="6" t="str">
        <f>HYPERLINK("https://inpn.mnhn.fr/espece/cd_nom/239796","Hylaeus signatus (Panzer, 1797)")</f>
        <v>Hylaeus signatus (Panzer, 1797)</v>
      </c>
      <c r="P12945" s="7" t="str">
        <f>HYPERLINK("#Liste_rouge!A"&amp;_xlfn.XMATCH("LC",Liste_rouge!A:A,2,1),"LC")</f>
        <v>LC</v>
      </c>
      <c r="AH12945" s="4" t="str">
        <f>HYPERLINK("#Statut_biogéographique!A"&amp;_xlfn.XMATCH("P",Statut_biogéographique!A:A,2,1),"P")</f>
        <v>P</v>
      </c>
      <c r="AP12945" s="4" t="s">
        <v>376</v>
      </c>
      <c r="AR12945" s="4" t="s">
        <v>377</v>
      </c>
    </row>
    <row r="12946" spans="1:44">
      <c r="A12946" s="4" t="s">
        <v>10753</v>
      </c>
      <c r="B12946" s="4">
        <v>239806</v>
      </c>
      <c r="D12946" s="5" t="s">
        <v>15666</v>
      </c>
      <c r="E12946" s="6" t="str">
        <f>HYPERLINK("https://inpn.mnhn.fr/espece/cd_nom/239806","Hylaeus variegatus (Fabricius, 1798)")</f>
        <v>Hylaeus variegatus (Fabricius, 1798)</v>
      </c>
      <c r="P12946" s="7" t="str">
        <f>HYPERLINK("#Liste_rouge!A"&amp;_xlfn.XMATCH("LC",Liste_rouge!A:A,2,1),"LC")</f>
        <v>LC</v>
      </c>
      <c r="AH12946" s="4" t="str">
        <f>HYPERLINK("#Statut_biogéographique!A"&amp;_xlfn.XMATCH("P",Statut_biogéographique!A:A,2,1),"P")</f>
        <v>P</v>
      </c>
      <c r="AP12946" s="4" t="s">
        <v>376</v>
      </c>
      <c r="AR12946" s="4" t="s">
        <v>377</v>
      </c>
    </row>
    <row r="12947" spans="1:44">
      <c r="A12947" s="4" t="s">
        <v>10753</v>
      </c>
      <c r="B12947" s="4">
        <v>239811</v>
      </c>
      <c r="D12947" s="5" t="s">
        <v>15667</v>
      </c>
      <c r="E12947" s="6" t="str">
        <f>HYPERLINK("https://inpn.mnhn.fr/espece/cd_nom/239811","Lasioglossum albipes (Fabricius, 1781)")</f>
        <v>Lasioglossum albipes (Fabricius, 1781)</v>
      </c>
      <c r="P12947" s="7" t="str">
        <f>HYPERLINK("#Liste_rouge!A"&amp;_xlfn.XMATCH("LC",Liste_rouge!A:A,2,1),"LC")</f>
        <v>LC</v>
      </c>
      <c r="AH12947" s="4" t="str">
        <f>HYPERLINK("#Statut_biogéographique!A"&amp;_xlfn.XMATCH("P",Statut_biogéographique!A:A,2,1),"P")</f>
        <v>P</v>
      </c>
      <c r="AP12947" s="4" t="s">
        <v>376</v>
      </c>
      <c r="AR12947" s="4" t="s">
        <v>377</v>
      </c>
    </row>
    <row r="12948" spans="1:44">
      <c r="A12948" s="4" t="s">
        <v>10753</v>
      </c>
      <c r="B12948" s="4">
        <v>239818</v>
      </c>
      <c r="D12948" s="5" t="s">
        <v>15668</v>
      </c>
      <c r="E12948" s="6" t="str">
        <f>HYPERLINK("https://inpn.mnhn.fr/espece/cd_nom/239818","Lasioglossum bluethgeni Ebmer, 1971")</f>
        <v>Lasioglossum bluethgeni Ebmer, 1971</v>
      </c>
      <c r="P12948" s="7" t="str">
        <f>HYPERLINK("#Liste_rouge!A"&amp;_xlfn.XMATCH("LC",Liste_rouge!A:A,2,1),"LC")</f>
        <v>LC</v>
      </c>
      <c r="AH12948" s="4" t="str">
        <f>HYPERLINK("#Statut_biogéographique!A"&amp;_xlfn.XMATCH("P",Statut_biogéographique!A:A,2,1),"P")</f>
        <v>P</v>
      </c>
      <c r="AP12948" s="4" t="s">
        <v>376</v>
      </c>
      <c r="AR12948" s="4" t="s">
        <v>377</v>
      </c>
    </row>
    <row r="12949" spans="1:44">
      <c r="A12949" s="4" t="s">
        <v>10753</v>
      </c>
      <c r="B12949" s="4">
        <v>23982</v>
      </c>
      <c r="D12949" s="5" t="s">
        <v>15669</v>
      </c>
      <c r="E12949" s="6" t="str">
        <f>HYPERLINK("https://inpn.mnhn.fr/espece/cd_nom/23982","Myopa testacea (Linnaeus, 1767)")</f>
        <v>Myopa testacea (Linnaeus, 1767)</v>
      </c>
      <c r="AH12949" s="4" t="str">
        <f>HYPERLINK("#Statut_biogéographique!A"&amp;_xlfn.XMATCH("P",Statut_biogéographique!A:A,2,1),"P")</f>
        <v>P</v>
      </c>
      <c r="AP12949" s="4" t="s">
        <v>376</v>
      </c>
      <c r="AR12949" s="4" t="s">
        <v>377</v>
      </c>
    </row>
    <row r="12950" spans="1:44">
      <c r="A12950" s="4" t="s">
        <v>10753</v>
      </c>
      <c r="B12950" s="4">
        <v>239822</v>
      </c>
      <c r="D12950" s="5" t="s">
        <v>15670</v>
      </c>
      <c r="E12950" s="6" t="str">
        <f>HYPERLINK("https://inpn.mnhn.fr/espece/cd_nom/239822","Lasioglossum calceatum (Scopoli, 1763)")</f>
        <v>Lasioglossum calceatum (Scopoli, 1763)</v>
      </c>
      <c r="P12950" s="7" t="str">
        <f>HYPERLINK("#Liste_rouge!A"&amp;_xlfn.XMATCH("LC",Liste_rouge!A:A,2,1),"LC")</f>
        <v>LC</v>
      </c>
      <c r="AH12950" s="4" t="str">
        <f>HYPERLINK("#Statut_biogéographique!A"&amp;_xlfn.XMATCH("P",Statut_biogéographique!A:A,2,1),"P")</f>
        <v>P</v>
      </c>
      <c r="AP12950" s="4" t="s">
        <v>376</v>
      </c>
      <c r="AR12950" s="4" t="s">
        <v>377</v>
      </c>
    </row>
    <row r="12951" spans="1:44">
      <c r="A12951" s="4" t="s">
        <v>10753</v>
      </c>
      <c r="B12951" s="4">
        <v>239825</v>
      </c>
      <c r="D12951" s="5" t="s">
        <v>15671</v>
      </c>
      <c r="E12951" s="6" t="str">
        <f>HYPERLINK("https://inpn.mnhn.fr/espece/cd_nom/239825","Lasioglossum clypeare (Schenck, 1853)")</f>
        <v>Lasioglossum clypeare (Schenck, 1853)</v>
      </c>
      <c r="P12951" s="7" t="str">
        <f>HYPERLINK("#Liste_rouge!A"&amp;_xlfn.XMATCH("NT",Liste_rouge!A:A,2,1),"NT")</f>
        <v>NT</v>
      </c>
      <c r="AH12951" s="4" t="str">
        <f>HYPERLINK("#Statut_biogéographique!A"&amp;_xlfn.XMATCH("P",Statut_biogéographique!A:A,2,1),"P")</f>
        <v>P</v>
      </c>
      <c r="AP12951" s="4" t="s">
        <v>376</v>
      </c>
      <c r="AR12951" s="4" t="s">
        <v>377</v>
      </c>
    </row>
    <row r="12952" spans="1:44">
      <c r="A12952" s="4" t="s">
        <v>10753</v>
      </c>
      <c r="B12952" s="4">
        <v>239831</v>
      </c>
      <c r="D12952" s="5" t="s">
        <v>15672</v>
      </c>
      <c r="E12952" s="6" t="str">
        <f>HYPERLINK("https://inpn.mnhn.fr/espece/cd_nom/239831","Lasioglossum cupromicans (Pérez, 1903)")</f>
        <v>Lasioglossum cupromicans (Pérez, 1903)</v>
      </c>
      <c r="P12952" s="7" t="str">
        <f>HYPERLINK("#Liste_rouge!A"&amp;_xlfn.XMATCH("LC",Liste_rouge!A:A,2,1),"LC")</f>
        <v>LC</v>
      </c>
      <c r="AH12952" s="4" t="str">
        <f>HYPERLINK("#Statut_biogéographique!A"&amp;_xlfn.XMATCH("P",Statut_biogéographique!A:A,2,1),"P")</f>
        <v>P</v>
      </c>
      <c r="AP12952" s="4" t="s">
        <v>376</v>
      </c>
      <c r="AR12952" s="4" t="s">
        <v>377</v>
      </c>
    </row>
    <row r="12953" spans="1:44">
      <c r="A12953" s="4" t="s">
        <v>10753</v>
      </c>
      <c r="B12953" s="4">
        <v>239836</v>
      </c>
      <c r="D12953" s="5" t="s">
        <v>15673</v>
      </c>
      <c r="E12953" s="6" t="str">
        <f>HYPERLINK("https://inpn.mnhn.fr/espece/cd_nom/239836","Lasioglossum fulvicorne (Kirby, 1802)")</f>
        <v>Lasioglossum fulvicorne (Kirby, 1802)</v>
      </c>
      <c r="P12953" s="7" t="str">
        <f>HYPERLINK("#Liste_rouge!A"&amp;_xlfn.XMATCH("LC",Liste_rouge!A:A,2,1),"LC")</f>
        <v>LC</v>
      </c>
      <c r="AH12953" s="4" t="str">
        <f>HYPERLINK("#Statut_biogéographique!A"&amp;_xlfn.XMATCH("P",Statut_biogéographique!A:A,2,1),"P")</f>
        <v>P</v>
      </c>
      <c r="AP12953" s="4" t="s">
        <v>376</v>
      </c>
      <c r="AR12953" s="4" t="s">
        <v>377</v>
      </c>
    </row>
    <row r="12954" spans="1:44" ht="30">
      <c r="A12954" s="4" t="s">
        <v>10753</v>
      </c>
      <c r="B12954" s="4">
        <v>239838</v>
      </c>
      <c r="D12954" s="5" t="s">
        <v>15674</v>
      </c>
      <c r="E12954" s="6" t="str">
        <f>HYPERLINK("https://inpn.mnhn.fr/espece/cd_nom/239838","Lasioglossum glabriusculum (Morawitz, 1872)")</f>
        <v>Lasioglossum glabriusculum (Morawitz, 1872)</v>
      </c>
      <c r="P12954" s="7" t="str">
        <f>HYPERLINK("#Liste_rouge!A"&amp;_xlfn.XMATCH("LC",Liste_rouge!A:A,2,1),"LC")</f>
        <v>LC</v>
      </c>
      <c r="AH12954" s="4" t="str">
        <f>HYPERLINK("#Statut_biogéographique!A"&amp;_xlfn.XMATCH("P",Statut_biogéographique!A:A,2,1),"P")</f>
        <v>P</v>
      </c>
      <c r="AP12954" s="4" t="s">
        <v>376</v>
      </c>
      <c r="AR12954" s="4" t="s">
        <v>377</v>
      </c>
    </row>
    <row r="12955" spans="1:44">
      <c r="A12955" s="4" t="s">
        <v>10753</v>
      </c>
      <c r="B12955" s="4">
        <v>239842</v>
      </c>
      <c r="D12955" s="5" t="s">
        <v>15675</v>
      </c>
      <c r="E12955" s="6" t="str">
        <f>HYPERLINK("https://inpn.mnhn.fr/espece/cd_nom/239842","Lasioglossum interruptum (Panzer, 1798)")</f>
        <v>Lasioglossum interruptum (Panzer, 1798)</v>
      </c>
      <c r="P12955" s="7" t="str">
        <f>HYPERLINK("#Liste_rouge!A"&amp;_xlfn.XMATCH("LC",Liste_rouge!A:A,2,1),"LC")</f>
        <v>LC</v>
      </c>
      <c r="AH12955" s="4" t="str">
        <f>HYPERLINK("#Statut_biogéographique!A"&amp;_xlfn.XMATCH("P",Statut_biogéographique!A:A,2,1),"P")</f>
        <v>P</v>
      </c>
      <c r="AP12955" s="4" t="s">
        <v>376</v>
      </c>
      <c r="AR12955" s="4" t="s">
        <v>377</v>
      </c>
    </row>
    <row r="12956" spans="1:44">
      <c r="A12956" s="4" t="s">
        <v>10753</v>
      </c>
      <c r="B12956" s="4">
        <v>239845</v>
      </c>
      <c r="D12956" s="5" t="s">
        <v>15676</v>
      </c>
      <c r="E12956" s="6" t="str">
        <f>HYPERLINK("https://inpn.mnhn.fr/espece/cd_nom/239845","Lasioglossum laevigatum (Kirby, 1802)")</f>
        <v>Lasioglossum laevigatum (Kirby, 1802)</v>
      </c>
      <c r="P12956" s="7" t="str">
        <f>HYPERLINK("#Liste_rouge!A"&amp;_xlfn.XMATCH("NT",Liste_rouge!A:A,2,1),"NT")</f>
        <v>NT</v>
      </c>
      <c r="AH12956" s="4" t="str">
        <f>HYPERLINK("#Statut_biogéographique!A"&amp;_xlfn.XMATCH("P",Statut_biogéographique!A:A,2,1),"P")</f>
        <v>P</v>
      </c>
      <c r="AP12956" s="4" t="s">
        <v>376</v>
      </c>
      <c r="AR12956" s="4" t="s">
        <v>377</v>
      </c>
    </row>
    <row r="12957" spans="1:44">
      <c r="A12957" s="4" t="s">
        <v>10753</v>
      </c>
      <c r="B12957" s="4">
        <v>239846</v>
      </c>
      <c r="D12957" s="5" t="s">
        <v>15677</v>
      </c>
      <c r="E12957" s="6" t="str">
        <f>HYPERLINK("https://inpn.mnhn.fr/espece/cd_nom/239846","Lasioglossum laticeps (Schenck, 1869)")</f>
        <v>Lasioglossum laticeps (Schenck, 1869)</v>
      </c>
      <c r="P12957" s="7" t="str">
        <f>HYPERLINK("#Liste_rouge!A"&amp;_xlfn.XMATCH("LC",Liste_rouge!A:A,2,1),"LC")</f>
        <v>LC</v>
      </c>
      <c r="AH12957" s="4" t="str">
        <f>HYPERLINK("#Statut_biogéographique!A"&amp;_xlfn.XMATCH("P",Statut_biogéographique!A:A,2,1),"P")</f>
        <v>P</v>
      </c>
      <c r="AP12957" s="4" t="s">
        <v>376</v>
      </c>
      <c r="AR12957" s="4" t="s">
        <v>377</v>
      </c>
    </row>
    <row r="12958" spans="1:44">
      <c r="A12958" s="4" t="s">
        <v>10753</v>
      </c>
      <c r="B12958" s="4">
        <v>239847</v>
      </c>
      <c r="D12958" s="5" t="s">
        <v>15678</v>
      </c>
      <c r="E12958" s="6" t="str">
        <f>HYPERLINK("https://inpn.mnhn.fr/espece/cd_nom/239847","Lasioglossum lativentre (Schenck, 1853)")</f>
        <v>Lasioglossum lativentre (Schenck, 1853)</v>
      </c>
      <c r="P12958" s="7" t="str">
        <f>HYPERLINK("#Liste_rouge!A"&amp;_xlfn.XMATCH("LC",Liste_rouge!A:A,2,1),"LC")</f>
        <v>LC</v>
      </c>
      <c r="AH12958" s="4" t="str">
        <f>HYPERLINK("#Statut_biogéographique!A"&amp;_xlfn.XMATCH("P",Statut_biogéographique!A:A,2,1),"P")</f>
        <v>P</v>
      </c>
      <c r="AP12958" s="4" t="s">
        <v>376</v>
      </c>
      <c r="AR12958" s="4" t="s">
        <v>377</v>
      </c>
    </row>
    <row r="12959" spans="1:44">
      <c r="A12959" s="4" t="s">
        <v>10753</v>
      </c>
      <c r="B12959" s="4">
        <v>239848</v>
      </c>
      <c r="D12959" s="5" t="s">
        <v>15679</v>
      </c>
      <c r="E12959" s="6" t="str">
        <f>HYPERLINK("https://inpn.mnhn.fr/espece/cd_nom/239848","Lasioglossum leucopus (Kirby, 1802)")</f>
        <v>Lasioglossum leucopus (Kirby, 1802)</v>
      </c>
      <c r="P12959" s="7" t="str">
        <f>HYPERLINK("#Liste_rouge!A"&amp;_xlfn.XMATCH("LC",Liste_rouge!A:A,2,1),"LC")</f>
        <v>LC</v>
      </c>
      <c r="AH12959" s="4" t="str">
        <f>HYPERLINK("#Statut_biogéographique!A"&amp;_xlfn.XMATCH("P",Statut_biogéographique!A:A,2,1),"P")</f>
        <v>P</v>
      </c>
      <c r="AP12959" s="4" t="s">
        <v>376</v>
      </c>
      <c r="AR12959" s="4" t="s">
        <v>377</v>
      </c>
    </row>
    <row r="12960" spans="1:44">
      <c r="A12960" s="4" t="s">
        <v>10753</v>
      </c>
      <c r="B12960" s="4">
        <v>239849</v>
      </c>
      <c r="D12960" s="5" t="s">
        <v>15680</v>
      </c>
      <c r="E12960" s="6" t="str">
        <f>HYPERLINK("https://inpn.mnhn.fr/espece/cd_nom/239849","Lasioglossum leucozonium (Schrank, 1781)")</f>
        <v>Lasioglossum leucozonium (Schrank, 1781)</v>
      </c>
      <c r="P12960" s="7" t="str">
        <f>HYPERLINK("#Liste_rouge!A"&amp;_xlfn.XMATCH("LC",Liste_rouge!A:A,2,1),"LC")</f>
        <v>LC</v>
      </c>
      <c r="AH12960" s="4" t="str">
        <f>HYPERLINK("#Statut_biogéographique!A"&amp;_xlfn.XMATCH("P",Statut_biogéographique!A:A,2,1),"P")</f>
        <v>P</v>
      </c>
      <c r="AP12960" s="4" t="s">
        <v>376</v>
      </c>
      <c r="AR12960" s="4" t="s">
        <v>377</v>
      </c>
    </row>
    <row r="12961" spans="1:44">
      <c r="A12961" s="4" t="s">
        <v>10753</v>
      </c>
      <c r="B12961" s="4">
        <v>239850</v>
      </c>
      <c r="D12961" s="5" t="s">
        <v>15681</v>
      </c>
      <c r="E12961" s="6" t="str">
        <f>HYPERLINK("https://inpn.mnhn.fr/espece/cd_nom/239850","Lasioglossum limbellum (Morawitz, 1876)")</f>
        <v>Lasioglossum limbellum (Morawitz, 1876)</v>
      </c>
      <c r="P12961" s="7" t="str">
        <f>HYPERLINK("#Liste_rouge!A"&amp;_xlfn.XMATCH("DD",Liste_rouge!A:A,2,1),"DD")</f>
        <v>DD</v>
      </c>
      <c r="AH12961" s="4" t="str">
        <f>HYPERLINK("#Statut_biogéographique!A"&amp;_xlfn.XMATCH("P",Statut_biogéographique!A:A,2,1),"P")</f>
        <v>P</v>
      </c>
      <c r="AP12961" s="4" t="s">
        <v>376</v>
      </c>
      <c r="AR12961" s="4" t="s">
        <v>377</v>
      </c>
    </row>
    <row r="12962" spans="1:44">
      <c r="A12962" s="4" t="s">
        <v>10753</v>
      </c>
      <c r="B12962" s="4">
        <v>239851</v>
      </c>
      <c r="D12962" s="5" t="s">
        <v>15682</v>
      </c>
      <c r="E12962" s="6" t="str">
        <f>HYPERLINK("https://inpn.mnhn.fr/espece/cd_nom/239851","Lasioglossum lineare (Schenck, 1869)")</f>
        <v>Lasioglossum lineare (Schenck, 1869)</v>
      </c>
      <c r="P12962" s="7" t="str">
        <f>HYPERLINK("#Liste_rouge!A"&amp;_xlfn.XMATCH("DD",Liste_rouge!A:A,2,1),"DD")</f>
        <v>DD</v>
      </c>
      <c r="AH12962" s="4" t="str">
        <f>HYPERLINK("#Statut_biogéographique!A"&amp;_xlfn.XMATCH("P",Statut_biogéographique!A:A,2,1),"P")</f>
        <v>P</v>
      </c>
      <c r="AP12962" s="4" t="s">
        <v>376</v>
      </c>
      <c r="AR12962" s="4" t="s">
        <v>377</v>
      </c>
    </row>
    <row r="12963" spans="1:44">
      <c r="A12963" s="4" t="s">
        <v>10753</v>
      </c>
      <c r="B12963" s="4">
        <v>239853</v>
      </c>
      <c r="D12963" s="5" t="s">
        <v>15683</v>
      </c>
      <c r="E12963" s="6" t="str">
        <f>HYPERLINK("https://inpn.mnhn.fr/espece/cd_nom/239853","Lasioglossum lucidulum (Schenck, 1861)")</f>
        <v>Lasioglossum lucidulum (Schenck, 1861)</v>
      </c>
      <c r="P12963" s="7" t="str">
        <f>HYPERLINK("#Liste_rouge!A"&amp;_xlfn.XMATCH("LC",Liste_rouge!A:A,2,1),"LC")</f>
        <v>LC</v>
      </c>
      <c r="AH12963" s="4" t="str">
        <f>HYPERLINK("#Statut_biogéographique!A"&amp;_xlfn.XMATCH("P",Statut_biogéographique!A:A,2,1),"P")</f>
        <v>P</v>
      </c>
      <c r="AP12963" s="4" t="s">
        <v>376</v>
      </c>
      <c r="AR12963" s="4" t="s">
        <v>377</v>
      </c>
    </row>
    <row r="12964" spans="1:44">
      <c r="A12964" s="4" t="s">
        <v>10753</v>
      </c>
      <c r="B12964" s="4">
        <v>239854</v>
      </c>
      <c r="D12964" s="5" t="s">
        <v>15684</v>
      </c>
      <c r="E12964" s="6" t="str">
        <f>HYPERLINK("https://inpn.mnhn.fr/espece/cd_nom/239854","Lasioglossum majus (Nylander, 1852)")</f>
        <v>Lasioglossum majus (Nylander, 1852)</v>
      </c>
      <c r="P12964" s="7" t="str">
        <f>HYPERLINK("#Liste_rouge!A"&amp;_xlfn.XMATCH("NT",Liste_rouge!A:A,2,1),"NT")</f>
        <v>NT</v>
      </c>
      <c r="AH12964" s="4" t="str">
        <f>HYPERLINK("#Statut_biogéographique!A"&amp;_xlfn.XMATCH("P",Statut_biogéographique!A:A,2,1),"P")</f>
        <v>P</v>
      </c>
      <c r="AP12964" s="4" t="s">
        <v>376</v>
      </c>
      <c r="AR12964" s="4" t="s">
        <v>377</v>
      </c>
    </row>
    <row r="12965" spans="1:44">
      <c r="A12965" s="4" t="s">
        <v>10753</v>
      </c>
      <c r="B12965" s="4">
        <v>239855</v>
      </c>
      <c r="D12965" s="5" t="s">
        <v>15685</v>
      </c>
      <c r="E12965" s="6" t="str">
        <f>HYPERLINK("https://inpn.mnhn.fr/espece/cd_nom/239855","Lasioglossum malachurum (Kirby, 1802)")</f>
        <v>Lasioglossum malachurum (Kirby, 1802)</v>
      </c>
      <c r="P12965" s="7" t="str">
        <f>HYPERLINK("#Liste_rouge!A"&amp;_xlfn.XMATCH("LC",Liste_rouge!A:A,2,1),"LC")</f>
        <v>LC</v>
      </c>
      <c r="AH12965" s="4" t="str">
        <f>HYPERLINK("#Statut_biogéographique!A"&amp;_xlfn.XMATCH("P",Statut_biogéographique!A:A,2,1),"P")</f>
        <v>P</v>
      </c>
      <c r="AP12965" s="4" t="s">
        <v>376</v>
      </c>
      <c r="AR12965" s="4" t="s">
        <v>377</v>
      </c>
    </row>
    <row r="12966" spans="1:44">
      <c r="A12966" s="4" t="s">
        <v>10753</v>
      </c>
      <c r="B12966" s="4">
        <v>239857</v>
      </c>
      <c r="D12966" s="5" t="s">
        <v>15686</v>
      </c>
      <c r="E12966" s="6" t="str">
        <f>HYPERLINK("https://inpn.mnhn.fr/espece/cd_nom/239857","Lasioglossum marginatum (Brullé, 1832)")</f>
        <v>Lasioglossum marginatum (Brullé, 1832)</v>
      </c>
      <c r="P12966" s="7" t="str">
        <f>HYPERLINK("#Liste_rouge!A"&amp;_xlfn.XMATCH("LC",Liste_rouge!A:A,2,1),"LC")</f>
        <v>LC</v>
      </c>
      <c r="AH12966" s="4" t="str">
        <f>HYPERLINK("#Statut_biogéographique!A"&amp;_xlfn.XMATCH("P",Statut_biogéographique!A:A,2,1),"P")</f>
        <v>P</v>
      </c>
      <c r="AP12966" s="4" t="s">
        <v>376</v>
      </c>
      <c r="AR12966" s="4" t="s">
        <v>377</v>
      </c>
    </row>
    <row r="12967" spans="1:44">
      <c r="A12967" s="4" t="s">
        <v>10753</v>
      </c>
      <c r="B12967" s="4">
        <v>239862</v>
      </c>
      <c r="D12967" s="5" t="s">
        <v>15687</v>
      </c>
      <c r="E12967" s="6" t="str">
        <f>HYPERLINK("https://inpn.mnhn.fr/espece/cd_nom/239862","Lasioglossum minutissimum (Kirby, 1802)")</f>
        <v>Lasioglossum minutissimum (Kirby, 1802)</v>
      </c>
      <c r="P12967" s="7" t="str">
        <f>HYPERLINK("#Liste_rouge!A"&amp;_xlfn.XMATCH("LC",Liste_rouge!A:A,2,1),"LC")</f>
        <v>LC</v>
      </c>
      <c r="AH12967" s="4" t="str">
        <f>HYPERLINK("#Statut_biogéographique!A"&amp;_xlfn.XMATCH("P",Statut_biogéographique!A:A,2,1),"P")</f>
        <v>P</v>
      </c>
      <c r="AP12967" s="4" t="s">
        <v>376</v>
      </c>
      <c r="AR12967" s="4" t="s">
        <v>377</v>
      </c>
    </row>
    <row r="12968" spans="1:44">
      <c r="A12968" s="4" t="s">
        <v>10753</v>
      </c>
      <c r="B12968" s="4">
        <v>239863</v>
      </c>
      <c r="D12968" s="5" t="s">
        <v>15688</v>
      </c>
      <c r="E12968" s="6" t="str">
        <f>HYPERLINK("https://inpn.mnhn.fr/espece/cd_nom/239863","Lasioglossum minutulum (Schenck, 1853)")</f>
        <v>Lasioglossum minutulum (Schenck, 1853)</v>
      </c>
      <c r="O12968" s="7" t="str">
        <f>HYPERLINK("#Liste_rouge!A"&amp;_xlfn.XMATCH("NT",Liste_rouge!A:A,2,1),"NT")</f>
        <v>NT</v>
      </c>
      <c r="P12968" s="7" t="str">
        <f>HYPERLINK("#Liste_rouge!A"&amp;_xlfn.XMATCH("NT",Liste_rouge!A:A,2,1),"NT")</f>
        <v>NT</v>
      </c>
      <c r="AH12968" s="4" t="str">
        <f>HYPERLINK("#Statut_biogéographique!A"&amp;_xlfn.XMATCH("P",Statut_biogéographique!A:A,2,1),"P")</f>
        <v>P</v>
      </c>
      <c r="AP12968" s="4" t="s">
        <v>376</v>
      </c>
      <c r="AR12968" s="4" t="s">
        <v>377</v>
      </c>
    </row>
    <row r="12969" spans="1:44">
      <c r="A12969" s="4" t="s">
        <v>10753</v>
      </c>
      <c r="B12969" s="4">
        <v>239864</v>
      </c>
      <c r="D12969" s="5" t="s">
        <v>15689</v>
      </c>
      <c r="E12969" s="6" t="str">
        <f>HYPERLINK("https://inpn.mnhn.fr/espece/cd_nom/239864","Lasioglossum morio (Fabricius, 1793)")</f>
        <v>Lasioglossum morio (Fabricius, 1793)</v>
      </c>
      <c r="P12969" s="7" t="str">
        <f>HYPERLINK("#Liste_rouge!A"&amp;_xlfn.XMATCH("LC",Liste_rouge!A:A,2,1),"LC")</f>
        <v>LC</v>
      </c>
      <c r="AH12969" s="4" t="str">
        <f>HYPERLINK("#Statut_biogéographique!A"&amp;_xlfn.XMATCH("P",Statut_biogéographique!A:A,2,1),"P")</f>
        <v>P</v>
      </c>
      <c r="AP12969" s="4" t="s">
        <v>376</v>
      </c>
      <c r="AR12969" s="4" t="s">
        <v>377</v>
      </c>
    </row>
    <row r="12970" spans="1:44">
      <c r="A12970" s="4" t="s">
        <v>10753</v>
      </c>
      <c r="B12970" s="4">
        <v>239865</v>
      </c>
      <c r="D12970" s="5" t="s">
        <v>15690</v>
      </c>
      <c r="E12970" s="6" t="str">
        <f>HYPERLINK("https://inpn.mnhn.fr/espece/cd_nom/239865","Lasioglossum nigripes (Lepeletier, 1841)")</f>
        <v>Lasioglossum nigripes (Lepeletier, 1841)</v>
      </c>
      <c r="P12970" s="7" t="str">
        <f>HYPERLINK("#Liste_rouge!A"&amp;_xlfn.XMATCH("LC",Liste_rouge!A:A,2,1),"LC")</f>
        <v>LC</v>
      </c>
      <c r="AH12970" s="4" t="str">
        <f>HYPERLINK("#Statut_biogéographique!A"&amp;_xlfn.XMATCH("P",Statut_biogéographique!A:A,2,1),"P")</f>
        <v>P</v>
      </c>
      <c r="AP12970" s="4" t="s">
        <v>376</v>
      </c>
      <c r="AR12970" s="4" t="s">
        <v>377</v>
      </c>
    </row>
    <row r="12971" spans="1:44">
      <c r="A12971" s="4" t="s">
        <v>10753</v>
      </c>
      <c r="B12971" s="4">
        <v>239866</v>
      </c>
      <c r="D12971" s="5" t="s">
        <v>15691</v>
      </c>
      <c r="E12971" s="6" t="str">
        <f>HYPERLINK("https://inpn.mnhn.fr/espece/cd_nom/239866","Lasioglossum nitidiusculum (Kirby, 1802)")</f>
        <v>Lasioglossum nitidiusculum (Kirby, 1802)</v>
      </c>
      <c r="P12971" s="7" t="str">
        <f>HYPERLINK("#Liste_rouge!A"&amp;_xlfn.XMATCH("LC",Liste_rouge!A:A,2,1),"LC")</f>
        <v>LC</v>
      </c>
      <c r="AH12971" s="4" t="str">
        <f>HYPERLINK("#Statut_biogéographique!A"&amp;_xlfn.XMATCH("P",Statut_biogéographique!A:A,2,1),"P")</f>
        <v>P</v>
      </c>
      <c r="AP12971" s="4" t="s">
        <v>376</v>
      </c>
      <c r="AR12971" s="4" t="s">
        <v>377</v>
      </c>
    </row>
    <row r="12972" spans="1:44">
      <c r="A12972" s="4" t="s">
        <v>10753</v>
      </c>
      <c r="B12972" s="4">
        <v>239867</v>
      </c>
      <c r="D12972" s="5" t="s">
        <v>15692</v>
      </c>
      <c r="E12972" s="6" t="str">
        <f>HYPERLINK("https://inpn.mnhn.fr/espece/cd_nom/239867","Lasioglossum nitidulum (Fabricius, 1804)")</f>
        <v>Lasioglossum nitidulum (Fabricius, 1804)</v>
      </c>
      <c r="P12972" s="7" t="str">
        <f>HYPERLINK("#Liste_rouge!A"&amp;_xlfn.XMATCH("LC",Liste_rouge!A:A,2,1),"LC")</f>
        <v>LC</v>
      </c>
      <c r="AH12972" s="4" t="str">
        <f>HYPERLINK("#Statut_biogéographique!A"&amp;_xlfn.XMATCH("P",Statut_biogéographique!A:A,2,1),"P")</f>
        <v>P</v>
      </c>
      <c r="AP12972" s="4" t="s">
        <v>376</v>
      </c>
      <c r="AR12972" s="4" t="s">
        <v>377</v>
      </c>
    </row>
    <row r="12973" spans="1:44">
      <c r="A12973" s="4" t="s">
        <v>10753</v>
      </c>
      <c r="B12973" s="4">
        <v>239868</v>
      </c>
      <c r="D12973" s="5" t="s">
        <v>15693</v>
      </c>
      <c r="E12973" s="6" t="str">
        <f>HYPERLINK("https://inpn.mnhn.fr/espece/cd_nom/239868","Lasioglossum pallens (Brullé, 1832)")</f>
        <v>Lasioglossum pallens (Brullé, 1832)</v>
      </c>
      <c r="P12973" s="7" t="str">
        <f>HYPERLINK("#Liste_rouge!A"&amp;_xlfn.XMATCH("LC",Liste_rouge!A:A,2,1),"LC")</f>
        <v>LC</v>
      </c>
      <c r="AH12973" s="4" t="str">
        <f>HYPERLINK("#Statut_biogéographique!A"&amp;_xlfn.XMATCH("P",Statut_biogéographique!A:A,2,1),"P")</f>
        <v>P</v>
      </c>
      <c r="AP12973" s="4" t="s">
        <v>376</v>
      </c>
      <c r="AR12973" s="4" t="s">
        <v>377</v>
      </c>
    </row>
    <row r="12974" spans="1:44">
      <c r="A12974" s="4" t="s">
        <v>10753</v>
      </c>
      <c r="B12974" s="4">
        <v>239869</v>
      </c>
      <c r="D12974" s="5" t="s">
        <v>15694</v>
      </c>
      <c r="E12974" s="6" t="str">
        <f>HYPERLINK("https://inpn.mnhn.fr/espece/cd_nom/239869","Lasioglossum parvulum (Schenck, 1853)")</f>
        <v>Lasioglossum parvulum (Schenck, 1853)</v>
      </c>
      <c r="P12974" s="7" t="str">
        <f>HYPERLINK("#Liste_rouge!A"&amp;_xlfn.XMATCH("LC",Liste_rouge!A:A,2,1),"LC")</f>
        <v>LC</v>
      </c>
      <c r="AH12974" s="4" t="str">
        <f>HYPERLINK("#Statut_biogéographique!A"&amp;_xlfn.XMATCH("P",Statut_biogéographique!A:A,2,1),"P")</f>
        <v>P</v>
      </c>
      <c r="AP12974" s="4" t="s">
        <v>376</v>
      </c>
      <c r="AR12974" s="4" t="s">
        <v>377</v>
      </c>
    </row>
    <row r="12975" spans="1:44">
      <c r="A12975" s="4" t="s">
        <v>10753</v>
      </c>
      <c r="B12975" s="4">
        <v>239870</v>
      </c>
      <c r="D12975" s="5" t="s">
        <v>15695</v>
      </c>
      <c r="E12975" s="6" t="str">
        <f>HYPERLINK("https://inpn.mnhn.fr/espece/cd_nom/239870","Lasioglossum pauperatum (Brullé, 1832)")</f>
        <v>Lasioglossum pauperatum (Brullé, 1832)</v>
      </c>
      <c r="P12975" s="7" t="str">
        <f>HYPERLINK("#Liste_rouge!A"&amp;_xlfn.XMATCH("LC",Liste_rouge!A:A,2,1),"LC")</f>
        <v>LC</v>
      </c>
      <c r="AH12975" s="4" t="str">
        <f>HYPERLINK("#Statut_biogéographique!A"&amp;_xlfn.XMATCH("P",Statut_biogéographique!A:A,2,1),"P")</f>
        <v>P</v>
      </c>
      <c r="AP12975" s="4" t="s">
        <v>376</v>
      </c>
      <c r="AR12975" s="4" t="s">
        <v>377</v>
      </c>
    </row>
    <row r="12976" spans="1:44">
      <c r="A12976" s="4" t="s">
        <v>10753</v>
      </c>
      <c r="B12976" s="4">
        <v>239871</v>
      </c>
      <c r="D12976" s="5" t="s">
        <v>15696</v>
      </c>
      <c r="E12976" s="6" t="str">
        <f>HYPERLINK("https://inpn.mnhn.fr/espece/cd_nom/239871","Lasioglossum pauxillum (Schenck, 1853)")</f>
        <v>Lasioglossum pauxillum (Schenck, 1853)</v>
      </c>
      <c r="P12976" s="7" t="str">
        <f>HYPERLINK("#Liste_rouge!A"&amp;_xlfn.XMATCH("LC",Liste_rouge!A:A,2,1),"LC")</f>
        <v>LC</v>
      </c>
      <c r="AH12976" s="4" t="str">
        <f>HYPERLINK("#Statut_biogéographique!A"&amp;_xlfn.XMATCH("P",Statut_biogéographique!A:A,2,1),"P")</f>
        <v>P</v>
      </c>
      <c r="AP12976" s="4" t="s">
        <v>376</v>
      </c>
      <c r="AR12976" s="4" t="s">
        <v>377</v>
      </c>
    </row>
    <row r="12977" spans="1:44">
      <c r="A12977" s="4" t="s">
        <v>10753</v>
      </c>
      <c r="B12977" s="4">
        <v>239875</v>
      </c>
      <c r="D12977" s="5" t="s">
        <v>15697</v>
      </c>
      <c r="E12977" s="6" t="str">
        <f>HYPERLINK("https://inpn.mnhn.fr/espece/cd_nom/239875","Lasioglossum politum (Schenck, 1853)")</f>
        <v>Lasioglossum politum (Schenck, 1853)</v>
      </c>
      <c r="P12977" s="7" t="str">
        <f>HYPERLINK("#Liste_rouge!A"&amp;_xlfn.XMATCH("LC",Liste_rouge!A:A,2,1),"LC")</f>
        <v>LC</v>
      </c>
      <c r="AH12977" s="4" t="str">
        <f>HYPERLINK("#Statut_biogéographique!A"&amp;_xlfn.XMATCH("P",Statut_biogéographique!A:A,2,1),"P")</f>
        <v>P</v>
      </c>
      <c r="AP12977" s="4" t="s">
        <v>376</v>
      </c>
      <c r="AR12977" s="4" t="s">
        <v>377</v>
      </c>
    </row>
    <row r="12978" spans="1:44" ht="30">
      <c r="A12978" s="4" t="s">
        <v>10753</v>
      </c>
      <c r="B12978" s="4">
        <v>239878</v>
      </c>
      <c r="D12978" s="5" t="s">
        <v>15698</v>
      </c>
      <c r="E12978" s="6" t="str">
        <f>HYPERLINK("https://inpn.mnhn.fr/espece/cd_nom/239878","Lasioglossum punctatissimum (Schenck, 1853)")</f>
        <v>Lasioglossum punctatissimum (Schenck, 1853)</v>
      </c>
      <c r="P12978" s="7" t="str">
        <f>HYPERLINK("#Liste_rouge!A"&amp;_xlfn.XMATCH("LC",Liste_rouge!A:A,2,1),"LC")</f>
        <v>LC</v>
      </c>
      <c r="AH12978" s="4" t="str">
        <f>HYPERLINK("#Statut_biogéographique!A"&amp;_xlfn.XMATCH("P",Statut_biogéographique!A:A,2,1),"P")</f>
        <v>P</v>
      </c>
      <c r="AP12978" s="4" t="s">
        <v>376</v>
      </c>
      <c r="AR12978" s="4" t="s">
        <v>377</v>
      </c>
    </row>
    <row r="12979" spans="1:44">
      <c r="A12979" s="4" t="s">
        <v>10753</v>
      </c>
      <c r="B12979" s="4">
        <v>23988</v>
      </c>
      <c r="D12979" s="5" t="s">
        <v>15699</v>
      </c>
      <c r="E12979" s="6" t="str">
        <f>HYPERLINK("https://inpn.mnhn.fr/espece/cd_nom/23988","Physocephala rufipes (Fabricius, 1781)")</f>
        <v>Physocephala rufipes (Fabricius, 1781)</v>
      </c>
      <c r="AH12979" s="4" t="str">
        <f>HYPERLINK("#Statut_biogéographique!A"&amp;_xlfn.XMATCH("P",Statut_biogéographique!A:A,2,1),"P")</f>
        <v>P</v>
      </c>
      <c r="AP12979" s="4" t="s">
        <v>376</v>
      </c>
      <c r="AR12979" s="4" t="s">
        <v>377</v>
      </c>
    </row>
    <row r="12980" spans="1:44">
      <c r="A12980" s="4" t="s">
        <v>10753</v>
      </c>
      <c r="B12980" s="4">
        <v>239884</v>
      </c>
      <c r="D12980" s="5" t="s">
        <v>15700</v>
      </c>
      <c r="E12980" s="6" t="str">
        <f>HYPERLINK("https://inpn.mnhn.fr/espece/cd_nom/239884","Lasioglossum rufitarse (Zetterstedt, 1838)")</f>
        <v>Lasioglossum rufitarse (Zetterstedt, 1838)</v>
      </c>
      <c r="P12980" s="7" t="str">
        <f>HYPERLINK("#Liste_rouge!A"&amp;_xlfn.XMATCH("LC",Liste_rouge!A:A,2,1),"LC")</f>
        <v>LC</v>
      </c>
      <c r="AH12980" s="4" t="str">
        <f>HYPERLINK("#Statut_biogéographique!A"&amp;_xlfn.XMATCH("P",Statut_biogéographique!A:A,2,1),"P")</f>
        <v>P</v>
      </c>
      <c r="AP12980" s="4" t="s">
        <v>376</v>
      </c>
      <c r="AR12980" s="4" t="s">
        <v>377</v>
      </c>
    </row>
    <row r="12981" spans="1:44">
      <c r="A12981" s="4" t="s">
        <v>10753</v>
      </c>
      <c r="B12981" s="4">
        <v>239885</v>
      </c>
      <c r="D12981" s="5" t="s">
        <v>15701</v>
      </c>
      <c r="E12981" s="6" t="str">
        <f>HYPERLINK("https://inpn.mnhn.fr/espece/cd_nom/239885","Lasioglossum semilucens (Alfken, 1914)")</f>
        <v>Lasioglossum semilucens (Alfken, 1914)</v>
      </c>
      <c r="P12981" s="7" t="str">
        <f>HYPERLINK("#Liste_rouge!A"&amp;_xlfn.XMATCH("LC",Liste_rouge!A:A,2,1),"LC")</f>
        <v>LC</v>
      </c>
      <c r="AH12981" s="4" t="str">
        <f>HYPERLINK("#Statut_biogéographique!A"&amp;_xlfn.XMATCH("P",Statut_biogéographique!A:A,2,1),"P")</f>
        <v>P</v>
      </c>
      <c r="AP12981" s="4" t="s">
        <v>376</v>
      </c>
      <c r="AR12981" s="4" t="s">
        <v>377</v>
      </c>
    </row>
    <row r="12982" spans="1:44">
      <c r="A12982" s="4" t="s">
        <v>10753</v>
      </c>
      <c r="B12982" s="4">
        <v>239894</v>
      </c>
      <c r="D12982" s="5">
        <v>239894</v>
      </c>
      <c r="E12982" s="6" t="str">
        <f>HYPERLINK("https://inpn.mnhn.fr/espece/cd_nom/239894","Lasioglossum subfulvicorne (Blüthgen, 1934)")</f>
        <v>Lasioglossum subfulvicorne (Blüthgen, 1934)</v>
      </c>
      <c r="P12982" s="7" t="str">
        <f>HYPERLINK("#Liste_rouge!A"&amp;_xlfn.XMATCH("LC",Liste_rouge!A:A,2,1),"LC")</f>
        <v>LC</v>
      </c>
      <c r="AH12982" s="4" t="str">
        <f>HYPERLINK("#Statut_biogéographique!A"&amp;_xlfn.XMATCH("P",Statut_biogéographique!A:A,2,1),"P")</f>
        <v>P</v>
      </c>
      <c r="AP12982" s="4" t="s">
        <v>376</v>
      </c>
      <c r="AR12982" s="4" t="s">
        <v>377</v>
      </c>
    </row>
    <row r="12983" spans="1:44">
      <c r="A12983" s="4" t="s">
        <v>10753</v>
      </c>
      <c r="B12983" s="4">
        <v>239895</v>
      </c>
      <c r="D12983" s="5" t="s">
        <v>15702</v>
      </c>
      <c r="E12983" s="6" t="str">
        <f>HYPERLINK("https://inpn.mnhn.fr/espece/cd_nom/239895","Lasioglossum subhirtum (Lepeletier, 1841)")</f>
        <v>Lasioglossum subhirtum (Lepeletier, 1841)</v>
      </c>
      <c r="P12983" s="7" t="str">
        <f>HYPERLINK("#Liste_rouge!A"&amp;_xlfn.XMATCH("LC",Liste_rouge!A:A,2,1),"LC")</f>
        <v>LC</v>
      </c>
      <c r="AH12983" s="4" t="str">
        <f>HYPERLINK("#Statut_biogéographique!A"&amp;_xlfn.XMATCH("P",Statut_biogéographique!A:A,2,1),"P")</f>
        <v>P</v>
      </c>
      <c r="AP12983" s="4" t="s">
        <v>376</v>
      </c>
      <c r="AR12983" s="4" t="s">
        <v>377</v>
      </c>
    </row>
    <row r="12984" spans="1:44">
      <c r="A12984" s="4" t="s">
        <v>10753</v>
      </c>
      <c r="B12984" s="4">
        <v>239898</v>
      </c>
      <c r="D12984" s="5" t="s">
        <v>15703</v>
      </c>
      <c r="E12984" s="6" t="str">
        <f>HYPERLINK("https://inpn.mnhn.fr/espece/cd_nom/239898","Lasioglossum tricinctum (Schenck, 1874)")</f>
        <v>Lasioglossum tricinctum (Schenck, 1874)</v>
      </c>
      <c r="P12984" s="7" t="str">
        <f>HYPERLINK("#Liste_rouge!A"&amp;_xlfn.XMATCH("DD",Liste_rouge!A:A,2,1),"DD")</f>
        <v>DD</v>
      </c>
      <c r="AH12984" s="4" t="str">
        <f>HYPERLINK("#Statut_biogéographique!A"&amp;_xlfn.XMATCH("P",Statut_biogéographique!A:A,2,1),"P")</f>
        <v>P</v>
      </c>
      <c r="AP12984" s="4" t="s">
        <v>376</v>
      </c>
      <c r="AR12984" s="4" t="s">
        <v>377</v>
      </c>
    </row>
    <row r="12985" spans="1:44">
      <c r="A12985" s="4" t="s">
        <v>10753</v>
      </c>
      <c r="B12985" s="4">
        <v>23990</v>
      </c>
      <c r="D12985" s="5" t="s">
        <v>15704</v>
      </c>
      <c r="E12985" s="6" t="str">
        <f>HYPERLINK("https://inpn.mnhn.fr/espece/cd_nom/23990","Physocephala vittata (Fabricius, 1794)")</f>
        <v>Physocephala vittata (Fabricius, 1794)</v>
      </c>
      <c r="AH12985" s="4" t="str">
        <f>HYPERLINK("#Statut_biogéographique!A"&amp;_xlfn.XMATCH("P",Statut_biogéographique!A:A,2,1),"P")</f>
        <v>P</v>
      </c>
      <c r="AP12985" s="4" t="s">
        <v>376</v>
      </c>
      <c r="AR12985" s="4" t="s">
        <v>377</v>
      </c>
    </row>
    <row r="12986" spans="1:44">
      <c r="A12986" s="4" t="s">
        <v>10753</v>
      </c>
      <c r="B12986" s="4">
        <v>239900</v>
      </c>
      <c r="D12986" s="5" t="s">
        <v>15705</v>
      </c>
      <c r="E12986" s="6" t="str">
        <f>HYPERLINK("https://inpn.mnhn.fr/espece/cd_nom/239900","Lasioglossum villosulum (Kirby, 1802)")</f>
        <v>Lasioglossum villosulum (Kirby, 1802)</v>
      </c>
      <c r="P12986" s="7" t="str">
        <f>HYPERLINK("#Liste_rouge!A"&amp;_xlfn.XMATCH("LC",Liste_rouge!A:A,2,1),"LC")</f>
        <v>LC</v>
      </c>
      <c r="AH12986" s="4" t="str">
        <f>HYPERLINK("#Statut_biogéographique!A"&amp;_xlfn.XMATCH("P",Statut_biogéographique!A:A,2,1),"P")</f>
        <v>P</v>
      </c>
      <c r="AP12986" s="4" t="s">
        <v>376</v>
      </c>
      <c r="AR12986" s="4" t="s">
        <v>377</v>
      </c>
    </row>
    <row r="12987" spans="1:44">
      <c r="A12987" s="4" t="s">
        <v>10753</v>
      </c>
      <c r="B12987" s="4">
        <v>239904</v>
      </c>
      <c r="D12987" s="5">
        <v>239904</v>
      </c>
      <c r="E12987" s="6" t="str">
        <f>HYPERLINK("https://inpn.mnhn.fr/espece/cd_nom/239904","Macropis europaea Warncke, 1973")</f>
        <v>Macropis europaea Warncke, 1973</v>
      </c>
      <c r="O12987" s="7" t="str">
        <f>HYPERLINK("#Liste_rouge!A"&amp;_xlfn.XMATCH("LC",Liste_rouge!A:A,2,1),"LC")</f>
        <v>LC</v>
      </c>
      <c r="P12987" s="7" t="str">
        <f>HYPERLINK("#Liste_rouge!A"&amp;_xlfn.XMATCH("LC",Liste_rouge!A:A,2,1),"LC")</f>
        <v>LC</v>
      </c>
      <c r="AH12987" s="4" t="str">
        <f>HYPERLINK("#Statut_biogéographique!A"&amp;_xlfn.XMATCH("P",Statut_biogéographique!A:A,2,1),"P")</f>
        <v>P</v>
      </c>
      <c r="AP12987" s="4" t="s">
        <v>376</v>
      </c>
      <c r="AR12987" s="4" t="s">
        <v>377</v>
      </c>
    </row>
    <row r="12988" spans="1:44">
      <c r="A12988" s="4" t="s">
        <v>10753</v>
      </c>
      <c r="B12988" s="4">
        <v>239905</v>
      </c>
      <c r="D12988" s="5" t="s">
        <v>15706</v>
      </c>
      <c r="E12988" s="6" t="str">
        <f>HYPERLINK("https://inpn.mnhn.fr/espece/cd_nom/239905","Macropis fulvipes (Fabricius, 1804)")</f>
        <v>Macropis fulvipes (Fabricius, 1804)</v>
      </c>
      <c r="P12988" s="7" t="str">
        <f>HYPERLINK("#Liste_rouge!A"&amp;_xlfn.XMATCH("LC",Liste_rouge!A:A,2,1),"LC")</f>
        <v>LC</v>
      </c>
      <c r="AH12988" s="4" t="str">
        <f>HYPERLINK("#Statut_biogéographique!A"&amp;_xlfn.XMATCH("P",Statut_biogéographique!A:A,2,1),"P")</f>
        <v>P</v>
      </c>
      <c r="AP12988" s="4" t="s">
        <v>376</v>
      </c>
      <c r="AR12988" s="4" t="s">
        <v>377</v>
      </c>
    </row>
    <row r="12989" spans="1:44">
      <c r="A12989" s="4" t="s">
        <v>10753</v>
      </c>
      <c r="B12989" s="4">
        <v>239906</v>
      </c>
      <c r="D12989" s="5">
        <v>239906</v>
      </c>
      <c r="E12989" s="6" t="str">
        <f>HYPERLINK("https://inpn.mnhn.fr/espece/cd_nom/239906","Megachile alpicola Alfken, 1924")</f>
        <v>Megachile alpicola Alfken, 1924</v>
      </c>
      <c r="O12989" s="7" t="str">
        <f>HYPERLINK("#Liste_rouge!A"&amp;_xlfn.XMATCH("DD",Liste_rouge!A:A,2,1),"DD")</f>
        <v>DD</v>
      </c>
      <c r="P12989" s="7" t="str">
        <f>HYPERLINK("#Liste_rouge!A"&amp;_xlfn.XMATCH("DD",Liste_rouge!A:A,2,1),"DD")</f>
        <v>DD</v>
      </c>
      <c r="AH12989" s="4" t="str">
        <f>HYPERLINK("#Statut_biogéographique!A"&amp;_xlfn.XMATCH("P",Statut_biogéographique!A:A,2,1),"P")</f>
        <v>P</v>
      </c>
      <c r="AP12989" s="4" t="s">
        <v>376</v>
      </c>
      <c r="AR12989" s="4" t="s">
        <v>377</v>
      </c>
    </row>
    <row r="12990" spans="1:44">
      <c r="A12990" s="4" t="s">
        <v>10753</v>
      </c>
      <c r="B12990" s="4">
        <v>239915</v>
      </c>
      <c r="D12990" s="5">
        <v>239915</v>
      </c>
      <c r="E12990" s="6" t="str">
        <f>HYPERLINK("https://inpn.mnhn.fr/espece/cd_nom/239915","Megachile genalis Morawitz, 1880")</f>
        <v>Megachile genalis Morawitz, 1880</v>
      </c>
      <c r="P12990" s="7" t="str">
        <f>HYPERLINK("#Liste_rouge!A"&amp;_xlfn.XMATCH("DD",Liste_rouge!A:A,2,1),"DD")</f>
        <v>DD</v>
      </c>
      <c r="AH12990" s="4" t="str">
        <f>HYPERLINK("#Statut_biogéographique!A"&amp;_xlfn.XMATCH("P",Statut_biogéographique!A:A,2,1),"P")</f>
        <v>P</v>
      </c>
      <c r="AP12990" s="4" t="s">
        <v>376</v>
      </c>
      <c r="AR12990" s="4" t="s">
        <v>377</v>
      </c>
    </row>
    <row r="12991" spans="1:44">
      <c r="A12991" s="4" t="s">
        <v>10753</v>
      </c>
      <c r="B12991" s="4">
        <v>239918</v>
      </c>
      <c r="D12991" s="5">
        <v>239918</v>
      </c>
      <c r="E12991" s="6" t="str">
        <f>HYPERLINK("https://inpn.mnhn.fr/espece/cd_nom/239918","Megachile lapponica Thomson, 1872")</f>
        <v>Megachile lapponica Thomson, 1872</v>
      </c>
      <c r="P12991" s="7" t="str">
        <f>HYPERLINK("#Liste_rouge!A"&amp;_xlfn.XMATCH("DD",Liste_rouge!A:A,2,1),"DD")</f>
        <v>DD</v>
      </c>
      <c r="AH12991" s="4" t="str">
        <f>HYPERLINK("#Statut_biogéographique!A"&amp;_xlfn.XMATCH("P",Statut_biogéographique!A:A,2,1),"P")</f>
        <v>P</v>
      </c>
      <c r="AP12991" s="4" t="s">
        <v>376</v>
      </c>
      <c r="AR12991" s="4" t="s">
        <v>377</v>
      </c>
    </row>
    <row r="12992" spans="1:44">
      <c r="A12992" s="4" t="s">
        <v>10753</v>
      </c>
      <c r="B12992" s="4">
        <v>23992</v>
      </c>
      <c r="D12992" s="5" t="s">
        <v>15707</v>
      </c>
      <c r="E12992" s="6" t="str">
        <f>HYPERLINK("https://inpn.mnhn.fr/espece/cd_nom/23992","Sicus ferrugineus (Linnaeus, 1761)")</f>
        <v>Sicus ferrugineus (Linnaeus, 1761)</v>
      </c>
      <c r="AH12992" s="4" t="str">
        <f>HYPERLINK("#Statut_biogéographique!A"&amp;_xlfn.XMATCH("P",Statut_biogéographique!A:A,2,1),"P")</f>
        <v>P</v>
      </c>
      <c r="AP12992" s="4" t="s">
        <v>376</v>
      </c>
      <c r="AR12992" s="4" t="s">
        <v>377</v>
      </c>
    </row>
    <row r="12993" spans="1:44">
      <c r="A12993" s="4" t="s">
        <v>10753</v>
      </c>
      <c r="B12993" s="4">
        <v>239921</v>
      </c>
      <c r="D12993" s="5" t="s">
        <v>15708</v>
      </c>
      <c r="E12993" s="6" t="str">
        <f>HYPERLINK("https://inpn.mnhn.fr/espece/cd_nom/239921","Megachile ligniseca (Kirby, 1802)")</f>
        <v>Megachile ligniseca (Kirby, 1802)</v>
      </c>
      <c r="P12993" s="7" t="str">
        <f>HYPERLINK("#Liste_rouge!A"&amp;_xlfn.XMATCH("DD",Liste_rouge!A:A,2,1),"DD")</f>
        <v>DD</v>
      </c>
      <c r="AH12993" s="4" t="str">
        <f>HYPERLINK("#Statut_biogéographique!A"&amp;_xlfn.XMATCH("P",Statut_biogéographique!A:A,2,1),"P")</f>
        <v>P</v>
      </c>
      <c r="AP12993" s="4" t="s">
        <v>376</v>
      </c>
      <c r="AR12993" s="4" t="s">
        <v>377</v>
      </c>
    </row>
    <row r="12994" spans="1:44">
      <c r="A12994" s="4" t="s">
        <v>10753</v>
      </c>
      <c r="B12994" s="4">
        <v>239923</v>
      </c>
      <c r="D12994" s="5">
        <v>239923</v>
      </c>
      <c r="E12994" s="6" t="str">
        <f>HYPERLINK("https://inpn.mnhn.fr/espece/cd_nom/239923","Megachile melanopyga Costa, 1863")</f>
        <v>Megachile melanopyga Costa, 1863</v>
      </c>
      <c r="P12994" s="7" t="str">
        <f>HYPERLINK("#Liste_rouge!A"&amp;_xlfn.XMATCH("LC",Liste_rouge!A:A,2,1),"LC")</f>
        <v>LC</v>
      </c>
      <c r="AH12994" s="4" t="str">
        <f>HYPERLINK("#Statut_biogéographique!A"&amp;_xlfn.XMATCH("P",Statut_biogéographique!A:A,2,1),"P")</f>
        <v>P</v>
      </c>
      <c r="AP12994" s="4" t="s">
        <v>376</v>
      </c>
      <c r="AR12994" s="4" t="s">
        <v>377</v>
      </c>
    </row>
    <row r="12995" spans="1:44">
      <c r="A12995" s="4" t="s">
        <v>10753</v>
      </c>
      <c r="B12995" s="4">
        <v>239924</v>
      </c>
      <c r="D12995" s="5">
        <v>239924</v>
      </c>
      <c r="E12995" s="6" t="str">
        <f>HYPERLINK("https://inpn.mnhn.fr/espece/cd_nom/239924","Megachile octosignata Nylander, 1852")</f>
        <v>Megachile octosignata Nylander, 1852</v>
      </c>
      <c r="P12995" s="7" t="str">
        <f>HYPERLINK("#Liste_rouge!A"&amp;_xlfn.XMATCH("DD",Liste_rouge!A:A,2,1),"DD")</f>
        <v>DD</v>
      </c>
      <c r="AH12995" s="4" t="str">
        <f>HYPERLINK("#Statut_biogéographique!A"&amp;_xlfn.XMATCH("P",Statut_biogéographique!A:A,2,1),"P")</f>
        <v>P</v>
      </c>
      <c r="AP12995" s="4" t="s">
        <v>376</v>
      </c>
      <c r="AR12995" s="4" t="s">
        <v>377</v>
      </c>
    </row>
    <row r="12996" spans="1:44">
      <c r="A12996" s="4" t="s">
        <v>10753</v>
      </c>
      <c r="B12996" s="4">
        <v>239930</v>
      </c>
      <c r="D12996" s="5" t="s">
        <v>15709</v>
      </c>
      <c r="E12996" s="6" t="str">
        <f>HYPERLINK("https://inpn.mnhn.fr/espece/cd_nom/239930","Megachile rotundata (Fabricius, 1787)")</f>
        <v>Megachile rotundata (Fabricius, 1787)</v>
      </c>
      <c r="P12996" s="7" t="str">
        <f>HYPERLINK("#Liste_rouge!A"&amp;_xlfn.XMATCH("DD",Liste_rouge!A:A,2,1),"DD")</f>
        <v>DD</v>
      </c>
      <c r="AH12996" s="4" t="str">
        <f>HYPERLINK("#Statut_biogéographique!A"&amp;_xlfn.XMATCH("P",Statut_biogéographique!A:A,2,1),"P")</f>
        <v>P</v>
      </c>
      <c r="AP12996" s="4" t="s">
        <v>376</v>
      </c>
      <c r="AR12996" s="4" t="s">
        <v>377</v>
      </c>
    </row>
    <row r="12997" spans="1:44">
      <c r="A12997" s="4" t="s">
        <v>10753</v>
      </c>
      <c r="B12997" s="4">
        <v>239934</v>
      </c>
      <c r="D12997" s="5">
        <v>239934</v>
      </c>
      <c r="E12997" s="6" t="str">
        <f>HYPERLINK("https://inpn.mnhn.fr/espece/cd_nom/239934","Megachile versicolor Smith, 1844")</f>
        <v>Megachile versicolor Smith, 1844</v>
      </c>
      <c r="P12997" s="7" t="str">
        <f>HYPERLINK("#Liste_rouge!A"&amp;_xlfn.XMATCH("DD",Liste_rouge!A:A,2,1),"DD")</f>
        <v>DD</v>
      </c>
      <c r="AH12997" s="4" t="str">
        <f>HYPERLINK("#Statut_biogéographique!A"&amp;_xlfn.XMATCH("P",Statut_biogéographique!A:A,2,1),"P")</f>
        <v>P</v>
      </c>
      <c r="AP12997" s="4" t="s">
        <v>376</v>
      </c>
      <c r="AR12997" s="4" t="s">
        <v>377</v>
      </c>
    </row>
    <row r="12998" spans="1:44">
      <c r="A12998" s="4" t="s">
        <v>10753</v>
      </c>
      <c r="B12998" s="4">
        <v>239936</v>
      </c>
      <c r="D12998" s="5" t="s">
        <v>15710</v>
      </c>
      <c r="E12998" s="6" t="str">
        <f>HYPERLINK("https://inpn.mnhn.fr/espece/cd_nom/239936","Melecta albifrons (Forster, 1771)")</f>
        <v>Melecta albifrons (Forster, 1771)</v>
      </c>
      <c r="F12998" s="5" t="s">
        <v>15711</v>
      </c>
      <c r="P12998" s="7" t="str">
        <f>HYPERLINK("#Liste_rouge!A"&amp;_xlfn.XMATCH("LC",Liste_rouge!A:A,2,1),"LC")</f>
        <v>LC</v>
      </c>
      <c r="AH12998" s="4" t="str">
        <f>HYPERLINK("#Statut_biogéographique!A"&amp;_xlfn.XMATCH("P",Statut_biogéographique!A:A,2,1),"P")</f>
        <v>P</v>
      </c>
      <c r="AP12998" s="4" t="s">
        <v>376</v>
      </c>
      <c r="AR12998" s="4" t="s">
        <v>377</v>
      </c>
    </row>
    <row r="12999" spans="1:44">
      <c r="A12999" s="4" t="s">
        <v>10753</v>
      </c>
      <c r="B12999" s="4">
        <v>239945</v>
      </c>
      <c r="D12999" s="5" t="s">
        <v>15712</v>
      </c>
      <c r="E12999" s="6" t="str">
        <f>HYPERLINK("https://inpn.mnhn.fr/espece/cd_nom/239945","Melitta haemorrhoidalis (Fabricius, 1775)")</f>
        <v>Melitta haemorrhoidalis (Fabricius, 1775)</v>
      </c>
      <c r="P12999" s="7" t="str">
        <f>HYPERLINK("#Liste_rouge!A"&amp;_xlfn.XMATCH("LC",Liste_rouge!A:A,2,1),"LC")</f>
        <v>LC</v>
      </c>
      <c r="AH12999" s="4" t="str">
        <f>HYPERLINK("#Statut_biogéographique!A"&amp;_xlfn.XMATCH("P",Statut_biogéographique!A:A,2,1),"P")</f>
        <v>P</v>
      </c>
      <c r="AP12999" s="4" t="s">
        <v>376</v>
      </c>
      <c r="AR12999" s="4" t="s">
        <v>377</v>
      </c>
    </row>
    <row r="13000" spans="1:44">
      <c r="A13000" s="4" t="s">
        <v>10753</v>
      </c>
      <c r="B13000" s="4">
        <v>239946</v>
      </c>
      <c r="D13000" s="5" t="s">
        <v>15713</v>
      </c>
      <c r="E13000" s="6" t="str">
        <f>HYPERLINK("https://inpn.mnhn.fr/espece/cd_nom/239946","Melitta leporina (Panzer, 1799)")</f>
        <v>Melitta leporina (Panzer, 1799)</v>
      </c>
      <c r="P13000" s="7" t="str">
        <f>HYPERLINK("#Liste_rouge!A"&amp;_xlfn.XMATCH("LC",Liste_rouge!A:A,2,1),"LC")</f>
        <v>LC</v>
      </c>
      <c r="AH13000" s="4" t="str">
        <f>HYPERLINK("#Statut_biogéographique!A"&amp;_xlfn.XMATCH("P",Statut_biogéographique!A:A,2,1),"P")</f>
        <v>P</v>
      </c>
      <c r="AP13000" s="4" t="s">
        <v>376</v>
      </c>
      <c r="AR13000" s="4" t="s">
        <v>377</v>
      </c>
    </row>
    <row r="13001" spans="1:44">
      <c r="A13001" s="4" t="s">
        <v>10753</v>
      </c>
      <c r="B13001" s="4">
        <v>239947</v>
      </c>
      <c r="D13001" s="5">
        <v>239947</v>
      </c>
      <c r="E13001" s="6" t="str">
        <f>HYPERLINK("https://inpn.mnhn.fr/espece/cd_nom/239947","Melitta nigricans Alfken, 1905")</f>
        <v>Melitta nigricans Alfken, 1905</v>
      </c>
      <c r="P13001" s="7" t="str">
        <f>HYPERLINK("#Liste_rouge!A"&amp;_xlfn.XMATCH("LC",Liste_rouge!A:A,2,1),"LC")</f>
        <v>LC</v>
      </c>
      <c r="AH13001" s="4" t="str">
        <f>HYPERLINK("#Statut_biogéographique!A"&amp;_xlfn.XMATCH("P",Statut_biogéographique!A:A,2,1),"P")</f>
        <v>P</v>
      </c>
      <c r="AP13001" s="4" t="s">
        <v>376</v>
      </c>
      <c r="AR13001" s="4" t="s">
        <v>377</v>
      </c>
    </row>
    <row r="13002" spans="1:44">
      <c r="A13002" s="4" t="s">
        <v>10753</v>
      </c>
      <c r="B13002" s="4">
        <v>239948</v>
      </c>
      <c r="D13002" s="5">
        <v>239948</v>
      </c>
      <c r="E13002" s="6" t="str">
        <f>HYPERLINK("https://inpn.mnhn.fr/espece/cd_nom/239948","Melitta tricincta Kirby, 1802")</f>
        <v>Melitta tricincta Kirby, 1802</v>
      </c>
      <c r="P13002" s="7" t="str">
        <f>HYPERLINK("#Liste_rouge!A"&amp;_xlfn.XMATCH("NT",Liste_rouge!A:A,2,1),"NT")</f>
        <v>NT</v>
      </c>
      <c r="AH13002" s="4" t="str">
        <f>HYPERLINK("#Statut_biogéographique!A"&amp;_xlfn.XMATCH("P",Statut_biogéographique!A:A,2,1),"P")</f>
        <v>P</v>
      </c>
      <c r="AP13002" s="4" t="s">
        <v>376</v>
      </c>
      <c r="AR13002" s="4" t="s">
        <v>377</v>
      </c>
    </row>
    <row r="13003" spans="1:44">
      <c r="A13003" s="4" t="s">
        <v>10753</v>
      </c>
      <c r="B13003" s="4">
        <v>239952</v>
      </c>
      <c r="D13003" s="5">
        <v>239952</v>
      </c>
      <c r="E13003" s="6" t="str">
        <f>HYPERLINK("https://inpn.mnhn.fr/espece/cd_nom/239952","Nomada alboguttata Herrich-Schäffer, 1839")</f>
        <v>Nomada alboguttata Herrich-Schäffer, 1839</v>
      </c>
      <c r="P13003" s="7" t="str">
        <f>HYPERLINK("#Liste_rouge!A"&amp;_xlfn.XMATCH("LC",Liste_rouge!A:A,2,1),"LC")</f>
        <v>LC</v>
      </c>
      <c r="AH13003" s="4" t="str">
        <f>HYPERLINK("#Statut_biogéographique!A"&amp;_xlfn.XMATCH("P",Statut_biogéographique!A:A,2,1),"P")</f>
        <v>P</v>
      </c>
      <c r="AP13003" s="4" t="s">
        <v>376</v>
      </c>
      <c r="AR13003" s="4" t="s">
        <v>377</v>
      </c>
    </row>
    <row r="13004" spans="1:44">
      <c r="A13004" s="4" t="s">
        <v>10753</v>
      </c>
      <c r="B13004" s="4">
        <v>239955</v>
      </c>
      <c r="D13004" s="5" t="s">
        <v>15714</v>
      </c>
      <c r="E13004" s="6" t="str">
        <f>HYPERLINK("https://inpn.mnhn.fr/espece/cd_nom/239955","Nomada armata Herrich-Schäffer, 1839")</f>
        <v>Nomada armata Herrich-Schäffer, 1839</v>
      </c>
      <c r="O13004" s="7" t="str">
        <f>HYPERLINK("#Liste_rouge!A"&amp;_xlfn.XMATCH("NT",Liste_rouge!A:A,2,1),"NT")</f>
        <v>NT</v>
      </c>
      <c r="P13004" s="7" t="str">
        <f>HYPERLINK("#Liste_rouge!A"&amp;_xlfn.XMATCH("NT",Liste_rouge!A:A,2,1),"NT")</f>
        <v>NT</v>
      </c>
      <c r="AH13004" s="4" t="str">
        <f>HYPERLINK("#Statut_biogéographique!A"&amp;_xlfn.XMATCH("P",Statut_biogéographique!A:A,2,1),"P")</f>
        <v>P</v>
      </c>
      <c r="AP13004" s="4" t="s">
        <v>376</v>
      </c>
      <c r="AR13004" s="4" t="s">
        <v>377</v>
      </c>
    </row>
    <row r="13005" spans="1:44">
      <c r="A13005" s="4" t="s">
        <v>10753</v>
      </c>
      <c r="B13005" s="4">
        <v>239961</v>
      </c>
      <c r="D13005" s="5">
        <v>239961</v>
      </c>
      <c r="E13005" s="6" t="str">
        <f>HYPERLINK("https://inpn.mnhn.fr/espece/cd_nom/239961","Nomada bifasciata Olivier, 1811")</f>
        <v>Nomada bifasciata Olivier, 1811</v>
      </c>
      <c r="P13005" s="7" t="str">
        <f>HYPERLINK("#Liste_rouge!A"&amp;_xlfn.XMATCH("LC",Liste_rouge!A:A,2,1),"LC")</f>
        <v>LC</v>
      </c>
      <c r="AH13005" s="4" t="str">
        <f>HYPERLINK("#Statut_biogéographique!A"&amp;_xlfn.XMATCH("P",Statut_biogéographique!A:A,2,1),"P")</f>
        <v>P</v>
      </c>
      <c r="AP13005" s="4" t="s">
        <v>376</v>
      </c>
      <c r="AR13005" s="4" t="s">
        <v>377</v>
      </c>
    </row>
    <row r="13006" spans="1:44" ht="30">
      <c r="A13006" s="4" t="s">
        <v>10753</v>
      </c>
      <c r="B13006" s="4">
        <v>23997</v>
      </c>
      <c r="D13006" s="5" t="s">
        <v>15715</v>
      </c>
      <c r="E13006" s="6" t="str">
        <f>HYPERLINK("https://inpn.mnhn.fr/espece/cd_nom/23997","Thecophora atra (Fabricius, 1775)")</f>
        <v>Thecophora atra (Fabricius, 1775)</v>
      </c>
      <c r="AH13006" s="4" t="str">
        <f>HYPERLINK("#Statut_biogéographique!A"&amp;_xlfn.XMATCH("P",Statut_biogéographique!A:A,2,1),"P")</f>
        <v>P</v>
      </c>
      <c r="AP13006" s="4" t="s">
        <v>376</v>
      </c>
      <c r="AR13006" s="4" t="s">
        <v>377</v>
      </c>
    </row>
    <row r="13007" spans="1:44">
      <c r="A13007" s="4" t="s">
        <v>10753</v>
      </c>
      <c r="B13007" s="4">
        <v>239970</v>
      </c>
      <c r="D13007" s="5" t="s">
        <v>15716</v>
      </c>
      <c r="E13007" s="6" t="str">
        <f>HYPERLINK("https://inpn.mnhn.fr/espece/cd_nom/239970","Nomada conjungens Herrich-Schäffer, 1839")</f>
        <v>Nomada conjungens Herrich-Schäffer, 1839</v>
      </c>
      <c r="P13007" s="7" t="str">
        <f>HYPERLINK("#Liste_rouge!A"&amp;_xlfn.XMATCH("LC",Liste_rouge!A:A,2,1),"LC")</f>
        <v>LC</v>
      </c>
      <c r="AH13007" s="4" t="str">
        <f>HYPERLINK("#Statut_biogéographique!A"&amp;_xlfn.XMATCH("P",Statut_biogéographique!A:A,2,1),"P")</f>
        <v>P</v>
      </c>
      <c r="AP13007" s="4" t="s">
        <v>376</v>
      </c>
      <c r="AR13007" s="4" t="s">
        <v>377</v>
      </c>
    </row>
    <row r="13008" spans="1:44">
      <c r="A13008" s="4" t="s">
        <v>10753</v>
      </c>
      <c r="B13008" s="4">
        <v>239980</v>
      </c>
      <c r="D13008" s="5" t="s">
        <v>15717</v>
      </c>
      <c r="E13008" s="6" t="str">
        <f>HYPERLINK("https://inpn.mnhn.fr/espece/cd_nom/239980","Nomada fabriciana (Linnaeus, 1767)")</f>
        <v>Nomada fabriciana (Linnaeus, 1767)</v>
      </c>
      <c r="O13008" s="7" t="str">
        <f>HYPERLINK("#Liste_rouge!A"&amp;_xlfn.XMATCH("LC",Liste_rouge!A:A,2,1),"LC")</f>
        <v>LC</v>
      </c>
      <c r="P13008" s="7" t="str">
        <f>HYPERLINK("#Liste_rouge!A"&amp;_xlfn.XMATCH("LC",Liste_rouge!A:A,2,1),"LC")</f>
        <v>LC</v>
      </c>
      <c r="AH13008" s="4" t="str">
        <f>HYPERLINK("#Statut_biogéographique!A"&amp;_xlfn.XMATCH("P",Statut_biogéographique!A:A,2,1),"P")</f>
        <v>P</v>
      </c>
      <c r="AP13008" s="4" t="s">
        <v>376</v>
      </c>
      <c r="AR13008" s="4" t="s">
        <v>377</v>
      </c>
    </row>
    <row r="13009" spans="1:44">
      <c r="A13009" s="4" t="s">
        <v>10753</v>
      </c>
      <c r="B13009" s="4">
        <v>239981</v>
      </c>
      <c r="D13009" s="5">
        <v>239981</v>
      </c>
      <c r="E13009" s="6" t="str">
        <f>HYPERLINK("https://inpn.mnhn.fr/espece/cd_nom/239981","Nomada facilis Schwarz, 1967")</f>
        <v>Nomada facilis Schwarz, 1967</v>
      </c>
      <c r="P13009" s="7" t="str">
        <f>HYPERLINK("#Liste_rouge!A"&amp;_xlfn.XMATCH("LC",Liste_rouge!A:A,2,1),"LC")</f>
        <v>LC</v>
      </c>
      <c r="AH13009" s="4" t="str">
        <f>HYPERLINK("#Statut_biogéographique!A"&amp;_xlfn.XMATCH("P",Statut_biogéographique!A:A,2,1),"P")</f>
        <v>P</v>
      </c>
      <c r="AP13009" s="4" t="s">
        <v>376</v>
      </c>
      <c r="AR13009" s="4" t="s">
        <v>377</v>
      </c>
    </row>
    <row r="13010" spans="1:44">
      <c r="A13010" s="4" t="s">
        <v>10753</v>
      </c>
      <c r="B13010" s="4">
        <v>239984</v>
      </c>
      <c r="D13010" s="5" t="s">
        <v>15718</v>
      </c>
      <c r="E13010" s="6" t="str">
        <f>HYPERLINK("https://inpn.mnhn.fr/espece/cd_nom/239984","Nomada ferruginata (Linnaeus, 1767)")</f>
        <v>Nomada ferruginata (Linnaeus, 1767)</v>
      </c>
      <c r="O13010" s="7" t="str">
        <f>HYPERLINK("#Liste_rouge!A"&amp;_xlfn.XMATCH("LC",Liste_rouge!A:A,2,1),"LC")</f>
        <v>LC</v>
      </c>
      <c r="P13010" s="7" t="str">
        <f>HYPERLINK("#Liste_rouge!A"&amp;_xlfn.XMATCH("LC",Liste_rouge!A:A,2,1),"LC")</f>
        <v>LC</v>
      </c>
      <c r="AH13010" s="4" t="str">
        <f>HYPERLINK("#Statut_biogéographique!A"&amp;_xlfn.XMATCH("P",Statut_biogéographique!A:A,2,1),"P")</f>
        <v>P</v>
      </c>
      <c r="AP13010" s="4" t="s">
        <v>376</v>
      </c>
      <c r="AR13010" s="4" t="s">
        <v>377</v>
      </c>
    </row>
    <row r="13011" spans="1:44">
      <c r="A13011" s="4" t="s">
        <v>10753</v>
      </c>
      <c r="B13011" s="4">
        <v>239985</v>
      </c>
      <c r="D13011" s="5">
        <v>239985</v>
      </c>
      <c r="E13011" s="6" t="str">
        <f>HYPERLINK("https://inpn.mnhn.fr/espece/cd_nom/239985","Nomada flava Panzer, 1797")</f>
        <v>Nomada flava Panzer, 1797</v>
      </c>
      <c r="O13011" s="7" t="str">
        <f>HYPERLINK("#Liste_rouge!A"&amp;_xlfn.XMATCH("LC",Liste_rouge!A:A,2,1),"LC")</f>
        <v>LC</v>
      </c>
      <c r="P13011" s="7" t="str">
        <f>HYPERLINK("#Liste_rouge!A"&amp;_xlfn.XMATCH("LC",Liste_rouge!A:A,2,1),"LC")</f>
        <v>LC</v>
      </c>
      <c r="AH13011" s="4" t="str">
        <f>HYPERLINK("#Statut_biogéographique!A"&amp;_xlfn.XMATCH("P",Statut_biogéographique!A:A,2,1),"P")</f>
        <v>P</v>
      </c>
      <c r="AP13011" s="4" t="s">
        <v>376</v>
      </c>
      <c r="AR13011" s="4" t="s">
        <v>377</v>
      </c>
    </row>
    <row r="13012" spans="1:44">
      <c r="A13012" s="4" t="s">
        <v>10753</v>
      </c>
      <c r="B13012" s="4">
        <v>239988</v>
      </c>
      <c r="D13012" s="5">
        <v>239988</v>
      </c>
      <c r="E13012" s="6" t="str">
        <f>HYPERLINK("https://inpn.mnhn.fr/espece/cd_nom/239988","Nomada fucata Panzer, 1798")</f>
        <v>Nomada fucata Panzer, 1798</v>
      </c>
      <c r="P13012" s="7" t="str">
        <f>HYPERLINK("#Liste_rouge!A"&amp;_xlfn.XMATCH("LC",Liste_rouge!A:A,2,1),"LC")</f>
        <v>LC</v>
      </c>
      <c r="AH13012" s="4" t="str">
        <f>HYPERLINK("#Statut_biogéographique!A"&amp;_xlfn.XMATCH("P",Statut_biogéographique!A:A,2,1),"P")</f>
        <v>P</v>
      </c>
      <c r="AP13012" s="4" t="s">
        <v>376</v>
      </c>
      <c r="AR13012" s="4" t="s">
        <v>377</v>
      </c>
    </row>
    <row r="13013" spans="1:44">
      <c r="A13013" s="4" t="s">
        <v>10753</v>
      </c>
      <c r="B13013" s="4">
        <v>239990</v>
      </c>
      <c r="D13013" s="5">
        <v>239990</v>
      </c>
      <c r="E13013" s="6" t="str">
        <f>HYPERLINK("https://inpn.mnhn.fr/espece/cd_nom/239990","Nomada furva Panzer, 1798")</f>
        <v>Nomada furva Panzer, 1798</v>
      </c>
      <c r="P13013" s="7" t="str">
        <f>HYPERLINK("#Liste_rouge!A"&amp;_xlfn.XMATCH("DD",Liste_rouge!A:A,2,1),"DD")</f>
        <v>DD</v>
      </c>
      <c r="AH13013" s="4" t="str">
        <f>HYPERLINK("#Statut_biogéographique!A"&amp;_xlfn.XMATCH("P",Statut_biogéographique!A:A,2,1),"P")</f>
        <v>P</v>
      </c>
      <c r="AP13013" s="4" t="s">
        <v>376</v>
      </c>
      <c r="AR13013" s="4" t="s">
        <v>377</v>
      </c>
    </row>
    <row r="13014" spans="1:44">
      <c r="A13014" s="4" t="s">
        <v>10753</v>
      </c>
      <c r="B13014" s="4">
        <v>239992</v>
      </c>
      <c r="D13014" s="5" t="s">
        <v>15719</v>
      </c>
      <c r="E13014" s="6" t="str">
        <f>HYPERLINK("https://inpn.mnhn.fr/espece/cd_nom/239992","Nomada goodeniana (Kirby, 1802)")</f>
        <v>Nomada goodeniana (Kirby, 1802)</v>
      </c>
      <c r="P13014" s="7" t="str">
        <f>HYPERLINK("#Liste_rouge!A"&amp;_xlfn.XMATCH("LC",Liste_rouge!A:A,2,1),"LC")</f>
        <v>LC</v>
      </c>
      <c r="AH13014" s="4" t="str">
        <f>HYPERLINK("#Statut_biogéographique!A"&amp;_xlfn.XMATCH("P",Statut_biogéographique!A:A,2,1),"P")</f>
        <v>P</v>
      </c>
      <c r="AP13014" s="4" t="s">
        <v>376</v>
      </c>
      <c r="AR13014" s="4" t="s">
        <v>377</v>
      </c>
    </row>
    <row r="13015" spans="1:44">
      <c r="A13015" s="4" t="s">
        <v>10753</v>
      </c>
      <c r="B13015" s="4">
        <v>239993</v>
      </c>
      <c r="D13015" s="5">
        <v>239993</v>
      </c>
      <c r="E13015" s="6" t="str">
        <f>HYPERLINK("https://inpn.mnhn.fr/espece/cd_nom/239993","Nomada guttulata Schenck, 1861")</f>
        <v>Nomada guttulata Schenck, 1861</v>
      </c>
      <c r="P13015" s="7" t="str">
        <f>HYPERLINK("#Liste_rouge!A"&amp;_xlfn.XMATCH("LC",Liste_rouge!A:A,2,1),"LC")</f>
        <v>LC</v>
      </c>
      <c r="AH13015" s="4" t="str">
        <f>HYPERLINK("#Statut_biogéographique!A"&amp;_xlfn.XMATCH("P",Statut_biogéographique!A:A,2,1),"P")</f>
        <v>P</v>
      </c>
      <c r="AP13015" s="4" t="s">
        <v>376</v>
      </c>
      <c r="AR13015" s="4" t="s">
        <v>377</v>
      </c>
    </row>
    <row r="13016" spans="1:44">
      <c r="A13016" s="4" t="s">
        <v>10753</v>
      </c>
      <c r="B13016" s="4">
        <v>239994</v>
      </c>
      <c r="D13016" s="5">
        <v>239994</v>
      </c>
      <c r="E13016" s="6" t="str">
        <f>HYPERLINK("https://inpn.mnhn.fr/espece/cd_nom/239994","Nomada hirtipes Pérez, 1884")</f>
        <v>Nomada hirtipes Pérez, 1884</v>
      </c>
      <c r="O13016" s="7" t="str">
        <f>HYPERLINK("#Liste_rouge!A"&amp;_xlfn.XMATCH("LC",Liste_rouge!A:A,2,1),"LC")</f>
        <v>LC</v>
      </c>
      <c r="P13016" s="7" t="str">
        <f>HYPERLINK("#Liste_rouge!A"&amp;_xlfn.XMATCH("LC",Liste_rouge!A:A,2,1),"LC")</f>
        <v>LC</v>
      </c>
      <c r="AH13016" s="4" t="str">
        <f>HYPERLINK("#Statut_biogéographique!A"&amp;_xlfn.XMATCH("P",Statut_biogéographique!A:A,2,1),"P")</f>
        <v>P</v>
      </c>
      <c r="AP13016" s="4" t="s">
        <v>376</v>
      </c>
      <c r="AR13016" s="4" t="s">
        <v>377</v>
      </c>
    </row>
    <row r="13017" spans="1:44">
      <c r="A13017" s="4" t="s">
        <v>10753</v>
      </c>
      <c r="B13017" s="4">
        <v>239998</v>
      </c>
      <c r="D13017" s="5" t="s">
        <v>15720</v>
      </c>
      <c r="E13017" s="6" t="str">
        <f>HYPERLINK("https://inpn.mnhn.fr/espece/cd_nom/239998","Nomada integra Brullé, 1832")</f>
        <v>Nomada integra Brullé, 1832</v>
      </c>
      <c r="P13017" s="7" t="str">
        <f>HYPERLINK("#Liste_rouge!A"&amp;_xlfn.XMATCH("LC",Liste_rouge!A:A,2,1),"LC")</f>
        <v>LC</v>
      </c>
      <c r="AH13017" s="4" t="str">
        <f>HYPERLINK("#Statut_biogéographique!A"&amp;_xlfn.XMATCH("P",Statut_biogéographique!A:A,2,1),"P")</f>
        <v>P</v>
      </c>
      <c r="AP13017" s="4" t="s">
        <v>376</v>
      </c>
      <c r="AR13017" s="4" t="s">
        <v>377</v>
      </c>
    </row>
    <row r="13018" spans="1:44" ht="30">
      <c r="A13018" s="4" t="s">
        <v>10753</v>
      </c>
      <c r="B13018" s="4">
        <v>24000</v>
      </c>
      <c r="D13018" s="5" t="s">
        <v>15721</v>
      </c>
      <c r="E13018" s="6" t="str">
        <f>HYPERLINK("https://inpn.mnhn.fr/espece/cd_nom/24000","Thecophora fulvipes (Robineau-Desvoidy, 1830)")</f>
        <v>Thecophora fulvipes (Robineau-Desvoidy, 1830)</v>
      </c>
      <c r="AH13018" s="4" t="str">
        <f>HYPERLINK("#Statut_biogéographique!A"&amp;_xlfn.XMATCH("P",Statut_biogéographique!A:A,2,1),"P")</f>
        <v>P</v>
      </c>
      <c r="AP13018" s="4" t="s">
        <v>376</v>
      </c>
      <c r="AR13018" s="4" t="s">
        <v>377</v>
      </c>
    </row>
    <row r="13019" spans="1:44">
      <c r="A13019" s="4" t="s">
        <v>10753</v>
      </c>
      <c r="B13019" s="4">
        <v>240004</v>
      </c>
      <c r="D13019" s="5" t="s">
        <v>15722</v>
      </c>
      <c r="E13019" s="6" t="str">
        <f>HYPERLINK("https://inpn.mnhn.fr/espece/cd_nom/240004","Nomada lathburiana (Kirby, 1802)")</f>
        <v>Nomada lathburiana (Kirby, 1802)</v>
      </c>
      <c r="P13019" s="7" t="str">
        <f>HYPERLINK("#Liste_rouge!A"&amp;_xlfn.XMATCH("LC",Liste_rouge!A:A,2,1),"LC")</f>
        <v>LC</v>
      </c>
      <c r="AH13019" s="4" t="str">
        <f>HYPERLINK("#Statut_biogéographique!A"&amp;_xlfn.XMATCH("P",Statut_biogéographique!A:A,2,1),"P")</f>
        <v>P</v>
      </c>
      <c r="AP13019" s="4" t="s">
        <v>376</v>
      </c>
      <c r="AR13019" s="4" t="s">
        <v>377</v>
      </c>
    </row>
    <row r="13020" spans="1:44">
      <c r="A13020" s="4" t="s">
        <v>10753</v>
      </c>
      <c r="B13020" s="4">
        <v>240005</v>
      </c>
      <c r="D13020" s="5" t="s">
        <v>15723</v>
      </c>
      <c r="E13020" s="6" t="str">
        <f>HYPERLINK("https://inpn.mnhn.fr/espece/cd_nom/240005","Nomada leucophthalma (Kirby, 1802)")</f>
        <v>Nomada leucophthalma (Kirby, 1802)</v>
      </c>
      <c r="P13020" s="7" t="str">
        <f>HYPERLINK("#Liste_rouge!A"&amp;_xlfn.XMATCH("LC",Liste_rouge!A:A,2,1),"LC")</f>
        <v>LC</v>
      </c>
      <c r="AH13020" s="4" t="str">
        <f>HYPERLINK("#Statut_biogéographique!A"&amp;_xlfn.XMATCH("P",Statut_biogéographique!A:A,2,1),"P")</f>
        <v>P</v>
      </c>
      <c r="AP13020" s="4" t="s">
        <v>376</v>
      </c>
      <c r="AR13020" s="4" t="s">
        <v>377</v>
      </c>
    </row>
    <row r="13021" spans="1:44">
      <c r="A13021" s="4" t="s">
        <v>10753</v>
      </c>
      <c r="B13021" s="4">
        <v>240010</v>
      </c>
      <c r="D13021" s="5" t="s">
        <v>15724</v>
      </c>
      <c r="E13021" s="6" t="str">
        <f>HYPERLINK("https://inpn.mnhn.fr/espece/cd_nom/240010","Nomada melathoracica Imhoff, 1834")</f>
        <v>Nomada melathoracica Imhoff, 1834</v>
      </c>
      <c r="O13021" s="7" t="str">
        <f>HYPERLINK("#Liste_rouge!A"&amp;_xlfn.XMATCH("LC",Liste_rouge!A:A,2,1),"LC")</f>
        <v>LC</v>
      </c>
      <c r="P13021" s="7" t="str">
        <f>HYPERLINK("#Liste_rouge!A"&amp;_xlfn.XMATCH("LC",Liste_rouge!A:A,2,1),"LC")</f>
        <v>LC</v>
      </c>
      <c r="AH13021" s="4" t="str">
        <f>HYPERLINK("#Statut_biogéographique!A"&amp;_xlfn.XMATCH("P",Statut_biogéographique!A:A,2,1),"P")</f>
        <v>P</v>
      </c>
      <c r="AP13021" s="4" t="s">
        <v>376</v>
      </c>
      <c r="AR13021" s="4" t="s">
        <v>377</v>
      </c>
    </row>
    <row r="13022" spans="1:44">
      <c r="A13022" s="4" t="s">
        <v>10753</v>
      </c>
      <c r="B13022" s="4">
        <v>240023</v>
      </c>
      <c r="D13022" s="5">
        <v>240023</v>
      </c>
      <c r="E13022" s="6" t="str">
        <f>HYPERLINK("https://inpn.mnhn.fr/espece/cd_nom/240023","Nomada panzeri Lepeletier, 1841")</f>
        <v>Nomada panzeri Lepeletier, 1841</v>
      </c>
      <c r="P13022" s="7" t="str">
        <f>HYPERLINK("#Liste_rouge!A"&amp;_xlfn.XMATCH("LC",Liste_rouge!A:A,2,1),"LC")</f>
        <v>LC</v>
      </c>
      <c r="AH13022" s="4" t="str">
        <f>HYPERLINK("#Statut_biogéographique!A"&amp;_xlfn.XMATCH("P",Statut_biogéographique!A:A,2,1),"P")</f>
        <v>P</v>
      </c>
      <c r="AP13022" s="4" t="s">
        <v>376</v>
      </c>
      <c r="AR13022" s="4" t="s">
        <v>377</v>
      </c>
    </row>
    <row r="13023" spans="1:44">
      <c r="A13023" s="4" t="s">
        <v>10753</v>
      </c>
      <c r="B13023" s="4">
        <v>240028</v>
      </c>
      <c r="D13023" s="5">
        <v>240028</v>
      </c>
      <c r="E13023" s="6" t="str">
        <f>HYPERLINK("https://inpn.mnhn.fr/espece/cd_nom/240028","Nomada rhenana Morawitz, 1872")</f>
        <v>Nomada rhenana Morawitz, 1872</v>
      </c>
      <c r="P13023" s="7" t="str">
        <f>HYPERLINK("#Liste_rouge!A"&amp;_xlfn.XMATCH("NT",Liste_rouge!A:A,2,1),"NT")</f>
        <v>NT</v>
      </c>
      <c r="AH13023" s="4" t="str">
        <f>HYPERLINK("#Statut_biogéographique!A"&amp;_xlfn.XMATCH("P",Statut_biogéographique!A:A,2,1),"P")</f>
        <v>P</v>
      </c>
      <c r="AP13023" s="4" t="s">
        <v>376</v>
      </c>
      <c r="AR13023" s="4" t="s">
        <v>377</v>
      </c>
    </row>
    <row r="13024" spans="1:44">
      <c r="A13024" s="4" t="s">
        <v>10753</v>
      </c>
      <c r="B13024" s="4">
        <v>240031</v>
      </c>
      <c r="D13024" s="5" t="s">
        <v>15725</v>
      </c>
      <c r="E13024" s="6" t="str">
        <f>HYPERLINK("https://inpn.mnhn.fr/espece/cd_nom/240031","Nomada ruficornis (Linnaeus, 1758)")</f>
        <v>Nomada ruficornis (Linnaeus, 1758)</v>
      </c>
      <c r="P13024" s="7" t="str">
        <f>HYPERLINK("#Liste_rouge!A"&amp;_xlfn.XMATCH("LC",Liste_rouge!A:A,2,1),"LC")</f>
        <v>LC</v>
      </c>
      <c r="AH13024" s="4" t="str">
        <f>HYPERLINK("#Statut_biogéographique!A"&amp;_xlfn.XMATCH("P",Statut_biogéographique!A:A,2,1),"P")</f>
        <v>P</v>
      </c>
      <c r="AP13024" s="4" t="s">
        <v>376</v>
      </c>
      <c r="AR13024" s="4" t="s">
        <v>377</v>
      </c>
    </row>
    <row r="13025" spans="1:44">
      <c r="A13025" s="4" t="s">
        <v>10753</v>
      </c>
      <c r="B13025" s="4">
        <v>240035</v>
      </c>
      <c r="D13025" s="5">
        <v>240035</v>
      </c>
      <c r="E13025" s="6" t="str">
        <f>HYPERLINK("https://inpn.mnhn.fr/espece/cd_nom/240035","Nomada sexfasciata Panzer, 1799")</f>
        <v>Nomada sexfasciata Panzer, 1799</v>
      </c>
      <c r="P13025" s="7" t="str">
        <f>HYPERLINK("#Liste_rouge!A"&amp;_xlfn.XMATCH("LC",Liste_rouge!A:A,2,1),"LC")</f>
        <v>LC</v>
      </c>
      <c r="AH13025" s="4" t="str">
        <f>HYPERLINK("#Statut_biogéographique!A"&amp;_xlfn.XMATCH("P",Statut_biogéographique!A:A,2,1),"P")</f>
        <v>P</v>
      </c>
      <c r="AP13025" s="4" t="s">
        <v>376</v>
      </c>
      <c r="AR13025" s="4" t="s">
        <v>377</v>
      </c>
    </row>
    <row r="13026" spans="1:44">
      <c r="A13026" s="4" t="s">
        <v>10753</v>
      </c>
      <c r="B13026" s="4">
        <v>240036</v>
      </c>
      <c r="D13026" s="5" t="s">
        <v>15726</v>
      </c>
      <c r="E13026" s="6" t="str">
        <f>HYPERLINK("https://inpn.mnhn.fr/espece/cd_nom/240036","Nomada sheppardana (Kirby, 1802)")</f>
        <v>Nomada sheppardana (Kirby, 1802)</v>
      </c>
      <c r="P13026" s="7" t="str">
        <f>HYPERLINK("#Liste_rouge!A"&amp;_xlfn.XMATCH("LC",Liste_rouge!A:A,2,1),"LC")</f>
        <v>LC</v>
      </c>
      <c r="AH13026" s="4" t="str">
        <f>HYPERLINK("#Statut_biogéographique!A"&amp;_xlfn.XMATCH("P",Statut_biogéographique!A:A,2,1),"P")</f>
        <v>P</v>
      </c>
      <c r="AP13026" s="4" t="s">
        <v>376</v>
      </c>
      <c r="AR13026" s="4" t="s">
        <v>377</v>
      </c>
    </row>
    <row r="13027" spans="1:44">
      <c r="A13027" s="4" t="s">
        <v>10753</v>
      </c>
      <c r="B13027" s="4">
        <v>240037</v>
      </c>
      <c r="D13027" s="5">
        <v>240037</v>
      </c>
      <c r="E13027" s="6" t="str">
        <f>HYPERLINK("https://inpn.mnhn.fr/espece/cd_nom/240037","Nomada signata Jurine, 1807")</f>
        <v>Nomada signata Jurine, 1807</v>
      </c>
      <c r="O13027" s="7" t="str">
        <f>HYPERLINK("#Liste_rouge!A"&amp;_xlfn.XMATCH("LC",Liste_rouge!A:A,2,1),"LC")</f>
        <v>LC</v>
      </c>
      <c r="P13027" s="7" t="str">
        <f>HYPERLINK("#Liste_rouge!A"&amp;_xlfn.XMATCH("LC",Liste_rouge!A:A,2,1),"LC")</f>
        <v>LC</v>
      </c>
      <c r="AH13027" s="4" t="str">
        <f>HYPERLINK("#Statut_biogéographique!A"&amp;_xlfn.XMATCH("P",Statut_biogéographique!A:A,2,1),"P")</f>
        <v>P</v>
      </c>
      <c r="AP13027" s="4" t="s">
        <v>376</v>
      </c>
      <c r="AR13027" s="4" t="s">
        <v>377</v>
      </c>
    </row>
    <row r="13028" spans="1:44">
      <c r="A13028" s="4" t="s">
        <v>10753</v>
      </c>
      <c r="B13028" s="4">
        <v>240040</v>
      </c>
      <c r="D13028" s="5" t="s">
        <v>15727</v>
      </c>
      <c r="E13028" s="6" t="str">
        <f>HYPERLINK("https://inpn.mnhn.fr/espece/cd_nom/240040","Nomada striata Fabricius, 1793")</f>
        <v>Nomada striata Fabricius, 1793</v>
      </c>
      <c r="P13028" s="7" t="str">
        <f>HYPERLINK("#Liste_rouge!A"&amp;_xlfn.XMATCH("LC",Liste_rouge!A:A,2,1),"LC")</f>
        <v>LC</v>
      </c>
      <c r="AH13028" s="4" t="str">
        <f>HYPERLINK("#Statut_biogéographique!A"&amp;_xlfn.XMATCH("P",Statut_biogéographique!A:A,2,1),"P")</f>
        <v>P</v>
      </c>
      <c r="AP13028" s="4" t="s">
        <v>376</v>
      </c>
      <c r="AR13028" s="4" t="s">
        <v>377</v>
      </c>
    </row>
    <row r="13029" spans="1:44">
      <c r="A13029" s="4" t="s">
        <v>10753</v>
      </c>
      <c r="B13029" s="4">
        <v>240041</v>
      </c>
      <c r="D13029" s="5">
        <v>240041</v>
      </c>
      <c r="E13029" s="6" t="str">
        <f>HYPERLINK("https://inpn.mnhn.fr/espece/cd_nom/240041","Nomada succincta Panzer, 1798")</f>
        <v>Nomada succincta Panzer, 1798</v>
      </c>
      <c r="P13029" s="7" t="str">
        <f>HYPERLINK("#Liste_rouge!A"&amp;_xlfn.XMATCH("LC",Liste_rouge!A:A,2,1),"LC")</f>
        <v>LC</v>
      </c>
      <c r="AH13029" s="4" t="str">
        <f>HYPERLINK("#Statut_biogéographique!A"&amp;_xlfn.XMATCH("P",Statut_biogéographique!A:A,2,1),"P")</f>
        <v>P</v>
      </c>
      <c r="AP13029" s="4" t="s">
        <v>376</v>
      </c>
      <c r="AR13029" s="4" t="s">
        <v>377</v>
      </c>
    </row>
    <row r="13030" spans="1:44">
      <c r="A13030" s="4" t="s">
        <v>10753</v>
      </c>
      <c r="B13030" s="4">
        <v>240042</v>
      </c>
      <c r="D13030" s="5" t="s">
        <v>15728</v>
      </c>
      <c r="E13030" s="6" t="str">
        <f>HYPERLINK("https://inpn.mnhn.fr/espece/cd_nom/240042","Nomada tridentirostris Dours, 1873")</f>
        <v>Nomada tridentirostris Dours, 1873</v>
      </c>
      <c r="P13030" s="7" t="str">
        <f>HYPERLINK("#Liste_rouge!A"&amp;_xlfn.XMATCH("LC",Liste_rouge!A:A,2,1),"LC")</f>
        <v>LC</v>
      </c>
      <c r="AH13030" s="4" t="str">
        <f>HYPERLINK("#Statut_biogéographique!A"&amp;_xlfn.XMATCH("P",Statut_biogéographique!A:A,2,1),"P")</f>
        <v>P</v>
      </c>
      <c r="AP13030" s="4" t="s">
        <v>376</v>
      </c>
      <c r="AR13030" s="4" t="s">
        <v>377</v>
      </c>
    </row>
    <row r="13031" spans="1:44">
      <c r="A13031" s="4" t="s">
        <v>10753</v>
      </c>
      <c r="B13031" s="4">
        <v>240044</v>
      </c>
      <c r="D13031" s="5">
        <v>240044</v>
      </c>
      <c r="E13031" s="6" t="str">
        <f>HYPERLINK("https://inpn.mnhn.fr/espece/cd_nom/240044","Nomada zonata Panzer, 1797")</f>
        <v>Nomada zonata Panzer, 1797</v>
      </c>
      <c r="P13031" s="7" t="str">
        <f>HYPERLINK("#Liste_rouge!A"&amp;_xlfn.XMATCH("LC",Liste_rouge!A:A,2,1),"LC")</f>
        <v>LC</v>
      </c>
      <c r="AH13031" s="4" t="str">
        <f>HYPERLINK("#Statut_biogéographique!A"&amp;_xlfn.XMATCH("P",Statut_biogéographique!A:A,2,1),"P")</f>
        <v>P</v>
      </c>
      <c r="AP13031" s="4" t="s">
        <v>376</v>
      </c>
      <c r="AR13031" s="4" t="s">
        <v>377</v>
      </c>
    </row>
    <row r="13032" spans="1:44">
      <c r="A13032" s="4" t="s">
        <v>10753</v>
      </c>
      <c r="B13032" s="4">
        <v>240050</v>
      </c>
      <c r="D13032" s="5" t="s">
        <v>15729</v>
      </c>
      <c r="E13032" s="6" t="str">
        <f>HYPERLINK("https://inpn.mnhn.fr/espece/cd_nom/240050","Osmia brevicornis (Fabricius, 1798)")</f>
        <v>Osmia brevicornis (Fabricius, 1798)</v>
      </c>
      <c r="P13032" s="7" t="str">
        <f>HYPERLINK("#Liste_rouge!A"&amp;_xlfn.XMATCH("LC",Liste_rouge!A:A,2,1),"LC")</f>
        <v>LC</v>
      </c>
      <c r="AH13032" s="4" t="str">
        <f>HYPERLINK("#Statut_biogéographique!A"&amp;_xlfn.XMATCH("P",Statut_biogéographique!A:A,2,1),"P")</f>
        <v>P</v>
      </c>
      <c r="AP13032" s="4" t="s">
        <v>376</v>
      </c>
      <c r="AR13032" s="4" t="s">
        <v>377</v>
      </c>
    </row>
    <row r="13033" spans="1:44">
      <c r="A13033" s="4" t="s">
        <v>10753</v>
      </c>
      <c r="B13033" s="4">
        <v>240062</v>
      </c>
      <c r="D13033" s="5">
        <v>240062</v>
      </c>
      <c r="E13033" s="6" t="str">
        <f>HYPERLINK("https://inpn.mnhn.fr/espece/cd_nom/240062","Osmia labialis Pérez, 1880")</f>
        <v>Osmia labialis Pérez, 1880</v>
      </c>
      <c r="P13033" s="7" t="str">
        <f>HYPERLINK("#Liste_rouge!A"&amp;_xlfn.XMATCH("LC",Liste_rouge!A:A,2,1),"LC")</f>
        <v>LC</v>
      </c>
      <c r="AH13033" s="4" t="str">
        <f>HYPERLINK("#Statut_biogéographique!A"&amp;_xlfn.XMATCH("P",Statut_biogéographique!A:A,2,1),"P")</f>
        <v>P</v>
      </c>
      <c r="AP13033" s="4" t="s">
        <v>376</v>
      </c>
      <c r="AR13033" s="4" t="s">
        <v>377</v>
      </c>
    </row>
    <row r="13034" spans="1:44" ht="30">
      <c r="A13034" s="4" t="s">
        <v>10753</v>
      </c>
      <c r="B13034" s="4">
        <v>240065</v>
      </c>
      <c r="D13034" s="5" t="s">
        <v>15730</v>
      </c>
      <c r="E13034" s="6" t="str">
        <f>HYPERLINK("https://inpn.mnhn.fr/espece/cd_nom/240065","Osmia leaiana (Kirby, 1802)")</f>
        <v>Osmia leaiana (Kirby, 1802)</v>
      </c>
      <c r="P13034" s="7" t="str">
        <f>HYPERLINK("#Liste_rouge!A"&amp;_xlfn.XMATCH("LC",Liste_rouge!A:A,2,1),"LC")</f>
        <v>LC</v>
      </c>
      <c r="AH13034" s="4" t="str">
        <f>HYPERLINK("#Statut_biogéographique!A"&amp;_xlfn.XMATCH("P",Statut_biogéographique!A:A,2,1),"P")</f>
        <v>P</v>
      </c>
      <c r="AP13034" s="4" t="s">
        <v>376</v>
      </c>
      <c r="AR13034" s="4" t="s">
        <v>377</v>
      </c>
    </row>
    <row r="13035" spans="1:44">
      <c r="A13035" s="4" t="s">
        <v>10753</v>
      </c>
      <c r="B13035" s="4">
        <v>240072</v>
      </c>
      <c r="D13035" s="5" t="s">
        <v>15731</v>
      </c>
      <c r="E13035" s="6" t="str">
        <f>HYPERLINK("https://inpn.mnhn.fr/espece/cd_nom/240072","Osmia niveata (Fabricius, 1804)")</f>
        <v>Osmia niveata (Fabricius, 1804)</v>
      </c>
      <c r="P13035" s="7" t="str">
        <f>HYPERLINK("#Liste_rouge!A"&amp;_xlfn.XMATCH("LC",Liste_rouge!A:A,2,1),"LC")</f>
        <v>LC</v>
      </c>
      <c r="AH13035" s="4" t="str">
        <f>HYPERLINK("#Statut_biogéographique!A"&amp;_xlfn.XMATCH("P",Statut_biogéographique!A:A,2,1),"P")</f>
        <v>P</v>
      </c>
      <c r="AP13035" s="4" t="s">
        <v>376</v>
      </c>
      <c r="AR13035" s="4" t="s">
        <v>377</v>
      </c>
    </row>
    <row r="13036" spans="1:44">
      <c r="A13036" s="4" t="s">
        <v>10753</v>
      </c>
      <c r="B13036" s="4">
        <v>240074</v>
      </c>
      <c r="D13036" s="5" t="s">
        <v>15732</v>
      </c>
      <c r="E13036" s="6" t="str">
        <f>HYPERLINK("https://inpn.mnhn.fr/espece/cd_nom/240074","Osmia parietina Curtis, 1828")</f>
        <v>Osmia parietina Curtis, 1828</v>
      </c>
      <c r="P13036" s="7" t="str">
        <f>HYPERLINK("#Liste_rouge!A"&amp;_xlfn.XMATCH("LC",Liste_rouge!A:A,2,1),"LC")</f>
        <v>LC</v>
      </c>
      <c r="AH13036" s="4" t="str">
        <f>HYPERLINK("#Statut_biogéographique!A"&amp;_xlfn.XMATCH("P",Statut_biogéographique!A:A,2,1),"P")</f>
        <v>P</v>
      </c>
      <c r="AP13036" s="4" t="s">
        <v>376</v>
      </c>
      <c r="AR13036" s="4" t="s">
        <v>377</v>
      </c>
    </row>
    <row r="13037" spans="1:44">
      <c r="A13037" s="4" t="s">
        <v>10753</v>
      </c>
      <c r="B13037" s="4">
        <v>240075</v>
      </c>
      <c r="D13037" s="5">
        <v>240075</v>
      </c>
      <c r="E13037" s="6" t="str">
        <f>HYPERLINK("https://inpn.mnhn.fr/espece/cd_nom/240075","Osmia pilicornis Smith, 1846")</f>
        <v>Osmia pilicornis Smith, 1846</v>
      </c>
      <c r="O13037" s="7" t="str">
        <f>HYPERLINK("#Liste_rouge!A"&amp;_xlfn.XMATCH("LC",Liste_rouge!A:A,2,1),"LC")</f>
        <v>LC</v>
      </c>
      <c r="P13037" s="7" t="str">
        <f>HYPERLINK("#Liste_rouge!A"&amp;_xlfn.XMATCH("LC",Liste_rouge!A:A,2,1),"LC")</f>
        <v>LC</v>
      </c>
      <c r="AH13037" s="4" t="str">
        <f>HYPERLINK("#Statut_biogéographique!A"&amp;_xlfn.XMATCH("P",Statut_biogéographique!A:A,2,1),"P")</f>
        <v>P</v>
      </c>
      <c r="AP13037" s="4" t="s">
        <v>376</v>
      </c>
      <c r="AR13037" s="4" t="s">
        <v>377</v>
      </c>
    </row>
    <row r="13038" spans="1:44">
      <c r="A13038" s="4" t="s">
        <v>10753</v>
      </c>
      <c r="B13038" s="4">
        <v>240078</v>
      </c>
      <c r="D13038" s="5">
        <v>240078</v>
      </c>
      <c r="E13038" s="6" t="str">
        <f>HYPERLINK("https://inpn.mnhn.fr/espece/cd_nom/240078","Osmia submicans Morawitz, 1870")</f>
        <v>Osmia submicans Morawitz, 1870</v>
      </c>
      <c r="P13038" s="7" t="str">
        <f>HYPERLINK("#Liste_rouge!A"&amp;_xlfn.XMATCH("LC",Liste_rouge!A:A,2,1),"LC")</f>
        <v>LC</v>
      </c>
      <c r="AH13038" s="4" t="str">
        <f>HYPERLINK("#Statut_biogéographique!A"&amp;_xlfn.XMATCH("P",Statut_biogéographique!A:A,2,1),"P")</f>
        <v>P</v>
      </c>
      <c r="AP13038" s="4" t="s">
        <v>376</v>
      </c>
      <c r="AR13038" s="4" t="s">
        <v>377</v>
      </c>
    </row>
    <row r="13039" spans="1:44">
      <c r="A13039" s="4" t="s">
        <v>10753</v>
      </c>
      <c r="B13039" s="4">
        <v>240080</v>
      </c>
      <c r="D13039" s="5">
        <v>240080</v>
      </c>
      <c r="E13039" s="6" t="str">
        <f>HYPERLINK("https://inpn.mnhn.fr/espece/cd_nom/240080","Osmia uncinata Gerstäcker, 1869")</f>
        <v>Osmia uncinata Gerstäcker, 1869</v>
      </c>
      <c r="P13039" s="7" t="str">
        <f>HYPERLINK("#Liste_rouge!A"&amp;_xlfn.XMATCH("LC",Liste_rouge!A:A,2,1),"LC")</f>
        <v>LC</v>
      </c>
      <c r="AH13039" s="4" t="str">
        <f>HYPERLINK("#Statut_biogéographique!A"&amp;_xlfn.XMATCH("P",Statut_biogéographique!A:A,2,1),"P")</f>
        <v>P</v>
      </c>
      <c r="AP13039" s="4" t="s">
        <v>376</v>
      </c>
      <c r="AR13039" s="4" t="s">
        <v>377</v>
      </c>
    </row>
    <row r="13040" spans="1:44">
      <c r="A13040" s="4" t="s">
        <v>10753</v>
      </c>
      <c r="B13040" s="4">
        <v>240084</v>
      </c>
      <c r="D13040" s="5" t="s">
        <v>15733</v>
      </c>
      <c r="E13040" s="6" t="str">
        <f>HYPERLINK("https://inpn.mnhn.fr/espece/cd_nom/240084","Osmia xanthomelana (Kirby, 1802)")</f>
        <v>Osmia xanthomelana (Kirby, 1802)</v>
      </c>
      <c r="P13040" s="7" t="str">
        <f>HYPERLINK("#Liste_rouge!A"&amp;_xlfn.XMATCH("LC",Liste_rouge!A:A,2,1),"LC")</f>
        <v>LC</v>
      </c>
      <c r="AH13040" s="4" t="str">
        <f>HYPERLINK("#Statut_biogéographique!A"&amp;_xlfn.XMATCH("P",Statut_biogéographique!A:A,2,1),"P")</f>
        <v>P</v>
      </c>
      <c r="AP13040" s="4" t="s">
        <v>376</v>
      </c>
      <c r="AR13040" s="4" t="s">
        <v>377</v>
      </c>
    </row>
    <row r="13041" spans="1:44">
      <c r="A13041" s="4" t="s">
        <v>10753</v>
      </c>
      <c r="B13041" s="4">
        <v>240110</v>
      </c>
      <c r="D13041" s="5" t="s">
        <v>15734</v>
      </c>
      <c r="E13041" s="6" t="str">
        <f>HYPERLINK("https://inpn.mnhn.fr/espece/cd_nom/240110","Sphecodes albilabris (Fabricius, 1793)")</f>
        <v>Sphecodes albilabris (Fabricius, 1793)</v>
      </c>
      <c r="P13041" s="7" t="str">
        <f>HYPERLINK("#Liste_rouge!A"&amp;_xlfn.XMATCH("LC",Liste_rouge!A:A,2,1),"LC")</f>
        <v>LC</v>
      </c>
      <c r="AH13041" s="4" t="str">
        <f>HYPERLINK("#Statut_biogéographique!A"&amp;_xlfn.XMATCH("P",Statut_biogéographique!A:A,2,1),"P")</f>
        <v>P</v>
      </c>
      <c r="AP13041" s="4" t="s">
        <v>376</v>
      </c>
      <c r="AR13041" s="4" t="s">
        <v>377</v>
      </c>
    </row>
    <row r="13042" spans="1:44">
      <c r="A13042" s="4" t="s">
        <v>10753</v>
      </c>
      <c r="B13042" s="4">
        <v>240112</v>
      </c>
      <c r="D13042" s="5">
        <v>240112</v>
      </c>
      <c r="E13042" s="6" t="str">
        <f>HYPERLINK("https://inpn.mnhn.fr/espece/cd_nom/240112","Sphecodes crassanus Warncke, 1992")</f>
        <v>Sphecodes crassanus Warncke, 1992</v>
      </c>
      <c r="P13042" s="7" t="str">
        <f>HYPERLINK("#Liste_rouge!A"&amp;_xlfn.XMATCH("LC",Liste_rouge!A:A,2,1),"LC")</f>
        <v>LC</v>
      </c>
      <c r="AH13042" s="4" t="str">
        <f>HYPERLINK("#Statut_biogéographique!A"&amp;_xlfn.XMATCH("P",Statut_biogéographique!A:A,2,1),"P")</f>
        <v>P</v>
      </c>
      <c r="AP13042" s="4" t="s">
        <v>376</v>
      </c>
      <c r="AR13042" s="4" t="s">
        <v>377</v>
      </c>
    </row>
    <row r="13043" spans="1:44">
      <c r="A13043" s="4" t="s">
        <v>10753</v>
      </c>
      <c r="B13043" s="4">
        <v>240117</v>
      </c>
      <c r="D13043" s="5" t="s">
        <v>15735</v>
      </c>
      <c r="E13043" s="6" t="str">
        <f>HYPERLINK("https://inpn.mnhn.fr/espece/cd_nom/240117","Sphecodes ephippius (Linnaeus, 1767)")</f>
        <v>Sphecodes ephippius (Linnaeus, 1767)</v>
      </c>
      <c r="P13043" s="7" t="str">
        <f>HYPERLINK("#Liste_rouge!A"&amp;_xlfn.XMATCH("LC",Liste_rouge!A:A,2,1),"LC")</f>
        <v>LC</v>
      </c>
      <c r="AH13043" s="4" t="str">
        <f>HYPERLINK("#Statut_biogéographique!A"&amp;_xlfn.XMATCH("P",Statut_biogéographique!A:A,2,1),"P")</f>
        <v>P</v>
      </c>
      <c r="AP13043" s="4" t="s">
        <v>376</v>
      </c>
      <c r="AR13043" s="4" t="s">
        <v>377</v>
      </c>
    </row>
    <row r="13044" spans="1:44">
      <c r="A13044" s="4" t="s">
        <v>10753</v>
      </c>
      <c r="B13044" s="4">
        <v>240118</v>
      </c>
      <c r="D13044" s="5">
        <v>240118</v>
      </c>
      <c r="E13044" s="6" t="str">
        <f>HYPERLINK("https://inpn.mnhn.fr/espece/cd_nom/240118","Sphecodes ferruginatus Hagens, 1882")</f>
        <v>Sphecodes ferruginatus Hagens, 1882</v>
      </c>
      <c r="P13044" s="7" t="str">
        <f>HYPERLINK("#Liste_rouge!A"&amp;_xlfn.XMATCH("LC",Liste_rouge!A:A,2,1),"LC")</f>
        <v>LC</v>
      </c>
      <c r="AH13044" s="4" t="str">
        <f>HYPERLINK("#Statut_biogéographique!A"&amp;_xlfn.XMATCH("P",Statut_biogéographique!A:A,2,1),"P")</f>
        <v>P</v>
      </c>
      <c r="AP13044" s="4" t="s">
        <v>376</v>
      </c>
      <c r="AR13044" s="4" t="s">
        <v>377</v>
      </c>
    </row>
    <row r="13045" spans="1:44" ht="30">
      <c r="A13045" s="4" t="s">
        <v>10753</v>
      </c>
      <c r="B13045" s="4">
        <v>240119</v>
      </c>
      <c r="D13045" s="5" t="s">
        <v>15736</v>
      </c>
      <c r="E13045" s="6" t="str">
        <f>HYPERLINK("https://inpn.mnhn.fr/espece/cd_nom/240119","Sphecodes geoffrellus (Kirby, 1802)")</f>
        <v>Sphecodes geoffrellus (Kirby, 1802)</v>
      </c>
      <c r="P13045" s="7" t="str">
        <f>HYPERLINK("#Liste_rouge!A"&amp;_xlfn.XMATCH("LC",Liste_rouge!A:A,2,1),"LC")</f>
        <v>LC</v>
      </c>
      <c r="AH13045" s="4" t="str">
        <f>HYPERLINK("#Statut_biogéographique!A"&amp;_xlfn.XMATCH("P",Statut_biogéographique!A:A,2,1),"P")</f>
        <v>P</v>
      </c>
      <c r="AP13045" s="4" t="s">
        <v>376</v>
      </c>
      <c r="AR13045" s="4" t="s">
        <v>377</v>
      </c>
    </row>
    <row r="13046" spans="1:44">
      <c r="A13046" s="4" t="s">
        <v>10753</v>
      </c>
      <c r="B13046" s="4">
        <v>240120</v>
      </c>
      <c r="D13046" s="5" t="s">
        <v>15737</v>
      </c>
      <c r="E13046" s="6" t="str">
        <f>HYPERLINK("https://inpn.mnhn.fr/espece/cd_nom/240120","Sphecodes gibbus (Linnaeus, 1758)")</f>
        <v>Sphecodes gibbus (Linnaeus, 1758)</v>
      </c>
      <c r="P13046" s="7" t="str">
        <f>HYPERLINK("#Liste_rouge!A"&amp;_xlfn.XMATCH("LC",Liste_rouge!A:A,2,1),"LC")</f>
        <v>LC</v>
      </c>
      <c r="AH13046" s="4" t="str">
        <f>HYPERLINK("#Statut_biogéographique!A"&amp;_xlfn.XMATCH("P",Statut_biogéographique!A:A,2,1),"P")</f>
        <v>P</v>
      </c>
      <c r="AP13046" s="4" t="s">
        <v>376</v>
      </c>
      <c r="AR13046" s="4" t="s">
        <v>377</v>
      </c>
    </row>
    <row r="13047" spans="1:44">
      <c r="A13047" s="4" t="s">
        <v>10753</v>
      </c>
      <c r="B13047" s="4">
        <v>240121</v>
      </c>
      <c r="D13047" s="5">
        <v>240121</v>
      </c>
      <c r="E13047" s="6" t="str">
        <f>HYPERLINK("https://inpn.mnhn.fr/espece/cd_nom/240121","Sphecodes hyalinatus Hagens, 1882")</f>
        <v>Sphecodes hyalinatus Hagens, 1882</v>
      </c>
      <c r="P13047" s="7" t="str">
        <f>HYPERLINK("#Liste_rouge!A"&amp;_xlfn.XMATCH("NT",Liste_rouge!A:A,2,1),"NT")</f>
        <v>NT</v>
      </c>
      <c r="AH13047" s="4" t="str">
        <f>HYPERLINK("#Statut_biogéographique!A"&amp;_xlfn.XMATCH("P",Statut_biogéographique!A:A,2,1),"P")</f>
        <v>P</v>
      </c>
      <c r="AP13047" s="4" t="s">
        <v>376</v>
      </c>
      <c r="AR13047" s="4" t="s">
        <v>377</v>
      </c>
    </row>
    <row r="13048" spans="1:44">
      <c r="A13048" s="4" t="s">
        <v>10753</v>
      </c>
      <c r="B13048" s="4">
        <v>240122</v>
      </c>
      <c r="D13048" s="5">
        <v>240122</v>
      </c>
      <c r="E13048" s="6" t="str">
        <f>HYPERLINK("https://inpn.mnhn.fr/espece/cd_nom/240122","Sphecodes longulus Hagens, 1882")</f>
        <v>Sphecodes longulus Hagens, 1882</v>
      </c>
      <c r="P13048" s="7" t="str">
        <f>HYPERLINK("#Liste_rouge!A"&amp;_xlfn.XMATCH("LC",Liste_rouge!A:A,2,1),"LC")</f>
        <v>LC</v>
      </c>
      <c r="AH13048" s="4" t="str">
        <f>HYPERLINK("#Statut_biogéographique!A"&amp;_xlfn.XMATCH("P",Statut_biogéographique!A:A,2,1),"P")</f>
        <v>P</v>
      </c>
      <c r="AP13048" s="4" t="s">
        <v>376</v>
      </c>
      <c r="AR13048" s="4" t="s">
        <v>377</v>
      </c>
    </row>
    <row r="13049" spans="1:44">
      <c r="A13049" s="4" t="s">
        <v>10753</v>
      </c>
      <c r="B13049" s="4">
        <v>240126</v>
      </c>
      <c r="D13049" s="5" t="s">
        <v>15738</v>
      </c>
      <c r="E13049" s="6" t="str">
        <f>HYPERLINK("https://inpn.mnhn.fr/espece/cd_nom/240126","Sphecodes monilicornis (Kirby, 1802)")</f>
        <v>Sphecodes monilicornis (Kirby, 1802)</v>
      </c>
      <c r="P13049" s="7" t="str">
        <f>HYPERLINK("#Liste_rouge!A"&amp;_xlfn.XMATCH("LC",Liste_rouge!A:A,2,1),"LC")</f>
        <v>LC</v>
      </c>
      <c r="AH13049" s="4" t="str">
        <f>HYPERLINK("#Statut_biogéographique!A"&amp;_xlfn.XMATCH("P",Statut_biogéographique!A:A,2,1),"P")</f>
        <v>P</v>
      </c>
      <c r="AP13049" s="4" t="s">
        <v>376</v>
      </c>
      <c r="AR13049" s="4" t="s">
        <v>377</v>
      </c>
    </row>
    <row r="13050" spans="1:44">
      <c r="A13050" s="4" t="s">
        <v>10753</v>
      </c>
      <c r="B13050" s="4">
        <v>240127</v>
      </c>
      <c r="D13050" s="5" t="s">
        <v>15739</v>
      </c>
      <c r="E13050" s="6" t="str">
        <f>HYPERLINK("https://inpn.mnhn.fr/espece/cd_nom/240127","Sphecodes niger Hagens, 1874")</f>
        <v>Sphecodes niger Hagens, 1874</v>
      </c>
      <c r="P13050" s="7" t="str">
        <f>HYPERLINK("#Liste_rouge!A"&amp;_xlfn.XMATCH("LC",Liste_rouge!A:A,2,1),"LC")</f>
        <v>LC</v>
      </c>
      <c r="AH13050" s="4" t="str">
        <f>HYPERLINK("#Statut_biogéographique!A"&amp;_xlfn.XMATCH("P",Statut_biogéographique!A:A,2,1),"P")</f>
        <v>P</v>
      </c>
      <c r="AP13050" s="4" t="s">
        <v>376</v>
      </c>
      <c r="AR13050" s="4" t="s">
        <v>377</v>
      </c>
    </row>
    <row r="13051" spans="1:44">
      <c r="A13051" s="4" t="s">
        <v>10753</v>
      </c>
      <c r="B13051" s="4">
        <v>240130</v>
      </c>
      <c r="D13051" s="5">
        <v>240130</v>
      </c>
      <c r="E13051" s="6" t="str">
        <f>HYPERLINK("https://inpn.mnhn.fr/espece/cd_nom/240130","Sphecodes pseudofasciatus Blüthgen, 1925")</f>
        <v>Sphecodes pseudofasciatus Blüthgen, 1925</v>
      </c>
      <c r="P13051" s="7" t="str">
        <f>HYPERLINK("#Liste_rouge!A"&amp;_xlfn.XMATCH("DD",Liste_rouge!A:A,2,1),"DD")</f>
        <v>DD</v>
      </c>
      <c r="AH13051" s="4" t="str">
        <f>HYPERLINK("#Statut_biogéographique!A"&amp;_xlfn.XMATCH("P",Statut_biogéographique!A:A,2,1),"P")</f>
        <v>P</v>
      </c>
      <c r="AP13051" s="4" t="s">
        <v>376</v>
      </c>
      <c r="AR13051" s="4" t="s">
        <v>377</v>
      </c>
    </row>
    <row r="13052" spans="1:44">
      <c r="A13052" s="4" t="s">
        <v>10753</v>
      </c>
      <c r="B13052" s="4">
        <v>240132</v>
      </c>
      <c r="D13052" s="5">
        <v>240132</v>
      </c>
      <c r="E13052" s="6" t="str">
        <f>HYPERLINK("https://inpn.mnhn.fr/espece/cd_nom/240132","Sphecodes reticulatus Thomson, 1870")</f>
        <v>Sphecodes reticulatus Thomson, 1870</v>
      </c>
      <c r="P13052" s="7" t="str">
        <f>HYPERLINK("#Liste_rouge!A"&amp;_xlfn.XMATCH("LC",Liste_rouge!A:A,2,1),"LC")</f>
        <v>LC</v>
      </c>
      <c r="AH13052" s="4" t="str">
        <f>HYPERLINK("#Statut_biogéographique!A"&amp;_xlfn.XMATCH("P",Statut_biogéographique!A:A,2,1),"P")</f>
        <v>P</v>
      </c>
      <c r="AP13052" s="4" t="s">
        <v>376</v>
      </c>
      <c r="AR13052" s="4" t="s">
        <v>377</v>
      </c>
    </row>
    <row r="13053" spans="1:44">
      <c r="A13053" s="4" t="s">
        <v>10753</v>
      </c>
      <c r="B13053" s="4">
        <v>240133</v>
      </c>
      <c r="D13053" s="5" t="s">
        <v>15740</v>
      </c>
      <c r="E13053" s="6" t="str">
        <f>HYPERLINK("https://inpn.mnhn.fr/espece/cd_nom/240133","Sphecodes ruficrus (Erichson in Waltl, 1835)")</f>
        <v>Sphecodes ruficrus (Erichson in Waltl, 1835)</v>
      </c>
      <c r="P13053" s="7" t="str">
        <f>HYPERLINK("#Liste_rouge!A"&amp;_xlfn.XMATCH("LC",Liste_rouge!A:A,2,1),"LC")</f>
        <v>LC</v>
      </c>
      <c r="AH13053" s="4" t="str">
        <f>HYPERLINK("#Statut_biogéographique!A"&amp;_xlfn.XMATCH("P",Statut_biogéographique!A:A,2,1),"P")</f>
        <v>P</v>
      </c>
      <c r="AP13053" s="4" t="s">
        <v>376</v>
      </c>
      <c r="AR13053" s="4" t="s">
        <v>377</v>
      </c>
    </row>
    <row r="13054" spans="1:44">
      <c r="A13054" s="4" t="s">
        <v>10753</v>
      </c>
      <c r="B13054" s="4">
        <v>240134</v>
      </c>
      <c r="D13054" s="5" t="s">
        <v>15741</v>
      </c>
      <c r="E13054" s="6" t="str">
        <f>HYPERLINK("https://inpn.mnhn.fr/espece/cd_nom/240134","Sphecodes rufiventris (Panzer, 1797)")</f>
        <v>Sphecodes rufiventris (Panzer, 1797)</v>
      </c>
      <c r="P13054" s="7" t="str">
        <f>HYPERLINK("#Liste_rouge!A"&amp;_xlfn.XMATCH("LC",Liste_rouge!A:A,2,1),"LC")</f>
        <v>LC</v>
      </c>
      <c r="AH13054" s="4" t="str">
        <f>HYPERLINK("#Statut_biogéographique!A"&amp;_xlfn.XMATCH("P",Statut_biogéographique!A:A,2,1),"P")</f>
        <v>P</v>
      </c>
      <c r="AP13054" s="4" t="s">
        <v>376</v>
      </c>
      <c r="AR13054" s="4" t="s">
        <v>377</v>
      </c>
    </row>
    <row r="13055" spans="1:44" ht="30">
      <c r="A13055" s="4" t="s">
        <v>10753</v>
      </c>
      <c r="B13055" s="4">
        <v>240135</v>
      </c>
      <c r="D13055" s="5">
        <v>240135</v>
      </c>
      <c r="E13055" s="6" t="str">
        <f>HYPERLINK("https://inpn.mnhn.fr/espece/cd_nom/240135","Sphecodes scabricollis Wesmael in Sichel, 1866")</f>
        <v>Sphecodes scabricollis Wesmael in Sichel, 1866</v>
      </c>
      <c r="P13055" s="7" t="str">
        <f>HYPERLINK("#Liste_rouge!A"&amp;_xlfn.XMATCH("DD",Liste_rouge!A:A,2,1),"DD")</f>
        <v>DD</v>
      </c>
      <c r="AH13055" s="4" t="str">
        <f>HYPERLINK("#Statut_biogéographique!A"&amp;_xlfn.XMATCH("P",Statut_biogéographique!A:A,2,1),"P")</f>
        <v>P</v>
      </c>
      <c r="AP13055" s="4" t="s">
        <v>376</v>
      </c>
      <c r="AR13055" s="4" t="s">
        <v>377</v>
      </c>
    </row>
    <row r="13056" spans="1:44">
      <c r="A13056" s="4" t="s">
        <v>10753</v>
      </c>
      <c r="B13056" s="4">
        <v>240141</v>
      </c>
      <c r="D13056" s="5" t="s">
        <v>15742</v>
      </c>
      <c r="E13056" s="6" t="str">
        <f>HYPERLINK("https://inpn.mnhn.fr/espece/cd_nom/240141","Stelis breviuscula (Nylander, 1848)")</f>
        <v>Stelis breviuscula (Nylander, 1848)</v>
      </c>
      <c r="P13056" s="7" t="str">
        <f>HYPERLINK("#Liste_rouge!A"&amp;_xlfn.XMATCH("LC",Liste_rouge!A:A,2,1),"LC")</f>
        <v>LC</v>
      </c>
      <c r="AH13056" s="4" t="str">
        <f>HYPERLINK("#Statut_biogéographique!A"&amp;_xlfn.XMATCH("P",Statut_biogéographique!A:A,2,1),"P")</f>
        <v>P</v>
      </c>
      <c r="AP13056" s="4" t="s">
        <v>376</v>
      </c>
      <c r="AR13056" s="4" t="s">
        <v>377</v>
      </c>
    </row>
    <row r="13057" spans="1:44" ht="30">
      <c r="A13057" s="4" t="s">
        <v>10753</v>
      </c>
      <c r="B13057" s="4">
        <v>240142</v>
      </c>
      <c r="D13057" s="5">
        <v>240142</v>
      </c>
      <c r="E13057" s="6" t="str">
        <f>HYPERLINK("https://inpn.mnhn.fr/espece/cd_nom/240142","Stelis minuta Lepeletier de Saint Fargeau &amp; Audinet-Serville, 1825")</f>
        <v>Stelis minuta Lepeletier de Saint Fargeau &amp; Audinet-Serville, 1825</v>
      </c>
      <c r="P13057" s="7" t="str">
        <f>HYPERLINK("#Liste_rouge!A"&amp;_xlfn.XMATCH("LC",Liste_rouge!A:A,2,1),"LC")</f>
        <v>LC</v>
      </c>
      <c r="AH13057" s="4" t="str">
        <f>HYPERLINK("#Statut_biogéographique!A"&amp;_xlfn.XMATCH("P",Statut_biogéographique!A:A,2,1),"P")</f>
        <v>P</v>
      </c>
      <c r="AP13057" s="4" t="s">
        <v>376</v>
      </c>
      <c r="AR13057" s="4" t="s">
        <v>377</v>
      </c>
    </row>
    <row r="13058" spans="1:44">
      <c r="A13058" s="4" t="s">
        <v>10753</v>
      </c>
      <c r="B13058" s="4">
        <v>240144</v>
      </c>
      <c r="D13058" s="5" t="s">
        <v>15743</v>
      </c>
      <c r="E13058" s="6" t="str">
        <f>HYPERLINK("https://inpn.mnhn.fr/espece/cd_nom/240144","Stelis ornatula (Klug, 1808)")</f>
        <v>Stelis ornatula (Klug, 1808)</v>
      </c>
      <c r="P13058" s="7" t="str">
        <f>HYPERLINK("#Liste_rouge!A"&amp;_xlfn.XMATCH("LC",Liste_rouge!A:A,2,1),"LC")</f>
        <v>LC</v>
      </c>
      <c r="AH13058" s="4" t="str">
        <f>HYPERLINK("#Statut_biogéographique!A"&amp;_xlfn.XMATCH("P",Statut_biogéographique!A:A,2,1),"P")</f>
        <v>P</v>
      </c>
      <c r="AP13058" s="4" t="s">
        <v>376</v>
      </c>
      <c r="AR13058" s="4" t="s">
        <v>377</v>
      </c>
    </row>
    <row r="13059" spans="1:44">
      <c r="A13059" s="4" t="s">
        <v>10753</v>
      </c>
      <c r="B13059" s="4">
        <v>240145</v>
      </c>
      <c r="D13059" s="5" t="s">
        <v>15744</v>
      </c>
      <c r="E13059" s="6" t="str">
        <f>HYPERLINK("https://inpn.mnhn.fr/espece/cd_nom/240145","Stelis signata (Latreille, 1809)")</f>
        <v>Stelis signata (Latreille, 1809)</v>
      </c>
      <c r="P13059" s="7" t="str">
        <f>HYPERLINK("#Liste_rouge!A"&amp;_xlfn.XMATCH("LC",Liste_rouge!A:A,2,1),"LC")</f>
        <v>LC</v>
      </c>
      <c r="AH13059" s="4" t="str">
        <f>HYPERLINK("#Statut_biogéographique!A"&amp;_xlfn.XMATCH("P",Statut_biogéographique!A:A,2,1),"P")</f>
        <v>P</v>
      </c>
      <c r="AP13059" s="4" t="s">
        <v>376</v>
      </c>
      <c r="AR13059" s="4" t="s">
        <v>377</v>
      </c>
    </row>
    <row r="13060" spans="1:44">
      <c r="A13060" s="4" t="s">
        <v>10753</v>
      </c>
      <c r="B13060" s="4">
        <v>240151</v>
      </c>
      <c r="D13060" s="5" t="s">
        <v>15745</v>
      </c>
      <c r="E13060" s="6" t="str">
        <f>HYPERLINK("https://inpn.mnhn.fr/espece/cd_nom/240151","Tetralonia malvae (Rossi, 1790)")</f>
        <v>Tetralonia malvae (Rossi, 1790)</v>
      </c>
      <c r="F13060" s="5" t="s">
        <v>15746</v>
      </c>
      <c r="P13060" s="7" t="str">
        <f>HYPERLINK("#Liste_rouge!A"&amp;_xlfn.XMATCH("LC",Liste_rouge!A:A,2,1),"LC")</f>
        <v>LC</v>
      </c>
      <c r="AH13060" s="4" t="str">
        <f>HYPERLINK("#Statut_biogéographique!A"&amp;_xlfn.XMATCH("P",Statut_biogéographique!A:A,2,1),"P")</f>
        <v>P</v>
      </c>
      <c r="AP13060" s="4" t="s">
        <v>376</v>
      </c>
      <c r="AR13060" s="4" t="s">
        <v>377</v>
      </c>
    </row>
    <row r="13061" spans="1:44">
      <c r="A13061" s="4" t="s">
        <v>10753</v>
      </c>
      <c r="B13061" s="4">
        <v>240169</v>
      </c>
      <c r="D13061" s="5" t="s">
        <v>15747</v>
      </c>
      <c r="E13061" s="6" t="str">
        <f>HYPERLINK("https://inpn.mnhn.fr/espece/cd_nom/240169","Thyreus orbatus (Lepeletier, 1841)")</f>
        <v>Thyreus orbatus (Lepeletier, 1841)</v>
      </c>
      <c r="F13061" s="5" t="s">
        <v>15748</v>
      </c>
      <c r="P13061" s="7" t="str">
        <f>HYPERLINK("#Liste_rouge!A"&amp;_xlfn.XMATCH("LC",Liste_rouge!A:A,2,1),"LC")</f>
        <v>LC</v>
      </c>
      <c r="AH13061" s="4" t="str">
        <f>HYPERLINK("#Statut_biogéographique!A"&amp;_xlfn.XMATCH("P",Statut_biogéographique!A:A,2,1),"P")</f>
        <v>P</v>
      </c>
      <c r="AP13061" s="4" t="s">
        <v>376</v>
      </c>
      <c r="AR13061" s="4" t="s">
        <v>377</v>
      </c>
    </row>
    <row r="13062" spans="1:44">
      <c r="A13062" s="4" t="s">
        <v>10753</v>
      </c>
      <c r="B13062" s="4">
        <v>240178</v>
      </c>
      <c r="D13062" s="5" t="s">
        <v>15749</v>
      </c>
      <c r="E13062" s="6" t="str">
        <f>HYPERLINK("https://inpn.mnhn.fr/espece/cd_nom/240178","Xylocopa iris (Christ, 1791)")</f>
        <v>Xylocopa iris (Christ, 1791)</v>
      </c>
      <c r="F13062" s="5" t="s">
        <v>15750</v>
      </c>
      <c r="P13062" s="7" t="str">
        <f>HYPERLINK("#Liste_rouge!A"&amp;_xlfn.XMATCH("LC",Liste_rouge!A:A,2,1),"LC")</f>
        <v>LC</v>
      </c>
      <c r="AH13062" s="4" t="str">
        <f>HYPERLINK("#Statut_biogéographique!A"&amp;_xlfn.XMATCH("P",Statut_biogéographique!A:A,2,1),"P")</f>
        <v>P</v>
      </c>
      <c r="AP13062" s="4" t="s">
        <v>376</v>
      </c>
      <c r="AR13062" s="4" t="s">
        <v>377</v>
      </c>
    </row>
    <row r="13063" spans="1:44">
      <c r="A13063" s="4" t="s">
        <v>10753</v>
      </c>
      <c r="B13063" s="4">
        <v>240179</v>
      </c>
      <c r="D13063" s="5">
        <v>240179</v>
      </c>
      <c r="E13063" s="6" t="str">
        <f>HYPERLINK("https://inpn.mnhn.fr/espece/cd_nom/240179","Xylocopa valga Gerstäcker, 1872")</f>
        <v>Xylocopa valga Gerstäcker, 1872</v>
      </c>
      <c r="F13063" s="5" t="s">
        <v>15751</v>
      </c>
      <c r="P13063" s="7" t="str">
        <f>HYPERLINK("#Liste_rouge!A"&amp;_xlfn.XMATCH("LC",Liste_rouge!A:A,2,1),"LC")</f>
        <v>LC</v>
      </c>
      <c r="AH13063" s="4" t="str">
        <f>HYPERLINK("#Statut_biogéographique!A"&amp;_xlfn.XMATCH("P",Statut_biogéographique!A:A,2,1),"P")</f>
        <v>P</v>
      </c>
      <c r="AP13063" s="4" t="s">
        <v>376</v>
      </c>
      <c r="AR13063" s="4" t="s">
        <v>377</v>
      </c>
    </row>
    <row r="13064" spans="1:44">
      <c r="A13064" s="4" t="s">
        <v>10753</v>
      </c>
      <c r="B13064" s="4">
        <v>240245</v>
      </c>
      <c r="D13064" s="5" t="s">
        <v>15752</v>
      </c>
      <c r="E13064" s="6" t="str">
        <f>HYPERLINK("https://inpn.mnhn.fr/espece/cd_nom/240245","Tubifex tubifex (Müller, 1774)")</f>
        <v>Tubifex tubifex (Müller, 1774)</v>
      </c>
      <c r="AH13064" s="4" t="str">
        <f>HYPERLINK("#Statut_biogéographique!A"&amp;_xlfn.XMATCH("P",Statut_biogéographique!A:A,2,1),"P")</f>
        <v>P</v>
      </c>
      <c r="AP13064" s="4" t="s">
        <v>376</v>
      </c>
      <c r="AR13064" s="4" t="s">
        <v>377</v>
      </c>
    </row>
    <row r="13065" spans="1:44">
      <c r="A13065" s="4" t="s">
        <v>10753</v>
      </c>
      <c r="B13065" s="4">
        <v>240253</v>
      </c>
      <c r="D13065" s="5" t="s">
        <v>15753</v>
      </c>
      <c r="E13065" s="6" t="str">
        <f>HYPERLINK("https://inpn.mnhn.fr/espece/cd_nom/240253","Potamothrix bedoti (Piguet, 1913)")</f>
        <v>Potamothrix bedoti (Piguet, 1913)</v>
      </c>
      <c r="AH13065" s="4" t="str">
        <f>HYPERLINK("#Statut_biogéographique!A"&amp;_xlfn.XMATCH("P",Statut_biogéographique!A:A,2,1),"P")</f>
        <v>P</v>
      </c>
      <c r="AP13065" s="4" t="s">
        <v>376</v>
      </c>
      <c r="AR13065" s="4" t="s">
        <v>377</v>
      </c>
    </row>
    <row r="13066" spans="1:44" ht="30">
      <c r="A13066" s="4" t="s">
        <v>10753</v>
      </c>
      <c r="B13066" s="4">
        <v>240254</v>
      </c>
      <c r="D13066" s="5" t="s">
        <v>15754</v>
      </c>
      <c r="E13066" s="6" t="str">
        <f>HYPERLINK("https://inpn.mnhn.fr/espece/cd_nom/240254","Potamothrix hammoniensis (Michaelsen, 1901)")</f>
        <v>Potamothrix hammoniensis (Michaelsen, 1901)</v>
      </c>
      <c r="AH13066" s="4" t="str">
        <f>HYPERLINK("#Statut_biogéographique!A"&amp;_xlfn.XMATCH("P",Statut_biogéographique!A:A,2,1),"P")</f>
        <v>P</v>
      </c>
      <c r="AP13066" s="4" t="s">
        <v>376</v>
      </c>
      <c r="AR13066" s="4" t="s">
        <v>377</v>
      </c>
    </row>
    <row r="13067" spans="1:44">
      <c r="A13067" s="4" t="s">
        <v>10753</v>
      </c>
      <c r="B13067" s="4">
        <v>240258</v>
      </c>
      <c r="D13067" s="5" t="s">
        <v>15755</v>
      </c>
      <c r="E13067" s="6" t="str">
        <f>HYPERLINK("https://inpn.mnhn.fr/espece/cd_nom/240258","Limnodrilus claparedianus Ratzel, 1869")</f>
        <v>Limnodrilus claparedianus Ratzel, 1869</v>
      </c>
      <c r="AH13067" s="4" t="str">
        <f>HYPERLINK("#Statut_biogéographique!A"&amp;_xlfn.XMATCH("P",Statut_biogéographique!A:A,2,1),"P")</f>
        <v>P</v>
      </c>
      <c r="AP13067" s="4" t="s">
        <v>376</v>
      </c>
      <c r="AR13067" s="4" t="s">
        <v>377</v>
      </c>
    </row>
    <row r="13068" spans="1:44">
      <c r="A13068" s="4" t="s">
        <v>10753</v>
      </c>
      <c r="B13068" s="4">
        <v>240260</v>
      </c>
      <c r="D13068" s="5" t="s">
        <v>15756</v>
      </c>
      <c r="E13068" s="6" t="str">
        <f>HYPERLINK("https://inpn.mnhn.fr/espece/cd_nom/240260","Limnodrilus udekemianus Claparède, 1862")</f>
        <v>Limnodrilus udekemianus Claparède, 1862</v>
      </c>
      <c r="AH13068" s="4" t="str">
        <f>HYPERLINK("#Statut_biogéographique!A"&amp;_xlfn.XMATCH("P",Statut_biogéographique!A:A,2,1),"P")</f>
        <v>P</v>
      </c>
      <c r="AP13068" s="4" t="s">
        <v>376</v>
      </c>
      <c r="AR13068" s="4" t="s">
        <v>377</v>
      </c>
    </row>
    <row r="13069" spans="1:44">
      <c r="A13069" s="4" t="s">
        <v>10753</v>
      </c>
      <c r="B13069" s="4">
        <v>24027</v>
      </c>
      <c r="D13069" s="5" t="s">
        <v>15757</v>
      </c>
      <c r="E13069" s="6" t="str">
        <f>HYPERLINK("https://inpn.mnhn.fr/espece/cd_nom/24027","Micropeza corrigiolata (Linnaeus, 1767)")</f>
        <v>Micropeza corrigiolata (Linnaeus, 1767)</v>
      </c>
      <c r="AH13069" s="4" t="str">
        <f>HYPERLINK("#Statut_biogéographique!A"&amp;_xlfn.XMATCH("P",Statut_biogéographique!A:A,2,1),"P")</f>
        <v>P</v>
      </c>
      <c r="AP13069" s="4" t="s">
        <v>376</v>
      </c>
      <c r="AR13069" s="4" t="s">
        <v>377</v>
      </c>
    </row>
    <row r="13070" spans="1:44">
      <c r="A13070" s="4" t="s">
        <v>10753</v>
      </c>
      <c r="B13070" s="4">
        <v>240286</v>
      </c>
      <c r="D13070" s="5" t="s">
        <v>15758</v>
      </c>
      <c r="E13070" s="6" t="str">
        <f>HYPERLINK("https://inpn.mnhn.fr/espece/cd_nom/240286","Mecostethus parapleurus (Hagenbach, 1822)")</f>
        <v>Mecostethus parapleurus (Hagenbach, 1822)</v>
      </c>
      <c r="F13070" s="5" t="s">
        <v>15759</v>
      </c>
      <c r="P13070" s="7" t="str">
        <f>HYPERLINK("#Liste_rouge!A"&amp;_xlfn.XMATCH("LC",Liste_rouge!A:A,2,1),"LC")</f>
        <v>LC</v>
      </c>
      <c r="V13070" s="7" t="str">
        <f>HYPERLINK("#Liste_rouge!A"&amp;_xlfn.XMATCH("LC",Liste_rouge!A:A,2,1),"LC")</f>
        <v>LC</v>
      </c>
      <c r="AH13070" s="4" t="str">
        <f>HYPERLINK("#Statut_biogéographique!A"&amp;_xlfn.XMATCH("P",Statut_biogéographique!A:A,2,1),"P")</f>
        <v>P</v>
      </c>
      <c r="AM13070" s="4" t="s">
        <v>375</v>
      </c>
      <c r="AN13070" s="4" t="s">
        <v>375</v>
      </c>
      <c r="AO13070" s="4" t="s">
        <v>375</v>
      </c>
      <c r="AP13070" s="4" t="s">
        <v>376</v>
      </c>
      <c r="AR13070" s="4" t="s">
        <v>377</v>
      </c>
    </row>
    <row r="13071" spans="1:44">
      <c r="A13071" s="4" t="s">
        <v>10753</v>
      </c>
      <c r="B13071" s="4">
        <v>240287</v>
      </c>
      <c r="D13071" s="5" t="s">
        <v>15760</v>
      </c>
      <c r="E13071" s="6" t="str">
        <f>HYPERLINK("https://inpn.mnhn.fr/espece/cd_nom/240287","Euchorthippus elegantulus Zeuner, 1940")</f>
        <v>Euchorthippus elegantulus Zeuner, 1940</v>
      </c>
      <c r="O13071" s="7" t="str">
        <f>HYPERLINK("#Liste_rouge!A"&amp;_xlfn.XMATCH("LC",Liste_rouge!A:A,2,1),"LC")</f>
        <v>LC</v>
      </c>
      <c r="P13071" s="7" t="str">
        <f>HYPERLINK("#Liste_rouge!A"&amp;_xlfn.XMATCH("LC",Liste_rouge!A:A,2,1),"LC")</f>
        <v>LC</v>
      </c>
      <c r="AH13071" s="4" t="str">
        <f>HYPERLINK("#Statut_biogéographique!A"&amp;_xlfn.XMATCH("P",Statut_biogéographique!A:A,2,1),"P")</f>
        <v>P</v>
      </c>
      <c r="AP13071" s="4" t="s">
        <v>376</v>
      </c>
      <c r="AR13071" s="4" t="s">
        <v>377</v>
      </c>
    </row>
    <row r="13072" spans="1:44">
      <c r="A13072" s="4" t="s">
        <v>10753</v>
      </c>
      <c r="B13072" s="4">
        <v>240297</v>
      </c>
      <c r="D13072" s="5" t="s">
        <v>15761</v>
      </c>
      <c r="E13072" s="6" t="str">
        <f>HYPERLINK("https://inpn.mnhn.fr/espece/cd_nom/240297","Temnocerus longiceps (C.G. Thomson, 1888)")</f>
        <v>Temnocerus longiceps (C.G. Thomson, 1888)</v>
      </c>
      <c r="AH13072" s="4" t="str">
        <f>HYPERLINK("#Statut_biogéographique!A"&amp;_xlfn.XMATCH("P",Statut_biogéographique!A:A,2,1),"P")</f>
        <v>P</v>
      </c>
      <c r="AP13072" s="4" t="s">
        <v>376</v>
      </c>
      <c r="AR13072" s="4" t="s">
        <v>377</v>
      </c>
    </row>
    <row r="13073" spans="1:44" ht="30">
      <c r="A13073" s="4" t="s">
        <v>10753</v>
      </c>
      <c r="B13073" s="4">
        <v>240298</v>
      </c>
      <c r="D13073" s="5" t="s">
        <v>15762</v>
      </c>
      <c r="E13073" s="6" t="str">
        <f>HYPERLINK("https://inpn.mnhn.fr/espece/cd_nom/240298","Temnocerus nanus (Paykull, 1792)")</f>
        <v>Temnocerus nanus (Paykull, 1792)</v>
      </c>
      <c r="AH13073" s="4" t="str">
        <f>HYPERLINK("#Statut_biogéographique!A"&amp;_xlfn.XMATCH("P",Statut_biogéographique!A:A,2,1),"P")</f>
        <v>P</v>
      </c>
      <c r="AP13073" s="4" t="s">
        <v>376</v>
      </c>
      <c r="AR13073" s="4" t="s">
        <v>377</v>
      </c>
    </row>
    <row r="13074" spans="1:44">
      <c r="A13074" s="4" t="s">
        <v>10753</v>
      </c>
      <c r="B13074" s="4">
        <v>24030</v>
      </c>
      <c r="D13074" s="5" t="s">
        <v>15763</v>
      </c>
      <c r="E13074" s="6" t="str">
        <f>HYPERLINK("https://inpn.mnhn.fr/espece/cd_nom/24030","Neria ephippium (Fabricius, 1794)")</f>
        <v>Neria ephippium (Fabricius, 1794)</v>
      </c>
      <c r="AH13074" s="4" t="str">
        <f>HYPERLINK("#Statut_biogéographique!A"&amp;_xlfn.XMATCH("P",Statut_biogéographique!A:A,2,1),"P")</f>
        <v>P</v>
      </c>
      <c r="AP13074" s="4" t="s">
        <v>376</v>
      </c>
      <c r="AR13074" s="4" t="s">
        <v>377</v>
      </c>
    </row>
    <row r="13075" spans="1:44" ht="30">
      <c r="A13075" s="4" t="s">
        <v>10753</v>
      </c>
      <c r="B13075" s="4">
        <v>240300</v>
      </c>
      <c r="D13075" s="5" t="s">
        <v>15764</v>
      </c>
      <c r="E13075" s="6" t="str">
        <f>HYPERLINK("https://inpn.mnhn.fr/espece/cd_nom/240300","Tatianaerhynchites aequatus (Linnaeus, 1767)")</f>
        <v>Tatianaerhynchites aequatus (Linnaeus, 1767)</v>
      </c>
      <c r="F13075" s="5" t="s">
        <v>15765</v>
      </c>
      <c r="AH13075" s="4" t="str">
        <f>HYPERLINK("#Statut_biogéographique!A"&amp;_xlfn.XMATCH("P",Statut_biogéographique!A:A,2,1),"P")</f>
        <v>P</v>
      </c>
      <c r="AP13075" s="4" t="s">
        <v>376</v>
      </c>
      <c r="AR13075" s="4" t="s">
        <v>377</v>
      </c>
    </row>
    <row r="13076" spans="1:44">
      <c r="A13076" s="4" t="s">
        <v>10753</v>
      </c>
      <c r="B13076" s="4">
        <v>240305</v>
      </c>
      <c r="D13076" s="5" t="s">
        <v>15766</v>
      </c>
      <c r="E13076" s="6" t="str">
        <f>HYPERLINK("https://inpn.mnhn.fr/espece/cd_nom/240305","Neocoenorrhinus germanicus (Herbst, 1797)")</f>
        <v>Neocoenorrhinus germanicus (Herbst, 1797)</v>
      </c>
      <c r="AH13076" s="4" t="str">
        <f>HYPERLINK("#Statut_biogéographique!A"&amp;_xlfn.XMATCH("P",Statut_biogéographique!A:A,2,1),"P")</f>
        <v>P</v>
      </c>
      <c r="AP13076" s="4" t="s">
        <v>376</v>
      </c>
      <c r="AR13076" s="4" t="s">
        <v>377</v>
      </c>
    </row>
    <row r="13077" spans="1:44" ht="30">
      <c r="A13077" s="4" t="s">
        <v>10753</v>
      </c>
      <c r="B13077" s="4">
        <v>240306</v>
      </c>
      <c r="D13077" s="5" t="s">
        <v>15767</v>
      </c>
      <c r="E13077" s="6" t="str">
        <f>HYPERLINK("https://inpn.mnhn.fr/espece/cd_nom/240306","Neocoenorrhinus interpunctatus (Stephens, 1831)")</f>
        <v>Neocoenorrhinus interpunctatus (Stephens, 1831)</v>
      </c>
      <c r="AH13077" s="4" t="str">
        <f>HYPERLINK("#Statut_biogéographique!A"&amp;_xlfn.XMATCH("P",Statut_biogéographique!A:A,2,1),"P")</f>
        <v>P</v>
      </c>
      <c r="AP13077" s="4" t="s">
        <v>376</v>
      </c>
      <c r="AR13077" s="4" t="s">
        <v>377</v>
      </c>
    </row>
    <row r="13078" spans="1:44" ht="30">
      <c r="A13078" s="4" t="s">
        <v>10753</v>
      </c>
      <c r="B13078" s="4">
        <v>240307</v>
      </c>
      <c r="D13078" s="5" t="s">
        <v>15768</v>
      </c>
      <c r="E13078" s="6" t="str">
        <f>HYPERLINK("https://inpn.mnhn.fr/espece/cd_nom/240307","Neocoenorrhinus pauxillus (Germar, 1823)")</f>
        <v>Neocoenorrhinus pauxillus (Germar, 1823)</v>
      </c>
      <c r="AH13078" s="4" t="str">
        <f>HYPERLINK("#Statut_biogéographique!A"&amp;_xlfn.XMATCH("P",Statut_biogéographique!A:A,2,1),"P")</f>
        <v>P</v>
      </c>
      <c r="AP13078" s="4" t="s">
        <v>376</v>
      </c>
      <c r="AR13078" s="4" t="s">
        <v>377</v>
      </c>
    </row>
    <row r="13079" spans="1:44" ht="30">
      <c r="A13079" s="4" t="s">
        <v>10753</v>
      </c>
      <c r="B13079" s="4">
        <v>240308</v>
      </c>
      <c r="D13079" s="5" t="s">
        <v>15769</v>
      </c>
      <c r="E13079" s="6" t="str">
        <f>HYPERLINK("https://inpn.mnhn.fr/espece/cd_nom/240308","Lasiorhynchites caeruleocephalus (Schaller, 1783)")</f>
        <v>Lasiorhynchites caeruleocephalus (Schaller, 1783)</v>
      </c>
      <c r="AH13079" s="4" t="str">
        <f>HYPERLINK("#Statut_biogéographique!A"&amp;_xlfn.XMATCH("P",Statut_biogéographique!A:A,2,1),"P")</f>
        <v>P</v>
      </c>
      <c r="AP13079" s="4" t="s">
        <v>376</v>
      </c>
      <c r="AR13079" s="4" t="s">
        <v>377</v>
      </c>
    </row>
    <row r="13080" spans="1:44">
      <c r="A13080" s="4" t="s">
        <v>10753</v>
      </c>
      <c r="B13080" s="4">
        <v>240310</v>
      </c>
      <c r="D13080" s="5" t="s">
        <v>15770</v>
      </c>
      <c r="E13080" s="6" t="str">
        <f>HYPERLINK("https://inpn.mnhn.fr/espece/cd_nom/240310","Involvulus cupreus (Linnaeus, 1758)")</f>
        <v>Involvulus cupreus (Linnaeus, 1758)</v>
      </c>
      <c r="F13080" s="5" t="s">
        <v>15771</v>
      </c>
      <c r="AH13080" s="4" t="str">
        <f>HYPERLINK("#Statut_biogéographique!A"&amp;_xlfn.XMATCH("P",Statut_biogéographique!A:A,2,1),"P")</f>
        <v>P</v>
      </c>
      <c r="AP13080" s="4" t="s">
        <v>376</v>
      </c>
      <c r="AR13080" s="4" t="s">
        <v>377</v>
      </c>
    </row>
    <row r="13081" spans="1:44">
      <c r="A13081" s="4" t="s">
        <v>10753</v>
      </c>
      <c r="B13081" s="4">
        <v>240313</v>
      </c>
      <c r="D13081" s="5">
        <v>240313</v>
      </c>
      <c r="E13081" s="6" t="str">
        <f>HYPERLINK("https://inpn.mnhn.fr/espece/cd_nom/240313","Dryops anglicanus Edwards, 1909")</f>
        <v>Dryops anglicanus Edwards, 1909</v>
      </c>
      <c r="AH13081" s="4" t="str">
        <f>HYPERLINK("#Statut_biogéographique!A"&amp;_xlfn.XMATCH("P",Statut_biogéographique!A:A,2,1),"P")</f>
        <v>P</v>
      </c>
      <c r="AP13081" s="4" t="s">
        <v>376</v>
      </c>
      <c r="AR13081" s="4" t="s">
        <v>377</v>
      </c>
    </row>
    <row r="13082" spans="1:44">
      <c r="A13082" s="4" t="s">
        <v>10753</v>
      </c>
      <c r="B13082" s="4">
        <v>240318</v>
      </c>
      <c r="D13082" s="5" t="s">
        <v>15772</v>
      </c>
      <c r="E13082" s="6" t="str">
        <f>HYPERLINK("https://inpn.mnhn.fr/espece/cd_nom/240318","Dryops nitidulus (Heer, 1841)")</f>
        <v>Dryops nitidulus (Heer, 1841)</v>
      </c>
      <c r="AH13082" s="4" t="str">
        <f>HYPERLINK("#Statut_biogéographique!A"&amp;_xlfn.XMATCH("P",Statut_biogéographique!A:A,2,1),"P")</f>
        <v>P</v>
      </c>
      <c r="AP13082" s="4" t="s">
        <v>376</v>
      </c>
      <c r="AR13082" s="4" t="s">
        <v>377</v>
      </c>
    </row>
    <row r="13083" spans="1:44">
      <c r="A13083" s="4" t="s">
        <v>10753</v>
      </c>
      <c r="B13083" s="4">
        <v>24032</v>
      </c>
      <c r="D13083" s="5" t="s">
        <v>15773</v>
      </c>
      <c r="E13083" s="6" t="str">
        <f>HYPERLINK("https://inpn.mnhn.fr/espece/cd_nom/24032","Rainieria calceata (Fallén, 1820)")</f>
        <v>Rainieria calceata (Fallén, 1820)</v>
      </c>
      <c r="AH13083" s="4" t="str">
        <f>HYPERLINK("#Statut_biogéographique!A"&amp;_xlfn.XMATCH("P",Statut_biogéographique!A:A,2,1),"P")</f>
        <v>P</v>
      </c>
      <c r="AP13083" s="4" t="s">
        <v>376</v>
      </c>
      <c r="AR13083" s="4" t="s">
        <v>377</v>
      </c>
    </row>
    <row r="13084" spans="1:44">
      <c r="A13084" s="4" t="s">
        <v>10753</v>
      </c>
      <c r="B13084" s="4">
        <v>240320</v>
      </c>
      <c r="D13084" s="5" t="s">
        <v>15774</v>
      </c>
      <c r="E13084" s="6" t="str">
        <f>HYPERLINK("https://inpn.mnhn.fr/espece/cd_nom/240320","Dryops similaris Bollow, 1936")</f>
        <v>Dryops similaris Bollow, 1936</v>
      </c>
      <c r="AH13084" s="4" t="str">
        <f>HYPERLINK("#Statut_biogéographique!A"&amp;_xlfn.XMATCH("P",Statut_biogéographique!A:A,2,1),"P")</f>
        <v>P</v>
      </c>
      <c r="AP13084" s="4" t="s">
        <v>376</v>
      </c>
      <c r="AR13084" s="4" t="s">
        <v>377</v>
      </c>
    </row>
    <row r="13085" spans="1:44">
      <c r="A13085" s="4" t="s">
        <v>10753</v>
      </c>
      <c r="B13085" s="4">
        <v>240324</v>
      </c>
      <c r="D13085" s="5" t="s">
        <v>15775</v>
      </c>
      <c r="E13085" s="6" t="str">
        <f>HYPERLINK("https://inpn.mnhn.fr/espece/cd_nom/240324","Dryops sulcipennis (A. Costa, 1883)")</f>
        <v>Dryops sulcipennis (A. Costa, 1883)</v>
      </c>
      <c r="AH13085" s="4" t="str">
        <f>HYPERLINK("#Statut_biogéographique!A"&amp;_xlfn.XMATCH("P",Statut_biogéographique!A:A,2,1),"P")</f>
        <v>P</v>
      </c>
      <c r="AP13085" s="4" t="s">
        <v>376</v>
      </c>
      <c r="AR13085" s="4" t="s">
        <v>377</v>
      </c>
    </row>
    <row r="13086" spans="1:44" ht="30">
      <c r="A13086" s="4" t="s">
        <v>10753</v>
      </c>
      <c r="B13086" s="4">
        <v>240326</v>
      </c>
      <c r="D13086" s="5" t="s">
        <v>15776</v>
      </c>
      <c r="E13086" s="6" t="str">
        <f>HYPERLINK("https://inpn.mnhn.fr/espece/cd_nom/240326","Pomatinus substriatus (P.W.J. Müller, 1806)")</f>
        <v>Pomatinus substriatus (P.W.J. Müller, 1806)</v>
      </c>
      <c r="AH13086" s="4" t="str">
        <f>HYPERLINK("#Statut_biogéographique!A"&amp;_xlfn.XMATCH("P",Statut_biogéographique!A:A,2,1),"P")</f>
        <v>P</v>
      </c>
      <c r="AP13086" s="4" t="s">
        <v>376</v>
      </c>
      <c r="AR13086" s="4" t="s">
        <v>377</v>
      </c>
    </row>
    <row r="13087" spans="1:44">
      <c r="A13087" s="4" t="s">
        <v>10753</v>
      </c>
      <c r="B13087" s="4">
        <v>240328</v>
      </c>
      <c r="D13087" s="5" t="s">
        <v>15777</v>
      </c>
      <c r="E13087" s="6" t="str">
        <f>HYPERLINK("https://inpn.mnhn.fr/espece/cd_nom/240328","Adrastus axillaris Erichson, 1841")</f>
        <v>Adrastus axillaris Erichson, 1841</v>
      </c>
      <c r="AH13087" s="4" t="str">
        <f>HYPERLINK("#Statut_biogéographique!A"&amp;_xlfn.XMATCH("P",Statut_biogéographique!A:A,2,1),"P")</f>
        <v>P</v>
      </c>
      <c r="AP13087" s="4" t="s">
        <v>376</v>
      </c>
      <c r="AR13087" s="4" t="s">
        <v>377</v>
      </c>
    </row>
    <row r="13088" spans="1:44">
      <c r="A13088" s="4" t="s">
        <v>10753</v>
      </c>
      <c r="B13088" s="4">
        <v>240329</v>
      </c>
      <c r="D13088" s="5">
        <v>240329</v>
      </c>
      <c r="E13088" s="6" t="str">
        <f>HYPERLINK("https://inpn.mnhn.fr/espece/cd_nom/240329","Adrastus lacertosus Erichson, 1841")</f>
        <v>Adrastus lacertosus Erichson, 1841</v>
      </c>
      <c r="AH13088" s="4" t="str">
        <f>HYPERLINK("#Statut_biogéographique!A"&amp;_xlfn.XMATCH("P",Statut_biogéographique!A:A,2,1),"P")</f>
        <v>P</v>
      </c>
      <c r="AP13088" s="4" t="s">
        <v>376</v>
      </c>
      <c r="AR13088" s="4" t="s">
        <v>377</v>
      </c>
    </row>
    <row r="13089" spans="1:44">
      <c r="A13089" s="4" t="s">
        <v>10753</v>
      </c>
      <c r="B13089" s="4">
        <v>240330</v>
      </c>
      <c r="D13089" s="5" t="s">
        <v>15778</v>
      </c>
      <c r="E13089" s="6" t="str">
        <f>HYPERLINK("https://inpn.mnhn.fr/espece/cd_nom/240330","Adrastus pallens (Fabricius, 1792)")</f>
        <v>Adrastus pallens (Fabricius, 1792)</v>
      </c>
      <c r="AH13089" s="4" t="str">
        <f>HYPERLINK("#Statut_biogéographique!A"&amp;_xlfn.XMATCH("P",Statut_biogéographique!A:A,2,1),"P")</f>
        <v>P</v>
      </c>
      <c r="AP13089" s="4" t="s">
        <v>376</v>
      </c>
      <c r="AR13089" s="4" t="s">
        <v>377</v>
      </c>
    </row>
    <row r="13090" spans="1:44">
      <c r="A13090" s="4" t="s">
        <v>10753</v>
      </c>
      <c r="B13090" s="4">
        <v>240333</v>
      </c>
      <c r="D13090" s="5" t="s">
        <v>15779</v>
      </c>
      <c r="E13090" s="6" t="str">
        <f>HYPERLINK("https://inpn.mnhn.fr/espece/cd_nom/240333","Agriotes acuminatus (Stephens, 1830)")</f>
        <v>Agriotes acuminatus (Stephens, 1830)</v>
      </c>
      <c r="AH13090" s="4" t="str">
        <f>HYPERLINK("#Statut_biogéographique!A"&amp;_xlfn.XMATCH("P",Statut_biogéographique!A:A,2,1),"P")</f>
        <v>P</v>
      </c>
      <c r="AP13090" s="4" t="s">
        <v>376</v>
      </c>
      <c r="AR13090" s="4" t="s">
        <v>377</v>
      </c>
    </row>
    <row r="13091" spans="1:44">
      <c r="A13091" s="4" t="s">
        <v>10753</v>
      </c>
      <c r="B13091" s="4">
        <v>240334</v>
      </c>
      <c r="D13091" s="5">
        <v>240334</v>
      </c>
      <c r="E13091" s="6" t="str">
        <f>HYPERLINK("https://inpn.mnhn.fr/espece/cd_nom/240334","Agriotes brevis Candèze, 1863")</f>
        <v>Agriotes brevis Candèze, 1863</v>
      </c>
      <c r="AH13091" s="4" t="str">
        <f>HYPERLINK("#Statut_biogéographique!A"&amp;_xlfn.XMATCH("P",Statut_biogéographique!A:A,2,1),"P")</f>
        <v>P</v>
      </c>
      <c r="AP13091" s="4" t="s">
        <v>376</v>
      </c>
      <c r="AR13091" s="4" t="s">
        <v>377</v>
      </c>
    </row>
    <row r="13092" spans="1:44" ht="30">
      <c r="A13092" s="4" t="s">
        <v>10753</v>
      </c>
      <c r="B13092" s="4">
        <v>240336</v>
      </c>
      <c r="D13092" s="5">
        <v>240336</v>
      </c>
      <c r="E13092" s="6" t="str">
        <f>HYPERLINK("https://inpn.mnhn.fr/espece/cd_nom/240336","Agriotes gallicus Lacordaire in Boisduval &amp; Lacordaire, 1835")</f>
        <v>Agriotes gallicus Lacordaire in Boisduval &amp; Lacordaire, 1835</v>
      </c>
      <c r="AH13092" s="4" t="str">
        <f>HYPERLINK("#Statut_biogéographique!A"&amp;_xlfn.XMATCH("P",Statut_biogéographique!A:A,2,1),"P")</f>
        <v>P</v>
      </c>
      <c r="AP13092" s="4" t="s">
        <v>376</v>
      </c>
      <c r="AR13092" s="4" t="s">
        <v>377</v>
      </c>
    </row>
    <row r="13093" spans="1:44">
      <c r="A13093" s="4" t="s">
        <v>10753</v>
      </c>
      <c r="B13093" s="4">
        <v>240340</v>
      </c>
      <c r="D13093" s="5" t="s">
        <v>15780</v>
      </c>
      <c r="E13093" s="6" t="str">
        <f>HYPERLINK("https://inpn.mnhn.fr/espece/cd_nom/240340","Agriotes sputator (Linnaeus, 1758)")</f>
        <v>Agriotes sputator (Linnaeus, 1758)</v>
      </c>
      <c r="AH13093" s="4" t="str">
        <f>HYPERLINK("#Statut_biogéographique!A"&amp;_xlfn.XMATCH("P",Statut_biogéographique!A:A,2,1),"P")</f>
        <v>P</v>
      </c>
      <c r="AP13093" s="4" t="s">
        <v>376</v>
      </c>
      <c r="AR13093" s="4" t="s">
        <v>377</v>
      </c>
    </row>
    <row r="13094" spans="1:44">
      <c r="A13094" s="4" t="s">
        <v>10753</v>
      </c>
      <c r="B13094" s="4">
        <v>240341</v>
      </c>
      <c r="D13094" s="5" t="s">
        <v>15781</v>
      </c>
      <c r="E13094" s="6" t="str">
        <f>HYPERLINK("https://inpn.mnhn.fr/espece/cd_nom/240341","Agriotes ustulatus (Schaller, 1783)")</f>
        <v>Agriotes ustulatus (Schaller, 1783)</v>
      </c>
      <c r="AH13094" s="4" t="str">
        <f>HYPERLINK("#Statut_biogéographique!A"&amp;_xlfn.XMATCH("P",Statut_biogéographique!A:A,2,1),"P")</f>
        <v>P</v>
      </c>
      <c r="AP13094" s="4" t="s">
        <v>376</v>
      </c>
      <c r="AR13094" s="4" t="s">
        <v>377</v>
      </c>
    </row>
    <row r="13095" spans="1:44" ht="30">
      <c r="A13095" s="4" t="s">
        <v>10753</v>
      </c>
      <c r="B13095" s="4">
        <v>240343</v>
      </c>
      <c r="D13095" s="5" t="s">
        <v>15782</v>
      </c>
      <c r="E13095" s="6" t="str">
        <f>HYPERLINK("https://inpn.mnhn.fr/espece/cd_nom/240343","Agrypnus murinus (Linnaeus, 1758)")</f>
        <v>Agrypnus murinus (Linnaeus, 1758)</v>
      </c>
      <c r="F13095" s="5" t="s">
        <v>15783</v>
      </c>
      <c r="AH13095" s="4" t="str">
        <f>HYPERLINK("#Statut_biogéographique!A"&amp;_xlfn.XMATCH("P",Statut_biogéographique!A:A,2,1),"P")</f>
        <v>P</v>
      </c>
      <c r="AP13095" s="4" t="s">
        <v>376</v>
      </c>
      <c r="AR13095" s="4" t="s">
        <v>377</v>
      </c>
    </row>
    <row r="13096" spans="1:44">
      <c r="A13096" s="4" t="s">
        <v>10753</v>
      </c>
      <c r="B13096" s="4">
        <v>240344</v>
      </c>
      <c r="D13096" s="5" t="s">
        <v>15784</v>
      </c>
      <c r="E13096" s="6" t="str">
        <f>HYPERLINK("https://inpn.mnhn.fr/espece/cd_nom/240344","Ampedus balteatus (Linnaeus, 1758)")</f>
        <v>Ampedus balteatus (Linnaeus, 1758)</v>
      </c>
      <c r="F13096" s="5" t="s">
        <v>15785</v>
      </c>
      <c r="P13096" s="7" t="str">
        <f>HYPERLINK("#Liste_rouge!A"&amp;_xlfn.XMATCH("LC",Liste_rouge!A:A,2,1),"LC")</f>
        <v>LC</v>
      </c>
      <c r="AH13096" s="4" t="str">
        <f>HYPERLINK("#Statut_biogéographique!A"&amp;_xlfn.XMATCH("P",Statut_biogéographique!A:A,2,1),"P")</f>
        <v>P</v>
      </c>
      <c r="AP13096" s="4" t="s">
        <v>376</v>
      </c>
      <c r="AR13096" s="4" t="s">
        <v>377</v>
      </c>
    </row>
    <row r="13097" spans="1:44">
      <c r="A13097" s="4" t="s">
        <v>10753</v>
      </c>
      <c r="B13097" s="4">
        <v>240346</v>
      </c>
      <c r="D13097" s="5" t="s">
        <v>15786</v>
      </c>
      <c r="E13097" s="6" t="str">
        <f>HYPERLINK("https://inpn.mnhn.fr/espece/cd_nom/240346","Ampedus cardinalis (Schiødte, 1865)")</f>
        <v>Ampedus cardinalis (Schiødte, 1865)</v>
      </c>
      <c r="O13097" s="7" t="str">
        <f>HYPERLINK("#Liste_rouge!A"&amp;_xlfn.XMATCH("NT",Liste_rouge!A:A,2,1),"NT")</f>
        <v>NT</v>
      </c>
      <c r="P13097" s="7" t="str">
        <f>HYPERLINK("#Liste_rouge!A"&amp;_xlfn.XMATCH("NT",Liste_rouge!A:A,2,1),"NT")</f>
        <v>NT</v>
      </c>
      <c r="AH13097" s="4" t="str">
        <f>HYPERLINK("#Statut_biogéographique!A"&amp;_xlfn.XMATCH("P",Statut_biogéographique!A:A,2,1),"P")</f>
        <v>P</v>
      </c>
      <c r="AP13097" s="4" t="s">
        <v>376</v>
      </c>
      <c r="AR13097" s="4" t="s">
        <v>377</v>
      </c>
    </row>
    <row r="13098" spans="1:44">
      <c r="A13098" s="4" t="s">
        <v>10753</v>
      </c>
      <c r="B13098" s="4">
        <v>240347</v>
      </c>
      <c r="D13098" s="5" t="s">
        <v>15787</v>
      </c>
      <c r="E13098" s="6" t="str">
        <f>HYPERLINK("https://inpn.mnhn.fr/espece/cd_nom/240347","Ampedus cinnabarinus (Eschscholtz, 1829)")</f>
        <v>Ampedus cinnabarinus (Eschscholtz, 1829)</v>
      </c>
      <c r="P13098" s="7" t="str">
        <f>HYPERLINK("#Liste_rouge!A"&amp;_xlfn.XMATCH("LC",Liste_rouge!A:A,2,1),"LC")</f>
        <v>LC</v>
      </c>
      <c r="AH13098" s="4" t="str">
        <f>HYPERLINK("#Statut_biogéographique!A"&amp;_xlfn.XMATCH("P",Statut_biogéographique!A:A,2,1),"P")</f>
        <v>P</v>
      </c>
      <c r="AP13098" s="4" t="s">
        <v>376</v>
      </c>
      <c r="AR13098" s="4" t="s">
        <v>377</v>
      </c>
    </row>
    <row r="13099" spans="1:44">
      <c r="A13099" s="4" t="s">
        <v>10753</v>
      </c>
      <c r="B13099" s="4">
        <v>240349</v>
      </c>
      <c r="D13099" s="5" t="s">
        <v>15788</v>
      </c>
      <c r="E13099" s="6" t="str">
        <f>HYPERLINK("https://inpn.mnhn.fr/espece/cd_nom/240349","Ampedus elegantulus (Schönherr, 1817)")</f>
        <v>Ampedus elegantulus (Schönherr, 1817)</v>
      </c>
      <c r="P13099" s="7" t="str">
        <f>HYPERLINK("#Liste_rouge!A"&amp;_xlfn.XMATCH("LC",Liste_rouge!A:A,2,1),"LC")</f>
        <v>LC</v>
      </c>
      <c r="AH13099" s="4" t="str">
        <f>HYPERLINK("#Statut_biogéographique!A"&amp;_xlfn.XMATCH("P",Statut_biogéographique!A:A,2,1),"P")</f>
        <v>P</v>
      </c>
      <c r="AP13099" s="4" t="s">
        <v>376</v>
      </c>
      <c r="AR13099" s="4" t="s">
        <v>377</v>
      </c>
    </row>
    <row r="13100" spans="1:44">
      <c r="A13100" s="4" t="s">
        <v>10753</v>
      </c>
      <c r="B13100" s="4">
        <v>240350</v>
      </c>
      <c r="D13100" s="5" t="s">
        <v>15789</v>
      </c>
      <c r="E13100" s="6" t="str">
        <f>HYPERLINK("https://inpn.mnhn.fr/espece/cd_nom/240350","Ampedus erythrogonus (P.W.J. Müller, 1821)")</f>
        <v>Ampedus erythrogonus (P.W.J. Müller, 1821)</v>
      </c>
      <c r="P13100" s="7" t="str">
        <f>HYPERLINK("#Liste_rouge!A"&amp;_xlfn.XMATCH("LC",Liste_rouge!A:A,2,1),"LC")</f>
        <v>LC</v>
      </c>
      <c r="AH13100" s="4" t="str">
        <f>HYPERLINK("#Statut_biogéographique!A"&amp;_xlfn.XMATCH("P",Statut_biogéographique!A:A,2,1),"P")</f>
        <v>P</v>
      </c>
      <c r="AP13100" s="4" t="s">
        <v>376</v>
      </c>
      <c r="AR13100" s="4" t="s">
        <v>377</v>
      </c>
    </row>
    <row r="13101" spans="1:44">
      <c r="A13101" s="4" t="s">
        <v>10753</v>
      </c>
      <c r="B13101" s="4">
        <v>240353</v>
      </c>
      <c r="D13101" s="5">
        <v>240353</v>
      </c>
      <c r="E13101" s="6" t="str">
        <f>HYPERLINK("https://inpn.mnhn.fr/espece/cd_nom/240353","Ampedus nemoralis Bouwer, 1980")</f>
        <v>Ampedus nemoralis Bouwer, 1980</v>
      </c>
      <c r="AH13101" s="4" t="str">
        <f>HYPERLINK("#Statut_biogéographique!A"&amp;_xlfn.XMATCH("P",Statut_biogéographique!A:A,2,1),"P")</f>
        <v>P</v>
      </c>
      <c r="AP13101" s="4" t="s">
        <v>376</v>
      </c>
      <c r="AR13101" s="4" t="s">
        <v>377</v>
      </c>
    </row>
    <row r="13102" spans="1:44" ht="30">
      <c r="A13102" s="4" t="s">
        <v>10753</v>
      </c>
      <c r="B13102" s="4">
        <v>240354</v>
      </c>
      <c r="D13102" s="5" t="s">
        <v>15790</v>
      </c>
      <c r="E13102" s="6" t="str">
        <f>HYPERLINK("https://inpn.mnhn.fr/espece/cd_nom/240354","Ampedus nigerrimus (Lacordaire in Boisduval &amp; Lacordaire, 1835)")</f>
        <v>Ampedus nigerrimus (Lacordaire in Boisduval &amp; Lacordaire, 1835)</v>
      </c>
      <c r="P13102" s="7" t="str">
        <f>HYPERLINK("#Liste_rouge!A"&amp;_xlfn.XMATCH("NT",Liste_rouge!A:A,2,1),"NT")</f>
        <v>NT</v>
      </c>
      <c r="AH13102" s="4" t="str">
        <f>HYPERLINK("#Statut_biogéographique!A"&amp;_xlfn.XMATCH("P",Statut_biogéographique!A:A,2,1),"P")</f>
        <v>P</v>
      </c>
      <c r="AP13102" s="4" t="s">
        <v>376</v>
      </c>
      <c r="AR13102" s="4" t="s">
        <v>377</v>
      </c>
    </row>
    <row r="13103" spans="1:44">
      <c r="A13103" s="4" t="s">
        <v>10753</v>
      </c>
      <c r="B13103" s="4">
        <v>240355</v>
      </c>
      <c r="D13103" s="5" t="s">
        <v>15791</v>
      </c>
      <c r="E13103" s="6" t="str">
        <f>HYPERLINK("https://inpn.mnhn.fr/espece/cd_nom/240355","Ampedus nigroflavus (Goeze, 1777)")</f>
        <v>Ampedus nigroflavus (Goeze, 1777)</v>
      </c>
      <c r="P13103" s="7" t="str">
        <f>HYPERLINK("#Liste_rouge!A"&amp;_xlfn.XMATCH("LC",Liste_rouge!A:A,2,1),"LC")</f>
        <v>LC</v>
      </c>
      <c r="AH13103" s="4" t="str">
        <f>HYPERLINK("#Statut_biogéographique!A"&amp;_xlfn.XMATCH("P",Statut_biogéographique!A:A,2,1),"P")</f>
        <v>P</v>
      </c>
      <c r="AP13103" s="4" t="s">
        <v>376</v>
      </c>
      <c r="AR13103" s="4" t="s">
        <v>377</v>
      </c>
    </row>
    <row r="13104" spans="1:44">
      <c r="A13104" s="4" t="s">
        <v>10753</v>
      </c>
      <c r="B13104" s="4">
        <v>240356</v>
      </c>
      <c r="D13104" s="5" t="s">
        <v>15792</v>
      </c>
      <c r="E13104" s="6" t="str">
        <f>HYPERLINK("https://inpn.mnhn.fr/espece/cd_nom/240356","Ampedus pomonae (Stephens, 1830)")</f>
        <v>Ampedus pomonae (Stephens, 1830)</v>
      </c>
      <c r="P13104" s="7" t="str">
        <f>HYPERLINK("#Liste_rouge!A"&amp;_xlfn.XMATCH("LC",Liste_rouge!A:A,2,1),"LC")</f>
        <v>LC</v>
      </c>
      <c r="AH13104" s="4" t="str">
        <f>HYPERLINK("#Statut_biogéographique!A"&amp;_xlfn.XMATCH("P",Statut_biogéographique!A:A,2,1),"P")</f>
        <v>P</v>
      </c>
      <c r="AP13104" s="4" t="s">
        <v>376</v>
      </c>
      <c r="AR13104" s="4" t="s">
        <v>377</v>
      </c>
    </row>
    <row r="13105" spans="1:44">
      <c r="A13105" s="4" t="s">
        <v>10753</v>
      </c>
      <c r="B13105" s="4">
        <v>240357</v>
      </c>
      <c r="D13105" s="5" t="s">
        <v>15793</v>
      </c>
      <c r="E13105" s="6" t="str">
        <f>HYPERLINK("https://inpn.mnhn.fr/espece/cd_nom/240357","Ampedus pomorum (Herbst, 1784)")</f>
        <v>Ampedus pomorum (Herbst, 1784)</v>
      </c>
      <c r="P13105" s="7" t="str">
        <f>HYPERLINK("#Liste_rouge!A"&amp;_xlfn.XMATCH("LC",Liste_rouge!A:A,2,1),"LC")</f>
        <v>LC</v>
      </c>
      <c r="AH13105" s="4" t="str">
        <f>HYPERLINK("#Statut_biogéographique!A"&amp;_xlfn.XMATCH("P",Statut_biogéographique!A:A,2,1),"P")</f>
        <v>P</v>
      </c>
      <c r="AP13105" s="4" t="s">
        <v>376</v>
      </c>
      <c r="AR13105" s="4" t="s">
        <v>377</v>
      </c>
    </row>
    <row r="13106" spans="1:44">
      <c r="A13106" s="4" t="s">
        <v>10753</v>
      </c>
      <c r="B13106" s="4">
        <v>240358</v>
      </c>
      <c r="D13106" s="5" t="s">
        <v>15794</v>
      </c>
      <c r="E13106" s="6" t="str">
        <f>HYPERLINK("https://inpn.mnhn.fr/espece/cd_nom/240358","Ampedus praeustus (Fabricius, 1792)")</f>
        <v>Ampedus praeustus (Fabricius, 1792)</v>
      </c>
      <c r="P13106" s="7" t="str">
        <f>HYPERLINK("#Liste_rouge!A"&amp;_xlfn.XMATCH("LC",Liste_rouge!A:A,2,1),"LC")</f>
        <v>LC</v>
      </c>
      <c r="AH13106" s="4" t="str">
        <f>HYPERLINK("#Statut_biogéographique!A"&amp;_xlfn.XMATCH("P",Statut_biogéographique!A:A,2,1),"P")</f>
        <v>P</v>
      </c>
      <c r="AP13106" s="4" t="s">
        <v>376</v>
      </c>
      <c r="AR13106" s="4" t="s">
        <v>377</v>
      </c>
    </row>
    <row r="13107" spans="1:44">
      <c r="A13107" s="4" t="s">
        <v>10753</v>
      </c>
      <c r="B13107" s="4">
        <v>240359</v>
      </c>
      <c r="D13107" s="5" t="s">
        <v>15795</v>
      </c>
      <c r="E13107" s="6" t="str">
        <f>HYPERLINK("https://inpn.mnhn.fr/espece/cd_nom/240359","Ampedus quercicola (Buysson, 1887)")</f>
        <v>Ampedus quercicola (Buysson, 1887)</v>
      </c>
      <c r="P13107" s="7" t="str">
        <f>HYPERLINK("#Liste_rouge!A"&amp;_xlfn.XMATCH("LC",Liste_rouge!A:A,2,1),"LC")</f>
        <v>LC</v>
      </c>
      <c r="AH13107" s="4" t="str">
        <f>HYPERLINK("#Statut_biogéographique!A"&amp;_xlfn.XMATCH("P",Statut_biogéographique!A:A,2,1),"P")</f>
        <v>P</v>
      </c>
      <c r="AP13107" s="4" t="s">
        <v>376</v>
      </c>
      <c r="AR13107" s="4" t="s">
        <v>377</v>
      </c>
    </row>
    <row r="13108" spans="1:44">
      <c r="A13108" s="4" t="s">
        <v>10753</v>
      </c>
      <c r="B13108" s="4">
        <v>24036</v>
      </c>
      <c r="D13108" s="5" t="s">
        <v>15796</v>
      </c>
      <c r="E13108" s="6" t="str">
        <f>HYPERLINK("https://inpn.mnhn.fr/espece/cd_nom/24036","Tanypeza longimana Fallén, 1820")</f>
        <v>Tanypeza longimana Fallén, 1820</v>
      </c>
      <c r="AH13108" s="4" t="str">
        <f>HYPERLINK("#Statut_biogéographique!A"&amp;_xlfn.XMATCH("P",Statut_biogéographique!A:A,2,1),"P")</f>
        <v>P</v>
      </c>
      <c r="AP13108" s="4" t="s">
        <v>376</v>
      </c>
      <c r="AR13108" s="4" t="s">
        <v>377</v>
      </c>
    </row>
    <row r="13109" spans="1:44">
      <c r="A13109" s="4" t="s">
        <v>10753</v>
      </c>
      <c r="B13109" s="4">
        <v>240360</v>
      </c>
      <c r="D13109" s="5" t="s">
        <v>15797</v>
      </c>
      <c r="E13109" s="6" t="str">
        <f>HYPERLINK("https://inpn.mnhn.fr/espece/cd_nom/240360","Ampedus rufipennis (Stephens, 1830)")</f>
        <v>Ampedus rufipennis (Stephens, 1830)</v>
      </c>
      <c r="P13109" s="7" t="str">
        <f>HYPERLINK("#Liste_rouge!A"&amp;_xlfn.XMATCH("LC",Liste_rouge!A:A,2,1),"LC")</f>
        <v>LC</v>
      </c>
      <c r="AH13109" s="4" t="str">
        <f>HYPERLINK("#Statut_biogéographique!A"&amp;_xlfn.XMATCH("P",Statut_biogéographique!A:A,2,1),"P")</f>
        <v>P</v>
      </c>
      <c r="AP13109" s="4" t="s">
        <v>376</v>
      </c>
      <c r="AR13109" s="4" t="s">
        <v>377</v>
      </c>
    </row>
    <row r="13110" spans="1:44" ht="30">
      <c r="A13110" s="4" t="s">
        <v>10753</v>
      </c>
      <c r="B13110" s="4">
        <v>240361</v>
      </c>
      <c r="D13110" s="5" t="s">
        <v>15798</v>
      </c>
      <c r="E13110" s="6" t="str">
        <f>HYPERLINK("https://inpn.mnhn.fr/espece/cd_nom/240361","Ampedus scrofa Germar, 1844")</f>
        <v>Ampedus scrofa Germar, 1844</v>
      </c>
      <c r="AH13110" s="4" t="str">
        <f>HYPERLINK("#Statut_biogéographique!A"&amp;_xlfn.XMATCH("P",Statut_biogéographique!A:A,2,1),"P")</f>
        <v>P</v>
      </c>
      <c r="AP13110" s="4" t="s">
        <v>376</v>
      </c>
      <c r="AR13110" s="4" t="s">
        <v>377</v>
      </c>
    </row>
    <row r="13111" spans="1:44">
      <c r="A13111" s="4" t="s">
        <v>10753</v>
      </c>
      <c r="B13111" s="4">
        <v>240362</v>
      </c>
      <c r="D13111" s="5">
        <v>240362</v>
      </c>
      <c r="E13111" s="6" t="str">
        <f>HYPERLINK("https://inpn.mnhn.fr/espece/cd_nom/240362","Ampedus sinuatus Germar, 1844")</f>
        <v>Ampedus sinuatus Germar, 1844</v>
      </c>
      <c r="P13111" s="7" t="str">
        <f>HYPERLINK("#Liste_rouge!A"&amp;_xlfn.XMATCH("LC",Liste_rouge!A:A,2,1),"LC")</f>
        <v>LC</v>
      </c>
      <c r="AH13111" s="4" t="str">
        <f>HYPERLINK("#Statut_biogéographique!A"&amp;_xlfn.XMATCH("P",Statut_biogéographique!A:A,2,1),"P")</f>
        <v>P</v>
      </c>
      <c r="AP13111" s="4" t="s">
        <v>376</v>
      </c>
      <c r="AR13111" s="4" t="s">
        <v>377</v>
      </c>
    </row>
    <row r="13112" spans="1:44">
      <c r="A13112" s="4" t="s">
        <v>10753</v>
      </c>
      <c r="B13112" s="4">
        <v>240363</v>
      </c>
      <c r="D13112" s="5" t="s">
        <v>15799</v>
      </c>
      <c r="E13112" s="6" t="str">
        <f>HYPERLINK("https://inpn.mnhn.fr/espece/cd_nom/240363","Anostirus castaneus (Linnaeus, 1758)")</f>
        <v>Anostirus castaneus (Linnaeus, 1758)</v>
      </c>
      <c r="F13112" s="5" t="s">
        <v>15800</v>
      </c>
      <c r="AH13112" s="4" t="str">
        <f>HYPERLINK("#Statut_biogéographique!A"&amp;_xlfn.XMATCH("P",Statut_biogéographique!A:A,2,1),"P")</f>
        <v>P</v>
      </c>
      <c r="AP13112" s="4" t="s">
        <v>376</v>
      </c>
      <c r="AR13112" s="4" t="s">
        <v>377</v>
      </c>
    </row>
    <row r="13113" spans="1:44">
      <c r="A13113" s="4" t="s">
        <v>10753</v>
      </c>
      <c r="B13113" s="4">
        <v>240368</v>
      </c>
      <c r="D13113" s="5" t="s">
        <v>15801</v>
      </c>
      <c r="E13113" s="6" t="str">
        <f>HYPERLINK("https://inpn.mnhn.fr/espece/cd_nom/240368","Anostirus sulphuripennis (Germar, 1843)")</f>
        <v>Anostirus sulphuripennis (Germar, 1843)</v>
      </c>
      <c r="AH13113" s="4" t="str">
        <f>HYPERLINK("#Statut_biogéographique!A"&amp;_xlfn.XMATCH("P",Statut_biogéographique!A:A,2,1),"P")</f>
        <v>P</v>
      </c>
      <c r="AP13113" s="4" t="s">
        <v>376</v>
      </c>
      <c r="AR13113" s="4" t="s">
        <v>377</v>
      </c>
    </row>
    <row r="13114" spans="1:44">
      <c r="A13114" s="4" t="s">
        <v>10753</v>
      </c>
      <c r="B13114" s="4">
        <v>240369</v>
      </c>
      <c r="D13114" s="5" t="s">
        <v>15802</v>
      </c>
      <c r="E13114" s="6" t="str">
        <f>HYPERLINK("https://inpn.mnhn.fr/espece/cd_nom/240369","Aplotarsus angustulus (Kiesenwetter, 1858)")</f>
        <v>Aplotarsus angustulus (Kiesenwetter, 1858)</v>
      </c>
      <c r="AH13114" s="4" t="str">
        <f>HYPERLINK("#Statut_biogéographique!A"&amp;_xlfn.XMATCH("P",Statut_biogéographique!A:A,2,1),"P")</f>
        <v>P</v>
      </c>
      <c r="AP13114" s="4" t="s">
        <v>376</v>
      </c>
      <c r="AR13114" s="4" t="s">
        <v>377</v>
      </c>
    </row>
    <row r="13115" spans="1:44">
      <c r="A13115" s="4" t="s">
        <v>10753</v>
      </c>
      <c r="B13115" s="4">
        <v>240370</v>
      </c>
      <c r="D13115" s="5" t="s">
        <v>15803</v>
      </c>
      <c r="E13115" s="6" t="str">
        <f>HYPERLINK("https://inpn.mnhn.fr/espece/cd_nom/240370","Aplotarsus incanus (Gyllenhal, 1827)")</f>
        <v>Aplotarsus incanus (Gyllenhal, 1827)</v>
      </c>
      <c r="AH13115" s="4" t="str">
        <f>HYPERLINK("#Statut_biogéographique!A"&amp;_xlfn.XMATCH("P",Statut_biogéographique!A:A,2,1),"P")</f>
        <v>P</v>
      </c>
      <c r="AP13115" s="4" t="s">
        <v>376</v>
      </c>
      <c r="AR13115" s="4" t="s">
        <v>377</v>
      </c>
    </row>
    <row r="13116" spans="1:44">
      <c r="A13116" s="4" t="s">
        <v>10753</v>
      </c>
      <c r="B13116" s="4">
        <v>240379</v>
      </c>
      <c r="D13116" s="5">
        <v>240379</v>
      </c>
      <c r="E13116" s="6" t="str">
        <f>HYPERLINK("https://inpn.mnhn.fr/espece/cd_nom/240379","Athous emaciatus Candèze, 1860")</f>
        <v>Athous emaciatus Candèze, 1860</v>
      </c>
      <c r="AH13116" s="4" t="str">
        <f>HYPERLINK("#Statut_biogéographique!A"&amp;_xlfn.XMATCH("P",Statut_biogéographique!A:A,2,1),"P")</f>
        <v>P</v>
      </c>
      <c r="AP13116" s="4" t="s">
        <v>376</v>
      </c>
      <c r="AR13116" s="4" t="s">
        <v>377</v>
      </c>
    </row>
    <row r="13117" spans="1:44">
      <c r="A13117" s="4" t="s">
        <v>10753</v>
      </c>
      <c r="B13117" s="4">
        <v>240390</v>
      </c>
      <c r="D13117" s="5" t="s">
        <v>15804</v>
      </c>
      <c r="E13117" s="6" t="str">
        <f>HYPERLINK("https://inpn.mnhn.fr/espece/cd_nom/240390","Athous bicolor (Goeze, 1777)")</f>
        <v>Athous bicolor (Goeze, 1777)</v>
      </c>
      <c r="F13117" s="5" t="s">
        <v>15805</v>
      </c>
      <c r="AH13117" s="4" t="str">
        <f>HYPERLINK("#Statut_biogéographique!A"&amp;_xlfn.XMATCH("P",Statut_biogéographique!A:A,2,1),"P")</f>
        <v>P</v>
      </c>
      <c r="AP13117" s="4" t="s">
        <v>376</v>
      </c>
      <c r="AR13117" s="4" t="s">
        <v>377</v>
      </c>
    </row>
    <row r="13118" spans="1:44">
      <c r="A13118" s="4" t="s">
        <v>10753</v>
      </c>
      <c r="B13118" s="4">
        <v>240392</v>
      </c>
      <c r="D13118" s="5" t="s">
        <v>15806</v>
      </c>
      <c r="E13118" s="6" t="str">
        <f>HYPERLINK("https://inpn.mnhn.fr/espece/cd_nom/240392","Athous campyloides Newman, 1833")</f>
        <v>Athous campyloides Newman, 1833</v>
      </c>
      <c r="AH13118" s="4" t="str">
        <f>HYPERLINK("#Statut_biogéographique!A"&amp;_xlfn.XMATCH("P",Statut_biogéographique!A:A,2,1),"P")</f>
        <v>P</v>
      </c>
      <c r="AP13118" s="4" t="s">
        <v>376</v>
      </c>
      <c r="AR13118" s="4" t="s">
        <v>377</v>
      </c>
    </row>
    <row r="13119" spans="1:44" ht="30">
      <c r="A13119" s="4" t="s">
        <v>10753</v>
      </c>
      <c r="B13119" s="4">
        <v>240409</v>
      </c>
      <c r="D13119" s="5" t="s">
        <v>15807</v>
      </c>
      <c r="E13119" s="6" t="str">
        <f>HYPERLINK("https://inpn.mnhn.fr/espece/cd_nom/240409","Brachygonus megerlei (Lacordaire in Boisduval &amp; Lacordaire, 1835)")</f>
        <v>Brachygonus megerlei (Lacordaire in Boisduval &amp; Lacordaire, 1835)</v>
      </c>
      <c r="P13119" s="7" t="str">
        <f>HYPERLINK("#Liste_rouge!A"&amp;_xlfn.XMATCH("NT",Liste_rouge!A:A,2,1),"NT")</f>
        <v>NT</v>
      </c>
      <c r="AH13119" s="4" t="str">
        <f>HYPERLINK("#Statut_biogéographique!A"&amp;_xlfn.XMATCH("P",Statut_biogéographique!A:A,2,1),"P")</f>
        <v>P</v>
      </c>
      <c r="AP13119" s="4" t="s">
        <v>376</v>
      </c>
      <c r="AR13119" s="4" t="s">
        <v>377</v>
      </c>
    </row>
    <row r="13120" spans="1:44">
      <c r="A13120" s="4" t="s">
        <v>10753</v>
      </c>
      <c r="B13120" s="4">
        <v>240411</v>
      </c>
      <c r="D13120" s="5" t="s">
        <v>15808</v>
      </c>
      <c r="E13120" s="6" t="str">
        <f>HYPERLINK("https://inpn.mnhn.fr/espece/cd_nom/240411","Calambus bipustulatus (Linnaeus, 1767)")</f>
        <v>Calambus bipustulatus (Linnaeus, 1767)</v>
      </c>
      <c r="F13120" s="5" t="s">
        <v>15809</v>
      </c>
      <c r="P13120" s="7" t="str">
        <f>HYPERLINK("#Liste_rouge!A"&amp;_xlfn.XMATCH("LC",Liste_rouge!A:A,2,1),"LC")</f>
        <v>LC</v>
      </c>
      <c r="AH13120" s="4" t="str">
        <f>HYPERLINK("#Statut_biogéographique!A"&amp;_xlfn.XMATCH("P",Statut_biogéographique!A:A,2,1),"P")</f>
        <v>P</v>
      </c>
      <c r="AP13120" s="4" t="s">
        <v>376</v>
      </c>
      <c r="AR13120" s="4" t="s">
        <v>377</v>
      </c>
    </row>
    <row r="13121" spans="1:44">
      <c r="A13121" s="4" t="s">
        <v>10753</v>
      </c>
      <c r="B13121" s="4">
        <v>240422</v>
      </c>
      <c r="D13121" s="5" t="s">
        <v>15810</v>
      </c>
      <c r="E13121" s="6" t="str">
        <f>HYPERLINK("https://inpn.mnhn.fr/espece/cd_nom/240422","Cardiophorus nigerrimus Erichson, 1840")</f>
        <v>Cardiophorus nigerrimus Erichson, 1840</v>
      </c>
      <c r="AH13121" s="4" t="str">
        <f>HYPERLINK("#Statut_biogéographique!A"&amp;_xlfn.XMATCH("P",Statut_biogéographique!A:A,2,1),"P")</f>
        <v>P</v>
      </c>
      <c r="AP13121" s="4" t="s">
        <v>376</v>
      </c>
      <c r="AR13121" s="4" t="s">
        <v>377</v>
      </c>
    </row>
    <row r="13122" spans="1:44">
      <c r="A13122" s="4" t="s">
        <v>10753</v>
      </c>
      <c r="B13122" s="4">
        <v>240426</v>
      </c>
      <c r="D13122" s="5" t="s">
        <v>15811</v>
      </c>
      <c r="E13122" s="6" t="str">
        <f>HYPERLINK("https://inpn.mnhn.fr/espece/cd_nom/240426","Crepidophorus mutilatus (Rosenhauer, 1847)")</f>
        <v>Crepidophorus mutilatus (Rosenhauer, 1847)</v>
      </c>
      <c r="O13122" s="7" t="str">
        <f>HYPERLINK("#Liste_rouge!A"&amp;_xlfn.XMATCH("NT",Liste_rouge!A:A,2,1),"NT")</f>
        <v>NT</v>
      </c>
      <c r="P13122" s="7" t="str">
        <f>HYPERLINK("#Liste_rouge!A"&amp;_xlfn.XMATCH("NT",Liste_rouge!A:A,2,1),"NT")</f>
        <v>NT</v>
      </c>
      <c r="AE13122" s="4" t="str">
        <f>HYPERLINK("#SCAP!A"&amp;_xlfn.XMATCH("A",SCAP!A:A,2,1),"A")</f>
        <v>A</v>
      </c>
      <c r="AH13122" s="4" t="str">
        <f>HYPERLINK("#Statut_biogéographique!A"&amp;_xlfn.XMATCH("P",Statut_biogéographique!A:A,2,1),"P")</f>
        <v>P</v>
      </c>
      <c r="AP13122" s="4" t="s">
        <v>376</v>
      </c>
      <c r="AR13122" s="4" t="s">
        <v>377</v>
      </c>
    </row>
    <row r="13123" spans="1:44">
      <c r="A13123" s="4" t="s">
        <v>10753</v>
      </c>
      <c r="B13123" s="4">
        <v>240428</v>
      </c>
      <c r="D13123" s="5" t="s">
        <v>15812</v>
      </c>
      <c r="E13123" s="6" t="str">
        <f>HYPERLINK("https://inpn.mnhn.fr/espece/cd_nom/240428","Ctenicera pectinicornis (Linnaeus, 1758)")</f>
        <v>Ctenicera pectinicornis (Linnaeus, 1758)</v>
      </c>
      <c r="F13123" s="5" t="s">
        <v>15813</v>
      </c>
      <c r="AH13123" s="4" t="str">
        <f>HYPERLINK("#Statut_biogéographique!A"&amp;_xlfn.XMATCH("P",Statut_biogéographique!A:A,2,1),"P")</f>
        <v>P</v>
      </c>
      <c r="AP13123" s="4" t="s">
        <v>376</v>
      </c>
      <c r="AR13123" s="4" t="s">
        <v>377</v>
      </c>
    </row>
    <row r="13124" spans="1:44">
      <c r="A13124" s="4" t="s">
        <v>10753</v>
      </c>
      <c r="B13124" s="4">
        <v>240429</v>
      </c>
      <c r="D13124" s="5" t="s">
        <v>15814</v>
      </c>
      <c r="E13124" s="6" t="str">
        <f>HYPERLINK("https://inpn.mnhn.fr/espece/cd_nom/240429","Ctenicera virens (Schrank, 1781)")</f>
        <v>Ctenicera virens (Schrank, 1781)</v>
      </c>
      <c r="AH13124" s="4" t="str">
        <f>HYPERLINK("#Statut_biogéographique!A"&amp;_xlfn.XMATCH("P",Statut_biogéographique!A:A,2,1),"P")</f>
        <v>P</v>
      </c>
      <c r="AP13124" s="4" t="s">
        <v>376</v>
      </c>
      <c r="AR13124" s="4" t="s">
        <v>377</v>
      </c>
    </row>
    <row r="13125" spans="1:44">
      <c r="A13125" s="4" t="s">
        <v>10753</v>
      </c>
      <c r="B13125" s="4">
        <v>240430</v>
      </c>
      <c r="D13125" s="5" t="s">
        <v>15815</v>
      </c>
      <c r="E13125" s="6" t="str">
        <f>HYPERLINK("https://inpn.mnhn.fr/espece/cd_nom/240430","Dalopius marginatus (Linnaeus, 1758)")</f>
        <v>Dalopius marginatus (Linnaeus, 1758)</v>
      </c>
      <c r="AH13125" s="4" t="str">
        <f>HYPERLINK("#Statut_biogéographique!A"&amp;_xlfn.XMATCH("P",Statut_biogéographique!A:A,2,1),"P")</f>
        <v>P</v>
      </c>
      <c r="AP13125" s="4" t="s">
        <v>376</v>
      </c>
      <c r="AR13125" s="4" t="s">
        <v>377</v>
      </c>
    </row>
    <row r="13126" spans="1:44">
      <c r="A13126" s="4" t="s">
        <v>10753</v>
      </c>
      <c r="B13126" s="4">
        <v>240433</v>
      </c>
      <c r="D13126" s="5" t="s">
        <v>15816</v>
      </c>
      <c r="E13126" s="6" t="str">
        <f>HYPERLINK("https://inpn.mnhn.fr/espece/cd_nom/240433","Diacanthous undulatus (De Geer, 1774)")</f>
        <v>Diacanthous undulatus (De Geer, 1774)</v>
      </c>
      <c r="P13126" s="7" t="str">
        <f>HYPERLINK("#Liste_rouge!A"&amp;_xlfn.XMATCH("LC",Liste_rouge!A:A,2,1),"LC")</f>
        <v>LC</v>
      </c>
      <c r="AH13126" s="4" t="str">
        <f>HYPERLINK("#Statut_biogéographique!A"&amp;_xlfn.XMATCH("P",Statut_biogéographique!A:A,2,1),"P")</f>
        <v>P</v>
      </c>
      <c r="AP13126" s="4" t="s">
        <v>376</v>
      </c>
      <c r="AR13126" s="4" t="s">
        <v>377</v>
      </c>
    </row>
    <row r="13127" spans="1:44">
      <c r="A13127" s="4" t="s">
        <v>10753</v>
      </c>
      <c r="B13127" s="4">
        <v>240434</v>
      </c>
      <c r="D13127" s="5" t="s">
        <v>15817</v>
      </c>
      <c r="E13127" s="6" t="str">
        <f>HYPERLINK("https://inpn.mnhn.fr/espece/cd_nom/240434","Dicronychus cinereus (Herbst, 1784)")</f>
        <v>Dicronychus cinereus (Herbst, 1784)</v>
      </c>
      <c r="AH13127" s="4" t="str">
        <f>HYPERLINK("#Statut_biogéographique!A"&amp;_xlfn.XMATCH("P",Statut_biogéographique!A:A,2,1),"P")</f>
        <v>P</v>
      </c>
      <c r="AP13127" s="4" t="s">
        <v>376</v>
      </c>
      <c r="AR13127" s="4" t="s">
        <v>377</v>
      </c>
    </row>
    <row r="13128" spans="1:44">
      <c r="A13128" s="4" t="s">
        <v>10753</v>
      </c>
      <c r="B13128" s="4">
        <v>240440</v>
      </c>
      <c r="D13128" s="5" t="s">
        <v>15818</v>
      </c>
      <c r="E13128" s="6" t="str">
        <f>HYPERLINK("https://inpn.mnhn.fr/espece/cd_nom/240440","Ectinus aterrimus (Linnaeus, 1761)")</f>
        <v>Ectinus aterrimus (Linnaeus, 1761)</v>
      </c>
      <c r="AH13128" s="4" t="str">
        <f>HYPERLINK("#Statut_biogéographique!A"&amp;_xlfn.XMATCH("P",Statut_biogéographique!A:A,2,1),"P")</f>
        <v>P</v>
      </c>
      <c r="AP13128" s="4" t="s">
        <v>376</v>
      </c>
      <c r="AR13128" s="4" t="s">
        <v>377</v>
      </c>
    </row>
    <row r="13129" spans="1:44">
      <c r="A13129" s="4" t="s">
        <v>10753</v>
      </c>
      <c r="B13129" s="4">
        <v>240443</v>
      </c>
      <c r="D13129" s="5" t="s">
        <v>15819</v>
      </c>
      <c r="E13129" s="6" t="str">
        <f>HYPERLINK("https://inpn.mnhn.fr/espece/cd_nom/240443","Hemicrepidius hirtus (Herbst, 1784)")</f>
        <v>Hemicrepidius hirtus (Herbst, 1784)</v>
      </c>
      <c r="AH13129" s="4" t="str">
        <f>HYPERLINK("#Statut_biogéographique!A"&amp;_xlfn.XMATCH("P",Statut_biogéographique!A:A,2,1),"P")</f>
        <v>P</v>
      </c>
      <c r="AP13129" s="4" t="s">
        <v>376</v>
      </c>
      <c r="AR13129" s="4" t="s">
        <v>377</v>
      </c>
    </row>
    <row r="13130" spans="1:44">
      <c r="A13130" s="4" t="s">
        <v>10753</v>
      </c>
      <c r="B13130" s="4">
        <v>240444</v>
      </c>
      <c r="D13130" s="5" t="s">
        <v>15820</v>
      </c>
      <c r="E13130" s="6" t="str">
        <f>HYPERLINK("https://inpn.mnhn.fr/espece/cd_nom/240444","Hemicrepidius niger (Linnaeus, 1758)")</f>
        <v>Hemicrepidius niger (Linnaeus, 1758)</v>
      </c>
      <c r="F13130" s="5" t="s">
        <v>15821</v>
      </c>
      <c r="AH13130" s="4" t="str">
        <f>HYPERLINK("#Statut_biogéographique!A"&amp;_xlfn.XMATCH("P",Statut_biogéographique!A:A,2,1),"P")</f>
        <v>P</v>
      </c>
      <c r="AP13130" s="4" t="s">
        <v>376</v>
      </c>
      <c r="AR13130" s="4" t="s">
        <v>377</v>
      </c>
    </row>
    <row r="13131" spans="1:44">
      <c r="A13131" s="4" t="s">
        <v>10753</v>
      </c>
      <c r="B13131" s="4">
        <v>240448</v>
      </c>
      <c r="D13131" s="5" t="s">
        <v>15822</v>
      </c>
      <c r="E13131" s="6" t="str">
        <f>HYPERLINK("https://inpn.mnhn.fr/espece/cd_nom/240448","Hypnoidus riparius (Fabricius, 1792)")</f>
        <v>Hypnoidus riparius (Fabricius, 1792)</v>
      </c>
      <c r="AH13131" s="4" t="str">
        <f>HYPERLINK("#Statut_biogéographique!A"&amp;_xlfn.XMATCH("P",Statut_biogéographique!A:A,2,1),"P")</f>
        <v>P</v>
      </c>
      <c r="AP13131" s="4" t="s">
        <v>376</v>
      </c>
      <c r="AR13131" s="4" t="s">
        <v>377</v>
      </c>
    </row>
    <row r="13132" spans="1:44">
      <c r="A13132" s="4" t="s">
        <v>10753</v>
      </c>
      <c r="B13132" s="4">
        <v>240450</v>
      </c>
      <c r="D13132" s="5" t="s">
        <v>15823</v>
      </c>
      <c r="E13132" s="6" t="str">
        <f>HYPERLINK("https://inpn.mnhn.fr/espece/cd_nom/240450","Hypoganus inunctus (Lacordaire, 1835)")</f>
        <v>Hypoganus inunctus (Lacordaire, 1835)</v>
      </c>
      <c r="AH13132" s="4" t="str">
        <f>HYPERLINK("#Statut_biogéographique!A"&amp;_xlfn.XMATCH("P",Statut_biogéographique!A:A,2,1),"P")</f>
        <v>P</v>
      </c>
      <c r="AP13132" s="4" t="s">
        <v>376</v>
      </c>
      <c r="AR13132" s="4" t="s">
        <v>377</v>
      </c>
    </row>
    <row r="13133" spans="1:44">
      <c r="A13133" s="4" t="s">
        <v>10753</v>
      </c>
      <c r="B13133" s="4">
        <v>240451</v>
      </c>
      <c r="D13133" s="5" t="s">
        <v>15824</v>
      </c>
      <c r="E13133" s="6" t="str">
        <f>HYPERLINK("https://inpn.mnhn.fr/espece/cd_nom/240451","Ischnodes sanguinicollis (Panzer, 1793)")</f>
        <v>Ischnodes sanguinicollis (Panzer, 1793)</v>
      </c>
      <c r="F13133" s="5" t="s">
        <v>15825</v>
      </c>
      <c r="P13133" s="7" t="str">
        <f>HYPERLINK("#Liste_rouge!A"&amp;_xlfn.XMATCH("VU",Liste_rouge!A:A,2,1),"VU")</f>
        <v>VU</v>
      </c>
      <c r="AH13133" s="4" t="str">
        <f>HYPERLINK("#Statut_biogéographique!A"&amp;_xlfn.XMATCH("P",Statut_biogéographique!A:A,2,1),"P")</f>
        <v>P</v>
      </c>
      <c r="AP13133" s="4" t="s">
        <v>376</v>
      </c>
      <c r="AR13133" s="4" t="s">
        <v>377</v>
      </c>
    </row>
    <row r="13134" spans="1:44">
      <c r="A13134" s="4" t="s">
        <v>10753</v>
      </c>
      <c r="B13134" s="4">
        <v>240454</v>
      </c>
      <c r="D13134" s="5" t="s">
        <v>15826</v>
      </c>
      <c r="E13134" s="6" t="str">
        <f>HYPERLINK("https://inpn.mnhn.fr/espece/cd_nom/240454","Limonius minutus (Linnaeus, 1758)")</f>
        <v>Limonius minutus (Linnaeus, 1758)</v>
      </c>
      <c r="AH13134" s="4" t="str">
        <f>HYPERLINK("#Statut_biogéographique!A"&amp;_xlfn.XMATCH("P",Statut_biogéographique!A:A,2,1),"P")</f>
        <v>P</v>
      </c>
      <c r="AP13134" s="4" t="s">
        <v>376</v>
      </c>
      <c r="AR13134" s="4" t="s">
        <v>377</v>
      </c>
    </row>
    <row r="13135" spans="1:44">
      <c r="A13135" s="4" t="s">
        <v>10753</v>
      </c>
      <c r="B13135" s="4">
        <v>240455</v>
      </c>
      <c r="D13135" s="5" t="s">
        <v>15827</v>
      </c>
      <c r="E13135" s="6" t="str">
        <f>HYPERLINK("https://inpn.mnhn.fr/espece/cd_nom/240455","Liotrichus affinis (Paykull, 1800)")</f>
        <v>Liotrichus affinis (Paykull, 1800)</v>
      </c>
      <c r="AH13135" s="4" t="str">
        <f>HYPERLINK("#Statut_biogéographique!A"&amp;_xlfn.XMATCH("P",Statut_biogéographique!A:A,2,1),"P")</f>
        <v>P</v>
      </c>
      <c r="AP13135" s="4" t="s">
        <v>376</v>
      </c>
      <c r="AR13135" s="4" t="s">
        <v>377</v>
      </c>
    </row>
    <row r="13136" spans="1:44" ht="30">
      <c r="A13136" s="4" t="s">
        <v>10753</v>
      </c>
      <c r="B13136" s="4">
        <v>240456</v>
      </c>
      <c r="D13136" s="5" t="s">
        <v>15828</v>
      </c>
      <c r="E13136" s="6" t="str">
        <f>HYPERLINK("https://inpn.mnhn.fr/espece/cd_nom/240456","Megapenthes lugens (W. Redtenbacher, 1842)")</f>
        <v>Megapenthes lugens (W. Redtenbacher, 1842)</v>
      </c>
      <c r="P13136" s="7" t="str">
        <f>HYPERLINK("#Liste_rouge!A"&amp;_xlfn.XMATCH("NT",Liste_rouge!A:A,2,1),"NT")</f>
        <v>NT</v>
      </c>
      <c r="AH13136" s="4" t="str">
        <f>HYPERLINK("#Statut_biogéographique!A"&amp;_xlfn.XMATCH("P",Statut_biogéographique!A:A,2,1),"P")</f>
        <v>P</v>
      </c>
      <c r="AP13136" s="4" t="s">
        <v>376</v>
      </c>
      <c r="AR13136" s="4" t="s">
        <v>377</v>
      </c>
    </row>
    <row r="13137" spans="1:44">
      <c r="A13137" s="4" t="s">
        <v>10753</v>
      </c>
      <c r="B13137" s="4">
        <v>240460</v>
      </c>
      <c r="D13137" s="5" t="s">
        <v>15829</v>
      </c>
      <c r="E13137" s="6" t="str">
        <f>HYPERLINK("https://inpn.mnhn.fr/espece/cd_nom/240460","Melanotus castanipes (Paykull, 1800)")</f>
        <v>Melanotus castanipes (Paykull, 1800)</v>
      </c>
      <c r="P13137" s="7" t="str">
        <f>HYPERLINK("#Liste_rouge!A"&amp;_xlfn.XMATCH("LC",Liste_rouge!A:A,2,1),"LC")</f>
        <v>LC</v>
      </c>
      <c r="AH13137" s="4" t="str">
        <f>HYPERLINK("#Statut_biogéographique!A"&amp;_xlfn.XMATCH("P",Statut_biogéographique!A:A,2,1),"P")</f>
        <v>P</v>
      </c>
      <c r="AP13137" s="4" t="s">
        <v>376</v>
      </c>
      <c r="AR13137" s="4" t="s">
        <v>377</v>
      </c>
    </row>
    <row r="13138" spans="1:44">
      <c r="A13138" s="4" t="s">
        <v>10753</v>
      </c>
      <c r="B13138" s="4">
        <v>240462</v>
      </c>
      <c r="D13138" s="5" t="s">
        <v>15830</v>
      </c>
      <c r="E13138" s="6" t="str">
        <f>HYPERLINK("https://inpn.mnhn.fr/espece/cd_nom/240462","Melanotus punctolineatus (Pélerin, 1829)")</f>
        <v>Melanotus punctolineatus (Pélerin, 1829)</v>
      </c>
      <c r="F13138" s="5" t="s">
        <v>15831</v>
      </c>
      <c r="AH13138" s="4" t="str">
        <f>HYPERLINK("#Statut_biogéographique!A"&amp;_xlfn.XMATCH("P",Statut_biogéographique!A:A,2,1),"P")</f>
        <v>P</v>
      </c>
      <c r="AP13138" s="4" t="s">
        <v>376</v>
      </c>
      <c r="AR13138" s="4" t="s">
        <v>377</v>
      </c>
    </row>
    <row r="13139" spans="1:44" ht="30">
      <c r="A13139" s="4" t="s">
        <v>10753</v>
      </c>
      <c r="B13139" s="4">
        <v>240463</v>
      </c>
      <c r="D13139" s="5" t="s">
        <v>15832</v>
      </c>
      <c r="E13139" s="6" t="str">
        <f>HYPERLINK("https://inpn.mnhn.fr/espece/cd_nom/240463","Melanotus villosus (Geoffroy in Fourcroy, 1785)")</f>
        <v>Melanotus villosus (Geoffroy in Fourcroy, 1785)</v>
      </c>
      <c r="F13139" s="5" t="s">
        <v>15833</v>
      </c>
      <c r="P13139" s="7" t="str">
        <f>HYPERLINK("#Liste_rouge!A"&amp;_xlfn.XMATCH("LC",Liste_rouge!A:A,2,1),"LC")</f>
        <v>LC</v>
      </c>
      <c r="AH13139" s="4" t="str">
        <f>HYPERLINK("#Statut_biogéographique!A"&amp;_xlfn.XMATCH("P",Statut_biogéographique!A:A,2,1),"P")</f>
        <v>P</v>
      </c>
      <c r="AP13139" s="4" t="s">
        <v>376</v>
      </c>
      <c r="AR13139" s="4" t="s">
        <v>377</v>
      </c>
    </row>
    <row r="13140" spans="1:44">
      <c r="A13140" s="4" t="s">
        <v>10753</v>
      </c>
      <c r="B13140" s="4">
        <v>240469</v>
      </c>
      <c r="D13140" s="5" t="s">
        <v>15834</v>
      </c>
      <c r="E13140" s="6" t="str">
        <f>HYPERLINK("https://inpn.mnhn.fr/espece/cd_nom/240469","Negastrius pulchellus (Linnaeus, 1761)")</f>
        <v>Negastrius pulchellus (Linnaeus, 1761)</v>
      </c>
      <c r="AH13140" s="4" t="str">
        <f>HYPERLINK("#Statut_biogéographique!A"&amp;_xlfn.XMATCH("P",Statut_biogéographique!A:A,2,1),"P")</f>
        <v>P</v>
      </c>
      <c r="AP13140" s="4" t="s">
        <v>376</v>
      </c>
      <c r="AR13140" s="4" t="s">
        <v>377</v>
      </c>
    </row>
    <row r="13141" spans="1:44">
      <c r="A13141" s="4" t="s">
        <v>10753</v>
      </c>
      <c r="B13141" s="4">
        <v>240470</v>
      </c>
      <c r="D13141" s="5" t="s">
        <v>15835</v>
      </c>
      <c r="E13141" s="6" t="str">
        <f>HYPERLINK("https://inpn.mnhn.fr/espece/cd_nom/240470","Negastrius sabulicola (Boheman, 1854)")</f>
        <v>Negastrius sabulicola (Boheman, 1854)</v>
      </c>
      <c r="AH13141" s="4" t="str">
        <f>HYPERLINK("#Statut_biogéographique!A"&amp;_xlfn.XMATCH("P",Statut_biogéographique!A:A,2,1),"P")</f>
        <v>P</v>
      </c>
      <c r="AP13141" s="4" t="s">
        <v>376</v>
      </c>
      <c r="AR13141" s="4" t="s">
        <v>377</v>
      </c>
    </row>
    <row r="13142" spans="1:44">
      <c r="A13142" s="4" t="s">
        <v>10753</v>
      </c>
      <c r="B13142" s="4">
        <v>240471</v>
      </c>
      <c r="D13142" s="5" t="s">
        <v>15836</v>
      </c>
      <c r="E13142" s="6" t="str">
        <f>HYPERLINK("https://inpn.mnhn.fr/espece/cd_nom/240471","Nothodes parvulus (Panzer, 1799)")</f>
        <v>Nothodes parvulus (Panzer, 1799)</v>
      </c>
      <c r="AH13142" s="4" t="str">
        <f>HYPERLINK("#Statut_biogéographique!A"&amp;_xlfn.XMATCH("P",Statut_biogéographique!A:A,2,1),"P")</f>
        <v>P</v>
      </c>
      <c r="AP13142" s="4" t="s">
        <v>376</v>
      </c>
      <c r="AR13142" s="4" t="s">
        <v>377</v>
      </c>
    </row>
    <row r="13143" spans="1:44" ht="30">
      <c r="A13143" s="4" t="s">
        <v>10753</v>
      </c>
      <c r="B13143" s="4">
        <v>240472</v>
      </c>
      <c r="D13143" s="5" t="s">
        <v>15837</v>
      </c>
      <c r="E13143" s="6" t="str">
        <f>HYPERLINK("https://inpn.mnhn.fr/espece/cd_nom/240472","Oedostethus quadripustulatus (Fabricius, 1792)")</f>
        <v>Oedostethus quadripustulatus (Fabricius, 1792)</v>
      </c>
      <c r="AH13143" s="4" t="str">
        <f>HYPERLINK("#Statut_biogéographique!A"&amp;_xlfn.XMATCH("P",Statut_biogéographique!A:A,2,1),"P")</f>
        <v>P</v>
      </c>
      <c r="AP13143" s="4" t="s">
        <v>376</v>
      </c>
      <c r="AR13143" s="4" t="s">
        <v>377</v>
      </c>
    </row>
    <row r="13144" spans="1:44">
      <c r="A13144" s="4" t="s">
        <v>10753</v>
      </c>
      <c r="B13144" s="4">
        <v>240474</v>
      </c>
      <c r="D13144" s="5" t="s">
        <v>15838</v>
      </c>
      <c r="E13144" s="6" t="str">
        <f>HYPERLINK("https://inpn.mnhn.fr/espece/cd_nom/240474","Paracardiophorus musculus (Erichson, 1840)")</f>
        <v>Paracardiophorus musculus (Erichson, 1840)</v>
      </c>
      <c r="AH13144" s="4" t="str">
        <f>HYPERLINK("#Statut_biogéographique!A"&amp;_xlfn.XMATCH("P",Statut_biogéographique!A:A,2,1),"P")</f>
        <v>P</v>
      </c>
      <c r="AP13144" s="4" t="s">
        <v>376</v>
      </c>
      <c r="AR13144" s="4" t="s">
        <v>377</v>
      </c>
    </row>
    <row r="13145" spans="1:44" ht="30">
      <c r="A13145" s="4" t="s">
        <v>10753</v>
      </c>
      <c r="B13145" s="4">
        <v>240476</v>
      </c>
      <c r="D13145" s="5" t="s">
        <v>15839</v>
      </c>
      <c r="E13145" s="6" t="str">
        <f>HYPERLINK("https://inpn.mnhn.fr/espece/cd_nom/240476","Paraphotistus nigricornis (Panzer, 1799)")</f>
        <v>Paraphotistus nigricornis (Panzer, 1799)</v>
      </c>
      <c r="AH13145" s="4" t="str">
        <f>HYPERLINK("#Statut_biogéographique!A"&amp;_xlfn.XMATCH("P",Statut_biogéographique!A:A,2,1),"P")</f>
        <v>P</v>
      </c>
      <c r="AP13145" s="4" t="s">
        <v>376</v>
      </c>
      <c r="AR13145" s="4" t="s">
        <v>377</v>
      </c>
    </row>
    <row r="13146" spans="1:44">
      <c r="A13146" s="4" t="s">
        <v>10753</v>
      </c>
      <c r="B13146" s="4">
        <v>240479</v>
      </c>
      <c r="D13146" s="5" t="s">
        <v>15840</v>
      </c>
      <c r="E13146" s="6" t="str">
        <f>HYPERLINK("https://inpn.mnhn.fr/espece/cd_nom/240479","Pheletes aeneoniger (De Geer, 1774)")</f>
        <v>Pheletes aeneoniger (De Geer, 1774)</v>
      </c>
      <c r="AH13146" s="4" t="str">
        <f>HYPERLINK("#Statut_biogéographique!A"&amp;_xlfn.XMATCH("P",Statut_biogéographique!A:A,2,1),"P")</f>
        <v>P</v>
      </c>
      <c r="AP13146" s="4" t="s">
        <v>376</v>
      </c>
      <c r="AR13146" s="4" t="s">
        <v>377</v>
      </c>
    </row>
    <row r="13147" spans="1:44">
      <c r="A13147" s="4" t="s">
        <v>10753</v>
      </c>
      <c r="B13147" s="4">
        <v>24048</v>
      </c>
      <c r="D13147" s="5" t="s">
        <v>15841</v>
      </c>
      <c r="E13147" s="6" t="str">
        <f>HYPERLINK("https://inpn.mnhn.fr/espece/cd_nom/24048","Chamaepsila nigricornis (Meigen, 1826)")</f>
        <v>Chamaepsila nigricornis (Meigen, 1826)</v>
      </c>
      <c r="AH13147" s="4" t="str">
        <f>HYPERLINK("#Statut_biogéographique!A"&amp;_xlfn.XMATCH("P",Statut_biogéographique!A:A,2,1),"P")</f>
        <v>P</v>
      </c>
      <c r="AP13147" s="4" t="s">
        <v>376</v>
      </c>
      <c r="AR13147" s="4" t="s">
        <v>377</v>
      </c>
    </row>
    <row r="13148" spans="1:44">
      <c r="A13148" s="4" t="s">
        <v>10753</v>
      </c>
      <c r="B13148" s="4">
        <v>240480</v>
      </c>
      <c r="D13148" s="5" t="s">
        <v>15842</v>
      </c>
      <c r="E13148" s="6" t="str">
        <f>HYPERLINK("https://inpn.mnhn.fr/espece/cd_nom/240480","Pheletes quercus (Olivier, 1790)")</f>
        <v>Pheletes quercus (Olivier, 1790)</v>
      </c>
      <c r="AH13148" s="4" t="str">
        <f>HYPERLINK("#Statut_biogéographique!A"&amp;_xlfn.XMATCH("P",Statut_biogéographique!A:A,2,1),"P")</f>
        <v>P</v>
      </c>
      <c r="AP13148" s="4" t="s">
        <v>376</v>
      </c>
      <c r="AR13148" s="4" t="s">
        <v>377</v>
      </c>
    </row>
    <row r="13149" spans="1:44">
      <c r="A13149" s="4" t="s">
        <v>10753</v>
      </c>
      <c r="B13149" s="4">
        <v>240484</v>
      </c>
      <c r="D13149" s="5" t="s">
        <v>15843</v>
      </c>
      <c r="E13149" s="6" t="str">
        <f>HYPERLINK("https://inpn.mnhn.fr/espece/cd_nom/240484","Porthmidius austriacus (Schrank, 1781)")</f>
        <v>Porthmidius austriacus (Schrank, 1781)</v>
      </c>
      <c r="AH13149" s="4" t="str">
        <f>HYPERLINK("#Statut_biogéographique!A"&amp;_xlfn.XMATCH("P",Statut_biogéographique!A:A,2,1),"P")</f>
        <v>P</v>
      </c>
      <c r="AP13149" s="4" t="s">
        <v>376</v>
      </c>
      <c r="AR13149" s="4" t="s">
        <v>377</v>
      </c>
    </row>
    <row r="13150" spans="1:44" ht="30">
      <c r="A13150" s="4" t="s">
        <v>10753</v>
      </c>
      <c r="B13150" s="4">
        <v>240485</v>
      </c>
      <c r="D13150" s="5" t="s">
        <v>15844</v>
      </c>
      <c r="E13150" s="6" t="str">
        <f>HYPERLINK("https://inpn.mnhn.fr/espece/cd_nom/240485","Procraerus tibialis (Lacordaire in Boisduval &amp; Lacordaire, 1835)")</f>
        <v>Procraerus tibialis (Lacordaire in Boisduval &amp; Lacordaire, 1835)</v>
      </c>
      <c r="P13150" s="7" t="str">
        <f>HYPERLINK("#Liste_rouge!A"&amp;_xlfn.XMATCH("LC",Liste_rouge!A:A,2,1),"LC")</f>
        <v>LC</v>
      </c>
      <c r="AH13150" s="4" t="str">
        <f>HYPERLINK("#Statut_biogéographique!A"&amp;_xlfn.XMATCH("P",Statut_biogéographique!A:A,2,1),"P")</f>
        <v>P</v>
      </c>
      <c r="AP13150" s="4" t="s">
        <v>376</v>
      </c>
      <c r="AR13150" s="4" t="s">
        <v>377</v>
      </c>
    </row>
    <row r="13151" spans="1:44" ht="30">
      <c r="A13151" s="4" t="s">
        <v>10753</v>
      </c>
      <c r="B13151" s="4">
        <v>240486</v>
      </c>
      <c r="D13151" s="5" t="s">
        <v>15845</v>
      </c>
      <c r="E13151" s="6" t="str">
        <f>HYPERLINK("https://inpn.mnhn.fr/espece/cd_nom/240486","Prosternon tessellatum (Linnaeus, 1758)")</f>
        <v>Prosternon tessellatum (Linnaeus, 1758)</v>
      </c>
      <c r="F13151" s="5" t="s">
        <v>15846</v>
      </c>
      <c r="AH13151" s="4" t="str">
        <f>HYPERLINK("#Statut_biogéographique!A"&amp;_xlfn.XMATCH("P",Statut_biogéographique!A:A,2,1),"P")</f>
        <v>P</v>
      </c>
      <c r="AP13151" s="4" t="s">
        <v>376</v>
      </c>
      <c r="AR13151" s="4" t="s">
        <v>377</v>
      </c>
    </row>
    <row r="13152" spans="1:44">
      <c r="A13152" s="4" t="s">
        <v>10753</v>
      </c>
      <c r="B13152" s="4">
        <v>240487</v>
      </c>
      <c r="D13152" s="5" t="s">
        <v>15847</v>
      </c>
      <c r="E13152" s="6" t="str">
        <f>HYPERLINK("https://inpn.mnhn.fr/espece/cd_nom/240487","Quasimus minutissimus (Germar, 1823)")</f>
        <v>Quasimus minutissimus (Germar, 1823)</v>
      </c>
      <c r="AH13152" s="4" t="str">
        <f>HYPERLINK("#Statut_biogéographique!A"&amp;_xlfn.XMATCH("P",Statut_biogéographique!A:A,2,1),"P")</f>
        <v>P</v>
      </c>
      <c r="AP13152" s="4" t="s">
        <v>376</v>
      </c>
      <c r="AR13152" s="4" t="s">
        <v>377</v>
      </c>
    </row>
    <row r="13153" spans="1:44" ht="30">
      <c r="A13153" s="4" t="s">
        <v>10753</v>
      </c>
      <c r="B13153" s="4">
        <v>240492</v>
      </c>
      <c r="D13153" s="5" t="s">
        <v>15848</v>
      </c>
      <c r="E13153" s="6" t="str">
        <f>HYPERLINK("https://inpn.mnhn.fr/espece/cd_nom/240492","Selatosomus aeneus (Linnaeus, 1758)")</f>
        <v>Selatosomus aeneus (Linnaeus, 1758)</v>
      </c>
      <c r="AH13153" s="4" t="str">
        <f>HYPERLINK("#Statut_biogéographique!A"&amp;_xlfn.XMATCH("P",Statut_biogéographique!A:A,2,1),"P")</f>
        <v>P</v>
      </c>
      <c r="AP13153" s="4" t="s">
        <v>376</v>
      </c>
      <c r="AR13153" s="4" t="s">
        <v>377</v>
      </c>
    </row>
    <row r="13154" spans="1:44">
      <c r="A13154" s="4" t="s">
        <v>10753</v>
      </c>
      <c r="B13154" s="4">
        <v>240496</v>
      </c>
      <c r="D13154" s="5" t="s">
        <v>15849</v>
      </c>
      <c r="E13154" s="6" t="str">
        <f>HYPERLINK("https://inpn.mnhn.fr/espece/cd_nom/240496","Sericus brunneus (Linnaeus, 1758)")</f>
        <v>Sericus brunneus (Linnaeus, 1758)</v>
      </c>
      <c r="AH13154" s="4" t="str">
        <f>HYPERLINK("#Statut_biogéographique!A"&amp;_xlfn.XMATCH("P",Statut_biogéographique!A:A,2,1),"P")</f>
        <v>P</v>
      </c>
      <c r="AP13154" s="4" t="s">
        <v>376</v>
      </c>
      <c r="AR13154" s="4" t="s">
        <v>377</v>
      </c>
    </row>
    <row r="13155" spans="1:44">
      <c r="A13155" s="4" t="s">
        <v>10753</v>
      </c>
      <c r="B13155" s="4">
        <v>240498</v>
      </c>
      <c r="D13155" s="5" t="s">
        <v>15850</v>
      </c>
      <c r="E13155" s="6" t="str">
        <f>HYPERLINK("https://inpn.mnhn.fr/espece/cd_nom/240498","Sericus subaeneus (W. Redtenbacher, 1842)")</f>
        <v>Sericus subaeneus (W. Redtenbacher, 1842)</v>
      </c>
      <c r="AH13155" s="4" t="str">
        <f>HYPERLINK("#Statut_biogéographique!A"&amp;_xlfn.XMATCH("P",Statut_biogéographique!A:A,2,1),"P")</f>
        <v>P</v>
      </c>
      <c r="AP13155" s="4" t="s">
        <v>376</v>
      </c>
      <c r="AR13155" s="4" t="s">
        <v>377</v>
      </c>
    </row>
    <row r="13156" spans="1:44">
      <c r="A13156" s="4" t="s">
        <v>10753</v>
      </c>
      <c r="B13156" s="4">
        <v>240499</v>
      </c>
      <c r="D13156" s="5" t="s">
        <v>15851</v>
      </c>
      <c r="E13156" s="6" t="str">
        <f>HYPERLINK("https://inpn.mnhn.fr/espece/cd_nom/240499","Stenagostus rhombeus (Olivier, 1790)")</f>
        <v>Stenagostus rhombeus (Olivier, 1790)</v>
      </c>
      <c r="F13156" s="5" t="s">
        <v>15852</v>
      </c>
      <c r="P13156" s="7" t="str">
        <f>HYPERLINK("#Liste_rouge!A"&amp;_xlfn.XMATCH("LC",Liste_rouge!A:A,2,1),"LC")</f>
        <v>LC</v>
      </c>
      <c r="AH13156" s="4" t="str">
        <f>HYPERLINK("#Statut_biogéographique!A"&amp;_xlfn.XMATCH("P",Statut_biogéographique!A:A,2,1),"P")</f>
        <v>P</v>
      </c>
      <c r="AP13156" s="4" t="s">
        <v>376</v>
      </c>
      <c r="AR13156" s="4" t="s">
        <v>377</v>
      </c>
    </row>
    <row r="13157" spans="1:44">
      <c r="A13157" s="4" t="s">
        <v>10753</v>
      </c>
      <c r="B13157" s="4">
        <v>240506</v>
      </c>
      <c r="D13157" s="5" t="s">
        <v>15853</v>
      </c>
      <c r="E13157" s="6" t="str">
        <f>HYPERLINK("https://inpn.mnhn.fr/espece/cd_nom/240506","Zorochros dufouri (Buysson, 1900)")</f>
        <v>Zorochros dufouri (Buysson, 1900)</v>
      </c>
      <c r="AH13157" s="4" t="str">
        <f>HYPERLINK("#Statut_biogéographique!A"&amp;_xlfn.XMATCH("P",Statut_biogéographique!A:A,2,1),"P")</f>
        <v>P</v>
      </c>
      <c r="AP13157" s="4" t="s">
        <v>376</v>
      </c>
      <c r="AR13157" s="4" t="s">
        <v>377</v>
      </c>
    </row>
    <row r="13158" spans="1:44">
      <c r="A13158" s="4" t="s">
        <v>10753</v>
      </c>
      <c r="B13158" s="4">
        <v>240507</v>
      </c>
      <c r="D13158" s="5" t="s">
        <v>15854</v>
      </c>
      <c r="E13158" s="6" t="str">
        <f>HYPERLINK("https://inpn.mnhn.fr/espece/cd_nom/240507","Zorochros flavipes (Aubé, 1850)")</f>
        <v>Zorochros flavipes (Aubé, 1850)</v>
      </c>
      <c r="AH13158" s="4" t="str">
        <f>HYPERLINK("#Statut_biogéographique!A"&amp;_xlfn.XMATCH("P",Statut_biogéographique!A:A,2,1),"P")</f>
        <v>P</v>
      </c>
      <c r="AP13158" s="4" t="s">
        <v>376</v>
      </c>
      <c r="AR13158" s="4" t="s">
        <v>377</v>
      </c>
    </row>
    <row r="13159" spans="1:44" ht="30">
      <c r="A13159" s="4" t="s">
        <v>10753</v>
      </c>
      <c r="B13159" s="4">
        <v>240509</v>
      </c>
      <c r="D13159" s="5" t="s">
        <v>15855</v>
      </c>
      <c r="E13159" s="6" t="str">
        <f>HYPERLINK("https://inpn.mnhn.fr/espece/cd_nom/240509","Zorochros meridionalis (Laporte de Castelnau, 1840)")</f>
        <v>Zorochros meridionalis (Laporte de Castelnau, 1840)</v>
      </c>
      <c r="AH13159" s="4" t="str">
        <f>HYPERLINK("#Statut_biogéographique!A"&amp;_xlfn.XMATCH("P",Statut_biogéographique!A:A,2,1),"P")</f>
        <v>P</v>
      </c>
      <c r="AP13159" s="4" t="s">
        <v>376</v>
      </c>
      <c r="AR13159" s="4" t="s">
        <v>377</v>
      </c>
    </row>
    <row r="13160" spans="1:44" ht="30">
      <c r="A13160" s="4" t="s">
        <v>10753</v>
      </c>
      <c r="B13160" s="4">
        <v>240510</v>
      </c>
      <c r="D13160" s="5" t="s">
        <v>15856</v>
      </c>
      <c r="E13160" s="6" t="str">
        <f>HYPERLINK("https://inpn.mnhn.fr/espece/cd_nom/240510","Zorochros quadriguttatus (Laporte de Castelnau, 1840)")</f>
        <v>Zorochros quadriguttatus (Laporte de Castelnau, 1840)</v>
      </c>
      <c r="AH13160" s="4" t="str">
        <f>HYPERLINK("#Statut_biogéographique!A"&amp;_xlfn.XMATCH("P",Statut_biogéographique!A:A,2,1),"P")</f>
        <v>P</v>
      </c>
      <c r="AP13160" s="4" t="s">
        <v>376</v>
      </c>
      <c r="AR13160" s="4" t="s">
        <v>377</v>
      </c>
    </row>
    <row r="13161" spans="1:44" ht="30">
      <c r="A13161" s="4" t="s">
        <v>10753</v>
      </c>
      <c r="B13161" s="4">
        <v>240516</v>
      </c>
      <c r="D13161" s="5" t="s">
        <v>15857</v>
      </c>
      <c r="E13161" s="6" t="str">
        <f>HYPERLINK("https://inpn.mnhn.fr/espece/cd_nom/240516","Stenelmis canaliculata (Gyllenhal, 1808)")</f>
        <v>Stenelmis canaliculata (Gyllenhal, 1808)</v>
      </c>
      <c r="AH13161" s="4" t="str">
        <f>HYPERLINK("#Statut_biogéographique!A"&amp;_xlfn.XMATCH("P",Statut_biogéographique!A:A,2,1),"P")</f>
        <v>P</v>
      </c>
      <c r="AP13161" s="4" t="s">
        <v>376</v>
      </c>
      <c r="AR13161" s="4" t="s">
        <v>377</v>
      </c>
    </row>
    <row r="13162" spans="1:44">
      <c r="A13162" s="4" t="s">
        <v>10753</v>
      </c>
      <c r="B13162" s="4">
        <v>240517</v>
      </c>
      <c r="D13162" s="5" t="s">
        <v>15858</v>
      </c>
      <c r="E13162" s="6" t="str">
        <f>HYPERLINK("https://inpn.mnhn.fr/espece/cd_nom/240517","Stenelmis consobrina Dufour, 1835")</f>
        <v>Stenelmis consobrina Dufour, 1835</v>
      </c>
      <c r="F13162" s="5" t="s">
        <v>15859</v>
      </c>
      <c r="AH13162" s="4" t="str">
        <f>HYPERLINK("#Statut_biogéographique!A"&amp;_xlfn.XMATCH("P",Statut_biogéographique!A:A,2,1),"P")</f>
        <v>P</v>
      </c>
      <c r="AP13162" s="4" t="s">
        <v>376</v>
      </c>
      <c r="AR13162" s="4" t="s">
        <v>377</v>
      </c>
    </row>
    <row r="13163" spans="1:44" ht="30">
      <c r="A13163" s="4" t="s">
        <v>10753</v>
      </c>
      <c r="B13163" s="4">
        <v>240518</v>
      </c>
      <c r="D13163" s="5" t="s">
        <v>15860</v>
      </c>
      <c r="E13163" s="6" t="str">
        <f>HYPERLINK("https://inpn.mnhn.fr/espece/cd_nom/240518","Riolus cupreus (P.W.J. Müller, 1806)")</f>
        <v>Riolus cupreus (P.W.J. Müller, 1806)</v>
      </c>
      <c r="AH13163" s="4" t="str">
        <f>HYPERLINK("#Statut_biogéographique!A"&amp;_xlfn.XMATCH("P",Statut_biogéographique!A:A,2,1),"P")</f>
        <v>P</v>
      </c>
      <c r="AP13163" s="4" t="s">
        <v>376</v>
      </c>
      <c r="AR13163" s="4" t="s">
        <v>377</v>
      </c>
    </row>
    <row r="13164" spans="1:44">
      <c r="A13164" s="4" t="s">
        <v>10753</v>
      </c>
      <c r="B13164" s="4">
        <v>240519</v>
      </c>
      <c r="D13164" s="5">
        <v>240519</v>
      </c>
      <c r="E13164" s="6" t="str">
        <f>HYPERLINK("https://inpn.mnhn.fr/espece/cd_nom/240519","Riolus illiesi Steffan, 1958")</f>
        <v>Riolus illiesi Steffan, 1958</v>
      </c>
      <c r="AH13164" s="4" t="str">
        <f>HYPERLINK("#Statut_biogéographique!A"&amp;_xlfn.XMATCH("P",Statut_biogéographique!A:A,2,1),"P")</f>
        <v>P</v>
      </c>
      <c r="AP13164" s="4" t="s">
        <v>376</v>
      </c>
      <c r="AR13164" s="4" t="s">
        <v>377</v>
      </c>
    </row>
    <row r="13165" spans="1:44" ht="30">
      <c r="A13165" s="4" t="s">
        <v>10753</v>
      </c>
      <c r="B13165" s="4">
        <v>240520</v>
      </c>
      <c r="D13165" s="5" t="s">
        <v>15861</v>
      </c>
      <c r="E13165" s="6" t="str">
        <f>HYPERLINK("https://inpn.mnhn.fr/espece/cd_nom/240520","Riolus subviolaceus (P.W.J. Müller, 1817)")</f>
        <v>Riolus subviolaceus (P.W.J. Müller, 1817)</v>
      </c>
      <c r="AH13165" s="4" t="str">
        <f>HYPERLINK("#Statut_biogéographique!A"&amp;_xlfn.XMATCH("P",Statut_biogéographique!A:A,2,1),"P")</f>
        <v>P</v>
      </c>
      <c r="AP13165" s="4" t="s">
        <v>376</v>
      </c>
      <c r="AR13165" s="4" t="s">
        <v>377</v>
      </c>
    </row>
    <row r="13166" spans="1:44">
      <c r="A13166" s="4" t="s">
        <v>10753</v>
      </c>
      <c r="B13166" s="4">
        <v>240521</v>
      </c>
      <c r="D13166" s="5" t="s">
        <v>15862</v>
      </c>
      <c r="E13166" s="6" t="str">
        <f>HYPERLINK("https://inpn.mnhn.fr/espece/cd_nom/240521","Oulimnius major (Rey, 1889)")</f>
        <v>Oulimnius major (Rey, 1889)</v>
      </c>
      <c r="AH13166" s="4" t="str">
        <f>HYPERLINK("#Statut_biogéographique!A"&amp;_xlfn.XMATCH("P",Statut_biogéographique!A:A,2,1),"P")</f>
        <v>P</v>
      </c>
      <c r="AP13166" s="4" t="s">
        <v>376</v>
      </c>
      <c r="AR13166" s="4" t="s">
        <v>377</v>
      </c>
    </row>
    <row r="13167" spans="1:44">
      <c r="A13167" s="4" t="s">
        <v>10753</v>
      </c>
      <c r="B13167" s="4">
        <v>240522</v>
      </c>
      <c r="D13167" s="5" t="s">
        <v>15863</v>
      </c>
      <c r="E13167" s="6" t="str">
        <f>HYPERLINK("https://inpn.mnhn.fr/espece/cd_nom/240522","Oulimnius rivularis (Rosenhauer, 1856)")</f>
        <v>Oulimnius rivularis (Rosenhauer, 1856)</v>
      </c>
      <c r="AH13167" s="4" t="str">
        <f>HYPERLINK("#Statut_biogéographique!A"&amp;_xlfn.XMATCH("P",Statut_biogéographique!A:A,2,1),"P")</f>
        <v>P</v>
      </c>
      <c r="AP13167" s="4" t="s">
        <v>376</v>
      </c>
      <c r="AR13167" s="4" t="s">
        <v>377</v>
      </c>
    </row>
    <row r="13168" spans="1:44" ht="30">
      <c r="A13168" s="4" t="s">
        <v>10753</v>
      </c>
      <c r="B13168" s="4">
        <v>240523</v>
      </c>
      <c r="D13168" s="5" t="s">
        <v>15864</v>
      </c>
      <c r="E13168" s="6" t="str">
        <f>HYPERLINK("https://inpn.mnhn.fr/espece/cd_nom/240523","Oulimnius troglodytes (Gyllenhal, 1827)")</f>
        <v>Oulimnius troglodytes (Gyllenhal, 1827)</v>
      </c>
      <c r="AH13168" s="4" t="str">
        <f>HYPERLINK("#Statut_biogéographique!A"&amp;_xlfn.XMATCH("P",Statut_biogéographique!A:A,2,1),"P")</f>
        <v>P</v>
      </c>
      <c r="AP13168" s="4" t="s">
        <v>376</v>
      </c>
      <c r="AR13168" s="4" t="s">
        <v>377</v>
      </c>
    </row>
    <row r="13169" spans="1:44" ht="30">
      <c r="A13169" s="4" t="s">
        <v>10753</v>
      </c>
      <c r="B13169" s="4">
        <v>240524</v>
      </c>
      <c r="D13169" s="5" t="s">
        <v>15865</v>
      </c>
      <c r="E13169" s="6" t="str">
        <f>HYPERLINK("https://inpn.mnhn.fr/espece/cd_nom/240524","Oulimnius tuberculatus (P.W.J. Müller, 1806)")</f>
        <v>Oulimnius tuberculatus (P.W.J. Müller, 1806)</v>
      </c>
      <c r="AH13169" s="4" t="str">
        <f>HYPERLINK("#Statut_biogéographique!A"&amp;_xlfn.XMATCH("P",Statut_biogéographique!A:A,2,1),"P")</f>
        <v>P</v>
      </c>
      <c r="AP13169" s="4" t="s">
        <v>376</v>
      </c>
      <c r="AR13169" s="4" t="s">
        <v>377</v>
      </c>
    </row>
    <row r="13170" spans="1:44">
      <c r="A13170" s="4" t="s">
        <v>10753</v>
      </c>
      <c r="B13170" s="4">
        <v>240525</v>
      </c>
      <c r="D13170" s="5" t="s">
        <v>15866</v>
      </c>
      <c r="E13170" s="6" t="str">
        <f>HYPERLINK("https://inpn.mnhn.fr/espece/cd_nom/240525","Normandia nitens (P.W.J. Müller, 1817)")</f>
        <v>Normandia nitens (P.W.J. Müller, 1817)</v>
      </c>
      <c r="AH13170" s="4" t="str">
        <f>HYPERLINK("#Statut_biogéographique!A"&amp;_xlfn.XMATCH("P",Statut_biogéographique!A:A,2,1),"P")</f>
        <v>P</v>
      </c>
      <c r="AP13170" s="4" t="s">
        <v>376</v>
      </c>
      <c r="AR13170" s="4" t="s">
        <v>377</v>
      </c>
    </row>
    <row r="13171" spans="1:44" ht="30">
      <c r="A13171" s="4" t="s">
        <v>10753</v>
      </c>
      <c r="B13171" s="4">
        <v>240527</v>
      </c>
      <c r="D13171" s="5">
        <v>240527</v>
      </c>
      <c r="E13171" s="6" t="str">
        <f>HYPERLINK("https://inpn.mnhn.fr/espece/cd_nom/240527","Macronychus quadrituberculatus P.W.J. Müller, 1806")</f>
        <v>Macronychus quadrituberculatus P.W.J. Müller, 1806</v>
      </c>
      <c r="AH13171" s="4" t="str">
        <f>HYPERLINK("#Statut_biogéographique!A"&amp;_xlfn.XMATCH("P",Statut_biogéographique!A:A,2,1),"P")</f>
        <v>P</v>
      </c>
      <c r="AP13171" s="4" t="s">
        <v>376</v>
      </c>
      <c r="AR13171" s="4" t="s">
        <v>377</v>
      </c>
    </row>
    <row r="13172" spans="1:44" ht="30">
      <c r="A13172" s="4" t="s">
        <v>10753</v>
      </c>
      <c r="B13172" s="4">
        <v>240530</v>
      </c>
      <c r="D13172" s="5" t="s">
        <v>15867</v>
      </c>
      <c r="E13172" s="6" t="str">
        <f>HYPERLINK("https://inpn.mnhn.fr/espece/cd_nom/240530","Esolus angustatus (P.W.J. Müller, 1821)")</f>
        <v>Esolus angustatus (P.W.J. Müller, 1821)</v>
      </c>
      <c r="AH13172" s="4" t="str">
        <f>HYPERLINK("#Statut_biogéographique!A"&amp;_xlfn.XMATCH("P",Statut_biogéographique!A:A,2,1),"P")</f>
        <v>P</v>
      </c>
      <c r="AP13172" s="4" t="s">
        <v>376</v>
      </c>
      <c r="AR13172" s="4" t="s">
        <v>377</v>
      </c>
    </row>
    <row r="13173" spans="1:44">
      <c r="A13173" s="4" t="s">
        <v>10753</v>
      </c>
      <c r="B13173" s="4">
        <v>240532</v>
      </c>
      <c r="D13173" s="5" t="s">
        <v>15868</v>
      </c>
      <c r="E13173" s="6" t="str">
        <f>HYPERLINK("https://inpn.mnhn.fr/espece/cd_nom/240532","Esolus czwalinae Kuwert, 1889")</f>
        <v>Esolus czwalinae Kuwert, 1889</v>
      </c>
      <c r="AH13173" s="4" t="str">
        <f>HYPERLINK("#Statut_biogéographique!A"&amp;_xlfn.XMATCH("P",Statut_biogéographique!A:A,2,1),"P")</f>
        <v>P</v>
      </c>
      <c r="AP13173" s="4" t="s">
        <v>376</v>
      </c>
      <c r="AR13173" s="4" t="s">
        <v>377</v>
      </c>
    </row>
    <row r="13174" spans="1:44" ht="30">
      <c r="A13174" s="4" t="s">
        <v>10753</v>
      </c>
      <c r="B13174" s="4">
        <v>240533</v>
      </c>
      <c r="D13174" s="5" t="s">
        <v>15869</v>
      </c>
      <c r="E13174" s="6" t="str">
        <f>HYPERLINK("https://inpn.mnhn.fr/espece/cd_nom/240533","Esolus parallelepipedus (Müller, 1806)")</f>
        <v>Esolus parallelepipedus (Müller, 1806)</v>
      </c>
      <c r="AH13174" s="4" t="str">
        <f>HYPERLINK("#Statut_biogéographique!A"&amp;_xlfn.XMATCH("P",Statut_biogéographique!A:A,2,1),"P")</f>
        <v>P</v>
      </c>
      <c r="AP13174" s="4" t="s">
        <v>376</v>
      </c>
      <c r="AR13174" s="4" t="s">
        <v>377</v>
      </c>
    </row>
    <row r="13175" spans="1:44">
      <c r="A13175" s="4" t="s">
        <v>10753</v>
      </c>
      <c r="B13175" s="4">
        <v>240534</v>
      </c>
      <c r="D13175" s="5" t="s">
        <v>15870</v>
      </c>
      <c r="E13175" s="6" t="str">
        <f>HYPERLINK("https://inpn.mnhn.fr/espece/cd_nom/240534","Elmis aenea (P.W.J. Müller, 1806)")</f>
        <v>Elmis aenea (P.W.J. Müller, 1806)</v>
      </c>
      <c r="AH13175" s="4" t="str">
        <f>HYPERLINK("#Statut_biogéographique!A"&amp;_xlfn.XMATCH("P",Statut_biogéographique!A:A,2,1),"P")</f>
        <v>P</v>
      </c>
      <c r="AP13175" s="4" t="s">
        <v>376</v>
      </c>
      <c r="AR13175" s="4" t="s">
        <v>377</v>
      </c>
    </row>
    <row r="13176" spans="1:44">
      <c r="A13176" s="4" t="s">
        <v>10753</v>
      </c>
      <c r="B13176" s="4">
        <v>240536</v>
      </c>
      <c r="D13176" s="5" t="s">
        <v>15871</v>
      </c>
      <c r="E13176" s="6" t="str">
        <f>HYPERLINK("https://inpn.mnhn.fr/espece/cd_nom/240536","Elmis maugetii Latreille, 1802")</f>
        <v>Elmis maugetii Latreille, 1802</v>
      </c>
      <c r="AH13176" s="4" t="str">
        <f>HYPERLINK("#Statut_biogéographique!A"&amp;_xlfn.XMATCH("P",Statut_biogéographique!A:A,2,1),"P")</f>
        <v>P</v>
      </c>
      <c r="AP13176" s="4" t="s">
        <v>376</v>
      </c>
      <c r="AR13176" s="4" t="s">
        <v>377</v>
      </c>
    </row>
    <row r="13177" spans="1:44">
      <c r="A13177" s="4" t="s">
        <v>10753</v>
      </c>
      <c r="B13177" s="4">
        <v>240537</v>
      </c>
      <c r="D13177" s="5" t="s">
        <v>15872</v>
      </c>
      <c r="E13177" s="6" t="str">
        <f>HYPERLINK("https://inpn.mnhn.fr/espece/cd_nom/240537","Elmis obscura (P.W.J. Müller, 1806)")</f>
        <v>Elmis obscura (P.W.J. Müller, 1806)</v>
      </c>
      <c r="AH13177" s="4" t="str">
        <f>HYPERLINK("#Statut_biogéographique!A"&amp;_xlfn.XMATCH("P",Statut_biogéographique!A:A,2,1),"P")</f>
        <v>P</v>
      </c>
      <c r="AP13177" s="4" t="s">
        <v>376</v>
      </c>
      <c r="AR13177" s="4" t="s">
        <v>377</v>
      </c>
    </row>
    <row r="13178" spans="1:44">
      <c r="A13178" s="4" t="s">
        <v>10753</v>
      </c>
      <c r="B13178" s="4">
        <v>24054</v>
      </c>
      <c r="D13178" s="5" t="s">
        <v>15873</v>
      </c>
      <c r="E13178" s="6" t="str">
        <f>HYPERLINK("https://inpn.mnhn.fr/espece/cd_nom/24054","Chamaepsila pectoralis (Meigen, 1826)")</f>
        <v>Chamaepsila pectoralis (Meigen, 1826)</v>
      </c>
      <c r="AH13178" s="4" t="str">
        <f>HYPERLINK("#Statut_biogéographique!A"&amp;_xlfn.XMATCH("P",Statut_biogéographique!A:A,2,1),"P")</f>
        <v>P</v>
      </c>
      <c r="AP13178" s="4" t="s">
        <v>376</v>
      </c>
      <c r="AR13178" s="4" t="s">
        <v>377</v>
      </c>
    </row>
    <row r="13179" spans="1:44">
      <c r="A13179" s="4" t="s">
        <v>10753</v>
      </c>
      <c r="B13179" s="4">
        <v>240540</v>
      </c>
      <c r="D13179" s="5" t="s">
        <v>15874</v>
      </c>
      <c r="E13179" s="6" t="str">
        <f>HYPERLINK("https://inpn.mnhn.fr/espece/cd_nom/240540","Elmis rioloides (Kuwert, 1890)")</f>
        <v>Elmis rioloides (Kuwert, 1890)</v>
      </c>
      <c r="AH13179" s="4" t="str">
        <f>HYPERLINK("#Statut_biogéographique!A"&amp;_xlfn.XMATCH("P",Statut_biogéographique!A:A,2,1),"P")</f>
        <v>P</v>
      </c>
      <c r="AP13179" s="4" t="s">
        <v>376</v>
      </c>
      <c r="AR13179" s="4" t="s">
        <v>377</v>
      </c>
    </row>
    <row r="13180" spans="1:44">
      <c r="A13180" s="4" t="s">
        <v>10753</v>
      </c>
      <c r="B13180" s="4">
        <v>240541</v>
      </c>
      <c r="D13180" s="5" t="s">
        <v>15875</v>
      </c>
      <c r="E13180" s="6" t="str">
        <f>HYPERLINK("https://inpn.mnhn.fr/espece/cd_nom/240541","Potamophilus acuminatus (Fabricius, 1792)")</f>
        <v>Potamophilus acuminatus (Fabricius, 1792)</v>
      </c>
      <c r="AH13180" s="4" t="str">
        <f>HYPERLINK("#Statut_biogéographique!A"&amp;_xlfn.XMATCH("P",Statut_biogéographique!A:A,2,1),"P")</f>
        <v>P</v>
      </c>
      <c r="AP13180" s="4" t="s">
        <v>376</v>
      </c>
      <c r="AR13180" s="4" t="s">
        <v>377</v>
      </c>
    </row>
    <row r="13181" spans="1:44">
      <c r="A13181" s="4" t="s">
        <v>10753</v>
      </c>
      <c r="B13181" s="4">
        <v>240542</v>
      </c>
      <c r="D13181" s="5" t="s">
        <v>15876</v>
      </c>
      <c r="E13181" s="6" t="str">
        <f>HYPERLINK("https://inpn.mnhn.fr/espece/cd_nom/240542","Ochthebius aeneus Stephens, 1835")</f>
        <v>Ochthebius aeneus Stephens, 1835</v>
      </c>
      <c r="AH13181" s="4" t="str">
        <f>HYPERLINK("#Statut_biogéographique!A"&amp;_xlfn.XMATCH("P",Statut_biogéographique!A:A,2,1),"P")</f>
        <v>P</v>
      </c>
      <c r="AP13181" s="4" t="s">
        <v>376</v>
      </c>
      <c r="AR13181" s="4" t="s">
        <v>377</v>
      </c>
    </row>
    <row r="13182" spans="1:44">
      <c r="A13182" s="4" t="s">
        <v>10753</v>
      </c>
      <c r="B13182" s="4">
        <v>240544</v>
      </c>
      <c r="D13182" s="5" t="s">
        <v>15877</v>
      </c>
      <c r="E13182" s="6" t="str">
        <f>HYPERLINK("https://inpn.mnhn.fr/espece/cd_nom/240544","Ochthebius bicolon Germar, 1823")</f>
        <v>Ochthebius bicolon Germar, 1823</v>
      </c>
      <c r="AH13182" s="4" t="str">
        <f>HYPERLINK("#Statut_biogéographique!A"&amp;_xlfn.XMATCH("P",Statut_biogéographique!A:A,2,1),"P")</f>
        <v>P</v>
      </c>
      <c r="AP13182" s="4" t="s">
        <v>376</v>
      </c>
      <c r="AR13182" s="4" t="s">
        <v>377</v>
      </c>
    </row>
    <row r="13183" spans="1:44">
      <c r="A13183" s="4" t="s">
        <v>10753</v>
      </c>
      <c r="B13183" s="4">
        <v>240546</v>
      </c>
      <c r="D13183" s="5" t="s">
        <v>15878</v>
      </c>
      <c r="E13183" s="6" t="str">
        <f>HYPERLINK("https://inpn.mnhn.fr/espece/cd_nom/240546","Ochthebius crenulatus Mulsant &amp; Rey, 1850")</f>
        <v>Ochthebius crenulatus Mulsant &amp; Rey, 1850</v>
      </c>
      <c r="AH13183" s="4" t="str">
        <f>HYPERLINK("#Statut_biogéographique!A"&amp;_xlfn.XMATCH("P",Statut_biogéographique!A:A,2,1),"P")</f>
        <v>P</v>
      </c>
      <c r="AP13183" s="4" t="s">
        <v>376</v>
      </c>
      <c r="AR13183" s="4" t="s">
        <v>377</v>
      </c>
    </row>
    <row r="13184" spans="1:44">
      <c r="A13184" s="4" t="s">
        <v>10753</v>
      </c>
      <c r="B13184" s="4">
        <v>240549</v>
      </c>
      <c r="D13184" s="5" t="s">
        <v>15879</v>
      </c>
      <c r="E13184" s="6" t="str">
        <f>HYPERLINK("https://inpn.mnhn.fr/espece/cd_nom/240549","Ochthebius flavipes Dalla Torre, 1877")</f>
        <v>Ochthebius flavipes Dalla Torre, 1877</v>
      </c>
      <c r="AH13184" s="4" t="str">
        <f>HYPERLINK("#Statut_biogéographique!A"&amp;_xlfn.XMATCH("P",Statut_biogéographique!A:A,2,1),"P")</f>
        <v>P</v>
      </c>
      <c r="AP13184" s="4" t="s">
        <v>376</v>
      </c>
      <c r="AR13184" s="4" t="s">
        <v>377</v>
      </c>
    </row>
    <row r="13185" spans="1:44">
      <c r="A13185" s="4" t="s">
        <v>10753</v>
      </c>
      <c r="B13185" s="4">
        <v>24055</v>
      </c>
      <c r="D13185" s="5" t="s">
        <v>15880</v>
      </c>
      <c r="E13185" s="6" t="str">
        <f>HYPERLINK("https://inpn.mnhn.fr/espece/cd_nom/24055","Chamaepsila rosae (Fabricius, 1794)")</f>
        <v>Chamaepsila rosae (Fabricius, 1794)</v>
      </c>
      <c r="F13185" s="5" t="s">
        <v>15881</v>
      </c>
      <c r="AH13185" s="4" t="str">
        <f>HYPERLINK("#Statut_biogéographique!A"&amp;_xlfn.XMATCH("P",Statut_biogéographique!A:A,2,1),"P")</f>
        <v>P</v>
      </c>
      <c r="AP13185" s="4" t="s">
        <v>376</v>
      </c>
      <c r="AR13185" s="4" t="s">
        <v>377</v>
      </c>
    </row>
    <row r="13186" spans="1:44" ht="30">
      <c r="A13186" s="4" t="s">
        <v>10753</v>
      </c>
      <c r="B13186" s="4">
        <v>240553</v>
      </c>
      <c r="D13186" s="5" t="s">
        <v>15882</v>
      </c>
      <c r="E13186" s="6" t="str">
        <f>HYPERLINK("https://inpn.mnhn.fr/espece/cd_nom/240553","Ochthebius minimus (Fabricius, 1792)")</f>
        <v>Ochthebius minimus (Fabricius, 1792)</v>
      </c>
      <c r="AH13186" s="4" t="str">
        <f>HYPERLINK("#Statut_biogéographique!A"&amp;_xlfn.XMATCH("P",Statut_biogéographique!A:A,2,1),"P")</f>
        <v>P</v>
      </c>
      <c r="AP13186" s="4" t="s">
        <v>376</v>
      </c>
      <c r="AR13186" s="4" t="s">
        <v>377</v>
      </c>
    </row>
    <row r="13187" spans="1:44">
      <c r="A13187" s="4" t="s">
        <v>10753</v>
      </c>
      <c r="B13187" s="4">
        <v>240564</v>
      </c>
      <c r="D13187" s="5">
        <v>240564</v>
      </c>
      <c r="E13187" s="6" t="str">
        <f>HYPERLINK("https://inpn.mnhn.fr/espece/cd_nom/240564","Ochthebius foveolatus Germar, 1823")</f>
        <v>Ochthebius foveolatus Germar, 1823</v>
      </c>
      <c r="AH13187" s="4" t="str">
        <f>HYPERLINK("#Statut_biogéographique!A"&amp;_xlfn.XMATCH("P",Statut_biogéographique!A:A,2,1),"P")</f>
        <v>P</v>
      </c>
      <c r="AP13187" s="4" t="s">
        <v>376</v>
      </c>
      <c r="AR13187" s="4" t="s">
        <v>377</v>
      </c>
    </row>
    <row r="13188" spans="1:44">
      <c r="A13188" s="4" t="s">
        <v>10753</v>
      </c>
      <c r="B13188" s="4">
        <v>240572</v>
      </c>
      <c r="D13188" s="5">
        <v>240572</v>
      </c>
      <c r="E13188" s="6" t="str">
        <f>HYPERLINK("https://inpn.mnhn.fr/espece/cd_nom/240572","Ochthebius metallescens Rosenhauer, 1847")</f>
        <v>Ochthebius metallescens Rosenhauer, 1847</v>
      </c>
      <c r="AH13188" s="4" t="str">
        <f>HYPERLINK("#Statut_biogéographique!A"&amp;_xlfn.XMATCH("P",Statut_biogéographique!A:A,2,1),"P")</f>
        <v>P</v>
      </c>
      <c r="AP13188" s="4" t="s">
        <v>376</v>
      </c>
      <c r="AR13188" s="4" t="s">
        <v>377</v>
      </c>
    </row>
    <row r="13189" spans="1:44">
      <c r="A13189" s="4" t="s">
        <v>10753</v>
      </c>
      <c r="B13189" s="4">
        <v>240573</v>
      </c>
      <c r="D13189" s="5" t="s">
        <v>15883</v>
      </c>
      <c r="E13189" s="6" t="str">
        <f>HYPERLINK("https://inpn.mnhn.fr/espece/cd_nom/240573","Ochthebius nanus Stephens, 1829")</f>
        <v>Ochthebius nanus Stephens, 1829</v>
      </c>
      <c r="AH13189" s="4" t="str">
        <f>HYPERLINK("#Statut_biogéographique!A"&amp;_xlfn.XMATCH("P",Statut_biogéographique!A:A,2,1),"P")</f>
        <v>P</v>
      </c>
      <c r="AP13189" s="4" t="s">
        <v>376</v>
      </c>
      <c r="AR13189" s="4" t="s">
        <v>377</v>
      </c>
    </row>
    <row r="13190" spans="1:44">
      <c r="A13190" s="4" t="s">
        <v>10753</v>
      </c>
      <c r="B13190" s="4">
        <v>240577</v>
      </c>
      <c r="D13190" s="5">
        <v>240577</v>
      </c>
      <c r="E13190" s="6" t="str">
        <f>HYPERLINK("https://inpn.mnhn.fr/espece/cd_nom/240577","Ochthebius pusillus Stephens, 1835")</f>
        <v>Ochthebius pusillus Stephens, 1835</v>
      </c>
      <c r="AH13190" s="4" t="str">
        <f>HYPERLINK("#Statut_biogéographique!A"&amp;_xlfn.XMATCH("P",Statut_biogéographique!A:A,2,1),"P")</f>
        <v>P</v>
      </c>
      <c r="AP13190" s="4" t="s">
        <v>376</v>
      </c>
      <c r="AR13190" s="4" t="s">
        <v>377</v>
      </c>
    </row>
    <row r="13191" spans="1:44">
      <c r="A13191" s="4" t="s">
        <v>10753</v>
      </c>
      <c r="B13191" s="4">
        <v>240584</v>
      </c>
      <c r="D13191" s="5">
        <v>240584</v>
      </c>
      <c r="E13191" s="6" t="str">
        <f>HYPERLINK("https://inpn.mnhn.fr/espece/cd_nom/240584","Ochthebius viridis Peyron, 1858")</f>
        <v>Ochthebius viridis Peyron, 1858</v>
      </c>
      <c r="AH13191" s="4" t="str">
        <f>HYPERLINK("#Statut_biogéographique!A"&amp;_xlfn.XMATCH("P",Statut_biogéographique!A:A,2,1),"P")</f>
        <v>P</v>
      </c>
      <c r="AP13191" s="4" t="s">
        <v>376</v>
      </c>
      <c r="AR13191" s="4" t="s">
        <v>377</v>
      </c>
    </row>
    <row r="13192" spans="1:44">
      <c r="A13192" s="4" t="s">
        <v>10753</v>
      </c>
      <c r="B13192" s="4">
        <v>240585</v>
      </c>
      <c r="D13192" s="5" t="s">
        <v>15884</v>
      </c>
      <c r="E13192" s="6" t="str">
        <f>HYPERLINK("https://inpn.mnhn.fr/espece/cd_nom/240585","Aulacochthebius exaratus (Mulsant, 1844)")</f>
        <v>Aulacochthebius exaratus (Mulsant, 1844)</v>
      </c>
      <c r="AH13192" s="4" t="str">
        <f>HYPERLINK("#Statut_biogéographique!A"&amp;_xlfn.XMATCH("P",Statut_biogéographique!A:A,2,1),"P")</f>
        <v>P</v>
      </c>
      <c r="AP13192" s="4" t="s">
        <v>376</v>
      </c>
      <c r="AR13192" s="4" t="s">
        <v>377</v>
      </c>
    </row>
    <row r="13193" spans="1:44">
      <c r="A13193" s="4" t="s">
        <v>10753</v>
      </c>
      <c r="B13193" s="4">
        <v>240588</v>
      </c>
      <c r="D13193" s="5" t="s">
        <v>15885</v>
      </c>
      <c r="E13193" s="6" t="str">
        <f>HYPERLINK("https://inpn.mnhn.fr/espece/cd_nom/240588","Hydraena assimilis Rey, 1885")</f>
        <v>Hydraena assimilis Rey, 1885</v>
      </c>
      <c r="AH13193" s="4" t="str">
        <f>HYPERLINK("#Statut_biogéographique!A"&amp;_xlfn.XMATCH("P",Statut_biogéographique!A:A,2,1),"P")</f>
        <v>P</v>
      </c>
      <c r="AP13193" s="4" t="s">
        <v>376</v>
      </c>
      <c r="AR13193" s="4" t="s">
        <v>377</v>
      </c>
    </row>
    <row r="13194" spans="1:44" ht="30">
      <c r="A13194" s="4" t="s">
        <v>10753</v>
      </c>
      <c r="B13194" s="4">
        <v>240589</v>
      </c>
      <c r="D13194" s="5">
        <v>240589</v>
      </c>
      <c r="E13194" s="6" t="str">
        <f>HYPERLINK("https://inpn.mnhn.fr/espece/cd_nom/240589","Hydraena atrata Desbrochers des Loges, 1891")</f>
        <v>Hydraena atrata Desbrochers des Loges, 1891</v>
      </c>
      <c r="AH13194" s="4" t="str">
        <f>HYPERLINK("#Statut_biogéographique!A"&amp;_xlfn.XMATCH("P",Statut_biogéographique!A:A,2,1),"P")</f>
        <v>P</v>
      </c>
      <c r="AP13194" s="4" t="s">
        <v>376</v>
      </c>
      <c r="AR13194" s="4" t="s">
        <v>377</v>
      </c>
    </row>
    <row r="13195" spans="1:44">
      <c r="A13195" s="4" t="s">
        <v>10753</v>
      </c>
      <c r="B13195" s="4">
        <v>240591</v>
      </c>
      <c r="D13195" s="5">
        <v>240591</v>
      </c>
      <c r="E13195" s="6" t="str">
        <f>HYPERLINK("https://inpn.mnhn.fr/espece/cd_nom/240591","Hydraena belgica d'Orchymont, 1930")</f>
        <v>Hydraena belgica d'Orchymont, 1930</v>
      </c>
      <c r="AH13195" s="4" t="str">
        <f>HYPERLINK("#Statut_biogéographique!A"&amp;_xlfn.XMATCH("P",Statut_biogéographique!A:A,2,1),"P")</f>
        <v>P</v>
      </c>
      <c r="AP13195" s="4" t="s">
        <v>376</v>
      </c>
      <c r="AR13195" s="4" t="s">
        <v>377</v>
      </c>
    </row>
    <row r="13196" spans="1:44">
      <c r="A13196" s="4" t="s">
        <v>10753</v>
      </c>
      <c r="B13196" s="4">
        <v>240594</v>
      </c>
      <c r="D13196" s="5">
        <v>240594</v>
      </c>
      <c r="E13196" s="6" t="str">
        <f>HYPERLINK("https://inpn.mnhn.fr/espece/cd_nom/240594","Hydraena britteni Joy, 1907")</f>
        <v>Hydraena britteni Joy, 1907</v>
      </c>
      <c r="AH13196" s="4" t="str">
        <f>HYPERLINK("#Statut_biogéographique!A"&amp;_xlfn.XMATCH("P",Statut_biogéographique!A:A,2,1),"P")</f>
        <v>P</v>
      </c>
      <c r="AP13196" s="4" t="s">
        <v>376</v>
      </c>
      <c r="AR13196" s="4" t="s">
        <v>377</v>
      </c>
    </row>
    <row r="13197" spans="1:44">
      <c r="A13197" s="4" t="s">
        <v>10753</v>
      </c>
      <c r="B13197" s="4">
        <v>24060</v>
      </c>
      <c r="D13197" s="5" t="s">
        <v>15886</v>
      </c>
      <c r="E13197" s="6" t="str">
        <f>HYPERLINK("https://inpn.mnhn.fr/espece/cd_nom/24060","Chyliza extenuata (Rossi, 1790)")</f>
        <v>Chyliza extenuata (Rossi, 1790)</v>
      </c>
      <c r="AH13197" s="4" t="str">
        <f>HYPERLINK("#Statut_biogéographique!A"&amp;_xlfn.XMATCH("P",Statut_biogéographique!A:A,2,1),"P")</f>
        <v>P</v>
      </c>
      <c r="AP13197" s="4" t="s">
        <v>376</v>
      </c>
      <c r="AR13197" s="4" t="s">
        <v>377</v>
      </c>
    </row>
    <row r="13198" spans="1:44" ht="30">
      <c r="A13198" s="4" t="s">
        <v>10753</v>
      </c>
      <c r="B13198" s="4">
        <v>240604</v>
      </c>
      <c r="D13198" s="5" t="s">
        <v>15887</v>
      </c>
      <c r="E13198" s="6" t="str">
        <f>HYPERLINK("https://inpn.mnhn.fr/espece/cd_nom/240604","Hydraena gracilis Germar, 1823")</f>
        <v>Hydraena gracilis Germar, 1823</v>
      </c>
      <c r="AH13198" s="4" t="str">
        <f>HYPERLINK("#Statut_biogéographique!A"&amp;_xlfn.XMATCH("P",Statut_biogéographique!A:A,2,1),"P")</f>
        <v>P</v>
      </c>
      <c r="AP13198" s="4" t="s">
        <v>376</v>
      </c>
      <c r="AR13198" s="4" t="s">
        <v>377</v>
      </c>
    </row>
    <row r="13199" spans="1:44" ht="30">
      <c r="A13199" s="4" t="s">
        <v>10753</v>
      </c>
      <c r="B13199" s="4">
        <v>240607</v>
      </c>
      <c r="D13199" s="5" t="s">
        <v>15888</v>
      </c>
      <c r="E13199" s="6" t="str">
        <f>HYPERLINK("https://inpn.mnhn.fr/espece/cd_nom/240607","Hydraena melas Dalla Torre, 1877")</f>
        <v>Hydraena melas Dalla Torre, 1877</v>
      </c>
      <c r="AH13199" s="4" t="str">
        <f>HYPERLINK("#Statut_biogéographique!A"&amp;_xlfn.XMATCH("P",Statut_biogéographique!A:A,2,1),"P")</f>
        <v>P</v>
      </c>
      <c r="AP13199" s="4" t="s">
        <v>376</v>
      </c>
      <c r="AR13199" s="4" t="s">
        <v>377</v>
      </c>
    </row>
    <row r="13200" spans="1:44">
      <c r="A13200" s="4" t="s">
        <v>10753</v>
      </c>
      <c r="B13200" s="4">
        <v>240608</v>
      </c>
      <c r="D13200" s="5" t="s">
        <v>15889</v>
      </c>
      <c r="E13200" s="6" t="str">
        <f>HYPERLINK("https://inpn.mnhn.fr/espece/cd_nom/240608","Hydraena minutissima Stephens, 1829")</f>
        <v>Hydraena minutissima Stephens, 1829</v>
      </c>
      <c r="AH13200" s="4" t="str">
        <f>HYPERLINK("#Statut_biogéographique!A"&amp;_xlfn.XMATCH("P",Statut_biogéographique!A:A,2,1),"P")</f>
        <v>P</v>
      </c>
      <c r="AP13200" s="4" t="s">
        <v>376</v>
      </c>
      <c r="AR13200" s="4" t="s">
        <v>377</v>
      </c>
    </row>
    <row r="13201" spans="1:44">
      <c r="A13201" s="4" t="s">
        <v>10753</v>
      </c>
      <c r="B13201" s="4">
        <v>240609</v>
      </c>
      <c r="D13201" s="5" t="s">
        <v>15890</v>
      </c>
      <c r="E13201" s="6" t="str">
        <f>HYPERLINK("https://inpn.mnhn.fr/espece/cd_nom/240609","Hydraena nigrita Germar, 1823")</f>
        <v>Hydraena nigrita Germar, 1823</v>
      </c>
      <c r="AH13201" s="4" t="str">
        <f>HYPERLINK("#Statut_biogéographique!A"&amp;_xlfn.XMATCH("P",Statut_biogéographique!A:A,2,1),"P")</f>
        <v>P</v>
      </c>
      <c r="AP13201" s="4" t="s">
        <v>376</v>
      </c>
      <c r="AR13201" s="4" t="s">
        <v>377</v>
      </c>
    </row>
    <row r="13202" spans="1:44">
      <c r="A13202" s="4" t="s">
        <v>10753</v>
      </c>
      <c r="B13202" s="4">
        <v>240611</v>
      </c>
      <c r="D13202" s="5">
        <v>240611</v>
      </c>
      <c r="E13202" s="6" t="str">
        <f>HYPERLINK("https://inpn.mnhn.fr/espece/cd_nom/240611","Hydraena palustris Erichson, 1837")</f>
        <v>Hydraena palustris Erichson, 1837</v>
      </c>
      <c r="AH13202" s="4" t="str">
        <f>HYPERLINK("#Statut_biogéographique!A"&amp;_xlfn.XMATCH("P",Statut_biogéographique!A:A,2,1),"P")</f>
        <v>P</v>
      </c>
      <c r="AP13202" s="4" t="s">
        <v>376</v>
      </c>
      <c r="AR13202" s="4" t="s">
        <v>377</v>
      </c>
    </row>
    <row r="13203" spans="1:44">
      <c r="A13203" s="4" t="s">
        <v>10753</v>
      </c>
      <c r="B13203" s="4">
        <v>240613</v>
      </c>
      <c r="D13203" s="5">
        <v>240613</v>
      </c>
      <c r="E13203" s="6" t="str">
        <f>HYPERLINK("https://inpn.mnhn.fr/espece/cd_nom/240613","Hydraena producta Mulsant &amp; Rey, 1852")</f>
        <v>Hydraena producta Mulsant &amp; Rey, 1852</v>
      </c>
      <c r="AH13203" s="4" t="str">
        <f>HYPERLINK("#Statut_biogéographique!A"&amp;_xlfn.XMATCH("P",Statut_biogéographique!A:A,2,1),"P")</f>
        <v>P</v>
      </c>
      <c r="AP13203" s="4" t="s">
        <v>376</v>
      </c>
      <c r="AR13203" s="4" t="s">
        <v>377</v>
      </c>
    </row>
    <row r="13204" spans="1:44">
      <c r="A13204" s="4" t="s">
        <v>10753</v>
      </c>
      <c r="B13204" s="4">
        <v>240614</v>
      </c>
      <c r="D13204" s="5" t="s">
        <v>15891</v>
      </c>
      <c r="E13204" s="6" t="str">
        <f>HYPERLINK("https://inpn.mnhn.fr/espece/cd_nom/240614","Hydraena pulchella Germar, 1823")</f>
        <v>Hydraena pulchella Germar, 1823</v>
      </c>
      <c r="AH13204" s="4" t="str">
        <f>HYPERLINK("#Statut_biogéographique!A"&amp;_xlfn.XMATCH("P",Statut_biogéographique!A:A,2,1),"P")</f>
        <v>P</v>
      </c>
      <c r="AP13204" s="4" t="s">
        <v>376</v>
      </c>
      <c r="AR13204" s="4" t="s">
        <v>377</v>
      </c>
    </row>
    <row r="13205" spans="1:44">
      <c r="A13205" s="4" t="s">
        <v>10753</v>
      </c>
      <c r="B13205" s="4">
        <v>240615</v>
      </c>
      <c r="D13205" s="5">
        <v>240615</v>
      </c>
      <c r="E13205" s="6" t="str">
        <f>HYPERLINK("https://inpn.mnhn.fr/espece/cd_nom/240615","Hydraena pygmaea G.R. Waterhouse, 1833")</f>
        <v>Hydraena pygmaea G.R. Waterhouse, 1833</v>
      </c>
      <c r="AH13205" s="4" t="str">
        <f>HYPERLINK("#Statut_biogéographique!A"&amp;_xlfn.XMATCH("P",Statut_biogéographique!A:A,2,1),"P")</f>
        <v>P</v>
      </c>
      <c r="AP13205" s="4" t="s">
        <v>376</v>
      </c>
      <c r="AR13205" s="4" t="s">
        <v>377</v>
      </c>
    </row>
    <row r="13206" spans="1:44">
      <c r="A13206" s="4" t="s">
        <v>10753</v>
      </c>
      <c r="B13206" s="4">
        <v>240617</v>
      </c>
      <c r="D13206" s="5">
        <v>240617</v>
      </c>
      <c r="E13206" s="6" t="str">
        <f>HYPERLINK("https://inpn.mnhn.fr/espece/cd_nom/240617","Hydraena reyi Kuwert, 1888")</f>
        <v>Hydraena reyi Kuwert, 1888</v>
      </c>
      <c r="AH13206" s="4" t="str">
        <f>HYPERLINK("#Statut_biogéographique!A"&amp;_xlfn.XMATCH("P",Statut_biogéographique!A:A,2,1),"P")</f>
        <v>P</v>
      </c>
      <c r="AP13206" s="4" t="s">
        <v>376</v>
      </c>
      <c r="AR13206" s="4" t="s">
        <v>377</v>
      </c>
    </row>
    <row r="13207" spans="1:44">
      <c r="A13207" s="4" t="s">
        <v>10753</v>
      </c>
      <c r="B13207" s="4">
        <v>240618</v>
      </c>
      <c r="D13207" s="5" t="s">
        <v>15892</v>
      </c>
      <c r="E13207" s="6" t="str">
        <f>HYPERLINK("https://inpn.mnhn.fr/espece/cd_nom/240618","Hydraena riparia Kugelann, 1794")</f>
        <v>Hydraena riparia Kugelann, 1794</v>
      </c>
      <c r="AH13207" s="4" t="str">
        <f>HYPERLINK("#Statut_biogéographique!A"&amp;_xlfn.XMATCH("P",Statut_biogéographique!A:A,2,1),"P")</f>
        <v>P</v>
      </c>
      <c r="AP13207" s="4" t="s">
        <v>376</v>
      </c>
      <c r="AR13207" s="4" t="s">
        <v>377</v>
      </c>
    </row>
    <row r="13208" spans="1:44">
      <c r="A13208" s="4" t="s">
        <v>10753</v>
      </c>
      <c r="B13208" s="4">
        <v>240621</v>
      </c>
      <c r="D13208" s="5">
        <v>240621</v>
      </c>
      <c r="E13208" s="6" t="str">
        <f>HYPERLINK("https://inpn.mnhn.fr/espece/cd_nom/240621","Hydraena rugosa Mulsant, 1844")</f>
        <v>Hydraena rugosa Mulsant, 1844</v>
      </c>
      <c r="AH13208" s="4" t="str">
        <f>HYPERLINK("#Statut_biogéographique!A"&amp;_xlfn.XMATCH("P",Statut_biogéographique!A:A,2,1),"P")</f>
        <v>P</v>
      </c>
      <c r="AP13208" s="4" t="s">
        <v>376</v>
      </c>
      <c r="AR13208" s="4" t="s">
        <v>377</v>
      </c>
    </row>
    <row r="13209" spans="1:44">
      <c r="A13209" s="4" t="s">
        <v>10753</v>
      </c>
      <c r="B13209" s="4">
        <v>240625</v>
      </c>
      <c r="D13209" s="5">
        <v>240625</v>
      </c>
      <c r="E13209" s="6" t="str">
        <f>HYPERLINK("https://inpn.mnhn.fr/espece/cd_nom/240625","Hydraena testacea Curtis, 1830")</f>
        <v>Hydraena testacea Curtis, 1830</v>
      </c>
      <c r="AH13209" s="4" t="str">
        <f>HYPERLINK("#Statut_biogéographique!A"&amp;_xlfn.XMATCH("P",Statut_biogéographique!A:A,2,1),"P")</f>
        <v>P</v>
      </c>
      <c r="AP13209" s="4" t="s">
        <v>376</v>
      </c>
      <c r="AR13209" s="4" t="s">
        <v>377</v>
      </c>
    </row>
    <row r="13210" spans="1:44">
      <c r="A13210" s="4" t="s">
        <v>10753</v>
      </c>
      <c r="B13210" s="4">
        <v>240627</v>
      </c>
      <c r="D13210" s="5">
        <v>240627</v>
      </c>
      <c r="E13210" s="6" t="str">
        <f>HYPERLINK("https://inpn.mnhn.fr/espece/cd_nom/240627","Limnebius aluta Bedel, 1881")</f>
        <v>Limnebius aluta Bedel, 1881</v>
      </c>
      <c r="AH13210" s="4" t="str">
        <f>HYPERLINK("#Statut_biogéographique!A"&amp;_xlfn.XMATCH("P",Statut_biogéographique!A:A,2,1),"P")</f>
        <v>P</v>
      </c>
      <c r="AP13210" s="4" t="s">
        <v>376</v>
      </c>
      <c r="AR13210" s="4" t="s">
        <v>377</v>
      </c>
    </row>
    <row r="13211" spans="1:44">
      <c r="A13211" s="4" t="s">
        <v>10753</v>
      </c>
      <c r="B13211" s="4">
        <v>240628</v>
      </c>
      <c r="D13211" s="5" t="s">
        <v>15893</v>
      </c>
      <c r="E13211" s="6" t="str">
        <f>HYPERLINK("https://inpn.mnhn.fr/espece/cd_nom/240628","Limnebius atomus (Duftschmid, 1805)")</f>
        <v>Limnebius atomus (Duftschmid, 1805)</v>
      </c>
      <c r="AH13211" s="4" t="str">
        <f>HYPERLINK("#Statut_biogéographique!A"&amp;_xlfn.XMATCH("P",Statut_biogéographique!A:A,2,1),"P")</f>
        <v>P</v>
      </c>
      <c r="AP13211" s="4" t="s">
        <v>376</v>
      </c>
      <c r="AR13211" s="4" t="s">
        <v>377</v>
      </c>
    </row>
    <row r="13212" spans="1:44">
      <c r="A13212" s="4" t="s">
        <v>10753</v>
      </c>
      <c r="B13212" s="4">
        <v>240635</v>
      </c>
      <c r="D13212" s="5" t="s">
        <v>15894</v>
      </c>
      <c r="E13212" s="6" t="str">
        <f>HYPERLINK("https://inpn.mnhn.fr/espece/cd_nom/240635","Limnebius nitidus (Marsham, 1802)")</f>
        <v>Limnebius nitidus (Marsham, 1802)</v>
      </c>
      <c r="AH13212" s="4" t="str">
        <f>HYPERLINK("#Statut_biogéographique!A"&amp;_xlfn.XMATCH("P",Statut_biogéographique!A:A,2,1),"P")</f>
        <v>P</v>
      </c>
      <c r="AP13212" s="4" t="s">
        <v>376</v>
      </c>
      <c r="AR13212" s="4" t="s">
        <v>377</v>
      </c>
    </row>
    <row r="13213" spans="1:44">
      <c r="A13213" s="4" t="s">
        <v>10753</v>
      </c>
      <c r="B13213" s="4">
        <v>240637</v>
      </c>
      <c r="D13213" s="5">
        <v>240637</v>
      </c>
      <c r="E13213" s="6" t="str">
        <f>HYPERLINK("https://inpn.mnhn.fr/espece/cd_nom/240637","Limnebius papposus Mulsant, 1844")</f>
        <v>Limnebius papposus Mulsant, 1844</v>
      </c>
      <c r="AH13213" s="4" t="str">
        <f>HYPERLINK("#Statut_biogéographique!A"&amp;_xlfn.XMATCH("P",Statut_biogéographique!A:A,2,1),"P")</f>
        <v>P</v>
      </c>
      <c r="AP13213" s="4" t="s">
        <v>376</v>
      </c>
      <c r="AR13213" s="4" t="s">
        <v>377</v>
      </c>
    </row>
    <row r="13214" spans="1:44">
      <c r="A13214" s="4" t="s">
        <v>10753</v>
      </c>
      <c r="B13214" s="4">
        <v>240639</v>
      </c>
      <c r="D13214" s="5" t="s">
        <v>15895</v>
      </c>
      <c r="E13214" s="6" t="str">
        <f>HYPERLINK("https://inpn.mnhn.fr/espece/cd_nom/240639","Limnebius truncatellus (Thunberg, 1794)")</f>
        <v>Limnebius truncatellus (Thunberg, 1794)</v>
      </c>
      <c r="AH13214" s="4" t="str">
        <f>HYPERLINK("#Statut_biogéographique!A"&amp;_xlfn.XMATCH("P",Statut_biogéographique!A:A,2,1),"P")</f>
        <v>P</v>
      </c>
      <c r="AP13214" s="4" t="s">
        <v>376</v>
      </c>
      <c r="AR13214" s="4" t="s">
        <v>377</v>
      </c>
    </row>
    <row r="13215" spans="1:44" ht="30">
      <c r="A13215" s="4" t="s">
        <v>10753</v>
      </c>
      <c r="B13215" s="4">
        <v>240641</v>
      </c>
      <c r="D13215" s="5" t="s">
        <v>15896</v>
      </c>
      <c r="E13215" s="6" t="str">
        <f>HYPERLINK("https://inpn.mnhn.fr/espece/cd_nom/240641","Argulus foliaceus (Linnaeus, 1758)")</f>
        <v>Argulus foliaceus (Linnaeus, 1758)</v>
      </c>
      <c r="F13215" s="5" t="s">
        <v>15897</v>
      </c>
      <c r="Q13215" s="7" t="str">
        <f>HYPERLINK("#Liste_rouge!A"&amp;_xlfn.XMATCH("DD",Liste_rouge!A:A,2,1),"DD")</f>
        <v>DD</v>
      </c>
      <c r="AH13215" s="4" t="str">
        <f>HYPERLINK("#Statut_biogéographique!A"&amp;_xlfn.XMATCH("P",Statut_biogéographique!A:A,2,1),"P")</f>
        <v>P</v>
      </c>
      <c r="AP13215" s="4" t="s">
        <v>376</v>
      </c>
      <c r="AR13215" s="4" t="s">
        <v>377</v>
      </c>
    </row>
    <row r="13216" spans="1:44">
      <c r="A13216" s="4" t="s">
        <v>10753</v>
      </c>
      <c r="B13216" s="4">
        <v>240646</v>
      </c>
      <c r="D13216" s="5">
        <v>240646</v>
      </c>
      <c r="E13216" s="6" t="str">
        <f>HYPERLINK("https://inpn.mnhn.fr/espece/cd_nom/240646","Daphnia ambigua Scourfield, 1947")</f>
        <v>Daphnia ambigua Scourfield, 1947</v>
      </c>
      <c r="Q13216" s="7" t="str">
        <f>HYPERLINK("#Liste_rouge!A"&amp;_xlfn.XMATCH("NA",Liste_rouge!A:A,2,1),"NA")</f>
        <v>NA</v>
      </c>
      <c r="AH13216" s="4" t="str">
        <f>HYPERLINK("#Statut_biogéographique!A"&amp;_xlfn.XMATCH("I",Statut_biogéographique!A:A,2,1),"I")</f>
        <v>I</v>
      </c>
      <c r="AP13216" s="4" t="s">
        <v>376</v>
      </c>
      <c r="AR13216" s="4" t="s">
        <v>377</v>
      </c>
    </row>
    <row r="13217" spans="1:44">
      <c r="A13217" s="4" t="s">
        <v>10753</v>
      </c>
      <c r="B13217" s="4">
        <v>240649</v>
      </c>
      <c r="D13217" s="5">
        <v>240649</v>
      </c>
      <c r="E13217" s="6" t="str">
        <f>HYPERLINK("https://inpn.mnhn.fr/espece/cd_nom/240649","Daphnia galeata Sars, 1864")</f>
        <v>Daphnia galeata Sars, 1864</v>
      </c>
      <c r="Q13217" s="7" t="str">
        <f>HYPERLINK("#Liste_rouge!A"&amp;_xlfn.XMATCH("DD",Liste_rouge!A:A,2,1),"DD")</f>
        <v>DD</v>
      </c>
      <c r="AH13217" s="4" t="str">
        <f>HYPERLINK("#Statut_biogéographique!A"&amp;_xlfn.XMATCH("P",Statut_biogéographique!A:A,2,1),"P")</f>
        <v>P</v>
      </c>
      <c r="AP13217" s="4" t="s">
        <v>376</v>
      </c>
      <c r="AR13217" s="4" t="s">
        <v>377</v>
      </c>
    </row>
    <row r="13218" spans="1:44">
      <c r="A13218" s="4" t="s">
        <v>10753</v>
      </c>
      <c r="B13218" s="4">
        <v>240650</v>
      </c>
      <c r="D13218" s="5">
        <v>240650</v>
      </c>
      <c r="E13218" s="6" t="str">
        <f>HYPERLINK("https://inpn.mnhn.fr/espece/cd_nom/240650","Daphnia obtusa Kurz, 1875")</f>
        <v>Daphnia obtusa Kurz, 1875</v>
      </c>
      <c r="Q13218" s="7" t="str">
        <f>HYPERLINK("#Liste_rouge!A"&amp;_xlfn.XMATCH("LC",Liste_rouge!A:A,2,1),"LC")</f>
        <v>LC</v>
      </c>
      <c r="AH13218" s="4" t="str">
        <f>HYPERLINK("#Statut_biogéographique!A"&amp;_xlfn.XMATCH("P",Statut_biogéographique!A:A,2,1),"P")</f>
        <v>P</v>
      </c>
      <c r="AP13218" s="4" t="s">
        <v>376</v>
      </c>
      <c r="AR13218" s="4" t="s">
        <v>377</v>
      </c>
    </row>
    <row r="13219" spans="1:44">
      <c r="A13219" s="4" t="s">
        <v>10753</v>
      </c>
      <c r="B13219" s="4">
        <v>240654</v>
      </c>
      <c r="D13219" s="5" t="s">
        <v>15898</v>
      </c>
      <c r="E13219" s="6" t="str">
        <f>HYPERLINK("https://inpn.mnhn.fr/espece/cd_nom/240654","Simocephalus serrulatus (Koch, 1841)")</f>
        <v>Simocephalus serrulatus (Koch, 1841)</v>
      </c>
      <c r="Q13219" s="7" t="str">
        <f>HYPERLINK("#Liste_rouge!A"&amp;_xlfn.XMATCH("LC",Liste_rouge!A:A,2,1),"LC")</f>
        <v>LC</v>
      </c>
      <c r="AH13219" s="4" t="str">
        <f>HYPERLINK("#Statut_biogéographique!A"&amp;_xlfn.XMATCH("P",Statut_biogéographique!A:A,2,1),"P")</f>
        <v>P</v>
      </c>
      <c r="AP13219" s="4" t="s">
        <v>376</v>
      </c>
      <c r="AR13219" s="4" t="s">
        <v>377</v>
      </c>
    </row>
    <row r="13220" spans="1:44">
      <c r="A13220" s="4" t="s">
        <v>10753</v>
      </c>
      <c r="B13220" s="4">
        <v>240656</v>
      </c>
      <c r="D13220" s="5">
        <v>240656</v>
      </c>
      <c r="E13220" s="6" t="str">
        <f>HYPERLINK("https://inpn.mnhn.fr/espece/cd_nom/240656","Ceriodaphnia laticaudata P. E. Müller, 1867")</f>
        <v>Ceriodaphnia laticaudata P. E. Müller, 1867</v>
      </c>
      <c r="Q13220" s="7" t="str">
        <f>HYPERLINK("#Liste_rouge!A"&amp;_xlfn.XMATCH("LC",Liste_rouge!A:A,2,1),"LC")</f>
        <v>LC</v>
      </c>
      <c r="AH13220" s="4" t="str">
        <f>HYPERLINK("#Statut_biogéographique!A"&amp;_xlfn.XMATCH("P",Statut_biogéographique!A:A,2,1),"P")</f>
        <v>P</v>
      </c>
      <c r="AP13220" s="4" t="s">
        <v>376</v>
      </c>
      <c r="AR13220" s="4" t="s">
        <v>377</v>
      </c>
    </row>
    <row r="13221" spans="1:44">
      <c r="A13221" s="4" t="s">
        <v>10753</v>
      </c>
      <c r="B13221" s="4">
        <v>240657</v>
      </c>
      <c r="D13221" s="5">
        <v>240657</v>
      </c>
      <c r="E13221" s="6" t="str">
        <f>HYPERLINK("https://inpn.mnhn.fr/espece/cd_nom/240657","Ceriodaphnia megops Sars, 1862")</f>
        <v>Ceriodaphnia megops Sars, 1862</v>
      </c>
      <c r="Q13221" s="7" t="str">
        <f>HYPERLINK("#Liste_rouge!A"&amp;_xlfn.XMATCH("LC",Liste_rouge!A:A,2,1),"LC")</f>
        <v>LC</v>
      </c>
      <c r="AH13221" s="4" t="str">
        <f>HYPERLINK("#Statut_biogéographique!A"&amp;_xlfn.XMATCH("P",Statut_biogéographique!A:A,2,1),"P")</f>
        <v>P</v>
      </c>
      <c r="AP13221" s="4" t="s">
        <v>376</v>
      </c>
      <c r="AR13221" s="4" t="s">
        <v>377</v>
      </c>
    </row>
    <row r="13222" spans="1:44" ht="30">
      <c r="A13222" s="4" t="s">
        <v>10753</v>
      </c>
      <c r="B13222" s="4">
        <v>240658</v>
      </c>
      <c r="D13222" s="5" t="s">
        <v>15899</v>
      </c>
      <c r="E13222" s="6" t="str">
        <f>HYPERLINK("https://inpn.mnhn.fr/espece/cd_nom/240658","Ceriodaphnia quadrangula (O.F. Müller, 1785)")</f>
        <v>Ceriodaphnia quadrangula (O.F. Müller, 1785)</v>
      </c>
      <c r="Q13222" s="7" t="str">
        <f>HYPERLINK("#Liste_rouge!A"&amp;_xlfn.XMATCH("LC",Liste_rouge!A:A,2,1),"LC")</f>
        <v>LC</v>
      </c>
      <c r="AH13222" s="4" t="str">
        <f>HYPERLINK("#Statut_biogéographique!A"&amp;_xlfn.XMATCH("P",Statut_biogéographique!A:A,2,1),"P")</f>
        <v>P</v>
      </c>
      <c r="AP13222" s="4" t="s">
        <v>376</v>
      </c>
      <c r="AR13222" s="4" t="s">
        <v>377</v>
      </c>
    </row>
    <row r="13223" spans="1:44">
      <c r="A13223" s="4" t="s">
        <v>10753</v>
      </c>
      <c r="B13223" s="4">
        <v>240659</v>
      </c>
      <c r="D13223" s="5" t="s">
        <v>15900</v>
      </c>
      <c r="E13223" s="6" t="str">
        <f>HYPERLINK("https://inpn.mnhn.fr/espece/cd_nom/240659","Ceriodaphnia reticulata (Jurine, 1820)")</f>
        <v>Ceriodaphnia reticulata (Jurine, 1820)</v>
      </c>
      <c r="F13223" s="5" t="s">
        <v>15901</v>
      </c>
      <c r="Q13223" s="7" t="str">
        <f>HYPERLINK("#Liste_rouge!A"&amp;_xlfn.XMATCH("LC",Liste_rouge!A:A,2,1),"LC")</f>
        <v>LC</v>
      </c>
      <c r="AH13223" s="4" t="str">
        <f>HYPERLINK("#Statut_biogéographique!A"&amp;_xlfn.XMATCH("P",Statut_biogéographique!A:A,2,1),"P")</f>
        <v>P</v>
      </c>
      <c r="AP13223" s="4" t="s">
        <v>376</v>
      </c>
      <c r="AR13223" s="4" t="s">
        <v>377</v>
      </c>
    </row>
    <row r="13224" spans="1:44">
      <c r="A13224" s="4" t="s">
        <v>10753</v>
      </c>
      <c r="B13224" s="4">
        <v>240660</v>
      </c>
      <c r="D13224" s="5">
        <v>240660</v>
      </c>
      <c r="E13224" s="6" t="str">
        <f>HYPERLINK("https://inpn.mnhn.fr/espece/cd_nom/240660","Ceriodaphnia rotunda Sars, 1862")</f>
        <v>Ceriodaphnia rotunda Sars, 1862</v>
      </c>
      <c r="F13224" s="5" t="s">
        <v>15902</v>
      </c>
      <c r="Q13224" s="7" t="str">
        <f>HYPERLINK("#Liste_rouge!A"&amp;_xlfn.XMATCH("DD",Liste_rouge!A:A,2,1),"DD")</f>
        <v>DD</v>
      </c>
      <c r="AH13224" s="4" t="str">
        <f>HYPERLINK("#Statut_biogéographique!A"&amp;_xlfn.XMATCH("P",Statut_biogéographique!A:A,2,1),"P")</f>
        <v>P</v>
      </c>
      <c r="AP13224" s="4" t="s">
        <v>376</v>
      </c>
      <c r="AR13224" s="4" t="s">
        <v>377</v>
      </c>
    </row>
    <row r="13225" spans="1:44">
      <c r="A13225" s="4" t="s">
        <v>10753</v>
      </c>
      <c r="B13225" s="4">
        <v>240666</v>
      </c>
      <c r="D13225" s="5">
        <v>240666</v>
      </c>
      <c r="E13225" s="6" t="str">
        <f>HYPERLINK("https://inpn.mnhn.fr/espece/cd_nom/240666","Moina micrura Kurz, 1875")</f>
        <v>Moina micrura Kurz, 1875</v>
      </c>
      <c r="Q13225" s="7" t="str">
        <f>HYPERLINK("#Liste_rouge!A"&amp;_xlfn.XMATCH("DD",Liste_rouge!A:A,2,1),"DD")</f>
        <v>DD</v>
      </c>
      <c r="AH13225" s="4" t="str">
        <f>HYPERLINK("#Statut_biogéographique!A"&amp;_xlfn.XMATCH("P",Statut_biogéographique!A:A,2,1),"P")</f>
        <v>P</v>
      </c>
      <c r="AP13225" s="4" t="s">
        <v>376</v>
      </c>
      <c r="AR13225" s="4" t="s">
        <v>377</v>
      </c>
    </row>
    <row r="13226" spans="1:44">
      <c r="A13226" s="4" t="s">
        <v>10753</v>
      </c>
      <c r="B13226" s="4">
        <v>240669</v>
      </c>
      <c r="D13226" s="5">
        <v>240669</v>
      </c>
      <c r="E13226" s="6" t="str">
        <f>HYPERLINK("https://inpn.mnhn.fr/espece/cd_nom/240669","Ilyocryptus agilis Kurz, 1878")</f>
        <v>Ilyocryptus agilis Kurz, 1878</v>
      </c>
      <c r="Q13226" s="7" t="str">
        <f>HYPERLINK("#Liste_rouge!A"&amp;_xlfn.XMATCH("LC",Liste_rouge!A:A,2,1),"LC")</f>
        <v>LC</v>
      </c>
      <c r="AH13226" s="4" t="str">
        <f>HYPERLINK("#Statut_biogéographique!A"&amp;_xlfn.XMATCH("P",Statut_biogéographique!A:A,2,1),"P")</f>
        <v>P</v>
      </c>
      <c r="AP13226" s="4" t="s">
        <v>376</v>
      </c>
      <c r="AR13226" s="4" t="s">
        <v>377</v>
      </c>
    </row>
    <row r="13227" spans="1:44">
      <c r="A13227" s="4" t="s">
        <v>10753</v>
      </c>
      <c r="B13227" s="4">
        <v>240672</v>
      </c>
      <c r="D13227" s="5" t="s">
        <v>15903</v>
      </c>
      <c r="E13227" s="6" t="str">
        <f>HYPERLINK("https://inpn.mnhn.fr/espece/cd_nom/240672","Lathonura rectirostris (O.F. Müller, 1776)")</f>
        <v>Lathonura rectirostris (O.F. Müller, 1776)</v>
      </c>
      <c r="Q13227" s="7" t="str">
        <f>HYPERLINK("#Liste_rouge!A"&amp;_xlfn.XMATCH("LC",Liste_rouge!A:A,2,1),"LC")</f>
        <v>LC</v>
      </c>
      <c r="AH13227" s="4" t="str">
        <f>HYPERLINK("#Statut_biogéographique!A"&amp;_xlfn.XMATCH("P",Statut_biogéographique!A:A,2,1),"P")</f>
        <v>P</v>
      </c>
      <c r="AP13227" s="4" t="s">
        <v>376</v>
      </c>
      <c r="AR13227" s="4" t="s">
        <v>377</v>
      </c>
    </row>
    <row r="13228" spans="1:44">
      <c r="A13228" s="4" t="s">
        <v>10753</v>
      </c>
      <c r="B13228" s="4">
        <v>240675</v>
      </c>
      <c r="D13228" s="5" t="s">
        <v>15904</v>
      </c>
      <c r="E13228" s="6" t="str">
        <f>HYPERLINK("https://inpn.mnhn.fr/espece/cd_nom/240675","Sida crystallina (O.F. Müller, 1776)")</f>
        <v>Sida crystallina (O.F. Müller, 1776)</v>
      </c>
      <c r="F13228" s="5" t="s">
        <v>15905</v>
      </c>
      <c r="Q13228" s="7" t="str">
        <f>HYPERLINK("#Liste_rouge!A"&amp;_xlfn.XMATCH("LC",Liste_rouge!A:A,2,1),"LC")</f>
        <v>LC</v>
      </c>
      <c r="AH13228" s="4" t="str">
        <f>HYPERLINK("#Statut_biogéographique!A"&amp;_xlfn.XMATCH("P",Statut_biogéographique!A:A,2,1),"P")</f>
        <v>P</v>
      </c>
      <c r="AP13228" s="4" t="s">
        <v>376</v>
      </c>
      <c r="AR13228" s="4" t="s">
        <v>377</v>
      </c>
    </row>
    <row r="13229" spans="1:44">
      <c r="A13229" s="4" t="s">
        <v>10753</v>
      </c>
      <c r="B13229" s="4">
        <v>240677</v>
      </c>
      <c r="D13229" s="5">
        <v>240677</v>
      </c>
      <c r="E13229" s="6" t="str">
        <f>HYPERLINK("https://inpn.mnhn.fr/espece/cd_nom/240677","Pleuroxus truncatus (O.F. Müller, 1785)")</f>
        <v>Pleuroxus truncatus (O.F. Müller, 1785)</v>
      </c>
      <c r="Q13229" s="7" t="str">
        <f>HYPERLINK("#Liste_rouge!A"&amp;_xlfn.XMATCH("LC",Liste_rouge!A:A,2,1),"LC")</f>
        <v>LC</v>
      </c>
      <c r="AH13229" s="4" t="str">
        <f>HYPERLINK("#Statut_biogéographique!A"&amp;_xlfn.XMATCH("P",Statut_biogéographique!A:A,2,1),"P")</f>
        <v>P</v>
      </c>
      <c r="AP13229" s="4" t="s">
        <v>376</v>
      </c>
      <c r="AR13229" s="4" t="s">
        <v>377</v>
      </c>
    </row>
    <row r="13230" spans="1:44">
      <c r="A13230" s="4" t="s">
        <v>10753</v>
      </c>
      <c r="B13230" s="4">
        <v>240678</v>
      </c>
      <c r="D13230" s="5">
        <v>240678</v>
      </c>
      <c r="E13230" s="6" t="str">
        <f>HYPERLINK("https://inpn.mnhn.fr/espece/cd_nom/240678","Pleuroxus denticulatus Birge, 1879")</f>
        <v>Pleuroxus denticulatus Birge, 1879</v>
      </c>
      <c r="Q13230" s="7" t="str">
        <f>HYPERLINK("#Liste_rouge!A"&amp;_xlfn.XMATCH("LC",Liste_rouge!A:A,2,1),"LC")</f>
        <v>LC</v>
      </c>
      <c r="AH13230" s="4" t="str">
        <f>HYPERLINK("#Statut_biogéographique!A"&amp;_xlfn.XMATCH("P",Statut_biogéographique!A:A,2,1),"P")</f>
        <v>P</v>
      </c>
      <c r="AP13230" s="4" t="s">
        <v>376</v>
      </c>
      <c r="AR13230" s="4" t="s">
        <v>377</v>
      </c>
    </row>
    <row r="13231" spans="1:44">
      <c r="A13231" s="4" t="s">
        <v>10753</v>
      </c>
      <c r="B13231" s="4">
        <v>240679</v>
      </c>
      <c r="D13231" s="5">
        <v>240679</v>
      </c>
      <c r="E13231" s="6" t="str">
        <f>HYPERLINK("https://inpn.mnhn.fr/espece/cd_nom/240679","Pleuroxus laevis Sars, 1862")</f>
        <v>Pleuroxus laevis Sars, 1862</v>
      </c>
      <c r="Q13231" s="7" t="str">
        <f>HYPERLINK("#Liste_rouge!A"&amp;_xlfn.XMATCH("LC",Liste_rouge!A:A,2,1),"LC")</f>
        <v>LC</v>
      </c>
      <c r="AH13231" s="4" t="str">
        <f>HYPERLINK("#Statut_biogéographique!A"&amp;_xlfn.XMATCH("P",Statut_biogéographique!A:A,2,1),"P")</f>
        <v>P</v>
      </c>
      <c r="AP13231" s="4" t="s">
        <v>376</v>
      </c>
      <c r="AR13231" s="4" t="s">
        <v>377</v>
      </c>
    </row>
    <row r="13232" spans="1:44">
      <c r="A13232" s="4" t="s">
        <v>10753</v>
      </c>
      <c r="B13232" s="4">
        <v>240681</v>
      </c>
      <c r="D13232" s="5" t="s">
        <v>15906</v>
      </c>
      <c r="E13232" s="6" t="str">
        <f>HYPERLINK("https://inpn.mnhn.fr/espece/cd_nom/240681","Pleuroxus trigonellus (O.F. Müller, 1776)")</f>
        <v>Pleuroxus trigonellus (O.F. Müller, 1776)</v>
      </c>
      <c r="F13232" s="5" t="s">
        <v>15907</v>
      </c>
      <c r="Q13232" s="7" t="str">
        <f>HYPERLINK("#Liste_rouge!A"&amp;_xlfn.XMATCH("LC",Liste_rouge!A:A,2,1),"LC")</f>
        <v>LC</v>
      </c>
      <c r="AH13232" s="4" t="str">
        <f>HYPERLINK("#Statut_biogéographique!A"&amp;_xlfn.XMATCH("P",Statut_biogéographique!A:A,2,1),"P")</f>
        <v>P</v>
      </c>
      <c r="AP13232" s="4" t="s">
        <v>376</v>
      </c>
      <c r="AR13232" s="4" t="s">
        <v>377</v>
      </c>
    </row>
    <row r="13233" spans="1:44">
      <c r="A13233" s="4" t="s">
        <v>10753</v>
      </c>
      <c r="B13233" s="4">
        <v>240682</v>
      </c>
      <c r="D13233" s="5">
        <v>240682</v>
      </c>
      <c r="E13233" s="6" t="str">
        <f>HYPERLINK("https://inpn.mnhn.fr/espece/cd_nom/240682","Pleuroxus uncinatus Baird, 1850")</f>
        <v>Pleuroxus uncinatus Baird, 1850</v>
      </c>
      <c r="Q13233" s="7" t="str">
        <f>HYPERLINK("#Liste_rouge!A"&amp;_xlfn.XMATCH("LC",Liste_rouge!A:A,2,1),"LC")</f>
        <v>LC</v>
      </c>
      <c r="AH13233" s="4" t="str">
        <f>HYPERLINK("#Statut_biogéographique!A"&amp;_xlfn.XMATCH("P",Statut_biogéographique!A:A,2,1),"P")</f>
        <v>P</v>
      </c>
      <c r="AP13233" s="4" t="s">
        <v>376</v>
      </c>
      <c r="AR13233" s="4" t="s">
        <v>377</v>
      </c>
    </row>
    <row r="13234" spans="1:44">
      <c r="A13234" s="4" t="s">
        <v>10753</v>
      </c>
      <c r="B13234" s="4">
        <v>240683</v>
      </c>
      <c r="D13234" s="5" t="s">
        <v>15908</v>
      </c>
      <c r="E13234" s="6" t="str">
        <f>HYPERLINK("https://inpn.mnhn.fr/espece/cd_nom/240683","Pleuroxus aduncus (Jurine, 1820)")</f>
        <v>Pleuroxus aduncus (Jurine, 1820)</v>
      </c>
      <c r="F13234" s="5" t="s">
        <v>15909</v>
      </c>
      <c r="Q13234" s="7" t="str">
        <f>HYPERLINK("#Liste_rouge!A"&amp;_xlfn.XMATCH("LC",Liste_rouge!A:A,2,1),"LC")</f>
        <v>LC</v>
      </c>
      <c r="AH13234" s="4" t="str">
        <f>HYPERLINK("#Statut_biogéographique!A"&amp;_xlfn.XMATCH("P",Statut_biogéographique!A:A,2,1),"P")</f>
        <v>P</v>
      </c>
      <c r="AP13234" s="4" t="s">
        <v>376</v>
      </c>
      <c r="AR13234" s="4" t="s">
        <v>377</v>
      </c>
    </row>
    <row r="13235" spans="1:44">
      <c r="A13235" s="4" t="s">
        <v>10753</v>
      </c>
      <c r="B13235" s="4">
        <v>240684</v>
      </c>
      <c r="D13235" s="5">
        <v>240684</v>
      </c>
      <c r="E13235" s="6" t="str">
        <f>HYPERLINK("https://inpn.mnhn.fr/espece/cd_nom/240684","Alonella exigua (Lilljeborg, 1853)")</f>
        <v>Alonella exigua (Lilljeborg, 1853)</v>
      </c>
      <c r="Q13235" s="7" t="str">
        <f>HYPERLINK("#Liste_rouge!A"&amp;_xlfn.XMATCH("LC",Liste_rouge!A:A,2,1),"LC")</f>
        <v>LC</v>
      </c>
      <c r="AH13235" s="4" t="str">
        <f>HYPERLINK("#Statut_biogéographique!A"&amp;_xlfn.XMATCH("P",Statut_biogéographique!A:A,2,1),"P")</f>
        <v>P</v>
      </c>
      <c r="AP13235" s="4" t="s">
        <v>376</v>
      </c>
      <c r="AR13235" s="4" t="s">
        <v>377</v>
      </c>
    </row>
    <row r="13236" spans="1:44">
      <c r="A13236" s="4" t="s">
        <v>10753</v>
      </c>
      <c r="B13236" s="4">
        <v>240691</v>
      </c>
      <c r="D13236" s="5" t="s">
        <v>15910</v>
      </c>
      <c r="E13236" s="6" t="str">
        <f>HYPERLINK("https://inpn.mnhn.fr/espece/cd_nom/240691","Alona affinis (Leydig, 1860)")</f>
        <v>Alona affinis (Leydig, 1860)</v>
      </c>
      <c r="Q13236" s="7" t="str">
        <f>HYPERLINK("#Liste_rouge!A"&amp;_xlfn.XMATCH("LC",Liste_rouge!A:A,2,1),"LC")</f>
        <v>LC</v>
      </c>
      <c r="AH13236" s="4" t="str">
        <f>HYPERLINK("#Statut_biogéographique!A"&amp;_xlfn.XMATCH("P",Statut_biogéographique!A:A,2,1),"P")</f>
        <v>P</v>
      </c>
      <c r="AP13236" s="4" t="s">
        <v>376</v>
      </c>
      <c r="AR13236" s="4" t="s">
        <v>377</v>
      </c>
    </row>
    <row r="13237" spans="1:44">
      <c r="A13237" s="4" t="s">
        <v>10753</v>
      </c>
      <c r="B13237" s="4">
        <v>240693</v>
      </c>
      <c r="D13237" s="5">
        <v>240693</v>
      </c>
      <c r="E13237" s="6" t="str">
        <f>HYPERLINK("https://inpn.mnhn.fr/espece/cd_nom/240693","Alona guttata Sars, 1862")</f>
        <v>Alona guttata Sars, 1862</v>
      </c>
      <c r="Q13237" s="7" t="str">
        <f>HYPERLINK("#Liste_rouge!A"&amp;_xlfn.XMATCH("LC",Liste_rouge!A:A,2,1),"LC")</f>
        <v>LC</v>
      </c>
      <c r="AH13237" s="4" t="str">
        <f>HYPERLINK("#Statut_biogéographique!A"&amp;_xlfn.XMATCH("P",Statut_biogéographique!A:A,2,1),"P")</f>
        <v>P</v>
      </c>
      <c r="AP13237" s="4" t="s">
        <v>376</v>
      </c>
      <c r="AR13237" s="4" t="s">
        <v>377</v>
      </c>
    </row>
    <row r="13238" spans="1:44">
      <c r="A13238" s="4" t="s">
        <v>10753</v>
      </c>
      <c r="B13238" s="4">
        <v>240703</v>
      </c>
      <c r="D13238" s="5">
        <v>240703</v>
      </c>
      <c r="E13238" s="6" t="str">
        <f>HYPERLINK("https://inpn.mnhn.fr/espece/cd_nom/240703","Anchistropus emarginatus Sars, 1862")</f>
        <v>Anchistropus emarginatus Sars, 1862</v>
      </c>
      <c r="Q13238" s="7" t="str">
        <f>HYPERLINK("#Liste_rouge!A"&amp;_xlfn.XMATCH("DD",Liste_rouge!A:A,2,1),"DD")</f>
        <v>DD</v>
      </c>
      <c r="AH13238" s="4" t="str">
        <f>HYPERLINK("#Statut_biogéographique!A"&amp;_xlfn.XMATCH("P",Statut_biogéographique!A:A,2,1),"P")</f>
        <v>P</v>
      </c>
      <c r="AP13238" s="4" t="s">
        <v>376</v>
      </c>
      <c r="AR13238" s="4" t="s">
        <v>377</v>
      </c>
    </row>
    <row r="13239" spans="1:44">
      <c r="A13239" s="4" t="s">
        <v>10753</v>
      </c>
      <c r="B13239" s="4">
        <v>240705</v>
      </c>
      <c r="D13239" s="5">
        <v>240705</v>
      </c>
      <c r="E13239" s="6" t="str">
        <f>HYPERLINK("https://inpn.mnhn.fr/espece/cd_nom/240705","Camptocercus rectirostris Schoedler, 1862")</f>
        <v>Camptocercus rectirostris Schoedler, 1862</v>
      </c>
      <c r="Q13239" s="7" t="str">
        <f>HYPERLINK("#Liste_rouge!A"&amp;_xlfn.XMATCH("DD",Liste_rouge!A:A,2,1),"DD")</f>
        <v>DD</v>
      </c>
      <c r="AH13239" s="4" t="str">
        <f>HYPERLINK("#Statut_biogéographique!A"&amp;_xlfn.XMATCH("P",Statut_biogéographique!A:A,2,1),"P")</f>
        <v>P</v>
      </c>
      <c r="AP13239" s="4" t="s">
        <v>376</v>
      </c>
      <c r="AR13239" s="4" t="s">
        <v>377</v>
      </c>
    </row>
    <row r="13240" spans="1:44">
      <c r="A13240" s="4" t="s">
        <v>10753</v>
      </c>
      <c r="B13240" s="4">
        <v>240706</v>
      </c>
      <c r="D13240" s="5">
        <v>240706</v>
      </c>
      <c r="E13240" s="6" t="str">
        <f>HYPERLINK("https://inpn.mnhn.fr/espece/cd_nom/240706","Kurzia latissima (Kurz, 1875)")</f>
        <v>Kurzia latissima (Kurz, 1875)</v>
      </c>
      <c r="Q13240" s="7" t="str">
        <f>HYPERLINK("#Liste_rouge!A"&amp;_xlfn.XMATCH("DD",Liste_rouge!A:A,2,1),"DD")</f>
        <v>DD</v>
      </c>
      <c r="AH13240" s="4" t="str">
        <f>HYPERLINK("#Statut_biogéographique!A"&amp;_xlfn.XMATCH("P",Statut_biogéographique!A:A,2,1),"P")</f>
        <v>P</v>
      </c>
      <c r="AP13240" s="4" t="s">
        <v>376</v>
      </c>
      <c r="AR13240" s="4" t="s">
        <v>377</v>
      </c>
    </row>
    <row r="13241" spans="1:44">
      <c r="A13241" s="4" t="s">
        <v>10753</v>
      </c>
      <c r="B13241" s="4">
        <v>240707</v>
      </c>
      <c r="D13241" s="5" t="s">
        <v>15911</v>
      </c>
      <c r="E13241" s="6" t="str">
        <f>HYPERLINK("https://inpn.mnhn.fr/espece/cd_nom/240707","Leydigia acanthocercoides (Fischer, 1854)")</f>
        <v>Leydigia acanthocercoides (Fischer, 1854)</v>
      </c>
      <c r="Q13241" s="7" t="str">
        <f>HYPERLINK("#Liste_rouge!A"&amp;_xlfn.XMATCH("DD",Liste_rouge!A:A,2,1),"DD")</f>
        <v>DD</v>
      </c>
      <c r="AH13241" s="4" t="str">
        <f>HYPERLINK("#Statut_biogéographique!A"&amp;_xlfn.XMATCH("P",Statut_biogéographique!A:A,2,1),"P")</f>
        <v>P</v>
      </c>
      <c r="AP13241" s="4" t="s">
        <v>376</v>
      </c>
      <c r="AR13241" s="4" t="s">
        <v>377</v>
      </c>
    </row>
    <row r="13242" spans="1:44">
      <c r="A13242" s="4" t="s">
        <v>10753</v>
      </c>
      <c r="B13242" s="4">
        <v>240709</v>
      </c>
      <c r="D13242" s="5">
        <v>240709</v>
      </c>
      <c r="E13242" s="6" t="str">
        <f>HYPERLINK("https://inpn.mnhn.fr/espece/cd_nom/240709","Oxyurella tenuicaudis (Sars, 1862)")</f>
        <v>Oxyurella tenuicaudis (Sars, 1862)</v>
      </c>
      <c r="Q13242" s="7" t="str">
        <f>HYPERLINK("#Liste_rouge!A"&amp;_xlfn.XMATCH("DD",Liste_rouge!A:A,2,1),"DD")</f>
        <v>DD</v>
      </c>
      <c r="AH13242" s="4" t="str">
        <f>HYPERLINK("#Statut_biogéographique!A"&amp;_xlfn.XMATCH("P",Statut_biogéographique!A:A,2,1),"P")</f>
        <v>P</v>
      </c>
      <c r="AP13242" s="4" t="s">
        <v>376</v>
      </c>
      <c r="AR13242" s="4" t="s">
        <v>377</v>
      </c>
    </row>
    <row r="13243" spans="1:44">
      <c r="A13243" s="4" t="s">
        <v>10753</v>
      </c>
      <c r="B13243" s="4">
        <v>240713</v>
      </c>
      <c r="D13243" s="5" t="s">
        <v>15912</v>
      </c>
      <c r="E13243" s="6" t="str">
        <f>HYPERLINK("https://inpn.mnhn.fr/espece/cd_nom/240713","Graptoleberis testudinaria (Fischer, 1848)")</f>
        <v>Graptoleberis testudinaria (Fischer, 1848)</v>
      </c>
      <c r="Q13243" s="7" t="str">
        <f>HYPERLINK("#Liste_rouge!A"&amp;_xlfn.XMATCH("LC",Liste_rouge!A:A,2,1),"LC")</f>
        <v>LC</v>
      </c>
      <c r="AH13243" s="4" t="str">
        <f>HYPERLINK("#Statut_biogéographique!A"&amp;_xlfn.XMATCH("P",Statut_biogéographique!A:A,2,1),"P")</f>
        <v>P</v>
      </c>
      <c r="AP13243" s="4" t="s">
        <v>376</v>
      </c>
      <c r="AR13243" s="4" t="s">
        <v>377</v>
      </c>
    </row>
    <row r="13244" spans="1:44">
      <c r="A13244" s="4" t="s">
        <v>10753</v>
      </c>
      <c r="B13244" s="4">
        <v>240714</v>
      </c>
      <c r="D13244" s="5">
        <v>240714</v>
      </c>
      <c r="E13244" s="6" t="str">
        <f>HYPERLINK("https://inpn.mnhn.fr/espece/cd_nom/240714","Monospilus dispar Sars, 1862")</f>
        <v>Monospilus dispar Sars, 1862</v>
      </c>
      <c r="Q13244" s="7" t="str">
        <f>HYPERLINK("#Liste_rouge!A"&amp;_xlfn.XMATCH("LC",Liste_rouge!A:A,2,1),"LC")</f>
        <v>LC</v>
      </c>
      <c r="AH13244" s="4" t="str">
        <f>HYPERLINK("#Statut_biogéographique!A"&amp;_xlfn.XMATCH("P",Statut_biogéographique!A:A,2,1),"P")</f>
        <v>P</v>
      </c>
      <c r="AP13244" s="4" t="s">
        <v>376</v>
      </c>
      <c r="AR13244" s="4" t="s">
        <v>377</v>
      </c>
    </row>
    <row r="13245" spans="1:44">
      <c r="A13245" s="4" t="s">
        <v>10753</v>
      </c>
      <c r="B13245" s="4">
        <v>240715</v>
      </c>
      <c r="D13245" s="5" t="s">
        <v>15913</v>
      </c>
      <c r="E13245" s="6" t="str">
        <f>HYPERLINK("https://inpn.mnhn.fr/espece/cd_nom/240715","Pseudochydorus globosus (Baird, 1843)")</f>
        <v>Pseudochydorus globosus (Baird, 1843)</v>
      </c>
      <c r="Q13245" s="7" t="str">
        <f>HYPERLINK("#Liste_rouge!A"&amp;_xlfn.XMATCH("LC",Liste_rouge!A:A,2,1),"LC")</f>
        <v>LC</v>
      </c>
      <c r="AH13245" s="4" t="str">
        <f>HYPERLINK("#Statut_biogéographique!A"&amp;_xlfn.XMATCH("P",Statut_biogéographique!A:A,2,1),"P")</f>
        <v>P</v>
      </c>
      <c r="AP13245" s="4" t="s">
        <v>376</v>
      </c>
      <c r="AR13245" s="4" t="s">
        <v>377</v>
      </c>
    </row>
    <row r="13246" spans="1:44">
      <c r="A13246" s="4" t="s">
        <v>10753</v>
      </c>
      <c r="B13246" s="4">
        <v>240716</v>
      </c>
      <c r="D13246" s="5">
        <v>240716</v>
      </c>
      <c r="E13246" s="6" t="str">
        <f>HYPERLINK("https://inpn.mnhn.fr/espece/cd_nom/240716","Bythotrephes longimanus Leydig, 1860")</f>
        <v>Bythotrephes longimanus Leydig, 1860</v>
      </c>
      <c r="Q13246" s="7" t="str">
        <f>HYPERLINK("#Liste_rouge!A"&amp;_xlfn.XMATCH("DD",Liste_rouge!A:A,2,1),"DD")</f>
        <v>DD</v>
      </c>
      <c r="AH13246" s="4" t="str">
        <f>HYPERLINK("#Statut_biogéographique!A"&amp;_xlfn.XMATCH("P",Statut_biogéographique!A:A,2,1),"P")</f>
        <v>P</v>
      </c>
      <c r="AP13246" s="4" t="s">
        <v>376</v>
      </c>
      <c r="AR13246" s="4" t="s">
        <v>377</v>
      </c>
    </row>
    <row r="13247" spans="1:44">
      <c r="A13247" s="4" t="s">
        <v>10753</v>
      </c>
      <c r="B13247" s="4">
        <v>240718</v>
      </c>
      <c r="D13247" s="5" t="s">
        <v>15914</v>
      </c>
      <c r="E13247" s="6" t="str">
        <f>HYPERLINK("https://inpn.mnhn.fr/espece/cd_nom/240718","Leptodora kindtii (Focke, 1844)")</f>
        <v>Leptodora kindtii (Focke, 1844)</v>
      </c>
      <c r="F13247" s="5" t="s">
        <v>15915</v>
      </c>
      <c r="Q13247" s="7" t="str">
        <f>HYPERLINK("#Liste_rouge!A"&amp;_xlfn.XMATCH("LC",Liste_rouge!A:A,2,1),"LC")</f>
        <v>LC</v>
      </c>
      <c r="AH13247" s="4" t="str">
        <f>HYPERLINK("#Statut_biogéographique!A"&amp;_xlfn.XMATCH("P",Statut_biogéographique!A:A,2,1),"P")</f>
        <v>P</v>
      </c>
      <c r="AP13247" s="4" t="s">
        <v>376</v>
      </c>
      <c r="AR13247" s="4" t="s">
        <v>377</v>
      </c>
    </row>
    <row r="13248" spans="1:44">
      <c r="A13248" s="4" t="s">
        <v>10753</v>
      </c>
      <c r="B13248" s="4">
        <v>240740</v>
      </c>
      <c r="D13248" s="5" t="s">
        <v>15916</v>
      </c>
      <c r="E13248" s="6" t="str">
        <f>HYPERLINK("https://inpn.mnhn.fr/espece/cd_nom/240740","Diaptomus castor (Jurine, 1820)")</f>
        <v>Diaptomus castor (Jurine, 1820)</v>
      </c>
      <c r="Q13248" s="7" t="str">
        <f>HYPERLINK("#Liste_rouge!A"&amp;_xlfn.XMATCH("LC",Liste_rouge!A:A,2,1),"LC")</f>
        <v>LC</v>
      </c>
      <c r="AH13248" s="4" t="str">
        <f>HYPERLINK("#Statut_biogéographique!A"&amp;_xlfn.XMATCH("P",Statut_biogéographique!A:A,2,1),"P")</f>
        <v>P</v>
      </c>
      <c r="AP13248" s="4" t="s">
        <v>376</v>
      </c>
      <c r="AR13248" s="4" t="s">
        <v>377</v>
      </c>
    </row>
    <row r="13249" spans="1:44">
      <c r="A13249" s="4" t="s">
        <v>10753</v>
      </c>
      <c r="B13249" s="4">
        <v>240745</v>
      </c>
      <c r="D13249" s="5" t="s">
        <v>15917</v>
      </c>
      <c r="E13249" s="6" t="str">
        <f>HYPERLINK("https://inpn.mnhn.fr/espece/cd_nom/240745","Thermocyclops crassus (Fischer, 1853)")</f>
        <v>Thermocyclops crassus (Fischer, 1853)</v>
      </c>
      <c r="Q13249" s="7" t="str">
        <f>HYPERLINK("#Liste_rouge!A"&amp;_xlfn.XMATCH("LC",Liste_rouge!A:A,2,1),"LC")</f>
        <v>LC</v>
      </c>
      <c r="AH13249" s="4" t="str">
        <f>HYPERLINK("#Statut_biogéographique!A"&amp;_xlfn.XMATCH("P",Statut_biogéographique!A:A,2,1),"P")</f>
        <v>P</v>
      </c>
      <c r="AP13249" s="4" t="s">
        <v>376</v>
      </c>
      <c r="AR13249" s="4" t="s">
        <v>377</v>
      </c>
    </row>
    <row r="13250" spans="1:44">
      <c r="A13250" s="4" t="s">
        <v>10753</v>
      </c>
      <c r="B13250" s="4">
        <v>240746</v>
      </c>
      <c r="D13250" s="5" t="s">
        <v>15918</v>
      </c>
      <c r="E13250" s="6" t="str">
        <f>HYPERLINK("https://inpn.mnhn.fr/espece/cd_nom/240746","Thermocyclops dybowskii (Landé, 1890)")</f>
        <v>Thermocyclops dybowskii (Landé, 1890)</v>
      </c>
      <c r="Q13250" s="7" t="str">
        <f>HYPERLINK("#Liste_rouge!A"&amp;_xlfn.XMATCH("LC",Liste_rouge!A:A,2,1),"LC")</f>
        <v>LC</v>
      </c>
      <c r="AH13250" s="4" t="str">
        <f>HYPERLINK("#Statut_biogéographique!A"&amp;_xlfn.XMATCH("P",Statut_biogéographique!A:A,2,1),"P")</f>
        <v>P</v>
      </c>
      <c r="AP13250" s="4" t="s">
        <v>376</v>
      </c>
      <c r="AR13250" s="4" t="s">
        <v>377</v>
      </c>
    </row>
    <row r="13251" spans="1:44">
      <c r="A13251" s="4" t="s">
        <v>10753</v>
      </c>
      <c r="B13251" s="4">
        <v>240757</v>
      </c>
      <c r="D13251" s="5" t="s">
        <v>15919</v>
      </c>
      <c r="E13251" s="6" t="str">
        <f>HYPERLINK("https://inpn.mnhn.fr/espece/cd_nom/240757","Microcyclops varicans (O.G. Sars, 1863)")</f>
        <v>Microcyclops varicans (O.G. Sars, 1863)</v>
      </c>
      <c r="Q13251" s="7" t="str">
        <f>HYPERLINK("#Liste_rouge!A"&amp;_xlfn.XMATCH("LC",Liste_rouge!A:A,2,1),"LC")</f>
        <v>LC</v>
      </c>
      <c r="AH13251" s="4" t="str">
        <f>HYPERLINK("#Statut_biogéographique!A"&amp;_xlfn.XMATCH("P",Statut_biogéographique!A:A,2,1),"P")</f>
        <v>P</v>
      </c>
      <c r="AP13251" s="4" t="s">
        <v>376</v>
      </c>
      <c r="AR13251" s="4" t="s">
        <v>377</v>
      </c>
    </row>
    <row r="13252" spans="1:44">
      <c r="A13252" s="4" t="s">
        <v>10753</v>
      </c>
      <c r="B13252" s="4">
        <v>240762</v>
      </c>
      <c r="D13252" s="5" t="s">
        <v>15920</v>
      </c>
      <c r="E13252" s="6" t="str">
        <f>HYPERLINK("https://inpn.mnhn.fr/espece/cd_nom/240762","Megacyclops gigas (Claus, 1857)")</f>
        <v>Megacyclops gigas (Claus, 1857)</v>
      </c>
      <c r="Q13252" s="7" t="str">
        <f>HYPERLINK("#Liste_rouge!A"&amp;_xlfn.XMATCH("LC",Liste_rouge!A:A,2,1),"LC")</f>
        <v>LC</v>
      </c>
      <c r="AH13252" s="4" t="str">
        <f>HYPERLINK("#Statut_biogéographique!A"&amp;_xlfn.XMATCH("P",Statut_biogéographique!A:A,2,1),"P")</f>
        <v>P</v>
      </c>
      <c r="AP13252" s="4" t="s">
        <v>376</v>
      </c>
      <c r="AR13252" s="4" t="s">
        <v>377</v>
      </c>
    </row>
    <row r="13253" spans="1:44">
      <c r="A13253" s="4" t="s">
        <v>10753</v>
      </c>
      <c r="B13253" s="4">
        <v>240772</v>
      </c>
      <c r="D13253" s="5" t="s">
        <v>15921</v>
      </c>
      <c r="E13253" s="6" t="str">
        <f>HYPERLINK("https://inpn.mnhn.fr/espece/cd_nom/240772","Diacyclops bicuspidatus (Claus, 1857)")</f>
        <v>Diacyclops bicuspidatus (Claus, 1857)</v>
      </c>
      <c r="Q13253" s="7" t="str">
        <f>HYPERLINK("#Liste_rouge!A"&amp;_xlfn.XMATCH("LC",Liste_rouge!A:A,2,1),"LC")</f>
        <v>LC</v>
      </c>
      <c r="AH13253" s="4" t="str">
        <f>HYPERLINK("#Statut_biogéographique!A"&amp;_xlfn.XMATCH("P",Statut_biogéographique!A:A,2,1),"P")</f>
        <v>P</v>
      </c>
      <c r="AP13253" s="4" t="s">
        <v>376</v>
      </c>
      <c r="AR13253" s="4" t="s">
        <v>377</v>
      </c>
    </row>
    <row r="13254" spans="1:44">
      <c r="A13254" s="4" t="s">
        <v>10753</v>
      </c>
      <c r="B13254" s="4">
        <v>240773</v>
      </c>
      <c r="D13254" s="5" t="s">
        <v>15922</v>
      </c>
      <c r="E13254" s="6" t="str">
        <f>HYPERLINK("https://inpn.mnhn.fr/espece/cd_nom/240773","Diacyclops clandestinus (Kiefer, 1926)")</f>
        <v>Diacyclops clandestinus (Kiefer, 1926)</v>
      </c>
      <c r="Q13254" s="7" t="str">
        <f>HYPERLINK("#Liste_rouge!A"&amp;_xlfn.XMATCH("LC",Liste_rouge!A:A,2,1),"LC")</f>
        <v>LC</v>
      </c>
      <c r="AH13254" s="4" t="str">
        <f>HYPERLINK("#Statut_biogéographique!A"&amp;_xlfn.XMATCH("P",Statut_biogéographique!A:A,2,1),"P")</f>
        <v>P</v>
      </c>
      <c r="AP13254" s="4" t="s">
        <v>376</v>
      </c>
      <c r="AR13254" s="4" t="s">
        <v>377</v>
      </c>
    </row>
    <row r="13255" spans="1:44">
      <c r="A13255" s="4" t="s">
        <v>10753</v>
      </c>
      <c r="B13255" s="4">
        <v>240776</v>
      </c>
      <c r="D13255" s="5" t="s">
        <v>15923</v>
      </c>
      <c r="E13255" s="6" t="str">
        <f>HYPERLINK("https://inpn.mnhn.fr/espece/cd_nom/240776","Diacyclops languidus (O.G. Sars, 1863)")</f>
        <v>Diacyclops languidus (O.G. Sars, 1863)</v>
      </c>
      <c r="Q13255" s="7" t="str">
        <f>HYPERLINK("#Liste_rouge!A"&amp;_xlfn.XMATCH("LC",Liste_rouge!A:A,2,1),"LC")</f>
        <v>LC</v>
      </c>
      <c r="AH13255" s="4" t="str">
        <f>HYPERLINK("#Statut_biogéographique!A"&amp;_xlfn.XMATCH("P",Statut_biogéographique!A:A,2,1),"P")</f>
        <v>P</v>
      </c>
      <c r="AP13255" s="4" t="s">
        <v>376</v>
      </c>
      <c r="AR13255" s="4" t="s">
        <v>377</v>
      </c>
    </row>
    <row r="13256" spans="1:44">
      <c r="A13256" s="4" t="s">
        <v>10753</v>
      </c>
      <c r="B13256" s="4">
        <v>240784</v>
      </c>
      <c r="D13256" s="5" t="s">
        <v>15924</v>
      </c>
      <c r="E13256" s="6" t="str">
        <f>HYPERLINK("https://inpn.mnhn.fr/espece/cd_nom/240784","Cyclops strenuus Fischer, 1851")</f>
        <v>Cyclops strenuus Fischer, 1851</v>
      </c>
      <c r="Q13256" s="7" t="str">
        <f>HYPERLINK("#Liste_rouge!A"&amp;_xlfn.XMATCH("DD",Liste_rouge!A:A,2,1),"DD (cd_nom 240781) - LC (cd_nom 240784)")</f>
        <v>DD (cd_nom 240781) - LC (cd_nom 240784)</v>
      </c>
      <c r="AH13256" s="4" t="str">
        <f>HYPERLINK("#Statut_biogéographique!A"&amp;_xlfn.XMATCH("P",Statut_biogéographique!A:A,2,1),"P")</f>
        <v>P</v>
      </c>
      <c r="AP13256" s="4" t="s">
        <v>376</v>
      </c>
      <c r="AR13256" s="4" t="s">
        <v>377</v>
      </c>
    </row>
    <row r="13257" spans="1:44">
      <c r="A13257" s="4" t="s">
        <v>10753</v>
      </c>
      <c r="B13257" s="4">
        <v>240791</v>
      </c>
      <c r="D13257" s="5" t="s">
        <v>15925</v>
      </c>
      <c r="E13257" s="6" t="str">
        <f>HYPERLINK("https://inpn.mnhn.fr/espece/cd_nom/240791","Tropocyclops prasinus (Fischer, 1860)")</f>
        <v>Tropocyclops prasinus (Fischer, 1860)</v>
      </c>
      <c r="Q13257" s="7" t="str">
        <f>HYPERLINK("#Liste_rouge!A"&amp;_xlfn.XMATCH("LC",Liste_rouge!A:A,2,1),"LC")</f>
        <v>LC</v>
      </c>
      <c r="AH13257" s="4" t="str">
        <f>HYPERLINK("#Statut_biogéographique!A"&amp;_xlfn.XMATCH("P",Statut_biogéographique!A:A,2,1),"P")</f>
        <v>P</v>
      </c>
      <c r="AP13257" s="4" t="s">
        <v>376</v>
      </c>
      <c r="AR13257" s="4" t="s">
        <v>377</v>
      </c>
    </row>
    <row r="13258" spans="1:44">
      <c r="A13258" s="4" t="s">
        <v>10753</v>
      </c>
      <c r="B13258" s="4">
        <v>240798</v>
      </c>
      <c r="D13258" s="5" t="s">
        <v>15926</v>
      </c>
      <c r="E13258" s="6" t="str">
        <f>HYPERLINK("https://inpn.mnhn.fr/espece/cd_nom/240798","Eucyclops macruroides (Lilljeborg, 1901)")</f>
        <v>Eucyclops macruroides (Lilljeborg, 1901)</v>
      </c>
      <c r="Q13258" s="7" t="str">
        <f>HYPERLINK("#Liste_rouge!A"&amp;_xlfn.XMATCH("LC",Liste_rouge!A:A,2,1),"LC")</f>
        <v>LC</v>
      </c>
      <c r="AH13258" s="4" t="str">
        <f>HYPERLINK("#Statut_biogéographique!A"&amp;_xlfn.XMATCH("P",Statut_biogéographique!A:A,2,1),"P")</f>
        <v>P</v>
      </c>
      <c r="AP13258" s="4" t="s">
        <v>376</v>
      </c>
      <c r="AR13258" s="4" t="s">
        <v>377</v>
      </c>
    </row>
    <row r="13259" spans="1:44">
      <c r="A13259" s="4" t="s">
        <v>10753</v>
      </c>
      <c r="B13259" s="4">
        <v>240799</v>
      </c>
      <c r="D13259" s="5" t="s">
        <v>15927</v>
      </c>
      <c r="E13259" s="6" t="str">
        <f>HYPERLINK("https://inpn.mnhn.fr/espece/cd_nom/240799","Eucyclops macrurus (Sars, 1863)")</f>
        <v>Eucyclops macrurus (Sars, 1863)</v>
      </c>
      <c r="Q13259" s="7" t="str">
        <f>HYPERLINK("#Liste_rouge!A"&amp;_xlfn.XMATCH("LC",Liste_rouge!A:A,2,1),"LC")</f>
        <v>LC</v>
      </c>
      <c r="AH13259" s="4" t="str">
        <f>HYPERLINK("#Statut_biogéographique!A"&amp;_xlfn.XMATCH("P",Statut_biogéographique!A:A,2,1),"P")</f>
        <v>P</v>
      </c>
      <c r="AP13259" s="4" t="s">
        <v>376</v>
      </c>
      <c r="AR13259" s="4" t="s">
        <v>377</v>
      </c>
    </row>
    <row r="13260" spans="1:44">
      <c r="A13260" s="4" t="s">
        <v>10753</v>
      </c>
      <c r="B13260" s="4">
        <v>24080</v>
      </c>
      <c r="D13260" s="5">
        <v>24080</v>
      </c>
      <c r="E13260" s="6" t="str">
        <f>HYPERLINK("https://inpn.mnhn.fr/espece/cd_nom/24080","Loxocera fulviventris Meigen, 1826")</f>
        <v>Loxocera fulviventris Meigen, 1826</v>
      </c>
      <c r="AH13260" s="4" t="str">
        <f>HYPERLINK("#Statut_biogéographique!A"&amp;_xlfn.XMATCH("P",Statut_biogéographique!A:A,2,1),"P")</f>
        <v>P</v>
      </c>
      <c r="AP13260" s="4" t="s">
        <v>376</v>
      </c>
      <c r="AR13260" s="4" t="s">
        <v>377</v>
      </c>
    </row>
    <row r="13261" spans="1:44">
      <c r="A13261" s="4" t="s">
        <v>10753</v>
      </c>
      <c r="B13261" s="4">
        <v>240800</v>
      </c>
      <c r="D13261" s="5" t="s">
        <v>15928</v>
      </c>
      <c r="E13261" s="6" t="str">
        <f>HYPERLINK("https://inpn.mnhn.fr/espece/cd_nom/240800","Eucyclops speratus (Lilljeborg, 1901)")</f>
        <v>Eucyclops speratus (Lilljeborg, 1901)</v>
      </c>
      <c r="Q13261" s="7" t="str">
        <f>HYPERLINK("#Liste_rouge!A"&amp;_xlfn.XMATCH("LC",Liste_rouge!A:A,2,1),"LC")</f>
        <v>LC</v>
      </c>
      <c r="AH13261" s="4" t="str">
        <f>HYPERLINK("#Statut_biogéographique!A"&amp;_xlfn.XMATCH("P",Statut_biogéographique!A:A,2,1),"P")</f>
        <v>P</v>
      </c>
      <c r="AP13261" s="4" t="s">
        <v>376</v>
      </c>
      <c r="AR13261" s="4" t="s">
        <v>377</v>
      </c>
    </row>
    <row r="13262" spans="1:44">
      <c r="A13262" s="4" t="s">
        <v>10753</v>
      </c>
      <c r="B13262" s="4">
        <v>240802</v>
      </c>
      <c r="D13262" s="5" t="s">
        <v>15929</v>
      </c>
      <c r="E13262" s="6" t="str">
        <f>HYPERLINK("https://inpn.mnhn.fr/espece/cd_nom/240802","Ectocyclops phaleratus (Koch, 1838)")</f>
        <v>Ectocyclops phaleratus (Koch, 1838)</v>
      </c>
      <c r="Q13262" s="7" t="str">
        <f>HYPERLINK("#Liste_rouge!A"&amp;_xlfn.XMATCH("LC",Liste_rouge!A:A,2,1),"LC")</f>
        <v>LC</v>
      </c>
      <c r="AH13262" s="4" t="str">
        <f>HYPERLINK("#Statut_biogéographique!A"&amp;_xlfn.XMATCH("P",Statut_biogéographique!A:A,2,1),"P")</f>
        <v>P</v>
      </c>
      <c r="AP13262" s="4" t="s">
        <v>376</v>
      </c>
      <c r="AR13262" s="4" t="s">
        <v>377</v>
      </c>
    </row>
    <row r="13263" spans="1:44">
      <c r="A13263" s="4" t="s">
        <v>10753</v>
      </c>
      <c r="B13263" s="4">
        <v>24087</v>
      </c>
      <c r="D13263" s="5" t="s">
        <v>15930</v>
      </c>
      <c r="E13263" s="6" t="str">
        <f>HYPERLINK("https://inpn.mnhn.fr/espece/cd_nom/24087","Psila fimetaria (Linnaeus, 1758)")</f>
        <v>Psila fimetaria (Linnaeus, 1758)</v>
      </c>
      <c r="AH13263" s="4" t="str">
        <f>HYPERLINK("#Statut_biogéographique!A"&amp;_xlfn.XMATCH("P",Statut_biogéographique!A:A,2,1),"P")</f>
        <v>P</v>
      </c>
      <c r="AP13263" s="4" t="s">
        <v>376</v>
      </c>
      <c r="AR13263" s="4" t="s">
        <v>377</v>
      </c>
    </row>
    <row r="13264" spans="1:44">
      <c r="A13264" s="4" t="s">
        <v>10753</v>
      </c>
      <c r="B13264" s="4">
        <v>24095</v>
      </c>
      <c r="D13264" s="5" t="s">
        <v>15931</v>
      </c>
      <c r="E13264" s="6" t="str">
        <f>HYPERLINK("https://inpn.mnhn.fr/espece/cd_nom/24095","Megamerina dolium (Fabricius, 1805)")</f>
        <v>Megamerina dolium (Fabricius, 1805)</v>
      </c>
      <c r="AH13264" s="4" t="str">
        <f>HYPERLINK("#Statut_biogéographique!A"&amp;_xlfn.XMATCH("P",Statut_biogéographique!A:A,2,1),"P")</f>
        <v>P</v>
      </c>
      <c r="AP13264" s="4" t="s">
        <v>376</v>
      </c>
      <c r="AR13264" s="4" t="s">
        <v>377</v>
      </c>
    </row>
    <row r="13265" spans="1:44" ht="30">
      <c r="A13265" s="4" t="s">
        <v>10753</v>
      </c>
      <c r="B13265" s="4">
        <v>240952</v>
      </c>
      <c r="D13265" s="5" t="s">
        <v>15932</v>
      </c>
      <c r="E13265" s="6" t="str">
        <f>HYPERLINK("https://inpn.mnhn.fr/espece/cd_nom/240952","Proasellus cavaticus (Leydig, 1871)")</f>
        <v>Proasellus cavaticus (Leydig, 1871)</v>
      </c>
      <c r="F13265" s="5" t="s">
        <v>15933</v>
      </c>
      <c r="Q13265" s="7" t="str">
        <f>HYPERLINK("#Liste_rouge!A"&amp;_xlfn.XMATCH("LC",Liste_rouge!A:A,2,1),"LC")</f>
        <v>LC</v>
      </c>
      <c r="AH13265" s="4" t="str">
        <f>HYPERLINK("#Statut_biogéographique!A"&amp;_xlfn.XMATCH("P",Statut_biogéographique!A:A,2,1),"P")</f>
        <v>P</v>
      </c>
      <c r="AP13265" s="4" t="s">
        <v>376</v>
      </c>
      <c r="AR13265" s="4" t="s">
        <v>377</v>
      </c>
    </row>
    <row r="13266" spans="1:44">
      <c r="A13266" s="4" t="s">
        <v>10753</v>
      </c>
      <c r="B13266" s="4">
        <v>240964</v>
      </c>
      <c r="D13266" s="5" t="s">
        <v>15934</v>
      </c>
      <c r="E13266" s="6" t="str">
        <f>HYPERLINK("https://inpn.mnhn.fr/espece/cd_nom/240964","Proasellus valdensis (Chappuis, 1948)")</f>
        <v>Proasellus valdensis (Chappuis, 1948)</v>
      </c>
      <c r="Q13266" s="7" t="str">
        <f>HYPERLINK("#Liste_rouge!A"&amp;_xlfn.XMATCH("LC",Liste_rouge!A:A,2,1),"LC")</f>
        <v>LC</v>
      </c>
      <c r="AH13266" s="4" t="str">
        <f>HYPERLINK("#Statut_biogéographique!A"&amp;_xlfn.XMATCH("P",Statut_biogéographique!A:A,2,1),"P")</f>
        <v>P</v>
      </c>
      <c r="AP13266" s="4" t="s">
        <v>376</v>
      </c>
      <c r="AR13266" s="4" t="s">
        <v>377</v>
      </c>
    </row>
    <row r="13267" spans="1:44">
      <c r="A13267" s="4" t="s">
        <v>10753</v>
      </c>
      <c r="B13267" s="4">
        <v>240978</v>
      </c>
      <c r="D13267" s="5" t="s">
        <v>15935</v>
      </c>
      <c r="E13267" s="6" t="str">
        <f>HYPERLINK("https://inpn.mnhn.fr/espece/cd_nom/240978","Caecosphaeroma burgundum Dollfus, 1898")</f>
        <v>Caecosphaeroma burgundum Dollfus, 1898</v>
      </c>
      <c r="Q13267" s="7" t="str">
        <f>HYPERLINK("#Liste_rouge!A"&amp;_xlfn.XMATCH("LC",Liste_rouge!A:A,2,1),"LC")</f>
        <v>LC</v>
      </c>
      <c r="AH13267" s="4" t="str">
        <f>HYPERLINK("#Statut_biogéographique!A"&amp;_xlfn.XMATCH("E",Statut_biogéographique!A:A,2,1),"E")</f>
        <v>E</v>
      </c>
      <c r="AP13267" s="4" t="s">
        <v>376</v>
      </c>
      <c r="AR13267" s="4" t="s">
        <v>377</v>
      </c>
    </row>
    <row r="13268" spans="1:44">
      <c r="A13268" s="4" t="s">
        <v>10753</v>
      </c>
      <c r="B13268" s="4">
        <v>240979</v>
      </c>
      <c r="D13268" s="5">
        <v>240979</v>
      </c>
      <c r="E13268" s="6" t="str">
        <f>HYPERLINK("https://inpn.mnhn.fr/espece/cd_nom/240979","Caecosphaeroma virei Dollfus, 1896")</f>
        <v>Caecosphaeroma virei Dollfus, 1896</v>
      </c>
      <c r="Q13268" s="7" t="str">
        <f>HYPERLINK("#Liste_rouge!A"&amp;_xlfn.XMATCH("LC",Liste_rouge!A:A,2,1),"LC")</f>
        <v>LC</v>
      </c>
      <c r="AH13268" s="4" t="str">
        <f>HYPERLINK("#Statut_biogéographique!A"&amp;_xlfn.XMATCH("E",Statut_biogéographique!A:A,2,1),"E")</f>
        <v>E</v>
      </c>
      <c r="AP13268" s="4" t="s">
        <v>376</v>
      </c>
      <c r="AR13268" s="4" t="s">
        <v>377</v>
      </c>
    </row>
    <row r="13269" spans="1:44">
      <c r="A13269" s="4" t="s">
        <v>10753</v>
      </c>
      <c r="B13269" s="4">
        <v>240988</v>
      </c>
      <c r="D13269" s="5" t="s">
        <v>15936</v>
      </c>
      <c r="E13269" s="6" t="str">
        <f>HYPERLINK("https://inpn.mnhn.fr/espece/cd_nom/240988","Pseudocandona albicans (Brady, 1864)")</f>
        <v>Pseudocandona albicans (Brady, 1864)</v>
      </c>
      <c r="Q13269" s="7" t="str">
        <f>HYPERLINK("#Liste_rouge!A"&amp;_xlfn.XMATCH("LC",Liste_rouge!A:A,2,1),"LC")</f>
        <v>LC</v>
      </c>
      <c r="AH13269" s="4" t="str">
        <f>HYPERLINK("#Statut_biogéographique!A"&amp;_xlfn.XMATCH("P",Statut_biogéographique!A:A,2,1),"P")</f>
        <v>P</v>
      </c>
      <c r="AP13269" s="4" t="s">
        <v>376</v>
      </c>
      <c r="AR13269" s="4" t="s">
        <v>377</v>
      </c>
    </row>
    <row r="13270" spans="1:44">
      <c r="A13270" s="4" t="s">
        <v>10753</v>
      </c>
      <c r="B13270" s="4">
        <v>240993</v>
      </c>
      <c r="D13270" s="5" t="s">
        <v>15937</v>
      </c>
      <c r="E13270" s="6" t="str">
        <f>HYPERLINK("https://inpn.mnhn.fr/espece/cd_nom/240993","Pseudocandona pratensis (Hartwig, 1901)")</f>
        <v>Pseudocandona pratensis (Hartwig, 1901)</v>
      </c>
      <c r="Q13270" s="7" t="str">
        <f>HYPERLINK("#Liste_rouge!A"&amp;_xlfn.XMATCH("LC",Liste_rouge!A:A,2,1),"LC")</f>
        <v>LC</v>
      </c>
      <c r="AH13270" s="4" t="str">
        <f>HYPERLINK("#Statut_biogéographique!A"&amp;_xlfn.XMATCH("P",Statut_biogéographique!A:A,2,1),"P")</f>
        <v>P</v>
      </c>
      <c r="AP13270" s="4" t="s">
        <v>376</v>
      </c>
      <c r="AR13270" s="4" t="s">
        <v>377</v>
      </c>
    </row>
    <row r="13271" spans="1:44" ht="30">
      <c r="A13271" s="4" t="s">
        <v>10753</v>
      </c>
      <c r="B13271" s="4">
        <v>241008</v>
      </c>
      <c r="D13271" s="5" t="s">
        <v>15938</v>
      </c>
      <c r="E13271" s="6" t="str">
        <f>HYPERLINK("https://inpn.mnhn.fr/espece/cd_nom/241008","Candonopsis kingsleii (Brady &amp; Robertson, 1870)")</f>
        <v>Candonopsis kingsleii (Brady &amp; Robertson, 1870)</v>
      </c>
      <c r="Q13271" s="7" t="str">
        <f>HYPERLINK("#Liste_rouge!A"&amp;_xlfn.XMATCH("LC",Liste_rouge!A:A,2,1),"LC")</f>
        <v>LC</v>
      </c>
      <c r="AH13271" s="4" t="str">
        <f>HYPERLINK("#Statut_biogéographique!A"&amp;_xlfn.XMATCH("P",Statut_biogéographique!A:A,2,1),"P")</f>
        <v>P</v>
      </c>
      <c r="AP13271" s="4" t="s">
        <v>376</v>
      </c>
      <c r="AR13271" s="4" t="s">
        <v>377</v>
      </c>
    </row>
    <row r="13272" spans="1:44">
      <c r="A13272" s="4" t="s">
        <v>10753</v>
      </c>
      <c r="B13272" s="4">
        <v>241010</v>
      </c>
      <c r="D13272" s="5" t="s">
        <v>15939</v>
      </c>
      <c r="E13272" s="6" t="str">
        <f>HYPERLINK("https://inpn.mnhn.fr/espece/cd_nom/241010","Candona candida (O.F. Müller, 1776)")</f>
        <v>Candona candida (O.F. Müller, 1776)</v>
      </c>
      <c r="F13272" s="5" t="s">
        <v>15940</v>
      </c>
      <c r="Q13272" s="7" t="str">
        <f>HYPERLINK("#Liste_rouge!A"&amp;_xlfn.XMATCH("LC",Liste_rouge!A:A,2,1),"LC")</f>
        <v>LC</v>
      </c>
      <c r="AH13272" s="4" t="str">
        <f>HYPERLINK("#Statut_biogéographique!A"&amp;_xlfn.XMATCH("P",Statut_biogéographique!A:A,2,1),"P")</f>
        <v>P</v>
      </c>
      <c r="AP13272" s="4" t="s">
        <v>376</v>
      </c>
      <c r="AR13272" s="4" t="s">
        <v>377</v>
      </c>
    </row>
    <row r="13273" spans="1:44">
      <c r="A13273" s="4" t="s">
        <v>10753</v>
      </c>
      <c r="B13273" s="4">
        <v>241013</v>
      </c>
      <c r="D13273" s="5" t="s">
        <v>15941</v>
      </c>
      <c r="E13273" s="6" t="str">
        <f>HYPERLINK("https://inpn.mnhn.fr/espece/cd_nom/241013","Cypria exsculpta (Fischer, 1855)")</f>
        <v>Cypria exsculpta (Fischer, 1855)</v>
      </c>
      <c r="Q13273" s="7" t="str">
        <f>HYPERLINK("#Liste_rouge!A"&amp;_xlfn.XMATCH("DD",Liste_rouge!A:A,2,1),"DD")</f>
        <v>DD</v>
      </c>
      <c r="AH13273" s="4" t="str">
        <f>HYPERLINK("#Statut_biogéographique!A"&amp;_xlfn.XMATCH("P",Statut_biogéographique!A:A,2,1),"P")</f>
        <v>P</v>
      </c>
      <c r="AP13273" s="4" t="s">
        <v>376</v>
      </c>
      <c r="AR13273" s="4" t="s">
        <v>377</v>
      </c>
    </row>
    <row r="13274" spans="1:44" ht="30">
      <c r="A13274" s="4" t="s">
        <v>10753</v>
      </c>
      <c r="B13274" s="4">
        <v>241014</v>
      </c>
      <c r="D13274" s="5" t="s">
        <v>15942</v>
      </c>
      <c r="E13274" s="6" t="str">
        <f>HYPERLINK("https://inpn.mnhn.fr/espece/cd_nom/241014","Cypria ophtalmica (Jurine, 1820)")</f>
        <v>Cypria ophtalmica (Jurine, 1820)</v>
      </c>
      <c r="F13274" s="5" t="s">
        <v>15943</v>
      </c>
      <c r="Q13274" s="7" t="str">
        <f>HYPERLINK("#Liste_rouge!A"&amp;_xlfn.XMATCH("LC",Liste_rouge!A:A,2,1),"LC")</f>
        <v>LC</v>
      </c>
      <c r="AH13274" s="4" t="str">
        <f>HYPERLINK("#Statut_biogéographique!A"&amp;_xlfn.XMATCH("P",Statut_biogéographique!A:A,2,1),"P")</f>
        <v>P</v>
      </c>
      <c r="AP13274" s="4" t="s">
        <v>376</v>
      </c>
      <c r="AR13274" s="4" t="s">
        <v>377</v>
      </c>
    </row>
    <row r="13275" spans="1:44">
      <c r="A13275" s="4" t="s">
        <v>10753</v>
      </c>
      <c r="B13275" s="4">
        <v>241016</v>
      </c>
      <c r="D13275" s="5" t="s">
        <v>15944</v>
      </c>
      <c r="E13275" s="6" t="str">
        <f>HYPERLINK("https://inpn.mnhn.fr/espece/cd_nom/241016","Cyclocypris ovum (Jurine, 1820)")</f>
        <v>Cyclocypris ovum (Jurine, 1820)</v>
      </c>
      <c r="F13275" s="5" t="s">
        <v>15945</v>
      </c>
      <c r="Q13275" s="7" t="str">
        <f>HYPERLINK("#Liste_rouge!A"&amp;_xlfn.XMATCH("LC",Liste_rouge!A:A,2,1),"LC")</f>
        <v>LC</v>
      </c>
      <c r="AH13275" s="4" t="str">
        <f>HYPERLINK("#Statut_biogéographique!A"&amp;_xlfn.XMATCH("P",Statut_biogéographique!A:A,2,1),"P")</f>
        <v>P</v>
      </c>
      <c r="AP13275" s="4" t="s">
        <v>376</v>
      </c>
      <c r="AR13275" s="4" t="s">
        <v>377</v>
      </c>
    </row>
    <row r="13276" spans="1:44" ht="45">
      <c r="A13276" s="4" t="s">
        <v>10753</v>
      </c>
      <c r="B13276" s="4">
        <v>24102</v>
      </c>
      <c r="D13276" s="5" t="s">
        <v>15946</v>
      </c>
      <c r="E13276" s="6" t="str">
        <f>HYPERLINK("https://inpn.mnhn.fr/espece/cd_nom/24102","Ceratitis capitata (Wiedemann, 1824)")</f>
        <v>Ceratitis capitata (Wiedemann, 1824)</v>
      </c>
      <c r="F13276" s="5" t="s">
        <v>15947</v>
      </c>
      <c r="AH13276" s="4" t="str">
        <f>HYPERLINK("#Statut_biogéographique!A"&amp;_xlfn.XMATCH("J",Statut_biogéographique!A:A,2,1),"J")</f>
        <v>J</v>
      </c>
      <c r="AP13276" s="4" t="s">
        <v>376</v>
      </c>
      <c r="AR13276" s="4" t="s">
        <v>377</v>
      </c>
    </row>
    <row r="13277" spans="1:44" ht="30">
      <c r="A13277" s="4" t="s">
        <v>10753</v>
      </c>
      <c r="B13277" s="4">
        <v>241045</v>
      </c>
      <c r="D13277" s="5" t="s">
        <v>15948</v>
      </c>
      <c r="E13277" s="6" t="str">
        <f>HYPERLINK("https://inpn.mnhn.fr/espece/cd_nom/241045","Potamocypris variegata (Brady &amp; Norman, 1889)")</f>
        <v>Potamocypris variegata (Brady &amp; Norman, 1889)</v>
      </c>
      <c r="Q13277" s="7" t="str">
        <f>HYPERLINK("#Liste_rouge!A"&amp;_xlfn.XMATCH("LC",Liste_rouge!A:A,2,1),"LC")</f>
        <v>LC</v>
      </c>
      <c r="AH13277" s="4" t="str">
        <f>HYPERLINK("#Statut_biogéographique!A"&amp;_xlfn.XMATCH("P",Statut_biogéographique!A:A,2,1),"P")</f>
        <v>P</v>
      </c>
      <c r="AP13277" s="4" t="s">
        <v>376</v>
      </c>
      <c r="AR13277" s="4" t="s">
        <v>377</v>
      </c>
    </row>
    <row r="13278" spans="1:44">
      <c r="A13278" s="4" t="s">
        <v>10753</v>
      </c>
      <c r="B13278" s="4">
        <v>241051</v>
      </c>
      <c r="D13278" s="5" t="s">
        <v>15949</v>
      </c>
      <c r="E13278" s="6" t="str">
        <f>HYPERLINK("https://inpn.mnhn.fr/espece/cd_nom/241051","Isocypris beauchampi (Paris, 1920)")</f>
        <v>Isocypris beauchampi (Paris, 1920)</v>
      </c>
      <c r="Q13278" s="7" t="str">
        <f>HYPERLINK("#Liste_rouge!A"&amp;_xlfn.XMATCH("LC",Liste_rouge!A:A,2,1),"LC")</f>
        <v>LC</v>
      </c>
      <c r="AH13278" s="4" t="str">
        <f>HYPERLINK("#Statut_biogéographique!A"&amp;_xlfn.XMATCH("P",Statut_biogéographique!A:A,2,1),"P")</f>
        <v>P</v>
      </c>
      <c r="AP13278" s="4" t="s">
        <v>376</v>
      </c>
      <c r="AR13278" s="4" t="s">
        <v>377</v>
      </c>
    </row>
    <row r="13279" spans="1:44">
      <c r="A13279" s="4" t="s">
        <v>10753</v>
      </c>
      <c r="B13279" s="4">
        <v>241054</v>
      </c>
      <c r="D13279" s="5" t="s">
        <v>15950</v>
      </c>
      <c r="E13279" s="6" t="str">
        <f>HYPERLINK("https://inpn.mnhn.fr/espece/cd_nom/241054","Dolerocypris fasciata (O.F. Müller, 1776)")</f>
        <v>Dolerocypris fasciata (O.F. Müller, 1776)</v>
      </c>
      <c r="Q13279" s="7" t="str">
        <f>HYPERLINK("#Liste_rouge!A"&amp;_xlfn.XMATCH("DD",Liste_rouge!A:A,2,1),"DD")</f>
        <v>DD</v>
      </c>
      <c r="AH13279" s="4" t="str">
        <f>HYPERLINK("#Statut_biogéographique!A"&amp;_xlfn.XMATCH("P",Statut_biogéographique!A:A,2,1),"P")</f>
        <v>P</v>
      </c>
      <c r="AP13279" s="4" t="s">
        <v>376</v>
      </c>
      <c r="AR13279" s="4" t="s">
        <v>377</v>
      </c>
    </row>
    <row r="13280" spans="1:44">
      <c r="A13280" s="4" t="s">
        <v>10753</v>
      </c>
      <c r="B13280" s="4">
        <v>241063</v>
      </c>
      <c r="D13280" s="5" t="s">
        <v>15951</v>
      </c>
      <c r="E13280" s="6" t="str">
        <f>HYPERLINK("https://inpn.mnhn.fr/espece/cd_nom/241063","Ilyocypris bradyi Sars, 1890")</f>
        <v>Ilyocypris bradyi Sars, 1890</v>
      </c>
      <c r="Q13280" s="7" t="str">
        <f>HYPERLINK("#Liste_rouge!A"&amp;_xlfn.XMATCH("LC",Liste_rouge!A:A,2,1),"LC")</f>
        <v>LC</v>
      </c>
      <c r="AH13280" s="4" t="str">
        <f>HYPERLINK("#Statut_biogéographique!A"&amp;_xlfn.XMATCH("P",Statut_biogéographique!A:A,2,1),"P")</f>
        <v>P</v>
      </c>
      <c r="AP13280" s="4" t="s">
        <v>376</v>
      </c>
      <c r="AR13280" s="4" t="s">
        <v>377</v>
      </c>
    </row>
    <row r="13281" spans="1:44">
      <c r="A13281" s="4" t="s">
        <v>10753</v>
      </c>
      <c r="B13281" s="4">
        <v>241072</v>
      </c>
      <c r="D13281" s="5">
        <v>241072</v>
      </c>
      <c r="E13281" s="6" t="str">
        <f>HYPERLINK("https://inpn.mnhn.fr/espece/cd_nom/241072","Metacypris cordata Brady &amp; Robertson, 1870")</f>
        <v>Metacypris cordata Brady &amp; Robertson, 1870</v>
      </c>
      <c r="Q13281" s="7" t="str">
        <f>HYPERLINK("#Liste_rouge!A"&amp;_xlfn.XMATCH("LC",Liste_rouge!A:A,2,1),"LC")</f>
        <v>LC</v>
      </c>
      <c r="AH13281" s="4" t="str">
        <f>HYPERLINK("#Statut_biogéographique!A"&amp;_xlfn.XMATCH("P",Statut_biogéographique!A:A,2,1),"P")</f>
        <v>P</v>
      </c>
      <c r="AP13281" s="4" t="s">
        <v>376</v>
      </c>
      <c r="AR13281" s="4" t="s">
        <v>377</v>
      </c>
    </row>
    <row r="13282" spans="1:44">
      <c r="A13282" s="4" t="s">
        <v>10753</v>
      </c>
      <c r="B13282" s="4">
        <v>241076</v>
      </c>
      <c r="D13282" s="5" t="s">
        <v>15952</v>
      </c>
      <c r="E13282" s="6" t="str">
        <f>HYPERLINK("https://inpn.mnhn.fr/espece/cd_nom/241076","Aphrophora salicina (Goeze, 1778)")</f>
        <v>Aphrophora salicina (Goeze, 1778)</v>
      </c>
      <c r="F13282" s="5" t="s">
        <v>15953</v>
      </c>
      <c r="AH13282" s="4" t="str">
        <f>HYPERLINK("#Statut_biogéographique!A"&amp;_xlfn.XMATCH("P",Statut_biogéographique!A:A,2,1),"P")</f>
        <v>P</v>
      </c>
      <c r="AP13282" s="4" t="s">
        <v>376</v>
      </c>
      <c r="AR13282" s="4" t="s">
        <v>377</v>
      </c>
    </row>
    <row r="13283" spans="1:44" ht="30">
      <c r="A13283" s="4" t="s">
        <v>10753</v>
      </c>
      <c r="B13283" s="4">
        <v>241077</v>
      </c>
      <c r="D13283" s="5" t="s">
        <v>15954</v>
      </c>
      <c r="E13283" s="6" t="str">
        <f>HYPERLINK("https://inpn.mnhn.fr/espece/cd_nom/241077","Lepyronia coleoptrata (Linnaeus, 1758)")</f>
        <v>Lepyronia coleoptrata (Linnaeus, 1758)</v>
      </c>
      <c r="AH13283" s="4" t="str">
        <f>HYPERLINK("#Statut_biogéographique!A"&amp;_xlfn.XMATCH("P",Statut_biogéographique!A:A,2,1),"P")</f>
        <v>P</v>
      </c>
      <c r="AP13283" s="4" t="s">
        <v>376</v>
      </c>
      <c r="AR13283" s="4" t="s">
        <v>377</v>
      </c>
    </row>
    <row r="13284" spans="1:44" ht="75">
      <c r="A13284" s="4" t="s">
        <v>10753</v>
      </c>
      <c r="B13284" s="4">
        <v>241085</v>
      </c>
      <c r="D13284" s="5" t="s">
        <v>15955</v>
      </c>
      <c r="E13284" s="6" t="str">
        <f>HYPERLINK("https://inpn.mnhn.fr/espece/cd_nom/241085","Philaenus spumarius (Linnaeus, 1758)")</f>
        <v>Philaenus spumarius (Linnaeus, 1758)</v>
      </c>
      <c r="F13284" s="5" t="s">
        <v>15956</v>
      </c>
      <c r="AH13284" s="4" t="str">
        <f>HYPERLINK("#Statut_biogéographique!A"&amp;_xlfn.XMATCH("P",Statut_biogéographique!A:A,2,1),"P")</f>
        <v>P</v>
      </c>
      <c r="AP13284" s="4" t="s">
        <v>376</v>
      </c>
      <c r="AR13284" s="4" t="s">
        <v>377</v>
      </c>
    </row>
    <row r="13285" spans="1:44">
      <c r="A13285" s="4" t="s">
        <v>10753</v>
      </c>
      <c r="B13285" s="4">
        <v>241087</v>
      </c>
      <c r="D13285" s="5">
        <v>241087</v>
      </c>
      <c r="E13285" s="6" t="str">
        <f>HYPERLINK("https://inpn.mnhn.fr/espece/cd_nom/241087","Cercopis intermedia Kirschbaum, 1868")</f>
        <v>Cercopis intermedia Kirschbaum, 1868</v>
      </c>
      <c r="AH13285" s="4" t="str">
        <f>HYPERLINK("#Statut_biogéographique!A"&amp;_xlfn.XMATCH("P",Statut_biogéographique!A:A,2,1),"P")</f>
        <v>P</v>
      </c>
      <c r="AP13285" s="4" t="s">
        <v>376</v>
      </c>
      <c r="AR13285" s="4" t="s">
        <v>377</v>
      </c>
    </row>
    <row r="13286" spans="1:44">
      <c r="A13286" s="4" t="s">
        <v>10753</v>
      </c>
      <c r="B13286" s="4">
        <v>241089</v>
      </c>
      <c r="D13286" s="5" t="s">
        <v>15957</v>
      </c>
      <c r="E13286" s="6" t="str">
        <f>HYPERLINK("https://inpn.mnhn.fr/espece/cd_nom/241089","Haematoloma dorsata (Ahrens, 1812)")</f>
        <v>Haematoloma dorsata (Ahrens, 1812)</v>
      </c>
      <c r="AH13286" s="4" t="str">
        <f>HYPERLINK("#Statut_biogéographique!A"&amp;_xlfn.XMATCH("P",Statut_biogéographique!A:A,2,1),"P")</f>
        <v>P</v>
      </c>
      <c r="AP13286" s="4" t="s">
        <v>376</v>
      </c>
      <c r="AR13286" s="4" t="s">
        <v>377</v>
      </c>
    </row>
    <row r="13287" spans="1:44">
      <c r="A13287" s="4" t="s">
        <v>10753</v>
      </c>
      <c r="B13287" s="4">
        <v>241097</v>
      </c>
      <c r="D13287" s="5" t="s">
        <v>15958</v>
      </c>
      <c r="E13287" s="6" t="str">
        <f>HYPERLINK("https://inpn.mnhn.fr/espece/cd_nom/241097","Cicadetta petryi Schumacher, 1924")</f>
        <v>Cicadetta petryi Schumacher, 1924</v>
      </c>
      <c r="F13287" s="5" t="s">
        <v>15959</v>
      </c>
      <c r="AH13287" s="4" t="str">
        <f>HYPERLINK("#Statut_biogéographique!A"&amp;_xlfn.XMATCH("P",Statut_biogéographique!A:A,2,1),"P")</f>
        <v>P</v>
      </c>
      <c r="AP13287" s="4" t="s">
        <v>376</v>
      </c>
      <c r="AR13287" s="4" t="s">
        <v>377</v>
      </c>
    </row>
    <row r="13288" spans="1:44">
      <c r="A13288" s="4" t="s">
        <v>10753</v>
      </c>
      <c r="B13288" s="4">
        <v>241107</v>
      </c>
      <c r="D13288" s="5">
        <v>241107</v>
      </c>
      <c r="E13288" s="6" t="str">
        <f>HYPERLINK("https://inpn.mnhn.fr/espece/cd_nom/241107","Stictocephala bisonia Kopp &amp; Yonke, 1977")</f>
        <v>Stictocephala bisonia Kopp &amp; Yonke, 1977</v>
      </c>
      <c r="F13288" s="5" t="s">
        <v>15960</v>
      </c>
      <c r="AH13288" s="4" t="str">
        <f>HYPERLINK("#Statut_biogéographique!A"&amp;_xlfn.XMATCH("I",Statut_biogéographique!A:A,2,1),"I")</f>
        <v>I</v>
      </c>
      <c r="AP13288" s="4" t="s">
        <v>376</v>
      </c>
      <c r="AR13288" s="4" t="s">
        <v>377</v>
      </c>
    </row>
    <row r="13289" spans="1:44">
      <c r="A13289" s="4" t="s">
        <v>10753</v>
      </c>
      <c r="B13289" s="4">
        <v>241108</v>
      </c>
      <c r="D13289" s="5" t="s">
        <v>15961</v>
      </c>
      <c r="E13289" s="6" t="str">
        <f>HYPERLINK("https://inpn.mnhn.fr/espece/cd_nom/241108","Gargara genistae (Fabricius, 1775)")</f>
        <v>Gargara genistae (Fabricius, 1775)</v>
      </c>
      <c r="F13289" s="5" t="s">
        <v>15962</v>
      </c>
      <c r="AH13289" s="4" t="str">
        <f>HYPERLINK("#Statut_biogéographique!A"&amp;_xlfn.XMATCH("P",Statut_biogéographique!A:A,2,1),"P")</f>
        <v>P</v>
      </c>
      <c r="AP13289" s="4" t="s">
        <v>376</v>
      </c>
      <c r="AR13289" s="4" t="s">
        <v>377</v>
      </c>
    </row>
    <row r="13290" spans="1:44">
      <c r="A13290" s="4" t="s">
        <v>10753</v>
      </c>
      <c r="B13290" s="4">
        <v>241110</v>
      </c>
      <c r="D13290" s="5" t="s">
        <v>15963</v>
      </c>
      <c r="E13290" s="6" t="str">
        <f>HYPERLINK("https://inpn.mnhn.fr/espece/cd_nom/241110","Centrotus cornutus (Linnaeus, 1758)")</f>
        <v>Centrotus cornutus (Linnaeus, 1758)</v>
      </c>
      <c r="F13290" s="5" t="s">
        <v>15964</v>
      </c>
      <c r="AH13290" s="4" t="str">
        <f>HYPERLINK("#Statut_biogéographique!A"&amp;_xlfn.XMATCH("P",Statut_biogéographique!A:A,2,1),"P")</f>
        <v>P</v>
      </c>
      <c r="AP13290" s="4" t="s">
        <v>376</v>
      </c>
      <c r="AR13290" s="4" t="s">
        <v>377</v>
      </c>
    </row>
    <row r="13291" spans="1:44">
      <c r="A13291" s="4" t="s">
        <v>10753</v>
      </c>
      <c r="B13291" s="4">
        <v>241115</v>
      </c>
      <c r="D13291" s="5" t="s">
        <v>15965</v>
      </c>
      <c r="E13291" s="6" t="str">
        <f>HYPERLINK("https://inpn.mnhn.fr/espece/cd_nom/241115","Dictyophara europaea (Linnaeus, 1767)")</f>
        <v>Dictyophara europaea (Linnaeus, 1767)</v>
      </c>
      <c r="F13291" s="5" t="s">
        <v>15966</v>
      </c>
      <c r="AH13291" s="4" t="str">
        <f>HYPERLINK("#Statut_biogéographique!A"&amp;_xlfn.XMATCH("P",Statut_biogéographique!A:A,2,1),"P")</f>
        <v>P</v>
      </c>
      <c r="AP13291" s="4" t="s">
        <v>376</v>
      </c>
      <c r="AR13291" s="4" t="s">
        <v>377</v>
      </c>
    </row>
    <row r="13292" spans="1:44">
      <c r="A13292" s="4" t="s">
        <v>10753</v>
      </c>
      <c r="B13292" s="4">
        <v>24113</v>
      </c>
      <c r="D13292" s="5" t="s">
        <v>15967</v>
      </c>
      <c r="E13292" s="6" t="str">
        <f>HYPERLINK("https://inpn.mnhn.fr/espece/cd_nom/24113","Urophora cardui (Linnaeus, 1758)")</f>
        <v>Urophora cardui (Linnaeus, 1758)</v>
      </c>
      <c r="F13292" s="5" t="s">
        <v>15968</v>
      </c>
      <c r="AH13292" s="4" t="str">
        <f>HYPERLINK("#Statut_biogéographique!A"&amp;_xlfn.XMATCH("P",Statut_biogéographique!A:A,2,1),"P")</f>
        <v>P</v>
      </c>
      <c r="AP13292" s="4" t="s">
        <v>376</v>
      </c>
      <c r="AR13292" s="4" t="s">
        <v>377</v>
      </c>
    </row>
    <row r="13293" spans="1:44">
      <c r="A13293" s="4" t="s">
        <v>10753</v>
      </c>
      <c r="B13293" s="4">
        <v>241138</v>
      </c>
      <c r="D13293" s="5" t="s">
        <v>15969</v>
      </c>
      <c r="E13293" s="6" t="str">
        <f>HYPERLINK("https://inpn.mnhn.fr/espece/cd_nom/241138","Issus coleoptratus (Fabricius, 1781)")</f>
        <v>Issus coleoptratus (Fabricius, 1781)</v>
      </c>
      <c r="F13293" s="5" t="s">
        <v>15970</v>
      </c>
      <c r="AH13293" s="4" t="str">
        <f>HYPERLINK("#Statut_biogéographique!A"&amp;_xlfn.XMATCH("P",Statut_biogéographique!A:A,2,1),"P")</f>
        <v>P</v>
      </c>
      <c r="AP13293" s="4" t="s">
        <v>376</v>
      </c>
      <c r="AR13293" s="4" t="s">
        <v>377</v>
      </c>
    </row>
    <row r="13294" spans="1:44">
      <c r="A13294" s="4" t="s">
        <v>10753</v>
      </c>
      <c r="B13294" s="4">
        <v>241226</v>
      </c>
      <c r="D13294" s="5" t="s">
        <v>15971</v>
      </c>
      <c r="E13294" s="6" t="str">
        <f>HYPERLINK("https://inpn.mnhn.fr/espece/cd_nom/241226","Dikerogammarus villosus (Sowinsky, 1894)")</f>
        <v>Dikerogammarus villosus (Sowinsky, 1894)</v>
      </c>
      <c r="Q13294" s="7" t="str">
        <f>HYPERLINK("#Liste_rouge!A"&amp;_xlfn.XMATCH("NA",Liste_rouge!A:A,2,1),"NA")</f>
        <v>NA</v>
      </c>
      <c r="AH13294" s="4" t="str">
        <f>HYPERLINK("#Statut_biogéographique!A"&amp;_xlfn.XMATCH("I",Statut_biogéographique!A:A,2,1),"I")</f>
        <v>I</v>
      </c>
      <c r="AP13294" s="4" t="s">
        <v>376</v>
      </c>
      <c r="AR13294" s="4" t="s">
        <v>377</v>
      </c>
    </row>
    <row r="13295" spans="1:44" ht="60">
      <c r="A13295" s="4" t="s">
        <v>10753</v>
      </c>
      <c r="B13295" s="4">
        <v>241247</v>
      </c>
      <c r="D13295" s="5" t="s">
        <v>15972</v>
      </c>
      <c r="E13295" s="6" t="str">
        <f>HYPERLINK("https://inpn.mnhn.fr/espece/cd_nom/241247","Gammarus roeselii Gervais, 1835")</f>
        <v>Gammarus roeselii Gervais, 1835</v>
      </c>
      <c r="Q13295" s="7" t="str">
        <f>HYPERLINK("#Liste_rouge!A"&amp;_xlfn.XMATCH("NA",Liste_rouge!A:A,2,1),"NA")</f>
        <v>NA</v>
      </c>
      <c r="AH13295" s="4" t="str">
        <f>HYPERLINK("#Statut_biogéographique!A"&amp;_xlfn.XMATCH("I",Statut_biogéographique!A:A,2,1),"I")</f>
        <v>I</v>
      </c>
      <c r="AP13295" s="4" t="s">
        <v>376</v>
      </c>
      <c r="AR13295" s="4" t="s">
        <v>377</v>
      </c>
    </row>
    <row r="13296" spans="1:44">
      <c r="A13296" s="4" t="s">
        <v>10753</v>
      </c>
      <c r="B13296" s="4">
        <v>241265</v>
      </c>
      <c r="D13296" s="5" t="s">
        <v>15973</v>
      </c>
      <c r="E13296" s="6" t="str">
        <f>HYPERLINK("https://inpn.mnhn.fr/espece/cd_nom/241265","Coptocephala rubicunda (Laicharting, 1781)")</f>
        <v>Coptocephala rubicunda (Laicharting, 1781)</v>
      </c>
      <c r="AH13296" s="4" t="str">
        <f>HYPERLINK("#Statut_biogéographique!A"&amp;_xlfn.XMATCH("P",Statut_biogéographique!A:A,2,1),"P")</f>
        <v>P</v>
      </c>
      <c r="AP13296" s="4" t="s">
        <v>376</v>
      </c>
      <c r="AR13296" s="4" t="s">
        <v>377</v>
      </c>
    </row>
    <row r="13297" spans="1:44">
      <c r="A13297" s="4" t="s">
        <v>10753</v>
      </c>
      <c r="B13297" s="4">
        <v>241267</v>
      </c>
      <c r="D13297" s="5" t="s">
        <v>15974</v>
      </c>
      <c r="E13297" s="6" t="str">
        <f>HYPERLINK("https://inpn.mnhn.fr/espece/cd_nom/241267","Cheilotoma musciformis (Goeze, 1777)")</f>
        <v>Cheilotoma musciformis (Goeze, 1777)</v>
      </c>
      <c r="AH13297" s="4" t="str">
        <f>HYPERLINK("#Statut_biogéographique!A"&amp;_xlfn.XMATCH("P",Statut_biogéographique!A:A,2,1),"P")</f>
        <v>P</v>
      </c>
      <c r="AP13297" s="4" t="s">
        <v>376</v>
      </c>
      <c r="AR13297" s="4" t="s">
        <v>377</v>
      </c>
    </row>
    <row r="13298" spans="1:44">
      <c r="A13298" s="4" t="s">
        <v>10753</v>
      </c>
      <c r="B13298" s="4">
        <v>241271</v>
      </c>
      <c r="D13298" s="5" t="s">
        <v>15975</v>
      </c>
      <c r="E13298" s="6" t="str">
        <f>HYPERLINK("https://inpn.mnhn.fr/espece/cd_nom/241271","Smaragdina aurita (Linnaeus, 1767)")</f>
        <v>Smaragdina aurita (Linnaeus, 1767)</v>
      </c>
      <c r="AH13298" s="4" t="str">
        <f>HYPERLINK("#Statut_biogéographique!A"&amp;_xlfn.XMATCH("P",Statut_biogéographique!A:A,2,1),"P")</f>
        <v>P</v>
      </c>
      <c r="AP13298" s="4" t="s">
        <v>376</v>
      </c>
      <c r="AR13298" s="4" t="s">
        <v>377</v>
      </c>
    </row>
    <row r="13299" spans="1:44">
      <c r="A13299" s="4" t="s">
        <v>10753</v>
      </c>
      <c r="B13299" s="4">
        <v>241272</v>
      </c>
      <c r="D13299" s="5" t="s">
        <v>15976</v>
      </c>
      <c r="E13299" s="6" t="str">
        <f>HYPERLINK("https://inpn.mnhn.fr/espece/cd_nom/241272","Smaragdina concolor (Fabricius, 1792)")</f>
        <v>Smaragdina concolor (Fabricius, 1792)</v>
      </c>
      <c r="AH13299" s="4" t="str">
        <f>HYPERLINK("#Statut_biogéographique!A"&amp;_xlfn.XMATCH("P",Statut_biogéographique!A:A,2,1),"P")</f>
        <v>P</v>
      </c>
      <c r="AP13299" s="4" t="s">
        <v>376</v>
      </c>
      <c r="AR13299" s="4" t="s">
        <v>377</v>
      </c>
    </row>
    <row r="13300" spans="1:44">
      <c r="A13300" s="4" t="s">
        <v>10753</v>
      </c>
      <c r="B13300" s="4">
        <v>241275</v>
      </c>
      <c r="D13300" s="5" t="s">
        <v>15977</v>
      </c>
      <c r="E13300" s="6" t="str">
        <f>HYPERLINK("https://inpn.mnhn.fr/espece/cd_nom/241275","Smaragdina flavicollis (Charpentier, 1825)")</f>
        <v>Smaragdina flavicollis (Charpentier, 1825)</v>
      </c>
      <c r="AH13300" s="4" t="str">
        <f>HYPERLINK("#Statut_biogéographique!A"&amp;_xlfn.XMATCH("P",Statut_biogéographique!A:A,2,1),"P")</f>
        <v>P</v>
      </c>
      <c r="AP13300" s="4" t="s">
        <v>376</v>
      </c>
      <c r="AR13300" s="4" t="s">
        <v>377</v>
      </c>
    </row>
    <row r="13301" spans="1:44">
      <c r="A13301" s="4" t="s">
        <v>10753</v>
      </c>
      <c r="B13301" s="4">
        <v>241276</v>
      </c>
      <c r="D13301" s="5" t="s">
        <v>15978</v>
      </c>
      <c r="E13301" s="6" t="str">
        <f>HYPERLINK("https://inpn.mnhn.fr/espece/cd_nom/241276","Smaragdina salicina (Scopoli, 1763)")</f>
        <v>Smaragdina salicina (Scopoli, 1763)</v>
      </c>
      <c r="AH13301" s="4" t="str">
        <f>HYPERLINK("#Statut_biogéographique!A"&amp;_xlfn.XMATCH("P",Statut_biogéographique!A:A,2,1),"P")</f>
        <v>P</v>
      </c>
      <c r="AP13301" s="4" t="s">
        <v>376</v>
      </c>
      <c r="AR13301" s="4" t="s">
        <v>377</v>
      </c>
    </row>
    <row r="13302" spans="1:44">
      <c r="A13302" s="4" t="s">
        <v>10753</v>
      </c>
      <c r="B13302" s="4">
        <v>241278</v>
      </c>
      <c r="D13302" s="5" t="s">
        <v>15979</v>
      </c>
      <c r="E13302" s="6" t="str">
        <f>HYPERLINK("https://inpn.mnhn.fr/espece/cd_nom/241278","Clytra laeviuscula Ratzeburg, 1837")</f>
        <v>Clytra laeviuscula Ratzeburg, 1837</v>
      </c>
      <c r="F13302" s="5" t="s">
        <v>15980</v>
      </c>
      <c r="AH13302" s="4" t="str">
        <f>HYPERLINK("#Statut_biogéographique!A"&amp;_xlfn.XMATCH("P",Statut_biogéographique!A:A,2,1),"P")</f>
        <v>P</v>
      </c>
      <c r="AP13302" s="4" t="s">
        <v>376</v>
      </c>
      <c r="AR13302" s="4" t="s">
        <v>377</v>
      </c>
    </row>
    <row r="13303" spans="1:44" ht="30">
      <c r="A13303" s="4" t="s">
        <v>10753</v>
      </c>
      <c r="B13303" s="4">
        <v>24128</v>
      </c>
      <c r="D13303" s="5" t="s">
        <v>15981</v>
      </c>
      <c r="E13303" s="6" t="str">
        <f>HYPERLINK("https://inpn.mnhn.fr/espece/cd_nom/24128","Urophora stylata (Fabricius, 1775)")</f>
        <v>Urophora stylata (Fabricius, 1775)</v>
      </c>
      <c r="AH13303" s="4" t="str">
        <f>HYPERLINK("#Statut_biogéographique!A"&amp;_xlfn.XMATCH("P",Statut_biogéographique!A:A,2,1),"P")</f>
        <v>P</v>
      </c>
      <c r="AP13303" s="4" t="s">
        <v>376</v>
      </c>
      <c r="AR13303" s="4" t="s">
        <v>377</v>
      </c>
    </row>
    <row r="13304" spans="1:44">
      <c r="A13304" s="4" t="s">
        <v>10753</v>
      </c>
      <c r="B13304" s="4">
        <v>241305</v>
      </c>
      <c r="D13304" s="5">
        <v>241305</v>
      </c>
      <c r="E13304" s="6" t="str">
        <f>HYPERLINK("https://inpn.mnhn.fr/espece/cd_nom/241305","Cryptocephalus ocellatus Drapiez, 1819")</f>
        <v>Cryptocephalus ocellatus Drapiez, 1819</v>
      </c>
      <c r="AH13304" s="4" t="str">
        <f>HYPERLINK("#Statut_biogéographique!A"&amp;_xlfn.XMATCH("P",Statut_biogéographique!A:A,2,1),"P")</f>
        <v>P</v>
      </c>
      <c r="AP13304" s="4" t="s">
        <v>376</v>
      </c>
      <c r="AR13304" s="4" t="s">
        <v>377</v>
      </c>
    </row>
    <row r="13305" spans="1:44">
      <c r="A13305" s="4" t="s">
        <v>10753</v>
      </c>
      <c r="B13305" s="4">
        <v>241310</v>
      </c>
      <c r="D13305" s="5">
        <v>241310</v>
      </c>
      <c r="E13305" s="6" t="str">
        <f>HYPERLINK("https://inpn.mnhn.fr/espece/cd_nom/241310","Cryptocephalus punctiger Paykull, 1799")</f>
        <v>Cryptocephalus punctiger Paykull, 1799</v>
      </c>
      <c r="AH13305" s="4" t="str">
        <f>HYPERLINK("#Statut_biogéographique!A"&amp;_xlfn.XMATCH("P",Statut_biogéographique!A:A,2,1),"P")</f>
        <v>P</v>
      </c>
      <c r="AP13305" s="4" t="s">
        <v>376</v>
      </c>
      <c r="AR13305" s="4" t="s">
        <v>377</v>
      </c>
    </row>
    <row r="13306" spans="1:44">
      <c r="A13306" s="4" t="s">
        <v>10753</v>
      </c>
      <c r="B13306" s="4">
        <v>241311</v>
      </c>
      <c r="D13306" s="5">
        <v>241311</v>
      </c>
      <c r="E13306" s="6" t="str">
        <f>HYPERLINK("https://inpn.mnhn.fr/espece/cd_nom/241311","Cryptocephalus pygmaeus Fabricius, 1792")</f>
        <v>Cryptocephalus pygmaeus Fabricius, 1792</v>
      </c>
      <c r="AH13306" s="4" t="str">
        <f>HYPERLINK("#Statut_biogéographique!A"&amp;_xlfn.XMATCH("P",Statut_biogéographique!A:A,2,1),"P")</f>
        <v>P</v>
      </c>
      <c r="AP13306" s="4" t="s">
        <v>376</v>
      </c>
      <c r="AR13306" s="4" t="s">
        <v>377</v>
      </c>
    </row>
    <row r="13307" spans="1:44">
      <c r="A13307" s="4" t="s">
        <v>10753</v>
      </c>
      <c r="B13307" s="4">
        <v>241323</v>
      </c>
      <c r="D13307" s="5">
        <v>241323</v>
      </c>
      <c r="E13307" s="6" t="str">
        <f>HYPERLINK("https://inpn.mnhn.fr/espece/cd_nom/241323","Cryptocephalus bameuli Duhaldeborde, 1999")</f>
        <v>Cryptocephalus bameuli Duhaldeborde, 1999</v>
      </c>
      <c r="AH13307" s="4" t="str">
        <f>HYPERLINK("#Statut_biogéographique!A"&amp;_xlfn.XMATCH("P",Statut_biogéographique!A:A,2,1),"P")</f>
        <v>P</v>
      </c>
      <c r="AP13307" s="4" t="s">
        <v>376</v>
      </c>
      <c r="AR13307" s="4" t="s">
        <v>377</v>
      </c>
    </row>
    <row r="13308" spans="1:44">
      <c r="A13308" s="4" t="s">
        <v>10753</v>
      </c>
      <c r="B13308" s="4">
        <v>241333</v>
      </c>
      <c r="D13308" s="5">
        <v>241333</v>
      </c>
      <c r="E13308" s="6" t="str">
        <f>HYPERLINK("https://inpn.mnhn.fr/espece/cd_nom/241333","Cryptocephalus flavipes Fabricius, 1781")</f>
        <v>Cryptocephalus flavipes Fabricius, 1781</v>
      </c>
      <c r="AH13308" s="4" t="str">
        <f>HYPERLINK("#Statut_biogéographique!A"&amp;_xlfn.XMATCH("P",Statut_biogéographique!A:A,2,1),"P")</f>
        <v>P</v>
      </c>
      <c r="AP13308" s="4" t="s">
        <v>376</v>
      </c>
      <c r="AR13308" s="4" t="s">
        <v>377</v>
      </c>
    </row>
    <row r="13309" spans="1:44">
      <c r="A13309" s="4" t="s">
        <v>10753</v>
      </c>
      <c r="B13309" s="4">
        <v>241334</v>
      </c>
      <c r="D13309" s="5">
        <v>241334</v>
      </c>
      <c r="E13309" s="6" t="str">
        <f>HYPERLINK("https://inpn.mnhn.fr/espece/cd_nom/241334","Cryptocephalus frenatus Laicharting, 1781")</f>
        <v>Cryptocephalus frenatus Laicharting, 1781</v>
      </c>
      <c r="AH13309" s="4" t="str">
        <f>HYPERLINK("#Statut_biogéographique!A"&amp;_xlfn.XMATCH("P",Statut_biogéographique!A:A,2,1),"P")</f>
        <v>P</v>
      </c>
      <c r="AP13309" s="4" t="s">
        <v>376</v>
      </c>
      <c r="AR13309" s="4" t="s">
        <v>377</v>
      </c>
    </row>
    <row r="13310" spans="1:44" ht="30">
      <c r="A13310" s="4" t="s">
        <v>10753</v>
      </c>
      <c r="B13310" s="4">
        <v>241336</v>
      </c>
      <c r="D13310" s="5" t="s">
        <v>15982</v>
      </c>
      <c r="E13310" s="6" t="str">
        <f>HYPERLINK("https://inpn.mnhn.fr/espece/cd_nom/241336","Cryptocephalus hypochaeridis (Linnaeus, 1758)")</f>
        <v>Cryptocephalus hypochaeridis (Linnaeus, 1758)</v>
      </c>
      <c r="AH13310" s="4" t="str">
        <f>HYPERLINK("#Statut_biogéographique!A"&amp;_xlfn.XMATCH("P",Statut_biogéographique!A:A,2,1),"P")</f>
        <v>P</v>
      </c>
      <c r="AP13310" s="4" t="s">
        <v>376</v>
      </c>
      <c r="AR13310" s="4" t="s">
        <v>377</v>
      </c>
    </row>
    <row r="13311" spans="1:44">
      <c r="A13311" s="4" t="s">
        <v>10753</v>
      </c>
      <c r="B13311" s="4">
        <v>241340</v>
      </c>
      <c r="D13311" s="5" t="s">
        <v>15983</v>
      </c>
      <c r="E13311" s="6" t="str">
        <f>HYPERLINK("https://inpn.mnhn.fr/espece/cd_nom/241340","Cryptocephalus marginatus Fabricius, 1781")</f>
        <v>Cryptocephalus marginatus Fabricius, 1781</v>
      </c>
      <c r="F13311" s="5" t="s">
        <v>15984</v>
      </c>
      <c r="AH13311" s="4" t="str">
        <f>HYPERLINK("#Statut_biogéographique!A"&amp;_xlfn.XMATCH("P",Statut_biogéographique!A:A,2,1),"P")</f>
        <v>P</v>
      </c>
      <c r="AP13311" s="4" t="s">
        <v>376</v>
      </c>
      <c r="AR13311" s="4" t="s">
        <v>377</v>
      </c>
    </row>
    <row r="13312" spans="1:44">
      <c r="A13312" s="4" t="s">
        <v>10753</v>
      </c>
      <c r="B13312" s="4">
        <v>241341</v>
      </c>
      <c r="D13312" s="5" t="s">
        <v>15985</v>
      </c>
      <c r="E13312" s="6" t="str">
        <f>HYPERLINK("https://inpn.mnhn.fr/espece/cd_nom/241341","Cryptocephalus nitidulus Fabricius, 1787")</f>
        <v>Cryptocephalus nitidulus Fabricius, 1787</v>
      </c>
      <c r="AH13312" s="4" t="str">
        <f>HYPERLINK("#Statut_biogéographique!A"&amp;_xlfn.XMATCH("P",Statut_biogéographique!A:A,2,1),"P")</f>
        <v>P</v>
      </c>
      <c r="AP13312" s="4" t="s">
        <v>376</v>
      </c>
      <c r="AR13312" s="4" t="s">
        <v>377</v>
      </c>
    </row>
    <row r="13313" spans="1:44">
      <c r="A13313" s="4" t="s">
        <v>10753</v>
      </c>
      <c r="B13313" s="4">
        <v>241342</v>
      </c>
      <c r="D13313" s="5" t="s">
        <v>15986</v>
      </c>
      <c r="E13313" s="6" t="str">
        <f>HYPERLINK("https://inpn.mnhn.fr/espece/cd_nom/241342","Cryptocephalus nitidus (Linnaeus, 1758)")</f>
        <v>Cryptocephalus nitidus (Linnaeus, 1758)</v>
      </c>
      <c r="AH13313" s="4" t="str">
        <f>HYPERLINK("#Statut_biogéographique!A"&amp;_xlfn.XMATCH("P",Statut_biogéographique!A:A,2,1),"P")</f>
        <v>P</v>
      </c>
      <c r="AP13313" s="4" t="s">
        <v>376</v>
      </c>
      <c r="AR13313" s="4" t="s">
        <v>377</v>
      </c>
    </row>
    <row r="13314" spans="1:44">
      <c r="A13314" s="4" t="s">
        <v>10753</v>
      </c>
      <c r="B13314" s="4">
        <v>241353</v>
      </c>
      <c r="D13314" s="5" t="s">
        <v>15987</v>
      </c>
      <c r="E13314" s="6" t="str">
        <f>HYPERLINK("https://inpn.mnhn.fr/espece/cd_nom/241353","Cryptocephalus sericeus (Linnaeus, 1758)")</f>
        <v>Cryptocephalus sericeus (Linnaeus, 1758)</v>
      </c>
      <c r="AH13314" s="4" t="str">
        <f>HYPERLINK("#Statut_biogéographique!A"&amp;_xlfn.XMATCH("P",Statut_biogéographique!A:A,2,1),"P")</f>
        <v>P</v>
      </c>
      <c r="AP13314" s="4" t="s">
        <v>376</v>
      </c>
      <c r="AR13314" s="4" t="s">
        <v>377</v>
      </c>
    </row>
    <row r="13315" spans="1:44" ht="30">
      <c r="A13315" s="4" t="s">
        <v>10753</v>
      </c>
      <c r="B13315" s="4">
        <v>241354</v>
      </c>
      <c r="D13315" s="5" t="s">
        <v>15988</v>
      </c>
      <c r="E13315" s="6" t="str">
        <f>HYPERLINK("https://inpn.mnhn.fr/espece/cd_nom/241354","Cryptocephalus sexpunctatus (Linnaeus, 1758)")</f>
        <v>Cryptocephalus sexpunctatus (Linnaeus, 1758)</v>
      </c>
      <c r="F13315" s="5" t="s">
        <v>15989</v>
      </c>
      <c r="AH13315" s="4" t="str">
        <f>HYPERLINK("#Statut_biogéographique!A"&amp;_xlfn.XMATCH("P",Statut_biogéographique!A:A,2,1),"P")</f>
        <v>P</v>
      </c>
      <c r="AP13315" s="4" t="s">
        <v>376</v>
      </c>
      <c r="AR13315" s="4" t="s">
        <v>377</v>
      </c>
    </row>
    <row r="13316" spans="1:44">
      <c r="A13316" s="4" t="s">
        <v>10753</v>
      </c>
      <c r="B13316" s="4">
        <v>241356</v>
      </c>
      <c r="D13316" s="5">
        <v>241356</v>
      </c>
      <c r="E13316" s="6" t="str">
        <f>HYPERLINK("https://inpn.mnhn.fr/espece/cd_nom/241356","Cryptocephalus signatifrons Suffrian, 1847")</f>
        <v>Cryptocephalus signatifrons Suffrian, 1847</v>
      </c>
      <c r="AH13316" s="4" t="str">
        <f>HYPERLINK("#Statut_biogéographique!A"&amp;_xlfn.XMATCH("P",Statut_biogéographique!A:A,2,1),"P")</f>
        <v>P</v>
      </c>
      <c r="AP13316" s="4" t="s">
        <v>376</v>
      </c>
      <c r="AR13316" s="4" t="s">
        <v>377</v>
      </c>
    </row>
    <row r="13317" spans="1:44" ht="30">
      <c r="A13317" s="4" t="s">
        <v>10753</v>
      </c>
      <c r="B13317" s="4">
        <v>241369</v>
      </c>
      <c r="D13317" s="5">
        <v>241369</v>
      </c>
      <c r="E13317" s="6" t="str">
        <f>HYPERLINK("https://inpn.mnhn.fr/espece/cd_nom/241369","Cryptocephalus quadripunctatus Olivier, 1808")</f>
        <v>Cryptocephalus quadripunctatus Olivier, 1808</v>
      </c>
      <c r="AH13317" s="4" t="str">
        <f>HYPERLINK("#Statut_biogéographique!A"&amp;_xlfn.XMATCH("P",Statut_biogéographique!A:A,2,1),"P")</f>
        <v>P</v>
      </c>
      <c r="AP13317" s="4" t="s">
        <v>376</v>
      </c>
      <c r="AR13317" s="4" t="s">
        <v>377</v>
      </c>
    </row>
    <row r="13318" spans="1:44">
      <c r="A13318" s="4" t="s">
        <v>10753</v>
      </c>
      <c r="B13318" s="4">
        <v>24138</v>
      </c>
      <c r="D13318" s="5" t="s">
        <v>15990</v>
      </c>
      <c r="E13318" s="6" t="str">
        <f>HYPERLINK("https://inpn.mnhn.fr/espece/cd_nom/24138","Acidia cognata (Wiedemann, 1817)")</f>
        <v>Acidia cognata (Wiedemann, 1817)</v>
      </c>
      <c r="AH13318" s="4" t="str">
        <f>HYPERLINK("#Statut_biogéographique!A"&amp;_xlfn.XMATCH("P",Statut_biogéographique!A:A,2,1),"P")</f>
        <v>P</v>
      </c>
      <c r="AP13318" s="4" t="s">
        <v>376</v>
      </c>
      <c r="AR13318" s="4" t="s">
        <v>377</v>
      </c>
    </row>
    <row r="13319" spans="1:44">
      <c r="A13319" s="4" t="s">
        <v>10753</v>
      </c>
      <c r="B13319" s="4">
        <v>241382</v>
      </c>
      <c r="D13319" s="5" t="s">
        <v>15991</v>
      </c>
      <c r="E13319" s="6" t="str">
        <f>HYPERLINK("https://inpn.mnhn.fr/espece/cd_nom/241382","Pachybrachis picus Weise, 1882")</f>
        <v>Pachybrachis picus Weise, 1882</v>
      </c>
      <c r="AH13319" s="4" t="str">
        <f>HYPERLINK("#Statut_biogéographique!A"&amp;_xlfn.XMATCH("P",Statut_biogéographique!A:A,2,1),"P")</f>
        <v>P</v>
      </c>
      <c r="AP13319" s="4" t="s">
        <v>376</v>
      </c>
      <c r="AR13319" s="4" t="s">
        <v>377</v>
      </c>
    </row>
    <row r="13320" spans="1:44">
      <c r="A13320" s="4" t="s">
        <v>10753</v>
      </c>
      <c r="B13320" s="4">
        <v>241388</v>
      </c>
      <c r="D13320" s="5" t="s">
        <v>15992</v>
      </c>
      <c r="E13320" s="6" t="str">
        <f>HYPERLINK("https://inpn.mnhn.fr/espece/cd_nom/241388","Pachybrachis sinuatus Mulsant &amp; Rey, 1859")</f>
        <v>Pachybrachis sinuatus Mulsant &amp; Rey, 1859</v>
      </c>
      <c r="AH13320" s="4" t="str">
        <f>HYPERLINK("#Statut_biogéographique!A"&amp;_xlfn.XMATCH("P",Statut_biogéographique!A:A,2,1),"P")</f>
        <v>P</v>
      </c>
      <c r="AP13320" s="4" t="s">
        <v>376</v>
      </c>
      <c r="AR13320" s="4" t="s">
        <v>377</v>
      </c>
    </row>
    <row r="13321" spans="1:44" ht="30">
      <c r="A13321" s="4" t="s">
        <v>10753</v>
      </c>
      <c r="B13321" s="4">
        <v>241392</v>
      </c>
      <c r="D13321" s="5" t="s">
        <v>15993</v>
      </c>
      <c r="E13321" s="6" t="str">
        <f>HYPERLINK("https://inpn.mnhn.fr/espece/cd_nom/241392","Stylosomus lutetianus (Sainte-Claire Deville, 1910)")</f>
        <v>Stylosomus lutetianus (Sainte-Claire Deville, 1910)</v>
      </c>
      <c r="AH13321" s="4" t="str">
        <f>HYPERLINK("#Statut_biogéographique!A"&amp;_xlfn.XMATCH("P",Statut_biogéographique!A:A,2,1),"P")</f>
        <v>P</v>
      </c>
      <c r="AP13321" s="4" t="s">
        <v>376</v>
      </c>
      <c r="AR13321" s="4" t="s">
        <v>377</v>
      </c>
    </row>
    <row r="13322" spans="1:44">
      <c r="A13322" s="4" t="s">
        <v>10753</v>
      </c>
      <c r="B13322" s="4">
        <v>241398</v>
      </c>
      <c r="D13322" s="5" t="s">
        <v>15994</v>
      </c>
      <c r="E13322" s="6" t="str">
        <f>HYPERLINK("https://inpn.mnhn.fr/espece/cd_nom/241398","Gonioctena decemnotata (Marsham, 1802)")</f>
        <v>Gonioctena decemnotata (Marsham, 1802)</v>
      </c>
      <c r="F13322" s="5" t="s">
        <v>15995</v>
      </c>
      <c r="AH13322" s="4" t="str">
        <f>HYPERLINK("#Statut_biogéographique!A"&amp;_xlfn.XMATCH("P",Statut_biogéographique!A:A,2,1),"P")</f>
        <v>P</v>
      </c>
      <c r="AP13322" s="4" t="s">
        <v>376</v>
      </c>
      <c r="AR13322" s="4" t="s">
        <v>377</v>
      </c>
    </row>
    <row r="13323" spans="1:44">
      <c r="A13323" s="4" t="s">
        <v>10753</v>
      </c>
      <c r="B13323" s="4">
        <v>241400</v>
      </c>
      <c r="D13323" s="5" t="s">
        <v>15996</v>
      </c>
      <c r="E13323" s="6" t="str">
        <f>HYPERLINK("https://inpn.mnhn.fr/espece/cd_nom/241400","Gonioctena viminalis (Linnaeus, 1758)")</f>
        <v>Gonioctena viminalis (Linnaeus, 1758)</v>
      </c>
      <c r="F13323" s="5" t="s">
        <v>15997</v>
      </c>
      <c r="AH13323" s="4" t="str">
        <f>HYPERLINK("#Statut_biogéographique!A"&amp;_xlfn.XMATCH("P",Statut_biogéographique!A:A,2,1),"P")</f>
        <v>P</v>
      </c>
      <c r="AP13323" s="4" t="s">
        <v>376</v>
      </c>
      <c r="AR13323" s="4" t="s">
        <v>377</v>
      </c>
    </row>
    <row r="13324" spans="1:44" ht="30">
      <c r="A13324" s="4" t="s">
        <v>10753</v>
      </c>
      <c r="B13324" s="4">
        <v>241401</v>
      </c>
      <c r="D13324" s="5" t="s">
        <v>15998</v>
      </c>
      <c r="E13324" s="6" t="str">
        <f>HYPERLINK("https://inpn.mnhn.fr/espece/cd_nom/241401","Gonioctena quinquepunctata (Fabricius, 1787)")</f>
        <v>Gonioctena quinquepunctata (Fabricius, 1787)</v>
      </c>
      <c r="AH13324" s="4" t="str">
        <f>HYPERLINK("#Statut_biogéographique!A"&amp;_xlfn.XMATCH("P",Statut_biogéographique!A:A,2,1),"P")</f>
        <v>P</v>
      </c>
      <c r="AP13324" s="4" t="s">
        <v>376</v>
      </c>
      <c r="AR13324" s="4" t="s">
        <v>377</v>
      </c>
    </row>
    <row r="13325" spans="1:44">
      <c r="A13325" s="4" t="s">
        <v>10753</v>
      </c>
      <c r="B13325" s="4">
        <v>241403</v>
      </c>
      <c r="D13325" s="5" t="s">
        <v>15999</v>
      </c>
      <c r="E13325" s="6" t="str">
        <f>HYPERLINK("https://inpn.mnhn.fr/espece/cd_nom/241403","Gonioctena olivacea (Forster, 1771)")</f>
        <v>Gonioctena olivacea (Forster, 1771)</v>
      </c>
      <c r="F13325" s="5" t="s">
        <v>16000</v>
      </c>
      <c r="AH13325" s="4" t="str">
        <f>HYPERLINK("#Statut_biogéographique!A"&amp;_xlfn.XMATCH("P",Statut_biogéographique!A:A,2,1),"P")</f>
        <v>P</v>
      </c>
      <c r="AP13325" s="4" t="s">
        <v>376</v>
      </c>
      <c r="AR13325" s="4" t="s">
        <v>377</v>
      </c>
    </row>
    <row r="13326" spans="1:44">
      <c r="A13326" s="4" t="s">
        <v>10753</v>
      </c>
      <c r="B13326" s="4">
        <v>241414</v>
      </c>
      <c r="D13326" s="5" t="s">
        <v>16001</v>
      </c>
      <c r="E13326" s="6" t="str">
        <f>HYPERLINK("https://inpn.mnhn.fr/espece/cd_nom/241414","Phaedon armoraciae (Linnaeus, 1758)")</f>
        <v>Phaedon armoraciae (Linnaeus, 1758)</v>
      </c>
      <c r="AH13326" s="4" t="str">
        <f>HYPERLINK("#Statut_biogéographique!A"&amp;_xlfn.XMATCH("P",Statut_biogéographique!A:A,2,1),"P")</f>
        <v>P</v>
      </c>
      <c r="AP13326" s="4" t="s">
        <v>376</v>
      </c>
      <c r="AR13326" s="4" t="s">
        <v>377</v>
      </c>
    </row>
    <row r="13327" spans="1:44">
      <c r="A13327" s="4" t="s">
        <v>10753</v>
      </c>
      <c r="B13327" s="4">
        <v>241415</v>
      </c>
      <c r="D13327" s="5" t="s">
        <v>16002</v>
      </c>
      <c r="E13327" s="6" t="str">
        <f>HYPERLINK("https://inpn.mnhn.fr/espece/cd_nom/241415","Phaedon cochleariae (Fabricius, 1792)")</f>
        <v>Phaedon cochleariae (Fabricius, 1792)</v>
      </c>
      <c r="AH13327" s="4" t="str">
        <f>HYPERLINK("#Statut_biogéographique!A"&amp;_xlfn.XMATCH("P",Statut_biogéographique!A:A,2,1),"P")</f>
        <v>P</v>
      </c>
      <c r="AP13327" s="4" t="s">
        <v>376</v>
      </c>
      <c r="AR13327" s="4" t="s">
        <v>377</v>
      </c>
    </row>
    <row r="13328" spans="1:44">
      <c r="A13328" s="4" t="s">
        <v>10753</v>
      </c>
      <c r="B13328" s="4">
        <v>241419</v>
      </c>
      <c r="D13328" s="5" t="s">
        <v>16003</v>
      </c>
      <c r="E13328" s="6" t="str">
        <f>HYPERLINK("https://inpn.mnhn.fr/espece/cd_nom/241419","Gastrophysa polygoni (Linnaeus, 1758)")</f>
        <v>Gastrophysa polygoni (Linnaeus, 1758)</v>
      </c>
      <c r="F13328" s="5" t="s">
        <v>16004</v>
      </c>
      <c r="AH13328" s="4" t="str">
        <f>HYPERLINK("#Statut_biogéographique!A"&amp;_xlfn.XMATCH("P",Statut_biogéographique!A:A,2,1),"P")</f>
        <v>P</v>
      </c>
      <c r="AP13328" s="4" t="s">
        <v>376</v>
      </c>
      <c r="AR13328" s="4" t="s">
        <v>377</v>
      </c>
    </row>
    <row r="13329" spans="1:44">
      <c r="A13329" s="4" t="s">
        <v>10753</v>
      </c>
      <c r="B13329" s="4">
        <v>241420</v>
      </c>
      <c r="D13329" s="5" t="s">
        <v>16005</v>
      </c>
      <c r="E13329" s="6" t="str">
        <f>HYPERLINK("https://inpn.mnhn.fr/espece/cd_nom/241420","Plagiosterna aenea (Linnaeus, 1758)")</f>
        <v>Plagiosterna aenea (Linnaeus, 1758)</v>
      </c>
      <c r="F13329" s="5" t="s">
        <v>16006</v>
      </c>
      <c r="AH13329" s="4" t="str">
        <f>HYPERLINK("#Statut_biogéographique!A"&amp;_xlfn.XMATCH("P",Statut_biogéographique!A:A,2,1),"P")</f>
        <v>P</v>
      </c>
      <c r="AP13329" s="4" t="s">
        <v>376</v>
      </c>
      <c r="AR13329" s="4" t="s">
        <v>377</v>
      </c>
    </row>
    <row r="13330" spans="1:44" ht="30">
      <c r="A13330" s="4" t="s">
        <v>10753</v>
      </c>
      <c r="B13330" s="4">
        <v>241421</v>
      </c>
      <c r="D13330" s="5" t="s">
        <v>16007</v>
      </c>
      <c r="E13330" s="6" t="str">
        <f>HYPERLINK("https://inpn.mnhn.fr/espece/cd_nom/241421","Chrysomela populi Linnaeus, 1758")</f>
        <v>Chrysomela populi Linnaeus, 1758</v>
      </c>
      <c r="F13330" s="5" t="s">
        <v>16008</v>
      </c>
      <c r="AH13330" s="4" t="str">
        <f>HYPERLINK("#Statut_biogéographique!A"&amp;_xlfn.XMATCH("P",Statut_biogéographique!A:A,2,1),"P")</f>
        <v>P</v>
      </c>
      <c r="AP13330" s="4" t="s">
        <v>376</v>
      </c>
      <c r="AR13330" s="4" t="s">
        <v>377</v>
      </c>
    </row>
    <row r="13331" spans="1:44">
      <c r="A13331" s="4" t="s">
        <v>10753</v>
      </c>
      <c r="B13331" s="4">
        <v>241427</v>
      </c>
      <c r="D13331" s="5" t="s">
        <v>16009</v>
      </c>
      <c r="E13331" s="6" t="str">
        <f>HYPERLINK("https://inpn.mnhn.fr/espece/cd_nom/241427","Chrysomela vigintipunctata (Scopoli, 1763)")</f>
        <v>Chrysomela vigintipunctata (Scopoli, 1763)</v>
      </c>
      <c r="AH13331" s="4" t="str">
        <f>HYPERLINK("#Statut_biogéographique!A"&amp;_xlfn.XMATCH("P",Statut_biogéographique!A:A,2,1),"P")</f>
        <v>P</v>
      </c>
      <c r="AP13331" s="4" t="s">
        <v>376</v>
      </c>
      <c r="AR13331" s="4" t="s">
        <v>377</v>
      </c>
    </row>
    <row r="13332" spans="1:44">
      <c r="A13332" s="4" t="s">
        <v>10753</v>
      </c>
      <c r="B13332" s="4">
        <v>241429</v>
      </c>
      <c r="D13332" s="5" t="s">
        <v>16010</v>
      </c>
      <c r="E13332" s="6" t="str">
        <f>HYPERLINK("https://inpn.mnhn.fr/espece/cd_nom/241429","Phratora vulgatissima (Linnaeus, 1758)")</f>
        <v>Phratora vulgatissima (Linnaeus, 1758)</v>
      </c>
      <c r="AH13332" s="4" t="str">
        <f>HYPERLINK("#Statut_biogéographique!A"&amp;_xlfn.XMATCH("P",Statut_biogéographique!A:A,2,1),"P")</f>
        <v>P</v>
      </c>
      <c r="AP13332" s="4" t="s">
        <v>376</v>
      </c>
      <c r="AR13332" s="4" t="s">
        <v>377</v>
      </c>
    </row>
    <row r="13333" spans="1:44">
      <c r="A13333" s="4" t="s">
        <v>10753</v>
      </c>
      <c r="B13333" s="4">
        <v>241430</v>
      </c>
      <c r="D13333" s="5" t="s">
        <v>16011</v>
      </c>
      <c r="E13333" s="6" t="str">
        <f>HYPERLINK("https://inpn.mnhn.fr/espece/cd_nom/241430","Phratora laticollis (Suffrian, 1851)")</f>
        <v>Phratora laticollis (Suffrian, 1851)</v>
      </c>
      <c r="AH13333" s="4" t="str">
        <f>HYPERLINK("#Statut_biogéographique!A"&amp;_xlfn.XMATCH("P",Statut_biogéographique!A:A,2,1),"P")</f>
        <v>P</v>
      </c>
      <c r="AP13333" s="4" t="s">
        <v>376</v>
      </c>
      <c r="AR13333" s="4" t="s">
        <v>377</v>
      </c>
    </row>
    <row r="13334" spans="1:44">
      <c r="A13334" s="4" t="s">
        <v>10753</v>
      </c>
      <c r="B13334" s="4">
        <v>241431</v>
      </c>
      <c r="D13334" s="5" t="s">
        <v>16012</v>
      </c>
      <c r="E13334" s="6" t="str">
        <f>HYPERLINK("https://inpn.mnhn.fr/espece/cd_nom/241431","Phratora tibialis (Suffrian, 1851)")</f>
        <v>Phratora tibialis (Suffrian, 1851)</v>
      </c>
      <c r="AH13334" s="4" t="str">
        <f>HYPERLINK("#Statut_biogéographique!A"&amp;_xlfn.XMATCH("P",Statut_biogéographique!A:A,2,1),"P")</f>
        <v>P</v>
      </c>
      <c r="AP13334" s="4" t="s">
        <v>376</v>
      </c>
      <c r="AR13334" s="4" t="s">
        <v>377</v>
      </c>
    </row>
    <row r="13335" spans="1:44">
      <c r="A13335" s="4" t="s">
        <v>10753</v>
      </c>
      <c r="B13335" s="4">
        <v>241432</v>
      </c>
      <c r="D13335" s="5" t="s">
        <v>16013</v>
      </c>
      <c r="E13335" s="6" t="str">
        <f>HYPERLINK("https://inpn.mnhn.fr/espece/cd_nom/241432","Phratora vitellinae (Linnaeus, 1758)")</f>
        <v>Phratora vitellinae (Linnaeus, 1758)</v>
      </c>
      <c r="AH13335" s="4" t="str">
        <f>HYPERLINK("#Statut_biogéographique!A"&amp;_xlfn.XMATCH("P",Statut_biogéographique!A:A,2,1),"P")</f>
        <v>P</v>
      </c>
      <c r="AP13335" s="4" t="s">
        <v>376</v>
      </c>
      <c r="AR13335" s="4" t="s">
        <v>377</v>
      </c>
    </row>
    <row r="13336" spans="1:44">
      <c r="A13336" s="4" t="s">
        <v>10753</v>
      </c>
      <c r="B13336" s="4">
        <v>241439</v>
      </c>
      <c r="D13336" s="5" t="s">
        <v>16014</v>
      </c>
      <c r="E13336" s="6" t="str">
        <f>HYPERLINK("https://inpn.mnhn.fr/espece/cd_nom/241439","Oreina speciosa (Linnaeus, 1767)")</f>
        <v>Oreina speciosa (Linnaeus, 1767)</v>
      </c>
      <c r="AH13336" s="4" t="str">
        <f>HYPERLINK("#Statut_biogéographique!A"&amp;_xlfn.XMATCH("P",Statut_biogéographique!A:A,2,1),"P")</f>
        <v>P</v>
      </c>
      <c r="AP13336" s="4" t="s">
        <v>376</v>
      </c>
      <c r="AR13336" s="4" t="s">
        <v>377</v>
      </c>
    </row>
    <row r="13337" spans="1:44">
      <c r="A13337" s="4" t="s">
        <v>10753</v>
      </c>
      <c r="B13337" s="4">
        <v>241441</v>
      </c>
      <c r="D13337" s="5" t="s">
        <v>16015</v>
      </c>
      <c r="E13337" s="6" t="str">
        <f>HYPERLINK("https://inpn.mnhn.fr/espece/cd_nom/241441","Oreina caerulea (Olivier, 1790)")</f>
        <v>Oreina caerulea (Olivier, 1790)</v>
      </c>
      <c r="AH13337" s="4" t="str">
        <f>HYPERLINK("#Statut_biogéographique!A"&amp;_xlfn.XMATCH("P",Statut_biogéographique!A:A,2,1),"P")</f>
        <v>P</v>
      </c>
      <c r="AP13337" s="4" t="s">
        <v>376</v>
      </c>
      <c r="AR13337" s="4" t="s">
        <v>377</v>
      </c>
    </row>
    <row r="13338" spans="1:44">
      <c r="A13338" s="4" t="s">
        <v>10753</v>
      </c>
      <c r="B13338" s="4">
        <v>241453</v>
      </c>
      <c r="D13338" s="5" t="s">
        <v>16016</v>
      </c>
      <c r="E13338" s="6" t="str">
        <f>HYPERLINK("https://inpn.mnhn.fr/espece/cd_nom/241453","Chrysolina bankii (Fabricius, 1775)")</f>
        <v>Chrysolina bankii (Fabricius, 1775)</v>
      </c>
      <c r="AH13338" s="4" t="str">
        <f>HYPERLINK("#Statut_biogéographique!A"&amp;_xlfn.XMATCH("P",Statut_biogéographique!A:A,2,1),"P")</f>
        <v>P</v>
      </c>
      <c r="AP13338" s="4" t="s">
        <v>376</v>
      </c>
      <c r="AR13338" s="4" t="s">
        <v>377</v>
      </c>
    </row>
    <row r="13339" spans="1:44">
      <c r="A13339" s="4" t="s">
        <v>10753</v>
      </c>
      <c r="B13339" s="4">
        <v>241455</v>
      </c>
      <c r="D13339" s="5" t="s">
        <v>16017</v>
      </c>
      <c r="E13339" s="6" t="str">
        <f>HYPERLINK("https://inpn.mnhn.fr/espece/cd_nom/241455","Chrysolina fuliginosa (Olivier, 1807)")</f>
        <v>Chrysolina fuliginosa (Olivier, 1807)</v>
      </c>
      <c r="AH13339" s="4" t="str">
        <f>HYPERLINK("#Statut_biogéographique!A"&amp;_xlfn.XMATCH("P",Statut_biogéographique!A:A,2,1),"P")</f>
        <v>P</v>
      </c>
      <c r="AP13339" s="4" t="s">
        <v>376</v>
      </c>
      <c r="AR13339" s="4" t="s">
        <v>377</v>
      </c>
    </row>
    <row r="13340" spans="1:44">
      <c r="A13340" s="4" t="s">
        <v>10753</v>
      </c>
      <c r="B13340" s="4">
        <v>241462</v>
      </c>
      <c r="D13340" s="5" t="s">
        <v>16018</v>
      </c>
      <c r="E13340" s="6" t="str">
        <f>HYPERLINK("https://inpn.mnhn.fr/espece/cd_nom/241462","Chrysolina cerealis (Linnaeus, 1767)")</f>
        <v>Chrysolina cerealis (Linnaeus, 1767)</v>
      </c>
      <c r="AH13340" s="4" t="str">
        <f>HYPERLINK("#Statut_biogéographique!A"&amp;_xlfn.XMATCH("P",Statut_biogéographique!A:A,2,1),"P")</f>
        <v>P</v>
      </c>
      <c r="AP13340" s="4" t="s">
        <v>376</v>
      </c>
      <c r="AR13340" s="4" t="s">
        <v>377</v>
      </c>
    </row>
    <row r="13341" spans="1:44">
      <c r="A13341" s="4" t="s">
        <v>10753</v>
      </c>
      <c r="B13341" s="4">
        <v>241463</v>
      </c>
      <c r="D13341" s="5" t="s">
        <v>16019</v>
      </c>
      <c r="E13341" s="6" t="str">
        <f>HYPERLINK("https://inpn.mnhn.fr/espece/cd_nom/241463","Chrysolina haemoptera (Linnaeus, 1758)")</f>
        <v>Chrysolina haemoptera (Linnaeus, 1758)</v>
      </c>
      <c r="F13341" s="5" t="s">
        <v>16020</v>
      </c>
      <c r="AH13341" s="4" t="str">
        <f>HYPERLINK("#Statut_biogéographique!A"&amp;_xlfn.XMATCH("P",Statut_biogéographique!A:A,2,1),"P")</f>
        <v>P</v>
      </c>
      <c r="AP13341" s="4" t="s">
        <v>376</v>
      </c>
      <c r="AR13341" s="4" t="s">
        <v>377</v>
      </c>
    </row>
    <row r="13342" spans="1:44">
      <c r="A13342" s="4" t="s">
        <v>10753</v>
      </c>
      <c r="B13342" s="4">
        <v>241469</v>
      </c>
      <c r="D13342" s="5" t="s">
        <v>16021</v>
      </c>
      <c r="E13342" s="6" t="str">
        <f>HYPERLINK("https://inpn.mnhn.fr/espece/cd_nom/241469","Chrysolina polita (Linnaeus, 1758)")</f>
        <v>Chrysolina polita (Linnaeus, 1758)</v>
      </c>
      <c r="F13342" s="5" t="s">
        <v>16022</v>
      </c>
      <c r="AH13342" s="4" t="str">
        <f>HYPERLINK("#Statut_biogéographique!A"&amp;_xlfn.XMATCH("P",Statut_biogéographique!A:A,2,1),"P")</f>
        <v>P</v>
      </c>
      <c r="AP13342" s="4" t="s">
        <v>376</v>
      </c>
      <c r="AR13342" s="4" t="s">
        <v>377</v>
      </c>
    </row>
    <row r="13343" spans="1:44">
      <c r="A13343" s="4" t="s">
        <v>10753</v>
      </c>
      <c r="B13343" s="4">
        <v>241471</v>
      </c>
      <c r="D13343" s="5" t="s">
        <v>16023</v>
      </c>
      <c r="E13343" s="6" t="str">
        <f>HYPERLINK("https://inpn.mnhn.fr/espece/cd_nom/241471","Chrysolina fastuosa (Scopoli, 1763)")</f>
        <v>Chrysolina fastuosa (Scopoli, 1763)</v>
      </c>
      <c r="AH13343" s="4" t="str">
        <f>HYPERLINK("#Statut_biogéographique!A"&amp;_xlfn.XMATCH("P",Statut_biogéographique!A:A,2,1),"P")</f>
        <v>P</v>
      </c>
      <c r="AP13343" s="4" t="s">
        <v>376</v>
      </c>
      <c r="AR13343" s="4" t="s">
        <v>377</v>
      </c>
    </row>
    <row r="13344" spans="1:44">
      <c r="A13344" s="4" t="s">
        <v>10753</v>
      </c>
      <c r="B13344" s="4">
        <v>241474</v>
      </c>
      <c r="D13344" s="5" t="s">
        <v>16024</v>
      </c>
      <c r="E13344" s="6" t="str">
        <f>HYPERLINK("https://inpn.mnhn.fr/espece/cd_nom/241474","Chrysolina geminata (Paykull, 1799)")</f>
        <v>Chrysolina geminata (Paykull, 1799)</v>
      </c>
      <c r="AH13344" s="4" t="str">
        <f>HYPERLINK("#Statut_biogéographique!A"&amp;_xlfn.XMATCH("P",Statut_biogéographique!A:A,2,1),"P")</f>
        <v>P</v>
      </c>
      <c r="AP13344" s="4" t="s">
        <v>376</v>
      </c>
      <c r="AR13344" s="4" t="s">
        <v>377</v>
      </c>
    </row>
    <row r="13345" spans="1:44">
      <c r="A13345" s="4" t="s">
        <v>10753</v>
      </c>
      <c r="B13345" s="4">
        <v>241475</v>
      </c>
      <c r="D13345" s="5" t="s">
        <v>16025</v>
      </c>
      <c r="E13345" s="6" t="str">
        <f>HYPERLINK("https://inpn.mnhn.fr/espece/cd_nom/241475","Chrysolina hyperici (Forster, 1771)")</f>
        <v>Chrysolina hyperici (Forster, 1771)</v>
      </c>
      <c r="F13345" s="5" t="s">
        <v>16026</v>
      </c>
      <c r="AH13345" s="4" t="str">
        <f>HYPERLINK("#Statut_biogéographique!A"&amp;_xlfn.XMATCH("P",Statut_biogéographique!A:A,2,1),"P")</f>
        <v>P</v>
      </c>
      <c r="AP13345" s="4" t="s">
        <v>376</v>
      </c>
      <c r="AR13345" s="4" t="s">
        <v>377</v>
      </c>
    </row>
    <row r="13346" spans="1:44">
      <c r="A13346" s="4" t="s">
        <v>10753</v>
      </c>
      <c r="B13346" s="4">
        <v>241476</v>
      </c>
      <c r="D13346" s="5" t="s">
        <v>16027</v>
      </c>
      <c r="E13346" s="6" t="str">
        <f>HYPERLINK("https://inpn.mnhn.fr/espece/cd_nom/241476","Chrysolina quadrigemina (Suffrian, 1851)")</f>
        <v>Chrysolina quadrigemina (Suffrian, 1851)</v>
      </c>
      <c r="AH13346" s="4" t="str">
        <f>HYPERLINK("#Statut_biogéographique!A"&amp;_xlfn.XMATCH("P",Statut_biogéographique!A:A,2,1),"P")</f>
        <v>P</v>
      </c>
      <c r="AP13346" s="4" t="s">
        <v>376</v>
      </c>
      <c r="AR13346" s="4" t="s">
        <v>377</v>
      </c>
    </row>
    <row r="13347" spans="1:44">
      <c r="A13347" s="4" t="s">
        <v>10753</v>
      </c>
      <c r="B13347" s="4">
        <v>241481</v>
      </c>
      <c r="D13347" s="5" t="s">
        <v>16028</v>
      </c>
      <c r="E13347" s="6" t="str">
        <f>HYPERLINK("https://inpn.mnhn.fr/espece/cd_nom/241481","Chrysolina grossa (Fabricius, 1792)")</f>
        <v>Chrysolina grossa (Fabricius, 1792)</v>
      </c>
      <c r="AH13347" s="4" t="str">
        <f>HYPERLINK("#Statut_biogéographique!A"&amp;_xlfn.XMATCH("P",Statut_biogéographique!A:A,2,1),"P")</f>
        <v>P</v>
      </c>
      <c r="AP13347" s="4" t="s">
        <v>376</v>
      </c>
      <c r="AR13347" s="4" t="s">
        <v>377</v>
      </c>
    </row>
    <row r="13348" spans="1:44">
      <c r="A13348" s="4" t="s">
        <v>10753</v>
      </c>
      <c r="B13348" s="4">
        <v>241482</v>
      </c>
      <c r="D13348" s="5" t="s">
        <v>16029</v>
      </c>
      <c r="E13348" s="6" t="str">
        <f>HYPERLINK("https://inpn.mnhn.fr/espece/cd_nom/241482","Chrysolina lucida (Olivier, 1807)")</f>
        <v>Chrysolina lucida (Olivier, 1807)</v>
      </c>
      <c r="AH13348" s="4" t="str">
        <f>HYPERLINK("#Statut_biogéographique!A"&amp;_xlfn.XMATCH("P",Statut_biogéographique!A:A,2,1),"P")</f>
        <v>P</v>
      </c>
      <c r="AP13348" s="4" t="s">
        <v>376</v>
      </c>
      <c r="AR13348" s="4" t="s">
        <v>377</v>
      </c>
    </row>
    <row r="13349" spans="1:44">
      <c r="A13349" s="4" t="s">
        <v>10753</v>
      </c>
      <c r="B13349" s="4">
        <v>241486</v>
      </c>
      <c r="D13349" s="5" t="s">
        <v>16030</v>
      </c>
      <c r="E13349" s="6" t="str">
        <f>HYPERLINK("https://inpn.mnhn.fr/espece/cd_nom/241486","Chrysolina varians (Schaller, 1783)")</f>
        <v>Chrysolina varians (Schaller, 1783)</v>
      </c>
      <c r="F13349" s="5" t="s">
        <v>16031</v>
      </c>
      <c r="AH13349" s="4" t="str">
        <f>HYPERLINK("#Statut_biogéographique!A"&amp;_xlfn.XMATCH("P",Statut_biogéographique!A:A,2,1),"P")</f>
        <v>P</v>
      </c>
      <c r="AP13349" s="4" t="s">
        <v>376</v>
      </c>
      <c r="AR13349" s="4" t="s">
        <v>377</v>
      </c>
    </row>
    <row r="13350" spans="1:44">
      <c r="A13350" s="4" t="s">
        <v>10753</v>
      </c>
      <c r="B13350" s="4">
        <v>241487</v>
      </c>
      <c r="D13350" s="5" t="s">
        <v>16032</v>
      </c>
      <c r="E13350" s="6" t="str">
        <f>HYPERLINK("https://inpn.mnhn.fr/espece/cd_nom/241487","Chrysolina gypsophilae (Küster, 1845)")</f>
        <v>Chrysolina gypsophilae (Küster, 1845)</v>
      </c>
      <c r="AH13350" s="4" t="str">
        <f>HYPERLINK("#Statut_biogéographique!A"&amp;_xlfn.XMATCH("P",Statut_biogéographique!A:A,2,1),"P")</f>
        <v>P</v>
      </c>
      <c r="AP13350" s="4" t="s">
        <v>376</v>
      </c>
      <c r="AR13350" s="4" t="s">
        <v>377</v>
      </c>
    </row>
    <row r="13351" spans="1:44">
      <c r="A13351" s="4" t="s">
        <v>10753</v>
      </c>
      <c r="B13351" s="4">
        <v>241493</v>
      </c>
      <c r="D13351" s="5" t="s">
        <v>16033</v>
      </c>
      <c r="E13351" s="6" t="str">
        <f>HYPERLINK("https://inpn.mnhn.fr/espece/cd_nom/241493","Chrysolina sanguinolenta (Linnaeus, 1758)")</f>
        <v>Chrysolina sanguinolenta (Linnaeus, 1758)</v>
      </c>
      <c r="F13351" s="5" t="s">
        <v>16034</v>
      </c>
      <c r="AH13351" s="4" t="str">
        <f>HYPERLINK("#Statut_biogéographique!A"&amp;_xlfn.XMATCH("P",Statut_biogéographique!A:A,2,1),"P")</f>
        <v>P</v>
      </c>
      <c r="AP13351" s="4" t="s">
        <v>376</v>
      </c>
      <c r="AR13351" s="4" t="s">
        <v>377</v>
      </c>
    </row>
    <row r="13352" spans="1:44">
      <c r="A13352" s="4" t="s">
        <v>10753</v>
      </c>
      <c r="B13352" s="4">
        <v>241498</v>
      </c>
      <c r="D13352" s="5" t="s">
        <v>16035</v>
      </c>
      <c r="E13352" s="6" t="str">
        <f>HYPERLINK("https://inpn.mnhn.fr/espece/cd_nom/241498","Chrysolina coerulans (L.G. Scriba, 1791)")</f>
        <v>Chrysolina coerulans (L.G. Scriba, 1791)</v>
      </c>
      <c r="AH13352" s="4" t="str">
        <f>HYPERLINK("#Statut_biogéographique!A"&amp;_xlfn.XMATCH("P",Statut_biogéographique!A:A,2,1),"P")</f>
        <v>P</v>
      </c>
      <c r="AP13352" s="4" t="s">
        <v>376</v>
      </c>
      <c r="AR13352" s="4" t="s">
        <v>377</v>
      </c>
    </row>
    <row r="13353" spans="1:44">
      <c r="A13353" s="4" t="s">
        <v>10753</v>
      </c>
      <c r="B13353" s="4">
        <v>241499</v>
      </c>
      <c r="D13353" s="5" t="s">
        <v>16036</v>
      </c>
      <c r="E13353" s="6" t="str">
        <f>HYPERLINK("https://inpn.mnhn.fr/espece/cd_nom/241499","Chrysolina herbacea (Duftschmid, 1825)")</f>
        <v>Chrysolina herbacea (Duftschmid, 1825)</v>
      </c>
      <c r="F13353" s="5" t="s">
        <v>16037</v>
      </c>
      <c r="AH13353" s="4" t="str">
        <f>HYPERLINK("#Statut_biogéographique!A"&amp;_xlfn.XMATCH("P",Statut_biogéographique!A:A,2,1),"P")</f>
        <v>P</v>
      </c>
      <c r="AP13353" s="4" t="s">
        <v>376</v>
      </c>
      <c r="AR13353" s="4" t="s">
        <v>377</v>
      </c>
    </row>
    <row r="13354" spans="1:44">
      <c r="A13354" s="4" t="s">
        <v>10753</v>
      </c>
      <c r="B13354" s="4">
        <v>241502</v>
      </c>
      <c r="D13354" s="5" t="s">
        <v>16038</v>
      </c>
      <c r="E13354" s="6" t="str">
        <f>HYPERLINK("https://inpn.mnhn.fr/espece/cd_nom/241502","Chrysolina americana (Linnaeus, 1758)")</f>
        <v>Chrysolina americana (Linnaeus, 1758)</v>
      </c>
      <c r="F13354" s="5" t="s">
        <v>16039</v>
      </c>
      <c r="AH13354" s="4" t="str">
        <f>HYPERLINK("#Statut_biogéographique!A"&amp;_xlfn.XMATCH("P",Statut_biogéographique!A:A,2,1),"P")</f>
        <v>P</v>
      </c>
      <c r="AP13354" s="4" t="s">
        <v>376</v>
      </c>
      <c r="AR13354" s="4" t="s">
        <v>377</v>
      </c>
    </row>
    <row r="13355" spans="1:44">
      <c r="A13355" s="4" t="s">
        <v>10753</v>
      </c>
      <c r="B13355" s="4">
        <v>241519</v>
      </c>
      <c r="D13355" s="5" t="s">
        <v>16040</v>
      </c>
      <c r="E13355" s="6" t="str">
        <f>HYPERLINK("https://inpn.mnhn.fr/espece/cd_nom/241519","Xanthogaleruca luteola (Müller, 1766)")</f>
        <v>Xanthogaleruca luteola (Müller, 1766)</v>
      </c>
      <c r="F13355" s="5" t="s">
        <v>16041</v>
      </c>
      <c r="AH13355" s="4" t="str">
        <f>HYPERLINK("#Statut_biogéographique!A"&amp;_xlfn.XMATCH("P",Statut_biogéographique!A:A,2,1),"P")</f>
        <v>P</v>
      </c>
      <c r="AP13355" s="4" t="s">
        <v>376</v>
      </c>
      <c r="AR13355" s="4" t="s">
        <v>377</v>
      </c>
    </row>
    <row r="13356" spans="1:44">
      <c r="A13356" s="4" t="s">
        <v>10753</v>
      </c>
      <c r="B13356" s="4">
        <v>241520</v>
      </c>
      <c r="D13356" s="5" t="s">
        <v>16042</v>
      </c>
      <c r="E13356" s="6" t="str">
        <f>HYPERLINK("https://inpn.mnhn.fr/espece/cd_nom/241520","Pyrrhalta viburni (Paykull, 1799)")</f>
        <v>Pyrrhalta viburni (Paykull, 1799)</v>
      </c>
      <c r="AH13356" s="4" t="str">
        <f>HYPERLINK("#Statut_biogéographique!A"&amp;_xlfn.XMATCH("P",Statut_biogéographique!A:A,2,1),"P")</f>
        <v>P</v>
      </c>
      <c r="AP13356" s="4" t="s">
        <v>376</v>
      </c>
      <c r="AR13356" s="4" t="s">
        <v>377</v>
      </c>
    </row>
    <row r="13357" spans="1:44">
      <c r="A13357" s="4" t="s">
        <v>10753</v>
      </c>
      <c r="B13357" s="4">
        <v>241522</v>
      </c>
      <c r="D13357" s="5" t="s">
        <v>16043</v>
      </c>
      <c r="E13357" s="6" t="str">
        <f>HYPERLINK("https://inpn.mnhn.fr/espece/cd_nom/241522","Lochmaea suturalis (Thomson, 1866)")</f>
        <v>Lochmaea suturalis (Thomson, 1866)</v>
      </c>
      <c r="AH13357" s="4" t="str">
        <f>HYPERLINK("#Statut_biogéographique!A"&amp;_xlfn.XMATCH("P",Statut_biogéographique!A:A,2,1),"P")</f>
        <v>P</v>
      </c>
      <c r="AP13357" s="4" t="s">
        <v>376</v>
      </c>
      <c r="AR13357" s="4" t="s">
        <v>377</v>
      </c>
    </row>
    <row r="13358" spans="1:44">
      <c r="A13358" s="4" t="s">
        <v>10753</v>
      </c>
      <c r="B13358" s="4">
        <v>241523</v>
      </c>
      <c r="D13358" s="5" t="s">
        <v>16044</v>
      </c>
      <c r="E13358" s="6" t="str">
        <f>HYPERLINK("https://inpn.mnhn.fr/espece/cd_nom/241523","Galerucella pusilla (Duftschmid, 1825)")</f>
        <v>Galerucella pusilla (Duftschmid, 1825)</v>
      </c>
      <c r="AH13358" s="4" t="str">
        <f>HYPERLINK("#Statut_biogéographique!A"&amp;_xlfn.XMATCH("P",Statut_biogéographique!A:A,2,1),"P")</f>
        <v>P</v>
      </c>
      <c r="AP13358" s="4" t="s">
        <v>376</v>
      </c>
      <c r="AR13358" s="4" t="s">
        <v>377</v>
      </c>
    </row>
    <row r="13359" spans="1:44" ht="30">
      <c r="A13359" s="4" t="s">
        <v>10753</v>
      </c>
      <c r="B13359" s="4">
        <v>241533</v>
      </c>
      <c r="D13359" s="5" t="s">
        <v>16045</v>
      </c>
      <c r="E13359" s="6" t="str">
        <f>HYPERLINK("https://inpn.mnhn.fr/espece/cd_nom/241533","Galeruca tanaceti (Linnaeus, 1758)")</f>
        <v>Galeruca tanaceti (Linnaeus, 1758)</v>
      </c>
      <c r="F13359" s="5" t="s">
        <v>16046</v>
      </c>
      <c r="AH13359" s="4" t="str">
        <f>HYPERLINK("#Statut_biogéographique!A"&amp;_xlfn.XMATCH("P",Statut_biogéographique!A:A,2,1),"P")</f>
        <v>P</v>
      </c>
      <c r="AP13359" s="4" t="s">
        <v>376</v>
      </c>
      <c r="AR13359" s="4" t="s">
        <v>377</v>
      </c>
    </row>
    <row r="13360" spans="1:44">
      <c r="A13360" s="4" t="s">
        <v>10753</v>
      </c>
      <c r="B13360" s="4">
        <v>241544</v>
      </c>
      <c r="D13360" s="5" t="s">
        <v>16047</v>
      </c>
      <c r="E13360" s="6" t="str">
        <f>HYPERLINK("https://inpn.mnhn.fr/espece/cd_nom/241544","Luperus flavipes (Linnaeus, 1767)")</f>
        <v>Luperus flavipes (Linnaeus, 1767)</v>
      </c>
      <c r="AH13360" s="4" t="str">
        <f>HYPERLINK("#Statut_biogéographique!A"&amp;_xlfn.XMATCH("P",Statut_biogéographique!A:A,2,1),"P")</f>
        <v>P</v>
      </c>
      <c r="AP13360" s="4" t="s">
        <v>376</v>
      </c>
      <c r="AR13360" s="4" t="s">
        <v>377</v>
      </c>
    </row>
    <row r="13361" spans="1:44">
      <c r="A13361" s="4" t="s">
        <v>10753</v>
      </c>
      <c r="B13361" s="4">
        <v>241545</v>
      </c>
      <c r="D13361" s="5" t="s">
        <v>16048</v>
      </c>
      <c r="E13361" s="6" t="str">
        <f>HYPERLINK("https://inpn.mnhn.fr/espece/cd_nom/241545","Luperus longicornis (Fabricius, 1781)")</f>
        <v>Luperus longicornis (Fabricius, 1781)</v>
      </c>
      <c r="AH13361" s="4" t="str">
        <f>HYPERLINK("#Statut_biogéographique!A"&amp;_xlfn.XMATCH("P",Statut_biogéographique!A:A,2,1),"P")</f>
        <v>P</v>
      </c>
      <c r="AP13361" s="4" t="s">
        <v>376</v>
      </c>
      <c r="AR13361" s="4" t="s">
        <v>377</v>
      </c>
    </row>
    <row r="13362" spans="1:44">
      <c r="A13362" s="4" t="s">
        <v>10753</v>
      </c>
      <c r="B13362" s="4">
        <v>241546</v>
      </c>
      <c r="D13362" s="5" t="s">
        <v>16049</v>
      </c>
      <c r="E13362" s="6" t="str">
        <f>HYPERLINK("https://inpn.mnhn.fr/espece/cd_nom/241546","Luperus luperus (Sulzer, 1776)")</f>
        <v>Luperus luperus (Sulzer, 1776)</v>
      </c>
      <c r="AH13362" s="4" t="str">
        <f>HYPERLINK("#Statut_biogéographique!A"&amp;_xlfn.XMATCH("P",Statut_biogéographique!A:A,2,1),"P")</f>
        <v>P</v>
      </c>
      <c r="AP13362" s="4" t="s">
        <v>376</v>
      </c>
      <c r="AR13362" s="4" t="s">
        <v>377</v>
      </c>
    </row>
    <row r="13363" spans="1:44">
      <c r="A13363" s="4" t="s">
        <v>10753</v>
      </c>
      <c r="B13363" s="4">
        <v>241554</v>
      </c>
      <c r="D13363" s="5" t="s">
        <v>16050</v>
      </c>
      <c r="E13363" s="6" t="str">
        <f>HYPERLINK("https://inpn.mnhn.fr/espece/cd_nom/241554","Exosoma lusitanicum (Linnaeus, 1767)")</f>
        <v>Exosoma lusitanicum (Linnaeus, 1767)</v>
      </c>
      <c r="F13363" s="5" t="s">
        <v>16051</v>
      </c>
      <c r="AH13363" s="4" t="str">
        <f>HYPERLINK("#Statut_biogéographique!A"&amp;_xlfn.XMATCH("P",Statut_biogéographique!A:A,2,1),"P")</f>
        <v>P</v>
      </c>
      <c r="AP13363" s="4" t="s">
        <v>376</v>
      </c>
      <c r="AR13363" s="4" t="s">
        <v>377</v>
      </c>
    </row>
    <row r="13364" spans="1:44">
      <c r="A13364" s="4" t="s">
        <v>10753</v>
      </c>
      <c r="B13364" s="4">
        <v>241556</v>
      </c>
      <c r="D13364" s="5" t="s">
        <v>16052</v>
      </c>
      <c r="E13364" s="6" t="str">
        <f>HYPERLINK("https://inpn.mnhn.fr/espece/cd_nom/241556","Calomicrus circumfusus (Marsham, 1802)")</f>
        <v>Calomicrus circumfusus (Marsham, 1802)</v>
      </c>
      <c r="AH13364" s="4" t="str">
        <f>HYPERLINK("#Statut_biogéographique!A"&amp;_xlfn.XMATCH("P",Statut_biogéographique!A:A,2,1),"P")</f>
        <v>P</v>
      </c>
      <c r="AP13364" s="4" t="s">
        <v>376</v>
      </c>
      <c r="AR13364" s="4" t="s">
        <v>377</v>
      </c>
    </row>
    <row r="13365" spans="1:44">
      <c r="A13365" s="4" t="s">
        <v>10753</v>
      </c>
      <c r="B13365" s="4">
        <v>241558</v>
      </c>
      <c r="D13365" s="5" t="s">
        <v>16053</v>
      </c>
      <c r="E13365" s="6" t="str">
        <f>HYPERLINK("https://inpn.mnhn.fr/espece/cd_nom/241558","Calomicrus pinicola (Duftschmid, 1825)")</f>
        <v>Calomicrus pinicola (Duftschmid, 1825)</v>
      </c>
      <c r="AH13365" s="4" t="str">
        <f>HYPERLINK("#Statut_biogéographique!A"&amp;_xlfn.XMATCH("P",Statut_biogéographique!A:A,2,1),"P")</f>
        <v>P</v>
      </c>
      <c r="AP13365" s="4" t="s">
        <v>376</v>
      </c>
      <c r="AR13365" s="4" t="s">
        <v>377</v>
      </c>
    </row>
    <row r="13366" spans="1:44">
      <c r="A13366" s="4" t="s">
        <v>10753</v>
      </c>
      <c r="B13366" s="4">
        <v>241559</v>
      </c>
      <c r="D13366" s="5" t="s">
        <v>16054</v>
      </c>
      <c r="E13366" s="6" t="str">
        <f>HYPERLINK("https://inpn.mnhn.fr/espece/cd_nom/241559","Sphaeroderma rubidum (Graells, 1858)")</f>
        <v>Sphaeroderma rubidum (Graells, 1858)</v>
      </c>
      <c r="AH13366" s="4" t="str">
        <f>HYPERLINK("#Statut_biogéographique!A"&amp;_xlfn.XMATCH("P",Statut_biogéographique!A:A,2,1),"P")</f>
        <v>P</v>
      </c>
      <c r="AP13366" s="4" t="s">
        <v>376</v>
      </c>
      <c r="AR13366" s="4" t="s">
        <v>377</v>
      </c>
    </row>
    <row r="13367" spans="1:44">
      <c r="A13367" s="4" t="s">
        <v>10753</v>
      </c>
      <c r="B13367" s="4">
        <v>241564</v>
      </c>
      <c r="D13367" s="5" t="s">
        <v>16055</v>
      </c>
      <c r="E13367" s="6" t="str">
        <f>HYPERLINK("https://inpn.mnhn.fr/espece/cd_nom/241564","Psylliodes chalcomera (Illiger, 1807)")</f>
        <v>Psylliodes chalcomera (Illiger, 1807)</v>
      </c>
      <c r="AH13367" s="4" t="str">
        <f>HYPERLINK("#Statut_biogéographique!A"&amp;_xlfn.XMATCH("P",Statut_biogéographique!A:A,2,1),"P")</f>
        <v>P</v>
      </c>
      <c r="AP13367" s="4" t="s">
        <v>376</v>
      </c>
      <c r="AR13367" s="4" t="s">
        <v>377</v>
      </c>
    </row>
    <row r="13368" spans="1:44">
      <c r="A13368" s="4" t="s">
        <v>10753</v>
      </c>
      <c r="B13368" s="4">
        <v>241580</v>
      </c>
      <c r="D13368" s="5" t="s">
        <v>16056</v>
      </c>
      <c r="E13368" s="6" t="str">
        <f>HYPERLINK("https://inpn.mnhn.fr/espece/cd_nom/241580","Psylliodes napi (Fabricius, 1792)")</f>
        <v>Psylliodes napi (Fabricius, 1792)</v>
      </c>
      <c r="AH13368" s="4" t="str">
        <f>HYPERLINK("#Statut_biogéographique!A"&amp;_xlfn.XMATCH("P",Statut_biogéographique!A:A,2,1),"P")</f>
        <v>P</v>
      </c>
      <c r="AP13368" s="4" t="s">
        <v>376</v>
      </c>
      <c r="AR13368" s="4" t="s">
        <v>377</v>
      </c>
    </row>
    <row r="13369" spans="1:44">
      <c r="A13369" s="4" t="s">
        <v>10753</v>
      </c>
      <c r="B13369" s="4">
        <v>241591</v>
      </c>
      <c r="D13369" s="5">
        <v>241591</v>
      </c>
      <c r="E13369" s="6" t="str">
        <f>HYPERLINK("https://inpn.mnhn.fr/espece/cd_nom/241591","Psylliodes thlaspis Foudras, 1860")</f>
        <v>Psylliodes thlaspis Foudras, 1860</v>
      </c>
      <c r="AH13369" s="4" t="str">
        <f>HYPERLINK("#Statut_biogéographique!A"&amp;_xlfn.XMATCH("P",Statut_biogéographique!A:A,2,1),"P")</f>
        <v>P</v>
      </c>
      <c r="AP13369" s="4" t="s">
        <v>376</v>
      </c>
      <c r="AR13369" s="4" t="s">
        <v>377</v>
      </c>
    </row>
    <row r="13370" spans="1:44">
      <c r="A13370" s="4" t="s">
        <v>10753</v>
      </c>
      <c r="B13370" s="4">
        <v>241593</v>
      </c>
      <c r="D13370" s="5">
        <v>241593</v>
      </c>
      <c r="E13370" s="6" t="str">
        <f>HYPERLINK("https://inpn.mnhn.fr/espece/cd_nom/241593","Psylliodes vindobonensis Heikertinger, 1914")</f>
        <v>Psylliodes vindobonensis Heikertinger, 1914</v>
      </c>
      <c r="AH13370" s="4" t="str">
        <f>HYPERLINK("#Statut_biogéographique!A"&amp;_xlfn.XMATCH("P",Statut_biogéographique!A:A,2,1),"P")</f>
        <v>P</v>
      </c>
      <c r="AP13370" s="4" t="s">
        <v>376</v>
      </c>
      <c r="AR13370" s="4" t="s">
        <v>377</v>
      </c>
    </row>
    <row r="13371" spans="1:44">
      <c r="A13371" s="4" t="s">
        <v>10753</v>
      </c>
      <c r="B13371" s="4">
        <v>241594</v>
      </c>
      <c r="D13371" s="5" t="s">
        <v>16057</v>
      </c>
      <c r="E13371" s="6" t="str">
        <f>HYPERLINK("https://inpn.mnhn.fr/espece/cd_nom/241594","Podagrica fuscicornis (Linnaeus, 1767)")</f>
        <v>Podagrica fuscicornis (Linnaeus, 1767)</v>
      </c>
      <c r="F13371" s="5" t="s">
        <v>16058</v>
      </c>
      <c r="AH13371" s="4" t="str">
        <f>HYPERLINK("#Statut_biogéographique!A"&amp;_xlfn.XMATCH("P",Statut_biogéographique!A:A,2,1),"P")</f>
        <v>P</v>
      </c>
      <c r="AP13371" s="4" t="s">
        <v>376</v>
      </c>
      <c r="AR13371" s="4" t="s">
        <v>377</v>
      </c>
    </row>
    <row r="13372" spans="1:44">
      <c r="A13372" s="4" t="s">
        <v>10753</v>
      </c>
      <c r="B13372" s="4">
        <v>241595</v>
      </c>
      <c r="D13372" s="5" t="s">
        <v>16059</v>
      </c>
      <c r="E13372" s="6" t="str">
        <f>HYPERLINK("https://inpn.mnhn.fr/espece/cd_nom/241595","Podagrica fuscipes (Fabricius, 1775)")</f>
        <v>Podagrica fuscipes (Fabricius, 1775)</v>
      </c>
      <c r="F13372" s="5" t="s">
        <v>16060</v>
      </c>
      <c r="AH13372" s="4" t="str">
        <f>HYPERLINK("#Statut_biogéographique!A"&amp;_xlfn.XMATCH("P",Statut_biogéographique!A:A,2,1),"P")</f>
        <v>P</v>
      </c>
      <c r="AP13372" s="4" t="s">
        <v>376</v>
      </c>
      <c r="AR13372" s="4" t="s">
        <v>377</v>
      </c>
    </row>
    <row r="13373" spans="1:44">
      <c r="A13373" s="4" t="s">
        <v>10753</v>
      </c>
      <c r="B13373" s="4">
        <v>241596</v>
      </c>
      <c r="D13373" s="5" t="s">
        <v>16061</v>
      </c>
      <c r="E13373" s="6" t="str">
        <f>HYPERLINK("https://inpn.mnhn.fr/espece/cd_nom/241596","Podagrica malvae (Illiger, 1807)")</f>
        <v>Podagrica malvae (Illiger, 1807)</v>
      </c>
      <c r="AH13373" s="4" t="str">
        <f>HYPERLINK("#Statut_biogéographique!A"&amp;_xlfn.XMATCH("P",Statut_biogéographique!A:A,2,1),"P")</f>
        <v>P</v>
      </c>
      <c r="AP13373" s="4" t="s">
        <v>376</v>
      </c>
      <c r="AR13373" s="4" t="s">
        <v>377</v>
      </c>
    </row>
    <row r="13374" spans="1:44">
      <c r="A13374" s="4" t="s">
        <v>10753</v>
      </c>
      <c r="B13374" s="4">
        <v>241599</v>
      </c>
      <c r="D13374" s="5">
        <v>241599</v>
      </c>
      <c r="E13374" s="6" t="str">
        <f>HYPERLINK("https://inpn.mnhn.fr/espece/cd_nom/241599","Phyllotreta astrachanica Lopatin, 1977")</f>
        <v>Phyllotreta astrachanica Lopatin, 1977</v>
      </c>
      <c r="AH13374" s="4" t="str">
        <f>HYPERLINK("#Statut_biogéographique!A"&amp;_xlfn.XMATCH("P",Statut_biogéographique!A:A,2,1),"P")</f>
        <v>P</v>
      </c>
      <c r="AP13374" s="4" t="s">
        <v>376</v>
      </c>
      <c r="AR13374" s="4" t="s">
        <v>377</v>
      </c>
    </row>
    <row r="13375" spans="1:44">
      <c r="A13375" s="4" t="s">
        <v>10753</v>
      </c>
      <c r="B13375" s="4">
        <v>241600</v>
      </c>
      <c r="D13375" s="5" t="s">
        <v>16062</v>
      </c>
      <c r="E13375" s="6" t="str">
        <f>HYPERLINK("https://inpn.mnhn.fr/espece/cd_nom/241600","Phyllotreta atra (Fabricius, 1775)")</f>
        <v>Phyllotreta atra (Fabricius, 1775)</v>
      </c>
      <c r="AH13375" s="4" t="str">
        <f>HYPERLINK("#Statut_biogéographique!A"&amp;_xlfn.XMATCH("P",Statut_biogéographique!A:A,2,1),"P")</f>
        <v>P</v>
      </c>
      <c r="AP13375" s="4" t="s">
        <v>376</v>
      </c>
      <c r="AR13375" s="4" t="s">
        <v>377</v>
      </c>
    </row>
    <row r="13376" spans="1:44">
      <c r="A13376" s="4" t="s">
        <v>10753</v>
      </c>
      <c r="B13376" s="4">
        <v>241605</v>
      </c>
      <c r="D13376" s="5" t="s">
        <v>16063</v>
      </c>
      <c r="E13376" s="6" t="str">
        <f>HYPERLINK("https://inpn.mnhn.fr/espece/cd_nom/241605","Phyllotreta cruciferae (Goeze, 1777)")</f>
        <v>Phyllotreta cruciferae (Goeze, 1777)</v>
      </c>
      <c r="AH13376" s="4" t="str">
        <f>HYPERLINK("#Statut_biogéographique!A"&amp;_xlfn.XMATCH("P",Statut_biogéographique!A:A,2,1),"P")</f>
        <v>P</v>
      </c>
      <c r="AP13376" s="4" t="s">
        <v>376</v>
      </c>
      <c r="AR13376" s="4" t="s">
        <v>377</v>
      </c>
    </row>
    <row r="13377" spans="1:44" ht="30">
      <c r="A13377" s="4" t="s">
        <v>10753</v>
      </c>
      <c r="B13377" s="4">
        <v>241612</v>
      </c>
      <c r="D13377" s="5">
        <v>241612</v>
      </c>
      <c r="E13377" s="6" t="str">
        <f>HYPERLINK("https://inpn.mnhn.fr/espece/cd_nom/241612","Phyllotreta gallica C. Brisout de Barneville, 1892")</f>
        <v>Phyllotreta gallica C. Brisout de Barneville, 1892</v>
      </c>
      <c r="AH13377" s="4" t="str">
        <f>HYPERLINK("#Statut_biogéographique!A"&amp;_xlfn.XMATCH("P",Statut_biogéographique!A:A,2,1),"P")</f>
        <v>P</v>
      </c>
      <c r="AP13377" s="4" t="s">
        <v>376</v>
      </c>
      <c r="AR13377" s="4" t="s">
        <v>377</v>
      </c>
    </row>
    <row r="13378" spans="1:44">
      <c r="A13378" s="4" t="s">
        <v>10753</v>
      </c>
      <c r="B13378" s="4">
        <v>241614</v>
      </c>
      <c r="D13378" s="5" t="s">
        <v>16064</v>
      </c>
      <c r="E13378" s="6" t="str">
        <f>HYPERLINK("https://inpn.mnhn.fr/espece/cd_nom/241614","Phyllotreta nemorum (Linnaeus, 1758)")</f>
        <v>Phyllotreta nemorum (Linnaeus, 1758)</v>
      </c>
      <c r="AH13378" s="4" t="str">
        <f>HYPERLINK("#Statut_biogéographique!A"&amp;_xlfn.XMATCH("P",Statut_biogéographique!A:A,2,1),"P")</f>
        <v>P</v>
      </c>
      <c r="AP13378" s="4" t="s">
        <v>376</v>
      </c>
      <c r="AR13378" s="4" t="s">
        <v>377</v>
      </c>
    </row>
    <row r="13379" spans="1:44">
      <c r="A13379" s="4" t="s">
        <v>10753</v>
      </c>
      <c r="B13379" s="4">
        <v>241615</v>
      </c>
      <c r="D13379" s="5" t="s">
        <v>16065</v>
      </c>
      <c r="E13379" s="6" t="str">
        <f>HYPERLINK("https://inpn.mnhn.fr/espece/cd_nom/241615","Phyllotreta nigripes (Fabricius, 1775)")</f>
        <v>Phyllotreta nigripes (Fabricius, 1775)</v>
      </c>
      <c r="AH13379" s="4" t="str">
        <f>HYPERLINK("#Statut_biogéographique!A"&amp;_xlfn.XMATCH("P",Statut_biogéographique!A:A,2,1),"P")</f>
        <v>P</v>
      </c>
      <c r="AP13379" s="4" t="s">
        <v>376</v>
      </c>
      <c r="AR13379" s="4" t="s">
        <v>377</v>
      </c>
    </row>
    <row r="13380" spans="1:44">
      <c r="A13380" s="4" t="s">
        <v>10753</v>
      </c>
      <c r="B13380" s="4">
        <v>241616</v>
      </c>
      <c r="D13380" s="5" t="s">
        <v>16066</v>
      </c>
      <c r="E13380" s="6" t="str">
        <f>HYPERLINK("https://inpn.mnhn.fr/espece/cd_nom/241616","Phyllotreta ochripes (Curtis, 1837)")</f>
        <v>Phyllotreta ochripes (Curtis, 1837)</v>
      </c>
      <c r="AH13380" s="4" t="str">
        <f>HYPERLINK("#Statut_biogéographique!A"&amp;_xlfn.XMATCH("P",Statut_biogéographique!A:A,2,1),"P")</f>
        <v>P</v>
      </c>
      <c r="AP13380" s="4" t="s">
        <v>376</v>
      </c>
      <c r="AR13380" s="4" t="s">
        <v>377</v>
      </c>
    </row>
    <row r="13381" spans="1:44">
      <c r="A13381" s="4" t="s">
        <v>10753</v>
      </c>
      <c r="B13381" s="4">
        <v>241623</v>
      </c>
      <c r="D13381" s="5" t="s">
        <v>16067</v>
      </c>
      <c r="E13381" s="6" t="str">
        <f>HYPERLINK("https://inpn.mnhn.fr/espece/cd_nom/241623","Phyllotreta undulata Kutschera, 1860")</f>
        <v>Phyllotreta undulata Kutschera, 1860</v>
      </c>
      <c r="AH13381" s="4" t="str">
        <f>HYPERLINK("#Statut_biogéographique!A"&amp;_xlfn.XMATCH("P",Statut_biogéographique!A:A,2,1),"P")</f>
        <v>P</v>
      </c>
      <c r="AP13381" s="4" t="s">
        <v>376</v>
      </c>
      <c r="AR13381" s="4" t="s">
        <v>377</v>
      </c>
    </row>
    <row r="13382" spans="1:44">
      <c r="A13382" s="4" t="s">
        <v>10753</v>
      </c>
      <c r="B13382" s="4">
        <v>241625</v>
      </c>
      <c r="D13382" s="5" t="s">
        <v>16068</v>
      </c>
      <c r="E13382" s="6" t="str">
        <f>HYPERLINK("https://inpn.mnhn.fr/espece/cd_nom/241625","Phyllotreta vittula (L. Redtenbacher, 1849)")</f>
        <v>Phyllotreta vittula (L. Redtenbacher, 1849)</v>
      </c>
      <c r="AH13382" s="4" t="str">
        <f>HYPERLINK("#Statut_biogéographique!A"&amp;_xlfn.XMATCH("P",Statut_biogéographique!A:A,2,1),"P")</f>
        <v>P</v>
      </c>
      <c r="AP13382" s="4" t="s">
        <v>376</v>
      </c>
      <c r="AR13382" s="4" t="s">
        <v>377</v>
      </c>
    </row>
    <row r="13383" spans="1:44">
      <c r="A13383" s="4" t="s">
        <v>10753</v>
      </c>
      <c r="B13383" s="4">
        <v>241637</v>
      </c>
      <c r="D13383" s="5" t="s">
        <v>16069</v>
      </c>
      <c r="E13383" s="6" t="str">
        <f>HYPERLINK("https://inpn.mnhn.fr/espece/cd_nom/241637","Neocrepidodera ferruginea (Scopoli, 1763)")</f>
        <v>Neocrepidodera ferruginea (Scopoli, 1763)</v>
      </c>
      <c r="F13383" s="5" t="s">
        <v>16070</v>
      </c>
      <c r="AH13383" s="4" t="str">
        <f>HYPERLINK("#Statut_biogéographique!A"&amp;_xlfn.XMATCH("P",Statut_biogéographique!A:A,2,1),"P")</f>
        <v>P</v>
      </c>
      <c r="AP13383" s="4" t="s">
        <v>376</v>
      </c>
      <c r="AR13383" s="4" t="s">
        <v>377</v>
      </c>
    </row>
    <row r="13384" spans="1:44">
      <c r="A13384" s="4" t="s">
        <v>10753</v>
      </c>
      <c r="B13384" s="4">
        <v>241647</v>
      </c>
      <c r="D13384" s="5" t="s">
        <v>16071</v>
      </c>
      <c r="E13384" s="6" t="str">
        <f>HYPERLINK("https://inpn.mnhn.fr/espece/cd_nom/241647","Neocrepidodera transversa (Marsham, 1802)")</f>
        <v>Neocrepidodera transversa (Marsham, 1802)</v>
      </c>
      <c r="AH13384" s="4" t="str">
        <f>HYPERLINK("#Statut_biogéographique!A"&amp;_xlfn.XMATCH("P",Statut_biogéographique!A:A,2,1),"P")</f>
        <v>P</v>
      </c>
      <c r="AP13384" s="4" t="s">
        <v>376</v>
      </c>
      <c r="AR13384" s="4" t="s">
        <v>377</v>
      </c>
    </row>
    <row r="13385" spans="1:44">
      <c r="A13385" s="4" t="s">
        <v>10753</v>
      </c>
      <c r="B13385" s="4">
        <v>241655</v>
      </c>
      <c r="D13385" s="5" t="s">
        <v>16072</v>
      </c>
      <c r="E13385" s="6" t="str">
        <f>HYPERLINK("https://inpn.mnhn.fr/espece/cd_nom/241655","Lythraria salicariae (Paykull, 1800)")</f>
        <v>Lythraria salicariae (Paykull, 1800)</v>
      </c>
      <c r="AH13385" s="4" t="str">
        <f>HYPERLINK("#Statut_biogéographique!A"&amp;_xlfn.XMATCH("P",Statut_biogéographique!A:A,2,1),"P")</f>
        <v>P</v>
      </c>
      <c r="AP13385" s="4" t="s">
        <v>376</v>
      </c>
      <c r="AR13385" s="4" t="s">
        <v>377</v>
      </c>
    </row>
    <row r="13386" spans="1:44">
      <c r="A13386" s="4" t="s">
        <v>10753</v>
      </c>
      <c r="B13386" s="4">
        <v>241660</v>
      </c>
      <c r="D13386" s="5" t="s">
        <v>16073</v>
      </c>
      <c r="E13386" s="6" t="str">
        <f>HYPERLINK("https://inpn.mnhn.fr/espece/cd_nom/241660","Longitarsus agilis (Rye, 1868)")</f>
        <v>Longitarsus agilis (Rye, 1868)</v>
      </c>
      <c r="AH13386" s="4" t="str">
        <f>HYPERLINK("#Statut_biogéographique!A"&amp;_xlfn.XMATCH("P",Statut_biogéographique!A:A,2,1),"P")</f>
        <v>P</v>
      </c>
      <c r="AP13386" s="4" t="s">
        <v>376</v>
      </c>
      <c r="AR13386" s="4" t="s">
        <v>377</v>
      </c>
    </row>
    <row r="13387" spans="1:44">
      <c r="A13387" s="4" t="s">
        <v>10753</v>
      </c>
      <c r="B13387" s="4">
        <v>241661</v>
      </c>
      <c r="D13387" s="5" t="s">
        <v>16074</v>
      </c>
      <c r="E13387" s="6" t="str">
        <f>HYPERLINK("https://inpn.mnhn.fr/espece/cd_nom/241661","Longitarsus anchusae (Paykull, 1799)")</f>
        <v>Longitarsus anchusae (Paykull, 1799)</v>
      </c>
      <c r="AH13387" s="4" t="str">
        <f>HYPERLINK("#Statut_biogéographique!A"&amp;_xlfn.XMATCH("P",Statut_biogéographique!A:A,2,1),"P")</f>
        <v>P</v>
      </c>
      <c r="AP13387" s="4" t="s">
        <v>376</v>
      </c>
      <c r="AR13387" s="4" t="s">
        <v>377</v>
      </c>
    </row>
    <row r="13388" spans="1:44">
      <c r="A13388" s="4" t="s">
        <v>10753</v>
      </c>
      <c r="B13388" s="4">
        <v>241663</v>
      </c>
      <c r="D13388" s="5" t="s">
        <v>16075</v>
      </c>
      <c r="E13388" s="6" t="str">
        <f>HYPERLINK("https://inpn.mnhn.fr/espece/cd_nom/241663","Longitarsus atricillus (Linnaeus, 1761)")</f>
        <v>Longitarsus atricillus (Linnaeus, 1761)</v>
      </c>
      <c r="AH13388" s="4" t="str">
        <f>HYPERLINK("#Statut_biogéographique!A"&amp;_xlfn.XMATCH("P",Statut_biogéographique!A:A,2,1),"P")</f>
        <v>P</v>
      </c>
      <c r="AP13388" s="4" t="s">
        <v>376</v>
      </c>
      <c r="AR13388" s="4" t="s">
        <v>377</v>
      </c>
    </row>
    <row r="13389" spans="1:44">
      <c r="A13389" s="4" t="s">
        <v>10753</v>
      </c>
      <c r="B13389" s="4">
        <v>241667</v>
      </c>
      <c r="D13389" s="5">
        <v>241667</v>
      </c>
      <c r="E13389" s="6" t="str">
        <f>HYPERLINK("https://inpn.mnhn.fr/espece/cd_nom/241667","Longitarsus brisouti Heikertinger, 1912")</f>
        <v>Longitarsus brisouti Heikertinger, 1912</v>
      </c>
      <c r="AH13389" s="4" t="str">
        <f>HYPERLINK("#Statut_biogéographique!A"&amp;_xlfn.XMATCH("P",Statut_biogéographique!A:A,2,1),"P")</f>
        <v>P</v>
      </c>
      <c r="AP13389" s="4" t="s">
        <v>376</v>
      </c>
      <c r="AR13389" s="4" t="s">
        <v>377</v>
      </c>
    </row>
    <row r="13390" spans="1:44">
      <c r="A13390" s="4" t="s">
        <v>10753</v>
      </c>
      <c r="B13390" s="4">
        <v>241677</v>
      </c>
      <c r="D13390" s="5" t="s">
        <v>16076</v>
      </c>
      <c r="E13390" s="6" t="str">
        <f>HYPERLINK("https://inpn.mnhn.fr/espece/cd_nom/241677","Longitarsus exsoletus (Linnaeus, 1758)")</f>
        <v>Longitarsus exsoletus (Linnaeus, 1758)</v>
      </c>
      <c r="AH13390" s="4" t="str">
        <f>HYPERLINK("#Statut_biogéographique!A"&amp;_xlfn.XMATCH("P",Statut_biogéographique!A:A,2,1),"P")</f>
        <v>P</v>
      </c>
      <c r="AP13390" s="4" t="s">
        <v>376</v>
      </c>
      <c r="AR13390" s="4" t="s">
        <v>377</v>
      </c>
    </row>
    <row r="13391" spans="1:44">
      <c r="A13391" s="4" t="s">
        <v>10753</v>
      </c>
      <c r="B13391" s="4">
        <v>241679</v>
      </c>
      <c r="D13391" s="5" t="s">
        <v>16077</v>
      </c>
      <c r="E13391" s="6" t="str">
        <f>HYPERLINK("https://inpn.mnhn.fr/espece/cd_nom/241679","Longitarsus ferrugineus (Foudras, 1860)")</f>
        <v>Longitarsus ferrugineus (Foudras, 1860)</v>
      </c>
      <c r="AH13391" s="4" t="str">
        <f>HYPERLINK("#Statut_biogéographique!A"&amp;_xlfn.XMATCH("P",Statut_biogéographique!A:A,2,1),"P")</f>
        <v>P</v>
      </c>
      <c r="AP13391" s="4" t="s">
        <v>376</v>
      </c>
      <c r="AR13391" s="4" t="s">
        <v>377</v>
      </c>
    </row>
    <row r="13392" spans="1:44">
      <c r="A13392" s="4" t="s">
        <v>10753</v>
      </c>
      <c r="B13392" s="4">
        <v>241681</v>
      </c>
      <c r="D13392" s="5">
        <v>241681</v>
      </c>
      <c r="E13392" s="6" t="str">
        <f>HYPERLINK("https://inpn.mnhn.fr/espece/cd_nom/241681","Longitarsus foudrasi Weise, 1893")</f>
        <v>Longitarsus foudrasi Weise, 1893</v>
      </c>
      <c r="AH13392" s="4" t="str">
        <f>HYPERLINK("#Statut_biogéographique!A"&amp;_xlfn.XMATCH("P",Statut_biogéographique!A:A,2,1),"P")</f>
        <v>P</v>
      </c>
      <c r="AP13392" s="4" t="s">
        <v>376</v>
      </c>
      <c r="AR13392" s="4" t="s">
        <v>377</v>
      </c>
    </row>
    <row r="13393" spans="1:44">
      <c r="A13393" s="4" t="s">
        <v>10753</v>
      </c>
      <c r="B13393" s="4">
        <v>241684</v>
      </c>
      <c r="D13393" s="5">
        <v>241684</v>
      </c>
      <c r="E13393" s="6" t="str">
        <f>HYPERLINK("https://inpn.mnhn.fr/espece/cd_nom/241684","Longitarsus ganglbaueri Heikertinger, 1912")</f>
        <v>Longitarsus ganglbaueri Heikertinger, 1912</v>
      </c>
      <c r="AH13393" s="4" t="str">
        <f>HYPERLINK("#Statut_biogéographique!A"&amp;_xlfn.XMATCH("P",Statut_biogéographique!A:A,2,1),"P")</f>
        <v>P</v>
      </c>
      <c r="AP13393" s="4" t="s">
        <v>376</v>
      </c>
      <c r="AR13393" s="4" t="s">
        <v>377</v>
      </c>
    </row>
    <row r="13394" spans="1:44">
      <c r="A13394" s="4" t="s">
        <v>10753</v>
      </c>
      <c r="B13394" s="4">
        <v>241696</v>
      </c>
      <c r="D13394" s="5" t="s">
        <v>16078</v>
      </c>
      <c r="E13394" s="6" t="str">
        <f>HYPERLINK("https://inpn.mnhn.fr/espece/cd_nom/241696","Longitarsus luridus (Scopoli, 1763)")</f>
        <v>Longitarsus luridus (Scopoli, 1763)</v>
      </c>
      <c r="AH13394" s="4" t="str">
        <f>HYPERLINK("#Statut_biogéographique!A"&amp;_xlfn.XMATCH("P",Statut_biogéographique!A:A,2,1),"P")</f>
        <v>P</v>
      </c>
      <c r="AP13394" s="4" t="s">
        <v>376</v>
      </c>
      <c r="AR13394" s="4" t="s">
        <v>377</v>
      </c>
    </row>
    <row r="13395" spans="1:44">
      <c r="A13395" s="4" t="s">
        <v>10753</v>
      </c>
      <c r="B13395" s="4">
        <v>241697</v>
      </c>
      <c r="D13395" s="5" t="s">
        <v>16079</v>
      </c>
      <c r="E13395" s="6" t="str">
        <f>HYPERLINK("https://inpn.mnhn.fr/espece/cd_nom/241697","Longitarsus melanocephalus (De Geer, 1775)")</f>
        <v>Longitarsus melanocephalus (De Geer, 1775)</v>
      </c>
      <c r="AH13395" s="4" t="str">
        <f>HYPERLINK("#Statut_biogéographique!A"&amp;_xlfn.XMATCH("P",Statut_biogéographique!A:A,2,1),"P")</f>
        <v>P</v>
      </c>
      <c r="AP13395" s="4" t="s">
        <v>376</v>
      </c>
      <c r="AR13395" s="4" t="s">
        <v>377</v>
      </c>
    </row>
    <row r="13396" spans="1:44">
      <c r="A13396" s="4" t="s">
        <v>10753</v>
      </c>
      <c r="B13396" s="4">
        <v>241698</v>
      </c>
      <c r="D13396" s="5" t="s">
        <v>16080</v>
      </c>
      <c r="E13396" s="6" t="str">
        <f>HYPERLINK("https://inpn.mnhn.fr/espece/cd_nom/241698","Longitarsus membranaceus (Foudras, 1860)")</f>
        <v>Longitarsus membranaceus (Foudras, 1860)</v>
      </c>
      <c r="AH13396" s="4" t="str">
        <f>HYPERLINK("#Statut_biogéographique!A"&amp;_xlfn.XMATCH("P",Statut_biogéographique!A:A,2,1),"P")</f>
        <v>P</v>
      </c>
      <c r="AP13396" s="4" t="s">
        <v>376</v>
      </c>
      <c r="AR13396" s="4" t="s">
        <v>377</v>
      </c>
    </row>
    <row r="13397" spans="1:44">
      <c r="A13397" s="4" t="s">
        <v>10753</v>
      </c>
      <c r="B13397" s="4">
        <v>241700</v>
      </c>
      <c r="D13397" s="5" t="s">
        <v>16081</v>
      </c>
      <c r="E13397" s="6" t="str">
        <f>HYPERLINK("https://inpn.mnhn.fr/espece/cd_nom/241700","Longitarsus nanus (Foudras, 1860)")</f>
        <v>Longitarsus nanus (Foudras, 1860)</v>
      </c>
      <c r="AH13397" s="4" t="str">
        <f>HYPERLINK("#Statut_biogéographique!A"&amp;_xlfn.XMATCH("P",Statut_biogéographique!A:A,2,1),"P")</f>
        <v>P</v>
      </c>
      <c r="AP13397" s="4" t="s">
        <v>376</v>
      </c>
      <c r="AR13397" s="4" t="s">
        <v>377</v>
      </c>
    </row>
    <row r="13398" spans="1:44">
      <c r="A13398" s="4" t="s">
        <v>10753</v>
      </c>
      <c r="B13398" s="4">
        <v>241701</v>
      </c>
      <c r="D13398" s="5" t="s">
        <v>16082</v>
      </c>
      <c r="E13398" s="6" t="str">
        <f>HYPERLINK("https://inpn.mnhn.fr/espece/cd_nom/241701","Longitarsus nasturtii (Fabricius, 1792)")</f>
        <v>Longitarsus nasturtii (Fabricius, 1792)</v>
      </c>
      <c r="AH13398" s="4" t="str">
        <f>HYPERLINK("#Statut_biogéographique!A"&amp;_xlfn.XMATCH("P",Statut_biogéographique!A:A,2,1),"P")</f>
        <v>P</v>
      </c>
      <c r="AP13398" s="4" t="s">
        <v>376</v>
      </c>
      <c r="AR13398" s="4" t="s">
        <v>377</v>
      </c>
    </row>
    <row r="13399" spans="1:44">
      <c r="A13399" s="4" t="s">
        <v>10753</v>
      </c>
      <c r="B13399" s="4">
        <v>241705</v>
      </c>
      <c r="D13399" s="5" t="s">
        <v>16083</v>
      </c>
      <c r="E13399" s="6" t="str">
        <f>HYPERLINK("https://inpn.mnhn.fr/espece/cd_nom/241705","Longitarsus nigrofasciatus (Goeze, 1777)")</f>
        <v>Longitarsus nigrofasciatus (Goeze, 1777)</v>
      </c>
      <c r="AH13399" s="4" t="str">
        <f>HYPERLINK("#Statut_biogéographique!A"&amp;_xlfn.XMATCH("P",Statut_biogéographique!A:A,2,1),"P")</f>
        <v>P</v>
      </c>
      <c r="AP13399" s="4" t="s">
        <v>376</v>
      </c>
      <c r="AR13399" s="4" t="s">
        <v>377</v>
      </c>
    </row>
    <row r="13400" spans="1:44">
      <c r="A13400" s="4" t="s">
        <v>10753</v>
      </c>
      <c r="B13400" s="4">
        <v>241707</v>
      </c>
      <c r="D13400" s="5" t="s">
        <v>16084</v>
      </c>
      <c r="E13400" s="6" t="str">
        <f>HYPERLINK("https://inpn.mnhn.fr/espece/cd_nom/241707","Longitarsus obliteratus (Rosenhauer, 1847)")</f>
        <v>Longitarsus obliteratus (Rosenhauer, 1847)</v>
      </c>
      <c r="AH13400" s="4" t="str">
        <f>HYPERLINK("#Statut_biogéographique!A"&amp;_xlfn.XMATCH("P",Statut_biogéographique!A:A,2,1),"P")</f>
        <v>P</v>
      </c>
      <c r="AP13400" s="4" t="s">
        <v>376</v>
      </c>
      <c r="AR13400" s="4" t="s">
        <v>377</v>
      </c>
    </row>
    <row r="13401" spans="1:44">
      <c r="A13401" s="4" t="s">
        <v>10753</v>
      </c>
      <c r="B13401" s="4">
        <v>241711</v>
      </c>
      <c r="D13401" s="5" t="s">
        <v>16085</v>
      </c>
      <c r="E13401" s="6" t="str">
        <f>HYPERLINK("https://inpn.mnhn.fr/espece/cd_nom/241711","Longitarsus pellucidus (Foudras, 1860)")</f>
        <v>Longitarsus pellucidus (Foudras, 1860)</v>
      </c>
      <c r="AH13401" s="4" t="str">
        <f>HYPERLINK("#Statut_biogéographique!A"&amp;_xlfn.XMATCH("P",Statut_biogéographique!A:A,2,1),"P")</f>
        <v>P</v>
      </c>
      <c r="AP13401" s="4" t="s">
        <v>376</v>
      </c>
      <c r="AR13401" s="4" t="s">
        <v>377</v>
      </c>
    </row>
    <row r="13402" spans="1:44">
      <c r="A13402" s="4" t="s">
        <v>10753</v>
      </c>
      <c r="B13402" s="4">
        <v>241715</v>
      </c>
      <c r="D13402" s="5" t="s">
        <v>16086</v>
      </c>
      <c r="E13402" s="6" t="str">
        <f>HYPERLINK("https://inpn.mnhn.fr/espece/cd_nom/241715","Longitarsus rubiginosus (Foudras, 1860)")</f>
        <v>Longitarsus rubiginosus (Foudras, 1860)</v>
      </c>
      <c r="AH13402" s="4" t="str">
        <f>HYPERLINK("#Statut_biogéographique!A"&amp;_xlfn.XMATCH("P",Statut_biogéographique!A:A,2,1),"P")</f>
        <v>P</v>
      </c>
      <c r="AP13402" s="4" t="s">
        <v>376</v>
      </c>
      <c r="AR13402" s="4" t="s">
        <v>377</v>
      </c>
    </row>
    <row r="13403" spans="1:44">
      <c r="A13403" s="4" t="s">
        <v>10753</v>
      </c>
      <c r="B13403" s="4">
        <v>241722</v>
      </c>
      <c r="D13403" s="5" t="s">
        <v>16087</v>
      </c>
      <c r="E13403" s="6" t="str">
        <f>HYPERLINK("https://inpn.mnhn.fr/espece/cd_nom/241722","Longitarsus suturellus (Duftschmid, 1825)")</f>
        <v>Longitarsus suturellus (Duftschmid, 1825)</v>
      </c>
      <c r="AH13403" s="4" t="str">
        <f>HYPERLINK("#Statut_biogéographique!A"&amp;_xlfn.XMATCH("P",Statut_biogéographique!A:A,2,1),"P")</f>
        <v>P</v>
      </c>
      <c r="AP13403" s="4" t="s">
        <v>376</v>
      </c>
      <c r="AR13403" s="4" t="s">
        <v>377</v>
      </c>
    </row>
    <row r="13404" spans="1:44">
      <c r="A13404" s="4" t="s">
        <v>10753</v>
      </c>
      <c r="B13404" s="4">
        <v>241727</v>
      </c>
      <c r="D13404" s="5" t="s">
        <v>16088</v>
      </c>
      <c r="E13404" s="6" t="str">
        <f>HYPERLINK("https://inpn.mnhn.fr/espece/cd_nom/241727","Hippuriphila modeeri (Linnaeus, 1761)")</f>
        <v>Hippuriphila modeeri (Linnaeus, 1761)</v>
      </c>
      <c r="AH13404" s="4" t="str">
        <f>HYPERLINK("#Statut_biogéographique!A"&amp;_xlfn.XMATCH("P",Statut_biogéographique!A:A,2,1),"P")</f>
        <v>P</v>
      </c>
      <c r="AP13404" s="4" t="s">
        <v>376</v>
      </c>
      <c r="AR13404" s="4" t="s">
        <v>377</v>
      </c>
    </row>
    <row r="13405" spans="1:44">
      <c r="A13405" s="4" t="s">
        <v>10753</v>
      </c>
      <c r="B13405" s="4">
        <v>241728</v>
      </c>
      <c r="D13405" s="5" t="s">
        <v>16089</v>
      </c>
      <c r="E13405" s="6" t="str">
        <f>HYPERLINK("https://inpn.mnhn.fr/espece/cd_nom/241728","Hermaeophaga cicatrix (Illiger, 1807)")</f>
        <v>Hermaeophaga cicatrix (Illiger, 1807)</v>
      </c>
      <c r="AH13405" s="4" t="str">
        <f>HYPERLINK("#Statut_biogéographique!A"&amp;_xlfn.XMATCH("P",Statut_biogéographique!A:A,2,1),"P")</f>
        <v>P</v>
      </c>
      <c r="AP13405" s="4" t="s">
        <v>376</v>
      </c>
      <c r="AR13405" s="4" t="s">
        <v>377</v>
      </c>
    </row>
    <row r="13406" spans="1:44">
      <c r="A13406" s="4" t="s">
        <v>10753</v>
      </c>
      <c r="B13406" s="4">
        <v>241729</v>
      </c>
      <c r="D13406" s="5" t="s">
        <v>16090</v>
      </c>
      <c r="E13406" s="6" t="str">
        <f>HYPERLINK("https://inpn.mnhn.fr/espece/cd_nom/241729","Hermaeophaga mercurialis (Fabricius, 1792)")</f>
        <v>Hermaeophaga mercurialis (Fabricius, 1792)</v>
      </c>
      <c r="AH13406" s="4" t="str">
        <f>HYPERLINK("#Statut_biogéographique!A"&amp;_xlfn.XMATCH("P",Statut_biogéographique!A:A,2,1),"P")</f>
        <v>P</v>
      </c>
      <c r="AP13406" s="4" t="s">
        <v>376</v>
      </c>
      <c r="AR13406" s="4" t="s">
        <v>377</v>
      </c>
    </row>
    <row r="13407" spans="1:44">
      <c r="A13407" s="4" t="s">
        <v>10753</v>
      </c>
      <c r="B13407" s="4">
        <v>241731</v>
      </c>
      <c r="D13407" s="5">
        <v>241731</v>
      </c>
      <c r="E13407" s="6" t="str">
        <f>HYPERLINK("https://inpn.mnhn.fr/espece/cd_nom/241731","Epitrix atropae Foudras, 1861")</f>
        <v>Epitrix atropae Foudras, 1861</v>
      </c>
      <c r="AH13407" s="4" t="str">
        <f>HYPERLINK("#Statut_biogéographique!A"&amp;_xlfn.XMATCH("P",Statut_biogéographique!A:A,2,1),"P")</f>
        <v>P</v>
      </c>
      <c r="AP13407" s="4" t="s">
        <v>376</v>
      </c>
      <c r="AR13407" s="4" t="s">
        <v>377</v>
      </c>
    </row>
    <row r="13408" spans="1:44">
      <c r="A13408" s="4" t="s">
        <v>10753</v>
      </c>
      <c r="B13408" s="4">
        <v>241733</v>
      </c>
      <c r="D13408" s="5" t="s">
        <v>16091</v>
      </c>
      <c r="E13408" s="6" t="str">
        <f>HYPERLINK("https://inpn.mnhn.fr/espece/cd_nom/241733","Epitrix pubescens (Koch, 1803)")</f>
        <v>Epitrix pubescens (Koch, 1803)</v>
      </c>
      <c r="AH13408" s="4" t="str">
        <f>HYPERLINK("#Statut_biogéographique!A"&amp;_xlfn.XMATCH("P",Statut_biogéographique!A:A,2,1),"P")</f>
        <v>P</v>
      </c>
      <c r="AP13408" s="4" t="s">
        <v>376</v>
      </c>
      <c r="AR13408" s="4" t="s">
        <v>377</v>
      </c>
    </row>
    <row r="13409" spans="1:44">
      <c r="A13409" s="4" t="s">
        <v>10753</v>
      </c>
      <c r="B13409" s="4">
        <v>241734</v>
      </c>
      <c r="D13409" s="5" t="s">
        <v>16092</v>
      </c>
      <c r="E13409" s="6" t="str">
        <f>HYPERLINK("https://inpn.mnhn.fr/espece/cd_nom/241734","Dibolia cryptocephala (Koch, 1803)")</f>
        <v>Dibolia cryptocephala (Koch, 1803)</v>
      </c>
      <c r="AH13409" s="4" t="str">
        <f>HYPERLINK("#Statut_biogéographique!A"&amp;_xlfn.XMATCH("P",Statut_biogéographique!A:A,2,1),"P")</f>
        <v>P</v>
      </c>
      <c r="AP13409" s="4" t="s">
        <v>376</v>
      </c>
      <c r="AR13409" s="4" t="s">
        <v>377</v>
      </c>
    </row>
    <row r="13410" spans="1:44">
      <c r="A13410" s="4" t="s">
        <v>10753</v>
      </c>
      <c r="B13410" s="4">
        <v>241735</v>
      </c>
      <c r="D13410" s="5" t="s">
        <v>16093</v>
      </c>
      <c r="E13410" s="6" t="str">
        <f>HYPERLINK("https://inpn.mnhn.fr/espece/cd_nom/241735","Dibolia depressiuscula Letzner, 1847")</f>
        <v>Dibolia depressiuscula Letzner, 1847</v>
      </c>
      <c r="AH13410" s="4" t="str">
        <f>HYPERLINK("#Statut_biogéographique!A"&amp;_xlfn.XMATCH("P",Statut_biogéographique!A:A,2,1),"P")</f>
        <v>P</v>
      </c>
      <c r="AP13410" s="4" t="s">
        <v>376</v>
      </c>
      <c r="AR13410" s="4" t="s">
        <v>377</v>
      </c>
    </row>
    <row r="13411" spans="1:44">
      <c r="A13411" s="4" t="s">
        <v>10753</v>
      </c>
      <c r="B13411" s="4">
        <v>241736</v>
      </c>
      <c r="D13411" s="5">
        <v>241736</v>
      </c>
      <c r="E13411" s="6" t="str">
        <f>HYPERLINK("https://inpn.mnhn.fr/espece/cd_nom/241736","Dibolia femoralis L. Redtenbacher, 1849")</f>
        <v>Dibolia femoralis L. Redtenbacher, 1849</v>
      </c>
      <c r="AH13411" s="4" t="str">
        <f>HYPERLINK("#Statut_biogéographique!A"&amp;_xlfn.XMATCH("P",Statut_biogéographique!A:A,2,1),"P")</f>
        <v>P</v>
      </c>
      <c r="AP13411" s="4" t="s">
        <v>376</v>
      </c>
      <c r="AR13411" s="4" t="s">
        <v>377</v>
      </c>
    </row>
    <row r="13412" spans="1:44">
      <c r="A13412" s="4" t="s">
        <v>10753</v>
      </c>
      <c r="B13412" s="4">
        <v>241738</v>
      </c>
      <c r="D13412" s="5" t="s">
        <v>16094</v>
      </c>
      <c r="E13412" s="6" t="str">
        <f>HYPERLINK("https://inpn.mnhn.fr/espece/cd_nom/241738","Dibolia occultans (Koch, 1803)")</f>
        <v>Dibolia occultans (Koch, 1803)</v>
      </c>
      <c r="AH13412" s="4" t="str">
        <f>HYPERLINK("#Statut_biogéographique!A"&amp;_xlfn.XMATCH("P",Statut_biogéographique!A:A,2,1),"P")</f>
        <v>P</v>
      </c>
      <c r="AP13412" s="4" t="s">
        <v>376</v>
      </c>
      <c r="AR13412" s="4" t="s">
        <v>377</v>
      </c>
    </row>
    <row r="13413" spans="1:44">
      <c r="A13413" s="4" t="s">
        <v>10753</v>
      </c>
      <c r="B13413" s="4">
        <v>241741</v>
      </c>
      <c r="D13413" s="5" t="s">
        <v>16095</v>
      </c>
      <c r="E13413" s="6" t="str">
        <f>HYPERLINK("https://inpn.mnhn.fr/espece/cd_nom/241741","Dibolia timida (Illiger, 1807)")</f>
        <v>Dibolia timida (Illiger, 1807)</v>
      </c>
      <c r="AH13413" s="4" t="str">
        <f>HYPERLINK("#Statut_biogéographique!A"&amp;_xlfn.XMATCH("P",Statut_biogéographique!A:A,2,1),"P")</f>
        <v>P</v>
      </c>
      <c r="AP13413" s="4" t="s">
        <v>376</v>
      </c>
      <c r="AR13413" s="4" t="s">
        <v>377</v>
      </c>
    </row>
    <row r="13414" spans="1:44">
      <c r="A13414" s="4" t="s">
        <v>10753</v>
      </c>
      <c r="B13414" s="4">
        <v>241744</v>
      </c>
      <c r="D13414" s="5" t="s">
        <v>16096</v>
      </c>
      <c r="E13414" s="6" t="str">
        <f>HYPERLINK("https://inpn.mnhn.fr/espece/cd_nom/241744","Crepidodera aurea (Geoffroy, 1785)")</f>
        <v>Crepidodera aurea (Geoffroy, 1785)</v>
      </c>
      <c r="F13414" s="5" t="s">
        <v>16097</v>
      </c>
      <c r="AH13414" s="4" t="str">
        <f>HYPERLINK("#Statut_biogéographique!A"&amp;_xlfn.XMATCH("P",Statut_biogéographique!A:A,2,1),"P")</f>
        <v>P</v>
      </c>
      <c r="AP13414" s="4" t="s">
        <v>376</v>
      </c>
      <c r="AR13414" s="4" t="s">
        <v>377</v>
      </c>
    </row>
    <row r="13415" spans="1:44">
      <c r="A13415" s="4" t="s">
        <v>10753</v>
      </c>
      <c r="B13415" s="4">
        <v>241745</v>
      </c>
      <c r="D13415" s="5" t="s">
        <v>16098</v>
      </c>
      <c r="E13415" s="6" t="str">
        <f>HYPERLINK("https://inpn.mnhn.fr/espece/cd_nom/241745","Crepidodera aureola (Foudras, 1861)")</f>
        <v>Crepidodera aureola (Foudras, 1861)</v>
      </c>
      <c r="AH13415" s="4" t="str">
        <f>HYPERLINK("#Statut_biogéographique!A"&amp;_xlfn.XMATCH("P",Statut_biogéographique!A:A,2,1),"P")</f>
        <v>P</v>
      </c>
      <c r="AP13415" s="4" t="s">
        <v>376</v>
      </c>
      <c r="AR13415" s="4" t="s">
        <v>377</v>
      </c>
    </row>
    <row r="13416" spans="1:44">
      <c r="A13416" s="4" t="s">
        <v>10753</v>
      </c>
      <c r="B13416" s="4">
        <v>241746</v>
      </c>
      <c r="D13416" s="5" t="s">
        <v>16099</v>
      </c>
      <c r="E13416" s="6" t="str">
        <f>HYPERLINK("https://inpn.mnhn.fr/espece/cd_nom/241746","Crepidodera fulvicornis (Fabricius, 1792)")</f>
        <v>Crepidodera fulvicornis (Fabricius, 1792)</v>
      </c>
      <c r="AH13416" s="4" t="str">
        <f>HYPERLINK("#Statut_biogéographique!A"&amp;_xlfn.XMATCH("P",Statut_biogéographique!A:A,2,1),"P")</f>
        <v>P</v>
      </c>
      <c r="AP13416" s="4" t="s">
        <v>376</v>
      </c>
      <c r="AR13416" s="4" t="s">
        <v>377</v>
      </c>
    </row>
    <row r="13417" spans="1:44">
      <c r="A13417" s="4" t="s">
        <v>10753</v>
      </c>
      <c r="B13417" s="4">
        <v>241747</v>
      </c>
      <c r="D13417" s="5" t="s">
        <v>16100</v>
      </c>
      <c r="E13417" s="6" t="str">
        <f>HYPERLINK("https://inpn.mnhn.fr/espece/cd_nom/241747","Crepidodera lamina (Bedel, 1901)")</f>
        <v>Crepidodera lamina (Bedel, 1901)</v>
      </c>
      <c r="AH13417" s="4" t="str">
        <f>HYPERLINK("#Statut_biogéographique!A"&amp;_xlfn.XMATCH("P",Statut_biogéographique!A:A,2,1),"P")</f>
        <v>P</v>
      </c>
      <c r="AP13417" s="4" t="s">
        <v>376</v>
      </c>
      <c r="AR13417" s="4" t="s">
        <v>377</v>
      </c>
    </row>
    <row r="13418" spans="1:44">
      <c r="A13418" s="4" t="s">
        <v>10753</v>
      </c>
      <c r="B13418" s="4">
        <v>241748</v>
      </c>
      <c r="D13418" s="5" t="s">
        <v>16101</v>
      </c>
      <c r="E13418" s="6" t="str">
        <f>HYPERLINK("https://inpn.mnhn.fr/espece/cd_nom/241748","Crepidodera nitidula (Linnaeus, 1758)")</f>
        <v>Crepidodera nitidula (Linnaeus, 1758)</v>
      </c>
      <c r="F13418" s="5" t="s">
        <v>16102</v>
      </c>
      <c r="AH13418" s="4" t="str">
        <f>HYPERLINK("#Statut_biogéographique!A"&amp;_xlfn.XMATCH("P",Statut_biogéographique!A:A,2,1),"P")</f>
        <v>P</v>
      </c>
      <c r="AP13418" s="4" t="s">
        <v>376</v>
      </c>
      <c r="AR13418" s="4" t="s">
        <v>377</v>
      </c>
    </row>
    <row r="13419" spans="1:44">
      <c r="A13419" s="4" t="s">
        <v>10753</v>
      </c>
      <c r="B13419" s="4">
        <v>241751</v>
      </c>
      <c r="D13419" s="5" t="s">
        <v>16103</v>
      </c>
      <c r="E13419" s="6" t="str">
        <f>HYPERLINK("https://inpn.mnhn.fr/espece/cd_nom/241751","Chaetocnema aridula (Gyllenhal, 1827)")</f>
        <v>Chaetocnema aridula (Gyllenhal, 1827)</v>
      </c>
      <c r="AH13419" s="4" t="str">
        <f>HYPERLINK("#Statut_biogéographique!A"&amp;_xlfn.XMATCH("P",Statut_biogéographique!A:A,2,1),"P")</f>
        <v>P</v>
      </c>
      <c r="AP13419" s="4" t="s">
        <v>376</v>
      </c>
      <c r="AR13419" s="4" t="s">
        <v>377</v>
      </c>
    </row>
    <row r="13420" spans="1:44" ht="30">
      <c r="A13420" s="4" t="s">
        <v>10753</v>
      </c>
      <c r="B13420" s="4">
        <v>241754</v>
      </c>
      <c r="D13420" s="5" t="s">
        <v>16104</v>
      </c>
      <c r="E13420" s="6" t="str">
        <f>HYPERLINK("https://inpn.mnhn.fr/espece/cd_nom/241754","Chaetocnema hortensis (Geoffroy in Fourcroy, 1785)")</f>
        <v>Chaetocnema hortensis (Geoffroy in Fourcroy, 1785)</v>
      </c>
      <c r="F13420" s="5" t="s">
        <v>16105</v>
      </c>
      <c r="AH13420" s="4" t="str">
        <f>HYPERLINK("#Statut_biogéographique!A"&amp;_xlfn.XMATCH("P",Statut_biogéographique!A:A,2,1),"P")</f>
        <v>P</v>
      </c>
      <c r="AP13420" s="4" t="s">
        <v>376</v>
      </c>
      <c r="AR13420" s="4" t="s">
        <v>377</v>
      </c>
    </row>
    <row r="13421" spans="1:44" ht="30">
      <c r="A13421" s="4" t="s">
        <v>10753</v>
      </c>
      <c r="B13421" s="4">
        <v>241755</v>
      </c>
      <c r="D13421" s="5" t="s">
        <v>16106</v>
      </c>
      <c r="E13421" s="6" t="str">
        <f>HYPERLINK("https://inpn.mnhn.fr/espece/cd_nom/241755","Chaetocnema mannerheimii (Gyllenhal, 1827)")</f>
        <v>Chaetocnema mannerheimii (Gyllenhal, 1827)</v>
      </c>
      <c r="AH13421" s="4" t="str">
        <f>HYPERLINK("#Statut_biogéographique!A"&amp;_xlfn.XMATCH("P",Statut_biogéographique!A:A,2,1),"P")</f>
        <v>P</v>
      </c>
      <c r="AP13421" s="4" t="s">
        <v>376</v>
      </c>
      <c r="AR13421" s="4" t="s">
        <v>377</v>
      </c>
    </row>
    <row r="13422" spans="1:44">
      <c r="A13422" s="4" t="s">
        <v>10753</v>
      </c>
      <c r="B13422" s="4">
        <v>241759</v>
      </c>
      <c r="D13422" s="5" t="s">
        <v>16107</v>
      </c>
      <c r="E13422" s="6" t="str">
        <f>HYPERLINK("https://inpn.mnhn.fr/espece/cd_nom/241759","Batophila aerata (Marsham, 1802)")</f>
        <v>Batophila aerata (Marsham, 1802)</v>
      </c>
      <c r="AH13422" s="4" t="str">
        <f>HYPERLINK("#Statut_biogéographique!A"&amp;_xlfn.XMATCH("P",Statut_biogéographique!A:A,2,1),"P")</f>
        <v>P</v>
      </c>
      <c r="AP13422" s="4" t="s">
        <v>376</v>
      </c>
      <c r="AR13422" s="4" t="s">
        <v>377</v>
      </c>
    </row>
    <row r="13423" spans="1:44">
      <c r="A13423" s="4" t="s">
        <v>10753</v>
      </c>
      <c r="B13423" s="4">
        <v>241764</v>
      </c>
      <c r="D13423" s="5" t="s">
        <v>16108</v>
      </c>
      <c r="E13423" s="6" t="str">
        <f>HYPERLINK("https://inpn.mnhn.fr/espece/cd_nom/241764","Apteropeda globosa (Illiger, 1794)")</f>
        <v>Apteropeda globosa (Illiger, 1794)</v>
      </c>
      <c r="AH13423" s="4" t="str">
        <f>HYPERLINK("#Statut_biogéographique!A"&amp;_xlfn.XMATCH("P",Statut_biogéographique!A:A,2,1),"P")</f>
        <v>P</v>
      </c>
      <c r="AP13423" s="4" t="s">
        <v>376</v>
      </c>
      <c r="AR13423" s="4" t="s">
        <v>377</v>
      </c>
    </row>
    <row r="13424" spans="1:44">
      <c r="A13424" s="4" t="s">
        <v>10753</v>
      </c>
      <c r="B13424" s="4">
        <v>241765</v>
      </c>
      <c r="D13424" s="5" t="s">
        <v>16109</v>
      </c>
      <c r="E13424" s="6" t="str">
        <f>HYPERLINK("https://inpn.mnhn.fr/espece/cd_nom/241765","Apteropeda orbiculata (Marsham, 1802)")</f>
        <v>Apteropeda orbiculata (Marsham, 1802)</v>
      </c>
      <c r="AH13424" s="4" t="str">
        <f>HYPERLINK("#Statut_biogéographique!A"&amp;_xlfn.XMATCH("P",Statut_biogéographique!A:A,2,1),"P")</f>
        <v>P</v>
      </c>
      <c r="AP13424" s="4" t="s">
        <v>376</v>
      </c>
      <c r="AR13424" s="4" t="s">
        <v>377</v>
      </c>
    </row>
    <row r="13425" spans="1:44">
      <c r="A13425" s="4" t="s">
        <v>10753</v>
      </c>
      <c r="B13425" s="4">
        <v>241768</v>
      </c>
      <c r="D13425" s="5" t="s">
        <v>16110</v>
      </c>
      <c r="E13425" s="6" t="str">
        <f>HYPERLINK("https://inpn.mnhn.fr/espece/cd_nom/241768","Aphthona abdominalis (Duftschmid, 1825)")</f>
        <v>Aphthona abdominalis (Duftschmid, 1825)</v>
      </c>
      <c r="AH13425" s="4" t="str">
        <f>HYPERLINK("#Statut_biogéographique!A"&amp;_xlfn.XMATCH("P",Statut_biogéographique!A:A,2,1),"P")</f>
        <v>P</v>
      </c>
      <c r="AP13425" s="4" t="s">
        <v>376</v>
      </c>
      <c r="AR13425" s="4" t="s">
        <v>377</v>
      </c>
    </row>
    <row r="13426" spans="1:44">
      <c r="A13426" s="4" t="s">
        <v>10753</v>
      </c>
      <c r="B13426" s="4">
        <v>241776</v>
      </c>
      <c r="D13426" s="5" t="s">
        <v>16111</v>
      </c>
      <c r="E13426" s="6" t="str">
        <f>HYPERLINK("https://inpn.mnhn.fr/espece/cd_nom/241776","Aphthona cyparissiae (Koch, 1803)")</f>
        <v>Aphthona cyparissiae (Koch, 1803)</v>
      </c>
      <c r="AH13426" s="4" t="str">
        <f>HYPERLINK("#Statut_biogéographique!A"&amp;_xlfn.XMATCH("P",Statut_biogéographique!A:A,2,1),"P")</f>
        <v>P</v>
      </c>
      <c r="AP13426" s="4" t="s">
        <v>376</v>
      </c>
      <c r="AR13426" s="4" t="s">
        <v>377</v>
      </c>
    </row>
    <row r="13427" spans="1:44">
      <c r="A13427" s="4" t="s">
        <v>10753</v>
      </c>
      <c r="B13427" s="4">
        <v>241780</v>
      </c>
      <c r="D13427" s="5" t="s">
        <v>16112</v>
      </c>
      <c r="E13427" s="6" t="str">
        <f>HYPERLINK("https://inpn.mnhn.fr/espece/cd_nom/241780","Aphthona herbigrada (Curtis, 1837)")</f>
        <v>Aphthona herbigrada (Curtis, 1837)</v>
      </c>
      <c r="AH13427" s="4" t="str">
        <f>HYPERLINK("#Statut_biogéographique!A"&amp;_xlfn.XMATCH("P",Statut_biogéographique!A:A,2,1),"P")</f>
        <v>P</v>
      </c>
      <c r="AP13427" s="4" t="s">
        <v>376</v>
      </c>
      <c r="AR13427" s="4" t="s">
        <v>377</v>
      </c>
    </row>
    <row r="13428" spans="1:44">
      <c r="A13428" s="4" t="s">
        <v>10753</v>
      </c>
      <c r="B13428" s="4">
        <v>241783</v>
      </c>
      <c r="D13428" s="5" t="s">
        <v>16113</v>
      </c>
      <c r="E13428" s="6" t="str">
        <f>HYPERLINK("https://inpn.mnhn.fr/espece/cd_nom/241783","Aphthona ovata Foudras, 1861")</f>
        <v>Aphthona ovata Foudras, 1861</v>
      </c>
      <c r="AH13428" s="4" t="str">
        <f>HYPERLINK("#Statut_biogéographique!A"&amp;_xlfn.XMATCH("P",Statut_biogéographique!A:A,2,1),"P")</f>
        <v>P</v>
      </c>
      <c r="AP13428" s="4" t="s">
        <v>376</v>
      </c>
      <c r="AR13428" s="4" t="s">
        <v>377</v>
      </c>
    </row>
    <row r="13429" spans="1:44">
      <c r="A13429" s="4" t="s">
        <v>10753</v>
      </c>
      <c r="B13429" s="4">
        <v>241789</v>
      </c>
      <c r="D13429" s="5">
        <v>241789</v>
      </c>
      <c r="E13429" s="6" t="str">
        <f>HYPERLINK("https://inpn.mnhn.fr/espece/cd_nom/241789","Aphthona variolosa Foudras, 1861")</f>
        <v>Aphthona variolosa Foudras, 1861</v>
      </c>
      <c r="AH13429" s="4" t="str">
        <f>HYPERLINK("#Statut_biogéographique!A"&amp;_xlfn.XMATCH("P",Statut_biogéographique!A:A,2,1),"P")</f>
        <v>P</v>
      </c>
      <c r="AP13429" s="4" t="s">
        <v>376</v>
      </c>
      <c r="AR13429" s="4" t="s">
        <v>377</v>
      </c>
    </row>
    <row r="13430" spans="1:44">
      <c r="A13430" s="4" t="s">
        <v>10753</v>
      </c>
      <c r="B13430" s="4">
        <v>241790</v>
      </c>
      <c r="D13430" s="5" t="s">
        <v>16114</v>
      </c>
      <c r="E13430" s="6" t="str">
        <f>HYPERLINK("https://inpn.mnhn.fr/espece/cd_nom/241790","Aphthona violacea (Koch, 1803)")</f>
        <v>Aphthona violacea (Koch, 1803)</v>
      </c>
      <c r="AH13430" s="4" t="str">
        <f>HYPERLINK("#Statut_biogéographique!A"&amp;_xlfn.XMATCH("P",Statut_biogéographique!A:A,2,1),"P")</f>
        <v>P</v>
      </c>
      <c r="AP13430" s="4" t="s">
        <v>376</v>
      </c>
      <c r="AR13430" s="4" t="s">
        <v>377</v>
      </c>
    </row>
    <row r="13431" spans="1:44">
      <c r="A13431" s="4" t="s">
        <v>10753</v>
      </c>
      <c r="B13431" s="4">
        <v>241792</v>
      </c>
      <c r="D13431" s="5" t="s">
        <v>16115</v>
      </c>
      <c r="E13431" s="6" t="str">
        <f>HYPERLINK("https://inpn.mnhn.fr/espece/cd_nom/241792","Altica aenescens (Weise, 1888)")</f>
        <v>Altica aenescens (Weise, 1888)</v>
      </c>
      <c r="AH13431" s="4" t="str">
        <f>HYPERLINK("#Statut_biogéographique!A"&amp;_xlfn.XMATCH("P",Statut_biogéographique!A:A,2,1),"P")</f>
        <v>P</v>
      </c>
      <c r="AP13431" s="4" t="s">
        <v>376</v>
      </c>
      <c r="AR13431" s="4" t="s">
        <v>377</v>
      </c>
    </row>
    <row r="13432" spans="1:44">
      <c r="A13432" s="4" t="s">
        <v>10753</v>
      </c>
      <c r="B13432" s="4">
        <v>241793</v>
      </c>
      <c r="D13432" s="5" t="s">
        <v>16116</v>
      </c>
      <c r="E13432" s="6" t="str">
        <f>HYPERLINK("https://inpn.mnhn.fr/espece/cd_nom/241793","Altica ampelophaga (Guérin-Méneville, 1858)")</f>
        <v>Altica ampelophaga (Guérin-Méneville, 1858)</v>
      </c>
      <c r="AH13432" s="4" t="str">
        <f>HYPERLINK("#Statut_biogéographique!A"&amp;_xlfn.XMATCH("P",Statut_biogéographique!A:A,2,1),"P")</f>
        <v>P</v>
      </c>
      <c r="AP13432" s="4" t="s">
        <v>376</v>
      </c>
      <c r="AR13432" s="4" t="s">
        <v>377</v>
      </c>
    </row>
    <row r="13433" spans="1:44">
      <c r="A13433" s="4" t="s">
        <v>10753</v>
      </c>
      <c r="B13433" s="4">
        <v>241794</v>
      </c>
      <c r="D13433" s="5">
        <v>241794</v>
      </c>
      <c r="E13433" s="6" t="str">
        <f>HYPERLINK("https://inpn.mnhn.fr/espece/cd_nom/241794","Altica brevicollis Foudras, 1861")</f>
        <v>Altica brevicollis Foudras, 1861</v>
      </c>
      <c r="AH13433" s="4" t="str">
        <f>HYPERLINK("#Statut_biogéographique!A"&amp;_xlfn.XMATCH("P",Statut_biogéographique!A:A,2,1),"P")</f>
        <v>P</v>
      </c>
      <c r="AP13433" s="4" t="s">
        <v>376</v>
      </c>
      <c r="AR13433" s="4" t="s">
        <v>377</v>
      </c>
    </row>
    <row r="13434" spans="1:44">
      <c r="A13434" s="4" t="s">
        <v>10753</v>
      </c>
      <c r="B13434" s="4">
        <v>241801</v>
      </c>
      <c r="D13434" s="5" t="s">
        <v>16117</v>
      </c>
      <c r="E13434" s="6" t="str">
        <f>HYPERLINK("https://inpn.mnhn.fr/espece/cd_nom/241801","Altica lythri Aubé, 1843")</f>
        <v>Altica lythri Aubé, 1843</v>
      </c>
      <c r="AH13434" s="4" t="str">
        <f>HYPERLINK("#Statut_biogéographique!A"&amp;_xlfn.XMATCH("P",Statut_biogéographique!A:A,2,1),"P")</f>
        <v>P</v>
      </c>
      <c r="AP13434" s="4" t="s">
        <v>376</v>
      </c>
      <c r="AR13434" s="4" t="s">
        <v>377</v>
      </c>
    </row>
    <row r="13435" spans="1:44">
      <c r="A13435" s="4" t="s">
        <v>10753</v>
      </c>
      <c r="B13435" s="4">
        <v>241802</v>
      </c>
      <c r="D13435" s="5" t="s">
        <v>16118</v>
      </c>
      <c r="E13435" s="6" t="str">
        <f>HYPERLINK("https://inpn.mnhn.fr/espece/cd_nom/241802","Altica oleracea (Linnaeus, 1758)")</f>
        <v>Altica oleracea (Linnaeus, 1758)</v>
      </c>
      <c r="AH13435" s="4" t="str">
        <f>HYPERLINK("#Statut_biogéographique!A"&amp;_xlfn.XMATCH("P",Statut_biogéographique!A:A,2,1),"P")</f>
        <v>P</v>
      </c>
      <c r="AP13435" s="4" t="s">
        <v>376</v>
      </c>
      <c r="AR13435" s="4" t="s">
        <v>377</v>
      </c>
    </row>
    <row r="13436" spans="1:44">
      <c r="A13436" s="4" t="s">
        <v>10753</v>
      </c>
      <c r="B13436" s="4">
        <v>241805</v>
      </c>
      <c r="D13436" s="5">
        <v>241805</v>
      </c>
      <c r="E13436" s="6" t="str">
        <f>HYPERLINK("https://inpn.mnhn.fr/espece/cd_nom/241805","Altica tamaricis Schrank, 1785")</f>
        <v>Altica tamaricis Schrank, 1785</v>
      </c>
      <c r="AH13436" s="4" t="str">
        <f>HYPERLINK("#Statut_biogéographique!A"&amp;_xlfn.XMATCH("P",Statut_biogéographique!A:A,2,1),"P")</f>
        <v>P</v>
      </c>
      <c r="AP13436" s="4" t="s">
        <v>376</v>
      </c>
      <c r="AR13436" s="4" t="s">
        <v>377</v>
      </c>
    </row>
    <row r="13437" spans="1:44">
      <c r="A13437" s="4" t="s">
        <v>10753</v>
      </c>
      <c r="B13437" s="4">
        <v>241809</v>
      </c>
      <c r="D13437" s="5" t="s">
        <v>16119</v>
      </c>
      <c r="E13437" s="6" t="str">
        <f>HYPERLINK("https://inpn.mnhn.fr/espece/cd_nom/241809","Hypocassida subferruginea (Schrank, 1776)")</f>
        <v>Hypocassida subferruginea (Schrank, 1776)</v>
      </c>
      <c r="AH13437" s="4" t="str">
        <f>HYPERLINK("#Statut_biogéographique!A"&amp;_xlfn.XMATCH("P",Statut_biogéographique!A:A,2,1),"P")</f>
        <v>P</v>
      </c>
      <c r="AP13437" s="4" t="s">
        <v>376</v>
      </c>
      <c r="AR13437" s="4" t="s">
        <v>377</v>
      </c>
    </row>
    <row r="13438" spans="1:44">
      <c r="A13438" s="4" t="s">
        <v>10753</v>
      </c>
      <c r="B13438" s="4">
        <v>241815</v>
      </c>
      <c r="D13438" s="5">
        <v>241815</v>
      </c>
      <c r="E13438" s="6" t="str">
        <f>HYPERLINK("https://inpn.mnhn.fr/espece/cd_nom/241815","Cassida denticollis Suffrian, 1844")</f>
        <v>Cassida denticollis Suffrian, 1844</v>
      </c>
      <c r="AH13438" s="4" t="str">
        <f>HYPERLINK("#Statut_biogéographique!A"&amp;_xlfn.XMATCH("P",Statut_biogéographique!A:A,2,1),"P")</f>
        <v>P</v>
      </c>
      <c r="AP13438" s="4" t="s">
        <v>376</v>
      </c>
      <c r="AR13438" s="4" t="s">
        <v>377</v>
      </c>
    </row>
    <row r="13439" spans="1:44">
      <c r="A13439" s="4" t="s">
        <v>10753</v>
      </c>
      <c r="B13439" s="4">
        <v>241826</v>
      </c>
      <c r="D13439" s="5">
        <v>241826</v>
      </c>
      <c r="E13439" s="6" t="str">
        <f>HYPERLINK("https://inpn.mnhn.fr/espece/cd_nom/241826","Cassida sanguinosa Suffrian, 1844")</f>
        <v>Cassida sanguinosa Suffrian, 1844</v>
      </c>
      <c r="AH13439" s="4" t="str">
        <f>HYPERLINK("#Statut_biogéographique!A"&amp;_xlfn.XMATCH("P",Statut_biogéographique!A:A,2,1),"P")</f>
        <v>P</v>
      </c>
      <c r="AP13439" s="4" t="s">
        <v>376</v>
      </c>
      <c r="AR13439" s="4" t="s">
        <v>377</v>
      </c>
    </row>
    <row r="13440" spans="1:44">
      <c r="A13440" s="4" t="s">
        <v>10753</v>
      </c>
      <c r="B13440" s="4">
        <v>241829</v>
      </c>
      <c r="D13440" s="5">
        <v>241829</v>
      </c>
      <c r="E13440" s="6" t="str">
        <f>HYPERLINK("https://inpn.mnhn.fr/espece/cd_nom/241829","Cassida nobilis Linnaeus, 1758")</f>
        <v>Cassida nobilis Linnaeus, 1758</v>
      </c>
      <c r="F13440" s="5" t="s">
        <v>16120</v>
      </c>
      <c r="AH13440" s="4" t="str">
        <f>HYPERLINK("#Statut_biogéographique!A"&amp;_xlfn.XMATCH("P",Statut_biogéographique!A:A,2,1),"P")</f>
        <v>P</v>
      </c>
      <c r="AP13440" s="4" t="s">
        <v>376</v>
      </c>
      <c r="AR13440" s="4" t="s">
        <v>377</v>
      </c>
    </row>
    <row r="13441" spans="1:44">
      <c r="A13441" s="4" t="s">
        <v>10753</v>
      </c>
      <c r="B13441" s="4">
        <v>241837</v>
      </c>
      <c r="D13441" s="5">
        <v>241837</v>
      </c>
      <c r="E13441" s="6" t="str">
        <f>HYPERLINK("https://inpn.mnhn.fr/espece/cd_nom/241837","Cassida margaritacea Schaller, 1783")</f>
        <v>Cassida margaritacea Schaller, 1783</v>
      </c>
      <c r="AH13441" s="4" t="str">
        <f>HYPERLINK("#Statut_biogéographique!A"&amp;_xlfn.XMATCH("P",Statut_biogéographique!A:A,2,1),"P")</f>
        <v>P</v>
      </c>
      <c r="AP13441" s="4" t="s">
        <v>376</v>
      </c>
      <c r="AR13441" s="4" t="s">
        <v>377</v>
      </c>
    </row>
    <row r="13442" spans="1:44">
      <c r="A13442" s="4" t="s">
        <v>10753</v>
      </c>
      <c r="B13442" s="4">
        <v>241841</v>
      </c>
      <c r="D13442" s="5">
        <v>241841</v>
      </c>
      <c r="E13442" s="6" t="str">
        <f>HYPERLINK("https://inpn.mnhn.fr/espece/cd_nom/241841","Hispa atra Linnaeus, 1767")</f>
        <v>Hispa atra Linnaeus, 1767</v>
      </c>
      <c r="F13442" s="5" t="s">
        <v>16121</v>
      </c>
      <c r="AH13442" s="4" t="str">
        <f>HYPERLINK("#Statut_biogéographique!A"&amp;_xlfn.XMATCH("P",Statut_biogéographique!A:A,2,1),"P")</f>
        <v>P</v>
      </c>
      <c r="AP13442" s="4" t="s">
        <v>376</v>
      </c>
      <c r="AR13442" s="4" t="s">
        <v>377</v>
      </c>
    </row>
    <row r="13443" spans="1:44">
      <c r="A13443" s="4" t="s">
        <v>10753</v>
      </c>
      <c r="B13443" s="4">
        <v>241843</v>
      </c>
      <c r="D13443" s="5" t="s">
        <v>16122</v>
      </c>
      <c r="E13443" s="6" t="str">
        <f>HYPERLINK("https://inpn.mnhn.fr/espece/cd_nom/241843","Plateumaris affinis (Kunze, 1818)")</f>
        <v>Plateumaris affinis (Kunze, 1818)</v>
      </c>
      <c r="AH13443" s="4" t="str">
        <f>HYPERLINK("#Statut_biogéographique!A"&amp;_xlfn.XMATCH("P",Statut_biogéographique!A:A,2,1),"P")</f>
        <v>P</v>
      </c>
      <c r="AP13443" s="4" t="s">
        <v>376</v>
      </c>
      <c r="AR13443" s="4" t="s">
        <v>377</v>
      </c>
    </row>
    <row r="13444" spans="1:44">
      <c r="A13444" s="4" t="s">
        <v>10753</v>
      </c>
      <c r="B13444" s="4">
        <v>241845</v>
      </c>
      <c r="D13444" s="5" t="s">
        <v>16123</v>
      </c>
      <c r="E13444" s="6" t="str">
        <f>HYPERLINK("https://inpn.mnhn.fr/espece/cd_nom/241845","Plateumaris rustica (Kunze, 1818)")</f>
        <v>Plateumaris rustica (Kunze, 1818)</v>
      </c>
      <c r="AH13444" s="4" t="str">
        <f>HYPERLINK("#Statut_biogéographique!A"&amp;_xlfn.XMATCH("P",Statut_biogéographique!A:A,2,1),"P")</f>
        <v>P</v>
      </c>
      <c r="AP13444" s="4" t="s">
        <v>376</v>
      </c>
      <c r="AR13444" s="4" t="s">
        <v>377</v>
      </c>
    </row>
    <row r="13445" spans="1:44">
      <c r="A13445" s="4" t="s">
        <v>10753</v>
      </c>
      <c r="B13445" s="4">
        <v>241848</v>
      </c>
      <c r="D13445" s="5" t="s">
        <v>16124</v>
      </c>
      <c r="E13445" s="6" t="str">
        <f>HYPERLINK("https://inpn.mnhn.fr/espece/cd_nom/241848","Donacia aquatica (Linnaeus, 1758)")</f>
        <v>Donacia aquatica (Linnaeus, 1758)</v>
      </c>
      <c r="AH13445" s="4" t="str">
        <f>HYPERLINK("#Statut_biogéographique!A"&amp;_xlfn.XMATCH("P",Statut_biogéographique!A:A,2,1),"P")</f>
        <v>P</v>
      </c>
      <c r="AP13445" s="4" t="s">
        <v>376</v>
      </c>
      <c r="AR13445" s="4" t="s">
        <v>377</v>
      </c>
    </row>
    <row r="13446" spans="1:44">
      <c r="A13446" s="4" t="s">
        <v>10753</v>
      </c>
      <c r="B13446" s="4">
        <v>241849</v>
      </c>
      <c r="D13446" s="5">
        <v>241849</v>
      </c>
      <c r="E13446" s="6" t="str">
        <f>HYPERLINK("https://inpn.mnhn.fr/espece/cd_nom/241849","Donacia bicolora Zschach, 1788")</f>
        <v>Donacia bicolora Zschach, 1788</v>
      </c>
      <c r="AH13446" s="4" t="str">
        <f>HYPERLINK("#Statut_biogéographique!A"&amp;_xlfn.XMATCH("P",Statut_biogéographique!A:A,2,1),"P")</f>
        <v>P</v>
      </c>
      <c r="AP13446" s="4" t="s">
        <v>376</v>
      </c>
      <c r="AR13446" s="4" t="s">
        <v>377</v>
      </c>
    </row>
    <row r="13447" spans="1:44">
      <c r="A13447" s="4" t="s">
        <v>10753</v>
      </c>
      <c r="B13447" s="4">
        <v>241852</v>
      </c>
      <c r="D13447" s="5">
        <v>241852</v>
      </c>
      <c r="E13447" s="6" t="str">
        <f>HYPERLINK("https://inpn.mnhn.fr/espece/cd_nom/241852","Donacia crassipes Fabricius, 1775")</f>
        <v>Donacia crassipes Fabricius, 1775</v>
      </c>
      <c r="AH13447" s="4" t="str">
        <f>HYPERLINK("#Statut_biogéographique!A"&amp;_xlfn.XMATCH("P",Statut_biogéographique!A:A,2,1),"P")</f>
        <v>P</v>
      </c>
      <c r="AP13447" s="4" t="s">
        <v>376</v>
      </c>
      <c r="AR13447" s="4" t="s">
        <v>377</v>
      </c>
    </row>
    <row r="13448" spans="1:44">
      <c r="A13448" s="4" t="s">
        <v>10753</v>
      </c>
      <c r="B13448" s="4">
        <v>241855</v>
      </c>
      <c r="D13448" s="5">
        <v>241855</v>
      </c>
      <c r="E13448" s="6" t="str">
        <f>HYPERLINK("https://inpn.mnhn.fr/espece/cd_nom/241855","Donacia obscura Gyllenhal, 1813")</f>
        <v>Donacia obscura Gyllenhal, 1813</v>
      </c>
      <c r="AH13448" s="4" t="str">
        <f>HYPERLINK("#Statut_biogéographique!A"&amp;_xlfn.XMATCH("P",Statut_biogéographique!A:A,2,1),"P")</f>
        <v>P</v>
      </c>
      <c r="AP13448" s="4" t="s">
        <v>376</v>
      </c>
      <c r="AR13448" s="4" t="s">
        <v>377</v>
      </c>
    </row>
    <row r="13449" spans="1:44">
      <c r="A13449" s="4" t="s">
        <v>10753</v>
      </c>
      <c r="B13449" s="4">
        <v>241860</v>
      </c>
      <c r="D13449" s="5">
        <v>241860</v>
      </c>
      <c r="E13449" s="6" t="str">
        <f>HYPERLINK("https://inpn.mnhn.fr/espece/cd_nom/241860","Donacia vulgaris Zschach, 1788")</f>
        <v>Donacia vulgaris Zschach, 1788</v>
      </c>
      <c r="AH13449" s="4" t="str">
        <f>HYPERLINK("#Statut_biogéographique!A"&amp;_xlfn.XMATCH("P",Statut_biogéographique!A:A,2,1),"P")</f>
        <v>P</v>
      </c>
      <c r="AP13449" s="4" t="s">
        <v>376</v>
      </c>
      <c r="AR13449" s="4" t="s">
        <v>377</v>
      </c>
    </row>
    <row r="13450" spans="1:44">
      <c r="A13450" s="4" t="s">
        <v>10753</v>
      </c>
      <c r="B13450" s="4">
        <v>241861</v>
      </c>
      <c r="D13450" s="5" t="s">
        <v>16125</v>
      </c>
      <c r="E13450" s="6" t="str">
        <f>HYPERLINK("https://inpn.mnhn.fr/espece/cd_nom/241861","Oulema duftschmidi (Redtenbacher, 1874)")</f>
        <v>Oulema duftschmidi (Redtenbacher, 1874)</v>
      </c>
      <c r="AH13450" s="4" t="str">
        <f>HYPERLINK("#Statut_biogéographique!A"&amp;_xlfn.XMATCH("P",Statut_biogéographique!A:A,2,1),"P")</f>
        <v>P</v>
      </c>
      <c r="AP13450" s="4" t="s">
        <v>376</v>
      </c>
      <c r="AR13450" s="4" t="s">
        <v>377</v>
      </c>
    </row>
    <row r="13451" spans="1:44">
      <c r="A13451" s="4" t="s">
        <v>10753</v>
      </c>
      <c r="B13451" s="4">
        <v>241862</v>
      </c>
      <c r="D13451" s="5" t="s">
        <v>16126</v>
      </c>
      <c r="E13451" s="6" t="str">
        <f>HYPERLINK("https://inpn.mnhn.fr/espece/cd_nom/241862","Oulema erichsonii (Suffrian, 1841)")</f>
        <v>Oulema erichsonii (Suffrian, 1841)</v>
      </c>
      <c r="AH13451" s="4" t="str">
        <f>HYPERLINK("#Statut_biogéographique!A"&amp;_xlfn.XMATCH("P",Statut_biogéographique!A:A,2,1),"P")</f>
        <v>P</v>
      </c>
      <c r="AP13451" s="4" t="s">
        <v>376</v>
      </c>
      <c r="AR13451" s="4" t="s">
        <v>377</v>
      </c>
    </row>
    <row r="13452" spans="1:44">
      <c r="A13452" s="4" t="s">
        <v>10753</v>
      </c>
      <c r="B13452" s="4">
        <v>241863</v>
      </c>
      <c r="D13452" s="5" t="s">
        <v>16127</v>
      </c>
      <c r="E13452" s="6" t="str">
        <f>HYPERLINK("https://inpn.mnhn.fr/espece/cd_nom/241863","Oulema gallaeciana (L.F.J.D. Heyden, 1870)")</f>
        <v>Oulema gallaeciana (L.F.J.D. Heyden, 1870)</v>
      </c>
      <c r="AH13452" s="4" t="str">
        <f>HYPERLINK("#Statut_biogéographique!A"&amp;_xlfn.XMATCH("P",Statut_biogéographique!A:A,2,1),"P")</f>
        <v>P</v>
      </c>
      <c r="AP13452" s="4" t="s">
        <v>376</v>
      </c>
      <c r="AR13452" s="4" t="s">
        <v>377</v>
      </c>
    </row>
    <row r="13453" spans="1:44">
      <c r="A13453" s="4" t="s">
        <v>10753</v>
      </c>
      <c r="B13453" s="4">
        <v>241865</v>
      </c>
      <c r="D13453" s="5" t="s">
        <v>16128</v>
      </c>
      <c r="E13453" s="6" t="str">
        <f>HYPERLINK("https://inpn.mnhn.fr/espece/cd_nom/241865","Oulema melanopus (Linnaeus, 1758)")</f>
        <v>Oulema melanopus (Linnaeus, 1758)</v>
      </c>
      <c r="F13453" s="5" t="s">
        <v>16129</v>
      </c>
      <c r="AH13453" s="4" t="str">
        <f>HYPERLINK("#Statut_biogéographique!A"&amp;_xlfn.XMATCH("P",Statut_biogéographique!A:A,2,1),"P")</f>
        <v>P</v>
      </c>
      <c r="AP13453" s="4" t="s">
        <v>376</v>
      </c>
      <c r="AR13453" s="4" t="s">
        <v>377</v>
      </c>
    </row>
    <row r="13454" spans="1:44">
      <c r="A13454" s="4" t="s">
        <v>10753</v>
      </c>
      <c r="B13454" s="4">
        <v>241866</v>
      </c>
      <c r="D13454" s="5" t="s">
        <v>16130</v>
      </c>
      <c r="E13454" s="6" t="str">
        <f>HYPERLINK("https://inpn.mnhn.fr/espece/cd_nom/241866","Oulema rufocyanea (Suffrian, 1847)")</f>
        <v>Oulema rufocyanea (Suffrian, 1847)</v>
      </c>
      <c r="AH13454" s="4" t="str">
        <f>HYPERLINK("#Statut_biogéographique!A"&amp;_xlfn.XMATCH("P",Statut_biogéographique!A:A,2,1),"P")</f>
        <v>P</v>
      </c>
      <c r="AP13454" s="4" t="s">
        <v>376</v>
      </c>
      <c r="AR13454" s="4" t="s">
        <v>377</v>
      </c>
    </row>
    <row r="13455" spans="1:44">
      <c r="A13455" s="4" t="s">
        <v>10753</v>
      </c>
      <c r="B13455" s="4">
        <v>241869</v>
      </c>
      <c r="D13455" s="5" t="s">
        <v>16131</v>
      </c>
      <c r="E13455" s="6" t="str">
        <f>HYPERLINK("https://inpn.mnhn.fr/espece/cd_nom/241869","Lilioceris lilii (Scopoli, 1763)")</f>
        <v>Lilioceris lilii (Scopoli, 1763)</v>
      </c>
      <c r="F13455" s="5" t="s">
        <v>16132</v>
      </c>
      <c r="AH13455" s="4" t="str">
        <f>HYPERLINK("#Statut_biogéographique!A"&amp;_xlfn.XMATCH("P",Statut_biogéographique!A:A,2,1),"P")</f>
        <v>P</v>
      </c>
      <c r="AP13455" s="4" t="s">
        <v>376</v>
      </c>
      <c r="AR13455" s="4" t="s">
        <v>377</v>
      </c>
    </row>
    <row r="13456" spans="1:44" ht="30">
      <c r="A13456" s="4" t="s">
        <v>10753</v>
      </c>
      <c r="B13456" s="4">
        <v>241871</v>
      </c>
      <c r="D13456" s="5" t="s">
        <v>16133</v>
      </c>
      <c r="E13456" s="6" t="str">
        <f>HYPERLINK("https://inpn.mnhn.fr/espece/cd_nom/241871","Crioceris asparagi (Linnaeus, 1758)")</f>
        <v>Crioceris asparagi (Linnaeus, 1758)</v>
      </c>
      <c r="F13456" s="5" t="s">
        <v>16134</v>
      </c>
      <c r="AH13456" s="4" t="str">
        <f>HYPERLINK("#Statut_biogéographique!A"&amp;_xlfn.XMATCH("P",Statut_biogéographique!A:A,2,1),"P")</f>
        <v>P</v>
      </c>
      <c r="AP13456" s="4" t="s">
        <v>376</v>
      </c>
      <c r="AR13456" s="4" t="s">
        <v>377</v>
      </c>
    </row>
    <row r="13457" spans="1:44" ht="30">
      <c r="A13457" s="4" t="s">
        <v>10753</v>
      </c>
      <c r="B13457" s="4">
        <v>241872</v>
      </c>
      <c r="D13457" s="5" t="s">
        <v>16135</v>
      </c>
      <c r="E13457" s="6" t="str">
        <f>HYPERLINK("https://inpn.mnhn.fr/espece/cd_nom/241872","Crioceris duodecimpunctata (Linnaeus, 1758)")</f>
        <v>Crioceris duodecimpunctata (Linnaeus, 1758)</v>
      </c>
      <c r="F13457" s="5" t="s">
        <v>16136</v>
      </c>
      <c r="AH13457" s="4" t="str">
        <f>HYPERLINK("#Statut_biogéographique!A"&amp;_xlfn.XMATCH("P",Statut_biogéographique!A:A,2,1),"P")</f>
        <v>P</v>
      </c>
      <c r="AP13457" s="4" t="s">
        <v>376</v>
      </c>
      <c r="AR13457" s="4" t="s">
        <v>377</v>
      </c>
    </row>
    <row r="13458" spans="1:44">
      <c r="A13458" s="4" t="s">
        <v>10753</v>
      </c>
      <c r="B13458" s="4">
        <v>241876</v>
      </c>
      <c r="D13458" s="5" t="s">
        <v>16137</v>
      </c>
      <c r="E13458" s="6" t="str">
        <f>HYPERLINK("https://inpn.mnhn.fr/espece/cd_nom/241876","Zeugophora flavicollis (Marsham, 1802)")</f>
        <v>Zeugophora flavicollis (Marsham, 1802)</v>
      </c>
      <c r="AH13458" s="4" t="str">
        <f>HYPERLINK("#Statut_biogéographique!A"&amp;_xlfn.XMATCH("P",Statut_biogéographique!A:A,2,1),"P")</f>
        <v>P</v>
      </c>
      <c r="AP13458" s="4" t="s">
        <v>376</v>
      </c>
      <c r="AR13458" s="4" t="s">
        <v>377</v>
      </c>
    </row>
    <row r="13459" spans="1:44">
      <c r="A13459" s="4" t="s">
        <v>10753</v>
      </c>
      <c r="B13459" s="4">
        <v>241877</v>
      </c>
      <c r="D13459" s="5" t="s">
        <v>16138</v>
      </c>
      <c r="E13459" s="6" t="str">
        <f>HYPERLINK("https://inpn.mnhn.fr/espece/cd_nom/241877","Zeugophora subspinosa (Fabricius, 1781)")</f>
        <v>Zeugophora subspinosa (Fabricius, 1781)</v>
      </c>
      <c r="AH13459" s="4" t="str">
        <f>HYPERLINK("#Statut_biogéographique!A"&amp;_xlfn.XMATCH("P",Statut_biogéographique!A:A,2,1),"P")</f>
        <v>P</v>
      </c>
      <c r="AP13459" s="4" t="s">
        <v>376</v>
      </c>
      <c r="AR13459" s="4" t="s">
        <v>377</v>
      </c>
    </row>
    <row r="13460" spans="1:44">
      <c r="A13460" s="4" t="s">
        <v>10753</v>
      </c>
      <c r="B13460" s="4">
        <v>241878</v>
      </c>
      <c r="D13460" s="5" t="s">
        <v>16139</v>
      </c>
      <c r="E13460" s="6" t="str">
        <f>HYPERLINK("https://inpn.mnhn.fr/espece/cd_nom/241878","Orsodacne cerasi (Linnaeus, 1758)")</f>
        <v>Orsodacne cerasi (Linnaeus, 1758)</v>
      </c>
      <c r="AH13460" s="4" t="str">
        <f>HYPERLINK("#Statut_biogéographique!A"&amp;_xlfn.XMATCH("P",Statut_biogéographique!A:A,2,1),"P")</f>
        <v>P</v>
      </c>
      <c r="AP13460" s="4" t="s">
        <v>376</v>
      </c>
      <c r="AR13460" s="4" t="s">
        <v>377</v>
      </c>
    </row>
    <row r="13461" spans="1:44">
      <c r="A13461" s="4" t="s">
        <v>10753</v>
      </c>
      <c r="B13461" s="4">
        <v>241882</v>
      </c>
      <c r="D13461" s="5">
        <v>241882</v>
      </c>
      <c r="E13461" s="6" t="str">
        <f>HYPERLINK("https://inpn.mnhn.fr/espece/cd_nom/241882","Bruchus affinis Frölich, 1799")</f>
        <v>Bruchus affinis Frölich, 1799</v>
      </c>
      <c r="AH13461" s="4" t="str">
        <f>HYPERLINK("#Statut_biogéographique!A"&amp;_xlfn.XMATCH("P",Statut_biogéographique!A:A,2,1),"P")</f>
        <v>P</v>
      </c>
      <c r="AP13461" s="4" t="s">
        <v>376</v>
      </c>
      <c r="AR13461" s="4" t="s">
        <v>377</v>
      </c>
    </row>
    <row r="13462" spans="1:44">
      <c r="A13462" s="4" t="s">
        <v>10753</v>
      </c>
      <c r="B13462" s="4">
        <v>241883</v>
      </c>
      <c r="D13462" s="5">
        <v>241883</v>
      </c>
      <c r="E13462" s="6" t="str">
        <f>HYPERLINK("https://inpn.mnhn.fr/espece/cd_nom/241883","Bruchus brachialis Fåhraeus, 1839")</f>
        <v>Bruchus brachialis Fåhraeus, 1839</v>
      </c>
      <c r="AH13462" s="4" t="str">
        <f>HYPERLINK("#Statut_biogéographique!A"&amp;_xlfn.XMATCH("P",Statut_biogéographique!A:A,2,1),"P")</f>
        <v>P</v>
      </c>
      <c r="AP13462" s="4" t="s">
        <v>376</v>
      </c>
      <c r="AR13462" s="4" t="s">
        <v>377</v>
      </c>
    </row>
    <row r="13463" spans="1:44">
      <c r="A13463" s="4" t="s">
        <v>10753</v>
      </c>
      <c r="B13463" s="4">
        <v>241891</v>
      </c>
      <c r="D13463" s="5">
        <v>241891</v>
      </c>
      <c r="E13463" s="6" t="str">
        <f>HYPERLINK("https://inpn.mnhn.fr/espece/cd_nom/241891","Bruchus loti Paykull, 1800")</f>
        <v>Bruchus loti Paykull, 1800</v>
      </c>
      <c r="AH13463" s="4" t="str">
        <f>HYPERLINK("#Statut_biogéographique!A"&amp;_xlfn.XMATCH("P",Statut_biogéographique!A:A,2,1),"P")</f>
        <v>P</v>
      </c>
      <c r="AP13463" s="4" t="s">
        <v>376</v>
      </c>
      <c r="AR13463" s="4" t="s">
        <v>377</v>
      </c>
    </row>
    <row r="13464" spans="1:44">
      <c r="A13464" s="4" t="s">
        <v>10753</v>
      </c>
      <c r="B13464" s="4">
        <v>241892</v>
      </c>
      <c r="D13464" s="5">
        <v>241892</v>
      </c>
      <c r="E13464" s="6" t="str">
        <f>HYPERLINK("https://inpn.mnhn.fr/espece/cd_nom/241892","Bruchus luteicornis Illiger, 1794")</f>
        <v>Bruchus luteicornis Illiger, 1794</v>
      </c>
      <c r="AH13464" s="4" t="str">
        <f>HYPERLINK("#Statut_biogéographique!A"&amp;_xlfn.XMATCH("P",Statut_biogéographique!A:A,2,1),"P")</f>
        <v>P</v>
      </c>
      <c r="AP13464" s="4" t="s">
        <v>376</v>
      </c>
      <c r="AR13464" s="4" t="s">
        <v>377</v>
      </c>
    </row>
    <row r="13465" spans="1:44">
      <c r="A13465" s="4" t="s">
        <v>10753</v>
      </c>
      <c r="B13465" s="4">
        <v>241893</v>
      </c>
      <c r="D13465" s="5" t="s">
        <v>16140</v>
      </c>
      <c r="E13465" s="6" t="str">
        <f>HYPERLINK("https://inpn.mnhn.fr/espece/cd_nom/241893","Bruchus pisorum (Linnaeus, 1758)")</f>
        <v>Bruchus pisorum (Linnaeus, 1758)</v>
      </c>
      <c r="F13465" s="5" t="s">
        <v>16141</v>
      </c>
      <c r="AH13465" s="4" t="str">
        <f>HYPERLINK("#Statut_biogéographique!A"&amp;_xlfn.XMATCH("I",Statut_biogéographique!A:A,2,1),"I")</f>
        <v>I</v>
      </c>
      <c r="AP13465" s="4" t="s">
        <v>376</v>
      </c>
      <c r="AR13465" s="4" t="s">
        <v>377</v>
      </c>
    </row>
    <row r="13466" spans="1:44">
      <c r="A13466" s="4" t="s">
        <v>10753</v>
      </c>
      <c r="B13466" s="4">
        <v>241894</v>
      </c>
      <c r="D13466" s="5" t="s">
        <v>16142</v>
      </c>
      <c r="E13466" s="6" t="str">
        <f>HYPERLINK("https://inpn.mnhn.fr/espece/cd_nom/241894","Bruchus rufimanus Boheman, 1833")</f>
        <v>Bruchus rufimanus Boheman, 1833</v>
      </c>
      <c r="AH13466" s="4" t="str">
        <f>HYPERLINK("#Statut_biogéographique!A"&amp;_xlfn.XMATCH("I",Statut_biogéographique!A:A,2,1),"I")</f>
        <v>I</v>
      </c>
      <c r="AP13466" s="4" t="s">
        <v>376</v>
      </c>
      <c r="AR13466" s="4" t="s">
        <v>377</v>
      </c>
    </row>
    <row r="13467" spans="1:44">
      <c r="A13467" s="4" t="s">
        <v>10753</v>
      </c>
      <c r="B13467" s="4">
        <v>241918</v>
      </c>
      <c r="D13467" s="5" t="s">
        <v>16143</v>
      </c>
      <c r="E13467" s="6" t="str">
        <f>HYPERLINK("https://inpn.mnhn.fr/espece/cd_nom/241918","Bruchidius pygmaeus (Boheman, 1833)")</f>
        <v>Bruchidius pygmaeus (Boheman, 1833)</v>
      </c>
      <c r="AH13467" s="4" t="str">
        <f>HYPERLINK("#Statut_biogéographique!A"&amp;_xlfn.XMATCH("P",Statut_biogéographique!A:A,2,1),"P")</f>
        <v>P</v>
      </c>
      <c r="AP13467" s="4" t="s">
        <v>376</v>
      </c>
      <c r="AR13467" s="4" t="s">
        <v>377</v>
      </c>
    </row>
    <row r="13468" spans="1:44">
      <c r="A13468" s="4" t="s">
        <v>10753</v>
      </c>
      <c r="B13468" s="4">
        <v>241919</v>
      </c>
      <c r="D13468" s="5" t="s">
        <v>16144</v>
      </c>
      <c r="E13468" s="6" t="str">
        <f>HYPERLINK("https://inpn.mnhn.fr/espece/cd_nom/241919","Bruchidius seminarius (Linnaeus, 1767)")</f>
        <v>Bruchidius seminarius (Linnaeus, 1767)</v>
      </c>
      <c r="AH13468" s="4" t="str">
        <f>HYPERLINK("#Statut_biogéographique!A"&amp;_xlfn.XMATCH("P",Statut_biogéographique!A:A,2,1),"P")</f>
        <v>P</v>
      </c>
      <c r="AP13468" s="4" t="s">
        <v>376</v>
      </c>
      <c r="AR13468" s="4" t="s">
        <v>377</v>
      </c>
    </row>
    <row r="13469" spans="1:44">
      <c r="A13469" s="4" t="s">
        <v>10753</v>
      </c>
      <c r="B13469" s="4">
        <v>241926</v>
      </c>
      <c r="D13469" s="5" t="s">
        <v>16145</v>
      </c>
      <c r="E13469" s="6" t="str">
        <f>HYPERLINK("https://inpn.mnhn.fr/espece/cd_nom/241926","Acanthoscelides obtectus (Say, 1831)")</f>
        <v>Acanthoscelides obtectus (Say, 1831)</v>
      </c>
      <c r="AH13469" s="4" t="str">
        <f>HYPERLINK("#Statut_biogéographique!A"&amp;_xlfn.XMATCH("I",Statut_biogéographique!A:A,2,1),"I")</f>
        <v>I</v>
      </c>
      <c r="AP13469" s="4" t="s">
        <v>376</v>
      </c>
      <c r="AR13469" s="4" t="s">
        <v>377</v>
      </c>
    </row>
    <row r="13470" spans="1:44" ht="30">
      <c r="A13470" s="4" t="s">
        <v>10753</v>
      </c>
      <c r="B13470" s="4">
        <v>241928</v>
      </c>
      <c r="D13470" s="5" t="s">
        <v>16146</v>
      </c>
      <c r="E13470" s="6" t="str">
        <f>HYPERLINK("https://inpn.mnhn.fr/espece/cd_nom/241928","Spermophagus calystegiae (Lukjanovitch &amp; Ter-Minassian, 1957)")</f>
        <v>Spermophagus calystegiae (Lukjanovitch &amp; Ter-Minassian, 1957)</v>
      </c>
      <c r="AH13470" s="4" t="str">
        <f>HYPERLINK("#Statut_biogéographique!A"&amp;_xlfn.XMATCH("P",Statut_biogéographique!A:A,2,1),"P")</f>
        <v>P</v>
      </c>
      <c r="AP13470" s="4" t="s">
        <v>376</v>
      </c>
      <c r="AR13470" s="4" t="s">
        <v>377</v>
      </c>
    </row>
    <row r="13471" spans="1:44" ht="30">
      <c r="A13471" s="4" t="s">
        <v>10753</v>
      </c>
      <c r="B13471" s="4">
        <v>241930</v>
      </c>
      <c r="D13471" s="5" t="s">
        <v>16147</v>
      </c>
      <c r="E13471" s="6" t="str">
        <f>HYPERLINK("https://inpn.mnhn.fr/espece/cd_nom/241930","Spermophagus sericeus (Geoffroy in Fourcroy, 1785)")</f>
        <v>Spermophagus sericeus (Geoffroy in Fourcroy, 1785)</v>
      </c>
      <c r="F13471" s="5" t="s">
        <v>16148</v>
      </c>
      <c r="AH13471" s="4" t="str">
        <f>HYPERLINK("#Statut_biogéographique!A"&amp;_xlfn.XMATCH("P",Statut_biogéographique!A:A,2,1),"P")</f>
        <v>P</v>
      </c>
      <c r="AP13471" s="4" t="s">
        <v>376</v>
      </c>
      <c r="AR13471" s="4" t="s">
        <v>377</v>
      </c>
    </row>
    <row r="13472" spans="1:44" ht="30">
      <c r="A13472" s="4" t="s">
        <v>10753</v>
      </c>
      <c r="B13472" s="4">
        <v>241931</v>
      </c>
      <c r="D13472" s="5">
        <v>241931</v>
      </c>
      <c r="E13472" s="6" t="str">
        <f>HYPERLINK("https://inpn.mnhn.fr/espece/cd_nom/241931","Reticulitermes urbis Bagnères &amp; Clément, 2003")</f>
        <v>Reticulitermes urbis Bagnères &amp; Clément, 2003</v>
      </c>
      <c r="AH13472" s="4" t="str">
        <f>HYPERLINK("#Statut_biogéographique!A"&amp;_xlfn.XMATCH("P",Statut_biogéographique!A:A,2,1),"P")</f>
        <v>P</v>
      </c>
      <c r="AP13472" s="4" t="s">
        <v>376</v>
      </c>
      <c r="AR13472" s="4" t="s">
        <v>377</v>
      </c>
    </row>
    <row r="13473" spans="1:44">
      <c r="A13473" s="4" t="s">
        <v>10753</v>
      </c>
      <c r="B13473" s="4">
        <v>241932</v>
      </c>
      <c r="D13473" s="5" t="s">
        <v>16149</v>
      </c>
      <c r="E13473" s="6" t="str">
        <f>HYPERLINK("https://inpn.mnhn.fr/espece/cd_nom/241932","Pseudostenapion simum (Germar, 1817)")</f>
        <v>Pseudostenapion simum (Germar, 1817)</v>
      </c>
      <c r="AH13473" s="4" t="str">
        <f>HYPERLINK("#Statut_biogéographique!A"&amp;_xlfn.XMATCH("P",Statut_biogéographique!A:A,2,1),"P")</f>
        <v>P</v>
      </c>
      <c r="AP13473" s="4" t="s">
        <v>376</v>
      </c>
      <c r="AR13473" s="4" t="s">
        <v>377</v>
      </c>
    </row>
    <row r="13474" spans="1:44">
      <c r="A13474" s="4" t="s">
        <v>10753</v>
      </c>
      <c r="B13474" s="4">
        <v>241933</v>
      </c>
      <c r="D13474" s="5" t="s">
        <v>16150</v>
      </c>
      <c r="E13474" s="6" t="str">
        <f>HYPERLINK("https://inpn.mnhn.fr/espece/cd_nom/241933","Pseudoperapion brevirostre (Herbst, 1797)")</f>
        <v>Pseudoperapion brevirostre (Herbst, 1797)</v>
      </c>
      <c r="AH13474" s="4" t="str">
        <f>HYPERLINK("#Statut_biogéographique!A"&amp;_xlfn.XMATCH("P",Statut_biogéographique!A:A,2,1),"P")</f>
        <v>P</v>
      </c>
      <c r="AP13474" s="4" t="s">
        <v>376</v>
      </c>
      <c r="AR13474" s="4" t="s">
        <v>377</v>
      </c>
    </row>
    <row r="13475" spans="1:44" ht="30">
      <c r="A13475" s="4" t="s">
        <v>10753</v>
      </c>
      <c r="B13475" s="4">
        <v>241946</v>
      </c>
      <c r="D13475" s="5" t="s">
        <v>16151</v>
      </c>
      <c r="E13475" s="6" t="str">
        <f>HYPERLINK("https://inpn.mnhn.fr/espece/cd_nom/241946","Perapion curtirostre (Germar, 1817)")</f>
        <v>Perapion curtirostre (Germar, 1817)</v>
      </c>
      <c r="AH13475" s="4" t="str">
        <f>HYPERLINK("#Statut_biogéographique!A"&amp;_xlfn.XMATCH("P",Statut_biogéographique!A:A,2,1),"P")</f>
        <v>P</v>
      </c>
      <c r="AP13475" s="4" t="s">
        <v>376</v>
      </c>
      <c r="AR13475" s="4" t="s">
        <v>377</v>
      </c>
    </row>
    <row r="13476" spans="1:44">
      <c r="A13476" s="4" t="s">
        <v>10753</v>
      </c>
      <c r="B13476" s="4">
        <v>241951</v>
      </c>
      <c r="D13476" s="5" t="s">
        <v>16152</v>
      </c>
      <c r="E13476" s="6" t="str">
        <f>HYPERLINK("https://inpn.mnhn.fr/espece/cd_nom/241951","Perapion violaceum (W. Kirby, 1808)")</f>
        <v>Perapion violaceum (W. Kirby, 1808)</v>
      </c>
      <c r="AH13476" s="4" t="str">
        <f>HYPERLINK("#Statut_biogéographique!A"&amp;_xlfn.XMATCH("P",Statut_biogéographique!A:A,2,1),"P")</f>
        <v>P</v>
      </c>
      <c r="AP13476" s="4" t="s">
        <v>376</v>
      </c>
      <c r="AR13476" s="4" t="s">
        <v>377</v>
      </c>
    </row>
    <row r="13477" spans="1:44">
      <c r="A13477" s="4" t="s">
        <v>10753</v>
      </c>
      <c r="B13477" s="4">
        <v>241960</v>
      </c>
      <c r="D13477" s="5" t="s">
        <v>16153</v>
      </c>
      <c r="E13477" s="6" t="str">
        <f>HYPERLINK("https://inpn.mnhn.fr/espece/cd_nom/241960","Aspidapion radiolus (Marsham, 1802)")</f>
        <v>Aspidapion radiolus (Marsham, 1802)</v>
      </c>
      <c r="AH13477" s="4" t="str">
        <f>HYPERLINK("#Statut_biogéographique!A"&amp;_xlfn.XMATCH("P",Statut_biogéographique!A:A,2,1),"P")</f>
        <v>P</v>
      </c>
      <c r="AP13477" s="4" t="s">
        <v>376</v>
      </c>
      <c r="AR13477" s="4" t="s">
        <v>377</v>
      </c>
    </row>
    <row r="13478" spans="1:44">
      <c r="A13478" s="4" t="s">
        <v>10753</v>
      </c>
      <c r="B13478" s="4">
        <v>241961</v>
      </c>
      <c r="D13478" s="5" t="s">
        <v>16154</v>
      </c>
      <c r="E13478" s="6" t="str">
        <f>HYPERLINK("https://inpn.mnhn.fr/espece/cd_nom/241961","Aspidapion soror (Rey, 1895)")</f>
        <v>Aspidapion soror (Rey, 1895)</v>
      </c>
      <c r="AH13478" s="4" t="str">
        <f>HYPERLINK("#Statut_biogéographique!A"&amp;_xlfn.XMATCH("P",Statut_biogéographique!A:A,2,1),"P")</f>
        <v>P</v>
      </c>
      <c r="AP13478" s="4" t="s">
        <v>376</v>
      </c>
      <c r="AR13478" s="4" t="s">
        <v>377</v>
      </c>
    </row>
    <row r="13479" spans="1:44" ht="30">
      <c r="A13479" s="4" t="s">
        <v>10753</v>
      </c>
      <c r="B13479" s="4">
        <v>241963</v>
      </c>
      <c r="D13479" s="5" t="s">
        <v>16155</v>
      </c>
      <c r="E13479" s="6" t="str">
        <f>HYPERLINK("https://inpn.mnhn.fr/espece/cd_nom/241963","Aspidapion aeneum (Fabricius, 1775)")</f>
        <v>Aspidapion aeneum (Fabricius, 1775)</v>
      </c>
      <c r="AH13479" s="4" t="str">
        <f>HYPERLINK("#Statut_biogéographique!A"&amp;_xlfn.XMATCH("P",Statut_biogéographique!A:A,2,1),"P")</f>
        <v>P</v>
      </c>
      <c r="AP13479" s="4" t="s">
        <v>376</v>
      </c>
      <c r="AR13479" s="4" t="s">
        <v>377</v>
      </c>
    </row>
    <row r="13480" spans="1:44">
      <c r="A13480" s="4" t="s">
        <v>10753</v>
      </c>
      <c r="B13480" s="4">
        <v>241967</v>
      </c>
      <c r="D13480" s="5" t="s">
        <v>16156</v>
      </c>
      <c r="E13480" s="6" t="str">
        <f>HYPERLINK("https://inpn.mnhn.fr/espece/cd_nom/241967","Omphalapion hookerorum (Kirby, 1808)")</f>
        <v>Omphalapion hookerorum (Kirby, 1808)</v>
      </c>
      <c r="AH13480" s="4" t="str">
        <f>HYPERLINK("#Statut_biogéographique!A"&amp;_xlfn.XMATCH("P",Statut_biogéographique!A:A,2,1),"P")</f>
        <v>P</v>
      </c>
      <c r="AP13480" s="4" t="s">
        <v>376</v>
      </c>
      <c r="AR13480" s="4" t="s">
        <v>377</v>
      </c>
    </row>
    <row r="13481" spans="1:44">
      <c r="A13481" s="4" t="s">
        <v>10753</v>
      </c>
      <c r="B13481" s="4">
        <v>241971</v>
      </c>
      <c r="D13481" s="5" t="s">
        <v>16157</v>
      </c>
      <c r="E13481" s="6" t="str">
        <f>HYPERLINK("https://inpn.mnhn.fr/espece/cd_nom/241971","Diplapion stolidum (Germar, 1817)")</f>
        <v>Diplapion stolidum (Germar, 1817)</v>
      </c>
      <c r="AH13481" s="4" t="str">
        <f>HYPERLINK("#Statut_biogéographique!A"&amp;_xlfn.XMATCH("P",Statut_biogéographique!A:A,2,1),"P")</f>
        <v>P</v>
      </c>
      <c r="AP13481" s="4" t="s">
        <v>376</v>
      </c>
      <c r="AR13481" s="4" t="s">
        <v>377</v>
      </c>
    </row>
    <row r="13482" spans="1:44" ht="30">
      <c r="A13482" s="4" t="s">
        <v>10753</v>
      </c>
      <c r="B13482" s="4">
        <v>241973</v>
      </c>
      <c r="D13482" s="5" t="s">
        <v>16158</v>
      </c>
      <c r="E13482" s="6" t="str">
        <f>HYPERLINK("https://inpn.mnhn.fr/espece/cd_nom/241973","Ceratapion carduorum (Kirby, 1808)")</f>
        <v>Ceratapion carduorum (Kirby, 1808)</v>
      </c>
      <c r="AH13482" s="4" t="str">
        <f>HYPERLINK("#Statut_biogéographique!A"&amp;_xlfn.XMATCH("P",Statut_biogéographique!A:A,2,1),"P")</f>
        <v>P</v>
      </c>
      <c r="AP13482" s="4" t="s">
        <v>376</v>
      </c>
      <c r="AR13482" s="4" t="s">
        <v>377</v>
      </c>
    </row>
    <row r="13483" spans="1:44">
      <c r="A13483" s="4" t="s">
        <v>10753</v>
      </c>
      <c r="B13483" s="4">
        <v>241976</v>
      </c>
      <c r="D13483" s="5" t="s">
        <v>16159</v>
      </c>
      <c r="E13483" s="6" t="str">
        <f>HYPERLINK("https://inpn.mnhn.fr/espece/cd_nom/241976","Ceratapion onopordi (W. Kirby, 1808)")</f>
        <v>Ceratapion onopordi (W. Kirby, 1808)</v>
      </c>
      <c r="AH13483" s="4" t="str">
        <f>HYPERLINK("#Statut_biogéographique!A"&amp;_xlfn.XMATCH("P",Statut_biogéographique!A:A,2,1),"P")</f>
        <v>P</v>
      </c>
      <c r="AP13483" s="4" t="s">
        <v>376</v>
      </c>
      <c r="AR13483" s="4" t="s">
        <v>377</v>
      </c>
    </row>
    <row r="13484" spans="1:44">
      <c r="A13484" s="4" t="s">
        <v>10753</v>
      </c>
      <c r="B13484" s="4">
        <v>24198</v>
      </c>
      <c r="D13484" s="5" t="s">
        <v>16160</v>
      </c>
      <c r="E13484" s="6" t="str">
        <f>HYPERLINK("https://inpn.mnhn.fr/espece/cd_nom/24198","Triphleba antricola (Schmitz, 1918)")</f>
        <v>Triphleba antricola (Schmitz, 1918)</v>
      </c>
      <c r="AH13484" s="4" t="str">
        <f>HYPERLINK("#Statut_biogéographique!A"&amp;_xlfn.XMATCH("P",Statut_biogéographique!A:A,2,1),"P")</f>
        <v>P</v>
      </c>
      <c r="AP13484" s="4" t="s">
        <v>376</v>
      </c>
      <c r="AR13484" s="4" t="s">
        <v>377</v>
      </c>
    </row>
    <row r="13485" spans="1:44">
      <c r="A13485" s="4" t="s">
        <v>10753</v>
      </c>
      <c r="B13485" s="4">
        <v>241984</v>
      </c>
      <c r="D13485" s="5" t="s">
        <v>16161</v>
      </c>
      <c r="E13485" s="6" t="str">
        <f>HYPERLINK("https://inpn.mnhn.fr/espece/cd_nom/241984","Ceratapion penetrans (Germar, 1817)")</f>
        <v>Ceratapion penetrans (Germar, 1817)</v>
      </c>
      <c r="AH13485" s="4" t="str">
        <f>HYPERLINK("#Statut_biogéographique!A"&amp;_xlfn.XMATCH("P",Statut_biogéographique!A:A,2,1),"P")</f>
        <v>P</v>
      </c>
      <c r="AP13485" s="4" t="s">
        <v>376</v>
      </c>
      <c r="AR13485" s="4" t="s">
        <v>377</v>
      </c>
    </row>
    <row r="13486" spans="1:44" ht="30">
      <c r="A13486" s="4" t="s">
        <v>10753</v>
      </c>
      <c r="B13486" s="4">
        <v>241991</v>
      </c>
      <c r="D13486" s="5" t="s">
        <v>16162</v>
      </c>
      <c r="E13486" s="6" t="str">
        <f>HYPERLINK("https://inpn.mnhn.fr/espece/cd_nom/241991","Exapion compactum (Desbrochers des Loges, 1888)")</f>
        <v>Exapion compactum (Desbrochers des Loges, 1888)</v>
      </c>
      <c r="AH13486" s="4" t="str">
        <f>HYPERLINK("#Statut_biogéographique!A"&amp;_xlfn.XMATCH("P",Statut_biogéographique!A:A,2,1),"P")</f>
        <v>P</v>
      </c>
      <c r="AP13486" s="4" t="s">
        <v>376</v>
      </c>
      <c r="AR13486" s="4" t="s">
        <v>377</v>
      </c>
    </row>
    <row r="13487" spans="1:44">
      <c r="A13487" s="4" t="s">
        <v>10753</v>
      </c>
      <c r="B13487" s="4">
        <v>241994</v>
      </c>
      <c r="D13487" s="5" t="s">
        <v>16163</v>
      </c>
      <c r="E13487" s="6" t="str">
        <f>HYPERLINK("https://inpn.mnhn.fr/espece/cd_nom/241994","Exapion difficile (Herbst, 1797)")</f>
        <v>Exapion difficile (Herbst, 1797)</v>
      </c>
      <c r="AH13487" s="4" t="str">
        <f>HYPERLINK("#Statut_biogéographique!A"&amp;_xlfn.XMATCH("P",Statut_biogéographique!A:A,2,1),"P")</f>
        <v>P</v>
      </c>
      <c r="AP13487" s="4" t="s">
        <v>376</v>
      </c>
      <c r="AR13487" s="4" t="s">
        <v>377</v>
      </c>
    </row>
    <row r="13488" spans="1:44">
      <c r="A13488" s="4" t="s">
        <v>10753</v>
      </c>
      <c r="B13488" s="4">
        <v>241997</v>
      </c>
      <c r="D13488" s="5" t="s">
        <v>16164</v>
      </c>
      <c r="E13488" s="6" t="str">
        <f>HYPERLINK("https://inpn.mnhn.fr/espece/cd_nom/241997","Exapion formaneki (Wagner, 1929)")</f>
        <v>Exapion formaneki (Wagner, 1929)</v>
      </c>
      <c r="AH13488" s="4" t="str">
        <f>HYPERLINK("#Statut_biogéographique!A"&amp;_xlfn.XMATCH("P",Statut_biogéographique!A:A,2,1),"P")</f>
        <v>P</v>
      </c>
      <c r="AP13488" s="4" t="s">
        <v>376</v>
      </c>
      <c r="AR13488" s="4" t="s">
        <v>377</v>
      </c>
    </row>
    <row r="13489" spans="1:44">
      <c r="A13489" s="4" t="s">
        <v>10753</v>
      </c>
      <c r="B13489" s="4">
        <v>242004</v>
      </c>
      <c r="D13489" s="5" t="s">
        <v>16165</v>
      </c>
      <c r="E13489" s="6" t="str">
        <f>HYPERLINK("https://inpn.mnhn.fr/espece/cd_nom/242004","Exapion uliciperda (Pandellé, 1867)")</f>
        <v>Exapion uliciperda (Pandellé, 1867)</v>
      </c>
      <c r="AH13489" s="4" t="str">
        <f>HYPERLINK("#Statut_biogéographique!A"&amp;_xlfn.XMATCH("P",Statut_biogéographique!A:A,2,1),"P")</f>
        <v>P</v>
      </c>
      <c r="AP13489" s="4" t="s">
        <v>376</v>
      </c>
      <c r="AR13489" s="4" t="s">
        <v>377</v>
      </c>
    </row>
    <row r="13490" spans="1:44" ht="30">
      <c r="A13490" s="4" t="s">
        <v>10753</v>
      </c>
      <c r="B13490" s="4">
        <v>242006</v>
      </c>
      <c r="D13490" s="5" t="s">
        <v>16166</v>
      </c>
      <c r="E13490" s="6" t="str">
        <f>HYPERLINK("https://inpn.mnhn.fr/espece/cd_nom/242006","Trichopterapion holosericeum (Gyllenhal, 1833)")</f>
        <v>Trichopterapion holosericeum (Gyllenhal, 1833)</v>
      </c>
      <c r="AH13490" s="4" t="str">
        <f>HYPERLINK("#Statut_biogéographique!A"&amp;_xlfn.XMATCH("P",Statut_biogéographique!A:A,2,1),"P")</f>
        <v>P</v>
      </c>
      <c r="AP13490" s="4" t="s">
        <v>376</v>
      </c>
      <c r="AR13490" s="4" t="s">
        <v>377</v>
      </c>
    </row>
    <row r="13491" spans="1:44">
      <c r="A13491" s="4" t="s">
        <v>10753</v>
      </c>
      <c r="B13491" s="4">
        <v>242007</v>
      </c>
      <c r="D13491" s="5" t="s">
        <v>16167</v>
      </c>
      <c r="E13491" s="6" t="str">
        <f>HYPERLINK("https://inpn.mnhn.fr/espece/cd_nom/242007","Ixapion variegatum (Wencker, 1864)")</f>
        <v>Ixapion variegatum (Wencker, 1864)</v>
      </c>
      <c r="AH13491" s="4" t="str">
        <f>HYPERLINK("#Statut_biogéographique!A"&amp;_xlfn.XMATCH("P",Statut_biogéographique!A:A,2,1),"P")</f>
        <v>P</v>
      </c>
      <c r="AP13491" s="4" t="s">
        <v>376</v>
      </c>
      <c r="AR13491" s="4" t="s">
        <v>377</v>
      </c>
    </row>
    <row r="13492" spans="1:44">
      <c r="A13492" s="4" t="s">
        <v>10753</v>
      </c>
      <c r="B13492" s="4">
        <v>242012</v>
      </c>
      <c r="D13492" s="5" t="s">
        <v>16168</v>
      </c>
      <c r="E13492" s="6" t="str">
        <f>HYPERLINK("https://inpn.mnhn.fr/espece/cd_nom/242012","Squamapion atomarium (Kirby, 1808)")</f>
        <v>Squamapion atomarium (Kirby, 1808)</v>
      </c>
      <c r="AH13492" s="4" t="str">
        <f>HYPERLINK("#Statut_biogéographique!A"&amp;_xlfn.XMATCH("P",Statut_biogéographique!A:A,2,1),"P")</f>
        <v>P</v>
      </c>
      <c r="AP13492" s="4" t="s">
        <v>376</v>
      </c>
      <c r="AR13492" s="4" t="s">
        <v>377</v>
      </c>
    </row>
    <row r="13493" spans="1:44" ht="30">
      <c r="A13493" s="4" t="s">
        <v>10753</v>
      </c>
      <c r="B13493" s="4">
        <v>242016</v>
      </c>
      <c r="D13493" s="5" t="s">
        <v>16169</v>
      </c>
      <c r="E13493" s="6" t="str">
        <f>HYPERLINK("https://inpn.mnhn.fr/espece/cd_nom/242016","Squamapion flavimanum (Gyllenhal, 1833)")</f>
        <v>Squamapion flavimanum (Gyllenhal, 1833)</v>
      </c>
      <c r="AH13493" s="4" t="str">
        <f>HYPERLINK("#Statut_biogéographique!A"&amp;_xlfn.XMATCH("P",Statut_biogéographique!A:A,2,1),"P")</f>
        <v>P</v>
      </c>
      <c r="AP13493" s="4" t="s">
        <v>376</v>
      </c>
      <c r="AR13493" s="4" t="s">
        <v>377</v>
      </c>
    </row>
    <row r="13494" spans="1:44" ht="30">
      <c r="A13494" s="4" t="s">
        <v>10753</v>
      </c>
      <c r="B13494" s="4">
        <v>242020</v>
      </c>
      <c r="D13494" s="5" t="s">
        <v>16170</v>
      </c>
      <c r="E13494" s="6" t="str">
        <f>HYPERLINK("https://inpn.mnhn.fr/espece/cd_nom/242020","Squamapion minutissimum (Rosenhauer, 1856)")</f>
        <v>Squamapion minutissimum (Rosenhauer, 1856)</v>
      </c>
      <c r="AH13494" s="4" t="str">
        <f>HYPERLINK("#Statut_biogéographique!A"&amp;_xlfn.XMATCH("P",Statut_biogéographique!A:A,2,1),"P")</f>
        <v>P</v>
      </c>
      <c r="AP13494" s="4" t="s">
        <v>376</v>
      </c>
      <c r="AR13494" s="4" t="s">
        <v>377</v>
      </c>
    </row>
    <row r="13495" spans="1:44">
      <c r="A13495" s="4" t="s">
        <v>10753</v>
      </c>
      <c r="B13495" s="4">
        <v>242021</v>
      </c>
      <c r="D13495" s="5" t="s">
        <v>16171</v>
      </c>
      <c r="E13495" s="6" t="str">
        <f>HYPERLINK("https://inpn.mnhn.fr/espece/cd_nom/242021","Squamapion oblivium (Schilsky, 1902)")</f>
        <v>Squamapion oblivium (Schilsky, 1902)</v>
      </c>
      <c r="AH13495" s="4" t="str">
        <f>HYPERLINK("#Statut_biogéographique!A"&amp;_xlfn.XMATCH("P",Statut_biogéographique!A:A,2,1),"P")</f>
        <v>P</v>
      </c>
      <c r="AP13495" s="4" t="s">
        <v>376</v>
      </c>
      <c r="AR13495" s="4" t="s">
        <v>377</v>
      </c>
    </row>
    <row r="13496" spans="1:44" ht="30">
      <c r="A13496" s="4" t="s">
        <v>10753</v>
      </c>
      <c r="B13496" s="4">
        <v>242024</v>
      </c>
      <c r="D13496" s="5" t="s">
        <v>16172</v>
      </c>
      <c r="E13496" s="6" t="str">
        <f>HYPERLINK("https://inpn.mnhn.fr/espece/cd_nom/242024","Squamapion vicinum (Kirby, 1808)")</f>
        <v>Squamapion vicinum (Kirby, 1808)</v>
      </c>
      <c r="AH13496" s="4" t="str">
        <f>HYPERLINK("#Statut_biogéographique!A"&amp;_xlfn.XMATCH("P",Statut_biogéographique!A:A,2,1),"P")</f>
        <v>P</v>
      </c>
      <c r="AP13496" s="4" t="s">
        <v>376</v>
      </c>
      <c r="AR13496" s="4" t="s">
        <v>377</v>
      </c>
    </row>
    <row r="13497" spans="1:44" ht="30">
      <c r="A13497" s="4" t="s">
        <v>10753</v>
      </c>
      <c r="B13497" s="4">
        <v>242025</v>
      </c>
      <c r="D13497" s="5" t="s">
        <v>16173</v>
      </c>
      <c r="E13497" s="6" t="str">
        <f>HYPERLINK("https://inpn.mnhn.fr/espece/cd_nom/242025","Melanapion minimum (Herbst, 1797)")</f>
        <v>Melanapion minimum (Herbst, 1797)</v>
      </c>
      <c r="AH13497" s="4" t="str">
        <f>HYPERLINK("#Statut_biogéographique!A"&amp;_xlfn.XMATCH("P",Statut_biogéographique!A:A,2,1),"P")</f>
        <v>P</v>
      </c>
      <c r="AP13497" s="4" t="s">
        <v>376</v>
      </c>
      <c r="AR13497" s="4" t="s">
        <v>377</v>
      </c>
    </row>
    <row r="13498" spans="1:44" ht="30">
      <c r="A13498" s="4" t="s">
        <v>10753</v>
      </c>
      <c r="B13498" s="4">
        <v>242026</v>
      </c>
      <c r="D13498" s="5" t="s">
        <v>16174</v>
      </c>
      <c r="E13498" s="6" t="str">
        <f>HYPERLINK("https://inpn.mnhn.fr/espece/cd_nom/242026","Kalcapion pallipes (Kirby, 1808)")</f>
        <v>Kalcapion pallipes (Kirby, 1808)</v>
      </c>
      <c r="AH13498" s="4" t="str">
        <f>HYPERLINK("#Statut_biogéographique!A"&amp;_xlfn.XMATCH("P",Statut_biogéographique!A:A,2,1),"P")</f>
        <v>P</v>
      </c>
      <c r="AP13498" s="4" t="s">
        <v>376</v>
      </c>
      <c r="AR13498" s="4" t="s">
        <v>377</v>
      </c>
    </row>
    <row r="13499" spans="1:44">
      <c r="A13499" s="4" t="s">
        <v>10753</v>
      </c>
      <c r="B13499" s="4">
        <v>242029</v>
      </c>
      <c r="D13499" s="5" t="s">
        <v>16175</v>
      </c>
      <c r="E13499" s="6" t="str">
        <f>HYPERLINK("https://inpn.mnhn.fr/espece/cd_nom/242029","Rhopalapion longirostre (Olivier, 1807)")</f>
        <v>Rhopalapion longirostre (Olivier, 1807)</v>
      </c>
      <c r="F13499" s="5" t="s">
        <v>16176</v>
      </c>
      <c r="AH13499" s="4" t="str">
        <f>HYPERLINK("#Statut_biogéographique!A"&amp;_xlfn.XMATCH("I",Statut_biogéographique!A:A,2,1),"I")</f>
        <v>I</v>
      </c>
      <c r="AP13499" s="4" t="s">
        <v>376</v>
      </c>
      <c r="AR13499" s="4" t="s">
        <v>377</v>
      </c>
    </row>
    <row r="13500" spans="1:44" ht="30">
      <c r="A13500" s="4" t="s">
        <v>10753</v>
      </c>
      <c r="B13500" s="4">
        <v>242032</v>
      </c>
      <c r="D13500" s="5" t="s">
        <v>16177</v>
      </c>
      <c r="E13500" s="6" t="str">
        <f>HYPERLINK("https://inpn.mnhn.fr/espece/cd_nom/242032","Pseudapion rufirostre (Fabricius, 1775)")</f>
        <v>Pseudapion rufirostre (Fabricius, 1775)</v>
      </c>
      <c r="AH13500" s="4" t="str">
        <f>HYPERLINK("#Statut_biogéographique!A"&amp;_xlfn.XMATCH("P",Statut_biogéographique!A:A,2,1),"P")</f>
        <v>P</v>
      </c>
      <c r="AP13500" s="4" t="s">
        <v>376</v>
      </c>
      <c r="AR13500" s="4" t="s">
        <v>377</v>
      </c>
    </row>
    <row r="13501" spans="1:44">
      <c r="A13501" s="4" t="s">
        <v>10753</v>
      </c>
      <c r="B13501" s="4">
        <v>242035</v>
      </c>
      <c r="D13501" s="5" t="s">
        <v>16178</v>
      </c>
      <c r="E13501" s="6" t="str">
        <f>HYPERLINK("https://inpn.mnhn.fr/espece/cd_nom/242035","Pirapion immune (Kirby, 1808)")</f>
        <v>Pirapion immune (Kirby, 1808)</v>
      </c>
      <c r="AH13501" s="4" t="str">
        <f>HYPERLINK("#Statut_biogéographique!A"&amp;_xlfn.XMATCH("P",Statut_biogéographique!A:A,2,1),"P")</f>
        <v>P</v>
      </c>
      <c r="AP13501" s="4" t="s">
        <v>376</v>
      </c>
      <c r="AR13501" s="4" t="s">
        <v>377</v>
      </c>
    </row>
    <row r="13502" spans="1:44">
      <c r="A13502" s="4" t="s">
        <v>10753</v>
      </c>
      <c r="B13502" s="4">
        <v>242036</v>
      </c>
      <c r="D13502" s="5" t="s">
        <v>16179</v>
      </c>
      <c r="E13502" s="6" t="str">
        <f>HYPERLINK("https://inpn.mnhn.fr/espece/cd_nom/242036","Oxystoma cerdo (Gerstäcker, 1854)")</f>
        <v>Oxystoma cerdo (Gerstäcker, 1854)</v>
      </c>
      <c r="AH13502" s="4" t="str">
        <f>HYPERLINK("#Statut_biogéographique!A"&amp;_xlfn.XMATCH("P",Statut_biogéographique!A:A,2,1),"P")</f>
        <v>P</v>
      </c>
      <c r="AP13502" s="4" t="s">
        <v>376</v>
      </c>
      <c r="AR13502" s="4" t="s">
        <v>377</v>
      </c>
    </row>
    <row r="13503" spans="1:44" ht="30">
      <c r="A13503" s="4" t="s">
        <v>10753</v>
      </c>
      <c r="B13503" s="4">
        <v>242037</v>
      </c>
      <c r="D13503" s="5" t="s">
        <v>16180</v>
      </c>
      <c r="E13503" s="6" t="str">
        <f>HYPERLINK("https://inpn.mnhn.fr/espece/cd_nom/242037","Oxystoma craccae (Linnaeus, 1767)")</f>
        <v>Oxystoma craccae (Linnaeus, 1767)</v>
      </c>
      <c r="AH13503" s="4" t="str">
        <f>HYPERLINK("#Statut_biogéographique!A"&amp;_xlfn.XMATCH("P",Statut_biogéographique!A:A,2,1),"P")</f>
        <v>P</v>
      </c>
      <c r="AP13503" s="4" t="s">
        <v>376</v>
      </c>
      <c r="AR13503" s="4" t="s">
        <v>377</v>
      </c>
    </row>
    <row r="13504" spans="1:44">
      <c r="A13504" s="4" t="s">
        <v>10753</v>
      </c>
      <c r="B13504" s="4">
        <v>242039</v>
      </c>
      <c r="D13504" s="5" t="s">
        <v>16181</v>
      </c>
      <c r="E13504" s="6" t="str">
        <f>HYPERLINK("https://inpn.mnhn.fr/espece/cd_nom/242039","Oxystoma ochropus (Germar, 1818)")</f>
        <v>Oxystoma ochropus (Germar, 1818)</v>
      </c>
      <c r="AH13504" s="4" t="str">
        <f>HYPERLINK("#Statut_biogéographique!A"&amp;_xlfn.XMATCH("P",Statut_biogéographique!A:A,2,1),"P")</f>
        <v>P</v>
      </c>
      <c r="AP13504" s="4" t="s">
        <v>376</v>
      </c>
      <c r="AR13504" s="4" t="s">
        <v>377</v>
      </c>
    </row>
    <row r="13505" spans="1:44">
      <c r="A13505" s="4" t="s">
        <v>10753</v>
      </c>
      <c r="B13505" s="4">
        <v>242040</v>
      </c>
      <c r="D13505" s="5" t="s">
        <v>16182</v>
      </c>
      <c r="E13505" s="6" t="str">
        <f>HYPERLINK("https://inpn.mnhn.fr/espece/cd_nom/242040","Oxystoma opeticum (Bach, 1854)")</f>
        <v>Oxystoma opeticum (Bach, 1854)</v>
      </c>
      <c r="AH13505" s="4" t="str">
        <f>HYPERLINK("#Statut_biogéographique!A"&amp;_xlfn.XMATCH("P",Statut_biogéographique!A:A,2,1),"P")</f>
        <v>P</v>
      </c>
      <c r="AP13505" s="4" t="s">
        <v>376</v>
      </c>
      <c r="AR13505" s="4" t="s">
        <v>377</v>
      </c>
    </row>
    <row r="13506" spans="1:44" ht="30">
      <c r="A13506" s="4" t="s">
        <v>10753</v>
      </c>
      <c r="B13506" s="4">
        <v>242041</v>
      </c>
      <c r="D13506" s="5" t="s">
        <v>16183</v>
      </c>
      <c r="E13506" s="6" t="str">
        <f>HYPERLINK("https://inpn.mnhn.fr/espece/cd_nom/242041","Oxystoma pomonae (Fabricius, 1798)")</f>
        <v>Oxystoma pomonae (Fabricius, 1798)</v>
      </c>
      <c r="AH13506" s="4" t="str">
        <f>HYPERLINK("#Statut_biogéographique!A"&amp;_xlfn.XMATCH("P",Statut_biogéographique!A:A,2,1),"P")</f>
        <v>P</v>
      </c>
      <c r="AP13506" s="4" t="s">
        <v>376</v>
      </c>
      <c r="AR13506" s="4" t="s">
        <v>377</v>
      </c>
    </row>
    <row r="13507" spans="1:44">
      <c r="A13507" s="4" t="s">
        <v>10753</v>
      </c>
      <c r="B13507" s="4">
        <v>242042</v>
      </c>
      <c r="D13507" s="5" t="s">
        <v>16184</v>
      </c>
      <c r="E13507" s="6" t="str">
        <f>HYPERLINK("https://inpn.mnhn.fr/espece/cd_nom/242042","Oxystoma subulatum (Kirby, 1808)")</f>
        <v>Oxystoma subulatum (Kirby, 1808)</v>
      </c>
      <c r="AH13507" s="4" t="str">
        <f>HYPERLINK("#Statut_biogéographique!A"&amp;_xlfn.XMATCH("P",Statut_biogéographique!A:A,2,1),"P")</f>
        <v>P</v>
      </c>
      <c r="AP13507" s="4" t="s">
        <v>376</v>
      </c>
      <c r="AR13507" s="4" t="s">
        <v>377</v>
      </c>
    </row>
    <row r="13508" spans="1:44">
      <c r="A13508" s="4" t="s">
        <v>10753</v>
      </c>
      <c r="B13508" s="4">
        <v>242045</v>
      </c>
      <c r="D13508" s="5" t="s">
        <v>16185</v>
      </c>
      <c r="E13508" s="6" t="str">
        <f>HYPERLINK("https://inpn.mnhn.fr/espece/cd_nom/242045","Oryxolaemus scabiosus (Weise, 1889)")</f>
        <v>Oryxolaemus scabiosus (Weise, 1889)</v>
      </c>
      <c r="AH13508" s="4" t="str">
        <f>HYPERLINK("#Statut_biogéographique!A"&amp;_xlfn.XMATCH("P",Statut_biogéographique!A:A,2,1),"P")</f>
        <v>P</v>
      </c>
      <c r="AP13508" s="4" t="s">
        <v>376</v>
      </c>
      <c r="AR13508" s="4" t="s">
        <v>377</v>
      </c>
    </row>
    <row r="13509" spans="1:44" ht="30">
      <c r="A13509" s="4" t="s">
        <v>10753</v>
      </c>
      <c r="B13509" s="4">
        <v>242046</v>
      </c>
      <c r="D13509" s="5" t="s">
        <v>16186</v>
      </c>
      <c r="E13509" s="6" t="str">
        <f>HYPERLINK("https://inpn.mnhn.fr/espece/cd_nom/242046","Mesotrichapion punctirostre (Gyllenhal, 1839)")</f>
        <v>Mesotrichapion punctirostre (Gyllenhal, 1839)</v>
      </c>
      <c r="AH13509" s="4" t="str">
        <f>HYPERLINK("#Statut_biogéographique!A"&amp;_xlfn.XMATCH("P",Statut_biogéographique!A:A,2,1),"P")</f>
        <v>P</v>
      </c>
      <c r="AP13509" s="4" t="s">
        <v>376</v>
      </c>
      <c r="AR13509" s="4" t="s">
        <v>377</v>
      </c>
    </row>
    <row r="13510" spans="1:44">
      <c r="A13510" s="4" t="s">
        <v>10753</v>
      </c>
      <c r="B13510" s="4">
        <v>242048</v>
      </c>
      <c r="D13510" s="5" t="s">
        <v>16187</v>
      </c>
      <c r="E13510" s="6" t="str">
        <f>HYPERLINK("https://inpn.mnhn.fr/espece/cd_nom/242048","Holotrichapion ononis (W. Kirby, 1808)")</f>
        <v>Holotrichapion ononis (W. Kirby, 1808)</v>
      </c>
      <c r="AH13510" s="4" t="str">
        <f>HYPERLINK("#Statut_biogéographique!A"&amp;_xlfn.XMATCH("P",Statut_biogéographique!A:A,2,1),"P")</f>
        <v>P</v>
      </c>
      <c r="AP13510" s="4" t="s">
        <v>376</v>
      </c>
      <c r="AR13510" s="4" t="s">
        <v>377</v>
      </c>
    </row>
    <row r="13511" spans="1:44" ht="45">
      <c r="A13511" s="4" t="s">
        <v>10753</v>
      </c>
      <c r="B13511" s="4">
        <v>242049</v>
      </c>
      <c r="D13511" s="5" t="s">
        <v>16188</v>
      </c>
      <c r="E13511" s="6" t="str">
        <f>HYPERLINK("https://inpn.mnhn.fr/espece/cd_nom/242049","Holotrichapion pisi (Fabricius, 1801)")</f>
        <v>Holotrichapion pisi (Fabricius, 1801)</v>
      </c>
      <c r="AH13511" s="4" t="str">
        <f>HYPERLINK("#Statut_biogéographique!A"&amp;_xlfn.XMATCH("P",Statut_biogéographique!A:A,2,1),"P")</f>
        <v>P</v>
      </c>
      <c r="AP13511" s="4" t="s">
        <v>376</v>
      </c>
      <c r="AR13511" s="4" t="s">
        <v>377</v>
      </c>
    </row>
    <row r="13512" spans="1:44" ht="30">
      <c r="A13512" s="4" t="s">
        <v>10753</v>
      </c>
      <c r="B13512" s="4">
        <v>242050</v>
      </c>
      <c r="D13512" s="5" t="s">
        <v>16189</v>
      </c>
      <c r="E13512" s="6" t="str">
        <f>HYPERLINK("https://inpn.mnhn.fr/espece/cd_nom/242050","Holotrichapion aethiops (Herbst, 1797)")</f>
        <v>Holotrichapion aethiops (Herbst, 1797)</v>
      </c>
      <c r="AH13512" s="4" t="str">
        <f>HYPERLINK("#Statut_biogéographique!A"&amp;_xlfn.XMATCH("P",Statut_biogéographique!A:A,2,1),"P")</f>
        <v>P</v>
      </c>
      <c r="AP13512" s="4" t="s">
        <v>376</v>
      </c>
      <c r="AR13512" s="4" t="s">
        <v>377</v>
      </c>
    </row>
    <row r="13513" spans="1:44" ht="30">
      <c r="A13513" s="4" t="s">
        <v>10753</v>
      </c>
      <c r="B13513" s="4">
        <v>242054</v>
      </c>
      <c r="D13513" s="5" t="s">
        <v>16190</v>
      </c>
      <c r="E13513" s="6" t="str">
        <f>HYPERLINK("https://inpn.mnhn.fr/espece/cd_nom/242054","Hemitrichapion pavidum (Germar, 1817)")</f>
        <v>Hemitrichapion pavidum (Germar, 1817)</v>
      </c>
      <c r="AH13513" s="4" t="str">
        <f>HYPERLINK("#Statut_biogéographique!A"&amp;_xlfn.XMATCH("P",Statut_biogéographique!A:A,2,1),"P")</f>
        <v>P</v>
      </c>
      <c r="AP13513" s="4" t="s">
        <v>376</v>
      </c>
      <c r="AR13513" s="4" t="s">
        <v>377</v>
      </c>
    </row>
    <row r="13514" spans="1:44" ht="30">
      <c r="A13514" s="4" t="s">
        <v>10753</v>
      </c>
      <c r="B13514" s="4">
        <v>242060</v>
      </c>
      <c r="D13514" s="5" t="s">
        <v>16191</v>
      </c>
      <c r="E13514" s="6" t="str">
        <f>HYPERLINK("https://inpn.mnhn.fr/espece/cd_nom/242060","Hemitrichapion reflexum (Gyllenhal, 1833)")</f>
        <v>Hemitrichapion reflexum (Gyllenhal, 1833)</v>
      </c>
      <c r="AH13514" s="4" t="str">
        <f>HYPERLINK("#Statut_biogéographique!A"&amp;_xlfn.XMATCH("P",Statut_biogéographique!A:A,2,1),"P")</f>
        <v>P</v>
      </c>
      <c r="AP13514" s="4" t="s">
        <v>376</v>
      </c>
      <c r="AR13514" s="4" t="s">
        <v>377</v>
      </c>
    </row>
    <row r="13515" spans="1:44" ht="30">
      <c r="A13515" s="4" t="s">
        <v>10753</v>
      </c>
      <c r="B13515" s="4">
        <v>242062</v>
      </c>
      <c r="D13515" s="5" t="s">
        <v>16192</v>
      </c>
      <c r="E13515" s="6" t="str">
        <f>HYPERLINK("https://inpn.mnhn.fr/espece/cd_nom/242062","Eutrichapion ervi (Kirby, 1808)")</f>
        <v>Eutrichapion ervi (Kirby, 1808)</v>
      </c>
      <c r="AH13515" s="4" t="str">
        <f>HYPERLINK("#Statut_biogéographique!A"&amp;_xlfn.XMATCH("P",Statut_biogéographique!A:A,2,1),"P")</f>
        <v>P</v>
      </c>
      <c r="AP13515" s="4" t="s">
        <v>376</v>
      </c>
      <c r="AR13515" s="4" t="s">
        <v>377</v>
      </c>
    </row>
    <row r="13516" spans="1:44" ht="30">
      <c r="A13516" s="4" t="s">
        <v>10753</v>
      </c>
      <c r="B13516" s="4">
        <v>242063</v>
      </c>
      <c r="D13516" s="5" t="s">
        <v>16193</v>
      </c>
      <c r="E13516" s="6" t="str">
        <f>HYPERLINK("https://inpn.mnhn.fr/espece/cd_nom/242063","Eutrichapion viciae (Paykull, 1800)")</f>
        <v>Eutrichapion viciae (Paykull, 1800)</v>
      </c>
      <c r="AH13516" s="4" t="str">
        <f>HYPERLINK("#Statut_biogéographique!A"&amp;_xlfn.XMATCH("P",Statut_biogéographique!A:A,2,1),"P")</f>
        <v>P</v>
      </c>
      <c r="AP13516" s="4" t="s">
        <v>376</v>
      </c>
      <c r="AR13516" s="4" t="s">
        <v>377</v>
      </c>
    </row>
    <row r="13517" spans="1:44">
      <c r="A13517" s="4" t="s">
        <v>10753</v>
      </c>
      <c r="B13517" s="4">
        <v>242070</v>
      </c>
      <c r="D13517" s="5" t="s">
        <v>16194</v>
      </c>
      <c r="E13517" s="6" t="str">
        <f>HYPERLINK("https://inpn.mnhn.fr/espece/cd_nom/242070","Cyanapion columbinum (Germar, 1817)")</f>
        <v>Cyanapion columbinum (Germar, 1817)</v>
      </c>
      <c r="AH13517" s="4" t="str">
        <f>HYPERLINK("#Statut_biogéographique!A"&amp;_xlfn.XMATCH("P",Statut_biogéographique!A:A,2,1),"P")</f>
        <v>P</v>
      </c>
      <c r="AP13517" s="4" t="s">
        <v>376</v>
      </c>
      <c r="AR13517" s="4" t="s">
        <v>377</v>
      </c>
    </row>
    <row r="13518" spans="1:44" ht="30">
      <c r="A13518" s="4" t="s">
        <v>10753</v>
      </c>
      <c r="B13518" s="4">
        <v>242071</v>
      </c>
      <c r="D13518" s="5" t="s">
        <v>16195</v>
      </c>
      <c r="E13518" s="6" t="str">
        <f>HYPERLINK("https://inpn.mnhn.fr/espece/cd_nom/242071","Cyanapion spencii (Kirby, 1808)")</f>
        <v>Cyanapion spencii (Kirby, 1808)</v>
      </c>
      <c r="AH13518" s="4" t="str">
        <f>HYPERLINK("#Statut_biogéographique!A"&amp;_xlfn.XMATCH("P",Statut_biogéographique!A:A,2,1),"P")</f>
        <v>P</v>
      </c>
      <c r="AP13518" s="4" t="s">
        <v>376</v>
      </c>
      <c r="AR13518" s="4" t="s">
        <v>377</v>
      </c>
    </row>
    <row r="13519" spans="1:44" ht="30">
      <c r="A13519" s="4" t="s">
        <v>10753</v>
      </c>
      <c r="B13519" s="4">
        <v>242077</v>
      </c>
      <c r="D13519" s="5" t="s">
        <v>16196</v>
      </c>
      <c r="E13519" s="6" t="str">
        <f>HYPERLINK("https://inpn.mnhn.fr/espece/cd_nom/242077","Catapion curtisii (Stephens, 1831)")</f>
        <v>Catapion curtisii (Stephens, 1831)</v>
      </c>
      <c r="AH13519" s="4" t="str">
        <f>HYPERLINK("#Statut_biogéographique!A"&amp;_xlfn.XMATCH("P",Statut_biogéographique!A:A,2,1),"P")</f>
        <v>P</v>
      </c>
      <c r="AP13519" s="4" t="s">
        <v>376</v>
      </c>
      <c r="AR13519" s="4" t="s">
        <v>377</v>
      </c>
    </row>
    <row r="13520" spans="1:44">
      <c r="A13520" s="4" t="s">
        <v>10753</v>
      </c>
      <c r="B13520" s="4">
        <v>242081</v>
      </c>
      <c r="D13520" s="5" t="s">
        <v>16197</v>
      </c>
      <c r="E13520" s="6" t="str">
        <f>HYPERLINK("https://inpn.mnhn.fr/espece/cd_nom/242081","Catapion pubescens (Kirby, 1811)")</f>
        <v>Catapion pubescens (Kirby, 1811)</v>
      </c>
      <c r="AH13520" s="4" t="str">
        <f>HYPERLINK("#Statut_biogéographique!A"&amp;_xlfn.XMATCH("P",Statut_biogéographique!A:A,2,1),"P")</f>
        <v>P</v>
      </c>
      <c r="AP13520" s="4" t="s">
        <v>376</v>
      </c>
      <c r="AR13520" s="4" t="s">
        <v>377</v>
      </c>
    </row>
    <row r="13521" spans="1:44" ht="45">
      <c r="A13521" s="4" t="s">
        <v>10753</v>
      </c>
      <c r="B13521" s="4">
        <v>242082</v>
      </c>
      <c r="D13521" s="5" t="s">
        <v>16198</v>
      </c>
      <c r="E13521" s="6" t="str">
        <f>HYPERLINK("https://inpn.mnhn.fr/espece/cd_nom/242082","Catapion seniculus (Kirby, 1808)")</f>
        <v>Catapion seniculus (Kirby, 1808)</v>
      </c>
      <c r="AH13521" s="4" t="str">
        <f>HYPERLINK("#Statut_biogéographique!A"&amp;_xlfn.XMATCH("P",Statut_biogéographique!A:A,2,1),"P")</f>
        <v>P</v>
      </c>
      <c r="AP13521" s="4" t="s">
        <v>376</v>
      </c>
      <c r="AR13521" s="4" t="s">
        <v>377</v>
      </c>
    </row>
    <row r="13522" spans="1:44" ht="30">
      <c r="A13522" s="4" t="s">
        <v>10753</v>
      </c>
      <c r="B13522" s="4">
        <v>242085</v>
      </c>
      <c r="D13522" s="5" t="s">
        <v>16199</v>
      </c>
      <c r="E13522" s="6" t="str">
        <f>HYPERLINK("https://inpn.mnhn.fr/espece/cd_nom/242085","Stenopterapion intermedium (Eppelsheim, 1875)")</f>
        <v>Stenopterapion intermedium (Eppelsheim, 1875)</v>
      </c>
      <c r="AH13522" s="4" t="str">
        <f>HYPERLINK("#Statut_biogéographique!A"&amp;_xlfn.XMATCH("P",Statut_biogéographique!A:A,2,1),"P")</f>
        <v>P</v>
      </c>
      <c r="AP13522" s="4" t="s">
        <v>376</v>
      </c>
      <c r="AR13522" s="4" t="s">
        <v>377</v>
      </c>
    </row>
    <row r="13523" spans="1:44">
      <c r="A13523" s="4" t="s">
        <v>10753</v>
      </c>
      <c r="B13523" s="4">
        <v>242086</v>
      </c>
      <c r="D13523" s="5" t="s">
        <v>16200</v>
      </c>
      <c r="E13523" s="6" t="str">
        <f>HYPERLINK("https://inpn.mnhn.fr/espece/cd_nom/242086","Stenopterapion meliloti (Kirby, 1808)")</f>
        <v>Stenopterapion meliloti (Kirby, 1808)</v>
      </c>
      <c r="AH13523" s="4" t="str">
        <f>HYPERLINK("#Statut_biogéographique!A"&amp;_xlfn.XMATCH("P",Statut_biogéographique!A:A,2,1),"P")</f>
        <v>P</v>
      </c>
      <c r="AP13523" s="4" t="s">
        <v>376</v>
      </c>
      <c r="AR13523" s="4" t="s">
        <v>377</v>
      </c>
    </row>
    <row r="13524" spans="1:44">
      <c r="A13524" s="4" t="s">
        <v>10753</v>
      </c>
      <c r="B13524" s="4">
        <v>242087</v>
      </c>
      <c r="D13524" s="5" t="s">
        <v>16201</v>
      </c>
      <c r="E13524" s="6" t="str">
        <f>HYPERLINK("https://inpn.mnhn.fr/espece/cd_nom/242087","Stenopterapion tenue (Kirby, 1808)")</f>
        <v>Stenopterapion tenue (Kirby, 1808)</v>
      </c>
      <c r="AH13524" s="4" t="str">
        <f>HYPERLINK("#Statut_biogéographique!A"&amp;_xlfn.XMATCH("P",Statut_biogéographique!A:A,2,1),"P")</f>
        <v>P</v>
      </c>
      <c r="AP13524" s="4" t="s">
        <v>376</v>
      </c>
      <c r="AR13524" s="4" t="s">
        <v>377</v>
      </c>
    </row>
    <row r="13525" spans="1:44">
      <c r="A13525" s="4" t="s">
        <v>10753</v>
      </c>
      <c r="B13525" s="4">
        <v>242090</v>
      </c>
      <c r="D13525" s="5" t="s">
        <v>16202</v>
      </c>
      <c r="E13525" s="6" t="str">
        <f>HYPERLINK("https://inpn.mnhn.fr/espece/cd_nom/242090","Protopirapion atratulum (Germar, 1817)")</f>
        <v>Protopirapion atratulum (Germar, 1817)</v>
      </c>
      <c r="AH13525" s="4" t="str">
        <f>HYPERLINK("#Statut_biogéographique!A"&amp;_xlfn.XMATCH("P",Statut_biogéographique!A:A,2,1),"P")</f>
        <v>P</v>
      </c>
      <c r="AP13525" s="4" t="s">
        <v>376</v>
      </c>
      <c r="AR13525" s="4" t="s">
        <v>377</v>
      </c>
    </row>
    <row r="13526" spans="1:44" ht="45">
      <c r="A13526" s="4" t="s">
        <v>10753</v>
      </c>
      <c r="B13526" s="4">
        <v>242094</v>
      </c>
      <c r="D13526" s="5" t="s">
        <v>16203</v>
      </c>
      <c r="E13526" s="6" t="str">
        <f>HYPERLINK("https://inpn.mnhn.fr/espece/cd_nom/242094","Ischnopterapion loti (Kirby, 1808)")</f>
        <v>Ischnopterapion loti (Kirby, 1808)</v>
      </c>
      <c r="AH13526" s="4" t="str">
        <f>HYPERLINK("#Statut_biogéographique!A"&amp;_xlfn.XMATCH("P",Statut_biogéographique!A:A,2,1),"P")</f>
        <v>P</v>
      </c>
      <c r="AP13526" s="4" t="s">
        <v>376</v>
      </c>
      <c r="AR13526" s="4" t="s">
        <v>377</v>
      </c>
    </row>
    <row r="13527" spans="1:44">
      <c r="A13527" s="4" t="s">
        <v>10753</v>
      </c>
      <c r="B13527" s="4">
        <v>242095</v>
      </c>
      <c r="D13527" s="5" t="s">
        <v>16204</v>
      </c>
      <c r="E13527" s="6" t="str">
        <f>HYPERLINK("https://inpn.mnhn.fr/espece/cd_nom/242095","Ischnopterapion modestum (Germar, 1817)")</f>
        <v>Ischnopterapion modestum (Germar, 1817)</v>
      </c>
      <c r="AH13527" s="4" t="str">
        <f>HYPERLINK("#Statut_biogéographique!A"&amp;_xlfn.XMATCH("P",Statut_biogéographique!A:A,2,1),"P")</f>
        <v>P</v>
      </c>
      <c r="AP13527" s="4" t="s">
        <v>376</v>
      </c>
      <c r="AR13527" s="4" t="s">
        <v>377</v>
      </c>
    </row>
    <row r="13528" spans="1:44" ht="30">
      <c r="A13528" s="4" t="s">
        <v>10753</v>
      </c>
      <c r="B13528" s="4">
        <v>242099</v>
      </c>
      <c r="D13528" s="5" t="s">
        <v>16205</v>
      </c>
      <c r="E13528" s="6" t="str">
        <f>HYPERLINK("https://inpn.mnhn.fr/espece/cd_nom/242099","Ischnopterapion virens (Herbst, 1797)")</f>
        <v>Ischnopterapion virens (Herbst, 1797)</v>
      </c>
      <c r="AH13528" s="4" t="str">
        <f>HYPERLINK("#Statut_biogéographique!A"&amp;_xlfn.XMATCH("P",Statut_biogéographique!A:A,2,1),"P")</f>
        <v>P</v>
      </c>
      <c r="AP13528" s="4" t="s">
        <v>376</v>
      </c>
      <c r="AR13528" s="4" t="s">
        <v>377</v>
      </c>
    </row>
    <row r="13529" spans="1:44">
      <c r="A13529" s="4" t="s">
        <v>10753</v>
      </c>
      <c r="B13529" s="4">
        <v>242100</v>
      </c>
      <c r="D13529" s="5" t="s">
        <v>16206</v>
      </c>
      <c r="E13529" s="6" t="str">
        <f>HYPERLINK("https://inpn.mnhn.fr/espece/cd_nom/242100","Betulapion simile (W. Kirby, 1811)")</f>
        <v>Betulapion simile (W. Kirby, 1811)</v>
      </c>
      <c r="AH13529" s="4" t="str">
        <f>HYPERLINK("#Statut_biogéographique!A"&amp;_xlfn.XMATCH("P",Statut_biogéographique!A:A,2,1),"P")</f>
        <v>P</v>
      </c>
      <c r="AP13529" s="4" t="s">
        <v>376</v>
      </c>
      <c r="AR13529" s="4" t="s">
        <v>377</v>
      </c>
    </row>
    <row r="13530" spans="1:44">
      <c r="A13530" s="4" t="s">
        <v>10753</v>
      </c>
      <c r="B13530" s="4">
        <v>242101</v>
      </c>
      <c r="D13530" s="5" t="s">
        <v>16207</v>
      </c>
      <c r="E13530" s="6" t="str">
        <f>HYPERLINK("https://inpn.mnhn.fr/espece/cd_nom/242101","Pseudoprotapion astragali (Paykull, 1800)")</f>
        <v>Pseudoprotapion astragali (Paykull, 1800)</v>
      </c>
      <c r="AH13530" s="4" t="str">
        <f>HYPERLINK("#Statut_biogéographique!A"&amp;_xlfn.XMATCH("P",Statut_biogéographique!A:A,2,1),"P")</f>
        <v>P</v>
      </c>
      <c r="AP13530" s="4" t="s">
        <v>376</v>
      </c>
      <c r="AR13530" s="4" t="s">
        <v>377</v>
      </c>
    </row>
    <row r="13531" spans="1:44" ht="30">
      <c r="A13531" s="4" t="s">
        <v>10753</v>
      </c>
      <c r="B13531" s="4">
        <v>242102</v>
      </c>
      <c r="D13531" s="5" t="s">
        <v>16208</v>
      </c>
      <c r="E13531" s="6" t="str">
        <f>HYPERLINK("https://inpn.mnhn.fr/espece/cd_nom/242102","Pseudoprotapion elegantulum (Germar, 1818)")</f>
        <v>Pseudoprotapion elegantulum (Germar, 1818)</v>
      </c>
      <c r="AH13531" s="4" t="str">
        <f>HYPERLINK("#Statut_biogéographique!A"&amp;_xlfn.XMATCH("P",Statut_biogéographique!A:A,2,1),"P")</f>
        <v>P</v>
      </c>
      <c r="AP13531" s="4" t="s">
        <v>376</v>
      </c>
      <c r="AR13531" s="4" t="s">
        <v>377</v>
      </c>
    </row>
    <row r="13532" spans="1:44" ht="30">
      <c r="A13532" s="4" t="s">
        <v>10753</v>
      </c>
      <c r="B13532" s="4">
        <v>242105</v>
      </c>
      <c r="D13532" s="5" t="s">
        <v>16209</v>
      </c>
      <c r="E13532" s="6" t="str">
        <f>HYPERLINK("https://inpn.mnhn.fr/espece/cd_nom/242105","Protapion apricans (Herbst, 1797)")</f>
        <v>Protapion apricans (Herbst, 1797)</v>
      </c>
      <c r="AH13532" s="4" t="str">
        <f>HYPERLINK("#Statut_biogéographique!A"&amp;_xlfn.XMATCH("P",Statut_biogéographique!A:A,2,1),"P")</f>
        <v>P</v>
      </c>
      <c r="AP13532" s="4" t="s">
        <v>376</v>
      </c>
      <c r="AR13532" s="4" t="s">
        <v>377</v>
      </c>
    </row>
    <row r="13533" spans="1:44">
      <c r="A13533" s="4" t="s">
        <v>10753</v>
      </c>
      <c r="B13533" s="4">
        <v>242106</v>
      </c>
      <c r="D13533" s="5" t="s">
        <v>16210</v>
      </c>
      <c r="E13533" s="6" t="str">
        <f>HYPERLINK("https://inpn.mnhn.fr/espece/cd_nom/242106","Protapion assimile (Kirby, 1808)")</f>
        <v>Protapion assimile (Kirby, 1808)</v>
      </c>
      <c r="AH13533" s="4" t="str">
        <f>HYPERLINK("#Statut_biogéographique!A"&amp;_xlfn.XMATCH("P",Statut_biogéographique!A:A,2,1),"P")</f>
        <v>P</v>
      </c>
      <c r="AP13533" s="4" t="s">
        <v>376</v>
      </c>
      <c r="AR13533" s="4" t="s">
        <v>377</v>
      </c>
    </row>
    <row r="13534" spans="1:44">
      <c r="A13534" s="4" t="s">
        <v>10753</v>
      </c>
      <c r="B13534" s="4">
        <v>242111</v>
      </c>
      <c r="D13534" s="5" t="s">
        <v>16211</v>
      </c>
      <c r="E13534" s="6" t="str">
        <f>HYPERLINK("https://inpn.mnhn.fr/espece/cd_nom/242111","Protapion filirostre (Kirby, 1808)")</f>
        <v>Protapion filirostre (Kirby, 1808)</v>
      </c>
      <c r="AH13534" s="4" t="str">
        <f>HYPERLINK("#Statut_biogéographique!A"&amp;_xlfn.XMATCH("P",Statut_biogéographique!A:A,2,1),"P")</f>
        <v>P</v>
      </c>
      <c r="AP13534" s="4" t="s">
        <v>376</v>
      </c>
      <c r="AR13534" s="4" t="s">
        <v>377</v>
      </c>
    </row>
    <row r="13535" spans="1:44" ht="45">
      <c r="A13535" s="4" t="s">
        <v>10753</v>
      </c>
      <c r="B13535" s="4">
        <v>242112</v>
      </c>
      <c r="D13535" s="5" t="s">
        <v>16212</v>
      </c>
      <c r="E13535" s="6" t="str">
        <f>HYPERLINK("https://inpn.mnhn.fr/espece/cd_nom/242112","Protapion fulvipes (Geoffroy, 1785)")</f>
        <v>Protapion fulvipes (Geoffroy, 1785)</v>
      </c>
      <c r="F13535" s="5" t="s">
        <v>16213</v>
      </c>
      <c r="AH13535" s="4" t="str">
        <f>HYPERLINK("#Statut_biogéographique!A"&amp;_xlfn.XMATCH("P",Statut_biogéographique!A:A,2,1),"P")</f>
        <v>P</v>
      </c>
      <c r="AP13535" s="4" t="s">
        <v>376</v>
      </c>
      <c r="AR13535" s="4" t="s">
        <v>377</v>
      </c>
    </row>
    <row r="13536" spans="1:44">
      <c r="A13536" s="4" t="s">
        <v>10753</v>
      </c>
      <c r="B13536" s="4">
        <v>242116</v>
      </c>
      <c r="D13536" s="5" t="s">
        <v>16214</v>
      </c>
      <c r="E13536" s="6" t="str">
        <f>HYPERLINK("https://inpn.mnhn.fr/espece/cd_nom/242116","Protapion nigritarse (Kirby, 1808)")</f>
        <v>Protapion nigritarse (Kirby, 1808)</v>
      </c>
      <c r="AH13536" s="4" t="str">
        <f>HYPERLINK("#Statut_biogéographique!A"&amp;_xlfn.XMATCH("P",Statut_biogéographique!A:A,2,1),"P")</f>
        <v>P</v>
      </c>
      <c r="AP13536" s="4" t="s">
        <v>376</v>
      </c>
      <c r="AR13536" s="4" t="s">
        <v>377</v>
      </c>
    </row>
    <row r="13537" spans="1:44">
      <c r="A13537" s="4" t="s">
        <v>10753</v>
      </c>
      <c r="B13537" s="4">
        <v>242117</v>
      </c>
      <c r="D13537" s="5" t="s">
        <v>16215</v>
      </c>
      <c r="E13537" s="6" t="str">
        <f>HYPERLINK("https://inpn.mnhn.fr/espece/cd_nom/242117","Protapion ononidis (Gyllenhal, 1827)")</f>
        <v>Protapion ononidis (Gyllenhal, 1827)</v>
      </c>
      <c r="AH13537" s="4" t="str">
        <f>HYPERLINK("#Statut_biogéographique!A"&amp;_xlfn.XMATCH("P",Statut_biogéographique!A:A,2,1),"P")</f>
        <v>P</v>
      </c>
      <c r="AP13537" s="4" t="s">
        <v>376</v>
      </c>
      <c r="AR13537" s="4" t="s">
        <v>377</v>
      </c>
    </row>
    <row r="13538" spans="1:44">
      <c r="A13538" s="4" t="s">
        <v>10753</v>
      </c>
      <c r="B13538" s="4">
        <v>242121</v>
      </c>
      <c r="D13538" s="5" t="s">
        <v>16216</v>
      </c>
      <c r="E13538" s="6" t="str">
        <f>HYPERLINK("https://inpn.mnhn.fr/espece/cd_nom/242121","Protapion schoenherri (Boheman, 1839)")</f>
        <v>Protapion schoenherri (Boheman, 1839)</v>
      </c>
      <c r="AH13538" s="4" t="str">
        <f>HYPERLINK("#Statut_biogéographique!A"&amp;_xlfn.XMATCH("P",Statut_biogéographique!A:A,2,1),"P")</f>
        <v>P</v>
      </c>
      <c r="AP13538" s="4" t="s">
        <v>376</v>
      </c>
      <c r="AR13538" s="4" t="s">
        <v>377</v>
      </c>
    </row>
    <row r="13539" spans="1:44" ht="30">
      <c r="A13539" s="4" t="s">
        <v>10753</v>
      </c>
      <c r="B13539" s="4">
        <v>242122</v>
      </c>
      <c r="D13539" s="5" t="s">
        <v>16217</v>
      </c>
      <c r="E13539" s="6" t="str">
        <f>HYPERLINK("https://inpn.mnhn.fr/espece/cd_nom/242122","Protapion trifolii (Linnaeus, 1768)")</f>
        <v>Protapion trifolii (Linnaeus, 1768)</v>
      </c>
      <c r="AH13539" s="4" t="str">
        <f>HYPERLINK("#Statut_biogéographique!A"&amp;_xlfn.XMATCH("P",Statut_biogéographique!A:A,2,1),"P")</f>
        <v>P</v>
      </c>
      <c r="AP13539" s="4" t="s">
        <v>376</v>
      </c>
      <c r="AR13539" s="4" t="s">
        <v>377</v>
      </c>
    </row>
    <row r="13540" spans="1:44">
      <c r="A13540" s="4" t="s">
        <v>10753</v>
      </c>
      <c r="B13540" s="4">
        <v>242125</v>
      </c>
      <c r="D13540" s="5" t="s">
        <v>16218</v>
      </c>
      <c r="E13540" s="6" t="str">
        <f>HYPERLINK("https://inpn.mnhn.fr/espece/cd_nom/242125","Curimopsis italica (Franz, 1967)")</f>
        <v>Curimopsis italica (Franz, 1967)</v>
      </c>
      <c r="AH13540" s="4" t="str">
        <f>HYPERLINK("#Statut_biogéographique!A"&amp;_xlfn.XMATCH("P",Statut_biogéographique!A:A,2,1),"P")</f>
        <v>P</v>
      </c>
      <c r="AP13540" s="4" t="s">
        <v>376</v>
      </c>
      <c r="AR13540" s="4" t="s">
        <v>377</v>
      </c>
    </row>
    <row r="13541" spans="1:44" ht="30">
      <c r="A13541" s="4" t="s">
        <v>10753</v>
      </c>
      <c r="B13541" s="4">
        <v>242133</v>
      </c>
      <c r="D13541" s="5" t="s">
        <v>16219</v>
      </c>
      <c r="E13541" s="6" t="str">
        <f>HYPERLINK("https://inpn.mnhn.fr/espece/cd_nom/242133","Chaetophora spinosa (Rossi, 1794)")</f>
        <v>Chaetophora spinosa (Rossi, 1794)</v>
      </c>
      <c r="AH13541" s="4" t="str">
        <f>HYPERLINK("#Statut_biogéographique!A"&amp;_xlfn.XMATCH("P",Statut_biogéographique!A:A,2,1),"P")</f>
        <v>P</v>
      </c>
      <c r="AP13541" s="4" t="s">
        <v>376</v>
      </c>
      <c r="AR13541" s="4" t="s">
        <v>377</v>
      </c>
    </row>
    <row r="13542" spans="1:44" ht="30">
      <c r="A13542" s="4" t="s">
        <v>10753</v>
      </c>
      <c r="B13542" s="4">
        <v>242137</v>
      </c>
      <c r="D13542" s="5" t="s">
        <v>16220</v>
      </c>
      <c r="E13542" s="6" t="str">
        <f>HYPERLINK("https://inpn.mnhn.fr/espece/cd_nom/242137","Simplocaria semistriata (Fabricius, 1794)")</f>
        <v>Simplocaria semistriata (Fabricius, 1794)</v>
      </c>
      <c r="AH13542" s="4" t="str">
        <f>HYPERLINK("#Statut_biogéographique!A"&amp;_xlfn.XMATCH("P",Statut_biogéographique!A:A,2,1),"P")</f>
        <v>P</v>
      </c>
      <c r="AP13542" s="4" t="s">
        <v>376</v>
      </c>
      <c r="AR13542" s="4" t="s">
        <v>377</v>
      </c>
    </row>
    <row r="13543" spans="1:44">
      <c r="A13543" s="4" t="s">
        <v>10753</v>
      </c>
      <c r="B13543" s="4">
        <v>242140</v>
      </c>
      <c r="D13543" s="5" t="s">
        <v>16221</v>
      </c>
      <c r="E13543" s="6" t="str">
        <f>HYPERLINK("https://inpn.mnhn.fr/espece/cd_nom/242140","Morychus aeneus (Fabricius, 1775)")</f>
        <v>Morychus aeneus (Fabricius, 1775)</v>
      </c>
      <c r="AH13543" s="4" t="str">
        <f>HYPERLINK("#Statut_biogéographique!A"&amp;_xlfn.XMATCH("P",Statut_biogéographique!A:A,2,1),"P")</f>
        <v>P</v>
      </c>
      <c r="AP13543" s="4" t="s">
        <v>376</v>
      </c>
      <c r="AR13543" s="4" t="s">
        <v>377</v>
      </c>
    </row>
    <row r="13544" spans="1:44" ht="30">
      <c r="A13544" s="4" t="s">
        <v>10753</v>
      </c>
      <c r="B13544" s="4">
        <v>242141</v>
      </c>
      <c r="D13544" s="5" t="s">
        <v>16222</v>
      </c>
      <c r="E13544" s="6" t="str">
        <f>HYPERLINK("https://inpn.mnhn.fr/espece/cd_nom/242141","Lamprobyrrhulus nitidus (Schaller, 1783)")</f>
        <v>Lamprobyrrhulus nitidus (Schaller, 1783)</v>
      </c>
      <c r="AH13544" s="4" t="str">
        <f>HYPERLINK("#Statut_biogéographique!A"&amp;_xlfn.XMATCH("P",Statut_biogéographique!A:A,2,1),"P")</f>
        <v>P</v>
      </c>
      <c r="AP13544" s="4" t="s">
        <v>376</v>
      </c>
      <c r="AR13544" s="4" t="s">
        <v>377</v>
      </c>
    </row>
    <row r="13545" spans="1:44">
      <c r="A13545" s="4" t="s">
        <v>10753</v>
      </c>
      <c r="B13545" s="4">
        <v>242144</v>
      </c>
      <c r="D13545" s="5">
        <v>242144</v>
      </c>
      <c r="E13545" s="6" t="str">
        <f>HYPERLINK("https://inpn.mnhn.fr/espece/cd_nom/242144","Byrrhus arietinus Steffahny, 1842")</f>
        <v>Byrrhus arietinus Steffahny, 1842</v>
      </c>
      <c r="AH13545" s="4" t="str">
        <f>HYPERLINK("#Statut_biogéographique!A"&amp;_xlfn.XMATCH("P",Statut_biogéographique!A:A,2,1),"P")</f>
        <v>P</v>
      </c>
      <c r="AP13545" s="4" t="s">
        <v>376</v>
      </c>
      <c r="AR13545" s="4" t="s">
        <v>377</v>
      </c>
    </row>
    <row r="13546" spans="1:44">
      <c r="A13546" s="4" t="s">
        <v>10753</v>
      </c>
      <c r="B13546" s="4">
        <v>242146</v>
      </c>
      <c r="D13546" s="5" t="s">
        <v>16223</v>
      </c>
      <c r="E13546" s="6" t="str">
        <f>HYPERLINK("https://inpn.mnhn.fr/espece/cd_nom/242146","Byrrhus pustulatus (Forster, 1771)")</f>
        <v>Byrrhus pustulatus (Forster, 1771)</v>
      </c>
      <c r="AH13546" s="4" t="str">
        <f>HYPERLINK("#Statut_biogéographique!A"&amp;_xlfn.XMATCH("P",Statut_biogéographique!A:A,2,1),"P")</f>
        <v>P</v>
      </c>
      <c r="AP13546" s="4" t="s">
        <v>376</v>
      </c>
      <c r="AR13546" s="4" t="s">
        <v>377</v>
      </c>
    </row>
    <row r="13547" spans="1:44" ht="45">
      <c r="A13547" s="4" t="s">
        <v>10753</v>
      </c>
      <c r="B13547" s="4">
        <v>242176</v>
      </c>
      <c r="D13547" s="5" t="s">
        <v>16224</v>
      </c>
      <c r="E13547" s="6" t="str">
        <f>HYPERLINK("https://inpn.mnhn.fr/espece/cd_nom/242176","Hypera miles (Paykull, 1792)")</f>
        <v>Hypera miles (Paykull, 1792)</v>
      </c>
      <c r="AH13547" s="4" t="str">
        <f>HYPERLINK("#Statut_biogéographique!A"&amp;_xlfn.XMATCH("P",Statut_biogéographique!A:A,2,1),"P")</f>
        <v>P</v>
      </c>
      <c r="AP13547" s="4" t="s">
        <v>376</v>
      </c>
      <c r="AR13547" s="4" t="s">
        <v>377</v>
      </c>
    </row>
    <row r="13548" spans="1:44" ht="30">
      <c r="A13548" s="4" t="s">
        <v>10753</v>
      </c>
      <c r="B13548" s="4">
        <v>242178</v>
      </c>
      <c r="D13548" s="5" t="s">
        <v>16225</v>
      </c>
      <c r="E13548" s="6" t="str">
        <f>HYPERLINK("https://inpn.mnhn.fr/espece/cd_nom/242178","Hypera plantaginis (De Geer, 1775)")</f>
        <v>Hypera plantaginis (De Geer, 1775)</v>
      </c>
      <c r="AH13548" s="4" t="str">
        <f>HYPERLINK("#Statut_biogéographique!A"&amp;_xlfn.XMATCH("P",Statut_biogéographique!A:A,2,1),"P")</f>
        <v>P</v>
      </c>
      <c r="AP13548" s="4" t="s">
        <v>376</v>
      </c>
      <c r="AR13548" s="4" t="s">
        <v>377</v>
      </c>
    </row>
    <row r="13549" spans="1:44" ht="30">
      <c r="A13549" s="4" t="s">
        <v>10753</v>
      </c>
      <c r="B13549" s="4">
        <v>242179</v>
      </c>
      <c r="D13549" s="5" t="s">
        <v>16226</v>
      </c>
      <c r="E13549" s="6" t="str">
        <f>HYPERLINK("https://inpn.mnhn.fr/espece/cd_nom/242179","Hypera venusta (Fabricius, 1781)")</f>
        <v>Hypera venusta (Fabricius, 1781)</v>
      </c>
      <c r="AH13549" s="4" t="str">
        <f>HYPERLINK("#Statut_biogéographique!A"&amp;_xlfn.XMATCH("P",Statut_biogéographique!A:A,2,1),"P")</f>
        <v>P</v>
      </c>
      <c r="AP13549" s="4" t="s">
        <v>376</v>
      </c>
      <c r="AR13549" s="4" t="s">
        <v>377</v>
      </c>
    </row>
    <row r="13550" spans="1:44" ht="60">
      <c r="A13550" s="4" t="s">
        <v>10753</v>
      </c>
      <c r="B13550" s="4">
        <v>242182</v>
      </c>
      <c r="D13550" s="5" t="s">
        <v>16227</v>
      </c>
      <c r="E13550" s="6" t="str">
        <f>HYPERLINK("https://inpn.mnhn.fr/espece/cd_nom/242182","Hypera conmaculata (Herbst, 1795)")</f>
        <v>Hypera conmaculata (Herbst, 1795)</v>
      </c>
      <c r="AH13550" s="4" t="str">
        <f>HYPERLINK("#Statut_biogéographique!A"&amp;_xlfn.XMATCH("P",Statut_biogéographique!A:A,2,1),"P")</f>
        <v>P</v>
      </c>
      <c r="AP13550" s="4" t="s">
        <v>376</v>
      </c>
      <c r="AR13550" s="4" t="s">
        <v>377</v>
      </c>
    </row>
    <row r="13551" spans="1:44" ht="30">
      <c r="A13551" s="4" t="s">
        <v>10753</v>
      </c>
      <c r="B13551" s="4">
        <v>242190</v>
      </c>
      <c r="D13551" s="5" t="s">
        <v>16228</v>
      </c>
      <c r="E13551" s="6" t="str">
        <f>HYPERLINK("https://inpn.mnhn.fr/espece/cd_nom/242190","Cossonus parallelepipedus (Herbst, 1795)")</f>
        <v>Cossonus parallelepipedus (Herbst, 1795)</v>
      </c>
      <c r="AH13551" s="4" t="str">
        <f>HYPERLINK("#Statut_biogéographique!A"&amp;_xlfn.XMATCH("P",Statut_biogéographique!A:A,2,1),"P")</f>
        <v>P</v>
      </c>
      <c r="AP13551" s="4" t="s">
        <v>376</v>
      </c>
      <c r="AR13551" s="4" t="s">
        <v>377</v>
      </c>
    </row>
    <row r="13552" spans="1:44">
      <c r="A13552" s="4" t="s">
        <v>10753</v>
      </c>
      <c r="B13552" s="4">
        <v>242194</v>
      </c>
      <c r="D13552" s="5" t="s">
        <v>16229</v>
      </c>
      <c r="E13552" s="6" t="str">
        <f>HYPERLINK("https://inpn.mnhn.fr/espece/cd_nom/242194","Hexarthrum capitulum (Wollaston, 1858)")</f>
        <v>Hexarthrum capitulum (Wollaston, 1858)</v>
      </c>
      <c r="AH13552" s="4" t="str">
        <f>HYPERLINK("#Statut_biogéographique!A"&amp;_xlfn.XMATCH("P",Statut_biogéographique!A:A,2,1),"P")</f>
        <v>P</v>
      </c>
      <c r="AP13552" s="4" t="s">
        <v>376</v>
      </c>
      <c r="AR13552" s="4" t="s">
        <v>377</v>
      </c>
    </row>
    <row r="13553" spans="1:44">
      <c r="A13553" s="4" t="s">
        <v>10753</v>
      </c>
      <c r="B13553" s="4">
        <v>242195</v>
      </c>
      <c r="D13553" s="5" t="s">
        <v>16230</v>
      </c>
      <c r="E13553" s="6" t="str">
        <f>HYPERLINK("https://inpn.mnhn.fr/espece/cd_nom/242195","Rhyncolus ater (Linnaeus, 1758)")</f>
        <v>Rhyncolus ater (Linnaeus, 1758)</v>
      </c>
      <c r="AH13553" s="4" t="str">
        <f>HYPERLINK("#Statut_biogéographique!A"&amp;_xlfn.XMATCH("P",Statut_biogéographique!A:A,2,1),"P")</f>
        <v>P</v>
      </c>
      <c r="AP13553" s="4" t="s">
        <v>376</v>
      </c>
      <c r="AR13553" s="4" t="s">
        <v>377</v>
      </c>
    </row>
    <row r="13554" spans="1:44" ht="30">
      <c r="A13554" s="4" t="s">
        <v>10753</v>
      </c>
      <c r="B13554" s="4">
        <v>242196</v>
      </c>
      <c r="D13554" s="5" t="s">
        <v>16231</v>
      </c>
      <c r="E13554" s="6" t="str">
        <f>HYPERLINK("https://inpn.mnhn.fr/espece/cd_nom/242196","Rhyncolus elongatus (Gyllenhal, 1827)")</f>
        <v>Rhyncolus elongatus (Gyllenhal, 1827)</v>
      </c>
      <c r="AH13554" s="4" t="str">
        <f>HYPERLINK("#Statut_biogéographique!A"&amp;_xlfn.XMATCH("P",Statut_biogéographique!A:A,2,1),"P")</f>
        <v>P</v>
      </c>
      <c r="AP13554" s="4" t="s">
        <v>376</v>
      </c>
      <c r="AR13554" s="4" t="s">
        <v>377</v>
      </c>
    </row>
    <row r="13555" spans="1:44">
      <c r="A13555" s="4" t="s">
        <v>10753</v>
      </c>
      <c r="B13555" s="4">
        <v>242197</v>
      </c>
      <c r="D13555" s="5" t="s">
        <v>16232</v>
      </c>
      <c r="E13555" s="6" t="str">
        <f>HYPERLINK("https://inpn.mnhn.fr/espece/cd_nom/242197","Rhyncolus punctatulus Boheman, 1838")</f>
        <v>Rhyncolus punctatulus Boheman, 1838</v>
      </c>
      <c r="AH13555" s="4" t="str">
        <f>HYPERLINK("#Statut_biogéographique!A"&amp;_xlfn.XMATCH("P",Statut_biogéographique!A:A,2,1),"P")</f>
        <v>P</v>
      </c>
      <c r="AP13555" s="4" t="s">
        <v>376</v>
      </c>
      <c r="AR13555" s="4" t="s">
        <v>377</v>
      </c>
    </row>
    <row r="13556" spans="1:44">
      <c r="A13556" s="4" t="s">
        <v>10753</v>
      </c>
      <c r="B13556" s="4">
        <v>242200</v>
      </c>
      <c r="D13556" s="5" t="s">
        <v>16233</v>
      </c>
      <c r="E13556" s="6" t="str">
        <f>HYPERLINK("https://inpn.mnhn.fr/espece/cd_nom/242200","Rhyncolus reflexus Boheman, 1838")</f>
        <v>Rhyncolus reflexus Boheman, 1838</v>
      </c>
      <c r="AH13556" s="4" t="str">
        <f>HYPERLINK("#Statut_biogéographique!A"&amp;_xlfn.XMATCH("P",Statut_biogéographique!A:A,2,1),"P")</f>
        <v>P</v>
      </c>
      <c r="AP13556" s="4" t="s">
        <v>376</v>
      </c>
      <c r="AR13556" s="4" t="s">
        <v>377</v>
      </c>
    </row>
    <row r="13557" spans="1:44" ht="30">
      <c r="A13557" s="4" t="s">
        <v>10753</v>
      </c>
      <c r="B13557" s="4">
        <v>242202</v>
      </c>
      <c r="D13557" s="5" t="s">
        <v>16234</v>
      </c>
      <c r="E13557" s="6" t="str">
        <f>HYPERLINK("https://inpn.mnhn.fr/espece/cd_nom/242202","Phloeophagus lignarius (Marsham, 1802)")</f>
        <v>Phloeophagus lignarius (Marsham, 1802)</v>
      </c>
      <c r="AH13557" s="4" t="str">
        <f>HYPERLINK("#Statut_biogéographique!A"&amp;_xlfn.XMATCH("P",Statut_biogéographique!A:A,2,1),"P")</f>
        <v>P</v>
      </c>
      <c r="AP13557" s="4" t="s">
        <v>376</v>
      </c>
      <c r="AR13557" s="4" t="s">
        <v>377</v>
      </c>
    </row>
    <row r="13558" spans="1:44" ht="60">
      <c r="A13558" s="4" t="s">
        <v>10753</v>
      </c>
      <c r="B13558" s="4">
        <v>242208</v>
      </c>
      <c r="D13558" s="5" t="s">
        <v>16235</v>
      </c>
      <c r="E13558" s="6" t="str">
        <f>HYPERLINK("https://inpn.mnhn.fr/espece/cd_nom/242208","Lixus pulverulentus (Scopoli, 1763)")</f>
        <v>Lixus pulverulentus (Scopoli, 1763)</v>
      </c>
      <c r="F13558" s="5" t="s">
        <v>16236</v>
      </c>
      <c r="AH13558" s="4" t="str">
        <f>HYPERLINK("#Statut_biogéographique!A"&amp;_xlfn.XMATCH("P",Statut_biogéographique!A:A,2,1),"P")</f>
        <v>P</v>
      </c>
      <c r="AP13558" s="4" t="s">
        <v>376</v>
      </c>
      <c r="AR13558" s="4" t="s">
        <v>377</v>
      </c>
    </row>
    <row r="13559" spans="1:44" ht="45">
      <c r="A13559" s="4" t="s">
        <v>10753</v>
      </c>
      <c r="B13559" s="4">
        <v>242209</v>
      </c>
      <c r="D13559" s="5" t="s">
        <v>16237</v>
      </c>
      <c r="E13559" s="6" t="str">
        <f>HYPERLINK("https://inpn.mnhn.fr/espece/cd_nom/242209","Lixus filiformis (Fabricius, 1781)")</f>
        <v>Lixus filiformis (Fabricius, 1781)</v>
      </c>
      <c r="F13559" s="5" t="s">
        <v>16238</v>
      </c>
      <c r="AH13559" s="4" t="str">
        <f>HYPERLINK("#Statut_biogéographique!A"&amp;_xlfn.XMATCH("P",Statut_biogéographique!A:A,2,1),"P")</f>
        <v>P</v>
      </c>
      <c r="AP13559" s="4" t="s">
        <v>376</v>
      </c>
      <c r="AR13559" s="4" t="s">
        <v>377</v>
      </c>
    </row>
    <row r="13560" spans="1:44">
      <c r="A13560" s="4" t="s">
        <v>10753</v>
      </c>
      <c r="B13560" s="4">
        <v>24221</v>
      </c>
      <c r="D13560" s="5">
        <v>24221</v>
      </c>
      <c r="E13560" s="6" t="str">
        <f>HYPERLINK("https://inpn.mnhn.fr/espece/cd_nom/24221","Chalarus fimbriatus Coe, 1966")</f>
        <v>Chalarus fimbriatus Coe, 1966</v>
      </c>
      <c r="AH13560" s="4" t="str">
        <f>HYPERLINK("#Statut_biogéographique!A"&amp;_xlfn.XMATCH("P",Statut_biogéographique!A:A,2,1),"P")</f>
        <v>P</v>
      </c>
      <c r="AP13560" s="4" t="s">
        <v>376</v>
      </c>
      <c r="AR13560" s="4" t="s">
        <v>377</v>
      </c>
    </row>
    <row r="13561" spans="1:44" ht="45">
      <c r="A13561" s="4" t="s">
        <v>10753</v>
      </c>
      <c r="B13561" s="4">
        <v>242233</v>
      </c>
      <c r="D13561" s="5" t="s">
        <v>16239</v>
      </c>
      <c r="E13561" s="6" t="str">
        <f>HYPERLINK("https://inpn.mnhn.fr/espece/cd_nom/242233","Cleonis pigra (Scopoli, 1763)")</f>
        <v>Cleonis pigra (Scopoli, 1763)</v>
      </c>
      <c r="F13561" s="5" t="s">
        <v>16240</v>
      </c>
      <c r="AH13561" s="4" t="str">
        <f>HYPERLINK("#Statut_biogéographique!A"&amp;_xlfn.XMATCH("P",Statut_biogéographique!A:A,2,1),"P")</f>
        <v>P</v>
      </c>
      <c r="AP13561" s="4" t="s">
        <v>376</v>
      </c>
      <c r="AR13561" s="4" t="s">
        <v>377</v>
      </c>
    </row>
    <row r="13562" spans="1:44" ht="30">
      <c r="A13562" s="4" t="s">
        <v>10753</v>
      </c>
      <c r="B13562" s="4">
        <v>242239</v>
      </c>
      <c r="D13562" s="5" t="s">
        <v>16241</v>
      </c>
      <c r="E13562" s="6" t="str">
        <f>HYPERLINK("https://inpn.mnhn.fr/espece/cd_nom/242239","Platypus cylindrus (Fabricius, 1792)")</f>
        <v>Platypus cylindrus (Fabricius, 1792)</v>
      </c>
      <c r="F13562" s="5" t="s">
        <v>16242</v>
      </c>
      <c r="AH13562" s="4" t="str">
        <f>HYPERLINK("#Statut_biogéographique!A"&amp;_xlfn.XMATCH("P",Statut_biogéographique!A:A,2,1),"P")</f>
        <v>P</v>
      </c>
      <c r="AP13562" s="4" t="s">
        <v>376</v>
      </c>
      <c r="AR13562" s="4" t="s">
        <v>377</v>
      </c>
    </row>
    <row r="13563" spans="1:44">
      <c r="A13563" s="4" t="s">
        <v>10753</v>
      </c>
      <c r="B13563" s="4">
        <v>242240</v>
      </c>
      <c r="D13563" s="5" t="s">
        <v>16243</v>
      </c>
      <c r="E13563" s="6" t="str">
        <f>HYPERLINK("https://inpn.mnhn.fr/espece/cd_nom/242240","Gnathotrichus materiarius (Fitch, 1858)")</f>
        <v>Gnathotrichus materiarius (Fitch, 1858)</v>
      </c>
      <c r="AH13563" s="4" t="str">
        <f>HYPERLINK("#Statut_biogéographique!A"&amp;_xlfn.XMATCH("I",Statut_biogéographique!A:A,2,1),"I")</f>
        <v>I</v>
      </c>
      <c r="AP13563" s="4" t="s">
        <v>376</v>
      </c>
      <c r="AR13563" s="4" t="s">
        <v>377</v>
      </c>
    </row>
    <row r="13564" spans="1:44">
      <c r="A13564" s="4" t="s">
        <v>10753</v>
      </c>
      <c r="B13564" s="4">
        <v>242241</v>
      </c>
      <c r="D13564" s="5" t="s">
        <v>16244</v>
      </c>
      <c r="E13564" s="6" t="str">
        <f>HYPERLINK("https://inpn.mnhn.fr/espece/cd_nom/242241","Pityophthorus buyssoni Reitter, 1901")</f>
        <v>Pityophthorus buyssoni Reitter, 1901</v>
      </c>
      <c r="AH13564" s="4" t="str">
        <f>HYPERLINK("#Statut_biogéographique!A"&amp;_xlfn.XMATCH("P",Statut_biogéographique!A:A,2,1),"P")</f>
        <v>P</v>
      </c>
      <c r="AP13564" s="4" t="s">
        <v>376</v>
      </c>
      <c r="AR13564" s="4" t="s">
        <v>377</v>
      </c>
    </row>
    <row r="13565" spans="1:44" ht="30">
      <c r="A13565" s="4" t="s">
        <v>10753</v>
      </c>
      <c r="B13565" s="4">
        <v>242249</v>
      </c>
      <c r="D13565" s="5" t="s">
        <v>16245</v>
      </c>
      <c r="E13565" s="6" t="str">
        <f>HYPERLINK("https://inpn.mnhn.fr/espece/cd_nom/242249","Pityophthorus pityographus (Ratzeburg, 1837)")</f>
        <v>Pityophthorus pityographus (Ratzeburg, 1837)</v>
      </c>
      <c r="AH13565" s="4" t="str">
        <f>HYPERLINK("#Statut_biogéographique!A"&amp;_xlfn.XMATCH("P",Statut_biogéographique!A:A,2,1),"P")</f>
        <v>P</v>
      </c>
      <c r="AP13565" s="4" t="s">
        <v>376</v>
      </c>
      <c r="AR13565" s="4" t="s">
        <v>377</v>
      </c>
    </row>
    <row r="13566" spans="1:44">
      <c r="A13566" s="4" t="s">
        <v>10753</v>
      </c>
      <c r="B13566" s="4">
        <v>242250</v>
      </c>
      <c r="D13566" s="5" t="s">
        <v>16246</v>
      </c>
      <c r="E13566" s="6" t="str">
        <f>HYPERLINK("https://inpn.mnhn.fr/espece/cd_nom/242250","Pityophthorus pubescens (Marsham, 1802)")</f>
        <v>Pityophthorus pubescens (Marsham, 1802)</v>
      </c>
      <c r="AH13566" s="4" t="str">
        <f>HYPERLINK("#Statut_biogéographique!A"&amp;_xlfn.XMATCH("P",Statut_biogéographique!A:A,2,1),"P")</f>
        <v>P</v>
      </c>
      <c r="AP13566" s="4" t="s">
        <v>376</v>
      </c>
      <c r="AR13566" s="4" t="s">
        <v>377</v>
      </c>
    </row>
    <row r="13567" spans="1:44">
      <c r="A13567" s="4" t="s">
        <v>10753</v>
      </c>
      <c r="B13567" s="4">
        <v>242255</v>
      </c>
      <c r="D13567" s="5" t="s">
        <v>16247</v>
      </c>
      <c r="E13567" s="6" t="str">
        <f>HYPERLINK("https://inpn.mnhn.fr/espece/cd_nom/242255","Ernoporus tiliae (Panzer, 1793)")</f>
        <v>Ernoporus tiliae (Panzer, 1793)</v>
      </c>
      <c r="AH13567" s="4" t="str">
        <f>HYPERLINK("#Statut_biogéographique!A"&amp;_xlfn.XMATCH("P",Statut_biogéographique!A:A,2,1),"P")</f>
        <v>P</v>
      </c>
      <c r="AP13567" s="4" t="s">
        <v>376</v>
      </c>
      <c r="AR13567" s="4" t="s">
        <v>377</v>
      </c>
    </row>
    <row r="13568" spans="1:44">
      <c r="A13568" s="4" t="s">
        <v>10753</v>
      </c>
      <c r="B13568" s="4">
        <v>24226</v>
      </c>
      <c r="D13568" s="5" t="s">
        <v>16248</v>
      </c>
      <c r="E13568" s="6" t="str">
        <f>HYPERLINK("https://inpn.mnhn.fr/espece/cd_nom/24226","Chalarus exiguus (Haliday, 1833)")</f>
        <v>Chalarus exiguus (Haliday, 1833)</v>
      </c>
      <c r="AH13568" s="4" t="str">
        <f>HYPERLINK("#Statut_biogéographique!A"&amp;_xlfn.XMATCH("P",Statut_biogéographique!A:A,2,1),"P")</f>
        <v>P</v>
      </c>
      <c r="AP13568" s="4" t="s">
        <v>376</v>
      </c>
      <c r="AR13568" s="4" t="s">
        <v>377</v>
      </c>
    </row>
    <row r="13569" spans="1:44">
      <c r="A13569" s="4" t="s">
        <v>10753</v>
      </c>
      <c r="B13569" s="4">
        <v>242260</v>
      </c>
      <c r="D13569" s="5" t="s">
        <v>16249</v>
      </c>
      <c r="E13569" s="6" t="str">
        <f>HYPERLINK("https://inpn.mnhn.fr/espece/cd_nom/242260","Cryphalus piceae (Ratzeburg, 1837)")</f>
        <v>Cryphalus piceae (Ratzeburg, 1837)</v>
      </c>
      <c r="AH13569" s="4" t="str">
        <f>HYPERLINK("#Statut_biogéographique!A"&amp;_xlfn.XMATCH("P",Statut_biogéographique!A:A,2,1),"P")</f>
        <v>P</v>
      </c>
      <c r="AP13569" s="4" t="s">
        <v>376</v>
      </c>
      <c r="AR13569" s="4" t="s">
        <v>377</v>
      </c>
    </row>
    <row r="13570" spans="1:44" ht="30">
      <c r="A13570" s="4" t="s">
        <v>10753</v>
      </c>
      <c r="B13570" s="4">
        <v>242261</v>
      </c>
      <c r="D13570" s="5" t="s">
        <v>16250</v>
      </c>
      <c r="E13570" s="6" t="str">
        <f>HYPERLINK("https://inpn.mnhn.fr/espece/cd_nom/242261","Crypturgus cinereus (Herbst, 1793)")</f>
        <v>Crypturgus cinereus (Herbst, 1793)</v>
      </c>
      <c r="AH13570" s="4" t="str">
        <f>HYPERLINK("#Statut_biogéographique!A"&amp;_xlfn.XMATCH("P",Statut_biogéographique!A:A,2,1),"P")</f>
        <v>P</v>
      </c>
      <c r="AP13570" s="4" t="s">
        <v>376</v>
      </c>
      <c r="AR13570" s="4" t="s">
        <v>377</v>
      </c>
    </row>
    <row r="13571" spans="1:44" ht="30">
      <c r="A13571" s="4" t="s">
        <v>10753</v>
      </c>
      <c r="B13571" s="4">
        <v>242265</v>
      </c>
      <c r="D13571" s="5" t="s">
        <v>16251</v>
      </c>
      <c r="E13571" s="6" t="str">
        <f>HYPERLINK("https://inpn.mnhn.fr/espece/cd_nom/242265","Crypturgus pusillus (Gyllenhal, 1813)")</f>
        <v>Crypturgus pusillus (Gyllenhal, 1813)</v>
      </c>
      <c r="AH13571" s="4" t="str">
        <f>HYPERLINK("#Statut_biogéographique!A"&amp;_xlfn.XMATCH("P",Statut_biogéographique!A:A,2,1),"P")</f>
        <v>P</v>
      </c>
      <c r="AP13571" s="4" t="s">
        <v>376</v>
      </c>
      <c r="AR13571" s="4" t="s">
        <v>377</v>
      </c>
    </row>
    <row r="13572" spans="1:44">
      <c r="A13572" s="4" t="s">
        <v>10753</v>
      </c>
      <c r="B13572" s="4">
        <v>242267</v>
      </c>
      <c r="D13572" s="5" t="s">
        <v>16252</v>
      </c>
      <c r="E13572" s="6" t="str">
        <f>HYPERLINK("https://inpn.mnhn.fr/espece/cd_nom/242267","Xylocleptes bispinus (Duftschmid, 1825)")</f>
        <v>Xylocleptes bispinus (Duftschmid, 1825)</v>
      </c>
      <c r="AH13572" s="4" t="str">
        <f>HYPERLINK("#Statut_biogéographique!A"&amp;_xlfn.XMATCH("P",Statut_biogéographique!A:A,2,1),"P")</f>
        <v>P</v>
      </c>
      <c r="AP13572" s="4" t="s">
        <v>376</v>
      </c>
      <c r="AR13572" s="4" t="s">
        <v>377</v>
      </c>
    </row>
    <row r="13573" spans="1:44">
      <c r="A13573" s="4" t="s">
        <v>10753</v>
      </c>
      <c r="B13573" s="4">
        <v>242269</v>
      </c>
      <c r="D13573" s="5" t="s">
        <v>16253</v>
      </c>
      <c r="E13573" s="6" t="str">
        <f>HYPERLINK("https://inpn.mnhn.fr/espece/cd_nom/242269","Lymantor aceris (Lindemann, 1875)")</f>
        <v>Lymantor aceris (Lindemann, 1875)</v>
      </c>
      <c r="AH13573" s="4" t="str">
        <f>HYPERLINK("#Statut_biogéographique!A"&amp;_xlfn.XMATCH("P",Statut_biogéographique!A:A,2,1),"P")</f>
        <v>P</v>
      </c>
      <c r="AP13573" s="4" t="s">
        <v>376</v>
      </c>
      <c r="AR13573" s="4" t="s">
        <v>377</v>
      </c>
    </row>
    <row r="13574" spans="1:44">
      <c r="A13574" s="4" t="s">
        <v>10753</v>
      </c>
      <c r="B13574" s="4">
        <v>242270</v>
      </c>
      <c r="D13574" s="5" t="s">
        <v>16254</v>
      </c>
      <c r="E13574" s="6" t="str">
        <f>HYPERLINK("https://inpn.mnhn.fr/espece/cd_nom/242270","Lymantor coryli (Perris, 1853)")</f>
        <v>Lymantor coryli (Perris, 1853)</v>
      </c>
      <c r="AH13574" s="4" t="str">
        <f>HYPERLINK("#Statut_biogéographique!A"&amp;_xlfn.XMATCH("P",Statut_biogéographique!A:A,2,1),"P")</f>
        <v>P</v>
      </c>
      <c r="AP13574" s="4" t="s">
        <v>376</v>
      </c>
      <c r="AR13574" s="4" t="s">
        <v>377</v>
      </c>
    </row>
    <row r="13575" spans="1:44">
      <c r="A13575" s="4" t="s">
        <v>10753</v>
      </c>
      <c r="B13575" s="4">
        <v>242271</v>
      </c>
      <c r="D13575" s="5" t="s">
        <v>16255</v>
      </c>
      <c r="E13575" s="6" t="str">
        <f>HYPERLINK("https://inpn.mnhn.fr/espece/cd_nom/242271","Dryocoetes alni (Georg, 1856)")</f>
        <v>Dryocoetes alni (Georg, 1856)</v>
      </c>
      <c r="AH13575" s="4" t="str">
        <f>HYPERLINK("#Statut_biogéographique!A"&amp;_xlfn.XMATCH("P",Statut_biogéographique!A:A,2,1),"P")</f>
        <v>P</v>
      </c>
      <c r="AP13575" s="4" t="s">
        <v>376</v>
      </c>
      <c r="AR13575" s="4" t="s">
        <v>377</v>
      </c>
    </row>
    <row r="13576" spans="1:44" ht="45">
      <c r="A13576" s="4" t="s">
        <v>10753</v>
      </c>
      <c r="B13576" s="4">
        <v>242272</v>
      </c>
      <c r="D13576" s="5" t="s">
        <v>16256</v>
      </c>
      <c r="E13576" s="6" t="str">
        <f>HYPERLINK("https://inpn.mnhn.fr/espece/cd_nom/242272","Dryocoetes autographus (Ratzeburg, 1837)")</f>
        <v>Dryocoetes autographus (Ratzeburg, 1837)</v>
      </c>
      <c r="AH13576" s="4" t="str">
        <f>HYPERLINK("#Statut_biogéographique!A"&amp;_xlfn.XMATCH("P",Statut_biogéographique!A:A,2,1),"P")</f>
        <v>P</v>
      </c>
      <c r="AP13576" s="4" t="s">
        <v>376</v>
      </c>
      <c r="AR13576" s="4" t="s">
        <v>377</v>
      </c>
    </row>
    <row r="13577" spans="1:44">
      <c r="A13577" s="4" t="s">
        <v>10753</v>
      </c>
      <c r="B13577" s="4">
        <v>242273</v>
      </c>
      <c r="D13577" s="5">
        <v>242273</v>
      </c>
      <c r="E13577" s="6" t="str">
        <f>HYPERLINK("https://inpn.mnhn.fr/espece/cd_nom/242273","Dryocoetes hectographus Reitter, 1913")</f>
        <v>Dryocoetes hectographus Reitter, 1913</v>
      </c>
      <c r="AH13577" s="4" t="str">
        <f>HYPERLINK("#Statut_biogéographique!A"&amp;_xlfn.XMATCH("P",Statut_biogéographique!A:A,2,1),"P")</f>
        <v>P</v>
      </c>
      <c r="AP13577" s="4" t="s">
        <v>376</v>
      </c>
      <c r="AR13577" s="4" t="s">
        <v>377</v>
      </c>
    </row>
    <row r="13578" spans="1:44">
      <c r="A13578" s="4" t="s">
        <v>10753</v>
      </c>
      <c r="B13578" s="4">
        <v>242275</v>
      </c>
      <c r="D13578" s="5" t="s">
        <v>16257</v>
      </c>
      <c r="E13578" s="6" t="str">
        <f>HYPERLINK("https://inpn.mnhn.fr/espece/cd_nom/242275","Dryocoetes villosus (Fabricius, 1792)")</f>
        <v>Dryocoetes villosus (Fabricius, 1792)</v>
      </c>
      <c r="AH13578" s="4" t="str">
        <f>HYPERLINK("#Statut_biogéographique!A"&amp;_xlfn.XMATCH("P",Statut_biogéographique!A:A,2,1),"P")</f>
        <v>P</v>
      </c>
      <c r="AP13578" s="4" t="s">
        <v>376</v>
      </c>
      <c r="AR13578" s="4" t="s">
        <v>377</v>
      </c>
    </row>
    <row r="13579" spans="1:44" ht="30">
      <c r="A13579" s="4" t="s">
        <v>10753</v>
      </c>
      <c r="B13579" s="4">
        <v>242279</v>
      </c>
      <c r="D13579" s="5" t="s">
        <v>16258</v>
      </c>
      <c r="E13579" s="6" t="str">
        <f>HYPERLINK("https://inpn.mnhn.fr/espece/cd_nom/242279","Hylurgops glabratus (Zetterstedt, 1828)")</f>
        <v>Hylurgops glabratus (Zetterstedt, 1828)</v>
      </c>
      <c r="AH13579" s="4" t="str">
        <f>HYPERLINK("#Statut_biogéographique!A"&amp;_xlfn.XMATCH("P",Statut_biogéographique!A:A,2,1),"P")</f>
        <v>P</v>
      </c>
      <c r="AP13579" s="4" t="s">
        <v>376</v>
      </c>
      <c r="AR13579" s="4" t="s">
        <v>377</v>
      </c>
    </row>
    <row r="13580" spans="1:44" ht="45">
      <c r="A13580" s="4" t="s">
        <v>10753</v>
      </c>
      <c r="B13580" s="4">
        <v>242280</v>
      </c>
      <c r="D13580" s="5" t="s">
        <v>16259</v>
      </c>
      <c r="E13580" s="6" t="str">
        <f>HYPERLINK("https://inpn.mnhn.fr/espece/cd_nom/242280","Hylurgops palliatus (Gyllenhal, 1813)")</f>
        <v>Hylurgops palliatus (Gyllenhal, 1813)</v>
      </c>
      <c r="AH13580" s="4" t="str">
        <f>HYPERLINK("#Statut_biogéographique!A"&amp;_xlfn.XMATCH("P",Statut_biogéographique!A:A,2,1),"P")</f>
        <v>P</v>
      </c>
      <c r="AP13580" s="4" t="s">
        <v>376</v>
      </c>
      <c r="AR13580" s="4" t="s">
        <v>377</v>
      </c>
    </row>
    <row r="13581" spans="1:44">
      <c r="A13581" s="4" t="s">
        <v>10753</v>
      </c>
      <c r="B13581" s="4">
        <v>242281</v>
      </c>
      <c r="D13581" s="5">
        <v>242281</v>
      </c>
      <c r="E13581" s="6" t="str">
        <f>HYPERLINK("https://inpn.mnhn.fr/espece/cd_nom/242281","Hylastes attenuatus Erichson, 1836")</f>
        <v>Hylastes attenuatus Erichson, 1836</v>
      </c>
      <c r="AH13581" s="4" t="str">
        <f>HYPERLINK("#Statut_biogéographique!A"&amp;_xlfn.XMATCH("P",Statut_biogéographique!A:A,2,1),"P")</f>
        <v>P</v>
      </c>
      <c r="AP13581" s="4" t="s">
        <v>376</v>
      </c>
      <c r="AR13581" s="4" t="s">
        <v>377</v>
      </c>
    </row>
    <row r="13582" spans="1:44">
      <c r="A13582" s="4" t="s">
        <v>10753</v>
      </c>
      <c r="B13582" s="4">
        <v>242282</v>
      </c>
      <c r="D13582" s="5" t="s">
        <v>16260</v>
      </c>
      <c r="E13582" s="6" t="str">
        <f>HYPERLINK("https://inpn.mnhn.fr/espece/cd_nom/242282","Hylastes cunicularius Erichson, 1836")</f>
        <v>Hylastes cunicularius Erichson, 1836</v>
      </c>
      <c r="AH13582" s="4" t="str">
        <f>HYPERLINK("#Statut_biogéographique!A"&amp;_xlfn.XMATCH("P",Statut_biogéographique!A:A,2,1),"P")</f>
        <v>P</v>
      </c>
      <c r="AP13582" s="4" t="s">
        <v>376</v>
      </c>
      <c r="AR13582" s="4" t="s">
        <v>377</v>
      </c>
    </row>
    <row r="13583" spans="1:44">
      <c r="A13583" s="4" t="s">
        <v>10753</v>
      </c>
      <c r="B13583" s="4">
        <v>242283</v>
      </c>
      <c r="D13583" s="5" t="s">
        <v>16261</v>
      </c>
      <c r="E13583" s="6" t="str">
        <f>HYPERLINK("https://inpn.mnhn.fr/espece/cd_nom/242283","Hylastes linearis Erichson, 1836")</f>
        <v>Hylastes linearis Erichson, 1836</v>
      </c>
      <c r="AH13583" s="4" t="str">
        <f>HYPERLINK("#Statut_biogéographique!A"&amp;_xlfn.XMATCH("P",Statut_biogéographique!A:A,2,1),"P")</f>
        <v>P</v>
      </c>
      <c r="AP13583" s="4" t="s">
        <v>376</v>
      </c>
      <c r="AR13583" s="4" t="s">
        <v>377</v>
      </c>
    </row>
    <row r="13584" spans="1:44">
      <c r="A13584" s="4" t="s">
        <v>10753</v>
      </c>
      <c r="B13584" s="4">
        <v>242284</v>
      </c>
      <c r="D13584" s="5" t="s">
        <v>16262</v>
      </c>
      <c r="E13584" s="6" t="str">
        <f>HYPERLINK("https://inpn.mnhn.fr/espece/cd_nom/242284","Hylastes opacus Erichson, 1836")</f>
        <v>Hylastes opacus Erichson, 1836</v>
      </c>
      <c r="AH13584" s="4" t="str">
        <f>HYPERLINK("#Statut_biogéographique!A"&amp;_xlfn.XMATCH("P",Statut_biogéographique!A:A,2,1),"P")</f>
        <v>P</v>
      </c>
      <c r="AP13584" s="4" t="s">
        <v>376</v>
      </c>
      <c r="AR13584" s="4" t="s">
        <v>377</v>
      </c>
    </row>
    <row r="13585" spans="1:44">
      <c r="A13585" s="4" t="s">
        <v>10753</v>
      </c>
      <c r="B13585" s="4">
        <v>242285</v>
      </c>
      <c r="D13585" s="5" t="s">
        <v>16263</v>
      </c>
      <c r="E13585" s="6" t="str">
        <f>HYPERLINK("https://inpn.mnhn.fr/espece/cd_nom/242285","Pteleobius kraatzii (Eichhoff, 1864)")</f>
        <v>Pteleobius kraatzii (Eichhoff, 1864)</v>
      </c>
      <c r="AH13585" s="4" t="str">
        <f>HYPERLINK("#Statut_biogéographique!A"&amp;_xlfn.XMATCH("P",Statut_biogéographique!A:A,2,1),"P")</f>
        <v>P</v>
      </c>
      <c r="AP13585" s="4" t="s">
        <v>376</v>
      </c>
      <c r="AR13585" s="4" t="s">
        <v>377</v>
      </c>
    </row>
    <row r="13586" spans="1:44">
      <c r="A13586" s="4" t="s">
        <v>10753</v>
      </c>
      <c r="B13586" s="4">
        <v>242286</v>
      </c>
      <c r="D13586" s="5" t="s">
        <v>16264</v>
      </c>
      <c r="E13586" s="6" t="str">
        <f>HYPERLINK("https://inpn.mnhn.fr/espece/cd_nom/242286","Pteleobius vittatus (Fabricius, 1792)")</f>
        <v>Pteleobius vittatus (Fabricius, 1792)</v>
      </c>
      <c r="AH13586" s="4" t="str">
        <f>HYPERLINK("#Statut_biogéographique!A"&amp;_xlfn.XMATCH("P",Statut_biogéographique!A:A,2,1),"P")</f>
        <v>P</v>
      </c>
      <c r="AP13586" s="4" t="s">
        <v>376</v>
      </c>
      <c r="AR13586" s="4" t="s">
        <v>377</v>
      </c>
    </row>
    <row r="13587" spans="1:44">
      <c r="A13587" s="4" t="s">
        <v>10753</v>
      </c>
      <c r="B13587" s="4">
        <v>242288</v>
      </c>
      <c r="D13587" s="5" t="s">
        <v>16265</v>
      </c>
      <c r="E13587" s="6" t="str">
        <f>HYPERLINK("https://inpn.mnhn.fr/espece/cd_nom/242288","Kissophagus novaki Reitter, 1894")</f>
        <v>Kissophagus novaki Reitter, 1894</v>
      </c>
      <c r="AH13587" s="4" t="str">
        <f>HYPERLINK("#Statut_biogéographique!A"&amp;_xlfn.XMATCH("P",Statut_biogéographique!A:A,2,1),"P")</f>
        <v>P</v>
      </c>
      <c r="AP13587" s="4" t="s">
        <v>376</v>
      </c>
      <c r="AR13587" s="4" t="s">
        <v>377</v>
      </c>
    </row>
    <row r="13588" spans="1:44">
      <c r="A13588" s="4" t="s">
        <v>10753</v>
      </c>
      <c r="B13588" s="4">
        <v>242289</v>
      </c>
      <c r="D13588" s="5" t="s">
        <v>16266</v>
      </c>
      <c r="E13588" s="6" t="str">
        <f>HYPERLINK("https://inpn.mnhn.fr/espece/cd_nom/242289","Hylesinus crenatus (Fabricius, 1787)")</f>
        <v>Hylesinus crenatus (Fabricius, 1787)</v>
      </c>
      <c r="AH13588" s="4" t="str">
        <f>HYPERLINK("#Statut_biogéographique!A"&amp;_xlfn.XMATCH("P",Statut_biogéographique!A:A,2,1),"P")</f>
        <v>P</v>
      </c>
      <c r="AP13588" s="4" t="s">
        <v>376</v>
      </c>
      <c r="AR13588" s="4" t="s">
        <v>377</v>
      </c>
    </row>
    <row r="13589" spans="1:44" ht="30">
      <c r="A13589" s="4" t="s">
        <v>10753</v>
      </c>
      <c r="B13589" s="4">
        <v>242291</v>
      </c>
      <c r="D13589" s="5" t="s">
        <v>16267</v>
      </c>
      <c r="E13589" s="6" t="str">
        <f>HYPERLINK("https://inpn.mnhn.fr/espece/cd_nom/242291","Hylesinus toranio (D'Anthoine in Bernard, 1788)")</f>
        <v>Hylesinus toranio (D'Anthoine in Bernard, 1788)</v>
      </c>
      <c r="AH13589" s="4" t="str">
        <f>HYPERLINK("#Statut_biogéographique!A"&amp;_xlfn.XMATCH("P",Statut_biogéographique!A:A,2,1),"P")</f>
        <v>P</v>
      </c>
      <c r="AP13589" s="4" t="s">
        <v>376</v>
      </c>
      <c r="AR13589" s="4" t="s">
        <v>377</v>
      </c>
    </row>
    <row r="13590" spans="1:44">
      <c r="A13590" s="4" t="s">
        <v>10753</v>
      </c>
      <c r="B13590" s="4">
        <v>242298</v>
      </c>
      <c r="D13590" s="5" t="s">
        <v>16268</v>
      </c>
      <c r="E13590" s="6" t="str">
        <f>HYPERLINK("https://inpn.mnhn.fr/espece/cd_nom/242298","Pityokteines curvidens (Germar, 1823)")</f>
        <v>Pityokteines curvidens (Germar, 1823)</v>
      </c>
      <c r="AH13590" s="4" t="str">
        <f>HYPERLINK("#Statut_biogéographique!A"&amp;_xlfn.XMATCH("P",Statut_biogéographique!A:A,2,1),"P")</f>
        <v>P</v>
      </c>
      <c r="AP13590" s="4" t="s">
        <v>376</v>
      </c>
      <c r="AR13590" s="4" t="s">
        <v>377</v>
      </c>
    </row>
    <row r="13591" spans="1:44">
      <c r="A13591" s="4" t="s">
        <v>10753</v>
      </c>
      <c r="B13591" s="4">
        <v>242299</v>
      </c>
      <c r="D13591" s="5" t="s">
        <v>16269</v>
      </c>
      <c r="E13591" s="6" t="str">
        <f>HYPERLINK("https://inpn.mnhn.fr/espece/cd_nom/242299","Pityokteines spinidens (Reitter, 1895)")</f>
        <v>Pityokteines spinidens (Reitter, 1895)</v>
      </c>
      <c r="AH13591" s="4" t="str">
        <f>HYPERLINK("#Statut_biogéographique!A"&amp;_xlfn.XMATCH("P",Statut_biogéographique!A:A,2,1),"P")</f>
        <v>P</v>
      </c>
      <c r="AP13591" s="4" t="s">
        <v>376</v>
      </c>
      <c r="AR13591" s="4" t="s">
        <v>377</v>
      </c>
    </row>
    <row r="13592" spans="1:44">
      <c r="A13592" s="4" t="s">
        <v>10753</v>
      </c>
      <c r="B13592" s="4">
        <v>242300</v>
      </c>
      <c r="D13592" s="5" t="s">
        <v>16270</v>
      </c>
      <c r="E13592" s="6" t="str">
        <f>HYPERLINK("https://inpn.mnhn.fr/espece/cd_nom/242300","Pityokteines vorontzowi (Jakobson, 1896)")</f>
        <v>Pityokteines vorontzowi (Jakobson, 1896)</v>
      </c>
      <c r="AH13592" s="4" t="str">
        <f>HYPERLINK("#Statut_biogéographique!A"&amp;_xlfn.XMATCH("P",Statut_biogéographique!A:A,2,1),"P")</f>
        <v>P</v>
      </c>
      <c r="AP13592" s="4" t="s">
        <v>376</v>
      </c>
      <c r="AR13592" s="4" t="s">
        <v>377</v>
      </c>
    </row>
    <row r="13593" spans="1:44" ht="30">
      <c r="A13593" s="4" t="s">
        <v>10753</v>
      </c>
      <c r="B13593" s="4">
        <v>242301</v>
      </c>
      <c r="D13593" s="5" t="s">
        <v>16271</v>
      </c>
      <c r="E13593" s="6" t="str">
        <f>HYPERLINK("https://inpn.mnhn.fr/espece/cd_nom/242301","Pityogenes bidentatus (Herbst, 1783)")</f>
        <v>Pityogenes bidentatus (Herbst, 1783)</v>
      </c>
      <c r="AH13593" s="4" t="str">
        <f>HYPERLINK("#Statut_biogéographique!A"&amp;_xlfn.XMATCH("P",Statut_biogéographique!A:A,2,1),"P")</f>
        <v>P</v>
      </c>
      <c r="AP13593" s="4" t="s">
        <v>376</v>
      </c>
      <c r="AR13593" s="4" t="s">
        <v>377</v>
      </c>
    </row>
    <row r="13594" spans="1:44" ht="30">
      <c r="A13594" s="4" t="s">
        <v>10753</v>
      </c>
      <c r="B13594" s="4">
        <v>242303</v>
      </c>
      <c r="D13594" s="5" t="s">
        <v>16272</v>
      </c>
      <c r="E13594" s="6" t="str">
        <f>HYPERLINK("https://inpn.mnhn.fr/espece/cd_nom/242303","Pityogenes chalcographus (Linnaeus, 1761)")</f>
        <v>Pityogenes chalcographus (Linnaeus, 1761)</v>
      </c>
      <c r="AH13594" s="4" t="str">
        <f>HYPERLINK("#Statut_biogéographique!A"&amp;_xlfn.XMATCH("P",Statut_biogéographique!A:A,2,1),"P")</f>
        <v>P</v>
      </c>
      <c r="AP13594" s="4" t="s">
        <v>376</v>
      </c>
      <c r="AR13594" s="4" t="s">
        <v>377</v>
      </c>
    </row>
    <row r="13595" spans="1:44">
      <c r="A13595" s="4" t="s">
        <v>10753</v>
      </c>
      <c r="B13595" s="4">
        <v>242305</v>
      </c>
      <c r="D13595" s="5" t="s">
        <v>16273</v>
      </c>
      <c r="E13595" s="6" t="str">
        <f>HYPERLINK("https://inpn.mnhn.fr/espece/cd_nom/242305","Pityogenes trepanatus (Nördlinger, 1848)")</f>
        <v>Pityogenes trepanatus (Nördlinger, 1848)</v>
      </c>
      <c r="AH13595" s="4" t="str">
        <f>HYPERLINK("#Statut_biogéographique!A"&amp;_xlfn.XMATCH("P",Statut_biogéographique!A:A,2,1),"P")</f>
        <v>P</v>
      </c>
      <c r="AP13595" s="4" t="s">
        <v>376</v>
      </c>
      <c r="AR13595" s="4" t="s">
        <v>377</v>
      </c>
    </row>
    <row r="13596" spans="1:44" ht="30">
      <c r="A13596" s="4" t="s">
        <v>10753</v>
      </c>
      <c r="B13596" s="4">
        <v>242311</v>
      </c>
      <c r="D13596" s="5" t="s">
        <v>16274</v>
      </c>
      <c r="E13596" s="6" t="str">
        <f>HYPERLINK("https://inpn.mnhn.fr/espece/cd_nom/242311","Ips typographus (Linnaeus, 1758)")</f>
        <v>Ips typographus (Linnaeus, 1758)</v>
      </c>
      <c r="AH13596" s="4" t="str">
        <f>HYPERLINK("#Statut_biogéographique!A"&amp;_xlfn.XMATCH("P",Statut_biogéographique!A:A,2,1),"P")</f>
        <v>P</v>
      </c>
      <c r="AP13596" s="4" t="s">
        <v>376</v>
      </c>
      <c r="AR13596" s="4" t="s">
        <v>377</v>
      </c>
    </row>
    <row r="13597" spans="1:44" ht="30">
      <c r="A13597" s="4" t="s">
        <v>10753</v>
      </c>
      <c r="B13597" s="4">
        <v>242312</v>
      </c>
      <c r="D13597" s="5" t="s">
        <v>16275</v>
      </c>
      <c r="E13597" s="6" t="str">
        <f>HYPERLINK("https://inpn.mnhn.fr/espece/cd_nom/242312","Phloeosinus aubei (Perris, 1855)")</f>
        <v>Phloeosinus aubei (Perris, 1855)</v>
      </c>
      <c r="AH13597" s="4" t="str">
        <f>HYPERLINK("#Statut_biogéographique!A"&amp;_xlfn.XMATCH("P",Statut_biogéographique!A:A,2,1),"P")</f>
        <v>P</v>
      </c>
      <c r="AP13597" s="4" t="s">
        <v>376</v>
      </c>
      <c r="AR13597" s="4" t="s">
        <v>377</v>
      </c>
    </row>
    <row r="13598" spans="1:44">
      <c r="A13598" s="4" t="s">
        <v>10753</v>
      </c>
      <c r="B13598" s="4">
        <v>242314</v>
      </c>
      <c r="D13598" s="5" t="s">
        <v>16276</v>
      </c>
      <c r="E13598" s="6" t="str">
        <f>HYPERLINK("https://inpn.mnhn.fr/espece/cd_nom/242314","Phloeosinus thujae (Perris, 1855)")</f>
        <v>Phloeosinus thujae (Perris, 1855)</v>
      </c>
      <c r="AH13598" s="4" t="str">
        <f>HYPERLINK("#Statut_biogéographique!A"&amp;_xlfn.XMATCH("P",Statut_biogéographique!A:A,2,1),"P")</f>
        <v>P</v>
      </c>
      <c r="AP13598" s="4" t="s">
        <v>376</v>
      </c>
      <c r="AR13598" s="4" t="s">
        <v>377</v>
      </c>
    </row>
    <row r="13599" spans="1:44" ht="30">
      <c r="A13599" s="4" t="s">
        <v>10753</v>
      </c>
      <c r="B13599" s="4">
        <v>242321</v>
      </c>
      <c r="D13599" s="5" t="s">
        <v>16277</v>
      </c>
      <c r="E13599" s="6" t="str">
        <f>HYPERLINK("https://inpn.mnhn.fr/espece/cd_nom/242321","Phloeotribus rhododactylus (Marsham, 1802)")</f>
        <v>Phloeotribus rhododactylus (Marsham, 1802)</v>
      </c>
      <c r="AH13599" s="4" t="str">
        <f>HYPERLINK("#Statut_biogéographique!A"&amp;_xlfn.XMATCH("P",Statut_biogéographique!A:A,2,1),"P")</f>
        <v>P</v>
      </c>
      <c r="AP13599" s="4" t="s">
        <v>376</v>
      </c>
      <c r="AR13599" s="4" t="s">
        <v>377</v>
      </c>
    </row>
    <row r="13600" spans="1:44">
      <c r="A13600" s="4" t="s">
        <v>10753</v>
      </c>
      <c r="B13600" s="4">
        <v>242322</v>
      </c>
      <c r="D13600" s="5" t="s">
        <v>16278</v>
      </c>
      <c r="E13600" s="6" t="str">
        <f>HYPERLINK("https://inpn.mnhn.fr/espece/cd_nom/242322","Phloeotribus scarabaeoides (Bernard, 1788)")</f>
        <v>Phloeotribus scarabaeoides (Bernard, 1788)</v>
      </c>
      <c r="AH13600" s="4" t="str">
        <f>HYPERLINK("#Statut_biogéographique!A"&amp;_xlfn.XMATCH("P",Statut_biogéographique!A:A,2,1),"P")</f>
        <v>P</v>
      </c>
      <c r="AP13600" s="4" t="s">
        <v>376</v>
      </c>
      <c r="AR13600" s="4" t="s">
        <v>377</v>
      </c>
    </row>
    <row r="13601" spans="1:44" ht="30">
      <c r="A13601" s="4" t="s">
        <v>10753</v>
      </c>
      <c r="B13601" s="4">
        <v>242323</v>
      </c>
      <c r="D13601" s="5" t="s">
        <v>16279</v>
      </c>
      <c r="E13601" s="6" t="str">
        <f>HYPERLINK("https://inpn.mnhn.fr/espece/cd_nom/242323","Phloeotribus spinulosus (Rey in Eichhoff, 1883)")</f>
        <v>Phloeotribus spinulosus (Rey in Eichhoff, 1883)</v>
      </c>
      <c r="AH13601" s="4" t="str">
        <f>HYPERLINK("#Statut_biogéographique!A"&amp;_xlfn.XMATCH("P",Statut_biogéographique!A:A,2,1),"P")</f>
        <v>P</v>
      </c>
      <c r="AP13601" s="4" t="s">
        <v>376</v>
      </c>
      <c r="AR13601" s="4" t="s">
        <v>377</v>
      </c>
    </row>
    <row r="13602" spans="1:44">
      <c r="A13602" s="4" t="s">
        <v>10753</v>
      </c>
      <c r="B13602" s="4">
        <v>242324</v>
      </c>
      <c r="D13602" s="5" t="s">
        <v>16280</v>
      </c>
      <c r="E13602" s="6" t="str">
        <f>HYPERLINK("https://inpn.mnhn.fr/espece/cd_nom/242324","Polygraphus grandiclava C.G. Thomson, 1886")</f>
        <v>Polygraphus grandiclava C.G. Thomson, 1886</v>
      </c>
      <c r="AH13602" s="4" t="str">
        <f>HYPERLINK("#Statut_biogéographique!A"&amp;_xlfn.XMATCH("P",Statut_biogéographique!A:A,2,1),"P")</f>
        <v>P</v>
      </c>
      <c r="AP13602" s="4" t="s">
        <v>376</v>
      </c>
      <c r="AR13602" s="4" t="s">
        <v>377</v>
      </c>
    </row>
    <row r="13603" spans="1:44">
      <c r="A13603" s="4" t="s">
        <v>10753</v>
      </c>
      <c r="B13603" s="4">
        <v>242325</v>
      </c>
      <c r="D13603" s="5" t="s">
        <v>16281</v>
      </c>
      <c r="E13603" s="6" t="str">
        <f>HYPERLINK("https://inpn.mnhn.fr/espece/cd_nom/242325","Polygraphus poligraphus (Linnaeus, 1758)")</f>
        <v>Polygraphus poligraphus (Linnaeus, 1758)</v>
      </c>
      <c r="AH13603" s="4" t="str">
        <f>HYPERLINK("#Statut_biogéographique!A"&amp;_xlfn.XMATCH("P",Statut_biogéographique!A:A,2,1),"P")</f>
        <v>P</v>
      </c>
      <c r="AP13603" s="4" t="s">
        <v>376</v>
      </c>
      <c r="AR13603" s="4" t="s">
        <v>377</v>
      </c>
    </row>
    <row r="13604" spans="1:44">
      <c r="A13604" s="4" t="s">
        <v>10753</v>
      </c>
      <c r="B13604" s="4">
        <v>242330</v>
      </c>
      <c r="D13604" s="5" t="s">
        <v>16282</v>
      </c>
      <c r="E13604" s="6" t="str">
        <f>HYPERLINK("https://inpn.mnhn.fr/espece/cd_nom/242330","Scolytus carpini (Ratzeburg, 1837)")</f>
        <v>Scolytus carpini (Ratzeburg, 1837)</v>
      </c>
      <c r="AH13604" s="4" t="str">
        <f>HYPERLINK("#Statut_biogéographique!A"&amp;_xlfn.XMATCH("P",Statut_biogéographique!A:A,2,1),"P")</f>
        <v>P</v>
      </c>
      <c r="AP13604" s="4" t="s">
        <v>376</v>
      </c>
      <c r="AR13604" s="4" t="s">
        <v>377</v>
      </c>
    </row>
    <row r="13605" spans="1:44">
      <c r="A13605" s="4" t="s">
        <v>10753</v>
      </c>
      <c r="B13605" s="4">
        <v>242334</v>
      </c>
      <c r="D13605" s="5" t="s">
        <v>16283</v>
      </c>
      <c r="E13605" s="6" t="str">
        <f>HYPERLINK("https://inpn.mnhn.fr/espece/cd_nom/242334","Scolytus laevis Chapuis, 1869")</f>
        <v>Scolytus laevis Chapuis, 1869</v>
      </c>
      <c r="AH13605" s="4" t="str">
        <f>HYPERLINK("#Statut_biogéographique!A"&amp;_xlfn.XMATCH("P",Statut_biogéographique!A:A,2,1),"P")</f>
        <v>P</v>
      </c>
      <c r="AP13605" s="4" t="s">
        <v>376</v>
      </c>
      <c r="AR13605" s="4" t="s">
        <v>377</v>
      </c>
    </row>
    <row r="13606" spans="1:44">
      <c r="A13606" s="4" t="s">
        <v>10753</v>
      </c>
      <c r="B13606" s="4">
        <v>242335</v>
      </c>
      <c r="D13606" s="5" t="s">
        <v>16284</v>
      </c>
      <c r="E13606" s="6" t="str">
        <f>HYPERLINK("https://inpn.mnhn.fr/espece/cd_nom/242335","Scolytus multistriatus (Marsham, 1802)")</f>
        <v>Scolytus multistriatus (Marsham, 1802)</v>
      </c>
      <c r="AH13606" s="4" t="str">
        <f>HYPERLINK("#Statut_biogéographique!A"&amp;_xlfn.XMATCH("P",Statut_biogéographique!A:A,2,1),"P")</f>
        <v>P</v>
      </c>
      <c r="AP13606" s="4" t="s">
        <v>376</v>
      </c>
      <c r="AR13606" s="4" t="s">
        <v>377</v>
      </c>
    </row>
    <row r="13607" spans="1:44">
      <c r="A13607" s="4" t="s">
        <v>10753</v>
      </c>
      <c r="B13607" s="4">
        <v>242336</v>
      </c>
      <c r="D13607" s="5" t="s">
        <v>16285</v>
      </c>
      <c r="E13607" s="6" t="str">
        <f>HYPERLINK("https://inpn.mnhn.fr/espece/cd_nom/242336","Scolytus pygmaeus (Fabricius, 1787)")</f>
        <v>Scolytus pygmaeus (Fabricius, 1787)</v>
      </c>
      <c r="AH13607" s="4" t="str">
        <f>HYPERLINK("#Statut_biogéographique!A"&amp;_xlfn.XMATCH("P",Statut_biogéographique!A:A,2,1),"P")</f>
        <v>P</v>
      </c>
      <c r="AP13607" s="4" t="s">
        <v>376</v>
      </c>
      <c r="AR13607" s="4" t="s">
        <v>377</v>
      </c>
    </row>
    <row r="13608" spans="1:44" ht="30">
      <c r="A13608" s="4" t="s">
        <v>10753</v>
      </c>
      <c r="B13608" s="4">
        <v>242337</v>
      </c>
      <c r="D13608" s="5" t="s">
        <v>16286</v>
      </c>
      <c r="E13608" s="6" t="str">
        <f>HYPERLINK("https://inpn.mnhn.fr/espece/cd_nom/242337","Scolytus ratzeburgii E.W. Janson, 1856")</f>
        <v>Scolytus ratzeburgii E.W. Janson, 1856</v>
      </c>
      <c r="F13608" s="5" t="s">
        <v>16287</v>
      </c>
      <c r="AH13608" s="4" t="str">
        <f>HYPERLINK("#Statut_biogéographique!A"&amp;_xlfn.XMATCH("P",Statut_biogéographique!A:A,2,1),"P")</f>
        <v>P</v>
      </c>
      <c r="AP13608" s="4" t="s">
        <v>376</v>
      </c>
      <c r="AR13608" s="4" t="s">
        <v>377</v>
      </c>
    </row>
    <row r="13609" spans="1:44" ht="45">
      <c r="A13609" s="4" t="s">
        <v>10753</v>
      </c>
      <c r="B13609" s="4">
        <v>242338</v>
      </c>
      <c r="D13609" s="5" t="s">
        <v>16288</v>
      </c>
      <c r="E13609" s="6" t="str">
        <f>HYPERLINK("https://inpn.mnhn.fr/espece/cd_nom/242338","Scolytus rugulosus (P.W.J. Müller, 1818)")</f>
        <v>Scolytus rugulosus (P.W.J. Müller, 1818)</v>
      </c>
      <c r="AH13609" s="4" t="str">
        <f>HYPERLINK("#Statut_biogéographique!A"&amp;_xlfn.XMATCH("P",Statut_biogéographique!A:A,2,1),"P")</f>
        <v>P</v>
      </c>
      <c r="AP13609" s="4" t="s">
        <v>376</v>
      </c>
      <c r="AR13609" s="4" t="s">
        <v>377</v>
      </c>
    </row>
    <row r="13610" spans="1:44" ht="45">
      <c r="A13610" s="4" t="s">
        <v>10753</v>
      </c>
      <c r="B13610" s="4">
        <v>242339</v>
      </c>
      <c r="D13610" s="5" t="s">
        <v>16289</v>
      </c>
      <c r="E13610" s="6" t="str">
        <f>HYPERLINK("https://inpn.mnhn.fr/espece/cd_nom/242339","Scolytus scolytus (Fabricius, 1775)")</f>
        <v>Scolytus scolytus (Fabricius, 1775)</v>
      </c>
      <c r="F13610" s="5" t="s">
        <v>16290</v>
      </c>
      <c r="AH13610" s="4" t="str">
        <f>HYPERLINK("#Statut_biogéographique!A"&amp;_xlfn.XMATCH("P",Statut_biogéographique!A:A,2,1),"P")</f>
        <v>P</v>
      </c>
      <c r="AP13610" s="4" t="s">
        <v>376</v>
      </c>
      <c r="AR13610" s="4" t="s">
        <v>377</v>
      </c>
    </row>
    <row r="13611" spans="1:44">
      <c r="A13611" s="4" t="s">
        <v>10753</v>
      </c>
      <c r="B13611" s="4">
        <v>24234</v>
      </c>
      <c r="D13611" s="5" t="s">
        <v>16291</v>
      </c>
      <c r="E13611" s="6" t="str">
        <f>HYPERLINK("https://inpn.mnhn.fr/espece/cd_nom/24234","Verrallia aucta (Fallén, 1817)")</f>
        <v>Verrallia aucta (Fallén, 1817)</v>
      </c>
      <c r="AH13611" s="4" t="str">
        <f>HYPERLINK("#Statut_biogéographique!A"&amp;_xlfn.XMATCH("P",Statut_biogéographique!A:A,2,1),"P")</f>
        <v>P</v>
      </c>
      <c r="AP13611" s="4" t="s">
        <v>376</v>
      </c>
      <c r="AR13611" s="4" t="s">
        <v>377</v>
      </c>
    </row>
    <row r="13612" spans="1:44">
      <c r="A13612" s="4" t="s">
        <v>10753</v>
      </c>
      <c r="B13612" s="4">
        <v>242343</v>
      </c>
      <c r="D13612" s="5" t="s">
        <v>16292</v>
      </c>
      <c r="E13612" s="6" t="str">
        <f>HYPERLINK("https://inpn.mnhn.fr/espece/cd_nom/242343","Taphrorychus bicolor (Herbst, 1793)")</f>
        <v>Taphrorychus bicolor (Herbst, 1793)</v>
      </c>
      <c r="AH13612" s="4" t="str">
        <f>HYPERLINK("#Statut_biogéographique!A"&amp;_xlfn.XMATCH("P",Statut_biogéographique!A:A,2,1),"P")</f>
        <v>P</v>
      </c>
      <c r="AP13612" s="4" t="s">
        <v>376</v>
      </c>
      <c r="AR13612" s="4" t="s">
        <v>377</v>
      </c>
    </row>
    <row r="13613" spans="1:44" ht="30">
      <c r="A13613" s="4" t="s">
        <v>10753</v>
      </c>
      <c r="B13613" s="4">
        <v>242344</v>
      </c>
      <c r="D13613" s="5" t="s">
        <v>16293</v>
      </c>
      <c r="E13613" s="6" t="str">
        <f>HYPERLINK("https://inpn.mnhn.fr/espece/cd_nom/242344","Taphrorychus villifrons (Dufour, 1843)")</f>
        <v>Taphrorychus villifrons (Dufour, 1843)</v>
      </c>
      <c r="AH13613" s="4" t="str">
        <f>HYPERLINK("#Statut_biogéographique!A"&amp;_xlfn.XMATCH("P",Statut_biogéographique!A:A,2,1),"P")</f>
        <v>P</v>
      </c>
      <c r="AP13613" s="4" t="s">
        <v>376</v>
      </c>
      <c r="AR13613" s="4" t="s">
        <v>377</v>
      </c>
    </row>
    <row r="13614" spans="1:44">
      <c r="A13614" s="4" t="s">
        <v>10753</v>
      </c>
      <c r="B13614" s="4">
        <v>242352</v>
      </c>
      <c r="D13614" s="5" t="s">
        <v>16294</v>
      </c>
      <c r="E13614" s="6" t="str">
        <f>HYPERLINK("https://inpn.mnhn.fr/espece/cd_nom/242352","Thamnurgus kaltenbachii (Bach, 1849)")</f>
        <v>Thamnurgus kaltenbachii (Bach, 1849)</v>
      </c>
      <c r="AH13614" s="4" t="str">
        <f>HYPERLINK("#Statut_biogéographique!A"&amp;_xlfn.XMATCH("P",Statut_biogéographique!A:A,2,1),"P")</f>
        <v>P</v>
      </c>
      <c r="AP13614" s="4" t="s">
        <v>376</v>
      </c>
      <c r="AR13614" s="4" t="s">
        <v>377</v>
      </c>
    </row>
    <row r="13615" spans="1:44">
      <c r="A13615" s="4" t="s">
        <v>10753</v>
      </c>
      <c r="B13615" s="4">
        <v>242353</v>
      </c>
      <c r="D13615" s="5">
        <v>242353</v>
      </c>
      <c r="E13615" s="6" t="str">
        <f>HYPERLINK("https://inpn.mnhn.fr/espece/cd_nom/242353","Thamnurgus varipes Eichhoff, 1878")</f>
        <v>Thamnurgus varipes Eichhoff, 1878</v>
      </c>
      <c r="AH13615" s="4" t="str">
        <f>HYPERLINK("#Statut_biogéographique!A"&amp;_xlfn.XMATCH("P",Statut_biogéographique!A:A,2,1),"P")</f>
        <v>P</v>
      </c>
      <c r="AP13615" s="4" t="s">
        <v>376</v>
      </c>
      <c r="AR13615" s="4" t="s">
        <v>377</v>
      </c>
    </row>
    <row r="13616" spans="1:44">
      <c r="A13616" s="4" t="s">
        <v>10753</v>
      </c>
      <c r="B13616" s="4">
        <v>242356</v>
      </c>
      <c r="D13616" s="5" t="s">
        <v>16295</v>
      </c>
      <c r="E13616" s="6" t="str">
        <f>HYPERLINK("https://inpn.mnhn.fr/espece/cd_nom/242356","Tomicus minor (Hartig, 1834)")</f>
        <v>Tomicus minor (Hartig, 1834)</v>
      </c>
      <c r="AH13616" s="4" t="str">
        <f>HYPERLINK("#Statut_biogéographique!A"&amp;_xlfn.XMATCH("P",Statut_biogéographique!A:A,2,1),"P")</f>
        <v>P</v>
      </c>
      <c r="AP13616" s="4" t="s">
        <v>376</v>
      </c>
      <c r="AR13616" s="4" t="s">
        <v>377</v>
      </c>
    </row>
    <row r="13617" spans="1:44" ht="30">
      <c r="A13617" s="4" t="s">
        <v>10753</v>
      </c>
      <c r="B13617" s="4">
        <v>242357</v>
      </c>
      <c r="D13617" s="5" t="s">
        <v>16296</v>
      </c>
      <c r="E13617" s="6" t="str">
        <f>HYPERLINK("https://inpn.mnhn.fr/espece/cd_nom/242357","Tomicus piniperda (Linnaeus, 1758)")</f>
        <v>Tomicus piniperda (Linnaeus, 1758)</v>
      </c>
      <c r="AH13617" s="4" t="str">
        <f>HYPERLINK("#Statut_biogéographique!A"&amp;_xlfn.XMATCH("P",Statut_biogéographique!A:A,2,1),"P")</f>
        <v>P</v>
      </c>
      <c r="AP13617" s="4" t="s">
        <v>376</v>
      </c>
      <c r="AR13617" s="4" t="s">
        <v>377</v>
      </c>
    </row>
    <row r="13618" spans="1:44">
      <c r="A13618" s="4" t="s">
        <v>10753</v>
      </c>
      <c r="B13618" s="4">
        <v>242359</v>
      </c>
      <c r="D13618" s="5" t="s">
        <v>16297</v>
      </c>
      <c r="E13618" s="6" t="str">
        <f>HYPERLINK("https://inpn.mnhn.fr/espece/cd_nom/242359","Xylosandrus germanus (Blandford, 1894)")</f>
        <v>Xylosandrus germanus (Blandford, 1894)</v>
      </c>
      <c r="AH13618" s="4" t="str">
        <f>HYPERLINK("#Statut_biogéographique!A"&amp;_xlfn.XMATCH("I",Statut_biogéographique!A:A,2,1),"I")</f>
        <v>I</v>
      </c>
      <c r="AP13618" s="4" t="s">
        <v>376</v>
      </c>
      <c r="AR13618" s="4" t="s">
        <v>377</v>
      </c>
    </row>
    <row r="13619" spans="1:44">
      <c r="A13619" s="4" t="s">
        <v>10753</v>
      </c>
      <c r="B13619" s="4">
        <v>242360</v>
      </c>
      <c r="D13619" s="5" t="s">
        <v>16298</v>
      </c>
      <c r="E13619" s="6" t="str">
        <f>HYPERLINK("https://inpn.mnhn.fr/espece/cd_nom/242360","Xyleborus cryptographus (Ratzeburg, 1837)")</f>
        <v>Xyleborus cryptographus (Ratzeburg, 1837)</v>
      </c>
      <c r="AH13619" s="4" t="str">
        <f>HYPERLINK("#Statut_biogéographique!A"&amp;_xlfn.XMATCH("P",Statut_biogéographique!A:A,2,1),"P")</f>
        <v>P</v>
      </c>
      <c r="AP13619" s="4" t="s">
        <v>376</v>
      </c>
      <c r="AR13619" s="4" t="s">
        <v>377</v>
      </c>
    </row>
    <row r="13620" spans="1:44" ht="30">
      <c r="A13620" s="4" t="s">
        <v>10753</v>
      </c>
      <c r="B13620" s="4">
        <v>242362</v>
      </c>
      <c r="D13620" s="5" t="s">
        <v>16299</v>
      </c>
      <c r="E13620" s="6" t="str">
        <f>HYPERLINK("https://inpn.mnhn.fr/espece/cd_nom/242362","Xyleborus dryographus (Ratzeburg, 1837)")</f>
        <v>Xyleborus dryographus (Ratzeburg, 1837)</v>
      </c>
      <c r="AH13620" s="4" t="str">
        <f>HYPERLINK("#Statut_biogéographique!A"&amp;_xlfn.XMATCH("P",Statut_biogéographique!A:A,2,1),"P")</f>
        <v>P</v>
      </c>
      <c r="AP13620" s="4" t="s">
        <v>376</v>
      </c>
      <c r="AR13620" s="4" t="s">
        <v>377</v>
      </c>
    </row>
    <row r="13621" spans="1:44" ht="75">
      <c r="A13621" s="4" t="s">
        <v>10753</v>
      </c>
      <c r="B13621" s="4">
        <v>242364</v>
      </c>
      <c r="D13621" s="5" t="s">
        <v>16300</v>
      </c>
      <c r="E13621" s="6" t="str">
        <f>HYPERLINK("https://inpn.mnhn.fr/espece/cd_nom/242364","Xyleborinus saxesenii (Ratzeburg, 1837)")</f>
        <v>Xyleborinus saxesenii (Ratzeburg, 1837)</v>
      </c>
      <c r="AH13621" s="4" t="str">
        <f>HYPERLINK("#Statut_biogéographique!A"&amp;_xlfn.XMATCH("P",Statut_biogéographique!A:A,2,1),"P")</f>
        <v>P</v>
      </c>
      <c r="AP13621" s="4" t="s">
        <v>376</v>
      </c>
      <c r="AR13621" s="4" t="s">
        <v>377</v>
      </c>
    </row>
    <row r="13622" spans="1:44">
      <c r="A13622" s="4" t="s">
        <v>10753</v>
      </c>
      <c r="B13622" s="4">
        <v>242366</v>
      </c>
      <c r="D13622" s="5" t="s">
        <v>16301</v>
      </c>
      <c r="E13622" s="6" t="str">
        <f>HYPERLINK("https://inpn.mnhn.fr/espece/cd_nom/242366","Trypodendron domesticum (Linnaeus, 1758)")</f>
        <v>Trypodendron domesticum (Linnaeus, 1758)</v>
      </c>
      <c r="AH13622" s="4" t="str">
        <f>HYPERLINK("#Statut_biogéographique!A"&amp;_xlfn.XMATCH("P",Statut_biogéographique!A:A,2,1),"P")</f>
        <v>P</v>
      </c>
      <c r="AP13622" s="4" t="s">
        <v>376</v>
      </c>
      <c r="AR13622" s="4" t="s">
        <v>377</v>
      </c>
    </row>
    <row r="13623" spans="1:44" ht="30">
      <c r="A13623" s="4" t="s">
        <v>10753</v>
      </c>
      <c r="B13623" s="4">
        <v>242367</v>
      </c>
      <c r="D13623" s="5" t="s">
        <v>16302</v>
      </c>
      <c r="E13623" s="6" t="str">
        <f>HYPERLINK("https://inpn.mnhn.fr/espece/cd_nom/242367","Trypodendron lineatum (Olivier, 1800)")</f>
        <v>Trypodendron lineatum (Olivier, 1800)</v>
      </c>
      <c r="AH13623" s="4" t="str">
        <f>HYPERLINK("#Statut_biogéographique!A"&amp;_xlfn.XMATCH("P",Statut_biogéographique!A:A,2,1),"P")</f>
        <v>P</v>
      </c>
      <c r="AP13623" s="4" t="s">
        <v>376</v>
      </c>
      <c r="AR13623" s="4" t="s">
        <v>377</v>
      </c>
    </row>
    <row r="13624" spans="1:44" ht="30">
      <c r="A13624" s="4" t="s">
        <v>10753</v>
      </c>
      <c r="B13624" s="4">
        <v>242368</v>
      </c>
      <c r="D13624" s="5" t="s">
        <v>16303</v>
      </c>
      <c r="E13624" s="6" t="str">
        <f>HYPERLINK("https://inpn.mnhn.fr/espece/cd_nom/242368","Trypodendron signatum (Fabricius, 1792)")</f>
        <v>Trypodendron signatum (Fabricius, 1792)</v>
      </c>
      <c r="AH13624" s="4" t="str">
        <f>HYPERLINK("#Statut_biogéographique!A"&amp;_xlfn.XMATCH("P",Statut_biogéographique!A:A,2,1),"P")</f>
        <v>P</v>
      </c>
      <c r="AP13624" s="4" t="s">
        <v>376</v>
      </c>
      <c r="AR13624" s="4" t="s">
        <v>377</v>
      </c>
    </row>
    <row r="13625" spans="1:44">
      <c r="A13625" s="4" t="s">
        <v>10753</v>
      </c>
      <c r="B13625" s="4">
        <v>242387</v>
      </c>
      <c r="D13625" s="5" t="s">
        <v>16304</v>
      </c>
      <c r="E13625" s="6" t="str">
        <f>HYPERLINK("https://inpn.mnhn.fr/espece/cd_nom/242387","Tychius picirostris (Fabricius, 1787)")</f>
        <v>Tychius picirostris (Fabricius, 1787)</v>
      </c>
      <c r="AH13625" s="4" t="str">
        <f>HYPERLINK("#Statut_biogéographique!A"&amp;_xlfn.XMATCH("P",Statut_biogéographique!A:A,2,1),"P")</f>
        <v>P</v>
      </c>
      <c r="AP13625" s="4" t="s">
        <v>376</v>
      </c>
      <c r="AR13625" s="4" t="s">
        <v>377</v>
      </c>
    </row>
    <row r="13626" spans="1:44">
      <c r="A13626" s="4" t="s">
        <v>10753</v>
      </c>
      <c r="B13626" s="4">
        <v>242397</v>
      </c>
      <c r="D13626" s="5" t="s">
        <v>16305</v>
      </c>
      <c r="E13626" s="6" t="str">
        <f>HYPERLINK("https://inpn.mnhn.fr/espece/cd_nom/242397","Cionus thapsus (Fabricius, 1792)")</f>
        <v>Cionus thapsus (Fabricius, 1792)</v>
      </c>
      <c r="AH13626" s="4" t="str">
        <f>HYPERLINK("#Statut_biogéographique!A"&amp;_xlfn.XMATCH("P",Statut_biogéographique!A:A,2,1),"P")</f>
        <v>P</v>
      </c>
      <c r="AP13626" s="4" t="s">
        <v>376</v>
      </c>
      <c r="AR13626" s="4" t="s">
        <v>377</v>
      </c>
    </row>
    <row r="13627" spans="1:44">
      <c r="A13627" s="4" t="s">
        <v>10753</v>
      </c>
      <c r="B13627" s="4">
        <v>242398</v>
      </c>
      <c r="D13627" s="5" t="s">
        <v>16306</v>
      </c>
      <c r="E13627" s="6" t="str">
        <f>HYPERLINK("https://inpn.mnhn.fr/espece/cd_nom/242398","Rhinusa antirrhini (Paykull, 1800)")</f>
        <v>Rhinusa antirrhini (Paykull, 1800)</v>
      </c>
      <c r="AH13627" s="4" t="str">
        <f>HYPERLINK("#Statut_biogéographique!A"&amp;_xlfn.XMATCH("P",Statut_biogéographique!A:A,2,1),"P")</f>
        <v>P</v>
      </c>
      <c r="AP13627" s="4" t="s">
        <v>376</v>
      </c>
      <c r="AR13627" s="4" t="s">
        <v>377</v>
      </c>
    </row>
    <row r="13628" spans="1:44" ht="30">
      <c r="A13628" s="4" t="s">
        <v>10753</v>
      </c>
      <c r="B13628" s="4">
        <v>242403</v>
      </c>
      <c r="D13628" s="5" t="s">
        <v>16307</v>
      </c>
      <c r="E13628" s="6" t="str">
        <f>HYPERLINK("https://inpn.mnhn.fr/espece/cd_nom/242403","Rhinusa herbarum (H. Brisout de Barneville, 1862)")</f>
        <v>Rhinusa herbarum (H. Brisout de Barneville, 1862)</v>
      </c>
      <c r="AH13628" s="4" t="str">
        <f>HYPERLINK("#Statut_biogéographique!A"&amp;_xlfn.XMATCH("P",Statut_biogéographique!A:A,2,1),"P")</f>
        <v>P</v>
      </c>
      <c r="AP13628" s="4" t="s">
        <v>376</v>
      </c>
      <c r="AR13628" s="4" t="s">
        <v>377</v>
      </c>
    </row>
    <row r="13629" spans="1:44">
      <c r="A13629" s="4" t="s">
        <v>10753</v>
      </c>
      <c r="B13629" s="4">
        <v>242404</v>
      </c>
      <c r="D13629" s="5" t="s">
        <v>16308</v>
      </c>
      <c r="E13629" s="6" t="str">
        <f>HYPERLINK("https://inpn.mnhn.fr/espece/cd_nom/242404","Rhinusa linariae (Panzer, 1795)")</f>
        <v>Rhinusa linariae (Panzer, 1795)</v>
      </c>
      <c r="AH13629" s="4" t="str">
        <f>HYPERLINK("#Statut_biogéographique!A"&amp;_xlfn.XMATCH("P",Statut_biogéographique!A:A,2,1),"P")</f>
        <v>P</v>
      </c>
      <c r="AP13629" s="4" t="s">
        <v>376</v>
      </c>
      <c r="AR13629" s="4" t="s">
        <v>377</v>
      </c>
    </row>
    <row r="13630" spans="1:44">
      <c r="A13630" s="4" t="s">
        <v>10753</v>
      </c>
      <c r="B13630" s="4">
        <v>242406</v>
      </c>
      <c r="D13630" s="5" t="s">
        <v>16309</v>
      </c>
      <c r="E13630" s="6" t="str">
        <f>HYPERLINK("https://inpn.mnhn.fr/espece/cd_nom/242406","Rhinusa melas (Boheman, 1838)")</f>
        <v>Rhinusa melas (Boheman, 1838)</v>
      </c>
      <c r="AH13630" s="4" t="str">
        <f>HYPERLINK("#Statut_biogéographique!A"&amp;_xlfn.XMATCH("P",Statut_biogéographique!A:A,2,1),"P")</f>
        <v>P</v>
      </c>
      <c r="AP13630" s="4" t="s">
        <v>376</v>
      </c>
      <c r="AR13630" s="4" t="s">
        <v>377</v>
      </c>
    </row>
    <row r="13631" spans="1:44">
      <c r="A13631" s="4" t="s">
        <v>10753</v>
      </c>
      <c r="B13631" s="4">
        <v>242407</v>
      </c>
      <c r="D13631" s="5" t="s">
        <v>16310</v>
      </c>
      <c r="E13631" s="6" t="str">
        <f>HYPERLINK("https://inpn.mnhn.fr/espece/cd_nom/242407","Rhinusa neta (Germar, 1821)")</f>
        <v>Rhinusa neta (Germar, 1821)</v>
      </c>
      <c r="AH13631" s="4" t="str">
        <f>HYPERLINK("#Statut_biogéographique!A"&amp;_xlfn.XMATCH("P",Statut_biogéographique!A:A,2,1),"P")</f>
        <v>P</v>
      </c>
      <c r="AP13631" s="4" t="s">
        <v>376</v>
      </c>
      <c r="AR13631" s="4" t="s">
        <v>377</v>
      </c>
    </row>
    <row r="13632" spans="1:44" ht="30">
      <c r="A13632" s="4" t="s">
        <v>10753</v>
      </c>
      <c r="B13632" s="4">
        <v>242408</v>
      </c>
      <c r="D13632" s="5" t="s">
        <v>16311</v>
      </c>
      <c r="E13632" s="6" t="str">
        <f>HYPERLINK("https://inpn.mnhn.fr/espece/cd_nom/242408","Rhinusa tetra (Fabricius, 1792)")</f>
        <v>Rhinusa tetra (Fabricius, 1792)</v>
      </c>
      <c r="AH13632" s="4" t="str">
        <f>HYPERLINK("#Statut_biogéographique!A"&amp;_xlfn.XMATCH("P",Statut_biogéographique!A:A,2,1),"P")</f>
        <v>P</v>
      </c>
      <c r="AP13632" s="4" t="s">
        <v>376</v>
      </c>
      <c r="AR13632" s="4" t="s">
        <v>377</v>
      </c>
    </row>
    <row r="13633" spans="1:44">
      <c r="A13633" s="4" t="s">
        <v>10753</v>
      </c>
      <c r="B13633" s="4">
        <v>242415</v>
      </c>
      <c r="D13633" s="5" t="s">
        <v>16312</v>
      </c>
      <c r="E13633" s="6" t="str">
        <f>HYPERLINK("https://inpn.mnhn.fr/espece/cd_nom/242415","Mecinus labilis (Herbst, 1795)")</f>
        <v>Mecinus labilis (Herbst, 1795)</v>
      </c>
      <c r="AH13633" s="4" t="str">
        <f>HYPERLINK("#Statut_biogéographique!A"&amp;_xlfn.XMATCH("P",Statut_biogéographique!A:A,2,1),"P")</f>
        <v>P</v>
      </c>
      <c r="AP13633" s="4" t="s">
        <v>376</v>
      </c>
      <c r="AR13633" s="4" t="s">
        <v>377</v>
      </c>
    </row>
    <row r="13634" spans="1:44">
      <c r="A13634" s="4" t="s">
        <v>10753</v>
      </c>
      <c r="B13634" s="4">
        <v>242427</v>
      </c>
      <c r="D13634" s="5" t="s">
        <v>16313</v>
      </c>
      <c r="E13634" s="6" t="str">
        <f>HYPERLINK("https://inpn.mnhn.fr/espece/cd_nom/242427","Cleopomiarus graminis (Gyllenhal, 1813)")</f>
        <v>Cleopomiarus graminis (Gyllenhal, 1813)</v>
      </c>
      <c r="AH13634" s="4" t="str">
        <f>HYPERLINK("#Statut_biogéographique!A"&amp;_xlfn.XMATCH("P",Statut_biogéographique!A:A,2,1),"P")</f>
        <v>P</v>
      </c>
      <c r="AP13634" s="4" t="s">
        <v>376</v>
      </c>
      <c r="AR13634" s="4" t="s">
        <v>377</v>
      </c>
    </row>
    <row r="13635" spans="1:44">
      <c r="A13635" s="4" t="s">
        <v>10753</v>
      </c>
      <c r="B13635" s="4">
        <v>24243</v>
      </c>
      <c r="D13635" s="5">
        <v>24243</v>
      </c>
      <c r="E13635" s="6" t="str">
        <f>HYPERLINK("https://inpn.mnhn.fr/espece/cd_nom/24243","Nephrocerus flavicornis Zetterstedt, 1844")</f>
        <v>Nephrocerus flavicornis Zetterstedt, 1844</v>
      </c>
      <c r="AH13635" s="4" t="str">
        <f>HYPERLINK("#Statut_biogéographique!A"&amp;_xlfn.XMATCH("P",Statut_biogéographique!A:A,2,1),"P")</f>
        <v>P</v>
      </c>
      <c r="AP13635" s="4" t="s">
        <v>376</v>
      </c>
      <c r="AR13635" s="4" t="s">
        <v>377</v>
      </c>
    </row>
    <row r="13636" spans="1:44">
      <c r="A13636" s="4" t="s">
        <v>10753</v>
      </c>
      <c r="B13636" s="4">
        <v>242431</v>
      </c>
      <c r="D13636" s="5" t="s">
        <v>16314</v>
      </c>
      <c r="E13636" s="6" t="str">
        <f>HYPERLINK("https://inpn.mnhn.fr/espece/cd_nom/242431","Cleopomiarus plantarum (Germar, 1823)")</f>
        <v>Cleopomiarus plantarum (Germar, 1823)</v>
      </c>
      <c r="F13636" s="5" t="s">
        <v>16315</v>
      </c>
      <c r="AH13636" s="4" t="str">
        <f>HYPERLINK("#Statut_biogéographique!A"&amp;_xlfn.XMATCH("P",Statut_biogéographique!A:A,2,1),"P")</f>
        <v>P</v>
      </c>
      <c r="AP13636" s="4" t="s">
        <v>376</v>
      </c>
      <c r="AR13636" s="4" t="s">
        <v>377</v>
      </c>
    </row>
    <row r="13637" spans="1:44">
      <c r="A13637" s="4" t="s">
        <v>10753</v>
      </c>
      <c r="B13637" s="4">
        <v>242433</v>
      </c>
      <c r="D13637" s="5" t="s">
        <v>16316</v>
      </c>
      <c r="E13637" s="6" t="str">
        <f>HYPERLINK("https://inpn.mnhn.fr/espece/cd_nom/242433","Curculio villosus Fabricius, 1781")</f>
        <v>Curculio villosus Fabricius, 1781</v>
      </c>
      <c r="F13637" s="5" t="s">
        <v>16317</v>
      </c>
      <c r="AH13637" s="4" t="str">
        <f>HYPERLINK("#Statut_biogéographique!A"&amp;_xlfn.XMATCH("P",Statut_biogéographique!A:A,2,1),"P")</f>
        <v>P</v>
      </c>
      <c r="AP13637" s="4" t="s">
        <v>376</v>
      </c>
      <c r="AR13637" s="4" t="s">
        <v>377</v>
      </c>
    </row>
    <row r="13638" spans="1:44">
      <c r="A13638" s="4" t="s">
        <v>10753</v>
      </c>
      <c r="B13638" s="4">
        <v>242436</v>
      </c>
      <c r="D13638" s="5" t="s">
        <v>16318</v>
      </c>
      <c r="E13638" s="6" t="str">
        <f>HYPERLINK("https://inpn.mnhn.fr/espece/cd_nom/242436","Archarius salicivorus (Paykull, 1792)")</f>
        <v>Archarius salicivorus (Paykull, 1792)</v>
      </c>
      <c r="AH13638" s="4" t="str">
        <f>HYPERLINK("#Statut_biogéographique!A"&amp;_xlfn.XMATCH("P",Statut_biogéographique!A:A,2,1),"P")</f>
        <v>P</v>
      </c>
      <c r="AP13638" s="4" t="s">
        <v>376</v>
      </c>
      <c r="AR13638" s="4" t="s">
        <v>377</v>
      </c>
    </row>
    <row r="13639" spans="1:44">
      <c r="A13639" s="4" t="s">
        <v>10753</v>
      </c>
      <c r="B13639" s="4">
        <v>242437</v>
      </c>
      <c r="D13639" s="5" t="s">
        <v>16319</v>
      </c>
      <c r="E13639" s="6" t="str">
        <f>HYPERLINK("https://inpn.mnhn.fr/espece/cd_nom/242437","Archarius pyrrhoceras (Marsham, 1802)")</f>
        <v>Archarius pyrrhoceras (Marsham, 1802)</v>
      </c>
      <c r="AH13639" s="4" t="str">
        <f>HYPERLINK("#Statut_biogéographique!A"&amp;_xlfn.XMATCH("P",Statut_biogéographique!A:A,2,1),"P")</f>
        <v>P</v>
      </c>
      <c r="AP13639" s="4" t="s">
        <v>376</v>
      </c>
      <c r="AR13639" s="4" t="s">
        <v>377</v>
      </c>
    </row>
    <row r="13640" spans="1:44">
      <c r="A13640" s="4" t="s">
        <v>10753</v>
      </c>
      <c r="B13640" s="4">
        <v>242438</v>
      </c>
      <c r="D13640" s="5" t="s">
        <v>16320</v>
      </c>
      <c r="E13640" s="6" t="str">
        <f>HYPERLINK("https://inpn.mnhn.fr/espece/cd_nom/242438","Anthonomus humeralis (Panzer, 1795)")</f>
        <v>Anthonomus humeralis (Panzer, 1795)</v>
      </c>
      <c r="AH13640" s="4" t="str">
        <f>HYPERLINK("#Statut_biogéographique!A"&amp;_xlfn.XMATCH("P",Statut_biogéographique!A:A,2,1),"P")</f>
        <v>P</v>
      </c>
      <c r="AP13640" s="4" t="s">
        <v>376</v>
      </c>
      <c r="AR13640" s="4" t="s">
        <v>377</v>
      </c>
    </row>
    <row r="13641" spans="1:44">
      <c r="A13641" s="4" t="s">
        <v>10753</v>
      </c>
      <c r="B13641" s="4">
        <v>242439</v>
      </c>
      <c r="D13641" s="5" t="s">
        <v>16321</v>
      </c>
      <c r="E13641" s="6" t="str">
        <f>HYPERLINK("https://inpn.mnhn.fr/espece/cd_nom/242439","Anthonomus undulatus Gyllenhal, 1835")</f>
        <v>Anthonomus undulatus Gyllenhal, 1835</v>
      </c>
      <c r="AH13641" s="4" t="str">
        <f>HYPERLINK("#Statut_biogéographique!A"&amp;_xlfn.XMATCH("P",Statut_biogéographique!A:A,2,1),"P")</f>
        <v>P</v>
      </c>
      <c r="AP13641" s="4" t="s">
        <v>376</v>
      </c>
      <c r="AR13641" s="4" t="s">
        <v>377</v>
      </c>
    </row>
    <row r="13642" spans="1:44">
      <c r="A13642" s="4" t="s">
        <v>10753</v>
      </c>
      <c r="B13642" s="4">
        <v>24244</v>
      </c>
      <c r="D13642" s="5">
        <v>24244</v>
      </c>
      <c r="E13642" s="6" t="str">
        <f>HYPERLINK("https://inpn.mnhn.fr/espece/cd_nom/24244","Nephrocerus lapponicus Zetterstedt, 1838")</f>
        <v>Nephrocerus lapponicus Zetterstedt, 1838</v>
      </c>
      <c r="AH13642" s="4" t="str">
        <f>HYPERLINK("#Statut_biogéographique!A"&amp;_xlfn.XMATCH("P",Statut_biogéographique!A:A,2,1),"P")</f>
        <v>P</v>
      </c>
      <c r="AP13642" s="4" t="s">
        <v>376</v>
      </c>
      <c r="AR13642" s="4" t="s">
        <v>377</v>
      </c>
    </row>
    <row r="13643" spans="1:44" ht="45">
      <c r="A13643" s="4" t="s">
        <v>10753</v>
      </c>
      <c r="B13643" s="4">
        <v>242440</v>
      </c>
      <c r="D13643" s="5" t="s">
        <v>16322</v>
      </c>
      <c r="E13643" s="6" t="str">
        <f>HYPERLINK("https://inpn.mnhn.fr/espece/cd_nom/242440","Anthonomus phyllocola (Herbst, 1795)")</f>
        <v>Anthonomus phyllocola (Herbst, 1795)</v>
      </c>
      <c r="AH13643" s="4" t="str">
        <f>HYPERLINK("#Statut_biogéographique!A"&amp;_xlfn.XMATCH("P",Statut_biogéographique!A:A,2,1),"P")</f>
        <v>P</v>
      </c>
      <c r="AP13643" s="4" t="s">
        <v>376</v>
      </c>
      <c r="AR13643" s="4" t="s">
        <v>377</v>
      </c>
    </row>
    <row r="13644" spans="1:44" ht="30">
      <c r="A13644" s="4" t="s">
        <v>10753</v>
      </c>
      <c r="B13644" s="4">
        <v>242441</v>
      </c>
      <c r="D13644" s="5" t="s">
        <v>16323</v>
      </c>
      <c r="E13644" s="6" t="str">
        <f>HYPERLINK("https://inpn.mnhn.fr/espece/cd_nom/242441","Anthonomus rectirostris (Linnaeus, 1758)")</f>
        <v>Anthonomus rectirostris (Linnaeus, 1758)</v>
      </c>
      <c r="F13644" s="5" t="s">
        <v>16324</v>
      </c>
      <c r="AH13644" s="4" t="str">
        <f>HYPERLINK("#Statut_biogéographique!A"&amp;_xlfn.XMATCH("P",Statut_biogéographique!A:A,2,1),"P")</f>
        <v>P</v>
      </c>
      <c r="AP13644" s="4" t="s">
        <v>376</v>
      </c>
      <c r="AR13644" s="4" t="s">
        <v>377</v>
      </c>
    </row>
    <row r="13645" spans="1:44">
      <c r="A13645" s="4" t="s">
        <v>10753</v>
      </c>
      <c r="B13645" s="4">
        <v>242444</v>
      </c>
      <c r="D13645" s="5" t="s">
        <v>16325</v>
      </c>
      <c r="E13645" s="6" t="str">
        <f>HYPERLINK("https://inpn.mnhn.fr/espece/cd_nom/242444","Dorytomus melanophthalmus (Paykull, 1792)")</f>
        <v>Dorytomus melanophthalmus (Paykull, 1792)</v>
      </c>
      <c r="AH13645" s="4" t="str">
        <f>HYPERLINK("#Statut_biogéographique!A"&amp;_xlfn.XMATCH("P",Statut_biogéographique!A:A,2,1),"P")</f>
        <v>P</v>
      </c>
      <c r="AP13645" s="4" t="s">
        <v>376</v>
      </c>
      <c r="AR13645" s="4" t="s">
        <v>377</v>
      </c>
    </row>
    <row r="13646" spans="1:44" ht="30">
      <c r="A13646" s="4" t="s">
        <v>10753</v>
      </c>
      <c r="B13646" s="4">
        <v>242449</v>
      </c>
      <c r="D13646" s="5" t="s">
        <v>16326</v>
      </c>
      <c r="E13646" s="6" t="str">
        <f>HYPERLINK("https://inpn.mnhn.fr/espece/cd_nom/242449","Tachyerges salicis (Linnaeus, 1758)")</f>
        <v>Tachyerges salicis (Linnaeus, 1758)</v>
      </c>
      <c r="AH13646" s="4" t="str">
        <f>HYPERLINK("#Statut_biogéographique!A"&amp;_xlfn.XMATCH("P",Statut_biogéographique!A:A,2,1),"P")</f>
        <v>P</v>
      </c>
      <c r="AP13646" s="4" t="s">
        <v>376</v>
      </c>
      <c r="AR13646" s="4" t="s">
        <v>377</v>
      </c>
    </row>
    <row r="13647" spans="1:44">
      <c r="A13647" s="4" t="s">
        <v>10753</v>
      </c>
      <c r="B13647" s="4">
        <v>24245</v>
      </c>
      <c r="D13647" s="5" t="s">
        <v>16327</v>
      </c>
      <c r="E13647" s="6" t="str">
        <f>HYPERLINK("https://inpn.mnhn.fr/espece/cd_nom/24245","Nephrocerus scutellatus (Macquart, 1835)")</f>
        <v>Nephrocerus scutellatus (Macquart, 1835)</v>
      </c>
      <c r="AH13647" s="4" t="str">
        <f>HYPERLINK("#Statut_biogéographique!A"&amp;_xlfn.XMATCH("P",Statut_biogéographique!A:A,2,1),"P")</f>
        <v>P</v>
      </c>
      <c r="AP13647" s="4" t="s">
        <v>376</v>
      </c>
      <c r="AR13647" s="4" t="s">
        <v>377</v>
      </c>
    </row>
    <row r="13648" spans="1:44" ht="30">
      <c r="A13648" s="4" t="s">
        <v>10753</v>
      </c>
      <c r="B13648" s="4">
        <v>242450</v>
      </c>
      <c r="D13648" s="5" t="s">
        <v>16328</v>
      </c>
      <c r="E13648" s="6" t="str">
        <f>HYPERLINK("https://inpn.mnhn.fr/espece/cd_nom/242450","Tachyerges stigma (Germar, 1821)")</f>
        <v>Tachyerges stigma (Germar, 1821)</v>
      </c>
      <c r="AH13648" s="4" t="str">
        <f>HYPERLINK("#Statut_biogéographique!A"&amp;_xlfn.XMATCH("P",Statut_biogéographique!A:A,2,1),"P")</f>
        <v>P</v>
      </c>
      <c r="AP13648" s="4" t="s">
        <v>376</v>
      </c>
      <c r="AR13648" s="4" t="s">
        <v>377</v>
      </c>
    </row>
    <row r="13649" spans="1:44">
      <c r="A13649" s="4" t="s">
        <v>10753</v>
      </c>
      <c r="B13649" s="4">
        <v>242451</v>
      </c>
      <c r="D13649" s="5" t="s">
        <v>16329</v>
      </c>
      <c r="E13649" s="6" t="str">
        <f>HYPERLINK("https://inpn.mnhn.fr/espece/cd_nom/242451","Rhynchaenus xylostei Clairville, 1798")</f>
        <v>Rhynchaenus xylostei Clairville, 1798</v>
      </c>
      <c r="AH13649" s="4" t="str">
        <f>HYPERLINK("#Statut_biogéographique!A"&amp;_xlfn.XMATCH("P",Statut_biogéographique!A:A,2,1),"P")</f>
        <v>P</v>
      </c>
      <c r="AP13649" s="4" t="s">
        <v>376</v>
      </c>
      <c r="AR13649" s="4" t="s">
        <v>377</v>
      </c>
    </row>
    <row r="13650" spans="1:44">
      <c r="A13650" s="4" t="s">
        <v>10753</v>
      </c>
      <c r="B13650" s="4">
        <v>242452</v>
      </c>
      <c r="D13650" s="5" t="s">
        <v>16330</v>
      </c>
      <c r="E13650" s="6" t="str">
        <f>HYPERLINK("https://inpn.mnhn.fr/espece/cd_nom/242452","Rhamphus oxyacanthae (Marsham, 1802)")</f>
        <v>Rhamphus oxyacanthae (Marsham, 1802)</v>
      </c>
      <c r="AH13650" s="4" t="str">
        <f>HYPERLINK("#Statut_biogéographique!A"&amp;_xlfn.XMATCH("P",Statut_biogéographique!A:A,2,1),"P")</f>
        <v>P</v>
      </c>
      <c r="AP13650" s="4" t="s">
        <v>376</v>
      </c>
      <c r="AR13650" s="4" t="s">
        <v>377</v>
      </c>
    </row>
    <row r="13651" spans="1:44" ht="30">
      <c r="A13651" s="4" t="s">
        <v>10753</v>
      </c>
      <c r="B13651" s="4">
        <v>242461</v>
      </c>
      <c r="D13651" s="5" t="s">
        <v>16331</v>
      </c>
      <c r="E13651" s="6" t="str">
        <f>HYPERLINK("https://inpn.mnhn.fr/espece/cd_nom/242461","Orchestes alni (Linnaeus, 1758)")</f>
        <v>Orchestes alni (Linnaeus, 1758)</v>
      </c>
      <c r="F13651" s="5" t="s">
        <v>16332</v>
      </c>
      <c r="AH13651" s="4" t="str">
        <f>HYPERLINK("#Statut_biogéographique!A"&amp;_xlfn.XMATCH("P",Statut_biogéographique!A:A,2,1),"P")</f>
        <v>P</v>
      </c>
      <c r="AP13651" s="4" t="s">
        <v>376</v>
      </c>
      <c r="AR13651" s="4" t="s">
        <v>377</v>
      </c>
    </row>
    <row r="13652" spans="1:44" ht="30">
      <c r="A13652" s="4" t="s">
        <v>10753</v>
      </c>
      <c r="B13652" s="4">
        <v>242463</v>
      </c>
      <c r="D13652" s="5" t="s">
        <v>16333</v>
      </c>
      <c r="E13652" s="6" t="str">
        <f>HYPERLINK("https://inpn.mnhn.fr/espece/cd_nom/242463","Orchestes betuleti (Panzer, 1795)")</f>
        <v>Orchestes betuleti (Panzer, 1795)</v>
      </c>
      <c r="AH13652" s="4" t="str">
        <f>HYPERLINK("#Statut_biogéographique!A"&amp;_xlfn.XMATCH("P",Statut_biogéographique!A:A,2,1),"P")</f>
        <v>P</v>
      </c>
      <c r="AP13652" s="4" t="s">
        <v>376</v>
      </c>
      <c r="AR13652" s="4" t="s">
        <v>377</v>
      </c>
    </row>
    <row r="13653" spans="1:44">
      <c r="A13653" s="4" t="s">
        <v>10753</v>
      </c>
      <c r="B13653" s="4">
        <v>242464</v>
      </c>
      <c r="D13653" s="5" t="s">
        <v>16334</v>
      </c>
      <c r="E13653" s="6" t="str">
        <f>HYPERLINK("https://inpn.mnhn.fr/espece/cd_nom/242464","Orchestes erythropus (Germar, 1821)")</f>
        <v>Orchestes erythropus (Germar, 1821)</v>
      </c>
      <c r="AH13653" s="4" t="str">
        <f>HYPERLINK("#Statut_biogéographique!A"&amp;_xlfn.XMATCH("P",Statut_biogéographique!A:A,2,1),"P")</f>
        <v>P</v>
      </c>
      <c r="AP13653" s="4" t="s">
        <v>376</v>
      </c>
      <c r="AR13653" s="4" t="s">
        <v>377</v>
      </c>
    </row>
    <row r="13654" spans="1:44" ht="45">
      <c r="A13654" s="4" t="s">
        <v>10753</v>
      </c>
      <c r="B13654" s="4">
        <v>242468</v>
      </c>
      <c r="D13654" s="5" t="s">
        <v>16335</v>
      </c>
      <c r="E13654" s="6" t="str">
        <f>HYPERLINK("https://inpn.mnhn.fr/espece/cd_nom/242468","Orchestes quercus (Linnaeus, 1758)")</f>
        <v>Orchestes quercus (Linnaeus, 1758)</v>
      </c>
      <c r="AH13654" s="4" t="str">
        <f>HYPERLINK("#Statut_biogéographique!A"&amp;_xlfn.XMATCH("P",Statut_biogéographique!A:A,2,1),"P")</f>
        <v>P</v>
      </c>
      <c r="AP13654" s="4" t="s">
        <v>376</v>
      </c>
      <c r="AR13654" s="4" t="s">
        <v>377</v>
      </c>
    </row>
    <row r="13655" spans="1:44" ht="30">
      <c r="A13655" s="4" t="s">
        <v>10753</v>
      </c>
      <c r="B13655" s="4">
        <v>242469</v>
      </c>
      <c r="D13655" s="5" t="s">
        <v>16336</v>
      </c>
      <c r="E13655" s="6" t="str">
        <f>HYPERLINK("https://inpn.mnhn.fr/espece/cd_nom/242469","Orchestes rusci (Herbst, 1795)")</f>
        <v>Orchestes rusci (Herbst, 1795)</v>
      </c>
      <c r="AH13655" s="4" t="str">
        <f>HYPERLINK("#Statut_biogéographique!A"&amp;_xlfn.XMATCH("P",Statut_biogéographique!A:A,2,1),"P")</f>
        <v>P</v>
      </c>
      <c r="AP13655" s="4" t="s">
        <v>376</v>
      </c>
      <c r="AR13655" s="4" t="s">
        <v>377</v>
      </c>
    </row>
    <row r="13656" spans="1:44">
      <c r="A13656" s="4" t="s">
        <v>10753</v>
      </c>
      <c r="B13656" s="4">
        <v>24247</v>
      </c>
      <c r="D13656" s="5" t="s">
        <v>16337</v>
      </c>
      <c r="E13656" s="6" t="str">
        <f>HYPERLINK("https://inpn.mnhn.fr/espece/cd_nom/24247","Dorylomorpha albitarsis (Zetterstedt, 1844)")</f>
        <v>Dorylomorpha albitarsis (Zetterstedt, 1844)</v>
      </c>
      <c r="AH13656" s="4" t="str">
        <f>HYPERLINK("#Statut_biogéographique!A"&amp;_xlfn.XMATCH("P",Statut_biogéographique!A:A,2,1),"P")</f>
        <v>P</v>
      </c>
      <c r="AP13656" s="4" t="s">
        <v>376</v>
      </c>
      <c r="AR13656" s="4" t="s">
        <v>377</v>
      </c>
    </row>
    <row r="13657" spans="1:44">
      <c r="A13657" s="4" t="s">
        <v>10753</v>
      </c>
      <c r="B13657" s="4">
        <v>242471</v>
      </c>
      <c r="D13657" s="5" t="s">
        <v>16338</v>
      </c>
      <c r="E13657" s="6" t="str">
        <f>HYPERLINK("https://inpn.mnhn.fr/espece/cd_nom/242471","Orchestes testaceus (Müller, 1776)")</f>
        <v>Orchestes testaceus (Müller, 1776)</v>
      </c>
      <c r="AH13657" s="4" t="str">
        <f>HYPERLINK("#Statut_biogéographique!A"&amp;_xlfn.XMATCH("P",Statut_biogéographique!A:A,2,1),"P")</f>
        <v>P</v>
      </c>
      <c r="AP13657" s="4" t="s">
        <v>376</v>
      </c>
      <c r="AR13657" s="4" t="s">
        <v>377</v>
      </c>
    </row>
    <row r="13658" spans="1:44">
      <c r="A13658" s="4" t="s">
        <v>10753</v>
      </c>
      <c r="B13658" s="4">
        <v>242472</v>
      </c>
      <c r="D13658" s="5" t="s">
        <v>16339</v>
      </c>
      <c r="E13658" s="6" t="str">
        <f>HYPERLINK("https://inpn.mnhn.fr/espece/cd_nom/242472","Orchestes fagi (Linnaeus, 1758)")</f>
        <v>Orchestes fagi (Linnaeus, 1758)</v>
      </c>
      <c r="F13658" s="5" t="s">
        <v>16340</v>
      </c>
      <c r="AH13658" s="4" t="str">
        <f>HYPERLINK("#Statut_biogéographique!A"&amp;_xlfn.XMATCH("P",Statut_biogéographique!A:A,2,1),"P")</f>
        <v>P</v>
      </c>
      <c r="AP13658" s="4" t="s">
        <v>376</v>
      </c>
      <c r="AR13658" s="4" t="s">
        <v>377</v>
      </c>
    </row>
    <row r="13659" spans="1:44" ht="30">
      <c r="A13659" s="4" t="s">
        <v>10753</v>
      </c>
      <c r="B13659" s="4">
        <v>242475</v>
      </c>
      <c r="D13659" s="5" t="s">
        <v>16341</v>
      </c>
      <c r="E13659" s="6" t="str">
        <f>HYPERLINK("https://inpn.mnhn.fr/espece/cd_nom/242475","Isochnus foliorum (O.F. Müller, 1764)")</f>
        <v>Isochnus foliorum (O.F. Müller, 1764)</v>
      </c>
      <c r="AH13659" s="4" t="str">
        <f>HYPERLINK("#Statut_biogéographique!A"&amp;_xlfn.XMATCH("P",Statut_biogéographique!A:A,2,1),"P")</f>
        <v>P</v>
      </c>
      <c r="AP13659" s="4" t="s">
        <v>376</v>
      </c>
      <c r="AR13659" s="4" t="s">
        <v>377</v>
      </c>
    </row>
    <row r="13660" spans="1:44">
      <c r="A13660" s="4" t="s">
        <v>10753</v>
      </c>
      <c r="B13660" s="4">
        <v>24249</v>
      </c>
      <c r="D13660" s="5" t="s">
        <v>16342</v>
      </c>
      <c r="E13660" s="6" t="str">
        <f>HYPERLINK("https://inpn.mnhn.fr/espece/cd_nom/24249","Dorylomorpha confusa (Verrall, 1901)")</f>
        <v>Dorylomorpha confusa (Verrall, 1901)</v>
      </c>
      <c r="AH13660" s="4" t="str">
        <f>HYPERLINK("#Statut_biogéographique!A"&amp;_xlfn.XMATCH("P",Statut_biogéographique!A:A,2,1),"P")</f>
        <v>P</v>
      </c>
      <c r="AP13660" s="4" t="s">
        <v>376</v>
      </c>
      <c r="AR13660" s="4" t="s">
        <v>377</v>
      </c>
    </row>
    <row r="13661" spans="1:44">
      <c r="A13661" s="4" t="s">
        <v>10753</v>
      </c>
      <c r="B13661" s="4">
        <v>24250</v>
      </c>
      <c r="D13661" s="5" t="s">
        <v>16343</v>
      </c>
      <c r="E13661" s="6" t="str">
        <f>HYPERLINK("https://inpn.mnhn.fr/espece/cd_nom/24250","Dorylomorpha extricata (Collin, 1937)")</f>
        <v>Dorylomorpha extricata (Collin, 1937)</v>
      </c>
      <c r="AH13661" s="4" t="str">
        <f>HYPERLINK("#Statut_biogéographique!A"&amp;_xlfn.XMATCH("P",Statut_biogéographique!A:A,2,1),"P")</f>
        <v>P</v>
      </c>
      <c r="AP13661" s="4" t="s">
        <v>376</v>
      </c>
      <c r="AR13661" s="4" t="s">
        <v>377</v>
      </c>
    </row>
    <row r="13662" spans="1:44">
      <c r="A13662" s="4" t="s">
        <v>10753</v>
      </c>
      <c r="B13662" s="4">
        <v>242501</v>
      </c>
      <c r="D13662" s="5" t="s">
        <v>16344</v>
      </c>
      <c r="E13662" s="6" t="str">
        <f>HYPERLINK("https://inpn.mnhn.fr/espece/cd_nom/242501","Acalles fallax Boheman, 1844")</f>
        <v>Acalles fallax Boheman, 1844</v>
      </c>
      <c r="AH13662" s="4" t="str">
        <f>HYPERLINK("#Statut_biogéographique!A"&amp;_xlfn.XMATCH("P",Statut_biogéographique!A:A,2,1),"P")</f>
        <v>P</v>
      </c>
      <c r="AP13662" s="4" t="s">
        <v>376</v>
      </c>
      <c r="AR13662" s="4" t="s">
        <v>377</v>
      </c>
    </row>
    <row r="13663" spans="1:44">
      <c r="A13663" s="4" t="s">
        <v>10753</v>
      </c>
      <c r="B13663" s="4">
        <v>24251</v>
      </c>
      <c r="D13663" s="5" t="s">
        <v>16345</v>
      </c>
      <c r="E13663" s="6" t="str">
        <f>HYPERLINK("https://inpn.mnhn.fr/espece/cd_nom/24251","Dorylomorpha hungarica (Aczél, 1939)")</f>
        <v>Dorylomorpha hungarica (Aczél, 1939)</v>
      </c>
      <c r="AH13663" s="4" t="str">
        <f>HYPERLINK("#Statut_biogéographique!A"&amp;_xlfn.XMATCH("P",Statut_biogéographique!A:A,2,1),"P")</f>
        <v>P</v>
      </c>
      <c r="AP13663" s="4" t="s">
        <v>376</v>
      </c>
      <c r="AR13663" s="4" t="s">
        <v>377</v>
      </c>
    </row>
    <row r="13664" spans="1:44">
      <c r="A13664" s="4" t="s">
        <v>10753</v>
      </c>
      <c r="B13664" s="4">
        <v>24252</v>
      </c>
      <c r="D13664" s="5" t="s">
        <v>16346</v>
      </c>
      <c r="E13664" s="6" t="str">
        <f>HYPERLINK("https://inpn.mnhn.fr/espece/cd_nom/24252","Dorylomorpha imparata (Collin, 1937)")</f>
        <v>Dorylomorpha imparata (Collin, 1937)</v>
      </c>
      <c r="AH13664" s="4" t="str">
        <f>HYPERLINK("#Statut_biogéographique!A"&amp;_xlfn.XMATCH("P",Statut_biogéographique!A:A,2,1),"P")</f>
        <v>P</v>
      </c>
      <c r="AP13664" s="4" t="s">
        <v>376</v>
      </c>
      <c r="AR13664" s="4" t="s">
        <v>377</v>
      </c>
    </row>
    <row r="13665" spans="1:44">
      <c r="A13665" s="4" t="s">
        <v>10753</v>
      </c>
      <c r="B13665" s="4">
        <v>242522</v>
      </c>
      <c r="D13665" s="5" t="s">
        <v>16347</v>
      </c>
      <c r="E13665" s="6" t="str">
        <f>HYPERLINK("https://inpn.mnhn.fr/espece/cd_nom/242522","Aulacobaris coerulescens (Scopoli, 1763)")</f>
        <v>Aulacobaris coerulescens (Scopoli, 1763)</v>
      </c>
      <c r="AH13665" s="4" t="str">
        <f>HYPERLINK("#Statut_biogéographique!A"&amp;_xlfn.XMATCH("P",Statut_biogéographique!A:A,2,1),"P")</f>
        <v>P</v>
      </c>
      <c r="AP13665" s="4" t="s">
        <v>376</v>
      </c>
      <c r="AR13665" s="4" t="s">
        <v>377</v>
      </c>
    </row>
    <row r="13666" spans="1:44">
      <c r="A13666" s="4" t="s">
        <v>10753</v>
      </c>
      <c r="B13666" s="4">
        <v>24253</v>
      </c>
      <c r="D13666" s="5" t="s">
        <v>16348</v>
      </c>
      <c r="E13666" s="6" t="str">
        <f>HYPERLINK("https://inpn.mnhn.fr/espece/cd_nom/24253","Dorylomorpha incognita (Verrall, 1901)")</f>
        <v>Dorylomorpha incognita (Verrall, 1901)</v>
      </c>
      <c r="AH13666" s="4" t="str">
        <f>HYPERLINK("#Statut_biogéographique!A"&amp;_xlfn.XMATCH("P",Statut_biogéographique!A:A,2,1),"P")</f>
        <v>P</v>
      </c>
      <c r="AP13666" s="4" t="s">
        <v>376</v>
      </c>
      <c r="AR13666" s="4" t="s">
        <v>377</v>
      </c>
    </row>
    <row r="13667" spans="1:44">
      <c r="A13667" s="4" t="s">
        <v>10753</v>
      </c>
      <c r="B13667" s="4">
        <v>242535</v>
      </c>
      <c r="D13667" s="5" t="s">
        <v>16349</v>
      </c>
      <c r="E13667" s="6" t="str">
        <f>HYPERLINK("https://inpn.mnhn.fr/espece/cd_nom/242535","Limnobaris dolorosa (Goeze, 1777)")</f>
        <v>Limnobaris dolorosa (Goeze, 1777)</v>
      </c>
      <c r="AH13667" s="4" t="str">
        <f>HYPERLINK("#Statut_biogéographique!A"&amp;_xlfn.XMATCH("P",Statut_biogéographique!A:A,2,1),"P")</f>
        <v>P</v>
      </c>
      <c r="AP13667" s="4" t="s">
        <v>376</v>
      </c>
      <c r="AR13667" s="4" t="s">
        <v>377</v>
      </c>
    </row>
    <row r="13668" spans="1:44">
      <c r="A13668" s="4" t="s">
        <v>10753</v>
      </c>
      <c r="B13668" s="4">
        <v>242536</v>
      </c>
      <c r="D13668" s="5" t="s">
        <v>16350</v>
      </c>
      <c r="E13668" s="6" t="str">
        <f>HYPERLINK("https://inpn.mnhn.fr/espece/cd_nom/242536","Limnobaris t-album (Linnaeus, 1758)")</f>
        <v>Limnobaris t-album (Linnaeus, 1758)</v>
      </c>
      <c r="AH13668" s="4" t="str">
        <f>HYPERLINK("#Statut_biogéographique!A"&amp;_xlfn.XMATCH("P",Statut_biogéographique!A:A,2,1),"P")</f>
        <v>P</v>
      </c>
      <c r="AP13668" s="4" t="s">
        <v>376</v>
      </c>
      <c r="AR13668" s="4" t="s">
        <v>377</v>
      </c>
    </row>
    <row r="13669" spans="1:44">
      <c r="A13669" s="4" t="s">
        <v>10753</v>
      </c>
      <c r="B13669" s="4">
        <v>24255</v>
      </c>
      <c r="D13669" s="5" t="s">
        <v>16351</v>
      </c>
      <c r="E13669" s="6" t="str">
        <f>HYPERLINK("https://inpn.mnhn.fr/espece/cd_nom/24255","Dorylomorpha infirmata (Collin, 1937)")</f>
        <v>Dorylomorpha infirmata (Collin, 1937)</v>
      </c>
      <c r="AH13669" s="4" t="str">
        <f>HYPERLINK("#Statut_biogéographique!A"&amp;_xlfn.XMATCH("P",Statut_biogéographique!A:A,2,1),"P")</f>
        <v>P</v>
      </c>
      <c r="AP13669" s="4" t="s">
        <v>376</v>
      </c>
      <c r="AR13669" s="4" t="s">
        <v>377</v>
      </c>
    </row>
    <row r="13670" spans="1:44">
      <c r="A13670" s="4" t="s">
        <v>10753</v>
      </c>
      <c r="B13670" s="4">
        <v>242553</v>
      </c>
      <c r="D13670" s="5" t="s">
        <v>16352</v>
      </c>
      <c r="E13670" s="6" t="str">
        <f>HYPERLINK("https://inpn.mnhn.fr/espece/cd_nom/242553","Otiorhynchus aurifer Boheman, 1842")</f>
        <v>Otiorhynchus aurifer Boheman, 1842</v>
      </c>
      <c r="AH13670" s="4" t="str">
        <f>HYPERLINK("#Statut_biogéographique!A"&amp;_xlfn.XMATCH("P",Statut_biogéographique!A:A,2,1),"P")</f>
        <v>P</v>
      </c>
      <c r="AP13670" s="4" t="s">
        <v>376</v>
      </c>
      <c r="AR13670" s="4" t="s">
        <v>377</v>
      </c>
    </row>
    <row r="13671" spans="1:44">
      <c r="A13671" s="4" t="s">
        <v>10753</v>
      </c>
      <c r="B13671" s="4">
        <v>242555</v>
      </c>
      <c r="D13671" s="5">
        <v>242555</v>
      </c>
      <c r="E13671" s="6" t="str">
        <f>HYPERLINK("https://inpn.mnhn.fr/espece/cd_nom/242555","Otiorhynchus coecus Germar, 1823")</f>
        <v>Otiorhynchus coecus Germar, 1823</v>
      </c>
      <c r="AH13671" s="4" t="str">
        <f>HYPERLINK("#Statut_biogéographique!A"&amp;_xlfn.XMATCH("P",Statut_biogéographique!A:A,2,1),"P")</f>
        <v>P</v>
      </c>
      <c r="AP13671" s="4" t="s">
        <v>376</v>
      </c>
      <c r="AR13671" s="4" t="s">
        <v>377</v>
      </c>
    </row>
    <row r="13672" spans="1:44">
      <c r="A13672" s="4" t="s">
        <v>10753</v>
      </c>
      <c r="B13672" s="4">
        <v>24256</v>
      </c>
      <c r="D13672" s="5" t="s">
        <v>16353</v>
      </c>
      <c r="E13672" s="6" t="str">
        <f>HYPERLINK("https://inpn.mnhn.fr/espece/cd_nom/24256","Dorylomorpha maculata (Walker, 1834)")</f>
        <v>Dorylomorpha maculata (Walker, 1834)</v>
      </c>
      <c r="AH13672" s="4" t="str">
        <f>HYPERLINK("#Statut_biogéographique!A"&amp;_xlfn.XMATCH("P",Statut_biogéographique!A:A,2,1),"P")</f>
        <v>P</v>
      </c>
      <c r="AP13672" s="4" t="s">
        <v>376</v>
      </c>
      <c r="AR13672" s="4" t="s">
        <v>377</v>
      </c>
    </row>
    <row r="13673" spans="1:44" ht="45">
      <c r="A13673" s="4" t="s">
        <v>10753</v>
      </c>
      <c r="B13673" s="4">
        <v>242560</v>
      </c>
      <c r="D13673" s="5" t="s">
        <v>16354</v>
      </c>
      <c r="E13673" s="6" t="str">
        <f>HYPERLINK("https://inpn.mnhn.fr/espece/cd_nom/242560","Otiorhynchus tenebricosus (Herbst, 1784)")</f>
        <v>Otiorhynchus tenebricosus (Herbst, 1784)</v>
      </c>
      <c r="AH13673" s="4" t="str">
        <f>HYPERLINK("#Statut_biogéographique!A"&amp;_xlfn.XMATCH("P",Statut_biogéographique!A:A,2,1),"P")</f>
        <v>P</v>
      </c>
      <c r="AP13673" s="4" t="s">
        <v>376</v>
      </c>
      <c r="AR13673" s="4" t="s">
        <v>377</v>
      </c>
    </row>
    <row r="13674" spans="1:44">
      <c r="A13674" s="4" t="s">
        <v>10753</v>
      </c>
      <c r="B13674" s="4">
        <v>242564</v>
      </c>
      <c r="D13674" s="5" t="s">
        <v>16355</v>
      </c>
      <c r="E13674" s="6" t="str">
        <f>HYPERLINK("https://inpn.mnhn.fr/espece/cd_nom/242564","Otiorhynchus morio (Fabricius, 1781)")</f>
        <v>Otiorhynchus morio (Fabricius, 1781)</v>
      </c>
      <c r="AH13674" s="4" t="str">
        <f>HYPERLINK("#Statut_biogéographique!A"&amp;_xlfn.XMATCH("P",Statut_biogéographique!A:A,2,1),"P")</f>
        <v>P</v>
      </c>
      <c r="AP13674" s="4" t="s">
        <v>376</v>
      </c>
      <c r="AR13674" s="4" t="s">
        <v>377</v>
      </c>
    </row>
    <row r="13675" spans="1:44">
      <c r="A13675" s="4" t="s">
        <v>10753</v>
      </c>
      <c r="B13675" s="4">
        <v>242570</v>
      </c>
      <c r="D13675" s="5" t="s">
        <v>16356</v>
      </c>
      <c r="E13675" s="6" t="str">
        <f>HYPERLINK("https://inpn.mnhn.fr/espece/cd_nom/242570","Otiorhynchus subdentatus Bach, 1854")</f>
        <v>Otiorhynchus subdentatus Bach, 1854</v>
      </c>
      <c r="AH13675" s="4" t="str">
        <f>HYPERLINK("#Statut_biogéographique!A"&amp;_xlfn.XMATCH("P",Statut_biogéographique!A:A,2,1),"P")</f>
        <v>P</v>
      </c>
      <c r="AP13675" s="4" t="s">
        <v>376</v>
      </c>
      <c r="AR13675" s="4" t="s">
        <v>377</v>
      </c>
    </row>
    <row r="13676" spans="1:44" ht="30">
      <c r="A13676" s="4" t="s">
        <v>10753</v>
      </c>
      <c r="B13676" s="4">
        <v>242571</v>
      </c>
      <c r="D13676" s="5" t="s">
        <v>16357</v>
      </c>
      <c r="E13676" s="6" t="str">
        <f>HYPERLINK("https://inpn.mnhn.fr/espece/cd_nom/242571","Otiorhynchus veterator Uyttenboogaart, 1932")</f>
        <v>Otiorhynchus veterator Uyttenboogaart, 1932</v>
      </c>
      <c r="AH13676" s="4" t="str">
        <f>HYPERLINK("#Statut_biogéographique!A"&amp;_xlfn.XMATCH("P",Statut_biogéographique!A:A,2,1),"P")</f>
        <v>P</v>
      </c>
      <c r="AP13676" s="4" t="s">
        <v>376</v>
      </c>
      <c r="AR13676" s="4" t="s">
        <v>377</v>
      </c>
    </row>
    <row r="13677" spans="1:44">
      <c r="A13677" s="4" t="s">
        <v>10753</v>
      </c>
      <c r="B13677" s="4">
        <v>242583</v>
      </c>
      <c r="D13677" s="5" t="s">
        <v>16358</v>
      </c>
      <c r="E13677" s="6" t="str">
        <f>HYPERLINK("https://inpn.mnhn.fr/espece/cd_nom/242583","Simo hirticornis (Herbst, 1795)")</f>
        <v>Simo hirticornis (Herbst, 1795)</v>
      </c>
      <c r="AH13677" s="4" t="str">
        <f>HYPERLINK("#Statut_biogéographique!A"&amp;_xlfn.XMATCH("P",Statut_biogéographique!A:A,2,1),"P")</f>
        <v>P</v>
      </c>
      <c r="AP13677" s="4" t="s">
        <v>376</v>
      </c>
      <c r="AR13677" s="4" t="s">
        <v>377</v>
      </c>
    </row>
    <row r="13678" spans="1:44">
      <c r="A13678" s="4" t="s">
        <v>10753</v>
      </c>
      <c r="B13678" s="4">
        <v>242602</v>
      </c>
      <c r="D13678" s="5" t="s">
        <v>16359</v>
      </c>
      <c r="E13678" s="6" t="str">
        <f>HYPERLINK("https://inpn.mnhn.fr/espece/cd_nom/242602","Pseudomeira rustica (Boheman, 1842)")</f>
        <v>Pseudomeira rustica (Boheman, 1842)</v>
      </c>
      <c r="AH13678" s="4" t="str">
        <f>HYPERLINK("#Statut_biogéographique!A"&amp;_xlfn.XMATCH("E",Statut_biogéographique!A:A,2,1),"E")</f>
        <v>E</v>
      </c>
      <c r="AP13678" s="4" t="s">
        <v>376</v>
      </c>
      <c r="AR13678" s="4" t="s">
        <v>377</v>
      </c>
    </row>
    <row r="13679" spans="1:44" ht="30">
      <c r="A13679" s="4" t="s">
        <v>10753</v>
      </c>
      <c r="B13679" s="4">
        <v>242623</v>
      </c>
      <c r="D13679" s="5" t="s">
        <v>16360</v>
      </c>
      <c r="E13679" s="6" t="str">
        <f>HYPERLINK("https://inpn.mnhn.fr/espece/cd_nom/242623","Strophosoma melanogrammum (Forster, 1771)")</f>
        <v>Strophosoma melanogrammum (Forster, 1771)</v>
      </c>
      <c r="AH13679" s="4" t="str">
        <f>HYPERLINK("#Statut_biogéographique!A"&amp;_xlfn.XMATCH("P",Statut_biogéographique!A:A,2,1),"P")</f>
        <v>P</v>
      </c>
      <c r="AP13679" s="4" t="s">
        <v>376</v>
      </c>
      <c r="AR13679" s="4" t="s">
        <v>377</v>
      </c>
    </row>
    <row r="13680" spans="1:44">
      <c r="A13680" s="4" t="s">
        <v>10753</v>
      </c>
      <c r="B13680" s="4">
        <v>242630</v>
      </c>
      <c r="D13680" s="5" t="s">
        <v>16361</v>
      </c>
      <c r="E13680" s="6" t="str">
        <f>HYPERLINK("https://inpn.mnhn.fr/espece/cd_nom/242630","Sitona lateralis Gyllenhal, 1834")</f>
        <v>Sitona lateralis Gyllenhal, 1834</v>
      </c>
      <c r="AH13680" s="4" t="str">
        <f>HYPERLINK("#Statut_biogéographique!A"&amp;_xlfn.XMATCH("P",Statut_biogéographique!A:A,2,1),"P")</f>
        <v>P</v>
      </c>
      <c r="AP13680" s="4" t="s">
        <v>376</v>
      </c>
      <c r="AR13680" s="4" t="s">
        <v>377</v>
      </c>
    </row>
    <row r="13681" spans="1:44">
      <c r="A13681" s="4" t="s">
        <v>10753</v>
      </c>
      <c r="B13681" s="4">
        <v>242633</v>
      </c>
      <c r="D13681" s="5" t="s">
        <v>16362</v>
      </c>
      <c r="E13681" s="6" t="str">
        <f>HYPERLINK("https://inpn.mnhn.fr/espece/cd_nom/242633","Sitona striatellus Gyllenhal, 1834")</f>
        <v>Sitona striatellus Gyllenhal, 1834</v>
      </c>
      <c r="AH13681" s="4" t="str">
        <f>HYPERLINK("#Statut_biogéographique!A"&amp;_xlfn.XMATCH("P",Statut_biogéographique!A:A,2,1),"P")</f>
        <v>P</v>
      </c>
      <c r="AP13681" s="4" t="s">
        <v>376</v>
      </c>
      <c r="AR13681" s="4" t="s">
        <v>377</v>
      </c>
    </row>
    <row r="13682" spans="1:44">
      <c r="A13682" s="4" t="s">
        <v>10753</v>
      </c>
      <c r="B13682" s="4">
        <v>242636</v>
      </c>
      <c r="D13682" s="5" t="s">
        <v>16363</v>
      </c>
      <c r="E13682" s="6" t="str">
        <f>HYPERLINK("https://inpn.mnhn.fr/espece/cd_nom/242636","Chlorophanus viridis (Linnaeus, 1758)")</f>
        <v>Chlorophanus viridis (Linnaeus, 1758)</v>
      </c>
      <c r="F13682" s="5" t="s">
        <v>16364</v>
      </c>
      <c r="AH13682" s="4" t="str">
        <f>HYPERLINK("#Statut_biogéographique!A"&amp;_xlfn.XMATCH("P",Statut_biogéographique!A:A,2,1),"P")</f>
        <v>P</v>
      </c>
      <c r="AP13682" s="4" t="s">
        <v>376</v>
      </c>
      <c r="AR13682" s="4" t="s">
        <v>377</v>
      </c>
    </row>
    <row r="13683" spans="1:44">
      <c r="A13683" s="4" t="s">
        <v>10753</v>
      </c>
      <c r="B13683" s="4">
        <v>242640</v>
      </c>
      <c r="D13683" s="5" t="s">
        <v>16365</v>
      </c>
      <c r="E13683" s="6" t="str">
        <f>HYPERLINK("https://inpn.mnhn.fr/espece/cd_nom/242640","Graptus triguttatus (Fabricius, 1775)")</f>
        <v>Graptus triguttatus (Fabricius, 1775)</v>
      </c>
      <c r="AH13683" s="4" t="str">
        <f>HYPERLINK("#Statut_biogéographique!A"&amp;_xlfn.XMATCH("P",Statut_biogéographique!A:A,2,1),"P")</f>
        <v>P</v>
      </c>
      <c r="AP13683" s="4" t="s">
        <v>376</v>
      </c>
      <c r="AR13683" s="4" t="s">
        <v>377</v>
      </c>
    </row>
    <row r="13684" spans="1:44" ht="60">
      <c r="A13684" s="4" t="s">
        <v>10753</v>
      </c>
      <c r="B13684" s="4">
        <v>242644</v>
      </c>
      <c r="D13684" s="5" t="s">
        <v>16366</v>
      </c>
      <c r="E13684" s="6" t="str">
        <f>HYPERLINK("https://inpn.mnhn.fr/espece/cd_nom/242644","Phyllobius glaucus (Scopoli, 1763)")</f>
        <v>Phyllobius glaucus (Scopoli, 1763)</v>
      </c>
      <c r="AH13684" s="4" t="str">
        <f>HYPERLINK("#Statut_biogéographique!A"&amp;_xlfn.XMATCH("P",Statut_biogéographique!A:A,2,1),"P")</f>
        <v>P</v>
      </c>
      <c r="AP13684" s="4" t="s">
        <v>376</v>
      </c>
      <c r="AR13684" s="4" t="s">
        <v>377</v>
      </c>
    </row>
    <row r="13685" spans="1:44">
      <c r="A13685" s="4" t="s">
        <v>10753</v>
      </c>
      <c r="B13685" s="4">
        <v>242645</v>
      </c>
      <c r="D13685" s="5" t="s">
        <v>16367</v>
      </c>
      <c r="E13685" s="6" t="str">
        <f>HYPERLINK("https://inpn.mnhn.fr/espece/cd_nom/242645","Phyllobius viridicollis (Fabricius, 1792)")</f>
        <v>Phyllobius viridicollis (Fabricius, 1792)</v>
      </c>
      <c r="AH13685" s="4" t="str">
        <f>HYPERLINK("#Statut_biogéographique!A"&amp;_xlfn.XMATCH("P",Statut_biogéographique!A:A,2,1),"P")</f>
        <v>P</v>
      </c>
      <c r="AP13685" s="4" t="s">
        <v>376</v>
      </c>
      <c r="AR13685" s="4" t="s">
        <v>377</v>
      </c>
    </row>
    <row r="13686" spans="1:44">
      <c r="A13686" s="4" t="s">
        <v>10753</v>
      </c>
      <c r="B13686" s="4">
        <v>242650</v>
      </c>
      <c r="D13686" s="5" t="s">
        <v>16368</v>
      </c>
      <c r="E13686" s="6" t="str">
        <f>HYPERLINK("https://inpn.mnhn.fr/espece/cd_nom/242650","Polydrusus tereticollis (De Geer, 1775)")</f>
        <v>Polydrusus tereticollis (De Geer, 1775)</v>
      </c>
      <c r="AH13686" s="4" t="str">
        <f>HYPERLINK("#Statut_biogéographique!A"&amp;_xlfn.XMATCH("P",Statut_biogéographique!A:A,2,1),"P")</f>
        <v>P</v>
      </c>
      <c r="AP13686" s="4" t="s">
        <v>376</v>
      </c>
      <c r="AR13686" s="4" t="s">
        <v>377</v>
      </c>
    </row>
    <row r="13687" spans="1:44" ht="30">
      <c r="A13687" s="4" t="s">
        <v>10753</v>
      </c>
      <c r="B13687" s="4">
        <v>242651</v>
      </c>
      <c r="D13687" s="5" t="s">
        <v>16369</v>
      </c>
      <c r="E13687" s="6" t="str">
        <f>HYPERLINK("https://inpn.mnhn.fr/espece/cd_nom/242651","Polydrusus formosus (Mayer, 1779)")</f>
        <v>Polydrusus formosus (Mayer, 1779)</v>
      </c>
      <c r="F13687" s="5" t="s">
        <v>16370</v>
      </c>
      <c r="AH13687" s="4" t="str">
        <f>HYPERLINK("#Statut_biogéographique!A"&amp;_xlfn.XMATCH("P",Statut_biogéographique!A:A,2,1),"P")</f>
        <v>P</v>
      </c>
      <c r="AP13687" s="4" t="s">
        <v>376</v>
      </c>
      <c r="AR13687" s="4" t="s">
        <v>377</v>
      </c>
    </row>
    <row r="13688" spans="1:44">
      <c r="A13688" s="4" t="s">
        <v>10753</v>
      </c>
      <c r="B13688" s="4">
        <v>242655</v>
      </c>
      <c r="D13688" s="5" t="s">
        <v>16371</v>
      </c>
      <c r="E13688" s="6" t="str">
        <f>HYPERLINK("https://inpn.mnhn.fr/espece/cd_nom/242655","Polydrusus aeratus (Gravenhorst, 1807)")</f>
        <v>Polydrusus aeratus (Gravenhorst, 1807)</v>
      </c>
      <c r="AH13688" s="4" t="str">
        <f>HYPERLINK("#Statut_biogéographique!A"&amp;_xlfn.XMATCH("P",Statut_biogéographique!A:A,2,1),"P")</f>
        <v>P</v>
      </c>
      <c r="AP13688" s="4" t="s">
        <v>376</v>
      </c>
      <c r="AR13688" s="4" t="s">
        <v>377</v>
      </c>
    </row>
    <row r="13689" spans="1:44" ht="30">
      <c r="A13689" s="4" t="s">
        <v>10753</v>
      </c>
      <c r="B13689" s="4">
        <v>242658</v>
      </c>
      <c r="D13689" s="5" t="s">
        <v>16372</v>
      </c>
      <c r="E13689" s="6" t="str">
        <f>HYPERLINK("https://inpn.mnhn.fr/espece/cd_nom/242658","Pachyrhinus lethierryi (Desbrochers des Loges, 1875)")</f>
        <v>Pachyrhinus lethierryi (Desbrochers des Loges, 1875)</v>
      </c>
      <c r="F13689" s="5" t="s">
        <v>16373</v>
      </c>
      <c r="AH13689" s="4" t="str">
        <f>HYPERLINK("#Statut_biogéographique!A"&amp;_xlfn.XMATCH("P",Statut_biogéographique!A:A,2,1),"P")</f>
        <v>P</v>
      </c>
      <c r="AP13689" s="4" t="s">
        <v>376</v>
      </c>
      <c r="AR13689" s="4" t="s">
        <v>377</v>
      </c>
    </row>
    <row r="13690" spans="1:44" ht="30">
      <c r="A13690" s="4" t="s">
        <v>10753</v>
      </c>
      <c r="B13690" s="4">
        <v>242663</v>
      </c>
      <c r="D13690" s="5" t="s">
        <v>16374</v>
      </c>
      <c r="E13690" s="6" t="str">
        <f>HYPERLINK("https://inpn.mnhn.fr/espece/cd_nom/242663","Thamiocolus kraatzi (C. Brisout de Barneville, 1869)")</f>
        <v>Thamiocolus kraatzi (C. Brisout de Barneville, 1869)</v>
      </c>
      <c r="AH13690" s="4" t="str">
        <f>HYPERLINK("#Statut_biogéographique!A"&amp;_xlfn.XMATCH("P",Statut_biogéographique!A:A,2,1),"P")</f>
        <v>P</v>
      </c>
      <c r="AP13690" s="4" t="s">
        <v>376</v>
      </c>
      <c r="AR13690" s="4" t="s">
        <v>377</v>
      </c>
    </row>
    <row r="13691" spans="1:44" ht="30">
      <c r="A13691" s="4" t="s">
        <v>10753</v>
      </c>
      <c r="B13691" s="4">
        <v>242671</v>
      </c>
      <c r="D13691" s="5" t="s">
        <v>16375</v>
      </c>
      <c r="E13691" s="6" t="str">
        <f>HYPERLINK("https://inpn.mnhn.fr/espece/cd_nom/242671","Stenocarus ruficornis (Stephens, 1831)")</f>
        <v>Stenocarus ruficornis (Stephens, 1831)</v>
      </c>
      <c r="AH13691" s="4" t="str">
        <f>HYPERLINK("#Statut_biogéographique!A"&amp;_xlfn.XMATCH("P",Statut_biogéographique!A:A,2,1),"P")</f>
        <v>P</v>
      </c>
      <c r="AP13691" s="4" t="s">
        <v>376</v>
      </c>
      <c r="AR13691" s="4" t="s">
        <v>377</v>
      </c>
    </row>
    <row r="13692" spans="1:44" ht="30">
      <c r="A13692" s="4" t="s">
        <v>10753</v>
      </c>
      <c r="B13692" s="4">
        <v>242675</v>
      </c>
      <c r="D13692" s="5" t="s">
        <v>16376</v>
      </c>
      <c r="E13692" s="6" t="str">
        <f>HYPERLINK("https://inpn.mnhn.fr/espece/cd_nom/242675","Rhinoncus pericarpius (Linnaeus, 1758)")</f>
        <v>Rhinoncus pericarpius (Linnaeus, 1758)</v>
      </c>
      <c r="AH13692" s="4" t="str">
        <f>HYPERLINK("#Statut_biogéographique!A"&amp;_xlfn.XMATCH("P",Statut_biogéographique!A:A,2,1),"P")</f>
        <v>P</v>
      </c>
      <c r="AP13692" s="4" t="s">
        <v>376</v>
      </c>
      <c r="AR13692" s="4" t="s">
        <v>377</v>
      </c>
    </row>
    <row r="13693" spans="1:44">
      <c r="A13693" s="4" t="s">
        <v>10753</v>
      </c>
      <c r="B13693" s="4">
        <v>242694</v>
      </c>
      <c r="D13693" s="5" t="s">
        <v>16377</v>
      </c>
      <c r="E13693" s="6" t="str">
        <f>HYPERLINK("https://inpn.mnhn.fr/espece/cd_nom/242694","Mogulones asperifoliarum (Gyllenhal, 1813)")</f>
        <v>Mogulones asperifoliarum (Gyllenhal, 1813)</v>
      </c>
      <c r="AH13693" s="4" t="str">
        <f>HYPERLINK("#Statut_biogéographique!A"&amp;_xlfn.XMATCH("P",Statut_biogéographique!A:A,2,1),"P")</f>
        <v>P</v>
      </c>
      <c r="AP13693" s="4" t="s">
        <v>376</v>
      </c>
      <c r="AR13693" s="4" t="s">
        <v>377</v>
      </c>
    </row>
    <row r="13694" spans="1:44">
      <c r="A13694" s="4" t="s">
        <v>10753</v>
      </c>
      <c r="B13694" s="4">
        <v>242695</v>
      </c>
      <c r="D13694" s="5" t="s">
        <v>16378</v>
      </c>
      <c r="E13694" s="6" t="str">
        <f>HYPERLINK("https://inpn.mnhn.fr/espece/cd_nom/242695","Mogulones aubei (Boheman, 1845)")</f>
        <v>Mogulones aubei (Boheman, 1845)</v>
      </c>
      <c r="AH13694" s="4" t="str">
        <f>HYPERLINK("#Statut_biogéographique!A"&amp;_xlfn.XMATCH("P",Statut_biogéographique!A:A,2,1),"P")</f>
        <v>P</v>
      </c>
      <c r="AP13694" s="4" t="s">
        <v>376</v>
      </c>
      <c r="AR13694" s="4" t="s">
        <v>377</v>
      </c>
    </row>
    <row r="13695" spans="1:44" ht="30">
      <c r="A13695" s="4" t="s">
        <v>10753</v>
      </c>
      <c r="B13695" s="4">
        <v>242700</v>
      </c>
      <c r="D13695" s="5" t="s">
        <v>16379</v>
      </c>
      <c r="E13695" s="6" t="str">
        <f>HYPERLINK("https://inpn.mnhn.fr/espece/cd_nom/242700","Mogulones euphorbiae (C. Brisout de Barneville, 1866)")</f>
        <v>Mogulones euphorbiae (C. Brisout de Barneville, 1866)</v>
      </c>
      <c r="AH13695" s="4" t="str">
        <f>HYPERLINK("#Statut_biogéographique!A"&amp;_xlfn.XMATCH("P",Statut_biogéographique!A:A,2,1),"P")</f>
        <v>P</v>
      </c>
      <c r="AP13695" s="4" t="s">
        <v>376</v>
      </c>
      <c r="AR13695" s="4" t="s">
        <v>377</v>
      </c>
    </row>
    <row r="13696" spans="1:44" ht="30">
      <c r="A13696" s="4" t="s">
        <v>10753</v>
      </c>
      <c r="B13696" s="4">
        <v>242701</v>
      </c>
      <c r="D13696" s="5" t="s">
        <v>16380</v>
      </c>
      <c r="E13696" s="6" t="str">
        <f>HYPERLINK("https://inpn.mnhn.fr/espece/cd_nom/242701","Mogulones geographicus (Goeze, 1777)")</f>
        <v>Mogulones geographicus (Goeze, 1777)</v>
      </c>
      <c r="F13696" s="5" t="s">
        <v>16381</v>
      </c>
      <c r="AH13696" s="4" t="str">
        <f>HYPERLINK("#Statut_biogéographique!A"&amp;_xlfn.XMATCH("P",Statut_biogéographique!A:A,2,1),"P")</f>
        <v>P</v>
      </c>
      <c r="AP13696" s="4" t="s">
        <v>376</v>
      </c>
      <c r="AR13696" s="4" t="s">
        <v>377</v>
      </c>
    </row>
    <row r="13697" spans="1:44">
      <c r="A13697" s="4" t="s">
        <v>10753</v>
      </c>
      <c r="B13697" s="4">
        <v>24271</v>
      </c>
      <c r="D13697" s="5" t="s">
        <v>16382</v>
      </c>
      <c r="E13697" s="6" t="str">
        <f>HYPERLINK("https://inpn.mnhn.fr/espece/cd_nom/24271","Cephalops aeneus Fallén, 1810")</f>
        <v>Cephalops aeneus Fallén, 1810</v>
      </c>
      <c r="AH13697" s="4" t="str">
        <f>HYPERLINK("#Statut_biogéographique!A"&amp;_xlfn.XMATCH("P",Statut_biogéographique!A:A,2,1),"P")</f>
        <v>P</v>
      </c>
      <c r="AP13697" s="4" t="s">
        <v>376</v>
      </c>
      <c r="AR13697" s="4" t="s">
        <v>377</v>
      </c>
    </row>
    <row r="13698" spans="1:44">
      <c r="A13698" s="4" t="s">
        <v>10753</v>
      </c>
      <c r="B13698" s="4">
        <v>24272</v>
      </c>
      <c r="D13698" s="5" t="s">
        <v>16383</v>
      </c>
      <c r="E13698" s="6" t="str">
        <f>HYPERLINK("https://inpn.mnhn.fr/espece/cd_nom/24272","Cephalops carinatus (Verrall, 1901)")</f>
        <v>Cephalops carinatus (Verrall, 1901)</v>
      </c>
      <c r="AH13698" s="4" t="str">
        <f>HYPERLINK("#Statut_biogéographique!A"&amp;_xlfn.XMATCH("P",Statut_biogéographique!A:A,2,1),"P")</f>
        <v>P</v>
      </c>
      <c r="AP13698" s="4" t="s">
        <v>376</v>
      </c>
      <c r="AR13698" s="4" t="s">
        <v>377</v>
      </c>
    </row>
    <row r="13699" spans="1:44" ht="45">
      <c r="A13699" s="4" t="s">
        <v>10753</v>
      </c>
      <c r="B13699" s="4">
        <v>242734</v>
      </c>
      <c r="D13699" s="5" t="s">
        <v>16384</v>
      </c>
      <c r="E13699" s="6" t="str">
        <f>HYPERLINK("https://inpn.mnhn.fr/espece/cd_nom/242734","Datonychus melanostictus (Marsham, 1802)")</f>
        <v>Datonychus melanostictus (Marsham, 1802)</v>
      </c>
      <c r="AH13699" s="4" t="str">
        <f>HYPERLINK("#Statut_biogéographique!A"&amp;_xlfn.XMATCH("P",Statut_biogéographique!A:A,2,1),"P")</f>
        <v>P</v>
      </c>
      <c r="AP13699" s="4" t="s">
        <v>376</v>
      </c>
      <c r="AR13699" s="4" t="s">
        <v>377</v>
      </c>
    </row>
    <row r="13700" spans="1:44">
      <c r="A13700" s="4" t="s">
        <v>10753</v>
      </c>
      <c r="B13700" s="4">
        <v>242735</v>
      </c>
      <c r="D13700" s="5" t="s">
        <v>16385</v>
      </c>
      <c r="E13700" s="6" t="str">
        <f>HYPERLINK("https://inpn.mnhn.fr/espece/cd_nom/242735","Datonychus urticae (Boheman, 1845)")</f>
        <v>Datonychus urticae (Boheman, 1845)</v>
      </c>
      <c r="AH13700" s="4" t="str">
        <f>HYPERLINK("#Statut_biogéographique!A"&amp;_xlfn.XMATCH("P",Statut_biogéographique!A:A,2,1),"P")</f>
        <v>P</v>
      </c>
      <c r="AP13700" s="4" t="s">
        <v>376</v>
      </c>
      <c r="AR13700" s="4" t="s">
        <v>377</v>
      </c>
    </row>
    <row r="13701" spans="1:44">
      <c r="A13701" s="4" t="s">
        <v>10753</v>
      </c>
      <c r="B13701" s="4">
        <v>242736</v>
      </c>
      <c r="D13701" s="5" t="s">
        <v>16386</v>
      </c>
      <c r="E13701" s="6" t="str">
        <f>HYPERLINK("https://inpn.mnhn.fr/espece/cd_nom/242736","Coeliodinus nigritarsis (Hartmann, 1895)")</f>
        <v>Coeliodinus nigritarsis (Hartmann, 1895)</v>
      </c>
      <c r="AH13701" s="4" t="str">
        <f>HYPERLINK("#Statut_biogéographique!A"&amp;_xlfn.XMATCH("P",Statut_biogéographique!A:A,2,1),"P")</f>
        <v>P</v>
      </c>
      <c r="AP13701" s="4" t="s">
        <v>376</v>
      </c>
      <c r="AR13701" s="4" t="s">
        <v>377</v>
      </c>
    </row>
    <row r="13702" spans="1:44">
      <c r="A13702" s="4" t="s">
        <v>10753</v>
      </c>
      <c r="B13702" s="4">
        <v>242737</v>
      </c>
      <c r="D13702" s="5" t="s">
        <v>16387</v>
      </c>
      <c r="E13702" s="6" t="str">
        <f>HYPERLINK("https://inpn.mnhn.fr/espece/cd_nom/242737","Coeliodinus rubicundus (Herbst, 1795)")</f>
        <v>Coeliodinus rubicundus (Herbst, 1795)</v>
      </c>
      <c r="AH13702" s="4" t="str">
        <f>HYPERLINK("#Statut_biogéographique!A"&amp;_xlfn.XMATCH("P",Statut_biogéographique!A:A,2,1),"P")</f>
        <v>P</v>
      </c>
      <c r="AP13702" s="4" t="s">
        <v>376</v>
      </c>
      <c r="AR13702" s="4" t="s">
        <v>377</v>
      </c>
    </row>
    <row r="13703" spans="1:44" ht="30">
      <c r="A13703" s="4" t="s">
        <v>10753</v>
      </c>
      <c r="B13703" s="4">
        <v>242739</v>
      </c>
      <c r="D13703" s="5" t="s">
        <v>16388</v>
      </c>
      <c r="E13703" s="6" t="str">
        <f>HYPERLINK("https://inpn.mnhn.fr/espece/cd_nom/242739","Coeliodes transversealbofasciatus (Goeze, 1777)")</f>
        <v>Coeliodes transversealbofasciatus (Goeze, 1777)</v>
      </c>
      <c r="AH13703" s="4" t="str">
        <f>HYPERLINK("#Statut_biogéographique!A"&amp;_xlfn.XMATCH("P",Statut_biogéographique!A:A,2,1),"P")</f>
        <v>P</v>
      </c>
      <c r="AP13703" s="4" t="s">
        <v>376</v>
      </c>
      <c r="AR13703" s="4" t="s">
        <v>377</v>
      </c>
    </row>
    <row r="13704" spans="1:44" ht="30">
      <c r="A13704" s="4" t="s">
        <v>10753</v>
      </c>
      <c r="B13704" s="4">
        <v>242742</v>
      </c>
      <c r="D13704" s="5" t="s">
        <v>16389</v>
      </c>
      <c r="E13704" s="6" t="str">
        <f>HYPERLINK("https://inpn.mnhn.fr/espece/cd_nom/242742","Ceutorhynchus cochleariae (Gyllenhal, 1813)")</f>
        <v>Ceutorhynchus cochleariae (Gyllenhal, 1813)</v>
      </c>
      <c r="AH13704" s="4" t="str">
        <f>HYPERLINK("#Statut_biogéographique!A"&amp;_xlfn.XMATCH("P",Statut_biogéographique!A:A,2,1),"P")</f>
        <v>P</v>
      </c>
      <c r="AP13704" s="4" t="s">
        <v>376</v>
      </c>
      <c r="AR13704" s="4" t="s">
        <v>377</v>
      </c>
    </row>
    <row r="13705" spans="1:44" ht="30">
      <c r="A13705" s="4" t="s">
        <v>10753</v>
      </c>
      <c r="B13705" s="4">
        <v>242758</v>
      </c>
      <c r="D13705" s="5" t="s">
        <v>16390</v>
      </c>
      <c r="E13705" s="6" t="str">
        <f>HYPERLINK("https://inpn.mnhn.fr/espece/cd_nom/242758","Ceutorhynchus schoenherri C. Brisout de Barneville, 1869")</f>
        <v>Ceutorhynchus schoenherri C. Brisout de Barneville, 1869</v>
      </c>
      <c r="AH13705" s="4" t="str">
        <f>HYPERLINK("#Statut_biogéographique!A"&amp;_xlfn.XMATCH("P",Statut_biogéographique!A:A,2,1),"P")</f>
        <v>P</v>
      </c>
      <c r="AP13705" s="4" t="s">
        <v>376</v>
      </c>
      <c r="AR13705" s="4" t="s">
        <v>377</v>
      </c>
    </row>
    <row r="13706" spans="1:44" ht="45">
      <c r="A13706" s="4" t="s">
        <v>10753</v>
      </c>
      <c r="B13706" s="4">
        <v>242761</v>
      </c>
      <c r="D13706" s="5" t="s">
        <v>16391</v>
      </c>
      <c r="E13706" s="6" t="str">
        <f>HYPERLINK("https://inpn.mnhn.fr/espece/cd_nom/242761","Ceutorhynchus typhae (Herbst, 1795)")</f>
        <v>Ceutorhynchus typhae (Herbst, 1795)</v>
      </c>
      <c r="AH13706" s="4" t="str">
        <f>HYPERLINK("#Statut_biogéographique!A"&amp;_xlfn.XMATCH("P",Statut_biogéographique!A:A,2,1),"P")</f>
        <v>P</v>
      </c>
      <c r="AP13706" s="4" t="s">
        <v>376</v>
      </c>
      <c r="AR13706" s="4" t="s">
        <v>377</v>
      </c>
    </row>
    <row r="13707" spans="1:44" ht="30">
      <c r="A13707" s="4" t="s">
        <v>10753</v>
      </c>
      <c r="B13707" s="4">
        <v>242777</v>
      </c>
      <c r="D13707" s="5" t="s">
        <v>16392</v>
      </c>
      <c r="E13707" s="6" t="str">
        <f>HYPERLINK("https://inpn.mnhn.fr/espece/cd_nom/242777","Magdalis violacea (Linnaeus, 1758)")</f>
        <v>Magdalis violacea (Linnaeus, 1758)</v>
      </c>
      <c r="AH13707" s="4" t="str">
        <f>HYPERLINK("#Statut_biogéographique!A"&amp;_xlfn.XMATCH("P",Statut_biogéographique!A:A,2,1),"P")</f>
        <v>P</v>
      </c>
      <c r="AP13707" s="4" t="s">
        <v>376</v>
      </c>
      <c r="AR13707" s="4" t="s">
        <v>377</v>
      </c>
    </row>
    <row r="13708" spans="1:44">
      <c r="A13708" s="4" t="s">
        <v>10753</v>
      </c>
      <c r="B13708" s="4">
        <v>242778</v>
      </c>
      <c r="D13708" s="5" t="s">
        <v>16393</v>
      </c>
      <c r="E13708" s="6" t="str">
        <f>HYPERLINK("https://inpn.mnhn.fr/espece/cd_nom/242778","Magdalis nitidipennis (Boheman, 1843)")</f>
        <v>Magdalis nitidipennis (Boheman, 1843)</v>
      </c>
      <c r="AH13708" s="4" t="str">
        <f>HYPERLINK("#Statut_biogéographique!A"&amp;_xlfn.XMATCH("P",Statut_biogéographique!A:A,2,1),"P")</f>
        <v>P</v>
      </c>
      <c r="AP13708" s="4" t="s">
        <v>376</v>
      </c>
      <c r="AR13708" s="4" t="s">
        <v>377</v>
      </c>
    </row>
    <row r="13709" spans="1:44">
      <c r="A13709" s="4" t="s">
        <v>10753</v>
      </c>
      <c r="B13709" s="4">
        <v>24278</v>
      </c>
      <c r="D13709" s="5" t="s">
        <v>16394</v>
      </c>
      <c r="E13709" s="6" t="str">
        <f>HYPERLINK("https://inpn.mnhn.fr/espece/cd_nom/24278","Cephalops obtusinervis (Zetterstedt, 1844)")</f>
        <v>Cephalops obtusinervis (Zetterstedt, 1844)</v>
      </c>
      <c r="AH13709" s="4" t="str">
        <f>HYPERLINK("#Statut_biogéographique!A"&amp;_xlfn.XMATCH("P",Statut_biogéographique!A:A,2,1),"P")</f>
        <v>P</v>
      </c>
      <c r="AP13709" s="4" t="s">
        <v>376</v>
      </c>
      <c r="AR13709" s="4" t="s">
        <v>377</v>
      </c>
    </row>
    <row r="13710" spans="1:44">
      <c r="A13710" s="4" t="s">
        <v>10753</v>
      </c>
      <c r="B13710" s="4">
        <v>242783</v>
      </c>
      <c r="D13710" s="5" t="s">
        <v>16395</v>
      </c>
      <c r="E13710" s="6" t="str">
        <f>HYPERLINK("https://inpn.mnhn.fr/espece/cd_nom/242783","Plinthus findelii Boheman, 1842")</f>
        <v>Plinthus findelii Boheman, 1842</v>
      </c>
      <c r="AH13710" s="4" t="str">
        <f>HYPERLINK("#Statut_biogéographique!A"&amp;_xlfn.XMATCH("P",Statut_biogéographique!A:A,2,1),"P")</f>
        <v>P</v>
      </c>
      <c r="AP13710" s="4" t="s">
        <v>376</v>
      </c>
      <c r="AR13710" s="4" t="s">
        <v>377</v>
      </c>
    </row>
    <row r="13711" spans="1:44" ht="45">
      <c r="A13711" s="4" t="s">
        <v>10753</v>
      </c>
      <c r="B13711" s="4">
        <v>242787</v>
      </c>
      <c r="D13711" s="5" t="s">
        <v>16396</v>
      </c>
      <c r="E13711" s="6" t="str">
        <f>HYPERLINK("https://inpn.mnhn.fr/espece/cd_nom/242787","Pissodes castaneus (De Geer, 1775)")</f>
        <v>Pissodes castaneus (De Geer, 1775)</v>
      </c>
      <c r="F13711" s="5" t="s">
        <v>16397</v>
      </c>
      <c r="AH13711" s="4" t="str">
        <f>HYPERLINK("#Statut_biogéographique!A"&amp;_xlfn.XMATCH("P",Statut_biogéographique!A:A,2,1),"P")</f>
        <v>P</v>
      </c>
      <c r="AP13711" s="4" t="s">
        <v>376</v>
      </c>
      <c r="AR13711" s="4" t="s">
        <v>377</v>
      </c>
    </row>
    <row r="13712" spans="1:44">
      <c r="A13712" s="4" t="s">
        <v>10753</v>
      </c>
      <c r="B13712" s="4">
        <v>242789</v>
      </c>
      <c r="D13712" s="5" t="s">
        <v>16398</v>
      </c>
      <c r="E13712" s="6" t="str">
        <f>HYPERLINK("https://inpn.mnhn.fr/espece/cd_nom/242789","Dryophthorus corticalis (Paykull, 1792)")</f>
        <v>Dryophthorus corticalis (Paykull, 1792)</v>
      </c>
      <c r="AH13712" s="4" t="str">
        <f>HYPERLINK("#Statut_biogéographique!A"&amp;_xlfn.XMATCH("P",Statut_biogéographique!A:A,2,1),"P")</f>
        <v>P</v>
      </c>
      <c r="AP13712" s="4" t="s">
        <v>376</v>
      </c>
      <c r="AR13712" s="4" t="s">
        <v>377</v>
      </c>
    </row>
    <row r="13713" spans="1:44">
      <c r="A13713" s="4" t="s">
        <v>10753</v>
      </c>
      <c r="B13713" s="4">
        <v>24280</v>
      </c>
      <c r="D13713" s="5" t="s">
        <v>16399</v>
      </c>
      <c r="E13713" s="6" t="str">
        <f>HYPERLINK("https://inpn.mnhn.fr/espece/cd_nom/24280","Cephalops semifumosus (Kowarz, 1887)")</f>
        <v>Cephalops semifumosus (Kowarz, 1887)</v>
      </c>
      <c r="AH13713" s="4" t="str">
        <f>HYPERLINK("#Statut_biogéographique!A"&amp;_xlfn.XMATCH("P",Statut_biogéographique!A:A,2,1),"P")</f>
        <v>P</v>
      </c>
      <c r="AP13713" s="4" t="s">
        <v>376</v>
      </c>
      <c r="AR13713" s="4" t="s">
        <v>377</v>
      </c>
    </row>
    <row r="13714" spans="1:44">
      <c r="A13714" s="4" t="s">
        <v>10753</v>
      </c>
      <c r="B13714" s="4">
        <v>242807</v>
      </c>
      <c r="D13714" s="5" t="s">
        <v>16400</v>
      </c>
      <c r="E13714" s="6" t="str">
        <f>HYPERLINK("https://inpn.mnhn.fr/espece/cd_nom/242807","Cimberis attelaboides (Fabricius, 1787)")</f>
        <v>Cimberis attelaboides (Fabricius, 1787)</v>
      </c>
      <c r="AH13714" s="4" t="str">
        <f>HYPERLINK("#Statut_biogéographique!A"&amp;_xlfn.XMATCH("P",Statut_biogéographique!A:A,2,1),"P")</f>
        <v>P</v>
      </c>
      <c r="AP13714" s="4" t="s">
        <v>376</v>
      </c>
      <c r="AR13714" s="4" t="s">
        <v>377</v>
      </c>
    </row>
    <row r="13715" spans="1:44" ht="30">
      <c r="A13715" s="4" t="s">
        <v>10753</v>
      </c>
      <c r="B13715" s="4">
        <v>242808</v>
      </c>
      <c r="D13715" s="5" t="s">
        <v>16401</v>
      </c>
      <c r="E13715" s="6" t="str">
        <f>HYPERLINK("https://inpn.mnhn.fr/espece/cd_nom/242808","Doydirhynchus austriacus (Olivier, 1807)")</f>
        <v>Doydirhynchus austriacus (Olivier, 1807)</v>
      </c>
      <c r="AH13715" s="4" t="str">
        <f>HYPERLINK("#Statut_biogéographique!A"&amp;_xlfn.XMATCH("P",Statut_biogéographique!A:A,2,1),"P")</f>
        <v>P</v>
      </c>
      <c r="AP13715" s="4" t="s">
        <v>376</v>
      </c>
      <c r="AR13715" s="4" t="s">
        <v>377</v>
      </c>
    </row>
    <row r="13716" spans="1:44">
      <c r="A13716" s="4" t="s">
        <v>10753</v>
      </c>
      <c r="B13716" s="4">
        <v>24285</v>
      </c>
      <c r="D13716" s="5">
        <v>24285</v>
      </c>
      <c r="E13716" s="6" t="str">
        <f>HYPERLINK("https://inpn.mnhn.fr/espece/cd_nom/24285","Cephalops subultimus Collin, 1956")</f>
        <v>Cephalops subultimus Collin, 1956</v>
      </c>
      <c r="AH13716" s="4" t="str">
        <f>HYPERLINK("#Statut_biogéographique!A"&amp;_xlfn.XMATCH("P",Statut_biogéographique!A:A,2,1),"P")</f>
        <v>P</v>
      </c>
      <c r="AP13716" s="4" t="s">
        <v>376</v>
      </c>
      <c r="AR13716" s="4" t="s">
        <v>377</v>
      </c>
    </row>
    <row r="13717" spans="1:44" ht="30">
      <c r="A13717" s="4" t="s">
        <v>10753</v>
      </c>
      <c r="B13717" s="4">
        <v>242861</v>
      </c>
      <c r="D13717" s="5" t="s">
        <v>16402</v>
      </c>
      <c r="E13717" s="6" t="str">
        <f>HYPERLINK("https://inpn.mnhn.fr/espece/cd_nom/242861","Stenichnus scutellaris (P.W.J. Müller &amp; Kunze, 1822)")</f>
        <v>Stenichnus scutellaris (P.W.J. Müller &amp; Kunze, 1822)</v>
      </c>
      <c r="AH13717" s="4" t="str">
        <f>HYPERLINK("#Statut_biogéographique!A"&amp;_xlfn.XMATCH("P",Statut_biogéographique!A:A,2,1),"P")</f>
        <v>P</v>
      </c>
      <c r="AP13717" s="4" t="s">
        <v>376</v>
      </c>
      <c r="AR13717" s="4" t="s">
        <v>377</v>
      </c>
    </row>
    <row r="13718" spans="1:44">
      <c r="A13718" s="4" t="s">
        <v>10753</v>
      </c>
      <c r="B13718" s="4">
        <v>24288</v>
      </c>
      <c r="D13718" s="5" t="s">
        <v>16403</v>
      </c>
      <c r="E13718" s="6" t="str">
        <f>HYPERLINK("https://inpn.mnhn.fr/espece/cd_nom/24288","Cephalops vittipes (Zetterstedt, 1844)")</f>
        <v>Cephalops vittipes (Zetterstedt, 1844)</v>
      </c>
      <c r="AH13718" s="4" t="str">
        <f>HYPERLINK("#Statut_biogéographique!A"&amp;_xlfn.XMATCH("P",Statut_biogéographique!A:A,2,1),"P")</f>
        <v>P</v>
      </c>
      <c r="AP13718" s="4" t="s">
        <v>376</v>
      </c>
      <c r="AR13718" s="4" t="s">
        <v>377</v>
      </c>
    </row>
    <row r="13719" spans="1:44">
      <c r="A13719" s="4" t="s">
        <v>10753</v>
      </c>
      <c r="B13719" s="4">
        <v>242908</v>
      </c>
      <c r="D13719" s="5" t="s">
        <v>16404</v>
      </c>
      <c r="E13719" s="6" t="str">
        <f>HYPERLINK("https://inpn.mnhn.fr/espece/cd_nom/242908","Microscydmus nanus (Schaum, 1844)")</f>
        <v>Microscydmus nanus (Schaum, 1844)</v>
      </c>
      <c r="AH13719" s="4" t="str">
        <f>HYPERLINK("#Statut_biogéographique!A"&amp;_xlfn.XMATCH("P",Statut_biogéographique!A:A,2,1),"P")</f>
        <v>P</v>
      </c>
      <c r="AP13719" s="4" t="s">
        <v>376</v>
      </c>
      <c r="AR13719" s="4" t="s">
        <v>377</v>
      </c>
    </row>
    <row r="13720" spans="1:44">
      <c r="A13720" s="4" t="s">
        <v>10753</v>
      </c>
      <c r="B13720" s="4">
        <v>24292</v>
      </c>
      <c r="D13720" s="5" t="s">
        <v>16405</v>
      </c>
      <c r="E13720" s="6" t="str">
        <f>HYPERLINK("https://inpn.mnhn.fr/espece/cd_nom/24292","Eudorylas fuscipes (Zetterstedt, 1844)")</f>
        <v>Eudorylas fuscipes (Zetterstedt, 1844)</v>
      </c>
      <c r="AH13720" s="4" t="str">
        <f>HYPERLINK("#Statut_biogéographique!A"&amp;_xlfn.XMATCH("P",Statut_biogéographique!A:A,2,1),"P")</f>
        <v>P</v>
      </c>
      <c r="AP13720" s="4" t="s">
        <v>376</v>
      </c>
      <c r="AR13720" s="4" t="s">
        <v>377</v>
      </c>
    </row>
    <row r="13721" spans="1:44">
      <c r="A13721" s="4" t="s">
        <v>10753</v>
      </c>
      <c r="B13721" s="4">
        <v>242953</v>
      </c>
      <c r="D13721" s="5" t="s">
        <v>16406</v>
      </c>
      <c r="E13721" s="6" t="str">
        <f>HYPERLINK("https://inpn.mnhn.fr/espece/cd_nom/242953","Trichophya pilicornis (Gyllenhal, 1810)")</f>
        <v>Trichophya pilicornis (Gyllenhal, 1810)</v>
      </c>
      <c r="AH13721" s="4" t="str">
        <f>HYPERLINK("#Statut_biogéographique!A"&amp;_xlfn.XMATCH("P",Statut_biogéographique!A:A,2,1),"P")</f>
        <v>P</v>
      </c>
      <c r="AP13721" s="4" t="s">
        <v>376</v>
      </c>
      <c r="AR13721" s="4" t="s">
        <v>377</v>
      </c>
    </row>
    <row r="13722" spans="1:44">
      <c r="A13722" s="4" t="s">
        <v>10753</v>
      </c>
      <c r="B13722" s="4">
        <v>242957</v>
      </c>
      <c r="D13722" s="5" t="s">
        <v>16407</v>
      </c>
      <c r="E13722" s="6" t="str">
        <f>HYPERLINK("https://inpn.mnhn.fr/espece/cd_nom/242957","Othius subuliformis Stephens, 1833")</f>
        <v>Othius subuliformis Stephens, 1833</v>
      </c>
      <c r="AH13722" s="4" t="str">
        <f>HYPERLINK("#Statut_biogéographique!A"&amp;_xlfn.XMATCH("P",Statut_biogéographique!A:A,2,1),"P")</f>
        <v>P</v>
      </c>
      <c r="AP13722" s="4" t="s">
        <v>376</v>
      </c>
      <c r="AR13722" s="4" t="s">
        <v>377</v>
      </c>
    </row>
    <row r="13723" spans="1:44" ht="30">
      <c r="A13723" s="4" t="s">
        <v>10753</v>
      </c>
      <c r="B13723" s="4">
        <v>242958</v>
      </c>
      <c r="D13723" s="5" t="s">
        <v>16408</v>
      </c>
      <c r="E13723" s="6" t="str">
        <f>HYPERLINK("https://inpn.mnhn.fr/espece/cd_nom/242958","Atrecus affinis (Paykull, 1789)")</f>
        <v>Atrecus affinis (Paykull, 1789)</v>
      </c>
      <c r="AH13723" s="4" t="str">
        <f>HYPERLINK("#Statut_biogéographique!A"&amp;_xlfn.XMATCH("P",Statut_biogéographique!A:A,2,1),"P")</f>
        <v>P</v>
      </c>
      <c r="AP13723" s="4" t="s">
        <v>376</v>
      </c>
      <c r="AR13723" s="4" t="s">
        <v>377</v>
      </c>
    </row>
    <row r="13724" spans="1:44">
      <c r="A13724" s="4" t="s">
        <v>10753</v>
      </c>
      <c r="B13724" s="4">
        <v>242965</v>
      </c>
      <c r="D13724" s="5" t="s">
        <v>16409</v>
      </c>
      <c r="E13724" s="6" t="str">
        <f>HYPERLINK("https://inpn.mnhn.fr/espece/cd_nom/242965","Philonthus addendus Sharp, 1867")</f>
        <v>Philonthus addendus Sharp, 1867</v>
      </c>
      <c r="AH13724" s="4" t="str">
        <f>HYPERLINK("#Statut_biogéographique!A"&amp;_xlfn.XMATCH("P",Statut_biogéographique!A:A,2,1),"P")</f>
        <v>P</v>
      </c>
      <c r="AP13724" s="4" t="s">
        <v>376</v>
      </c>
      <c r="AR13724" s="4" t="s">
        <v>377</v>
      </c>
    </row>
    <row r="13725" spans="1:44">
      <c r="A13725" s="4" t="s">
        <v>10753</v>
      </c>
      <c r="B13725" s="4">
        <v>242967</v>
      </c>
      <c r="D13725" s="5">
        <v>242967</v>
      </c>
      <c r="E13725" s="6" t="str">
        <f>HYPERLINK("https://inpn.mnhn.fr/espece/cd_nom/242967","Philonthus alpinus Eppelsheim, 1875")</f>
        <v>Philonthus alpinus Eppelsheim, 1875</v>
      </c>
      <c r="AH13725" s="4" t="str">
        <f>HYPERLINK("#Statut_biogéographique!A"&amp;_xlfn.XMATCH("P",Statut_biogéographique!A:A,2,1),"P")</f>
        <v>P</v>
      </c>
      <c r="AP13725" s="4" t="s">
        <v>376</v>
      </c>
      <c r="AR13725" s="4" t="s">
        <v>377</v>
      </c>
    </row>
    <row r="13726" spans="1:44">
      <c r="A13726" s="4" t="s">
        <v>10753</v>
      </c>
      <c r="B13726" s="4">
        <v>24297</v>
      </c>
      <c r="D13726" s="5">
        <v>24297</v>
      </c>
      <c r="E13726" s="6" t="str">
        <f>HYPERLINK("https://inpn.mnhn.fr/espece/cd_nom/24297","Eudorylas jenkinsoni Coe, 1966")</f>
        <v>Eudorylas jenkinsoni Coe, 1966</v>
      </c>
      <c r="AH13726" s="4" t="str">
        <f>HYPERLINK("#Statut_biogéographique!A"&amp;_xlfn.XMATCH("P",Statut_biogéographique!A:A,2,1),"P")</f>
        <v>P</v>
      </c>
      <c r="AP13726" s="4" t="s">
        <v>376</v>
      </c>
      <c r="AR13726" s="4" t="s">
        <v>377</v>
      </c>
    </row>
    <row r="13727" spans="1:44" ht="30">
      <c r="A13727" s="4" t="s">
        <v>10753</v>
      </c>
      <c r="B13727" s="4">
        <v>242970</v>
      </c>
      <c r="D13727" s="5" t="s">
        <v>16410</v>
      </c>
      <c r="E13727" s="6" t="str">
        <f>HYPERLINK("https://inpn.mnhn.fr/espece/cd_nom/242970","Philonthus atratus (Gravenhorst, 1802)")</f>
        <v>Philonthus atratus (Gravenhorst, 1802)</v>
      </c>
      <c r="AH13727" s="4" t="str">
        <f>HYPERLINK("#Statut_biogéographique!A"&amp;_xlfn.XMATCH("P",Statut_biogéographique!A:A,2,1),"P")</f>
        <v>P</v>
      </c>
      <c r="AP13727" s="4" t="s">
        <v>376</v>
      </c>
      <c r="AR13727" s="4" t="s">
        <v>377</v>
      </c>
    </row>
    <row r="13728" spans="1:44" ht="30">
      <c r="A13728" s="4" t="s">
        <v>10753</v>
      </c>
      <c r="B13728" s="4">
        <v>242974</v>
      </c>
      <c r="D13728" s="5" t="s">
        <v>16411</v>
      </c>
      <c r="E13728" s="6" t="str">
        <f>HYPERLINK("https://inpn.mnhn.fr/espece/cd_nom/242974","Philonthus cognatus Stephens, 1832")</f>
        <v>Philonthus cognatus Stephens, 1832</v>
      </c>
      <c r="AH13728" s="4" t="str">
        <f>HYPERLINK("#Statut_biogéographique!A"&amp;_xlfn.XMATCH("P",Statut_biogéographique!A:A,2,1),"P")</f>
        <v>P</v>
      </c>
      <c r="AP13728" s="4" t="s">
        <v>376</v>
      </c>
      <c r="AR13728" s="4" t="s">
        <v>377</v>
      </c>
    </row>
    <row r="13729" spans="1:44" ht="30">
      <c r="A13729" s="4" t="s">
        <v>10753</v>
      </c>
      <c r="B13729" s="4">
        <v>242975</v>
      </c>
      <c r="D13729" s="5" t="s">
        <v>16412</v>
      </c>
      <c r="E13729" s="6" t="str">
        <f>HYPERLINK("https://inpn.mnhn.fr/espece/cd_nom/242975","Philonthus concinnus (Gravenhorst, 1802)")</f>
        <v>Philonthus concinnus (Gravenhorst, 1802)</v>
      </c>
      <c r="AH13729" s="4" t="str">
        <f>HYPERLINK("#Statut_biogéographique!A"&amp;_xlfn.XMATCH("P",Statut_biogéographique!A:A,2,1),"P")</f>
        <v>P</v>
      </c>
      <c r="AP13729" s="4" t="s">
        <v>376</v>
      </c>
      <c r="AR13729" s="4" t="s">
        <v>377</v>
      </c>
    </row>
    <row r="13730" spans="1:44">
      <c r="A13730" s="4" t="s">
        <v>10753</v>
      </c>
      <c r="B13730" s="4">
        <v>242979</v>
      </c>
      <c r="D13730" s="5" t="s">
        <v>16413</v>
      </c>
      <c r="E13730" s="6" t="str">
        <f>HYPERLINK("https://inpn.mnhn.fr/espece/cd_nom/242979","Philonthus corruscus (Gravenhorst, 1802)")</f>
        <v>Philonthus corruscus (Gravenhorst, 1802)</v>
      </c>
      <c r="AH13730" s="4" t="str">
        <f>HYPERLINK("#Statut_biogéographique!A"&amp;_xlfn.XMATCH("P",Statut_biogéographique!A:A,2,1),"P")</f>
        <v>P</v>
      </c>
      <c r="AP13730" s="4" t="s">
        <v>376</v>
      </c>
      <c r="AR13730" s="4" t="s">
        <v>377</v>
      </c>
    </row>
    <row r="13731" spans="1:44">
      <c r="A13731" s="4" t="s">
        <v>10753</v>
      </c>
      <c r="B13731" s="4">
        <v>242986</v>
      </c>
      <c r="D13731" s="5" t="s">
        <v>16414</v>
      </c>
      <c r="E13731" s="6" t="str">
        <f>HYPERLINK("https://inpn.mnhn.fr/espece/cd_nom/242986","Philonthus fumarius (Gravenhorst, 1806)")</f>
        <v>Philonthus fumarius (Gravenhorst, 1806)</v>
      </c>
      <c r="AH13731" s="4" t="str">
        <f>HYPERLINK("#Statut_biogéographique!A"&amp;_xlfn.XMATCH("P",Statut_biogéographique!A:A,2,1),"P")</f>
        <v>P</v>
      </c>
      <c r="AP13731" s="4" t="s">
        <v>376</v>
      </c>
      <c r="AR13731" s="4" t="s">
        <v>377</v>
      </c>
    </row>
    <row r="13732" spans="1:44">
      <c r="A13732" s="4" t="s">
        <v>10753</v>
      </c>
      <c r="B13732" s="4">
        <v>242990</v>
      </c>
      <c r="D13732" s="5" t="s">
        <v>16415</v>
      </c>
      <c r="E13732" s="6" t="str">
        <f>HYPERLINK("https://inpn.mnhn.fr/espece/cd_nom/242990","Philonthus jurgans Tottenham, 1937")</f>
        <v>Philonthus jurgans Tottenham, 1937</v>
      </c>
      <c r="AH13732" s="4" t="str">
        <f>HYPERLINK("#Statut_biogéographique!A"&amp;_xlfn.XMATCH("P",Statut_biogéographique!A:A,2,1),"P")</f>
        <v>P</v>
      </c>
      <c r="AP13732" s="4" t="s">
        <v>376</v>
      </c>
      <c r="AR13732" s="4" t="s">
        <v>377</v>
      </c>
    </row>
    <row r="13733" spans="1:44">
      <c r="A13733" s="4" t="s">
        <v>10753</v>
      </c>
      <c r="B13733" s="4">
        <v>243002</v>
      </c>
      <c r="D13733" s="5" t="s">
        <v>16416</v>
      </c>
      <c r="E13733" s="6" t="str">
        <f>HYPERLINK("https://inpn.mnhn.fr/espece/cd_nom/243002","Philonthus rectangulus Sharp, 1874")</f>
        <v>Philonthus rectangulus Sharp, 1874</v>
      </c>
      <c r="AH13733" s="4" t="str">
        <f>HYPERLINK("#Statut_biogéographique!A"&amp;_xlfn.XMATCH("I",Statut_biogéographique!A:A,2,1),"I")</f>
        <v>I</v>
      </c>
      <c r="AP13733" s="4" t="s">
        <v>376</v>
      </c>
      <c r="AR13733" s="4" t="s">
        <v>377</v>
      </c>
    </row>
    <row r="13734" spans="1:44">
      <c r="A13734" s="4" t="s">
        <v>10753</v>
      </c>
      <c r="B13734" s="4">
        <v>243005</v>
      </c>
      <c r="D13734" s="5" t="s">
        <v>16417</v>
      </c>
      <c r="E13734" s="6" t="str">
        <f>HYPERLINK("https://inpn.mnhn.fr/espece/cd_nom/243005","Philonthus rufipes (Stephens, 1832)")</f>
        <v>Philonthus rufipes (Stephens, 1832)</v>
      </c>
      <c r="AH13734" s="4" t="str">
        <f>HYPERLINK("#Statut_biogéographique!A"&amp;_xlfn.XMATCH("P",Statut_biogéographique!A:A,2,1),"P")</f>
        <v>P</v>
      </c>
      <c r="AP13734" s="4" t="s">
        <v>376</v>
      </c>
      <c r="AR13734" s="4" t="s">
        <v>377</v>
      </c>
    </row>
    <row r="13735" spans="1:44">
      <c r="A13735" s="4" t="s">
        <v>10753</v>
      </c>
      <c r="B13735" s="4">
        <v>243008</v>
      </c>
      <c r="D13735" s="5">
        <v>243008</v>
      </c>
      <c r="E13735" s="6" t="str">
        <f>HYPERLINK("https://inpn.mnhn.fr/espece/cd_nom/243008","Philonthus spinipes Sharp, 1874")</f>
        <v>Philonthus spinipes Sharp, 1874</v>
      </c>
      <c r="AH13735" s="4" t="str">
        <f>HYPERLINK("#Statut_biogéographique!A"&amp;_xlfn.XMATCH("I",Statut_biogéographique!A:A,2,1),"I")</f>
        <v>I</v>
      </c>
      <c r="AP13735" s="4" t="s">
        <v>376</v>
      </c>
      <c r="AR13735" s="4" t="s">
        <v>377</v>
      </c>
    </row>
    <row r="13736" spans="1:44">
      <c r="A13736" s="4" t="s">
        <v>10753</v>
      </c>
      <c r="B13736" s="4">
        <v>243011</v>
      </c>
      <c r="D13736" s="5" t="s">
        <v>16418</v>
      </c>
      <c r="E13736" s="6" t="str">
        <f>HYPERLINK("https://inpn.mnhn.fr/espece/cd_nom/243011","Philonthus succicola Thomson, 1860")</f>
        <v>Philonthus succicola Thomson, 1860</v>
      </c>
      <c r="AH13736" s="4" t="str">
        <f>HYPERLINK("#Statut_biogéographique!A"&amp;_xlfn.XMATCH("P",Statut_biogéographique!A:A,2,1),"P")</f>
        <v>P</v>
      </c>
      <c r="AP13736" s="4" t="s">
        <v>376</v>
      </c>
      <c r="AR13736" s="4" t="s">
        <v>377</v>
      </c>
    </row>
    <row r="13737" spans="1:44">
      <c r="A13737" s="4" t="s">
        <v>10753</v>
      </c>
      <c r="B13737" s="4">
        <v>243013</v>
      </c>
      <c r="D13737" s="5">
        <v>243013</v>
      </c>
      <c r="E13737" s="6" t="str">
        <f>HYPERLINK("https://inpn.mnhn.fr/espece/cd_nom/243013","Philonthus tenuicornis Mulsant &amp; Rey, 1853")</f>
        <v>Philonthus tenuicornis Mulsant &amp; Rey, 1853</v>
      </c>
      <c r="AH13737" s="4" t="str">
        <f>HYPERLINK("#Statut_biogéographique!A"&amp;_xlfn.XMATCH("P",Statut_biogéographique!A:A,2,1),"P")</f>
        <v>P</v>
      </c>
      <c r="AP13737" s="4" t="s">
        <v>376</v>
      </c>
      <c r="AR13737" s="4" t="s">
        <v>377</v>
      </c>
    </row>
    <row r="13738" spans="1:44">
      <c r="A13738" s="4" t="s">
        <v>10753</v>
      </c>
      <c r="B13738" s="4">
        <v>24302</v>
      </c>
      <c r="D13738" s="5">
        <v>24302</v>
      </c>
      <c r="E13738" s="6" t="str">
        <f>HYPERLINK("https://inpn.mnhn.fr/espece/cd_nom/24302","Eudorylas obliquus Coe, 1966")</f>
        <v>Eudorylas obliquus Coe, 1966</v>
      </c>
      <c r="AH13738" s="4" t="str">
        <f>HYPERLINK("#Statut_biogéographique!A"&amp;_xlfn.XMATCH("P",Statut_biogéographique!A:A,2,1),"P")</f>
        <v>P</v>
      </c>
      <c r="AP13738" s="4" t="s">
        <v>376</v>
      </c>
      <c r="AR13738" s="4" t="s">
        <v>377</v>
      </c>
    </row>
    <row r="13739" spans="1:44">
      <c r="A13739" s="4" t="s">
        <v>10753</v>
      </c>
      <c r="B13739" s="4">
        <v>243020</v>
      </c>
      <c r="D13739" s="5" t="s">
        <v>16419</v>
      </c>
      <c r="E13739" s="6" t="str">
        <f>HYPERLINK("https://inpn.mnhn.fr/espece/cd_nom/243020","Neobisnius procerulus (Gravenhorst, 1806)")</f>
        <v>Neobisnius procerulus (Gravenhorst, 1806)</v>
      </c>
      <c r="AH13739" s="4" t="str">
        <f>HYPERLINK("#Statut_biogéographique!A"&amp;_xlfn.XMATCH("P",Statut_biogéographique!A:A,2,1),"P")</f>
        <v>P</v>
      </c>
      <c r="AP13739" s="4" t="s">
        <v>376</v>
      </c>
      <c r="AR13739" s="4" t="s">
        <v>377</v>
      </c>
    </row>
    <row r="13740" spans="1:44">
      <c r="A13740" s="4" t="s">
        <v>10753</v>
      </c>
      <c r="B13740" s="4">
        <v>243023</v>
      </c>
      <c r="D13740" s="5" t="s">
        <v>16420</v>
      </c>
      <c r="E13740" s="6" t="str">
        <f>HYPERLINK("https://inpn.mnhn.fr/espece/cd_nom/243023","Hesperus rufipennis (Gravenhorst, 1802)")</f>
        <v>Hesperus rufipennis (Gravenhorst, 1802)</v>
      </c>
      <c r="AH13740" s="4" t="str">
        <f>HYPERLINK("#Statut_biogéographique!A"&amp;_xlfn.XMATCH("P",Statut_biogéographique!A:A,2,1),"P")</f>
        <v>P</v>
      </c>
      <c r="AP13740" s="4" t="s">
        <v>376</v>
      </c>
      <c r="AR13740" s="4" t="s">
        <v>377</v>
      </c>
    </row>
    <row r="13741" spans="1:44">
      <c r="A13741" s="4" t="s">
        <v>10753</v>
      </c>
      <c r="B13741" s="4">
        <v>243027</v>
      </c>
      <c r="D13741" s="5" t="s">
        <v>16421</v>
      </c>
      <c r="E13741" s="6" t="str">
        <f>HYPERLINK("https://inpn.mnhn.fr/espece/cd_nom/243027","Gabrius astutus (Erichson, 1840)")</f>
        <v>Gabrius astutus (Erichson, 1840)</v>
      </c>
      <c r="AH13741" s="4" t="str">
        <f>HYPERLINK("#Statut_biogéographique!A"&amp;_xlfn.XMATCH("P",Statut_biogéographique!A:A,2,1),"P")</f>
        <v>P</v>
      </c>
      <c r="AP13741" s="4" t="s">
        <v>376</v>
      </c>
      <c r="AR13741" s="4" t="s">
        <v>377</v>
      </c>
    </row>
    <row r="13742" spans="1:44">
      <c r="A13742" s="4" t="s">
        <v>10753</v>
      </c>
      <c r="B13742" s="4">
        <v>24304</v>
      </c>
      <c r="D13742" s="5" t="s">
        <v>16422</v>
      </c>
      <c r="E13742" s="6" t="str">
        <f>HYPERLINK("https://inpn.mnhn.fr/espece/cd_nom/24304","Platycheirus scambus (Staeger, 1843)")</f>
        <v>Platycheirus scambus (Staeger, 1843)</v>
      </c>
      <c r="P13742" s="7" t="str">
        <f>HYPERLINK("#Liste_rouge!A"&amp;_xlfn.XMATCH("LC",Liste_rouge!A:A,2,1),"LC")</f>
        <v>LC</v>
      </c>
      <c r="AH13742" s="4" t="str">
        <f>HYPERLINK("#Statut_biogéographique!A"&amp;_xlfn.XMATCH("P",Statut_biogéographique!A:A,2,1),"P")</f>
        <v>P</v>
      </c>
      <c r="AP13742" s="4" t="s">
        <v>376</v>
      </c>
      <c r="AR13742" s="4" t="s">
        <v>377</v>
      </c>
    </row>
    <row r="13743" spans="1:44">
      <c r="A13743" s="4" t="s">
        <v>10753</v>
      </c>
      <c r="B13743" s="4">
        <v>243042</v>
      </c>
      <c r="D13743" s="5" t="s">
        <v>16423</v>
      </c>
      <c r="E13743" s="6" t="str">
        <f>HYPERLINK("https://inpn.mnhn.fr/espece/cd_nom/243042","Gabrius piliger Mulsant &amp; Rey, 1876")</f>
        <v>Gabrius piliger Mulsant &amp; Rey, 1876</v>
      </c>
      <c r="AH13743" s="4" t="str">
        <f>HYPERLINK("#Statut_biogéographique!A"&amp;_xlfn.XMATCH("P",Statut_biogéographique!A:A,2,1),"P")</f>
        <v>P</v>
      </c>
      <c r="AP13743" s="4" t="s">
        <v>376</v>
      </c>
      <c r="AR13743" s="4" t="s">
        <v>377</v>
      </c>
    </row>
    <row r="13744" spans="1:44" ht="30">
      <c r="A13744" s="4" t="s">
        <v>10753</v>
      </c>
      <c r="B13744" s="4">
        <v>243046</v>
      </c>
      <c r="D13744" s="5" t="s">
        <v>16424</v>
      </c>
      <c r="E13744" s="6" t="str">
        <f>HYPERLINK("https://inpn.mnhn.fr/espece/cd_nom/243046","Gabrius splendidulus (Gravenhorst, 1802)")</f>
        <v>Gabrius splendidulus (Gravenhorst, 1802)</v>
      </c>
      <c r="AH13744" s="4" t="str">
        <f>HYPERLINK("#Statut_biogéographique!A"&amp;_xlfn.XMATCH("P",Statut_biogéographique!A:A,2,1),"P")</f>
        <v>P</v>
      </c>
      <c r="AP13744" s="4" t="s">
        <v>376</v>
      </c>
      <c r="AR13744" s="4" t="s">
        <v>377</v>
      </c>
    </row>
    <row r="13745" spans="1:44" ht="30">
      <c r="A13745" s="4" t="s">
        <v>10753</v>
      </c>
      <c r="B13745" s="4">
        <v>243053</v>
      </c>
      <c r="D13745" s="5" t="s">
        <v>16425</v>
      </c>
      <c r="E13745" s="6" t="str">
        <f>HYPERLINK("https://inpn.mnhn.fr/espece/cd_nom/243053","Erichsonius cinerascens (Gravenhorst, 1802)")</f>
        <v>Erichsonius cinerascens (Gravenhorst, 1802)</v>
      </c>
      <c r="AH13745" s="4" t="str">
        <f>HYPERLINK("#Statut_biogéographique!A"&amp;_xlfn.XMATCH("P",Statut_biogéographique!A:A,2,1),"P")</f>
        <v>P</v>
      </c>
      <c r="AP13745" s="4" t="s">
        <v>376</v>
      </c>
      <c r="AR13745" s="4" t="s">
        <v>377</v>
      </c>
    </row>
    <row r="13746" spans="1:44">
      <c r="A13746" s="4" t="s">
        <v>10753</v>
      </c>
      <c r="B13746" s="4">
        <v>24306</v>
      </c>
      <c r="D13746" s="5" t="s">
        <v>16426</v>
      </c>
      <c r="E13746" s="6" t="str">
        <f>HYPERLINK("https://inpn.mnhn.fr/espece/cd_nom/24306","Platycheirus scutatus (Meigen, 1822)")</f>
        <v>Platycheirus scutatus (Meigen, 1822)</v>
      </c>
      <c r="P13746" s="7" t="str">
        <f>HYPERLINK("#Liste_rouge!A"&amp;_xlfn.XMATCH("LC",Liste_rouge!A:A,2,1),"LC")</f>
        <v>LC</v>
      </c>
      <c r="AH13746" s="4" t="str">
        <f>HYPERLINK("#Statut_biogéographique!A"&amp;_xlfn.XMATCH("P",Statut_biogéographique!A:A,2,1),"P")</f>
        <v>P</v>
      </c>
      <c r="AP13746" s="4" t="s">
        <v>376</v>
      </c>
      <c r="AR13746" s="4" t="s">
        <v>377</v>
      </c>
    </row>
    <row r="13747" spans="1:44" ht="30">
      <c r="A13747" s="4" t="s">
        <v>10753</v>
      </c>
      <c r="B13747" s="4">
        <v>243061</v>
      </c>
      <c r="D13747" s="5" t="s">
        <v>16427</v>
      </c>
      <c r="E13747" s="6" t="str">
        <f>HYPERLINK("https://inpn.mnhn.fr/espece/cd_nom/243061","Bisnius fimetarius (Gravenhorst, 1802)")</f>
        <v>Bisnius fimetarius (Gravenhorst, 1802)</v>
      </c>
      <c r="AH13747" s="4" t="str">
        <f>HYPERLINK("#Statut_biogéographique!A"&amp;_xlfn.XMATCH("P",Statut_biogéographique!A:A,2,1),"P")</f>
        <v>P</v>
      </c>
      <c r="AP13747" s="4" t="s">
        <v>376</v>
      </c>
      <c r="AR13747" s="4" t="s">
        <v>377</v>
      </c>
    </row>
    <row r="13748" spans="1:44" ht="30">
      <c r="A13748" s="4" t="s">
        <v>10753</v>
      </c>
      <c r="B13748" s="4">
        <v>243068</v>
      </c>
      <c r="D13748" s="5" t="s">
        <v>16428</v>
      </c>
      <c r="E13748" s="6" t="str">
        <f>HYPERLINK("https://inpn.mnhn.fr/espece/cd_nom/243068","Bisnius subuliformis (Gravenhorst, 1802)")</f>
        <v>Bisnius subuliformis (Gravenhorst, 1802)</v>
      </c>
      <c r="AH13748" s="4" t="str">
        <f>HYPERLINK("#Statut_biogéographique!A"&amp;_xlfn.XMATCH("P",Statut_biogéographique!A:A,2,1),"P")</f>
        <v>P</v>
      </c>
      <c r="AP13748" s="4" t="s">
        <v>376</v>
      </c>
      <c r="AR13748" s="4" t="s">
        <v>377</v>
      </c>
    </row>
    <row r="13749" spans="1:44">
      <c r="A13749" s="4" t="s">
        <v>10753</v>
      </c>
      <c r="B13749" s="4">
        <v>243073</v>
      </c>
      <c r="D13749" s="5" t="s">
        <v>16429</v>
      </c>
      <c r="E13749" s="6" t="str">
        <f>HYPERLINK("https://inpn.mnhn.fr/espece/cd_nom/243073","Quedius brevicornis (Thomson, 1860)")</f>
        <v>Quedius brevicornis (Thomson, 1860)</v>
      </c>
      <c r="AH13749" s="4" t="str">
        <f>HYPERLINK("#Statut_biogéographique!A"&amp;_xlfn.XMATCH("P",Statut_biogéographique!A:A,2,1),"P")</f>
        <v>P</v>
      </c>
      <c r="AP13749" s="4" t="s">
        <v>376</v>
      </c>
      <c r="AR13749" s="4" t="s">
        <v>377</v>
      </c>
    </row>
    <row r="13750" spans="1:44">
      <c r="A13750" s="4" t="s">
        <v>10753</v>
      </c>
      <c r="B13750" s="4">
        <v>243074</v>
      </c>
      <c r="D13750" s="5">
        <v>243074</v>
      </c>
      <c r="E13750" s="6" t="str">
        <f>HYPERLINK("https://inpn.mnhn.fr/espece/cd_nom/243074","Quedius brevis Erichson, 1840")</f>
        <v>Quedius brevis Erichson, 1840</v>
      </c>
      <c r="AH13750" s="4" t="str">
        <f>HYPERLINK("#Statut_biogéographique!A"&amp;_xlfn.XMATCH("P",Statut_biogéographique!A:A,2,1),"P")</f>
        <v>P</v>
      </c>
      <c r="AP13750" s="4" t="s">
        <v>376</v>
      </c>
      <c r="AR13750" s="4" t="s">
        <v>377</v>
      </c>
    </row>
    <row r="13751" spans="1:44" ht="30">
      <c r="A13751" s="4" t="s">
        <v>10753</v>
      </c>
      <c r="B13751" s="4">
        <v>243076</v>
      </c>
      <c r="D13751" s="5" t="s">
        <v>16430</v>
      </c>
      <c r="E13751" s="6" t="str">
        <f>HYPERLINK("https://inpn.mnhn.fr/espece/cd_nom/243076","Quedius cruentus (Olivier, 1795)")</f>
        <v>Quedius cruentus (Olivier, 1795)</v>
      </c>
      <c r="AH13751" s="4" t="str">
        <f>HYPERLINK("#Statut_biogéographique!A"&amp;_xlfn.XMATCH("P",Statut_biogéographique!A:A,2,1),"P")</f>
        <v>P</v>
      </c>
      <c r="AP13751" s="4" t="s">
        <v>376</v>
      </c>
      <c r="AR13751" s="4" t="s">
        <v>377</v>
      </c>
    </row>
    <row r="13752" spans="1:44">
      <c r="A13752" s="4" t="s">
        <v>10753</v>
      </c>
      <c r="B13752" s="4">
        <v>243079</v>
      </c>
      <c r="D13752" s="5" t="s">
        <v>16431</v>
      </c>
      <c r="E13752" s="6" t="str">
        <f>HYPERLINK("https://inpn.mnhn.fr/espece/cd_nom/243079","Quedius invreae Gridelli, 1924")</f>
        <v>Quedius invreae Gridelli, 1924</v>
      </c>
      <c r="AH13752" s="4" t="str">
        <f>HYPERLINK("#Statut_biogéographique!A"&amp;_xlfn.XMATCH("P",Statut_biogéographique!A:A,2,1),"P")</f>
        <v>P</v>
      </c>
      <c r="AP13752" s="4" t="s">
        <v>376</v>
      </c>
      <c r="AR13752" s="4" t="s">
        <v>377</v>
      </c>
    </row>
    <row r="13753" spans="1:44">
      <c r="A13753" s="4" t="s">
        <v>10753</v>
      </c>
      <c r="B13753" s="4">
        <v>243082</v>
      </c>
      <c r="D13753" s="5" t="s">
        <v>16432</v>
      </c>
      <c r="E13753" s="6" t="str">
        <f>HYPERLINK("https://inpn.mnhn.fr/espece/cd_nom/243082","Quedius mesomelinus (Marsham, 1802)")</f>
        <v>Quedius mesomelinus (Marsham, 1802)</v>
      </c>
      <c r="AH13753" s="4" t="str">
        <f>HYPERLINK("#Statut_biogéographique!A"&amp;_xlfn.XMATCH("P",Statut_biogéographique!A:A,2,1),"P")</f>
        <v>P</v>
      </c>
      <c r="AP13753" s="4" t="s">
        <v>376</v>
      </c>
      <c r="AR13753" s="4" t="s">
        <v>377</v>
      </c>
    </row>
    <row r="13754" spans="1:44">
      <c r="A13754" s="4" t="s">
        <v>10753</v>
      </c>
      <c r="B13754" s="4">
        <v>243086</v>
      </c>
      <c r="D13754" s="5" t="s">
        <v>16433</v>
      </c>
      <c r="E13754" s="6" t="str">
        <f>HYPERLINK("https://inpn.mnhn.fr/espece/cd_nom/243086","Quedius puncticollis (Thomson, 1867)")</f>
        <v>Quedius puncticollis (Thomson, 1867)</v>
      </c>
      <c r="AH13754" s="4" t="str">
        <f>HYPERLINK("#Statut_biogéographique!A"&amp;_xlfn.XMATCH("P",Statut_biogéographique!A:A,2,1),"P")</f>
        <v>P</v>
      </c>
      <c r="AP13754" s="4" t="s">
        <v>376</v>
      </c>
      <c r="AR13754" s="4" t="s">
        <v>377</v>
      </c>
    </row>
    <row r="13755" spans="1:44" ht="30">
      <c r="A13755" s="4" t="s">
        <v>10753</v>
      </c>
      <c r="B13755" s="4">
        <v>243092</v>
      </c>
      <c r="D13755" s="5" t="s">
        <v>16434</v>
      </c>
      <c r="E13755" s="6" t="str">
        <f>HYPERLINK("https://inpn.mnhn.fr/espece/cd_nom/243092","Quedius levicollis (Brullé, 1832)")</f>
        <v>Quedius levicollis (Brullé, 1832)</v>
      </c>
      <c r="AH13755" s="4" t="str">
        <f>HYPERLINK("#Statut_biogéographique!A"&amp;_xlfn.XMATCH("P",Statut_biogéographique!A:A,2,1),"P")</f>
        <v>P</v>
      </c>
      <c r="AP13755" s="4" t="s">
        <v>376</v>
      </c>
      <c r="AR13755" s="4" t="s">
        <v>377</v>
      </c>
    </row>
    <row r="13756" spans="1:44" ht="30">
      <c r="A13756" s="4" t="s">
        <v>10753</v>
      </c>
      <c r="B13756" s="4">
        <v>243093</v>
      </c>
      <c r="D13756" s="5" t="s">
        <v>16435</v>
      </c>
      <c r="E13756" s="6" t="str">
        <f>HYPERLINK("https://inpn.mnhn.fr/espece/cd_nom/243093","Quedius molochinus (Gravenhorst, 1806)")</f>
        <v>Quedius molochinus (Gravenhorst, 1806)</v>
      </c>
      <c r="AH13756" s="4" t="str">
        <f>HYPERLINK("#Statut_biogéographique!A"&amp;_xlfn.XMATCH("P",Statut_biogéographique!A:A,2,1),"P")</f>
        <v>P</v>
      </c>
      <c r="AP13756" s="4" t="s">
        <v>376</v>
      </c>
      <c r="AR13756" s="4" t="s">
        <v>377</v>
      </c>
    </row>
    <row r="13757" spans="1:44">
      <c r="A13757" s="4" t="s">
        <v>10753</v>
      </c>
      <c r="B13757" s="4">
        <v>24310</v>
      </c>
      <c r="D13757" s="5" t="s">
        <v>16436</v>
      </c>
      <c r="E13757" s="6" t="str">
        <f>HYPERLINK("https://inpn.mnhn.fr/espece/cd_nom/24310","Platycheirus tarsalis (Schummel, 1836)")</f>
        <v>Platycheirus tarsalis (Schummel, 1836)</v>
      </c>
      <c r="P13757" s="7" t="str">
        <f>HYPERLINK("#Liste_rouge!A"&amp;_xlfn.XMATCH("LC",Liste_rouge!A:A,2,1),"LC")</f>
        <v>LC</v>
      </c>
      <c r="AH13757" s="4" t="str">
        <f>HYPERLINK("#Statut_biogéographique!A"&amp;_xlfn.XMATCH("P",Statut_biogéographique!A:A,2,1),"P")</f>
        <v>P</v>
      </c>
      <c r="AP13757" s="4" t="s">
        <v>376</v>
      </c>
      <c r="AR13757" s="4" t="s">
        <v>377</v>
      </c>
    </row>
    <row r="13758" spans="1:44">
      <c r="A13758" s="4" t="s">
        <v>10753</v>
      </c>
      <c r="B13758" s="4">
        <v>243110</v>
      </c>
      <c r="D13758" s="5">
        <v>243110</v>
      </c>
      <c r="E13758" s="6" t="str">
        <f>HYPERLINK("https://inpn.mnhn.fr/espece/cd_nom/243110","Quedius lucidulus Erichson, 1839")</f>
        <v>Quedius lucidulus Erichson, 1839</v>
      </c>
      <c r="AH13758" s="4" t="str">
        <f>HYPERLINK("#Statut_biogéographique!A"&amp;_xlfn.XMATCH("P",Statut_biogéographique!A:A,2,1),"P")</f>
        <v>P</v>
      </c>
      <c r="AP13758" s="4" t="s">
        <v>376</v>
      </c>
      <c r="AR13758" s="4" t="s">
        <v>377</v>
      </c>
    </row>
    <row r="13759" spans="1:44">
      <c r="A13759" s="4" t="s">
        <v>10753</v>
      </c>
      <c r="B13759" s="4">
        <v>243114</v>
      </c>
      <c r="D13759" s="5">
        <v>243114</v>
      </c>
      <c r="E13759" s="6" t="str">
        <f>HYPERLINK("https://inpn.mnhn.fr/espece/cd_nom/243114","Quedius nigriceps Kraatz, 1857")</f>
        <v>Quedius nigriceps Kraatz, 1857</v>
      </c>
      <c r="AH13759" s="4" t="str">
        <f>HYPERLINK("#Statut_biogéographique!A"&amp;_xlfn.XMATCH("P",Statut_biogéographique!A:A,2,1),"P")</f>
        <v>P</v>
      </c>
      <c r="AP13759" s="4" t="s">
        <v>376</v>
      </c>
      <c r="AR13759" s="4" t="s">
        <v>377</v>
      </c>
    </row>
    <row r="13760" spans="1:44">
      <c r="A13760" s="4" t="s">
        <v>10753</v>
      </c>
      <c r="B13760" s="4">
        <v>243116</v>
      </c>
      <c r="D13760" s="5" t="s">
        <v>16437</v>
      </c>
      <c r="E13760" s="6" t="str">
        <f>HYPERLINK("https://inpn.mnhn.fr/espece/cd_nom/243116","Quedius persimilis Mulsant &amp; Rey, 1876")</f>
        <v>Quedius persimilis Mulsant &amp; Rey, 1876</v>
      </c>
      <c r="AH13760" s="4" t="str">
        <f>HYPERLINK("#Statut_biogéographique!A"&amp;_xlfn.XMATCH("P",Statut_biogéographique!A:A,2,1),"P")</f>
        <v>P</v>
      </c>
      <c r="AP13760" s="4" t="s">
        <v>376</v>
      </c>
      <c r="AR13760" s="4" t="s">
        <v>377</v>
      </c>
    </row>
    <row r="13761" spans="1:44" ht="30">
      <c r="A13761" s="4" t="s">
        <v>10753</v>
      </c>
      <c r="B13761" s="4">
        <v>243117</v>
      </c>
      <c r="D13761" s="5" t="s">
        <v>16438</v>
      </c>
      <c r="E13761" s="6" t="str">
        <f>HYPERLINK("https://inpn.mnhn.fr/espece/cd_nom/243117","Quedius picipes (Mannerheim, 1830)")</f>
        <v>Quedius picipes (Mannerheim, 1830)</v>
      </c>
      <c r="AH13761" s="4" t="str">
        <f>HYPERLINK("#Statut_biogéographique!A"&amp;_xlfn.XMATCH("P",Statut_biogéographique!A:A,2,1),"P")</f>
        <v>P</v>
      </c>
      <c r="AP13761" s="4" t="s">
        <v>376</v>
      </c>
      <c r="AR13761" s="4" t="s">
        <v>377</v>
      </c>
    </row>
    <row r="13762" spans="1:44">
      <c r="A13762" s="4" t="s">
        <v>10753</v>
      </c>
      <c r="B13762" s="4">
        <v>24312</v>
      </c>
      <c r="D13762" s="5">
        <v>24312</v>
      </c>
      <c r="E13762" s="6" t="str">
        <f>HYPERLINK("https://inpn.mnhn.fr/espece/cd_nom/24312","Sphaerophoria batava Goeldlin, 1974")</f>
        <v>Sphaerophoria batava Goeldlin, 1974</v>
      </c>
      <c r="O13762" s="7" t="str">
        <f>HYPERLINK("#Liste_rouge!A"&amp;_xlfn.XMATCH("LC",Liste_rouge!A:A,2,1),"LC")</f>
        <v>LC</v>
      </c>
      <c r="P13762" s="7" t="str">
        <f>HYPERLINK("#Liste_rouge!A"&amp;_xlfn.XMATCH("LC",Liste_rouge!A:A,2,1),"LC")</f>
        <v>LC</v>
      </c>
      <c r="AH13762" s="4" t="str">
        <f>HYPERLINK("#Statut_biogéographique!A"&amp;_xlfn.XMATCH("P",Statut_biogéographique!A:A,2,1),"P")</f>
        <v>P</v>
      </c>
      <c r="AP13762" s="4" t="s">
        <v>376</v>
      </c>
      <c r="AR13762" s="4" t="s">
        <v>377</v>
      </c>
    </row>
    <row r="13763" spans="1:44" ht="30">
      <c r="A13763" s="4" t="s">
        <v>10753</v>
      </c>
      <c r="B13763" s="4">
        <v>243124</v>
      </c>
      <c r="D13763" s="5" t="s">
        <v>16439</v>
      </c>
      <c r="E13763" s="6" t="str">
        <f>HYPERLINK("https://inpn.mnhn.fr/espece/cd_nom/243124","Quedius semiobscurus (Marsham, 1802)")</f>
        <v>Quedius semiobscurus (Marsham, 1802)</v>
      </c>
      <c r="AH13763" s="4" t="str">
        <f>HYPERLINK("#Statut_biogéographique!A"&amp;_xlfn.XMATCH("P",Statut_biogéographique!A:A,2,1),"P")</f>
        <v>P</v>
      </c>
      <c r="AP13763" s="4" t="s">
        <v>376</v>
      </c>
      <c r="AR13763" s="4" t="s">
        <v>377</v>
      </c>
    </row>
    <row r="13764" spans="1:44">
      <c r="A13764" s="4" t="s">
        <v>10753</v>
      </c>
      <c r="B13764" s="4">
        <v>24313</v>
      </c>
      <c r="D13764" s="5">
        <v>24313</v>
      </c>
      <c r="E13764" s="6" t="str">
        <f>HYPERLINK("https://inpn.mnhn.fr/espece/cd_nom/24313","Sphaerophoria chongjini Bankowska, 1964")</f>
        <v>Sphaerophoria chongjini Bankowska, 1964</v>
      </c>
      <c r="P13764" s="7" t="str">
        <f>HYPERLINK("#Liste_rouge!A"&amp;_xlfn.XMATCH("LC",Liste_rouge!A:A,2,1),"LC")</f>
        <v>LC</v>
      </c>
      <c r="AH13764" s="4" t="str">
        <f>HYPERLINK("#Statut_biogéographique!A"&amp;_xlfn.XMATCH("P",Statut_biogéographique!A:A,2,1),"P")</f>
        <v>P</v>
      </c>
      <c r="AP13764" s="4" t="s">
        <v>376</v>
      </c>
      <c r="AR13764" s="4" t="s">
        <v>377</v>
      </c>
    </row>
    <row r="13765" spans="1:44" ht="30">
      <c r="A13765" s="4" t="s">
        <v>10753</v>
      </c>
      <c r="B13765" s="4">
        <v>243140</v>
      </c>
      <c r="D13765" s="5">
        <v>243140</v>
      </c>
      <c r="E13765" s="6" t="str">
        <f>HYPERLINK("https://inpn.mnhn.fr/espece/cd_nom/243140","Acylophorus wagenschieberi Kiesenwetter, 1850")</f>
        <v>Acylophorus wagenschieberi Kiesenwetter, 1850</v>
      </c>
      <c r="AH13765" s="4" t="str">
        <f>HYPERLINK("#Statut_biogéographique!A"&amp;_xlfn.XMATCH("P",Statut_biogéographique!A:A,2,1),"P")</f>
        <v>P</v>
      </c>
      <c r="AP13765" s="4" t="s">
        <v>376</v>
      </c>
      <c r="AR13765" s="4" t="s">
        <v>377</v>
      </c>
    </row>
    <row r="13766" spans="1:44">
      <c r="A13766" s="4" t="s">
        <v>10753</v>
      </c>
      <c r="B13766" s="4">
        <v>243142</v>
      </c>
      <c r="D13766" s="5" t="s">
        <v>16440</v>
      </c>
      <c r="E13766" s="6" t="str">
        <f>HYPERLINK("https://inpn.mnhn.fr/espece/cd_nom/243142","Tasgius melanarius (Heer, 1839)")</f>
        <v>Tasgius melanarius (Heer, 1839)</v>
      </c>
      <c r="AH13766" s="4" t="str">
        <f>HYPERLINK("#Statut_biogéographique!A"&amp;_xlfn.XMATCH("P",Statut_biogéographique!A:A,2,1),"P")</f>
        <v>P</v>
      </c>
      <c r="AP13766" s="4" t="s">
        <v>376</v>
      </c>
      <c r="AR13766" s="4" t="s">
        <v>377</v>
      </c>
    </row>
    <row r="13767" spans="1:44" ht="45">
      <c r="A13767" s="4" t="s">
        <v>10753</v>
      </c>
      <c r="B13767" s="4">
        <v>243144</v>
      </c>
      <c r="D13767" s="5" t="s">
        <v>16441</v>
      </c>
      <c r="E13767" s="6" t="str">
        <f>HYPERLINK("https://inpn.mnhn.fr/espece/cd_nom/243144","Tasgius morsitans (Rossi, 1790)")</f>
        <v>Tasgius morsitans (Rossi, 1790)</v>
      </c>
      <c r="AH13767" s="4" t="str">
        <f>HYPERLINK("#Statut_biogéographique!A"&amp;_xlfn.XMATCH("P",Statut_biogéographique!A:A,2,1),"P")</f>
        <v>P</v>
      </c>
      <c r="AP13767" s="4" t="s">
        <v>376</v>
      </c>
      <c r="AR13767" s="4" t="s">
        <v>377</v>
      </c>
    </row>
    <row r="13768" spans="1:44">
      <c r="A13768" s="4" t="s">
        <v>10753</v>
      </c>
      <c r="B13768" s="4">
        <v>243147</v>
      </c>
      <c r="D13768" s="5" t="s">
        <v>16442</v>
      </c>
      <c r="E13768" s="6" t="str">
        <f>HYPERLINK("https://inpn.mnhn.fr/espece/cd_nom/243147","Staphylinus dimidiaticornis Gemminger, 1851")</f>
        <v>Staphylinus dimidiaticornis Gemminger, 1851</v>
      </c>
      <c r="AH13768" s="4" t="str">
        <f>HYPERLINK("#Statut_biogéographique!A"&amp;_xlfn.XMATCH("P",Statut_biogéographique!A:A,2,1),"P")</f>
        <v>P</v>
      </c>
      <c r="AP13768" s="4" t="s">
        <v>376</v>
      </c>
      <c r="AR13768" s="4" t="s">
        <v>377</v>
      </c>
    </row>
    <row r="13769" spans="1:44">
      <c r="A13769" s="4" t="s">
        <v>10753</v>
      </c>
      <c r="B13769" s="4">
        <v>243167</v>
      </c>
      <c r="D13769" s="5" t="s">
        <v>16443</v>
      </c>
      <c r="E13769" s="6" t="str">
        <f>HYPERLINK("https://inpn.mnhn.fr/espece/cd_nom/243167","Platydracus stercorarius (Olivier, 1795)")</f>
        <v>Platydracus stercorarius (Olivier, 1795)</v>
      </c>
      <c r="AH13769" s="4" t="str">
        <f>HYPERLINK("#Statut_biogéographique!A"&amp;_xlfn.XMATCH("P",Statut_biogéographique!A:A,2,1),"P")</f>
        <v>P</v>
      </c>
      <c r="AP13769" s="4" t="s">
        <v>376</v>
      </c>
      <c r="AR13769" s="4" t="s">
        <v>377</v>
      </c>
    </row>
    <row r="13770" spans="1:44">
      <c r="A13770" s="4" t="s">
        <v>10753</v>
      </c>
      <c r="B13770" s="4">
        <v>243170</v>
      </c>
      <c r="D13770" s="5" t="s">
        <v>16444</v>
      </c>
      <c r="E13770" s="6" t="str">
        <f>HYPERLINK("https://inpn.mnhn.fr/espece/cd_nom/243170","Ontholestes tessellatus (Geoffroy, 1785)")</f>
        <v>Ontholestes tessellatus (Geoffroy, 1785)</v>
      </c>
      <c r="F13770" s="5" t="s">
        <v>16445</v>
      </c>
      <c r="AH13770" s="4" t="str">
        <f>HYPERLINK("#Statut_biogéographique!A"&amp;_xlfn.XMATCH("P",Statut_biogéographique!A:A,2,1),"P")</f>
        <v>P</v>
      </c>
      <c r="AP13770" s="4" t="s">
        <v>376</v>
      </c>
      <c r="AR13770" s="4" t="s">
        <v>377</v>
      </c>
    </row>
    <row r="13771" spans="1:44">
      <c r="A13771" s="4" t="s">
        <v>10753</v>
      </c>
      <c r="B13771" s="4">
        <v>243174</v>
      </c>
      <c r="D13771" s="5" t="s">
        <v>16446</v>
      </c>
      <c r="E13771" s="6" t="str">
        <f>HYPERLINK("https://inpn.mnhn.fr/espece/cd_nom/243174","Ocypus nitens (Schrank, 1781)")</f>
        <v>Ocypus nitens (Schrank, 1781)</v>
      </c>
      <c r="AH13771" s="4" t="str">
        <f>HYPERLINK("#Statut_biogéographique!A"&amp;_xlfn.XMATCH("P",Statut_biogéographique!A:A,2,1),"P")</f>
        <v>P</v>
      </c>
      <c r="AP13771" s="4" t="s">
        <v>376</v>
      </c>
      <c r="AR13771" s="4" t="s">
        <v>377</v>
      </c>
    </row>
    <row r="13772" spans="1:44">
      <c r="A13772" s="4" t="s">
        <v>10753</v>
      </c>
      <c r="B13772" s="4">
        <v>243175</v>
      </c>
      <c r="D13772" s="5" t="s">
        <v>16447</v>
      </c>
      <c r="E13772" s="6" t="str">
        <f>HYPERLINK("https://inpn.mnhn.fr/espece/cd_nom/243175","Ocypus pedemontanus (J. Müller, 1924)")</f>
        <v>Ocypus pedemontanus (J. Müller, 1924)</v>
      </c>
      <c r="AH13772" s="4" t="str">
        <f>HYPERLINK("#Statut_biogéographique!A"&amp;_xlfn.XMATCH("P",Statut_biogéographique!A:A,2,1),"P")</f>
        <v>P</v>
      </c>
      <c r="AP13772" s="4" t="s">
        <v>376</v>
      </c>
      <c r="AR13772" s="4" t="s">
        <v>377</v>
      </c>
    </row>
    <row r="13773" spans="1:44">
      <c r="A13773" s="4" t="s">
        <v>10753</v>
      </c>
      <c r="B13773" s="4">
        <v>243177</v>
      </c>
      <c r="D13773" s="5" t="s">
        <v>16448</v>
      </c>
      <c r="E13773" s="6" t="str">
        <f>HYPERLINK("https://inpn.mnhn.fr/espece/cd_nom/243177","Ocypus tenebricosus (Gravenhorst, 1846)")</f>
        <v>Ocypus tenebricosus (Gravenhorst, 1846)</v>
      </c>
      <c r="AH13773" s="4" t="str">
        <f>HYPERLINK("#Statut_biogéographique!A"&amp;_xlfn.XMATCH("P",Statut_biogéographique!A:A,2,1),"P")</f>
        <v>P</v>
      </c>
      <c r="AP13773" s="4" t="s">
        <v>376</v>
      </c>
      <c r="AR13773" s="4" t="s">
        <v>377</v>
      </c>
    </row>
    <row r="13774" spans="1:44" ht="30">
      <c r="A13774" s="4" t="s">
        <v>10753</v>
      </c>
      <c r="B13774" s="4">
        <v>243178</v>
      </c>
      <c r="D13774" s="5" t="s">
        <v>16449</v>
      </c>
      <c r="E13774" s="6" t="str">
        <f>HYPERLINK("https://inpn.mnhn.fr/espece/cd_nom/243178","Ocypus aeneocephalus (De Geer, 1774)")</f>
        <v>Ocypus aeneocephalus (De Geer, 1774)</v>
      </c>
      <c r="AH13774" s="4" t="str">
        <f>HYPERLINK("#Statut_biogéographique!A"&amp;_xlfn.XMATCH("P",Statut_biogéographique!A:A,2,1),"P")</f>
        <v>P</v>
      </c>
      <c r="AP13774" s="4" t="s">
        <v>376</v>
      </c>
      <c r="AR13774" s="4" t="s">
        <v>377</v>
      </c>
    </row>
    <row r="13775" spans="1:44" ht="30">
      <c r="A13775" s="4" t="s">
        <v>10753</v>
      </c>
      <c r="B13775" s="4">
        <v>243179</v>
      </c>
      <c r="D13775" s="5" t="s">
        <v>16450</v>
      </c>
      <c r="E13775" s="6" t="str">
        <f>HYPERLINK("https://inpn.mnhn.fr/espece/cd_nom/243179","Ocypus aethiops (Waltl, 1835)")</f>
        <v>Ocypus aethiops (Waltl, 1835)</v>
      </c>
      <c r="F13775" s="5" t="s">
        <v>16451</v>
      </c>
      <c r="AH13775" s="4" t="str">
        <f>HYPERLINK("#Statut_biogéographique!A"&amp;_xlfn.XMATCH("P",Statut_biogéographique!A:A,2,1),"P")</f>
        <v>P</v>
      </c>
      <c r="AP13775" s="4" t="s">
        <v>376</v>
      </c>
      <c r="AR13775" s="4" t="s">
        <v>377</v>
      </c>
    </row>
    <row r="13776" spans="1:44">
      <c r="A13776" s="4" t="s">
        <v>10753</v>
      </c>
      <c r="B13776" s="4">
        <v>243187</v>
      </c>
      <c r="D13776" s="5" t="s">
        <v>16452</v>
      </c>
      <c r="E13776" s="6" t="str">
        <f>HYPERLINK("https://inpn.mnhn.fr/espece/cd_nom/243187","Dinothenarus pubescens (De Geer, 1774)")</f>
        <v>Dinothenarus pubescens (De Geer, 1774)</v>
      </c>
      <c r="AH13776" s="4" t="str">
        <f>HYPERLINK("#Statut_biogéographique!A"&amp;_xlfn.XMATCH("P",Statut_biogéographique!A:A,2,1),"P")</f>
        <v>P</v>
      </c>
      <c r="AP13776" s="4" t="s">
        <v>376</v>
      </c>
      <c r="AR13776" s="4" t="s">
        <v>377</v>
      </c>
    </row>
    <row r="13777" spans="1:44" ht="30">
      <c r="A13777" s="4" t="s">
        <v>10753</v>
      </c>
      <c r="B13777" s="4">
        <v>243188</v>
      </c>
      <c r="D13777" s="5" t="s">
        <v>16453</v>
      </c>
      <c r="E13777" s="6" t="str">
        <f>HYPERLINK("https://inpn.mnhn.fr/espece/cd_nom/243188","Dinothenarus fossor (Scopoli, 1771)")</f>
        <v>Dinothenarus fossor (Scopoli, 1771)</v>
      </c>
      <c r="F13777" s="5" t="s">
        <v>16454</v>
      </c>
      <c r="AH13777" s="4" t="str">
        <f>HYPERLINK("#Statut_biogéographique!A"&amp;_xlfn.XMATCH("P",Statut_biogéographique!A:A,2,1),"P")</f>
        <v>P</v>
      </c>
      <c r="AP13777" s="4" t="s">
        <v>376</v>
      </c>
      <c r="AR13777" s="4" t="s">
        <v>377</v>
      </c>
    </row>
    <row r="13778" spans="1:44" ht="30">
      <c r="A13778" s="4" t="s">
        <v>10753</v>
      </c>
      <c r="B13778" s="4">
        <v>243199</v>
      </c>
      <c r="D13778" s="5" t="s">
        <v>16455</v>
      </c>
      <c r="E13778" s="6" t="str">
        <f>HYPERLINK("https://inpn.mnhn.fr/espece/cd_nom/243199","Xantholinus longiventris Heer, 1839")</f>
        <v>Xantholinus longiventris Heer, 1839</v>
      </c>
      <c r="AH13778" s="4" t="str">
        <f>HYPERLINK("#Statut_biogéographique!A"&amp;_xlfn.XMATCH("P",Statut_biogéographique!A:A,2,1),"P")</f>
        <v>P</v>
      </c>
      <c r="AP13778" s="4" t="s">
        <v>376</v>
      </c>
      <c r="AR13778" s="4" t="s">
        <v>377</v>
      </c>
    </row>
    <row r="13779" spans="1:44" ht="30">
      <c r="A13779" s="4" t="s">
        <v>10753</v>
      </c>
      <c r="B13779" s="4">
        <v>243206</v>
      </c>
      <c r="D13779" s="5" t="s">
        <v>16456</v>
      </c>
      <c r="E13779" s="6" t="str">
        <f>HYPERLINK("https://inpn.mnhn.fr/espece/cd_nom/243206","Nudobius lentus (Gravenhorst, 1806)")</f>
        <v>Nudobius lentus (Gravenhorst, 1806)</v>
      </c>
      <c r="AH13779" s="4" t="str">
        <f>HYPERLINK("#Statut_biogéographique!A"&amp;_xlfn.XMATCH("P",Statut_biogéographique!A:A,2,1),"P")</f>
        <v>P</v>
      </c>
      <c r="AP13779" s="4" t="s">
        <v>376</v>
      </c>
      <c r="AR13779" s="4" t="s">
        <v>377</v>
      </c>
    </row>
    <row r="13780" spans="1:44" ht="45">
      <c r="A13780" s="4" t="s">
        <v>10753</v>
      </c>
      <c r="B13780" s="4">
        <v>243207</v>
      </c>
      <c r="D13780" s="5" t="s">
        <v>16457</v>
      </c>
      <c r="E13780" s="6" t="str">
        <f>HYPERLINK("https://inpn.mnhn.fr/espece/cd_nom/243207","Megalinus glabratus (Gravenhorst, 1802)")</f>
        <v>Megalinus glabratus (Gravenhorst, 1802)</v>
      </c>
      <c r="AH13780" s="4" t="str">
        <f>HYPERLINK("#Statut_biogéographique!A"&amp;_xlfn.XMATCH("P",Statut_biogéographique!A:A,2,1),"P")</f>
        <v>P</v>
      </c>
      <c r="AP13780" s="4" t="s">
        <v>376</v>
      </c>
      <c r="AR13780" s="4" t="s">
        <v>377</v>
      </c>
    </row>
    <row r="13781" spans="1:44" ht="60">
      <c r="A13781" s="4" t="s">
        <v>10753</v>
      </c>
      <c r="B13781" s="4">
        <v>243209</v>
      </c>
      <c r="D13781" s="5" t="s">
        <v>16458</v>
      </c>
      <c r="E13781" s="6" t="str">
        <f>HYPERLINK("https://inpn.mnhn.fr/espece/cd_nom/243209","Leptacinus batychrus (Gyllenhal, 1827)")</f>
        <v>Leptacinus batychrus (Gyllenhal, 1827)</v>
      </c>
      <c r="AH13781" s="4" t="str">
        <f>HYPERLINK("#Statut_biogéographique!A"&amp;_xlfn.XMATCH("P",Statut_biogéographique!A:A,2,1),"P")</f>
        <v>P</v>
      </c>
      <c r="AP13781" s="4" t="s">
        <v>376</v>
      </c>
      <c r="AR13781" s="4" t="s">
        <v>377</v>
      </c>
    </row>
    <row r="13782" spans="1:44">
      <c r="A13782" s="4" t="s">
        <v>10753</v>
      </c>
      <c r="B13782" s="4">
        <v>24321</v>
      </c>
      <c r="D13782" s="5" t="s">
        <v>16459</v>
      </c>
      <c r="E13782" s="6" t="str">
        <f>HYPERLINK("https://inpn.mnhn.fr/espece/cd_nom/24321","Sphaerophoria scripta (Linnaeus, 1758)")</f>
        <v>Sphaerophoria scripta (Linnaeus, 1758)</v>
      </c>
      <c r="P13782" s="7" t="str">
        <f>HYPERLINK("#Liste_rouge!A"&amp;_xlfn.XMATCH("LC",Liste_rouge!A:A,2,1),"LC")</f>
        <v>LC</v>
      </c>
      <c r="AH13782" s="4" t="str">
        <f>HYPERLINK("#Statut_biogéographique!A"&amp;_xlfn.XMATCH("P",Statut_biogéographique!A:A,2,1),"P")</f>
        <v>P</v>
      </c>
      <c r="AP13782" s="4" t="s">
        <v>376</v>
      </c>
      <c r="AR13782" s="4" t="s">
        <v>377</v>
      </c>
    </row>
    <row r="13783" spans="1:44">
      <c r="A13783" s="4" t="s">
        <v>10753</v>
      </c>
      <c r="B13783" s="4">
        <v>243210</v>
      </c>
      <c r="D13783" s="5">
        <v>243210</v>
      </c>
      <c r="E13783" s="6" t="str">
        <f>HYPERLINK("https://inpn.mnhn.fr/espece/cd_nom/243210","Leptacinus formicetorum Märkel, 1841")</f>
        <v>Leptacinus formicetorum Märkel, 1841</v>
      </c>
      <c r="AH13783" s="4" t="str">
        <f>HYPERLINK("#Statut_biogéographique!A"&amp;_xlfn.XMATCH("P",Statut_biogéographique!A:A,2,1),"P")</f>
        <v>P</v>
      </c>
      <c r="AP13783" s="4" t="s">
        <v>376</v>
      </c>
      <c r="AR13783" s="4" t="s">
        <v>377</v>
      </c>
    </row>
    <row r="13784" spans="1:44">
      <c r="A13784" s="4" t="s">
        <v>10753</v>
      </c>
      <c r="B13784" s="4">
        <v>243211</v>
      </c>
      <c r="D13784" s="5" t="s">
        <v>16460</v>
      </c>
      <c r="E13784" s="6" t="str">
        <f>HYPERLINK("https://inpn.mnhn.fr/espece/cd_nom/243211","Leptacinus intermedius Donisthorpe, 1936")</f>
        <v>Leptacinus intermedius Donisthorpe, 1936</v>
      </c>
      <c r="AH13784" s="4" t="str">
        <f>HYPERLINK("#Statut_biogéographique!A"&amp;_xlfn.XMATCH("P",Statut_biogéographique!A:A,2,1),"P")</f>
        <v>P</v>
      </c>
      <c r="AP13784" s="4" t="s">
        <v>376</v>
      </c>
      <c r="AR13784" s="4" t="s">
        <v>377</v>
      </c>
    </row>
    <row r="13785" spans="1:44">
      <c r="A13785" s="4" t="s">
        <v>10753</v>
      </c>
      <c r="B13785" s="4">
        <v>243213</v>
      </c>
      <c r="D13785" s="5" t="s">
        <v>16461</v>
      </c>
      <c r="E13785" s="6" t="str">
        <f>HYPERLINK("https://inpn.mnhn.fr/espece/cd_nom/243213","Leptacinus othioides Baudi di Selve, 1870")</f>
        <v>Leptacinus othioides Baudi di Selve, 1870</v>
      </c>
      <c r="AH13785" s="4" t="str">
        <f>HYPERLINK("#Statut_biogéographique!A"&amp;_xlfn.XMATCH("P",Statut_biogéographique!A:A,2,1),"P")</f>
        <v>P</v>
      </c>
      <c r="AP13785" s="4" t="s">
        <v>376</v>
      </c>
      <c r="AR13785" s="4" t="s">
        <v>377</v>
      </c>
    </row>
    <row r="13786" spans="1:44" ht="30">
      <c r="A13786" s="4" t="s">
        <v>10753</v>
      </c>
      <c r="B13786" s="4">
        <v>243214</v>
      </c>
      <c r="D13786" s="5" t="s">
        <v>16462</v>
      </c>
      <c r="E13786" s="6" t="str">
        <f>HYPERLINK("https://inpn.mnhn.fr/espece/cd_nom/243214","Leptacinus pusillus (Stephens, 1833)")</f>
        <v>Leptacinus pusillus (Stephens, 1833)</v>
      </c>
      <c r="AH13786" s="4" t="str">
        <f>HYPERLINK("#Statut_biogéographique!A"&amp;_xlfn.XMATCH("P",Statut_biogéographique!A:A,2,1),"P")</f>
        <v>P</v>
      </c>
      <c r="AP13786" s="4" t="s">
        <v>376</v>
      </c>
      <c r="AR13786" s="4" t="s">
        <v>377</v>
      </c>
    </row>
    <row r="13787" spans="1:44">
      <c r="A13787" s="4" t="s">
        <v>10753</v>
      </c>
      <c r="B13787" s="4">
        <v>243218</v>
      </c>
      <c r="D13787" s="5" t="s">
        <v>16463</v>
      </c>
      <c r="E13787" s="6" t="str">
        <f>HYPERLINK("https://inpn.mnhn.fr/espece/cd_nom/243218","Hypnogyra angularis (Ganglbauer, 1895)")</f>
        <v>Hypnogyra angularis (Ganglbauer, 1895)</v>
      </c>
      <c r="AH13787" s="4" t="str">
        <f>HYPERLINK("#Statut_biogéographique!A"&amp;_xlfn.XMATCH("P",Statut_biogéographique!A:A,2,1),"P")</f>
        <v>P</v>
      </c>
      <c r="AP13787" s="4" t="s">
        <v>376</v>
      </c>
      <c r="AR13787" s="4" t="s">
        <v>377</v>
      </c>
    </row>
    <row r="13788" spans="1:44">
      <c r="A13788" s="4" t="s">
        <v>10753</v>
      </c>
      <c r="B13788" s="4">
        <v>243219</v>
      </c>
      <c r="D13788" s="5" t="s">
        <v>16464</v>
      </c>
      <c r="E13788" s="6" t="str">
        <f>HYPERLINK("https://inpn.mnhn.fr/espece/cd_nom/243219","Gyrohypnus angustatus Stephens, 1833")</f>
        <v>Gyrohypnus angustatus Stephens, 1833</v>
      </c>
      <c r="AH13788" s="4" t="str">
        <f>HYPERLINK("#Statut_biogéographique!A"&amp;_xlfn.XMATCH("P",Statut_biogéographique!A:A,2,1),"P")</f>
        <v>P</v>
      </c>
      <c r="AP13788" s="4" t="s">
        <v>376</v>
      </c>
      <c r="AR13788" s="4" t="s">
        <v>377</v>
      </c>
    </row>
    <row r="13789" spans="1:44">
      <c r="A13789" s="4" t="s">
        <v>10753</v>
      </c>
      <c r="B13789" s="4">
        <v>243220</v>
      </c>
      <c r="D13789" s="5" t="s">
        <v>16465</v>
      </c>
      <c r="E13789" s="6" t="str">
        <f>HYPERLINK("https://inpn.mnhn.fr/espece/cd_nom/243220","Gyrohypnus atratus (Heer, 1839)")</f>
        <v>Gyrohypnus atratus (Heer, 1839)</v>
      </c>
      <c r="AH13789" s="4" t="str">
        <f>HYPERLINK("#Statut_biogéographique!A"&amp;_xlfn.XMATCH("P",Statut_biogéographique!A:A,2,1),"P")</f>
        <v>P</v>
      </c>
      <c r="AP13789" s="4" t="s">
        <v>376</v>
      </c>
      <c r="AR13789" s="4" t="s">
        <v>377</v>
      </c>
    </row>
    <row r="13790" spans="1:44" ht="30">
      <c r="A13790" s="4" t="s">
        <v>10753</v>
      </c>
      <c r="B13790" s="4">
        <v>243221</v>
      </c>
      <c r="D13790" s="5" t="s">
        <v>16466</v>
      </c>
      <c r="E13790" s="6" t="str">
        <f>HYPERLINK("https://inpn.mnhn.fr/espece/cd_nom/243221","Gyrohypnus fracticornis (O. Müller, 1776)")</f>
        <v>Gyrohypnus fracticornis (O. Müller, 1776)</v>
      </c>
      <c r="F13790" s="5" t="s">
        <v>16467</v>
      </c>
      <c r="AH13790" s="4" t="str">
        <f>HYPERLINK("#Statut_biogéographique!A"&amp;_xlfn.XMATCH("P",Statut_biogéographique!A:A,2,1),"P")</f>
        <v>P</v>
      </c>
      <c r="AP13790" s="4" t="s">
        <v>376</v>
      </c>
      <c r="AR13790" s="4" t="s">
        <v>377</v>
      </c>
    </row>
    <row r="13791" spans="1:44">
      <c r="A13791" s="4" t="s">
        <v>10753</v>
      </c>
      <c r="B13791" s="4">
        <v>243224</v>
      </c>
      <c r="D13791" s="5" t="s">
        <v>16468</v>
      </c>
      <c r="E13791" s="6" t="str">
        <f>HYPERLINK("https://inpn.mnhn.fr/espece/cd_nom/243224","Gauropterus fulgidus (Fabricius, 1787)")</f>
        <v>Gauropterus fulgidus (Fabricius, 1787)</v>
      </c>
      <c r="AH13791" s="4" t="str">
        <f>HYPERLINK("#Statut_biogéographique!A"&amp;_xlfn.XMATCH("P",Statut_biogéographique!A:A,2,1),"P")</f>
        <v>P</v>
      </c>
      <c r="AP13791" s="4" t="s">
        <v>376</v>
      </c>
      <c r="AR13791" s="4" t="s">
        <v>377</v>
      </c>
    </row>
    <row r="13792" spans="1:44">
      <c r="A13792" s="4" t="s">
        <v>10753</v>
      </c>
      <c r="B13792" s="4">
        <v>24323</v>
      </c>
      <c r="D13792" s="5" t="s">
        <v>16469</v>
      </c>
      <c r="E13792" s="6" t="str">
        <f>HYPERLINK("https://inpn.mnhn.fr/espece/cd_nom/24323","Sphaerophoria taeniata (Meigen, 1822)")</f>
        <v>Sphaerophoria taeniata (Meigen, 1822)</v>
      </c>
      <c r="P13792" s="7" t="str">
        <f>HYPERLINK("#Liste_rouge!A"&amp;_xlfn.XMATCH("LC",Liste_rouge!A:A,2,1),"LC")</f>
        <v>LC</v>
      </c>
      <c r="AH13792" s="4" t="str">
        <f>HYPERLINK("#Statut_biogéographique!A"&amp;_xlfn.XMATCH("P",Statut_biogéographique!A:A,2,1),"P")</f>
        <v>P</v>
      </c>
      <c r="AP13792" s="4" t="s">
        <v>376</v>
      </c>
      <c r="AR13792" s="4" t="s">
        <v>377</v>
      </c>
    </row>
    <row r="13793" spans="1:44">
      <c r="A13793" s="4" t="s">
        <v>10753</v>
      </c>
      <c r="B13793" s="4">
        <v>24324</v>
      </c>
      <c r="D13793" s="5">
        <v>24324</v>
      </c>
      <c r="E13793" s="6" t="str">
        <f>HYPERLINK("https://inpn.mnhn.fr/espece/cd_nom/24324","Sphaerophoria virgata Goeldlin, 1974")</f>
        <v>Sphaerophoria virgata Goeldlin, 1974</v>
      </c>
      <c r="P13793" s="7" t="str">
        <f>HYPERLINK("#Liste_rouge!A"&amp;_xlfn.XMATCH("NT",Liste_rouge!A:A,2,1),"NT")</f>
        <v>NT</v>
      </c>
      <c r="AH13793" s="4" t="str">
        <f>HYPERLINK("#Statut_biogéographique!A"&amp;_xlfn.XMATCH("P",Statut_biogéographique!A:A,2,1),"P")</f>
        <v>P</v>
      </c>
      <c r="AP13793" s="4" t="s">
        <v>376</v>
      </c>
      <c r="AR13793" s="4" t="s">
        <v>377</v>
      </c>
    </row>
    <row r="13794" spans="1:44">
      <c r="A13794" s="4" t="s">
        <v>10753</v>
      </c>
      <c r="B13794" s="4">
        <v>243241</v>
      </c>
      <c r="D13794" s="5" t="s">
        <v>16470</v>
      </c>
      <c r="E13794" s="6" t="str">
        <f>HYPERLINK("https://inpn.mnhn.fr/espece/cd_nom/243241","Astenus lyonessius (Joy, 1908)")</f>
        <v>Astenus lyonessius (Joy, 1908)</v>
      </c>
      <c r="AH13794" s="4" t="str">
        <f>HYPERLINK("#Statut_biogéographique!A"&amp;_xlfn.XMATCH("P",Statut_biogéographique!A:A,2,1),"P")</f>
        <v>P</v>
      </c>
      <c r="AP13794" s="4" t="s">
        <v>376</v>
      </c>
      <c r="AR13794" s="4" t="s">
        <v>377</v>
      </c>
    </row>
    <row r="13795" spans="1:44">
      <c r="A13795" s="4" t="s">
        <v>10753</v>
      </c>
      <c r="B13795" s="4">
        <v>243250</v>
      </c>
      <c r="D13795" s="5" t="s">
        <v>16471</v>
      </c>
      <c r="E13795" s="6" t="str">
        <f>HYPERLINK("https://inpn.mnhn.fr/espece/cd_nom/243250","Ochthephilum fracticorne (Paykull, 1800)")</f>
        <v>Ochthephilum fracticorne (Paykull, 1800)</v>
      </c>
      <c r="AH13795" s="4" t="str">
        <f>HYPERLINK("#Statut_biogéographique!A"&amp;_xlfn.XMATCH("P",Statut_biogéographique!A:A,2,1),"P")</f>
        <v>P</v>
      </c>
      <c r="AP13795" s="4" t="s">
        <v>376</v>
      </c>
      <c r="AR13795" s="4" t="s">
        <v>377</v>
      </c>
    </row>
    <row r="13796" spans="1:44" ht="30">
      <c r="A13796" s="4" t="s">
        <v>10753</v>
      </c>
      <c r="B13796" s="4">
        <v>243257</v>
      </c>
      <c r="D13796" s="5" t="s">
        <v>16472</v>
      </c>
      <c r="E13796" s="6" t="str">
        <f>HYPERLINK("https://inpn.mnhn.fr/espece/cd_nom/243257","Tetartopeus terminatus (Gravenhorst, 1802)")</f>
        <v>Tetartopeus terminatus (Gravenhorst, 1802)</v>
      </c>
      <c r="AH13796" s="4" t="str">
        <f>HYPERLINK("#Statut_biogéographique!A"&amp;_xlfn.XMATCH("P",Statut_biogéographique!A:A,2,1),"P")</f>
        <v>P</v>
      </c>
      <c r="AP13796" s="4" t="s">
        <v>376</v>
      </c>
      <c r="AR13796" s="4" t="s">
        <v>377</v>
      </c>
    </row>
    <row r="13797" spans="1:44">
      <c r="A13797" s="4" t="s">
        <v>10753</v>
      </c>
      <c r="B13797" s="4">
        <v>24326</v>
      </c>
      <c r="D13797" s="5" t="s">
        <v>16473</v>
      </c>
      <c r="E13797" s="6" t="str">
        <f>HYPERLINK("https://inpn.mnhn.fr/espece/cd_nom/24326","Xanthandrus comtus (Harris, 1780)")</f>
        <v>Xanthandrus comtus (Harris, 1780)</v>
      </c>
      <c r="P13797" s="7" t="str">
        <f>HYPERLINK("#Liste_rouge!A"&amp;_xlfn.XMATCH("LC",Liste_rouge!A:A,2,1),"LC")</f>
        <v>LC</v>
      </c>
      <c r="AH13797" s="4" t="str">
        <f>HYPERLINK("#Statut_biogéographique!A"&amp;_xlfn.XMATCH("P",Statut_biogéographique!A:A,2,1),"P")</f>
        <v>P</v>
      </c>
      <c r="AP13797" s="4" t="s">
        <v>376</v>
      </c>
      <c r="AR13797" s="4" t="s">
        <v>377</v>
      </c>
    </row>
    <row r="13798" spans="1:44" ht="45">
      <c r="A13798" s="4" t="s">
        <v>10753</v>
      </c>
      <c r="B13798" s="4">
        <v>243272</v>
      </c>
      <c r="D13798" s="5" t="s">
        <v>16474</v>
      </c>
      <c r="E13798" s="6" t="str">
        <f>HYPERLINK("https://inpn.mnhn.fr/espece/cd_nom/243272","Lobrathium multipunctum (Gravenhorst, 1802)")</f>
        <v>Lobrathium multipunctum (Gravenhorst, 1802)</v>
      </c>
      <c r="AH13798" s="4" t="str">
        <f>HYPERLINK("#Statut_biogéographique!A"&amp;_xlfn.XMATCH("P",Statut_biogéographique!A:A,2,1),"P")</f>
        <v>P</v>
      </c>
      <c r="AP13798" s="4" t="s">
        <v>376</v>
      </c>
      <c r="AR13798" s="4" t="s">
        <v>377</v>
      </c>
    </row>
    <row r="13799" spans="1:44" ht="30">
      <c r="A13799" s="4" t="s">
        <v>10753</v>
      </c>
      <c r="B13799" s="4">
        <v>243275</v>
      </c>
      <c r="D13799" s="5" t="s">
        <v>16475</v>
      </c>
      <c r="E13799" s="6" t="str">
        <f>HYPERLINK("https://inpn.mnhn.fr/espece/cd_nom/243275","Lathrobium brunnipes (Fabricius, 1792)")</f>
        <v>Lathrobium brunnipes (Fabricius, 1792)</v>
      </c>
      <c r="F13799" s="5" t="s">
        <v>16476</v>
      </c>
      <c r="AH13799" s="4" t="str">
        <f>HYPERLINK("#Statut_biogéographique!A"&amp;_xlfn.XMATCH("P",Statut_biogéographique!A:A,2,1),"P")</f>
        <v>P</v>
      </c>
      <c r="AP13799" s="4" t="s">
        <v>376</v>
      </c>
      <c r="AR13799" s="4" t="s">
        <v>377</v>
      </c>
    </row>
    <row r="13800" spans="1:44" ht="30">
      <c r="A13800" s="4" t="s">
        <v>10753</v>
      </c>
      <c r="B13800" s="4">
        <v>243279</v>
      </c>
      <c r="D13800" s="5" t="s">
        <v>16477</v>
      </c>
      <c r="E13800" s="6" t="str">
        <f>HYPERLINK("https://inpn.mnhn.fr/espece/cd_nom/243279","Lathrobium elongatum (Linnaeus, 1767)")</f>
        <v>Lathrobium elongatum (Linnaeus, 1767)</v>
      </c>
      <c r="AH13800" s="4" t="str">
        <f>HYPERLINK("#Statut_biogéographique!A"&amp;_xlfn.XMATCH("P",Statut_biogéographique!A:A,2,1),"P")</f>
        <v>P</v>
      </c>
      <c r="AP13800" s="4" t="s">
        <v>376</v>
      </c>
      <c r="AR13800" s="4" t="s">
        <v>377</v>
      </c>
    </row>
    <row r="13801" spans="1:44">
      <c r="A13801" s="4" t="s">
        <v>10753</v>
      </c>
      <c r="B13801" s="4">
        <v>243280</v>
      </c>
      <c r="D13801" s="5" t="s">
        <v>16478</v>
      </c>
      <c r="E13801" s="6" t="str">
        <f>HYPERLINK("https://inpn.mnhn.fr/espece/cd_nom/243280","Lathrobium fovulum Stephens, 1833")</f>
        <v>Lathrobium fovulum Stephens, 1833</v>
      </c>
      <c r="AH13801" s="4" t="str">
        <f>HYPERLINK("#Statut_biogéographique!A"&amp;_xlfn.XMATCH("P",Statut_biogéographique!A:A,2,1),"P")</f>
        <v>P</v>
      </c>
      <c r="AP13801" s="4" t="s">
        <v>376</v>
      </c>
      <c r="AR13801" s="4" t="s">
        <v>377</v>
      </c>
    </row>
    <row r="13802" spans="1:44" ht="30">
      <c r="A13802" s="4" t="s">
        <v>10753</v>
      </c>
      <c r="B13802" s="4">
        <v>243281</v>
      </c>
      <c r="D13802" s="5" t="s">
        <v>16479</v>
      </c>
      <c r="E13802" s="6" t="str">
        <f>HYPERLINK("https://inpn.mnhn.fr/espece/cd_nom/243281","Lathrobium fulvipenne (Gravenhorst, 1806)")</f>
        <v>Lathrobium fulvipenne (Gravenhorst, 1806)</v>
      </c>
      <c r="AH13802" s="4" t="str">
        <f>HYPERLINK("#Statut_biogéographique!A"&amp;_xlfn.XMATCH("P",Statut_biogéographique!A:A,2,1),"P")</f>
        <v>P</v>
      </c>
      <c r="AP13802" s="4" t="s">
        <v>376</v>
      </c>
      <c r="AR13802" s="4" t="s">
        <v>377</v>
      </c>
    </row>
    <row r="13803" spans="1:44" ht="30">
      <c r="A13803" s="4" t="s">
        <v>10753</v>
      </c>
      <c r="B13803" s="4">
        <v>243283</v>
      </c>
      <c r="D13803" s="5" t="s">
        <v>16480</v>
      </c>
      <c r="E13803" s="6" t="str">
        <f>HYPERLINK("https://inpn.mnhn.fr/espece/cd_nom/243283","Lathrobium impressum Heer, 1841")</f>
        <v>Lathrobium impressum Heer, 1841</v>
      </c>
      <c r="AH13803" s="4" t="str">
        <f>HYPERLINK("#Statut_biogéographique!A"&amp;_xlfn.XMATCH("P",Statut_biogéographique!A:A,2,1),"P")</f>
        <v>P</v>
      </c>
      <c r="AP13803" s="4" t="s">
        <v>376</v>
      </c>
      <c r="AR13803" s="4" t="s">
        <v>377</v>
      </c>
    </row>
    <row r="13804" spans="1:44" ht="30">
      <c r="A13804" s="4" t="s">
        <v>10753</v>
      </c>
      <c r="B13804" s="4">
        <v>24329</v>
      </c>
      <c r="D13804" s="5" t="s">
        <v>16481</v>
      </c>
      <c r="E13804" s="6" t="str">
        <f>HYPERLINK("https://inpn.mnhn.fr/espece/cd_nom/24329","Xanthogramma citrofasciatum (De Geer, 1776)")</f>
        <v>Xanthogramma citrofasciatum (De Geer, 1776)</v>
      </c>
      <c r="P13804" s="7" t="str">
        <f>HYPERLINK("#Liste_rouge!A"&amp;_xlfn.XMATCH("LC",Liste_rouge!A:A,2,1),"LC")</f>
        <v>LC</v>
      </c>
      <c r="AH13804" s="4" t="str">
        <f>HYPERLINK("#Statut_biogéographique!A"&amp;_xlfn.XMATCH("P",Statut_biogéographique!A:A,2,1),"P")</f>
        <v>P</v>
      </c>
      <c r="AP13804" s="4" t="s">
        <v>376</v>
      </c>
      <c r="AR13804" s="4" t="s">
        <v>377</v>
      </c>
    </row>
    <row r="13805" spans="1:44">
      <c r="A13805" s="4" t="s">
        <v>10753</v>
      </c>
      <c r="B13805" s="4">
        <v>243300</v>
      </c>
      <c r="D13805" s="5" t="s">
        <v>16482</v>
      </c>
      <c r="E13805" s="6" t="str">
        <f>HYPERLINK("https://inpn.mnhn.fr/espece/cd_nom/243300","Sunius bicolor (Olivier, 1795)")</f>
        <v>Sunius bicolor (Olivier, 1795)</v>
      </c>
      <c r="AH13805" s="4" t="str">
        <f>HYPERLINK("#Statut_biogéographique!A"&amp;_xlfn.XMATCH("P",Statut_biogéographique!A:A,2,1),"P")</f>
        <v>P</v>
      </c>
      <c r="AP13805" s="4" t="s">
        <v>376</v>
      </c>
      <c r="AR13805" s="4" t="s">
        <v>377</v>
      </c>
    </row>
    <row r="13806" spans="1:44" ht="30">
      <c r="A13806" s="4" t="s">
        <v>10753</v>
      </c>
      <c r="B13806" s="4">
        <v>243305</v>
      </c>
      <c r="D13806" s="5" t="s">
        <v>16483</v>
      </c>
      <c r="E13806" s="6" t="str">
        <f>HYPERLINK("https://inpn.mnhn.fr/espece/cd_nom/243305","Sunius melanocephalus (Fabricius, 1792)")</f>
        <v>Sunius melanocephalus (Fabricius, 1792)</v>
      </c>
      <c r="AH13806" s="4" t="str">
        <f>HYPERLINK("#Statut_biogéographique!A"&amp;_xlfn.XMATCH("P",Statut_biogéographique!A:A,2,1),"P")</f>
        <v>P</v>
      </c>
      <c r="AP13806" s="4" t="s">
        <v>376</v>
      </c>
      <c r="AR13806" s="4" t="s">
        <v>377</v>
      </c>
    </row>
    <row r="13807" spans="1:44" ht="30">
      <c r="A13807" s="4" t="s">
        <v>10753</v>
      </c>
      <c r="B13807" s="4">
        <v>243306</v>
      </c>
      <c r="D13807" s="5" t="s">
        <v>16484</v>
      </c>
      <c r="E13807" s="6" t="str">
        <f>HYPERLINK("https://inpn.mnhn.fr/espece/cd_nom/243306","Sunius propinquus (C. Brisout de Barneville, 1867)")</f>
        <v>Sunius propinquus (C. Brisout de Barneville, 1867)</v>
      </c>
      <c r="AH13807" s="4" t="str">
        <f>HYPERLINK("#Statut_biogéographique!A"&amp;_xlfn.XMATCH("P",Statut_biogéographique!A:A,2,1),"P")</f>
        <v>P</v>
      </c>
      <c r="AP13807" s="4" t="s">
        <v>376</v>
      </c>
      <c r="AR13807" s="4" t="s">
        <v>377</v>
      </c>
    </row>
    <row r="13808" spans="1:44">
      <c r="A13808" s="4" t="s">
        <v>10753</v>
      </c>
      <c r="B13808" s="4">
        <v>24331</v>
      </c>
      <c r="D13808" s="5" t="s">
        <v>16485</v>
      </c>
      <c r="E13808" s="6" t="str">
        <f>HYPERLINK("https://inpn.mnhn.fr/espece/cd_nom/24331","Xanthogramma pedissequum (Harris, 1778)")</f>
        <v>Xanthogramma pedissequum (Harris, 1778)</v>
      </c>
      <c r="P13808" s="7" t="str">
        <f>HYPERLINK("#Liste_rouge!A"&amp;_xlfn.XMATCH("LC",Liste_rouge!A:A,2,1),"LC")</f>
        <v>LC</v>
      </c>
      <c r="AH13808" s="4" t="str">
        <f>HYPERLINK("#Statut_biogéographique!A"&amp;_xlfn.XMATCH("P",Statut_biogéographique!A:A,2,1),"P")</f>
        <v>P</v>
      </c>
      <c r="AP13808" s="4" t="s">
        <v>376</v>
      </c>
      <c r="AR13808" s="4" t="s">
        <v>377</v>
      </c>
    </row>
    <row r="13809" spans="1:44">
      <c r="A13809" s="4" t="s">
        <v>10753</v>
      </c>
      <c r="B13809" s="4">
        <v>243311</v>
      </c>
      <c r="D13809" s="5" t="s">
        <v>16486</v>
      </c>
      <c r="E13809" s="6" t="str">
        <f>HYPERLINK("https://inpn.mnhn.fr/espece/cd_nom/243311","Pseudomedon obscurellus (Erichson, 1840)")</f>
        <v>Pseudomedon obscurellus (Erichson, 1840)</v>
      </c>
      <c r="AH13809" s="4" t="str">
        <f>HYPERLINK("#Statut_biogéographique!A"&amp;_xlfn.XMATCH("P",Statut_biogéographique!A:A,2,1),"P")</f>
        <v>P</v>
      </c>
      <c r="AP13809" s="4" t="s">
        <v>376</v>
      </c>
      <c r="AR13809" s="4" t="s">
        <v>377</v>
      </c>
    </row>
    <row r="13810" spans="1:44">
      <c r="A13810" s="4" t="s">
        <v>10753</v>
      </c>
      <c r="B13810" s="4">
        <v>243318</v>
      </c>
      <c r="D13810" s="5" t="s">
        <v>16487</v>
      </c>
      <c r="E13810" s="6" t="str">
        <f>HYPERLINK("https://inpn.mnhn.fr/espece/cd_nom/243318","Medon cauchoisi Jarrige, 1949")</f>
        <v>Medon cauchoisi Jarrige, 1949</v>
      </c>
      <c r="AH13810" s="4" t="str">
        <f>HYPERLINK("#Statut_biogéographique!A"&amp;_xlfn.XMATCH("P",Statut_biogéographique!A:A,2,1),"P")</f>
        <v>P</v>
      </c>
      <c r="AP13810" s="4" t="s">
        <v>376</v>
      </c>
      <c r="AR13810" s="4" t="s">
        <v>377</v>
      </c>
    </row>
    <row r="13811" spans="1:44" ht="30">
      <c r="A13811" s="4" t="s">
        <v>10753</v>
      </c>
      <c r="B13811" s="4">
        <v>243329</v>
      </c>
      <c r="D13811" s="5" t="s">
        <v>16488</v>
      </c>
      <c r="E13811" s="6" t="str">
        <f>HYPERLINK("https://inpn.mnhn.fr/espece/cd_nom/243329","Lithocharis ochracea (Gravenhorst, 1802)")</f>
        <v>Lithocharis ochracea (Gravenhorst, 1802)</v>
      </c>
      <c r="AH13811" s="4" t="str">
        <f>HYPERLINK("#Statut_biogéographique!A"&amp;_xlfn.XMATCH("P",Statut_biogéographique!A:A,2,1),"P")</f>
        <v>P</v>
      </c>
      <c r="AP13811" s="4" t="s">
        <v>376</v>
      </c>
      <c r="AR13811" s="4" t="s">
        <v>377</v>
      </c>
    </row>
    <row r="13812" spans="1:44">
      <c r="A13812" s="4" t="s">
        <v>10753</v>
      </c>
      <c r="B13812" s="4">
        <v>243331</v>
      </c>
      <c r="D13812" s="5" t="s">
        <v>16489</v>
      </c>
      <c r="E13812" s="6" t="str">
        <f>HYPERLINK("https://inpn.mnhn.fr/espece/cd_nom/243331","Paederus balcanicus Koch, 1938")</f>
        <v>Paederus balcanicus Koch, 1938</v>
      </c>
      <c r="AH13812" s="4" t="str">
        <f>HYPERLINK("#Statut_biogéographique!A"&amp;_xlfn.XMATCH("P",Statut_biogéographique!A:A,2,1),"P")</f>
        <v>P</v>
      </c>
      <c r="AP13812" s="4" t="s">
        <v>376</v>
      </c>
      <c r="AR13812" s="4" t="s">
        <v>377</v>
      </c>
    </row>
    <row r="13813" spans="1:44">
      <c r="A13813" s="4" t="s">
        <v>10753</v>
      </c>
      <c r="B13813" s="4">
        <v>243332</v>
      </c>
      <c r="D13813" s="5" t="s">
        <v>16490</v>
      </c>
      <c r="E13813" s="6" t="str">
        <f>HYPERLINK("https://inpn.mnhn.fr/espece/cd_nom/243332","Paederus caligatus Erichson, 1840")</f>
        <v>Paederus caligatus Erichson, 1840</v>
      </c>
      <c r="AH13813" s="4" t="str">
        <f>HYPERLINK("#Statut_biogéographique!A"&amp;_xlfn.XMATCH("P",Statut_biogéographique!A:A,2,1),"P")</f>
        <v>P</v>
      </c>
      <c r="AP13813" s="4" t="s">
        <v>376</v>
      </c>
      <c r="AR13813" s="4" t="s">
        <v>377</v>
      </c>
    </row>
    <row r="13814" spans="1:44">
      <c r="A13814" s="4" t="s">
        <v>10753</v>
      </c>
      <c r="B13814" s="4">
        <v>243334</v>
      </c>
      <c r="D13814" s="5" t="s">
        <v>16491</v>
      </c>
      <c r="E13814" s="6" t="str">
        <f>HYPERLINK("https://inpn.mnhn.fr/espece/cd_nom/243334","Paederus brevipennis Lacordaire, 1835")</f>
        <v>Paederus brevipennis Lacordaire, 1835</v>
      </c>
      <c r="AH13814" s="4" t="str">
        <f>HYPERLINK("#Statut_biogéographique!A"&amp;_xlfn.XMATCH("P",Statut_biogéographique!A:A,2,1),"P")</f>
        <v>P</v>
      </c>
      <c r="AP13814" s="4" t="s">
        <v>376</v>
      </c>
      <c r="AR13814" s="4" t="s">
        <v>377</v>
      </c>
    </row>
    <row r="13815" spans="1:44">
      <c r="A13815" s="4" t="s">
        <v>10753</v>
      </c>
      <c r="B13815" s="4">
        <v>243335</v>
      </c>
      <c r="D13815" s="5">
        <v>243335</v>
      </c>
      <c r="E13815" s="6" t="str">
        <f>HYPERLINK("https://inpn.mnhn.fr/espece/cd_nom/243335","Paederus littoralis Gravenhorst, 1802")</f>
        <v>Paederus littoralis Gravenhorst, 1802</v>
      </c>
      <c r="AH13815" s="4" t="str">
        <f>HYPERLINK("#Statut_biogéographique!A"&amp;_xlfn.XMATCH("P",Statut_biogéographique!A:A,2,1),"P")</f>
        <v>P</v>
      </c>
      <c r="AP13815" s="4" t="s">
        <v>376</v>
      </c>
      <c r="AR13815" s="4" t="s">
        <v>377</v>
      </c>
    </row>
    <row r="13816" spans="1:44" ht="60">
      <c r="A13816" s="4" t="s">
        <v>10753</v>
      </c>
      <c r="B13816" s="4">
        <v>243337</v>
      </c>
      <c r="D13816" s="5" t="s">
        <v>16492</v>
      </c>
      <c r="E13816" s="6" t="str">
        <f>HYPERLINK("https://inpn.mnhn.fr/espece/cd_nom/243337","Paederidus rubrothoracicus (Goeze, 1777)")</f>
        <v>Paederidus rubrothoracicus (Goeze, 1777)</v>
      </c>
      <c r="F13816" s="5" t="s">
        <v>16493</v>
      </c>
      <c r="AH13816" s="4" t="str">
        <f>HYPERLINK("#Statut_biogéographique!A"&amp;_xlfn.XMATCH("P",Statut_biogéographique!A:A,2,1),"P")</f>
        <v>P</v>
      </c>
      <c r="AP13816" s="4" t="s">
        <v>376</v>
      </c>
      <c r="AR13816" s="4" t="s">
        <v>377</v>
      </c>
    </row>
    <row r="13817" spans="1:44" ht="30">
      <c r="A13817" s="4" t="s">
        <v>10753</v>
      </c>
      <c r="B13817" s="4">
        <v>243338</v>
      </c>
      <c r="D13817" s="5" t="s">
        <v>16494</v>
      </c>
      <c r="E13817" s="6" t="str">
        <f>HYPERLINK("https://inpn.mnhn.fr/espece/cd_nom/243338","Paederidus ruficollis (Fabricius, 1777)")</f>
        <v>Paederidus ruficollis (Fabricius, 1777)</v>
      </c>
      <c r="F13817" s="5" t="s">
        <v>16495</v>
      </c>
      <c r="AH13817" s="4" t="str">
        <f>HYPERLINK("#Statut_biogéographique!A"&amp;_xlfn.XMATCH("P",Statut_biogéographique!A:A,2,1),"P")</f>
        <v>P</v>
      </c>
      <c r="AP13817" s="4" t="s">
        <v>376</v>
      </c>
      <c r="AR13817" s="4" t="s">
        <v>377</v>
      </c>
    </row>
    <row r="13818" spans="1:44">
      <c r="A13818" s="4" t="s">
        <v>10753</v>
      </c>
      <c r="B13818" s="4">
        <v>24334</v>
      </c>
      <c r="D13818" s="5">
        <v>24334</v>
      </c>
      <c r="E13818" s="6" t="str">
        <f>HYPERLINK("https://inpn.mnhn.fr/espece/cd_nom/24334","Cheilosia albipila Meigen, 1838")</f>
        <v>Cheilosia albipila Meigen, 1838</v>
      </c>
      <c r="P13818" s="7" t="str">
        <f>HYPERLINK("#Liste_rouge!A"&amp;_xlfn.XMATCH("LC",Liste_rouge!A:A,2,1),"LC")</f>
        <v>LC</v>
      </c>
      <c r="AH13818" s="4" t="str">
        <f>HYPERLINK("#Statut_biogéographique!A"&amp;_xlfn.XMATCH("P",Statut_biogéographique!A:A,2,1),"P")</f>
        <v>P</v>
      </c>
      <c r="AP13818" s="4" t="s">
        <v>376</v>
      </c>
      <c r="AR13818" s="4" t="s">
        <v>377</v>
      </c>
    </row>
    <row r="13819" spans="1:44">
      <c r="A13819" s="4" t="s">
        <v>10753</v>
      </c>
      <c r="B13819" s="4">
        <v>243347</v>
      </c>
      <c r="D13819" s="5" t="s">
        <v>16496</v>
      </c>
      <c r="E13819" s="6" t="str">
        <f>HYPERLINK("https://inpn.mnhn.fr/espece/cd_nom/243347","Scopaeus laevigatus (Gyllenhal, 1827)")</f>
        <v>Scopaeus laevigatus (Gyllenhal, 1827)</v>
      </c>
      <c r="AH13819" s="4" t="str">
        <f>HYPERLINK("#Statut_biogéographique!A"&amp;_xlfn.XMATCH("P",Statut_biogéographique!A:A,2,1),"P")</f>
        <v>P</v>
      </c>
      <c r="AP13819" s="4" t="s">
        <v>376</v>
      </c>
      <c r="AR13819" s="4" t="s">
        <v>377</v>
      </c>
    </row>
    <row r="13820" spans="1:44">
      <c r="A13820" s="4" t="s">
        <v>10753</v>
      </c>
      <c r="B13820" s="4">
        <v>24335</v>
      </c>
      <c r="D13820" s="5" t="s">
        <v>16497</v>
      </c>
      <c r="E13820" s="6" t="str">
        <f>HYPERLINK("https://inpn.mnhn.fr/espece/cd_nom/24335","Cheilosia albitarsis (Meigen, 1822)")</f>
        <v>Cheilosia albitarsis (Meigen, 1822)</v>
      </c>
      <c r="P13820" s="7" t="str">
        <f>HYPERLINK("#Liste_rouge!A"&amp;_xlfn.XMATCH("LC",Liste_rouge!A:A,2,1),"LC")</f>
        <v>LC</v>
      </c>
      <c r="AH13820" s="4" t="str">
        <f>HYPERLINK("#Statut_biogéographique!A"&amp;_xlfn.XMATCH("P",Statut_biogéographique!A:A,2,1),"P")</f>
        <v>P</v>
      </c>
      <c r="AP13820" s="4" t="s">
        <v>376</v>
      </c>
      <c r="AR13820" s="4" t="s">
        <v>377</v>
      </c>
    </row>
    <row r="13821" spans="1:44">
      <c r="A13821" s="4" t="s">
        <v>10753</v>
      </c>
      <c r="B13821" s="4">
        <v>243353</v>
      </c>
      <c r="D13821" s="5" t="s">
        <v>16498</v>
      </c>
      <c r="E13821" s="6" t="str">
        <f>HYPERLINK("https://inpn.mnhn.fr/espece/cd_nom/243353","Scopaeus minutus Erichson, 1840")</f>
        <v>Scopaeus minutus Erichson, 1840</v>
      </c>
      <c r="AH13821" s="4" t="str">
        <f>HYPERLINK("#Statut_biogéographique!A"&amp;_xlfn.XMATCH("I",Statut_biogéographique!A:A,2,1),"I")</f>
        <v>I</v>
      </c>
      <c r="AP13821" s="4" t="s">
        <v>376</v>
      </c>
      <c r="AR13821" s="4" t="s">
        <v>377</v>
      </c>
    </row>
    <row r="13822" spans="1:44">
      <c r="A13822" s="4" t="s">
        <v>10753</v>
      </c>
      <c r="B13822" s="4">
        <v>243359</v>
      </c>
      <c r="D13822" s="5" t="s">
        <v>16499</v>
      </c>
      <c r="E13822" s="6" t="str">
        <f>HYPERLINK("https://inpn.mnhn.fr/espece/cd_nom/243359","Scopaeus sulcicollis (Stephens, 1833)")</f>
        <v>Scopaeus sulcicollis (Stephens, 1833)</v>
      </c>
      <c r="AH13822" s="4" t="str">
        <f>HYPERLINK("#Statut_biogéographique!A"&amp;_xlfn.XMATCH("P",Statut_biogéographique!A:A,2,1),"P")</f>
        <v>P</v>
      </c>
      <c r="AP13822" s="4" t="s">
        <v>376</v>
      </c>
      <c r="AR13822" s="4" t="s">
        <v>377</v>
      </c>
    </row>
    <row r="13823" spans="1:44">
      <c r="A13823" s="4" t="s">
        <v>10753</v>
      </c>
      <c r="B13823" s="4">
        <v>24336</v>
      </c>
      <c r="D13823" s="5" t="s">
        <v>16500</v>
      </c>
      <c r="E13823" s="6" t="str">
        <f>HYPERLINK("https://inpn.mnhn.fr/espece/cd_nom/24336","Cheilosia antiqua (Meigen, 1822)")</f>
        <v>Cheilosia antiqua (Meigen, 1822)</v>
      </c>
      <c r="O13823" s="7" t="str">
        <f>HYPERLINK("#Liste_rouge!A"&amp;_xlfn.XMATCH("LC",Liste_rouge!A:A,2,1),"LC")</f>
        <v>LC</v>
      </c>
      <c r="P13823" s="7" t="str">
        <f>HYPERLINK("#Liste_rouge!A"&amp;_xlfn.XMATCH("LC",Liste_rouge!A:A,2,1),"LC")</f>
        <v>LC</v>
      </c>
      <c r="AH13823" s="4" t="str">
        <f>HYPERLINK("#Statut_biogéographique!A"&amp;_xlfn.XMATCH("P",Statut_biogéographique!A:A,2,1),"P")</f>
        <v>P</v>
      </c>
      <c r="AP13823" s="4" t="s">
        <v>376</v>
      </c>
      <c r="AR13823" s="4" t="s">
        <v>377</v>
      </c>
    </row>
    <row r="13824" spans="1:44">
      <c r="A13824" s="4" t="s">
        <v>10753</v>
      </c>
      <c r="B13824" s="4">
        <v>243361</v>
      </c>
      <c r="D13824" s="5" t="s">
        <v>16501</v>
      </c>
      <c r="E13824" s="6" t="str">
        <f>HYPERLINK("https://inpn.mnhn.fr/espece/cd_nom/243361","Rugilus angustatus (Geoffroy, 1785)")</f>
        <v>Rugilus angustatus (Geoffroy, 1785)</v>
      </c>
      <c r="F13824" s="5" t="s">
        <v>16502</v>
      </c>
      <c r="AH13824" s="4" t="str">
        <f>HYPERLINK("#Statut_biogéographique!A"&amp;_xlfn.XMATCH("P",Statut_biogéographique!A:A,2,1),"P")</f>
        <v>P</v>
      </c>
      <c r="AP13824" s="4" t="s">
        <v>376</v>
      </c>
      <c r="AR13824" s="4" t="s">
        <v>377</v>
      </c>
    </row>
    <row r="13825" spans="1:44">
      <c r="A13825" s="4" t="s">
        <v>10753</v>
      </c>
      <c r="B13825" s="4">
        <v>243362</v>
      </c>
      <c r="D13825" s="5" t="s">
        <v>16503</v>
      </c>
      <c r="E13825" s="6" t="str">
        <f>HYPERLINK("https://inpn.mnhn.fr/espece/cd_nom/243362","Rugilus erichsonii (Fauvel, 1867)")</f>
        <v>Rugilus erichsonii (Fauvel, 1867)</v>
      </c>
      <c r="AH13825" s="4" t="str">
        <f>HYPERLINK("#Statut_biogéographique!A"&amp;_xlfn.XMATCH("P",Statut_biogéographique!A:A,2,1),"P")</f>
        <v>P</v>
      </c>
      <c r="AP13825" s="4" t="s">
        <v>376</v>
      </c>
      <c r="AR13825" s="4" t="s">
        <v>377</v>
      </c>
    </row>
    <row r="13826" spans="1:44">
      <c r="A13826" s="4" t="s">
        <v>10753</v>
      </c>
      <c r="B13826" s="4">
        <v>243367</v>
      </c>
      <c r="D13826" s="5" t="s">
        <v>16504</v>
      </c>
      <c r="E13826" s="6" t="str">
        <f>HYPERLINK("https://inpn.mnhn.fr/espece/cd_nom/243367","Rugilus rufipes Germar, 1836")</f>
        <v>Rugilus rufipes Germar, 1836</v>
      </c>
      <c r="AH13826" s="4" t="str">
        <f>HYPERLINK("#Statut_biogéographique!A"&amp;_xlfn.XMATCH("P",Statut_biogéographique!A:A,2,1),"P")</f>
        <v>P</v>
      </c>
      <c r="AP13826" s="4" t="s">
        <v>376</v>
      </c>
      <c r="AR13826" s="4" t="s">
        <v>377</v>
      </c>
    </row>
    <row r="13827" spans="1:44">
      <c r="A13827" s="4" t="s">
        <v>10753</v>
      </c>
      <c r="B13827" s="4">
        <v>243368</v>
      </c>
      <c r="D13827" s="5" t="s">
        <v>16505</v>
      </c>
      <c r="E13827" s="6" t="str">
        <f>HYPERLINK("https://inpn.mnhn.fr/espece/cd_nom/243368","Rugilus similis (Erichson, 1839)")</f>
        <v>Rugilus similis (Erichson, 1839)</v>
      </c>
      <c r="AH13827" s="4" t="str">
        <f>HYPERLINK("#Statut_biogéographique!A"&amp;_xlfn.XMATCH("P",Statut_biogéographique!A:A,2,1),"P")</f>
        <v>P</v>
      </c>
      <c r="AP13827" s="4" t="s">
        <v>376</v>
      </c>
      <c r="AR13827" s="4" t="s">
        <v>377</v>
      </c>
    </row>
    <row r="13828" spans="1:44">
      <c r="A13828" s="4" t="s">
        <v>10753</v>
      </c>
      <c r="B13828" s="4">
        <v>24337</v>
      </c>
      <c r="D13828" s="5">
        <v>24337</v>
      </c>
      <c r="E13828" s="6" t="str">
        <f>HYPERLINK("https://inpn.mnhn.fr/espece/cd_nom/24337","Cheilosia barbata Loew, 1857")</f>
        <v>Cheilosia barbata Loew, 1857</v>
      </c>
      <c r="P13828" s="7" t="str">
        <f>HYPERLINK("#Liste_rouge!A"&amp;_xlfn.XMATCH("LC",Liste_rouge!A:A,2,1),"LC")</f>
        <v>LC</v>
      </c>
      <c r="AH13828" s="4" t="str">
        <f>HYPERLINK("#Statut_biogéographique!A"&amp;_xlfn.XMATCH("P",Statut_biogéographique!A:A,2,1),"P")</f>
        <v>P</v>
      </c>
      <c r="AP13828" s="4" t="s">
        <v>376</v>
      </c>
      <c r="AR13828" s="4" t="s">
        <v>377</v>
      </c>
    </row>
    <row r="13829" spans="1:44">
      <c r="A13829" s="4" t="s">
        <v>10753</v>
      </c>
      <c r="B13829" s="4">
        <v>24338</v>
      </c>
      <c r="D13829" s="5" t="s">
        <v>16506</v>
      </c>
      <c r="E13829" s="6" t="str">
        <f>HYPERLINK("https://inpn.mnhn.fr/espece/cd_nom/24338","Cheilosia bergenstammi Becker, 1894")</f>
        <v>Cheilosia bergenstammi Becker, 1894</v>
      </c>
      <c r="P13829" s="7" t="str">
        <f>HYPERLINK("#Liste_rouge!A"&amp;_xlfn.XMATCH("LC",Liste_rouge!A:A,2,1),"LC")</f>
        <v>LC</v>
      </c>
      <c r="AH13829" s="4" t="str">
        <f>HYPERLINK("#Statut_biogéographique!A"&amp;_xlfn.XMATCH("P",Statut_biogéographique!A:A,2,1),"P")</f>
        <v>P</v>
      </c>
      <c r="AP13829" s="4" t="s">
        <v>376</v>
      </c>
      <c r="AR13829" s="4" t="s">
        <v>377</v>
      </c>
    </row>
    <row r="13830" spans="1:44">
      <c r="A13830" s="4" t="s">
        <v>10753</v>
      </c>
      <c r="B13830" s="4">
        <v>24339</v>
      </c>
      <c r="D13830" s="5" t="s">
        <v>16507</v>
      </c>
      <c r="E13830" s="6" t="str">
        <f>HYPERLINK("https://inpn.mnhn.fr/espece/cd_nom/24339","Cheilosia caerulescens (Meigen, 1822)")</f>
        <v>Cheilosia caerulescens (Meigen, 1822)</v>
      </c>
      <c r="O13830" s="7" t="str">
        <f>HYPERLINK("#Liste_rouge!A"&amp;_xlfn.XMATCH("LC",Liste_rouge!A:A,2,1),"LC")</f>
        <v>LC</v>
      </c>
      <c r="P13830" s="7" t="str">
        <f>HYPERLINK("#Liste_rouge!A"&amp;_xlfn.XMATCH("LC",Liste_rouge!A:A,2,1),"LC")</f>
        <v>LC</v>
      </c>
      <c r="AH13830" s="4" t="str">
        <f>HYPERLINK("#Statut_biogéographique!A"&amp;_xlfn.XMATCH("P",Statut_biogéographique!A:A,2,1),"P")</f>
        <v>P</v>
      </c>
      <c r="AP13830" s="4" t="s">
        <v>376</v>
      </c>
      <c r="AR13830" s="4" t="s">
        <v>377</v>
      </c>
    </row>
    <row r="13831" spans="1:44">
      <c r="A13831" s="4" t="s">
        <v>10753</v>
      </c>
      <c r="B13831" s="4">
        <v>24340</v>
      </c>
      <c r="D13831" s="5" t="s">
        <v>16508</v>
      </c>
      <c r="E13831" s="6" t="str">
        <f>HYPERLINK("https://inpn.mnhn.fr/espece/cd_nom/24340","Cheilosia canicularis (Panzer, 1801)")</f>
        <v>Cheilosia canicularis (Panzer, 1801)</v>
      </c>
      <c r="P13831" s="7" t="str">
        <f>HYPERLINK("#Liste_rouge!A"&amp;_xlfn.XMATCH("LC",Liste_rouge!A:A,2,1),"LC")</f>
        <v>LC</v>
      </c>
      <c r="AH13831" s="4" t="str">
        <f>HYPERLINK("#Statut_biogéographique!A"&amp;_xlfn.XMATCH("P",Statut_biogéographique!A:A,2,1),"P")</f>
        <v>P</v>
      </c>
      <c r="AP13831" s="4" t="s">
        <v>376</v>
      </c>
      <c r="AR13831" s="4" t="s">
        <v>377</v>
      </c>
    </row>
    <row r="13832" spans="1:44">
      <c r="A13832" s="4" t="s">
        <v>10753</v>
      </c>
      <c r="B13832" s="4">
        <v>24341</v>
      </c>
      <c r="D13832" s="5">
        <v>24341</v>
      </c>
      <c r="E13832" s="6" t="str">
        <f>HYPERLINK("https://inpn.mnhn.fr/espece/cd_nom/24341","Cheilosia carbonaria Egger, 1860")</f>
        <v>Cheilosia carbonaria Egger, 1860</v>
      </c>
      <c r="P13832" s="7" t="str">
        <f>HYPERLINK("#Liste_rouge!A"&amp;_xlfn.XMATCH("LC",Liste_rouge!A:A,2,1),"LC")</f>
        <v>LC</v>
      </c>
      <c r="AH13832" s="4" t="str">
        <f>HYPERLINK("#Statut_biogéographique!A"&amp;_xlfn.XMATCH("P",Statut_biogéographique!A:A,2,1),"P")</f>
        <v>P</v>
      </c>
      <c r="AP13832" s="4" t="s">
        <v>376</v>
      </c>
      <c r="AR13832" s="4" t="s">
        <v>377</v>
      </c>
    </row>
    <row r="13833" spans="1:44">
      <c r="A13833" s="4" t="s">
        <v>10753</v>
      </c>
      <c r="B13833" s="4">
        <v>24342</v>
      </c>
      <c r="D13833" s="5" t="s">
        <v>16509</v>
      </c>
      <c r="E13833" s="6" t="str">
        <f>HYPERLINK("https://inpn.mnhn.fr/espece/cd_nom/24342","Cheilosia chlorus (Meigen, 1822)")</f>
        <v>Cheilosia chlorus (Meigen, 1822)</v>
      </c>
      <c r="P13833" s="7" t="str">
        <f>HYPERLINK("#Liste_rouge!A"&amp;_xlfn.XMATCH("LC",Liste_rouge!A:A,2,1),"LC")</f>
        <v>LC</v>
      </c>
      <c r="AH13833" s="4" t="str">
        <f>HYPERLINK("#Statut_biogéographique!A"&amp;_xlfn.XMATCH("P",Statut_biogéographique!A:A,2,1),"P")</f>
        <v>P</v>
      </c>
      <c r="AP13833" s="4" t="s">
        <v>376</v>
      </c>
      <c r="AR13833" s="4" t="s">
        <v>377</v>
      </c>
    </row>
    <row r="13834" spans="1:44">
      <c r="A13834" s="4" t="s">
        <v>10753</v>
      </c>
      <c r="B13834" s="4">
        <v>24343</v>
      </c>
      <c r="D13834" s="5" t="s">
        <v>16510</v>
      </c>
      <c r="E13834" s="6" t="str">
        <f>HYPERLINK("https://inpn.mnhn.fr/espece/cd_nom/24343","Cheilosia chrysocoma (Meigen, 1822)")</f>
        <v>Cheilosia chrysocoma (Meigen, 1822)</v>
      </c>
      <c r="P13834" s="7" t="str">
        <f>HYPERLINK("#Liste_rouge!A"&amp;_xlfn.XMATCH("LC",Liste_rouge!A:A,2,1),"LC")</f>
        <v>LC</v>
      </c>
      <c r="AH13834" s="4" t="str">
        <f>HYPERLINK("#Statut_biogéographique!A"&amp;_xlfn.XMATCH("P",Statut_biogéographique!A:A,2,1),"P")</f>
        <v>P</v>
      </c>
      <c r="AP13834" s="4" t="s">
        <v>376</v>
      </c>
      <c r="AR13834" s="4" t="s">
        <v>377</v>
      </c>
    </row>
    <row r="13835" spans="1:44">
      <c r="A13835" s="4" t="s">
        <v>10753</v>
      </c>
      <c r="B13835" s="4">
        <v>24344</v>
      </c>
      <c r="D13835" s="5">
        <v>24344</v>
      </c>
      <c r="E13835" s="6" t="str">
        <f>HYPERLINK("https://inpn.mnhn.fr/espece/cd_nom/24344","Cheilosia cynocephala Loew, 1840")</f>
        <v>Cheilosia cynocephala Loew, 1840</v>
      </c>
      <c r="O13835" s="7" t="str">
        <f>HYPERLINK("#Liste_rouge!A"&amp;_xlfn.XMATCH("LC",Liste_rouge!A:A,2,1),"LC")</f>
        <v>LC</v>
      </c>
      <c r="P13835" s="7" t="str">
        <f>HYPERLINK("#Liste_rouge!A"&amp;_xlfn.XMATCH("LC",Liste_rouge!A:A,2,1),"LC")</f>
        <v>LC</v>
      </c>
      <c r="AH13835" s="4" t="str">
        <f>HYPERLINK("#Statut_biogéographique!A"&amp;_xlfn.XMATCH("P",Statut_biogéographique!A:A,2,1),"P")</f>
        <v>P</v>
      </c>
      <c r="AP13835" s="4" t="s">
        <v>376</v>
      </c>
      <c r="AR13835" s="4" t="s">
        <v>377</v>
      </c>
    </row>
    <row r="13836" spans="1:44">
      <c r="A13836" s="4" t="s">
        <v>10753</v>
      </c>
      <c r="B13836" s="4">
        <v>24345</v>
      </c>
      <c r="D13836" s="5">
        <v>24345</v>
      </c>
      <c r="E13836" s="6" t="str">
        <f>HYPERLINK("https://inpn.mnhn.fr/espece/cd_nom/24345","Cheilosia fasciata Schiner &amp; Egger, 1853")</f>
        <v>Cheilosia fasciata Schiner &amp; Egger, 1853</v>
      </c>
      <c r="O13836" s="7" t="str">
        <f>HYPERLINK("#Liste_rouge!A"&amp;_xlfn.XMATCH("LC",Liste_rouge!A:A,2,1),"LC")</f>
        <v>LC</v>
      </c>
      <c r="P13836" s="7" t="str">
        <f>HYPERLINK("#Liste_rouge!A"&amp;_xlfn.XMATCH("LC",Liste_rouge!A:A,2,1),"LC")</f>
        <v>LC</v>
      </c>
      <c r="AH13836" s="4" t="str">
        <f>HYPERLINK("#Statut_biogéographique!A"&amp;_xlfn.XMATCH("P",Statut_biogéographique!A:A,2,1),"P")</f>
        <v>P</v>
      </c>
      <c r="AP13836" s="4" t="s">
        <v>376</v>
      </c>
      <c r="AR13836" s="4" t="s">
        <v>377</v>
      </c>
    </row>
    <row r="13837" spans="1:44">
      <c r="A13837" s="4" t="s">
        <v>10753</v>
      </c>
      <c r="B13837" s="4">
        <v>24348</v>
      </c>
      <c r="D13837" s="5" t="s">
        <v>16511</v>
      </c>
      <c r="E13837" s="6" t="str">
        <f>HYPERLINK("https://inpn.mnhn.fr/espece/cd_nom/24348","Cheilosia flavipes (Panzer, 1798)")</f>
        <v>Cheilosia flavipes (Panzer, 1798)</v>
      </c>
      <c r="P13837" s="7" t="str">
        <f>HYPERLINK("#Liste_rouge!A"&amp;_xlfn.XMATCH("LC",Liste_rouge!A:A,2,1),"LC")</f>
        <v>LC</v>
      </c>
      <c r="AH13837" s="4" t="str">
        <f>HYPERLINK("#Statut_biogéographique!A"&amp;_xlfn.XMATCH("P",Statut_biogéographique!A:A,2,1),"P")</f>
        <v>P</v>
      </c>
      <c r="AP13837" s="4" t="s">
        <v>376</v>
      </c>
      <c r="AR13837" s="4" t="s">
        <v>377</v>
      </c>
    </row>
    <row r="13838" spans="1:44">
      <c r="A13838" s="4" t="s">
        <v>10753</v>
      </c>
      <c r="B13838" s="4">
        <v>24349</v>
      </c>
      <c r="D13838" s="5" t="s">
        <v>16512</v>
      </c>
      <c r="E13838" s="6" t="str">
        <f>HYPERLINK("https://inpn.mnhn.fr/espece/cd_nom/24349","Cheilosia fraterna (Meigen, 1830)")</f>
        <v>Cheilosia fraterna (Meigen, 1830)</v>
      </c>
      <c r="P13838" s="7" t="str">
        <f>HYPERLINK("#Liste_rouge!A"&amp;_xlfn.XMATCH("LC",Liste_rouge!A:A,2,1),"LC")</f>
        <v>LC</v>
      </c>
      <c r="AH13838" s="4" t="str">
        <f>HYPERLINK("#Statut_biogéographique!A"&amp;_xlfn.XMATCH("P",Statut_biogéographique!A:A,2,1),"P")</f>
        <v>P</v>
      </c>
      <c r="AP13838" s="4" t="s">
        <v>376</v>
      </c>
      <c r="AR13838" s="4" t="s">
        <v>377</v>
      </c>
    </row>
    <row r="13839" spans="1:44">
      <c r="A13839" s="4" t="s">
        <v>10753</v>
      </c>
      <c r="B13839" s="4">
        <v>24350</v>
      </c>
      <c r="D13839" s="5">
        <v>24350</v>
      </c>
      <c r="E13839" s="6" t="str">
        <f>HYPERLINK("https://inpn.mnhn.fr/espece/cd_nom/24350","Cheilosia frontalis Loew, 1857")</f>
        <v>Cheilosia frontalis Loew, 1857</v>
      </c>
      <c r="O13839" s="7" t="str">
        <f>HYPERLINK("#Liste_rouge!A"&amp;_xlfn.XMATCH("LC",Liste_rouge!A:A,2,1),"LC")</f>
        <v>LC</v>
      </c>
      <c r="P13839" s="7" t="str">
        <f>HYPERLINK("#Liste_rouge!A"&amp;_xlfn.XMATCH("LC",Liste_rouge!A:A,2,1),"LC")</f>
        <v>LC</v>
      </c>
      <c r="AH13839" s="4" t="str">
        <f>HYPERLINK("#Statut_biogéographique!A"&amp;_xlfn.XMATCH("P",Statut_biogéographique!A:A,2,1),"P")</f>
        <v>P</v>
      </c>
      <c r="AP13839" s="4" t="s">
        <v>376</v>
      </c>
      <c r="AR13839" s="4" t="s">
        <v>377</v>
      </c>
    </row>
    <row r="13840" spans="1:44">
      <c r="A13840" s="4" t="s">
        <v>10753</v>
      </c>
      <c r="B13840" s="4">
        <v>24353</v>
      </c>
      <c r="D13840" s="5" t="s">
        <v>16513</v>
      </c>
      <c r="E13840" s="6" t="str">
        <f>HYPERLINK("https://inpn.mnhn.fr/espece/cd_nom/24353","Cheilosia grossa (Fallén, 1817)")</f>
        <v>Cheilosia grossa (Fallén, 1817)</v>
      </c>
      <c r="P13840" s="7" t="str">
        <f>HYPERLINK("#Liste_rouge!A"&amp;_xlfn.XMATCH("LC",Liste_rouge!A:A,2,1),"LC")</f>
        <v>LC</v>
      </c>
      <c r="AH13840" s="4" t="str">
        <f>HYPERLINK("#Statut_biogéographique!A"&amp;_xlfn.XMATCH("P",Statut_biogéographique!A:A,2,1),"P")</f>
        <v>P</v>
      </c>
      <c r="AP13840" s="4" t="s">
        <v>376</v>
      </c>
      <c r="AR13840" s="4" t="s">
        <v>377</v>
      </c>
    </row>
    <row r="13841" spans="1:44">
      <c r="A13841" s="4" t="s">
        <v>10753</v>
      </c>
      <c r="B13841" s="4">
        <v>243564</v>
      </c>
      <c r="D13841" s="5" t="s">
        <v>16514</v>
      </c>
      <c r="E13841" s="6" t="str">
        <f>HYPERLINK("https://inpn.mnhn.fr/espece/cd_nom/243564","Oxyporus maxillosus Fabricius, 1792")</f>
        <v>Oxyporus maxillosus Fabricius, 1792</v>
      </c>
      <c r="AH13841" s="4" t="str">
        <f>HYPERLINK("#Statut_biogéographique!A"&amp;_xlfn.XMATCH("P",Statut_biogéographique!A:A,2,1),"P")</f>
        <v>P</v>
      </c>
      <c r="AP13841" s="4" t="s">
        <v>376</v>
      </c>
      <c r="AR13841" s="4" t="s">
        <v>377</v>
      </c>
    </row>
    <row r="13842" spans="1:44">
      <c r="A13842" s="4" t="s">
        <v>10753</v>
      </c>
      <c r="B13842" s="4">
        <v>243565</v>
      </c>
      <c r="D13842" s="5" t="s">
        <v>16515</v>
      </c>
      <c r="E13842" s="6" t="str">
        <f>HYPERLINK("https://inpn.mnhn.fr/espece/cd_nom/243565","Coprophilus striatulus (Fabricius, 1792)")</f>
        <v>Coprophilus striatulus (Fabricius, 1792)</v>
      </c>
      <c r="AH13842" s="4" t="str">
        <f>HYPERLINK("#Statut_biogéographique!A"&amp;_xlfn.XMATCH("P",Statut_biogéographique!A:A,2,1),"P")</f>
        <v>P</v>
      </c>
      <c r="AP13842" s="4" t="s">
        <v>376</v>
      </c>
      <c r="AR13842" s="4" t="s">
        <v>377</v>
      </c>
    </row>
    <row r="13843" spans="1:44">
      <c r="A13843" s="4" t="s">
        <v>10753</v>
      </c>
      <c r="B13843" s="4">
        <v>243566</v>
      </c>
      <c r="D13843" s="5" t="s">
        <v>16516</v>
      </c>
      <c r="E13843" s="6" t="str">
        <f>HYPERLINK("https://inpn.mnhn.fr/espece/cd_nom/243566","Syntomium aeneum (P. Müller, 1821)")</f>
        <v>Syntomium aeneum (P. Müller, 1821)</v>
      </c>
      <c r="AH13843" s="4" t="str">
        <f>HYPERLINK("#Statut_biogéographique!A"&amp;_xlfn.XMATCH("P",Statut_biogéographique!A:A,2,1),"P")</f>
        <v>P</v>
      </c>
      <c r="AP13843" s="4" t="s">
        <v>376</v>
      </c>
      <c r="AR13843" s="4" t="s">
        <v>377</v>
      </c>
    </row>
    <row r="13844" spans="1:44">
      <c r="A13844" s="4" t="s">
        <v>10753</v>
      </c>
      <c r="B13844" s="4">
        <v>243572</v>
      </c>
      <c r="D13844" s="5" t="s">
        <v>16517</v>
      </c>
      <c r="E13844" s="6" t="str">
        <f>HYPERLINK("https://inpn.mnhn.fr/espece/cd_nom/243572","Platystethus cornutus (Gravenhorst, 1802)")</f>
        <v>Platystethus cornutus (Gravenhorst, 1802)</v>
      </c>
      <c r="AH13844" s="4" t="str">
        <f>HYPERLINK("#Statut_biogéographique!A"&amp;_xlfn.XMATCH("P",Statut_biogéographique!A:A,2,1),"P")</f>
        <v>P</v>
      </c>
      <c r="AP13844" s="4" t="s">
        <v>376</v>
      </c>
      <c r="AR13844" s="4" t="s">
        <v>377</v>
      </c>
    </row>
    <row r="13845" spans="1:44" ht="30">
      <c r="A13845" s="4" t="s">
        <v>10753</v>
      </c>
      <c r="B13845" s="4">
        <v>243573</v>
      </c>
      <c r="D13845" s="5" t="s">
        <v>16518</v>
      </c>
      <c r="E13845" s="6" t="str">
        <f>HYPERLINK("https://inpn.mnhn.fr/espece/cd_nom/243573","Platystethus nitens (C.R. Sahlberg, 1832)")</f>
        <v>Platystethus nitens (C.R. Sahlberg, 1832)</v>
      </c>
      <c r="AH13845" s="4" t="str">
        <f>HYPERLINK("#Statut_biogéographique!A"&amp;_xlfn.XMATCH("P",Statut_biogéographique!A:A,2,1),"P")</f>
        <v>P</v>
      </c>
      <c r="AP13845" s="4" t="s">
        <v>376</v>
      </c>
      <c r="AR13845" s="4" t="s">
        <v>377</v>
      </c>
    </row>
    <row r="13846" spans="1:44" ht="45">
      <c r="A13846" s="4" t="s">
        <v>10753</v>
      </c>
      <c r="B13846" s="4">
        <v>243576</v>
      </c>
      <c r="D13846" s="5" t="s">
        <v>16519</v>
      </c>
      <c r="E13846" s="6" t="str">
        <f>HYPERLINK("https://inpn.mnhn.fr/espece/cd_nom/243576","Platystethus arenarius (Geoffroy, 1785)")</f>
        <v>Platystethus arenarius (Geoffroy, 1785)</v>
      </c>
      <c r="F13846" s="5" t="s">
        <v>16520</v>
      </c>
      <c r="AH13846" s="4" t="str">
        <f>HYPERLINK("#Statut_biogéographique!A"&amp;_xlfn.XMATCH("P",Statut_biogéographique!A:A,2,1),"P")</f>
        <v>P</v>
      </c>
      <c r="AP13846" s="4" t="s">
        <v>376</v>
      </c>
      <c r="AR13846" s="4" t="s">
        <v>377</v>
      </c>
    </row>
    <row r="13847" spans="1:44" ht="30">
      <c r="A13847" s="4" t="s">
        <v>10753</v>
      </c>
      <c r="B13847" s="4">
        <v>243577</v>
      </c>
      <c r="D13847" s="5" t="s">
        <v>16521</v>
      </c>
      <c r="E13847" s="6" t="str">
        <f>HYPERLINK("https://inpn.mnhn.fr/espece/cd_nom/243577","Platystethus laevis Märkel &amp; Kiesenwetter, 1848")</f>
        <v>Platystethus laevis Märkel &amp; Kiesenwetter, 1848</v>
      </c>
      <c r="AH13847" s="4" t="str">
        <f>HYPERLINK("#Statut_biogéographique!A"&amp;_xlfn.XMATCH("P",Statut_biogéographique!A:A,2,1),"P")</f>
        <v>P</v>
      </c>
      <c r="AP13847" s="4" t="s">
        <v>376</v>
      </c>
      <c r="AR13847" s="4" t="s">
        <v>377</v>
      </c>
    </row>
    <row r="13848" spans="1:44">
      <c r="A13848" s="4" t="s">
        <v>10753</v>
      </c>
      <c r="B13848" s="4">
        <v>24358</v>
      </c>
      <c r="D13848" s="5" t="s">
        <v>16522</v>
      </c>
      <c r="E13848" s="6" t="str">
        <f>HYPERLINK("https://inpn.mnhn.fr/espece/cd_nom/24358","Heringia heringi (Zetterstedt, 1843)")</f>
        <v>Heringia heringi (Zetterstedt, 1843)</v>
      </c>
      <c r="P13848" s="7" t="str">
        <f>HYPERLINK("#Liste_rouge!A"&amp;_xlfn.XMATCH("LC",Liste_rouge!A:A,2,1),"LC")</f>
        <v>LC</v>
      </c>
      <c r="AH13848" s="4" t="str">
        <f>HYPERLINK("#Statut_biogéographique!A"&amp;_xlfn.XMATCH("P",Statut_biogéographique!A:A,2,1),"P")</f>
        <v>P</v>
      </c>
      <c r="AP13848" s="4" t="s">
        <v>376</v>
      </c>
      <c r="AR13848" s="4" t="s">
        <v>377</v>
      </c>
    </row>
    <row r="13849" spans="1:44" ht="30">
      <c r="A13849" s="4" t="s">
        <v>10753</v>
      </c>
      <c r="B13849" s="4">
        <v>243581</v>
      </c>
      <c r="D13849" s="5" t="s">
        <v>16523</v>
      </c>
      <c r="E13849" s="6" t="str">
        <f>HYPERLINK("https://inpn.mnhn.fr/espece/cd_nom/243581","Oxytelus piceus (Linnaeus, 1767)")</f>
        <v>Oxytelus piceus (Linnaeus, 1767)</v>
      </c>
      <c r="AH13849" s="4" t="str">
        <f>HYPERLINK("#Statut_biogéographique!A"&amp;_xlfn.XMATCH("P",Statut_biogéographique!A:A,2,1),"P")</f>
        <v>P</v>
      </c>
      <c r="AP13849" s="4" t="s">
        <v>376</v>
      </c>
      <c r="AR13849" s="4" t="s">
        <v>377</v>
      </c>
    </row>
    <row r="13850" spans="1:44" ht="30">
      <c r="A13850" s="4" t="s">
        <v>10753</v>
      </c>
      <c r="B13850" s="4">
        <v>243582</v>
      </c>
      <c r="D13850" s="5" t="s">
        <v>16524</v>
      </c>
      <c r="E13850" s="6" t="str">
        <f>HYPERLINK("https://inpn.mnhn.fr/espece/cd_nom/243582","Oxytelus laqueatus (Marsham, 1802)")</f>
        <v>Oxytelus laqueatus (Marsham, 1802)</v>
      </c>
      <c r="F13850" s="5" t="s">
        <v>16525</v>
      </c>
      <c r="AH13850" s="4" t="str">
        <f>HYPERLINK("#Statut_biogéographique!A"&amp;_xlfn.XMATCH("P",Statut_biogéographique!A:A,2,1),"P")</f>
        <v>P</v>
      </c>
      <c r="AP13850" s="4" t="s">
        <v>376</v>
      </c>
      <c r="AR13850" s="4" t="s">
        <v>377</v>
      </c>
    </row>
    <row r="13851" spans="1:44">
      <c r="A13851" s="4" t="s">
        <v>10753</v>
      </c>
      <c r="B13851" s="4">
        <v>243585</v>
      </c>
      <c r="D13851" s="5" t="s">
        <v>16526</v>
      </c>
      <c r="E13851" s="6" t="str">
        <f>HYPERLINK("https://inpn.mnhn.fr/espece/cd_nom/243585","Anotylus complanatus (Erichson, 1839)")</f>
        <v>Anotylus complanatus (Erichson, 1839)</v>
      </c>
      <c r="AH13851" s="4" t="str">
        <f>HYPERLINK("#Statut_biogéographique!A"&amp;_xlfn.XMATCH("P",Statut_biogéographique!A:A,2,1),"P")</f>
        <v>P</v>
      </c>
      <c r="AP13851" s="4" t="s">
        <v>376</v>
      </c>
      <c r="AR13851" s="4" t="s">
        <v>377</v>
      </c>
    </row>
    <row r="13852" spans="1:44">
      <c r="A13852" s="4" t="s">
        <v>10753</v>
      </c>
      <c r="B13852" s="4">
        <v>243588</v>
      </c>
      <c r="D13852" s="5" t="s">
        <v>16527</v>
      </c>
      <c r="E13852" s="6" t="str">
        <f>HYPERLINK("https://inpn.mnhn.fr/espece/cd_nom/243588","Anotylus insecatus (Gravenhorst, 1806)")</f>
        <v>Anotylus insecatus (Gravenhorst, 1806)</v>
      </c>
      <c r="AH13852" s="4" t="str">
        <f>HYPERLINK("#Statut_biogéographique!A"&amp;_xlfn.XMATCH("P",Statut_biogéographique!A:A,2,1),"P")</f>
        <v>P</v>
      </c>
      <c r="AP13852" s="4" t="s">
        <v>376</v>
      </c>
      <c r="AR13852" s="4" t="s">
        <v>377</v>
      </c>
    </row>
    <row r="13853" spans="1:44">
      <c r="A13853" s="4" t="s">
        <v>10753</v>
      </c>
      <c r="B13853" s="4">
        <v>243590</v>
      </c>
      <c r="D13853" s="5" t="s">
        <v>16528</v>
      </c>
      <c r="E13853" s="6" t="str">
        <f>HYPERLINK("https://inpn.mnhn.fr/espece/cd_nom/243590","Anotylus inustus (Gravenhorst, 1806)")</f>
        <v>Anotylus inustus (Gravenhorst, 1806)</v>
      </c>
      <c r="AH13853" s="4" t="str">
        <f>HYPERLINK("#Statut_biogéographique!A"&amp;_xlfn.XMATCH("P",Statut_biogéographique!A:A,2,1),"P")</f>
        <v>P</v>
      </c>
      <c r="AP13853" s="4" t="s">
        <v>376</v>
      </c>
      <c r="AR13853" s="4" t="s">
        <v>377</v>
      </c>
    </row>
    <row r="13854" spans="1:44">
      <c r="A13854" s="4" t="s">
        <v>10753</v>
      </c>
      <c r="B13854" s="4">
        <v>243592</v>
      </c>
      <c r="D13854" s="5" t="s">
        <v>16529</v>
      </c>
      <c r="E13854" s="6" t="str">
        <f>HYPERLINK("https://inpn.mnhn.fr/espece/cd_nom/243592","Anotylus mutator (Lohse, 1963)")</f>
        <v>Anotylus mutator (Lohse, 1963)</v>
      </c>
      <c r="AH13854" s="4" t="str">
        <f>HYPERLINK("#Statut_biogéographique!A"&amp;_xlfn.XMATCH("P",Statut_biogéographique!A:A,2,1),"P")</f>
        <v>P</v>
      </c>
      <c r="AP13854" s="4" t="s">
        <v>376</v>
      </c>
      <c r="AR13854" s="4" t="s">
        <v>377</v>
      </c>
    </row>
    <row r="13855" spans="1:44" ht="45">
      <c r="A13855" s="4" t="s">
        <v>10753</v>
      </c>
      <c r="B13855" s="4">
        <v>243593</v>
      </c>
      <c r="D13855" s="5" t="s">
        <v>16530</v>
      </c>
      <c r="E13855" s="6" t="str">
        <f>HYPERLINK("https://inpn.mnhn.fr/espece/cd_nom/243593","Anotylus nitidulus (Gravenhorst, 1802)")</f>
        <v>Anotylus nitidulus (Gravenhorst, 1802)</v>
      </c>
      <c r="AH13855" s="4" t="str">
        <f>HYPERLINK("#Statut_biogéographique!A"&amp;_xlfn.XMATCH("P",Statut_biogéographique!A:A,2,1),"P")</f>
        <v>P</v>
      </c>
      <c r="AP13855" s="4" t="s">
        <v>376</v>
      </c>
      <c r="AR13855" s="4" t="s">
        <v>377</v>
      </c>
    </row>
    <row r="13856" spans="1:44" ht="45">
      <c r="A13856" s="4" t="s">
        <v>10753</v>
      </c>
      <c r="B13856" s="4">
        <v>243596</v>
      </c>
      <c r="D13856" s="5" t="s">
        <v>16531</v>
      </c>
      <c r="E13856" s="6" t="str">
        <f>HYPERLINK("https://inpn.mnhn.fr/espece/cd_nom/243596","Anotylus rugosus (Fabricius, 1775)")</f>
        <v>Anotylus rugosus (Fabricius, 1775)</v>
      </c>
      <c r="F13856" s="5" t="s">
        <v>16532</v>
      </c>
      <c r="AH13856" s="4" t="str">
        <f>HYPERLINK("#Statut_biogéographique!A"&amp;_xlfn.XMATCH("P",Statut_biogéographique!A:A,2,1),"P")</f>
        <v>P</v>
      </c>
      <c r="AP13856" s="4" t="s">
        <v>376</v>
      </c>
      <c r="AR13856" s="4" t="s">
        <v>377</v>
      </c>
    </row>
    <row r="13857" spans="1:44" ht="30">
      <c r="A13857" s="4" t="s">
        <v>10753</v>
      </c>
      <c r="B13857" s="4">
        <v>243598</v>
      </c>
      <c r="D13857" s="5" t="s">
        <v>16533</v>
      </c>
      <c r="E13857" s="6" t="str">
        <f>HYPERLINK("https://inpn.mnhn.fr/espece/cd_nom/243598","Anotylus sculpturatus (Gravenhorst, 1806)")</f>
        <v>Anotylus sculpturatus (Gravenhorst, 1806)</v>
      </c>
      <c r="AH13857" s="4" t="str">
        <f>HYPERLINK("#Statut_biogéographique!A"&amp;_xlfn.XMATCH("P",Statut_biogéographique!A:A,2,1),"P")</f>
        <v>P</v>
      </c>
      <c r="AP13857" s="4" t="s">
        <v>376</v>
      </c>
      <c r="AR13857" s="4" t="s">
        <v>377</v>
      </c>
    </row>
    <row r="13858" spans="1:44">
      <c r="A13858" s="4" t="s">
        <v>10753</v>
      </c>
      <c r="B13858" s="4">
        <v>243600</v>
      </c>
      <c r="D13858" s="5" t="s">
        <v>16534</v>
      </c>
      <c r="E13858" s="6" t="str">
        <f>HYPERLINK("https://inpn.mnhn.fr/espece/cd_nom/243600","Anotylus tetracarinatus (Block, 1799)")</f>
        <v>Anotylus tetracarinatus (Block, 1799)</v>
      </c>
      <c r="AH13858" s="4" t="str">
        <f>HYPERLINK("#Statut_biogéographique!A"&amp;_xlfn.XMATCH("P",Statut_biogéographique!A:A,2,1),"P")</f>
        <v>P</v>
      </c>
      <c r="AP13858" s="4" t="s">
        <v>376</v>
      </c>
      <c r="AR13858" s="4" t="s">
        <v>377</v>
      </c>
    </row>
    <row r="13859" spans="1:44">
      <c r="A13859" s="4" t="s">
        <v>10753</v>
      </c>
      <c r="B13859" s="4">
        <v>243602</v>
      </c>
      <c r="D13859" s="5" t="s">
        <v>16535</v>
      </c>
      <c r="E13859" s="6" t="str">
        <f>HYPERLINK("https://inpn.mnhn.fr/espece/cd_nom/243602","Thinodromus arcuatus (Stephens, 1834)")</f>
        <v>Thinodromus arcuatus (Stephens, 1834)</v>
      </c>
      <c r="AH13859" s="4" t="str">
        <f>HYPERLINK("#Statut_biogéographique!A"&amp;_xlfn.XMATCH("P",Statut_biogéographique!A:A,2,1),"P")</f>
        <v>P</v>
      </c>
      <c r="AP13859" s="4" t="s">
        <v>376</v>
      </c>
      <c r="AR13859" s="4" t="s">
        <v>377</v>
      </c>
    </row>
    <row r="13860" spans="1:44">
      <c r="A13860" s="4" t="s">
        <v>10753</v>
      </c>
      <c r="B13860" s="4">
        <v>24363</v>
      </c>
      <c r="D13860" s="5" t="s">
        <v>16536</v>
      </c>
      <c r="E13860" s="6" t="str">
        <f>HYPERLINK("https://inpn.mnhn.fr/espece/cd_nom/24363","Neocnemodon latitarsis (Egger, 1865)")</f>
        <v>Neocnemodon latitarsis (Egger, 1865)</v>
      </c>
      <c r="P13860" s="7" t="str">
        <f>HYPERLINK("#Liste_rouge!A"&amp;_xlfn.XMATCH("LC",Liste_rouge!A:A,2,1),"LC")</f>
        <v>LC</v>
      </c>
      <c r="AH13860" s="4" t="str">
        <f>HYPERLINK("#Statut_biogéographique!A"&amp;_xlfn.XMATCH("P",Statut_biogéographique!A:A,2,1),"P")</f>
        <v>P</v>
      </c>
      <c r="AP13860" s="4" t="s">
        <v>376</v>
      </c>
      <c r="AR13860" s="4" t="s">
        <v>377</v>
      </c>
    </row>
    <row r="13861" spans="1:44" ht="30">
      <c r="A13861" s="4" t="s">
        <v>10753</v>
      </c>
      <c r="B13861" s="4">
        <v>24364</v>
      </c>
      <c r="D13861" s="5" t="s">
        <v>16537</v>
      </c>
      <c r="E13861" s="6" t="str">
        <f>HYPERLINK("https://inpn.mnhn.fr/espece/cd_nom/24364","Neocnemodon pubescens (Delucchi &amp; Pschorn-Walcher, 1955)")</f>
        <v>Neocnemodon pubescens (Delucchi &amp; Pschorn-Walcher, 1955)</v>
      </c>
      <c r="P13861" s="7" t="str">
        <f>HYPERLINK("#Liste_rouge!A"&amp;_xlfn.XMATCH("LC",Liste_rouge!A:A,2,1),"LC")</f>
        <v>LC</v>
      </c>
      <c r="AH13861" s="4" t="str">
        <f>HYPERLINK("#Statut_biogéographique!A"&amp;_xlfn.XMATCH("P",Statut_biogéographique!A:A,2,1),"P")</f>
        <v>P</v>
      </c>
      <c r="AP13861" s="4" t="s">
        <v>376</v>
      </c>
      <c r="AR13861" s="4" t="s">
        <v>377</v>
      </c>
    </row>
    <row r="13862" spans="1:44">
      <c r="A13862" s="4" t="s">
        <v>10753</v>
      </c>
      <c r="B13862" s="4">
        <v>243640</v>
      </c>
      <c r="D13862" s="5" t="s">
        <v>16538</v>
      </c>
      <c r="E13862" s="6" t="str">
        <f>HYPERLINK("https://inpn.mnhn.fr/espece/cd_nom/243640","Manda mandibularis (Gyllenhal, 1827)")</f>
        <v>Manda mandibularis (Gyllenhal, 1827)</v>
      </c>
      <c r="AH13862" s="4" t="str">
        <f>HYPERLINK("#Statut_biogéographique!A"&amp;_xlfn.XMATCH("P",Statut_biogéographique!A:A,2,1),"P")</f>
        <v>P</v>
      </c>
      <c r="AP13862" s="4" t="s">
        <v>376</v>
      </c>
      <c r="AR13862" s="4" t="s">
        <v>377</v>
      </c>
    </row>
    <row r="13863" spans="1:44">
      <c r="A13863" s="4" t="s">
        <v>10753</v>
      </c>
      <c r="B13863" s="4">
        <v>243643</v>
      </c>
      <c r="D13863" s="5" t="s">
        <v>16539</v>
      </c>
      <c r="E13863" s="6" t="str">
        <f>HYPERLINK("https://inpn.mnhn.fr/espece/cd_nom/243643","Carpelimus obesus (Kiesenwetter, 1844)")</f>
        <v>Carpelimus obesus (Kiesenwetter, 1844)</v>
      </c>
      <c r="AH13863" s="4" t="str">
        <f>HYPERLINK("#Statut_biogéographique!A"&amp;_xlfn.XMATCH("P",Statut_biogéographique!A:A,2,1),"P")</f>
        <v>P</v>
      </c>
      <c r="AP13863" s="4" t="s">
        <v>376</v>
      </c>
      <c r="AR13863" s="4" t="s">
        <v>377</v>
      </c>
    </row>
    <row r="13864" spans="1:44">
      <c r="A13864" s="4" t="s">
        <v>10753</v>
      </c>
      <c r="B13864" s="4">
        <v>243647</v>
      </c>
      <c r="D13864" s="5" t="s">
        <v>16540</v>
      </c>
      <c r="E13864" s="6" t="str">
        <f>HYPERLINK("https://inpn.mnhn.fr/espece/cd_nom/243647","Carpelimus rivularis (Motschulsky, 1860)")</f>
        <v>Carpelimus rivularis (Motschulsky, 1860)</v>
      </c>
      <c r="AH13864" s="4" t="str">
        <f>HYPERLINK("#Statut_biogéographique!A"&amp;_xlfn.XMATCH("P",Statut_biogéographique!A:A,2,1),"P")</f>
        <v>P</v>
      </c>
      <c r="AP13864" s="4" t="s">
        <v>376</v>
      </c>
      <c r="AR13864" s="4" t="s">
        <v>377</v>
      </c>
    </row>
    <row r="13865" spans="1:44">
      <c r="A13865" s="4" t="s">
        <v>10753</v>
      </c>
      <c r="B13865" s="4">
        <v>24365</v>
      </c>
      <c r="D13865" s="5" t="s">
        <v>16541</v>
      </c>
      <c r="E13865" s="6" t="str">
        <f>HYPERLINK("https://inpn.mnhn.fr/espece/cd_nom/24365","Neocnemodon vitripennis (Meigen, 1822)")</f>
        <v>Neocnemodon vitripennis (Meigen, 1822)</v>
      </c>
      <c r="P13865" s="7" t="str">
        <f>HYPERLINK("#Liste_rouge!A"&amp;_xlfn.XMATCH("LC",Liste_rouge!A:A,2,1),"LC")</f>
        <v>LC</v>
      </c>
      <c r="AH13865" s="4" t="str">
        <f>HYPERLINK("#Statut_biogéographique!A"&amp;_xlfn.XMATCH("P",Statut_biogéographique!A:A,2,1),"P")</f>
        <v>P</v>
      </c>
      <c r="AP13865" s="4" t="s">
        <v>376</v>
      </c>
      <c r="AR13865" s="4" t="s">
        <v>377</v>
      </c>
    </row>
    <row r="13866" spans="1:44" ht="30">
      <c r="A13866" s="4" t="s">
        <v>10753</v>
      </c>
      <c r="B13866" s="4">
        <v>243650</v>
      </c>
      <c r="D13866" s="5" t="s">
        <v>16542</v>
      </c>
      <c r="E13866" s="6" t="str">
        <f>HYPERLINK("https://inpn.mnhn.fr/espece/cd_nom/243650","Carpelimus bilineatus Stephens, 1834")</f>
        <v>Carpelimus bilineatus Stephens, 1834</v>
      </c>
      <c r="AH13866" s="4" t="str">
        <f>HYPERLINK("#Statut_biogéographique!A"&amp;_xlfn.XMATCH("P",Statut_biogéographique!A:A,2,1),"P")</f>
        <v>P</v>
      </c>
      <c r="AP13866" s="4" t="s">
        <v>376</v>
      </c>
      <c r="AR13866" s="4" t="s">
        <v>377</v>
      </c>
    </row>
    <row r="13867" spans="1:44" ht="30">
      <c r="A13867" s="4" t="s">
        <v>10753</v>
      </c>
      <c r="B13867" s="4">
        <v>243653</v>
      </c>
      <c r="D13867" s="5" t="s">
        <v>16543</v>
      </c>
      <c r="E13867" s="6" t="str">
        <f>HYPERLINK("https://inpn.mnhn.fr/espece/cd_nom/243653","Carpelimus corticinus (Gravenhorst, 1806)")</f>
        <v>Carpelimus corticinus (Gravenhorst, 1806)</v>
      </c>
      <c r="AH13867" s="4" t="str">
        <f>HYPERLINK("#Statut_biogéographique!A"&amp;_xlfn.XMATCH("P",Statut_biogéographique!A:A,2,1),"P")</f>
        <v>P</v>
      </c>
      <c r="AP13867" s="4" t="s">
        <v>376</v>
      </c>
      <c r="AR13867" s="4" t="s">
        <v>377</v>
      </c>
    </row>
    <row r="13868" spans="1:44">
      <c r="A13868" s="4" t="s">
        <v>10753</v>
      </c>
      <c r="B13868" s="4">
        <v>24367</v>
      </c>
      <c r="D13868" s="5" t="s">
        <v>16544</v>
      </c>
      <c r="E13868" s="6" t="str">
        <f>HYPERLINK("https://inpn.mnhn.fr/espece/cd_nom/24367","Paragus albifrons (Fallén, 1817)")</f>
        <v>Paragus albifrons (Fallén, 1817)</v>
      </c>
      <c r="P13868" s="7" t="str">
        <f>HYPERLINK("#Liste_rouge!A"&amp;_xlfn.XMATCH("EN",Liste_rouge!A:A,2,1),"EN")</f>
        <v>EN</v>
      </c>
      <c r="AH13868" s="4" t="str">
        <f>HYPERLINK("#Statut_biogéographique!A"&amp;_xlfn.XMATCH("P",Statut_biogéographique!A:A,2,1),"P")</f>
        <v>P</v>
      </c>
      <c r="AP13868" s="4" t="s">
        <v>376</v>
      </c>
      <c r="AR13868" s="4" t="s">
        <v>377</v>
      </c>
    </row>
    <row r="13869" spans="1:44" ht="30">
      <c r="A13869" s="4" t="s">
        <v>10753</v>
      </c>
      <c r="B13869" s="4">
        <v>24368</v>
      </c>
      <c r="D13869" s="5" t="s">
        <v>16545</v>
      </c>
      <c r="E13869" s="6" t="str">
        <f>HYPERLINK("https://inpn.mnhn.fr/espece/cd_nom/24368","Paragus bicolor (Fabricius, 1794)")</f>
        <v>Paragus bicolor (Fabricius, 1794)</v>
      </c>
      <c r="P13869" s="7" t="str">
        <f>HYPERLINK("#Liste_rouge!A"&amp;_xlfn.XMATCH("LC",Liste_rouge!A:A,2,1),"LC")</f>
        <v>LC</v>
      </c>
      <c r="AH13869" s="4" t="str">
        <f>HYPERLINK("#Statut_biogéographique!A"&amp;_xlfn.XMATCH("P",Statut_biogéographique!A:A,2,1),"P")</f>
        <v>P</v>
      </c>
      <c r="AP13869" s="4" t="s">
        <v>376</v>
      </c>
      <c r="AR13869" s="4" t="s">
        <v>377</v>
      </c>
    </row>
    <row r="13870" spans="1:44">
      <c r="A13870" s="4" t="s">
        <v>10753</v>
      </c>
      <c r="B13870" s="4">
        <v>24369</v>
      </c>
      <c r="D13870" s="5">
        <v>24369</v>
      </c>
      <c r="E13870" s="6" t="str">
        <f>HYPERLINK("https://inpn.mnhn.fr/espece/cd_nom/24369","Paragus finitimus Goeldlin, 1971")</f>
        <v>Paragus finitimus Goeldlin, 1971</v>
      </c>
      <c r="P13870" s="7" t="str">
        <f>HYPERLINK("#Liste_rouge!A"&amp;_xlfn.XMATCH("EN",Liste_rouge!A:A,2,1),"EN")</f>
        <v>EN</v>
      </c>
      <c r="AH13870" s="4" t="str">
        <f>HYPERLINK("#Statut_biogéographique!A"&amp;_xlfn.XMATCH("P",Statut_biogéographique!A:A,2,1),"P")</f>
        <v>P</v>
      </c>
      <c r="AP13870" s="4" t="s">
        <v>376</v>
      </c>
      <c r="AR13870" s="4" t="s">
        <v>377</v>
      </c>
    </row>
    <row r="13871" spans="1:44">
      <c r="A13871" s="4" t="s">
        <v>10753</v>
      </c>
      <c r="B13871" s="4">
        <v>24370</v>
      </c>
      <c r="D13871" s="5">
        <v>24370</v>
      </c>
      <c r="E13871" s="6" t="str">
        <f>HYPERLINK("https://inpn.mnhn.fr/espece/cd_nom/24370","Paragus flammeus Goeldlin, 1971")</f>
        <v>Paragus flammeus Goeldlin, 1971</v>
      </c>
      <c r="P13871" s="7" t="str">
        <f>HYPERLINK("#Liste_rouge!A"&amp;_xlfn.XMATCH("LC",Liste_rouge!A:A,2,1),"LC")</f>
        <v>LC</v>
      </c>
      <c r="AH13871" s="4" t="str">
        <f>HYPERLINK("#Statut_biogéographique!A"&amp;_xlfn.XMATCH("P",Statut_biogéographique!A:A,2,1),"P")</f>
        <v>P</v>
      </c>
      <c r="AP13871" s="4" t="s">
        <v>376</v>
      </c>
      <c r="AR13871" s="4" t="s">
        <v>377</v>
      </c>
    </row>
    <row r="13872" spans="1:44" ht="30">
      <c r="A13872" s="4" t="s">
        <v>10753</v>
      </c>
      <c r="B13872" s="4">
        <v>243705</v>
      </c>
      <c r="D13872" s="5" t="s">
        <v>16546</v>
      </c>
      <c r="E13872" s="6" t="str">
        <f>HYPERLINK("https://inpn.mnhn.fr/espece/cd_nom/243705","Aploderus caelatus (Gravenhorst, 1802)")</f>
        <v>Aploderus caelatus (Gravenhorst, 1802)</v>
      </c>
      <c r="AH13872" s="4" t="str">
        <f>HYPERLINK("#Statut_biogéographique!A"&amp;_xlfn.XMATCH("P",Statut_biogéographique!A:A,2,1),"P")</f>
        <v>P</v>
      </c>
      <c r="AP13872" s="4" t="s">
        <v>376</v>
      </c>
      <c r="AR13872" s="4" t="s">
        <v>377</v>
      </c>
    </row>
    <row r="13873" spans="1:44">
      <c r="A13873" s="4" t="s">
        <v>10753</v>
      </c>
      <c r="B13873" s="4">
        <v>24371</v>
      </c>
      <c r="D13873" s="5" t="s">
        <v>16547</v>
      </c>
      <c r="E13873" s="6" t="str">
        <f>HYPERLINK("https://inpn.mnhn.fr/espece/cd_nom/24371","Paragus haemorrhous Meigen, 1822")</f>
        <v>Paragus haemorrhous Meigen, 1822</v>
      </c>
      <c r="P13873" s="7" t="str">
        <f>HYPERLINK("#Liste_rouge!A"&amp;_xlfn.XMATCH("LC",Liste_rouge!A:A,2,1),"LC (cd_nom 24371) - VU (cd_nom 989082)")</f>
        <v>LC (cd_nom 24371) - VU (cd_nom 989082)</v>
      </c>
      <c r="AH13873" s="4" t="str">
        <f>HYPERLINK("#Statut_biogéographique!A"&amp;_xlfn.XMATCH("P",Statut_biogéographique!A:A,2,1),"P")</f>
        <v>P</v>
      </c>
      <c r="AP13873" s="4" t="s">
        <v>376</v>
      </c>
      <c r="AR13873" s="4" t="s">
        <v>377</v>
      </c>
    </row>
    <row r="13874" spans="1:44">
      <c r="A13874" s="4" t="s">
        <v>10753</v>
      </c>
      <c r="B13874" s="4">
        <v>243714</v>
      </c>
      <c r="D13874" s="5">
        <v>243714</v>
      </c>
      <c r="E13874" s="6" t="str">
        <f>HYPERLINK("https://inpn.mnhn.fr/espece/cd_nom/243714","Thoracophorus corticinus Motschulsky, 1837")</f>
        <v>Thoracophorus corticinus Motschulsky, 1837</v>
      </c>
      <c r="AH13874" s="4" t="str">
        <f>HYPERLINK("#Statut_biogéographique!A"&amp;_xlfn.XMATCH("P",Statut_biogéographique!A:A,2,1),"P")</f>
        <v>P</v>
      </c>
      <c r="AP13874" s="4" t="s">
        <v>376</v>
      </c>
      <c r="AR13874" s="4" t="s">
        <v>377</v>
      </c>
    </row>
    <row r="13875" spans="1:44">
      <c r="A13875" s="4" t="s">
        <v>10753</v>
      </c>
      <c r="B13875" s="4">
        <v>24372</v>
      </c>
      <c r="D13875" s="5">
        <v>24372</v>
      </c>
      <c r="E13875" s="6" t="str">
        <f>HYPERLINK("https://inpn.mnhn.fr/espece/cd_nom/24372","Paragus majoranae Rondani, 1857")</f>
        <v>Paragus majoranae Rondani, 1857</v>
      </c>
      <c r="O13875" s="7" t="str">
        <f>HYPERLINK("#Liste_rouge!A"&amp;_xlfn.XMATCH("EN",Liste_rouge!A:A,2,1),"EN")</f>
        <v>EN</v>
      </c>
      <c r="P13875" s="7" t="str">
        <f>HYPERLINK("#Liste_rouge!A"&amp;_xlfn.XMATCH("EN",Liste_rouge!A:A,2,1),"EN")</f>
        <v>EN</v>
      </c>
      <c r="AH13875" s="4" t="str">
        <f>HYPERLINK("#Statut_biogéographique!A"&amp;_xlfn.XMATCH("P",Statut_biogéographique!A:A,2,1),"P")</f>
        <v>P</v>
      </c>
      <c r="AP13875" s="4" t="s">
        <v>376</v>
      </c>
      <c r="AR13875" s="4" t="s">
        <v>377</v>
      </c>
    </row>
    <row r="13876" spans="1:44">
      <c r="A13876" s="4" t="s">
        <v>10753</v>
      </c>
      <c r="B13876" s="4">
        <v>24373</v>
      </c>
      <c r="D13876" s="5" t="s">
        <v>16548</v>
      </c>
      <c r="E13876" s="6" t="str">
        <f>HYPERLINK("https://inpn.mnhn.fr/espece/cd_nom/24373","Paragus tibialis (Fallén, 1817)")</f>
        <v>Paragus tibialis (Fallén, 1817)</v>
      </c>
      <c r="P13876" s="7" t="str">
        <f>HYPERLINK("#Liste_rouge!A"&amp;_xlfn.XMATCH("LC",Liste_rouge!A:A,2,1),"LC")</f>
        <v>LC</v>
      </c>
      <c r="AH13876" s="4" t="str">
        <f>HYPERLINK("#Statut_biogéographique!A"&amp;_xlfn.XMATCH("P",Statut_biogéographique!A:A,2,1),"P")</f>
        <v>P</v>
      </c>
      <c r="AP13876" s="4" t="s">
        <v>376</v>
      </c>
      <c r="AR13876" s="4" t="s">
        <v>377</v>
      </c>
    </row>
    <row r="13877" spans="1:44">
      <c r="A13877" s="4" t="s">
        <v>10753</v>
      </c>
      <c r="B13877" s="4">
        <v>243733</v>
      </c>
      <c r="D13877" s="5" t="s">
        <v>16549</v>
      </c>
      <c r="E13877" s="6" t="str">
        <f>HYPERLINK("https://inpn.mnhn.fr/espece/cd_nom/243733","Phyllodrepoidea crenata Ganglbauer, 1895")</f>
        <v>Phyllodrepoidea crenata Ganglbauer, 1895</v>
      </c>
      <c r="AH13877" s="4" t="str">
        <f>HYPERLINK("#Statut_biogéographique!A"&amp;_xlfn.XMATCH("P",Statut_biogéographique!A:A,2,1),"P")</f>
        <v>P</v>
      </c>
      <c r="AP13877" s="4" t="s">
        <v>376</v>
      </c>
      <c r="AR13877" s="4" t="s">
        <v>377</v>
      </c>
    </row>
    <row r="13878" spans="1:44">
      <c r="A13878" s="4" t="s">
        <v>10753</v>
      </c>
      <c r="B13878" s="4">
        <v>243745</v>
      </c>
      <c r="D13878" s="5" t="s">
        <v>16550</v>
      </c>
      <c r="E13878" s="6" t="str">
        <f>HYPERLINK("https://inpn.mnhn.fr/espece/cd_nom/243745","Lesteva longoelytrata (Goeze, 1777)")</f>
        <v>Lesteva longoelytrata (Goeze, 1777)</v>
      </c>
      <c r="AH13878" s="4" t="str">
        <f>HYPERLINK("#Statut_biogéographique!A"&amp;_xlfn.XMATCH("P",Statut_biogéographique!A:A,2,1),"P")</f>
        <v>P</v>
      </c>
      <c r="AP13878" s="4" t="s">
        <v>376</v>
      </c>
      <c r="AR13878" s="4" t="s">
        <v>377</v>
      </c>
    </row>
    <row r="13879" spans="1:44">
      <c r="A13879" s="4" t="s">
        <v>10753</v>
      </c>
      <c r="B13879" s="4">
        <v>24376</v>
      </c>
      <c r="D13879" s="5">
        <v>24376</v>
      </c>
      <c r="E13879" s="6" t="str">
        <f>HYPERLINK("https://inpn.mnhn.fr/espece/cd_nom/24376","Pipiza austriaca Meigen, 1822")</f>
        <v>Pipiza austriaca Meigen, 1822</v>
      </c>
      <c r="O13879" s="7" t="str">
        <f>HYPERLINK("#Liste_rouge!A"&amp;_xlfn.XMATCH("LC",Liste_rouge!A:A,2,1),"LC")</f>
        <v>LC</v>
      </c>
      <c r="P13879" s="7" t="str">
        <f>HYPERLINK("#Liste_rouge!A"&amp;_xlfn.XMATCH("LC",Liste_rouge!A:A,2,1),"LC")</f>
        <v>LC</v>
      </c>
      <c r="AH13879" s="4" t="str">
        <f>HYPERLINK("#Statut_biogéographique!A"&amp;_xlfn.XMATCH("P",Statut_biogéographique!A:A,2,1),"P")</f>
        <v>P</v>
      </c>
      <c r="AP13879" s="4" t="s">
        <v>376</v>
      </c>
      <c r="AR13879" s="4" t="s">
        <v>377</v>
      </c>
    </row>
    <row r="13880" spans="1:44" ht="30">
      <c r="A13880" s="4" t="s">
        <v>10753</v>
      </c>
      <c r="B13880" s="4">
        <v>243773</v>
      </c>
      <c r="D13880" s="5" t="s">
        <v>16551</v>
      </c>
      <c r="E13880" s="6" t="str">
        <f>HYPERLINK("https://inpn.mnhn.fr/espece/cd_nom/243773","Anthophagus angusticollis (Mannerheim, 1830)")</f>
        <v>Anthophagus angusticollis (Mannerheim, 1830)</v>
      </c>
      <c r="AH13880" s="4" t="str">
        <f>HYPERLINK("#Statut_biogéographique!A"&amp;_xlfn.XMATCH("P",Statut_biogéographique!A:A,2,1),"P")</f>
        <v>P</v>
      </c>
      <c r="AP13880" s="4" t="s">
        <v>376</v>
      </c>
      <c r="AR13880" s="4" t="s">
        <v>377</v>
      </c>
    </row>
    <row r="13881" spans="1:44">
      <c r="A13881" s="4" t="s">
        <v>10753</v>
      </c>
      <c r="B13881" s="4">
        <v>243776</v>
      </c>
      <c r="D13881" s="5" t="s">
        <v>16552</v>
      </c>
      <c r="E13881" s="6" t="str">
        <f>HYPERLINK("https://inpn.mnhn.fr/espece/cd_nom/243776","Anthobium atrocephalum (Gyllenhal, 1827)")</f>
        <v>Anthobium atrocephalum (Gyllenhal, 1827)</v>
      </c>
      <c r="AH13881" s="4" t="str">
        <f>HYPERLINK("#Statut_biogéographique!A"&amp;_xlfn.XMATCH("P",Statut_biogéographique!A:A,2,1),"P")</f>
        <v>P</v>
      </c>
      <c r="AP13881" s="4" t="s">
        <v>376</v>
      </c>
      <c r="AR13881" s="4" t="s">
        <v>377</v>
      </c>
    </row>
    <row r="13882" spans="1:44">
      <c r="A13882" s="4" t="s">
        <v>10753</v>
      </c>
      <c r="B13882" s="4">
        <v>24379</v>
      </c>
      <c r="D13882" s="5">
        <v>24379</v>
      </c>
      <c r="E13882" s="6" t="str">
        <f>HYPERLINK("https://inpn.mnhn.fr/espece/cd_nom/24379","Pipiza festiva Meigen, 1822")</f>
        <v>Pipiza festiva Meigen, 1822</v>
      </c>
      <c r="P13882" s="7" t="str">
        <f>HYPERLINK("#Liste_rouge!A"&amp;_xlfn.XMATCH("LC",Liste_rouge!A:A,2,1),"LC")</f>
        <v>LC</v>
      </c>
      <c r="AH13882" s="4" t="str">
        <f>HYPERLINK("#Statut_biogéographique!A"&amp;_xlfn.XMATCH("P",Statut_biogéographique!A:A,2,1),"P")</f>
        <v>P</v>
      </c>
      <c r="AP13882" s="4" t="s">
        <v>376</v>
      </c>
      <c r="AR13882" s="4" t="s">
        <v>377</v>
      </c>
    </row>
    <row r="13883" spans="1:44">
      <c r="A13883" s="4" t="s">
        <v>10753</v>
      </c>
      <c r="B13883" s="4">
        <v>243803</v>
      </c>
      <c r="D13883" s="5" t="s">
        <v>16553</v>
      </c>
      <c r="E13883" s="6" t="str">
        <f>HYPERLINK("https://inpn.mnhn.fr/espece/cd_nom/243803","Eusphalerum luteum (Marsham, 1802)")</f>
        <v>Eusphalerum luteum (Marsham, 1802)</v>
      </c>
      <c r="AH13883" s="4" t="str">
        <f>HYPERLINK("#Statut_biogéographique!A"&amp;_xlfn.XMATCH("P",Statut_biogéographique!A:A,2,1),"P")</f>
        <v>P</v>
      </c>
      <c r="AP13883" s="4" t="s">
        <v>376</v>
      </c>
      <c r="AR13883" s="4" t="s">
        <v>377</v>
      </c>
    </row>
    <row r="13884" spans="1:44">
      <c r="A13884" s="4" t="s">
        <v>10753</v>
      </c>
      <c r="B13884" s="4">
        <v>243810</v>
      </c>
      <c r="D13884" s="5" t="s">
        <v>16554</v>
      </c>
      <c r="E13884" s="6" t="str">
        <f>HYPERLINK("https://inpn.mnhn.fr/espece/cd_nom/243810","Eusphalerum primulae (Stephens, 1834)")</f>
        <v>Eusphalerum primulae (Stephens, 1834)</v>
      </c>
      <c r="AH13884" s="4" t="str">
        <f>HYPERLINK("#Statut_biogéographique!A"&amp;_xlfn.XMATCH("P",Statut_biogéographique!A:A,2,1),"P")</f>
        <v>P</v>
      </c>
      <c r="AP13884" s="4" t="s">
        <v>376</v>
      </c>
      <c r="AR13884" s="4" t="s">
        <v>377</v>
      </c>
    </row>
    <row r="13885" spans="1:44" ht="30">
      <c r="A13885" s="4" t="s">
        <v>10753</v>
      </c>
      <c r="B13885" s="4">
        <v>243814</v>
      </c>
      <c r="D13885" s="5" t="s">
        <v>16555</v>
      </c>
      <c r="E13885" s="6" t="str">
        <f>HYPERLINK("https://inpn.mnhn.fr/espece/cd_nom/243814","Eusphalerum semicoleoptratum (Panzer, 1795)")</f>
        <v>Eusphalerum semicoleoptratum (Panzer, 1795)</v>
      </c>
      <c r="F13885" s="5" t="s">
        <v>16556</v>
      </c>
      <c r="AH13885" s="4" t="str">
        <f>HYPERLINK("#Statut_biogéographique!A"&amp;_xlfn.XMATCH("P",Statut_biogéographique!A:A,2,1),"P")</f>
        <v>P</v>
      </c>
      <c r="AP13885" s="4" t="s">
        <v>376</v>
      </c>
      <c r="AR13885" s="4" t="s">
        <v>377</v>
      </c>
    </row>
    <row r="13886" spans="1:44">
      <c r="A13886" s="4" t="s">
        <v>10753</v>
      </c>
      <c r="B13886" s="4">
        <v>243816</v>
      </c>
      <c r="D13886" s="5" t="s">
        <v>16557</v>
      </c>
      <c r="E13886" s="6" t="str">
        <f>HYPERLINK("https://inpn.mnhn.fr/espece/cd_nom/243816","Eusphalerum sorbi (Gyllenhal, 1810)")</f>
        <v>Eusphalerum sorbi (Gyllenhal, 1810)</v>
      </c>
      <c r="AH13886" s="4" t="str">
        <f>HYPERLINK("#Statut_biogéographique!A"&amp;_xlfn.XMATCH("P",Statut_biogéographique!A:A,2,1),"P")</f>
        <v>P</v>
      </c>
      <c r="AP13886" s="4" t="s">
        <v>376</v>
      </c>
      <c r="AR13886" s="4" t="s">
        <v>377</v>
      </c>
    </row>
    <row r="13887" spans="1:44" ht="30">
      <c r="A13887" s="4" t="s">
        <v>10753</v>
      </c>
      <c r="B13887" s="4">
        <v>243819</v>
      </c>
      <c r="D13887" s="5" t="s">
        <v>16558</v>
      </c>
      <c r="E13887" s="6" t="str">
        <f>HYPERLINK("https://inpn.mnhn.fr/espece/cd_nom/243819","Eusphalerum umbellatarum (Kiesenwetter, 1850)")</f>
        <v>Eusphalerum umbellatarum (Kiesenwetter, 1850)</v>
      </c>
      <c r="AH13887" s="4" t="str">
        <f>HYPERLINK("#Statut_biogéographique!A"&amp;_xlfn.XMATCH("P",Statut_biogéographique!A:A,2,1),"P")</f>
        <v>P</v>
      </c>
      <c r="AP13887" s="4" t="s">
        <v>376</v>
      </c>
      <c r="AR13887" s="4" t="s">
        <v>377</v>
      </c>
    </row>
    <row r="13888" spans="1:44">
      <c r="A13888" s="4" t="s">
        <v>10753</v>
      </c>
      <c r="B13888" s="4">
        <v>243821</v>
      </c>
      <c r="D13888" s="5" t="s">
        <v>16559</v>
      </c>
      <c r="E13888" s="6" t="str">
        <f>HYPERLINK("https://inpn.mnhn.fr/espece/cd_nom/243821","Eusphalerum tenenbaumi (Bernhauer, 1932)")</f>
        <v>Eusphalerum tenenbaumi (Bernhauer, 1932)</v>
      </c>
      <c r="AH13888" s="4" t="str">
        <f>HYPERLINK("#Statut_biogéographique!A"&amp;_xlfn.XMATCH("P",Statut_biogéographique!A:A,2,1),"P")</f>
        <v>P</v>
      </c>
      <c r="AP13888" s="4" t="s">
        <v>376</v>
      </c>
      <c r="AR13888" s="4" t="s">
        <v>377</v>
      </c>
    </row>
    <row r="13889" spans="1:44" ht="30">
      <c r="A13889" s="4" t="s">
        <v>10753</v>
      </c>
      <c r="B13889" s="4">
        <v>243830</v>
      </c>
      <c r="D13889" s="5" t="s">
        <v>16560</v>
      </c>
      <c r="E13889" s="6" t="str">
        <f>HYPERLINK("https://inpn.mnhn.fr/espece/cd_nom/243830","Phyllodrepa floralis (Paykull, 1789)")</f>
        <v>Phyllodrepa floralis (Paykull, 1789)</v>
      </c>
      <c r="AH13889" s="4" t="str">
        <f>HYPERLINK("#Statut_biogéographique!A"&amp;_xlfn.XMATCH("P",Statut_biogéographique!A:A,2,1),"P")</f>
        <v>P</v>
      </c>
      <c r="AP13889" s="4" t="s">
        <v>376</v>
      </c>
      <c r="AR13889" s="4" t="s">
        <v>377</v>
      </c>
    </row>
    <row r="13890" spans="1:44">
      <c r="A13890" s="4" t="s">
        <v>10753</v>
      </c>
      <c r="B13890" s="4">
        <v>243837</v>
      </c>
      <c r="D13890" s="5" t="s">
        <v>16561</v>
      </c>
      <c r="E13890" s="6" t="str">
        <f>HYPERLINK("https://inpn.mnhn.fr/espece/cd_nom/243837","Phloeostiba plana (Paykull, 1792)")</f>
        <v>Phloeostiba plana (Paykull, 1792)</v>
      </c>
      <c r="AH13890" s="4" t="str">
        <f>HYPERLINK("#Statut_biogéographique!A"&amp;_xlfn.XMATCH("P",Statut_biogéographique!A:A,2,1),"P")</f>
        <v>P</v>
      </c>
      <c r="AP13890" s="4" t="s">
        <v>376</v>
      </c>
      <c r="AR13890" s="4" t="s">
        <v>377</v>
      </c>
    </row>
    <row r="13891" spans="1:44">
      <c r="A13891" s="4" t="s">
        <v>10753</v>
      </c>
      <c r="B13891" s="4">
        <v>243838</v>
      </c>
      <c r="D13891" s="5" t="s">
        <v>16562</v>
      </c>
      <c r="E13891" s="6" t="str">
        <f>HYPERLINK("https://inpn.mnhn.fr/espece/cd_nom/243838","Phloeonomus minimus (Erichson, 1839)")</f>
        <v>Phloeonomus minimus (Erichson, 1839)</v>
      </c>
      <c r="AH13891" s="4" t="str">
        <f>HYPERLINK("#Statut_biogéographique!A"&amp;_xlfn.XMATCH("P",Statut_biogéographique!A:A,2,1),"P")</f>
        <v>P</v>
      </c>
      <c r="AP13891" s="4" t="s">
        <v>376</v>
      </c>
      <c r="AR13891" s="4" t="s">
        <v>377</v>
      </c>
    </row>
    <row r="13892" spans="1:44" ht="30">
      <c r="A13892" s="4" t="s">
        <v>10753</v>
      </c>
      <c r="B13892" s="4">
        <v>243839</v>
      </c>
      <c r="D13892" s="5" t="s">
        <v>16563</v>
      </c>
      <c r="E13892" s="6" t="str">
        <f>HYPERLINK("https://inpn.mnhn.fr/espece/cd_nom/243839","Paraphloeostiba gayndahensis (MacLeay, 1873)")</f>
        <v>Paraphloeostiba gayndahensis (MacLeay, 1873)</v>
      </c>
      <c r="AH13892" s="4" t="str">
        <f>HYPERLINK("#Statut_biogéographique!A"&amp;_xlfn.XMATCH("I",Statut_biogéographique!A:A,2,1),"I")</f>
        <v>I</v>
      </c>
      <c r="AP13892" s="4" t="s">
        <v>376</v>
      </c>
      <c r="AR13892" s="4" t="s">
        <v>377</v>
      </c>
    </row>
    <row r="13893" spans="1:44">
      <c r="A13893" s="4" t="s">
        <v>10753</v>
      </c>
      <c r="B13893" s="4">
        <v>24384</v>
      </c>
      <c r="D13893" s="5" t="s">
        <v>16564</v>
      </c>
      <c r="E13893" s="6" t="str">
        <f>HYPERLINK("https://inpn.mnhn.fr/espece/cd_nom/24384","Pipiza lugubris (Fabricius, 1775)")</f>
        <v>Pipiza lugubris (Fabricius, 1775)</v>
      </c>
      <c r="O13893" s="7" t="str">
        <f>HYPERLINK("#Liste_rouge!A"&amp;_xlfn.XMATCH("LC",Liste_rouge!A:A,2,1),"LC")</f>
        <v>LC</v>
      </c>
      <c r="P13893" s="7" t="str">
        <f>HYPERLINK("#Liste_rouge!A"&amp;_xlfn.XMATCH("LC",Liste_rouge!A:A,2,1),"LC")</f>
        <v>LC</v>
      </c>
      <c r="AH13893" s="4" t="str">
        <f>HYPERLINK("#Statut_biogéographique!A"&amp;_xlfn.XMATCH("P",Statut_biogéographique!A:A,2,1),"P")</f>
        <v>P</v>
      </c>
      <c r="AP13893" s="4" t="s">
        <v>376</v>
      </c>
      <c r="AR13893" s="4" t="s">
        <v>377</v>
      </c>
    </row>
    <row r="13894" spans="1:44" ht="30">
      <c r="A13894" s="4" t="s">
        <v>10753</v>
      </c>
      <c r="B13894" s="4">
        <v>243841</v>
      </c>
      <c r="D13894" s="5" t="s">
        <v>16565</v>
      </c>
      <c r="E13894" s="6" t="str">
        <f>HYPERLINK("https://inpn.mnhn.fr/espece/cd_nom/243841","Omalium caesum Gravenhorst, 1806")</f>
        <v>Omalium caesum Gravenhorst, 1806</v>
      </c>
      <c r="AH13894" s="4" t="str">
        <f>HYPERLINK("#Statut_biogéographique!A"&amp;_xlfn.XMATCH("P",Statut_biogéographique!A:A,2,1),"P")</f>
        <v>P</v>
      </c>
      <c r="AP13894" s="4" t="s">
        <v>376</v>
      </c>
      <c r="AR13894" s="4" t="s">
        <v>377</v>
      </c>
    </row>
    <row r="13895" spans="1:44">
      <c r="A13895" s="4" t="s">
        <v>10753</v>
      </c>
      <c r="B13895" s="4">
        <v>243853</v>
      </c>
      <c r="D13895" s="5">
        <v>243853</v>
      </c>
      <c r="E13895" s="6" t="str">
        <f>HYPERLINK("https://inpn.mnhn.fr/espece/cd_nom/243853","Omalium rugatum Mulsant &amp; Rey, 1880")</f>
        <v>Omalium rugatum Mulsant &amp; Rey, 1880</v>
      </c>
      <c r="AH13895" s="4" t="str">
        <f>HYPERLINK("#Statut_biogéographique!A"&amp;_xlfn.XMATCH("P",Statut_biogéographique!A:A,2,1),"P")</f>
        <v>P</v>
      </c>
      <c r="AP13895" s="4" t="s">
        <v>376</v>
      </c>
      <c r="AR13895" s="4" t="s">
        <v>377</v>
      </c>
    </row>
    <row r="13896" spans="1:44" ht="30">
      <c r="A13896" s="4" t="s">
        <v>10753</v>
      </c>
      <c r="B13896" s="4">
        <v>243859</v>
      </c>
      <c r="D13896" s="5" t="s">
        <v>16566</v>
      </c>
      <c r="E13896" s="6" t="str">
        <f>HYPERLINK("https://inpn.mnhn.fr/espece/cd_nom/243859","Micralymma marinum (Strøm, 1783)")</f>
        <v>Micralymma marinum (Strøm, 1783)</v>
      </c>
      <c r="AH13896" s="4" t="str">
        <f>HYPERLINK("#Statut_biogéographique!A"&amp;_xlfn.XMATCH("P",Statut_biogéographique!A:A,2,1),"P")</f>
        <v>P</v>
      </c>
      <c r="AP13896" s="4" t="s">
        <v>376</v>
      </c>
      <c r="AR13896" s="4" t="s">
        <v>377</v>
      </c>
    </row>
    <row r="13897" spans="1:44">
      <c r="A13897" s="4" t="s">
        <v>10753</v>
      </c>
      <c r="B13897" s="4">
        <v>24386</v>
      </c>
      <c r="D13897" s="5" t="s">
        <v>16567</v>
      </c>
      <c r="E13897" s="6" t="str">
        <f>HYPERLINK("https://inpn.mnhn.fr/espece/cd_nom/24386","Pipiza noctiluca (Linnaeus, 1758)")</f>
        <v>Pipiza noctiluca (Linnaeus, 1758)</v>
      </c>
      <c r="O13897" s="7" t="str">
        <f>HYPERLINK("#Liste_rouge!A"&amp;_xlfn.XMATCH("LC",Liste_rouge!A:A,2,1),"LC")</f>
        <v>LC</v>
      </c>
      <c r="P13897" s="7" t="str">
        <f>HYPERLINK("#Liste_rouge!A"&amp;_xlfn.XMATCH("LC",Liste_rouge!A:A,2,1),"LC")</f>
        <v>LC</v>
      </c>
      <c r="AH13897" s="4" t="str">
        <f>HYPERLINK("#Statut_biogéographique!A"&amp;_xlfn.XMATCH("P",Statut_biogéographique!A:A,2,1),"P")</f>
        <v>P</v>
      </c>
      <c r="AP13897" s="4" t="s">
        <v>376</v>
      </c>
      <c r="AR13897" s="4" t="s">
        <v>377</v>
      </c>
    </row>
    <row r="13898" spans="1:44">
      <c r="A13898" s="4" t="s">
        <v>10753</v>
      </c>
      <c r="B13898" s="4">
        <v>24387</v>
      </c>
      <c r="D13898" s="5" t="s">
        <v>16568</v>
      </c>
      <c r="E13898" s="6" t="str">
        <f>HYPERLINK("https://inpn.mnhn.fr/espece/cd_nom/24387","Pipiza notata Meigen, 1822")</f>
        <v>Pipiza notata Meigen, 1822</v>
      </c>
      <c r="O13898" s="7" t="str">
        <f>HYPERLINK("#Liste_rouge!A"&amp;_xlfn.XMATCH("LC",Liste_rouge!A:A,2,1),"LC")</f>
        <v>LC</v>
      </c>
      <c r="P13898" s="7" t="str">
        <f>HYPERLINK("#Liste_rouge!A"&amp;_xlfn.XMATCH("LC",Liste_rouge!A:A,2,1),"LC")</f>
        <v>LC</v>
      </c>
      <c r="AH13898" s="4" t="str">
        <f>HYPERLINK("#Statut_biogéographique!A"&amp;_xlfn.XMATCH("P",Statut_biogéographique!A:A,2,1),"P")</f>
        <v>P</v>
      </c>
      <c r="AP13898" s="4" t="s">
        <v>376</v>
      </c>
      <c r="AR13898" s="4" t="s">
        <v>377</v>
      </c>
    </row>
    <row r="13899" spans="1:44">
      <c r="A13899" s="4" t="s">
        <v>10753</v>
      </c>
      <c r="B13899" s="4">
        <v>243872</v>
      </c>
      <c r="D13899" s="5" t="s">
        <v>16569</v>
      </c>
      <c r="E13899" s="6" t="str">
        <f>HYPERLINK("https://inpn.mnhn.fr/espece/cd_nom/243872","Tachyporus nitidulus (Fabricius, 1781)")</f>
        <v>Tachyporus nitidulus (Fabricius, 1781)</v>
      </c>
      <c r="AH13899" s="4" t="str">
        <f>HYPERLINK("#Statut_biogéographique!A"&amp;_xlfn.XMATCH("P",Statut_biogéographique!A:A,2,1),"P")</f>
        <v>P</v>
      </c>
      <c r="AP13899" s="4" t="s">
        <v>376</v>
      </c>
      <c r="AR13899" s="4" t="s">
        <v>377</v>
      </c>
    </row>
    <row r="13900" spans="1:44">
      <c r="A13900" s="4" t="s">
        <v>10753</v>
      </c>
      <c r="B13900" s="4">
        <v>243875</v>
      </c>
      <c r="D13900" s="5" t="s">
        <v>16570</v>
      </c>
      <c r="E13900" s="6" t="str">
        <f>HYPERLINK("https://inpn.mnhn.fr/espece/cd_nom/243875","Tachyporus ruficollis Gravenhorst, 1802")</f>
        <v>Tachyporus ruficollis Gravenhorst, 1802</v>
      </c>
      <c r="AH13900" s="4" t="str">
        <f>HYPERLINK("#Statut_biogéographique!A"&amp;_xlfn.XMATCH("P",Statut_biogéographique!A:A,2,1),"P")</f>
        <v>P</v>
      </c>
      <c r="AP13900" s="4" t="s">
        <v>376</v>
      </c>
      <c r="AR13900" s="4" t="s">
        <v>377</v>
      </c>
    </row>
    <row r="13901" spans="1:44">
      <c r="A13901" s="4" t="s">
        <v>10753</v>
      </c>
      <c r="B13901" s="4">
        <v>243879</v>
      </c>
      <c r="D13901" s="5" t="s">
        <v>16571</v>
      </c>
      <c r="E13901" s="6" t="str">
        <f>HYPERLINK("https://inpn.mnhn.fr/espece/cd_nom/243879","Tachinus bipustulatus (Fabricius, 1792)")</f>
        <v>Tachinus bipustulatus (Fabricius, 1792)</v>
      </c>
      <c r="AH13901" s="4" t="str">
        <f>HYPERLINK("#Statut_biogéographique!A"&amp;_xlfn.XMATCH("P",Statut_biogéographique!A:A,2,1),"P")</f>
        <v>P</v>
      </c>
      <c r="AP13901" s="4" t="s">
        <v>376</v>
      </c>
      <c r="AR13901" s="4" t="s">
        <v>377</v>
      </c>
    </row>
    <row r="13902" spans="1:44">
      <c r="A13902" s="4" t="s">
        <v>10753</v>
      </c>
      <c r="B13902" s="4">
        <v>243883</v>
      </c>
      <c r="D13902" s="5" t="s">
        <v>16572</v>
      </c>
      <c r="E13902" s="6" t="str">
        <f>HYPERLINK("https://inpn.mnhn.fr/espece/cd_nom/243883","Tachinus fimetarius Gravenhorst, 1802")</f>
        <v>Tachinus fimetarius Gravenhorst, 1802</v>
      </c>
      <c r="AH13902" s="4" t="str">
        <f>HYPERLINK("#Statut_biogéographique!A"&amp;_xlfn.XMATCH("P",Statut_biogéographique!A:A,2,1),"P")</f>
        <v>P</v>
      </c>
      <c r="AP13902" s="4" t="s">
        <v>376</v>
      </c>
      <c r="AR13902" s="4" t="s">
        <v>377</v>
      </c>
    </row>
    <row r="13903" spans="1:44">
      <c r="A13903" s="4" t="s">
        <v>10753</v>
      </c>
      <c r="B13903" s="4">
        <v>243888</v>
      </c>
      <c r="D13903" s="5" t="s">
        <v>16573</v>
      </c>
      <c r="E13903" s="6" t="str">
        <f>HYPERLINK("https://inpn.mnhn.fr/espece/cd_nom/243888","Tachinus proximus Kraatz, 1855")</f>
        <v>Tachinus proximus Kraatz, 1855</v>
      </c>
      <c r="AH13903" s="4" t="str">
        <f>HYPERLINK("#Statut_biogéographique!A"&amp;_xlfn.XMATCH("P",Statut_biogéographique!A:A,2,1),"P")</f>
        <v>P</v>
      </c>
      <c r="AP13903" s="4" t="s">
        <v>376</v>
      </c>
      <c r="AR13903" s="4" t="s">
        <v>377</v>
      </c>
    </row>
    <row r="13904" spans="1:44">
      <c r="A13904" s="4" t="s">
        <v>10753</v>
      </c>
      <c r="B13904" s="4">
        <v>243889</v>
      </c>
      <c r="D13904" s="5">
        <v>243889</v>
      </c>
      <c r="E13904" s="6" t="str">
        <f>HYPERLINK("https://inpn.mnhn.fr/espece/cd_nom/243889","Tachinus rufipennis Gyllenhal, 1810")</f>
        <v>Tachinus rufipennis Gyllenhal, 1810</v>
      </c>
      <c r="AH13904" s="4" t="str">
        <f>HYPERLINK("#Statut_biogéographique!A"&amp;_xlfn.XMATCH("P",Statut_biogéographique!A:A,2,1),"P")</f>
        <v>P</v>
      </c>
      <c r="AP13904" s="4" t="s">
        <v>376</v>
      </c>
      <c r="AR13904" s="4" t="s">
        <v>377</v>
      </c>
    </row>
    <row r="13905" spans="1:44">
      <c r="A13905" s="4" t="s">
        <v>10753</v>
      </c>
      <c r="B13905" s="4">
        <v>24389</v>
      </c>
      <c r="D13905" s="5" t="s">
        <v>16574</v>
      </c>
      <c r="E13905" s="6" t="str">
        <f>HYPERLINK("https://inpn.mnhn.fr/espece/cd_nom/24389","Pipiza quadrimaculata (Panzer, 1804)")</f>
        <v>Pipiza quadrimaculata (Panzer, 1804)</v>
      </c>
      <c r="P13905" s="7" t="str">
        <f>HYPERLINK("#Liste_rouge!A"&amp;_xlfn.XMATCH("LC",Liste_rouge!A:A,2,1),"LC")</f>
        <v>LC</v>
      </c>
      <c r="AH13905" s="4" t="str">
        <f>HYPERLINK("#Statut_biogéographique!A"&amp;_xlfn.XMATCH("P",Statut_biogéographique!A:A,2,1),"P")</f>
        <v>P</v>
      </c>
      <c r="AP13905" s="4" t="s">
        <v>376</v>
      </c>
      <c r="AR13905" s="4" t="s">
        <v>377</v>
      </c>
    </row>
    <row r="13906" spans="1:44" ht="30">
      <c r="A13906" s="4" t="s">
        <v>10753</v>
      </c>
      <c r="B13906" s="4">
        <v>243892</v>
      </c>
      <c r="D13906" s="5" t="s">
        <v>16575</v>
      </c>
      <c r="E13906" s="6" t="str">
        <f>HYPERLINK("https://inpn.mnhn.fr/espece/cd_nom/243892","Sepedophilus bipunctatus (Gravenhorst, 1802)")</f>
        <v>Sepedophilus bipunctatus (Gravenhorst, 1802)</v>
      </c>
      <c r="AH13906" s="4" t="str">
        <f>HYPERLINK("#Statut_biogéographique!A"&amp;_xlfn.XMATCH("P",Statut_biogéographique!A:A,2,1),"P")</f>
        <v>P</v>
      </c>
      <c r="AP13906" s="4" t="s">
        <v>376</v>
      </c>
      <c r="AR13906" s="4" t="s">
        <v>377</v>
      </c>
    </row>
    <row r="13907" spans="1:44" ht="30">
      <c r="A13907" s="4" t="s">
        <v>10753</v>
      </c>
      <c r="B13907" s="4">
        <v>243893</v>
      </c>
      <c r="D13907" s="5" t="s">
        <v>16576</v>
      </c>
      <c r="E13907" s="6" t="str">
        <f>HYPERLINK("https://inpn.mnhn.fr/espece/cd_nom/243893","Sepedophilus bipustulatus (Gravenhorst, 1802)")</f>
        <v>Sepedophilus bipustulatus (Gravenhorst, 1802)</v>
      </c>
      <c r="AH13907" s="4" t="str">
        <f>HYPERLINK("#Statut_biogéographique!A"&amp;_xlfn.XMATCH("P",Statut_biogéographique!A:A,2,1),"P")</f>
        <v>P</v>
      </c>
      <c r="AP13907" s="4" t="s">
        <v>376</v>
      </c>
      <c r="AR13907" s="4" t="s">
        <v>377</v>
      </c>
    </row>
    <row r="13908" spans="1:44">
      <c r="A13908" s="4" t="s">
        <v>10753</v>
      </c>
      <c r="B13908" s="4">
        <v>243896</v>
      </c>
      <c r="D13908" s="5" t="s">
        <v>16577</v>
      </c>
      <c r="E13908" s="6" t="str">
        <f>HYPERLINK("https://inpn.mnhn.fr/espece/cd_nom/243896","Sepedophilus immaculatus (Stephens, 1832)")</f>
        <v>Sepedophilus immaculatus (Stephens, 1832)</v>
      </c>
      <c r="AH13908" s="4" t="str">
        <f>HYPERLINK("#Statut_biogéographique!A"&amp;_xlfn.XMATCH("P",Statut_biogéographique!A:A,2,1),"P")</f>
        <v>P</v>
      </c>
      <c r="AP13908" s="4" t="s">
        <v>376</v>
      </c>
      <c r="AR13908" s="4" t="s">
        <v>377</v>
      </c>
    </row>
    <row r="13909" spans="1:44">
      <c r="A13909" s="4" t="s">
        <v>10753</v>
      </c>
      <c r="B13909" s="4">
        <v>243897</v>
      </c>
      <c r="D13909" s="5" t="s">
        <v>16578</v>
      </c>
      <c r="E13909" s="6" t="str">
        <f>HYPERLINK("https://inpn.mnhn.fr/espece/cd_nom/243897","Sepedophilus littoreus (Linnaeus, 1758)")</f>
        <v>Sepedophilus littoreus (Linnaeus, 1758)</v>
      </c>
      <c r="AH13909" s="4" t="str">
        <f>HYPERLINK("#Statut_biogéographique!A"&amp;_xlfn.XMATCH("P",Statut_biogéographique!A:A,2,1),"P")</f>
        <v>P</v>
      </c>
      <c r="AP13909" s="4" t="s">
        <v>376</v>
      </c>
      <c r="AR13909" s="4" t="s">
        <v>377</v>
      </c>
    </row>
    <row r="13910" spans="1:44" ht="30">
      <c r="A13910" s="4" t="s">
        <v>10753</v>
      </c>
      <c r="B13910" s="4">
        <v>243903</v>
      </c>
      <c r="D13910" s="5" t="s">
        <v>16579</v>
      </c>
      <c r="E13910" s="6" t="str">
        <f>HYPERLINK("https://inpn.mnhn.fr/espece/cd_nom/243903","Sepedophilus testaceus (Fabricius, 1792)")</f>
        <v>Sepedophilus testaceus (Fabricius, 1792)</v>
      </c>
      <c r="AH13910" s="4" t="str">
        <f>HYPERLINK("#Statut_biogéographique!A"&amp;_xlfn.XMATCH("P",Statut_biogéographique!A:A,2,1),"P")</f>
        <v>P</v>
      </c>
      <c r="AP13910" s="4" t="s">
        <v>376</v>
      </c>
      <c r="AR13910" s="4" t="s">
        <v>377</v>
      </c>
    </row>
    <row r="13911" spans="1:44">
      <c r="A13911" s="4" t="s">
        <v>10753</v>
      </c>
      <c r="B13911" s="4">
        <v>243904</v>
      </c>
      <c r="D13911" s="5" t="s">
        <v>16580</v>
      </c>
      <c r="E13911" s="6" t="str">
        <f>HYPERLINK("https://inpn.mnhn.fr/espece/cd_nom/243904","Lamprinus erythropterus (Panzer, 1796)")</f>
        <v>Lamprinus erythropterus (Panzer, 1796)</v>
      </c>
      <c r="AH13911" s="4" t="str">
        <f>HYPERLINK("#Statut_biogéographique!A"&amp;_xlfn.XMATCH("P",Statut_biogéographique!A:A,2,1),"P")</f>
        <v>P</v>
      </c>
      <c r="AP13911" s="4" t="s">
        <v>376</v>
      </c>
      <c r="AR13911" s="4" t="s">
        <v>377</v>
      </c>
    </row>
    <row r="13912" spans="1:44">
      <c r="A13912" s="4" t="s">
        <v>10753</v>
      </c>
      <c r="B13912" s="4">
        <v>243907</v>
      </c>
      <c r="D13912" s="5" t="s">
        <v>16581</v>
      </c>
      <c r="E13912" s="6" t="str">
        <f>HYPERLINK("https://inpn.mnhn.fr/espece/cd_nom/243907","Cilea silphoides (Linnaeus, 1767)")</f>
        <v>Cilea silphoides (Linnaeus, 1767)</v>
      </c>
      <c r="AH13912" s="4" t="str">
        <f>HYPERLINK("#Statut_biogéographique!A"&amp;_xlfn.XMATCH("P",Statut_biogéographique!A:A,2,1),"P")</f>
        <v>P</v>
      </c>
      <c r="AP13912" s="4" t="s">
        <v>376</v>
      </c>
      <c r="AR13912" s="4" t="s">
        <v>377</v>
      </c>
    </row>
    <row r="13913" spans="1:44">
      <c r="A13913" s="4" t="s">
        <v>10753</v>
      </c>
      <c r="B13913" s="4">
        <v>243908</v>
      </c>
      <c r="D13913" s="5">
        <v>243908</v>
      </c>
      <c r="E13913" s="6" t="str">
        <f>HYPERLINK("https://inpn.mnhn.fr/espece/cd_nom/243908","Mycetoporus angularis Mulsant &amp; Rey, 1853")</f>
        <v>Mycetoporus angularis Mulsant &amp; Rey, 1853</v>
      </c>
      <c r="AH13913" s="4" t="str">
        <f>HYPERLINK("#Statut_biogéographique!A"&amp;_xlfn.XMATCH("P",Statut_biogéographique!A:A,2,1),"P")</f>
        <v>P</v>
      </c>
      <c r="AP13913" s="4" t="s">
        <v>376</v>
      </c>
      <c r="AR13913" s="4" t="s">
        <v>377</v>
      </c>
    </row>
    <row r="13914" spans="1:44">
      <c r="A13914" s="4" t="s">
        <v>10753</v>
      </c>
      <c r="B13914" s="4">
        <v>243929</v>
      </c>
      <c r="D13914" s="5" t="s">
        <v>16582</v>
      </c>
      <c r="E13914" s="6" t="str">
        <f>HYPERLINK("https://inpn.mnhn.fr/espece/cd_nom/243929","Lordithon exoletus (Erichson, 1839)")</f>
        <v>Lordithon exoletus (Erichson, 1839)</v>
      </c>
      <c r="AH13914" s="4" t="str">
        <f>HYPERLINK("#Statut_biogéographique!A"&amp;_xlfn.XMATCH("P",Statut_biogéographique!A:A,2,1),"P")</f>
        <v>P</v>
      </c>
      <c r="AP13914" s="4" t="s">
        <v>376</v>
      </c>
      <c r="AR13914" s="4" t="s">
        <v>377</v>
      </c>
    </row>
    <row r="13915" spans="1:44">
      <c r="A13915" s="4" t="s">
        <v>10753</v>
      </c>
      <c r="B13915" s="4">
        <v>24393</v>
      </c>
      <c r="D13915" s="5" t="s">
        <v>16583</v>
      </c>
      <c r="E13915" s="6" t="str">
        <f>HYPERLINK("https://inpn.mnhn.fr/espece/cd_nom/24393","Pipizella annulata (Macquart, 1829)")</f>
        <v>Pipizella annulata (Macquart, 1829)</v>
      </c>
      <c r="O13915" s="7" t="str">
        <f>HYPERLINK("#Liste_rouge!A"&amp;_xlfn.XMATCH("NT",Liste_rouge!A:A,2,1),"NT")</f>
        <v>NT</v>
      </c>
      <c r="P13915" s="7" t="str">
        <f>HYPERLINK("#Liste_rouge!A"&amp;_xlfn.XMATCH("NT",Liste_rouge!A:A,2,1),"NT")</f>
        <v>NT</v>
      </c>
      <c r="AH13915" s="4" t="str">
        <f>HYPERLINK("#Statut_biogéographique!A"&amp;_xlfn.XMATCH("P",Statut_biogéographique!A:A,2,1),"P")</f>
        <v>P</v>
      </c>
      <c r="AP13915" s="4" t="s">
        <v>376</v>
      </c>
      <c r="AR13915" s="4" t="s">
        <v>377</v>
      </c>
    </row>
    <row r="13916" spans="1:44">
      <c r="A13916" s="4" t="s">
        <v>10753</v>
      </c>
      <c r="B13916" s="4">
        <v>243930</v>
      </c>
      <c r="D13916" s="5" t="s">
        <v>16584</v>
      </c>
      <c r="E13916" s="6" t="str">
        <f>HYPERLINK("https://inpn.mnhn.fr/espece/cd_nom/243930","Lordithon lunulatus (Linnaeus, 1761)")</f>
        <v>Lordithon lunulatus (Linnaeus, 1761)</v>
      </c>
      <c r="AH13916" s="4" t="str">
        <f>HYPERLINK("#Statut_biogéographique!A"&amp;_xlfn.XMATCH("P",Statut_biogéographique!A:A,2,1),"P")</f>
        <v>P</v>
      </c>
      <c r="AP13916" s="4" t="s">
        <v>376</v>
      </c>
      <c r="AR13916" s="4" t="s">
        <v>377</v>
      </c>
    </row>
    <row r="13917" spans="1:44">
      <c r="A13917" s="4" t="s">
        <v>10753</v>
      </c>
      <c r="B13917" s="4">
        <v>243933</v>
      </c>
      <c r="D13917" s="5" t="s">
        <v>16585</v>
      </c>
      <c r="E13917" s="6" t="str">
        <f>HYPERLINK("https://inpn.mnhn.fr/espece/cd_nom/243933","Lordithon thoracicus (Fabricius, 1777)")</f>
        <v>Lordithon thoracicus (Fabricius, 1777)</v>
      </c>
      <c r="AH13917" s="4" t="str">
        <f>HYPERLINK("#Statut_biogéographique!A"&amp;_xlfn.XMATCH("P",Statut_biogéographique!A:A,2,1),"P")</f>
        <v>P</v>
      </c>
      <c r="AP13917" s="4" t="s">
        <v>376</v>
      </c>
      <c r="AR13917" s="4" t="s">
        <v>377</v>
      </c>
    </row>
    <row r="13918" spans="1:44">
      <c r="A13918" s="4" t="s">
        <v>10753</v>
      </c>
      <c r="B13918" s="4">
        <v>243935</v>
      </c>
      <c r="D13918" s="5" t="s">
        <v>16586</v>
      </c>
      <c r="E13918" s="6" t="str">
        <f>HYPERLINK("https://inpn.mnhn.fr/espece/cd_nom/243935","Lordithon trinotatus (Erichson, 1839)")</f>
        <v>Lordithon trinotatus (Erichson, 1839)</v>
      </c>
      <c r="AH13918" s="4" t="str">
        <f>HYPERLINK("#Statut_biogéographique!A"&amp;_xlfn.XMATCH("P",Statut_biogéographique!A:A,2,1),"P")</f>
        <v>P</v>
      </c>
      <c r="AP13918" s="4" t="s">
        <v>376</v>
      </c>
      <c r="AR13918" s="4" t="s">
        <v>377</v>
      </c>
    </row>
    <row r="13919" spans="1:44">
      <c r="A13919" s="4" t="s">
        <v>10753</v>
      </c>
      <c r="B13919" s="4">
        <v>243939</v>
      </c>
      <c r="D13919" s="5" t="s">
        <v>16587</v>
      </c>
      <c r="E13919" s="6" t="str">
        <f>HYPERLINK("https://inpn.mnhn.fr/espece/cd_nom/243939","Ischnosoma splendidum (Gravenhorst, 1806)")</f>
        <v>Ischnosoma splendidum (Gravenhorst, 1806)</v>
      </c>
      <c r="AH13919" s="4" t="str">
        <f>HYPERLINK("#Statut_biogéographique!A"&amp;_xlfn.XMATCH("P",Statut_biogéographique!A:A,2,1),"P")</f>
        <v>P</v>
      </c>
      <c r="AP13919" s="4" t="s">
        <v>376</v>
      </c>
      <c r="AR13919" s="4" t="s">
        <v>377</v>
      </c>
    </row>
    <row r="13920" spans="1:44">
      <c r="A13920" s="4" t="s">
        <v>10753</v>
      </c>
      <c r="B13920" s="4">
        <v>243940</v>
      </c>
      <c r="D13920" s="5" t="s">
        <v>16588</v>
      </c>
      <c r="E13920" s="6" t="str">
        <f>HYPERLINK("https://inpn.mnhn.fr/espece/cd_nom/243940","Carphacis striatus (Olivier, 1795)")</f>
        <v>Carphacis striatus (Olivier, 1795)</v>
      </c>
      <c r="AH13920" s="4" t="str">
        <f>HYPERLINK("#Statut_biogéographique!A"&amp;_xlfn.XMATCH("P",Statut_biogéographique!A:A,2,1),"P")</f>
        <v>P</v>
      </c>
      <c r="AP13920" s="4" t="s">
        <v>376</v>
      </c>
      <c r="AR13920" s="4" t="s">
        <v>377</v>
      </c>
    </row>
    <row r="13921" spans="1:44">
      <c r="A13921" s="4" t="s">
        <v>10753</v>
      </c>
      <c r="B13921" s="4">
        <v>243954</v>
      </c>
      <c r="D13921" s="5" t="s">
        <v>16589</v>
      </c>
      <c r="E13921" s="6" t="str">
        <f>HYPERLINK("https://inpn.mnhn.fr/espece/cd_nom/243954","Stenus argus Gravenhorst, 1806")</f>
        <v>Stenus argus Gravenhorst, 1806</v>
      </c>
      <c r="AH13921" s="4" t="str">
        <f>HYPERLINK("#Statut_biogéographique!A"&amp;_xlfn.XMATCH("P",Statut_biogéographique!A:A,2,1),"P")</f>
        <v>P</v>
      </c>
      <c r="AP13921" s="4" t="s">
        <v>376</v>
      </c>
      <c r="AR13921" s="4" t="s">
        <v>377</v>
      </c>
    </row>
    <row r="13922" spans="1:44">
      <c r="A13922" s="4" t="s">
        <v>10753</v>
      </c>
      <c r="B13922" s="4">
        <v>243956</v>
      </c>
      <c r="D13922" s="5" t="s">
        <v>16590</v>
      </c>
      <c r="E13922" s="6" t="str">
        <f>HYPERLINK("https://inpn.mnhn.fr/espece/cd_nom/243956","Stenus atratulus Erichson, 1839")</f>
        <v>Stenus atratulus Erichson, 1839</v>
      </c>
      <c r="AH13922" s="4" t="str">
        <f>HYPERLINK("#Statut_biogéographique!A"&amp;_xlfn.XMATCH("P",Statut_biogéographique!A:A,2,1),"P")</f>
        <v>P</v>
      </c>
      <c r="AP13922" s="4" t="s">
        <v>376</v>
      </c>
      <c r="AR13922" s="4" t="s">
        <v>377</v>
      </c>
    </row>
    <row r="13923" spans="1:44">
      <c r="A13923" s="4" t="s">
        <v>10753</v>
      </c>
      <c r="B13923" s="4">
        <v>243959</v>
      </c>
      <c r="D13923" s="5">
        <v>243959</v>
      </c>
      <c r="E13923" s="6" t="str">
        <f>HYPERLINK("https://inpn.mnhn.fr/espece/cd_nom/243959","Stenus bifoveolatus Gyllenhal, 1827")</f>
        <v>Stenus bifoveolatus Gyllenhal, 1827</v>
      </c>
      <c r="AH13923" s="4" t="str">
        <f>HYPERLINK("#Statut_biogéographique!A"&amp;_xlfn.XMATCH("P",Statut_biogéographique!A:A,2,1),"P")</f>
        <v>P</v>
      </c>
      <c r="AP13923" s="4" t="s">
        <v>376</v>
      </c>
      <c r="AR13923" s="4" t="s">
        <v>377</v>
      </c>
    </row>
    <row r="13924" spans="1:44">
      <c r="A13924" s="4" t="s">
        <v>10753</v>
      </c>
      <c r="B13924" s="4">
        <v>24396</v>
      </c>
      <c r="D13924" s="5" t="s">
        <v>16591</v>
      </c>
      <c r="E13924" s="6" t="str">
        <f>HYPERLINK("https://inpn.mnhn.fr/espece/cd_nom/24396","Pipizella pennina (Goeldlin, 1974)")</f>
        <v>Pipizella pennina (Goeldlin, 1974)</v>
      </c>
      <c r="O13924" s="7" t="str">
        <f>HYPERLINK("#Liste_rouge!A"&amp;_xlfn.XMATCH("LC",Liste_rouge!A:A,2,1),"LC")</f>
        <v>LC</v>
      </c>
      <c r="P13924" s="7" t="str">
        <f>HYPERLINK("#Liste_rouge!A"&amp;_xlfn.XMATCH("LC",Liste_rouge!A:A,2,1),"LC")</f>
        <v>LC</v>
      </c>
      <c r="AH13924" s="4" t="str">
        <f>HYPERLINK("#Statut_biogéographique!A"&amp;_xlfn.XMATCH("P",Statut_biogéographique!A:A,2,1),"P")</f>
        <v>P</v>
      </c>
      <c r="AP13924" s="4" t="s">
        <v>376</v>
      </c>
      <c r="AR13924" s="4" t="s">
        <v>377</v>
      </c>
    </row>
    <row r="13925" spans="1:44">
      <c r="A13925" s="4" t="s">
        <v>10753</v>
      </c>
      <c r="B13925" s="4">
        <v>243960</v>
      </c>
      <c r="D13925" s="5" t="s">
        <v>16592</v>
      </c>
      <c r="E13925" s="6" t="str">
        <f>HYPERLINK("https://inpn.mnhn.fr/espece/cd_nom/243960","Stenus biguttatus (Linnaeus, 1758)")</f>
        <v>Stenus biguttatus (Linnaeus, 1758)</v>
      </c>
      <c r="F13925" s="5" t="s">
        <v>16593</v>
      </c>
      <c r="AH13925" s="4" t="str">
        <f>HYPERLINK("#Statut_biogéographique!A"&amp;_xlfn.XMATCH("P",Statut_biogéographique!A:A,2,1),"P")</f>
        <v>P</v>
      </c>
      <c r="AP13925" s="4" t="s">
        <v>376</v>
      </c>
      <c r="AR13925" s="4" t="s">
        <v>377</v>
      </c>
    </row>
    <row r="13926" spans="1:44">
      <c r="A13926" s="4" t="s">
        <v>10753</v>
      </c>
      <c r="B13926" s="4">
        <v>243962</v>
      </c>
      <c r="D13926" s="5">
        <v>243962</v>
      </c>
      <c r="E13926" s="6" t="str">
        <f>HYPERLINK("https://inpn.mnhn.fr/espece/cd_nom/243962","Stenus boops Ljungh, 1810")</f>
        <v>Stenus boops Ljungh, 1810</v>
      </c>
      <c r="AH13926" s="4" t="str">
        <f>HYPERLINK("#Statut_biogéographique!A"&amp;_xlfn.XMATCH("P",Statut_biogéographique!A:A,2,1),"P")</f>
        <v>P</v>
      </c>
      <c r="AP13926" s="4" t="s">
        <v>376</v>
      </c>
      <c r="AR13926" s="4" t="s">
        <v>377</v>
      </c>
    </row>
    <row r="13927" spans="1:44">
      <c r="A13927" s="4" t="s">
        <v>10753</v>
      </c>
      <c r="B13927" s="4">
        <v>243963</v>
      </c>
      <c r="D13927" s="5">
        <v>243963</v>
      </c>
      <c r="E13927" s="6" t="str">
        <f>HYPERLINK("https://inpn.mnhn.fr/espece/cd_nom/243963","Stenus brunnipes Stephens, 1833")</f>
        <v>Stenus brunnipes Stephens, 1833</v>
      </c>
      <c r="AH13927" s="4" t="str">
        <f>HYPERLINK("#Statut_biogéographique!A"&amp;_xlfn.XMATCH("P",Statut_biogéographique!A:A,2,1),"P")</f>
        <v>P</v>
      </c>
      <c r="AP13927" s="4" t="s">
        <v>376</v>
      </c>
      <c r="AR13927" s="4" t="s">
        <v>377</v>
      </c>
    </row>
    <row r="13928" spans="1:44">
      <c r="A13928" s="4" t="s">
        <v>10753</v>
      </c>
      <c r="B13928" s="4">
        <v>243970</v>
      </c>
      <c r="D13928" s="5" t="s">
        <v>16594</v>
      </c>
      <c r="E13928" s="6" t="str">
        <f>HYPERLINK("https://inpn.mnhn.fr/espece/cd_nom/243970","Stenus cicindeloides (Schaller, 1783)")</f>
        <v>Stenus cicindeloides (Schaller, 1783)</v>
      </c>
      <c r="AH13928" s="4" t="str">
        <f>HYPERLINK("#Statut_biogéographique!A"&amp;_xlfn.XMATCH("P",Statut_biogéographique!A:A,2,1),"P")</f>
        <v>P</v>
      </c>
      <c r="AP13928" s="4" t="s">
        <v>376</v>
      </c>
      <c r="AR13928" s="4" t="s">
        <v>377</v>
      </c>
    </row>
    <row r="13929" spans="1:44">
      <c r="A13929" s="4" t="s">
        <v>10753</v>
      </c>
      <c r="B13929" s="4">
        <v>243971</v>
      </c>
      <c r="D13929" s="5" t="s">
        <v>16595</v>
      </c>
      <c r="E13929" s="6" t="str">
        <f>HYPERLINK("https://inpn.mnhn.fr/espece/cd_nom/243971","Stenus circularis Gravenhorst, 1802")</f>
        <v>Stenus circularis Gravenhorst, 1802</v>
      </c>
      <c r="AH13929" s="4" t="str">
        <f>HYPERLINK("#Statut_biogéographique!A"&amp;_xlfn.XMATCH("P",Statut_biogéographique!A:A,2,1),"P")</f>
        <v>P</v>
      </c>
      <c r="AP13929" s="4" t="s">
        <v>376</v>
      </c>
      <c r="AR13929" s="4" t="s">
        <v>377</v>
      </c>
    </row>
    <row r="13930" spans="1:44">
      <c r="A13930" s="4" t="s">
        <v>10753</v>
      </c>
      <c r="B13930" s="4">
        <v>243972</v>
      </c>
      <c r="D13930" s="5">
        <v>243972</v>
      </c>
      <c r="E13930" s="6" t="str">
        <f>HYPERLINK("https://inpn.mnhn.fr/espece/cd_nom/243972","Stenus comma LeConte, 1863")</f>
        <v>Stenus comma LeConte, 1863</v>
      </c>
      <c r="AH13930" s="4" t="str">
        <f>HYPERLINK("#Statut_biogéographique!A"&amp;_xlfn.XMATCH("P",Statut_biogéographique!A:A,2,1),"P")</f>
        <v>P</v>
      </c>
      <c r="AP13930" s="4" t="s">
        <v>376</v>
      </c>
      <c r="AR13930" s="4" t="s">
        <v>377</v>
      </c>
    </row>
    <row r="13931" spans="1:44">
      <c r="A13931" s="4" t="s">
        <v>10753</v>
      </c>
      <c r="B13931" s="4">
        <v>243978</v>
      </c>
      <c r="D13931" s="5">
        <v>243978</v>
      </c>
      <c r="E13931" s="6" t="str">
        <f>HYPERLINK("https://inpn.mnhn.fr/espece/cd_nom/243978","Stenus excubitor Erichson, 1839")</f>
        <v>Stenus excubitor Erichson, 1839</v>
      </c>
      <c r="AH13931" s="4" t="str">
        <f>HYPERLINK("#Statut_biogéographique!A"&amp;_xlfn.XMATCH("P",Statut_biogéographique!A:A,2,1),"P")</f>
        <v>P</v>
      </c>
      <c r="AP13931" s="4" t="s">
        <v>376</v>
      </c>
      <c r="AR13931" s="4" t="s">
        <v>377</v>
      </c>
    </row>
    <row r="13932" spans="1:44" ht="30">
      <c r="A13932" s="4" t="s">
        <v>10753</v>
      </c>
      <c r="B13932" s="4">
        <v>24398</v>
      </c>
      <c r="D13932" s="5" t="s">
        <v>16596</v>
      </c>
      <c r="E13932" s="6" t="str">
        <f>HYPERLINK("https://inpn.mnhn.fr/espece/cd_nom/24398","Pipizella virens (Fabricius, 1805)")</f>
        <v>Pipizella virens (Fabricius, 1805)</v>
      </c>
      <c r="P13932" s="7" t="str">
        <f>HYPERLINK("#Liste_rouge!A"&amp;_xlfn.XMATCH("LC",Liste_rouge!A:A,2,1),"LC")</f>
        <v>LC</v>
      </c>
      <c r="AH13932" s="4" t="str">
        <f>HYPERLINK("#Statut_biogéographique!A"&amp;_xlfn.XMATCH("P",Statut_biogéographique!A:A,2,1),"P")</f>
        <v>P</v>
      </c>
      <c r="AP13932" s="4" t="s">
        <v>376</v>
      </c>
      <c r="AR13932" s="4" t="s">
        <v>377</v>
      </c>
    </row>
    <row r="13933" spans="1:44">
      <c r="A13933" s="4" t="s">
        <v>10753</v>
      </c>
      <c r="B13933" s="4">
        <v>243980</v>
      </c>
      <c r="D13933" s="5">
        <v>243980</v>
      </c>
      <c r="E13933" s="6" t="str">
        <f>HYPERLINK("https://inpn.mnhn.fr/espece/cd_nom/243980","Stenus flavipes Stephens, 1833")</f>
        <v>Stenus flavipes Stephens, 1833</v>
      </c>
      <c r="AH13933" s="4" t="str">
        <f>HYPERLINK("#Statut_biogéographique!A"&amp;_xlfn.XMATCH("P",Statut_biogéographique!A:A,2,1),"P")</f>
        <v>P</v>
      </c>
      <c r="AP13933" s="4" t="s">
        <v>376</v>
      </c>
      <c r="AR13933" s="4" t="s">
        <v>377</v>
      </c>
    </row>
    <row r="13934" spans="1:44">
      <c r="A13934" s="4" t="s">
        <v>10753</v>
      </c>
      <c r="B13934" s="4">
        <v>243983</v>
      </c>
      <c r="D13934" s="5">
        <v>243983</v>
      </c>
      <c r="E13934" s="6" t="str">
        <f>HYPERLINK("https://inpn.mnhn.fr/espece/cd_nom/243983","Stenus fossulatus Erichson, 1840")</f>
        <v>Stenus fossulatus Erichson, 1840</v>
      </c>
      <c r="AH13934" s="4" t="str">
        <f>HYPERLINK("#Statut_biogéographique!A"&amp;_xlfn.XMATCH("P",Statut_biogéographique!A:A,2,1),"P")</f>
        <v>P</v>
      </c>
      <c r="AP13934" s="4" t="s">
        <v>376</v>
      </c>
      <c r="AR13934" s="4" t="s">
        <v>377</v>
      </c>
    </row>
    <row r="13935" spans="1:44">
      <c r="A13935" s="4" t="s">
        <v>10753</v>
      </c>
      <c r="B13935" s="4">
        <v>243986</v>
      </c>
      <c r="D13935" s="5">
        <v>243986</v>
      </c>
      <c r="E13935" s="6" t="str">
        <f>HYPERLINK("https://inpn.mnhn.fr/espece/cd_nom/243986","Stenus fuscicornis Erichson, 1840")</f>
        <v>Stenus fuscicornis Erichson, 1840</v>
      </c>
      <c r="AH13935" s="4" t="str">
        <f>HYPERLINK("#Statut_biogéographique!A"&amp;_xlfn.XMATCH("P",Statut_biogéographique!A:A,2,1),"P")</f>
        <v>P</v>
      </c>
      <c r="AP13935" s="4" t="s">
        <v>376</v>
      </c>
      <c r="AR13935" s="4" t="s">
        <v>377</v>
      </c>
    </row>
    <row r="13936" spans="1:44">
      <c r="A13936" s="4" t="s">
        <v>10753</v>
      </c>
      <c r="B13936" s="4">
        <v>243989</v>
      </c>
      <c r="D13936" s="5">
        <v>243989</v>
      </c>
      <c r="E13936" s="6" t="str">
        <f>HYPERLINK("https://inpn.mnhn.fr/espece/cd_nom/243989","Stenus geniculatus Gravenhorst, 1806")</f>
        <v>Stenus geniculatus Gravenhorst, 1806</v>
      </c>
      <c r="AH13936" s="4" t="str">
        <f>HYPERLINK("#Statut_biogéographique!A"&amp;_xlfn.XMATCH("P",Statut_biogéographique!A:A,2,1),"P")</f>
        <v>P</v>
      </c>
      <c r="AP13936" s="4" t="s">
        <v>376</v>
      </c>
      <c r="AR13936" s="4" t="s">
        <v>377</v>
      </c>
    </row>
    <row r="13937" spans="1:44">
      <c r="A13937" s="4" t="s">
        <v>10753</v>
      </c>
      <c r="B13937" s="4">
        <v>24399</v>
      </c>
      <c r="D13937" s="5" t="s">
        <v>16597</v>
      </c>
      <c r="E13937" s="6" t="str">
        <f>HYPERLINK("https://inpn.mnhn.fr/espece/cd_nom/24399","Pipizella zeneggenensis (Goeldlin, 1974)")</f>
        <v>Pipizella zeneggenensis (Goeldlin, 1974)</v>
      </c>
      <c r="O13937" s="7" t="str">
        <f>HYPERLINK("#Liste_rouge!A"&amp;_xlfn.XMATCH("LC",Liste_rouge!A:A,2,1),"LC")</f>
        <v>LC</v>
      </c>
      <c r="P13937" s="7" t="str">
        <f>HYPERLINK("#Liste_rouge!A"&amp;_xlfn.XMATCH("LC",Liste_rouge!A:A,2,1),"LC")</f>
        <v>LC</v>
      </c>
      <c r="AH13937" s="4" t="str">
        <f>HYPERLINK("#Statut_biogéographique!A"&amp;_xlfn.XMATCH("P",Statut_biogéographique!A:A,2,1),"P")</f>
        <v>P</v>
      </c>
      <c r="AP13937" s="4" t="s">
        <v>376</v>
      </c>
      <c r="AR13937" s="4" t="s">
        <v>377</v>
      </c>
    </row>
    <row r="13938" spans="1:44">
      <c r="A13938" s="4" t="s">
        <v>10753</v>
      </c>
      <c r="B13938" s="4">
        <v>243996</v>
      </c>
      <c r="D13938" s="5">
        <v>243996</v>
      </c>
      <c r="E13938" s="6" t="str">
        <f>HYPERLINK("https://inpn.mnhn.fr/espece/cd_nom/243996","Stenus kiesenwetteri Rosenhauer, 1856")</f>
        <v>Stenus kiesenwetteri Rosenhauer, 1856</v>
      </c>
      <c r="AH13938" s="4" t="str">
        <f>HYPERLINK("#Statut_biogéographique!A"&amp;_xlfn.XMATCH("P",Statut_biogéographique!A:A,2,1),"P")</f>
        <v>P</v>
      </c>
      <c r="AP13938" s="4" t="s">
        <v>376</v>
      </c>
      <c r="AR13938" s="4" t="s">
        <v>377</v>
      </c>
    </row>
    <row r="13939" spans="1:44">
      <c r="A13939" s="4" t="s">
        <v>10753</v>
      </c>
      <c r="B13939" s="4">
        <v>244000</v>
      </c>
      <c r="D13939" s="5">
        <v>244000</v>
      </c>
      <c r="E13939" s="6" t="str">
        <f>HYPERLINK("https://inpn.mnhn.fr/espece/cd_nom/244000","Stenus latifrons Erichson, 1839")</f>
        <v>Stenus latifrons Erichson, 1839</v>
      </c>
      <c r="AH13939" s="4" t="str">
        <f>HYPERLINK("#Statut_biogéographique!A"&amp;_xlfn.XMATCH("P",Statut_biogéographique!A:A,2,1),"P")</f>
        <v>P</v>
      </c>
      <c r="AP13939" s="4" t="s">
        <v>376</v>
      </c>
      <c r="AR13939" s="4" t="s">
        <v>377</v>
      </c>
    </row>
    <row r="13940" spans="1:44">
      <c r="A13940" s="4" t="s">
        <v>10753</v>
      </c>
      <c r="B13940" s="4">
        <v>244004</v>
      </c>
      <c r="D13940" s="5">
        <v>244004</v>
      </c>
      <c r="E13940" s="6" t="str">
        <f>HYPERLINK("https://inpn.mnhn.fr/espece/cd_nom/244004","Stenus ludyi Fauvel, 1886")</f>
        <v>Stenus ludyi Fauvel, 1886</v>
      </c>
      <c r="AH13940" s="4" t="str">
        <f>HYPERLINK("#Statut_biogéographique!A"&amp;_xlfn.XMATCH("P",Statut_biogéographique!A:A,2,1),"P")</f>
        <v>P</v>
      </c>
      <c r="AP13940" s="4" t="s">
        <v>376</v>
      </c>
      <c r="AR13940" s="4" t="s">
        <v>377</v>
      </c>
    </row>
    <row r="13941" spans="1:44">
      <c r="A13941" s="4" t="s">
        <v>10753</v>
      </c>
      <c r="B13941" s="4">
        <v>244006</v>
      </c>
      <c r="D13941" s="5">
        <v>244006</v>
      </c>
      <c r="E13941" s="6" t="str">
        <f>HYPERLINK("https://inpn.mnhn.fr/espece/cd_nom/244006","Stenus macrocephalus Aubé, 1863")</f>
        <v>Stenus macrocephalus Aubé, 1863</v>
      </c>
      <c r="AH13941" s="4" t="str">
        <f>HYPERLINK("#Statut_biogéographique!A"&amp;_xlfn.XMATCH("P",Statut_biogéographique!A:A,2,1),"P")</f>
        <v>P</v>
      </c>
      <c r="AP13941" s="4" t="s">
        <v>376</v>
      </c>
      <c r="AR13941" s="4" t="s">
        <v>377</v>
      </c>
    </row>
    <row r="13942" spans="1:44">
      <c r="A13942" s="4" t="s">
        <v>10753</v>
      </c>
      <c r="B13942" s="4">
        <v>244007</v>
      </c>
      <c r="D13942" s="5">
        <v>244007</v>
      </c>
      <c r="E13942" s="6" t="str">
        <f>HYPERLINK("https://inpn.mnhn.fr/espece/cd_nom/244007","Stenus melanarius Stephens, 1833")</f>
        <v>Stenus melanarius Stephens, 1833</v>
      </c>
      <c r="AH13942" s="4" t="str">
        <f>HYPERLINK("#Statut_biogéographique!A"&amp;_xlfn.XMATCH("P",Statut_biogéographique!A:A,2,1),"P")</f>
        <v>P</v>
      </c>
      <c r="AP13942" s="4" t="s">
        <v>376</v>
      </c>
      <c r="AR13942" s="4" t="s">
        <v>377</v>
      </c>
    </row>
    <row r="13943" spans="1:44">
      <c r="A13943" s="4" t="s">
        <v>10753</v>
      </c>
      <c r="B13943" s="4">
        <v>24401</v>
      </c>
      <c r="D13943" s="5" t="s">
        <v>16598</v>
      </c>
      <c r="E13943" s="6" t="str">
        <f>HYPERLINK("https://inpn.mnhn.fr/espece/cd_nom/24401","Pyrophaena granditarsa (Forster, 1771)")</f>
        <v>Pyrophaena granditarsa (Forster, 1771)</v>
      </c>
      <c r="P13943" s="7" t="str">
        <f>HYPERLINK("#Liste_rouge!A"&amp;_xlfn.XMATCH("NT",Liste_rouge!A:A,2,1),"NT")</f>
        <v>NT</v>
      </c>
      <c r="AH13943" s="4" t="str">
        <f>HYPERLINK("#Statut_biogéographique!A"&amp;_xlfn.XMATCH("P",Statut_biogéographique!A:A,2,1),"P")</f>
        <v>P</v>
      </c>
      <c r="AP13943" s="4" t="s">
        <v>376</v>
      </c>
      <c r="AR13943" s="4" t="s">
        <v>377</v>
      </c>
    </row>
    <row r="13944" spans="1:44">
      <c r="A13944" s="4" t="s">
        <v>10753</v>
      </c>
      <c r="B13944" s="4">
        <v>244015</v>
      </c>
      <c r="D13944" s="5" t="s">
        <v>16599</v>
      </c>
      <c r="E13944" s="6" t="str">
        <f>HYPERLINK("https://inpn.mnhn.fr/espece/cd_nom/244015","Stenus ochropus Kiesenwetter, 1858")</f>
        <v>Stenus ochropus Kiesenwetter, 1858</v>
      </c>
      <c r="AH13944" s="4" t="str">
        <f>HYPERLINK("#Statut_biogéographique!A"&amp;_xlfn.XMATCH("P",Statut_biogéographique!A:A,2,1),"P")</f>
        <v>P</v>
      </c>
      <c r="AP13944" s="4" t="s">
        <v>376</v>
      </c>
      <c r="AR13944" s="4" t="s">
        <v>377</v>
      </c>
    </row>
    <row r="13945" spans="1:44">
      <c r="A13945" s="4" t="s">
        <v>10753</v>
      </c>
      <c r="B13945" s="4">
        <v>244019</v>
      </c>
      <c r="D13945" s="5">
        <v>244019</v>
      </c>
      <c r="E13945" s="6" t="str">
        <f>HYPERLINK("https://inpn.mnhn.fr/espece/cd_nom/244019","Stenus pallipes Gravenhorst, 1802")</f>
        <v>Stenus pallipes Gravenhorst, 1802</v>
      </c>
      <c r="AH13945" s="4" t="str">
        <f>HYPERLINK("#Statut_biogéographique!A"&amp;_xlfn.XMATCH("P",Statut_biogéographique!A:A,2,1),"P")</f>
        <v>P</v>
      </c>
      <c r="AP13945" s="4" t="s">
        <v>376</v>
      </c>
      <c r="AR13945" s="4" t="s">
        <v>377</v>
      </c>
    </row>
    <row r="13946" spans="1:44">
      <c r="A13946" s="4" t="s">
        <v>10753</v>
      </c>
      <c r="B13946" s="4">
        <v>24403</v>
      </c>
      <c r="D13946" s="5" t="s">
        <v>16600</v>
      </c>
      <c r="E13946" s="6" t="str">
        <f>HYPERLINK("https://inpn.mnhn.fr/espece/cd_nom/24403","Pyrophaena rosarum (Fabricius, 1787)")</f>
        <v>Pyrophaena rosarum (Fabricius, 1787)</v>
      </c>
      <c r="P13946" s="7" t="str">
        <f>HYPERLINK("#Liste_rouge!A"&amp;_xlfn.XMATCH("LC",Liste_rouge!A:A,2,1),"LC")</f>
        <v>LC</v>
      </c>
      <c r="AH13946" s="4" t="str">
        <f>HYPERLINK("#Statut_biogéographique!A"&amp;_xlfn.XMATCH("P",Statut_biogéographique!A:A,2,1),"P")</f>
        <v>P</v>
      </c>
      <c r="AP13946" s="4" t="s">
        <v>376</v>
      </c>
      <c r="AR13946" s="4" t="s">
        <v>377</v>
      </c>
    </row>
    <row r="13947" spans="1:44">
      <c r="A13947" s="4" t="s">
        <v>10753</v>
      </c>
      <c r="B13947" s="4">
        <v>244034</v>
      </c>
      <c r="D13947" s="5" t="s">
        <v>16601</v>
      </c>
      <c r="E13947" s="6" t="str">
        <f>HYPERLINK("https://inpn.mnhn.fr/espece/cd_nom/244034","Stenus similis (Herbst, 1784)")</f>
        <v>Stenus similis (Herbst, 1784)</v>
      </c>
      <c r="AH13947" s="4" t="str">
        <f>HYPERLINK("#Statut_biogéographique!A"&amp;_xlfn.XMATCH("P",Statut_biogéographique!A:A,2,1),"P")</f>
        <v>P</v>
      </c>
      <c r="AP13947" s="4" t="s">
        <v>376</v>
      </c>
      <c r="AR13947" s="4" t="s">
        <v>377</v>
      </c>
    </row>
    <row r="13948" spans="1:44">
      <c r="A13948" s="4" t="s">
        <v>10753</v>
      </c>
      <c r="B13948" s="4">
        <v>244042</v>
      </c>
      <c r="D13948" s="5" t="s">
        <v>16602</v>
      </c>
      <c r="E13948" s="6" t="str">
        <f>HYPERLINK("https://inpn.mnhn.fr/espece/cd_nom/244042","Dianous coerulescens (Gyllenhal, 1810)")</f>
        <v>Dianous coerulescens (Gyllenhal, 1810)</v>
      </c>
      <c r="AH13948" s="4" t="str">
        <f>HYPERLINK("#Statut_biogéographique!A"&amp;_xlfn.XMATCH("P",Statut_biogéographique!A:A,2,1),"P")</f>
        <v>P</v>
      </c>
      <c r="AP13948" s="4" t="s">
        <v>376</v>
      </c>
      <c r="AR13948" s="4" t="s">
        <v>377</v>
      </c>
    </row>
    <row r="13949" spans="1:44">
      <c r="A13949" s="4" t="s">
        <v>10753</v>
      </c>
      <c r="B13949" s="4">
        <v>244080</v>
      </c>
      <c r="D13949" s="5">
        <v>244080</v>
      </c>
      <c r="E13949" s="6" t="str">
        <f>HYPERLINK("https://inpn.mnhn.fr/espece/cd_nom/244080","Euaesthetus laeviusculus Mannerheim, 1844")</f>
        <v>Euaesthetus laeviusculus Mannerheim, 1844</v>
      </c>
      <c r="AH13949" s="4" t="str">
        <f>HYPERLINK("#Statut_biogéographique!A"&amp;_xlfn.XMATCH("P",Statut_biogéographique!A:A,2,1),"P")</f>
        <v>P</v>
      </c>
      <c r="AP13949" s="4" t="s">
        <v>376</v>
      </c>
      <c r="AR13949" s="4" t="s">
        <v>377</v>
      </c>
    </row>
    <row r="13950" spans="1:44">
      <c r="A13950" s="4" t="s">
        <v>10753</v>
      </c>
      <c r="B13950" s="4">
        <v>244082</v>
      </c>
      <c r="D13950" s="5">
        <v>244082</v>
      </c>
      <c r="E13950" s="6" t="str">
        <f>HYPERLINK("https://inpn.mnhn.fr/espece/cd_nom/244082","Euaesthetus superlatus Peyerimhoff, 1937")</f>
        <v>Euaesthetus superlatus Peyerimhoff, 1937</v>
      </c>
      <c r="AH13950" s="4" t="str">
        <f>HYPERLINK("#Statut_biogéographique!A"&amp;_xlfn.XMATCH("P",Statut_biogéographique!A:A,2,1),"P")</f>
        <v>P</v>
      </c>
      <c r="AP13950" s="4" t="s">
        <v>376</v>
      </c>
      <c r="AR13950" s="4" t="s">
        <v>377</v>
      </c>
    </row>
    <row r="13951" spans="1:44" ht="30">
      <c r="A13951" s="4" t="s">
        <v>10753</v>
      </c>
      <c r="B13951" s="4">
        <v>244085</v>
      </c>
      <c r="D13951" s="5" t="s">
        <v>16603</v>
      </c>
      <c r="E13951" s="6" t="str">
        <f>HYPERLINK("https://inpn.mnhn.fr/espece/cd_nom/244085","Habrocerus capillaricornis (Gravenhorst, 1806)")</f>
        <v>Habrocerus capillaricornis (Gravenhorst, 1806)</v>
      </c>
      <c r="AH13951" s="4" t="str">
        <f>HYPERLINK("#Statut_biogéographique!A"&amp;_xlfn.XMATCH("P",Statut_biogéographique!A:A,2,1),"P")</f>
        <v>P</v>
      </c>
      <c r="AP13951" s="4" t="s">
        <v>376</v>
      </c>
      <c r="AR13951" s="4" t="s">
        <v>377</v>
      </c>
    </row>
    <row r="13952" spans="1:44">
      <c r="A13952" s="4" t="s">
        <v>10753</v>
      </c>
      <c r="B13952" s="4">
        <v>244097</v>
      </c>
      <c r="D13952" s="5" t="s">
        <v>16604</v>
      </c>
      <c r="E13952" s="6" t="str">
        <f>HYPERLINK("https://inpn.mnhn.fr/espece/cd_nom/244097","Amarochara bonnairei (Fauvel, 1865)")</f>
        <v>Amarochara bonnairei (Fauvel, 1865)</v>
      </c>
      <c r="AH13952" s="4" t="str">
        <f>HYPERLINK("#Statut_biogéographique!A"&amp;_xlfn.XMATCH("P",Statut_biogéographique!A:A,2,1),"P")</f>
        <v>P</v>
      </c>
      <c r="AP13952" s="4" t="s">
        <v>376</v>
      </c>
      <c r="AR13952" s="4" t="s">
        <v>377</v>
      </c>
    </row>
    <row r="13953" spans="1:44">
      <c r="A13953" s="4" t="s">
        <v>10753</v>
      </c>
      <c r="B13953" s="4">
        <v>24410</v>
      </c>
      <c r="D13953" s="5" t="s">
        <v>16605</v>
      </c>
      <c r="E13953" s="6" t="str">
        <f>HYPERLINK("https://inpn.mnhn.fr/espece/cd_nom/24410","Trichopsomyia lucida (Meigen, 1822)")</f>
        <v>Trichopsomyia lucida (Meigen, 1822)</v>
      </c>
      <c r="O13953" s="7" t="str">
        <f>HYPERLINK("#Liste_rouge!A"&amp;_xlfn.XMATCH("VU",Liste_rouge!A:A,2,1),"VU")</f>
        <v>VU</v>
      </c>
      <c r="P13953" s="7" t="str">
        <f>HYPERLINK("#Liste_rouge!A"&amp;_xlfn.XMATCH("VU",Liste_rouge!A:A,2,1),"VU")</f>
        <v>VU</v>
      </c>
      <c r="AH13953" s="4" t="str">
        <f>HYPERLINK("#Statut_biogéographique!A"&amp;_xlfn.XMATCH("P",Statut_biogéographique!A:A,2,1),"P")</f>
        <v>P</v>
      </c>
      <c r="AP13953" s="4" t="s">
        <v>376</v>
      </c>
      <c r="AR13953" s="4" t="s">
        <v>377</v>
      </c>
    </row>
    <row r="13954" spans="1:44">
      <c r="A13954" s="4" t="s">
        <v>10753</v>
      </c>
      <c r="B13954" s="4">
        <v>24414</v>
      </c>
      <c r="D13954" s="5" t="s">
        <v>16606</v>
      </c>
      <c r="E13954" s="6" t="str">
        <f>HYPERLINK("https://inpn.mnhn.fr/espece/cd_nom/24414","Brachyopa bicolor (Fallén, 1817)")</f>
        <v>Brachyopa bicolor (Fallén, 1817)</v>
      </c>
      <c r="P13954" s="7" t="str">
        <f>HYPERLINK("#Liste_rouge!A"&amp;_xlfn.XMATCH("LC",Liste_rouge!A:A,2,1),"LC")</f>
        <v>LC</v>
      </c>
      <c r="AH13954" s="4" t="str">
        <f>HYPERLINK("#Statut_biogéographique!A"&amp;_xlfn.XMATCH("P",Statut_biogéographique!A:A,2,1),"P")</f>
        <v>P</v>
      </c>
      <c r="AP13954" s="4" t="s">
        <v>376</v>
      </c>
      <c r="AR13954" s="4" t="s">
        <v>377</v>
      </c>
    </row>
    <row r="13955" spans="1:44">
      <c r="A13955" s="4" t="s">
        <v>10753</v>
      </c>
      <c r="B13955" s="4">
        <v>244154</v>
      </c>
      <c r="D13955" s="5" t="s">
        <v>16607</v>
      </c>
      <c r="E13955" s="6" t="str">
        <f>HYPERLINK("https://inpn.mnhn.fr/espece/cd_nom/244154","Geostiba circellaris (Gravenhorst, 1806)")</f>
        <v>Geostiba circellaris (Gravenhorst, 1806)</v>
      </c>
      <c r="AH13955" s="4" t="str">
        <f>HYPERLINK("#Statut_biogéographique!A"&amp;_xlfn.XMATCH("P",Statut_biogéographique!A:A,2,1),"P")</f>
        <v>P</v>
      </c>
      <c r="AP13955" s="4" t="s">
        <v>376</v>
      </c>
      <c r="AR13955" s="4" t="s">
        <v>377</v>
      </c>
    </row>
    <row r="13956" spans="1:44">
      <c r="A13956" s="4" t="s">
        <v>10753</v>
      </c>
      <c r="B13956" s="4">
        <v>24416</v>
      </c>
      <c r="D13956" s="5">
        <v>24416</v>
      </c>
      <c r="E13956" s="6" t="str">
        <f>HYPERLINK("https://inpn.mnhn.fr/espece/cd_nom/24416","Brachyopa panzeri Goffe, 1945")</f>
        <v>Brachyopa panzeri Goffe, 1945</v>
      </c>
      <c r="P13956" s="7" t="str">
        <f>HYPERLINK("#Liste_rouge!A"&amp;_xlfn.XMATCH("LC",Liste_rouge!A:A,2,1),"LC")</f>
        <v>LC</v>
      </c>
      <c r="AH13956" s="4" t="str">
        <f>HYPERLINK("#Statut_biogéographique!A"&amp;_xlfn.XMATCH("P",Statut_biogéographique!A:A,2,1),"P")</f>
        <v>P</v>
      </c>
      <c r="AP13956" s="4" t="s">
        <v>376</v>
      </c>
      <c r="AR13956" s="4" t="s">
        <v>377</v>
      </c>
    </row>
    <row r="13957" spans="1:44">
      <c r="A13957" s="4" t="s">
        <v>10753</v>
      </c>
      <c r="B13957" s="4">
        <v>244170</v>
      </c>
      <c r="D13957" s="5" t="s">
        <v>16608</v>
      </c>
      <c r="E13957" s="6" t="str">
        <f>HYPERLINK("https://inpn.mnhn.fr/espece/cd_nom/244170","Cordalia obscura (Gravenhorst, 1802)")</f>
        <v>Cordalia obscura (Gravenhorst, 1802)</v>
      </c>
      <c r="AH13957" s="4" t="str">
        <f>HYPERLINK("#Statut_biogéographique!A"&amp;_xlfn.XMATCH("P",Statut_biogéographique!A:A,2,1),"P")</f>
        <v>P</v>
      </c>
      <c r="AP13957" s="4" t="s">
        <v>376</v>
      </c>
      <c r="AR13957" s="4" t="s">
        <v>377</v>
      </c>
    </row>
    <row r="13958" spans="1:44">
      <c r="A13958" s="4" t="s">
        <v>10753</v>
      </c>
      <c r="B13958" s="4">
        <v>244171</v>
      </c>
      <c r="D13958" s="5">
        <v>244171</v>
      </c>
      <c r="E13958" s="6" t="str">
        <f>HYPERLINK("https://inpn.mnhn.fr/espece/cd_nom/244171","Autalia longicornis Scheerpeltz, 1947")</f>
        <v>Autalia longicornis Scheerpeltz, 1947</v>
      </c>
      <c r="AH13958" s="4" t="str">
        <f>HYPERLINK("#Statut_biogéographique!A"&amp;_xlfn.XMATCH("P",Statut_biogéographique!A:A,2,1),"P")</f>
        <v>P</v>
      </c>
      <c r="AP13958" s="4" t="s">
        <v>376</v>
      </c>
      <c r="AR13958" s="4" t="s">
        <v>377</v>
      </c>
    </row>
    <row r="13959" spans="1:44">
      <c r="A13959" s="4" t="s">
        <v>10753</v>
      </c>
      <c r="B13959" s="4">
        <v>244172</v>
      </c>
      <c r="D13959" s="5" t="s">
        <v>16609</v>
      </c>
      <c r="E13959" s="6" t="str">
        <f>HYPERLINK("https://inpn.mnhn.fr/espece/cd_nom/244172","Autalia rivularis (Gravenhorst, 1802)")</f>
        <v>Autalia rivularis (Gravenhorst, 1802)</v>
      </c>
      <c r="AH13959" s="4" t="str">
        <f>HYPERLINK("#Statut_biogéographique!A"&amp;_xlfn.XMATCH("P",Statut_biogéographique!A:A,2,1),"P")</f>
        <v>P</v>
      </c>
      <c r="AP13959" s="4" t="s">
        <v>376</v>
      </c>
      <c r="AR13959" s="4" t="s">
        <v>377</v>
      </c>
    </row>
    <row r="13960" spans="1:44">
      <c r="A13960" s="4" t="s">
        <v>10753</v>
      </c>
      <c r="B13960" s="4">
        <v>24418</v>
      </c>
      <c r="D13960" s="5">
        <v>24418</v>
      </c>
      <c r="E13960" s="6" t="str">
        <f>HYPERLINK("https://inpn.mnhn.fr/espece/cd_nom/24418","Brachyopa pilosa Collin, 1939")</f>
        <v>Brachyopa pilosa Collin, 1939</v>
      </c>
      <c r="P13960" s="7" t="str">
        <f>HYPERLINK("#Liste_rouge!A"&amp;_xlfn.XMATCH("LC",Liste_rouge!A:A,2,1),"LC")</f>
        <v>LC</v>
      </c>
      <c r="AH13960" s="4" t="str">
        <f>HYPERLINK("#Statut_biogéographique!A"&amp;_xlfn.XMATCH("P",Statut_biogéographique!A:A,2,1),"P")</f>
        <v>P</v>
      </c>
      <c r="AP13960" s="4" t="s">
        <v>376</v>
      </c>
      <c r="AR13960" s="4" t="s">
        <v>377</v>
      </c>
    </row>
    <row r="13961" spans="1:44" ht="30">
      <c r="A13961" s="4" t="s">
        <v>10753</v>
      </c>
      <c r="B13961" s="4">
        <v>244183</v>
      </c>
      <c r="D13961" s="5" t="s">
        <v>16610</v>
      </c>
      <c r="E13961" s="6" t="str">
        <f>HYPERLINK("https://inpn.mnhn.fr/espece/cd_nom/244183","Leptusa fumida (Erichson, 1839)")</f>
        <v>Leptusa fumida (Erichson, 1839)</v>
      </c>
      <c r="AH13961" s="4" t="str">
        <f>HYPERLINK("#Statut_biogéographique!A"&amp;_xlfn.XMATCH("P",Statut_biogéographique!A:A,2,1),"P")</f>
        <v>P</v>
      </c>
      <c r="AP13961" s="4" t="s">
        <v>376</v>
      </c>
      <c r="AR13961" s="4" t="s">
        <v>377</v>
      </c>
    </row>
    <row r="13962" spans="1:44" ht="30">
      <c r="A13962" s="4" t="s">
        <v>10753</v>
      </c>
      <c r="B13962" s="4">
        <v>244184</v>
      </c>
      <c r="D13962" s="5" t="s">
        <v>16611</v>
      </c>
      <c r="E13962" s="6" t="str">
        <f>HYPERLINK("https://inpn.mnhn.fr/espece/cd_nom/244184","Leptusa ruficollis (Erichson, 1839)")</f>
        <v>Leptusa ruficollis (Erichson, 1839)</v>
      </c>
      <c r="AH13962" s="4" t="str">
        <f>HYPERLINK("#Statut_biogéographique!A"&amp;_xlfn.XMATCH("P",Statut_biogéographique!A:A,2,1),"P")</f>
        <v>P</v>
      </c>
      <c r="AP13962" s="4" t="s">
        <v>376</v>
      </c>
      <c r="AR13962" s="4" t="s">
        <v>377</v>
      </c>
    </row>
    <row r="13963" spans="1:44" ht="30">
      <c r="A13963" s="4" t="s">
        <v>10753</v>
      </c>
      <c r="B13963" s="4">
        <v>24419</v>
      </c>
      <c r="D13963" s="5">
        <v>24419</v>
      </c>
      <c r="E13963" s="6" t="str">
        <f>HYPERLINK("https://inpn.mnhn.fr/espece/cd_nom/24419","Brachyopa scutellaris Robineau-Desvoidy in Desmarest, 1843")</f>
        <v>Brachyopa scutellaris Robineau-Desvoidy in Desmarest, 1843</v>
      </c>
      <c r="O13963" s="7" t="str">
        <f>HYPERLINK("#Liste_rouge!A"&amp;_xlfn.XMATCH("LC",Liste_rouge!A:A,2,1),"LC")</f>
        <v>LC</v>
      </c>
      <c r="P13963" s="7" t="str">
        <f>HYPERLINK("#Liste_rouge!A"&amp;_xlfn.XMATCH("LC",Liste_rouge!A:A,2,1),"LC")</f>
        <v>LC</v>
      </c>
      <c r="AH13963" s="4" t="str">
        <f>HYPERLINK("#Statut_biogéographique!A"&amp;_xlfn.XMATCH("P",Statut_biogéographique!A:A,2,1),"P")</f>
        <v>P</v>
      </c>
      <c r="AP13963" s="4" t="s">
        <v>376</v>
      </c>
      <c r="AR13963" s="4" t="s">
        <v>377</v>
      </c>
    </row>
    <row r="13964" spans="1:44">
      <c r="A13964" s="4" t="s">
        <v>10753</v>
      </c>
      <c r="B13964" s="4">
        <v>24420</v>
      </c>
      <c r="D13964" s="5" t="s">
        <v>16612</v>
      </c>
      <c r="E13964" s="6" t="str">
        <f>HYPERLINK("https://inpn.mnhn.fr/espece/cd_nom/24420","Brachyopa testacea (Fallén, 1817)")</f>
        <v>Brachyopa testacea (Fallén, 1817)</v>
      </c>
      <c r="P13964" s="7" t="str">
        <f>HYPERLINK("#Liste_rouge!A"&amp;_xlfn.XMATCH("LC",Liste_rouge!A:A,2,1),"LC")</f>
        <v>LC</v>
      </c>
      <c r="AH13964" s="4" t="str">
        <f>HYPERLINK("#Statut_biogéographique!A"&amp;_xlfn.XMATCH("P",Statut_biogéographique!A:A,2,1),"P")</f>
        <v>P</v>
      </c>
      <c r="AP13964" s="4" t="s">
        <v>376</v>
      </c>
      <c r="AR13964" s="4" t="s">
        <v>377</v>
      </c>
    </row>
    <row r="13965" spans="1:44">
      <c r="A13965" s="4" t="s">
        <v>10753</v>
      </c>
      <c r="B13965" s="4">
        <v>24421</v>
      </c>
      <c r="D13965" s="5">
        <v>24421</v>
      </c>
      <c r="E13965" s="6" t="str">
        <f>HYPERLINK("https://inpn.mnhn.fr/espece/cd_nom/24421","Brachyopa vittata Zetterstedt, 1843")</f>
        <v>Brachyopa vittata Zetterstedt, 1843</v>
      </c>
      <c r="P13965" s="7" t="str">
        <f>HYPERLINK("#Liste_rouge!A"&amp;_xlfn.XMATCH("NT",Liste_rouge!A:A,2,1),"NT")</f>
        <v>NT</v>
      </c>
      <c r="AH13965" s="4" t="str">
        <f>HYPERLINK("#Statut_biogéographique!A"&amp;_xlfn.XMATCH("P",Statut_biogéographique!A:A,2,1),"P")</f>
        <v>P</v>
      </c>
      <c r="AP13965" s="4" t="s">
        <v>376</v>
      </c>
      <c r="AR13965" s="4" t="s">
        <v>377</v>
      </c>
    </row>
    <row r="13966" spans="1:44">
      <c r="A13966" s="4" t="s">
        <v>10753</v>
      </c>
      <c r="B13966" s="4">
        <v>244226</v>
      </c>
      <c r="D13966" s="5" t="s">
        <v>16613</v>
      </c>
      <c r="E13966" s="6" t="str">
        <f>HYPERLINK("https://inpn.mnhn.fr/espece/cd_nom/244226","Holobus apicatus (Erichson, 1837)")</f>
        <v>Holobus apicatus (Erichson, 1837)</v>
      </c>
      <c r="AH13966" s="4" t="str">
        <f>HYPERLINK("#Statut_biogéographique!A"&amp;_xlfn.XMATCH("P",Statut_biogéographique!A:A,2,1),"P")</f>
        <v>P</v>
      </c>
      <c r="AP13966" s="4" t="s">
        <v>376</v>
      </c>
      <c r="AR13966" s="4" t="s">
        <v>377</v>
      </c>
    </row>
    <row r="13967" spans="1:44" ht="30">
      <c r="A13967" s="4" t="s">
        <v>10753</v>
      </c>
      <c r="B13967" s="4">
        <v>244227</v>
      </c>
      <c r="D13967" s="5" t="s">
        <v>16614</v>
      </c>
      <c r="E13967" s="6" t="str">
        <f>HYPERLINK("https://inpn.mnhn.fr/espece/cd_nom/244227","Holobus flavicornis (Boisduval &amp; Lacordaire, 1835)")</f>
        <v>Holobus flavicornis (Boisduval &amp; Lacordaire, 1835)</v>
      </c>
      <c r="AH13967" s="4" t="str">
        <f>HYPERLINK("#Statut_biogéographique!A"&amp;_xlfn.XMATCH("P",Statut_biogéographique!A:A,2,1),"P")</f>
        <v>P</v>
      </c>
      <c r="AP13967" s="4" t="s">
        <v>376</v>
      </c>
      <c r="AR13967" s="4" t="s">
        <v>377</v>
      </c>
    </row>
    <row r="13968" spans="1:44">
      <c r="A13968" s="4" t="s">
        <v>10753</v>
      </c>
      <c r="B13968" s="4">
        <v>244253</v>
      </c>
      <c r="D13968" s="5" t="s">
        <v>16615</v>
      </c>
      <c r="E13968" s="6" t="str">
        <f>HYPERLINK("https://inpn.mnhn.fr/espece/cd_nom/244253","Batrisodes adnexus (C. Hampe, 1863)")</f>
        <v>Batrisodes adnexus (C. Hampe, 1863)</v>
      </c>
      <c r="AH13968" s="4" t="str">
        <f>HYPERLINK("#Statut_biogéographique!A"&amp;_xlfn.XMATCH("P",Statut_biogéographique!A:A,2,1),"P")</f>
        <v>P</v>
      </c>
      <c r="AP13968" s="4" t="s">
        <v>376</v>
      </c>
      <c r="AR13968" s="4" t="s">
        <v>377</v>
      </c>
    </row>
    <row r="13969" spans="1:44">
      <c r="A13969" s="4" t="s">
        <v>10753</v>
      </c>
      <c r="B13969" s="4">
        <v>244254</v>
      </c>
      <c r="D13969" s="5" t="s">
        <v>16616</v>
      </c>
      <c r="E13969" s="6" t="str">
        <f>HYPERLINK("https://inpn.mnhn.fr/espece/cd_nom/244254","Batrisodes buqueti (Aubé, 1833)")</f>
        <v>Batrisodes buqueti (Aubé, 1833)</v>
      </c>
      <c r="AH13969" s="4" t="str">
        <f>HYPERLINK("#Statut_biogéographique!A"&amp;_xlfn.XMATCH("P",Statut_biogéographique!A:A,2,1),"P")</f>
        <v>P</v>
      </c>
      <c r="AP13969" s="4" t="s">
        <v>376</v>
      </c>
      <c r="AR13969" s="4" t="s">
        <v>377</v>
      </c>
    </row>
    <row r="13970" spans="1:44">
      <c r="A13970" s="4" t="s">
        <v>10753</v>
      </c>
      <c r="B13970" s="4">
        <v>244255</v>
      </c>
      <c r="D13970" s="5" t="s">
        <v>16617</v>
      </c>
      <c r="E13970" s="6" t="str">
        <f>HYPERLINK("https://inpn.mnhn.fr/espece/cd_nom/244255","Batrisodes delaporti (Aubé, 1833)")</f>
        <v>Batrisodes delaporti (Aubé, 1833)</v>
      </c>
      <c r="AH13970" s="4" t="str">
        <f>HYPERLINK("#Statut_biogéographique!A"&amp;_xlfn.XMATCH("P",Statut_biogéographique!A:A,2,1),"P")</f>
        <v>P</v>
      </c>
      <c r="AP13970" s="4" t="s">
        <v>376</v>
      </c>
      <c r="AR13970" s="4" t="s">
        <v>377</v>
      </c>
    </row>
    <row r="13971" spans="1:44">
      <c r="A13971" s="4" t="s">
        <v>10753</v>
      </c>
      <c r="B13971" s="4">
        <v>244256</v>
      </c>
      <c r="D13971" s="5">
        <v>244256</v>
      </c>
      <c r="E13971" s="6" t="str">
        <f>HYPERLINK("https://inpn.mnhn.fr/espece/cd_nom/244256","Batrisodes hubenthali Reitter, 1913")</f>
        <v>Batrisodes hubenthali Reitter, 1913</v>
      </c>
      <c r="AH13971" s="4" t="str">
        <f>HYPERLINK("#Statut_biogéographique!A"&amp;_xlfn.XMATCH("P",Statut_biogéographique!A:A,2,1),"P")</f>
        <v>P</v>
      </c>
      <c r="AP13971" s="4" t="s">
        <v>376</v>
      </c>
      <c r="AR13971" s="4" t="s">
        <v>377</v>
      </c>
    </row>
    <row r="13972" spans="1:44">
      <c r="A13972" s="4" t="s">
        <v>10753</v>
      </c>
      <c r="B13972" s="4">
        <v>244257</v>
      </c>
      <c r="D13972" s="5" t="s">
        <v>16618</v>
      </c>
      <c r="E13972" s="6" t="str">
        <f>HYPERLINK("https://inpn.mnhn.fr/espece/cd_nom/244257","Batrisodes oculatus (Aubé, 1833)")</f>
        <v>Batrisodes oculatus (Aubé, 1833)</v>
      </c>
      <c r="AH13972" s="4" t="str">
        <f>HYPERLINK("#Statut_biogéographique!A"&amp;_xlfn.XMATCH("P",Statut_biogéographique!A:A,2,1),"P")</f>
        <v>P</v>
      </c>
      <c r="AP13972" s="4" t="s">
        <v>376</v>
      </c>
      <c r="AR13972" s="4" t="s">
        <v>377</v>
      </c>
    </row>
    <row r="13973" spans="1:44">
      <c r="A13973" s="4" t="s">
        <v>10753</v>
      </c>
      <c r="B13973" s="4">
        <v>244258</v>
      </c>
      <c r="D13973" s="5">
        <v>244258</v>
      </c>
      <c r="E13973" s="6" t="str">
        <f>HYPERLINK("https://inpn.mnhn.fr/espece/cd_nom/244258","Batrisodes unisexualis Besuchet, 1988")</f>
        <v>Batrisodes unisexualis Besuchet, 1988</v>
      </c>
      <c r="AH13973" s="4" t="str">
        <f>HYPERLINK("#Statut_biogéographique!A"&amp;_xlfn.XMATCH("P",Statut_biogéographique!A:A,2,1),"P")</f>
        <v>P</v>
      </c>
      <c r="AP13973" s="4" t="s">
        <v>376</v>
      </c>
      <c r="AR13973" s="4" t="s">
        <v>377</v>
      </c>
    </row>
    <row r="13974" spans="1:44">
      <c r="A13974" s="4" t="s">
        <v>10753</v>
      </c>
      <c r="B13974" s="4">
        <v>244260</v>
      </c>
      <c r="D13974" s="5" t="s">
        <v>16619</v>
      </c>
      <c r="E13974" s="6" t="str">
        <f>HYPERLINK("https://inpn.mnhn.fr/espece/cd_nom/244260","Trissemus antennatus (Aubé, 1833)")</f>
        <v>Trissemus antennatus (Aubé, 1833)</v>
      </c>
      <c r="AH13974" s="4" t="str">
        <f>HYPERLINK("#Statut_biogéographique!A"&amp;_xlfn.XMATCH("P",Statut_biogéographique!A:A,2,1),"P")</f>
        <v>P</v>
      </c>
      <c r="AP13974" s="4" t="s">
        <v>376</v>
      </c>
      <c r="AR13974" s="4" t="s">
        <v>377</v>
      </c>
    </row>
    <row r="13975" spans="1:44">
      <c r="A13975" s="4" t="s">
        <v>10753</v>
      </c>
      <c r="B13975" s="4">
        <v>244276</v>
      </c>
      <c r="D13975" s="5" t="s">
        <v>16620</v>
      </c>
      <c r="E13975" s="6" t="str">
        <f>HYPERLINK("https://inpn.mnhn.fr/espece/cd_nom/244276","Brachygluta haematica (Reichenbach, 1816)")</f>
        <v>Brachygluta haematica (Reichenbach, 1816)</v>
      </c>
      <c r="AH13975" s="4" t="str">
        <f>HYPERLINK("#Statut_biogéographique!A"&amp;_xlfn.XMATCH("P",Statut_biogéographique!A:A,2,1),"P")</f>
        <v>P</v>
      </c>
      <c r="AP13975" s="4" t="s">
        <v>376</v>
      </c>
      <c r="AR13975" s="4" t="s">
        <v>377</v>
      </c>
    </row>
    <row r="13976" spans="1:44">
      <c r="A13976" s="4" t="s">
        <v>10753</v>
      </c>
      <c r="B13976" s="4">
        <v>244279</v>
      </c>
      <c r="D13976" s="5" t="s">
        <v>16621</v>
      </c>
      <c r="E13976" s="6" t="str">
        <f>HYPERLINK("https://inpn.mnhn.fr/espece/cd_nom/244279","Brachygluta lefebvrei (Aubé, 1833)")</f>
        <v>Brachygluta lefebvrei (Aubé, 1833)</v>
      </c>
      <c r="AH13976" s="4" t="str">
        <f>HYPERLINK("#Statut_biogéographique!A"&amp;_xlfn.XMATCH("P",Statut_biogéographique!A:A,2,1),"P")</f>
        <v>P</v>
      </c>
      <c r="AP13976" s="4" t="s">
        <v>376</v>
      </c>
      <c r="AR13976" s="4" t="s">
        <v>377</v>
      </c>
    </row>
    <row r="13977" spans="1:44">
      <c r="A13977" s="4" t="s">
        <v>10753</v>
      </c>
      <c r="B13977" s="4">
        <v>244282</v>
      </c>
      <c r="D13977" s="5" t="s">
        <v>16622</v>
      </c>
      <c r="E13977" s="6" t="str">
        <f>HYPERLINK("https://inpn.mnhn.fr/espece/cd_nom/244282","Brachygluta perforata (Aubé, 1833)")</f>
        <v>Brachygluta perforata (Aubé, 1833)</v>
      </c>
      <c r="AH13977" s="4" t="str">
        <f>HYPERLINK("#Statut_biogéographique!A"&amp;_xlfn.XMATCH("P",Statut_biogéographique!A:A,2,1),"P")</f>
        <v>P</v>
      </c>
      <c r="AP13977" s="4" t="s">
        <v>376</v>
      </c>
      <c r="AR13977" s="4" t="s">
        <v>377</v>
      </c>
    </row>
    <row r="13978" spans="1:44">
      <c r="A13978" s="4" t="s">
        <v>10753</v>
      </c>
      <c r="B13978" s="4">
        <v>24429</v>
      </c>
      <c r="D13978" s="5" t="s">
        <v>16623</v>
      </c>
      <c r="E13978" s="6" t="str">
        <f>HYPERLINK("https://inpn.mnhn.fr/espece/cd_nom/24429","Cheilosia illustrata (Harris, 1780)")</f>
        <v>Cheilosia illustrata (Harris, 1780)</v>
      </c>
      <c r="P13978" s="7" t="str">
        <f>HYPERLINK("#Liste_rouge!A"&amp;_xlfn.XMATCH("LC",Liste_rouge!A:A,2,1),"LC")</f>
        <v>LC</v>
      </c>
      <c r="AH13978" s="4" t="str">
        <f>HYPERLINK("#Statut_biogéographique!A"&amp;_xlfn.XMATCH("P",Statut_biogéographique!A:A,2,1),"P")</f>
        <v>P</v>
      </c>
      <c r="AP13978" s="4" t="s">
        <v>376</v>
      </c>
      <c r="AR13978" s="4" t="s">
        <v>377</v>
      </c>
    </row>
    <row r="13979" spans="1:44">
      <c r="A13979" s="4" t="s">
        <v>10753</v>
      </c>
      <c r="B13979" s="4">
        <v>24431</v>
      </c>
      <c r="D13979" s="5">
        <v>24431</v>
      </c>
      <c r="E13979" s="6" t="str">
        <f>HYPERLINK("https://inpn.mnhn.fr/espece/cd_nom/24431","Cheilosia impressa Loew, 1840")</f>
        <v>Cheilosia impressa Loew, 1840</v>
      </c>
      <c r="P13979" s="7" t="str">
        <f>HYPERLINK("#Liste_rouge!A"&amp;_xlfn.XMATCH("LC",Liste_rouge!A:A,2,1),"LC")</f>
        <v>LC</v>
      </c>
      <c r="AH13979" s="4" t="str">
        <f>HYPERLINK("#Statut_biogéographique!A"&amp;_xlfn.XMATCH("P",Statut_biogéographique!A:A,2,1),"P")</f>
        <v>P</v>
      </c>
      <c r="AP13979" s="4" t="s">
        <v>376</v>
      </c>
      <c r="AR13979" s="4" t="s">
        <v>377</v>
      </c>
    </row>
    <row r="13980" spans="1:44">
      <c r="A13980" s="4" t="s">
        <v>10753</v>
      </c>
      <c r="B13980" s="4">
        <v>244322</v>
      </c>
      <c r="D13980" s="5">
        <v>244322</v>
      </c>
      <c r="E13980" s="6" t="str">
        <f>HYPERLINK("https://inpn.mnhn.fr/espece/cd_nom/244322","Bythinus burrellii Denny, 1825")</f>
        <v>Bythinus burrellii Denny, 1825</v>
      </c>
      <c r="AH13980" s="4" t="str">
        <f>HYPERLINK("#Statut_biogéographique!A"&amp;_xlfn.XMATCH("P",Statut_biogéographique!A:A,2,1),"P")</f>
        <v>P</v>
      </c>
      <c r="AP13980" s="4" t="s">
        <v>376</v>
      </c>
      <c r="AR13980" s="4" t="s">
        <v>377</v>
      </c>
    </row>
    <row r="13981" spans="1:44">
      <c r="A13981" s="4" t="s">
        <v>10753</v>
      </c>
      <c r="B13981" s="4">
        <v>244323</v>
      </c>
      <c r="D13981" s="5">
        <v>244323</v>
      </c>
      <c r="E13981" s="6" t="str">
        <f>HYPERLINK("https://inpn.mnhn.fr/espece/cd_nom/244323","Bythinus macropalpus Aubé, 1833")</f>
        <v>Bythinus macropalpus Aubé, 1833</v>
      </c>
      <c r="AH13981" s="4" t="str">
        <f>HYPERLINK("#Statut_biogéographique!A"&amp;_xlfn.XMATCH("P",Statut_biogéographique!A:A,2,1),"P")</f>
        <v>P</v>
      </c>
      <c r="AP13981" s="4" t="s">
        <v>376</v>
      </c>
      <c r="AR13981" s="4" t="s">
        <v>377</v>
      </c>
    </row>
    <row r="13982" spans="1:44">
      <c r="A13982" s="4" t="s">
        <v>10753</v>
      </c>
      <c r="B13982" s="4">
        <v>244328</v>
      </c>
      <c r="D13982" s="5" t="s">
        <v>16624</v>
      </c>
      <c r="E13982" s="6" t="str">
        <f>HYPERLINK("https://inpn.mnhn.fr/espece/cd_nom/244328","Bryaxis bulbifer (Reichenbach, 1816)")</f>
        <v>Bryaxis bulbifer (Reichenbach, 1816)</v>
      </c>
      <c r="AH13982" s="4" t="str">
        <f>HYPERLINK("#Statut_biogéographique!A"&amp;_xlfn.XMATCH("P",Statut_biogéographique!A:A,2,1),"P")</f>
        <v>P</v>
      </c>
      <c r="AP13982" s="4" t="s">
        <v>376</v>
      </c>
      <c r="AR13982" s="4" t="s">
        <v>377</v>
      </c>
    </row>
    <row r="13983" spans="1:44">
      <c r="A13983" s="4" t="s">
        <v>10753</v>
      </c>
      <c r="B13983" s="4">
        <v>244337</v>
      </c>
      <c r="D13983" s="5" t="s">
        <v>16625</v>
      </c>
      <c r="E13983" s="6" t="str">
        <f>HYPERLINK("https://inpn.mnhn.fr/espece/cd_nom/244337","Bryaxis curtisii (Leach, 1817)")</f>
        <v>Bryaxis curtisii (Leach, 1817)</v>
      </c>
      <c r="AH13983" s="4" t="str">
        <f>HYPERLINK("#Statut_biogéographique!A"&amp;_xlfn.XMATCH("P",Statut_biogéographique!A:A,2,1),"P")</f>
        <v>P</v>
      </c>
      <c r="AP13983" s="4" t="s">
        <v>376</v>
      </c>
      <c r="AR13983" s="4" t="s">
        <v>377</v>
      </c>
    </row>
    <row r="13984" spans="1:44">
      <c r="A13984" s="4" t="s">
        <v>10753</v>
      </c>
      <c r="B13984" s="4">
        <v>24434</v>
      </c>
      <c r="D13984" s="5" t="s">
        <v>16626</v>
      </c>
      <c r="E13984" s="6" t="str">
        <f>HYPERLINK("https://inpn.mnhn.fr/espece/cd_nom/24434","Cheilosia nebulosa (Verrall, 1871)")</f>
        <v>Cheilosia nebulosa (Verrall, 1871)</v>
      </c>
      <c r="O13984" s="7" t="str">
        <f>HYPERLINK("#Liste_rouge!A"&amp;_xlfn.XMATCH("LC",Liste_rouge!A:A,2,1),"LC")</f>
        <v>LC</v>
      </c>
      <c r="P13984" s="7" t="str">
        <f>HYPERLINK("#Liste_rouge!A"&amp;_xlfn.XMATCH("LC",Liste_rouge!A:A,2,1),"LC")</f>
        <v>LC</v>
      </c>
      <c r="AH13984" s="4" t="str">
        <f>HYPERLINK("#Statut_biogéographique!A"&amp;_xlfn.XMATCH("P",Statut_biogéographique!A:A,2,1),"P")</f>
        <v>P</v>
      </c>
      <c r="AP13984" s="4" t="s">
        <v>376</v>
      </c>
      <c r="AR13984" s="4" t="s">
        <v>377</v>
      </c>
    </row>
    <row r="13985" spans="1:44">
      <c r="A13985" s="4" t="s">
        <v>10753</v>
      </c>
      <c r="B13985" s="4">
        <v>244358</v>
      </c>
      <c r="D13985" s="5" t="s">
        <v>16627</v>
      </c>
      <c r="E13985" s="6" t="str">
        <f>HYPERLINK("https://inpn.mnhn.fr/espece/cd_nom/244358","Bryaxis puncticollis (Denny, 1825)")</f>
        <v>Bryaxis puncticollis (Denny, 1825)</v>
      </c>
      <c r="AH13985" s="4" t="str">
        <f>HYPERLINK("#Statut_biogéographique!A"&amp;_xlfn.XMATCH("P",Statut_biogéographique!A:A,2,1),"P")</f>
        <v>P</v>
      </c>
      <c r="AP13985" s="4" t="s">
        <v>376</v>
      </c>
      <c r="AR13985" s="4" t="s">
        <v>377</v>
      </c>
    </row>
    <row r="13986" spans="1:44">
      <c r="A13986" s="4" t="s">
        <v>10753</v>
      </c>
      <c r="B13986" s="4">
        <v>24436</v>
      </c>
      <c r="D13986" s="5" t="s">
        <v>16628</v>
      </c>
      <c r="E13986" s="6" t="str">
        <f>HYPERLINK("https://inpn.mnhn.fr/espece/cd_nom/24436","Cheilosia lenis Becker, 1894")</f>
        <v>Cheilosia lenis Becker, 1894</v>
      </c>
      <c r="O13986" s="7" t="str">
        <f>HYPERLINK("#Liste_rouge!A"&amp;_xlfn.XMATCH("LC",Liste_rouge!A:A,2,1),"LC")</f>
        <v>LC</v>
      </c>
      <c r="P13986" s="7" t="str">
        <f>HYPERLINK("#Liste_rouge!A"&amp;_xlfn.XMATCH("LC",Liste_rouge!A:A,2,1),"LC")</f>
        <v>LC</v>
      </c>
      <c r="AH13986" s="4" t="str">
        <f>HYPERLINK("#Statut_biogéographique!A"&amp;_xlfn.XMATCH("P",Statut_biogéographique!A:A,2,1),"P")</f>
        <v>P</v>
      </c>
      <c r="AP13986" s="4" t="s">
        <v>376</v>
      </c>
      <c r="AR13986" s="4" t="s">
        <v>377</v>
      </c>
    </row>
    <row r="13987" spans="1:44">
      <c r="A13987" s="4" t="s">
        <v>10753</v>
      </c>
      <c r="B13987" s="4">
        <v>244370</v>
      </c>
      <c r="D13987" s="5">
        <v>244370</v>
      </c>
      <c r="E13987" s="6" t="str">
        <f>HYPERLINK("https://inpn.mnhn.fr/espece/cd_nom/244370","Claviger testaceus Preyssler, 1790")</f>
        <v>Claviger testaceus Preyssler, 1790</v>
      </c>
      <c r="AH13987" s="4" t="str">
        <f>HYPERLINK("#Statut_biogéographique!A"&amp;_xlfn.XMATCH("P",Statut_biogéographique!A:A,2,1),"P")</f>
        <v>P</v>
      </c>
      <c r="AP13987" s="4" t="s">
        <v>376</v>
      </c>
      <c r="AR13987" s="4" t="s">
        <v>377</v>
      </c>
    </row>
    <row r="13988" spans="1:44">
      <c r="A13988" s="4" t="s">
        <v>10753</v>
      </c>
      <c r="B13988" s="4">
        <v>244378</v>
      </c>
      <c r="D13988" s="5" t="s">
        <v>16629</v>
      </c>
      <c r="E13988" s="6" t="str">
        <f>HYPERLINK("https://inpn.mnhn.fr/espece/cd_nom/244378","Trichonyx sulcicollis (Reichenbach, 1816)")</f>
        <v>Trichonyx sulcicollis (Reichenbach, 1816)</v>
      </c>
      <c r="AH13988" s="4" t="str">
        <f>HYPERLINK("#Statut_biogéographique!A"&amp;_xlfn.XMATCH("P",Statut_biogéographique!A:A,2,1),"P")</f>
        <v>P</v>
      </c>
      <c r="AP13988" s="4" t="s">
        <v>376</v>
      </c>
      <c r="AR13988" s="4" t="s">
        <v>377</v>
      </c>
    </row>
    <row r="13989" spans="1:44">
      <c r="A13989" s="4" t="s">
        <v>10753</v>
      </c>
      <c r="B13989" s="4">
        <v>24438</v>
      </c>
      <c r="D13989" s="5" t="s">
        <v>16630</v>
      </c>
      <c r="E13989" s="6" t="str">
        <f>HYPERLINK("https://inpn.mnhn.fr/espece/cd_nom/24438","Cheilosia longula (Zetterstedt, 1838)")</f>
        <v>Cheilosia longula (Zetterstedt, 1838)</v>
      </c>
      <c r="P13989" s="7" t="str">
        <f>HYPERLINK("#Liste_rouge!A"&amp;_xlfn.XMATCH("LC",Liste_rouge!A:A,2,1),"LC")</f>
        <v>LC</v>
      </c>
      <c r="AH13989" s="4" t="str">
        <f>HYPERLINK("#Statut_biogéographique!A"&amp;_xlfn.XMATCH("P",Statut_biogéographique!A:A,2,1),"P")</f>
        <v>P</v>
      </c>
      <c r="AP13989" s="4" t="s">
        <v>376</v>
      </c>
      <c r="AR13989" s="4" t="s">
        <v>377</v>
      </c>
    </row>
    <row r="13990" spans="1:44">
      <c r="A13990" s="4" t="s">
        <v>10753</v>
      </c>
      <c r="B13990" s="4">
        <v>244392</v>
      </c>
      <c r="D13990" s="5">
        <v>244392</v>
      </c>
      <c r="E13990" s="6" t="str">
        <f>HYPERLINK("https://inpn.mnhn.fr/espece/cd_nom/244392","Euplectus decipiens Raffray, 1910")</f>
        <v>Euplectus decipiens Raffray, 1910</v>
      </c>
      <c r="AH13990" s="4" t="str">
        <f>HYPERLINK("#Statut_biogéographique!A"&amp;_xlfn.XMATCH("P",Statut_biogéographique!A:A,2,1),"P")</f>
        <v>P</v>
      </c>
      <c r="AP13990" s="4" t="s">
        <v>376</v>
      </c>
      <c r="AR13990" s="4" t="s">
        <v>377</v>
      </c>
    </row>
    <row r="13991" spans="1:44">
      <c r="A13991" s="4" t="s">
        <v>10753</v>
      </c>
      <c r="B13991" s="4">
        <v>244395</v>
      </c>
      <c r="D13991" s="5" t="s">
        <v>16631</v>
      </c>
      <c r="E13991" s="6" t="str">
        <f>HYPERLINK("https://inpn.mnhn.fr/espece/cd_nom/244395","Euplectus infirmus Raffray, 1910")</f>
        <v>Euplectus infirmus Raffray, 1910</v>
      </c>
      <c r="AH13991" s="4" t="str">
        <f>HYPERLINK("#Statut_biogéographique!A"&amp;_xlfn.XMATCH("P",Statut_biogéographique!A:A,2,1),"P")</f>
        <v>P</v>
      </c>
      <c r="AP13991" s="4" t="s">
        <v>376</v>
      </c>
      <c r="AR13991" s="4" t="s">
        <v>377</v>
      </c>
    </row>
    <row r="13992" spans="1:44">
      <c r="A13992" s="4" t="s">
        <v>10753</v>
      </c>
      <c r="B13992" s="4">
        <v>244396</v>
      </c>
      <c r="D13992" s="5" t="s">
        <v>16632</v>
      </c>
      <c r="E13992" s="6" t="str">
        <f>HYPERLINK("https://inpn.mnhn.fr/espece/cd_nom/244396","Euplectus karstenii (Reichenbach, 1816)")</f>
        <v>Euplectus karstenii (Reichenbach, 1816)</v>
      </c>
      <c r="AH13992" s="4" t="str">
        <f>HYPERLINK("#Statut_biogéographique!A"&amp;_xlfn.XMATCH("P",Statut_biogéographique!A:A,2,1),"P")</f>
        <v>P</v>
      </c>
      <c r="AP13992" s="4" t="s">
        <v>376</v>
      </c>
      <c r="AR13992" s="4" t="s">
        <v>377</v>
      </c>
    </row>
    <row r="13993" spans="1:44">
      <c r="A13993" s="4" t="s">
        <v>10753</v>
      </c>
      <c r="B13993" s="4">
        <v>244397</v>
      </c>
      <c r="D13993" s="5">
        <v>244397</v>
      </c>
      <c r="E13993" s="6" t="str">
        <f>HYPERLINK("https://inpn.mnhn.fr/espece/cd_nom/244397","Euplectus kirbii Denny, 1825")</f>
        <v>Euplectus kirbii Denny, 1825</v>
      </c>
      <c r="AH13993" s="4" t="str">
        <f>HYPERLINK("#Statut_biogéographique!A"&amp;_xlfn.XMATCH("P",Statut_biogéographique!A:A,2,1),"P")</f>
        <v>P</v>
      </c>
      <c r="AP13993" s="4" t="s">
        <v>376</v>
      </c>
      <c r="AR13993" s="4" t="s">
        <v>377</v>
      </c>
    </row>
    <row r="13994" spans="1:44">
      <c r="A13994" s="4" t="s">
        <v>10753</v>
      </c>
      <c r="B13994" s="4">
        <v>244401</v>
      </c>
      <c r="D13994" s="5">
        <v>244401</v>
      </c>
      <c r="E13994" s="6" t="str">
        <f>HYPERLINK("https://inpn.mnhn.fr/espece/cd_nom/244401","Euplectus punctatus Mulsant &amp; Rey, 1861")</f>
        <v>Euplectus punctatus Mulsant &amp; Rey, 1861</v>
      </c>
      <c r="AH13994" s="4" t="str">
        <f>HYPERLINK("#Statut_biogéographique!A"&amp;_xlfn.XMATCH("P",Statut_biogéographique!A:A,2,1),"P")</f>
        <v>P</v>
      </c>
      <c r="AP13994" s="4" t="s">
        <v>376</v>
      </c>
      <c r="AR13994" s="4" t="s">
        <v>377</v>
      </c>
    </row>
    <row r="13995" spans="1:44">
      <c r="A13995" s="4" t="s">
        <v>10753</v>
      </c>
      <c r="B13995" s="4">
        <v>244403</v>
      </c>
      <c r="D13995" s="5" t="s">
        <v>16633</v>
      </c>
      <c r="E13995" s="6" t="str">
        <f>HYPERLINK("https://inpn.mnhn.fr/espece/cd_nom/244403","Euplectus signatus (Reichenbach, 1816)")</f>
        <v>Euplectus signatus (Reichenbach, 1816)</v>
      </c>
      <c r="AH13995" s="4" t="str">
        <f>HYPERLINK("#Statut_biogéographique!A"&amp;_xlfn.XMATCH("P",Statut_biogéographique!A:A,2,1),"P")</f>
        <v>P</v>
      </c>
      <c r="AP13995" s="4" t="s">
        <v>376</v>
      </c>
      <c r="AR13995" s="4" t="s">
        <v>377</v>
      </c>
    </row>
    <row r="13996" spans="1:44">
      <c r="A13996" s="4" t="s">
        <v>10753</v>
      </c>
      <c r="B13996" s="4">
        <v>244404</v>
      </c>
      <c r="D13996" s="5">
        <v>244404</v>
      </c>
      <c r="E13996" s="6" t="str">
        <f>HYPERLINK("https://inpn.mnhn.fr/espece/cd_nom/244404","Euplectus tholini Guillebeau, 1888")</f>
        <v>Euplectus tholini Guillebeau, 1888</v>
      </c>
      <c r="AH13996" s="4" t="str">
        <f>HYPERLINK("#Statut_biogéographique!A"&amp;_xlfn.XMATCH("P",Statut_biogéographique!A:A,2,1),"P")</f>
        <v>P</v>
      </c>
      <c r="AP13996" s="4" t="s">
        <v>376</v>
      </c>
      <c r="AR13996" s="4" t="s">
        <v>377</v>
      </c>
    </row>
    <row r="13997" spans="1:44">
      <c r="A13997" s="4" t="s">
        <v>10753</v>
      </c>
      <c r="B13997" s="4">
        <v>244405</v>
      </c>
      <c r="D13997" s="5" t="s">
        <v>16634</v>
      </c>
      <c r="E13997" s="6" t="str">
        <f>HYPERLINK("https://inpn.mnhn.fr/espece/cd_nom/244405","Bibloporus mayeti Guillebeau, 1888")</f>
        <v>Bibloporus mayeti Guillebeau, 1888</v>
      </c>
      <c r="AH13997" s="4" t="str">
        <f>HYPERLINK("#Statut_biogéographique!A"&amp;_xlfn.XMATCH("P",Statut_biogéographique!A:A,2,1),"P")</f>
        <v>P</v>
      </c>
      <c r="AP13997" s="4" t="s">
        <v>376</v>
      </c>
      <c r="AR13997" s="4" t="s">
        <v>377</v>
      </c>
    </row>
    <row r="13998" spans="1:44">
      <c r="A13998" s="4" t="s">
        <v>10753</v>
      </c>
      <c r="B13998" s="4">
        <v>244406</v>
      </c>
      <c r="D13998" s="5" t="s">
        <v>16635</v>
      </c>
      <c r="E13998" s="6" t="str">
        <f>HYPERLINK("https://inpn.mnhn.fr/espece/cd_nom/244406","Bibloporus minutus Raffray, 1914")</f>
        <v>Bibloporus minutus Raffray, 1914</v>
      </c>
      <c r="AH13998" s="4" t="str">
        <f>HYPERLINK("#Statut_biogéographique!A"&amp;_xlfn.XMATCH("P",Statut_biogéographique!A:A,2,1),"P")</f>
        <v>P</v>
      </c>
      <c r="AP13998" s="4" t="s">
        <v>376</v>
      </c>
      <c r="AR13998" s="4" t="s">
        <v>377</v>
      </c>
    </row>
    <row r="13999" spans="1:44">
      <c r="A13999" s="4" t="s">
        <v>10753</v>
      </c>
      <c r="B13999" s="4">
        <v>244409</v>
      </c>
      <c r="D13999" s="5" t="s">
        <v>16636</v>
      </c>
      <c r="E13999" s="6" t="str">
        <f>HYPERLINK("https://inpn.mnhn.fr/espece/cd_nom/244409","Bibloplectus ambiguus (Reichenbach, 1816)")</f>
        <v>Bibloplectus ambiguus (Reichenbach, 1816)</v>
      </c>
      <c r="AH13999" s="4" t="str">
        <f>HYPERLINK("#Statut_biogéographique!A"&amp;_xlfn.XMATCH("P",Statut_biogéographique!A:A,2,1),"P")</f>
        <v>P</v>
      </c>
      <c r="AP13999" s="4" t="s">
        <v>376</v>
      </c>
      <c r="AR13999" s="4" t="s">
        <v>377</v>
      </c>
    </row>
    <row r="14000" spans="1:44">
      <c r="A14000" s="4" t="s">
        <v>10753</v>
      </c>
      <c r="B14000" s="4">
        <v>24441</v>
      </c>
      <c r="D14000" s="5" t="s">
        <v>16637</v>
      </c>
      <c r="E14000" s="6" t="str">
        <f>HYPERLINK("https://inpn.mnhn.fr/espece/cd_nom/24441","Cheilosia mutabilis (Fallén, 1817)")</f>
        <v>Cheilosia mutabilis (Fallén, 1817)</v>
      </c>
      <c r="P14000" s="7" t="str">
        <f>HYPERLINK("#Liste_rouge!A"&amp;_xlfn.XMATCH("LC",Liste_rouge!A:A,2,1),"LC")</f>
        <v>LC</v>
      </c>
      <c r="AH14000" s="4" t="str">
        <f>HYPERLINK("#Statut_biogéographique!A"&amp;_xlfn.XMATCH("P",Statut_biogéographique!A:A,2,1),"P")</f>
        <v>P</v>
      </c>
      <c r="AP14000" s="4" t="s">
        <v>376</v>
      </c>
      <c r="AR14000" s="4" t="s">
        <v>377</v>
      </c>
    </row>
    <row r="14001" spans="1:44">
      <c r="A14001" s="4" t="s">
        <v>10753</v>
      </c>
      <c r="B14001" s="4">
        <v>244422</v>
      </c>
      <c r="D14001" s="5" t="s">
        <v>16638</v>
      </c>
      <c r="E14001" s="6" t="str">
        <f>HYPERLINK("https://inpn.mnhn.fr/espece/cd_nom/244422","Amauronyx maerkelii (Aubé, 1844)")</f>
        <v>Amauronyx maerkelii (Aubé, 1844)</v>
      </c>
      <c r="AH14001" s="4" t="str">
        <f>HYPERLINK("#Statut_biogéographique!A"&amp;_xlfn.XMATCH("P",Statut_biogéographique!A:A,2,1),"P")</f>
        <v>P</v>
      </c>
      <c r="AP14001" s="4" t="s">
        <v>376</v>
      </c>
      <c r="AR14001" s="4" t="s">
        <v>377</v>
      </c>
    </row>
    <row r="14002" spans="1:44">
      <c r="A14002" s="4" t="s">
        <v>10753</v>
      </c>
      <c r="B14002" s="4">
        <v>24444</v>
      </c>
      <c r="D14002" s="5" t="s">
        <v>16639</v>
      </c>
      <c r="E14002" s="6" t="str">
        <f>HYPERLINK("https://inpn.mnhn.fr/espece/cd_nom/24444","Cheilosia nigripes (Meigen, 1822)")</f>
        <v>Cheilosia nigripes (Meigen, 1822)</v>
      </c>
      <c r="P14002" s="7" t="str">
        <f>HYPERLINK("#Liste_rouge!A"&amp;_xlfn.XMATCH("LC",Liste_rouge!A:A,2,1),"LC")</f>
        <v>LC</v>
      </c>
      <c r="AH14002" s="4" t="str">
        <f>HYPERLINK("#Statut_biogéographique!A"&amp;_xlfn.XMATCH("P",Statut_biogéographique!A:A,2,1),"P")</f>
        <v>P</v>
      </c>
      <c r="AP14002" s="4" t="s">
        <v>376</v>
      </c>
      <c r="AR14002" s="4" t="s">
        <v>377</v>
      </c>
    </row>
    <row r="14003" spans="1:44">
      <c r="A14003" s="4" t="s">
        <v>10753</v>
      </c>
      <c r="B14003" s="4">
        <v>24447</v>
      </c>
      <c r="D14003" s="5" t="s">
        <v>16640</v>
      </c>
      <c r="E14003" s="6" t="str">
        <f>HYPERLINK("https://inpn.mnhn.fr/espece/cd_nom/24447","Cheilosia pagana (Meigen, 1822)")</f>
        <v>Cheilosia pagana (Meigen, 1822)</v>
      </c>
      <c r="P14003" s="7" t="str">
        <f>HYPERLINK("#Liste_rouge!A"&amp;_xlfn.XMATCH("LC",Liste_rouge!A:A,2,1),"LC")</f>
        <v>LC</v>
      </c>
      <c r="AH14003" s="4" t="str">
        <f>HYPERLINK("#Statut_biogéographique!A"&amp;_xlfn.XMATCH("P",Statut_biogéographique!A:A,2,1),"P")</f>
        <v>P</v>
      </c>
      <c r="AP14003" s="4" t="s">
        <v>376</v>
      </c>
      <c r="AR14003" s="4" t="s">
        <v>377</v>
      </c>
    </row>
    <row r="14004" spans="1:44">
      <c r="A14004" s="4" t="s">
        <v>10753</v>
      </c>
      <c r="B14004" s="4">
        <v>244490</v>
      </c>
      <c r="D14004" s="5">
        <v>244490</v>
      </c>
      <c r="E14004" s="6" t="str">
        <f>HYPERLINK("https://inpn.mnhn.fr/espece/cd_nom/244490","Pselaphus heisei Herbst, 1791")</f>
        <v>Pselaphus heisei Herbst, 1791</v>
      </c>
      <c r="AH14004" s="4" t="str">
        <f>HYPERLINK("#Statut_biogéographique!A"&amp;_xlfn.XMATCH("P",Statut_biogéographique!A:A,2,1),"P")</f>
        <v>P</v>
      </c>
      <c r="AP14004" s="4" t="s">
        <v>376</v>
      </c>
      <c r="AR14004" s="4" t="s">
        <v>377</v>
      </c>
    </row>
    <row r="14005" spans="1:44">
      <c r="A14005" s="4" t="s">
        <v>10753</v>
      </c>
      <c r="B14005" s="4">
        <v>244510</v>
      </c>
      <c r="D14005" s="5" t="s">
        <v>16641</v>
      </c>
      <c r="E14005" s="6" t="str">
        <f>HYPERLINK("https://inpn.mnhn.fr/espece/cd_nom/244510","Tychus niger (Paykull, 1800)")</f>
        <v>Tychus niger (Paykull, 1800)</v>
      </c>
      <c r="AH14005" s="4" t="str">
        <f>HYPERLINK("#Statut_biogéographique!A"&amp;_xlfn.XMATCH("P",Statut_biogéographique!A:A,2,1),"P")</f>
        <v>P</v>
      </c>
      <c r="AP14005" s="4" t="s">
        <v>376</v>
      </c>
      <c r="AR14005" s="4" t="s">
        <v>377</v>
      </c>
    </row>
    <row r="14006" spans="1:44">
      <c r="A14006" s="4" t="s">
        <v>10753</v>
      </c>
      <c r="B14006" s="4">
        <v>244511</v>
      </c>
      <c r="D14006" s="5">
        <v>244511</v>
      </c>
      <c r="E14006" s="6" t="str">
        <f>HYPERLINK("https://inpn.mnhn.fr/espece/cd_nom/244511","Tychus normandi Jeannel, 1950")</f>
        <v>Tychus normandi Jeannel, 1950</v>
      </c>
      <c r="AH14006" s="4" t="str">
        <f>HYPERLINK("#Statut_biogéographique!A"&amp;_xlfn.XMATCH("P",Statut_biogéographique!A:A,2,1),"P")</f>
        <v>P</v>
      </c>
      <c r="AP14006" s="4" t="s">
        <v>376</v>
      </c>
      <c r="AR14006" s="4" t="s">
        <v>377</v>
      </c>
    </row>
    <row r="14007" spans="1:44">
      <c r="A14007" s="4" t="s">
        <v>10753</v>
      </c>
      <c r="B14007" s="4">
        <v>244512</v>
      </c>
      <c r="D14007" s="5">
        <v>244512</v>
      </c>
      <c r="E14007" s="6" t="str">
        <f>HYPERLINK("https://inpn.mnhn.fr/espece/cd_nom/244512","Tychus striola Guillebeau, 1888")</f>
        <v>Tychus striola Guillebeau, 1888</v>
      </c>
      <c r="AH14007" s="4" t="str">
        <f>HYPERLINK("#Statut_biogéographique!A"&amp;_xlfn.XMATCH("P",Statut_biogéographique!A:A,2,1),"P")</f>
        <v>P</v>
      </c>
      <c r="AP14007" s="4" t="s">
        <v>376</v>
      </c>
      <c r="AR14007" s="4" t="s">
        <v>377</v>
      </c>
    </row>
    <row r="14008" spans="1:44">
      <c r="A14008" s="4" t="s">
        <v>10753</v>
      </c>
      <c r="B14008" s="4">
        <v>244517</v>
      </c>
      <c r="D14008" s="5" t="s">
        <v>16642</v>
      </c>
      <c r="E14008" s="6" t="str">
        <f>HYPERLINK("https://inpn.mnhn.fr/espece/cd_nom/244517","Scaphisoma agaricinum (Linnaeus, 1758)")</f>
        <v>Scaphisoma agaricinum (Linnaeus, 1758)</v>
      </c>
      <c r="AH14008" s="4" t="str">
        <f>HYPERLINK("#Statut_biogéographique!A"&amp;_xlfn.XMATCH("P",Statut_biogéographique!A:A,2,1),"P")</f>
        <v>P</v>
      </c>
      <c r="AP14008" s="4" t="s">
        <v>376</v>
      </c>
      <c r="AR14008" s="4" t="s">
        <v>377</v>
      </c>
    </row>
    <row r="14009" spans="1:44">
      <c r="A14009" s="4" t="s">
        <v>10753</v>
      </c>
      <c r="B14009" s="4">
        <v>244518</v>
      </c>
      <c r="D14009" s="5">
        <v>244518</v>
      </c>
      <c r="E14009" s="6" t="str">
        <f>HYPERLINK("https://inpn.mnhn.fr/espece/cd_nom/244518","Scaphisoma balcanicum Tamanini, 1954")</f>
        <v>Scaphisoma balcanicum Tamanini, 1954</v>
      </c>
      <c r="AH14009" s="4" t="str">
        <f>HYPERLINK("#Statut_biogéographique!A"&amp;_xlfn.XMATCH("P",Statut_biogéographique!A:A,2,1),"P")</f>
        <v>P</v>
      </c>
      <c r="AP14009" s="4" t="s">
        <v>376</v>
      </c>
      <c r="AR14009" s="4" t="s">
        <v>377</v>
      </c>
    </row>
    <row r="14010" spans="1:44">
      <c r="A14010" s="4" t="s">
        <v>10753</v>
      </c>
      <c r="B14010" s="4">
        <v>244519</v>
      </c>
      <c r="D14010" s="5" t="s">
        <v>16643</v>
      </c>
      <c r="E14010" s="6" t="str">
        <f>HYPERLINK("https://inpn.mnhn.fr/espece/cd_nom/244519","Scaphisoma boleti (Panzer, 1793)")</f>
        <v>Scaphisoma boleti (Panzer, 1793)</v>
      </c>
      <c r="AH14010" s="4" t="str">
        <f>HYPERLINK("#Statut_biogéographique!A"&amp;_xlfn.XMATCH("P",Statut_biogéographique!A:A,2,1),"P")</f>
        <v>P</v>
      </c>
      <c r="AP14010" s="4" t="s">
        <v>376</v>
      </c>
      <c r="AR14010" s="4" t="s">
        <v>377</v>
      </c>
    </row>
    <row r="14011" spans="1:44">
      <c r="A14011" s="4" t="s">
        <v>10753</v>
      </c>
      <c r="B14011" s="4">
        <v>244525</v>
      </c>
      <c r="D14011" s="5" t="s">
        <v>16644</v>
      </c>
      <c r="E14011" s="6" t="str">
        <f>HYPERLINK("https://inpn.mnhn.fr/espece/cd_nom/244525","Proteinus brachypterus (Fabricius, 1792)")</f>
        <v>Proteinus brachypterus (Fabricius, 1792)</v>
      </c>
      <c r="AH14011" s="4" t="str">
        <f>HYPERLINK("#Statut_biogéographique!A"&amp;_xlfn.XMATCH("P",Statut_biogéographique!A:A,2,1),"P")</f>
        <v>P</v>
      </c>
      <c r="AP14011" s="4" t="s">
        <v>376</v>
      </c>
      <c r="AR14011" s="4" t="s">
        <v>377</v>
      </c>
    </row>
    <row r="14012" spans="1:44">
      <c r="A14012" s="4" t="s">
        <v>10753</v>
      </c>
      <c r="B14012" s="4">
        <v>244528</v>
      </c>
      <c r="D14012" s="5">
        <v>244528</v>
      </c>
      <c r="E14012" s="6" t="str">
        <f>HYPERLINK("https://inpn.mnhn.fr/espece/cd_nom/244528","Proteinus ovalis Stephens, 1834")</f>
        <v>Proteinus ovalis Stephens, 1834</v>
      </c>
      <c r="AH14012" s="4" t="str">
        <f>HYPERLINK("#Statut_biogéographique!A"&amp;_xlfn.XMATCH("P",Statut_biogéographique!A:A,2,1),"P")</f>
        <v>P</v>
      </c>
      <c r="AP14012" s="4" t="s">
        <v>376</v>
      </c>
      <c r="AR14012" s="4" t="s">
        <v>377</v>
      </c>
    </row>
    <row r="14013" spans="1:44">
      <c r="A14013" s="4" t="s">
        <v>10753</v>
      </c>
      <c r="B14013" s="4">
        <v>24453</v>
      </c>
      <c r="D14013" s="5" t="s">
        <v>16645</v>
      </c>
      <c r="E14013" s="6" t="str">
        <f>HYPERLINK("https://inpn.mnhn.fr/espece/cd_nom/24453","Cheilosia proxima (Zetterstedt, 1843)")</f>
        <v>Cheilosia proxima (Zetterstedt, 1843)</v>
      </c>
      <c r="P14013" s="7" t="str">
        <f>HYPERLINK("#Liste_rouge!A"&amp;_xlfn.XMATCH("LC",Liste_rouge!A:A,2,1),"LC")</f>
        <v>LC</v>
      </c>
      <c r="AH14013" s="4" t="str">
        <f>HYPERLINK("#Statut_biogéographique!A"&amp;_xlfn.XMATCH("P",Statut_biogéographique!A:A,2,1),"P")</f>
        <v>P</v>
      </c>
      <c r="AP14013" s="4" t="s">
        <v>376</v>
      </c>
      <c r="AR14013" s="4" t="s">
        <v>377</v>
      </c>
    </row>
    <row r="14014" spans="1:44">
      <c r="A14014" s="4" t="s">
        <v>10753</v>
      </c>
      <c r="B14014" s="4">
        <v>244532</v>
      </c>
      <c r="D14014" s="5" t="s">
        <v>16646</v>
      </c>
      <c r="E14014" s="6" t="str">
        <f>HYPERLINK("https://inpn.mnhn.fr/espece/cd_nom/244532","Megarthrus depressus (Paykull, 1789)")</f>
        <v>Megarthrus depressus (Paykull, 1789)</v>
      </c>
      <c r="AH14014" s="4" t="str">
        <f>HYPERLINK("#Statut_biogéographique!A"&amp;_xlfn.XMATCH("P",Statut_biogéographique!A:A,2,1),"P")</f>
        <v>P</v>
      </c>
      <c r="AP14014" s="4" t="s">
        <v>376</v>
      </c>
      <c r="AR14014" s="4" t="s">
        <v>377</v>
      </c>
    </row>
    <row r="14015" spans="1:44">
      <c r="A14015" s="4" t="s">
        <v>10753</v>
      </c>
      <c r="B14015" s="4">
        <v>244533</v>
      </c>
      <c r="D14015" s="5" t="s">
        <v>16647</v>
      </c>
      <c r="E14015" s="6" t="str">
        <f>HYPERLINK("https://inpn.mnhn.fr/espece/cd_nom/244533","Megarthrus hemipterus (Illiger, 1794)")</f>
        <v>Megarthrus hemipterus (Illiger, 1794)</v>
      </c>
      <c r="AH14015" s="4" t="str">
        <f>HYPERLINK("#Statut_biogéographique!A"&amp;_xlfn.XMATCH("P",Statut_biogéographique!A:A,2,1),"P")</f>
        <v>P</v>
      </c>
      <c r="AP14015" s="4" t="s">
        <v>376</v>
      </c>
      <c r="AR14015" s="4" t="s">
        <v>377</v>
      </c>
    </row>
    <row r="14016" spans="1:44">
      <c r="A14016" s="4" t="s">
        <v>10753</v>
      </c>
      <c r="B14016" s="4">
        <v>24454</v>
      </c>
      <c r="D14016" s="5" t="s">
        <v>16648</v>
      </c>
      <c r="E14016" s="6" t="str">
        <f>HYPERLINK("https://inpn.mnhn.fr/espece/cd_nom/24454","Cheilosia pubera (Zetterstedt, 1838)")</f>
        <v>Cheilosia pubera (Zetterstedt, 1838)</v>
      </c>
      <c r="O14016" s="7" t="str">
        <f>HYPERLINK("#Liste_rouge!A"&amp;_xlfn.XMATCH("LC",Liste_rouge!A:A,2,1),"LC")</f>
        <v>LC</v>
      </c>
      <c r="P14016" s="7" t="str">
        <f>HYPERLINK("#Liste_rouge!A"&amp;_xlfn.XMATCH("LC",Liste_rouge!A:A,2,1),"LC")</f>
        <v>LC</v>
      </c>
      <c r="AH14016" s="4" t="str">
        <f>HYPERLINK("#Statut_biogéographique!A"&amp;_xlfn.XMATCH("P",Statut_biogéographique!A:A,2,1),"P")</f>
        <v>P</v>
      </c>
      <c r="AP14016" s="4" t="s">
        <v>376</v>
      </c>
      <c r="AR14016" s="4" t="s">
        <v>377</v>
      </c>
    </row>
    <row r="14017" spans="1:44">
      <c r="A14017" s="4" t="s">
        <v>10753</v>
      </c>
      <c r="B14017" s="4">
        <v>244543</v>
      </c>
      <c r="D14017" s="5" t="s">
        <v>16649</v>
      </c>
      <c r="E14017" s="6" t="str">
        <f>HYPERLINK("https://inpn.mnhn.fr/espece/cd_nom/244543","Micropeplus staphylinoides Marsham, 1802")</f>
        <v>Micropeplus staphylinoides Marsham, 1802</v>
      </c>
      <c r="AH14017" s="4" t="str">
        <f>HYPERLINK("#Statut_biogéographique!A"&amp;_xlfn.XMATCH("P",Statut_biogéographique!A:A,2,1),"P")</f>
        <v>P</v>
      </c>
      <c r="AP14017" s="4" t="s">
        <v>376</v>
      </c>
      <c r="AR14017" s="4" t="s">
        <v>377</v>
      </c>
    </row>
    <row r="14018" spans="1:44">
      <c r="A14018" s="4" t="s">
        <v>10753</v>
      </c>
      <c r="B14018" s="4">
        <v>244545</v>
      </c>
      <c r="D14018" s="5">
        <v>244545</v>
      </c>
      <c r="E14018" s="6" t="str">
        <f>HYPERLINK("https://inpn.mnhn.fr/espece/cd_nom/244545","Dasycerus sulcatus Brongniart, 1800")</f>
        <v>Dasycerus sulcatus Brongniart, 1800</v>
      </c>
      <c r="AH14018" s="4" t="str">
        <f>HYPERLINK("#Statut_biogéographique!A"&amp;_xlfn.XMATCH("P",Statut_biogéographique!A:A,2,1),"P")</f>
        <v>P</v>
      </c>
      <c r="AP14018" s="4" t="s">
        <v>376</v>
      </c>
      <c r="AR14018" s="4" t="s">
        <v>377</v>
      </c>
    </row>
    <row r="14019" spans="1:44" ht="30">
      <c r="A14019" s="4" t="s">
        <v>10753</v>
      </c>
      <c r="B14019" s="4">
        <v>244560</v>
      </c>
      <c r="D14019" s="5" t="s">
        <v>16650</v>
      </c>
      <c r="E14019" s="6" t="str">
        <f>HYPERLINK("https://inpn.mnhn.fr/espece/cd_nom/244560","Niphargus rhenorhodanensis Schellenberg, 1937")</f>
        <v>Niphargus rhenorhodanensis Schellenberg, 1937</v>
      </c>
      <c r="Q14019" s="7" t="str">
        <f>HYPERLINK("#Liste_rouge!A"&amp;_xlfn.XMATCH("LC",Liste_rouge!A:A,2,1),"LC")</f>
        <v>LC</v>
      </c>
      <c r="AH14019" s="4" t="str">
        <f>HYPERLINK("#Statut_biogéographique!A"&amp;_xlfn.XMATCH("P",Statut_biogéographique!A:A,2,1),"P")</f>
        <v>P</v>
      </c>
      <c r="AP14019" s="4" t="s">
        <v>376</v>
      </c>
      <c r="AR14019" s="4" t="s">
        <v>377</v>
      </c>
    </row>
    <row r="14020" spans="1:44">
      <c r="A14020" s="4" t="s">
        <v>10753</v>
      </c>
      <c r="B14020" s="4">
        <v>24458</v>
      </c>
      <c r="D14020" s="5" t="s">
        <v>16651</v>
      </c>
      <c r="E14020" s="6" t="str">
        <f>HYPERLINK("https://inpn.mnhn.fr/espece/cd_nom/24458","Cheilosia rufimana Becker, 1894")</f>
        <v>Cheilosia rufimana Becker, 1894</v>
      </c>
      <c r="P14020" s="7" t="str">
        <f>HYPERLINK("#Liste_rouge!A"&amp;_xlfn.XMATCH("LC",Liste_rouge!A:A,2,1),"LC")</f>
        <v>LC</v>
      </c>
      <c r="AH14020" s="4" t="str">
        <f>HYPERLINK("#Statut_biogéographique!A"&amp;_xlfn.XMATCH("P",Statut_biogéographique!A:A,2,1),"P")</f>
        <v>P</v>
      </c>
      <c r="AP14020" s="4" t="s">
        <v>376</v>
      </c>
      <c r="AR14020" s="4" t="s">
        <v>377</v>
      </c>
    </row>
    <row r="14021" spans="1:44">
      <c r="A14021" s="4" t="s">
        <v>10753</v>
      </c>
      <c r="B14021" s="4">
        <v>244580</v>
      </c>
      <c r="D14021" s="5" t="s">
        <v>16652</v>
      </c>
      <c r="E14021" s="6" t="str">
        <f>HYPERLINK("https://inpn.mnhn.fr/espece/cd_nom/244580","Eucinetus haemorrhoidalis (Germar, 1818)")</f>
        <v>Eucinetus haemorrhoidalis (Germar, 1818)</v>
      </c>
      <c r="AH14021" s="4" t="str">
        <f>HYPERLINK("#Statut_biogéographique!A"&amp;_xlfn.XMATCH("P",Statut_biogéographique!A:A,2,1),"P")</f>
        <v>P</v>
      </c>
      <c r="AP14021" s="4" t="s">
        <v>376</v>
      </c>
      <c r="AR14021" s="4" t="s">
        <v>377</v>
      </c>
    </row>
    <row r="14022" spans="1:44">
      <c r="A14022" s="4" t="s">
        <v>10753</v>
      </c>
      <c r="B14022" s="4">
        <v>244582</v>
      </c>
      <c r="D14022" s="5" t="s">
        <v>16653</v>
      </c>
      <c r="E14022" s="6" t="str">
        <f>HYPERLINK("https://inpn.mnhn.fr/espece/cd_nom/244582","Lymexylon navale (Linnaeus, 1758)")</f>
        <v>Lymexylon navale (Linnaeus, 1758)</v>
      </c>
      <c r="F14022" s="5" t="s">
        <v>16654</v>
      </c>
      <c r="AH14022" s="4" t="str">
        <f>HYPERLINK("#Statut_biogéographique!A"&amp;_xlfn.XMATCH("P",Statut_biogéographique!A:A,2,1),"P")</f>
        <v>P</v>
      </c>
      <c r="AP14022" s="4" t="s">
        <v>376</v>
      </c>
      <c r="AR14022" s="4" t="s">
        <v>377</v>
      </c>
    </row>
    <row r="14023" spans="1:44">
      <c r="A14023" s="4" t="s">
        <v>10753</v>
      </c>
      <c r="B14023" s="4">
        <v>244583</v>
      </c>
      <c r="D14023" s="5" t="s">
        <v>16655</v>
      </c>
      <c r="E14023" s="6" t="str">
        <f>HYPERLINK("https://inpn.mnhn.fr/espece/cd_nom/244583","Prostomis mandibularis (Fabricius, 1801)")</f>
        <v>Prostomis mandibularis (Fabricius, 1801)</v>
      </c>
      <c r="F14023" s="5" t="s">
        <v>16656</v>
      </c>
      <c r="P14023" s="7" t="str">
        <f>HYPERLINK("#Liste_rouge!A"&amp;_xlfn.XMATCH("NT",Liste_rouge!A:A,2,1),"NT")</f>
        <v>NT</v>
      </c>
      <c r="AH14023" s="4" t="str">
        <f>HYPERLINK("#Statut_biogéographique!A"&amp;_xlfn.XMATCH("P",Statut_biogéographique!A:A,2,1),"P")</f>
        <v>P</v>
      </c>
      <c r="AP14023" s="4" t="s">
        <v>376</v>
      </c>
      <c r="AR14023" s="4" t="s">
        <v>377</v>
      </c>
    </row>
    <row r="14024" spans="1:44">
      <c r="A14024" s="4" t="s">
        <v>10753</v>
      </c>
      <c r="B14024" s="4">
        <v>24459</v>
      </c>
      <c r="D14024" s="5" t="s">
        <v>16657</v>
      </c>
      <c r="E14024" s="6" t="str">
        <f>HYPERLINK("https://inpn.mnhn.fr/espece/cd_nom/24459","Cheilosia scutellata (Fallén, 1817)")</f>
        <v>Cheilosia scutellata (Fallén, 1817)</v>
      </c>
      <c r="P14024" s="7" t="str">
        <f>HYPERLINK("#Liste_rouge!A"&amp;_xlfn.XMATCH("LC",Liste_rouge!A:A,2,1),"LC")</f>
        <v>LC</v>
      </c>
      <c r="AH14024" s="4" t="str">
        <f>HYPERLINK("#Statut_biogéographique!A"&amp;_xlfn.XMATCH("P",Statut_biogéographique!A:A,2,1),"P")</f>
        <v>P</v>
      </c>
      <c r="AP14024" s="4" t="s">
        <v>376</v>
      </c>
      <c r="AR14024" s="4" t="s">
        <v>377</v>
      </c>
    </row>
    <row r="14025" spans="1:44">
      <c r="A14025" s="4" t="s">
        <v>10753</v>
      </c>
      <c r="B14025" s="4">
        <v>24460</v>
      </c>
      <c r="D14025" s="5" t="s">
        <v>16658</v>
      </c>
      <c r="E14025" s="6" t="str">
        <f>HYPERLINK("https://inpn.mnhn.fr/espece/cd_nom/24460","Cheilosia semifasciata Becker, 1894")</f>
        <v>Cheilosia semifasciata Becker, 1894</v>
      </c>
      <c r="O14025" s="7" t="str">
        <f>HYPERLINK("#Liste_rouge!A"&amp;_xlfn.XMATCH("LC",Liste_rouge!A:A,2,1),"LC")</f>
        <v>LC</v>
      </c>
      <c r="P14025" s="7" t="str">
        <f>HYPERLINK("#Liste_rouge!A"&amp;_xlfn.XMATCH("LC",Liste_rouge!A:A,2,1),"LC")</f>
        <v>LC</v>
      </c>
      <c r="AH14025" s="4" t="str">
        <f>HYPERLINK("#Statut_biogéographique!A"&amp;_xlfn.XMATCH("P",Statut_biogéographique!A:A,2,1),"P")</f>
        <v>P</v>
      </c>
      <c r="AP14025" s="4" t="s">
        <v>376</v>
      </c>
      <c r="AR14025" s="4" t="s">
        <v>377</v>
      </c>
    </row>
    <row r="14026" spans="1:44">
      <c r="A14026" s="4" t="s">
        <v>10753</v>
      </c>
      <c r="B14026" s="4">
        <v>244606</v>
      </c>
      <c r="D14026" s="5" t="s">
        <v>16659</v>
      </c>
      <c r="E14026" s="6" t="str">
        <f>HYPERLINK("https://inpn.mnhn.fr/espece/cd_nom/244606","Alphitobius diaperinus (Panzer, 1796)")</f>
        <v>Alphitobius diaperinus (Panzer, 1796)</v>
      </c>
      <c r="AH14026" s="4" t="str">
        <f>HYPERLINK("#Statut_biogéographique!A"&amp;_xlfn.XMATCH("I",Statut_biogéographique!A:A,2,1),"I")</f>
        <v>I</v>
      </c>
      <c r="AP14026" s="4" t="s">
        <v>376</v>
      </c>
      <c r="AR14026" s="4" t="s">
        <v>377</v>
      </c>
    </row>
    <row r="14027" spans="1:44">
      <c r="A14027" s="4" t="s">
        <v>10753</v>
      </c>
      <c r="B14027" s="4">
        <v>24461</v>
      </c>
      <c r="D14027" s="5" t="s">
        <v>16660</v>
      </c>
      <c r="E14027" s="6" t="str">
        <f>HYPERLINK("https://inpn.mnhn.fr/espece/cd_nom/24461","Cheilosia soror (Zetterstedt, 1843)")</f>
        <v>Cheilosia soror (Zetterstedt, 1843)</v>
      </c>
      <c r="P14027" s="7" t="str">
        <f>HYPERLINK("#Liste_rouge!A"&amp;_xlfn.XMATCH("LC",Liste_rouge!A:A,2,1),"LC")</f>
        <v>LC</v>
      </c>
      <c r="AH14027" s="4" t="str">
        <f>HYPERLINK("#Statut_biogéographique!A"&amp;_xlfn.XMATCH("P",Statut_biogéographique!A:A,2,1),"P")</f>
        <v>P</v>
      </c>
      <c r="AP14027" s="4" t="s">
        <v>376</v>
      </c>
      <c r="AR14027" s="4" t="s">
        <v>377</v>
      </c>
    </row>
    <row r="14028" spans="1:44">
      <c r="A14028" s="4" t="s">
        <v>10753</v>
      </c>
      <c r="B14028" s="4">
        <v>244612</v>
      </c>
      <c r="D14028" s="5" t="s">
        <v>16661</v>
      </c>
      <c r="E14028" s="6" t="str">
        <f>HYPERLINK("https://inpn.mnhn.fr/espece/cd_nom/244612","Eledona agricola (Herbst, 1783)")</f>
        <v>Eledona agricola (Herbst, 1783)</v>
      </c>
      <c r="AH14028" s="4" t="str">
        <f>HYPERLINK("#Statut_biogéographique!A"&amp;_xlfn.XMATCH("P",Statut_biogéographique!A:A,2,1),"P")</f>
        <v>P</v>
      </c>
      <c r="AP14028" s="4" t="s">
        <v>376</v>
      </c>
      <c r="AR14028" s="4" t="s">
        <v>377</v>
      </c>
    </row>
    <row r="14029" spans="1:44">
      <c r="A14029" s="4" t="s">
        <v>10753</v>
      </c>
      <c r="B14029" s="4">
        <v>244614</v>
      </c>
      <c r="D14029" s="5" t="s">
        <v>16662</v>
      </c>
      <c r="E14029" s="6" t="str">
        <f>HYPERLINK("https://inpn.mnhn.fr/espece/cd_nom/244614","Bolitophagus reticulatus (Linnaeus, 1767)")</f>
        <v>Bolitophagus reticulatus (Linnaeus, 1767)</v>
      </c>
      <c r="F14029" s="5" t="s">
        <v>16663</v>
      </c>
      <c r="AH14029" s="4" t="str">
        <f>HYPERLINK("#Statut_biogéographique!A"&amp;_xlfn.XMATCH("P",Statut_biogéographique!A:A,2,1),"P")</f>
        <v>P</v>
      </c>
      <c r="AP14029" s="4" t="s">
        <v>376</v>
      </c>
      <c r="AR14029" s="4" t="s">
        <v>377</v>
      </c>
    </row>
    <row r="14030" spans="1:44">
      <c r="A14030" s="4" t="s">
        <v>10753</v>
      </c>
      <c r="B14030" s="4">
        <v>244620</v>
      </c>
      <c r="D14030" s="5" t="s">
        <v>16664</v>
      </c>
      <c r="E14030" s="6" t="str">
        <f>HYPERLINK("https://inpn.mnhn.fr/espece/cd_nom/244620","Stenomax aeneus (Scopoli, 1763)")</f>
        <v>Stenomax aeneus (Scopoli, 1763)</v>
      </c>
      <c r="F14030" s="5" t="s">
        <v>16665</v>
      </c>
      <c r="AH14030" s="4" t="str">
        <f>HYPERLINK("#Statut_biogéographique!A"&amp;_xlfn.XMATCH("P",Statut_biogéographique!A:A,2,1),"P")</f>
        <v>P</v>
      </c>
      <c r="AP14030" s="4" t="s">
        <v>376</v>
      </c>
      <c r="AR14030" s="4" t="s">
        <v>377</v>
      </c>
    </row>
    <row r="14031" spans="1:44">
      <c r="A14031" s="4" t="s">
        <v>10753</v>
      </c>
      <c r="B14031" s="4">
        <v>24463</v>
      </c>
      <c r="D14031" s="5" t="s">
        <v>16666</v>
      </c>
      <c r="E14031" s="6" t="str">
        <f>HYPERLINK("https://inpn.mnhn.fr/espece/cd_nom/24463","Cheilosia variabilis (Panzer, 1798)")</f>
        <v>Cheilosia variabilis (Panzer, 1798)</v>
      </c>
      <c r="P14031" s="7" t="str">
        <f>HYPERLINK("#Liste_rouge!A"&amp;_xlfn.XMATCH("LC",Liste_rouge!A:A,2,1),"LC")</f>
        <v>LC</v>
      </c>
      <c r="AH14031" s="4" t="str">
        <f>HYPERLINK("#Statut_biogéographique!A"&amp;_xlfn.XMATCH("P",Statut_biogéographique!A:A,2,1),"P")</f>
        <v>P</v>
      </c>
      <c r="AP14031" s="4" t="s">
        <v>376</v>
      </c>
      <c r="AR14031" s="4" t="s">
        <v>377</v>
      </c>
    </row>
    <row r="14032" spans="1:44">
      <c r="A14032" s="4" t="s">
        <v>10753</v>
      </c>
      <c r="B14032" s="4">
        <v>244631</v>
      </c>
      <c r="D14032" s="5" t="s">
        <v>16667</v>
      </c>
      <c r="E14032" s="6" t="str">
        <f>HYPERLINK("https://inpn.mnhn.fr/espece/cd_nom/244631","Nalassus assimilis (Küster, 1850)")</f>
        <v>Nalassus assimilis (Küster, 1850)</v>
      </c>
      <c r="AH14032" s="4" t="str">
        <f>HYPERLINK("#Statut_biogéographique!A"&amp;_xlfn.XMATCH("P",Statut_biogéographique!A:A,2,1),"P")</f>
        <v>P</v>
      </c>
      <c r="AP14032" s="4" t="s">
        <v>376</v>
      </c>
      <c r="AR14032" s="4" t="s">
        <v>377</v>
      </c>
    </row>
    <row r="14033" spans="1:44">
      <c r="A14033" s="4" t="s">
        <v>10753</v>
      </c>
      <c r="B14033" s="4">
        <v>244636</v>
      </c>
      <c r="D14033" s="5" t="s">
        <v>16668</v>
      </c>
      <c r="E14033" s="6" t="str">
        <f>HYPERLINK("https://inpn.mnhn.fr/espece/cd_nom/244636","Nalassus harpaloides (Küster, 1850)")</f>
        <v>Nalassus harpaloides (Küster, 1850)</v>
      </c>
      <c r="AH14033" s="4" t="str">
        <f>HYPERLINK("#Statut_biogéographique!A"&amp;_xlfn.XMATCH("E",Statut_biogéographique!A:A,2,1),"E")</f>
        <v>E</v>
      </c>
      <c r="AP14033" s="4" t="s">
        <v>376</v>
      </c>
      <c r="AR14033" s="4" t="s">
        <v>377</v>
      </c>
    </row>
    <row r="14034" spans="1:44">
      <c r="A14034" s="4" t="s">
        <v>10753</v>
      </c>
      <c r="B14034" s="4">
        <v>244637</v>
      </c>
      <c r="D14034" s="5" t="s">
        <v>16669</v>
      </c>
      <c r="E14034" s="6" t="str">
        <f>HYPERLINK("https://inpn.mnhn.fr/espece/cd_nom/244637","Nalassus laevioctostriatus (Goeze, 1777)")</f>
        <v>Nalassus laevioctostriatus (Goeze, 1777)</v>
      </c>
      <c r="F14034" s="5" t="s">
        <v>16670</v>
      </c>
      <c r="AH14034" s="4" t="str">
        <f>HYPERLINK("#Statut_biogéographique!A"&amp;_xlfn.XMATCH("P",Statut_biogéographique!A:A,2,1),"P")</f>
        <v>P</v>
      </c>
      <c r="AP14034" s="4" t="s">
        <v>376</v>
      </c>
      <c r="AR14034" s="4" t="s">
        <v>377</v>
      </c>
    </row>
    <row r="14035" spans="1:44">
      <c r="A14035" s="4" t="s">
        <v>10753</v>
      </c>
      <c r="B14035" s="4">
        <v>244657</v>
      </c>
      <c r="D14035" s="5" t="s">
        <v>16671</v>
      </c>
      <c r="E14035" s="6" t="str">
        <f>HYPERLINK("https://inpn.mnhn.fr/espece/cd_nom/244657","Scaphidema metallica (Fabricius, 1792)")</f>
        <v>Scaphidema metallica (Fabricius, 1792)</v>
      </c>
      <c r="P14035" s="7" t="str">
        <f>HYPERLINK("#Liste_rouge!A"&amp;_xlfn.XMATCH("LC",Liste_rouge!A:A,2,1),"LC")</f>
        <v>LC</v>
      </c>
      <c r="AH14035" s="4" t="str">
        <f>HYPERLINK("#Statut_biogéographique!A"&amp;_xlfn.XMATCH("P",Statut_biogéographique!A:A,2,1),"P")</f>
        <v>P</v>
      </c>
      <c r="AP14035" s="4" t="s">
        <v>376</v>
      </c>
      <c r="AR14035" s="4" t="s">
        <v>377</v>
      </c>
    </row>
    <row r="14036" spans="1:44">
      <c r="A14036" s="4" t="s">
        <v>10753</v>
      </c>
      <c r="B14036" s="4">
        <v>24466</v>
      </c>
      <c r="D14036" s="5" t="s">
        <v>16672</v>
      </c>
      <c r="E14036" s="6" t="str">
        <f>HYPERLINK("https://inpn.mnhn.fr/espece/cd_nom/24466","Cheilosia vernalis (Fallén, 1817)")</f>
        <v>Cheilosia vernalis (Fallén, 1817)</v>
      </c>
      <c r="P14036" s="7" t="str">
        <f>HYPERLINK("#Liste_rouge!A"&amp;_xlfn.XMATCH("LC",Liste_rouge!A:A,2,1),"LC")</f>
        <v>LC</v>
      </c>
      <c r="AH14036" s="4" t="str">
        <f>HYPERLINK("#Statut_biogéographique!A"&amp;_xlfn.XMATCH("P",Statut_biogéographique!A:A,2,1),"P")</f>
        <v>P</v>
      </c>
      <c r="AP14036" s="4" t="s">
        <v>376</v>
      </c>
      <c r="AR14036" s="4" t="s">
        <v>377</v>
      </c>
    </row>
    <row r="14037" spans="1:44" ht="30">
      <c r="A14037" s="4" t="s">
        <v>10753</v>
      </c>
      <c r="B14037" s="4">
        <v>244661</v>
      </c>
      <c r="D14037" s="5">
        <v>244661</v>
      </c>
      <c r="E14037" s="6" t="str">
        <f>HYPERLINK("https://inpn.mnhn.fr/espece/cd_nom/244661","Tenebrio molitor Linnaeus, 1758")</f>
        <v>Tenebrio molitor Linnaeus, 1758</v>
      </c>
      <c r="F14037" s="5" t="s">
        <v>16673</v>
      </c>
      <c r="AH14037" s="4" t="str">
        <f>HYPERLINK("#Statut_biogéographique!A"&amp;_xlfn.XMATCH("P",Statut_biogéographique!A:A,2,1),"P")</f>
        <v>P</v>
      </c>
      <c r="AP14037" s="4" t="s">
        <v>376</v>
      </c>
      <c r="AR14037" s="4" t="s">
        <v>377</v>
      </c>
    </row>
    <row r="14038" spans="1:44">
      <c r="A14038" s="4" t="s">
        <v>10753</v>
      </c>
      <c r="B14038" s="4">
        <v>244662</v>
      </c>
      <c r="D14038" s="5">
        <v>244662</v>
      </c>
      <c r="E14038" s="6" t="str">
        <f>HYPERLINK("https://inpn.mnhn.fr/espece/cd_nom/244662","Tenebrio obscurus Fabricius, 1792")</f>
        <v>Tenebrio obscurus Fabricius, 1792</v>
      </c>
      <c r="AH14038" s="4" t="str">
        <f>HYPERLINK("#Statut_biogéographique!A"&amp;_xlfn.XMATCH("P",Statut_biogéographique!A:A,2,1),"P")</f>
        <v>P</v>
      </c>
      <c r="AP14038" s="4" t="s">
        <v>376</v>
      </c>
      <c r="AR14038" s="4" t="s">
        <v>377</v>
      </c>
    </row>
    <row r="14039" spans="1:44">
      <c r="A14039" s="4" t="s">
        <v>10753</v>
      </c>
      <c r="B14039" s="4">
        <v>244663</v>
      </c>
      <c r="D14039" s="5">
        <v>244663</v>
      </c>
      <c r="E14039" s="6" t="str">
        <f>HYPERLINK("https://inpn.mnhn.fr/espece/cd_nom/244663","Tenebrio opacus Duftschmid, 1812")</f>
        <v>Tenebrio opacus Duftschmid, 1812</v>
      </c>
      <c r="AH14039" s="4" t="str">
        <f>HYPERLINK("#Statut_biogéographique!A"&amp;_xlfn.XMATCH("P",Statut_biogéographique!A:A,2,1),"P")</f>
        <v>P</v>
      </c>
      <c r="AP14039" s="4" t="s">
        <v>376</v>
      </c>
      <c r="AR14039" s="4" t="s">
        <v>377</v>
      </c>
    </row>
    <row r="14040" spans="1:44">
      <c r="A14040" s="4" t="s">
        <v>10753</v>
      </c>
      <c r="B14040" s="4">
        <v>244668</v>
      </c>
      <c r="D14040" s="5" t="s">
        <v>16674</v>
      </c>
      <c r="E14040" s="6" t="str">
        <f>HYPERLINK("https://inpn.mnhn.fr/espece/cd_nom/244668","Bius thoracicus (Fabricius, 1792)")</f>
        <v>Bius thoracicus (Fabricius, 1792)</v>
      </c>
      <c r="AE14040" s="4" t="str">
        <f>HYPERLINK("#SCAP!A"&amp;_xlfn.XMATCH("A",SCAP!A:A,2,1),"A")</f>
        <v>A</v>
      </c>
      <c r="AH14040" s="4" t="str">
        <f>HYPERLINK("#Statut_biogéographique!A"&amp;_xlfn.XMATCH("P",Statut_biogéographique!A:A,2,1),"P")</f>
        <v>P</v>
      </c>
      <c r="AP14040" s="4" t="s">
        <v>376</v>
      </c>
      <c r="AR14040" s="4" t="s">
        <v>377</v>
      </c>
    </row>
    <row r="14041" spans="1:44">
      <c r="A14041" s="4" t="s">
        <v>10753</v>
      </c>
      <c r="B14041" s="4">
        <v>244669</v>
      </c>
      <c r="D14041" s="5" t="s">
        <v>16675</v>
      </c>
      <c r="E14041" s="6" t="str">
        <f>HYPERLINK("https://inpn.mnhn.fr/espece/cd_nom/244669","Tribolium castaneum (Herbst, 1797)")</f>
        <v>Tribolium castaneum (Herbst, 1797)</v>
      </c>
      <c r="AH14041" s="4" t="str">
        <f>HYPERLINK("#Statut_biogéographique!A"&amp;_xlfn.XMATCH("C",Statut_biogéographique!A:A,2,1),"C")</f>
        <v>C</v>
      </c>
      <c r="AP14041" s="4" t="s">
        <v>376</v>
      </c>
      <c r="AR14041" s="4" t="s">
        <v>377</v>
      </c>
    </row>
    <row r="14042" spans="1:44">
      <c r="A14042" s="4" t="s">
        <v>10753</v>
      </c>
      <c r="B14042" s="4">
        <v>244670</v>
      </c>
      <c r="D14042" s="5">
        <v>244670</v>
      </c>
      <c r="E14042" s="6" t="str">
        <f>HYPERLINK("https://inpn.mnhn.fr/espece/cd_nom/244670","Tribolium confusum Jacquelin du Val, 1861")</f>
        <v>Tribolium confusum Jacquelin du Val, 1861</v>
      </c>
      <c r="AH14042" s="4" t="str">
        <f>HYPERLINK("#Statut_biogéographique!A"&amp;_xlfn.XMATCH("I",Statut_biogéographique!A:A,2,1),"I")</f>
        <v>I</v>
      </c>
      <c r="AP14042" s="4" t="s">
        <v>376</v>
      </c>
      <c r="AR14042" s="4" t="s">
        <v>377</v>
      </c>
    </row>
    <row r="14043" spans="1:44">
      <c r="A14043" s="4" t="s">
        <v>10753</v>
      </c>
      <c r="B14043" s="4">
        <v>244675</v>
      </c>
      <c r="D14043" s="5" t="s">
        <v>16676</v>
      </c>
      <c r="E14043" s="6" t="str">
        <f>HYPERLINK("https://inpn.mnhn.fr/espece/cd_nom/244675","Uloma culinaris (Linnaeus, 1758)")</f>
        <v>Uloma culinaris (Linnaeus, 1758)</v>
      </c>
      <c r="F14043" s="5" t="s">
        <v>16677</v>
      </c>
      <c r="AH14043" s="4" t="str">
        <f>HYPERLINK("#Statut_biogéographique!A"&amp;_xlfn.XMATCH("P",Statut_biogéographique!A:A,2,1),"P")</f>
        <v>P</v>
      </c>
      <c r="AP14043" s="4" t="s">
        <v>376</v>
      </c>
      <c r="AR14043" s="4" t="s">
        <v>377</v>
      </c>
    </row>
    <row r="14044" spans="1:44">
      <c r="A14044" s="4" t="s">
        <v>10753</v>
      </c>
      <c r="B14044" s="4">
        <v>244680</v>
      </c>
      <c r="D14044" s="5" t="s">
        <v>16678</v>
      </c>
      <c r="E14044" s="6" t="str">
        <f>HYPERLINK("https://inpn.mnhn.fr/espece/cd_nom/244680","Crypticus quisquilius (Linnaeus, 1761)")</f>
        <v>Crypticus quisquilius (Linnaeus, 1761)</v>
      </c>
      <c r="AH14044" s="4" t="str">
        <f>HYPERLINK("#Statut_biogéographique!A"&amp;_xlfn.XMATCH("P",Statut_biogéographique!A:A,2,1),"P")</f>
        <v>P</v>
      </c>
      <c r="AP14044" s="4" t="s">
        <v>376</v>
      </c>
      <c r="AR14044" s="4" t="s">
        <v>377</v>
      </c>
    </row>
    <row r="14045" spans="1:44">
      <c r="A14045" s="4" t="s">
        <v>10753</v>
      </c>
      <c r="B14045" s="4">
        <v>244683</v>
      </c>
      <c r="D14045" s="5" t="s">
        <v>16679</v>
      </c>
      <c r="E14045" s="6" t="str">
        <f>HYPERLINK("https://inpn.mnhn.fr/espece/cd_nom/244683","Platydema violacea (Fabricius, 1790)")</f>
        <v>Platydema violacea (Fabricius, 1790)</v>
      </c>
      <c r="F14045" s="5" t="s">
        <v>16680</v>
      </c>
      <c r="P14045" s="7" t="str">
        <f>HYPERLINK("#Liste_rouge!A"&amp;_xlfn.XMATCH("LC",Liste_rouge!A:A,2,1),"LC")</f>
        <v>LC</v>
      </c>
      <c r="AH14045" s="4" t="str">
        <f>HYPERLINK("#Statut_biogéographique!A"&amp;_xlfn.XMATCH("P",Statut_biogéographique!A:A,2,1),"P")</f>
        <v>P</v>
      </c>
      <c r="AP14045" s="4" t="s">
        <v>376</v>
      </c>
      <c r="AR14045" s="4" t="s">
        <v>377</v>
      </c>
    </row>
    <row r="14046" spans="1:44">
      <c r="A14046" s="4" t="s">
        <v>10753</v>
      </c>
      <c r="B14046" s="4">
        <v>244685</v>
      </c>
      <c r="D14046" s="5" t="s">
        <v>16681</v>
      </c>
      <c r="E14046" s="6" t="str">
        <f>HYPERLINK("https://inpn.mnhn.fr/espece/cd_nom/244685","Pentaphyllus testaceus (Hellwig, 1792)")</f>
        <v>Pentaphyllus testaceus (Hellwig, 1792)</v>
      </c>
      <c r="P14046" s="7" t="str">
        <f>HYPERLINK("#Liste_rouge!A"&amp;_xlfn.XMATCH("LC",Liste_rouge!A:A,2,1),"LC")</f>
        <v>LC</v>
      </c>
      <c r="AH14046" s="4" t="str">
        <f>HYPERLINK("#Statut_biogéographique!A"&amp;_xlfn.XMATCH("P",Statut_biogéographique!A:A,2,1),"P")</f>
        <v>P</v>
      </c>
      <c r="AP14046" s="4" t="s">
        <v>376</v>
      </c>
      <c r="AR14046" s="4" t="s">
        <v>377</v>
      </c>
    </row>
    <row r="14047" spans="1:44">
      <c r="A14047" s="4" t="s">
        <v>10753</v>
      </c>
      <c r="B14047" s="4">
        <v>244689</v>
      </c>
      <c r="D14047" s="5" t="s">
        <v>16682</v>
      </c>
      <c r="E14047" s="6" t="str">
        <f>HYPERLINK("https://inpn.mnhn.fr/espece/cd_nom/244689","Alphitophagus bifasciatus (Say, 1824)")</f>
        <v>Alphitophagus bifasciatus (Say, 1824)</v>
      </c>
      <c r="AH14047" s="4" t="str">
        <f>HYPERLINK("#Statut_biogéographique!A"&amp;_xlfn.XMATCH("C",Statut_biogéographique!A:A,2,1),"C")</f>
        <v>C</v>
      </c>
      <c r="AP14047" s="4" t="s">
        <v>376</v>
      </c>
      <c r="AR14047" s="4" t="s">
        <v>377</v>
      </c>
    </row>
    <row r="14048" spans="1:44">
      <c r="A14048" s="4" t="s">
        <v>10753</v>
      </c>
      <c r="B14048" s="4">
        <v>24469</v>
      </c>
      <c r="D14048" s="5" t="s">
        <v>16683</v>
      </c>
      <c r="E14048" s="6" t="str">
        <f>HYPERLINK("https://inpn.mnhn.fr/espece/cd_nom/24469","Cheilosia vulpina (Meigen, 1822)")</f>
        <v>Cheilosia vulpina (Meigen, 1822)</v>
      </c>
      <c r="P14048" s="7" t="str">
        <f>HYPERLINK("#Liste_rouge!A"&amp;_xlfn.XMATCH("LC",Liste_rouge!A:A,2,1),"LC")</f>
        <v>LC</v>
      </c>
      <c r="AH14048" s="4" t="str">
        <f>HYPERLINK("#Statut_biogéographique!A"&amp;_xlfn.XMATCH("P",Statut_biogéographique!A:A,2,1),"P")</f>
        <v>P</v>
      </c>
      <c r="AP14048" s="4" t="s">
        <v>376</v>
      </c>
      <c r="AR14048" s="4" t="s">
        <v>377</v>
      </c>
    </row>
    <row r="14049" spans="1:44">
      <c r="A14049" s="4" t="s">
        <v>10753</v>
      </c>
      <c r="B14049" s="4">
        <v>244702</v>
      </c>
      <c r="D14049" s="5" t="s">
        <v>16684</v>
      </c>
      <c r="E14049" s="6" t="str">
        <f>HYPERLINK("https://inpn.mnhn.fr/espece/cd_nom/244702","Palorus depressus (Fabricius, 1790)")</f>
        <v>Palorus depressus (Fabricius, 1790)</v>
      </c>
      <c r="AH14049" s="4" t="str">
        <f>HYPERLINK("#Statut_biogéographique!A"&amp;_xlfn.XMATCH("P",Statut_biogéographique!A:A,2,1),"P")</f>
        <v>P</v>
      </c>
      <c r="AP14049" s="4" t="s">
        <v>376</v>
      </c>
      <c r="AR14049" s="4" t="s">
        <v>377</v>
      </c>
    </row>
    <row r="14050" spans="1:44">
      <c r="A14050" s="4" t="s">
        <v>10753</v>
      </c>
      <c r="B14050" s="4">
        <v>244704</v>
      </c>
      <c r="D14050" s="5" t="s">
        <v>16685</v>
      </c>
      <c r="E14050" s="6" t="str">
        <f>HYPERLINK("https://inpn.mnhn.fr/espece/cd_nom/244704","Palorus subdepressus (Wollaston, 1864)")</f>
        <v>Palorus subdepressus (Wollaston, 1864)</v>
      </c>
      <c r="AH14050" s="4" t="str">
        <f>HYPERLINK("#Statut_biogéographique!A"&amp;_xlfn.XMATCH("I",Statut_biogéographique!A:A,2,1),"I")</f>
        <v>I</v>
      </c>
      <c r="AP14050" s="4" t="s">
        <v>376</v>
      </c>
      <c r="AR14050" s="4" t="s">
        <v>377</v>
      </c>
    </row>
    <row r="14051" spans="1:44" ht="30">
      <c r="A14051" s="4" t="s">
        <v>10753</v>
      </c>
      <c r="B14051" s="4">
        <v>244707</v>
      </c>
      <c r="D14051" s="5" t="s">
        <v>16686</v>
      </c>
      <c r="E14051" s="6" t="str">
        <f>HYPERLINK("https://inpn.mnhn.fr/espece/cd_nom/244707","Synendotendipes dispar (Meigen, 1830)")</f>
        <v>Synendotendipes dispar (Meigen, 1830)</v>
      </c>
      <c r="AH14051" s="4" t="str">
        <f>HYPERLINK("#Statut_biogéographique!A"&amp;_xlfn.XMATCH("P",Statut_biogéographique!A:A,2,1),"P")</f>
        <v>P</v>
      </c>
      <c r="AP14051" s="4" t="s">
        <v>376</v>
      </c>
      <c r="AR14051" s="4" t="s">
        <v>377</v>
      </c>
    </row>
    <row r="14052" spans="1:44" ht="30">
      <c r="A14052" s="4" t="s">
        <v>10753</v>
      </c>
      <c r="B14052" s="4">
        <v>244715</v>
      </c>
      <c r="D14052" s="5" t="s">
        <v>16687</v>
      </c>
      <c r="E14052" s="6" t="str">
        <f>HYPERLINK("https://inpn.mnhn.fr/espece/cd_nom/244715","Polypedilum sordens (van der Wulp, 1874)")</f>
        <v>Polypedilum sordens (van der Wulp, 1874)</v>
      </c>
      <c r="AH14052" s="4" t="str">
        <f>HYPERLINK("#Statut_biogéographique!A"&amp;_xlfn.XMATCH("P",Statut_biogéographique!A:A,2,1),"P")</f>
        <v>P</v>
      </c>
      <c r="AP14052" s="4" t="s">
        <v>376</v>
      </c>
      <c r="AR14052" s="4" t="s">
        <v>377</v>
      </c>
    </row>
    <row r="14053" spans="1:44">
      <c r="A14053" s="4" t="s">
        <v>10753</v>
      </c>
      <c r="B14053" s="4">
        <v>24476</v>
      </c>
      <c r="D14053" s="5" t="s">
        <v>16688</v>
      </c>
      <c r="E14053" s="6" t="str">
        <f>HYPERLINK("https://inpn.mnhn.fr/espece/cd_nom/24476","Chrysogaster solstitialis (Fallén, 1817)")</f>
        <v>Chrysogaster solstitialis (Fallén, 1817)</v>
      </c>
      <c r="P14053" s="7" t="str">
        <f>HYPERLINK("#Liste_rouge!A"&amp;_xlfn.XMATCH("LC",Liste_rouge!A:A,2,1),"LC")</f>
        <v>LC</v>
      </c>
      <c r="AH14053" s="4" t="str">
        <f>HYPERLINK("#Statut_biogéographique!A"&amp;_xlfn.XMATCH("P",Statut_biogéographique!A:A,2,1),"P")</f>
        <v>P</v>
      </c>
      <c r="AP14053" s="4" t="s">
        <v>376</v>
      </c>
      <c r="AR14053" s="4" t="s">
        <v>377</v>
      </c>
    </row>
    <row r="14054" spans="1:44">
      <c r="A14054" s="4" t="s">
        <v>10753</v>
      </c>
      <c r="B14054" s="4">
        <v>244763</v>
      </c>
      <c r="D14054" s="5" t="s">
        <v>16689</v>
      </c>
      <c r="E14054" s="6" t="str">
        <f>HYPERLINK("https://inpn.mnhn.fr/espece/cd_nom/244763","Chironomus anthracinus Zetterstedt, 1860")</f>
        <v>Chironomus anthracinus Zetterstedt, 1860</v>
      </c>
      <c r="AH14054" s="4" t="str">
        <f>HYPERLINK("#Statut_biogéographique!A"&amp;_xlfn.XMATCH("P",Statut_biogéographique!A:A,2,1),"P")</f>
        <v>P</v>
      </c>
      <c r="AP14054" s="4" t="s">
        <v>376</v>
      </c>
      <c r="AR14054" s="4" t="s">
        <v>377</v>
      </c>
    </row>
    <row r="14055" spans="1:44">
      <c r="A14055" s="4" t="s">
        <v>10753</v>
      </c>
      <c r="B14055" s="4">
        <v>244767</v>
      </c>
      <c r="D14055" s="5">
        <v>244767</v>
      </c>
      <c r="E14055" s="6" t="str">
        <f>HYPERLINK("https://inpn.mnhn.fr/espece/cd_nom/244767","Chironomus commutatus Keyl, 1960")</f>
        <v>Chironomus commutatus Keyl, 1960</v>
      </c>
      <c r="AH14055" s="4" t="str">
        <f>HYPERLINK("#Statut_biogéographique!A"&amp;_xlfn.XMATCH("P",Statut_biogéographique!A:A,2,1),"P")</f>
        <v>P</v>
      </c>
      <c r="AP14055" s="4" t="s">
        <v>376</v>
      </c>
      <c r="AR14055" s="4" t="s">
        <v>377</v>
      </c>
    </row>
    <row r="14056" spans="1:44">
      <c r="A14056" s="4" t="s">
        <v>10753</v>
      </c>
      <c r="B14056" s="4">
        <v>244794</v>
      </c>
      <c r="D14056" s="5" t="s">
        <v>16690</v>
      </c>
      <c r="E14056" s="6" t="str">
        <f>HYPERLINK("https://inpn.mnhn.fr/espece/cd_nom/244794","Tanytarsus miriforceps (Kieffer, 1921)")</f>
        <v>Tanytarsus miriforceps (Kieffer, 1921)</v>
      </c>
      <c r="AH14056" s="4" t="str">
        <f>HYPERLINK("#Statut_biogéographique!A"&amp;_xlfn.XMATCH("P",Statut_biogéographique!A:A,2,1),"P")</f>
        <v>P</v>
      </c>
      <c r="AP14056" s="4" t="s">
        <v>376</v>
      </c>
      <c r="AR14056" s="4" t="s">
        <v>377</v>
      </c>
    </row>
    <row r="14057" spans="1:44">
      <c r="A14057" s="4" t="s">
        <v>10753</v>
      </c>
      <c r="B14057" s="4">
        <v>244796</v>
      </c>
      <c r="D14057" s="5">
        <v>244796</v>
      </c>
      <c r="E14057" s="6" t="str">
        <f>HYPERLINK("https://inpn.mnhn.fr/espece/cd_nom/244796","Tanytarsus niger Søgaard Andersen, 1937")</f>
        <v>Tanytarsus niger Søgaard Andersen, 1937</v>
      </c>
      <c r="AH14057" s="4" t="str">
        <f>HYPERLINK("#Statut_biogéographique!A"&amp;_xlfn.XMATCH("P",Statut_biogéographique!A:A,2,1),"P")</f>
        <v>P</v>
      </c>
      <c r="AP14057" s="4" t="s">
        <v>376</v>
      </c>
      <c r="AR14057" s="4" t="s">
        <v>377</v>
      </c>
    </row>
    <row r="14058" spans="1:44">
      <c r="A14058" s="4" t="s">
        <v>10753</v>
      </c>
      <c r="B14058" s="4">
        <v>24480</v>
      </c>
      <c r="D14058" s="5">
        <v>24480</v>
      </c>
      <c r="E14058" s="6" t="str">
        <f>HYPERLINK("https://inpn.mnhn.fr/espece/cd_nom/24480","Chrysogaster virescens Loew, 1854")</f>
        <v>Chrysogaster virescens Loew, 1854</v>
      </c>
      <c r="O14058" s="7" t="str">
        <f>HYPERLINK("#Liste_rouge!A"&amp;_xlfn.XMATCH("NT",Liste_rouge!A:A,2,1),"NT")</f>
        <v>NT</v>
      </c>
      <c r="P14058" s="7" t="str">
        <f>HYPERLINK("#Liste_rouge!A"&amp;_xlfn.XMATCH("NT",Liste_rouge!A:A,2,1),"NT")</f>
        <v>NT</v>
      </c>
      <c r="AH14058" s="4" t="str">
        <f>HYPERLINK("#Statut_biogéographique!A"&amp;_xlfn.XMATCH("P",Statut_biogéographique!A:A,2,1),"P")</f>
        <v>P</v>
      </c>
      <c r="AP14058" s="4" t="s">
        <v>376</v>
      </c>
      <c r="AR14058" s="4" t="s">
        <v>377</v>
      </c>
    </row>
    <row r="14059" spans="1:44">
      <c r="A14059" s="4" t="s">
        <v>10753</v>
      </c>
      <c r="B14059" s="4">
        <v>24483</v>
      </c>
      <c r="D14059" s="5" t="s">
        <v>16691</v>
      </c>
      <c r="E14059" s="6" t="str">
        <f>HYPERLINK("https://inpn.mnhn.fr/espece/cd_nom/24483","Ferdinandea cuprea (Scopoli, 1763)")</f>
        <v>Ferdinandea cuprea (Scopoli, 1763)</v>
      </c>
      <c r="P14059" s="7" t="str">
        <f>HYPERLINK("#Liste_rouge!A"&amp;_xlfn.XMATCH("LC",Liste_rouge!A:A,2,1),"LC")</f>
        <v>LC</v>
      </c>
      <c r="AH14059" s="4" t="str">
        <f>HYPERLINK("#Statut_biogéographique!A"&amp;_xlfn.XMATCH("P",Statut_biogéographique!A:A,2,1),"P")</f>
        <v>P</v>
      </c>
      <c r="AP14059" s="4" t="s">
        <v>376</v>
      </c>
      <c r="AR14059" s="4" t="s">
        <v>377</v>
      </c>
    </row>
    <row r="14060" spans="1:44">
      <c r="A14060" s="4" t="s">
        <v>10753</v>
      </c>
      <c r="B14060" s="4">
        <v>24485</v>
      </c>
      <c r="D14060" s="5" t="s">
        <v>16692</v>
      </c>
      <c r="E14060" s="6" t="str">
        <f>HYPERLINK("https://inpn.mnhn.fr/espece/cd_nom/24485","Ferdinandea ruficornis (Fabricius, 1775)")</f>
        <v>Ferdinandea ruficornis (Fabricius, 1775)</v>
      </c>
      <c r="P14060" s="7" t="str">
        <f>HYPERLINK("#Liste_rouge!A"&amp;_xlfn.XMATCH("LC",Liste_rouge!A:A,2,1),"LC")</f>
        <v>LC</v>
      </c>
      <c r="AH14060" s="4" t="str">
        <f>HYPERLINK("#Statut_biogéographique!A"&amp;_xlfn.XMATCH("P",Statut_biogéographique!A:A,2,1),"P")</f>
        <v>P</v>
      </c>
      <c r="AP14060" s="4" t="s">
        <v>376</v>
      </c>
      <c r="AR14060" s="4" t="s">
        <v>377</v>
      </c>
    </row>
    <row r="14061" spans="1:44">
      <c r="A14061" s="4" t="s">
        <v>10753</v>
      </c>
      <c r="B14061" s="4">
        <v>24488</v>
      </c>
      <c r="D14061" s="5" t="s">
        <v>16693</v>
      </c>
      <c r="E14061" s="6" t="str">
        <f>HYPERLINK("https://inpn.mnhn.fr/espece/cd_nom/24488","Lejogaster metallina (Fabricius, 1777)")</f>
        <v>Lejogaster metallina (Fabricius, 1777)</v>
      </c>
      <c r="P14061" s="7" t="str">
        <f>HYPERLINK("#Liste_rouge!A"&amp;_xlfn.XMATCH("LC",Liste_rouge!A:A,2,1),"LC")</f>
        <v>LC</v>
      </c>
      <c r="AH14061" s="4" t="str">
        <f>HYPERLINK("#Statut_biogéographique!A"&amp;_xlfn.XMATCH("P",Statut_biogéographique!A:A,2,1),"P")</f>
        <v>P</v>
      </c>
      <c r="AP14061" s="4" t="s">
        <v>376</v>
      </c>
      <c r="AR14061" s="4" t="s">
        <v>377</v>
      </c>
    </row>
    <row r="14062" spans="1:44" ht="30">
      <c r="A14062" s="4" t="s">
        <v>10753</v>
      </c>
      <c r="B14062" s="4">
        <v>244890</v>
      </c>
      <c r="D14062" s="5" t="s">
        <v>16694</v>
      </c>
      <c r="E14062" s="6" t="str">
        <f>HYPERLINK("https://inpn.mnhn.fr/espece/cd_nom/244890","Parorthocladius nudipennis (Kieffer, 1908)")</f>
        <v>Parorthocladius nudipennis (Kieffer, 1908)</v>
      </c>
      <c r="AH14062" s="4" t="str">
        <f>HYPERLINK("#Statut_biogéographique!A"&amp;_xlfn.XMATCH("P",Statut_biogéographique!A:A,2,1),"P")</f>
        <v>P</v>
      </c>
      <c r="AP14062" s="4" t="s">
        <v>376</v>
      </c>
      <c r="AR14062" s="4" t="s">
        <v>377</v>
      </c>
    </row>
    <row r="14063" spans="1:44">
      <c r="A14063" s="4" t="s">
        <v>10753</v>
      </c>
      <c r="B14063" s="4">
        <v>244903</v>
      </c>
      <c r="D14063" s="5" t="s">
        <v>16695</v>
      </c>
      <c r="E14063" s="6" t="str">
        <f>HYPERLINK("https://inpn.mnhn.fr/espece/cd_nom/244903","Parametriocnemus stylatus (Spärck, 1923)")</f>
        <v>Parametriocnemus stylatus (Spärck, 1923)</v>
      </c>
      <c r="AH14063" s="4" t="str">
        <f>HYPERLINK("#Statut_biogéographique!A"&amp;_xlfn.XMATCH("P",Statut_biogéographique!A:A,2,1),"P")</f>
        <v>P</v>
      </c>
      <c r="AP14063" s="4" t="s">
        <v>376</v>
      </c>
      <c r="AR14063" s="4" t="s">
        <v>377</v>
      </c>
    </row>
    <row r="14064" spans="1:44">
      <c r="A14064" s="4" t="s">
        <v>10753</v>
      </c>
      <c r="B14064" s="4">
        <v>244961</v>
      </c>
      <c r="D14064" s="5" t="s">
        <v>16696</v>
      </c>
      <c r="E14064" s="6" t="str">
        <f>HYPERLINK("https://inpn.mnhn.fr/espece/cd_nom/244961","Limnophyes habilis (Walker, 1856)")</f>
        <v>Limnophyes habilis (Walker, 1856)</v>
      </c>
      <c r="AH14064" s="4" t="str">
        <f>HYPERLINK("#Statut_biogéographique!A"&amp;_xlfn.XMATCH("P",Statut_biogéographique!A:A,2,1),"P")</f>
        <v>P</v>
      </c>
      <c r="AP14064" s="4" t="s">
        <v>376</v>
      </c>
      <c r="AR14064" s="4" t="s">
        <v>377</v>
      </c>
    </row>
    <row r="14065" spans="1:44">
      <c r="A14065" s="4" t="s">
        <v>10753</v>
      </c>
      <c r="B14065" s="4">
        <v>24499</v>
      </c>
      <c r="D14065" s="5" t="s">
        <v>16697</v>
      </c>
      <c r="E14065" s="6" t="str">
        <f>HYPERLINK("https://inpn.mnhn.fr/espece/cd_nom/24499","Orthonevra brevicornis (Loew, 1843)")</f>
        <v>Orthonevra brevicornis (Loew, 1843)</v>
      </c>
      <c r="P14065" s="7" t="str">
        <f>HYPERLINK("#Liste_rouge!A"&amp;_xlfn.XMATCH("LC",Liste_rouge!A:A,2,1),"LC")</f>
        <v>LC</v>
      </c>
      <c r="AH14065" s="4" t="str">
        <f>HYPERLINK("#Statut_biogéographique!A"&amp;_xlfn.XMATCH("P",Statut_biogéographique!A:A,2,1),"P")</f>
        <v>P</v>
      </c>
      <c r="AP14065" s="4" t="s">
        <v>376</v>
      </c>
      <c r="AR14065" s="4" t="s">
        <v>377</v>
      </c>
    </row>
    <row r="14066" spans="1:44">
      <c r="A14066" s="4" t="s">
        <v>10753</v>
      </c>
      <c r="B14066" s="4">
        <v>245012</v>
      </c>
      <c r="D14066" s="5" t="s">
        <v>16698</v>
      </c>
      <c r="E14066" s="6" t="str">
        <f>HYPERLINK("https://inpn.mnhn.fr/espece/cd_nom/245012","Cricotopus bicinctus (Meigen, 1818)")</f>
        <v>Cricotopus bicinctus (Meigen, 1818)</v>
      </c>
      <c r="AH14066" s="4" t="str">
        <f>HYPERLINK("#Statut_biogéographique!A"&amp;_xlfn.XMATCH("P",Statut_biogéographique!A:A,2,1),"P")</f>
        <v>P</v>
      </c>
      <c r="AP14066" s="4" t="s">
        <v>376</v>
      </c>
      <c r="AR14066" s="4" t="s">
        <v>377</v>
      </c>
    </row>
    <row r="14067" spans="1:44">
      <c r="A14067" s="4" t="s">
        <v>10753</v>
      </c>
      <c r="B14067" s="4">
        <v>24502</v>
      </c>
      <c r="D14067" s="5" t="s">
        <v>16699</v>
      </c>
      <c r="E14067" s="6" t="str">
        <f>HYPERLINK("https://inpn.mnhn.fr/espece/cd_nom/24502","Orthonevra geniculata (Meigen, 1830)")</f>
        <v>Orthonevra geniculata (Meigen, 1830)</v>
      </c>
      <c r="P14067" s="7" t="str">
        <f>HYPERLINK("#Liste_rouge!A"&amp;_xlfn.XMATCH("LC",Liste_rouge!A:A,2,1),"LC")</f>
        <v>LC</v>
      </c>
      <c r="AH14067" s="4" t="str">
        <f>HYPERLINK("#Statut_biogéographique!A"&amp;_xlfn.XMATCH("P",Statut_biogéographique!A:A,2,1),"P")</f>
        <v>P</v>
      </c>
      <c r="AP14067" s="4" t="s">
        <v>376</v>
      </c>
      <c r="AR14067" s="4" t="s">
        <v>377</v>
      </c>
    </row>
    <row r="14068" spans="1:44">
      <c r="A14068" s="4" t="s">
        <v>10753</v>
      </c>
      <c r="B14068" s="4">
        <v>245027</v>
      </c>
      <c r="D14068" s="5" t="s">
        <v>16700</v>
      </c>
      <c r="E14068" s="6" t="str">
        <f>HYPERLINK("https://inpn.mnhn.fr/espece/cd_nom/245027","Cricotopus tremulus (Linnaeus, 1758)")</f>
        <v>Cricotopus tremulus (Linnaeus, 1758)</v>
      </c>
      <c r="AH14068" s="4" t="str">
        <f>HYPERLINK("#Statut_biogéographique!A"&amp;_xlfn.XMATCH("P",Statut_biogéographique!A:A,2,1),"P")</f>
        <v>P</v>
      </c>
      <c r="AP14068" s="4" t="s">
        <v>376</v>
      </c>
      <c r="AR14068" s="4" t="s">
        <v>377</v>
      </c>
    </row>
    <row r="14069" spans="1:44" ht="60">
      <c r="A14069" s="4" t="s">
        <v>10753</v>
      </c>
      <c r="B14069" s="4">
        <v>245038</v>
      </c>
      <c r="D14069" s="5" t="s">
        <v>16701</v>
      </c>
      <c r="E14069" s="6" t="str">
        <f>HYPERLINK("https://inpn.mnhn.fr/espece/cd_nom/245038","Cricotopus sylvestris (Fabricius, 1794)")</f>
        <v>Cricotopus sylvestris (Fabricius, 1794)</v>
      </c>
      <c r="AH14069" s="4" t="str">
        <f>HYPERLINK("#Statut_biogéographique!A"&amp;_xlfn.XMATCH("P",Statut_biogéographique!A:A,2,1),"P")</f>
        <v>P</v>
      </c>
      <c r="AP14069" s="4" t="s">
        <v>376</v>
      </c>
      <c r="AR14069" s="4" t="s">
        <v>377</v>
      </c>
    </row>
    <row r="14070" spans="1:44">
      <c r="A14070" s="4" t="s">
        <v>10753</v>
      </c>
      <c r="B14070" s="4">
        <v>245039</v>
      </c>
      <c r="D14070" s="5" t="s">
        <v>16702</v>
      </c>
      <c r="E14070" s="6" t="str">
        <f>HYPERLINK("https://inpn.mnhn.fr/espece/cd_nom/245039","Cricotopus tricinctus (Meigen, 1818)")</f>
        <v>Cricotopus tricinctus (Meigen, 1818)</v>
      </c>
      <c r="AH14070" s="4" t="str">
        <f>HYPERLINK("#Statut_biogéographique!A"&amp;_xlfn.XMATCH("P",Statut_biogéographique!A:A,2,1),"P")</f>
        <v>P</v>
      </c>
      <c r="AP14070" s="4" t="s">
        <v>376</v>
      </c>
      <c r="AR14070" s="4" t="s">
        <v>377</v>
      </c>
    </row>
    <row r="14071" spans="1:44">
      <c r="A14071" s="4" t="s">
        <v>10753</v>
      </c>
      <c r="B14071" s="4">
        <v>24504</v>
      </c>
      <c r="D14071" s="5" t="s">
        <v>16703</v>
      </c>
      <c r="E14071" s="6" t="str">
        <f>HYPERLINK("https://inpn.mnhn.fr/espece/cd_nom/24504","Orthonevra nobilis (Fallén, 1817)")</f>
        <v>Orthonevra nobilis (Fallén, 1817)</v>
      </c>
      <c r="P14071" s="7" t="str">
        <f>HYPERLINK("#Liste_rouge!A"&amp;_xlfn.XMATCH("LC",Liste_rouge!A:A,2,1),"LC")</f>
        <v>LC</v>
      </c>
      <c r="AH14071" s="4" t="str">
        <f>HYPERLINK("#Statut_biogéographique!A"&amp;_xlfn.XMATCH("P",Statut_biogéographique!A:A,2,1),"P")</f>
        <v>P</v>
      </c>
      <c r="AP14071" s="4" t="s">
        <v>376</v>
      </c>
      <c r="AR14071" s="4" t="s">
        <v>377</v>
      </c>
    </row>
    <row r="14072" spans="1:44" ht="30">
      <c r="A14072" s="4" t="s">
        <v>10753</v>
      </c>
      <c r="B14072" s="4">
        <v>24509</v>
      </c>
      <c r="D14072" s="5">
        <v>24509</v>
      </c>
      <c r="E14072" s="6" t="str">
        <f>HYPERLINK("https://inpn.mnhn.fr/espece/cd_nom/24509","Rhingia campestris Meigen, 1822")</f>
        <v>Rhingia campestris Meigen, 1822</v>
      </c>
      <c r="F14072" s="5" t="s">
        <v>16704</v>
      </c>
      <c r="P14072" s="7" t="str">
        <f>HYPERLINK("#Liste_rouge!A"&amp;_xlfn.XMATCH("LC",Liste_rouge!A:A,2,1),"LC")</f>
        <v>LC</v>
      </c>
      <c r="AH14072" s="4" t="str">
        <f>HYPERLINK("#Statut_biogéographique!A"&amp;_xlfn.XMATCH("P",Statut_biogéographique!A:A,2,1),"P")</f>
        <v>P</v>
      </c>
      <c r="AP14072" s="4" t="s">
        <v>376</v>
      </c>
      <c r="AR14072" s="4" t="s">
        <v>377</v>
      </c>
    </row>
    <row r="14073" spans="1:44">
      <c r="A14073" s="4" t="s">
        <v>10753</v>
      </c>
      <c r="B14073" s="4">
        <v>24510</v>
      </c>
      <c r="D14073" s="5" t="s">
        <v>16705</v>
      </c>
      <c r="E14073" s="6" t="str">
        <f>HYPERLINK("https://inpn.mnhn.fr/espece/cd_nom/24510","Rhingia rostrata (Linnaeus, 1758)")</f>
        <v>Rhingia rostrata (Linnaeus, 1758)</v>
      </c>
      <c r="P14073" s="7" t="str">
        <f>HYPERLINK("#Liste_rouge!A"&amp;_xlfn.XMATCH("LC",Liste_rouge!A:A,2,1),"LC")</f>
        <v>LC</v>
      </c>
      <c r="AH14073" s="4" t="str">
        <f>HYPERLINK("#Statut_biogéographique!A"&amp;_xlfn.XMATCH("P",Statut_biogéographique!A:A,2,1),"P")</f>
        <v>P</v>
      </c>
      <c r="AP14073" s="4" t="s">
        <v>376</v>
      </c>
      <c r="AR14073" s="4" t="s">
        <v>377</v>
      </c>
    </row>
    <row r="14074" spans="1:44">
      <c r="A14074" s="4" t="s">
        <v>10753</v>
      </c>
      <c r="B14074" s="4">
        <v>245112</v>
      </c>
      <c r="D14074" s="5" t="s">
        <v>16706</v>
      </c>
      <c r="E14074" s="6" t="str">
        <f>HYPERLINK("https://inpn.mnhn.fr/espece/cd_nom/245112","Procladius crassinervis (Zetterstedt, 1838)")</f>
        <v>Procladius crassinervis (Zetterstedt, 1838)</v>
      </c>
      <c r="AH14074" s="4" t="str">
        <f>HYPERLINK("#Statut_biogéographique!A"&amp;_xlfn.XMATCH("P",Statut_biogéographique!A:A,2,1),"P")</f>
        <v>P</v>
      </c>
      <c r="AP14074" s="4" t="s">
        <v>376</v>
      </c>
      <c r="AR14074" s="4" t="s">
        <v>377</v>
      </c>
    </row>
    <row r="14075" spans="1:44">
      <c r="A14075" s="4" t="s">
        <v>10753</v>
      </c>
      <c r="B14075" s="4">
        <v>24512</v>
      </c>
      <c r="D14075" s="5" t="s">
        <v>16707</v>
      </c>
      <c r="E14075" s="6" t="str">
        <f>HYPERLINK("https://inpn.mnhn.fr/espece/cd_nom/24512","Sphegina clunipes (Fallén, 1816)")</f>
        <v>Sphegina clunipes (Fallén, 1816)</v>
      </c>
      <c r="P14075" s="7" t="str">
        <f>HYPERLINK("#Liste_rouge!A"&amp;_xlfn.XMATCH("LC",Liste_rouge!A:A,2,1),"LC")</f>
        <v>LC</v>
      </c>
      <c r="AH14075" s="4" t="str">
        <f>HYPERLINK("#Statut_biogéographique!A"&amp;_xlfn.XMATCH("P",Statut_biogéographique!A:A,2,1),"P")</f>
        <v>P</v>
      </c>
      <c r="AP14075" s="4" t="s">
        <v>376</v>
      </c>
      <c r="AR14075" s="4" t="s">
        <v>377</v>
      </c>
    </row>
    <row r="14076" spans="1:44">
      <c r="A14076" s="4" t="s">
        <v>10753</v>
      </c>
      <c r="B14076" s="4">
        <v>245138</v>
      </c>
      <c r="D14076" s="5" t="s">
        <v>16708</v>
      </c>
      <c r="E14076" s="6" t="str">
        <f>HYPERLINK("https://inpn.mnhn.fr/espece/cd_nom/245138","Micropterix aglaella Duponchel, 1840")</f>
        <v>Micropterix aglaella Duponchel, 1840</v>
      </c>
      <c r="AH14076" s="4" t="str">
        <f>HYPERLINK("#Statut_biogéographique!A"&amp;_xlfn.XMATCH("P",Statut_biogéographique!A:A,2,1),"P")</f>
        <v>P</v>
      </c>
      <c r="AP14076" s="4" t="s">
        <v>376</v>
      </c>
      <c r="AR14076" s="4" t="s">
        <v>377</v>
      </c>
    </row>
    <row r="14077" spans="1:44" ht="45">
      <c r="A14077" s="4" t="s">
        <v>10753</v>
      </c>
      <c r="B14077" s="4">
        <v>245140</v>
      </c>
      <c r="D14077" s="5" t="s">
        <v>16709</v>
      </c>
      <c r="E14077" s="6" t="str">
        <f>HYPERLINK("https://inpn.mnhn.fr/espece/cd_nom/245140","Micropterix aruncella (Scopoli, 1763)")</f>
        <v>Micropterix aruncella (Scopoli, 1763)</v>
      </c>
      <c r="AH14077" s="4" t="str">
        <f>HYPERLINK("#Statut_biogéographique!A"&amp;_xlfn.XMATCH("P",Statut_biogéographique!A:A,2,1),"P")</f>
        <v>P</v>
      </c>
      <c r="AP14077" s="4" t="s">
        <v>376</v>
      </c>
      <c r="AR14077" s="4" t="s">
        <v>377</v>
      </c>
    </row>
    <row r="14078" spans="1:44" ht="30">
      <c r="A14078" s="4" t="s">
        <v>10753</v>
      </c>
      <c r="B14078" s="4">
        <v>245141</v>
      </c>
      <c r="D14078" s="5" t="s">
        <v>16710</v>
      </c>
      <c r="E14078" s="6" t="str">
        <f>HYPERLINK("https://inpn.mnhn.fr/espece/cd_nom/245141","Micropterix aureatella (Scopoli, 1763)")</f>
        <v>Micropterix aureatella (Scopoli, 1763)</v>
      </c>
      <c r="AH14078" s="4" t="str">
        <f>HYPERLINK("#Statut_biogéographique!A"&amp;_xlfn.XMATCH("P",Statut_biogéographique!A:A,2,1),"P")</f>
        <v>P</v>
      </c>
      <c r="AP14078" s="4" t="s">
        <v>376</v>
      </c>
      <c r="AR14078" s="4" t="s">
        <v>377</v>
      </c>
    </row>
    <row r="14079" spans="1:44">
      <c r="A14079" s="4" t="s">
        <v>10753</v>
      </c>
      <c r="B14079" s="4">
        <v>245154</v>
      </c>
      <c r="D14079" s="5" t="s">
        <v>16711</v>
      </c>
      <c r="E14079" s="6" t="str">
        <f>HYPERLINK("https://inpn.mnhn.fr/espece/cd_nom/245154","Paracrania chrysolepidella (Zeller, 1851)")</f>
        <v>Paracrania chrysolepidella (Zeller, 1851)</v>
      </c>
      <c r="AH14079" s="4" t="str">
        <f>HYPERLINK("#Statut_biogéographique!A"&amp;_xlfn.XMATCH("P",Statut_biogéographique!A:A,2,1),"P")</f>
        <v>P</v>
      </c>
      <c r="AP14079" s="4" t="s">
        <v>376</v>
      </c>
      <c r="AR14079" s="4" t="s">
        <v>377</v>
      </c>
    </row>
    <row r="14080" spans="1:44">
      <c r="A14080" s="4" t="s">
        <v>10753</v>
      </c>
      <c r="B14080" s="4">
        <v>245155</v>
      </c>
      <c r="D14080" s="5" t="s">
        <v>16712</v>
      </c>
      <c r="E14080" s="6" t="str">
        <f>HYPERLINK("https://inpn.mnhn.fr/espece/cd_nom/245155","Eriocrania sparrmannella (Bosc, 1791)")</f>
        <v>Eriocrania sparrmannella (Bosc, 1791)</v>
      </c>
      <c r="AH14080" s="4" t="str">
        <f>HYPERLINK("#Statut_biogéographique!A"&amp;_xlfn.XMATCH("P",Statut_biogéographique!A:A,2,1),"P")</f>
        <v>P</v>
      </c>
      <c r="AP14080" s="4" t="s">
        <v>376</v>
      </c>
      <c r="AR14080" s="4" t="s">
        <v>377</v>
      </c>
    </row>
    <row r="14081" spans="1:44">
      <c r="A14081" s="4" t="s">
        <v>10753</v>
      </c>
      <c r="B14081" s="4">
        <v>245158</v>
      </c>
      <c r="D14081" s="5" t="s">
        <v>16713</v>
      </c>
      <c r="E14081" s="6" t="str">
        <f>HYPERLINK("https://inpn.mnhn.fr/espece/cd_nom/245158","Eriocrania semipurpurella (Stephens, 1835)")</f>
        <v>Eriocrania semipurpurella (Stephens, 1835)</v>
      </c>
      <c r="AH14081" s="4" t="str">
        <f>HYPERLINK("#Statut_biogéographique!A"&amp;_xlfn.XMATCH("P",Statut_biogéographique!A:A,2,1),"P")</f>
        <v>P</v>
      </c>
      <c r="AP14081" s="4" t="s">
        <v>376</v>
      </c>
      <c r="AR14081" s="4" t="s">
        <v>377</v>
      </c>
    </row>
    <row r="14082" spans="1:44">
      <c r="A14082" s="4" t="s">
        <v>10753</v>
      </c>
      <c r="B14082" s="4">
        <v>245161</v>
      </c>
      <c r="D14082" s="5" t="s">
        <v>16714</v>
      </c>
      <c r="E14082" s="6" t="str">
        <f>HYPERLINK("https://inpn.mnhn.fr/espece/cd_nom/245161","Triodia sylvina (Linnaeus, 1761)")</f>
        <v>Triodia sylvina (Linnaeus, 1761)</v>
      </c>
      <c r="F14082" s="5" t="s">
        <v>16715</v>
      </c>
      <c r="AH14082" s="4" t="str">
        <f>HYPERLINK("#Statut_biogéographique!A"&amp;_xlfn.XMATCH("P",Statut_biogéographique!A:A,2,1),"P")</f>
        <v>P</v>
      </c>
      <c r="AP14082" s="4" t="s">
        <v>376</v>
      </c>
      <c r="AR14082" s="4" t="s">
        <v>377</v>
      </c>
    </row>
    <row r="14083" spans="1:44" ht="30">
      <c r="A14083" s="4" t="s">
        <v>10753</v>
      </c>
      <c r="B14083" s="4">
        <v>245166</v>
      </c>
      <c r="D14083" s="5" t="s">
        <v>16716</v>
      </c>
      <c r="E14083" s="6" t="str">
        <f>HYPERLINK("https://inpn.mnhn.fr/espece/cd_nom/245166","Phymatopus hecta (Linnaeus, 1758)")</f>
        <v>Phymatopus hecta (Linnaeus, 1758)</v>
      </c>
      <c r="F14083" s="5" t="s">
        <v>16717</v>
      </c>
      <c r="AH14083" s="4" t="str">
        <f>HYPERLINK("#Statut_biogéographique!A"&amp;_xlfn.XMATCH("P",Statut_biogéographique!A:A,2,1),"P")</f>
        <v>P</v>
      </c>
      <c r="AP14083" s="4" t="s">
        <v>376</v>
      </c>
      <c r="AR14083" s="4" t="s">
        <v>377</v>
      </c>
    </row>
    <row r="14084" spans="1:44">
      <c r="A14084" s="4" t="s">
        <v>10753</v>
      </c>
      <c r="B14084" s="4">
        <v>245167</v>
      </c>
      <c r="D14084" s="5" t="s">
        <v>16718</v>
      </c>
      <c r="E14084" s="6" t="str">
        <f>HYPERLINK("https://inpn.mnhn.fr/espece/cd_nom/245167","Stigmella lapponica (Wocke, 1862)")</f>
        <v>Stigmella lapponica (Wocke, 1862)</v>
      </c>
      <c r="AH14084" s="4" t="str">
        <f>HYPERLINK("#Statut_biogéographique!A"&amp;_xlfn.XMATCH("P",Statut_biogéographique!A:A,2,1),"P")</f>
        <v>P</v>
      </c>
      <c r="AP14084" s="4" t="s">
        <v>376</v>
      </c>
      <c r="AR14084" s="4" t="s">
        <v>377</v>
      </c>
    </row>
    <row r="14085" spans="1:44" ht="30">
      <c r="A14085" s="4" t="s">
        <v>10753</v>
      </c>
      <c r="B14085" s="4">
        <v>245168</v>
      </c>
      <c r="D14085" s="5" t="s">
        <v>16719</v>
      </c>
      <c r="E14085" s="6" t="str">
        <f>HYPERLINK("https://inpn.mnhn.fr/espece/cd_nom/245168","Stigmella confusella (Wood &amp; Walsingham, 1894)")</f>
        <v>Stigmella confusella (Wood &amp; Walsingham, 1894)</v>
      </c>
      <c r="AH14085" s="4" t="str">
        <f>HYPERLINK("#Statut_biogéographique!A"&amp;_xlfn.XMATCH("P",Statut_biogéographique!A:A,2,1),"P")</f>
        <v>P</v>
      </c>
      <c r="AP14085" s="4" t="s">
        <v>376</v>
      </c>
      <c r="AR14085" s="4" t="s">
        <v>377</v>
      </c>
    </row>
    <row r="14086" spans="1:44">
      <c r="A14086" s="4" t="s">
        <v>10753</v>
      </c>
      <c r="B14086" s="4">
        <v>24517</v>
      </c>
      <c r="D14086" s="5">
        <v>24517</v>
      </c>
      <c r="E14086" s="6" t="str">
        <f>HYPERLINK("https://inpn.mnhn.fr/espece/cd_nom/24517","Sphegina sibirica Stackelberg, 1953")</f>
        <v>Sphegina sibirica Stackelberg, 1953</v>
      </c>
      <c r="P14086" s="7" t="str">
        <f>HYPERLINK("#Liste_rouge!A"&amp;_xlfn.XMATCH("LC",Liste_rouge!A:A,2,1),"LC")</f>
        <v>LC</v>
      </c>
      <c r="AH14086" s="4" t="str">
        <f>HYPERLINK("#Statut_biogéographique!A"&amp;_xlfn.XMATCH("P",Statut_biogéographique!A:A,2,1),"P")</f>
        <v>P</v>
      </c>
      <c r="AP14086" s="4" t="s">
        <v>376</v>
      </c>
      <c r="AR14086" s="4" t="s">
        <v>377</v>
      </c>
    </row>
    <row r="14087" spans="1:44">
      <c r="A14087" s="4" t="s">
        <v>10753</v>
      </c>
      <c r="B14087" s="4">
        <v>245171</v>
      </c>
      <c r="D14087" s="5" t="s">
        <v>16720</v>
      </c>
      <c r="E14087" s="6" t="str">
        <f>HYPERLINK("https://inpn.mnhn.fr/espece/cd_nom/245171","Stigmella tiliae (Frey, 1856)")</f>
        <v>Stigmella tiliae (Frey, 1856)</v>
      </c>
      <c r="AH14087" s="4" t="str">
        <f>HYPERLINK("#Statut_biogéographique!A"&amp;_xlfn.XMATCH("P",Statut_biogéographique!A:A,2,1),"P")</f>
        <v>P</v>
      </c>
      <c r="AP14087" s="4" t="s">
        <v>376</v>
      </c>
      <c r="AR14087" s="4" t="s">
        <v>377</v>
      </c>
    </row>
    <row r="14088" spans="1:44">
      <c r="A14088" s="4" t="s">
        <v>10753</v>
      </c>
      <c r="B14088" s="4">
        <v>245172</v>
      </c>
      <c r="D14088" s="5" t="s">
        <v>16721</v>
      </c>
      <c r="E14088" s="6" t="str">
        <f>HYPERLINK("https://inpn.mnhn.fr/espece/cd_nom/245172","Stigmella betulicola (Stainton, 1856)")</f>
        <v>Stigmella betulicola (Stainton, 1856)</v>
      </c>
      <c r="AH14088" s="4" t="str">
        <f>HYPERLINK("#Statut_biogéographique!A"&amp;_xlfn.XMATCH("P",Statut_biogéographique!A:A,2,1),"P")</f>
        <v>P</v>
      </c>
      <c r="AP14088" s="4" t="s">
        <v>376</v>
      </c>
      <c r="AR14088" s="4" t="s">
        <v>377</v>
      </c>
    </row>
    <row r="14089" spans="1:44">
      <c r="A14089" s="4" t="s">
        <v>10753</v>
      </c>
      <c r="B14089" s="4">
        <v>245173</v>
      </c>
      <c r="D14089" s="5" t="s">
        <v>16722</v>
      </c>
      <c r="E14089" s="6" t="str">
        <f>HYPERLINK("https://inpn.mnhn.fr/espece/cd_nom/245173","Stigmella sakhalinella Puplesis, 1984")</f>
        <v>Stigmella sakhalinella Puplesis, 1984</v>
      </c>
      <c r="AH14089" s="4" t="str">
        <f>HYPERLINK("#Statut_biogéographique!A"&amp;_xlfn.XMATCH("P",Statut_biogéographique!A:A,2,1),"P")</f>
        <v>P</v>
      </c>
      <c r="AP14089" s="4" t="s">
        <v>376</v>
      </c>
      <c r="AR14089" s="4" t="s">
        <v>377</v>
      </c>
    </row>
    <row r="14090" spans="1:44">
      <c r="A14090" s="4" t="s">
        <v>10753</v>
      </c>
      <c r="B14090" s="4">
        <v>245174</v>
      </c>
      <c r="D14090" s="5" t="s">
        <v>16723</v>
      </c>
      <c r="E14090" s="6" t="str">
        <f>HYPERLINK("https://inpn.mnhn.fr/espece/cd_nom/245174","Stigmella luteella (Stainton, 1857)")</f>
        <v>Stigmella luteella (Stainton, 1857)</v>
      </c>
      <c r="AH14090" s="4" t="str">
        <f>HYPERLINK("#Statut_biogéographique!A"&amp;_xlfn.XMATCH("P",Statut_biogéographique!A:A,2,1),"P")</f>
        <v>P</v>
      </c>
      <c r="AP14090" s="4" t="s">
        <v>376</v>
      </c>
      <c r="AR14090" s="4" t="s">
        <v>377</v>
      </c>
    </row>
    <row r="14091" spans="1:44">
      <c r="A14091" s="4" t="s">
        <v>10753</v>
      </c>
      <c r="B14091" s="4">
        <v>245175</v>
      </c>
      <c r="D14091" s="5" t="s">
        <v>16724</v>
      </c>
      <c r="E14091" s="6" t="str">
        <f>HYPERLINK("https://inpn.mnhn.fr/espece/cd_nom/245175","Stigmella glutinosae (Stainton, 1858)")</f>
        <v>Stigmella glutinosae (Stainton, 1858)</v>
      </c>
      <c r="AH14091" s="4" t="str">
        <f>HYPERLINK("#Statut_biogéographique!A"&amp;_xlfn.XMATCH("P",Statut_biogéographique!A:A,2,1),"P")</f>
        <v>P</v>
      </c>
      <c r="AP14091" s="4" t="s">
        <v>376</v>
      </c>
      <c r="AR14091" s="4" t="s">
        <v>377</v>
      </c>
    </row>
    <row r="14092" spans="1:44">
      <c r="A14092" s="4" t="s">
        <v>10753</v>
      </c>
      <c r="B14092" s="4">
        <v>245176</v>
      </c>
      <c r="D14092" s="5" t="s">
        <v>16725</v>
      </c>
      <c r="E14092" s="6" t="str">
        <f>HYPERLINK("https://inpn.mnhn.fr/espece/cd_nom/245176","Stigmella alnetella (Stainton, 1856)")</f>
        <v>Stigmella alnetella (Stainton, 1856)</v>
      </c>
      <c r="AH14092" s="4" t="str">
        <f>HYPERLINK("#Statut_biogéographique!A"&amp;_xlfn.XMATCH("P",Statut_biogéographique!A:A,2,1),"P")</f>
        <v>P</v>
      </c>
      <c r="AP14092" s="4" t="s">
        <v>376</v>
      </c>
      <c r="AR14092" s="4" t="s">
        <v>377</v>
      </c>
    </row>
    <row r="14093" spans="1:44">
      <c r="A14093" s="4" t="s">
        <v>10753</v>
      </c>
      <c r="B14093" s="4">
        <v>245177</v>
      </c>
      <c r="D14093" s="5" t="s">
        <v>16726</v>
      </c>
      <c r="E14093" s="6" t="str">
        <f>HYPERLINK("https://inpn.mnhn.fr/espece/cd_nom/245177","Stigmella microtheriella (Stainton, 1854)")</f>
        <v>Stigmella microtheriella (Stainton, 1854)</v>
      </c>
      <c r="AH14093" s="4" t="str">
        <f>HYPERLINK("#Statut_biogéographique!A"&amp;_xlfn.XMATCH("P",Statut_biogéographique!A:A,2,1),"P")</f>
        <v>P</v>
      </c>
      <c r="AP14093" s="4" t="s">
        <v>376</v>
      </c>
      <c r="AR14093" s="4" t="s">
        <v>377</v>
      </c>
    </row>
    <row r="14094" spans="1:44">
      <c r="A14094" s="4" t="s">
        <v>10753</v>
      </c>
      <c r="B14094" s="4">
        <v>245178</v>
      </c>
      <c r="D14094" s="5" t="s">
        <v>16727</v>
      </c>
      <c r="E14094" s="6" t="str">
        <f>HYPERLINK("https://inpn.mnhn.fr/espece/cd_nom/245178","Stigmella prunetorum (Stainton, 1855)")</f>
        <v>Stigmella prunetorum (Stainton, 1855)</v>
      </c>
      <c r="AH14094" s="4" t="str">
        <f>HYPERLINK("#Statut_biogéographique!A"&amp;_xlfn.XMATCH("P",Statut_biogéographique!A:A,2,1),"P")</f>
        <v>P</v>
      </c>
      <c r="AP14094" s="4" t="s">
        <v>376</v>
      </c>
      <c r="AR14094" s="4" t="s">
        <v>377</v>
      </c>
    </row>
    <row r="14095" spans="1:44">
      <c r="A14095" s="4" t="s">
        <v>10753</v>
      </c>
      <c r="B14095" s="4">
        <v>245179</v>
      </c>
      <c r="D14095" s="5" t="s">
        <v>16728</v>
      </c>
      <c r="E14095" s="6" t="str">
        <f>HYPERLINK("https://inpn.mnhn.fr/espece/cd_nom/245179","Stigmella aceris (Frey, 1857)")</f>
        <v>Stigmella aceris (Frey, 1857)</v>
      </c>
      <c r="AH14095" s="4" t="str">
        <f>HYPERLINK("#Statut_biogéographique!A"&amp;_xlfn.XMATCH("P",Statut_biogéographique!A:A,2,1),"P")</f>
        <v>P</v>
      </c>
      <c r="AP14095" s="4" t="s">
        <v>376</v>
      </c>
      <c r="AR14095" s="4" t="s">
        <v>377</v>
      </c>
    </row>
    <row r="14096" spans="1:44">
      <c r="A14096" s="4" t="s">
        <v>10753</v>
      </c>
      <c r="B14096" s="4">
        <v>245180</v>
      </c>
      <c r="D14096" s="5" t="s">
        <v>16729</v>
      </c>
      <c r="E14096" s="6" t="str">
        <f>HYPERLINK("https://inpn.mnhn.fr/espece/cd_nom/245180","Stigmella malella (Stainton, 1854)")</f>
        <v>Stigmella malella (Stainton, 1854)</v>
      </c>
      <c r="AH14096" s="4" t="str">
        <f>HYPERLINK("#Statut_biogéographique!A"&amp;_xlfn.XMATCH("P",Statut_biogéographique!A:A,2,1),"P")</f>
        <v>P</v>
      </c>
      <c r="AP14096" s="4" t="s">
        <v>376</v>
      </c>
      <c r="AR14096" s="4" t="s">
        <v>377</v>
      </c>
    </row>
    <row r="14097" spans="1:44">
      <c r="A14097" s="4" t="s">
        <v>10753</v>
      </c>
      <c r="B14097" s="4">
        <v>245181</v>
      </c>
      <c r="D14097" s="5" t="s">
        <v>16730</v>
      </c>
      <c r="E14097" s="6" t="str">
        <f>HYPERLINK("https://inpn.mnhn.fr/espece/cd_nom/245181","Stigmella rhamnella (Herrich-Schäffer, 1860)")</f>
        <v>Stigmella rhamnella (Herrich-Schäffer, 1860)</v>
      </c>
      <c r="AH14097" s="4" t="str">
        <f>HYPERLINK("#Statut_biogéographique!A"&amp;_xlfn.XMATCH("P",Statut_biogéographique!A:A,2,1),"P")</f>
        <v>P</v>
      </c>
      <c r="AP14097" s="4" t="s">
        <v>376</v>
      </c>
      <c r="AR14097" s="4" t="s">
        <v>377</v>
      </c>
    </row>
    <row r="14098" spans="1:44">
      <c r="A14098" s="4" t="s">
        <v>10753</v>
      </c>
      <c r="B14098" s="4">
        <v>245183</v>
      </c>
      <c r="D14098" s="5" t="s">
        <v>16731</v>
      </c>
      <c r="E14098" s="6" t="str">
        <f>HYPERLINK("https://inpn.mnhn.fr/espece/cd_nom/245183","Stigmella catharticella (Stainton, 1853)")</f>
        <v>Stigmella catharticella (Stainton, 1853)</v>
      </c>
      <c r="AH14098" s="4" t="str">
        <f>HYPERLINK("#Statut_biogéographique!A"&amp;_xlfn.XMATCH("P",Statut_biogéographique!A:A,2,1),"P")</f>
        <v>P</v>
      </c>
      <c r="AP14098" s="4" t="s">
        <v>376</v>
      </c>
      <c r="AR14098" s="4" t="s">
        <v>377</v>
      </c>
    </row>
    <row r="14099" spans="1:44" ht="30">
      <c r="A14099" s="4" t="s">
        <v>10753</v>
      </c>
      <c r="B14099" s="4">
        <v>245184</v>
      </c>
      <c r="D14099" s="5" t="s">
        <v>16732</v>
      </c>
      <c r="E14099" s="6" t="str">
        <f>HYPERLINK("https://inpn.mnhn.fr/espece/cd_nom/245184","Stigmella anomalella (Goeze, 1783)")</f>
        <v>Stigmella anomalella (Goeze, 1783)</v>
      </c>
      <c r="AH14099" s="4" t="str">
        <f>HYPERLINK("#Statut_biogéographique!A"&amp;_xlfn.XMATCH("P",Statut_biogéographique!A:A,2,1),"P")</f>
        <v>P</v>
      </c>
      <c r="AP14099" s="4" t="s">
        <v>376</v>
      </c>
      <c r="AR14099" s="4" t="s">
        <v>377</v>
      </c>
    </row>
    <row r="14100" spans="1:44">
      <c r="A14100" s="4" t="s">
        <v>10753</v>
      </c>
      <c r="B14100" s="4">
        <v>245185</v>
      </c>
      <c r="D14100" s="5" t="s">
        <v>16733</v>
      </c>
      <c r="E14100" s="6" t="str">
        <f>HYPERLINK("https://inpn.mnhn.fr/espece/cd_nom/245185","Stigmella centifoliella (Zeller, 1848)")</f>
        <v>Stigmella centifoliella (Zeller, 1848)</v>
      </c>
      <c r="AH14100" s="4" t="str">
        <f>HYPERLINK("#Statut_biogéographique!A"&amp;_xlfn.XMATCH("P",Statut_biogéographique!A:A,2,1),"P")</f>
        <v>P</v>
      </c>
      <c r="AP14100" s="4" t="s">
        <v>376</v>
      </c>
      <c r="AR14100" s="4" t="s">
        <v>377</v>
      </c>
    </row>
    <row r="14101" spans="1:44">
      <c r="A14101" s="4" t="s">
        <v>10753</v>
      </c>
      <c r="B14101" s="4">
        <v>245186</v>
      </c>
      <c r="D14101" s="5" t="s">
        <v>16734</v>
      </c>
      <c r="E14101" s="6" t="str">
        <f>HYPERLINK("https://inpn.mnhn.fr/espece/cd_nom/245186","Stigmella ulmivora (Fologne, 1860)")</f>
        <v>Stigmella ulmivora (Fologne, 1860)</v>
      </c>
      <c r="AH14101" s="4" t="str">
        <f>HYPERLINK("#Statut_biogéographique!A"&amp;_xlfn.XMATCH("P",Statut_biogéographique!A:A,2,1),"P")</f>
        <v>P</v>
      </c>
      <c r="AP14101" s="4" t="s">
        <v>376</v>
      </c>
      <c r="AR14101" s="4" t="s">
        <v>377</v>
      </c>
    </row>
    <row r="14102" spans="1:44">
      <c r="A14102" s="4" t="s">
        <v>10753</v>
      </c>
      <c r="B14102" s="4">
        <v>245187</v>
      </c>
      <c r="D14102" s="5" t="s">
        <v>16735</v>
      </c>
      <c r="E14102" s="6" t="str">
        <f>HYPERLINK("https://inpn.mnhn.fr/espece/cd_nom/245187","Stigmella viscerella (Stainton, 1853)")</f>
        <v>Stigmella viscerella (Stainton, 1853)</v>
      </c>
      <c r="AH14102" s="4" t="str">
        <f>HYPERLINK("#Statut_biogéographique!A"&amp;_xlfn.XMATCH("P",Statut_biogéographique!A:A,2,1),"P")</f>
        <v>P</v>
      </c>
      <c r="AP14102" s="4" t="s">
        <v>376</v>
      </c>
      <c r="AR14102" s="4" t="s">
        <v>377</v>
      </c>
    </row>
    <row r="14103" spans="1:44">
      <c r="A14103" s="4" t="s">
        <v>10753</v>
      </c>
      <c r="B14103" s="4">
        <v>24519</v>
      </c>
      <c r="D14103" s="5">
        <v>24519</v>
      </c>
      <c r="E14103" s="6" t="str">
        <f>HYPERLINK("https://inpn.mnhn.fr/espece/cd_nom/24519","Sphegina verecunda Collin, 1937")</f>
        <v>Sphegina verecunda Collin, 1937</v>
      </c>
      <c r="P14103" s="7" t="str">
        <f>HYPERLINK("#Liste_rouge!A"&amp;_xlfn.XMATCH("LC",Liste_rouge!A:A,2,1),"LC")</f>
        <v>LC</v>
      </c>
      <c r="AH14103" s="4" t="str">
        <f>HYPERLINK("#Statut_biogéographique!A"&amp;_xlfn.XMATCH("P",Statut_biogéographique!A:A,2,1),"P")</f>
        <v>P</v>
      </c>
      <c r="AP14103" s="4" t="s">
        <v>376</v>
      </c>
      <c r="AR14103" s="4" t="s">
        <v>377</v>
      </c>
    </row>
    <row r="14104" spans="1:44">
      <c r="A14104" s="4" t="s">
        <v>10753</v>
      </c>
      <c r="B14104" s="4">
        <v>245190</v>
      </c>
      <c r="D14104" s="5" t="s">
        <v>16736</v>
      </c>
      <c r="E14104" s="6" t="str">
        <f>HYPERLINK("https://inpn.mnhn.fr/espece/cd_nom/245190","Stigmella paradoxa (Frey, 1858)")</f>
        <v>Stigmella paradoxa (Frey, 1858)</v>
      </c>
      <c r="AH14104" s="4" t="str">
        <f>HYPERLINK("#Statut_biogéographique!A"&amp;_xlfn.XMATCH("P",Statut_biogéographique!A:A,2,1),"P")</f>
        <v>P</v>
      </c>
      <c r="AP14104" s="4" t="s">
        <v>376</v>
      </c>
      <c r="AR14104" s="4" t="s">
        <v>377</v>
      </c>
    </row>
    <row r="14105" spans="1:44">
      <c r="A14105" s="4" t="s">
        <v>10753</v>
      </c>
      <c r="B14105" s="4">
        <v>245191</v>
      </c>
      <c r="D14105" s="5" t="s">
        <v>16737</v>
      </c>
      <c r="E14105" s="6" t="str">
        <f>HYPERLINK("https://inpn.mnhn.fr/espece/cd_nom/245191","Stigmella regiella (Herrich-Schäffer, 1855)")</f>
        <v>Stigmella regiella (Herrich-Schäffer, 1855)</v>
      </c>
      <c r="AH14105" s="4" t="str">
        <f>HYPERLINK("#Statut_biogéographique!A"&amp;_xlfn.XMATCH("P",Statut_biogéographique!A:A,2,1),"P")</f>
        <v>P</v>
      </c>
      <c r="AP14105" s="4" t="s">
        <v>376</v>
      </c>
      <c r="AR14105" s="4" t="s">
        <v>377</v>
      </c>
    </row>
    <row r="14106" spans="1:44">
      <c r="A14106" s="4" t="s">
        <v>10753</v>
      </c>
      <c r="B14106" s="4">
        <v>245192</v>
      </c>
      <c r="D14106" s="5" t="s">
        <v>16738</v>
      </c>
      <c r="E14106" s="6" t="str">
        <f>HYPERLINK("https://inpn.mnhn.fr/espece/cd_nom/245192","Stigmella crataegella (Klimesch, 1936)")</f>
        <v>Stigmella crataegella (Klimesch, 1936)</v>
      </c>
      <c r="AH14106" s="4" t="str">
        <f>HYPERLINK("#Statut_biogéographique!A"&amp;_xlfn.XMATCH("P",Statut_biogéographique!A:A,2,1),"P")</f>
        <v>P</v>
      </c>
      <c r="AP14106" s="4" t="s">
        <v>376</v>
      </c>
      <c r="AR14106" s="4" t="s">
        <v>377</v>
      </c>
    </row>
    <row r="14107" spans="1:44">
      <c r="A14107" s="4" t="s">
        <v>10753</v>
      </c>
      <c r="B14107" s="4">
        <v>245193</v>
      </c>
      <c r="D14107" s="5" t="s">
        <v>16739</v>
      </c>
      <c r="E14107" s="6" t="str">
        <f>HYPERLINK("https://inpn.mnhn.fr/espece/cd_nom/245193","Stigmella magdalenae (Klimesch, 1950)")</f>
        <v>Stigmella magdalenae (Klimesch, 1950)</v>
      </c>
      <c r="AH14107" s="4" t="str">
        <f>HYPERLINK("#Statut_biogéographique!A"&amp;_xlfn.XMATCH("P",Statut_biogéographique!A:A,2,1),"P")</f>
        <v>P</v>
      </c>
      <c r="AP14107" s="4" t="s">
        <v>376</v>
      </c>
      <c r="AR14107" s="4" t="s">
        <v>377</v>
      </c>
    </row>
    <row r="14108" spans="1:44">
      <c r="A14108" s="4" t="s">
        <v>10753</v>
      </c>
      <c r="B14108" s="4">
        <v>245194</v>
      </c>
      <c r="D14108" s="5" t="s">
        <v>16740</v>
      </c>
      <c r="E14108" s="6" t="str">
        <f>HYPERLINK("https://inpn.mnhn.fr/espece/cd_nom/245194","Stigmella nylandriella (Tengström, 1848)")</f>
        <v>Stigmella nylandriella (Tengström, 1848)</v>
      </c>
      <c r="AH14108" s="4" t="str">
        <f>HYPERLINK("#Statut_biogéographique!A"&amp;_xlfn.XMATCH("P",Statut_biogéographique!A:A,2,1),"P")</f>
        <v>P</v>
      </c>
      <c r="AP14108" s="4" t="s">
        <v>376</v>
      </c>
      <c r="AR14108" s="4" t="s">
        <v>377</v>
      </c>
    </row>
    <row r="14109" spans="1:44">
      <c r="A14109" s="4" t="s">
        <v>10753</v>
      </c>
      <c r="B14109" s="4">
        <v>245195</v>
      </c>
      <c r="D14109" s="5" t="s">
        <v>16741</v>
      </c>
      <c r="E14109" s="6" t="str">
        <f>HYPERLINK("https://inpn.mnhn.fr/espece/cd_nom/245195","Stigmella oxyacanthella (Stainton, 1854)")</f>
        <v>Stigmella oxyacanthella (Stainton, 1854)</v>
      </c>
      <c r="AH14109" s="4" t="str">
        <f>HYPERLINK("#Statut_biogéographique!A"&amp;_xlfn.XMATCH("P",Statut_biogéographique!A:A,2,1),"P")</f>
        <v>P</v>
      </c>
      <c r="AP14109" s="4" t="s">
        <v>376</v>
      </c>
      <c r="AR14109" s="4" t="s">
        <v>377</v>
      </c>
    </row>
    <row r="14110" spans="1:44">
      <c r="A14110" s="4" t="s">
        <v>10753</v>
      </c>
      <c r="B14110" s="4">
        <v>245196</v>
      </c>
      <c r="D14110" s="5" t="s">
        <v>16742</v>
      </c>
      <c r="E14110" s="6" t="str">
        <f>HYPERLINK("https://inpn.mnhn.fr/espece/cd_nom/245196","Stigmella pyri (Glitz, 1865)")</f>
        <v>Stigmella pyri (Glitz, 1865)</v>
      </c>
      <c r="AH14110" s="4" t="str">
        <f>HYPERLINK("#Statut_biogéographique!A"&amp;_xlfn.XMATCH("P",Statut_biogéographique!A:A,2,1),"P")</f>
        <v>P</v>
      </c>
      <c r="AP14110" s="4" t="s">
        <v>376</v>
      </c>
      <c r="AR14110" s="4" t="s">
        <v>377</v>
      </c>
    </row>
    <row r="14111" spans="1:44" ht="30">
      <c r="A14111" s="4" t="s">
        <v>10753</v>
      </c>
      <c r="B14111" s="4">
        <v>245197</v>
      </c>
      <c r="D14111" s="5" t="s">
        <v>16743</v>
      </c>
      <c r="E14111" s="6" t="str">
        <f>HYPERLINK("https://inpn.mnhn.fr/espece/cd_nom/245197","Stigmella minusculella (Herrich-Schäffer, 1855)")</f>
        <v>Stigmella minusculella (Herrich-Schäffer, 1855)</v>
      </c>
      <c r="AH14111" s="4" t="str">
        <f>HYPERLINK("#Statut_biogéographique!A"&amp;_xlfn.XMATCH("P",Statut_biogéographique!A:A,2,1),"P")</f>
        <v>P</v>
      </c>
      <c r="AP14111" s="4" t="s">
        <v>376</v>
      </c>
      <c r="AR14111" s="4" t="s">
        <v>377</v>
      </c>
    </row>
    <row r="14112" spans="1:44">
      <c r="A14112" s="4" t="s">
        <v>10753</v>
      </c>
      <c r="B14112" s="4">
        <v>245198</v>
      </c>
      <c r="D14112" s="5" t="s">
        <v>16744</v>
      </c>
      <c r="E14112" s="6" t="str">
        <f>HYPERLINK("https://inpn.mnhn.fr/espece/cd_nom/245198","Stigmella desperatella (Frey, 1856)")</f>
        <v>Stigmella desperatella (Frey, 1856)</v>
      </c>
      <c r="AH14112" s="4" t="str">
        <f>HYPERLINK("#Statut_biogéographique!A"&amp;_xlfn.XMATCH("P",Statut_biogéographique!A:A,2,1),"P")</f>
        <v>P</v>
      </c>
      <c r="AP14112" s="4" t="s">
        <v>376</v>
      </c>
      <c r="AR14112" s="4" t="s">
        <v>377</v>
      </c>
    </row>
    <row r="14113" spans="1:44">
      <c r="A14113" s="4" t="s">
        <v>10753</v>
      </c>
      <c r="B14113" s="4">
        <v>245199</v>
      </c>
      <c r="D14113" s="5" t="s">
        <v>16745</v>
      </c>
      <c r="E14113" s="6" t="str">
        <f>HYPERLINK("https://inpn.mnhn.fr/espece/cd_nom/245199","Stigmella hybnerella (Hübner, 1796)")</f>
        <v>Stigmella hybnerella (Hübner, 1796)</v>
      </c>
      <c r="AH14113" s="4" t="str">
        <f>HYPERLINK("#Statut_biogéographique!A"&amp;_xlfn.XMATCH("P",Statut_biogéographique!A:A,2,1),"P")</f>
        <v>P</v>
      </c>
      <c r="AP14113" s="4" t="s">
        <v>376</v>
      </c>
      <c r="AR14113" s="4" t="s">
        <v>377</v>
      </c>
    </row>
    <row r="14114" spans="1:44">
      <c r="A14114" s="4" t="s">
        <v>10753</v>
      </c>
      <c r="B14114" s="4">
        <v>245201</v>
      </c>
      <c r="D14114" s="5" t="s">
        <v>16746</v>
      </c>
      <c r="E14114" s="6" t="str">
        <f>HYPERLINK("https://inpn.mnhn.fr/espece/cd_nom/245201","Stigmella floslactella (Haworth, 1828)")</f>
        <v>Stigmella floslactella (Haworth, 1828)</v>
      </c>
      <c r="AH14114" s="4" t="str">
        <f>HYPERLINK("#Statut_biogéographique!A"&amp;_xlfn.XMATCH("P",Statut_biogéographique!A:A,2,1),"P")</f>
        <v>P</v>
      </c>
      <c r="AP14114" s="4" t="s">
        <v>376</v>
      </c>
      <c r="AR14114" s="4" t="s">
        <v>377</v>
      </c>
    </row>
    <row r="14115" spans="1:44">
      <c r="A14115" s="4" t="s">
        <v>10753</v>
      </c>
      <c r="B14115" s="4">
        <v>245202</v>
      </c>
      <c r="D14115" s="5" t="s">
        <v>16747</v>
      </c>
      <c r="E14115" s="6" t="str">
        <f>HYPERLINK("https://inpn.mnhn.fr/espece/cd_nom/245202","Stigmella tityrella (Stainton, 1854)")</f>
        <v>Stigmella tityrella (Stainton, 1854)</v>
      </c>
      <c r="AH14115" s="4" t="str">
        <f>HYPERLINK("#Statut_biogéographique!A"&amp;_xlfn.XMATCH("P",Statut_biogéographique!A:A,2,1),"P")</f>
        <v>P</v>
      </c>
      <c r="AP14115" s="4" t="s">
        <v>376</v>
      </c>
      <c r="AR14115" s="4" t="s">
        <v>377</v>
      </c>
    </row>
    <row r="14116" spans="1:44">
      <c r="A14116" s="4" t="s">
        <v>10753</v>
      </c>
      <c r="B14116" s="4">
        <v>245203</v>
      </c>
      <c r="D14116" s="5" t="s">
        <v>16748</v>
      </c>
      <c r="E14116" s="6" t="str">
        <f>HYPERLINK("https://inpn.mnhn.fr/espece/cd_nom/245203","Stigmella salicis (Stainton, 1854)")</f>
        <v>Stigmella salicis (Stainton, 1854)</v>
      </c>
      <c r="AH14116" s="4" t="str">
        <f>HYPERLINK("#Statut_biogéographique!A"&amp;_xlfn.XMATCH("P",Statut_biogéographique!A:A,2,1),"P")</f>
        <v>P</v>
      </c>
      <c r="AP14116" s="4" t="s">
        <v>376</v>
      </c>
      <c r="AR14116" s="4" t="s">
        <v>377</v>
      </c>
    </row>
    <row r="14117" spans="1:44">
      <c r="A14117" s="4" t="s">
        <v>10753</v>
      </c>
      <c r="B14117" s="4">
        <v>245206</v>
      </c>
      <c r="D14117" s="5" t="s">
        <v>16749</v>
      </c>
      <c r="E14117" s="6" t="str">
        <f>HYPERLINK("https://inpn.mnhn.fr/espece/cd_nom/245206","Stigmella trimaculella (Haworth, 1828)")</f>
        <v>Stigmella trimaculella (Haworth, 1828)</v>
      </c>
      <c r="AH14117" s="4" t="str">
        <f>HYPERLINK("#Statut_biogéographique!A"&amp;_xlfn.XMATCH("P",Statut_biogéographique!A:A,2,1),"P")</f>
        <v>P</v>
      </c>
      <c r="AP14117" s="4" t="s">
        <v>376</v>
      </c>
      <c r="AR14117" s="4" t="s">
        <v>377</v>
      </c>
    </row>
    <row r="14118" spans="1:44">
      <c r="A14118" s="4" t="s">
        <v>10753</v>
      </c>
      <c r="B14118" s="4">
        <v>245207</v>
      </c>
      <c r="D14118" s="5" t="s">
        <v>16750</v>
      </c>
      <c r="E14118" s="6" t="str">
        <f>HYPERLINK("https://inpn.mnhn.fr/espece/cd_nom/245207","Stigmella assimilella (Zeller, 1848)")</f>
        <v>Stigmella assimilella (Zeller, 1848)</v>
      </c>
      <c r="AH14118" s="4" t="str">
        <f>HYPERLINK("#Statut_biogéographique!A"&amp;_xlfn.XMATCH("P",Statut_biogéographique!A:A,2,1),"P")</f>
        <v>P</v>
      </c>
      <c r="AP14118" s="4" t="s">
        <v>376</v>
      </c>
      <c r="AR14118" s="4" t="s">
        <v>377</v>
      </c>
    </row>
    <row r="14119" spans="1:44">
      <c r="A14119" s="4" t="s">
        <v>10753</v>
      </c>
      <c r="B14119" s="4">
        <v>245209</v>
      </c>
      <c r="D14119" s="5" t="s">
        <v>16751</v>
      </c>
      <c r="E14119" s="6" t="str">
        <f>HYPERLINK("https://inpn.mnhn.fr/espece/cd_nom/245209","Stigmella plagicolella (Stainton, 1854)")</f>
        <v>Stigmella plagicolella (Stainton, 1854)</v>
      </c>
      <c r="AH14119" s="4" t="str">
        <f>HYPERLINK("#Statut_biogéographique!A"&amp;_xlfn.XMATCH("P",Statut_biogéographique!A:A,2,1),"P")</f>
        <v>P</v>
      </c>
      <c r="AP14119" s="4" t="s">
        <v>376</v>
      </c>
      <c r="AR14119" s="4" t="s">
        <v>377</v>
      </c>
    </row>
    <row r="14120" spans="1:44">
      <c r="A14120" s="4" t="s">
        <v>10753</v>
      </c>
      <c r="B14120" s="4">
        <v>245210</v>
      </c>
      <c r="D14120" s="5" t="s">
        <v>16752</v>
      </c>
      <c r="E14120" s="6" t="str">
        <f>HYPERLINK("https://inpn.mnhn.fr/espece/cd_nom/245210","Stigmella lemniscella (Zeller, 1839)")</f>
        <v>Stigmella lemniscella (Zeller, 1839)</v>
      </c>
      <c r="AH14120" s="4" t="str">
        <f>HYPERLINK("#Statut_biogéographique!A"&amp;_xlfn.XMATCH("P",Statut_biogéographique!A:A,2,1),"P")</f>
        <v>P</v>
      </c>
      <c r="AP14120" s="4" t="s">
        <v>376</v>
      </c>
      <c r="AR14120" s="4" t="s">
        <v>377</v>
      </c>
    </row>
    <row r="14121" spans="1:44">
      <c r="A14121" s="4" t="s">
        <v>10753</v>
      </c>
      <c r="B14121" s="4">
        <v>245211</v>
      </c>
      <c r="D14121" s="5" t="s">
        <v>16753</v>
      </c>
      <c r="E14121" s="6" t="str">
        <f>HYPERLINK("https://inpn.mnhn.fr/espece/cd_nom/245211","Stigmella continuella (Stainton, 1856)")</f>
        <v>Stigmella continuella (Stainton, 1856)</v>
      </c>
      <c r="AH14121" s="4" t="str">
        <f>HYPERLINK("#Statut_biogéographique!A"&amp;_xlfn.XMATCH("P",Statut_biogéographique!A:A,2,1),"P")</f>
        <v>P</v>
      </c>
      <c r="AP14121" s="4" t="s">
        <v>376</v>
      </c>
      <c r="AR14121" s="4" t="s">
        <v>377</v>
      </c>
    </row>
    <row r="14122" spans="1:44" ht="30">
      <c r="A14122" s="4" t="s">
        <v>10753</v>
      </c>
      <c r="B14122" s="4">
        <v>245212</v>
      </c>
      <c r="D14122" s="5" t="s">
        <v>16754</v>
      </c>
      <c r="E14122" s="6" t="str">
        <f>HYPERLINK("https://inpn.mnhn.fr/espece/cd_nom/245212","Stigmella aurella (Fabricius, 1775)")</f>
        <v>Stigmella aurella (Fabricius, 1775)</v>
      </c>
      <c r="AH14122" s="4" t="str">
        <f>HYPERLINK("#Statut_biogéographique!A"&amp;_xlfn.XMATCH("P",Statut_biogéographique!A:A,2,1),"P")</f>
        <v>P</v>
      </c>
      <c r="AP14122" s="4" t="s">
        <v>376</v>
      </c>
      <c r="AR14122" s="4" t="s">
        <v>377</v>
      </c>
    </row>
    <row r="14123" spans="1:44" ht="30">
      <c r="A14123" s="4" t="s">
        <v>10753</v>
      </c>
      <c r="B14123" s="4">
        <v>245214</v>
      </c>
      <c r="D14123" s="5" t="s">
        <v>16755</v>
      </c>
      <c r="E14123" s="6" t="str">
        <f>HYPERLINK("https://inpn.mnhn.fr/espece/cd_nom/245214","Stigmella splendidissimella (Herrich-Schäffer, 1855)")</f>
        <v>Stigmella splendidissimella (Herrich-Schäffer, 1855)</v>
      </c>
      <c r="AH14123" s="4" t="str">
        <f>HYPERLINK("#Statut_biogéographique!A"&amp;_xlfn.XMATCH("P",Statut_biogéographique!A:A,2,1),"P")</f>
        <v>P</v>
      </c>
      <c r="AP14123" s="4" t="s">
        <v>376</v>
      </c>
      <c r="AR14123" s="4" t="s">
        <v>377</v>
      </c>
    </row>
    <row r="14124" spans="1:44" ht="30">
      <c r="A14124" s="4" t="s">
        <v>10753</v>
      </c>
      <c r="B14124" s="4">
        <v>245215</v>
      </c>
      <c r="D14124" s="5" t="s">
        <v>16756</v>
      </c>
      <c r="E14124" s="6" t="str">
        <f>HYPERLINK("https://inpn.mnhn.fr/espece/cd_nom/245215","Stigmella aeneofasciella (Herrich-Schäffer, 1855)")</f>
        <v>Stigmella aeneofasciella (Herrich-Schäffer, 1855)</v>
      </c>
      <c r="AH14124" s="4" t="str">
        <f>HYPERLINK("#Statut_biogéographique!A"&amp;_xlfn.XMATCH("P",Statut_biogéographique!A:A,2,1),"P")</f>
        <v>P</v>
      </c>
      <c r="AP14124" s="4" t="s">
        <v>376</v>
      </c>
      <c r="AR14124" s="4" t="s">
        <v>377</v>
      </c>
    </row>
    <row r="14125" spans="1:44" ht="30">
      <c r="A14125" s="4" t="s">
        <v>10753</v>
      </c>
      <c r="B14125" s="4">
        <v>245219</v>
      </c>
      <c r="D14125" s="5" t="s">
        <v>16757</v>
      </c>
      <c r="E14125" s="6" t="str">
        <f>HYPERLINK("https://inpn.mnhn.fr/espece/cd_nom/245219","Stigmella incognitella (Herrich-Schäffer, 1855)")</f>
        <v>Stigmella incognitella (Herrich-Schäffer, 1855)</v>
      </c>
      <c r="AH14125" s="4" t="str">
        <f>HYPERLINK("#Statut_biogéographique!A"&amp;_xlfn.XMATCH("P",Statut_biogéographique!A:A,2,1),"P")</f>
        <v>P</v>
      </c>
      <c r="AP14125" s="4" t="s">
        <v>376</v>
      </c>
      <c r="AR14125" s="4" t="s">
        <v>377</v>
      </c>
    </row>
    <row r="14126" spans="1:44">
      <c r="A14126" s="4" t="s">
        <v>10753</v>
      </c>
      <c r="B14126" s="4">
        <v>245220</v>
      </c>
      <c r="D14126" s="5" t="s">
        <v>16758</v>
      </c>
      <c r="E14126" s="6" t="str">
        <f>HYPERLINK("https://inpn.mnhn.fr/espece/cd_nom/245220","Stigmella perpygmaeella (Doubleday, 1859)")</f>
        <v>Stigmella perpygmaeella (Doubleday, 1859)</v>
      </c>
      <c r="AH14126" s="4" t="str">
        <f>HYPERLINK("#Statut_biogéographique!A"&amp;_xlfn.XMATCH("P",Statut_biogéographique!A:A,2,1),"P")</f>
        <v>P</v>
      </c>
      <c r="AP14126" s="4" t="s">
        <v>376</v>
      </c>
      <c r="AR14126" s="4" t="s">
        <v>377</v>
      </c>
    </row>
    <row r="14127" spans="1:44">
      <c r="A14127" s="4" t="s">
        <v>10753</v>
      </c>
      <c r="B14127" s="4">
        <v>245221</v>
      </c>
      <c r="D14127" s="5" t="s">
        <v>16759</v>
      </c>
      <c r="E14127" s="6" t="str">
        <f>HYPERLINK("https://inpn.mnhn.fr/espece/cd_nom/245221","Stigmella hemargyrella (Kollar, 1832)")</f>
        <v>Stigmella hemargyrella (Kollar, 1832)</v>
      </c>
      <c r="AH14127" s="4" t="str">
        <f>HYPERLINK("#Statut_biogéographique!A"&amp;_xlfn.XMATCH("P",Statut_biogéographique!A:A,2,1),"P")</f>
        <v>P</v>
      </c>
      <c r="AP14127" s="4" t="s">
        <v>376</v>
      </c>
      <c r="AR14127" s="4" t="s">
        <v>377</v>
      </c>
    </row>
    <row r="14128" spans="1:44">
      <c r="A14128" s="4" t="s">
        <v>10753</v>
      </c>
      <c r="B14128" s="4">
        <v>245222</v>
      </c>
      <c r="D14128" s="5" t="s">
        <v>16760</v>
      </c>
      <c r="E14128" s="6" t="str">
        <f>HYPERLINK("https://inpn.mnhn.fr/espece/cd_nom/245222","Stigmella speciosa (Frey, 1858)")</f>
        <v>Stigmella speciosa (Frey, 1858)</v>
      </c>
      <c r="AH14128" s="4" t="str">
        <f>HYPERLINK("#Statut_biogéographique!A"&amp;_xlfn.XMATCH("P",Statut_biogéographique!A:A,2,1),"P")</f>
        <v>P</v>
      </c>
      <c r="AP14128" s="4" t="s">
        <v>376</v>
      </c>
      <c r="AR14128" s="4" t="s">
        <v>377</v>
      </c>
    </row>
    <row r="14129" spans="1:44">
      <c r="A14129" s="4" t="s">
        <v>10753</v>
      </c>
      <c r="B14129" s="4">
        <v>245225</v>
      </c>
      <c r="D14129" s="5" t="s">
        <v>16761</v>
      </c>
      <c r="E14129" s="6" t="str">
        <f>HYPERLINK("https://inpn.mnhn.fr/espece/cd_nom/245225","Stigmella lonicerarum (Frey, 1857)")</f>
        <v>Stigmella lonicerarum (Frey, 1857)</v>
      </c>
      <c r="AH14129" s="4" t="str">
        <f>HYPERLINK("#Statut_biogéographique!A"&amp;_xlfn.XMATCH("P",Statut_biogéographique!A:A,2,1),"P")</f>
        <v>P</v>
      </c>
      <c r="AP14129" s="4" t="s">
        <v>376</v>
      </c>
      <c r="AR14129" s="4" t="s">
        <v>377</v>
      </c>
    </row>
    <row r="14130" spans="1:44">
      <c r="A14130" s="4" t="s">
        <v>10753</v>
      </c>
      <c r="B14130" s="4">
        <v>245226</v>
      </c>
      <c r="D14130" s="5" t="s">
        <v>16762</v>
      </c>
      <c r="E14130" s="6" t="str">
        <f>HYPERLINK("https://inpn.mnhn.fr/espece/cd_nom/245226","Stigmella basiguttella (Heinemann, 1862)")</f>
        <v>Stigmella basiguttella (Heinemann, 1862)</v>
      </c>
      <c r="AH14130" s="4" t="str">
        <f>HYPERLINK("#Statut_biogéographique!A"&amp;_xlfn.XMATCH("P",Statut_biogéographique!A:A,2,1),"P")</f>
        <v>P</v>
      </c>
      <c r="AP14130" s="4" t="s">
        <v>376</v>
      </c>
      <c r="AR14130" s="4" t="s">
        <v>377</v>
      </c>
    </row>
    <row r="14131" spans="1:44">
      <c r="A14131" s="4" t="s">
        <v>10753</v>
      </c>
      <c r="B14131" s="4">
        <v>245230</v>
      </c>
      <c r="D14131" s="5" t="s">
        <v>16763</v>
      </c>
      <c r="E14131" s="6" t="str">
        <f>HYPERLINK("https://inpn.mnhn.fr/espece/cd_nom/245230","Stigmella ruficapitella (Haworth, 1828)")</f>
        <v>Stigmella ruficapitella (Haworth, 1828)</v>
      </c>
      <c r="AH14131" s="4" t="str">
        <f>HYPERLINK("#Statut_biogéographique!A"&amp;_xlfn.XMATCH("P",Statut_biogéographique!A:A,2,1),"P")</f>
        <v>P</v>
      </c>
      <c r="AP14131" s="4" t="s">
        <v>376</v>
      </c>
      <c r="AR14131" s="4" t="s">
        <v>377</v>
      </c>
    </row>
    <row r="14132" spans="1:44">
      <c r="A14132" s="4" t="s">
        <v>10753</v>
      </c>
      <c r="B14132" s="4">
        <v>245231</v>
      </c>
      <c r="D14132" s="5" t="s">
        <v>16764</v>
      </c>
      <c r="E14132" s="6" t="str">
        <f>HYPERLINK("https://inpn.mnhn.fr/espece/cd_nom/245231","Stigmella atricapitella (Haworth, 1828)")</f>
        <v>Stigmella atricapitella (Haworth, 1828)</v>
      </c>
      <c r="AH14132" s="4" t="str">
        <f>HYPERLINK("#Statut_biogéographique!A"&amp;_xlfn.XMATCH("P",Statut_biogéographique!A:A,2,1),"P")</f>
        <v>P</v>
      </c>
      <c r="AP14132" s="4" t="s">
        <v>376</v>
      </c>
      <c r="AR14132" s="4" t="s">
        <v>377</v>
      </c>
    </row>
    <row r="14133" spans="1:44">
      <c r="A14133" s="4" t="s">
        <v>10753</v>
      </c>
      <c r="B14133" s="4">
        <v>245232</v>
      </c>
      <c r="D14133" s="5" t="s">
        <v>16765</v>
      </c>
      <c r="E14133" s="6" t="str">
        <f>HYPERLINK("https://inpn.mnhn.fr/espece/cd_nom/245232","Stigmella samiatella (Zeller, 1839)")</f>
        <v>Stigmella samiatella (Zeller, 1839)</v>
      </c>
      <c r="AH14133" s="4" t="str">
        <f>HYPERLINK("#Statut_biogéographique!A"&amp;_xlfn.XMATCH("P",Statut_biogéographique!A:A,2,1),"P")</f>
        <v>P</v>
      </c>
      <c r="AP14133" s="4" t="s">
        <v>376</v>
      </c>
      <c r="AR14133" s="4" t="s">
        <v>377</v>
      </c>
    </row>
    <row r="14134" spans="1:44">
      <c r="A14134" s="4" t="s">
        <v>10753</v>
      </c>
      <c r="B14134" s="4">
        <v>245233</v>
      </c>
      <c r="D14134" s="5" t="s">
        <v>16766</v>
      </c>
      <c r="E14134" s="6" t="str">
        <f>HYPERLINK("https://inpn.mnhn.fr/espece/cd_nom/245233","Stigmella roborella (Johansson, 1971)")</f>
        <v>Stigmella roborella (Johansson, 1971)</v>
      </c>
      <c r="AH14134" s="4" t="str">
        <f>HYPERLINK("#Statut_biogéographique!A"&amp;_xlfn.XMATCH("P",Statut_biogéographique!A:A,2,1),"P")</f>
        <v>P</v>
      </c>
      <c r="AP14134" s="4" t="s">
        <v>376</v>
      </c>
      <c r="AR14134" s="4" t="s">
        <v>377</v>
      </c>
    </row>
    <row r="14135" spans="1:44">
      <c r="A14135" s="4" t="s">
        <v>10753</v>
      </c>
      <c r="B14135" s="4">
        <v>245249</v>
      </c>
      <c r="D14135" s="5" t="s">
        <v>16767</v>
      </c>
      <c r="E14135" s="6" t="str">
        <f>HYPERLINK("https://inpn.mnhn.fr/espece/cd_nom/245249","Ectoedemia intimella (Zeller, 1848)")</f>
        <v>Ectoedemia intimella (Zeller, 1848)</v>
      </c>
      <c r="AH14135" s="4" t="str">
        <f>HYPERLINK("#Statut_biogéographique!A"&amp;_xlfn.XMATCH("P",Statut_biogéographique!A:A,2,1),"P")</f>
        <v>P</v>
      </c>
      <c r="AP14135" s="4" t="s">
        <v>376</v>
      </c>
      <c r="AR14135" s="4" t="s">
        <v>377</v>
      </c>
    </row>
    <row r="14136" spans="1:44">
      <c r="A14136" s="4" t="s">
        <v>10753</v>
      </c>
      <c r="B14136" s="4">
        <v>245256</v>
      </c>
      <c r="D14136" s="5" t="s">
        <v>16768</v>
      </c>
      <c r="E14136" s="6" t="str">
        <f>HYPERLINK("https://inpn.mnhn.fr/espece/cd_nom/245256","Ectoedemia quinquella (Bedell, 1848)")</f>
        <v>Ectoedemia quinquella (Bedell, 1848)</v>
      </c>
      <c r="AH14136" s="4" t="str">
        <f>HYPERLINK("#Statut_biogéographique!A"&amp;_xlfn.XMATCH("P",Statut_biogéographique!A:A,2,1),"P")</f>
        <v>P</v>
      </c>
      <c r="AP14136" s="4" t="s">
        <v>376</v>
      </c>
      <c r="AR14136" s="4" t="s">
        <v>377</v>
      </c>
    </row>
    <row r="14137" spans="1:44">
      <c r="A14137" s="4" t="s">
        <v>10753</v>
      </c>
      <c r="B14137" s="4">
        <v>24526</v>
      </c>
      <c r="D14137" s="5" t="s">
        <v>16769</v>
      </c>
      <c r="E14137" s="6" t="str">
        <f>HYPERLINK("https://inpn.mnhn.fr/espece/cd_nom/24526","Brachypalpus laphriformis (Fallén, 1816)")</f>
        <v>Brachypalpus laphriformis (Fallén, 1816)</v>
      </c>
      <c r="O14137" s="7" t="str">
        <f>HYPERLINK("#Liste_rouge!A"&amp;_xlfn.XMATCH("LC",Liste_rouge!A:A,2,1),"LC")</f>
        <v>LC</v>
      </c>
      <c r="P14137" s="7" t="str">
        <f>HYPERLINK("#Liste_rouge!A"&amp;_xlfn.XMATCH("LC",Liste_rouge!A:A,2,1),"LC")</f>
        <v>LC</v>
      </c>
      <c r="AH14137" s="4" t="str">
        <f>HYPERLINK("#Statut_biogéographique!A"&amp;_xlfn.XMATCH("P",Statut_biogéographique!A:A,2,1),"P")</f>
        <v>P</v>
      </c>
      <c r="AP14137" s="4" t="s">
        <v>376</v>
      </c>
      <c r="AR14137" s="4" t="s">
        <v>377</v>
      </c>
    </row>
    <row r="14138" spans="1:44">
      <c r="A14138" s="4" t="s">
        <v>10753</v>
      </c>
      <c r="B14138" s="4">
        <v>245262</v>
      </c>
      <c r="D14138" s="5" t="s">
        <v>16770</v>
      </c>
      <c r="E14138" s="6" t="str">
        <f>HYPERLINK("https://inpn.mnhn.fr/espece/cd_nom/245262","Ectoedemia albifasciella (Heinemann, 1871)")</f>
        <v>Ectoedemia albifasciella (Heinemann, 1871)</v>
      </c>
      <c r="AH14138" s="4" t="str">
        <f>HYPERLINK("#Statut_biogéographique!A"&amp;_xlfn.XMATCH("P",Statut_biogéographique!A:A,2,1),"P")</f>
        <v>P</v>
      </c>
      <c r="AP14138" s="4" t="s">
        <v>376</v>
      </c>
      <c r="AR14138" s="4" t="s">
        <v>377</v>
      </c>
    </row>
    <row r="14139" spans="1:44">
      <c r="A14139" s="4" t="s">
        <v>10753</v>
      </c>
      <c r="B14139" s="4">
        <v>245268</v>
      </c>
      <c r="D14139" s="5" t="s">
        <v>16771</v>
      </c>
      <c r="E14139" s="6" t="str">
        <f>HYPERLINK("https://inpn.mnhn.fr/espece/cd_nom/245268","Ectoedemia angulifasciella (Stainton, 1849)")</f>
        <v>Ectoedemia angulifasciella (Stainton, 1849)</v>
      </c>
      <c r="AH14139" s="4" t="str">
        <f>HYPERLINK("#Statut_biogéographique!A"&amp;_xlfn.XMATCH("P",Statut_biogéographique!A:A,2,1),"P")</f>
        <v>P</v>
      </c>
      <c r="AP14139" s="4" t="s">
        <v>376</v>
      </c>
      <c r="AR14139" s="4" t="s">
        <v>377</v>
      </c>
    </row>
    <row r="14140" spans="1:44">
      <c r="A14140" s="4" t="s">
        <v>10753</v>
      </c>
      <c r="B14140" s="4">
        <v>245269</v>
      </c>
      <c r="D14140" s="5" t="s">
        <v>16772</v>
      </c>
      <c r="E14140" s="6" t="str">
        <f>HYPERLINK("https://inpn.mnhn.fr/espece/cd_nom/245269","Ectoedemia atricollis (Stainton, 1857)")</f>
        <v>Ectoedemia atricollis (Stainton, 1857)</v>
      </c>
      <c r="AH14140" s="4" t="str">
        <f>HYPERLINK("#Statut_biogéographique!A"&amp;_xlfn.XMATCH("P",Statut_biogéographique!A:A,2,1),"P")</f>
        <v>P</v>
      </c>
      <c r="AP14140" s="4" t="s">
        <v>376</v>
      </c>
      <c r="AR14140" s="4" t="s">
        <v>377</v>
      </c>
    </row>
    <row r="14141" spans="1:44" ht="30">
      <c r="A14141" s="4" t="s">
        <v>10753</v>
      </c>
      <c r="B14141" s="4">
        <v>245270</v>
      </c>
      <c r="D14141" s="5" t="s">
        <v>16773</v>
      </c>
      <c r="E14141" s="6" t="str">
        <f>HYPERLINK("https://inpn.mnhn.fr/espece/cd_nom/245270","Ectoedemia arcuatella (Herrich-Schäffer, 1855)")</f>
        <v>Ectoedemia arcuatella (Herrich-Schäffer, 1855)</v>
      </c>
      <c r="AH14141" s="4" t="str">
        <f>HYPERLINK("#Statut_biogéographique!A"&amp;_xlfn.XMATCH("P",Statut_biogéographique!A:A,2,1),"P")</f>
        <v>P</v>
      </c>
      <c r="AP14141" s="4" t="s">
        <v>376</v>
      </c>
      <c r="AR14141" s="4" t="s">
        <v>377</v>
      </c>
    </row>
    <row r="14142" spans="1:44">
      <c r="A14142" s="4" t="s">
        <v>10753</v>
      </c>
      <c r="B14142" s="4">
        <v>245271</v>
      </c>
      <c r="D14142" s="5" t="s">
        <v>16774</v>
      </c>
      <c r="E14142" s="6" t="str">
        <f>HYPERLINK("https://inpn.mnhn.fr/espece/cd_nom/245271","Ectoedemia rubivora (Wocke, 1860)")</f>
        <v>Ectoedemia rubivora (Wocke, 1860)</v>
      </c>
      <c r="AH14142" s="4" t="str">
        <f>HYPERLINK("#Statut_biogéographique!A"&amp;_xlfn.XMATCH("P",Statut_biogéographique!A:A,2,1),"P")</f>
        <v>P</v>
      </c>
      <c r="AP14142" s="4" t="s">
        <v>376</v>
      </c>
      <c r="AR14142" s="4" t="s">
        <v>377</v>
      </c>
    </row>
    <row r="14143" spans="1:44">
      <c r="A14143" s="4" t="s">
        <v>10753</v>
      </c>
      <c r="B14143" s="4">
        <v>245272</v>
      </c>
      <c r="D14143" s="5" t="s">
        <v>16775</v>
      </c>
      <c r="E14143" s="6" t="str">
        <f>HYPERLINK("https://inpn.mnhn.fr/espece/cd_nom/245272","Ectoedemia spinosella (Joannis, 1908)")</f>
        <v>Ectoedemia spinosella (Joannis, 1908)</v>
      </c>
      <c r="AH14143" s="4" t="str">
        <f>HYPERLINK("#Statut_biogéographique!A"&amp;_xlfn.XMATCH("P",Statut_biogéographique!A:A,2,1),"P")</f>
        <v>P</v>
      </c>
      <c r="AP14143" s="4" t="s">
        <v>376</v>
      </c>
      <c r="AR14143" s="4" t="s">
        <v>377</v>
      </c>
    </row>
    <row r="14144" spans="1:44">
      <c r="A14144" s="4" t="s">
        <v>10753</v>
      </c>
      <c r="B14144" s="4">
        <v>245273</v>
      </c>
      <c r="D14144" s="5" t="s">
        <v>16776</v>
      </c>
      <c r="E14144" s="6" t="str">
        <f>HYPERLINK("https://inpn.mnhn.fr/espece/cd_nom/245273","Ectoedemia mahalebella (Klimesch, 1936)")</f>
        <v>Ectoedemia mahalebella (Klimesch, 1936)</v>
      </c>
      <c r="AH14144" s="4" t="str">
        <f>HYPERLINK("#Statut_biogéographique!A"&amp;_xlfn.XMATCH("P",Statut_biogéographique!A:A,2,1),"P")</f>
        <v>P</v>
      </c>
      <c r="AP14144" s="4" t="s">
        <v>376</v>
      </c>
      <c r="AR14144" s="4" t="s">
        <v>377</v>
      </c>
    </row>
    <row r="14145" spans="1:44">
      <c r="A14145" s="4" t="s">
        <v>10753</v>
      </c>
      <c r="B14145" s="4">
        <v>245274</v>
      </c>
      <c r="D14145" s="5" t="s">
        <v>16777</v>
      </c>
      <c r="E14145" s="6" t="str">
        <f>HYPERLINK("https://inpn.mnhn.fr/espece/cd_nom/245274","Ectoedemia occultella (Linnaeus, 1767)")</f>
        <v>Ectoedemia occultella (Linnaeus, 1767)</v>
      </c>
      <c r="AH14145" s="4" t="str">
        <f>HYPERLINK("#Statut_biogéographique!A"&amp;_xlfn.XMATCH("P",Statut_biogéographique!A:A,2,1),"P")</f>
        <v>P</v>
      </c>
      <c r="AP14145" s="4" t="s">
        <v>376</v>
      </c>
      <c r="AR14145" s="4" t="s">
        <v>377</v>
      </c>
    </row>
    <row r="14146" spans="1:44">
      <c r="A14146" s="4" t="s">
        <v>10753</v>
      </c>
      <c r="B14146" s="4">
        <v>24529</v>
      </c>
      <c r="D14146" s="5" t="s">
        <v>16778</v>
      </c>
      <c r="E14146" s="6" t="str">
        <f>HYPERLINK("https://inpn.mnhn.fr/espece/cd_nom/24529","Brachypalpus valgus (Panzer, 1798)")</f>
        <v>Brachypalpus valgus (Panzer, 1798)</v>
      </c>
      <c r="O14146" s="7" t="str">
        <f>HYPERLINK("#Liste_rouge!A"&amp;_xlfn.XMATCH("LC",Liste_rouge!A:A,2,1),"LC")</f>
        <v>LC</v>
      </c>
      <c r="P14146" s="7" t="str">
        <f>HYPERLINK("#Liste_rouge!A"&amp;_xlfn.XMATCH("LC",Liste_rouge!A:A,2,1),"LC")</f>
        <v>LC</v>
      </c>
      <c r="AH14146" s="4" t="str">
        <f>HYPERLINK("#Statut_biogéographique!A"&amp;_xlfn.XMATCH("P",Statut_biogéographique!A:A,2,1),"P")</f>
        <v>P</v>
      </c>
      <c r="AP14146" s="4" t="s">
        <v>376</v>
      </c>
      <c r="AR14146" s="4" t="s">
        <v>377</v>
      </c>
    </row>
    <row r="14147" spans="1:44">
      <c r="A14147" s="4" t="s">
        <v>10753</v>
      </c>
      <c r="B14147" s="4">
        <v>245306</v>
      </c>
      <c r="D14147" s="5" t="s">
        <v>16779</v>
      </c>
      <c r="E14147" s="6" t="str">
        <f>HYPERLINK("https://inpn.mnhn.fr/espece/cd_nom/245306","Acalyptris platani (Müller-Rutz, 1934)")</f>
        <v>Acalyptris platani (Müller-Rutz, 1934)</v>
      </c>
      <c r="AH14147" s="4" t="str">
        <f>HYPERLINK("#Statut_biogéographique!A"&amp;_xlfn.XMATCH("I",Statut_biogéographique!A:A,2,1),"I")</f>
        <v>I</v>
      </c>
      <c r="AP14147" s="4" t="s">
        <v>376</v>
      </c>
      <c r="AR14147" s="4" t="s">
        <v>377</v>
      </c>
    </row>
    <row r="14148" spans="1:44">
      <c r="A14148" s="4" t="s">
        <v>10753</v>
      </c>
      <c r="B14148" s="4">
        <v>245308</v>
      </c>
      <c r="D14148" s="5" t="s">
        <v>16780</v>
      </c>
      <c r="E14148" s="6" t="str">
        <f>HYPERLINK("https://inpn.mnhn.fr/espece/cd_nom/245308","Pseudopostega auritella (Hübner, 1813)")</f>
        <v>Pseudopostega auritella (Hübner, 1813)</v>
      </c>
      <c r="AH14148" s="4" t="str">
        <f>HYPERLINK("#Statut_biogéographique!A"&amp;_xlfn.XMATCH("P",Statut_biogéographique!A:A,2,1),"P")</f>
        <v>P</v>
      </c>
      <c r="AP14148" s="4" t="s">
        <v>376</v>
      </c>
      <c r="AR14148" s="4" t="s">
        <v>377</v>
      </c>
    </row>
    <row r="14149" spans="1:44">
      <c r="A14149" s="4" t="s">
        <v>10753</v>
      </c>
      <c r="B14149" s="4">
        <v>245309</v>
      </c>
      <c r="D14149" s="5" t="s">
        <v>16781</v>
      </c>
      <c r="E14149" s="6" t="str">
        <f>HYPERLINK("https://inpn.mnhn.fr/espece/cd_nom/245309","Pseudopostega crepusculella (Zeller, 1839)")</f>
        <v>Pseudopostega crepusculella (Zeller, 1839)</v>
      </c>
      <c r="AH14149" s="4" t="str">
        <f>HYPERLINK("#Statut_biogéographique!A"&amp;_xlfn.XMATCH("P",Statut_biogéographique!A:A,2,1),"P")</f>
        <v>P</v>
      </c>
      <c r="AP14149" s="4" t="s">
        <v>376</v>
      </c>
      <c r="AR14149" s="4" t="s">
        <v>377</v>
      </c>
    </row>
    <row r="14150" spans="1:44">
      <c r="A14150" s="4" t="s">
        <v>10753</v>
      </c>
      <c r="B14150" s="4">
        <v>24531</v>
      </c>
      <c r="D14150" s="5" t="s">
        <v>16782</v>
      </c>
      <c r="E14150" s="6" t="str">
        <f>HYPERLINK("https://inpn.mnhn.fr/espece/cd_nom/24531","Caliprobola speciosa (Rossi, 1790)")</f>
        <v>Caliprobola speciosa (Rossi, 1790)</v>
      </c>
      <c r="P14150" s="7" t="str">
        <f>HYPERLINK("#Liste_rouge!A"&amp;_xlfn.XMATCH("LC",Liste_rouge!A:A,2,1),"LC")</f>
        <v>LC</v>
      </c>
      <c r="AH14150" s="4" t="str">
        <f>HYPERLINK("#Statut_biogéographique!A"&amp;_xlfn.XMATCH("P",Statut_biogéographique!A:A,2,1),"P")</f>
        <v>P</v>
      </c>
      <c r="AP14150" s="4" t="s">
        <v>376</v>
      </c>
      <c r="AR14150" s="4" t="s">
        <v>377</v>
      </c>
    </row>
    <row r="14151" spans="1:44">
      <c r="A14151" s="4" t="s">
        <v>10753</v>
      </c>
      <c r="B14151" s="4">
        <v>245311</v>
      </c>
      <c r="D14151" s="5" t="s">
        <v>16783</v>
      </c>
      <c r="E14151" s="6" t="str">
        <f>HYPERLINK("https://inpn.mnhn.fr/espece/cd_nom/245311","Opostega salaciella (Treitschke, 1833)")</f>
        <v>Opostega salaciella (Treitschke, 1833)</v>
      </c>
      <c r="AH14151" s="4" t="str">
        <f>HYPERLINK("#Statut_biogéographique!A"&amp;_xlfn.XMATCH("P",Statut_biogéographique!A:A,2,1),"P")</f>
        <v>P</v>
      </c>
      <c r="AP14151" s="4" t="s">
        <v>376</v>
      </c>
      <c r="AR14151" s="4" t="s">
        <v>377</v>
      </c>
    </row>
    <row r="14152" spans="1:44" ht="30">
      <c r="A14152" s="4" t="s">
        <v>10753</v>
      </c>
      <c r="B14152" s="4">
        <v>245314</v>
      </c>
      <c r="D14152" s="5" t="s">
        <v>16784</v>
      </c>
      <c r="E14152" s="6" t="str">
        <f>HYPERLINK("https://inpn.mnhn.fr/espece/cd_nom/245314","Antispila metallella (Denis &amp; Schiffermüller, 1775)")</f>
        <v>Antispila metallella (Denis &amp; Schiffermüller, 1775)</v>
      </c>
      <c r="AH14152" s="4" t="str">
        <f>HYPERLINK("#Statut_biogéographique!A"&amp;_xlfn.XMATCH("P",Statut_biogéographique!A:A,2,1),"P")</f>
        <v>P</v>
      </c>
      <c r="AP14152" s="4" t="s">
        <v>376</v>
      </c>
      <c r="AR14152" s="4" t="s">
        <v>377</v>
      </c>
    </row>
    <row r="14153" spans="1:44" ht="30">
      <c r="A14153" s="4" t="s">
        <v>10753</v>
      </c>
      <c r="B14153" s="4">
        <v>245315</v>
      </c>
      <c r="D14153" s="5" t="s">
        <v>16785</v>
      </c>
      <c r="E14153" s="6" t="str">
        <f>HYPERLINK("https://inpn.mnhn.fr/espece/cd_nom/245315","Antispila treitschkiella (Fischer von Röslerstamm, 1843)")</f>
        <v>Antispila treitschkiella (Fischer von Röslerstamm, 1843)</v>
      </c>
      <c r="AH14153" s="4" t="str">
        <f>HYPERLINK("#Statut_biogéographique!A"&amp;_xlfn.XMATCH("P",Statut_biogéographique!A:A,2,1),"P")</f>
        <v>P</v>
      </c>
      <c r="AP14153" s="4" t="s">
        <v>376</v>
      </c>
      <c r="AR14153" s="4" t="s">
        <v>377</v>
      </c>
    </row>
    <row r="14154" spans="1:44" ht="30">
      <c r="A14154" s="4" t="s">
        <v>10753</v>
      </c>
      <c r="B14154" s="4">
        <v>245321</v>
      </c>
      <c r="D14154" s="5" t="s">
        <v>16786</v>
      </c>
      <c r="E14154" s="6" t="str">
        <f>HYPERLINK("https://inpn.mnhn.fr/espece/cd_nom/245321","Nematopogon pilella (Denis &amp; Schiffermüller, 1775)")</f>
        <v>Nematopogon pilella (Denis &amp; Schiffermüller, 1775)</v>
      </c>
      <c r="AH14154" s="4" t="str">
        <f>HYPERLINK("#Statut_biogéographique!A"&amp;_xlfn.XMATCH("P",Statut_biogéographique!A:A,2,1),"P")</f>
        <v>P</v>
      </c>
      <c r="AP14154" s="4" t="s">
        <v>376</v>
      </c>
      <c r="AR14154" s="4" t="s">
        <v>377</v>
      </c>
    </row>
    <row r="14155" spans="1:44" ht="30">
      <c r="A14155" s="4" t="s">
        <v>10753</v>
      </c>
      <c r="B14155" s="4">
        <v>245323</v>
      </c>
      <c r="D14155" s="5" t="s">
        <v>16787</v>
      </c>
      <c r="E14155" s="6" t="str">
        <f>HYPERLINK("https://inpn.mnhn.fr/espece/cd_nom/245323","Nematopogon adansoniella (Villers, 1789)")</f>
        <v>Nematopogon adansoniella (Villers, 1789)</v>
      </c>
      <c r="AH14155" s="4" t="str">
        <f>HYPERLINK("#Statut_biogéographique!A"&amp;_xlfn.XMATCH("P",Statut_biogéographique!A:A,2,1),"P")</f>
        <v>P</v>
      </c>
      <c r="AP14155" s="4" t="s">
        <v>376</v>
      </c>
      <c r="AR14155" s="4" t="s">
        <v>377</v>
      </c>
    </row>
    <row r="14156" spans="1:44">
      <c r="A14156" s="4" t="s">
        <v>10753</v>
      </c>
      <c r="B14156" s="4">
        <v>245324</v>
      </c>
      <c r="D14156" s="5" t="s">
        <v>16788</v>
      </c>
      <c r="E14156" s="6" t="str">
        <f>HYPERLINK("https://inpn.mnhn.fr/espece/cd_nom/245324","Nematopogon metaxella (Hübner, 1813)")</f>
        <v>Nematopogon metaxella (Hübner, 1813)</v>
      </c>
      <c r="AH14156" s="4" t="str">
        <f>HYPERLINK("#Statut_biogéographique!A"&amp;_xlfn.XMATCH("P",Statut_biogéographique!A:A,2,1),"P")</f>
        <v>P</v>
      </c>
      <c r="AP14156" s="4" t="s">
        <v>376</v>
      </c>
      <c r="AR14156" s="4" t="s">
        <v>377</v>
      </c>
    </row>
    <row r="14157" spans="1:44" ht="30">
      <c r="A14157" s="4" t="s">
        <v>10753</v>
      </c>
      <c r="B14157" s="4">
        <v>245325</v>
      </c>
      <c r="D14157" s="5" t="s">
        <v>16789</v>
      </c>
      <c r="E14157" s="6" t="str">
        <f>HYPERLINK("https://inpn.mnhn.fr/espece/cd_nom/245325","Nematopogon swammerdamella (Linnaeus, 1758)")</f>
        <v>Nematopogon swammerdamella (Linnaeus, 1758)</v>
      </c>
      <c r="AH14157" s="4" t="str">
        <f>HYPERLINK("#Statut_biogéographique!A"&amp;_xlfn.XMATCH("P",Statut_biogéographique!A:A,2,1),"P")</f>
        <v>P</v>
      </c>
      <c r="AP14157" s="4" t="s">
        <v>376</v>
      </c>
      <c r="AR14157" s="4" t="s">
        <v>377</v>
      </c>
    </row>
    <row r="14158" spans="1:44">
      <c r="A14158" s="4" t="s">
        <v>10753</v>
      </c>
      <c r="B14158" s="4">
        <v>245326</v>
      </c>
      <c r="D14158" s="5" t="s">
        <v>16790</v>
      </c>
      <c r="E14158" s="6" t="str">
        <f>HYPERLINK("https://inpn.mnhn.fr/espece/cd_nom/245326","Nematopogon robertella (Clerck, 1759)")</f>
        <v>Nematopogon robertella (Clerck, 1759)</v>
      </c>
      <c r="AH14158" s="4" t="str">
        <f>HYPERLINK("#Statut_biogéographique!A"&amp;_xlfn.XMATCH("P",Statut_biogéographique!A:A,2,1),"P")</f>
        <v>P</v>
      </c>
      <c r="AP14158" s="4" t="s">
        <v>376</v>
      </c>
      <c r="AR14158" s="4" t="s">
        <v>377</v>
      </c>
    </row>
    <row r="14159" spans="1:44" ht="30">
      <c r="A14159" s="4" t="s">
        <v>10753</v>
      </c>
      <c r="B14159" s="4">
        <v>245330</v>
      </c>
      <c r="D14159" s="5" t="s">
        <v>16791</v>
      </c>
      <c r="E14159" s="6" t="str">
        <f>HYPERLINK("https://inpn.mnhn.fr/espece/cd_nom/245330","Cauchas rufimitrella (Scopoli, 1763)")</f>
        <v>Cauchas rufimitrella (Scopoli, 1763)</v>
      </c>
      <c r="AH14159" s="4" t="str">
        <f>HYPERLINK("#Statut_biogéographique!A"&amp;_xlfn.XMATCH("P",Statut_biogéographique!A:A,2,1),"P")</f>
        <v>P</v>
      </c>
      <c r="AP14159" s="4" t="s">
        <v>376</v>
      </c>
      <c r="AR14159" s="4" t="s">
        <v>377</v>
      </c>
    </row>
    <row r="14160" spans="1:44">
      <c r="A14160" s="4" t="s">
        <v>10753</v>
      </c>
      <c r="B14160" s="4">
        <v>245331</v>
      </c>
      <c r="D14160" s="5" t="s">
        <v>16792</v>
      </c>
      <c r="E14160" s="6" t="str">
        <f>HYPERLINK("https://inpn.mnhn.fr/espece/cd_nom/245331","Adela violella (Denis &amp; Schiffermüller, 1775)")</f>
        <v>Adela violella (Denis &amp; Schiffermüller, 1775)</v>
      </c>
      <c r="AH14160" s="4" t="str">
        <f>HYPERLINK("#Statut_biogéographique!A"&amp;_xlfn.XMATCH("P",Statut_biogéographique!A:A,2,1),"P")</f>
        <v>P</v>
      </c>
      <c r="AP14160" s="4" t="s">
        <v>376</v>
      </c>
      <c r="AR14160" s="4" t="s">
        <v>377</v>
      </c>
    </row>
    <row r="14161" spans="1:44">
      <c r="A14161" s="4" t="s">
        <v>10753</v>
      </c>
      <c r="B14161" s="4">
        <v>245335</v>
      </c>
      <c r="D14161" s="5" t="s">
        <v>16793</v>
      </c>
      <c r="E14161" s="6" t="str">
        <f>HYPERLINK("https://inpn.mnhn.fr/espece/cd_nom/245335","Adela reaumurella (Linnaeus, 1758)")</f>
        <v>Adela reaumurella (Linnaeus, 1758)</v>
      </c>
      <c r="F14161" s="5" t="s">
        <v>16794</v>
      </c>
      <c r="AH14161" s="4" t="str">
        <f>HYPERLINK("#Statut_biogéographique!A"&amp;_xlfn.XMATCH("P",Statut_biogéographique!A:A,2,1),"P")</f>
        <v>P</v>
      </c>
      <c r="AP14161" s="4" t="s">
        <v>376</v>
      </c>
      <c r="AR14161" s="4" t="s">
        <v>377</v>
      </c>
    </row>
    <row r="14162" spans="1:44">
      <c r="A14162" s="4" t="s">
        <v>10753</v>
      </c>
      <c r="B14162" s="4">
        <v>245336</v>
      </c>
      <c r="D14162" s="5" t="s">
        <v>16795</v>
      </c>
      <c r="E14162" s="6" t="str">
        <f>HYPERLINK("https://inpn.mnhn.fr/espece/cd_nom/245336","Adela cuprella (Denis &amp; Schiffermüller, 1775)")</f>
        <v>Adela cuprella (Denis &amp; Schiffermüller, 1775)</v>
      </c>
      <c r="AH14162" s="4" t="str">
        <f>HYPERLINK("#Statut_biogéographique!A"&amp;_xlfn.XMATCH("P",Statut_biogéographique!A:A,2,1),"P")</f>
        <v>P</v>
      </c>
      <c r="AP14162" s="4" t="s">
        <v>376</v>
      </c>
      <c r="AR14162" s="4" t="s">
        <v>377</v>
      </c>
    </row>
    <row r="14163" spans="1:44">
      <c r="A14163" s="4" t="s">
        <v>10753</v>
      </c>
      <c r="B14163" s="4">
        <v>245337</v>
      </c>
      <c r="D14163" s="5" t="s">
        <v>16796</v>
      </c>
      <c r="E14163" s="6" t="str">
        <f>HYPERLINK("https://inpn.mnhn.fr/espece/cd_nom/245337","Adela australis (Heydenreich, 1851)")</f>
        <v>Adela australis (Heydenreich, 1851)</v>
      </c>
      <c r="AH14163" s="4" t="str">
        <f>HYPERLINK("#Statut_biogéographique!A"&amp;_xlfn.XMATCH("P",Statut_biogéographique!A:A,2,1),"P")</f>
        <v>P</v>
      </c>
      <c r="AP14163" s="4" t="s">
        <v>376</v>
      </c>
      <c r="AR14163" s="4" t="s">
        <v>377</v>
      </c>
    </row>
    <row r="14164" spans="1:44">
      <c r="A14164" s="4" t="s">
        <v>10753</v>
      </c>
      <c r="B14164" s="4">
        <v>245338</v>
      </c>
      <c r="D14164" s="5" t="s">
        <v>16797</v>
      </c>
      <c r="E14164" s="6" t="str">
        <f>HYPERLINK("https://inpn.mnhn.fr/espece/cd_nom/245338","Adela croesella (Scopoli, 1763)")</f>
        <v>Adela croesella (Scopoli, 1763)</v>
      </c>
      <c r="AH14164" s="4" t="str">
        <f>HYPERLINK("#Statut_biogéographique!A"&amp;_xlfn.XMATCH("P",Statut_biogéographique!A:A,2,1),"P")</f>
        <v>P</v>
      </c>
      <c r="AP14164" s="4" t="s">
        <v>376</v>
      </c>
      <c r="AR14164" s="4" t="s">
        <v>377</v>
      </c>
    </row>
    <row r="14165" spans="1:44">
      <c r="A14165" s="4" t="s">
        <v>10753</v>
      </c>
      <c r="B14165" s="4">
        <v>245339</v>
      </c>
      <c r="D14165" s="5" t="s">
        <v>16798</v>
      </c>
      <c r="E14165" s="6" t="str">
        <f>HYPERLINK("https://inpn.mnhn.fr/espece/cd_nom/245339","Nemophora degeerella (Linnaeus, 1758)")</f>
        <v>Nemophora degeerella (Linnaeus, 1758)</v>
      </c>
      <c r="AH14165" s="4" t="str">
        <f>HYPERLINK("#Statut_biogéographique!A"&amp;_xlfn.XMATCH("P",Statut_biogéographique!A:A,2,1),"P")</f>
        <v>P</v>
      </c>
      <c r="AP14165" s="4" t="s">
        <v>376</v>
      </c>
      <c r="AR14165" s="4" t="s">
        <v>377</v>
      </c>
    </row>
    <row r="14166" spans="1:44">
      <c r="A14166" s="4" t="s">
        <v>10753</v>
      </c>
      <c r="B14166" s="4">
        <v>24534</v>
      </c>
      <c r="D14166" s="5" t="s">
        <v>16799</v>
      </c>
      <c r="E14166" s="6" t="str">
        <f>HYPERLINK("https://inpn.mnhn.fr/espece/cd_nom/24534","Callicera aurata (Rossi, 1790)")</f>
        <v>Callicera aurata (Rossi, 1790)</v>
      </c>
      <c r="P14166" s="7" t="str">
        <f>HYPERLINK("#Liste_rouge!A"&amp;_xlfn.XMATCH("VU",Liste_rouge!A:A,2,1),"VU")</f>
        <v>VU</v>
      </c>
      <c r="AH14166" s="4" t="str">
        <f>HYPERLINK("#Statut_biogéographique!A"&amp;_xlfn.XMATCH("P",Statut_biogéographique!A:A,2,1),"P")</f>
        <v>P</v>
      </c>
      <c r="AP14166" s="4" t="s">
        <v>376</v>
      </c>
      <c r="AR14166" s="4" t="s">
        <v>377</v>
      </c>
    </row>
    <row r="14167" spans="1:44" ht="30">
      <c r="A14167" s="4" t="s">
        <v>10753</v>
      </c>
      <c r="B14167" s="4">
        <v>245343</v>
      </c>
      <c r="D14167" s="5" t="s">
        <v>16800</v>
      </c>
      <c r="E14167" s="6" t="str">
        <f>HYPERLINK("https://inpn.mnhn.fr/espece/cd_nom/245343","Nemophora metallica (Poda, 1761)")</f>
        <v>Nemophora metallica (Poda, 1761)</v>
      </c>
      <c r="AH14167" s="4" t="str">
        <f>HYPERLINK("#Statut_biogéographique!A"&amp;_xlfn.XMATCH("P",Statut_biogéographique!A:A,2,1),"P")</f>
        <v>P</v>
      </c>
      <c r="AP14167" s="4" t="s">
        <v>376</v>
      </c>
      <c r="AR14167" s="4" t="s">
        <v>377</v>
      </c>
    </row>
    <row r="14168" spans="1:44">
      <c r="A14168" s="4" t="s">
        <v>10753</v>
      </c>
      <c r="B14168" s="4">
        <v>245344</v>
      </c>
      <c r="D14168" s="5" t="s">
        <v>16801</v>
      </c>
      <c r="E14168" s="6" t="str">
        <f>HYPERLINK("https://inpn.mnhn.fr/espece/cd_nom/245344","Nemophora pfeifferella (Hübner, 1813)")</f>
        <v>Nemophora pfeifferella (Hübner, 1813)</v>
      </c>
      <c r="AH14168" s="4" t="str">
        <f>HYPERLINK("#Statut_biogéographique!A"&amp;_xlfn.XMATCH("P",Statut_biogéographique!A:A,2,1),"P")</f>
        <v>P</v>
      </c>
      <c r="AP14168" s="4" t="s">
        <v>376</v>
      </c>
      <c r="AR14168" s="4" t="s">
        <v>377</v>
      </c>
    </row>
    <row r="14169" spans="1:44">
      <c r="A14169" s="4" t="s">
        <v>10753</v>
      </c>
      <c r="B14169" s="4">
        <v>245345</v>
      </c>
      <c r="D14169" s="5" t="s">
        <v>16802</v>
      </c>
      <c r="E14169" s="6" t="str">
        <f>HYPERLINK("https://inpn.mnhn.fr/espece/cd_nom/245345","Nemophora cupriacella (Hübner, 1819)")</f>
        <v>Nemophora cupriacella (Hübner, 1819)</v>
      </c>
      <c r="AH14169" s="4" t="str">
        <f>HYPERLINK("#Statut_biogéographique!A"&amp;_xlfn.XMATCH("P",Statut_biogéographique!A:A,2,1),"P")</f>
        <v>P</v>
      </c>
      <c r="AP14169" s="4" t="s">
        <v>376</v>
      </c>
      <c r="AR14169" s="4" t="s">
        <v>377</v>
      </c>
    </row>
    <row r="14170" spans="1:44" ht="30">
      <c r="A14170" s="4" t="s">
        <v>10753</v>
      </c>
      <c r="B14170" s="4">
        <v>245351</v>
      </c>
      <c r="D14170" s="5" t="s">
        <v>16803</v>
      </c>
      <c r="E14170" s="6" t="str">
        <f>HYPERLINK("https://inpn.mnhn.fr/espece/cd_nom/245351","Nemophora minimella (Denis &amp; Schiffermüller, 1775)")</f>
        <v>Nemophora minimella (Denis &amp; Schiffermüller, 1775)</v>
      </c>
      <c r="AH14170" s="4" t="str">
        <f>HYPERLINK("#Statut_biogéographique!A"&amp;_xlfn.XMATCH("P",Statut_biogéographique!A:A,2,1),"P")</f>
        <v>P</v>
      </c>
      <c r="AP14170" s="4" t="s">
        <v>376</v>
      </c>
      <c r="AR14170" s="4" t="s">
        <v>377</v>
      </c>
    </row>
    <row r="14171" spans="1:44">
      <c r="A14171" s="4" t="s">
        <v>10753</v>
      </c>
      <c r="B14171" s="4">
        <v>245354</v>
      </c>
      <c r="D14171" s="5" t="s">
        <v>16804</v>
      </c>
      <c r="E14171" s="6" t="str">
        <f>HYPERLINK("https://inpn.mnhn.fr/espece/cd_nom/245354","Lampronia capitella (Clerck, 1759)")</f>
        <v>Lampronia capitella (Clerck, 1759)</v>
      </c>
      <c r="AH14171" s="4" t="str">
        <f>HYPERLINK("#Statut_biogéographique!A"&amp;_xlfn.XMATCH("P",Statut_biogéographique!A:A,2,1),"P")</f>
        <v>P</v>
      </c>
      <c r="AP14171" s="4" t="s">
        <v>376</v>
      </c>
      <c r="AR14171" s="4" t="s">
        <v>377</v>
      </c>
    </row>
    <row r="14172" spans="1:44">
      <c r="A14172" s="4" t="s">
        <v>10753</v>
      </c>
      <c r="B14172" s="4">
        <v>245358</v>
      </c>
      <c r="D14172" s="5" t="s">
        <v>16805</v>
      </c>
      <c r="E14172" s="6" t="str">
        <f>HYPERLINK("https://inpn.mnhn.fr/espece/cd_nom/245358","Lampronia flavimitrella (Hübner, 1817)")</f>
        <v>Lampronia flavimitrella (Hübner, 1817)</v>
      </c>
      <c r="AH14172" s="4" t="str">
        <f>HYPERLINK("#Statut_biogéographique!A"&amp;_xlfn.XMATCH("P",Statut_biogéographique!A:A,2,1),"P")</f>
        <v>P</v>
      </c>
      <c r="AP14172" s="4" t="s">
        <v>376</v>
      </c>
      <c r="AR14172" s="4" t="s">
        <v>377</v>
      </c>
    </row>
    <row r="14173" spans="1:44">
      <c r="A14173" s="4" t="s">
        <v>10753</v>
      </c>
      <c r="B14173" s="4">
        <v>24536</v>
      </c>
      <c r="D14173" s="5">
        <v>24536</v>
      </c>
      <c r="E14173" s="6" t="str">
        <f>HYPERLINK("https://inpn.mnhn.fr/espece/cd_nom/24536","Callicera spinolae Rondani, 1844")</f>
        <v>Callicera spinolae Rondani, 1844</v>
      </c>
      <c r="P14173" s="7" t="str">
        <f>HYPERLINK("#Liste_rouge!A"&amp;_xlfn.XMATCH("VU",Liste_rouge!A:A,2,1),"VU")</f>
        <v>VU</v>
      </c>
      <c r="AH14173" s="4" t="str">
        <f>HYPERLINK("#Statut_biogéographique!A"&amp;_xlfn.XMATCH("P",Statut_biogéographique!A:A,2,1),"P")</f>
        <v>P</v>
      </c>
      <c r="AP14173" s="4" t="s">
        <v>376</v>
      </c>
      <c r="AR14173" s="4" t="s">
        <v>377</v>
      </c>
    </row>
    <row r="14174" spans="1:44" ht="30">
      <c r="A14174" s="4" t="s">
        <v>10753</v>
      </c>
      <c r="B14174" s="4">
        <v>245361</v>
      </c>
      <c r="D14174" s="5" t="s">
        <v>16806</v>
      </c>
      <c r="E14174" s="6" t="str">
        <f>HYPERLINK("https://inpn.mnhn.fr/espece/cd_nom/245361","Lampronia rupella (Denis &amp; Schiffermüller, 1775)")</f>
        <v>Lampronia rupella (Denis &amp; Schiffermüller, 1775)</v>
      </c>
      <c r="AH14174" s="4" t="str">
        <f>HYPERLINK("#Statut_biogéographique!A"&amp;_xlfn.XMATCH("P",Statut_biogéographique!A:A,2,1),"P")</f>
        <v>P</v>
      </c>
      <c r="AP14174" s="4" t="s">
        <v>376</v>
      </c>
      <c r="AR14174" s="4" t="s">
        <v>377</v>
      </c>
    </row>
    <row r="14175" spans="1:44" ht="30">
      <c r="A14175" s="4" t="s">
        <v>10753</v>
      </c>
      <c r="B14175" s="4">
        <v>245367</v>
      </c>
      <c r="D14175" s="5" t="s">
        <v>16807</v>
      </c>
      <c r="E14175" s="6" t="str">
        <f>HYPERLINK("https://inpn.mnhn.fr/espece/cd_nom/245367","Alloclemensia mesospilella (Herrich-Schäffer, 1854)")</f>
        <v>Alloclemensia mesospilella (Herrich-Schäffer, 1854)</v>
      </c>
      <c r="AH14175" s="4" t="str">
        <f>HYPERLINK("#Statut_biogéographique!A"&amp;_xlfn.XMATCH("P",Statut_biogéographique!A:A,2,1),"P")</f>
        <v>P</v>
      </c>
      <c r="AP14175" s="4" t="s">
        <v>376</v>
      </c>
      <c r="AR14175" s="4" t="s">
        <v>377</v>
      </c>
    </row>
    <row r="14176" spans="1:44">
      <c r="A14176" s="4" t="s">
        <v>10753</v>
      </c>
      <c r="B14176" s="4">
        <v>245368</v>
      </c>
      <c r="D14176" s="5" t="s">
        <v>16808</v>
      </c>
      <c r="E14176" s="6" t="str">
        <f>HYPERLINK("https://inpn.mnhn.fr/espece/cd_nom/245368","Incurvaria pectinea Haworth, 1828")</f>
        <v>Incurvaria pectinea Haworth, 1828</v>
      </c>
      <c r="AH14176" s="4" t="str">
        <f>HYPERLINK("#Statut_biogéographique!A"&amp;_xlfn.XMATCH("P",Statut_biogéographique!A:A,2,1),"P")</f>
        <v>P</v>
      </c>
      <c r="AP14176" s="4" t="s">
        <v>376</v>
      </c>
      <c r="AR14176" s="4" t="s">
        <v>377</v>
      </c>
    </row>
    <row r="14177" spans="1:44" ht="30">
      <c r="A14177" s="4" t="s">
        <v>10753</v>
      </c>
      <c r="B14177" s="4">
        <v>245369</v>
      </c>
      <c r="D14177" s="5" t="s">
        <v>16809</v>
      </c>
      <c r="E14177" s="6" t="str">
        <f>HYPERLINK("https://inpn.mnhn.fr/espece/cd_nom/245369","Incurvaria masculella (Denis &amp; Schiffermüller, 1775)")</f>
        <v>Incurvaria masculella (Denis &amp; Schiffermüller, 1775)</v>
      </c>
      <c r="AH14177" s="4" t="str">
        <f>HYPERLINK("#Statut_biogéographique!A"&amp;_xlfn.XMATCH("P",Statut_biogéographique!A:A,2,1),"P")</f>
        <v>P</v>
      </c>
      <c r="AP14177" s="4" t="s">
        <v>376</v>
      </c>
      <c r="AR14177" s="4" t="s">
        <v>377</v>
      </c>
    </row>
    <row r="14178" spans="1:44">
      <c r="A14178" s="4" t="s">
        <v>10753</v>
      </c>
      <c r="B14178" s="4">
        <v>245371</v>
      </c>
      <c r="D14178" s="5" t="s">
        <v>16810</v>
      </c>
      <c r="E14178" s="6" t="str">
        <f>HYPERLINK("https://inpn.mnhn.fr/espece/cd_nom/245371","Incurvaria oehlmanniella (Hübner, 1796)")</f>
        <v>Incurvaria oehlmanniella (Hübner, 1796)</v>
      </c>
      <c r="AH14178" s="4" t="str">
        <f>HYPERLINK("#Statut_biogéographique!A"&amp;_xlfn.XMATCH("P",Statut_biogéographique!A:A,2,1),"P")</f>
        <v>P</v>
      </c>
      <c r="AP14178" s="4" t="s">
        <v>376</v>
      </c>
      <c r="AR14178" s="4" t="s">
        <v>377</v>
      </c>
    </row>
    <row r="14179" spans="1:44" ht="30">
      <c r="A14179" s="4" t="s">
        <v>10753</v>
      </c>
      <c r="B14179" s="4">
        <v>245372</v>
      </c>
      <c r="D14179" s="5" t="s">
        <v>16811</v>
      </c>
      <c r="E14179" s="6" t="str">
        <f>HYPERLINK("https://inpn.mnhn.fr/espece/cd_nom/245372","Incurvaria praelatella (Denis &amp; Schiffermüller, 1775)")</f>
        <v>Incurvaria praelatella (Denis &amp; Schiffermüller, 1775)</v>
      </c>
      <c r="AH14179" s="4" t="str">
        <f>HYPERLINK("#Statut_biogéographique!A"&amp;_xlfn.XMATCH("P",Statut_biogéographique!A:A,2,1),"P")</f>
        <v>P</v>
      </c>
      <c r="AP14179" s="4" t="s">
        <v>376</v>
      </c>
      <c r="AR14179" s="4" t="s">
        <v>377</v>
      </c>
    </row>
    <row r="14180" spans="1:44">
      <c r="A14180" s="4" t="s">
        <v>10753</v>
      </c>
      <c r="B14180" s="4">
        <v>245376</v>
      </c>
      <c r="D14180" s="5" t="s">
        <v>16812</v>
      </c>
      <c r="E14180" s="6" t="str">
        <f>HYPERLINK("https://inpn.mnhn.fr/espece/cd_nom/245376","Tischeria ekebladella (Bjerkander, 1795)")</f>
        <v>Tischeria ekebladella (Bjerkander, 1795)</v>
      </c>
      <c r="AH14180" s="4" t="str">
        <f>HYPERLINK("#Statut_biogéographique!A"&amp;_xlfn.XMATCH("P",Statut_biogéographique!A:A,2,1),"P")</f>
        <v>P</v>
      </c>
      <c r="AP14180" s="4" t="s">
        <v>376</v>
      </c>
      <c r="AR14180" s="4" t="s">
        <v>377</v>
      </c>
    </row>
    <row r="14181" spans="1:44">
      <c r="A14181" s="4" t="s">
        <v>10753</v>
      </c>
      <c r="B14181" s="4">
        <v>245377</v>
      </c>
      <c r="D14181" s="5">
        <v>245377</v>
      </c>
      <c r="E14181" s="6" t="str">
        <f>HYPERLINK("https://inpn.mnhn.fr/espece/cd_nom/245377","Tischeria dodonaea Stainton, 1858")</f>
        <v>Tischeria dodonaea Stainton, 1858</v>
      </c>
      <c r="AH14181" s="4" t="str">
        <f>HYPERLINK("#Statut_biogéographique!A"&amp;_xlfn.XMATCH("P",Statut_biogéographique!A:A,2,1),"P")</f>
        <v>P</v>
      </c>
      <c r="AP14181" s="4" t="s">
        <v>376</v>
      </c>
      <c r="AR14181" s="4" t="s">
        <v>377</v>
      </c>
    </row>
    <row r="14182" spans="1:44">
      <c r="A14182" s="4" t="s">
        <v>10753</v>
      </c>
      <c r="B14182" s="4">
        <v>245378</v>
      </c>
      <c r="D14182" s="5">
        <v>245378</v>
      </c>
      <c r="E14182" s="6" t="str">
        <f>HYPERLINK("https://inpn.mnhn.fr/espece/cd_nom/245378","Tischeria decidua Wocke, 1876")</f>
        <v>Tischeria decidua Wocke, 1876</v>
      </c>
      <c r="AH14182" s="4" t="str">
        <f>HYPERLINK("#Statut_biogéographique!A"&amp;_xlfn.XMATCH("P",Statut_biogéographique!A:A,2,1),"P")</f>
        <v>P</v>
      </c>
      <c r="AP14182" s="4" t="s">
        <v>376</v>
      </c>
      <c r="AR14182" s="4" t="s">
        <v>377</v>
      </c>
    </row>
    <row r="14183" spans="1:44">
      <c r="A14183" s="4" t="s">
        <v>10753</v>
      </c>
      <c r="B14183" s="4">
        <v>245379</v>
      </c>
      <c r="D14183" s="5" t="s">
        <v>16813</v>
      </c>
      <c r="E14183" s="6" t="str">
        <f>HYPERLINK("https://inpn.mnhn.fr/espece/cd_nom/245379","Coptotriche marginea (Haworth, 1828)")</f>
        <v>Coptotriche marginea (Haworth, 1828)</v>
      </c>
      <c r="AH14183" s="4" t="str">
        <f>HYPERLINK("#Statut_biogéographique!A"&amp;_xlfn.XMATCH("P",Statut_biogéographique!A:A,2,1),"P")</f>
        <v>P</v>
      </c>
      <c r="AP14183" s="4" t="s">
        <v>376</v>
      </c>
      <c r="AR14183" s="4" t="s">
        <v>377</v>
      </c>
    </row>
    <row r="14184" spans="1:44">
      <c r="A14184" s="4" t="s">
        <v>10753</v>
      </c>
      <c r="B14184" s="4">
        <v>245380</v>
      </c>
      <c r="D14184" s="5" t="s">
        <v>16814</v>
      </c>
      <c r="E14184" s="6" t="str">
        <f>HYPERLINK("https://inpn.mnhn.fr/espece/cd_nom/245380","Coptotriche heinemanni (Wocke, 1871)")</f>
        <v>Coptotriche heinemanni (Wocke, 1871)</v>
      </c>
      <c r="AH14184" s="4" t="str">
        <f>HYPERLINK("#Statut_biogéographique!A"&amp;_xlfn.XMATCH("P",Statut_biogéographique!A:A,2,1),"P")</f>
        <v>P</v>
      </c>
      <c r="AP14184" s="4" t="s">
        <v>376</v>
      </c>
      <c r="AR14184" s="4" t="s">
        <v>377</v>
      </c>
    </row>
    <row r="14185" spans="1:44">
      <c r="A14185" s="4" t="s">
        <v>10753</v>
      </c>
      <c r="B14185" s="4">
        <v>245381</v>
      </c>
      <c r="D14185" s="5" t="s">
        <v>16815</v>
      </c>
      <c r="E14185" s="6" t="str">
        <f>HYPERLINK("https://inpn.mnhn.fr/espece/cd_nom/245381","Coptotriche gaunacella (Duponchel, 1843)")</f>
        <v>Coptotriche gaunacella (Duponchel, 1843)</v>
      </c>
      <c r="AH14185" s="4" t="str">
        <f>HYPERLINK("#Statut_biogéographique!A"&amp;_xlfn.XMATCH("P",Statut_biogéographique!A:A,2,1),"P")</f>
        <v>P</v>
      </c>
      <c r="AP14185" s="4" t="s">
        <v>376</v>
      </c>
      <c r="AR14185" s="4" t="s">
        <v>377</v>
      </c>
    </row>
    <row r="14186" spans="1:44">
      <c r="A14186" s="4" t="s">
        <v>10753</v>
      </c>
      <c r="B14186" s="4">
        <v>245382</v>
      </c>
      <c r="D14186" s="5" t="s">
        <v>16816</v>
      </c>
      <c r="E14186" s="6" t="str">
        <f>HYPERLINK("https://inpn.mnhn.fr/espece/cd_nom/245382","Coptotriche angusticollella (Duponchel, 1843)")</f>
        <v>Coptotriche angusticollella (Duponchel, 1843)</v>
      </c>
      <c r="AH14186" s="4" t="str">
        <f>HYPERLINK("#Statut_biogéographique!A"&amp;_xlfn.XMATCH("P",Statut_biogéographique!A:A,2,1),"P")</f>
        <v>P</v>
      </c>
      <c r="AP14186" s="4" t="s">
        <v>376</v>
      </c>
      <c r="AR14186" s="4" t="s">
        <v>377</v>
      </c>
    </row>
    <row r="14187" spans="1:44" ht="30">
      <c r="A14187" s="4" t="s">
        <v>10753</v>
      </c>
      <c r="B14187" s="4">
        <v>245383</v>
      </c>
      <c r="D14187" s="5" t="s">
        <v>16817</v>
      </c>
      <c r="E14187" s="6" t="str">
        <f>HYPERLINK("https://inpn.mnhn.fr/espece/cd_nom/245383","Monopis laevigella (Denis &amp; Schiffermüller, 1775)")</f>
        <v>Monopis laevigella (Denis &amp; Schiffermüller, 1775)</v>
      </c>
      <c r="AH14187" s="4" t="str">
        <f>HYPERLINK("#Statut_biogéographique!A"&amp;_xlfn.XMATCH("P",Statut_biogéographique!A:A,2,1),"P")</f>
        <v>P</v>
      </c>
      <c r="AP14187" s="4" t="s">
        <v>376</v>
      </c>
      <c r="AR14187" s="4" t="s">
        <v>377</v>
      </c>
    </row>
    <row r="14188" spans="1:44">
      <c r="A14188" s="4" t="s">
        <v>10753</v>
      </c>
      <c r="B14188" s="4">
        <v>245384</v>
      </c>
      <c r="D14188" s="5" t="s">
        <v>16818</v>
      </c>
      <c r="E14188" s="6" t="str">
        <f>HYPERLINK("https://inpn.mnhn.fr/espece/cd_nom/245384","Monopis weaverella (Scott, 1858)")</f>
        <v>Monopis weaverella (Scott, 1858)</v>
      </c>
      <c r="AH14188" s="4" t="str">
        <f>HYPERLINK("#Statut_biogéographique!A"&amp;_xlfn.XMATCH("P",Statut_biogéographique!A:A,2,1),"P")</f>
        <v>P</v>
      </c>
      <c r="AP14188" s="4" t="s">
        <v>376</v>
      </c>
      <c r="AR14188" s="4" t="s">
        <v>377</v>
      </c>
    </row>
    <row r="14189" spans="1:44" ht="30">
      <c r="A14189" s="4" t="s">
        <v>10753</v>
      </c>
      <c r="B14189" s="4">
        <v>245385</v>
      </c>
      <c r="D14189" s="5" t="s">
        <v>16819</v>
      </c>
      <c r="E14189" s="6" t="str">
        <f>HYPERLINK("https://inpn.mnhn.fr/espece/cd_nom/245385","Monopis obviella (Denis &amp; Schiffermüller, 1775)")</f>
        <v>Monopis obviella (Denis &amp; Schiffermüller, 1775)</v>
      </c>
      <c r="AH14189" s="4" t="str">
        <f>HYPERLINK("#Statut_biogéographique!A"&amp;_xlfn.XMATCH("P",Statut_biogéographique!A:A,2,1),"P")</f>
        <v>P</v>
      </c>
      <c r="AP14189" s="4" t="s">
        <v>376</v>
      </c>
      <c r="AR14189" s="4" t="s">
        <v>377</v>
      </c>
    </row>
    <row r="14190" spans="1:44" ht="30">
      <c r="A14190" s="4" t="s">
        <v>10753</v>
      </c>
      <c r="B14190" s="4">
        <v>245386</v>
      </c>
      <c r="D14190" s="5" t="s">
        <v>16820</v>
      </c>
      <c r="E14190" s="6" t="str">
        <f>HYPERLINK("https://inpn.mnhn.fr/espece/cd_nom/245386","Monopis crocicapitella (Clemens, 1860)")</f>
        <v>Monopis crocicapitella (Clemens, 1860)</v>
      </c>
      <c r="AH14190" s="4" t="str">
        <f>HYPERLINK("#Statut_biogéographique!A"&amp;_xlfn.XMATCH("P",Statut_biogéographique!A:A,2,1),"P")</f>
        <v>P</v>
      </c>
      <c r="AP14190" s="4" t="s">
        <v>376</v>
      </c>
      <c r="AR14190" s="4" t="s">
        <v>377</v>
      </c>
    </row>
    <row r="14191" spans="1:44">
      <c r="A14191" s="4" t="s">
        <v>10753</v>
      </c>
      <c r="B14191" s="4">
        <v>245387</v>
      </c>
      <c r="D14191" s="5" t="s">
        <v>16821</v>
      </c>
      <c r="E14191" s="6" t="str">
        <f>HYPERLINK("https://inpn.mnhn.fr/espece/cd_nom/245387","Monopis imella (Hübner, 1813)")</f>
        <v>Monopis imella (Hübner, 1813)</v>
      </c>
      <c r="AH14191" s="4" t="str">
        <f>HYPERLINK("#Statut_biogéographique!A"&amp;_xlfn.XMATCH("P",Statut_biogéographique!A:A,2,1),"P")</f>
        <v>P</v>
      </c>
      <c r="AP14191" s="4" t="s">
        <v>376</v>
      </c>
      <c r="AR14191" s="4" t="s">
        <v>377</v>
      </c>
    </row>
    <row r="14192" spans="1:44">
      <c r="A14192" s="4" t="s">
        <v>10753</v>
      </c>
      <c r="B14192" s="4">
        <v>245388</v>
      </c>
      <c r="D14192" s="5" t="s">
        <v>16822</v>
      </c>
      <c r="E14192" s="6" t="str">
        <f>HYPERLINK("https://inpn.mnhn.fr/espece/cd_nom/245388","Monopis monachella (Hübner, 1796)")</f>
        <v>Monopis monachella (Hübner, 1796)</v>
      </c>
      <c r="AH14192" s="4" t="str">
        <f>HYPERLINK("#Statut_biogéographique!A"&amp;_xlfn.XMATCH("P",Statut_biogéographique!A:A,2,1),"P")</f>
        <v>P</v>
      </c>
      <c r="AP14192" s="4" t="s">
        <v>376</v>
      </c>
      <c r="AR14192" s="4" t="s">
        <v>377</v>
      </c>
    </row>
    <row r="14193" spans="1:44">
      <c r="A14193" s="4" t="s">
        <v>10753</v>
      </c>
      <c r="B14193" s="4">
        <v>245392</v>
      </c>
      <c r="D14193" s="5" t="s">
        <v>16823</v>
      </c>
      <c r="E14193" s="6" t="str">
        <f>HYPERLINK("https://inpn.mnhn.fr/espece/cd_nom/245392","Tinea pellionella (Linnaeus, 1758)")</f>
        <v>Tinea pellionella (Linnaeus, 1758)</v>
      </c>
      <c r="AH14193" s="4" t="str">
        <f>HYPERLINK("#Statut_biogéographique!A"&amp;_xlfn.XMATCH("P",Statut_biogéographique!A:A,2,1),"P")</f>
        <v>P</v>
      </c>
      <c r="AP14193" s="4" t="s">
        <v>376</v>
      </c>
      <c r="AR14193" s="4" t="s">
        <v>377</v>
      </c>
    </row>
    <row r="14194" spans="1:44">
      <c r="A14194" s="4" t="s">
        <v>10753</v>
      </c>
      <c r="B14194" s="4">
        <v>245398</v>
      </c>
      <c r="D14194" s="5" t="s">
        <v>16824</v>
      </c>
      <c r="E14194" s="6" t="str">
        <f>HYPERLINK("https://inpn.mnhn.fr/espece/cd_nom/245398","Tinea pallescentella Stainton, 1851")</f>
        <v>Tinea pallescentella Stainton, 1851</v>
      </c>
      <c r="AH14194" s="4" t="str">
        <f>HYPERLINK("#Statut_biogéographique!A"&amp;_xlfn.XMATCH("I",Statut_biogéographique!A:A,2,1),"I")</f>
        <v>I</v>
      </c>
      <c r="AP14194" s="4" t="s">
        <v>376</v>
      </c>
      <c r="AR14194" s="4" t="s">
        <v>377</v>
      </c>
    </row>
    <row r="14195" spans="1:44">
      <c r="A14195" s="4" t="s">
        <v>10753</v>
      </c>
      <c r="B14195" s="4">
        <v>24540</v>
      </c>
      <c r="D14195" s="5">
        <v>24540</v>
      </c>
      <c r="E14195" s="6" t="str">
        <f>HYPERLINK("https://inpn.mnhn.fr/espece/cd_nom/24540","Eumerus flavitarsis Zetterstedt, 1843")</f>
        <v>Eumerus flavitarsis Zetterstedt, 1843</v>
      </c>
      <c r="P14195" s="7" t="str">
        <f>HYPERLINK("#Liste_rouge!A"&amp;_xlfn.XMATCH("LC",Liste_rouge!A:A,2,1),"LC")</f>
        <v>LC</v>
      </c>
      <c r="AH14195" s="4" t="str">
        <f>HYPERLINK("#Statut_biogéographique!A"&amp;_xlfn.XMATCH("P",Statut_biogéographique!A:A,2,1),"P")</f>
        <v>P</v>
      </c>
      <c r="AP14195" s="4" t="s">
        <v>376</v>
      </c>
      <c r="AR14195" s="4" t="s">
        <v>377</v>
      </c>
    </row>
    <row r="14196" spans="1:44">
      <c r="A14196" s="4" t="s">
        <v>10753</v>
      </c>
      <c r="B14196" s="4">
        <v>245400</v>
      </c>
      <c r="D14196" s="5">
        <v>245400</v>
      </c>
      <c r="E14196" s="6" t="str">
        <f>HYPERLINK("https://inpn.mnhn.fr/espece/cd_nom/245400","Tinea semifulvella Haworth, 1828")</f>
        <v>Tinea semifulvella Haworth, 1828</v>
      </c>
      <c r="AH14196" s="4" t="str">
        <f>HYPERLINK("#Statut_biogéographique!A"&amp;_xlfn.XMATCH("P",Statut_biogéographique!A:A,2,1),"P")</f>
        <v>P</v>
      </c>
      <c r="AP14196" s="4" t="s">
        <v>376</v>
      </c>
      <c r="AR14196" s="4" t="s">
        <v>377</v>
      </c>
    </row>
    <row r="14197" spans="1:44">
      <c r="A14197" s="4" t="s">
        <v>10753</v>
      </c>
      <c r="B14197" s="4">
        <v>245401</v>
      </c>
      <c r="D14197" s="5" t="s">
        <v>16825</v>
      </c>
      <c r="E14197" s="6" t="str">
        <f>HYPERLINK("https://inpn.mnhn.fr/espece/cd_nom/245401","Tinea trinotella Thunberg, 1794")</f>
        <v>Tinea trinotella Thunberg, 1794</v>
      </c>
      <c r="AH14197" s="4" t="str">
        <f>HYPERLINK("#Statut_biogéographique!A"&amp;_xlfn.XMATCH("P",Statut_biogéographique!A:A,2,1),"P")</f>
        <v>P</v>
      </c>
      <c r="AP14197" s="4" t="s">
        <v>376</v>
      </c>
      <c r="AR14197" s="4" t="s">
        <v>377</v>
      </c>
    </row>
    <row r="14198" spans="1:44">
      <c r="A14198" s="4" t="s">
        <v>10753</v>
      </c>
      <c r="B14198" s="4">
        <v>245403</v>
      </c>
      <c r="D14198" s="5" t="s">
        <v>16826</v>
      </c>
      <c r="E14198" s="6" t="str">
        <f>HYPERLINK("https://inpn.mnhn.fr/espece/cd_nom/245403","Trichophaga tapetzella (Linnaeus, 1758)")</f>
        <v>Trichophaga tapetzella (Linnaeus, 1758)</v>
      </c>
      <c r="AH14198" s="4" t="str">
        <f>HYPERLINK("#Statut_biogéographique!A"&amp;_xlfn.XMATCH("I",Statut_biogéographique!A:A,2,1),"I")</f>
        <v>I</v>
      </c>
      <c r="AP14198" s="4" t="s">
        <v>376</v>
      </c>
      <c r="AR14198" s="4" t="s">
        <v>377</v>
      </c>
    </row>
    <row r="14199" spans="1:44">
      <c r="A14199" s="4" t="s">
        <v>10753</v>
      </c>
      <c r="B14199" s="4">
        <v>245405</v>
      </c>
      <c r="D14199" s="5" t="s">
        <v>16827</v>
      </c>
      <c r="E14199" s="6" t="str">
        <f>HYPERLINK("https://inpn.mnhn.fr/espece/cd_nom/245405","Cephimallota crassiflavella Bruand, 1851")</f>
        <v>Cephimallota crassiflavella Bruand, 1851</v>
      </c>
      <c r="AH14199" s="4" t="str">
        <f>HYPERLINK("#Statut_biogéographique!A"&amp;_xlfn.XMATCH("P",Statut_biogéographique!A:A,2,1),"P")</f>
        <v>P</v>
      </c>
      <c r="AP14199" s="4" t="s">
        <v>376</v>
      </c>
      <c r="AR14199" s="4" t="s">
        <v>377</v>
      </c>
    </row>
    <row r="14200" spans="1:44" ht="30">
      <c r="A14200" s="4" t="s">
        <v>10753</v>
      </c>
      <c r="B14200" s="4">
        <v>245409</v>
      </c>
      <c r="D14200" s="5" t="s">
        <v>16828</v>
      </c>
      <c r="E14200" s="6" t="str">
        <f>HYPERLINK("https://inpn.mnhn.fr/espece/cd_nom/245409","Nemapogon granella (Linnaeus, 1758)")</f>
        <v>Nemapogon granella (Linnaeus, 1758)</v>
      </c>
      <c r="AH14200" s="4" t="str">
        <f>HYPERLINK("#Statut_biogéographique!A"&amp;_xlfn.XMATCH("P",Statut_biogéographique!A:A,2,1),"P")</f>
        <v>P</v>
      </c>
      <c r="AP14200" s="4" t="s">
        <v>376</v>
      </c>
      <c r="AR14200" s="4" t="s">
        <v>377</v>
      </c>
    </row>
    <row r="14201" spans="1:44">
      <c r="A14201" s="4" t="s">
        <v>10753</v>
      </c>
      <c r="B14201" s="4">
        <v>245416</v>
      </c>
      <c r="D14201" s="5" t="s">
        <v>16829</v>
      </c>
      <c r="E14201" s="6" t="str">
        <f>HYPERLINK("https://inpn.mnhn.fr/espece/cd_nom/245416","Nemapogon clematella (Fabricius, 1781)")</f>
        <v>Nemapogon clematella (Fabricius, 1781)</v>
      </c>
      <c r="AH14201" s="4" t="str">
        <f>HYPERLINK("#Statut_biogéographique!A"&amp;_xlfn.XMATCH("P",Statut_biogéographique!A:A,2,1),"P")</f>
        <v>P</v>
      </c>
      <c r="AP14201" s="4" t="s">
        <v>376</v>
      </c>
      <c r="AR14201" s="4" t="s">
        <v>377</v>
      </c>
    </row>
    <row r="14202" spans="1:44">
      <c r="A14202" s="4" t="s">
        <v>10753</v>
      </c>
      <c r="B14202" s="4">
        <v>24542</v>
      </c>
      <c r="D14202" s="5">
        <v>24542</v>
      </c>
      <c r="E14202" s="6" t="str">
        <f>HYPERLINK("https://inpn.mnhn.fr/espece/cd_nom/24542","Eumerus ornatus Meigen, 1822")</f>
        <v>Eumerus ornatus Meigen, 1822</v>
      </c>
      <c r="P14202" s="7" t="str">
        <f>HYPERLINK("#Liste_rouge!A"&amp;_xlfn.XMATCH("LC",Liste_rouge!A:A,2,1),"LC")</f>
        <v>LC</v>
      </c>
      <c r="AH14202" s="4" t="str">
        <f>HYPERLINK("#Statut_biogéographique!A"&amp;_xlfn.XMATCH("P",Statut_biogéographique!A:A,2,1),"P")</f>
        <v>P</v>
      </c>
      <c r="AP14202" s="4" t="s">
        <v>376</v>
      </c>
      <c r="AR14202" s="4" t="s">
        <v>377</v>
      </c>
    </row>
    <row r="14203" spans="1:44">
      <c r="A14203" s="4" t="s">
        <v>10753</v>
      </c>
      <c r="B14203" s="4">
        <v>245422</v>
      </c>
      <c r="D14203" s="5" t="s">
        <v>16830</v>
      </c>
      <c r="E14203" s="6" t="str">
        <f>HYPERLINK("https://inpn.mnhn.fr/espece/cd_nom/245422","Triaxomera fulvimitrella (Sodoffsky, 1830)")</f>
        <v>Triaxomera fulvimitrella (Sodoffsky, 1830)</v>
      </c>
      <c r="AH14203" s="4" t="str">
        <f>HYPERLINK("#Statut_biogéographique!A"&amp;_xlfn.XMATCH("P",Statut_biogéographique!A:A,2,1),"P")</f>
        <v>P</v>
      </c>
      <c r="AP14203" s="4" t="s">
        <v>376</v>
      </c>
      <c r="AR14203" s="4" t="s">
        <v>377</v>
      </c>
    </row>
    <row r="14204" spans="1:44">
      <c r="A14204" s="4" t="s">
        <v>10753</v>
      </c>
      <c r="B14204" s="4">
        <v>245423</v>
      </c>
      <c r="D14204" s="5" t="s">
        <v>16831</v>
      </c>
      <c r="E14204" s="6" t="str">
        <f>HYPERLINK("https://inpn.mnhn.fr/espece/cd_nom/245423","Triaxomera parasitella (Hübner, 1796)")</f>
        <v>Triaxomera parasitella (Hübner, 1796)</v>
      </c>
      <c r="AH14204" s="4" t="str">
        <f>HYPERLINK("#Statut_biogéographique!A"&amp;_xlfn.XMATCH("P",Statut_biogéographique!A:A,2,1),"P")</f>
        <v>P</v>
      </c>
      <c r="AP14204" s="4" t="s">
        <v>376</v>
      </c>
      <c r="AR14204" s="4" t="s">
        <v>377</v>
      </c>
    </row>
    <row r="14205" spans="1:44" ht="30">
      <c r="A14205" s="4" t="s">
        <v>10753</v>
      </c>
      <c r="B14205" s="4">
        <v>245424</v>
      </c>
      <c r="D14205" s="5" t="s">
        <v>16832</v>
      </c>
      <c r="E14205" s="6" t="str">
        <f>HYPERLINK("https://inpn.mnhn.fr/espece/cd_nom/245424","Morophaga choragella (Denis &amp; Schiffermüller, 1775)")</f>
        <v>Morophaga choragella (Denis &amp; Schiffermüller, 1775)</v>
      </c>
      <c r="AH14205" s="4" t="str">
        <f>HYPERLINK("#Statut_biogéographique!A"&amp;_xlfn.XMATCH("P",Statut_biogéographique!A:A,2,1),"P")</f>
        <v>P</v>
      </c>
      <c r="AP14205" s="4" t="s">
        <v>376</v>
      </c>
      <c r="AR14205" s="4" t="s">
        <v>377</v>
      </c>
    </row>
    <row r="14206" spans="1:44">
      <c r="A14206" s="4" t="s">
        <v>10753</v>
      </c>
      <c r="B14206" s="4">
        <v>245429</v>
      </c>
      <c r="D14206" s="5" t="s">
        <v>16833</v>
      </c>
      <c r="E14206" s="6" t="str">
        <f>HYPERLINK("https://inpn.mnhn.fr/espece/cd_nom/245429","Ischnoscia borreonella (Millière, 1874)")</f>
        <v>Ischnoscia borreonella (Millière, 1874)</v>
      </c>
      <c r="AH14206" s="4" t="str">
        <f>HYPERLINK("#Statut_biogéographique!A"&amp;_xlfn.XMATCH("P",Statut_biogéographique!A:A,2,1),"P")</f>
        <v>P</v>
      </c>
      <c r="AP14206" s="4" t="s">
        <v>376</v>
      </c>
      <c r="AR14206" s="4" t="s">
        <v>377</v>
      </c>
    </row>
    <row r="14207" spans="1:44">
      <c r="A14207" s="4" t="s">
        <v>10753</v>
      </c>
      <c r="B14207" s="4">
        <v>245451</v>
      </c>
      <c r="D14207" s="5" t="s">
        <v>16834</v>
      </c>
      <c r="E14207" s="6" t="str">
        <f>HYPERLINK("https://inpn.mnhn.fr/espece/cd_nom/245451","Haplotinea insectella (Fabricius, 1794)")</f>
        <v>Haplotinea insectella (Fabricius, 1794)</v>
      </c>
      <c r="AH14207" s="4" t="str">
        <f>HYPERLINK("#Statut_biogéographique!A"&amp;_xlfn.XMATCH("P",Statut_biogéographique!A:A,2,1),"P")</f>
        <v>P</v>
      </c>
      <c r="AP14207" s="4" t="s">
        <v>376</v>
      </c>
      <c r="AR14207" s="4" t="s">
        <v>377</v>
      </c>
    </row>
    <row r="14208" spans="1:44">
      <c r="A14208" s="4" t="s">
        <v>10753</v>
      </c>
      <c r="B14208" s="4">
        <v>24546</v>
      </c>
      <c r="D14208" s="5">
        <v>24546</v>
      </c>
      <c r="E14208" s="6" t="str">
        <f>HYPERLINK("https://inpn.mnhn.fr/espece/cd_nom/24546","Eumerus tarsalis Loew, 1848")</f>
        <v>Eumerus tarsalis Loew, 1848</v>
      </c>
      <c r="P14208" s="7" t="str">
        <f>HYPERLINK("#Liste_rouge!A"&amp;_xlfn.XMATCH("EN",Liste_rouge!A:A,2,1),"EN")</f>
        <v>EN</v>
      </c>
      <c r="AH14208" s="4" t="str">
        <f>HYPERLINK("#Statut_biogéographique!A"&amp;_xlfn.XMATCH("P",Statut_biogéographique!A:A,2,1),"P")</f>
        <v>P</v>
      </c>
      <c r="AP14208" s="4" t="s">
        <v>376</v>
      </c>
      <c r="AR14208" s="4" t="s">
        <v>377</v>
      </c>
    </row>
    <row r="14209" spans="1:44">
      <c r="A14209" s="4" t="s">
        <v>10753</v>
      </c>
      <c r="B14209" s="4">
        <v>245464</v>
      </c>
      <c r="D14209" s="5" t="s">
        <v>16835</v>
      </c>
      <c r="E14209" s="6" t="str">
        <f>HYPERLINK("https://inpn.mnhn.fr/espece/cd_nom/245464","Taleporia tubulosa (Retzius, 1783)")</f>
        <v>Taleporia tubulosa (Retzius, 1783)</v>
      </c>
      <c r="AH14209" s="4" t="str">
        <f>HYPERLINK("#Statut_biogéographique!A"&amp;_xlfn.XMATCH("P",Statut_biogéographique!A:A,2,1),"P")</f>
        <v>P</v>
      </c>
      <c r="AP14209" s="4" t="s">
        <v>376</v>
      </c>
      <c r="AR14209" s="4" t="s">
        <v>377</v>
      </c>
    </row>
    <row r="14210" spans="1:44">
      <c r="A14210" s="4" t="s">
        <v>10753</v>
      </c>
      <c r="B14210" s="4">
        <v>24547</v>
      </c>
      <c r="D14210" s="5" t="s">
        <v>16836</v>
      </c>
      <c r="E14210" s="6" t="str">
        <f>HYPERLINK("https://inpn.mnhn.fr/espece/cd_nom/24547","Eumerus tricolor (Fabricius, 1798)")</f>
        <v>Eumerus tricolor (Fabricius, 1798)</v>
      </c>
      <c r="P14210" s="7" t="str">
        <f>HYPERLINK("#Liste_rouge!A"&amp;_xlfn.XMATCH("LC",Liste_rouge!A:A,2,1),"LC")</f>
        <v>LC</v>
      </c>
      <c r="AH14210" s="4" t="str">
        <f>HYPERLINK("#Statut_biogéographique!A"&amp;_xlfn.XMATCH("P",Statut_biogéographique!A:A,2,1),"P")</f>
        <v>P</v>
      </c>
      <c r="AP14210" s="4" t="s">
        <v>376</v>
      </c>
      <c r="AR14210" s="4" t="s">
        <v>377</v>
      </c>
    </row>
    <row r="14211" spans="1:44">
      <c r="A14211" s="4" t="s">
        <v>10753</v>
      </c>
      <c r="B14211" s="4">
        <v>245472</v>
      </c>
      <c r="D14211" s="5" t="s">
        <v>16837</v>
      </c>
      <c r="E14211" s="6" t="str">
        <f>HYPERLINK("https://inpn.mnhn.fr/espece/cd_nom/245472","Psyche casta (Pallas, 1767)")</f>
        <v>Psyche casta (Pallas, 1767)</v>
      </c>
      <c r="AH14211" s="4" t="str">
        <f>HYPERLINK("#Statut_biogéographique!A"&amp;_xlfn.XMATCH("P",Statut_biogéographique!A:A,2,1),"P")</f>
        <v>P</v>
      </c>
      <c r="AP14211" s="4" t="s">
        <v>376</v>
      </c>
      <c r="AR14211" s="4" t="s">
        <v>377</v>
      </c>
    </row>
    <row r="14212" spans="1:44">
      <c r="A14212" s="4" t="s">
        <v>10753</v>
      </c>
      <c r="B14212" s="4">
        <v>245473</v>
      </c>
      <c r="D14212" s="5" t="s">
        <v>16838</v>
      </c>
      <c r="E14212" s="6" t="str">
        <f>HYPERLINK("https://inpn.mnhn.fr/espece/cd_nom/245473","Psyche crassiorella Bruand, 1851")</f>
        <v>Psyche crassiorella Bruand, 1851</v>
      </c>
      <c r="AH14212" s="4" t="str">
        <f>HYPERLINK("#Statut_biogéographique!A"&amp;_xlfn.XMATCH("P",Statut_biogéographique!A:A,2,1),"P")</f>
        <v>P</v>
      </c>
      <c r="AP14212" s="4" t="s">
        <v>376</v>
      </c>
      <c r="AR14212" s="4" t="s">
        <v>377</v>
      </c>
    </row>
    <row r="14213" spans="1:44" ht="30">
      <c r="A14213" s="4" t="s">
        <v>10753</v>
      </c>
      <c r="B14213" s="4">
        <v>245477</v>
      </c>
      <c r="D14213" s="5" t="s">
        <v>16839</v>
      </c>
      <c r="E14213" s="6" t="str">
        <f>HYPERLINK("https://inpn.mnhn.fr/espece/cd_nom/245477","Luffia lapidella (Goeze, 1783)")</f>
        <v>Luffia lapidella (Goeze, 1783)</v>
      </c>
      <c r="AH14213" s="4" t="str">
        <f>HYPERLINK("#Statut_biogéographique!A"&amp;_xlfn.XMATCH("P",Statut_biogéographique!A:A,2,1),"P")</f>
        <v>P</v>
      </c>
      <c r="AP14213" s="4" t="s">
        <v>376</v>
      </c>
      <c r="AR14213" s="4" t="s">
        <v>377</v>
      </c>
    </row>
    <row r="14214" spans="1:44" ht="30">
      <c r="A14214" s="4" t="s">
        <v>10753</v>
      </c>
      <c r="B14214" s="4">
        <v>245484</v>
      </c>
      <c r="D14214" s="5" t="s">
        <v>16840</v>
      </c>
      <c r="E14214" s="6" t="str">
        <f>HYPERLINK("https://inpn.mnhn.fr/espece/cd_nom/245484","Canephora hirsuta (Poda, 1761)")</f>
        <v>Canephora hirsuta (Poda, 1761)</v>
      </c>
      <c r="AH14214" s="4" t="str">
        <f>HYPERLINK("#Statut_biogéographique!A"&amp;_xlfn.XMATCH("P",Statut_biogéographique!A:A,2,1),"P")</f>
        <v>P</v>
      </c>
      <c r="AP14214" s="4" t="s">
        <v>376</v>
      </c>
      <c r="AR14214" s="4" t="s">
        <v>377</v>
      </c>
    </row>
    <row r="14215" spans="1:44">
      <c r="A14215" s="4" t="s">
        <v>10753</v>
      </c>
      <c r="B14215" s="4">
        <v>245486</v>
      </c>
      <c r="D14215" s="5" t="s">
        <v>16841</v>
      </c>
      <c r="E14215" s="6" t="str">
        <f>HYPERLINK("https://inpn.mnhn.fr/espece/cd_nom/245486","Eumasia parietariella (Heydenreich, 1851)")</f>
        <v>Eumasia parietariella (Heydenreich, 1851)</v>
      </c>
      <c r="AH14215" s="4" t="str">
        <f>HYPERLINK("#Statut_biogéographique!A"&amp;_xlfn.XMATCH("P",Statut_biogéographique!A:A,2,1),"P")</f>
        <v>P</v>
      </c>
      <c r="AP14215" s="4" t="s">
        <v>376</v>
      </c>
      <c r="AR14215" s="4" t="s">
        <v>377</v>
      </c>
    </row>
    <row r="14216" spans="1:44" ht="30">
      <c r="A14216" s="4" t="s">
        <v>10753</v>
      </c>
      <c r="B14216" s="4">
        <v>245491</v>
      </c>
      <c r="D14216" s="5" t="s">
        <v>16842</v>
      </c>
      <c r="E14216" s="6" t="str">
        <f>HYPERLINK("https://inpn.mnhn.fr/espece/cd_nom/245491","Ptilocephala albida (Esper, 1786)")</f>
        <v>Ptilocephala albida (Esper, 1786)</v>
      </c>
      <c r="AH14216" s="4" t="str">
        <f>HYPERLINK("#Statut_biogéographique!A"&amp;_xlfn.XMATCH("P",Statut_biogéographique!A:A,2,1),"P")</f>
        <v>P</v>
      </c>
      <c r="AP14216" s="4" t="s">
        <v>376</v>
      </c>
      <c r="AR14216" s="4" t="s">
        <v>377</v>
      </c>
    </row>
    <row r="14217" spans="1:44" ht="30">
      <c r="A14217" s="4" t="s">
        <v>10753</v>
      </c>
      <c r="B14217" s="4">
        <v>24550</v>
      </c>
      <c r="D14217" s="5" t="s">
        <v>16843</v>
      </c>
      <c r="E14217" s="6" t="str">
        <f>HYPERLINK("https://inpn.mnhn.fr/espece/cd_nom/24550","Microdon devius (Linnaeus, 1761)")</f>
        <v>Microdon devius (Linnaeus, 1761)</v>
      </c>
      <c r="P14217" s="7" t="str">
        <f>HYPERLINK("#Liste_rouge!A"&amp;_xlfn.XMATCH("NT",Liste_rouge!A:A,2,1),"NT")</f>
        <v>NT</v>
      </c>
      <c r="AH14217" s="4" t="str">
        <f>HYPERLINK("#Statut_biogéographique!A"&amp;_xlfn.XMATCH("P",Statut_biogéographique!A:A,2,1),"P")</f>
        <v>P</v>
      </c>
      <c r="AP14217" s="4" t="s">
        <v>376</v>
      </c>
      <c r="AR14217" s="4" t="s">
        <v>377</v>
      </c>
    </row>
    <row r="14218" spans="1:44">
      <c r="A14218" s="4" t="s">
        <v>10753</v>
      </c>
      <c r="B14218" s="4">
        <v>245503</v>
      </c>
      <c r="D14218" s="5" t="s">
        <v>16844</v>
      </c>
      <c r="E14218" s="6" t="str">
        <f>HYPERLINK("https://inpn.mnhn.fr/espece/cd_nom/245503","Sterrhopterix fusca (Haworth, 1809)")</f>
        <v>Sterrhopterix fusca (Haworth, 1809)</v>
      </c>
      <c r="AH14218" s="4" t="str">
        <f>HYPERLINK("#Statut_biogéographique!A"&amp;_xlfn.XMATCH("P",Statut_biogéographique!A:A,2,1),"P")</f>
        <v>P</v>
      </c>
      <c r="AP14218" s="4" t="s">
        <v>376</v>
      </c>
      <c r="AR14218" s="4" t="s">
        <v>377</v>
      </c>
    </row>
    <row r="14219" spans="1:44">
      <c r="A14219" s="4" t="s">
        <v>10753</v>
      </c>
      <c r="B14219" s="4">
        <v>245517</v>
      </c>
      <c r="D14219" s="5" t="s">
        <v>16845</v>
      </c>
      <c r="E14219" s="6" t="str">
        <f>HYPERLINK("https://inpn.mnhn.fr/espece/cd_nom/245517","Dahlica sauteri (Hättenschwiler, 1977)")</f>
        <v>Dahlica sauteri (Hättenschwiler, 1977)</v>
      </c>
      <c r="AH14219" s="4" t="str">
        <f>HYPERLINK("#Statut_biogéographique!A"&amp;_xlfn.XMATCH("P",Statut_biogéographique!A:A,2,1),"P")</f>
        <v>P</v>
      </c>
      <c r="AP14219" s="4" t="s">
        <v>376</v>
      </c>
      <c r="AR14219" s="4" t="s">
        <v>377</v>
      </c>
    </row>
    <row r="14220" spans="1:44">
      <c r="A14220" s="4" t="s">
        <v>10753</v>
      </c>
      <c r="B14220" s="4">
        <v>24552</v>
      </c>
      <c r="D14220" s="5" t="s">
        <v>16846</v>
      </c>
      <c r="E14220" s="6" t="str">
        <f>HYPERLINK("https://inpn.mnhn.fr/espece/cd_nom/24552","Microdon mutabilis (Linnaeus, 1758)")</f>
        <v>Microdon mutabilis (Linnaeus, 1758)</v>
      </c>
      <c r="P14220" s="7" t="str">
        <f>HYPERLINK("#Liste_rouge!A"&amp;_xlfn.XMATCH("VU",Liste_rouge!A:A,2,1),"VU")</f>
        <v>VU</v>
      </c>
      <c r="AH14220" s="4" t="str">
        <f>HYPERLINK("#Statut_biogéographique!A"&amp;_xlfn.XMATCH("D",Statut_biogéographique!A:A,2,1),"D")</f>
        <v>D</v>
      </c>
      <c r="AP14220" s="4" t="s">
        <v>376</v>
      </c>
      <c r="AR14220" s="4" t="s">
        <v>377</v>
      </c>
    </row>
    <row r="14221" spans="1:44">
      <c r="A14221" s="4" t="s">
        <v>10753</v>
      </c>
      <c r="B14221" s="4">
        <v>245520</v>
      </c>
      <c r="D14221" s="5" t="s">
        <v>16847</v>
      </c>
      <c r="E14221" s="6" t="str">
        <f>HYPERLINK("https://inpn.mnhn.fr/espece/cd_nom/245520","Narycia duplicella (Goeze, 1783)")</f>
        <v>Narycia duplicella (Goeze, 1783)</v>
      </c>
      <c r="AH14221" s="4" t="str">
        <f>HYPERLINK("#Statut_biogéographique!A"&amp;_xlfn.XMATCH("P",Statut_biogéographique!A:A,2,1),"P")</f>
        <v>P</v>
      </c>
      <c r="AP14221" s="4" t="s">
        <v>376</v>
      </c>
      <c r="AR14221" s="4" t="s">
        <v>377</v>
      </c>
    </row>
    <row r="14222" spans="1:44" ht="30">
      <c r="A14222" s="4" t="s">
        <v>10753</v>
      </c>
      <c r="B14222" s="4">
        <v>245529</v>
      </c>
      <c r="D14222" s="5" t="s">
        <v>16848</v>
      </c>
      <c r="E14222" s="6" t="str">
        <f>HYPERLINK("https://inpn.mnhn.fr/espece/cd_nom/245529","Epichnopterix plumella (Denis &amp; Schiffermüller, 1775)")</f>
        <v>Epichnopterix plumella (Denis &amp; Schiffermüller, 1775)</v>
      </c>
      <c r="AH14222" s="4" t="str">
        <f>HYPERLINK("#Statut_biogéographique!A"&amp;_xlfn.XMATCH("P",Statut_biogéographique!A:A,2,1),"P")</f>
        <v>P</v>
      </c>
      <c r="AP14222" s="4" t="s">
        <v>376</v>
      </c>
      <c r="AR14222" s="4" t="s">
        <v>377</v>
      </c>
    </row>
    <row r="14223" spans="1:44" ht="30">
      <c r="A14223" s="4" t="s">
        <v>10753</v>
      </c>
      <c r="B14223" s="4">
        <v>245532</v>
      </c>
      <c r="D14223" s="5" t="s">
        <v>16849</v>
      </c>
      <c r="E14223" s="6" t="str">
        <f>HYPERLINK("https://inpn.mnhn.fr/espece/cd_nom/245532","Bijugis bombycella (Denis &amp; Schiffermüller, 1775)")</f>
        <v>Bijugis bombycella (Denis &amp; Schiffermüller, 1775)</v>
      </c>
      <c r="AH14223" s="4" t="str">
        <f>HYPERLINK("#Statut_biogéographique!A"&amp;_xlfn.XMATCH("P",Statut_biogéographique!A:A,2,1),"P")</f>
        <v>P</v>
      </c>
      <c r="AP14223" s="4" t="s">
        <v>376</v>
      </c>
      <c r="AR14223" s="4" t="s">
        <v>377</v>
      </c>
    </row>
    <row r="14224" spans="1:44">
      <c r="A14224" s="4" t="s">
        <v>10753</v>
      </c>
      <c r="B14224" s="4">
        <v>245535</v>
      </c>
      <c r="D14224" s="5" t="s">
        <v>16850</v>
      </c>
      <c r="E14224" s="6" t="str">
        <f>HYPERLINK("https://inpn.mnhn.fr/espece/cd_nom/245535","Roeslerstammia erxlebella (Fabricius, 1787)")</f>
        <v>Roeslerstammia erxlebella (Fabricius, 1787)</v>
      </c>
      <c r="AH14224" s="4" t="str">
        <f>HYPERLINK("#Statut_biogéographique!A"&amp;_xlfn.XMATCH("P",Statut_biogéographique!A:A,2,1),"P")</f>
        <v>P</v>
      </c>
      <c r="AP14224" s="4" t="s">
        <v>376</v>
      </c>
      <c r="AR14224" s="4" t="s">
        <v>377</v>
      </c>
    </row>
    <row r="14225" spans="1:44">
      <c r="A14225" s="4" t="s">
        <v>10753</v>
      </c>
      <c r="B14225" s="4">
        <v>245537</v>
      </c>
      <c r="D14225" s="5" t="s">
        <v>16851</v>
      </c>
      <c r="E14225" s="6" t="str">
        <f>HYPERLINK("https://inpn.mnhn.fr/espece/cd_nom/245537","Tinagma perdicella (Zeller, 1839)")</f>
        <v>Tinagma perdicella (Zeller, 1839)</v>
      </c>
      <c r="AH14225" s="4" t="str">
        <f>HYPERLINK("#Statut_biogéographique!A"&amp;_xlfn.XMATCH("P",Statut_biogéographique!A:A,2,1),"P")</f>
        <v>P</v>
      </c>
      <c r="AP14225" s="4" t="s">
        <v>376</v>
      </c>
      <c r="AR14225" s="4" t="s">
        <v>377</v>
      </c>
    </row>
    <row r="14226" spans="1:44">
      <c r="A14226" s="4" t="s">
        <v>10753</v>
      </c>
      <c r="B14226" s="4">
        <v>245544</v>
      </c>
      <c r="D14226" s="5" t="s">
        <v>16852</v>
      </c>
      <c r="E14226" s="6" t="str">
        <f>HYPERLINK("https://inpn.mnhn.fr/espece/cd_nom/245544","Bucculatrix albedinella (Zeller, 1839)")</f>
        <v>Bucculatrix albedinella (Zeller, 1839)</v>
      </c>
      <c r="AH14226" s="4" t="str">
        <f>HYPERLINK("#Statut_biogéographique!A"&amp;_xlfn.XMATCH("P",Statut_biogéographique!A:A,2,1),"P")</f>
        <v>P</v>
      </c>
      <c r="AP14226" s="4" t="s">
        <v>376</v>
      </c>
      <c r="AR14226" s="4" t="s">
        <v>377</v>
      </c>
    </row>
    <row r="14227" spans="1:44" ht="30">
      <c r="A14227" s="4" t="s">
        <v>10753</v>
      </c>
      <c r="B14227" s="4">
        <v>245549</v>
      </c>
      <c r="D14227" s="5" t="s">
        <v>16853</v>
      </c>
      <c r="E14227" s="6" t="str">
        <f>HYPERLINK("https://inpn.mnhn.fr/espece/cd_nom/245549","Bucculatrix bechsteinella (Bechstein &amp; Scharfenberg, 1805)")</f>
        <v>Bucculatrix bechsteinella (Bechstein &amp; Scharfenberg, 1805)</v>
      </c>
      <c r="AH14227" s="4" t="str">
        <f>HYPERLINK("#Statut_biogéographique!A"&amp;_xlfn.XMATCH("P",Statut_biogéographique!A:A,2,1),"P")</f>
        <v>P</v>
      </c>
      <c r="AP14227" s="4" t="s">
        <v>376</v>
      </c>
      <c r="AR14227" s="4" t="s">
        <v>377</v>
      </c>
    </row>
    <row r="14228" spans="1:44">
      <c r="A14228" s="4" t="s">
        <v>10753</v>
      </c>
      <c r="B14228" s="4">
        <v>245553</v>
      </c>
      <c r="D14228" s="5" t="s">
        <v>16854</v>
      </c>
      <c r="E14228" s="6" t="str">
        <f>HYPERLINK("https://inpn.mnhn.fr/espece/cd_nom/245553","Bucculatrix demaryella (Duponchel, 1840)")</f>
        <v>Bucculatrix demaryella (Duponchel, 1840)</v>
      </c>
      <c r="AH14228" s="4" t="str">
        <f>HYPERLINK("#Statut_biogéographique!A"&amp;_xlfn.XMATCH("P",Statut_biogéographique!A:A,2,1),"P")</f>
        <v>P</v>
      </c>
      <c r="AP14228" s="4" t="s">
        <v>376</v>
      </c>
      <c r="AR14228" s="4" t="s">
        <v>377</v>
      </c>
    </row>
    <row r="14229" spans="1:44">
      <c r="A14229" s="4" t="s">
        <v>10753</v>
      </c>
      <c r="B14229" s="4">
        <v>245557</v>
      </c>
      <c r="D14229" s="5" t="s">
        <v>16855</v>
      </c>
      <c r="E14229" s="6" t="str">
        <f>HYPERLINK("https://inpn.mnhn.fr/espece/cd_nom/245557","Bucculatrix frangutella (Goeze, 1783)")</f>
        <v>Bucculatrix frangutella (Goeze, 1783)</v>
      </c>
      <c r="AH14229" s="4" t="str">
        <f>HYPERLINK("#Statut_biogéographique!A"&amp;_xlfn.XMATCH("P",Statut_biogéographique!A:A,2,1),"P")</f>
        <v>P</v>
      </c>
      <c r="AP14229" s="4" t="s">
        <v>376</v>
      </c>
      <c r="AR14229" s="4" t="s">
        <v>377</v>
      </c>
    </row>
    <row r="14230" spans="1:44" ht="30">
      <c r="A14230" s="4" t="s">
        <v>10753</v>
      </c>
      <c r="B14230" s="4">
        <v>24556</v>
      </c>
      <c r="D14230" s="5" t="s">
        <v>16856</v>
      </c>
      <c r="E14230" s="6" t="str">
        <f>HYPERLINK("https://inpn.mnhn.fr/espece/cd_nom/24556","Neoascia meticulosa (Scopoli, 1763)")</f>
        <v>Neoascia meticulosa (Scopoli, 1763)</v>
      </c>
      <c r="P14230" s="7" t="str">
        <f>HYPERLINK("#Liste_rouge!A"&amp;_xlfn.XMATCH("LC",Liste_rouge!A:A,2,1),"LC")</f>
        <v>LC</v>
      </c>
      <c r="AH14230" s="4" t="str">
        <f>HYPERLINK("#Statut_biogéographique!A"&amp;_xlfn.XMATCH("P",Statut_biogéographique!A:A,2,1),"P")</f>
        <v>P</v>
      </c>
      <c r="AP14230" s="4" t="s">
        <v>376</v>
      </c>
      <c r="AR14230" s="4" t="s">
        <v>377</v>
      </c>
    </row>
    <row r="14231" spans="1:44">
      <c r="A14231" s="4" t="s">
        <v>10753</v>
      </c>
      <c r="B14231" s="4">
        <v>245567</v>
      </c>
      <c r="D14231" s="5" t="s">
        <v>16857</v>
      </c>
      <c r="E14231" s="6" t="str">
        <f>HYPERLINK("https://inpn.mnhn.fr/espece/cd_nom/245567","Bucculatrix thoracella (Thunberg, 1794)")</f>
        <v>Bucculatrix thoracella (Thunberg, 1794)</v>
      </c>
      <c r="AH14231" s="4" t="str">
        <f>HYPERLINK("#Statut_biogéographique!A"&amp;_xlfn.XMATCH("P",Statut_biogéographique!A:A,2,1),"P")</f>
        <v>P</v>
      </c>
      <c r="AP14231" s="4" t="s">
        <v>376</v>
      </c>
      <c r="AR14231" s="4" t="s">
        <v>377</v>
      </c>
    </row>
    <row r="14232" spans="1:44">
      <c r="A14232" s="4" t="s">
        <v>10753</v>
      </c>
      <c r="B14232" s="4">
        <v>245568</v>
      </c>
      <c r="D14232" s="5">
        <v>245568</v>
      </c>
      <c r="E14232" s="6" t="str">
        <f>HYPERLINK("https://inpn.mnhn.fr/espece/cd_nom/245568","Bucculatrix ulmella Zeller, 1848")</f>
        <v>Bucculatrix ulmella Zeller, 1848</v>
      </c>
      <c r="AH14232" s="4" t="str">
        <f>HYPERLINK("#Statut_biogéographique!A"&amp;_xlfn.XMATCH("P",Statut_biogéographique!A:A,2,1),"P")</f>
        <v>P</v>
      </c>
      <c r="AP14232" s="4" t="s">
        <v>376</v>
      </c>
      <c r="AR14232" s="4" t="s">
        <v>377</v>
      </c>
    </row>
    <row r="14233" spans="1:44">
      <c r="A14233" s="4" t="s">
        <v>10753</v>
      </c>
      <c r="B14233" s="4">
        <v>245570</v>
      </c>
      <c r="D14233" s="5" t="s">
        <v>16858</v>
      </c>
      <c r="E14233" s="6" t="str">
        <f>HYPERLINK("https://inpn.mnhn.fr/espece/cd_nom/245570","Phyllocnistis saligna (Zeller, 1839)")</f>
        <v>Phyllocnistis saligna (Zeller, 1839)</v>
      </c>
      <c r="AH14233" s="4" t="str">
        <f>HYPERLINK("#Statut_biogéographique!A"&amp;_xlfn.XMATCH("P",Statut_biogéographique!A:A,2,1),"P")</f>
        <v>P</v>
      </c>
      <c r="AP14233" s="4" t="s">
        <v>376</v>
      </c>
      <c r="AR14233" s="4" t="s">
        <v>377</v>
      </c>
    </row>
    <row r="14234" spans="1:44">
      <c r="A14234" s="4" t="s">
        <v>10753</v>
      </c>
      <c r="B14234" s="4">
        <v>245571</v>
      </c>
      <c r="D14234" s="5" t="s">
        <v>16859</v>
      </c>
      <c r="E14234" s="6" t="str">
        <f>HYPERLINK("https://inpn.mnhn.fr/espece/cd_nom/245571","Phyllocnistis unipunctella (Stephens, 1834)")</f>
        <v>Phyllocnistis unipunctella (Stephens, 1834)</v>
      </c>
      <c r="AH14234" s="4" t="str">
        <f>HYPERLINK("#Statut_biogéographique!A"&amp;_xlfn.XMATCH("P",Statut_biogéographique!A:A,2,1),"P")</f>
        <v>P</v>
      </c>
      <c r="AP14234" s="4" t="s">
        <v>376</v>
      </c>
      <c r="AR14234" s="4" t="s">
        <v>377</v>
      </c>
    </row>
    <row r="14235" spans="1:44" ht="30">
      <c r="A14235" s="4" t="s">
        <v>10753</v>
      </c>
      <c r="B14235" s="4">
        <v>245573</v>
      </c>
      <c r="D14235" s="5">
        <v>245573</v>
      </c>
      <c r="E14235" s="6" t="str">
        <f>HYPERLINK("https://inpn.mnhn.fr/espece/cd_nom/245573","Cameraria ohridella Deschka &amp; Dimić, 1986")</f>
        <v>Cameraria ohridella Deschka &amp; Dimić, 1986</v>
      </c>
      <c r="F14235" s="5" t="s">
        <v>16860</v>
      </c>
      <c r="AH14235" s="4" t="str">
        <f>HYPERLINK("#Statut_biogéographique!A"&amp;_xlfn.XMATCH("I",Statut_biogéographique!A:A,2,1),"I")</f>
        <v>I</v>
      </c>
      <c r="AP14235" s="4" t="s">
        <v>376</v>
      </c>
      <c r="AR14235" s="4" t="s">
        <v>377</v>
      </c>
    </row>
    <row r="14236" spans="1:44">
      <c r="A14236" s="4" t="s">
        <v>10753</v>
      </c>
      <c r="B14236" s="4">
        <v>245574</v>
      </c>
      <c r="D14236" s="5" t="s">
        <v>16861</v>
      </c>
      <c r="E14236" s="6" t="str">
        <f>HYPERLINK("https://inpn.mnhn.fr/espece/cd_nom/245574","Phyllonorycter abrasella (Duponchel, 1843)")</f>
        <v>Phyllonorycter abrasella (Duponchel, 1843)</v>
      </c>
      <c r="AH14236" s="4" t="str">
        <f>HYPERLINK("#Statut_biogéographique!A"&amp;_xlfn.XMATCH("P",Statut_biogéographique!A:A,2,1),"P")</f>
        <v>P</v>
      </c>
      <c r="AP14236" s="4" t="s">
        <v>376</v>
      </c>
      <c r="AR14236" s="4" t="s">
        <v>377</v>
      </c>
    </row>
    <row r="14237" spans="1:44">
      <c r="A14237" s="4" t="s">
        <v>10753</v>
      </c>
      <c r="B14237" s="4">
        <v>245576</v>
      </c>
      <c r="D14237" s="5" t="s">
        <v>16862</v>
      </c>
      <c r="E14237" s="6" t="str">
        <f>HYPERLINK("https://inpn.mnhn.fr/espece/cd_nom/245576","Phyllonorycter acerifoliella (Zeller, 1839)")</f>
        <v>Phyllonorycter acerifoliella (Zeller, 1839)</v>
      </c>
      <c r="AH14237" s="4" t="str">
        <f>HYPERLINK("#Statut_biogéographique!A"&amp;_xlfn.XMATCH("P",Statut_biogéographique!A:A,2,1),"P")</f>
        <v>P</v>
      </c>
      <c r="AP14237" s="4" t="s">
        <v>376</v>
      </c>
      <c r="AR14237" s="4" t="s">
        <v>377</v>
      </c>
    </row>
    <row r="14238" spans="1:44" ht="30">
      <c r="A14238" s="4" t="s">
        <v>10753</v>
      </c>
      <c r="B14238" s="4">
        <v>245580</v>
      </c>
      <c r="D14238" s="5" t="s">
        <v>16863</v>
      </c>
      <c r="E14238" s="6" t="str">
        <f>HYPERLINK("https://inpn.mnhn.fr/espece/cd_nom/245580","Phyllonorycter apparella (Herrich-Schäffer, 1855)")</f>
        <v>Phyllonorycter apparella (Herrich-Schäffer, 1855)</v>
      </c>
      <c r="AH14238" s="4" t="str">
        <f>HYPERLINK("#Statut_biogéographique!A"&amp;_xlfn.XMATCH("P",Statut_biogéographique!A:A,2,1),"P")</f>
        <v>P</v>
      </c>
      <c r="AP14238" s="4" t="s">
        <v>376</v>
      </c>
      <c r="AR14238" s="4" t="s">
        <v>377</v>
      </c>
    </row>
    <row r="14239" spans="1:44">
      <c r="A14239" s="4" t="s">
        <v>10753</v>
      </c>
      <c r="B14239" s="4">
        <v>245582</v>
      </c>
      <c r="D14239" s="5" t="s">
        <v>16864</v>
      </c>
      <c r="E14239" s="6" t="str">
        <f>HYPERLINK("https://inpn.mnhn.fr/espece/cd_nom/245582","Phyllonorycter blancardella (Fabricius, 1781)")</f>
        <v>Phyllonorycter blancardella (Fabricius, 1781)</v>
      </c>
      <c r="AH14239" s="4" t="str">
        <f>HYPERLINK("#Statut_biogéographique!A"&amp;_xlfn.XMATCH("P",Statut_biogéographique!A:A,2,1),"P")</f>
        <v>P</v>
      </c>
      <c r="AP14239" s="4" t="s">
        <v>376</v>
      </c>
      <c r="AR14239" s="4" t="s">
        <v>377</v>
      </c>
    </row>
    <row r="14240" spans="1:44">
      <c r="A14240" s="4" t="s">
        <v>10753</v>
      </c>
      <c r="B14240" s="4">
        <v>245583</v>
      </c>
      <c r="D14240" s="5" t="s">
        <v>16865</v>
      </c>
      <c r="E14240" s="6" t="str">
        <f>HYPERLINK("https://inpn.mnhn.fr/espece/cd_nom/245583","Phyllonorycter cavella (Zeller, 1846)")</f>
        <v>Phyllonorycter cavella (Zeller, 1846)</v>
      </c>
      <c r="AH14240" s="4" t="str">
        <f>HYPERLINK("#Statut_biogéographique!A"&amp;_xlfn.XMATCH("P",Statut_biogéographique!A:A,2,1),"P")</f>
        <v>P</v>
      </c>
      <c r="AP14240" s="4" t="s">
        <v>376</v>
      </c>
      <c r="AR14240" s="4" t="s">
        <v>377</v>
      </c>
    </row>
    <row r="14241" spans="1:44">
      <c r="A14241" s="4" t="s">
        <v>10753</v>
      </c>
      <c r="B14241" s="4">
        <v>245585</v>
      </c>
      <c r="D14241" s="5" t="s">
        <v>16866</v>
      </c>
      <c r="E14241" s="6" t="str">
        <f>HYPERLINK("https://inpn.mnhn.fr/espece/cd_nom/245585","Phyllonorycter cerasinella (Reutti, 1852)")</f>
        <v>Phyllonorycter cerasinella (Reutti, 1852)</v>
      </c>
      <c r="AH14241" s="4" t="str">
        <f>HYPERLINK("#Statut_biogéographique!A"&amp;_xlfn.XMATCH("P",Statut_biogéographique!A:A,2,1),"P")</f>
        <v>P</v>
      </c>
      <c r="AP14241" s="4" t="s">
        <v>376</v>
      </c>
      <c r="AR14241" s="4" t="s">
        <v>377</v>
      </c>
    </row>
    <row r="14242" spans="1:44">
      <c r="A14242" s="4" t="s">
        <v>10753</v>
      </c>
      <c r="B14242" s="4">
        <v>245586</v>
      </c>
      <c r="D14242" s="5" t="s">
        <v>16867</v>
      </c>
      <c r="E14242" s="6" t="str">
        <f>HYPERLINK("https://inpn.mnhn.fr/espece/cd_nom/245586","Phyllonorycter cerisolella (Peyerimhoff, 1871)")</f>
        <v>Phyllonorycter cerisolella (Peyerimhoff, 1871)</v>
      </c>
      <c r="AH14242" s="4" t="str">
        <f>HYPERLINK("#Statut_biogéographique!A"&amp;_xlfn.XMATCH("P",Statut_biogéographique!A:A,2,1),"P")</f>
        <v>P</v>
      </c>
      <c r="AP14242" s="4" t="s">
        <v>376</v>
      </c>
      <c r="AR14242" s="4" t="s">
        <v>377</v>
      </c>
    </row>
    <row r="14243" spans="1:44">
      <c r="A14243" s="4" t="s">
        <v>10753</v>
      </c>
      <c r="B14243" s="4">
        <v>245590</v>
      </c>
      <c r="D14243" s="5" t="s">
        <v>16868</v>
      </c>
      <c r="E14243" s="6" t="str">
        <f>HYPERLINK("https://inpn.mnhn.fr/espece/cd_nom/245590","Phyllonorycter coryli (Nicelli, 1851)")</f>
        <v>Phyllonorycter coryli (Nicelli, 1851)</v>
      </c>
      <c r="AH14243" s="4" t="str">
        <f>HYPERLINK("#Statut_biogéographique!A"&amp;_xlfn.XMATCH("P",Statut_biogéographique!A:A,2,1),"P")</f>
        <v>P</v>
      </c>
      <c r="AP14243" s="4" t="s">
        <v>376</v>
      </c>
      <c r="AR14243" s="4" t="s">
        <v>377</v>
      </c>
    </row>
    <row r="14244" spans="1:44">
      <c r="A14244" s="4" t="s">
        <v>10753</v>
      </c>
      <c r="B14244" s="4">
        <v>245591</v>
      </c>
      <c r="D14244" s="5" t="s">
        <v>16869</v>
      </c>
      <c r="E14244" s="6" t="str">
        <f>HYPERLINK("https://inpn.mnhn.fr/espece/cd_nom/245591","Phyllonorycter corylifoliella (Hübner, 1796)")</f>
        <v>Phyllonorycter corylifoliella (Hübner, 1796)</v>
      </c>
      <c r="AH14244" s="4" t="str">
        <f>HYPERLINK("#Statut_biogéographique!A"&amp;_xlfn.XMATCH("P",Statut_biogéographique!A:A,2,1),"P")</f>
        <v>P</v>
      </c>
      <c r="AP14244" s="4" t="s">
        <v>376</v>
      </c>
      <c r="AR14244" s="4" t="s">
        <v>377</v>
      </c>
    </row>
    <row r="14245" spans="1:44" ht="30">
      <c r="A14245" s="4" t="s">
        <v>10753</v>
      </c>
      <c r="B14245" s="4">
        <v>245592</v>
      </c>
      <c r="D14245" s="5" t="s">
        <v>16870</v>
      </c>
      <c r="E14245" s="6" t="str">
        <f>HYPERLINK("https://inpn.mnhn.fr/espece/cd_nom/245592","Phyllonorycter cydoniella (Denis &amp; Schiffermüller, 1775)")</f>
        <v>Phyllonorycter cydoniella (Denis &amp; Schiffermüller, 1775)</v>
      </c>
      <c r="AH14245" s="4" t="str">
        <f>HYPERLINK("#Statut_biogéographique!A"&amp;_xlfn.XMATCH("P",Statut_biogéographique!A:A,2,1),"P")</f>
        <v>P</v>
      </c>
      <c r="AP14245" s="4" t="s">
        <v>376</v>
      </c>
      <c r="AR14245" s="4" t="s">
        <v>377</v>
      </c>
    </row>
    <row r="14246" spans="1:44">
      <c r="A14246" s="4" t="s">
        <v>10753</v>
      </c>
      <c r="B14246" s="4">
        <v>245594</v>
      </c>
      <c r="D14246" s="5" t="s">
        <v>16871</v>
      </c>
      <c r="E14246" s="6" t="str">
        <f>HYPERLINK("https://inpn.mnhn.fr/espece/cd_nom/245594","Phyllonorycter distentella (Zeller, 1846)")</f>
        <v>Phyllonorycter distentella (Zeller, 1846)</v>
      </c>
      <c r="AH14246" s="4" t="str">
        <f>HYPERLINK("#Statut_biogéographique!A"&amp;_xlfn.XMATCH("P",Statut_biogéographique!A:A,2,1),"P")</f>
        <v>P</v>
      </c>
      <c r="AP14246" s="4" t="s">
        <v>376</v>
      </c>
      <c r="AR14246" s="4" t="s">
        <v>377</v>
      </c>
    </row>
    <row r="14247" spans="1:44" ht="30">
      <c r="A14247" s="4" t="s">
        <v>10753</v>
      </c>
      <c r="B14247" s="4">
        <v>245596</v>
      </c>
      <c r="D14247" s="5" t="s">
        <v>16872</v>
      </c>
      <c r="E14247" s="6" t="str">
        <f>HYPERLINK("https://inpn.mnhn.fr/espece/cd_nom/245596","Phyllonorycter emberizaepenella (Bouché, 1834)")</f>
        <v>Phyllonorycter emberizaepenella (Bouché, 1834)</v>
      </c>
      <c r="AH14247" s="4" t="str">
        <f>HYPERLINK("#Statut_biogéographique!A"&amp;_xlfn.XMATCH("P",Statut_biogéographique!A:A,2,1),"P")</f>
        <v>P</v>
      </c>
      <c r="AP14247" s="4" t="s">
        <v>376</v>
      </c>
      <c r="AR14247" s="4" t="s">
        <v>377</v>
      </c>
    </row>
    <row r="14248" spans="1:44">
      <c r="A14248" s="4" t="s">
        <v>10753</v>
      </c>
      <c r="B14248" s="4">
        <v>245598</v>
      </c>
      <c r="D14248" s="5" t="s">
        <v>16873</v>
      </c>
      <c r="E14248" s="6" t="str">
        <f>HYPERLINK("https://inpn.mnhn.fr/espece/cd_nom/245598","Phyllonorycter esperella (Goeze, 1783)")</f>
        <v>Phyllonorycter esperella (Goeze, 1783)</v>
      </c>
      <c r="AH14248" s="4" t="str">
        <f>HYPERLINK("#Statut_biogéographique!A"&amp;_xlfn.XMATCH("P",Statut_biogéographique!A:A,2,1),"P")</f>
        <v>P</v>
      </c>
      <c r="AP14248" s="4" t="s">
        <v>376</v>
      </c>
      <c r="AR14248" s="4" t="s">
        <v>377</v>
      </c>
    </row>
    <row r="14249" spans="1:44">
      <c r="A14249" s="4" t="s">
        <v>10753</v>
      </c>
      <c r="B14249" s="4">
        <v>245601</v>
      </c>
      <c r="D14249" s="5" t="s">
        <v>16874</v>
      </c>
      <c r="E14249" s="6" t="str">
        <f>HYPERLINK("https://inpn.mnhn.fr/espece/cd_nom/245601","Phyllonorycter geniculella (Ragonot, 1874)")</f>
        <v>Phyllonorycter geniculella (Ragonot, 1874)</v>
      </c>
      <c r="AH14249" s="4" t="str">
        <f>HYPERLINK("#Statut_biogéographique!A"&amp;_xlfn.XMATCH("P",Statut_biogéographique!A:A,2,1),"P")</f>
        <v>P</v>
      </c>
      <c r="AP14249" s="4" t="s">
        <v>376</v>
      </c>
      <c r="AR14249" s="4" t="s">
        <v>377</v>
      </c>
    </row>
    <row r="14250" spans="1:44">
      <c r="A14250" s="4" t="s">
        <v>10753</v>
      </c>
      <c r="B14250" s="4">
        <v>245604</v>
      </c>
      <c r="D14250" s="5" t="s">
        <v>16875</v>
      </c>
      <c r="E14250" s="6" t="str">
        <f>HYPERLINK("https://inpn.mnhn.fr/espece/cd_nom/245604","Phyllonorycter heegeriella (Zeller, 1846)")</f>
        <v>Phyllonorycter heegeriella (Zeller, 1846)</v>
      </c>
      <c r="AH14250" s="4" t="str">
        <f>HYPERLINK("#Statut_biogéographique!A"&amp;_xlfn.XMATCH("P",Statut_biogéographique!A:A,2,1),"P")</f>
        <v>P</v>
      </c>
      <c r="AP14250" s="4" t="s">
        <v>376</v>
      </c>
      <c r="AR14250" s="4" t="s">
        <v>377</v>
      </c>
    </row>
    <row r="14251" spans="1:44">
      <c r="A14251" s="4" t="s">
        <v>10753</v>
      </c>
      <c r="B14251" s="4">
        <v>245606</v>
      </c>
      <c r="D14251" s="5" t="s">
        <v>16876</v>
      </c>
      <c r="E14251" s="6" t="str">
        <f>HYPERLINK("https://inpn.mnhn.fr/espece/cd_nom/245606","Phyllonorycter hilarella (Zetterstedt, 1839)")</f>
        <v>Phyllonorycter hilarella (Zetterstedt, 1839)</v>
      </c>
      <c r="AH14251" s="4" t="str">
        <f>HYPERLINK("#Statut_biogéographique!A"&amp;_xlfn.XMATCH("P",Statut_biogéographique!A:A,2,1),"P")</f>
        <v>P</v>
      </c>
      <c r="AP14251" s="4" t="s">
        <v>376</v>
      </c>
      <c r="AR14251" s="4" t="s">
        <v>377</v>
      </c>
    </row>
    <row r="14252" spans="1:44">
      <c r="A14252" s="4" t="s">
        <v>10753</v>
      </c>
      <c r="B14252" s="4">
        <v>24561</v>
      </c>
      <c r="D14252" s="5" t="s">
        <v>16877</v>
      </c>
      <c r="E14252" s="6" t="str">
        <f>HYPERLINK("https://inpn.mnhn.fr/espece/cd_nom/24561","Neoascia geniculata (Meigen, 1822)")</f>
        <v>Neoascia geniculata (Meigen, 1822)</v>
      </c>
      <c r="P14252" s="7" t="str">
        <f>HYPERLINK("#Liste_rouge!A"&amp;_xlfn.XMATCH("LC",Liste_rouge!A:A,2,1),"LC")</f>
        <v>LC</v>
      </c>
      <c r="AH14252" s="4" t="str">
        <f>HYPERLINK("#Statut_biogéographique!A"&amp;_xlfn.XMATCH("P",Statut_biogéographique!A:A,2,1),"P")</f>
        <v>P</v>
      </c>
      <c r="AP14252" s="4" t="s">
        <v>376</v>
      </c>
      <c r="AR14252" s="4" t="s">
        <v>377</v>
      </c>
    </row>
    <row r="14253" spans="1:44">
      <c r="A14253" s="4" t="s">
        <v>10753</v>
      </c>
      <c r="B14253" s="4">
        <v>245613</v>
      </c>
      <c r="D14253" s="5" t="s">
        <v>16878</v>
      </c>
      <c r="E14253" s="6" t="str">
        <f>HYPERLINK("https://inpn.mnhn.fr/espece/cd_nom/245613","Phyllonorycter lantanella (Schrank, 1802)")</f>
        <v>Phyllonorycter lantanella (Schrank, 1802)</v>
      </c>
      <c r="AH14253" s="4" t="str">
        <f>HYPERLINK("#Statut_biogéographique!A"&amp;_xlfn.XMATCH("P",Statut_biogéographique!A:A,2,1),"P")</f>
        <v>P</v>
      </c>
      <c r="AP14253" s="4" t="s">
        <v>376</v>
      </c>
      <c r="AR14253" s="4" t="s">
        <v>377</v>
      </c>
    </row>
    <row r="14254" spans="1:44">
      <c r="A14254" s="4" t="s">
        <v>10753</v>
      </c>
      <c r="B14254" s="4">
        <v>245614</v>
      </c>
      <c r="D14254" s="5" t="s">
        <v>16879</v>
      </c>
      <c r="E14254" s="6" t="str">
        <f>HYPERLINK("https://inpn.mnhn.fr/espece/cd_nom/245614","Phyllonorycter lautella (Zeller, 1846)")</f>
        <v>Phyllonorycter lautella (Zeller, 1846)</v>
      </c>
      <c r="AH14254" s="4" t="str">
        <f>HYPERLINK("#Statut_biogéographique!A"&amp;_xlfn.XMATCH("P",Statut_biogéographique!A:A,2,1),"P")</f>
        <v>P</v>
      </c>
      <c r="AP14254" s="4" t="s">
        <v>376</v>
      </c>
      <c r="AR14254" s="4" t="s">
        <v>377</v>
      </c>
    </row>
    <row r="14255" spans="1:44">
      <c r="A14255" s="4" t="s">
        <v>10753</v>
      </c>
      <c r="B14255" s="4">
        <v>245615</v>
      </c>
      <c r="D14255" s="5" t="s">
        <v>16880</v>
      </c>
      <c r="E14255" s="6" t="str">
        <f>HYPERLINK("https://inpn.mnhn.fr/espece/cd_nom/245615","Phyllonorycter leucographella (Zeller, 1850)")</f>
        <v>Phyllonorycter leucographella (Zeller, 1850)</v>
      </c>
      <c r="AH14255" s="4" t="str">
        <f>HYPERLINK("#Statut_biogéographique!A"&amp;_xlfn.XMATCH("I",Statut_biogéographique!A:A,2,1),"I")</f>
        <v>I</v>
      </c>
      <c r="AP14255" s="4" t="s">
        <v>376</v>
      </c>
      <c r="AR14255" s="4" t="s">
        <v>377</v>
      </c>
    </row>
    <row r="14256" spans="1:44" ht="30">
      <c r="A14256" s="4" t="s">
        <v>10753</v>
      </c>
      <c r="B14256" s="4">
        <v>245616</v>
      </c>
      <c r="D14256" s="5" t="s">
        <v>16881</v>
      </c>
      <c r="E14256" s="6" t="str">
        <f>HYPERLINK("https://inpn.mnhn.fr/espece/cd_nom/245616","Phyllonorycter maestingella (O.F. Müller, 1764)")</f>
        <v>Phyllonorycter maestingella (O.F. Müller, 1764)</v>
      </c>
      <c r="AH14256" s="4" t="str">
        <f>HYPERLINK("#Statut_biogéographique!A"&amp;_xlfn.XMATCH("P",Statut_biogéographique!A:A,2,1),"P")</f>
        <v>P</v>
      </c>
      <c r="AP14256" s="4" t="s">
        <v>376</v>
      </c>
      <c r="AR14256" s="4" t="s">
        <v>377</v>
      </c>
    </row>
    <row r="14257" spans="1:44">
      <c r="A14257" s="4" t="s">
        <v>10753</v>
      </c>
      <c r="B14257" s="4">
        <v>245618</v>
      </c>
      <c r="D14257" s="5" t="s">
        <v>16882</v>
      </c>
      <c r="E14257" s="6" t="str">
        <f>HYPERLINK("https://inpn.mnhn.fr/espece/cd_nom/245618","Phyllonorycter mespilella (Hübner, 1805)")</f>
        <v>Phyllonorycter mespilella (Hübner, 1805)</v>
      </c>
      <c r="AH14257" s="4" t="str">
        <f>HYPERLINK("#Statut_biogéographique!A"&amp;_xlfn.XMATCH("P",Statut_biogéographique!A:A,2,1),"P")</f>
        <v>P</v>
      </c>
      <c r="AP14257" s="4" t="s">
        <v>376</v>
      </c>
      <c r="AR14257" s="4" t="s">
        <v>377</v>
      </c>
    </row>
    <row r="14258" spans="1:44">
      <c r="A14258" s="4" t="s">
        <v>10753</v>
      </c>
      <c r="B14258" s="4">
        <v>245619</v>
      </c>
      <c r="D14258" s="5" t="s">
        <v>16883</v>
      </c>
      <c r="E14258" s="6" t="str">
        <f>HYPERLINK("https://inpn.mnhn.fr/espece/cd_nom/245619","Phyllonorycter messaniella (Zeller, 1846)")</f>
        <v>Phyllonorycter messaniella (Zeller, 1846)</v>
      </c>
      <c r="AH14258" s="4" t="str">
        <f>HYPERLINK("#Statut_biogéographique!A"&amp;_xlfn.XMATCH("P",Statut_biogéographique!A:A,2,1),"P")</f>
        <v>P</v>
      </c>
      <c r="AP14258" s="4" t="s">
        <v>376</v>
      </c>
      <c r="AR14258" s="4" t="s">
        <v>377</v>
      </c>
    </row>
    <row r="14259" spans="1:44">
      <c r="A14259" s="4" t="s">
        <v>10753</v>
      </c>
      <c r="B14259" s="4">
        <v>24562</v>
      </c>
      <c r="D14259" s="5" t="s">
        <v>16884</v>
      </c>
      <c r="E14259" s="6" t="str">
        <f>HYPERLINK("https://inpn.mnhn.fr/espece/cd_nom/24562","Neoascia interrupta (Meigen, 1822)")</f>
        <v>Neoascia interrupta (Meigen, 1822)</v>
      </c>
      <c r="P14259" s="7" t="str">
        <f>HYPERLINK("#Liste_rouge!A"&amp;_xlfn.XMATCH("LC",Liste_rouge!A:A,2,1),"LC")</f>
        <v>LC</v>
      </c>
      <c r="AH14259" s="4" t="str">
        <f>HYPERLINK("#Statut_biogéographique!A"&amp;_xlfn.XMATCH("P",Statut_biogéographique!A:A,2,1),"P")</f>
        <v>P</v>
      </c>
      <c r="AP14259" s="4" t="s">
        <v>376</v>
      </c>
      <c r="AR14259" s="4" t="s">
        <v>377</v>
      </c>
    </row>
    <row r="14260" spans="1:44">
      <c r="A14260" s="4" t="s">
        <v>10753</v>
      </c>
      <c r="B14260" s="4">
        <v>245624</v>
      </c>
      <c r="D14260" s="5" t="s">
        <v>16885</v>
      </c>
      <c r="E14260" s="6" t="str">
        <f>HYPERLINK("https://inpn.mnhn.fr/espece/cd_nom/245624","Phyllonorycter nicellii (Stainton, 1851)")</f>
        <v>Phyllonorycter nicellii (Stainton, 1851)</v>
      </c>
      <c r="AH14260" s="4" t="str">
        <f>HYPERLINK("#Statut_biogéographique!A"&amp;_xlfn.XMATCH("P",Statut_biogéographique!A:A,2,1),"P")</f>
        <v>P</v>
      </c>
      <c r="AP14260" s="4" t="s">
        <v>376</v>
      </c>
      <c r="AR14260" s="4" t="s">
        <v>377</v>
      </c>
    </row>
    <row r="14261" spans="1:44">
      <c r="A14261" s="4" t="s">
        <v>10753</v>
      </c>
      <c r="B14261" s="4">
        <v>245625</v>
      </c>
      <c r="D14261" s="5" t="s">
        <v>16886</v>
      </c>
      <c r="E14261" s="6" t="str">
        <f>HYPERLINK("https://inpn.mnhn.fr/espece/cd_nom/245625","Phyllonorycter nigrescentella (Logan, 1851)")</f>
        <v>Phyllonorycter nigrescentella (Logan, 1851)</v>
      </c>
      <c r="AH14261" s="4" t="str">
        <f>HYPERLINK("#Statut_biogéographique!A"&amp;_xlfn.XMATCH("P",Statut_biogéographique!A:A,2,1),"P")</f>
        <v>P</v>
      </c>
      <c r="AP14261" s="4" t="s">
        <v>376</v>
      </c>
      <c r="AR14261" s="4" t="s">
        <v>377</v>
      </c>
    </row>
    <row r="14262" spans="1:44">
      <c r="A14262" s="4" t="s">
        <v>10753</v>
      </c>
      <c r="B14262" s="4">
        <v>245626</v>
      </c>
      <c r="D14262" s="5" t="s">
        <v>16887</v>
      </c>
      <c r="E14262" s="6" t="str">
        <f>HYPERLINK("https://inpn.mnhn.fr/espece/cd_nom/245626","Phyllonorycter oxyacanthae (Frey, 1856)")</f>
        <v>Phyllonorycter oxyacanthae (Frey, 1856)</v>
      </c>
      <c r="AH14262" s="4" t="str">
        <f>HYPERLINK("#Statut_biogéographique!A"&amp;_xlfn.XMATCH("P",Statut_biogéographique!A:A,2,1),"P")</f>
        <v>P</v>
      </c>
      <c r="AP14262" s="4" t="s">
        <v>376</v>
      </c>
      <c r="AR14262" s="4" t="s">
        <v>377</v>
      </c>
    </row>
    <row r="14263" spans="1:44">
      <c r="A14263" s="4" t="s">
        <v>10753</v>
      </c>
      <c r="B14263" s="4">
        <v>24563</v>
      </c>
      <c r="D14263" s="5">
        <v>24563</v>
      </c>
      <c r="E14263" s="6" t="str">
        <f>HYPERLINK("https://inpn.mnhn.fr/espece/cd_nom/24563","Neoascia obliqua Coe, 1940")</f>
        <v>Neoascia obliqua Coe, 1940</v>
      </c>
      <c r="P14263" s="7" t="str">
        <f>HYPERLINK("#Liste_rouge!A"&amp;_xlfn.XMATCH("LC",Liste_rouge!A:A,2,1),"LC")</f>
        <v>LC</v>
      </c>
      <c r="AH14263" s="4" t="str">
        <f>HYPERLINK("#Statut_biogéographique!A"&amp;_xlfn.XMATCH("P",Statut_biogéographique!A:A,2,1),"P")</f>
        <v>P</v>
      </c>
      <c r="AP14263" s="4" t="s">
        <v>376</v>
      </c>
      <c r="AR14263" s="4" t="s">
        <v>377</v>
      </c>
    </row>
    <row r="14264" spans="1:44">
      <c r="A14264" s="4" t="s">
        <v>10753</v>
      </c>
      <c r="B14264" s="4">
        <v>245631</v>
      </c>
      <c r="D14264" s="5" t="s">
        <v>16888</v>
      </c>
      <c r="E14264" s="6" t="str">
        <f>HYPERLINK("https://inpn.mnhn.fr/espece/cd_nom/245631","Phyllonorycter platani (Staudinger, 1870)")</f>
        <v>Phyllonorycter platani (Staudinger, 1870)</v>
      </c>
      <c r="AH14264" s="4" t="str">
        <f>HYPERLINK("#Statut_biogéographique!A"&amp;_xlfn.XMATCH("I",Statut_biogéographique!A:A,2,1),"I")</f>
        <v>I</v>
      </c>
      <c r="AP14264" s="4" t="s">
        <v>376</v>
      </c>
      <c r="AR14264" s="4" t="s">
        <v>377</v>
      </c>
    </row>
    <row r="14265" spans="1:44">
      <c r="A14265" s="4" t="s">
        <v>10753</v>
      </c>
      <c r="B14265" s="4">
        <v>245635</v>
      </c>
      <c r="D14265" s="5" t="s">
        <v>16889</v>
      </c>
      <c r="E14265" s="6" t="str">
        <f>HYPERLINK("https://inpn.mnhn.fr/espece/cd_nom/245635","Phyllonorycter quercifoliella (Zeller, 1839)")</f>
        <v>Phyllonorycter quercifoliella (Zeller, 1839)</v>
      </c>
      <c r="AH14265" s="4" t="str">
        <f>HYPERLINK("#Statut_biogéographique!A"&amp;_xlfn.XMATCH("P",Statut_biogéographique!A:A,2,1),"P")</f>
        <v>P</v>
      </c>
      <c r="AP14265" s="4" t="s">
        <v>376</v>
      </c>
      <c r="AR14265" s="4" t="s">
        <v>377</v>
      </c>
    </row>
    <row r="14266" spans="1:44" ht="30">
      <c r="A14266" s="4" t="s">
        <v>10753</v>
      </c>
      <c r="B14266" s="4">
        <v>245637</v>
      </c>
      <c r="D14266" s="5" t="s">
        <v>16890</v>
      </c>
      <c r="E14266" s="6" t="str">
        <f>HYPERLINK("https://inpn.mnhn.fr/espece/cd_nom/245637","Phyllonorycter rajella (Linnaeus, 1758)")</f>
        <v>Phyllonorycter rajella (Linnaeus, 1758)</v>
      </c>
      <c r="AH14266" s="4" t="str">
        <f>HYPERLINK("#Statut_biogéographique!A"&amp;_xlfn.XMATCH("P",Statut_biogéographique!A:A,2,1),"P")</f>
        <v>P</v>
      </c>
      <c r="AP14266" s="4" t="s">
        <v>376</v>
      </c>
      <c r="AR14266" s="4" t="s">
        <v>377</v>
      </c>
    </row>
    <row r="14267" spans="1:44">
      <c r="A14267" s="4" t="s">
        <v>10753</v>
      </c>
      <c r="B14267" s="4">
        <v>245639</v>
      </c>
      <c r="D14267" s="5" t="s">
        <v>16891</v>
      </c>
      <c r="E14267" s="6" t="str">
        <f>HYPERLINK("https://inpn.mnhn.fr/espece/cd_nom/245639","Phyllonorycter roboris (Zeller, 1839)")</f>
        <v>Phyllonorycter roboris (Zeller, 1839)</v>
      </c>
      <c r="AH14267" s="4" t="str">
        <f>HYPERLINK("#Statut_biogéographique!A"&amp;_xlfn.XMATCH("P",Statut_biogéographique!A:A,2,1),"P")</f>
        <v>P</v>
      </c>
      <c r="AP14267" s="4" t="s">
        <v>376</v>
      </c>
      <c r="AR14267" s="4" t="s">
        <v>377</v>
      </c>
    </row>
    <row r="14268" spans="1:44">
      <c r="A14268" s="4" t="s">
        <v>10753</v>
      </c>
      <c r="B14268" s="4">
        <v>24564</v>
      </c>
      <c r="D14268" s="5" t="s">
        <v>16892</v>
      </c>
      <c r="E14268" s="6" t="str">
        <f>HYPERLINK("https://inpn.mnhn.fr/espece/cd_nom/24564","Neoascia podagrica (Fabricius, 1775)")</f>
        <v>Neoascia podagrica (Fabricius, 1775)</v>
      </c>
      <c r="P14268" s="7" t="str">
        <f>HYPERLINK("#Liste_rouge!A"&amp;_xlfn.XMATCH("LC",Liste_rouge!A:A,2,1),"LC")</f>
        <v>LC</v>
      </c>
      <c r="AH14268" s="4" t="str">
        <f>HYPERLINK("#Statut_biogéographique!A"&amp;_xlfn.XMATCH("P",Statut_biogéographique!A:A,2,1),"P")</f>
        <v>P</v>
      </c>
      <c r="AP14268" s="4" t="s">
        <v>376</v>
      </c>
      <c r="AR14268" s="4" t="s">
        <v>377</v>
      </c>
    </row>
    <row r="14269" spans="1:44">
      <c r="A14269" s="4" t="s">
        <v>10753</v>
      </c>
      <c r="B14269" s="4">
        <v>245640</v>
      </c>
      <c r="D14269" s="5" t="s">
        <v>16893</v>
      </c>
      <c r="E14269" s="6" t="str">
        <f>HYPERLINK("https://inpn.mnhn.fr/espece/cd_nom/245640","Phyllonorycter sagitella (Bjerkander, 1790)")</f>
        <v>Phyllonorycter sagitella (Bjerkander, 1790)</v>
      </c>
      <c r="AH14269" s="4" t="str">
        <f>HYPERLINK("#Statut_biogéographique!A"&amp;_xlfn.XMATCH("P",Statut_biogéographique!A:A,2,1),"P")</f>
        <v>P</v>
      </c>
      <c r="AP14269" s="4" t="s">
        <v>376</v>
      </c>
      <c r="AR14269" s="4" t="s">
        <v>377</v>
      </c>
    </row>
    <row r="14270" spans="1:44">
      <c r="A14270" s="4" t="s">
        <v>10753</v>
      </c>
      <c r="B14270" s="4">
        <v>245641</v>
      </c>
      <c r="D14270" s="5" t="s">
        <v>16894</v>
      </c>
      <c r="E14270" s="6" t="str">
        <f>HYPERLINK("https://inpn.mnhn.fr/espece/cd_nom/245641","Phyllonorycter salicicolella (Sircom, 1848)")</f>
        <v>Phyllonorycter salicicolella (Sircom, 1848)</v>
      </c>
      <c r="AH14270" s="4" t="str">
        <f>HYPERLINK("#Statut_biogéographique!A"&amp;_xlfn.XMATCH("P",Statut_biogéographique!A:A,2,1),"P")</f>
        <v>P</v>
      </c>
      <c r="AP14270" s="4" t="s">
        <v>376</v>
      </c>
      <c r="AR14270" s="4" t="s">
        <v>377</v>
      </c>
    </row>
    <row r="14271" spans="1:44">
      <c r="A14271" s="4" t="s">
        <v>10753</v>
      </c>
      <c r="B14271" s="4">
        <v>245642</v>
      </c>
      <c r="D14271" s="5" t="s">
        <v>16895</v>
      </c>
      <c r="E14271" s="6" t="str">
        <f>HYPERLINK("https://inpn.mnhn.fr/espece/cd_nom/245642","Phyllonorycter salictella (Zeller, 1846)")</f>
        <v>Phyllonorycter salictella (Zeller, 1846)</v>
      </c>
      <c r="AH14271" s="4" t="str">
        <f>HYPERLINK("#Statut_biogéographique!A"&amp;_xlfn.XMATCH("P",Statut_biogéographique!A:A,2,1),"P")</f>
        <v>P</v>
      </c>
      <c r="AP14271" s="4" t="s">
        <v>376</v>
      </c>
      <c r="AR14271" s="4" t="s">
        <v>377</v>
      </c>
    </row>
    <row r="14272" spans="1:44">
      <c r="A14272" s="4" t="s">
        <v>10753</v>
      </c>
      <c r="B14272" s="4">
        <v>245644</v>
      </c>
      <c r="D14272" s="5" t="s">
        <v>16896</v>
      </c>
      <c r="E14272" s="6" t="str">
        <f>HYPERLINK("https://inpn.mnhn.fr/espece/cd_nom/245644","Phyllonorycter schreberella (Fabricius, 1781)")</f>
        <v>Phyllonorycter schreberella (Fabricius, 1781)</v>
      </c>
      <c r="AH14272" s="4" t="str">
        <f>HYPERLINK("#Statut_biogéographique!A"&amp;_xlfn.XMATCH("P",Statut_biogéographique!A:A,2,1),"P")</f>
        <v>P</v>
      </c>
      <c r="AP14272" s="4" t="s">
        <v>376</v>
      </c>
      <c r="AR14272" s="4" t="s">
        <v>377</v>
      </c>
    </row>
    <row r="14273" spans="1:44">
      <c r="A14273" s="4" t="s">
        <v>10753</v>
      </c>
      <c r="B14273" s="4">
        <v>245647</v>
      </c>
      <c r="D14273" s="5" t="s">
        <v>16897</v>
      </c>
      <c r="E14273" s="6" t="str">
        <f>HYPERLINK("https://inpn.mnhn.fr/espece/cd_nom/245647","Phyllonorycter sorbi (Frey, 1855)")</f>
        <v>Phyllonorycter sorbi (Frey, 1855)</v>
      </c>
      <c r="AH14273" s="4" t="str">
        <f>HYPERLINK("#Statut_biogéographique!A"&amp;_xlfn.XMATCH("P",Statut_biogéographique!A:A,2,1),"P")</f>
        <v>P</v>
      </c>
      <c r="AP14273" s="4" t="s">
        <v>376</v>
      </c>
      <c r="AR14273" s="4" t="s">
        <v>377</v>
      </c>
    </row>
    <row r="14274" spans="1:44">
      <c r="A14274" s="4" t="s">
        <v>10753</v>
      </c>
      <c r="B14274" s="4">
        <v>245648</v>
      </c>
      <c r="D14274" s="5" t="s">
        <v>16898</v>
      </c>
      <c r="E14274" s="6" t="str">
        <f>HYPERLINK("https://inpn.mnhn.fr/espece/cd_nom/245648","Phyllonorycter spinicolella (Zeller, 1846)")</f>
        <v>Phyllonorycter spinicolella (Zeller, 1846)</v>
      </c>
      <c r="AH14274" s="4" t="str">
        <f>HYPERLINK("#Statut_biogéographique!A"&amp;_xlfn.XMATCH("P",Statut_biogéographique!A:A,2,1),"P")</f>
        <v>P</v>
      </c>
      <c r="AP14274" s="4" t="s">
        <v>376</v>
      </c>
      <c r="AR14274" s="4" t="s">
        <v>377</v>
      </c>
    </row>
    <row r="14275" spans="1:44">
      <c r="A14275" s="4" t="s">
        <v>10753</v>
      </c>
      <c r="B14275" s="4">
        <v>245650</v>
      </c>
      <c r="D14275" s="5" t="s">
        <v>16899</v>
      </c>
      <c r="E14275" s="6" t="str">
        <f>HYPERLINK("https://inpn.mnhn.fr/espece/cd_nom/245650","Phyllonorycter stettinensis (Nicelli, 1852)")</f>
        <v>Phyllonorycter stettinensis (Nicelli, 1852)</v>
      </c>
      <c r="AH14275" s="4" t="str">
        <f>HYPERLINK("#Statut_biogéographique!A"&amp;_xlfn.XMATCH("P",Statut_biogéographique!A:A,2,1),"P")</f>
        <v>P</v>
      </c>
      <c r="AP14275" s="4" t="s">
        <v>376</v>
      </c>
      <c r="AR14275" s="4" t="s">
        <v>377</v>
      </c>
    </row>
    <row r="14276" spans="1:44">
      <c r="A14276" s="4" t="s">
        <v>10753</v>
      </c>
      <c r="B14276" s="4">
        <v>245655</v>
      </c>
      <c r="D14276" s="5" t="s">
        <v>16900</v>
      </c>
      <c r="E14276" s="6" t="str">
        <f>HYPERLINK("https://inpn.mnhn.fr/espece/cd_nom/245655","Phyllonorycter tenerella (Joannis, 1915)")</f>
        <v>Phyllonorycter tenerella (Joannis, 1915)</v>
      </c>
      <c r="AH14276" s="4" t="str">
        <f>HYPERLINK("#Statut_biogéographique!A"&amp;_xlfn.XMATCH("P",Statut_biogéographique!A:A,2,1),"P")</f>
        <v>P</v>
      </c>
      <c r="AP14276" s="4" t="s">
        <v>376</v>
      </c>
      <c r="AR14276" s="4" t="s">
        <v>377</v>
      </c>
    </row>
    <row r="14277" spans="1:44">
      <c r="A14277" s="4" t="s">
        <v>10753</v>
      </c>
      <c r="B14277" s="4">
        <v>245656</v>
      </c>
      <c r="D14277" s="5" t="s">
        <v>16901</v>
      </c>
      <c r="E14277" s="6" t="str">
        <f>HYPERLINK("https://inpn.mnhn.fr/espece/cd_nom/245656","Phyllonorycter trifasciella (Haworth, 1828)")</f>
        <v>Phyllonorycter trifasciella (Haworth, 1828)</v>
      </c>
      <c r="AH14277" s="4" t="str">
        <f>HYPERLINK("#Statut_biogéographique!A"&amp;_xlfn.XMATCH("P",Statut_biogéographique!A:A,2,1),"P")</f>
        <v>P</v>
      </c>
      <c r="AP14277" s="4" t="s">
        <v>376</v>
      </c>
      <c r="AR14277" s="4" t="s">
        <v>377</v>
      </c>
    </row>
    <row r="14278" spans="1:44">
      <c r="A14278" s="4" t="s">
        <v>10753</v>
      </c>
      <c r="B14278" s="4">
        <v>245658</v>
      </c>
      <c r="D14278" s="5" t="s">
        <v>16902</v>
      </c>
      <c r="E14278" s="6" t="str">
        <f>HYPERLINK("https://inpn.mnhn.fr/espece/cd_nom/245658","Phyllonorycter tristrigella (Haworth, 1828)")</f>
        <v>Phyllonorycter tristrigella (Haworth, 1828)</v>
      </c>
      <c r="AH14278" s="4" t="str">
        <f>HYPERLINK("#Statut_biogéographique!A"&amp;_xlfn.XMATCH("P",Statut_biogéographique!A:A,2,1),"P")</f>
        <v>P</v>
      </c>
      <c r="AP14278" s="4" t="s">
        <v>376</v>
      </c>
      <c r="AR14278" s="4" t="s">
        <v>377</v>
      </c>
    </row>
    <row r="14279" spans="1:44">
      <c r="A14279" s="4" t="s">
        <v>10753</v>
      </c>
      <c r="B14279" s="4">
        <v>24566</v>
      </c>
      <c r="D14279" s="5" t="s">
        <v>16903</v>
      </c>
      <c r="E14279" s="6" t="str">
        <f>HYPERLINK("https://inpn.mnhn.fr/espece/cd_nom/24566","Neoascia unifasciata (Strobl, 1898)")</f>
        <v>Neoascia unifasciata (Strobl, 1898)</v>
      </c>
      <c r="O14279" s="7" t="str">
        <f>HYPERLINK("#Liste_rouge!A"&amp;_xlfn.XMATCH("EN",Liste_rouge!A:A,2,1),"EN")</f>
        <v>EN</v>
      </c>
      <c r="P14279" s="7" t="str">
        <f>HYPERLINK("#Liste_rouge!A"&amp;_xlfn.XMATCH("EN",Liste_rouge!A:A,2,1),"EN")</f>
        <v>EN</v>
      </c>
      <c r="AH14279" s="4" t="str">
        <f>HYPERLINK("#Statut_biogéographique!A"&amp;_xlfn.XMATCH("P",Statut_biogéographique!A:A,2,1),"P")</f>
        <v>P</v>
      </c>
      <c r="AP14279" s="4" t="s">
        <v>376</v>
      </c>
      <c r="AR14279" s="4" t="s">
        <v>377</v>
      </c>
    </row>
    <row r="14280" spans="1:44">
      <c r="A14280" s="4" t="s">
        <v>10753</v>
      </c>
      <c r="B14280" s="4">
        <v>245660</v>
      </c>
      <c r="D14280" s="5" t="s">
        <v>16904</v>
      </c>
      <c r="E14280" s="6" t="str">
        <f>HYPERLINK("https://inpn.mnhn.fr/espece/cd_nom/245660","Phyllonorycter ulmifoliella (Hübner, 1817)")</f>
        <v>Phyllonorycter ulmifoliella (Hübner, 1817)</v>
      </c>
      <c r="AH14280" s="4" t="str">
        <f>HYPERLINK("#Statut_biogéographique!A"&amp;_xlfn.XMATCH("P",Statut_biogéographique!A:A,2,1),"P")</f>
        <v>P</v>
      </c>
      <c r="AP14280" s="4" t="s">
        <v>376</v>
      </c>
      <c r="AR14280" s="4" t="s">
        <v>377</v>
      </c>
    </row>
    <row r="14281" spans="1:44">
      <c r="A14281" s="4" t="s">
        <v>10753</v>
      </c>
      <c r="B14281" s="4">
        <v>245665</v>
      </c>
      <c r="D14281" s="5" t="s">
        <v>16905</v>
      </c>
      <c r="E14281" s="6" t="str">
        <f>HYPERLINK("https://inpn.mnhn.fr/espece/cd_nom/245665","Parornix anglicella (Stainton, 1850)")</f>
        <v>Parornix anglicella (Stainton, 1850)</v>
      </c>
      <c r="AH14281" s="4" t="str">
        <f>HYPERLINK("#Statut_biogéographique!A"&amp;_xlfn.XMATCH("P",Statut_biogéographique!A:A,2,1),"P")</f>
        <v>P</v>
      </c>
      <c r="AP14281" s="4" t="s">
        <v>376</v>
      </c>
      <c r="AR14281" s="4" t="s">
        <v>377</v>
      </c>
    </row>
    <row r="14282" spans="1:44">
      <c r="A14282" s="4" t="s">
        <v>10753</v>
      </c>
      <c r="B14282" s="4">
        <v>245666</v>
      </c>
      <c r="D14282" s="5" t="s">
        <v>16906</v>
      </c>
      <c r="E14282" s="6" t="str">
        <f>HYPERLINK("https://inpn.mnhn.fr/espece/cd_nom/245666","Parornix betulae (Stainton, 1854)")</f>
        <v>Parornix betulae (Stainton, 1854)</v>
      </c>
      <c r="AH14282" s="4" t="str">
        <f>HYPERLINK("#Statut_biogéographique!A"&amp;_xlfn.XMATCH("P",Statut_biogéographique!A:A,2,1),"P")</f>
        <v>P</v>
      </c>
      <c r="AP14282" s="4" t="s">
        <v>376</v>
      </c>
      <c r="AR14282" s="4" t="s">
        <v>377</v>
      </c>
    </row>
    <row r="14283" spans="1:44">
      <c r="A14283" s="4" t="s">
        <v>10753</v>
      </c>
      <c r="B14283" s="4">
        <v>245667</v>
      </c>
      <c r="D14283" s="5" t="s">
        <v>16907</v>
      </c>
      <c r="E14283" s="6" t="str">
        <f>HYPERLINK("https://inpn.mnhn.fr/espece/cd_nom/245667","Parornix carpinella (Frey, 1863)")</f>
        <v>Parornix carpinella (Frey, 1863)</v>
      </c>
      <c r="AH14283" s="4" t="str">
        <f>HYPERLINK("#Statut_biogéographique!A"&amp;_xlfn.XMATCH("P",Statut_biogéographique!A:A,2,1),"P")</f>
        <v>P</v>
      </c>
      <c r="AP14283" s="4" t="s">
        <v>376</v>
      </c>
      <c r="AR14283" s="4" t="s">
        <v>377</v>
      </c>
    </row>
    <row r="14284" spans="1:44">
      <c r="A14284" s="4" t="s">
        <v>10753</v>
      </c>
      <c r="B14284" s="4">
        <v>245668</v>
      </c>
      <c r="D14284" s="5" t="s">
        <v>16908</v>
      </c>
      <c r="E14284" s="6" t="str">
        <f>HYPERLINK("https://inpn.mnhn.fr/espece/cd_nom/245668","Parornix devoniella (Stainton, 1850)")</f>
        <v>Parornix devoniella (Stainton, 1850)</v>
      </c>
      <c r="AH14284" s="4" t="str">
        <f>HYPERLINK("#Statut_biogéographique!A"&amp;_xlfn.XMATCH("P",Statut_biogéographique!A:A,2,1),"P")</f>
        <v>P</v>
      </c>
      <c r="AP14284" s="4" t="s">
        <v>376</v>
      </c>
      <c r="AR14284" s="4" t="s">
        <v>377</v>
      </c>
    </row>
    <row r="14285" spans="1:44">
      <c r="A14285" s="4" t="s">
        <v>10753</v>
      </c>
      <c r="B14285" s="4">
        <v>245670</v>
      </c>
      <c r="D14285" s="5" t="s">
        <v>16909</v>
      </c>
      <c r="E14285" s="6" t="str">
        <f>HYPERLINK("https://inpn.mnhn.fr/espece/cd_nom/245670","Parornix finitimella (Zeller, 1850)")</f>
        <v>Parornix finitimella (Zeller, 1850)</v>
      </c>
      <c r="AH14285" s="4" t="str">
        <f>HYPERLINK("#Statut_biogéographique!A"&amp;_xlfn.XMATCH("P",Statut_biogéographique!A:A,2,1),"P")</f>
        <v>P</v>
      </c>
      <c r="AP14285" s="4" t="s">
        <v>376</v>
      </c>
      <c r="AR14285" s="4" t="s">
        <v>377</v>
      </c>
    </row>
    <row r="14286" spans="1:44">
      <c r="A14286" s="4" t="s">
        <v>10753</v>
      </c>
      <c r="B14286" s="4">
        <v>245673</v>
      </c>
      <c r="D14286" s="5" t="s">
        <v>16910</v>
      </c>
      <c r="E14286" s="6" t="str">
        <f>HYPERLINK("https://inpn.mnhn.fr/espece/cd_nom/245673","Parornix scoticella (Stainton, 1850)")</f>
        <v>Parornix scoticella (Stainton, 1850)</v>
      </c>
      <c r="AH14286" s="4" t="str">
        <f>HYPERLINK("#Statut_biogéographique!A"&amp;_xlfn.XMATCH("P",Statut_biogéographique!A:A,2,1),"P")</f>
        <v>P</v>
      </c>
      <c r="AP14286" s="4" t="s">
        <v>376</v>
      </c>
      <c r="AR14286" s="4" t="s">
        <v>377</v>
      </c>
    </row>
    <row r="14287" spans="1:44">
      <c r="A14287" s="4" t="s">
        <v>10753</v>
      </c>
      <c r="B14287" s="4">
        <v>245674</v>
      </c>
      <c r="D14287" s="5" t="s">
        <v>16911</v>
      </c>
      <c r="E14287" s="6" t="str">
        <f>HYPERLINK("https://inpn.mnhn.fr/espece/cd_nom/245674","Parornix torquillella (Zeller, 1850)")</f>
        <v>Parornix torquillella (Zeller, 1850)</v>
      </c>
      <c r="AH14287" s="4" t="str">
        <f>HYPERLINK("#Statut_biogéographique!A"&amp;_xlfn.XMATCH("P",Statut_biogéographique!A:A,2,1),"P")</f>
        <v>P</v>
      </c>
      <c r="AP14287" s="4" t="s">
        <v>376</v>
      </c>
      <c r="AR14287" s="4" t="s">
        <v>377</v>
      </c>
    </row>
    <row r="14288" spans="1:44" ht="30">
      <c r="A14288" s="4" t="s">
        <v>10753</v>
      </c>
      <c r="B14288" s="4">
        <v>245676</v>
      </c>
      <c r="D14288" s="5" t="s">
        <v>16912</v>
      </c>
      <c r="E14288" s="6" t="str">
        <f>HYPERLINK("https://inpn.mnhn.fr/espece/cd_nom/245676","Callisto denticulella (Thunberg, 1794)")</f>
        <v>Callisto denticulella (Thunberg, 1794)</v>
      </c>
      <c r="AH14288" s="4" t="str">
        <f>HYPERLINK("#Statut_biogéographique!A"&amp;_xlfn.XMATCH("P",Statut_biogéographique!A:A,2,1),"P")</f>
        <v>P</v>
      </c>
      <c r="AP14288" s="4" t="s">
        <v>376</v>
      </c>
      <c r="AR14288" s="4" t="s">
        <v>377</v>
      </c>
    </row>
    <row r="14289" spans="1:44">
      <c r="A14289" s="4" t="s">
        <v>10753</v>
      </c>
      <c r="B14289" s="4">
        <v>24568</v>
      </c>
      <c r="D14289" s="5">
        <v>24568</v>
      </c>
      <c r="E14289" s="6" t="str">
        <f>HYPERLINK("https://inpn.mnhn.fr/espece/cd_nom/24568","Pelecocera tricincta Meigen, 1822")</f>
        <v>Pelecocera tricincta Meigen, 1822</v>
      </c>
      <c r="P14289" s="7" t="str">
        <f>HYPERLINK("#Liste_rouge!A"&amp;_xlfn.XMATCH("LC",Liste_rouge!A:A,2,1),"LC")</f>
        <v>LC</v>
      </c>
      <c r="AH14289" s="4" t="str">
        <f>HYPERLINK("#Statut_biogéographique!A"&amp;_xlfn.XMATCH("P",Statut_biogéographique!A:A,2,1),"P")</f>
        <v>P</v>
      </c>
      <c r="AP14289" s="4" t="s">
        <v>376</v>
      </c>
      <c r="AR14289" s="4" t="s">
        <v>377</v>
      </c>
    </row>
    <row r="14290" spans="1:44">
      <c r="A14290" s="4" t="s">
        <v>10753</v>
      </c>
      <c r="B14290" s="4">
        <v>245684</v>
      </c>
      <c r="D14290" s="5" t="s">
        <v>16913</v>
      </c>
      <c r="E14290" s="6" t="str">
        <f>HYPERLINK("https://inpn.mnhn.fr/espece/cd_nom/245684","Acrocercops brongniardella (Fabricius, 1798)")</f>
        <v>Acrocercops brongniardella (Fabricius, 1798)</v>
      </c>
      <c r="AH14290" s="4" t="str">
        <f>HYPERLINK("#Statut_biogéographique!A"&amp;_xlfn.XMATCH("P",Statut_biogéographique!A:A,2,1),"P")</f>
        <v>P</v>
      </c>
      <c r="AP14290" s="4" t="s">
        <v>376</v>
      </c>
      <c r="AR14290" s="4" t="s">
        <v>377</v>
      </c>
    </row>
    <row r="14291" spans="1:44">
      <c r="A14291" s="4" t="s">
        <v>10753</v>
      </c>
      <c r="B14291" s="4">
        <v>245688</v>
      </c>
      <c r="D14291" s="5" t="s">
        <v>16914</v>
      </c>
      <c r="E14291" s="6" t="str">
        <f>HYPERLINK("https://inpn.mnhn.fr/espece/cd_nom/245688","Calybites phasianipennella (Hübner, 1813)")</f>
        <v>Calybites phasianipennella (Hübner, 1813)</v>
      </c>
      <c r="AH14291" s="4" t="str">
        <f>HYPERLINK("#Statut_biogéographique!A"&amp;_xlfn.XMATCH("P",Statut_biogéographique!A:A,2,1),"P")</f>
        <v>P</v>
      </c>
      <c r="AP14291" s="4" t="s">
        <v>376</v>
      </c>
      <c r="AR14291" s="4" t="s">
        <v>377</v>
      </c>
    </row>
    <row r="14292" spans="1:44" ht="30">
      <c r="A14292" s="4" t="s">
        <v>10753</v>
      </c>
      <c r="B14292" s="4">
        <v>245689</v>
      </c>
      <c r="D14292" s="5" t="s">
        <v>16915</v>
      </c>
      <c r="E14292" s="6" t="str">
        <f>HYPERLINK("https://inpn.mnhn.fr/espece/cd_nom/245689","Euspilapteryx auroguttella Stephens, 1835")</f>
        <v>Euspilapteryx auroguttella Stephens, 1835</v>
      </c>
      <c r="AH14292" s="4" t="str">
        <f>HYPERLINK("#Statut_biogéographique!A"&amp;_xlfn.XMATCH("P",Statut_biogéographique!A:A,2,1),"P")</f>
        <v>P</v>
      </c>
      <c r="AP14292" s="4" t="s">
        <v>376</v>
      </c>
      <c r="AR14292" s="4" t="s">
        <v>377</v>
      </c>
    </row>
    <row r="14293" spans="1:44">
      <c r="A14293" s="4" t="s">
        <v>10753</v>
      </c>
      <c r="B14293" s="4">
        <v>245690</v>
      </c>
      <c r="D14293" s="5" t="s">
        <v>16916</v>
      </c>
      <c r="E14293" s="6" t="str">
        <f>HYPERLINK("https://inpn.mnhn.fr/espece/cd_nom/245690","Aspilapteryx limosella (Duponchel, 1844)")</f>
        <v>Aspilapteryx limosella (Duponchel, 1844)</v>
      </c>
      <c r="AH14293" s="4" t="str">
        <f>HYPERLINK("#Statut_biogéographique!A"&amp;_xlfn.XMATCH("P",Statut_biogéographique!A:A,2,1),"P")</f>
        <v>P</v>
      </c>
      <c r="AP14293" s="4" t="s">
        <v>376</v>
      </c>
      <c r="AR14293" s="4" t="s">
        <v>377</v>
      </c>
    </row>
    <row r="14294" spans="1:44">
      <c r="A14294" s="4" t="s">
        <v>10753</v>
      </c>
      <c r="B14294" s="4">
        <v>245691</v>
      </c>
      <c r="D14294" s="5" t="s">
        <v>16917</v>
      </c>
      <c r="E14294" s="6" t="str">
        <f>HYPERLINK("https://inpn.mnhn.fr/espece/cd_nom/245691","Aspilapteryx tringipennella (Zeller, 1839)")</f>
        <v>Aspilapteryx tringipennella (Zeller, 1839)</v>
      </c>
      <c r="AH14294" s="4" t="str">
        <f>HYPERLINK("#Statut_biogéographique!A"&amp;_xlfn.XMATCH("P",Statut_biogéographique!A:A,2,1),"P")</f>
        <v>P</v>
      </c>
      <c r="AP14294" s="4" t="s">
        <v>376</v>
      </c>
      <c r="AR14294" s="4" t="s">
        <v>377</v>
      </c>
    </row>
    <row r="14295" spans="1:44">
      <c r="A14295" s="4" t="s">
        <v>10753</v>
      </c>
      <c r="B14295" s="4">
        <v>245693</v>
      </c>
      <c r="D14295" s="5" t="s">
        <v>16918</v>
      </c>
      <c r="E14295" s="6" t="str">
        <f>HYPERLINK("https://inpn.mnhn.fr/espece/cd_nom/245693","Gracillaria syringella (Fabricius, 1794)")</f>
        <v>Gracillaria syringella (Fabricius, 1794)</v>
      </c>
      <c r="AH14295" s="4" t="str">
        <f>HYPERLINK("#Statut_biogéographique!A"&amp;_xlfn.XMATCH("P",Statut_biogéographique!A:A,2,1),"P")</f>
        <v>P</v>
      </c>
      <c r="AP14295" s="4" t="s">
        <v>376</v>
      </c>
      <c r="AR14295" s="4" t="s">
        <v>377</v>
      </c>
    </row>
    <row r="14296" spans="1:44">
      <c r="A14296" s="4" t="s">
        <v>10753</v>
      </c>
      <c r="B14296" s="4">
        <v>245694</v>
      </c>
      <c r="D14296" s="5" t="s">
        <v>16919</v>
      </c>
      <c r="E14296" s="6" t="str">
        <f>HYPERLINK("https://inpn.mnhn.fr/espece/cd_nom/245694","Caloptilia alchimiella (Scopoli, 1763)")</f>
        <v>Caloptilia alchimiella (Scopoli, 1763)</v>
      </c>
      <c r="AH14296" s="4" t="str">
        <f>HYPERLINK("#Statut_biogéographique!A"&amp;_xlfn.XMATCH("P",Statut_biogéographique!A:A,2,1),"P")</f>
        <v>P</v>
      </c>
      <c r="AP14296" s="4" t="s">
        <v>376</v>
      </c>
      <c r="AR14296" s="4" t="s">
        <v>377</v>
      </c>
    </row>
    <row r="14297" spans="1:44">
      <c r="A14297" s="4" t="s">
        <v>10753</v>
      </c>
      <c r="B14297" s="4">
        <v>245696</v>
      </c>
      <c r="D14297" s="5" t="s">
        <v>16920</v>
      </c>
      <c r="E14297" s="6" t="str">
        <f>HYPERLINK("https://inpn.mnhn.fr/espece/cd_nom/245696","Caloptilia betulicola (M. Hering, 1928)")</f>
        <v>Caloptilia betulicola (M. Hering, 1928)</v>
      </c>
      <c r="AH14297" s="4" t="str">
        <f>HYPERLINK("#Statut_biogéographique!A"&amp;_xlfn.XMATCH("P",Statut_biogéographique!A:A,2,1),"P")</f>
        <v>P</v>
      </c>
      <c r="AP14297" s="4" t="s">
        <v>376</v>
      </c>
      <c r="AR14297" s="4" t="s">
        <v>377</v>
      </c>
    </row>
    <row r="14298" spans="1:44">
      <c r="A14298" s="4" t="s">
        <v>10753</v>
      </c>
      <c r="B14298" s="4">
        <v>245698</v>
      </c>
      <c r="D14298" s="5" t="s">
        <v>16921</v>
      </c>
      <c r="E14298" s="6" t="str">
        <f>HYPERLINK("https://inpn.mnhn.fr/espece/cd_nom/245698","Caloptilia cuculipennella (Hübner, 1796)")</f>
        <v>Caloptilia cuculipennella (Hübner, 1796)</v>
      </c>
      <c r="AH14298" s="4" t="str">
        <f>HYPERLINK("#Statut_biogéographique!A"&amp;_xlfn.XMATCH("P",Statut_biogéographique!A:A,2,1),"P")</f>
        <v>P</v>
      </c>
      <c r="AP14298" s="4" t="s">
        <v>376</v>
      </c>
      <c r="AR14298" s="4" t="s">
        <v>377</v>
      </c>
    </row>
    <row r="14299" spans="1:44">
      <c r="A14299" s="4" t="s">
        <v>10753</v>
      </c>
      <c r="B14299" s="4">
        <v>245701</v>
      </c>
      <c r="D14299" s="5" t="s">
        <v>16922</v>
      </c>
      <c r="E14299" s="6" t="str">
        <f>HYPERLINK("https://inpn.mnhn.fr/espece/cd_nom/245701","Caloptilia fidella (Reutti, 1853)")</f>
        <v>Caloptilia fidella (Reutti, 1853)</v>
      </c>
      <c r="AH14299" s="4" t="str">
        <f>HYPERLINK("#Statut_biogéographique!A"&amp;_xlfn.XMATCH("P",Statut_biogéographique!A:A,2,1),"P")</f>
        <v>P</v>
      </c>
      <c r="AP14299" s="4" t="s">
        <v>376</v>
      </c>
      <c r="AR14299" s="4" t="s">
        <v>377</v>
      </c>
    </row>
    <row r="14300" spans="1:44">
      <c r="A14300" s="4" t="s">
        <v>10753</v>
      </c>
      <c r="B14300" s="4">
        <v>245702</v>
      </c>
      <c r="D14300" s="5" t="s">
        <v>16923</v>
      </c>
      <c r="E14300" s="6" t="str">
        <f>HYPERLINK("https://inpn.mnhn.fr/espece/cd_nom/245702","Caloptilia fribergensis (Fritzsche, 1872)")</f>
        <v>Caloptilia fribergensis (Fritzsche, 1872)</v>
      </c>
      <c r="AH14300" s="4" t="str">
        <f>HYPERLINK("#Statut_biogéographique!A"&amp;_xlfn.XMATCH("P",Statut_biogéographique!A:A,2,1),"P")</f>
        <v>P</v>
      </c>
      <c r="AP14300" s="4" t="s">
        <v>376</v>
      </c>
      <c r="AR14300" s="4" t="s">
        <v>377</v>
      </c>
    </row>
    <row r="14301" spans="1:44" ht="30">
      <c r="A14301" s="4" t="s">
        <v>10753</v>
      </c>
      <c r="B14301" s="4">
        <v>245704</v>
      </c>
      <c r="D14301" s="5" t="s">
        <v>16924</v>
      </c>
      <c r="E14301" s="6" t="str">
        <f>HYPERLINK("https://inpn.mnhn.fr/espece/cd_nom/245704","Caloptilia hemidactylella (Denis &amp; Schiffermüller, 1775)")</f>
        <v>Caloptilia hemidactylella (Denis &amp; Schiffermüller, 1775)</v>
      </c>
      <c r="AH14301" s="4" t="str">
        <f>HYPERLINK("#Statut_biogéographique!A"&amp;_xlfn.XMATCH("P",Statut_biogéographique!A:A,2,1),"P")</f>
        <v>P</v>
      </c>
      <c r="AP14301" s="4" t="s">
        <v>376</v>
      </c>
      <c r="AR14301" s="4" t="s">
        <v>377</v>
      </c>
    </row>
    <row r="14302" spans="1:44">
      <c r="A14302" s="4" t="s">
        <v>10753</v>
      </c>
      <c r="B14302" s="4">
        <v>245705</v>
      </c>
      <c r="D14302" s="5" t="s">
        <v>16925</v>
      </c>
      <c r="E14302" s="6" t="str">
        <f>HYPERLINK("https://inpn.mnhn.fr/espece/cd_nom/245705","Caloptilia populetorum (Zeller, 1839)")</f>
        <v>Caloptilia populetorum (Zeller, 1839)</v>
      </c>
      <c r="AH14302" s="4" t="str">
        <f>HYPERLINK("#Statut_biogéographique!A"&amp;_xlfn.XMATCH("P",Statut_biogéographique!A:A,2,1),"P")</f>
        <v>P</v>
      </c>
      <c r="AP14302" s="4" t="s">
        <v>376</v>
      </c>
      <c r="AR14302" s="4" t="s">
        <v>377</v>
      </c>
    </row>
    <row r="14303" spans="1:44">
      <c r="A14303" s="4" t="s">
        <v>10753</v>
      </c>
      <c r="B14303" s="4">
        <v>245707</v>
      </c>
      <c r="D14303" s="5" t="s">
        <v>16926</v>
      </c>
      <c r="E14303" s="6" t="str">
        <f>HYPERLINK("https://inpn.mnhn.fr/espece/cd_nom/245707","Caloptilia roscipennella (Hübner, 1796)")</f>
        <v>Caloptilia roscipennella (Hübner, 1796)</v>
      </c>
      <c r="AH14303" s="4" t="str">
        <f>HYPERLINK("#Statut_biogéographique!A"&amp;_xlfn.XMATCH("I",Statut_biogéographique!A:A,2,1),"I")</f>
        <v>I</v>
      </c>
      <c r="AP14303" s="4" t="s">
        <v>376</v>
      </c>
      <c r="AR14303" s="4" t="s">
        <v>377</v>
      </c>
    </row>
    <row r="14304" spans="1:44">
      <c r="A14304" s="4" t="s">
        <v>10753</v>
      </c>
      <c r="B14304" s="4">
        <v>245709</v>
      </c>
      <c r="D14304" s="5" t="s">
        <v>16927</v>
      </c>
      <c r="E14304" s="6" t="str">
        <f>HYPERLINK("https://inpn.mnhn.fr/espece/cd_nom/245709","Caloptilia semifascia (Haworth, 1828)")</f>
        <v>Caloptilia semifascia (Haworth, 1828)</v>
      </c>
      <c r="AH14304" s="4" t="str">
        <f>HYPERLINK("#Statut_biogéographique!A"&amp;_xlfn.XMATCH("P",Statut_biogéographique!A:A,2,1),"P")</f>
        <v>P</v>
      </c>
      <c r="AP14304" s="4" t="s">
        <v>376</v>
      </c>
      <c r="AR14304" s="4" t="s">
        <v>377</v>
      </c>
    </row>
    <row r="14305" spans="1:44">
      <c r="A14305" s="4" t="s">
        <v>10753</v>
      </c>
      <c r="B14305" s="4">
        <v>24571</v>
      </c>
      <c r="D14305" s="5" t="s">
        <v>16928</v>
      </c>
      <c r="E14305" s="6" t="str">
        <f>HYPERLINK("https://inpn.mnhn.fr/espece/cd_nom/24571","Sericomyia lappona (Linnaeus, 1758)")</f>
        <v>Sericomyia lappona (Linnaeus, 1758)</v>
      </c>
      <c r="P14305" s="7" t="str">
        <f>HYPERLINK("#Liste_rouge!A"&amp;_xlfn.XMATCH("LC",Liste_rouge!A:A,2,1),"LC")</f>
        <v>LC</v>
      </c>
      <c r="AH14305" s="4" t="str">
        <f>HYPERLINK("#Statut_biogéographique!A"&amp;_xlfn.XMATCH("P",Statut_biogéographique!A:A,2,1),"P")</f>
        <v>P</v>
      </c>
      <c r="AP14305" s="4" t="s">
        <v>376</v>
      </c>
      <c r="AR14305" s="4" t="s">
        <v>377</v>
      </c>
    </row>
    <row r="14306" spans="1:44">
      <c r="A14306" s="4" t="s">
        <v>10753</v>
      </c>
      <c r="B14306" s="4">
        <v>245710</v>
      </c>
      <c r="D14306" s="5" t="s">
        <v>16929</v>
      </c>
      <c r="E14306" s="6" t="str">
        <f>HYPERLINK("https://inpn.mnhn.fr/espece/cd_nom/245710","Caloptilia stigmatella (Fabricius, 1781)")</f>
        <v>Caloptilia stigmatella (Fabricius, 1781)</v>
      </c>
      <c r="AH14306" s="4" t="str">
        <f>HYPERLINK("#Statut_biogéographique!A"&amp;_xlfn.XMATCH("P",Statut_biogéographique!A:A,2,1),"P")</f>
        <v>P</v>
      </c>
      <c r="AP14306" s="4" t="s">
        <v>376</v>
      </c>
      <c r="AR14306" s="4" t="s">
        <v>377</v>
      </c>
    </row>
    <row r="14307" spans="1:44">
      <c r="A14307" s="4" t="s">
        <v>10753</v>
      </c>
      <c r="B14307" s="4">
        <v>245713</v>
      </c>
      <c r="D14307" s="5" t="s">
        <v>16930</v>
      </c>
      <c r="E14307" s="6" t="str">
        <f>HYPERLINK("https://inpn.mnhn.fr/espece/cd_nom/245713","Parectopa ononidis (Zeller, 1839)")</f>
        <v>Parectopa ononidis (Zeller, 1839)</v>
      </c>
      <c r="AH14307" s="4" t="str">
        <f>HYPERLINK("#Statut_biogéographique!A"&amp;_xlfn.XMATCH("P",Statut_biogéographique!A:A,2,1),"P")</f>
        <v>P</v>
      </c>
      <c r="AP14307" s="4" t="s">
        <v>376</v>
      </c>
      <c r="AR14307" s="4" t="s">
        <v>377</v>
      </c>
    </row>
    <row r="14308" spans="1:44">
      <c r="A14308" s="4" t="s">
        <v>10753</v>
      </c>
      <c r="B14308" s="4">
        <v>245714</v>
      </c>
      <c r="D14308" s="5">
        <v>245714</v>
      </c>
      <c r="E14308" s="6" t="str">
        <f>HYPERLINK("https://inpn.mnhn.fr/espece/cd_nom/245714","Parectopa robiniella Clemens, 1863")</f>
        <v>Parectopa robiniella Clemens, 1863</v>
      </c>
      <c r="AH14308" s="4" t="str">
        <f>HYPERLINK("#Statut_biogéographique!A"&amp;_xlfn.XMATCH("I",Statut_biogéographique!A:A,2,1),"I")</f>
        <v>I</v>
      </c>
      <c r="AP14308" s="4" t="s">
        <v>376</v>
      </c>
      <c r="AR14308" s="4" t="s">
        <v>377</v>
      </c>
    </row>
    <row r="14309" spans="1:44">
      <c r="A14309" s="4" t="s">
        <v>10753</v>
      </c>
      <c r="B14309" s="4">
        <v>245719</v>
      </c>
      <c r="D14309" s="5" t="s">
        <v>16931</v>
      </c>
      <c r="E14309" s="6" t="str">
        <f>HYPERLINK("https://inpn.mnhn.fr/espece/cd_nom/245719","Argyresthia bergiella (Ratzeburg, 1840)")</f>
        <v>Argyresthia bergiella (Ratzeburg, 1840)</v>
      </c>
      <c r="AH14309" s="4" t="str">
        <f>HYPERLINK("#Statut_biogéographique!A"&amp;_xlfn.XMATCH("P",Statut_biogéographique!A:A,2,1),"P")</f>
        <v>P</v>
      </c>
      <c r="AP14309" s="4" t="s">
        <v>376</v>
      </c>
      <c r="AR14309" s="4" t="s">
        <v>377</v>
      </c>
    </row>
    <row r="14310" spans="1:44">
      <c r="A14310" s="4" t="s">
        <v>10753</v>
      </c>
      <c r="B14310" s="4">
        <v>24572</v>
      </c>
      <c r="D14310" s="5" t="s">
        <v>16932</v>
      </c>
      <c r="E14310" s="6" t="str">
        <f>HYPERLINK("https://inpn.mnhn.fr/espece/cd_nom/24572","Sericomyia silentis (Harris, 1778)")</f>
        <v>Sericomyia silentis (Harris, 1778)</v>
      </c>
      <c r="P14310" s="7" t="str">
        <f>HYPERLINK("#Liste_rouge!A"&amp;_xlfn.XMATCH("LC",Liste_rouge!A:A,2,1),"LC")</f>
        <v>LC</v>
      </c>
      <c r="AH14310" s="4" t="str">
        <f>HYPERLINK("#Statut_biogéographique!A"&amp;_xlfn.XMATCH("P",Statut_biogéographique!A:A,2,1),"P")</f>
        <v>P</v>
      </c>
      <c r="AP14310" s="4" t="s">
        <v>376</v>
      </c>
      <c r="AR14310" s="4" t="s">
        <v>377</v>
      </c>
    </row>
    <row r="14311" spans="1:44">
      <c r="A14311" s="4" t="s">
        <v>10753</v>
      </c>
      <c r="B14311" s="4">
        <v>245721</v>
      </c>
      <c r="D14311" s="5">
        <v>245721</v>
      </c>
      <c r="E14311" s="6" t="str">
        <f>HYPERLINK("https://inpn.mnhn.fr/espece/cd_nom/245721","Argyresthia praecocella Zeller, 1839")</f>
        <v>Argyresthia praecocella Zeller, 1839</v>
      </c>
      <c r="AH14311" s="4" t="str">
        <f>HYPERLINK("#Statut_biogéographique!A"&amp;_xlfn.XMATCH("P",Statut_biogéographique!A:A,2,1),"P")</f>
        <v>P</v>
      </c>
      <c r="AP14311" s="4" t="s">
        <v>376</v>
      </c>
      <c r="AR14311" s="4" t="s">
        <v>377</v>
      </c>
    </row>
    <row r="14312" spans="1:44">
      <c r="A14312" s="4" t="s">
        <v>10753</v>
      </c>
      <c r="B14312" s="4">
        <v>245722</v>
      </c>
      <c r="D14312" s="5">
        <v>245722</v>
      </c>
      <c r="E14312" s="6" t="str">
        <f>HYPERLINK("https://inpn.mnhn.fr/espece/cd_nom/245722","Argyresthia arceuthina Zeller, 1839")</f>
        <v>Argyresthia arceuthina Zeller, 1839</v>
      </c>
      <c r="AH14312" s="4" t="str">
        <f>HYPERLINK("#Statut_biogéographique!A"&amp;_xlfn.XMATCH("P",Statut_biogéographique!A:A,2,1),"P")</f>
        <v>P</v>
      </c>
      <c r="AP14312" s="4" t="s">
        <v>376</v>
      </c>
      <c r="AR14312" s="4" t="s">
        <v>377</v>
      </c>
    </row>
    <row r="14313" spans="1:44">
      <c r="A14313" s="4" t="s">
        <v>10753</v>
      </c>
      <c r="B14313" s="4">
        <v>245723</v>
      </c>
      <c r="D14313" s="5">
        <v>245723</v>
      </c>
      <c r="E14313" s="6" t="str">
        <f>HYPERLINK("https://inpn.mnhn.fr/espece/cd_nom/245723","Argyresthia trifasciata Staudinger, 1871")</f>
        <v>Argyresthia trifasciata Staudinger, 1871</v>
      </c>
      <c r="AH14313" s="4" t="str">
        <f>HYPERLINK("#Statut_biogéographique!A"&amp;_xlfn.XMATCH("P",Statut_biogéographique!A:A,2,1),"P")</f>
        <v>P</v>
      </c>
      <c r="AP14313" s="4" t="s">
        <v>376</v>
      </c>
      <c r="AR14313" s="4" t="s">
        <v>377</v>
      </c>
    </row>
    <row r="14314" spans="1:44">
      <c r="A14314" s="4" t="s">
        <v>10753</v>
      </c>
      <c r="B14314" s="4">
        <v>245728</v>
      </c>
      <c r="D14314" s="5" t="s">
        <v>16933</v>
      </c>
      <c r="E14314" s="6" t="str">
        <f>HYPERLINK("https://inpn.mnhn.fr/espece/cd_nom/245728","Argyresthia abdominalis Zeller, 1839")</f>
        <v>Argyresthia abdominalis Zeller, 1839</v>
      </c>
      <c r="AH14314" s="4" t="str">
        <f>HYPERLINK("#Statut_biogéographique!A"&amp;_xlfn.XMATCH("P",Statut_biogéographique!A:A,2,1),"P")</f>
        <v>P</v>
      </c>
      <c r="AP14314" s="4" t="s">
        <v>376</v>
      </c>
      <c r="AR14314" s="4" t="s">
        <v>377</v>
      </c>
    </row>
    <row r="14315" spans="1:44">
      <c r="A14315" s="4" t="s">
        <v>10753</v>
      </c>
      <c r="B14315" s="4">
        <v>245731</v>
      </c>
      <c r="D14315" s="5" t="s">
        <v>16934</v>
      </c>
      <c r="E14315" s="6" t="str">
        <f>HYPERLINK("https://inpn.mnhn.fr/espece/cd_nom/245731","Argyresthia brockeella (Hübner, 1813)")</f>
        <v>Argyresthia brockeella (Hübner, 1813)</v>
      </c>
      <c r="AH14315" s="4" t="str">
        <f>HYPERLINK("#Statut_biogéographique!A"&amp;_xlfn.XMATCH("P",Statut_biogéographique!A:A,2,1),"P")</f>
        <v>P</v>
      </c>
      <c r="AP14315" s="4" t="s">
        <v>376</v>
      </c>
      <c r="AR14315" s="4" t="s">
        <v>377</v>
      </c>
    </row>
    <row r="14316" spans="1:44" ht="30">
      <c r="A14316" s="4" t="s">
        <v>10753</v>
      </c>
      <c r="B14316" s="4">
        <v>245732</v>
      </c>
      <c r="D14316" s="5" t="s">
        <v>16935</v>
      </c>
      <c r="E14316" s="6" t="str">
        <f>HYPERLINK("https://inpn.mnhn.fr/espece/cd_nom/245732","Argyresthia goedartella (Linnaeus, 1758)")</f>
        <v>Argyresthia goedartella (Linnaeus, 1758)</v>
      </c>
      <c r="AH14316" s="4" t="str">
        <f>HYPERLINK("#Statut_biogéographique!A"&amp;_xlfn.XMATCH("P",Statut_biogéographique!A:A,2,1),"P")</f>
        <v>P</v>
      </c>
      <c r="AP14316" s="4" t="s">
        <v>376</v>
      </c>
      <c r="AR14316" s="4" t="s">
        <v>377</v>
      </c>
    </row>
    <row r="14317" spans="1:44">
      <c r="A14317" s="4" t="s">
        <v>10753</v>
      </c>
      <c r="B14317" s="4">
        <v>245736</v>
      </c>
      <c r="D14317" s="5" t="s">
        <v>16936</v>
      </c>
      <c r="E14317" s="6" t="str">
        <f>HYPERLINK("https://inpn.mnhn.fr/espece/cd_nom/245736","Argyresthia curvella (Linnaeus, 1761)")</f>
        <v>Argyresthia curvella (Linnaeus, 1761)</v>
      </c>
      <c r="AH14317" s="4" t="str">
        <f>HYPERLINK("#Statut_biogéographique!A"&amp;_xlfn.XMATCH("P",Statut_biogéographique!A:A,2,1),"P")</f>
        <v>P</v>
      </c>
      <c r="AP14317" s="4" t="s">
        <v>376</v>
      </c>
      <c r="AR14317" s="4" t="s">
        <v>377</v>
      </c>
    </row>
    <row r="14318" spans="1:44">
      <c r="A14318" s="4" t="s">
        <v>10753</v>
      </c>
      <c r="B14318" s="4">
        <v>245737</v>
      </c>
      <c r="D14318" s="5">
        <v>245737</v>
      </c>
      <c r="E14318" s="6" t="str">
        <f>HYPERLINK("https://inpn.mnhn.fr/espece/cd_nom/245737","Argyresthia retinella Zeller, 1839")</f>
        <v>Argyresthia retinella Zeller, 1839</v>
      </c>
      <c r="AH14318" s="4" t="str">
        <f>HYPERLINK("#Statut_biogéographique!A"&amp;_xlfn.XMATCH("P",Statut_biogéographique!A:A,2,1),"P")</f>
        <v>P</v>
      </c>
      <c r="AP14318" s="4" t="s">
        <v>376</v>
      </c>
      <c r="AR14318" s="4" t="s">
        <v>377</v>
      </c>
    </row>
    <row r="14319" spans="1:44">
      <c r="A14319" s="4" t="s">
        <v>10753</v>
      </c>
      <c r="B14319" s="4">
        <v>245740</v>
      </c>
      <c r="D14319" s="5" t="s">
        <v>16937</v>
      </c>
      <c r="E14319" s="6" t="str">
        <f>HYPERLINK("https://inpn.mnhn.fr/espece/cd_nom/245740","Argyresthia spinosella Stainton, 1849")</f>
        <v>Argyresthia spinosella Stainton, 1849</v>
      </c>
      <c r="AH14319" s="4" t="str">
        <f>HYPERLINK("#Statut_biogéographique!A"&amp;_xlfn.XMATCH("P",Statut_biogéographique!A:A,2,1),"P")</f>
        <v>P</v>
      </c>
      <c r="AP14319" s="4" t="s">
        <v>376</v>
      </c>
      <c r="AR14319" s="4" t="s">
        <v>377</v>
      </c>
    </row>
    <row r="14320" spans="1:44">
      <c r="A14320" s="4" t="s">
        <v>10753</v>
      </c>
      <c r="B14320" s="4">
        <v>245741</v>
      </c>
      <c r="D14320" s="5">
        <v>245741</v>
      </c>
      <c r="E14320" s="6" t="str">
        <f>HYPERLINK("https://inpn.mnhn.fr/espece/cd_nom/245741","Argyresthia conjugella Zeller, 1839")</f>
        <v>Argyresthia conjugella Zeller, 1839</v>
      </c>
      <c r="AH14320" s="4" t="str">
        <f>HYPERLINK("#Statut_biogéographique!A"&amp;_xlfn.XMATCH("P",Statut_biogéographique!A:A,2,1),"P")</f>
        <v>P</v>
      </c>
      <c r="AP14320" s="4" t="s">
        <v>376</v>
      </c>
      <c r="AR14320" s="4" t="s">
        <v>377</v>
      </c>
    </row>
    <row r="14321" spans="1:44">
      <c r="A14321" s="4" t="s">
        <v>10753</v>
      </c>
      <c r="B14321" s="4">
        <v>245744</v>
      </c>
      <c r="D14321" s="5" t="s">
        <v>16938</v>
      </c>
      <c r="E14321" s="6" t="str">
        <f>HYPERLINK("https://inpn.mnhn.fr/espece/cd_nom/245744","Argyresthia pruniella (Clerck, 1759)")</f>
        <v>Argyresthia pruniella (Clerck, 1759)</v>
      </c>
      <c r="AH14321" s="4" t="str">
        <f>HYPERLINK("#Statut_biogéographique!A"&amp;_xlfn.XMATCH("P",Statut_biogéographique!A:A,2,1),"P")</f>
        <v>P</v>
      </c>
      <c r="AP14321" s="4" t="s">
        <v>376</v>
      </c>
      <c r="AR14321" s="4" t="s">
        <v>377</v>
      </c>
    </row>
    <row r="14322" spans="1:44" ht="30">
      <c r="A14322" s="4" t="s">
        <v>10753</v>
      </c>
      <c r="B14322" s="4">
        <v>245745</v>
      </c>
      <c r="D14322" s="5" t="s">
        <v>16939</v>
      </c>
      <c r="E14322" s="6" t="str">
        <f>HYPERLINK("https://inpn.mnhn.fr/espece/cd_nom/245745","Argyresthia bonnetella (Linnaeus, 1758)")</f>
        <v>Argyresthia bonnetella (Linnaeus, 1758)</v>
      </c>
      <c r="AH14322" s="4" t="str">
        <f>HYPERLINK("#Statut_biogéographique!A"&amp;_xlfn.XMATCH("P",Statut_biogéographique!A:A,2,1),"P")</f>
        <v>P</v>
      </c>
      <c r="AP14322" s="4" t="s">
        <v>376</v>
      </c>
      <c r="AR14322" s="4" t="s">
        <v>377</v>
      </c>
    </row>
    <row r="14323" spans="1:44">
      <c r="A14323" s="4" t="s">
        <v>10753</v>
      </c>
      <c r="B14323" s="4">
        <v>245746</v>
      </c>
      <c r="D14323" s="5" t="s">
        <v>16940</v>
      </c>
      <c r="E14323" s="6" t="str">
        <f>HYPERLINK("https://inpn.mnhn.fr/espece/cd_nom/245746","Argyresthia albistria (Haworth, 1828)")</f>
        <v>Argyresthia albistria (Haworth, 1828)</v>
      </c>
      <c r="AH14323" s="4" t="str">
        <f>HYPERLINK("#Statut_biogéographique!A"&amp;_xlfn.XMATCH("P",Statut_biogéographique!A:A,2,1),"P")</f>
        <v>P</v>
      </c>
      <c r="AP14323" s="4" t="s">
        <v>376</v>
      </c>
      <c r="AR14323" s="4" t="s">
        <v>377</v>
      </c>
    </row>
    <row r="14324" spans="1:44">
      <c r="A14324" s="4" t="s">
        <v>10753</v>
      </c>
      <c r="B14324" s="4">
        <v>245747</v>
      </c>
      <c r="D14324" s="5" t="s">
        <v>16941</v>
      </c>
      <c r="E14324" s="6" t="str">
        <f>HYPERLINK("https://inpn.mnhn.fr/espece/cd_nom/245747","Argyresthia semitestacella (Curtis, 1833)")</f>
        <v>Argyresthia semitestacella (Curtis, 1833)</v>
      </c>
      <c r="AH14324" s="4" t="str">
        <f>HYPERLINK("#Statut_biogéographique!A"&amp;_xlfn.XMATCH("P",Statut_biogéographique!A:A,2,1),"P")</f>
        <v>P</v>
      </c>
      <c r="AP14324" s="4" t="s">
        <v>376</v>
      </c>
      <c r="AR14324" s="4" t="s">
        <v>377</v>
      </c>
    </row>
    <row r="14325" spans="1:44">
      <c r="A14325" s="4" t="s">
        <v>10753</v>
      </c>
      <c r="B14325" s="4">
        <v>245749</v>
      </c>
      <c r="D14325" s="5" t="s">
        <v>16942</v>
      </c>
      <c r="E14325" s="6" t="str">
        <f>HYPERLINK("https://inpn.mnhn.fr/espece/cd_nom/245749","Prays fraxinella (Bjerkander, 1784)")</f>
        <v>Prays fraxinella (Bjerkander, 1784)</v>
      </c>
      <c r="AH14325" s="4" t="str">
        <f>HYPERLINK("#Statut_biogéographique!A"&amp;_xlfn.XMATCH("P",Statut_biogéographique!A:A,2,1),"P")</f>
        <v>P</v>
      </c>
      <c r="AP14325" s="4" t="s">
        <v>376</v>
      </c>
      <c r="AR14325" s="4" t="s">
        <v>377</v>
      </c>
    </row>
    <row r="14326" spans="1:44">
      <c r="A14326" s="4" t="s">
        <v>10753</v>
      </c>
      <c r="B14326" s="4">
        <v>245754</v>
      </c>
      <c r="D14326" s="5" t="s">
        <v>16943</v>
      </c>
      <c r="E14326" s="6" t="str">
        <f>HYPERLINK("https://inpn.mnhn.fr/espece/cd_nom/245754","Niphonympha dealbatella (Zeller, 1847)")</f>
        <v>Niphonympha dealbatella (Zeller, 1847)</v>
      </c>
      <c r="AH14326" s="4" t="str">
        <f>HYPERLINK("#Statut_biogéographique!A"&amp;_xlfn.XMATCH("P",Statut_biogéographique!A:A,2,1),"P")</f>
        <v>P</v>
      </c>
      <c r="AP14326" s="4" t="s">
        <v>376</v>
      </c>
      <c r="AR14326" s="4" t="s">
        <v>377</v>
      </c>
    </row>
    <row r="14327" spans="1:44">
      <c r="A14327" s="4" t="s">
        <v>10753</v>
      </c>
      <c r="B14327" s="4">
        <v>245757</v>
      </c>
      <c r="D14327" s="5" t="s">
        <v>16944</v>
      </c>
      <c r="E14327" s="6" t="str">
        <f>HYPERLINK("https://inpn.mnhn.fr/espece/cd_nom/245757","Cedestis gysseleniella Zeller, 1839")</f>
        <v>Cedestis gysseleniella Zeller, 1839</v>
      </c>
      <c r="AH14327" s="4" t="str">
        <f>HYPERLINK("#Statut_biogéographique!A"&amp;_xlfn.XMATCH("P",Statut_biogéographique!A:A,2,1),"P")</f>
        <v>P</v>
      </c>
      <c r="AP14327" s="4" t="s">
        <v>376</v>
      </c>
      <c r="AR14327" s="4" t="s">
        <v>377</v>
      </c>
    </row>
    <row r="14328" spans="1:44" ht="30">
      <c r="A14328" s="4" t="s">
        <v>10753</v>
      </c>
      <c r="B14328" s="4">
        <v>245759</v>
      </c>
      <c r="D14328" s="5" t="s">
        <v>16945</v>
      </c>
      <c r="E14328" s="6" t="str">
        <f>HYPERLINK("https://inpn.mnhn.fr/espece/cd_nom/245759","Paraswammerdamia albicapitella (Scharfenberg, 1805)")</f>
        <v>Paraswammerdamia albicapitella (Scharfenberg, 1805)</v>
      </c>
      <c r="AH14328" s="4" t="str">
        <f>HYPERLINK("#Statut_biogéographique!A"&amp;_xlfn.XMATCH("P",Statut_biogéographique!A:A,2,1),"P")</f>
        <v>P</v>
      </c>
      <c r="AP14328" s="4" t="s">
        <v>376</v>
      </c>
      <c r="AR14328" s="4" t="s">
        <v>377</v>
      </c>
    </row>
    <row r="14329" spans="1:44" ht="30">
      <c r="A14329" s="4" t="s">
        <v>10753</v>
      </c>
      <c r="B14329" s="4">
        <v>245761</v>
      </c>
      <c r="D14329" s="5" t="s">
        <v>16946</v>
      </c>
      <c r="E14329" s="6" t="str">
        <f>HYPERLINK("https://inpn.mnhn.fr/espece/cd_nom/245761","Paraswammerdamia nebulella (Goeze, 1783)")</f>
        <v>Paraswammerdamia nebulella (Goeze, 1783)</v>
      </c>
      <c r="AH14329" s="4" t="str">
        <f>HYPERLINK("#Statut_biogéographique!A"&amp;_xlfn.XMATCH("P",Statut_biogéographique!A:A,2,1),"P")</f>
        <v>P</v>
      </c>
      <c r="AP14329" s="4" t="s">
        <v>376</v>
      </c>
      <c r="AR14329" s="4" t="s">
        <v>377</v>
      </c>
    </row>
    <row r="14330" spans="1:44">
      <c r="A14330" s="4" t="s">
        <v>10753</v>
      </c>
      <c r="B14330" s="4">
        <v>245762</v>
      </c>
      <c r="D14330" s="5" t="s">
        <v>16947</v>
      </c>
      <c r="E14330" s="6" t="str">
        <f>HYPERLINK("https://inpn.mnhn.fr/espece/cd_nom/245762","Swammerdamia caesiella (Hübner, 1796)")</f>
        <v>Swammerdamia caesiella (Hübner, 1796)</v>
      </c>
      <c r="AH14330" s="4" t="str">
        <f>HYPERLINK("#Statut_biogéographique!A"&amp;_xlfn.XMATCH("P",Statut_biogéographique!A:A,2,1),"P")</f>
        <v>P</v>
      </c>
      <c r="AP14330" s="4" t="s">
        <v>376</v>
      </c>
      <c r="AR14330" s="4" t="s">
        <v>377</v>
      </c>
    </row>
    <row r="14331" spans="1:44">
      <c r="A14331" s="4" t="s">
        <v>10753</v>
      </c>
      <c r="B14331" s="4">
        <v>245763</v>
      </c>
      <c r="D14331" s="5" t="s">
        <v>16948</v>
      </c>
      <c r="E14331" s="6" t="str">
        <f>HYPERLINK("https://inpn.mnhn.fr/espece/cd_nom/245763","Swammerdamia pyrella (Villers, 1789)")</f>
        <v>Swammerdamia pyrella (Villers, 1789)</v>
      </c>
      <c r="AH14331" s="4" t="str">
        <f>HYPERLINK("#Statut_biogéographique!A"&amp;_xlfn.XMATCH("P",Statut_biogéographique!A:A,2,1),"P")</f>
        <v>P</v>
      </c>
      <c r="AP14331" s="4" t="s">
        <v>376</v>
      </c>
      <c r="AR14331" s="4" t="s">
        <v>377</v>
      </c>
    </row>
    <row r="14332" spans="1:44" ht="30">
      <c r="A14332" s="4" t="s">
        <v>10753</v>
      </c>
      <c r="B14332" s="4">
        <v>245764</v>
      </c>
      <c r="D14332" s="5">
        <v>245764</v>
      </c>
      <c r="E14332" s="6" t="str">
        <f>HYPERLINK("https://inpn.mnhn.fr/espece/cd_nom/245764","Swammerdamia compunctella Herrich-Schäffer, 1855")</f>
        <v>Swammerdamia compunctella Herrich-Schäffer, 1855</v>
      </c>
      <c r="AH14332" s="4" t="str">
        <f>HYPERLINK("#Statut_biogéographique!A"&amp;_xlfn.XMATCH("P",Statut_biogéographique!A:A,2,1),"P")</f>
        <v>P</v>
      </c>
      <c r="AP14332" s="4" t="s">
        <v>376</v>
      </c>
      <c r="AR14332" s="4" t="s">
        <v>377</v>
      </c>
    </row>
    <row r="14333" spans="1:44" ht="30">
      <c r="A14333" s="4" t="s">
        <v>10753</v>
      </c>
      <c r="B14333" s="4">
        <v>245765</v>
      </c>
      <c r="D14333" s="5" t="s">
        <v>16949</v>
      </c>
      <c r="E14333" s="6" t="str">
        <f>HYPERLINK("https://inpn.mnhn.fr/espece/cd_nom/245765","Pseudoswammerdamia combinella (Hübner, 1786)")</f>
        <v>Pseudoswammerdamia combinella (Hübner, 1786)</v>
      </c>
      <c r="AH14333" s="4" t="str">
        <f>HYPERLINK("#Statut_biogéographique!A"&amp;_xlfn.XMATCH("P",Statut_biogéographique!A:A,2,1),"P")</f>
        <v>P</v>
      </c>
      <c r="AP14333" s="4" t="s">
        <v>376</v>
      </c>
      <c r="AR14333" s="4" t="s">
        <v>377</v>
      </c>
    </row>
    <row r="14334" spans="1:44">
      <c r="A14334" s="4" t="s">
        <v>10753</v>
      </c>
      <c r="B14334" s="4">
        <v>24577</v>
      </c>
      <c r="D14334" s="5" t="s">
        <v>16950</v>
      </c>
      <c r="E14334" s="6" t="str">
        <f>HYPERLINK("https://inpn.mnhn.fr/espece/cd_nom/24577","Syritta pipiens (Linnaeus, 1758)")</f>
        <v>Syritta pipiens (Linnaeus, 1758)</v>
      </c>
      <c r="P14334" s="7" t="str">
        <f>HYPERLINK("#Liste_rouge!A"&amp;_xlfn.XMATCH("LC",Liste_rouge!A:A,2,1),"LC")</f>
        <v>LC</v>
      </c>
      <c r="AH14334" s="4" t="str">
        <f>HYPERLINK("#Statut_biogéographique!A"&amp;_xlfn.XMATCH("P",Statut_biogéographique!A:A,2,1),"P")</f>
        <v>P</v>
      </c>
      <c r="AP14334" s="4" t="s">
        <v>376</v>
      </c>
      <c r="AR14334" s="4" t="s">
        <v>377</v>
      </c>
    </row>
    <row r="14335" spans="1:44">
      <c r="A14335" s="4" t="s">
        <v>10753</v>
      </c>
      <c r="B14335" s="4">
        <v>245783</v>
      </c>
      <c r="D14335" s="5" t="s">
        <v>16951</v>
      </c>
      <c r="E14335" s="6" t="str">
        <f>HYPERLINK("https://inpn.mnhn.fr/espece/cd_nom/245783","Yponomeuta evonymella (Linnaeus, 1758)")</f>
        <v>Yponomeuta evonymella (Linnaeus, 1758)</v>
      </c>
      <c r="AH14335" s="4" t="str">
        <f>HYPERLINK("#Statut_biogéographique!A"&amp;_xlfn.XMATCH("P",Statut_biogéographique!A:A,2,1),"P")</f>
        <v>P</v>
      </c>
      <c r="AP14335" s="4" t="s">
        <v>376</v>
      </c>
      <c r="AR14335" s="4" t="s">
        <v>377</v>
      </c>
    </row>
    <row r="14336" spans="1:44">
      <c r="A14336" s="4" t="s">
        <v>10753</v>
      </c>
      <c r="B14336" s="4">
        <v>245784</v>
      </c>
      <c r="D14336" s="5" t="s">
        <v>16952</v>
      </c>
      <c r="E14336" s="6" t="str">
        <f>HYPERLINK("https://inpn.mnhn.fr/espece/cd_nom/245784","Yponomeuta padella (Linnaeus, 1758)")</f>
        <v>Yponomeuta padella (Linnaeus, 1758)</v>
      </c>
      <c r="AH14336" s="4" t="str">
        <f>HYPERLINK("#Statut_biogéographique!A"&amp;_xlfn.XMATCH("P",Statut_biogéographique!A:A,2,1),"P")</f>
        <v>P</v>
      </c>
      <c r="AP14336" s="4" t="s">
        <v>376</v>
      </c>
      <c r="AR14336" s="4" t="s">
        <v>377</v>
      </c>
    </row>
    <row r="14337" spans="1:44">
      <c r="A14337" s="4" t="s">
        <v>10753</v>
      </c>
      <c r="B14337" s="4">
        <v>245785</v>
      </c>
      <c r="D14337" s="5" t="s">
        <v>16953</v>
      </c>
      <c r="E14337" s="6" t="str">
        <f>HYPERLINK("https://inpn.mnhn.fr/espece/cd_nom/245785","Yponomeuta malinella Zeller, 1838")</f>
        <v>Yponomeuta malinella Zeller, 1838</v>
      </c>
      <c r="AH14337" s="4" t="str">
        <f>HYPERLINK("#Statut_biogéographique!A"&amp;_xlfn.XMATCH("P",Statut_biogéographique!A:A,2,1),"P")</f>
        <v>P</v>
      </c>
      <c r="AP14337" s="4" t="s">
        <v>376</v>
      </c>
      <c r="AR14337" s="4" t="s">
        <v>377</v>
      </c>
    </row>
    <row r="14338" spans="1:44">
      <c r="A14338" s="4" t="s">
        <v>10753</v>
      </c>
      <c r="B14338" s="4">
        <v>245786</v>
      </c>
      <c r="D14338" s="5" t="s">
        <v>16954</v>
      </c>
      <c r="E14338" s="6" t="str">
        <f>HYPERLINK("https://inpn.mnhn.fr/espece/cd_nom/245786","Yponomeuta cagnagella (Hübner, 1813)")</f>
        <v>Yponomeuta cagnagella (Hübner, 1813)</v>
      </c>
      <c r="AH14338" s="4" t="str">
        <f>HYPERLINK("#Statut_biogéographique!A"&amp;_xlfn.XMATCH("P",Statut_biogéographique!A:A,2,1),"P")</f>
        <v>P</v>
      </c>
      <c r="AP14338" s="4" t="s">
        <v>376</v>
      </c>
      <c r="AR14338" s="4" t="s">
        <v>377</v>
      </c>
    </row>
    <row r="14339" spans="1:44">
      <c r="A14339" s="4" t="s">
        <v>10753</v>
      </c>
      <c r="B14339" s="4">
        <v>245788</v>
      </c>
      <c r="D14339" s="5" t="s">
        <v>16955</v>
      </c>
      <c r="E14339" s="6" t="str">
        <f>HYPERLINK("https://inpn.mnhn.fr/espece/cd_nom/245788","Yponomeuta rorrella (Hübner, 1796)")</f>
        <v>Yponomeuta rorrella (Hübner, 1796)</v>
      </c>
      <c r="AH14339" s="4" t="str">
        <f>HYPERLINK("#Statut_biogéographique!A"&amp;_xlfn.XMATCH("P",Statut_biogéographique!A:A,2,1),"P")</f>
        <v>P</v>
      </c>
      <c r="AP14339" s="4" t="s">
        <v>376</v>
      </c>
      <c r="AR14339" s="4" t="s">
        <v>377</v>
      </c>
    </row>
    <row r="14340" spans="1:44">
      <c r="A14340" s="4" t="s">
        <v>10753</v>
      </c>
      <c r="B14340" s="4">
        <v>245789</v>
      </c>
      <c r="D14340" s="5" t="s">
        <v>16956</v>
      </c>
      <c r="E14340" s="6" t="str">
        <f>HYPERLINK("https://inpn.mnhn.fr/espece/cd_nom/245789","Yponomeuta irrorella (Hübner, 1796)")</f>
        <v>Yponomeuta irrorella (Hübner, 1796)</v>
      </c>
      <c r="AH14340" s="4" t="str">
        <f>HYPERLINK("#Statut_biogéographique!A"&amp;_xlfn.XMATCH("P",Statut_biogéographique!A:A,2,1),"P")</f>
        <v>P</v>
      </c>
      <c r="AP14340" s="4" t="s">
        <v>376</v>
      </c>
      <c r="AR14340" s="4" t="s">
        <v>377</v>
      </c>
    </row>
    <row r="14341" spans="1:44">
      <c r="A14341" s="4" t="s">
        <v>10753</v>
      </c>
      <c r="B14341" s="4">
        <v>24579</v>
      </c>
      <c r="D14341" s="5" t="s">
        <v>16957</v>
      </c>
      <c r="E14341" s="6" t="str">
        <f>HYPERLINK("https://inpn.mnhn.fr/espece/cd_nom/24579","Temnostoma apiforme (Fabricius, 1794)")</f>
        <v>Temnostoma apiforme (Fabricius, 1794)</v>
      </c>
      <c r="P14341" s="7" t="str">
        <f>HYPERLINK("#Liste_rouge!A"&amp;_xlfn.XMATCH("NT",Liste_rouge!A:A,2,1),"NT")</f>
        <v>NT</v>
      </c>
      <c r="AH14341" s="4" t="str">
        <f>HYPERLINK("#Statut_biogéographique!A"&amp;_xlfn.XMATCH("P",Statut_biogéographique!A:A,2,1),"P")</f>
        <v>P</v>
      </c>
      <c r="AP14341" s="4" t="s">
        <v>376</v>
      </c>
      <c r="AR14341" s="4" t="s">
        <v>377</v>
      </c>
    </row>
    <row r="14342" spans="1:44" ht="30">
      <c r="A14342" s="4" t="s">
        <v>10753</v>
      </c>
      <c r="B14342" s="4">
        <v>245790</v>
      </c>
      <c r="D14342" s="5" t="s">
        <v>16958</v>
      </c>
      <c r="E14342" s="6" t="str">
        <f>HYPERLINK("https://inpn.mnhn.fr/espece/cd_nom/245790","Yponomeuta plumbella (Denis &amp; Schiffermüller, 1775)")</f>
        <v>Yponomeuta plumbella (Denis &amp; Schiffermüller, 1775)</v>
      </c>
      <c r="AH14342" s="4" t="str">
        <f>HYPERLINK("#Statut_biogéographique!A"&amp;_xlfn.XMATCH("P",Statut_biogéographique!A:A,2,1),"P")</f>
        <v>P</v>
      </c>
      <c r="AP14342" s="4" t="s">
        <v>376</v>
      </c>
      <c r="AR14342" s="4" t="s">
        <v>377</v>
      </c>
    </row>
    <row r="14343" spans="1:44">
      <c r="A14343" s="4" t="s">
        <v>10753</v>
      </c>
      <c r="B14343" s="4">
        <v>245791</v>
      </c>
      <c r="D14343" s="5" t="s">
        <v>16959</v>
      </c>
      <c r="E14343" s="6" t="str">
        <f>HYPERLINK("https://inpn.mnhn.fr/espece/cd_nom/245791","Yponomeuta sedella Treitschke, 1832")</f>
        <v>Yponomeuta sedella Treitschke, 1832</v>
      </c>
      <c r="AH14343" s="4" t="str">
        <f>HYPERLINK("#Statut_biogéographique!A"&amp;_xlfn.XMATCH("P",Statut_biogéographique!A:A,2,1),"P")</f>
        <v>P</v>
      </c>
      <c r="AP14343" s="4" t="s">
        <v>376</v>
      </c>
      <c r="AR14343" s="4" t="s">
        <v>377</v>
      </c>
    </row>
    <row r="14344" spans="1:44">
      <c r="A14344" s="4" t="s">
        <v>10753</v>
      </c>
      <c r="B14344" s="4">
        <v>245792</v>
      </c>
      <c r="D14344" s="5" t="s">
        <v>16960</v>
      </c>
      <c r="E14344" s="6" t="str">
        <f>HYPERLINK("https://inpn.mnhn.fr/espece/cd_nom/245792","Scythropia crataegella (Linnaeus, 1767)")</f>
        <v>Scythropia crataegella (Linnaeus, 1767)</v>
      </c>
      <c r="AH14344" s="4" t="str">
        <f>HYPERLINK("#Statut_biogéographique!A"&amp;_xlfn.XMATCH("P",Statut_biogéographique!A:A,2,1),"P")</f>
        <v>P</v>
      </c>
      <c r="AP14344" s="4" t="s">
        <v>376</v>
      </c>
      <c r="AR14344" s="4" t="s">
        <v>377</v>
      </c>
    </row>
    <row r="14345" spans="1:44" ht="30">
      <c r="A14345" s="4" t="s">
        <v>10753</v>
      </c>
      <c r="B14345" s="4">
        <v>245795</v>
      </c>
      <c r="D14345" s="5" t="s">
        <v>16961</v>
      </c>
      <c r="E14345" s="6" t="str">
        <f>HYPERLINK("https://inpn.mnhn.fr/espece/cd_nom/245795","Ochsenheimeria taurella (Denis &amp; Schiffermüller, 1775)")</f>
        <v>Ochsenheimeria taurella (Denis &amp; Schiffermüller, 1775)</v>
      </c>
      <c r="AH14345" s="4" t="str">
        <f>HYPERLINK("#Statut_biogéographique!A"&amp;_xlfn.XMATCH("P",Statut_biogéographique!A:A,2,1),"P")</f>
        <v>P</v>
      </c>
      <c r="AP14345" s="4" t="s">
        <v>376</v>
      </c>
      <c r="AR14345" s="4" t="s">
        <v>377</v>
      </c>
    </row>
    <row r="14346" spans="1:44" ht="30">
      <c r="A14346" s="4" t="s">
        <v>10753</v>
      </c>
      <c r="B14346" s="4">
        <v>245798</v>
      </c>
      <c r="D14346" s="5" t="s">
        <v>16962</v>
      </c>
      <c r="E14346" s="6" t="str">
        <f>HYPERLINK("https://inpn.mnhn.fr/espece/cd_nom/245798","Ypsolopha mucronella (Scopoli, 1763)")</f>
        <v>Ypsolopha mucronella (Scopoli, 1763)</v>
      </c>
      <c r="AH14346" s="4" t="str">
        <f>HYPERLINK("#Statut_biogéographique!A"&amp;_xlfn.XMATCH("P",Statut_biogéographique!A:A,2,1),"P")</f>
        <v>P</v>
      </c>
      <c r="AP14346" s="4" t="s">
        <v>376</v>
      </c>
      <c r="AR14346" s="4" t="s">
        <v>377</v>
      </c>
    </row>
    <row r="14347" spans="1:44" ht="30">
      <c r="A14347" s="4" t="s">
        <v>10753</v>
      </c>
      <c r="B14347" s="4">
        <v>245799</v>
      </c>
      <c r="D14347" s="5" t="s">
        <v>16963</v>
      </c>
      <c r="E14347" s="6" t="str">
        <f>HYPERLINK("https://inpn.mnhn.fr/espece/cd_nom/245799","Ypsolopha nemorella (Linnaeus, 1758)")</f>
        <v>Ypsolopha nemorella (Linnaeus, 1758)</v>
      </c>
      <c r="AH14347" s="4" t="str">
        <f>HYPERLINK("#Statut_biogéographique!A"&amp;_xlfn.XMATCH("P",Statut_biogéographique!A:A,2,1),"P")</f>
        <v>P</v>
      </c>
      <c r="AP14347" s="4" t="s">
        <v>376</v>
      </c>
      <c r="AR14347" s="4" t="s">
        <v>377</v>
      </c>
    </row>
    <row r="14348" spans="1:44" ht="30">
      <c r="A14348" s="4" t="s">
        <v>10753</v>
      </c>
      <c r="B14348" s="4">
        <v>24580</v>
      </c>
      <c r="D14348" s="5" t="s">
        <v>16964</v>
      </c>
      <c r="E14348" s="6" t="str">
        <f>HYPERLINK("https://inpn.mnhn.fr/espece/cd_nom/24580","Temnostoma bombylans (Fabricius, 1805)")</f>
        <v>Temnostoma bombylans (Fabricius, 1805)</v>
      </c>
      <c r="P14348" s="7" t="str">
        <f>HYPERLINK("#Liste_rouge!A"&amp;_xlfn.XMATCH("LC",Liste_rouge!A:A,2,1),"LC")</f>
        <v>LC</v>
      </c>
      <c r="AH14348" s="4" t="str">
        <f>HYPERLINK("#Statut_biogéographique!A"&amp;_xlfn.XMATCH("P",Statut_biogéographique!A:A,2,1),"P")</f>
        <v>P</v>
      </c>
      <c r="AP14348" s="4" t="s">
        <v>376</v>
      </c>
      <c r="AR14348" s="4" t="s">
        <v>377</v>
      </c>
    </row>
    <row r="14349" spans="1:44">
      <c r="A14349" s="4" t="s">
        <v>10753</v>
      </c>
      <c r="B14349" s="4">
        <v>245800</v>
      </c>
      <c r="D14349" s="5" t="s">
        <v>16965</v>
      </c>
      <c r="E14349" s="6" t="str">
        <f>HYPERLINK("https://inpn.mnhn.fr/espece/cd_nom/245800","Ypsolopha dentella (Fabricius, 1775)")</f>
        <v>Ypsolopha dentella (Fabricius, 1775)</v>
      </c>
      <c r="AH14349" s="4" t="str">
        <f>HYPERLINK("#Statut_biogéographique!A"&amp;_xlfn.XMATCH("P",Statut_biogéographique!A:A,2,1),"P")</f>
        <v>P</v>
      </c>
      <c r="AP14349" s="4" t="s">
        <v>376</v>
      </c>
      <c r="AR14349" s="4" t="s">
        <v>377</v>
      </c>
    </row>
    <row r="14350" spans="1:44" ht="30">
      <c r="A14350" s="4" t="s">
        <v>10753</v>
      </c>
      <c r="B14350" s="4">
        <v>245801</v>
      </c>
      <c r="D14350" s="5" t="s">
        <v>16966</v>
      </c>
      <c r="E14350" s="6" t="str">
        <f>HYPERLINK("https://inpn.mnhn.fr/espece/cd_nom/245801","Ypsolopha falcella (Denis &amp; Schiffermüller, 1775)")</f>
        <v>Ypsolopha falcella (Denis &amp; Schiffermüller, 1775)</v>
      </c>
      <c r="AH14350" s="4" t="str">
        <f>HYPERLINK("#Statut_biogéographique!A"&amp;_xlfn.XMATCH("P",Statut_biogéographique!A:A,2,1),"P")</f>
        <v>P</v>
      </c>
      <c r="AP14350" s="4" t="s">
        <v>376</v>
      </c>
      <c r="AR14350" s="4" t="s">
        <v>377</v>
      </c>
    </row>
    <row r="14351" spans="1:44">
      <c r="A14351" s="4" t="s">
        <v>10753</v>
      </c>
      <c r="B14351" s="4">
        <v>245802</v>
      </c>
      <c r="D14351" s="5" t="s">
        <v>16967</v>
      </c>
      <c r="E14351" s="6" t="str">
        <f>HYPERLINK("https://inpn.mnhn.fr/espece/cd_nom/245802","Ypsolopha asperella (Linnaeus, 1761)")</f>
        <v>Ypsolopha asperella (Linnaeus, 1761)</v>
      </c>
      <c r="AH14351" s="4" t="str">
        <f>HYPERLINK("#Statut_biogéographique!A"&amp;_xlfn.XMATCH("P",Statut_biogéographique!A:A,2,1),"P")</f>
        <v>P</v>
      </c>
      <c r="AP14351" s="4" t="s">
        <v>376</v>
      </c>
      <c r="AR14351" s="4" t="s">
        <v>377</v>
      </c>
    </row>
    <row r="14352" spans="1:44">
      <c r="A14352" s="4" t="s">
        <v>10753</v>
      </c>
      <c r="B14352" s="4">
        <v>245803</v>
      </c>
      <c r="D14352" s="5" t="s">
        <v>16968</v>
      </c>
      <c r="E14352" s="6" t="str">
        <f>HYPERLINK("https://inpn.mnhn.fr/espece/cd_nom/245803","Ypsolopha scabrella (Linnaeus, 1761)")</f>
        <v>Ypsolopha scabrella (Linnaeus, 1761)</v>
      </c>
      <c r="AH14352" s="4" t="str">
        <f>HYPERLINK("#Statut_biogéographique!A"&amp;_xlfn.XMATCH("P",Statut_biogéographique!A:A,2,1),"P")</f>
        <v>P</v>
      </c>
      <c r="AP14352" s="4" t="s">
        <v>376</v>
      </c>
      <c r="AR14352" s="4" t="s">
        <v>377</v>
      </c>
    </row>
    <row r="14353" spans="1:44">
      <c r="A14353" s="4" t="s">
        <v>10753</v>
      </c>
      <c r="B14353" s="4">
        <v>245804</v>
      </c>
      <c r="D14353" s="5" t="s">
        <v>16969</v>
      </c>
      <c r="E14353" s="6" t="str">
        <f>HYPERLINK("https://inpn.mnhn.fr/espece/cd_nom/245804","Ypsolopha horridella (Treitschke, 1835)")</f>
        <v>Ypsolopha horridella (Treitschke, 1835)</v>
      </c>
      <c r="AH14353" s="4" t="str">
        <f>HYPERLINK("#Statut_biogéographique!A"&amp;_xlfn.XMATCH("P",Statut_biogéographique!A:A,2,1),"P")</f>
        <v>P</v>
      </c>
      <c r="AP14353" s="4" t="s">
        <v>376</v>
      </c>
      <c r="AR14353" s="4" t="s">
        <v>377</v>
      </c>
    </row>
    <row r="14354" spans="1:44">
      <c r="A14354" s="4" t="s">
        <v>10753</v>
      </c>
      <c r="B14354" s="4">
        <v>245805</v>
      </c>
      <c r="D14354" s="5" t="s">
        <v>16970</v>
      </c>
      <c r="E14354" s="6" t="str">
        <f>HYPERLINK("https://inpn.mnhn.fr/espece/cd_nom/245805","Ypsolopha lucella (Fabricius, 1775)")</f>
        <v>Ypsolopha lucella (Fabricius, 1775)</v>
      </c>
      <c r="AH14354" s="4" t="str">
        <f>HYPERLINK("#Statut_biogéographique!A"&amp;_xlfn.XMATCH("P",Statut_biogéographique!A:A,2,1),"P")</f>
        <v>P</v>
      </c>
      <c r="AP14354" s="4" t="s">
        <v>376</v>
      </c>
      <c r="AR14354" s="4" t="s">
        <v>377</v>
      </c>
    </row>
    <row r="14355" spans="1:44" ht="30">
      <c r="A14355" s="4" t="s">
        <v>10753</v>
      </c>
      <c r="B14355" s="4">
        <v>245806</v>
      </c>
      <c r="D14355" s="5" t="s">
        <v>16971</v>
      </c>
      <c r="E14355" s="6" t="str">
        <f>HYPERLINK("https://inpn.mnhn.fr/espece/cd_nom/245806","Ypsolopha persicella (Fabricius, 1787)")</f>
        <v>Ypsolopha persicella (Fabricius, 1787)</v>
      </c>
      <c r="AH14355" s="4" t="str">
        <f>HYPERLINK("#Statut_biogéographique!A"&amp;_xlfn.XMATCH("P",Statut_biogéographique!A:A,2,1),"P")</f>
        <v>P</v>
      </c>
      <c r="AP14355" s="4" t="s">
        <v>376</v>
      </c>
      <c r="AR14355" s="4" t="s">
        <v>377</v>
      </c>
    </row>
    <row r="14356" spans="1:44" ht="30">
      <c r="A14356" s="4" t="s">
        <v>10753</v>
      </c>
      <c r="B14356" s="4">
        <v>245809</v>
      </c>
      <c r="D14356" s="5" t="s">
        <v>16972</v>
      </c>
      <c r="E14356" s="6" t="str">
        <f>HYPERLINK("https://inpn.mnhn.fr/espece/cd_nom/245809","Ypsolopha parenthesella (Linnaeus, 1761)")</f>
        <v>Ypsolopha parenthesella (Linnaeus, 1761)</v>
      </c>
      <c r="AH14356" s="4" t="str">
        <f>HYPERLINK("#Statut_biogéographique!A"&amp;_xlfn.XMATCH("P",Statut_biogéographique!A:A,2,1),"P")</f>
        <v>P</v>
      </c>
      <c r="AP14356" s="4" t="s">
        <v>376</v>
      </c>
      <c r="AR14356" s="4" t="s">
        <v>377</v>
      </c>
    </row>
    <row r="14357" spans="1:44">
      <c r="A14357" s="4" t="s">
        <v>10753</v>
      </c>
      <c r="B14357" s="4">
        <v>24581</v>
      </c>
      <c r="D14357" s="5" t="s">
        <v>16973</v>
      </c>
      <c r="E14357" s="6" t="str">
        <f>HYPERLINK("https://inpn.mnhn.fr/espece/cd_nom/24581","Temnostoma vespiforme (Linnaeus, 1758)")</f>
        <v>Temnostoma vespiforme (Linnaeus, 1758)</v>
      </c>
      <c r="P14357" s="7" t="str">
        <f>HYPERLINK("#Liste_rouge!A"&amp;_xlfn.XMATCH("LC",Liste_rouge!A:A,2,1),"LC")</f>
        <v>LC</v>
      </c>
      <c r="AH14357" s="4" t="str">
        <f>HYPERLINK("#Statut_biogéographique!A"&amp;_xlfn.XMATCH("P",Statut_biogéographique!A:A,2,1),"P")</f>
        <v>P</v>
      </c>
      <c r="AP14357" s="4" t="s">
        <v>376</v>
      </c>
      <c r="AR14357" s="4" t="s">
        <v>377</v>
      </c>
    </row>
    <row r="14358" spans="1:44" ht="30">
      <c r="A14358" s="4" t="s">
        <v>10753</v>
      </c>
      <c r="B14358" s="4">
        <v>245810</v>
      </c>
      <c r="D14358" s="5" t="s">
        <v>16974</v>
      </c>
      <c r="E14358" s="6" t="str">
        <f>HYPERLINK("https://inpn.mnhn.fr/espece/cd_nom/245810","Ypsolopha ustella (Clerck, 1759)")</f>
        <v>Ypsolopha ustella (Clerck, 1759)</v>
      </c>
      <c r="AH14358" s="4" t="str">
        <f>HYPERLINK("#Statut_biogéographique!A"&amp;_xlfn.XMATCH("P",Statut_biogéographique!A:A,2,1),"P")</f>
        <v>P</v>
      </c>
      <c r="AP14358" s="4" t="s">
        <v>376</v>
      </c>
      <c r="AR14358" s="4" t="s">
        <v>377</v>
      </c>
    </row>
    <row r="14359" spans="1:44" ht="30">
      <c r="A14359" s="4" t="s">
        <v>10753</v>
      </c>
      <c r="B14359" s="4">
        <v>245811</v>
      </c>
      <c r="D14359" s="5" t="s">
        <v>16975</v>
      </c>
      <c r="E14359" s="6" t="str">
        <f>HYPERLINK("https://inpn.mnhn.fr/espece/cd_nom/245811","Ypsolopha sequella (Clerck, 1759)")</f>
        <v>Ypsolopha sequella (Clerck, 1759)</v>
      </c>
      <c r="AH14359" s="4" t="str">
        <f>HYPERLINK("#Statut_biogéographique!A"&amp;_xlfn.XMATCH("P",Statut_biogéographique!A:A,2,1),"P")</f>
        <v>P</v>
      </c>
      <c r="AP14359" s="4" t="s">
        <v>376</v>
      </c>
      <c r="AR14359" s="4" t="s">
        <v>377</v>
      </c>
    </row>
    <row r="14360" spans="1:44" ht="30">
      <c r="A14360" s="4" t="s">
        <v>10753</v>
      </c>
      <c r="B14360" s="4">
        <v>245812</v>
      </c>
      <c r="D14360" s="5" t="s">
        <v>16976</v>
      </c>
      <c r="E14360" s="6" t="str">
        <f>HYPERLINK("https://inpn.mnhn.fr/espece/cd_nom/245812","Ypsolopha vittella (Linnaeus, 1758)")</f>
        <v>Ypsolopha vittella (Linnaeus, 1758)</v>
      </c>
      <c r="AH14360" s="4" t="str">
        <f>HYPERLINK("#Statut_biogéographique!A"&amp;_xlfn.XMATCH("P",Statut_biogéographique!A:A,2,1),"P")</f>
        <v>P</v>
      </c>
      <c r="AP14360" s="4" t="s">
        <v>376</v>
      </c>
      <c r="AR14360" s="4" t="s">
        <v>377</v>
      </c>
    </row>
    <row r="14361" spans="1:44" ht="30">
      <c r="A14361" s="4" t="s">
        <v>10753</v>
      </c>
      <c r="B14361" s="4">
        <v>245818</v>
      </c>
      <c r="D14361" s="5" t="s">
        <v>16977</v>
      </c>
      <c r="E14361" s="6" t="str">
        <f>HYPERLINK("https://inpn.mnhn.fr/espece/cd_nom/245818","Plutella xylostella (Linnaeus, 1758)")</f>
        <v>Plutella xylostella (Linnaeus, 1758)</v>
      </c>
      <c r="AH14361" s="4" t="str">
        <f>HYPERLINK("#Statut_biogéographique!A"&amp;_xlfn.XMATCH("P",Statut_biogéographique!A:A,2,1),"P")</f>
        <v>P</v>
      </c>
      <c r="AP14361" s="4" t="s">
        <v>376</v>
      </c>
      <c r="AR14361" s="4" t="s">
        <v>377</v>
      </c>
    </row>
    <row r="14362" spans="1:44">
      <c r="A14362" s="4" t="s">
        <v>10753</v>
      </c>
      <c r="B14362" s="4">
        <v>245820</v>
      </c>
      <c r="D14362" s="5" t="s">
        <v>16978</v>
      </c>
      <c r="E14362" s="6" t="str">
        <f>HYPERLINK("https://inpn.mnhn.fr/espece/cd_nom/245820","Plutella porrectella (Linnaeus, 1758)")</f>
        <v>Plutella porrectella (Linnaeus, 1758)</v>
      </c>
      <c r="AH14362" s="4" t="str">
        <f>HYPERLINK("#Statut_biogéographique!A"&amp;_xlfn.XMATCH("P",Statut_biogéographique!A:A,2,1),"P")</f>
        <v>P</v>
      </c>
      <c r="AP14362" s="4" t="s">
        <v>376</v>
      </c>
      <c r="AR14362" s="4" t="s">
        <v>377</v>
      </c>
    </row>
    <row r="14363" spans="1:44">
      <c r="A14363" s="4" t="s">
        <v>10753</v>
      </c>
      <c r="B14363" s="4">
        <v>245821</v>
      </c>
      <c r="D14363" s="5" t="s">
        <v>16979</v>
      </c>
      <c r="E14363" s="6" t="str">
        <f>HYPERLINK("https://inpn.mnhn.fr/espece/cd_nom/245821","Rhigognostis senilella (Zetterstedt, 1839)")</f>
        <v>Rhigognostis senilella (Zetterstedt, 1839)</v>
      </c>
      <c r="AH14363" s="4" t="str">
        <f>HYPERLINK("#Statut_biogéographique!A"&amp;_xlfn.XMATCH("P",Statut_biogéographique!A:A,2,1),"P")</f>
        <v>P</v>
      </c>
      <c r="AP14363" s="4" t="s">
        <v>376</v>
      </c>
      <c r="AR14363" s="4" t="s">
        <v>377</v>
      </c>
    </row>
    <row r="14364" spans="1:44" ht="30">
      <c r="A14364" s="4" t="s">
        <v>10753</v>
      </c>
      <c r="B14364" s="4">
        <v>245825</v>
      </c>
      <c r="D14364" s="5" t="s">
        <v>16980</v>
      </c>
      <c r="E14364" s="6" t="str">
        <f>HYPERLINK("https://inpn.mnhn.fr/espece/cd_nom/245825","Eidophasia messingiella (Fischer von Röslerstamm, 1840)")</f>
        <v>Eidophasia messingiella (Fischer von Röslerstamm, 1840)</v>
      </c>
      <c r="AH14364" s="4" t="str">
        <f>HYPERLINK("#Statut_biogéographique!A"&amp;_xlfn.XMATCH("P",Statut_biogéographique!A:A,2,1),"P")</f>
        <v>P</v>
      </c>
      <c r="AP14364" s="4" t="s">
        <v>376</v>
      </c>
      <c r="AR14364" s="4" t="s">
        <v>377</v>
      </c>
    </row>
    <row r="14365" spans="1:44">
      <c r="A14365" s="4" t="s">
        <v>10753</v>
      </c>
      <c r="B14365" s="4">
        <v>24583</v>
      </c>
      <c r="D14365" s="5">
        <v>24583</v>
      </c>
      <c r="E14365" s="6" t="str">
        <f>HYPERLINK("https://inpn.mnhn.fr/espece/cd_nom/24583","Tropidia fasciata Meigen, 1822")</f>
        <v>Tropidia fasciata Meigen, 1822</v>
      </c>
      <c r="P14365" s="7" t="str">
        <f>HYPERLINK("#Liste_rouge!A"&amp;_xlfn.XMATCH("LC",Liste_rouge!A:A,2,1),"LC")</f>
        <v>LC</v>
      </c>
      <c r="AH14365" s="4" t="str">
        <f>HYPERLINK("#Statut_biogéographique!A"&amp;_xlfn.XMATCH("P",Statut_biogéographique!A:A,2,1),"P")</f>
        <v>P</v>
      </c>
      <c r="AP14365" s="4" t="s">
        <v>376</v>
      </c>
      <c r="AR14365" s="4" t="s">
        <v>377</v>
      </c>
    </row>
    <row r="14366" spans="1:44">
      <c r="A14366" s="4" t="s">
        <v>10753</v>
      </c>
      <c r="B14366" s="4">
        <v>245832</v>
      </c>
      <c r="D14366" s="5" t="s">
        <v>16981</v>
      </c>
      <c r="E14366" s="6" t="str">
        <f>HYPERLINK("https://inpn.mnhn.fr/espece/cd_nom/245832","Digitivalva perlepidella (Stainton, 1849)")</f>
        <v>Digitivalva perlepidella (Stainton, 1849)</v>
      </c>
      <c r="AH14366" s="4" t="str">
        <f>HYPERLINK("#Statut_biogéographique!A"&amp;_xlfn.XMATCH("P",Statut_biogéographique!A:A,2,1),"P")</f>
        <v>P</v>
      </c>
      <c r="AP14366" s="4" t="s">
        <v>376</v>
      </c>
      <c r="AR14366" s="4" t="s">
        <v>377</v>
      </c>
    </row>
    <row r="14367" spans="1:44">
      <c r="A14367" s="4" t="s">
        <v>10753</v>
      </c>
      <c r="B14367" s="4">
        <v>245835</v>
      </c>
      <c r="D14367" s="5" t="s">
        <v>16982</v>
      </c>
      <c r="E14367" s="6" t="str">
        <f>HYPERLINK("https://inpn.mnhn.fr/espece/cd_nom/245835","Digitivalva granitella (Treitschke, 1833)")</f>
        <v>Digitivalva granitella (Treitschke, 1833)</v>
      </c>
      <c r="AH14367" s="4" t="str">
        <f>HYPERLINK("#Statut_biogéographique!A"&amp;_xlfn.XMATCH("P",Statut_biogéographique!A:A,2,1),"P")</f>
        <v>P</v>
      </c>
      <c r="AP14367" s="4" t="s">
        <v>376</v>
      </c>
      <c r="AR14367" s="4" t="s">
        <v>377</v>
      </c>
    </row>
    <row r="14368" spans="1:44">
      <c r="A14368" s="4" t="s">
        <v>10753</v>
      </c>
      <c r="B14368" s="4">
        <v>245837</v>
      </c>
      <c r="D14368" s="5" t="s">
        <v>16983</v>
      </c>
      <c r="E14368" s="6" t="str">
        <f>HYPERLINK("https://inpn.mnhn.fr/espece/cd_nom/245837","Acrolepiopsis assectella (Zeller, 1839)")</f>
        <v>Acrolepiopsis assectella (Zeller, 1839)</v>
      </c>
      <c r="AH14368" s="4" t="str">
        <f>HYPERLINK("#Statut_biogéographique!A"&amp;_xlfn.XMATCH("P",Statut_biogéographique!A:A,2,1),"P")</f>
        <v>P</v>
      </c>
      <c r="AP14368" s="4" t="s">
        <v>376</v>
      </c>
      <c r="AR14368" s="4" t="s">
        <v>377</v>
      </c>
    </row>
    <row r="14369" spans="1:44" ht="30">
      <c r="A14369" s="4" t="s">
        <v>10753</v>
      </c>
      <c r="B14369" s="4">
        <v>24584</v>
      </c>
      <c r="D14369" s="5" t="s">
        <v>16984</v>
      </c>
      <c r="E14369" s="6" t="str">
        <f>HYPERLINK("https://inpn.mnhn.fr/espece/cd_nom/24584","Tropidia scita (Harris, 1780)")</f>
        <v>Tropidia scita (Harris, 1780)</v>
      </c>
      <c r="P14369" s="7" t="str">
        <f>HYPERLINK("#Liste_rouge!A"&amp;_xlfn.XMATCH("LC",Liste_rouge!A:A,2,1),"LC")</f>
        <v>LC</v>
      </c>
      <c r="AH14369" s="4" t="str">
        <f>HYPERLINK("#Statut_biogéographique!A"&amp;_xlfn.XMATCH("P",Statut_biogéographique!A:A,2,1),"P")</f>
        <v>P</v>
      </c>
      <c r="AP14369" s="4" t="s">
        <v>376</v>
      </c>
      <c r="AR14369" s="4" t="s">
        <v>377</v>
      </c>
    </row>
    <row r="14370" spans="1:44" ht="30">
      <c r="A14370" s="4" t="s">
        <v>10753</v>
      </c>
      <c r="B14370" s="4">
        <v>245841</v>
      </c>
      <c r="D14370" s="5" t="s">
        <v>16985</v>
      </c>
      <c r="E14370" s="6" t="str">
        <f>HYPERLINK("https://inpn.mnhn.fr/espece/cd_nom/245841","Acrolepia autumnitella Curtis, 1838")</f>
        <v>Acrolepia autumnitella Curtis, 1838</v>
      </c>
      <c r="AH14370" s="4" t="str">
        <f>HYPERLINK("#Statut_biogéographique!A"&amp;_xlfn.XMATCH("P",Statut_biogéographique!A:A,2,1),"P")</f>
        <v>P</v>
      </c>
      <c r="AP14370" s="4" t="s">
        <v>376</v>
      </c>
      <c r="AR14370" s="4" t="s">
        <v>377</v>
      </c>
    </row>
    <row r="14371" spans="1:44">
      <c r="A14371" s="4" t="s">
        <v>10753</v>
      </c>
      <c r="B14371" s="4">
        <v>245842</v>
      </c>
      <c r="D14371" s="5" t="s">
        <v>16986</v>
      </c>
      <c r="E14371" s="6" t="str">
        <f>HYPERLINK("https://inpn.mnhn.fr/espece/cd_nom/245842","Glyphipterix thrasonella (Scopoli, 1763)")</f>
        <v>Glyphipterix thrasonella (Scopoli, 1763)</v>
      </c>
      <c r="AH14371" s="4" t="str">
        <f>HYPERLINK("#Statut_biogéographique!A"&amp;_xlfn.XMATCH("P",Statut_biogéographique!A:A,2,1),"P")</f>
        <v>P</v>
      </c>
      <c r="AP14371" s="4" t="s">
        <v>376</v>
      </c>
      <c r="AR14371" s="4" t="s">
        <v>377</v>
      </c>
    </row>
    <row r="14372" spans="1:44">
      <c r="A14372" s="4" t="s">
        <v>10753</v>
      </c>
      <c r="B14372" s="4">
        <v>245848</v>
      </c>
      <c r="D14372" s="5" t="s">
        <v>16987</v>
      </c>
      <c r="E14372" s="6" t="str">
        <f>HYPERLINK("https://inpn.mnhn.fr/espece/cd_nom/245848","Glyphipterix equitella (Scopoli, 1763)")</f>
        <v>Glyphipterix equitella (Scopoli, 1763)</v>
      </c>
      <c r="AH14372" s="4" t="str">
        <f>HYPERLINK("#Statut_biogéographique!A"&amp;_xlfn.XMATCH("P",Statut_biogéographique!A:A,2,1),"P")</f>
        <v>P</v>
      </c>
      <c r="AP14372" s="4" t="s">
        <v>376</v>
      </c>
      <c r="AR14372" s="4" t="s">
        <v>377</v>
      </c>
    </row>
    <row r="14373" spans="1:44">
      <c r="A14373" s="4" t="s">
        <v>10753</v>
      </c>
      <c r="B14373" s="4">
        <v>245851</v>
      </c>
      <c r="D14373" s="5" t="s">
        <v>16988</v>
      </c>
      <c r="E14373" s="6" t="str">
        <f>HYPERLINK("https://inpn.mnhn.fr/espece/cd_nom/245851","Glyphipterix forsterella (Fabricius, 1781)")</f>
        <v>Glyphipterix forsterella (Fabricius, 1781)</v>
      </c>
      <c r="AH14373" s="4" t="str">
        <f>HYPERLINK("#Statut_biogéographique!A"&amp;_xlfn.XMATCH("P",Statut_biogéographique!A:A,2,1),"P")</f>
        <v>P</v>
      </c>
      <c r="AP14373" s="4" t="s">
        <v>376</v>
      </c>
      <c r="AR14373" s="4" t="s">
        <v>377</v>
      </c>
    </row>
    <row r="14374" spans="1:44" ht="30">
      <c r="A14374" s="4" t="s">
        <v>10753</v>
      </c>
      <c r="B14374" s="4">
        <v>245852</v>
      </c>
      <c r="D14374" s="5" t="s">
        <v>16989</v>
      </c>
      <c r="E14374" s="6" t="str">
        <f>HYPERLINK("https://inpn.mnhn.fr/espece/cd_nom/245852","Glyphipterix simpliciella (Stephens, 1834)")</f>
        <v>Glyphipterix simpliciella (Stephens, 1834)</v>
      </c>
      <c r="AH14374" s="4" t="str">
        <f>HYPERLINK("#Statut_biogéographique!A"&amp;_xlfn.XMATCH("P",Statut_biogéographique!A:A,2,1),"P")</f>
        <v>P</v>
      </c>
      <c r="AP14374" s="4" t="s">
        <v>376</v>
      </c>
      <c r="AR14374" s="4" t="s">
        <v>377</v>
      </c>
    </row>
    <row r="14375" spans="1:44" ht="30">
      <c r="A14375" s="4" t="s">
        <v>10753</v>
      </c>
      <c r="B14375" s="4">
        <v>245854</v>
      </c>
      <c r="D14375" s="5" t="s">
        <v>16990</v>
      </c>
      <c r="E14375" s="6" t="str">
        <f>HYPERLINK("https://inpn.mnhn.fr/espece/cd_nom/245854","Orthotelia sparganella (Thunberg, 1788)")</f>
        <v>Orthotelia sparganella (Thunberg, 1788)</v>
      </c>
      <c r="AH14375" s="4" t="str">
        <f>HYPERLINK("#Statut_biogéographique!A"&amp;_xlfn.XMATCH("P",Statut_biogéographique!A:A,2,1),"P")</f>
        <v>P</v>
      </c>
      <c r="AP14375" s="4" t="s">
        <v>376</v>
      </c>
      <c r="AR14375" s="4" t="s">
        <v>377</v>
      </c>
    </row>
    <row r="14376" spans="1:44">
      <c r="A14376" s="4" t="s">
        <v>10753</v>
      </c>
      <c r="B14376" s="4">
        <v>245855</v>
      </c>
      <c r="D14376" s="5" t="s">
        <v>16991</v>
      </c>
      <c r="E14376" s="6" t="str">
        <f>HYPERLINK("https://inpn.mnhn.fr/espece/cd_nom/245855","Heliodines roesella (Linnaeus, 1758)")</f>
        <v>Heliodines roesella (Linnaeus, 1758)</v>
      </c>
      <c r="AH14376" s="4" t="str">
        <f>HYPERLINK("#Statut_biogéographique!A"&amp;_xlfn.XMATCH("P",Statut_biogéographique!A:A,2,1),"P")</f>
        <v>P</v>
      </c>
      <c r="AP14376" s="4" t="s">
        <v>376</v>
      </c>
      <c r="AR14376" s="4" t="s">
        <v>377</v>
      </c>
    </row>
    <row r="14377" spans="1:44">
      <c r="A14377" s="4" t="s">
        <v>10753</v>
      </c>
      <c r="B14377" s="4">
        <v>245856</v>
      </c>
      <c r="D14377" s="5" t="s">
        <v>16992</v>
      </c>
      <c r="E14377" s="6" t="str">
        <f>HYPERLINK("https://inpn.mnhn.fr/espece/cd_nom/245856","Bedellia somnulentella (Zeller, 1847)")</f>
        <v>Bedellia somnulentella (Zeller, 1847)</v>
      </c>
      <c r="AH14377" s="4" t="str">
        <f>HYPERLINK("#Statut_biogéographique!A"&amp;_xlfn.XMATCH("P",Statut_biogéographique!A:A,2,1),"P")</f>
        <v>P</v>
      </c>
      <c r="AP14377" s="4" t="s">
        <v>376</v>
      </c>
      <c r="AR14377" s="4" t="s">
        <v>377</v>
      </c>
    </row>
    <row r="14378" spans="1:44">
      <c r="A14378" s="4" t="s">
        <v>10753</v>
      </c>
      <c r="B14378" s="4">
        <v>245860</v>
      </c>
      <c r="D14378" s="5" t="s">
        <v>16993</v>
      </c>
      <c r="E14378" s="6" t="str">
        <f>HYPERLINK("https://inpn.mnhn.fr/espece/cd_nom/245860","Lyonetia clerkella (Linnaeus, 1758)")</f>
        <v>Lyonetia clerkella (Linnaeus, 1758)</v>
      </c>
      <c r="AH14378" s="4" t="str">
        <f>HYPERLINK("#Statut_biogéographique!A"&amp;_xlfn.XMATCH("P",Statut_biogéographique!A:A,2,1),"P")</f>
        <v>P</v>
      </c>
      <c r="AP14378" s="4" t="s">
        <v>376</v>
      </c>
      <c r="AR14378" s="4" t="s">
        <v>377</v>
      </c>
    </row>
    <row r="14379" spans="1:44">
      <c r="A14379" s="4" t="s">
        <v>10753</v>
      </c>
      <c r="B14379" s="4">
        <v>245862</v>
      </c>
      <c r="D14379" s="5" t="s">
        <v>16994</v>
      </c>
      <c r="E14379" s="6" t="str">
        <f>HYPERLINK("https://inpn.mnhn.fr/espece/cd_nom/245862","Lyonetia prunifoliella (Hübner, 1796)")</f>
        <v>Lyonetia prunifoliella (Hübner, 1796)</v>
      </c>
      <c r="AH14379" s="4" t="str">
        <f>HYPERLINK("#Statut_biogéographique!A"&amp;_xlfn.XMATCH("P",Statut_biogéographique!A:A,2,1),"P")</f>
        <v>P</v>
      </c>
      <c r="AP14379" s="4" t="s">
        <v>376</v>
      </c>
      <c r="AR14379" s="4" t="s">
        <v>377</v>
      </c>
    </row>
    <row r="14380" spans="1:44">
      <c r="A14380" s="4" t="s">
        <v>10753</v>
      </c>
      <c r="B14380" s="4">
        <v>245866</v>
      </c>
      <c r="D14380" s="5" t="s">
        <v>16995</v>
      </c>
      <c r="E14380" s="6" t="str">
        <f>HYPERLINK("https://inpn.mnhn.fr/espece/cd_nom/245866","Leucoptera laburnella (Stainton, 1851)")</f>
        <v>Leucoptera laburnella (Stainton, 1851)</v>
      </c>
      <c r="AH14380" s="4" t="str">
        <f>HYPERLINK("#Statut_biogéographique!A"&amp;_xlfn.XMATCH("P",Statut_biogéographique!A:A,2,1),"P")</f>
        <v>P</v>
      </c>
      <c r="AP14380" s="4" t="s">
        <v>376</v>
      </c>
      <c r="AR14380" s="4" t="s">
        <v>377</v>
      </c>
    </row>
    <row r="14381" spans="1:44">
      <c r="A14381" s="4" t="s">
        <v>10753</v>
      </c>
      <c r="B14381" s="4">
        <v>245867</v>
      </c>
      <c r="D14381" s="5" t="s">
        <v>16996</v>
      </c>
      <c r="E14381" s="6" t="str">
        <f>HYPERLINK("https://inpn.mnhn.fr/espece/cd_nom/245867","Leucoptera spartifoliella (Hübner, 1813)")</f>
        <v>Leucoptera spartifoliella (Hübner, 1813)</v>
      </c>
      <c r="AH14381" s="4" t="str">
        <f>HYPERLINK("#Statut_biogéographique!A"&amp;_xlfn.XMATCH("P",Statut_biogéographique!A:A,2,1),"P")</f>
        <v>P</v>
      </c>
      <c r="AP14381" s="4" t="s">
        <v>376</v>
      </c>
      <c r="AR14381" s="4" t="s">
        <v>377</v>
      </c>
    </row>
    <row r="14382" spans="1:44">
      <c r="A14382" s="4" t="s">
        <v>10753</v>
      </c>
      <c r="B14382" s="4">
        <v>245871</v>
      </c>
      <c r="D14382" s="5" t="s">
        <v>16997</v>
      </c>
      <c r="E14382" s="6" t="str">
        <f>HYPERLINK("https://inpn.mnhn.fr/espece/cd_nom/245871","Leucoptera malifoliella (O. Costa, 1836)")</f>
        <v>Leucoptera malifoliella (O. Costa, 1836)</v>
      </c>
      <c r="AH14382" s="4" t="str">
        <f>HYPERLINK("#Statut_biogéographique!A"&amp;_xlfn.XMATCH("P",Statut_biogéographique!A:A,2,1),"P")</f>
        <v>P</v>
      </c>
      <c r="AP14382" s="4" t="s">
        <v>376</v>
      </c>
      <c r="AR14382" s="4" t="s">
        <v>377</v>
      </c>
    </row>
    <row r="14383" spans="1:44">
      <c r="A14383" s="4" t="s">
        <v>10753</v>
      </c>
      <c r="B14383" s="4">
        <v>245875</v>
      </c>
      <c r="D14383" s="5" t="s">
        <v>16998</v>
      </c>
      <c r="E14383" s="6" t="str">
        <f>HYPERLINK("https://inpn.mnhn.fr/espece/cd_nom/245875","Ethmia dodecea (Haworth, 1828)")</f>
        <v>Ethmia dodecea (Haworth, 1828)</v>
      </c>
      <c r="AH14383" s="4" t="str">
        <f>HYPERLINK("#Statut_biogéographique!A"&amp;_xlfn.XMATCH("P",Statut_biogéographique!A:A,2,1),"P")</f>
        <v>P</v>
      </c>
      <c r="AP14383" s="4" t="s">
        <v>376</v>
      </c>
      <c r="AR14383" s="4" t="s">
        <v>377</v>
      </c>
    </row>
    <row r="14384" spans="1:44">
      <c r="A14384" s="4" t="s">
        <v>10753</v>
      </c>
      <c r="B14384" s="4">
        <v>245876</v>
      </c>
      <c r="D14384" s="5" t="s">
        <v>16999</v>
      </c>
      <c r="E14384" s="6" t="str">
        <f>HYPERLINK("https://inpn.mnhn.fr/espece/cd_nom/245876","Ethmia quadrillella (Goeze, 1783)")</f>
        <v>Ethmia quadrillella (Goeze, 1783)</v>
      </c>
      <c r="AH14384" s="4" t="str">
        <f>HYPERLINK("#Statut_biogéographique!A"&amp;_xlfn.XMATCH("P",Statut_biogéographique!A:A,2,1),"P")</f>
        <v>P</v>
      </c>
      <c r="AP14384" s="4" t="s">
        <v>376</v>
      </c>
      <c r="AR14384" s="4" t="s">
        <v>377</v>
      </c>
    </row>
    <row r="14385" spans="1:44">
      <c r="A14385" s="4" t="s">
        <v>10753</v>
      </c>
      <c r="B14385" s="4">
        <v>245878</v>
      </c>
      <c r="D14385" s="5" t="s">
        <v>17000</v>
      </c>
      <c r="E14385" s="6" t="str">
        <f>HYPERLINK("https://inpn.mnhn.fr/espece/cd_nom/245878","Ethmia pusiella (Linnaeus, 1758)")</f>
        <v>Ethmia pusiella (Linnaeus, 1758)</v>
      </c>
      <c r="AH14385" s="4" t="str">
        <f>HYPERLINK("#Statut_biogéographique!A"&amp;_xlfn.XMATCH("P",Statut_biogéographique!A:A,2,1),"P")</f>
        <v>P</v>
      </c>
      <c r="AP14385" s="4" t="s">
        <v>376</v>
      </c>
      <c r="AR14385" s="4" t="s">
        <v>377</v>
      </c>
    </row>
    <row r="14386" spans="1:44">
      <c r="A14386" s="4" t="s">
        <v>10753</v>
      </c>
      <c r="B14386" s="4">
        <v>24588</v>
      </c>
      <c r="D14386" s="5" t="s">
        <v>17001</v>
      </c>
      <c r="E14386" s="6" t="str">
        <f>HYPERLINK("https://inpn.mnhn.fr/espece/cd_nom/24588","Volucella bombylans (Linnaeus, 1758)")</f>
        <v>Volucella bombylans (Linnaeus, 1758)</v>
      </c>
      <c r="P14386" s="7" t="str">
        <f>HYPERLINK("#Liste_rouge!A"&amp;_xlfn.XMATCH("LC",Liste_rouge!A:A,2,1),"LC")</f>
        <v>LC</v>
      </c>
      <c r="AH14386" s="4" t="str">
        <f>HYPERLINK("#Statut_biogéographique!A"&amp;_xlfn.XMATCH("P",Statut_biogéographique!A:A,2,1),"P")</f>
        <v>P</v>
      </c>
      <c r="AP14386" s="4" t="s">
        <v>376</v>
      </c>
      <c r="AR14386" s="4" t="s">
        <v>377</v>
      </c>
    </row>
    <row r="14387" spans="1:44" ht="30">
      <c r="A14387" s="4" t="s">
        <v>10753</v>
      </c>
      <c r="B14387" s="4">
        <v>245881</v>
      </c>
      <c r="D14387" s="5" t="s">
        <v>17002</v>
      </c>
      <c r="E14387" s="6" t="str">
        <f>HYPERLINK("https://inpn.mnhn.fr/espece/cd_nom/245881","Ethmia bipunctella (Fabricius, 1775)")</f>
        <v>Ethmia bipunctella (Fabricius, 1775)</v>
      </c>
      <c r="AH14387" s="4" t="str">
        <f>HYPERLINK("#Statut_biogéographique!A"&amp;_xlfn.XMATCH("P",Statut_biogéographique!A:A,2,1),"P")</f>
        <v>P</v>
      </c>
      <c r="AP14387" s="4" t="s">
        <v>376</v>
      </c>
      <c r="AR14387" s="4" t="s">
        <v>377</v>
      </c>
    </row>
    <row r="14388" spans="1:44">
      <c r="A14388" s="4" t="s">
        <v>10753</v>
      </c>
      <c r="B14388" s="4">
        <v>245882</v>
      </c>
      <c r="D14388" s="5" t="s">
        <v>17003</v>
      </c>
      <c r="E14388" s="6" t="str">
        <f>HYPERLINK("https://inpn.mnhn.fr/espece/cd_nom/245882","Ethmia chrysopyga (Zeller, 1844)")</f>
        <v>Ethmia chrysopyga (Zeller, 1844)</v>
      </c>
      <c r="AH14388" s="4" t="str">
        <f>HYPERLINK("#Statut_biogéographique!A"&amp;_xlfn.XMATCH("P",Statut_biogéographique!A:A,2,1),"P")</f>
        <v>P</v>
      </c>
      <c r="AP14388" s="4" t="s">
        <v>376</v>
      </c>
      <c r="AR14388" s="4" t="s">
        <v>377</v>
      </c>
    </row>
    <row r="14389" spans="1:44" ht="30">
      <c r="A14389" s="4" t="s">
        <v>10753</v>
      </c>
      <c r="B14389" s="4">
        <v>245886</v>
      </c>
      <c r="D14389" s="5" t="s">
        <v>17004</v>
      </c>
      <c r="E14389" s="6" t="str">
        <f>HYPERLINK("https://inpn.mnhn.fr/espece/cd_nom/245886","Orophia ferrugella (Denis &amp; Schiffermüller, 1775)")</f>
        <v>Orophia ferrugella (Denis &amp; Schiffermüller, 1775)</v>
      </c>
      <c r="AH14389" s="4" t="str">
        <f>HYPERLINK("#Statut_biogéographique!A"&amp;_xlfn.XMATCH("P",Statut_biogéographique!A:A,2,1),"P")</f>
        <v>P</v>
      </c>
      <c r="AP14389" s="4" t="s">
        <v>376</v>
      </c>
      <c r="AR14389" s="4" t="s">
        <v>377</v>
      </c>
    </row>
    <row r="14390" spans="1:44">
      <c r="A14390" s="4" t="s">
        <v>10753</v>
      </c>
      <c r="B14390" s="4">
        <v>245887</v>
      </c>
      <c r="D14390" s="5" t="s">
        <v>17005</v>
      </c>
      <c r="E14390" s="6" t="str">
        <f>HYPERLINK("https://inpn.mnhn.fr/espece/cd_nom/245887","Orophia sordidella (Hübner, 1796)")</f>
        <v>Orophia sordidella (Hübner, 1796)</v>
      </c>
      <c r="AH14390" s="4" t="str">
        <f>HYPERLINK("#Statut_biogéographique!A"&amp;_xlfn.XMATCH("P",Statut_biogéographique!A:A,2,1),"P")</f>
        <v>P</v>
      </c>
      <c r="AP14390" s="4" t="s">
        <v>376</v>
      </c>
      <c r="AR14390" s="4" t="s">
        <v>377</v>
      </c>
    </row>
    <row r="14391" spans="1:44" ht="30">
      <c r="A14391" s="4" t="s">
        <v>10753</v>
      </c>
      <c r="B14391" s="4">
        <v>245889</v>
      </c>
      <c r="D14391" s="5" t="s">
        <v>17006</v>
      </c>
      <c r="E14391" s="6" t="str">
        <f>HYPERLINK("https://inpn.mnhn.fr/espece/cd_nom/245889","Semioscopis steinkellneriana (Denis &amp; Schiffermüller, 1775)")</f>
        <v>Semioscopis steinkellneriana (Denis &amp; Schiffermüller, 1775)</v>
      </c>
      <c r="AH14391" s="4" t="str">
        <f>HYPERLINK("#Statut_biogéographique!A"&amp;_xlfn.XMATCH("P",Statut_biogéographique!A:A,2,1),"P")</f>
        <v>P</v>
      </c>
      <c r="AP14391" s="4" t="s">
        <v>376</v>
      </c>
      <c r="AR14391" s="4" t="s">
        <v>377</v>
      </c>
    </row>
    <row r="14392" spans="1:44" ht="30">
      <c r="A14392" s="4" t="s">
        <v>10753</v>
      </c>
      <c r="B14392" s="4">
        <v>24589</v>
      </c>
      <c r="D14392" s="5" t="s">
        <v>17007</v>
      </c>
      <c r="E14392" s="6" t="str">
        <f>HYPERLINK("https://inpn.mnhn.fr/espece/cd_nom/24589","Volucella bombylans var. plumata (de Geer, 1776)")</f>
        <v>Volucella bombylans var. plumata (de Geer, 1776)</v>
      </c>
      <c r="AH14392" s="4" t="str">
        <f>HYPERLINK("#Statut_biogéographique!A"&amp;_xlfn.XMATCH("P",Statut_biogéographique!A:A,2,1),"P")</f>
        <v>P</v>
      </c>
      <c r="AP14392" s="4" t="s">
        <v>376</v>
      </c>
      <c r="AR14392" s="4" t="s">
        <v>377</v>
      </c>
    </row>
    <row r="14393" spans="1:44">
      <c r="A14393" s="4" t="s">
        <v>10753</v>
      </c>
      <c r="B14393" s="4">
        <v>245890</v>
      </c>
      <c r="D14393" s="5" t="s">
        <v>17008</v>
      </c>
      <c r="E14393" s="6" t="str">
        <f>HYPERLINK("https://inpn.mnhn.fr/espece/cd_nom/245890","Semioscopis avellanella (Hübner, 1793)")</f>
        <v>Semioscopis avellanella (Hübner, 1793)</v>
      </c>
      <c r="AH14393" s="4" t="str">
        <f>HYPERLINK("#Statut_biogéographique!A"&amp;_xlfn.XMATCH("P",Statut_biogéographique!A:A,2,1),"P")</f>
        <v>P</v>
      </c>
      <c r="AP14393" s="4" t="s">
        <v>376</v>
      </c>
      <c r="AR14393" s="4" t="s">
        <v>377</v>
      </c>
    </row>
    <row r="14394" spans="1:44">
      <c r="A14394" s="4" t="s">
        <v>10753</v>
      </c>
      <c r="B14394" s="4">
        <v>245891</v>
      </c>
      <c r="D14394" s="5" t="s">
        <v>17009</v>
      </c>
      <c r="E14394" s="6" t="str">
        <f>HYPERLINK("https://inpn.mnhn.fr/espece/cd_nom/245891","Semioscopis oculella (Thunberg, 1794)")</f>
        <v>Semioscopis oculella (Thunberg, 1794)</v>
      </c>
      <c r="AH14394" s="4" t="str">
        <f>HYPERLINK("#Statut_biogéographique!A"&amp;_xlfn.XMATCH("P",Statut_biogéographique!A:A,2,1),"P")</f>
        <v>P</v>
      </c>
      <c r="AP14394" s="4" t="s">
        <v>376</v>
      </c>
      <c r="AR14394" s="4" t="s">
        <v>377</v>
      </c>
    </row>
    <row r="14395" spans="1:44">
      <c r="A14395" s="4" t="s">
        <v>10753</v>
      </c>
      <c r="B14395" s="4">
        <v>245893</v>
      </c>
      <c r="D14395" s="5" t="s">
        <v>17010</v>
      </c>
      <c r="E14395" s="6" t="str">
        <f>HYPERLINK("https://inpn.mnhn.fr/espece/cd_nom/245893","Depressaria pimpinellae Zeller, 1839")</f>
        <v>Depressaria pimpinellae Zeller, 1839</v>
      </c>
      <c r="AH14395" s="4" t="str">
        <f>HYPERLINK("#Statut_biogéographique!A"&amp;_xlfn.XMATCH("P",Statut_biogéographique!A:A,2,1),"P")</f>
        <v>P</v>
      </c>
      <c r="AP14395" s="4" t="s">
        <v>376</v>
      </c>
      <c r="AR14395" s="4" t="s">
        <v>377</v>
      </c>
    </row>
    <row r="14396" spans="1:44">
      <c r="A14396" s="4" t="s">
        <v>10753</v>
      </c>
      <c r="B14396" s="4">
        <v>245904</v>
      </c>
      <c r="D14396" s="5" t="s">
        <v>17011</v>
      </c>
      <c r="E14396" s="6" t="str">
        <f>HYPERLINK("https://inpn.mnhn.fr/espece/cd_nom/245904","Depressaria pulcherrimella Stainton, 1849")</f>
        <v>Depressaria pulcherrimella Stainton, 1849</v>
      </c>
      <c r="AH14396" s="4" t="str">
        <f>HYPERLINK("#Statut_biogéographique!A"&amp;_xlfn.XMATCH("P",Statut_biogéographique!A:A,2,1),"P")</f>
        <v>P</v>
      </c>
      <c r="AP14396" s="4" t="s">
        <v>376</v>
      </c>
      <c r="AR14396" s="4" t="s">
        <v>377</v>
      </c>
    </row>
    <row r="14397" spans="1:44">
      <c r="A14397" s="4" t="s">
        <v>10753</v>
      </c>
      <c r="B14397" s="4">
        <v>245906</v>
      </c>
      <c r="D14397" s="5">
        <v>245906</v>
      </c>
      <c r="E14397" s="6" t="str">
        <f>HYPERLINK("https://inpn.mnhn.fr/espece/cd_nom/245906","Depressaria douglasella Stainton, 1849")</f>
        <v>Depressaria douglasella Stainton, 1849</v>
      </c>
      <c r="AH14397" s="4" t="str">
        <f>HYPERLINK("#Statut_biogéographique!A"&amp;_xlfn.XMATCH("P",Statut_biogéographique!A:A,2,1),"P")</f>
        <v>P</v>
      </c>
      <c r="AP14397" s="4" t="s">
        <v>376</v>
      </c>
      <c r="AR14397" s="4" t="s">
        <v>377</v>
      </c>
    </row>
    <row r="14398" spans="1:44" ht="30">
      <c r="A14398" s="4" t="s">
        <v>10753</v>
      </c>
      <c r="B14398" s="4">
        <v>245909</v>
      </c>
      <c r="D14398" s="5" t="s">
        <v>17012</v>
      </c>
      <c r="E14398" s="6" t="str">
        <f>HYPERLINK("https://inpn.mnhn.fr/espece/cd_nom/245909","Depressaria albipunctella (Denis &amp; Schiffermüller, 1775)")</f>
        <v>Depressaria albipunctella (Denis &amp; Schiffermüller, 1775)</v>
      </c>
      <c r="AH14398" s="4" t="str">
        <f>HYPERLINK("#Statut_biogéographique!A"&amp;_xlfn.XMATCH("P",Statut_biogéographique!A:A,2,1),"P")</f>
        <v>P</v>
      </c>
      <c r="AP14398" s="4" t="s">
        <v>376</v>
      </c>
      <c r="AR14398" s="4" t="s">
        <v>377</v>
      </c>
    </row>
    <row r="14399" spans="1:44">
      <c r="A14399" s="4" t="s">
        <v>10753</v>
      </c>
      <c r="B14399" s="4">
        <v>24591</v>
      </c>
      <c r="D14399" s="5" t="s">
        <v>17013</v>
      </c>
      <c r="E14399" s="6" t="str">
        <f>HYPERLINK("https://inpn.mnhn.fr/espece/cd_nom/24591","Volucella inanis (Linnaeus, 1758)")</f>
        <v>Volucella inanis (Linnaeus, 1758)</v>
      </c>
      <c r="P14399" s="7" t="str">
        <f>HYPERLINK("#Liste_rouge!A"&amp;_xlfn.XMATCH("LC",Liste_rouge!A:A,2,1),"LC")</f>
        <v>LC</v>
      </c>
      <c r="AH14399" s="4" t="str">
        <f>HYPERLINK("#Statut_biogéographique!A"&amp;_xlfn.XMATCH("P",Statut_biogéographique!A:A,2,1),"P")</f>
        <v>P</v>
      </c>
      <c r="AP14399" s="4" t="s">
        <v>376</v>
      </c>
      <c r="AR14399" s="4" t="s">
        <v>377</v>
      </c>
    </row>
    <row r="14400" spans="1:44">
      <c r="A14400" s="4" t="s">
        <v>10753</v>
      </c>
      <c r="B14400" s="4">
        <v>245910</v>
      </c>
      <c r="D14400" s="5">
        <v>245910</v>
      </c>
      <c r="E14400" s="6" t="str">
        <f>HYPERLINK("https://inpn.mnhn.fr/espece/cd_nom/245910","Depressaria olerella Zeller, 1854")</f>
        <v>Depressaria olerella Zeller, 1854</v>
      </c>
      <c r="AH14400" s="4" t="str">
        <f>HYPERLINK("#Statut_biogéographique!A"&amp;_xlfn.XMATCH("P",Statut_biogéographique!A:A,2,1),"P")</f>
        <v>P</v>
      </c>
      <c r="AP14400" s="4" t="s">
        <v>376</v>
      </c>
      <c r="AR14400" s="4" t="s">
        <v>377</v>
      </c>
    </row>
    <row r="14401" spans="1:44">
      <c r="A14401" s="4" t="s">
        <v>10753</v>
      </c>
      <c r="B14401" s="4">
        <v>245916</v>
      </c>
      <c r="D14401" s="5">
        <v>245916</v>
      </c>
      <c r="E14401" s="6" t="str">
        <f>HYPERLINK("https://inpn.mnhn.fr/espece/cd_nom/245916","Depressaria chaerophylli Zeller, 1839")</f>
        <v>Depressaria chaerophylli Zeller, 1839</v>
      </c>
      <c r="AH14401" s="4" t="str">
        <f>HYPERLINK("#Statut_biogéographique!A"&amp;_xlfn.XMATCH("P",Statut_biogéographique!A:A,2,1),"P")</f>
        <v>P</v>
      </c>
      <c r="AP14401" s="4" t="s">
        <v>376</v>
      </c>
      <c r="AR14401" s="4" t="s">
        <v>377</v>
      </c>
    </row>
    <row r="14402" spans="1:44">
      <c r="A14402" s="4" t="s">
        <v>10753</v>
      </c>
      <c r="B14402" s="4">
        <v>24592</v>
      </c>
      <c r="D14402" s="5" t="s">
        <v>17014</v>
      </c>
      <c r="E14402" s="6" t="str">
        <f>HYPERLINK("https://inpn.mnhn.fr/espece/cd_nom/24592","Volucella inflata (Fabricius, 1794)")</f>
        <v>Volucella inflata (Fabricius, 1794)</v>
      </c>
      <c r="P14402" s="7" t="str">
        <f>HYPERLINK("#Liste_rouge!A"&amp;_xlfn.XMATCH("LC",Liste_rouge!A:A,2,1),"LC")</f>
        <v>LC</v>
      </c>
      <c r="AH14402" s="4" t="str">
        <f>HYPERLINK("#Statut_biogéographique!A"&amp;_xlfn.XMATCH("P",Statut_biogéographique!A:A,2,1),"P")</f>
        <v>P</v>
      </c>
      <c r="AP14402" s="4" t="s">
        <v>376</v>
      </c>
      <c r="AR14402" s="4" t="s">
        <v>377</v>
      </c>
    </row>
    <row r="14403" spans="1:44" ht="30">
      <c r="A14403" s="4" t="s">
        <v>10753</v>
      </c>
      <c r="B14403" s="4">
        <v>245921</v>
      </c>
      <c r="D14403" s="5" t="s">
        <v>17015</v>
      </c>
      <c r="E14403" s="6" t="str">
        <f>HYPERLINK("https://inpn.mnhn.fr/espece/cd_nom/245921","Depressaria depressana (Fabricius, 1775)")</f>
        <v>Depressaria depressana (Fabricius, 1775)</v>
      </c>
      <c r="AH14403" s="4" t="str">
        <f>HYPERLINK("#Statut_biogéographique!A"&amp;_xlfn.XMATCH("P",Statut_biogéographique!A:A,2,1),"P")</f>
        <v>P</v>
      </c>
      <c r="AP14403" s="4" t="s">
        <v>376</v>
      </c>
      <c r="AR14403" s="4" t="s">
        <v>377</v>
      </c>
    </row>
    <row r="14404" spans="1:44">
      <c r="A14404" s="4" t="s">
        <v>10753</v>
      </c>
      <c r="B14404" s="4">
        <v>245928</v>
      </c>
      <c r="D14404" s="5" t="s">
        <v>17016</v>
      </c>
      <c r="E14404" s="6" t="str">
        <f>HYPERLINK("https://inpn.mnhn.fr/espece/cd_nom/245928","Agonopterix ocellana (Fabricius, 1775)")</f>
        <v>Agonopterix ocellana (Fabricius, 1775)</v>
      </c>
      <c r="AH14404" s="4" t="str">
        <f>HYPERLINK("#Statut_biogéographique!A"&amp;_xlfn.XMATCH("P",Statut_biogéographique!A:A,2,1),"P")</f>
        <v>P</v>
      </c>
      <c r="AP14404" s="4" t="s">
        <v>376</v>
      </c>
      <c r="AR14404" s="4" t="s">
        <v>377</v>
      </c>
    </row>
    <row r="14405" spans="1:44">
      <c r="A14405" s="4" t="s">
        <v>10753</v>
      </c>
      <c r="B14405" s="4">
        <v>245929</v>
      </c>
      <c r="D14405" s="5" t="s">
        <v>17017</v>
      </c>
      <c r="E14405" s="6" t="str">
        <f>HYPERLINK("https://inpn.mnhn.fr/espece/cd_nom/245929","Agonopterix liturosa (Haworth, 1811)")</f>
        <v>Agonopterix liturosa (Haworth, 1811)</v>
      </c>
      <c r="AH14405" s="4" t="str">
        <f>HYPERLINK("#Statut_biogéographique!A"&amp;_xlfn.XMATCH("P",Statut_biogéographique!A:A,2,1),"P")</f>
        <v>P</v>
      </c>
      <c r="AP14405" s="4" t="s">
        <v>376</v>
      </c>
      <c r="AR14405" s="4" t="s">
        <v>377</v>
      </c>
    </row>
    <row r="14406" spans="1:44">
      <c r="A14406" s="4" t="s">
        <v>10753</v>
      </c>
      <c r="B14406" s="4">
        <v>24593</v>
      </c>
      <c r="D14406" s="5" t="s">
        <v>17018</v>
      </c>
      <c r="E14406" s="6" t="str">
        <f>HYPERLINK("https://inpn.mnhn.fr/espece/cd_nom/24593","Volucella pellucens (Linnaeus, 1758)")</f>
        <v>Volucella pellucens (Linnaeus, 1758)</v>
      </c>
      <c r="F14406" s="5" t="s">
        <v>17019</v>
      </c>
      <c r="P14406" s="7" t="str">
        <f>HYPERLINK("#Liste_rouge!A"&amp;_xlfn.XMATCH("LC",Liste_rouge!A:A,2,1),"LC")</f>
        <v>LC</v>
      </c>
      <c r="AH14406" s="4" t="str">
        <f>HYPERLINK("#Statut_biogéographique!A"&amp;_xlfn.XMATCH("P",Statut_biogéographique!A:A,2,1),"P")</f>
        <v>P</v>
      </c>
      <c r="AP14406" s="4" t="s">
        <v>376</v>
      </c>
      <c r="AR14406" s="4" t="s">
        <v>377</v>
      </c>
    </row>
    <row r="14407" spans="1:44">
      <c r="A14407" s="4" t="s">
        <v>10753</v>
      </c>
      <c r="B14407" s="4">
        <v>245930</v>
      </c>
      <c r="D14407" s="5" t="s">
        <v>17020</v>
      </c>
      <c r="E14407" s="6" t="str">
        <f>HYPERLINK("https://inpn.mnhn.fr/espece/cd_nom/245930","Agonopterix purpurea (Haworth, 1811)")</f>
        <v>Agonopterix purpurea (Haworth, 1811)</v>
      </c>
      <c r="AH14407" s="4" t="str">
        <f>HYPERLINK("#Statut_biogéographique!A"&amp;_xlfn.XMATCH("P",Statut_biogéographique!A:A,2,1),"P")</f>
        <v>P</v>
      </c>
      <c r="AP14407" s="4" t="s">
        <v>376</v>
      </c>
      <c r="AR14407" s="4" t="s">
        <v>377</v>
      </c>
    </row>
    <row r="14408" spans="1:44">
      <c r="A14408" s="4" t="s">
        <v>10753</v>
      </c>
      <c r="B14408" s="4">
        <v>245934</v>
      </c>
      <c r="D14408" s="5" t="s">
        <v>17021</v>
      </c>
      <c r="E14408" s="6" t="str">
        <f>HYPERLINK("https://inpn.mnhn.fr/espece/cd_nom/245934","Agonopterix scopariella (Heinemann, 1870)")</f>
        <v>Agonopterix scopariella (Heinemann, 1870)</v>
      </c>
      <c r="AH14408" s="4" t="str">
        <f>HYPERLINK("#Statut_biogéographique!A"&amp;_xlfn.XMATCH("P",Statut_biogéographique!A:A,2,1),"P")</f>
        <v>P</v>
      </c>
      <c r="AP14408" s="4" t="s">
        <v>376</v>
      </c>
      <c r="AR14408" s="4" t="s">
        <v>377</v>
      </c>
    </row>
    <row r="14409" spans="1:44">
      <c r="A14409" s="4" t="s">
        <v>10753</v>
      </c>
      <c r="B14409" s="4">
        <v>245935</v>
      </c>
      <c r="D14409" s="5" t="s">
        <v>17022</v>
      </c>
      <c r="E14409" s="6" t="str">
        <f>HYPERLINK("https://inpn.mnhn.fr/espece/cd_nom/245935","Agonopterix irrorata (Staudinger, 1870)")</f>
        <v>Agonopterix irrorata (Staudinger, 1870)</v>
      </c>
      <c r="AH14409" s="4" t="str">
        <f>HYPERLINK("#Statut_biogéographique!A"&amp;_xlfn.XMATCH("P",Statut_biogéographique!A:A,2,1),"P")</f>
        <v>P</v>
      </c>
      <c r="AP14409" s="4" t="s">
        <v>376</v>
      </c>
      <c r="AR14409" s="4" t="s">
        <v>377</v>
      </c>
    </row>
    <row r="14410" spans="1:44" ht="30">
      <c r="A14410" s="4" t="s">
        <v>10753</v>
      </c>
      <c r="B14410" s="4">
        <v>245939</v>
      </c>
      <c r="D14410" s="5" t="s">
        <v>17023</v>
      </c>
      <c r="E14410" s="6" t="str">
        <f>HYPERLINK("https://inpn.mnhn.fr/espece/cd_nom/245939","Agonopterix ferocella (Chrétien in Spuler, 1910)")</f>
        <v>Agonopterix ferocella (Chrétien in Spuler, 1910)</v>
      </c>
      <c r="AH14410" s="4" t="str">
        <f>HYPERLINK("#Statut_biogéographique!A"&amp;_xlfn.XMATCH("P",Statut_biogéographique!A:A,2,1),"P")</f>
        <v>P</v>
      </c>
      <c r="AP14410" s="4" t="s">
        <v>376</v>
      </c>
      <c r="AR14410" s="4" t="s">
        <v>377</v>
      </c>
    </row>
    <row r="14411" spans="1:44">
      <c r="A14411" s="4" t="s">
        <v>10753</v>
      </c>
      <c r="B14411" s="4">
        <v>24594</v>
      </c>
      <c r="D14411" s="5" t="s">
        <v>17024</v>
      </c>
      <c r="E14411" s="6" t="str">
        <f>HYPERLINK("https://inpn.mnhn.fr/espece/cd_nom/24594","Volucella zonaria (Poda, 1761)")</f>
        <v>Volucella zonaria (Poda, 1761)</v>
      </c>
      <c r="F14411" s="5" t="s">
        <v>17025</v>
      </c>
      <c r="P14411" s="7" t="str">
        <f>HYPERLINK("#Liste_rouge!A"&amp;_xlfn.XMATCH("LC",Liste_rouge!A:A,2,1),"LC")</f>
        <v>LC</v>
      </c>
      <c r="AH14411" s="4" t="str">
        <f>HYPERLINK("#Statut_biogéographique!A"&amp;_xlfn.XMATCH("P",Statut_biogéographique!A:A,2,1),"P")</f>
        <v>P</v>
      </c>
      <c r="AP14411" s="4" t="s">
        <v>376</v>
      </c>
      <c r="AR14411" s="4" t="s">
        <v>377</v>
      </c>
    </row>
    <row r="14412" spans="1:44">
      <c r="A14412" s="4" t="s">
        <v>10753</v>
      </c>
      <c r="B14412" s="4">
        <v>245941</v>
      </c>
      <c r="D14412" s="5" t="s">
        <v>17026</v>
      </c>
      <c r="E14412" s="6" t="str">
        <f>HYPERLINK("https://inpn.mnhn.fr/espece/cd_nom/245941","Agonopterix propinquella (Treitschke, 1835)")</f>
        <v>Agonopterix propinquella (Treitschke, 1835)</v>
      </c>
      <c r="AH14412" s="4" t="str">
        <f>HYPERLINK("#Statut_biogéographique!A"&amp;_xlfn.XMATCH("P",Statut_biogéographique!A:A,2,1),"P")</f>
        <v>P</v>
      </c>
      <c r="AP14412" s="4" t="s">
        <v>376</v>
      </c>
      <c r="AR14412" s="4" t="s">
        <v>377</v>
      </c>
    </row>
    <row r="14413" spans="1:44" ht="30">
      <c r="A14413" s="4" t="s">
        <v>10753</v>
      </c>
      <c r="B14413" s="4">
        <v>245942</v>
      </c>
      <c r="D14413" s="5" t="s">
        <v>17027</v>
      </c>
      <c r="E14413" s="6" t="str">
        <f>HYPERLINK("https://inpn.mnhn.fr/espece/cd_nom/245942","Agonopterix arenella (Denis &amp; Schiffermüller, 1775)")</f>
        <v>Agonopterix arenella (Denis &amp; Schiffermüller, 1775)</v>
      </c>
      <c r="AH14413" s="4" t="str">
        <f>HYPERLINK("#Statut_biogéographique!A"&amp;_xlfn.XMATCH("P",Statut_biogéographique!A:A,2,1),"P")</f>
        <v>P</v>
      </c>
      <c r="AP14413" s="4" t="s">
        <v>376</v>
      </c>
      <c r="AR14413" s="4" t="s">
        <v>377</v>
      </c>
    </row>
    <row r="14414" spans="1:44" ht="30">
      <c r="A14414" s="4" t="s">
        <v>10753</v>
      </c>
      <c r="B14414" s="4">
        <v>245944</v>
      </c>
      <c r="D14414" s="5" t="s">
        <v>17028</v>
      </c>
      <c r="E14414" s="6" t="str">
        <f>HYPERLINK("https://inpn.mnhn.fr/espece/cd_nom/245944","Agonopterix heracliana (Linnaeus, 1758)")</f>
        <v>Agonopterix heracliana (Linnaeus, 1758)</v>
      </c>
      <c r="AH14414" s="4" t="str">
        <f>HYPERLINK("#Statut_biogéographique!A"&amp;_xlfn.XMATCH("P",Statut_biogéographique!A:A,2,1),"P")</f>
        <v>P</v>
      </c>
      <c r="AP14414" s="4" t="s">
        <v>376</v>
      </c>
      <c r="AR14414" s="4" t="s">
        <v>377</v>
      </c>
    </row>
    <row r="14415" spans="1:44">
      <c r="A14415" s="4" t="s">
        <v>10753</v>
      </c>
      <c r="B14415" s="4">
        <v>245945</v>
      </c>
      <c r="D14415" s="5" t="s">
        <v>17029</v>
      </c>
      <c r="E14415" s="6" t="str">
        <f>HYPERLINK("https://inpn.mnhn.fr/espece/cd_nom/245945","Agonopterix ciliella (Stainton, 1849)")</f>
        <v>Agonopterix ciliella (Stainton, 1849)</v>
      </c>
      <c r="AH14415" s="4" t="str">
        <f>HYPERLINK("#Statut_biogéographique!A"&amp;_xlfn.XMATCH("P",Statut_biogéographique!A:A,2,1),"P")</f>
        <v>P</v>
      </c>
      <c r="AP14415" s="4" t="s">
        <v>376</v>
      </c>
      <c r="AR14415" s="4" t="s">
        <v>377</v>
      </c>
    </row>
    <row r="14416" spans="1:44">
      <c r="A14416" s="4" t="s">
        <v>10753</v>
      </c>
      <c r="B14416" s="4">
        <v>245952</v>
      </c>
      <c r="D14416" s="5" t="s">
        <v>17030</v>
      </c>
      <c r="E14416" s="6" t="str">
        <f>HYPERLINK("https://inpn.mnhn.fr/espece/cd_nom/245952","Agonopterix cervariella (Constant, 1885)")</f>
        <v>Agonopterix cervariella (Constant, 1885)</v>
      </c>
      <c r="AH14416" s="4" t="str">
        <f>HYPERLINK("#Statut_biogéographique!A"&amp;_xlfn.XMATCH("P",Statut_biogéographique!A:A,2,1),"P")</f>
        <v>P</v>
      </c>
      <c r="AP14416" s="4" t="s">
        <v>376</v>
      </c>
      <c r="AR14416" s="4" t="s">
        <v>377</v>
      </c>
    </row>
    <row r="14417" spans="1:44">
      <c r="A14417" s="4" t="s">
        <v>10753</v>
      </c>
      <c r="B14417" s="4">
        <v>245958</v>
      </c>
      <c r="D14417" s="5" t="s">
        <v>17031</v>
      </c>
      <c r="E14417" s="6" t="str">
        <f>HYPERLINK("https://inpn.mnhn.fr/espece/cd_nom/245958","Agonopterix assimilella (Treitschke, 1832)")</f>
        <v>Agonopterix assimilella (Treitschke, 1832)</v>
      </c>
      <c r="AH14417" s="4" t="str">
        <f>HYPERLINK("#Statut_biogéographique!A"&amp;_xlfn.XMATCH("P",Statut_biogéographique!A:A,2,1),"P")</f>
        <v>P</v>
      </c>
      <c r="AP14417" s="4" t="s">
        <v>376</v>
      </c>
      <c r="AR14417" s="4" t="s">
        <v>377</v>
      </c>
    </row>
    <row r="14418" spans="1:44" ht="30">
      <c r="A14418" s="4" t="s">
        <v>10753</v>
      </c>
      <c r="B14418" s="4">
        <v>245965</v>
      </c>
      <c r="D14418" s="5" t="s">
        <v>17032</v>
      </c>
      <c r="E14418" s="6" t="str">
        <f>HYPERLINK("https://inpn.mnhn.fr/espece/cd_nom/245965","Agonopterix kaekeritziana (Linnaeus, 1767)")</f>
        <v>Agonopterix kaekeritziana (Linnaeus, 1767)</v>
      </c>
      <c r="AH14418" s="4" t="str">
        <f>HYPERLINK("#Statut_biogéographique!A"&amp;_xlfn.XMATCH("P",Statut_biogéographique!A:A,2,1),"P")</f>
        <v>P</v>
      </c>
      <c r="AP14418" s="4" t="s">
        <v>376</v>
      </c>
      <c r="AR14418" s="4" t="s">
        <v>377</v>
      </c>
    </row>
    <row r="14419" spans="1:44">
      <c r="A14419" s="4" t="s">
        <v>10753</v>
      </c>
      <c r="B14419" s="4">
        <v>245967</v>
      </c>
      <c r="D14419" s="5" t="s">
        <v>17033</v>
      </c>
      <c r="E14419" s="6" t="str">
        <f>HYPERLINK("https://inpn.mnhn.fr/espece/cd_nom/245967","Agonopterix pallorella (Zeller, 1839)")</f>
        <v>Agonopterix pallorella (Zeller, 1839)</v>
      </c>
      <c r="AH14419" s="4" t="str">
        <f>HYPERLINK("#Statut_biogéographique!A"&amp;_xlfn.XMATCH("P",Statut_biogéographique!A:A,2,1),"P")</f>
        <v>P</v>
      </c>
      <c r="AP14419" s="4" t="s">
        <v>376</v>
      </c>
      <c r="AR14419" s="4" t="s">
        <v>377</v>
      </c>
    </row>
    <row r="14420" spans="1:44" ht="30">
      <c r="A14420" s="4" t="s">
        <v>10753</v>
      </c>
      <c r="B14420" s="4">
        <v>245968</v>
      </c>
      <c r="D14420" s="5" t="s">
        <v>17034</v>
      </c>
      <c r="E14420" s="6" t="str">
        <f>HYPERLINK("https://inpn.mnhn.fr/espece/cd_nom/245968","Agonopterix umbellana (Fabricius, 1794)")</f>
        <v>Agonopterix umbellana (Fabricius, 1794)</v>
      </c>
      <c r="AH14420" s="4" t="str">
        <f>HYPERLINK("#Statut_biogéographique!A"&amp;_xlfn.XMATCH("P",Statut_biogéographique!A:A,2,1),"P")</f>
        <v>P</v>
      </c>
      <c r="AP14420" s="4" t="s">
        <v>376</v>
      </c>
      <c r="AR14420" s="4" t="s">
        <v>377</v>
      </c>
    </row>
    <row r="14421" spans="1:44">
      <c r="A14421" s="4" t="s">
        <v>10753</v>
      </c>
      <c r="B14421" s="4">
        <v>245969</v>
      </c>
      <c r="D14421" s="5" t="s">
        <v>17035</v>
      </c>
      <c r="E14421" s="6" t="str">
        <f>HYPERLINK("https://inpn.mnhn.fr/espece/cd_nom/245969","Agonopterix nervosa (Haworth, 1811)")</f>
        <v>Agonopterix nervosa (Haworth, 1811)</v>
      </c>
      <c r="AH14421" s="4" t="str">
        <f>HYPERLINK("#Statut_biogéographique!A"&amp;_xlfn.XMATCH("P",Statut_biogéographique!A:A,2,1),"P")</f>
        <v>P</v>
      </c>
      <c r="AP14421" s="4" t="s">
        <v>376</v>
      </c>
      <c r="AR14421" s="4" t="s">
        <v>377</v>
      </c>
    </row>
    <row r="14422" spans="1:44">
      <c r="A14422" s="4" t="s">
        <v>10753</v>
      </c>
      <c r="B14422" s="4">
        <v>245973</v>
      </c>
      <c r="D14422" s="5" t="s">
        <v>17036</v>
      </c>
      <c r="E14422" s="6" t="str">
        <f>HYPERLINK("https://inpn.mnhn.fr/espece/cd_nom/245973","Agonopterix angelicella (Hübner, 1813)")</f>
        <v>Agonopterix angelicella (Hübner, 1813)</v>
      </c>
      <c r="AH14422" s="4" t="str">
        <f>HYPERLINK("#Statut_biogéographique!A"&amp;_xlfn.XMATCH("P",Statut_biogéographique!A:A,2,1),"P")</f>
        <v>P</v>
      </c>
      <c r="AP14422" s="4" t="s">
        <v>376</v>
      </c>
      <c r="AR14422" s="4" t="s">
        <v>377</v>
      </c>
    </row>
    <row r="14423" spans="1:44">
      <c r="A14423" s="4" t="s">
        <v>10753</v>
      </c>
      <c r="B14423" s="4">
        <v>245977</v>
      </c>
      <c r="D14423" s="5" t="s">
        <v>17037</v>
      </c>
      <c r="E14423" s="6" t="str">
        <f>HYPERLINK("https://inpn.mnhn.fr/espece/cd_nom/245977","Agonopterix yeatiana (Fabricius, 1781)")</f>
        <v>Agonopterix yeatiana (Fabricius, 1781)</v>
      </c>
      <c r="AH14423" s="4" t="str">
        <f>HYPERLINK("#Statut_biogéographique!A"&amp;_xlfn.XMATCH("P",Statut_biogéographique!A:A,2,1),"P")</f>
        <v>P</v>
      </c>
      <c r="AP14423" s="4" t="s">
        <v>376</v>
      </c>
      <c r="AR14423" s="4" t="s">
        <v>377</v>
      </c>
    </row>
    <row r="14424" spans="1:44">
      <c r="A14424" s="4" t="s">
        <v>10753</v>
      </c>
      <c r="B14424" s="4">
        <v>24598</v>
      </c>
      <c r="D14424" s="5">
        <v>24598</v>
      </c>
      <c r="E14424" s="6" t="str">
        <f>HYPERLINK("https://inpn.mnhn.fr/espece/cd_nom/24598","Xylota abiens Meigen, 1822")</f>
        <v>Xylota abiens Meigen, 1822</v>
      </c>
      <c r="P14424" s="7" t="str">
        <f>HYPERLINK("#Liste_rouge!A"&amp;_xlfn.XMATCH("LC",Liste_rouge!A:A,2,1),"LC")</f>
        <v>LC</v>
      </c>
      <c r="AH14424" s="4" t="str">
        <f>HYPERLINK("#Statut_biogéographique!A"&amp;_xlfn.XMATCH("P",Statut_biogéographique!A:A,2,1),"P")</f>
        <v>P</v>
      </c>
      <c r="AP14424" s="4" t="s">
        <v>376</v>
      </c>
      <c r="AR14424" s="4" t="s">
        <v>377</v>
      </c>
    </row>
    <row r="14425" spans="1:44" ht="30">
      <c r="A14425" s="4" t="s">
        <v>10753</v>
      </c>
      <c r="B14425" s="4">
        <v>245987</v>
      </c>
      <c r="D14425" s="5" t="s">
        <v>17038</v>
      </c>
      <c r="E14425" s="6" t="str">
        <f>HYPERLINK("https://inpn.mnhn.fr/espece/cd_nom/245987","Luquetia lobella (Denis &amp; Schiffermüller, 1775)")</f>
        <v>Luquetia lobella (Denis &amp; Schiffermüller, 1775)</v>
      </c>
      <c r="AH14425" s="4" t="str">
        <f>HYPERLINK("#Statut_biogéographique!A"&amp;_xlfn.XMATCH("P",Statut_biogéographique!A:A,2,1),"P")</f>
        <v>P</v>
      </c>
      <c r="AP14425" s="4" t="s">
        <v>376</v>
      </c>
      <c r="AR14425" s="4" t="s">
        <v>377</v>
      </c>
    </row>
    <row r="14426" spans="1:44">
      <c r="A14426" s="4" t="s">
        <v>10753</v>
      </c>
      <c r="B14426" s="4">
        <v>245989</v>
      </c>
      <c r="D14426" s="5" t="s">
        <v>17039</v>
      </c>
      <c r="E14426" s="6" t="str">
        <f>HYPERLINK("https://inpn.mnhn.fr/espece/cd_nom/245989","Perittia herrichiella (Herrich-Schäffer, 1855)")</f>
        <v>Perittia herrichiella (Herrich-Schäffer, 1855)</v>
      </c>
      <c r="AH14426" s="4" t="str">
        <f>HYPERLINK("#Statut_biogéographique!A"&amp;_xlfn.XMATCH("P",Statut_biogéographique!A:A,2,1),"P")</f>
        <v>P</v>
      </c>
      <c r="AP14426" s="4" t="s">
        <v>376</v>
      </c>
      <c r="AR14426" s="4" t="s">
        <v>377</v>
      </c>
    </row>
    <row r="14427" spans="1:44">
      <c r="A14427" s="4" t="s">
        <v>10753</v>
      </c>
      <c r="B14427" s="4">
        <v>245990</v>
      </c>
      <c r="D14427" s="5" t="s">
        <v>17040</v>
      </c>
      <c r="E14427" s="6" t="str">
        <f>HYPERLINK("https://inpn.mnhn.fr/espece/cd_nom/245990","Perittia obscurepunctella (Stainton, 1848)")</f>
        <v>Perittia obscurepunctella (Stainton, 1848)</v>
      </c>
      <c r="AH14427" s="4" t="str">
        <f>HYPERLINK("#Statut_biogéographique!A"&amp;_xlfn.XMATCH("P",Statut_biogéographique!A:A,2,1),"P")</f>
        <v>P</v>
      </c>
      <c r="AP14427" s="4" t="s">
        <v>376</v>
      </c>
      <c r="AR14427" s="4" t="s">
        <v>377</v>
      </c>
    </row>
    <row r="14428" spans="1:44">
      <c r="A14428" s="4" t="s">
        <v>10753</v>
      </c>
      <c r="B14428" s="4">
        <v>245995</v>
      </c>
      <c r="D14428" s="5" t="s">
        <v>17041</v>
      </c>
      <c r="E14428" s="6" t="str">
        <f>HYPERLINK("https://inpn.mnhn.fr/espece/cd_nom/245995","Elachista argentella (Clerck, 1759)")</f>
        <v>Elachista argentella (Clerck, 1759)</v>
      </c>
      <c r="AH14428" s="4" t="str">
        <f>HYPERLINK("#Statut_biogéographique!A"&amp;_xlfn.XMATCH("P",Statut_biogéographique!A:A,2,1),"P")</f>
        <v>P</v>
      </c>
      <c r="AP14428" s="4" t="s">
        <v>376</v>
      </c>
      <c r="AR14428" s="4" t="s">
        <v>377</v>
      </c>
    </row>
    <row r="14429" spans="1:44">
      <c r="A14429" s="4" t="s">
        <v>10753</v>
      </c>
      <c r="B14429" s="4">
        <v>245998</v>
      </c>
      <c r="D14429" s="5" t="s">
        <v>17042</v>
      </c>
      <c r="E14429" s="6" t="str">
        <f>HYPERLINK("https://inpn.mnhn.fr/espece/cd_nom/245998","Elachista bisulcella (Duponchel, 1843)")</f>
        <v>Elachista bisulcella (Duponchel, 1843)</v>
      </c>
      <c r="AH14429" s="4" t="str">
        <f>HYPERLINK("#Statut_biogéographique!A"&amp;_xlfn.XMATCH("P",Statut_biogéographique!A:A,2,1),"P")</f>
        <v>P</v>
      </c>
      <c r="AP14429" s="4" t="s">
        <v>376</v>
      </c>
      <c r="AR14429" s="4" t="s">
        <v>377</v>
      </c>
    </row>
    <row r="14430" spans="1:44">
      <c r="A14430" s="4" t="s">
        <v>10753</v>
      </c>
      <c r="B14430" s="4">
        <v>246003</v>
      </c>
      <c r="D14430" s="5" t="s">
        <v>17043</v>
      </c>
      <c r="E14430" s="6" t="str">
        <f>HYPERLINK("https://inpn.mnhn.fr/espece/cd_nom/246003","Elachista collitella (Duponchel, 1843)")</f>
        <v>Elachista collitella (Duponchel, 1843)</v>
      </c>
      <c r="AH14430" s="4" t="str">
        <f>HYPERLINK("#Statut_biogéographique!A"&amp;_xlfn.XMATCH("P",Statut_biogéographique!A:A,2,1),"P")</f>
        <v>P</v>
      </c>
      <c r="AP14430" s="4" t="s">
        <v>376</v>
      </c>
      <c r="AR14430" s="4" t="s">
        <v>377</v>
      </c>
    </row>
    <row r="14431" spans="1:44">
      <c r="A14431" s="4" t="s">
        <v>10753</v>
      </c>
      <c r="B14431" s="4">
        <v>246008</v>
      </c>
      <c r="D14431" s="5" t="s">
        <v>17044</v>
      </c>
      <c r="E14431" s="6" t="str">
        <f>HYPERLINK("https://inpn.mnhn.fr/espece/cd_nom/246008","Elachista gangabella Zeller, 1850")</f>
        <v>Elachista gangabella Zeller, 1850</v>
      </c>
      <c r="AH14431" s="4" t="str">
        <f>HYPERLINK("#Statut_biogéographique!A"&amp;_xlfn.XMATCH("P",Statut_biogéographique!A:A,2,1),"P")</f>
        <v>P</v>
      </c>
      <c r="AP14431" s="4" t="s">
        <v>376</v>
      </c>
      <c r="AR14431" s="4" t="s">
        <v>377</v>
      </c>
    </row>
    <row r="14432" spans="1:44">
      <c r="A14432" s="4" t="s">
        <v>10753</v>
      </c>
      <c r="B14432" s="4">
        <v>246015</v>
      </c>
      <c r="D14432" s="5" t="s">
        <v>17045</v>
      </c>
      <c r="E14432" s="6" t="str">
        <f>HYPERLINK("https://inpn.mnhn.fr/espece/cd_nom/246015","Elachista lugdunensis Frey, 1859")</f>
        <v>Elachista lugdunensis Frey, 1859</v>
      </c>
      <c r="AH14432" s="4" t="str">
        <f>HYPERLINK("#Statut_biogéographique!A"&amp;_xlfn.XMATCH("P",Statut_biogéographique!A:A,2,1),"P")</f>
        <v>P</v>
      </c>
      <c r="AP14432" s="4" t="s">
        <v>376</v>
      </c>
      <c r="AR14432" s="4" t="s">
        <v>377</v>
      </c>
    </row>
    <row r="14433" spans="1:44">
      <c r="A14433" s="4" t="s">
        <v>10753</v>
      </c>
      <c r="B14433" s="4">
        <v>246017</v>
      </c>
      <c r="D14433" s="5" t="s">
        <v>17046</v>
      </c>
      <c r="E14433" s="6" t="str">
        <f>HYPERLINK("https://inpn.mnhn.fr/espece/cd_nom/246017","Elachista nitidulella (Herrich-Schäffer, 1855)")</f>
        <v>Elachista nitidulella (Herrich-Schäffer, 1855)</v>
      </c>
      <c r="AH14433" s="4" t="str">
        <f>HYPERLINK("#Statut_biogéographique!A"&amp;_xlfn.XMATCH("P",Statut_biogéographique!A:A,2,1),"P")</f>
        <v>P</v>
      </c>
      <c r="AP14433" s="4" t="s">
        <v>376</v>
      </c>
      <c r="AR14433" s="4" t="s">
        <v>377</v>
      </c>
    </row>
    <row r="14434" spans="1:44">
      <c r="A14434" s="4" t="s">
        <v>10753</v>
      </c>
      <c r="B14434" s="4">
        <v>246023</v>
      </c>
      <c r="D14434" s="5">
        <v>246023</v>
      </c>
      <c r="E14434" s="6" t="str">
        <f>HYPERLINK("https://inpn.mnhn.fr/espece/cd_nom/246023","Elachista pollinariella Zeller, 1839")</f>
        <v>Elachista pollinariella Zeller, 1839</v>
      </c>
      <c r="AH14434" s="4" t="str">
        <f>HYPERLINK("#Statut_biogéographique!A"&amp;_xlfn.XMATCH("P",Statut_biogéographique!A:A,2,1),"P")</f>
        <v>P</v>
      </c>
      <c r="AP14434" s="4" t="s">
        <v>376</v>
      </c>
      <c r="AR14434" s="4" t="s">
        <v>377</v>
      </c>
    </row>
    <row r="14435" spans="1:44">
      <c r="A14435" s="4" t="s">
        <v>10753</v>
      </c>
      <c r="B14435" s="4">
        <v>246027</v>
      </c>
      <c r="D14435" s="5">
        <v>246027</v>
      </c>
      <c r="E14435" s="6" t="str">
        <f>HYPERLINK("https://inpn.mnhn.fr/espece/cd_nom/246027","Elachista rudectella Stainton, 1851")</f>
        <v>Elachista rudectella Stainton, 1851</v>
      </c>
      <c r="AH14435" s="4" t="str">
        <f>HYPERLINK("#Statut_biogéographique!A"&amp;_xlfn.XMATCH("P",Statut_biogéographique!A:A,2,1),"P")</f>
        <v>P</v>
      </c>
      <c r="AP14435" s="4" t="s">
        <v>376</v>
      </c>
      <c r="AR14435" s="4" t="s">
        <v>377</v>
      </c>
    </row>
    <row r="14436" spans="1:44">
      <c r="A14436" s="4" t="s">
        <v>10753</v>
      </c>
      <c r="B14436" s="4">
        <v>246028</v>
      </c>
      <c r="D14436" s="5" t="s">
        <v>17047</v>
      </c>
      <c r="E14436" s="6" t="str">
        <f>HYPERLINK("https://inpn.mnhn.fr/espece/cd_nom/246028","Elachista squamosella (Duponchel, 1843)")</f>
        <v>Elachista squamosella (Duponchel, 1843)</v>
      </c>
      <c r="AH14436" s="4" t="str">
        <f>HYPERLINK("#Statut_biogéographique!A"&amp;_xlfn.XMATCH("P",Statut_biogéographique!A:A,2,1),"P")</f>
        <v>P</v>
      </c>
      <c r="AP14436" s="4" t="s">
        <v>376</v>
      </c>
      <c r="AR14436" s="4" t="s">
        <v>377</v>
      </c>
    </row>
    <row r="14437" spans="1:44">
      <c r="A14437" s="4" t="s">
        <v>10753</v>
      </c>
      <c r="B14437" s="4">
        <v>246036</v>
      </c>
      <c r="D14437" s="5" t="s">
        <v>17048</v>
      </c>
      <c r="E14437" s="6" t="str">
        <f>HYPERLINK("https://inpn.mnhn.fr/espece/cd_nom/246036","Elachista albifrontella (Hübner, 1817)")</f>
        <v>Elachista albifrontella (Hübner, 1817)</v>
      </c>
      <c r="AH14437" s="4" t="str">
        <f>HYPERLINK("#Statut_biogéographique!A"&amp;_xlfn.XMATCH("P",Statut_biogéographique!A:A,2,1),"P")</f>
        <v>P</v>
      </c>
      <c r="AP14437" s="4" t="s">
        <v>376</v>
      </c>
      <c r="AR14437" s="4" t="s">
        <v>377</v>
      </c>
    </row>
    <row r="14438" spans="1:44">
      <c r="A14438" s="4" t="s">
        <v>10753</v>
      </c>
      <c r="B14438" s="4">
        <v>246040</v>
      </c>
      <c r="D14438" s="5">
        <v>246040</v>
      </c>
      <c r="E14438" s="6" t="str">
        <f>HYPERLINK("https://inpn.mnhn.fr/espece/cd_nom/246040","Elachista apicipunctella Stainton, 1849")</f>
        <v>Elachista apicipunctella Stainton, 1849</v>
      </c>
      <c r="AH14438" s="4" t="str">
        <f>HYPERLINK("#Statut_biogéographique!A"&amp;_xlfn.XMATCH("P",Statut_biogéographique!A:A,2,1),"P")</f>
        <v>P</v>
      </c>
      <c r="AP14438" s="4" t="s">
        <v>376</v>
      </c>
      <c r="AR14438" s="4" t="s">
        <v>377</v>
      </c>
    </row>
    <row r="14439" spans="1:44">
      <c r="A14439" s="4" t="s">
        <v>10753</v>
      </c>
      <c r="B14439" s="4">
        <v>246042</v>
      </c>
      <c r="D14439" s="5" t="s">
        <v>17049</v>
      </c>
      <c r="E14439" s="6" t="str">
        <f>HYPERLINK("https://inpn.mnhn.fr/espece/cd_nom/246042","Elachista biatomella (Stainton, 1848)")</f>
        <v>Elachista biatomella (Stainton, 1848)</v>
      </c>
      <c r="AH14439" s="4" t="str">
        <f>HYPERLINK("#Statut_biogéographique!A"&amp;_xlfn.XMATCH("P",Statut_biogéographique!A:A,2,1),"P")</f>
        <v>P</v>
      </c>
      <c r="AP14439" s="4" t="s">
        <v>376</v>
      </c>
      <c r="AR14439" s="4" t="s">
        <v>377</v>
      </c>
    </row>
    <row r="14440" spans="1:44">
      <c r="A14440" s="4" t="s">
        <v>10753</v>
      </c>
      <c r="B14440" s="4">
        <v>246043</v>
      </c>
      <c r="D14440" s="5">
        <v>246043</v>
      </c>
      <c r="E14440" s="6" t="str">
        <f>HYPERLINK("https://inpn.mnhn.fr/espece/cd_nom/246043","Elachista bifasciella Treitschke, 1833")</f>
        <v>Elachista bifasciella Treitschke, 1833</v>
      </c>
      <c r="AH14440" s="4" t="str">
        <f>HYPERLINK("#Statut_biogéographique!A"&amp;_xlfn.XMATCH("P",Statut_biogéographique!A:A,2,1),"P")</f>
        <v>P</v>
      </c>
      <c r="AP14440" s="4" t="s">
        <v>376</v>
      </c>
      <c r="AR14440" s="4" t="s">
        <v>377</v>
      </c>
    </row>
    <row r="14441" spans="1:44">
      <c r="A14441" s="4" t="s">
        <v>10753</v>
      </c>
      <c r="B14441" s="4">
        <v>246045</v>
      </c>
      <c r="D14441" s="5" t="s">
        <v>17050</v>
      </c>
      <c r="E14441" s="6" t="str">
        <f>HYPERLINK("https://inpn.mnhn.fr/espece/cd_nom/246045","Elachista canapennella (Hübner, 1813)")</f>
        <v>Elachista canapennella (Hübner, 1813)</v>
      </c>
      <c r="AH14441" s="4" t="str">
        <f>HYPERLINK("#Statut_biogéographique!A"&amp;_xlfn.XMATCH("P",Statut_biogéographique!A:A,2,1),"P")</f>
        <v>P</v>
      </c>
      <c r="AP14441" s="4" t="s">
        <v>376</v>
      </c>
      <c r="AR14441" s="4" t="s">
        <v>377</v>
      </c>
    </row>
    <row r="14442" spans="1:44">
      <c r="A14442" s="4" t="s">
        <v>10753</v>
      </c>
      <c r="B14442" s="4">
        <v>24605</v>
      </c>
      <c r="D14442" s="5" t="s">
        <v>17051</v>
      </c>
      <c r="E14442" s="6" t="str">
        <f>HYPERLINK("https://inpn.mnhn.fr/espece/cd_nom/24605","Xylota florum (Fabricius, 1805)")</f>
        <v>Xylota florum (Fabricius, 1805)</v>
      </c>
      <c r="P14442" s="7" t="str">
        <f>HYPERLINK("#Liste_rouge!A"&amp;_xlfn.XMATCH("LC",Liste_rouge!A:A,2,1),"LC")</f>
        <v>LC</v>
      </c>
      <c r="AH14442" s="4" t="str">
        <f>HYPERLINK("#Statut_biogéographique!A"&amp;_xlfn.XMATCH("P",Statut_biogéographique!A:A,2,1),"P")</f>
        <v>P</v>
      </c>
      <c r="AP14442" s="4" t="s">
        <v>376</v>
      </c>
      <c r="AR14442" s="4" t="s">
        <v>377</v>
      </c>
    </row>
    <row r="14443" spans="1:44">
      <c r="A14443" s="4" t="s">
        <v>10753</v>
      </c>
      <c r="B14443" s="4">
        <v>246057</v>
      </c>
      <c r="D14443" s="5" t="s">
        <v>17052</v>
      </c>
      <c r="E14443" s="6" t="str">
        <f>HYPERLINK("https://inpn.mnhn.fr/espece/cd_nom/246057","Elachista gleichenella (Fabricius, 1781)")</f>
        <v>Elachista gleichenella (Fabricius, 1781)</v>
      </c>
      <c r="AH14443" s="4" t="str">
        <f>HYPERLINK("#Statut_biogéographique!A"&amp;_xlfn.XMATCH("P",Statut_biogéographique!A:A,2,1),"P")</f>
        <v>P</v>
      </c>
      <c r="AP14443" s="4" t="s">
        <v>376</v>
      </c>
      <c r="AR14443" s="4" t="s">
        <v>377</v>
      </c>
    </row>
    <row r="14444" spans="1:44">
      <c r="A14444" s="4" t="s">
        <v>10753</v>
      </c>
      <c r="B14444" s="4">
        <v>24606</v>
      </c>
      <c r="D14444" s="5" t="s">
        <v>17053</v>
      </c>
      <c r="E14444" s="6" t="str">
        <f>HYPERLINK("https://inpn.mnhn.fr/espece/cd_nom/24606","Xylota ignava (Panzer, 1798)")</f>
        <v>Xylota ignava (Panzer, 1798)</v>
      </c>
      <c r="P14444" s="7" t="str">
        <f>HYPERLINK("#Liste_rouge!A"&amp;_xlfn.XMATCH("LC",Liste_rouge!A:A,2,1),"LC")</f>
        <v>LC</v>
      </c>
      <c r="AH14444" s="4" t="str">
        <f>HYPERLINK("#Statut_biogéographique!A"&amp;_xlfn.XMATCH("P",Statut_biogéographique!A:A,2,1),"P")</f>
        <v>P</v>
      </c>
      <c r="AP14444" s="4" t="s">
        <v>376</v>
      </c>
      <c r="AR14444" s="4" t="s">
        <v>377</v>
      </c>
    </row>
    <row r="14445" spans="1:44">
      <c r="A14445" s="4" t="s">
        <v>10753</v>
      </c>
      <c r="B14445" s="4">
        <v>246062</v>
      </c>
      <c r="D14445" s="5">
        <v>246062</v>
      </c>
      <c r="E14445" s="6" t="str">
        <f>HYPERLINK("https://inpn.mnhn.fr/espece/cd_nom/246062","Elachista lastrella Chrétien, 1897")</f>
        <v>Elachista lastrella Chrétien, 1897</v>
      </c>
      <c r="AH14445" s="4" t="str">
        <f>HYPERLINK("#Statut_biogéographique!A"&amp;_xlfn.XMATCH("P",Statut_biogéographique!A:A,2,1),"P")</f>
        <v>P</v>
      </c>
      <c r="AP14445" s="4" t="s">
        <v>376</v>
      </c>
      <c r="AR14445" s="4" t="s">
        <v>377</v>
      </c>
    </row>
    <row r="14446" spans="1:44">
      <c r="A14446" s="4" t="s">
        <v>10753</v>
      </c>
      <c r="B14446" s="4">
        <v>246070</v>
      </c>
      <c r="D14446" s="5" t="s">
        <v>17054</v>
      </c>
      <c r="E14446" s="6" t="str">
        <f>HYPERLINK("https://inpn.mnhn.fr/espece/cd_nom/246070","Elachista rufocinerea (Haworth, 1828)")</f>
        <v>Elachista rufocinerea (Haworth, 1828)</v>
      </c>
      <c r="AH14446" s="4" t="str">
        <f>HYPERLINK("#Statut_biogéographique!A"&amp;_xlfn.XMATCH("P",Statut_biogéographique!A:A,2,1),"P")</f>
        <v>P</v>
      </c>
      <c r="AP14446" s="4" t="s">
        <v>376</v>
      </c>
      <c r="AR14446" s="4" t="s">
        <v>377</v>
      </c>
    </row>
    <row r="14447" spans="1:44">
      <c r="A14447" s="4" t="s">
        <v>10753</v>
      </c>
      <c r="B14447" s="4">
        <v>246075</v>
      </c>
      <c r="D14447" s="5" t="s">
        <v>17055</v>
      </c>
      <c r="E14447" s="6" t="str">
        <f>HYPERLINK("https://inpn.mnhn.fr/espece/cd_nom/246075","Blastodacna hellerella (Duponchel, 1840)")</f>
        <v>Blastodacna hellerella (Duponchel, 1840)</v>
      </c>
      <c r="AH14447" s="4" t="str">
        <f>HYPERLINK("#Statut_biogéographique!A"&amp;_xlfn.XMATCH("P",Statut_biogéographique!A:A,2,1),"P")</f>
        <v>P</v>
      </c>
      <c r="AP14447" s="4" t="s">
        <v>376</v>
      </c>
      <c r="AR14447" s="4" t="s">
        <v>377</v>
      </c>
    </row>
    <row r="14448" spans="1:44" ht="30">
      <c r="A14448" s="4" t="s">
        <v>10753</v>
      </c>
      <c r="B14448" s="4">
        <v>246078</v>
      </c>
      <c r="D14448" s="5" t="s">
        <v>17056</v>
      </c>
      <c r="E14448" s="6" t="str">
        <f>HYPERLINK("https://inpn.mnhn.fr/espece/cd_nom/246078","Spuleria flavicaput (Haworth, 1828)")</f>
        <v>Spuleria flavicaput (Haworth, 1828)</v>
      </c>
      <c r="AH14448" s="4" t="str">
        <f>HYPERLINK("#Statut_biogéographique!A"&amp;_xlfn.XMATCH("P",Statut_biogéographique!A:A,2,1),"P")</f>
        <v>P</v>
      </c>
      <c r="AP14448" s="4" t="s">
        <v>376</v>
      </c>
      <c r="AR14448" s="4" t="s">
        <v>377</v>
      </c>
    </row>
    <row r="14449" spans="1:44" ht="30">
      <c r="A14449" s="4" t="s">
        <v>10753</v>
      </c>
      <c r="B14449" s="4">
        <v>246087</v>
      </c>
      <c r="D14449" s="5" t="s">
        <v>17057</v>
      </c>
      <c r="E14449" s="6" t="str">
        <f>HYPERLINK("https://inpn.mnhn.fr/espece/cd_nom/246087","Scythris obscurella (Scopoli, 1763)")</f>
        <v>Scythris obscurella (Scopoli, 1763)</v>
      </c>
      <c r="AH14449" s="4" t="str">
        <f>HYPERLINK("#Statut_biogéographique!A"&amp;_xlfn.XMATCH("P",Statut_biogéographique!A:A,2,1),"P")</f>
        <v>P</v>
      </c>
      <c r="AP14449" s="4" t="s">
        <v>376</v>
      </c>
      <c r="AR14449" s="4" t="s">
        <v>377</v>
      </c>
    </row>
    <row r="14450" spans="1:44">
      <c r="A14450" s="4" t="s">
        <v>10753</v>
      </c>
      <c r="B14450" s="4">
        <v>246093</v>
      </c>
      <c r="D14450" s="5" t="s">
        <v>17058</v>
      </c>
      <c r="E14450" s="6" t="str">
        <f>HYPERLINK("https://inpn.mnhn.fr/espece/cd_nom/246093","Scythris seliniella (Zeller, 1839)")</f>
        <v>Scythris seliniella (Zeller, 1839)</v>
      </c>
      <c r="AH14450" s="4" t="str">
        <f>HYPERLINK("#Statut_biogéographique!A"&amp;_xlfn.XMATCH("P",Statut_biogéographique!A:A,2,1),"P")</f>
        <v>P</v>
      </c>
      <c r="AP14450" s="4" t="s">
        <v>376</v>
      </c>
      <c r="AR14450" s="4" t="s">
        <v>377</v>
      </c>
    </row>
    <row r="14451" spans="1:44">
      <c r="A14451" s="4" t="s">
        <v>10753</v>
      </c>
      <c r="B14451" s="4">
        <v>246096</v>
      </c>
      <c r="D14451" s="5" t="s">
        <v>17059</v>
      </c>
      <c r="E14451" s="6" t="str">
        <f>HYPERLINK("https://inpn.mnhn.fr/espece/cd_nom/246096","Scythris fallacella (Schläger, 1847)")</f>
        <v>Scythris fallacella (Schläger, 1847)</v>
      </c>
      <c r="AH14451" s="4" t="str">
        <f>HYPERLINK("#Statut_biogéographique!A"&amp;_xlfn.XMATCH("P",Statut_biogéographique!A:A,2,1),"P")</f>
        <v>P</v>
      </c>
      <c r="AP14451" s="4" t="s">
        <v>376</v>
      </c>
      <c r="AR14451" s="4" t="s">
        <v>377</v>
      </c>
    </row>
    <row r="14452" spans="1:44">
      <c r="A14452" s="4" t="s">
        <v>10753</v>
      </c>
      <c r="B14452" s="4">
        <v>246131</v>
      </c>
      <c r="D14452" s="5" t="s">
        <v>17060</v>
      </c>
      <c r="E14452" s="6" t="str">
        <f>HYPERLINK("https://inpn.mnhn.fr/espece/cd_nom/246131","Scythris tributella (Zeller, 1847)")</f>
        <v>Scythris tributella (Zeller, 1847)</v>
      </c>
      <c r="AH14452" s="4" t="str">
        <f>HYPERLINK("#Statut_biogéographique!A"&amp;_xlfn.XMATCH("P",Statut_biogéographique!A:A,2,1),"P")</f>
        <v>P</v>
      </c>
      <c r="AP14452" s="4" t="s">
        <v>376</v>
      </c>
      <c r="AR14452" s="4" t="s">
        <v>377</v>
      </c>
    </row>
    <row r="14453" spans="1:44" ht="30">
      <c r="A14453" s="4" t="s">
        <v>10753</v>
      </c>
      <c r="B14453" s="4">
        <v>246133</v>
      </c>
      <c r="D14453" s="5" t="s">
        <v>17061</v>
      </c>
      <c r="E14453" s="6" t="str">
        <f>HYPERLINK("https://inpn.mnhn.fr/espece/cd_nom/246133","Scythris laminella (Denis &amp; Schiffermüller, 1775)")</f>
        <v>Scythris laminella (Denis &amp; Schiffermüller, 1775)</v>
      </c>
      <c r="AH14453" s="4" t="str">
        <f>HYPERLINK("#Statut_biogéographique!A"&amp;_xlfn.XMATCH("P",Statut_biogéographique!A:A,2,1),"P")</f>
        <v>P</v>
      </c>
      <c r="AP14453" s="4" t="s">
        <v>376</v>
      </c>
      <c r="AR14453" s="4" t="s">
        <v>377</v>
      </c>
    </row>
    <row r="14454" spans="1:44">
      <c r="A14454" s="4" t="s">
        <v>10753</v>
      </c>
      <c r="B14454" s="4">
        <v>246147</v>
      </c>
      <c r="D14454" s="5" t="s">
        <v>17062</v>
      </c>
      <c r="E14454" s="6" t="str">
        <f>HYPERLINK("https://inpn.mnhn.fr/espece/cd_nom/246147","Scythris scopolella (Linnaeus, 1767)")</f>
        <v>Scythris scopolella (Linnaeus, 1767)</v>
      </c>
      <c r="AH14454" s="4" t="str">
        <f>HYPERLINK("#Statut_biogéographique!A"&amp;_xlfn.XMATCH("P",Statut_biogéographique!A:A,2,1),"P")</f>
        <v>P</v>
      </c>
      <c r="AP14454" s="4" t="s">
        <v>376</v>
      </c>
      <c r="AR14454" s="4" t="s">
        <v>377</v>
      </c>
    </row>
    <row r="14455" spans="1:44" ht="30">
      <c r="A14455" s="4" t="s">
        <v>10753</v>
      </c>
      <c r="B14455" s="4">
        <v>246148</v>
      </c>
      <c r="D14455" s="5" t="s">
        <v>17063</v>
      </c>
      <c r="E14455" s="6" t="str">
        <f>HYPERLINK("https://inpn.mnhn.fr/espece/cd_nom/246148","Scythris limbella (Fabricius, 1775)")</f>
        <v>Scythris limbella (Fabricius, 1775)</v>
      </c>
      <c r="AH14455" s="4" t="str">
        <f>HYPERLINK("#Statut_biogéographique!A"&amp;_xlfn.XMATCH("P",Statut_biogéographique!A:A,2,1),"P")</f>
        <v>P</v>
      </c>
      <c r="AP14455" s="4" t="s">
        <v>376</v>
      </c>
      <c r="AR14455" s="4" t="s">
        <v>377</v>
      </c>
    </row>
    <row r="14456" spans="1:44">
      <c r="A14456" s="4" t="s">
        <v>10753</v>
      </c>
      <c r="B14456" s="4">
        <v>246168</v>
      </c>
      <c r="D14456" s="5" t="s">
        <v>17064</v>
      </c>
      <c r="E14456" s="6" t="str">
        <f>HYPERLINK("https://inpn.mnhn.fr/espece/cd_nom/246168","Enolmis acanthella (Godart, 1824)")</f>
        <v>Enolmis acanthella (Godart, 1824)</v>
      </c>
      <c r="AH14456" s="4" t="str">
        <f>HYPERLINK("#Statut_biogéographique!A"&amp;_xlfn.XMATCH("P",Statut_biogéographique!A:A,2,1),"P")</f>
        <v>P</v>
      </c>
      <c r="AP14456" s="4" t="s">
        <v>376</v>
      </c>
      <c r="AR14456" s="4" t="s">
        <v>377</v>
      </c>
    </row>
    <row r="14457" spans="1:44">
      <c r="A14457" s="4" t="s">
        <v>10753</v>
      </c>
      <c r="B14457" s="4">
        <v>246170</v>
      </c>
      <c r="D14457" s="5" t="s">
        <v>17065</v>
      </c>
      <c r="E14457" s="6" t="str">
        <f>HYPERLINK("https://inpn.mnhn.fr/espece/cd_nom/246170","Diurnea fagella (Denis &amp; Schiffermüller, 1775)")</f>
        <v>Diurnea fagella (Denis &amp; Schiffermüller, 1775)</v>
      </c>
      <c r="AH14457" s="4" t="str">
        <f>HYPERLINK("#Statut_biogéographique!A"&amp;_xlfn.XMATCH("P",Statut_biogéographique!A:A,2,1),"P")</f>
        <v>P</v>
      </c>
      <c r="AP14457" s="4" t="s">
        <v>376</v>
      </c>
      <c r="AR14457" s="4" t="s">
        <v>377</v>
      </c>
    </row>
    <row r="14458" spans="1:44" ht="30">
      <c r="A14458" s="4" t="s">
        <v>10753</v>
      </c>
      <c r="B14458" s="4">
        <v>246171</v>
      </c>
      <c r="D14458" s="5" t="s">
        <v>17066</v>
      </c>
      <c r="E14458" s="6" t="str">
        <f>HYPERLINK("https://inpn.mnhn.fr/espece/cd_nom/246171","Diurnea lipsiella (Denis &amp; Schiffermüller, 1775)")</f>
        <v>Diurnea lipsiella (Denis &amp; Schiffermüller, 1775)</v>
      </c>
      <c r="AH14458" s="4" t="str">
        <f>HYPERLINK("#Statut_biogéographique!A"&amp;_xlfn.XMATCH("P",Statut_biogéographique!A:A,2,1),"P")</f>
        <v>P</v>
      </c>
      <c r="AP14458" s="4" t="s">
        <v>376</v>
      </c>
      <c r="AR14458" s="4" t="s">
        <v>377</v>
      </c>
    </row>
    <row r="14459" spans="1:44">
      <c r="A14459" s="4" t="s">
        <v>10753</v>
      </c>
      <c r="B14459" s="4">
        <v>246172</v>
      </c>
      <c r="D14459" s="5" t="s">
        <v>17067</v>
      </c>
      <c r="E14459" s="6" t="str">
        <f>HYPERLINK("https://inpn.mnhn.fr/espece/cd_nom/246172","Dasystoma salicella (Hübner, 1796)")</f>
        <v>Dasystoma salicella (Hübner, 1796)</v>
      </c>
      <c r="AH14459" s="4" t="str">
        <f>HYPERLINK("#Statut_biogéographique!A"&amp;_xlfn.XMATCH("P",Statut_biogéographique!A:A,2,1),"P")</f>
        <v>P</v>
      </c>
      <c r="AP14459" s="4" t="s">
        <v>376</v>
      </c>
      <c r="AR14459" s="4" t="s">
        <v>377</v>
      </c>
    </row>
    <row r="14460" spans="1:44">
      <c r="A14460" s="4" t="s">
        <v>10753</v>
      </c>
      <c r="B14460" s="4">
        <v>246173</v>
      </c>
      <c r="D14460" s="5" t="s">
        <v>17068</v>
      </c>
      <c r="E14460" s="6" t="str">
        <f>HYPERLINK("https://inpn.mnhn.fr/espece/cd_nom/246173","Harpella forficella (Scopoli, 1763)")</f>
        <v>Harpella forficella (Scopoli, 1763)</v>
      </c>
      <c r="AH14460" s="4" t="str">
        <f>HYPERLINK("#Statut_biogéographique!A"&amp;_xlfn.XMATCH("P",Statut_biogéographique!A:A,2,1),"P")</f>
        <v>P</v>
      </c>
      <c r="AP14460" s="4" t="s">
        <v>376</v>
      </c>
      <c r="AR14460" s="4" t="s">
        <v>377</v>
      </c>
    </row>
    <row r="14461" spans="1:44">
      <c r="A14461" s="4" t="s">
        <v>10753</v>
      </c>
      <c r="B14461" s="4">
        <v>246174</v>
      </c>
      <c r="D14461" s="5" t="s">
        <v>17069</v>
      </c>
      <c r="E14461" s="6" t="str">
        <f>HYPERLINK("https://inpn.mnhn.fr/espece/cd_nom/246174","Alabonia geoffrella (Linnaeus, 1767)")</f>
        <v>Alabonia geoffrella (Linnaeus, 1767)</v>
      </c>
      <c r="AH14461" s="4" t="str">
        <f>HYPERLINK("#Statut_biogéographique!A"&amp;_xlfn.XMATCH("P",Statut_biogéographique!A:A,2,1),"P")</f>
        <v>P</v>
      </c>
      <c r="AP14461" s="4" t="s">
        <v>376</v>
      </c>
      <c r="AR14461" s="4" t="s">
        <v>377</v>
      </c>
    </row>
    <row r="14462" spans="1:44">
      <c r="A14462" s="4" t="s">
        <v>10753</v>
      </c>
      <c r="B14462" s="4">
        <v>246176</v>
      </c>
      <c r="D14462" s="5" t="s">
        <v>17070</v>
      </c>
      <c r="E14462" s="6" t="str">
        <f>HYPERLINK("https://inpn.mnhn.fr/espece/cd_nom/246176","Oecophora bractella (Linnaeus, 1758)")</f>
        <v>Oecophora bractella (Linnaeus, 1758)</v>
      </c>
      <c r="AH14462" s="4" t="str">
        <f>HYPERLINK("#Statut_biogéographique!A"&amp;_xlfn.XMATCH("P",Statut_biogéographique!A:A,2,1),"P")</f>
        <v>P</v>
      </c>
      <c r="AP14462" s="4" t="s">
        <v>376</v>
      </c>
      <c r="AR14462" s="4" t="s">
        <v>377</v>
      </c>
    </row>
    <row r="14463" spans="1:44">
      <c r="A14463" s="4" t="s">
        <v>10753</v>
      </c>
      <c r="B14463" s="4">
        <v>246177</v>
      </c>
      <c r="D14463" s="5" t="s">
        <v>17071</v>
      </c>
      <c r="E14463" s="6" t="str">
        <f>HYPERLINK("https://inpn.mnhn.fr/espece/cd_nom/246177","Dasycera oliviella (Fabricius, 1794)")</f>
        <v>Dasycera oliviella (Fabricius, 1794)</v>
      </c>
      <c r="AH14463" s="4" t="str">
        <f>HYPERLINK("#Statut_biogéographique!A"&amp;_xlfn.XMATCH("P",Statut_biogéographique!A:A,2,1),"P")</f>
        <v>P</v>
      </c>
      <c r="AP14463" s="4" t="s">
        <v>376</v>
      </c>
      <c r="AR14463" s="4" t="s">
        <v>377</v>
      </c>
    </row>
    <row r="14464" spans="1:44" ht="30">
      <c r="A14464" s="4" t="s">
        <v>10753</v>
      </c>
      <c r="B14464" s="4">
        <v>246179</v>
      </c>
      <c r="D14464" s="5" t="s">
        <v>17072</v>
      </c>
      <c r="E14464" s="6" t="str">
        <f>HYPERLINK("https://inpn.mnhn.fr/espece/cd_nom/246179","Epicallima formosella (Denis &amp; Schiffermüller, 1775)")</f>
        <v>Epicallima formosella (Denis &amp; Schiffermüller, 1775)</v>
      </c>
      <c r="AH14464" s="4" t="str">
        <f>HYPERLINK("#Statut_biogéographique!A"&amp;_xlfn.XMATCH("P",Statut_biogéographique!A:A,2,1),"P")</f>
        <v>P</v>
      </c>
      <c r="AP14464" s="4" t="s">
        <v>376</v>
      </c>
      <c r="AR14464" s="4" t="s">
        <v>377</v>
      </c>
    </row>
    <row r="14465" spans="1:44">
      <c r="A14465" s="4" t="s">
        <v>10753</v>
      </c>
      <c r="B14465" s="4">
        <v>246181</v>
      </c>
      <c r="D14465" s="5" t="s">
        <v>17073</v>
      </c>
      <c r="E14465" s="6" t="str">
        <f>HYPERLINK("https://inpn.mnhn.fr/espece/cd_nom/246181","Batia lunaris (Haworth, 1828)")</f>
        <v>Batia lunaris (Haworth, 1828)</v>
      </c>
      <c r="AH14465" s="4" t="str">
        <f>HYPERLINK("#Statut_biogéographique!A"&amp;_xlfn.XMATCH("P",Statut_biogéographique!A:A,2,1),"P")</f>
        <v>P</v>
      </c>
      <c r="AP14465" s="4" t="s">
        <v>376</v>
      </c>
      <c r="AR14465" s="4" t="s">
        <v>377</v>
      </c>
    </row>
    <row r="14466" spans="1:44">
      <c r="A14466" s="4" t="s">
        <v>10753</v>
      </c>
      <c r="B14466" s="4">
        <v>246183</v>
      </c>
      <c r="D14466" s="5" t="s">
        <v>17074</v>
      </c>
      <c r="E14466" s="6" t="str">
        <f>HYPERLINK("https://inpn.mnhn.fr/espece/cd_nom/246183","Batia lambdella (Donovan, 1793)")</f>
        <v>Batia lambdella (Donovan, 1793)</v>
      </c>
      <c r="AH14466" s="4" t="str">
        <f>HYPERLINK("#Statut_biogéographique!A"&amp;_xlfn.XMATCH("P",Statut_biogéographique!A:A,2,1),"P")</f>
        <v>P</v>
      </c>
      <c r="AP14466" s="4" t="s">
        <v>376</v>
      </c>
      <c r="AR14466" s="4" t="s">
        <v>377</v>
      </c>
    </row>
    <row r="14467" spans="1:44">
      <c r="A14467" s="4" t="s">
        <v>10753</v>
      </c>
      <c r="B14467" s="4">
        <v>246185</v>
      </c>
      <c r="D14467" s="5" t="s">
        <v>17075</v>
      </c>
      <c r="E14467" s="6" t="str">
        <f>HYPERLINK("https://inpn.mnhn.fr/espece/cd_nom/246185","Crassa tinctella (Hübner, 1796)")</f>
        <v>Crassa tinctella (Hübner, 1796)</v>
      </c>
      <c r="AH14467" s="4" t="str">
        <f>HYPERLINK("#Statut_biogéographique!A"&amp;_xlfn.XMATCH("P",Statut_biogéographique!A:A,2,1),"P")</f>
        <v>P</v>
      </c>
      <c r="AP14467" s="4" t="s">
        <v>376</v>
      </c>
      <c r="AR14467" s="4" t="s">
        <v>377</v>
      </c>
    </row>
    <row r="14468" spans="1:44">
      <c r="A14468" s="4" t="s">
        <v>10753</v>
      </c>
      <c r="B14468" s="4">
        <v>246186</v>
      </c>
      <c r="D14468" s="5" t="s">
        <v>17076</v>
      </c>
      <c r="E14468" s="6" t="str">
        <f>HYPERLINK("https://inpn.mnhn.fr/espece/cd_nom/246186","Crassa unitella (Hübner, 1796)")</f>
        <v>Crassa unitella (Hübner, 1796)</v>
      </c>
      <c r="AH14468" s="4" t="str">
        <f>HYPERLINK("#Statut_biogéographique!A"&amp;_xlfn.XMATCH("P",Statut_biogéographique!A:A,2,1),"P")</f>
        <v>P</v>
      </c>
      <c r="AP14468" s="4" t="s">
        <v>376</v>
      </c>
      <c r="AR14468" s="4" t="s">
        <v>377</v>
      </c>
    </row>
    <row r="14469" spans="1:44">
      <c r="A14469" s="4" t="s">
        <v>10753</v>
      </c>
      <c r="B14469" s="4">
        <v>246189</v>
      </c>
      <c r="D14469" s="5" t="s">
        <v>17077</v>
      </c>
      <c r="E14469" s="6" t="str">
        <f>HYPERLINK("https://inpn.mnhn.fr/espece/cd_nom/246189","Borkhausenia minutella (Linnaeus, 1758)")</f>
        <v>Borkhausenia minutella (Linnaeus, 1758)</v>
      </c>
      <c r="AH14469" s="4" t="str">
        <f>HYPERLINK("#Statut_biogéographique!A"&amp;_xlfn.XMATCH("P",Statut_biogéographique!A:A,2,1),"P")</f>
        <v>P</v>
      </c>
      <c r="AP14469" s="4" t="s">
        <v>376</v>
      </c>
      <c r="AR14469" s="4" t="s">
        <v>377</v>
      </c>
    </row>
    <row r="14470" spans="1:44">
      <c r="A14470" s="4" t="s">
        <v>10753</v>
      </c>
      <c r="B14470" s="4">
        <v>246191</v>
      </c>
      <c r="D14470" s="5">
        <v>246191</v>
      </c>
      <c r="E14470" s="6" t="str">
        <f>HYPERLINK("https://inpn.mnhn.fr/espece/cd_nom/246191","Borkhausenia nefrax Hodges, 1974")</f>
        <v>Borkhausenia nefrax Hodges, 1974</v>
      </c>
      <c r="AH14470" s="4" t="str">
        <f>HYPERLINK("#Statut_biogéographique!A"&amp;_xlfn.XMATCH("I",Statut_biogéographique!A:A,2,1),"I")</f>
        <v>I</v>
      </c>
      <c r="AP14470" s="4" t="s">
        <v>376</v>
      </c>
      <c r="AR14470" s="4" t="s">
        <v>377</v>
      </c>
    </row>
    <row r="14471" spans="1:44" ht="30">
      <c r="A14471" s="4" t="s">
        <v>10753</v>
      </c>
      <c r="B14471" s="4">
        <v>246192</v>
      </c>
      <c r="D14471" s="5" t="s">
        <v>17078</v>
      </c>
      <c r="E14471" s="6" t="str">
        <f>HYPERLINK("https://inpn.mnhn.fr/espece/cd_nom/246192","Hofmannophila pseudospretella (Stainton, 1849)")</f>
        <v>Hofmannophila pseudospretella (Stainton, 1849)</v>
      </c>
      <c r="AH14471" s="4" t="str">
        <f>HYPERLINK("#Statut_biogéographique!A"&amp;_xlfn.XMATCH("P",Statut_biogéographique!A:A,2,1),"P")</f>
        <v>P</v>
      </c>
      <c r="AP14471" s="4" t="s">
        <v>376</v>
      </c>
      <c r="AR14471" s="4" t="s">
        <v>377</v>
      </c>
    </row>
    <row r="14472" spans="1:44">
      <c r="A14472" s="4" t="s">
        <v>10753</v>
      </c>
      <c r="B14472" s="4">
        <v>246193</v>
      </c>
      <c r="D14472" s="5" t="s">
        <v>17079</v>
      </c>
      <c r="E14472" s="6" t="str">
        <f>HYPERLINK("https://inpn.mnhn.fr/espece/cd_nom/246193","Endrosis sarcitrella (Linnaeus, 1758)")</f>
        <v>Endrosis sarcitrella (Linnaeus, 1758)</v>
      </c>
      <c r="AH14472" s="4" t="str">
        <f>HYPERLINK("#Statut_biogéographique!A"&amp;_xlfn.XMATCH("P",Statut_biogéographique!A:A,2,1),"P")</f>
        <v>P</v>
      </c>
      <c r="AP14472" s="4" t="s">
        <v>376</v>
      </c>
      <c r="AR14472" s="4" t="s">
        <v>377</v>
      </c>
    </row>
    <row r="14473" spans="1:44">
      <c r="A14473" s="4" t="s">
        <v>10753</v>
      </c>
      <c r="B14473" s="4">
        <v>246194</v>
      </c>
      <c r="D14473" s="5" t="s">
        <v>17080</v>
      </c>
      <c r="E14473" s="6" t="str">
        <f>HYPERLINK("https://inpn.mnhn.fr/espece/cd_nom/246194","Metalampra cinnamomea (Zeller, 1839)")</f>
        <v>Metalampra cinnamomea (Zeller, 1839)</v>
      </c>
      <c r="AH14473" s="4" t="str">
        <f>HYPERLINK("#Statut_biogéographique!A"&amp;_xlfn.XMATCH("P",Statut_biogéographique!A:A,2,1),"P")</f>
        <v>P</v>
      </c>
      <c r="AP14473" s="4" t="s">
        <v>376</v>
      </c>
      <c r="AR14473" s="4" t="s">
        <v>377</v>
      </c>
    </row>
    <row r="14474" spans="1:44">
      <c r="A14474" s="4" t="s">
        <v>10753</v>
      </c>
      <c r="B14474" s="4">
        <v>246197</v>
      </c>
      <c r="D14474" s="5" t="s">
        <v>17081</v>
      </c>
      <c r="E14474" s="6" t="str">
        <f>HYPERLINK("https://inpn.mnhn.fr/espece/cd_nom/246197","Denisia stipella (Linnaeus, 1758)")</f>
        <v>Denisia stipella (Linnaeus, 1758)</v>
      </c>
      <c r="AH14474" s="4" t="str">
        <f>HYPERLINK("#Statut_biogéographique!A"&amp;_xlfn.XMATCH("P",Statut_biogéographique!A:A,2,1),"P")</f>
        <v>P</v>
      </c>
      <c r="AP14474" s="4" t="s">
        <v>376</v>
      </c>
      <c r="AR14474" s="4" t="s">
        <v>377</v>
      </c>
    </row>
    <row r="14475" spans="1:44" ht="30">
      <c r="A14475" s="4" t="s">
        <v>10753</v>
      </c>
      <c r="B14475" s="4">
        <v>246211</v>
      </c>
      <c r="D14475" s="5" t="s">
        <v>17082</v>
      </c>
      <c r="E14475" s="6" t="str">
        <f>HYPERLINK("https://inpn.mnhn.fr/espece/cd_nom/246211","Schiffermuelleria schaefferella (Linnaeus, 1758)")</f>
        <v>Schiffermuelleria schaefferella (Linnaeus, 1758)</v>
      </c>
      <c r="AH14475" s="4" t="str">
        <f>HYPERLINK("#Statut_biogéographique!A"&amp;_xlfn.XMATCH("P",Statut_biogéographique!A:A,2,1),"P")</f>
        <v>P</v>
      </c>
      <c r="AP14475" s="4" t="s">
        <v>376</v>
      </c>
      <c r="AR14475" s="4" t="s">
        <v>377</v>
      </c>
    </row>
    <row r="14476" spans="1:44" ht="30">
      <c r="A14476" s="4" t="s">
        <v>10753</v>
      </c>
      <c r="B14476" s="4">
        <v>246214</v>
      </c>
      <c r="D14476" s="5" t="s">
        <v>17083</v>
      </c>
      <c r="E14476" s="6" t="str">
        <f>HYPERLINK("https://inpn.mnhn.fr/espece/cd_nom/246214","Carcina quercana (Fabricius, 1775)")</f>
        <v>Carcina quercana (Fabricius, 1775)</v>
      </c>
      <c r="AH14476" s="4" t="str">
        <f>HYPERLINK("#Statut_biogéographique!A"&amp;_xlfn.XMATCH("P",Statut_biogéographique!A:A,2,1),"P")</f>
        <v>P</v>
      </c>
      <c r="AP14476" s="4" t="s">
        <v>376</v>
      </c>
      <c r="AR14476" s="4" t="s">
        <v>377</v>
      </c>
    </row>
    <row r="14477" spans="1:44">
      <c r="A14477" s="4" t="s">
        <v>10753</v>
      </c>
      <c r="B14477" s="4">
        <v>246220</v>
      </c>
      <c r="D14477" s="5" t="s">
        <v>17084</v>
      </c>
      <c r="E14477" s="6" t="str">
        <f>HYPERLINK("https://inpn.mnhn.fr/espece/cd_nom/246220","Pleurota bicostella (Clerck, 1759)")</f>
        <v>Pleurota bicostella (Clerck, 1759)</v>
      </c>
      <c r="AH14477" s="4" t="str">
        <f>HYPERLINK("#Statut_biogéographique!A"&amp;_xlfn.XMATCH("P",Statut_biogéographique!A:A,2,1),"P")</f>
        <v>P</v>
      </c>
      <c r="AP14477" s="4" t="s">
        <v>376</v>
      </c>
      <c r="AR14477" s="4" t="s">
        <v>377</v>
      </c>
    </row>
    <row r="14478" spans="1:44">
      <c r="A14478" s="4" t="s">
        <v>10753</v>
      </c>
      <c r="B14478" s="4">
        <v>246237</v>
      </c>
      <c r="D14478" s="5" t="s">
        <v>17085</v>
      </c>
      <c r="E14478" s="6" t="str">
        <f>HYPERLINK("https://inpn.mnhn.fr/espece/cd_nom/246237","Eurodachtha pallicornella (Staudinger, 1859)")</f>
        <v>Eurodachtha pallicornella (Staudinger, 1859)</v>
      </c>
      <c r="AH14478" s="4" t="str">
        <f>HYPERLINK("#Statut_biogéographique!A"&amp;_xlfn.XMATCH("P",Statut_biogéographique!A:A,2,1),"P")</f>
        <v>P</v>
      </c>
      <c r="AP14478" s="4" t="s">
        <v>376</v>
      </c>
      <c r="AR14478" s="4" t="s">
        <v>377</v>
      </c>
    </row>
    <row r="14479" spans="1:44">
      <c r="A14479" s="4" t="s">
        <v>10753</v>
      </c>
      <c r="B14479" s="4">
        <v>246243</v>
      </c>
      <c r="D14479" s="5" t="s">
        <v>17086</v>
      </c>
      <c r="E14479" s="6" t="str">
        <f>HYPERLINK("https://inpn.mnhn.fr/espece/cd_nom/246243","Batrachedra praeangusta (Haworth, 1828)")</f>
        <v>Batrachedra praeangusta (Haworth, 1828)</v>
      </c>
      <c r="AH14479" s="4" t="str">
        <f>HYPERLINK("#Statut_biogéographique!A"&amp;_xlfn.XMATCH("P",Statut_biogéographique!A:A,2,1),"P")</f>
        <v>P</v>
      </c>
      <c r="AP14479" s="4" t="s">
        <v>376</v>
      </c>
      <c r="AR14479" s="4" t="s">
        <v>377</v>
      </c>
    </row>
    <row r="14480" spans="1:44">
      <c r="A14480" s="4" t="s">
        <v>10753</v>
      </c>
      <c r="B14480" s="4">
        <v>246257</v>
      </c>
      <c r="D14480" s="5" t="s">
        <v>17087</v>
      </c>
      <c r="E14480" s="6" t="str">
        <f>HYPERLINK("https://inpn.mnhn.fr/espece/cd_nom/246257","Coleophora ochripennella Zeller, 1849")</f>
        <v>Coleophora ochripennella Zeller, 1849</v>
      </c>
      <c r="AH14480" s="4" t="str">
        <f>HYPERLINK("#Statut_biogéographique!A"&amp;_xlfn.XMATCH("P",Statut_biogéographique!A:A,2,1),"P")</f>
        <v>P</v>
      </c>
      <c r="AP14480" s="4" t="s">
        <v>376</v>
      </c>
      <c r="AR14480" s="4" t="s">
        <v>377</v>
      </c>
    </row>
    <row r="14481" spans="1:44">
      <c r="A14481" s="4" t="s">
        <v>10753</v>
      </c>
      <c r="B14481" s="4">
        <v>246258</v>
      </c>
      <c r="D14481" s="5" t="s">
        <v>17088</v>
      </c>
      <c r="E14481" s="6" t="str">
        <f>HYPERLINK("https://inpn.mnhn.fr/espece/cd_nom/246258","Coleophora gryphipennella (Hübner, 1796)")</f>
        <v>Coleophora gryphipennella (Hübner, 1796)</v>
      </c>
      <c r="AH14481" s="4" t="str">
        <f>HYPERLINK("#Statut_biogéographique!A"&amp;_xlfn.XMATCH("P",Statut_biogéographique!A:A,2,1),"P")</f>
        <v>P</v>
      </c>
      <c r="AP14481" s="4" t="s">
        <v>376</v>
      </c>
      <c r="AR14481" s="4" t="s">
        <v>377</v>
      </c>
    </row>
    <row r="14482" spans="1:44">
      <c r="A14482" s="4" t="s">
        <v>10753</v>
      </c>
      <c r="B14482" s="4">
        <v>246259</v>
      </c>
      <c r="D14482" s="5" t="s">
        <v>17089</v>
      </c>
      <c r="E14482" s="6" t="str">
        <f>HYPERLINK("https://inpn.mnhn.fr/espece/cd_nom/246259","Coleophora flavipennella (Duponchel, 1843)")</f>
        <v>Coleophora flavipennella (Duponchel, 1843)</v>
      </c>
      <c r="AH14482" s="4" t="str">
        <f>HYPERLINK("#Statut_biogéographique!A"&amp;_xlfn.XMATCH("P",Statut_biogéographique!A:A,2,1),"P")</f>
        <v>P</v>
      </c>
      <c r="AP14482" s="4" t="s">
        <v>376</v>
      </c>
      <c r="AR14482" s="4" t="s">
        <v>377</v>
      </c>
    </row>
    <row r="14483" spans="1:44">
      <c r="A14483" s="4" t="s">
        <v>10753</v>
      </c>
      <c r="B14483" s="4">
        <v>24626</v>
      </c>
      <c r="D14483" s="5" t="s">
        <v>17090</v>
      </c>
      <c r="E14483" s="6" t="str">
        <f>HYPERLINK("https://inpn.mnhn.fr/espece/cd_nom/24626","Goniglossum wiedemanni (Meigen, 1826)")</f>
        <v>Goniglossum wiedemanni (Meigen, 1826)</v>
      </c>
      <c r="AH14483" s="4" t="str">
        <f>HYPERLINK("#Statut_biogéographique!A"&amp;_xlfn.XMATCH("P",Statut_biogéographique!A:A,2,1),"P")</f>
        <v>P</v>
      </c>
      <c r="AP14483" s="4" t="s">
        <v>376</v>
      </c>
      <c r="AR14483" s="4" t="s">
        <v>377</v>
      </c>
    </row>
    <row r="14484" spans="1:44">
      <c r="A14484" s="4" t="s">
        <v>10753</v>
      </c>
      <c r="B14484" s="4">
        <v>246261</v>
      </c>
      <c r="D14484" s="5" t="s">
        <v>17091</v>
      </c>
      <c r="E14484" s="6" t="str">
        <f>HYPERLINK("https://inpn.mnhn.fr/espece/cd_nom/246261","Coleophora milvipennis Zeller, 1839")</f>
        <v>Coleophora milvipennis Zeller, 1839</v>
      </c>
      <c r="AH14484" s="4" t="str">
        <f>HYPERLINK("#Statut_biogéographique!A"&amp;_xlfn.XMATCH("P",Statut_biogéographique!A:A,2,1),"P")</f>
        <v>P</v>
      </c>
      <c r="AP14484" s="4" t="s">
        <v>376</v>
      </c>
      <c r="AR14484" s="4" t="s">
        <v>377</v>
      </c>
    </row>
    <row r="14485" spans="1:44">
      <c r="A14485" s="4" t="s">
        <v>10753</v>
      </c>
      <c r="B14485" s="4">
        <v>246267</v>
      </c>
      <c r="D14485" s="5" t="s">
        <v>17092</v>
      </c>
      <c r="E14485" s="6" t="str">
        <f>HYPERLINK("https://inpn.mnhn.fr/espece/cd_nom/246267","Coleophora serratella (Linnaeus, 1761)")</f>
        <v>Coleophora serratella (Linnaeus, 1761)</v>
      </c>
      <c r="AH14485" s="4" t="str">
        <f>HYPERLINK("#Statut_biogéographique!A"&amp;_xlfn.XMATCH("P",Statut_biogéographique!A:A,2,1),"P")</f>
        <v>P</v>
      </c>
      <c r="AP14485" s="4" t="s">
        <v>376</v>
      </c>
      <c r="AR14485" s="4" t="s">
        <v>377</v>
      </c>
    </row>
    <row r="14486" spans="1:44">
      <c r="A14486" s="4" t="s">
        <v>10753</v>
      </c>
      <c r="B14486" s="4">
        <v>246268</v>
      </c>
      <c r="D14486" s="5" t="s">
        <v>17093</v>
      </c>
      <c r="E14486" s="6" t="str">
        <f>HYPERLINK("https://inpn.mnhn.fr/espece/cd_nom/246268","Coleophora spinella (Schrank, 1802)")</f>
        <v>Coleophora spinella (Schrank, 1802)</v>
      </c>
      <c r="AH14486" s="4" t="str">
        <f>HYPERLINK("#Statut_biogéographique!A"&amp;_xlfn.XMATCH("P",Statut_biogéographique!A:A,2,1),"P")</f>
        <v>P</v>
      </c>
      <c r="AP14486" s="4" t="s">
        <v>376</v>
      </c>
      <c r="AR14486" s="4" t="s">
        <v>377</v>
      </c>
    </row>
    <row r="14487" spans="1:44" ht="30">
      <c r="A14487" s="4" t="s">
        <v>10753</v>
      </c>
      <c r="B14487" s="4">
        <v>246273</v>
      </c>
      <c r="D14487" s="5" t="s">
        <v>17094</v>
      </c>
      <c r="E14487" s="6" t="str">
        <f>HYPERLINK("https://inpn.mnhn.fr/espece/cd_nom/246273","Coleophora fuscocuprella Herrich-Schäffer, 1855")</f>
        <v>Coleophora fuscocuprella Herrich-Schäffer, 1855</v>
      </c>
      <c r="AH14487" s="4" t="str">
        <f>HYPERLINK("#Statut_biogéographique!A"&amp;_xlfn.XMATCH("P",Statut_biogéographique!A:A,2,1),"P")</f>
        <v>P</v>
      </c>
      <c r="AP14487" s="4" t="s">
        <v>376</v>
      </c>
      <c r="AR14487" s="4" t="s">
        <v>377</v>
      </c>
    </row>
    <row r="14488" spans="1:44" ht="30">
      <c r="A14488" s="4" t="s">
        <v>10753</v>
      </c>
      <c r="B14488" s="4">
        <v>246275</v>
      </c>
      <c r="D14488" s="5" t="s">
        <v>17095</v>
      </c>
      <c r="E14488" s="6" t="str">
        <f>HYPERLINK("https://inpn.mnhn.fr/espece/cd_nom/246275","Coleophora lusciniaepennella (Treitschke, 1833)")</f>
        <v>Coleophora lusciniaepennella (Treitschke, 1833)</v>
      </c>
      <c r="AH14488" s="4" t="str">
        <f>HYPERLINK("#Statut_biogéographique!A"&amp;_xlfn.XMATCH("P",Statut_biogéographique!A:A,2,1),"P")</f>
        <v>P</v>
      </c>
      <c r="AP14488" s="4" t="s">
        <v>376</v>
      </c>
      <c r="AR14488" s="4" t="s">
        <v>377</v>
      </c>
    </row>
    <row r="14489" spans="1:44">
      <c r="A14489" s="4" t="s">
        <v>10753</v>
      </c>
      <c r="B14489" s="4">
        <v>246277</v>
      </c>
      <c r="D14489" s="5" t="s">
        <v>17096</v>
      </c>
      <c r="E14489" s="6" t="str">
        <f>HYPERLINK("https://inpn.mnhn.fr/espece/cd_nom/246277","Coleophora vacciniella Herrich-Schäffer, 1861")</f>
        <v>Coleophora vacciniella Herrich-Schäffer, 1861</v>
      </c>
      <c r="AH14489" s="4" t="str">
        <f>HYPERLINK("#Statut_biogéographique!A"&amp;_xlfn.XMATCH("P",Statut_biogéographique!A:A,2,1),"P")</f>
        <v>P</v>
      </c>
      <c r="AP14489" s="4" t="s">
        <v>376</v>
      </c>
      <c r="AR14489" s="4" t="s">
        <v>377</v>
      </c>
    </row>
    <row r="14490" spans="1:44">
      <c r="A14490" s="4" t="s">
        <v>10753</v>
      </c>
      <c r="B14490" s="4">
        <v>246280</v>
      </c>
      <c r="D14490" s="5" t="s">
        <v>17097</v>
      </c>
      <c r="E14490" s="6" t="str">
        <f>HYPERLINK("https://inpn.mnhn.fr/espece/cd_nom/246280","Coleophora violacea (Ström, 1783)")</f>
        <v>Coleophora violacea (Ström, 1783)</v>
      </c>
      <c r="AH14490" s="4" t="str">
        <f>HYPERLINK("#Statut_biogéographique!A"&amp;_xlfn.XMATCH("P",Statut_biogéographique!A:A,2,1),"P")</f>
        <v>P</v>
      </c>
      <c r="AP14490" s="4" t="s">
        <v>376</v>
      </c>
      <c r="AR14490" s="4" t="s">
        <v>377</v>
      </c>
    </row>
    <row r="14491" spans="1:44">
      <c r="A14491" s="4" t="s">
        <v>10753</v>
      </c>
      <c r="B14491" s="4">
        <v>246284</v>
      </c>
      <c r="D14491" s="5" t="s">
        <v>17098</v>
      </c>
      <c r="E14491" s="6" t="str">
        <f>HYPERLINK("https://inpn.mnhn.fr/espece/cd_nom/246284","Coleophora binderella (Kollar, 1832)")</f>
        <v>Coleophora binderella (Kollar, 1832)</v>
      </c>
      <c r="AH14491" s="4" t="str">
        <f>HYPERLINK("#Statut_biogéographique!A"&amp;_xlfn.XMATCH("P",Statut_biogéographique!A:A,2,1),"P")</f>
        <v>P</v>
      </c>
      <c r="AP14491" s="4" t="s">
        <v>376</v>
      </c>
      <c r="AR14491" s="4" t="s">
        <v>377</v>
      </c>
    </row>
    <row r="14492" spans="1:44">
      <c r="A14492" s="4" t="s">
        <v>10753</v>
      </c>
      <c r="B14492" s="4">
        <v>246285</v>
      </c>
      <c r="D14492" s="5" t="s">
        <v>17099</v>
      </c>
      <c r="E14492" s="6" t="str">
        <f>HYPERLINK("https://inpn.mnhn.fr/espece/cd_nom/246285","Coleophora ahenella Heinemann, 1876")</f>
        <v>Coleophora ahenella Heinemann, 1876</v>
      </c>
      <c r="AH14492" s="4" t="str">
        <f>HYPERLINK("#Statut_biogéographique!A"&amp;_xlfn.XMATCH("P",Statut_biogéographique!A:A,2,1),"P")</f>
        <v>P</v>
      </c>
      <c r="AP14492" s="4" t="s">
        <v>376</v>
      </c>
      <c r="AR14492" s="4" t="s">
        <v>377</v>
      </c>
    </row>
    <row r="14493" spans="1:44">
      <c r="A14493" s="4" t="s">
        <v>10753</v>
      </c>
      <c r="B14493" s="4">
        <v>246286</v>
      </c>
      <c r="D14493" s="5" t="s">
        <v>17100</v>
      </c>
      <c r="E14493" s="6" t="str">
        <f>HYPERLINK("https://inpn.mnhn.fr/espece/cd_nom/246286","Coleophora albitarsella Zeller, 1849")</f>
        <v>Coleophora albitarsella Zeller, 1849</v>
      </c>
      <c r="AH14493" s="4" t="str">
        <f>HYPERLINK("#Statut_biogéographique!A"&amp;_xlfn.XMATCH("P",Statut_biogéographique!A:A,2,1),"P")</f>
        <v>P</v>
      </c>
      <c r="AP14493" s="4" t="s">
        <v>376</v>
      </c>
      <c r="AR14493" s="4" t="s">
        <v>377</v>
      </c>
    </row>
    <row r="14494" spans="1:44">
      <c r="A14494" s="4" t="s">
        <v>10753</v>
      </c>
      <c r="B14494" s="4">
        <v>246288</v>
      </c>
      <c r="D14494" s="5" t="s">
        <v>17101</v>
      </c>
      <c r="E14494" s="6" t="str">
        <f>HYPERLINK("https://inpn.mnhn.fr/espece/cd_nom/246288","Coleophora trifolii (Curtis, 1832)")</f>
        <v>Coleophora trifolii (Curtis, 1832)</v>
      </c>
      <c r="AH14494" s="4" t="str">
        <f>HYPERLINK("#Statut_biogéographique!A"&amp;_xlfn.XMATCH("P",Statut_biogéographique!A:A,2,1),"P")</f>
        <v>P</v>
      </c>
      <c r="AP14494" s="4" t="s">
        <v>376</v>
      </c>
      <c r="AR14494" s="4" t="s">
        <v>377</v>
      </c>
    </row>
    <row r="14495" spans="1:44">
      <c r="A14495" s="4" t="s">
        <v>10753</v>
      </c>
      <c r="B14495" s="4">
        <v>246289</v>
      </c>
      <c r="D14495" s="5" t="s">
        <v>17102</v>
      </c>
      <c r="E14495" s="6" t="str">
        <f>HYPERLINK("https://inpn.mnhn.fr/espece/cd_nom/246289","Coleophora frischella (Linnaeus, 1758)")</f>
        <v>Coleophora frischella (Linnaeus, 1758)</v>
      </c>
      <c r="AH14495" s="4" t="str">
        <f>HYPERLINK("#Statut_biogéographique!A"&amp;_xlfn.XMATCH("P",Statut_biogéographique!A:A,2,1),"P")</f>
        <v>P</v>
      </c>
      <c r="AP14495" s="4" t="s">
        <v>376</v>
      </c>
      <c r="AR14495" s="4" t="s">
        <v>377</v>
      </c>
    </row>
    <row r="14496" spans="1:44">
      <c r="A14496" s="4" t="s">
        <v>10753</v>
      </c>
      <c r="B14496" s="4">
        <v>246290</v>
      </c>
      <c r="D14496" s="5" t="s">
        <v>17103</v>
      </c>
      <c r="E14496" s="6" t="str">
        <f>HYPERLINK("https://inpn.mnhn.fr/espece/cd_nom/246290","Coleophora alcyonipennella (Kollar, 1832)")</f>
        <v>Coleophora alcyonipennella (Kollar, 1832)</v>
      </c>
      <c r="AH14496" s="4" t="str">
        <f>HYPERLINK("#Statut_biogéographique!A"&amp;_xlfn.XMATCH("P",Statut_biogéographique!A:A,2,1),"P")</f>
        <v>P</v>
      </c>
      <c r="AP14496" s="4" t="s">
        <v>376</v>
      </c>
      <c r="AR14496" s="4" t="s">
        <v>377</v>
      </c>
    </row>
    <row r="14497" spans="1:44">
      <c r="A14497" s="4" t="s">
        <v>10753</v>
      </c>
      <c r="B14497" s="4">
        <v>246300</v>
      </c>
      <c r="D14497" s="5" t="s">
        <v>17104</v>
      </c>
      <c r="E14497" s="6" t="str">
        <f>HYPERLINK("https://inpn.mnhn.fr/espece/cd_nom/246300","Coleophora lineolea (Haworth, 1828)")</f>
        <v>Coleophora lineolea (Haworth, 1828)</v>
      </c>
      <c r="AH14497" s="4" t="str">
        <f>HYPERLINK("#Statut_biogéographique!A"&amp;_xlfn.XMATCH("P",Statut_biogéographique!A:A,2,1),"P")</f>
        <v>P</v>
      </c>
      <c r="AP14497" s="4" t="s">
        <v>376</v>
      </c>
      <c r="AR14497" s="4" t="s">
        <v>377</v>
      </c>
    </row>
    <row r="14498" spans="1:44">
      <c r="A14498" s="4" t="s">
        <v>10753</v>
      </c>
      <c r="B14498" s="4">
        <v>246303</v>
      </c>
      <c r="D14498" s="5" t="s">
        <v>17105</v>
      </c>
      <c r="E14498" s="6" t="str">
        <f>HYPERLINK("https://inpn.mnhn.fr/espece/cd_nom/246303","Coleophora hemerobiella (Scopoli, 1763)")</f>
        <v>Coleophora hemerobiella (Scopoli, 1763)</v>
      </c>
      <c r="AH14498" s="4" t="str">
        <f>HYPERLINK("#Statut_biogéographique!A"&amp;_xlfn.XMATCH("P",Statut_biogéographique!A:A,2,1),"P")</f>
        <v>P</v>
      </c>
      <c r="AP14498" s="4" t="s">
        <v>376</v>
      </c>
      <c r="AR14498" s="4" t="s">
        <v>377</v>
      </c>
    </row>
    <row r="14499" spans="1:44" ht="30">
      <c r="A14499" s="4" t="s">
        <v>10753</v>
      </c>
      <c r="B14499" s="4">
        <v>246312</v>
      </c>
      <c r="D14499" s="5" t="s">
        <v>17106</v>
      </c>
      <c r="E14499" s="6" t="str">
        <f>HYPERLINK("https://inpn.mnhn.fr/espece/cd_nom/246312","Coleophora colutella (Fabricius, 1794)")</f>
        <v>Coleophora colutella (Fabricius, 1794)</v>
      </c>
      <c r="AH14499" s="4" t="str">
        <f>HYPERLINK("#Statut_biogéographique!A"&amp;_xlfn.XMATCH("P",Statut_biogéographique!A:A,2,1),"P")</f>
        <v>P</v>
      </c>
      <c r="AP14499" s="4" t="s">
        <v>376</v>
      </c>
      <c r="AR14499" s="4" t="s">
        <v>377</v>
      </c>
    </row>
    <row r="14500" spans="1:44">
      <c r="A14500" s="4" t="s">
        <v>10753</v>
      </c>
      <c r="B14500" s="4">
        <v>246315</v>
      </c>
      <c r="D14500" s="5" t="s">
        <v>17107</v>
      </c>
      <c r="E14500" s="6" t="str">
        <f>HYPERLINK("https://inpn.mnhn.fr/espece/cd_nom/246315","Coleophora genistae Stainton, 1857")</f>
        <v>Coleophora genistae Stainton, 1857</v>
      </c>
      <c r="AH14500" s="4" t="str">
        <f>HYPERLINK("#Statut_biogéographique!A"&amp;_xlfn.XMATCH("P",Statut_biogéographique!A:A,2,1),"P")</f>
        <v>P</v>
      </c>
      <c r="AP14500" s="4" t="s">
        <v>376</v>
      </c>
      <c r="AR14500" s="4" t="s">
        <v>377</v>
      </c>
    </row>
    <row r="14501" spans="1:44">
      <c r="A14501" s="4" t="s">
        <v>10753</v>
      </c>
      <c r="B14501" s="4">
        <v>246317</v>
      </c>
      <c r="D14501" s="5" t="s">
        <v>17108</v>
      </c>
      <c r="E14501" s="6" t="str">
        <f>HYPERLINK("https://inpn.mnhn.fr/espece/cd_nom/246317","Coleophora niveicostella Zeller, 1839")</f>
        <v>Coleophora niveicostella Zeller, 1839</v>
      </c>
      <c r="AH14501" s="4" t="str">
        <f>HYPERLINK("#Statut_biogéographique!A"&amp;_xlfn.XMATCH("P",Statut_biogéographique!A:A,2,1),"P")</f>
        <v>P</v>
      </c>
      <c r="AP14501" s="4" t="s">
        <v>376</v>
      </c>
      <c r="AR14501" s="4" t="s">
        <v>377</v>
      </c>
    </row>
    <row r="14502" spans="1:44">
      <c r="A14502" s="4" t="s">
        <v>10753</v>
      </c>
      <c r="B14502" s="4">
        <v>246332</v>
      </c>
      <c r="D14502" s="5" t="s">
        <v>17109</v>
      </c>
      <c r="E14502" s="6" t="str">
        <f>HYPERLINK("https://inpn.mnhn.fr/espece/cd_nom/246332","Coleophora deauratella Lienig &amp; Zeller, 1846")</f>
        <v>Coleophora deauratella Lienig &amp; Zeller, 1846</v>
      </c>
      <c r="AH14502" s="4" t="str">
        <f>HYPERLINK("#Statut_biogéographique!A"&amp;_xlfn.XMATCH("P",Statut_biogéographique!A:A,2,1),"P")</f>
        <v>P</v>
      </c>
      <c r="AP14502" s="4" t="s">
        <v>376</v>
      </c>
      <c r="AR14502" s="4" t="s">
        <v>377</v>
      </c>
    </row>
    <row r="14503" spans="1:44">
      <c r="A14503" s="4" t="s">
        <v>10753</v>
      </c>
      <c r="B14503" s="4">
        <v>246334</v>
      </c>
      <c r="D14503" s="5" t="s">
        <v>17110</v>
      </c>
      <c r="E14503" s="6" t="str">
        <f>HYPERLINK("https://inpn.mnhn.fr/espece/cd_nom/246334","Coleophora mayrella (Hübner, 1813)")</f>
        <v>Coleophora mayrella (Hübner, 1813)</v>
      </c>
      <c r="AH14503" s="4" t="str">
        <f>HYPERLINK("#Statut_biogéographique!A"&amp;_xlfn.XMATCH("P",Statut_biogéographique!A:A,2,1),"P")</f>
        <v>P</v>
      </c>
      <c r="AP14503" s="4" t="s">
        <v>376</v>
      </c>
      <c r="AR14503" s="4" t="s">
        <v>377</v>
      </c>
    </row>
    <row r="14504" spans="1:44">
      <c r="A14504" s="4" t="s">
        <v>10753</v>
      </c>
      <c r="B14504" s="4">
        <v>246340</v>
      </c>
      <c r="D14504" s="5" t="s">
        <v>17111</v>
      </c>
      <c r="E14504" s="6" t="str">
        <f>HYPERLINK("https://inpn.mnhn.fr/espece/cd_nom/246340","Coleophora kuehnella (Goeze, 1783)")</f>
        <v>Coleophora kuehnella (Goeze, 1783)</v>
      </c>
      <c r="AH14504" s="4" t="str">
        <f>HYPERLINK("#Statut_biogéographique!A"&amp;_xlfn.XMATCH("P",Statut_biogéographique!A:A,2,1),"P")</f>
        <v>P</v>
      </c>
      <c r="AP14504" s="4" t="s">
        <v>376</v>
      </c>
      <c r="AR14504" s="4" t="s">
        <v>377</v>
      </c>
    </row>
    <row r="14505" spans="1:44">
      <c r="A14505" s="4" t="s">
        <v>10753</v>
      </c>
      <c r="B14505" s="4">
        <v>246344</v>
      </c>
      <c r="D14505" s="5" t="s">
        <v>17112</v>
      </c>
      <c r="E14505" s="6" t="str">
        <f>HYPERLINK("https://inpn.mnhn.fr/espece/cd_nom/246344","Coleophora currucipennella Zeller, 1839")</f>
        <v>Coleophora currucipennella Zeller, 1839</v>
      </c>
      <c r="AH14505" s="4" t="str">
        <f>HYPERLINK("#Statut_biogéographique!A"&amp;_xlfn.XMATCH("P",Statut_biogéographique!A:A,2,1),"P")</f>
        <v>P</v>
      </c>
      <c r="AP14505" s="4" t="s">
        <v>376</v>
      </c>
      <c r="AR14505" s="4" t="s">
        <v>377</v>
      </c>
    </row>
    <row r="14506" spans="1:44">
      <c r="A14506" s="4" t="s">
        <v>10753</v>
      </c>
      <c r="B14506" s="4">
        <v>246346</v>
      </c>
      <c r="D14506" s="5" t="s">
        <v>17113</v>
      </c>
      <c r="E14506" s="6" t="str">
        <f>HYPERLINK("https://inpn.mnhn.fr/espece/cd_nom/246346","Coleophora pyrrhulipennella Zeller, 1839")</f>
        <v>Coleophora pyrrhulipennella Zeller, 1839</v>
      </c>
      <c r="AH14506" s="4" t="str">
        <f>HYPERLINK("#Statut_biogéographique!A"&amp;_xlfn.XMATCH("P",Statut_biogéographique!A:A,2,1),"P")</f>
        <v>P</v>
      </c>
      <c r="AP14506" s="4" t="s">
        <v>376</v>
      </c>
      <c r="AR14506" s="4" t="s">
        <v>377</v>
      </c>
    </row>
    <row r="14507" spans="1:44">
      <c r="A14507" s="4" t="s">
        <v>10753</v>
      </c>
      <c r="B14507" s="4">
        <v>246354</v>
      </c>
      <c r="D14507" s="5" t="s">
        <v>17114</v>
      </c>
      <c r="E14507" s="6" t="str">
        <f>HYPERLINK("https://inpn.mnhn.fr/espece/cd_nom/246354","Coleophora chamaedriella Bruand, 1851")</f>
        <v>Coleophora chamaedriella Bruand, 1851</v>
      </c>
      <c r="AH14507" s="4" t="str">
        <f>HYPERLINK("#Statut_biogéographique!A"&amp;_xlfn.XMATCH("P",Statut_biogéographique!A:A,2,1),"P")</f>
        <v>P</v>
      </c>
      <c r="AP14507" s="4" t="s">
        <v>376</v>
      </c>
      <c r="AR14507" s="4" t="s">
        <v>377</v>
      </c>
    </row>
    <row r="14508" spans="1:44">
      <c r="A14508" s="4" t="s">
        <v>10753</v>
      </c>
      <c r="B14508" s="4">
        <v>24636</v>
      </c>
      <c r="D14508" s="5" t="s">
        <v>17115</v>
      </c>
      <c r="E14508" s="6" t="str">
        <f>HYPERLINK("https://inpn.mnhn.fr/espece/cd_nom/24636","Myoleja lucida (Fallén, 1826)")</f>
        <v>Myoleja lucida (Fallén, 1826)</v>
      </c>
      <c r="AH14508" s="4" t="str">
        <f>HYPERLINK("#Statut_biogéographique!A"&amp;_xlfn.XMATCH("P",Statut_biogéographique!A:A,2,1),"P")</f>
        <v>P</v>
      </c>
      <c r="AP14508" s="4" t="s">
        <v>376</v>
      </c>
      <c r="AR14508" s="4" t="s">
        <v>377</v>
      </c>
    </row>
    <row r="14509" spans="1:44">
      <c r="A14509" s="4" t="s">
        <v>10753</v>
      </c>
      <c r="B14509" s="4">
        <v>246360</v>
      </c>
      <c r="D14509" s="5" t="s">
        <v>17116</v>
      </c>
      <c r="E14509" s="6" t="str">
        <f>HYPERLINK("https://inpn.mnhn.fr/espece/cd_nom/246360","Coleophora coronillae Zeller, 1849")</f>
        <v>Coleophora coronillae Zeller, 1849</v>
      </c>
      <c r="AH14509" s="4" t="str">
        <f>HYPERLINK("#Statut_biogéographique!A"&amp;_xlfn.XMATCH("P",Statut_biogéographique!A:A,2,1),"P")</f>
        <v>P</v>
      </c>
      <c r="AP14509" s="4" t="s">
        <v>376</v>
      </c>
      <c r="AR14509" s="4" t="s">
        <v>377</v>
      </c>
    </row>
    <row r="14510" spans="1:44">
      <c r="A14510" s="4" t="s">
        <v>10753</v>
      </c>
      <c r="B14510" s="4">
        <v>246363</v>
      </c>
      <c r="D14510" s="5" t="s">
        <v>17117</v>
      </c>
      <c r="E14510" s="6" t="str">
        <f>HYPERLINK("https://inpn.mnhn.fr/espece/cd_nom/246363","Coleophora conspicuella Zeller, 1849")</f>
        <v>Coleophora conspicuella Zeller, 1849</v>
      </c>
      <c r="AH14510" s="4" t="str">
        <f>HYPERLINK("#Statut_biogéographique!A"&amp;_xlfn.XMATCH("P",Statut_biogéographique!A:A,2,1),"P")</f>
        <v>P</v>
      </c>
      <c r="AP14510" s="4" t="s">
        <v>376</v>
      </c>
      <c r="AR14510" s="4" t="s">
        <v>377</v>
      </c>
    </row>
    <row r="14511" spans="1:44">
      <c r="A14511" s="4" t="s">
        <v>10753</v>
      </c>
      <c r="B14511" s="4">
        <v>246365</v>
      </c>
      <c r="D14511" s="5" t="s">
        <v>17118</v>
      </c>
      <c r="E14511" s="6" t="str">
        <f>HYPERLINK("https://inpn.mnhn.fr/espece/cd_nom/246365","Coleophora ditella Zeller, 1849")</f>
        <v>Coleophora ditella Zeller, 1849</v>
      </c>
      <c r="AH14511" s="4" t="str">
        <f>HYPERLINK("#Statut_biogéographique!A"&amp;_xlfn.XMATCH("P",Statut_biogéographique!A:A,2,1),"P")</f>
        <v>P</v>
      </c>
      <c r="AP14511" s="4" t="s">
        <v>376</v>
      </c>
      <c r="AR14511" s="4" t="s">
        <v>377</v>
      </c>
    </row>
    <row r="14512" spans="1:44">
      <c r="A14512" s="4" t="s">
        <v>10753</v>
      </c>
      <c r="B14512" s="4">
        <v>246375</v>
      </c>
      <c r="D14512" s="5" t="s">
        <v>17119</v>
      </c>
      <c r="E14512" s="6" t="str">
        <f>HYPERLINK("https://inpn.mnhn.fr/espece/cd_nom/246375","Coleophora vibicella (Hübner, 1813)")</f>
        <v>Coleophora vibicella (Hübner, 1813)</v>
      </c>
      <c r="AH14512" s="4" t="str">
        <f>HYPERLINK("#Statut_biogéographique!A"&amp;_xlfn.XMATCH("P",Statut_biogéographique!A:A,2,1),"P")</f>
        <v>P</v>
      </c>
      <c r="AP14512" s="4" t="s">
        <v>376</v>
      </c>
      <c r="AR14512" s="4" t="s">
        <v>377</v>
      </c>
    </row>
    <row r="14513" spans="1:44">
      <c r="A14513" s="4" t="s">
        <v>10753</v>
      </c>
      <c r="B14513" s="4">
        <v>246386</v>
      </c>
      <c r="D14513" s="5" t="s">
        <v>17120</v>
      </c>
      <c r="E14513" s="6" t="str">
        <f>HYPERLINK("https://inpn.mnhn.fr/espece/cd_nom/246386","Coleophora lixella Zeller, 1849")</f>
        <v>Coleophora lixella Zeller, 1849</v>
      </c>
      <c r="AH14513" s="4" t="str">
        <f>HYPERLINK("#Statut_biogéographique!A"&amp;_xlfn.XMATCH("P",Statut_biogéographique!A:A,2,1),"P")</f>
        <v>P</v>
      </c>
      <c r="AP14513" s="4" t="s">
        <v>376</v>
      </c>
      <c r="AR14513" s="4" t="s">
        <v>377</v>
      </c>
    </row>
    <row r="14514" spans="1:44">
      <c r="A14514" s="4" t="s">
        <v>10753</v>
      </c>
      <c r="B14514" s="4">
        <v>246387</v>
      </c>
      <c r="D14514" s="5" t="s">
        <v>17121</v>
      </c>
      <c r="E14514" s="6" t="str">
        <f>HYPERLINK("https://inpn.mnhn.fr/espece/cd_nom/246387","Coleophora ornatipennella (Hübner, 1796)")</f>
        <v>Coleophora ornatipennella (Hübner, 1796)</v>
      </c>
      <c r="AH14514" s="4" t="str">
        <f>HYPERLINK("#Statut_biogéographique!A"&amp;_xlfn.XMATCH("P",Statut_biogéographique!A:A,2,1),"P")</f>
        <v>P</v>
      </c>
      <c r="AP14514" s="4" t="s">
        <v>376</v>
      </c>
      <c r="AR14514" s="4" t="s">
        <v>377</v>
      </c>
    </row>
    <row r="14515" spans="1:44">
      <c r="A14515" s="4" t="s">
        <v>10753</v>
      </c>
      <c r="B14515" s="4">
        <v>246391</v>
      </c>
      <c r="D14515" s="5" t="s">
        <v>17122</v>
      </c>
      <c r="E14515" s="6" t="str">
        <f>HYPERLINK("https://inpn.mnhn.fr/espece/cd_nom/246391","Coleophora vulnerariae Zeller, 1839")</f>
        <v>Coleophora vulnerariae Zeller, 1839</v>
      </c>
      <c r="AH14515" s="4" t="str">
        <f>HYPERLINK("#Statut_biogéographique!A"&amp;_xlfn.XMATCH("P",Statut_biogéographique!A:A,2,1),"P")</f>
        <v>P</v>
      </c>
      <c r="AP14515" s="4" t="s">
        <v>376</v>
      </c>
      <c r="AR14515" s="4" t="s">
        <v>377</v>
      </c>
    </row>
    <row r="14516" spans="1:44" ht="30">
      <c r="A14516" s="4" t="s">
        <v>10753</v>
      </c>
      <c r="B14516" s="4">
        <v>246399</v>
      </c>
      <c r="D14516" s="5" t="s">
        <v>17123</v>
      </c>
      <c r="E14516" s="6" t="str">
        <f>HYPERLINK("https://inpn.mnhn.fr/espece/cd_nom/246399","Coleophora pennella (Denis &amp; Schiffermüller, 1775)")</f>
        <v>Coleophora pennella (Denis &amp; Schiffermüller, 1775)</v>
      </c>
      <c r="AH14516" s="4" t="str">
        <f>HYPERLINK("#Statut_biogéographique!A"&amp;_xlfn.XMATCH("P",Statut_biogéographique!A:A,2,1),"P")</f>
        <v>P</v>
      </c>
      <c r="AP14516" s="4" t="s">
        <v>376</v>
      </c>
      <c r="AR14516" s="4" t="s">
        <v>377</v>
      </c>
    </row>
    <row r="14517" spans="1:44">
      <c r="A14517" s="4" t="s">
        <v>10753</v>
      </c>
      <c r="B14517" s="4">
        <v>24649</v>
      </c>
      <c r="D14517" s="5" t="s">
        <v>17124</v>
      </c>
      <c r="E14517" s="6" t="str">
        <f>HYPERLINK("https://inpn.mnhn.fr/espece/cd_nom/24649","Rhagoletis alternata (Fallén, 1814)")</f>
        <v>Rhagoletis alternata (Fallén, 1814)</v>
      </c>
      <c r="AH14517" s="4" t="str">
        <f>HYPERLINK("#Statut_biogéographique!A"&amp;_xlfn.XMATCH("P",Statut_biogéographique!A:A,2,1),"P")</f>
        <v>P</v>
      </c>
      <c r="AP14517" s="4" t="s">
        <v>376</v>
      </c>
      <c r="AR14517" s="4" t="s">
        <v>377</v>
      </c>
    </row>
    <row r="14518" spans="1:44">
      <c r="A14518" s="4" t="s">
        <v>10753</v>
      </c>
      <c r="B14518" s="4">
        <v>246495</v>
      </c>
      <c r="D14518" s="5" t="s">
        <v>17125</v>
      </c>
      <c r="E14518" s="6" t="str">
        <f>HYPERLINK("https://inpn.mnhn.fr/espece/cd_nom/246495","Coleophora nubivagella Zeller, 1849")</f>
        <v>Coleophora nubivagella Zeller, 1849</v>
      </c>
      <c r="AH14518" s="4" t="str">
        <f>HYPERLINK("#Statut_biogéographique!A"&amp;_xlfn.XMATCH("P",Statut_biogéographique!A:A,2,1),"P")</f>
        <v>P</v>
      </c>
      <c r="AP14518" s="4" t="s">
        <v>376</v>
      </c>
      <c r="AR14518" s="4" t="s">
        <v>377</v>
      </c>
    </row>
    <row r="14519" spans="1:44">
      <c r="A14519" s="4" t="s">
        <v>10753</v>
      </c>
      <c r="B14519" s="4">
        <v>246501</v>
      </c>
      <c r="D14519" s="5" t="s">
        <v>17126</v>
      </c>
      <c r="E14519" s="6" t="str">
        <f>HYPERLINK("https://inpn.mnhn.fr/espece/cd_nom/246501","Coleophora silenella Herrich-Schäffer, 1855")</f>
        <v>Coleophora silenella Herrich-Schäffer, 1855</v>
      </c>
      <c r="AH14519" s="4" t="str">
        <f>HYPERLINK("#Statut_biogéographique!A"&amp;_xlfn.XMATCH("P",Statut_biogéographique!A:A,2,1),"P")</f>
        <v>P</v>
      </c>
      <c r="AP14519" s="4" t="s">
        <v>376</v>
      </c>
      <c r="AR14519" s="4" t="s">
        <v>377</v>
      </c>
    </row>
    <row r="14520" spans="1:44">
      <c r="A14520" s="4" t="s">
        <v>10753</v>
      </c>
      <c r="B14520" s="4">
        <v>246504</v>
      </c>
      <c r="D14520" s="5" t="s">
        <v>17127</v>
      </c>
      <c r="E14520" s="6" t="str">
        <f>HYPERLINK("https://inpn.mnhn.fr/espece/cd_nom/246504","Coleophora saponariella Heeger, 1848")</f>
        <v>Coleophora saponariella Heeger, 1848</v>
      </c>
      <c r="AH14520" s="4" t="str">
        <f>HYPERLINK("#Statut_biogéographique!A"&amp;_xlfn.XMATCH("P",Statut_biogéographique!A:A,2,1),"P")</f>
        <v>P</v>
      </c>
      <c r="AP14520" s="4" t="s">
        <v>376</v>
      </c>
      <c r="AR14520" s="4" t="s">
        <v>377</v>
      </c>
    </row>
    <row r="14521" spans="1:44">
      <c r="A14521" s="4" t="s">
        <v>10753</v>
      </c>
      <c r="B14521" s="4">
        <v>24651</v>
      </c>
      <c r="D14521" s="5" t="s">
        <v>17128</v>
      </c>
      <c r="E14521" s="6" t="str">
        <f>HYPERLINK("https://inpn.mnhn.fr/espece/cd_nom/24651","Rhagoletis cerasi (Linnaeus, 1758)")</f>
        <v>Rhagoletis cerasi (Linnaeus, 1758)</v>
      </c>
      <c r="F14521" s="5" t="s">
        <v>17129</v>
      </c>
      <c r="AH14521" s="4" t="str">
        <f>HYPERLINK("#Statut_biogéographique!A"&amp;_xlfn.XMATCH("P",Statut_biogéographique!A:A,2,1),"P")</f>
        <v>P</v>
      </c>
      <c r="AP14521" s="4" t="s">
        <v>376</v>
      </c>
      <c r="AR14521" s="4" t="s">
        <v>377</v>
      </c>
    </row>
    <row r="14522" spans="1:44">
      <c r="A14522" s="4" t="s">
        <v>10753</v>
      </c>
      <c r="B14522" s="4">
        <v>246516</v>
      </c>
      <c r="D14522" s="5" t="s">
        <v>17130</v>
      </c>
      <c r="E14522" s="6" t="str">
        <f>HYPERLINK("https://inpn.mnhn.fr/espece/cd_nom/246516","Coleophora wockeella Zeller, 1849")</f>
        <v>Coleophora wockeella Zeller, 1849</v>
      </c>
      <c r="AH14522" s="4" t="str">
        <f>HYPERLINK("#Statut_biogéographique!A"&amp;_xlfn.XMATCH("P",Statut_biogéographique!A:A,2,1),"P")</f>
        <v>P</v>
      </c>
      <c r="AP14522" s="4" t="s">
        <v>376</v>
      </c>
      <c r="AR14522" s="4" t="s">
        <v>377</v>
      </c>
    </row>
    <row r="14523" spans="1:44">
      <c r="A14523" s="4" t="s">
        <v>10753</v>
      </c>
      <c r="B14523" s="4">
        <v>246524</v>
      </c>
      <c r="D14523" s="5" t="s">
        <v>17131</v>
      </c>
      <c r="E14523" s="6" t="str">
        <f>HYPERLINK("https://inpn.mnhn.fr/espece/cd_nom/246524","Mompha divisella Herrich-Schäffer, 1854")</f>
        <v>Mompha divisella Herrich-Schäffer, 1854</v>
      </c>
      <c r="AH14523" s="4" t="str">
        <f>HYPERLINK("#Statut_biogéographique!A"&amp;_xlfn.XMATCH("P",Statut_biogéographique!A:A,2,1),"P")</f>
        <v>P</v>
      </c>
      <c r="AP14523" s="4" t="s">
        <v>376</v>
      </c>
      <c r="AR14523" s="4" t="s">
        <v>377</v>
      </c>
    </row>
    <row r="14524" spans="1:44">
      <c r="A14524" s="4" t="s">
        <v>10753</v>
      </c>
      <c r="B14524" s="4">
        <v>246526</v>
      </c>
      <c r="D14524" s="5" t="s">
        <v>17132</v>
      </c>
      <c r="E14524" s="6" t="str">
        <f>HYPERLINK("https://inpn.mnhn.fr/espece/cd_nom/246526","Mompha subbistrigella (Haworth, 1828)")</f>
        <v>Mompha subbistrigella (Haworth, 1828)</v>
      </c>
      <c r="AH14524" s="4" t="str">
        <f>HYPERLINK("#Statut_biogéographique!A"&amp;_xlfn.XMATCH("P",Statut_biogéographique!A:A,2,1),"P")</f>
        <v>P</v>
      </c>
      <c r="AP14524" s="4" t="s">
        <v>376</v>
      </c>
      <c r="AR14524" s="4" t="s">
        <v>377</v>
      </c>
    </row>
    <row r="14525" spans="1:44" ht="30">
      <c r="A14525" s="4" t="s">
        <v>10753</v>
      </c>
      <c r="B14525" s="4">
        <v>246528</v>
      </c>
      <c r="D14525" s="5" t="s">
        <v>17133</v>
      </c>
      <c r="E14525" s="6" t="str">
        <f>HYPERLINK("https://inpn.mnhn.fr/espece/cd_nom/246528","Mompha epilobiella (Denis &amp; Schiffermüller, 1775)")</f>
        <v>Mompha epilobiella (Denis &amp; Schiffermüller, 1775)</v>
      </c>
      <c r="AH14525" s="4" t="str">
        <f>HYPERLINK("#Statut_biogéographique!A"&amp;_xlfn.XMATCH("P",Statut_biogéographique!A:A,2,1),"P")</f>
        <v>P</v>
      </c>
      <c r="AP14525" s="4" t="s">
        <v>376</v>
      </c>
      <c r="AR14525" s="4" t="s">
        <v>377</v>
      </c>
    </row>
    <row r="14526" spans="1:44" ht="30">
      <c r="A14526" s="4" t="s">
        <v>10753</v>
      </c>
      <c r="B14526" s="4">
        <v>246529</v>
      </c>
      <c r="D14526" s="5" t="s">
        <v>17134</v>
      </c>
      <c r="E14526" s="6" t="str">
        <f>HYPERLINK("https://inpn.mnhn.fr/espece/cd_nom/246529","Mompha langiella (Hübner, 1796)")</f>
        <v>Mompha langiella (Hübner, 1796)</v>
      </c>
      <c r="AH14526" s="4" t="str">
        <f>HYPERLINK("#Statut_biogéographique!A"&amp;_xlfn.XMATCH("P",Statut_biogéographique!A:A,2,1),"P")</f>
        <v>P</v>
      </c>
      <c r="AP14526" s="4" t="s">
        <v>376</v>
      </c>
      <c r="AR14526" s="4" t="s">
        <v>377</v>
      </c>
    </row>
    <row r="14527" spans="1:44" ht="30">
      <c r="A14527" s="4" t="s">
        <v>10753</v>
      </c>
      <c r="B14527" s="4">
        <v>246531</v>
      </c>
      <c r="D14527" s="5" t="s">
        <v>17135</v>
      </c>
      <c r="E14527" s="6" t="str">
        <f>HYPERLINK("https://inpn.mnhn.fr/espece/cd_nom/246531","Mompha miscella (Denis &amp; Schiffermüller, 1775)")</f>
        <v>Mompha miscella (Denis &amp; Schiffermüller, 1775)</v>
      </c>
      <c r="AH14527" s="4" t="str">
        <f>HYPERLINK("#Statut_biogéographique!A"&amp;_xlfn.XMATCH("P",Statut_biogéographique!A:A,2,1),"P")</f>
        <v>P</v>
      </c>
      <c r="AP14527" s="4" t="s">
        <v>376</v>
      </c>
      <c r="AR14527" s="4" t="s">
        <v>377</v>
      </c>
    </row>
    <row r="14528" spans="1:44" ht="30">
      <c r="A14528" s="4" t="s">
        <v>10753</v>
      </c>
      <c r="B14528" s="4">
        <v>246532</v>
      </c>
      <c r="D14528" s="5" t="s">
        <v>17136</v>
      </c>
      <c r="E14528" s="6" t="str">
        <f>HYPERLINK("https://inpn.mnhn.fr/espece/cd_nom/246532","Mompha locupletella (Denis &amp; Schiffermüller, 1775)")</f>
        <v>Mompha locupletella (Denis &amp; Schiffermüller, 1775)</v>
      </c>
      <c r="AH14528" s="4" t="str">
        <f>HYPERLINK("#Statut_biogéographique!A"&amp;_xlfn.XMATCH("P",Statut_biogéographique!A:A,2,1),"P")</f>
        <v>P</v>
      </c>
      <c r="AP14528" s="4" t="s">
        <v>376</v>
      </c>
      <c r="AR14528" s="4" t="s">
        <v>377</v>
      </c>
    </row>
    <row r="14529" spans="1:44" ht="30">
      <c r="A14529" s="4" t="s">
        <v>10753</v>
      </c>
      <c r="B14529" s="4">
        <v>246533</v>
      </c>
      <c r="D14529" s="5" t="s">
        <v>17137</v>
      </c>
      <c r="E14529" s="6" t="str">
        <f>HYPERLINK("https://inpn.mnhn.fr/espece/cd_nom/246533","Mompha terminella (Humphreys &amp; Westwood, 1845)")</f>
        <v>Mompha terminella (Humphreys &amp; Westwood, 1845)</v>
      </c>
      <c r="AH14529" s="4" t="str">
        <f>HYPERLINK("#Statut_biogéographique!A"&amp;_xlfn.XMATCH("P",Statut_biogéographique!A:A,2,1),"P")</f>
        <v>P</v>
      </c>
      <c r="AP14529" s="4" t="s">
        <v>376</v>
      </c>
      <c r="AR14529" s="4" t="s">
        <v>377</v>
      </c>
    </row>
    <row r="14530" spans="1:44">
      <c r="A14530" s="4" t="s">
        <v>10753</v>
      </c>
      <c r="B14530" s="4">
        <v>246534</v>
      </c>
      <c r="D14530" s="5" t="s">
        <v>17138</v>
      </c>
      <c r="E14530" s="6" t="str">
        <f>HYPERLINK("https://inpn.mnhn.fr/espece/cd_nom/246534","Mompha raschkiella (Zeller, 1839)")</f>
        <v>Mompha raschkiella (Zeller, 1839)</v>
      </c>
      <c r="AH14530" s="4" t="str">
        <f>HYPERLINK("#Statut_biogéographique!A"&amp;_xlfn.XMATCH("P",Statut_biogéographique!A:A,2,1),"P")</f>
        <v>P</v>
      </c>
      <c r="AP14530" s="4" t="s">
        <v>376</v>
      </c>
      <c r="AR14530" s="4" t="s">
        <v>377</v>
      </c>
    </row>
    <row r="14531" spans="1:44">
      <c r="A14531" s="4" t="s">
        <v>10753</v>
      </c>
      <c r="B14531" s="4">
        <v>246536</v>
      </c>
      <c r="D14531" s="5" t="s">
        <v>17139</v>
      </c>
      <c r="E14531" s="6" t="str">
        <f>HYPERLINK("https://inpn.mnhn.fr/espece/cd_nom/246536","Blastobasis phycidella (Zeller, 1839)")</f>
        <v>Blastobasis phycidella (Zeller, 1839)</v>
      </c>
      <c r="AH14531" s="4" t="str">
        <f>HYPERLINK("#Statut_biogéographique!A"&amp;_xlfn.XMATCH("P",Statut_biogéographique!A:A,2,1),"P")</f>
        <v>P</v>
      </c>
      <c r="AP14531" s="4" t="s">
        <v>376</v>
      </c>
      <c r="AR14531" s="4" t="s">
        <v>377</v>
      </c>
    </row>
    <row r="14532" spans="1:44">
      <c r="A14532" s="4" t="s">
        <v>10753</v>
      </c>
      <c r="B14532" s="4">
        <v>246546</v>
      </c>
      <c r="D14532" s="5" t="s">
        <v>17140</v>
      </c>
      <c r="E14532" s="6" t="str">
        <f>HYPERLINK("https://inpn.mnhn.fr/espece/cd_nom/246546","Oegoconia quadripuncta (Haworth, 1828)")</f>
        <v>Oegoconia quadripuncta (Haworth, 1828)</v>
      </c>
      <c r="AH14532" s="4" t="str">
        <f>HYPERLINK("#Statut_biogéographique!A"&amp;_xlfn.XMATCH("P",Statut_biogéographique!A:A,2,1),"P")</f>
        <v>P</v>
      </c>
      <c r="AP14532" s="4" t="s">
        <v>376</v>
      </c>
      <c r="AR14532" s="4" t="s">
        <v>377</v>
      </c>
    </row>
    <row r="14533" spans="1:44" ht="30">
      <c r="A14533" s="4" t="s">
        <v>10753</v>
      </c>
      <c r="B14533" s="4">
        <v>246547</v>
      </c>
      <c r="D14533" s="5">
        <v>246547</v>
      </c>
      <c r="E14533" s="6" t="str">
        <f>HYPERLINK("https://inpn.mnhn.fr/espece/cd_nom/246547","Oegoconia caradjai Popescu-Gorj &amp; Căpușe, 1965")</f>
        <v>Oegoconia caradjai Popescu-Gorj &amp; Căpușe, 1965</v>
      </c>
      <c r="AH14533" s="4" t="str">
        <f>HYPERLINK("#Statut_biogéographique!A"&amp;_xlfn.XMATCH("P",Statut_biogéographique!A:A,2,1),"P")</f>
        <v>P</v>
      </c>
      <c r="AP14533" s="4" t="s">
        <v>376</v>
      </c>
      <c r="AR14533" s="4" t="s">
        <v>377</v>
      </c>
    </row>
    <row r="14534" spans="1:44" ht="30">
      <c r="A14534" s="4" t="s">
        <v>10753</v>
      </c>
      <c r="B14534" s="4">
        <v>246549</v>
      </c>
      <c r="D14534" s="5" t="s">
        <v>17141</v>
      </c>
      <c r="E14534" s="6" t="str">
        <f>HYPERLINK("https://inpn.mnhn.fr/espece/cd_nom/246549","Oegoconia deauratella (Herrich-Schäffer, 1854)")</f>
        <v>Oegoconia deauratella (Herrich-Schäffer, 1854)</v>
      </c>
      <c r="AH14534" s="4" t="str">
        <f>HYPERLINK("#Statut_biogéographique!A"&amp;_xlfn.XMATCH("P",Statut_biogéographique!A:A,2,1),"P")</f>
        <v>P</v>
      </c>
      <c r="AP14534" s="4" t="s">
        <v>376</v>
      </c>
      <c r="AR14534" s="4" t="s">
        <v>377</v>
      </c>
    </row>
    <row r="14535" spans="1:44">
      <c r="A14535" s="4" t="s">
        <v>10753</v>
      </c>
      <c r="B14535" s="4">
        <v>246562</v>
      </c>
      <c r="D14535" s="5" t="s">
        <v>17142</v>
      </c>
      <c r="E14535" s="6" t="str">
        <f>HYPERLINK("https://inpn.mnhn.fr/espece/cd_nom/246562","Symmoca signatella Herrich-Schäffer, 1854")</f>
        <v>Symmoca signatella Herrich-Schäffer, 1854</v>
      </c>
      <c r="AH14535" s="4" t="str">
        <f>HYPERLINK("#Statut_biogéographique!A"&amp;_xlfn.XMATCH("P",Statut_biogéographique!A:A,2,1),"P")</f>
        <v>P</v>
      </c>
      <c r="AP14535" s="4" t="s">
        <v>376</v>
      </c>
      <c r="AR14535" s="4" t="s">
        <v>377</v>
      </c>
    </row>
    <row r="14536" spans="1:44">
      <c r="A14536" s="4" t="s">
        <v>10753</v>
      </c>
      <c r="B14536" s="4">
        <v>246579</v>
      </c>
      <c r="D14536" s="5" t="s">
        <v>17143</v>
      </c>
      <c r="E14536" s="6" t="str">
        <f>HYPERLINK("https://inpn.mnhn.fr/espece/cd_nom/246579","Anchinia cristalis (Scopoli, 1763)")</f>
        <v>Anchinia cristalis (Scopoli, 1763)</v>
      </c>
      <c r="AH14536" s="4" t="str">
        <f>HYPERLINK("#Statut_biogéographique!A"&amp;_xlfn.XMATCH("P",Statut_biogéographique!A:A,2,1),"P")</f>
        <v>P</v>
      </c>
      <c r="AP14536" s="4" t="s">
        <v>376</v>
      </c>
      <c r="AR14536" s="4" t="s">
        <v>377</v>
      </c>
    </row>
    <row r="14537" spans="1:44">
      <c r="A14537" s="4" t="s">
        <v>10753</v>
      </c>
      <c r="B14537" s="4">
        <v>246583</v>
      </c>
      <c r="D14537" s="5" t="s">
        <v>17144</v>
      </c>
      <c r="E14537" s="6" t="str">
        <f>HYPERLINK("https://inpn.mnhn.fr/espece/cd_nom/246583","Hypercallia citrinalis (Scopoli, 1763)")</f>
        <v>Hypercallia citrinalis (Scopoli, 1763)</v>
      </c>
      <c r="AH14537" s="4" t="str">
        <f>HYPERLINK("#Statut_biogéographique!A"&amp;_xlfn.XMATCH("P",Statut_biogéographique!A:A,2,1),"P")</f>
        <v>P</v>
      </c>
      <c r="AP14537" s="4" t="s">
        <v>376</v>
      </c>
      <c r="AR14537" s="4" t="s">
        <v>377</v>
      </c>
    </row>
    <row r="14538" spans="1:44">
      <c r="A14538" s="4" t="s">
        <v>10753</v>
      </c>
      <c r="B14538" s="4">
        <v>246586</v>
      </c>
      <c r="D14538" s="5" t="s">
        <v>17145</v>
      </c>
      <c r="E14538" s="6" t="str">
        <f>HYPERLINK("https://inpn.mnhn.fr/espece/cd_nom/246586","Sorhagenia rhamniella (Zeller, 1839)")</f>
        <v>Sorhagenia rhamniella (Zeller, 1839)</v>
      </c>
      <c r="AH14538" s="4" t="str">
        <f>HYPERLINK("#Statut_biogéographique!A"&amp;_xlfn.XMATCH("P",Statut_biogéographique!A:A,2,1),"P")</f>
        <v>P</v>
      </c>
      <c r="AP14538" s="4" t="s">
        <v>376</v>
      </c>
      <c r="AR14538" s="4" t="s">
        <v>377</v>
      </c>
    </row>
    <row r="14539" spans="1:44" ht="30">
      <c r="A14539" s="4" t="s">
        <v>10753</v>
      </c>
      <c r="B14539" s="4">
        <v>246597</v>
      </c>
      <c r="D14539" s="5" t="s">
        <v>17146</v>
      </c>
      <c r="E14539" s="6" t="str">
        <f>HYPERLINK("https://inpn.mnhn.fr/espece/cd_nom/246597","Eteobalea serratella (Treitschke, 1833)")</f>
        <v>Eteobalea serratella (Treitschke, 1833)</v>
      </c>
      <c r="AH14539" s="4" t="str">
        <f>HYPERLINK("#Statut_biogéographique!A"&amp;_xlfn.XMATCH("P",Statut_biogéographique!A:A,2,1),"P")</f>
        <v>P</v>
      </c>
      <c r="AP14539" s="4" t="s">
        <v>376</v>
      </c>
      <c r="AR14539" s="4" t="s">
        <v>377</v>
      </c>
    </row>
    <row r="14540" spans="1:44">
      <c r="A14540" s="4" t="s">
        <v>10753</v>
      </c>
      <c r="B14540" s="4">
        <v>246611</v>
      </c>
      <c r="D14540" s="5" t="s">
        <v>17147</v>
      </c>
      <c r="E14540" s="6" t="str">
        <f>HYPERLINK("https://inpn.mnhn.fr/espece/cd_nom/246611","Cosmopterix zieglerella (Hübner, 1810)")</f>
        <v>Cosmopterix zieglerella (Hübner, 1810)</v>
      </c>
      <c r="AH14540" s="4" t="str">
        <f>HYPERLINK("#Statut_biogéographique!A"&amp;_xlfn.XMATCH("P",Statut_biogéographique!A:A,2,1),"P")</f>
        <v>P</v>
      </c>
      <c r="AP14540" s="4" t="s">
        <v>376</v>
      </c>
      <c r="AR14540" s="4" t="s">
        <v>377</v>
      </c>
    </row>
    <row r="14541" spans="1:44">
      <c r="A14541" s="4" t="s">
        <v>10753</v>
      </c>
      <c r="B14541" s="4">
        <v>246614</v>
      </c>
      <c r="D14541" s="5" t="s">
        <v>17148</v>
      </c>
      <c r="E14541" s="6" t="str">
        <f>HYPERLINK("https://inpn.mnhn.fr/espece/cd_nom/246614","Cosmopterix scribaiella Zeller, 1850")</f>
        <v>Cosmopterix scribaiella Zeller, 1850</v>
      </c>
      <c r="AH14541" s="4" t="str">
        <f>HYPERLINK("#Statut_biogéographique!A"&amp;_xlfn.XMATCH("P",Statut_biogéographique!A:A,2,1),"P")</f>
        <v>P</v>
      </c>
      <c r="AP14541" s="4" t="s">
        <v>376</v>
      </c>
      <c r="AR14541" s="4" t="s">
        <v>377</v>
      </c>
    </row>
    <row r="14542" spans="1:44">
      <c r="A14542" s="4" t="s">
        <v>10753</v>
      </c>
      <c r="B14542" s="4">
        <v>246622</v>
      </c>
      <c r="D14542" s="5" t="s">
        <v>17149</v>
      </c>
      <c r="E14542" s="6" t="str">
        <f>HYPERLINK("https://inpn.mnhn.fr/espece/cd_nom/246622","Pancalia leuwenhoekella (Linnaeus, 1761)")</f>
        <v>Pancalia leuwenhoekella (Linnaeus, 1761)</v>
      </c>
      <c r="AH14542" s="4" t="str">
        <f>HYPERLINK("#Statut_biogéographique!A"&amp;_xlfn.XMATCH("P",Statut_biogéographique!A:A,2,1),"P")</f>
        <v>P</v>
      </c>
      <c r="AP14542" s="4" t="s">
        <v>376</v>
      </c>
      <c r="AR14542" s="4" t="s">
        <v>377</v>
      </c>
    </row>
    <row r="14543" spans="1:44">
      <c r="A14543" s="4" t="s">
        <v>10753</v>
      </c>
      <c r="B14543" s="4">
        <v>246629</v>
      </c>
      <c r="D14543" s="5" t="s">
        <v>17150</v>
      </c>
      <c r="E14543" s="6" t="str">
        <f>HYPERLINK("https://inpn.mnhn.fr/espece/cd_nom/246629","Sitotroga cerealella (Olivier, 1789)")</f>
        <v>Sitotroga cerealella (Olivier, 1789)</v>
      </c>
      <c r="AH14543" s="4" t="str">
        <f>HYPERLINK("#Statut_biogéographique!A"&amp;_xlfn.XMATCH("I",Statut_biogéographique!A:A,2,1),"I")</f>
        <v>I</v>
      </c>
      <c r="AP14543" s="4" t="s">
        <v>376</v>
      </c>
      <c r="AR14543" s="4" t="s">
        <v>377</v>
      </c>
    </row>
    <row r="14544" spans="1:44">
      <c r="A14544" s="4" t="s">
        <v>10753</v>
      </c>
      <c r="B14544" s="4">
        <v>246630</v>
      </c>
      <c r="D14544" s="5" t="s">
        <v>17151</v>
      </c>
      <c r="E14544" s="6" t="str">
        <f>HYPERLINK("https://inpn.mnhn.fr/espece/cd_nom/246630","Platyedra subcinerea (Haworth, 1828)")</f>
        <v>Platyedra subcinerea (Haworth, 1828)</v>
      </c>
      <c r="AH14544" s="4" t="str">
        <f>HYPERLINK("#Statut_biogéographique!A"&amp;_xlfn.XMATCH("P",Statut_biogéographique!A:A,2,1),"P")</f>
        <v>P</v>
      </c>
      <c r="AP14544" s="4" t="s">
        <v>376</v>
      </c>
      <c r="AR14544" s="4" t="s">
        <v>377</v>
      </c>
    </row>
    <row r="14545" spans="1:44">
      <c r="A14545" s="4" t="s">
        <v>10753</v>
      </c>
      <c r="B14545" s="4">
        <v>246631</v>
      </c>
      <c r="D14545" s="5" t="s">
        <v>17152</v>
      </c>
      <c r="E14545" s="6" t="str">
        <f>HYPERLINK("https://inpn.mnhn.fr/espece/cd_nom/246631","Pexicopia malvella (Hübner, 1805)")</f>
        <v>Pexicopia malvella (Hübner, 1805)</v>
      </c>
      <c r="AH14545" s="4" t="str">
        <f>HYPERLINK("#Statut_biogéographique!A"&amp;_xlfn.XMATCH("P",Statut_biogéographique!A:A,2,1),"P")</f>
        <v>P</v>
      </c>
      <c r="AP14545" s="4" t="s">
        <v>376</v>
      </c>
      <c r="AR14545" s="4" t="s">
        <v>377</v>
      </c>
    </row>
    <row r="14546" spans="1:44">
      <c r="A14546" s="4" t="s">
        <v>10753</v>
      </c>
      <c r="B14546" s="4">
        <v>246632</v>
      </c>
      <c r="D14546" s="5" t="s">
        <v>17153</v>
      </c>
      <c r="E14546" s="6" t="str">
        <f>HYPERLINK("https://inpn.mnhn.fr/espece/cd_nom/246632","Acompsia cinerella (Clerck, 1759)")</f>
        <v>Acompsia cinerella (Clerck, 1759)</v>
      </c>
      <c r="AH14546" s="4" t="str">
        <f>HYPERLINK("#Statut_biogéographique!A"&amp;_xlfn.XMATCH("P",Statut_biogéographique!A:A,2,1),"P")</f>
        <v>P</v>
      </c>
      <c r="AP14546" s="4" t="s">
        <v>376</v>
      </c>
      <c r="AR14546" s="4" t="s">
        <v>377</v>
      </c>
    </row>
    <row r="14547" spans="1:44" ht="30">
      <c r="A14547" s="4" t="s">
        <v>10753</v>
      </c>
      <c r="B14547" s="4">
        <v>246639</v>
      </c>
      <c r="D14547" s="5" t="s">
        <v>17154</v>
      </c>
      <c r="E14547" s="6" t="str">
        <f>HYPERLINK("https://inpn.mnhn.fr/espece/cd_nom/246639","Acompsia tripunctella (Denis &amp; Schiffermüller, 1775)")</f>
        <v>Acompsia tripunctella (Denis &amp; Schiffermüller, 1775)</v>
      </c>
      <c r="AH14547" s="4" t="str">
        <f>HYPERLINK("#Statut_biogéographique!A"&amp;_xlfn.XMATCH("P",Statut_biogéographique!A:A,2,1),"P")</f>
        <v>P</v>
      </c>
      <c r="AP14547" s="4" t="s">
        <v>376</v>
      </c>
      <c r="AR14547" s="4" t="s">
        <v>377</v>
      </c>
    </row>
    <row r="14548" spans="1:44">
      <c r="A14548" s="4" t="s">
        <v>10753</v>
      </c>
      <c r="B14548" s="4">
        <v>246640</v>
      </c>
      <c r="D14548" s="5" t="s">
        <v>17155</v>
      </c>
      <c r="E14548" s="6" t="str">
        <f>HYPERLINK("https://inpn.mnhn.fr/espece/cd_nom/246640","Acompsia schmidtiellus (Heyden, 1848)")</f>
        <v>Acompsia schmidtiellus (Heyden, 1848)</v>
      </c>
      <c r="AH14548" s="4" t="str">
        <f>HYPERLINK("#Statut_biogéographique!A"&amp;_xlfn.XMATCH("P",Statut_biogéographique!A:A,2,1),"P")</f>
        <v>P</v>
      </c>
      <c r="AP14548" s="4" t="s">
        <v>376</v>
      </c>
      <c r="AR14548" s="4" t="s">
        <v>377</v>
      </c>
    </row>
    <row r="14549" spans="1:44" ht="30">
      <c r="A14549" s="4" t="s">
        <v>10753</v>
      </c>
      <c r="B14549" s="4">
        <v>246642</v>
      </c>
      <c r="D14549" s="5" t="s">
        <v>17156</v>
      </c>
      <c r="E14549" s="6" t="str">
        <f>HYPERLINK("https://inpn.mnhn.fr/espece/cd_nom/246642","Helcystogramma triannulella (Herrich-Schäffer, 1854)")</f>
        <v>Helcystogramma triannulella (Herrich-Schäffer, 1854)</v>
      </c>
      <c r="AH14549" s="4" t="str">
        <f>HYPERLINK("#Statut_biogéographique!A"&amp;_xlfn.XMATCH("P",Statut_biogéographique!A:A,2,1),"P")</f>
        <v>P</v>
      </c>
      <c r="AP14549" s="4" t="s">
        <v>376</v>
      </c>
      <c r="AR14549" s="4" t="s">
        <v>377</v>
      </c>
    </row>
    <row r="14550" spans="1:44">
      <c r="A14550" s="4" t="s">
        <v>10753</v>
      </c>
      <c r="B14550" s="4">
        <v>246644</v>
      </c>
      <c r="D14550" s="5" t="s">
        <v>17157</v>
      </c>
      <c r="E14550" s="6" t="str">
        <f>HYPERLINK("https://inpn.mnhn.fr/espece/cd_nom/246644","Helcystogramma rufescens (Haworth, 1828)")</f>
        <v>Helcystogramma rufescens (Haworth, 1828)</v>
      </c>
      <c r="AH14550" s="4" t="str">
        <f>HYPERLINK("#Statut_biogéographique!A"&amp;_xlfn.XMATCH("P",Statut_biogéographique!A:A,2,1),"P")</f>
        <v>P</v>
      </c>
      <c r="AP14550" s="4" t="s">
        <v>376</v>
      </c>
      <c r="AR14550" s="4" t="s">
        <v>377</v>
      </c>
    </row>
    <row r="14551" spans="1:44">
      <c r="A14551" s="4" t="s">
        <v>10753</v>
      </c>
      <c r="B14551" s="4">
        <v>246646</v>
      </c>
      <c r="D14551" s="5" t="s">
        <v>17158</v>
      </c>
      <c r="E14551" s="6" t="str">
        <f>HYPERLINK("https://inpn.mnhn.fr/espece/cd_nom/246646","Brachmia blandella (Fabricius, 1798)")</f>
        <v>Brachmia blandella (Fabricius, 1798)</v>
      </c>
      <c r="AH14551" s="4" t="str">
        <f>HYPERLINK("#Statut_biogéographique!A"&amp;_xlfn.XMATCH("P",Statut_biogéographique!A:A,2,1),"P")</f>
        <v>P</v>
      </c>
      <c r="AP14551" s="4" t="s">
        <v>376</v>
      </c>
      <c r="AR14551" s="4" t="s">
        <v>377</v>
      </c>
    </row>
    <row r="14552" spans="1:44">
      <c r="A14552" s="4" t="s">
        <v>10753</v>
      </c>
      <c r="B14552" s="4">
        <v>246648</v>
      </c>
      <c r="D14552" s="5" t="s">
        <v>17159</v>
      </c>
      <c r="E14552" s="6" t="str">
        <f>HYPERLINK("https://inpn.mnhn.fr/espece/cd_nom/246648","Anasphaltis renigerellus (Zeller, 1839)")</f>
        <v>Anasphaltis renigerellus (Zeller, 1839)</v>
      </c>
      <c r="AH14552" s="4" t="str">
        <f>HYPERLINK("#Statut_biogéographique!A"&amp;_xlfn.XMATCH("P",Statut_biogéographique!A:A,2,1),"P")</f>
        <v>P</v>
      </c>
      <c r="AP14552" s="4" t="s">
        <v>376</v>
      </c>
      <c r="AR14552" s="4" t="s">
        <v>377</v>
      </c>
    </row>
    <row r="14553" spans="1:44">
      <c r="A14553" s="4" t="s">
        <v>10753</v>
      </c>
      <c r="B14553" s="4">
        <v>24665</v>
      </c>
      <c r="D14553" s="5" t="s">
        <v>17160</v>
      </c>
      <c r="E14553" s="6" t="str">
        <f>HYPERLINK("https://inpn.mnhn.fr/espece/cd_nom/24665","Trypeta immaculata (Macquart, 1835)")</f>
        <v>Trypeta immaculata (Macquart, 1835)</v>
      </c>
      <c r="AH14553" s="4" t="str">
        <f>HYPERLINK("#Statut_biogéographique!A"&amp;_xlfn.XMATCH("P",Statut_biogéographique!A:A,2,1),"P")</f>
        <v>P</v>
      </c>
      <c r="AP14553" s="4" t="s">
        <v>376</v>
      </c>
      <c r="AR14553" s="4" t="s">
        <v>377</v>
      </c>
    </row>
    <row r="14554" spans="1:44">
      <c r="A14554" s="4" t="s">
        <v>10753</v>
      </c>
      <c r="B14554" s="4">
        <v>246654</v>
      </c>
      <c r="D14554" s="5" t="s">
        <v>17161</v>
      </c>
      <c r="E14554" s="6" t="str">
        <f>HYPERLINK("https://inpn.mnhn.fr/espece/cd_nom/246654","Dichomeris marginella (Fabricius, 1781)")</f>
        <v>Dichomeris marginella (Fabricius, 1781)</v>
      </c>
      <c r="AH14554" s="4" t="str">
        <f>HYPERLINK("#Statut_biogéographique!A"&amp;_xlfn.XMATCH("P",Statut_biogéographique!A:A,2,1),"P")</f>
        <v>P</v>
      </c>
      <c r="AP14554" s="4" t="s">
        <v>376</v>
      </c>
      <c r="AR14554" s="4" t="s">
        <v>377</v>
      </c>
    </row>
    <row r="14555" spans="1:44">
      <c r="A14555" s="4" t="s">
        <v>10753</v>
      </c>
      <c r="B14555" s="4">
        <v>246655</v>
      </c>
      <c r="D14555" s="5" t="s">
        <v>17162</v>
      </c>
      <c r="E14555" s="6" t="str">
        <f>HYPERLINK("https://inpn.mnhn.fr/espece/cd_nom/246655","Dichomeris ustalella (Fabricius, 1794)")</f>
        <v>Dichomeris ustalella (Fabricius, 1794)</v>
      </c>
      <c r="AH14555" s="4" t="str">
        <f>HYPERLINK("#Statut_biogéographique!A"&amp;_xlfn.XMATCH("P",Statut_biogéographique!A:A,2,1),"P")</f>
        <v>P</v>
      </c>
      <c r="AP14555" s="4" t="s">
        <v>376</v>
      </c>
      <c r="AR14555" s="4" t="s">
        <v>377</v>
      </c>
    </row>
    <row r="14556" spans="1:44" ht="30">
      <c r="A14556" s="4" t="s">
        <v>10753</v>
      </c>
      <c r="B14556" s="4">
        <v>246656</v>
      </c>
      <c r="D14556" s="5" t="s">
        <v>17163</v>
      </c>
      <c r="E14556" s="6" t="str">
        <f>HYPERLINK("https://inpn.mnhn.fr/espece/cd_nom/246656","Dichomeris derasella (Denis &amp; Schiffermüller, 1775)")</f>
        <v>Dichomeris derasella (Denis &amp; Schiffermüller, 1775)</v>
      </c>
      <c r="AH14556" s="4" t="str">
        <f>HYPERLINK("#Statut_biogéographique!A"&amp;_xlfn.XMATCH("P",Statut_biogéographique!A:A,2,1),"P")</f>
        <v>P</v>
      </c>
      <c r="AP14556" s="4" t="s">
        <v>376</v>
      </c>
      <c r="AR14556" s="4" t="s">
        <v>377</v>
      </c>
    </row>
    <row r="14557" spans="1:44">
      <c r="A14557" s="4" t="s">
        <v>10753</v>
      </c>
      <c r="B14557" s="4">
        <v>246657</v>
      </c>
      <c r="D14557" s="5" t="s">
        <v>17164</v>
      </c>
      <c r="E14557" s="6" t="str">
        <f>HYPERLINK("https://inpn.mnhn.fr/espece/cd_nom/246657","Dichomeris limosella (Schläger, 1849)")</f>
        <v>Dichomeris limosella (Schläger, 1849)</v>
      </c>
      <c r="AH14557" s="4" t="str">
        <f>HYPERLINK("#Statut_biogéographique!A"&amp;_xlfn.XMATCH("P",Statut_biogéographique!A:A,2,1),"P")</f>
        <v>P</v>
      </c>
      <c r="AP14557" s="4" t="s">
        <v>376</v>
      </c>
      <c r="AR14557" s="4" t="s">
        <v>377</v>
      </c>
    </row>
    <row r="14558" spans="1:44">
      <c r="A14558" s="4" t="s">
        <v>10753</v>
      </c>
      <c r="B14558" s="4">
        <v>246659</v>
      </c>
      <c r="D14558" s="5" t="s">
        <v>17165</v>
      </c>
      <c r="E14558" s="6" t="str">
        <f>HYPERLINK("https://inpn.mnhn.fr/espece/cd_nom/246659","Dichomeris alacella (Zeller, 1839)")</f>
        <v>Dichomeris alacella (Zeller, 1839)</v>
      </c>
      <c r="AH14558" s="4" t="str">
        <f>HYPERLINK("#Statut_biogéographique!A"&amp;_xlfn.XMATCH("P",Statut_biogéographique!A:A,2,1),"P")</f>
        <v>P</v>
      </c>
      <c r="AP14558" s="4" t="s">
        <v>376</v>
      </c>
      <c r="AR14558" s="4" t="s">
        <v>377</v>
      </c>
    </row>
    <row r="14559" spans="1:44">
      <c r="A14559" s="4" t="s">
        <v>10753</v>
      </c>
      <c r="B14559" s="4">
        <v>246667</v>
      </c>
      <c r="D14559" s="5" t="s">
        <v>17166</v>
      </c>
      <c r="E14559" s="6" t="str">
        <f>HYPERLINK("https://inpn.mnhn.fr/espece/cd_nom/246667","Bryotropha domestica (Haworth, 1828)")</f>
        <v>Bryotropha domestica (Haworth, 1828)</v>
      </c>
      <c r="AH14559" s="4" t="str">
        <f>HYPERLINK("#Statut_biogéographique!A"&amp;_xlfn.XMATCH("P",Statut_biogéographique!A:A,2,1),"P")</f>
        <v>P</v>
      </c>
      <c r="AP14559" s="4" t="s">
        <v>376</v>
      </c>
      <c r="AR14559" s="4" t="s">
        <v>377</v>
      </c>
    </row>
    <row r="14560" spans="1:44" ht="30">
      <c r="A14560" s="4" t="s">
        <v>10753</v>
      </c>
      <c r="B14560" s="4">
        <v>246669</v>
      </c>
      <c r="D14560" s="5" t="s">
        <v>17167</v>
      </c>
      <c r="E14560" s="6" t="str">
        <f>HYPERLINK("https://inpn.mnhn.fr/espece/cd_nom/246669","Bryotropha terrella (Denis &amp; Schiffermüller, 1775)")</f>
        <v>Bryotropha terrella (Denis &amp; Schiffermüller, 1775)</v>
      </c>
      <c r="AH14560" s="4" t="str">
        <f>HYPERLINK("#Statut_biogéographique!A"&amp;_xlfn.XMATCH("P",Statut_biogéographique!A:A,2,1),"P")</f>
        <v>P</v>
      </c>
      <c r="AP14560" s="4" t="s">
        <v>376</v>
      </c>
      <c r="AR14560" s="4" t="s">
        <v>377</v>
      </c>
    </row>
    <row r="14561" spans="1:44">
      <c r="A14561" s="4" t="s">
        <v>10753</v>
      </c>
      <c r="B14561" s="4">
        <v>24667</v>
      </c>
      <c r="D14561" s="5">
        <v>24667</v>
      </c>
      <c r="E14561" s="6" t="str">
        <f>HYPERLINK("https://inpn.mnhn.fr/espece/cd_nom/24667","Trypeta zoe Meigen, 1826")</f>
        <v>Trypeta zoe Meigen, 1826</v>
      </c>
      <c r="AH14561" s="4" t="str">
        <f>HYPERLINK("#Statut_biogéographique!A"&amp;_xlfn.XMATCH("P",Statut_biogéographique!A:A,2,1),"P")</f>
        <v>P</v>
      </c>
      <c r="AP14561" s="4" t="s">
        <v>376</v>
      </c>
      <c r="AR14561" s="4" t="s">
        <v>377</v>
      </c>
    </row>
    <row r="14562" spans="1:44">
      <c r="A14562" s="4" t="s">
        <v>10753</v>
      </c>
      <c r="B14562" s="4">
        <v>246680</v>
      </c>
      <c r="D14562" s="5" t="s">
        <v>17168</v>
      </c>
      <c r="E14562" s="6" t="str">
        <f>HYPERLINK("https://inpn.mnhn.fr/espece/cd_nom/246680","Bryotropha senectella (Zeller, 1839)")</f>
        <v>Bryotropha senectella (Zeller, 1839)</v>
      </c>
      <c r="AH14562" s="4" t="str">
        <f>HYPERLINK("#Statut_biogéographique!A"&amp;_xlfn.XMATCH("P",Statut_biogéographique!A:A,2,1),"P")</f>
        <v>P</v>
      </c>
      <c r="AP14562" s="4" t="s">
        <v>376</v>
      </c>
      <c r="AR14562" s="4" t="s">
        <v>377</v>
      </c>
    </row>
    <row r="14563" spans="1:44">
      <c r="A14563" s="4" t="s">
        <v>10753</v>
      </c>
      <c r="B14563" s="4">
        <v>246681</v>
      </c>
      <c r="D14563" s="5" t="s">
        <v>17169</v>
      </c>
      <c r="E14563" s="6" t="str">
        <f>HYPERLINK("https://inpn.mnhn.fr/espece/cd_nom/246681","Bryotropha affinis (Haworth, 1828)")</f>
        <v>Bryotropha affinis (Haworth, 1828)</v>
      </c>
      <c r="AH14563" s="4" t="str">
        <f>HYPERLINK("#Statut_biogéographique!A"&amp;_xlfn.XMATCH("P",Statut_biogéographique!A:A,2,1),"P")</f>
        <v>P</v>
      </c>
      <c r="AP14563" s="4" t="s">
        <v>376</v>
      </c>
      <c r="AR14563" s="4" t="s">
        <v>377</v>
      </c>
    </row>
    <row r="14564" spans="1:44">
      <c r="A14564" s="4" t="s">
        <v>10753</v>
      </c>
      <c r="B14564" s="4">
        <v>246700</v>
      </c>
      <c r="D14564" s="5" t="s">
        <v>17170</v>
      </c>
      <c r="E14564" s="6" t="str">
        <f>HYPERLINK("https://inpn.mnhn.fr/espece/cd_nom/246700","Monochroa tenebrella (Hübner, 1817)")</f>
        <v>Monochroa tenebrella (Hübner, 1817)</v>
      </c>
      <c r="AH14564" s="4" t="str">
        <f>HYPERLINK("#Statut_biogéographique!A"&amp;_xlfn.XMATCH("P",Statut_biogéographique!A:A,2,1),"P")</f>
        <v>P</v>
      </c>
      <c r="AP14564" s="4" t="s">
        <v>376</v>
      </c>
      <c r="AR14564" s="4" t="s">
        <v>377</v>
      </c>
    </row>
    <row r="14565" spans="1:44" ht="30">
      <c r="A14565" s="4" t="s">
        <v>10753</v>
      </c>
      <c r="B14565" s="4">
        <v>246714</v>
      </c>
      <c r="D14565" s="5" t="s">
        <v>17171</v>
      </c>
      <c r="E14565" s="6" t="str">
        <f>HYPERLINK("https://inpn.mnhn.fr/espece/cd_nom/246714","Argolamprotes micella (Denis &amp; Schiffermüller, 1775)")</f>
        <v>Argolamprotes micella (Denis &amp; Schiffermüller, 1775)</v>
      </c>
      <c r="AH14565" s="4" t="str">
        <f>HYPERLINK("#Statut_biogéographique!A"&amp;_xlfn.XMATCH("P",Statut_biogéographique!A:A,2,1),"P")</f>
        <v>P</v>
      </c>
      <c r="AP14565" s="4" t="s">
        <v>376</v>
      </c>
      <c r="AR14565" s="4" t="s">
        <v>377</v>
      </c>
    </row>
    <row r="14566" spans="1:44">
      <c r="A14566" s="4" t="s">
        <v>10753</v>
      </c>
      <c r="B14566" s="4">
        <v>246718</v>
      </c>
      <c r="D14566" s="5" t="s">
        <v>17172</v>
      </c>
      <c r="E14566" s="6" t="str">
        <f>HYPERLINK("https://inpn.mnhn.fr/espece/cd_nom/246718","Apodia bifractella (Duponchel, 1843)")</f>
        <v>Apodia bifractella (Duponchel, 1843)</v>
      </c>
      <c r="AH14566" s="4" t="str">
        <f>HYPERLINK("#Statut_biogéographique!A"&amp;_xlfn.XMATCH("P",Statut_biogéographique!A:A,2,1),"P")</f>
        <v>P</v>
      </c>
      <c r="AP14566" s="4" t="s">
        <v>376</v>
      </c>
      <c r="AR14566" s="4" t="s">
        <v>377</v>
      </c>
    </row>
    <row r="14567" spans="1:44">
      <c r="A14567" s="4" t="s">
        <v>10753</v>
      </c>
      <c r="B14567" s="4">
        <v>246719</v>
      </c>
      <c r="D14567" s="5" t="s">
        <v>17173</v>
      </c>
      <c r="E14567" s="6" t="str">
        <f>HYPERLINK("https://inpn.mnhn.fr/espece/cd_nom/246719","Metzneria paucipunctella (Zeller, 1839)")</f>
        <v>Metzneria paucipunctella (Zeller, 1839)</v>
      </c>
      <c r="AH14567" s="4" t="str">
        <f>HYPERLINK("#Statut_biogéographique!A"&amp;_xlfn.XMATCH("P",Statut_biogéographique!A:A,2,1),"P")</f>
        <v>P</v>
      </c>
      <c r="AP14567" s="4" t="s">
        <v>376</v>
      </c>
      <c r="AR14567" s="4" t="s">
        <v>377</v>
      </c>
    </row>
    <row r="14568" spans="1:44">
      <c r="A14568" s="4" t="s">
        <v>10753</v>
      </c>
      <c r="B14568" s="4">
        <v>246723</v>
      </c>
      <c r="D14568" s="5" t="s">
        <v>17174</v>
      </c>
      <c r="E14568" s="6" t="str">
        <f>HYPERLINK("https://inpn.mnhn.fr/espece/cd_nom/246723","Metzneria lappella (Linnaeus, 1758)")</f>
        <v>Metzneria lappella (Linnaeus, 1758)</v>
      </c>
      <c r="AH14568" s="4" t="str">
        <f>HYPERLINK("#Statut_biogéographique!A"&amp;_xlfn.XMATCH("P",Statut_biogéographique!A:A,2,1),"P")</f>
        <v>P</v>
      </c>
      <c r="AP14568" s="4" t="s">
        <v>376</v>
      </c>
      <c r="AR14568" s="4" t="s">
        <v>377</v>
      </c>
    </row>
    <row r="14569" spans="1:44">
      <c r="A14569" s="4" t="s">
        <v>10753</v>
      </c>
      <c r="B14569" s="4">
        <v>246727</v>
      </c>
      <c r="D14569" s="5" t="s">
        <v>17175</v>
      </c>
      <c r="E14569" s="6" t="str">
        <f>HYPERLINK("https://inpn.mnhn.fr/espece/cd_nom/246727","Metzneria metzneriella (Stainton, 1851)")</f>
        <v>Metzneria metzneriella (Stainton, 1851)</v>
      </c>
      <c r="AH14569" s="4" t="str">
        <f>HYPERLINK("#Statut_biogéographique!A"&amp;_xlfn.XMATCH("P",Statut_biogéographique!A:A,2,1),"P")</f>
        <v>P</v>
      </c>
      <c r="AP14569" s="4" t="s">
        <v>376</v>
      </c>
      <c r="AR14569" s="4" t="s">
        <v>377</v>
      </c>
    </row>
    <row r="14570" spans="1:44" ht="30">
      <c r="A14570" s="4" t="s">
        <v>10753</v>
      </c>
      <c r="B14570" s="4">
        <v>246744</v>
      </c>
      <c r="D14570" s="5" t="s">
        <v>17176</v>
      </c>
      <c r="E14570" s="6" t="str">
        <f>HYPERLINK("https://inpn.mnhn.fr/espece/cd_nom/246744","Isophrictis striatella (Denis &amp; Schiffermüller, 1775)")</f>
        <v>Isophrictis striatella (Denis &amp; Schiffermüller, 1775)</v>
      </c>
      <c r="AH14570" s="4" t="str">
        <f>HYPERLINK("#Statut_biogéographique!A"&amp;_xlfn.XMATCH("P",Statut_biogéographique!A:A,2,1),"P")</f>
        <v>P</v>
      </c>
      <c r="AP14570" s="4" t="s">
        <v>376</v>
      </c>
      <c r="AR14570" s="4" t="s">
        <v>377</v>
      </c>
    </row>
    <row r="14571" spans="1:44">
      <c r="A14571" s="4" t="s">
        <v>10753</v>
      </c>
      <c r="B14571" s="4">
        <v>246747</v>
      </c>
      <c r="D14571" s="5" t="s">
        <v>17177</v>
      </c>
      <c r="E14571" s="6" t="str">
        <f>HYPERLINK("https://inpn.mnhn.fr/espece/cd_nom/246747","Isophrictis anthemidella (Wocke, 1871)")</f>
        <v>Isophrictis anthemidella (Wocke, 1871)</v>
      </c>
      <c r="AH14571" s="4" t="str">
        <f>HYPERLINK("#Statut_biogéographique!A"&amp;_xlfn.XMATCH("P",Statut_biogéographique!A:A,2,1),"P")</f>
        <v>P</v>
      </c>
      <c r="AP14571" s="4" t="s">
        <v>376</v>
      </c>
      <c r="AR14571" s="4" t="s">
        <v>377</v>
      </c>
    </row>
    <row r="14572" spans="1:44">
      <c r="A14572" s="4" t="s">
        <v>10753</v>
      </c>
      <c r="B14572" s="4">
        <v>246755</v>
      </c>
      <c r="D14572" s="5" t="s">
        <v>17178</v>
      </c>
      <c r="E14572" s="6" t="str">
        <f>HYPERLINK("https://inpn.mnhn.fr/espece/cd_nom/246755","Aristotelia decurtella (Hübner, 1813)")</f>
        <v>Aristotelia decurtella (Hübner, 1813)</v>
      </c>
      <c r="AH14572" s="4" t="str">
        <f>HYPERLINK("#Statut_biogéographique!A"&amp;_xlfn.XMATCH("P",Statut_biogéographique!A:A,2,1),"P")</f>
        <v>P</v>
      </c>
      <c r="AP14572" s="4" t="s">
        <v>376</v>
      </c>
      <c r="AR14572" s="4" t="s">
        <v>377</v>
      </c>
    </row>
    <row r="14573" spans="1:44">
      <c r="A14573" s="4" t="s">
        <v>10753</v>
      </c>
      <c r="B14573" s="4">
        <v>246756</v>
      </c>
      <c r="D14573" s="5" t="s">
        <v>17179</v>
      </c>
      <c r="E14573" s="6" t="str">
        <f>HYPERLINK("https://inpn.mnhn.fr/espece/cd_nom/246756","Aristotelia decoratella (Staudinger, 1879)")</f>
        <v>Aristotelia decoratella (Staudinger, 1879)</v>
      </c>
      <c r="AH14573" s="4" t="str">
        <f>HYPERLINK("#Statut_biogéographique!A"&amp;_xlfn.XMATCH("P",Statut_biogéographique!A:A,2,1),"P")</f>
        <v>P</v>
      </c>
      <c r="AP14573" s="4" t="s">
        <v>376</v>
      </c>
      <c r="AR14573" s="4" t="s">
        <v>377</v>
      </c>
    </row>
    <row r="14574" spans="1:44">
      <c r="A14574" s="4" t="s">
        <v>10753</v>
      </c>
      <c r="B14574" s="4">
        <v>246778</v>
      </c>
      <c r="D14574" s="5" t="s">
        <v>17180</v>
      </c>
      <c r="E14574" s="6" t="str">
        <f>HYPERLINK("https://inpn.mnhn.fr/espece/cd_nom/246778","Altenia scriptella (Hübner, 1796)")</f>
        <v>Altenia scriptella (Hübner, 1796)</v>
      </c>
      <c r="AH14574" s="4" t="str">
        <f>HYPERLINK("#Statut_biogéographique!A"&amp;_xlfn.XMATCH("P",Statut_biogéographique!A:A,2,1),"P")</f>
        <v>P</v>
      </c>
      <c r="AP14574" s="4" t="s">
        <v>376</v>
      </c>
      <c r="AR14574" s="4" t="s">
        <v>377</v>
      </c>
    </row>
    <row r="14575" spans="1:44">
      <c r="A14575" s="4" t="s">
        <v>10753</v>
      </c>
      <c r="B14575" s="4">
        <v>246781</v>
      </c>
      <c r="D14575" s="5" t="s">
        <v>17181</v>
      </c>
      <c r="E14575" s="6" t="str">
        <f>HYPERLINK("https://inpn.mnhn.fr/espece/cd_nom/246781","Pseudotelphusa scalella (Scopoli, 1763)")</f>
        <v>Pseudotelphusa scalella (Scopoli, 1763)</v>
      </c>
      <c r="AH14575" s="4" t="str">
        <f>HYPERLINK("#Statut_biogéographique!A"&amp;_xlfn.XMATCH("P",Statut_biogéographique!A:A,2,1),"P")</f>
        <v>P</v>
      </c>
      <c r="AP14575" s="4" t="s">
        <v>376</v>
      </c>
      <c r="AR14575" s="4" t="s">
        <v>377</v>
      </c>
    </row>
    <row r="14576" spans="1:44" ht="30">
      <c r="A14576" s="4" t="s">
        <v>10753</v>
      </c>
      <c r="B14576" s="4">
        <v>246783</v>
      </c>
      <c r="D14576" s="5" t="s">
        <v>17182</v>
      </c>
      <c r="E14576" s="6" t="str">
        <f>HYPERLINK("https://inpn.mnhn.fr/espece/cd_nom/246783","Pseudotelphusa paripunctella (Thunberg, 1794)")</f>
        <v>Pseudotelphusa paripunctella (Thunberg, 1794)</v>
      </c>
      <c r="AH14576" s="4" t="str">
        <f>HYPERLINK("#Statut_biogéographique!A"&amp;_xlfn.XMATCH("P",Statut_biogéographique!A:A,2,1),"P")</f>
        <v>P</v>
      </c>
      <c r="AP14576" s="4" t="s">
        <v>376</v>
      </c>
      <c r="AR14576" s="4" t="s">
        <v>377</v>
      </c>
    </row>
    <row r="14577" spans="1:44" ht="30">
      <c r="A14577" s="4" t="s">
        <v>10753</v>
      </c>
      <c r="B14577" s="4">
        <v>246784</v>
      </c>
      <c r="D14577" s="5" t="s">
        <v>17183</v>
      </c>
      <c r="E14577" s="6" t="str">
        <f>HYPERLINK("https://inpn.mnhn.fr/espece/cd_nom/246784","Pseudotelphusa tessella (Linnaeus, 1758)")</f>
        <v>Pseudotelphusa tessella (Linnaeus, 1758)</v>
      </c>
      <c r="AH14577" s="4" t="str">
        <f>HYPERLINK("#Statut_biogéographique!A"&amp;_xlfn.XMATCH("P",Statut_biogéographique!A:A,2,1),"P")</f>
        <v>P</v>
      </c>
      <c r="AP14577" s="4" t="s">
        <v>376</v>
      </c>
      <c r="AR14577" s="4" t="s">
        <v>377</v>
      </c>
    </row>
    <row r="14578" spans="1:44">
      <c r="A14578" s="4" t="s">
        <v>10753</v>
      </c>
      <c r="B14578" s="4">
        <v>246787</v>
      </c>
      <c r="D14578" s="5" t="s">
        <v>17184</v>
      </c>
      <c r="E14578" s="6" t="str">
        <f>HYPERLINK("https://inpn.mnhn.fr/espece/cd_nom/246787","Carpatolechia fugitivella (Zeller, 1839)")</f>
        <v>Carpatolechia fugitivella (Zeller, 1839)</v>
      </c>
      <c r="AH14578" s="4" t="str">
        <f>HYPERLINK("#Statut_biogéographique!A"&amp;_xlfn.XMATCH("P",Statut_biogéographique!A:A,2,1),"P")</f>
        <v>P</v>
      </c>
      <c r="AP14578" s="4" t="s">
        <v>376</v>
      </c>
      <c r="AR14578" s="4" t="s">
        <v>377</v>
      </c>
    </row>
    <row r="14579" spans="1:44">
      <c r="A14579" s="4" t="s">
        <v>10753</v>
      </c>
      <c r="B14579" s="4">
        <v>246792</v>
      </c>
      <c r="D14579" s="5" t="s">
        <v>17185</v>
      </c>
      <c r="E14579" s="6" t="str">
        <f>HYPERLINK("https://inpn.mnhn.fr/espece/cd_nom/246792","Teleiopsis diffinis (Haworth, 1828)")</f>
        <v>Teleiopsis diffinis (Haworth, 1828)</v>
      </c>
      <c r="AH14579" s="4" t="str">
        <f>HYPERLINK("#Statut_biogéographique!A"&amp;_xlfn.XMATCH("P",Statut_biogéographique!A:A,2,1),"P")</f>
        <v>P</v>
      </c>
      <c r="AP14579" s="4" t="s">
        <v>376</v>
      </c>
      <c r="AR14579" s="4" t="s">
        <v>377</v>
      </c>
    </row>
    <row r="14580" spans="1:44" ht="30">
      <c r="A14580" s="4" t="s">
        <v>10753</v>
      </c>
      <c r="B14580" s="4">
        <v>246796</v>
      </c>
      <c r="D14580" s="5" t="s">
        <v>17186</v>
      </c>
      <c r="E14580" s="6" t="str">
        <f>HYPERLINK("https://inpn.mnhn.fr/espece/cd_nom/246796","Teleiodes vulgella (Denis &amp; Schiffermüller, 1775)")</f>
        <v>Teleiodes vulgella (Denis &amp; Schiffermüller, 1775)</v>
      </c>
      <c r="AH14580" s="4" t="str">
        <f>HYPERLINK("#Statut_biogéographique!A"&amp;_xlfn.XMATCH("P",Statut_biogéographique!A:A,2,1),"P")</f>
        <v>P</v>
      </c>
      <c r="AP14580" s="4" t="s">
        <v>376</v>
      </c>
      <c r="AR14580" s="4" t="s">
        <v>377</v>
      </c>
    </row>
    <row r="14581" spans="1:44">
      <c r="A14581" s="4" t="s">
        <v>10753</v>
      </c>
      <c r="B14581" s="4">
        <v>246800</v>
      </c>
      <c r="D14581" s="5" t="s">
        <v>17187</v>
      </c>
      <c r="E14581" s="6" t="str">
        <f>HYPERLINK("https://inpn.mnhn.fr/espece/cd_nom/246800","Teleiodes luculella (Hübner, 1813)")</f>
        <v>Teleiodes luculella (Hübner, 1813)</v>
      </c>
      <c r="AH14581" s="4" t="str">
        <f>HYPERLINK("#Statut_biogéographique!A"&amp;_xlfn.XMATCH("P",Statut_biogéographique!A:A,2,1),"P")</f>
        <v>P</v>
      </c>
      <c r="AP14581" s="4" t="s">
        <v>376</v>
      </c>
      <c r="AR14581" s="4" t="s">
        <v>377</v>
      </c>
    </row>
    <row r="14582" spans="1:44">
      <c r="A14582" s="4" t="s">
        <v>10753</v>
      </c>
      <c r="B14582" s="4">
        <v>246804</v>
      </c>
      <c r="D14582" s="5" t="s">
        <v>17188</v>
      </c>
      <c r="E14582" s="6" t="str">
        <f>HYPERLINK("https://inpn.mnhn.fr/espece/cd_nom/246804","Parachronistis albiceps (Zeller, 1839)")</f>
        <v>Parachronistis albiceps (Zeller, 1839)</v>
      </c>
      <c r="AH14582" s="4" t="str">
        <f>HYPERLINK("#Statut_biogéographique!A"&amp;_xlfn.XMATCH("P",Statut_biogéographique!A:A,2,1),"P")</f>
        <v>P</v>
      </c>
      <c r="AP14582" s="4" t="s">
        <v>376</v>
      </c>
      <c r="AR14582" s="4" t="s">
        <v>377</v>
      </c>
    </row>
    <row r="14583" spans="1:44">
      <c r="A14583" s="4" t="s">
        <v>10753</v>
      </c>
      <c r="B14583" s="4">
        <v>246807</v>
      </c>
      <c r="D14583" s="5" t="s">
        <v>17189</v>
      </c>
      <c r="E14583" s="6" t="str">
        <f>HYPERLINK("https://inpn.mnhn.fr/espece/cd_nom/246807","Stenolechia gemmella (Linnaeus, 1758)")</f>
        <v>Stenolechia gemmella (Linnaeus, 1758)</v>
      </c>
      <c r="AH14583" s="4" t="str">
        <f>HYPERLINK("#Statut_biogéographique!A"&amp;_xlfn.XMATCH("P",Statut_biogéographique!A:A,2,1),"P")</f>
        <v>P</v>
      </c>
      <c r="AP14583" s="4" t="s">
        <v>376</v>
      </c>
      <c r="AR14583" s="4" t="s">
        <v>377</v>
      </c>
    </row>
    <row r="14584" spans="1:44">
      <c r="A14584" s="4" t="s">
        <v>10753</v>
      </c>
      <c r="B14584" s="4">
        <v>24681</v>
      </c>
      <c r="D14584" s="5" t="s">
        <v>17190</v>
      </c>
      <c r="E14584" s="6" t="str">
        <f>HYPERLINK("https://inpn.mnhn.fr/espece/cd_nom/24681","Acinia corniculata (Zetterstedt, 1819)")</f>
        <v>Acinia corniculata (Zetterstedt, 1819)</v>
      </c>
      <c r="AH14584" s="4" t="str">
        <f>HYPERLINK("#Statut_biogéographique!A"&amp;_xlfn.XMATCH("P",Statut_biogéographique!A:A,2,1),"P")</f>
        <v>P</v>
      </c>
      <c r="AP14584" s="4" t="s">
        <v>376</v>
      </c>
      <c r="AR14584" s="4" t="s">
        <v>377</v>
      </c>
    </row>
    <row r="14585" spans="1:44" ht="30">
      <c r="A14585" s="4" t="s">
        <v>10753</v>
      </c>
      <c r="B14585" s="4">
        <v>246811</v>
      </c>
      <c r="D14585" s="5" t="s">
        <v>17191</v>
      </c>
      <c r="E14585" s="6" t="str">
        <f>HYPERLINK("https://inpn.mnhn.fr/espece/cd_nom/246811","Recurvaria nanella (Denis &amp; Schiffermüller, 1775)")</f>
        <v>Recurvaria nanella (Denis &amp; Schiffermüller, 1775)</v>
      </c>
      <c r="AH14585" s="4" t="str">
        <f>HYPERLINK("#Statut_biogéographique!A"&amp;_xlfn.XMATCH("P",Statut_biogéographique!A:A,2,1),"P")</f>
        <v>P</v>
      </c>
      <c r="AP14585" s="4" t="s">
        <v>376</v>
      </c>
      <c r="AR14585" s="4" t="s">
        <v>377</v>
      </c>
    </row>
    <row r="14586" spans="1:44">
      <c r="A14586" s="4" t="s">
        <v>10753</v>
      </c>
      <c r="B14586" s="4">
        <v>246812</v>
      </c>
      <c r="D14586" s="5" t="s">
        <v>17192</v>
      </c>
      <c r="E14586" s="6" t="str">
        <f>HYPERLINK("https://inpn.mnhn.fr/espece/cd_nom/246812","Recurvaria leucatella (Clerck, 1759)")</f>
        <v>Recurvaria leucatella (Clerck, 1759)</v>
      </c>
      <c r="AH14586" s="4" t="str">
        <f>HYPERLINK("#Statut_biogéographique!A"&amp;_xlfn.XMATCH("P",Statut_biogéographique!A:A,2,1),"P")</f>
        <v>P</v>
      </c>
      <c r="AP14586" s="4" t="s">
        <v>376</v>
      </c>
      <c r="AR14586" s="4" t="s">
        <v>377</v>
      </c>
    </row>
    <row r="14587" spans="1:44">
      <c r="A14587" s="4" t="s">
        <v>10753</v>
      </c>
      <c r="B14587" s="4">
        <v>246817</v>
      </c>
      <c r="D14587" s="5" t="s">
        <v>17193</v>
      </c>
      <c r="E14587" s="6" t="str">
        <f>HYPERLINK("https://inpn.mnhn.fr/espece/cd_nom/246817","Athrips mouffetella (Linnaeus, 1758)")</f>
        <v>Athrips mouffetella (Linnaeus, 1758)</v>
      </c>
      <c r="AH14587" s="4" t="str">
        <f>HYPERLINK("#Statut_biogéographique!A"&amp;_xlfn.XMATCH("P",Statut_biogéographique!A:A,2,1),"P")</f>
        <v>P</v>
      </c>
      <c r="AP14587" s="4" t="s">
        <v>376</v>
      </c>
      <c r="AR14587" s="4" t="s">
        <v>377</v>
      </c>
    </row>
    <row r="14588" spans="1:44">
      <c r="A14588" s="4" t="s">
        <v>10753</v>
      </c>
      <c r="B14588" s="4">
        <v>246824</v>
      </c>
      <c r="D14588" s="5" t="s">
        <v>17194</v>
      </c>
      <c r="E14588" s="6" t="str">
        <f>HYPERLINK("https://inpn.mnhn.fr/espece/cd_nom/246824","Prolita solutella (Zeller, 1839)")</f>
        <v>Prolita solutella (Zeller, 1839)</v>
      </c>
      <c r="AH14588" s="4" t="str">
        <f>HYPERLINK("#Statut_biogéographique!A"&amp;_xlfn.XMATCH("P",Statut_biogéographique!A:A,2,1),"P")</f>
        <v>P</v>
      </c>
      <c r="AP14588" s="4" t="s">
        <v>376</v>
      </c>
      <c r="AR14588" s="4" t="s">
        <v>377</v>
      </c>
    </row>
    <row r="14589" spans="1:44">
      <c r="A14589" s="4" t="s">
        <v>10753</v>
      </c>
      <c r="B14589" s="4">
        <v>246843</v>
      </c>
      <c r="D14589" s="5" t="s">
        <v>17195</v>
      </c>
      <c r="E14589" s="6" t="str">
        <f>HYPERLINK("https://inpn.mnhn.fr/espece/cd_nom/246843","Chionodes electella (Zeller, 1839)")</f>
        <v>Chionodes electella (Zeller, 1839)</v>
      </c>
      <c r="AH14589" s="4" t="str">
        <f>HYPERLINK("#Statut_biogéographique!A"&amp;_xlfn.XMATCH("P",Statut_biogéographique!A:A,2,1),"P")</f>
        <v>P</v>
      </c>
      <c r="AP14589" s="4" t="s">
        <v>376</v>
      </c>
      <c r="AR14589" s="4" t="s">
        <v>377</v>
      </c>
    </row>
    <row r="14590" spans="1:44" ht="30">
      <c r="A14590" s="4" t="s">
        <v>10753</v>
      </c>
      <c r="B14590" s="4">
        <v>246850</v>
      </c>
      <c r="D14590" s="5" t="s">
        <v>17196</v>
      </c>
      <c r="E14590" s="6" t="str">
        <f>HYPERLINK("https://inpn.mnhn.fr/espece/cd_nom/246850","Sophronia humerella (Denis &amp; Schiffermüller, 1775)")</f>
        <v>Sophronia humerella (Denis &amp; Schiffermüller, 1775)</v>
      </c>
      <c r="AH14590" s="4" t="str">
        <f>HYPERLINK("#Statut_biogéographique!A"&amp;_xlfn.XMATCH("P",Statut_biogéographique!A:A,2,1),"P")</f>
        <v>P</v>
      </c>
      <c r="AP14590" s="4" t="s">
        <v>376</v>
      </c>
      <c r="AR14590" s="4" t="s">
        <v>377</v>
      </c>
    </row>
    <row r="14591" spans="1:44">
      <c r="A14591" s="4" t="s">
        <v>10753</v>
      </c>
      <c r="B14591" s="4">
        <v>246853</v>
      </c>
      <c r="D14591" s="5" t="s">
        <v>17197</v>
      </c>
      <c r="E14591" s="6" t="str">
        <f>HYPERLINK("https://inpn.mnhn.fr/espece/cd_nom/246853","Mirificarma maculatella (Hübner, 1796)")</f>
        <v>Mirificarma maculatella (Hübner, 1796)</v>
      </c>
      <c r="AH14591" s="4" t="str">
        <f>HYPERLINK("#Statut_biogéographique!A"&amp;_xlfn.XMATCH("P",Statut_biogéographique!A:A,2,1),"P")</f>
        <v>P</v>
      </c>
      <c r="AP14591" s="4" t="s">
        <v>376</v>
      </c>
      <c r="AR14591" s="4" t="s">
        <v>377</v>
      </c>
    </row>
    <row r="14592" spans="1:44">
      <c r="A14592" s="4" t="s">
        <v>10753</v>
      </c>
      <c r="B14592" s="4">
        <v>246854</v>
      </c>
      <c r="D14592" s="5" t="s">
        <v>17198</v>
      </c>
      <c r="E14592" s="6" t="str">
        <f>HYPERLINK("https://inpn.mnhn.fr/espece/cd_nom/246854","Mirificarma flavella (Duponchel, 1844)")</f>
        <v>Mirificarma flavella (Duponchel, 1844)</v>
      </c>
      <c r="AH14592" s="4" t="str">
        <f>HYPERLINK("#Statut_biogéographique!A"&amp;_xlfn.XMATCH("P",Statut_biogéographique!A:A,2,1),"P")</f>
        <v>P</v>
      </c>
      <c r="AP14592" s="4" t="s">
        <v>376</v>
      </c>
      <c r="AR14592" s="4" t="s">
        <v>377</v>
      </c>
    </row>
    <row r="14593" spans="1:44">
      <c r="A14593" s="4" t="s">
        <v>10753</v>
      </c>
      <c r="B14593" s="4">
        <v>246861</v>
      </c>
      <c r="D14593" s="5" t="s">
        <v>17199</v>
      </c>
      <c r="E14593" s="6" t="str">
        <f>HYPERLINK("https://inpn.mnhn.fr/espece/cd_nom/246861","Mirificarma mulinella (Zeller, 1839)")</f>
        <v>Mirificarma mulinella (Zeller, 1839)</v>
      </c>
      <c r="AH14593" s="4" t="str">
        <f>HYPERLINK("#Statut_biogéographique!A"&amp;_xlfn.XMATCH("P",Statut_biogéographique!A:A,2,1),"P")</f>
        <v>P</v>
      </c>
      <c r="AP14593" s="4" t="s">
        <v>376</v>
      </c>
      <c r="AR14593" s="4" t="s">
        <v>377</v>
      </c>
    </row>
    <row r="14594" spans="1:44">
      <c r="A14594" s="4" t="s">
        <v>10753</v>
      </c>
      <c r="B14594" s="4">
        <v>246862</v>
      </c>
      <c r="D14594" s="5" t="s">
        <v>17200</v>
      </c>
      <c r="E14594" s="6" t="str">
        <f>HYPERLINK("https://inpn.mnhn.fr/espece/cd_nom/246862","Psoricoptera gibbosella (Zeller, 1839)")</f>
        <v>Psoricoptera gibbosella (Zeller, 1839)</v>
      </c>
      <c r="AH14594" s="4" t="str">
        <f>HYPERLINK("#Statut_biogéographique!A"&amp;_xlfn.XMATCH("P",Statut_biogéographique!A:A,2,1),"P")</f>
        <v>P</v>
      </c>
      <c r="AP14594" s="4" t="s">
        <v>376</v>
      </c>
      <c r="AR14594" s="4" t="s">
        <v>377</v>
      </c>
    </row>
    <row r="14595" spans="1:44" ht="30">
      <c r="A14595" s="4" t="s">
        <v>10753</v>
      </c>
      <c r="B14595" s="4">
        <v>246864</v>
      </c>
      <c r="D14595" s="5" t="s">
        <v>17201</v>
      </c>
      <c r="E14595" s="6" t="str">
        <f>HYPERLINK("https://inpn.mnhn.fr/espece/cd_nom/246864","Gelechia rhombella (Denis &amp; Schiffermüller, 1775)")</f>
        <v>Gelechia rhombella (Denis &amp; Schiffermüller, 1775)</v>
      </c>
      <c r="AH14595" s="4" t="str">
        <f>HYPERLINK("#Statut_biogéographique!A"&amp;_xlfn.XMATCH("P",Statut_biogéographique!A:A,2,1),"P")</f>
        <v>P</v>
      </c>
      <c r="AP14595" s="4" t="s">
        <v>376</v>
      </c>
      <c r="AR14595" s="4" t="s">
        <v>377</v>
      </c>
    </row>
    <row r="14596" spans="1:44">
      <c r="A14596" s="4" t="s">
        <v>10753</v>
      </c>
      <c r="B14596" s="4">
        <v>246866</v>
      </c>
      <c r="D14596" s="5" t="s">
        <v>17202</v>
      </c>
      <c r="E14596" s="6" t="str">
        <f>HYPERLINK("https://inpn.mnhn.fr/espece/cd_nom/246866","Gelechia senticetella (Staudinger, 1859)")</f>
        <v>Gelechia senticetella (Staudinger, 1859)</v>
      </c>
      <c r="AH14596" s="4" t="str">
        <f>HYPERLINK("#Statut_biogéographique!A"&amp;_xlfn.XMATCH("P",Statut_biogéographique!A:A,2,1),"P")</f>
        <v>P</v>
      </c>
      <c r="AP14596" s="4" t="s">
        <v>376</v>
      </c>
      <c r="AR14596" s="4" t="s">
        <v>377</v>
      </c>
    </row>
    <row r="14597" spans="1:44">
      <c r="A14597" s="4" t="s">
        <v>10753</v>
      </c>
      <c r="B14597" s="4">
        <v>246870</v>
      </c>
      <c r="D14597" s="5">
        <v>246870</v>
      </c>
      <c r="E14597" s="6" t="str">
        <f>HYPERLINK("https://inpn.mnhn.fr/espece/cd_nom/246870","Gelechia muscosella Zeller, 1839")</f>
        <v>Gelechia muscosella Zeller, 1839</v>
      </c>
      <c r="AH14597" s="4" t="str">
        <f>HYPERLINK("#Statut_biogéographique!A"&amp;_xlfn.XMATCH("P",Statut_biogéographique!A:A,2,1),"P")</f>
        <v>P</v>
      </c>
      <c r="AP14597" s="4" t="s">
        <v>376</v>
      </c>
      <c r="AR14597" s="4" t="s">
        <v>377</v>
      </c>
    </row>
    <row r="14598" spans="1:44">
      <c r="A14598" s="4" t="s">
        <v>10753</v>
      </c>
      <c r="B14598" s="4">
        <v>246875</v>
      </c>
      <c r="D14598" s="5" t="s">
        <v>17203</v>
      </c>
      <c r="E14598" s="6" t="str">
        <f>HYPERLINK("https://inpn.mnhn.fr/espece/cd_nom/246875","Gelechia nigra (Haworth, 1828)")</f>
        <v>Gelechia nigra (Haworth, 1828)</v>
      </c>
      <c r="AH14598" s="4" t="str">
        <f>HYPERLINK("#Statut_biogéographique!A"&amp;_xlfn.XMATCH("P",Statut_biogéographique!A:A,2,1),"P")</f>
        <v>P</v>
      </c>
      <c r="AP14598" s="4" t="s">
        <v>376</v>
      </c>
      <c r="AR14598" s="4" t="s">
        <v>377</v>
      </c>
    </row>
    <row r="14599" spans="1:44" ht="30">
      <c r="A14599" s="4" t="s">
        <v>10753</v>
      </c>
      <c r="B14599" s="4">
        <v>246876</v>
      </c>
      <c r="D14599" s="5" t="s">
        <v>17204</v>
      </c>
      <c r="E14599" s="6" t="str">
        <f>HYPERLINK("https://inpn.mnhn.fr/espece/cd_nom/246876","Gelechia turpella (Denis &amp; Schiffermüller, 1775)")</f>
        <v>Gelechia turpella (Denis &amp; Schiffermüller, 1775)</v>
      </c>
      <c r="AH14599" s="4" t="str">
        <f>HYPERLINK("#Statut_biogéographique!A"&amp;_xlfn.XMATCH("P",Statut_biogéographique!A:A,2,1),"P")</f>
        <v>P</v>
      </c>
      <c r="AP14599" s="4" t="s">
        <v>376</v>
      </c>
      <c r="AR14599" s="4" t="s">
        <v>377</v>
      </c>
    </row>
    <row r="14600" spans="1:44" ht="30">
      <c r="A14600" s="4" t="s">
        <v>10753</v>
      </c>
      <c r="B14600" s="4">
        <v>24688</v>
      </c>
      <c r="D14600" s="5" t="s">
        <v>17205</v>
      </c>
      <c r="E14600" s="6" t="str">
        <f>HYPERLINK("https://inpn.mnhn.fr/espece/cd_nom/24688","Chaetorellia jaceae (Robineau-Desvoidy, 1830)")</f>
        <v>Chaetorellia jaceae (Robineau-Desvoidy, 1830)</v>
      </c>
      <c r="AH14600" s="4" t="str">
        <f>HYPERLINK("#Statut_biogéographique!A"&amp;_xlfn.XMATCH("P",Statut_biogéographique!A:A,2,1),"P")</f>
        <v>P</v>
      </c>
      <c r="AP14600" s="4" t="s">
        <v>376</v>
      </c>
      <c r="AR14600" s="4" t="s">
        <v>377</v>
      </c>
    </row>
    <row r="14601" spans="1:44">
      <c r="A14601" s="4" t="s">
        <v>10753</v>
      </c>
      <c r="B14601" s="4">
        <v>246957</v>
      </c>
      <c r="D14601" s="5" t="s">
        <v>17206</v>
      </c>
      <c r="E14601" s="6" t="str">
        <f>HYPERLINK("https://inpn.mnhn.fr/espece/cd_nom/246957","Scrobipalpa nitentella (Fuchs, 1902)")</f>
        <v>Scrobipalpa nitentella (Fuchs, 1902)</v>
      </c>
      <c r="AH14601" s="4" t="str">
        <f>HYPERLINK("#Statut_biogéographique!A"&amp;_xlfn.XMATCH("P",Statut_biogéographique!A:A,2,1),"P")</f>
        <v>P</v>
      </c>
      <c r="AP14601" s="4" t="s">
        <v>376</v>
      </c>
      <c r="AR14601" s="4" t="s">
        <v>377</v>
      </c>
    </row>
    <row r="14602" spans="1:44" ht="45">
      <c r="A14602" s="4" t="s">
        <v>10753</v>
      </c>
      <c r="B14602" s="4">
        <v>24696</v>
      </c>
      <c r="D14602" s="5" t="s">
        <v>17207</v>
      </c>
      <c r="E14602" s="6" t="str">
        <f>HYPERLINK("https://inpn.mnhn.fr/espece/cd_nom/24696","Ensina sonchi (Linnaeus, 1767)")</f>
        <v>Ensina sonchi (Linnaeus, 1767)</v>
      </c>
      <c r="AH14602" s="4" t="str">
        <f>HYPERLINK("#Statut_biogéographique!A"&amp;_xlfn.XMATCH("P",Statut_biogéographique!A:A,2,1),"P")</f>
        <v>P</v>
      </c>
      <c r="AP14602" s="4" t="s">
        <v>376</v>
      </c>
      <c r="AR14602" s="4" t="s">
        <v>377</v>
      </c>
    </row>
    <row r="14603" spans="1:44">
      <c r="A14603" s="4" t="s">
        <v>10753</v>
      </c>
      <c r="B14603" s="4">
        <v>246987</v>
      </c>
      <c r="D14603" s="5" t="s">
        <v>17208</v>
      </c>
      <c r="E14603" s="6" t="str">
        <f>HYPERLINK("https://inpn.mnhn.fr/espece/cd_nom/246987","Mesophleps silacella (Hübner, 1796)")</f>
        <v>Mesophleps silacella (Hübner, 1796)</v>
      </c>
      <c r="AH14603" s="4" t="str">
        <f>HYPERLINK("#Statut_biogéographique!A"&amp;_xlfn.XMATCH("P",Statut_biogéographique!A:A,2,1),"P")</f>
        <v>P</v>
      </c>
      <c r="AP14603" s="4" t="s">
        <v>376</v>
      </c>
      <c r="AR14603" s="4" t="s">
        <v>377</v>
      </c>
    </row>
    <row r="14604" spans="1:44">
      <c r="A14604" s="4" t="s">
        <v>10753</v>
      </c>
      <c r="B14604" s="4">
        <v>246989</v>
      </c>
      <c r="D14604" s="5" t="s">
        <v>17209</v>
      </c>
      <c r="E14604" s="6" t="str">
        <f>HYPERLINK("https://inpn.mnhn.fr/espece/cd_nom/246989","Anacampsis populella (Clerck, 1759)")</f>
        <v>Anacampsis populella (Clerck, 1759)</v>
      </c>
      <c r="AH14604" s="4" t="str">
        <f>HYPERLINK("#Statut_biogéographique!A"&amp;_xlfn.XMATCH("P",Statut_biogéographique!A:A,2,1),"P")</f>
        <v>P</v>
      </c>
      <c r="AP14604" s="4" t="s">
        <v>376</v>
      </c>
      <c r="AR14604" s="4" t="s">
        <v>377</v>
      </c>
    </row>
    <row r="14605" spans="1:44">
      <c r="A14605" s="4" t="s">
        <v>10753</v>
      </c>
      <c r="B14605" s="4">
        <v>246990</v>
      </c>
      <c r="D14605" s="5" t="s">
        <v>17210</v>
      </c>
      <c r="E14605" s="6" t="str">
        <f>HYPERLINK("https://inpn.mnhn.fr/espece/cd_nom/246990","Anacampsis blattariella (Hübner, 1796)")</f>
        <v>Anacampsis blattariella (Hübner, 1796)</v>
      </c>
      <c r="AH14605" s="4" t="str">
        <f>HYPERLINK("#Statut_biogéographique!A"&amp;_xlfn.XMATCH("P",Statut_biogéographique!A:A,2,1),"P")</f>
        <v>P</v>
      </c>
      <c r="AP14605" s="4" t="s">
        <v>376</v>
      </c>
      <c r="AR14605" s="4" t="s">
        <v>377</v>
      </c>
    </row>
    <row r="14606" spans="1:44">
      <c r="A14606" s="4" t="s">
        <v>10753</v>
      </c>
      <c r="B14606" s="4">
        <v>246997</v>
      </c>
      <c r="D14606" s="5" t="s">
        <v>17211</v>
      </c>
      <c r="E14606" s="6" t="str">
        <f>HYPERLINK("https://inpn.mnhn.fr/espece/cd_nom/246997","Iwaruna biguttella (Duponchel, 1843)")</f>
        <v>Iwaruna biguttella (Duponchel, 1843)</v>
      </c>
      <c r="AH14606" s="4" t="str">
        <f>HYPERLINK("#Statut_biogéographique!A"&amp;_xlfn.XMATCH("P",Statut_biogéographique!A:A,2,1),"P")</f>
        <v>P</v>
      </c>
      <c r="AP14606" s="4" t="s">
        <v>376</v>
      </c>
      <c r="AR14606" s="4" t="s">
        <v>377</v>
      </c>
    </row>
    <row r="14607" spans="1:44" ht="30">
      <c r="A14607" s="4" t="s">
        <v>10753</v>
      </c>
      <c r="B14607" s="4">
        <v>246999</v>
      </c>
      <c r="D14607" s="5" t="s">
        <v>17212</v>
      </c>
      <c r="E14607" s="6" t="str">
        <f>HYPERLINK("https://inpn.mnhn.fr/espece/cd_nom/246999","Aproaerema anthyllidella (Hübner, 1813)")</f>
        <v>Aproaerema anthyllidella (Hübner, 1813)</v>
      </c>
      <c r="AH14607" s="4" t="str">
        <f>HYPERLINK("#Statut_biogéographique!A"&amp;_xlfn.XMATCH("P",Statut_biogéographique!A:A,2,1),"P")</f>
        <v>P</v>
      </c>
      <c r="AP14607" s="4" t="s">
        <v>376</v>
      </c>
      <c r="AR14607" s="4" t="s">
        <v>377</v>
      </c>
    </row>
    <row r="14608" spans="1:44" ht="30">
      <c r="A14608" s="4" t="s">
        <v>10753</v>
      </c>
      <c r="B14608" s="4">
        <v>247019</v>
      </c>
      <c r="D14608" s="5" t="s">
        <v>17213</v>
      </c>
      <c r="E14608" s="6" t="str">
        <f>HYPERLINK("https://inpn.mnhn.fr/espece/cd_nom/247019","Neofaculta ericetella (Geyer, 1832)")</f>
        <v>Neofaculta ericetella (Geyer, 1832)</v>
      </c>
      <c r="AH14608" s="4" t="str">
        <f>HYPERLINK("#Statut_biogéographique!A"&amp;_xlfn.XMATCH("P",Statut_biogéographique!A:A,2,1),"P")</f>
        <v>P</v>
      </c>
      <c r="AP14608" s="4" t="s">
        <v>376</v>
      </c>
      <c r="AR14608" s="4" t="s">
        <v>377</v>
      </c>
    </row>
    <row r="14609" spans="1:44">
      <c r="A14609" s="4" t="s">
        <v>10753</v>
      </c>
      <c r="B14609" s="4">
        <v>247020</v>
      </c>
      <c r="D14609" s="5" t="s">
        <v>17214</v>
      </c>
      <c r="E14609" s="6" t="str">
        <f>HYPERLINK("https://inpn.mnhn.fr/espece/cd_nom/247020","Neofaculta infernella (Herrich-Schäffer, 1854)")</f>
        <v>Neofaculta infernella (Herrich-Schäffer, 1854)</v>
      </c>
      <c r="AH14609" s="4" t="str">
        <f>HYPERLINK("#Statut_biogéographique!A"&amp;_xlfn.XMATCH("P",Statut_biogéographique!A:A,2,1),"P")</f>
        <v>P</v>
      </c>
      <c r="AP14609" s="4" t="s">
        <v>376</v>
      </c>
      <c r="AR14609" s="4" t="s">
        <v>377</v>
      </c>
    </row>
    <row r="14610" spans="1:44">
      <c r="A14610" s="4" t="s">
        <v>10753</v>
      </c>
      <c r="B14610" s="4">
        <v>247023</v>
      </c>
      <c r="D14610" s="5" t="s">
        <v>17215</v>
      </c>
      <c r="E14610" s="6" t="str">
        <f>HYPERLINK("https://inpn.mnhn.fr/espece/cd_nom/247023","Nothris lemniscellus (Zeller, 1839)")</f>
        <v>Nothris lemniscellus (Zeller, 1839)</v>
      </c>
      <c r="AH14610" s="4" t="str">
        <f>HYPERLINK("#Statut_biogéographique!A"&amp;_xlfn.XMATCH("P",Statut_biogéographique!A:A,2,1),"P")</f>
        <v>P</v>
      </c>
      <c r="AP14610" s="4" t="s">
        <v>376</v>
      </c>
      <c r="AR14610" s="4" t="s">
        <v>377</v>
      </c>
    </row>
    <row r="14611" spans="1:44">
      <c r="A14611" s="4" t="s">
        <v>10753</v>
      </c>
      <c r="B14611" s="4">
        <v>247024</v>
      </c>
      <c r="D14611" s="5" t="s">
        <v>17216</v>
      </c>
      <c r="E14611" s="6" t="str">
        <f>HYPERLINK("https://inpn.mnhn.fr/espece/cd_nom/247024","Hypatima rhomboidella (Linnaeus, 1758)")</f>
        <v>Hypatima rhomboidella (Linnaeus, 1758)</v>
      </c>
      <c r="AH14611" s="4" t="str">
        <f>HYPERLINK("#Statut_biogéographique!A"&amp;_xlfn.XMATCH("P",Statut_biogéographique!A:A,2,1),"P")</f>
        <v>P</v>
      </c>
      <c r="AP14611" s="4" t="s">
        <v>376</v>
      </c>
      <c r="AR14611" s="4" t="s">
        <v>377</v>
      </c>
    </row>
    <row r="14612" spans="1:44">
      <c r="A14612" s="4" t="s">
        <v>10753</v>
      </c>
      <c r="B14612" s="4">
        <v>247025</v>
      </c>
      <c r="D14612" s="5">
        <v>247025</v>
      </c>
      <c r="E14612" s="6" t="str">
        <f>HYPERLINK("https://inpn.mnhn.fr/espece/cd_nom/247025","Anarsia lineatella Zeller, 1839")</f>
        <v>Anarsia lineatella Zeller, 1839</v>
      </c>
      <c r="AH14612" s="4" t="str">
        <f>HYPERLINK("#Statut_biogéographique!A"&amp;_xlfn.XMATCH("P",Statut_biogéographique!A:A,2,1),"P")</f>
        <v>P</v>
      </c>
      <c r="AP14612" s="4" t="s">
        <v>376</v>
      </c>
      <c r="AR14612" s="4" t="s">
        <v>377</v>
      </c>
    </row>
    <row r="14613" spans="1:44" ht="45">
      <c r="A14613" s="4" t="s">
        <v>10753</v>
      </c>
      <c r="B14613" s="4">
        <v>247027</v>
      </c>
      <c r="D14613" s="5" t="s">
        <v>17217</v>
      </c>
      <c r="E14613" s="6" t="str">
        <f>HYPERLINK("https://inpn.mnhn.fr/espece/cd_nom/247027","Anarsia spartiella (Schrank, 1802)")</f>
        <v>Anarsia spartiella (Schrank, 1802)</v>
      </c>
      <c r="AH14613" s="4" t="str">
        <f>HYPERLINK("#Statut_biogéographique!A"&amp;_xlfn.XMATCH("P",Statut_biogéographique!A:A,2,1),"P")</f>
        <v>P</v>
      </c>
      <c r="AP14613" s="4" t="s">
        <v>376</v>
      </c>
      <c r="AR14613" s="4" t="s">
        <v>377</v>
      </c>
    </row>
    <row r="14614" spans="1:44" ht="30">
      <c r="A14614" s="4" t="s">
        <v>10753</v>
      </c>
      <c r="B14614" s="4">
        <v>247030</v>
      </c>
      <c r="D14614" s="5" t="s">
        <v>17218</v>
      </c>
      <c r="E14614" s="6" t="str">
        <f>HYPERLINK("https://inpn.mnhn.fr/espece/cd_nom/247030","Apoda limacodes (Hufnagel, 1766)")</f>
        <v>Apoda limacodes (Hufnagel, 1766)</v>
      </c>
      <c r="F14614" s="5" t="s">
        <v>17219</v>
      </c>
      <c r="AH14614" s="4" t="str">
        <f>HYPERLINK("#Statut_biogéographique!A"&amp;_xlfn.XMATCH("P",Statut_biogéographique!A:A,2,1),"P")</f>
        <v>P</v>
      </c>
      <c r="AP14614" s="4" t="s">
        <v>376</v>
      </c>
      <c r="AR14614" s="4" t="s">
        <v>377</v>
      </c>
    </row>
    <row r="14615" spans="1:44" ht="30">
      <c r="A14615" s="4" t="s">
        <v>10753</v>
      </c>
      <c r="B14615" s="4">
        <v>247032</v>
      </c>
      <c r="D14615" s="5" t="s">
        <v>17220</v>
      </c>
      <c r="E14615" s="6" t="str">
        <f>HYPERLINK("https://inpn.mnhn.fr/espece/cd_nom/247032","Heterogenea asella (Denis &amp; Schiffermüller, 1775)")</f>
        <v>Heterogenea asella (Denis &amp; Schiffermüller, 1775)</v>
      </c>
      <c r="F14615" s="5" t="s">
        <v>17221</v>
      </c>
      <c r="AH14615" s="4" t="str">
        <f>HYPERLINK("#Statut_biogéographique!A"&amp;_xlfn.XMATCH("P",Statut_biogéographique!A:A,2,1),"P")</f>
        <v>P</v>
      </c>
      <c r="AP14615" s="4" t="s">
        <v>376</v>
      </c>
      <c r="AR14615" s="4" t="s">
        <v>377</v>
      </c>
    </row>
    <row r="14616" spans="1:44" ht="30">
      <c r="A14616" s="4" t="s">
        <v>10753</v>
      </c>
      <c r="B14616" s="4">
        <v>247041</v>
      </c>
      <c r="D14616" s="5" t="s">
        <v>17222</v>
      </c>
      <c r="E14616" s="6" t="str">
        <f>HYPERLINK("https://inpn.mnhn.fr/espece/cd_nom/247041","Zygaena minos (Denis &amp; Schiffermüller, 1775)")</f>
        <v>Zygaena minos (Denis &amp; Schiffermüller, 1775)</v>
      </c>
      <c r="F14616" s="5" t="s">
        <v>17223</v>
      </c>
      <c r="V14616" s="7" t="str">
        <f>HYPERLINK("#Liste_rouge!A"&amp;_xlfn.XMATCH("DD",Liste_rouge!A:A,2,1),"DD")</f>
        <v>DD</v>
      </c>
      <c r="X14616" s="5" t="s">
        <v>374</v>
      </c>
      <c r="AH14616" s="4" t="str">
        <f>HYPERLINK("#Statut_biogéographique!A"&amp;_xlfn.XMATCH("P",Statut_biogéographique!A:A,2,1),"P")</f>
        <v>P</v>
      </c>
      <c r="AM14616" s="4" t="s">
        <v>375</v>
      </c>
      <c r="AN14616" s="4" t="s">
        <v>375</v>
      </c>
      <c r="AO14616" s="4" t="s">
        <v>375</v>
      </c>
      <c r="AP14616" s="4" t="s">
        <v>376</v>
      </c>
      <c r="AR14616" s="4" t="s">
        <v>377</v>
      </c>
    </row>
    <row r="14617" spans="1:44" ht="45">
      <c r="A14617" s="4" t="s">
        <v>10753</v>
      </c>
      <c r="B14617" s="4">
        <v>247042</v>
      </c>
      <c r="D14617" s="5" t="s">
        <v>17224</v>
      </c>
      <c r="E14617" s="6" t="str">
        <f>HYPERLINK("https://inpn.mnhn.fr/espece/cd_nom/247042","Zygaena purpuralis (Brünnich, 1763)")</f>
        <v>Zygaena purpuralis (Brünnich, 1763)</v>
      </c>
      <c r="F14617" s="5" t="s">
        <v>17225</v>
      </c>
      <c r="V14617" s="7" t="str">
        <f>HYPERLINK("#Liste_rouge!A"&amp;_xlfn.XMATCH("LC",Liste_rouge!A:A,2,1),"LC")</f>
        <v>LC</v>
      </c>
      <c r="X14617" s="5" t="s">
        <v>12755</v>
      </c>
      <c r="Y14617" s="5" t="s">
        <v>12756</v>
      </c>
      <c r="AH14617" s="4" t="str">
        <f>HYPERLINK("#Statut_biogéographique!A"&amp;_xlfn.XMATCH("P",Statut_biogéographique!A:A,2,1),"P")</f>
        <v>P</v>
      </c>
      <c r="AM14617" s="4" t="s">
        <v>375</v>
      </c>
      <c r="AN14617" s="4" t="s">
        <v>375</v>
      </c>
      <c r="AO14617" s="4" t="s">
        <v>375</v>
      </c>
      <c r="AP14617" s="4" t="s">
        <v>376</v>
      </c>
      <c r="AR14617" s="4" t="s">
        <v>377</v>
      </c>
    </row>
    <row r="14618" spans="1:44" ht="45">
      <c r="A14618" s="4" t="s">
        <v>10753</v>
      </c>
      <c r="B14618" s="4">
        <v>247044</v>
      </c>
      <c r="D14618" s="5" t="s">
        <v>17226</v>
      </c>
      <c r="E14618" s="6" t="str">
        <f>HYPERLINK("https://inpn.mnhn.fr/espece/cd_nom/247044","Zygaena fausta (Linnaeus, 1767)")</f>
        <v>Zygaena fausta (Linnaeus, 1767)</v>
      </c>
      <c r="F14618" s="5" t="s">
        <v>17227</v>
      </c>
      <c r="T14618" s="7" t="str">
        <f>HYPERLINK("#Liste_rouge!A"&amp;_xlfn.XMATCH("LC",Liste_rouge!A:A,2,1),"LC")</f>
        <v>LC</v>
      </c>
      <c r="V14618" s="7" t="str">
        <f>HYPERLINK("#Liste_rouge!A"&amp;_xlfn.XMATCH("CR",Liste_rouge!A:A,2,1),"CR")</f>
        <v>CR</v>
      </c>
      <c r="W14618" s="4" t="str">
        <f>HYPERLINK("#Critères_liste_rouge!A$1","A2cB2ab(i,ii,iv)")</f>
        <v>A2cB2ab(i,ii,iv)</v>
      </c>
      <c r="X14618" s="5" t="s">
        <v>12755</v>
      </c>
      <c r="Y14618" s="5" t="s">
        <v>17228</v>
      </c>
      <c r="AH14618" s="4" t="str">
        <f>HYPERLINK("#Statut_biogéographique!A"&amp;_xlfn.XMATCH("P",Statut_biogéographique!A:A,2,1),"P")</f>
        <v>P</v>
      </c>
      <c r="AM14618" s="4" t="s">
        <v>375</v>
      </c>
      <c r="AN14618" s="4" t="s">
        <v>375</v>
      </c>
      <c r="AO14618" s="4" t="s">
        <v>375</v>
      </c>
      <c r="AP14618" s="4" t="s">
        <v>376</v>
      </c>
      <c r="AR14618" s="4" t="s">
        <v>377</v>
      </c>
    </row>
    <row r="14619" spans="1:44" ht="30">
      <c r="A14619" s="4" t="s">
        <v>10753</v>
      </c>
      <c r="B14619" s="4">
        <v>247045</v>
      </c>
      <c r="D14619" s="5" t="s">
        <v>17229</v>
      </c>
      <c r="E14619" s="6" t="str">
        <f>HYPERLINK("https://inpn.mnhn.fr/espece/cd_nom/247045","Zygaena carniolica (Scopoli, 1763)")</f>
        <v>Zygaena carniolica (Scopoli, 1763)</v>
      </c>
      <c r="F14619" s="5" t="s">
        <v>17230</v>
      </c>
      <c r="T14619" s="7" t="str">
        <f>HYPERLINK("#Liste_rouge!A"&amp;_xlfn.XMATCH("NT",Liste_rouge!A:A,2,1),"NT")</f>
        <v>NT</v>
      </c>
      <c r="U14619" s="4" t="str">
        <f>HYPERLINK("#Critères_liste_rouge!A$1","pr. B2(i,iii)")</f>
        <v>pr. B2(i,iii)</v>
      </c>
      <c r="V14619" s="7" t="str">
        <f>HYPERLINK("#Liste_rouge!A"&amp;_xlfn.XMATCH("NT",Liste_rouge!A:A,2,1),"NT")</f>
        <v>NT</v>
      </c>
      <c r="W14619" s="4" t="str">
        <f>HYPERLINK("#Critères_liste_rouge!A$1","pr.A2c")</f>
        <v>pr.A2c</v>
      </c>
      <c r="X14619" s="5" t="s">
        <v>398</v>
      </c>
      <c r="AH14619" s="4" t="str">
        <f>HYPERLINK("#Statut_biogéographique!A"&amp;_xlfn.XMATCH("P",Statut_biogéographique!A:A,2,1),"P")</f>
        <v>P</v>
      </c>
      <c r="AM14619" s="4" t="s">
        <v>375</v>
      </c>
      <c r="AN14619" s="4" t="s">
        <v>375</v>
      </c>
      <c r="AO14619" s="4" t="s">
        <v>375</v>
      </c>
      <c r="AP14619" s="4" t="s">
        <v>376</v>
      </c>
      <c r="AR14619" s="4" t="s">
        <v>377</v>
      </c>
    </row>
    <row r="14620" spans="1:44" ht="90">
      <c r="A14620" s="4" t="s">
        <v>10753</v>
      </c>
      <c r="B14620" s="4">
        <v>247047</v>
      </c>
      <c r="D14620" s="5" t="s">
        <v>17231</v>
      </c>
      <c r="E14620" s="6" t="str">
        <f>HYPERLINK("https://inpn.mnhn.fr/espece/cd_nom/247047","Zygaena loti (Denis &amp; Schiffermüller, 1775)")</f>
        <v>Zygaena loti (Denis &amp; Schiffermüller, 1775)</v>
      </c>
      <c r="F14620" s="5" t="s">
        <v>17232</v>
      </c>
      <c r="T14620" s="7" t="str">
        <f>HYPERLINK("#Liste_rouge!A"&amp;_xlfn.XMATCH("NT",Liste_rouge!A:A,2,1),"NT")</f>
        <v>NT</v>
      </c>
      <c r="U14620" s="4" t="str">
        <f>HYPERLINK("#Critères_liste_rouge!A$1","pr. B2(iii)")</f>
        <v>pr. B2(iii)</v>
      </c>
      <c r="V14620" s="7" t="str">
        <f>HYPERLINK("#Liste_rouge!A"&amp;_xlfn.XMATCH("NT",Liste_rouge!A:A,2,1),"NT")</f>
        <v>NT</v>
      </c>
      <c r="W14620" s="4" t="str">
        <f>HYPERLINK("#Critères_liste_rouge!A$1","pr.A3c")</f>
        <v>pr.A3c</v>
      </c>
      <c r="X14620" s="5" t="s">
        <v>398</v>
      </c>
      <c r="AH14620" s="4" t="str">
        <f>HYPERLINK("#Statut_biogéographique!A"&amp;_xlfn.XMATCH("P",Statut_biogéographique!A:A,2,1),"P")</f>
        <v>P</v>
      </c>
      <c r="AM14620" s="4" t="s">
        <v>375</v>
      </c>
      <c r="AN14620" s="4" t="s">
        <v>375</v>
      </c>
      <c r="AO14620" s="4" t="s">
        <v>375</v>
      </c>
      <c r="AP14620" s="4" t="s">
        <v>376</v>
      </c>
      <c r="AR14620" s="4" t="s">
        <v>377</v>
      </c>
    </row>
    <row r="14621" spans="1:44" ht="30">
      <c r="A14621" s="4" t="s">
        <v>10753</v>
      </c>
      <c r="B14621" s="4">
        <v>247052</v>
      </c>
      <c r="D14621" s="5" t="s">
        <v>17233</v>
      </c>
      <c r="E14621" s="6" t="str">
        <f>HYPERLINK("https://inpn.mnhn.fr/espece/cd_nom/247052","Zygaena romeo Duponchel, 1835")</f>
        <v>Zygaena romeo Duponchel, 1835</v>
      </c>
      <c r="F14621" s="5" t="s">
        <v>17234</v>
      </c>
      <c r="T14621" s="7" t="str">
        <f>HYPERLINK("#Liste_rouge!A"&amp;_xlfn.XMATCH("CR",Liste_rouge!A:A,2,1),"CR")</f>
        <v>CR</v>
      </c>
      <c r="U14621" s="4" t="str">
        <f>HYPERLINK("#Critères_liste_rouge!A$1","B(1+2)ab(iii)")</f>
        <v>B(1+2)ab(iii)</v>
      </c>
      <c r="X14621" s="5" t="s">
        <v>374</v>
      </c>
      <c r="AH14621" s="4" t="str">
        <f>HYPERLINK("#Statut_biogéographique!A"&amp;_xlfn.XMATCH("P",Statut_biogéographique!A:A,2,1),"P")</f>
        <v>P</v>
      </c>
      <c r="AM14621" s="4" t="s">
        <v>375</v>
      </c>
      <c r="AN14621" s="4" t="s">
        <v>382</v>
      </c>
      <c r="AO14621" s="4" t="s">
        <v>382</v>
      </c>
      <c r="AP14621" s="4" t="s">
        <v>376</v>
      </c>
      <c r="AR14621" s="4" t="s">
        <v>377</v>
      </c>
    </row>
    <row r="14622" spans="1:44" ht="60">
      <c r="A14622" s="4" t="s">
        <v>10753</v>
      </c>
      <c r="B14622" s="4">
        <v>247053</v>
      </c>
      <c r="D14622" s="5" t="s">
        <v>17235</v>
      </c>
      <c r="E14622" s="6" t="str">
        <f>HYPERLINK("https://inpn.mnhn.fr/espece/cd_nom/247053","Zygaena osterodensis Reiss, 1921")</f>
        <v>Zygaena osterodensis Reiss, 1921</v>
      </c>
      <c r="F14622" s="5" t="s">
        <v>17236</v>
      </c>
      <c r="T14622" s="7" t="str">
        <f>HYPERLINK("#Liste_rouge!A"&amp;_xlfn.XMATCH("EN",Liste_rouge!A:A,2,1),"EN")</f>
        <v>EN</v>
      </c>
      <c r="U14622" s="4" t="str">
        <f>HYPERLINK("#Critères_liste_rouge!A$1","B(1+2)ab(i,iii)")</f>
        <v>B(1+2)ab(i,iii)</v>
      </c>
      <c r="X14622" s="5" t="s">
        <v>374</v>
      </c>
      <c r="AH14622" s="4" t="str">
        <f>HYPERLINK("#Statut_biogéographique!A"&amp;_xlfn.XMATCH("P",Statut_biogéographique!A:A,2,1),"P")</f>
        <v>P</v>
      </c>
      <c r="AM14622" s="4" t="s">
        <v>375</v>
      </c>
      <c r="AN14622" s="4" t="s">
        <v>375</v>
      </c>
      <c r="AO14622" s="4" t="s">
        <v>375</v>
      </c>
      <c r="AP14622" s="4" t="s">
        <v>376</v>
      </c>
      <c r="AR14622" s="4" t="s">
        <v>377</v>
      </c>
    </row>
    <row r="14623" spans="1:44" ht="30">
      <c r="A14623" s="4" t="s">
        <v>10753</v>
      </c>
      <c r="B14623" s="4">
        <v>247054</v>
      </c>
      <c r="D14623" s="5" t="s">
        <v>17237</v>
      </c>
      <c r="E14623" s="6" t="str">
        <f>HYPERLINK("https://inpn.mnhn.fr/espece/cd_nom/247054","Zygaena viciae (Denis &amp; Schiffermüller, 1775)")</f>
        <v>Zygaena viciae (Denis &amp; Schiffermüller, 1775)</v>
      </c>
      <c r="F14623" s="5" t="s">
        <v>17238</v>
      </c>
      <c r="T14623" s="7" t="str">
        <f>HYPERLINK("#Liste_rouge!A"&amp;_xlfn.XMATCH("NT",Liste_rouge!A:A,2,1),"NT")</f>
        <v>NT</v>
      </c>
      <c r="U14623" s="4" t="str">
        <f>HYPERLINK("#Critères_liste_rouge!A$1","pr. B2(ii,iii)")</f>
        <v>pr. B2(ii,iii)</v>
      </c>
      <c r="V14623" s="7" t="str">
        <f>HYPERLINK("#Liste_rouge!A"&amp;_xlfn.XMATCH("NT",Liste_rouge!A:A,2,1),"NT")</f>
        <v>NT</v>
      </c>
      <c r="W14623" s="4" t="str">
        <f>HYPERLINK("#Critères_liste_rouge!A$1","pr.A2c")</f>
        <v>pr.A2c</v>
      </c>
      <c r="X14623" s="5" t="s">
        <v>398</v>
      </c>
      <c r="AH14623" s="4" t="str">
        <f>HYPERLINK("#Statut_biogéographique!A"&amp;_xlfn.XMATCH("P",Statut_biogéographique!A:A,2,1),"P")</f>
        <v>P</v>
      </c>
      <c r="AM14623" s="4" t="s">
        <v>375</v>
      </c>
      <c r="AN14623" s="4" t="s">
        <v>375</v>
      </c>
      <c r="AO14623" s="4" t="s">
        <v>375</v>
      </c>
      <c r="AP14623" s="4" t="s">
        <v>376</v>
      </c>
      <c r="AR14623" s="4" t="s">
        <v>377</v>
      </c>
    </row>
    <row r="14624" spans="1:44" ht="45">
      <c r="A14624" s="4" t="s">
        <v>10753</v>
      </c>
      <c r="B14624" s="4">
        <v>247056</v>
      </c>
      <c r="D14624" s="5" t="s">
        <v>17239</v>
      </c>
      <c r="E14624" s="6" t="str">
        <f>HYPERLINK("https://inpn.mnhn.fr/espece/cd_nom/247056","Zygaena ephialtes (Linnaeus, 1767)")</f>
        <v>Zygaena ephialtes (Linnaeus, 1767)</v>
      </c>
      <c r="F14624" s="5" t="s">
        <v>17240</v>
      </c>
      <c r="T14624" s="7" t="str">
        <f>HYPERLINK("#Liste_rouge!A"&amp;_xlfn.XMATCH("NT",Liste_rouge!A:A,2,1),"NT")</f>
        <v>NT</v>
      </c>
      <c r="U14624" s="4" t="str">
        <f>HYPERLINK("#Critères_liste_rouge!A$1","pr. B2(iii)")</f>
        <v>pr. B2(iii)</v>
      </c>
      <c r="V14624" s="7" t="str">
        <f>HYPERLINK("#Liste_rouge!A"&amp;_xlfn.XMATCH("NT",Liste_rouge!A:A,2,1),"NT")</f>
        <v>NT</v>
      </c>
      <c r="W14624" s="4" t="str">
        <f>HYPERLINK("#Critères_liste_rouge!A$1","pr.A2c")</f>
        <v>pr.A2c</v>
      </c>
      <c r="AH14624" s="4" t="str">
        <f>HYPERLINK("#Statut_biogéographique!A"&amp;_xlfn.XMATCH("P",Statut_biogéographique!A:A,2,1),"P")</f>
        <v>P</v>
      </c>
      <c r="AM14624" s="4" t="s">
        <v>375</v>
      </c>
      <c r="AN14624" s="4" t="s">
        <v>375</v>
      </c>
      <c r="AO14624" s="4" t="s">
        <v>375</v>
      </c>
      <c r="AP14624" s="4" t="s">
        <v>376</v>
      </c>
      <c r="AR14624" s="4" t="s">
        <v>377</v>
      </c>
    </row>
    <row r="14625" spans="1:44">
      <c r="A14625" s="4" t="s">
        <v>10753</v>
      </c>
      <c r="B14625" s="4">
        <v>247057</v>
      </c>
      <c r="D14625" s="5" t="s">
        <v>17241</v>
      </c>
      <c r="E14625" s="6" t="str">
        <f>HYPERLINK("https://inpn.mnhn.fr/espece/cd_nom/247057","Zygaena transalpina (Esper, 1780)")</f>
        <v>Zygaena transalpina (Esper, 1780)</v>
      </c>
      <c r="F14625" s="5" t="s">
        <v>17242</v>
      </c>
      <c r="T14625" s="7" t="str">
        <f>HYPERLINK("#Liste_rouge!A"&amp;_xlfn.XMATCH("LC",Liste_rouge!A:A,2,1),"LC")</f>
        <v>LC</v>
      </c>
      <c r="V14625" s="7" t="str">
        <f>HYPERLINK("#Liste_rouge!A"&amp;_xlfn.XMATCH("LC",Liste_rouge!A:A,2,1),"LC")</f>
        <v>LC</v>
      </c>
      <c r="AH14625" s="4" t="str">
        <f>HYPERLINK("#Statut_biogéographique!A"&amp;_xlfn.XMATCH("P",Statut_biogéographique!A:A,2,1),"P")</f>
        <v>P</v>
      </c>
      <c r="AM14625" s="4" t="s">
        <v>375</v>
      </c>
      <c r="AN14625" s="4" t="s">
        <v>375</v>
      </c>
      <c r="AO14625" s="4" t="s">
        <v>375</v>
      </c>
      <c r="AP14625" s="4" t="s">
        <v>376</v>
      </c>
      <c r="AR14625" s="4" t="s">
        <v>377</v>
      </c>
    </row>
    <row r="14626" spans="1:44" ht="105">
      <c r="A14626" s="4" t="s">
        <v>10753</v>
      </c>
      <c r="B14626" s="4">
        <v>247058</v>
      </c>
      <c r="D14626" s="5" t="s">
        <v>17243</v>
      </c>
      <c r="E14626" s="6" t="str">
        <f>HYPERLINK("https://inpn.mnhn.fr/espece/cd_nom/247058","Zygaena filipendulae (Linnaeus, 1758)")</f>
        <v>Zygaena filipendulae (Linnaeus, 1758)</v>
      </c>
      <c r="F14626" s="5" t="s">
        <v>17244</v>
      </c>
      <c r="T14626" s="7" t="str">
        <f>HYPERLINK("#Liste_rouge!A"&amp;_xlfn.XMATCH("LC",Liste_rouge!A:A,2,1),"LC")</f>
        <v>LC</v>
      </c>
      <c r="V14626" s="7" t="str">
        <f>HYPERLINK("#Liste_rouge!A"&amp;_xlfn.XMATCH("LC",Liste_rouge!A:A,2,1),"LC")</f>
        <v>LC</v>
      </c>
      <c r="AH14626" s="4" t="str">
        <f>HYPERLINK("#Statut_biogéographique!A"&amp;_xlfn.XMATCH("P",Statut_biogéographique!A:A,2,1),"P")</f>
        <v>P</v>
      </c>
      <c r="AM14626" s="4" t="s">
        <v>375</v>
      </c>
      <c r="AN14626" s="4" t="s">
        <v>375</v>
      </c>
      <c r="AO14626" s="4" t="s">
        <v>375</v>
      </c>
      <c r="AP14626" s="4" t="s">
        <v>376</v>
      </c>
      <c r="AR14626" s="4" t="s">
        <v>377</v>
      </c>
    </row>
    <row r="14627" spans="1:44" ht="45">
      <c r="A14627" s="4" t="s">
        <v>10753</v>
      </c>
      <c r="B14627" s="4">
        <v>247059</v>
      </c>
      <c r="D14627" s="5" t="s">
        <v>17245</v>
      </c>
      <c r="E14627" s="6" t="str">
        <f>HYPERLINK("https://inpn.mnhn.fr/espece/cd_nom/247059","Zygaena lonicerae (Scheven, 1777)")</f>
        <v>Zygaena lonicerae (Scheven, 1777)</v>
      </c>
      <c r="F14627" s="5" t="s">
        <v>17246</v>
      </c>
      <c r="T14627" s="7" t="str">
        <f>HYPERLINK("#Liste_rouge!A"&amp;_xlfn.XMATCH("VU",Liste_rouge!A:A,2,1),"VU")</f>
        <v>VU</v>
      </c>
      <c r="U14627" s="4" t="str">
        <f>HYPERLINK("#Critères_liste_rouge!A$1","A2c")</f>
        <v>A2c</v>
      </c>
      <c r="V14627" s="7" t="str">
        <f>HYPERLINK("#Liste_rouge!A"&amp;_xlfn.XMATCH("LC",Liste_rouge!A:A,2,1),"LC")</f>
        <v>LC</v>
      </c>
      <c r="X14627" s="5" t="s">
        <v>12755</v>
      </c>
      <c r="Y14627" s="5" t="s">
        <v>12756</v>
      </c>
      <c r="AH14627" s="4" t="str">
        <f>HYPERLINK("#Statut_biogéographique!A"&amp;_xlfn.XMATCH("P",Statut_biogéographique!A:A,2,1),"P")</f>
        <v>P</v>
      </c>
      <c r="AM14627" s="4" t="s">
        <v>375</v>
      </c>
      <c r="AN14627" s="4" t="s">
        <v>375</v>
      </c>
      <c r="AO14627" s="4" t="s">
        <v>375</v>
      </c>
      <c r="AP14627" s="4" t="s">
        <v>376</v>
      </c>
      <c r="AR14627" s="4" t="s">
        <v>377</v>
      </c>
    </row>
    <row r="14628" spans="1:44" ht="45">
      <c r="A14628" s="4" t="s">
        <v>10753</v>
      </c>
      <c r="B14628" s="4">
        <v>247060</v>
      </c>
      <c r="D14628" s="5" t="s">
        <v>17247</v>
      </c>
      <c r="E14628" s="6" t="str">
        <f>HYPERLINK("https://inpn.mnhn.fr/espece/cd_nom/247060","Zygaena trifolii (Esper, 1783)")</f>
        <v>Zygaena trifolii (Esper, 1783)</v>
      </c>
      <c r="F14628" s="5" t="s">
        <v>17248</v>
      </c>
      <c r="T14628" s="7" t="str">
        <f>HYPERLINK("#Liste_rouge!A"&amp;_xlfn.XMATCH("LC",Liste_rouge!A:A,2,1),"LC")</f>
        <v>LC</v>
      </c>
      <c r="V14628" s="7" t="str">
        <f>HYPERLINK("#Liste_rouge!A"&amp;_xlfn.XMATCH("LC",Liste_rouge!A:A,2,1),"LC")</f>
        <v>LC</v>
      </c>
      <c r="X14628" s="5" t="s">
        <v>398</v>
      </c>
      <c r="AH14628" s="4" t="str">
        <f>HYPERLINK("#Statut_biogéographique!A"&amp;_xlfn.XMATCH("P",Statut_biogéographique!A:A,2,1),"P")</f>
        <v>P</v>
      </c>
      <c r="AM14628" s="4" t="s">
        <v>375</v>
      </c>
      <c r="AN14628" s="4" t="s">
        <v>375</v>
      </c>
      <c r="AO14628" s="4" t="s">
        <v>375</v>
      </c>
      <c r="AP14628" s="4" t="s">
        <v>376</v>
      </c>
      <c r="AR14628" s="4" t="s">
        <v>377</v>
      </c>
    </row>
    <row r="14629" spans="1:44" ht="30">
      <c r="A14629" s="4" t="s">
        <v>10753</v>
      </c>
      <c r="B14629" s="4">
        <v>247061</v>
      </c>
      <c r="D14629" s="5" t="s">
        <v>17249</v>
      </c>
      <c r="E14629" s="6" t="str">
        <f>HYPERLINK("https://inpn.mnhn.fr/espece/cd_nom/247061","Aglaope infausta (Linnaeus, 1767)")</f>
        <v>Aglaope infausta (Linnaeus, 1767)</v>
      </c>
      <c r="F14629" s="5" t="s">
        <v>17250</v>
      </c>
      <c r="T14629" s="7" t="str">
        <f>HYPERLINK("#Liste_rouge!A"&amp;_xlfn.XMATCH("VU",Liste_rouge!A:A,2,1),"VU")</f>
        <v>VU</v>
      </c>
      <c r="U14629" s="4" t="str">
        <f>HYPERLINK("#Critères_liste_rouge!A$1","A2c")</f>
        <v>A2c</v>
      </c>
      <c r="X14629" s="5" t="s">
        <v>374</v>
      </c>
      <c r="AH14629" s="4" t="str">
        <f>HYPERLINK("#Statut_biogéographique!A"&amp;_xlfn.XMATCH("P",Statut_biogéographique!A:A,2,1),"P")</f>
        <v>P</v>
      </c>
      <c r="AM14629" s="4" t="s">
        <v>375</v>
      </c>
      <c r="AN14629" s="4" t="s">
        <v>375</v>
      </c>
      <c r="AO14629" s="4" t="s">
        <v>375</v>
      </c>
      <c r="AP14629" s="4" t="s">
        <v>376</v>
      </c>
      <c r="AR14629" s="4" t="s">
        <v>377</v>
      </c>
    </row>
    <row r="14630" spans="1:44" ht="30">
      <c r="A14630" s="4" t="s">
        <v>10753</v>
      </c>
      <c r="B14630" s="4">
        <v>247063</v>
      </c>
      <c r="D14630" s="5" t="s">
        <v>17251</v>
      </c>
      <c r="E14630" s="6" t="str">
        <f>HYPERLINK("https://inpn.mnhn.fr/espece/cd_nom/247063","Adscita statices (Linnaeus, 1758)")</f>
        <v>Adscita statices (Linnaeus, 1758)</v>
      </c>
      <c r="F14630" s="5" t="s">
        <v>17252</v>
      </c>
      <c r="T14630" s="7" t="str">
        <f>HYPERLINK("#Liste_rouge!A"&amp;_xlfn.XMATCH("LC",Liste_rouge!A:A,2,1),"LC")</f>
        <v>LC</v>
      </c>
      <c r="V14630" s="7" t="str">
        <f>HYPERLINK("#Liste_rouge!A"&amp;_xlfn.XMATCH("LC",Liste_rouge!A:A,2,1),"LC")</f>
        <v>LC</v>
      </c>
      <c r="X14630" s="5" t="s">
        <v>398</v>
      </c>
      <c r="AH14630" s="4" t="str">
        <f>HYPERLINK("#Statut_biogéographique!A"&amp;_xlfn.XMATCH("P",Statut_biogéographique!A:A,2,1),"P")</f>
        <v>P</v>
      </c>
      <c r="AM14630" s="4" t="s">
        <v>375</v>
      </c>
      <c r="AN14630" s="4" t="s">
        <v>375</v>
      </c>
      <c r="AO14630" s="4" t="s">
        <v>375</v>
      </c>
      <c r="AP14630" s="4" t="s">
        <v>376</v>
      </c>
      <c r="AR14630" s="4" t="s">
        <v>377</v>
      </c>
    </row>
    <row r="14631" spans="1:44" ht="45">
      <c r="A14631" s="4" t="s">
        <v>10753</v>
      </c>
      <c r="B14631" s="4">
        <v>247064</v>
      </c>
      <c r="D14631" s="5" t="s">
        <v>17253</v>
      </c>
      <c r="E14631" s="6" t="str">
        <f>HYPERLINK("https://inpn.mnhn.fr/espece/cd_nom/247064","Adscita geryon (Hübner, 1813)")</f>
        <v>Adscita geryon (Hübner, 1813)</v>
      </c>
      <c r="F14631" s="5" t="s">
        <v>17254</v>
      </c>
      <c r="T14631" s="7" t="str">
        <f>HYPERLINK("#Liste_rouge!A"&amp;_xlfn.XMATCH("VU",Liste_rouge!A:A,2,1),"VU")</f>
        <v>VU</v>
      </c>
      <c r="U14631" s="4" t="str">
        <f>HYPERLINK("#Critères_liste_rouge!A$1","A2c B2ab(i,ii,iii)")</f>
        <v>A2c B2ab(i,ii,iii)</v>
      </c>
      <c r="V14631" s="7" t="str">
        <f>HYPERLINK("#Liste_rouge!A"&amp;_xlfn.XMATCH("NT",Liste_rouge!A:A,2,1),"NT")</f>
        <v>NT</v>
      </c>
      <c r="W14631" s="4" t="str">
        <f>HYPERLINK("#Critères_liste_rouge!A$1","pr.A3c")</f>
        <v>pr.A3c</v>
      </c>
      <c r="X14631" s="5" t="s">
        <v>12755</v>
      </c>
      <c r="Y14631" s="5" t="s">
        <v>12756</v>
      </c>
      <c r="AH14631" s="4" t="str">
        <f>HYPERLINK("#Statut_biogéographique!A"&amp;_xlfn.XMATCH("P",Statut_biogéographique!A:A,2,1),"P")</f>
        <v>P</v>
      </c>
      <c r="AM14631" s="4" t="s">
        <v>375</v>
      </c>
      <c r="AN14631" s="4" t="s">
        <v>375</v>
      </c>
      <c r="AO14631" s="4" t="s">
        <v>375</v>
      </c>
      <c r="AP14631" s="4" t="s">
        <v>376</v>
      </c>
      <c r="AR14631" s="4" t="s">
        <v>377</v>
      </c>
    </row>
    <row r="14632" spans="1:44" ht="30">
      <c r="A14632" s="4" t="s">
        <v>10753</v>
      </c>
      <c r="B14632" s="4">
        <v>247066</v>
      </c>
      <c r="D14632" s="5" t="s">
        <v>17255</v>
      </c>
      <c r="E14632" s="6" t="str">
        <f>HYPERLINK("https://inpn.mnhn.fr/espece/cd_nom/247066","Adscita mannii (Lederer, 1853)")</f>
        <v>Adscita mannii (Lederer, 1853)</v>
      </c>
      <c r="F14632" s="5" t="s">
        <v>17256</v>
      </c>
      <c r="T14632" s="7" t="str">
        <f>HYPERLINK("#Liste_rouge!A"&amp;_xlfn.XMATCH("EN",Liste_rouge!A:A,2,1),"EN")</f>
        <v>EN</v>
      </c>
      <c r="U14632" s="4" t="str">
        <f>HYPERLINK("#Critères_liste_rouge!A$1","A2c B(1+2)ab(i,ii,iii)")</f>
        <v>A2c B(1+2)ab(i,ii,iii)</v>
      </c>
      <c r="V14632" s="7" t="str">
        <f>HYPERLINK("#Liste_rouge!A"&amp;_xlfn.XMATCH("EN",Liste_rouge!A:A,2,1),"EN")</f>
        <v>EN</v>
      </c>
      <c r="W14632" s="4" t="str">
        <f>HYPERLINK("#Critères_liste_rouge!A$1","B2ab(iii)")</f>
        <v>B2ab(iii)</v>
      </c>
      <c r="X14632" s="5" t="s">
        <v>374</v>
      </c>
      <c r="AH14632" s="4" t="str">
        <f>HYPERLINK("#Statut_biogéographique!A"&amp;_xlfn.XMATCH("P",Statut_biogéographique!A:A,2,1),"P")</f>
        <v>P</v>
      </c>
      <c r="AM14632" s="4" t="s">
        <v>375</v>
      </c>
      <c r="AN14632" s="4" t="s">
        <v>375</v>
      </c>
      <c r="AO14632" s="4" t="s">
        <v>375</v>
      </c>
      <c r="AP14632" s="4" t="s">
        <v>376</v>
      </c>
      <c r="AR14632" s="4" t="s">
        <v>377</v>
      </c>
    </row>
    <row r="14633" spans="1:44" ht="30">
      <c r="A14633" s="4" t="s">
        <v>10753</v>
      </c>
      <c r="B14633" s="4">
        <v>247068</v>
      </c>
      <c r="D14633" s="5" t="s">
        <v>17257</v>
      </c>
      <c r="E14633" s="6" t="str">
        <f>HYPERLINK("https://inpn.mnhn.fr/espece/cd_nom/247068","Jordanita notata (Zeller, 1847)")</f>
        <v>Jordanita notata (Zeller, 1847)</v>
      </c>
      <c r="F14633" s="5" t="s">
        <v>17258</v>
      </c>
      <c r="T14633" s="7" t="str">
        <f>HYPERLINK("#Liste_rouge!A"&amp;_xlfn.XMATCH("CR",Liste_rouge!A:A,2,1),"CR")</f>
        <v>CR</v>
      </c>
      <c r="U14633" s="4" t="str">
        <f>HYPERLINK("#Critères_liste_rouge!A$1","B(1+2)ab(i,ii,iii)")</f>
        <v>B(1+2)ab(i,ii,iii)</v>
      </c>
      <c r="V14633" s="7" t="str">
        <f>HYPERLINK("#Liste_rouge!A"&amp;_xlfn.XMATCH("DD",Liste_rouge!A:A,2,1),"DD")</f>
        <v>DD</v>
      </c>
      <c r="X14633" s="5" t="s">
        <v>374</v>
      </c>
      <c r="AH14633" s="4" t="str">
        <f>HYPERLINK("#Statut_biogéographique!A"&amp;_xlfn.XMATCH("P",Statut_biogéographique!A:A,2,1),"P")</f>
        <v>P</v>
      </c>
      <c r="AM14633" s="4" t="s">
        <v>375</v>
      </c>
      <c r="AN14633" s="4" t="s">
        <v>375</v>
      </c>
      <c r="AO14633" s="4" t="s">
        <v>375</v>
      </c>
      <c r="AP14633" s="4" t="s">
        <v>376</v>
      </c>
      <c r="AR14633" s="4" t="s">
        <v>377</v>
      </c>
    </row>
    <row r="14634" spans="1:44" ht="45">
      <c r="A14634" s="4" t="s">
        <v>10753</v>
      </c>
      <c r="B14634" s="4">
        <v>247071</v>
      </c>
      <c r="D14634" s="5" t="s">
        <v>17259</v>
      </c>
      <c r="E14634" s="6" t="str">
        <f>HYPERLINK("https://inpn.mnhn.fr/espece/cd_nom/247071","Jordanita globulariae (Hübner, 1793)")</f>
        <v>Jordanita globulariae (Hübner, 1793)</v>
      </c>
      <c r="F14634" s="5" t="s">
        <v>17260</v>
      </c>
      <c r="T14634" s="7" t="str">
        <f>HYPERLINK("#Liste_rouge!A"&amp;_xlfn.XMATCH("VU",Liste_rouge!A:A,2,1),"VU")</f>
        <v>VU</v>
      </c>
      <c r="U14634" s="4" t="str">
        <f>HYPERLINK("#Critères_liste_rouge!A$1","B2ab(iii)")</f>
        <v>B2ab(iii)</v>
      </c>
      <c r="V14634" s="7" t="str">
        <f>HYPERLINK("#Liste_rouge!A"&amp;_xlfn.XMATCH("NT",Liste_rouge!A:A,2,1),"NT")</f>
        <v>NT</v>
      </c>
      <c r="W14634" s="4" t="str">
        <f>HYPERLINK("#Critères_liste_rouge!A$1","pr.A3c")</f>
        <v>pr.A3c</v>
      </c>
      <c r="X14634" s="5" t="s">
        <v>12755</v>
      </c>
      <c r="Y14634" s="5" t="s">
        <v>12784</v>
      </c>
      <c r="AH14634" s="4" t="str">
        <f>HYPERLINK("#Statut_biogéographique!A"&amp;_xlfn.XMATCH("P",Statut_biogéographique!A:A,2,1),"P")</f>
        <v>P</v>
      </c>
      <c r="AM14634" s="4" t="s">
        <v>375</v>
      </c>
      <c r="AN14634" s="4" t="s">
        <v>375</v>
      </c>
      <c r="AO14634" s="4" t="s">
        <v>375</v>
      </c>
      <c r="AP14634" s="4" t="s">
        <v>376</v>
      </c>
      <c r="AR14634" s="4" t="s">
        <v>377</v>
      </c>
    </row>
    <row r="14635" spans="1:44" ht="30">
      <c r="A14635" s="4" t="s">
        <v>10753</v>
      </c>
      <c r="B14635" s="4">
        <v>247072</v>
      </c>
      <c r="D14635" s="5" t="s">
        <v>17261</v>
      </c>
      <c r="E14635" s="6" t="str">
        <f>HYPERLINK("https://inpn.mnhn.fr/espece/cd_nom/247072","Jordanita subsolana (Staudinger, 1862)")</f>
        <v>Jordanita subsolana (Staudinger, 1862)</v>
      </c>
      <c r="F14635" s="5" t="s">
        <v>17262</v>
      </c>
      <c r="T14635" s="7" t="str">
        <f>HYPERLINK("#Liste_rouge!A"&amp;_xlfn.XMATCH("CR",Liste_rouge!A:A,2,1),"CR")</f>
        <v>CR</v>
      </c>
      <c r="U14635" s="4" t="str">
        <f>HYPERLINK("#Critères_liste_rouge!A$1","B(1+2)ab(i,ii,iii)")</f>
        <v>B(1+2)ab(i,ii,iii)</v>
      </c>
      <c r="V14635" s="7" t="str">
        <f>HYPERLINK("#Liste_rouge!A"&amp;_xlfn.XMATCH("DD",Liste_rouge!A:A,2,1),"DD")</f>
        <v>DD</v>
      </c>
      <c r="X14635" s="5" t="s">
        <v>374</v>
      </c>
      <c r="AH14635" s="4" t="str">
        <f>HYPERLINK("#Statut_biogéographique!A"&amp;_xlfn.XMATCH("P",Statut_biogéographique!A:A,2,1),"P")</f>
        <v>P</v>
      </c>
      <c r="AM14635" s="4" t="s">
        <v>375</v>
      </c>
      <c r="AN14635" s="4" t="s">
        <v>375</v>
      </c>
      <c r="AO14635" s="4" t="s">
        <v>375</v>
      </c>
      <c r="AP14635" s="4" t="s">
        <v>376</v>
      </c>
      <c r="AR14635" s="4" t="s">
        <v>377</v>
      </c>
    </row>
    <row r="14636" spans="1:44" ht="30">
      <c r="A14636" s="4" t="s">
        <v>10753</v>
      </c>
      <c r="B14636" s="4">
        <v>247073</v>
      </c>
      <c r="D14636" s="5" t="s">
        <v>17263</v>
      </c>
      <c r="E14636" s="6" t="str">
        <f>HYPERLINK("https://inpn.mnhn.fr/espece/cd_nom/247073","Rhagades pruni (Denis &amp; Schiffermüller, 1775)")</f>
        <v>Rhagades pruni (Denis &amp; Schiffermüller, 1775)</v>
      </c>
      <c r="F14636" s="5" t="s">
        <v>17264</v>
      </c>
      <c r="T14636" s="7" t="str">
        <f>HYPERLINK("#Liste_rouge!A"&amp;_xlfn.XMATCH("VU",Liste_rouge!A:A,2,1),"VU")</f>
        <v>VU</v>
      </c>
      <c r="U14636" s="4" t="str">
        <f>HYPERLINK("#Critères_liste_rouge!A$1","A2C B2ab(i,ii,iii)")</f>
        <v>A2C B2ab(i,ii,iii)</v>
      </c>
      <c r="V14636" s="7" t="str">
        <f>HYPERLINK("#Liste_rouge!A"&amp;_xlfn.XMATCH("DD",Liste_rouge!A:A,2,1),"DD")</f>
        <v>DD</v>
      </c>
      <c r="X14636" s="5" t="s">
        <v>374</v>
      </c>
      <c r="AH14636" s="4" t="str">
        <f>HYPERLINK("#Statut_biogéographique!A"&amp;_xlfn.XMATCH("P",Statut_biogéographique!A:A,2,1),"P")</f>
        <v>P</v>
      </c>
      <c r="AM14636" s="4" t="s">
        <v>375</v>
      </c>
      <c r="AN14636" s="4" t="s">
        <v>375</v>
      </c>
      <c r="AO14636" s="4" t="s">
        <v>375</v>
      </c>
      <c r="AP14636" s="4" t="s">
        <v>376</v>
      </c>
      <c r="AR14636" s="4" t="s">
        <v>377</v>
      </c>
    </row>
    <row r="14637" spans="1:44" ht="30">
      <c r="A14637" s="4" t="s">
        <v>10753</v>
      </c>
      <c r="B14637" s="4">
        <v>247079</v>
      </c>
      <c r="D14637" s="5" t="s">
        <v>17265</v>
      </c>
      <c r="E14637" s="6" t="str">
        <f>HYPERLINK("https://inpn.mnhn.fr/espece/cd_nom/247079","Sesia apiformis (Clerck, 1759)")</f>
        <v>Sesia apiformis (Clerck, 1759)</v>
      </c>
      <c r="F14637" s="5" t="s">
        <v>17266</v>
      </c>
      <c r="AH14637" s="4" t="str">
        <f>HYPERLINK("#Statut_biogéographique!A"&amp;_xlfn.XMATCH("P",Statut_biogéographique!A:A,2,1),"P")</f>
        <v>P</v>
      </c>
      <c r="AP14637" s="4" t="s">
        <v>376</v>
      </c>
      <c r="AR14637" s="4" t="s">
        <v>377</v>
      </c>
    </row>
    <row r="14638" spans="1:44" ht="30">
      <c r="A14638" s="4" t="s">
        <v>10753</v>
      </c>
      <c r="B14638" s="4">
        <v>247080</v>
      </c>
      <c r="D14638" s="5" t="s">
        <v>17267</v>
      </c>
      <c r="E14638" s="6" t="str">
        <f>HYPERLINK("https://inpn.mnhn.fr/espece/cd_nom/247080","Sesia bembeciformis (Hübner, 1806)")</f>
        <v>Sesia bembeciformis (Hübner, 1806)</v>
      </c>
      <c r="F14638" s="5" t="s">
        <v>17268</v>
      </c>
      <c r="AH14638" s="4" t="str">
        <f>HYPERLINK("#Statut_biogéographique!A"&amp;_xlfn.XMATCH("P",Statut_biogéographique!A:A,2,1),"P")</f>
        <v>P</v>
      </c>
      <c r="AP14638" s="4" t="s">
        <v>376</v>
      </c>
      <c r="AR14638" s="4" t="s">
        <v>377</v>
      </c>
    </row>
    <row r="14639" spans="1:44" ht="30">
      <c r="A14639" s="4" t="s">
        <v>10753</v>
      </c>
      <c r="B14639" s="4">
        <v>247082</v>
      </c>
      <c r="D14639" s="5" t="s">
        <v>17269</v>
      </c>
      <c r="E14639" s="6" t="str">
        <f>HYPERLINK("https://inpn.mnhn.fr/espece/cd_nom/247082","Paranthrene tabaniformis (Rottemburg, 1775)")</f>
        <v>Paranthrene tabaniformis (Rottemburg, 1775)</v>
      </c>
      <c r="F14639" s="5" t="s">
        <v>17270</v>
      </c>
      <c r="AH14639" s="4" t="str">
        <f>HYPERLINK("#Statut_biogéographique!A"&amp;_xlfn.XMATCH("P",Statut_biogéographique!A:A,2,1),"P")</f>
        <v>P</v>
      </c>
      <c r="AP14639" s="4" t="s">
        <v>376</v>
      </c>
      <c r="AR14639" s="4" t="s">
        <v>377</v>
      </c>
    </row>
    <row r="14640" spans="1:44">
      <c r="A14640" s="4" t="s">
        <v>10753</v>
      </c>
      <c r="B14640" s="4">
        <v>247083</v>
      </c>
      <c r="D14640" s="5" t="s">
        <v>17271</v>
      </c>
      <c r="E14640" s="6" t="str">
        <f>HYPERLINK("https://inpn.mnhn.fr/espece/cd_nom/247083","Paranthrene insolita Le Cerf, 1914")</f>
        <v>Paranthrene insolita Le Cerf, 1914</v>
      </c>
      <c r="F14640" s="5" t="s">
        <v>17272</v>
      </c>
      <c r="AH14640" s="4" t="str">
        <f>HYPERLINK("#Statut_biogéographique!A"&amp;_xlfn.XMATCH("P",Statut_biogéographique!A:A,2,1),"P")</f>
        <v>P</v>
      </c>
      <c r="AP14640" s="4" t="s">
        <v>376</v>
      </c>
      <c r="AR14640" s="4" t="s">
        <v>377</v>
      </c>
    </row>
    <row r="14641" spans="1:44">
      <c r="A14641" s="4" t="s">
        <v>10753</v>
      </c>
      <c r="B14641" s="4">
        <v>247085</v>
      </c>
      <c r="D14641" s="5" t="s">
        <v>17273</v>
      </c>
      <c r="E14641" s="6" t="str">
        <f>HYPERLINK("https://inpn.mnhn.fr/espece/cd_nom/247085","Chamaesphecia aerifrons (Zeller, 1847)")</f>
        <v>Chamaesphecia aerifrons (Zeller, 1847)</v>
      </c>
      <c r="F14641" s="5" t="s">
        <v>17274</v>
      </c>
      <c r="AH14641" s="4" t="str">
        <f>HYPERLINK("#Statut_biogéographique!A"&amp;_xlfn.XMATCH("P",Statut_biogéographique!A:A,2,1),"P")</f>
        <v>P</v>
      </c>
      <c r="AP14641" s="4" t="s">
        <v>376</v>
      </c>
      <c r="AR14641" s="4" t="s">
        <v>377</v>
      </c>
    </row>
    <row r="14642" spans="1:44">
      <c r="A14642" s="4" t="s">
        <v>10753</v>
      </c>
      <c r="B14642" s="4">
        <v>247089</v>
      </c>
      <c r="D14642" s="5" t="s">
        <v>17275</v>
      </c>
      <c r="E14642" s="6" t="str">
        <f>HYPERLINK("https://inpn.mnhn.fr/espece/cd_nom/247089","Chamaesphecia nigrifrons (Le Cerf, 1911)")</f>
        <v>Chamaesphecia nigrifrons (Le Cerf, 1911)</v>
      </c>
      <c r="F14642" s="5" t="s">
        <v>17276</v>
      </c>
      <c r="AH14642" s="4" t="str">
        <f>HYPERLINK("#Statut_biogéographique!A"&amp;_xlfn.XMATCH("P",Statut_biogéographique!A:A,2,1),"P")</f>
        <v>P</v>
      </c>
      <c r="AP14642" s="4" t="s">
        <v>376</v>
      </c>
      <c r="AR14642" s="4" t="s">
        <v>377</v>
      </c>
    </row>
    <row r="14643" spans="1:44" ht="30">
      <c r="A14643" s="4" t="s">
        <v>10753</v>
      </c>
      <c r="B14643" s="4">
        <v>247095</v>
      </c>
      <c r="D14643" s="5" t="s">
        <v>17277</v>
      </c>
      <c r="E14643" s="6" t="str">
        <f>HYPERLINK("https://inpn.mnhn.fr/espece/cd_nom/247095","Chamaesphecia empiformis (Esper, 1783)")</f>
        <v>Chamaesphecia empiformis (Esper, 1783)</v>
      </c>
      <c r="F14643" s="5" t="s">
        <v>17278</v>
      </c>
      <c r="AH14643" s="4" t="str">
        <f>HYPERLINK("#Statut_biogéographique!A"&amp;_xlfn.XMATCH("P",Statut_biogéographique!A:A,2,1),"P")</f>
        <v>P</v>
      </c>
      <c r="AP14643" s="4" t="s">
        <v>376</v>
      </c>
      <c r="AR14643" s="4" t="s">
        <v>377</v>
      </c>
    </row>
    <row r="14644" spans="1:44" ht="30">
      <c r="A14644" s="4" t="s">
        <v>10753</v>
      </c>
      <c r="B14644" s="4">
        <v>247096</v>
      </c>
      <c r="D14644" s="5" t="s">
        <v>17279</v>
      </c>
      <c r="E14644" s="6" t="str">
        <f>HYPERLINK("https://inpn.mnhn.fr/espece/cd_nom/247096","Chamaesphecia tenthrediniformis (Denis &amp; Schiffermüller, 1775)")</f>
        <v>Chamaesphecia tenthrediniformis (Denis &amp; Schiffermüller, 1775)</v>
      </c>
      <c r="F14644" s="5" t="s">
        <v>17280</v>
      </c>
      <c r="AH14644" s="4" t="str">
        <f>HYPERLINK("#Statut_biogéographique!A"&amp;_xlfn.XMATCH("P",Statut_biogéographique!A:A,2,1),"P")</f>
        <v>P</v>
      </c>
      <c r="AP14644" s="4" t="s">
        <v>376</v>
      </c>
      <c r="AR14644" s="4" t="s">
        <v>377</v>
      </c>
    </row>
    <row r="14645" spans="1:44" ht="60">
      <c r="A14645" s="4" t="s">
        <v>10753</v>
      </c>
      <c r="B14645" s="4">
        <v>247097</v>
      </c>
      <c r="D14645" s="5" t="s">
        <v>17281</v>
      </c>
      <c r="E14645" s="6" t="str">
        <f>HYPERLINK("https://inpn.mnhn.fr/espece/cd_nom/247097","Pyropteron chrysidiforme (Esper, 1782)")</f>
        <v>Pyropteron chrysidiforme (Esper, 1782)</v>
      </c>
      <c r="F14645" s="5" t="s">
        <v>17282</v>
      </c>
      <c r="AH14645" s="4" t="str">
        <f>HYPERLINK("#Statut_biogéographique!A"&amp;_xlfn.XMATCH("P",Statut_biogéographique!A:A,2,1),"P")</f>
        <v>P</v>
      </c>
      <c r="AP14645" s="4" t="s">
        <v>376</v>
      </c>
      <c r="AR14645" s="4" t="s">
        <v>377</v>
      </c>
    </row>
    <row r="14646" spans="1:44" ht="30">
      <c r="A14646" s="4" t="s">
        <v>10753</v>
      </c>
      <c r="B14646" s="4">
        <v>247099</v>
      </c>
      <c r="D14646" s="5" t="s">
        <v>17283</v>
      </c>
      <c r="E14646" s="6" t="str">
        <f>HYPERLINK("https://inpn.mnhn.fr/espece/cd_nom/247099","Pyropteron meriaeforme (Boisduval, 1840)")</f>
        <v>Pyropteron meriaeforme (Boisduval, 1840)</v>
      </c>
      <c r="F14646" s="5" t="s">
        <v>17284</v>
      </c>
      <c r="AH14646" s="4" t="str">
        <f>HYPERLINK("#Statut_biogéographique!A"&amp;_xlfn.XMATCH("P",Statut_biogéographique!A:A,2,1),"P")</f>
        <v>P</v>
      </c>
      <c r="AP14646" s="4" t="s">
        <v>376</v>
      </c>
      <c r="AR14646" s="4" t="s">
        <v>377</v>
      </c>
    </row>
    <row r="14647" spans="1:44">
      <c r="A14647" s="4" t="s">
        <v>10753</v>
      </c>
      <c r="B14647" s="4">
        <v>247103</v>
      </c>
      <c r="D14647" s="5" t="s">
        <v>17285</v>
      </c>
      <c r="E14647" s="6" t="str">
        <f>HYPERLINK("https://inpn.mnhn.fr/espece/cd_nom/247103","Pyropteron affine (Staudinger, 1856)")</f>
        <v>Pyropteron affine (Staudinger, 1856)</v>
      </c>
      <c r="F14647" s="5" t="s">
        <v>17286</v>
      </c>
      <c r="AH14647" s="4" t="str">
        <f>HYPERLINK("#Statut_biogéographique!A"&amp;_xlfn.XMATCH("P",Statut_biogéographique!A:A,2,1),"P")</f>
        <v>P</v>
      </c>
      <c r="AP14647" s="4" t="s">
        <v>376</v>
      </c>
      <c r="AR14647" s="4" t="s">
        <v>377</v>
      </c>
    </row>
    <row r="14648" spans="1:44" ht="30">
      <c r="A14648" s="4" t="s">
        <v>10753</v>
      </c>
      <c r="B14648" s="4">
        <v>247104</v>
      </c>
      <c r="D14648" s="5" t="s">
        <v>17287</v>
      </c>
      <c r="E14648" s="6" t="str">
        <f>HYPERLINK("https://inpn.mnhn.fr/espece/cd_nom/247104","Bembecia ichneumoniformis (Denis &amp; Schiffermüller, 1775)")</f>
        <v>Bembecia ichneumoniformis (Denis &amp; Schiffermüller, 1775)</v>
      </c>
      <c r="F14648" s="5" t="s">
        <v>17288</v>
      </c>
      <c r="AH14648" s="4" t="str">
        <f>HYPERLINK("#Statut_biogéographique!A"&amp;_xlfn.XMATCH("P",Statut_biogéographique!A:A,2,1),"P")</f>
        <v>P</v>
      </c>
      <c r="AP14648" s="4" t="s">
        <v>376</v>
      </c>
      <c r="AR14648" s="4" t="s">
        <v>377</v>
      </c>
    </row>
    <row r="14649" spans="1:44">
      <c r="A14649" s="4" t="s">
        <v>10753</v>
      </c>
      <c r="B14649" s="4">
        <v>247105</v>
      </c>
      <c r="D14649" s="5" t="s">
        <v>17289</v>
      </c>
      <c r="E14649" s="6" t="str">
        <f>HYPERLINK("https://inpn.mnhn.fr/espece/cd_nom/247105","Bembecia albanensis (Rebel, 1918)")</f>
        <v>Bembecia albanensis (Rebel, 1918)</v>
      </c>
      <c r="F14649" s="5" t="s">
        <v>17290</v>
      </c>
      <c r="AH14649" s="4" t="str">
        <f>HYPERLINK("#Statut_biogéographique!A"&amp;_xlfn.XMATCH("P",Statut_biogéographique!A:A,2,1),"P")</f>
        <v>P</v>
      </c>
      <c r="AP14649" s="4" t="s">
        <v>376</v>
      </c>
      <c r="AR14649" s="4" t="s">
        <v>377</v>
      </c>
    </row>
    <row r="14650" spans="1:44" ht="30">
      <c r="A14650" s="4" t="s">
        <v>10753</v>
      </c>
      <c r="B14650" s="4">
        <v>247109</v>
      </c>
      <c r="D14650" s="5" t="s">
        <v>17291</v>
      </c>
      <c r="E14650" s="6" t="str">
        <f>HYPERLINK("https://inpn.mnhn.fr/espece/cd_nom/247109","Bembecia scopigera (Scopoli, 1763)")</f>
        <v>Bembecia scopigera (Scopoli, 1763)</v>
      </c>
      <c r="F14650" s="5" t="s">
        <v>17292</v>
      </c>
      <c r="AH14650" s="4" t="str">
        <f>HYPERLINK("#Statut_biogéographique!A"&amp;_xlfn.XMATCH("P",Statut_biogéographique!A:A,2,1),"P")</f>
        <v>P</v>
      </c>
      <c r="AP14650" s="4" t="s">
        <v>376</v>
      </c>
      <c r="AR14650" s="4" t="s">
        <v>377</v>
      </c>
    </row>
    <row r="14651" spans="1:44">
      <c r="A14651" s="4" t="s">
        <v>10753</v>
      </c>
      <c r="B14651" s="4">
        <v>247114</v>
      </c>
      <c r="D14651" s="5" t="s">
        <v>17293</v>
      </c>
      <c r="E14651" s="6" t="str">
        <f>HYPERLINK("https://inpn.mnhn.fr/espece/cd_nom/247114","Bembecia uroceriformis (Treitschke, 1834)")</f>
        <v>Bembecia uroceriformis (Treitschke, 1834)</v>
      </c>
      <c r="F14651" s="5" t="s">
        <v>17294</v>
      </c>
      <c r="AH14651" s="4" t="str">
        <f>HYPERLINK("#Statut_biogéographique!A"&amp;_xlfn.XMATCH("P",Statut_biogéographique!A:A,2,1),"P")</f>
        <v>P</v>
      </c>
      <c r="AP14651" s="4" t="s">
        <v>376</v>
      </c>
      <c r="AR14651" s="4" t="s">
        <v>377</v>
      </c>
    </row>
    <row r="14652" spans="1:44" ht="30">
      <c r="A14652" s="4" t="s">
        <v>10753</v>
      </c>
      <c r="B14652" s="4">
        <v>247115</v>
      </c>
      <c r="D14652" s="5" t="s">
        <v>17295</v>
      </c>
      <c r="E14652" s="6" t="str">
        <f>HYPERLINK("https://inpn.mnhn.fr/espece/cd_nom/247115","Synanthedon scoliaeformis (Borkhausen, 1789)")</f>
        <v>Synanthedon scoliaeformis (Borkhausen, 1789)</v>
      </c>
      <c r="F14652" s="5" t="s">
        <v>17296</v>
      </c>
      <c r="AH14652" s="4" t="str">
        <f>HYPERLINK("#Statut_biogéographique!A"&amp;_xlfn.XMATCH("P",Statut_biogéographique!A:A,2,1),"P")</f>
        <v>P</v>
      </c>
      <c r="AP14652" s="4" t="s">
        <v>376</v>
      </c>
      <c r="AR14652" s="4" t="s">
        <v>377</v>
      </c>
    </row>
    <row r="14653" spans="1:44" ht="30">
      <c r="A14653" s="4" t="s">
        <v>10753</v>
      </c>
      <c r="B14653" s="4">
        <v>247117</v>
      </c>
      <c r="D14653" s="5" t="s">
        <v>17297</v>
      </c>
      <c r="E14653" s="6" t="str">
        <f>HYPERLINK("https://inpn.mnhn.fr/espece/cd_nom/247117","Synanthedon spheciformis (Denis &amp; Schiffermüller, 1775)")</f>
        <v>Synanthedon spheciformis (Denis &amp; Schiffermüller, 1775)</v>
      </c>
      <c r="F14653" s="5" t="s">
        <v>17298</v>
      </c>
      <c r="AH14653" s="4" t="str">
        <f>HYPERLINK("#Statut_biogéographique!A"&amp;_xlfn.XMATCH("P",Statut_biogéographique!A:A,2,1),"P")</f>
        <v>P</v>
      </c>
      <c r="AP14653" s="4" t="s">
        <v>376</v>
      </c>
      <c r="AR14653" s="4" t="s">
        <v>377</v>
      </c>
    </row>
    <row r="14654" spans="1:44">
      <c r="A14654" s="4" t="s">
        <v>10753</v>
      </c>
      <c r="B14654" s="4">
        <v>247118</v>
      </c>
      <c r="D14654" s="5" t="s">
        <v>17299</v>
      </c>
      <c r="E14654" s="6" t="str">
        <f>HYPERLINK("https://inpn.mnhn.fr/espece/cd_nom/247118","Synanthedon stomoxiformis (Hübner, 1790)")</f>
        <v>Synanthedon stomoxiformis (Hübner, 1790)</v>
      </c>
      <c r="F14654" s="5" t="s">
        <v>17300</v>
      </c>
      <c r="AH14654" s="4" t="str">
        <f>HYPERLINK("#Statut_biogéographique!A"&amp;_xlfn.XMATCH("P",Statut_biogéographique!A:A,2,1),"P")</f>
        <v>P</v>
      </c>
      <c r="AP14654" s="4" t="s">
        <v>376</v>
      </c>
      <c r="AR14654" s="4" t="s">
        <v>377</v>
      </c>
    </row>
    <row r="14655" spans="1:44">
      <c r="A14655" s="4" t="s">
        <v>10753</v>
      </c>
      <c r="B14655" s="4">
        <v>247119</v>
      </c>
      <c r="D14655" s="5" t="s">
        <v>17301</v>
      </c>
      <c r="E14655" s="6" t="str">
        <f>HYPERLINK("https://inpn.mnhn.fr/espece/cd_nom/247119","Synanthedon culiciformis (Linnaeus, 1758)")</f>
        <v>Synanthedon culiciformis (Linnaeus, 1758)</v>
      </c>
      <c r="F14655" s="5" t="s">
        <v>17302</v>
      </c>
      <c r="AH14655" s="4" t="str">
        <f>HYPERLINK("#Statut_biogéographique!A"&amp;_xlfn.XMATCH("P",Statut_biogéographique!A:A,2,1),"P")</f>
        <v>P</v>
      </c>
      <c r="AP14655" s="4" t="s">
        <v>376</v>
      </c>
      <c r="AR14655" s="4" t="s">
        <v>377</v>
      </c>
    </row>
    <row r="14656" spans="1:44">
      <c r="A14656" s="4" t="s">
        <v>10753</v>
      </c>
      <c r="B14656" s="4">
        <v>247120</v>
      </c>
      <c r="D14656" s="5" t="s">
        <v>17303</v>
      </c>
      <c r="E14656" s="6" t="str">
        <f>HYPERLINK("https://inpn.mnhn.fr/espece/cd_nom/247120","Synanthedon formicaeformis (Esper, 1783)")</f>
        <v>Synanthedon formicaeformis (Esper, 1783)</v>
      </c>
      <c r="F14656" s="5" t="s">
        <v>17304</v>
      </c>
      <c r="AH14656" s="4" t="str">
        <f>HYPERLINK("#Statut_biogéographique!A"&amp;_xlfn.XMATCH("P",Statut_biogéographique!A:A,2,1),"P")</f>
        <v>P</v>
      </c>
      <c r="AP14656" s="4" t="s">
        <v>376</v>
      </c>
      <c r="AR14656" s="4" t="s">
        <v>377</v>
      </c>
    </row>
    <row r="14657" spans="1:44">
      <c r="A14657" s="4" t="s">
        <v>10753</v>
      </c>
      <c r="B14657" s="4">
        <v>247121</v>
      </c>
      <c r="D14657" s="5" t="s">
        <v>17305</v>
      </c>
      <c r="E14657" s="6" t="str">
        <f>HYPERLINK("https://inpn.mnhn.fr/espece/cd_nom/247121","Synanthedon flaviventris (Staudinger, 1883)")</f>
        <v>Synanthedon flaviventris (Staudinger, 1883)</v>
      </c>
      <c r="F14657" s="5" t="s">
        <v>17306</v>
      </c>
      <c r="AH14657" s="4" t="str">
        <f>HYPERLINK("#Statut_biogéographique!A"&amp;_xlfn.XMATCH("P",Statut_biogéographique!A:A,2,1),"P")</f>
        <v>P</v>
      </c>
      <c r="AP14657" s="4" t="s">
        <v>376</v>
      </c>
      <c r="AR14657" s="4" t="s">
        <v>377</v>
      </c>
    </row>
    <row r="14658" spans="1:44" ht="30">
      <c r="A14658" s="4" t="s">
        <v>10753</v>
      </c>
      <c r="B14658" s="4">
        <v>247122</v>
      </c>
      <c r="D14658" s="5" t="s">
        <v>17307</v>
      </c>
      <c r="E14658" s="6" t="str">
        <f>HYPERLINK("https://inpn.mnhn.fr/espece/cd_nom/247122","Synanthedon andrenaeformis (Laspeyres, 1801)")</f>
        <v>Synanthedon andrenaeformis (Laspeyres, 1801)</v>
      </c>
      <c r="F14658" s="5" t="s">
        <v>17308</v>
      </c>
      <c r="AH14658" s="4" t="str">
        <f>HYPERLINK("#Statut_biogéographique!A"&amp;_xlfn.XMATCH("P",Statut_biogéographique!A:A,2,1),"P")</f>
        <v>P</v>
      </c>
      <c r="AP14658" s="4" t="s">
        <v>376</v>
      </c>
      <c r="AR14658" s="4" t="s">
        <v>377</v>
      </c>
    </row>
    <row r="14659" spans="1:44">
      <c r="A14659" s="4" t="s">
        <v>10753</v>
      </c>
      <c r="B14659" s="4">
        <v>247123</v>
      </c>
      <c r="D14659" s="5">
        <v>247123</v>
      </c>
      <c r="E14659" s="6" t="str">
        <f>HYPERLINK("https://inpn.mnhn.fr/espece/cd_nom/247123","Synanthedon soffneri Špatenka, 1983")</f>
        <v>Synanthedon soffneri Špatenka, 1983</v>
      </c>
      <c r="F14659" s="5" t="s">
        <v>17309</v>
      </c>
      <c r="AH14659" s="4" t="str">
        <f>HYPERLINK("#Statut_biogéographique!A"&amp;_xlfn.XMATCH("P",Statut_biogéographique!A:A,2,1),"P")</f>
        <v>P</v>
      </c>
      <c r="AP14659" s="4" t="s">
        <v>376</v>
      </c>
      <c r="AR14659" s="4" t="s">
        <v>377</v>
      </c>
    </row>
    <row r="14660" spans="1:44" ht="30">
      <c r="A14660" s="4" t="s">
        <v>10753</v>
      </c>
      <c r="B14660" s="4">
        <v>247125</v>
      </c>
      <c r="D14660" s="5" t="s">
        <v>17310</v>
      </c>
      <c r="E14660" s="6" t="str">
        <f>HYPERLINK("https://inpn.mnhn.fr/espece/cd_nom/247125","Synanthedon myopaeformis (Borkhausen, 1789)")</f>
        <v>Synanthedon myopaeformis (Borkhausen, 1789)</v>
      </c>
      <c r="F14660" s="5" t="s">
        <v>17311</v>
      </c>
      <c r="AH14660" s="4" t="str">
        <f>HYPERLINK("#Statut_biogéographique!A"&amp;_xlfn.XMATCH("P",Statut_biogéographique!A:A,2,1),"P")</f>
        <v>P</v>
      </c>
      <c r="AP14660" s="4" t="s">
        <v>376</v>
      </c>
      <c r="AR14660" s="4" t="s">
        <v>377</v>
      </c>
    </row>
    <row r="14661" spans="1:44" ht="30">
      <c r="A14661" s="4" t="s">
        <v>10753</v>
      </c>
      <c r="B14661" s="4">
        <v>247126</v>
      </c>
      <c r="D14661" s="5" t="s">
        <v>17312</v>
      </c>
      <c r="E14661" s="6" t="str">
        <f>HYPERLINK("https://inpn.mnhn.fr/espece/cd_nom/247126","Synanthedon vespiformis (Linnaeus, 1761)")</f>
        <v>Synanthedon vespiformis (Linnaeus, 1761)</v>
      </c>
      <c r="F14661" s="5" t="s">
        <v>17313</v>
      </c>
      <c r="AH14661" s="4" t="str">
        <f>HYPERLINK("#Statut_biogéographique!A"&amp;_xlfn.XMATCH("P",Statut_biogéographique!A:A,2,1),"P")</f>
        <v>P</v>
      </c>
      <c r="AP14661" s="4" t="s">
        <v>376</v>
      </c>
      <c r="AR14661" s="4" t="s">
        <v>377</v>
      </c>
    </row>
    <row r="14662" spans="1:44">
      <c r="A14662" s="4" t="s">
        <v>10753</v>
      </c>
      <c r="B14662" s="4">
        <v>247128</v>
      </c>
      <c r="D14662" s="5" t="s">
        <v>17314</v>
      </c>
      <c r="E14662" s="6" t="str">
        <f>HYPERLINK("https://inpn.mnhn.fr/espece/cd_nom/247128","Synanthedon conopiformis (Esper, 1782)")</f>
        <v>Synanthedon conopiformis (Esper, 1782)</v>
      </c>
      <c r="F14662" s="5" t="s">
        <v>17315</v>
      </c>
      <c r="AH14662" s="4" t="str">
        <f>HYPERLINK("#Statut_biogéographique!A"&amp;_xlfn.XMATCH("P",Statut_biogéographique!A:A,2,1),"P")</f>
        <v>P</v>
      </c>
      <c r="AP14662" s="4" t="s">
        <v>376</v>
      </c>
      <c r="AR14662" s="4" t="s">
        <v>377</v>
      </c>
    </row>
    <row r="14663" spans="1:44">
      <c r="A14663" s="4" t="s">
        <v>10753</v>
      </c>
      <c r="B14663" s="4">
        <v>247129</v>
      </c>
      <c r="D14663" s="5" t="s">
        <v>17316</v>
      </c>
      <c r="E14663" s="6" t="str">
        <f>HYPERLINK("https://inpn.mnhn.fr/espece/cd_nom/247129","Synanthedon tipuliformis (Clerck, 1759)")</f>
        <v>Synanthedon tipuliformis (Clerck, 1759)</v>
      </c>
      <c r="F14663" s="5" t="s">
        <v>17317</v>
      </c>
      <c r="AH14663" s="4" t="str">
        <f>HYPERLINK("#Statut_biogéographique!A"&amp;_xlfn.XMATCH("P",Statut_biogéographique!A:A,2,1),"P")</f>
        <v>P</v>
      </c>
      <c r="AP14663" s="4" t="s">
        <v>376</v>
      </c>
      <c r="AR14663" s="4" t="s">
        <v>377</v>
      </c>
    </row>
    <row r="14664" spans="1:44">
      <c r="A14664" s="4" t="s">
        <v>10753</v>
      </c>
      <c r="B14664" s="4">
        <v>247130</v>
      </c>
      <c r="D14664" s="5" t="s">
        <v>17318</v>
      </c>
      <c r="E14664" s="6" t="str">
        <f>HYPERLINK("https://inpn.mnhn.fr/espece/cd_nom/247130","Synanthedon spuleri (Fuchs, 1908)")</f>
        <v>Synanthedon spuleri (Fuchs, 1908)</v>
      </c>
      <c r="F14664" s="5" t="s">
        <v>17319</v>
      </c>
      <c r="AH14664" s="4" t="str">
        <f>HYPERLINK("#Statut_biogéographique!A"&amp;_xlfn.XMATCH("P",Statut_biogéographique!A:A,2,1),"P")</f>
        <v>P</v>
      </c>
      <c r="AP14664" s="4" t="s">
        <v>376</v>
      </c>
      <c r="AR14664" s="4" t="s">
        <v>377</v>
      </c>
    </row>
    <row r="14665" spans="1:44">
      <c r="A14665" s="4" t="s">
        <v>10753</v>
      </c>
      <c r="B14665" s="4">
        <v>247134</v>
      </c>
      <c r="D14665" s="5" t="s">
        <v>17320</v>
      </c>
      <c r="E14665" s="6" t="str">
        <f>HYPERLINK("https://inpn.mnhn.fr/espece/cd_nom/247134","Pennisetia hylaeiformis (Laspeyres, 1801)")</f>
        <v>Pennisetia hylaeiformis (Laspeyres, 1801)</v>
      </c>
      <c r="F14665" s="5" t="s">
        <v>17321</v>
      </c>
      <c r="AH14665" s="4" t="str">
        <f>HYPERLINK("#Statut_biogéographique!A"&amp;_xlfn.XMATCH("P",Statut_biogéographique!A:A,2,1),"P")</f>
        <v>P</v>
      </c>
      <c r="AP14665" s="4" t="s">
        <v>376</v>
      </c>
      <c r="AR14665" s="4" t="s">
        <v>377</v>
      </c>
    </row>
    <row r="14666" spans="1:44">
      <c r="A14666" s="4" t="s">
        <v>10753</v>
      </c>
      <c r="B14666" s="4">
        <v>247135</v>
      </c>
      <c r="D14666" s="5" t="s">
        <v>17322</v>
      </c>
      <c r="E14666" s="6" t="str">
        <f>HYPERLINK("https://inpn.mnhn.fr/espece/cd_nom/247135","Phragmataecia castaneae (Hübner, 1790)")</f>
        <v>Phragmataecia castaneae (Hübner, 1790)</v>
      </c>
      <c r="F14666" s="5" t="s">
        <v>17323</v>
      </c>
      <c r="AH14666" s="4" t="str">
        <f>HYPERLINK("#Statut_biogéographique!A"&amp;_xlfn.XMATCH("P",Statut_biogéographique!A:A,2,1),"P")</f>
        <v>P</v>
      </c>
      <c r="AP14666" s="4" t="s">
        <v>376</v>
      </c>
      <c r="AR14666" s="4" t="s">
        <v>377</v>
      </c>
    </row>
    <row r="14667" spans="1:44" ht="30">
      <c r="A14667" s="4" t="s">
        <v>10753</v>
      </c>
      <c r="B14667" s="4">
        <v>247136</v>
      </c>
      <c r="D14667" s="5" t="s">
        <v>17324</v>
      </c>
      <c r="E14667" s="6" t="str">
        <f>HYPERLINK("https://inpn.mnhn.fr/espece/cd_nom/247136","Zeuzera pyrina (Linnaeus, 1761)")</f>
        <v>Zeuzera pyrina (Linnaeus, 1761)</v>
      </c>
      <c r="F14667" s="5" t="s">
        <v>17325</v>
      </c>
      <c r="AH14667" s="4" t="str">
        <f>HYPERLINK("#Statut_biogéographique!A"&amp;_xlfn.XMATCH("P",Statut_biogéographique!A:A,2,1),"P")</f>
        <v>P</v>
      </c>
      <c r="AP14667" s="4" t="s">
        <v>376</v>
      </c>
      <c r="AR14667" s="4" t="s">
        <v>377</v>
      </c>
    </row>
    <row r="14668" spans="1:44">
      <c r="A14668" s="4" t="s">
        <v>10753</v>
      </c>
      <c r="B14668" s="4">
        <v>247138</v>
      </c>
      <c r="D14668" s="5" t="s">
        <v>17326</v>
      </c>
      <c r="E14668" s="6" t="str">
        <f>HYPERLINK("https://inpn.mnhn.fr/espece/cd_nom/247138","Dyspessa ulula (Borkhausen, 1790)")</f>
        <v>Dyspessa ulula (Borkhausen, 1790)</v>
      </c>
      <c r="F14668" s="5" t="s">
        <v>17327</v>
      </c>
      <c r="AH14668" s="4" t="str">
        <f>HYPERLINK("#Statut_biogéographique!A"&amp;_xlfn.XMATCH("P",Statut_biogéographique!A:A,2,1),"P")</f>
        <v>P</v>
      </c>
      <c r="AP14668" s="4" t="s">
        <v>376</v>
      </c>
      <c r="AR14668" s="4" t="s">
        <v>377</v>
      </c>
    </row>
    <row r="14669" spans="1:44" ht="30">
      <c r="A14669" s="4" t="s">
        <v>10753</v>
      </c>
      <c r="B14669" s="4">
        <v>24714</v>
      </c>
      <c r="D14669" s="5" t="s">
        <v>17328</v>
      </c>
      <c r="E14669" s="6" t="str">
        <f>HYPERLINK("https://inpn.mnhn.fr/espece/cd_nom/24714","Noeeta pupillata (Fallén, 1814)")</f>
        <v>Noeeta pupillata (Fallén, 1814)</v>
      </c>
      <c r="AH14669" s="4" t="str">
        <f>HYPERLINK("#Statut_biogéographique!A"&amp;_xlfn.XMATCH("P",Statut_biogéographique!A:A,2,1),"P")</f>
        <v>P</v>
      </c>
      <c r="AP14669" s="4" t="s">
        <v>376</v>
      </c>
      <c r="AR14669" s="4" t="s">
        <v>377</v>
      </c>
    </row>
    <row r="14670" spans="1:44">
      <c r="A14670" s="4" t="s">
        <v>10753</v>
      </c>
      <c r="B14670" s="4">
        <v>247141</v>
      </c>
      <c r="D14670" s="5" t="s">
        <v>17329</v>
      </c>
      <c r="E14670" s="6" t="str">
        <f>HYPERLINK("https://inpn.mnhn.fr/espece/cd_nom/247141","Cossus cossus (Linnaeus, 1758)")</f>
        <v>Cossus cossus (Linnaeus, 1758)</v>
      </c>
      <c r="F14670" s="5" t="s">
        <v>17330</v>
      </c>
      <c r="AH14670" s="4" t="str">
        <f>HYPERLINK("#Statut_biogéographique!A"&amp;_xlfn.XMATCH("P",Statut_biogéographique!A:A,2,1),"P")</f>
        <v>P</v>
      </c>
      <c r="AP14670" s="4" t="s">
        <v>376</v>
      </c>
      <c r="AR14670" s="4" t="s">
        <v>377</v>
      </c>
    </row>
    <row r="14671" spans="1:44">
      <c r="A14671" s="4" t="s">
        <v>10753</v>
      </c>
      <c r="B14671" s="4">
        <v>247142</v>
      </c>
      <c r="D14671" s="5" t="s">
        <v>17331</v>
      </c>
      <c r="E14671" s="6" t="str">
        <f>HYPERLINK("https://inpn.mnhn.fr/espece/cd_nom/247142","Bactra lancealana (Hübner, 1799)")</f>
        <v>Bactra lancealana (Hübner, 1799)</v>
      </c>
      <c r="AH14671" s="4" t="str">
        <f>HYPERLINK("#Statut_biogéographique!A"&amp;_xlfn.XMATCH("P",Statut_biogéographique!A:A,2,1),"P")</f>
        <v>P</v>
      </c>
      <c r="AP14671" s="4" t="s">
        <v>376</v>
      </c>
      <c r="AR14671" s="4" t="s">
        <v>377</v>
      </c>
    </row>
    <row r="14672" spans="1:44">
      <c r="A14672" s="4" t="s">
        <v>10753</v>
      </c>
      <c r="B14672" s="4">
        <v>247143</v>
      </c>
      <c r="D14672" s="5" t="s">
        <v>17332</v>
      </c>
      <c r="E14672" s="6" t="str">
        <f>HYPERLINK("https://inpn.mnhn.fr/espece/cd_nom/247143","Bactra furfurana (Haworth, 1811)")</f>
        <v>Bactra furfurana (Haworth, 1811)</v>
      </c>
      <c r="AH14672" s="4" t="str">
        <f>HYPERLINK("#Statut_biogéographique!A"&amp;_xlfn.XMATCH("P",Statut_biogéographique!A:A,2,1),"P")</f>
        <v>P</v>
      </c>
      <c r="AP14672" s="4" t="s">
        <v>376</v>
      </c>
      <c r="AR14672" s="4" t="s">
        <v>377</v>
      </c>
    </row>
    <row r="14673" spans="1:44" ht="30">
      <c r="A14673" s="4" t="s">
        <v>10753</v>
      </c>
      <c r="B14673" s="4">
        <v>247147</v>
      </c>
      <c r="D14673" s="5" t="s">
        <v>17333</v>
      </c>
      <c r="E14673" s="6" t="str">
        <f>HYPERLINK("https://inpn.mnhn.fr/espece/cd_nom/247147","Endothenia gentianaeana (Hübner, 1799)")</f>
        <v>Endothenia gentianaeana (Hübner, 1799)</v>
      </c>
      <c r="AH14673" s="4" t="str">
        <f>HYPERLINK("#Statut_biogéographique!A"&amp;_xlfn.XMATCH("P",Statut_biogéographique!A:A,2,1),"P")</f>
        <v>P</v>
      </c>
      <c r="AP14673" s="4" t="s">
        <v>376</v>
      </c>
      <c r="AR14673" s="4" t="s">
        <v>377</v>
      </c>
    </row>
    <row r="14674" spans="1:44">
      <c r="A14674" s="4" t="s">
        <v>10753</v>
      </c>
      <c r="B14674" s="4">
        <v>247148</v>
      </c>
      <c r="D14674" s="5" t="s">
        <v>17334</v>
      </c>
      <c r="E14674" s="6" t="str">
        <f>HYPERLINK("https://inpn.mnhn.fr/espece/cd_nom/247148","Endothenia oblongana (Haworth, 1811)")</f>
        <v>Endothenia oblongana (Haworth, 1811)</v>
      </c>
      <c r="AH14674" s="4" t="str">
        <f>HYPERLINK("#Statut_biogéographique!A"&amp;_xlfn.XMATCH("P",Statut_biogéographique!A:A,2,1),"P")</f>
        <v>P</v>
      </c>
      <c r="AP14674" s="4" t="s">
        <v>376</v>
      </c>
      <c r="AR14674" s="4" t="s">
        <v>377</v>
      </c>
    </row>
    <row r="14675" spans="1:44">
      <c r="A14675" s="4" t="s">
        <v>10753</v>
      </c>
      <c r="B14675" s="4">
        <v>247149</v>
      </c>
      <c r="D14675" s="5" t="s">
        <v>17335</v>
      </c>
      <c r="E14675" s="6" t="str">
        <f>HYPERLINK("https://inpn.mnhn.fr/espece/cd_nom/247149","Endothenia marginana (Haworth, 1811)")</f>
        <v>Endothenia marginana (Haworth, 1811)</v>
      </c>
      <c r="AH14675" s="4" t="str">
        <f>HYPERLINK("#Statut_biogéographique!A"&amp;_xlfn.XMATCH("P",Statut_biogéographique!A:A,2,1),"P")</f>
        <v>P</v>
      </c>
      <c r="AP14675" s="4" t="s">
        <v>376</v>
      </c>
      <c r="AR14675" s="4" t="s">
        <v>377</v>
      </c>
    </row>
    <row r="14676" spans="1:44">
      <c r="A14676" s="4" t="s">
        <v>10753</v>
      </c>
      <c r="B14676" s="4">
        <v>247151</v>
      </c>
      <c r="D14676" s="5" t="s">
        <v>17336</v>
      </c>
      <c r="E14676" s="6" t="str">
        <f>HYPERLINK("https://inpn.mnhn.fr/espece/cd_nom/247151","Endothenia ustulana (Haworth, 1811)")</f>
        <v>Endothenia ustulana (Haworth, 1811)</v>
      </c>
      <c r="AH14676" s="4" t="str">
        <f>HYPERLINK("#Statut_biogéographique!A"&amp;_xlfn.XMATCH("P",Statut_biogéographique!A:A,2,1),"P")</f>
        <v>P</v>
      </c>
      <c r="AP14676" s="4" t="s">
        <v>376</v>
      </c>
      <c r="AR14676" s="4" t="s">
        <v>377</v>
      </c>
    </row>
    <row r="14677" spans="1:44">
      <c r="A14677" s="4" t="s">
        <v>10753</v>
      </c>
      <c r="B14677" s="4">
        <v>247153</v>
      </c>
      <c r="D14677" s="5" t="s">
        <v>17337</v>
      </c>
      <c r="E14677" s="6" t="str">
        <f>HYPERLINK("https://inpn.mnhn.fr/espece/cd_nom/247153","Endothenia nigricostana (Haworth, 1811)")</f>
        <v>Endothenia nigricostana (Haworth, 1811)</v>
      </c>
      <c r="AH14677" s="4" t="str">
        <f>HYPERLINK("#Statut_biogéographique!A"&amp;_xlfn.XMATCH("P",Statut_biogéographique!A:A,2,1),"P")</f>
        <v>P</v>
      </c>
      <c r="AP14677" s="4" t="s">
        <v>376</v>
      </c>
      <c r="AR14677" s="4" t="s">
        <v>377</v>
      </c>
    </row>
    <row r="14678" spans="1:44" ht="30">
      <c r="A14678" s="4" t="s">
        <v>10753</v>
      </c>
      <c r="B14678" s="4">
        <v>247154</v>
      </c>
      <c r="D14678" s="5" t="s">
        <v>17338</v>
      </c>
      <c r="E14678" s="6" t="str">
        <f>HYPERLINK("https://inpn.mnhn.fr/espece/cd_nom/247154","Endothenia ericetana (Humphreys &amp; Westwood, 1845)")</f>
        <v>Endothenia ericetana (Humphreys &amp; Westwood, 1845)</v>
      </c>
      <c r="AH14678" s="4" t="str">
        <f>HYPERLINK("#Statut_biogéographique!A"&amp;_xlfn.XMATCH("P",Statut_biogéographique!A:A,2,1),"P")</f>
        <v>P</v>
      </c>
      <c r="AP14678" s="4" t="s">
        <v>376</v>
      </c>
      <c r="AR14678" s="4" t="s">
        <v>377</v>
      </c>
    </row>
    <row r="14679" spans="1:44" ht="30">
      <c r="A14679" s="4" t="s">
        <v>10753</v>
      </c>
      <c r="B14679" s="4">
        <v>247155</v>
      </c>
      <c r="D14679" s="5" t="s">
        <v>17339</v>
      </c>
      <c r="E14679" s="6" t="str">
        <f>HYPERLINK("https://inpn.mnhn.fr/espece/cd_nom/247155","Endothenia quadrimaculana (Haworth, 1811)")</f>
        <v>Endothenia quadrimaculana (Haworth, 1811)</v>
      </c>
      <c r="AH14679" s="4" t="str">
        <f>HYPERLINK("#Statut_biogéographique!A"&amp;_xlfn.XMATCH("P",Statut_biogéographique!A:A,2,1),"P")</f>
        <v>P</v>
      </c>
      <c r="AP14679" s="4" t="s">
        <v>376</v>
      </c>
      <c r="AR14679" s="4" t="s">
        <v>377</v>
      </c>
    </row>
    <row r="14680" spans="1:44">
      <c r="A14680" s="4" t="s">
        <v>10753</v>
      </c>
      <c r="B14680" s="4">
        <v>247157</v>
      </c>
      <c r="D14680" s="5" t="s">
        <v>17340</v>
      </c>
      <c r="E14680" s="6" t="str">
        <f>HYPERLINK("https://inpn.mnhn.fr/espece/cd_nom/247157","Pelatea klugiana (Freyer, 1836)")</f>
        <v>Pelatea klugiana (Freyer, 1836)</v>
      </c>
      <c r="AH14680" s="4" t="str">
        <f>HYPERLINK("#Statut_biogéographique!A"&amp;_xlfn.XMATCH("P",Statut_biogéographique!A:A,2,1),"P")</f>
        <v>P</v>
      </c>
      <c r="AP14680" s="4" t="s">
        <v>376</v>
      </c>
      <c r="AR14680" s="4" t="s">
        <v>377</v>
      </c>
    </row>
    <row r="14681" spans="1:44">
      <c r="A14681" s="4" t="s">
        <v>10753</v>
      </c>
      <c r="B14681" s="4">
        <v>247158</v>
      </c>
      <c r="D14681" s="5" t="s">
        <v>17341</v>
      </c>
      <c r="E14681" s="6" t="str">
        <f>HYPERLINK("https://inpn.mnhn.fr/espece/cd_nom/247158","Pseudohermenias abietana (Fabricius, 1787)")</f>
        <v>Pseudohermenias abietana (Fabricius, 1787)</v>
      </c>
      <c r="AH14681" s="4" t="str">
        <f>HYPERLINK("#Statut_biogéographique!A"&amp;_xlfn.XMATCH("P",Statut_biogéographique!A:A,2,1),"P")</f>
        <v>P</v>
      </c>
      <c r="AP14681" s="4" t="s">
        <v>376</v>
      </c>
      <c r="AR14681" s="4" t="s">
        <v>377</v>
      </c>
    </row>
    <row r="14682" spans="1:44" ht="30">
      <c r="A14682" s="4" t="s">
        <v>10753</v>
      </c>
      <c r="B14682" s="4">
        <v>247159</v>
      </c>
      <c r="D14682" s="5" t="s">
        <v>17342</v>
      </c>
      <c r="E14682" s="6" t="str">
        <f>HYPERLINK("https://inpn.mnhn.fr/espece/cd_nom/247159","Piniphila bifasciana (Haworth, 1811)")</f>
        <v>Piniphila bifasciana (Haworth, 1811)</v>
      </c>
      <c r="AH14682" s="4" t="str">
        <f>HYPERLINK("#Statut_biogéographique!A"&amp;_xlfn.XMATCH("P",Statut_biogéographique!A:A,2,1),"P")</f>
        <v>P</v>
      </c>
      <c r="AP14682" s="4" t="s">
        <v>376</v>
      </c>
      <c r="AR14682" s="4" t="s">
        <v>377</v>
      </c>
    </row>
    <row r="14683" spans="1:44">
      <c r="A14683" s="4" t="s">
        <v>10753</v>
      </c>
      <c r="B14683" s="4">
        <v>247160</v>
      </c>
      <c r="D14683" s="5" t="s">
        <v>17343</v>
      </c>
      <c r="E14683" s="6" t="str">
        <f>HYPERLINK("https://inpn.mnhn.fr/espece/cd_nom/247160","Olethreutes arcuella (Clerck, 1759)")</f>
        <v>Olethreutes arcuella (Clerck, 1759)</v>
      </c>
      <c r="AH14683" s="4" t="str">
        <f>HYPERLINK("#Statut_biogéographique!A"&amp;_xlfn.XMATCH("P",Statut_biogéographique!A:A,2,1),"P")</f>
        <v>P</v>
      </c>
      <c r="AP14683" s="4" t="s">
        <v>376</v>
      </c>
      <c r="AR14683" s="4" t="s">
        <v>377</v>
      </c>
    </row>
    <row r="14684" spans="1:44" ht="30">
      <c r="A14684" s="4" t="s">
        <v>10753</v>
      </c>
      <c r="B14684" s="4">
        <v>247165</v>
      </c>
      <c r="D14684" s="5" t="s">
        <v>17344</v>
      </c>
      <c r="E14684" s="6" t="str">
        <f>HYPERLINK("https://inpn.mnhn.fr/espece/cd_nom/247165","Cymolomia hartigiana (Saxesen in Ratzeburg, 1840)")</f>
        <v>Cymolomia hartigiana (Saxesen in Ratzeburg, 1840)</v>
      </c>
      <c r="AH14684" s="4" t="str">
        <f>HYPERLINK("#Statut_biogéographique!A"&amp;_xlfn.XMATCH("P",Statut_biogéographique!A:A,2,1),"P")</f>
        <v>P</v>
      </c>
      <c r="AP14684" s="4" t="s">
        <v>376</v>
      </c>
      <c r="AR14684" s="4" t="s">
        <v>377</v>
      </c>
    </row>
    <row r="14685" spans="1:44">
      <c r="A14685" s="4" t="s">
        <v>10753</v>
      </c>
      <c r="B14685" s="4">
        <v>247166</v>
      </c>
      <c r="D14685" s="5" t="s">
        <v>17345</v>
      </c>
      <c r="E14685" s="6" t="str">
        <f>HYPERLINK("https://inpn.mnhn.fr/espece/cd_nom/247166","Pristerognatha penthinana (Guenée, 1845)")</f>
        <v>Pristerognatha penthinana (Guenée, 1845)</v>
      </c>
      <c r="AH14685" s="4" t="str">
        <f>HYPERLINK("#Statut_biogéographique!A"&amp;_xlfn.XMATCH("P",Statut_biogéographique!A:A,2,1),"P")</f>
        <v>P</v>
      </c>
      <c r="AP14685" s="4" t="s">
        <v>376</v>
      </c>
      <c r="AR14685" s="4" t="s">
        <v>377</v>
      </c>
    </row>
    <row r="14686" spans="1:44">
      <c r="A14686" s="4" t="s">
        <v>10753</v>
      </c>
      <c r="B14686" s="4">
        <v>247182</v>
      </c>
      <c r="D14686" s="5" t="s">
        <v>17346</v>
      </c>
      <c r="E14686" s="6" t="str">
        <f>HYPERLINK("https://inpn.mnhn.fr/espece/cd_nom/247182","Celypha rufana (Scopoli, 1763)")</f>
        <v>Celypha rufana (Scopoli, 1763)</v>
      </c>
      <c r="AH14686" s="4" t="str">
        <f>HYPERLINK("#Statut_biogéographique!A"&amp;_xlfn.XMATCH("P",Statut_biogéographique!A:A,2,1),"P")</f>
        <v>P</v>
      </c>
      <c r="AP14686" s="4" t="s">
        <v>376</v>
      </c>
      <c r="AR14686" s="4" t="s">
        <v>377</v>
      </c>
    </row>
    <row r="14687" spans="1:44" ht="30">
      <c r="A14687" s="4" t="s">
        <v>10753</v>
      </c>
      <c r="B14687" s="4">
        <v>247183</v>
      </c>
      <c r="D14687" s="5" t="s">
        <v>17347</v>
      </c>
      <c r="E14687" s="6" t="str">
        <f>HYPERLINK("https://inpn.mnhn.fr/espece/cd_nom/247183","Celypha striana (Denis &amp; Schiffermüller, 1775)")</f>
        <v>Celypha striana (Denis &amp; Schiffermüller, 1775)</v>
      </c>
      <c r="AH14687" s="4" t="str">
        <f>HYPERLINK("#Statut_biogéographique!A"&amp;_xlfn.XMATCH("P",Statut_biogéographique!A:A,2,1),"P")</f>
        <v>P</v>
      </c>
      <c r="AP14687" s="4" t="s">
        <v>376</v>
      </c>
      <c r="AR14687" s="4" t="s">
        <v>377</v>
      </c>
    </row>
    <row r="14688" spans="1:44" ht="30">
      <c r="A14688" s="4" t="s">
        <v>10753</v>
      </c>
      <c r="B14688" s="4">
        <v>247185</v>
      </c>
      <c r="D14688" s="5" t="s">
        <v>17348</v>
      </c>
      <c r="E14688" s="6" t="str">
        <f>HYPERLINK("https://inpn.mnhn.fr/espece/cd_nom/247185","Celypha rurestrana (Duponchel, 1843)")</f>
        <v>Celypha rurestrana (Duponchel, 1843)</v>
      </c>
      <c r="AH14688" s="4" t="str">
        <f>HYPERLINK("#Statut_biogéographique!A"&amp;_xlfn.XMATCH("P",Statut_biogéographique!A:A,2,1),"P")</f>
        <v>P</v>
      </c>
      <c r="AP14688" s="4" t="s">
        <v>376</v>
      </c>
      <c r="AR14688" s="4" t="s">
        <v>377</v>
      </c>
    </row>
    <row r="14689" spans="1:44">
      <c r="A14689" s="4" t="s">
        <v>10753</v>
      </c>
      <c r="B14689" s="4">
        <v>247188</v>
      </c>
      <c r="D14689" s="5" t="s">
        <v>17349</v>
      </c>
      <c r="E14689" s="6" t="str">
        <f>HYPERLINK("https://inpn.mnhn.fr/espece/cd_nom/247188","Celypha cespitana (Hübner, 1817)")</f>
        <v>Celypha cespitana (Hübner, 1817)</v>
      </c>
      <c r="AH14689" s="4" t="str">
        <f>HYPERLINK("#Statut_biogéographique!A"&amp;_xlfn.XMATCH("P",Statut_biogéographique!A:A,2,1),"P")</f>
        <v>P</v>
      </c>
      <c r="AP14689" s="4" t="s">
        <v>376</v>
      </c>
      <c r="AR14689" s="4" t="s">
        <v>377</v>
      </c>
    </row>
    <row r="14690" spans="1:44" ht="30">
      <c r="A14690" s="4" t="s">
        <v>10753</v>
      </c>
      <c r="B14690" s="4">
        <v>247190</v>
      </c>
      <c r="D14690" s="5" t="s">
        <v>17350</v>
      </c>
      <c r="E14690" s="6" t="str">
        <f>HYPERLINK("https://inpn.mnhn.fr/espece/cd_nom/247190","Celypha lacunana (Denis &amp; Schiffermüller, 1775)")</f>
        <v>Celypha lacunana (Denis &amp; Schiffermüller, 1775)</v>
      </c>
      <c r="AH14690" s="4" t="str">
        <f>HYPERLINK("#Statut_biogéographique!A"&amp;_xlfn.XMATCH("P",Statut_biogéographique!A:A,2,1),"P")</f>
        <v>P</v>
      </c>
      <c r="AP14690" s="4" t="s">
        <v>376</v>
      </c>
      <c r="AR14690" s="4" t="s">
        <v>377</v>
      </c>
    </row>
    <row r="14691" spans="1:44">
      <c r="A14691" s="4" t="s">
        <v>10753</v>
      </c>
      <c r="B14691" s="4">
        <v>247191</v>
      </c>
      <c r="D14691" s="5" t="s">
        <v>17351</v>
      </c>
      <c r="E14691" s="6" t="str">
        <f>HYPERLINK("https://inpn.mnhn.fr/espece/cd_nom/247191","Celypha siderana (Treitschke, 1835)")</f>
        <v>Celypha siderana (Treitschke, 1835)</v>
      </c>
      <c r="AH14691" s="4" t="str">
        <f>HYPERLINK("#Statut_biogéographique!A"&amp;_xlfn.XMATCH("P",Statut_biogéographique!A:A,2,1),"P")</f>
        <v>P</v>
      </c>
      <c r="AP14691" s="4" t="s">
        <v>376</v>
      </c>
      <c r="AR14691" s="4" t="s">
        <v>377</v>
      </c>
    </row>
    <row r="14692" spans="1:44" ht="30">
      <c r="A14692" s="4" t="s">
        <v>10753</v>
      </c>
      <c r="B14692" s="4">
        <v>247192</v>
      </c>
      <c r="D14692" s="5" t="s">
        <v>17352</v>
      </c>
      <c r="E14692" s="6" t="str">
        <f>HYPERLINK("https://inpn.mnhn.fr/espece/cd_nom/247192","Celypha rivulana (Scopoli, 1763)")</f>
        <v>Celypha rivulana (Scopoli, 1763)</v>
      </c>
      <c r="AH14692" s="4" t="str">
        <f>HYPERLINK("#Statut_biogéographique!A"&amp;_xlfn.XMATCH("P",Statut_biogéographique!A:A,2,1),"P")</f>
        <v>P</v>
      </c>
      <c r="AP14692" s="4" t="s">
        <v>376</v>
      </c>
      <c r="AR14692" s="4" t="s">
        <v>377</v>
      </c>
    </row>
    <row r="14693" spans="1:44">
      <c r="A14693" s="4" t="s">
        <v>10753</v>
      </c>
      <c r="B14693" s="4">
        <v>247194</v>
      </c>
      <c r="D14693" s="5" t="s">
        <v>17353</v>
      </c>
      <c r="E14693" s="6" t="str">
        <f>HYPERLINK("https://inpn.mnhn.fr/espece/cd_nom/247194","Celypha aurofasciana (Haworth, 1811)")</f>
        <v>Celypha aurofasciana (Haworth, 1811)</v>
      </c>
      <c r="AH14693" s="4" t="str">
        <f>HYPERLINK("#Statut_biogéographique!A"&amp;_xlfn.XMATCH("P",Statut_biogéographique!A:A,2,1),"P")</f>
        <v>P</v>
      </c>
      <c r="AP14693" s="4" t="s">
        <v>376</v>
      </c>
      <c r="AR14693" s="4" t="s">
        <v>377</v>
      </c>
    </row>
    <row r="14694" spans="1:44" ht="30">
      <c r="A14694" s="4" t="s">
        <v>10753</v>
      </c>
      <c r="B14694" s="4">
        <v>247195</v>
      </c>
      <c r="D14694" s="5" t="s">
        <v>17354</v>
      </c>
      <c r="E14694" s="6" t="str">
        <f>HYPERLINK("https://inpn.mnhn.fr/espece/cd_nom/247195","Metendothenia atropunctana (Zetterstedt, 1839)")</f>
        <v>Metendothenia atropunctana (Zetterstedt, 1839)</v>
      </c>
      <c r="AH14694" s="4" t="str">
        <f>HYPERLINK("#Statut_biogéographique!A"&amp;_xlfn.XMATCH("P",Statut_biogéographique!A:A,2,1),"P")</f>
        <v>P</v>
      </c>
      <c r="AP14694" s="4" t="s">
        <v>376</v>
      </c>
      <c r="AR14694" s="4" t="s">
        <v>377</v>
      </c>
    </row>
    <row r="14695" spans="1:44" ht="30">
      <c r="A14695" s="4" t="s">
        <v>10753</v>
      </c>
      <c r="B14695" s="4">
        <v>247196</v>
      </c>
      <c r="D14695" s="5" t="s">
        <v>17355</v>
      </c>
      <c r="E14695" s="6" t="str">
        <f>HYPERLINK("https://inpn.mnhn.fr/espece/cd_nom/247196","Hedya salicella (Linnaeus, 1758)")</f>
        <v>Hedya salicella (Linnaeus, 1758)</v>
      </c>
      <c r="AH14695" s="4" t="str">
        <f>HYPERLINK("#Statut_biogéographique!A"&amp;_xlfn.XMATCH("P",Statut_biogéographique!A:A,2,1),"P")</f>
        <v>P</v>
      </c>
      <c r="AP14695" s="4" t="s">
        <v>376</v>
      </c>
      <c r="AR14695" s="4" t="s">
        <v>377</v>
      </c>
    </row>
    <row r="14696" spans="1:44">
      <c r="A14696" s="4" t="s">
        <v>10753</v>
      </c>
      <c r="B14696" s="4">
        <v>247197</v>
      </c>
      <c r="D14696" s="5" t="s">
        <v>17356</v>
      </c>
      <c r="E14696" s="6" t="str">
        <f>HYPERLINK("https://inpn.mnhn.fr/espece/cd_nom/247197","Hedya nubiferana (Haworth, 1811)")</f>
        <v>Hedya nubiferana (Haworth, 1811)</v>
      </c>
      <c r="AH14696" s="4" t="str">
        <f>HYPERLINK("#Statut_biogéographique!A"&amp;_xlfn.XMATCH("P",Statut_biogéographique!A:A,2,1),"P")</f>
        <v>P</v>
      </c>
      <c r="AP14696" s="4" t="s">
        <v>376</v>
      </c>
      <c r="AR14696" s="4" t="s">
        <v>377</v>
      </c>
    </row>
    <row r="14697" spans="1:44">
      <c r="A14697" s="4" t="s">
        <v>10753</v>
      </c>
      <c r="B14697" s="4">
        <v>247198</v>
      </c>
      <c r="D14697" s="5" t="s">
        <v>17357</v>
      </c>
      <c r="E14697" s="6" t="str">
        <f>HYPERLINK("https://inpn.mnhn.fr/espece/cd_nom/247198","Hedya pruniana (Hübner, 1799)")</f>
        <v>Hedya pruniana (Hübner, 1799)</v>
      </c>
      <c r="AH14697" s="4" t="str">
        <f>HYPERLINK("#Statut_biogéographique!A"&amp;_xlfn.XMATCH("P",Statut_biogéographique!A:A,2,1),"P")</f>
        <v>P</v>
      </c>
      <c r="AP14697" s="4" t="s">
        <v>376</v>
      </c>
      <c r="AR14697" s="4" t="s">
        <v>377</v>
      </c>
    </row>
    <row r="14698" spans="1:44">
      <c r="A14698" s="4" t="s">
        <v>10753</v>
      </c>
      <c r="B14698" s="4">
        <v>247200</v>
      </c>
      <c r="D14698" s="5" t="s">
        <v>17358</v>
      </c>
      <c r="E14698" s="6" t="str">
        <f>HYPERLINK("https://inpn.mnhn.fr/espece/cd_nom/247200","Hedya ochroleucana (Frölich, 1828)")</f>
        <v>Hedya ochroleucana (Frölich, 1828)</v>
      </c>
      <c r="AH14698" s="4" t="str">
        <f>HYPERLINK("#Statut_biogéographique!A"&amp;_xlfn.XMATCH("P",Statut_biogéographique!A:A,2,1),"P")</f>
        <v>P</v>
      </c>
      <c r="AP14698" s="4" t="s">
        <v>376</v>
      </c>
      <c r="AR14698" s="4" t="s">
        <v>377</v>
      </c>
    </row>
    <row r="14699" spans="1:44" ht="30">
      <c r="A14699" s="4" t="s">
        <v>10753</v>
      </c>
      <c r="B14699" s="4">
        <v>247201</v>
      </c>
      <c r="D14699" s="5" t="s">
        <v>17359</v>
      </c>
      <c r="E14699" s="6" t="str">
        <f>HYPERLINK("https://inpn.mnhn.fr/espece/cd_nom/247201","Orthotaenia undulana (Denis &amp; Schiffermüller, 1775)")</f>
        <v>Orthotaenia undulana (Denis &amp; Schiffermüller, 1775)</v>
      </c>
      <c r="AH14699" s="4" t="str">
        <f>HYPERLINK("#Statut_biogéographique!A"&amp;_xlfn.XMATCH("P",Statut_biogéographique!A:A,2,1),"P")</f>
        <v>P</v>
      </c>
      <c r="AP14699" s="4" t="s">
        <v>376</v>
      </c>
      <c r="AR14699" s="4" t="s">
        <v>377</v>
      </c>
    </row>
    <row r="14700" spans="1:44">
      <c r="A14700" s="4" t="s">
        <v>10753</v>
      </c>
      <c r="B14700" s="4">
        <v>247202</v>
      </c>
      <c r="D14700" s="5" t="s">
        <v>17360</v>
      </c>
      <c r="E14700" s="6" t="str">
        <f>HYPERLINK("https://inpn.mnhn.fr/espece/cd_nom/247202","Apotomis semifasciana (Haworth, 1811)")</f>
        <v>Apotomis semifasciana (Haworth, 1811)</v>
      </c>
      <c r="AH14700" s="4" t="str">
        <f>HYPERLINK("#Statut_biogéographique!A"&amp;_xlfn.XMATCH("P",Statut_biogéographique!A:A,2,1),"P")</f>
        <v>P</v>
      </c>
      <c r="AP14700" s="4" t="s">
        <v>376</v>
      </c>
      <c r="AR14700" s="4" t="s">
        <v>377</v>
      </c>
    </row>
    <row r="14701" spans="1:44">
      <c r="A14701" s="4" t="s">
        <v>10753</v>
      </c>
      <c r="B14701" s="4">
        <v>247205</v>
      </c>
      <c r="D14701" s="5" t="s">
        <v>17361</v>
      </c>
      <c r="E14701" s="6" t="str">
        <f>HYPERLINK("https://inpn.mnhn.fr/espece/cd_nom/247205","Apotomis turbidana Hübner, 1825")</f>
        <v>Apotomis turbidana Hübner, 1825</v>
      </c>
      <c r="AH14701" s="4" t="str">
        <f>HYPERLINK("#Statut_biogéographique!A"&amp;_xlfn.XMATCH("P",Statut_biogéographique!A:A,2,1),"P")</f>
        <v>P</v>
      </c>
      <c r="AP14701" s="4" t="s">
        <v>376</v>
      </c>
      <c r="AR14701" s="4" t="s">
        <v>377</v>
      </c>
    </row>
    <row r="14702" spans="1:44">
      <c r="A14702" s="4" t="s">
        <v>10753</v>
      </c>
      <c r="B14702" s="4">
        <v>247206</v>
      </c>
      <c r="D14702" s="5" t="s">
        <v>17362</v>
      </c>
      <c r="E14702" s="6" t="str">
        <f>HYPERLINK("https://inpn.mnhn.fr/espece/cd_nom/247206","Apotomis capreana (Hübner, 1817)")</f>
        <v>Apotomis capreana (Hübner, 1817)</v>
      </c>
      <c r="AH14702" s="4" t="str">
        <f>HYPERLINK("#Statut_biogéographique!A"&amp;_xlfn.XMATCH("P",Statut_biogéographique!A:A,2,1),"P")</f>
        <v>P</v>
      </c>
      <c r="AP14702" s="4" t="s">
        <v>376</v>
      </c>
      <c r="AR14702" s="4" t="s">
        <v>377</v>
      </c>
    </row>
    <row r="14703" spans="1:44">
      <c r="A14703" s="4" t="s">
        <v>10753</v>
      </c>
      <c r="B14703" s="4">
        <v>247207</v>
      </c>
      <c r="D14703" s="5" t="s">
        <v>17363</v>
      </c>
      <c r="E14703" s="6" t="str">
        <f>HYPERLINK("https://inpn.mnhn.fr/espece/cd_nom/247207","Apotomis sororculana (Zetterstedt, 1839)")</f>
        <v>Apotomis sororculana (Zetterstedt, 1839)</v>
      </c>
      <c r="AH14703" s="4" t="str">
        <f>HYPERLINK("#Statut_biogéographique!A"&amp;_xlfn.XMATCH("P",Statut_biogéographique!A:A,2,1),"P")</f>
        <v>P</v>
      </c>
      <c r="AP14703" s="4" t="s">
        <v>376</v>
      </c>
      <c r="AR14703" s="4" t="s">
        <v>377</v>
      </c>
    </row>
    <row r="14704" spans="1:44" ht="30">
      <c r="A14704" s="4" t="s">
        <v>10753</v>
      </c>
      <c r="B14704" s="4">
        <v>247209</v>
      </c>
      <c r="D14704" s="5" t="s">
        <v>17364</v>
      </c>
      <c r="E14704" s="6" t="str">
        <f>HYPERLINK("https://inpn.mnhn.fr/espece/cd_nom/247209","Pseudosciaphila branderiana (Linnaeus, 1758)")</f>
        <v>Pseudosciaphila branderiana (Linnaeus, 1758)</v>
      </c>
      <c r="AH14704" s="4" t="str">
        <f>HYPERLINK("#Statut_biogéographique!A"&amp;_xlfn.XMATCH("P",Statut_biogéographique!A:A,2,1),"P")</f>
        <v>P</v>
      </c>
      <c r="AP14704" s="4" t="s">
        <v>376</v>
      </c>
      <c r="AR14704" s="4" t="s">
        <v>377</v>
      </c>
    </row>
    <row r="14705" spans="1:44">
      <c r="A14705" s="4" t="s">
        <v>10753</v>
      </c>
      <c r="B14705" s="4">
        <v>247213</v>
      </c>
      <c r="D14705" s="5" t="s">
        <v>17365</v>
      </c>
      <c r="E14705" s="6" t="str">
        <f>HYPERLINK("https://inpn.mnhn.fr/espece/cd_nom/247213","Eudemis porphyrana (Hübner, 1799)")</f>
        <v>Eudemis porphyrana (Hübner, 1799)</v>
      </c>
      <c r="AH14705" s="4" t="str">
        <f>HYPERLINK("#Statut_biogéographique!A"&amp;_xlfn.XMATCH("P",Statut_biogéographique!A:A,2,1),"P")</f>
        <v>P</v>
      </c>
      <c r="AP14705" s="4" t="s">
        <v>376</v>
      </c>
      <c r="AR14705" s="4" t="s">
        <v>377</v>
      </c>
    </row>
    <row r="14706" spans="1:44" ht="30">
      <c r="A14706" s="4" t="s">
        <v>10753</v>
      </c>
      <c r="B14706" s="4">
        <v>247214</v>
      </c>
      <c r="D14706" s="5" t="s">
        <v>17366</v>
      </c>
      <c r="E14706" s="6" t="str">
        <f>HYPERLINK("https://inpn.mnhn.fr/espece/cd_nom/247214","Eudemis profundana (Denis &amp; Schiffermüller, 1775)")</f>
        <v>Eudemis profundana (Denis &amp; Schiffermüller, 1775)</v>
      </c>
      <c r="AH14706" s="4" t="str">
        <f>HYPERLINK("#Statut_biogéographique!A"&amp;_xlfn.XMATCH("P",Statut_biogéographique!A:A,2,1),"P")</f>
        <v>P</v>
      </c>
      <c r="AP14706" s="4" t="s">
        <v>376</v>
      </c>
      <c r="AR14706" s="4" t="s">
        <v>377</v>
      </c>
    </row>
    <row r="14707" spans="1:44" ht="30">
      <c r="A14707" s="4" t="s">
        <v>10753</v>
      </c>
      <c r="B14707" s="4">
        <v>247217</v>
      </c>
      <c r="D14707" s="5" t="s">
        <v>17367</v>
      </c>
      <c r="E14707" s="6" t="str">
        <f>HYPERLINK("https://inpn.mnhn.fr/espece/cd_nom/247217","Lobesia botrana (Denis &amp; Schiffermüller, 1775)")</f>
        <v>Lobesia botrana (Denis &amp; Schiffermüller, 1775)</v>
      </c>
      <c r="F14707" s="5" t="s">
        <v>17368</v>
      </c>
      <c r="AH14707" s="4" t="str">
        <f>HYPERLINK("#Statut_biogéographique!A"&amp;_xlfn.XMATCH("P",Statut_biogéographique!A:A,2,1),"P")</f>
        <v>P</v>
      </c>
      <c r="AP14707" s="4" t="s">
        <v>376</v>
      </c>
      <c r="AR14707" s="4" t="s">
        <v>377</v>
      </c>
    </row>
    <row r="14708" spans="1:44">
      <c r="A14708" s="4" t="s">
        <v>10753</v>
      </c>
      <c r="B14708" s="4">
        <v>247219</v>
      </c>
      <c r="D14708" s="5" t="s">
        <v>17369</v>
      </c>
      <c r="E14708" s="6" t="str">
        <f>HYPERLINK("https://inpn.mnhn.fr/espece/cd_nom/247219","Lobesia reliquana (Hübner, 1825)")</f>
        <v>Lobesia reliquana (Hübner, 1825)</v>
      </c>
      <c r="AH14708" s="4" t="str">
        <f>HYPERLINK("#Statut_biogéographique!A"&amp;_xlfn.XMATCH("P",Statut_biogéographique!A:A,2,1),"P")</f>
        <v>P</v>
      </c>
      <c r="AP14708" s="4" t="s">
        <v>376</v>
      </c>
      <c r="AR14708" s="4" t="s">
        <v>377</v>
      </c>
    </row>
    <row r="14709" spans="1:44">
      <c r="A14709" s="4" t="s">
        <v>10753</v>
      </c>
      <c r="B14709" s="4">
        <v>247220</v>
      </c>
      <c r="D14709" s="5" t="s">
        <v>17370</v>
      </c>
      <c r="E14709" s="6" t="str">
        <f>HYPERLINK("https://inpn.mnhn.fr/espece/cd_nom/247220","Lobesia bicinctana (Duponchel, 1844)")</f>
        <v>Lobesia bicinctana (Duponchel, 1844)</v>
      </c>
      <c r="AH14709" s="4" t="str">
        <f>HYPERLINK("#Statut_biogéographique!A"&amp;_xlfn.XMATCH("P",Statut_biogéographique!A:A,2,1),"P")</f>
        <v>P</v>
      </c>
      <c r="AP14709" s="4" t="s">
        <v>376</v>
      </c>
      <c r="AR14709" s="4" t="s">
        <v>377</v>
      </c>
    </row>
    <row r="14710" spans="1:44">
      <c r="A14710" s="4" t="s">
        <v>10753</v>
      </c>
      <c r="B14710" s="4">
        <v>247228</v>
      </c>
      <c r="D14710" s="5" t="s">
        <v>17371</v>
      </c>
      <c r="E14710" s="6" t="str">
        <f>HYPERLINK("https://inpn.mnhn.fr/espece/cd_nom/247228","Ancylis unguicella (Linnaeus, 1758)")</f>
        <v>Ancylis unguicella (Linnaeus, 1758)</v>
      </c>
      <c r="AH14710" s="4" t="str">
        <f>HYPERLINK("#Statut_biogéographique!A"&amp;_xlfn.XMATCH("P",Statut_biogéographique!A:A,2,1),"P")</f>
        <v>P</v>
      </c>
      <c r="AP14710" s="4" t="s">
        <v>376</v>
      </c>
      <c r="AR14710" s="4" t="s">
        <v>377</v>
      </c>
    </row>
    <row r="14711" spans="1:44" ht="30">
      <c r="A14711" s="4" t="s">
        <v>10753</v>
      </c>
      <c r="B14711" s="4">
        <v>247230</v>
      </c>
      <c r="D14711" s="5" t="s">
        <v>17372</v>
      </c>
      <c r="E14711" s="6" t="str">
        <f>HYPERLINK("https://inpn.mnhn.fr/espece/cd_nom/247230","Ancylis laetana (Fabricius, 1775)")</f>
        <v>Ancylis laetana (Fabricius, 1775)</v>
      </c>
      <c r="AH14711" s="4" t="str">
        <f>HYPERLINK("#Statut_biogéographique!A"&amp;_xlfn.XMATCH("P",Statut_biogéographique!A:A,2,1),"P")</f>
        <v>P</v>
      </c>
      <c r="AP14711" s="4" t="s">
        <v>376</v>
      </c>
      <c r="AR14711" s="4" t="s">
        <v>377</v>
      </c>
    </row>
    <row r="14712" spans="1:44">
      <c r="A14712" s="4" t="s">
        <v>10753</v>
      </c>
      <c r="B14712" s="4">
        <v>247232</v>
      </c>
      <c r="D14712" s="5" t="s">
        <v>17373</v>
      </c>
      <c r="E14712" s="6" t="str">
        <f>HYPERLINK("https://inpn.mnhn.fr/espece/cd_nom/247232","Ancylis comptana (Frölich, 1828)")</f>
        <v>Ancylis comptana (Frölich, 1828)</v>
      </c>
      <c r="AH14712" s="4" t="str">
        <f>HYPERLINK("#Statut_biogéographique!A"&amp;_xlfn.XMATCH("P",Statut_biogéographique!A:A,2,1),"P")</f>
        <v>P</v>
      </c>
      <c r="AP14712" s="4" t="s">
        <v>376</v>
      </c>
      <c r="AR14712" s="4" t="s">
        <v>377</v>
      </c>
    </row>
    <row r="14713" spans="1:44">
      <c r="A14713" s="4" t="s">
        <v>10753</v>
      </c>
      <c r="B14713" s="4">
        <v>247236</v>
      </c>
      <c r="D14713" s="5" t="s">
        <v>17374</v>
      </c>
      <c r="E14713" s="6" t="str">
        <f>HYPERLINK("https://inpn.mnhn.fr/espece/cd_nom/247236","Ancylis unculana (Haworth, 1811)")</f>
        <v>Ancylis unculana (Haworth, 1811)</v>
      </c>
      <c r="AH14713" s="4" t="str">
        <f>HYPERLINK("#Statut_biogéographique!A"&amp;_xlfn.XMATCH("P",Statut_biogéographique!A:A,2,1),"P")</f>
        <v>P</v>
      </c>
      <c r="AP14713" s="4" t="s">
        <v>376</v>
      </c>
      <c r="AR14713" s="4" t="s">
        <v>377</v>
      </c>
    </row>
    <row r="14714" spans="1:44" ht="30">
      <c r="A14714" s="4" t="s">
        <v>10753</v>
      </c>
      <c r="B14714" s="4">
        <v>247238</v>
      </c>
      <c r="D14714" s="5" t="s">
        <v>17375</v>
      </c>
      <c r="E14714" s="6" t="str">
        <f>HYPERLINK("https://inpn.mnhn.fr/espece/cd_nom/247238","Ancylis apicella (Denis &amp; Schiffermüller, 1775)")</f>
        <v>Ancylis apicella (Denis &amp; Schiffermüller, 1775)</v>
      </c>
      <c r="AH14714" s="4" t="str">
        <f>HYPERLINK("#Statut_biogéographique!A"&amp;_xlfn.XMATCH("P",Statut_biogéographique!A:A,2,1),"P")</f>
        <v>P</v>
      </c>
      <c r="AP14714" s="4" t="s">
        <v>376</v>
      </c>
      <c r="AR14714" s="4" t="s">
        <v>377</v>
      </c>
    </row>
    <row r="14715" spans="1:44" ht="30">
      <c r="A14715" s="4" t="s">
        <v>10753</v>
      </c>
      <c r="B14715" s="4">
        <v>247240</v>
      </c>
      <c r="D14715" s="5" t="s">
        <v>17376</v>
      </c>
      <c r="E14715" s="6" t="str">
        <f>HYPERLINK("https://inpn.mnhn.fr/espece/cd_nom/247240","Ancylis badiana (Denis &amp; Schiffermüller, 1775)")</f>
        <v>Ancylis badiana (Denis &amp; Schiffermüller, 1775)</v>
      </c>
      <c r="AH14715" s="4" t="str">
        <f>HYPERLINK("#Statut_biogéographique!A"&amp;_xlfn.XMATCH("P",Statut_biogéographique!A:A,2,1),"P")</f>
        <v>P</v>
      </c>
      <c r="AP14715" s="4" t="s">
        <v>376</v>
      </c>
      <c r="AR14715" s="4" t="s">
        <v>377</v>
      </c>
    </row>
    <row r="14716" spans="1:44" ht="30">
      <c r="A14716" s="4" t="s">
        <v>10753</v>
      </c>
      <c r="B14716" s="4">
        <v>247241</v>
      </c>
      <c r="D14716" s="5" t="s">
        <v>17377</v>
      </c>
      <c r="E14716" s="6" t="str">
        <f>HYPERLINK("https://inpn.mnhn.fr/espece/cd_nom/247241","Ancylis achatana (Denis &amp; Schiffermüller, 1775)")</f>
        <v>Ancylis achatana (Denis &amp; Schiffermüller, 1775)</v>
      </c>
      <c r="AH14716" s="4" t="str">
        <f>HYPERLINK("#Statut_biogéographique!A"&amp;_xlfn.XMATCH("P",Statut_biogéographique!A:A,2,1),"P")</f>
        <v>P</v>
      </c>
      <c r="AP14716" s="4" t="s">
        <v>376</v>
      </c>
      <c r="AR14716" s="4" t="s">
        <v>377</v>
      </c>
    </row>
    <row r="14717" spans="1:44" ht="30">
      <c r="A14717" s="4" t="s">
        <v>10753</v>
      </c>
      <c r="B14717" s="4">
        <v>247242</v>
      </c>
      <c r="D14717" s="5" t="s">
        <v>17378</v>
      </c>
      <c r="E14717" s="6" t="str">
        <f>HYPERLINK("https://inpn.mnhn.fr/espece/cd_nom/247242","Ancylis mitterbacheriana (Denis &amp; Schiffermüller, 1775)")</f>
        <v>Ancylis mitterbacheriana (Denis &amp; Schiffermüller, 1775)</v>
      </c>
      <c r="AH14717" s="4" t="str">
        <f>HYPERLINK("#Statut_biogéographique!A"&amp;_xlfn.XMATCH("P",Statut_biogéographique!A:A,2,1),"P")</f>
        <v>P</v>
      </c>
      <c r="AP14717" s="4" t="s">
        <v>376</v>
      </c>
      <c r="AR14717" s="4" t="s">
        <v>377</v>
      </c>
    </row>
    <row r="14718" spans="1:44">
      <c r="A14718" s="4" t="s">
        <v>10753</v>
      </c>
      <c r="B14718" s="4">
        <v>247243</v>
      </c>
      <c r="D14718" s="5" t="s">
        <v>17379</v>
      </c>
      <c r="E14718" s="6" t="str">
        <f>HYPERLINK("https://inpn.mnhn.fr/espece/cd_nom/247243","Enarmonia formosana (Scopoli, 1763)")</f>
        <v>Enarmonia formosana (Scopoli, 1763)</v>
      </c>
      <c r="AH14718" s="4" t="str">
        <f>HYPERLINK("#Statut_biogéographique!A"&amp;_xlfn.XMATCH("P",Statut_biogéographique!A:A,2,1),"P")</f>
        <v>P</v>
      </c>
      <c r="AP14718" s="4" t="s">
        <v>376</v>
      </c>
      <c r="AR14718" s="4" t="s">
        <v>377</v>
      </c>
    </row>
    <row r="14719" spans="1:44">
      <c r="A14719" s="4" t="s">
        <v>10753</v>
      </c>
      <c r="B14719" s="4">
        <v>247244</v>
      </c>
      <c r="D14719" s="5" t="s">
        <v>17380</v>
      </c>
      <c r="E14719" s="6" t="str">
        <f>HYPERLINK("https://inpn.mnhn.fr/espece/cd_nom/247244","Eucosmomorpha albersana (Hübner, 1813)")</f>
        <v>Eucosmomorpha albersana (Hübner, 1813)</v>
      </c>
      <c r="AH14719" s="4" t="str">
        <f>HYPERLINK("#Statut_biogéographique!A"&amp;_xlfn.XMATCH("P",Statut_biogéographique!A:A,2,1),"P")</f>
        <v>P</v>
      </c>
      <c r="AP14719" s="4" t="s">
        <v>376</v>
      </c>
      <c r="AR14719" s="4" t="s">
        <v>377</v>
      </c>
    </row>
    <row r="14720" spans="1:44" ht="30">
      <c r="A14720" s="4" t="s">
        <v>10753</v>
      </c>
      <c r="B14720" s="4">
        <v>247245</v>
      </c>
      <c r="D14720" s="5" t="s">
        <v>17381</v>
      </c>
      <c r="E14720" s="6" t="str">
        <f>HYPERLINK("https://inpn.mnhn.fr/espece/cd_nom/247245","Rhyacionia buoliana (Denis &amp; Schiffermüller, 1775)")</f>
        <v>Rhyacionia buoliana (Denis &amp; Schiffermüller, 1775)</v>
      </c>
      <c r="AH14720" s="4" t="str">
        <f>HYPERLINK("#Statut_biogéographique!A"&amp;_xlfn.XMATCH("P",Statut_biogéographique!A:A,2,1),"P")</f>
        <v>P</v>
      </c>
      <c r="AP14720" s="4" t="s">
        <v>376</v>
      </c>
      <c r="AR14720" s="4" t="s">
        <v>377</v>
      </c>
    </row>
    <row r="14721" spans="1:44">
      <c r="A14721" s="4" t="s">
        <v>10753</v>
      </c>
      <c r="B14721" s="4">
        <v>247246</v>
      </c>
      <c r="D14721" s="5" t="s">
        <v>17382</v>
      </c>
      <c r="E14721" s="6" t="str">
        <f>HYPERLINK("https://inpn.mnhn.fr/espece/cd_nom/247246","Rhyacionia pinicolana (Doubleday, 1850)")</f>
        <v>Rhyacionia pinicolana (Doubleday, 1850)</v>
      </c>
      <c r="AH14721" s="4" t="str">
        <f>HYPERLINK("#Statut_biogéographique!A"&amp;_xlfn.XMATCH("P",Statut_biogéographique!A:A,2,1),"P")</f>
        <v>P</v>
      </c>
      <c r="AP14721" s="4" t="s">
        <v>376</v>
      </c>
      <c r="AR14721" s="4" t="s">
        <v>377</v>
      </c>
    </row>
    <row r="14722" spans="1:44">
      <c r="A14722" s="4" t="s">
        <v>10753</v>
      </c>
      <c r="B14722" s="4">
        <v>247249</v>
      </c>
      <c r="D14722" s="5" t="s">
        <v>17383</v>
      </c>
      <c r="E14722" s="6" t="str">
        <f>HYPERLINK("https://inpn.mnhn.fr/espece/cd_nom/247249","Rhyacionia pinivorana (Zeller, 1846)")</f>
        <v>Rhyacionia pinivorana (Zeller, 1846)</v>
      </c>
      <c r="AH14722" s="4" t="str">
        <f>HYPERLINK("#Statut_biogéographique!A"&amp;_xlfn.XMATCH("P",Statut_biogéographique!A:A,2,1),"P")</f>
        <v>P</v>
      </c>
      <c r="AP14722" s="4" t="s">
        <v>376</v>
      </c>
      <c r="AR14722" s="4" t="s">
        <v>377</v>
      </c>
    </row>
    <row r="14723" spans="1:44">
      <c r="A14723" s="4" t="s">
        <v>10753</v>
      </c>
      <c r="B14723" s="4">
        <v>247250</v>
      </c>
      <c r="D14723" s="5" t="s">
        <v>17384</v>
      </c>
      <c r="E14723" s="6" t="str">
        <f>HYPERLINK("https://inpn.mnhn.fr/espece/cd_nom/247250","Rhyacionia duplana (Hübner, 1813)")</f>
        <v>Rhyacionia duplana (Hübner, 1813)</v>
      </c>
      <c r="AH14723" s="4" t="str">
        <f>HYPERLINK("#Statut_biogéographique!A"&amp;_xlfn.XMATCH("P",Statut_biogéographique!A:A,2,1),"P")</f>
        <v>P</v>
      </c>
      <c r="AP14723" s="4" t="s">
        <v>376</v>
      </c>
      <c r="AR14723" s="4" t="s">
        <v>377</v>
      </c>
    </row>
    <row r="14724" spans="1:44">
      <c r="A14724" s="4" t="s">
        <v>10753</v>
      </c>
      <c r="B14724" s="4">
        <v>247252</v>
      </c>
      <c r="D14724" s="5" t="s">
        <v>17385</v>
      </c>
      <c r="E14724" s="6" t="str">
        <f>HYPERLINK("https://inpn.mnhn.fr/espece/cd_nom/247252","Clavigesta sylvestrana (Curtis, 1850)")</f>
        <v>Clavigesta sylvestrana (Curtis, 1850)</v>
      </c>
      <c r="AH14724" s="4" t="str">
        <f>HYPERLINK("#Statut_biogéographique!A"&amp;_xlfn.XMATCH("P",Statut_biogéographique!A:A,2,1),"P")</f>
        <v>P</v>
      </c>
      <c r="AP14724" s="4" t="s">
        <v>376</v>
      </c>
      <c r="AR14724" s="4" t="s">
        <v>377</v>
      </c>
    </row>
    <row r="14725" spans="1:44" ht="45">
      <c r="A14725" s="4" t="s">
        <v>10753</v>
      </c>
      <c r="B14725" s="4">
        <v>247261</v>
      </c>
      <c r="D14725" s="5" t="s">
        <v>17386</v>
      </c>
      <c r="E14725" s="6" t="str">
        <f>HYPERLINK("https://inpn.mnhn.fr/espece/cd_nom/247261","Notocelia cynosbatella (Linnaeus, 1758)")</f>
        <v>Notocelia cynosbatella (Linnaeus, 1758)</v>
      </c>
      <c r="AH14725" s="4" t="str">
        <f>HYPERLINK("#Statut_biogéographique!A"&amp;_xlfn.XMATCH("P",Statut_biogéographique!A:A,2,1),"P")</f>
        <v>P</v>
      </c>
      <c r="AP14725" s="4" t="s">
        <v>376</v>
      </c>
      <c r="AR14725" s="4" t="s">
        <v>377</v>
      </c>
    </row>
    <row r="14726" spans="1:44" ht="30">
      <c r="A14726" s="4" t="s">
        <v>10753</v>
      </c>
      <c r="B14726" s="4">
        <v>247263</v>
      </c>
      <c r="D14726" s="5" t="s">
        <v>17387</v>
      </c>
      <c r="E14726" s="6" t="str">
        <f>HYPERLINK("https://inpn.mnhn.fr/espece/cd_nom/247263","Notocelia uddmanniana (Linnaeus, 1758)")</f>
        <v>Notocelia uddmanniana (Linnaeus, 1758)</v>
      </c>
      <c r="AH14726" s="4" t="str">
        <f>HYPERLINK("#Statut_biogéographique!A"&amp;_xlfn.XMATCH("P",Statut_biogéographique!A:A,2,1),"P")</f>
        <v>P</v>
      </c>
      <c r="AP14726" s="4" t="s">
        <v>376</v>
      </c>
      <c r="AR14726" s="4" t="s">
        <v>377</v>
      </c>
    </row>
    <row r="14727" spans="1:44" ht="30">
      <c r="A14727" s="4" t="s">
        <v>10753</v>
      </c>
      <c r="B14727" s="4">
        <v>247264</v>
      </c>
      <c r="D14727" s="5" t="s">
        <v>17388</v>
      </c>
      <c r="E14727" s="6" t="str">
        <f>HYPERLINK("https://inpn.mnhn.fr/espece/cd_nom/247264","Notocelia roborana (Denis &amp; Schiffermüller, 1775)")</f>
        <v>Notocelia roborana (Denis &amp; Schiffermüller, 1775)</v>
      </c>
      <c r="AH14727" s="4" t="str">
        <f>HYPERLINK("#Statut_biogéographique!A"&amp;_xlfn.XMATCH("P",Statut_biogéographique!A:A,2,1),"P")</f>
        <v>P</v>
      </c>
      <c r="AP14727" s="4" t="s">
        <v>376</v>
      </c>
      <c r="AR14727" s="4" t="s">
        <v>377</v>
      </c>
    </row>
    <row r="14728" spans="1:44" ht="30">
      <c r="A14728" s="4" t="s">
        <v>10753</v>
      </c>
      <c r="B14728" s="4">
        <v>247265</v>
      </c>
      <c r="D14728" s="5" t="s">
        <v>17389</v>
      </c>
      <c r="E14728" s="6" t="str">
        <f>HYPERLINK("https://inpn.mnhn.fr/espece/cd_nom/247265","Notocelia incarnatana (Hübner, 1800)")</f>
        <v>Notocelia incarnatana (Hübner, 1800)</v>
      </c>
      <c r="AH14728" s="4" t="str">
        <f>HYPERLINK("#Statut_biogéographique!A"&amp;_xlfn.XMATCH("P",Statut_biogéographique!A:A,2,1),"P")</f>
        <v>P</v>
      </c>
      <c r="AP14728" s="4" t="s">
        <v>376</v>
      </c>
      <c r="AR14728" s="4" t="s">
        <v>377</v>
      </c>
    </row>
    <row r="14729" spans="1:44">
      <c r="A14729" s="4" t="s">
        <v>10753</v>
      </c>
      <c r="B14729" s="4">
        <v>247266</v>
      </c>
      <c r="D14729" s="5" t="s">
        <v>17390</v>
      </c>
      <c r="E14729" s="6" t="str">
        <f>HYPERLINK("https://inpn.mnhn.fr/espece/cd_nom/247266","Notocelia rosaecolana (Doubleday, 1850)")</f>
        <v>Notocelia rosaecolana (Doubleday, 1850)</v>
      </c>
      <c r="AH14729" s="4" t="str">
        <f>HYPERLINK("#Statut_biogéographique!A"&amp;_xlfn.XMATCH("P",Statut_biogéographique!A:A,2,1),"P")</f>
        <v>P</v>
      </c>
      <c r="AP14729" s="4" t="s">
        <v>376</v>
      </c>
      <c r="AR14729" s="4" t="s">
        <v>377</v>
      </c>
    </row>
    <row r="14730" spans="1:44">
      <c r="A14730" s="4" t="s">
        <v>10753</v>
      </c>
      <c r="B14730" s="4">
        <v>247267</v>
      </c>
      <c r="D14730" s="5" t="s">
        <v>17391</v>
      </c>
      <c r="E14730" s="6" t="str">
        <f>HYPERLINK("https://inpn.mnhn.fr/espece/cd_nom/247267","Notocelia trimaculana (Haworth, 1811)")</f>
        <v>Notocelia trimaculana (Haworth, 1811)</v>
      </c>
      <c r="AH14730" s="4" t="str">
        <f>HYPERLINK("#Statut_biogéographique!A"&amp;_xlfn.XMATCH("P",Statut_biogéographique!A:A,2,1),"P")</f>
        <v>P</v>
      </c>
      <c r="AP14730" s="4" t="s">
        <v>376</v>
      </c>
      <c r="AR14730" s="4" t="s">
        <v>377</v>
      </c>
    </row>
    <row r="14731" spans="1:44" ht="30">
      <c r="A14731" s="4" t="s">
        <v>10753</v>
      </c>
      <c r="B14731" s="4">
        <v>247268</v>
      </c>
      <c r="D14731" s="5" t="s">
        <v>17392</v>
      </c>
      <c r="E14731" s="6" t="str">
        <f>HYPERLINK("https://inpn.mnhn.fr/espece/cd_nom/247268","Epiblema sticticana (Fabricius, 1794)")</f>
        <v>Epiblema sticticana (Fabricius, 1794)</v>
      </c>
      <c r="AH14731" s="4" t="str">
        <f>HYPERLINK("#Statut_biogéographique!A"&amp;_xlfn.XMATCH("P",Statut_biogéographique!A:A,2,1),"P")</f>
        <v>P</v>
      </c>
      <c r="AP14731" s="4" t="s">
        <v>376</v>
      </c>
      <c r="AR14731" s="4" t="s">
        <v>377</v>
      </c>
    </row>
    <row r="14732" spans="1:44" ht="30">
      <c r="A14732" s="4" t="s">
        <v>10753</v>
      </c>
      <c r="B14732" s="4">
        <v>247269</v>
      </c>
      <c r="D14732" s="5" t="s">
        <v>17393</v>
      </c>
      <c r="E14732" s="6" t="str">
        <f>HYPERLINK("https://inpn.mnhn.fr/espece/cd_nom/247269","Epiblema scutulana (Denis &amp; Schiffermüller, 1775)")</f>
        <v>Epiblema scutulana (Denis &amp; Schiffermüller, 1775)</v>
      </c>
      <c r="AH14732" s="4" t="str">
        <f>HYPERLINK("#Statut_biogéographique!A"&amp;_xlfn.XMATCH("P",Statut_biogéographique!A:A,2,1),"P")</f>
        <v>P</v>
      </c>
      <c r="AP14732" s="4" t="s">
        <v>376</v>
      </c>
      <c r="AR14732" s="4" t="s">
        <v>377</v>
      </c>
    </row>
    <row r="14733" spans="1:44" ht="30">
      <c r="A14733" s="4" t="s">
        <v>10753</v>
      </c>
      <c r="B14733" s="4">
        <v>247270</v>
      </c>
      <c r="D14733" s="5" t="s">
        <v>17394</v>
      </c>
      <c r="E14733" s="6" t="str">
        <f>HYPERLINK("https://inpn.mnhn.fr/espece/cd_nom/247270","Epiblema foenella (Linnaeus, 1758)")</f>
        <v>Epiblema foenella (Linnaeus, 1758)</v>
      </c>
      <c r="AH14733" s="4" t="str">
        <f>HYPERLINK("#Statut_biogéographique!A"&amp;_xlfn.XMATCH("P",Statut_biogéographique!A:A,2,1),"P")</f>
        <v>P</v>
      </c>
      <c r="AP14733" s="4" t="s">
        <v>376</v>
      </c>
      <c r="AR14733" s="4" t="s">
        <v>377</v>
      </c>
    </row>
    <row r="14734" spans="1:44" ht="30">
      <c r="A14734" s="4" t="s">
        <v>10753</v>
      </c>
      <c r="B14734" s="4">
        <v>247271</v>
      </c>
      <c r="D14734" s="5" t="s">
        <v>17395</v>
      </c>
      <c r="E14734" s="6" t="str">
        <f>HYPERLINK("https://inpn.mnhn.fr/espece/cd_nom/247271","Epiblema costipunctana (Haworth, 1811)")</f>
        <v>Epiblema costipunctana (Haworth, 1811)</v>
      </c>
      <c r="AH14734" s="4" t="str">
        <f>HYPERLINK("#Statut_biogéographique!A"&amp;_xlfn.XMATCH("P",Statut_biogéographique!A:A,2,1),"P")</f>
        <v>P</v>
      </c>
      <c r="AP14734" s="4" t="s">
        <v>376</v>
      </c>
      <c r="AR14734" s="4" t="s">
        <v>377</v>
      </c>
    </row>
    <row r="14735" spans="1:44">
      <c r="A14735" s="4" t="s">
        <v>10753</v>
      </c>
      <c r="B14735" s="4">
        <v>247272</v>
      </c>
      <c r="D14735" s="5" t="s">
        <v>17396</v>
      </c>
      <c r="E14735" s="6" t="str">
        <f>HYPERLINK("https://inpn.mnhn.fr/espece/cd_nom/247272","Epiblema hepaticana (Treitschke, 1835)")</f>
        <v>Epiblema hepaticana (Treitschke, 1835)</v>
      </c>
      <c r="AH14735" s="4" t="str">
        <f>HYPERLINK("#Statut_biogéographique!A"&amp;_xlfn.XMATCH("P",Statut_biogéographique!A:A,2,1),"P")</f>
        <v>P</v>
      </c>
      <c r="AP14735" s="4" t="s">
        <v>376</v>
      </c>
      <c r="AR14735" s="4" t="s">
        <v>377</v>
      </c>
    </row>
    <row r="14736" spans="1:44" ht="30">
      <c r="A14736" s="4" t="s">
        <v>10753</v>
      </c>
      <c r="B14736" s="4">
        <v>247281</v>
      </c>
      <c r="D14736" s="5" t="s">
        <v>17397</v>
      </c>
      <c r="E14736" s="6" t="str">
        <f>HYPERLINK("https://inpn.mnhn.fr/espece/cd_nom/247281","Gypsonoma minutana (Hübner, 1799)")</f>
        <v>Gypsonoma minutana (Hübner, 1799)</v>
      </c>
      <c r="AH14736" s="4" t="str">
        <f>HYPERLINK("#Statut_biogéographique!A"&amp;_xlfn.XMATCH("P",Statut_biogéographique!A:A,2,1),"P")</f>
        <v>P</v>
      </c>
      <c r="AP14736" s="4" t="s">
        <v>376</v>
      </c>
      <c r="AR14736" s="4" t="s">
        <v>377</v>
      </c>
    </row>
    <row r="14737" spans="1:44">
      <c r="A14737" s="4" t="s">
        <v>10753</v>
      </c>
      <c r="B14737" s="4">
        <v>247283</v>
      </c>
      <c r="D14737" s="5" t="s">
        <v>17398</v>
      </c>
      <c r="E14737" s="6" t="str">
        <f>HYPERLINK("https://inpn.mnhn.fr/espece/cd_nom/247283","Gypsonoma dealbana (Frölich, 1828)")</f>
        <v>Gypsonoma dealbana (Frölich, 1828)</v>
      </c>
      <c r="AH14737" s="4" t="str">
        <f>HYPERLINK("#Statut_biogéographique!A"&amp;_xlfn.XMATCH("P",Statut_biogéographique!A:A,2,1),"P")</f>
        <v>P</v>
      </c>
      <c r="AP14737" s="4" t="s">
        <v>376</v>
      </c>
      <c r="AR14737" s="4" t="s">
        <v>377</v>
      </c>
    </row>
    <row r="14738" spans="1:44">
      <c r="A14738" s="4" t="s">
        <v>10753</v>
      </c>
      <c r="B14738" s="4">
        <v>247284</v>
      </c>
      <c r="D14738" s="5" t="s">
        <v>17399</v>
      </c>
      <c r="E14738" s="6" t="str">
        <f>HYPERLINK("https://inpn.mnhn.fr/espece/cd_nom/247284","Gypsonoma oppressana (Treitschke, 1835)")</f>
        <v>Gypsonoma oppressana (Treitschke, 1835)</v>
      </c>
      <c r="AH14738" s="4" t="str">
        <f>HYPERLINK("#Statut_biogéographique!A"&amp;_xlfn.XMATCH("P",Statut_biogéographique!A:A,2,1),"P")</f>
        <v>P</v>
      </c>
      <c r="AP14738" s="4" t="s">
        <v>376</v>
      </c>
      <c r="AR14738" s="4" t="s">
        <v>377</v>
      </c>
    </row>
    <row r="14739" spans="1:44">
      <c r="A14739" s="4" t="s">
        <v>10753</v>
      </c>
      <c r="B14739" s="4">
        <v>247285</v>
      </c>
      <c r="D14739" s="5" t="s">
        <v>17400</v>
      </c>
      <c r="E14739" s="6" t="str">
        <f>HYPERLINK("https://inpn.mnhn.fr/espece/cd_nom/247285","Gypsonoma sociana (Haworth, 1811)")</f>
        <v>Gypsonoma sociana (Haworth, 1811)</v>
      </c>
      <c r="AH14739" s="4" t="str">
        <f>HYPERLINK("#Statut_biogéographique!A"&amp;_xlfn.XMATCH("P",Statut_biogéographique!A:A,2,1),"P")</f>
        <v>P</v>
      </c>
      <c r="AP14739" s="4" t="s">
        <v>376</v>
      </c>
      <c r="AR14739" s="4" t="s">
        <v>377</v>
      </c>
    </row>
    <row r="14740" spans="1:44">
      <c r="A14740" s="4" t="s">
        <v>10753</v>
      </c>
      <c r="B14740" s="4">
        <v>247287</v>
      </c>
      <c r="D14740" s="5" t="s">
        <v>17401</v>
      </c>
      <c r="E14740" s="6" t="str">
        <f>HYPERLINK("https://inpn.mnhn.fr/espece/cd_nom/247287","Gypsonoma aceriana (Duponchel, 1843)")</f>
        <v>Gypsonoma aceriana (Duponchel, 1843)</v>
      </c>
      <c r="AH14740" s="4" t="str">
        <f>HYPERLINK("#Statut_biogéographique!A"&amp;_xlfn.XMATCH("P",Statut_biogéographique!A:A,2,1),"P")</f>
        <v>P</v>
      </c>
      <c r="AP14740" s="4" t="s">
        <v>376</v>
      </c>
      <c r="AR14740" s="4" t="s">
        <v>377</v>
      </c>
    </row>
    <row r="14741" spans="1:44">
      <c r="A14741" s="4" t="s">
        <v>10753</v>
      </c>
      <c r="B14741" s="4">
        <v>247290</v>
      </c>
      <c r="D14741" s="5" t="s">
        <v>17402</v>
      </c>
      <c r="E14741" s="6" t="str">
        <f>HYPERLINK("https://inpn.mnhn.fr/espece/cd_nom/247290","Eucosma cumulana (Guenée, 1845)")</f>
        <v>Eucosma cumulana (Guenée, 1845)</v>
      </c>
      <c r="AH14741" s="4" t="str">
        <f>HYPERLINK("#Statut_biogéographique!A"&amp;_xlfn.XMATCH("P",Statut_biogéographique!A:A,2,1),"P")</f>
        <v>P</v>
      </c>
      <c r="AP14741" s="4" t="s">
        <v>376</v>
      </c>
      <c r="AR14741" s="4" t="s">
        <v>377</v>
      </c>
    </row>
    <row r="14742" spans="1:44">
      <c r="A14742" s="4" t="s">
        <v>10753</v>
      </c>
      <c r="B14742" s="4">
        <v>247291</v>
      </c>
      <c r="D14742" s="5" t="s">
        <v>17403</v>
      </c>
      <c r="E14742" s="6" t="str">
        <f>HYPERLINK("https://inpn.mnhn.fr/espece/cd_nom/247291","Eucosma cana (Haworth, 1811)")</f>
        <v>Eucosma cana (Haworth, 1811)</v>
      </c>
      <c r="AH14742" s="4" t="str">
        <f>HYPERLINK("#Statut_biogéographique!A"&amp;_xlfn.XMATCH("P",Statut_biogéographique!A:A,2,1),"P")</f>
        <v>P</v>
      </c>
      <c r="AP14742" s="4" t="s">
        <v>376</v>
      </c>
      <c r="AR14742" s="4" t="s">
        <v>377</v>
      </c>
    </row>
    <row r="14743" spans="1:44" ht="30">
      <c r="A14743" s="4" t="s">
        <v>10753</v>
      </c>
      <c r="B14743" s="4">
        <v>247294</v>
      </c>
      <c r="D14743" s="5" t="s">
        <v>17404</v>
      </c>
      <c r="E14743" s="6" t="str">
        <f>HYPERLINK("https://inpn.mnhn.fr/espece/cd_nom/247294","Eucosma hohenwartiana (Denis &amp; Schiffermüller, 1775)")</f>
        <v>Eucosma hohenwartiana (Denis &amp; Schiffermüller, 1775)</v>
      </c>
      <c r="AH14743" s="4" t="str">
        <f>HYPERLINK("#Statut_biogéographique!A"&amp;_xlfn.XMATCH("P",Statut_biogéographique!A:A,2,1),"P")</f>
        <v>P</v>
      </c>
      <c r="AP14743" s="4" t="s">
        <v>376</v>
      </c>
      <c r="AR14743" s="4" t="s">
        <v>377</v>
      </c>
    </row>
    <row r="14744" spans="1:44">
      <c r="A14744" s="4" t="s">
        <v>10753</v>
      </c>
      <c r="B14744" s="4">
        <v>247296</v>
      </c>
      <c r="D14744" s="5" t="s">
        <v>17405</v>
      </c>
      <c r="E14744" s="6" t="str">
        <f>HYPERLINK("https://inpn.mnhn.fr/espece/cd_nom/247296","Eucosma balatonana (Osthelder, 1937)")</f>
        <v>Eucosma balatonana (Osthelder, 1937)</v>
      </c>
      <c r="AH14744" s="4" t="str">
        <f>HYPERLINK("#Statut_biogéographique!A"&amp;_xlfn.XMATCH("P",Statut_biogéographique!A:A,2,1),"P")</f>
        <v>P</v>
      </c>
      <c r="AP14744" s="4" t="s">
        <v>376</v>
      </c>
      <c r="AR14744" s="4" t="s">
        <v>377</v>
      </c>
    </row>
    <row r="14745" spans="1:44" ht="30">
      <c r="A14745" s="4" t="s">
        <v>10753</v>
      </c>
      <c r="B14745" s="4">
        <v>247297</v>
      </c>
      <c r="D14745" s="5" t="s">
        <v>17406</v>
      </c>
      <c r="E14745" s="6" t="str">
        <f>HYPERLINK("https://inpn.mnhn.fr/espece/cd_nom/247297","Eucosma campoliliana (Denis &amp; Schiffermüller, 1775)")</f>
        <v>Eucosma campoliliana (Denis &amp; Schiffermüller, 1775)</v>
      </c>
      <c r="AH14745" s="4" t="str">
        <f>HYPERLINK("#Statut_biogéographique!A"&amp;_xlfn.XMATCH("P",Statut_biogéographique!A:A,2,1),"P")</f>
        <v>P</v>
      </c>
      <c r="AP14745" s="4" t="s">
        <v>376</v>
      </c>
      <c r="AR14745" s="4" t="s">
        <v>377</v>
      </c>
    </row>
    <row r="14746" spans="1:44">
      <c r="A14746" s="4" t="s">
        <v>10753</v>
      </c>
      <c r="B14746" s="4">
        <v>247299</v>
      </c>
      <c r="D14746" s="5" t="s">
        <v>17407</v>
      </c>
      <c r="E14746" s="6" t="str">
        <f>HYPERLINK("https://inpn.mnhn.fr/espece/cd_nom/247299","Eucosma aemulana (Schläger, 1849)")</f>
        <v>Eucosma aemulana (Schläger, 1849)</v>
      </c>
      <c r="AH14746" s="4" t="str">
        <f>HYPERLINK("#Statut_biogéographique!A"&amp;_xlfn.XMATCH("P",Statut_biogéographique!A:A,2,1),"P")</f>
        <v>P</v>
      </c>
      <c r="AP14746" s="4" t="s">
        <v>376</v>
      </c>
      <c r="AR14746" s="4" t="s">
        <v>377</v>
      </c>
    </row>
    <row r="14747" spans="1:44">
      <c r="A14747" s="4" t="s">
        <v>10753</v>
      </c>
      <c r="B14747" s="4">
        <v>247300</v>
      </c>
      <c r="D14747" s="5" t="s">
        <v>17408</v>
      </c>
      <c r="E14747" s="6" t="str">
        <f>HYPERLINK("https://inpn.mnhn.fr/espece/cd_nom/247300","Eucosma rubescana (Constant, 1895)")</f>
        <v>Eucosma rubescana (Constant, 1895)</v>
      </c>
      <c r="AH14747" s="4" t="str">
        <f>HYPERLINK("#Statut_biogéographique!A"&amp;_xlfn.XMATCH("P",Statut_biogéographique!A:A,2,1),"P")</f>
        <v>P</v>
      </c>
      <c r="AP14747" s="4" t="s">
        <v>376</v>
      </c>
      <c r="AR14747" s="4" t="s">
        <v>377</v>
      </c>
    </row>
    <row r="14748" spans="1:44">
      <c r="A14748" s="4" t="s">
        <v>10753</v>
      </c>
      <c r="B14748" s="4">
        <v>247305</v>
      </c>
      <c r="D14748" s="5" t="s">
        <v>17409</v>
      </c>
      <c r="E14748" s="6" t="str">
        <f>HYPERLINK("https://inpn.mnhn.fr/espece/cd_nom/247305","Eucosma metzneriana (Treitschke, 1830)")</f>
        <v>Eucosma metzneriana (Treitschke, 1830)</v>
      </c>
      <c r="AH14748" s="4" t="str">
        <f>HYPERLINK("#Statut_biogéographique!A"&amp;_xlfn.XMATCH("P",Statut_biogéographique!A:A,2,1),"P")</f>
        <v>P</v>
      </c>
      <c r="AP14748" s="4" t="s">
        <v>376</v>
      </c>
      <c r="AR14748" s="4" t="s">
        <v>377</v>
      </c>
    </row>
    <row r="14749" spans="1:44">
      <c r="A14749" s="4" t="s">
        <v>10753</v>
      </c>
      <c r="B14749" s="4">
        <v>247307</v>
      </c>
      <c r="D14749" s="5" t="s">
        <v>17410</v>
      </c>
      <c r="E14749" s="6" t="str">
        <f>HYPERLINK("https://inpn.mnhn.fr/espece/cd_nom/247307","Eucosma conterminana (Guenée, 1845)")</f>
        <v>Eucosma conterminana (Guenée, 1845)</v>
      </c>
      <c r="AH14749" s="4" t="str">
        <f>HYPERLINK("#Statut_biogéographique!A"&amp;_xlfn.XMATCH("P",Statut_biogéographique!A:A,2,1),"P")</f>
        <v>P</v>
      </c>
      <c r="AP14749" s="4" t="s">
        <v>376</v>
      </c>
      <c r="AR14749" s="4" t="s">
        <v>377</v>
      </c>
    </row>
    <row r="14750" spans="1:44">
      <c r="A14750" s="4" t="s">
        <v>10753</v>
      </c>
      <c r="B14750" s="4">
        <v>247309</v>
      </c>
      <c r="D14750" s="5" t="s">
        <v>17411</v>
      </c>
      <c r="E14750" s="6" t="str">
        <f>HYPERLINK("https://inpn.mnhn.fr/espece/cd_nom/247309","Eucosma aspidiscana (Hübner, 1817)")</f>
        <v>Eucosma aspidiscana (Hübner, 1817)</v>
      </c>
      <c r="AH14750" s="4" t="str">
        <f>HYPERLINK("#Statut_biogéographique!A"&amp;_xlfn.XMATCH("P",Statut_biogéographique!A:A,2,1),"P")</f>
        <v>P</v>
      </c>
      <c r="AP14750" s="4" t="s">
        <v>376</v>
      </c>
      <c r="AR14750" s="4" t="s">
        <v>377</v>
      </c>
    </row>
    <row r="14751" spans="1:44">
      <c r="A14751" s="4" t="s">
        <v>10753</v>
      </c>
      <c r="B14751" s="4">
        <v>247317</v>
      </c>
      <c r="D14751" s="5" t="s">
        <v>17412</v>
      </c>
      <c r="E14751" s="6" t="str">
        <f>HYPERLINK("https://inpn.mnhn.fr/espece/cd_nom/247317","Pelochrista caecimaculana (Hübner, 1799)")</f>
        <v>Pelochrista caecimaculana (Hübner, 1799)</v>
      </c>
      <c r="AH14751" s="4" t="str">
        <f>HYPERLINK("#Statut_biogéographique!A"&amp;_xlfn.XMATCH("P",Statut_biogéographique!A:A,2,1),"P")</f>
        <v>P</v>
      </c>
      <c r="AP14751" s="4" t="s">
        <v>376</v>
      </c>
      <c r="AR14751" s="4" t="s">
        <v>377</v>
      </c>
    </row>
    <row r="14752" spans="1:44" ht="30">
      <c r="A14752" s="4" t="s">
        <v>10753</v>
      </c>
      <c r="B14752" s="4">
        <v>247318</v>
      </c>
      <c r="D14752" s="5" t="s">
        <v>17413</v>
      </c>
      <c r="E14752" s="6" t="str">
        <f>HYPERLINK("https://inpn.mnhn.fr/espece/cd_nom/247318","Pelochrista mollitana (Zeller, 1847)")</f>
        <v>Pelochrista mollitana (Zeller, 1847)</v>
      </c>
      <c r="AH14752" s="4" t="str">
        <f>HYPERLINK("#Statut_biogéographique!A"&amp;_xlfn.XMATCH("P",Statut_biogéographique!A:A,2,1),"P")</f>
        <v>P</v>
      </c>
      <c r="AP14752" s="4" t="s">
        <v>376</v>
      </c>
      <c r="AR14752" s="4" t="s">
        <v>377</v>
      </c>
    </row>
    <row r="14753" spans="1:44" ht="30">
      <c r="A14753" s="4" t="s">
        <v>10753</v>
      </c>
      <c r="B14753" s="4">
        <v>247323</v>
      </c>
      <c r="D14753" s="5" t="s">
        <v>17414</v>
      </c>
      <c r="E14753" s="6" t="str">
        <f>HYPERLINK("https://inpn.mnhn.fr/espece/cd_nom/247323","Pelochrista hepatariana (Herrich-Schäffer, 1851)")</f>
        <v>Pelochrista hepatariana (Herrich-Schäffer, 1851)</v>
      </c>
      <c r="AH14753" s="4" t="str">
        <f>HYPERLINK("#Statut_biogéographique!A"&amp;_xlfn.XMATCH("P",Statut_biogéographique!A:A,2,1),"P")</f>
        <v>P</v>
      </c>
      <c r="AP14753" s="4" t="s">
        <v>376</v>
      </c>
      <c r="AR14753" s="4" t="s">
        <v>377</v>
      </c>
    </row>
    <row r="14754" spans="1:44">
      <c r="A14754" s="4" t="s">
        <v>10753</v>
      </c>
      <c r="B14754" s="4">
        <v>247326</v>
      </c>
      <c r="D14754" s="5" t="s">
        <v>17415</v>
      </c>
      <c r="E14754" s="6" t="str">
        <f>HYPERLINK("https://inpn.mnhn.fr/espece/cd_nom/247326","Phaneta pauperana (Duponchel, 1842)")</f>
        <v>Phaneta pauperana (Duponchel, 1842)</v>
      </c>
      <c r="AH14754" s="4" t="str">
        <f>HYPERLINK("#Statut_biogéographique!A"&amp;_xlfn.XMATCH("P",Statut_biogéographique!A:A,2,1),"P")</f>
        <v>P</v>
      </c>
      <c r="AP14754" s="4" t="s">
        <v>376</v>
      </c>
      <c r="AR14754" s="4" t="s">
        <v>377</v>
      </c>
    </row>
    <row r="14755" spans="1:44" ht="30">
      <c r="A14755" s="4" t="s">
        <v>10753</v>
      </c>
      <c r="B14755" s="4">
        <v>247328</v>
      </c>
      <c r="D14755" s="5" t="s">
        <v>17416</v>
      </c>
      <c r="E14755" s="6" t="str">
        <f>HYPERLINK("https://inpn.mnhn.fr/espece/cd_nom/247328","Zeiraphera griseana (Hübner, 1799)")</f>
        <v>Zeiraphera griseana (Hübner, 1799)</v>
      </c>
      <c r="AH14755" s="4" t="str">
        <f>HYPERLINK("#Statut_biogéographique!A"&amp;_xlfn.XMATCH("P",Statut_biogéographique!A:A,2,1),"P")</f>
        <v>P</v>
      </c>
      <c r="AP14755" s="4" t="s">
        <v>376</v>
      </c>
      <c r="AR14755" s="4" t="s">
        <v>377</v>
      </c>
    </row>
    <row r="14756" spans="1:44" ht="30">
      <c r="A14756" s="4" t="s">
        <v>10753</v>
      </c>
      <c r="B14756" s="4">
        <v>247330</v>
      </c>
      <c r="D14756" s="5" t="s">
        <v>17417</v>
      </c>
      <c r="E14756" s="6" t="str">
        <f>HYPERLINK("https://inpn.mnhn.fr/espece/cd_nom/247330","Zeiraphera ratzeburgiana (Saxesen in Ratzeburg, 1840)")</f>
        <v>Zeiraphera ratzeburgiana (Saxesen in Ratzeburg, 1840)</v>
      </c>
      <c r="AH14756" s="4" t="str">
        <f>HYPERLINK("#Statut_biogéographique!A"&amp;_xlfn.XMATCH("P",Statut_biogéographique!A:A,2,1),"P")</f>
        <v>P</v>
      </c>
      <c r="AP14756" s="4" t="s">
        <v>376</v>
      </c>
      <c r="AR14756" s="4" t="s">
        <v>377</v>
      </c>
    </row>
    <row r="14757" spans="1:44">
      <c r="A14757" s="4" t="s">
        <v>10753</v>
      </c>
      <c r="B14757" s="4">
        <v>247331</v>
      </c>
      <c r="D14757" s="5" t="s">
        <v>17418</v>
      </c>
      <c r="E14757" s="6" t="str">
        <f>HYPERLINK("https://inpn.mnhn.fr/espece/cd_nom/247331","Zeiraphera isertana (Fabricius, 1794)")</f>
        <v>Zeiraphera isertana (Fabricius, 1794)</v>
      </c>
      <c r="AH14757" s="4" t="str">
        <f>HYPERLINK("#Statut_biogéographique!A"&amp;_xlfn.XMATCH("P",Statut_biogéographique!A:A,2,1),"P")</f>
        <v>P</v>
      </c>
      <c r="AP14757" s="4" t="s">
        <v>376</v>
      </c>
      <c r="AR14757" s="4" t="s">
        <v>377</v>
      </c>
    </row>
    <row r="14758" spans="1:44">
      <c r="A14758" s="4" t="s">
        <v>10753</v>
      </c>
      <c r="B14758" s="4">
        <v>247332</v>
      </c>
      <c r="D14758" s="5" t="s">
        <v>17419</v>
      </c>
      <c r="E14758" s="6" t="str">
        <f>HYPERLINK("https://inpn.mnhn.fr/espece/cd_nom/247332","Epinotia sordidana (Hübner, 1824)")</f>
        <v>Epinotia sordidana (Hübner, 1824)</v>
      </c>
      <c r="AH14758" s="4" t="str">
        <f>HYPERLINK("#Statut_biogéographique!A"&amp;_xlfn.XMATCH("P",Statut_biogéographique!A:A,2,1),"P")</f>
        <v>P</v>
      </c>
      <c r="AP14758" s="4" t="s">
        <v>376</v>
      </c>
      <c r="AR14758" s="4" t="s">
        <v>377</v>
      </c>
    </row>
    <row r="14759" spans="1:44">
      <c r="A14759" s="4" t="s">
        <v>10753</v>
      </c>
      <c r="B14759" s="4">
        <v>247333</v>
      </c>
      <c r="D14759" s="5" t="s">
        <v>17420</v>
      </c>
      <c r="E14759" s="6" t="str">
        <f>HYPERLINK("https://inpn.mnhn.fr/espece/cd_nom/247333","Epinotia caprana (Fabricius, 1798)")</f>
        <v>Epinotia caprana (Fabricius, 1798)</v>
      </c>
      <c r="AH14759" s="4" t="str">
        <f>HYPERLINK("#Statut_biogéographique!A"&amp;_xlfn.XMATCH("P",Statut_biogéographique!A:A,2,1),"P")</f>
        <v>P</v>
      </c>
      <c r="AP14759" s="4" t="s">
        <v>376</v>
      </c>
      <c r="AR14759" s="4" t="s">
        <v>377</v>
      </c>
    </row>
    <row r="14760" spans="1:44" ht="30">
      <c r="A14760" s="4" t="s">
        <v>10753</v>
      </c>
      <c r="B14760" s="4">
        <v>247334</v>
      </c>
      <c r="D14760" s="5" t="s">
        <v>17421</v>
      </c>
      <c r="E14760" s="6" t="str">
        <f>HYPERLINK("https://inpn.mnhn.fr/espece/cd_nom/247334","Epinotia trigonella (Linnaeus, 1758)")</f>
        <v>Epinotia trigonella (Linnaeus, 1758)</v>
      </c>
      <c r="AH14760" s="4" t="str">
        <f>HYPERLINK("#Statut_biogéographique!A"&amp;_xlfn.XMATCH("P",Statut_biogéographique!A:A,2,1),"P")</f>
        <v>P</v>
      </c>
      <c r="AP14760" s="4" t="s">
        <v>376</v>
      </c>
      <c r="AR14760" s="4" t="s">
        <v>377</v>
      </c>
    </row>
    <row r="14761" spans="1:44">
      <c r="A14761" s="4" t="s">
        <v>10753</v>
      </c>
      <c r="B14761" s="4">
        <v>247335</v>
      </c>
      <c r="D14761" s="5" t="s">
        <v>17422</v>
      </c>
      <c r="E14761" s="6" t="str">
        <f>HYPERLINK("https://inpn.mnhn.fr/espece/cd_nom/247335","Epinotia brunnichana (Linnaeus, 1767)")</f>
        <v>Epinotia brunnichana (Linnaeus, 1767)</v>
      </c>
      <c r="AH14761" s="4" t="str">
        <f>HYPERLINK("#Statut_biogéographique!A"&amp;_xlfn.XMATCH("P",Statut_biogéographique!A:A,2,1),"P")</f>
        <v>P</v>
      </c>
      <c r="AP14761" s="4" t="s">
        <v>376</v>
      </c>
      <c r="AR14761" s="4" t="s">
        <v>377</v>
      </c>
    </row>
    <row r="14762" spans="1:44" ht="30">
      <c r="A14762" s="4" t="s">
        <v>10753</v>
      </c>
      <c r="B14762" s="4">
        <v>247337</v>
      </c>
      <c r="D14762" s="5" t="s">
        <v>17423</v>
      </c>
      <c r="E14762" s="6" t="str">
        <f>HYPERLINK("https://inpn.mnhn.fr/espece/cd_nom/247337","Epinotia solandriana (Linnaeus, 1758)")</f>
        <v>Epinotia solandriana (Linnaeus, 1758)</v>
      </c>
      <c r="AH14762" s="4" t="str">
        <f>HYPERLINK("#Statut_biogéographique!A"&amp;_xlfn.XMATCH("P",Statut_biogéographique!A:A,2,1),"P")</f>
        <v>P</v>
      </c>
      <c r="AP14762" s="4" t="s">
        <v>376</v>
      </c>
      <c r="AR14762" s="4" t="s">
        <v>377</v>
      </c>
    </row>
    <row r="14763" spans="1:44" ht="30">
      <c r="A14763" s="4" t="s">
        <v>10753</v>
      </c>
      <c r="B14763" s="4">
        <v>247338</v>
      </c>
      <c r="D14763" s="5" t="s">
        <v>17424</v>
      </c>
      <c r="E14763" s="6" t="str">
        <f>HYPERLINK("https://inpn.mnhn.fr/espece/cd_nom/247338","Epinotia abbreviana (Fabricius, 1794)")</f>
        <v>Epinotia abbreviana (Fabricius, 1794)</v>
      </c>
      <c r="AH14763" s="4" t="str">
        <f>HYPERLINK("#Statut_biogéographique!A"&amp;_xlfn.XMATCH("P",Statut_biogéographique!A:A,2,1),"P")</f>
        <v>P</v>
      </c>
      <c r="AP14763" s="4" t="s">
        <v>376</v>
      </c>
      <c r="AR14763" s="4" t="s">
        <v>377</v>
      </c>
    </row>
    <row r="14764" spans="1:44">
      <c r="A14764" s="4" t="s">
        <v>10753</v>
      </c>
      <c r="B14764" s="4">
        <v>247339</v>
      </c>
      <c r="D14764" s="5" t="s">
        <v>17425</v>
      </c>
      <c r="E14764" s="6" t="str">
        <f>HYPERLINK("https://inpn.mnhn.fr/espece/cd_nom/247339","Epinotia festivana (Hübner, 1799)")</f>
        <v>Epinotia festivana (Hübner, 1799)</v>
      </c>
      <c r="AH14764" s="4" t="str">
        <f>HYPERLINK("#Statut_biogéographique!A"&amp;_xlfn.XMATCH("P",Statut_biogéographique!A:A,2,1),"P")</f>
        <v>P</v>
      </c>
      <c r="AP14764" s="4" t="s">
        <v>376</v>
      </c>
      <c r="AR14764" s="4" t="s">
        <v>377</v>
      </c>
    </row>
    <row r="14765" spans="1:44">
      <c r="A14765" s="4" t="s">
        <v>10753</v>
      </c>
      <c r="B14765" s="4">
        <v>247341</v>
      </c>
      <c r="D14765" s="5" t="s">
        <v>17426</v>
      </c>
      <c r="E14765" s="6" t="str">
        <f>HYPERLINK("https://inpn.mnhn.fr/espece/cd_nom/247341","Epinotia granitana (Herrich-Schäffer, 1851)")</f>
        <v>Epinotia granitana (Herrich-Schäffer, 1851)</v>
      </c>
      <c r="AH14765" s="4" t="str">
        <f>HYPERLINK("#Statut_biogéographique!A"&amp;_xlfn.XMATCH("P",Statut_biogéographique!A:A,2,1),"P")</f>
        <v>P</v>
      </c>
      <c r="AP14765" s="4" t="s">
        <v>376</v>
      </c>
      <c r="AR14765" s="4" t="s">
        <v>377</v>
      </c>
    </row>
    <row r="14766" spans="1:44">
      <c r="A14766" s="4" t="s">
        <v>10753</v>
      </c>
      <c r="B14766" s="4">
        <v>247343</v>
      </c>
      <c r="D14766" s="5" t="s">
        <v>17427</v>
      </c>
      <c r="E14766" s="6" t="str">
        <f>HYPERLINK("https://inpn.mnhn.fr/espece/cd_nom/247343","Epinotia cruciana (Linnaeus, 1761)")</f>
        <v>Epinotia cruciana (Linnaeus, 1761)</v>
      </c>
      <c r="AH14766" s="4" t="str">
        <f>HYPERLINK("#Statut_biogéographique!A"&amp;_xlfn.XMATCH("P",Statut_biogéographique!A:A,2,1),"P")</f>
        <v>P</v>
      </c>
      <c r="AP14766" s="4" t="s">
        <v>376</v>
      </c>
      <c r="AR14766" s="4" t="s">
        <v>377</v>
      </c>
    </row>
    <row r="14767" spans="1:44">
      <c r="A14767" s="4" t="s">
        <v>10753</v>
      </c>
      <c r="B14767" s="4">
        <v>247344</v>
      </c>
      <c r="D14767" s="5" t="s">
        <v>17428</v>
      </c>
      <c r="E14767" s="6" t="str">
        <f>HYPERLINK("https://inpn.mnhn.fr/espece/cd_nom/247344","Epinotia mercuriana (Frölich, 1828)")</f>
        <v>Epinotia mercuriana (Frölich, 1828)</v>
      </c>
      <c r="AH14767" s="4" t="str">
        <f>HYPERLINK("#Statut_biogéographique!A"&amp;_xlfn.XMATCH("P",Statut_biogéographique!A:A,2,1),"P")</f>
        <v>P</v>
      </c>
      <c r="AP14767" s="4" t="s">
        <v>376</v>
      </c>
      <c r="AR14767" s="4" t="s">
        <v>377</v>
      </c>
    </row>
    <row r="14768" spans="1:44" ht="30">
      <c r="A14768" s="4" t="s">
        <v>10753</v>
      </c>
      <c r="B14768" s="4">
        <v>247345</v>
      </c>
      <c r="D14768" s="5" t="s">
        <v>17429</v>
      </c>
      <c r="E14768" s="6" t="str">
        <f>HYPERLINK("https://inpn.mnhn.fr/espece/cd_nom/247345","Epinotia immundana (Fischer von Röslerstamm, 1839)")</f>
        <v>Epinotia immundana (Fischer von Röslerstamm, 1839)</v>
      </c>
      <c r="AH14768" s="4" t="str">
        <f>HYPERLINK("#Statut_biogéographique!A"&amp;_xlfn.XMATCH("P",Statut_biogéographique!A:A,2,1),"P")</f>
        <v>P</v>
      </c>
      <c r="AP14768" s="4" t="s">
        <v>376</v>
      </c>
      <c r="AR14768" s="4" t="s">
        <v>377</v>
      </c>
    </row>
    <row r="14769" spans="1:44">
      <c r="A14769" s="4" t="s">
        <v>10753</v>
      </c>
      <c r="B14769" s="4">
        <v>247349</v>
      </c>
      <c r="D14769" s="5" t="s">
        <v>17430</v>
      </c>
      <c r="E14769" s="6" t="str">
        <f>HYPERLINK("https://inpn.mnhn.fr/espece/cd_nom/247349","Epinotia nanana (Treitschke, 1835)")</f>
        <v>Epinotia nanana (Treitschke, 1835)</v>
      </c>
      <c r="AH14769" s="4" t="str">
        <f>HYPERLINK("#Statut_biogéographique!A"&amp;_xlfn.XMATCH("P",Statut_biogéographique!A:A,2,1),"P")</f>
        <v>P</v>
      </c>
      <c r="AP14769" s="4" t="s">
        <v>376</v>
      </c>
      <c r="AR14769" s="4" t="s">
        <v>377</v>
      </c>
    </row>
    <row r="14770" spans="1:44" ht="30">
      <c r="A14770" s="4" t="s">
        <v>10753</v>
      </c>
      <c r="B14770" s="4">
        <v>247351</v>
      </c>
      <c r="D14770" s="5" t="s">
        <v>17431</v>
      </c>
      <c r="E14770" s="6" t="str">
        <f>HYPERLINK("https://inpn.mnhn.fr/espece/cd_nom/247351","Epinotia demarniana (Fischer von Röslerstamm, 1840)")</f>
        <v>Epinotia demarniana (Fischer von Röslerstamm, 1840)</v>
      </c>
      <c r="AH14770" s="4" t="str">
        <f>HYPERLINK("#Statut_biogéographique!A"&amp;_xlfn.XMATCH("P",Statut_biogéographique!A:A,2,1),"P")</f>
        <v>P</v>
      </c>
      <c r="AP14770" s="4" t="s">
        <v>376</v>
      </c>
      <c r="AR14770" s="4" t="s">
        <v>377</v>
      </c>
    </row>
    <row r="14771" spans="1:44">
      <c r="A14771" s="4" t="s">
        <v>10753</v>
      </c>
      <c r="B14771" s="4">
        <v>247353</v>
      </c>
      <c r="D14771" s="5" t="s">
        <v>17432</v>
      </c>
      <c r="E14771" s="6" t="str">
        <f>HYPERLINK("https://inpn.mnhn.fr/espece/cd_nom/247353","Epinotia tetraquetrana (Haworth, 1811)")</f>
        <v>Epinotia tetraquetrana (Haworth, 1811)</v>
      </c>
      <c r="AH14771" s="4" t="str">
        <f>HYPERLINK("#Statut_biogéographique!A"&amp;_xlfn.XMATCH("P",Statut_biogéographique!A:A,2,1),"P")</f>
        <v>P</v>
      </c>
      <c r="AP14771" s="4" t="s">
        <v>376</v>
      </c>
      <c r="AR14771" s="4" t="s">
        <v>377</v>
      </c>
    </row>
    <row r="14772" spans="1:44" ht="30">
      <c r="A14772" s="4" t="s">
        <v>10753</v>
      </c>
      <c r="B14772" s="4">
        <v>247356</v>
      </c>
      <c r="D14772" s="5" t="s">
        <v>17433</v>
      </c>
      <c r="E14772" s="6" t="str">
        <f>HYPERLINK("https://inpn.mnhn.fr/espece/cd_nom/247356","Epinotia tenerana (Denis &amp; Schiffermüller, 1775)")</f>
        <v>Epinotia tenerana (Denis &amp; Schiffermüller, 1775)</v>
      </c>
      <c r="AH14772" s="4" t="str">
        <f>HYPERLINK("#Statut_biogéographique!A"&amp;_xlfn.XMATCH("P",Statut_biogéographique!A:A,2,1),"P")</f>
        <v>P</v>
      </c>
      <c r="AP14772" s="4" t="s">
        <v>376</v>
      </c>
      <c r="AR14772" s="4" t="s">
        <v>377</v>
      </c>
    </row>
    <row r="14773" spans="1:44">
      <c r="A14773" s="4" t="s">
        <v>10753</v>
      </c>
      <c r="B14773" s="4">
        <v>247357</v>
      </c>
      <c r="D14773" s="5" t="s">
        <v>17434</v>
      </c>
      <c r="E14773" s="6" t="str">
        <f>HYPERLINK("https://inpn.mnhn.fr/espece/cd_nom/247357","Epinotia ramella (Linnaeus, 1758)")</f>
        <v>Epinotia ramella (Linnaeus, 1758)</v>
      </c>
      <c r="AH14773" s="4" t="str">
        <f>HYPERLINK("#Statut_biogéographique!A"&amp;_xlfn.XMATCH("P",Statut_biogéographique!A:A,2,1),"P")</f>
        <v>P</v>
      </c>
      <c r="AP14773" s="4" t="s">
        <v>376</v>
      </c>
      <c r="AR14773" s="4" t="s">
        <v>377</v>
      </c>
    </row>
    <row r="14774" spans="1:44">
      <c r="A14774" s="4" t="s">
        <v>10753</v>
      </c>
      <c r="B14774" s="4">
        <v>247358</v>
      </c>
      <c r="D14774" s="5" t="s">
        <v>17435</v>
      </c>
      <c r="E14774" s="6" t="str">
        <f>HYPERLINK("https://inpn.mnhn.fr/espece/cd_nom/247358","Epinotia nigricana (Herrich-Schäffer, 1851)")</f>
        <v>Epinotia nigricana (Herrich-Schäffer, 1851)</v>
      </c>
      <c r="AH14774" s="4" t="str">
        <f>HYPERLINK("#Statut_biogéographique!A"&amp;_xlfn.XMATCH("P",Statut_biogéographique!A:A,2,1),"P")</f>
        <v>P</v>
      </c>
      <c r="AP14774" s="4" t="s">
        <v>376</v>
      </c>
      <c r="AR14774" s="4" t="s">
        <v>377</v>
      </c>
    </row>
    <row r="14775" spans="1:44" ht="30">
      <c r="A14775" s="4" t="s">
        <v>10753</v>
      </c>
      <c r="B14775" s="4">
        <v>247361</v>
      </c>
      <c r="D14775" s="5" t="s">
        <v>17436</v>
      </c>
      <c r="E14775" s="6" t="str">
        <f>HYPERLINK("https://inpn.mnhn.fr/espece/cd_nom/247361","Epinotia tedella (Clerck, 1759)")</f>
        <v>Epinotia tedella (Clerck, 1759)</v>
      </c>
      <c r="AH14775" s="4" t="str">
        <f>HYPERLINK("#Statut_biogéographique!A"&amp;_xlfn.XMATCH("P",Statut_biogéographique!A:A,2,1),"P")</f>
        <v>P</v>
      </c>
      <c r="AP14775" s="4" t="s">
        <v>376</v>
      </c>
      <c r="AR14775" s="4" t="s">
        <v>377</v>
      </c>
    </row>
    <row r="14776" spans="1:44" ht="30">
      <c r="A14776" s="4" t="s">
        <v>10753</v>
      </c>
      <c r="B14776" s="4">
        <v>247362</v>
      </c>
      <c r="D14776" s="5" t="s">
        <v>17437</v>
      </c>
      <c r="E14776" s="6" t="str">
        <f>HYPERLINK("https://inpn.mnhn.fr/espece/cd_nom/247362","Epinotia fraternana (Haworth, 1811)")</f>
        <v>Epinotia fraternana (Haworth, 1811)</v>
      </c>
      <c r="AH14776" s="4" t="str">
        <f>HYPERLINK("#Statut_biogéographique!A"&amp;_xlfn.XMATCH("P",Statut_biogéographique!A:A,2,1),"P")</f>
        <v>P</v>
      </c>
      <c r="AP14776" s="4" t="s">
        <v>376</v>
      </c>
      <c r="AR14776" s="4" t="s">
        <v>377</v>
      </c>
    </row>
    <row r="14777" spans="1:44">
      <c r="A14777" s="4" t="s">
        <v>10753</v>
      </c>
      <c r="B14777" s="4">
        <v>247363</v>
      </c>
      <c r="D14777" s="5" t="s">
        <v>17438</v>
      </c>
      <c r="E14777" s="6" t="str">
        <f>HYPERLINK("https://inpn.mnhn.fr/espece/cd_nom/247363","Epinotia bilunana (Haworth, 1811)")</f>
        <v>Epinotia bilunana (Haworth, 1811)</v>
      </c>
      <c r="AH14777" s="4" t="str">
        <f>HYPERLINK("#Statut_biogéographique!A"&amp;_xlfn.XMATCH("P",Statut_biogéographique!A:A,2,1),"P")</f>
        <v>P</v>
      </c>
      <c r="AP14777" s="4" t="s">
        <v>376</v>
      </c>
      <c r="AR14777" s="4" t="s">
        <v>377</v>
      </c>
    </row>
    <row r="14778" spans="1:44" ht="45">
      <c r="A14778" s="4" t="s">
        <v>10753</v>
      </c>
      <c r="B14778" s="4">
        <v>247364</v>
      </c>
      <c r="D14778" s="5" t="s">
        <v>17439</v>
      </c>
      <c r="E14778" s="6" t="str">
        <f>HYPERLINK("https://inpn.mnhn.fr/espece/cd_nom/247364","Epinotia nisella (Clerck, 1759)")</f>
        <v>Epinotia nisella (Clerck, 1759)</v>
      </c>
      <c r="AH14778" s="4" t="str">
        <f>HYPERLINK("#Statut_biogéographique!A"&amp;_xlfn.XMATCH("P",Statut_biogéographique!A:A,2,1),"P")</f>
        <v>P</v>
      </c>
      <c r="AP14778" s="4" t="s">
        <v>376</v>
      </c>
      <c r="AR14778" s="4" t="s">
        <v>377</v>
      </c>
    </row>
    <row r="14779" spans="1:44" ht="30">
      <c r="A14779" s="4" t="s">
        <v>10753</v>
      </c>
      <c r="B14779" s="4">
        <v>247367</v>
      </c>
      <c r="D14779" s="5" t="s">
        <v>17440</v>
      </c>
      <c r="E14779" s="6" t="str">
        <f>HYPERLINK("https://inpn.mnhn.fr/espece/cd_nom/247367","Spilonota ocellana (Denis &amp; Schiffermüller, 1775)")</f>
        <v>Spilonota ocellana (Denis &amp; Schiffermüller, 1775)</v>
      </c>
      <c r="AH14779" s="4" t="str">
        <f>HYPERLINK("#Statut_biogéographique!A"&amp;_xlfn.XMATCH("P",Statut_biogéographique!A:A,2,1),"P")</f>
        <v>P</v>
      </c>
      <c r="AP14779" s="4" t="s">
        <v>376</v>
      </c>
      <c r="AR14779" s="4" t="s">
        <v>377</v>
      </c>
    </row>
    <row r="14780" spans="1:44">
      <c r="A14780" s="4" t="s">
        <v>10753</v>
      </c>
      <c r="B14780" s="4">
        <v>247368</v>
      </c>
      <c r="D14780" s="5" t="s">
        <v>17441</v>
      </c>
      <c r="E14780" s="6" t="str">
        <f>HYPERLINK("https://inpn.mnhn.fr/espece/cd_nom/247368","Spilonota laricana (Heinemann, 1863)")</f>
        <v>Spilonota laricana (Heinemann, 1863)</v>
      </c>
      <c r="AH14780" s="4" t="str">
        <f>HYPERLINK("#Statut_biogéographique!A"&amp;_xlfn.XMATCH("P",Statut_biogéographique!A:A,2,1),"P")</f>
        <v>P</v>
      </c>
      <c r="AP14780" s="4" t="s">
        <v>376</v>
      </c>
      <c r="AR14780" s="4" t="s">
        <v>377</v>
      </c>
    </row>
    <row r="14781" spans="1:44" ht="30">
      <c r="A14781" s="4" t="s">
        <v>10753</v>
      </c>
      <c r="B14781" s="4">
        <v>247372</v>
      </c>
      <c r="D14781" s="5" t="s">
        <v>17442</v>
      </c>
      <c r="E14781" s="6" t="str">
        <f>HYPERLINK("https://inpn.mnhn.fr/espece/cd_nom/247372","Rhopobota naevana (Hübner, 1817)")</f>
        <v>Rhopobota naevana (Hübner, 1817)</v>
      </c>
      <c r="AH14781" s="4" t="str">
        <f>HYPERLINK("#Statut_biogéographique!A"&amp;_xlfn.XMATCH("P",Statut_biogéographique!A:A,2,1),"P")</f>
        <v>P</v>
      </c>
      <c r="AP14781" s="4" t="s">
        <v>376</v>
      </c>
      <c r="AR14781" s="4" t="s">
        <v>377</v>
      </c>
    </row>
    <row r="14782" spans="1:44">
      <c r="A14782" s="4" t="s">
        <v>10753</v>
      </c>
      <c r="B14782" s="4">
        <v>247378</v>
      </c>
      <c r="D14782" s="5" t="s">
        <v>17443</v>
      </c>
      <c r="E14782" s="6" t="str">
        <f>HYPERLINK("https://inpn.mnhn.fr/espece/cd_nom/247378","Thiodia trochilana (Frölich, 1828)")</f>
        <v>Thiodia trochilana (Frölich, 1828)</v>
      </c>
      <c r="AH14782" s="4" t="str">
        <f>HYPERLINK("#Statut_biogéographique!A"&amp;_xlfn.XMATCH("P",Statut_biogéographique!A:A,2,1),"P")</f>
        <v>P</v>
      </c>
      <c r="AP14782" s="4" t="s">
        <v>376</v>
      </c>
      <c r="AR14782" s="4" t="s">
        <v>377</v>
      </c>
    </row>
    <row r="14783" spans="1:44">
      <c r="A14783" s="4" t="s">
        <v>10753</v>
      </c>
      <c r="B14783" s="4">
        <v>247382</v>
      </c>
      <c r="D14783" s="5" t="s">
        <v>17444</v>
      </c>
      <c r="E14783" s="6" t="str">
        <f>HYPERLINK("https://inpn.mnhn.fr/espece/cd_nom/247382","Strophedra nitidana (Fabricius, 1794)")</f>
        <v>Strophedra nitidana (Fabricius, 1794)</v>
      </c>
      <c r="AH14783" s="4" t="str">
        <f>HYPERLINK("#Statut_biogéographique!A"&amp;_xlfn.XMATCH("P",Statut_biogéographique!A:A,2,1),"P")</f>
        <v>P</v>
      </c>
      <c r="AP14783" s="4" t="s">
        <v>376</v>
      </c>
      <c r="AR14783" s="4" t="s">
        <v>377</v>
      </c>
    </row>
    <row r="14784" spans="1:44">
      <c r="A14784" s="4" t="s">
        <v>10753</v>
      </c>
      <c r="B14784" s="4">
        <v>247384</v>
      </c>
      <c r="D14784" s="5" t="s">
        <v>17445</v>
      </c>
      <c r="E14784" s="6" t="str">
        <f>HYPERLINK("https://inpn.mnhn.fr/espece/cd_nom/247384","Pammene splendidulana (Guenée, 1845)")</f>
        <v>Pammene splendidulana (Guenée, 1845)</v>
      </c>
      <c r="AH14784" s="4" t="str">
        <f>HYPERLINK("#Statut_biogéographique!A"&amp;_xlfn.XMATCH("P",Statut_biogéographique!A:A,2,1),"P")</f>
        <v>P</v>
      </c>
      <c r="AP14784" s="4" t="s">
        <v>376</v>
      </c>
      <c r="AR14784" s="4" t="s">
        <v>377</v>
      </c>
    </row>
    <row r="14785" spans="1:44">
      <c r="A14785" s="4" t="s">
        <v>10753</v>
      </c>
      <c r="B14785" s="4">
        <v>247393</v>
      </c>
      <c r="D14785" s="5" t="s">
        <v>17446</v>
      </c>
      <c r="E14785" s="6" t="str">
        <f>HYPERLINK("https://inpn.mnhn.fr/espece/cd_nom/247393","Pammene amygdalana (Duponchel, 1842)")</f>
        <v>Pammene amygdalana (Duponchel, 1842)</v>
      </c>
      <c r="AH14785" s="4" t="str">
        <f>HYPERLINK("#Statut_biogéographique!A"&amp;_xlfn.XMATCH("P",Statut_biogéographique!A:A,2,1),"P")</f>
        <v>P</v>
      </c>
      <c r="AP14785" s="4" t="s">
        <v>376</v>
      </c>
      <c r="AR14785" s="4" t="s">
        <v>377</v>
      </c>
    </row>
    <row r="14786" spans="1:44">
      <c r="A14786" s="4" t="s">
        <v>10753</v>
      </c>
      <c r="B14786" s="4">
        <v>247395</v>
      </c>
      <c r="D14786" s="5" t="s">
        <v>17447</v>
      </c>
      <c r="E14786" s="6" t="str">
        <f>HYPERLINK("https://inpn.mnhn.fr/espece/cd_nom/247395","Pammene fasciana (Linnaeus, 1761)")</f>
        <v>Pammene fasciana (Linnaeus, 1761)</v>
      </c>
      <c r="AH14786" s="4" t="str">
        <f>HYPERLINK("#Statut_biogéographique!A"&amp;_xlfn.XMATCH("P",Statut_biogéographique!A:A,2,1),"P")</f>
        <v>P</v>
      </c>
      <c r="AP14786" s="4" t="s">
        <v>376</v>
      </c>
      <c r="AR14786" s="4" t="s">
        <v>377</v>
      </c>
    </row>
    <row r="14787" spans="1:44">
      <c r="A14787" s="4" t="s">
        <v>10753</v>
      </c>
      <c r="B14787" s="4">
        <v>247397</v>
      </c>
      <c r="D14787" s="5" t="s">
        <v>17448</v>
      </c>
      <c r="E14787" s="6" t="str">
        <f>HYPERLINK("https://inpn.mnhn.fr/espece/cd_nom/247397","Pammene rhediella (Clerck, 1759)")</f>
        <v>Pammene rhediella (Clerck, 1759)</v>
      </c>
      <c r="AH14787" s="4" t="str">
        <f>HYPERLINK("#Statut_biogéographique!A"&amp;_xlfn.XMATCH("P",Statut_biogéographique!A:A,2,1),"P")</f>
        <v>P</v>
      </c>
      <c r="AP14787" s="4" t="s">
        <v>376</v>
      </c>
      <c r="AR14787" s="4" t="s">
        <v>377</v>
      </c>
    </row>
    <row r="14788" spans="1:44">
      <c r="A14788" s="4" t="s">
        <v>10753</v>
      </c>
      <c r="B14788" s="4">
        <v>247400</v>
      </c>
      <c r="D14788" s="5" t="s">
        <v>17449</v>
      </c>
      <c r="E14788" s="6" t="str">
        <f>HYPERLINK("https://inpn.mnhn.fr/espece/cd_nom/247400","Pammene spiniana (Duponchel, 1843)")</f>
        <v>Pammene spiniana (Duponchel, 1843)</v>
      </c>
      <c r="AH14788" s="4" t="str">
        <f>HYPERLINK("#Statut_biogéographique!A"&amp;_xlfn.XMATCH("P",Statut_biogéographique!A:A,2,1),"P")</f>
        <v>P</v>
      </c>
      <c r="AP14788" s="4" t="s">
        <v>376</v>
      </c>
      <c r="AR14788" s="4" t="s">
        <v>377</v>
      </c>
    </row>
    <row r="14789" spans="1:44">
      <c r="A14789" s="4" t="s">
        <v>10753</v>
      </c>
      <c r="B14789" s="4">
        <v>247402</v>
      </c>
      <c r="D14789" s="5" t="s">
        <v>17450</v>
      </c>
      <c r="E14789" s="6" t="str">
        <f>HYPERLINK("https://inpn.mnhn.fr/espece/cd_nom/247402","Pammene regiana (Zeller, 1849)")</f>
        <v>Pammene regiana (Zeller, 1849)</v>
      </c>
      <c r="AH14789" s="4" t="str">
        <f>HYPERLINK("#Statut_biogéographique!A"&amp;_xlfn.XMATCH("P",Statut_biogéographique!A:A,2,1),"P")</f>
        <v>P</v>
      </c>
      <c r="AP14789" s="4" t="s">
        <v>376</v>
      </c>
      <c r="AR14789" s="4" t="s">
        <v>377</v>
      </c>
    </row>
    <row r="14790" spans="1:44">
      <c r="A14790" s="4" t="s">
        <v>10753</v>
      </c>
      <c r="B14790" s="4">
        <v>247403</v>
      </c>
      <c r="D14790" s="5" t="s">
        <v>17451</v>
      </c>
      <c r="E14790" s="6" t="str">
        <f>HYPERLINK("https://inpn.mnhn.fr/espece/cd_nom/247403","Pammene aurita Razowski, 1992")</f>
        <v>Pammene aurita Razowski, 1992</v>
      </c>
      <c r="AH14790" s="4" t="str">
        <f>HYPERLINK("#Statut_biogéographique!A"&amp;_xlfn.XMATCH("P",Statut_biogéographique!A:A,2,1),"P")</f>
        <v>P</v>
      </c>
      <c r="AP14790" s="4" t="s">
        <v>376</v>
      </c>
      <c r="AR14790" s="4" t="s">
        <v>377</v>
      </c>
    </row>
    <row r="14791" spans="1:44">
      <c r="A14791" s="4" t="s">
        <v>10753</v>
      </c>
      <c r="B14791" s="4">
        <v>247404</v>
      </c>
      <c r="D14791" s="5" t="s">
        <v>17452</v>
      </c>
      <c r="E14791" s="6" t="str">
        <f>HYPERLINK("https://inpn.mnhn.fr/espece/cd_nom/247404","Pammene germmana (Hübner, 1799)")</f>
        <v>Pammene germmana (Hübner, 1799)</v>
      </c>
      <c r="AH14791" s="4" t="str">
        <f>HYPERLINK("#Statut_biogéographique!A"&amp;_xlfn.XMATCH("P",Statut_biogéographique!A:A,2,1),"P")</f>
        <v>P</v>
      </c>
      <c r="AP14791" s="4" t="s">
        <v>376</v>
      </c>
      <c r="AR14791" s="4" t="s">
        <v>377</v>
      </c>
    </row>
    <row r="14792" spans="1:44">
      <c r="A14792" s="4" t="s">
        <v>10753</v>
      </c>
      <c r="B14792" s="4">
        <v>247411</v>
      </c>
      <c r="D14792" s="5" t="s">
        <v>17453</v>
      </c>
      <c r="E14792" s="6" t="str">
        <f>HYPERLINK("https://inpn.mnhn.fr/espece/cd_nom/247411","Pammene gallicana (Guenée, 1845)")</f>
        <v>Pammene gallicana (Guenée, 1845)</v>
      </c>
      <c r="AH14792" s="4" t="str">
        <f>HYPERLINK("#Statut_biogéographique!A"&amp;_xlfn.XMATCH("P",Statut_biogéographique!A:A,2,1),"P")</f>
        <v>P</v>
      </c>
      <c r="AP14792" s="4" t="s">
        <v>376</v>
      </c>
      <c r="AR14792" s="4" t="s">
        <v>377</v>
      </c>
    </row>
    <row r="14793" spans="1:44">
      <c r="A14793" s="4" t="s">
        <v>10753</v>
      </c>
      <c r="B14793" s="4">
        <v>247413</v>
      </c>
      <c r="D14793" s="5" t="s">
        <v>17454</v>
      </c>
      <c r="E14793" s="6" t="str">
        <f>HYPERLINK("https://inpn.mnhn.fr/espece/cd_nom/247413","Grapholita fissana (Frölich, 1828)")</f>
        <v>Grapholita fissana (Frölich, 1828)</v>
      </c>
      <c r="AH14793" s="4" t="str">
        <f>HYPERLINK("#Statut_biogéographique!A"&amp;_xlfn.XMATCH("P",Statut_biogéographique!A:A,2,1),"P")</f>
        <v>P</v>
      </c>
      <c r="AP14793" s="4" t="s">
        <v>376</v>
      </c>
      <c r="AR14793" s="4" t="s">
        <v>377</v>
      </c>
    </row>
    <row r="14794" spans="1:44" ht="30">
      <c r="A14794" s="4" t="s">
        <v>10753</v>
      </c>
      <c r="B14794" s="4">
        <v>247414</v>
      </c>
      <c r="D14794" s="5" t="s">
        <v>17455</v>
      </c>
      <c r="E14794" s="6" t="str">
        <f>HYPERLINK("https://inpn.mnhn.fr/espece/cd_nom/247414","Grapholita compositella (Fabricius, 1775)")</f>
        <v>Grapholita compositella (Fabricius, 1775)</v>
      </c>
      <c r="AH14794" s="4" t="str">
        <f>HYPERLINK("#Statut_biogéographique!A"&amp;_xlfn.XMATCH("P",Statut_biogéographique!A:A,2,1),"P")</f>
        <v>P</v>
      </c>
      <c r="AP14794" s="4" t="s">
        <v>376</v>
      </c>
      <c r="AR14794" s="4" t="s">
        <v>377</v>
      </c>
    </row>
    <row r="14795" spans="1:44">
      <c r="A14795" s="4" t="s">
        <v>10753</v>
      </c>
      <c r="B14795" s="4">
        <v>247416</v>
      </c>
      <c r="D14795" s="5" t="s">
        <v>17456</v>
      </c>
      <c r="E14795" s="6" t="str">
        <f>HYPERLINK("https://inpn.mnhn.fr/espece/cd_nom/247416","Grapholita pallifrontana Zeller, 1844")</f>
        <v>Grapholita pallifrontana Zeller, 1844</v>
      </c>
      <c r="AH14795" s="4" t="str">
        <f>HYPERLINK("#Statut_biogéographique!A"&amp;_xlfn.XMATCH("P",Statut_biogéographique!A:A,2,1),"P")</f>
        <v>P</v>
      </c>
      <c r="AP14795" s="4" t="s">
        <v>376</v>
      </c>
      <c r="AR14795" s="4" t="s">
        <v>377</v>
      </c>
    </row>
    <row r="14796" spans="1:44">
      <c r="A14796" s="4" t="s">
        <v>10753</v>
      </c>
      <c r="B14796" s="4">
        <v>247421</v>
      </c>
      <c r="D14796" s="5" t="s">
        <v>17457</v>
      </c>
      <c r="E14796" s="6" t="str">
        <f>HYPERLINK("https://inpn.mnhn.fr/espece/cd_nom/247421","Grapholita caecana Schläger, 1847")</f>
        <v>Grapholita caecana Schläger, 1847</v>
      </c>
      <c r="AH14796" s="4" t="str">
        <f>HYPERLINK("#Statut_biogéographique!A"&amp;_xlfn.XMATCH("P",Statut_biogéographique!A:A,2,1),"P")</f>
        <v>P</v>
      </c>
      <c r="AP14796" s="4" t="s">
        <v>376</v>
      </c>
      <c r="AR14796" s="4" t="s">
        <v>377</v>
      </c>
    </row>
    <row r="14797" spans="1:44">
      <c r="A14797" s="4" t="s">
        <v>10753</v>
      </c>
      <c r="B14797" s="4">
        <v>247432</v>
      </c>
      <c r="D14797" s="5" t="s">
        <v>17458</v>
      </c>
      <c r="E14797" s="6" t="str">
        <f>HYPERLINK("https://inpn.mnhn.fr/espece/cd_nom/247432","Grapholita funebrana Treitschke, 1835")</f>
        <v>Grapholita funebrana Treitschke, 1835</v>
      </c>
      <c r="AH14797" s="4" t="str">
        <f>HYPERLINK("#Statut_biogéographique!A"&amp;_xlfn.XMATCH("P",Statut_biogéographique!A:A,2,1),"P")</f>
        <v>P</v>
      </c>
      <c r="AP14797" s="4" t="s">
        <v>376</v>
      </c>
      <c r="AR14797" s="4" t="s">
        <v>377</v>
      </c>
    </row>
    <row r="14798" spans="1:44">
      <c r="A14798" s="4" t="s">
        <v>10753</v>
      </c>
      <c r="B14798" s="4">
        <v>247434</v>
      </c>
      <c r="D14798" s="5" t="s">
        <v>17459</v>
      </c>
      <c r="E14798" s="6" t="str">
        <f>HYPERLINK("https://inpn.mnhn.fr/espece/cd_nom/247434","Grapholita janthinana (Duponchel, 1835)")</f>
        <v>Grapholita janthinana (Duponchel, 1835)</v>
      </c>
      <c r="AH14798" s="4" t="str">
        <f>HYPERLINK("#Statut_biogéographique!A"&amp;_xlfn.XMATCH("P",Statut_biogéographique!A:A,2,1),"P")</f>
        <v>P</v>
      </c>
      <c r="AP14798" s="4" t="s">
        <v>376</v>
      </c>
      <c r="AR14798" s="4" t="s">
        <v>377</v>
      </c>
    </row>
    <row r="14799" spans="1:44">
      <c r="A14799" s="4" t="s">
        <v>10753</v>
      </c>
      <c r="B14799" s="4">
        <v>247437</v>
      </c>
      <c r="D14799" s="5" t="s">
        <v>17460</v>
      </c>
      <c r="E14799" s="6" t="str">
        <f>HYPERLINK("https://inpn.mnhn.fr/espece/cd_nom/247437","Lathronympha strigana (Fabricius, 1775)")</f>
        <v>Lathronympha strigana (Fabricius, 1775)</v>
      </c>
      <c r="AH14799" s="4" t="str">
        <f>HYPERLINK("#Statut_biogéographique!A"&amp;_xlfn.XMATCH("P",Statut_biogéographique!A:A,2,1),"P")</f>
        <v>P</v>
      </c>
      <c r="AP14799" s="4" t="s">
        <v>376</v>
      </c>
      <c r="AR14799" s="4" t="s">
        <v>377</v>
      </c>
    </row>
    <row r="14800" spans="1:44">
      <c r="A14800" s="4" t="s">
        <v>10753</v>
      </c>
      <c r="B14800" s="4">
        <v>247439</v>
      </c>
      <c r="D14800" s="5" t="s">
        <v>17461</v>
      </c>
      <c r="E14800" s="6" t="str">
        <f>HYPERLINK("https://inpn.mnhn.fr/espece/cd_nom/247439","Cydia nigricana (Fabricius, 1794)")</f>
        <v>Cydia nigricana (Fabricius, 1794)</v>
      </c>
      <c r="AH14800" s="4" t="str">
        <f>HYPERLINK("#Statut_biogéographique!A"&amp;_xlfn.XMATCH("P",Statut_biogéographique!A:A,2,1),"P")</f>
        <v>P</v>
      </c>
      <c r="AP14800" s="4" t="s">
        <v>376</v>
      </c>
      <c r="AR14800" s="4" t="s">
        <v>377</v>
      </c>
    </row>
    <row r="14801" spans="1:44" ht="30">
      <c r="A14801" s="4" t="s">
        <v>10753</v>
      </c>
      <c r="B14801" s="4">
        <v>247440</v>
      </c>
      <c r="D14801" s="5" t="s">
        <v>17462</v>
      </c>
      <c r="E14801" s="6" t="str">
        <f>HYPERLINK("https://inpn.mnhn.fr/espece/cd_nom/247440","Cydia succedana (Denis &amp; Schiffermüller, 1775)")</f>
        <v>Cydia succedana (Denis &amp; Schiffermüller, 1775)</v>
      </c>
      <c r="AH14801" s="4" t="str">
        <f>HYPERLINK("#Statut_biogéographique!A"&amp;_xlfn.XMATCH("P",Statut_biogéographique!A:A,2,1),"P")</f>
        <v>P</v>
      </c>
      <c r="AP14801" s="4" t="s">
        <v>376</v>
      </c>
      <c r="AR14801" s="4" t="s">
        <v>377</v>
      </c>
    </row>
    <row r="14802" spans="1:44">
      <c r="A14802" s="4" t="s">
        <v>10753</v>
      </c>
      <c r="B14802" s="4">
        <v>247452</v>
      </c>
      <c r="D14802" s="5" t="s">
        <v>17463</v>
      </c>
      <c r="E14802" s="6" t="str">
        <f>HYPERLINK("https://inpn.mnhn.fr/espece/cd_nom/247452","Cydia duplicana (Zetterstedt, 1839)")</f>
        <v>Cydia duplicana (Zetterstedt, 1839)</v>
      </c>
      <c r="AH14802" s="4" t="str">
        <f>HYPERLINK("#Statut_biogéographique!A"&amp;_xlfn.XMATCH("P",Statut_biogéographique!A:A,2,1),"P")</f>
        <v>P</v>
      </c>
      <c r="AP14802" s="4" t="s">
        <v>376</v>
      </c>
      <c r="AR14802" s="4" t="s">
        <v>377</v>
      </c>
    </row>
    <row r="14803" spans="1:44">
      <c r="A14803" s="4" t="s">
        <v>10753</v>
      </c>
      <c r="B14803" s="4">
        <v>247454</v>
      </c>
      <c r="D14803" s="5" t="s">
        <v>17464</v>
      </c>
      <c r="E14803" s="6" t="str">
        <f>HYPERLINK("https://inpn.mnhn.fr/espece/cd_nom/247454","Cydia conicolana (Heylaerts, 1874)")</f>
        <v>Cydia conicolana (Heylaerts, 1874)</v>
      </c>
      <c r="AH14803" s="4" t="str">
        <f>HYPERLINK("#Statut_biogéographique!A"&amp;_xlfn.XMATCH("P",Statut_biogéographique!A:A,2,1),"P")</f>
        <v>P</v>
      </c>
      <c r="AP14803" s="4" t="s">
        <v>376</v>
      </c>
      <c r="AR14803" s="4" t="s">
        <v>377</v>
      </c>
    </row>
    <row r="14804" spans="1:44">
      <c r="A14804" s="4" t="s">
        <v>10753</v>
      </c>
      <c r="B14804" s="4">
        <v>247455</v>
      </c>
      <c r="D14804" s="5" t="s">
        <v>17465</v>
      </c>
      <c r="E14804" s="6" t="str">
        <f>HYPERLINK("https://inpn.mnhn.fr/espece/cd_nom/247455","Cydia corollana (Hübner, 1823)")</f>
        <v>Cydia corollana (Hübner, 1823)</v>
      </c>
      <c r="AH14804" s="4" t="str">
        <f>HYPERLINK("#Statut_biogéographique!A"&amp;_xlfn.XMATCH("P",Statut_biogéographique!A:A,2,1),"P")</f>
        <v>P</v>
      </c>
      <c r="AP14804" s="4" t="s">
        <v>376</v>
      </c>
      <c r="AR14804" s="4" t="s">
        <v>377</v>
      </c>
    </row>
    <row r="14805" spans="1:44">
      <c r="A14805" s="4" t="s">
        <v>10753</v>
      </c>
      <c r="B14805" s="4">
        <v>247458</v>
      </c>
      <c r="D14805" s="5" t="s">
        <v>17466</v>
      </c>
      <c r="E14805" s="6" t="str">
        <f>HYPERLINK("https://inpn.mnhn.fr/espece/cd_nom/247458","Cydia cosmophorana (Treitschke, 1835)")</f>
        <v>Cydia cosmophorana (Treitschke, 1835)</v>
      </c>
      <c r="AH14805" s="4" t="str">
        <f>HYPERLINK("#Statut_biogéographique!A"&amp;_xlfn.XMATCH("P",Statut_biogéographique!A:A,2,1),"P")</f>
        <v>P</v>
      </c>
      <c r="AP14805" s="4" t="s">
        <v>376</v>
      </c>
      <c r="AR14805" s="4" t="s">
        <v>377</v>
      </c>
    </row>
    <row r="14806" spans="1:44">
      <c r="A14806" s="4" t="s">
        <v>10753</v>
      </c>
      <c r="B14806" s="4">
        <v>247459</v>
      </c>
      <c r="D14806" s="5" t="s">
        <v>17467</v>
      </c>
      <c r="E14806" s="6" t="str">
        <f>HYPERLINK("https://inpn.mnhn.fr/espece/cd_nom/247459","Cydia strobilella (Linnaeus, 1758)")</f>
        <v>Cydia strobilella (Linnaeus, 1758)</v>
      </c>
      <c r="AH14806" s="4" t="str">
        <f>HYPERLINK("#Statut_biogéographique!A"&amp;_xlfn.XMATCH("P",Statut_biogéographique!A:A,2,1),"P")</f>
        <v>P</v>
      </c>
      <c r="AP14806" s="4" t="s">
        <v>376</v>
      </c>
      <c r="AR14806" s="4" t="s">
        <v>377</v>
      </c>
    </row>
    <row r="14807" spans="1:44" ht="30">
      <c r="A14807" s="4" t="s">
        <v>10753</v>
      </c>
      <c r="B14807" s="4">
        <v>247462</v>
      </c>
      <c r="D14807" s="5" t="s">
        <v>17468</v>
      </c>
      <c r="E14807" s="6" t="str">
        <f>HYPERLINK("https://inpn.mnhn.fr/espece/cd_nom/247462","Cydia pomonella (Linnaeus, 1758)")</f>
        <v>Cydia pomonella (Linnaeus, 1758)</v>
      </c>
      <c r="AH14807" s="4" t="str">
        <f>HYPERLINK("#Statut_biogéographique!A"&amp;_xlfn.XMATCH("P",Statut_biogéographique!A:A,2,1),"P")</f>
        <v>P</v>
      </c>
      <c r="AP14807" s="4" t="s">
        <v>376</v>
      </c>
      <c r="AR14807" s="4" t="s">
        <v>377</v>
      </c>
    </row>
    <row r="14808" spans="1:44" ht="30">
      <c r="A14808" s="4" t="s">
        <v>10753</v>
      </c>
      <c r="B14808" s="4">
        <v>247466</v>
      </c>
      <c r="D14808" s="5" t="s">
        <v>17469</v>
      </c>
      <c r="E14808" s="6" t="str">
        <f>HYPERLINK("https://inpn.mnhn.fr/espece/cd_nom/247466","Cydia splendana (Hübner, 1799)")</f>
        <v>Cydia splendana (Hübner, 1799)</v>
      </c>
      <c r="AH14808" s="4" t="str">
        <f>HYPERLINK("#Statut_biogéographique!A"&amp;_xlfn.XMATCH("P",Statut_biogéographique!A:A,2,1),"P")</f>
        <v>P</v>
      </c>
      <c r="AP14808" s="4" t="s">
        <v>376</v>
      </c>
      <c r="AR14808" s="4" t="s">
        <v>377</v>
      </c>
    </row>
    <row r="14809" spans="1:44">
      <c r="A14809" s="4" t="s">
        <v>10753</v>
      </c>
      <c r="B14809" s="4">
        <v>247467</v>
      </c>
      <c r="D14809" s="5" t="s">
        <v>17470</v>
      </c>
      <c r="E14809" s="6" t="str">
        <f>HYPERLINK("https://inpn.mnhn.fr/espece/cd_nom/247467","Cydia fagiglandana (Zeller, 1841)")</f>
        <v>Cydia fagiglandana (Zeller, 1841)</v>
      </c>
      <c r="AH14809" s="4" t="str">
        <f>HYPERLINK("#Statut_biogéographique!A"&amp;_xlfn.XMATCH("P",Statut_biogéographique!A:A,2,1),"P")</f>
        <v>P</v>
      </c>
      <c r="AP14809" s="4" t="s">
        <v>376</v>
      </c>
      <c r="AR14809" s="4" t="s">
        <v>377</v>
      </c>
    </row>
    <row r="14810" spans="1:44" ht="30">
      <c r="A14810" s="4" t="s">
        <v>10753</v>
      </c>
      <c r="B14810" s="4">
        <v>247472</v>
      </c>
      <c r="D14810" s="5" t="s">
        <v>17471</v>
      </c>
      <c r="E14810" s="6" t="str">
        <f>HYPERLINK("https://inpn.mnhn.fr/espece/cd_nom/247472","Dichrorampha plumbana (Scopoli, 1763)")</f>
        <v>Dichrorampha plumbana (Scopoli, 1763)</v>
      </c>
      <c r="AH14810" s="4" t="str">
        <f>HYPERLINK("#Statut_biogéographique!A"&amp;_xlfn.XMATCH("P",Statut_biogéographique!A:A,2,1),"P")</f>
        <v>P</v>
      </c>
      <c r="AP14810" s="4" t="s">
        <v>376</v>
      </c>
      <c r="AR14810" s="4" t="s">
        <v>377</v>
      </c>
    </row>
    <row r="14811" spans="1:44">
      <c r="A14811" s="4" t="s">
        <v>10753</v>
      </c>
      <c r="B14811" s="4">
        <v>247473</v>
      </c>
      <c r="D14811" s="5" t="s">
        <v>17472</v>
      </c>
      <c r="E14811" s="6" t="str">
        <f>HYPERLINK("https://inpn.mnhn.fr/espece/cd_nom/247473","Dichrorampha sedatana (Busck, 1906)")</f>
        <v>Dichrorampha sedatana (Busck, 1906)</v>
      </c>
      <c r="AH14811" s="4" t="str">
        <f>HYPERLINK("#Statut_biogéographique!A"&amp;_xlfn.XMATCH("P",Statut_biogéographique!A:A,2,1),"P")</f>
        <v>P</v>
      </c>
      <c r="AP14811" s="4" t="s">
        <v>376</v>
      </c>
      <c r="AR14811" s="4" t="s">
        <v>377</v>
      </c>
    </row>
    <row r="14812" spans="1:44" ht="30">
      <c r="A14812" s="4" t="s">
        <v>10753</v>
      </c>
      <c r="B14812" s="4">
        <v>247474</v>
      </c>
      <c r="D14812" s="5" t="s">
        <v>17473</v>
      </c>
      <c r="E14812" s="6" t="str">
        <f>HYPERLINK("https://inpn.mnhn.fr/espece/cd_nom/247474","Dichrorampha aeratana (Pierce &amp; Metcalfe, 1915)")</f>
        <v>Dichrorampha aeratana (Pierce &amp; Metcalfe, 1915)</v>
      </c>
      <c r="AH14812" s="4" t="str">
        <f>HYPERLINK("#Statut_biogéographique!A"&amp;_xlfn.XMATCH("P",Statut_biogéographique!A:A,2,1),"P")</f>
        <v>P</v>
      </c>
      <c r="AP14812" s="4" t="s">
        <v>376</v>
      </c>
      <c r="AR14812" s="4" t="s">
        <v>377</v>
      </c>
    </row>
    <row r="14813" spans="1:44">
      <c r="A14813" s="4" t="s">
        <v>10753</v>
      </c>
      <c r="B14813" s="4">
        <v>247487</v>
      </c>
      <c r="D14813" s="5" t="s">
        <v>17474</v>
      </c>
      <c r="E14813" s="6" t="str">
        <f>HYPERLINK("https://inpn.mnhn.fr/espece/cd_nom/247487","Dichrorampha simpliciana (Haworth, 1811)")</f>
        <v>Dichrorampha simpliciana (Haworth, 1811)</v>
      </c>
      <c r="AH14813" s="4" t="str">
        <f>HYPERLINK("#Statut_biogéographique!A"&amp;_xlfn.XMATCH("P",Statut_biogéographique!A:A,2,1),"P")</f>
        <v>P</v>
      </c>
      <c r="AP14813" s="4" t="s">
        <v>376</v>
      </c>
      <c r="AR14813" s="4" t="s">
        <v>377</v>
      </c>
    </row>
    <row r="14814" spans="1:44">
      <c r="A14814" s="4" t="s">
        <v>10753</v>
      </c>
      <c r="B14814" s="4">
        <v>247488</v>
      </c>
      <c r="D14814" s="5" t="s">
        <v>17475</v>
      </c>
      <c r="E14814" s="6" t="str">
        <f>HYPERLINK("https://inpn.mnhn.fr/espece/cd_nom/247488","Dichrorampha sequana (Hübner, 1799)")</f>
        <v>Dichrorampha sequana (Hübner, 1799)</v>
      </c>
      <c r="AH14814" s="4" t="str">
        <f>HYPERLINK("#Statut_biogéographique!A"&amp;_xlfn.XMATCH("P",Statut_biogéographique!A:A,2,1),"P")</f>
        <v>P</v>
      </c>
      <c r="AP14814" s="4" t="s">
        <v>376</v>
      </c>
      <c r="AR14814" s="4" t="s">
        <v>377</v>
      </c>
    </row>
    <row r="14815" spans="1:44" ht="30">
      <c r="A14815" s="4" t="s">
        <v>10753</v>
      </c>
      <c r="B14815" s="4">
        <v>247492</v>
      </c>
      <c r="D14815" s="5" t="s">
        <v>17476</v>
      </c>
      <c r="E14815" s="6" t="str">
        <f>HYPERLINK("https://inpn.mnhn.fr/espece/cd_nom/247492","Dichrorampha vancouverana McDunnough, 1935")</f>
        <v>Dichrorampha vancouverana McDunnough, 1935</v>
      </c>
      <c r="AH14815" s="4" t="str">
        <f>HYPERLINK("#Statut_biogéographique!A"&amp;_xlfn.XMATCH("P",Statut_biogéographique!A:A,2,1),"P")</f>
        <v>P</v>
      </c>
      <c r="AP14815" s="4" t="s">
        <v>376</v>
      </c>
      <c r="AR14815" s="4" t="s">
        <v>377</v>
      </c>
    </row>
    <row r="14816" spans="1:44">
      <c r="A14816" s="4" t="s">
        <v>10753</v>
      </c>
      <c r="B14816" s="4">
        <v>247493</v>
      </c>
      <c r="D14816" s="5">
        <v>247493</v>
      </c>
      <c r="E14816" s="6" t="str">
        <f>HYPERLINK("https://inpn.mnhn.fr/espece/cd_nom/247493","Dichrorampha flavidorsana Knaggs, 1867")</f>
        <v>Dichrorampha flavidorsana Knaggs, 1867</v>
      </c>
      <c r="AH14816" s="4" t="str">
        <f>HYPERLINK("#Statut_biogéographique!A"&amp;_xlfn.XMATCH("P",Statut_biogéographique!A:A,2,1),"P")</f>
        <v>P</v>
      </c>
      <c r="AP14816" s="4" t="s">
        <v>376</v>
      </c>
      <c r="AR14816" s="4" t="s">
        <v>377</v>
      </c>
    </row>
    <row r="14817" spans="1:44">
      <c r="A14817" s="4" t="s">
        <v>10753</v>
      </c>
      <c r="B14817" s="4">
        <v>247495</v>
      </c>
      <c r="D14817" s="5" t="s">
        <v>17477</v>
      </c>
      <c r="E14817" s="6" t="str">
        <f>HYPERLINK("https://inpn.mnhn.fr/espece/cd_nom/247495","Dichrorampha petiverella (Linnaeus, 1758)")</f>
        <v>Dichrorampha petiverella (Linnaeus, 1758)</v>
      </c>
      <c r="AH14817" s="4" t="str">
        <f>HYPERLINK("#Statut_biogéographique!A"&amp;_xlfn.XMATCH("P",Statut_biogéographique!A:A,2,1),"P")</f>
        <v>P</v>
      </c>
      <c r="AP14817" s="4" t="s">
        <v>376</v>
      </c>
      <c r="AR14817" s="4" t="s">
        <v>377</v>
      </c>
    </row>
    <row r="14818" spans="1:44" ht="30">
      <c r="A14818" s="4" t="s">
        <v>10753</v>
      </c>
      <c r="B14818" s="4">
        <v>247496</v>
      </c>
      <c r="D14818" s="5" t="s">
        <v>17478</v>
      </c>
      <c r="E14818" s="6" t="str">
        <f>HYPERLINK("https://inpn.mnhn.fr/espece/cd_nom/247496","Dichrorampha plumbagana (Treitschke, 1830)")</f>
        <v>Dichrorampha plumbagana (Treitschke, 1830)</v>
      </c>
      <c r="AH14818" s="4" t="str">
        <f>HYPERLINK("#Statut_biogéographique!A"&amp;_xlfn.XMATCH("P",Statut_biogéographique!A:A,2,1),"P")</f>
        <v>P</v>
      </c>
      <c r="AP14818" s="4" t="s">
        <v>376</v>
      </c>
      <c r="AR14818" s="4" t="s">
        <v>377</v>
      </c>
    </row>
    <row r="14819" spans="1:44">
      <c r="A14819" s="4" t="s">
        <v>10753</v>
      </c>
      <c r="B14819" s="4">
        <v>247501</v>
      </c>
      <c r="D14819" s="5" t="s">
        <v>17479</v>
      </c>
      <c r="E14819" s="6" t="str">
        <f>HYPERLINK("https://inpn.mnhn.fr/espece/cd_nom/247501","Isotrias hybridana (Hübner, 1817)")</f>
        <v>Isotrias hybridana (Hübner, 1817)</v>
      </c>
      <c r="AH14819" s="4" t="str">
        <f>HYPERLINK("#Statut_biogéographique!A"&amp;_xlfn.XMATCH("P",Statut_biogéographique!A:A,2,1),"P")</f>
        <v>P</v>
      </c>
      <c r="AP14819" s="4" t="s">
        <v>376</v>
      </c>
      <c r="AR14819" s="4" t="s">
        <v>377</v>
      </c>
    </row>
    <row r="14820" spans="1:44">
      <c r="A14820" s="4" t="s">
        <v>10753</v>
      </c>
      <c r="B14820" s="4">
        <v>247502</v>
      </c>
      <c r="D14820" s="5" t="s">
        <v>17480</v>
      </c>
      <c r="E14820" s="6" t="str">
        <f>HYPERLINK("https://inpn.mnhn.fr/espece/cd_nom/247502","Isotrias rectifasciana (Haworth, 1811)")</f>
        <v>Isotrias rectifasciana (Haworth, 1811)</v>
      </c>
      <c r="AH14820" s="4" t="str">
        <f>HYPERLINK("#Statut_biogéographique!A"&amp;_xlfn.XMATCH("P",Statut_biogéographique!A:A,2,1),"P")</f>
        <v>P</v>
      </c>
      <c r="AP14820" s="4" t="s">
        <v>376</v>
      </c>
      <c r="AR14820" s="4" t="s">
        <v>377</v>
      </c>
    </row>
    <row r="14821" spans="1:44">
      <c r="A14821" s="4" t="s">
        <v>10753</v>
      </c>
      <c r="B14821" s="4">
        <v>247503</v>
      </c>
      <c r="D14821" s="5" t="s">
        <v>17481</v>
      </c>
      <c r="E14821" s="6" t="str">
        <f>HYPERLINK("https://inpn.mnhn.fr/espece/cd_nom/247503","Isotrias stramentana (Guenée, 1845)")</f>
        <v>Isotrias stramentana (Guenée, 1845)</v>
      </c>
      <c r="AH14821" s="4" t="str">
        <f>HYPERLINK("#Statut_biogéographique!A"&amp;_xlfn.XMATCH("P",Statut_biogéographique!A:A,2,1),"P")</f>
        <v>P</v>
      </c>
      <c r="AP14821" s="4" t="s">
        <v>376</v>
      </c>
      <c r="AR14821" s="4" t="s">
        <v>377</v>
      </c>
    </row>
    <row r="14822" spans="1:44" ht="30">
      <c r="A14822" s="4" t="s">
        <v>10753</v>
      </c>
      <c r="B14822" s="4">
        <v>247505</v>
      </c>
      <c r="D14822" s="5" t="s">
        <v>17482</v>
      </c>
      <c r="E14822" s="6" t="str">
        <f>HYPERLINK("https://inpn.mnhn.fr/espece/cd_nom/247505","Olindia schumacherana (Fabricius, 1787)")</f>
        <v>Olindia schumacherana (Fabricius, 1787)</v>
      </c>
      <c r="AH14822" s="4" t="str">
        <f>HYPERLINK("#Statut_biogéographique!A"&amp;_xlfn.XMATCH("P",Statut_biogéographique!A:A,2,1),"P")</f>
        <v>P</v>
      </c>
      <c r="AP14822" s="4" t="s">
        <v>376</v>
      </c>
      <c r="AR14822" s="4" t="s">
        <v>377</v>
      </c>
    </row>
    <row r="14823" spans="1:44">
      <c r="A14823" s="4" t="s">
        <v>10753</v>
      </c>
      <c r="B14823" s="4">
        <v>247507</v>
      </c>
      <c r="D14823" s="5" t="s">
        <v>17483</v>
      </c>
      <c r="E14823" s="6" t="str">
        <f>HYPERLINK("https://inpn.mnhn.fr/espece/cd_nom/247507","Falseuncaria ruficiliana (Haworth, 1811)")</f>
        <v>Falseuncaria ruficiliana (Haworth, 1811)</v>
      </c>
      <c r="AH14823" s="4" t="str">
        <f>HYPERLINK("#Statut_biogéographique!A"&amp;_xlfn.XMATCH("P",Statut_biogéographique!A:A,2,1),"P")</f>
        <v>P</v>
      </c>
      <c r="AP14823" s="4" t="s">
        <v>376</v>
      </c>
      <c r="AR14823" s="4" t="s">
        <v>377</v>
      </c>
    </row>
    <row r="14824" spans="1:44">
      <c r="A14824" s="4" t="s">
        <v>10753</v>
      </c>
      <c r="B14824" s="4">
        <v>247510</v>
      </c>
      <c r="D14824" s="5" t="s">
        <v>17484</v>
      </c>
      <c r="E14824" s="6" t="str">
        <f>HYPERLINK("https://inpn.mnhn.fr/espece/cd_nom/247510","Cochylis roseana (Haworth, 1811)")</f>
        <v>Cochylis roseana (Haworth, 1811)</v>
      </c>
      <c r="AH14824" s="4" t="str">
        <f>HYPERLINK("#Statut_biogéographique!A"&amp;_xlfn.XMATCH("P",Statut_biogéographique!A:A,2,1),"P")</f>
        <v>P</v>
      </c>
      <c r="AP14824" s="4" t="s">
        <v>376</v>
      </c>
      <c r="AR14824" s="4" t="s">
        <v>377</v>
      </c>
    </row>
    <row r="14825" spans="1:44">
      <c r="A14825" s="4" t="s">
        <v>10753</v>
      </c>
      <c r="B14825" s="4">
        <v>247513</v>
      </c>
      <c r="D14825" s="5" t="s">
        <v>17485</v>
      </c>
      <c r="E14825" s="6" t="str">
        <f>HYPERLINK("https://inpn.mnhn.fr/espece/cd_nom/247513","Cochylis hybridella (Hübner, 1813)")</f>
        <v>Cochylis hybridella (Hübner, 1813)</v>
      </c>
      <c r="AH14825" s="4" t="str">
        <f>HYPERLINK("#Statut_biogéographique!A"&amp;_xlfn.XMATCH("P",Statut_biogéographique!A:A,2,1),"P")</f>
        <v>P</v>
      </c>
      <c r="AP14825" s="4" t="s">
        <v>376</v>
      </c>
      <c r="AR14825" s="4" t="s">
        <v>377</v>
      </c>
    </row>
    <row r="14826" spans="1:44">
      <c r="A14826" s="4" t="s">
        <v>10753</v>
      </c>
      <c r="B14826" s="4">
        <v>247515</v>
      </c>
      <c r="D14826" s="5" t="s">
        <v>17486</v>
      </c>
      <c r="E14826" s="6" t="str">
        <f>HYPERLINK("https://inpn.mnhn.fr/espece/cd_nom/247515","Cochylis dubitana (Hübner, 1799)")</f>
        <v>Cochylis dubitana (Hübner, 1799)</v>
      </c>
      <c r="AH14826" s="4" t="str">
        <f>HYPERLINK("#Statut_biogéographique!A"&amp;_xlfn.XMATCH("P",Statut_biogéographique!A:A,2,1),"P")</f>
        <v>P</v>
      </c>
      <c r="AP14826" s="4" t="s">
        <v>376</v>
      </c>
      <c r="AR14826" s="4" t="s">
        <v>377</v>
      </c>
    </row>
    <row r="14827" spans="1:44">
      <c r="A14827" s="4" t="s">
        <v>10753</v>
      </c>
      <c r="B14827" s="4">
        <v>247517</v>
      </c>
      <c r="D14827" s="5" t="s">
        <v>17487</v>
      </c>
      <c r="E14827" s="6" t="str">
        <f>HYPERLINK("https://inpn.mnhn.fr/espece/cd_nom/247517","Cochylis atricapitana (Stephens, 1852)")</f>
        <v>Cochylis atricapitana (Stephens, 1852)</v>
      </c>
      <c r="AH14827" s="4" t="str">
        <f>HYPERLINK("#Statut_biogéographique!A"&amp;_xlfn.XMATCH("P",Statut_biogéographique!A:A,2,1),"P")</f>
        <v>P</v>
      </c>
      <c r="AP14827" s="4" t="s">
        <v>376</v>
      </c>
      <c r="AR14827" s="4" t="s">
        <v>377</v>
      </c>
    </row>
    <row r="14828" spans="1:44">
      <c r="A14828" s="4" t="s">
        <v>10753</v>
      </c>
      <c r="B14828" s="4">
        <v>247519</v>
      </c>
      <c r="D14828" s="5" t="s">
        <v>17488</v>
      </c>
      <c r="E14828" s="6" t="str">
        <f>HYPERLINK("https://inpn.mnhn.fr/espece/cd_nom/247519","Cochylis pallidana Zeller, 1847")</f>
        <v>Cochylis pallidana Zeller, 1847</v>
      </c>
      <c r="AH14828" s="4" t="str">
        <f>HYPERLINK("#Statut_biogéographique!A"&amp;_xlfn.XMATCH("P",Statut_biogéographique!A:A,2,1),"P")</f>
        <v>P</v>
      </c>
      <c r="AP14828" s="4" t="s">
        <v>376</v>
      </c>
      <c r="AR14828" s="4" t="s">
        <v>377</v>
      </c>
    </row>
    <row r="14829" spans="1:44">
      <c r="A14829" s="4" t="s">
        <v>10753</v>
      </c>
      <c r="B14829" s="4">
        <v>247526</v>
      </c>
      <c r="D14829" s="5" t="s">
        <v>17489</v>
      </c>
      <c r="E14829" s="6" t="str">
        <f>HYPERLINK("https://inpn.mnhn.fr/espece/cd_nom/247526","Cochylidia rupicola (Curtis, 1834)")</f>
        <v>Cochylidia rupicola (Curtis, 1834)</v>
      </c>
      <c r="AH14829" s="4" t="str">
        <f>HYPERLINK("#Statut_biogéographique!A"&amp;_xlfn.XMATCH("P",Statut_biogéographique!A:A,2,1),"P")</f>
        <v>P</v>
      </c>
      <c r="AP14829" s="4" t="s">
        <v>376</v>
      </c>
      <c r="AR14829" s="4" t="s">
        <v>377</v>
      </c>
    </row>
    <row r="14830" spans="1:44">
      <c r="A14830" s="4" t="s">
        <v>10753</v>
      </c>
      <c r="B14830" s="4">
        <v>247527</v>
      </c>
      <c r="D14830" s="5" t="s">
        <v>17490</v>
      </c>
      <c r="E14830" s="6" t="str">
        <f>HYPERLINK("https://inpn.mnhn.fr/espece/cd_nom/247527","Cochylidia subroseana (Haworth, 1811)")</f>
        <v>Cochylidia subroseana (Haworth, 1811)</v>
      </c>
      <c r="AH14830" s="4" t="str">
        <f>HYPERLINK("#Statut_biogéographique!A"&amp;_xlfn.XMATCH("P",Statut_biogéographique!A:A,2,1),"P")</f>
        <v>P</v>
      </c>
      <c r="AP14830" s="4" t="s">
        <v>376</v>
      </c>
      <c r="AR14830" s="4" t="s">
        <v>377</v>
      </c>
    </row>
    <row r="14831" spans="1:44">
      <c r="A14831" s="4" t="s">
        <v>10753</v>
      </c>
      <c r="B14831" s="4">
        <v>247529</v>
      </c>
      <c r="D14831" s="5" t="s">
        <v>17491</v>
      </c>
      <c r="E14831" s="6" t="str">
        <f>HYPERLINK("https://inpn.mnhn.fr/espece/cd_nom/247529","Cochylidia implicitana (Wocke, 1856)")</f>
        <v>Cochylidia implicitana (Wocke, 1856)</v>
      </c>
      <c r="AH14831" s="4" t="str">
        <f>HYPERLINK("#Statut_biogéographique!A"&amp;_xlfn.XMATCH("P",Statut_biogéographique!A:A,2,1),"P")</f>
        <v>P</v>
      </c>
      <c r="AP14831" s="4" t="s">
        <v>376</v>
      </c>
      <c r="AR14831" s="4" t="s">
        <v>377</v>
      </c>
    </row>
    <row r="14832" spans="1:44">
      <c r="A14832" s="4" t="s">
        <v>10753</v>
      </c>
      <c r="B14832" s="4">
        <v>247530</v>
      </c>
      <c r="D14832" s="5" t="s">
        <v>17492</v>
      </c>
      <c r="E14832" s="6" t="str">
        <f>HYPERLINK("https://inpn.mnhn.fr/espece/cd_nom/247530","Aethes hartmanniana (Clerck, 1759)")</f>
        <v>Aethes hartmanniana (Clerck, 1759)</v>
      </c>
      <c r="AH14832" s="4" t="str">
        <f>HYPERLINK("#Statut_biogéographique!A"&amp;_xlfn.XMATCH("P",Statut_biogéographique!A:A,2,1),"P")</f>
        <v>P</v>
      </c>
      <c r="AP14832" s="4" t="s">
        <v>376</v>
      </c>
      <c r="AR14832" s="4" t="s">
        <v>377</v>
      </c>
    </row>
    <row r="14833" spans="1:44">
      <c r="A14833" s="4" t="s">
        <v>10753</v>
      </c>
      <c r="B14833" s="4">
        <v>247531</v>
      </c>
      <c r="D14833" s="5">
        <v>247531</v>
      </c>
      <c r="E14833" s="6" t="str">
        <f>HYPERLINK("https://inpn.mnhn.fr/espece/cd_nom/247531","Aethes piercei Obraztsov, 1952")</f>
        <v>Aethes piercei Obraztsov, 1952</v>
      </c>
      <c r="AH14833" s="4" t="str">
        <f>HYPERLINK("#Statut_biogéographique!A"&amp;_xlfn.XMATCH("P",Statut_biogéographique!A:A,2,1),"P")</f>
        <v>P</v>
      </c>
      <c r="AP14833" s="4" t="s">
        <v>376</v>
      </c>
      <c r="AR14833" s="4" t="s">
        <v>377</v>
      </c>
    </row>
    <row r="14834" spans="1:44">
      <c r="A14834" s="4" t="s">
        <v>10753</v>
      </c>
      <c r="B14834" s="4">
        <v>247540</v>
      </c>
      <c r="D14834" s="5" t="s">
        <v>17493</v>
      </c>
      <c r="E14834" s="6" t="str">
        <f>HYPERLINK("https://inpn.mnhn.fr/espece/cd_nom/247540","Aethes rutilana (Hübner, 1817)")</f>
        <v>Aethes rutilana (Hübner, 1817)</v>
      </c>
      <c r="AH14834" s="4" t="str">
        <f>HYPERLINK("#Statut_biogéographique!A"&amp;_xlfn.XMATCH("P",Statut_biogéographique!A:A,2,1),"P")</f>
        <v>P</v>
      </c>
      <c r="AP14834" s="4" t="s">
        <v>376</v>
      </c>
      <c r="AR14834" s="4" t="s">
        <v>377</v>
      </c>
    </row>
    <row r="14835" spans="1:44">
      <c r="A14835" s="4" t="s">
        <v>10753</v>
      </c>
      <c r="B14835" s="4">
        <v>247541</v>
      </c>
      <c r="D14835" s="5" t="s">
        <v>17494</v>
      </c>
      <c r="E14835" s="6" t="str">
        <f>HYPERLINK("https://inpn.mnhn.fr/espece/cd_nom/247541","Aethes smeathmanniana (Fabricius, 1781)")</f>
        <v>Aethes smeathmanniana (Fabricius, 1781)</v>
      </c>
      <c r="AH14835" s="4" t="str">
        <f>HYPERLINK("#Statut_biogéographique!A"&amp;_xlfn.XMATCH("P",Statut_biogéographique!A:A,2,1),"P")</f>
        <v>P</v>
      </c>
      <c r="AP14835" s="4" t="s">
        <v>376</v>
      </c>
      <c r="AR14835" s="4" t="s">
        <v>377</v>
      </c>
    </row>
    <row r="14836" spans="1:44" ht="30">
      <c r="A14836" s="4" t="s">
        <v>10753</v>
      </c>
      <c r="B14836" s="4">
        <v>247542</v>
      </c>
      <c r="D14836" s="5" t="s">
        <v>17495</v>
      </c>
      <c r="E14836" s="6" t="str">
        <f>HYPERLINK("https://inpn.mnhn.fr/espece/cd_nom/247542","Aethes tesserana (Denis &amp; Schiffermüller, 1775)")</f>
        <v>Aethes tesserana (Denis &amp; Schiffermüller, 1775)</v>
      </c>
      <c r="AH14836" s="4" t="str">
        <f>HYPERLINK("#Statut_biogéographique!A"&amp;_xlfn.XMATCH("P",Statut_biogéographique!A:A,2,1),"P")</f>
        <v>P</v>
      </c>
      <c r="AP14836" s="4" t="s">
        <v>376</v>
      </c>
      <c r="AR14836" s="4" t="s">
        <v>377</v>
      </c>
    </row>
    <row r="14837" spans="1:44" ht="30">
      <c r="A14837" s="4" t="s">
        <v>10753</v>
      </c>
      <c r="B14837" s="4">
        <v>247546</v>
      </c>
      <c r="D14837" s="5" t="s">
        <v>17496</v>
      </c>
      <c r="E14837" s="6" t="str">
        <f>HYPERLINK("https://inpn.mnhn.fr/espece/cd_nom/247546","Aethes flagellana (Duponchel, 1836)")</f>
        <v>Aethes flagellana (Duponchel, 1836)</v>
      </c>
      <c r="AH14837" s="4" t="str">
        <f>HYPERLINK("#Statut_biogéographique!A"&amp;_xlfn.XMATCH("P",Statut_biogéographique!A:A,2,1),"P")</f>
        <v>P</v>
      </c>
      <c r="AP14837" s="4" t="s">
        <v>376</v>
      </c>
      <c r="AR14837" s="4" t="s">
        <v>377</v>
      </c>
    </row>
    <row r="14838" spans="1:44">
      <c r="A14838" s="4" t="s">
        <v>10753</v>
      </c>
      <c r="B14838" s="4">
        <v>247547</v>
      </c>
      <c r="D14838" s="5" t="s">
        <v>17497</v>
      </c>
      <c r="E14838" s="6" t="str">
        <f>HYPERLINK("https://inpn.mnhn.fr/espece/cd_nom/247547","Aethes beatricella (Walsingham, 1898)")</f>
        <v>Aethes beatricella (Walsingham, 1898)</v>
      </c>
      <c r="AH14838" s="4" t="str">
        <f>HYPERLINK("#Statut_biogéographique!A"&amp;_xlfn.XMATCH("P",Statut_biogéographique!A:A,2,1),"P")</f>
        <v>P</v>
      </c>
      <c r="AP14838" s="4" t="s">
        <v>376</v>
      </c>
      <c r="AR14838" s="4" t="s">
        <v>377</v>
      </c>
    </row>
    <row r="14839" spans="1:44">
      <c r="A14839" s="4" t="s">
        <v>10753</v>
      </c>
      <c r="B14839" s="4">
        <v>247550</v>
      </c>
      <c r="D14839" s="5" t="s">
        <v>17498</v>
      </c>
      <c r="E14839" s="6" t="str">
        <f>HYPERLINK("https://inpn.mnhn.fr/espece/cd_nom/247550","Aethes bilbaensis (Rössler, 1877)")</f>
        <v>Aethes bilbaensis (Rössler, 1877)</v>
      </c>
      <c r="AH14839" s="4" t="str">
        <f>HYPERLINK("#Statut_biogéographique!A"&amp;_xlfn.XMATCH("P",Statut_biogéographique!A:A,2,1),"P")</f>
        <v>P</v>
      </c>
      <c r="AP14839" s="4" t="s">
        <v>376</v>
      </c>
      <c r="AR14839" s="4" t="s">
        <v>377</v>
      </c>
    </row>
    <row r="14840" spans="1:44">
      <c r="A14840" s="4" t="s">
        <v>10753</v>
      </c>
      <c r="B14840" s="4">
        <v>247551</v>
      </c>
      <c r="D14840" s="5" t="s">
        <v>17499</v>
      </c>
      <c r="E14840" s="6" t="str">
        <f>HYPERLINK("https://inpn.mnhn.fr/espece/cd_nom/247551","Aethes tornella (Walsingham, 1898)")</f>
        <v>Aethes tornella (Walsingham, 1898)</v>
      </c>
      <c r="AH14840" s="4" t="str">
        <f>HYPERLINK("#Statut_biogéographique!A"&amp;_xlfn.XMATCH("P",Statut_biogéographique!A:A,2,1),"P")</f>
        <v>P</v>
      </c>
      <c r="AP14840" s="4" t="s">
        <v>376</v>
      </c>
      <c r="AR14840" s="4" t="s">
        <v>377</v>
      </c>
    </row>
    <row r="14841" spans="1:44">
      <c r="A14841" s="4" t="s">
        <v>10753</v>
      </c>
      <c r="B14841" s="4">
        <v>247553</v>
      </c>
      <c r="D14841" s="5" t="s">
        <v>17500</v>
      </c>
      <c r="E14841" s="6" t="str">
        <f>HYPERLINK("https://inpn.mnhn.fr/espece/cd_nom/247553","Aethes cnicana (Westwood, 1854)")</f>
        <v>Aethes cnicana (Westwood, 1854)</v>
      </c>
      <c r="AH14841" s="4" t="str">
        <f>HYPERLINK("#Statut_biogéographique!A"&amp;_xlfn.XMATCH("P",Statut_biogéographique!A:A,2,1),"P")</f>
        <v>P</v>
      </c>
      <c r="AP14841" s="4" t="s">
        <v>376</v>
      </c>
      <c r="AR14841" s="4" t="s">
        <v>377</v>
      </c>
    </row>
    <row r="14842" spans="1:44">
      <c r="A14842" s="4" t="s">
        <v>10753</v>
      </c>
      <c r="B14842" s="4">
        <v>247559</v>
      </c>
      <c r="D14842" s="5" t="s">
        <v>17501</v>
      </c>
      <c r="E14842" s="6" t="str">
        <f>HYPERLINK("https://inpn.mnhn.fr/espece/cd_nom/247559","Eupoecilia angustana (Hübner, 1799)")</f>
        <v>Eupoecilia angustana (Hübner, 1799)</v>
      </c>
      <c r="AH14842" s="4" t="str">
        <f>HYPERLINK("#Statut_biogéographique!A"&amp;_xlfn.XMATCH("P",Statut_biogéographique!A:A,2,1),"P")</f>
        <v>P</v>
      </c>
      <c r="AP14842" s="4" t="s">
        <v>376</v>
      </c>
      <c r="AR14842" s="4" t="s">
        <v>377</v>
      </c>
    </row>
    <row r="14843" spans="1:44" ht="30">
      <c r="A14843" s="4" t="s">
        <v>10753</v>
      </c>
      <c r="B14843" s="4">
        <v>247560</v>
      </c>
      <c r="D14843" s="5" t="s">
        <v>17502</v>
      </c>
      <c r="E14843" s="6" t="str">
        <f>HYPERLINK("https://inpn.mnhn.fr/espece/cd_nom/247560","Eupoecilia ambiguella (Hübner, 1796)")</f>
        <v>Eupoecilia ambiguella (Hübner, 1796)</v>
      </c>
      <c r="AH14843" s="4" t="str">
        <f>HYPERLINK("#Statut_biogéographique!A"&amp;_xlfn.XMATCH("P",Statut_biogéographique!A:A,2,1),"P")</f>
        <v>P</v>
      </c>
      <c r="AP14843" s="4" t="s">
        <v>376</v>
      </c>
      <c r="AR14843" s="4" t="s">
        <v>377</v>
      </c>
    </row>
    <row r="14844" spans="1:44">
      <c r="A14844" s="4" t="s">
        <v>10753</v>
      </c>
      <c r="B14844" s="4">
        <v>247567</v>
      </c>
      <c r="D14844" s="5" t="s">
        <v>17503</v>
      </c>
      <c r="E14844" s="6" t="str">
        <f>HYPERLINK("https://inpn.mnhn.fr/espece/cd_nom/247567","Agapeta hamana (Linnaeus, 1758)")</f>
        <v>Agapeta hamana (Linnaeus, 1758)</v>
      </c>
      <c r="AH14844" s="4" t="str">
        <f>HYPERLINK("#Statut_biogéographique!A"&amp;_xlfn.XMATCH("P",Statut_biogéographique!A:A,2,1),"P")</f>
        <v>P</v>
      </c>
      <c r="AP14844" s="4" t="s">
        <v>376</v>
      </c>
      <c r="AR14844" s="4" t="s">
        <v>377</v>
      </c>
    </row>
    <row r="14845" spans="1:44">
      <c r="A14845" s="4" t="s">
        <v>10753</v>
      </c>
      <c r="B14845" s="4">
        <v>247568</v>
      </c>
      <c r="D14845" s="5" t="s">
        <v>17504</v>
      </c>
      <c r="E14845" s="6" t="str">
        <f>HYPERLINK("https://inpn.mnhn.fr/espece/cd_nom/247568","Agapeta largana (Rebel, 1906)")</f>
        <v>Agapeta largana (Rebel, 1906)</v>
      </c>
      <c r="AH14845" s="4" t="str">
        <f>HYPERLINK("#Statut_biogéographique!A"&amp;_xlfn.XMATCH("P",Statut_biogéographique!A:A,2,1),"P")</f>
        <v>P</v>
      </c>
      <c r="AP14845" s="4" t="s">
        <v>376</v>
      </c>
      <c r="AR14845" s="4" t="s">
        <v>377</v>
      </c>
    </row>
    <row r="14846" spans="1:44">
      <c r="A14846" s="4" t="s">
        <v>10753</v>
      </c>
      <c r="B14846" s="4">
        <v>247569</v>
      </c>
      <c r="D14846" s="5" t="s">
        <v>17505</v>
      </c>
      <c r="E14846" s="6" t="str">
        <f>HYPERLINK("https://inpn.mnhn.fr/espece/cd_nom/247569","Agapeta zoegana (Linnaeus, 1767)")</f>
        <v>Agapeta zoegana (Linnaeus, 1767)</v>
      </c>
      <c r="AH14846" s="4" t="str">
        <f>HYPERLINK("#Statut_biogéographique!A"&amp;_xlfn.XMATCH("P",Statut_biogéographique!A:A,2,1),"P")</f>
        <v>P</v>
      </c>
      <c r="AP14846" s="4" t="s">
        <v>376</v>
      </c>
      <c r="AR14846" s="4" t="s">
        <v>377</v>
      </c>
    </row>
    <row r="14847" spans="1:44">
      <c r="A14847" s="4" t="s">
        <v>10753</v>
      </c>
      <c r="B14847" s="4">
        <v>24757</v>
      </c>
      <c r="D14847" s="5" t="s">
        <v>17506</v>
      </c>
      <c r="E14847" s="6" t="str">
        <f>HYPERLINK("https://inpn.mnhn.fr/espece/cd_nom/24757","Terellia serratulae (Linnaeus, 1758)")</f>
        <v>Terellia serratulae (Linnaeus, 1758)</v>
      </c>
      <c r="AH14847" s="4" t="str">
        <f>HYPERLINK("#Statut_biogéographique!A"&amp;_xlfn.XMATCH("P",Statut_biogéographique!A:A,2,1),"P")</f>
        <v>P</v>
      </c>
      <c r="AP14847" s="4" t="s">
        <v>376</v>
      </c>
      <c r="AR14847" s="4" t="s">
        <v>377</v>
      </c>
    </row>
    <row r="14848" spans="1:44" ht="30">
      <c r="A14848" s="4" t="s">
        <v>10753</v>
      </c>
      <c r="B14848" s="4">
        <v>247577</v>
      </c>
      <c r="D14848" s="5" t="s">
        <v>17507</v>
      </c>
      <c r="E14848" s="6" t="str">
        <f>HYPERLINK("https://inpn.mnhn.fr/espece/cd_nom/247577","Phalonidia manniana (Fischer von Röslerstamm, 1839)")</f>
        <v>Phalonidia manniana (Fischer von Röslerstamm, 1839)</v>
      </c>
      <c r="AH14848" s="4" t="str">
        <f>HYPERLINK("#Statut_biogéographique!A"&amp;_xlfn.XMATCH("P",Statut_biogéographique!A:A,2,1),"P")</f>
        <v>P</v>
      </c>
      <c r="AP14848" s="4" t="s">
        <v>376</v>
      </c>
      <c r="AR14848" s="4" t="s">
        <v>377</v>
      </c>
    </row>
    <row r="14849" spans="1:44">
      <c r="A14849" s="4" t="s">
        <v>10753</v>
      </c>
      <c r="B14849" s="4">
        <v>247596</v>
      </c>
      <c r="D14849" s="5" t="s">
        <v>17508</v>
      </c>
      <c r="E14849" s="6" t="str">
        <f>HYPERLINK("https://inpn.mnhn.fr/espece/cd_nom/247596","Phtheochroa inopiana (Haworth, 1811)")</f>
        <v>Phtheochroa inopiana (Haworth, 1811)</v>
      </c>
      <c r="AH14849" s="4" t="str">
        <f>HYPERLINK("#Statut_biogéographique!A"&amp;_xlfn.XMATCH("P",Statut_biogéographique!A:A,2,1),"P")</f>
        <v>P</v>
      </c>
      <c r="AP14849" s="4" t="s">
        <v>376</v>
      </c>
      <c r="AR14849" s="4" t="s">
        <v>377</v>
      </c>
    </row>
    <row r="14850" spans="1:44">
      <c r="A14850" s="4" t="s">
        <v>10753</v>
      </c>
      <c r="B14850" s="4">
        <v>247605</v>
      </c>
      <c r="D14850" s="5" t="s">
        <v>17509</v>
      </c>
      <c r="E14850" s="6" t="str">
        <f>HYPERLINK("https://inpn.mnhn.fr/espece/cd_nom/247605","Phtheochroa rugosana (Hübner, 1799)")</f>
        <v>Phtheochroa rugosana (Hübner, 1799)</v>
      </c>
      <c r="AH14850" s="4" t="str">
        <f>HYPERLINK("#Statut_biogéographique!A"&amp;_xlfn.XMATCH("P",Statut_biogéographique!A:A,2,1),"P")</f>
        <v>P</v>
      </c>
      <c r="AP14850" s="4" t="s">
        <v>376</v>
      </c>
      <c r="AR14850" s="4" t="s">
        <v>377</v>
      </c>
    </row>
    <row r="14851" spans="1:44">
      <c r="A14851" s="4" t="s">
        <v>10753</v>
      </c>
      <c r="B14851" s="4">
        <v>247606</v>
      </c>
      <c r="D14851" s="5" t="s">
        <v>17510</v>
      </c>
      <c r="E14851" s="6" t="str">
        <f>HYPERLINK("https://inpn.mnhn.fr/espece/cd_nom/247606","Acleris holmiana (Linnaeus, 1758)")</f>
        <v>Acleris holmiana (Linnaeus, 1758)</v>
      </c>
      <c r="AH14851" s="4" t="str">
        <f>HYPERLINK("#Statut_biogéographique!A"&amp;_xlfn.XMATCH("P",Statut_biogéographique!A:A,2,1),"P")</f>
        <v>P</v>
      </c>
      <c r="AP14851" s="4" t="s">
        <v>376</v>
      </c>
      <c r="AR14851" s="4" t="s">
        <v>377</v>
      </c>
    </row>
    <row r="14852" spans="1:44" ht="30">
      <c r="A14852" s="4" t="s">
        <v>10753</v>
      </c>
      <c r="B14852" s="4">
        <v>247607</v>
      </c>
      <c r="D14852" s="5" t="s">
        <v>17511</v>
      </c>
      <c r="E14852" s="6" t="str">
        <f>HYPERLINK("https://inpn.mnhn.fr/espece/cd_nom/247607","Acleris forsskaleana (Linnaeus, 1758)")</f>
        <v>Acleris forsskaleana (Linnaeus, 1758)</v>
      </c>
      <c r="AH14852" s="4" t="str">
        <f>HYPERLINK("#Statut_biogéographique!A"&amp;_xlfn.XMATCH("P",Statut_biogéographique!A:A,2,1),"P")</f>
        <v>P</v>
      </c>
      <c r="AP14852" s="4" t="s">
        <v>376</v>
      </c>
      <c r="AR14852" s="4" t="s">
        <v>377</v>
      </c>
    </row>
    <row r="14853" spans="1:44">
      <c r="A14853" s="4" t="s">
        <v>10753</v>
      </c>
      <c r="B14853" s="4">
        <v>247608</v>
      </c>
      <c r="D14853" s="5" t="s">
        <v>17512</v>
      </c>
      <c r="E14853" s="6" t="str">
        <f>HYPERLINK("https://inpn.mnhn.fr/espece/cd_nom/247608","Acleris bergmanniana (Linnaeus, 1758)")</f>
        <v>Acleris bergmanniana (Linnaeus, 1758)</v>
      </c>
      <c r="AH14853" s="4" t="str">
        <f>HYPERLINK("#Statut_biogéographique!A"&amp;_xlfn.XMATCH("P",Statut_biogéographique!A:A,2,1),"P")</f>
        <v>P</v>
      </c>
      <c r="AP14853" s="4" t="s">
        <v>376</v>
      </c>
      <c r="AR14853" s="4" t="s">
        <v>377</v>
      </c>
    </row>
    <row r="14854" spans="1:44" ht="30">
      <c r="A14854" s="4" t="s">
        <v>10753</v>
      </c>
      <c r="B14854" s="4">
        <v>247610</v>
      </c>
      <c r="D14854" s="5" t="s">
        <v>17513</v>
      </c>
      <c r="E14854" s="6" t="str">
        <f>HYPERLINK("https://inpn.mnhn.fr/espece/cd_nom/247610","Acleris laterana (Fabricius, 1794)")</f>
        <v>Acleris laterana (Fabricius, 1794)</v>
      </c>
      <c r="AH14854" s="4" t="str">
        <f>HYPERLINK("#Statut_biogéographique!A"&amp;_xlfn.XMATCH("P",Statut_biogéographique!A:A,2,1),"P")</f>
        <v>P</v>
      </c>
      <c r="AP14854" s="4" t="s">
        <v>376</v>
      </c>
      <c r="AR14854" s="4" t="s">
        <v>377</v>
      </c>
    </row>
    <row r="14855" spans="1:44">
      <c r="A14855" s="4" t="s">
        <v>10753</v>
      </c>
      <c r="B14855" s="4">
        <v>247612</v>
      </c>
      <c r="D14855" s="5" t="s">
        <v>17514</v>
      </c>
      <c r="E14855" s="6" t="str">
        <f>HYPERLINK("https://inpn.mnhn.fr/espece/cd_nom/247612","Acleris maccana (Treitschke, 1835)")</f>
        <v>Acleris maccana (Treitschke, 1835)</v>
      </c>
      <c r="AH14855" s="4" t="str">
        <f>HYPERLINK("#Statut_biogéographique!A"&amp;_xlfn.XMATCH("P",Statut_biogéographique!A:A,2,1),"P")</f>
        <v>P</v>
      </c>
      <c r="AP14855" s="4" t="s">
        <v>376</v>
      </c>
      <c r="AR14855" s="4" t="s">
        <v>377</v>
      </c>
    </row>
    <row r="14856" spans="1:44" ht="30">
      <c r="A14856" s="4" t="s">
        <v>10753</v>
      </c>
      <c r="B14856" s="4">
        <v>247613</v>
      </c>
      <c r="D14856" s="5" t="s">
        <v>17515</v>
      </c>
      <c r="E14856" s="6" t="str">
        <f>HYPERLINK("https://inpn.mnhn.fr/espece/cd_nom/247613","Acleris sparsana (Denis &amp; Schiffermüller, 1775)")</f>
        <v>Acleris sparsana (Denis &amp; Schiffermüller, 1775)</v>
      </c>
      <c r="AH14856" s="4" t="str">
        <f>HYPERLINK("#Statut_biogéographique!A"&amp;_xlfn.XMATCH("P",Statut_biogéographique!A:A,2,1),"P")</f>
        <v>P</v>
      </c>
      <c r="AP14856" s="4" t="s">
        <v>376</v>
      </c>
      <c r="AR14856" s="4" t="s">
        <v>377</v>
      </c>
    </row>
    <row r="14857" spans="1:44" ht="30">
      <c r="A14857" s="4" t="s">
        <v>10753</v>
      </c>
      <c r="B14857" s="4">
        <v>247614</v>
      </c>
      <c r="D14857" s="5" t="s">
        <v>17516</v>
      </c>
      <c r="E14857" s="6" t="str">
        <f>HYPERLINK("https://inpn.mnhn.fr/espece/cd_nom/247614","Acleris rhombana (Denis &amp; Schiffermüller, 1775)")</f>
        <v>Acleris rhombana (Denis &amp; Schiffermüller, 1775)</v>
      </c>
      <c r="AH14857" s="4" t="str">
        <f>HYPERLINK("#Statut_biogéographique!A"&amp;_xlfn.XMATCH("P",Statut_biogéographique!A:A,2,1),"P")</f>
        <v>P</v>
      </c>
      <c r="AP14857" s="4" t="s">
        <v>376</v>
      </c>
      <c r="AR14857" s="4" t="s">
        <v>377</v>
      </c>
    </row>
    <row r="14858" spans="1:44" ht="30">
      <c r="A14858" s="4" t="s">
        <v>10753</v>
      </c>
      <c r="B14858" s="4">
        <v>247615</v>
      </c>
      <c r="D14858" s="5" t="s">
        <v>17517</v>
      </c>
      <c r="E14858" s="6" t="str">
        <f>HYPERLINK("https://inpn.mnhn.fr/espece/cd_nom/247615","Acleris emargana (Fabricius, 1775)")</f>
        <v>Acleris emargana (Fabricius, 1775)</v>
      </c>
      <c r="AH14858" s="4" t="str">
        <f>HYPERLINK("#Statut_biogéographique!A"&amp;_xlfn.XMATCH("P",Statut_biogéographique!A:A,2,1),"P")</f>
        <v>P</v>
      </c>
      <c r="AP14858" s="4" t="s">
        <v>376</v>
      </c>
      <c r="AR14858" s="4" t="s">
        <v>377</v>
      </c>
    </row>
    <row r="14859" spans="1:44">
      <c r="A14859" s="4" t="s">
        <v>10753</v>
      </c>
      <c r="B14859" s="4">
        <v>247616</v>
      </c>
      <c r="D14859" s="5" t="s">
        <v>17518</v>
      </c>
      <c r="E14859" s="6" t="str">
        <f>HYPERLINK("https://inpn.mnhn.fr/espece/cd_nom/247616","Acleris schalleriana (Linnaeus, 1761)")</f>
        <v>Acleris schalleriana (Linnaeus, 1761)</v>
      </c>
      <c r="AH14859" s="4" t="str">
        <f>HYPERLINK("#Statut_biogéographique!A"&amp;_xlfn.XMATCH("P",Statut_biogéographique!A:A,2,1),"P")</f>
        <v>P</v>
      </c>
      <c r="AP14859" s="4" t="s">
        <v>376</v>
      </c>
      <c r="AR14859" s="4" t="s">
        <v>377</v>
      </c>
    </row>
    <row r="14860" spans="1:44">
      <c r="A14860" s="4" t="s">
        <v>10753</v>
      </c>
      <c r="B14860" s="4">
        <v>247617</v>
      </c>
      <c r="D14860" s="5" t="s">
        <v>17519</v>
      </c>
      <c r="E14860" s="6" t="str">
        <f>HYPERLINK("https://inpn.mnhn.fr/espece/cd_nom/247617","Acleris lorquiniana (Duponchel, 1835)")</f>
        <v>Acleris lorquiniana (Duponchel, 1835)</v>
      </c>
      <c r="AH14860" s="4" t="str">
        <f>HYPERLINK("#Statut_biogéographique!A"&amp;_xlfn.XMATCH("P",Statut_biogéographique!A:A,2,1),"P")</f>
        <v>P</v>
      </c>
      <c r="AP14860" s="4" t="s">
        <v>376</v>
      </c>
      <c r="AR14860" s="4" t="s">
        <v>377</v>
      </c>
    </row>
    <row r="14861" spans="1:44">
      <c r="A14861" s="4" t="s">
        <v>10753</v>
      </c>
      <c r="B14861" s="4">
        <v>247618</v>
      </c>
      <c r="D14861" s="5" t="s">
        <v>17520</v>
      </c>
      <c r="E14861" s="6" t="str">
        <f>HYPERLINK("https://inpn.mnhn.fr/espece/cd_nom/247618","Acleris umbrana (Hübner, 1799)")</f>
        <v>Acleris umbrana (Hübner, 1799)</v>
      </c>
      <c r="AH14861" s="4" t="str">
        <f>HYPERLINK("#Statut_biogéographique!A"&amp;_xlfn.XMATCH("P",Statut_biogéographique!A:A,2,1),"P")</f>
        <v>P</v>
      </c>
      <c r="AP14861" s="4" t="s">
        <v>376</v>
      </c>
      <c r="AR14861" s="4" t="s">
        <v>377</v>
      </c>
    </row>
    <row r="14862" spans="1:44" ht="30">
      <c r="A14862" s="4" t="s">
        <v>10753</v>
      </c>
      <c r="B14862" s="4">
        <v>247619</v>
      </c>
      <c r="D14862" s="5" t="s">
        <v>17521</v>
      </c>
      <c r="E14862" s="6" t="str">
        <f>HYPERLINK("https://inpn.mnhn.fr/espece/cd_nom/247619","Acleris cristana (Denis &amp; Schiffermüller, 1775)")</f>
        <v>Acleris cristana (Denis &amp; Schiffermüller, 1775)</v>
      </c>
      <c r="AH14862" s="4" t="str">
        <f>HYPERLINK("#Statut_biogéographique!A"&amp;_xlfn.XMATCH("P",Statut_biogéographique!A:A,2,1),"P")</f>
        <v>P</v>
      </c>
      <c r="AP14862" s="4" t="s">
        <v>376</v>
      </c>
      <c r="AR14862" s="4" t="s">
        <v>377</v>
      </c>
    </row>
    <row r="14863" spans="1:44" ht="30">
      <c r="A14863" s="4" t="s">
        <v>10753</v>
      </c>
      <c r="B14863" s="4">
        <v>247620</v>
      </c>
      <c r="D14863" s="5" t="s">
        <v>17522</v>
      </c>
      <c r="E14863" s="6" t="str">
        <f>HYPERLINK("https://inpn.mnhn.fr/espece/cd_nom/247620","Acleris variegana (Denis &amp; Schiffermüller, 1775)")</f>
        <v>Acleris variegana (Denis &amp; Schiffermüller, 1775)</v>
      </c>
      <c r="AH14863" s="4" t="str">
        <f>HYPERLINK("#Statut_biogéographique!A"&amp;_xlfn.XMATCH("P",Statut_biogéographique!A:A,2,1),"P")</f>
        <v>P</v>
      </c>
      <c r="AP14863" s="4" t="s">
        <v>376</v>
      </c>
      <c r="AR14863" s="4" t="s">
        <v>377</v>
      </c>
    </row>
    <row r="14864" spans="1:44">
      <c r="A14864" s="4" t="s">
        <v>10753</v>
      </c>
      <c r="B14864" s="4">
        <v>247621</v>
      </c>
      <c r="D14864" s="5" t="s">
        <v>17523</v>
      </c>
      <c r="E14864" s="6" t="str">
        <f>HYPERLINK("https://inpn.mnhn.fr/espece/cd_nom/247621","Acleris aspersana (Hübner, 1817)")</f>
        <v>Acleris aspersana (Hübner, 1817)</v>
      </c>
      <c r="AH14864" s="4" t="str">
        <f>HYPERLINK("#Statut_biogéographique!A"&amp;_xlfn.XMATCH("P",Statut_biogéographique!A:A,2,1),"P")</f>
        <v>P</v>
      </c>
      <c r="AP14864" s="4" t="s">
        <v>376</v>
      </c>
      <c r="AR14864" s="4" t="s">
        <v>377</v>
      </c>
    </row>
    <row r="14865" spans="1:44" ht="60">
      <c r="A14865" s="4" t="s">
        <v>10753</v>
      </c>
      <c r="B14865" s="4">
        <v>247623</v>
      </c>
      <c r="D14865" s="5" t="s">
        <v>17524</v>
      </c>
      <c r="E14865" s="6" t="str">
        <f>HYPERLINK("https://inpn.mnhn.fr/espece/cd_nom/247623","Acleris hastiana (Linnaeus, 1758)")</f>
        <v>Acleris hastiana (Linnaeus, 1758)</v>
      </c>
      <c r="AH14865" s="4" t="str">
        <f>HYPERLINK("#Statut_biogéographique!A"&amp;_xlfn.XMATCH("P",Statut_biogéographique!A:A,2,1),"P")</f>
        <v>P</v>
      </c>
      <c r="AP14865" s="4" t="s">
        <v>376</v>
      </c>
      <c r="AR14865" s="4" t="s">
        <v>377</v>
      </c>
    </row>
    <row r="14866" spans="1:44">
      <c r="A14866" s="4" t="s">
        <v>10753</v>
      </c>
      <c r="B14866" s="4">
        <v>247624</v>
      </c>
      <c r="D14866" s="5" t="s">
        <v>17525</v>
      </c>
      <c r="E14866" s="6" t="str">
        <f>HYPERLINK("https://inpn.mnhn.fr/espece/cd_nom/247624","Acleris hippophaeana (Heyden, 1865)")</f>
        <v>Acleris hippophaeana (Heyden, 1865)</v>
      </c>
      <c r="AH14866" s="4" t="str">
        <f>HYPERLINK("#Statut_biogéographique!A"&amp;_xlfn.XMATCH("P",Statut_biogéographique!A:A,2,1),"P")</f>
        <v>P</v>
      </c>
      <c r="AP14866" s="4" t="s">
        <v>376</v>
      </c>
      <c r="AR14866" s="4" t="s">
        <v>377</v>
      </c>
    </row>
    <row r="14867" spans="1:44">
      <c r="A14867" s="4" t="s">
        <v>10753</v>
      </c>
      <c r="B14867" s="4">
        <v>247625</v>
      </c>
      <c r="D14867" s="5" t="s">
        <v>17526</v>
      </c>
      <c r="E14867" s="6" t="str">
        <f>HYPERLINK("https://inpn.mnhn.fr/espece/cd_nom/247625","Acleris permutana (Duponchel, 1836)")</f>
        <v>Acleris permutana (Duponchel, 1836)</v>
      </c>
      <c r="AH14867" s="4" t="str">
        <f>HYPERLINK("#Statut_biogéographique!A"&amp;_xlfn.XMATCH("P",Statut_biogéographique!A:A,2,1),"P")</f>
        <v>P</v>
      </c>
      <c r="AP14867" s="4" t="s">
        <v>376</v>
      </c>
      <c r="AR14867" s="4" t="s">
        <v>377</v>
      </c>
    </row>
    <row r="14868" spans="1:44" ht="30">
      <c r="A14868" s="4" t="s">
        <v>10753</v>
      </c>
      <c r="B14868" s="4">
        <v>247627</v>
      </c>
      <c r="D14868" s="5" t="s">
        <v>17527</v>
      </c>
      <c r="E14868" s="6" t="str">
        <f>HYPERLINK("https://inpn.mnhn.fr/espece/cd_nom/247627","Acleris scabrana (Denis &amp; Schiffermüller, 1775)")</f>
        <v>Acleris scabrana (Denis &amp; Schiffermüller, 1775)</v>
      </c>
      <c r="AH14868" s="4" t="str">
        <f>HYPERLINK("#Statut_biogéographique!A"&amp;_xlfn.XMATCH("P",Statut_biogéographique!A:A,2,1),"P")</f>
        <v>P</v>
      </c>
      <c r="AP14868" s="4" t="s">
        <v>376</v>
      </c>
      <c r="AR14868" s="4" t="s">
        <v>377</v>
      </c>
    </row>
    <row r="14869" spans="1:44" ht="45">
      <c r="A14869" s="4" t="s">
        <v>10753</v>
      </c>
      <c r="B14869" s="4">
        <v>247628</v>
      </c>
      <c r="D14869" s="5" t="s">
        <v>17528</v>
      </c>
      <c r="E14869" s="6" t="str">
        <f>HYPERLINK("https://inpn.mnhn.fr/espece/cd_nom/247628","Acleris ferrugana (Denis &amp; Schiffermüller, 1775)")</f>
        <v>Acleris ferrugana (Denis &amp; Schiffermüller, 1775)</v>
      </c>
      <c r="AH14869" s="4" t="str">
        <f>HYPERLINK("#Statut_biogéographique!A"&amp;_xlfn.XMATCH("P",Statut_biogéographique!A:A,2,1),"P")</f>
        <v>P</v>
      </c>
      <c r="AP14869" s="4" t="s">
        <v>376</v>
      </c>
      <c r="AR14869" s="4" t="s">
        <v>377</v>
      </c>
    </row>
    <row r="14870" spans="1:44" ht="30">
      <c r="A14870" s="4" t="s">
        <v>10753</v>
      </c>
      <c r="B14870" s="4">
        <v>247629</v>
      </c>
      <c r="D14870" s="5" t="s">
        <v>17529</v>
      </c>
      <c r="E14870" s="6" t="str">
        <f>HYPERLINK("https://inpn.mnhn.fr/espece/cd_nom/247629","Acleris notana (Donovan, 1806)")</f>
        <v>Acleris notana (Donovan, 1806)</v>
      </c>
      <c r="AH14870" s="4" t="str">
        <f>HYPERLINK("#Statut_biogéographique!A"&amp;_xlfn.XMATCH("P",Statut_biogéographique!A:A,2,1),"P")</f>
        <v>P</v>
      </c>
      <c r="AP14870" s="4" t="s">
        <v>376</v>
      </c>
      <c r="AR14870" s="4" t="s">
        <v>377</v>
      </c>
    </row>
    <row r="14871" spans="1:44">
      <c r="A14871" s="4" t="s">
        <v>10753</v>
      </c>
      <c r="B14871" s="4">
        <v>247630</v>
      </c>
      <c r="D14871" s="5" t="s">
        <v>17530</v>
      </c>
      <c r="E14871" s="6" t="str">
        <f>HYPERLINK("https://inpn.mnhn.fr/espece/cd_nom/247630","Acleris quercinana (Zeller, 1849)")</f>
        <v>Acleris quercinana (Zeller, 1849)</v>
      </c>
      <c r="AH14871" s="4" t="str">
        <f>HYPERLINK("#Statut_biogéographique!A"&amp;_xlfn.XMATCH("P",Statut_biogéographique!A:A,2,1),"P")</f>
        <v>P</v>
      </c>
      <c r="AP14871" s="4" t="s">
        <v>376</v>
      </c>
      <c r="AR14871" s="4" t="s">
        <v>377</v>
      </c>
    </row>
    <row r="14872" spans="1:44" ht="30">
      <c r="A14872" s="4" t="s">
        <v>10753</v>
      </c>
      <c r="B14872" s="4">
        <v>247631</v>
      </c>
      <c r="D14872" s="5" t="s">
        <v>17531</v>
      </c>
      <c r="E14872" s="6" t="str">
        <f>HYPERLINK("https://inpn.mnhn.fr/espece/cd_nom/247631","Acleris kochiella (Goeze, 1783)")</f>
        <v>Acleris kochiella (Goeze, 1783)</v>
      </c>
      <c r="AH14872" s="4" t="str">
        <f>HYPERLINK("#Statut_biogéographique!A"&amp;_xlfn.XMATCH("P",Statut_biogéographique!A:A,2,1),"P")</f>
        <v>P</v>
      </c>
      <c r="AP14872" s="4" t="s">
        <v>376</v>
      </c>
      <c r="AR14872" s="4" t="s">
        <v>377</v>
      </c>
    </row>
    <row r="14873" spans="1:44" ht="30">
      <c r="A14873" s="4" t="s">
        <v>10753</v>
      </c>
      <c r="B14873" s="4">
        <v>247632</v>
      </c>
      <c r="D14873" s="5" t="s">
        <v>17532</v>
      </c>
      <c r="E14873" s="6" t="str">
        <f>HYPERLINK("https://inpn.mnhn.fr/espece/cd_nom/247632","Acleris logiana (Clerck, 1759)")</f>
        <v>Acleris logiana (Clerck, 1759)</v>
      </c>
      <c r="AH14873" s="4" t="str">
        <f>HYPERLINK("#Statut_biogéographique!A"&amp;_xlfn.XMATCH("P",Statut_biogéographique!A:A,2,1),"P")</f>
        <v>P</v>
      </c>
      <c r="AP14873" s="4" t="s">
        <v>376</v>
      </c>
      <c r="AR14873" s="4" t="s">
        <v>377</v>
      </c>
    </row>
    <row r="14874" spans="1:44">
      <c r="A14874" s="4" t="s">
        <v>10753</v>
      </c>
      <c r="B14874" s="4">
        <v>247633</v>
      </c>
      <c r="D14874" s="5" t="s">
        <v>17533</v>
      </c>
      <c r="E14874" s="6" t="str">
        <f>HYPERLINK("https://inpn.mnhn.fr/espece/cd_nom/247633","Acleris roscidana (Hübner, 1799)")</f>
        <v>Acleris roscidana (Hübner, 1799)</v>
      </c>
      <c r="AH14874" s="4" t="str">
        <f>HYPERLINK("#Statut_biogéographique!A"&amp;_xlfn.XMATCH("P",Statut_biogéographique!A:A,2,1),"P")</f>
        <v>P</v>
      </c>
      <c r="AP14874" s="4" t="s">
        <v>376</v>
      </c>
      <c r="AR14874" s="4" t="s">
        <v>377</v>
      </c>
    </row>
    <row r="14875" spans="1:44" ht="30">
      <c r="A14875" s="4" t="s">
        <v>10753</v>
      </c>
      <c r="B14875" s="4">
        <v>247634</v>
      </c>
      <c r="D14875" s="5" t="s">
        <v>17534</v>
      </c>
      <c r="E14875" s="6" t="str">
        <f>HYPERLINK("https://inpn.mnhn.fr/espece/cd_nom/247634","Acleris literana (Linnaeus, 1758)")</f>
        <v>Acleris literana (Linnaeus, 1758)</v>
      </c>
      <c r="AH14875" s="4" t="str">
        <f>HYPERLINK("#Statut_biogéographique!A"&amp;_xlfn.XMATCH("P",Statut_biogéographique!A:A,2,1),"P")</f>
        <v>P</v>
      </c>
      <c r="AP14875" s="4" t="s">
        <v>376</v>
      </c>
      <c r="AR14875" s="4" t="s">
        <v>377</v>
      </c>
    </row>
    <row r="14876" spans="1:44" ht="30">
      <c r="A14876" s="4" t="s">
        <v>10753</v>
      </c>
      <c r="B14876" s="4">
        <v>247638</v>
      </c>
      <c r="D14876" s="5" t="s">
        <v>17535</v>
      </c>
      <c r="E14876" s="6" t="str">
        <f>HYPERLINK("https://inpn.mnhn.fr/espece/cd_nom/247638","Aleimma loeflingiana (Linnaeus, 1758)")</f>
        <v>Aleimma loeflingiana (Linnaeus, 1758)</v>
      </c>
      <c r="AH14876" s="4" t="str">
        <f>HYPERLINK("#Statut_biogéographique!A"&amp;_xlfn.XMATCH("P",Statut_biogéographique!A:A,2,1),"P")</f>
        <v>P</v>
      </c>
      <c r="AP14876" s="4" t="s">
        <v>376</v>
      </c>
      <c r="AR14876" s="4" t="s">
        <v>377</v>
      </c>
    </row>
    <row r="14877" spans="1:44">
      <c r="A14877" s="4" t="s">
        <v>10753</v>
      </c>
      <c r="B14877" s="4">
        <v>247639</v>
      </c>
      <c r="D14877" s="5" t="s">
        <v>17536</v>
      </c>
      <c r="E14877" s="6" t="str">
        <f>HYPERLINK("https://inpn.mnhn.fr/espece/cd_nom/247639","Tortrix viridana (Linnaeus, 1758)")</f>
        <v>Tortrix viridana (Linnaeus, 1758)</v>
      </c>
      <c r="AH14877" s="4" t="str">
        <f>HYPERLINK("#Statut_biogéographique!A"&amp;_xlfn.XMATCH("P",Statut_biogéographique!A:A,2,1),"P")</f>
        <v>P</v>
      </c>
      <c r="AP14877" s="4" t="s">
        <v>376</v>
      </c>
      <c r="AR14877" s="4" t="s">
        <v>377</v>
      </c>
    </row>
    <row r="14878" spans="1:44">
      <c r="A14878" s="4" t="s">
        <v>10753</v>
      </c>
      <c r="B14878" s="4">
        <v>247640</v>
      </c>
      <c r="D14878" s="5" t="s">
        <v>17537</v>
      </c>
      <c r="E14878" s="6" t="str">
        <f>HYPERLINK("https://inpn.mnhn.fr/espece/cd_nom/247640","Spatalistis bifasciana (Hübner, 1787)")</f>
        <v>Spatalistis bifasciana (Hübner, 1787)</v>
      </c>
      <c r="AH14878" s="4" t="str">
        <f>HYPERLINK("#Statut_biogéographique!A"&amp;_xlfn.XMATCH("P",Statut_biogéographique!A:A,2,1),"P")</f>
        <v>P</v>
      </c>
      <c r="AP14878" s="4" t="s">
        <v>376</v>
      </c>
      <c r="AR14878" s="4" t="s">
        <v>377</v>
      </c>
    </row>
    <row r="14879" spans="1:44">
      <c r="A14879" s="4" t="s">
        <v>10753</v>
      </c>
      <c r="B14879" s="4">
        <v>247641</v>
      </c>
      <c r="D14879" s="5" t="s">
        <v>17538</v>
      </c>
      <c r="E14879" s="6" t="str">
        <f>HYPERLINK("https://inpn.mnhn.fr/espece/cd_nom/247641","Cnephasia incertana (Treitschke, 1835)")</f>
        <v>Cnephasia incertana (Treitschke, 1835)</v>
      </c>
      <c r="AH14879" s="4" t="str">
        <f>HYPERLINK("#Statut_biogéographique!A"&amp;_xlfn.XMATCH("P",Statut_biogéographique!A:A,2,1),"P")</f>
        <v>P</v>
      </c>
      <c r="AP14879" s="4" t="s">
        <v>376</v>
      </c>
      <c r="AR14879" s="4" t="s">
        <v>377</v>
      </c>
    </row>
    <row r="14880" spans="1:44">
      <c r="A14880" s="4" t="s">
        <v>10753</v>
      </c>
      <c r="B14880" s="4">
        <v>247643</v>
      </c>
      <c r="D14880" s="5" t="s">
        <v>17539</v>
      </c>
      <c r="E14880" s="6" t="str">
        <f>HYPERLINK("https://inpn.mnhn.fr/espece/cd_nom/247643","Cnephasia stephensiana (Doubleday, 1849)")</f>
        <v>Cnephasia stephensiana (Doubleday, 1849)</v>
      </c>
      <c r="AH14880" s="4" t="str">
        <f>HYPERLINK("#Statut_biogéographique!A"&amp;_xlfn.XMATCH("P",Statut_biogéographique!A:A,2,1),"P")</f>
        <v>P</v>
      </c>
      <c r="AP14880" s="4" t="s">
        <v>376</v>
      </c>
      <c r="AR14880" s="4" t="s">
        <v>377</v>
      </c>
    </row>
    <row r="14881" spans="1:44">
      <c r="A14881" s="4" t="s">
        <v>10753</v>
      </c>
      <c r="B14881" s="4">
        <v>247644</v>
      </c>
      <c r="D14881" s="5" t="s">
        <v>17540</v>
      </c>
      <c r="E14881" s="6" t="str">
        <f>HYPERLINK("https://inpn.mnhn.fr/espece/cd_nom/247644","Cnephasia alticolana (Herrich-Schäffer, 1851)")</f>
        <v>Cnephasia alticolana (Herrich-Schäffer, 1851)</v>
      </c>
      <c r="AH14881" s="4" t="str">
        <f>HYPERLINK("#Statut_biogéographique!A"&amp;_xlfn.XMATCH("P",Statut_biogéographique!A:A,2,1),"P")</f>
        <v>P</v>
      </c>
      <c r="AP14881" s="4" t="s">
        <v>376</v>
      </c>
      <c r="AR14881" s="4" t="s">
        <v>377</v>
      </c>
    </row>
    <row r="14882" spans="1:44" ht="30">
      <c r="A14882" s="4" t="s">
        <v>10753</v>
      </c>
      <c r="B14882" s="4">
        <v>247645</v>
      </c>
      <c r="D14882" s="5" t="s">
        <v>17541</v>
      </c>
      <c r="E14882" s="6" t="str">
        <f>HYPERLINK("https://inpn.mnhn.fr/espece/cd_nom/247645","Cnephasia asseclana (Denis &amp; Schiffermüller, 1775)")</f>
        <v>Cnephasia asseclana (Denis &amp; Schiffermüller, 1775)</v>
      </c>
      <c r="AH14882" s="4" t="str">
        <f>HYPERLINK("#Statut_biogéographique!A"&amp;_xlfn.XMATCH("P",Statut_biogéographique!A:A,2,1),"P")</f>
        <v>P</v>
      </c>
      <c r="AP14882" s="4" t="s">
        <v>376</v>
      </c>
      <c r="AR14882" s="4" t="s">
        <v>377</v>
      </c>
    </row>
    <row r="14883" spans="1:44">
      <c r="A14883" s="4" t="s">
        <v>10753</v>
      </c>
      <c r="B14883" s="4">
        <v>247646</v>
      </c>
      <c r="D14883" s="5" t="s">
        <v>17542</v>
      </c>
      <c r="E14883" s="6" t="str">
        <f>HYPERLINK("https://inpn.mnhn.fr/espece/cd_nom/247646","Cnephasia pasiuana (Hübner, 1799)")</f>
        <v>Cnephasia pasiuana (Hübner, 1799)</v>
      </c>
      <c r="AH14883" s="4" t="str">
        <f>HYPERLINK("#Statut_biogéographique!A"&amp;_xlfn.XMATCH("P",Statut_biogéographique!A:A,2,1),"P")</f>
        <v>P</v>
      </c>
      <c r="AP14883" s="4" t="s">
        <v>376</v>
      </c>
      <c r="AR14883" s="4" t="s">
        <v>377</v>
      </c>
    </row>
    <row r="14884" spans="1:44" ht="30">
      <c r="A14884" s="4" t="s">
        <v>10753</v>
      </c>
      <c r="B14884" s="4">
        <v>247648</v>
      </c>
      <c r="D14884" s="5" t="s">
        <v>17543</v>
      </c>
      <c r="E14884" s="6" t="str">
        <f>HYPERLINK("https://inpn.mnhn.fr/espece/cd_nom/247648","Cnephasia communana (Herrich-Schäffer, 1851)")</f>
        <v>Cnephasia communana (Herrich-Schäffer, 1851)</v>
      </c>
      <c r="AH14884" s="4" t="str">
        <f>HYPERLINK("#Statut_biogéographique!A"&amp;_xlfn.XMATCH("P",Statut_biogéographique!A:A,2,1),"P")</f>
        <v>P</v>
      </c>
      <c r="AP14884" s="4" t="s">
        <v>376</v>
      </c>
      <c r="AR14884" s="4" t="s">
        <v>377</v>
      </c>
    </row>
    <row r="14885" spans="1:44">
      <c r="A14885" s="4" t="s">
        <v>10753</v>
      </c>
      <c r="B14885" s="4">
        <v>247649</v>
      </c>
      <c r="D14885" s="5" t="s">
        <v>17544</v>
      </c>
      <c r="E14885" s="6" t="str">
        <f>HYPERLINK("https://inpn.mnhn.fr/espece/cd_nom/247649","Cnephasia cupressivorana (Staudinger, 1870)")</f>
        <v>Cnephasia cupressivorana (Staudinger, 1870)</v>
      </c>
      <c r="AH14885" s="4" t="str">
        <f>HYPERLINK("#Statut_biogéographique!A"&amp;_xlfn.XMATCH("P",Statut_biogéographique!A:A,2,1),"P")</f>
        <v>P</v>
      </c>
      <c r="AP14885" s="4" t="s">
        <v>376</v>
      </c>
      <c r="AR14885" s="4" t="s">
        <v>377</v>
      </c>
    </row>
    <row r="14886" spans="1:44">
      <c r="A14886" s="4" t="s">
        <v>10753</v>
      </c>
      <c r="B14886" s="4">
        <v>247651</v>
      </c>
      <c r="D14886" s="5">
        <v>247651</v>
      </c>
      <c r="E14886" s="6" t="str">
        <f>HYPERLINK("https://inpn.mnhn.fr/espece/cd_nom/247651","Cnephasia conspersana Douglas, 1846")</f>
        <v>Cnephasia conspersana Douglas, 1846</v>
      </c>
      <c r="AH14886" s="4" t="str">
        <f>HYPERLINK("#Statut_biogéographique!A"&amp;_xlfn.XMATCH("P",Statut_biogéographique!A:A,2,1),"P")</f>
        <v>P</v>
      </c>
      <c r="AP14886" s="4" t="s">
        <v>376</v>
      </c>
      <c r="AR14886" s="4" t="s">
        <v>377</v>
      </c>
    </row>
    <row r="14887" spans="1:44">
      <c r="A14887" s="4" t="s">
        <v>10753</v>
      </c>
      <c r="B14887" s="4">
        <v>247658</v>
      </c>
      <c r="D14887" s="5" t="s">
        <v>17545</v>
      </c>
      <c r="E14887" s="6" t="str">
        <f>HYPERLINK("https://inpn.mnhn.fr/espece/cd_nom/247658","Eana osseana (Scopoli, 1763)")</f>
        <v>Eana osseana (Scopoli, 1763)</v>
      </c>
      <c r="AH14887" s="4" t="str">
        <f>HYPERLINK("#Statut_biogéographique!A"&amp;_xlfn.XMATCH("P",Statut_biogéographique!A:A,2,1),"P")</f>
        <v>P</v>
      </c>
      <c r="AP14887" s="4" t="s">
        <v>376</v>
      </c>
      <c r="AR14887" s="4" t="s">
        <v>377</v>
      </c>
    </row>
    <row r="14888" spans="1:44">
      <c r="A14888" s="4" t="s">
        <v>10753</v>
      </c>
      <c r="B14888" s="4">
        <v>247659</v>
      </c>
      <c r="D14888" s="5" t="s">
        <v>17546</v>
      </c>
      <c r="E14888" s="6" t="str">
        <f>HYPERLINK("https://inpn.mnhn.fr/espece/cd_nom/247659","Eana argentana (Clerck, 1759)")</f>
        <v>Eana argentana (Clerck, 1759)</v>
      </c>
      <c r="AH14888" s="4" t="str">
        <f>HYPERLINK("#Statut_biogéographique!A"&amp;_xlfn.XMATCH("P",Statut_biogéographique!A:A,2,1),"P")</f>
        <v>P</v>
      </c>
      <c r="AP14888" s="4" t="s">
        <v>376</v>
      </c>
      <c r="AR14888" s="4" t="s">
        <v>377</v>
      </c>
    </row>
    <row r="14889" spans="1:44">
      <c r="A14889" s="4" t="s">
        <v>10753</v>
      </c>
      <c r="B14889" s="4">
        <v>247662</v>
      </c>
      <c r="D14889" s="5" t="s">
        <v>17547</v>
      </c>
      <c r="E14889" s="6" t="str">
        <f>HYPERLINK("https://inpn.mnhn.fr/espece/cd_nom/247662","Eana incanana (Stephens, 1852)")</f>
        <v>Eana incanana (Stephens, 1852)</v>
      </c>
      <c r="AH14889" s="4" t="str">
        <f>HYPERLINK("#Statut_biogéographique!A"&amp;_xlfn.XMATCH("P",Statut_biogéographique!A:A,2,1),"P")</f>
        <v>P</v>
      </c>
      <c r="AP14889" s="4" t="s">
        <v>376</v>
      </c>
      <c r="AR14889" s="4" t="s">
        <v>377</v>
      </c>
    </row>
    <row r="14890" spans="1:44" ht="30">
      <c r="A14890" s="4" t="s">
        <v>10753</v>
      </c>
      <c r="B14890" s="4">
        <v>24767</v>
      </c>
      <c r="D14890" s="5" t="s">
        <v>17548</v>
      </c>
      <c r="E14890" s="6" t="str">
        <f>HYPERLINK("https://inpn.mnhn.fr/espece/cd_nom/24767","Oxyna nebulosa (Wiedemann, 1817)")</f>
        <v>Oxyna nebulosa (Wiedemann, 1817)</v>
      </c>
      <c r="AH14890" s="4" t="str">
        <f>HYPERLINK("#Statut_biogéographique!A"&amp;_xlfn.XMATCH("P",Statut_biogéographique!A:A,2,1),"P")</f>
        <v>P</v>
      </c>
      <c r="AP14890" s="4" t="s">
        <v>376</v>
      </c>
      <c r="AR14890" s="4" t="s">
        <v>377</v>
      </c>
    </row>
    <row r="14891" spans="1:44">
      <c r="A14891" s="4" t="s">
        <v>10753</v>
      </c>
      <c r="B14891" s="4">
        <v>247670</v>
      </c>
      <c r="D14891" s="5" t="s">
        <v>17549</v>
      </c>
      <c r="E14891" s="6" t="str">
        <f>HYPERLINK("https://inpn.mnhn.fr/espece/cd_nom/247670","Eana penziana (Thunberg, 1791)")</f>
        <v>Eana penziana (Thunberg, 1791)</v>
      </c>
      <c r="AH14891" s="4" t="str">
        <f>HYPERLINK("#Statut_biogéographique!A"&amp;_xlfn.XMATCH("P",Statut_biogéographique!A:A,2,1),"P")</f>
        <v>P</v>
      </c>
      <c r="AP14891" s="4" t="s">
        <v>376</v>
      </c>
      <c r="AR14891" s="4" t="s">
        <v>377</v>
      </c>
    </row>
    <row r="14892" spans="1:44" ht="30">
      <c r="A14892" s="4" t="s">
        <v>10753</v>
      </c>
      <c r="B14892" s="4">
        <v>247672</v>
      </c>
      <c r="D14892" s="5" t="s">
        <v>17550</v>
      </c>
      <c r="E14892" s="6" t="str">
        <f>HYPERLINK("https://inpn.mnhn.fr/espece/cd_nom/247672","Tortricodes alternella (Denis &amp; Schiffermüller, 1775)")</f>
        <v>Tortricodes alternella (Denis &amp; Schiffermüller, 1775)</v>
      </c>
      <c r="AH14892" s="4" t="str">
        <f>HYPERLINK("#Statut_biogéographique!A"&amp;_xlfn.XMATCH("P",Statut_biogéographique!A:A,2,1),"P")</f>
        <v>P</v>
      </c>
      <c r="AP14892" s="4" t="s">
        <v>376</v>
      </c>
      <c r="AR14892" s="4" t="s">
        <v>377</v>
      </c>
    </row>
    <row r="14893" spans="1:44">
      <c r="A14893" s="4" t="s">
        <v>10753</v>
      </c>
      <c r="B14893" s="4">
        <v>247676</v>
      </c>
      <c r="D14893" s="5" t="s">
        <v>17551</v>
      </c>
      <c r="E14893" s="6" t="str">
        <f>HYPERLINK("https://inpn.mnhn.fr/espece/cd_nom/247676","Neosphaleroptera nubilana (Hübner, 1799)")</f>
        <v>Neosphaleroptera nubilana (Hübner, 1799)</v>
      </c>
      <c r="AH14893" s="4" t="str">
        <f>HYPERLINK("#Statut_biogéographique!A"&amp;_xlfn.XMATCH("P",Statut_biogéographique!A:A,2,1),"P")</f>
        <v>P</v>
      </c>
      <c r="AP14893" s="4" t="s">
        <v>376</v>
      </c>
      <c r="AR14893" s="4" t="s">
        <v>377</v>
      </c>
    </row>
    <row r="14894" spans="1:44" ht="30">
      <c r="A14894" s="4" t="s">
        <v>10753</v>
      </c>
      <c r="B14894" s="4">
        <v>247679</v>
      </c>
      <c r="D14894" s="5" t="s">
        <v>17552</v>
      </c>
      <c r="E14894" s="6" t="str">
        <f>HYPERLINK("https://inpn.mnhn.fr/espece/cd_nom/247679","Sparganothis pilleriana (Denis &amp; Schiffermüller, 1775)")</f>
        <v>Sparganothis pilleriana (Denis &amp; Schiffermüller, 1775)</v>
      </c>
      <c r="AH14894" s="4" t="str">
        <f>HYPERLINK("#Statut_biogéographique!A"&amp;_xlfn.XMATCH("P",Statut_biogéographique!A:A,2,1),"P")</f>
        <v>P</v>
      </c>
      <c r="AP14894" s="4" t="s">
        <v>376</v>
      </c>
      <c r="AR14894" s="4" t="s">
        <v>377</v>
      </c>
    </row>
    <row r="14895" spans="1:44" ht="30">
      <c r="A14895" s="4" t="s">
        <v>10753</v>
      </c>
      <c r="B14895" s="4">
        <v>247680</v>
      </c>
      <c r="D14895" s="5" t="s">
        <v>17553</v>
      </c>
      <c r="E14895" s="6" t="str">
        <f>HYPERLINK("https://inpn.mnhn.fr/espece/cd_nom/247680","Pseudargyrotoza conwagana (Fabricius, 1775)")</f>
        <v>Pseudargyrotoza conwagana (Fabricius, 1775)</v>
      </c>
      <c r="AH14895" s="4" t="str">
        <f>HYPERLINK("#Statut_biogéographique!A"&amp;_xlfn.XMATCH("P",Statut_biogéographique!A:A,2,1),"P")</f>
        <v>P</v>
      </c>
      <c r="AP14895" s="4" t="s">
        <v>376</v>
      </c>
      <c r="AR14895" s="4" t="s">
        <v>377</v>
      </c>
    </row>
    <row r="14896" spans="1:44">
      <c r="A14896" s="4" t="s">
        <v>10753</v>
      </c>
      <c r="B14896" s="4">
        <v>247681</v>
      </c>
      <c r="D14896" s="5" t="s">
        <v>17554</v>
      </c>
      <c r="E14896" s="6" t="str">
        <f>HYPERLINK("https://inpn.mnhn.fr/espece/cd_nom/247681","Eulia ministrana (Linnaeus, 1758)")</f>
        <v>Eulia ministrana (Linnaeus, 1758)</v>
      </c>
      <c r="AH14896" s="4" t="str">
        <f>HYPERLINK("#Statut_biogéographique!A"&amp;_xlfn.XMATCH("P",Statut_biogéographique!A:A,2,1),"P")</f>
        <v>P</v>
      </c>
      <c r="AP14896" s="4" t="s">
        <v>376</v>
      </c>
      <c r="AR14896" s="4" t="s">
        <v>377</v>
      </c>
    </row>
    <row r="14897" spans="1:44">
      <c r="A14897" s="4" t="s">
        <v>10753</v>
      </c>
      <c r="B14897" s="4">
        <v>247682</v>
      </c>
      <c r="D14897" s="5" t="s">
        <v>17555</v>
      </c>
      <c r="E14897" s="6" t="str">
        <f>HYPERLINK("https://inpn.mnhn.fr/espece/cd_nom/247682","Capua vulgana (Frölich, 1828)")</f>
        <v>Capua vulgana (Frölich, 1828)</v>
      </c>
      <c r="AH14897" s="4" t="str">
        <f>HYPERLINK("#Statut_biogéographique!A"&amp;_xlfn.XMATCH("P",Statut_biogéographique!A:A,2,1),"P")</f>
        <v>P</v>
      </c>
      <c r="AP14897" s="4" t="s">
        <v>376</v>
      </c>
      <c r="AR14897" s="4" t="s">
        <v>377</v>
      </c>
    </row>
    <row r="14898" spans="1:44" ht="30">
      <c r="A14898" s="4" t="s">
        <v>10753</v>
      </c>
      <c r="B14898" s="4">
        <v>247684</v>
      </c>
      <c r="D14898" s="5" t="s">
        <v>17556</v>
      </c>
      <c r="E14898" s="6" t="str">
        <f>HYPERLINK("https://inpn.mnhn.fr/espece/cd_nom/247684","Paramesia gnomana (Clerck, 1759)")</f>
        <v>Paramesia gnomana (Clerck, 1759)</v>
      </c>
      <c r="AH14898" s="4" t="str">
        <f>HYPERLINK("#Statut_biogéographique!A"&amp;_xlfn.XMATCH("P",Statut_biogéographique!A:A,2,1),"P")</f>
        <v>P</v>
      </c>
      <c r="AP14898" s="4" t="s">
        <v>376</v>
      </c>
      <c r="AR14898" s="4" t="s">
        <v>377</v>
      </c>
    </row>
    <row r="14899" spans="1:44">
      <c r="A14899" s="4" t="s">
        <v>10753</v>
      </c>
      <c r="B14899" s="4">
        <v>247685</v>
      </c>
      <c r="D14899" s="5" t="s">
        <v>17557</v>
      </c>
      <c r="E14899" s="6" t="str">
        <f>HYPERLINK("https://inpn.mnhn.fr/espece/cd_nom/247685","Epagoge grotiana (Fabricius, 1781)")</f>
        <v>Epagoge grotiana (Fabricius, 1781)</v>
      </c>
      <c r="AH14899" s="4" t="str">
        <f>HYPERLINK("#Statut_biogéographique!A"&amp;_xlfn.XMATCH("P",Statut_biogéographique!A:A,2,1),"P")</f>
        <v>P</v>
      </c>
      <c r="AP14899" s="4" t="s">
        <v>376</v>
      </c>
      <c r="AR14899" s="4" t="s">
        <v>377</v>
      </c>
    </row>
    <row r="14900" spans="1:44">
      <c r="A14900" s="4" t="s">
        <v>10753</v>
      </c>
      <c r="B14900" s="4">
        <v>247687</v>
      </c>
      <c r="D14900" s="5" t="s">
        <v>17558</v>
      </c>
      <c r="E14900" s="6" t="str">
        <f>HYPERLINK("https://inpn.mnhn.fr/espece/cd_nom/247687","Ditula angustiorana (Haworth, 1811)")</f>
        <v>Ditula angustiorana (Haworth, 1811)</v>
      </c>
      <c r="AH14900" s="4" t="str">
        <f>HYPERLINK("#Statut_biogéographique!A"&amp;_xlfn.XMATCH("P",Statut_biogéographique!A:A,2,1),"P")</f>
        <v>P</v>
      </c>
      <c r="AP14900" s="4" t="s">
        <v>376</v>
      </c>
      <c r="AR14900" s="4" t="s">
        <v>377</v>
      </c>
    </row>
    <row r="14901" spans="1:44" ht="30">
      <c r="A14901" s="4" t="s">
        <v>10753</v>
      </c>
      <c r="B14901" s="4">
        <v>247689</v>
      </c>
      <c r="D14901" s="5" t="s">
        <v>17559</v>
      </c>
      <c r="E14901" s="6" t="str">
        <f>HYPERLINK("https://inpn.mnhn.fr/espece/cd_nom/247689","Adoxophyes orana (Fischer von Röslerstamm, 1834)")</f>
        <v>Adoxophyes orana (Fischer von Röslerstamm, 1834)</v>
      </c>
      <c r="AH14901" s="4" t="str">
        <f>HYPERLINK("#Statut_biogéographique!A"&amp;_xlfn.XMATCH("P",Statut_biogéographique!A:A,2,1),"P")</f>
        <v>P</v>
      </c>
      <c r="AP14901" s="4" t="s">
        <v>376</v>
      </c>
      <c r="AR14901" s="4" t="s">
        <v>377</v>
      </c>
    </row>
    <row r="14902" spans="1:44">
      <c r="A14902" s="4" t="s">
        <v>10753</v>
      </c>
      <c r="B14902" s="4">
        <v>247692</v>
      </c>
      <c r="D14902" s="5" t="s">
        <v>17560</v>
      </c>
      <c r="E14902" s="6" t="str">
        <f>HYPERLINK("https://inpn.mnhn.fr/espece/cd_nom/247692","Lozotaeniodes formosana (Frölich, 1830)")</f>
        <v>Lozotaeniodes formosana (Frölich, 1830)</v>
      </c>
      <c r="AH14902" s="4" t="str">
        <f>HYPERLINK("#Statut_biogéographique!A"&amp;_xlfn.XMATCH("P",Statut_biogéographique!A:A,2,1),"P")</f>
        <v>P</v>
      </c>
      <c r="AP14902" s="4" t="s">
        <v>376</v>
      </c>
      <c r="AR14902" s="4" t="s">
        <v>377</v>
      </c>
    </row>
    <row r="14903" spans="1:44">
      <c r="A14903" s="4" t="s">
        <v>10753</v>
      </c>
      <c r="B14903" s="4">
        <v>247696</v>
      </c>
      <c r="D14903" s="5" t="s">
        <v>17561</v>
      </c>
      <c r="E14903" s="6" t="str">
        <f>HYPERLINK("https://inpn.mnhn.fr/espece/cd_nom/247696","Clepsis rurinana (Linnaeus, 1758)")</f>
        <v>Clepsis rurinana (Linnaeus, 1758)</v>
      </c>
      <c r="AH14903" s="4" t="str">
        <f>HYPERLINK("#Statut_biogéographique!A"&amp;_xlfn.XMATCH("P",Statut_biogéographique!A:A,2,1),"P")</f>
        <v>P</v>
      </c>
      <c r="AP14903" s="4" t="s">
        <v>376</v>
      </c>
      <c r="AR14903" s="4" t="s">
        <v>377</v>
      </c>
    </row>
    <row r="14904" spans="1:44">
      <c r="A14904" s="4" t="s">
        <v>10753</v>
      </c>
      <c r="B14904" s="4">
        <v>247698</v>
      </c>
      <c r="D14904" s="5" t="s">
        <v>17562</v>
      </c>
      <c r="E14904" s="6" t="str">
        <f>HYPERLINK("https://inpn.mnhn.fr/espece/cd_nom/247698","Clepsis spectrana (Treitschke, 1830)")</f>
        <v>Clepsis spectrana (Treitschke, 1830)</v>
      </c>
      <c r="AH14904" s="4" t="str">
        <f>HYPERLINK("#Statut_biogéographique!A"&amp;_xlfn.XMATCH("P",Statut_biogéographique!A:A,2,1),"P")</f>
        <v>P</v>
      </c>
      <c r="AP14904" s="4" t="s">
        <v>376</v>
      </c>
      <c r="AR14904" s="4" t="s">
        <v>377</v>
      </c>
    </row>
    <row r="14905" spans="1:44" ht="30">
      <c r="A14905" s="4" t="s">
        <v>10753</v>
      </c>
      <c r="B14905" s="4">
        <v>247702</v>
      </c>
      <c r="D14905" s="5" t="s">
        <v>17563</v>
      </c>
      <c r="E14905" s="6" t="str">
        <f>HYPERLINK("https://inpn.mnhn.fr/espece/cd_nom/247702","Clepsis consimilana (Hübner, 1817)")</f>
        <v>Clepsis consimilana (Hübner, 1817)</v>
      </c>
      <c r="AH14905" s="4" t="str">
        <f>HYPERLINK("#Statut_biogéographique!A"&amp;_xlfn.XMATCH("P",Statut_biogéographique!A:A,2,1),"P")</f>
        <v>P</v>
      </c>
      <c r="AP14905" s="4" t="s">
        <v>376</v>
      </c>
      <c r="AR14905" s="4" t="s">
        <v>377</v>
      </c>
    </row>
    <row r="14906" spans="1:44" ht="30">
      <c r="A14906" s="4" t="s">
        <v>10753</v>
      </c>
      <c r="B14906" s="4">
        <v>247707</v>
      </c>
      <c r="D14906" s="5" t="s">
        <v>17564</v>
      </c>
      <c r="E14906" s="6" t="str">
        <f>HYPERLINK("https://inpn.mnhn.fr/espece/cd_nom/247707","Aphelia viburnana (Denis &amp; Schiffermüller, 1775)")</f>
        <v>Aphelia viburnana (Denis &amp; Schiffermüller, 1775)</v>
      </c>
      <c r="AH14906" s="4" t="str">
        <f>HYPERLINK("#Statut_biogéographique!A"&amp;_xlfn.XMATCH("P",Statut_biogéographique!A:A,2,1),"P")</f>
        <v>P</v>
      </c>
      <c r="AP14906" s="4" t="s">
        <v>376</v>
      </c>
      <c r="AR14906" s="4" t="s">
        <v>377</v>
      </c>
    </row>
    <row r="14907" spans="1:44">
      <c r="A14907" s="4" t="s">
        <v>10753</v>
      </c>
      <c r="B14907" s="4">
        <v>247708</v>
      </c>
      <c r="D14907" s="5" t="s">
        <v>17565</v>
      </c>
      <c r="E14907" s="6" t="str">
        <f>HYPERLINK("https://inpn.mnhn.fr/espece/cd_nom/247708","Cacoecimorpha pronubana (Hübner, 1799)")</f>
        <v>Cacoecimorpha pronubana (Hübner, 1799)</v>
      </c>
      <c r="AH14907" s="4" t="str">
        <f>HYPERLINK("#Statut_biogéographique!A"&amp;_xlfn.XMATCH("P",Statut_biogéographique!A:A,2,1),"P")</f>
        <v>P</v>
      </c>
      <c r="AP14907" s="4" t="s">
        <v>376</v>
      </c>
      <c r="AR14907" s="4" t="s">
        <v>377</v>
      </c>
    </row>
    <row r="14908" spans="1:44">
      <c r="A14908" s="4" t="s">
        <v>10753</v>
      </c>
      <c r="B14908" s="4">
        <v>247711</v>
      </c>
      <c r="D14908" s="5" t="s">
        <v>17566</v>
      </c>
      <c r="E14908" s="6" t="str">
        <f>HYPERLINK("https://inpn.mnhn.fr/espece/cd_nom/247711","Lozotaenia forsterana (Fabricius, 1781)")</f>
        <v>Lozotaenia forsterana (Fabricius, 1781)</v>
      </c>
      <c r="AH14908" s="4" t="str">
        <f>HYPERLINK("#Statut_biogéographique!A"&amp;_xlfn.XMATCH("P",Statut_biogéographique!A:A,2,1),"P")</f>
        <v>P</v>
      </c>
      <c r="AP14908" s="4" t="s">
        <v>376</v>
      </c>
      <c r="AR14908" s="4" t="s">
        <v>377</v>
      </c>
    </row>
    <row r="14909" spans="1:44">
      <c r="A14909" s="4" t="s">
        <v>10753</v>
      </c>
      <c r="B14909" s="4">
        <v>247712</v>
      </c>
      <c r="D14909" s="5" t="s">
        <v>17567</v>
      </c>
      <c r="E14909" s="6" t="str">
        <f>HYPERLINK("https://inpn.mnhn.fr/espece/cd_nom/247712","Syndemis musculana (Hübner, 1799)")</f>
        <v>Syndemis musculana (Hübner, 1799)</v>
      </c>
      <c r="AH14909" s="4" t="str">
        <f>HYPERLINK("#Statut_biogéographique!A"&amp;_xlfn.XMATCH("P",Statut_biogéographique!A:A,2,1),"P")</f>
        <v>P</v>
      </c>
      <c r="AP14909" s="4" t="s">
        <v>376</v>
      </c>
      <c r="AR14909" s="4" t="s">
        <v>377</v>
      </c>
    </row>
    <row r="14910" spans="1:44">
      <c r="A14910" s="4" t="s">
        <v>10753</v>
      </c>
      <c r="B14910" s="4">
        <v>247713</v>
      </c>
      <c r="D14910" s="5" t="s">
        <v>17568</v>
      </c>
      <c r="E14910" s="6" t="str">
        <f>HYPERLINK("https://inpn.mnhn.fr/espece/cd_nom/247713","Pandemis cinnamomeana (Treitschke, 1830)")</f>
        <v>Pandemis cinnamomeana (Treitschke, 1830)</v>
      </c>
      <c r="AH14910" s="4" t="str">
        <f>HYPERLINK("#Statut_biogéographique!A"&amp;_xlfn.XMATCH("P",Statut_biogéographique!A:A,2,1),"P")</f>
        <v>P</v>
      </c>
      <c r="AP14910" s="4" t="s">
        <v>376</v>
      </c>
      <c r="AR14910" s="4" t="s">
        <v>377</v>
      </c>
    </row>
    <row r="14911" spans="1:44">
      <c r="A14911" s="4" t="s">
        <v>10753</v>
      </c>
      <c r="B14911" s="4">
        <v>247714</v>
      </c>
      <c r="D14911" s="5" t="s">
        <v>17569</v>
      </c>
      <c r="E14911" s="6" t="str">
        <f>HYPERLINK("https://inpn.mnhn.fr/espece/cd_nom/247714","Pandemis corylana (Fabricius, 1794)")</f>
        <v>Pandemis corylana (Fabricius, 1794)</v>
      </c>
      <c r="AH14911" s="4" t="str">
        <f>HYPERLINK("#Statut_biogéographique!A"&amp;_xlfn.XMATCH("P",Statut_biogéographique!A:A,2,1),"P")</f>
        <v>P</v>
      </c>
      <c r="AP14911" s="4" t="s">
        <v>376</v>
      </c>
      <c r="AR14911" s="4" t="s">
        <v>377</v>
      </c>
    </row>
    <row r="14912" spans="1:44">
      <c r="A14912" s="4" t="s">
        <v>10753</v>
      </c>
      <c r="B14912" s="4">
        <v>247715</v>
      </c>
      <c r="D14912" s="5" t="s">
        <v>17570</v>
      </c>
      <c r="E14912" s="6" t="str">
        <f>HYPERLINK("https://inpn.mnhn.fr/espece/cd_nom/247715","Pandemis cerasana (Hübner, 1786)")</f>
        <v>Pandemis cerasana (Hübner, 1786)</v>
      </c>
      <c r="AH14912" s="4" t="str">
        <f>HYPERLINK("#Statut_biogéographique!A"&amp;_xlfn.XMATCH("P",Statut_biogéographique!A:A,2,1),"P")</f>
        <v>P</v>
      </c>
      <c r="AP14912" s="4" t="s">
        <v>376</v>
      </c>
      <c r="AR14912" s="4" t="s">
        <v>377</v>
      </c>
    </row>
    <row r="14913" spans="1:44" ht="30">
      <c r="A14913" s="4" t="s">
        <v>10753</v>
      </c>
      <c r="B14913" s="4">
        <v>247716</v>
      </c>
      <c r="D14913" s="5" t="s">
        <v>17571</v>
      </c>
      <c r="E14913" s="6" t="str">
        <f>HYPERLINK("https://inpn.mnhn.fr/espece/cd_nom/247716","Pandemis heparana (Denis &amp; Schiffermüller, 1775)")</f>
        <v>Pandemis heparana (Denis &amp; Schiffermüller, 1775)</v>
      </c>
      <c r="AH14913" s="4" t="str">
        <f>HYPERLINK("#Statut_biogéographique!A"&amp;_xlfn.XMATCH("P",Statut_biogéographique!A:A,2,1),"P")</f>
        <v>P</v>
      </c>
      <c r="AP14913" s="4" t="s">
        <v>376</v>
      </c>
      <c r="AR14913" s="4" t="s">
        <v>377</v>
      </c>
    </row>
    <row r="14914" spans="1:44">
      <c r="A14914" s="4" t="s">
        <v>10753</v>
      </c>
      <c r="B14914" s="4">
        <v>247717</v>
      </c>
      <c r="D14914" s="5" t="s">
        <v>17572</v>
      </c>
      <c r="E14914" s="6" t="str">
        <f>HYPERLINK("https://inpn.mnhn.fr/espece/cd_nom/247717","Pandemis dumetana (Treitschke, 1835)")</f>
        <v>Pandemis dumetana (Treitschke, 1835)</v>
      </c>
      <c r="AH14914" s="4" t="str">
        <f>HYPERLINK("#Statut_biogéographique!A"&amp;_xlfn.XMATCH("P",Statut_biogéographique!A:A,2,1),"P")</f>
        <v>P</v>
      </c>
      <c r="AP14914" s="4" t="s">
        <v>376</v>
      </c>
      <c r="AR14914" s="4" t="s">
        <v>377</v>
      </c>
    </row>
    <row r="14915" spans="1:44">
      <c r="A14915" s="4" t="s">
        <v>10753</v>
      </c>
      <c r="B14915" s="4">
        <v>247719</v>
      </c>
      <c r="D14915" s="5" t="s">
        <v>17573</v>
      </c>
      <c r="E14915" s="6" t="str">
        <f>HYPERLINK("https://inpn.mnhn.fr/espece/cd_nom/247719","Ptycholoma lecheana (Linnaeus, 1758)")</f>
        <v>Ptycholoma lecheana (Linnaeus, 1758)</v>
      </c>
      <c r="AH14915" s="4" t="str">
        <f>HYPERLINK("#Statut_biogéographique!A"&amp;_xlfn.XMATCH("P",Statut_biogéographique!A:A,2,1),"P")</f>
        <v>P</v>
      </c>
      <c r="AP14915" s="4" t="s">
        <v>376</v>
      </c>
      <c r="AR14915" s="4" t="s">
        <v>377</v>
      </c>
    </row>
    <row r="14916" spans="1:44">
      <c r="A14916" s="4" t="s">
        <v>10753</v>
      </c>
      <c r="B14916" s="4">
        <v>247721</v>
      </c>
      <c r="D14916" s="5" t="s">
        <v>17574</v>
      </c>
      <c r="E14916" s="6" t="str">
        <f>HYPERLINK("https://inpn.mnhn.fr/espece/cd_nom/247721","Argyrotaenia ljungiana (Thunberg, 1797)")</f>
        <v>Argyrotaenia ljungiana (Thunberg, 1797)</v>
      </c>
      <c r="AH14916" s="4" t="str">
        <f>HYPERLINK("#Statut_biogéographique!A"&amp;_xlfn.XMATCH("P",Statut_biogéographique!A:A,2,1),"P")</f>
        <v>P</v>
      </c>
      <c r="AP14916" s="4" t="s">
        <v>376</v>
      </c>
      <c r="AR14916" s="4" t="s">
        <v>377</v>
      </c>
    </row>
    <row r="14917" spans="1:44">
      <c r="A14917" s="4" t="s">
        <v>10753</v>
      </c>
      <c r="B14917" s="4">
        <v>247722</v>
      </c>
      <c r="D14917" s="5" t="s">
        <v>17575</v>
      </c>
      <c r="E14917" s="6" t="str">
        <f>HYPERLINK("https://inpn.mnhn.fr/espece/cd_nom/247722","Choristoneura diversana (Hübner, 1817)")</f>
        <v>Choristoneura diversana (Hübner, 1817)</v>
      </c>
      <c r="AH14917" s="4" t="str">
        <f>HYPERLINK("#Statut_biogéographique!A"&amp;_xlfn.XMATCH("P",Statut_biogéographique!A:A,2,1),"P")</f>
        <v>P</v>
      </c>
      <c r="AP14917" s="4" t="s">
        <v>376</v>
      </c>
      <c r="AR14917" s="4" t="s">
        <v>377</v>
      </c>
    </row>
    <row r="14918" spans="1:44">
      <c r="A14918" s="4" t="s">
        <v>10753</v>
      </c>
      <c r="B14918" s="4">
        <v>247723</v>
      </c>
      <c r="D14918" s="5" t="s">
        <v>17576</v>
      </c>
      <c r="E14918" s="6" t="str">
        <f>HYPERLINK("https://inpn.mnhn.fr/espece/cd_nom/247723","Choristoneura murinana (Hübner, 1799)")</f>
        <v>Choristoneura murinana (Hübner, 1799)</v>
      </c>
      <c r="AH14918" s="4" t="str">
        <f>HYPERLINK("#Statut_biogéographique!A"&amp;_xlfn.XMATCH("P",Statut_biogéographique!A:A,2,1),"P")</f>
        <v>P</v>
      </c>
      <c r="AP14918" s="4" t="s">
        <v>376</v>
      </c>
      <c r="AR14918" s="4" t="s">
        <v>377</v>
      </c>
    </row>
    <row r="14919" spans="1:44" ht="30">
      <c r="A14919" s="4" t="s">
        <v>10753</v>
      </c>
      <c r="B14919" s="4">
        <v>247724</v>
      </c>
      <c r="D14919" s="5" t="s">
        <v>17577</v>
      </c>
      <c r="E14919" s="6" t="str">
        <f>HYPERLINK("https://inpn.mnhn.fr/espece/cd_nom/247724","Choristoneura hebenstreitella (O.F. Müller, 1764)")</f>
        <v>Choristoneura hebenstreitella (O.F. Müller, 1764)</v>
      </c>
      <c r="AH14919" s="4" t="str">
        <f>HYPERLINK("#Statut_biogéographique!A"&amp;_xlfn.XMATCH("P",Statut_biogéographique!A:A,2,1),"P")</f>
        <v>P</v>
      </c>
      <c r="AP14919" s="4" t="s">
        <v>376</v>
      </c>
      <c r="AR14919" s="4" t="s">
        <v>377</v>
      </c>
    </row>
    <row r="14920" spans="1:44" ht="30">
      <c r="A14920" s="4" t="s">
        <v>10753</v>
      </c>
      <c r="B14920" s="4">
        <v>247726</v>
      </c>
      <c r="D14920" s="5" t="s">
        <v>17578</v>
      </c>
      <c r="E14920" s="6" t="str">
        <f>HYPERLINK("https://inpn.mnhn.fr/espece/cd_nom/247726","Archips oporana (Linnaeus, 1758)")</f>
        <v>Archips oporana (Linnaeus, 1758)</v>
      </c>
      <c r="AH14920" s="4" t="str">
        <f>HYPERLINK("#Statut_biogéographique!A"&amp;_xlfn.XMATCH("P",Statut_biogéographique!A:A,2,1),"P")</f>
        <v>P</v>
      </c>
      <c r="AP14920" s="4" t="s">
        <v>376</v>
      </c>
      <c r="AR14920" s="4" t="s">
        <v>377</v>
      </c>
    </row>
    <row r="14921" spans="1:44">
      <c r="A14921" s="4" t="s">
        <v>10753</v>
      </c>
      <c r="B14921" s="4">
        <v>247727</v>
      </c>
      <c r="D14921" s="5" t="s">
        <v>17579</v>
      </c>
      <c r="E14921" s="6" t="str">
        <f>HYPERLINK("https://inpn.mnhn.fr/espece/cd_nom/247727","Archips podana (Scopoli, 1763)")</f>
        <v>Archips podana (Scopoli, 1763)</v>
      </c>
      <c r="AH14921" s="4" t="str">
        <f>HYPERLINK("#Statut_biogéographique!A"&amp;_xlfn.XMATCH("P",Statut_biogéographique!A:A,2,1),"P")</f>
        <v>P</v>
      </c>
      <c r="AP14921" s="4" t="s">
        <v>376</v>
      </c>
      <c r="AR14921" s="4" t="s">
        <v>377</v>
      </c>
    </row>
    <row r="14922" spans="1:44">
      <c r="A14922" s="4" t="s">
        <v>10753</v>
      </c>
      <c r="B14922" s="4">
        <v>247728</v>
      </c>
      <c r="D14922" s="5" t="s">
        <v>17580</v>
      </c>
      <c r="E14922" s="6" t="str">
        <f>HYPERLINK("https://inpn.mnhn.fr/espece/cd_nom/247728","Archips crataegana (Hübner, 1799)")</f>
        <v>Archips crataegana (Hübner, 1799)</v>
      </c>
      <c r="AH14922" s="4" t="str">
        <f>HYPERLINK("#Statut_biogéographique!A"&amp;_xlfn.XMATCH("P",Statut_biogéographique!A:A,2,1),"P")</f>
        <v>P</v>
      </c>
      <c r="AP14922" s="4" t="s">
        <v>376</v>
      </c>
      <c r="AR14922" s="4" t="s">
        <v>377</v>
      </c>
    </row>
    <row r="14923" spans="1:44">
      <c r="A14923" s="4" t="s">
        <v>10753</v>
      </c>
      <c r="B14923" s="4">
        <v>247729</v>
      </c>
      <c r="D14923" s="5" t="s">
        <v>17581</v>
      </c>
      <c r="E14923" s="6" t="str">
        <f>HYPERLINK("https://inpn.mnhn.fr/espece/cd_nom/247729","Archips xylosteana (Linnaeus, 1758)")</f>
        <v>Archips xylosteana (Linnaeus, 1758)</v>
      </c>
      <c r="AH14923" s="4" t="str">
        <f>HYPERLINK("#Statut_biogéographique!A"&amp;_xlfn.XMATCH("P",Statut_biogéographique!A:A,2,1),"P")</f>
        <v>P</v>
      </c>
      <c r="AP14923" s="4" t="s">
        <v>376</v>
      </c>
      <c r="AR14923" s="4" t="s">
        <v>377</v>
      </c>
    </row>
    <row r="14924" spans="1:44" ht="30">
      <c r="A14924" s="4" t="s">
        <v>10753</v>
      </c>
      <c r="B14924" s="4">
        <v>247730</v>
      </c>
      <c r="D14924" s="5" t="s">
        <v>17582</v>
      </c>
      <c r="E14924" s="6" t="str">
        <f>HYPERLINK("https://inpn.mnhn.fr/espece/cd_nom/247730","Archips rosana (Linnaeus, 1758)")</f>
        <v>Archips rosana (Linnaeus, 1758)</v>
      </c>
      <c r="AH14924" s="4" t="str">
        <f>HYPERLINK("#Statut_biogéographique!A"&amp;_xlfn.XMATCH("P",Statut_biogéographique!A:A,2,1),"P")</f>
        <v>P</v>
      </c>
      <c r="AP14924" s="4" t="s">
        <v>376</v>
      </c>
      <c r="AR14924" s="4" t="s">
        <v>377</v>
      </c>
    </row>
    <row r="14925" spans="1:44">
      <c r="A14925" s="4" t="s">
        <v>10753</v>
      </c>
      <c r="B14925" s="4">
        <v>247733</v>
      </c>
      <c r="D14925" s="5" t="s">
        <v>17583</v>
      </c>
      <c r="E14925" s="6" t="str">
        <f>HYPERLINK("https://inpn.mnhn.fr/espece/cd_nom/247733","Choreutis nemorana (Hübner, 1799)")</f>
        <v>Choreutis nemorana (Hübner, 1799)</v>
      </c>
      <c r="AH14925" s="4" t="str">
        <f>HYPERLINK("#Statut_biogéographique!A"&amp;_xlfn.XMATCH("P",Statut_biogéographique!A:A,2,1),"P")</f>
        <v>P</v>
      </c>
      <c r="AP14925" s="4" t="s">
        <v>376</v>
      </c>
      <c r="AR14925" s="4" t="s">
        <v>377</v>
      </c>
    </row>
    <row r="14926" spans="1:44">
      <c r="A14926" s="4" t="s">
        <v>10753</v>
      </c>
      <c r="B14926" s="4">
        <v>247734</v>
      </c>
      <c r="D14926" s="5" t="s">
        <v>17584</v>
      </c>
      <c r="E14926" s="6" t="str">
        <f>HYPERLINK("https://inpn.mnhn.fr/espece/cd_nom/247734","Tebenna bjerkandrella (Thunberg, 1784)")</f>
        <v>Tebenna bjerkandrella (Thunberg, 1784)</v>
      </c>
      <c r="AH14926" s="4" t="str">
        <f>HYPERLINK("#Statut_biogéographique!A"&amp;_xlfn.XMATCH("P",Statut_biogéographique!A:A,2,1),"P")</f>
        <v>P</v>
      </c>
      <c r="AP14926" s="4" t="s">
        <v>376</v>
      </c>
      <c r="AR14926" s="4" t="s">
        <v>377</v>
      </c>
    </row>
    <row r="14927" spans="1:44">
      <c r="A14927" s="4" t="s">
        <v>10753</v>
      </c>
      <c r="B14927" s="4">
        <v>247741</v>
      </c>
      <c r="D14927" s="5" t="s">
        <v>17585</v>
      </c>
      <c r="E14927" s="6" t="str">
        <f>HYPERLINK("https://inpn.mnhn.fr/espece/cd_nom/247741","Anthophila fabriciana (Linnaeus, 1767)")</f>
        <v>Anthophila fabriciana (Linnaeus, 1767)</v>
      </c>
      <c r="AH14927" s="4" t="str">
        <f>HYPERLINK("#Statut_biogéographique!A"&amp;_xlfn.XMATCH("P",Statut_biogéographique!A:A,2,1),"P")</f>
        <v>P</v>
      </c>
      <c r="AP14927" s="4" t="s">
        <v>376</v>
      </c>
      <c r="AR14927" s="4" t="s">
        <v>377</v>
      </c>
    </row>
    <row r="14928" spans="1:44">
      <c r="A14928" s="4" t="s">
        <v>10753</v>
      </c>
      <c r="B14928" s="4">
        <v>247742</v>
      </c>
      <c r="D14928" s="5" t="s">
        <v>17586</v>
      </c>
      <c r="E14928" s="6" t="str">
        <f>HYPERLINK("https://inpn.mnhn.fr/espece/cd_nom/247742","Millieria dolosalis (Heydenreich, 1851)")</f>
        <v>Millieria dolosalis (Heydenreich, 1851)</v>
      </c>
      <c r="AH14928" s="4" t="str">
        <f>HYPERLINK("#Statut_biogéographique!A"&amp;_xlfn.XMATCH("P",Statut_biogéographique!A:A,2,1),"P")</f>
        <v>P</v>
      </c>
      <c r="AP14928" s="4" t="s">
        <v>376</v>
      </c>
      <c r="AR14928" s="4" t="s">
        <v>377</v>
      </c>
    </row>
    <row r="14929" spans="1:44">
      <c r="A14929" s="4" t="s">
        <v>10753</v>
      </c>
      <c r="B14929" s="4">
        <v>247744</v>
      </c>
      <c r="D14929" s="5" t="s">
        <v>17587</v>
      </c>
      <c r="E14929" s="6" t="str">
        <f>HYPERLINK("https://inpn.mnhn.fr/espece/cd_nom/247744","Schreckensteinia festaliella (Hübner, 1819)")</f>
        <v>Schreckensteinia festaliella (Hübner, 1819)</v>
      </c>
      <c r="AH14929" s="4" t="str">
        <f>HYPERLINK("#Statut_biogéographique!A"&amp;_xlfn.XMATCH("P",Statut_biogéographique!A:A,2,1),"P")</f>
        <v>P</v>
      </c>
      <c r="AP14929" s="4" t="s">
        <v>376</v>
      </c>
      <c r="AR14929" s="4" t="s">
        <v>377</v>
      </c>
    </row>
    <row r="14930" spans="1:44">
      <c r="A14930" s="4" t="s">
        <v>10753</v>
      </c>
      <c r="B14930" s="4">
        <v>24775</v>
      </c>
      <c r="D14930" s="5" t="s">
        <v>17588</v>
      </c>
      <c r="E14930" s="6" t="str">
        <f>HYPERLINK("https://inpn.mnhn.fr/espece/cd_nom/24775","Oxyna parietina (Linnaeus, 1758)")</f>
        <v>Oxyna parietina (Linnaeus, 1758)</v>
      </c>
      <c r="AH14930" s="4" t="str">
        <f>HYPERLINK("#Statut_biogéographique!A"&amp;_xlfn.XMATCH("P",Statut_biogéographique!A:A,2,1),"P")</f>
        <v>P</v>
      </c>
      <c r="AP14930" s="4" t="s">
        <v>376</v>
      </c>
      <c r="AR14930" s="4" t="s">
        <v>377</v>
      </c>
    </row>
    <row r="14931" spans="1:44" ht="30">
      <c r="A14931" s="4" t="s">
        <v>10753</v>
      </c>
      <c r="B14931" s="4">
        <v>247754</v>
      </c>
      <c r="D14931" s="5" t="s">
        <v>17589</v>
      </c>
      <c r="E14931" s="6" t="str">
        <f>HYPERLINK("https://inpn.mnhn.fr/espece/cd_nom/247754","Epermenia chaerophyllella (Goeze, 1783)")</f>
        <v>Epermenia chaerophyllella (Goeze, 1783)</v>
      </c>
      <c r="AH14931" s="4" t="str">
        <f>HYPERLINK("#Statut_biogéographique!A"&amp;_xlfn.XMATCH("P",Statut_biogéographique!A:A,2,1),"P")</f>
        <v>P</v>
      </c>
      <c r="AP14931" s="4" t="s">
        <v>376</v>
      </c>
      <c r="AR14931" s="4" t="s">
        <v>377</v>
      </c>
    </row>
    <row r="14932" spans="1:44" ht="30">
      <c r="A14932" s="4" t="s">
        <v>10753</v>
      </c>
      <c r="B14932" s="4">
        <v>247766</v>
      </c>
      <c r="D14932" s="5" t="s">
        <v>17590</v>
      </c>
      <c r="E14932" s="6" t="str">
        <f>HYPERLINK("https://inpn.mnhn.fr/espece/cd_nom/247766","Alucita hexadactyla (Linnaeus, 1758)")</f>
        <v>Alucita hexadactyla (Linnaeus, 1758)</v>
      </c>
      <c r="AH14932" s="4" t="str">
        <f>HYPERLINK("#Statut_biogéographique!A"&amp;_xlfn.XMATCH("P",Statut_biogéographique!A:A,2,1),"P")</f>
        <v>P</v>
      </c>
      <c r="AP14932" s="4" t="s">
        <v>376</v>
      </c>
      <c r="AR14932" s="4" t="s">
        <v>377</v>
      </c>
    </row>
    <row r="14933" spans="1:44">
      <c r="A14933" s="4" t="s">
        <v>10753</v>
      </c>
      <c r="B14933" s="4">
        <v>247768</v>
      </c>
      <c r="D14933" s="5" t="s">
        <v>17591</v>
      </c>
      <c r="E14933" s="6" t="str">
        <f>HYPERLINK("https://inpn.mnhn.fr/espece/cd_nom/247768","Alucita huebneri Wallengren, 1862")</f>
        <v>Alucita huebneri Wallengren, 1862</v>
      </c>
      <c r="AH14933" s="4" t="str">
        <f>HYPERLINK("#Statut_biogéographique!A"&amp;_xlfn.XMATCH("P",Statut_biogéographique!A:A,2,1),"P")</f>
        <v>P</v>
      </c>
      <c r="AP14933" s="4" t="s">
        <v>376</v>
      </c>
      <c r="AR14933" s="4" t="s">
        <v>377</v>
      </c>
    </row>
    <row r="14934" spans="1:44">
      <c r="A14934" s="4" t="s">
        <v>10753</v>
      </c>
      <c r="B14934" s="4">
        <v>247770</v>
      </c>
      <c r="D14934" s="5" t="s">
        <v>17592</v>
      </c>
      <c r="E14934" s="6" t="str">
        <f>HYPERLINK("https://inpn.mnhn.fr/espece/cd_nom/247770","Alucita grammodactyla Zeller, 1841")</f>
        <v>Alucita grammodactyla Zeller, 1841</v>
      </c>
      <c r="AH14934" s="4" t="str">
        <f>HYPERLINK("#Statut_biogéographique!A"&amp;_xlfn.XMATCH("P",Statut_biogéographique!A:A,2,1),"P")</f>
        <v>P</v>
      </c>
      <c r="AP14934" s="4" t="s">
        <v>376</v>
      </c>
      <c r="AR14934" s="4" t="s">
        <v>377</v>
      </c>
    </row>
    <row r="14935" spans="1:44">
      <c r="A14935" s="4" t="s">
        <v>10753</v>
      </c>
      <c r="B14935" s="4">
        <v>247771</v>
      </c>
      <c r="D14935" s="5" t="s">
        <v>17593</v>
      </c>
      <c r="E14935" s="6" t="str">
        <f>HYPERLINK("https://inpn.mnhn.fr/espece/cd_nom/247771","Alucita palodactyla Zeller, 1847")</f>
        <v>Alucita palodactyla Zeller, 1847</v>
      </c>
      <c r="AH14935" s="4" t="str">
        <f>HYPERLINK("#Statut_biogéographique!A"&amp;_xlfn.XMATCH("P",Statut_biogéographique!A:A,2,1),"P")</f>
        <v>P</v>
      </c>
      <c r="AP14935" s="4" t="s">
        <v>376</v>
      </c>
      <c r="AR14935" s="4" t="s">
        <v>377</v>
      </c>
    </row>
    <row r="14936" spans="1:44">
      <c r="A14936" s="4" t="s">
        <v>10753</v>
      </c>
      <c r="B14936" s="4">
        <v>247772</v>
      </c>
      <c r="D14936" s="5" t="s">
        <v>17594</v>
      </c>
      <c r="E14936" s="6" t="str">
        <f>HYPERLINK("https://inpn.mnhn.fr/espece/cd_nom/247772","Alucita desmodactyla Zeller, 1847")</f>
        <v>Alucita desmodactyla Zeller, 1847</v>
      </c>
      <c r="AH14936" s="4" t="str">
        <f>HYPERLINK("#Statut_biogéographique!A"&amp;_xlfn.XMATCH("P",Statut_biogéographique!A:A,2,1),"P")</f>
        <v>P</v>
      </c>
      <c r="AP14936" s="4" t="s">
        <v>376</v>
      </c>
      <c r="AR14936" s="4" t="s">
        <v>377</v>
      </c>
    </row>
    <row r="14937" spans="1:44">
      <c r="A14937" s="4" t="s">
        <v>10753</v>
      </c>
      <c r="B14937" s="4">
        <v>247774</v>
      </c>
      <c r="D14937" s="5" t="s">
        <v>17595</v>
      </c>
      <c r="E14937" s="6" t="str">
        <f>HYPERLINK("https://inpn.mnhn.fr/espece/cd_nom/247774","Pterotopteryx dodecadactyla (Hübner, 1813)")</f>
        <v>Pterotopteryx dodecadactyla (Hübner, 1813)</v>
      </c>
      <c r="AH14937" s="4" t="str">
        <f>HYPERLINK("#Statut_biogéographique!A"&amp;_xlfn.XMATCH("P",Statut_biogéographique!A:A,2,1),"P")</f>
        <v>P</v>
      </c>
      <c r="AP14937" s="4" t="s">
        <v>376</v>
      </c>
      <c r="AR14937" s="4" t="s">
        <v>377</v>
      </c>
    </row>
    <row r="14938" spans="1:44" ht="45">
      <c r="A14938" s="4" t="s">
        <v>10753</v>
      </c>
      <c r="B14938" s="4">
        <v>247775</v>
      </c>
      <c r="D14938" s="5" t="s">
        <v>17596</v>
      </c>
      <c r="E14938" s="6" t="str">
        <f>HYPERLINK("https://inpn.mnhn.fr/espece/cd_nom/247775","Emmelina monodactyla (Linnaeus, 1758)")</f>
        <v>Emmelina monodactyla (Linnaeus, 1758)</v>
      </c>
      <c r="AH14938" s="4" t="str">
        <f>HYPERLINK("#Statut_biogéographique!A"&amp;_xlfn.XMATCH("P",Statut_biogéographique!A:A,2,1),"P")</f>
        <v>P</v>
      </c>
      <c r="AP14938" s="4" t="s">
        <v>376</v>
      </c>
      <c r="AR14938" s="4" t="s">
        <v>377</v>
      </c>
    </row>
    <row r="14939" spans="1:44">
      <c r="A14939" s="4" t="s">
        <v>10753</v>
      </c>
      <c r="B14939" s="4">
        <v>247777</v>
      </c>
      <c r="D14939" s="5" t="s">
        <v>17597</v>
      </c>
      <c r="E14939" s="6" t="str">
        <f>HYPERLINK("https://inpn.mnhn.fr/espece/cd_nom/247777","Adaina microdactyla (Hübner, 1813)")</f>
        <v>Adaina microdactyla (Hübner, 1813)</v>
      </c>
      <c r="AH14939" s="4" t="str">
        <f>HYPERLINK("#Statut_biogéographique!A"&amp;_xlfn.XMATCH("P",Statut_biogéographique!A:A,2,1),"P")</f>
        <v>P</v>
      </c>
      <c r="AP14939" s="4" t="s">
        <v>376</v>
      </c>
      <c r="AR14939" s="4" t="s">
        <v>377</v>
      </c>
    </row>
    <row r="14940" spans="1:44">
      <c r="A14940" s="4" t="s">
        <v>10753</v>
      </c>
      <c r="B14940" s="4">
        <v>247781</v>
      </c>
      <c r="D14940" s="5" t="s">
        <v>17598</v>
      </c>
      <c r="E14940" s="6" t="str">
        <f>HYPERLINK("https://inpn.mnhn.fr/espece/cd_nom/247781","Hellinsia carphodactyla (Hübner, 1813)")</f>
        <v>Hellinsia carphodactyla (Hübner, 1813)</v>
      </c>
      <c r="AH14940" s="4" t="str">
        <f>HYPERLINK("#Statut_biogéographique!A"&amp;_xlfn.XMATCH("P",Statut_biogéographique!A:A,2,1),"P")</f>
        <v>P</v>
      </c>
      <c r="AP14940" s="4" t="s">
        <v>376</v>
      </c>
      <c r="AR14940" s="4" t="s">
        <v>377</v>
      </c>
    </row>
    <row r="14941" spans="1:44" ht="30">
      <c r="A14941" s="4" t="s">
        <v>10753</v>
      </c>
      <c r="B14941" s="4">
        <v>247799</v>
      </c>
      <c r="D14941" s="5" t="s">
        <v>17599</v>
      </c>
      <c r="E14941" s="6" t="str">
        <f>HYPERLINK("https://inpn.mnhn.fr/espece/cd_nom/247799","Merrifieldia tridactyla (Linnaeus, 1758)")</f>
        <v>Merrifieldia tridactyla (Linnaeus, 1758)</v>
      </c>
      <c r="AH14941" s="4" t="str">
        <f>HYPERLINK("#Statut_biogéographique!A"&amp;_xlfn.XMATCH("P",Statut_biogéographique!A:A,2,1),"P")</f>
        <v>P</v>
      </c>
      <c r="AP14941" s="4" t="s">
        <v>376</v>
      </c>
      <c r="AR14941" s="4" t="s">
        <v>377</v>
      </c>
    </row>
    <row r="14942" spans="1:44" ht="30">
      <c r="A14942" s="4" t="s">
        <v>10753</v>
      </c>
      <c r="B14942" s="4">
        <v>247800</v>
      </c>
      <c r="D14942" s="5" t="s">
        <v>17600</v>
      </c>
      <c r="E14942" s="6" t="str">
        <f>HYPERLINK("https://inpn.mnhn.fr/espece/cd_nom/247800","Merrifieldia leucodactyla (Denis &amp; Schiffermüller, 1775)")</f>
        <v>Merrifieldia leucodactyla (Denis &amp; Schiffermüller, 1775)</v>
      </c>
      <c r="AH14942" s="4" t="str">
        <f>HYPERLINK("#Statut_biogéographique!A"&amp;_xlfn.XMATCH("P",Statut_biogéographique!A:A,2,1),"P")</f>
        <v>P</v>
      </c>
      <c r="AP14942" s="4" t="s">
        <v>376</v>
      </c>
      <c r="AR14942" s="4" t="s">
        <v>377</v>
      </c>
    </row>
    <row r="14943" spans="1:44">
      <c r="A14943" s="4" t="s">
        <v>10753</v>
      </c>
      <c r="B14943" s="4">
        <v>247823</v>
      </c>
      <c r="D14943" s="5" t="s">
        <v>17601</v>
      </c>
      <c r="E14943" s="6" t="str">
        <f>HYPERLINK("https://inpn.mnhn.fr/espece/cd_nom/247823","Capperia fusca (O. Hofmann, 1898)")</f>
        <v>Capperia fusca (O. Hofmann, 1898)</v>
      </c>
      <c r="AH14943" s="4" t="str">
        <f>HYPERLINK("#Statut_biogéographique!A"&amp;_xlfn.XMATCH("P",Statut_biogéographique!A:A,2,1),"P")</f>
        <v>P</v>
      </c>
      <c r="AP14943" s="4" t="s">
        <v>376</v>
      </c>
      <c r="AR14943" s="4" t="s">
        <v>377</v>
      </c>
    </row>
    <row r="14944" spans="1:44">
      <c r="A14944" s="4" t="s">
        <v>10753</v>
      </c>
      <c r="B14944" s="4">
        <v>247830</v>
      </c>
      <c r="D14944" s="5" t="s">
        <v>17602</v>
      </c>
      <c r="E14944" s="6" t="str">
        <f>HYPERLINK("https://inpn.mnhn.fr/espece/cd_nom/247830","Oxyptilus pilosellae (Zeller, 1841)")</f>
        <v>Oxyptilus pilosellae (Zeller, 1841)</v>
      </c>
      <c r="AH14944" s="4" t="str">
        <f>HYPERLINK("#Statut_biogéographique!A"&amp;_xlfn.XMATCH("P",Statut_biogéographique!A:A,2,1),"P")</f>
        <v>P</v>
      </c>
      <c r="AP14944" s="4" t="s">
        <v>376</v>
      </c>
      <c r="AR14944" s="4" t="s">
        <v>377</v>
      </c>
    </row>
    <row r="14945" spans="1:44" ht="45">
      <c r="A14945" s="4" t="s">
        <v>10753</v>
      </c>
      <c r="B14945" s="4">
        <v>247834</v>
      </c>
      <c r="D14945" s="5" t="s">
        <v>17603</v>
      </c>
      <c r="E14945" s="6" t="str">
        <f>HYPERLINK("https://inpn.mnhn.fr/espece/cd_nom/247834","Marasmarcha lunaedactyla (Haworth, 1811)")</f>
        <v>Marasmarcha lunaedactyla (Haworth, 1811)</v>
      </c>
      <c r="AH14945" s="4" t="str">
        <f>HYPERLINK("#Statut_biogéographique!A"&amp;_xlfn.XMATCH("P",Statut_biogéographique!A:A,2,1),"P")</f>
        <v>P</v>
      </c>
      <c r="AP14945" s="4" t="s">
        <v>376</v>
      </c>
      <c r="AR14945" s="4" t="s">
        <v>377</v>
      </c>
    </row>
    <row r="14946" spans="1:44" ht="30">
      <c r="A14946" s="4" t="s">
        <v>10753</v>
      </c>
      <c r="B14946" s="4">
        <v>247838</v>
      </c>
      <c r="D14946" s="5" t="s">
        <v>17604</v>
      </c>
      <c r="E14946" s="6" t="str">
        <f>HYPERLINK("https://inpn.mnhn.fr/espece/cd_nom/247838","Stenoptilia pterodactyla (Linnaeus, 1761)")</f>
        <v>Stenoptilia pterodactyla (Linnaeus, 1761)</v>
      </c>
      <c r="AH14946" s="4" t="str">
        <f>HYPERLINK("#Statut_biogéographique!A"&amp;_xlfn.XMATCH("P",Statut_biogéographique!A:A,2,1),"P")</f>
        <v>P</v>
      </c>
      <c r="AP14946" s="4" t="s">
        <v>376</v>
      </c>
      <c r="AR14946" s="4" t="s">
        <v>377</v>
      </c>
    </row>
    <row r="14947" spans="1:44" ht="45">
      <c r="A14947" s="4" t="s">
        <v>10753</v>
      </c>
      <c r="B14947" s="4">
        <v>247841</v>
      </c>
      <c r="D14947" s="5" t="s">
        <v>17605</v>
      </c>
      <c r="E14947" s="6" t="str">
        <f>HYPERLINK("https://inpn.mnhn.fr/espece/cd_nom/247841","Stenoptilia bipunctidactyla (Scopoli, 1763)")</f>
        <v>Stenoptilia bipunctidactyla (Scopoli, 1763)</v>
      </c>
      <c r="AH14947" s="4" t="str">
        <f>HYPERLINK("#Statut_biogéographique!A"&amp;_xlfn.XMATCH("P",Statut_biogéographique!A:A,2,1),"P")</f>
        <v>P</v>
      </c>
      <c r="AP14947" s="4" t="s">
        <v>376</v>
      </c>
      <c r="AR14947" s="4" t="s">
        <v>377</v>
      </c>
    </row>
    <row r="14948" spans="1:44" ht="30">
      <c r="A14948" s="4" t="s">
        <v>10753</v>
      </c>
      <c r="B14948" s="4">
        <v>247855</v>
      </c>
      <c r="D14948" s="5" t="s">
        <v>17606</v>
      </c>
      <c r="E14948" s="6" t="str">
        <f>HYPERLINK("https://inpn.mnhn.fr/espece/cd_nom/247855","Amblyptilia acanthadactyla (Hübner, 1813)")</f>
        <v>Amblyptilia acanthadactyla (Hübner, 1813)</v>
      </c>
      <c r="AH14948" s="4" t="str">
        <f>HYPERLINK("#Statut_biogéographique!A"&amp;_xlfn.XMATCH("P",Statut_biogéographique!A:A,2,1),"P")</f>
        <v>P</v>
      </c>
      <c r="AP14948" s="4" t="s">
        <v>376</v>
      </c>
      <c r="AR14948" s="4" t="s">
        <v>377</v>
      </c>
    </row>
    <row r="14949" spans="1:44" ht="30">
      <c r="A14949" s="4" t="s">
        <v>10753</v>
      </c>
      <c r="B14949" s="4">
        <v>247860</v>
      </c>
      <c r="D14949" s="5" t="s">
        <v>17607</v>
      </c>
      <c r="E14949" s="6" t="str">
        <f>HYPERLINK("https://inpn.mnhn.fr/espece/cd_nom/247860","Platyptilia gonodactyla (Denis &amp; Schiffermüller, 1775)")</f>
        <v>Platyptilia gonodactyla (Denis &amp; Schiffermüller, 1775)</v>
      </c>
      <c r="AH14949" s="4" t="str">
        <f>HYPERLINK("#Statut_biogéographique!A"&amp;_xlfn.XMATCH("P",Statut_biogéographique!A:A,2,1),"P")</f>
        <v>P</v>
      </c>
      <c r="AP14949" s="4" t="s">
        <v>376</v>
      </c>
      <c r="AR14949" s="4" t="s">
        <v>377</v>
      </c>
    </row>
    <row r="14950" spans="1:44" ht="30">
      <c r="A14950" s="4" t="s">
        <v>10753</v>
      </c>
      <c r="B14950" s="4">
        <v>247861</v>
      </c>
      <c r="D14950" s="5" t="s">
        <v>17608</v>
      </c>
      <c r="E14950" s="6" t="str">
        <f>HYPERLINK("https://inpn.mnhn.fr/espece/cd_nom/247861","Platyptilia calodactyla (Denis &amp; Schiffermüller, 1775)")</f>
        <v>Platyptilia calodactyla (Denis &amp; Schiffermüller, 1775)</v>
      </c>
      <c r="AH14950" s="4" t="str">
        <f>HYPERLINK("#Statut_biogéographique!A"&amp;_xlfn.XMATCH("P",Statut_biogéographique!A:A,2,1),"P")</f>
        <v>P</v>
      </c>
      <c r="AP14950" s="4" t="s">
        <v>376</v>
      </c>
      <c r="AR14950" s="4" t="s">
        <v>377</v>
      </c>
    </row>
    <row r="14951" spans="1:44">
      <c r="A14951" s="4" t="s">
        <v>10753</v>
      </c>
      <c r="B14951" s="4">
        <v>247876</v>
      </c>
      <c r="D14951" s="5" t="s">
        <v>17609</v>
      </c>
      <c r="E14951" s="6" t="str">
        <f>HYPERLINK("https://inpn.mnhn.fr/espece/cd_nom/247876","Thyris fenestrella (Scopoli, 1763)")</f>
        <v>Thyris fenestrella (Scopoli, 1763)</v>
      </c>
      <c r="F14951" s="5" t="s">
        <v>17610</v>
      </c>
      <c r="AH14951" s="4" t="str">
        <f>HYPERLINK("#Statut_biogéographique!A"&amp;_xlfn.XMATCH("P",Statut_biogéographique!A:A,2,1),"P")</f>
        <v>P</v>
      </c>
      <c r="AP14951" s="4" t="s">
        <v>376</v>
      </c>
      <c r="AR14951" s="4" t="s">
        <v>377</v>
      </c>
    </row>
    <row r="14952" spans="1:44">
      <c r="A14952" s="4" t="s">
        <v>10753</v>
      </c>
      <c r="B14952" s="4">
        <v>247877</v>
      </c>
      <c r="D14952" s="5" t="s">
        <v>17611</v>
      </c>
      <c r="E14952" s="6" t="str">
        <f>HYPERLINK("https://inpn.mnhn.fr/espece/cd_nom/247877","Cryptoblabes bistriga (Haworth, 1811)")</f>
        <v>Cryptoblabes bistriga (Haworth, 1811)</v>
      </c>
      <c r="F14952" s="5" t="s">
        <v>17612</v>
      </c>
      <c r="AH14952" s="4" t="str">
        <f>HYPERLINK("#Statut_biogéographique!A"&amp;_xlfn.XMATCH("P",Statut_biogéographique!A:A,2,1),"P")</f>
        <v>P</v>
      </c>
      <c r="AP14952" s="4" t="s">
        <v>376</v>
      </c>
      <c r="AR14952" s="4" t="s">
        <v>377</v>
      </c>
    </row>
    <row r="14953" spans="1:44">
      <c r="A14953" s="4" t="s">
        <v>10753</v>
      </c>
      <c r="B14953" s="4">
        <v>247878</v>
      </c>
      <c r="D14953" s="5" t="s">
        <v>17613</v>
      </c>
      <c r="E14953" s="6" t="str">
        <f>HYPERLINK("https://inpn.mnhn.fr/espece/cd_nom/247878","Cryptoblabes gnidiella (Millière, 1867)")</f>
        <v>Cryptoblabes gnidiella (Millière, 1867)</v>
      </c>
      <c r="F14953" s="5" t="s">
        <v>17614</v>
      </c>
      <c r="AH14953" s="4" t="str">
        <f>HYPERLINK("#Statut_biogéographique!A"&amp;_xlfn.XMATCH("P",Statut_biogéographique!A:A,2,1),"P")</f>
        <v>P</v>
      </c>
      <c r="AP14953" s="4" t="s">
        <v>376</v>
      </c>
      <c r="AR14953" s="4" t="s">
        <v>377</v>
      </c>
    </row>
    <row r="14954" spans="1:44" ht="30">
      <c r="A14954" s="4" t="s">
        <v>10753</v>
      </c>
      <c r="B14954" s="4">
        <v>247880</v>
      </c>
      <c r="D14954" s="5" t="s">
        <v>17615</v>
      </c>
      <c r="E14954" s="6" t="str">
        <f>HYPERLINK("https://inpn.mnhn.fr/espece/cd_nom/247880","Cadra furcatella (Herrich-Schäffer, 1849)")</f>
        <v>Cadra furcatella (Herrich-Schäffer, 1849)</v>
      </c>
      <c r="F14954" s="5" t="s">
        <v>17616</v>
      </c>
      <c r="AH14954" s="4" t="str">
        <f>HYPERLINK("#Statut_biogéographique!A"&amp;_xlfn.XMATCH("P",Statut_biogéographique!A:A,2,1),"P")</f>
        <v>P</v>
      </c>
      <c r="AP14954" s="4" t="s">
        <v>376</v>
      </c>
      <c r="AR14954" s="4" t="s">
        <v>377</v>
      </c>
    </row>
    <row r="14955" spans="1:44">
      <c r="A14955" s="4" t="s">
        <v>10753</v>
      </c>
      <c r="B14955" s="4">
        <v>247883</v>
      </c>
      <c r="D14955" s="5" t="s">
        <v>17617</v>
      </c>
      <c r="E14955" s="6" t="str">
        <f>HYPERLINK("https://inpn.mnhn.fr/espece/cd_nom/247883","Cadra calidella (Guenée, 1845)")</f>
        <v>Cadra calidella (Guenée, 1845)</v>
      </c>
      <c r="F14955" s="5" t="s">
        <v>17618</v>
      </c>
      <c r="AH14955" s="4" t="str">
        <f>HYPERLINK("#Statut_biogéographique!A"&amp;_xlfn.XMATCH("P",Statut_biogéographique!A:A,2,1),"P")</f>
        <v>P</v>
      </c>
      <c r="AP14955" s="4" t="s">
        <v>376</v>
      </c>
      <c r="AR14955" s="4" t="s">
        <v>377</v>
      </c>
    </row>
    <row r="14956" spans="1:44">
      <c r="A14956" s="4" t="s">
        <v>10753</v>
      </c>
      <c r="B14956" s="4">
        <v>247884</v>
      </c>
      <c r="D14956" s="5" t="s">
        <v>17619</v>
      </c>
      <c r="E14956" s="6" t="str">
        <f>HYPERLINK("https://inpn.mnhn.fr/espece/cd_nom/247884","Ephestia kuehniella Zeller, 1879")</f>
        <v>Ephestia kuehniella Zeller, 1879</v>
      </c>
      <c r="F14956" s="5" t="s">
        <v>17620</v>
      </c>
      <c r="AH14956" s="4" t="str">
        <f>HYPERLINK("#Statut_biogéographique!A"&amp;_xlfn.XMATCH("I",Statut_biogéographique!A:A,2,1),"I")</f>
        <v>I</v>
      </c>
      <c r="AP14956" s="4" t="s">
        <v>376</v>
      </c>
      <c r="AR14956" s="4" t="s">
        <v>377</v>
      </c>
    </row>
    <row r="14957" spans="1:44" ht="30">
      <c r="A14957" s="4" t="s">
        <v>10753</v>
      </c>
      <c r="B14957" s="4">
        <v>247885</v>
      </c>
      <c r="D14957" s="5" t="s">
        <v>17621</v>
      </c>
      <c r="E14957" s="6" t="str">
        <f>HYPERLINK("https://inpn.mnhn.fr/espece/cd_nom/247885","Ephestia welseriella (Zeller, 1848)")</f>
        <v>Ephestia welseriella (Zeller, 1848)</v>
      </c>
      <c r="F14957" s="5" t="s">
        <v>17622</v>
      </c>
      <c r="AH14957" s="4" t="str">
        <f>HYPERLINK("#Statut_biogéographique!A"&amp;_xlfn.XMATCH("P",Statut_biogéographique!A:A,2,1),"P")</f>
        <v>P</v>
      </c>
      <c r="AP14957" s="4" t="s">
        <v>376</v>
      </c>
      <c r="AR14957" s="4" t="s">
        <v>377</v>
      </c>
    </row>
    <row r="14958" spans="1:44">
      <c r="A14958" s="4" t="s">
        <v>10753</v>
      </c>
      <c r="B14958" s="4">
        <v>247888</v>
      </c>
      <c r="D14958" s="5" t="s">
        <v>17623</v>
      </c>
      <c r="E14958" s="6" t="str">
        <f>HYPERLINK("https://inpn.mnhn.fr/espece/cd_nom/247888","Ephestia elutella (Hübner, 1796)")</f>
        <v>Ephestia elutella (Hübner, 1796)</v>
      </c>
      <c r="F14958" s="5" t="s">
        <v>17624</v>
      </c>
      <c r="AH14958" s="4" t="str">
        <f>HYPERLINK("#Statut_biogéographique!A"&amp;_xlfn.XMATCH("I",Statut_biogéographique!A:A,2,1),"I")</f>
        <v>I</v>
      </c>
      <c r="AP14958" s="4" t="s">
        <v>376</v>
      </c>
      <c r="AR14958" s="4" t="s">
        <v>377</v>
      </c>
    </row>
    <row r="14959" spans="1:44">
      <c r="A14959" s="4" t="s">
        <v>10753</v>
      </c>
      <c r="B14959" s="4">
        <v>247889</v>
      </c>
      <c r="D14959" s="5">
        <v>247889</v>
      </c>
      <c r="E14959" s="6" t="str">
        <f>HYPERLINK("https://inpn.mnhn.fr/espece/cd_nom/247889","Ephestia parasitella Staudinger, 1859")</f>
        <v>Ephestia parasitella Staudinger, 1859</v>
      </c>
      <c r="F14959" s="5" t="s">
        <v>17625</v>
      </c>
      <c r="AH14959" s="4" t="str">
        <f>HYPERLINK("#Statut_biogéographique!A"&amp;_xlfn.XMATCH("P",Statut_biogéographique!A:A,2,1),"P")</f>
        <v>P</v>
      </c>
      <c r="AP14959" s="4" t="s">
        <v>376</v>
      </c>
      <c r="AR14959" s="4" t="s">
        <v>377</v>
      </c>
    </row>
    <row r="14960" spans="1:44">
      <c r="A14960" s="4" t="s">
        <v>10753</v>
      </c>
      <c r="B14960" s="4">
        <v>247891</v>
      </c>
      <c r="D14960" s="5" t="s">
        <v>17626</v>
      </c>
      <c r="E14960" s="6" t="str">
        <f>HYPERLINK("https://inpn.mnhn.fr/espece/cd_nom/247891","Plodia interpunctella (Hübner, 1813)")</f>
        <v>Plodia interpunctella (Hübner, 1813)</v>
      </c>
      <c r="F14960" s="5" t="s">
        <v>17627</v>
      </c>
      <c r="AH14960" s="4" t="str">
        <f>HYPERLINK("#Statut_biogéographique!A"&amp;_xlfn.XMATCH("I",Statut_biogéographique!A:A,2,1),"I")</f>
        <v>I</v>
      </c>
      <c r="AP14960" s="4" t="s">
        <v>376</v>
      </c>
      <c r="AR14960" s="4" t="s">
        <v>377</v>
      </c>
    </row>
    <row r="14961" spans="1:44">
      <c r="A14961" s="4" t="s">
        <v>10753</v>
      </c>
      <c r="B14961" s="4">
        <v>247892</v>
      </c>
      <c r="D14961" s="5" t="s">
        <v>17628</v>
      </c>
      <c r="E14961" s="6" t="str">
        <f>HYPERLINK("https://inpn.mnhn.fr/espece/cd_nom/247892","Vitula biviella (Zeller, 1848)")</f>
        <v>Vitula biviella (Zeller, 1848)</v>
      </c>
      <c r="F14961" s="5" t="s">
        <v>17629</v>
      </c>
      <c r="AH14961" s="4" t="str">
        <f>HYPERLINK("#Statut_biogéographique!A"&amp;_xlfn.XMATCH("P",Statut_biogéographique!A:A,2,1),"P")</f>
        <v>P</v>
      </c>
      <c r="AP14961" s="4" t="s">
        <v>376</v>
      </c>
      <c r="AR14961" s="4" t="s">
        <v>377</v>
      </c>
    </row>
    <row r="14962" spans="1:44">
      <c r="A14962" s="4" t="s">
        <v>10753</v>
      </c>
      <c r="B14962" s="4">
        <v>247893</v>
      </c>
      <c r="D14962" s="5" t="s">
        <v>17630</v>
      </c>
      <c r="E14962" s="6" t="str">
        <f>HYPERLINK("https://inpn.mnhn.fr/espece/cd_nom/247893","Phycitodes maritima (Ragonot, 1901)")</f>
        <v>Phycitodes maritima (Ragonot, 1901)</v>
      </c>
      <c r="F14962" s="5" t="s">
        <v>17631</v>
      </c>
      <c r="AH14962" s="4" t="str">
        <f>HYPERLINK("#Statut_biogéographique!A"&amp;_xlfn.XMATCH("P",Statut_biogéographique!A:A,2,1),"P")</f>
        <v>P</v>
      </c>
      <c r="AP14962" s="4" t="s">
        <v>376</v>
      </c>
      <c r="AR14962" s="4" t="s">
        <v>377</v>
      </c>
    </row>
    <row r="14963" spans="1:44">
      <c r="A14963" s="4" t="s">
        <v>10753</v>
      </c>
      <c r="B14963" s="4">
        <v>247895</v>
      </c>
      <c r="D14963" s="5" t="s">
        <v>17632</v>
      </c>
      <c r="E14963" s="6" t="str">
        <f>HYPERLINK("https://inpn.mnhn.fr/espece/cd_nom/247895","Phycitodes binaevella (Hübner, 1813)")</f>
        <v>Phycitodes binaevella (Hübner, 1813)</v>
      </c>
      <c r="F14963" s="5" t="s">
        <v>17633</v>
      </c>
      <c r="AH14963" s="4" t="str">
        <f>HYPERLINK("#Statut_biogéographique!A"&amp;_xlfn.XMATCH("P",Statut_biogéographique!A:A,2,1),"P")</f>
        <v>P</v>
      </c>
      <c r="AP14963" s="4" t="s">
        <v>376</v>
      </c>
      <c r="AR14963" s="4" t="s">
        <v>377</v>
      </c>
    </row>
    <row r="14964" spans="1:44">
      <c r="A14964" s="4" t="s">
        <v>10753</v>
      </c>
      <c r="B14964" s="4">
        <v>247898</v>
      </c>
      <c r="D14964" s="5" t="s">
        <v>17634</v>
      </c>
      <c r="E14964" s="6" t="str">
        <f>HYPERLINK("https://inpn.mnhn.fr/espece/cd_nom/247898","Phycitodes inquinatella (Ragonot, 1887)")</f>
        <v>Phycitodes inquinatella (Ragonot, 1887)</v>
      </c>
      <c r="F14964" s="5" t="s">
        <v>17635</v>
      </c>
      <c r="AH14964" s="4" t="str">
        <f>HYPERLINK("#Statut_biogéographique!A"&amp;_xlfn.XMATCH("P",Statut_biogéographique!A:A,2,1),"P")</f>
        <v>P</v>
      </c>
      <c r="AP14964" s="4" t="s">
        <v>376</v>
      </c>
      <c r="AR14964" s="4" t="s">
        <v>377</v>
      </c>
    </row>
    <row r="14965" spans="1:44">
      <c r="A14965" s="4" t="s">
        <v>10753</v>
      </c>
      <c r="B14965" s="4">
        <v>247899</v>
      </c>
      <c r="D14965" s="5" t="s">
        <v>17636</v>
      </c>
      <c r="E14965" s="6" t="str">
        <f>HYPERLINK("https://inpn.mnhn.fr/espece/cd_nom/247899","Phycitodes saxicola (Vaughan, 1870)")</f>
        <v>Phycitodes saxicola (Vaughan, 1870)</v>
      </c>
      <c r="F14965" s="5" t="s">
        <v>17637</v>
      </c>
      <c r="AH14965" s="4" t="str">
        <f>HYPERLINK("#Statut_biogéographique!A"&amp;_xlfn.XMATCH("P",Statut_biogéographique!A:A,2,1),"P")</f>
        <v>P</v>
      </c>
      <c r="AP14965" s="4" t="s">
        <v>376</v>
      </c>
      <c r="AR14965" s="4" t="s">
        <v>377</v>
      </c>
    </row>
    <row r="14966" spans="1:44">
      <c r="A14966" s="4" t="s">
        <v>10753</v>
      </c>
      <c r="B14966" s="4">
        <v>247901</v>
      </c>
      <c r="D14966" s="5" t="s">
        <v>17638</v>
      </c>
      <c r="E14966" s="6" t="str">
        <f>HYPERLINK("https://inpn.mnhn.fr/espece/cd_nom/247901","Homoeosoma sinuella (Fabricius, 1794)")</f>
        <v>Homoeosoma sinuella (Fabricius, 1794)</v>
      </c>
      <c r="F14966" s="5" t="s">
        <v>17639</v>
      </c>
      <c r="AH14966" s="4" t="str">
        <f>HYPERLINK("#Statut_biogéographique!A"&amp;_xlfn.XMATCH("P",Statut_biogéographique!A:A,2,1),"P")</f>
        <v>P</v>
      </c>
      <c r="AP14966" s="4" t="s">
        <v>376</v>
      </c>
      <c r="AR14966" s="4" t="s">
        <v>377</v>
      </c>
    </row>
    <row r="14967" spans="1:44">
      <c r="A14967" s="4" t="s">
        <v>10753</v>
      </c>
      <c r="B14967" s="4">
        <v>247907</v>
      </c>
      <c r="D14967" s="5" t="s">
        <v>17640</v>
      </c>
      <c r="E14967" s="6" t="str">
        <f>HYPERLINK("https://inpn.mnhn.fr/espece/cd_nom/247907","Ancylosis cinnamomella (Duponchel, 1836)")</f>
        <v>Ancylosis cinnamomella (Duponchel, 1836)</v>
      </c>
      <c r="F14967" s="5" t="s">
        <v>17641</v>
      </c>
      <c r="AH14967" s="4" t="str">
        <f>HYPERLINK("#Statut_biogéographique!A"&amp;_xlfn.XMATCH("P",Statut_biogéographique!A:A,2,1),"P")</f>
        <v>P</v>
      </c>
      <c r="AP14967" s="4" t="s">
        <v>376</v>
      </c>
      <c r="AR14967" s="4" t="s">
        <v>377</v>
      </c>
    </row>
    <row r="14968" spans="1:44">
      <c r="A14968" s="4" t="s">
        <v>10753</v>
      </c>
      <c r="B14968" s="4">
        <v>247911</v>
      </c>
      <c r="D14968" s="5" t="s">
        <v>17642</v>
      </c>
      <c r="E14968" s="6" t="str">
        <f>HYPERLINK("https://inpn.mnhn.fr/espece/cd_nom/247911","Ancylosis oblitella (Zeller, 1848)")</f>
        <v>Ancylosis oblitella (Zeller, 1848)</v>
      </c>
      <c r="AH14968" s="4" t="str">
        <f>HYPERLINK("#Statut_biogéographique!A"&amp;_xlfn.XMATCH("P",Statut_biogéographique!A:A,2,1),"P")</f>
        <v>P</v>
      </c>
      <c r="AP14968" s="4" t="s">
        <v>376</v>
      </c>
      <c r="AR14968" s="4" t="s">
        <v>377</v>
      </c>
    </row>
    <row r="14969" spans="1:44">
      <c r="A14969" s="4" t="s">
        <v>10753</v>
      </c>
      <c r="B14969" s="4">
        <v>247918</v>
      </c>
      <c r="D14969" s="5" t="s">
        <v>17643</v>
      </c>
      <c r="E14969" s="6" t="str">
        <f>HYPERLINK("https://inpn.mnhn.fr/espece/cd_nom/247918","Euzophera pinguis (Haworth, 1811)")</f>
        <v>Euzophera pinguis (Haworth, 1811)</v>
      </c>
      <c r="F14969" s="5" t="s">
        <v>17644</v>
      </c>
      <c r="AH14969" s="4" t="str">
        <f>HYPERLINK("#Statut_biogéographique!A"&amp;_xlfn.XMATCH("P",Statut_biogéographique!A:A,2,1),"P")</f>
        <v>P</v>
      </c>
      <c r="AP14969" s="4" t="s">
        <v>376</v>
      </c>
      <c r="AR14969" s="4" t="s">
        <v>377</v>
      </c>
    </row>
    <row r="14970" spans="1:44">
      <c r="A14970" s="4" t="s">
        <v>10753</v>
      </c>
      <c r="B14970" s="4">
        <v>247919</v>
      </c>
      <c r="D14970" s="5" t="s">
        <v>17645</v>
      </c>
      <c r="E14970" s="6" t="str">
        <f>HYPERLINK("https://inpn.mnhn.fr/espece/cd_nom/247919","Euzophera bigella (Zeller, 1848)")</f>
        <v>Euzophera bigella (Zeller, 1848)</v>
      </c>
      <c r="F14970" s="5" t="s">
        <v>17646</v>
      </c>
      <c r="AH14970" s="4" t="str">
        <f>HYPERLINK("#Statut_biogéographique!A"&amp;_xlfn.XMATCH("P",Statut_biogéographique!A:A,2,1),"P")</f>
        <v>P</v>
      </c>
      <c r="AP14970" s="4" t="s">
        <v>376</v>
      </c>
      <c r="AR14970" s="4" t="s">
        <v>377</v>
      </c>
    </row>
    <row r="14971" spans="1:44">
      <c r="A14971" s="4" t="s">
        <v>10753</v>
      </c>
      <c r="B14971" s="4">
        <v>247923</v>
      </c>
      <c r="D14971" s="5" t="s">
        <v>17647</v>
      </c>
      <c r="E14971" s="6" t="str">
        <f>HYPERLINK("https://inpn.mnhn.fr/espece/cd_nom/247923","Euzophera fuliginosella (Heinemann, 1865)")</f>
        <v>Euzophera fuliginosella (Heinemann, 1865)</v>
      </c>
      <c r="F14971" s="5" t="s">
        <v>17648</v>
      </c>
      <c r="AH14971" s="4" t="str">
        <f>HYPERLINK("#Statut_biogéographique!A"&amp;_xlfn.XMATCH("P",Statut_biogéographique!A:A,2,1),"P")</f>
        <v>P</v>
      </c>
      <c r="AP14971" s="4" t="s">
        <v>376</v>
      </c>
      <c r="AR14971" s="4" t="s">
        <v>377</v>
      </c>
    </row>
    <row r="14972" spans="1:44">
      <c r="A14972" s="4" t="s">
        <v>10753</v>
      </c>
      <c r="B14972" s="4">
        <v>247924</v>
      </c>
      <c r="D14972" s="5" t="s">
        <v>17649</v>
      </c>
      <c r="E14972" s="6" t="str">
        <f>HYPERLINK("https://inpn.mnhn.fr/espece/cd_nom/247924","Assara conicolella (Constant, 1884)")</f>
        <v>Assara conicolella (Constant, 1884)</v>
      </c>
      <c r="F14972" s="5" t="s">
        <v>17650</v>
      </c>
      <c r="AH14972" s="4" t="str">
        <f>HYPERLINK("#Statut_biogéographique!A"&amp;_xlfn.XMATCH("P",Statut_biogéographique!A:A,2,1),"P")</f>
        <v>P</v>
      </c>
      <c r="AP14972" s="4" t="s">
        <v>376</v>
      </c>
      <c r="AR14972" s="4" t="s">
        <v>377</v>
      </c>
    </row>
    <row r="14973" spans="1:44">
      <c r="A14973" s="4" t="s">
        <v>10753</v>
      </c>
      <c r="B14973" s="4">
        <v>247925</v>
      </c>
      <c r="D14973" s="5" t="s">
        <v>17651</v>
      </c>
      <c r="E14973" s="6" t="str">
        <f>HYPERLINK("https://inpn.mnhn.fr/espece/cd_nom/247925","Assara terebrella (Zincken, 1818)")</f>
        <v>Assara terebrella (Zincken, 1818)</v>
      </c>
      <c r="F14973" s="5" t="s">
        <v>17652</v>
      </c>
      <c r="AH14973" s="4" t="str">
        <f>HYPERLINK("#Statut_biogéographique!A"&amp;_xlfn.XMATCH("P",Statut_biogéographique!A:A,2,1),"P")</f>
        <v>P</v>
      </c>
      <c r="AP14973" s="4" t="s">
        <v>376</v>
      </c>
      <c r="AR14973" s="4" t="s">
        <v>377</v>
      </c>
    </row>
    <row r="14974" spans="1:44">
      <c r="A14974" s="4" t="s">
        <v>10753</v>
      </c>
      <c r="B14974" s="4">
        <v>247928</v>
      </c>
      <c r="D14974" s="5">
        <v>247928</v>
      </c>
      <c r="E14974" s="6" t="str">
        <f>HYPERLINK("https://inpn.mnhn.fr/espece/cd_nom/247928","Eccopisa effractella Zeller, 1848")</f>
        <v>Eccopisa effractella Zeller, 1848</v>
      </c>
      <c r="F14974" s="5" t="s">
        <v>17653</v>
      </c>
      <c r="AH14974" s="4" t="str">
        <f>HYPERLINK("#Statut_biogéographique!A"&amp;_xlfn.XMATCH("P",Statut_biogéographique!A:A,2,1),"P")</f>
        <v>P</v>
      </c>
      <c r="AP14974" s="4" t="s">
        <v>376</v>
      </c>
      <c r="AR14974" s="4" t="s">
        <v>377</v>
      </c>
    </row>
    <row r="14975" spans="1:44">
      <c r="A14975" s="4" t="s">
        <v>10753</v>
      </c>
      <c r="B14975" s="4">
        <v>247929</v>
      </c>
      <c r="D14975" s="5" t="s">
        <v>17654</v>
      </c>
      <c r="E14975" s="6" t="str">
        <f>HYPERLINK("https://inpn.mnhn.fr/espece/cd_nom/247929","Zophodia grossulariella (Hübner, 1809)")</f>
        <v>Zophodia grossulariella (Hübner, 1809)</v>
      </c>
      <c r="F14975" s="5" t="s">
        <v>17655</v>
      </c>
      <c r="AH14975" s="4" t="str">
        <f>HYPERLINK("#Statut_biogéographique!A"&amp;_xlfn.XMATCH("P",Statut_biogéographique!A:A,2,1),"P")</f>
        <v>P</v>
      </c>
      <c r="AP14975" s="4" t="s">
        <v>376</v>
      </c>
      <c r="AR14975" s="4" t="s">
        <v>377</v>
      </c>
    </row>
    <row r="14976" spans="1:44" ht="30">
      <c r="A14976" s="4" t="s">
        <v>10753</v>
      </c>
      <c r="B14976" s="4">
        <v>247948</v>
      </c>
      <c r="D14976" s="5" t="s">
        <v>17656</v>
      </c>
      <c r="E14976" s="6" t="str">
        <f>HYPERLINK("https://inpn.mnhn.fr/espece/cd_nom/247948","Pterothrixidia rufella (Duponchel, 1836)")</f>
        <v>Pterothrixidia rufella (Duponchel, 1836)</v>
      </c>
      <c r="F14976" s="5" t="s">
        <v>17657</v>
      </c>
      <c r="AH14976" s="4" t="str">
        <f>HYPERLINK("#Statut_biogéographique!A"&amp;_xlfn.XMATCH("P",Statut_biogéographique!A:A,2,1),"P")</f>
        <v>P</v>
      </c>
      <c r="AP14976" s="4" t="s">
        <v>376</v>
      </c>
      <c r="AR14976" s="4" t="s">
        <v>377</v>
      </c>
    </row>
    <row r="14977" spans="1:44">
      <c r="A14977" s="4" t="s">
        <v>10753</v>
      </c>
      <c r="B14977" s="4">
        <v>247950</v>
      </c>
      <c r="D14977" s="5" t="s">
        <v>17658</v>
      </c>
      <c r="E14977" s="6" t="str">
        <f>HYPERLINK("https://inpn.mnhn.fr/espece/cd_nom/247950","Myelois cribratella Zeller, 1847")</f>
        <v>Myelois cribratella Zeller, 1847</v>
      </c>
      <c r="AH14977" s="4" t="str">
        <f>HYPERLINK("#Statut_biogéographique!A"&amp;_xlfn.XMATCH("P",Statut_biogéographique!A:A,2,1),"P")</f>
        <v>P</v>
      </c>
      <c r="AP14977" s="4" t="s">
        <v>376</v>
      </c>
      <c r="AR14977" s="4" t="s">
        <v>377</v>
      </c>
    </row>
    <row r="14978" spans="1:44" ht="30">
      <c r="A14978" s="4" t="s">
        <v>10753</v>
      </c>
      <c r="B14978" s="4">
        <v>247951</v>
      </c>
      <c r="D14978" s="5" t="s">
        <v>17659</v>
      </c>
      <c r="E14978" s="6" t="str">
        <f>HYPERLINK("https://inpn.mnhn.fr/espece/cd_nom/247951","Myelois circumvoluta (Geoffroy, 1785)")</f>
        <v>Myelois circumvoluta (Geoffroy, 1785)</v>
      </c>
      <c r="F14978" s="5" t="s">
        <v>17660</v>
      </c>
      <c r="AH14978" s="4" t="str">
        <f>HYPERLINK("#Statut_biogéographique!A"&amp;_xlfn.XMATCH("P",Statut_biogéographique!A:A,2,1),"P")</f>
        <v>P</v>
      </c>
      <c r="AP14978" s="4" t="s">
        <v>376</v>
      </c>
      <c r="AR14978" s="4" t="s">
        <v>377</v>
      </c>
    </row>
    <row r="14979" spans="1:44">
      <c r="A14979" s="4" t="s">
        <v>10753</v>
      </c>
      <c r="B14979" s="4">
        <v>247954</v>
      </c>
      <c r="D14979" s="5" t="s">
        <v>17661</v>
      </c>
      <c r="E14979" s="6" t="str">
        <f>HYPERLINK("https://inpn.mnhn.fr/espece/cd_nom/247954","Eurhodope cirrigerella (Zincken, 1818)")</f>
        <v>Eurhodope cirrigerella (Zincken, 1818)</v>
      </c>
      <c r="F14979" s="5" t="s">
        <v>17662</v>
      </c>
      <c r="AH14979" s="4" t="str">
        <f>HYPERLINK("#Statut_biogéographique!A"&amp;_xlfn.XMATCH("P",Statut_biogéographique!A:A,2,1),"P")</f>
        <v>P</v>
      </c>
      <c r="AP14979" s="4" t="s">
        <v>376</v>
      </c>
      <c r="AR14979" s="4" t="s">
        <v>377</v>
      </c>
    </row>
    <row r="14980" spans="1:44" ht="30">
      <c r="A14980" s="4" t="s">
        <v>10753</v>
      </c>
      <c r="B14980" s="4">
        <v>247955</v>
      </c>
      <c r="D14980" s="5" t="s">
        <v>17663</v>
      </c>
      <c r="E14980" s="6" t="str">
        <f>HYPERLINK("https://inpn.mnhn.fr/espece/cd_nom/247955","Episcythrastis tetricella (Denis &amp; Schiffermüller, 1775)")</f>
        <v>Episcythrastis tetricella (Denis &amp; Schiffermüller, 1775)</v>
      </c>
      <c r="F14980" s="5" t="s">
        <v>17664</v>
      </c>
      <c r="AH14980" s="4" t="str">
        <f>HYPERLINK("#Statut_biogéographique!A"&amp;_xlfn.XMATCH("P",Statut_biogéographique!A:A,2,1),"P")</f>
        <v>P</v>
      </c>
      <c r="AP14980" s="4" t="s">
        <v>376</v>
      </c>
      <c r="AR14980" s="4" t="s">
        <v>377</v>
      </c>
    </row>
    <row r="14981" spans="1:44">
      <c r="A14981" s="4" t="s">
        <v>10753</v>
      </c>
      <c r="B14981" s="4">
        <v>247957</v>
      </c>
      <c r="D14981" s="5" t="s">
        <v>17665</v>
      </c>
      <c r="E14981" s="6" t="str">
        <f>HYPERLINK("https://inpn.mnhn.fr/espece/cd_nom/247957","Glyptoteles leucacrinella Zeller, 1848")</f>
        <v>Glyptoteles leucacrinella Zeller, 1848</v>
      </c>
      <c r="F14981" s="5" t="s">
        <v>17666</v>
      </c>
      <c r="AH14981" s="4" t="str">
        <f>HYPERLINK("#Statut_biogéographique!A"&amp;_xlfn.XMATCH("P",Statut_biogéographique!A:A,2,1),"P")</f>
        <v>P</v>
      </c>
      <c r="AP14981" s="4" t="s">
        <v>376</v>
      </c>
      <c r="AR14981" s="4" t="s">
        <v>377</v>
      </c>
    </row>
    <row r="14982" spans="1:44">
      <c r="A14982" s="4" t="s">
        <v>10753</v>
      </c>
      <c r="B14982" s="4">
        <v>247958</v>
      </c>
      <c r="D14982" s="5" t="s">
        <v>17667</v>
      </c>
      <c r="E14982" s="6" t="str">
        <f>HYPERLINK("https://inpn.mnhn.fr/espece/cd_nom/247958","Apomyelois bistriatella (Hulst, 1887)")</f>
        <v>Apomyelois bistriatella (Hulst, 1887)</v>
      </c>
      <c r="F14982" s="5" t="s">
        <v>17668</v>
      </c>
      <c r="AH14982" s="4" t="str">
        <f>HYPERLINK("#Statut_biogéographique!A"&amp;_xlfn.XMATCH("P",Statut_biogéographique!A:A,2,1),"P")</f>
        <v>P</v>
      </c>
      <c r="AP14982" s="4" t="s">
        <v>376</v>
      </c>
      <c r="AR14982" s="4" t="s">
        <v>377</v>
      </c>
    </row>
    <row r="14983" spans="1:44" ht="30">
      <c r="A14983" s="4" t="s">
        <v>10753</v>
      </c>
      <c r="B14983" s="4">
        <v>247962</v>
      </c>
      <c r="D14983" s="5" t="s">
        <v>17669</v>
      </c>
      <c r="E14983" s="6" t="str">
        <f>HYPERLINK("https://inpn.mnhn.fr/espece/cd_nom/247962","Acrobasis obliqua (Zeller, 1847)")</f>
        <v>Acrobasis obliqua (Zeller, 1847)</v>
      </c>
      <c r="F14983" s="5" t="s">
        <v>17670</v>
      </c>
      <c r="AH14983" s="4" t="str">
        <f>HYPERLINK("#Statut_biogéographique!A"&amp;_xlfn.XMATCH("P",Statut_biogéographique!A:A,2,1),"P")</f>
        <v>P</v>
      </c>
      <c r="AP14983" s="4" t="s">
        <v>376</v>
      </c>
      <c r="AR14983" s="4" t="s">
        <v>377</v>
      </c>
    </row>
    <row r="14984" spans="1:44">
      <c r="A14984" s="4" t="s">
        <v>10753</v>
      </c>
      <c r="B14984" s="4">
        <v>247964</v>
      </c>
      <c r="D14984" s="5" t="s">
        <v>17671</v>
      </c>
      <c r="E14984" s="6" t="str">
        <f>HYPERLINK("https://inpn.mnhn.fr/espece/cd_nom/247964","Acrobasis porphyrella (Duponchel, 1836)")</f>
        <v>Acrobasis porphyrella (Duponchel, 1836)</v>
      </c>
      <c r="F14984" s="5" t="s">
        <v>17672</v>
      </c>
      <c r="AH14984" s="4" t="str">
        <f>HYPERLINK("#Statut_biogéographique!A"&amp;_xlfn.XMATCH("P",Statut_biogéographique!A:A,2,1),"P")</f>
        <v>P</v>
      </c>
      <c r="AP14984" s="4" t="s">
        <v>376</v>
      </c>
      <c r="AR14984" s="4" t="s">
        <v>377</v>
      </c>
    </row>
    <row r="14985" spans="1:44">
      <c r="A14985" s="4" t="s">
        <v>10753</v>
      </c>
      <c r="B14985" s="4">
        <v>247966</v>
      </c>
      <c r="D14985" s="5">
        <v>247966</v>
      </c>
      <c r="E14985" s="6" t="str">
        <f>HYPERLINK("https://inpn.mnhn.fr/espece/cd_nom/247966","Acrobasis sodalella Zeller, 1848")</f>
        <v>Acrobasis sodalella Zeller, 1848</v>
      </c>
      <c r="F14985" s="5" t="s">
        <v>17673</v>
      </c>
      <c r="AH14985" s="4" t="str">
        <f>HYPERLINK("#Statut_biogéographique!A"&amp;_xlfn.XMATCH("P",Statut_biogéographique!A:A,2,1),"P")</f>
        <v>P</v>
      </c>
      <c r="AP14985" s="4" t="s">
        <v>376</v>
      </c>
      <c r="AR14985" s="4" t="s">
        <v>377</v>
      </c>
    </row>
    <row r="14986" spans="1:44">
      <c r="A14986" s="4" t="s">
        <v>10753</v>
      </c>
      <c r="B14986" s="4">
        <v>247967</v>
      </c>
      <c r="D14986" s="5" t="s">
        <v>17674</v>
      </c>
      <c r="E14986" s="6" t="str">
        <f>HYPERLINK("https://inpn.mnhn.fr/espece/cd_nom/247967","Acrobasis consociella (Hübner, 1813)")</f>
        <v>Acrobasis consociella (Hübner, 1813)</v>
      </c>
      <c r="F14986" s="5" t="s">
        <v>17675</v>
      </c>
      <c r="AH14986" s="4" t="str">
        <f>HYPERLINK("#Statut_biogéographique!A"&amp;_xlfn.XMATCH("P",Statut_biogéographique!A:A,2,1),"P")</f>
        <v>P</v>
      </c>
      <c r="AP14986" s="4" t="s">
        <v>376</v>
      </c>
      <c r="AR14986" s="4" t="s">
        <v>377</v>
      </c>
    </row>
    <row r="14987" spans="1:44">
      <c r="A14987" s="4" t="s">
        <v>10753</v>
      </c>
      <c r="B14987" s="4">
        <v>247968</v>
      </c>
      <c r="D14987" s="5" t="s">
        <v>17676</v>
      </c>
      <c r="E14987" s="6" t="str">
        <f>HYPERLINK("https://inpn.mnhn.fr/espece/cd_nom/247968","Acrobasis glaucella Staudinger, 1859")</f>
        <v>Acrobasis glaucella Staudinger, 1859</v>
      </c>
      <c r="F14987" s="5" t="s">
        <v>17677</v>
      </c>
      <c r="AH14987" s="4" t="str">
        <f>HYPERLINK("#Statut_biogéographique!A"&amp;_xlfn.XMATCH("P",Statut_biogéographique!A:A,2,1),"P")</f>
        <v>P</v>
      </c>
      <c r="AP14987" s="4" t="s">
        <v>376</v>
      </c>
      <c r="AR14987" s="4" t="s">
        <v>377</v>
      </c>
    </row>
    <row r="14988" spans="1:44">
      <c r="A14988" s="4" t="s">
        <v>10753</v>
      </c>
      <c r="B14988" s="4">
        <v>247978</v>
      </c>
      <c r="D14988" s="5" t="s">
        <v>17678</v>
      </c>
      <c r="E14988" s="6" t="str">
        <f>HYPERLINK("https://inpn.mnhn.fr/espece/cd_nom/247978","Nephopterix angustella (Hübner, 1796)")</f>
        <v>Nephopterix angustella (Hübner, 1796)</v>
      </c>
      <c r="F14988" s="5" t="s">
        <v>17679</v>
      </c>
      <c r="AH14988" s="4" t="str">
        <f>HYPERLINK("#Statut_biogéographique!A"&amp;_xlfn.XMATCH("P",Statut_biogéographique!A:A,2,1),"P")</f>
        <v>P</v>
      </c>
      <c r="AP14988" s="4" t="s">
        <v>376</v>
      </c>
      <c r="AR14988" s="4" t="s">
        <v>377</v>
      </c>
    </row>
    <row r="14989" spans="1:44" ht="30">
      <c r="A14989" s="4" t="s">
        <v>10753</v>
      </c>
      <c r="B14989" s="4">
        <v>24798</v>
      </c>
      <c r="D14989" s="5" t="s">
        <v>17680</v>
      </c>
      <c r="E14989" s="6" t="str">
        <f>HYPERLINK("https://inpn.mnhn.fr/espece/cd_nom/24798","Sphenella marginata (Fallén, 1814)")</f>
        <v>Sphenella marginata (Fallén, 1814)</v>
      </c>
      <c r="AH14989" s="4" t="str">
        <f>HYPERLINK("#Statut_biogéographique!A"&amp;_xlfn.XMATCH("P",Statut_biogéographique!A:A,2,1),"P")</f>
        <v>P</v>
      </c>
      <c r="AP14989" s="4" t="s">
        <v>376</v>
      </c>
      <c r="AR14989" s="4" t="s">
        <v>377</v>
      </c>
    </row>
    <row r="14990" spans="1:44">
      <c r="A14990" s="4" t="s">
        <v>10753</v>
      </c>
      <c r="B14990" s="4">
        <v>247986</v>
      </c>
      <c r="D14990" s="5" t="s">
        <v>17681</v>
      </c>
      <c r="E14990" s="6" t="str">
        <f>HYPERLINK("https://inpn.mnhn.fr/espece/cd_nom/247986","Hypochalcia decorella (Hübner, 1810)")</f>
        <v>Hypochalcia decorella (Hübner, 1810)</v>
      </c>
      <c r="F14990" s="5" t="s">
        <v>17682</v>
      </c>
      <c r="AH14990" s="4" t="str">
        <f>HYPERLINK("#Statut_biogéographique!A"&amp;_xlfn.XMATCH("P",Statut_biogéographique!A:A,2,1),"P")</f>
        <v>P</v>
      </c>
      <c r="AP14990" s="4" t="s">
        <v>376</v>
      </c>
      <c r="AR14990" s="4" t="s">
        <v>377</v>
      </c>
    </row>
    <row r="14991" spans="1:44">
      <c r="A14991" s="4" t="s">
        <v>10753</v>
      </c>
      <c r="B14991" s="4">
        <v>247987</v>
      </c>
      <c r="D14991" s="5" t="s">
        <v>17683</v>
      </c>
      <c r="E14991" s="6" t="str">
        <f>HYPERLINK("https://inpn.mnhn.fr/espece/cd_nom/247987","Hypochalcia lignella (Hübner, 1796)")</f>
        <v>Hypochalcia lignella (Hübner, 1796)</v>
      </c>
      <c r="F14991" s="5" t="s">
        <v>17684</v>
      </c>
      <c r="AH14991" s="4" t="str">
        <f>HYPERLINK("#Statut_biogéographique!A"&amp;_xlfn.XMATCH("P",Statut_biogéographique!A:A,2,1),"P")</f>
        <v>P</v>
      </c>
      <c r="AP14991" s="4" t="s">
        <v>376</v>
      </c>
      <c r="AR14991" s="4" t="s">
        <v>377</v>
      </c>
    </row>
    <row r="14992" spans="1:44" ht="30">
      <c r="A14992" s="4" t="s">
        <v>10753</v>
      </c>
      <c r="B14992" s="4">
        <v>247988</v>
      </c>
      <c r="D14992" s="5" t="s">
        <v>17685</v>
      </c>
      <c r="E14992" s="6" t="str">
        <f>HYPERLINK("https://inpn.mnhn.fr/espece/cd_nom/247988","Hypochalcia ahenella (Denis &amp; Schiffermüller, 1775)")</f>
        <v>Hypochalcia ahenella (Denis &amp; Schiffermüller, 1775)</v>
      </c>
      <c r="F14992" s="5" t="s">
        <v>17686</v>
      </c>
      <c r="AH14992" s="4" t="str">
        <f>HYPERLINK("#Statut_biogéographique!A"&amp;_xlfn.XMATCH("P",Statut_biogéographique!A:A,2,1),"P")</f>
        <v>P</v>
      </c>
      <c r="AP14992" s="4" t="s">
        <v>376</v>
      </c>
      <c r="AR14992" s="4" t="s">
        <v>377</v>
      </c>
    </row>
    <row r="14993" spans="1:44" ht="30">
      <c r="A14993" s="4" t="s">
        <v>10753</v>
      </c>
      <c r="B14993" s="4">
        <v>247991</v>
      </c>
      <c r="D14993" s="5" t="s">
        <v>17687</v>
      </c>
      <c r="E14993" s="6" t="str">
        <f>HYPERLINK("https://inpn.mnhn.fr/espece/cd_nom/247991","Phycita roborella (Denis &amp; Schiffermüller, 1775)")</f>
        <v>Phycita roborella (Denis &amp; Schiffermüller, 1775)</v>
      </c>
      <c r="F14993" s="5" t="s">
        <v>17688</v>
      </c>
      <c r="AH14993" s="4" t="str">
        <f>HYPERLINK("#Statut_biogéographique!A"&amp;_xlfn.XMATCH("P",Statut_biogéographique!A:A,2,1),"P")</f>
        <v>P</v>
      </c>
      <c r="AP14993" s="4" t="s">
        <v>376</v>
      </c>
      <c r="AR14993" s="4" t="s">
        <v>377</v>
      </c>
    </row>
    <row r="14994" spans="1:44">
      <c r="A14994" s="4" t="s">
        <v>10753</v>
      </c>
      <c r="B14994" s="4">
        <v>247993</v>
      </c>
      <c r="D14994" s="5" t="s">
        <v>17689</v>
      </c>
      <c r="E14994" s="6" t="str">
        <f>HYPERLINK("https://inpn.mnhn.fr/espece/cd_nom/247993","Dioryctria sylvestrella (Ratzeburg, 1840)")</f>
        <v>Dioryctria sylvestrella (Ratzeburg, 1840)</v>
      </c>
      <c r="F14994" s="5" t="s">
        <v>17690</v>
      </c>
      <c r="AH14994" s="4" t="str">
        <f>HYPERLINK("#Statut_biogéographique!A"&amp;_xlfn.XMATCH("P",Statut_biogéographique!A:A,2,1),"P")</f>
        <v>P</v>
      </c>
      <c r="AP14994" s="4" t="s">
        <v>376</v>
      </c>
      <c r="AR14994" s="4" t="s">
        <v>377</v>
      </c>
    </row>
    <row r="14995" spans="1:44">
      <c r="A14995" s="4" t="s">
        <v>10753</v>
      </c>
      <c r="B14995" s="4">
        <v>247995</v>
      </c>
      <c r="D14995" s="5" t="s">
        <v>17691</v>
      </c>
      <c r="E14995" s="6" t="str">
        <f>HYPERLINK("https://inpn.mnhn.fr/espece/cd_nom/247995","Dioryctria simplicella Heinemann, 1865")</f>
        <v>Dioryctria simplicella Heinemann, 1865</v>
      </c>
      <c r="F14995" s="5" t="s">
        <v>17692</v>
      </c>
      <c r="AH14995" s="4" t="str">
        <f>HYPERLINK("#Statut_biogéographique!A"&amp;_xlfn.XMATCH("P",Statut_biogéographique!A:A,2,1),"P")</f>
        <v>P</v>
      </c>
      <c r="AP14995" s="4" t="s">
        <v>376</v>
      </c>
      <c r="AR14995" s="4" t="s">
        <v>377</v>
      </c>
    </row>
    <row r="14996" spans="1:44" ht="30">
      <c r="A14996" s="4" t="s">
        <v>10753</v>
      </c>
      <c r="B14996" s="4">
        <v>247996</v>
      </c>
      <c r="D14996" s="5" t="s">
        <v>17693</v>
      </c>
      <c r="E14996" s="6" t="str">
        <f>HYPERLINK("https://inpn.mnhn.fr/espece/cd_nom/247996","Dioryctria abietella (Denis &amp; Schiffermüller, 1775)")</f>
        <v>Dioryctria abietella (Denis &amp; Schiffermüller, 1775)</v>
      </c>
      <c r="F14996" s="5" t="s">
        <v>17694</v>
      </c>
      <c r="AH14996" s="4" t="str">
        <f>HYPERLINK("#Statut_biogéographique!A"&amp;_xlfn.XMATCH("P",Statut_biogéographique!A:A,2,1),"P")</f>
        <v>P</v>
      </c>
      <c r="AP14996" s="4" t="s">
        <v>376</v>
      </c>
      <c r="AR14996" s="4" t="s">
        <v>377</v>
      </c>
    </row>
    <row r="14997" spans="1:44">
      <c r="A14997" s="4" t="s">
        <v>10753</v>
      </c>
      <c r="B14997" s="4">
        <v>248003</v>
      </c>
      <c r="D14997" s="5" t="s">
        <v>17695</v>
      </c>
      <c r="E14997" s="6" t="str">
        <f>HYPERLINK("https://inpn.mnhn.fr/espece/cd_nom/248003","Pempelia genistella (Duponchel, 1836)")</f>
        <v>Pempelia genistella (Duponchel, 1836)</v>
      </c>
      <c r="F14997" s="5" t="s">
        <v>17696</v>
      </c>
      <c r="AH14997" s="4" t="str">
        <f>HYPERLINK("#Statut_biogéographique!A"&amp;_xlfn.XMATCH("P",Statut_biogéographique!A:A,2,1),"P")</f>
        <v>P</v>
      </c>
      <c r="AP14997" s="4" t="s">
        <v>376</v>
      </c>
      <c r="AR14997" s="4" t="s">
        <v>377</v>
      </c>
    </row>
    <row r="14998" spans="1:44" ht="30">
      <c r="A14998" s="4" t="s">
        <v>10753</v>
      </c>
      <c r="B14998" s="4">
        <v>248007</v>
      </c>
      <c r="D14998" s="5" t="s">
        <v>17697</v>
      </c>
      <c r="E14998" s="6" t="str">
        <f>HYPERLINK("https://inpn.mnhn.fr/espece/cd_nom/248007","Pempelia palumbella (Denis &amp; Schiffermüller, 1775)")</f>
        <v>Pempelia palumbella (Denis &amp; Schiffermüller, 1775)</v>
      </c>
      <c r="F14998" s="5" t="s">
        <v>17698</v>
      </c>
      <c r="AH14998" s="4" t="str">
        <f>HYPERLINK("#Statut_biogéographique!A"&amp;_xlfn.XMATCH("P",Statut_biogéographique!A:A,2,1),"P")</f>
        <v>P</v>
      </c>
      <c r="AP14998" s="4" t="s">
        <v>376</v>
      </c>
      <c r="AR14998" s="4" t="s">
        <v>377</v>
      </c>
    </row>
    <row r="14999" spans="1:44">
      <c r="A14999" s="4" t="s">
        <v>10753</v>
      </c>
      <c r="B14999" s="4">
        <v>248010</v>
      </c>
      <c r="D14999" s="5" t="s">
        <v>17699</v>
      </c>
      <c r="E14999" s="6" t="str">
        <f>HYPERLINK("https://inpn.mnhn.fr/espece/cd_nom/248010","Laodamia faecella (Zeller, 1839)")</f>
        <v>Laodamia faecella (Zeller, 1839)</v>
      </c>
      <c r="F14999" s="5" t="s">
        <v>17700</v>
      </c>
      <c r="AH14999" s="4" t="str">
        <f>HYPERLINK("#Statut_biogéographique!A"&amp;_xlfn.XMATCH("P",Statut_biogéographique!A:A,2,1),"P")</f>
        <v>P</v>
      </c>
      <c r="AP14999" s="4" t="s">
        <v>376</v>
      </c>
      <c r="AR14999" s="4" t="s">
        <v>377</v>
      </c>
    </row>
    <row r="15000" spans="1:44" ht="30">
      <c r="A15000" s="4" t="s">
        <v>10753</v>
      </c>
      <c r="B15000" s="4">
        <v>248011</v>
      </c>
      <c r="D15000" s="5" t="s">
        <v>17701</v>
      </c>
      <c r="E15000" s="6" t="str">
        <f>HYPERLINK("https://inpn.mnhn.fr/espece/cd_nom/248011","Oncocera semirubella (Scopoli, 1763)")</f>
        <v>Oncocera semirubella (Scopoli, 1763)</v>
      </c>
      <c r="F15000" s="5" t="s">
        <v>17702</v>
      </c>
      <c r="AH15000" s="4" t="str">
        <f>HYPERLINK("#Statut_biogéographique!A"&amp;_xlfn.XMATCH("P",Statut_biogéographique!A:A,2,1),"P")</f>
        <v>P</v>
      </c>
      <c r="AP15000" s="4" t="s">
        <v>376</v>
      </c>
      <c r="AR15000" s="4" t="s">
        <v>377</v>
      </c>
    </row>
    <row r="15001" spans="1:44">
      <c r="A15001" s="4" t="s">
        <v>10753</v>
      </c>
      <c r="B15001" s="4">
        <v>248015</v>
      </c>
      <c r="D15001" s="5" t="s">
        <v>17703</v>
      </c>
      <c r="E15001" s="6" t="str">
        <f>HYPERLINK("https://inpn.mnhn.fr/espece/cd_nom/248015","Etiella zinckenella (Treitschke, 1832)")</f>
        <v>Etiella zinckenella (Treitschke, 1832)</v>
      </c>
      <c r="F15001" s="5" t="s">
        <v>17704</v>
      </c>
      <c r="AH15001" s="4" t="str">
        <f>HYPERLINK("#Statut_biogéographique!A"&amp;_xlfn.XMATCH("P",Statut_biogéographique!A:A,2,1),"P")</f>
        <v>P</v>
      </c>
      <c r="AP15001" s="4" t="s">
        <v>376</v>
      </c>
      <c r="AR15001" s="4" t="s">
        <v>377</v>
      </c>
    </row>
    <row r="15002" spans="1:44" ht="30">
      <c r="A15002" s="4" t="s">
        <v>10753</v>
      </c>
      <c r="B15002" s="4">
        <v>248017</v>
      </c>
      <c r="D15002" s="5" t="s">
        <v>17705</v>
      </c>
      <c r="E15002" s="6" t="str">
        <f>HYPERLINK("https://inpn.mnhn.fr/espece/cd_nom/248017","Selagia argyrella (Denis &amp; Schiffermüller, 1775)")</f>
        <v>Selagia argyrella (Denis &amp; Schiffermüller, 1775)</v>
      </c>
      <c r="F15002" s="5" t="s">
        <v>17706</v>
      </c>
      <c r="AH15002" s="4" t="str">
        <f>HYPERLINK("#Statut_biogéographique!A"&amp;_xlfn.XMATCH("P",Statut_biogéographique!A:A,2,1),"P")</f>
        <v>P</v>
      </c>
      <c r="AP15002" s="4" t="s">
        <v>376</v>
      </c>
      <c r="AR15002" s="4" t="s">
        <v>377</v>
      </c>
    </row>
    <row r="15003" spans="1:44">
      <c r="A15003" s="4" t="s">
        <v>10753</v>
      </c>
      <c r="B15003" s="4">
        <v>248018</v>
      </c>
      <c r="D15003" s="5" t="s">
        <v>17707</v>
      </c>
      <c r="E15003" s="6" t="str">
        <f>HYPERLINK("https://inpn.mnhn.fr/espece/cd_nom/248018","Selagia spadicella (Hübner, 1796)")</f>
        <v>Selagia spadicella (Hübner, 1796)</v>
      </c>
      <c r="F15003" s="5" t="s">
        <v>17708</v>
      </c>
      <c r="AH15003" s="4" t="str">
        <f>HYPERLINK("#Statut_biogéographique!A"&amp;_xlfn.XMATCH("P",Statut_biogéographique!A:A,2,1),"P")</f>
        <v>P</v>
      </c>
      <c r="AP15003" s="4" t="s">
        <v>376</v>
      </c>
      <c r="AR15003" s="4" t="s">
        <v>377</v>
      </c>
    </row>
    <row r="15004" spans="1:44" ht="30">
      <c r="A15004" s="4" t="s">
        <v>10753</v>
      </c>
      <c r="B15004" s="4">
        <v>248024</v>
      </c>
      <c r="D15004" s="5" t="s">
        <v>17709</v>
      </c>
      <c r="E15004" s="6" t="str">
        <f>HYPERLINK("https://inpn.mnhn.fr/espece/cd_nom/248024","Sciota adelphella (Fischer von Röslerstamm, 1836)")</f>
        <v>Sciota adelphella (Fischer von Röslerstamm, 1836)</v>
      </c>
      <c r="F15004" s="5" t="s">
        <v>17710</v>
      </c>
      <c r="AH15004" s="4" t="str">
        <f>HYPERLINK("#Statut_biogéographique!A"&amp;_xlfn.XMATCH("P",Statut_biogéographique!A:A,2,1),"P")</f>
        <v>P</v>
      </c>
      <c r="AP15004" s="4" t="s">
        <v>376</v>
      </c>
      <c r="AR15004" s="4" t="s">
        <v>377</v>
      </c>
    </row>
    <row r="15005" spans="1:44">
      <c r="A15005" s="4" t="s">
        <v>10753</v>
      </c>
      <c r="B15005" s="4">
        <v>248026</v>
      </c>
      <c r="D15005" s="5" t="s">
        <v>17711</v>
      </c>
      <c r="E15005" s="6" t="str">
        <f>HYPERLINK("https://inpn.mnhn.fr/espece/cd_nom/248026","Khorassania compositella (Treitschke, 1835)")</f>
        <v>Khorassania compositella (Treitschke, 1835)</v>
      </c>
      <c r="F15005" s="5" t="s">
        <v>17712</v>
      </c>
      <c r="AH15005" s="4" t="str">
        <f>HYPERLINK("#Statut_biogéographique!A"&amp;_xlfn.XMATCH("P",Statut_biogéographique!A:A,2,1),"P")</f>
        <v>P</v>
      </c>
      <c r="AP15005" s="4" t="s">
        <v>376</v>
      </c>
      <c r="AR15005" s="4" t="s">
        <v>377</v>
      </c>
    </row>
    <row r="15006" spans="1:44" ht="30">
      <c r="A15006" s="4" t="s">
        <v>10753</v>
      </c>
      <c r="B15006" s="4">
        <v>248032</v>
      </c>
      <c r="D15006" s="5" t="s">
        <v>17713</v>
      </c>
      <c r="E15006" s="6" t="str">
        <f>HYPERLINK("https://inpn.mnhn.fr/espece/cd_nom/248032","Pempeliella ornatella (Denis &amp; Schiffermüller, 1775)")</f>
        <v>Pempeliella ornatella (Denis &amp; Schiffermüller, 1775)</v>
      </c>
      <c r="F15006" s="5" t="s">
        <v>17682</v>
      </c>
      <c r="AH15006" s="4" t="str">
        <f>HYPERLINK("#Statut_biogéographique!A"&amp;_xlfn.XMATCH("P",Statut_biogéographique!A:A,2,1),"P")</f>
        <v>P</v>
      </c>
      <c r="AP15006" s="4" t="s">
        <v>376</v>
      </c>
      <c r="AR15006" s="4" t="s">
        <v>377</v>
      </c>
    </row>
    <row r="15007" spans="1:44">
      <c r="A15007" s="4" t="s">
        <v>10753</v>
      </c>
      <c r="B15007" s="4">
        <v>248041</v>
      </c>
      <c r="D15007" s="5" t="s">
        <v>17714</v>
      </c>
      <c r="E15007" s="6" t="str">
        <f>HYPERLINK("https://inpn.mnhn.fr/espece/cd_nom/248041","Elegia similella (Zincken, 1818)")</f>
        <v>Elegia similella (Zincken, 1818)</v>
      </c>
      <c r="F15007" s="5" t="s">
        <v>17715</v>
      </c>
      <c r="AH15007" s="4" t="str">
        <f>HYPERLINK("#Statut_biogéographique!A"&amp;_xlfn.XMATCH("P",Statut_biogéographique!A:A,2,1),"P")</f>
        <v>P</v>
      </c>
      <c r="AP15007" s="4" t="s">
        <v>376</v>
      </c>
      <c r="AR15007" s="4" t="s">
        <v>377</v>
      </c>
    </row>
    <row r="15008" spans="1:44">
      <c r="A15008" s="4" t="s">
        <v>10753</v>
      </c>
      <c r="B15008" s="4">
        <v>248042</v>
      </c>
      <c r="D15008" s="5" t="s">
        <v>17716</v>
      </c>
      <c r="E15008" s="6" t="str">
        <f>HYPERLINK("https://inpn.mnhn.fr/espece/cd_nom/248042","Salebriopsis albicilla (Herrich-Schäffer, 1849)")</f>
        <v>Salebriopsis albicilla (Herrich-Schäffer, 1849)</v>
      </c>
      <c r="F15008" s="5" t="s">
        <v>17717</v>
      </c>
      <c r="AH15008" s="4" t="str">
        <f>HYPERLINK("#Statut_biogéographique!A"&amp;_xlfn.XMATCH("P",Statut_biogéographique!A:A,2,1),"P")</f>
        <v>P</v>
      </c>
      <c r="AP15008" s="4" t="s">
        <v>376</v>
      </c>
      <c r="AR15008" s="4" t="s">
        <v>377</v>
      </c>
    </row>
    <row r="15009" spans="1:44">
      <c r="A15009" s="4" t="s">
        <v>10753</v>
      </c>
      <c r="B15009" s="4">
        <v>248060</v>
      </c>
      <c r="D15009" s="5" t="s">
        <v>17718</v>
      </c>
      <c r="E15009" s="6" t="str">
        <f>HYPERLINK("https://inpn.mnhn.fr/espece/cd_nom/248060","Hypsopygia costalis (Fabricius, 1775)")</f>
        <v>Hypsopygia costalis (Fabricius, 1775)</v>
      </c>
      <c r="F15009" s="5" t="s">
        <v>17719</v>
      </c>
      <c r="AH15009" s="4" t="str">
        <f>HYPERLINK("#Statut_biogéographique!A"&amp;_xlfn.XMATCH("P",Statut_biogéographique!A:A,2,1),"P")</f>
        <v>P</v>
      </c>
      <c r="AP15009" s="4" t="s">
        <v>376</v>
      </c>
      <c r="AR15009" s="4" t="s">
        <v>377</v>
      </c>
    </row>
    <row r="15010" spans="1:44">
      <c r="A15010" s="4" t="s">
        <v>10753</v>
      </c>
      <c r="B15010" s="4">
        <v>248067</v>
      </c>
      <c r="D15010" s="5" t="s">
        <v>17720</v>
      </c>
      <c r="E15010" s="6" t="str">
        <f>HYPERLINK("https://inpn.mnhn.fr/espece/cd_nom/248067","Aglossa caprealis (Hübner, 1809)")</f>
        <v>Aglossa caprealis (Hübner, 1809)</v>
      </c>
      <c r="F15010" s="5" t="s">
        <v>17721</v>
      </c>
      <c r="AH15010" s="4" t="str">
        <f>HYPERLINK("#Statut_biogéographique!A"&amp;_xlfn.XMATCH("P",Statut_biogéographique!A:A,2,1),"P")</f>
        <v>P</v>
      </c>
      <c r="AP15010" s="4" t="s">
        <v>376</v>
      </c>
      <c r="AR15010" s="4" t="s">
        <v>377</v>
      </c>
    </row>
    <row r="15011" spans="1:44" ht="30">
      <c r="A15011" s="4" t="s">
        <v>10753</v>
      </c>
      <c r="B15011" s="4">
        <v>248068</v>
      </c>
      <c r="D15011" s="5" t="s">
        <v>17722</v>
      </c>
      <c r="E15011" s="6" t="str">
        <f>HYPERLINK("https://inpn.mnhn.fr/espece/cd_nom/248068","Aglossa pinguinalis (Linnaeus, 1758)")</f>
        <v>Aglossa pinguinalis (Linnaeus, 1758)</v>
      </c>
      <c r="F15011" s="5" t="s">
        <v>17723</v>
      </c>
      <c r="AH15011" s="4" t="str">
        <f>HYPERLINK("#Statut_biogéographique!A"&amp;_xlfn.XMATCH("P",Statut_biogéographique!A:A,2,1),"P")</f>
        <v>P</v>
      </c>
      <c r="AP15011" s="4" t="s">
        <v>376</v>
      </c>
      <c r="AR15011" s="4" t="s">
        <v>377</v>
      </c>
    </row>
    <row r="15012" spans="1:44">
      <c r="A15012" s="4" t="s">
        <v>10753</v>
      </c>
      <c r="B15012" s="4">
        <v>248073</v>
      </c>
      <c r="D15012" s="5" t="s">
        <v>17724</v>
      </c>
      <c r="E15012" s="6" t="str">
        <f>HYPERLINK("https://inpn.mnhn.fr/espece/cd_nom/248073","Pyralis farinalis (Linnaeus, 1758)")</f>
        <v>Pyralis farinalis (Linnaeus, 1758)</v>
      </c>
      <c r="F15012" s="5" t="s">
        <v>17725</v>
      </c>
      <c r="AH15012" s="4" t="str">
        <f>HYPERLINK("#Statut_biogéographique!A"&amp;_xlfn.XMATCH("P",Statut_biogéographique!A:A,2,1),"P")</f>
        <v>P</v>
      </c>
      <c r="AP15012" s="4" t="s">
        <v>376</v>
      </c>
      <c r="AR15012" s="4" t="s">
        <v>377</v>
      </c>
    </row>
    <row r="15013" spans="1:44">
      <c r="A15013" s="4" t="s">
        <v>10753</v>
      </c>
      <c r="B15013" s="4">
        <v>248078</v>
      </c>
      <c r="D15013" s="5" t="s">
        <v>17726</v>
      </c>
      <c r="E15013" s="6" t="str">
        <f>HYPERLINK("https://inpn.mnhn.fr/espece/cd_nom/248078","Synaphe punctalis (Fabricius, 1775)")</f>
        <v>Synaphe punctalis (Fabricius, 1775)</v>
      </c>
      <c r="F15013" s="5" t="s">
        <v>17727</v>
      </c>
      <c r="AH15013" s="4" t="str">
        <f>HYPERLINK("#Statut_biogéographique!A"&amp;_xlfn.XMATCH("P",Statut_biogéographique!A:A,2,1),"P")</f>
        <v>P</v>
      </c>
      <c r="AP15013" s="4" t="s">
        <v>376</v>
      </c>
      <c r="AR15013" s="4" t="s">
        <v>377</v>
      </c>
    </row>
    <row r="15014" spans="1:44" ht="30">
      <c r="A15014" s="4" t="s">
        <v>10753</v>
      </c>
      <c r="B15014" s="4">
        <v>248079</v>
      </c>
      <c r="D15014" s="5" t="s">
        <v>17728</v>
      </c>
      <c r="E15014" s="6" t="str">
        <f>HYPERLINK("https://inpn.mnhn.fr/espece/cd_nom/248079","Endotricha flammealis (Denis &amp; Schiffermüller, 1775)")</f>
        <v>Endotricha flammealis (Denis &amp; Schiffermüller, 1775)</v>
      </c>
      <c r="F15014" s="5" t="s">
        <v>17729</v>
      </c>
      <c r="AH15014" s="4" t="str">
        <f>HYPERLINK("#Statut_biogéographique!A"&amp;_xlfn.XMATCH("P",Statut_biogéographique!A:A,2,1),"P")</f>
        <v>P</v>
      </c>
      <c r="AP15014" s="4" t="s">
        <v>376</v>
      </c>
      <c r="AR15014" s="4" t="s">
        <v>377</v>
      </c>
    </row>
    <row r="15015" spans="1:44" ht="30">
      <c r="A15015" s="4" t="s">
        <v>10753</v>
      </c>
      <c r="B15015" s="4">
        <v>248083</v>
      </c>
      <c r="D15015" s="5" t="s">
        <v>17730</v>
      </c>
      <c r="E15015" s="6" t="str">
        <f>HYPERLINK("https://inpn.mnhn.fr/espece/cd_nom/248083","Aphomia sociella (Linnaeus, 1758)")</f>
        <v>Aphomia sociella (Linnaeus, 1758)</v>
      </c>
      <c r="F15015" s="5" t="s">
        <v>17731</v>
      </c>
      <c r="AH15015" s="4" t="str">
        <f>HYPERLINK("#Statut_biogéographique!A"&amp;_xlfn.XMATCH("P",Statut_biogéographique!A:A,2,1),"P")</f>
        <v>P</v>
      </c>
      <c r="AP15015" s="4" t="s">
        <v>376</v>
      </c>
      <c r="AR15015" s="4" t="s">
        <v>377</v>
      </c>
    </row>
    <row r="15016" spans="1:44">
      <c r="A15016" s="4" t="s">
        <v>10753</v>
      </c>
      <c r="B15016" s="4">
        <v>248086</v>
      </c>
      <c r="D15016" s="5" t="s">
        <v>17732</v>
      </c>
      <c r="E15016" s="6" t="str">
        <f>HYPERLINK("https://inpn.mnhn.fr/espece/cd_nom/248086","Galleria mellonella (Linnaeus, 1758)")</f>
        <v>Galleria mellonella (Linnaeus, 1758)</v>
      </c>
      <c r="F15016" s="5" t="s">
        <v>17733</v>
      </c>
      <c r="AH15016" s="4" t="str">
        <f>HYPERLINK("#Statut_biogéographique!A"&amp;_xlfn.XMATCH("P",Statut_biogéographique!A:A,2,1),"P")</f>
        <v>P</v>
      </c>
      <c r="AP15016" s="4" t="s">
        <v>376</v>
      </c>
      <c r="AR15016" s="4" t="s">
        <v>377</v>
      </c>
    </row>
    <row r="15017" spans="1:44">
      <c r="A15017" s="4" t="s">
        <v>10753</v>
      </c>
      <c r="B15017" s="4">
        <v>248087</v>
      </c>
      <c r="D15017" s="5" t="s">
        <v>17734</v>
      </c>
      <c r="E15017" s="6" t="str">
        <f>HYPERLINK("https://inpn.mnhn.fr/espece/cd_nom/248087","Achroia grisella (Fabricius, 1794)")</f>
        <v>Achroia grisella (Fabricius, 1794)</v>
      </c>
      <c r="F15017" s="5" t="s">
        <v>17735</v>
      </c>
      <c r="AH15017" s="4" t="str">
        <f>HYPERLINK("#Statut_biogéographique!A"&amp;_xlfn.XMATCH("P",Statut_biogéographique!A:A,2,1),"P")</f>
        <v>P</v>
      </c>
      <c r="AP15017" s="4" t="s">
        <v>376</v>
      </c>
      <c r="AR15017" s="4" t="s">
        <v>377</v>
      </c>
    </row>
    <row r="15018" spans="1:44" ht="30">
      <c r="A15018" s="4" t="s">
        <v>10753</v>
      </c>
      <c r="B15018" s="4">
        <v>248088</v>
      </c>
      <c r="D15018" s="5" t="s">
        <v>17736</v>
      </c>
      <c r="E15018" s="6" t="str">
        <f>HYPERLINK("https://inpn.mnhn.fr/espece/cd_nom/248088","Nomophila noctuella (Denis &amp; Schiffermüller, 1775)")</f>
        <v>Nomophila noctuella (Denis &amp; Schiffermüller, 1775)</v>
      </c>
      <c r="F15018" s="5" t="s">
        <v>17737</v>
      </c>
      <c r="AH15018" s="4" t="str">
        <f>HYPERLINK("#Statut_biogéographique!A"&amp;_xlfn.XMATCH("P",Statut_biogéographique!A:A,2,1),"P")</f>
        <v>P</v>
      </c>
      <c r="AP15018" s="4" t="s">
        <v>376</v>
      </c>
      <c r="AR15018" s="4" t="s">
        <v>377</v>
      </c>
    </row>
    <row r="15019" spans="1:44" ht="30">
      <c r="A15019" s="4" t="s">
        <v>10753</v>
      </c>
      <c r="B15019" s="4">
        <v>248100</v>
      </c>
      <c r="D15019" s="5" t="s">
        <v>17738</v>
      </c>
      <c r="E15019" s="6" t="str">
        <f>HYPERLINK("https://inpn.mnhn.fr/espece/cd_nom/248100","Dolicharthria punctalis (Denis &amp; Schiffermüller, 1775)")</f>
        <v>Dolicharthria punctalis (Denis &amp; Schiffermüller, 1775)</v>
      </c>
      <c r="F15019" s="5" t="s">
        <v>17739</v>
      </c>
      <c r="AH15019" s="4" t="str">
        <f>HYPERLINK("#Statut_biogéographique!A"&amp;_xlfn.XMATCH("P",Statut_biogéographique!A:A,2,1),"P")</f>
        <v>P</v>
      </c>
      <c r="AP15019" s="4" t="s">
        <v>376</v>
      </c>
      <c r="AR15019" s="4" t="s">
        <v>377</v>
      </c>
    </row>
    <row r="15020" spans="1:44" ht="30">
      <c r="A15020" s="4" t="s">
        <v>10753</v>
      </c>
      <c r="B15020" s="4">
        <v>248104</v>
      </c>
      <c r="D15020" s="5" t="s">
        <v>17740</v>
      </c>
      <c r="E15020" s="6" t="str">
        <f>HYPERLINK("https://inpn.mnhn.fr/espece/cd_nom/248104","Palpita vitrealis (Rossi, 1794)")</f>
        <v>Palpita vitrealis (Rossi, 1794)</v>
      </c>
      <c r="F15020" s="5" t="s">
        <v>17741</v>
      </c>
      <c r="AH15020" s="4" t="str">
        <f>HYPERLINK("#Statut_biogéographique!A"&amp;_xlfn.XMATCH("P",Statut_biogéographique!A:A,2,1),"P")</f>
        <v>P</v>
      </c>
      <c r="AP15020" s="4" t="s">
        <v>376</v>
      </c>
      <c r="AR15020" s="4" t="s">
        <v>377</v>
      </c>
    </row>
    <row r="15021" spans="1:44" ht="30">
      <c r="A15021" s="4" t="s">
        <v>10753</v>
      </c>
      <c r="B15021" s="4">
        <v>248105</v>
      </c>
      <c r="D15021" s="5" t="s">
        <v>17742</v>
      </c>
      <c r="E15021" s="6" t="str">
        <f>HYPERLINK("https://inpn.mnhn.fr/espece/cd_nom/248105","Spoladea recurvalis (Fabricius, 1775)")</f>
        <v>Spoladea recurvalis (Fabricius, 1775)</v>
      </c>
      <c r="AH15021" s="4" t="str">
        <f>HYPERLINK("#Statut_biogéographique!A"&amp;_xlfn.XMATCH("P",Statut_biogéographique!A:A,2,1),"P")</f>
        <v>P</v>
      </c>
      <c r="AP15021" s="4" t="s">
        <v>376</v>
      </c>
      <c r="AR15021" s="4" t="s">
        <v>377</v>
      </c>
    </row>
    <row r="15022" spans="1:44" ht="30">
      <c r="A15022" s="4" t="s">
        <v>10753</v>
      </c>
      <c r="B15022" s="4">
        <v>248108</v>
      </c>
      <c r="D15022" s="5" t="s">
        <v>17743</v>
      </c>
      <c r="E15022" s="6" t="str">
        <f>HYPERLINK("https://inpn.mnhn.fr/espece/cd_nom/248108","Diasemia reticularis (Linnaeus, 1761)")</f>
        <v>Diasemia reticularis (Linnaeus, 1761)</v>
      </c>
      <c r="F15022" s="5" t="s">
        <v>17744</v>
      </c>
      <c r="AH15022" s="4" t="str">
        <f>HYPERLINK("#Statut_biogéographique!A"&amp;_xlfn.XMATCH("P",Statut_biogéographique!A:A,2,1),"P")</f>
        <v>P</v>
      </c>
      <c r="AP15022" s="4" t="s">
        <v>376</v>
      </c>
      <c r="AR15022" s="4" t="s">
        <v>377</v>
      </c>
    </row>
    <row r="15023" spans="1:44">
      <c r="A15023" s="4" t="s">
        <v>10753</v>
      </c>
      <c r="B15023" s="4">
        <v>248109</v>
      </c>
      <c r="D15023" s="5" t="s">
        <v>17745</v>
      </c>
      <c r="E15023" s="6" t="str">
        <f>HYPERLINK("https://inpn.mnhn.fr/espece/cd_nom/248109","Agrotera nemoralis (Scopoli, 1763)")</f>
        <v>Agrotera nemoralis (Scopoli, 1763)</v>
      </c>
      <c r="F15023" s="5" t="s">
        <v>17746</v>
      </c>
      <c r="AH15023" s="4" t="str">
        <f>HYPERLINK("#Statut_biogéographique!A"&amp;_xlfn.XMATCH("P",Statut_biogéographique!A:A,2,1),"P")</f>
        <v>P</v>
      </c>
      <c r="AP15023" s="4" t="s">
        <v>376</v>
      </c>
      <c r="AR15023" s="4" t="s">
        <v>377</v>
      </c>
    </row>
    <row r="15024" spans="1:44">
      <c r="A15024" s="4" t="s">
        <v>10753</v>
      </c>
      <c r="B15024" s="4">
        <v>24811</v>
      </c>
      <c r="D15024" s="5" t="s">
        <v>17747</v>
      </c>
      <c r="E15024" s="6" t="str">
        <f>HYPERLINK("https://inpn.mnhn.fr/espece/cd_nom/24811","Tephritis bardanae (Schrank, 1803)")</f>
        <v>Tephritis bardanae (Schrank, 1803)</v>
      </c>
      <c r="AH15024" s="4" t="str">
        <f>HYPERLINK("#Statut_biogéographique!A"&amp;_xlfn.XMATCH("P",Statut_biogéographique!A:A,2,1),"P")</f>
        <v>P</v>
      </c>
      <c r="AP15024" s="4" t="s">
        <v>376</v>
      </c>
      <c r="AR15024" s="4" t="s">
        <v>377</v>
      </c>
    </row>
    <row r="15025" spans="1:44" ht="30">
      <c r="A15025" s="4" t="s">
        <v>10753</v>
      </c>
      <c r="B15025" s="4">
        <v>248112</v>
      </c>
      <c r="D15025" s="5" t="s">
        <v>17748</v>
      </c>
      <c r="E15025" s="6" t="str">
        <f>HYPERLINK("https://inpn.mnhn.fr/espece/cd_nom/248112","Mecyna flavalis (Denis &amp; Schiffermüller, 1775)")</f>
        <v>Mecyna flavalis (Denis &amp; Schiffermüller, 1775)</v>
      </c>
      <c r="F15025" s="5" t="s">
        <v>17749</v>
      </c>
      <c r="AH15025" s="4" t="str">
        <f>HYPERLINK("#Statut_biogéographique!A"&amp;_xlfn.XMATCH("P",Statut_biogéographique!A:A,2,1),"P")</f>
        <v>P</v>
      </c>
      <c r="AP15025" s="4" t="s">
        <v>376</v>
      </c>
      <c r="AR15025" s="4" t="s">
        <v>377</v>
      </c>
    </row>
    <row r="15026" spans="1:44">
      <c r="A15026" s="4" t="s">
        <v>10753</v>
      </c>
      <c r="B15026" s="4">
        <v>248114</v>
      </c>
      <c r="D15026" s="5" t="s">
        <v>17750</v>
      </c>
      <c r="E15026" s="6" t="str">
        <f>HYPERLINK("https://inpn.mnhn.fr/espece/cd_nom/248114","Mecyna trinalis (Denis &amp; Schiffermüller, 1775)")</f>
        <v>Mecyna trinalis (Denis &amp; Schiffermüller, 1775)</v>
      </c>
      <c r="F15026" s="5" t="s">
        <v>17751</v>
      </c>
      <c r="AH15026" s="4" t="str">
        <f>HYPERLINK("#Statut_biogéographique!A"&amp;_xlfn.XMATCH("P",Statut_biogéographique!A:A,2,1),"P")</f>
        <v>P</v>
      </c>
      <c r="AP15026" s="4" t="s">
        <v>376</v>
      </c>
      <c r="AR15026" s="4" t="s">
        <v>377</v>
      </c>
    </row>
    <row r="15027" spans="1:44">
      <c r="A15027" s="4" t="s">
        <v>10753</v>
      </c>
      <c r="B15027" s="4">
        <v>248116</v>
      </c>
      <c r="D15027" s="5" t="s">
        <v>17752</v>
      </c>
      <c r="E15027" s="6" t="str">
        <f>HYPERLINK("https://inpn.mnhn.fr/espece/cd_nom/248116","Mecyna asinalis (Hübner, 1819)")</f>
        <v>Mecyna asinalis (Hübner, 1819)</v>
      </c>
      <c r="F15027" s="5" t="s">
        <v>17753</v>
      </c>
      <c r="AH15027" s="4" t="str">
        <f>HYPERLINK("#Statut_biogéographique!A"&amp;_xlfn.XMATCH("P",Statut_biogéographique!A:A,2,1),"P")</f>
        <v>P</v>
      </c>
      <c r="AP15027" s="4" t="s">
        <v>376</v>
      </c>
      <c r="AR15027" s="4" t="s">
        <v>377</v>
      </c>
    </row>
    <row r="15028" spans="1:44">
      <c r="A15028" s="4" t="s">
        <v>10753</v>
      </c>
      <c r="B15028" s="4">
        <v>248120</v>
      </c>
      <c r="D15028" s="5" t="s">
        <v>17754</v>
      </c>
      <c r="E15028" s="6" t="str">
        <f>HYPERLINK("https://inpn.mnhn.fr/espece/cd_nom/248120","Paratalanta pandalis (Hübner, 1825)")</f>
        <v>Paratalanta pandalis (Hübner, 1825)</v>
      </c>
      <c r="F15028" s="5" t="s">
        <v>17755</v>
      </c>
      <c r="AH15028" s="4" t="str">
        <f>HYPERLINK("#Statut_biogéographique!A"&amp;_xlfn.XMATCH("P",Statut_biogéographique!A:A,2,1),"P")</f>
        <v>P</v>
      </c>
      <c r="AP15028" s="4" t="s">
        <v>376</v>
      </c>
      <c r="AR15028" s="4" t="s">
        <v>377</v>
      </c>
    </row>
    <row r="15029" spans="1:44">
      <c r="A15029" s="4" t="s">
        <v>10753</v>
      </c>
      <c r="B15029" s="4">
        <v>248121</v>
      </c>
      <c r="D15029" s="5" t="s">
        <v>17756</v>
      </c>
      <c r="E15029" s="6" t="str">
        <f>HYPERLINK("https://inpn.mnhn.fr/espece/cd_nom/248121","Paratalanta hyalinalis (Hübner, 1796)")</f>
        <v>Paratalanta hyalinalis (Hübner, 1796)</v>
      </c>
      <c r="F15029" s="5" t="s">
        <v>17757</v>
      </c>
      <c r="AH15029" s="4" t="str">
        <f>HYPERLINK("#Statut_biogéographique!A"&amp;_xlfn.XMATCH("P",Statut_biogéographique!A:A,2,1),"P")</f>
        <v>P</v>
      </c>
      <c r="AP15029" s="4" t="s">
        <v>376</v>
      </c>
      <c r="AR15029" s="4" t="s">
        <v>377</v>
      </c>
    </row>
    <row r="15030" spans="1:44" ht="30">
      <c r="A15030" s="4" t="s">
        <v>10753</v>
      </c>
      <c r="B15030" s="4">
        <v>248123</v>
      </c>
      <c r="D15030" s="5" t="s">
        <v>17758</v>
      </c>
      <c r="E15030" s="6" t="str">
        <f>HYPERLINK("https://inpn.mnhn.fr/espece/cd_nom/248123","Anania verbascalis (Denis &amp; Schiffermüller, 1775)")</f>
        <v>Anania verbascalis (Denis &amp; Schiffermüller, 1775)</v>
      </c>
      <c r="F15030" s="5" t="s">
        <v>17759</v>
      </c>
      <c r="AH15030" s="4" t="str">
        <f>HYPERLINK("#Statut_biogéographique!A"&amp;_xlfn.XMATCH("P",Statut_biogéographique!A:A,2,1),"P")</f>
        <v>P</v>
      </c>
      <c r="AP15030" s="4" t="s">
        <v>376</v>
      </c>
      <c r="AR15030" s="4" t="s">
        <v>377</v>
      </c>
    </row>
    <row r="15031" spans="1:44">
      <c r="A15031" s="4" t="s">
        <v>10753</v>
      </c>
      <c r="B15031" s="4">
        <v>248124</v>
      </c>
      <c r="D15031" s="5" t="s">
        <v>17760</v>
      </c>
      <c r="E15031" s="6" t="str">
        <f>HYPERLINK("https://inpn.mnhn.fr/espece/cd_nom/248124","Anania funebris (Strøm, 1768)")</f>
        <v>Anania funebris (Strøm, 1768)</v>
      </c>
      <c r="F15031" s="5" t="s">
        <v>17761</v>
      </c>
      <c r="AH15031" s="4" t="str">
        <f>HYPERLINK("#Statut_biogéographique!A"&amp;_xlfn.XMATCH("P",Statut_biogéographique!A:A,2,1),"P")</f>
        <v>P</v>
      </c>
      <c r="AP15031" s="4" t="s">
        <v>376</v>
      </c>
      <c r="AR15031" s="4" t="s">
        <v>377</v>
      </c>
    </row>
    <row r="15032" spans="1:44">
      <c r="A15032" s="4" t="s">
        <v>10753</v>
      </c>
      <c r="B15032" s="4">
        <v>248127</v>
      </c>
      <c r="D15032" s="5" t="s">
        <v>17762</v>
      </c>
      <c r="E15032" s="6" t="str">
        <f>HYPERLINK("https://inpn.mnhn.fr/espece/cd_nom/248127","Ostrinia nubilalis (Hübner, 1796)")</f>
        <v>Ostrinia nubilalis (Hübner, 1796)</v>
      </c>
      <c r="F15032" s="5" t="s">
        <v>17763</v>
      </c>
      <c r="AH15032" s="4" t="str">
        <f>HYPERLINK("#Statut_biogéographique!A"&amp;_xlfn.XMATCH("P",Statut_biogéographique!A:A,2,1),"P")</f>
        <v>P</v>
      </c>
      <c r="AP15032" s="4" t="s">
        <v>376</v>
      </c>
      <c r="AR15032" s="4" t="s">
        <v>377</v>
      </c>
    </row>
    <row r="15033" spans="1:44">
      <c r="A15033" s="4" t="s">
        <v>10753</v>
      </c>
      <c r="B15033" s="4">
        <v>248128</v>
      </c>
      <c r="D15033" s="5" t="s">
        <v>17764</v>
      </c>
      <c r="E15033" s="6" t="str">
        <f>HYPERLINK("https://inpn.mnhn.fr/espece/cd_nom/248128","Psammotis pulveralis (Hübner, 1796)")</f>
        <v>Psammotis pulveralis (Hübner, 1796)</v>
      </c>
      <c r="F15033" s="5" t="s">
        <v>17765</v>
      </c>
      <c r="AH15033" s="4" t="str">
        <f>HYPERLINK("#Statut_biogéographique!A"&amp;_xlfn.XMATCH("P",Statut_biogéographique!A:A,2,1),"P")</f>
        <v>P</v>
      </c>
      <c r="AP15033" s="4" t="s">
        <v>376</v>
      </c>
      <c r="AR15033" s="4" t="s">
        <v>377</v>
      </c>
    </row>
    <row r="15034" spans="1:44" ht="30">
      <c r="A15034" s="4" t="s">
        <v>10753</v>
      </c>
      <c r="B15034" s="4">
        <v>248137</v>
      </c>
      <c r="D15034" s="5" t="s">
        <v>17766</v>
      </c>
      <c r="E15034" s="6" t="str">
        <f>HYPERLINK("https://inpn.mnhn.fr/espece/cd_nom/248137","Sitochroa palealis (Denis &amp; Schiffermüller, 1775)")</f>
        <v>Sitochroa palealis (Denis &amp; Schiffermüller, 1775)</v>
      </c>
      <c r="F15034" s="5" t="s">
        <v>17767</v>
      </c>
      <c r="AH15034" s="4" t="str">
        <f>HYPERLINK("#Statut_biogéographique!A"&amp;_xlfn.XMATCH("P",Statut_biogéographique!A:A,2,1),"P")</f>
        <v>P</v>
      </c>
      <c r="AP15034" s="4" t="s">
        <v>376</v>
      </c>
      <c r="AR15034" s="4" t="s">
        <v>377</v>
      </c>
    </row>
    <row r="15035" spans="1:44">
      <c r="A15035" s="4" t="s">
        <v>10753</v>
      </c>
      <c r="B15035" s="4">
        <v>248138</v>
      </c>
      <c r="D15035" s="5" t="s">
        <v>17768</v>
      </c>
      <c r="E15035" s="6" t="str">
        <f>HYPERLINK("https://inpn.mnhn.fr/espece/cd_nom/248138","Sitochroa verticalis (Linnaeus, 1758)")</f>
        <v>Sitochroa verticalis (Linnaeus, 1758)</v>
      </c>
      <c r="F15035" s="5" t="s">
        <v>17769</v>
      </c>
      <c r="AH15035" s="4" t="str">
        <f>HYPERLINK("#Statut_biogéographique!A"&amp;_xlfn.XMATCH("P",Statut_biogéographique!A:A,2,1),"P")</f>
        <v>P</v>
      </c>
      <c r="AP15035" s="4" t="s">
        <v>376</v>
      </c>
      <c r="AR15035" s="4" t="s">
        <v>377</v>
      </c>
    </row>
    <row r="15036" spans="1:44">
      <c r="A15036" s="4" t="s">
        <v>10753</v>
      </c>
      <c r="B15036" s="4">
        <v>248139</v>
      </c>
      <c r="D15036" s="5" t="s">
        <v>17770</v>
      </c>
      <c r="E15036" s="6" t="str">
        <f>HYPERLINK("https://inpn.mnhn.fr/espece/cd_nom/248139","Nascia cilialis (Hübner, 1796)")</f>
        <v>Nascia cilialis (Hübner, 1796)</v>
      </c>
      <c r="F15036" s="5" t="s">
        <v>17771</v>
      </c>
      <c r="AH15036" s="4" t="str">
        <f>HYPERLINK("#Statut_biogéographique!A"&amp;_xlfn.XMATCH("P",Statut_biogéographique!A:A,2,1),"P")</f>
        <v>P</v>
      </c>
      <c r="AP15036" s="4" t="s">
        <v>376</v>
      </c>
      <c r="AR15036" s="4" t="s">
        <v>377</v>
      </c>
    </row>
    <row r="15037" spans="1:44" ht="30">
      <c r="A15037" s="4" t="s">
        <v>10753</v>
      </c>
      <c r="B15037" s="4">
        <v>248140</v>
      </c>
      <c r="D15037" s="5" t="s">
        <v>17772</v>
      </c>
      <c r="E15037" s="6" t="str">
        <f>HYPERLINK("https://inpn.mnhn.fr/espece/cd_nom/248140","Uresiphita gilvata (Fabricius, 1794)")</f>
        <v>Uresiphita gilvata (Fabricius, 1794)</v>
      </c>
      <c r="F15037" s="5" t="s">
        <v>17773</v>
      </c>
      <c r="AH15037" s="4" t="str">
        <f>HYPERLINK("#Statut_biogéographique!A"&amp;_xlfn.XMATCH("P",Statut_biogéographique!A:A,2,1),"P")</f>
        <v>P</v>
      </c>
      <c r="AP15037" s="4" t="s">
        <v>376</v>
      </c>
      <c r="AR15037" s="4" t="s">
        <v>377</v>
      </c>
    </row>
    <row r="15038" spans="1:44">
      <c r="A15038" s="4" t="s">
        <v>10753</v>
      </c>
      <c r="B15038" s="4">
        <v>248141</v>
      </c>
      <c r="D15038" s="5" t="s">
        <v>17774</v>
      </c>
      <c r="E15038" s="6" t="str">
        <f>HYPERLINK("https://inpn.mnhn.fr/espece/cd_nom/248141","Pyrausta cingulata (Linnaeus, 1758)")</f>
        <v>Pyrausta cingulata (Linnaeus, 1758)</v>
      </c>
      <c r="F15038" s="5" t="s">
        <v>17775</v>
      </c>
      <c r="AH15038" s="4" t="str">
        <f>HYPERLINK("#Statut_biogéographique!A"&amp;_xlfn.XMATCH("P",Statut_biogéographique!A:A,2,1),"P")</f>
        <v>P</v>
      </c>
      <c r="AP15038" s="4" t="s">
        <v>376</v>
      </c>
      <c r="AR15038" s="4" t="s">
        <v>377</v>
      </c>
    </row>
    <row r="15039" spans="1:44">
      <c r="A15039" s="4" t="s">
        <v>10753</v>
      </c>
      <c r="B15039" s="4">
        <v>248144</v>
      </c>
      <c r="D15039" s="5" t="s">
        <v>17776</v>
      </c>
      <c r="E15039" s="6" t="str">
        <f>HYPERLINK("https://inpn.mnhn.fr/espece/cd_nom/248144","Pyrausta sanguinalis (Linnaeus, 1767)")</f>
        <v>Pyrausta sanguinalis (Linnaeus, 1767)</v>
      </c>
      <c r="F15039" s="5" t="s">
        <v>17777</v>
      </c>
      <c r="AH15039" s="4" t="str">
        <f>HYPERLINK("#Statut_biogéographique!A"&amp;_xlfn.XMATCH("P",Statut_biogéographique!A:A,2,1),"P")</f>
        <v>P</v>
      </c>
      <c r="AP15039" s="4" t="s">
        <v>376</v>
      </c>
      <c r="AR15039" s="4" t="s">
        <v>377</v>
      </c>
    </row>
    <row r="15040" spans="1:44">
      <c r="A15040" s="4" t="s">
        <v>10753</v>
      </c>
      <c r="B15040" s="4">
        <v>248146</v>
      </c>
      <c r="D15040" s="5" t="s">
        <v>17778</v>
      </c>
      <c r="E15040" s="6" t="str">
        <f>HYPERLINK("https://inpn.mnhn.fr/espece/cd_nom/248146","Pyrausta despicata (Scopoli, 1763)")</f>
        <v>Pyrausta despicata (Scopoli, 1763)</v>
      </c>
      <c r="F15040" s="5" t="s">
        <v>17779</v>
      </c>
      <c r="AH15040" s="4" t="str">
        <f>HYPERLINK("#Statut_biogéographique!A"&amp;_xlfn.XMATCH("P",Statut_biogéographique!A:A,2,1),"P")</f>
        <v>P</v>
      </c>
      <c r="AP15040" s="4" t="s">
        <v>376</v>
      </c>
      <c r="AR15040" s="4" t="s">
        <v>377</v>
      </c>
    </row>
    <row r="15041" spans="1:44">
      <c r="A15041" s="4" t="s">
        <v>10753</v>
      </c>
      <c r="B15041" s="4">
        <v>248148</v>
      </c>
      <c r="D15041" s="5" t="s">
        <v>17780</v>
      </c>
      <c r="E15041" s="6" t="str">
        <f>HYPERLINK("https://inpn.mnhn.fr/espece/cd_nom/248148","Pyrausta aurata (Scopoli, 1763)")</f>
        <v>Pyrausta aurata (Scopoli, 1763)</v>
      </c>
      <c r="F15041" s="5" t="s">
        <v>17781</v>
      </c>
      <c r="AH15041" s="4" t="str">
        <f>HYPERLINK("#Statut_biogéographique!A"&amp;_xlfn.XMATCH("P",Statut_biogéographique!A:A,2,1),"P")</f>
        <v>P</v>
      </c>
      <c r="AP15041" s="4" t="s">
        <v>376</v>
      </c>
      <c r="AR15041" s="4" t="s">
        <v>377</v>
      </c>
    </row>
    <row r="15042" spans="1:44">
      <c r="A15042" s="4" t="s">
        <v>10753</v>
      </c>
      <c r="B15042" s="4">
        <v>248149</v>
      </c>
      <c r="D15042" s="5" t="s">
        <v>17782</v>
      </c>
      <c r="E15042" s="6" t="str">
        <f>HYPERLINK("https://inpn.mnhn.fr/espece/cd_nom/248149","Pyrausta purpuralis (Linnaeus, 1758)")</f>
        <v>Pyrausta purpuralis (Linnaeus, 1758)</v>
      </c>
      <c r="F15042" s="5" t="s">
        <v>17783</v>
      </c>
      <c r="AH15042" s="4" t="str">
        <f>HYPERLINK("#Statut_biogéographique!A"&amp;_xlfn.XMATCH("P",Statut_biogéographique!A:A,2,1),"P")</f>
        <v>P</v>
      </c>
      <c r="AP15042" s="4" t="s">
        <v>376</v>
      </c>
      <c r="AR15042" s="4" t="s">
        <v>377</v>
      </c>
    </row>
    <row r="15043" spans="1:44">
      <c r="A15043" s="4" t="s">
        <v>10753</v>
      </c>
      <c r="B15043" s="4">
        <v>248150</v>
      </c>
      <c r="D15043" s="5" t="s">
        <v>17784</v>
      </c>
      <c r="E15043" s="6" t="str">
        <f>HYPERLINK("https://inpn.mnhn.fr/espece/cd_nom/248150","Pyrausta ostrinalis (Hübner, 1796)")</f>
        <v>Pyrausta ostrinalis (Hübner, 1796)</v>
      </c>
      <c r="F15043" s="5" t="s">
        <v>17785</v>
      </c>
      <c r="AH15043" s="4" t="str">
        <f>HYPERLINK("#Statut_biogéographique!A"&amp;_xlfn.XMATCH("P",Statut_biogéographique!A:A,2,1),"P")</f>
        <v>P</v>
      </c>
      <c r="AP15043" s="4" t="s">
        <v>376</v>
      </c>
      <c r="AR15043" s="4" t="s">
        <v>377</v>
      </c>
    </row>
    <row r="15044" spans="1:44">
      <c r="A15044" s="4" t="s">
        <v>10753</v>
      </c>
      <c r="B15044" s="4">
        <v>248154</v>
      </c>
      <c r="D15044" s="5" t="s">
        <v>17786</v>
      </c>
      <c r="E15044" s="6" t="str">
        <f>HYPERLINK("https://inpn.mnhn.fr/espece/cd_nom/248154","Pyrausta nigrata (Scopoli, 1763)")</f>
        <v>Pyrausta nigrata (Scopoli, 1763)</v>
      </c>
      <c r="F15044" s="5" t="s">
        <v>17787</v>
      </c>
      <c r="AH15044" s="4" t="str">
        <f>HYPERLINK("#Statut_biogéographique!A"&amp;_xlfn.XMATCH("P",Statut_biogéographique!A:A,2,1),"P")</f>
        <v>P</v>
      </c>
      <c r="AP15044" s="4" t="s">
        <v>376</v>
      </c>
      <c r="AR15044" s="4" t="s">
        <v>377</v>
      </c>
    </row>
    <row r="15045" spans="1:44">
      <c r="A15045" s="4" t="s">
        <v>10753</v>
      </c>
      <c r="B15045" s="4">
        <v>248155</v>
      </c>
      <c r="D15045" s="5" t="s">
        <v>17788</v>
      </c>
      <c r="E15045" s="6" t="str">
        <f>HYPERLINK("https://inpn.mnhn.fr/espece/cd_nom/248155","Pyrausta coracinalis Leraut, 1982")</f>
        <v>Pyrausta coracinalis Leraut, 1982</v>
      </c>
      <c r="F15045" s="5" t="s">
        <v>17789</v>
      </c>
      <c r="AH15045" s="4" t="str">
        <f>HYPERLINK("#Statut_biogéographique!A"&amp;_xlfn.XMATCH("P",Statut_biogéographique!A:A,2,1),"P")</f>
        <v>P</v>
      </c>
      <c r="AP15045" s="4" t="s">
        <v>376</v>
      </c>
      <c r="AR15045" s="4" t="s">
        <v>377</v>
      </c>
    </row>
    <row r="15046" spans="1:44">
      <c r="A15046" s="4" t="s">
        <v>10753</v>
      </c>
      <c r="B15046" s="4">
        <v>248156</v>
      </c>
      <c r="D15046" s="5" t="s">
        <v>17790</v>
      </c>
      <c r="E15046" s="6" t="str">
        <f>HYPERLINK("https://inpn.mnhn.fr/espece/cd_nom/248156","Pyrausta aerealis (Hübner, 1793)")</f>
        <v>Pyrausta aerealis (Hübner, 1793)</v>
      </c>
      <c r="F15046" s="5" t="s">
        <v>17791</v>
      </c>
      <c r="AH15046" s="4" t="str">
        <f>HYPERLINK("#Statut_biogéographique!A"&amp;_xlfn.XMATCH("P",Statut_biogéographique!A:A,2,1),"P")</f>
        <v>P</v>
      </c>
      <c r="AP15046" s="4" t="s">
        <v>376</v>
      </c>
      <c r="AR15046" s="4" t="s">
        <v>377</v>
      </c>
    </row>
    <row r="15047" spans="1:44">
      <c r="A15047" s="4" t="s">
        <v>10753</v>
      </c>
      <c r="B15047" s="4">
        <v>24816</v>
      </c>
      <c r="D15047" s="5" t="s">
        <v>17792</v>
      </c>
      <c r="E15047" s="6" t="str">
        <f>HYPERLINK("https://inpn.mnhn.fr/espece/cd_nom/24816","Tephritis conura (Loew, 1844)")</f>
        <v>Tephritis conura (Loew, 1844)</v>
      </c>
      <c r="AH15047" s="4" t="str">
        <f>HYPERLINK("#Statut_biogéographique!A"&amp;_xlfn.XMATCH("P",Statut_biogéographique!A:A,2,1),"P")</f>
        <v>P</v>
      </c>
      <c r="AP15047" s="4" t="s">
        <v>376</v>
      </c>
      <c r="AR15047" s="4" t="s">
        <v>377</v>
      </c>
    </row>
    <row r="15048" spans="1:44">
      <c r="A15048" s="4" t="s">
        <v>10753</v>
      </c>
      <c r="B15048" s="4">
        <v>24817</v>
      </c>
      <c r="D15048" s="5" t="s">
        <v>17793</v>
      </c>
      <c r="E15048" s="6" t="str">
        <f>HYPERLINK("https://inpn.mnhn.fr/espece/cd_nom/24817","Tephritis formosa (Loew, 1844)")</f>
        <v>Tephritis formosa (Loew, 1844)</v>
      </c>
      <c r="AH15048" s="4" t="str">
        <f>HYPERLINK("#Statut_biogéographique!A"&amp;_xlfn.XMATCH("P",Statut_biogéographique!A:A,2,1),"P")</f>
        <v>P</v>
      </c>
      <c r="AP15048" s="4" t="s">
        <v>376</v>
      </c>
      <c r="AR15048" s="4" t="s">
        <v>377</v>
      </c>
    </row>
    <row r="15049" spans="1:44" ht="30">
      <c r="A15049" s="4" t="s">
        <v>10753</v>
      </c>
      <c r="B15049" s="4">
        <v>248171</v>
      </c>
      <c r="D15049" s="5" t="s">
        <v>17794</v>
      </c>
      <c r="E15049" s="6" t="str">
        <f>HYPERLINK("https://inpn.mnhn.fr/espece/cd_nom/248171","Paracorsia repandalis (Denis &amp; Schiffermüller, 1775)")</f>
        <v>Paracorsia repandalis (Denis &amp; Schiffermüller, 1775)</v>
      </c>
      <c r="F15049" s="5" t="s">
        <v>17795</v>
      </c>
      <c r="AH15049" s="4" t="str">
        <f>HYPERLINK("#Statut_biogéographique!A"&amp;_xlfn.XMATCH("P",Statut_biogéographique!A:A,2,1),"P")</f>
        <v>P</v>
      </c>
      <c r="AP15049" s="4" t="s">
        <v>376</v>
      </c>
      <c r="AR15049" s="4" t="s">
        <v>377</v>
      </c>
    </row>
    <row r="15050" spans="1:44" ht="30">
      <c r="A15050" s="4" t="s">
        <v>10753</v>
      </c>
      <c r="B15050" s="4">
        <v>248172</v>
      </c>
      <c r="D15050" s="5" t="s">
        <v>17796</v>
      </c>
      <c r="E15050" s="6" t="str">
        <f>HYPERLINK("https://inpn.mnhn.fr/espece/cd_nom/248172","Udea ferrugalis (Hübner, 1796)")</f>
        <v>Udea ferrugalis (Hübner, 1796)</v>
      </c>
      <c r="F15050" s="5" t="s">
        <v>17797</v>
      </c>
      <c r="AH15050" s="4" t="str">
        <f>HYPERLINK("#Statut_biogéographique!A"&amp;_xlfn.XMATCH("P",Statut_biogéographique!A:A,2,1),"P")</f>
        <v>P</v>
      </c>
      <c r="AP15050" s="4" t="s">
        <v>376</v>
      </c>
      <c r="AR15050" s="4" t="s">
        <v>377</v>
      </c>
    </row>
    <row r="15051" spans="1:44">
      <c r="A15051" s="4" t="s">
        <v>10753</v>
      </c>
      <c r="B15051" s="4">
        <v>248173</v>
      </c>
      <c r="D15051" s="5" t="s">
        <v>17798</v>
      </c>
      <c r="E15051" s="6" t="str">
        <f>HYPERLINK("https://inpn.mnhn.fr/espece/cd_nom/248173","Udea fulvalis (Hübner, 1809)")</f>
        <v>Udea fulvalis (Hübner, 1809)</v>
      </c>
      <c r="F15051" s="5" t="s">
        <v>17799</v>
      </c>
      <c r="AH15051" s="4" t="str">
        <f>HYPERLINK("#Statut_biogéographique!A"&amp;_xlfn.XMATCH("P",Statut_biogéographique!A:A,2,1),"P")</f>
        <v>P</v>
      </c>
      <c r="AP15051" s="4" t="s">
        <v>376</v>
      </c>
      <c r="AR15051" s="4" t="s">
        <v>377</v>
      </c>
    </row>
    <row r="15052" spans="1:44">
      <c r="A15052" s="4" t="s">
        <v>10753</v>
      </c>
      <c r="B15052" s="4">
        <v>248177</v>
      </c>
      <c r="D15052" s="5" t="s">
        <v>17800</v>
      </c>
      <c r="E15052" s="6" t="str">
        <f>HYPERLINK("https://inpn.mnhn.fr/espece/cd_nom/248177","Udea lutealis (Hübner, 1809)")</f>
        <v>Udea lutealis (Hübner, 1809)</v>
      </c>
      <c r="F15052" s="5" t="s">
        <v>17801</v>
      </c>
      <c r="AH15052" s="4" t="str">
        <f>HYPERLINK("#Statut_biogéographique!A"&amp;_xlfn.XMATCH("P",Statut_biogéographique!A:A,2,1),"P")</f>
        <v>P</v>
      </c>
      <c r="AP15052" s="4" t="s">
        <v>376</v>
      </c>
      <c r="AR15052" s="4" t="s">
        <v>377</v>
      </c>
    </row>
    <row r="15053" spans="1:44">
      <c r="A15053" s="4" t="s">
        <v>10753</v>
      </c>
      <c r="B15053" s="4">
        <v>248178</v>
      </c>
      <c r="D15053" s="5" t="s">
        <v>17802</v>
      </c>
      <c r="E15053" s="6" t="str">
        <f>HYPERLINK("https://inpn.mnhn.fr/espece/cd_nom/248178","Udea elutalis (Denis &amp; Schiffermüller, 1775)")</f>
        <v>Udea elutalis (Denis &amp; Schiffermüller, 1775)</v>
      </c>
      <c r="F15053" s="5" t="s">
        <v>17803</v>
      </c>
      <c r="AH15053" s="4" t="str">
        <f>HYPERLINK("#Statut_biogéographique!A"&amp;_xlfn.XMATCH("P",Statut_biogéographique!A:A,2,1),"P")</f>
        <v>P</v>
      </c>
      <c r="AP15053" s="4" t="s">
        <v>376</v>
      </c>
      <c r="AR15053" s="4" t="s">
        <v>377</v>
      </c>
    </row>
    <row r="15054" spans="1:44">
      <c r="A15054" s="4" t="s">
        <v>10753</v>
      </c>
      <c r="B15054" s="4">
        <v>248179</v>
      </c>
      <c r="D15054" s="5" t="s">
        <v>17804</v>
      </c>
      <c r="E15054" s="6" t="str">
        <f>HYPERLINK("https://inpn.mnhn.fr/espece/cd_nom/248179","Udea prunalis (Denis &amp; Schiffermüller, 1775)")</f>
        <v>Udea prunalis (Denis &amp; Schiffermüller, 1775)</v>
      </c>
      <c r="F15054" s="5" t="s">
        <v>17805</v>
      </c>
      <c r="AH15054" s="4" t="str">
        <f>HYPERLINK("#Statut_biogéographique!A"&amp;_xlfn.XMATCH("P",Statut_biogéographique!A:A,2,1),"P")</f>
        <v>P</v>
      </c>
      <c r="AP15054" s="4" t="s">
        <v>376</v>
      </c>
      <c r="AR15054" s="4" t="s">
        <v>377</v>
      </c>
    </row>
    <row r="15055" spans="1:44">
      <c r="A15055" s="4" t="s">
        <v>10753</v>
      </c>
      <c r="B15055" s="4">
        <v>24818</v>
      </c>
      <c r="D15055" s="5" t="s">
        <v>17806</v>
      </c>
      <c r="E15055" s="6" t="str">
        <f>HYPERLINK("https://inpn.mnhn.fr/espece/cd_nom/24818","Tephritis hyoscyami (Linnaeus, 1758)")</f>
        <v>Tephritis hyoscyami (Linnaeus, 1758)</v>
      </c>
      <c r="AH15055" s="4" t="str">
        <f>HYPERLINK("#Statut_biogéographique!A"&amp;_xlfn.XMATCH("P",Statut_biogéographique!A:A,2,1),"P")</f>
        <v>P</v>
      </c>
      <c r="AP15055" s="4" t="s">
        <v>376</v>
      </c>
      <c r="AR15055" s="4" t="s">
        <v>377</v>
      </c>
    </row>
    <row r="15056" spans="1:44">
      <c r="A15056" s="4" t="s">
        <v>10753</v>
      </c>
      <c r="B15056" s="4">
        <v>248181</v>
      </c>
      <c r="D15056" s="5" t="s">
        <v>17807</v>
      </c>
      <c r="E15056" s="6" t="str">
        <f>HYPERLINK("https://inpn.mnhn.fr/espece/cd_nom/248181","Udea cyanalis (de La Harpe, 1855)")</f>
        <v>Udea cyanalis (de La Harpe, 1855)</v>
      </c>
      <c r="F15056" s="5" t="s">
        <v>17808</v>
      </c>
      <c r="AH15056" s="4" t="str">
        <f>HYPERLINK("#Statut_biogéographique!A"&amp;_xlfn.XMATCH("P",Statut_biogéographique!A:A,2,1),"P")</f>
        <v>P</v>
      </c>
      <c r="AP15056" s="4" t="s">
        <v>376</v>
      </c>
      <c r="AR15056" s="4" t="s">
        <v>377</v>
      </c>
    </row>
    <row r="15057" spans="1:44">
      <c r="A15057" s="4" t="s">
        <v>10753</v>
      </c>
      <c r="B15057" s="4">
        <v>248190</v>
      </c>
      <c r="D15057" s="5" t="s">
        <v>17809</v>
      </c>
      <c r="E15057" s="6" t="str">
        <f>HYPERLINK("https://inpn.mnhn.fr/espece/cd_nom/248190","Udea nebulalis (Hübner, 1796)")</f>
        <v>Udea nebulalis (Hübner, 1796)</v>
      </c>
      <c r="F15057" s="5" t="s">
        <v>17810</v>
      </c>
      <c r="AH15057" s="4" t="str">
        <f>HYPERLINK("#Statut_biogéographique!A"&amp;_xlfn.XMATCH("P",Statut_biogéographique!A:A,2,1),"P")</f>
        <v>P</v>
      </c>
      <c r="AP15057" s="4" t="s">
        <v>376</v>
      </c>
      <c r="AR15057" s="4" t="s">
        <v>377</v>
      </c>
    </row>
    <row r="15058" spans="1:44">
      <c r="A15058" s="4" t="s">
        <v>10753</v>
      </c>
      <c r="B15058" s="4">
        <v>248192</v>
      </c>
      <c r="D15058" s="5" t="s">
        <v>17811</v>
      </c>
      <c r="E15058" s="6" t="str">
        <f>HYPERLINK("https://inpn.mnhn.fr/espece/cd_nom/248192","Udea decrepitalis (Herrich-Schäffer, 1848)")</f>
        <v>Udea decrepitalis (Herrich-Schäffer, 1848)</v>
      </c>
      <c r="F15058" s="5" t="s">
        <v>17812</v>
      </c>
      <c r="AH15058" s="4" t="str">
        <f>HYPERLINK("#Statut_biogéographique!A"&amp;_xlfn.XMATCH("P",Statut_biogéographique!A:A,2,1),"P")</f>
        <v>P</v>
      </c>
      <c r="AP15058" s="4" t="s">
        <v>376</v>
      </c>
      <c r="AR15058" s="4" t="s">
        <v>377</v>
      </c>
    </row>
    <row r="15059" spans="1:44">
      <c r="A15059" s="4" t="s">
        <v>10753</v>
      </c>
      <c r="B15059" s="4">
        <v>248193</v>
      </c>
      <c r="D15059" s="5" t="s">
        <v>17813</v>
      </c>
      <c r="E15059" s="6" t="str">
        <f>HYPERLINK("https://inpn.mnhn.fr/espece/cd_nom/248193","Udea olivalis (Denis &amp; Schiffermüller, 1775)")</f>
        <v>Udea olivalis (Denis &amp; Schiffermüller, 1775)</v>
      </c>
      <c r="F15059" s="5" t="s">
        <v>17814</v>
      </c>
      <c r="AH15059" s="4" t="str">
        <f>HYPERLINK("#Statut_biogéographique!A"&amp;_xlfn.XMATCH("P",Statut_biogéographique!A:A,2,1),"P")</f>
        <v>P</v>
      </c>
      <c r="AP15059" s="4" t="s">
        <v>376</v>
      </c>
      <c r="AR15059" s="4" t="s">
        <v>377</v>
      </c>
    </row>
    <row r="15060" spans="1:44">
      <c r="A15060" s="4" t="s">
        <v>10753</v>
      </c>
      <c r="B15060" s="4">
        <v>248197</v>
      </c>
      <c r="D15060" s="5" t="s">
        <v>17815</v>
      </c>
      <c r="E15060" s="6" t="str">
        <f>HYPERLINK("https://inpn.mnhn.fr/espece/cd_nom/248197","Hellula undalis (Fabricius, 1781)")</f>
        <v>Hellula undalis (Fabricius, 1781)</v>
      </c>
      <c r="F15060" s="5" t="s">
        <v>17816</v>
      </c>
      <c r="AH15060" s="4" t="str">
        <f>HYPERLINK("#Statut_biogéographique!A"&amp;_xlfn.XMATCH("P",Statut_biogéographique!A:A,2,1),"P")</f>
        <v>P</v>
      </c>
      <c r="AP15060" s="4" t="s">
        <v>376</v>
      </c>
      <c r="AR15060" s="4" t="s">
        <v>377</v>
      </c>
    </row>
    <row r="15061" spans="1:44">
      <c r="A15061" s="4" t="s">
        <v>10753</v>
      </c>
      <c r="B15061" s="4">
        <v>248209</v>
      </c>
      <c r="D15061" s="5" t="s">
        <v>17817</v>
      </c>
      <c r="E15061" s="6" t="str">
        <f>HYPERLINK("https://inpn.mnhn.fr/espece/cd_nom/248209","Evergestis forficalis (Linnaeus, 1758)")</f>
        <v>Evergestis forficalis (Linnaeus, 1758)</v>
      </c>
      <c r="F15061" s="5" t="s">
        <v>17818</v>
      </c>
      <c r="AH15061" s="4" t="str">
        <f>HYPERLINK("#Statut_biogéographique!A"&amp;_xlfn.XMATCH("P",Statut_biogéographique!A:A,2,1),"P")</f>
        <v>P</v>
      </c>
      <c r="AP15061" s="4" t="s">
        <v>376</v>
      </c>
      <c r="AR15061" s="4" t="s">
        <v>377</v>
      </c>
    </row>
    <row r="15062" spans="1:44">
      <c r="A15062" s="4" t="s">
        <v>10753</v>
      </c>
      <c r="B15062" s="4">
        <v>24821</v>
      </c>
      <c r="D15062" s="5" t="s">
        <v>17819</v>
      </c>
      <c r="E15062" s="6" t="str">
        <f>HYPERLINK("https://inpn.mnhn.fr/espece/cd_nom/24821","Tephritis leontodontis (De Geer, 1776)")</f>
        <v>Tephritis leontodontis (De Geer, 1776)</v>
      </c>
      <c r="AH15062" s="4" t="str">
        <f>HYPERLINK("#Statut_biogéographique!A"&amp;_xlfn.XMATCH("P",Statut_biogéographique!A:A,2,1),"P")</f>
        <v>P</v>
      </c>
      <c r="AP15062" s="4" t="s">
        <v>376</v>
      </c>
      <c r="AR15062" s="4" t="s">
        <v>377</v>
      </c>
    </row>
    <row r="15063" spans="1:44">
      <c r="A15063" s="4" t="s">
        <v>10753</v>
      </c>
      <c r="B15063" s="4">
        <v>248210</v>
      </c>
      <c r="D15063" s="5" t="s">
        <v>17820</v>
      </c>
      <c r="E15063" s="6" t="str">
        <f>HYPERLINK("https://inpn.mnhn.fr/espece/cd_nom/248210","Evergestis extimalis (Scopoli, 1763)")</f>
        <v>Evergestis extimalis (Scopoli, 1763)</v>
      </c>
      <c r="F15063" s="5" t="s">
        <v>17821</v>
      </c>
      <c r="AH15063" s="4" t="str">
        <f>HYPERLINK("#Statut_biogéographique!A"&amp;_xlfn.XMATCH("P",Statut_biogéographique!A:A,2,1),"P")</f>
        <v>P</v>
      </c>
      <c r="AP15063" s="4" t="s">
        <v>376</v>
      </c>
      <c r="AR15063" s="4" t="s">
        <v>377</v>
      </c>
    </row>
    <row r="15064" spans="1:44">
      <c r="A15064" s="4" t="s">
        <v>10753</v>
      </c>
      <c r="B15064" s="4">
        <v>248211</v>
      </c>
      <c r="D15064" s="5" t="s">
        <v>17822</v>
      </c>
      <c r="E15064" s="6" t="str">
        <f>HYPERLINK("https://inpn.mnhn.fr/espece/cd_nom/248211","Evergestis limbata (Linnaeus, 1767)")</f>
        <v>Evergestis limbata (Linnaeus, 1767)</v>
      </c>
      <c r="F15064" s="5" t="s">
        <v>17823</v>
      </c>
      <c r="AH15064" s="4" t="str">
        <f>HYPERLINK("#Statut_biogéographique!A"&amp;_xlfn.XMATCH("P",Statut_biogéographique!A:A,2,1),"P")</f>
        <v>P</v>
      </c>
      <c r="AP15064" s="4" t="s">
        <v>376</v>
      </c>
      <c r="AR15064" s="4" t="s">
        <v>377</v>
      </c>
    </row>
    <row r="15065" spans="1:44">
      <c r="A15065" s="4" t="s">
        <v>10753</v>
      </c>
      <c r="B15065" s="4">
        <v>248212</v>
      </c>
      <c r="D15065" s="5" t="s">
        <v>17824</v>
      </c>
      <c r="E15065" s="6" t="str">
        <f>HYPERLINK("https://inpn.mnhn.fr/espece/cd_nom/248212","Evergestis pallidata (Hufnagel, 1767)")</f>
        <v>Evergestis pallidata (Hufnagel, 1767)</v>
      </c>
      <c r="F15065" s="5" t="s">
        <v>17825</v>
      </c>
      <c r="AH15065" s="4" t="str">
        <f>HYPERLINK("#Statut_biogéographique!A"&amp;_xlfn.XMATCH("P",Statut_biogéographique!A:A,2,1),"P")</f>
        <v>P</v>
      </c>
      <c r="AP15065" s="4" t="s">
        <v>376</v>
      </c>
      <c r="AR15065" s="4" t="s">
        <v>377</v>
      </c>
    </row>
    <row r="15066" spans="1:44">
      <c r="A15066" s="4" t="s">
        <v>10753</v>
      </c>
      <c r="B15066" s="4">
        <v>24822</v>
      </c>
      <c r="D15066" s="5" t="s">
        <v>17826</v>
      </c>
      <c r="E15066" s="6" t="str">
        <f>HYPERLINK("https://inpn.mnhn.fr/espece/cd_nom/24822","Tephritis matricariae (Loew, 1844)")</f>
        <v>Tephritis matricariae (Loew, 1844)</v>
      </c>
      <c r="AH15066" s="4" t="str">
        <f>HYPERLINK("#Statut_biogéographique!A"&amp;_xlfn.XMATCH("P",Statut_biogéographique!A:A,2,1),"P")</f>
        <v>P</v>
      </c>
      <c r="AP15066" s="4" t="s">
        <v>376</v>
      </c>
      <c r="AR15066" s="4" t="s">
        <v>377</v>
      </c>
    </row>
    <row r="15067" spans="1:44">
      <c r="A15067" s="4" t="s">
        <v>10753</v>
      </c>
      <c r="B15067" s="4">
        <v>248221</v>
      </c>
      <c r="D15067" s="5" t="s">
        <v>17827</v>
      </c>
      <c r="E15067" s="6" t="str">
        <f>HYPERLINK("https://inpn.mnhn.fr/espece/cd_nom/248221","Atralata albofascialis (Treitschke, 1829)")</f>
        <v>Atralata albofascialis (Treitschke, 1829)</v>
      </c>
      <c r="F15067" s="5" t="s">
        <v>17828</v>
      </c>
      <c r="AH15067" s="4" t="str">
        <f>HYPERLINK("#Statut_biogéographique!A"&amp;_xlfn.XMATCH("P",Statut_biogéographique!A:A,2,1),"P")</f>
        <v>P</v>
      </c>
      <c r="AP15067" s="4" t="s">
        <v>376</v>
      </c>
      <c r="AR15067" s="4" t="s">
        <v>377</v>
      </c>
    </row>
    <row r="15068" spans="1:44" ht="30">
      <c r="A15068" s="4" t="s">
        <v>10753</v>
      </c>
      <c r="B15068" s="4">
        <v>248224</v>
      </c>
      <c r="D15068" s="5" t="s">
        <v>17829</v>
      </c>
      <c r="E15068" s="6" t="str">
        <f>HYPERLINK("https://inpn.mnhn.fr/espece/cd_nom/248224","Cynaeda dentalis (Denis &amp; Schiffermüller, 1775)")</f>
        <v>Cynaeda dentalis (Denis &amp; Schiffermüller, 1775)</v>
      </c>
      <c r="F15068" s="5" t="s">
        <v>17830</v>
      </c>
      <c r="AH15068" s="4" t="str">
        <f>HYPERLINK("#Statut_biogéographique!A"&amp;_xlfn.XMATCH("P",Statut_biogéographique!A:A,2,1),"P")</f>
        <v>P</v>
      </c>
      <c r="AP15068" s="4" t="s">
        <v>376</v>
      </c>
      <c r="AR15068" s="4" t="s">
        <v>377</v>
      </c>
    </row>
    <row r="15069" spans="1:44" ht="30">
      <c r="A15069" s="4" t="s">
        <v>10753</v>
      </c>
      <c r="B15069" s="4">
        <v>248228</v>
      </c>
      <c r="D15069" s="5" t="s">
        <v>17831</v>
      </c>
      <c r="E15069" s="6" t="str">
        <f>HYPERLINK("https://inpn.mnhn.fr/espece/cd_nom/248228","Eurrhypis pollinalis (Denis &amp; Schiffermüller, 1775)")</f>
        <v>Eurrhypis pollinalis (Denis &amp; Schiffermüller, 1775)</v>
      </c>
      <c r="F15069" s="5" t="s">
        <v>17832</v>
      </c>
      <c r="AH15069" s="4" t="str">
        <f>HYPERLINK("#Statut_biogéographique!A"&amp;_xlfn.XMATCH("P",Statut_biogéographique!A:A,2,1),"P")</f>
        <v>P</v>
      </c>
      <c r="AP15069" s="4" t="s">
        <v>376</v>
      </c>
      <c r="AR15069" s="4" t="s">
        <v>377</v>
      </c>
    </row>
    <row r="15070" spans="1:44">
      <c r="A15070" s="4" t="s">
        <v>10753</v>
      </c>
      <c r="B15070" s="4">
        <v>24823</v>
      </c>
      <c r="D15070" s="5" t="s">
        <v>17833</v>
      </c>
      <c r="E15070" s="6" t="str">
        <f>HYPERLINK("https://inpn.mnhn.fr/espece/cd_nom/24823","Tephritis praecox (Loew, 1844)")</f>
        <v>Tephritis praecox (Loew, 1844)</v>
      </c>
      <c r="AH15070" s="4" t="str">
        <f>HYPERLINK("#Statut_biogéographique!A"&amp;_xlfn.XMATCH("P",Statut_biogéographique!A:A,2,1),"P")</f>
        <v>P</v>
      </c>
      <c r="AP15070" s="4" t="s">
        <v>376</v>
      </c>
      <c r="AR15070" s="4" t="s">
        <v>377</v>
      </c>
    </row>
    <row r="15071" spans="1:44" ht="30">
      <c r="A15071" s="4" t="s">
        <v>10753</v>
      </c>
      <c r="B15071" s="4">
        <v>248231</v>
      </c>
      <c r="D15071" s="5" t="s">
        <v>17834</v>
      </c>
      <c r="E15071" s="6" t="str">
        <f>HYPERLINK("https://inpn.mnhn.fr/espece/cd_nom/248231","Nymphula nitidulata (Hufnagel, 1767)")</f>
        <v>Nymphula nitidulata (Hufnagel, 1767)</v>
      </c>
      <c r="F15071" s="5" t="s">
        <v>17835</v>
      </c>
      <c r="AH15071" s="4" t="str">
        <f>HYPERLINK("#Statut_biogéographique!A"&amp;_xlfn.XMATCH("P",Statut_biogéographique!A:A,2,1),"P")</f>
        <v>P</v>
      </c>
      <c r="AP15071" s="4" t="s">
        <v>376</v>
      </c>
      <c r="AR15071" s="4" t="s">
        <v>377</v>
      </c>
    </row>
    <row r="15072" spans="1:44" ht="30">
      <c r="A15072" s="4" t="s">
        <v>10753</v>
      </c>
      <c r="B15072" s="4">
        <v>248232</v>
      </c>
      <c r="D15072" s="5" t="s">
        <v>17836</v>
      </c>
      <c r="E15072" s="6" t="str">
        <f>HYPERLINK("https://inpn.mnhn.fr/espece/cd_nom/248232","Parapoynx stratiotata (Linnaeus, 1758)")</f>
        <v>Parapoynx stratiotata (Linnaeus, 1758)</v>
      </c>
      <c r="F15072" s="5" t="s">
        <v>17837</v>
      </c>
      <c r="AH15072" s="4" t="str">
        <f>HYPERLINK("#Statut_biogéographique!A"&amp;_xlfn.XMATCH("P",Statut_biogéographique!A:A,2,1),"P")</f>
        <v>P</v>
      </c>
      <c r="AP15072" s="4" t="s">
        <v>376</v>
      </c>
      <c r="AR15072" s="4" t="s">
        <v>377</v>
      </c>
    </row>
    <row r="15073" spans="1:44">
      <c r="A15073" s="4" t="s">
        <v>10753</v>
      </c>
      <c r="B15073" s="4">
        <v>248233</v>
      </c>
      <c r="D15073" s="5" t="s">
        <v>17838</v>
      </c>
      <c r="E15073" s="6" t="str">
        <f>HYPERLINK("https://inpn.mnhn.fr/espece/cd_nom/248233","Cataclysta lemnata (Linnaeus, 1758)")</f>
        <v>Cataclysta lemnata (Linnaeus, 1758)</v>
      </c>
      <c r="F15073" s="5" t="s">
        <v>17839</v>
      </c>
      <c r="AH15073" s="4" t="str">
        <f>HYPERLINK("#Statut_biogéographique!A"&amp;_xlfn.XMATCH("P",Statut_biogéographique!A:A,2,1),"P")</f>
        <v>P</v>
      </c>
      <c r="AP15073" s="4" t="s">
        <v>376</v>
      </c>
      <c r="AR15073" s="4" t="s">
        <v>377</v>
      </c>
    </row>
    <row r="15074" spans="1:44" ht="30">
      <c r="A15074" s="4" t="s">
        <v>10753</v>
      </c>
      <c r="B15074" s="4">
        <v>248234</v>
      </c>
      <c r="D15074" s="5" t="s">
        <v>17840</v>
      </c>
      <c r="E15074" s="6" t="str">
        <f>HYPERLINK("https://inpn.mnhn.fr/espece/cd_nom/248234","Acentria ephemerella (Denis &amp; Schiffermüller, 1775)")</f>
        <v>Acentria ephemerella (Denis &amp; Schiffermüller, 1775)</v>
      </c>
      <c r="F15074" s="5" t="s">
        <v>17841</v>
      </c>
      <c r="AH15074" s="4" t="str">
        <f>HYPERLINK("#Statut_biogéographique!A"&amp;_xlfn.XMATCH("P",Statut_biogéographique!A:A,2,1),"P")</f>
        <v>P</v>
      </c>
      <c r="AP15074" s="4" t="s">
        <v>376</v>
      </c>
      <c r="AR15074" s="4" t="s">
        <v>377</v>
      </c>
    </row>
    <row r="15075" spans="1:44" ht="30">
      <c r="A15075" s="4" t="s">
        <v>10753</v>
      </c>
      <c r="B15075" s="4">
        <v>248235</v>
      </c>
      <c r="D15075" s="5" t="s">
        <v>17842</v>
      </c>
      <c r="E15075" s="6" t="str">
        <f>HYPERLINK("https://inpn.mnhn.fr/espece/cd_nom/248235","Elophila nymphaeata (Linnaeus, 1758)")</f>
        <v>Elophila nymphaeata (Linnaeus, 1758)</v>
      </c>
      <c r="F15075" s="5" t="s">
        <v>17843</v>
      </c>
      <c r="AH15075" s="4" t="str">
        <f>HYPERLINK("#Statut_biogéographique!A"&amp;_xlfn.XMATCH("P",Statut_biogéographique!A:A,2,1),"P")</f>
        <v>P</v>
      </c>
      <c r="AP15075" s="4" t="s">
        <v>376</v>
      </c>
      <c r="AR15075" s="4" t="s">
        <v>377</v>
      </c>
    </row>
    <row r="15076" spans="1:44">
      <c r="A15076" s="4" t="s">
        <v>10753</v>
      </c>
      <c r="B15076" s="4">
        <v>24824</v>
      </c>
      <c r="D15076" s="5" t="s">
        <v>17844</v>
      </c>
      <c r="E15076" s="6" t="str">
        <f>HYPERLINK("https://inpn.mnhn.fr/espece/cd_nom/24824","Tephritis ruralis (Loew, 1844)")</f>
        <v>Tephritis ruralis (Loew, 1844)</v>
      </c>
      <c r="AH15076" s="4" t="str">
        <f>HYPERLINK("#Statut_biogéographique!A"&amp;_xlfn.XMATCH("P",Statut_biogéographique!A:A,2,1),"P")</f>
        <v>P</v>
      </c>
      <c r="AP15076" s="4" t="s">
        <v>376</v>
      </c>
      <c r="AR15076" s="4" t="s">
        <v>377</v>
      </c>
    </row>
    <row r="15077" spans="1:44">
      <c r="A15077" s="4" t="s">
        <v>10753</v>
      </c>
      <c r="B15077" s="4">
        <v>248241</v>
      </c>
      <c r="D15077" s="5" t="s">
        <v>17845</v>
      </c>
      <c r="E15077" s="6" t="str">
        <f>HYPERLINK("https://inpn.mnhn.fr/espece/cd_nom/248241","Scirpophaga praelata (Scopoli, 1763)")</f>
        <v>Scirpophaga praelata (Scopoli, 1763)</v>
      </c>
      <c r="F15077" s="5" t="s">
        <v>17846</v>
      </c>
      <c r="AH15077" s="4" t="str">
        <f>HYPERLINK("#Statut_biogéographique!A"&amp;_xlfn.XMATCH("P",Statut_biogéographique!A:A,2,1),"P")</f>
        <v>P</v>
      </c>
      <c r="AP15077" s="4" t="s">
        <v>376</v>
      </c>
      <c r="AR15077" s="4" t="s">
        <v>377</v>
      </c>
    </row>
    <row r="15078" spans="1:44">
      <c r="A15078" s="4" t="s">
        <v>10753</v>
      </c>
      <c r="B15078" s="4">
        <v>248242</v>
      </c>
      <c r="D15078" s="5" t="s">
        <v>17847</v>
      </c>
      <c r="E15078" s="6" t="str">
        <f>HYPERLINK("https://inpn.mnhn.fr/espece/cd_nom/248242","Donacaula forficella (Thunberg, 1794)")</f>
        <v>Donacaula forficella (Thunberg, 1794)</v>
      </c>
      <c r="F15078" s="5" t="s">
        <v>17848</v>
      </c>
      <c r="AH15078" s="4" t="str">
        <f>HYPERLINK("#Statut_biogéographique!A"&amp;_xlfn.XMATCH("P",Statut_biogéographique!A:A,2,1),"P")</f>
        <v>P</v>
      </c>
      <c r="AP15078" s="4" t="s">
        <v>376</v>
      </c>
      <c r="AR15078" s="4" t="s">
        <v>377</v>
      </c>
    </row>
    <row r="15079" spans="1:44" ht="30">
      <c r="A15079" s="4" t="s">
        <v>10753</v>
      </c>
      <c r="B15079" s="4">
        <v>248243</v>
      </c>
      <c r="D15079" s="5" t="s">
        <v>17849</v>
      </c>
      <c r="E15079" s="6" t="str">
        <f>HYPERLINK("https://inpn.mnhn.fr/espece/cd_nom/248243","Donacaula mucronella (Denis &amp; Schiffermüller, 1775)")</f>
        <v>Donacaula mucronella (Denis &amp; Schiffermüller, 1775)</v>
      </c>
      <c r="F15079" s="5" t="s">
        <v>17850</v>
      </c>
      <c r="AH15079" s="4" t="str">
        <f>HYPERLINK("#Statut_biogéographique!A"&amp;_xlfn.XMATCH("P",Statut_biogéographique!A:A,2,1),"P")</f>
        <v>P</v>
      </c>
      <c r="AP15079" s="4" t="s">
        <v>376</v>
      </c>
      <c r="AR15079" s="4" t="s">
        <v>377</v>
      </c>
    </row>
    <row r="15080" spans="1:44" ht="30">
      <c r="A15080" s="4" t="s">
        <v>10753</v>
      </c>
      <c r="B15080" s="4">
        <v>248245</v>
      </c>
      <c r="D15080" s="5" t="s">
        <v>17851</v>
      </c>
      <c r="E15080" s="6" t="str">
        <f>HYPERLINK("https://inpn.mnhn.fr/espece/cd_nom/248245","Ancylolomia palpella (Denis &amp; Schiffermüller, 1775)")</f>
        <v>Ancylolomia palpella (Denis &amp; Schiffermüller, 1775)</v>
      </c>
      <c r="F15080" s="5" t="s">
        <v>17852</v>
      </c>
      <c r="AH15080" s="4" t="str">
        <f>HYPERLINK("#Statut_biogéographique!A"&amp;_xlfn.XMATCH("P",Statut_biogéographique!A:A,2,1),"P")</f>
        <v>P</v>
      </c>
      <c r="AP15080" s="4" t="s">
        <v>376</v>
      </c>
      <c r="AR15080" s="4" t="s">
        <v>377</v>
      </c>
    </row>
    <row r="15081" spans="1:44">
      <c r="A15081" s="4" t="s">
        <v>10753</v>
      </c>
      <c r="B15081" s="4">
        <v>248246</v>
      </c>
      <c r="D15081" s="5" t="s">
        <v>17853</v>
      </c>
      <c r="E15081" s="6" t="str">
        <f>HYPERLINK("https://inpn.mnhn.fr/espece/cd_nom/248246","Ancylolomia tentaculella (Hübner, 1796)")</f>
        <v>Ancylolomia tentaculella (Hübner, 1796)</v>
      </c>
      <c r="F15081" s="5" t="s">
        <v>17854</v>
      </c>
      <c r="AH15081" s="4" t="str">
        <f>HYPERLINK("#Statut_biogéographique!A"&amp;_xlfn.XMATCH("P",Statut_biogéographique!A:A,2,1),"P")</f>
        <v>P</v>
      </c>
      <c r="AP15081" s="4" t="s">
        <v>376</v>
      </c>
      <c r="AR15081" s="4" t="s">
        <v>377</v>
      </c>
    </row>
    <row r="15082" spans="1:44">
      <c r="A15082" s="4" t="s">
        <v>10753</v>
      </c>
      <c r="B15082" s="4">
        <v>248249</v>
      </c>
      <c r="D15082" s="5" t="s">
        <v>17855</v>
      </c>
      <c r="E15082" s="6" t="str">
        <f>HYPERLINK("https://inpn.mnhn.fr/espece/cd_nom/248249","Platytes alpinella (Hübner, 1813)")</f>
        <v>Platytes alpinella (Hübner, 1813)</v>
      </c>
      <c r="F15082" s="5" t="s">
        <v>17856</v>
      </c>
      <c r="AH15082" s="4" t="str">
        <f>HYPERLINK("#Statut_biogéographique!A"&amp;_xlfn.XMATCH("P",Statut_biogéographique!A:A,2,1),"P")</f>
        <v>P</v>
      </c>
      <c r="AP15082" s="4" t="s">
        <v>376</v>
      </c>
      <c r="AR15082" s="4" t="s">
        <v>377</v>
      </c>
    </row>
    <row r="15083" spans="1:44">
      <c r="A15083" s="4" t="s">
        <v>10753</v>
      </c>
      <c r="B15083" s="4">
        <v>248250</v>
      </c>
      <c r="D15083" s="5" t="s">
        <v>17857</v>
      </c>
      <c r="E15083" s="6" t="str">
        <f>HYPERLINK("https://inpn.mnhn.fr/espece/cd_nom/248250","Pediasia fascelinella (Hübner, 1813)")</f>
        <v>Pediasia fascelinella (Hübner, 1813)</v>
      </c>
      <c r="F15083" s="5" t="s">
        <v>17858</v>
      </c>
      <c r="AH15083" s="4" t="str">
        <f>HYPERLINK("#Statut_biogéographique!A"&amp;_xlfn.XMATCH("P",Statut_biogéographique!A:A,2,1),"P")</f>
        <v>P</v>
      </c>
      <c r="AP15083" s="4" t="s">
        <v>376</v>
      </c>
      <c r="AR15083" s="4" t="s">
        <v>377</v>
      </c>
    </row>
    <row r="15084" spans="1:44" ht="30">
      <c r="A15084" s="4" t="s">
        <v>10753</v>
      </c>
      <c r="B15084" s="4">
        <v>248252</v>
      </c>
      <c r="D15084" s="5" t="s">
        <v>17859</v>
      </c>
      <c r="E15084" s="6" t="str">
        <f>HYPERLINK("https://inpn.mnhn.fr/espece/cd_nom/248252","Pediasia luteella (Denis &amp; Schiffermüller, 1775)")</f>
        <v>Pediasia luteella (Denis &amp; Schiffermüller, 1775)</v>
      </c>
      <c r="F15084" s="5" t="s">
        <v>17860</v>
      </c>
      <c r="AH15084" s="4" t="str">
        <f>HYPERLINK("#Statut_biogéographique!A"&amp;_xlfn.XMATCH("P",Statut_biogéographique!A:A,2,1),"P")</f>
        <v>P</v>
      </c>
      <c r="AP15084" s="4" t="s">
        <v>376</v>
      </c>
      <c r="AR15084" s="4" t="s">
        <v>377</v>
      </c>
    </row>
    <row r="15085" spans="1:44">
      <c r="A15085" s="4" t="s">
        <v>10753</v>
      </c>
      <c r="B15085" s="4">
        <v>248254</v>
      </c>
      <c r="D15085" s="5" t="s">
        <v>17861</v>
      </c>
      <c r="E15085" s="6" t="str">
        <f>HYPERLINK("https://inpn.mnhn.fr/espece/cd_nom/248254","Pediasia contaminella (Hübner, 1796)")</f>
        <v>Pediasia contaminella (Hübner, 1796)</v>
      </c>
      <c r="F15085" s="5" t="s">
        <v>17862</v>
      </c>
      <c r="AH15085" s="4" t="str">
        <f>HYPERLINK("#Statut_biogéographique!A"&amp;_xlfn.XMATCH("P",Statut_biogéographique!A:A,2,1),"P")</f>
        <v>P</v>
      </c>
      <c r="AP15085" s="4" t="s">
        <v>376</v>
      </c>
      <c r="AR15085" s="4" t="s">
        <v>377</v>
      </c>
    </row>
    <row r="15086" spans="1:44">
      <c r="A15086" s="4" t="s">
        <v>10753</v>
      </c>
      <c r="B15086" s="4">
        <v>248256</v>
      </c>
      <c r="D15086" s="5" t="s">
        <v>17863</v>
      </c>
      <c r="E15086" s="6" t="str">
        <f>HYPERLINK("https://inpn.mnhn.fr/espece/cd_nom/248256","Thisanotia chrysonuchella (Scopoli, 1763)")</f>
        <v>Thisanotia chrysonuchella (Scopoli, 1763)</v>
      </c>
      <c r="F15086" s="5" t="s">
        <v>17864</v>
      </c>
      <c r="AH15086" s="4" t="str">
        <f>HYPERLINK("#Statut_biogéographique!A"&amp;_xlfn.XMATCH("P",Statut_biogéographique!A:A,2,1),"P")</f>
        <v>P</v>
      </c>
      <c r="AP15086" s="4" t="s">
        <v>376</v>
      </c>
      <c r="AR15086" s="4" t="s">
        <v>377</v>
      </c>
    </row>
    <row r="15087" spans="1:44" ht="30">
      <c r="A15087" s="4" t="s">
        <v>10753</v>
      </c>
      <c r="B15087" s="4">
        <v>248257</v>
      </c>
      <c r="D15087" s="5" t="s">
        <v>17865</v>
      </c>
      <c r="E15087" s="6" t="str">
        <f>HYPERLINK("https://inpn.mnhn.fr/espece/cd_nom/248257","Chrysocrambus linetella (Fabricius, 1781)")</f>
        <v>Chrysocrambus linetella (Fabricius, 1781)</v>
      </c>
      <c r="F15087" s="5" t="s">
        <v>17866</v>
      </c>
      <c r="AH15087" s="4" t="str">
        <f>HYPERLINK("#Statut_biogéographique!A"&amp;_xlfn.XMATCH("P",Statut_biogéographique!A:A,2,1),"P")</f>
        <v>P</v>
      </c>
      <c r="AP15087" s="4" t="s">
        <v>376</v>
      </c>
      <c r="AR15087" s="4" t="s">
        <v>377</v>
      </c>
    </row>
    <row r="15088" spans="1:44" ht="30">
      <c r="A15088" s="4" t="s">
        <v>10753</v>
      </c>
      <c r="B15088" s="4">
        <v>248260</v>
      </c>
      <c r="D15088" s="5" t="s">
        <v>17867</v>
      </c>
      <c r="E15088" s="6" t="str">
        <f>HYPERLINK("https://inpn.mnhn.fr/espece/cd_nom/248260","Xanthocrambus caducellus (Müller-Rutz, 1909)")</f>
        <v>Xanthocrambus caducellus (Müller-Rutz, 1909)</v>
      </c>
      <c r="F15088" s="5" t="s">
        <v>17868</v>
      </c>
      <c r="AH15088" s="4" t="str">
        <f>HYPERLINK("#Statut_biogéographique!A"&amp;_xlfn.XMATCH("P",Statut_biogéographique!A:A,2,1),"P")</f>
        <v>P</v>
      </c>
      <c r="AP15088" s="4" t="s">
        <v>376</v>
      </c>
      <c r="AR15088" s="4" t="s">
        <v>377</v>
      </c>
    </row>
    <row r="15089" spans="1:44">
      <c r="A15089" s="4" t="s">
        <v>10753</v>
      </c>
      <c r="B15089" s="4">
        <v>248261</v>
      </c>
      <c r="D15089" s="5" t="s">
        <v>17869</v>
      </c>
      <c r="E15089" s="6" t="str">
        <f>HYPERLINK("https://inpn.mnhn.fr/espece/cd_nom/248261","Xanthocrambus saxonellus (Zincken, 1821)")</f>
        <v>Xanthocrambus saxonellus (Zincken, 1821)</v>
      </c>
      <c r="F15089" s="5" t="s">
        <v>17870</v>
      </c>
      <c r="AH15089" s="4" t="str">
        <f>HYPERLINK("#Statut_biogéographique!A"&amp;_xlfn.XMATCH("P",Statut_biogéographique!A:A,2,1),"P")</f>
        <v>P</v>
      </c>
      <c r="AP15089" s="4" t="s">
        <v>376</v>
      </c>
      <c r="AR15089" s="4" t="s">
        <v>377</v>
      </c>
    </row>
    <row r="15090" spans="1:44" ht="30">
      <c r="A15090" s="4" t="s">
        <v>10753</v>
      </c>
      <c r="B15090" s="4">
        <v>248265</v>
      </c>
      <c r="D15090" s="5" t="s">
        <v>17871</v>
      </c>
      <c r="E15090" s="6" t="str">
        <f>HYPERLINK("https://inpn.mnhn.fr/espece/cd_nom/248265","Catoptria permutatellus (Herrich-Schäffer, 1848)")</f>
        <v>Catoptria permutatellus (Herrich-Schäffer, 1848)</v>
      </c>
      <c r="F15090" s="5" t="s">
        <v>17872</v>
      </c>
      <c r="AH15090" s="4" t="str">
        <f>HYPERLINK("#Statut_biogéographique!A"&amp;_xlfn.XMATCH("P",Statut_biogéographique!A:A,2,1),"P")</f>
        <v>P</v>
      </c>
      <c r="AP15090" s="4" t="s">
        <v>376</v>
      </c>
      <c r="AR15090" s="4" t="s">
        <v>377</v>
      </c>
    </row>
    <row r="15091" spans="1:44">
      <c r="A15091" s="4" t="s">
        <v>10753</v>
      </c>
      <c r="B15091" s="4">
        <v>248266</v>
      </c>
      <c r="D15091" s="5" t="s">
        <v>17873</v>
      </c>
      <c r="E15091" s="6" t="str">
        <f>HYPERLINK("https://inpn.mnhn.fr/espece/cd_nom/248266","Catoptria myella (Hübner, 1796)")</f>
        <v>Catoptria myella (Hübner, 1796)</v>
      </c>
      <c r="F15091" s="5" t="s">
        <v>17874</v>
      </c>
      <c r="AH15091" s="4" t="str">
        <f>HYPERLINK("#Statut_biogéographique!A"&amp;_xlfn.XMATCH("P",Statut_biogéographique!A:A,2,1),"P")</f>
        <v>P</v>
      </c>
      <c r="AP15091" s="4" t="s">
        <v>376</v>
      </c>
      <c r="AR15091" s="4" t="s">
        <v>377</v>
      </c>
    </row>
    <row r="15092" spans="1:44">
      <c r="A15092" s="4" t="s">
        <v>10753</v>
      </c>
      <c r="B15092" s="4">
        <v>248268</v>
      </c>
      <c r="D15092" s="5" t="s">
        <v>17875</v>
      </c>
      <c r="E15092" s="6" t="str">
        <f>HYPERLINK("https://inpn.mnhn.fr/espece/cd_nom/248268","Catoptria pyramidellus (Treitschke, 1832)")</f>
        <v>Catoptria pyramidellus (Treitschke, 1832)</v>
      </c>
      <c r="F15092" s="5" t="s">
        <v>17876</v>
      </c>
      <c r="AH15092" s="4" t="str">
        <f>HYPERLINK("#Statut_biogéographique!A"&amp;_xlfn.XMATCH("P",Statut_biogéographique!A:A,2,1),"P")</f>
        <v>P</v>
      </c>
      <c r="AP15092" s="4" t="s">
        <v>376</v>
      </c>
      <c r="AR15092" s="4" t="s">
        <v>377</v>
      </c>
    </row>
    <row r="15093" spans="1:44">
      <c r="A15093" s="4" t="s">
        <v>10753</v>
      </c>
      <c r="B15093" s="4">
        <v>248269</v>
      </c>
      <c r="D15093" s="5">
        <v>248269</v>
      </c>
      <c r="E15093" s="6" t="str">
        <f>HYPERLINK("https://inpn.mnhn.fr/espece/cd_nom/248269","Catoptria europaeica Błeszyński, 1965")</f>
        <v>Catoptria europaeica Błeszyński, 1965</v>
      </c>
      <c r="F15093" s="5" t="s">
        <v>17877</v>
      </c>
      <c r="AH15093" s="4" t="str">
        <f>HYPERLINK("#Statut_biogéographique!A"&amp;_xlfn.XMATCH("S",Statut_biogéographique!A:A,2,1),"S")</f>
        <v>S</v>
      </c>
      <c r="AP15093" s="4" t="s">
        <v>376</v>
      </c>
      <c r="AR15093" s="4" t="s">
        <v>377</v>
      </c>
    </row>
    <row r="15094" spans="1:44">
      <c r="A15094" s="4" t="s">
        <v>10753</v>
      </c>
      <c r="B15094" s="4">
        <v>24827</v>
      </c>
      <c r="D15094" s="5" t="s">
        <v>17878</v>
      </c>
      <c r="E15094" s="6" t="str">
        <f>HYPERLINK("https://inpn.mnhn.fr/espece/cd_nom/24827","Tephritis vespertina (Loew, 1844)")</f>
        <v>Tephritis vespertina (Loew, 1844)</v>
      </c>
      <c r="AH15094" s="4" t="str">
        <f>HYPERLINK("#Statut_biogéographique!A"&amp;_xlfn.XMATCH("P",Statut_biogéographique!A:A,2,1),"P")</f>
        <v>P</v>
      </c>
      <c r="AP15094" s="4" t="s">
        <v>376</v>
      </c>
      <c r="AR15094" s="4" t="s">
        <v>377</v>
      </c>
    </row>
    <row r="15095" spans="1:44" ht="30">
      <c r="A15095" s="4" t="s">
        <v>10753</v>
      </c>
      <c r="B15095" s="4">
        <v>248274</v>
      </c>
      <c r="D15095" s="5" t="s">
        <v>17879</v>
      </c>
      <c r="E15095" s="6" t="str">
        <f>HYPERLINK("https://inpn.mnhn.fr/espece/cd_nom/248274","Catoptria conchella (Denis &amp; Schiffermüller, 1775)")</f>
        <v>Catoptria conchella (Denis &amp; Schiffermüller, 1775)</v>
      </c>
      <c r="F15095" s="5" t="s">
        <v>17880</v>
      </c>
      <c r="AH15095" s="4" t="str">
        <f>HYPERLINK("#Statut_biogéographique!A"&amp;_xlfn.XMATCH("P",Statut_biogéographique!A:A,2,1),"P")</f>
        <v>P</v>
      </c>
      <c r="AP15095" s="4" t="s">
        <v>376</v>
      </c>
      <c r="AR15095" s="4" t="s">
        <v>377</v>
      </c>
    </row>
    <row r="15096" spans="1:44">
      <c r="A15096" s="4" t="s">
        <v>10753</v>
      </c>
      <c r="B15096" s="4">
        <v>248275</v>
      </c>
      <c r="D15096" s="5" t="s">
        <v>17881</v>
      </c>
      <c r="E15096" s="6" t="str">
        <f>HYPERLINK("https://inpn.mnhn.fr/espece/cd_nom/248275","Catoptria mytilella (Hübner, 1805)")</f>
        <v>Catoptria mytilella (Hübner, 1805)</v>
      </c>
      <c r="F15096" s="5" t="s">
        <v>17882</v>
      </c>
      <c r="AH15096" s="4" t="str">
        <f>HYPERLINK("#Statut_biogéographique!A"&amp;_xlfn.XMATCH("P",Statut_biogéographique!A:A,2,1),"P")</f>
        <v>P</v>
      </c>
      <c r="AP15096" s="4" t="s">
        <v>376</v>
      </c>
      <c r="AR15096" s="4" t="s">
        <v>377</v>
      </c>
    </row>
    <row r="15097" spans="1:44">
      <c r="A15097" s="4" t="s">
        <v>10753</v>
      </c>
      <c r="B15097" s="4">
        <v>248276</v>
      </c>
      <c r="D15097" s="5" t="s">
        <v>17883</v>
      </c>
      <c r="E15097" s="6" t="str">
        <f>HYPERLINK("https://inpn.mnhn.fr/espece/cd_nom/248276","Catoptria pinella (Linnaeus, 1758)")</f>
        <v>Catoptria pinella (Linnaeus, 1758)</v>
      </c>
      <c r="F15097" s="5" t="s">
        <v>17884</v>
      </c>
      <c r="AH15097" s="4" t="str">
        <f>HYPERLINK("#Statut_biogéographique!A"&amp;_xlfn.XMATCH("P",Statut_biogéographique!A:A,2,1),"P")</f>
        <v>P</v>
      </c>
      <c r="AP15097" s="4" t="s">
        <v>376</v>
      </c>
      <c r="AR15097" s="4" t="s">
        <v>377</v>
      </c>
    </row>
    <row r="15098" spans="1:44" ht="30">
      <c r="A15098" s="4" t="s">
        <v>10753</v>
      </c>
      <c r="B15098" s="4">
        <v>248278</v>
      </c>
      <c r="D15098" s="5" t="s">
        <v>17885</v>
      </c>
      <c r="E15098" s="6" t="str">
        <f>HYPERLINK("https://inpn.mnhn.fr/espece/cd_nom/248278","Catoptria margaritella (Denis &amp; Schiffermüller, 1775)")</f>
        <v>Catoptria margaritella (Denis &amp; Schiffermüller, 1775)</v>
      </c>
      <c r="F15098" s="5" t="s">
        <v>17886</v>
      </c>
      <c r="AH15098" s="4" t="str">
        <f>HYPERLINK("#Statut_biogéographique!A"&amp;_xlfn.XMATCH("P",Statut_biogéographique!A:A,2,1),"P")</f>
        <v>P</v>
      </c>
      <c r="AP15098" s="4" t="s">
        <v>376</v>
      </c>
      <c r="AR15098" s="4" t="s">
        <v>377</v>
      </c>
    </row>
    <row r="15099" spans="1:44" ht="30">
      <c r="A15099" s="4" t="s">
        <v>10753</v>
      </c>
      <c r="B15099" s="4">
        <v>248283</v>
      </c>
      <c r="D15099" s="5" t="s">
        <v>17887</v>
      </c>
      <c r="E15099" s="6" t="str">
        <f>HYPERLINK("https://inpn.mnhn.fr/espece/cd_nom/248283","Catoptria falsella (Denis &amp; Schiffermüller, 1775)")</f>
        <v>Catoptria falsella (Denis &amp; Schiffermüller, 1775)</v>
      </c>
      <c r="F15099" s="5" t="s">
        <v>17888</v>
      </c>
      <c r="AH15099" s="4" t="str">
        <f>HYPERLINK("#Statut_biogéographique!A"&amp;_xlfn.XMATCH("P",Statut_biogéographique!A:A,2,1),"P")</f>
        <v>P</v>
      </c>
      <c r="AP15099" s="4" t="s">
        <v>376</v>
      </c>
      <c r="AR15099" s="4" t="s">
        <v>377</v>
      </c>
    </row>
    <row r="15100" spans="1:44">
      <c r="A15100" s="4" t="s">
        <v>10753</v>
      </c>
      <c r="B15100" s="4">
        <v>248285</v>
      </c>
      <c r="D15100" s="5" t="s">
        <v>17889</v>
      </c>
      <c r="E15100" s="6" t="str">
        <f>HYPERLINK("https://inpn.mnhn.fr/espece/cd_nom/248285","Catoptria verellus (Zincken, 1817)")</f>
        <v>Catoptria verellus (Zincken, 1817)</v>
      </c>
      <c r="F15100" s="5" t="s">
        <v>17890</v>
      </c>
      <c r="AH15100" s="4" t="str">
        <f>HYPERLINK("#Statut_biogéographique!A"&amp;_xlfn.XMATCH("P",Statut_biogéographique!A:A,2,1),"P")</f>
        <v>P</v>
      </c>
      <c r="AP15100" s="4" t="s">
        <v>376</v>
      </c>
      <c r="AR15100" s="4" t="s">
        <v>377</v>
      </c>
    </row>
    <row r="15101" spans="1:44" ht="30">
      <c r="A15101" s="4" t="s">
        <v>10753</v>
      </c>
      <c r="B15101" s="4">
        <v>248290</v>
      </c>
      <c r="D15101" s="5" t="s">
        <v>17891</v>
      </c>
      <c r="E15101" s="6" t="str">
        <f>HYPERLINK("https://inpn.mnhn.fr/espece/cd_nom/248290","Agriphila tristella (Denis &amp; Schiffermüller, 1775)")</f>
        <v>Agriphila tristella (Denis &amp; Schiffermüller, 1775)</v>
      </c>
      <c r="F15101" s="5" t="s">
        <v>17892</v>
      </c>
      <c r="AH15101" s="4" t="str">
        <f>HYPERLINK("#Statut_biogéographique!A"&amp;_xlfn.XMATCH("P",Statut_biogéographique!A:A,2,1),"P")</f>
        <v>P</v>
      </c>
      <c r="AP15101" s="4" t="s">
        <v>376</v>
      </c>
      <c r="AR15101" s="4" t="s">
        <v>377</v>
      </c>
    </row>
    <row r="15102" spans="1:44" ht="30">
      <c r="A15102" s="4" t="s">
        <v>10753</v>
      </c>
      <c r="B15102" s="4">
        <v>248292</v>
      </c>
      <c r="D15102" s="5" t="s">
        <v>17893</v>
      </c>
      <c r="E15102" s="6" t="str">
        <f>HYPERLINK("https://inpn.mnhn.fr/espece/cd_nom/248292","Agriphila inquinatella (Denis &amp; Schiffermüller, 1775)")</f>
        <v>Agriphila inquinatella (Denis &amp; Schiffermüller, 1775)</v>
      </c>
      <c r="F15102" s="5" t="s">
        <v>17894</v>
      </c>
      <c r="AH15102" s="4" t="str">
        <f>HYPERLINK("#Statut_biogéographique!A"&amp;_xlfn.XMATCH("P",Statut_biogéographique!A:A,2,1),"P")</f>
        <v>P</v>
      </c>
      <c r="AP15102" s="4" t="s">
        <v>376</v>
      </c>
      <c r="AR15102" s="4" t="s">
        <v>377</v>
      </c>
    </row>
    <row r="15103" spans="1:44">
      <c r="A15103" s="4" t="s">
        <v>10753</v>
      </c>
      <c r="B15103" s="4">
        <v>248295</v>
      </c>
      <c r="D15103" s="5" t="s">
        <v>17895</v>
      </c>
      <c r="E15103" s="6" t="str">
        <f>HYPERLINK("https://inpn.mnhn.fr/espece/cd_nom/248295","Agriphila latistria (Haworth, 1811)")</f>
        <v>Agriphila latistria (Haworth, 1811)</v>
      </c>
      <c r="F15103" s="5" t="s">
        <v>17896</v>
      </c>
      <c r="AH15103" s="4" t="str">
        <f>HYPERLINK("#Statut_biogéographique!A"&amp;_xlfn.XMATCH("P",Statut_biogéographique!A:A,2,1),"P")</f>
        <v>P</v>
      </c>
      <c r="AP15103" s="4" t="s">
        <v>376</v>
      </c>
      <c r="AR15103" s="4" t="s">
        <v>377</v>
      </c>
    </row>
    <row r="15104" spans="1:44">
      <c r="A15104" s="4" t="s">
        <v>10753</v>
      </c>
      <c r="B15104" s="4">
        <v>248296</v>
      </c>
      <c r="D15104" s="5" t="s">
        <v>17897</v>
      </c>
      <c r="E15104" s="6" t="str">
        <f>HYPERLINK("https://inpn.mnhn.fr/espece/cd_nom/248296","Agriphila selasella (Hübner, 1813)")</f>
        <v>Agriphila selasella (Hübner, 1813)</v>
      </c>
      <c r="F15104" s="5" t="s">
        <v>17898</v>
      </c>
      <c r="AH15104" s="4" t="str">
        <f>HYPERLINK("#Statut_biogéographique!A"&amp;_xlfn.XMATCH("P",Statut_biogéographique!A:A,2,1),"P")</f>
        <v>P</v>
      </c>
      <c r="AP15104" s="4" t="s">
        <v>376</v>
      </c>
      <c r="AR15104" s="4" t="s">
        <v>377</v>
      </c>
    </row>
    <row r="15105" spans="1:44" ht="30">
      <c r="A15105" s="4" t="s">
        <v>10753</v>
      </c>
      <c r="B15105" s="4">
        <v>248297</v>
      </c>
      <c r="D15105" s="5" t="s">
        <v>17899</v>
      </c>
      <c r="E15105" s="6" t="str">
        <f>HYPERLINK("https://inpn.mnhn.fr/espece/cd_nom/248297","Agriphila straminella (Denis &amp; Schiffermüller, 1775)")</f>
        <v>Agriphila straminella (Denis &amp; Schiffermüller, 1775)</v>
      </c>
      <c r="F15105" s="5" t="s">
        <v>17900</v>
      </c>
      <c r="AH15105" s="4" t="str">
        <f>HYPERLINK("#Statut_biogéographique!A"&amp;_xlfn.XMATCH("P",Statut_biogéographique!A:A,2,1),"P")</f>
        <v>P</v>
      </c>
      <c r="AP15105" s="4" t="s">
        <v>376</v>
      </c>
      <c r="AR15105" s="4" t="s">
        <v>377</v>
      </c>
    </row>
    <row r="15106" spans="1:44">
      <c r="A15106" s="4" t="s">
        <v>10753</v>
      </c>
      <c r="B15106" s="4">
        <v>248301</v>
      </c>
      <c r="D15106" s="5" t="s">
        <v>17901</v>
      </c>
      <c r="E15106" s="6" t="str">
        <f>HYPERLINK("https://inpn.mnhn.fr/espece/cd_nom/248301","Agriphila geniculea (Haworth, 1811)")</f>
        <v>Agriphila geniculea (Haworth, 1811)</v>
      </c>
      <c r="F15106" s="5" t="s">
        <v>17902</v>
      </c>
      <c r="AH15106" s="4" t="str">
        <f>HYPERLINK("#Statut_biogéographique!A"&amp;_xlfn.XMATCH("P",Statut_biogéographique!A:A,2,1),"P")</f>
        <v>P</v>
      </c>
      <c r="AP15106" s="4" t="s">
        <v>376</v>
      </c>
      <c r="AR15106" s="4" t="s">
        <v>377</v>
      </c>
    </row>
    <row r="15107" spans="1:44">
      <c r="A15107" s="4" t="s">
        <v>10753</v>
      </c>
      <c r="B15107" s="4">
        <v>248304</v>
      </c>
      <c r="D15107" s="5" t="s">
        <v>17903</v>
      </c>
      <c r="E15107" s="6" t="str">
        <f>HYPERLINK("https://inpn.mnhn.fr/espece/cd_nom/248304","Crambus pascuella (Linnaeus, 1758)")</f>
        <v>Crambus pascuella (Linnaeus, 1758)</v>
      </c>
      <c r="F15107" s="5" t="s">
        <v>17904</v>
      </c>
      <c r="AH15107" s="4" t="str">
        <f>HYPERLINK("#Statut_biogéographique!A"&amp;_xlfn.XMATCH("P",Statut_biogéographique!A:A,2,1),"P")</f>
        <v>P</v>
      </c>
      <c r="AP15107" s="4" t="s">
        <v>376</v>
      </c>
      <c r="AR15107" s="4" t="s">
        <v>377</v>
      </c>
    </row>
    <row r="15108" spans="1:44">
      <c r="A15108" s="4" t="s">
        <v>10753</v>
      </c>
      <c r="B15108" s="4">
        <v>248305</v>
      </c>
      <c r="D15108" s="5" t="s">
        <v>17905</v>
      </c>
      <c r="E15108" s="6" t="str">
        <f>HYPERLINK("https://inpn.mnhn.fr/espece/cd_nom/248305","Crambus silvella (Hübner, 1813)")</f>
        <v>Crambus silvella (Hübner, 1813)</v>
      </c>
      <c r="F15108" s="5" t="s">
        <v>17906</v>
      </c>
      <c r="AH15108" s="4" t="str">
        <f>HYPERLINK("#Statut_biogéographique!A"&amp;_xlfn.XMATCH("P",Statut_biogéographique!A:A,2,1),"P")</f>
        <v>P</v>
      </c>
      <c r="AP15108" s="4" t="s">
        <v>376</v>
      </c>
      <c r="AR15108" s="4" t="s">
        <v>377</v>
      </c>
    </row>
    <row r="15109" spans="1:44">
      <c r="A15109" s="4" t="s">
        <v>10753</v>
      </c>
      <c r="B15109" s="4">
        <v>248306</v>
      </c>
      <c r="D15109" s="5">
        <v>248306</v>
      </c>
      <c r="E15109" s="6" t="str">
        <f>HYPERLINK("https://inpn.mnhn.fr/espece/cd_nom/248306","Crambus uliginosellus Zeller, 1850")</f>
        <v>Crambus uliginosellus Zeller, 1850</v>
      </c>
      <c r="F15109" s="5" t="s">
        <v>17907</v>
      </c>
      <c r="AH15109" s="4" t="str">
        <f>HYPERLINK("#Statut_biogéographique!A"&amp;_xlfn.XMATCH("P",Statut_biogéographique!A:A,2,1),"P")</f>
        <v>P</v>
      </c>
      <c r="AP15109" s="4" t="s">
        <v>376</v>
      </c>
      <c r="AR15109" s="4" t="s">
        <v>377</v>
      </c>
    </row>
    <row r="15110" spans="1:44">
      <c r="A15110" s="4" t="s">
        <v>10753</v>
      </c>
      <c r="B15110" s="4">
        <v>248307</v>
      </c>
      <c r="D15110" s="5" t="s">
        <v>17908</v>
      </c>
      <c r="E15110" s="6" t="str">
        <f>HYPERLINK("https://inpn.mnhn.fr/espece/cd_nom/248307","Crambus ericella (Hübner, 1813)")</f>
        <v>Crambus ericella (Hübner, 1813)</v>
      </c>
      <c r="F15110" s="5" t="s">
        <v>17909</v>
      </c>
      <c r="AH15110" s="4" t="str">
        <f>HYPERLINK("#Statut_biogéographique!A"&amp;_xlfn.XMATCH("P",Statut_biogéographique!A:A,2,1),"P")</f>
        <v>P</v>
      </c>
      <c r="AP15110" s="4" t="s">
        <v>376</v>
      </c>
      <c r="AR15110" s="4" t="s">
        <v>377</v>
      </c>
    </row>
    <row r="15111" spans="1:44">
      <c r="A15111" s="4" t="s">
        <v>10753</v>
      </c>
      <c r="B15111" s="4">
        <v>248308</v>
      </c>
      <c r="D15111" s="5">
        <v>248308</v>
      </c>
      <c r="E15111" s="6" t="str">
        <f>HYPERLINK("https://inpn.mnhn.fr/espece/cd_nom/248308","Crambus alienellus Germar &amp; Kaulfuss, 1817")</f>
        <v>Crambus alienellus Germar &amp; Kaulfuss, 1817</v>
      </c>
      <c r="F15111" s="5" t="s">
        <v>17910</v>
      </c>
      <c r="AH15111" s="4" t="str">
        <f>HYPERLINK("#Statut_biogéographique!A"&amp;_xlfn.XMATCH("P",Statut_biogéographique!A:A,2,1),"P")</f>
        <v>P</v>
      </c>
      <c r="AP15111" s="4" t="s">
        <v>376</v>
      </c>
      <c r="AR15111" s="4" t="s">
        <v>377</v>
      </c>
    </row>
    <row r="15112" spans="1:44">
      <c r="A15112" s="4" t="s">
        <v>10753</v>
      </c>
      <c r="B15112" s="4">
        <v>248310</v>
      </c>
      <c r="D15112" s="5" t="s">
        <v>17911</v>
      </c>
      <c r="E15112" s="6" t="str">
        <f>HYPERLINK("https://inpn.mnhn.fr/espece/cd_nom/248310","Crambus pratella (Linnaeus, 1758)")</f>
        <v>Crambus pratella (Linnaeus, 1758)</v>
      </c>
      <c r="F15112" s="5" t="s">
        <v>17912</v>
      </c>
      <c r="AH15112" s="4" t="str">
        <f>HYPERLINK("#Statut_biogéographique!A"&amp;_xlfn.XMATCH("P",Statut_biogéographique!A:A,2,1),"P")</f>
        <v>P</v>
      </c>
      <c r="AP15112" s="4" t="s">
        <v>376</v>
      </c>
      <c r="AR15112" s="4" t="s">
        <v>377</v>
      </c>
    </row>
    <row r="15113" spans="1:44">
      <c r="A15113" s="4" t="s">
        <v>10753</v>
      </c>
      <c r="B15113" s="4">
        <v>248311</v>
      </c>
      <c r="D15113" s="5" t="s">
        <v>17913</v>
      </c>
      <c r="E15113" s="6" t="str">
        <f>HYPERLINK("https://inpn.mnhn.fr/espece/cd_nom/248311","Crambus lathoniellus (Zincken, 1817)")</f>
        <v>Crambus lathoniellus (Zincken, 1817)</v>
      </c>
      <c r="F15113" s="5" t="s">
        <v>17914</v>
      </c>
      <c r="AH15113" s="4" t="str">
        <f>HYPERLINK("#Statut_biogéographique!A"&amp;_xlfn.XMATCH("P",Statut_biogéographique!A:A,2,1),"P")</f>
        <v>P</v>
      </c>
      <c r="AP15113" s="4" t="s">
        <v>376</v>
      </c>
      <c r="AR15113" s="4" t="s">
        <v>377</v>
      </c>
    </row>
    <row r="15114" spans="1:44" ht="30">
      <c r="A15114" s="4" t="s">
        <v>10753</v>
      </c>
      <c r="B15114" s="4">
        <v>248314</v>
      </c>
      <c r="D15114" s="5" t="s">
        <v>17915</v>
      </c>
      <c r="E15114" s="6" t="str">
        <f>HYPERLINK("https://inpn.mnhn.fr/espece/cd_nom/248314","Chrysoteuchia culmella (Linnaeus, 1758)")</f>
        <v>Chrysoteuchia culmella (Linnaeus, 1758)</v>
      </c>
      <c r="F15114" s="5" t="s">
        <v>17916</v>
      </c>
      <c r="AH15114" s="4" t="str">
        <f>HYPERLINK("#Statut_biogéographique!A"&amp;_xlfn.XMATCH("P",Statut_biogéographique!A:A,2,1),"P")</f>
        <v>P</v>
      </c>
      <c r="AP15114" s="4" t="s">
        <v>376</v>
      </c>
      <c r="AR15114" s="4" t="s">
        <v>377</v>
      </c>
    </row>
    <row r="15115" spans="1:44">
      <c r="A15115" s="4" t="s">
        <v>10753</v>
      </c>
      <c r="B15115" s="4">
        <v>248315</v>
      </c>
      <c r="D15115" s="5" t="s">
        <v>17917</v>
      </c>
      <c r="E15115" s="6" t="str">
        <f>HYPERLINK("https://inpn.mnhn.fr/espece/cd_nom/248315","Calamotropha paludella (Hübner, 1824)")</f>
        <v>Calamotropha paludella (Hübner, 1824)</v>
      </c>
      <c r="F15115" s="5" t="s">
        <v>17918</v>
      </c>
      <c r="AH15115" s="4" t="str">
        <f>HYPERLINK("#Statut_biogéographique!A"&amp;_xlfn.XMATCH("P",Statut_biogéographique!A:A,2,1),"P")</f>
        <v>P</v>
      </c>
      <c r="AP15115" s="4" t="s">
        <v>376</v>
      </c>
      <c r="AR15115" s="4" t="s">
        <v>377</v>
      </c>
    </row>
    <row r="15116" spans="1:44">
      <c r="A15116" s="4" t="s">
        <v>10753</v>
      </c>
      <c r="B15116" s="4">
        <v>24832</v>
      </c>
      <c r="D15116" s="5" t="s">
        <v>17919</v>
      </c>
      <c r="E15116" s="6" t="str">
        <f>HYPERLINK("https://inpn.mnhn.fr/espece/cd_nom/24832","Trupanea amoena (Frauenfeld, 1857)")</f>
        <v>Trupanea amoena (Frauenfeld, 1857)</v>
      </c>
      <c r="AH15116" s="4" t="str">
        <f>HYPERLINK("#Statut_biogéographique!A"&amp;_xlfn.XMATCH("P",Statut_biogéographique!A:A,2,1),"P")</f>
        <v>P</v>
      </c>
      <c r="AP15116" s="4" t="s">
        <v>376</v>
      </c>
      <c r="AR15116" s="4" t="s">
        <v>377</v>
      </c>
    </row>
    <row r="15117" spans="1:44">
      <c r="A15117" s="4" t="s">
        <v>10753</v>
      </c>
      <c r="B15117" s="4">
        <v>248326</v>
      </c>
      <c r="D15117" s="5" t="s">
        <v>17920</v>
      </c>
      <c r="E15117" s="6" t="str">
        <f>HYPERLINK("https://inpn.mnhn.fr/espece/cd_nom/248326","Euchromius bella (Hübner, 1796)")</f>
        <v>Euchromius bella (Hübner, 1796)</v>
      </c>
      <c r="F15117" s="5" t="s">
        <v>17921</v>
      </c>
      <c r="AH15117" s="4" t="str">
        <f>HYPERLINK("#Statut_biogéographique!A"&amp;_xlfn.XMATCH("P",Statut_biogéographique!A:A,2,1),"P")</f>
        <v>P</v>
      </c>
      <c r="AP15117" s="4" t="s">
        <v>376</v>
      </c>
      <c r="AR15117" s="4" t="s">
        <v>377</v>
      </c>
    </row>
    <row r="15118" spans="1:44" ht="30">
      <c r="A15118" s="4" t="s">
        <v>10753</v>
      </c>
      <c r="B15118" s="4">
        <v>248333</v>
      </c>
      <c r="D15118" s="5" t="s">
        <v>17922</v>
      </c>
      <c r="E15118" s="6" t="str">
        <f>HYPERLINK("https://inpn.mnhn.fr/espece/cd_nom/248333","Heliothela wulfeniana (Scopoli, 1763)")</f>
        <v>Heliothela wulfeniana (Scopoli, 1763)</v>
      </c>
      <c r="F15118" s="5" t="s">
        <v>17923</v>
      </c>
      <c r="AH15118" s="4" t="str">
        <f>HYPERLINK("#Statut_biogéographique!A"&amp;_xlfn.XMATCH("P",Statut_biogéographique!A:A,2,1),"P")</f>
        <v>P</v>
      </c>
      <c r="AP15118" s="4" t="s">
        <v>376</v>
      </c>
      <c r="AR15118" s="4" t="s">
        <v>377</v>
      </c>
    </row>
    <row r="15119" spans="1:44">
      <c r="A15119" s="4" t="s">
        <v>10753</v>
      </c>
      <c r="B15119" s="4">
        <v>248335</v>
      </c>
      <c r="D15119" s="5" t="s">
        <v>17924</v>
      </c>
      <c r="E15119" s="6" t="str">
        <f>HYPERLINK("https://inpn.mnhn.fr/espece/cd_nom/248335","Eudonia lacustrata (Panzer, 1804)")</f>
        <v>Eudonia lacustrata (Panzer, 1804)</v>
      </c>
      <c r="F15119" s="5" t="s">
        <v>17925</v>
      </c>
      <c r="AH15119" s="4" t="str">
        <f>HYPERLINK("#Statut_biogéographique!A"&amp;_xlfn.XMATCH("P",Statut_biogéographique!A:A,2,1),"P")</f>
        <v>P</v>
      </c>
      <c r="AP15119" s="4" t="s">
        <v>376</v>
      </c>
      <c r="AR15119" s="4" t="s">
        <v>377</v>
      </c>
    </row>
    <row r="15120" spans="1:44">
      <c r="A15120" s="4" t="s">
        <v>10753</v>
      </c>
      <c r="B15120" s="4">
        <v>248336</v>
      </c>
      <c r="D15120" s="5" t="s">
        <v>17926</v>
      </c>
      <c r="E15120" s="6" t="str">
        <f>HYPERLINK("https://inpn.mnhn.fr/espece/cd_nom/248336","Eudonia murana (Curtis, 1827)")</f>
        <v>Eudonia murana (Curtis, 1827)</v>
      </c>
      <c r="F15120" s="5" t="s">
        <v>17927</v>
      </c>
      <c r="AH15120" s="4" t="str">
        <f>HYPERLINK("#Statut_biogéographique!A"&amp;_xlfn.XMATCH("P",Statut_biogéographique!A:A,2,1),"P")</f>
        <v>P</v>
      </c>
      <c r="AP15120" s="4" t="s">
        <v>376</v>
      </c>
      <c r="AR15120" s="4" t="s">
        <v>377</v>
      </c>
    </row>
    <row r="15121" spans="1:44">
      <c r="A15121" s="4" t="s">
        <v>10753</v>
      </c>
      <c r="B15121" s="4">
        <v>248337</v>
      </c>
      <c r="D15121" s="5" t="s">
        <v>17928</v>
      </c>
      <c r="E15121" s="6" t="str">
        <f>HYPERLINK("https://inpn.mnhn.fr/espece/cd_nom/248337","Eudonia petrophila (Standfuss, 1848)")</f>
        <v>Eudonia petrophila (Standfuss, 1848)</v>
      </c>
      <c r="F15121" s="5" t="s">
        <v>17929</v>
      </c>
      <c r="AH15121" s="4" t="str">
        <f>HYPERLINK("#Statut_biogéographique!A"&amp;_xlfn.XMATCH("P",Statut_biogéographique!A:A,2,1),"P")</f>
        <v>P</v>
      </c>
      <c r="AP15121" s="4" t="s">
        <v>376</v>
      </c>
      <c r="AR15121" s="4" t="s">
        <v>377</v>
      </c>
    </row>
    <row r="15122" spans="1:44">
      <c r="A15122" s="4" t="s">
        <v>10753</v>
      </c>
      <c r="B15122" s="4">
        <v>248338</v>
      </c>
      <c r="D15122" s="5" t="s">
        <v>17930</v>
      </c>
      <c r="E15122" s="6" t="str">
        <f>HYPERLINK("https://inpn.mnhn.fr/espece/cd_nom/248338","Eudonia angustea (Curtis, 1827)")</f>
        <v>Eudonia angustea (Curtis, 1827)</v>
      </c>
      <c r="F15122" s="5" t="s">
        <v>17931</v>
      </c>
      <c r="AH15122" s="4" t="str">
        <f>HYPERLINK("#Statut_biogéographique!A"&amp;_xlfn.XMATCH("P",Statut_biogéographique!A:A,2,1),"P")</f>
        <v>P</v>
      </c>
      <c r="AP15122" s="4" t="s">
        <v>376</v>
      </c>
      <c r="AR15122" s="4" t="s">
        <v>377</v>
      </c>
    </row>
    <row r="15123" spans="1:44">
      <c r="A15123" s="4" t="s">
        <v>10753</v>
      </c>
      <c r="B15123" s="4">
        <v>24834</v>
      </c>
      <c r="D15123" s="5" t="s">
        <v>17932</v>
      </c>
      <c r="E15123" s="6" t="str">
        <f>HYPERLINK("https://inpn.mnhn.fr/espece/cd_nom/24834","Trupanea stellata (Fuessly, 1775)")</f>
        <v>Trupanea stellata (Fuessly, 1775)</v>
      </c>
      <c r="AH15123" s="4" t="str">
        <f>HYPERLINK("#Statut_biogéographique!A"&amp;_xlfn.XMATCH("P",Statut_biogéographique!A:A,2,1),"P")</f>
        <v>P</v>
      </c>
      <c r="AP15123" s="4" t="s">
        <v>376</v>
      </c>
      <c r="AR15123" s="4" t="s">
        <v>377</v>
      </c>
    </row>
    <row r="15124" spans="1:44">
      <c r="A15124" s="4" t="s">
        <v>10753</v>
      </c>
      <c r="B15124" s="4">
        <v>248340</v>
      </c>
      <c r="D15124" s="5" t="s">
        <v>17933</v>
      </c>
      <c r="E15124" s="6" t="str">
        <f>HYPERLINK("https://inpn.mnhn.fr/espece/cd_nom/248340","Eudonia lineola (Curtis, 1827)")</f>
        <v>Eudonia lineola (Curtis, 1827)</v>
      </c>
      <c r="F15124" s="5" t="s">
        <v>17934</v>
      </c>
      <c r="AH15124" s="4" t="str">
        <f>HYPERLINK("#Statut_biogéographique!A"&amp;_xlfn.XMATCH("P",Statut_biogéographique!A:A,2,1),"P")</f>
        <v>P</v>
      </c>
      <c r="AP15124" s="4" t="s">
        <v>376</v>
      </c>
      <c r="AR15124" s="4" t="s">
        <v>377</v>
      </c>
    </row>
    <row r="15125" spans="1:44">
      <c r="A15125" s="4" t="s">
        <v>10753</v>
      </c>
      <c r="B15125" s="4">
        <v>248341</v>
      </c>
      <c r="D15125" s="5" t="s">
        <v>17935</v>
      </c>
      <c r="E15125" s="6" t="str">
        <f>HYPERLINK("https://inpn.mnhn.fr/espece/cd_nom/248341","Eudonia delunella (Stainton, 1849)")</f>
        <v>Eudonia delunella (Stainton, 1849)</v>
      </c>
      <c r="F15125" s="5" t="s">
        <v>17936</v>
      </c>
      <c r="AH15125" s="4" t="str">
        <f>HYPERLINK("#Statut_biogéographique!A"&amp;_xlfn.XMATCH("P",Statut_biogéographique!A:A,2,1),"P")</f>
        <v>P</v>
      </c>
      <c r="AP15125" s="4" t="s">
        <v>376</v>
      </c>
      <c r="AR15125" s="4" t="s">
        <v>377</v>
      </c>
    </row>
    <row r="15126" spans="1:44">
      <c r="A15126" s="4" t="s">
        <v>10753</v>
      </c>
      <c r="B15126" s="4">
        <v>248343</v>
      </c>
      <c r="D15126" s="5" t="s">
        <v>17937</v>
      </c>
      <c r="E15126" s="6" t="str">
        <f>HYPERLINK("https://inpn.mnhn.fr/espece/cd_nom/248343","Eudonia truncicolella (Stainton, 1849)")</f>
        <v>Eudonia truncicolella (Stainton, 1849)</v>
      </c>
      <c r="F15126" s="5" t="s">
        <v>17938</v>
      </c>
      <c r="AH15126" s="4" t="str">
        <f>HYPERLINK("#Statut_biogéographique!A"&amp;_xlfn.XMATCH("P",Statut_biogéographique!A:A,2,1),"P")</f>
        <v>P</v>
      </c>
      <c r="AP15126" s="4" t="s">
        <v>376</v>
      </c>
      <c r="AR15126" s="4" t="s">
        <v>377</v>
      </c>
    </row>
    <row r="15127" spans="1:44" ht="30">
      <c r="A15127" s="4" t="s">
        <v>10753</v>
      </c>
      <c r="B15127" s="4">
        <v>248345</v>
      </c>
      <c r="D15127" s="5" t="s">
        <v>17939</v>
      </c>
      <c r="E15127" s="6" t="str">
        <f>HYPERLINK("https://inpn.mnhn.fr/espece/cd_nom/248345","Eudonia mercurella (Linnaeus, 1758)")</f>
        <v>Eudonia mercurella (Linnaeus, 1758)</v>
      </c>
      <c r="AH15127" s="4" t="str">
        <f>HYPERLINK("#Statut_biogéographique!A"&amp;_xlfn.XMATCH("P",Statut_biogéographique!A:A,2,1),"P")</f>
        <v>P</v>
      </c>
      <c r="AP15127" s="4" t="s">
        <v>376</v>
      </c>
      <c r="AR15127" s="4" t="s">
        <v>377</v>
      </c>
    </row>
    <row r="15128" spans="1:44" ht="30">
      <c r="A15128" s="4" t="s">
        <v>10753</v>
      </c>
      <c r="B15128" s="4">
        <v>248351</v>
      </c>
      <c r="D15128" s="5" t="s">
        <v>17940</v>
      </c>
      <c r="E15128" s="6" t="str">
        <f>HYPERLINK("https://inpn.mnhn.fr/espece/cd_nom/248351","Scoparia subfusca Haworth, 1811")</f>
        <v>Scoparia subfusca Haworth, 1811</v>
      </c>
      <c r="F15128" s="5" t="s">
        <v>17941</v>
      </c>
      <c r="AH15128" s="4" t="str">
        <f>HYPERLINK("#Statut_biogéographique!A"&amp;_xlfn.XMATCH("P",Statut_biogéographique!A:A,2,1),"P")</f>
        <v>P</v>
      </c>
      <c r="AP15128" s="4" t="s">
        <v>376</v>
      </c>
      <c r="AR15128" s="4" t="s">
        <v>377</v>
      </c>
    </row>
    <row r="15129" spans="1:44">
      <c r="A15129" s="4" t="s">
        <v>10753</v>
      </c>
      <c r="B15129" s="4">
        <v>248352</v>
      </c>
      <c r="D15129" s="5">
        <v>248352</v>
      </c>
      <c r="E15129" s="6" t="str">
        <f>HYPERLINK("https://inpn.mnhn.fr/espece/cd_nom/248352","Scoparia basistrigalis Knaggs, 1866")</f>
        <v>Scoparia basistrigalis Knaggs, 1866</v>
      </c>
      <c r="F15129" s="5" t="s">
        <v>17942</v>
      </c>
      <c r="AH15129" s="4" t="str">
        <f>HYPERLINK("#Statut_biogéographique!A"&amp;_xlfn.XMATCH("P",Statut_biogéographique!A:A,2,1),"P")</f>
        <v>P</v>
      </c>
      <c r="AP15129" s="4" t="s">
        <v>376</v>
      </c>
      <c r="AR15129" s="4" t="s">
        <v>377</v>
      </c>
    </row>
    <row r="15130" spans="1:44">
      <c r="A15130" s="4" t="s">
        <v>10753</v>
      </c>
      <c r="B15130" s="4">
        <v>248354</v>
      </c>
      <c r="D15130" s="5" t="s">
        <v>17943</v>
      </c>
      <c r="E15130" s="6" t="str">
        <f>HYPERLINK("https://inpn.mnhn.fr/espece/cd_nom/248354","Scoparia ambigualis (Treitschke, 1829)")</f>
        <v>Scoparia ambigualis (Treitschke, 1829)</v>
      </c>
      <c r="F15130" s="5" t="s">
        <v>17944</v>
      </c>
      <c r="AH15130" s="4" t="str">
        <f>HYPERLINK("#Statut_biogéographique!A"&amp;_xlfn.XMATCH("P",Statut_biogéographique!A:A,2,1),"P")</f>
        <v>P</v>
      </c>
      <c r="AP15130" s="4" t="s">
        <v>376</v>
      </c>
      <c r="AR15130" s="4" t="s">
        <v>377</v>
      </c>
    </row>
    <row r="15131" spans="1:44">
      <c r="A15131" s="4" t="s">
        <v>10753</v>
      </c>
      <c r="B15131" s="4">
        <v>248355</v>
      </c>
      <c r="D15131" s="5" t="s">
        <v>17945</v>
      </c>
      <c r="E15131" s="6" t="str">
        <f>HYPERLINK("https://inpn.mnhn.fr/espece/cd_nom/248355","Scoparia ancipitella (de La Harpe, 1855)")</f>
        <v>Scoparia ancipitella (de La Harpe, 1855)</v>
      </c>
      <c r="F15131" s="5" t="s">
        <v>17946</v>
      </c>
      <c r="AH15131" s="4" t="str">
        <f>HYPERLINK("#Statut_biogéographique!A"&amp;_xlfn.XMATCH("P",Statut_biogéographique!A:A,2,1),"P")</f>
        <v>P</v>
      </c>
      <c r="AP15131" s="4" t="s">
        <v>376</v>
      </c>
      <c r="AR15131" s="4" t="s">
        <v>377</v>
      </c>
    </row>
    <row r="15132" spans="1:44">
      <c r="A15132" s="4" t="s">
        <v>10753</v>
      </c>
      <c r="B15132" s="4">
        <v>248356</v>
      </c>
      <c r="D15132" s="5" t="s">
        <v>17947</v>
      </c>
      <c r="E15132" s="6" t="str">
        <f>HYPERLINK("https://inpn.mnhn.fr/espece/cd_nom/248356","Scoparia conicella (de La Harpe, 1863)")</f>
        <v>Scoparia conicella (de La Harpe, 1863)</v>
      </c>
      <c r="F15132" s="5" t="s">
        <v>17948</v>
      </c>
      <c r="AH15132" s="4" t="str">
        <f>HYPERLINK("#Statut_biogéographique!A"&amp;_xlfn.XMATCH("P",Statut_biogéographique!A:A,2,1),"P")</f>
        <v>P</v>
      </c>
      <c r="AP15132" s="4" t="s">
        <v>376</v>
      </c>
      <c r="AR15132" s="4" t="s">
        <v>377</v>
      </c>
    </row>
    <row r="15133" spans="1:44" ht="30">
      <c r="A15133" s="4" t="s">
        <v>10753</v>
      </c>
      <c r="B15133" s="4">
        <v>248357</v>
      </c>
      <c r="D15133" s="5" t="s">
        <v>17949</v>
      </c>
      <c r="E15133" s="6" t="str">
        <f>HYPERLINK("https://inpn.mnhn.fr/espece/cd_nom/248357","Scoparia pyralella (Denis &amp; Schiffermüller, 1775)")</f>
        <v>Scoparia pyralella (Denis &amp; Schiffermüller, 1775)</v>
      </c>
      <c r="F15133" s="5" t="s">
        <v>17950</v>
      </c>
      <c r="AH15133" s="4" t="str">
        <f>HYPERLINK("#Statut_biogéographique!A"&amp;_xlfn.XMATCH("P",Statut_biogéographique!A:A,2,1),"P")</f>
        <v>P</v>
      </c>
      <c r="AP15133" s="4" t="s">
        <v>376</v>
      </c>
      <c r="AR15133" s="4" t="s">
        <v>377</v>
      </c>
    </row>
    <row r="15134" spans="1:44">
      <c r="A15134" s="4" t="s">
        <v>10753</v>
      </c>
      <c r="B15134" s="4">
        <v>248359</v>
      </c>
      <c r="D15134" s="5" t="s">
        <v>17951</v>
      </c>
      <c r="E15134" s="6" t="str">
        <f>HYPERLINK("https://inpn.mnhn.fr/espece/cd_nom/248359","Scoparia ingratella (Zeller, 1846)")</f>
        <v>Scoparia ingratella (Zeller, 1846)</v>
      </c>
      <c r="F15134" s="5" t="s">
        <v>17952</v>
      </c>
      <c r="AH15134" s="4" t="str">
        <f>HYPERLINK("#Statut_biogéographique!A"&amp;_xlfn.XMATCH("P",Statut_biogéographique!A:A,2,1),"P")</f>
        <v>P</v>
      </c>
      <c r="AP15134" s="4" t="s">
        <v>376</v>
      </c>
      <c r="AR15134" s="4" t="s">
        <v>377</v>
      </c>
    </row>
    <row r="15135" spans="1:44" ht="30">
      <c r="A15135" s="4" t="s">
        <v>10753</v>
      </c>
      <c r="B15135" s="4">
        <v>248362</v>
      </c>
      <c r="D15135" s="5" t="s">
        <v>17953</v>
      </c>
      <c r="E15135" s="6" t="str">
        <f>HYPERLINK("https://inpn.mnhn.fr/espece/cd_nom/248362","Cosmotriche lobulina (Denis &amp; Schiffermüller, 1775)")</f>
        <v>Cosmotriche lobulina (Denis &amp; Schiffermüller, 1775)</v>
      </c>
      <c r="F15135" s="5" t="s">
        <v>17954</v>
      </c>
      <c r="AH15135" s="4" t="str">
        <f>HYPERLINK("#Statut_biogéographique!A"&amp;_xlfn.XMATCH("P",Statut_biogéographique!A:A,2,1),"P")</f>
        <v>P</v>
      </c>
      <c r="AP15135" s="4" t="s">
        <v>376</v>
      </c>
      <c r="AR15135" s="4" t="s">
        <v>377</v>
      </c>
    </row>
    <row r="15136" spans="1:44" ht="30">
      <c r="A15136" s="4" t="s">
        <v>10753</v>
      </c>
      <c r="B15136" s="4">
        <v>248363</v>
      </c>
      <c r="D15136" s="5" t="s">
        <v>17955</v>
      </c>
      <c r="E15136" s="6" t="str">
        <f>HYPERLINK("https://inpn.mnhn.fr/espece/cd_nom/248363","Euthrix potatoria (Linnaeus, 1758)")</f>
        <v>Euthrix potatoria (Linnaeus, 1758)</v>
      </c>
      <c r="F15136" s="5" t="s">
        <v>17956</v>
      </c>
      <c r="AH15136" s="4" t="str">
        <f>HYPERLINK("#Statut_biogéographique!A"&amp;_xlfn.XMATCH("P",Statut_biogéographique!A:A,2,1),"P")</f>
        <v>P</v>
      </c>
      <c r="AP15136" s="4" t="s">
        <v>376</v>
      </c>
      <c r="AR15136" s="4" t="s">
        <v>377</v>
      </c>
    </row>
    <row r="15137" spans="1:44" ht="30">
      <c r="A15137" s="4" t="s">
        <v>10753</v>
      </c>
      <c r="B15137" s="4">
        <v>248369</v>
      </c>
      <c r="D15137" s="5" t="s">
        <v>17957</v>
      </c>
      <c r="E15137" s="6" t="str">
        <f>HYPERLINK("https://inpn.mnhn.fr/espece/cd_nom/248369","Lasiocampa trifolii (Denis &amp; Schiffermüller, 1775)")</f>
        <v>Lasiocampa trifolii (Denis &amp; Schiffermüller, 1775)</v>
      </c>
      <c r="F15137" s="5" t="s">
        <v>17958</v>
      </c>
      <c r="AH15137" s="4" t="str">
        <f>HYPERLINK("#Statut_biogéographique!A"&amp;_xlfn.XMATCH("P",Statut_biogéographique!A:A,2,1),"P")</f>
        <v>P</v>
      </c>
      <c r="AP15137" s="4" t="s">
        <v>376</v>
      </c>
      <c r="AR15137" s="4" t="s">
        <v>377</v>
      </c>
    </row>
    <row r="15138" spans="1:44">
      <c r="A15138" s="4" t="s">
        <v>10753</v>
      </c>
      <c r="B15138" s="4">
        <v>248370</v>
      </c>
      <c r="D15138" s="5" t="s">
        <v>17959</v>
      </c>
      <c r="E15138" s="6" t="str">
        <f>HYPERLINK("https://inpn.mnhn.fr/espece/cd_nom/248370","Malacosoma castrense (Linnaeus, 1758)")</f>
        <v>Malacosoma castrense (Linnaeus, 1758)</v>
      </c>
      <c r="F15138" s="5" t="s">
        <v>17960</v>
      </c>
      <c r="AH15138" s="4" t="str">
        <f>HYPERLINK("#Statut_biogéographique!A"&amp;_xlfn.XMATCH("P",Statut_biogéographique!A:A,2,1),"P")</f>
        <v>P</v>
      </c>
      <c r="AP15138" s="4" t="s">
        <v>376</v>
      </c>
      <c r="AR15138" s="4" t="s">
        <v>377</v>
      </c>
    </row>
    <row r="15139" spans="1:44" ht="30">
      <c r="A15139" s="4" t="s">
        <v>10753</v>
      </c>
      <c r="B15139" s="4">
        <v>248371</v>
      </c>
      <c r="D15139" s="5" t="s">
        <v>17961</v>
      </c>
      <c r="E15139" s="6" t="str">
        <f>HYPERLINK("https://inpn.mnhn.fr/espece/cd_nom/248371","Malacosoma franconicum (Denis &amp; Schiffermüller, 1775)")</f>
        <v>Malacosoma franconicum (Denis &amp; Schiffermüller, 1775)</v>
      </c>
      <c r="F15139" s="5" t="s">
        <v>17962</v>
      </c>
      <c r="AH15139" s="4" t="str">
        <f>HYPERLINK("#Statut_biogéographique!A"&amp;_xlfn.XMATCH("P",Statut_biogéographique!A:A,2,1),"P")</f>
        <v>P</v>
      </c>
      <c r="AP15139" s="4" t="s">
        <v>376</v>
      </c>
      <c r="AR15139" s="4" t="s">
        <v>377</v>
      </c>
    </row>
    <row r="15140" spans="1:44" ht="30">
      <c r="A15140" s="4" t="s">
        <v>10753</v>
      </c>
      <c r="B15140" s="4">
        <v>248375</v>
      </c>
      <c r="D15140" s="5" t="s">
        <v>17963</v>
      </c>
      <c r="E15140" s="6" t="str">
        <f>HYPERLINK("https://inpn.mnhn.fr/espece/cd_nom/248375","Saturnia pavonia (Linnaeus, 1758)")</f>
        <v>Saturnia pavonia (Linnaeus, 1758)</v>
      </c>
      <c r="F15140" s="5" t="s">
        <v>17964</v>
      </c>
      <c r="AH15140" s="4" t="str">
        <f>HYPERLINK("#Statut_biogéographique!A"&amp;_xlfn.XMATCH("P",Statut_biogéographique!A:A,2,1),"P")</f>
        <v>P</v>
      </c>
      <c r="AP15140" s="4" t="s">
        <v>376</v>
      </c>
      <c r="AR15140" s="4" t="s">
        <v>377</v>
      </c>
    </row>
    <row r="15141" spans="1:44" ht="30">
      <c r="A15141" s="4" t="s">
        <v>10753</v>
      </c>
      <c r="B15141" s="4">
        <v>248378</v>
      </c>
      <c r="D15141" s="5" t="s">
        <v>17965</v>
      </c>
      <c r="E15141" s="6" t="str">
        <f>HYPERLINK("https://inpn.mnhn.fr/espece/cd_nom/248378","Hyles livornica (Esper, 1780)")</f>
        <v>Hyles livornica (Esper, 1780)</v>
      </c>
      <c r="F15141" s="5" t="s">
        <v>17966</v>
      </c>
      <c r="AH15141" s="4" t="str">
        <f>HYPERLINK("#Statut_biogéographique!A"&amp;_xlfn.XMATCH("P",Statut_biogéographique!A:A,2,1),"P")</f>
        <v>P</v>
      </c>
      <c r="AP15141" s="4" t="s">
        <v>376</v>
      </c>
      <c r="AR15141" s="4" t="s">
        <v>377</v>
      </c>
    </row>
    <row r="15142" spans="1:44" ht="45">
      <c r="A15142" s="4" t="s">
        <v>10753</v>
      </c>
      <c r="B15142" s="4">
        <v>248379</v>
      </c>
      <c r="D15142" s="5" t="s">
        <v>17967</v>
      </c>
      <c r="E15142" s="6" t="str">
        <f>HYPERLINK("https://inpn.mnhn.fr/espece/cd_nom/248379","Sphinx pinastri Linnaeus, 1758")</f>
        <v>Sphinx pinastri Linnaeus, 1758</v>
      </c>
      <c r="F15142" s="5" t="s">
        <v>17968</v>
      </c>
      <c r="AH15142" s="4" t="str">
        <f>HYPERLINK("#Statut_biogéographique!A"&amp;_xlfn.XMATCH("P",Statut_biogéographique!A:A,2,1),"P")</f>
        <v>P</v>
      </c>
      <c r="AP15142" s="4" t="s">
        <v>376</v>
      </c>
      <c r="AR15142" s="4" t="s">
        <v>377</v>
      </c>
    </row>
    <row r="15143" spans="1:44">
      <c r="A15143" s="4" t="s">
        <v>10753</v>
      </c>
      <c r="B15143" s="4">
        <v>248381</v>
      </c>
      <c r="D15143" s="5" t="s">
        <v>17969</v>
      </c>
      <c r="E15143" s="6" t="str">
        <f>HYPERLINK("https://inpn.mnhn.fr/espece/cd_nom/248381","Smerinthus ocellatus (Linnaeus, 1758)")</f>
        <v>Smerinthus ocellatus (Linnaeus, 1758)</v>
      </c>
      <c r="F15143" s="5" t="s">
        <v>17970</v>
      </c>
      <c r="AH15143" s="4" t="str">
        <f>HYPERLINK("#Statut_biogéographique!A"&amp;_xlfn.XMATCH("P",Statut_biogéographique!A:A,2,1),"P")</f>
        <v>P</v>
      </c>
      <c r="AP15143" s="4" t="s">
        <v>376</v>
      </c>
      <c r="AR15143" s="4" t="s">
        <v>377</v>
      </c>
    </row>
    <row r="15144" spans="1:44" ht="30">
      <c r="A15144" s="4" t="s">
        <v>10753</v>
      </c>
      <c r="B15144" s="4">
        <v>248384</v>
      </c>
      <c r="D15144" s="5" t="s">
        <v>17971</v>
      </c>
      <c r="E15144" s="6" t="str">
        <f>HYPERLINK("https://inpn.mnhn.fr/espece/cd_nom/248384","Cilix glaucata (Scopoli, 1763)")</f>
        <v>Cilix glaucata (Scopoli, 1763)</v>
      </c>
      <c r="F15144" s="5" t="s">
        <v>17972</v>
      </c>
      <c r="AH15144" s="4" t="str">
        <f>HYPERLINK("#Statut_biogéographique!A"&amp;_xlfn.XMATCH("P",Statut_biogéographique!A:A,2,1),"P")</f>
        <v>P</v>
      </c>
      <c r="AP15144" s="4" t="s">
        <v>376</v>
      </c>
      <c r="AR15144" s="4" t="s">
        <v>377</v>
      </c>
    </row>
    <row r="15145" spans="1:44">
      <c r="A15145" s="4" t="s">
        <v>10753</v>
      </c>
      <c r="B15145" s="4">
        <v>248385</v>
      </c>
      <c r="D15145" s="5" t="s">
        <v>17973</v>
      </c>
      <c r="E15145" s="6" t="str">
        <f>HYPERLINK("https://inpn.mnhn.fr/espece/cd_nom/248385","Sabra harpagula (Esper, 1786)")</f>
        <v>Sabra harpagula (Esper, 1786)</v>
      </c>
      <c r="F15145" s="5" t="s">
        <v>17974</v>
      </c>
      <c r="AH15145" s="4" t="str">
        <f>HYPERLINK("#Statut_biogéographique!A"&amp;_xlfn.XMATCH("P",Statut_biogéographique!A:A,2,1),"P")</f>
        <v>P</v>
      </c>
      <c r="AP15145" s="4" t="s">
        <v>376</v>
      </c>
      <c r="AR15145" s="4" t="s">
        <v>377</v>
      </c>
    </row>
    <row r="15146" spans="1:44">
      <c r="A15146" s="4" t="s">
        <v>10753</v>
      </c>
      <c r="B15146" s="4">
        <v>248386</v>
      </c>
      <c r="D15146" s="5" t="s">
        <v>17975</v>
      </c>
      <c r="E15146" s="6" t="str">
        <f>HYPERLINK("https://inpn.mnhn.fr/espece/cd_nom/248386","Drepana curvatula (Borkhausen, 1790)")</f>
        <v>Drepana curvatula (Borkhausen, 1790)</v>
      </c>
      <c r="F15146" s="5" t="s">
        <v>17976</v>
      </c>
      <c r="AH15146" s="4" t="str">
        <f>HYPERLINK("#Statut_biogéographique!A"&amp;_xlfn.XMATCH("P",Statut_biogéographique!A:A,2,1),"P")</f>
        <v>P</v>
      </c>
      <c r="AP15146" s="4" t="s">
        <v>376</v>
      </c>
      <c r="AR15146" s="4" t="s">
        <v>377</v>
      </c>
    </row>
    <row r="15147" spans="1:44" ht="30">
      <c r="A15147" s="4" t="s">
        <v>10753</v>
      </c>
      <c r="B15147" s="4">
        <v>248387</v>
      </c>
      <c r="D15147" s="5" t="s">
        <v>17977</v>
      </c>
      <c r="E15147" s="6" t="str">
        <f>HYPERLINK("https://inpn.mnhn.fr/espece/cd_nom/248387","Drepana falcataria (Linnaeus, 1758)")</f>
        <v>Drepana falcataria (Linnaeus, 1758)</v>
      </c>
      <c r="F15147" s="5" t="s">
        <v>17978</v>
      </c>
      <c r="AH15147" s="4" t="str">
        <f>HYPERLINK("#Statut_biogéographique!A"&amp;_xlfn.XMATCH("P",Statut_biogéographique!A:A,2,1),"P")</f>
        <v>P</v>
      </c>
      <c r="AP15147" s="4" t="s">
        <v>376</v>
      </c>
      <c r="AR15147" s="4" t="s">
        <v>377</v>
      </c>
    </row>
    <row r="15148" spans="1:44" ht="30">
      <c r="A15148" s="4" t="s">
        <v>10753</v>
      </c>
      <c r="B15148" s="4">
        <v>248388</v>
      </c>
      <c r="D15148" s="5" t="s">
        <v>17979</v>
      </c>
      <c r="E15148" s="6" t="str">
        <f>HYPERLINK("https://inpn.mnhn.fr/espece/cd_nom/248388","Watsonalla binaria (Hufnagel, 1767)")</f>
        <v>Watsonalla binaria (Hufnagel, 1767)</v>
      </c>
      <c r="F15148" s="5" t="s">
        <v>17980</v>
      </c>
      <c r="AH15148" s="4" t="str">
        <f>HYPERLINK("#Statut_biogéographique!A"&amp;_xlfn.XMATCH("P",Statut_biogéographique!A:A,2,1),"P")</f>
        <v>P</v>
      </c>
      <c r="AP15148" s="4" t="s">
        <v>376</v>
      </c>
      <c r="AR15148" s="4" t="s">
        <v>377</v>
      </c>
    </row>
    <row r="15149" spans="1:44">
      <c r="A15149" s="4" t="s">
        <v>10753</v>
      </c>
      <c r="B15149" s="4">
        <v>248390</v>
      </c>
      <c r="D15149" s="5" t="s">
        <v>17981</v>
      </c>
      <c r="E15149" s="6" t="str">
        <f>HYPERLINK("https://inpn.mnhn.fr/espece/cd_nom/248390","Watsonalla cultraria (Fabricius, 1775)")</f>
        <v>Watsonalla cultraria (Fabricius, 1775)</v>
      </c>
      <c r="F15149" s="5" t="s">
        <v>17982</v>
      </c>
      <c r="AH15149" s="4" t="str">
        <f>HYPERLINK("#Statut_biogéographique!A"&amp;_xlfn.XMATCH("P",Statut_biogéographique!A:A,2,1),"P")</f>
        <v>P</v>
      </c>
      <c r="AP15149" s="4" t="s">
        <v>376</v>
      </c>
      <c r="AR15149" s="4" t="s">
        <v>377</v>
      </c>
    </row>
    <row r="15150" spans="1:44" ht="30">
      <c r="A15150" s="4" t="s">
        <v>10753</v>
      </c>
      <c r="B15150" s="4">
        <v>248391</v>
      </c>
      <c r="D15150" s="5" t="s">
        <v>17983</v>
      </c>
      <c r="E15150" s="6" t="str">
        <f>HYPERLINK("https://inpn.mnhn.fr/espece/cd_nom/248391","Falcaria lacertinaria (Linnaeus, 1758)")</f>
        <v>Falcaria lacertinaria (Linnaeus, 1758)</v>
      </c>
      <c r="F15150" s="5" t="s">
        <v>17984</v>
      </c>
      <c r="AH15150" s="4" t="str">
        <f>HYPERLINK("#Statut_biogéographique!A"&amp;_xlfn.XMATCH("P",Statut_biogéographique!A:A,2,1),"P")</f>
        <v>P</v>
      </c>
      <c r="AP15150" s="4" t="s">
        <v>376</v>
      </c>
      <c r="AR15150" s="4" t="s">
        <v>377</v>
      </c>
    </row>
    <row r="15151" spans="1:44" ht="30">
      <c r="A15151" s="4" t="s">
        <v>10753</v>
      </c>
      <c r="B15151" s="4">
        <v>248392</v>
      </c>
      <c r="D15151" s="5" t="s">
        <v>17985</v>
      </c>
      <c r="E15151" s="6" t="str">
        <f>HYPERLINK("https://inpn.mnhn.fr/espece/cd_nom/248392","Achlya flavicornis (Linnaeus, 1758)")</f>
        <v>Achlya flavicornis (Linnaeus, 1758)</v>
      </c>
      <c r="F15151" s="5" t="s">
        <v>17986</v>
      </c>
      <c r="AH15151" s="4" t="str">
        <f>HYPERLINK("#Statut_biogéographique!A"&amp;_xlfn.XMATCH("P",Statut_biogéographique!A:A,2,1),"P")</f>
        <v>P</v>
      </c>
      <c r="AP15151" s="4" t="s">
        <v>376</v>
      </c>
      <c r="AR15151" s="4" t="s">
        <v>377</v>
      </c>
    </row>
    <row r="15152" spans="1:44">
      <c r="A15152" s="4" t="s">
        <v>10753</v>
      </c>
      <c r="B15152" s="4">
        <v>248394</v>
      </c>
      <c r="D15152" s="5" t="s">
        <v>17987</v>
      </c>
      <c r="E15152" s="6" t="str">
        <f>HYPERLINK("https://inpn.mnhn.fr/espece/cd_nom/248394","Polyploca ridens (Fabricius, 1787)")</f>
        <v>Polyploca ridens (Fabricius, 1787)</v>
      </c>
      <c r="F15152" s="5" t="s">
        <v>17988</v>
      </c>
      <c r="AH15152" s="4" t="str">
        <f>HYPERLINK("#Statut_biogéographique!A"&amp;_xlfn.XMATCH("P",Statut_biogéographique!A:A,2,1),"P")</f>
        <v>P</v>
      </c>
      <c r="AP15152" s="4" t="s">
        <v>376</v>
      </c>
      <c r="AR15152" s="4" t="s">
        <v>377</v>
      </c>
    </row>
    <row r="15153" spans="1:44" ht="30">
      <c r="A15153" s="4" t="s">
        <v>10753</v>
      </c>
      <c r="B15153" s="4">
        <v>248395</v>
      </c>
      <c r="D15153" s="5" t="s">
        <v>17989</v>
      </c>
      <c r="E15153" s="6" t="str">
        <f>HYPERLINK("https://inpn.mnhn.fr/espece/cd_nom/248395","Cymatophorina diluta (Denis &amp; Schiffermüller, 1775)")</f>
        <v>Cymatophorina diluta (Denis &amp; Schiffermüller, 1775)</v>
      </c>
      <c r="F15153" s="5" t="s">
        <v>17990</v>
      </c>
      <c r="AH15153" s="4" t="str">
        <f>HYPERLINK("#Statut_biogéographique!A"&amp;_xlfn.XMATCH("P",Statut_biogéographique!A:A,2,1),"P")</f>
        <v>P</v>
      </c>
      <c r="AP15153" s="4" t="s">
        <v>376</v>
      </c>
      <c r="AR15153" s="4" t="s">
        <v>377</v>
      </c>
    </row>
    <row r="15154" spans="1:44" ht="30">
      <c r="A15154" s="4" t="s">
        <v>10753</v>
      </c>
      <c r="B15154" s="4">
        <v>248396</v>
      </c>
      <c r="D15154" s="5" t="s">
        <v>17991</v>
      </c>
      <c r="E15154" s="6" t="str">
        <f>HYPERLINK("https://inpn.mnhn.fr/espece/cd_nom/248396","Ochropacha duplaris (Linnaeus, 1761)")</f>
        <v>Ochropacha duplaris (Linnaeus, 1761)</v>
      </c>
      <c r="F15154" s="5" t="s">
        <v>17992</v>
      </c>
      <c r="AH15154" s="4" t="str">
        <f>HYPERLINK("#Statut_biogéographique!A"&amp;_xlfn.XMATCH("P",Statut_biogéographique!A:A,2,1),"P")</f>
        <v>P</v>
      </c>
      <c r="AP15154" s="4" t="s">
        <v>376</v>
      </c>
      <c r="AR15154" s="4" t="s">
        <v>377</v>
      </c>
    </row>
    <row r="15155" spans="1:44">
      <c r="A15155" s="4" t="s">
        <v>10753</v>
      </c>
      <c r="B15155" s="4">
        <v>248397</v>
      </c>
      <c r="D15155" s="5" t="s">
        <v>17993</v>
      </c>
      <c r="E15155" s="6" t="str">
        <f>HYPERLINK("https://inpn.mnhn.fr/espece/cd_nom/248397","Tetheella fluctuosa (Hübner, 1803)")</f>
        <v>Tetheella fluctuosa (Hübner, 1803)</v>
      </c>
      <c r="F15155" s="5" t="s">
        <v>17994</v>
      </c>
      <c r="AH15155" s="4" t="str">
        <f>HYPERLINK("#Statut_biogéographique!A"&amp;_xlfn.XMATCH("P",Statut_biogéographique!A:A,2,1),"P")</f>
        <v>P</v>
      </c>
      <c r="AP15155" s="4" t="s">
        <v>376</v>
      </c>
      <c r="AR15155" s="4" t="s">
        <v>377</v>
      </c>
    </row>
    <row r="15156" spans="1:44" ht="30">
      <c r="A15156" s="4" t="s">
        <v>10753</v>
      </c>
      <c r="B15156" s="4">
        <v>248398</v>
      </c>
      <c r="D15156" s="5" t="s">
        <v>17995</v>
      </c>
      <c r="E15156" s="6" t="str">
        <f>HYPERLINK("https://inpn.mnhn.fr/espece/cd_nom/248398","Tethea ocularis (Linnaeus, 1767)")</f>
        <v>Tethea ocularis (Linnaeus, 1767)</v>
      </c>
      <c r="F15156" s="5" t="s">
        <v>17996</v>
      </c>
      <c r="AH15156" s="4" t="str">
        <f>HYPERLINK("#Statut_biogéographique!A"&amp;_xlfn.XMATCH("P",Statut_biogéographique!A:A,2,1),"P")</f>
        <v>P</v>
      </c>
      <c r="AP15156" s="4" t="s">
        <v>376</v>
      </c>
      <c r="AR15156" s="4" t="s">
        <v>377</v>
      </c>
    </row>
    <row r="15157" spans="1:44" ht="30">
      <c r="A15157" s="4" t="s">
        <v>10753</v>
      </c>
      <c r="B15157" s="4">
        <v>248399</v>
      </c>
      <c r="D15157" s="5" t="s">
        <v>17997</v>
      </c>
      <c r="E15157" s="6" t="str">
        <f>HYPERLINK("https://inpn.mnhn.fr/espece/cd_nom/248399","Tethea or (Denis &amp; Schiffermüller, 1775)")</f>
        <v>Tethea or (Denis &amp; Schiffermüller, 1775)</v>
      </c>
      <c r="F15157" s="5" t="s">
        <v>17998</v>
      </c>
      <c r="AH15157" s="4" t="str">
        <f>HYPERLINK("#Statut_biogéographique!A"&amp;_xlfn.XMATCH("P",Statut_biogéographique!A:A,2,1),"P")</f>
        <v>P</v>
      </c>
      <c r="AP15157" s="4" t="s">
        <v>376</v>
      </c>
      <c r="AR15157" s="4" t="s">
        <v>377</v>
      </c>
    </row>
    <row r="15158" spans="1:44">
      <c r="A15158" s="4" t="s">
        <v>10753</v>
      </c>
      <c r="B15158" s="4">
        <v>248400</v>
      </c>
      <c r="D15158" s="5" t="s">
        <v>17999</v>
      </c>
      <c r="E15158" s="6" t="str">
        <f>HYPERLINK("https://inpn.mnhn.fr/espece/cd_nom/248400","Habrosyne pyritoides (Hufnagel, 1766)")</f>
        <v>Habrosyne pyritoides (Hufnagel, 1766)</v>
      </c>
      <c r="F15158" s="5" t="s">
        <v>18000</v>
      </c>
      <c r="AH15158" s="4" t="str">
        <f>HYPERLINK("#Statut_biogéographique!A"&amp;_xlfn.XMATCH("P",Statut_biogéographique!A:A,2,1),"P")</f>
        <v>P</v>
      </c>
      <c r="AP15158" s="4" t="s">
        <v>376</v>
      </c>
      <c r="AR15158" s="4" t="s">
        <v>377</v>
      </c>
    </row>
    <row r="15159" spans="1:44">
      <c r="A15159" s="4" t="s">
        <v>10753</v>
      </c>
      <c r="B15159" s="4">
        <v>248401</v>
      </c>
      <c r="D15159" s="5" t="s">
        <v>18001</v>
      </c>
      <c r="E15159" s="6" t="str">
        <f>HYPERLINK("https://inpn.mnhn.fr/espece/cd_nom/248401","Thyatira batis (Linnaeus, 1758)")</f>
        <v>Thyatira batis (Linnaeus, 1758)</v>
      </c>
      <c r="F15159" s="5" t="s">
        <v>18002</v>
      </c>
      <c r="AH15159" s="4" t="str">
        <f>HYPERLINK("#Statut_biogéographique!A"&amp;_xlfn.XMATCH("P",Statut_biogéographique!A:A,2,1),"P")</f>
        <v>P</v>
      </c>
      <c r="AP15159" s="4" t="s">
        <v>376</v>
      </c>
      <c r="AR15159" s="4" t="s">
        <v>377</v>
      </c>
    </row>
    <row r="15160" spans="1:44" ht="30">
      <c r="A15160" s="4" t="s">
        <v>10753</v>
      </c>
      <c r="B15160" s="4">
        <v>248402</v>
      </c>
      <c r="D15160" s="5" t="s">
        <v>18003</v>
      </c>
      <c r="E15160" s="6" t="str">
        <f>HYPERLINK("https://inpn.mnhn.fr/espece/cd_nom/248402","Cyclophora pendularia (Clerck, 1759)")</f>
        <v>Cyclophora pendularia (Clerck, 1759)</v>
      </c>
      <c r="F15160" s="5" t="s">
        <v>18004</v>
      </c>
      <c r="AH15160" s="4" t="str">
        <f>HYPERLINK("#Statut_biogéographique!A"&amp;_xlfn.XMATCH("P",Statut_biogéographique!A:A,2,1),"P")</f>
        <v>P</v>
      </c>
      <c r="AP15160" s="4" t="s">
        <v>376</v>
      </c>
      <c r="AR15160" s="4" t="s">
        <v>377</v>
      </c>
    </row>
    <row r="15161" spans="1:44">
      <c r="A15161" s="4" t="s">
        <v>10753</v>
      </c>
      <c r="B15161" s="4">
        <v>248403</v>
      </c>
      <c r="D15161" s="5" t="s">
        <v>18005</v>
      </c>
      <c r="E15161" s="6" t="str">
        <f>HYPERLINK("https://inpn.mnhn.fr/espece/cd_nom/248403","Cyclophora albiocellaria (Hübner, 1789)")</f>
        <v>Cyclophora albiocellaria (Hübner, 1789)</v>
      </c>
      <c r="AH15161" s="4" t="str">
        <f>HYPERLINK("#Statut_biogéographique!A"&amp;_xlfn.XMATCH("P",Statut_biogéographique!A:A,2,1),"P")</f>
        <v>P</v>
      </c>
      <c r="AP15161" s="4" t="s">
        <v>376</v>
      </c>
      <c r="AR15161" s="4" t="s">
        <v>377</v>
      </c>
    </row>
    <row r="15162" spans="1:44" ht="30">
      <c r="A15162" s="4" t="s">
        <v>10753</v>
      </c>
      <c r="B15162" s="4">
        <v>248404</v>
      </c>
      <c r="D15162" s="5" t="s">
        <v>18006</v>
      </c>
      <c r="E15162" s="6" t="str">
        <f>HYPERLINK("https://inpn.mnhn.fr/espece/cd_nom/248404","Cyclophora annularia (Fabricius, 1775)")</f>
        <v>Cyclophora annularia (Fabricius, 1775)</v>
      </c>
      <c r="F15162" s="5" t="s">
        <v>18007</v>
      </c>
      <c r="AH15162" s="4" t="str">
        <f>HYPERLINK("#Statut_biogéographique!A"&amp;_xlfn.XMATCH("P",Statut_biogéographique!A:A,2,1),"P")</f>
        <v>P</v>
      </c>
      <c r="AP15162" s="4" t="s">
        <v>376</v>
      </c>
      <c r="AR15162" s="4" t="s">
        <v>377</v>
      </c>
    </row>
    <row r="15163" spans="1:44">
      <c r="A15163" s="4" t="s">
        <v>10753</v>
      </c>
      <c r="B15163" s="4">
        <v>248405</v>
      </c>
      <c r="D15163" s="5" t="s">
        <v>18008</v>
      </c>
      <c r="E15163" s="6" t="str">
        <f>HYPERLINK("https://inpn.mnhn.fr/espece/cd_nom/248405","Cyclophora albipunctata (Hufnagel, 1767)")</f>
        <v>Cyclophora albipunctata (Hufnagel, 1767)</v>
      </c>
      <c r="F15163" s="5" t="s">
        <v>18009</v>
      </c>
      <c r="AH15163" s="4" t="str">
        <f>HYPERLINK("#Statut_biogéographique!A"&amp;_xlfn.XMATCH("P",Statut_biogéographique!A:A,2,1),"P")</f>
        <v>P</v>
      </c>
      <c r="AP15163" s="4" t="s">
        <v>376</v>
      </c>
      <c r="AR15163" s="4" t="s">
        <v>377</v>
      </c>
    </row>
    <row r="15164" spans="1:44">
      <c r="A15164" s="4" t="s">
        <v>10753</v>
      </c>
      <c r="B15164" s="4">
        <v>248406</v>
      </c>
      <c r="D15164" s="5" t="s">
        <v>18010</v>
      </c>
      <c r="E15164" s="6" t="str">
        <f>HYPERLINK("https://inpn.mnhn.fr/espece/cd_nom/248406","Cyclophora puppillaria (Hübner, 1799)")</f>
        <v>Cyclophora puppillaria (Hübner, 1799)</v>
      </c>
      <c r="F15164" s="5" t="s">
        <v>18011</v>
      </c>
      <c r="AH15164" s="4" t="str">
        <f>HYPERLINK("#Statut_biogéographique!A"&amp;_xlfn.XMATCH("P",Statut_biogéographique!A:A,2,1),"P")</f>
        <v>P</v>
      </c>
      <c r="AP15164" s="4" t="s">
        <v>376</v>
      </c>
      <c r="AR15164" s="4" t="s">
        <v>377</v>
      </c>
    </row>
    <row r="15165" spans="1:44" ht="30">
      <c r="A15165" s="4" t="s">
        <v>10753</v>
      </c>
      <c r="B15165" s="4">
        <v>248407</v>
      </c>
      <c r="D15165" s="5" t="s">
        <v>18012</v>
      </c>
      <c r="E15165" s="6" t="str">
        <f>HYPERLINK("https://inpn.mnhn.fr/espece/cd_nom/248407","Cyclophora ruficiliaria (Herrich-Schäffer, 1855)")</f>
        <v>Cyclophora ruficiliaria (Herrich-Schäffer, 1855)</v>
      </c>
      <c r="F15165" s="5" t="s">
        <v>18013</v>
      </c>
      <c r="AH15165" s="4" t="str">
        <f>HYPERLINK("#Statut_biogéographique!A"&amp;_xlfn.XMATCH("P",Statut_biogéographique!A:A,2,1),"P")</f>
        <v>P</v>
      </c>
      <c r="AP15165" s="4" t="s">
        <v>376</v>
      </c>
      <c r="AR15165" s="4" t="s">
        <v>377</v>
      </c>
    </row>
    <row r="15166" spans="1:44" ht="30">
      <c r="A15166" s="4" t="s">
        <v>10753</v>
      </c>
      <c r="B15166" s="4">
        <v>248408</v>
      </c>
      <c r="D15166" s="5" t="s">
        <v>18014</v>
      </c>
      <c r="E15166" s="6" t="str">
        <f>HYPERLINK("https://inpn.mnhn.fr/espece/cd_nom/248408","Cyclophora quercimontaria (Bastelberger, 1897)")</f>
        <v>Cyclophora quercimontaria (Bastelberger, 1897)</v>
      </c>
      <c r="F15166" s="5" t="s">
        <v>18015</v>
      </c>
      <c r="AH15166" s="4" t="str">
        <f>HYPERLINK("#Statut_biogéographique!A"&amp;_xlfn.XMATCH("P",Statut_biogéographique!A:A,2,1),"P")</f>
        <v>P</v>
      </c>
      <c r="AP15166" s="4" t="s">
        <v>376</v>
      </c>
      <c r="AR15166" s="4" t="s">
        <v>377</v>
      </c>
    </row>
    <row r="15167" spans="1:44" ht="30">
      <c r="A15167" s="4" t="s">
        <v>10753</v>
      </c>
      <c r="B15167" s="4">
        <v>248409</v>
      </c>
      <c r="D15167" s="5" t="s">
        <v>18016</v>
      </c>
      <c r="E15167" s="6" t="str">
        <f>HYPERLINK("https://inpn.mnhn.fr/espece/cd_nom/248409","Cyclophora porata (Linnaeus, 1767)")</f>
        <v>Cyclophora porata (Linnaeus, 1767)</v>
      </c>
      <c r="F15167" s="5" t="s">
        <v>18017</v>
      </c>
      <c r="AH15167" s="4" t="str">
        <f>HYPERLINK("#Statut_biogéographique!A"&amp;_xlfn.XMATCH("P",Statut_biogéographique!A:A,2,1),"P")</f>
        <v>P</v>
      </c>
      <c r="AP15167" s="4" t="s">
        <v>376</v>
      </c>
      <c r="AR15167" s="4" t="s">
        <v>377</v>
      </c>
    </row>
    <row r="15168" spans="1:44">
      <c r="A15168" s="4" t="s">
        <v>10753</v>
      </c>
      <c r="B15168" s="4">
        <v>24841</v>
      </c>
      <c r="D15168" s="5" t="s">
        <v>18018</v>
      </c>
      <c r="E15168" s="6" t="str">
        <f>HYPERLINK("https://inpn.mnhn.fr/espece/cd_nom/24841","Xyphosia miliaria (Schrank, 1781)")</f>
        <v>Xyphosia miliaria (Schrank, 1781)</v>
      </c>
      <c r="AH15168" s="4" t="str">
        <f>HYPERLINK("#Statut_biogéographique!A"&amp;_xlfn.XMATCH("P",Statut_biogéographique!A:A,2,1),"P")</f>
        <v>P</v>
      </c>
      <c r="AP15168" s="4" t="s">
        <v>376</v>
      </c>
      <c r="AR15168" s="4" t="s">
        <v>377</v>
      </c>
    </row>
    <row r="15169" spans="1:44" ht="30">
      <c r="A15169" s="4" t="s">
        <v>10753</v>
      </c>
      <c r="B15169" s="4">
        <v>248410</v>
      </c>
      <c r="D15169" s="5" t="s">
        <v>18019</v>
      </c>
      <c r="E15169" s="6" t="str">
        <f>HYPERLINK("https://inpn.mnhn.fr/espece/cd_nom/248410","Cyclophora punctaria (Linnaeus, 1758)")</f>
        <v>Cyclophora punctaria (Linnaeus, 1758)</v>
      </c>
      <c r="F15169" s="5" t="s">
        <v>18020</v>
      </c>
      <c r="AH15169" s="4" t="str">
        <f>HYPERLINK("#Statut_biogéographique!A"&amp;_xlfn.XMATCH("P",Statut_biogéographique!A:A,2,1),"P")</f>
        <v>P</v>
      </c>
      <c r="AP15169" s="4" t="s">
        <v>376</v>
      </c>
      <c r="AR15169" s="4" t="s">
        <v>377</v>
      </c>
    </row>
    <row r="15170" spans="1:44">
      <c r="A15170" s="4" t="s">
        <v>10753</v>
      </c>
      <c r="B15170" s="4">
        <v>248411</v>
      </c>
      <c r="D15170" s="5" t="s">
        <v>18021</v>
      </c>
      <c r="E15170" s="6" t="str">
        <f>HYPERLINK("https://inpn.mnhn.fr/espece/cd_nom/248411","Cyclophora suppunctaria (Zeller, 1847)")</f>
        <v>Cyclophora suppunctaria (Zeller, 1847)</v>
      </c>
      <c r="F15170" s="5" t="s">
        <v>18022</v>
      </c>
      <c r="AH15170" s="4" t="str">
        <f>HYPERLINK("#Statut_biogéographique!A"&amp;_xlfn.XMATCH("P",Statut_biogéographique!A:A,2,1),"P")</f>
        <v>P</v>
      </c>
      <c r="AP15170" s="4" t="s">
        <v>376</v>
      </c>
      <c r="AR15170" s="4" t="s">
        <v>377</v>
      </c>
    </row>
    <row r="15171" spans="1:44">
      <c r="A15171" s="4" t="s">
        <v>10753</v>
      </c>
      <c r="B15171" s="4">
        <v>248412</v>
      </c>
      <c r="D15171" s="5" t="s">
        <v>18023</v>
      </c>
      <c r="E15171" s="6" t="str">
        <f>HYPERLINK("https://inpn.mnhn.fr/espece/cd_nom/248412","Cyclophora linearia (Hübner, 1799)")</f>
        <v>Cyclophora linearia (Hübner, 1799)</v>
      </c>
      <c r="F15171" s="5" t="s">
        <v>18024</v>
      </c>
      <c r="AH15171" s="4" t="str">
        <f>HYPERLINK("#Statut_biogéographique!A"&amp;_xlfn.XMATCH("P",Statut_biogéographique!A:A,2,1),"P")</f>
        <v>P</v>
      </c>
      <c r="AP15171" s="4" t="s">
        <v>376</v>
      </c>
      <c r="AR15171" s="4" t="s">
        <v>377</v>
      </c>
    </row>
    <row r="15172" spans="1:44">
      <c r="A15172" s="4" t="s">
        <v>10753</v>
      </c>
      <c r="B15172" s="4">
        <v>248416</v>
      </c>
      <c r="D15172" s="5" t="s">
        <v>18025</v>
      </c>
      <c r="E15172" s="6" t="str">
        <f>HYPERLINK("https://inpn.mnhn.fr/espece/cd_nom/248416","Idaea serpentata (Hufnagel, 1767)")</f>
        <v>Idaea serpentata (Hufnagel, 1767)</v>
      </c>
      <c r="F15172" s="5" t="s">
        <v>18026</v>
      </c>
      <c r="AH15172" s="4" t="str">
        <f>HYPERLINK("#Statut_biogéographique!A"&amp;_xlfn.XMATCH("P",Statut_biogéographique!A:A,2,1),"P")</f>
        <v>P</v>
      </c>
      <c r="AP15172" s="4" t="s">
        <v>376</v>
      </c>
      <c r="AR15172" s="4" t="s">
        <v>377</v>
      </c>
    </row>
    <row r="15173" spans="1:44">
      <c r="A15173" s="4" t="s">
        <v>10753</v>
      </c>
      <c r="B15173" s="4">
        <v>248417</v>
      </c>
      <c r="D15173" s="5" t="s">
        <v>18027</v>
      </c>
      <c r="E15173" s="6" t="str">
        <f>HYPERLINK("https://inpn.mnhn.fr/espece/cd_nom/248417","Idaea luteolaria (Constant, 1863)")</f>
        <v>Idaea luteolaria (Constant, 1863)</v>
      </c>
      <c r="F15173" s="5" t="s">
        <v>18028</v>
      </c>
      <c r="AH15173" s="4" t="str">
        <f>HYPERLINK("#Statut_biogéographique!A"&amp;_xlfn.XMATCH("P",Statut_biogéographique!A:A,2,1),"P")</f>
        <v>P</v>
      </c>
      <c r="AP15173" s="4" t="s">
        <v>376</v>
      </c>
      <c r="AR15173" s="4" t="s">
        <v>377</v>
      </c>
    </row>
    <row r="15174" spans="1:44" ht="30">
      <c r="A15174" s="4" t="s">
        <v>10753</v>
      </c>
      <c r="B15174" s="4">
        <v>248418</v>
      </c>
      <c r="D15174" s="5" t="s">
        <v>18029</v>
      </c>
      <c r="E15174" s="6" t="str">
        <f>HYPERLINK("https://inpn.mnhn.fr/espece/cd_nom/248418","Idaea aureolaria (Denis &amp; Schiffermüller, 1775)")</f>
        <v>Idaea aureolaria (Denis &amp; Schiffermüller, 1775)</v>
      </c>
      <c r="F15174" s="5" t="s">
        <v>18030</v>
      </c>
      <c r="AH15174" s="4" t="str">
        <f>HYPERLINK("#Statut_biogéographique!A"&amp;_xlfn.XMATCH("P",Statut_biogéographique!A:A,2,1),"P")</f>
        <v>P</v>
      </c>
      <c r="AP15174" s="4" t="s">
        <v>376</v>
      </c>
      <c r="AR15174" s="4" t="s">
        <v>377</v>
      </c>
    </row>
    <row r="15175" spans="1:44">
      <c r="A15175" s="4" t="s">
        <v>10753</v>
      </c>
      <c r="B15175" s="4">
        <v>248419</v>
      </c>
      <c r="D15175" s="5" t="s">
        <v>18031</v>
      </c>
      <c r="E15175" s="6" t="str">
        <f>HYPERLINK("https://inpn.mnhn.fr/espece/cd_nom/248419","Idaea flaveolaria (Hübner, 1809)")</f>
        <v>Idaea flaveolaria (Hübner, 1809)</v>
      </c>
      <c r="F15175" s="5" t="s">
        <v>18032</v>
      </c>
      <c r="AH15175" s="4" t="str">
        <f>HYPERLINK("#Statut_biogéographique!A"&amp;_xlfn.XMATCH("P",Statut_biogéographique!A:A,2,1),"P")</f>
        <v>P</v>
      </c>
      <c r="AP15175" s="4" t="s">
        <v>376</v>
      </c>
      <c r="AR15175" s="4" t="s">
        <v>377</v>
      </c>
    </row>
    <row r="15176" spans="1:44" ht="30">
      <c r="A15176" s="4" t="s">
        <v>10753</v>
      </c>
      <c r="B15176" s="4">
        <v>248420</v>
      </c>
      <c r="D15176" s="5" t="s">
        <v>18033</v>
      </c>
      <c r="E15176" s="6" t="str">
        <f>HYPERLINK("https://inpn.mnhn.fr/espece/cd_nom/248420","Idaea muricata (Hufnagel, 1767)")</f>
        <v>Idaea muricata (Hufnagel, 1767)</v>
      </c>
      <c r="F15176" s="5" t="s">
        <v>18034</v>
      </c>
      <c r="AH15176" s="4" t="str">
        <f>HYPERLINK("#Statut_biogéographique!A"&amp;_xlfn.XMATCH("P",Statut_biogéographique!A:A,2,1),"P")</f>
        <v>P</v>
      </c>
      <c r="AP15176" s="4" t="s">
        <v>376</v>
      </c>
      <c r="AR15176" s="4" t="s">
        <v>377</v>
      </c>
    </row>
    <row r="15177" spans="1:44">
      <c r="A15177" s="4" t="s">
        <v>10753</v>
      </c>
      <c r="B15177" s="4">
        <v>248425</v>
      </c>
      <c r="D15177" s="5" t="s">
        <v>18035</v>
      </c>
      <c r="E15177" s="6" t="str">
        <f>HYPERLINK("https://inpn.mnhn.fr/espece/cd_nom/248425","Idaea rufaria (Hübner, 1799)")</f>
        <v>Idaea rufaria (Hübner, 1799)</v>
      </c>
      <c r="F15177" s="5" t="s">
        <v>18036</v>
      </c>
      <c r="AH15177" s="4" t="str">
        <f>HYPERLINK("#Statut_biogéographique!A"&amp;_xlfn.XMATCH("P",Statut_biogéographique!A:A,2,1),"P")</f>
        <v>P</v>
      </c>
      <c r="AP15177" s="4" t="s">
        <v>376</v>
      </c>
      <c r="AR15177" s="4" t="s">
        <v>377</v>
      </c>
    </row>
    <row r="15178" spans="1:44" ht="30">
      <c r="A15178" s="4" t="s">
        <v>10753</v>
      </c>
      <c r="B15178" s="4">
        <v>248428</v>
      </c>
      <c r="D15178" s="5" t="s">
        <v>18037</v>
      </c>
      <c r="E15178" s="6" t="str">
        <f>HYPERLINK("https://inpn.mnhn.fr/espece/cd_nom/248428","Idaea ochrata (Scopoli, 1763)")</f>
        <v>Idaea ochrata (Scopoli, 1763)</v>
      </c>
      <c r="F15178" s="5" t="s">
        <v>18038</v>
      </c>
      <c r="AH15178" s="4" t="str">
        <f>HYPERLINK("#Statut_biogéographique!A"&amp;_xlfn.XMATCH("P",Statut_biogéographique!A:A,2,1),"P")</f>
        <v>P</v>
      </c>
      <c r="AP15178" s="4" t="s">
        <v>376</v>
      </c>
      <c r="AR15178" s="4" t="s">
        <v>377</v>
      </c>
    </row>
    <row r="15179" spans="1:44" ht="30">
      <c r="A15179" s="4" t="s">
        <v>10753</v>
      </c>
      <c r="B15179" s="4">
        <v>248431</v>
      </c>
      <c r="D15179" s="5" t="s">
        <v>18039</v>
      </c>
      <c r="E15179" s="6" t="str">
        <f>HYPERLINK("https://inpn.mnhn.fr/espece/cd_nom/248431","Idaea rusticata (Denis &amp; Schiffermüller, 1775)")</f>
        <v>Idaea rusticata (Denis &amp; Schiffermüller, 1775)</v>
      </c>
      <c r="F15179" s="5" t="s">
        <v>18040</v>
      </c>
      <c r="AH15179" s="4" t="str">
        <f>HYPERLINK("#Statut_biogéographique!A"&amp;_xlfn.XMATCH("P",Statut_biogéographique!A:A,2,1),"P")</f>
        <v>P</v>
      </c>
      <c r="AP15179" s="4" t="s">
        <v>376</v>
      </c>
      <c r="AR15179" s="4" t="s">
        <v>377</v>
      </c>
    </row>
    <row r="15180" spans="1:44" ht="30">
      <c r="A15180" s="4" t="s">
        <v>10753</v>
      </c>
      <c r="B15180" s="4">
        <v>248434</v>
      </c>
      <c r="D15180" s="5" t="s">
        <v>18041</v>
      </c>
      <c r="E15180" s="6" t="str">
        <f>HYPERLINK("https://inpn.mnhn.fr/espece/cd_nom/248434","Idaea laevigata (Scopoli, 1763)")</f>
        <v>Idaea laevigata (Scopoli, 1763)</v>
      </c>
      <c r="F15180" s="5" t="s">
        <v>18042</v>
      </c>
      <c r="AH15180" s="4" t="str">
        <f>HYPERLINK("#Statut_biogéographique!A"&amp;_xlfn.XMATCH("P",Statut_biogéographique!A:A,2,1),"P")</f>
        <v>P</v>
      </c>
      <c r="AP15180" s="4" t="s">
        <v>376</v>
      </c>
      <c r="AR15180" s="4" t="s">
        <v>377</v>
      </c>
    </row>
    <row r="15181" spans="1:44" ht="30">
      <c r="A15181" s="4" t="s">
        <v>10753</v>
      </c>
      <c r="B15181" s="4">
        <v>248439</v>
      </c>
      <c r="D15181" s="5" t="s">
        <v>18043</v>
      </c>
      <c r="E15181" s="6" t="str">
        <f>HYPERLINK("https://inpn.mnhn.fr/espece/cd_nom/248439","Idaea alyssumata (Himmighoffen &amp; Millière in Millière, 1871)")</f>
        <v>Idaea alyssumata (Himmighoffen &amp; Millière in Millière, 1871)</v>
      </c>
      <c r="F15181" s="5" t="s">
        <v>18044</v>
      </c>
      <c r="AH15181" s="4" t="str">
        <f>HYPERLINK("#Statut_biogéographique!A"&amp;_xlfn.XMATCH("P",Statut_biogéographique!A:A,2,1),"P")</f>
        <v>P</v>
      </c>
      <c r="AP15181" s="4" t="s">
        <v>376</v>
      </c>
      <c r="AR15181" s="4" t="s">
        <v>377</v>
      </c>
    </row>
    <row r="15182" spans="1:44" ht="30">
      <c r="A15182" s="4" t="s">
        <v>10753</v>
      </c>
      <c r="B15182" s="4">
        <v>248441</v>
      </c>
      <c r="D15182" s="5" t="s">
        <v>18045</v>
      </c>
      <c r="E15182" s="6" t="str">
        <f>HYPERLINK("https://inpn.mnhn.fr/espece/cd_nom/248441","Idaea moniliata (Denis &amp; Schiffermüller, 1775)")</f>
        <v>Idaea moniliata (Denis &amp; Schiffermüller, 1775)</v>
      </c>
      <c r="F15182" s="5" t="s">
        <v>18046</v>
      </c>
      <c r="AH15182" s="4" t="str">
        <f>HYPERLINK("#Statut_biogéographique!A"&amp;_xlfn.XMATCH("P",Statut_biogéographique!A:A,2,1),"P")</f>
        <v>P</v>
      </c>
      <c r="AP15182" s="4" t="s">
        <v>376</v>
      </c>
      <c r="AR15182" s="4" t="s">
        <v>377</v>
      </c>
    </row>
    <row r="15183" spans="1:44">
      <c r="A15183" s="4" t="s">
        <v>10753</v>
      </c>
      <c r="B15183" s="4">
        <v>248445</v>
      </c>
      <c r="D15183" s="5" t="s">
        <v>18047</v>
      </c>
      <c r="E15183" s="6" t="str">
        <f>HYPERLINK("https://inpn.mnhn.fr/espece/cd_nom/248445","Idaea elongaria (Rambur, 1833)")</f>
        <v>Idaea elongaria (Rambur, 1833)</v>
      </c>
      <c r="F15183" s="5" t="s">
        <v>18048</v>
      </c>
      <c r="AH15183" s="4" t="str">
        <f>HYPERLINK("#Statut_biogéographique!A"&amp;_xlfn.XMATCH("P",Statut_biogéographique!A:A,2,1),"P")</f>
        <v>P</v>
      </c>
      <c r="AP15183" s="4" t="s">
        <v>376</v>
      </c>
      <c r="AR15183" s="4" t="s">
        <v>377</v>
      </c>
    </row>
    <row r="15184" spans="1:44">
      <c r="A15184" s="4" t="s">
        <v>10753</v>
      </c>
      <c r="B15184" s="4">
        <v>248448</v>
      </c>
      <c r="D15184" s="5" t="s">
        <v>18049</v>
      </c>
      <c r="E15184" s="6" t="str">
        <f>HYPERLINK("https://inpn.mnhn.fr/espece/cd_nom/248448","Idaea inquinata (Scopoli, 1763)")</f>
        <v>Idaea inquinata (Scopoli, 1763)</v>
      </c>
      <c r="F15184" s="5" t="s">
        <v>18050</v>
      </c>
      <c r="AH15184" s="4" t="str">
        <f>HYPERLINK("#Statut_biogéographique!A"&amp;_xlfn.XMATCH("P",Statut_biogéographique!A:A,2,1),"P")</f>
        <v>P</v>
      </c>
      <c r="AP15184" s="4" t="s">
        <v>376</v>
      </c>
      <c r="AR15184" s="4" t="s">
        <v>377</v>
      </c>
    </row>
    <row r="15185" spans="1:44" ht="30">
      <c r="A15185" s="4" t="s">
        <v>10753</v>
      </c>
      <c r="B15185" s="4">
        <v>248449</v>
      </c>
      <c r="D15185" s="5" t="s">
        <v>18051</v>
      </c>
      <c r="E15185" s="6" t="str">
        <f>HYPERLINK("https://inpn.mnhn.fr/espece/cd_nom/248449","Idaea dilutaria (Hübner, 1799)")</f>
        <v>Idaea dilutaria (Hübner, 1799)</v>
      </c>
      <c r="F15185" s="5" t="s">
        <v>18052</v>
      </c>
      <c r="AH15185" s="4" t="str">
        <f>HYPERLINK("#Statut_biogéographique!A"&amp;_xlfn.XMATCH("P",Statut_biogéographique!A:A,2,1),"P")</f>
        <v>P</v>
      </c>
      <c r="AP15185" s="4" t="s">
        <v>376</v>
      </c>
      <c r="AR15185" s="4" t="s">
        <v>377</v>
      </c>
    </row>
    <row r="15186" spans="1:44" ht="30">
      <c r="A15186" s="4" t="s">
        <v>10753</v>
      </c>
      <c r="B15186" s="4">
        <v>248450</v>
      </c>
      <c r="D15186" s="5" t="s">
        <v>18053</v>
      </c>
      <c r="E15186" s="6" t="str">
        <f>HYPERLINK("https://inpn.mnhn.fr/espece/cd_nom/248450","Idaea fuscovenosa (Goeze, 1781)")</f>
        <v>Idaea fuscovenosa (Goeze, 1781)</v>
      </c>
      <c r="F15186" s="5" t="s">
        <v>18054</v>
      </c>
      <c r="AH15186" s="4" t="str">
        <f>HYPERLINK("#Statut_biogéographique!A"&amp;_xlfn.XMATCH("P",Statut_biogéographique!A:A,2,1),"P")</f>
        <v>P</v>
      </c>
      <c r="AP15186" s="4" t="s">
        <v>376</v>
      </c>
      <c r="AR15186" s="4" t="s">
        <v>377</v>
      </c>
    </row>
    <row r="15187" spans="1:44" ht="30">
      <c r="A15187" s="4" t="s">
        <v>10753</v>
      </c>
      <c r="B15187" s="4">
        <v>248451</v>
      </c>
      <c r="D15187" s="5" t="s">
        <v>18055</v>
      </c>
      <c r="E15187" s="6" t="str">
        <f>HYPERLINK("https://inpn.mnhn.fr/espece/cd_nom/248451","Idaea humiliata (Hufnagel, 1767)")</f>
        <v>Idaea humiliata (Hufnagel, 1767)</v>
      </c>
      <c r="F15187" s="5" t="s">
        <v>18056</v>
      </c>
      <c r="AH15187" s="4" t="str">
        <f>HYPERLINK("#Statut_biogéographique!A"&amp;_xlfn.XMATCH("P",Statut_biogéographique!A:A,2,1),"P")</f>
        <v>P</v>
      </c>
      <c r="AP15187" s="4" t="s">
        <v>376</v>
      </c>
      <c r="AR15187" s="4" t="s">
        <v>377</v>
      </c>
    </row>
    <row r="15188" spans="1:44">
      <c r="A15188" s="4" t="s">
        <v>10753</v>
      </c>
      <c r="B15188" s="4">
        <v>248455</v>
      </c>
      <c r="D15188" s="5" t="s">
        <v>18057</v>
      </c>
      <c r="E15188" s="6" t="str">
        <f>HYPERLINK("https://inpn.mnhn.fr/espece/cd_nom/248455","Idaea libycata (Bartel, 1906)")</f>
        <v>Idaea libycata (Bartel, 1906)</v>
      </c>
      <c r="F15188" s="5" t="s">
        <v>18058</v>
      </c>
      <c r="AH15188" s="4" t="str">
        <f>HYPERLINK("#Statut_biogéographique!A"&amp;_xlfn.XMATCH("P",Statut_biogéographique!A:A,2,1),"P")</f>
        <v>P</v>
      </c>
      <c r="AP15188" s="4" t="s">
        <v>376</v>
      </c>
      <c r="AR15188" s="4" t="s">
        <v>377</v>
      </c>
    </row>
    <row r="15189" spans="1:44" ht="30">
      <c r="A15189" s="4" t="s">
        <v>10753</v>
      </c>
      <c r="B15189" s="4">
        <v>248458</v>
      </c>
      <c r="D15189" s="5" t="s">
        <v>18059</v>
      </c>
      <c r="E15189" s="6" t="str">
        <f>HYPERLINK("https://inpn.mnhn.fr/espece/cd_nom/248458","Idaea seriata (Schrank, 1802)")</f>
        <v>Idaea seriata (Schrank, 1802)</v>
      </c>
      <c r="F15189" s="5" t="s">
        <v>18060</v>
      </c>
      <c r="AH15189" s="4" t="str">
        <f>HYPERLINK("#Statut_biogéographique!A"&amp;_xlfn.XMATCH("P",Statut_biogéographique!A:A,2,1),"P")</f>
        <v>P</v>
      </c>
      <c r="AP15189" s="4" t="s">
        <v>376</v>
      </c>
      <c r="AR15189" s="4" t="s">
        <v>377</v>
      </c>
    </row>
    <row r="15190" spans="1:44">
      <c r="A15190" s="4" t="s">
        <v>10753</v>
      </c>
      <c r="B15190" s="4">
        <v>248460</v>
      </c>
      <c r="D15190" s="5" t="s">
        <v>18061</v>
      </c>
      <c r="E15190" s="6" t="str">
        <f>HYPERLINK("https://inpn.mnhn.fr/espece/cd_nom/248460","Idaea subsericeata (Haworth, 1809)")</f>
        <v>Idaea subsericeata (Haworth, 1809)</v>
      </c>
      <c r="F15190" s="5" t="s">
        <v>18062</v>
      </c>
      <c r="AH15190" s="4" t="str">
        <f>HYPERLINK("#Statut_biogéographique!A"&amp;_xlfn.XMATCH("P",Statut_biogéographique!A:A,2,1),"P")</f>
        <v>P</v>
      </c>
      <c r="AP15190" s="4" t="s">
        <v>376</v>
      </c>
      <c r="AR15190" s="4" t="s">
        <v>377</v>
      </c>
    </row>
    <row r="15191" spans="1:44">
      <c r="A15191" s="4" t="s">
        <v>10753</v>
      </c>
      <c r="B15191" s="4">
        <v>248461</v>
      </c>
      <c r="D15191" s="5" t="s">
        <v>18063</v>
      </c>
      <c r="E15191" s="6" t="str">
        <f>HYPERLINK("https://inpn.mnhn.fr/espece/cd_nom/248461","Idaea pallidata (Denis &amp; Schiffermüller, 1775)")</f>
        <v>Idaea pallidata (Denis &amp; Schiffermüller, 1775)</v>
      </c>
      <c r="F15191" s="5" t="s">
        <v>18064</v>
      </c>
      <c r="AH15191" s="4" t="str">
        <f>HYPERLINK("#Statut_biogéographique!A"&amp;_xlfn.XMATCH("P",Statut_biogéographique!A:A,2,1),"P")</f>
        <v>P</v>
      </c>
      <c r="AP15191" s="4" t="s">
        <v>376</v>
      </c>
      <c r="AR15191" s="4" t="s">
        <v>377</v>
      </c>
    </row>
    <row r="15192" spans="1:44">
      <c r="A15192" s="4" t="s">
        <v>10753</v>
      </c>
      <c r="B15192" s="4">
        <v>248463</v>
      </c>
      <c r="D15192" s="5" t="s">
        <v>18065</v>
      </c>
      <c r="E15192" s="6" t="str">
        <f>HYPERLINK("https://inpn.mnhn.fr/espece/cd_nom/248463","Idaea sylvestraria (Hübner, 1799)")</f>
        <v>Idaea sylvestraria (Hübner, 1799)</v>
      </c>
      <c r="F15192" s="5" t="s">
        <v>18066</v>
      </c>
      <c r="AH15192" s="4" t="str">
        <f>HYPERLINK("#Statut_biogéographique!A"&amp;_xlfn.XMATCH("P",Statut_biogéographique!A:A,2,1),"P")</f>
        <v>P</v>
      </c>
      <c r="AP15192" s="4" t="s">
        <v>376</v>
      </c>
      <c r="AR15192" s="4" t="s">
        <v>377</v>
      </c>
    </row>
    <row r="15193" spans="1:44" ht="30">
      <c r="A15193" s="4" t="s">
        <v>10753</v>
      </c>
      <c r="B15193" s="4">
        <v>248464</v>
      </c>
      <c r="D15193" s="5" t="s">
        <v>18067</v>
      </c>
      <c r="E15193" s="6" t="str">
        <f>HYPERLINK("https://inpn.mnhn.fr/espece/cd_nom/248464","Idaea dimidiata (Hufnagel, 1767)")</f>
        <v>Idaea dimidiata (Hufnagel, 1767)</v>
      </c>
      <c r="F15193" s="5" t="s">
        <v>18068</v>
      </c>
      <c r="AH15193" s="4" t="str">
        <f>HYPERLINK("#Statut_biogéographique!A"&amp;_xlfn.XMATCH("P",Statut_biogéographique!A:A,2,1),"P")</f>
        <v>P</v>
      </c>
      <c r="AP15193" s="4" t="s">
        <v>376</v>
      </c>
      <c r="AR15193" s="4" t="s">
        <v>377</v>
      </c>
    </row>
    <row r="15194" spans="1:44">
      <c r="A15194" s="4" t="s">
        <v>10753</v>
      </c>
      <c r="B15194" s="4">
        <v>248465</v>
      </c>
      <c r="D15194" s="5" t="s">
        <v>18069</v>
      </c>
      <c r="E15194" s="6" t="str">
        <f>HYPERLINK("https://inpn.mnhn.fr/espece/cd_nom/248465","Idaea subsaturata (Guenée, 1858)")</f>
        <v>Idaea subsaturata (Guenée, 1858)</v>
      </c>
      <c r="F15194" s="5" t="s">
        <v>18070</v>
      </c>
      <c r="AH15194" s="4" t="str">
        <f>HYPERLINK("#Statut_biogéographique!A"&amp;_xlfn.XMATCH("P",Statut_biogéographique!A:A,2,1),"P")</f>
        <v>P</v>
      </c>
      <c r="AP15194" s="4" t="s">
        <v>376</v>
      </c>
      <c r="AR15194" s="4" t="s">
        <v>377</v>
      </c>
    </row>
    <row r="15195" spans="1:44">
      <c r="A15195" s="4" t="s">
        <v>10753</v>
      </c>
      <c r="B15195" s="4">
        <v>248466</v>
      </c>
      <c r="D15195" s="5" t="s">
        <v>18071</v>
      </c>
      <c r="E15195" s="6" t="str">
        <f>HYPERLINK("https://inpn.mnhn.fr/espece/cd_nom/248466","Idaea trigeminata (Haworth, 1809)")</f>
        <v>Idaea trigeminata (Haworth, 1809)</v>
      </c>
      <c r="F15195" s="5" t="s">
        <v>18072</v>
      </c>
      <c r="AH15195" s="4" t="str">
        <f>HYPERLINK("#Statut_biogéographique!A"&amp;_xlfn.XMATCH("P",Statut_biogéographique!A:A,2,1),"P")</f>
        <v>P</v>
      </c>
      <c r="AP15195" s="4" t="s">
        <v>376</v>
      </c>
      <c r="AR15195" s="4" t="s">
        <v>377</v>
      </c>
    </row>
    <row r="15196" spans="1:44" ht="30">
      <c r="A15196" s="4" t="s">
        <v>10753</v>
      </c>
      <c r="B15196" s="4">
        <v>248467</v>
      </c>
      <c r="D15196" s="5" t="s">
        <v>18073</v>
      </c>
      <c r="E15196" s="6" t="str">
        <f>HYPERLINK("https://inpn.mnhn.fr/espece/cd_nom/248467","Idaea biselata (Hufnagel, 1767)")</f>
        <v>Idaea biselata (Hufnagel, 1767)</v>
      </c>
      <c r="F15196" s="5" t="s">
        <v>18074</v>
      </c>
      <c r="AH15196" s="4" t="str">
        <f>HYPERLINK("#Statut_biogéographique!A"&amp;_xlfn.XMATCH("P",Statut_biogéographique!A:A,2,1),"P")</f>
        <v>P</v>
      </c>
      <c r="AP15196" s="4" t="s">
        <v>376</v>
      </c>
      <c r="AR15196" s="4" t="s">
        <v>377</v>
      </c>
    </row>
    <row r="15197" spans="1:44" ht="30">
      <c r="A15197" s="4" t="s">
        <v>10753</v>
      </c>
      <c r="B15197" s="4">
        <v>248469</v>
      </c>
      <c r="D15197" s="5" t="s">
        <v>18075</v>
      </c>
      <c r="E15197" s="6" t="str">
        <f>HYPERLINK("https://inpn.mnhn.fr/espece/cd_nom/248469","Idaea contiguaria (Hübner, 1799)")</f>
        <v>Idaea contiguaria (Hübner, 1799)</v>
      </c>
      <c r="F15197" s="5" t="s">
        <v>18076</v>
      </c>
      <c r="AH15197" s="4" t="str">
        <f>HYPERLINK("#Statut_biogéographique!A"&amp;_xlfn.XMATCH("P",Statut_biogéographique!A:A,2,1),"P")</f>
        <v>P</v>
      </c>
      <c r="AP15197" s="4" t="s">
        <v>376</v>
      </c>
      <c r="AR15197" s="4" t="s">
        <v>377</v>
      </c>
    </row>
    <row r="15198" spans="1:44">
      <c r="A15198" s="4" t="s">
        <v>10753</v>
      </c>
      <c r="B15198" s="4">
        <v>248472</v>
      </c>
      <c r="D15198" s="5" t="s">
        <v>18077</v>
      </c>
      <c r="E15198" s="6" t="str">
        <f>HYPERLINK("https://inpn.mnhn.fr/espece/cd_nom/248472","Idaea distinctaria (Boisduval, 1840)")</f>
        <v>Idaea distinctaria (Boisduval, 1840)</v>
      </c>
      <c r="F15198" s="5" t="s">
        <v>18078</v>
      </c>
      <c r="AH15198" s="4" t="str">
        <f>HYPERLINK("#Statut_biogéographique!A"&amp;_xlfn.XMATCH("P",Statut_biogéographique!A:A,2,1),"P")</f>
        <v>P</v>
      </c>
      <c r="AP15198" s="4" t="s">
        <v>376</v>
      </c>
      <c r="AR15198" s="4" t="s">
        <v>377</v>
      </c>
    </row>
    <row r="15199" spans="1:44" ht="30">
      <c r="A15199" s="4" t="s">
        <v>10753</v>
      </c>
      <c r="B15199" s="4">
        <v>248476</v>
      </c>
      <c r="D15199" s="5" t="s">
        <v>18079</v>
      </c>
      <c r="E15199" s="6" t="str">
        <f>HYPERLINK("https://inpn.mnhn.fr/espece/cd_nom/248476","Idaea emarginata (Linnaeus, 1758)")</f>
        <v>Idaea emarginata (Linnaeus, 1758)</v>
      </c>
      <c r="F15199" s="5" t="s">
        <v>18080</v>
      </c>
      <c r="AH15199" s="4" t="str">
        <f>HYPERLINK("#Statut_biogéographique!A"&amp;_xlfn.XMATCH("P",Statut_biogéographique!A:A,2,1),"P")</f>
        <v>P</v>
      </c>
      <c r="AP15199" s="4" t="s">
        <v>376</v>
      </c>
      <c r="AR15199" s="4" t="s">
        <v>377</v>
      </c>
    </row>
    <row r="15200" spans="1:44" ht="45">
      <c r="A15200" s="4" t="s">
        <v>10753</v>
      </c>
      <c r="B15200" s="4">
        <v>248477</v>
      </c>
      <c r="D15200" s="5" t="s">
        <v>18081</v>
      </c>
      <c r="E15200" s="6" t="str">
        <f>HYPERLINK("https://inpn.mnhn.fr/espece/cd_nom/248477","Idaea aversata (Linnaeus, 1758)")</f>
        <v>Idaea aversata (Linnaeus, 1758)</v>
      </c>
      <c r="F15200" s="5" t="s">
        <v>18082</v>
      </c>
      <c r="AH15200" s="4" t="str">
        <f>HYPERLINK("#Statut_biogéographique!A"&amp;_xlfn.XMATCH("P",Statut_biogéographique!A:A,2,1),"P")</f>
        <v>P</v>
      </c>
      <c r="AP15200" s="4" t="s">
        <v>376</v>
      </c>
      <c r="AR15200" s="4" t="s">
        <v>377</v>
      </c>
    </row>
    <row r="15201" spans="1:44">
      <c r="A15201" s="4" t="s">
        <v>10753</v>
      </c>
      <c r="B15201" s="4">
        <v>248479</v>
      </c>
      <c r="D15201" s="5" t="s">
        <v>18083</v>
      </c>
      <c r="E15201" s="6" t="str">
        <f>HYPERLINK("https://inpn.mnhn.fr/espece/cd_nom/248479","Idaea degeneraria (Hübner, 1799)")</f>
        <v>Idaea degeneraria (Hübner, 1799)</v>
      </c>
      <c r="F15201" s="5" t="s">
        <v>18084</v>
      </c>
      <c r="AH15201" s="4" t="str">
        <f>HYPERLINK("#Statut_biogéographique!A"&amp;_xlfn.XMATCH("P",Statut_biogéographique!A:A,2,1),"P")</f>
        <v>P</v>
      </c>
      <c r="AP15201" s="4" t="s">
        <v>376</v>
      </c>
      <c r="AR15201" s="4" t="s">
        <v>377</v>
      </c>
    </row>
    <row r="15202" spans="1:44" ht="30">
      <c r="A15202" s="4" t="s">
        <v>10753</v>
      </c>
      <c r="B15202" s="4">
        <v>248480</v>
      </c>
      <c r="D15202" s="5" t="s">
        <v>18085</v>
      </c>
      <c r="E15202" s="6" t="str">
        <f>HYPERLINK("https://inpn.mnhn.fr/espece/cd_nom/248480","Idaea straminata (Borkhausen, 1794)")</f>
        <v>Idaea straminata (Borkhausen, 1794)</v>
      </c>
      <c r="F15202" s="5" t="s">
        <v>18086</v>
      </c>
      <c r="AH15202" s="4" t="str">
        <f>HYPERLINK("#Statut_biogéographique!A"&amp;_xlfn.XMATCH("P",Statut_biogéographique!A:A,2,1),"P")</f>
        <v>P</v>
      </c>
      <c r="AP15202" s="4" t="s">
        <v>376</v>
      </c>
      <c r="AR15202" s="4" t="s">
        <v>377</v>
      </c>
    </row>
    <row r="15203" spans="1:44" ht="30">
      <c r="A15203" s="4" t="s">
        <v>10753</v>
      </c>
      <c r="B15203" s="4">
        <v>248481</v>
      </c>
      <c r="D15203" s="5" t="s">
        <v>18087</v>
      </c>
      <c r="E15203" s="6" t="str">
        <f>HYPERLINK("https://inpn.mnhn.fr/espece/cd_nom/248481","Idaea deversaria (Herrich-Schäffer, 1847)")</f>
        <v>Idaea deversaria (Herrich-Schäffer, 1847)</v>
      </c>
      <c r="F15203" s="5" t="s">
        <v>18088</v>
      </c>
      <c r="AH15203" s="4" t="str">
        <f>HYPERLINK("#Statut_biogéographique!A"&amp;_xlfn.XMATCH("P",Statut_biogéographique!A:A,2,1),"P")</f>
        <v>P</v>
      </c>
      <c r="AP15203" s="4" t="s">
        <v>376</v>
      </c>
      <c r="AR15203" s="4" t="s">
        <v>377</v>
      </c>
    </row>
    <row r="15204" spans="1:44">
      <c r="A15204" s="4" t="s">
        <v>10753</v>
      </c>
      <c r="B15204" s="4">
        <v>248484</v>
      </c>
      <c r="D15204" s="5" t="s">
        <v>18089</v>
      </c>
      <c r="E15204" s="6" t="str">
        <f>HYPERLINK("https://inpn.mnhn.fr/espece/cd_nom/248484","Rhodometra sacraria (Linnaeus, 1767)")</f>
        <v>Rhodometra sacraria (Linnaeus, 1767)</v>
      </c>
      <c r="F15204" s="5" t="s">
        <v>18090</v>
      </c>
      <c r="AH15204" s="4" t="str">
        <f>HYPERLINK("#Statut_biogéographique!A"&amp;_xlfn.XMATCH("P",Statut_biogéographique!A:A,2,1),"P")</f>
        <v>P</v>
      </c>
      <c r="AP15204" s="4" t="s">
        <v>376</v>
      </c>
      <c r="AR15204" s="4" t="s">
        <v>377</v>
      </c>
    </row>
    <row r="15205" spans="1:44" ht="30">
      <c r="A15205" s="4" t="s">
        <v>10753</v>
      </c>
      <c r="B15205" s="4">
        <v>248485</v>
      </c>
      <c r="D15205" s="5" t="s">
        <v>18091</v>
      </c>
      <c r="E15205" s="6" t="str">
        <f>HYPERLINK("https://inpn.mnhn.fr/espece/cd_nom/248485","Rhodostrophia vibicaria (Clerck, 1759)")</f>
        <v>Rhodostrophia vibicaria (Clerck, 1759)</v>
      </c>
      <c r="F15205" s="5" t="s">
        <v>18092</v>
      </c>
      <c r="AH15205" s="4" t="str">
        <f>HYPERLINK("#Statut_biogéographique!A"&amp;_xlfn.XMATCH("P",Statut_biogéographique!A:A,2,1),"P")</f>
        <v>P</v>
      </c>
      <c r="AP15205" s="4" t="s">
        <v>376</v>
      </c>
      <c r="AR15205" s="4" t="s">
        <v>377</v>
      </c>
    </row>
    <row r="15206" spans="1:44" ht="30">
      <c r="A15206" s="4" t="s">
        <v>10753</v>
      </c>
      <c r="B15206" s="4">
        <v>248486</v>
      </c>
      <c r="D15206" s="5" t="s">
        <v>18093</v>
      </c>
      <c r="E15206" s="6" t="str">
        <f>HYPERLINK("https://inpn.mnhn.fr/espece/cd_nom/248486","Rhodostrophia calabra (Petagna, 1786)")</f>
        <v>Rhodostrophia calabra (Petagna, 1786)</v>
      </c>
      <c r="F15206" s="5" t="s">
        <v>18094</v>
      </c>
      <c r="AH15206" s="4" t="str">
        <f>HYPERLINK("#Statut_biogéographique!A"&amp;_xlfn.XMATCH("P",Statut_biogéographique!A:A,2,1),"P")</f>
        <v>P</v>
      </c>
      <c r="AP15206" s="4" t="s">
        <v>376</v>
      </c>
      <c r="AR15206" s="4" t="s">
        <v>377</v>
      </c>
    </row>
    <row r="15207" spans="1:44" ht="30">
      <c r="A15207" s="4" t="s">
        <v>10753</v>
      </c>
      <c r="B15207" s="4">
        <v>248491</v>
      </c>
      <c r="D15207" s="5" t="s">
        <v>18095</v>
      </c>
      <c r="E15207" s="6" t="str">
        <f>HYPERLINK("https://inpn.mnhn.fr/espece/cd_nom/248491","Scopula immorata (Linnaeus, 1758)")</f>
        <v>Scopula immorata (Linnaeus, 1758)</v>
      </c>
      <c r="F15207" s="5" t="s">
        <v>18096</v>
      </c>
      <c r="AH15207" s="4" t="str">
        <f>HYPERLINK("#Statut_biogéographique!A"&amp;_xlfn.XMATCH("P",Statut_biogéographique!A:A,2,1),"P")</f>
        <v>P</v>
      </c>
      <c r="AP15207" s="4" t="s">
        <v>376</v>
      </c>
      <c r="AR15207" s="4" t="s">
        <v>377</v>
      </c>
    </row>
    <row r="15208" spans="1:44">
      <c r="A15208" s="4" t="s">
        <v>10753</v>
      </c>
      <c r="B15208" s="4">
        <v>248492</v>
      </c>
      <c r="D15208" s="5" t="s">
        <v>18097</v>
      </c>
      <c r="E15208" s="6" t="str">
        <f>HYPERLINK("https://inpn.mnhn.fr/espece/cd_nom/248492","Scopula tessellaria (Boisduval, 1840)")</f>
        <v>Scopula tessellaria (Boisduval, 1840)</v>
      </c>
      <c r="F15208" s="5" t="s">
        <v>18098</v>
      </c>
      <c r="AH15208" s="4" t="str">
        <f>HYPERLINK("#Statut_biogéographique!A"&amp;_xlfn.XMATCH("P",Statut_biogéographique!A:A,2,1),"P")</f>
        <v>P</v>
      </c>
      <c r="AP15208" s="4" t="s">
        <v>376</v>
      </c>
      <c r="AR15208" s="4" t="s">
        <v>377</v>
      </c>
    </row>
    <row r="15209" spans="1:44">
      <c r="A15209" s="4" t="s">
        <v>10753</v>
      </c>
      <c r="B15209" s="4">
        <v>248493</v>
      </c>
      <c r="D15209" s="5" t="s">
        <v>18099</v>
      </c>
      <c r="E15209" s="6" t="str">
        <f>HYPERLINK("https://inpn.mnhn.fr/espece/cd_nom/248493","Scopula corrivalaria (Kretschmar, 1862)")</f>
        <v>Scopula corrivalaria (Kretschmar, 1862)</v>
      </c>
      <c r="F15209" s="5" t="s">
        <v>18100</v>
      </c>
      <c r="AH15209" s="4" t="str">
        <f>HYPERLINK("#Statut_biogéographique!A"&amp;_xlfn.XMATCH("P",Statut_biogéographique!A:A,2,1),"P")</f>
        <v>P</v>
      </c>
      <c r="AP15209" s="4" t="s">
        <v>376</v>
      </c>
      <c r="AR15209" s="4" t="s">
        <v>377</v>
      </c>
    </row>
    <row r="15210" spans="1:44">
      <c r="A15210" s="4" t="s">
        <v>10753</v>
      </c>
      <c r="B15210" s="4">
        <v>248494</v>
      </c>
      <c r="D15210" s="5" t="s">
        <v>18101</v>
      </c>
      <c r="E15210" s="6" t="str">
        <f>HYPERLINK("https://inpn.mnhn.fr/espece/cd_nom/248494","Scopula caricaria (Reutti, 1853)")</f>
        <v>Scopula caricaria (Reutti, 1853)</v>
      </c>
      <c r="F15210" s="5" t="s">
        <v>18102</v>
      </c>
      <c r="AH15210" s="4" t="str">
        <f>HYPERLINK("#Statut_biogéographique!A"&amp;_xlfn.XMATCH("P",Statut_biogéographique!A:A,2,1),"P")</f>
        <v>P</v>
      </c>
      <c r="AP15210" s="4" t="s">
        <v>376</v>
      </c>
      <c r="AR15210" s="4" t="s">
        <v>377</v>
      </c>
    </row>
    <row r="15211" spans="1:44">
      <c r="A15211" s="4" t="s">
        <v>10753</v>
      </c>
      <c r="B15211" s="4">
        <v>248495</v>
      </c>
      <c r="D15211" s="5" t="s">
        <v>18103</v>
      </c>
      <c r="E15211" s="6" t="str">
        <f>HYPERLINK("https://inpn.mnhn.fr/espece/cd_nom/248495","Scopula nemoraria (Hübner, 1799)")</f>
        <v>Scopula nemoraria (Hübner, 1799)</v>
      </c>
      <c r="F15211" s="5" t="s">
        <v>18104</v>
      </c>
      <c r="AH15211" s="4" t="str">
        <f>HYPERLINK("#Statut_biogéographique!A"&amp;_xlfn.XMATCH("P",Statut_biogéographique!A:A,2,1),"P")</f>
        <v>P</v>
      </c>
      <c r="AP15211" s="4" t="s">
        <v>376</v>
      </c>
      <c r="AR15211" s="4" t="s">
        <v>377</v>
      </c>
    </row>
    <row r="15212" spans="1:44">
      <c r="A15212" s="4" t="s">
        <v>10753</v>
      </c>
      <c r="B15212" s="4">
        <v>248496</v>
      </c>
      <c r="D15212" s="5" t="s">
        <v>18105</v>
      </c>
      <c r="E15212" s="6" t="str">
        <f>HYPERLINK("https://inpn.mnhn.fr/espece/cd_nom/248496","Scopula umbelaria (Hübner, 1813)")</f>
        <v>Scopula umbelaria (Hübner, 1813)</v>
      </c>
      <c r="F15212" s="5" t="s">
        <v>18106</v>
      </c>
      <c r="AH15212" s="4" t="str">
        <f>HYPERLINK("#Statut_biogéographique!A"&amp;_xlfn.XMATCH("P",Statut_biogéographique!A:A,2,1),"P")</f>
        <v>P</v>
      </c>
      <c r="AP15212" s="4" t="s">
        <v>376</v>
      </c>
      <c r="AR15212" s="4" t="s">
        <v>377</v>
      </c>
    </row>
    <row r="15213" spans="1:44">
      <c r="A15213" s="4" t="s">
        <v>10753</v>
      </c>
      <c r="B15213" s="4">
        <v>248497</v>
      </c>
      <c r="D15213" s="5" t="s">
        <v>18107</v>
      </c>
      <c r="E15213" s="6" t="str">
        <f>HYPERLINK("https://inpn.mnhn.fr/espece/cd_nom/248497","Scopula nigropunctata (Hufnagel, 1767)")</f>
        <v>Scopula nigropunctata (Hufnagel, 1767)</v>
      </c>
      <c r="F15213" s="5" t="s">
        <v>18108</v>
      </c>
      <c r="AH15213" s="4" t="str">
        <f>HYPERLINK("#Statut_biogéographique!A"&amp;_xlfn.XMATCH("P",Statut_biogéographique!A:A,2,1),"P")</f>
        <v>P</v>
      </c>
      <c r="AP15213" s="4" t="s">
        <v>376</v>
      </c>
      <c r="AR15213" s="4" t="s">
        <v>377</v>
      </c>
    </row>
    <row r="15214" spans="1:44" ht="30">
      <c r="A15214" s="4" t="s">
        <v>10753</v>
      </c>
      <c r="B15214" s="4">
        <v>248498</v>
      </c>
      <c r="D15214" s="5" t="s">
        <v>18109</v>
      </c>
      <c r="E15214" s="6" t="str">
        <f>HYPERLINK("https://inpn.mnhn.fr/espece/cd_nom/248498","Scopula virgulata (Denis &amp; Schiffermüller, 1775)")</f>
        <v>Scopula virgulata (Denis &amp; Schiffermüller, 1775)</v>
      </c>
      <c r="F15214" s="5" t="s">
        <v>18110</v>
      </c>
      <c r="AH15214" s="4" t="str">
        <f>HYPERLINK("#Statut_biogéographique!A"&amp;_xlfn.XMATCH("P",Statut_biogéographique!A:A,2,1),"P")</f>
        <v>P</v>
      </c>
      <c r="AP15214" s="4" t="s">
        <v>376</v>
      </c>
      <c r="AR15214" s="4" t="s">
        <v>377</v>
      </c>
    </row>
    <row r="15215" spans="1:44" ht="30">
      <c r="A15215" s="4" t="s">
        <v>10753</v>
      </c>
      <c r="B15215" s="4">
        <v>248499</v>
      </c>
      <c r="D15215" s="5" t="s">
        <v>18111</v>
      </c>
      <c r="E15215" s="6" t="str">
        <f>HYPERLINK("https://inpn.mnhn.fr/espece/cd_nom/248499","Scopula ornata (Scopoli, 1763)")</f>
        <v>Scopula ornata (Scopoli, 1763)</v>
      </c>
      <c r="F15215" s="5" t="s">
        <v>18112</v>
      </c>
      <c r="AH15215" s="4" t="str">
        <f>HYPERLINK("#Statut_biogéographique!A"&amp;_xlfn.XMATCH("P",Statut_biogéographique!A:A,2,1),"P")</f>
        <v>P</v>
      </c>
      <c r="AP15215" s="4" t="s">
        <v>376</v>
      </c>
      <c r="AR15215" s="4" t="s">
        <v>377</v>
      </c>
    </row>
    <row r="15216" spans="1:44" ht="30">
      <c r="A15216" s="4" t="s">
        <v>10753</v>
      </c>
      <c r="B15216" s="4">
        <v>248500</v>
      </c>
      <c r="D15216" s="5" t="s">
        <v>18113</v>
      </c>
      <c r="E15216" s="6" t="str">
        <f>HYPERLINK("https://inpn.mnhn.fr/espece/cd_nom/248500","Scopula decorata (Denis &amp; Schiffermüller, 1775)")</f>
        <v>Scopula decorata (Denis &amp; Schiffermüller, 1775)</v>
      </c>
      <c r="F15216" s="5" t="s">
        <v>18114</v>
      </c>
      <c r="AH15216" s="4" t="str">
        <f>HYPERLINK("#Statut_biogéographique!A"&amp;_xlfn.XMATCH("P",Statut_biogéographique!A:A,2,1),"P")</f>
        <v>P</v>
      </c>
      <c r="AP15216" s="4" t="s">
        <v>376</v>
      </c>
      <c r="AR15216" s="4" t="s">
        <v>377</v>
      </c>
    </row>
    <row r="15217" spans="1:44" ht="30">
      <c r="A15217" s="4" t="s">
        <v>10753</v>
      </c>
      <c r="B15217" s="4">
        <v>248503</v>
      </c>
      <c r="D15217" s="5" t="s">
        <v>18115</v>
      </c>
      <c r="E15217" s="6" t="str">
        <f>HYPERLINK("https://inpn.mnhn.fr/espece/cd_nom/248503","Scopula rubiginata (Hufnagel, 1767)")</f>
        <v>Scopula rubiginata (Hufnagel, 1767)</v>
      </c>
      <c r="F15217" s="5" t="s">
        <v>18116</v>
      </c>
      <c r="AH15217" s="4" t="str">
        <f>HYPERLINK("#Statut_biogéographique!A"&amp;_xlfn.XMATCH("P",Statut_biogéographique!A:A,2,1),"P")</f>
        <v>P</v>
      </c>
      <c r="AP15217" s="4" t="s">
        <v>376</v>
      </c>
      <c r="AR15217" s="4" t="s">
        <v>377</v>
      </c>
    </row>
    <row r="15218" spans="1:44">
      <c r="A15218" s="4" t="s">
        <v>10753</v>
      </c>
      <c r="B15218" s="4">
        <v>248506</v>
      </c>
      <c r="D15218" s="5" t="s">
        <v>18117</v>
      </c>
      <c r="E15218" s="6" t="str">
        <f>HYPERLINK("https://inpn.mnhn.fr/espece/cd_nom/248506","Scopula marginepunctata (Goeze, 1781)")</f>
        <v>Scopula marginepunctata (Goeze, 1781)</v>
      </c>
      <c r="F15218" s="5" t="s">
        <v>18118</v>
      </c>
      <c r="AH15218" s="4" t="str">
        <f>HYPERLINK("#Statut_biogéographique!A"&amp;_xlfn.XMATCH("P",Statut_biogéographique!A:A,2,1),"P")</f>
        <v>P</v>
      </c>
      <c r="AP15218" s="4" t="s">
        <v>376</v>
      </c>
      <c r="AR15218" s="4" t="s">
        <v>377</v>
      </c>
    </row>
    <row r="15219" spans="1:44">
      <c r="A15219" s="4" t="s">
        <v>10753</v>
      </c>
      <c r="B15219" s="4">
        <v>248507</v>
      </c>
      <c r="D15219" s="5" t="s">
        <v>18119</v>
      </c>
      <c r="E15219" s="6" t="str">
        <f>HYPERLINK("https://inpn.mnhn.fr/espece/cd_nom/248507","Scopula incanata (Linnaeus, 1758)")</f>
        <v>Scopula incanata (Linnaeus, 1758)</v>
      </c>
      <c r="F15219" s="5" t="s">
        <v>18120</v>
      </c>
      <c r="AH15219" s="4" t="str">
        <f>HYPERLINK("#Statut_biogéographique!A"&amp;_xlfn.XMATCH("P",Statut_biogéographique!A:A,2,1),"P")</f>
        <v>P</v>
      </c>
      <c r="AP15219" s="4" t="s">
        <v>376</v>
      </c>
      <c r="AR15219" s="4" t="s">
        <v>377</v>
      </c>
    </row>
    <row r="15220" spans="1:44">
      <c r="A15220" s="4" t="s">
        <v>10753</v>
      </c>
      <c r="B15220" s="4">
        <v>248508</v>
      </c>
      <c r="D15220" s="5" t="s">
        <v>18121</v>
      </c>
      <c r="E15220" s="6" t="str">
        <f>HYPERLINK("https://inpn.mnhn.fr/espece/cd_nom/248508","Scopula imitaria (Hübner, 1799)")</f>
        <v>Scopula imitaria (Hübner, 1799)</v>
      </c>
      <c r="F15220" s="5" t="s">
        <v>18122</v>
      </c>
      <c r="AH15220" s="4" t="str">
        <f>HYPERLINK("#Statut_biogéographique!A"&amp;_xlfn.XMATCH("P",Statut_biogéographique!A:A,2,1),"P")</f>
        <v>P</v>
      </c>
      <c r="AP15220" s="4" t="s">
        <v>376</v>
      </c>
      <c r="AR15220" s="4" t="s">
        <v>377</v>
      </c>
    </row>
    <row r="15221" spans="1:44" ht="30">
      <c r="A15221" s="4" t="s">
        <v>10753</v>
      </c>
      <c r="B15221" s="4">
        <v>248509</v>
      </c>
      <c r="D15221" s="5" t="s">
        <v>18123</v>
      </c>
      <c r="E15221" s="6" t="str">
        <f>HYPERLINK("https://inpn.mnhn.fr/espece/cd_nom/248509","Scopula immutata (Linnaeus, 1758)")</f>
        <v>Scopula immutata (Linnaeus, 1758)</v>
      </c>
      <c r="F15221" s="5" t="s">
        <v>18124</v>
      </c>
      <c r="AH15221" s="4" t="str">
        <f>HYPERLINK("#Statut_biogéographique!A"&amp;_xlfn.XMATCH("P",Statut_biogéographique!A:A,2,1),"P")</f>
        <v>P</v>
      </c>
      <c r="AP15221" s="4" t="s">
        <v>376</v>
      </c>
      <c r="AR15221" s="4" t="s">
        <v>377</v>
      </c>
    </row>
    <row r="15222" spans="1:44">
      <c r="A15222" s="4" t="s">
        <v>10753</v>
      </c>
      <c r="B15222" s="4">
        <v>248510</v>
      </c>
      <c r="D15222" s="5" t="s">
        <v>18125</v>
      </c>
      <c r="E15222" s="6" t="str">
        <f>HYPERLINK("https://inpn.mnhn.fr/espece/cd_nom/248510","Scopula ternata (Schrank, 1802)")</f>
        <v>Scopula ternata (Schrank, 1802)</v>
      </c>
      <c r="F15222" s="5" t="s">
        <v>18126</v>
      </c>
      <c r="AH15222" s="4" t="str">
        <f>HYPERLINK("#Statut_biogéographique!A"&amp;_xlfn.XMATCH("P",Statut_biogéographique!A:A,2,1),"P")</f>
        <v>P</v>
      </c>
      <c r="AP15222" s="4" t="s">
        <v>376</v>
      </c>
      <c r="AR15222" s="4" t="s">
        <v>377</v>
      </c>
    </row>
    <row r="15223" spans="1:44">
      <c r="A15223" s="4" t="s">
        <v>10753</v>
      </c>
      <c r="B15223" s="4">
        <v>248511</v>
      </c>
      <c r="D15223" s="5" t="s">
        <v>18127</v>
      </c>
      <c r="E15223" s="6" t="str">
        <f>HYPERLINK("https://inpn.mnhn.fr/espece/cd_nom/248511","Scopula floslactata (Haworth, 1809)")</f>
        <v>Scopula floslactata (Haworth, 1809)</v>
      </c>
      <c r="F15223" s="5" t="s">
        <v>18128</v>
      </c>
      <c r="AH15223" s="4" t="str">
        <f>HYPERLINK("#Statut_biogéographique!A"&amp;_xlfn.XMATCH("P",Statut_biogéographique!A:A,2,1),"P")</f>
        <v>P</v>
      </c>
      <c r="AP15223" s="4" t="s">
        <v>376</v>
      </c>
      <c r="AR15223" s="4" t="s">
        <v>377</v>
      </c>
    </row>
    <row r="15224" spans="1:44" ht="30">
      <c r="A15224" s="4" t="s">
        <v>10753</v>
      </c>
      <c r="B15224" s="4">
        <v>248512</v>
      </c>
      <c r="D15224" s="5" t="s">
        <v>18129</v>
      </c>
      <c r="E15224" s="6" t="str">
        <f>HYPERLINK("https://inpn.mnhn.fr/espece/cd_nom/248512","Scopula subpunctaria (Herrich-Schäffer, 1847)")</f>
        <v>Scopula subpunctaria (Herrich-Schäffer, 1847)</v>
      </c>
      <c r="F15224" s="5" t="s">
        <v>18130</v>
      </c>
      <c r="AH15224" s="4" t="str">
        <f>HYPERLINK("#Statut_biogéographique!A"&amp;_xlfn.XMATCH("P",Statut_biogéographique!A:A,2,1),"P")</f>
        <v>P</v>
      </c>
      <c r="AP15224" s="4" t="s">
        <v>376</v>
      </c>
      <c r="AR15224" s="4" t="s">
        <v>377</v>
      </c>
    </row>
    <row r="15225" spans="1:44" ht="30">
      <c r="A15225" s="4" t="s">
        <v>10753</v>
      </c>
      <c r="B15225" s="4">
        <v>248516</v>
      </c>
      <c r="D15225" s="5" t="s">
        <v>18131</v>
      </c>
      <c r="E15225" s="6" t="str">
        <f>HYPERLINK("https://inpn.mnhn.fr/espece/cd_nom/248516","Timandra comae Schmidt, 1931")</f>
        <v>Timandra comae Schmidt, 1931</v>
      </c>
      <c r="F15225" s="5" t="s">
        <v>18132</v>
      </c>
      <c r="AH15225" s="4" t="str">
        <f>HYPERLINK("#Statut_biogéographique!A"&amp;_xlfn.XMATCH("P",Statut_biogéographique!A:A,2,1),"P")</f>
        <v>P</v>
      </c>
      <c r="AP15225" s="4" t="s">
        <v>376</v>
      </c>
      <c r="AR15225" s="4" t="s">
        <v>377</v>
      </c>
    </row>
    <row r="15226" spans="1:44">
      <c r="A15226" s="4" t="s">
        <v>10753</v>
      </c>
      <c r="B15226" s="4">
        <v>248517</v>
      </c>
      <c r="D15226" s="5" t="s">
        <v>18133</v>
      </c>
      <c r="E15226" s="6" t="str">
        <f>HYPERLINK("https://inpn.mnhn.fr/espece/cd_nom/248517","Minoa murinata (Scopoli, 1763)")</f>
        <v>Minoa murinata (Scopoli, 1763)</v>
      </c>
      <c r="F15226" s="5" t="s">
        <v>18134</v>
      </c>
      <c r="AH15226" s="4" t="str">
        <f>HYPERLINK("#Statut_biogéographique!A"&amp;_xlfn.XMATCH("P",Statut_biogéographique!A:A,2,1),"P")</f>
        <v>P</v>
      </c>
      <c r="AP15226" s="4" t="s">
        <v>376</v>
      </c>
      <c r="AR15226" s="4" t="s">
        <v>377</v>
      </c>
    </row>
    <row r="15227" spans="1:44" ht="30">
      <c r="A15227" s="4" t="s">
        <v>10753</v>
      </c>
      <c r="B15227" s="4">
        <v>248518</v>
      </c>
      <c r="D15227" s="5" t="s">
        <v>18135</v>
      </c>
      <c r="E15227" s="6" t="str">
        <f>HYPERLINK("https://inpn.mnhn.fr/espece/cd_nom/248518","Hydrelia sylvata (Denis &amp; Schiffermüller, 1775)")</f>
        <v>Hydrelia sylvata (Denis &amp; Schiffermüller, 1775)</v>
      </c>
      <c r="F15227" s="5" t="s">
        <v>18136</v>
      </c>
      <c r="AH15227" s="4" t="str">
        <f>HYPERLINK("#Statut_biogéographique!A"&amp;_xlfn.XMATCH("P",Statut_biogéographique!A:A,2,1),"P")</f>
        <v>P</v>
      </c>
      <c r="AP15227" s="4" t="s">
        <v>376</v>
      </c>
      <c r="AR15227" s="4" t="s">
        <v>377</v>
      </c>
    </row>
    <row r="15228" spans="1:44" ht="30">
      <c r="A15228" s="4" t="s">
        <v>10753</v>
      </c>
      <c r="B15228" s="4">
        <v>248519</v>
      </c>
      <c r="D15228" s="5" t="s">
        <v>18137</v>
      </c>
      <c r="E15228" s="6" t="str">
        <f>HYPERLINK("https://inpn.mnhn.fr/espece/cd_nom/248519","Hydrelia flammeolaria (Hufnagel, 1767)")</f>
        <v>Hydrelia flammeolaria (Hufnagel, 1767)</v>
      </c>
      <c r="F15228" s="5" t="s">
        <v>18138</v>
      </c>
      <c r="AH15228" s="4" t="str">
        <f>HYPERLINK("#Statut_biogéographique!A"&amp;_xlfn.XMATCH("P",Statut_biogéographique!A:A,2,1),"P")</f>
        <v>P</v>
      </c>
      <c r="AP15228" s="4" t="s">
        <v>376</v>
      </c>
      <c r="AR15228" s="4" t="s">
        <v>377</v>
      </c>
    </row>
    <row r="15229" spans="1:44">
      <c r="A15229" s="4" t="s">
        <v>10753</v>
      </c>
      <c r="B15229" s="4">
        <v>24852</v>
      </c>
      <c r="D15229" s="5" t="s">
        <v>18139</v>
      </c>
      <c r="E15229" s="6" t="str">
        <f>HYPERLINK("https://inpn.mnhn.fr/espece/cd_nom/24852","Platystoma seminationis (Fabricius, 1775)")</f>
        <v>Platystoma seminationis (Fabricius, 1775)</v>
      </c>
      <c r="AH15229" s="4" t="str">
        <f>HYPERLINK("#Statut_biogéographique!A"&amp;_xlfn.XMATCH("P",Statut_biogéographique!A:A,2,1),"P")</f>
        <v>P</v>
      </c>
      <c r="AP15229" s="4" t="s">
        <v>376</v>
      </c>
      <c r="AR15229" s="4" t="s">
        <v>377</v>
      </c>
    </row>
    <row r="15230" spans="1:44" ht="30">
      <c r="A15230" s="4" t="s">
        <v>10753</v>
      </c>
      <c r="B15230" s="4">
        <v>248520</v>
      </c>
      <c r="D15230" s="5" t="s">
        <v>18140</v>
      </c>
      <c r="E15230" s="6" t="str">
        <f>HYPERLINK("https://inpn.mnhn.fr/espece/cd_nom/248520","Asthena albulata (Hufnagel, 1767)")</f>
        <v>Asthena albulata (Hufnagel, 1767)</v>
      </c>
      <c r="F15230" s="5" t="s">
        <v>18141</v>
      </c>
      <c r="AH15230" s="4" t="str">
        <f>HYPERLINK("#Statut_biogéographique!A"&amp;_xlfn.XMATCH("P",Statut_biogéographique!A:A,2,1),"P")</f>
        <v>P</v>
      </c>
      <c r="AP15230" s="4" t="s">
        <v>376</v>
      </c>
      <c r="AR15230" s="4" t="s">
        <v>377</v>
      </c>
    </row>
    <row r="15231" spans="1:44">
      <c r="A15231" s="4" t="s">
        <v>10753</v>
      </c>
      <c r="B15231" s="4">
        <v>248521</v>
      </c>
      <c r="D15231" s="5" t="s">
        <v>18142</v>
      </c>
      <c r="E15231" s="6" t="str">
        <f>HYPERLINK("https://inpn.mnhn.fr/espece/cd_nom/248521","Asthena anseraria (Herrich-Schäffer, 1855)")</f>
        <v>Asthena anseraria (Herrich-Schäffer, 1855)</v>
      </c>
      <c r="F15231" s="5" t="s">
        <v>18143</v>
      </c>
      <c r="AH15231" s="4" t="str">
        <f>HYPERLINK("#Statut_biogéographique!A"&amp;_xlfn.XMATCH("P",Statut_biogéographique!A:A,2,1),"P")</f>
        <v>P</v>
      </c>
      <c r="AP15231" s="4" t="s">
        <v>376</v>
      </c>
      <c r="AR15231" s="4" t="s">
        <v>377</v>
      </c>
    </row>
    <row r="15232" spans="1:44" ht="30">
      <c r="A15232" s="4" t="s">
        <v>10753</v>
      </c>
      <c r="B15232" s="4">
        <v>248522</v>
      </c>
      <c r="D15232" s="5" t="s">
        <v>18144</v>
      </c>
      <c r="E15232" s="6" t="str">
        <f>HYPERLINK("https://inpn.mnhn.fr/espece/cd_nom/248522","Euchoeca nebulata (Scopoli, 1763)")</f>
        <v>Euchoeca nebulata (Scopoli, 1763)</v>
      </c>
      <c r="F15232" s="5" t="s">
        <v>18145</v>
      </c>
      <c r="AH15232" s="4" t="str">
        <f>HYPERLINK("#Statut_biogéographique!A"&amp;_xlfn.XMATCH("P",Statut_biogéographique!A:A,2,1),"P")</f>
        <v>P</v>
      </c>
      <c r="AP15232" s="4" t="s">
        <v>376</v>
      </c>
      <c r="AR15232" s="4" t="s">
        <v>377</v>
      </c>
    </row>
    <row r="15233" spans="1:44">
      <c r="A15233" s="4" t="s">
        <v>10753</v>
      </c>
      <c r="B15233" s="4">
        <v>248523</v>
      </c>
      <c r="D15233" s="5" t="s">
        <v>18146</v>
      </c>
      <c r="E15233" s="6" t="str">
        <f>HYPERLINK("https://inpn.mnhn.fr/espece/cd_nom/248523","Venusia cambrica Curtis, 1839")</f>
        <v>Venusia cambrica Curtis, 1839</v>
      </c>
      <c r="F15233" s="5" t="s">
        <v>18147</v>
      </c>
      <c r="AH15233" s="4" t="str">
        <f>HYPERLINK("#Statut_biogéographique!A"&amp;_xlfn.XMATCH("P",Statut_biogéographique!A:A,2,1),"P")</f>
        <v>P</v>
      </c>
      <c r="AP15233" s="4" t="s">
        <v>376</v>
      </c>
      <c r="AR15233" s="4" t="s">
        <v>377</v>
      </c>
    </row>
    <row r="15234" spans="1:44">
      <c r="A15234" s="4" t="s">
        <v>10753</v>
      </c>
      <c r="B15234" s="4">
        <v>248524</v>
      </c>
      <c r="D15234" s="5" t="s">
        <v>18148</v>
      </c>
      <c r="E15234" s="6" t="str">
        <f>HYPERLINK("https://inpn.mnhn.fr/espece/cd_nom/248524","Venusia blomeri (Curtis, 1832)")</f>
        <v>Venusia blomeri (Curtis, 1832)</v>
      </c>
      <c r="F15234" s="5" t="s">
        <v>18149</v>
      </c>
      <c r="AH15234" s="4" t="str">
        <f>HYPERLINK("#Statut_biogéographique!A"&amp;_xlfn.XMATCH("P",Statut_biogéographique!A:A,2,1),"P")</f>
        <v>P</v>
      </c>
      <c r="AP15234" s="4" t="s">
        <v>376</v>
      </c>
      <c r="AR15234" s="4" t="s">
        <v>377</v>
      </c>
    </row>
    <row r="15235" spans="1:44">
      <c r="A15235" s="4" t="s">
        <v>10753</v>
      </c>
      <c r="B15235" s="4">
        <v>248525</v>
      </c>
      <c r="D15235" s="5" t="s">
        <v>18150</v>
      </c>
      <c r="E15235" s="6" t="str">
        <f>HYPERLINK("https://inpn.mnhn.fr/espece/cd_nom/248525","Phibalapteryx virgata (Hufnagel, 1767)")</f>
        <v>Phibalapteryx virgata (Hufnagel, 1767)</v>
      </c>
      <c r="F15235" s="5" t="s">
        <v>18151</v>
      </c>
      <c r="AH15235" s="4" t="str">
        <f>HYPERLINK("#Statut_biogéographique!A"&amp;_xlfn.XMATCH("P",Statut_biogéographique!A:A,2,1),"P")</f>
        <v>P</v>
      </c>
      <c r="AP15235" s="4" t="s">
        <v>376</v>
      </c>
      <c r="AR15235" s="4" t="s">
        <v>377</v>
      </c>
    </row>
    <row r="15236" spans="1:44" ht="30">
      <c r="A15236" s="4" t="s">
        <v>10753</v>
      </c>
      <c r="B15236" s="4">
        <v>248526</v>
      </c>
      <c r="D15236" s="5" t="s">
        <v>18152</v>
      </c>
      <c r="E15236" s="6" t="str">
        <f>HYPERLINK("https://inpn.mnhn.fr/espece/cd_nom/248526","Cataclysme riguata (Hübner, 1813)")</f>
        <v>Cataclysme riguata (Hübner, 1813)</v>
      </c>
      <c r="F15236" s="5" t="s">
        <v>18153</v>
      </c>
      <c r="AH15236" s="4" t="str">
        <f>HYPERLINK("#Statut_biogéographique!A"&amp;_xlfn.XMATCH("P",Statut_biogéographique!A:A,2,1),"P")</f>
        <v>P</v>
      </c>
      <c r="AP15236" s="4" t="s">
        <v>376</v>
      </c>
      <c r="AR15236" s="4" t="s">
        <v>377</v>
      </c>
    </row>
    <row r="15237" spans="1:44" ht="30">
      <c r="A15237" s="4" t="s">
        <v>10753</v>
      </c>
      <c r="B15237" s="4">
        <v>248530</v>
      </c>
      <c r="D15237" s="5" t="s">
        <v>18154</v>
      </c>
      <c r="E15237" s="6" t="str">
        <f>HYPERLINK("https://inpn.mnhn.fr/espece/cd_nom/248530","Lithostege griseata (Denis &amp; Schiffermüller, 1775)")</f>
        <v>Lithostege griseata (Denis &amp; Schiffermüller, 1775)</v>
      </c>
      <c r="F15237" s="5" t="s">
        <v>18155</v>
      </c>
      <c r="AH15237" s="4" t="str">
        <f>HYPERLINK("#Statut_biogéographique!A"&amp;_xlfn.XMATCH("P",Statut_biogéographique!A:A,2,1),"P")</f>
        <v>P</v>
      </c>
      <c r="AP15237" s="4" t="s">
        <v>376</v>
      </c>
      <c r="AR15237" s="4" t="s">
        <v>377</v>
      </c>
    </row>
    <row r="15238" spans="1:44" ht="30">
      <c r="A15238" s="4" t="s">
        <v>10753</v>
      </c>
      <c r="B15238" s="4">
        <v>248533</v>
      </c>
      <c r="D15238" s="5" t="s">
        <v>18156</v>
      </c>
      <c r="E15238" s="6" t="str">
        <f>HYPERLINK("https://inpn.mnhn.fr/espece/cd_nom/248533","Odezia atrata (Linnaeus, 1758)")</f>
        <v>Odezia atrata (Linnaeus, 1758)</v>
      </c>
      <c r="F15238" s="5" t="s">
        <v>18157</v>
      </c>
      <c r="AH15238" s="4" t="str">
        <f>HYPERLINK("#Statut_biogéographique!A"&amp;_xlfn.XMATCH("P",Statut_biogéographique!A:A,2,1),"P")</f>
        <v>P</v>
      </c>
      <c r="AP15238" s="4" t="s">
        <v>376</v>
      </c>
      <c r="AR15238" s="4" t="s">
        <v>377</v>
      </c>
    </row>
    <row r="15239" spans="1:44">
      <c r="A15239" s="4" t="s">
        <v>10753</v>
      </c>
      <c r="B15239" s="4">
        <v>248534</v>
      </c>
      <c r="D15239" s="5" t="s">
        <v>18158</v>
      </c>
      <c r="E15239" s="6" t="str">
        <f>HYPERLINK("https://inpn.mnhn.fr/espece/cd_nom/248534","Aplocera plagiata (Linnaeus, 1758)")</f>
        <v>Aplocera plagiata (Linnaeus, 1758)</v>
      </c>
      <c r="F15239" s="5" t="s">
        <v>18159</v>
      </c>
      <c r="AH15239" s="4" t="str">
        <f>HYPERLINK("#Statut_biogéographique!A"&amp;_xlfn.XMATCH("P",Statut_biogéographique!A:A,2,1),"P")</f>
        <v>P</v>
      </c>
      <c r="AP15239" s="4" t="s">
        <v>376</v>
      </c>
      <c r="AR15239" s="4" t="s">
        <v>377</v>
      </c>
    </row>
    <row r="15240" spans="1:44">
      <c r="A15240" s="4" t="s">
        <v>10753</v>
      </c>
      <c r="B15240" s="4">
        <v>248535</v>
      </c>
      <c r="D15240" s="5" t="s">
        <v>18160</v>
      </c>
      <c r="E15240" s="6" t="str">
        <f>HYPERLINK("https://inpn.mnhn.fr/espece/cd_nom/248535","Aplocera efformata (Guenée, 1858)")</f>
        <v>Aplocera efformata (Guenée, 1858)</v>
      </c>
      <c r="F15240" s="5" t="s">
        <v>18161</v>
      </c>
      <c r="AH15240" s="4" t="str">
        <f>HYPERLINK("#Statut_biogéographique!A"&amp;_xlfn.XMATCH("P",Statut_biogéographique!A:A,2,1),"P")</f>
        <v>P</v>
      </c>
      <c r="AP15240" s="4" t="s">
        <v>376</v>
      </c>
      <c r="AR15240" s="4" t="s">
        <v>377</v>
      </c>
    </row>
    <row r="15241" spans="1:44">
      <c r="A15241" s="4" t="s">
        <v>10753</v>
      </c>
      <c r="B15241" s="4">
        <v>248537</v>
      </c>
      <c r="D15241" s="5" t="s">
        <v>18162</v>
      </c>
      <c r="E15241" s="6" t="str">
        <f>HYPERLINK("https://inpn.mnhn.fr/espece/cd_nom/248537","Aplocera praeformata (Hübner, 1826)")</f>
        <v>Aplocera praeformata (Hübner, 1826)</v>
      </c>
      <c r="F15241" s="5" t="s">
        <v>18163</v>
      </c>
      <c r="AH15241" s="4" t="str">
        <f>HYPERLINK("#Statut_biogéographique!A"&amp;_xlfn.XMATCH("P",Statut_biogéographique!A:A,2,1),"P")</f>
        <v>P</v>
      </c>
      <c r="AP15241" s="4" t="s">
        <v>376</v>
      </c>
      <c r="AR15241" s="4" t="s">
        <v>377</v>
      </c>
    </row>
    <row r="15242" spans="1:44">
      <c r="A15242" s="4" t="s">
        <v>10753</v>
      </c>
      <c r="B15242" s="4">
        <v>248540</v>
      </c>
      <c r="D15242" s="5" t="s">
        <v>18164</v>
      </c>
      <c r="E15242" s="6" t="str">
        <f>HYPERLINK("https://inpn.mnhn.fr/espece/cd_nom/248540","Carsia lythoxylata (Hübner, 1799)")</f>
        <v>Carsia lythoxylata (Hübner, 1799)</v>
      </c>
      <c r="F15242" s="5" t="s">
        <v>18165</v>
      </c>
      <c r="AH15242" s="4" t="str">
        <f>HYPERLINK("#Statut_biogéographique!A"&amp;_xlfn.XMATCH("P",Statut_biogéographique!A:A,2,1),"P")</f>
        <v>P</v>
      </c>
      <c r="AP15242" s="4" t="s">
        <v>376</v>
      </c>
      <c r="AR15242" s="4" t="s">
        <v>377</v>
      </c>
    </row>
    <row r="15243" spans="1:44" ht="30">
      <c r="A15243" s="4" t="s">
        <v>10753</v>
      </c>
      <c r="B15243" s="4">
        <v>248541</v>
      </c>
      <c r="D15243" s="5" t="s">
        <v>18166</v>
      </c>
      <c r="E15243" s="6" t="str">
        <f>HYPERLINK("https://inpn.mnhn.fr/espece/cd_nom/248541","Chesias legatella (Denis &amp; Schiffermüller, 1775)")</f>
        <v>Chesias legatella (Denis &amp; Schiffermüller, 1775)</v>
      </c>
      <c r="F15243" s="5" t="s">
        <v>18167</v>
      </c>
      <c r="AH15243" s="4" t="str">
        <f>HYPERLINK("#Statut_biogéographique!A"&amp;_xlfn.XMATCH("P",Statut_biogéographique!A:A,2,1),"P")</f>
        <v>P</v>
      </c>
      <c r="AP15243" s="4" t="s">
        <v>376</v>
      </c>
      <c r="AR15243" s="4" t="s">
        <v>377</v>
      </c>
    </row>
    <row r="15244" spans="1:44">
      <c r="A15244" s="4" t="s">
        <v>10753</v>
      </c>
      <c r="B15244" s="4">
        <v>248543</v>
      </c>
      <c r="D15244" s="5" t="s">
        <v>18168</v>
      </c>
      <c r="E15244" s="6" t="str">
        <f>HYPERLINK("https://inpn.mnhn.fr/espece/cd_nom/248543","Chesias rufata (Fabricius, 1775)")</f>
        <v>Chesias rufata (Fabricius, 1775)</v>
      </c>
      <c r="F15244" s="5" t="s">
        <v>18169</v>
      </c>
      <c r="AH15244" s="4" t="str">
        <f>HYPERLINK("#Statut_biogéographique!A"&amp;_xlfn.XMATCH("P",Statut_biogéographique!A:A,2,1),"P")</f>
        <v>P</v>
      </c>
      <c r="AP15244" s="4" t="s">
        <v>376</v>
      </c>
      <c r="AR15244" s="4" t="s">
        <v>377</v>
      </c>
    </row>
    <row r="15245" spans="1:44" ht="30">
      <c r="A15245" s="4" t="s">
        <v>10753</v>
      </c>
      <c r="B15245" s="4">
        <v>248544</v>
      </c>
      <c r="D15245" s="5" t="s">
        <v>18170</v>
      </c>
      <c r="E15245" s="6" t="str">
        <f>HYPERLINK("https://inpn.mnhn.fr/espece/cd_nom/248544","Colostygia aptata (Hübner, 1813)")</f>
        <v>Colostygia aptata (Hübner, 1813)</v>
      </c>
      <c r="F15245" s="5" t="s">
        <v>18171</v>
      </c>
      <c r="AH15245" s="4" t="str">
        <f>HYPERLINK("#Statut_biogéographique!A"&amp;_xlfn.XMATCH("P",Statut_biogéographique!A:A,2,1),"P")</f>
        <v>P</v>
      </c>
      <c r="AP15245" s="4" t="s">
        <v>376</v>
      </c>
      <c r="AR15245" s="4" t="s">
        <v>377</v>
      </c>
    </row>
    <row r="15246" spans="1:44" ht="30">
      <c r="A15246" s="4" t="s">
        <v>10753</v>
      </c>
      <c r="B15246" s="4">
        <v>248545</v>
      </c>
      <c r="D15246" s="5" t="s">
        <v>18172</v>
      </c>
      <c r="E15246" s="6" t="str">
        <f>HYPERLINK("https://inpn.mnhn.fr/espece/cd_nom/248545","Colostygia olivata (Denis &amp; Schiffermüller, 1775)")</f>
        <v>Colostygia olivata (Denis &amp; Schiffermüller, 1775)</v>
      </c>
      <c r="F15246" s="5" t="s">
        <v>18173</v>
      </c>
      <c r="AH15246" s="4" t="str">
        <f>HYPERLINK("#Statut_biogéographique!A"&amp;_xlfn.XMATCH("P",Statut_biogéographique!A:A,2,1),"P")</f>
        <v>P</v>
      </c>
      <c r="AP15246" s="4" t="s">
        <v>376</v>
      </c>
      <c r="AR15246" s="4" t="s">
        <v>377</v>
      </c>
    </row>
    <row r="15247" spans="1:44">
      <c r="A15247" s="4" t="s">
        <v>10753</v>
      </c>
      <c r="B15247" s="4">
        <v>248547</v>
      </c>
      <c r="D15247" s="5" t="s">
        <v>18174</v>
      </c>
      <c r="E15247" s="6" t="str">
        <f>HYPERLINK("https://inpn.mnhn.fr/espece/cd_nom/248547","Colostygia pectinataria (Knoch, 1781)")</f>
        <v>Colostygia pectinataria (Knoch, 1781)</v>
      </c>
      <c r="F15247" s="5" t="s">
        <v>18175</v>
      </c>
      <c r="AH15247" s="4" t="str">
        <f>HYPERLINK("#Statut_biogéographique!A"&amp;_xlfn.XMATCH("P",Statut_biogéographique!A:A,2,1),"P")</f>
        <v>P</v>
      </c>
      <c r="AP15247" s="4" t="s">
        <v>376</v>
      </c>
      <c r="AR15247" s="4" t="s">
        <v>377</v>
      </c>
    </row>
    <row r="15248" spans="1:44">
      <c r="A15248" s="4" t="s">
        <v>10753</v>
      </c>
      <c r="B15248" s="4">
        <v>248548</v>
      </c>
      <c r="D15248" s="5" t="s">
        <v>18176</v>
      </c>
      <c r="E15248" s="6" t="str">
        <f>HYPERLINK("https://inpn.mnhn.fr/espece/cd_nom/248548","Colostygia aqueata (Hübner, 1813)")</f>
        <v>Colostygia aqueata (Hübner, 1813)</v>
      </c>
      <c r="F15248" s="5" t="s">
        <v>18177</v>
      </c>
      <c r="AH15248" s="4" t="str">
        <f>HYPERLINK("#Statut_biogéographique!A"&amp;_xlfn.XMATCH("P",Statut_biogéographique!A:A,2,1),"P")</f>
        <v>P</v>
      </c>
      <c r="AP15248" s="4" t="s">
        <v>376</v>
      </c>
      <c r="AR15248" s="4" t="s">
        <v>377</v>
      </c>
    </row>
    <row r="15249" spans="1:44">
      <c r="A15249" s="4" t="s">
        <v>10753</v>
      </c>
      <c r="B15249" s="4">
        <v>248550</v>
      </c>
      <c r="D15249" s="5" t="s">
        <v>18178</v>
      </c>
      <c r="E15249" s="6" t="str">
        <f>HYPERLINK("https://inpn.mnhn.fr/espece/cd_nom/248550","Colostygia multistrigaria (Haworth, 1809)")</f>
        <v>Colostygia multistrigaria (Haworth, 1809)</v>
      </c>
      <c r="F15249" s="5" t="s">
        <v>18179</v>
      </c>
      <c r="AH15249" s="4" t="str">
        <f>HYPERLINK("#Statut_biogéographique!A"&amp;_xlfn.XMATCH("P",Statut_biogéographique!A:A,2,1),"P")</f>
        <v>P</v>
      </c>
      <c r="AP15249" s="4" t="s">
        <v>376</v>
      </c>
      <c r="AR15249" s="4" t="s">
        <v>377</v>
      </c>
    </row>
    <row r="15250" spans="1:44">
      <c r="A15250" s="4" t="s">
        <v>10753</v>
      </c>
      <c r="B15250" s="4">
        <v>248551</v>
      </c>
      <c r="D15250" s="5" t="s">
        <v>18180</v>
      </c>
      <c r="E15250" s="6" t="str">
        <f>HYPERLINK("https://inpn.mnhn.fr/espece/cd_nom/248551","Colostygia turbata (Hübner, 1799)")</f>
        <v>Colostygia turbata (Hübner, 1799)</v>
      </c>
      <c r="F15250" s="5" t="s">
        <v>18181</v>
      </c>
      <c r="AH15250" s="4" t="str">
        <f>HYPERLINK("#Statut_biogéographique!A"&amp;_xlfn.XMATCH("P",Statut_biogéographique!A:A,2,1),"P")</f>
        <v>P</v>
      </c>
      <c r="AP15250" s="4" t="s">
        <v>376</v>
      </c>
      <c r="AR15250" s="4" t="s">
        <v>377</v>
      </c>
    </row>
    <row r="15251" spans="1:44">
      <c r="A15251" s="4" t="s">
        <v>10753</v>
      </c>
      <c r="B15251" s="4">
        <v>248553</v>
      </c>
      <c r="D15251" s="5" t="s">
        <v>18182</v>
      </c>
      <c r="E15251" s="6" t="str">
        <f>HYPERLINK("https://inpn.mnhn.fr/espece/cd_nom/248553","Colostygia laetaria (de La Harpe, 1853)")</f>
        <v>Colostygia laetaria (de La Harpe, 1853)</v>
      </c>
      <c r="F15251" s="5" t="s">
        <v>18183</v>
      </c>
      <c r="AH15251" s="4" t="str">
        <f>HYPERLINK("#Statut_biogéographique!A"&amp;_xlfn.XMATCH("P",Statut_biogéographique!A:A,2,1),"P")</f>
        <v>P</v>
      </c>
      <c r="AP15251" s="4" t="s">
        <v>376</v>
      </c>
      <c r="AR15251" s="4" t="s">
        <v>377</v>
      </c>
    </row>
    <row r="15252" spans="1:44" ht="30">
      <c r="A15252" s="4" t="s">
        <v>10753</v>
      </c>
      <c r="B15252" s="4">
        <v>248554</v>
      </c>
      <c r="D15252" s="5" t="s">
        <v>18184</v>
      </c>
      <c r="E15252" s="6" t="str">
        <f>HYPERLINK("https://inpn.mnhn.fr/espece/cd_nom/248554","Electrophaes corylata (Thunberg &amp; Sebaldt, 1792)")</f>
        <v>Electrophaes corylata (Thunberg &amp; Sebaldt, 1792)</v>
      </c>
      <c r="F15252" s="5" t="s">
        <v>18185</v>
      </c>
      <c r="AH15252" s="4" t="str">
        <f>HYPERLINK("#Statut_biogéographique!A"&amp;_xlfn.XMATCH("P",Statut_biogéographique!A:A,2,1),"P")</f>
        <v>P</v>
      </c>
      <c r="AP15252" s="4" t="s">
        <v>376</v>
      </c>
      <c r="AR15252" s="4" t="s">
        <v>377</v>
      </c>
    </row>
    <row r="15253" spans="1:44" ht="30">
      <c r="A15253" s="4" t="s">
        <v>10753</v>
      </c>
      <c r="B15253" s="4">
        <v>248555</v>
      </c>
      <c r="D15253" s="5" t="s">
        <v>18186</v>
      </c>
      <c r="E15253" s="6" t="str">
        <f>HYPERLINK("https://inpn.mnhn.fr/espece/cd_nom/248555","Eustroma reticulata (Denis &amp; Schiffermüller, 1775)")</f>
        <v>Eustroma reticulata (Denis &amp; Schiffermüller, 1775)</v>
      </c>
      <c r="F15253" s="5" t="s">
        <v>18187</v>
      </c>
      <c r="AH15253" s="4" t="str">
        <f>HYPERLINK("#Statut_biogéographique!A"&amp;_xlfn.XMATCH("P",Statut_biogéographique!A:A,2,1),"P")</f>
        <v>P</v>
      </c>
      <c r="AP15253" s="4" t="s">
        <v>376</v>
      </c>
      <c r="AR15253" s="4" t="s">
        <v>377</v>
      </c>
    </row>
    <row r="15254" spans="1:44">
      <c r="A15254" s="4" t="s">
        <v>10753</v>
      </c>
      <c r="B15254" s="4">
        <v>248558</v>
      </c>
      <c r="D15254" s="5" t="s">
        <v>18188</v>
      </c>
      <c r="E15254" s="6" t="str">
        <f>HYPERLINK("https://inpn.mnhn.fr/espece/cd_nom/248558","Thera cognata (Thunberg &amp; Sebaldt, 1792)")</f>
        <v>Thera cognata (Thunberg &amp; Sebaldt, 1792)</v>
      </c>
      <c r="F15254" s="5" t="s">
        <v>18189</v>
      </c>
      <c r="AH15254" s="4" t="str">
        <f>HYPERLINK("#Statut_biogéographique!A"&amp;_xlfn.XMATCH("P",Statut_biogéographique!A:A,2,1),"P")</f>
        <v>P</v>
      </c>
      <c r="AP15254" s="4" t="s">
        <v>376</v>
      </c>
      <c r="AR15254" s="4" t="s">
        <v>377</v>
      </c>
    </row>
    <row r="15255" spans="1:44" ht="30">
      <c r="A15255" s="4" t="s">
        <v>10753</v>
      </c>
      <c r="B15255" s="4">
        <v>248559</v>
      </c>
      <c r="D15255" s="5" t="s">
        <v>18190</v>
      </c>
      <c r="E15255" s="6" t="str">
        <f>HYPERLINK("https://inpn.mnhn.fr/espece/cd_nom/248559","Thera variata (Denis &amp; Schiffermüller, 1775)")</f>
        <v>Thera variata (Denis &amp; Schiffermüller, 1775)</v>
      </c>
      <c r="F15255" s="5" t="s">
        <v>18191</v>
      </c>
      <c r="AH15255" s="4" t="str">
        <f>HYPERLINK("#Statut_biogéographique!A"&amp;_xlfn.XMATCH("P",Statut_biogéographique!A:A,2,1),"P")</f>
        <v>P</v>
      </c>
      <c r="AP15255" s="4" t="s">
        <v>376</v>
      </c>
      <c r="AR15255" s="4" t="s">
        <v>377</v>
      </c>
    </row>
    <row r="15256" spans="1:44">
      <c r="A15256" s="4" t="s">
        <v>10753</v>
      </c>
      <c r="B15256" s="4">
        <v>248560</v>
      </c>
      <c r="D15256" s="5" t="s">
        <v>18192</v>
      </c>
      <c r="E15256" s="6" t="str">
        <f>HYPERLINK("https://inpn.mnhn.fr/espece/cd_nom/248560","Thera britannica (Turner, 1925)")</f>
        <v>Thera britannica (Turner, 1925)</v>
      </c>
      <c r="F15256" s="5" t="s">
        <v>18193</v>
      </c>
      <c r="AH15256" s="4" t="str">
        <f>HYPERLINK("#Statut_biogéographique!A"&amp;_xlfn.XMATCH("P",Statut_biogéographique!A:A,2,1),"P")</f>
        <v>P</v>
      </c>
      <c r="AP15256" s="4" t="s">
        <v>376</v>
      </c>
      <c r="AR15256" s="4" t="s">
        <v>377</v>
      </c>
    </row>
    <row r="15257" spans="1:44" ht="30">
      <c r="A15257" s="4" t="s">
        <v>10753</v>
      </c>
      <c r="B15257" s="4">
        <v>248561</v>
      </c>
      <c r="D15257" s="5" t="s">
        <v>18194</v>
      </c>
      <c r="E15257" s="6" t="str">
        <f>HYPERLINK("https://inpn.mnhn.fr/espece/cd_nom/248561","Thera vetustata (Denis &amp; Schiffermüller, 1775)")</f>
        <v>Thera vetustata (Denis &amp; Schiffermüller, 1775)</v>
      </c>
      <c r="F15257" s="5" t="s">
        <v>18195</v>
      </c>
      <c r="AH15257" s="4" t="str">
        <f>HYPERLINK("#Statut_biogéographique!A"&amp;_xlfn.XMATCH("P",Statut_biogéographique!A:A,2,1),"P")</f>
        <v>P</v>
      </c>
      <c r="AP15257" s="4" t="s">
        <v>376</v>
      </c>
      <c r="AR15257" s="4" t="s">
        <v>377</v>
      </c>
    </row>
    <row r="15258" spans="1:44">
      <c r="A15258" s="4" t="s">
        <v>10753</v>
      </c>
      <c r="B15258" s="4">
        <v>248562</v>
      </c>
      <c r="D15258" s="5" t="s">
        <v>18196</v>
      </c>
      <c r="E15258" s="6" t="str">
        <f>HYPERLINK("https://inpn.mnhn.fr/espece/cd_nom/248562","Thera obeliscata (Hübner, 1787)")</f>
        <v>Thera obeliscata (Hübner, 1787)</v>
      </c>
      <c r="F15258" s="5" t="s">
        <v>18197</v>
      </c>
      <c r="AH15258" s="4" t="str">
        <f>HYPERLINK("#Statut_biogéographique!A"&amp;_xlfn.XMATCH("P",Statut_biogéographique!A:A,2,1),"P")</f>
        <v>P</v>
      </c>
      <c r="AP15258" s="4" t="s">
        <v>376</v>
      </c>
      <c r="AR15258" s="4" t="s">
        <v>377</v>
      </c>
    </row>
    <row r="15259" spans="1:44" ht="30">
      <c r="A15259" s="4" t="s">
        <v>10753</v>
      </c>
      <c r="B15259" s="4">
        <v>248563</v>
      </c>
      <c r="D15259" s="5" t="s">
        <v>18198</v>
      </c>
      <c r="E15259" s="6" t="str">
        <f>HYPERLINK("https://inpn.mnhn.fr/espece/cd_nom/248563","Thera juniperata (Linnaeus, 1758)")</f>
        <v>Thera juniperata (Linnaeus, 1758)</v>
      </c>
      <c r="F15259" s="5" t="s">
        <v>18199</v>
      </c>
      <c r="AH15259" s="4" t="str">
        <f>HYPERLINK("#Statut_biogéographique!A"&amp;_xlfn.XMATCH("P",Statut_biogéographique!A:A,2,1),"P")</f>
        <v>P</v>
      </c>
      <c r="AP15259" s="4" t="s">
        <v>376</v>
      </c>
      <c r="AR15259" s="4" t="s">
        <v>377</v>
      </c>
    </row>
    <row r="15260" spans="1:44" ht="30">
      <c r="A15260" s="4" t="s">
        <v>10753</v>
      </c>
      <c r="B15260" s="4">
        <v>248565</v>
      </c>
      <c r="D15260" s="5" t="s">
        <v>18200</v>
      </c>
      <c r="E15260" s="6" t="str">
        <f>HYPERLINK("https://inpn.mnhn.fr/espece/cd_nom/248565","Plemyria rubiginata (Denis &amp; Schiffermüller, 1775)")</f>
        <v>Plemyria rubiginata (Denis &amp; Schiffermüller, 1775)</v>
      </c>
      <c r="F15260" s="5" t="s">
        <v>18201</v>
      </c>
      <c r="AH15260" s="4" t="str">
        <f>HYPERLINK("#Statut_biogéographique!A"&amp;_xlfn.XMATCH("P",Statut_biogéographique!A:A,2,1),"P")</f>
        <v>P</v>
      </c>
      <c r="AP15260" s="4" t="s">
        <v>376</v>
      </c>
      <c r="AR15260" s="4" t="s">
        <v>377</v>
      </c>
    </row>
    <row r="15261" spans="1:44">
      <c r="A15261" s="4" t="s">
        <v>10753</v>
      </c>
      <c r="B15261" s="4">
        <v>248566</v>
      </c>
      <c r="D15261" s="5" t="s">
        <v>18202</v>
      </c>
      <c r="E15261" s="6" t="str">
        <f>HYPERLINK("https://inpn.mnhn.fr/espece/cd_nom/248566","Cidaria fulvata (J. R. Forster, 1771)")</f>
        <v>Cidaria fulvata (J. R. Forster, 1771)</v>
      </c>
      <c r="F15261" s="5" t="s">
        <v>18203</v>
      </c>
      <c r="AH15261" s="4" t="str">
        <f>HYPERLINK("#Statut_biogéographique!A"&amp;_xlfn.XMATCH("P",Statut_biogéographique!A:A,2,1),"P")</f>
        <v>P</v>
      </c>
      <c r="AP15261" s="4" t="s">
        <v>376</v>
      </c>
      <c r="AR15261" s="4" t="s">
        <v>377</v>
      </c>
    </row>
    <row r="15262" spans="1:44" ht="30">
      <c r="A15262" s="4" t="s">
        <v>10753</v>
      </c>
      <c r="B15262" s="4">
        <v>248567</v>
      </c>
      <c r="D15262" s="5" t="s">
        <v>18204</v>
      </c>
      <c r="E15262" s="6" t="str">
        <f>HYPERLINK("https://inpn.mnhn.fr/espece/cd_nom/248567","Dysstroma truncata (Hufnagel, 1767)")</f>
        <v>Dysstroma truncata (Hufnagel, 1767)</v>
      </c>
      <c r="F15262" s="5" t="s">
        <v>18205</v>
      </c>
      <c r="AH15262" s="4" t="str">
        <f>HYPERLINK("#Statut_biogéographique!A"&amp;_xlfn.XMATCH("P",Statut_biogéographique!A:A,2,1),"P")</f>
        <v>P</v>
      </c>
      <c r="AP15262" s="4" t="s">
        <v>376</v>
      </c>
      <c r="AR15262" s="4" t="s">
        <v>377</v>
      </c>
    </row>
    <row r="15263" spans="1:44" ht="30">
      <c r="A15263" s="4" t="s">
        <v>10753</v>
      </c>
      <c r="B15263" s="4">
        <v>248568</v>
      </c>
      <c r="D15263" s="5" t="s">
        <v>18206</v>
      </c>
      <c r="E15263" s="6" t="str">
        <f>HYPERLINK("https://inpn.mnhn.fr/espece/cd_nom/248568","Dysstroma citrata (Linnaeus, 1761)")</f>
        <v>Dysstroma citrata (Linnaeus, 1761)</v>
      </c>
      <c r="F15263" s="5" t="s">
        <v>18207</v>
      </c>
      <c r="AH15263" s="4" t="str">
        <f>HYPERLINK("#Statut_biogéographique!A"&amp;_xlfn.XMATCH("P",Statut_biogéographique!A:A,2,1),"P")</f>
        <v>P</v>
      </c>
      <c r="AP15263" s="4" t="s">
        <v>376</v>
      </c>
      <c r="AR15263" s="4" t="s">
        <v>377</v>
      </c>
    </row>
    <row r="15264" spans="1:44" ht="30">
      <c r="A15264" s="4" t="s">
        <v>10753</v>
      </c>
      <c r="B15264" s="4">
        <v>248569</v>
      </c>
      <c r="D15264" s="5" t="s">
        <v>18208</v>
      </c>
      <c r="E15264" s="6" t="str">
        <f>HYPERLINK("https://inpn.mnhn.fr/espece/cd_nom/248569","Chloroclysta siterata (Hufnagel, 1767)")</f>
        <v>Chloroclysta siterata (Hufnagel, 1767)</v>
      </c>
      <c r="F15264" s="5" t="s">
        <v>18209</v>
      </c>
      <c r="AH15264" s="4" t="str">
        <f>HYPERLINK("#Statut_biogéographique!A"&amp;_xlfn.XMATCH("P",Statut_biogéographique!A:A,2,1),"P")</f>
        <v>P</v>
      </c>
      <c r="AP15264" s="4" t="s">
        <v>376</v>
      </c>
      <c r="AR15264" s="4" t="s">
        <v>377</v>
      </c>
    </row>
    <row r="15265" spans="1:44" ht="30">
      <c r="A15265" s="4" t="s">
        <v>10753</v>
      </c>
      <c r="B15265" s="4">
        <v>248570</v>
      </c>
      <c r="D15265" s="5" t="s">
        <v>18210</v>
      </c>
      <c r="E15265" s="6" t="str">
        <f>HYPERLINK("https://inpn.mnhn.fr/espece/cd_nom/248570","Chloroclysta miata (Linnaeus, 1758)")</f>
        <v>Chloroclysta miata (Linnaeus, 1758)</v>
      </c>
      <c r="F15265" s="5" t="s">
        <v>18211</v>
      </c>
      <c r="AH15265" s="4" t="str">
        <f>HYPERLINK("#Statut_biogéographique!A"&amp;_xlfn.XMATCH("P",Statut_biogéographique!A:A,2,1),"P")</f>
        <v>P</v>
      </c>
      <c r="AP15265" s="4" t="s">
        <v>376</v>
      </c>
      <c r="AR15265" s="4" t="s">
        <v>377</v>
      </c>
    </row>
    <row r="15266" spans="1:44" ht="30">
      <c r="A15266" s="4" t="s">
        <v>10753</v>
      </c>
      <c r="B15266" s="4">
        <v>248571</v>
      </c>
      <c r="D15266" s="5" t="s">
        <v>18212</v>
      </c>
      <c r="E15266" s="6" t="str">
        <f>HYPERLINK("https://inpn.mnhn.fr/espece/cd_nom/248571","Ecliptopera capitata (Herrich-Schäffer, 1839)")</f>
        <v>Ecliptopera capitata (Herrich-Schäffer, 1839)</v>
      </c>
      <c r="F15266" s="5" t="s">
        <v>18213</v>
      </c>
      <c r="AH15266" s="4" t="str">
        <f>HYPERLINK("#Statut_biogéographique!A"&amp;_xlfn.XMATCH("P",Statut_biogéographique!A:A,2,1),"P")</f>
        <v>P</v>
      </c>
      <c r="AP15266" s="4" t="s">
        <v>376</v>
      </c>
      <c r="AR15266" s="4" t="s">
        <v>377</v>
      </c>
    </row>
    <row r="15267" spans="1:44" ht="30">
      <c r="A15267" s="4" t="s">
        <v>10753</v>
      </c>
      <c r="B15267" s="4">
        <v>248572</v>
      </c>
      <c r="D15267" s="5" t="s">
        <v>18214</v>
      </c>
      <c r="E15267" s="6" t="str">
        <f>HYPERLINK("https://inpn.mnhn.fr/espece/cd_nom/248572","Ecliptopera silaceata (Denis &amp; Schiffermüller, 1775)")</f>
        <v>Ecliptopera silaceata (Denis &amp; Schiffermüller, 1775)</v>
      </c>
      <c r="F15267" s="5" t="s">
        <v>18215</v>
      </c>
      <c r="AH15267" s="4" t="str">
        <f>HYPERLINK("#Statut_biogéographique!A"&amp;_xlfn.XMATCH("P",Statut_biogéographique!A:A,2,1),"P")</f>
        <v>P</v>
      </c>
      <c r="AP15267" s="4" t="s">
        <v>376</v>
      </c>
      <c r="AR15267" s="4" t="s">
        <v>377</v>
      </c>
    </row>
    <row r="15268" spans="1:44" ht="30">
      <c r="A15268" s="4" t="s">
        <v>10753</v>
      </c>
      <c r="B15268" s="4">
        <v>248573</v>
      </c>
      <c r="D15268" s="5" t="s">
        <v>18216</v>
      </c>
      <c r="E15268" s="6" t="str">
        <f>HYPERLINK("https://inpn.mnhn.fr/espece/cd_nom/248573","Gandaritis pyraliata (Denis &amp; Schiffermüller, 1775)")</f>
        <v>Gandaritis pyraliata (Denis &amp; Schiffermüller, 1775)</v>
      </c>
      <c r="AH15268" s="4" t="str">
        <f>HYPERLINK("#Statut_biogéographique!A"&amp;_xlfn.XMATCH("P",Statut_biogéographique!A:A,2,1),"P")</f>
        <v>P</v>
      </c>
      <c r="AP15268" s="4" t="s">
        <v>376</v>
      </c>
      <c r="AR15268" s="4" t="s">
        <v>377</v>
      </c>
    </row>
    <row r="15269" spans="1:44">
      <c r="A15269" s="4" t="s">
        <v>10753</v>
      </c>
      <c r="B15269" s="4">
        <v>248574</v>
      </c>
      <c r="D15269" s="5" t="s">
        <v>18217</v>
      </c>
      <c r="E15269" s="6" t="str">
        <f>HYPERLINK("https://inpn.mnhn.fr/espece/cd_nom/248574","Eulithis prunata (Linnaeus, 1758)")</f>
        <v>Eulithis prunata (Linnaeus, 1758)</v>
      </c>
      <c r="F15269" s="5" t="s">
        <v>18218</v>
      </c>
      <c r="AH15269" s="4" t="str">
        <f>HYPERLINK("#Statut_biogéographique!A"&amp;_xlfn.XMATCH("P",Statut_biogéographique!A:A,2,1),"P")</f>
        <v>P</v>
      </c>
      <c r="AP15269" s="4" t="s">
        <v>376</v>
      </c>
      <c r="AR15269" s="4" t="s">
        <v>377</v>
      </c>
    </row>
    <row r="15270" spans="1:44" ht="30">
      <c r="A15270" s="4" t="s">
        <v>10753</v>
      </c>
      <c r="B15270" s="4">
        <v>248575</v>
      </c>
      <c r="D15270" s="5" t="s">
        <v>18219</v>
      </c>
      <c r="E15270" s="6" t="str">
        <f>HYPERLINK("https://inpn.mnhn.fr/espece/cd_nom/248575","Eulithis testata (Linnaeus, 1761)")</f>
        <v>Eulithis testata (Linnaeus, 1761)</v>
      </c>
      <c r="F15270" s="5" t="s">
        <v>18220</v>
      </c>
      <c r="AH15270" s="4" t="str">
        <f>HYPERLINK("#Statut_biogéographique!A"&amp;_xlfn.XMATCH("P",Statut_biogéographique!A:A,2,1),"P")</f>
        <v>P</v>
      </c>
      <c r="AP15270" s="4" t="s">
        <v>376</v>
      </c>
      <c r="AR15270" s="4" t="s">
        <v>377</v>
      </c>
    </row>
    <row r="15271" spans="1:44" ht="30">
      <c r="A15271" s="4" t="s">
        <v>10753</v>
      </c>
      <c r="B15271" s="4">
        <v>248576</v>
      </c>
      <c r="D15271" s="5" t="s">
        <v>18221</v>
      </c>
      <c r="E15271" s="6" t="str">
        <f>HYPERLINK("https://inpn.mnhn.fr/espece/cd_nom/248576","Eulithis populata (Linnaeus, 1758)")</f>
        <v>Eulithis populata (Linnaeus, 1758)</v>
      </c>
      <c r="F15271" s="5" t="s">
        <v>18222</v>
      </c>
      <c r="AH15271" s="4" t="str">
        <f>HYPERLINK("#Statut_biogéographique!A"&amp;_xlfn.XMATCH("P",Statut_biogéographique!A:A,2,1),"P")</f>
        <v>P</v>
      </c>
      <c r="AP15271" s="4" t="s">
        <v>376</v>
      </c>
      <c r="AR15271" s="4" t="s">
        <v>377</v>
      </c>
    </row>
    <row r="15272" spans="1:44">
      <c r="A15272" s="4" t="s">
        <v>10753</v>
      </c>
      <c r="B15272" s="4">
        <v>248577</v>
      </c>
      <c r="D15272" s="5" t="s">
        <v>18223</v>
      </c>
      <c r="E15272" s="6" t="str">
        <f>HYPERLINK("https://inpn.mnhn.fr/espece/cd_nom/248577","Eulithis mellinata (Fabricius, 1787)")</f>
        <v>Eulithis mellinata (Fabricius, 1787)</v>
      </c>
      <c r="F15272" s="5" t="s">
        <v>18224</v>
      </c>
      <c r="AH15272" s="4" t="str">
        <f>HYPERLINK("#Statut_biogéographique!A"&amp;_xlfn.XMATCH("P",Statut_biogéographique!A:A,2,1),"P")</f>
        <v>P</v>
      </c>
      <c r="AP15272" s="4" t="s">
        <v>376</v>
      </c>
      <c r="AR15272" s="4" t="s">
        <v>377</v>
      </c>
    </row>
    <row r="15273" spans="1:44" ht="30">
      <c r="A15273" s="4" t="s">
        <v>10753</v>
      </c>
      <c r="B15273" s="4">
        <v>248578</v>
      </c>
      <c r="D15273" s="5" t="s">
        <v>18225</v>
      </c>
      <c r="E15273" s="6" t="str">
        <f>HYPERLINK("https://inpn.mnhn.fr/espece/cd_nom/248578","Coenotephria salicata (Denis &amp; Schiffermüller, 1775)")</f>
        <v>Coenotephria salicata (Denis &amp; Schiffermüller, 1775)</v>
      </c>
      <c r="F15273" s="5" t="s">
        <v>18226</v>
      </c>
      <c r="AH15273" s="4" t="str">
        <f>HYPERLINK("#Statut_biogéographique!A"&amp;_xlfn.XMATCH("P",Statut_biogéographique!A:A,2,1),"P")</f>
        <v>P</v>
      </c>
      <c r="AP15273" s="4" t="s">
        <v>376</v>
      </c>
      <c r="AR15273" s="4" t="s">
        <v>377</v>
      </c>
    </row>
    <row r="15274" spans="1:44" ht="30">
      <c r="A15274" s="4" t="s">
        <v>10753</v>
      </c>
      <c r="B15274" s="4">
        <v>248580</v>
      </c>
      <c r="D15274" s="5" t="s">
        <v>18227</v>
      </c>
      <c r="E15274" s="6" t="str">
        <f>HYPERLINK("https://inpn.mnhn.fr/espece/cd_nom/248580","Coenotephria tophaceata (Denis &amp; Schiffermüller, 1775)")</f>
        <v>Coenotephria tophaceata (Denis &amp; Schiffermüller, 1775)</v>
      </c>
      <c r="F15274" s="5" t="s">
        <v>18228</v>
      </c>
      <c r="AH15274" s="4" t="str">
        <f>HYPERLINK("#Statut_biogéographique!A"&amp;_xlfn.XMATCH("P",Statut_biogéographique!A:A,2,1),"P")</f>
        <v>P</v>
      </c>
      <c r="AP15274" s="4" t="s">
        <v>376</v>
      </c>
      <c r="AR15274" s="4" t="s">
        <v>377</v>
      </c>
    </row>
    <row r="15275" spans="1:44">
      <c r="A15275" s="4" t="s">
        <v>10753</v>
      </c>
      <c r="B15275" s="4">
        <v>248581</v>
      </c>
      <c r="D15275" s="5" t="s">
        <v>18229</v>
      </c>
      <c r="E15275" s="6" t="str">
        <f>HYPERLINK("https://inpn.mnhn.fr/espece/cd_nom/248581","Nebula nebulata (Treitschke, 1828)")</f>
        <v>Nebula nebulata (Treitschke, 1828)</v>
      </c>
      <c r="F15275" s="5" t="s">
        <v>18230</v>
      </c>
      <c r="AH15275" s="4" t="str">
        <f>HYPERLINK("#Statut_biogéographique!A"&amp;_xlfn.XMATCH("P",Statut_biogéographique!A:A,2,1),"P")</f>
        <v>P</v>
      </c>
      <c r="AP15275" s="4" t="s">
        <v>376</v>
      </c>
      <c r="AR15275" s="4" t="s">
        <v>377</v>
      </c>
    </row>
    <row r="15276" spans="1:44">
      <c r="A15276" s="4" t="s">
        <v>10753</v>
      </c>
      <c r="B15276" s="4">
        <v>248582</v>
      </c>
      <c r="D15276" s="5" t="s">
        <v>18231</v>
      </c>
      <c r="E15276" s="6" t="str">
        <f>HYPERLINK("https://inpn.mnhn.fr/espece/cd_nom/248582","Nebula achromaria (de La Harpe, 1853)")</f>
        <v>Nebula achromaria (de La Harpe, 1853)</v>
      </c>
      <c r="F15276" s="5" t="s">
        <v>18232</v>
      </c>
      <c r="AH15276" s="4" t="str">
        <f>HYPERLINK("#Statut_biogéographique!A"&amp;_xlfn.XMATCH("P",Statut_biogéographique!A:A,2,1),"P")</f>
        <v>P</v>
      </c>
      <c r="AP15276" s="4" t="s">
        <v>376</v>
      </c>
      <c r="AR15276" s="4" t="s">
        <v>377</v>
      </c>
    </row>
    <row r="15277" spans="1:44" ht="30">
      <c r="A15277" s="4" t="s">
        <v>10753</v>
      </c>
      <c r="B15277" s="4">
        <v>248584</v>
      </c>
      <c r="D15277" s="5" t="s">
        <v>18233</v>
      </c>
      <c r="E15277" s="6" t="str">
        <f>HYPERLINK("https://inpn.mnhn.fr/espece/cd_nom/248584","Cosmorhoe ocellata (Linnaeus, 1758)")</f>
        <v>Cosmorhoe ocellata (Linnaeus, 1758)</v>
      </c>
      <c r="F15277" s="5" t="s">
        <v>18234</v>
      </c>
      <c r="AH15277" s="4" t="str">
        <f>HYPERLINK("#Statut_biogéographique!A"&amp;_xlfn.XMATCH("P",Statut_biogéographique!A:A,2,1),"P")</f>
        <v>P</v>
      </c>
      <c r="AP15277" s="4" t="s">
        <v>376</v>
      </c>
      <c r="AR15277" s="4" t="s">
        <v>377</v>
      </c>
    </row>
    <row r="15278" spans="1:44" ht="30">
      <c r="A15278" s="4" t="s">
        <v>10753</v>
      </c>
      <c r="B15278" s="4">
        <v>248585</v>
      </c>
      <c r="D15278" s="5" t="s">
        <v>18235</v>
      </c>
      <c r="E15278" s="6" t="str">
        <f>HYPERLINK("https://inpn.mnhn.fr/espece/cd_nom/248585","Lampropteryx suffumata (Denis &amp; Schiffermüller, 1775)")</f>
        <v>Lampropteryx suffumata (Denis &amp; Schiffermüller, 1775)</v>
      </c>
      <c r="F15278" s="5" t="s">
        <v>18236</v>
      </c>
      <c r="AH15278" s="4" t="str">
        <f>HYPERLINK("#Statut_biogéographique!A"&amp;_xlfn.XMATCH("P",Statut_biogéographique!A:A,2,1),"P")</f>
        <v>P</v>
      </c>
      <c r="AP15278" s="4" t="s">
        <v>376</v>
      </c>
      <c r="AR15278" s="4" t="s">
        <v>377</v>
      </c>
    </row>
    <row r="15279" spans="1:44" ht="30">
      <c r="A15279" s="4" t="s">
        <v>10753</v>
      </c>
      <c r="B15279" s="4">
        <v>248587</v>
      </c>
      <c r="D15279" s="5" t="s">
        <v>18237</v>
      </c>
      <c r="E15279" s="6" t="str">
        <f>HYPERLINK("https://inpn.mnhn.fr/espece/cd_nom/248587","Euphyia biangulata (Haworth, 1809)")</f>
        <v>Euphyia biangulata (Haworth, 1809)</v>
      </c>
      <c r="F15279" s="5" t="s">
        <v>18238</v>
      </c>
      <c r="AH15279" s="4" t="str">
        <f>HYPERLINK("#Statut_biogéographique!A"&amp;_xlfn.XMATCH("P",Statut_biogéographique!A:A,2,1),"P")</f>
        <v>P</v>
      </c>
      <c r="AP15279" s="4" t="s">
        <v>376</v>
      </c>
      <c r="AR15279" s="4" t="s">
        <v>377</v>
      </c>
    </row>
    <row r="15280" spans="1:44">
      <c r="A15280" s="4" t="s">
        <v>10753</v>
      </c>
      <c r="B15280" s="4">
        <v>248588</v>
      </c>
      <c r="D15280" s="5" t="s">
        <v>18239</v>
      </c>
      <c r="E15280" s="6" t="str">
        <f>HYPERLINK("https://inpn.mnhn.fr/espece/cd_nom/248588","Euphyia unangulata (Haworth, 1809)")</f>
        <v>Euphyia unangulata (Haworth, 1809)</v>
      </c>
      <c r="F15280" s="5" t="s">
        <v>18240</v>
      </c>
      <c r="AH15280" s="4" t="str">
        <f>HYPERLINK("#Statut_biogéographique!A"&amp;_xlfn.XMATCH("P",Statut_biogéographique!A:A,2,1),"P")</f>
        <v>P</v>
      </c>
      <c r="AP15280" s="4" t="s">
        <v>376</v>
      </c>
      <c r="AR15280" s="4" t="s">
        <v>377</v>
      </c>
    </row>
    <row r="15281" spans="1:44">
      <c r="A15281" s="4" t="s">
        <v>10753</v>
      </c>
      <c r="B15281" s="4">
        <v>248589</v>
      </c>
      <c r="D15281" s="5" t="s">
        <v>18241</v>
      </c>
      <c r="E15281" s="6" t="str">
        <f>HYPERLINK("https://inpn.mnhn.fr/espece/cd_nom/248589","Euphyia frustata (Treitschke, 1828)")</f>
        <v>Euphyia frustata (Treitschke, 1828)</v>
      </c>
      <c r="F15281" s="5" t="s">
        <v>18242</v>
      </c>
      <c r="AH15281" s="4" t="str">
        <f>HYPERLINK("#Statut_biogéographique!A"&amp;_xlfn.XMATCH("P",Statut_biogéographique!A:A,2,1),"P")</f>
        <v>P</v>
      </c>
      <c r="AP15281" s="4" t="s">
        <v>376</v>
      </c>
      <c r="AR15281" s="4" t="s">
        <v>377</v>
      </c>
    </row>
    <row r="15282" spans="1:44">
      <c r="A15282" s="4" t="s">
        <v>10753</v>
      </c>
      <c r="B15282" s="4">
        <v>248590</v>
      </c>
      <c r="D15282" s="5" t="s">
        <v>18243</v>
      </c>
      <c r="E15282" s="6" t="str">
        <f>HYPERLINK("https://inpn.mnhn.fr/espece/cd_nom/248590","Pasiphila chloerata (Mabille, 1870)")</f>
        <v>Pasiphila chloerata (Mabille, 1870)</v>
      </c>
      <c r="F15282" s="5" t="s">
        <v>18244</v>
      </c>
      <c r="AH15282" s="4" t="str">
        <f>HYPERLINK("#Statut_biogéographique!A"&amp;_xlfn.XMATCH("P",Statut_biogéographique!A:A,2,1),"P")</f>
        <v>P</v>
      </c>
      <c r="AP15282" s="4" t="s">
        <v>376</v>
      </c>
      <c r="AR15282" s="4" t="s">
        <v>377</v>
      </c>
    </row>
    <row r="15283" spans="1:44" ht="30">
      <c r="A15283" s="4" t="s">
        <v>10753</v>
      </c>
      <c r="B15283" s="4">
        <v>248591</v>
      </c>
      <c r="D15283" s="5" t="s">
        <v>18245</v>
      </c>
      <c r="E15283" s="6" t="str">
        <f>HYPERLINK("https://inpn.mnhn.fr/espece/cd_nom/248591","Pasiphila rectangulata (Linnaeus, 1758)")</f>
        <v>Pasiphila rectangulata (Linnaeus, 1758)</v>
      </c>
      <c r="F15283" s="5" t="s">
        <v>18246</v>
      </c>
      <c r="AH15283" s="4" t="str">
        <f>HYPERLINK("#Statut_biogéographique!A"&amp;_xlfn.XMATCH("P",Statut_biogéographique!A:A,2,1),"P")</f>
        <v>P</v>
      </c>
      <c r="AP15283" s="4" t="s">
        <v>376</v>
      </c>
      <c r="AR15283" s="4" t="s">
        <v>377</v>
      </c>
    </row>
    <row r="15284" spans="1:44">
      <c r="A15284" s="4" t="s">
        <v>10753</v>
      </c>
      <c r="B15284" s="4">
        <v>248592</v>
      </c>
      <c r="D15284" s="5" t="s">
        <v>18247</v>
      </c>
      <c r="E15284" s="6" t="str">
        <f>HYPERLINK("https://inpn.mnhn.fr/espece/cd_nom/248592","Pasiphila debiliata (Hübner, 1817)")</f>
        <v>Pasiphila debiliata (Hübner, 1817)</v>
      </c>
      <c r="F15284" s="5" t="s">
        <v>18248</v>
      </c>
      <c r="AH15284" s="4" t="str">
        <f>HYPERLINK("#Statut_biogéographique!A"&amp;_xlfn.XMATCH("P",Statut_biogéographique!A:A,2,1),"P")</f>
        <v>P</v>
      </c>
      <c r="AP15284" s="4" t="s">
        <v>376</v>
      </c>
      <c r="AR15284" s="4" t="s">
        <v>377</v>
      </c>
    </row>
    <row r="15285" spans="1:44">
      <c r="A15285" s="4" t="s">
        <v>10753</v>
      </c>
      <c r="B15285" s="4">
        <v>248593</v>
      </c>
      <c r="D15285" s="5" t="s">
        <v>18249</v>
      </c>
      <c r="E15285" s="6" t="str">
        <f>HYPERLINK("https://inpn.mnhn.fr/espece/cd_nom/248593","Chloroclystis v-ata (Haworth, 1809)")</f>
        <v>Chloroclystis v-ata (Haworth, 1809)</v>
      </c>
      <c r="F15285" s="5" t="s">
        <v>18250</v>
      </c>
      <c r="AH15285" s="4" t="str">
        <f>HYPERLINK("#Statut_biogéographique!A"&amp;_xlfn.XMATCH("P",Statut_biogéographique!A:A,2,1),"P")</f>
        <v>P</v>
      </c>
      <c r="AP15285" s="4" t="s">
        <v>376</v>
      </c>
      <c r="AR15285" s="4" t="s">
        <v>377</v>
      </c>
    </row>
    <row r="15286" spans="1:44" ht="45">
      <c r="A15286" s="4" t="s">
        <v>10753</v>
      </c>
      <c r="B15286" s="4">
        <v>248594</v>
      </c>
      <c r="D15286" s="5" t="s">
        <v>18251</v>
      </c>
      <c r="E15286" s="6" t="str">
        <f>HYPERLINK("https://inpn.mnhn.fr/espece/cd_nom/248594","Gymnoscelis rufifasciata (Haworth, 1809)")</f>
        <v>Gymnoscelis rufifasciata (Haworth, 1809)</v>
      </c>
      <c r="F15286" s="5" t="s">
        <v>18252</v>
      </c>
      <c r="AH15286" s="4" t="str">
        <f>HYPERLINK("#Statut_biogéographique!A"&amp;_xlfn.XMATCH("P",Statut_biogéographique!A:A,2,1),"P")</f>
        <v>P</v>
      </c>
      <c r="AP15286" s="4" t="s">
        <v>376</v>
      </c>
      <c r="AR15286" s="4" t="s">
        <v>377</v>
      </c>
    </row>
    <row r="15287" spans="1:44">
      <c r="A15287" s="4" t="s">
        <v>10753</v>
      </c>
      <c r="B15287" s="4">
        <v>248595</v>
      </c>
      <c r="D15287" s="5" t="s">
        <v>18253</v>
      </c>
      <c r="E15287" s="6" t="str">
        <f>HYPERLINK("https://inpn.mnhn.fr/espece/cd_nom/248595","Eupithecia haworthiata Doubleday, 1856")</f>
        <v>Eupithecia haworthiata Doubleday, 1856</v>
      </c>
      <c r="F15287" s="5" t="s">
        <v>18254</v>
      </c>
      <c r="AH15287" s="4" t="str">
        <f>HYPERLINK("#Statut_biogéographique!A"&amp;_xlfn.XMATCH("P",Statut_biogéographique!A:A,2,1),"P")</f>
        <v>P</v>
      </c>
      <c r="AP15287" s="4" t="s">
        <v>376</v>
      </c>
      <c r="AR15287" s="4" t="s">
        <v>377</v>
      </c>
    </row>
    <row r="15288" spans="1:44">
      <c r="A15288" s="4" t="s">
        <v>10753</v>
      </c>
      <c r="B15288" s="4">
        <v>248596</v>
      </c>
      <c r="D15288" s="5" t="s">
        <v>18255</v>
      </c>
      <c r="E15288" s="6" t="str">
        <f>HYPERLINK("https://inpn.mnhn.fr/espece/cd_nom/248596","Eupithecia tenuiata (Hübner, 1813)")</f>
        <v>Eupithecia tenuiata (Hübner, 1813)</v>
      </c>
      <c r="F15288" s="5" t="s">
        <v>18256</v>
      </c>
      <c r="AH15288" s="4" t="str">
        <f>HYPERLINK("#Statut_biogéographique!A"&amp;_xlfn.XMATCH("P",Statut_biogéographique!A:A,2,1),"P")</f>
        <v>P</v>
      </c>
      <c r="AP15288" s="4" t="s">
        <v>376</v>
      </c>
      <c r="AR15288" s="4" t="s">
        <v>377</v>
      </c>
    </row>
    <row r="15289" spans="1:44" ht="30">
      <c r="A15289" s="4" t="s">
        <v>10753</v>
      </c>
      <c r="B15289" s="4">
        <v>248597</v>
      </c>
      <c r="D15289" s="5" t="s">
        <v>18257</v>
      </c>
      <c r="E15289" s="6" t="str">
        <f>HYPERLINK("https://inpn.mnhn.fr/espece/cd_nom/248597","Eupithecia inturbata (Hübner, 1817)")</f>
        <v>Eupithecia inturbata (Hübner, 1817)</v>
      </c>
      <c r="F15289" s="5" t="s">
        <v>18258</v>
      </c>
      <c r="AH15289" s="4" t="str">
        <f>HYPERLINK("#Statut_biogéographique!A"&amp;_xlfn.XMATCH("P",Statut_biogéographique!A:A,2,1),"P")</f>
        <v>P</v>
      </c>
      <c r="AP15289" s="4" t="s">
        <v>376</v>
      </c>
      <c r="AR15289" s="4" t="s">
        <v>377</v>
      </c>
    </row>
    <row r="15290" spans="1:44" ht="30">
      <c r="A15290" s="4" t="s">
        <v>10753</v>
      </c>
      <c r="B15290" s="4">
        <v>248598</v>
      </c>
      <c r="D15290" s="5" t="s">
        <v>18259</v>
      </c>
      <c r="E15290" s="6" t="str">
        <f>HYPERLINK("https://inpn.mnhn.fr/espece/cd_nom/248598","Eupithecia abietaria (Goeze, 1781)")</f>
        <v>Eupithecia abietaria (Goeze, 1781)</v>
      </c>
      <c r="F15290" s="5" t="s">
        <v>18260</v>
      </c>
      <c r="AH15290" s="4" t="str">
        <f>HYPERLINK("#Statut_biogéographique!A"&amp;_xlfn.XMATCH("P",Statut_biogéographique!A:A,2,1),"P")</f>
        <v>P</v>
      </c>
      <c r="AP15290" s="4" t="s">
        <v>376</v>
      </c>
      <c r="AR15290" s="4" t="s">
        <v>377</v>
      </c>
    </row>
    <row r="15291" spans="1:44" ht="30">
      <c r="A15291" s="4" t="s">
        <v>10753</v>
      </c>
      <c r="B15291" s="4">
        <v>248599</v>
      </c>
      <c r="D15291" s="5" t="s">
        <v>18261</v>
      </c>
      <c r="E15291" s="6" t="str">
        <f>HYPERLINK("https://inpn.mnhn.fr/espece/cd_nom/248599","Eupithecia analoga Djakonov, 1926")</f>
        <v>Eupithecia analoga Djakonov, 1926</v>
      </c>
      <c r="F15291" s="5" t="s">
        <v>18262</v>
      </c>
      <c r="AH15291" s="4" t="str">
        <f>HYPERLINK("#Statut_biogéographique!A"&amp;_xlfn.XMATCH("P",Statut_biogéographique!A:A,2,1),"P")</f>
        <v>P</v>
      </c>
      <c r="AP15291" s="4" t="s">
        <v>376</v>
      </c>
      <c r="AR15291" s="4" t="s">
        <v>377</v>
      </c>
    </row>
    <row r="15292" spans="1:44" ht="30">
      <c r="A15292" s="4" t="s">
        <v>10753</v>
      </c>
      <c r="B15292" s="4">
        <v>248600</v>
      </c>
      <c r="D15292" s="5" t="s">
        <v>18263</v>
      </c>
      <c r="E15292" s="6" t="str">
        <f>HYPERLINK("https://inpn.mnhn.fr/espece/cd_nom/248600","Eupithecia linariata (Denis &amp; Schiffermüller, 1775)")</f>
        <v>Eupithecia linariata (Denis &amp; Schiffermüller, 1775)</v>
      </c>
      <c r="F15292" s="5" t="s">
        <v>18264</v>
      </c>
      <c r="AH15292" s="4" t="str">
        <f>HYPERLINK("#Statut_biogéographique!A"&amp;_xlfn.XMATCH("P",Statut_biogéographique!A:A,2,1),"P")</f>
        <v>P</v>
      </c>
      <c r="AP15292" s="4" t="s">
        <v>376</v>
      </c>
      <c r="AR15292" s="4" t="s">
        <v>377</v>
      </c>
    </row>
    <row r="15293" spans="1:44">
      <c r="A15293" s="4" t="s">
        <v>10753</v>
      </c>
      <c r="B15293" s="4">
        <v>248601</v>
      </c>
      <c r="D15293" s="5">
        <v>248601</v>
      </c>
      <c r="E15293" s="6" t="str">
        <f>HYPERLINK("https://inpn.mnhn.fr/espece/cd_nom/248601","Eupithecia pulchellata Stephens, 1831")</f>
        <v>Eupithecia pulchellata Stephens, 1831</v>
      </c>
      <c r="F15293" s="5" t="s">
        <v>18265</v>
      </c>
      <c r="AH15293" s="4" t="str">
        <f>HYPERLINK("#Statut_biogéographique!A"&amp;_xlfn.XMATCH("P",Statut_biogéographique!A:A,2,1),"P")</f>
        <v>P</v>
      </c>
      <c r="AP15293" s="4" t="s">
        <v>376</v>
      </c>
      <c r="AR15293" s="4" t="s">
        <v>377</v>
      </c>
    </row>
    <row r="15294" spans="1:44">
      <c r="A15294" s="4" t="s">
        <v>10753</v>
      </c>
      <c r="B15294" s="4">
        <v>248603</v>
      </c>
      <c r="D15294" s="5" t="s">
        <v>18266</v>
      </c>
      <c r="E15294" s="6" t="str">
        <f>HYPERLINK("https://inpn.mnhn.fr/espece/cd_nom/248603","Eupithecia laquaearia Herrich-Schäffer, 1848")</f>
        <v>Eupithecia laquaearia Herrich-Schäffer, 1848</v>
      </c>
      <c r="F15294" s="5" t="s">
        <v>18267</v>
      </c>
      <c r="AH15294" s="4" t="str">
        <f>HYPERLINK("#Statut_biogéographique!A"&amp;_xlfn.XMATCH("P",Statut_biogéographique!A:A,2,1),"P")</f>
        <v>P</v>
      </c>
      <c r="AP15294" s="4" t="s">
        <v>376</v>
      </c>
      <c r="AR15294" s="4" t="s">
        <v>377</v>
      </c>
    </row>
    <row r="15295" spans="1:44">
      <c r="A15295" s="4" t="s">
        <v>10753</v>
      </c>
      <c r="B15295" s="4">
        <v>248605</v>
      </c>
      <c r="D15295" s="5" t="s">
        <v>18268</v>
      </c>
      <c r="E15295" s="6" t="str">
        <f>HYPERLINK("https://inpn.mnhn.fr/espece/cd_nom/248605","Eupithecia plumbeolata (Haworth, 1809)")</f>
        <v>Eupithecia plumbeolata (Haworth, 1809)</v>
      </c>
      <c r="F15295" s="5" t="s">
        <v>18269</v>
      </c>
      <c r="AH15295" s="4" t="str">
        <f>HYPERLINK("#Statut_biogéographique!A"&amp;_xlfn.XMATCH("P",Statut_biogéographique!A:A,2,1),"P")</f>
        <v>P</v>
      </c>
      <c r="AP15295" s="4" t="s">
        <v>376</v>
      </c>
      <c r="AR15295" s="4" t="s">
        <v>377</v>
      </c>
    </row>
    <row r="15296" spans="1:44">
      <c r="A15296" s="4" t="s">
        <v>10753</v>
      </c>
      <c r="B15296" s="4">
        <v>248608</v>
      </c>
      <c r="D15296" s="5">
        <v>248608</v>
      </c>
      <c r="E15296" s="6" t="str">
        <f>HYPERLINK("https://inpn.mnhn.fr/espece/cd_nom/248608","Eupithecia silenata Assmann, 1848")</f>
        <v>Eupithecia silenata Assmann, 1848</v>
      </c>
      <c r="F15296" s="5" t="s">
        <v>18270</v>
      </c>
      <c r="AH15296" s="4" t="str">
        <f>HYPERLINK("#Statut_biogéographique!A"&amp;_xlfn.XMATCH("P",Statut_biogéographique!A:A,2,1),"P")</f>
        <v>P</v>
      </c>
      <c r="AP15296" s="4" t="s">
        <v>376</v>
      </c>
      <c r="AR15296" s="4" t="s">
        <v>377</v>
      </c>
    </row>
    <row r="15297" spans="1:44">
      <c r="A15297" s="4" t="s">
        <v>10753</v>
      </c>
      <c r="B15297" s="4">
        <v>248610</v>
      </c>
      <c r="D15297" s="5" t="s">
        <v>18271</v>
      </c>
      <c r="E15297" s="6" t="str">
        <f>HYPERLINK("https://inpn.mnhn.fr/espece/cd_nom/248610","Eupithecia venosata (Fabricius, 1787)")</f>
        <v>Eupithecia venosata (Fabricius, 1787)</v>
      </c>
      <c r="F15297" s="5" t="s">
        <v>18272</v>
      </c>
      <c r="AH15297" s="4" t="str">
        <f>HYPERLINK("#Statut_biogéographique!A"&amp;_xlfn.XMATCH("P",Statut_biogéographique!A:A,2,1),"P")</f>
        <v>P</v>
      </c>
      <c r="AP15297" s="4" t="s">
        <v>376</v>
      </c>
      <c r="AR15297" s="4" t="s">
        <v>377</v>
      </c>
    </row>
    <row r="15298" spans="1:44">
      <c r="A15298" s="4" t="s">
        <v>10753</v>
      </c>
      <c r="B15298" s="4">
        <v>248612</v>
      </c>
      <c r="D15298" s="5">
        <v>248612</v>
      </c>
      <c r="E15298" s="6" t="str">
        <f>HYPERLINK("https://inpn.mnhn.fr/espece/cd_nom/248612","Eupithecia silenicolata Mabille, 1867")</f>
        <v>Eupithecia silenicolata Mabille, 1867</v>
      </c>
      <c r="F15298" s="5" t="s">
        <v>18273</v>
      </c>
      <c r="AH15298" s="4" t="str">
        <f>HYPERLINK("#Statut_biogéographique!A"&amp;_xlfn.XMATCH("P",Statut_biogéographique!A:A,2,1),"P")</f>
        <v>P</v>
      </c>
      <c r="AP15298" s="4" t="s">
        <v>376</v>
      </c>
      <c r="AR15298" s="4" t="s">
        <v>377</v>
      </c>
    </row>
    <row r="15299" spans="1:44">
      <c r="A15299" s="4" t="s">
        <v>10753</v>
      </c>
      <c r="B15299" s="4">
        <v>248616</v>
      </c>
      <c r="D15299" s="5" t="s">
        <v>18274</v>
      </c>
      <c r="E15299" s="6" t="str">
        <f>HYPERLINK("https://inpn.mnhn.fr/espece/cd_nom/248616","Eupithecia abbreviata Stephens, 1831")</f>
        <v>Eupithecia abbreviata Stephens, 1831</v>
      </c>
      <c r="F15299" s="5" t="s">
        <v>18275</v>
      </c>
      <c r="AH15299" s="4" t="str">
        <f>HYPERLINK("#Statut_biogéographique!A"&amp;_xlfn.XMATCH("P",Statut_biogéographique!A:A,2,1),"P")</f>
        <v>P</v>
      </c>
      <c r="AP15299" s="4" t="s">
        <v>376</v>
      </c>
      <c r="AR15299" s="4" t="s">
        <v>377</v>
      </c>
    </row>
    <row r="15300" spans="1:44">
      <c r="A15300" s="4" t="s">
        <v>10753</v>
      </c>
      <c r="B15300" s="4">
        <v>248618</v>
      </c>
      <c r="D15300" s="5" t="s">
        <v>18276</v>
      </c>
      <c r="E15300" s="6" t="str">
        <f>HYPERLINK("https://inpn.mnhn.fr/espece/cd_nom/248618","Eupithecia dodoneata Guenée, 1858")</f>
        <v>Eupithecia dodoneata Guenée, 1858</v>
      </c>
      <c r="F15300" s="5" t="s">
        <v>18277</v>
      </c>
      <c r="AH15300" s="4" t="str">
        <f>HYPERLINK("#Statut_biogéographique!A"&amp;_xlfn.XMATCH("P",Statut_biogéographique!A:A,2,1),"P")</f>
        <v>P</v>
      </c>
      <c r="AP15300" s="4" t="s">
        <v>376</v>
      </c>
      <c r="AR15300" s="4" t="s">
        <v>377</v>
      </c>
    </row>
    <row r="15301" spans="1:44" ht="30">
      <c r="A15301" s="4" t="s">
        <v>10753</v>
      </c>
      <c r="B15301" s="4">
        <v>248621</v>
      </c>
      <c r="D15301" s="5" t="s">
        <v>18278</v>
      </c>
      <c r="E15301" s="6" t="str">
        <f>HYPERLINK("https://inpn.mnhn.fr/espece/cd_nom/248621","Eupithecia scopariata (Rambur, 1833)")</f>
        <v>Eupithecia scopariata (Rambur, 1833)</v>
      </c>
      <c r="F15301" s="5" t="s">
        <v>18279</v>
      </c>
      <c r="AH15301" s="4" t="str">
        <f>HYPERLINK("#Statut_biogéographique!A"&amp;_xlfn.XMATCH("P",Statut_biogéographique!A:A,2,1),"P")</f>
        <v>P</v>
      </c>
      <c r="AP15301" s="4" t="s">
        <v>376</v>
      </c>
      <c r="AR15301" s="4" t="s">
        <v>377</v>
      </c>
    </row>
    <row r="15302" spans="1:44" ht="30">
      <c r="A15302" s="4" t="s">
        <v>10753</v>
      </c>
      <c r="B15302" s="4">
        <v>248622</v>
      </c>
      <c r="D15302" s="5" t="s">
        <v>18280</v>
      </c>
      <c r="E15302" s="6" t="str">
        <f>HYPERLINK("https://inpn.mnhn.fr/espece/cd_nom/248622","Eupithecia pusillata (Denis &amp; Schiffermüller, 1775)")</f>
        <v>Eupithecia pusillata (Denis &amp; Schiffermüller, 1775)</v>
      </c>
      <c r="F15302" s="5" t="s">
        <v>18281</v>
      </c>
      <c r="AH15302" s="4" t="str">
        <f>HYPERLINK("#Statut_biogéographique!A"&amp;_xlfn.XMATCH("P",Statut_biogéographique!A:A,2,1),"P")</f>
        <v>P</v>
      </c>
      <c r="AP15302" s="4" t="s">
        <v>376</v>
      </c>
      <c r="AR15302" s="4" t="s">
        <v>377</v>
      </c>
    </row>
    <row r="15303" spans="1:44">
      <c r="A15303" s="4" t="s">
        <v>10753</v>
      </c>
      <c r="B15303" s="4">
        <v>248624</v>
      </c>
      <c r="D15303" s="5" t="s">
        <v>18282</v>
      </c>
      <c r="E15303" s="6" t="str">
        <f>HYPERLINK("https://inpn.mnhn.fr/espece/cd_nom/248624","Eupithecia ericeata (Rambur, 1833)")</f>
        <v>Eupithecia ericeata (Rambur, 1833)</v>
      </c>
      <c r="F15303" s="5" t="s">
        <v>18283</v>
      </c>
      <c r="AH15303" s="4" t="str">
        <f>HYPERLINK("#Statut_biogéographique!A"&amp;_xlfn.XMATCH("P",Statut_biogéographique!A:A,2,1),"P")</f>
        <v>P</v>
      </c>
      <c r="AP15303" s="4" t="s">
        <v>376</v>
      </c>
      <c r="AR15303" s="4" t="s">
        <v>377</v>
      </c>
    </row>
    <row r="15304" spans="1:44">
      <c r="A15304" s="4" t="s">
        <v>10753</v>
      </c>
      <c r="B15304" s="4">
        <v>248626</v>
      </c>
      <c r="D15304" s="5" t="s">
        <v>18284</v>
      </c>
      <c r="E15304" s="6" t="str">
        <f>HYPERLINK("https://inpn.mnhn.fr/espece/cd_nom/248626","Eupithecia oxycedrata (Rambur, 1833)")</f>
        <v>Eupithecia oxycedrata (Rambur, 1833)</v>
      </c>
      <c r="F15304" s="5" t="s">
        <v>18285</v>
      </c>
      <c r="AH15304" s="4" t="str">
        <f>HYPERLINK("#Statut_biogéographique!A"&amp;_xlfn.XMATCH("P",Statut_biogéographique!A:A,2,1),"P")</f>
        <v>P</v>
      </c>
      <c r="AP15304" s="4" t="s">
        <v>376</v>
      </c>
      <c r="AR15304" s="4" t="s">
        <v>377</v>
      </c>
    </row>
    <row r="15305" spans="1:44">
      <c r="A15305" s="4" t="s">
        <v>10753</v>
      </c>
      <c r="B15305" s="4">
        <v>248628</v>
      </c>
      <c r="D15305" s="5" t="s">
        <v>18286</v>
      </c>
      <c r="E15305" s="6" t="str">
        <f>HYPERLINK("https://inpn.mnhn.fr/espece/cd_nom/248628","Eupithecia tripunctaria Herrich-Schäffer, 1852")</f>
        <v>Eupithecia tripunctaria Herrich-Schäffer, 1852</v>
      </c>
      <c r="F15305" s="5" t="s">
        <v>18287</v>
      </c>
      <c r="AH15305" s="4" t="str">
        <f>HYPERLINK("#Statut_biogéographique!A"&amp;_xlfn.XMATCH("P",Statut_biogéographique!A:A,2,1),"P")</f>
        <v>P</v>
      </c>
      <c r="AP15305" s="4" t="s">
        <v>376</v>
      </c>
      <c r="AR15305" s="4" t="s">
        <v>377</v>
      </c>
    </row>
    <row r="15306" spans="1:44">
      <c r="A15306" s="4" t="s">
        <v>10753</v>
      </c>
      <c r="B15306" s="4">
        <v>248629</v>
      </c>
      <c r="D15306" s="5">
        <v>248629</v>
      </c>
      <c r="E15306" s="6" t="str">
        <f>HYPERLINK("https://inpn.mnhn.fr/espece/cd_nom/248629","Eupithecia virgaureata Doubleday, 1861")</f>
        <v>Eupithecia virgaureata Doubleday, 1861</v>
      </c>
      <c r="F15306" s="5" t="s">
        <v>18288</v>
      </c>
      <c r="AH15306" s="4" t="str">
        <f>HYPERLINK("#Statut_biogéographique!A"&amp;_xlfn.XMATCH("P",Statut_biogéographique!A:A,2,1),"P")</f>
        <v>P</v>
      </c>
      <c r="AP15306" s="4" t="s">
        <v>376</v>
      </c>
      <c r="AR15306" s="4" t="s">
        <v>377</v>
      </c>
    </row>
    <row r="15307" spans="1:44">
      <c r="A15307" s="4" t="s">
        <v>10753</v>
      </c>
      <c r="B15307" s="4">
        <v>248630</v>
      </c>
      <c r="D15307" s="5">
        <v>248630</v>
      </c>
      <c r="E15307" s="6" t="str">
        <f>HYPERLINK("https://inpn.mnhn.fr/espece/cd_nom/248630","Eupithecia tantillaria Boisduval, 1840")</f>
        <v>Eupithecia tantillaria Boisduval, 1840</v>
      </c>
      <c r="F15307" s="5" t="s">
        <v>18289</v>
      </c>
      <c r="AH15307" s="4" t="str">
        <f>HYPERLINK("#Statut_biogéographique!A"&amp;_xlfn.XMATCH("P",Statut_biogéographique!A:A,2,1),"P")</f>
        <v>P</v>
      </c>
      <c r="AP15307" s="4" t="s">
        <v>376</v>
      </c>
      <c r="AR15307" s="4" t="s">
        <v>377</v>
      </c>
    </row>
    <row r="15308" spans="1:44">
      <c r="A15308" s="4" t="s">
        <v>10753</v>
      </c>
      <c r="B15308" s="4">
        <v>248632</v>
      </c>
      <c r="D15308" s="5" t="s">
        <v>18290</v>
      </c>
      <c r="E15308" s="6" t="str">
        <f>HYPERLINK("https://inpn.mnhn.fr/espece/cd_nom/248632","Eupithecia lariciata (Freyer, 1841)")</f>
        <v>Eupithecia lariciata (Freyer, 1841)</v>
      </c>
      <c r="F15308" s="5" t="s">
        <v>18291</v>
      </c>
      <c r="AH15308" s="4" t="str">
        <f>HYPERLINK("#Statut_biogéographique!A"&amp;_xlfn.XMATCH("P",Statut_biogéographique!A:A,2,1),"P")</f>
        <v>P</v>
      </c>
      <c r="AP15308" s="4" t="s">
        <v>376</v>
      </c>
      <c r="AR15308" s="4" t="s">
        <v>377</v>
      </c>
    </row>
    <row r="15309" spans="1:44">
      <c r="A15309" s="4" t="s">
        <v>10753</v>
      </c>
      <c r="B15309" s="4">
        <v>248633</v>
      </c>
      <c r="D15309" s="5" t="s">
        <v>18292</v>
      </c>
      <c r="E15309" s="6" t="str">
        <f>HYPERLINK("https://inpn.mnhn.fr/espece/cd_nom/248633","Eupithecia lanceata (Hübner, 1825)")</f>
        <v>Eupithecia lanceata (Hübner, 1825)</v>
      </c>
      <c r="F15309" s="5" t="s">
        <v>18293</v>
      </c>
      <c r="AH15309" s="4" t="str">
        <f>HYPERLINK("#Statut_biogéographique!A"&amp;_xlfn.XMATCH("P",Statut_biogéographique!A:A,2,1),"P")</f>
        <v>P</v>
      </c>
      <c r="AP15309" s="4" t="s">
        <v>376</v>
      </c>
      <c r="AR15309" s="4" t="s">
        <v>377</v>
      </c>
    </row>
    <row r="15310" spans="1:44">
      <c r="A15310" s="4" t="s">
        <v>10753</v>
      </c>
      <c r="B15310" s="4">
        <v>248634</v>
      </c>
      <c r="D15310" s="5">
        <v>248634</v>
      </c>
      <c r="E15310" s="6" t="str">
        <f>HYPERLINK("https://inpn.mnhn.fr/espece/cd_nom/248634","Eupithecia selinata Herrich-Schäffer, 1861")</f>
        <v>Eupithecia selinata Herrich-Schäffer, 1861</v>
      </c>
      <c r="F15310" s="5" t="s">
        <v>18294</v>
      </c>
      <c r="AH15310" s="4" t="str">
        <f>HYPERLINK("#Statut_biogéographique!A"&amp;_xlfn.XMATCH("P",Statut_biogéographique!A:A,2,1),"P")</f>
        <v>P</v>
      </c>
      <c r="AP15310" s="4" t="s">
        <v>376</v>
      </c>
      <c r="AR15310" s="4" t="s">
        <v>377</v>
      </c>
    </row>
    <row r="15311" spans="1:44">
      <c r="A15311" s="4" t="s">
        <v>10753</v>
      </c>
      <c r="B15311" s="4">
        <v>248635</v>
      </c>
      <c r="D15311" s="5">
        <v>248635</v>
      </c>
      <c r="E15311" s="6" t="str">
        <f>HYPERLINK("https://inpn.mnhn.fr/espece/cd_nom/248635","Eupithecia actaeata Walderdorff, 1869")</f>
        <v>Eupithecia actaeata Walderdorff, 1869</v>
      </c>
      <c r="F15311" s="5" t="s">
        <v>18295</v>
      </c>
      <c r="AH15311" s="4" t="str">
        <f>HYPERLINK("#Statut_biogéographique!A"&amp;_xlfn.XMATCH("P",Statut_biogéographique!A:A,2,1),"P")</f>
        <v>P</v>
      </c>
      <c r="AP15311" s="4" t="s">
        <v>376</v>
      </c>
      <c r="AR15311" s="4" t="s">
        <v>377</v>
      </c>
    </row>
    <row r="15312" spans="1:44">
      <c r="A15312" s="4" t="s">
        <v>10753</v>
      </c>
      <c r="B15312" s="4">
        <v>248636</v>
      </c>
      <c r="D15312" s="5">
        <v>248636</v>
      </c>
      <c r="E15312" s="6" t="str">
        <f>HYPERLINK("https://inpn.mnhn.fr/espece/cd_nom/248636","Eupithecia egenaria Herrich-Schäffer, 1848")</f>
        <v>Eupithecia egenaria Herrich-Schäffer, 1848</v>
      </c>
      <c r="F15312" s="5" t="s">
        <v>18296</v>
      </c>
      <c r="AH15312" s="4" t="str">
        <f>HYPERLINK("#Statut_biogéographique!A"&amp;_xlfn.XMATCH("P",Statut_biogéographique!A:A,2,1),"P")</f>
        <v>P</v>
      </c>
      <c r="AP15312" s="4" t="s">
        <v>376</v>
      </c>
      <c r="AR15312" s="4" t="s">
        <v>377</v>
      </c>
    </row>
    <row r="15313" spans="1:44">
      <c r="A15313" s="4" t="s">
        <v>10753</v>
      </c>
      <c r="B15313" s="4">
        <v>248637</v>
      </c>
      <c r="D15313" s="5" t="s">
        <v>18297</v>
      </c>
      <c r="E15313" s="6" t="str">
        <f>HYPERLINK("https://inpn.mnhn.fr/espece/cd_nom/248637","Eupithecia pimpinellata (Hübner, 1813)")</f>
        <v>Eupithecia pimpinellata (Hübner, 1813)</v>
      </c>
      <c r="F15313" s="5" t="s">
        <v>18298</v>
      </c>
      <c r="AH15313" s="4" t="str">
        <f>HYPERLINK("#Statut_biogéographique!A"&amp;_xlfn.XMATCH("P",Statut_biogéographique!A:A,2,1),"P")</f>
        <v>P</v>
      </c>
      <c r="AP15313" s="4" t="s">
        <v>376</v>
      </c>
      <c r="AR15313" s="4" t="s">
        <v>377</v>
      </c>
    </row>
    <row r="15314" spans="1:44">
      <c r="A15314" s="4" t="s">
        <v>10753</v>
      </c>
      <c r="B15314" s="4">
        <v>248638</v>
      </c>
      <c r="D15314" s="5" t="s">
        <v>18299</v>
      </c>
      <c r="E15314" s="6" t="str">
        <f>HYPERLINK("https://inpn.mnhn.fr/espece/cd_nom/248638","Eupithecia simpliciata (Haworth, 1809)")</f>
        <v>Eupithecia simpliciata (Haworth, 1809)</v>
      </c>
      <c r="F15314" s="5" t="s">
        <v>18300</v>
      </c>
      <c r="AH15314" s="4" t="str">
        <f>HYPERLINK("#Statut_biogéographique!A"&amp;_xlfn.XMATCH("P",Statut_biogéographique!A:A,2,1),"P")</f>
        <v>P</v>
      </c>
      <c r="AP15314" s="4" t="s">
        <v>376</v>
      </c>
      <c r="AR15314" s="4" t="s">
        <v>377</v>
      </c>
    </row>
    <row r="15315" spans="1:44">
      <c r="A15315" s="4" t="s">
        <v>10753</v>
      </c>
      <c r="B15315" s="4">
        <v>248639</v>
      </c>
      <c r="D15315" s="5" t="s">
        <v>18301</v>
      </c>
      <c r="E15315" s="6" t="str">
        <f>HYPERLINK("https://inpn.mnhn.fr/espece/cd_nom/248639","Eupithecia nanata (Hübner, 1813)")</f>
        <v>Eupithecia nanata (Hübner, 1813)</v>
      </c>
      <c r="F15315" s="5" t="s">
        <v>18302</v>
      </c>
      <c r="AH15315" s="4" t="str">
        <f>HYPERLINK("#Statut_biogéographique!A"&amp;_xlfn.XMATCH("P",Statut_biogéographique!A:A,2,1),"P")</f>
        <v>P</v>
      </c>
      <c r="AP15315" s="4" t="s">
        <v>376</v>
      </c>
      <c r="AR15315" s="4" t="s">
        <v>377</v>
      </c>
    </row>
    <row r="15316" spans="1:44" ht="30">
      <c r="A15316" s="4" t="s">
        <v>10753</v>
      </c>
      <c r="B15316" s="4">
        <v>248640</v>
      </c>
      <c r="D15316" s="5" t="s">
        <v>18303</v>
      </c>
      <c r="E15316" s="6" t="str">
        <f>HYPERLINK("https://inpn.mnhn.fr/espece/cd_nom/248640","Eupithecia innotata (Hufnagel, 1767)")</f>
        <v>Eupithecia innotata (Hufnagel, 1767)</v>
      </c>
      <c r="F15316" s="5" t="s">
        <v>18304</v>
      </c>
      <c r="AH15316" s="4" t="str">
        <f>HYPERLINK("#Statut_biogéographique!A"&amp;_xlfn.XMATCH("P",Statut_biogéographique!A:A,2,1),"P")</f>
        <v>P</v>
      </c>
      <c r="AP15316" s="4" t="s">
        <v>376</v>
      </c>
      <c r="AR15316" s="4" t="s">
        <v>377</v>
      </c>
    </row>
    <row r="15317" spans="1:44">
      <c r="A15317" s="4" t="s">
        <v>10753</v>
      </c>
      <c r="B15317" s="4">
        <v>248646</v>
      </c>
      <c r="D15317" s="5" t="s">
        <v>18305</v>
      </c>
      <c r="E15317" s="6" t="str">
        <f>HYPERLINK("https://inpn.mnhn.fr/espece/cd_nom/248646","Eupithecia breviculata (Donzel, 1838)")</f>
        <v>Eupithecia breviculata (Donzel, 1838)</v>
      </c>
      <c r="F15317" s="5" t="s">
        <v>18306</v>
      </c>
      <c r="AH15317" s="4" t="str">
        <f>HYPERLINK("#Statut_biogéographique!A"&amp;_xlfn.XMATCH("P",Statut_biogéographique!A:A,2,1),"P")</f>
        <v>P</v>
      </c>
      <c r="AP15317" s="4" t="s">
        <v>376</v>
      </c>
      <c r="AR15317" s="4" t="s">
        <v>377</v>
      </c>
    </row>
    <row r="15318" spans="1:44">
      <c r="A15318" s="4" t="s">
        <v>10753</v>
      </c>
      <c r="B15318" s="4">
        <v>248647</v>
      </c>
      <c r="D15318" s="5" t="s">
        <v>18307</v>
      </c>
      <c r="E15318" s="6" t="str">
        <f>HYPERLINK("https://inpn.mnhn.fr/espece/cd_nom/248647","Eupithecia irriguata (Hübner, 1813)")</f>
        <v>Eupithecia irriguata (Hübner, 1813)</v>
      </c>
      <c r="F15318" s="5" t="s">
        <v>18308</v>
      </c>
      <c r="AH15318" s="4" t="str">
        <f>HYPERLINK("#Statut_biogéographique!A"&amp;_xlfn.XMATCH("P",Statut_biogéographique!A:A,2,1),"P")</f>
        <v>P</v>
      </c>
      <c r="AP15318" s="4" t="s">
        <v>376</v>
      </c>
      <c r="AR15318" s="4" t="s">
        <v>377</v>
      </c>
    </row>
    <row r="15319" spans="1:44">
      <c r="A15319" s="4" t="s">
        <v>10753</v>
      </c>
      <c r="B15319" s="4">
        <v>248648</v>
      </c>
      <c r="D15319" s="5" t="s">
        <v>18309</v>
      </c>
      <c r="E15319" s="6" t="str">
        <f>HYPERLINK("https://inpn.mnhn.fr/espece/cd_nom/248648","Eupithecia indigata (Hübner, 1813)")</f>
        <v>Eupithecia indigata (Hübner, 1813)</v>
      </c>
      <c r="F15319" s="5" t="s">
        <v>18310</v>
      </c>
      <c r="AH15319" s="4" t="str">
        <f>HYPERLINK("#Statut_biogéographique!A"&amp;_xlfn.XMATCH("P",Statut_biogéographique!A:A,2,1),"P")</f>
        <v>P</v>
      </c>
      <c r="AP15319" s="4" t="s">
        <v>376</v>
      </c>
      <c r="AR15319" s="4" t="s">
        <v>377</v>
      </c>
    </row>
    <row r="15320" spans="1:44" ht="30">
      <c r="A15320" s="4" t="s">
        <v>10753</v>
      </c>
      <c r="B15320" s="4">
        <v>248649</v>
      </c>
      <c r="D15320" s="5" t="s">
        <v>18311</v>
      </c>
      <c r="E15320" s="6" t="str">
        <f>HYPERLINK("https://inpn.mnhn.fr/espece/cd_nom/248649","Eupithecia conterminata (Lienig &amp; Zeller, 1846)")</f>
        <v>Eupithecia conterminata (Lienig &amp; Zeller, 1846)</v>
      </c>
      <c r="F15320" s="5" t="s">
        <v>18312</v>
      </c>
      <c r="AH15320" s="4" t="str">
        <f>HYPERLINK("#Statut_biogéographique!A"&amp;_xlfn.XMATCH("P",Statut_biogéographique!A:A,2,1),"P")</f>
        <v>P</v>
      </c>
      <c r="AP15320" s="4" t="s">
        <v>376</v>
      </c>
      <c r="AR15320" s="4" t="s">
        <v>377</v>
      </c>
    </row>
    <row r="15321" spans="1:44">
      <c r="A15321" s="4" t="s">
        <v>10753</v>
      </c>
      <c r="B15321" s="4">
        <v>248650</v>
      </c>
      <c r="D15321" s="5" t="s">
        <v>18313</v>
      </c>
      <c r="E15321" s="6" t="str">
        <f>HYPERLINK("https://inpn.mnhn.fr/espece/cd_nom/248650","Eupithecia distinctaria Herrich-Schäffer, 1848")</f>
        <v>Eupithecia distinctaria Herrich-Schäffer, 1848</v>
      </c>
      <c r="F15321" s="5" t="s">
        <v>18314</v>
      </c>
      <c r="AH15321" s="4" t="str">
        <f>HYPERLINK("#Statut_biogéographique!A"&amp;_xlfn.XMATCH("P",Statut_biogéographique!A:A,2,1),"P")</f>
        <v>P</v>
      </c>
      <c r="AP15321" s="4" t="s">
        <v>376</v>
      </c>
      <c r="AR15321" s="4" t="s">
        <v>377</v>
      </c>
    </row>
    <row r="15322" spans="1:44" ht="30">
      <c r="A15322" s="4" t="s">
        <v>10753</v>
      </c>
      <c r="B15322" s="4">
        <v>248652</v>
      </c>
      <c r="D15322" s="5">
        <v>248652</v>
      </c>
      <c r="E15322" s="6" t="str">
        <f>HYPERLINK("https://inpn.mnhn.fr/espece/cd_nom/248652","Eupithecia extraversaria Herrich-Schäffer, 1852")</f>
        <v>Eupithecia extraversaria Herrich-Schäffer, 1852</v>
      </c>
      <c r="F15322" s="5" t="s">
        <v>18315</v>
      </c>
      <c r="AH15322" s="4" t="str">
        <f>HYPERLINK("#Statut_biogéographique!A"&amp;_xlfn.XMATCH("P",Statut_biogéographique!A:A,2,1),"P")</f>
        <v>P</v>
      </c>
      <c r="AP15322" s="4" t="s">
        <v>376</v>
      </c>
      <c r="AR15322" s="4" t="s">
        <v>377</v>
      </c>
    </row>
    <row r="15323" spans="1:44" ht="30">
      <c r="A15323" s="4" t="s">
        <v>10753</v>
      </c>
      <c r="B15323" s="4">
        <v>248653</v>
      </c>
      <c r="D15323" s="5" t="s">
        <v>18316</v>
      </c>
      <c r="E15323" s="6" t="str">
        <f>HYPERLINK("https://inpn.mnhn.fr/espece/cd_nom/248653","Eupithecia centaureata (Denis &amp; Schiffermüller, 1775)")</f>
        <v>Eupithecia centaureata (Denis &amp; Schiffermüller, 1775)</v>
      </c>
      <c r="F15323" s="5" t="s">
        <v>18317</v>
      </c>
      <c r="AH15323" s="4" t="str">
        <f>HYPERLINK("#Statut_biogéographique!A"&amp;_xlfn.XMATCH("P",Statut_biogéographique!A:A,2,1),"P")</f>
        <v>P</v>
      </c>
      <c r="AP15323" s="4" t="s">
        <v>376</v>
      </c>
      <c r="AR15323" s="4" t="s">
        <v>377</v>
      </c>
    </row>
    <row r="15324" spans="1:44">
      <c r="A15324" s="4" t="s">
        <v>10753</v>
      </c>
      <c r="B15324" s="4">
        <v>248655</v>
      </c>
      <c r="D15324" s="5" t="s">
        <v>18318</v>
      </c>
      <c r="E15324" s="6" t="str">
        <f>HYPERLINK("https://inpn.mnhn.fr/espece/cd_nom/248655","Eupithecia insigniata (Hübner, 1790)")</f>
        <v>Eupithecia insigniata (Hübner, 1790)</v>
      </c>
      <c r="F15324" s="5" t="s">
        <v>18319</v>
      </c>
      <c r="AH15324" s="4" t="str">
        <f>HYPERLINK("#Statut_biogéographique!A"&amp;_xlfn.XMATCH("P",Statut_biogéographique!A:A,2,1),"P")</f>
        <v>P</v>
      </c>
      <c r="AP15324" s="4" t="s">
        <v>376</v>
      </c>
      <c r="AR15324" s="4" t="s">
        <v>377</v>
      </c>
    </row>
    <row r="15325" spans="1:44">
      <c r="A15325" s="4" t="s">
        <v>10753</v>
      </c>
      <c r="B15325" s="4">
        <v>248656</v>
      </c>
      <c r="D15325" s="5">
        <v>248656</v>
      </c>
      <c r="E15325" s="6" t="str">
        <f>HYPERLINK("https://inpn.mnhn.fr/espece/cd_nom/248656","Eupithecia trisignaria Herrich-Schäffer, 1848")</f>
        <v>Eupithecia trisignaria Herrich-Schäffer, 1848</v>
      </c>
      <c r="F15325" s="5" t="s">
        <v>18320</v>
      </c>
      <c r="AH15325" s="4" t="str">
        <f>HYPERLINK("#Statut_biogéographique!A"&amp;_xlfn.XMATCH("P",Statut_biogéographique!A:A,2,1),"P")</f>
        <v>P</v>
      </c>
      <c r="AP15325" s="4" t="s">
        <v>376</v>
      </c>
      <c r="AR15325" s="4" t="s">
        <v>377</v>
      </c>
    </row>
    <row r="15326" spans="1:44">
      <c r="A15326" s="4" t="s">
        <v>10753</v>
      </c>
      <c r="B15326" s="4">
        <v>248659</v>
      </c>
      <c r="D15326" s="5" t="s">
        <v>18321</v>
      </c>
      <c r="E15326" s="6" t="str">
        <f>HYPERLINK("https://inpn.mnhn.fr/espece/cd_nom/248659","Eupithecia veratraria Herrich-Schäffer, 1848")</f>
        <v>Eupithecia veratraria Herrich-Schäffer, 1848</v>
      </c>
      <c r="F15326" s="5" t="s">
        <v>18322</v>
      </c>
      <c r="AH15326" s="4" t="str">
        <f>HYPERLINK("#Statut_biogéographique!A"&amp;_xlfn.XMATCH("P",Statut_biogéographique!A:A,2,1),"P")</f>
        <v>P</v>
      </c>
      <c r="AP15326" s="4" t="s">
        <v>376</v>
      </c>
      <c r="AR15326" s="4" t="s">
        <v>377</v>
      </c>
    </row>
    <row r="15327" spans="1:44">
      <c r="A15327" s="4" t="s">
        <v>10753</v>
      </c>
      <c r="B15327" s="4">
        <v>248660</v>
      </c>
      <c r="D15327" s="5" t="s">
        <v>18323</v>
      </c>
      <c r="E15327" s="6" t="str">
        <f>HYPERLINK("https://inpn.mnhn.fr/espece/cd_nom/248660","Eupithecia cretaceata (Packard, 1874)")</f>
        <v>Eupithecia cretaceata (Packard, 1874)</v>
      </c>
      <c r="F15327" s="5" t="s">
        <v>18324</v>
      </c>
      <c r="AH15327" s="4" t="str">
        <f>HYPERLINK("#Statut_biogéographique!A"&amp;_xlfn.XMATCH("P",Statut_biogéographique!A:A,2,1),"P")</f>
        <v>P</v>
      </c>
      <c r="AP15327" s="4" t="s">
        <v>376</v>
      </c>
      <c r="AR15327" s="4" t="s">
        <v>377</v>
      </c>
    </row>
    <row r="15328" spans="1:44">
      <c r="A15328" s="4" t="s">
        <v>10753</v>
      </c>
      <c r="B15328" s="4">
        <v>248661</v>
      </c>
      <c r="D15328" s="5" t="s">
        <v>18325</v>
      </c>
      <c r="E15328" s="6" t="str">
        <f>HYPERLINK("https://inpn.mnhn.fr/espece/cd_nom/248661","Eupithecia intricata (Zetterstedt, 1839)")</f>
        <v>Eupithecia intricata (Zetterstedt, 1839)</v>
      </c>
      <c r="F15328" s="5" t="s">
        <v>18326</v>
      </c>
      <c r="AH15328" s="4" t="str">
        <f>HYPERLINK("#Statut_biogéographique!A"&amp;_xlfn.XMATCH("P",Statut_biogéographique!A:A,2,1),"P")</f>
        <v>P</v>
      </c>
      <c r="AP15328" s="4" t="s">
        <v>376</v>
      </c>
      <c r="AR15328" s="4" t="s">
        <v>377</v>
      </c>
    </row>
    <row r="15329" spans="1:44">
      <c r="A15329" s="4" t="s">
        <v>10753</v>
      </c>
      <c r="B15329" s="4">
        <v>248662</v>
      </c>
      <c r="D15329" s="5" t="s">
        <v>18327</v>
      </c>
      <c r="E15329" s="6" t="str">
        <f>HYPERLINK("https://inpn.mnhn.fr/espece/cd_nom/248662","Eupithecia satyrata (Hübner, 1813)")</f>
        <v>Eupithecia satyrata (Hübner, 1813)</v>
      </c>
      <c r="F15329" s="5" t="s">
        <v>18328</v>
      </c>
      <c r="AH15329" s="4" t="str">
        <f>HYPERLINK("#Statut_biogéographique!A"&amp;_xlfn.XMATCH("P",Statut_biogéographique!A:A,2,1),"P")</f>
        <v>P</v>
      </c>
      <c r="AP15329" s="4" t="s">
        <v>376</v>
      </c>
      <c r="AR15329" s="4" t="s">
        <v>377</v>
      </c>
    </row>
    <row r="15330" spans="1:44">
      <c r="A15330" s="4" t="s">
        <v>10753</v>
      </c>
      <c r="B15330" s="4">
        <v>248663</v>
      </c>
      <c r="D15330" s="5" t="s">
        <v>18329</v>
      </c>
      <c r="E15330" s="6" t="str">
        <f>HYPERLINK("https://inpn.mnhn.fr/espece/cd_nom/248663","Eupithecia cauchiata (Duponchel, 1831)")</f>
        <v>Eupithecia cauchiata (Duponchel, 1831)</v>
      </c>
      <c r="F15330" s="5" t="s">
        <v>18330</v>
      </c>
      <c r="AH15330" s="4" t="str">
        <f>HYPERLINK("#Statut_biogéographique!A"&amp;_xlfn.XMATCH("P",Statut_biogéographique!A:A,2,1),"P")</f>
        <v>P</v>
      </c>
      <c r="AP15330" s="4" t="s">
        <v>376</v>
      </c>
      <c r="AR15330" s="4" t="s">
        <v>377</v>
      </c>
    </row>
    <row r="15331" spans="1:44">
      <c r="A15331" s="4" t="s">
        <v>10753</v>
      </c>
      <c r="B15331" s="4">
        <v>248665</v>
      </c>
      <c r="D15331" s="5" t="s">
        <v>18331</v>
      </c>
      <c r="E15331" s="6" t="str">
        <f>HYPERLINK("https://inpn.mnhn.fr/espece/cd_nom/248665","Eupithecia absinthiata (Clerck, 1759)")</f>
        <v>Eupithecia absinthiata (Clerck, 1759)</v>
      </c>
      <c r="F15331" s="5" t="s">
        <v>18332</v>
      </c>
      <c r="AH15331" s="4" t="str">
        <f>HYPERLINK("#Statut_biogéographique!A"&amp;_xlfn.XMATCH("P",Statut_biogéographique!A:A,2,1),"P")</f>
        <v>P</v>
      </c>
      <c r="AP15331" s="4" t="s">
        <v>376</v>
      </c>
      <c r="AR15331" s="4" t="s">
        <v>377</v>
      </c>
    </row>
    <row r="15332" spans="1:44">
      <c r="A15332" s="4" t="s">
        <v>10753</v>
      </c>
      <c r="B15332" s="4">
        <v>248666</v>
      </c>
      <c r="D15332" s="5">
        <v>248666</v>
      </c>
      <c r="E15332" s="6" t="str">
        <f>HYPERLINK("https://inpn.mnhn.fr/espece/cd_nom/248666","Eupithecia expallidata Doubleday, 1856")</f>
        <v>Eupithecia expallidata Doubleday, 1856</v>
      </c>
      <c r="F15332" s="5" t="s">
        <v>18333</v>
      </c>
      <c r="AH15332" s="4" t="str">
        <f>HYPERLINK("#Statut_biogéographique!A"&amp;_xlfn.XMATCH("P",Statut_biogéographique!A:A,2,1),"P")</f>
        <v>P</v>
      </c>
      <c r="AP15332" s="4" t="s">
        <v>376</v>
      </c>
      <c r="AR15332" s="4" t="s">
        <v>377</v>
      </c>
    </row>
    <row r="15333" spans="1:44">
      <c r="A15333" s="4" t="s">
        <v>10753</v>
      </c>
      <c r="B15333" s="4">
        <v>248667</v>
      </c>
      <c r="D15333" s="5" t="s">
        <v>18334</v>
      </c>
      <c r="E15333" s="6" t="str">
        <f>HYPERLINK("https://inpn.mnhn.fr/espece/cd_nom/248667","Eupithecia valerianata (Hübner, 1813)")</f>
        <v>Eupithecia valerianata (Hübner, 1813)</v>
      </c>
      <c r="F15333" s="5" t="s">
        <v>18335</v>
      </c>
      <c r="AH15333" s="4" t="str">
        <f>HYPERLINK("#Statut_biogéographique!A"&amp;_xlfn.XMATCH("P",Statut_biogéographique!A:A,2,1),"P")</f>
        <v>P</v>
      </c>
      <c r="AP15333" s="4" t="s">
        <v>376</v>
      </c>
      <c r="AR15333" s="4" t="s">
        <v>377</v>
      </c>
    </row>
    <row r="15334" spans="1:44">
      <c r="A15334" s="4" t="s">
        <v>10753</v>
      </c>
      <c r="B15334" s="4">
        <v>248668</v>
      </c>
      <c r="D15334" s="5">
        <v>248668</v>
      </c>
      <c r="E15334" s="6" t="str">
        <f>HYPERLINK("https://inpn.mnhn.fr/espece/cd_nom/248668","Eupithecia assimilata Doubleday, 1856")</f>
        <v>Eupithecia assimilata Doubleday, 1856</v>
      </c>
      <c r="F15334" s="5" t="s">
        <v>18336</v>
      </c>
      <c r="AH15334" s="4" t="str">
        <f>HYPERLINK("#Statut_biogéographique!A"&amp;_xlfn.XMATCH("P",Statut_biogéographique!A:A,2,1),"P")</f>
        <v>P</v>
      </c>
      <c r="AP15334" s="4" t="s">
        <v>376</v>
      </c>
      <c r="AR15334" s="4" t="s">
        <v>377</v>
      </c>
    </row>
    <row r="15335" spans="1:44">
      <c r="A15335" s="4" t="s">
        <v>10753</v>
      </c>
      <c r="B15335" s="4">
        <v>248669</v>
      </c>
      <c r="D15335" s="5" t="s">
        <v>18337</v>
      </c>
      <c r="E15335" s="6" t="str">
        <f>HYPERLINK("https://inpn.mnhn.fr/espece/cd_nom/248669","Eupithecia vulgata (Haworth, 1809)")</f>
        <v>Eupithecia vulgata (Haworth, 1809)</v>
      </c>
      <c r="F15335" s="5" t="s">
        <v>18338</v>
      </c>
      <c r="AH15335" s="4" t="str">
        <f>HYPERLINK("#Statut_biogéographique!A"&amp;_xlfn.XMATCH("P",Statut_biogéographique!A:A,2,1),"P")</f>
        <v>P</v>
      </c>
      <c r="AP15335" s="4" t="s">
        <v>376</v>
      </c>
      <c r="AR15335" s="4" t="s">
        <v>377</v>
      </c>
    </row>
    <row r="15336" spans="1:44">
      <c r="A15336" s="4" t="s">
        <v>10753</v>
      </c>
      <c r="B15336" s="4">
        <v>248672</v>
      </c>
      <c r="D15336" s="5" t="s">
        <v>18339</v>
      </c>
      <c r="E15336" s="6" t="str">
        <f>HYPERLINK("https://inpn.mnhn.fr/espece/cd_nom/248672","Eupithecia exiguata (Hübner, 1813)")</f>
        <v>Eupithecia exiguata (Hübner, 1813)</v>
      </c>
      <c r="F15336" s="5" t="s">
        <v>18340</v>
      </c>
      <c r="AH15336" s="4" t="str">
        <f>HYPERLINK("#Statut_biogéographique!A"&amp;_xlfn.XMATCH("P",Statut_biogéographique!A:A,2,1),"P")</f>
        <v>P</v>
      </c>
      <c r="AP15336" s="4" t="s">
        <v>376</v>
      </c>
      <c r="AR15336" s="4" t="s">
        <v>377</v>
      </c>
    </row>
    <row r="15337" spans="1:44">
      <c r="A15337" s="4" t="s">
        <v>10753</v>
      </c>
      <c r="B15337" s="4">
        <v>248674</v>
      </c>
      <c r="D15337" s="5" t="s">
        <v>18341</v>
      </c>
      <c r="E15337" s="6" t="str">
        <f>HYPERLINK("https://inpn.mnhn.fr/espece/cd_nom/248674","Eupithecia denotata (Hübner, 1813)")</f>
        <v>Eupithecia denotata (Hübner, 1813)</v>
      </c>
      <c r="F15337" s="5" t="s">
        <v>18342</v>
      </c>
      <c r="AH15337" s="4" t="str">
        <f>HYPERLINK("#Statut_biogéographique!A"&amp;_xlfn.XMATCH("P",Statut_biogéographique!A:A,2,1),"P")</f>
        <v>P</v>
      </c>
      <c r="AP15337" s="4" t="s">
        <v>376</v>
      </c>
      <c r="AR15337" s="4" t="s">
        <v>377</v>
      </c>
    </row>
    <row r="15338" spans="1:44">
      <c r="A15338" s="4" t="s">
        <v>10753</v>
      </c>
      <c r="B15338" s="4">
        <v>248676</v>
      </c>
      <c r="D15338" s="5" t="s">
        <v>18343</v>
      </c>
      <c r="E15338" s="6" t="str">
        <f>HYPERLINK("https://inpn.mnhn.fr/espece/cd_nom/248676","Eupithecia pauxillaria Boisduval, 1840")</f>
        <v>Eupithecia pauxillaria Boisduval, 1840</v>
      </c>
      <c r="F15338" s="5" t="s">
        <v>18344</v>
      </c>
      <c r="AH15338" s="4" t="str">
        <f>HYPERLINK("#Statut_biogéographique!A"&amp;_xlfn.XMATCH("P",Statut_biogéographique!A:A,2,1),"P")</f>
        <v>P</v>
      </c>
      <c r="AP15338" s="4" t="s">
        <v>376</v>
      </c>
      <c r="AR15338" s="4" t="s">
        <v>377</v>
      </c>
    </row>
    <row r="15339" spans="1:44">
      <c r="A15339" s="4" t="s">
        <v>10753</v>
      </c>
      <c r="B15339" s="4">
        <v>248678</v>
      </c>
      <c r="D15339" s="5" t="s">
        <v>18345</v>
      </c>
      <c r="E15339" s="6" t="str">
        <f>HYPERLINK("https://inpn.mnhn.fr/espece/cd_nom/248678","Eupithecia millefoliata Rössler, 1866")</f>
        <v>Eupithecia millefoliata Rössler, 1866</v>
      </c>
      <c r="F15339" s="5" t="s">
        <v>18346</v>
      </c>
      <c r="AH15339" s="4" t="str">
        <f>HYPERLINK("#Statut_biogéographique!A"&amp;_xlfn.XMATCH("P",Statut_biogéographique!A:A,2,1),"P")</f>
        <v>P</v>
      </c>
      <c r="AP15339" s="4" t="s">
        <v>376</v>
      </c>
      <c r="AR15339" s="4" t="s">
        <v>377</v>
      </c>
    </row>
    <row r="15340" spans="1:44">
      <c r="A15340" s="4" t="s">
        <v>10753</v>
      </c>
      <c r="B15340" s="4">
        <v>248679</v>
      </c>
      <c r="D15340" s="5" t="s">
        <v>18347</v>
      </c>
      <c r="E15340" s="6" t="str">
        <f>HYPERLINK("https://inpn.mnhn.fr/espece/cd_nom/248679","Eupithecia icterata (Villers, 1789)")</f>
        <v>Eupithecia icterata (Villers, 1789)</v>
      </c>
      <c r="F15340" s="5" t="s">
        <v>18348</v>
      </c>
      <c r="AH15340" s="4" t="str">
        <f>HYPERLINK("#Statut_biogéographique!A"&amp;_xlfn.XMATCH("P",Statut_biogéographique!A:A,2,1),"P")</f>
        <v>P</v>
      </c>
      <c r="AP15340" s="4" t="s">
        <v>376</v>
      </c>
      <c r="AR15340" s="4" t="s">
        <v>377</v>
      </c>
    </row>
    <row r="15341" spans="1:44">
      <c r="A15341" s="4" t="s">
        <v>10753</v>
      </c>
      <c r="B15341" s="4">
        <v>248680</v>
      </c>
      <c r="D15341" s="5" t="s">
        <v>18349</v>
      </c>
      <c r="E15341" s="6" t="str">
        <f>HYPERLINK("https://inpn.mnhn.fr/espece/cd_nom/248680","Eupithecia succenturiata (Linnaeus, 1758)")</f>
        <v>Eupithecia succenturiata (Linnaeus, 1758)</v>
      </c>
      <c r="F15341" s="5" t="s">
        <v>18350</v>
      </c>
      <c r="AH15341" s="4" t="str">
        <f>HYPERLINK("#Statut_biogéographique!A"&amp;_xlfn.XMATCH("P",Statut_biogéographique!A:A,2,1),"P")</f>
        <v>P</v>
      </c>
      <c r="AP15341" s="4" t="s">
        <v>376</v>
      </c>
      <c r="AR15341" s="4" t="s">
        <v>377</v>
      </c>
    </row>
    <row r="15342" spans="1:44">
      <c r="A15342" s="4" t="s">
        <v>10753</v>
      </c>
      <c r="B15342" s="4">
        <v>248681</v>
      </c>
      <c r="D15342" s="5" t="s">
        <v>18351</v>
      </c>
      <c r="E15342" s="6" t="str">
        <f>HYPERLINK("https://inpn.mnhn.fr/espece/cd_nom/248681","Eupithecia semigraphata Bruand, 1851")</f>
        <v>Eupithecia semigraphata Bruand, 1851</v>
      </c>
      <c r="F15342" s="5" t="s">
        <v>18352</v>
      </c>
      <c r="AH15342" s="4" t="str">
        <f>HYPERLINK("#Statut_biogéographique!A"&amp;_xlfn.XMATCH("P",Statut_biogéographique!A:A,2,1),"P")</f>
        <v>P</v>
      </c>
      <c r="AP15342" s="4" t="s">
        <v>376</v>
      </c>
      <c r="AR15342" s="4" t="s">
        <v>377</v>
      </c>
    </row>
    <row r="15343" spans="1:44">
      <c r="A15343" s="4" t="s">
        <v>10753</v>
      </c>
      <c r="B15343" s="4">
        <v>248682</v>
      </c>
      <c r="D15343" s="5" t="s">
        <v>18353</v>
      </c>
      <c r="E15343" s="6" t="str">
        <f>HYPERLINK("https://inpn.mnhn.fr/espece/cd_nom/248682","Eupithecia impurata (Hübner, 1813)")</f>
        <v>Eupithecia impurata (Hübner, 1813)</v>
      </c>
      <c r="F15343" s="5" t="s">
        <v>18354</v>
      </c>
      <c r="AH15343" s="4" t="str">
        <f>HYPERLINK("#Statut_biogéographique!A"&amp;_xlfn.XMATCH("P",Statut_biogéographique!A:A,2,1),"P")</f>
        <v>P</v>
      </c>
      <c r="AP15343" s="4" t="s">
        <v>376</v>
      </c>
      <c r="AR15343" s="4" t="s">
        <v>377</v>
      </c>
    </row>
    <row r="15344" spans="1:44" ht="30">
      <c r="A15344" s="4" t="s">
        <v>10753</v>
      </c>
      <c r="B15344" s="4">
        <v>248685</v>
      </c>
      <c r="D15344" s="5" t="s">
        <v>18355</v>
      </c>
      <c r="E15344" s="6" t="str">
        <f>HYPERLINK("https://inpn.mnhn.fr/espece/cd_nom/248685","Eupithecia subumbrata (Denis &amp; Schiffermüller, 1775)")</f>
        <v>Eupithecia subumbrata (Denis &amp; Schiffermüller, 1775)</v>
      </c>
      <c r="F15344" s="5" t="s">
        <v>18356</v>
      </c>
      <c r="AH15344" s="4" t="str">
        <f>HYPERLINK("#Statut_biogéographique!A"&amp;_xlfn.XMATCH("P",Statut_biogéographique!A:A,2,1),"P")</f>
        <v>P</v>
      </c>
      <c r="AP15344" s="4" t="s">
        <v>376</v>
      </c>
      <c r="AR15344" s="4" t="s">
        <v>377</v>
      </c>
    </row>
    <row r="15345" spans="1:44">
      <c r="A15345" s="4" t="s">
        <v>10753</v>
      </c>
      <c r="B15345" s="4">
        <v>248686</v>
      </c>
      <c r="D15345" s="5">
        <v>248686</v>
      </c>
      <c r="E15345" s="6" t="str">
        <f>HYPERLINK("https://inpn.mnhn.fr/espece/cd_nom/248686","Eupithecia orphnata W. Petersen, 1909")</f>
        <v>Eupithecia orphnata W. Petersen, 1909</v>
      </c>
      <c r="F15345" s="5" t="s">
        <v>18357</v>
      </c>
      <c r="AH15345" s="4" t="str">
        <f>HYPERLINK("#Statut_biogéographique!A"&amp;_xlfn.XMATCH("P",Statut_biogéographique!A:A,2,1),"P")</f>
        <v>P</v>
      </c>
      <c r="AP15345" s="4" t="s">
        <v>376</v>
      </c>
      <c r="AR15345" s="4" t="s">
        <v>377</v>
      </c>
    </row>
    <row r="15346" spans="1:44">
      <c r="A15346" s="4" t="s">
        <v>10753</v>
      </c>
      <c r="B15346" s="4">
        <v>248687</v>
      </c>
      <c r="D15346" s="5" t="s">
        <v>18358</v>
      </c>
      <c r="E15346" s="6" t="str">
        <f>HYPERLINK("https://inpn.mnhn.fr/espece/cd_nom/248687","Eupithecia subfuscata (Haworth, 1809)")</f>
        <v>Eupithecia subfuscata (Haworth, 1809)</v>
      </c>
      <c r="F15346" s="5" t="s">
        <v>18359</v>
      </c>
      <c r="AH15346" s="4" t="str">
        <f>HYPERLINK("#Statut_biogéographique!A"&amp;_xlfn.XMATCH("P",Statut_biogéographique!A:A,2,1),"P")</f>
        <v>P</v>
      </c>
      <c r="AP15346" s="4" t="s">
        <v>376</v>
      </c>
      <c r="AR15346" s="4" t="s">
        <v>377</v>
      </c>
    </row>
    <row r="15347" spans="1:44" ht="30">
      <c r="A15347" s="4" t="s">
        <v>10753</v>
      </c>
      <c r="B15347" s="4">
        <v>248688</v>
      </c>
      <c r="D15347" s="5" t="s">
        <v>18360</v>
      </c>
      <c r="E15347" s="6" t="str">
        <f>HYPERLINK("https://inpn.mnhn.fr/espece/cd_nom/248688","Hydriomena furcata (Thunberg &amp; Borgström, 1784)")</f>
        <v>Hydriomena furcata (Thunberg &amp; Borgström, 1784)</v>
      </c>
      <c r="F15347" s="5" t="s">
        <v>18361</v>
      </c>
      <c r="AH15347" s="4" t="str">
        <f>HYPERLINK("#Statut_biogéographique!A"&amp;_xlfn.XMATCH("P",Statut_biogéographique!A:A,2,1),"P")</f>
        <v>P</v>
      </c>
      <c r="AP15347" s="4" t="s">
        <v>376</v>
      </c>
      <c r="AR15347" s="4" t="s">
        <v>377</v>
      </c>
    </row>
    <row r="15348" spans="1:44" ht="30">
      <c r="A15348" s="4" t="s">
        <v>10753</v>
      </c>
      <c r="B15348" s="4">
        <v>248689</v>
      </c>
      <c r="D15348" s="5" t="s">
        <v>18362</v>
      </c>
      <c r="E15348" s="6" t="str">
        <f>HYPERLINK("https://inpn.mnhn.fr/espece/cd_nom/248689","Hydriomena impluviata (Denis &amp; Schiffermüller, 1775)")</f>
        <v>Hydriomena impluviata (Denis &amp; Schiffermüller, 1775)</v>
      </c>
      <c r="F15348" s="5" t="s">
        <v>18363</v>
      </c>
      <c r="AH15348" s="4" t="str">
        <f>HYPERLINK("#Statut_biogéographique!A"&amp;_xlfn.XMATCH("P",Statut_biogéographique!A:A,2,1),"P")</f>
        <v>P</v>
      </c>
      <c r="AP15348" s="4" t="s">
        <v>376</v>
      </c>
      <c r="AR15348" s="4" t="s">
        <v>377</v>
      </c>
    </row>
    <row r="15349" spans="1:44">
      <c r="A15349" s="4" t="s">
        <v>10753</v>
      </c>
      <c r="B15349" s="4">
        <v>248690</v>
      </c>
      <c r="D15349" s="5" t="s">
        <v>18364</v>
      </c>
      <c r="E15349" s="6" t="str">
        <f>HYPERLINK("https://inpn.mnhn.fr/espece/cd_nom/248690","Hydriomena ruberata (Freyer, 1831)")</f>
        <v>Hydriomena ruberata (Freyer, 1831)</v>
      </c>
      <c r="F15349" s="5" t="s">
        <v>18365</v>
      </c>
      <c r="AH15349" s="4" t="str">
        <f>HYPERLINK("#Statut_biogéographique!A"&amp;_xlfn.XMATCH("P",Statut_biogéographique!A:A,2,1),"P")</f>
        <v>P</v>
      </c>
      <c r="AP15349" s="4" t="s">
        <v>376</v>
      </c>
      <c r="AR15349" s="4" t="s">
        <v>377</v>
      </c>
    </row>
    <row r="15350" spans="1:44" ht="30">
      <c r="A15350" s="4" t="s">
        <v>10753</v>
      </c>
      <c r="B15350" s="4">
        <v>248691</v>
      </c>
      <c r="D15350" s="5" t="s">
        <v>18366</v>
      </c>
      <c r="E15350" s="6" t="str">
        <f>HYPERLINK("https://inpn.mnhn.fr/espece/cd_nom/248691","Spargania luctuata (Denis &amp; Schiffermüller, 1775)")</f>
        <v>Spargania luctuata (Denis &amp; Schiffermüller, 1775)</v>
      </c>
      <c r="F15350" s="5" t="s">
        <v>18367</v>
      </c>
      <c r="AH15350" s="4" t="str">
        <f>HYPERLINK("#Statut_biogéographique!A"&amp;_xlfn.XMATCH("P",Statut_biogéographique!A:A,2,1),"P")</f>
        <v>P</v>
      </c>
      <c r="AP15350" s="4" t="s">
        <v>376</v>
      </c>
      <c r="AR15350" s="4" t="s">
        <v>377</v>
      </c>
    </row>
    <row r="15351" spans="1:44" ht="30">
      <c r="A15351" s="4" t="s">
        <v>10753</v>
      </c>
      <c r="B15351" s="4">
        <v>248692</v>
      </c>
      <c r="D15351" s="5" t="s">
        <v>18368</v>
      </c>
      <c r="E15351" s="6" t="str">
        <f>HYPERLINK("https://inpn.mnhn.fr/espece/cd_nom/248692","Pelurga comitata (Linnaeus, 1758)")</f>
        <v>Pelurga comitata (Linnaeus, 1758)</v>
      </c>
      <c r="F15351" s="5" t="s">
        <v>18369</v>
      </c>
      <c r="AH15351" s="4" t="str">
        <f>HYPERLINK("#Statut_biogéographique!A"&amp;_xlfn.XMATCH("P",Statut_biogéographique!A:A,2,1),"P")</f>
        <v>P</v>
      </c>
      <c r="AP15351" s="4" t="s">
        <v>376</v>
      </c>
      <c r="AR15351" s="4" t="s">
        <v>377</v>
      </c>
    </row>
    <row r="15352" spans="1:44" ht="30">
      <c r="A15352" s="4" t="s">
        <v>10753</v>
      </c>
      <c r="B15352" s="4">
        <v>248693</v>
      </c>
      <c r="D15352" s="5" t="s">
        <v>18370</v>
      </c>
      <c r="E15352" s="6" t="str">
        <f>HYPERLINK("https://inpn.mnhn.fr/espece/cd_nom/248693","Mesoleuca albicillata (Linnaeus, 1758)")</f>
        <v>Mesoleuca albicillata (Linnaeus, 1758)</v>
      </c>
      <c r="F15352" s="5" t="s">
        <v>18371</v>
      </c>
      <c r="AH15352" s="4" t="str">
        <f>HYPERLINK("#Statut_biogéographique!A"&amp;_xlfn.XMATCH("P",Statut_biogéographique!A:A,2,1),"P")</f>
        <v>P</v>
      </c>
      <c r="AP15352" s="4" t="s">
        <v>376</v>
      </c>
      <c r="AR15352" s="4" t="s">
        <v>377</v>
      </c>
    </row>
    <row r="15353" spans="1:44" ht="30">
      <c r="A15353" s="4" t="s">
        <v>10753</v>
      </c>
      <c r="B15353" s="4">
        <v>248694</v>
      </c>
      <c r="D15353" s="5" t="s">
        <v>18372</v>
      </c>
      <c r="E15353" s="6" t="str">
        <f>HYPERLINK("https://inpn.mnhn.fr/espece/cd_nom/248694","Earophila badiata (Denis &amp; Schiffermüller, 1775)")</f>
        <v>Earophila badiata (Denis &amp; Schiffermüller, 1775)</v>
      </c>
      <c r="F15353" s="5" t="s">
        <v>18373</v>
      </c>
      <c r="AH15353" s="4" t="str">
        <f>HYPERLINK("#Statut_biogéographique!A"&amp;_xlfn.XMATCH("P",Statut_biogéographique!A:A,2,1),"P")</f>
        <v>P</v>
      </c>
      <c r="AP15353" s="4" t="s">
        <v>376</v>
      </c>
      <c r="AR15353" s="4" t="s">
        <v>377</v>
      </c>
    </row>
    <row r="15354" spans="1:44" ht="30">
      <c r="A15354" s="4" t="s">
        <v>10753</v>
      </c>
      <c r="B15354" s="4">
        <v>248695</v>
      </c>
      <c r="D15354" s="5" t="s">
        <v>18374</v>
      </c>
      <c r="E15354" s="6" t="str">
        <f>HYPERLINK("https://inpn.mnhn.fr/espece/cd_nom/248695","Anticlea derivata (Denis &amp; Schiffermüller, 1775)")</f>
        <v>Anticlea derivata (Denis &amp; Schiffermüller, 1775)</v>
      </c>
      <c r="F15354" s="5" t="s">
        <v>18375</v>
      </c>
      <c r="AH15354" s="4" t="str">
        <f>HYPERLINK("#Statut_biogéographique!A"&amp;_xlfn.XMATCH("P",Statut_biogéographique!A:A,2,1),"P")</f>
        <v>P</v>
      </c>
      <c r="AP15354" s="4" t="s">
        <v>376</v>
      </c>
      <c r="AR15354" s="4" t="s">
        <v>377</v>
      </c>
    </row>
    <row r="15355" spans="1:44">
      <c r="A15355" s="4" t="s">
        <v>10753</v>
      </c>
      <c r="B15355" s="4">
        <v>248697</v>
      </c>
      <c r="D15355" s="5" t="s">
        <v>18376</v>
      </c>
      <c r="E15355" s="6" t="str">
        <f>HYPERLINK("https://inpn.mnhn.fr/espece/cd_nom/248697","Larentia clavaria (Haworth, 1809)")</f>
        <v>Larentia clavaria (Haworth, 1809)</v>
      </c>
      <c r="F15355" s="5" t="s">
        <v>18377</v>
      </c>
      <c r="AH15355" s="4" t="str">
        <f>HYPERLINK("#Statut_biogéographique!A"&amp;_xlfn.XMATCH("P",Statut_biogéographique!A:A,2,1),"P")</f>
        <v>P</v>
      </c>
      <c r="AP15355" s="4" t="s">
        <v>376</v>
      </c>
      <c r="AR15355" s="4" t="s">
        <v>377</v>
      </c>
    </row>
    <row r="15356" spans="1:44">
      <c r="A15356" s="4" t="s">
        <v>10753</v>
      </c>
      <c r="B15356" s="4">
        <v>248700</v>
      </c>
      <c r="D15356" s="5" t="s">
        <v>18378</v>
      </c>
      <c r="E15356" s="6" t="str">
        <f>HYPERLINK("https://inpn.mnhn.fr/espece/cd_nom/248700","Entephria cyanata (Hübner, 1809)")</f>
        <v>Entephria cyanata (Hübner, 1809)</v>
      </c>
      <c r="F15356" s="5" t="s">
        <v>18379</v>
      </c>
      <c r="AH15356" s="4" t="str">
        <f>HYPERLINK("#Statut_biogéographique!A"&amp;_xlfn.XMATCH("P",Statut_biogéographique!A:A,2,1),"P")</f>
        <v>P</v>
      </c>
      <c r="AP15356" s="4" t="s">
        <v>376</v>
      </c>
      <c r="AR15356" s="4" t="s">
        <v>377</v>
      </c>
    </row>
    <row r="15357" spans="1:44">
      <c r="A15357" s="4" t="s">
        <v>10753</v>
      </c>
      <c r="B15357" s="4">
        <v>248701</v>
      </c>
      <c r="D15357" s="5" t="s">
        <v>18380</v>
      </c>
      <c r="E15357" s="6" t="str">
        <f>HYPERLINK("https://inpn.mnhn.fr/espece/cd_nom/248701","Entephria flavicinctata (Hübner, 1813)")</f>
        <v>Entephria flavicinctata (Hübner, 1813)</v>
      </c>
      <c r="F15357" s="5" t="s">
        <v>18381</v>
      </c>
      <c r="AH15357" s="4" t="str">
        <f>HYPERLINK("#Statut_biogéographique!A"&amp;_xlfn.XMATCH("P",Statut_biogéographique!A:A,2,1),"P")</f>
        <v>P</v>
      </c>
      <c r="AP15357" s="4" t="s">
        <v>376</v>
      </c>
      <c r="AR15357" s="4" t="s">
        <v>377</v>
      </c>
    </row>
    <row r="15358" spans="1:44">
      <c r="A15358" s="4" t="s">
        <v>10753</v>
      </c>
      <c r="B15358" s="4">
        <v>248703</v>
      </c>
      <c r="D15358" s="5" t="s">
        <v>18382</v>
      </c>
      <c r="E15358" s="6" t="str">
        <f>HYPERLINK("https://inpn.mnhn.fr/espece/cd_nom/248703","Entephria infidaria (de La Harpe, 1853)")</f>
        <v>Entephria infidaria (de La Harpe, 1853)</v>
      </c>
      <c r="F15358" s="5" t="s">
        <v>18383</v>
      </c>
      <c r="AH15358" s="4" t="str">
        <f>HYPERLINK("#Statut_biogéographique!A"&amp;_xlfn.XMATCH("P",Statut_biogéographique!A:A,2,1),"P")</f>
        <v>P</v>
      </c>
      <c r="AP15358" s="4" t="s">
        <v>376</v>
      </c>
      <c r="AR15358" s="4" t="s">
        <v>377</v>
      </c>
    </row>
    <row r="15359" spans="1:44" ht="30">
      <c r="A15359" s="4" t="s">
        <v>10753</v>
      </c>
      <c r="B15359" s="4">
        <v>248704</v>
      </c>
      <c r="D15359" s="5" t="s">
        <v>18384</v>
      </c>
      <c r="E15359" s="6" t="str">
        <f>HYPERLINK("https://inpn.mnhn.fr/espece/cd_nom/248704","Entephria caesiata (Denis &amp; Schiffermüller, 1775)")</f>
        <v>Entephria caesiata (Denis &amp; Schiffermüller, 1775)</v>
      </c>
      <c r="F15359" s="5" t="s">
        <v>18385</v>
      </c>
      <c r="AH15359" s="4" t="str">
        <f>HYPERLINK("#Statut_biogéographique!A"&amp;_xlfn.XMATCH("P",Statut_biogéographique!A:A,2,1),"P")</f>
        <v>P</v>
      </c>
      <c r="AP15359" s="4" t="s">
        <v>376</v>
      </c>
      <c r="AR15359" s="4" t="s">
        <v>377</v>
      </c>
    </row>
    <row r="15360" spans="1:44">
      <c r="A15360" s="4" t="s">
        <v>10753</v>
      </c>
      <c r="B15360" s="4">
        <v>248706</v>
      </c>
      <c r="D15360" s="5" t="s">
        <v>18386</v>
      </c>
      <c r="E15360" s="6" t="str">
        <f>HYPERLINK("https://inpn.mnhn.fr/espece/cd_nom/248706","Lythria purpuraria (Linnaeus, 1758)")</f>
        <v>Lythria purpuraria (Linnaeus, 1758)</v>
      </c>
      <c r="F15360" s="5" t="s">
        <v>18387</v>
      </c>
      <c r="AH15360" s="4" t="str">
        <f>HYPERLINK("#Statut_biogéographique!A"&amp;_xlfn.XMATCH("P",Statut_biogéographique!A:A,2,1),"P")</f>
        <v>P</v>
      </c>
      <c r="AP15360" s="4" t="s">
        <v>376</v>
      </c>
      <c r="AR15360" s="4" t="s">
        <v>377</v>
      </c>
    </row>
    <row r="15361" spans="1:44">
      <c r="A15361" s="4" t="s">
        <v>10753</v>
      </c>
      <c r="B15361" s="4">
        <v>248707</v>
      </c>
      <c r="D15361" s="5" t="s">
        <v>18388</v>
      </c>
      <c r="E15361" s="6" t="str">
        <f>HYPERLINK("https://inpn.mnhn.fr/espece/cd_nom/248707","Lythria cruentaria (Hufnagel, 1767)")</f>
        <v>Lythria cruentaria (Hufnagel, 1767)</v>
      </c>
      <c r="F15361" s="5" t="s">
        <v>18389</v>
      </c>
      <c r="AH15361" s="4" t="str">
        <f>HYPERLINK("#Statut_biogéographique!A"&amp;_xlfn.XMATCH("P",Statut_biogéographique!A:A,2,1),"P")</f>
        <v>P</v>
      </c>
      <c r="AP15361" s="4" t="s">
        <v>376</v>
      </c>
      <c r="AR15361" s="4" t="s">
        <v>377</v>
      </c>
    </row>
    <row r="15362" spans="1:44">
      <c r="A15362" s="4" t="s">
        <v>10753</v>
      </c>
      <c r="B15362" s="4">
        <v>248709</v>
      </c>
      <c r="D15362" s="5" t="s">
        <v>18390</v>
      </c>
      <c r="E15362" s="6" t="str">
        <f>HYPERLINK("https://inpn.mnhn.fr/espece/cd_nom/248709","Anticollix sparsata (Treitschke, 1828)")</f>
        <v>Anticollix sparsata (Treitschke, 1828)</v>
      </c>
      <c r="F15362" s="5" t="s">
        <v>18391</v>
      </c>
      <c r="AH15362" s="4" t="str">
        <f>HYPERLINK("#Statut_biogéographique!A"&amp;_xlfn.XMATCH("P",Statut_biogéographique!A:A,2,1),"P")</f>
        <v>P</v>
      </c>
      <c r="AP15362" s="4" t="s">
        <v>376</v>
      </c>
      <c r="AR15362" s="4" t="s">
        <v>377</v>
      </c>
    </row>
    <row r="15363" spans="1:44" ht="30">
      <c r="A15363" s="4" t="s">
        <v>10753</v>
      </c>
      <c r="B15363" s="4">
        <v>248710</v>
      </c>
      <c r="D15363" s="5" t="s">
        <v>18392</v>
      </c>
      <c r="E15363" s="6" t="str">
        <f>HYPERLINK("https://inpn.mnhn.fr/espece/cd_nom/248710","Melanthia procellata (Denis &amp; Schiffermüller, 1775)")</f>
        <v>Melanthia procellata (Denis &amp; Schiffermüller, 1775)</v>
      </c>
      <c r="F15363" s="5" t="s">
        <v>18393</v>
      </c>
      <c r="AH15363" s="4" t="str">
        <f>HYPERLINK("#Statut_biogéographique!A"&amp;_xlfn.XMATCH("P",Statut_biogéographique!A:A,2,1),"P")</f>
        <v>P</v>
      </c>
      <c r="AP15363" s="4" t="s">
        <v>376</v>
      </c>
      <c r="AR15363" s="4" t="s">
        <v>377</v>
      </c>
    </row>
    <row r="15364" spans="1:44" ht="30">
      <c r="A15364" s="4" t="s">
        <v>10753</v>
      </c>
      <c r="B15364" s="4">
        <v>248712</v>
      </c>
      <c r="D15364" s="5" t="s">
        <v>18394</v>
      </c>
      <c r="E15364" s="6" t="str">
        <f>HYPERLINK("https://inpn.mnhn.fr/espece/cd_nom/248712","Horisme vitalbata (Denis &amp; Schiffermüller, 1775)")</f>
        <v>Horisme vitalbata (Denis &amp; Schiffermüller, 1775)</v>
      </c>
      <c r="F15364" s="5" t="s">
        <v>18395</v>
      </c>
      <c r="AH15364" s="4" t="str">
        <f>HYPERLINK("#Statut_biogéographique!A"&amp;_xlfn.XMATCH("P",Statut_biogéographique!A:A,2,1),"P")</f>
        <v>P</v>
      </c>
      <c r="AP15364" s="4" t="s">
        <v>376</v>
      </c>
      <c r="AR15364" s="4" t="s">
        <v>377</v>
      </c>
    </row>
    <row r="15365" spans="1:44" ht="30">
      <c r="A15365" s="4" t="s">
        <v>10753</v>
      </c>
      <c r="B15365" s="4">
        <v>248714</v>
      </c>
      <c r="D15365" s="5" t="s">
        <v>18396</v>
      </c>
      <c r="E15365" s="6" t="str">
        <f>HYPERLINK("https://inpn.mnhn.fr/espece/cd_nom/248714","Horisme tersata (Denis &amp; Schiffermüller, 1775)")</f>
        <v>Horisme tersata (Denis &amp; Schiffermüller, 1775)</v>
      </c>
      <c r="F15365" s="5" t="s">
        <v>18397</v>
      </c>
      <c r="AH15365" s="4" t="str">
        <f>HYPERLINK("#Statut_biogéographique!A"&amp;_xlfn.XMATCH("P",Statut_biogéographique!A:A,2,1),"P")</f>
        <v>P</v>
      </c>
      <c r="AP15365" s="4" t="s">
        <v>376</v>
      </c>
      <c r="AR15365" s="4" t="s">
        <v>377</v>
      </c>
    </row>
    <row r="15366" spans="1:44">
      <c r="A15366" s="4" t="s">
        <v>10753</v>
      </c>
      <c r="B15366" s="4">
        <v>248715</v>
      </c>
      <c r="D15366" s="5" t="s">
        <v>18398</v>
      </c>
      <c r="E15366" s="6" t="str">
        <f>HYPERLINK("https://inpn.mnhn.fr/espece/cd_nom/248715","Horisme radicaria (de La Harpe, 1855)")</f>
        <v>Horisme radicaria (de La Harpe, 1855)</v>
      </c>
      <c r="F15366" s="5" t="s">
        <v>18399</v>
      </c>
      <c r="AH15366" s="4" t="str">
        <f>HYPERLINK("#Statut_biogéographique!A"&amp;_xlfn.XMATCH("P",Statut_biogéographique!A:A,2,1),"P")</f>
        <v>P</v>
      </c>
      <c r="AP15366" s="4" t="s">
        <v>376</v>
      </c>
      <c r="AR15366" s="4" t="s">
        <v>377</v>
      </c>
    </row>
    <row r="15367" spans="1:44">
      <c r="A15367" s="4" t="s">
        <v>10753</v>
      </c>
      <c r="B15367" s="4">
        <v>248716</v>
      </c>
      <c r="D15367" s="5" t="s">
        <v>18400</v>
      </c>
      <c r="E15367" s="6" t="str">
        <f>HYPERLINK("https://inpn.mnhn.fr/espece/cd_nom/248716","Horisme aemulata (Hübner, 1813)")</f>
        <v>Horisme aemulata (Hübner, 1813)</v>
      </c>
      <c r="F15367" s="5" t="s">
        <v>18401</v>
      </c>
      <c r="AH15367" s="4" t="str">
        <f>HYPERLINK("#Statut_biogéographique!A"&amp;_xlfn.XMATCH("P",Statut_biogéographique!A:A,2,1),"P")</f>
        <v>P</v>
      </c>
      <c r="AP15367" s="4" t="s">
        <v>376</v>
      </c>
      <c r="AR15367" s="4" t="s">
        <v>377</v>
      </c>
    </row>
    <row r="15368" spans="1:44" ht="30">
      <c r="A15368" s="4" t="s">
        <v>10753</v>
      </c>
      <c r="B15368" s="4">
        <v>248717</v>
      </c>
      <c r="D15368" s="5" t="s">
        <v>18402</v>
      </c>
      <c r="E15368" s="6" t="str">
        <f>HYPERLINK("https://inpn.mnhn.fr/espece/cd_nom/248717","Horisme calligraphata (Herrich-Schäffer, 1838)")</f>
        <v>Horisme calligraphata (Herrich-Schäffer, 1838)</v>
      </c>
      <c r="F15368" s="5" t="s">
        <v>18403</v>
      </c>
      <c r="AH15368" s="4" t="str">
        <f>HYPERLINK("#Statut_biogéographique!A"&amp;_xlfn.XMATCH("P",Statut_biogéographique!A:A,2,1),"P")</f>
        <v>P</v>
      </c>
      <c r="AP15368" s="4" t="s">
        <v>376</v>
      </c>
      <c r="AR15368" s="4" t="s">
        <v>377</v>
      </c>
    </row>
    <row r="15369" spans="1:44" ht="30">
      <c r="A15369" s="4" t="s">
        <v>10753</v>
      </c>
      <c r="B15369" s="4">
        <v>248718</v>
      </c>
      <c r="D15369" s="5" t="s">
        <v>18404</v>
      </c>
      <c r="E15369" s="6" t="str">
        <f>HYPERLINK("https://inpn.mnhn.fr/espece/cd_nom/248718","Horisme aquata (Hübner, 1813)")</f>
        <v>Horisme aquata (Hübner, 1813)</v>
      </c>
      <c r="F15369" s="5" t="s">
        <v>18405</v>
      </c>
      <c r="AH15369" s="4" t="str">
        <f>HYPERLINK("#Statut_biogéographique!A"&amp;_xlfn.XMATCH("P",Statut_biogéographique!A:A,2,1),"P")</f>
        <v>P</v>
      </c>
      <c r="AP15369" s="4" t="s">
        <v>376</v>
      </c>
      <c r="AR15369" s="4" t="s">
        <v>377</v>
      </c>
    </row>
    <row r="15370" spans="1:44">
      <c r="A15370" s="4" t="s">
        <v>10753</v>
      </c>
      <c r="B15370" s="4">
        <v>24872</v>
      </c>
      <c r="D15370" s="5" t="s">
        <v>18406</v>
      </c>
      <c r="E15370" s="6" t="str">
        <f>HYPERLINK("https://inpn.mnhn.fr/espece/cd_nom/24872","Herina frondescentiae (Linnaeus, 1758)")</f>
        <v>Herina frondescentiae (Linnaeus, 1758)</v>
      </c>
      <c r="AH15370" s="4" t="str">
        <f>HYPERLINK("#Statut_biogéographique!A"&amp;_xlfn.XMATCH("P",Statut_biogéographique!A:A,2,1),"P")</f>
        <v>P</v>
      </c>
      <c r="AP15370" s="4" t="s">
        <v>376</v>
      </c>
      <c r="AR15370" s="4" t="s">
        <v>377</v>
      </c>
    </row>
    <row r="15371" spans="1:44">
      <c r="A15371" s="4" t="s">
        <v>10753</v>
      </c>
      <c r="B15371" s="4">
        <v>248721</v>
      </c>
      <c r="D15371" s="5" t="s">
        <v>18407</v>
      </c>
      <c r="E15371" s="6" t="str">
        <f>HYPERLINK("https://inpn.mnhn.fr/espece/cd_nom/248721","Operophtera fagata (Scharfenberg, 1805)")</f>
        <v>Operophtera fagata (Scharfenberg, 1805)</v>
      </c>
      <c r="F15371" s="5" t="s">
        <v>18408</v>
      </c>
      <c r="AH15371" s="4" t="str">
        <f>HYPERLINK("#Statut_biogéographique!A"&amp;_xlfn.XMATCH("P",Statut_biogéographique!A:A,2,1),"P")</f>
        <v>P</v>
      </c>
      <c r="AP15371" s="4" t="s">
        <v>376</v>
      </c>
      <c r="AR15371" s="4" t="s">
        <v>377</v>
      </c>
    </row>
    <row r="15372" spans="1:44" ht="30">
      <c r="A15372" s="4" t="s">
        <v>10753</v>
      </c>
      <c r="B15372" s="4">
        <v>248722</v>
      </c>
      <c r="D15372" s="5" t="s">
        <v>18409</v>
      </c>
      <c r="E15372" s="6" t="str">
        <f>HYPERLINK("https://inpn.mnhn.fr/espece/cd_nom/248722","Operophtera brumata (Linnaeus, 1758)")</f>
        <v>Operophtera brumata (Linnaeus, 1758)</v>
      </c>
      <c r="F15372" s="5" t="s">
        <v>18410</v>
      </c>
      <c r="AH15372" s="4" t="str">
        <f>HYPERLINK("#Statut_biogéographique!A"&amp;_xlfn.XMATCH("P",Statut_biogéographique!A:A,2,1),"P")</f>
        <v>P</v>
      </c>
      <c r="AP15372" s="4" t="s">
        <v>376</v>
      </c>
      <c r="AR15372" s="4" t="s">
        <v>377</v>
      </c>
    </row>
    <row r="15373" spans="1:44" ht="30">
      <c r="A15373" s="4" t="s">
        <v>10753</v>
      </c>
      <c r="B15373" s="4">
        <v>248723</v>
      </c>
      <c r="D15373" s="5" t="s">
        <v>18411</v>
      </c>
      <c r="E15373" s="6" t="str">
        <f>HYPERLINK("https://inpn.mnhn.fr/espece/cd_nom/248723","Epirrita dilutata (Denis &amp; Schiffermüller, 1775)")</f>
        <v>Epirrita dilutata (Denis &amp; Schiffermüller, 1775)</v>
      </c>
      <c r="F15373" s="5" t="s">
        <v>18412</v>
      </c>
      <c r="AH15373" s="4" t="str">
        <f>HYPERLINK("#Statut_biogéographique!A"&amp;_xlfn.XMATCH("P",Statut_biogéographique!A:A,2,1),"P")</f>
        <v>P</v>
      </c>
      <c r="AP15373" s="4" t="s">
        <v>376</v>
      </c>
      <c r="AR15373" s="4" t="s">
        <v>377</v>
      </c>
    </row>
    <row r="15374" spans="1:44">
      <c r="A15374" s="4" t="s">
        <v>10753</v>
      </c>
      <c r="B15374" s="4">
        <v>248724</v>
      </c>
      <c r="D15374" s="5" t="s">
        <v>18413</v>
      </c>
      <c r="E15374" s="6" t="str">
        <f>HYPERLINK("https://inpn.mnhn.fr/espece/cd_nom/248724","Epirrita christyi (Allen, 1906)")</f>
        <v>Epirrita christyi (Allen, 1906)</v>
      </c>
      <c r="F15374" s="5" t="s">
        <v>18414</v>
      </c>
      <c r="AH15374" s="4" t="str">
        <f>HYPERLINK("#Statut_biogéographique!A"&amp;_xlfn.XMATCH("P",Statut_biogéographique!A:A,2,1),"P")</f>
        <v>P</v>
      </c>
      <c r="AP15374" s="4" t="s">
        <v>376</v>
      </c>
      <c r="AR15374" s="4" t="s">
        <v>377</v>
      </c>
    </row>
    <row r="15375" spans="1:44">
      <c r="A15375" s="4" t="s">
        <v>10753</v>
      </c>
      <c r="B15375" s="4">
        <v>248725</v>
      </c>
      <c r="D15375" s="5" t="s">
        <v>18415</v>
      </c>
      <c r="E15375" s="6" t="str">
        <f>HYPERLINK("https://inpn.mnhn.fr/espece/cd_nom/248725","Epirrita autumnata (Borkhausen, 1794)")</f>
        <v>Epirrita autumnata (Borkhausen, 1794)</v>
      </c>
      <c r="F15375" s="5" t="s">
        <v>18416</v>
      </c>
      <c r="AH15375" s="4" t="str">
        <f>HYPERLINK("#Statut_biogéographique!A"&amp;_xlfn.XMATCH("P",Statut_biogéographique!A:A,2,1),"P")</f>
        <v>P</v>
      </c>
      <c r="AP15375" s="4" t="s">
        <v>376</v>
      </c>
      <c r="AR15375" s="4" t="s">
        <v>377</v>
      </c>
    </row>
    <row r="15376" spans="1:44">
      <c r="A15376" s="4" t="s">
        <v>10753</v>
      </c>
      <c r="B15376" s="4">
        <v>248726</v>
      </c>
      <c r="D15376" s="5" t="s">
        <v>18417</v>
      </c>
      <c r="E15376" s="6" t="str">
        <f>HYPERLINK("https://inpn.mnhn.fr/espece/cd_nom/248726","Gagitodes sagittata (Fabricius, 1787)")</f>
        <v>Gagitodes sagittata (Fabricius, 1787)</v>
      </c>
      <c r="F15376" s="5" t="s">
        <v>18418</v>
      </c>
      <c r="AH15376" s="4" t="str">
        <f>HYPERLINK("#Statut_biogéographique!A"&amp;_xlfn.XMATCH("P",Statut_biogéographique!A:A,2,1),"P")</f>
        <v>P</v>
      </c>
      <c r="AP15376" s="4" t="s">
        <v>376</v>
      </c>
      <c r="AR15376" s="4" t="s">
        <v>377</v>
      </c>
    </row>
    <row r="15377" spans="1:44" ht="30">
      <c r="A15377" s="4" t="s">
        <v>10753</v>
      </c>
      <c r="B15377" s="4">
        <v>248727</v>
      </c>
      <c r="D15377" s="5" t="s">
        <v>18419</v>
      </c>
      <c r="E15377" s="6" t="str">
        <f>HYPERLINK("https://inpn.mnhn.fr/espece/cd_nom/248727","Mesotype didymata (Linnaeus, 1758)")</f>
        <v>Mesotype didymata (Linnaeus, 1758)</v>
      </c>
      <c r="F15377" s="5" t="s">
        <v>18420</v>
      </c>
      <c r="AH15377" s="4" t="str">
        <f>HYPERLINK("#Statut_biogéographique!A"&amp;_xlfn.XMATCH("P",Statut_biogéographique!A:A,2,1),"P")</f>
        <v>P</v>
      </c>
      <c r="AP15377" s="4" t="s">
        <v>376</v>
      </c>
      <c r="AR15377" s="4" t="s">
        <v>377</v>
      </c>
    </row>
    <row r="15378" spans="1:44">
      <c r="A15378" s="4" t="s">
        <v>10753</v>
      </c>
      <c r="B15378" s="4">
        <v>248728</v>
      </c>
      <c r="D15378" s="5" t="s">
        <v>18421</v>
      </c>
      <c r="E15378" s="6" t="str">
        <f>HYPERLINK("https://inpn.mnhn.fr/espece/cd_nom/248728","Mesotype parallelolineata (Retzius, 1783)")</f>
        <v>Mesotype parallelolineata (Retzius, 1783)</v>
      </c>
      <c r="F15378" s="5" t="s">
        <v>18422</v>
      </c>
      <c r="AH15378" s="4" t="str">
        <f>HYPERLINK("#Statut_biogéographique!A"&amp;_xlfn.XMATCH("P",Statut_biogéographique!A:A,2,1),"P")</f>
        <v>P</v>
      </c>
      <c r="AP15378" s="4" t="s">
        <v>376</v>
      </c>
      <c r="AR15378" s="4" t="s">
        <v>377</v>
      </c>
    </row>
    <row r="15379" spans="1:44" ht="30">
      <c r="A15379" s="4" t="s">
        <v>10753</v>
      </c>
      <c r="B15379" s="4">
        <v>248729</v>
      </c>
      <c r="D15379" s="5" t="s">
        <v>18423</v>
      </c>
      <c r="E15379" s="6" t="str">
        <f>HYPERLINK("https://inpn.mnhn.fr/espece/cd_nom/248729","Mesotype verberata (Scopoli, 1763)")</f>
        <v>Mesotype verberata (Scopoli, 1763)</v>
      </c>
      <c r="F15379" s="5" t="s">
        <v>18424</v>
      </c>
      <c r="AH15379" s="4" t="str">
        <f>HYPERLINK("#Statut_biogéographique!A"&amp;_xlfn.XMATCH("P",Statut_biogéographique!A:A,2,1),"P")</f>
        <v>P</v>
      </c>
      <c r="AP15379" s="4" t="s">
        <v>376</v>
      </c>
      <c r="AR15379" s="4" t="s">
        <v>377</v>
      </c>
    </row>
    <row r="15380" spans="1:44">
      <c r="A15380" s="4" t="s">
        <v>10753</v>
      </c>
      <c r="B15380" s="4">
        <v>248731</v>
      </c>
      <c r="D15380" s="5" t="s">
        <v>18425</v>
      </c>
      <c r="E15380" s="6" t="str">
        <f>HYPERLINK("https://inpn.mnhn.fr/espece/cd_nom/248731","Perizoma affinitata (Stephens, 1831)")</f>
        <v>Perizoma affinitata (Stephens, 1831)</v>
      </c>
      <c r="F15380" s="5" t="s">
        <v>18426</v>
      </c>
      <c r="AH15380" s="4" t="str">
        <f>HYPERLINK("#Statut_biogéographique!A"&amp;_xlfn.XMATCH("P",Statut_biogéographique!A:A,2,1),"P")</f>
        <v>P</v>
      </c>
      <c r="AP15380" s="4" t="s">
        <v>376</v>
      </c>
      <c r="AR15380" s="4" t="s">
        <v>377</v>
      </c>
    </row>
    <row r="15381" spans="1:44" ht="30">
      <c r="A15381" s="4" t="s">
        <v>10753</v>
      </c>
      <c r="B15381" s="4">
        <v>248732</v>
      </c>
      <c r="D15381" s="5" t="s">
        <v>18427</v>
      </c>
      <c r="E15381" s="6" t="str">
        <f>HYPERLINK("https://inpn.mnhn.fr/espece/cd_nom/248732","Perizoma alchemillata (Linnaeus, 1758)")</f>
        <v>Perizoma alchemillata (Linnaeus, 1758)</v>
      </c>
      <c r="F15381" s="5" t="s">
        <v>18428</v>
      </c>
      <c r="AH15381" s="4" t="str">
        <f>HYPERLINK("#Statut_biogéographique!A"&amp;_xlfn.XMATCH("P",Statut_biogéographique!A:A,2,1),"P")</f>
        <v>P</v>
      </c>
      <c r="AP15381" s="4" t="s">
        <v>376</v>
      </c>
      <c r="AR15381" s="4" t="s">
        <v>377</v>
      </c>
    </row>
    <row r="15382" spans="1:44" ht="30">
      <c r="A15382" s="4" t="s">
        <v>10753</v>
      </c>
      <c r="B15382" s="4">
        <v>248733</v>
      </c>
      <c r="D15382" s="5" t="s">
        <v>18429</v>
      </c>
      <c r="E15382" s="6" t="str">
        <f>HYPERLINK("https://inpn.mnhn.fr/espece/cd_nom/248733","Perizoma hydrata (Treitschke, 1829)")</f>
        <v>Perizoma hydrata (Treitschke, 1829)</v>
      </c>
      <c r="F15382" s="5" t="s">
        <v>18430</v>
      </c>
      <c r="AH15382" s="4" t="str">
        <f>HYPERLINK("#Statut_biogéographique!A"&amp;_xlfn.XMATCH("P",Statut_biogéographique!A:A,2,1),"P")</f>
        <v>P</v>
      </c>
      <c r="AP15382" s="4" t="s">
        <v>376</v>
      </c>
      <c r="AR15382" s="4" t="s">
        <v>377</v>
      </c>
    </row>
    <row r="15383" spans="1:44">
      <c r="A15383" s="4" t="s">
        <v>10753</v>
      </c>
      <c r="B15383" s="4">
        <v>248734</v>
      </c>
      <c r="D15383" s="5" t="s">
        <v>18431</v>
      </c>
      <c r="E15383" s="6" t="str">
        <f>HYPERLINK("https://inpn.mnhn.fr/espece/cd_nom/248734","Perizoma lugdunaria (Herrich-Schäffer, 1855)")</f>
        <v>Perizoma lugdunaria (Herrich-Schäffer, 1855)</v>
      </c>
      <c r="F15383" s="5" t="s">
        <v>18432</v>
      </c>
      <c r="AH15383" s="4" t="str">
        <f>HYPERLINK("#Statut_biogéographique!A"&amp;_xlfn.XMATCH("P",Statut_biogéographique!A:A,2,1),"P")</f>
        <v>P</v>
      </c>
      <c r="AP15383" s="4" t="s">
        <v>376</v>
      </c>
      <c r="AR15383" s="4" t="s">
        <v>377</v>
      </c>
    </row>
    <row r="15384" spans="1:44" ht="30">
      <c r="A15384" s="4" t="s">
        <v>10753</v>
      </c>
      <c r="B15384" s="4">
        <v>248735</v>
      </c>
      <c r="D15384" s="5" t="s">
        <v>18433</v>
      </c>
      <c r="E15384" s="6" t="str">
        <f>HYPERLINK("https://inpn.mnhn.fr/espece/cd_nom/248735","Perizoma bifaciata (Haworth, 1809)")</f>
        <v>Perizoma bifaciata (Haworth, 1809)</v>
      </c>
      <c r="F15384" s="5" t="s">
        <v>18434</v>
      </c>
      <c r="AH15384" s="4" t="str">
        <f>HYPERLINK("#Statut_biogéographique!A"&amp;_xlfn.XMATCH("P",Statut_biogéographique!A:A,2,1),"P")</f>
        <v>P</v>
      </c>
      <c r="AP15384" s="4" t="s">
        <v>376</v>
      </c>
      <c r="AR15384" s="4" t="s">
        <v>377</v>
      </c>
    </row>
    <row r="15385" spans="1:44" ht="30">
      <c r="A15385" s="4" t="s">
        <v>10753</v>
      </c>
      <c r="B15385" s="4">
        <v>248736</v>
      </c>
      <c r="D15385" s="5" t="s">
        <v>18435</v>
      </c>
      <c r="E15385" s="6" t="str">
        <f>HYPERLINK("https://inpn.mnhn.fr/espece/cd_nom/248736","Perizoma minorata (Treitschke, 1828)")</f>
        <v>Perizoma minorata (Treitschke, 1828)</v>
      </c>
      <c r="F15385" s="5" t="s">
        <v>18436</v>
      </c>
      <c r="AH15385" s="4" t="str">
        <f>HYPERLINK("#Statut_biogéographique!A"&amp;_xlfn.XMATCH("P",Statut_biogéographique!A:A,2,1),"P")</f>
        <v>P</v>
      </c>
      <c r="AP15385" s="4" t="s">
        <v>376</v>
      </c>
      <c r="AR15385" s="4" t="s">
        <v>377</v>
      </c>
    </row>
    <row r="15386" spans="1:44" ht="30">
      <c r="A15386" s="4" t="s">
        <v>10753</v>
      </c>
      <c r="B15386" s="4">
        <v>248737</v>
      </c>
      <c r="D15386" s="5" t="s">
        <v>18437</v>
      </c>
      <c r="E15386" s="6" t="str">
        <f>HYPERLINK("https://inpn.mnhn.fr/espece/cd_nom/248737","Perizoma blandiata (Denis &amp; Schiffermüller, 1775)")</f>
        <v>Perizoma blandiata (Denis &amp; Schiffermüller, 1775)</v>
      </c>
      <c r="F15386" s="5" t="s">
        <v>18438</v>
      </c>
      <c r="AH15386" s="4" t="str">
        <f>HYPERLINK("#Statut_biogéographique!A"&amp;_xlfn.XMATCH("P",Statut_biogéographique!A:A,2,1),"P")</f>
        <v>P</v>
      </c>
      <c r="AP15386" s="4" t="s">
        <v>376</v>
      </c>
      <c r="AR15386" s="4" t="s">
        <v>377</v>
      </c>
    </row>
    <row r="15387" spans="1:44" ht="30">
      <c r="A15387" s="4" t="s">
        <v>10753</v>
      </c>
      <c r="B15387" s="4">
        <v>248738</v>
      </c>
      <c r="D15387" s="5" t="s">
        <v>18439</v>
      </c>
      <c r="E15387" s="6" t="str">
        <f>HYPERLINK("https://inpn.mnhn.fr/espece/cd_nom/248738","Perizoma albulata (Denis &amp; Schiffermüller, 1775)")</f>
        <v>Perizoma albulata (Denis &amp; Schiffermüller, 1775)</v>
      </c>
      <c r="F15387" s="5" t="s">
        <v>18440</v>
      </c>
      <c r="AH15387" s="4" t="str">
        <f>HYPERLINK("#Statut_biogéographique!A"&amp;_xlfn.XMATCH("P",Statut_biogéographique!A:A,2,1),"P")</f>
        <v>P</v>
      </c>
      <c r="AP15387" s="4" t="s">
        <v>376</v>
      </c>
      <c r="AR15387" s="4" t="s">
        <v>377</v>
      </c>
    </row>
    <row r="15388" spans="1:44" ht="30">
      <c r="A15388" s="4" t="s">
        <v>10753</v>
      </c>
      <c r="B15388" s="4">
        <v>248739</v>
      </c>
      <c r="D15388" s="5" t="s">
        <v>18441</v>
      </c>
      <c r="E15388" s="6" t="str">
        <f>HYPERLINK("https://inpn.mnhn.fr/espece/cd_nom/248739","Perizoma flavofasciata (Thunberg, 1792)")</f>
        <v>Perizoma flavofasciata (Thunberg, 1792)</v>
      </c>
      <c r="F15388" s="5" t="s">
        <v>18442</v>
      </c>
      <c r="AH15388" s="4" t="str">
        <f>HYPERLINK("#Statut_biogéographique!A"&amp;_xlfn.XMATCH("P",Statut_biogéographique!A:A,2,1),"P")</f>
        <v>P</v>
      </c>
      <c r="AP15388" s="4" t="s">
        <v>376</v>
      </c>
      <c r="AR15388" s="4" t="s">
        <v>377</v>
      </c>
    </row>
    <row r="15389" spans="1:44" ht="30">
      <c r="A15389" s="4" t="s">
        <v>10753</v>
      </c>
      <c r="B15389" s="4">
        <v>248740</v>
      </c>
      <c r="D15389" s="5" t="s">
        <v>18443</v>
      </c>
      <c r="E15389" s="6" t="str">
        <f>HYPERLINK("https://inpn.mnhn.fr/espece/cd_nom/248740","Perizoma obsoletata (Herrich-Schäffer, 1838)")</f>
        <v>Perizoma obsoletata (Herrich-Schäffer, 1838)</v>
      </c>
      <c r="F15389" s="5" t="s">
        <v>18444</v>
      </c>
      <c r="AH15389" s="4" t="str">
        <f>HYPERLINK("#Statut_biogéographique!A"&amp;_xlfn.XMATCH("P",Statut_biogéographique!A:A,2,1),"P")</f>
        <v>P</v>
      </c>
      <c r="AP15389" s="4" t="s">
        <v>376</v>
      </c>
      <c r="AR15389" s="4" t="s">
        <v>377</v>
      </c>
    </row>
    <row r="15390" spans="1:44">
      <c r="A15390" s="4" t="s">
        <v>10753</v>
      </c>
      <c r="B15390" s="4">
        <v>248741</v>
      </c>
      <c r="D15390" s="5" t="s">
        <v>18445</v>
      </c>
      <c r="E15390" s="6" t="str">
        <f>HYPERLINK("https://inpn.mnhn.fr/espece/cd_nom/248741","Perizoma incultaria (Herrich-Schäffer, 1848)")</f>
        <v>Perizoma incultaria (Herrich-Schäffer, 1848)</v>
      </c>
      <c r="F15390" s="5" t="s">
        <v>18446</v>
      </c>
      <c r="AH15390" s="4" t="str">
        <f>HYPERLINK("#Statut_biogéographique!A"&amp;_xlfn.XMATCH("P",Statut_biogéographique!A:A,2,1),"P")</f>
        <v>P</v>
      </c>
      <c r="AP15390" s="4" t="s">
        <v>376</v>
      </c>
      <c r="AR15390" s="4" t="s">
        <v>377</v>
      </c>
    </row>
    <row r="15391" spans="1:44" ht="30">
      <c r="A15391" s="4" t="s">
        <v>10753</v>
      </c>
      <c r="B15391" s="4">
        <v>248742</v>
      </c>
      <c r="D15391" s="5" t="s">
        <v>18447</v>
      </c>
      <c r="E15391" s="6" t="str">
        <f>HYPERLINK("https://inpn.mnhn.fr/espece/cd_nom/248742","Philereme vetulata (Denis &amp; Schiffermüller, 1775)")</f>
        <v>Philereme vetulata (Denis &amp; Schiffermüller, 1775)</v>
      </c>
      <c r="F15391" s="5" t="s">
        <v>18448</v>
      </c>
      <c r="AH15391" s="4" t="str">
        <f>HYPERLINK("#Statut_biogéographique!A"&amp;_xlfn.XMATCH("P",Statut_biogéographique!A:A,2,1),"P")</f>
        <v>P</v>
      </c>
      <c r="AP15391" s="4" t="s">
        <v>376</v>
      </c>
      <c r="AR15391" s="4" t="s">
        <v>377</v>
      </c>
    </row>
    <row r="15392" spans="1:44" ht="30">
      <c r="A15392" s="4" t="s">
        <v>10753</v>
      </c>
      <c r="B15392" s="4">
        <v>248743</v>
      </c>
      <c r="D15392" s="5" t="s">
        <v>18449</v>
      </c>
      <c r="E15392" s="6" t="str">
        <f>HYPERLINK("https://inpn.mnhn.fr/espece/cd_nom/248743","Philereme transversata (Hufnagel, 1767)")</f>
        <v>Philereme transversata (Hufnagel, 1767)</v>
      </c>
      <c r="F15392" s="5" t="s">
        <v>18450</v>
      </c>
      <c r="AH15392" s="4" t="str">
        <f>HYPERLINK("#Statut_biogéographique!A"&amp;_xlfn.XMATCH("P",Statut_biogéographique!A:A,2,1),"P")</f>
        <v>P</v>
      </c>
      <c r="AP15392" s="4" t="s">
        <v>376</v>
      </c>
      <c r="AR15392" s="4" t="s">
        <v>377</v>
      </c>
    </row>
    <row r="15393" spans="1:44" ht="30">
      <c r="A15393" s="4" t="s">
        <v>10753</v>
      </c>
      <c r="B15393" s="4">
        <v>248744</v>
      </c>
      <c r="D15393" s="5" t="s">
        <v>18451</v>
      </c>
      <c r="E15393" s="6" t="str">
        <f>HYPERLINK("https://inpn.mnhn.fr/espece/cd_nom/248744","Triphosa sabaudiata (Duponchel, 1830)")</f>
        <v>Triphosa sabaudiata (Duponchel, 1830)</v>
      </c>
      <c r="F15393" s="5" t="s">
        <v>18452</v>
      </c>
      <c r="AH15393" s="4" t="str">
        <f>HYPERLINK("#Statut_biogéographique!A"&amp;_xlfn.XMATCH("P",Statut_biogéographique!A:A,2,1),"P")</f>
        <v>P</v>
      </c>
      <c r="AP15393" s="4" t="s">
        <v>376</v>
      </c>
      <c r="AR15393" s="4" t="s">
        <v>377</v>
      </c>
    </row>
    <row r="15394" spans="1:44" ht="30">
      <c r="A15394" s="4" t="s">
        <v>10753</v>
      </c>
      <c r="B15394" s="4">
        <v>248745</v>
      </c>
      <c r="D15394" s="5" t="s">
        <v>18453</v>
      </c>
      <c r="E15394" s="6" t="str">
        <f>HYPERLINK("https://inpn.mnhn.fr/espece/cd_nom/248745","Triphosa dubitata (Linnaeus, 1758)")</f>
        <v>Triphosa dubitata (Linnaeus, 1758)</v>
      </c>
      <c r="F15394" s="5" t="s">
        <v>18454</v>
      </c>
      <c r="AH15394" s="4" t="str">
        <f>HYPERLINK("#Statut_biogéographique!A"&amp;_xlfn.XMATCH("P",Statut_biogéographique!A:A,2,1),"P")</f>
        <v>P</v>
      </c>
      <c r="AP15394" s="4" t="s">
        <v>376</v>
      </c>
      <c r="AR15394" s="4" t="s">
        <v>377</v>
      </c>
    </row>
    <row r="15395" spans="1:44">
      <c r="A15395" s="4" t="s">
        <v>10753</v>
      </c>
      <c r="B15395" s="4">
        <v>248750</v>
      </c>
      <c r="D15395" s="5" t="s">
        <v>18455</v>
      </c>
      <c r="E15395" s="6" t="str">
        <f>HYPERLINK("https://inpn.mnhn.fr/espece/cd_nom/248750","Rheumaptera hastata (Linnaeus, 1758)")</f>
        <v>Rheumaptera hastata (Linnaeus, 1758)</v>
      </c>
      <c r="F15395" s="5" t="s">
        <v>18456</v>
      </c>
      <c r="AH15395" s="4" t="str">
        <f>HYPERLINK("#Statut_biogéographique!A"&amp;_xlfn.XMATCH("P",Statut_biogéographique!A:A,2,1),"P")</f>
        <v>P</v>
      </c>
      <c r="AP15395" s="4" t="s">
        <v>376</v>
      </c>
      <c r="AR15395" s="4" t="s">
        <v>377</v>
      </c>
    </row>
    <row r="15396" spans="1:44">
      <c r="A15396" s="4" t="s">
        <v>10753</v>
      </c>
      <c r="B15396" s="4">
        <v>248751</v>
      </c>
      <c r="D15396" s="5" t="s">
        <v>18457</v>
      </c>
      <c r="E15396" s="6" t="str">
        <f>HYPERLINK("https://inpn.mnhn.fr/espece/cd_nom/248751","Rheumaptera subhastata (Nolcken, 1870)")</f>
        <v>Rheumaptera subhastata (Nolcken, 1870)</v>
      </c>
      <c r="F15396" s="5" t="s">
        <v>18458</v>
      </c>
      <c r="AH15396" s="4" t="str">
        <f>HYPERLINK("#Statut_biogéographique!A"&amp;_xlfn.XMATCH("P",Statut_biogéographique!A:A,2,1),"P")</f>
        <v>P</v>
      </c>
      <c r="AP15396" s="4" t="s">
        <v>376</v>
      </c>
      <c r="AR15396" s="4" t="s">
        <v>377</v>
      </c>
    </row>
    <row r="15397" spans="1:44" ht="30">
      <c r="A15397" s="4" t="s">
        <v>10753</v>
      </c>
      <c r="B15397" s="4">
        <v>248752</v>
      </c>
      <c r="D15397" s="5" t="s">
        <v>18459</v>
      </c>
      <c r="E15397" s="6" t="str">
        <f>HYPERLINK("https://inpn.mnhn.fr/espece/cd_nom/248752","Pareulype berberata (Denis &amp; Schiffermüller, 1775)")</f>
        <v>Pareulype berberata (Denis &amp; Schiffermüller, 1775)</v>
      </c>
      <c r="F15397" s="5" t="s">
        <v>18460</v>
      </c>
      <c r="AH15397" s="4" t="str">
        <f>HYPERLINK("#Statut_biogéographique!A"&amp;_xlfn.XMATCH("P",Statut_biogéographique!A:A,2,1),"P")</f>
        <v>P</v>
      </c>
      <c r="AP15397" s="4" t="s">
        <v>376</v>
      </c>
      <c r="AR15397" s="4" t="s">
        <v>377</v>
      </c>
    </row>
    <row r="15398" spans="1:44">
      <c r="A15398" s="4" t="s">
        <v>10753</v>
      </c>
      <c r="B15398" s="4">
        <v>248757</v>
      </c>
      <c r="D15398" s="5" t="s">
        <v>18461</v>
      </c>
      <c r="E15398" s="6" t="str">
        <f>HYPERLINK("https://inpn.mnhn.fr/espece/cd_nom/248757","Acasis viretata (Hübner, 1799)")</f>
        <v>Acasis viretata (Hübner, 1799)</v>
      </c>
      <c r="F15398" s="5" t="s">
        <v>18462</v>
      </c>
      <c r="AH15398" s="4" t="str">
        <f>HYPERLINK("#Statut_biogéographique!A"&amp;_xlfn.XMATCH("P",Statut_biogéographique!A:A,2,1),"P")</f>
        <v>P</v>
      </c>
      <c r="AP15398" s="4" t="s">
        <v>376</v>
      </c>
      <c r="AR15398" s="4" t="s">
        <v>377</v>
      </c>
    </row>
    <row r="15399" spans="1:44">
      <c r="A15399" s="4" t="s">
        <v>10753</v>
      </c>
      <c r="B15399" s="4">
        <v>248759</v>
      </c>
      <c r="D15399" s="5" t="s">
        <v>18463</v>
      </c>
      <c r="E15399" s="6" t="str">
        <f>HYPERLINK("https://inpn.mnhn.fr/espece/cd_nom/248759","Nothocasis sertata (Hübner, 1817)")</f>
        <v>Nothocasis sertata (Hübner, 1817)</v>
      </c>
      <c r="F15399" s="5" t="s">
        <v>18464</v>
      </c>
      <c r="AH15399" s="4" t="str">
        <f>HYPERLINK("#Statut_biogéographique!A"&amp;_xlfn.XMATCH("P",Statut_biogéographique!A:A,2,1),"P")</f>
        <v>P</v>
      </c>
      <c r="AP15399" s="4" t="s">
        <v>376</v>
      </c>
      <c r="AR15399" s="4" t="s">
        <v>377</v>
      </c>
    </row>
    <row r="15400" spans="1:44">
      <c r="A15400" s="4" t="s">
        <v>10753</v>
      </c>
      <c r="B15400" s="4">
        <v>248760</v>
      </c>
      <c r="D15400" s="5" t="s">
        <v>18465</v>
      </c>
      <c r="E15400" s="6" t="str">
        <f>HYPERLINK("https://inpn.mnhn.fr/espece/cd_nom/248760","Pterapherapteryx sexalata (Retzius, 1783)")</f>
        <v>Pterapherapteryx sexalata (Retzius, 1783)</v>
      </c>
      <c r="F15400" s="5" t="s">
        <v>18466</v>
      </c>
      <c r="AH15400" s="4" t="str">
        <f>HYPERLINK("#Statut_biogéographique!A"&amp;_xlfn.XMATCH("P",Statut_biogéographique!A:A,2,1),"P")</f>
        <v>P</v>
      </c>
      <c r="AP15400" s="4" t="s">
        <v>376</v>
      </c>
      <c r="AR15400" s="4" t="s">
        <v>377</v>
      </c>
    </row>
    <row r="15401" spans="1:44">
      <c r="A15401" s="4" t="s">
        <v>10753</v>
      </c>
      <c r="B15401" s="4">
        <v>248761</v>
      </c>
      <c r="D15401" s="5" t="s">
        <v>18467</v>
      </c>
      <c r="E15401" s="6" t="str">
        <f>HYPERLINK("https://inpn.mnhn.fr/espece/cd_nom/248761","Epilobophora sabinata (Geyer, 1831)")</f>
        <v>Epilobophora sabinata (Geyer, 1831)</v>
      </c>
      <c r="F15401" s="5" t="s">
        <v>18468</v>
      </c>
      <c r="AH15401" s="4" t="str">
        <f>HYPERLINK("#Statut_biogéographique!A"&amp;_xlfn.XMATCH("P",Statut_biogéographique!A:A,2,1),"P")</f>
        <v>P</v>
      </c>
      <c r="AP15401" s="4" t="s">
        <v>376</v>
      </c>
      <c r="AR15401" s="4" t="s">
        <v>377</v>
      </c>
    </row>
    <row r="15402" spans="1:44" ht="30">
      <c r="A15402" s="4" t="s">
        <v>10753</v>
      </c>
      <c r="B15402" s="4">
        <v>248762</v>
      </c>
      <c r="D15402" s="5" t="s">
        <v>18469</v>
      </c>
      <c r="E15402" s="6" t="str">
        <f>HYPERLINK("https://inpn.mnhn.fr/espece/cd_nom/248762","Trichopteryx polycommata (Denis &amp; Schiffermüller, 1775)")</f>
        <v>Trichopteryx polycommata (Denis &amp; Schiffermüller, 1775)</v>
      </c>
      <c r="F15402" s="5" t="s">
        <v>18470</v>
      </c>
      <c r="AH15402" s="4" t="str">
        <f>HYPERLINK("#Statut_biogéographique!A"&amp;_xlfn.XMATCH("P",Statut_biogéographique!A:A,2,1),"P")</f>
        <v>P</v>
      </c>
      <c r="AP15402" s="4" t="s">
        <v>376</v>
      </c>
      <c r="AR15402" s="4" t="s">
        <v>377</v>
      </c>
    </row>
    <row r="15403" spans="1:44">
      <c r="A15403" s="4" t="s">
        <v>10753</v>
      </c>
      <c r="B15403" s="4">
        <v>248763</v>
      </c>
      <c r="D15403" s="5" t="s">
        <v>18471</v>
      </c>
      <c r="E15403" s="6" t="str">
        <f>HYPERLINK("https://inpn.mnhn.fr/espece/cd_nom/248763","Trichopteryx carpinata (Borkhausen, 1794)")</f>
        <v>Trichopteryx carpinata (Borkhausen, 1794)</v>
      </c>
      <c r="F15403" s="5" t="s">
        <v>18472</v>
      </c>
      <c r="AH15403" s="4" t="str">
        <f>HYPERLINK("#Statut_biogéographique!A"&amp;_xlfn.XMATCH("P",Statut_biogéographique!A:A,2,1),"P")</f>
        <v>P</v>
      </c>
      <c r="AP15403" s="4" t="s">
        <v>376</v>
      </c>
      <c r="AR15403" s="4" t="s">
        <v>377</v>
      </c>
    </row>
    <row r="15404" spans="1:44">
      <c r="A15404" s="4" t="s">
        <v>10753</v>
      </c>
      <c r="B15404" s="4">
        <v>248764</v>
      </c>
      <c r="D15404" s="5" t="s">
        <v>18473</v>
      </c>
      <c r="E15404" s="6" t="str">
        <f>HYPERLINK("https://inpn.mnhn.fr/espece/cd_nom/248764","Lobophora halterata (Hufnagel, 1767)")</f>
        <v>Lobophora halterata (Hufnagel, 1767)</v>
      </c>
      <c r="F15404" s="5" t="s">
        <v>18474</v>
      </c>
      <c r="AH15404" s="4" t="str">
        <f>HYPERLINK("#Statut_biogéographique!A"&amp;_xlfn.XMATCH("P",Statut_biogéographique!A:A,2,1),"P")</f>
        <v>P</v>
      </c>
      <c r="AP15404" s="4" t="s">
        <v>376</v>
      </c>
      <c r="AR15404" s="4" t="s">
        <v>377</v>
      </c>
    </row>
    <row r="15405" spans="1:44" ht="30">
      <c r="A15405" s="4" t="s">
        <v>10753</v>
      </c>
      <c r="B15405" s="4">
        <v>248765</v>
      </c>
      <c r="D15405" s="5" t="s">
        <v>18475</v>
      </c>
      <c r="E15405" s="6" t="str">
        <f>HYPERLINK("https://inpn.mnhn.fr/espece/cd_nom/248765","Camptogramma bilineata (Linnaeus, 1758)")</f>
        <v>Camptogramma bilineata (Linnaeus, 1758)</v>
      </c>
      <c r="F15405" s="5" t="s">
        <v>18476</v>
      </c>
      <c r="AH15405" s="4" t="str">
        <f>HYPERLINK("#Statut_biogéographique!A"&amp;_xlfn.XMATCH("P",Statut_biogéographique!A:A,2,1),"P")</f>
        <v>P</v>
      </c>
      <c r="AP15405" s="4" t="s">
        <v>376</v>
      </c>
      <c r="AR15405" s="4" t="s">
        <v>377</v>
      </c>
    </row>
    <row r="15406" spans="1:44">
      <c r="A15406" s="4" t="s">
        <v>10753</v>
      </c>
      <c r="B15406" s="4">
        <v>248766</v>
      </c>
      <c r="D15406" s="5" t="s">
        <v>18477</v>
      </c>
      <c r="E15406" s="6" t="str">
        <f>HYPERLINK("https://inpn.mnhn.fr/espece/cd_nom/248766","Camptogramma scripturata (Hübner, 1799)")</f>
        <v>Camptogramma scripturata (Hübner, 1799)</v>
      </c>
      <c r="F15406" s="5" t="s">
        <v>18478</v>
      </c>
      <c r="AH15406" s="4" t="str">
        <f>HYPERLINK("#Statut_biogéographique!A"&amp;_xlfn.XMATCH("P",Statut_biogéographique!A:A,2,1),"P")</f>
        <v>P</v>
      </c>
      <c r="AP15406" s="4" t="s">
        <v>376</v>
      </c>
      <c r="AR15406" s="4" t="s">
        <v>377</v>
      </c>
    </row>
    <row r="15407" spans="1:44" ht="30">
      <c r="A15407" s="4" t="s">
        <v>10753</v>
      </c>
      <c r="B15407" s="4">
        <v>248767</v>
      </c>
      <c r="D15407" s="5" t="s">
        <v>18479</v>
      </c>
      <c r="E15407" s="6" t="str">
        <f>HYPERLINK("https://inpn.mnhn.fr/espece/cd_nom/248767","Costaconvexa polygrammata (Borkhausen, 1794)")</f>
        <v>Costaconvexa polygrammata (Borkhausen, 1794)</v>
      </c>
      <c r="F15407" s="5" t="s">
        <v>18480</v>
      </c>
      <c r="AH15407" s="4" t="str">
        <f>HYPERLINK("#Statut_biogéographique!A"&amp;_xlfn.XMATCH("P",Statut_biogéographique!A:A,2,1),"P")</f>
        <v>P</v>
      </c>
      <c r="AP15407" s="4" t="s">
        <v>376</v>
      </c>
      <c r="AR15407" s="4" t="s">
        <v>377</v>
      </c>
    </row>
    <row r="15408" spans="1:44">
      <c r="A15408" s="4" t="s">
        <v>10753</v>
      </c>
      <c r="B15408" s="4">
        <v>248768</v>
      </c>
      <c r="D15408" s="5" t="s">
        <v>18481</v>
      </c>
      <c r="E15408" s="6" t="str">
        <f>HYPERLINK("https://inpn.mnhn.fr/espece/cd_nom/248768","Protorhoe corollaria (Herrich-Schäffer, 1848)")</f>
        <v>Protorhoe corollaria (Herrich-Schäffer, 1848)</v>
      </c>
      <c r="F15408" s="5" t="s">
        <v>18482</v>
      </c>
      <c r="AH15408" s="4" t="str">
        <f>HYPERLINK("#Statut_biogéographique!A"&amp;_xlfn.XMATCH("P",Statut_biogéographique!A:A,2,1),"P")</f>
        <v>P</v>
      </c>
      <c r="AP15408" s="4" t="s">
        <v>376</v>
      </c>
      <c r="AR15408" s="4" t="s">
        <v>377</v>
      </c>
    </row>
    <row r="15409" spans="1:44">
      <c r="A15409" s="4" t="s">
        <v>10753</v>
      </c>
      <c r="B15409" s="4">
        <v>248769</v>
      </c>
      <c r="D15409" s="5" t="s">
        <v>18483</v>
      </c>
      <c r="E15409" s="6" t="str">
        <f>HYPERLINK("https://inpn.mnhn.fr/espece/cd_nom/248769","Epirrhoe tristata (Linnaeus, 1758)")</f>
        <v>Epirrhoe tristata (Linnaeus, 1758)</v>
      </c>
      <c r="F15409" s="5" t="s">
        <v>18484</v>
      </c>
      <c r="AH15409" s="4" t="str">
        <f>HYPERLINK("#Statut_biogéographique!A"&amp;_xlfn.XMATCH("P",Statut_biogéographique!A:A,2,1),"P")</f>
        <v>P</v>
      </c>
      <c r="AP15409" s="4" t="s">
        <v>376</v>
      </c>
      <c r="AR15409" s="4" t="s">
        <v>377</v>
      </c>
    </row>
    <row r="15410" spans="1:44">
      <c r="A15410" s="4" t="s">
        <v>10753</v>
      </c>
      <c r="B15410" s="4">
        <v>248770</v>
      </c>
      <c r="D15410" s="5" t="s">
        <v>18485</v>
      </c>
      <c r="E15410" s="6" t="str">
        <f>HYPERLINK("https://inpn.mnhn.fr/espece/cd_nom/248770","Epirrhoe pupillata (Thunberg, 1788)")</f>
        <v>Epirrhoe pupillata (Thunberg, 1788)</v>
      </c>
      <c r="F15410" s="5" t="s">
        <v>18486</v>
      </c>
      <c r="AH15410" s="4" t="str">
        <f>HYPERLINK("#Statut_biogéographique!A"&amp;_xlfn.XMATCH("P",Statut_biogéographique!A:A,2,1),"P")</f>
        <v>P</v>
      </c>
      <c r="AP15410" s="4" t="s">
        <v>376</v>
      </c>
      <c r="AR15410" s="4" t="s">
        <v>377</v>
      </c>
    </row>
    <row r="15411" spans="1:44" ht="30">
      <c r="A15411" s="4" t="s">
        <v>10753</v>
      </c>
      <c r="B15411" s="4">
        <v>248771</v>
      </c>
      <c r="D15411" s="5" t="s">
        <v>18487</v>
      </c>
      <c r="E15411" s="6" t="str">
        <f>HYPERLINK("https://inpn.mnhn.fr/espece/cd_nom/248771","Epirrhoe alternata (O.F. Müller, 1764)")</f>
        <v>Epirrhoe alternata (O.F. Müller, 1764)</v>
      </c>
      <c r="F15411" s="5" t="s">
        <v>18488</v>
      </c>
      <c r="AH15411" s="4" t="str">
        <f>HYPERLINK("#Statut_biogéographique!A"&amp;_xlfn.XMATCH("P",Statut_biogéographique!A:A,2,1),"P")</f>
        <v>P</v>
      </c>
      <c r="AP15411" s="4" t="s">
        <v>376</v>
      </c>
      <c r="AR15411" s="4" t="s">
        <v>377</v>
      </c>
    </row>
    <row r="15412" spans="1:44" ht="30">
      <c r="A15412" s="4" t="s">
        <v>10753</v>
      </c>
      <c r="B15412" s="4">
        <v>248772</v>
      </c>
      <c r="D15412" s="5" t="s">
        <v>18489</v>
      </c>
      <c r="E15412" s="6" t="str">
        <f>HYPERLINK("https://inpn.mnhn.fr/espece/cd_nom/248772","Epirrhoe rivata (Hübner, 1813)")</f>
        <v>Epirrhoe rivata (Hübner, 1813)</v>
      </c>
      <c r="F15412" s="5" t="s">
        <v>18490</v>
      </c>
      <c r="AH15412" s="4" t="str">
        <f>HYPERLINK("#Statut_biogéographique!A"&amp;_xlfn.XMATCH("P",Statut_biogéographique!A:A,2,1),"P")</f>
        <v>P</v>
      </c>
      <c r="AP15412" s="4" t="s">
        <v>376</v>
      </c>
      <c r="AR15412" s="4" t="s">
        <v>377</v>
      </c>
    </row>
    <row r="15413" spans="1:44">
      <c r="A15413" s="4" t="s">
        <v>10753</v>
      </c>
      <c r="B15413" s="4">
        <v>248773</v>
      </c>
      <c r="D15413" s="5" t="s">
        <v>18491</v>
      </c>
      <c r="E15413" s="6" t="str">
        <f>HYPERLINK("https://inpn.mnhn.fr/espece/cd_nom/248773","Epirrhoe hastulata (Hübner, 1790)")</f>
        <v>Epirrhoe hastulata (Hübner, 1790)</v>
      </c>
      <c r="F15413" s="5" t="s">
        <v>18492</v>
      </c>
      <c r="AH15413" s="4" t="str">
        <f>HYPERLINK("#Statut_biogéographique!A"&amp;_xlfn.XMATCH("P",Statut_biogéographique!A:A,2,1),"P")</f>
        <v>P</v>
      </c>
      <c r="AP15413" s="4" t="s">
        <v>376</v>
      </c>
      <c r="AR15413" s="4" t="s">
        <v>377</v>
      </c>
    </row>
    <row r="15414" spans="1:44" ht="30">
      <c r="A15414" s="4" t="s">
        <v>10753</v>
      </c>
      <c r="B15414" s="4">
        <v>248774</v>
      </c>
      <c r="D15414" s="5" t="s">
        <v>18493</v>
      </c>
      <c r="E15414" s="6" t="str">
        <f>HYPERLINK("https://inpn.mnhn.fr/espece/cd_nom/248774","Epirrhoe molluginata (Hübner, 1813)")</f>
        <v>Epirrhoe molluginata (Hübner, 1813)</v>
      </c>
      <c r="F15414" s="5" t="s">
        <v>18494</v>
      </c>
      <c r="AH15414" s="4" t="str">
        <f>HYPERLINK("#Statut_biogéographique!A"&amp;_xlfn.XMATCH("P",Statut_biogéographique!A:A,2,1),"P")</f>
        <v>P</v>
      </c>
      <c r="AP15414" s="4" t="s">
        <v>376</v>
      </c>
      <c r="AR15414" s="4" t="s">
        <v>377</v>
      </c>
    </row>
    <row r="15415" spans="1:44" ht="30">
      <c r="A15415" s="4" t="s">
        <v>10753</v>
      </c>
      <c r="B15415" s="4">
        <v>248775</v>
      </c>
      <c r="D15415" s="5" t="s">
        <v>18495</v>
      </c>
      <c r="E15415" s="6" t="str">
        <f>HYPERLINK("https://inpn.mnhn.fr/espece/cd_nom/248775","Epirrhoe galiata (Denis &amp; Schiffermüller, 1775)")</f>
        <v>Epirrhoe galiata (Denis &amp; Schiffermüller, 1775)</v>
      </c>
      <c r="F15415" s="5" t="s">
        <v>18496</v>
      </c>
      <c r="AH15415" s="4" t="str">
        <f>HYPERLINK("#Statut_biogéographique!A"&amp;_xlfn.XMATCH("P",Statut_biogéographique!A:A,2,1),"P")</f>
        <v>P</v>
      </c>
      <c r="AP15415" s="4" t="s">
        <v>376</v>
      </c>
      <c r="AR15415" s="4" t="s">
        <v>377</v>
      </c>
    </row>
    <row r="15416" spans="1:44" ht="30">
      <c r="A15416" s="4" t="s">
        <v>10753</v>
      </c>
      <c r="B15416" s="4">
        <v>248781</v>
      </c>
      <c r="D15416" s="5" t="s">
        <v>18497</v>
      </c>
      <c r="E15416" s="6" t="str">
        <f>HYPERLINK("https://inpn.mnhn.fr/espece/cd_nom/248781","Catarhoe cuculata (Hufnagel, 1767)")</f>
        <v>Catarhoe cuculata (Hufnagel, 1767)</v>
      </c>
      <c r="F15416" s="5" t="s">
        <v>18498</v>
      </c>
      <c r="AH15416" s="4" t="str">
        <f>HYPERLINK("#Statut_biogéographique!A"&amp;_xlfn.XMATCH("P",Statut_biogéographique!A:A,2,1),"P")</f>
        <v>P</v>
      </c>
      <c r="AP15416" s="4" t="s">
        <v>376</v>
      </c>
      <c r="AR15416" s="4" t="s">
        <v>377</v>
      </c>
    </row>
    <row r="15417" spans="1:44" ht="30">
      <c r="A15417" s="4" t="s">
        <v>10753</v>
      </c>
      <c r="B15417" s="4">
        <v>248782</v>
      </c>
      <c r="D15417" s="5" t="s">
        <v>18499</v>
      </c>
      <c r="E15417" s="6" t="str">
        <f>HYPERLINK("https://inpn.mnhn.fr/espece/cd_nom/248782","Catarhoe rubidata (Denis &amp; Schiffermüller, 1775)")</f>
        <v>Catarhoe rubidata (Denis &amp; Schiffermüller, 1775)</v>
      </c>
      <c r="F15417" s="5" t="s">
        <v>18500</v>
      </c>
      <c r="AH15417" s="4" t="str">
        <f>HYPERLINK("#Statut_biogéographique!A"&amp;_xlfn.XMATCH("P",Statut_biogéographique!A:A,2,1),"P")</f>
        <v>P</v>
      </c>
      <c r="AP15417" s="4" t="s">
        <v>376</v>
      </c>
      <c r="AR15417" s="4" t="s">
        <v>377</v>
      </c>
    </row>
    <row r="15418" spans="1:44">
      <c r="A15418" s="4" t="s">
        <v>10753</v>
      </c>
      <c r="B15418" s="4">
        <v>248784</v>
      </c>
      <c r="D15418" s="5" t="s">
        <v>18501</v>
      </c>
      <c r="E15418" s="6" t="str">
        <f>HYPERLINK("https://inpn.mnhn.fr/espece/cd_nom/248784","Xanthorhoe fluctuata (Linnaeus, 1758)")</f>
        <v>Xanthorhoe fluctuata (Linnaeus, 1758)</v>
      </c>
      <c r="F15418" s="5" t="s">
        <v>18502</v>
      </c>
      <c r="AH15418" s="4" t="str">
        <f>HYPERLINK("#Statut_biogéographique!A"&amp;_xlfn.XMATCH("P",Statut_biogéographique!A:A,2,1),"P")</f>
        <v>P</v>
      </c>
      <c r="AP15418" s="4" t="s">
        <v>376</v>
      </c>
      <c r="AR15418" s="4" t="s">
        <v>377</v>
      </c>
    </row>
    <row r="15419" spans="1:44">
      <c r="A15419" s="4" t="s">
        <v>10753</v>
      </c>
      <c r="B15419" s="4">
        <v>248786</v>
      </c>
      <c r="D15419" s="5" t="s">
        <v>18503</v>
      </c>
      <c r="E15419" s="6" t="str">
        <f>HYPERLINK("https://inpn.mnhn.fr/espece/cd_nom/248786","Xanthorhoe incursata (Hübner, 1813)")</f>
        <v>Xanthorhoe incursata (Hübner, 1813)</v>
      </c>
      <c r="F15419" s="5" t="s">
        <v>18504</v>
      </c>
      <c r="AH15419" s="4" t="str">
        <f>HYPERLINK("#Statut_biogéographique!A"&amp;_xlfn.XMATCH("P",Statut_biogéographique!A:A,2,1),"P")</f>
        <v>P</v>
      </c>
      <c r="AP15419" s="4" t="s">
        <v>376</v>
      </c>
      <c r="AR15419" s="4" t="s">
        <v>377</v>
      </c>
    </row>
    <row r="15420" spans="1:44">
      <c r="A15420" s="4" t="s">
        <v>10753</v>
      </c>
      <c r="B15420" s="4">
        <v>248787</v>
      </c>
      <c r="D15420" s="5" t="s">
        <v>18505</v>
      </c>
      <c r="E15420" s="6" t="str">
        <f>HYPERLINK("https://inpn.mnhn.fr/espece/cd_nom/248787","Xanthorhoe biriviata (Borkhausen, 1794)")</f>
        <v>Xanthorhoe biriviata (Borkhausen, 1794)</v>
      </c>
      <c r="F15420" s="5" t="s">
        <v>18506</v>
      </c>
      <c r="AH15420" s="4" t="str">
        <f>HYPERLINK("#Statut_biogéographique!A"&amp;_xlfn.XMATCH("P",Statut_biogéographique!A:A,2,1),"P")</f>
        <v>P</v>
      </c>
      <c r="AP15420" s="4" t="s">
        <v>376</v>
      </c>
      <c r="AR15420" s="4" t="s">
        <v>377</v>
      </c>
    </row>
    <row r="15421" spans="1:44" ht="30">
      <c r="A15421" s="4" t="s">
        <v>10753</v>
      </c>
      <c r="B15421" s="4">
        <v>248788</v>
      </c>
      <c r="D15421" s="5" t="s">
        <v>18507</v>
      </c>
      <c r="E15421" s="6" t="str">
        <f>HYPERLINK("https://inpn.mnhn.fr/espece/cd_nom/248788","Xanthorhoe spadicearia (Denis &amp; Schiffermüller, 1775)")</f>
        <v>Xanthorhoe spadicearia (Denis &amp; Schiffermüller, 1775)</v>
      </c>
      <c r="F15421" s="5" t="s">
        <v>18508</v>
      </c>
      <c r="AH15421" s="4" t="str">
        <f>HYPERLINK("#Statut_biogéographique!A"&amp;_xlfn.XMATCH("P",Statut_biogéographique!A:A,2,1),"P")</f>
        <v>P</v>
      </c>
      <c r="AP15421" s="4" t="s">
        <v>376</v>
      </c>
      <c r="AR15421" s="4" t="s">
        <v>377</v>
      </c>
    </row>
    <row r="15422" spans="1:44" ht="30">
      <c r="A15422" s="4" t="s">
        <v>10753</v>
      </c>
      <c r="B15422" s="4">
        <v>248789</v>
      </c>
      <c r="D15422" s="5" t="s">
        <v>18509</v>
      </c>
      <c r="E15422" s="6" t="str">
        <f>HYPERLINK("https://inpn.mnhn.fr/espece/cd_nom/248789","Xanthorhoe ferrugata (Clerck, 1759)")</f>
        <v>Xanthorhoe ferrugata (Clerck, 1759)</v>
      </c>
      <c r="AH15422" s="4" t="str">
        <f>HYPERLINK("#Statut_biogéographique!A"&amp;_xlfn.XMATCH("P",Statut_biogéographique!A:A,2,1),"P")</f>
        <v>P</v>
      </c>
      <c r="AP15422" s="4" t="s">
        <v>376</v>
      </c>
      <c r="AR15422" s="4" t="s">
        <v>377</v>
      </c>
    </row>
    <row r="15423" spans="1:44">
      <c r="A15423" s="4" t="s">
        <v>10753</v>
      </c>
      <c r="B15423" s="4">
        <v>24879</v>
      </c>
      <c r="D15423" s="5" t="s">
        <v>18510</v>
      </c>
      <c r="E15423" s="6" t="str">
        <f>HYPERLINK("https://inpn.mnhn.fr/espece/cd_nom/24879","Herina palustris (Meigen, 1826)")</f>
        <v>Herina palustris (Meigen, 1826)</v>
      </c>
      <c r="AH15423" s="4" t="str">
        <f>HYPERLINK("#Statut_biogéographique!A"&amp;_xlfn.XMATCH("P",Statut_biogéographique!A:A,2,1),"P")</f>
        <v>P</v>
      </c>
      <c r="AP15423" s="4" t="s">
        <v>376</v>
      </c>
      <c r="AR15423" s="4" t="s">
        <v>377</v>
      </c>
    </row>
    <row r="15424" spans="1:44" ht="30">
      <c r="A15424" s="4" t="s">
        <v>10753</v>
      </c>
      <c r="B15424" s="4">
        <v>248790</v>
      </c>
      <c r="D15424" s="5" t="s">
        <v>18511</v>
      </c>
      <c r="E15424" s="6" t="str">
        <f>HYPERLINK("https://inpn.mnhn.fr/espece/cd_nom/248790","Xanthorhoe designata (Hufnagel, 1767)")</f>
        <v>Xanthorhoe designata (Hufnagel, 1767)</v>
      </c>
      <c r="F15424" s="5" t="s">
        <v>18512</v>
      </c>
      <c r="AH15424" s="4" t="str">
        <f>HYPERLINK("#Statut_biogéographique!A"&amp;_xlfn.XMATCH("P",Statut_biogéographique!A:A,2,1),"P")</f>
        <v>P</v>
      </c>
      <c r="AP15424" s="4" t="s">
        <v>376</v>
      </c>
      <c r="AR15424" s="4" t="s">
        <v>377</v>
      </c>
    </row>
    <row r="15425" spans="1:44" ht="30">
      <c r="A15425" s="4" t="s">
        <v>10753</v>
      </c>
      <c r="B15425" s="4">
        <v>248791</v>
      </c>
      <c r="D15425" s="5" t="s">
        <v>18513</v>
      </c>
      <c r="E15425" s="6" t="str">
        <f>HYPERLINK("https://inpn.mnhn.fr/espece/cd_nom/248791","Xanthorhoe montanata (Denis &amp; Schiffermüller, 1775)")</f>
        <v>Xanthorhoe montanata (Denis &amp; Schiffermüller, 1775)</v>
      </c>
      <c r="F15425" s="5" t="s">
        <v>18514</v>
      </c>
      <c r="AH15425" s="4" t="str">
        <f>HYPERLINK("#Statut_biogéographique!A"&amp;_xlfn.XMATCH("P",Statut_biogéographique!A:A,2,1),"P")</f>
        <v>P</v>
      </c>
      <c r="AP15425" s="4" t="s">
        <v>376</v>
      </c>
      <c r="AR15425" s="4" t="s">
        <v>377</v>
      </c>
    </row>
    <row r="15426" spans="1:44" ht="30">
      <c r="A15426" s="4" t="s">
        <v>10753</v>
      </c>
      <c r="B15426" s="4">
        <v>248792</v>
      </c>
      <c r="D15426" s="5" t="s">
        <v>18515</v>
      </c>
      <c r="E15426" s="6" t="str">
        <f>HYPERLINK("https://inpn.mnhn.fr/espece/cd_nom/248792","Xanthorhoe quadrifasiata (Clerck, 1759)")</f>
        <v>Xanthorhoe quadrifasiata (Clerck, 1759)</v>
      </c>
      <c r="F15426" s="5" t="s">
        <v>18516</v>
      </c>
      <c r="AH15426" s="4" t="str">
        <f>HYPERLINK("#Statut_biogéographique!A"&amp;_xlfn.XMATCH("P",Statut_biogéographique!A:A,2,1),"P")</f>
        <v>P</v>
      </c>
      <c r="AP15426" s="4" t="s">
        <v>376</v>
      </c>
      <c r="AR15426" s="4" t="s">
        <v>377</v>
      </c>
    </row>
    <row r="15427" spans="1:44" ht="30">
      <c r="A15427" s="4" t="s">
        <v>10753</v>
      </c>
      <c r="B15427" s="4">
        <v>248793</v>
      </c>
      <c r="D15427" s="5" t="s">
        <v>18517</v>
      </c>
      <c r="E15427" s="6" t="str">
        <f>HYPERLINK("https://inpn.mnhn.fr/espece/cd_nom/248793","Nycterosea obstipata (Fabricius, 1794)")</f>
        <v>Nycterosea obstipata (Fabricius, 1794)</v>
      </c>
      <c r="F15427" s="5" t="s">
        <v>18518</v>
      </c>
      <c r="AH15427" s="4" t="str">
        <f>HYPERLINK("#Statut_biogéographique!A"&amp;_xlfn.XMATCH("P",Statut_biogéographique!A:A,2,1),"P")</f>
        <v>P</v>
      </c>
      <c r="AP15427" s="4" t="s">
        <v>376</v>
      </c>
      <c r="AR15427" s="4" t="s">
        <v>377</v>
      </c>
    </row>
    <row r="15428" spans="1:44" ht="30">
      <c r="A15428" s="4" t="s">
        <v>10753</v>
      </c>
      <c r="B15428" s="4">
        <v>248794</v>
      </c>
      <c r="D15428" s="5" t="s">
        <v>18519</v>
      </c>
      <c r="E15428" s="6" t="str">
        <f>HYPERLINK("https://inpn.mnhn.fr/espece/cd_nom/248794","Orthonama vittata (Borkhausen, 1794)")</f>
        <v>Orthonama vittata (Borkhausen, 1794)</v>
      </c>
      <c r="F15428" s="5" t="s">
        <v>18520</v>
      </c>
      <c r="AH15428" s="4" t="str">
        <f>HYPERLINK("#Statut_biogéographique!A"&amp;_xlfn.XMATCH("P",Statut_biogéographique!A:A,2,1),"P")</f>
        <v>P</v>
      </c>
      <c r="AP15428" s="4" t="s">
        <v>376</v>
      </c>
      <c r="AR15428" s="4" t="s">
        <v>377</v>
      </c>
    </row>
    <row r="15429" spans="1:44">
      <c r="A15429" s="4" t="s">
        <v>10753</v>
      </c>
      <c r="B15429" s="4">
        <v>248797</v>
      </c>
      <c r="D15429" s="5" t="s">
        <v>18521</v>
      </c>
      <c r="E15429" s="6" t="str">
        <f>HYPERLINK("https://inpn.mnhn.fr/espece/cd_nom/248797","Scotopteryx mucronata (Scopoli, 1763)")</f>
        <v>Scotopteryx mucronata (Scopoli, 1763)</v>
      </c>
      <c r="F15429" s="5" t="s">
        <v>18522</v>
      </c>
      <c r="AH15429" s="4" t="str">
        <f>HYPERLINK("#Statut_biogéographique!A"&amp;_xlfn.XMATCH("P",Statut_biogéographique!A:A,2,1),"P")</f>
        <v>P</v>
      </c>
      <c r="AP15429" s="4" t="s">
        <v>376</v>
      </c>
      <c r="AR15429" s="4" t="s">
        <v>377</v>
      </c>
    </row>
    <row r="15430" spans="1:44" ht="45">
      <c r="A15430" s="4" t="s">
        <v>10753</v>
      </c>
      <c r="B15430" s="4">
        <v>248798</v>
      </c>
      <c r="D15430" s="5" t="s">
        <v>18523</v>
      </c>
      <c r="E15430" s="6" t="str">
        <f>HYPERLINK("https://inpn.mnhn.fr/espece/cd_nom/248798","Scotopteryx luridata (Hufnagel, 1767)")</f>
        <v>Scotopteryx luridata (Hufnagel, 1767)</v>
      </c>
      <c r="F15430" s="5" t="s">
        <v>18524</v>
      </c>
      <c r="AH15430" s="4" t="str">
        <f>HYPERLINK("#Statut_biogéographique!A"&amp;_xlfn.XMATCH("P",Statut_biogéographique!A:A,2,1),"P")</f>
        <v>P</v>
      </c>
      <c r="AP15430" s="4" t="s">
        <v>376</v>
      </c>
      <c r="AR15430" s="4" t="s">
        <v>377</v>
      </c>
    </row>
    <row r="15431" spans="1:44" ht="30">
      <c r="A15431" s="4" t="s">
        <v>10753</v>
      </c>
      <c r="B15431" s="4">
        <v>248801</v>
      </c>
      <c r="D15431" s="5" t="s">
        <v>18525</v>
      </c>
      <c r="E15431" s="6" t="str">
        <f>HYPERLINK("https://inpn.mnhn.fr/espece/cd_nom/248801","Scotopteryx bipunctaria (Denis &amp; Schiffermüller, 1775)")</f>
        <v>Scotopteryx bipunctaria (Denis &amp; Schiffermüller, 1775)</v>
      </c>
      <c r="F15431" s="5" t="s">
        <v>18526</v>
      </c>
      <c r="AH15431" s="4" t="str">
        <f>HYPERLINK("#Statut_biogéographique!A"&amp;_xlfn.XMATCH("P",Statut_biogéographique!A:A,2,1),"P")</f>
        <v>P</v>
      </c>
      <c r="AP15431" s="4" t="s">
        <v>376</v>
      </c>
      <c r="AR15431" s="4" t="s">
        <v>377</v>
      </c>
    </row>
    <row r="15432" spans="1:44" ht="30">
      <c r="A15432" s="4" t="s">
        <v>10753</v>
      </c>
      <c r="B15432" s="4">
        <v>248803</v>
      </c>
      <c r="D15432" s="5" t="s">
        <v>18527</v>
      </c>
      <c r="E15432" s="6" t="str">
        <f>HYPERLINK("https://inpn.mnhn.fr/espece/cd_nom/248803","Scotopteryx moeniata (Scopoli, 1763)")</f>
        <v>Scotopteryx moeniata (Scopoli, 1763)</v>
      </c>
      <c r="F15432" s="5" t="s">
        <v>18528</v>
      </c>
      <c r="AH15432" s="4" t="str">
        <f>HYPERLINK("#Statut_biogéographique!A"&amp;_xlfn.XMATCH("P",Statut_biogéographique!A:A,2,1),"P")</f>
        <v>P</v>
      </c>
      <c r="AP15432" s="4" t="s">
        <v>376</v>
      </c>
      <c r="AR15432" s="4" t="s">
        <v>377</v>
      </c>
    </row>
    <row r="15433" spans="1:44" ht="30">
      <c r="A15433" s="4" t="s">
        <v>10753</v>
      </c>
      <c r="B15433" s="4">
        <v>248808</v>
      </c>
      <c r="D15433" s="5" t="s">
        <v>18529</v>
      </c>
      <c r="E15433" s="6" t="str">
        <f>HYPERLINK("https://inpn.mnhn.fr/espece/cd_nom/248808","Scotopteryx chenopodiata (Linnaeus, 1758)")</f>
        <v>Scotopteryx chenopodiata (Linnaeus, 1758)</v>
      </c>
      <c r="F15433" s="5" t="s">
        <v>18530</v>
      </c>
      <c r="AH15433" s="4" t="str">
        <f>HYPERLINK("#Statut_biogéographique!A"&amp;_xlfn.XMATCH("P",Statut_biogéographique!A:A,2,1),"P")</f>
        <v>P</v>
      </c>
      <c r="AP15433" s="4" t="s">
        <v>376</v>
      </c>
      <c r="AR15433" s="4" t="s">
        <v>377</v>
      </c>
    </row>
    <row r="15434" spans="1:44" ht="30">
      <c r="A15434" s="4" t="s">
        <v>10753</v>
      </c>
      <c r="B15434" s="4">
        <v>248810</v>
      </c>
      <c r="D15434" s="5" t="s">
        <v>18531</v>
      </c>
      <c r="E15434" s="6" t="str">
        <f>HYPERLINK("https://inpn.mnhn.fr/espece/cd_nom/248810","Thetidia smaragdaria (Fabricius, 1787)")</f>
        <v>Thetidia smaragdaria (Fabricius, 1787)</v>
      </c>
      <c r="F15434" s="5" t="s">
        <v>18532</v>
      </c>
      <c r="AH15434" s="4" t="str">
        <f>HYPERLINK("#Statut_biogéographique!A"&amp;_xlfn.XMATCH("P",Statut_biogéographique!A:A,2,1),"P")</f>
        <v>P</v>
      </c>
      <c r="AP15434" s="4" t="s">
        <v>376</v>
      </c>
      <c r="AR15434" s="4" t="s">
        <v>377</v>
      </c>
    </row>
    <row r="15435" spans="1:44" ht="30">
      <c r="A15435" s="4" t="s">
        <v>10753</v>
      </c>
      <c r="B15435" s="4">
        <v>248811</v>
      </c>
      <c r="D15435" s="5" t="s">
        <v>18533</v>
      </c>
      <c r="E15435" s="6" t="str">
        <f>HYPERLINK("https://inpn.mnhn.fr/espece/cd_nom/248811","Comibaena bajularia (Denis &amp; Schiffermüller, 1775)")</f>
        <v>Comibaena bajularia (Denis &amp; Schiffermüller, 1775)</v>
      </c>
      <c r="F15435" s="5" t="s">
        <v>18534</v>
      </c>
      <c r="AH15435" s="4" t="str">
        <f>HYPERLINK("#Statut_biogéographique!A"&amp;_xlfn.XMATCH("P",Statut_biogéographique!A:A,2,1),"P")</f>
        <v>P</v>
      </c>
      <c r="AP15435" s="4" t="s">
        <v>376</v>
      </c>
      <c r="AR15435" s="4" t="s">
        <v>377</v>
      </c>
    </row>
    <row r="15436" spans="1:44">
      <c r="A15436" s="4" t="s">
        <v>10753</v>
      </c>
      <c r="B15436" s="4">
        <v>248813</v>
      </c>
      <c r="D15436" s="5" t="s">
        <v>18535</v>
      </c>
      <c r="E15436" s="6" t="str">
        <f>HYPERLINK("https://inpn.mnhn.fr/espece/cd_nom/248813","Geometra papilionaria (Linnaeus, 1758)")</f>
        <v>Geometra papilionaria (Linnaeus, 1758)</v>
      </c>
      <c r="F15436" s="5" t="s">
        <v>18536</v>
      </c>
      <c r="AH15436" s="4" t="str">
        <f>HYPERLINK("#Statut_biogéographique!A"&amp;_xlfn.XMATCH("P",Statut_biogéographique!A:A,2,1),"P")</f>
        <v>P</v>
      </c>
      <c r="AP15436" s="4" t="s">
        <v>376</v>
      </c>
      <c r="AR15436" s="4" t="s">
        <v>377</v>
      </c>
    </row>
    <row r="15437" spans="1:44">
      <c r="A15437" s="4" t="s">
        <v>10753</v>
      </c>
      <c r="B15437" s="4">
        <v>248815</v>
      </c>
      <c r="D15437" s="5" t="s">
        <v>18537</v>
      </c>
      <c r="E15437" s="6" t="str">
        <f>HYPERLINK("https://inpn.mnhn.fr/espece/cd_nom/248815","Hemistola chrysoprasaria (Esper, 1795)")</f>
        <v>Hemistola chrysoprasaria (Esper, 1795)</v>
      </c>
      <c r="F15437" s="5" t="s">
        <v>18538</v>
      </c>
      <c r="AH15437" s="4" t="str">
        <f>HYPERLINK("#Statut_biogéographique!A"&amp;_xlfn.XMATCH("P",Statut_biogéographique!A:A,2,1),"P")</f>
        <v>P</v>
      </c>
      <c r="AP15437" s="4" t="s">
        <v>376</v>
      </c>
      <c r="AR15437" s="4" t="s">
        <v>377</v>
      </c>
    </row>
    <row r="15438" spans="1:44">
      <c r="A15438" s="4" t="s">
        <v>10753</v>
      </c>
      <c r="B15438" s="4">
        <v>248816</v>
      </c>
      <c r="D15438" s="5" t="s">
        <v>18539</v>
      </c>
      <c r="E15438" s="6" t="str">
        <f>HYPERLINK("https://inpn.mnhn.fr/espece/cd_nom/248816","Phaiogramma etruscaria (Zeller, 1849)")</f>
        <v>Phaiogramma etruscaria (Zeller, 1849)</v>
      </c>
      <c r="F15438" s="5" t="s">
        <v>18540</v>
      </c>
      <c r="AH15438" s="4" t="str">
        <f>HYPERLINK("#Statut_biogéographique!A"&amp;_xlfn.XMATCH("P",Statut_biogéographique!A:A,2,1),"P")</f>
        <v>P</v>
      </c>
      <c r="AP15438" s="4" t="s">
        <v>376</v>
      </c>
      <c r="AR15438" s="4" t="s">
        <v>377</v>
      </c>
    </row>
    <row r="15439" spans="1:44" ht="30">
      <c r="A15439" s="4" t="s">
        <v>10753</v>
      </c>
      <c r="B15439" s="4">
        <v>248818</v>
      </c>
      <c r="D15439" s="5" t="s">
        <v>18541</v>
      </c>
      <c r="E15439" s="6" t="str">
        <f>HYPERLINK("https://inpn.mnhn.fr/espece/cd_nom/248818","Chlorissa viridata (Linnaeus, 1758)")</f>
        <v>Chlorissa viridata (Linnaeus, 1758)</v>
      </c>
      <c r="F15439" s="5" t="s">
        <v>18542</v>
      </c>
      <c r="AH15439" s="4" t="str">
        <f>HYPERLINK("#Statut_biogéographique!A"&amp;_xlfn.XMATCH("P",Statut_biogéographique!A:A,2,1),"P")</f>
        <v>P</v>
      </c>
      <c r="AP15439" s="4" t="s">
        <v>376</v>
      </c>
      <c r="AR15439" s="4" t="s">
        <v>377</v>
      </c>
    </row>
    <row r="15440" spans="1:44">
      <c r="A15440" s="4" t="s">
        <v>10753</v>
      </c>
      <c r="B15440" s="4">
        <v>248819</v>
      </c>
      <c r="D15440" s="5" t="s">
        <v>18543</v>
      </c>
      <c r="E15440" s="6" t="str">
        <f>HYPERLINK("https://inpn.mnhn.fr/espece/cd_nom/248819","Chlorissa cloraria (Hübner, 1813)")</f>
        <v>Chlorissa cloraria (Hübner, 1813)</v>
      </c>
      <c r="F15440" s="5" t="s">
        <v>18544</v>
      </c>
      <c r="AH15440" s="4" t="str">
        <f>HYPERLINK("#Statut_biogéographique!A"&amp;_xlfn.XMATCH("P",Statut_biogéographique!A:A,2,1),"P")</f>
        <v>P</v>
      </c>
      <c r="AP15440" s="4" t="s">
        <v>376</v>
      </c>
      <c r="AR15440" s="4" t="s">
        <v>377</v>
      </c>
    </row>
    <row r="15441" spans="1:44">
      <c r="A15441" s="4" t="s">
        <v>10753</v>
      </c>
      <c r="B15441" s="4">
        <v>248820</v>
      </c>
      <c r="D15441" s="5" t="s">
        <v>18545</v>
      </c>
      <c r="E15441" s="6" t="str">
        <f>HYPERLINK("https://inpn.mnhn.fr/espece/cd_nom/248820","Hemithea aestivaria (Hübner, 1789)")</f>
        <v>Hemithea aestivaria (Hübner, 1789)</v>
      </c>
      <c r="F15441" s="5" t="s">
        <v>18546</v>
      </c>
      <c r="AH15441" s="4" t="str">
        <f>HYPERLINK("#Statut_biogéographique!A"&amp;_xlfn.XMATCH("P",Statut_biogéographique!A:A,2,1),"P")</f>
        <v>P</v>
      </c>
      <c r="AP15441" s="4" t="s">
        <v>376</v>
      </c>
      <c r="AR15441" s="4" t="s">
        <v>377</v>
      </c>
    </row>
    <row r="15442" spans="1:44" ht="30">
      <c r="A15442" s="4" t="s">
        <v>10753</v>
      </c>
      <c r="B15442" s="4">
        <v>248821</v>
      </c>
      <c r="D15442" s="5" t="s">
        <v>18547</v>
      </c>
      <c r="E15442" s="6" t="str">
        <f>HYPERLINK("https://inpn.mnhn.fr/espece/cd_nom/248821","Jodis lactearia (Linnaeus, 1758)")</f>
        <v>Jodis lactearia (Linnaeus, 1758)</v>
      </c>
      <c r="F15442" s="5" t="s">
        <v>18548</v>
      </c>
      <c r="AH15442" s="4" t="str">
        <f>HYPERLINK("#Statut_biogéographique!A"&amp;_xlfn.XMATCH("P",Statut_biogéographique!A:A,2,1),"P")</f>
        <v>P</v>
      </c>
      <c r="AP15442" s="4" t="s">
        <v>376</v>
      </c>
      <c r="AR15442" s="4" t="s">
        <v>377</v>
      </c>
    </row>
    <row r="15443" spans="1:44">
      <c r="A15443" s="4" t="s">
        <v>10753</v>
      </c>
      <c r="B15443" s="4">
        <v>248822</v>
      </c>
      <c r="D15443" s="5" t="s">
        <v>18549</v>
      </c>
      <c r="E15443" s="6" t="str">
        <f>HYPERLINK("https://inpn.mnhn.fr/espece/cd_nom/248822","Jodis putata (Linnaeus, 1758)")</f>
        <v>Jodis putata (Linnaeus, 1758)</v>
      </c>
      <c r="F15443" s="5" t="s">
        <v>18550</v>
      </c>
      <c r="AH15443" s="4" t="str">
        <f>HYPERLINK("#Statut_biogéographique!A"&amp;_xlfn.XMATCH("P",Statut_biogéographique!A:A,2,1),"P")</f>
        <v>P</v>
      </c>
      <c r="AP15443" s="4" t="s">
        <v>376</v>
      </c>
      <c r="AR15443" s="4" t="s">
        <v>377</v>
      </c>
    </row>
    <row r="15444" spans="1:44" ht="45">
      <c r="A15444" s="4" t="s">
        <v>10753</v>
      </c>
      <c r="B15444" s="4">
        <v>248824</v>
      </c>
      <c r="D15444" s="5" t="s">
        <v>18551</v>
      </c>
      <c r="E15444" s="6" t="str">
        <f>HYPERLINK("https://inpn.mnhn.fr/espece/cd_nom/248824","Pseudoterpna pruinata (Hufnagel, 1767)")</f>
        <v>Pseudoterpna pruinata (Hufnagel, 1767)</v>
      </c>
      <c r="F15444" s="5" t="s">
        <v>18552</v>
      </c>
      <c r="AH15444" s="4" t="str">
        <f>HYPERLINK("#Statut_biogéographique!A"&amp;_xlfn.XMATCH("P",Statut_biogéographique!A:A,2,1),"P")</f>
        <v>P</v>
      </c>
      <c r="AP15444" s="4" t="s">
        <v>376</v>
      </c>
      <c r="AR15444" s="4" t="s">
        <v>377</v>
      </c>
    </row>
    <row r="15445" spans="1:44">
      <c r="A15445" s="4" t="s">
        <v>10753</v>
      </c>
      <c r="B15445" s="4">
        <v>248825</v>
      </c>
      <c r="D15445" s="5" t="s">
        <v>18553</v>
      </c>
      <c r="E15445" s="6" t="str">
        <f>HYPERLINK("https://inpn.mnhn.fr/espece/cd_nom/248825","Pseudoterpna coronillaria (Hübner, 1817)")</f>
        <v>Pseudoterpna coronillaria (Hübner, 1817)</v>
      </c>
      <c r="F15445" s="5" t="s">
        <v>18554</v>
      </c>
      <c r="AH15445" s="4" t="str">
        <f>HYPERLINK("#Statut_biogéographique!A"&amp;_xlfn.XMATCH("P",Statut_biogéographique!A:A,2,1),"P")</f>
        <v>P</v>
      </c>
      <c r="AP15445" s="4" t="s">
        <v>376</v>
      </c>
      <c r="AR15445" s="4" t="s">
        <v>377</v>
      </c>
    </row>
    <row r="15446" spans="1:44" ht="30">
      <c r="A15446" s="4" t="s">
        <v>10753</v>
      </c>
      <c r="B15446" s="4">
        <v>248827</v>
      </c>
      <c r="D15446" s="5" t="s">
        <v>18555</v>
      </c>
      <c r="E15446" s="6" t="str">
        <f>HYPERLINK("https://inpn.mnhn.fr/espece/cd_nom/248827","Aplasta ononaria (Fuessly, 1783)")</f>
        <v>Aplasta ononaria (Fuessly, 1783)</v>
      </c>
      <c r="F15446" s="5" t="s">
        <v>18556</v>
      </c>
      <c r="AH15446" s="4" t="str">
        <f>HYPERLINK("#Statut_biogéographique!A"&amp;_xlfn.XMATCH("P",Statut_biogéographique!A:A,2,1),"P")</f>
        <v>P</v>
      </c>
      <c r="AP15446" s="4" t="s">
        <v>376</v>
      </c>
      <c r="AR15446" s="4" t="s">
        <v>377</v>
      </c>
    </row>
    <row r="15447" spans="1:44" ht="30">
      <c r="A15447" s="4" t="s">
        <v>10753</v>
      </c>
      <c r="B15447" s="4">
        <v>248828</v>
      </c>
      <c r="D15447" s="5" t="s">
        <v>18557</v>
      </c>
      <c r="E15447" s="6" t="str">
        <f>HYPERLINK("https://inpn.mnhn.fr/espece/cd_nom/248828","Thalera fimbrialis (Scopoli, 1763)")</f>
        <v>Thalera fimbrialis (Scopoli, 1763)</v>
      </c>
      <c r="F15447" s="5" t="s">
        <v>18558</v>
      </c>
      <c r="AH15447" s="4" t="str">
        <f>HYPERLINK("#Statut_biogéographique!A"&amp;_xlfn.XMATCH("P",Statut_biogéographique!A:A,2,1),"P")</f>
        <v>P</v>
      </c>
      <c r="AP15447" s="4" t="s">
        <v>376</v>
      </c>
      <c r="AR15447" s="4" t="s">
        <v>377</v>
      </c>
    </row>
    <row r="15448" spans="1:44" ht="30">
      <c r="A15448" s="4" t="s">
        <v>10753</v>
      </c>
      <c r="B15448" s="4">
        <v>248829</v>
      </c>
      <c r="D15448" s="5" t="s">
        <v>18559</v>
      </c>
      <c r="E15448" s="6" t="str">
        <f>HYPERLINK("https://inpn.mnhn.fr/espece/cd_nom/248829","Ligdia adustata (Denis &amp; Schiffermüller, 1775)")</f>
        <v>Ligdia adustata (Denis &amp; Schiffermüller, 1775)</v>
      </c>
      <c r="F15448" s="5" t="s">
        <v>18560</v>
      </c>
      <c r="AH15448" s="4" t="str">
        <f>HYPERLINK("#Statut_biogéographique!A"&amp;_xlfn.XMATCH("P",Statut_biogéographique!A:A,2,1),"P")</f>
        <v>P</v>
      </c>
      <c r="AP15448" s="4" t="s">
        <v>376</v>
      </c>
      <c r="AR15448" s="4" t="s">
        <v>377</v>
      </c>
    </row>
    <row r="15449" spans="1:44">
      <c r="A15449" s="4" t="s">
        <v>10753</v>
      </c>
      <c r="B15449" s="4">
        <v>248830</v>
      </c>
      <c r="D15449" s="5" t="s">
        <v>18561</v>
      </c>
      <c r="E15449" s="6" t="str">
        <f>HYPERLINK("https://inpn.mnhn.fr/espece/cd_nom/248830","Abraxas grossulariata (Linnaeus, 1758)")</f>
        <v>Abraxas grossulariata (Linnaeus, 1758)</v>
      </c>
      <c r="F15449" s="5" t="s">
        <v>18562</v>
      </c>
      <c r="AH15449" s="4" t="str">
        <f>HYPERLINK("#Statut_biogéographique!A"&amp;_xlfn.XMATCH("P",Statut_biogéographique!A:A,2,1),"P")</f>
        <v>P</v>
      </c>
      <c r="AP15449" s="4" t="s">
        <v>376</v>
      </c>
      <c r="AR15449" s="4" t="s">
        <v>377</v>
      </c>
    </row>
    <row r="15450" spans="1:44">
      <c r="A15450" s="4" t="s">
        <v>10753</v>
      </c>
      <c r="B15450" s="4">
        <v>248831</v>
      </c>
      <c r="D15450" s="5" t="s">
        <v>18563</v>
      </c>
      <c r="E15450" s="6" t="str">
        <f>HYPERLINK("https://inpn.mnhn.fr/espece/cd_nom/248831","Abraxas sylvata (Scopoli, 1763)")</f>
        <v>Abraxas sylvata (Scopoli, 1763)</v>
      </c>
      <c r="F15450" s="5" t="s">
        <v>18564</v>
      </c>
      <c r="AH15450" s="4" t="str">
        <f>HYPERLINK("#Statut_biogéographique!A"&amp;_xlfn.XMATCH("P",Statut_biogéographique!A:A,2,1),"P")</f>
        <v>P</v>
      </c>
      <c r="AP15450" s="4" t="s">
        <v>376</v>
      </c>
      <c r="AR15450" s="4" t="s">
        <v>377</v>
      </c>
    </row>
    <row r="15451" spans="1:44" ht="30">
      <c r="A15451" s="4" t="s">
        <v>10753</v>
      </c>
      <c r="B15451" s="4">
        <v>248833</v>
      </c>
      <c r="D15451" s="5" t="s">
        <v>18565</v>
      </c>
      <c r="E15451" s="6" t="str">
        <f>HYPERLINK("https://inpn.mnhn.fr/espece/cd_nom/248833","Angerona prunaria (Linnaeus, 1758)")</f>
        <v>Angerona prunaria (Linnaeus, 1758)</v>
      </c>
      <c r="F15451" s="5" t="s">
        <v>18566</v>
      </c>
      <c r="AH15451" s="4" t="str">
        <f>HYPERLINK("#Statut_biogéographique!A"&amp;_xlfn.XMATCH("P",Statut_biogéographique!A:A,2,1),"P")</f>
        <v>P</v>
      </c>
      <c r="AP15451" s="4" t="s">
        <v>376</v>
      </c>
      <c r="AR15451" s="4" t="s">
        <v>377</v>
      </c>
    </row>
    <row r="15452" spans="1:44">
      <c r="A15452" s="4" t="s">
        <v>10753</v>
      </c>
      <c r="B15452" s="4">
        <v>248834</v>
      </c>
      <c r="D15452" s="5" t="s">
        <v>18567</v>
      </c>
      <c r="E15452" s="6" t="str">
        <f>HYPERLINK("https://inpn.mnhn.fr/espece/cd_nom/248834","Perconia strigillaria (Hübner, 1787)")</f>
        <v>Perconia strigillaria (Hübner, 1787)</v>
      </c>
      <c r="F15452" s="5" t="s">
        <v>18568</v>
      </c>
      <c r="AH15452" s="4" t="str">
        <f>HYPERLINK("#Statut_biogéographique!A"&amp;_xlfn.XMATCH("P",Statut_biogéographique!A:A,2,1),"P")</f>
        <v>P</v>
      </c>
      <c r="AP15452" s="4" t="s">
        <v>376</v>
      </c>
      <c r="AR15452" s="4" t="s">
        <v>377</v>
      </c>
    </row>
    <row r="15453" spans="1:44" ht="30">
      <c r="A15453" s="4" t="s">
        <v>10753</v>
      </c>
      <c r="B15453" s="4">
        <v>248840</v>
      </c>
      <c r="D15453" s="5" t="s">
        <v>18569</v>
      </c>
      <c r="E15453" s="6" t="str">
        <f>HYPERLINK("https://inpn.mnhn.fr/espece/cd_nom/248840","Aspitates gilvaria (Denis &amp; Schiffermüller, 1775)")</f>
        <v>Aspitates gilvaria (Denis &amp; Schiffermüller, 1775)</v>
      </c>
      <c r="F15453" s="5" t="s">
        <v>18570</v>
      </c>
      <c r="AH15453" s="4" t="str">
        <f>HYPERLINK("#Statut_biogéographique!A"&amp;_xlfn.XMATCH("P",Statut_biogéographique!A:A,2,1),"P")</f>
        <v>P</v>
      </c>
      <c r="AP15453" s="4" t="s">
        <v>376</v>
      </c>
      <c r="AR15453" s="4" t="s">
        <v>377</v>
      </c>
    </row>
    <row r="15454" spans="1:44" ht="30">
      <c r="A15454" s="4" t="s">
        <v>10753</v>
      </c>
      <c r="B15454" s="4">
        <v>248841</v>
      </c>
      <c r="D15454" s="5" t="s">
        <v>18571</v>
      </c>
      <c r="E15454" s="6" t="str">
        <f>HYPERLINK("https://inpn.mnhn.fr/espece/cd_nom/248841","Aspitates ochrearia (Rossi, 1794)")</f>
        <v>Aspitates ochrearia (Rossi, 1794)</v>
      </c>
      <c r="F15454" s="5" t="s">
        <v>18572</v>
      </c>
      <c r="AH15454" s="4" t="str">
        <f>HYPERLINK("#Statut_biogéographique!A"&amp;_xlfn.XMATCH("P",Statut_biogéographique!A:A,2,1),"P")</f>
        <v>P</v>
      </c>
      <c r="AP15454" s="4" t="s">
        <v>376</v>
      </c>
      <c r="AR15454" s="4" t="s">
        <v>377</v>
      </c>
    </row>
    <row r="15455" spans="1:44" ht="30">
      <c r="A15455" s="4" t="s">
        <v>10753</v>
      </c>
      <c r="B15455" s="4">
        <v>248843</v>
      </c>
      <c r="D15455" s="5" t="s">
        <v>18573</v>
      </c>
      <c r="E15455" s="6" t="str">
        <f>HYPERLINK("https://inpn.mnhn.fr/espece/cd_nom/248843","Aleucis distinctata (Herrich-Schäffer, 1839)")</f>
        <v>Aleucis distinctata (Herrich-Schäffer, 1839)</v>
      </c>
      <c r="F15455" s="5" t="s">
        <v>18574</v>
      </c>
      <c r="AH15455" s="4" t="str">
        <f>HYPERLINK("#Statut_biogéographique!A"&amp;_xlfn.XMATCH("P",Statut_biogéographique!A:A,2,1),"P")</f>
        <v>P</v>
      </c>
      <c r="AP15455" s="4" t="s">
        <v>376</v>
      </c>
      <c r="AR15455" s="4" t="s">
        <v>377</v>
      </c>
    </row>
    <row r="15456" spans="1:44" ht="30">
      <c r="A15456" s="4" t="s">
        <v>10753</v>
      </c>
      <c r="B15456" s="4">
        <v>248844</v>
      </c>
      <c r="D15456" s="5" t="s">
        <v>18575</v>
      </c>
      <c r="E15456" s="6" t="str">
        <f>HYPERLINK("https://inpn.mnhn.fr/espece/cd_nom/248844","Lomographa bimaculata (Fabricius, 1775)")</f>
        <v>Lomographa bimaculata (Fabricius, 1775)</v>
      </c>
      <c r="F15456" s="5" t="s">
        <v>18576</v>
      </c>
      <c r="AH15456" s="4" t="str">
        <f>HYPERLINK("#Statut_biogéographique!A"&amp;_xlfn.XMATCH("P",Statut_biogéographique!A:A,2,1),"P")</f>
        <v>P</v>
      </c>
      <c r="AP15456" s="4" t="s">
        <v>376</v>
      </c>
      <c r="AR15456" s="4" t="s">
        <v>377</v>
      </c>
    </row>
    <row r="15457" spans="1:44" ht="30">
      <c r="A15457" s="4" t="s">
        <v>10753</v>
      </c>
      <c r="B15457" s="4">
        <v>248845</v>
      </c>
      <c r="D15457" s="5" t="s">
        <v>18577</v>
      </c>
      <c r="E15457" s="6" t="str">
        <f>HYPERLINK("https://inpn.mnhn.fr/espece/cd_nom/248845","Lomographa temerata (Denis &amp; Schiffermüller, 1775)")</f>
        <v>Lomographa temerata (Denis &amp; Schiffermüller, 1775)</v>
      </c>
      <c r="F15457" s="5" t="s">
        <v>18578</v>
      </c>
      <c r="AH15457" s="4" t="str">
        <f>HYPERLINK("#Statut_biogéographique!A"&amp;_xlfn.XMATCH("P",Statut_biogéographique!A:A,2,1),"P")</f>
        <v>P</v>
      </c>
      <c r="AP15457" s="4" t="s">
        <v>376</v>
      </c>
      <c r="AR15457" s="4" t="s">
        <v>377</v>
      </c>
    </row>
    <row r="15458" spans="1:44">
      <c r="A15458" s="4" t="s">
        <v>10753</v>
      </c>
      <c r="B15458" s="4">
        <v>248846</v>
      </c>
      <c r="D15458" s="5" t="s">
        <v>18579</v>
      </c>
      <c r="E15458" s="6" t="str">
        <f>HYPERLINK("https://inpn.mnhn.fr/espece/cd_nom/248846","Erannis defoliaria (Clerck, 1759)")</f>
        <v>Erannis defoliaria (Clerck, 1759)</v>
      </c>
      <c r="F15458" s="5" t="s">
        <v>18580</v>
      </c>
      <c r="AH15458" s="4" t="str">
        <f>HYPERLINK("#Statut_biogéographique!A"&amp;_xlfn.XMATCH("P",Statut_biogéographique!A:A,2,1),"P")</f>
        <v>P</v>
      </c>
      <c r="AP15458" s="4" t="s">
        <v>376</v>
      </c>
      <c r="AR15458" s="4" t="s">
        <v>377</v>
      </c>
    </row>
    <row r="15459" spans="1:44" ht="30">
      <c r="A15459" s="4" t="s">
        <v>10753</v>
      </c>
      <c r="B15459" s="4">
        <v>248847</v>
      </c>
      <c r="D15459" s="5" t="s">
        <v>18581</v>
      </c>
      <c r="E15459" s="6" t="str">
        <f>HYPERLINK("https://inpn.mnhn.fr/espece/cd_nom/248847","Agriopis leucophaearia (Denis &amp; Schiffermüller, 1775)")</f>
        <v>Agriopis leucophaearia (Denis &amp; Schiffermüller, 1775)</v>
      </c>
      <c r="F15459" s="5" t="s">
        <v>18582</v>
      </c>
      <c r="AH15459" s="4" t="str">
        <f>HYPERLINK("#Statut_biogéographique!A"&amp;_xlfn.XMATCH("P",Statut_biogéographique!A:A,2,1),"P")</f>
        <v>P</v>
      </c>
      <c r="AP15459" s="4" t="s">
        <v>376</v>
      </c>
      <c r="AR15459" s="4" t="s">
        <v>377</v>
      </c>
    </row>
    <row r="15460" spans="1:44" ht="30">
      <c r="A15460" s="4" t="s">
        <v>10753</v>
      </c>
      <c r="B15460" s="4">
        <v>248852</v>
      </c>
      <c r="D15460" s="5" t="s">
        <v>18583</v>
      </c>
      <c r="E15460" s="6" t="str">
        <f>HYPERLINK("https://inpn.mnhn.fr/espece/cd_nom/248852","Biston strataria (Hufnagel, 1767)")</f>
        <v>Biston strataria (Hufnagel, 1767)</v>
      </c>
      <c r="F15460" s="5" t="s">
        <v>18584</v>
      </c>
      <c r="AH15460" s="4" t="str">
        <f>HYPERLINK("#Statut_biogéographique!A"&amp;_xlfn.XMATCH("P",Statut_biogéographique!A:A,2,1),"P")</f>
        <v>P</v>
      </c>
      <c r="AP15460" s="4" t="s">
        <v>376</v>
      </c>
      <c r="AR15460" s="4" t="s">
        <v>377</v>
      </c>
    </row>
    <row r="15461" spans="1:44" ht="30">
      <c r="A15461" s="4" t="s">
        <v>10753</v>
      </c>
      <c r="B15461" s="4">
        <v>248853</v>
      </c>
      <c r="D15461" s="5" t="s">
        <v>18585</v>
      </c>
      <c r="E15461" s="6" t="str">
        <f>HYPERLINK("https://inpn.mnhn.fr/espece/cd_nom/248853","Biston betularia (Linnaeus, 1758)")</f>
        <v>Biston betularia (Linnaeus, 1758)</v>
      </c>
      <c r="F15461" s="5" t="s">
        <v>18586</v>
      </c>
      <c r="AH15461" s="4" t="str">
        <f>HYPERLINK("#Statut_biogéographique!A"&amp;_xlfn.XMATCH("P",Statut_biogéographique!A:A,2,1),"P")</f>
        <v>P</v>
      </c>
      <c r="AP15461" s="4" t="s">
        <v>376</v>
      </c>
      <c r="AR15461" s="4" t="s">
        <v>377</v>
      </c>
    </row>
    <row r="15462" spans="1:44">
      <c r="A15462" s="4" t="s">
        <v>10753</v>
      </c>
      <c r="B15462" s="4">
        <v>248854</v>
      </c>
      <c r="D15462" s="5" t="s">
        <v>18587</v>
      </c>
      <c r="E15462" s="6" t="str">
        <f>HYPERLINK("https://inpn.mnhn.fr/espece/cd_nom/248854","Lycia hirtaria (Clerck, 1759)")</f>
        <v>Lycia hirtaria (Clerck, 1759)</v>
      </c>
      <c r="F15462" s="5" t="s">
        <v>18588</v>
      </c>
      <c r="AH15462" s="4" t="str">
        <f>HYPERLINK("#Statut_biogéographique!A"&amp;_xlfn.XMATCH("P",Statut_biogéographique!A:A,2,1),"P")</f>
        <v>P</v>
      </c>
      <c r="AP15462" s="4" t="s">
        <v>376</v>
      </c>
      <c r="AR15462" s="4" t="s">
        <v>377</v>
      </c>
    </row>
    <row r="15463" spans="1:44">
      <c r="A15463" s="4" t="s">
        <v>10753</v>
      </c>
      <c r="B15463" s="4">
        <v>248857</v>
      </c>
      <c r="D15463" s="5" t="s">
        <v>18589</v>
      </c>
      <c r="E15463" s="6" t="str">
        <f>HYPERLINK("https://inpn.mnhn.fr/espece/cd_nom/248857","Lycia zonaria (Denis &amp; Schiffermüller, 1775)")</f>
        <v>Lycia zonaria (Denis &amp; Schiffermüller, 1775)</v>
      </c>
      <c r="F15463" s="5" t="s">
        <v>18590</v>
      </c>
      <c r="AH15463" s="4" t="str">
        <f>HYPERLINK("#Statut_biogéographique!A"&amp;_xlfn.XMATCH("P",Statut_biogéographique!A:A,2,1),"P")</f>
        <v>P</v>
      </c>
      <c r="AP15463" s="4" t="s">
        <v>376</v>
      </c>
      <c r="AR15463" s="4" t="s">
        <v>377</v>
      </c>
    </row>
    <row r="15464" spans="1:44">
      <c r="A15464" s="4" t="s">
        <v>10753</v>
      </c>
      <c r="B15464" s="4">
        <v>248858</v>
      </c>
      <c r="D15464" s="5" t="s">
        <v>18591</v>
      </c>
      <c r="E15464" s="6" t="str">
        <f>HYPERLINK("https://inpn.mnhn.fr/espece/cd_nom/248858","Lycia pomonaria (Hübner, 1790)")</f>
        <v>Lycia pomonaria (Hübner, 1790)</v>
      </c>
      <c r="F15464" s="5" t="s">
        <v>18592</v>
      </c>
      <c r="AH15464" s="4" t="str">
        <f>HYPERLINK("#Statut_biogéographique!A"&amp;_xlfn.XMATCH("P",Statut_biogéographique!A:A,2,1),"P")</f>
        <v>P</v>
      </c>
      <c r="AP15464" s="4" t="s">
        <v>376</v>
      </c>
      <c r="AR15464" s="4" t="s">
        <v>377</v>
      </c>
    </row>
    <row r="15465" spans="1:44" ht="30">
      <c r="A15465" s="4" t="s">
        <v>10753</v>
      </c>
      <c r="B15465" s="4">
        <v>248859</v>
      </c>
      <c r="D15465" s="5" t="s">
        <v>18593</v>
      </c>
      <c r="E15465" s="6" t="str">
        <f>HYPERLINK("https://inpn.mnhn.fr/espece/cd_nom/248859","Phigalia pilosaria (Denis &amp; Schiffermüller, 1775)")</f>
        <v>Phigalia pilosaria (Denis &amp; Schiffermüller, 1775)</v>
      </c>
      <c r="F15465" s="5" t="s">
        <v>18594</v>
      </c>
      <c r="AH15465" s="4" t="str">
        <f>HYPERLINK("#Statut_biogéographique!A"&amp;_xlfn.XMATCH("P",Statut_biogéographique!A:A,2,1),"P")</f>
        <v>P</v>
      </c>
      <c r="AP15465" s="4" t="s">
        <v>376</v>
      </c>
      <c r="AR15465" s="4" t="s">
        <v>377</v>
      </c>
    </row>
    <row r="15466" spans="1:44" ht="30">
      <c r="A15466" s="4" t="s">
        <v>10753</v>
      </c>
      <c r="B15466" s="4">
        <v>248860</v>
      </c>
      <c r="D15466" s="5" t="s">
        <v>18595</v>
      </c>
      <c r="E15466" s="6" t="str">
        <f>HYPERLINK("https://inpn.mnhn.fr/espece/cd_nom/248860","Apocheima hispidaria (Denis &amp; Schiffermüller, 1775)")</f>
        <v>Apocheima hispidaria (Denis &amp; Schiffermüller, 1775)</v>
      </c>
      <c r="F15466" s="5" t="s">
        <v>18596</v>
      </c>
      <c r="AH15466" s="4" t="str">
        <f>HYPERLINK("#Statut_biogéographique!A"&amp;_xlfn.XMATCH("P",Statut_biogéographique!A:A,2,1),"P")</f>
        <v>P</v>
      </c>
      <c r="AP15466" s="4" t="s">
        <v>376</v>
      </c>
      <c r="AR15466" s="4" t="s">
        <v>377</v>
      </c>
    </row>
    <row r="15467" spans="1:44" ht="45">
      <c r="A15467" s="4" t="s">
        <v>10753</v>
      </c>
      <c r="B15467" s="4">
        <v>248861</v>
      </c>
      <c r="D15467" s="5" t="s">
        <v>18597</v>
      </c>
      <c r="E15467" s="6" t="str">
        <f>HYPERLINK("https://inpn.mnhn.fr/espece/cd_nom/248861","Tephronia sepiaria (Hufnagel, 1767)")</f>
        <v>Tephronia sepiaria (Hufnagel, 1767)</v>
      </c>
      <c r="F15467" s="5" t="s">
        <v>18598</v>
      </c>
      <c r="AH15467" s="4" t="str">
        <f>HYPERLINK("#Statut_biogéographique!A"&amp;_xlfn.XMATCH("P",Statut_biogéographique!A:A,2,1),"P")</f>
        <v>P</v>
      </c>
      <c r="AP15467" s="4" t="s">
        <v>376</v>
      </c>
      <c r="AR15467" s="4" t="s">
        <v>377</v>
      </c>
    </row>
    <row r="15468" spans="1:44">
      <c r="A15468" s="4" t="s">
        <v>10753</v>
      </c>
      <c r="B15468" s="4">
        <v>248866</v>
      </c>
      <c r="D15468" s="5" t="s">
        <v>18599</v>
      </c>
      <c r="E15468" s="6" t="str">
        <f>HYPERLINK("https://inpn.mnhn.fr/espece/cd_nom/248866","Adactylotis contaminaria (Hübner, 1813)")</f>
        <v>Adactylotis contaminaria (Hübner, 1813)</v>
      </c>
      <c r="F15468" s="5" t="s">
        <v>18600</v>
      </c>
      <c r="AH15468" s="4" t="str">
        <f>HYPERLINK("#Statut_biogéographique!A"&amp;_xlfn.XMATCH("P",Statut_biogéographique!A:A,2,1),"P")</f>
        <v>P</v>
      </c>
      <c r="AP15468" s="4" t="s">
        <v>376</v>
      </c>
      <c r="AR15468" s="4" t="s">
        <v>377</v>
      </c>
    </row>
    <row r="15469" spans="1:44">
      <c r="A15469" s="4" t="s">
        <v>10753</v>
      </c>
      <c r="B15469" s="4">
        <v>248867</v>
      </c>
      <c r="D15469" s="5" t="s">
        <v>18601</v>
      </c>
      <c r="E15469" s="6" t="str">
        <f>HYPERLINK("https://inpn.mnhn.fr/espece/cd_nom/248867","Ematurga atomaria (Linnaeus, 1758)")</f>
        <v>Ematurga atomaria (Linnaeus, 1758)</v>
      </c>
      <c r="F15469" s="5" t="s">
        <v>18602</v>
      </c>
      <c r="AH15469" s="4" t="str">
        <f>HYPERLINK("#Statut_biogéographique!A"&amp;_xlfn.XMATCH("P",Statut_biogéographique!A:A,2,1),"P")</f>
        <v>P</v>
      </c>
      <c r="AP15469" s="4" t="s">
        <v>376</v>
      </c>
      <c r="AR15469" s="4" t="s">
        <v>377</v>
      </c>
    </row>
    <row r="15470" spans="1:44" ht="30">
      <c r="A15470" s="4" t="s">
        <v>10753</v>
      </c>
      <c r="B15470" s="4">
        <v>248868</v>
      </c>
      <c r="D15470" s="5" t="s">
        <v>18603</v>
      </c>
      <c r="E15470" s="6" t="str">
        <f>HYPERLINK("https://inpn.mnhn.fr/espece/cd_nom/248868","Aethalura punctulata (Denis &amp; Schiffermüller, 1775)")</f>
        <v>Aethalura punctulata (Denis &amp; Schiffermüller, 1775)</v>
      </c>
      <c r="F15470" s="5" t="s">
        <v>18604</v>
      </c>
      <c r="AH15470" s="4" t="str">
        <f>HYPERLINK("#Statut_biogéographique!A"&amp;_xlfn.XMATCH("P",Statut_biogéographique!A:A,2,1),"P")</f>
        <v>P</v>
      </c>
      <c r="AP15470" s="4" t="s">
        <v>376</v>
      </c>
      <c r="AR15470" s="4" t="s">
        <v>377</v>
      </c>
    </row>
    <row r="15471" spans="1:44" ht="30">
      <c r="A15471" s="4" t="s">
        <v>10753</v>
      </c>
      <c r="B15471" s="4">
        <v>248869</v>
      </c>
      <c r="D15471" s="5" t="s">
        <v>18605</v>
      </c>
      <c r="E15471" s="6" t="str">
        <f>HYPERLINK("https://inpn.mnhn.fr/espece/cd_nom/248869","Parectropis similaria (Hufnagel, 1767)")</f>
        <v>Parectropis similaria (Hufnagel, 1767)</v>
      </c>
      <c r="F15471" s="5" t="s">
        <v>18606</v>
      </c>
      <c r="AH15471" s="4" t="str">
        <f>HYPERLINK("#Statut_biogéographique!A"&amp;_xlfn.XMATCH("P",Statut_biogéographique!A:A,2,1),"P")</f>
        <v>P</v>
      </c>
      <c r="AP15471" s="4" t="s">
        <v>376</v>
      </c>
      <c r="AR15471" s="4" t="s">
        <v>377</v>
      </c>
    </row>
    <row r="15472" spans="1:44" ht="30">
      <c r="A15472" s="4" t="s">
        <v>10753</v>
      </c>
      <c r="B15472" s="4">
        <v>248870</v>
      </c>
      <c r="D15472" s="5" t="s">
        <v>18607</v>
      </c>
      <c r="E15472" s="6" t="str">
        <f>HYPERLINK("https://inpn.mnhn.fr/espece/cd_nom/248870","Paradarisa consonaria (Hübner, 1799)")</f>
        <v>Paradarisa consonaria (Hübner, 1799)</v>
      </c>
      <c r="F15472" s="5" t="s">
        <v>18608</v>
      </c>
      <c r="AH15472" s="4" t="str">
        <f>HYPERLINK("#Statut_biogéographique!A"&amp;_xlfn.XMATCH("P",Statut_biogéographique!A:A,2,1),"P")</f>
        <v>P</v>
      </c>
      <c r="AP15472" s="4" t="s">
        <v>376</v>
      </c>
      <c r="AR15472" s="4" t="s">
        <v>377</v>
      </c>
    </row>
    <row r="15473" spans="1:44" ht="30">
      <c r="A15473" s="4" t="s">
        <v>10753</v>
      </c>
      <c r="B15473" s="4">
        <v>248871</v>
      </c>
      <c r="D15473" s="5" t="s">
        <v>18609</v>
      </c>
      <c r="E15473" s="6" t="str">
        <f>HYPERLINK("https://inpn.mnhn.fr/espece/cd_nom/248871","Ectropis crepuscularia (Denis &amp; Schiffermüller, 1775)")</f>
        <v>Ectropis crepuscularia (Denis &amp; Schiffermüller, 1775)</v>
      </c>
      <c r="F15473" s="5" t="s">
        <v>18610</v>
      </c>
      <c r="AH15473" s="4" t="str">
        <f>HYPERLINK("#Statut_biogéographique!A"&amp;_xlfn.XMATCH("P",Statut_biogéographique!A:A,2,1),"P")</f>
        <v>P</v>
      </c>
      <c r="AP15473" s="4" t="s">
        <v>376</v>
      </c>
      <c r="AR15473" s="4" t="s">
        <v>377</v>
      </c>
    </row>
    <row r="15474" spans="1:44" ht="30">
      <c r="A15474" s="4" t="s">
        <v>10753</v>
      </c>
      <c r="B15474" s="4">
        <v>248872</v>
      </c>
      <c r="D15474" s="5" t="s">
        <v>18611</v>
      </c>
      <c r="E15474" s="6" t="str">
        <f>HYPERLINK("https://inpn.mnhn.fr/espece/cd_nom/248872","Ascotis selenaria (Denis &amp; Schiffermüller, 1775)")</f>
        <v>Ascotis selenaria (Denis &amp; Schiffermüller, 1775)</v>
      </c>
      <c r="F15474" s="5" t="s">
        <v>18612</v>
      </c>
      <c r="AH15474" s="4" t="str">
        <f>HYPERLINK("#Statut_biogéographique!A"&amp;_xlfn.XMATCH("P",Statut_biogéographique!A:A,2,1),"P")</f>
        <v>P</v>
      </c>
      <c r="AP15474" s="4" t="s">
        <v>376</v>
      </c>
      <c r="AR15474" s="4" t="s">
        <v>377</v>
      </c>
    </row>
    <row r="15475" spans="1:44">
      <c r="A15475" s="4" t="s">
        <v>10753</v>
      </c>
      <c r="B15475" s="4">
        <v>248873</v>
      </c>
      <c r="D15475" s="5" t="s">
        <v>18613</v>
      </c>
      <c r="E15475" s="6" t="str">
        <f>HYPERLINK("https://inpn.mnhn.fr/espece/cd_nom/248873","Fagivorina arenaria (Hufnagel, 1767)")</f>
        <v>Fagivorina arenaria (Hufnagel, 1767)</v>
      </c>
      <c r="F15475" s="5" t="s">
        <v>18614</v>
      </c>
      <c r="AH15475" s="4" t="str">
        <f>HYPERLINK("#Statut_biogéographique!A"&amp;_xlfn.XMATCH("P",Statut_biogéographique!A:A,2,1),"P")</f>
        <v>P</v>
      </c>
      <c r="AP15475" s="4" t="s">
        <v>376</v>
      </c>
      <c r="AR15475" s="4" t="s">
        <v>377</v>
      </c>
    </row>
    <row r="15476" spans="1:44">
      <c r="A15476" s="4" t="s">
        <v>10753</v>
      </c>
      <c r="B15476" s="4">
        <v>248874</v>
      </c>
      <c r="D15476" s="5" t="s">
        <v>18615</v>
      </c>
      <c r="E15476" s="6" t="str">
        <f>HYPERLINK("https://inpn.mnhn.fr/espece/cd_nom/248874","Cleorodes lichenaria (Hufnagel, 1767)")</f>
        <v>Cleorodes lichenaria (Hufnagel, 1767)</v>
      </c>
      <c r="F15476" s="5" t="s">
        <v>18616</v>
      </c>
      <c r="AH15476" s="4" t="str">
        <f>HYPERLINK("#Statut_biogéographique!A"&amp;_xlfn.XMATCH("P",Statut_biogéographique!A:A,2,1),"P")</f>
        <v>P</v>
      </c>
      <c r="AP15476" s="4" t="s">
        <v>376</v>
      </c>
      <c r="AR15476" s="4" t="s">
        <v>377</v>
      </c>
    </row>
    <row r="15477" spans="1:44" ht="30">
      <c r="A15477" s="4" t="s">
        <v>10753</v>
      </c>
      <c r="B15477" s="4">
        <v>248877</v>
      </c>
      <c r="D15477" s="5" t="s">
        <v>18617</v>
      </c>
      <c r="E15477" s="6" t="str">
        <f>HYPERLINK("https://inpn.mnhn.fr/espece/cd_nom/248877","Hypomecis roboraria (Denis &amp; Schiffermüller, 1775)")</f>
        <v>Hypomecis roboraria (Denis &amp; Schiffermüller, 1775)</v>
      </c>
      <c r="F15477" s="5" t="s">
        <v>18618</v>
      </c>
      <c r="AH15477" s="4" t="str">
        <f>HYPERLINK("#Statut_biogéographique!A"&amp;_xlfn.XMATCH("P",Statut_biogéographique!A:A,2,1),"P")</f>
        <v>P</v>
      </c>
      <c r="AP15477" s="4" t="s">
        <v>376</v>
      </c>
      <c r="AR15477" s="4" t="s">
        <v>377</v>
      </c>
    </row>
    <row r="15478" spans="1:44" ht="30">
      <c r="A15478" s="4" t="s">
        <v>10753</v>
      </c>
      <c r="B15478" s="4">
        <v>248878</v>
      </c>
      <c r="D15478" s="5" t="s">
        <v>18619</v>
      </c>
      <c r="E15478" s="6" t="str">
        <f>HYPERLINK("https://inpn.mnhn.fr/espece/cd_nom/248878","Hypomecis punctinalis (Scopoli, 1763)")</f>
        <v>Hypomecis punctinalis (Scopoli, 1763)</v>
      </c>
      <c r="F15478" s="5" t="s">
        <v>18620</v>
      </c>
      <c r="AH15478" s="4" t="str">
        <f>HYPERLINK("#Statut_biogéographique!A"&amp;_xlfn.XMATCH("P",Statut_biogéographique!A:A,2,1),"P")</f>
        <v>P</v>
      </c>
      <c r="AP15478" s="4" t="s">
        <v>376</v>
      </c>
      <c r="AR15478" s="4" t="s">
        <v>377</v>
      </c>
    </row>
    <row r="15479" spans="1:44">
      <c r="A15479" s="4" t="s">
        <v>10753</v>
      </c>
      <c r="B15479" s="4">
        <v>248879</v>
      </c>
      <c r="D15479" s="5" t="s">
        <v>18621</v>
      </c>
      <c r="E15479" s="6" t="str">
        <f>HYPERLINK("https://inpn.mnhn.fr/espece/cd_nom/248879","Arichanna melanaria (Linnaeus, 1758)")</f>
        <v>Arichanna melanaria (Linnaeus, 1758)</v>
      </c>
      <c r="F15479" s="5" t="s">
        <v>18622</v>
      </c>
      <c r="AH15479" s="4" t="str">
        <f>HYPERLINK("#Statut_biogéographique!A"&amp;_xlfn.XMATCH("P",Statut_biogéographique!A:A,2,1),"P")</f>
        <v>P</v>
      </c>
      <c r="AP15479" s="4" t="s">
        <v>376</v>
      </c>
      <c r="AR15479" s="4" t="s">
        <v>377</v>
      </c>
    </row>
    <row r="15480" spans="1:44" ht="30">
      <c r="A15480" s="4" t="s">
        <v>10753</v>
      </c>
      <c r="B15480" s="4">
        <v>248880</v>
      </c>
      <c r="D15480" s="5" t="s">
        <v>18623</v>
      </c>
      <c r="E15480" s="6" t="str">
        <f>HYPERLINK("https://inpn.mnhn.fr/espece/cd_nom/248880","Alcis repandata (Linnaeus, 1758)")</f>
        <v>Alcis repandata (Linnaeus, 1758)</v>
      </c>
      <c r="F15480" s="5" t="s">
        <v>18624</v>
      </c>
      <c r="AH15480" s="4" t="str">
        <f>HYPERLINK("#Statut_biogéographique!A"&amp;_xlfn.XMATCH("P",Statut_biogéographique!A:A,2,1),"P")</f>
        <v>P</v>
      </c>
      <c r="AP15480" s="4" t="s">
        <v>376</v>
      </c>
      <c r="AR15480" s="4" t="s">
        <v>377</v>
      </c>
    </row>
    <row r="15481" spans="1:44">
      <c r="A15481" s="4" t="s">
        <v>10753</v>
      </c>
      <c r="B15481" s="4">
        <v>248882</v>
      </c>
      <c r="D15481" s="5" t="s">
        <v>18625</v>
      </c>
      <c r="E15481" s="6" t="str">
        <f>HYPERLINK("https://inpn.mnhn.fr/espece/cd_nom/248882","Alcis jubata (Thunberg, 1788)")</f>
        <v>Alcis jubata (Thunberg, 1788)</v>
      </c>
      <c r="F15481" s="5" t="s">
        <v>18626</v>
      </c>
      <c r="AH15481" s="4" t="str">
        <f>HYPERLINK("#Statut_biogéographique!A"&amp;_xlfn.XMATCH("P",Statut_biogéographique!A:A,2,1),"P")</f>
        <v>P</v>
      </c>
      <c r="AP15481" s="4" t="s">
        <v>376</v>
      </c>
      <c r="AR15481" s="4" t="s">
        <v>377</v>
      </c>
    </row>
    <row r="15482" spans="1:44">
      <c r="A15482" s="4" t="s">
        <v>10753</v>
      </c>
      <c r="B15482" s="4">
        <v>248883</v>
      </c>
      <c r="D15482" s="5" t="s">
        <v>18627</v>
      </c>
      <c r="E15482" s="6" t="str">
        <f>HYPERLINK("https://inpn.mnhn.fr/espece/cd_nom/248883","Deileptenia ribeata (Clerck, 1759)")</f>
        <v>Deileptenia ribeata (Clerck, 1759)</v>
      </c>
      <c r="F15482" s="5" t="s">
        <v>18628</v>
      </c>
      <c r="AH15482" s="4" t="str">
        <f>HYPERLINK("#Statut_biogéographique!A"&amp;_xlfn.XMATCH("P",Statut_biogéographique!A:A,2,1),"P")</f>
        <v>P</v>
      </c>
      <c r="AP15482" s="4" t="s">
        <v>376</v>
      </c>
      <c r="AR15482" s="4" t="s">
        <v>377</v>
      </c>
    </row>
    <row r="15483" spans="1:44">
      <c r="A15483" s="4" t="s">
        <v>10753</v>
      </c>
      <c r="B15483" s="4">
        <v>248884</v>
      </c>
      <c r="D15483" s="5" t="s">
        <v>18629</v>
      </c>
      <c r="E15483" s="6" t="str">
        <f>HYPERLINK("https://inpn.mnhn.fr/espece/cd_nom/248884","Cleora cinctaria (Denis &amp; Schiffermüller, 1775)")</f>
        <v>Cleora cinctaria (Denis &amp; Schiffermüller, 1775)</v>
      </c>
      <c r="F15483" s="5" t="s">
        <v>18630</v>
      </c>
      <c r="AH15483" s="4" t="str">
        <f>HYPERLINK("#Statut_biogéographique!A"&amp;_xlfn.XMATCH("P",Statut_biogéographique!A:A,2,1),"P")</f>
        <v>P</v>
      </c>
      <c r="AP15483" s="4" t="s">
        <v>376</v>
      </c>
      <c r="AR15483" s="4" t="s">
        <v>377</v>
      </c>
    </row>
    <row r="15484" spans="1:44">
      <c r="A15484" s="4" t="s">
        <v>10753</v>
      </c>
      <c r="B15484" s="4">
        <v>248885</v>
      </c>
      <c r="D15484" s="5" t="s">
        <v>18631</v>
      </c>
      <c r="E15484" s="6" t="str">
        <f>HYPERLINK("https://inpn.mnhn.fr/espece/cd_nom/248885","Selidosema brunnearia (Villers, 1789)")</f>
        <v>Selidosema brunnearia (Villers, 1789)</v>
      </c>
      <c r="F15484" s="5" t="s">
        <v>18632</v>
      </c>
      <c r="AH15484" s="4" t="str">
        <f>HYPERLINK("#Statut_biogéographique!A"&amp;_xlfn.XMATCH("P",Statut_biogéographique!A:A,2,1),"P")</f>
        <v>P</v>
      </c>
      <c r="AP15484" s="4" t="s">
        <v>376</v>
      </c>
      <c r="AR15484" s="4" t="s">
        <v>377</v>
      </c>
    </row>
    <row r="15485" spans="1:44" ht="30">
      <c r="A15485" s="4" t="s">
        <v>10753</v>
      </c>
      <c r="B15485" s="4">
        <v>248886</v>
      </c>
      <c r="D15485" s="5" t="s">
        <v>18633</v>
      </c>
      <c r="E15485" s="6" t="str">
        <f>HYPERLINK("https://inpn.mnhn.fr/espece/cd_nom/248886","Selidosema taeniolaria (Hübner, 1813)")</f>
        <v>Selidosema taeniolaria (Hübner, 1813)</v>
      </c>
      <c r="F15485" s="5" t="s">
        <v>18634</v>
      </c>
      <c r="AH15485" s="4" t="str">
        <f>HYPERLINK("#Statut_biogéographique!A"&amp;_xlfn.XMATCH("P",Statut_biogéographique!A:A,2,1),"P")</f>
        <v>P</v>
      </c>
      <c r="AP15485" s="4" t="s">
        <v>376</v>
      </c>
      <c r="AR15485" s="4" t="s">
        <v>377</v>
      </c>
    </row>
    <row r="15486" spans="1:44" ht="30">
      <c r="A15486" s="4" t="s">
        <v>10753</v>
      </c>
      <c r="B15486" s="4">
        <v>248887</v>
      </c>
      <c r="D15486" s="5" t="s">
        <v>18635</v>
      </c>
      <c r="E15486" s="6" t="str">
        <f>HYPERLINK("https://inpn.mnhn.fr/espece/cd_nom/248887","Peribatodes rhomboidaria (Denis &amp; Schiffermüller, 1775)")</f>
        <v>Peribatodes rhomboidaria (Denis &amp; Schiffermüller, 1775)</v>
      </c>
      <c r="F15486" s="5" t="s">
        <v>18636</v>
      </c>
      <c r="AH15486" s="4" t="str">
        <f>HYPERLINK("#Statut_biogéographique!A"&amp;_xlfn.XMATCH("P",Statut_biogéographique!A:A,2,1),"P")</f>
        <v>P</v>
      </c>
      <c r="AP15486" s="4" t="s">
        <v>376</v>
      </c>
      <c r="AR15486" s="4" t="s">
        <v>377</v>
      </c>
    </row>
    <row r="15487" spans="1:44" ht="60">
      <c r="A15487" s="4" t="s">
        <v>10753</v>
      </c>
      <c r="B15487" s="4">
        <v>248891</v>
      </c>
      <c r="D15487" s="5" t="s">
        <v>18637</v>
      </c>
      <c r="E15487" s="6" t="str">
        <f>HYPERLINK("https://inpn.mnhn.fr/espece/cd_nom/248891","Peribatodes perversaria (Boisduval, 1840)")</f>
        <v>Peribatodes perversaria (Boisduval, 1840)</v>
      </c>
      <c r="F15487" s="5" t="s">
        <v>18638</v>
      </c>
      <c r="AH15487" s="4" t="str">
        <f>HYPERLINK("#Statut_biogéographique!A"&amp;_xlfn.XMATCH("P",Statut_biogéographique!A:A,2,1),"P")</f>
        <v>P</v>
      </c>
      <c r="AP15487" s="4" t="s">
        <v>376</v>
      </c>
      <c r="AR15487" s="4" t="s">
        <v>377</v>
      </c>
    </row>
    <row r="15488" spans="1:44" ht="30">
      <c r="A15488" s="4" t="s">
        <v>10753</v>
      </c>
      <c r="B15488" s="4">
        <v>248893</v>
      </c>
      <c r="D15488" s="5" t="s">
        <v>18639</v>
      </c>
      <c r="E15488" s="6" t="str">
        <f>HYPERLINK("https://inpn.mnhn.fr/espece/cd_nom/248893","Peribatodes secundaria (Denis &amp; Schiffermüller, 1775)")</f>
        <v>Peribatodes secundaria (Denis &amp; Schiffermüller, 1775)</v>
      </c>
      <c r="F15488" s="5" t="s">
        <v>18640</v>
      </c>
      <c r="AH15488" s="4" t="str">
        <f>HYPERLINK("#Statut_biogéographique!A"&amp;_xlfn.XMATCH("P",Statut_biogéographique!A:A,2,1),"P")</f>
        <v>P</v>
      </c>
      <c r="AP15488" s="4" t="s">
        <v>376</v>
      </c>
      <c r="AR15488" s="4" t="s">
        <v>377</v>
      </c>
    </row>
    <row r="15489" spans="1:44">
      <c r="A15489" s="4" t="s">
        <v>10753</v>
      </c>
      <c r="B15489" s="4">
        <v>248894</v>
      </c>
      <c r="D15489" s="5" t="s">
        <v>18641</v>
      </c>
      <c r="E15489" s="6" t="str">
        <f>HYPERLINK("https://inpn.mnhn.fr/espece/cd_nom/248894","Peribatodes ilicaria (Geyer, 1833)")</f>
        <v>Peribatodes ilicaria (Geyer, 1833)</v>
      </c>
      <c r="F15489" s="5" t="s">
        <v>18642</v>
      </c>
      <c r="AH15489" s="4" t="str">
        <f>HYPERLINK("#Statut_biogéographique!A"&amp;_xlfn.XMATCH("P",Statut_biogéographique!A:A,2,1),"P")</f>
        <v>P</v>
      </c>
      <c r="AP15489" s="4" t="s">
        <v>376</v>
      </c>
      <c r="AR15489" s="4" t="s">
        <v>377</v>
      </c>
    </row>
    <row r="15490" spans="1:44" ht="30">
      <c r="A15490" s="4" t="s">
        <v>10753</v>
      </c>
      <c r="B15490" s="4">
        <v>248895</v>
      </c>
      <c r="D15490" s="5" t="s">
        <v>18643</v>
      </c>
      <c r="E15490" s="6" t="str">
        <f>HYPERLINK("https://inpn.mnhn.fr/espece/cd_nom/248895","Sciadia tenebraria (Esper, 1806)")</f>
        <v>Sciadia tenebraria (Esper, 1806)</v>
      </c>
      <c r="F15490" s="5" t="s">
        <v>18644</v>
      </c>
      <c r="AH15490" s="4" t="str">
        <f>HYPERLINK("#Statut_biogéographique!A"&amp;_xlfn.XMATCH("P",Statut_biogéographique!A:A,2,1),"P")</f>
        <v>P</v>
      </c>
      <c r="AP15490" s="4" t="s">
        <v>376</v>
      </c>
      <c r="AR15490" s="4" t="s">
        <v>377</v>
      </c>
    </row>
    <row r="15491" spans="1:44" ht="30">
      <c r="A15491" s="4" t="s">
        <v>10753</v>
      </c>
      <c r="B15491" s="4">
        <v>248900</v>
      </c>
      <c r="D15491" s="5" t="s">
        <v>18645</v>
      </c>
      <c r="E15491" s="6" t="str">
        <f>HYPERLINK("https://inpn.mnhn.fr/espece/cd_nom/248900","Synopsia sociaria (Hübner, 1799)")</f>
        <v>Synopsia sociaria (Hübner, 1799)</v>
      </c>
      <c r="F15491" s="5" t="s">
        <v>18646</v>
      </c>
      <c r="AH15491" s="4" t="str">
        <f>HYPERLINK("#Statut_biogéographique!A"&amp;_xlfn.XMATCH("P",Statut_biogéographique!A:A,2,1),"P")</f>
        <v>P</v>
      </c>
      <c r="AP15491" s="4" t="s">
        <v>376</v>
      </c>
      <c r="AR15491" s="4" t="s">
        <v>377</v>
      </c>
    </row>
    <row r="15492" spans="1:44" ht="30">
      <c r="A15492" s="4" t="s">
        <v>10753</v>
      </c>
      <c r="B15492" s="4">
        <v>248901</v>
      </c>
      <c r="D15492" s="5" t="s">
        <v>18647</v>
      </c>
      <c r="E15492" s="6" t="str">
        <f>HYPERLINK("https://inpn.mnhn.fr/espece/cd_nom/248901","Menophra abruptaria (Thunberg, 1792)")</f>
        <v>Menophra abruptaria (Thunberg, 1792)</v>
      </c>
      <c r="F15492" s="5" t="s">
        <v>18648</v>
      </c>
      <c r="AH15492" s="4" t="str">
        <f>HYPERLINK("#Statut_biogéographique!A"&amp;_xlfn.XMATCH("P",Statut_biogéographique!A:A,2,1),"P")</f>
        <v>P</v>
      </c>
      <c r="AP15492" s="4" t="s">
        <v>376</v>
      </c>
      <c r="AR15492" s="4" t="s">
        <v>377</v>
      </c>
    </row>
    <row r="15493" spans="1:44" ht="30">
      <c r="A15493" s="4" t="s">
        <v>10753</v>
      </c>
      <c r="B15493" s="4">
        <v>248903</v>
      </c>
      <c r="D15493" s="5" t="s">
        <v>18649</v>
      </c>
      <c r="E15493" s="6" t="str">
        <f>HYPERLINK("https://inpn.mnhn.fr/espece/cd_nom/248903","Menophra nycthemeraria (Geyer, 1831)")</f>
        <v>Menophra nycthemeraria (Geyer, 1831)</v>
      </c>
      <c r="F15493" s="5" t="s">
        <v>18650</v>
      </c>
      <c r="AH15493" s="4" t="str">
        <f>HYPERLINK("#Statut_biogéographique!A"&amp;_xlfn.XMATCH("P",Statut_biogéographique!A:A,2,1),"P")</f>
        <v>P</v>
      </c>
      <c r="AP15493" s="4" t="s">
        <v>376</v>
      </c>
      <c r="AR15493" s="4" t="s">
        <v>377</v>
      </c>
    </row>
    <row r="15494" spans="1:44" ht="30">
      <c r="A15494" s="4" t="s">
        <v>10753</v>
      </c>
      <c r="B15494" s="4">
        <v>248905</v>
      </c>
      <c r="D15494" s="5" t="s">
        <v>18651</v>
      </c>
      <c r="E15494" s="6" t="str">
        <f>HYPERLINK("https://inpn.mnhn.fr/espece/cd_nom/248905","Nychiodes obscuraria (Villers, 1789)")</f>
        <v>Nychiodes obscuraria (Villers, 1789)</v>
      </c>
      <c r="F15494" s="5" t="s">
        <v>18652</v>
      </c>
      <c r="AH15494" s="4" t="str">
        <f>HYPERLINK("#Statut_biogéographique!A"&amp;_xlfn.XMATCH("P",Statut_biogéographique!A:A,2,1),"P")</f>
        <v>P</v>
      </c>
      <c r="AP15494" s="4" t="s">
        <v>376</v>
      </c>
      <c r="AR15494" s="4" t="s">
        <v>377</v>
      </c>
    </row>
    <row r="15495" spans="1:44">
      <c r="A15495" s="4" t="s">
        <v>10753</v>
      </c>
      <c r="B15495" s="4">
        <v>24891</v>
      </c>
      <c r="D15495" s="5" t="s">
        <v>18653</v>
      </c>
      <c r="E15495" s="6" t="str">
        <f>HYPERLINK("https://inpn.mnhn.fr/espece/cd_nom/24891","Otites centralis (Fabricius, 1805)")</f>
        <v>Otites centralis (Fabricius, 1805)</v>
      </c>
      <c r="AH15495" s="4" t="str">
        <f>HYPERLINK("#Statut_biogéographique!A"&amp;_xlfn.XMATCH("P",Statut_biogéographique!A:A,2,1),"P")</f>
        <v>P</v>
      </c>
      <c r="AP15495" s="4" t="s">
        <v>376</v>
      </c>
      <c r="AR15495" s="4" t="s">
        <v>377</v>
      </c>
    </row>
    <row r="15496" spans="1:44">
      <c r="A15496" s="4" t="s">
        <v>10753</v>
      </c>
      <c r="B15496" s="4">
        <v>248910</v>
      </c>
      <c r="D15496" s="5" t="s">
        <v>18654</v>
      </c>
      <c r="E15496" s="6" t="str">
        <f>HYPERLINK("https://inpn.mnhn.fr/espece/cd_nom/248910","Crocota tinctaria (Hübner, 1799)")</f>
        <v>Crocota tinctaria (Hübner, 1799)</v>
      </c>
      <c r="F15496" s="5" t="s">
        <v>18655</v>
      </c>
      <c r="AH15496" s="4" t="str">
        <f>HYPERLINK("#Statut_biogéographique!A"&amp;_xlfn.XMATCH("P",Statut_biogéographique!A:A,2,1),"P")</f>
        <v>P</v>
      </c>
      <c r="AP15496" s="4" t="s">
        <v>376</v>
      </c>
      <c r="AR15496" s="4" t="s">
        <v>377</v>
      </c>
    </row>
    <row r="15497" spans="1:44" ht="30">
      <c r="A15497" s="4" t="s">
        <v>10753</v>
      </c>
      <c r="B15497" s="4">
        <v>248911</v>
      </c>
      <c r="D15497" s="5" t="s">
        <v>18656</v>
      </c>
      <c r="E15497" s="6" t="str">
        <f>HYPERLINK("https://inpn.mnhn.fr/espece/cd_nom/248911","Bupalus piniaria (Linnaeus, 1758)")</f>
        <v>Bupalus piniaria (Linnaeus, 1758)</v>
      </c>
      <c r="F15497" s="5" t="s">
        <v>18657</v>
      </c>
      <c r="AH15497" s="4" t="str">
        <f>HYPERLINK("#Statut_biogéographique!A"&amp;_xlfn.XMATCH("P",Statut_biogéographique!A:A,2,1),"P")</f>
        <v>P</v>
      </c>
      <c r="AP15497" s="4" t="s">
        <v>376</v>
      </c>
      <c r="AR15497" s="4" t="s">
        <v>377</v>
      </c>
    </row>
    <row r="15498" spans="1:44">
      <c r="A15498" s="4" t="s">
        <v>10753</v>
      </c>
      <c r="B15498" s="4">
        <v>248912</v>
      </c>
      <c r="D15498" s="5" t="s">
        <v>18658</v>
      </c>
      <c r="E15498" s="6" t="str">
        <f>HYPERLINK("https://inpn.mnhn.fr/espece/cd_nom/248912","Cabera pusaria (Linnaeus, 1758)")</f>
        <v>Cabera pusaria (Linnaeus, 1758)</v>
      </c>
      <c r="F15498" s="5" t="s">
        <v>18659</v>
      </c>
      <c r="AH15498" s="4" t="str">
        <f>HYPERLINK("#Statut_biogéographique!A"&amp;_xlfn.XMATCH("P",Statut_biogéographique!A:A,2,1),"P")</f>
        <v>P</v>
      </c>
      <c r="AP15498" s="4" t="s">
        <v>376</v>
      </c>
      <c r="AR15498" s="4" t="s">
        <v>377</v>
      </c>
    </row>
    <row r="15499" spans="1:44" ht="30">
      <c r="A15499" s="4" t="s">
        <v>10753</v>
      </c>
      <c r="B15499" s="4">
        <v>248913</v>
      </c>
      <c r="D15499" s="5" t="s">
        <v>18660</v>
      </c>
      <c r="E15499" s="6" t="str">
        <f>HYPERLINK("https://inpn.mnhn.fr/espece/cd_nom/248913","Cabera exanthemata (Scopoli, 1763)")</f>
        <v>Cabera exanthemata (Scopoli, 1763)</v>
      </c>
      <c r="F15499" s="5" t="s">
        <v>18661</v>
      </c>
      <c r="AH15499" s="4" t="str">
        <f>HYPERLINK("#Statut_biogéographique!A"&amp;_xlfn.XMATCH("P",Statut_biogéographique!A:A,2,1),"P")</f>
        <v>P</v>
      </c>
      <c r="AP15499" s="4" t="s">
        <v>376</v>
      </c>
      <c r="AR15499" s="4" t="s">
        <v>377</v>
      </c>
    </row>
    <row r="15500" spans="1:44" ht="30">
      <c r="A15500" s="4" t="s">
        <v>10753</v>
      </c>
      <c r="B15500" s="4">
        <v>248914</v>
      </c>
      <c r="D15500" s="5" t="s">
        <v>18662</v>
      </c>
      <c r="E15500" s="6" t="str">
        <f>HYPERLINK("https://inpn.mnhn.fr/espece/cd_nom/248914","Pungeleria capreolaria (Denis &amp; Schiffermüller, 1775)")</f>
        <v>Pungeleria capreolaria (Denis &amp; Schiffermüller, 1775)</v>
      </c>
      <c r="F15500" s="5" t="s">
        <v>18663</v>
      </c>
      <c r="AH15500" s="4" t="str">
        <f>HYPERLINK("#Statut_biogéographique!A"&amp;_xlfn.XMATCH("P",Statut_biogéographique!A:A,2,1),"P")</f>
        <v>P</v>
      </c>
      <c r="AP15500" s="4" t="s">
        <v>376</v>
      </c>
      <c r="AR15500" s="4" t="s">
        <v>377</v>
      </c>
    </row>
    <row r="15501" spans="1:44" ht="30">
      <c r="A15501" s="4" t="s">
        <v>10753</v>
      </c>
      <c r="B15501" s="4">
        <v>248916</v>
      </c>
      <c r="D15501" s="5" t="s">
        <v>18664</v>
      </c>
      <c r="E15501" s="6" t="str">
        <f>HYPERLINK("https://inpn.mnhn.fr/espece/cd_nom/248916","Hylaea fasciaria (Linnaeus, 1758)")</f>
        <v>Hylaea fasciaria (Linnaeus, 1758)</v>
      </c>
      <c r="F15501" s="5" t="s">
        <v>18665</v>
      </c>
      <c r="AH15501" s="4" t="str">
        <f>HYPERLINK("#Statut_biogéographique!A"&amp;_xlfn.XMATCH("P",Statut_biogéographique!A:A,2,1),"P")</f>
        <v>P</v>
      </c>
      <c r="AP15501" s="4" t="s">
        <v>376</v>
      </c>
      <c r="AR15501" s="4" t="s">
        <v>377</v>
      </c>
    </row>
    <row r="15502" spans="1:44" ht="30">
      <c r="A15502" s="4" t="s">
        <v>10753</v>
      </c>
      <c r="B15502" s="4">
        <v>248918</v>
      </c>
      <c r="D15502" s="5" t="s">
        <v>18666</v>
      </c>
      <c r="E15502" s="6" t="str">
        <f>HYPERLINK("https://inpn.mnhn.fr/espece/cd_nom/248918","Campaea margaritaria (Linnaeus, 1761)")</f>
        <v>Campaea margaritaria (Linnaeus, 1761)</v>
      </c>
      <c r="F15502" s="5" t="s">
        <v>18667</v>
      </c>
      <c r="AH15502" s="4" t="str">
        <f>HYPERLINK("#Statut_biogéographique!A"&amp;_xlfn.XMATCH("P",Statut_biogéographique!A:A,2,1),"P")</f>
        <v>P</v>
      </c>
      <c r="AP15502" s="4" t="s">
        <v>376</v>
      </c>
      <c r="AR15502" s="4" t="s">
        <v>377</v>
      </c>
    </row>
    <row r="15503" spans="1:44">
      <c r="A15503" s="4" t="s">
        <v>10753</v>
      </c>
      <c r="B15503" s="4">
        <v>248920</v>
      </c>
      <c r="D15503" s="5" t="s">
        <v>18668</v>
      </c>
      <c r="E15503" s="6" t="str">
        <f>HYPERLINK("https://inpn.mnhn.fr/espece/cd_nom/248920","Stegania cararia (Hübner, 1790)")</f>
        <v>Stegania cararia (Hübner, 1790)</v>
      </c>
      <c r="F15503" s="5" t="s">
        <v>18669</v>
      </c>
      <c r="AH15503" s="4" t="str">
        <f>HYPERLINK("#Statut_biogéographique!A"&amp;_xlfn.XMATCH("P",Statut_biogéographique!A:A,2,1),"P")</f>
        <v>P</v>
      </c>
      <c r="AP15503" s="4" t="s">
        <v>376</v>
      </c>
      <c r="AR15503" s="4" t="s">
        <v>377</v>
      </c>
    </row>
    <row r="15504" spans="1:44" ht="30">
      <c r="A15504" s="4" t="s">
        <v>10753</v>
      </c>
      <c r="B15504" s="4">
        <v>248921</v>
      </c>
      <c r="D15504" s="5" t="s">
        <v>18670</v>
      </c>
      <c r="E15504" s="6" t="str">
        <f>HYPERLINK("https://inpn.mnhn.fr/espece/cd_nom/248921","Stegania trimaculata (Villers, 1789)")</f>
        <v>Stegania trimaculata (Villers, 1789)</v>
      </c>
      <c r="F15504" s="5" t="s">
        <v>18671</v>
      </c>
      <c r="AH15504" s="4" t="str">
        <f>HYPERLINK("#Statut_biogéographique!A"&amp;_xlfn.XMATCH("P",Statut_biogéographique!A:A,2,1),"P")</f>
        <v>P</v>
      </c>
      <c r="AP15504" s="4" t="s">
        <v>376</v>
      </c>
      <c r="AR15504" s="4" t="s">
        <v>377</v>
      </c>
    </row>
    <row r="15505" spans="1:44">
      <c r="A15505" s="4" t="s">
        <v>10753</v>
      </c>
      <c r="B15505" s="4">
        <v>248922</v>
      </c>
      <c r="D15505" s="5" t="s">
        <v>18672</v>
      </c>
      <c r="E15505" s="6" t="str">
        <f>HYPERLINK("https://inpn.mnhn.fr/espece/cd_nom/248922","Lomaspilis marginata (Linnaeus, 1758)")</f>
        <v>Lomaspilis marginata (Linnaeus, 1758)</v>
      </c>
      <c r="F15505" s="5" t="s">
        <v>18673</v>
      </c>
      <c r="AH15505" s="4" t="str">
        <f>HYPERLINK("#Statut_biogéographique!A"&amp;_xlfn.XMATCH("P",Statut_biogéographique!A:A,2,1),"P")</f>
        <v>P</v>
      </c>
      <c r="AP15505" s="4" t="s">
        <v>376</v>
      </c>
      <c r="AR15505" s="4" t="s">
        <v>377</v>
      </c>
    </row>
    <row r="15506" spans="1:44">
      <c r="A15506" s="4" t="s">
        <v>10753</v>
      </c>
      <c r="B15506" s="4">
        <v>248923</v>
      </c>
      <c r="D15506" s="5" t="s">
        <v>18674</v>
      </c>
      <c r="E15506" s="6" t="str">
        <f>HYPERLINK("https://inpn.mnhn.fr/espece/cd_nom/248923","Colotois pennaria (Linnaeus, 1761)")</f>
        <v>Colotois pennaria (Linnaeus, 1761)</v>
      </c>
      <c r="F15506" s="5" t="s">
        <v>18675</v>
      </c>
      <c r="AH15506" s="4" t="str">
        <f>HYPERLINK("#Statut_biogéographique!A"&amp;_xlfn.XMATCH("P",Statut_biogéographique!A:A,2,1),"P")</f>
        <v>P</v>
      </c>
      <c r="AP15506" s="4" t="s">
        <v>376</v>
      </c>
      <c r="AR15506" s="4" t="s">
        <v>377</v>
      </c>
    </row>
    <row r="15507" spans="1:44" ht="30">
      <c r="A15507" s="4" t="s">
        <v>10753</v>
      </c>
      <c r="B15507" s="4">
        <v>248924</v>
      </c>
      <c r="D15507" s="5" t="s">
        <v>18676</v>
      </c>
      <c r="E15507" s="6" t="str">
        <f>HYPERLINK("https://inpn.mnhn.fr/espece/cd_nom/248924","Selenia dentaria (Fabricius, 1775)")</f>
        <v>Selenia dentaria (Fabricius, 1775)</v>
      </c>
      <c r="F15507" s="5" t="s">
        <v>18677</v>
      </c>
      <c r="AH15507" s="4" t="str">
        <f>HYPERLINK("#Statut_biogéographique!A"&amp;_xlfn.XMATCH("P",Statut_biogéographique!A:A,2,1),"P")</f>
        <v>P</v>
      </c>
      <c r="AP15507" s="4" t="s">
        <v>376</v>
      </c>
      <c r="AR15507" s="4" t="s">
        <v>377</v>
      </c>
    </row>
    <row r="15508" spans="1:44" ht="30">
      <c r="A15508" s="4" t="s">
        <v>10753</v>
      </c>
      <c r="B15508" s="4">
        <v>248925</v>
      </c>
      <c r="D15508" s="5" t="s">
        <v>18678</v>
      </c>
      <c r="E15508" s="6" t="str">
        <f>HYPERLINK("https://inpn.mnhn.fr/espece/cd_nom/248925","Selenia lunularia (Hübner, 1788)")</f>
        <v>Selenia lunularia (Hübner, 1788)</v>
      </c>
      <c r="F15508" s="5" t="s">
        <v>18679</v>
      </c>
      <c r="AH15508" s="4" t="str">
        <f>HYPERLINK("#Statut_biogéographique!A"&amp;_xlfn.XMATCH("P",Statut_biogéographique!A:A,2,1),"P")</f>
        <v>P</v>
      </c>
      <c r="AP15508" s="4" t="s">
        <v>376</v>
      </c>
      <c r="AR15508" s="4" t="s">
        <v>377</v>
      </c>
    </row>
    <row r="15509" spans="1:44" ht="30">
      <c r="A15509" s="4" t="s">
        <v>10753</v>
      </c>
      <c r="B15509" s="4">
        <v>248926</v>
      </c>
      <c r="D15509" s="5" t="s">
        <v>18680</v>
      </c>
      <c r="E15509" s="6" t="str">
        <f>HYPERLINK("https://inpn.mnhn.fr/espece/cd_nom/248926","Selenia tetralunaria (Hufnagel, 1767)")</f>
        <v>Selenia tetralunaria (Hufnagel, 1767)</v>
      </c>
      <c r="F15509" s="5" t="s">
        <v>18681</v>
      </c>
      <c r="AH15509" s="4" t="str">
        <f>HYPERLINK("#Statut_biogéographique!A"&amp;_xlfn.XMATCH("P",Statut_biogéographique!A:A,2,1),"P")</f>
        <v>P</v>
      </c>
      <c r="AP15509" s="4" t="s">
        <v>376</v>
      </c>
      <c r="AR15509" s="4" t="s">
        <v>377</v>
      </c>
    </row>
    <row r="15510" spans="1:44">
      <c r="A15510" s="4" t="s">
        <v>10753</v>
      </c>
      <c r="B15510" s="4">
        <v>248927</v>
      </c>
      <c r="D15510" s="5" t="s">
        <v>18682</v>
      </c>
      <c r="E15510" s="6" t="str">
        <f>HYPERLINK("https://inpn.mnhn.fr/espece/cd_nom/248927","Ennomos autumnaria (Werneburg, 1859)")</f>
        <v>Ennomos autumnaria (Werneburg, 1859)</v>
      </c>
      <c r="F15510" s="5" t="s">
        <v>18683</v>
      </c>
      <c r="AH15510" s="4" t="str">
        <f>HYPERLINK("#Statut_biogéographique!A"&amp;_xlfn.XMATCH("P",Statut_biogéographique!A:A,2,1),"P")</f>
        <v>P</v>
      </c>
      <c r="AP15510" s="4" t="s">
        <v>376</v>
      </c>
      <c r="AR15510" s="4" t="s">
        <v>377</v>
      </c>
    </row>
    <row r="15511" spans="1:44" ht="30">
      <c r="A15511" s="4" t="s">
        <v>10753</v>
      </c>
      <c r="B15511" s="4">
        <v>248928</v>
      </c>
      <c r="D15511" s="5" t="s">
        <v>18684</v>
      </c>
      <c r="E15511" s="6" t="str">
        <f>HYPERLINK("https://inpn.mnhn.fr/espece/cd_nom/248928","Ennomos quercinaria (Hufnagel, 1767)")</f>
        <v>Ennomos quercinaria (Hufnagel, 1767)</v>
      </c>
      <c r="F15511" s="5" t="s">
        <v>18685</v>
      </c>
      <c r="AH15511" s="4" t="str">
        <f>HYPERLINK("#Statut_biogéographique!A"&amp;_xlfn.XMATCH("P",Statut_biogéographique!A:A,2,1),"P")</f>
        <v>P</v>
      </c>
      <c r="AP15511" s="4" t="s">
        <v>376</v>
      </c>
      <c r="AR15511" s="4" t="s">
        <v>377</v>
      </c>
    </row>
    <row r="15512" spans="1:44">
      <c r="A15512" s="4" t="s">
        <v>10753</v>
      </c>
      <c r="B15512" s="4">
        <v>248929</v>
      </c>
      <c r="D15512" s="5" t="s">
        <v>18686</v>
      </c>
      <c r="E15512" s="6" t="str">
        <f>HYPERLINK("https://inpn.mnhn.fr/espece/cd_nom/248929","Ennomos alniaria (Linnaeus, 1758)")</f>
        <v>Ennomos alniaria (Linnaeus, 1758)</v>
      </c>
      <c r="F15512" s="5" t="s">
        <v>18687</v>
      </c>
      <c r="AH15512" s="4" t="str">
        <f>HYPERLINK("#Statut_biogéographique!A"&amp;_xlfn.XMATCH("P",Statut_biogéographique!A:A,2,1),"P")</f>
        <v>P</v>
      </c>
      <c r="AP15512" s="4" t="s">
        <v>376</v>
      </c>
      <c r="AR15512" s="4" t="s">
        <v>377</v>
      </c>
    </row>
    <row r="15513" spans="1:44">
      <c r="A15513" s="4" t="s">
        <v>10753</v>
      </c>
      <c r="B15513" s="4">
        <v>248930</v>
      </c>
      <c r="D15513" s="5" t="s">
        <v>18688</v>
      </c>
      <c r="E15513" s="6" t="str">
        <f>HYPERLINK("https://inpn.mnhn.fr/espece/cd_nom/248930","Ennomos fuscantaria (Haworth, 1809)")</f>
        <v>Ennomos fuscantaria (Haworth, 1809)</v>
      </c>
      <c r="F15513" s="5" t="s">
        <v>18689</v>
      </c>
      <c r="AH15513" s="4" t="str">
        <f>HYPERLINK("#Statut_biogéographique!A"&amp;_xlfn.XMATCH("P",Statut_biogéographique!A:A,2,1),"P")</f>
        <v>P</v>
      </c>
      <c r="AP15513" s="4" t="s">
        <v>376</v>
      </c>
      <c r="AR15513" s="4" t="s">
        <v>377</v>
      </c>
    </row>
    <row r="15514" spans="1:44" ht="30">
      <c r="A15514" s="4" t="s">
        <v>10753</v>
      </c>
      <c r="B15514" s="4">
        <v>248931</v>
      </c>
      <c r="D15514" s="5" t="s">
        <v>18690</v>
      </c>
      <c r="E15514" s="6" t="str">
        <f>HYPERLINK("https://inpn.mnhn.fr/espece/cd_nom/248931","Ennomos erosaria (Denis &amp; Schiffermüller, 1775)")</f>
        <v>Ennomos erosaria (Denis &amp; Schiffermüller, 1775)</v>
      </c>
      <c r="F15514" s="5" t="s">
        <v>18691</v>
      </c>
      <c r="AH15514" s="4" t="str">
        <f>HYPERLINK("#Statut_biogéographique!A"&amp;_xlfn.XMATCH("P",Statut_biogéographique!A:A,2,1),"P")</f>
        <v>P</v>
      </c>
      <c r="AP15514" s="4" t="s">
        <v>376</v>
      </c>
      <c r="AR15514" s="4" t="s">
        <v>377</v>
      </c>
    </row>
    <row r="15515" spans="1:44">
      <c r="A15515" s="4" t="s">
        <v>10753</v>
      </c>
      <c r="B15515" s="4">
        <v>248932</v>
      </c>
      <c r="D15515" s="5" t="s">
        <v>18692</v>
      </c>
      <c r="E15515" s="6" t="str">
        <f>HYPERLINK("https://inpn.mnhn.fr/espece/cd_nom/248932","Ennomos quercaria (Hübner, 1813)")</f>
        <v>Ennomos quercaria (Hübner, 1813)</v>
      </c>
      <c r="F15515" s="5" t="s">
        <v>18693</v>
      </c>
      <c r="AH15515" s="4" t="str">
        <f>HYPERLINK("#Statut_biogéographique!A"&amp;_xlfn.XMATCH("P",Statut_biogéographique!A:A,2,1),"P")</f>
        <v>P</v>
      </c>
      <c r="AP15515" s="4" t="s">
        <v>376</v>
      </c>
      <c r="AR15515" s="4" t="s">
        <v>377</v>
      </c>
    </row>
    <row r="15516" spans="1:44" ht="30">
      <c r="A15516" s="4" t="s">
        <v>10753</v>
      </c>
      <c r="B15516" s="4">
        <v>248933</v>
      </c>
      <c r="D15516" s="5" t="s">
        <v>18694</v>
      </c>
      <c r="E15516" s="6" t="str">
        <f>HYPERLINK("https://inpn.mnhn.fr/espece/cd_nom/248933","Apeira syringaria (Linnaeus, 1758)")</f>
        <v>Apeira syringaria (Linnaeus, 1758)</v>
      </c>
      <c r="F15516" s="5" t="s">
        <v>18695</v>
      </c>
      <c r="AH15516" s="4" t="str">
        <f>HYPERLINK("#Statut_biogéographique!A"&amp;_xlfn.XMATCH("P",Statut_biogéographique!A:A,2,1),"P")</f>
        <v>P</v>
      </c>
      <c r="AP15516" s="4" t="s">
        <v>376</v>
      </c>
      <c r="AR15516" s="4" t="s">
        <v>377</v>
      </c>
    </row>
    <row r="15517" spans="1:44" ht="30">
      <c r="A15517" s="4" t="s">
        <v>10753</v>
      </c>
      <c r="B15517" s="4">
        <v>248935</v>
      </c>
      <c r="D15517" s="5" t="s">
        <v>18696</v>
      </c>
      <c r="E15517" s="6" t="str">
        <f>HYPERLINK("https://inpn.mnhn.fr/espece/cd_nom/248935","Pseudopanthera macularia (Linnaeus, 1758)")</f>
        <v>Pseudopanthera macularia (Linnaeus, 1758)</v>
      </c>
      <c r="F15517" s="5" t="s">
        <v>18697</v>
      </c>
      <c r="AH15517" s="4" t="str">
        <f>HYPERLINK("#Statut_biogéographique!A"&amp;_xlfn.XMATCH("P",Statut_biogéographique!A:A,2,1),"P")</f>
        <v>P</v>
      </c>
      <c r="AP15517" s="4" t="s">
        <v>376</v>
      </c>
      <c r="AR15517" s="4" t="s">
        <v>377</v>
      </c>
    </row>
    <row r="15518" spans="1:44">
      <c r="A15518" s="4" t="s">
        <v>10753</v>
      </c>
      <c r="B15518" s="4">
        <v>248936</v>
      </c>
      <c r="D15518" s="5" t="s">
        <v>18698</v>
      </c>
      <c r="E15518" s="6" t="str">
        <f>HYPERLINK("https://inpn.mnhn.fr/espece/cd_nom/248936","Epione repandaria (Hufnagel, 1767)")</f>
        <v>Epione repandaria (Hufnagel, 1767)</v>
      </c>
      <c r="F15518" s="5" t="s">
        <v>18699</v>
      </c>
      <c r="AH15518" s="4" t="str">
        <f>HYPERLINK("#Statut_biogéographique!A"&amp;_xlfn.XMATCH("P",Statut_biogéographique!A:A,2,1),"P")</f>
        <v>P</v>
      </c>
      <c r="AP15518" s="4" t="s">
        <v>376</v>
      </c>
      <c r="AR15518" s="4" t="s">
        <v>377</v>
      </c>
    </row>
    <row r="15519" spans="1:44">
      <c r="A15519" s="4" t="s">
        <v>10753</v>
      </c>
      <c r="B15519" s="4">
        <v>248937</v>
      </c>
      <c r="D15519" s="5" t="s">
        <v>18700</v>
      </c>
      <c r="E15519" s="6" t="str">
        <f>HYPERLINK("https://inpn.mnhn.fr/espece/cd_nom/248937","Epione vespertaria (Linnaeus, 1767)")</f>
        <v>Epione vespertaria (Linnaeus, 1767)</v>
      </c>
      <c r="F15519" s="5" t="s">
        <v>18701</v>
      </c>
      <c r="AH15519" s="4" t="str">
        <f>HYPERLINK("#Statut_biogéographique!A"&amp;_xlfn.XMATCH("P",Statut_biogéographique!A:A,2,1),"P")</f>
        <v>P</v>
      </c>
      <c r="AP15519" s="4" t="s">
        <v>376</v>
      </c>
      <c r="AR15519" s="4" t="s">
        <v>377</v>
      </c>
    </row>
    <row r="15520" spans="1:44" ht="30">
      <c r="A15520" s="4" t="s">
        <v>10753</v>
      </c>
      <c r="B15520" s="4">
        <v>248938</v>
      </c>
      <c r="D15520" s="5" t="s">
        <v>18702</v>
      </c>
      <c r="E15520" s="6" t="str">
        <f>HYPERLINK("https://inpn.mnhn.fr/espece/cd_nom/248938","Opisthograptis luteolata (Linnaeus, 1758)")</f>
        <v>Opisthograptis luteolata (Linnaeus, 1758)</v>
      </c>
      <c r="F15520" s="5" t="s">
        <v>18703</v>
      </c>
      <c r="AH15520" s="4" t="str">
        <f>HYPERLINK("#Statut_biogéographique!A"&amp;_xlfn.XMATCH("P",Statut_biogéographique!A:A,2,1),"P")</f>
        <v>P</v>
      </c>
      <c r="AP15520" s="4" t="s">
        <v>376</v>
      </c>
      <c r="AR15520" s="4" t="s">
        <v>377</v>
      </c>
    </row>
    <row r="15521" spans="1:44" ht="30">
      <c r="A15521" s="4" t="s">
        <v>10753</v>
      </c>
      <c r="B15521" s="4">
        <v>248939</v>
      </c>
      <c r="D15521" s="5" t="s">
        <v>18704</v>
      </c>
      <c r="E15521" s="6" t="str">
        <f>HYPERLINK("https://inpn.mnhn.fr/espece/cd_nom/248939","Siona lineata (Scopoli, 1763)")</f>
        <v>Siona lineata (Scopoli, 1763)</v>
      </c>
      <c r="F15521" s="5" t="s">
        <v>18705</v>
      </c>
      <c r="AH15521" s="4" t="str">
        <f>HYPERLINK("#Statut_biogéographique!A"&amp;_xlfn.XMATCH("P",Statut_biogéographique!A:A,2,1),"P")</f>
        <v>P</v>
      </c>
      <c r="AP15521" s="4" t="s">
        <v>376</v>
      </c>
      <c r="AR15521" s="4" t="s">
        <v>377</v>
      </c>
    </row>
    <row r="15522" spans="1:44">
      <c r="A15522" s="4" t="s">
        <v>10753</v>
      </c>
      <c r="B15522" s="4">
        <v>24894</v>
      </c>
      <c r="D15522" s="5" t="s">
        <v>18706</v>
      </c>
      <c r="E15522" s="6" t="str">
        <f>HYPERLINK("https://inpn.mnhn.fr/espece/cd_nom/24894","Otites guttata (Meigen, 1830)")</f>
        <v>Otites guttata (Meigen, 1830)</v>
      </c>
      <c r="AH15522" s="4" t="str">
        <f>HYPERLINK("#Statut_biogéographique!A"&amp;_xlfn.XMATCH("P",Statut_biogéographique!A:A,2,1),"P")</f>
        <v>P</v>
      </c>
      <c r="AP15522" s="4" t="s">
        <v>376</v>
      </c>
      <c r="AR15522" s="4" t="s">
        <v>377</v>
      </c>
    </row>
    <row r="15523" spans="1:44">
      <c r="A15523" s="4" t="s">
        <v>10753</v>
      </c>
      <c r="B15523" s="4">
        <v>248946</v>
      </c>
      <c r="D15523" s="5" t="s">
        <v>18707</v>
      </c>
      <c r="E15523" s="6" t="str">
        <f>HYPERLINK("https://inpn.mnhn.fr/espece/cd_nom/248946","Psodos quadrifaria (Sulzer, 1776)")</f>
        <v>Psodos quadrifaria (Sulzer, 1776)</v>
      </c>
      <c r="F15523" s="5" t="s">
        <v>18708</v>
      </c>
      <c r="AH15523" s="4" t="str">
        <f>HYPERLINK("#Statut_biogéographique!A"&amp;_xlfn.XMATCH("P",Statut_biogéographique!A:A,2,1),"P")</f>
        <v>P</v>
      </c>
      <c r="AP15523" s="4" t="s">
        <v>376</v>
      </c>
      <c r="AR15523" s="4" t="s">
        <v>377</v>
      </c>
    </row>
    <row r="15524" spans="1:44" ht="30">
      <c r="A15524" s="4" t="s">
        <v>10753</v>
      </c>
      <c r="B15524" s="4">
        <v>248963</v>
      </c>
      <c r="D15524" s="5" t="s">
        <v>18709</v>
      </c>
      <c r="E15524" s="6" t="str">
        <f>HYPERLINK("https://inpn.mnhn.fr/espece/cd_nom/248963","Charissa obscurata (Denis &amp; Schiffermüller, 1775)")</f>
        <v>Charissa obscurata (Denis &amp; Schiffermüller, 1775)</v>
      </c>
      <c r="F15524" s="5" t="s">
        <v>18710</v>
      </c>
      <c r="AH15524" s="4" t="str">
        <f>HYPERLINK("#Statut_biogéographique!A"&amp;_xlfn.XMATCH("P",Statut_biogéographique!A:A,2,1),"P")</f>
        <v>P</v>
      </c>
      <c r="AP15524" s="4" t="s">
        <v>376</v>
      </c>
      <c r="AR15524" s="4" t="s">
        <v>377</v>
      </c>
    </row>
    <row r="15525" spans="1:44">
      <c r="A15525" s="4" t="s">
        <v>10753</v>
      </c>
      <c r="B15525" s="4">
        <v>248965</v>
      </c>
      <c r="D15525" s="5" t="s">
        <v>18711</v>
      </c>
      <c r="E15525" s="6" t="str">
        <f>HYPERLINK("https://inpn.mnhn.fr/espece/cd_nom/248965","Odontognophos dumetata (Treitschke, 1827)")</f>
        <v>Odontognophos dumetata (Treitschke, 1827)</v>
      </c>
      <c r="F15525" s="5" t="s">
        <v>18712</v>
      </c>
      <c r="AH15525" s="4" t="str">
        <f>HYPERLINK("#Statut_biogéographique!A"&amp;_xlfn.XMATCH("P",Statut_biogéographique!A:A,2,1),"P")</f>
        <v>P</v>
      </c>
      <c r="AP15525" s="4" t="s">
        <v>376</v>
      </c>
      <c r="AR15525" s="4" t="s">
        <v>377</v>
      </c>
    </row>
    <row r="15526" spans="1:44" ht="30">
      <c r="A15526" s="4" t="s">
        <v>10753</v>
      </c>
      <c r="B15526" s="4">
        <v>248966</v>
      </c>
      <c r="D15526" s="5" t="s">
        <v>18713</v>
      </c>
      <c r="E15526" s="6" t="str">
        <f>HYPERLINK("https://inpn.mnhn.fr/espece/cd_nom/248966","Gnophos furvata (Denis &amp; Schiffermüller, 1775)")</f>
        <v>Gnophos furvata (Denis &amp; Schiffermüller, 1775)</v>
      </c>
      <c r="F15526" s="5" t="s">
        <v>18714</v>
      </c>
      <c r="AH15526" s="4" t="str">
        <f>HYPERLINK("#Statut_biogéographique!A"&amp;_xlfn.XMATCH("P",Statut_biogéographique!A:A,2,1),"P")</f>
        <v>P</v>
      </c>
      <c r="AP15526" s="4" t="s">
        <v>376</v>
      </c>
      <c r="AR15526" s="4" t="s">
        <v>377</v>
      </c>
    </row>
    <row r="15527" spans="1:44" ht="30">
      <c r="A15527" s="4" t="s">
        <v>10753</v>
      </c>
      <c r="B15527" s="4">
        <v>248967</v>
      </c>
      <c r="D15527" s="5" t="s">
        <v>18715</v>
      </c>
      <c r="E15527" s="6" t="str">
        <f>HYPERLINK("https://inpn.mnhn.fr/espece/cd_nom/248967","Gnophos obfuscata (Denis &amp; Schiffermüller, 1775)")</f>
        <v>Gnophos obfuscata (Denis &amp; Schiffermüller, 1775)</v>
      </c>
      <c r="F15527" s="5" t="s">
        <v>18716</v>
      </c>
      <c r="AH15527" s="4" t="str">
        <f>HYPERLINK("#Statut_biogéographique!A"&amp;_xlfn.XMATCH("P",Statut_biogéographique!A:A,2,1),"P")</f>
        <v>P</v>
      </c>
      <c r="AP15527" s="4" t="s">
        <v>376</v>
      </c>
      <c r="AR15527" s="4" t="s">
        <v>377</v>
      </c>
    </row>
    <row r="15528" spans="1:44" ht="30">
      <c r="A15528" s="4" t="s">
        <v>10753</v>
      </c>
      <c r="B15528" s="4">
        <v>248969</v>
      </c>
      <c r="D15528" s="5" t="s">
        <v>18717</v>
      </c>
      <c r="E15528" s="6" t="str">
        <f>HYPERLINK("https://inpn.mnhn.fr/espece/cd_nom/248969","Crocallis tusciaria (Borkhausen, 1793)")</f>
        <v>Crocallis tusciaria (Borkhausen, 1793)</v>
      </c>
      <c r="F15528" s="5" t="s">
        <v>18718</v>
      </c>
      <c r="AH15528" s="4" t="str">
        <f>HYPERLINK("#Statut_biogéographique!A"&amp;_xlfn.XMATCH("P",Statut_biogéographique!A:A,2,1),"P")</f>
        <v>P</v>
      </c>
      <c r="AP15528" s="4" t="s">
        <v>376</v>
      </c>
      <c r="AR15528" s="4" t="s">
        <v>377</v>
      </c>
    </row>
    <row r="15529" spans="1:44" ht="30">
      <c r="A15529" s="4" t="s">
        <v>10753</v>
      </c>
      <c r="B15529" s="4">
        <v>248970</v>
      </c>
      <c r="D15529" s="5" t="s">
        <v>18719</v>
      </c>
      <c r="E15529" s="6" t="str">
        <f>HYPERLINK("https://inpn.mnhn.fr/espece/cd_nom/248970","Crocallis elinguaria (Linnaeus, 1758)")</f>
        <v>Crocallis elinguaria (Linnaeus, 1758)</v>
      </c>
      <c r="F15529" s="5" t="s">
        <v>18720</v>
      </c>
      <c r="AH15529" s="4" t="str">
        <f>HYPERLINK("#Statut_biogéographique!A"&amp;_xlfn.XMATCH("P",Statut_biogéographique!A:A,2,1),"P")</f>
        <v>P</v>
      </c>
      <c r="AP15529" s="4" t="s">
        <v>376</v>
      </c>
      <c r="AR15529" s="4" t="s">
        <v>377</v>
      </c>
    </row>
    <row r="15530" spans="1:44" ht="30">
      <c r="A15530" s="4" t="s">
        <v>10753</v>
      </c>
      <c r="B15530" s="4">
        <v>248972</v>
      </c>
      <c r="D15530" s="5" t="s">
        <v>18721</v>
      </c>
      <c r="E15530" s="6" t="str">
        <f>HYPERLINK("https://inpn.mnhn.fr/espece/cd_nom/248972","Odontopera bidentata (Clerck, 1759)")</f>
        <v>Odontopera bidentata (Clerck, 1759)</v>
      </c>
      <c r="F15530" s="5" t="s">
        <v>18722</v>
      </c>
      <c r="AH15530" s="4" t="str">
        <f>HYPERLINK("#Statut_biogéographique!A"&amp;_xlfn.XMATCH("P",Statut_biogéographique!A:A,2,1),"P")</f>
        <v>P</v>
      </c>
      <c r="AP15530" s="4" t="s">
        <v>376</v>
      </c>
      <c r="AR15530" s="4" t="s">
        <v>377</v>
      </c>
    </row>
    <row r="15531" spans="1:44" ht="30">
      <c r="A15531" s="4" t="s">
        <v>10753</v>
      </c>
      <c r="B15531" s="4">
        <v>248973</v>
      </c>
      <c r="D15531" s="5" t="s">
        <v>18723</v>
      </c>
      <c r="E15531" s="6" t="str">
        <f>HYPERLINK("https://inpn.mnhn.fr/espece/cd_nom/248973","Pachycnemia hippocastanaria (Hübner, 1799)")</f>
        <v>Pachycnemia hippocastanaria (Hübner, 1799)</v>
      </c>
      <c r="F15531" s="5" t="s">
        <v>18724</v>
      </c>
      <c r="AH15531" s="4" t="str">
        <f>HYPERLINK("#Statut_biogéographique!A"&amp;_xlfn.XMATCH("P",Statut_biogéographique!A:A,2,1),"P")</f>
        <v>P</v>
      </c>
      <c r="AP15531" s="4" t="s">
        <v>376</v>
      </c>
      <c r="AR15531" s="4" t="s">
        <v>377</v>
      </c>
    </row>
    <row r="15532" spans="1:44">
      <c r="A15532" s="4" t="s">
        <v>10753</v>
      </c>
      <c r="B15532" s="4">
        <v>248976</v>
      </c>
      <c r="D15532" s="5" t="s">
        <v>18725</v>
      </c>
      <c r="E15532" s="6" t="str">
        <f>HYPERLINK("https://inpn.mnhn.fr/espece/cd_nom/248976","Plagodis pulveraria (Linnaeus, 1758)")</f>
        <v>Plagodis pulveraria (Linnaeus, 1758)</v>
      </c>
      <c r="F15532" s="5" t="s">
        <v>18726</v>
      </c>
      <c r="AH15532" s="4" t="str">
        <f>HYPERLINK("#Statut_biogéographique!A"&amp;_xlfn.XMATCH("P",Statut_biogéographique!A:A,2,1),"P")</f>
        <v>P</v>
      </c>
      <c r="AP15532" s="4" t="s">
        <v>376</v>
      </c>
      <c r="AR15532" s="4" t="s">
        <v>377</v>
      </c>
    </row>
    <row r="15533" spans="1:44">
      <c r="A15533" s="4" t="s">
        <v>10753</v>
      </c>
      <c r="B15533" s="4">
        <v>248977</v>
      </c>
      <c r="D15533" s="5" t="s">
        <v>18727</v>
      </c>
      <c r="E15533" s="6" t="str">
        <f>HYPERLINK("https://inpn.mnhn.fr/espece/cd_nom/248977","Plagodis dolabraria (Linnaeus, 1767)")</f>
        <v>Plagodis dolabraria (Linnaeus, 1767)</v>
      </c>
      <c r="F15533" s="5" t="s">
        <v>18728</v>
      </c>
      <c r="AH15533" s="4" t="str">
        <f>HYPERLINK("#Statut_biogéographique!A"&amp;_xlfn.XMATCH("P",Statut_biogéographique!A:A,2,1),"P")</f>
        <v>P</v>
      </c>
      <c r="AP15533" s="4" t="s">
        <v>376</v>
      </c>
      <c r="AR15533" s="4" t="s">
        <v>377</v>
      </c>
    </row>
    <row r="15534" spans="1:44" ht="30">
      <c r="A15534" s="4" t="s">
        <v>10753</v>
      </c>
      <c r="B15534" s="4">
        <v>248979</v>
      </c>
      <c r="D15534" s="5" t="s">
        <v>18729</v>
      </c>
      <c r="E15534" s="6" t="str">
        <f>HYPERLINK("https://inpn.mnhn.fr/espece/cd_nom/248979","Petrophora chlorosata (Scopoli, 1763)")</f>
        <v>Petrophora chlorosata (Scopoli, 1763)</v>
      </c>
      <c r="F15534" s="5" t="s">
        <v>18730</v>
      </c>
      <c r="AH15534" s="4" t="str">
        <f>HYPERLINK("#Statut_biogéographique!A"&amp;_xlfn.XMATCH("P",Statut_biogéographique!A:A,2,1),"P")</f>
        <v>P</v>
      </c>
      <c r="AP15534" s="4" t="s">
        <v>376</v>
      </c>
      <c r="AR15534" s="4" t="s">
        <v>377</v>
      </c>
    </row>
    <row r="15535" spans="1:44">
      <c r="A15535" s="4" t="s">
        <v>10753</v>
      </c>
      <c r="B15535" s="4">
        <v>248983</v>
      </c>
      <c r="D15535" s="5" t="s">
        <v>18731</v>
      </c>
      <c r="E15535" s="6" t="str">
        <f>HYPERLINK("https://inpn.mnhn.fr/espece/cd_nom/248983","Cepphis advenaria (Hübner, 1790)")</f>
        <v>Cepphis advenaria (Hübner, 1790)</v>
      </c>
      <c r="F15535" s="5" t="s">
        <v>18732</v>
      </c>
      <c r="AH15535" s="4" t="str">
        <f>HYPERLINK("#Statut_biogéographique!A"&amp;_xlfn.XMATCH("P",Statut_biogéographique!A:A,2,1),"P")</f>
        <v>P</v>
      </c>
      <c r="AP15535" s="4" t="s">
        <v>376</v>
      </c>
      <c r="AR15535" s="4" t="s">
        <v>377</v>
      </c>
    </row>
    <row r="15536" spans="1:44">
      <c r="A15536" s="4" t="s">
        <v>10753</v>
      </c>
      <c r="B15536" s="4">
        <v>248986</v>
      </c>
      <c r="D15536" s="5" t="s">
        <v>18733</v>
      </c>
      <c r="E15536" s="6" t="str">
        <f>HYPERLINK("https://inpn.mnhn.fr/espece/cd_nom/248986","Itame vincularia (Hübner, 1813)")</f>
        <v>Itame vincularia (Hübner, 1813)</v>
      </c>
      <c r="F15536" s="5" t="s">
        <v>18734</v>
      </c>
      <c r="AH15536" s="4" t="str">
        <f>HYPERLINK("#Statut_biogéographique!A"&amp;_xlfn.XMATCH("P",Statut_biogéographique!A:A,2,1),"P")</f>
        <v>P</v>
      </c>
      <c r="AP15536" s="4" t="s">
        <v>376</v>
      </c>
      <c r="AR15536" s="4" t="s">
        <v>377</v>
      </c>
    </row>
    <row r="15537" spans="1:44">
      <c r="A15537" s="4" t="s">
        <v>10753</v>
      </c>
      <c r="B15537" s="4">
        <v>248987</v>
      </c>
      <c r="D15537" s="5" t="s">
        <v>18735</v>
      </c>
      <c r="E15537" s="6" t="str">
        <f>HYPERLINK("https://inpn.mnhn.fr/espece/cd_nom/248987","Isturgia limbaria (Fabricius, 1775)")</f>
        <v>Isturgia limbaria (Fabricius, 1775)</v>
      </c>
      <c r="F15537" s="5" t="s">
        <v>18736</v>
      </c>
      <c r="AH15537" s="4" t="str">
        <f>HYPERLINK("#Statut_biogéographique!A"&amp;_xlfn.XMATCH("P",Statut_biogéographique!A:A,2,1),"P")</f>
        <v>P</v>
      </c>
      <c r="AP15537" s="4" t="s">
        <v>376</v>
      </c>
      <c r="AR15537" s="4" t="s">
        <v>377</v>
      </c>
    </row>
    <row r="15538" spans="1:44" ht="30">
      <c r="A15538" s="4" t="s">
        <v>10753</v>
      </c>
      <c r="B15538" s="4">
        <v>248989</v>
      </c>
      <c r="D15538" s="5" t="s">
        <v>18737</v>
      </c>
      <c r="E15538" s="6" t="str">
        <f>HYPERLINK("https://inpn.mnhn.fr/espece/cd_nom/248989","Isturgia famula (Esper, 1787)")</f>
        <v>Isturgia famula (Esper, 1787)</v>
      </c>
      <c r="F15538" s="5" t="s">
        <v>18738</v>
      </c>
      <c r="AH15538" s="4" t="str">
        <f>HYPERLINK("#Statut_biogéographique!A"&amp;_xlfn.XMATCH("P",Statut_biogéographique!A:A,2,1),"P")</f>
        <v>P</v>
      </c>
      <c r="AP15538" s="4" t="s">
        <v>376</v>
      </c>
      <c r="AR15538" s="4" t="s">
        <v>377</v>
      </c>
    </row>
    <row r="15539" spans="1:44">
      <c r="A15539" s="4" t="s">
        <v>10753</v>
      </c>
      <c r="B15539" s="4">
        <v>24899</v>
      </c>
      <c r="D15539" s="5" t="s">
        <v>18739</v>
      </c>
      <c r="E15539" s="6" t="str">
        <f>HYPERLINK("https://inpn.mnhn.fr/espece/cd_nom/24899","Seioptera vibrans (Linnaeus, 1758)")</f>
        <v>Seioptera vibrans (Linnaeus, 1758)</v>
      </c>
      <c r="AH15539" s="4" t="str">
        <f>HYPERLINK("#Statut_biogéographique!A"&amp;_xlfn.XMATCH("P",Statut_biogéographique!A:A,2,1),"P")</f>
        <v>P</v>
      </c>
      <c r="AP15539" s="4" t="s">
        <v>376</v>
      </c>
      <c r="AR15539" s="4" t="s">
        <v>377</v>
      </c>
    </row>
    <row r="15540" spans="1:44" ht="30">
      <c r="A15540" s="4" t="s">
        <v>10753</v>
      </c>
      <c r="B15540" s="4">
        <v>248990</v>
      </c>
      <c r="D15540" s="5" t="s">
        <v>18740</v>
      </c>
      <c r="E15540" s="6" t="str">
        <f>HYPERLINK("https://inpn.mnhn.fr/espece/cd_nom/248990","Isturgia murinaria (Denis &amp; Schiffermüller, 1775)")</f>
        <v>Isturgia murinaria (Denis &amp; Schiffermüller, 1775)</v>
      </c>
      <c r="F15540" s="5" t="s">
        <v>18741</v>
      </c>
      <c r="AH15540" s="4" t="str">
        <f>HYPERLINK("#Statut_biogéographique!A"&amp;_xlfn.XMATCH("P",Statut_biogéographique!A:A,2,1),"P")</f>
        <v>P</v>
      </c>
      <c r="AP15540" s="4" t="s">
        <v>376</v>
      </c>
      <c r="AR15540" s="4" t="s">
        <v>377</v>
      </c>
    </row>
    <row r="15541" spans="1:44" ht="30">
      <c r="A15541" s="4" t="s">
        <v>10753</v>
      </c>
      <c r="B15541" s="4">
        <v>248995</v>
      </c>
      <c r="D15541" s="5" t="s">
        <v>18742</v>
      </c>
      <c r="E15541" s="6" t="str">
        <f>HYPERLINK("https://inpn.mnhn.fr/espece/cd_nom/248995","Chiasmia clathrata (Linnaeus, 1758)")</f>
        <v>Chiasmia clathrata (Linnaeus, 1758)</v>
      </c>
      <c r="F15541" s="5" t="s">
        <v>18743</v>
      </c>
      <c r="AH15541" s="4" t="str">
        <f>HYPERLINK("#Statut_biogéographique!A"&amp;_xlfn.XMATCH("P",Statut_biogéographique!A:A,2,1),"P")</f>
        <v>P</v>
      </c>
      <c r="AP15541" s="4" t="s">
        <v>376</v>
      </c>
      <c r="AR15541" s="4" t="s">
        <v>377</v>
      </c>
    </row>
    <row r="15542" spans="1:44">
      <c r="A15542" s="4" t="s">
        <v>10753</v>
      </c>
      <c r="B15542" s="4">
        <v>248996</v>
      </c>
      <c r="D15542" s="5" t="s">
        <v>18744</v>
      </c>
      <c r="E15542" s="6" t="str">
        <f>HYPERLINK("https://inpn.mnhn.fr/espece/cd_nom/248996","Chiasmia aestimaria (Hübner, 1809)")</f>
        <v>Chiasmia aestimaria (Hübner, 1809)</v>
      </c>
      <c r="F15542" s="5" t="s">
        <v>18745</v>
      </c>
      <c r="AH15542" s="4" t="str">
        <f>HYPERLINK("#Statut_biogéographique!A"&amp;_xlfn.XMATCH("P",Statut_biogéographique!A:A,2,1),"P")</f>
        <v>P</v>
      </c>
      <c r="AP15542" s="4" t="s">
        <v>376</v>
      </c>
      <c r="AR15542" s="4" t="s">
        <v>377</v>
      </c>
    </row>
    <row r="15543" spans="1:44" ht="30">
      <c r="A15543" s="4" t="s">
        <v>10753</v>
      </c>
      <c r="B15543" s="4">
        <v>248997</v>
      </c>
      <c r="D15543" s="5" t="s">
        <v>18746</v>
      </c>
      <c r="E15543" s="6" t="str">
        <f>HYPERLINK("https://inpn.mnhn.fr/espece/cd_nom/248997","Macaria notata (Linnaeus, 1758)")</f>
        <v>Macaria notata (Linnaeus, 1758)</v>
      </c>
      <c r="F15543" s="5" t="s">
        <v>18747</v>
      </c>
      <c r="AH15543" s="4" t="str">
        <f>HYPERLINK("#Statut_biogéographique!A"&amp;_xlfn.XMATCH("P",Statut_biogéographique!A:A,2,1),"P")</f>
        <v>P</v>
      </c>
      <c r="AP15543" s="4" t="s">
        <v>376</v>
      </c>
      <c r="AR15543" s="4" t="s">
        <v>377</v>
      </c>
    </row>
    <row r="15544" spans="1:44" ht="30">
      <c r="A15544" s="4" t="s">
        <v>10753</v>
      </c>
      <c r="B15544" s="4">
        <v>248998</v>
      </c>
      <c r="D15544" s="5" t="s">
        <v>18748</v>
      </c>
      <c r="E15544" s="6" t="str">
        <f>HYPERLINK("https://inpn.mnhn.fr/espece/cd_nom/248998","Macaria alternata (Denis &amp; Schiffermüller, 1775)")</f>
        <v>Macaria alternata (Denis &amp; Schiffermüller, 1775)</v>
      </c>
      <c r="F15544" s="5" t="s">
        <v>18749</v>
      </c>
      <c r="AH15544" s="4" t="str">
        <f>HYPERLINK("#Statut_biogéographique!A"&amp;_xlfn.XMATCH("P",Statut_biogéographique!A:A,2,1),"P")</f>
        <v>P</v>
      </c>
      <c r="AP15544" s="4" t="s">
        <v>376</v>
      </c>
      <c r="AR15544" s="4" t="s">
        <v>377</v>
      </c>
    </row>
    <row r="15545" spans="1:44">
      <c r="A15545" s="4" t="s">
        <v>10753</v>
      </c>
      <c r="B15545" s="4">
        <v>248999</v>
      </c>
      <c r="D15545" s="5" t="s">
        <v>18750</v>
      </c>
      <c r="E15545" s="6" t="str">
        <f>HYPERLINK("https://inpn.mnhn.fr/espece/cd_nom/248999","Macaria signaria (Hübner, 1809)")</f>
        <v>Macaria signaria (Hübner, 1809)</v>
      </c>
      <c r="F15545" s="5" t="s">
        <v>18751</v>
      </c>
      <c r="AH15545" s="4" t="str">
        <f>HYPERLINK("#Statut_biogéographique!A"&amp;_xlfn.XMATCH("P",Statut_biogéographique!A:A,2,1),"P")</f>
        <v>P</v>
      </c>
      <c r="AP15545" s="4" t="s">
        <v>376</v>
      </c>
      <c r="AR15545" s="4" t="s">
        <v>377</v>
      </c>
    </row>
    <row r="15546" spans="1:44">
      <c r="A15546" s="4" t="s">
        <v>10753</v>
      </c>
      <c r="B15546" s="4">
        <v>249000</v>
      </c>
      <c r="D15546" s="5" t="s">
        <v>18752</v>
      </c>
      <c r="E15546" s="6" t="str">
        <f>HYPERLINK("https://inpn.mnhn.fr/espece/cd_nom/249000","Macaria liturata (Clerck, 1759)")</f>
        <v>Macaria liturata (Clerck, 1759)</v>
      </c>
      <c r="F15546" s="5" t="s">
        <v>18753</v>
      </c>
      <c r="AH15546" s="4" t="str">
        <f>HYPERLINK("#Statut_biogéographique!A"&amp;_xlfn.XMATCH("P",Statut_biogéographique!A:A,2,1),"P")</f>
        <v>P</v>
      </c>
      <c r="AP15546" s="4" t="s">
        <v>376</v>
      </c>
      <c r="AR15546" s="4" t="s">
        <v>377</v>
      </c>
    </row>
    <row r="15547" spans="1:44" ht="30">
      <c r="A15547" s="4" t="s">
        <v>10753</v>
      </c>
      <c r="B15547" s="4">
        <v>249001</v>
      </c>
      <c r="D15547" s="5" t="s">
        <v>18754</v>
      </c>
      <c r="E15547" s="6" t="str">
        <f>HYPERLINK("https://inpn.mnhn.fr/espece/cd_nom/249001","Macaria wauaria (Linnaeus, 1758)")</f>
        <v>Macaria wauaria (Linnaeus, 1758)</v>
      </c>
      <c r="F15547" s="5" t="s">
        <v>18755</v>
      </c>
      <c r="AH15547" s="4" t="str">
        <f>HYPERLINK("#Statut_biogéographique!A"&amp;_xlfn.XMATCH("P",Statut_biogéographique!A:A,2,1),"P")</f>
        <v>P</v>
      </c>
      <c r="AP15547" s="4" t="s">
        <v>376</v>
      </c>
      <c r="AR15547" s="4" t="s">
        <v>377</v>
      </c>
    </row>
    <row r="15548" spans="1:44" ht="30">
      <c r="A15548" s="4" t="s">
        <v>10753</v>
      </c>
      <c r="B15548" s="4">
        <v>249002</v>
      </c>
      <c r="D15548" s="5" t="s">
        <v>18756</v>
      </c>
      <c r="E15548" s="6" t="str">
        <f>HYPERLINK("https://inpn.mnhn.fr/espece/cd_nom/249002","Macaria artesiaria (Denis &amp; Schiffermüller, 1775)")</f>
        <v>Macaria artesiaria (Denis &amp; Schiffermüller, 1775)</v>
      </c>
      <c r="F15548" s="5" t="s">
        <v>18757</v>
      </c>
      <c r="AH15548" s="4" t="str">
        <f>HYPERLINK("#Statut_biogéographique!A"&amp;_xlfn.XMATCH("P",Statut_biogéographique!A:A,2,1),"P")</f>
        <v>P</v>
      </c>
      <c r="AP15548" s="4" t="s">
        <v>376</v>
      </c>
      <c r="AR15548" s="4" t="s">
        <v>377</v>
      </c>
    </row>
    <row r="15549" spans="1:44" ht="30">
      <c r="A15549" s="4" t="s">
        <v>10753</v>
      </c>
      <c r="B15549" s="4">
        <v>249004</v>
      </c>
      <c r="D15549" s="5" t="s">
        <v>18758</v>
      </c>
      <c r="E15549" s="6" t="str">
        <f>HYPERLINK("https://inpn.mnhn.fr/espece/cd_nom/249004","Macaria brunneata (Thunberg, 1784)")</f>
        <v>Macaria brunneata (Thunberg, 1784)</v>
      </c>
      <c r="F15549" s="5" t="s">
        <v>18759</v>
      </c>
      <c r="AH15549" s="4" t="str">
        <f>HYPERLINK("#Statut_biogéographique!A"&amp;_xlfn.XMATCH("P",Statut_biogéographique!A:A,2,1),"P")</f>
        <v>P</v>
      </c>
      <c r="AP15549" s="4" t="s">
        <v>376</v>
      </c>
      <c r="AR15549" s="4" t="s">
        <v>377</v>
      </c>
    </row>
    <row r="15550" spans="1:44">
      <c r="A15550" s="4" t="s">
        <v>10753</v>
      </c>
      <c r="B15550" s="4">
        <v>249007</v>
      </c>
      <c r="D15550" s="5" t="s">
        <v>18760</v>
      </c>
      <c r="E15550" s="6" t="str">
        <f>HYPERLINK("https://inpn.mnhn.fr/espece/cd_nom/249007","Ourapteryx sambucaria (Linnaeus, 1758)")</f>
        <v>Ourapteryx sambucaria (Linnaeus, 1758)</v>
      </c>
      <c r="F15550" s="5" t="s">
        <v>18761</v>
      </c>
      <c r="AH15550" s="4" t="str">
        <f>HYPERLINK("#Statut_biogéographique!A"&amp;_xlfn.XMATCH("P",Statut_biogéographique!A:A,2,1),"P")</f>
        <v>P</v>
      </c>
      <c r="AP15550" s="4" t="s">
        <v>376</v>
      </c>
      <c r="AR15550" s="4" t="s">
        <v>377</v>
      </c>
    </row>
    <row r="15551" spans="1:44">
      <c r="A15551" s="4" t="s">
        <v>10753</v>
      </c>
      <c r="B15551" s="4">
        <v>249008</v>
      </c>
      <c r="D15551" s="5" t="s">
        <v>18762</v>
      </c>
      <c r="E15551" s="6" t="str">
        <f>HYPERLINK("https://inpn.mnhn.fr/espece/cd_nom/249008","Compsoptera opacaria (Hübner, 1819)")</f>
        <v>Compsoptera opacaria (Hübner, 1819)</v>
      </c>
      <c r="F15551" s="5" t="s">
        <v>18763</v>
      </c>
      <c r="AH15551" s="4" t="str">
        <f>HYPERLINK("#Statut_biogéographique!A"&amp;_xlfn.XMATCH("P",Statut_biogéographique!A:A,2,1),"P")</f>
        <v>P</v>
      </c>
      <c r="AP15551" s="4" t="s">
        <v>376</v>
      </c>
      <c r="AR15551" s="4" t="s">
        <v>377</v>
      </c>
    </row>
    <row r="15552" spans="1:44" ht="30">
      <c r="A15552" s="4" t="s">
        <v>10753</v>
      </c>
      <c r="B15552" s="4">
        <v>249010</v>
      </c>
      <c r="D15552" s="5" t="s">
        <v>18764</v>
      </c>
      <c r="E15552" s="6" t="str">
        <f>HYPERLINK("https://inpn.mnhn.fr/espece/cd_nom/249010","Theria rupicapraria (Denis &amp; Schiffermüller, 1775)")</f>
        <v>Theria rupicapraria (Denis &amp; Schiffermüller, 1775)</v>
      </c>
      <c r="F15552" s="5" t="s">
        <v>18765</v>
      </c>
      <c r="AH15552" s="4" t="str">
        <f>HYPERLINK("#Statut_biogéographique!A"&amp;_xlfn.XMATCH("P",Statut_biogéographique!A:A,2,1),"P")</f>
        <v>P</v>
      </c>
      <c r="AP15552" s="4" t="s">
        <v>376</v>
      </c>
      <c r="AR15552" s="4" t="s">
        <v>377</v>
      </c>
    </row>
    <row r="15553" spans="1:44">
      <c r="A15553" s="4" t="s">
        <v>10753</v>
      </c>
      <c r="B15553" s="4">
        <v>249011</v>
      </c>
      <c r="D15553" s="5" t="s">
        <v>18766</v>
      </c>
      <c r="E15553" s="6" t="str">
        <f>HYPERLINK("https://inpn.mnhn.fr/espece/cd_nom/249011","Theria primaria (Haworth, 1809)")</f>
        <v>Theria primaria (Haworth, 1809)</v>
      </c>
      <c r="F15553" s="5" t="s">
        <v>18767</v>
      </c>
      <c r="AH15553" s="4" t="str">
        <f>HYPERLINK("#Statut_biogéographique!A"&amp;_xlfn.XMATCH("P",Statut_biogéographique!A:A,2,1),"P")</f>
        <v>P</v>
      </c>
      <c r="AP15553" s="4" t="s">
        <v>376</v>
      </c>
      <c r="AR15553" s="4" t="s">
        <v>377</v>
      </c>
    </row>
    <row r="15554" spans="1:44">
      <c r="A15554" s="4" t="s">
        <v>10753</v>
      </c>
      <c r="B15554" s="4">
        <v>249014</v>
      </c>
      <c r="D15554" s="5" t="s">
        <v>18768</v>
      </c>
      <c r="E15554" s="6" t="str">
        <f>HYPERLINK("https://inpn.mnhn.fr/espece/cd_nom/249014","Archiearis parthenias (Linnaeus, 1761)")</f>
        <v>Archiearis parthenias (Linnaeus, 1761)</v>
      </c>
      <c r="F15554" s="5" t="s">
        <v>18769</v>
      </c>
      <c r="AH15554" s="4" t="str">
        <f>HYPERLINK("#Statut_biogéographique!A"&amp;_xlfn.XMATCH("P",Statut_biogéographique!A:A,2,1),"P")</f>
        <v>P</v>
      </c>
      <c r="AP15554" s="4" t="s">
        <v>376</v>
      </c>
      <c r="AR15554" s="4" t="s">
        <v>377</v>
      </c>
    </row>
    <row r="15555" spans="1:44" ht="30">
      <c r="A15555" s="4" t="s">
        <v>10753</v>
      </c>
      <c r="B15555" s="4">
        <v>249017</v>
      </c>
      <c r="D15555" s="5" t="s">
        <v>18770</v>
      </c>
      <c r="E15555" s="6" t="str">
        <f>HYPERLINK("https://inpn.mnhn.fr/espece/cd_nom/249017","Alsophila aescularia (Denis &amp; Schiffermüller, 1775)")</f>
        <v>Alsophila aescularia (Denis &amp; Schiffermüller, 1775)</v>
      </c>
      <c r="F15555" s="5" t="s">
        <v>18771</v>
      </c>
      <c r="AH15555" s="4" t="str">
        <f>HYPERLINK("#Statut_biogéographique!A"&amp;_xlfn.XMATCH("P",Statut_biogéographique!A:A,2,1),"P")</f>
        <v>P</v>
      </c>
      <c r="AP15555" s="4" t="s">
        <v>376</v>
      </c>
      <c r="AR15555" s="4" t="s">
        <v>377</v>
      </c>
    </row>
    <row r="15556" spans="1:44" ht="30">
      <c r="A15556" s="4" t="s">
        <v>10753</v>
      </c>
      <c r="B15556" s="4">
        <v>249018</v>
      </c>
      <c r="D15556" s="5" t="s">
        <v>18772</v>
      </c>
      <c r="E15556" s="6" t="str">
        <f>HYPERLINK("https://inpn.mnhn.fr/espece/cd_nom/249018","Alsophila aceraria (Denis &amp; Schiffermüller, 1775)")</f>
        <v>Alsophila aceraria (Denis &amp; Schiffermüller, 1775)</v>
      </c>
      <c r="F15556" s="5" t="s">
        <v>18773</v>
      </c>
      <c r="AH15556" s="4" t="str">
        <f>HYPERLINK("#Statut_biogéographique!A"&amp;_xlfn.XMATCH("P",Statut_biogéographique!A:A,2,1),"P")</f>
        <v>P</v>
      </c>
      <c r="AP15556" s="4" t="s">
        <v>376</v>
      </c>
      <c r="AR15556" s="4" t="s">
        <v>377</v>
      </c>
    </row>
    <row r="15557" spans="1:44" ht="30">
      <c r="A15557" s="4" t="s">
        <v>10753</v>
      </c>
      <c r="B15557" s="4">
        <v>249022</v>
      </c>
      <c r="D15557" s="5" t="s">
        <v>18774</v>
      </c>
      <c r="E15557" s="6" t="str">
        <f>HYPERLINK("https://inpn.mnhn.fr/espece/cd_nom/249022","Ptilodon cucullina (Denis &amp; Schiffermüller, 1775)")</f>
        <v>Ptilodon cucullina (Denis &amp; Schiffermüller, 1775)</v>
      </c>
      <c r="F15557" s="5" t="s">
        <v>18775</v>
      </c>
      <c r="AH15557" s="4" t="str">
        <f>HYPERLINK("#Statut_biogéographique!A"&amp;_xlfn.XMATCH("P",Statut_biogéographique!A:A,2,1),"P")</f>
        <v>P</v>
      </c>
      <c r="AP15557" s="4" t="s">
        <v>376</v>
      </c>
      <c r="AR15557" s="4" t="s">
        <v>377</v>
      </c>
    </row>
    <row r="15558" spans="1:44" ht="30">
      <c r="A15558" s="4" t="s">
        <v>10753</v>
      </c>
      <c r="B15558" s="4">
        <v>249023</v>
      </c>
      <c r="D15558" s="5" t="s">
        <v>18776</v>
      </c>
      <c r="E15558" s="6" t="str">
        <f>HYPERLINK("https://inpn.mnhn.fr/espece/cd_nom/249023","Notodonta tritophus (Denis &amp; Schiffermüller, 1775)")</f>
        <v>Notodonta tritophus (Denis &amp; Schiffermüller, 1775)</v>
      </c>
      <c r="F15558" s="5" t="s">
        <v>18777</v>
      </c>
      <c r="AH15558" s="4" t="str">
        <f>HYPERLINK("#Statut_biogéographique!A"&amp;_xlfn.XMATCH("P",Statut_biogéographique!A:A,2,1),"P")</f>
        <v>P</v>
      </c>
      <c r="AP15558" s="4" t="s">
        <v>376</v>
      </c>
      <c r="AR15558" s="4" t="s">
        <v>377</v>
      </c>
    </row>
    <row r="15559" spans="1:44">
      <c r="A15559" s="4" t="s">
        <v>10753</v>
      </c>
      <c r="B15559" s="4">
        <v>249024</v>
      </c>
      <c r="D15559" s="5" t="s">
        <v>18778</v>
      </c>
      <c r="E15559" s="6" t="str">
        <f>HYPERLINK("https://inpn.mnhn.fr/espece/cd_nom/249024","Notodonta ziczac (Linnaeus, 1758)")</f>
        <v>Notodonta ziczac (Linnaeus, 1758)</v>
      </c>
      <c r="F15559" s="5" t="s">
        <v>18779</v>
      </c>
      <c r="AH15559" s="4" t="str">
        <f>HYPERLINK("#Statut_biogéographique!A"&amp;_xlfn.XMATCH("P",Statut_biogéographique!A:A,2,1),"P")</f>
        <v>P</v>
      </c>
      <c r="AP15559" s="4" t="s">
        <v>376</v>
      </c>
      <c r="AR15559" s="4" t="s">
        <v>377</v>
      </c>
    </row>
    <row r="15560" spans="1:44" ht="30">
      <c r="A15560" s="4" t="s">
        <v>10753</v>
      </c>
      <c r="B15560" s="4">
        <v>249025</v>
      </c>
      <c r="D15560" s="5" t="s">
        <v>18780</v>
      </c>
      <c r="E15560" s="6" t="str">
        <f>HYPERLINK("https://inpn.mnhn.fr/espece/cd_nom/249025","Drymonia obliterata (Esper, 1785)")</f>
        <v>Drymonia obliterata (Esper, 1785)</v>
      </c>
      <c r="F15560" s="5" t="s">
        <v>18781</v>
      </c>
      <c r="AH15560" s="4" t="str">
        <f>HYPERLINK("#Statut_biogéographique!A"&amp;_xlfn.XMATCH("P",Statut_biogéographique!A:A,2,1),"P")</f>
        <v>P</v>
      </c>
      <c r="AP15560" s="4" t="s">
        <v>376</v>
      </c>
      <c r="AR15560" s="4" t="s">
        <v>377</v>
      </c>
    </row>
    <row r="15561" spans="1:44">
      <c r="A15561" s="4" t="s">
        <v>10753</v>
      </c>
      <c r="B15561" s="4">
        <v>249026</v>
      </c>
      <c r="D15561" s="5" t="s">
        <v>18782</v>
      </c>
      <c r="E15561" s="6" t="str">
        <f>HYPERLINK("https://inpn.mnhn.fr/espece/cd_nom/249026","Drymonia velitaris (Hufnagel, 1766)")</f>
        <v>Drymonia velitaris (Hufnagel, 1766)</v>
      </c>
      <c r="F15561" s="5" t="s">
        <v>18783</v>
      </c>
      <c r="AH15561" s="4" t="str">
        <f>HYPERLINK("#Statut_biogéographique!A"&amp;_xlfn.XMATCH("P",Statut_biogéographique!A:A,2,1),"P")</f>
        <v>P</v>
      </c>
      <c r="AP15561" s="4" t="s">
        <v>376</v>
      </c>
      <c r="AR15561" s="4" t="s">
        <v>377</v>
      </c>
    </row>
    <row r="15562" spans="1:44" ht="30">
      <c r="A15562" s="4" t="s">
        <v>10753</v>
      </c>
      <c r="B15562" s="4">
        <v>249027</v>
      </c>
      <c r="D15562" s="5" t="s">
        <v>18784</v>
      </c>
      <c r="E15562" s="6" t="str">
        <f>HYPERLINK("https://inpn.mnhn.fr/espece/cd_nom/249027","Furcula furcula (Clerck, 1759)")</f>
        <v>Furcula furcula (Clerck, 1759)</v>
      </c>
      <c r="F15562" s="5" t="s">
        <v>18785</v>
      </c>
      <c r="AH15562" s="4" t="str">
        <f>HYPERLINK("#Statut_biogéographique!A"&amp;_xlfn.XMATCH("P",Statut_biogéographique!A:A,2,1),"P")</f>
        <v>P</v>
      </c>
      <c r="AP15562" s="4" t="s">
        <v>376</v>
      </c>
      <c r="AR15562" s="4" t="s">
        <v>377</v>
      </c>
    </row>
    <row r="15563" spans="1:44">
      <c r="A15563" s="4" t="s">
        <v>10753</v>
      </c>
      <c r="B15563" s="4">
        <v>249028</v>
      </c>
      <c r="D15563" s="5" t="s">
        <v>18786</v>
      </c>
      <c r="E15563" s="6" t="str">
        <f>HYPERLINK("https://inpn.mnhn.fr/espece/cd_nom/249028","Furcula bicuspis (Borkhausen, 1790)")</f>
        <v>Furcula bicuspis (Borkhausen, 1790)</v>
      </c>
      <c r="F15563" s="5" t="s">
        <v>18787</v>
      </c>
      <c r="AH15563" s="4" t="str">
        <f>HYPERLINK("#Statut_biogéographique!A"&amp;_xlfn.XMATCH("P",Statut_biogéographique!A:A,2,1),"P")</f>
        <v>P</v>
      </c>
      <c r="AP15563" s="4" t="s">
        <v>376</v>
      </c>
      <c r="AR15563" s="4" t="s">
        <v>377</v>
      </c>
    </row>
    <row r="15564" spans="1:44">
      <c r="A15564" s="4" t="s">
        <v>10753</v>
      </c>
      <c r="B15564" s="4">
        <v>249029</v>
      </c>
      <c r="D15564" s="5" t="s">
        <v>18788</v>
      </c>
      <c r="E15564" s="6" t="str">
        <f>HYPERLINK("https://inpn.mnhn.fr/espece/cd_nom/249029","Furcula bifida (Brahm, 1787)")</f>
        <v>Furcula bifida (Brahm, 1787)</v>
      </c>
      <c r="F15564" s="5" t="s">
        <v>18789</v>
      </c>
      <c r="AH15564" s="4" t="str">
        <f>HYPERLINK("#Statut_biogéographique!A"&amp;_xlfn.XMATCH("P",Statut_biogéographique!A:A,2,1),"P")</f>
        <v>P</v>
      </c>
      <c r="AP15564" s="4" t="s">
        <v>376</v>
      </c>
      <c r="AR15564" s="4" t="s">
        <v>377</v>
      </c>
    </row>
    <row r="15565" spans="1:44">
      <c r="A15565" s="4" t="s">
        <v>10753</v>
      </c>
      <c r="B15565" s="4">
        <v>249030</v>
      </c>
      <c r="D15565" s="5" t="s">
        <v>18790</v>
      </c>
      <c r="E15565" s="6" t="str">
        <f>HYPERLINK("https://inpn.mnhn.fr/espece/cd_nom/249030","Harpyia milhauseri (Fabricius, 1775)")</f>
        <v>Harpyia milhauseri (Fabricius, 1775)</v>
      </c>
      <c r="F15565" s="5" t="s">
        <v>18791</v>
      </c>
      <c r="AH15565" s="4" t="str">
        <f>HYPERLINK("#Statut_biogéographique!A"&amp;_xlfn.XMATCH("P",Statut_biogéographique!A:A,2,1),"P")</f>
        <v>P</v>
      </c>
      <c r="AP15565" s="4" t="s">
        <v>376</v>
      </c>
      <c r="AR15565" s="4" t="s">
        <v>377</v>
      </c>
    </row>
    <row r="15566" spans="1:44" ht="30">
      <c r="A15566" s="4" t="s">
        <v>10753</v>
      </c>
      <c r="B15566" s="4">
        <v>249032</v>
      </c>
      <c r="D15566" s="5" t="s">
        <v>18792</v>
      </c>
      <c r="E15566" s="6" t="str">
        <f>HYPERLINK("https://inpn.mnhn.fr/espece/cd_nom/249032","Calliteara pudibunda (Linnaeus, 1758)")</f>
        <v>Calliteara pudibunda (Linnaeus, 1758)</v>
      </c>
      <c r="F15566" s="5" t="s">
        <v>18793</v>
      </c>
      <c r="AH15566" s="4" t="str">
        <f>HYPERLINK("#Statut_biogéographique!A"&amp;_xlfn.XMATCH("P",Statut_biogéographique!A:A,2,1),"P")</f>
        <v>P</v>
      </c>
      <c r="AP15566" s="4" t="s">
        <v>376</v>
      </c>
      <c r="AR15566" s="4" t="s">
        <v>377</v>
      </c>
    </row>
    <row r="15567" spans="1:44" ht="30">
      <c r="A15567" s="4" t="s">
        <v>10753</v>
      </c>
      <c r="B15567" s="4">
        <v>249033</v>
      </c>
      <c r="D15567" s="5" t="s">
        <v>18794</v>
      </c>
      <c r="E15567" s="6" t="str">
        <f>HYPERLINK("https://inpn.mnhn.fr/espece/cd_nom/249033","Euproctis chrysorrhoea (Linnaeus, 1758)")</f>
        <v>Euproctis chrysorrhoea (Linnaeus, 1758)</v>
      </c>
      <c r="F15567" s="5" t="s">
        <v>18795</v>
      </c>
      <c r="AH15567" s="4" t="str">
        <f>HYPERLINK("#Statut_biogéographique!A"&amp;_xlfn.XMATCH("P",Statut_biogéographique!A:A,2,1),"P")</f>
        <v>P</v>
      </c>
      <c r="AP15567" s="4" t="s">
        <v>376</v>
      </c>
      <c r="AR15567" s="4" t="s">
        <v>377</v>
      </c>
    </row>
    <row r="15568" spans="1:44">
      <c r="A15568" s="4" t="s">
        <v>10753</v>
      </c>
      <c r="B15568" s="4">
        <v>249035</v>
      </c>
      <c r="D15568" s="5" t="s">
        <v>18796</v>
      </c>
      <c r="E15568" s="6" t="str">
        <f>HYPERLINK("https://inpn.mnhn.fr/espece/cd_nom/249035","Leucoma salicis (Linnaeus, 1758)")</f>
        <v>Leucoma salicis (Linnaeus, 1758)</v>
      </c>
      <c r="F15568" s="5" t="s">
        <v>18797</v>
      </c>
      <c r="AH15568" s="4" t="str">
        <f>HYPERLINK("#Statut_biogéographique!A"&amp;_xlfn.XMATCH("P",Statut_biogéographique!A:A,2,1),"P")</f>
        <v>P</v>
      </c>
      <c r="AP15568" s="4" t="s">
        <v>376</v>
      </c>
      <c r="AR15568" s="4" t="s">
        <v>377</v>
      </c>
    </row>
    <row r="15569" spans="1:44">
      <c r="A15569" s="4" t="s">
        <v>10753</v>
      </c>
      <c r="B15569" s="4">
        <v>249036</v>
      </c>
      <c r="D15569" s="5" t="s">
        <v>18798</v>
      </c>
      <c r="E15569" s="6" t="str">
        <f>HYPERLINK("https://inpn.mnhn.fr/espece/cd_nom/249036","Arctornis l-nigrum (O.F. Müller, 1764)")</f>
        <v>Arctornis l-nigrum (O.F. Müller, 1764)</v>
      </c>
      <c r="F15569" s="5" t="s">
        <v>18799</v>
      </c>
      <c r="AH15569" s="4" t="str">
        <f>HYPERLINK("#Statut_biogéographique!A"&amp;_xlfn.XMATCH("P",Statut_biogéographique!A:A,2,1),"P")</f>
        <v>P</v>
      </c>
      <c r="AP15569" s="4" t="s">
        <v>376</v>
      </c>
      <c r="AR15569" s="4" t="s">
        <v>377</v>
      </c>
    </row>
    <row r="15570" spans="1:44">
      <c r="A15570" s="4" t="s">
        <v>10753</v>
      </c>
      <c r="B15570" s="4">
        <v>249038</v>
      </c>
      <c r="D15570" s="5" t="s">
        <v>18800</v>
      </c>
      <c r="E15570" s="6" t="str">
        <f>HYPERLINK("https://inpn.mnhn.fr/espece/cd_nom/249038","Orgyia antiqua (Linnaeus, 1758)")</f>
        <v>Orgyia antiqua (Linnaeus, 1758)</v>
      </c>
      <c r="F15570" s="5" t="s">
        <v>18801</v>
      </c>
      <c r="AH15570" s="4" t="str">
        <f>HYPERLINK("#Statut_biogéographique!A"&amp;_xlfn.XMATCH("P",Statut_biogéographique!A:A,2,1),"P")</f>
        <v>P</v>
      </c>
      <c r="AP15570" s="4" t="s">
        <v>376</v>
      </c>
      <c r="AR15570" s="4" t="s">
        <v>377</v>
      </c>
    </row>
    <row r="15571" spans="1:44">
      <c r="A15571" s="4" t="s">
        <v>10753</v>
      </c>
      <c r="B15571" s="4">
        <v>249042</v>
      </c>
      <c r="D15571" s="5" t="s">
        <v>18802</v>
      </c>
      <c r="E15571" s="6" t="str">
        <f>HYPERLINK("https://inpn.mnhn.fr/espece/cd_nom/249042","Orgyia recens (Hübner, 1819)")</f>
        <v>Orgyia recens (Hübner, 1819)</v>
      </c>
      <c r="F15571" s="5" t="s">
        <v>18803</v>
      </c>
      <c r="AH15571" s="4" t="str">
        <f>HYPERLINK("#Statut_biogéographique!A"&amp;_xlfn.XMATCH("P",Statut_biogéographique!A:A,2,1),"P")</f>
        <v>P</v>
      </c>
      <c r="AP15571" s="4" t="s">
        <v>376</v>
      </c>
      <c r="AR15571" s="4" t="s">
        <v>377</v>
      </c>
    </row>
    <row r="15572" spans="1:44">
      <c r="A15572" s="4" t="s">
        <v>10753</v>
      </c>
      <c r="B15572" s="4">
        <v>249047</v>
      </c>
      <c r="D15572" s="5" t="s">
        <v>18804</v>
      </c>
      <c r="E15572" s="6" t="str">
        <f>HYPERLINK("https://inpn.mnhn.fr/espece/cd_nom/249047","Ocneria rubea (Denis &amp; Schiffermüller, 1775)")</f>
        <v>Ocneria rubea (Denis &amp; Schiffermüller, 1775)</v>
      </c>
      <c r="F15572" s="5" t="s">
        <v>18805</v>
      </c>
      <c r="AH15572" s="4" t="str">
        <f>HYPERLINK("#Statut_biogéographique!A"&amp;_xlfn.XMATCH("P",Statut_biogéographique!A:A,2,1),"P")</f>
        <v>P</v>
      </c>
      <c r="AP15572" s="4" t="s">
        <v>376</v>
      </c>
      <c r="AR15572" s="4" t="s">
        <v>377</v>
      </c>
    </row>
    <row r="15573" spans="1:44" ht="30">
      <c r="A15573" s="4" t="s">
        <v>10753</v>
      </c>
      <c r="B15573" s="4">
        <v>249049</v>
      </c>
      <c r="D15573" s="5" t="s">
        <v>18806</v>
      </c>
      <c r="E15573" s="6" t="str">
        <f>HYPERLINK("https://inpn.mnhn.fr/espece/cd_nom/249049","Lymantria dispar (Linnaeus, 1758)")</f>
        <v>Lymantria dispar (Linnaeus, 1758)</v>
      </c>
      <c r="F15573" s="5" t="s">
        <v>18807</v>
      </c>
      <c r="AH15573" s="4" t="str">
        <f>HYPERLINK("#Statut_biogéographique!A"&amp;_xlfn.XMATCH("P",Statut_biogéographique!A:A,2,1),"P")</f>
        <v>P</v>
      </c>
      <c r="AP15573" s="4" t="s">
        <v>376</v>
      </c>
      <c r="AR15573" s="4" t="s">
        <v>377</v>
      </c>
    </row>
    <row r="15574" spans="1:44">
      <c r="A15574" s="4" t="s">
        <v>10753</v>
      </c>
      <c r="B15574" s="4">
        <v>249050</v>
      </c>
      <c r="D15574" s="5" t="s">
        <v>18808</v>
      </c>
      <c r="E15574" s="6" t="str">
        <f>HYPERLINK("https://inpn.mnhn.fr/espece/cd_nom/249050","Lymantria monacha (Linnaeus, 1758)")</f>
        <v>Lymantria monacha (Linnaeus, 1758)</v>
      </c>
      <c r="F15574" s="5" t="s">
        <v>18809</v>
      </c>
      <c r="AH15574" s="4" t="str">
        <f>HYPERLINK("#Statut_biogéographique!A"&amp;_xlfn.XMATCH("P",Statut_biogéographique!A:A,2,1),"P")</f>
        <v>P</v>
      </c>
      <c r="AP15574" s="4" t="s">
        <v>376</v>
      </c>
      <c r="AR15574" s="4" t="s">
        <v>377</v>
      </c>
    </row>
    <row r="15575" spans="1:44" ht="30">
      <c r="A15575" s="4" t="s">
        <v>10753</v>
      </c>
      <c r="B15575" s="4">
        <v>249051</v>
      </c>
      <c r="D15575" s="5" t="s">
        <v>18810</v>
      </c>
      <c r="E15575" s="6" t="str">
        <f>HYPERLINK("https://inpn.mnhn.fr/espece/cd_nom/249051","Tyria jacobaeae (Linnaeus, 1758)")</f>
        <v>Tyria jacobaeae (Linnaeus, 1758)</v>
      </c>
      <c r="F15575" s="5" t="s">
        <v>18811</v>
      </c>
      <c r="AH15575" s="4" t="str">
        <f>HYPERLINK("#Statut_biogéographique!A"&amp;_xlfn.XMATCH("P",Statut_biogéographique!A:A,2,1),"P")</f>
        <v>P</v>
      </c>
      <c r="AP15575" s="4" t="s">
        <v>376</v>
      </c>
      <c r="AR15575" s="4" t="s">
        <v>377</v>
      </c>
    </row>
    <row r="15576" spans="1:44">
      <c r="A15576" s="4" t="s">
        <v>10753</v>
      </c>
      <c r="B15576" s="4">
        <v>249052</v>
      </c>
      <c r="D15576" s="5" t="s">
        <v>18812</v>
      </c>
      <c r="E15576" s="6" t="str">
        <f>HYPERLINK("https://inpn.mnhn.fr/espece/cd_nom/249052","Callimorpha dominula (Linnaeus, 1758)")</f>
        <v>Callimorpha dominula (Linnaeus, 1758)</v>
      </c>
      <c r="F15576" s="5" t="s">
        <v>18813</v>
      </c>
      <c r="AH15576" s="4" t="str">
        <f>HYPERLINK("#Statut_biogéographique!A"&amp;_xlfn.XMATCH("P",Statut_biogéographique!A:A,2,1),"P")</f>
        <v>P</v>
      </c>
      <c r="AP15576" s="4" t="s">
        <v>376</v>
      </c>
      <c r="AR15576" s="4" t="s">
        <v>377</v>
      </c>
    </row>
    <row r="15577" spans="1:44">
      <c r="A15577" s="4" t="s">
        <v>10753</v>
      </c>
      <c r="B15577" s="4">
        <v>249053</v>
      </c>
      <c r="D15577" s="5" t="s">
        <v>18814</v>
      </c>
      <c r="E15577" s="6" t="str">
        <f>HYPERLINK("https://inpn.mnhn.fr/espece/cd_nom/249053","Arctia caja (Linnaeus, 1758)")</f>
        <v>Arctia caja (Linnaeus, 1758)</v>
      </c>
      <c r="F15577" s="5" t="s">
        <v>18815</v>
      </c>
      <c r="AH15577" s="4" t="str">
        <f>HYPERLINK("#Statut_biogéographique!A"&amp;_xlfn.XMATCH("P",Statut_biogéographique!A:A,2,1),"P")</f>
        <v>P</v>
      </c>
      <c r="AP15577" s="4" t="s">
        <v>376</v>
      </c>
      <c r="AR15577" s="4" t="s">
        <v>377</v>
      </c>
    </row>
    <row r="15578" spans="1:44">
      <c r="A15578" s="4" t="s">
        <v>10753</v>
      </c>
      <c r="B15578" s="4">
        <v>249055</v>
      </c>
      <c r="D15578" s="5" t="s">
        <v>18816</v>
      </c>
      <c r="E15578" s="6" t="str">
        <f>HYPERLINK("https://inpn.mnhn.fr/espece/cd_nom/249055","Arctia villica (Linnaeus, 1758)")</f>
        <v>Arctia villica (Linnaeus, 1758)</v>
      </c>
      <c r="F15578" s="5" t="s">
        <v>18817</v>
      </c>
      <c r="AH15578" s="4" t="str">
        <f>HYPERLINK("#Statut_biogéographique!A"&amp;_xlfn.XMATCH("P",Statut_biogéographique!A:A,2,1),"P")</f>
        <v>P</v>
      </c>
      <c r="AP15578" s="4" t="s">
        <v>376</v>
      </c>
      <c r="AR15578" s="4" t="s">
        <v>377</v>
      </c>
    </row>
    <row r="15579" spans="1:44" ht="30">
      <c r="A15579" s="4" t="s">
        <v>10753</v>
      </c>
      <c r="B15579" s="4">
        <v>249056</v>
      </c>
      <c r="D15579" s="5" t="s">
        <v>18818</v>
      </c>
      <c r="E15579" s="6" t="str">
        <f>HYPERLINK("https://inpn.mnhn.fr/espece/cd_nom/249056","Arctia festiva (Hufnagel, 1766)")</f>
        <v>Arctia festiva (Hufnagel, 1766)</v>
      </c>
      <c r="F15579" s="5" t="s">
        <v>18819</v>
      </c>
      <c r="AH15579" s="4" t="str">
        <f>HYPERLINK("#Statut_biogéographique!A"&amp;_xlfn.XMATCH("P",Statut_biogéographique!A:A,2,1),"P")</f>
        <v>P</v>
      </c>
      <c r="AP15579" s="4" t="s">
        <v>376</v>
      </c>
      <c r="AR15579" s="4" t="s">
        <v>377</v>
      </c>
    </row>
    <row r="15580" spans="1:44" ht="30">
      <c r="A15580" s="4" t="s">
        <v>10753</v>
      </c>
      <c r="B15580" s="4">
        <v>249061</v>
      </c>
      <c r="D15580" s="5" t="s">
        <v>18820</v>
      </c>
      <c r="E15580" s="6" t="str">
        <f>HYPERLINK("https://inpn.mnhn.fr/espece/cd_nom/249061","Diacrisia sannio (Linnaeus, 1758)")</f>
        <v>Diacrisia sannio (Linnaeus, 1758)</v>
      </c>
      <c r="F15580" s="5" t="s">
        <v>18821</v>
      </c>
      <c r="AH15580" s="4" t="str">
        <f>HYPERLINK("#Statut_biogéographique!A"&amp;_xlfn.XMATCH("P",Statut_biogéographique!A:A,2,1),"P")</f>
        <v>P</v>
      </c>
      <c r="AP15580" s="4" t="s">
        <v>376</v>
      </c>
      <c r="AR15580" s="4" t="s">
        <v>377</v>
      </c>
    </row>
    <row r="15581" spans="1:44" ht="30">
      <c r="A15581" s="4" t="s">
        <v>10753</v>
      </c>
      <c r="B15581" s="4">
        <v>249064</v>
      </c>
      <c r="D15581" s="5" t="s">
        <v>18822</v>
      </c>
      <c r="E15581" s="6" t="str">
        <f>HYPERLINK("https://inpn.mnhn.fr/espece/cd_nom/249064","Diaphora mendica (Clerck, 1759)")</f>
        <v>Diaphora mendica (Clerck, 1759)</v>
      </c>
      <c r="F15581" s="5" t="s">
        <v>18823</v>
      </c>
      <c r="AH15581" s="4" t="str">
        <f>HYPERLINK("#Statut_biogéographique!A"&amp;_xlfn.XMATCH("P",Statut_biogéographique!A:A,2,1),"P")</f>
        <v>P</v>
      </c>
      <c r="AP15581" s="4" t="s">
        <v>376</v>
      </c>
      <c r="AR15581" s="4" t="s">
        <v>377</v>
      </c>
    </row>
    <row r="15582" spans="1:44">
      <c r="A15582" s="4" t="s">
        <v>10753</v>
      </c>
      <c r="B15582" s="4">
        <v>249066</v>
      </c>
      <c r="D15582" s="5" t="s">
        <v>18824</v>
      </c>
      <c r="E15582" s="6" t="str">
        <f>HYPERLINK("https://inpn.mnhn.fr/espece/cd_nom/249066","Hyphantria cunea (Drury, 1773)")</f>
        <v>Hyphantria cunea (Drury, 1773)</v>
      </c>
      <c r="F15582" s="5" t="s">
        <v>18825</v>
      </c>
      <c r="AH15582" s="4" t="str">
        <f>HYPERLINK("#Statut_biogéographique!A"&amp;_xlfn.XMATCH("J",Statut_biogéographique!A:A,2,1),"J")</f>
        <v>J</v>
      </c>
      <c r="AP15582" s="4" t="s">
        <v>376</v>
      </c>
      <c r="AR15582" s="4" t="s">
        <v>377</v>
      </c>
    </row>
    <row r="15583" spans="1:44" ht="30">
      <c r="A15583" s="4" t="s">
        <v>10753</v>
      </c>
      <c r="B15583" s="4">
        <v>249068</v>
      </c>
      <c r="D15583" s="5" t="s">
        <v>18826</v>
      </c>
      <c r="E15583" s="6" t="str">
        <f>HYPERLINK("https://inpn.mnhn.fr/espece/cd_nom/249068","Spilosoma lubricipeda (Linnaeus, 1758)")</f>
        <v>Spilosoma lubricipeda (Linnaeus, 1758)</v>
      </c>
      <c r="F15583" s="5" t="s">
        <v>18827</v>
      </c>
      <c r="AH15583" s="4" t="str">
        <f>HYPERLINK("#Statut_biogéographique!A"&amp;_xlfn.XMATCH("P",Statut_biogéographique!A:A,2,1),"P")</f>
        <v>P</v>
      </c>
      <c r="AP15583" s="4" t="s">
        <v>376</v>
      </c>
      <c r="AR15583" s="4" t="s">
        <v>377</v>
      </c>
    </row>
    <row r="15584" spans="1:44">
      <c r="A15584" s="4" t="s">
        <v>10753</v>
      </c>
      <c r="B15584" s="4">
        <v>249069</v>
      </c>
      <c r="D15584" s="5" t="s">
        <v>18828</v>
      </c>
      <c r="E15584" s="6" t="str">
        <f>HYPERLINK("https://inpn.mnhn.fr/espece/cd_nom/249069","Spilosoma urticae (Esper, 1789)")</f>
        <v>Spilosoma urticae (Esper, 1789)</v>
      </c>
      <c r="F15584" s="5" t="s">
        <v>18829</v>
      </c>
      <c r="AH15584" s="4" t="str">
        <f>HYPERLINK("#Statut_biogéographique!A"&amp;_xlfn.XMATCH("P",Statut_biogéographique!A:A,2,1),"P")</f>
        <v>P</v>
      </c>
      <c r="AP15584" s="4" t="s">
        <v>376</v>
      </c>
      <c r="AR15584" s="4" t="s">
        <v>377</v>
      </c>
    </row>
    <row r="15585" spans="1:44">
      <c r="A15585" s="4" t="s">
        <v>10753</v>
      </c>
      <c r="B15585" s="4">
        <v>249073</v>
      </c>
      <c r="D15585" s="5" t="s">
        <v>18830</v>
      </c>
      <c r="E15585" s="6" t="str">
        <f>HYPERLINK("https://inpn.mnhn.fr/espece/cd_nom/249073","Cymbalophora pudica (Esper, 1785)")</f>
        <v>Cymbalophora pudica (Esper, 1785)</v>
      </c>
      <c r="F15585" s="5" t="s">
        <v>18831</v>
      </c>
      <c r="AH15585" s="4" t="str">
        <f>HYPERLINK("#Statut_biogéographique!A"&amp;_xlfn.XMATCH("P",Statut_biogéographique!A:A,2,1),"P")</f>
        <v>P</v>
      </c>
      <c r="AP15585" s="4" t="s">
        <v>376</v>
      </c>
      <c r="AR15585" s="4" t="s">
        <v>377</v>
      </c>
    </row>
    <row r="15586" spans="1:44" ht="30">
      <c r="A15586" s="4" t="s">
        <v>10753</v>
      </c>
      <c r="B15586" s="4">
        <v>249074</v>
      </c>
      <c r="D15586" s="5" t="s">
        <v>18832</v>
      </c>
      <c r="E15586" s="6" t="str">
        <f>HYPERLINK("https://inpn.mnhn.fr/espece/cd_nom/249074","Phragmatobia fuliginosa (Linnaeus, 1758)")</f>
        <v>Phragmatobia fuliginosa (Linnaeus, 1758)</v>
      </c>
      <c r="F15586" s="5" t="s">
        <v>18833</v>
      </c>
      <c r="AH15586" s="4" t="str">
        <f>HYPERLINK("#Statut_biogéographique!A"&amp;_xlfn.XMATCH("P",Statut_biogéographique!A:A,2,1),"P")</f>
        <v>P</v>
      </c>
      <c r="AP15586" s="4" t="s">
        <v>376</v>
      </c>
      <c r="AR15586" s="4" t="s">
        <v>377</v>
      </c>
    </row>
    <row r="15587" spans="1:44" ht="30">
      <c r="A15587" s="4" t="s">
        <v>10753</v>
      </c>
      <c r="B15587" s="4">
        <v>249081</v>
      </c>
      <c r="D15587" s="5" t="s">
        <v>18834</v>
      </c>
      <c r="E15587" s="6" t="str">
        <f>HYPERLINK("https://inpn.mnhn.fr/espece/cd_nom/249081","Utetheisa pulchella (Linnaeus, 1758)")</f>
        <v>Utetheisa pulchella (Linnaeus, 1758)</v>
      </c>
      <c r="F15587" s="5" t="s">
        <v>18835</v>
      </c>
      <c r="AH15587" s="4" t="str">
        <f>HYPERLINK("#Statut_biogéographique!A"&amp;_xlfn.XMATCH("P",Statut_biogéographique!A:A,2,1),"P")</f>
        <v>P</v>
      </c>
      <c r="AP15587" s="4" t="s">
        <v>376</v>
      </c>
      <c r="AR15587" s="4" t="s">
        <v>377</v>
      </c>
    </row>
    <row r="15588" spans="1:44">
      <c r="A15588" s="4" t="s">
        <v>10753</v>
      </c>
      <c r="B15588" s="4">
        <v>249085</v>
      </c>
      <c r="D15588" s="5" t="s">
        <v>18836</v>
      </c>
      <c r="E15588" s="6" t="str">
        <f>HYPERLINK("https://inpn.mnhn.fr/espece/cd_nom/249085","Dysauxes famula (Freyer, 1836)")</f>
        <v>Dysauxes famula (Freyer, 1836)</v>
      </c>
      <c r="F15588" s="5" t="s">
        <v>18837</v>
      </c>
      <c r="AH15588" s="4" t="str">
        <f>HYPERLINK("#Statut_biogéographique!A"&amp;_xlfn.XMATCH("P",Statut_biogéographique!A:A,2,1),"P")</f>
        <v>P</v>
      </c>
      <c r="AP15588" s="4" t="s">
        <v>376</v>
      </c>
      <c r="AR15588" s="4" t="s">
        <v>377</v>
      </c>
    </row>
    <row r="15589" spans="1:44" ht="30">
      <c r="A15589" s="4" t="s">
        <v>10753</v>
      </c>
      <c r="B15589" s="4">
        <v>249088</v>
      </c>
      <c r="D15589" s="5" t="s">
        <v>18838</v>
      </c>
      <c r="E15589" s="6" t="str">
        <f>HYPERLINK("https://inpn.mnhn.fr/espece/cd_nom/249088","Setina irrorella (Linnaeus, 1758)")</f>
        <v>Setina irrorella (Linnaeus, 1758)</v>
      </c>
      <c r="F15589" s="5" t="s">
        <v>18839</v>
      </c>
      <c r="AH15589" s="4" t="str">
        <f>HYPERLINK("#Statut_biogéographique!A"&amp;_xlfn.XMATCH("P",Statut_biogéographique!A:A,2,1),"P")</f>
        <v>P</v>
      </c>
      <c r="AP15589" s="4" t="s">
        <v>376</v>
      </c>
      <c r="AR15589" s="4" t="s">
        <v>377</v>
      </c>
    </row>
    <row r="15590" spans="1:44">
      <c r="A15590" s="4" t="s">
        <v>10753</v>
      </c>
      <c r="B15590" s="4">
        <v>24909</v>
      </c>
      <c r="D15590" s="5" t="s">
        <v>18840</v>
      </c>
      <c r="E15590" s="6" t="str">
        <f>HYPERLINK("https://inpn.mnhn.fr/espece/cd_nom/24909","Colobaea bifasciella (Fallén, 1820)")</f>
        <v>Colobaea bifasciella (Fallén, 1820)</v>
      </c>
      <c r="AH15590" s="4" t="str">
        <f>HYPERLINK("#Statut_biogéographique!A"&amp;_xlfn.XMATCH("P",Statut_biogéographique!A:A,2,1),"P")</f>
        <v>P</v>
      </c>
      <c r="AP15590" s="4" t="s">
        <v>376</v>
      </c>
      <c r="AR15590" s="4" t="s">
        <v>377</v>
      </c>
    </row>
    <row r="15591" spans="1:44">
      <c r="A15591" s="4" t="s">
        <v>10753</v>
      </c>
      <c r="B15591" s="4">
        <v>249090</v>
      </c>
      <c r="D15591" s="5" t="s">
        <v>18841</v>
      </c>
      <c r="E15591" s="6" t="str">
        <f>HYPERLINK("https://inpn.mnhn.fr/espece/cd_nom/249090","Setina aurita (Esper, 1787)")</f>
        <v>Setina aurita (Esper, 1787)</v>
      </c>
      <c r="F15591" s="5" t="s">
        <v>18842</v>
      </c>
      <c r="AH15591" s="4" t="str">
        <f>HYPERLINK("#Statut_biogéographique!A"&amp;_xlfn.XMATCH("P",Statut_biogéographique!A:A,2,1),"P")</f>
        <v>P</v>
      </c>
      <c r="AP15591" s="4" t="s">
        <v>376</v>
      </c>
      <c r="AR15591" s="4" t="s">
        <v>377</v>
      </c>
    </row>
    <row r="15592" spans="1:44" ht="30">
      <c r="A15592" s="4" t="s">
        <v>10753</v>
      </c>
      <c r="B15592" s="4">
        <v>249091</v>
      </c>
      <c r="D15592" s="5" t="s">
        <v>18843</v>
      </c>
      <c r="E15592" s="6" t="str">
        <f>HYPERLINK("https://inpn.mnhn.fr/espece/cd_nom/249091","Setina roscida (Denis &amp; Schiffermüller, 1775)")</f>
        <v>Setina roscida (Denis &amp; Schiffermüller, 1775)</v>
      </c>
      <c r="F15592" s="5" t="s">
        <v>18844</v>
      </c>
      <c r="AH15592" s="4" t="str">
        <f>HYPERLINK("#Statut_biogéographique!A"&amp;_xlfn.XMATCH("P",Statut_biogéographique!A:A,2,1),"P")</f>
        <v>P</v>
      </c>
      <c r="AP15592" s="4" t="s">
        <v>376</v>
      </c>
      <c r="AR15592" s="4" t="s">
        <v>377</v>
      </c>
    </row>
    <row r="15593" spans="1:44">
      <c r="A15593" s="4" t="s">
        <v>10753</v>
      </c>
      <c r="B15593" s="4">
        <v>249098</v>
      </c>
      <c r="D15593" s="5" t="s">
        <v>18845</v>
      </c>
      <c r="E15593" s="6" t="str">
        <f>HYPERLINK("https://inpn.mnhn.fr/espece/cd_nom/249098","Eilema caniola (Hübner, 1808)")</f>
        <v>Eilema caniola (Hübner, 1808)</v>
      </c>
      <c r="F15593" s="5" t="s">
        <v>18846</v>
      </c>
      <c r="AH15593" s="4" t="str">
        <f>HYPERLINK("#Statut_biogéographique!A"&amp;_xlfn.XMATCH("P",Statut_biogéographique!A:A,2,1),"P")</f>
        <v>P</v>
      </c>
      <c r="AP15593" s="4" t="s">
        <v>376</v>
      </c>
      <c r="AR15593" s="4" t="s">
        <v>377</v>
      </c>
    </row>
    <row r="15594" spans="1:44">
      <c r="A15594" s="4" t="s">
        <v>10753</v>
      </c>
      <c r="B15594" s="4">
        <v>249104</v>
      </c>
      <c r="D15594" s="5" t="s">
        <v>18847</v>
      </c>
      <c r="E15594" s="6" t="str">
        <f>HYPERLINK("https://inpn.mnhn.fr/espece/cd_nom/249104","Lithosia quadra (Linnaeus, 1758)")</f>
        <v>Lithosia quadra (Linnaeus, 1758)</v>
      </c>
      <c r="F15594" s="5" t="s">
        <v>18848</v>
      </c>
      <c r="AH15594" s="4" t="str">
        <f>HYPERLINK("#Statut_biogéographique!A"&amp;_xlfn.XMATCH("P",Statut_biogéographique!A:A,2,1),"P")</f>
        <v>P</v>
      </c>
      <c r="AP15594" s="4" t="s">
        <v>376</v>
      </c>
      <c r="AR15594" s="4" t="s">
        <v>377</v>
      </c>
    </row>
    <row r="15595" spans="1:44">
      <c r="A15595" s="4" t="s">
        <v>10753</v>
      </c>
      <c r="B15595" s="4">
        <v>249105</v>
      </c>
      <c r="D15595" s="5" t="s">
        <v>18849</v>
      </c>
      <c r="E15595" s="6" t="str">
        <f>HYPERLINK("https://inpn.mnhn.fr/espece/cd_nom/249105","Atolmis rubricollis (Linnaeus, 1758)")</f>
        <v>Atolmis rubricollis (Linnaeus, 1758)</v>
      </c>
      <c r="F15595" s="5" t="s">
        <v>18850</v>
      </c>
      <c r="AH15595" s="4" t="str">
        <f>HYPERLINK("#Statut_biogéographique!A"&amp;_xlfn.XMATCH("P",Statut_biogéographique!A:A,2,1),"P")</f>
        <v>P</v>
      </c>
      <c r="AP15595" s="4" t="s">
        <v>376</v>
      </c>
      <c r="AR15595" s="4" t="s">
        <v>377</v>
      </c>
    </row>
    <row r="15596" spans="1:44" ht="30">
      <c r="A15596" s="4" t="s">
        <v>10753</v>
      </c>
      <c r="B15596" s="4">
        <v>249106</v>
      </c>
      <c r="D15596" s="5" t="s">
        <v>18851</v>
      </c>
      <c r="E15596" s="6" t="str">
        <f>HYPERLINK("https://inpn.mnhn.fr/espece/cd_nom/249106","Pelosia muscerda (Hufnagel, 1766)")</f>
        <v>Pelosia muscerda (Hufnagel, 1766)</v>
      </c>
      <c r="F15596" s="5" t="s">
        <v>18852</v>
      </c>
      <c r="AH15596" s="4" t="str">
        <f>HYPERLINK("#Statut_biogéographique!A"&amp;_xlfn.XMATCH("P",Statut_biogéographique!A:A,2,1),"P")</f>
        <v>P</v>
      </c>
      <c r="AP15596" s="4" t="s">
        <v>376</v>
      </c>
      <c r="AR15596" s="4" t="s">
        <v>377</v>
      </c>
    </row>
    <row r="15597" spans="1:44">
      <c r="A15597" s="4" t="s">
        <v>10753</v>
      </c>
      <c r="B15597" s="4">
        <v>249107</v>
      </c>
      <c r="D15597" s="5" t="s">
        <v>18853</v>
      </c>
      <c r="E15597" s="6" t="str">
        <f>HYPERLINK("https://inpn.mnhn.fr/espece/cd_nom/249107","Pelosia obtusa (Herrich-Schäffer, 1852)")</f>
        <v>Pelosia obtusa (Herrich-Schäffer, 1852)</v>
      </c>
      <c r="F15597" s="5" t="s">
        <v>18854</v>
      </c>
      <c r="AH15597" s="4" t="str">
        <f>HYPERLINK("#Statut_biogéographique!A"&amp;_xlfn.XMATCH("P",Statut_biogéographique!A:A,2,1),"P")</f>
        <v>P</v>
      </c>
      <c r="AP15597" s="4" t="s">
        <v>376</v>
      </c>
      <c r="AR15597" s="4" t="s">
        <v>377</v>
      </c>
    </row>
    <row r="15598" spans="1:44">
      <c r="A15598" s="4" t="s">
        <v>10753</v>
      </c>
      <c r="B15598" s="4">
        <v>249108</v>
      </c>
      <c r="D15598" s="5" t="s">
        <v>18855</v>
      </c>
      <c r="E15598" s="6" t="str">
        <f>HYPERLINK("https://inpn.mnhn.fr/espece/cd_nom/249108","Cybosia mesomella (Linnaeus, 1758)")</f>
        <v>Cybosia mesomella (Linnaeus, 1758)</v>
      </c>
      <c r="F15598" s="5" t="s">
        <v>18856</v>
      </c>
      <c r="AH15598" s="4" t="str">
        <f>HYPERLINK("#Statut_biogéographique!A"&amp;_xlfn.XMATCH("P",Statut_biogéographique!A:A,2,1),"P")</f>
        <v>P</v>
      </c>
      <c r="AP15598" s="4" t="s">
        <v>376</v>
      </c>
      <c r="AR15598" s="4" t="s">
        <v>377</v>
      </c>
    </row>
    <row r="15599" spans="1:44" ht="30">
      <c r="A15599" s="4" t="s">
        <v>10753</v>
      </c>
      <c r="B15599" s="4">
        <v>249109</v>
      </c>
      <c r="D15599" s="5" t="s">
        <v>18857</v>
      </c>
      <c r="E15599" s="6" t="str">
        <f>HYPERLINK("https://inpn.mnhn.fr/espece/cd_nom/249109","Miltochrista miniata (Forster, 1771)")</f>
        <v>Miltochrista miniata (Forster, 1771)</v>
      </c>
      <c r="F15599" s="5" t="s">
        <v>18858</v>
      </c>
      <c r="AH15599" s="4" t="str">
        <f>HYPERLINK("#Statut_biogéographique!A"&amp;_xlfn.XMATCH("P",Statut_biogéographique!A:A,2,1),"P")</f>
        <v>P</v>
      </c>
      <c r="AP15599" s="4" t="s">
        <v>376</v>
      </c>
      <c r="AR15599" s="4" t="s">
        <v>377</v>
      </c>
    </row>
    <row r="15600" spans="1:44" ht="30">
      <c r="A15600" s="4" t="s">
        <v>10753</v>
      </c>
      <c r="B15600" s="4">
        <v>249112</v>
      </c>
      <c r="D15600" s="5" t="s">
        <v>18859</v>
      </c>
      <c r="E15600" s="6" t="str">
        <f>HYPERLINK("https://inpn.mnhn.fr/espece/cd_nom/249112","Paidia rica (Freyer, 1855)")</f>
        <v>Paidia rica (Freyer, 1855)</v>
      </c>
      <c r="F15600" s="5" t="s">
        <v>18860</v>
      </c>
      <c r="AH15600" s="4" t="str">
        <f>HYPERLINK("#Statut_biogéographique!A"&amp;_xlfn.XMATCH("P",Statut_biogéographique!A:A,2,1),"P")</f>
        <v>P</v>
      </c>
      <c r="AP15600" s="4" t="s">
        <v>376</v>
      </c>
      <c r="AR15600" s="4" t="s">
        <v>377</v>
      </c>
    </row>
    <row r="15601" spans="1:44">
      <c r="A15601" s="4" t="s">
        <v>10753</v>
      </c>
      <c r="B15601" s="4">
        <v>249113</v>
      </c>
      <c r="D15601" s="5" t="s">
        <v>18861</v>
      </c>
      <c r="E15601" s="6" t="str">
        <f>HYPERLINK("https://inpn.mnhn.fr/espece/cd_nom/249113","Thumatha senex (Hübner, 1808)")</f>
        <v>Thumatha senex (Hübner, 1808)</v>
      </c>
      <c r="F15601" s="5" t="s">
        <v>18862</v>
      </c>
      <c r="AH15601" s="4" t="str">
        <f>HYPERLINK("#Statut_biogéographique!A"&amp;_xlfn.XMATCH("P",Statut_biogéographique!A:A,2,1),"P")</f>
        <v>P</v>
      </c>
      <c r="AP15601" s="4" t="s">
        <v>376</v>
      </c>
      <c r="AR15601" s="4" t="s">
        <v>377</v>
      </c>
    </row>
    <row r="15602" spans="1:44">
      <c r="A15602" s="4" t="s">
        <v>10753</v>
      </c>
      <c r="B15602" s="4">
        <v>249114</v>
      </c>
      <c r="D15602" s="5" t="s">
        <v>18863</v>
      </c>
      <c r="E15602" s="6" t="str">
        <f>HYPERLINK("https://inpn.mnhn.fr/espece/cd_nom/249114","Nudaria mundana (Linnaeus, 1761)")</f>
        <v>Nudaria mundana (Linnaeus, 1761)</v>
      </c>
      <c r="F15602" s="5" t="s">
        <v>18864</v>
      </c>
      <c r="AH15602" s="4" t="str">
        <f>HYPERLINK("#Statut_biogéographique!A"&amp;_xlfn.XMATCH("P",Statut_biogéographique!A:A,2,1),"P")</f>
        <v>P</v>
      </c>
      <c r="AP15602" s="4" t="s">
        <v>376</v>
      </c>
      <c r="AR15602" s="4" t="s">
        <v>377</v>
      </c>
    </row>
    <row r="15603" spans="1:44">
      <c r="A15603" s="4" t="s">
        <v>10753</v>
      </c>
      <c r="B15603" s="4">
        <v>249115</v>
      </c>
      <c r="D15603" s="5" t="s">
        <v>18865</v>
      </c>
      <c r="E15603" s="6" t="str">
        <f>HYPERLINK("https://inpn.mnhn.fr/espece/cd_nom/249115","Tyta luctuosa (Denis &amp; Schiffermüller, 1775)")</f>
        <v>Tyta luctuosa (Denis &amp; Schiffermüller, 1775)</v>
      </c>
      <c r="F15603" s="5" t="s">
        <v>18866</v>
      </c>
      <c r="AH15603" s="4" t="str">
        <f>HYPERLINK("#Statut_biogéographique!A"&amp;_xlfn.XMATCH("P",Statut_biogéographique!A:A,2,1),"P")</f>
        <v>P</v>
      </c>
      <c r="AP15603" s="4" t="s">
        <v>376</v>
      </c>
      <c r="AR15603" s="4" t="s">
        <v>377</v>
      </c>
    </row>
    <row r="15604" spans="1:44">
      <c r="A15604" s="4" t="s">
        <v>10753</v>
      </c>
      <c r="B15604" s="4">
        <v>249116</v>
      </c>
      <c r="D15604" s="5" t="s">
        <v>18867</v>
      </c>
      <c r="E15604" s="6" t="str">
        <f>HYPERLINK("https://inpn.mnhn.fr/espece/cd_nom/249116","Schrankia costaestrigalis (Stephens, 1834)")</f>
        <v>Schrankia costaestrigalis (Stephens, 1834)</v>
      </c>
      <c r="F15604" s="5" t="s">
        <v>18868</v>
      </c>
      <c r="AH15604" s="4" t="str">
        <f>HYPERLINK("#Statut_biogéographique!A"&amp;_xlfn.XMATCH("P",Statut_biogéographique!A:A,2,1),"P")</f>
        <v>P</v>
      </c>
      <c r="AP15604" s="4" t="s">
        <v>376</v>
      </c>
      <c r="AR15604" s="4" t="s">
        <v>377</v>
      </c>
    </row>
    <row r="15605" spans="1:44">
      <c r="A15605" s="4" t="s">
        <v>10753</v>
      </c>
      <c r="B15605" s="4">
        <v>249117</v>
      </c>
      <c r="D15605" s="5" t="s">
        <v>18869</v>
      </c>
      <c r="E15605" s="6" t="str">
        <f>HYPERLINK("https://inpn.mnhn.fr/espece/cd_nom/249117","Schrankia taenialis (Hübner, 1809)")</f>
        <v>Schrankia taenialis (Hübner, 1809)</v>
      </c>
      <c r="F15605" s="5" t="s">
        <v>18870</v>
      </c>
      <c r="AH15605" s="4" t="str">
        <f>HYPERLINK("#Statut_biogéographique!A"&amp;_xlfn.XMATCH("P",Statut_biogéographique!A:A,2,1),"P")</f>
        <v>P</v>
      </c>
      <c r="AP15605" s="4" t="s">
        <v>376</v>
      </c>
      <c r="AR15605" s="4" t="s">
        <v>377</v>
      </c>
    </row>
    <row r="15606" spans="1:44">
      <c r="A15606" s="4" t="s">
        <v>10753</v>
      </c>
      <c r="B15606" s="4">
        <v>249118</v>
      </c>
      <c r="D15606" s="5" t="s">
        <v>18871</v>
      </c>
      <c r="E15606" s="6" t="str">
        <f>HYPERLINK("https://inpn.mnhn.fr/espece/cd_nom/249118","Hypenodes humidalis Doubleday, 1850")</f>
        <v>Hypenodes humidalis Doubleday, 1850</v>
      </c>
      <c r="F15606" s="5" t="s">
        <v>18872</v>
      </c>
      <c r="AH15606" s="4" t="str">
        <f>HYPERLINK("#Statut_biogéographique!A"&amp;_xlfn.XMATCH("P",Statut_biogéographique!A:A,2,1),"P")</f>
        <v>P</v>
      </c>
      <c r="AP15606" s="4" t="s">
        <v>376</v>
      </c>
      <c r="AR15606" s="4" t="s">
        <v>377</v>
      </c>
    </row>
    <row r="15607" spans="1:44">
      <c r="A15607" s="4" t="s">
        <v>10753</v>
      </c>
      <c r="B15607" s="4">
        <v>249120</v>
      </c>
      <c r="D15607" s="5" t="s">
        <v>18873</v>
      </c>
      <c r="E15607" s="6" t="str">
        <f>HYPERLINK("https://inpn.mnhn.fr/espece/cd_nom/249120","Rivula sericealis (Scopoli, 1763)")</f>
        <v>Rivula sericealis (Scopoli, 1763)</v>
      </c>
      <c r="F15607" s="5" t="s">
        <v>18874</v>
      </c>
      <c r="AH15607" s="4" t="str">
        <f>HYPERLINK("#Statut_biogéographique!A"&amp;_xlfn.XMATCH("P",Statut_biogéographique!A:A,2,1),"P")</f>
        <v>P</v>
      </c>
      <c r="AP15607" s="4" t="s">
        <v>376</v>
      </c>
      <c r="AR15607" s="4" t="s">
        <v>377</v>
      </c>
    </row>
    <row r="15608" spans="1:44" ht="30">
      <c r="A15608" s="4" t="s">
        <v>10753</v>
      </c>
      <c r="B15608" s="4">
        <v>249121</v>
      </c>
      <c r="D15608" s="5" t="s">
        <v>18875</v>
      </c>
      <c r="E15608" s="6" t="str">
        <f>HYPERLINK("https://inpn.mnhn.fr/espece/cd_nom/249121","Phytometra viridaria (Clerck, 1759)")</f>
        <v>Phytometra viridaria (Clerck, 1759)</v>
      </c>
      <c r="F15608" s="5" t="s">
        <v>18876</v>
      </c>
      <c r="AH15608" s="4" t="str">
        <f>HYPERLINK("#Statut_biogéographique!A"&amp;_xlfn.XMATCH("P",Statut_biogéographique!A:A,2,1),"P")</f>
        <v>P</v>
      </c>
      <c r="AP15608" s="4" t="s">
        <v>376</v>
      </c>
      <c r="AR15608" s="4" t="s">
        <v>377</v>
      </c>
    </row>
    <row r="15609" spans="1:44">
      <c r="A15609" s="4" t="s">
        <v>10753</v>
      </c>
      <c r="B15609" s="4">
        <v>249123</v>
      </c>
      <c r="D15609" s="5" t="s">
        <v>18877</v>
      </c>
      <c r="E15609" s="6" t="str">
        <f>HYPERLINK("https://inpn.mnhn.fr/espece/cd_nom/249123","Parascotia fuliginaria (Linnaeus, 1761)")</f>
        <v>Parascotia fuliginaria (Linnaeus, 1761)</v>
      </c>
      <c r="F15609" s="5" t="s">
        <v>18878</v>
      </c>
      <c r="AH15609" s="4" t="str">
        <f>HYPERLINK("#Statut_biogéographique!A"&amp;_xlfn.XMATCH("P",Statut_biogéographique!A:A,2,1),"P")</f>
        <v>P</v>
      </c>
      <c r="AP15609" s="4" t="s">
        <v>376</v>
      </c>
      <c r="AR15609" s="4" t="s">
        <v>377</v>
      </c>
    </row>
    <row r="15610" spans="1:44" ht="30">
      <c r="A15610" s="4" t="s">
        <v>10753</v>
      </c>
      <c r="B15610" s="4">
        <v>249124</v>
      </c>
      <c r="D15610" s="5" t="s">
        <v>18879</v>
      </c>
      <c r="E15610" s="6" t="str">
        <f>HYPERLINK("https://inpn.mnhn.fr/espece/cd_nom/249124","Colobochyla salicalis (Denis &amp; Schiffermüller, 1775)")</f>
        <v>Colobochyla salicalis (Denis &amp; Schiffermüller, 1775)</v>
      </c>
      <c r="F15610" s="5" t="s">
        <v>18880</v>
      </c>
      <c r="AH15610" s="4" t="str">
        <f>HYPERLINK("#Statut_biogéographique!A"&amp;_xlfn.XMATCH("P",Statut_biogéographique!A:A,2,1),"P")</f>
        <v>P</v>
      </c>
      <c r="AP15610" s="4" t="s">
        <v>376</v>
      </c>
      <c r="AR15610" s="4" t="s">
        <v>377</v>
      </c>
    </row>
    <row r="15611" spans="1:44">
      <c r="A15611" s="4" t="s">
        <v>10753</v>
      </c>
      <c r="B15611" s="4">
        <v>249126</v>
      </c>
      <c r="D15611" s="5" t="s">
        <v>18881</v>
      </c>
      <c r="E15611" s="6" t="str">
        <f>HYPERLINK("https://inpn.mnhn.fr/espece/cd_nom/249126","Trichoplusia ni (Hübner, 1803)")</f>
        <v>Trichoplusia ni (Hübner, 1803)</v>
      </c>
      <c r="F15611" s="5" t="s">
        <v>18882</v>
      </c>
      <c r="AH15611" s="4" t="str">
        <f>HYPERLINK("#Statut_biogéographique!A"&amp;_xlfn.XMATCH("P",Statut_biogéographique!A:A,2,1),"P")</f>
        <v>P</v>
      </c>
      <c r="AP15611" s="4" t="s">
        <v>376</v>
      </c>
      <c r="AR15611" s="4" t="s">
        <v>377</v>
      </c>
    </row>
    <row r="15612" spans="1:44" ht="30">
      <c r="A15612" s="4" t="s">
        <v>10753</v>
      </c>
      <c r="B15612" s="4">
        <v>249133</v>
      </c>
      <c r="D15612" s="5" t="s">
        <v>18883</v>
      </c>
      <c r="E15612" s="6" t="str">
        <f>HYPERLINK("https://inpn.mnhn.fr/espece/cd_nom/249133","Syngrapha interrogationis (Linnaeus, 1758)")</f>
        <v>Syngrapha interrogationis (Linnaeus, 1758)</v>
      </c>
      <c r="F15612" s="5" t="s">
        <v>18884</v>
      </c>
      <c r="AH15612" s="4" t="str">
        <f>HYPERLINK("#Statut_biogéographique!A"&amp;_xlfn.XMATCH("P",Statut_biogéographique!A:A,2,1),"P")</f>
        <v>P</v>
      </c>
      <c r="AP15612" s="4" t="s">
        <v>376</v>
      </c>
      <c r="AR15612" s="4" t="s">
        <v>377</v>
      </c>
    </row>
    <row r="15613" spans="1:44">
      <c r="A15613" s="4" t="s">
        <v>10753</v>
      </c>
      <c r="B15613" s="4">
        <v>249134</v>
      </c>
      <c r="D15613" s="5" t="s">
        <v>18885</v>
      </c>
      <c r="E15613" s="6" t="str">
        <f>HYPERLINK("https://inpn.mnhn.fr/espece/cd_nom/249134","Polychrysia moneta (Fabricius, 1787)")</f>
        <v>Polychrysia moneta (Fabricius, 1787)</v>
      </c>
      <c r="F15613" s="5" t="s">
        <v>18886</v>
      </c>
      <c r="AH15613" s="4" t="str">
        <f>HYPERLINK("#Statut_biogéographique!A"&amp;_xlfn.XMATCH("P",Statut_biogéographique!A:A,2,1),"P")</f>
        <v>P</v>
      </c>
      <c r="AP15613" s="4" t="s">
        <v>376</v>
      </c>
      <c r="AR15613" s="4" t="s">
        <v>377</v>
      </c>
    </row>
    <row r="15614" spans="1:44">
      <c r="A15614" s="4" t="s">
        <v>10753</v>
      </c>
      <c r="B15614" s="4">
        <v>249135</v>
      </c>
      <c r="D15614" s="5" t="s">
        <v>18887</v>
      </c>
      <c r="E15614" s="6" t="str">
        <f>HYPERLINK("https://inpn.mnhn.fr/espece/cd_nom/249135","Plusia festucae (Linnaeus, 1758)")</f>
        <v>Plusia festucae (Linnaeus, 1758)</v>
      </c>
      <c r="F15614" s="5" t="s">
        <v>18888</v>
      </c>
      <c r="AH15614" s="4" t="str">
        <f>HYPERLINK("#Statut_biogéographique!A"&amp;_xlfn.XMATCH("P",Statut_biogéographique!A:A,2,1),"P")</f>
        <v>P</v>
      </c>
      <c r="AP15614" s="4" t="s">
        <v>376</v>
      </c>
      <c r="AR15614" s="4" t="s">
        <v>377</v>
      </c>
    </row>
    <row r="15615" spans="1:44">
      <c r="A15615" s="4" t="s">
        <v>10753</v>
      </c>
      <c r="B15615" s="4">
        <v>249136</v>
      </c>
      <c r="D15615" s="5">
        <v>249136</v>
      </c>
      <c r="E15615" s="6" t="str">
        <f>HYPERLINK("https://inpn.mnhn.fr/espece/cd_nom/249136","Plusia putnami Grote, 1873")</f>
        <v>Plusia putnami Grote, 1873</v>
      </c>
      <c r="F15615" s="5" t="s">
        <v>18889</v>
      </c>
      <c r="AH15615" s="4" t="str">
        <f>HYPERLINK("#Statut_biogéographique!A"&amp;_xlfn.XMATCH("P",Statut_biogéographique!A:A,2,1),"P")</f>
        <v>P</v>
      </c>
      <c r="AP15615" s="4" t="s">
        <v>376</v>
      </c>
      <c r="AR15615" s="4" t="s">
        <v>377</v>
      </c>
    </row>
    <row r="15616" spans="1:44" ht="30">
      <c r="A15616" s="4" t="s">
        <v>10753</v>
      </c>
      <c r="B15616" s="4">
        <v>249139</v>
      </c>
      <c r="D15616" s="5" t="s">
        <v>18890</v>
      </c>
      <c r="E15616" s="6" t="str">
        <f>HYPERLINK("https://inpn.mnhn.fr/espece/cd_nom/249139","Macdunnoughia confusa (Stephens, 1850)")</f>
        <v>Macdunnoughia confusa (Stephens, 1850)</v>
      </c>
      <c r="F15616" s="5" t="s">
        <v>18891</v>
      </c>
      <c r="AH15616" s="4" t="str">
        <f>HYPERLINK("#Statut_biogéographique!A"&amp;_xlfn.XMATCH("P",Statut_biogéographique!A:A,2,1),"P")</f>
        <v>P</v>
      </c>
      <c r="AP15616" s="4" t="s">
        <v>376</v>
      </c>
      <c r="AR15616" s="4" t="s">
        <v>377</v>
      </c>
    </row>
    <row r="15617" spans="1:44" ht="30">
      <c r="A15617" s="4" t="s">
        <v>10753</v>
      </c>
      <c r="B15617" s="4">
        <v>249141</v>
      </c>
      <c r="D15617" s="5" t="s">
        <v>18892</v>
      </c>
      <c r="E15617" s="6" t="str">
        <f>HYPERLINK("https://inpn.mnhn.fr/espece/cd_nom/249141","Euchalcia variabilis (Piller &amp; Mitterpacher, 1783)")</f>
        <v>Euchalcia variabilis (Piller &amp; Mitterpacher, 1783)</v>
      </c>
      <c r="F15617" s="5" t="s">
        <v>18893</v>
      </c>
      <c r="AH15617" s="4" t="str">
        <f>HYPERLINK("#Statut_biogéographique!A"&amp;_xlfn.XMATCH("P",Statut_biogéographique!A:A,2,1),"P")</f>
        <v>P</v>
      </c>
      <c r="AP15617" s="4" t="s">
        <v>376</v>
      </c>
      <c r="AR15617" s="4" t="s">
        <v>377</v>
      </c>
    </row>
    <row r="15618" spans="1:44" ht="30">
      <c r="A15618" s="4" t="s">
        <v>10753</v>
      </c>
      <c r="B15618" s="4">
        <v>249142</v>
      </c>
      <c r="D15618" s="5" t="s">
        <v>18894</v>
      </c>
      <c r="E15618" s="6" t="str">
        <f>HYPERLINK("https://inpn.mnhn.fr/espece/cd_nom/249142","Euchalcia modestoides Poole, 1989")</f>
        <v>Euchalcia modestoides Poole, 1989</v>
      </c>
      <c r="F15618" s="5" t="s">
        <v>18895</v>
      </c>
      <c r="AH15618" s="4" t="str">
        <f>HYPERLINK("#Statut_biogéographique!A"&amp;_xlfn.XMATCH("P",Statut_biogéographique!A:A,2,1),"P")</f>
        <v>P</v>
      </c>
      <c r="AP15618" s="4" t="s">
        <v>376</v>
      </c>
      <c r="AR15618" s="4" t="s">
        <v>377</v>
      </c>
    </row>
    <row r="15619" spans="1:44">
      <c r="A15619" s="4" t="s">
        <v>10753</v>
      </c>
      <c r="B15619" s="4">
        <v>249144</v>
      </c>
      <c r="D15619" s="5" t="s">
        <v>18896</v>
      </c>
      <c r="E15619" s="6" t="str">
        <f>HYPERLINK("https://inpn.mnhn.fr/espece/cd_nom/249144","Diachrysia chrysitis (Linnaeus, 1758)")</f>
        <v>Diachrysia chrysitis (Linnaeus, 1758)</v>
      </c>
      <c r="F15619" s="5" t="s">
        <v>18897</v>
      </c>
      <c r="AH15619" s="4" t="str">
        <f>HYPERLINK("#Statut_biogéographique!A"&amp;_xlfn.XMATCH("P",Statut_biogéographique!A:A,2,1),"P")</f>
        <v>P</v>
      </c>
      <c r="AP15619" s="4" t="s">
        <v>376</v>
      </c>
      <c r="AR15619" s="4" t="s">
        <v>377</v>
      </c>
    </row>
    <row r="15620" spans="1:44">
      <c r="A15620" s="4" t="s">
        <v>10753</v>
      </c>
      <c r="B15620" s="4">
        <v>249145</v>
      </c>
      <c r="D15620" s="5" t="s">
        <v>18898</v>
      </c>
      <c r="E15620" s="6" t="str">
        <f>HYPERLINK("https://inpn.mnhn.fr/espece/cd_nom/249145","Diachrysia stenochrysis (Warren, 1913)")</f>
        <v>Diachrysia stenochrysis (Warren, 1913)</v>
      </c>
      <c r="F15620" s="5" t="s">
        <v>18899</v>
      </c>
      <c r="AH15620" s="4" t="str">
        <f>HYPERLINK("#Statut_biogéographique!A"&amp;_xlfn.XMATCH("P",Statut_biogéographique!A:A,2,1),"P")</f>
        <v>P</v>
      </c>
      <c r="AP15620" s="4" t="s">
        <v>376</v>
      </c>
      <c r="AR15620" s="4" t="s">
        <v>377</v>
      </c>
    </row>
    <row r="15621" spans="1:44">
      <c r="A15621" s="4" t="s">
        <v>10753</v>
      </c>
      <c r="B15621" s="4">
        <v>249147</v>
      </c>
      <c r="D15621" s="5" t="s">
        <v>18900</v>
      </c>
      <c r="E15621" s="6" t="str">
        <f>HYPERLINK("https://inpn.mnhn.fr/espece/cd_nom/249147","Diachrysia chryson (Esper, 1789)")</f>
        <v>Diachrysia chryson (Esper, 1789)</v>
      </c>
      <c r="F15621" s="5" t="s">
        <v>18901</v>
      </c>
      <c r="AH15621" s="4" t="str">
        <f>HYPERLINK("#Statut_biogéographique!A"&amp;_xlfn.XMATCH("P",Statut_biogéographique!A:A,2,1),"P")</f>
        <v>P</v>
      </c>
      <c r="AP15621" s="4" t="s">
        <v>376</v>
      </c>
      <c r="AR15621" s="4" t="s">
        <v>377</v>
      </c>
    </row>
    <row r="15622" spans="1:44" ht="30">
      <c r="A15622" s="4" t="s">
        <v>10753</v>
      </c>
      <c r="B15622" s="4">
        <v>249149</v>
      </c>
      <c r="D15622" s="5" t="s">
        <v>18902</v>
      </c>
      <c r="E15622" s="6" t="str">
        <f>HYPERLINK("https://inpn.mnhn.fr/espece/cd_nom/249149","Chrysodeixis chalcites (Esper, 1789)")</f>
        <v>Chrysodeixis chalcites (Esper, 1789)</v>
      </c>
      <c r="F15622" s="5" t="s">
        <v>18903</v>
      </c>
      <c r="AH15622" s="4" t="str">
        <f>HYPERLINK("#Statut_biogéographique!A"&amp;_xlfn.XMATCH("P",Statut_biogéographique!A:A,2,1),"P")</f>
        <v>P</v>
      </c>
      <c r="AP15622" s="4" t="s">
        <v>376</v>
      </c>
      <c r="AR15622" s="4" t="s">
        <v>377</v>
      </c>
    </row>
    <row r="15623" spans="1:44">
      <c r="A15623" s="4" t="s">
        <v>10753</v>
      </c>
      <c r="B15623" s="4">
        <v>24915</v>
      </c>
      <c r="D15623" s="5" t="s">
        <v>18904</v>
      </c>
      <c r="E15623" s="6" t="str">
        <f>HYPERLINK("https://inpn.mnhn.fr/espece/cd_nom/24915","Coremacera marginata (Fabricius, 1775)")</f>
        <v>Coremacera marginata (Fabricius, 1775)</v>
      </c>
      <c r="AH15623" s="4" t="str">
        <f>HYPERLINK("#Statut_biogéographique!A"&amp;_xlfn.XMATCH("P",Statut_biogéographique!A:A,2,1),"P")</f>
        <v>P</v>
      </c>
      <c r="AP15623" s="4" t="s">
        <v>376</v>
      </c>
      <c r="AR15623" s="4" t="s">
        <v>377</v>
      </c>
    </row>
    <row r="15624" spans="1:44">
      <c r="A15624" s="4" t="s">
        <v>10753</v>
      </c>
      <c r="B15624" s="4">
        <v>249151</v>
      </c>
      <c r="D15624" s="5" t="s">
        <v>18905</v>
      </c>
      <c r="E15624" s="6" t="str">
        <f>HYPERLINK("https://inpn.mnhn.fr/espece/cd_nom/249151","Autographa gamma (Linnaeus, 1758)")</f>
        <v>Autographa gamma (Linnaeus, 1758)</v>
      </c>
      <c r="F15624" s="5" t="s">
        <v>18906</v>
      </c>
      <c r="AH15624" s="4" t="str">
        <f>HYPERLINK("#Statut_biogéographique!A"&amp;_xlfn.XMATCH("P",Statut_biogéographique!A:A,2,1),"P")</f>
        <v>P</v>
      </c>
      <c r="AP15624" s="4" t="s">
        <v>376</v>
      </c>
      <c r="AR15624" s="4" t="s">
        <v>377</v>
      </c>
    </row>
    <row r="15625" spans="1:44">
      <c r="A15625" s="4" t="s">
        <v>10753</v>
      </c>
      <c r="B15625" s="4">
        <v>249152</v>
      </c>
      <c r="D15625" s="5" t="s">
        <v>18907</v>
      </c>
      <c r="E15625" s="6" t="str">
        <f>HYPERLINK("https://inpn.mnhn.fr/espece/cd_nom/249152","Autographa pulchrina (Haworth, 1809)")</f>
        <v>Autographa pulchrina (Haworth, 1809)</v>
      </c>
      <c r="F15625" s="5" t="s">
        <v>18908</v>
      </c>
      <c r="AH15625" s="4" t="str">
        <f>HYPERLINK("#Statut_biogéographique!A"&amp;_xlfn.XMATCH("P",Statut_biogéographique!A:A,2,1),"P")</f>
        <v>P</v>
      </c>
      <c r="AP15625" s="4" t="s">
        <v>376</v>
      </c>
      <c r="AR15625" s="4" t="s">
        <v>377</v>
      </c>
    </row>
    <row r="15626" spans="1:44" ht="30">
      <c r="A15626" s="4" t="s">
        <v>10753</v>
      </c>
      <c r="B15626" s="4">
        <v>249153</v>
      </c>
      <c r="D15626" s="5" t="s">
        <v>18909</v>
      </c>
      <c r="E15626" s="6" t="str">
        <f>HYPERLINK("https://inpn.mnhn.fr/espece/cd_nom/249153","Autographa jota (Linnaeus, 1758)")</f>
        <v>Autographa jota (Linnaeus, 1758)</v>
      </c>
      <c r="F15626" s="5" t="s">
        <v>18910</v>
      </c>
      <c r="AH15626" s="4" t="str">
        <f>HYPERLINK("#Statut_biogéographique!A"&amp;_xlfn.XMATCH("P",Statut_biogéographique!A:A,2,1),"P")</f>
        <v>P</v>
      </c>
      <c r="AP15626" s="4" t="s">
        <v>376</v>
      </c>
      <c r="AR15626" s="4" t="s">
        <v>377</v>
      </c>
    </row>
    <row r="15627" spans="1:44" ht="30">
      <c r="A15627" s="4" t="s">
        <v>10753</v>
      </c>
      <c r="B15627" s="4">
        <v>249154</v>
      </c>
      <c r="D15627" s="5" t="s">
        <v>18911</v>
      </c>
      <c r="E15627" s="6" t="str">
        <f>HYPERLINK("https://inpn.mnhn.fr/espece/cd_nom/249154","Autographa bractea (Denis &amp; Schiffermüller, 1775)")</f>
        <v>Autographa bractea (Denis &amp; Schiffermüller, 1775)</v>
      </c>
      <c r="F15627" s="5" t="s">
        <v>18912</v>
      </c>
      <c r="AH15627" s="4" t="str">
        <f>HYPERLINK("#Statut_biogéographique!A"&amp;_xlfn.XMATCH("P",Statut_biogéographique!A:A,2,1),"P")</f>
        <v>P</v>
      </c>
      <c r="AP15627" s="4" t="s">
        <v>376</v>
      </c>
      <c r="AR15627" s="4" t="s">
        <v>377</v>
      </c>
    </row>
    <row r="15628" spans="1:44" ht="30">
      <c r="A15628" s="4" t="s">
        <v>10753</v>
      </c>
      <c r="B15628" s="4">
        <v>249155</v>
      </c>
      <c r="D15628" s="5" t="s">
        <v>18913</v>
      </c>
      <c r="E15628" s="6" t="str">
        <f>HYPERLINK("https://inpn.mnhn.fr/espece/cd_nom/249155","Autographa aemula (Denis &amp; Schiffermüller, 1775)")</f>
        <v>Autographa aemula (Denis &amp; Schiffermüller, 1775)</v>
      </c>
      <c r="F15628" s="5" t="s">
        <v>18914</v>
      </c>
      <c r="AH15628" s="4" t="str">
        <f>HYPERLINK("#Statut_biogéographique!A"&amp;_xlfn.XMATCH("P",Statut_biogéographique!A:A,2,1),"P")</f>
        <v>P</v>
      </c>
      <c r="AP15628" s="4" t="s">
        <v>376</v>
      </c>
      <c r="AR15628" s="4" t="s">
        <v>377</v>
      </c>
    </row>
    <row r="15629" spans="1:44" ht="30">
      <c r="A15629" s="4" t="s">
        <v>10753</v>
      </c>
      <c r="B15629" s="4">
        <v>249156</v>
      </c>
      <c r="D15629" s="5" t="s">
        <v>18915</v>
      </c>
      <c r="E15629" s="6" t="str">
        <f>HYPERLINK("https://inpn.mnhn.fr/espece/cd_nom/249156","Abrostola tripartita (Hufnagel, 1766)")</f>
        <v>Abrostola tripartita (Hufnagel, 1766)</v>
      </c>
      <c r="F15629" s="5" t="s">
        <v>18916</v>
      </c>
      <c r="AH15629" s="4" t="str">
        <f>HYPERLINK("#Statut_biogéographique!A"&amp;_xlfn.XMATCH("P",Statut_biogéographique!A:A,2,1),"P")</f>
        <v>P</v>
      </c>
      <c r="AP15629" s="4" t="s">
        <v>376</v>
      </c>
      <c r="AR15629" s="4" t="s">
        <v>377</v>
      </c>
    </row>
    <row r="15630" spans="1:44" ht="30">
      <c r="A15630" s="4" t="s">
        <v>10753</v>
      </c>
      <c r="B15630" s="4">
        <v>249157</v>
      </c>
      <c r="D15630" s="5" t="s">
        <v>18917</v>
      </c>
      <c r="E15630" s="6" t="str">
        <f>HYPERLINK("https://inpn.mnhn.fr/espece/cd_nom/249157","Abrostola asclepiadis (Denis &amp; Schiffermüller, 1775)")</f>
        <v>Abrostola asclepiadis (Denis &amp; Schiffermüller, 1775)</v>
      </c>
      <c r="F15630" s="5" t="s">
        <v>18918</v>
      </c>
      <c r="AH15630" s="4" t="str">
        <f>HYPERLINK("#Statut_biogéographique!A"&amp;_xlfn.XMATCH("P",Statut_biogéographique!A:A,2,1),"P")</f>
        <v>P</v>
      </c>
      <c r="AP15630" s="4" t="s">
        <v>376</v>
      </c>
      <c r="AR15630" s="4" t="s">
        <v>377</v>
      </c>
    </row>
    <row r="15631" spans="1:44" ht="30">
      <c r="A15631" s="4" t="s">
        <v>10753</v>
      </c>
      <c r="B15631" s="4">
        <v>249158</v>
      </c>
      <c r="D15631" s="5" t="s">
        <v>18919</v>
      </c>
      <c r="E15631" s="6" t="str">
        <f>HYPERLINK("https://inpn.mnhn.fr/espece/cd_nom/249158","Abrostola triplasia (Linnaeus, 1758)")</f>
        <v>Abrostola triplasia (Linnaeus, 1758)</v>
      </c>
      <c r="F15631" s="5" t="s">
        <v>18920</v>
      </c>
      <c r="AH15631" s="4" t="str">
        <f>HYPERLINK("#Statut_biogéographique!A"&amp;_xlfn.XMATCH("P",Statut_biogéographique!A:A,2,1),"P")</f>
        <v>P</v>
      </c>
      <c r="AP15631" s="4" t="s">
        <v>376</v>
      </c>
      <c r="AR15631" s="4" t="s">
        <v>377</v>
      </c>
    </row>
    <row r="15632" spans="1:44">
      <c r="A15632" s="4" t="s">
        <v>10753</v>
      </c>
      <c r="B15632" s="4">
        <v>249161</v>
      </c>
      <c r="D15632" s="5" t="s">
        <v>18921</v>
      </c>
      <c r="E15632" s="6" t="str">
        <f>HYPERLINK("https://inpn.mnhn.fr/espece/cd_nom/249161","Colocasia coryli (Linnaeus, 1758)")</f>
        <v>Colocasia coryli (Linnaeus, 1758)</v>
      </c>
      <c r="F15632" s="5" t="s">
        <v>18922</v>
      </c>
      <c r="AH15632" s="4" t="str">
        <f>HYPERLINK("#Statut_biogéographique!A"&amp;_xlfn.XMATCH("P",Statut_biogéographique!A:A,2,1),"P")</f>
        <v>P</v>
      </c>
      <c r="AP15632" s="4" t="s">
        <v>376</v>
      </c>
      <c r="AR15632" s="4" t="s">
        <v>377</v>
      </c>
    </row>
    <row r="15633" spans="1:44">
      <c r="A15633" s="4" t="s">
        <v>10753</v>
      </c>
      <c r="B15633" s="4">
        <v>249162</v>
      </c>
      <c r="D15633" s="5" t="s">
        <v>18923</v>
      </c>
      <c r="E15633" s="6" t="str">
        <f>HYPERLINK("https://inpn.mnhn.fr/espece/cd_nom/249162","Peridroma saucia (Hübner, 1808)")</f>
        <v>Peridroma saucia (Hübner, 1808)</v>
      </c>
      <c r="F15633" s="5" t="s">
        <v>18924</v>
      </c>
      <c r="AH15633" s="4" t="str">
        <f>HYPERLINK("#Statut_biogéographique!A"&amp;_xlfn.XMATCH("P",Statut_biogéographique!A:A,2,1),"P")</f>
        <v>P</v>
      </c>
      <c r="AP15633" s="4" t="s">
        <v>376</v>
      </c>
      <c r="AR15633" s="4" t="s">
        <v>377</v>
      </c>
    </row>
    <row r="15634" spans="1:44">
      <c r="A15634" s="4" t="s">
        <v>10753</v>
      </c>
      <c r="B15634" s="4">
        <v>249166</v>
      </c>
      <c r="D15634" s="5" t="s">
        <v>18925</v>
      </c>
      <c r="E15634" s="6" t="str">
        <f>HYPERLINK("https://inpn.mnhn.fr/espece/cd_nom/249166","Euxoa recussa (Hübner, 1817)")</f>
        <v>Euxoa recussa (Hübner, 1817)</v>
      </c>
      <c r="F15634" s="5" t="s">
        <v>18926</v>
      </c>
      <c r="AH15634" s="4" t="str">
        <f>HYPERLINK("#Statut_biogéographique!A"&amp;_xlfn.XMATCH("P",Statut_biogéographique!A:A,2,1),"P")</f>
        <v>P</v>
      </c>
      <c r="AP15634" s="4" t="s">
        <v>376</v>
      </c>
      <c r="AR15634" s="4" t="s">
        <v>377</v>
      </c>
    </row>
    <row r="15635" spans="1:44">
      <c r="A15635" s="4" t="s">
        <v>10753</v>
      </c>
      <c r="B15635" s="4">
        <v>249169</v>
      </c>
      <c r="D15635" s="5" t="s">
        <v>18927</v>
      </c>
      <c r="E15635" s="6" t="str">
        <f>HYPERLINK("https://inpn.mnhn.fr/espece/cd_nom/249169","Euxoa decora (Denis &amp; Schiffermüller, 1775)")</f>
        <v>Euxoa decora (Denis &amp; Schiffermüller, 1775)</v>
      </c>
      <c r="F15635" s="5" t="s">
        <v>18928</v>
      </c>
      <c r="AH15635" s="4" t="str">
        <f>HYPERLINK("#Statut_biogéographique!A"&amp;_xlfn.XMATCH("P",Statut_biogéographique!A:A,2,1),"P")</f>
        <v>P</v>
      </c>
      <c r="AP15635" s="4" t="s">
        <v>376</v>
      </c>
      <c r="AR15635" s="4" t="s">
        <v>377</v>
      </c>
    </row>
    <row r="15636" spans="1:44">
      <c r="A15636" s="4" t="s">
        <v>10753</v>
      </c>
      <c r="B15636" s="4">
        <v>249171</v>
      </c>
      <c r="D15636" s="5" t="s">
        <v>18929</v>
      </c>
      <c r="E15636" s="6" t="str">
        <f>HYPERLINK("https://inpn.mnhn.fr/espece/cd_nom/249171","Euxoa aquilina (Denis &amp; Schiffermüller, 1775)")</f>
        <v>Euxoa aquilina (Denis &amp; Schiffermüller, 1775)</v>
      </c>
      <c r="F15636" s="5" t="s">
        <v>18930</v>
      </c>
      <c r="AH15636" s="4" t="str">
        <f>HYPERLINK("#Statut_biogéographique!A"&amp;_xlfn.XMATCH("P",Statut_biogéographique!A:A,2,1),"P")</f>
        <v>P</v>
      </c>
      <c r="AP15636" s="4" t="s">
        <v>376</v>
      </c>
      <c r="AR15636" s="4" t="s">
        <v>377</v>
      </c>
    </row>
    <row r="15637" spans="1:44" ht="30">
      <c r="A15637" s="4" t="s">
        <v>10753</v>
      </c>
      <c r="B15637" s="4">
        <v>249172</v>
      </c>
      <c r="D15637" s="5" t="s">
        <v>18931</v>
      </c>
      <c r="E15637" s="6" t="str">
        <f>HYPERLINK("https://inpn.mnhn.fr/espece/cd_nom/249172","Euxoa distinguenda (Lederer, 1857)")</f>
        <v>Euxoa distinguenda (Lederer, 1857)</v>
      </c>
      <c r="F15637" s="5" t="s">
        <v>18932</v>
      </c>
      <c r="AH15637" s="4" t="str">
        <f>HYPERLINK("#Statut_biogéographique!A"&amp;_xlfn.XMATCH("P",Statut_biogéographique!A:A,2,1),"P")</f>
        <v>P</v>
      </c>
      <c r="AP15637" s="4" t="s">
        <v>376</v>
      </c>
      <c r="AR15637" s="4" t="s">
        <v>377</v>
      </c>
    </row>
    <row r="15638" spans="1:44">
      <c r="A15638" s="4" t="s">
        <v>10753</v>
      </c>
      <c r="B15638" s="4">
        <v>249175</v>
      </c>
      <c r="D15638" s="5" t="s">
        <v>18933</v>
      </c>
      <c r="E15638" s="6" t="str">
        <f>HYPERLINK("https://inpn.mnhn.fr/espece/cd_nom/249175","Euxoa nigricans (Linnaeus, 1761)")</f>
        <v>Euxoa nigricans (Linnaeus, 1761)</v>
      </c>
      <c r="F15638" s="5" t="s">
        <v>18934</v>
      </c>
      <c r="AH15638" s="4" t="str">
        <f>HYPERLINK("#Statut_biogéographique!A"&amp;_xlfn.XMATCH("P",Statut_biogéographique!A:A,2,1),"P")</f>
        <v>P</v>
      </c>
      <c r="AP15638" s="4" t="s">
        <v>376</v>
      </c>
      <c r="AR15638" s="4" t="s">
        <v>377</v>
      </c>
    </row>
    <row r="15639" spans="1:44">
      <c r="A15639" s="4" t="s">
        <v>10753</v>
      </c>
      <c r="B15639" s="4">
        <v>249177</v>
      </c>
      <c r="D15639" s="5" t="s">
        <v>18935</v>
      </c>
      <c r="E15639" s="6" t="str">
        <f>HYPERLINK("https://inpn.mnhn.fr/espece/cd_nom/249177","Euxoa tritici (Linnaeus, 1761)")</f>
        <v>Euxoa tritici (Linnaeus, 1761)</v>
      </c>
      <c r="F15639" s="5" t="s">
        <v>18936</v>
      </c>
      <c r="AH15639" s="4" t="str">
        <f>HYPERLINK("#Statut_biogéographique!A"&amp;_xlfn.XMATCH("P",Statut_biogéographique!A:A,2,1),"P")</f>
        <v>P</v>
      </c>
      <c r="AP15639" s="4" t="s">
        <v>376</v>
      </c>
      <c r="AR15639" s="4" t="s">
        <v>377</v>
      </c>
    </row>
    <row r="15640" spans="1:44">
      <c r="A15640" s="4" t="s">
        <v>10753</v>
      </c>
      <c r="B15640" s="4">
        <v>249179</v>
      </c>
      <c r="D15640" s="5" t="s">
        <v>18937</v>
      </c>
      <c r="E15640" s="6" t="str">
        <f>HYPERLINK("https://inpn.mnhn.fr/espece/cd_nom/249179","Euxoa obelisca (Denis &amp; Schiffermüller, 1775)")</f>
        <v>Euxoa obelisca (Denis &amp; Schiffermüller, 1775)</v>
      </c>
      <c r="F15640" s="5" t="s">
        <v>18938</v>
      </c>
      <c r="AH15640" s="4" t="str">
        <f>HYPERLINK("#Statut_biogéographique!A"&amp;_xlfn.XMATCH("P",Statut_biogéographique!A:A,2,1),"P")</f>
        <v>P</v>
      </c>
      <c r="AP15640" s="4" t="s">
        <v>376</v>
      </c>
      <c r="AR15640" s="4" t="s">
        <v>377</v>
      </c>
    </row>
    <row r="15641" spans="1:44" ht="30">
      <c r="A15641" s="4" t="s">
        <v>10753</v>
      </c>
      <c r="B15641" s="4">
        <v>249184</v>
      </c>
      <c r="D15641" s="5" t="s">
        <v>18939</v>
      </c>
      <c r="E15641" s="6" t="str">
        <f>HYPERLINK("https://inpn.mnhn.fr/espece/cd_nom/249184","Dichagyris candelisequa (Denis &amp; Schiffermüller, 1775)")</f>
        <v>Dichagyris candelisequa (Denis &amp; Schiffermüller, 1775)</v>
      </c>
      <c r="F15641" s="5" t="s">
        <v>18940</v>
      </c>
      <c r="AH15641" s="4" t="str">
        <f>HYPERLINK("#Statut_biogéographique!A"&amp;_xlfn.XMATCH("P",Statut_biogéographique!A:A,2,1),"P")</f>
        <v>P</v>
      </c>
      <c r="AP15641" s="4" t="s">
        <v>376</v>
      </c>
      <c r="AR15641" s="4" t="s">
        <v>377</v>
      </c>
    </row>
    <row r="15642" spans="1:44">
      <c r="A15642" s="4" t="s">
        <v>10753</v>
      </c>
      <c r="B15642" s="4">
        <v>249188</v>
      </c>
      <c r="D15642" s="5" t="s">
        <v>18941</v>
      </c>
      <c r="E15642" s="6" t="str">
        <f>HYPERLINK("https://inpn.mnhn.fr/espece/cd_nom/249188","Dichagyris nigrescens (Höfner, 1888)")</f>
        <v>Dichagyris nigrescens (Höfner, 1888)</v>
      </c>
      <c r="F15642" s="5" t="s">
        <v>18942</v>
      </c>
      <c r="AH15642" s="4" t="str">
        <f>HYPERLINK("#Statut_biogéographique!A"&amp;_xlfn.XMATCH("P",Statut_biogéographique!A:A,2,1),"P")</f>
        <v>P</v>
      </c>
      <c r="AP15642" s="4" t="s">
        <v>376</v>
      </c>
      <c r="AR15642" s="4" t="s">
        <v>377</v>
      </c>
    </row>
    <row r="15643" spans="1:44" ht="30">
      <c r="A15643" s="4" t="s">
        <v>10753</v>
      </c>
      <c r="B15643" s="4">
        <v>249189</v>
      </c>
      <c r="D15643" s="5" t="s">
        <v>18943</v>
      </c>
      <c r="E15643" s="6" t="str">
        <f>HYPERLINK("https://inpn.mnhn.fr/espece/cd_nom/249189","Dichagyris forcipula (Denis &amp; Schiffermüller, 1775)")</f>
        <v>Dichagyris forcipula (Denis &amp; Schiffermüller, 1775)</v>
      </c>
      <c r="F15643" s="5" t="s">
        <v>18944</v>
      </c>
      <c r="AH15643" s="4" t="str">
        <f>HYPERLINK("#Statut_biogéographique!A"&amp;_xlfn.XMATCH("P",Statut_biogéographique!A:A,2,1),"P")</f>
        <v>P</v>
      </c>
      <c r="AP15643" s="4" t="s">
        <v>376</v>
      </c>
      <c r="AR15643" s="4" t="s">
        <v>377</v>
      </c>
    </row>
    <row r="15644" spans="1:44" ht="30">
      <c r="A15644" s="4" t="s">
        <v>10753</v>
      </c>
      <c r="B15644" s="4">
        <v>249195</v>
      </c>
      <c r="D15644" s="5" t="s">
        <v>18945</v>
      </c>
      <c r="E15644" s="6" t="str">
        <f>HYPERLINK("https://inpn.mnhn.fr/espece/cd_nom/249195","Agrotis bigramma (Esper, 1790)")</f>
        <v>Agrotis bigramma (Esper, 1790)</v>
      </c>
      <c r="F15644" s="5" t="s">
        <v>18946</v>
      </c>
      <c r="AH15644" s="4" t="str">
        <f>HYPERLINK("#Statut_biogéographique!A"&amp;_xlfn.XMATCH("P",Statut_biogéographique!A:A,2,1),"P")</f>
        <v>P</v>
      </c>
      <c r="AP15644" s="4" t="s">
        <v>376</v>
      </c>
      <c r="AR15644" s="4" t="s">
        <v>377</v>
      </c>
    </row>
    <row r="15645" spans="1:44">
      <c r="A15645" s="4" t="s">
        <v>10753</v>
      </c>
      <c r="B15645" s="4">
        <v>249198</v>
      </c>
      <c r="D15645" s="5" t="s">
        <v>18947</v>
      </c>
      <c r="E15645" s="6" t="str">
        <f>HYPERLINK("https://inpn.mnhn.fr/espece/cd_nom/249198","Agrotis puta (Hübner, 1803)")</f>
        <v>Agrotis puta (Hübner, 1803)</v>
      </c>
      <c r="F15645" s="5" t="s">
        <v>18948</v>
      </c>
      <c r="AH15645" s="4" t="str">
        <f>HYPERLINK("#Statut_biogéographique!A"&amp;_xlfn.XMATCH("P",Statut_biogéographique!A:A,2,1),"P")</f>
        <v>P</v>
      </c>
      <c r="AP15645" s="4" t="s">
        <v>376</v>
      </c>
      <c r="AR15645" s="4" t="s">
        <v>377</v>
      </c>
    </row>
    <row r="15646" spans="1:44" ht="30">
      <c r="A15646" s="4" t="s">
        <v>10753</v>
      </c>
      <c r="B15646" s="4">
        <v>249200</v>
      </c>
      <c r="D15646" s="5" t="s">
        <v>18949</v>
      </c>
      <c r="E15646" s="6" t="str">
        <f>HYPERLINK("https://inpn.mnhn.fr/espece/cd_nom/249200","Agrotis ipsilon (Hufnagel, 1766)")</f>
        <v>Agrotis ipsilon (Hufnagel, 1766)</v>
      </c>
      <c r="F15646" s="5" t="s">
        <v>18950</v>
      </c>
      <c r="AH15646" s="4" t="str">
        <f>HYPERLINK("#Statut_biogéographique!A"&amp;_xlfn.XMATCH("P",Statut_biogéographique!A:A,2,1),"P")</f>
        <v>P</v>
      </c>
      <c r="AP15646" s="4" t="s">
        <v>376</v>
      </c>
      <c r="AR15646" s="4" t="s">
        <v>377</v>
      </c>
    </row>
    <row r="15647" spans="1:44" ht="30">
      <c r="A15647" s="4" t="s">
        <v>10753</v>
      </c>
      <c r="B15647" s="4">
        <v>249201</v>
      </c>
      <c r="D15647" s="5" t="s">
        <v>18951</v>
      </c>
      <c r="E15647" s="6" t="str">
        <f>HYPERLINK("https://inpn.mnhn.fr/espece/cd_nom/249201","Agrotis trux (Hübner, 1824)")</f>
        <v>Agrotis trux (Hübner, 1824)</v>
      </c>
      <c r="F15647" s="5" t="s">
        <v>18952</v>
      </c>
      <c r="AH15647" s="4" t="str">
        <f>HYPERLINK("#Statut_biogéographique!A"&amp;_xlfn.XMATCH("P",Statut_biogéographique!A:A,2,1),"P")</f>
        <v>P</v>
      </c>
      <c r="AP15647" s="4" t="s">
        <v>376</v>
      </c>
      <c r="AR15647" s="4" t="s">
        <v>377</v>
      </c>
    </row>
    <row r="15648" spans="1:44" ht="30">
      <c r="A15648" s="4" t="s">
        <v>10753</v>
      </c>
      <c r="B15648" s="4">
        <v>249202</v>
      </c>
      <c r="D15648" s="5" t="s">
        <v>18953</v>
      </c>
      <c r="E15648" s="6" t="str">
        <f>HYPERLINK("https://inpn.mnhn.fr/espece/cd_nom/249202","Agrotis exclamationis (Linnaeus, 1758)")</f>
        <v>Agrotis exclamationis (Linnaeus, 1758)</v>
      </c>
      <c r="F15648" s="5" t="s">
        <v>18954</v>
      </c>
      <c r="AH15648" s="4" t="str">
        <f>HYPERLINK("#Statut_biogéographique!A"&amp;_xlfn.XMATCH("P",Statut_biogéographique!A:A,2,1),"P")</f>
        <v>P</v>
      </c>
      <c r="AP15648" s="4" t="s">
        <v>376</v>
      </c>
      <c r="AR15648" s="4" t="s">
        <v>377</v>
      </c>
    </row>
    <row r="15649" spans="1:44" ht="30">
      <c r="A15649" s="4" t="s">
        <v>10753</v>
      </c>
      <c r="B15649" s="4">
        <v>249203</v>
      </c>
      <c r="D15649" s="5" t="s">
        <v>18955</v>
      </c>
      <c r="E15649" s="6" t="str">
        <f>HYPERLINK("https://inpn.mnhn.fr/espece/cd_nom/249203","Agrotis clavis (Hufnagel, 1766)")</f>
        <v>Agrotis clavis (Hufnagel, 1766)</v>
      </c>
      <c r="F15649" s="5" t="s">
        <v>18956</v>
      </c>
      <c r="AH15649" s="4" t="str">
        <f>HYPERLINK("#Statut_biogéographique!A"&amp;_xlfn.XMATCH("P",Statut_biogéographique!A:A,2,1),"P")</f>
        <v>P</v>
      </c>
      <c r="AP15649" s="4" t="s">
        <v>376</v>
      </c>
      <c r="AR15649" s="4" t="s">
        <v>377</v>
      </c>
    </row>
    <row r="15650" spans="1:44" ht="30">
      <c r="A15650" s="4" t="s">
        <v>10753</v>
      </c>
      <c r="B15650" s="4">
        <v>249204</v>
      </c>
      <c r="D15650" s="5" t="s">
        <v>18957</v>
      </c>
      <c r="E15650" s="6" t="str">
        <f>HYPERLINK("https://inpn.mnhn.fr/espece/cd_nom/249204","Agrotis segetum (Denis &amp; Schiffermüller, 1775)")</f>
        <v>Agrotis segetum (Denis &amp; Schiffermüller, 1775)</v>
      </c>
      <c r="F15650" s="5" t="s">
        <v>18958</v>
      </c>
      <c r="AH15650" s="4" t="str">
        <f>HYPERLINK("#Statut_biogéographique!A"&amp;_xlfn.XMATCH("P",Statut_biogéographique!A:A,2,1),"P")</f>
        <v>P</v>
      </c>
      <c r="AP15650" s="4" t="s">
        <v>376</v>
      </c>
      <c r="AR15650" s="4" t="s">
        <v>377</v>
      </c>
    </row>
    <row r="15651" spans="1:44">
      <c r="A15651" s="4" t="s">
        <v>10753</v>
      </c>
      <c r="B15651" s="4">
        <v>249205</v>
      </c>
      <c r="D15651" s="5" t="s">
        <v>18959</v>
      </c>
      <c r="E15651" s="6" t="str">
        <f>HYPERLINK("https://inpn.mnhn.fr/espece/cd_nom/249205","Agrotis spinifera (Hübner, 1808)")</f>
        <v>Agrotis spinifera (Hübner, 1808)</v>
      </c>
      <c r="F15651" s="5" t="s">
        <v>18960</v>
      </c>
      <c r="AH15651" s="4" t="str">
        <f>HYPERLINK("#Statut_biogéographique!A"&amp;_xlfn.XMATCH("P",Statut_biogéographique!A:A,2,1),"P")</f>
        <v>P</v>
      </c>
      <c r="AP15651" s="4" t="s">
        <v>376</v>
      </c>
      <c r="AR15651" s="4" t="s">
        <v>377</v>
      </c>
    </row>
    <row r="15652" spans="1:44">
      <c r="A15652" s="4" t="s">
        <v>10753</v>
      </c>
      <c r="B15652" s="4">
        <v>249206</v>
      </c>
      <c r="D15652" s="5" t="s">
        <v>18961</v>
      </c>
      <c r="E15652" s="6" t="str">
        <f>HYPERLINK("https://inpn.mnhn.fr/espece/cd_nom/249206","Agrotis vestigialis (Hufnagel, 1766)")</f>
        <v>Agrotis vestigialis (Hufnagel, 1766)</v>
      </c>
      <c r="F15652" s="5" t="s">
        <v>18962</v>
      </c>
      <c r="AH15652" s="4" t="str">
        <f>HYPERLINK("#Statut_biogéographique!A"&amp;_xlfn.XMATCH("P",Statut_biogéographique!A:A,2,1),"P")</f>
        <v>P</v>
      </c>
      <c r="AP15652" s="4" t="s">
        <v>376</v>
      </c>
      <c r="AR15652" s="4" t="s">
        <v>377</v>
      </c>
    </row>
    <row r="15653" spans="1:44">
      <c r="A15653" s="4" t="s">
        <v>10753</v>
      </c>
      <c r="B15653" s="4">
        <v>24921</v>
      </c>
      <c r="D15653" s="5" t="s">
        <v>18963</v>
      </c>
      <c r="E15653" s="6" t="str">
        <f>HYPERLINK("https://inpn.mnhn.fr/espece/cd_nom/24921","Pelidnoptera fuscipennis (Meigen, 1830)")</f>
        <v>Pelidnoptera fuscipennis (Meigen, 1830)</v>
      </c>
      <c r="AH15653" s="4" t="str">
        <f>HYPERLINK("#Statut_biogéographique!A"&amp;_xlfn.XMATCH("P",Statut_biogéographique!A:A,2,1),"P")</f>
        <v>P</v>
      </c>
      <c r="AP15653" s="4" t="s">
        <v>376</v>
      </c>
      <c r="AR15653" s="4" t="s">
        <v>377</v>
      </c>
    </row>
    <row r="15654" spans="1:44">
      <c r="A15654" s="4" t="s">
        <v>10753</v>
      </c>
      <c r="B15654" s="4">
        <v>249210</v>
      </c>
      <c r="D15654" s="5" t="s">
        <v>18964</v>
      </c>
      <c r="E15654" s="6" t="str">
        <f>HYPERLINK("https://inpn.mnhn.fr/espece/cd_nom/249210","Agrotis cinerea (Denis &amp; Schiffermüller, 1775)")</f>
        <v>Agrotis cinerea (Denis &amp; Schiffermüller, 1775)</v>
      </c>
      <c r="F15654" s="5" t="s">
        <v>18965</v>
      </c>
      <c r="AH15654" s="4" t="str">
        <f>HYPERLINK("#Statut_biogéographique!A"&amp;_xlfn.XMATCH("P",Statut_biogéographique!A:A,2,1),"P")</f>
        <v>P</v>
      </c>
      <c r="AP15654" s="4" t="s">
        <v>376</v>
      </c>
      <c r="AR15654" s="4" t="s">
        <v>377</v>
      </c>
    </row>
    <row r="15655" spans="1:44">
      <c r="A15655" s="4" t="s">
        <v>10753</v>
      </c>
      <c r="B15655" s="4">
        <v>249213</v>
      </c>
      <c r="D15655" s="5" t="s">
        <v>18966</v>
      </c>
      <c r="E15655" s="6" t="str">
        <f>HYPERLINK("https://inpn.mnhn.fr/espece/cd_nom/249213","Actebia praecox (Linnaeus, 1758)")</f>
        <v>Actebia praecox (Linnaeus, 1758)</v>
      </c>
      <c r="F15655" s="5" t="s">
        <v>18967</v>
      </c>
      <c r="AH15655" s="4" t="str">
        <f>HYPERLINK("#Statut_biogéographique!A"&amp;_xlfn.XMATCH("P",Statut_biogéographique!A:A,2,1),"P")</f>
        <v>P</v>
      </c>
      <c r="AP15655" s="4" t="s">
        <v>376</v>
      </c>
      <c r="AR15655" s="4" t="s">
        <v>377</v>
      </c>
    </row>
    <row r="15656" spans="1:44">
      <c r="A15656" s="4" t="s">
        <v>10753</v>
      </c>
      <c r="B15656" s="4">
        <v>249214</v>
      </c>
      <c r="D15656" s="5" t="s">
        <v>18968</v>
      </c>
      <c r="E15656" s="6" t="str">
        <f>HYPERLINK("https://inpn.mnhn.fr/espece/cd_nom/249214","Xestia speciosa (Hübner, 1813)")</f>
        <v>Xestia speciosa (Hübner, 1813)</v>
      </c>
      <c r="F15656" s="5" t="s">
        <v>18969</v>
      </c>
      <c r="AH15656" s="4" t="str">
        <f>HYPERLINK("#Statut_biogéographique!A"&amp;_xlfn.XMATCH("P",Statut_biogéographique!A:A,2,1),"P")</f>
        <v>P</v>
      </c>
      <c r="AP15656" s="4" t="s">
        <v>376</v>
      </c>
      <c r="AR15656" s="4" t="s">
        <v>377</v>
      </c>
    </row>
    <row r="15657" spans="1:44">
      <c r="A15657" s="4" t="s">
        <v>10753</v>
      </c>
      <c r="B15657" s="4">
        <v>249217</v>
      </c>
      <c r="D15657" s="5" t="s">
        <v>18970</v>
      </c>
      <c r="E15657" s="6" t="str">
        <f>HYPERLINK("https://inpn.mnhn.fr/espece/cd_nom/249217","Xestia sincera (Herrich-Schäffer, 1851)")</f>
        <v>Xestia sincera (Herrich-Schäffer, 1851)</v>
      </c>
      <c r="F15657" s="5" t="s">
        <v>18971</v>
      </c>
      <c r="AH15657" s="4" t="str">
        <f>HYPERLINK("#Statut_biogéographique!A"&amp;_xlfn.XMATCH("P",Statut_biogéographique!A:A,2,1),"P")</f>
        <v>P</v>
      </c>
      <c r="AP15657" s="4" t="s">
        <v>376</v>
      </c>
      <c r="AR15657" s="4" t="s">
        <v>377</v>
      </c>
    </row>
    <row r="15658" spans="1:44" ht="30">
      <c r="A15658" s="4" t="s">
        <v>10753</v>
      </c>
      <c r="B15658" s="4">
        <v>249219</v>
      </c>
      <c r="D15658" s="5" t="s">
        <v>18972</v>
      </c>
      <c r="E15658" s="6" t="str">
        <f>HYPERLINK("https://inpn.mnhn.fr/espece/cd_nom/249219","Xestia c-nigrum (Linnaeus, 1758)")</f>
        <v>Xestia c-nigrum (Linnaeus, 1758)</v>
      </c>
      <c r="F15658" s="5" t="s">
        <v>18973</v>
      </c>
      <c r="AH15658" s="4" t="str">
        <f>HYPERLINK("#Statut_biogéographique!A"&amp;_xlfn.XMATCH("P",Statut_biogéographique!A:A,2,1),"P")</f>
        <v>P</v>
      </c>
      <c r="AP15658" s="4" t="s">
        <v>376</v>
      </c>
      <c r="AR15658" s="4" t="s">
        <v>377</v>
      </c>
    </row>
    <row r="15659" spans="1:44" ht="30">
      <c r="A15659" s="4" t="s">
        <v>10753</v>
      </c>
      <c r="B15659" s="4">
        <v>249220</v>
      </c>
      <c r="D15659" s="5" t="s">
        <v>18974</v>
      </c>
      <c r="E15659" s="6" t="str">
        <f>HYPERLINK("https://inpn.mnhn.fr/espece/cd_nom/249220","Xestia ditrapezium (Denis &amp; Schiffermüller, 1775)")</f>
        <v>Xestia ditrapezium (Denis &amp; Schiffermüller, 1775)</v>
      </c>
      <c r="F15659" s="5" t="s">
        <v>18975</v>
      </c>
      <c r="AH15659" s="4" t="str">
        <f>HYPERLINK("#Statut_biogéographique!A"&amp;_xlfn.XMATCH("P",Statut_biogéographique!A:A,2,1),"P")</f>
        <v>P</v>
      </c>
      <c r="AP15659" s="4" t="s">
        <v>376</v>
      </c>
      <c r="AR15659" s="4" t="s">
        <v>377</v>
      </c>
    </row>
    <row r="15660" spans="1:44">
      <c r="A15660" s="4" t="s">
        <v>10753</v>
      </c>
      <c r="B15660" s="4">
        <v>249221</v>
      </c>
      <c r="D15660" s="5" t="s">
        <v>18976</v>
      </c>
      <c r="E15660" s="6" t="str">
        <f>HYPERLINK("https://inpn.mnhn.fr/espece/cd_nom/249221","Xestia triangulum (Hufnagel, 1766)")</f>
        <v>Xestia triangulum (Hufnagel, 1766)</v>
      </c>
      <c r="F15660" s="5" t="s">
        <v>18977</v>
      </c>
      <c r="AH15660" s="4" t="str">
        <f>HYPERLINK("#Statut_biogéographique!A"&amp;_xlfn.XMATCH("P",Statut_biogéographique!A:A,2,1),"P")</f>
        <v>P</v>
      </c>
      <c r="AP15660" s="4" t="s">
        <v>376</v>
      </c>
      <c r="AR15660" s="4" t="s">
        <v>377</v>
      </c>
    </row>
    <row r="15661" spans="1:44">
      <c r="A15661" s="4" t="s">
        <v>10753</v>
      </c>
      <c r="B15661" s="4">
        <v>249222</v>
      </c>
      <c r="D15661" s="5" t="s">
        <v>18978</v>
      </c>
      <c r="E15661" s="6" t="str">
        <f>HYPERLINK("https://inpn.mnhn.fr/espece/cd_nom/249222","Xestia ashworthii (Doubleday, 1855)")</f>
        <v>Xestia ashworthii (Doubleday, 1855)</v>
      </c>
      <c r="F15661" s="5" t="s">
        <v>18979</v>
      </c>
      <c r="AH15661" s="4" t="str">
        <f>HYPERLINK("#Statut_biogéographique!A"&amp;_xlfn.XMATCH("P",Statut_biogéographique!A:A,2,1),"P")</f>
        <v>P</v>
      </c>
      <c r="AP15661" s="4" t="s">
        <v>376</v>
      </c>
      <c r="AR15661" s="4" t="s">
        <v>377</v>
      </c>
    </row>
    <row r="15662" spans="1:44">
      <c r="A15662" s="4" t="s">
        <v>10753</v>
      </c>
      <c r="B15662" s="4">
        <v>249223</v>
      </c>
      <c r="D15662" s="5" t="s">
        <v>18980</v>
      </c>
      <c r="E15662" s="6" t="str">
        <f>HYPERLINK("https://inpn.mnhn.fr/espece/cd_nom/249223","Xestia baja (Denis &amp; Schiffermüller, 1775)")</f>
        <v>Xestia baja (Denis &amp; Schiffermüller, 1775)</v>
      </c>
      <c r="F15662" s="5" t="s">
        <v>18981</v>
      </c>
      <c r="AH15662" s="4" t="str">
        <f>HYPERLINK("#Statut_biogéographique!A"&amp;_xlfn.XMATCH("P",Statut_biogéographique!A:A,2,1),"P")</f>
        <v>P</v>
      </c>
      <c r="AP15662" s="4" t="s">
        <v>376</v>
      </c>
      <c r="AR15662" s="4" t="s">
        <v>377</v>
      </c>
    </row>
    <row r="15663" spans="1:44" ht="30">
      <c r="A15663" s="4" t="s">
        <v>10753</v>
      </c>
      <c r="B15663" s="4">
        <v>249224</v>
      </c>
      <c r="D15663" s="5" t="s">
        <v>18982</v>
      </c>
      <c r="E15663" s="6" t="str">
        <f>HYPERLINK("https://inpn.mnhn.fr/espece/cd_nom/249224","Xestia stigmatica (Hübner, 1813)")</f>
        <v>Xestia stigmatica (Hübner, 1813)</v>
      </c>
      <c r="F15663" s="5" t="s">
        <v>18983</v>
      </c>
      <c r="AH15663" s="4" t="str">
        <f>HYPERLINK("#Statut_biogéographique!A"&amp;_xlfn.XMATCH("P",Statut_biogéographique!A:A,2,1),"P")</f>
        <v>P</v>
      </c>
      <c r="AP15663" s="4" t="s">
        <v>376</v>
      </c>
      <c r="AR15663" s="4" t="s">
        <v>377</v>
      </c>
    </row>
    <row r="15664" spans="1:44" ht="30">
      <c r="A15664" s="4" t="s">
        <v>10753</v>
      </c>
      <c r="B15664" s="4">
        <v>249225</v>
      </c>
      <c r="D15664" s="5" t="s">
        <v>18984</v>
      </c>
      <c r="E15664" s="6" t="str">
        <f>HYPERLINK("https://inpn.mnhn.fr/espece/cd_nom/249225","Xestia castanea (Esper, 1798)")</f>
        <v>Xestia castanea (Esper, 1798)</v>
      </c>
      <c r="F15664" s="5" t="s">
        <v>18985</v>
      </c>
      <c r="AH15664" s="4" t="str">
        <f>HYPERLINK("#Statut_biogéographique!A"&amp;_xlfn.XMATCH("P",Statut_biogéographique!A:A,2,1),"P")</f>
        <v>P</v>
      </c>
      <c r="AP15664" s="4" t="s">
        <v>376</v>
      </c>
      <c r="AR15664" s="4" t="s">
        <v>377</v>
      </c>
    </row>
    <row r="15665" spans="1:44">
      <c r="A15665" s="4" t="s">
        <v>10753</v>
      </c>
      <c r="B15665" s="4">
        <v>249227</v>
      </c>
      <c r="D15665" s="5" t="s">
        <v>18986</v>
      </c>
      <c r="E15665" s="6" t="str">
        <f>HYPERLINK("https://inpn.mnhn.fr/espece/cd_nom/249227","Xestia collina (Boisduval, 1840)")</f>
        <v>Xestia collina (Boisduval, 1840)</v>
      </c>
      <c r="F15665" s="5" t="s">
        <v>18987</v>
      </c>
      <c r="AH15665" s="4" t="str">
        <f>HYPERLINK("#Statut_biogéographique!A"&amp;_xlfn.XMATCH("P",Statut_biogéographique!A:A,2,1),"P")</f>
        <v>P</v>
      </c>
      <c r="AP15665" s="4" t="s">
        <v>376</v>
      </c>
      <c r="AR15665" s="4" t="s">
        <v>377</v>
      </c>
    </row>
    <row r="15666" spans="1:44">
      <c r="A15666" s="4" t="s">
        <v>10753</v>
      </c>
      <c r="B15666" s="4">
        <v>249228</v>
      </c>
      <c r="D15666" s="5" t="s">
        <v>18988</v>
      </c>
      <c r="E15666" s="6" t="str">
        <f>HYPERLINK("https://inpn.mnhn.fr/espece/cd_nom/249228","Xestia sexstrigata (Haworth, 1809)")</f>
        <v>Xestia sexstrigata (Haworth, 1809)</v>
      </c>
      <c r="F15666" s="5" t="s">
        <v>18989</v>
      </c>
      <c r="AH15666" s="4" t="str">
        <f>HYPERLINK("#Statut_biogéographique!A"&amp;_xlfn.XMATCH("P",Statut_biogéographique!A:A,2,1),"P")</f>
        <v>P</v>
      </c>
      <c r="AP15666" s="4" t="s">
        <v>376</v>
      </c>
      <c r="AR15666" s="4" t="s">
        <v>377</v>
      </c>
    </row>
    <row r="15667" spans="1:44" ht="30">
      <c r="A15667" s="4" t="s">
        <v>10753</v>
      </c>
      <c r="B15667" s="4">
        <v>249229</v>
      </c>
      <c r="D15667" s="5" t="s">
        <v>18990</v>
      </c>
      <c r="E15667" s="6" t="str">
        <f>HYPERLINK("https://inpn.mnhn.fr/espece/cd_nom/249229","Xestia xanthographa (Denis &amp; Schiffermüller, 1775)")</f>
        <v>Xestia xanthographa (Denis &amp; Schiffermüller, 1775)</v>
      </c>
      <c r="F15667" s="5" t="s">
        <v>18991</v>
      </c>
      <c r="AH15667" s="4" t="str">
        <f>HYPERLINK("#Statut_biogéographique!A"&amp;_xlfn.XMATCH("P",Statut_biogéographique!A:A,2,1),"P")</f>
        <v>P</v>
      </c>
      <c r="AP15667" s="4" t="s">
        <v>376</v>
      </c>
      <c r="AR15667" s="4" t="s">
        <v>377</v>
      </c>
    </row>
    <row r="15668" spans="1:44">
      <c r="A15668" s="4" t="s">
        <v>10753</v>
      </c>
      <c r="B15668" s="4">
        <v>24923</v>
      </c>
      <c r="D15668" s="5" t="s">
        <v>18992</v>
      </c>
      <c r="E15668" s="6" t="str">
        <f>HYPERLINK("https://inpn.mnhn.fr/espece/cd_nom/24923","Pelidnoptera nigripennis (Fabricius, 1794)")</f>
        <v>Pelidnoptera nigripennis (Fabricius, 1794)</v>
      </c>
      <c r="AH15668" s="4" t="str">
        <f>HYPERLINK("#Statut_biogéographique!A"&amp;_xlfn.XMATCH("P",Statut_biogéographique!A:A,2,1),"P")</f>
        <v>P</v>
      </c>
      <c r="AP15668" s="4" t="s">
        <v>376</v>
      </c>
      <c r="AR15668" s="4" t="s">
        <v>377</v>
      </c>
    </row>
    <row r="15669" spans="1:44">
      <c r="A15669" s="4" t="s">
        <v>10753</v>
      </c>
      <c r="B15669" s="4">
        <v>249232</v>
      </c>
      <c r="D15669" s="5" t="s">
        <v>18993</v>
      </c>
      <c r="E15669" s="6" t="str">
        <f>HYPERLINK("https://inpn.mnhn.fr/espece/cd_nom/249232","Xestia agathina (Duponchel, 1828)")</f>
        <v>Xestia agathina (Duponchel, 1828)</v>
      </c>
      <c r="F15669" s="5" t="s">
        <v>18994</v>
      </c>
      <c r="AH15669" s="4" t="str">
        <f>HYPERLINK("#Statut_biogéographique!A"&amp;_xlfn.XMATCH("P",Statut_biogéographique!A:A,2,1),"P")</f>
        <v>P</v>
      </c>
      <c r="AP15669" s="4" t="s">
        <v>376</v>
      </c>
      <c r="AR15669" s="4" t="s">
        <v>377</v>
      </c>
    </row>
    <row r="15670" spans="1:44">
      <c r="A15670" s="4" t="s">
        <v>10753</v>
      </c>
      <c r="B15670" s="4">
        <v>249235</v>
      </c>
      <c r="D15670" s="5" t="s">
        <v>18995</v>
      </c>
      <c r="E15670" s="6" t="str">
        <f>HYPERLINK("https://inpn.mnhn.fr/espece/cd_nom/249235","Standfussiana dalmata (Staudinger, 1901)")</f>
        <v>Standfussiana dalmata (Staudinger, 1901)</v>
      </c>
      <c r="F15670" s="5" t="s">
        <v>18996</v>
      </c>
      <c r="AH15670" s="4" t="str">
        <f>HYPERLINK("#Statut_biogéographique!A"&amp;_xlfn.XMATCH("P",Statut_biogéographique!A:A,2,1),"P")</f>
        <v>P</v>
      </c>
      <c r="AP15670" s="4" t="s">
        <v>376</v>
      </c>
      <c r="AR15670" s="4" t="s">
        <v>377</v>
      </c>
    </row>
    <row r="15671" spans="1:44">
      <c r="A15671" s="4" t="s">
        <v>10753</v>
      </c>
      <c r="B15671" s="4">
        <v>249238</v>
      </c>
      <c r="D15671" s="5" t="s">
        <v>18997</v>
      </c>
      <c r="E15671" s="6" t="str">
        <f>HYPERLINK("https://inpn.mnhn.fr/espece/cd_nom/249238","Standfussiana lucernea (Linnaeus, 1758)")</f>
        <v>Standfussiana lucernea (Linnaeus, 1758)</v>
      </c>
      <c r="F15671" s="5" t="s">
        <v>18998</v>
      </c>
      <c r="AH15671" s="4" t="str">
        <f>HYPERLINK("#Statut_biogéographique!A"&amp;_xlfn.XMATCH("P",Statut_biogéographique!A:A,2,1),"P")</f>
        <v>P</v>
      </c>
      <c r="AP15671" s="4" t="s">
        <v>376</v>
      </c>
      <c r="AR15671" s="4" t="s">
        <v>377</v>
      </c>
    </row>
    <row r="15672" spans="1:44" ht="30">
      <c r="A15672" s="4" t="s">
        <v>10753</v>
      </c>
      <c r="B15672" s="4">
        <v>249239</v>
      </c>
      <c r="D15672" s="5" t="s">
        <v>18999</v>
      </c>
      <c r="E15672" s="6" t="str">
        <f>HYPERLINK("https://inpn.mnhn.fr/espece/cd_nom/249239","Spaelotis ravida (Denis &amp; Schiffermüller, 1775)")</f>
        <v>Spaelotis ravida (Denis &amp; Schiffermüller, 1775)</v>
      </c>
      <c r="F15672" s="5" t="s">
        <v>19000</v>
      </c>
      <c r="AH15672" s="4" t="str">
        <f>HYPERLINK("#Statut_biogéographique!A"&amp;_xlfn.XMATCH("P",Statut_biogéographique!A:A,2,1),"P")</f>
        <v>P</v>
      </c>
      <c r="AP15672" s="4" t="s">
        <v>376</v>
      </c>
      <c r="AR15672" s="4" t="s">
        <v>377</v>
      </c>
    </row>
    <row r="15673" spans="1:44" ht="30">
      <c r="A15673" s="4" t="s">
        <v>10753</v>
      </c>
      <c r="B15673" s="4">
        <v>249241</v>
      </c>
      <c r="D15673" s="5" t="s">
        <v>19001</v>
      </c>
      <c r="E15673" s="6" t="str">
        <f>HYPERLINK("https://inpn.mnhn.fr/espece/cd_nom/249241","Rhyacia simulans (Hufnagel, 1766)")</f>
        <v>Rhyacia simulans (Hufnagel, 1766)</v>
      </c>
      <c r="F15673" s="5" t="s">
        <v>19002</v>
      </c>
      <c r="AH15673" s="4" t="str">
        <f>HYPERLINK("#Statut_biogéographique!A"&amp;_xlfn.XMATCH("P",Statut_biogéographique!A:A,2,1),"P")</f>
        <v>P</v>
      </c>
      <c r="AP15673" s="4" t="s">
        <v>376</v>
      </c>
      <c r="AR15673" s="4" t="s">
        <v>377</v>
      </c>
    </row>
    <row r="15674" spans="1:44" ht="30">
      <c r="A15674" s="4" t="s">
        <v>10753</v>
      </c>
      <c r="B15674" s="4">
        <v>249242</v>
      </c>
      <c r="D15674" s="5" t="s">
        <v>19003</v>
      </c>
      <c r="E15674" s="6" t="str">
        <f>HYPERLINK("https://inpn.mnhn.fr/espece/cd_nom/249242","Rhyacia lucipeta (Denis &amp; Schiffermüller, 1775)")</f>
        <v>Rhyacia lucipeta (Denis &amp; Schiffermüller, 1775)</v>
      </c>
      <c r="F15674" s="5" t="s">
        <v>19004</v>
      </c>
      <c r="AH15674" s="4" t="str">
        <f>HYPERLINK("#Statut_biogéographique!A"&amp;_xlfn.XMATCH("P",Statut_biogéographique!A:A,2,1),"P")</f>
        <v>P</v>
      </c>
      <c r="AP15674" s="4" t="s">
        <v>376</v>
      </c>
      <c r="AR15674" s="4" t="s">
        <v>377</v>
      </c>
    </row>
    <row r="15675" spans="1:44" ht="30">
      <c r="A15675" s="4" t="s">
        <v>10753</v>
      </c>
      <c r="B15675" s="4">
        <v>249246</v>
      </c>
      <c r="D15675" s="5" t="s">
        <v>19005</v>
      </c>
      <c r="E15675" s="6" t="str">
        <f>HYPERLINK("https://inpn.mnhn.fr/espece/cd_nom/249246","Noctua pronuba (Linnaeus, 1758)")</f>
        <v>Noctua pronuba (Linnaeus, 1758)</v>
      </c>
      <c r="F15675" s="5" t="s">
        <v>19006</v>
      </c>
      <c r="AH15675" s="4" t="str">
        <f>HYPERLINK("#Statut_biogéographique!A"&amp;_xlfn.XMATCH("P",Statut_biogéographique!A:A,2,1),"P")</f>
        <v>P</v>
      </c>
      <c r="AP15675" s="4" t="s">
        <v>376</v>
      </c>
      <c r="AR15675" s="4" t="s">
        <v>377</v>
      </c>
    </row>
    <row r="15676" spans="1:44">
      <c r="A15676" s="4" t="s">
        <v>10753</v>
      </c>
      <c r="B15676" s="4">
        <v>249247</v>
      </c>
      <c r="D15676" s="5" t="s">
        <v>19007</v>
      </c>
      <c r="E15676" s="6" t="str">
        <f>HYPERLINK("https://inpn.mnhn.fr/espece/cd_nom/249247","Noctua orbona (Hufnagel, 1766)")</f>
        <v>Noctua orbona (Hufnagel, 1766)</v>
      </c>
      <c r="F15676" s="5" t="s">
        <v>19008</v>
      </c>
      <c r="AH15676" s="4" t="str">
        <f>HYPERLINK("#Statut_biogéographique!A"&amp;_xlfn.XMATCH("P",Statut_biogéographique!A:A,2,1),"P")</f>
        <v>P</v>
      </c>
      <c r="AP15676" s="4" t="s">
        <v>376</v>
      </c>
      <c r="AR15676" s="4" t="s">
        <v>377</v>
      </c>
    </row>
    <row r="15677" spans="1:44">
      <c r="A15677" s="4" t="s">
        <v>10753</v>
      </c>
      <c r="B15677" s="4">
        <v>249248</v>
      </c>
      <c r="D15677" s="5" t="s">
        <v>19009</v>
      </c>
      <c r="E15677" s="6" t="str">
        <f>HYPERLINK("https://inpn.mnhn.fr/espece/cd_nom/249248","Noctua interposita (Hübner, 1789)")</f>
        <v>Noctua interposita (Hübner, 1789)</v>
      </c>
      <c r="F15677" s="5" t="s">
        <v>19010</v>
      </c>
      <c r="AH15677" s="4" t="str">
        <f>HYPERLINK("#Statut_biogéographique!A"&amp;_xlfn.XMATCH("P",Statut_biogéographique!A:A,2,1),"P")</f>
        <v>P</v>
      </c>
      <c r="AP15677" s="4" t="s">
        <v>376</v>
      </c>
      <c r="AR15677" s="4" t="s">
        <v>377</v>
      </c>
    </row>
    <row r="15678" spans="1:44">
      <c r="A15678" s="4" t="s">
        <v>10753</v>
      </c>
      <c r="B15678" s="4">
        <v>249249</v>
      </c>
      <c r="D15678" s="5" t="s">
        <v>19011</v>
      </c>
      <c r="E15678" s="6" t="str">
        <f>HYPERLINK("https://inpn.mnhn.fr/espece/cd_nom/249249","Noctua comes Hübner, 1813")</f>
        <v>Noctua comes Hübner, 1813</v>
      </c>
      <c r="F15678" s="5" t="s">
        <v>19012</v>
      </c>
      <c r="AH15678" s="4" t="str">
        <f>HYPERLINK("#Statut_biogéographique!A"&amp;_xlfn.XMATCH("P",Statut_biogéographique!A:A,2,1),"P")</f>
        <v>P</v>
      </c>
      <c r="AP15678" s="4" t="s">
        <v>376</v>
      </c>
      <c r="AR15678" s="4" t="s">
        <v>377</v>
      </c>
    </row>
    <row r="15679" spans="1:44">
      <c r="A15679" s="4" t="s">
        <v>10753</v>
      </c>
      <c r="B15679" s="4">
        <v>24925</v>
      </c>
      <c r="D15679" s="5" t="s">
        <v>19013</v>
      </c>
      <c r="E15679" s="6" t="str">
        <f>HYPERLINK("https://inpn.mnhn.fr/espece/cd_nom/24925","Pherbellia albocostata (Fallén, 1820)")</f>
        <v>Pherbellia albocostata (Fallén, 1820)</v>
      </c>
      <c r="AH15679" s="4" t="str">
        <f>HYPERLINK("#Statut_biogéographique!A"&amp;_xlfn.XMATCH("P",Statut_biogéographique!A:A,2,1),"P")</f>
        <v>P</v>
      </c>
      <c r="AP15679" s="4" t="s">
        <v>376</v>
      </c>
      <c r="AR15679" s="4" t="s">
        <v>377</v>
      </c>
    </row>
    <row r="15680" spans="1:44">
      <c r="A15680" s="4" t="s">
        <v>10753</v>
      </c>
      <c r="B15680" s="4">
        <v>249250</v>
      </c>
      <c r="D15680" s="5" t="s">
        <v>19014</v>
      </c>
      <c r="E15680" s="6" t="str">
        <f>HYPERLINK("https://inpn.mnhn.fr/espece/cd_nom/249250","Noctua fimbriata (Schreber, 1759)")</f>
        <v>Noctua fimbriata (Schreber, 1759)</v>
      </c>
      <c r="F15680" s="5" t="s">
        <v>19015</v>
      </c>
      <c r="AH15680" s="4" t="str">
        <f>HYPERLINK("#Statut_biogéographique!A"&amp;_xlfn.XMATCH("P",Statut_biogéographique!A:A,2,1),"P")</f>
        <v>P</v>
      </c>
      <c r="AP15680" s="4" t="s">
        <v>376</v>
      </c>
      <c r="AR15680" s="4" t="s">
        <v>377</v>
      </c>
    </row>
    <row r="15681" spans="1:44" ht="30">
      <c r="A15681" s="4" t="s">
        <v>10753</v>
      </c>
      <c r="B15681" s="4">
        <v>249251</v>
      </c>
      <c r="D15681" s="5">
        <v>249251</v>
      </c>
      <c r="E15681" s="6" t="str">
        <f>HYPERLINK("https://inpn.mnhn.fr/espece/cd_nom/249251","Noctua tirrenica Biebinger, Speidel &amp; Hanigk, 1983")</f>
        <v>Noctua tirrenica Biebinger, Speidel &amp; Hanigk, 1983</v>
      </c>
      <c r="F15681" s="5" t="s">
        <v>19016</v>
      </c>
      <c r="AH15681" s="4" t="str">
        <f>HYPERLINK("#Statut_biogéographique!A"&amp;_xlfn.XMATCH("P",Statut_biogéographique!A:A,2,1),"P")</f>
        <v>P</v>
      </c>
      <c r="AP15681" s="4" t="s">
        <v>376</v>
      </c>
      <c r="AR15681" s="4" t="s">
        <v>377</v>
      </c>
    </row>
    <row r="15682" spans="1:44" ht="30">
      <c r="A15682" s="4" t="s">
        <v>10753</v>
      </c>
      <c r="B15682" s="4">
        <v>249252</v>
      </c>
      <c r="D15682" s="5" t="s">
        <v>19017</v>
      </c>
      <c r="E15682" s="6" t="str">
        <f>HYPERLINK("https://inpn.mnhn.fr/espece/cd_nom/249252","Noctua janthina (Denis &amp; Schiffermüller, 1775)")</f>
        <v>Noctua janthina (Denis &amp; Schiffermüller, 1775)</v>
      </c>
      <c r="F15682" s="5" t="s">
        <v>19018</v>
      </c>
      <c r="AH15682" s="4" t="str">
        <f>HYPERLINK("#Statut_biogéographique!A"&amp;_xlfn.XMATCH("P",Statut_biogéographique!A:A,2,1),"P")</f>
        <v>P</v>
      </c>
      <c r="AP15682" s="4" t="s">
        <v>376</v>
      </c>
      <c r="AR15682" s="4" t="s">
        <v>377</v>
      </c>
    </row>
    <row r="15683" spans="1:44">
      <c r="A15683" s="4" t="s">
        <v>10753</v>
      </c>
      <c r="B15683" s="4">
        <v>249253</v>
      </c>
      <c r="D15683" s="5" t="s">
        <v>19019</v>
      </c>
      <c r="E15683" s="6" t="str">
        <f>HYPERLINK("https://inpn.mnhn.fr/espece/cd_nom/249253","Noctua janthe (Borkhausen, 1792)")</f>
        <v>Noctua janthe (Borkhausen, 1792)</v>
      </c>
      <c r="F15683" s="5" t="s">
        <v>19020</v>
      </c>
      <c r="AH15683" s="4" t="str">
        <f>HYPERLINK("#Statut_biogéographique!A"&amp;_xlfn.XMATCH("P",Statut_biogéographique!A:A,2,1),"P")</f>
        <v>P</v>
      </c>
      <c r="AP15683" s="4" t="s">
        <v>376</v>
      </c>
      <c r="AR15683" s="4" t="s">
        <v>377</v>
      </c>
    </row>
    <row r="15684" spans="1:44">
      <c r="A15684" s="4" t="s">
        <v>10753</v>
      </c>
      <c r="B15684" s="4">
        <v>249254</v>
      </c>
      <c r="D15684" s="5" t="s">
        <v>19021</v>
      </c>
      <c r="E15684" s="6" t="str">
        <f>HYPERLINK("https://inpn.mnhn.fr/espece/cd_nom/249254","Noctua interjecta Hübner, 1803")</f>
        <v>Noctua interjecta Hübner, 1803</v>
      </c>
      <c r="F15684" s="5" t="s">
        <v>19022</v>
      </c>
      <c r="AH15684" s="4" t="str">
        <f>HYPERLINK("#Statut_biogéographique!A"&amp;_xlfn.XMATCH("P",Statut_biogéographique!A:A,2,1),"P")</f>
        <v>P</v>
      </c>
      <c r="AP15684" s="4" t="s">
        <v>376</v>
      </c>
      <c r="AR15684" s="4" t="s">
        <v>377</v>
      </c>
    </row>
    <row r="15685" spans="1:44">
      <c r="A15685" s="4" t="s">
        <v>10753</v>
      </c>
      <c r="B15685" s="4">
        <v>249255</v>
      </c>
      <c r="D15685" s="5" t="s">
        <v>19023</v>
      </c>
      <c r="E15685" s="6" t="str">
        <f>HYPERLINK("https://inpn.mnhn.fr/espece/cd_nom/249255","Naenia typica (Linnaeus, 1758)")</f>
        <v>Naenia typica (Linnaeus, 1758)</v>
      </c>
      <c r="F15685" s="5" t="s">
        <v>19024</v>
      </c>
      <c r="AH15685" s="4" t="str">
        <f>HYPERLINK("#Statut_biogéographique!A"&amp;_xlfn.XMATCH("P",Statut_biogéographique!A:A,2,1),"P")</f>
        <v>P</v>
      </c>
      <c r="AP15685" s="4" t="s">
        <v>376</v>
      </c>
      <c r="AR15685" s="4" t="s">
        <v>377</v>
      </c>
    </row>
    <row r="15686" spans="1:44" ht="30">
      <c r="A15686" s="4" t="s">
        <v>10753</v>
      </c>
      <c r="B15686" s="4">
        <v>249258</v>
      </c>
      <c r="D15686" s="5" t="s">
        <v>19025</v>
      </c>
      <c r="E15686" s="6" t="str">
        <f>HYPERLINK("https://inpn.mnhn.fr/espece/cd_nom/249258","Lycophotia porphyrea (Denis &amp; Schiffermüller, 1775)")</f>
        <v>Lycophotia porphyrea (Denis &amp; Schiffermüller, 1775)</v>
      </c>
      <c r="F15686" s="5" t="s">
        <v>19026</v>
      </c>
      <c r="AH15686" s="4" t="str">
        <f>HYPERLINK("#Statut_biogéographique!A"&amp;_xlfn.XMATCH("P",Statut_biogéographique!A:A,2,1),"P")</f>
        <v>P</v>
      </c>
      <c r="AP15686" s="4" t="s">
        <v>376</v>
      </c>
      <c r="AR15686" s="4" t="s">
        <v>377</v>
      </c>
    </row>
    <row r="15687" spans="1:44">
      <c r="A15687" s="4" t="s">
        <v>10753</v>
      </c>
      <c r="B15687" s="4">
        <v>249259</v>
      </c>
      <c r="D15687" s="5" t="s">
        <v>19027</v>
      </c>
      <c r="E15687" s="6" t="str">
        <f>HYPERLINK("https://inpn.mnhn.fr/espece/cd_nom/249259","Graphiphora augur (Fabricius, 1775)")</f>
        <v>Graphiphora augur (Fabricius, 1775)</v>
      </c>
      <c r="F15687" s="5" t="s">
        <v>19028</v>
      </c>
      <c r="AH15687" s="4" t="str">
        <f>HYPERLINK("#Statut_biogéographique!A"&amp;_xlfn.XMATCH("P",Statut_biogéographique!A:A,2,1),"P")</f>
        <v>P</v>
      </c>
      <c r="AP15687" s="4" t="s">
        <v>376</v>
      </c>
      <c r="AR15687" s="4" t="s">
        <v>377</v>
      </c>
    </row>
    <row r="15688" spans="1:44">
      <c r="A15688" s="4" t="s">
        <v>10753</v>
      </c>
      <c r="B15688" s="4">
        <v>249260</v>
      </c>
      <c r="D15688" s="5" t="s">
        <v>19029</v>
      </c>
      <c r="E15688" s="6" t="str">
        <f>HYPERLINK("https://inpn.mnhn.fr/espece/cd_nom/249260","Eurois occulta (Linnaeus, 1758)")</f>
        <v>Eurois occulta (Linnaeus, 1758)</v>
      </c>
      <c r="F15688" s="5" t="s">
        <v>19030</v>
      </c>
      <c r="AH15688" s="4" t="str">
        <f>HYPERLINK("#Statut_biogéographique!A"&amp;_xlfn.XMATCH("P",Statut_biogéographique!A:A,2,1),"P")</f>
        <v>P</v>
      </c>
      <c r="AP15688" s="4" t="s">
        <v>376</v>
      </c>
      <c r="AR15688" s="4" t="s">
        <v>377</v>
      </c>
    </row>
    <row r="15689" spans="1:44" ht="30">
      <c r="A15689" s="4" t="s">
        <v>10753</v>
      </c>
      <c r="B15689" s="4">
        <v>249261</v>
      </c>
      <c r="D15689" s="5" t="s">
        <v>19031</v>
      </c>
      <c r="E15689" s="6" t="str">
        <f>HYPERLINK("https://inpn.mnhn.fr/espece/cd_nom/249261","Eugraphe sigma (Denis &amp; Schiffermüller, 1775)")</f>
        <v>Eugraphe sigma (Denis &amp; Schiffermüller, 1775)</v>
      </c>
      <c r="F15689" s="5" t="s">
        <v>19032</v>
      </c>
      <c r="AH15689" s="4" t="str">
        <f>HYPERLINK("#Statut_biogéographique!A"&amp;_xlfn.XMATCH("P",Statut_biogéographique!A:A,2,1),"P")</f>
        <v>P</v>
      </c>
      <c r="AP15689" s="4" t="s">
        <v>376</v>
      </c>
      <c r="AR15689" s="4" t="s">
        <v>377</v>
      </c>
    </row>
    <row r="15690" spans="1:44">
      <c r="A15690" s="4" t="s">
        <v>10753</v>
      </c>
      <c r="B15690" s="4">
        <v>249262</v>
      </c>
      <c r="D15690" s="5" t="s">
        <v>19033</v>
      </c>
      <c r="E15690" s="6" t="str">
        <f>HYPERLINK("https://inpn.mnhn.fr/espece/cd_nom/249262","Eugnorisma glareosa (Esper, 1788)")</f>
        <v>Eugnorisma glareosa (Esper, 1788)</v>
      </c>
      <c r="F15690" s="5" t="s">
        <v>19034</v>
      </c>
      <c r="AH15690" s="4" t="str">
        <f>HYPERLINK("#Statut_biogéographique!A"&amp;_xlfn.XMATCH("P",Statut_biogéographique!A:A,2,1),"P")</f>
        <v>P</v>
      </c>
      <c r="AP15690" s="4" t="s">
        <v>376</v>
      </c>
      <c r="AR15690" s="4" t="s">
        <v>377</v>
      </c>
    </row>
    <row r="15691" spans="1:44" ht="30">
      <c r="A15691" s="4" t="s">
        <v>10753</v>
      </c>
      <c r="B15691" s="4">
        <v>249263</v>
      </c>
      <c r="D15691" s="5" t="s">
        <v>19035</v>
      </c>
      <c r="E15691" s="6" t="str">
        <f>HYPERLINK("https://inpn.mnhn.fr/espece/cd_nom/249263","Eugnorisma depuncta (Linnaeus, 1761)")</f>
        <v>Eugnorisma depuncta (Linnaeus, 1761)</v>
      </c>
      <c r="F15691" s="5" t="s">
        <v>19036</v>
      </c>
      <c r="AH15691" s="4" t="str">
        <f>HYPERLINK("#Statut_biogéographique!A"&amp;_xlfn.XMATCH("P",Statut_biogéographique!A:A,2,1),"P")</f>
        <v>P</v>
      </c>
      <c r="AP15691" s="4" t="s">
        <v>376</v>
      </c>
      <c r="AR15691" s="4" t="s">
        <v>377</v>
      </c>
    </row>
    <row r="15692" spans="1:44" ht="30">
      <c r="A15692" s="4" t="s">
        <v>10753</v>
      </c>
      <c r="B15692" s="4">
        <v>249264</v>
      </c>
      <c r="D15692" s="5" t="s">
        <v>19037</v>
      </c>
      <c r="E15692" s="6" t="str">
        <f>HYPERLINK("https://inpn.mnhn.fr/espece/cd_nom/249264","Epilecta linogrisea (Denis &amp; Schiffermüller, 1775)")</f>
        <v>Epilecta linogrisea (Denis &amp; Schiffermüller, 1775)</v>
      </c>
      <c r="F15692" s="5" t="s">
        <v>19038</v>
      </c>
      <c r="AH15692" s="4" t="str">
        <f>HYPERLINK("#Statut_biogéographique!A"&amp;_xlfn.XMATCH("P",Statut_biogéographique!A:A,2,1),"P")</f>
        <v>P</v>
      </c>
      <c r="AP15692" s="4" t="s">
        <v>376</v>
      </c>
      <c r="AR15692" s="4" t="s">
        <v>377</v>
      </c>
    </row>
    <row r="15693" spans="1:44">
      <c r="A15693" s="4" t="s">
        <v>10753</v>
      </c>
      <c r="B15693" s="4">
        <v>249265</v>
      </c>
      <c r="D15693" s="5" t="s">
        <v>19039</v>
      </c>
      <c r="E15693" s="6" t="str">
        <f>HYPERLINK("https://inpn.mnhn.fr/espece/cd_nom/249265","Diarsia mendica (Fabricius, 1775)")</f>
        <v>Diarsia mendica (Fabricius, 1775)</v>
      </c>
      <c r="F15693" s="5" t="s">
        <v>19040</v>
      </c>
      <c r="AH15693" s="4" t="str">
        <f>HYPERLINK("#Statut_biogéographique!A"&amp;_xlfn.XMATCH("P",Statut_biogéographique!A:A,2,1),"P")</f>
        <v>P</v>
      </c>
      <c r="AP15693" s="4" t="s">
        <v>376</v>
      </c>
      <c r="AR15693" s="4" t="s">
        <v>377</v>
      </c>
    </row>
    <row r="15694" spans="1:44">
      <c r="A15694" s="4" t="s">
        <v>10753</v>
      </c>
      <c r="B15694" s="4">
        <v>249266</v>
      </c>
      <c r="D15694" s="5" t="s">
        <v>19041</v>
      </c>
      <c r="E15694" s="6" t="str">
        <f>HYPERLINK("https://inpn.mnhn.fr/espece/cd_nom/249266","Diarsia dahlii (Hübner, 1813)")</f>
        <v>Diarsia dahlii (Hübner, 1813)</v>
      </c>
      <c r="F15694" s="5" t="s">
        <v>19042</v>
      </c>
      <c r="AH15694" s="4" t="str">
        <f>HYPERLINK("#Statut_biogéographique!A"&amp;_xlfn.XMATCH("P",Statut_biogéographique!A:A,2,1),"P")</f>
        <v>P</v>
      </c>
      <c r="AP15694" s="4" t="s">
        <v>376</v>
      </c>
      <c r="AR15694" s="4" t="s">
        <v>377</v>
      </c>
    </row>
    <row r="15695" spans="1:44" ht="30">
      <c r="A15695" s="4" t="s">
        <v>10753</v>
      </c>
      <c r="B15695" s="4">
        <v>249268</v>
      </c>
      <c r="D15695" s="5" t="s">
        <v>19043</v>
      </c>
      <c r="E15695" s="6" t="str">
        <f>HYPERLINK("https://inpn.mnhn.fr/espece/cd_nom/249268","Diarsia brunnea (Denis &amp; Schiffermüller, 1775)")</f>
        <v>Diarsia brunnea (Denis &amp; Schiffermüller, 1775)</v>
      </c>
      <c r="F15695" s="5" t="s">
        <v>19044</v>
      </c>
      <c r="AH15695" s="4" t="str">
        <f>HYPERLINK("#Statut_biogéographique!A"&amp;_xlfn.XMATCH("P",Statut_biogéographique!A:A,2,1),"P")</f>
        <v>P</v>
      </c>
      <c r="AP15695" s="4" t="s">
        <v>376</v>
      </c>
      <c r="AR15695" s="4" t="s">
        <v>377</v>
      </c>
    </row>
    <row r="15696" spans="1:44">
      <c r="A15696" s="4" t="s">
        <v>10753</v>
      </c>
      <c r="B15696" s="4">
        <v>249269</v>
      </c>
      <c r="D15696" s="5" t="s">
        <v>19045</v>
      </c>
      <c r="E15696" s="6" t="str">
        <f>HYPERLINK("https://inpn.mnhn.fr/espece/cd_nom/249269","Diarsia rubi (Vieweg, 1790)")</f>
        <v>Diarsia rubi (Vieweg, 1790)</v>
      </c>
      <c r="F15696" s="5" t="s">
        <v>19046</v>
      </c>
      <c r="AH15696" s="4" t="str">
        <f>HYPERLINK("#Statut_biogéographique!A"&amp;_xlfn.XMATCH("P",Statut_biogéographique!A:A,2,1),"P")</f>
        <v>P</v>
      </c>
      <c r="AP15696" s="4" t="s">
        <v>376</v>
      </c>
      <c r="AR15696" s="4" t="s">
        <v>377</v>
      </c>
    </row>
    <row r="15697" spans="1:44" ht="30">
      <c r="A15697" s="4" t="s">
        <v>10753</v>
      </c>
      <c r="B15697" s="4">
        <v>249272</v>
      </c>
      <c r="D15697" s="5" t="s">
        <v>19047</v>
      </c>
      <c r="E15697" s="6" t="str">
        <f>HYPERLINK("https://inpn.mnhn.fr/espece/cd_nom/249272","Chersotis rectangula (Denis &amp; Schiffermüller, 1775)")</f>
        <v>Chersotis rectangula (Denis &amp; Schiffermüller, 1775)</v>
      </c>
      <c r="F15697" s="5" t="s">
        <v>19048</v>
      </c>
      <c r="AH15697" s="4" t="str">
        <f>HYPERLINK("#Statut_biogéographique!A"&amp;_xlfn.XMATCH("P",Statut_biogéographique!A:A,2,1),"P")</f>
        <v>P</v>
      </c>
      <c r="AP15697" s="4" t="s">
        <v>376</v>
      </c>
      <c r="AR15697" s="4" t="s">
        <v>377</v>
      </c>
    </row>
    <row r="15698" spans="1:44">
      <c r="A15698" s="4" t="s">
        <v>10753</v>
      </c>
      <c r="B15698" s="4">
        <v>249273</v>
      </c>
      <c r="D15698" s="5" t="s">
        <v>19049</v>
      </c>
      <c r="E15698" s="6" t="str">
        <f>HYPERLINK("https://inpn.mnhn.fr/espece/cd_nom/249273","Chersotis andereggii (Boisduval, 1837)")</f>
        <v>Chersotis andereggii (Boisduval, 1837)</v>
      </c>
      <c r="F15698" s="5" t="s">
        <v>19050</v>
      </c>
      <c r="AH15698" s="4" t="str">
        <f>HYPERLINK("#Statut_biogéographique!A"&amp;_xlfn.XMATCH("P",Statut_biogéographique!A:A,2,1),"P")</f>
        <v>P</v>
      </c>
      <c r="AP15698" s="4" t="s">
        <v>376</v>
      </c>
      <c r="AR15698" s="4" t="s">
        <v>377</v>
      </c>
    </row>
    <row r="15699" spans="1:44">
      <c r="A15699" s="4" t="s">
        <v>10753</v>
      </c>
      <c r="B15699" s="4">
        <v>249277</v>
      </c>
      <c r="D15699" s="5" t="s">
        <v>19051</v>
      </c>
      <c r="E15699" s="6" t="str">
        <f>HYPERLINK("https://inpn.mnhn.fr/espece/cd_nom/249277","Chersotis multangula (Hübner, 1803)")</f>
        <v>Chersotis multangula (Hübner, 1803)</v>
      </c>
      <c r="F15699" s="5" t="s">
        <v>19052</v>
      </c>
      <c r="AH15699" s="4" t="str">
        <f>HYPERLINK("#Statut_biogéographique!A"&amp;_xlfn.XMATCH("P",Statut_biogéographique!A:A,2,1),"P")</f>
        <v>P</v>
      </c>
      <c r="AP15699" s="4" t="s">
        <v>376</v>
      </c>
      <c r="AR15699" s="4" t="s">
        <v>377</v>
      </c>
    </row>
    <row r="15700" spans="1:44">
      <c r="A15700" s="4" t="s">
        <v>10753</v>
      </c>
      <c r="B15700" s="4">
        <v>249278</v>
      </c>
      <c r="D15700" s="5" t="s">
        <v>19053</v>
      </c>
      <c r="E15700" s="6" t="str">
        <f>HYPERLINK("https://inpn.mnhn.fr/espece/cd_nom/249278","Chersotis margaritacea (Villers, 1789)")</f>
        <v>Chersotis margaritacea (Villers, 1789)</v>
      </c>
      <c r="F15700" s="5" t="s">
        <v>19054</v>
      </c>
      <c r="AH15700" s="4" t="str">
        <f>HYPERLINK("#Statut_biogéographique!A"&amp;_xlfn.XMATCH("P",Statut_biogéographique!A:A,2,1),"P")</f>
        <v>P</v>
      </c>
      <c r="AP15700" s="4" t="s">
        <v>376</v>
      </c>
      <c r="AR15700" s="4" t="s">
        <v>377</v>
      </c>
    </row>
    <row r="15701" spans="1:44">
      <c r="A15701" s="4" t="s">
        <v>10753</v>
      </c>
      <c r="B15701" s="4">
        <v>24928</v>
      </c>
      <c r="D15701" s="5" t="s">
        <v>19055</v>
      </c>
      <c r="E15701" s="6" t="str">
        <f>HYPERLINK("https://inpn.mnhn.fr/espece/cd_nom/24928","Pherbellia cinerella (Fallén, 1820)")</f>
        <v>Pherbellia cinerella (Fallén, 1820)</v>
      </c>
      <c r="AH15701" s="4" t="str">
        <f>HYPERLINK("#Statut_biogéographique!A"&amp;_xlfn.XMATCH("P",Statut_biogéographique!A:A,2,1),"P")</f>
        <v>P</v>
      </c>
      <c r="AP15701" s="4" t="s">
        <v>376</v>
      </c>
      <c r="AR15701" s="4" t="s">
        <v>377</v>
      </c>
    </row>
    <row r="15702" spans="1:44" ht="30">
      <c r="A15702" s="4" t="s">
        <v>10753</v>
      </c>
      <c r="B15702" s="4">
        <v>249283</v>
      </c>
      <c r="D15702" s="5" t="s">
        <v>19056</v>
      </c>
      <c r="E15702" s="6" t="str">
        <f>HYPERLINK("https://inpn.mnhn.fr/espece/cd_nom/249283","Chersotis cuprea (Denis &amp; Schiffermüller, 1775)")</f>
        <v>Chersotis cuprea (Denis &amp; Schiffermüller, 1775)</v>
      </c>
      <c r="F15702" s="5" t="s">
        <v>19057</v>
      </c>
      <c r="AH15702" s="4" t="str">
        <f>HYPERLINK("#Statut_biogéographique!A"&amp;_xlfn.XMATCH("P",Statut_biogéographique!A:A,2,1),"P")</f>
        <v>P</v>
      </c>
      <c r="AP15702" s="4" t="s">
        <v>376</v>
      </c>
      <c r="AR15702" s="4" t="s">
        <v>377</v>
      </c>
    </row>
    <row r="15703" spans="1:44" ht="30">
      <c r="A15703" s="4" t="s">
        <v>10753</v>
      </c>
      <c r="B15703" s="4">
        <v>249285</v>
      </c>
      <c r="D15703" s="5" t="s">
        <v>19058</v>
      </c>
      <c r="E15703" s="6" t="str">
        <f>HYPERLINK("https://inpn.mnhn.fr/espece/cd_nom/249285","Cerastis rubricosa (Denis &amp; Schiffermüller, 1775)")</f>
        <v>Cerastis rubricosa (Denis &amp; Schiffermüller, 1775)</v>
      </c>
      <c r="F15703" s="5" t="s">
        <v>19059</v>
      </c>
      <c r="AH15703" s="4" t="str">
        <f>HYPERLINK("#Statut_biogéographique!A"&amp;_xlfn.XMATCH("P",Statut_biogéographique!A:A,2,1),"P")</f>
        <v>P</v>
      </c>
      <c r="AP15703" s="4" t="s">
        <v>376</v>
      </c>
      <c r="AR15703" s="4" t="s">
        <v>377</v>
      </c>
    </row>
    <row r="15704" spans="1:44" ht="30">
      <c r="A15704" s="4" t="s">
        <v>10753</v>
      </c>
      <c r="B15704" s="4">
        <v>249286</v>
      </c>
      <c r="D15704" s="5" t="s">
        <v>19060</v>
      </c>
      <c r="E15704" s="6" t="str">
        <f>HYPERLINK("https://inpn.mnhn.fr/espece/cd_nom/249286","Cerastis leucographa (Denis &amp; Schiffermüller, 1775)")</f>
        <v>Cerastis leucographa (Denis &amp; Schiffermüller, 1775)</v>
      </c>
      <c r="F15704" s="5" t="s">
        <v>19061</v>
      </c>
      <c r="AH15704" s="4" t="str">
        <f>HYPERLINK("#Statut_biogéographique!A"&amp;_xlfn.XMATCH("P",Statut_biogéographique!A:A,2,1),"P")</f>
        <v>P</v>
      </c>
      <c r="AP15704" s="4" t="s">
        <v>376</v>
      </c>
      <c r="AR15704" s="4" t="s">
        <v>377</v>
      </c>
    </row>
    <row r="15705" spans="1:44">
      <c r="A15705" s="4" t="s">
        <v>10753</v>
      </c>
      <c r="B15705" s="4">
        <v>249288</v>
      </c>
      <c r="D15705" s="5" t="s">
        <v>19062</v>
      </c>
      <c r="E15705" s="6" t="str">
        <f>HYPERLINK("https://inpn.mnhn.fr/espece/cd_nom/249288","Axylia putris (Linnaeus, 1761)")</f>
        <v>Axylia putris (Linnaeus, 1761)</v>
      </c>
      <c r="F15705" s="5" t="s">
        <v>19063</v>
      </c>
      <c r="AH15705" s="4" t="str">
        <f>HYPERLINK("#Statut_biogéographique!A"&amp;_xlfn.XMATCH("P",Statut_biogéographique!A:A,2,1),"P")</f>
        <v>P</v>
      </c>
      <c r="AP15705" s="4" t="s">
        <v>376</v>
      </c>
      <c r="AR15705" s="4" t="s">
        <v>377</v>
      </c>
    </row>
    <row r="15706" spans="1:44">
      <c r="A15706" s="4" t="s">
        <v>10753</v>
      </c>
      <c r="B15706" s="4">
        <v>24929</v>
      </c>
      <c r="D15706" s="5" t="s">
        <v>19064</v>
      </c>
      <c r="E15706" s="6" t="str">
        <f>HYPERLINK("https://inpn.mnhn.fr/espece/cd_nom/24929","Pherbellia dorsata (Zetterstedt, 1846)")</f>
        <v>Pherbellia dorsata (Zetterstedt, 1846)</v>
      </c>
      <c r="AH15706" s="4" t="str">
        <f>HYPERLINK("#Statut_biogéographique!A"&amp;_xlfn.XMATCH("P",Statut_biogéographique!A:A,2,1),"P")</f>
        <v>P</v>
      </c>
      <c r="AP15706" s="4" t="s">
        <v>376</v>
      </c>
      <c r="AR15706" s="4" t="s">
        <v>377</v>
      </c>
    </row>
    <row r="15707" spans="1:44">
      <c r="A15707" s="4" t="s">
        <v>10753</v>
      </c>
      <c r="B15707" s="4">
        <v>249291</v>
      </c>
      <c r="D15707" s="5" t="s">
        <v>19065</v>
      </c>
      <c r="E15707" s="6" t="str">
        <f>HYPERLINK("https://inpn.mnhn.fr/espece/cd_nom/249291","Ochropleura plecta (Linnaeus, 1761)")</f>
        <v>Ochropleura plecta (Linnaeus, 1761)</v>
      </c>
      <c r="F15707" s="5" t="s">
        <v>19066</v>
      </c>
      <c r="AH15707" s="4" t="str">
        <f>HYPERLINK("#Statut_biogéographique!A"&amp;_xlfn.XMATCH("P",Statut_biogéographique!A:A,2,1),"P")</f>
        <v>P</v>
      </c>
      <c r="AP15707" s="4" t="s">
        <v>376</v>
      </c>
      <c r="AR15707" s="4" t="s">
        <v>377</v>
      </c>
    </row>
    <row r="15708" spans="1:44">
      <c r="A15708" s="4" t="s">
        <v>10753</v>
      </c>
      <c r="B15708" s="4">
        <v>249293</v>
      </c>
      <c r="D15708" s="5" t="s">
        <v>19067</v>
      </c>
      <c r="E15708" s="6" t="str">
        <f>HYPERLINK("https://inpn.mnhn.fr/espece/cd_nom/249293","Hypena proboscidalis (Linnaeus, 1758)")</f>
        <v>Hypena proboscidalis (Linnaeus, 1758)</v>
      </c>
      <c r="F15708" s="5" t="s">
        <v>19068</v>
      </c>
      <c r="AH15708" s="4" t="str">
        <f>HYPERLINK("#Statut_biogéographique!A"&amp;_xlfn.XMATCH("P",Statut_biogéographique!A:A,2,1),"P")</f>
        <v>P</v>
      </c>
      <c r="AP15708" s="4" t="s">
        <v>376</v>
      </c>
      <c r="AR15708" s="4" t="s">
        <v>377</v>
      </c>
    </row>
    <row r="15709" spans="1:44">
      <c r="A15709" s="4" t="s">
        <v>10753</v>
      </c>
      <c r="B15709" s="4">
        <v>249294</v>
      </c>
      <c r="D15709" s="5" t="s">
        <v>19069</v>
      </c>
      <c r="E15709" s="6" t="str">
        <f>HYPERLINK("https://inpn.mnhn.fr/espece/cd_nom/249294","Hypena rostralis (Linnaeus, 1758)")</f>
        <v>Hypena rostralis (Linnaeus, 1758)</v>
      </c>
      <c r="F15709" s="5" t="s">
        <v>19070</v>
      </c>
      <c r="AH15709" s="4" t="str">
        <f>HYPERLINK("#Statut_biogéographique!A"&amp;_xlfn.XMATCH("P",Statut_biogéographique!A:A,2,1),"P")</f>
        <v>P</v>
      </c>
      <c r="AP15709" s="4" t="s">
        <v>376</v>
      </c>
      <c r="AR15709" s="4" t="s">
        <v>377</v>
      </c>
    </row>
    <row r="15710" spans="1:44">
      <c r="A15710" s="4" t="s">
        <v>10753</v>
      </c>
      <c r="B15710" s="4">
        <v>249295</v>
      </c>
      <c r="D15710" s="5" t="s">
        <v>19071</v>
      </c>
      <c r="E15710" s="6" t="str">
        <f>HYPERLINK("https://inpn.mnhn.fr/espece/cd_nom/249295","Hypena obesalis Treitschke, 1829")</f>
        <v>Hypena obesalis Treitschke, 1829</v>
      </c>
      <c r="F15710" s="5" t="s">
        <v>19072</v>
      </c>
      <c r="AH15710" s="4" t="str">
        <f>HYPERLINK("#Statut_biogéographique!A"&amp;_xlfn.XMATCH("P",Statut_biogéographique!A:A,2,1),"P")</f>
        <v>P</v>
      </c>
      <c r="AP15710" s="4" t="s">
        <v>376</v>
      </c>
      <c r="AR15710" s="4" t="s">
        <v>377</v>
      </c>
    </row>
    <row r="15711" spans="1:44">
      <c r="A15711" s="4" t="s">
        <v>10753</v>
      </c>
      <c r="B15711" s="4">
        <v>249296</v>
      </c>
      <c r="D15711" s="5" t="s">
        <v>19073</v>
      </c>
      <c r="E15711" s="6" t="str">
        <f>HYPERLINK("https://inpn.mnhn.fr/espece/cd_nom/249296","Hypena obsitalis (Hübner, 1813)")</f>
        <v>Hypena obsitalis (Hübner, 1813)</v>
      </c>
      <c r="F15711" s="5" t="s">
        <v>19074</v>
      </c>
      <c r="AH15711" s="4" t="str">
        <f>HYPERLINK("#Statut_biogéographique!A"&amp;_xlfn.XMATCH("P",Statut_biogéographique!A:A,2,1),"P")</f>
        <v>P</v>
      </c>
      <c r="AP15711" s="4" t="s">
        <v>376</v>
      </c>
      <c r="AR15711" s="4" t="s">
        <v>377</v>
      </c>
    </row>
    <row r="15712" spans="1:44">
      <c r="A15712" s="4" t="s">
        <v>10753</v>
      </c>
      <c r="B15712" s="4">
        <v>249299</v>
      </c>
      <c r="D15712" s="5" t="s">
        <v>19075</v>
      </c>
      <c r="E15712" s="6" t="str">
        <f>HYPERLINK("https://inpn.mnhn.fr/espece/cd_nom/249299","Hypena crassalis (Fabricius, 1787)")</f>
        <v>Hypena crassalis (Fabricius, 1787)</v>
      </c>
      <c r="F15712" s="5" t="s">
        <v>19076</v>
      </c>
      <c r="AH15712" s="4" t="str">
        <f>HYPERLINK("#Statut_biogéographique!A"&amp;_xlfn.XMATCH("P",Statut_biogéographique!A:A,2,1),"P")</f>
        <v>P</v>
      </c>
      <c r="AP15712" s="4" t="s">
        <v>376</v>
      </c>
      <c r="AR15712" s="4" t="s">
        <v>377</v>
      </c>
    </row>
    <row r="15713" spans="1:44">
      <c r="A15713" s="4" t="s">
        <v>10753</v>
      </c>
      <c r="B15713" s="4">
        <v>24930</v>
      </c>
      <c r="D15713" s="5" t="s">
        <v>19077</v>
      </c>
      <c r="E15713" s="6" t="str">
        <f>HYPERLINK("https://inpn.mnhn.fr/espece/cd_nom/24930","Pherbellia dubia (Fallén, 1820)")</f>
        <v>Pherbellia dubia (Fallén, 1820)</v>
      </c>
      <c r="AH15713" s="4" t="str">
        <f>HYPERLINK("#Statut_biogéographique!A"&amp;_xlfn.XMATCH("P",Statut_biogéographique!A:A,2,1),"P")</f>
        <v>P</v>
      </c>
      <c r="AP15713" s="4" t="s">
        <v>376</v>
      </c>
      <c r="AR15713" s="4" t="s">
        <v>377</v>
      </c>
    </row>
    <row r="15714" spans="1:44" ht="30">
      <c r="A15714" s="4" t="s">
        <v>10753</v>
      </c>
      <c r="B15714" s="4">
        <v>249300</v>
      </c>
      <c r="D15714" s="5" t="s">
        <v>19078</v>
      </c>
      <c r="E15714" s="6" t="str">
        <f>HYPERLINK("https://inpn.mnhn.fr/espece/cd_nom/249300","Zanclognatha lunalis (Scopoli, 1763)")</f>
        <v>Zanclognatha lunalis (Scopoli, 1763)</v>
      </c>
      <c r="F15714" s="5" t="s">
        <v>19079</v>
      </c>
      <c r="AH15714" s="4" t="str">
        <f>HYPERLINK("#Statut_biogéographique!A"&amp;_xlfn.XMATCH("P",Statut_biogéographique!A:A,2,1),"P")</f>
        <v>P</v>
      </c>
      <c r="AP15714" s="4" t="s">
        <v>376</v>
      </c>
      <c r="AR15714" s="4" t="s">
        <v>377</v>
      </c>
    </row>
    <row r="15715" spans="1:44">
      <c r="A15715" s="4" t="s">
        <v>10753</v>
      </c>
      <c r="B15715" s="4">
        <v>249301</v>
      </c>
      <c r="D15715" s="5" t="s">
        <v>19080</v>
      </c>
      <c r="E15715" s="6" t="str">
        <f>HYPERLINK("https://inpn.mnhn.fr/espece/cd_nom/249301","Zanclognatha zelleralis (Wocke, 1850)")</f>
        <v>Zanclognatha zelleralis (Wocke, 1850)</v>
      </c>
      <c r="F15715" s="5" t="s">
        <v>19081</v>
      </c>
      <c r="AH15715" s="4" t="str">
        <f>HYPERLINK("#Statut_biogéographique!A"&amp;_xlfn.XMATCH("P",Statut_biogéographique!A:A,2,1),"P")</f>
        <v>P</v>
      </c>
      <c r="AP15715" s="4" t="s">
        <v>376</v>
      </c>
      <c r="AR15715" s="4" t="s">
        <v>377</v>
      </c>
    </row>
    <row r="15716" spans="1:44">
      <c r="A15716" s="4" t="s">
        <v>10753</v>
      </c>
      <c r="B15716" s="4">
        <v>249303</v>
      </c>
      <c r="D15716" s="5" t="s">
        <v>19082</v>
      </c>
      <c r="E15716" s="6" t="str">
        <f>HYPERLINK("https://inpn.mnhn.fr/espece/cd_nom/249303","Polypogon tentacularia (Linnaeus, 1758)")</f>
        <v>Polypogon tentacularia (Linnaeus, 1758)</v>
      </c>
      <c r="F15716" s="5" t="s">
        <v>19083</v>
      </c>
      <c r="AH15716" s="4" t="str">
        <f>HYPERLINK("#Statut_biogéographique!A"&amp;_xlfn.XMATCH("P",Statut_biogéographique!A:A,2,1),"P")</f>
        <v>P</v>
      </c>
      <c r="AP15716" s="4" t="s">
        <v>376</v>
      </c>
      <c r="AR15716" s="4" t="s">
        <v>377</v>
      </c>
    </row>
    <row r="15717" spans="1:44">
      <c r="A15717" s="4" t="s">
        <v>10753</v>
      </c>
      <c r="B15717" s="4">
        <v>249305</v>
      </c>
      <c r="D15717" s="5" t="s">
        <v>19084</v>
      </c>
      <c r="E15717" s="6" t="str">
        <f>HYPERLINK("https://inpn.mnhn.fr/espece/cd_nom/249305","Polypogon plumigeralis (Hübner, 1825)")</f>
        <v>Polypogon plumigeralis (Hübner, 1825)</v>
      </c>
      <c r="F15717" s="5" t="s">
        <v>19085</v>
      </c>
      <c r="AH15717" s="4" t="str">
        <f>HYPERLINK("#Statut_biogéographique!A"&amp;_xlfn.XMATCH("P",Statut_biogéographique!A:A,2,1),"P")</f>
        <v>P</v>
      </c>
      <c r="AP15717" s="4" t="s">
        <v>376</v>
      </c>
      <c r="AR15717" s="4" t="s">
        <v>377</v>
      </c>
    </row>
    <row r="15718" spans="1:44" ht="30">
      <c r="A15718" s="4" t="s">
        <v>10753</v>
      </c>
      <c r="B15718" s="4">
        <v>249307</v>
      </c>
      <c r="D15718" s="5" t="s">
        <v>19086</v>
      </c>
      <c r="E15718" s="6" t="str">
        <f>HYPERLINK("https://inpn.mnhn.fr/espece/cd_nom/249307","Paracolax tristalis (Fabricius, 1794)")</f>
        <v>Paracolax tristalis (Fabricius, 1794)</v>
      </c>
      <c r="F15718" s="5" t="s">
        <v>19087</v>
      </c>
      <c r="AH15718" s="4" t="str">
        <f>HYPERLINK("#Statut_biogéographique!A"&amp;_xlfn.XMATCH("P",Statut_biogéographique!A:A,2,1),"P")</f>
        <v>P</v>
      </c>
      <c r="AP15718" s="4" t="s">
        <v>376</v>
      </c>
      <c r="AR15718" s="4" t="s">
        <v>377</v>
      </c>
    </row>
    <row r="15719" spans="1:44">
      <c r="A15719" s="4" t="s">
        <v>10753</v>
      </c>
      <c r="B15719" s="4">
        <v>249310</v>
      </c>
      <c r="D15719" s="5" t="s">
        <v>19088</v>
      </c>
      <c r="E15719" s="6" t="str">
        <f>HYPERLINK("https://inpn.mnhn.fr/espece/cd_nom/249310","Macrochilo cribrumalis (Hübner, 1793)")</f>
        <v>Macrochilo cribrumalis (Hübner, 1793)</v>
      </c>
      <c r="F15719" s="5" t="s">
        <v>19089</v>
      </c>
      <c r="AH15719" s="4" t="str">
        <f>HYPERLINK("#Statut_biogéographique!A"&amp;_xlfn.XMATCH("P",Statut_biogéographique!A:A,2,1),"P")</f>
        <v>P</v>
      </c>
      <c r="AP15719" s="4" t="s">
        <v>376</v>
      </c>
      <c r="AR15719" s="4" t="s">
        <v>377</v>
      </c>
    </row>
    <row r="15720" spans="1:44">
      <c r="A15720" s="4" t="s">
        <v>10753</v>
      </c>
      <c r="B15720" s="4">
        <v>249311</v>
      </c>
      <c r="D15720" s="5" t="s">
        <v>19090</v>
      </c>
      <c r="E15720" s="6" t="str">
        <f>HYPERLINK("https://inpn.mnhn.fr/espece/cd_nom/249311","Idia calvaria (Denis &amp; Schiffermüller, 1775)")</f>
        <v>Idia calvaria (Denis &amp; Schiffermüller, 1775)</v>
      </c>
      <c r="F15720" s="5" t="s">
        <v>19091</v>
      </c>
      <c r="AH15720" s="4" t="str">
        <f>HYPERLINK("#Statut_biogéographique!A"&amp;_xlfn.XMATCH("P",Statut_biogéographique!A:A,2,1),"P")</f>
        <v>P</v>
      </c>
      <c r="AP15720" s="4" t="s">
        <v>376</v>
      </c>
      <c r="AR15720" s="4" t="s">
        <v>377</v>
      </c>
    </row>
    <row r="15721" spans="1:44">
      <c r="A15721" s="4" t="s">
        <v>10753</v>
      </c>
      <c r="B15721" s="4">
        <v>249312</v>
      </c>
      <c r="D15721" s="5" t="s">
        <v>19092</v>
      </c>
      <c r="E15721" s="6" t="str">
        <f>HYPERLINK("https://inpn.mnhn.fr/espece/cd_nom/249312","Herminia tarsicrinalis (Knoch, 1782)")</f>
        <v>Herminia tarsicrinalis (Knoch, 1782)</v>
      </c>
      <c r="F15721" s="5" t="s">
        <v>19093</v>
      </c>
      <c r="AH15721" s="4" t="str">
        <f>HYPERLINK("#Statut_biogéographique!A"&amp;_xlfn.XMATCH("P",Statut_biogéographique!A:A,2,1),"P")</f>
        <v>P</v>
      </c>
      <c r="AP15721" s="4" t="s">
        <v>376</v>
      </c>
      <c r="AR15721" s="4" t="s">
        <v>377</v>
      </c>
    </row>
    <row r="15722" spans="1:44" ht="30">
      <c r="A15722" s="4" t="s">
        <v>10753</v>
      </c>
      <c r="B15722" s="4">
        <v>249313</v>
      </c>
      <c r="D15722" s="5" t="s">
        <v>19094</v>
      </c>
      <c r="E15722" s="6" t="str">
        <f>HYPERLINK("https://inpn.mnhn.fr/espece/cd_nom/249313","Herminia grisealis (Denis &amp; Schiffermüller, 1775)")</f>
        <v>Herminia grisealis (Denis &amp; Schiffermüller, 1775)</v>
      </c>
      <c r="F15722" s="5" t="s">
        <v>19095</v>
      </c>
      <c r="AH15722" s="4" t="str">
        <f>HYPERLINK("#Statut_biogéographique!A"&amp;_xlfn.XMATCH("P",Statut_biogéographique!A:A,2,1),"P")</f>
        <v>P</v>
      </c>
      <c r="AP15722" s="4" t="s">
        <v>376</v>
      </c>
      <c r="AR15722" s="4" t="s">
        <v>377</v>
      </c>
    </row>
    <row r="15723" spans="1:44">
      <c r="A15723" s="4" t="s">
        <v>10753</v>
      </c>
      <c r="B15723" s="4">
        <v>249314</v>
      </c>
      <c r="D15723" s="5" t="s">
        <v>19096</v>
      </c>
      <c r="E15723" s="6" t="str">
        <f>HYPERLINK("https://inpn.mnhn.fr/espece/cd_nom/249314","Herminia tenuialis (Rebel, 1899)")</f>
        <v>Herminia tenuialis (Rebel, 1899)</v>
      </c>
      <c r="F15723" s="5" t="s">
        <v>19097</v>
      </c>
      <c r="AH15723" s="4" t="str">
        <f>HYPERLINK("#Statut_biogéographique!A"&amp;_xlfn.XMATCH("P",Statut_biogéographique!A:A,2,1),"P")</f>
        <v>P</v>
      </c>
      <c r="AP15723" s="4" t="s">
        <v>376</v>
      </c>
      <c r="AR15723" s="4" t="s">
        <v>377</v>
      </c>
    </row>
    <row r="15724" spans="1:44">
      <c r="A15724" s="4" t="s">
        <v>10753</v>
      </c>
      <c r="B15724" s="4">
        <v>249317</v>
      </c>
      <c r="D15724" s="5" t="s">
        <v>19098</v>
      </c>
      <c r="E15724" s="6" t="str">
        <f>HYPERLINK("https://inpn.mnhn.fr/espece/cd_nom/249317","Pyrrhia umbra (Hufnagel, 1766)")</f>
        <v>Pyrrhia umbra (Hufnagel, 1766)</v>
      </c>
      <c r="F15724" s="5" t="s">
        <v>19099</v>
      </c>
      <c r="AH15724" s="4" t="str">
        <f>HYPERLINK("#Statut_biogéographique!A"&amp;_xlfn.XMATCH("P",Statut_biogéographique!A:A,2,1),"P")</f>
        <v>P</v>
      </c>
      <c r="AP15724" s="4" t="s">
        <v>376</v>
      </c>
      <c r="AR15724" s="4" t="s">
        <v>377</v>
      </c>
    </row>
    <row r="15725" spans="1:44">
      <c r="A15725" s="4" t="s">
        <v>10753</v>
      </c>
      <c r="B15725" s="4">
        <v>249319</v>
      </c>
      <c r="D15725" s="5" t="s">
        <v>19100</v>
      </c>
      <c r="E15725" s="6" t="str">
        <f>HYPERLINK("https://inpn.mnhn.fr/espece/cd_nom/249319","Periphanes delphinii (Linnaeus, 1758)")</f>
        <v>Periphanes delphinii (Linnaeus, 1758)</v>
      </c>
      <c r="F15725" s="5" t="s">
        <v>19101</v>
      </c>
      <c r="AH15725" s="4" t="str">
        <f>HYPERLINK("#Statut_biogéographique!A"&amp;_xlfn.XMATCH("P",Statut_biogéographique!A:A,2,1),"P")</f>
        <v>P</v>
      </c>
      <c r="AP15725" s="4" t="s">
        <v>376</v>
      </c>
      <c r="AR15725" s="4" t="s">
        <v>377</v>
      </c>
    </row>
    <row r="15726" spans="1:44" ht="30">
      <c r="A15726" s="4" t="s">
        <v>10753</v>
      </c>
      <c r="B15726" s="4">
        <v>24932</v>
      </c>
      <c r="D15726" s="5" t="s">
        <v>19102</v>
      </c>
      <c r="E15726" s="6" t="str">
        <f>HYPERLINK("https://inpn.mnhn.fr/espece/cd_nom/24932","Pherbellia griseola (Fallén, 1820)")</f>
        <v>Pherbellia griseola (Fallén, 1820)</v>
      </c>
      <c r="AH15726" s="4" t="str">
        <f>HYPERLINK("#Statut_biogéographique!A"&amp;_xlfn.XMATCH("P",Statut_biogéographique!A:A,2,1),"P")</f>
        <v>P</v>
      </c>
      <c r="AP15726" s="4" t="s">
        <v>376</v>
      </c>
      <c r="AR15726" s="4" t="s">
        <v>377</v>
      </c>
    </row>
    <row r="15727" spans="1:44" ht="30">
      <c r="A15727" s="4" t="s">
        <v>10753</v>
      </c>
      <c r="B15727" s="4">
        <v>249320</v>
      </c>
      <c r="D15727" s="5" t="s">
        <v>19103</v>
      </c>
      <c r="E15727" s="6" t="str">
        <f>HYPERLINK("https://inpn.mnhn.fr/espece/cd_nom/249320","Heliothis viriplaca (Hufnagel, 1766)")</f>
        <v>Heliothis viriplaca (Hufnagel, 1766)</v>
      </c>
      <c r="F15727" s="5" t="s">
        <v>19104</v>
      </c>
      <c r="AH15727" s="4" t="str">
        <f>HYPERLINK("#Statut_biogéographique!A"&amp;_xlfn.XMATCH("P",Statut_biogéographique!A:A,2,1),"P")</f>
        <v>P</v>
      </c>
      <c r="AP15727" s="4" t="s">
        <v>376</v>
      </c>
      <c r="AR15727" s="4" t="s">
        <v>377</v>
      </c>
    </row>
    <row r="15728" spans="1:44" ht="30">
      <c r="A15728" s="4" t="s">
        <v>10753</v>
      </c>
      <c r="B15728" s="4">
        <v>249322</v>
      </c>
      <c r="D15728" s="5" t="s">
        <v>19105</v>
      </c>
      <c r="E15728" s="6" t="str">
        <f>HYPERLINK("https://inpn.mnhn.fr/espece/cd_nom/249322","Heliothis ononis (Denis &amp; Schiffermüller, 1775)")</f>
        <v>Heliothis ononis (Denis &amp; Schiffermüller, 1775)</v>
      </c>
      <c r="F15728" s="5" t="s">
        <v>19106</v>
      </c>
      <c r="AH15728" s="4" t="str">
        <f>HYPERLINK("#Statut_biogéographique!A"&amp;_xlfn.XMATCH("P",Statut_biogéographique!A:A,2,1),"P")</f>
        <v>P</v>
      </c>
      <c r="AP15728" s="4" t="s">
        <v>376</v>
      </c>
      <c r="AR15728" s="4" t="s">
        <v>377</v>
      </c>
    </row>
    <row r="15729" spans="1:44" ht="30">
      <c r="A15729" s="4" t="s">
        <v>10753</v>
      </c>
      <c r="B15729" s="4">
        <v>249323</v>
      </c>
      <c r="D15729" s="5" t="s">
        <v>19107</v>
      </c>
      <c r="E15729" s="6" t="str">
        <f>HYPERLINK("https://inpn.mnhn.fr/espece/cd_nom/249323","Heliothis peltigera (Denis &amp; Schiffermüller, 1775)")</f>
        <v>Heliothis peltigera (Denis &amp; Schiffermüller, 1775)</v>
      </c>
      <c r="F15729" s="5" t="s">
        <v>19108</v>
      </c>
      <c r="AH15729" s="4" t="str">
        <f>HYPERLINK("#Statut_biogéographique!A"&amp;_xlfn.XMATCH("P",Statut_biogéographique!A:A,2,1),"P")</f>
        <v>P</v>
      </c>
      <c r="AP15729" s="4" t="s">
        <v>376</v>
      </c>
      <c r="AR15729" s="4" t="s">
        <v>377</v>
      </c>
    </row>
    <row r="15730" spans="1:44">
      <c r="A15730" s="4" t="s">
        <v>10753</v>
      </c>
      <c r="B15730" s="4">
        <v>249325</v>
      </c>
      <c r="D15730" s="5" t="s">
        <v>19109</v>
      </c>
      <c r="E15730" s="6" t="str">
        <f>HYPERLINK("https://inpn.mnhn.fr/espece/cd_nom/249325","Helicoverpa armigera (Hübner, 1808)")</f>
        <v>Helicoverpa armigera (Hübner, 1808)</v>
      </c>
      <c r="F15730" s="5" t="s">
        <v>19110</v>
      </c>
      <c r="AH15730" s="4" t="str">
        <f>HYPERLINK("#Statut_biogéographique!A"&amp;_xlfn.XMATCH("P",Statut_biogéographique!A:A,2,1),"P")</f>
        <v>P</v>
      </c>
      <c r="AP15730" s="4" t="s">
        <v>376</v>
      </c>
      <c r="AR15730" s="4" t="s">
        <v>377</v>
      </c>
    </row>
    <row r="15731" spans="1:44" ht="30">
      <c r="A15731" s="4" t="s">
        <v>10753</v>
      </c>
      <c r="B15731" s="4">
        <v>249327</v>
      </c>
      <c r="D15731" s="5" t="s">
        <v>19111</v>
      </c>
      <c r="E15731" s="6" t="str">
        <f>HYPERLINK("https://inpn.mnhn.fr/espece/cd_nom/249327","Panemeria tenebrata (Scopoli, 1763)")</f>
        <v>Panemeria tenebrata (Scopoli, 1763)</v>
      </c>
      <c r="F15731" s="5" t="s">
        <v>19112</v>
      </c>
      <c r="AH15731" s="4" t="str">
        <f>HYPERLINK("#Statut_biogéographique!A"&amp;_xlfn.XMATCH("P",Statut_biogéographique!A:A,2,1),"P")</f>
        <v>P</v>
      </c>
      <c r="AP15731" s="4" t="s">
        <v>376</v>
      </c>
      <c r="AR15731" s="4" t="s">
        <v>377</v>
      </c>
    </row>
    <row r="15732" spans="1:44">
      <c r="A15732" s="4" t="s">
        <v>10753</v>
      </c>
      <c r="B15732" s="4">
        <v>249329</v>
      </c>
      <c r="D15732" s="5" t="s">
        <v>19113</v>
      </c>
      <c r="E15732" s="6" t="str">
        <f>HYPERLINK("https://inpn.mnhn.fr/espece/cd_nom/249329","Elaphria venustula (Hübner, 1790)")</f>
        <v>Elaphria venustula (Hübner, 1790)</v>
      </c>
      <c r="F15732" s="5" t="s">
        <v>19114</v>
      </c>
      <c r="AH15732" s="4" t="str">
        <f>HYPERLINK("#Statut_biogéographique!A"&amp;_xlfn.XMATCH("P",Statut_biogéographique!A:A,2,1),"P")</f>
        <v>P</v>
      </c>
      <c r="AP15732" s="4" t="s">
        <v>376</v>
      </c>
      <c r="AR15732" s="4" t="s">
        <v>377</v>
      </c>
    </row>
    <row r="15733" spans="1:44">
      <c r="A15733" s="4" t="s">
        <v>10753</v>
      </c>
      <c r="B15733" s="4">
        <v>249330</v>
      </c>
      <c r="D15733" s="5" t="s">
        <v>19115</v>
      </c>
      <c r="E15733" s="6" t="str">
        <f>HYPERLINK("https://inpn.mnhn.fr/espece/cd_nom/249330","Sedina buettneri (E. Hering, 1858)")</f>
        <v>Sedina buettneri (E. Hering, 1858)</v>
      </c>
      <c r="F15733" s="5" t="s">
        <v>19116</v>
      </c>
      <c r="AH15733" s="4" t="str">
        <f>HYPERLINK("#Statut_biogéographique!A"&amp;_xlfn.XMATCH("P",Statut_biogéographique!A:A,2,1),"P")</f>
        <v>P</v>
      </c>
      <c r="AP15733" s="4" t="s">
        <v>376</v>
      </c>
      <c r="AR15733" s="4" t="s">
        <v>377</v>
      </c>
    </row>
    <row r="15734" spans="1:44">
      <c r="A15734" s="4" t="s">
        <v>10753</v>
      </c>
      <c r="B15734" s="4">
        <v>249331</v>
      </c>
      <c r="D15734" s="5" t="s">
        <v>19117</v>
      </c>
      <c r="E15734" s="6" t="str">
        <f>HYPERLINK("https://inpn.mnhn.fr/espece/cd_nom/249331","Rhizedra lutosa (Hübner, 1803)")</f>
        <v>Rhizedra lutosa (Hübner, 1803)</v>
      </c>
      <c r="F15734" s="5" t="s">
        <v>19118</v>
      </c>
      <c r="AH15734" s="4" t="str">
        <f>HYPERLINK("#Statut_biogéographique!A"&amp;_xlfn.XMATCH("P",Statut_biogéographique!A:A,2,1),"P")</f>
        <v>P</v>
      </c>
      <c r="AP15734" s="4" t="s">
        <v>376</v>
      </c>
      <c r="AR15734" s="4" t="s">
        <v>377</v>
      </c>
    </row>
    <row r="15735" spans="1:44">
      <c r="A15735" s="4" t="s">
        <v>10753</v>
      </c>
      <c r="B15735" s="4">
        <v>249334</v>
      </c>
      <c r="D15735" s="5" t="s">
        <v>19119</v>
      </c>
      <c r="E15735" s="6" t="str">
        <f>HYPERLINK("https://inpn.mnhn.fr/espece/cd_nom/249334","Photedes minima (Haworth, 1809)")</f>
        <v>Photedes minima (Haworth, 1809)</v>
      </c>
      <c r="F15735" s="5" t="s">
        <v>19120</v>
      </c>
      <c r="AH15735" s="4" t="str">
        <f>HYPERLINK("#Statut_biogéographique!A"&amp;_xlfn.XMATCH("P",Statut_biogéographique!A:A,2,1),"P")</f>
        <v>P</v>
      </c>
      <c r="AP15735" s="4" t="s">
        <v>376</v>
      </c>
      <c r="AR15735" s="4" t="s">
        <v>377</v>
      </c>
    </row>
    <row r="15736" spans="1:44">
      <c r="A15736" s="4" t="s">
        <v>10753</v>
      </c>
      <c r="B15736" s="4">
        <v>249335</v>
      </c>
      <c r="D15736" s="5" t="s">
        <v>19121</v>
      </c>
      <c r="E15736" s="6" t="str">
        <f>HYPERLINK("https://inpn.mnhn.fr/espece/cd_nom/249335","Oria musculosa (Hübner, 1808)")</f>
        <v>Oria musculosa (Hübner, 1808)</v>
      </c>
      <c r="F15736" s="5" t="s">
        <v>19122</v>
      </c>
      <c r="AH15736" s="4" t="str">
        <f>HYPERLINK("#Statut_biogéographique!A"&amp;_xlfn.XMATCH("P",Statut_biogéographique!A:A,2,1),"P")</f>
        <v>P</v>
      </c>
      <c r="AP15736" s="4" t="s">
        <v>376</v>
      </c>
      <c r="AR15736" s="4" t="s">
        <v>377</v>
      </c>
    </row>
    <row r="15737" spans="1:44" ht="30">
      <c r="A15737" s="4" t="s">
        <v>10753</v>
      </c>
      <c r="B15737" s="4">
        <v>249337</v>
      </c>
      <c r="D15737" s="5" t="s">
        <v>19123</v>
      </c>
      <c r="E15737" s="6" t="str">
        <f>HYPERLINK("https://inpn.mnhn.fr/espece/cd_nom/249337","Oligia strigilis (Linnaeus, 1758)")</f>
        <v>Oligia strigilis (Linnaeus, 1758)</v>
      </c>
      <c r="F15737" s="5" t="s">
        <v>19124</v>
      </c>
      <c r="AH15737" s="4" t="str">
        <f>HYPERLINK("#Statut_biogéographique!A"&amp;_xlfn.XMATCH("P",Statut_biogéographique!A:A,2,1),"P")</f>
        <v>P</v>
      </c>
      <c r="AP15737" s="4" t="s">
        <v>376</v>
      </c>
      <c r="AR15737" s="4" t="s">
        <v>377</v>
      </c>
    </row>
    <row r="15738" spans="1:44">
      <c r="A15738" s="4" t="s">
        <v>10753</v>
      </c>
      <c r="B15738" s="4">
        <v>249338</v>
      </c>
      <c r="D15738" s="5" t="s">
        <v>19125</v>
      </c>
      <c r="E15738" s="6" t="str">
        <f>HYPERLINK("https://inpn.mnhn.fr/espece/cd_nom/249338","Oligia versicolor (Borkhausen, 1792)")</f>
        <v>Oligia versicolor (Borkhausen, 1792)</v>
      </c>
      <c r="F15738" s="5" t="s">
        <v>19126</v>
      </c>
      <c r="AH15738" s="4" t="str">
        <f>HYPERLINK("#Statut_biogéographique!A"&amp;_xlfn.XMATCH("P",Statut_biogéographique!A:A,2,1),"P")</f>
        <v>P</v>
      </c>
      <c r="AP15738" s="4" t="s">
        <v>376</v>
      </c>
      <c r="AR15738" s="4" t="s">
        <v>377</v>
      </c>
    </row>
    <row r="15739" spans="1:44" ht="30">
      <c r="A15739" s="4" t="s">
        <v>10753</v>
      </c>
      <c r="B15739" s="4">
        <v>249339</v>
      </c>
      <c r="D15739" s="5" t="s">
        <v>19127</v>
      </c>
      <c r="E15739" s="6" t="str">
        <f>HYPERLINK("https://inpn.mnhn.fr/espece/cd_nom/249339","Oligia latruncula (Denis &amp; Schiffermüller, 1775)")</f>
        <v>Oligia latruncula (Denis &amp; Schiffermüller, 1775)</v>
      </c>
      <c r="F15739" s="5" t="s">
        <v>19128</v>
      </c>
      <c r="AH15739" s="4" t="str">
        <f>HYPERLINK("#Statut_biogéographique!A"&amp;_xlfn.XMATCH("P",Statut_biogéographique!A:A,2,1),"P")</f>
        <v>P</v>
      </c>
      <c r="AP15739" s="4" t="s">
        <v>376</v>
      </c>
      <c r="AR15739" s="4" t="s">
        <v>377</v>
      </c>
    </row>
    <row r="15740" spans="1:44">
      <c r="A15740" s="4" t="s">
        <v>10753</v>
      </c>
      <c r="B15740" s="4">
        <v>249340</v>
      </c>
      <c r="D15740" s="5" t="s">
        <v>19129</v>
      </c>
      <c r="E15740" s="6" t="str">
        <f>HYPERLINK("https://inpn.mnhn.fr/espece/cd_nom/249340","Oligia fasciuncula (Haworth, 1809)")</f>
        <v>Oligia fasciuncula (Haworth, 1809)</v>
      </c>
      <c r="F15740" s="5" t="s">
        <v>19130</v>
      </c>
      <c r="AH15740" s="4" t="str">
        <f>HYPERLINK("#Statut_biogéographique!A"&amp;_xlfn.XMATCH("P",Statut_biogéographique!A:A,2,1),"P")</f>
        <v>P</v>
      </c>
      <c r="AP15740" s="4" t="s">
        <v>376</v>
      </c>
      <c r="AR15740" s="4" t="s">
        <v>377</v>
      </c>
    </row>
    <row r="15741" spans="1:44">
      <c r="A15741" s="4" t="s">
        <v>10753</v>
      </c>
      <c r="B15741" s="4">
        <v>249341</v>
      </c>
      <c r="D15741" s="5" t="s">
        <v>19131</v>
      </c>
      <c r="E15741" s="6" t="str">
        <f>HYPERLINK("https://inpn.mnhn.fr/espece/cd_nom/249341","Nonagria typhae (Thunberg, 1784)")</f>
        <v>Nonagria typhae (Thunberg, 1784)</v>
      </c>
      <c r="F15741" s="5" t="s">
        <v>19132</v>
      </c>
      <c r="AH15741" s="4" t="str">
        <f>HYPERLINK("#Statut_biogéographique!A"&amp;_xlfn.XMATCH("P",Statut_biogéographique!A:A,2,1),"P")</f>
        <v>P</v>
      </c>
      <c r="AP15741" s="4" t="s">
        <v>376</v>
      </c>
      <c r="AR15741" s="4" t="s">
        <v>377</v>
      </c>
    </row>
    <row r="15742" spans="1:44" ht="30">
      <c r="A15742" s="4" t="s">
        <v>10753</v>
      </c>
      <c r="B15742" s="4">
        <v>249342</v>
      </c>
      <c r="D15742" s="5" t="s">
        <v>19133</v>
      </c>
      <c r="E15742" s="6" t="str">
        <f>HYPERLINK("https://inpn.mnhn.fr/espece/cd_nom/249342","Mesoligia furuncula (Denis &amp; Schiffermüller, 1775)")</f>
        <v>Mesoligia furuncula (Denis &amp; Schiffermüller, 1775)</v>
      </c>
      <c r="F15742" s="5" t="s">
        <v>19134</v>
      </c>
      <c r="AH15742" s="4" t="str">
        <f>HYPERLINK("#Statut_biogéographique!A"&amp;_xlfn.XMATCH("P",Statut_biogéographique!A:A,2,1),"P")</f>
        <v>P</v>
      </c>
      <c r="AP15742" s="4" t="s">
        <v>376</v>
      </c>
      <c r="AR15742" s="4" t="s">
        <v>377</v>
      </c>
    </row>
    <row r="15743" spans="1:44" ht="30">
      <c r="A15743" s="4" t="s">
        <v>10753</v>
      </c>
      <c r="B15743" s="4">
        <v>249344</v>
      </c>
      <c r="D15743" s="5" t="s">
        <v>19135</v>
      </c>
      <c r="E15743" s="6" t="str">
        <f>HYPERLINK("https://inpn.mnhn.fr/espece/cd_nom/249344","Mesapamea secalis (Linnaeus, 1758)")</f>
        <v>Mesapamea secalis (Linnaeus, 1758)</v>
      </c>
      <c r="F15743" s="5" t="s">
        <v>19136</v>
      </c>
      <c r="AH15743" s="4" t="str">
        <f>HYPERLINK("#Statut_biogéographique!A"&amp;_xlfn.XMATCH("P",Statut_biogéographique!A:A,2,1),"P")</f>
        <v>P</v>
      </c>
      <c r="AP15743" s="4" t="s">
        <v>376</v>
      </c>
      <c r="AR15743" s="4" t="s">
        <v>377</v>
      </c>
    </row>
    <row r="15744" spans="1:44" ht="30">
      <c r="A15744" s="4" t="s">
        <v>10753</v>
      </c>
      <c r="B15744" s="4">
        <v>249347</v>
      </c>
      <c r="D15744" s="5" t="s">
        <v>19137</v>
      </c>
      <c r="E15744" s="6" t="str">
        <f>HYPERLINK("https://inpn.mnhn.fr/espece/cd_nom/249347","Luperina testacea (Denis &amp; Schiffermüller, 1775)")</f>
        <v>Luperina testacea (Denis &amp; Schiffermüller, 1775)</v>
      </c>
      <c r="F15744" s="5" t="s">
        <v>19138</v>
      </c>
      <c r="AH15744" s="4" t="str">
        <f>HYPERLINK("#Statut_biogéographique!A"&amp;_xlfn.XMATCH("P",Statut_biogéographique!A:A,2,1),"P")</f>
        <v>P</v>
      </c>
      <c r="AP15744" s="4" t="s">
        <v>376</v>
      </c>
      <c r="AR15744" s="4" t="s">
        <v>377</v>
      </c>
    </row>
    <row r="15745" spans="1:44">
      <c r="A15745" s="4" t="s">
        <v>10753</v>
      </c>
      <c r="B15745" s="4">
        <v>249349</v>
      </c>
      <c r="D15745" s="5" t="s">
        <v>19139</v>
      </c>
      <c r="E15745" s="6" t="str">
        <f>HYPERLINK("https://inpn.mnhn.fr/espece/cd_nom/249349","Luperina dumerilii (Duponchel, 1827)")</f>
        <v>Luperina dumerilii (Duponchel, 1827)</v>
      </c>
      <c r="F15745" s="5" t="s">
        <v>19140</v>
      </c>
      <c r="AH15745" s="4" t="str">
        <f>HYPERLINK("#Statut_biogéographique!A"&amp;_xlfn.XMATCH("P",Statut_biogéographique!A:A,2,1),"P")</f>
        <v>P</v>
      </c>
      <c r="AP15745" s="4" t="s">
        <v>376</v>
      </c>
      <c r="AR15745" s="4" t="s">
        <v>377</v>
      </c>
    </row>
    <row r="15746" spans="1:44">
      <c r="A15746" s="4" t="s">
        <v>10753</v>
      </c>
      <c r="B15746" s="4">
        <v>24935</v>
      </c>
      <c r="D15746" s="5" t="s">
        <v>19141</v>
      </c>
      <c r="E15746" s="6" t="str">
        <f>HYPERLINK("https://inpn.mnhn.fr/espece/cd_nom/24935","Pherbellia limbata (Meigen, 1830)")</f>
        <v>Pherbellia limbata (Meigen, 1830)</v>
      </c>
      <c r="AH15746" s="4" t="str">
        <f>HYPERLINK("#Statut_biogéographique!A"&amp;_xlfn.XMATCH("P",Statut_biogéographique!A:A,2,1),"P")</f>
        <v>P</v>
      </c>
      <c r="AP15746" s="4" t="s">
        <v>376</v>
      </c>
      <c r="AR15746" s="4" t="s">
        <v>377</v>
      </c>
    </row>
    <row r="15747" spans="1:44">
      <c r="A15747" s="4" t="s">
        <v>10753</v>
      </c>
      <c r="B15747" s="4">
        <v>249351</v>
      </c>
      <c r="D15747" s="5" t="s">
        <v>19142</v>
      </c>
      <c r="E15747" s="6" t="str">
        <f>HYPERLINK("https://inpn.mnhn.fr/espece/cd_nom/249351","Hydraecia micacea (Esper, 1789)")</f>
        <v>Hydraecia micacea (Esper, 1789)</v>
      </c>
      <c r="F15747" s="5" t="s">
        <v>19143</v>
      </c>
      <c r="AH15747" s="4" t="str">
        <f>HYPERLINK("#Statut_biogéographique!A"&amp;_xlfn.XMATCH("P",Statut_biogéographique!A:A,2,1),"P")</f>
        <v>P</v>
      </c>
      <c r="AP15747" s="4" t="s">
        <v>376</v>
      </c>
      <c r="AR15747" s="4" t="s">
        <v>377</v>
      </c>
    </row>
    <row r="15748" spans="1:44">
      <c r="A15748" s="4" t="s">
        <v>10753</v>
      </c>
      <c r="B15748" s="4">
        <v>249352</v>
      </c>
      <c r="D15748" s="5" t="s">
        <v>19144</v>
      </c>
      <c r="E15748" s="6" t="str">
        <f>HYPERLINK("https://inpn.mnhn.fr/espece/cd_nom/249352","Hydraecia petasitis Doubleday, 1847")</f>
        <v>Hydraecia petasitis Doubleday, 1847</v>
      </c>
      <c r="F15748" s="5" t="s">
        <v>19145</v>
      </c>
      <c r="AH15748" s="4" t="str">
        <f>HYPERLINK("#Statut_biogéographique!A"&amp;_xlfn.XMATCH("P",Statut_biogéographique!A:A,2,1),"P")</f>
        <v>P</v>
      </c>
      <c r="AP15748" s="4" t="s">
        <v>376</v>
      </c>
      <c r="AR15748" s="4" t="s">
        <v>377</v>
      </c>
    </row>
    <row r="15749" spans="1:44" ht="30">
      <c r="A15749" s="4" t="s">
        <v>10753</v>
      </c>
      <c r="B15749" s="4">
        <v>249354</v>
      </c>
      <c r="D15749" s="5" t="s">
        <v>19146</v>
      </c>
      <c r="E15749" s="6" t="str">
        <f>HYPERLINK("https://inpn.mnhn.fr/espece/cd_nom/249354","Gortyna flavago (Denis &amp; Schiffermüller, 1775)")</f>
        <v>Gortyna flavago (Denis &amp; Schiffermüller, 1775)</v>
      </c>
      <c r="F15749" s="5" t="s">
        <v>19147</v>
      </c>
      <c r="AH15749" s="4" t="str">
        <f>HYPERLINK("#Statut_biogéographique!A"&amp;_xlfn.XMATCH("P",Statut_biogéographique!A:A,2,1),"P")</f>
        <v>P</v>
      </c>
      <c r="AP15749" s="4" t="s">
        <v>376</v>
      </c>
      <c r="AR15749" s="4" t="s">
        <v>377</v>
      </c>
    </row>
    <row r="15750" spans="1:44" ht="30">
      <c r="A15750" s="4" t="s">
        <v>10753</v>
      </c>
      <c r="B15750" s="4">
        <v>249360</v>
      </c>
      <c r="D15750" s="5" t="s">
        <v>19148</v>
      </c>
      <c r="E15750" s="6" t="str">
        <f>HYPERLINK("https://inpn.mnhn.fr/espece/cd_nom/249360","Eremobia ochroleuca (Denis &amp; Schiffermüller, 1775)")</f>
        <v>Eremobia ochroleuca (Denis &amp; Schiffermüller, 1775)</v>
      </c>
      <c r="F15750" s="5" t="s">
        <v>19149</v>
      </c>
      <c r="AH15750" s="4" t="str">
        <f>HYPERLINK("#Statut_biogéographique!A"&amp;_xlfn.XMATCH("P",Statut_biogéographique!A:A,2,1),"P")</f>
        <v>P</v>
      </c>
      <c r="AP15750" s="4" t="s">
        <v>376</v>
      </c>
      <c r="AR15750" s="4" t="s">
        <v>377</v>
      </c>
    </row>
    <row r="15751" spans="1:44">
      <c r="A15751" s="4" t="s">
        <v>10753</v>
      </c>
      <c r="B15751" s="4">
        <v>249361</v>
      </c>
      <c r="D15751" s="5" t="s">
        <v>19150</v>
      </c>
      <c r="E15751" s="6" t="str">
        <f>HYPERLINK("https://inpn.mnhn.fr/espece/cd_nom/249361","Coenobia rufa (Haworth, 1809)")</f>
        <v>Coenobia rufa (Haworth, 1809)</v>
      </c>
      <c r="F15751" s="5" t="s">
        <v>19151</v>
      </c>
      <c r="AH15751" s="4" t="str">
        <f>HYPERLINK("#Statut_biogéographique!A"&amp;_xlfn.XMATCH("P",Statut_biogéographique!A:A,2,1),"P")</f>
        <v>P</v>
      </c>
      <c r="AP15751" s="4" t="s">
        <v>376</v>
      </c>
      <c r="AR15751" s="4" t="s">
        <v>377</v>
      </c>
    </row>
    <row r="15752" spans="1:44">
      <c r="A15752" s="4" t="s">
        <v>10753</v>
      </c>
      <c r="B15752" s="4">
        <v>249369</v>
      </c>
      <c r="D15752" s="5" t="s">
        <v>19152</v>
      </c>
      <c r="E15752" s="6" t="str">
        <f>HYPERLINK("https://inpn.mnhn.fr/espece/cd_nom/249369","Celaena haworthii (Curtis, 1829)")</f>
        <v>Celaena haworthii (Curtis, 1829)</v>
      </c>
      <c r="F15752" s="5" t="s">
        <v>19153</v>
      </c>
      <c r="AH15752" s="4" t="str">
        <f>HYPERLINK("#Statut_biogéographique!A"&amp;_xlfn.XMATCH("P",Statut_biogéographique!A:A,2,1),"P")</f>
        <v>P</v>
      </c>
      <c r="AP15752" s="4" t="s">
        <v>376</v>
      </c>
      <c r="AR15752" s="4" t="s">
        <v>377</v>
      </c>
    </row>
    <row r="15753" spans="1:44">
      <c r="A15753" s="4" t="s">
        <v>10753</v>
      </c>
      <c r="B15753" s="4">
        <v>249372</v>
      </c>
      <c r="D15753" s="5" t="s">
        <v>19154</v>
      </c>
      <c r="E15753" s="6" t="str">
        <f>HYPERLINK("https://inpn.mnhn.fr/espece/cd_nom/249372","Polymixis xanthomista (Hübner, 1819)")</f>
        <v>Polymixis xanthomista (Hübner, 1819)</v>
      </c>
      <c r="F15753" s="5" t="s">
        <v>19155</v>
      </c>
      <c r="AH15753" s="4" t="str">
        <f>HYPERLINK("#Statut_biogéographique!A"&amp;_xlfn.XMATCH("P",Statut_biogéographique!A:A,2,1),"P")</f>
        <v>P</v>
      </c>
      <c r="AP15753" s="4" t="s">
        <v>376</v>
      </c>
      <c r="AR15753" s="4" t="s">
        <v>377</v>
      </c>
    </row>
    <row r="15754" spans="1:44">
      <c r="A15754" s="4" t="s">
        <v>10753</v>
      </c>
      <c r="B15754" s="4">
        <v>249373</v>
      </c>
      <c r="D15754" s="5" t="s">
        <v>19156</v>
      </c>
      <c r="E15754" s="6" t="str">
        <f>HYPERLINK("https://inpn.mnhn.fr/espece/cd_nom/249373","Polymixis argillaceago (Hübner, 1822)")</f>
        <v>Polymixis argillaceago (Hübner, 1822)</v>
      </c>
      <c r="F15754" s="5" t="s">
        <v>19157</v>
      </c>
      <c r="AH15754" s="4" t="str">
        <f>HYPERLINK("#Statut_biogéographique!A"&amp;_xlfn.XMATCH("P",Statut_biogéographique!A:A,2,1),"P")</f>
        <v>P</v>
      </c>
      <c r="AP15754" s="4" t="s">
        <v>376</v>
      </c>
      <c r="AR15754" s="4" t="s">
        <v>377</v>
      </c>
    </row>
    <row r="15755" spans="1:44">
      <c r="A15755" s="4" t="s">
        <v>10753</v>
      </c>
      <c r="B15755" s="4">
        <v>249374</v>
      </c>
      <c r="D15755" s="5" t="s">
        <v>19158</v>
      </c>
      <c r="E15755" s="6" t="str">
        <f>HYPERLINK("https://inpn.mnhn.fr/espece/cd_nom/249374","Polymixis lichenea (Hübner, 1813)")</f>
        <v>Polymixis lichenea (Hübner, 1813)</v>
      </c>
      <c r="F15755" s="5" t="s">
        <v>19159</v>
      </c>
      <c r="AH15755" s="4" t="str">
        <f>HYPERLINK("#Statut_biogéographique!A"&amp;_xlfn.XMATCH("P",Statut_biogéographique!A:A,2,1),"P")</f>
        <v>P</v>
      </c>
      <c r="AP15755" s="4" t="s">
        <v>376</v>
      </c>
      <c r="AR15755" s="4" t="s">
        <v>377</v>
      </c>
    </row>
    <row r="15756" spans="1:44" ht="30">
      <c r="A15756" s="4" t="s">
        <v>10753</v>
      </c>
      <c r="B15756" s="4">
        <v>249375</v>
      </c>
      <c r="D15756" s="5" t="s">
        <v>19160</v>
      </c>
      <c r="E15756" s="6" t="str">
        <f>HYPERLINK("https://inpn.mnhn.fr/espece/cd_nom/249375","Polymixis flavicincta (Denis &amp; Schiffermüller, 1775)")</f>
        <v>Polymixis flavicincta (Denis &amp; Schiffermüller, 1775)</v>
      </c>
      <c r="F15756" s="5" t="s">
        <v>19161</v>
      </c>
      <c r="AH15756" s="4" t="str">
        <f>HYPERLINK("#Statut_biogéographique!A"&amp;_xlfn.XMATCH("P",Statut_biogéographique!A:A,2,1),"P")</f>
        <v>P</v>
      </c>
      <c r="AP15756" s="4" t="s">
        <v>376</v>
      </c>
      <c r="AR15756" s="4" t="s">
        <v>377</v>
      </c>
    </row>
    <row r="15757" spans="1:44">
      <c r="A15757" s="4" t="s">
        <v>10753</v>
      </c>
      <c r="B15757" s="4">
        <v>249376</v>
      </c>
      <c r="D15757" s="5" t="s">
        <v>19162</v>
      </c>
      <c r="E15757" s="6" t="str">
        <f>HYPERLINK("https://inpn.mnhn.fr/espece/cd_nom/249376","Polymixis rufocincta (Geyer, 1828)")</f>
        <v>Polymixis rufocincta (Geyer, 1828)</v>
      </c>
      <c r="F15757" s="5" t="s">
        <v>19163</v>
      </c>
      <c r="AH15757" s="4" t="str">
        <f>HYPERLINK("#Statut_biogéographique!A"&amp;_xlfn.XMATCH("P",Statut_biogéographique!A:A,2,1),"P")</f>
        <v>P</v>
      </c>
      <c r="AP15757" s="4" t="s">
        <v>376</v>
      </c>
      <c r="AR15757" s="4" t="s">
        <v>377</v>
      </c>
    </row>
    <row r="15758" spans="1:44">
      <c r="A15758" s="4" t="s">
        <v>10753</v>
      </c>
      <c r="B15758" s="4">
        <v>249377</v>
      </c>
      <c r="D15758" s="5" t="s">
        <v>19164</v>
      </c>
      <c r="E15758" s="6" t="str">
        <f>HYPERLINK("https://inpn.mnhn.fr/espece/cd_nom/249377","Polymixis dubia (Duponchel, 1838)")</f>
        <v>Polymixis dubia (Duponchel, 1838)</v>
      </c>
      <c r="F15758" s="5" t="s">
        <v>19165</v>
      </c>
      <c r="AH15758" s="4" t="str">
        <f>HYPERLINK("#Statut_biogéographique!A"&amp;_xlfn.XMATCH("P",Statut_biogéographique!A:A,2,1),"P")</f>
        <v>P</v>
      </c>
      <c r="AP15758" s="4" t="s">
        <v>376</v>
      </c>
      <c r="AR15758" s="4" t="s">
        <v>377</v>
      </c>
    </row>
    <row r="15759" spans="1:44">
      <c r="A15759" s="4" t="s">
        <v>10753</v>
      </c>
      <c r="B15759" s="4">
        <v>249378</v>
      </c>
      <c r="D15759" s="5" t="s">
        <v>19166</v>
      </c>
      <c r="E15759" s="6" t="str">
        <f>HYPERLINK("https://inpn.mnhn.fr/espece/cd_nom/249378","Calamia tridens (Hufnagel, 1766)")</f>
        <v>Calamia tridens (Hufnagel, 1766)</v>
      </c>
      <c r="F15759" s="5" t="s">
        <v>19167</v>
      </c>
      <c r="AH15759" s="4" t="str">
        <f>HYPERLINK("#Statut_biogéographique!A"&amp;_xlfn.XMATCH("P",Statut_biogéographique!A:A,2,1),"P")</f>
        <v>P</v>
      </c>
      <c r="AP15759" s="4" t="s">
        <v>376</v>
      </c>
      <c r="AR15759" s="4" t="s">
        <v>377</v>
      </c>
    </row>
    <row r="15760" spans="1:44">
      <c r="A15760" s="4" t="s">
        <v>10753</v>
      </c>
      <c r="B15760" s="4">
        <v>24938</v>
      </c>
      <c r="D15760" s="5" t="s">
        <v>19168</v>
      </c>
      <c r="E15760" s="6" t="str">
        <f>HYPERLINK("https://inpn.mnhn.fr/espece/cd_nom/24938","Pherbellia obtusa (Fallén, 1820)")</f>
        <v>Pherbellia obtusa (Fallén, 1820)</v>
      </c>
      <c r="AH15760" s="4" t="str">
        <f>HYPERLINK("#Statut_biogéographique!A"&amp;_xlfn.XMATCH("P",Statut_biogéographique!A:A,2,1),"P")</f>
        <v>P</v>
      </c>
      <c r="AP15760" s="4" t="s">
        <v>376</v>
      </c>
      <c r="AR15760" s="4" t="s">
        <v>377</v>
      </c>
    </row>
    <row r="15761" spans="1:44">
      <c r="A15761" s="4" t="s">
        <v>10753</v>
      </c>
      <c r="B15761" s="4">
        <v>249381</v>
      </c>
      <c r="D15761" s="5" t="s">
        <v>19169</v>
      </c>
      <c r="E15761" s="6" t="str">
        <f>HYPERLINK("https://inpn.mnhn.fr/espece/cd_nom/249381","Archanara neurica (Hübner, 1808)")</f>
        <v>Archanara neurica (Hübner, 1808)</v>
      </c>
      <c r="F15761" s="5" t="s">
        <v>19170</v>
      </c>
      <c r="AH15761" s="4" t="str">
        <f>HYPERLINK("#Statut_biogéographique!A"&amp;_xlfn.XMATCH("P",Statut_biogéographique!A:A,2,1),"P")</f>
        <v>P</v>
      </c>
      <c r="AP15761" s="4" t="s">
        <v>376</v>
      </c>
      <c r="AR15761" s="4" t="s">
        <v>377</v>
      </c>
    </row>
    <row r="15762" spans="1:44">
      <c r="A15762" s="4" t="s">
        <v>10753</v>
      </c>
      <c r="B15762" s="4">
        <v>249382</v>
      </c>
      <c r="D15762" s="5" t="s">
        <v>19171</v>
      </c>
      <c r="E15762" s="6" t="str">
        <f>HYPERLINK("https://inpn.mnhn.fr/espece/cd_nom/249382","Archanara dissoluta (Treitschke, 1825)")</f>
        <v>Archanara dissoluta (Treitschke, 1825)</v>
      </c>
      <c r="F15762" s="5" t="s">
        <v>19172</v>
      </c>
      <c r="AH15762" s="4" t="str">
        <f>HYPERLINK("#Statut_biogéographique!A"&amp;_xlfn.XMATCH("P",Statut_biogéographique!A:A,2,1),"P")</f>
        <v>P</v>
      </c>
      <c r="AP15762" s="4" t="s">
        <v>376</v>
      </c>
      <c r="AR15762" s="4" t="s">
        <v>377</v>
      </c>
    </row>
    <row r="15763" spans="1:44" ht="30">
      <c r="A15763" s="4" t="s">
        <v>10753</v>
      </c>
      <c r="B15763" s="4">
        <v>249385</v>
      </c>
      <c r="D15763" s="5" t="s">
        <v>19173</v>
      </c>
      <c r="E15763" s="6" t="str">
        <f>HYPERLINK("https://inpn.mnhn.fr/espece/cd_nom/249385","Apamea monoglypha (Hufnagel, 1766)")</f>
        <v>Apamea monoglypha (Hufnagel, 1766)</v>
      </c>
      <c r="F15763" s="5" t="s">
        <v>19174</v>
      </c>
      <c r="AH15763" s="4" t="str">
        <f>HYPERLINK("#Statut_biogéographique!A"&amp;_xlfn.XMATCH("P",Statut_biogéographique!A:A,2,1),"P")</f>
        <v>P</v>
      </c>
      <c r="AP15763" s="4" t="s">
        <v>376</v>
      </c>
      <c r="AR15763" s="4" t="s">
        <v>377</v>
      </c>
    </row>
    <row r="15764" spans="1:44">
      <c r="A15764" s="4" t="s">
        <v>10753</v>
      </c>
      <c r="B15764" s="4">
        <v>249386</v>
      </c>
      <c r="D15764" s="5" t="s">
        <v>19175</v>
      </c>
      <c r="E15764" s="6" t="str">
        <f>HYPERLINK("https://inpn.mnhn.fr/espece/cd_nom/249386","Apamea sicula (Turati, 1909)")</f>
        <v>Apamea sicula (Turati, 1909)</v>
      </c>
      <c r="AH15764" s="4" t="str">
        <f>HYPERLINK("#Statut_biogéographique!A"&amp;_xlfn.XMATCH("Q",Statut_biogéographique!A:A,2,1),"Q")</f>
        <v>Q</v>
      </c>
      <c r="AP15764" s="4" t="s">
        <v>376</v>
      </c>
      <c r="AR15764" s="4" t="s">
        <v>377</v>
      </c>
    </row>
    <row r="15765" spans="1:44" ht="30">
      <c r="A15765" s="4" t="s">
        <v>10753</v>
      </c>
      <c r="B15765" s="4">
        <v>249387</v>
      </c>
      <c r="D15765" s="5" t="s">
        <v>19176</v>
      </c>
      <c r="E15765" s="6" t="str">
        <f>HYPERLINK("https://inpn.mnhn.fr/espece/cd_nom/249387","Apamea lithoxylaea (Denis &amp; Schiffermüller, 1775)")</f>
        <v>Apamea lithoxylaea (Denis &amp; Schiffermüller, 1775)</v>
      </c>
      <c r="F15765" s="5" t="s">
        <v>19177</v>
      </c>
      <c r="AH15765" s="4" t="str">
        <f>HYPERLINK("#Statut_biogéographique!A"&amp;_xlfn.XMATCH("P",Statut_biogéographique!A:A,2,1),"P")</f>
        <v>P</v>
      </c>
      <c r="AP15765" s="4" t="s">
        <v>376</v>
      </c>
      <c r="AR15765" s="4" t="s">
        <v>377</v>
      </c>
    </row>
    <row r="15766" spans="1:44">
      <c r="A15766" s="4" t="s">
        <v>10753</v>
      </c>
      <c r="B15766" s="4">
        <v>249388</v>
      </c>
      <c r="D15766" s="5" t="s">
        <v>19178</v>
      </c>
      <c r="E15766" s="6" t="str">
        <f>HYPERLINK("https://inpn.mnhn.fr/espece/cd_nom/249388","Apamea sublustris (Esper, 1788)")</f>
        <v>Apamea sublustris (Esper, 1788)</v>
      </c>
      <c r="F15766" s="5" t="s">
        <v>19179</v>
      </c>
      <c r="AH15766" s="4" t="str">
        <f>HYPERLINK("#Statut_biogéographique!A"&amp;_xlfn.XMATCH("P",Statut_biogéographique!A:A,2,1),"P")</f>
        <v>P</v>
      </c>
      <c r="AP15766" s="4" t="s">
        <v>376</v>
      </c>
      <c r="AR15766" s="4" t="s">
        <v>377</v>
      </c>
    </row>
    <row r="15767" spans="1:44" ht="30">
      <c r="A15767" s="4" t="s">
        <v>10753</v>
      </c>
      <c r="B15767" s="4">
        <v>249389</v>
      </c>
      <c r="D15767" s="5" t="s">
        <v>19180</v>
      </c>
      <c r="E15767" s="6" t="str">
        <f>HYPERLINK("https://inpn.mnhn.fr/espece/cd_nom/249389","Apamea crenata (Hufnagel, 1766)")</f>
        <v>Apamea crenata (Hufnagel, 1766)</v>
      </c>
      <c r="F15767" s="5" t="s">
        <v>19181</v>
      </c>
      <c r="AH15767" s="4" t="str">
        <f>HYPERLINK("#Statut_biogéographique!A"&amp;_xlfn.XMATCH("P",Statut_biogéographique!A:A,2,1),"P")</f>
        <v>P</v>
      </c>
      <c r="AP15767" s="4" t="s">
        <v>376</v>
      </c>
      <c r="AR15767" s="4" t="s">
        <v>377</v>
      </c>
    </row>
    <row r="15768" spans="1:44">
      <c r="A15768" s="4" t="s">
        <v>10753</v>
      </c>
      <c r="B15768" s="4">
        <v>24939</v>
      </c>
      <c r="D15768" s="5" t="s">
        <v>19182</v>
      </c>
      <c r="E15768" s="6" t="str">
        <f>HYPERLINK("https://inpn.mnhn.fr/espece/cd_nom/24939","Pherbellia pallidiventris (Fallén, 1820)")</f>
        <v>Pherbellia pallidiventris (Fallén, 1820)</v>
      </c>
      <c r="AH15768" s="4" t="str">
        <f>HYPERLINK("#Statut_biogéographique!A"&amp;_xlfn.XMATCH("P",Statut_biogéographique!A:A,2,1),"P")</f>
        <v>P</v>
      </c>
      <c r="AP15768" s="4" t="s">
        <v>376</v>
      </c>
      <c r="AR15768" s="4" t="s">
        <v>377</v>
      </c>
    </row>
    <row r="15769" spans="1:44">
      <c r="A15769" s="4" t="s">
        <v>10753</v>
      </c>
      <c r="B15769" s="4">
        <v>249390</v>
      </c>
      <c r="D15769" s="5" t="s">
        <v>19183</v>
      </c>
      <c r="E15769" s="6" t="str">
        <f>HYPERLINK("https://inpn.mnhn.fr/espece/cd_nom/249390","Apamea epomidion (Haworth, 1809)")</f>
        <v>Apamea epomidion (Haworth, 1809)</v>
      </c>
      <c r="F15769" s="5" t="s">
        <v>19184</v>
      </c>
      <c r="AH15769" s="4" t="str">
        <f>HYPERLINK("#Statut_biogéographique!A"&amp;_xlfn.XMATCH("P",Statut_biogéographique!A:A,2,1),"P")</f>
        <v>P</v>
      </c>
      <c r="AP15769" s="4" t="s">
        <v>376</v>
      </c>
      <c r="AR15769" s="4" t="s">
        <v>377</v>
      </c>
    </row>
    <row r="15770" spans="1:44">
      <c r="A15770" s="4" t="s">
        <v>10753</v>
      </c>
      <c r="B15770" s="4">
        <v>249391</v>
      </c>
      <c r="D15770" s="5" t="s">
        <v>19185</v>
      </c>
      <c r="E15770" s="6" t="str">
        <f>HYPERLINK("https://inpn.mnhn.fr/espece/cd_nom/249391","Apamea aquila Donzel, 1838")</f>
        <v>Apamea aquila Donzel, 1838</v>
      </c>
      <c r="F15770" s="5" t="s">
        <v>19186</v>
      </c>
      <c r="AH15770" s="4" t="str">
        <f>HYPERLINK("#Statut_biogéographique!A"&amp;_xlfn.XMATCH("P",Statut_biogéographique!A:A,2,1),"P")</f>
        <v>P</v>
      </c>
      <c r="AP15770" s="4" t="s">
        <v>376</v>
      </c>
      <c r="AR15770" s="4" t="s">
        <v>377</v>
      </c>
    </row>
    <row r="15771" spans="1:44">
      <c r="A15771" s="4" t="s">
        <v>10753</v>
      </c>
      <c r="B15771" s="4">
        <v>249392</v>
      </c>
      <c r="D15771" s="5" t="s">
        <v>19187</v>
      </c>
      <c r="E15771" s="6" t="str">
        <f>HYPERLINK("https://inpn.mnhn.fr/espece/cd_nom/249392","Apamea lateritia (Hufnagel, 1766)")</f>
        <v>Apamea lateritia (Hufnagel, 1766)</v>
      </c>
      <c r="F15771" s="5" t="s">
        <v>19188</v>
      </c>
      <c r="AH15771" s="4" t="str">
        <f>HYPERLINK("#Statut_biogéographique!A"&amp;_xlfn.XMATCH("P",Statut_biogéographique!A:A,2,1),"P")</f>
        <v>P</v>
      </c>
      <c r="AP15771" s="4" t="s">
        <v>376</v>
      </c>
      <c r="AR15771" s="4" t="s">
        <v>377</v>
      </c>
    </row>
    <row r="15772" spans="1:44">
      <c r="A15772" s="4" t="s">
        <v>10753</v>
      </c>
      <c r="B15772" s="4">
        <v>249393</v>
      </c>
      <c r="D15772" s="5" t="s">
        <v>19189</v>
      </c>
      <c r="E15772" s="6" t="str">
        <f>HYPERLINK("https://inpn.mnhn.fr/espece/cd_nom/249393","Apamea furva (Denis &amp; Schiffermüller, 1775)")</f>
        <v>Apamea furva (Denis &amp; Schiffermüller, 1775)</v>
      </c>
      <c r="F15772" s="5" t="s">
        <v>19190</v>
      </c>
      <c r="AH15772" s="4" t="str">
        <f>HYPERLINK("#Statut_biogéographique!A"&amp;_xlfn.XMATCH("P",Statut_biogéographique!A:A,2,1),"P")</f>
        <v>P</v>
      </c>
      <c r="AP15772" s="4" t="s">
        <v>376</v>
      </c>
      <c r="AR15772" s="4" t="s">
        <v>377</v>
      </c>
    </row>
    <row r="15773" spans="1:44">
      <c r="A15773" s="4" t="s">
        <v>10753</v>
      </c>
      <c r="B15773" s="4">
        <v>249396</v>
      </c>
      <c r="D15773" s="5" t="s">
        <v>19191</v>
      </c>
      <c r="E15773" s="6" t="str">
        <f>HYPERLINK("https://inpn.mnhn.fr/espece/cd_nom/249396","Apamea rubrirena (Treitschke, 1825)")</f>
        <v>Apamea rubrirena (Treitschke, 1825)</v>
      </c>
      <c r="F15773" s="5" t="s">
        <v>19192</v>
      </c>
      <c r="AH15773" s="4" t="str">
        <f>HYPERLINK("#Statut_biogéographique!A"&amp;_xlfn.XMATCH("P",Statut_biogéographique!A:A,2,1),"P")</f>
        <v>P</v>
      </c>
      <c r="AP15773" s="4" t="s">
        <v>376</v>
      </c>
      <c r="AR15773" s="4" t="s">
        <v>377</v>
      </c>
    </row>
    <row r="15774" spans="1:44">
      <c r="A15774" s="4" t="s">
        <v>10753</v>
      </c>
      <c r="B15774" s="4">
        <v>249397</v>
      </c>
      <c r="D15774" s="5" t="s">
        <v>19193</v>
      </c>
      <c r="E15774" s="6" t="str">
        <f>HYPERLINK("https://inpn.mnhn.fr/espece/cd_nom/249397","Apamea platinea (Treitschke, 1825)")</f>
        <v>Apamea platinea (Treitschke, 1825)</v>
      </c>
      <c r="F15774" s="5" t="s">
        <v>19194</v>
      </c>
      <c r="AH15774" s="4" t="str">
        <f>HYPERLINK("#Statut_biogéographique!A"&amp;_xlfn.XMATCH("P",Statut_biogéographique!A:A,2,1),"P")</f>
        <v>P</v>
      </c>
      <c r="AP15774" s="4" t="s">
        <v>376</v>
      </c>
      <c r="AR15774" s="4" t="s">
        <v>377</v>
      </c>
    </row>
    <row r="15775" spans="1:44" ht="30">
      <c r="A15775" s="4" t="s">
        <v>10753</v>
      </c>
      <c r="B15775" s="4">
        <v>249399</v>
      </c>
      <c r="D15775" s="5" t="s">
        <v>19195</v>
      </c>
      <c r="E15775" s="6" t="str">
        <f>HYPERLINK("https://inpn.mnhn.fr/espece/cd_nom/249399","Apamea remissa (Hübner, 1809)")</f>
        <v>Apamea remissa (Hübner, 1809)</v>
      </c>
      <c r="F15775" s="5" t="s">
        <v>19196</v>
      </c>
      <c r="AH15775" s="4" t="str">
        <f>HYPERLINK("#Statut_biogéographique!A"&amp;_xlfn.XMATCH("P",Statut_biogéographique!A:A,2,1),"P")</f>
        <v>P</v>
      </c>
      <c r="AP15775" s="4" t="s">
        <v>376</v>
      </c>
      <c r="AR15775" s="4" t="s">
        <v>377</v>
      </c>
    </row>
    <row r="15776" spans="1:44">
      <c r="A15776" s="4" t="s">
        <v>10753</v>
      </c>
      <c r="B15776" s="4">
        <v>249400</v>
      </c>
      <c r="D15776" s="5" t="s">
        <v>19197</v>
      </c>
      <c r="E15776" s="6" t="str">
        <f>HYPERLINK("https://inpn.mnhn.fr/espece/cd_nom/249400","Apamea unanimis (Hübner, 1813)")</f>
        <v>Apamea unanimis (Hübner, 1813)</v>
      </c>
      <c r="F15776" s="5" t="s">
        <v>19198</v>
      </c>
      <c r="AH15776" s="4" t="str">
        <f>HYPERLINK("#Statut_biogéographique!A"&amp;_xlfn.XMATCH("P",Statut_biogéographique!A:A,2,1),"P")</f>
        <v>P</v>
      </c>
      <c r="AP15776" s="4" t="s">
        <v>376</v>
      </c>
      <c r="AR15776" s="4" t="s">
        <v>377</v>
      </c>
    </row>
    <row r="15777" spans="1:44">
      <c r="A15777" s="4" t="s">
        <v>10753</v>
      </c>
      <c r="B15777" s="4">
        <v>249401</v>
      </c>
      <c r="D15777" s="5" t="s">
        <v>19199</v>
      </c>
      <c r="E15777" s="6" t="str">
        <f>HYPERLINK("https://inpn.mnhn.fr/espece/cd_nom/249401","Apamea illyria Freyer, 1846")</f>
        <v>Apamea illyria Freyer, 1846</v>
      </c>
      <c r="F15777" s="5" t="s">
        <v>19200</v>
      </c>
      <c r="AH15777" s="4" t="str">
        <f>HYPERLINK("#Statut_biogéographique!A"&amp;_xlfn.XMATCH("P",Statut_biogéographique!A:A,2,1),"P")</f>
        <v>P</v>
      </c>
      <c r="AP15777" s="4" t="s">
        <v>376</v>
      </c>
      <c r="AR15777" s="4" t="s">
        <v>377</v>
      </c>
    </row>
    <row r="15778" spans="1:44" ht="30">
      <c r="A15778" s="4" t="s">
        <v>10753</v>
      </c>
      <c r="B15778" s="4">
        <v>249402</v>
      </c>
      <c r="D15778" s="5" t="s">
        <v>19201</v>
      </c>
      <c r="E15778" s="6" t="str">
        <f>HYPERLINK("https://inpn.mnhn.fr/espece/cd_nom/249402","Apamea anceps (Denis &amp; Schiffermüller, 1775)")</f>
        <v>Apamea anceps (Denis &amp; Schiffermüller, 1775)</v>
      </c>
      <c r="F15778" s="5" t="s">
        <v>19202</v>
      </c>
      <c r="AH15778" s="4" t="str">
        <f>HYPERLINK("#Statut_biogéographique!A"&amp;_xlfn.XMATCH("P",Statut_biogéographique!A:A,2,1),"P")</f>
        <v>P</v>
      </c>
      <c r="AP15778" s="4" t="s">
        <v>376</v>
      </c>
      <c r="AR15778" s="4" t="s">
        <v>377</v>
      </c>
    </row>
    <row r="15779" spans="1:44" ht="30">
      <c r="A15779" s="4" t="s">
        <v>10753</v>
      </c>
      <c r="B15779" s="4">
        <v>249403</v>
      </c>
      <c r="D15779" s="5" t="s">
        <v>19203</v>
      </c>
      <c r="E15779" s="6" t="str">
        <f>HYPERLINK("https://inpn.mnhn.fr/espece/cd_nom/249403","Apamea sordens (Hufnagel, 1766)")</f>
        <v>Apamea sordens (Hufnagel, 1766)</v>
      </c>
      <c r="F15779" s="5" t="s">
        <v>19204</v>
      </c>
      <c r="AH15779" s="4" t="str">
        <f>HYPERLINK("#Statut_biogéographique!A"&amp;_xlfn.XMATCH("P",Statut_biogéographique!A:A,2,1),"P")</f>
        <v>P</v>
      </c>
      <c r="AP15779" s="4" t="s">
        <v>376</v>
      </c>
      <c r="AR15779" s="4" t="s">
        <v>377</v>
      </c>
    </row>
    <row r="15780" spans="1:44">
      <c r="A15780" s="4" t="s">
        <v>10753</v>
      </c>
      <c r="B15780" s="4">
        <v>249405</v>
      </c>
      <c r="D15780" s="5" t="s">
        <v>19205</v>
      </c>
      <c r="E15780" s="6" t="str">
        <f>HYPERLINK("https://inpn.mnhn.fr/espece/cd_nom/249405","Apamea scolopacina (Esper, 1788)")</f>
        <v>Apamea scolopacina (Esper, 1788)</v>
      </c>
      <c r="F15780" s="5" t="s">
        <v>19206</v>
      </c>
      <c r="AH15780" s="4" t="str">
        <f>HYPERLINK("#Statut_biogéographique!A"&amp;_xlfn.XMATCH("P",Statut_biogéographique!A:A,2,1),"P")</f>
        <v>P</v>
      </c>
      <c r="AP15780" s="4" t="s">
        <v>376</v>
      </c>
      <c r="AR15780" s="4" t="s">
        <v>377</v>
      </c>
    </row>
    <row r="15781" spans="1:44" ht="30">
      <c r="A15781" s="4" t="s">
        <v>10753</v>
      </c>
      <c r="B15781" s="4">
        <v>249407</v>
      </c>
      <c r="D15781" s="5" t="s">
        <v>19207</v>
      </c>
      <c r="E15781" s="6" t="str">
        <f>HYPERLINK("https://inpn.mnhn.fr/espece/cd_nom/249407","Amphipoea oculea (Linnaeus, 1761)")</f>
        <v>Amphipoea oculea (Linnaeus, 1761)</v>
      </c>
      <c r="F15781" s="5" t="s">
        <v>19208</v>
      </c>
      <c r="AH15781" s="4" t="str">
        <f>HYPERLINK("#Statut_biogéographique!A"&amp;_xlfn.XMATCH("P",Statut_biogéographique!A:A,2,1),"P")</f>
        <v>P</v>
      </c>
      <c r="AP15781" s="4" t="s">
        <v>376</v>
      </c>
      <c r="AR15781" s="4" t="s">
        <v>377</v>
      </c>
    </row>
    <row r="15782" spans="1:44">
      <c r="A15782" s="4" t="s">
        <v>10753</v>
      </c>
      <c r="B15782" s="4">
        <v>249409</v>
      </c>
      <c r="D15782" s="5" t="s">
        <v>19209</v>
      </c>
      <c r="E15782" s="6" t="str">
        <f>HYPERLINK("https://inpn.mnhn.fr/espece/cd_nom/249409","Amphipoea lucens (Freyer, 1845)")</f>
        <v>Amphipoea lucens (Freyer, 1845)</v>
      </c>
      <c r="F15782" s="5" t="s">
        <v>19210</v>
      </c>
      <c r="AH15782" s="4" t="str">
        <f>HYPERLINK("#Statut_biogéographique!A"&amp;_xlfn.XMATCH("P",Statut_biogéographique!A:A,2,1),"P")</f>
        <v>P</v>
      </c>
      <c r="AP15782" s="4" t="s">
        <v>376</v>
      </c>
      <c r="AR15782" s="4" t="s">
        <v>377</v>
      </c>
    </row>
    <row r="15783" spans="1:44">
      <c r="A15783" s="4" t="s">
        <v>10753</v>
      </c>
      <c r="B15783" s="4">
        <v>24941</v>
      </c>
      <c r="D15783" s="5" t="s">
        <v>19211</v>
      </c>
      <c r="E15783" s="6" t="str">
        <f>HYPERLINK("https://inpn.mnhn.fr/espece/cd_nom/24941","Pherbellia schoenherri (Fallén, 1826)")</f>
        <v>Pherbellia schoenherri (Fallén, 1826)</v>
      </c>
      <c r="AH15783" s="4" t="str">
        <f>HYPERLINK("#Statut_biogéographique!A"&amp;_xlfn.XMATCH("P",Statut_biogéographique!A:A,2,1),"P")</f>
        <v>P</v>
      </c>
      <c r="AP15783" s="4" t="s">
        <v>376</v>
      </c>
      <c r="AR15783" s="4" t="s">
        <v>377</v>
      </c>
    </row>
    <row r="15784" spans="1:44">
      <c r="A15784" s="4" t="s">
        <v>10753</v>
      </c>
      <c r="B15784" s="4">
        <v>249410</v>
      </c>
      <c r="D15784" s="5" t="s">
        <v>19212</v>
      </c>
      <c r="E15784" s="6" t="str">
        <f>HYPERLINK("https://inpn.mnhn.fr/espece/cd_nom/249410","Spodoptera exigua (Hübner, 1808)")</f>
        <v>Spodoptera exigua (Hübner, 1808)</v>
      </c>
      <c r="F15784" s="5" t="s">
        <v>19213</v>
      </c>
      <c r="AH15784" s="4" t="str">
        <f>HYPERLINK("#Statut_biogéographique!A"&amp;_xlfn.XMATCH("P",Statut_biogéographique!A:A,2,1),"P")</f>
        <v>P</v>
      </c>
      <c r="AP15784" s="4" t="s">
        <v>376</v>
      </c>
      <c r="AR15784" s="4" t="s">
        <v>377</v>
      </c>
    </row>
    <row r="15785" spans="1:44">
      <c r="A15785" s="4" t="s">
        <v>10753</v>
      </c>
      <c r="B15785" s="4">
        <v>249412</v>
      </c>
      <c r="D15785" s="5" t="s">
        <v>19214</v>
      </c>
      <c r="E15785" s="6" t="str">
        <f>HYPERLINK("https://inpn.mnhn.fr/espece/cd_nom/249412","Spodoptera littoralis (Boisduval, 1833)")</f>
        <v>Spodoptera littoralis (Boisduval, 1833)</v>
      </c>
      <c r="F15785" s="5" t="s">
        <v>19215</v>
      </c>
      <c r="AH15785" s="4" t="str">
        <f>HYPERLINK("#Statut_biogéographique!A"&amp;_xlfn.XMATCH("I",Statut_biogéographique!A:A,2,1),"I")</f>
        <v>I</v>
      </c>
      <c r="AP15785" s="4" t="s">
        <v>376</v>
      </c>
      <c r="AR15785" s="4" t="s">
        <v>377</v>
      </c>
    </row>
    <row r="15786" spans="1:44">
      <c r="A15786" s="4" t="s">
        <v>10753</v>
      </c>
      <c r="B15786" s="4">
        <v>249425</v>
      </c>
      <c r="D15786" s="5" t="s">
        <v>19216</v>
      </c>
      <c r="E15786" s="6" t="str">
        <f>HYPERLINK("https://inpn.mnhn.fr/espece/cd_nom/249425","Hoplodrina octogenaria (Goeze, 1781)")</f>
        <v>Hoplodrina octogenaria (Goeze, 1781)</v>
      </c>
      <c r="F15786" s="5" t="s">
        <v>19217</v>
      </c>
      <c r="AH15786" s="4" t="str">
        <f>HYPERLINK("#Statut_biogéographique!A"&amp;_xlfn.XMATCH("P",Statut_biogéographique!A:A,2,1),"P")</f>
        <v>P</v>
      </c>
      <c r="AP15786" s="4" t="s">
        <v>376</v>
      </c>
      <c r="AR15786" s="4" t="s">
        <v>377</v>
      </c>
    </row>
    <row r="15787" spans="1:44" ht="30">
      <c r="A15787" s="4" t="s">
        <v>10753</v>
      </c>
      <c r="B15787" s="4">
        <v>249426</v>
      </c>
      <c r="D15787" s="5" t="s">
        <v>19218</v>
      </c>
      <c r="E15787" s="6" t="str">
        <f>HYPERLINK("https://inpn.mnhn.fr/espece/cd_nom/249426","Hoplodrina blanda (Denis &amp; Schiffermüller, 1775)")</f>
        <v>Hoplodrina blanda (Denis &amp; Schiffermüller, 1775)</v>
      </c>
      <c r="F15787" s="5" t="s">
        <v>19219</v>
      </c>
      <c r="AH15787" s="4" t="str">
        <f>HYPERLINK("#Statut_biogéographique!A"&amp;_xlfn.XMATCH("P",Statut_biogéographique!A:A,2,1),"P")</f>
        <v>P</v>
      </c>
      <c r="AP15787" s="4" t="s">
        <v>376</v>
      </c>
      <c r="AR15787" s="4" t="s">
        <v>377</v>
      </c>
    </row>
    <row r="15788" spans="1:44" ht="30">
      <c r="A15788" s="4" t="s">
        <v>10753</v>
      </c>
      <c r="B15788" s="4">
        <v>249427</v>
      </c>
      <c r="D15788" s="5" t="s">
        <v>19220</v>
      </c>
      <c r="E15788" s="6" t="str">
        <f>HYPERLINK("https://inpn.mnhn.fr/espece/cd_nom/249427","Hoplodrina superstes (Ochsenheimer, 1816)")</f>
        <v>Hoplodrina superstes (Ochsenheimer, 1816)</v>
      </c>
      <c r="F15788" s="5" t="s">
        <v>19221</v>
      </c>
      <c r="AH15788" s="4" t="str">
        <f>HYPERLINK("#Statut_biogéographique!A"&amp;_xlfn.XMATCH("P",Statut_biogéographique!A:A,2,1),"P")</f>
        <v>P</v>
      </c>
      <c r="AP15788" s="4" t="s">
        <v>376</v>
      </c>
      <c r="AR15788" s="4" t="s">
        <v>377</v>
      </c>
    </row>
    <row r="15789" spans="1:44" ht="30">
      <c r="A15789" s="4" t="s">
        <v>10753</v>
      </c>
      <c r="B15789" s="4">
        <v>249429</v>
      </c>
      <c r="D15789" s="5" t="s">
        <v>19222</v>
      </c>
      <c r="E15789" s="6" t="str">
        <f>HYPERLINK("https://inpn.mnhn.fr/espece/cd_nom/249429","Hoplodrina respersa (Denis &amp; Schiffermüller, 1775)")</f>
        <v>Hoplodrina respersa (Denis &amp; Schiffermüller, 1775)</v>
      </c>
      <c r="F15789" s="5" t="s">
        <v>19223</v>
      </c>
      <c r="AH15789" s="4" t="str">
        <f>HYPERLINK("#Statut_biogéographique!A"&amp;_xlfn.XMATCH("P",Statut_biogéographique!A:A,2,1),"P")</f>
        <v>P</v>
      </c>
      <c r="AP15789" s="4" t="s">
        <v>376</v>
      </c>
      <c r="AR15789" s="4" t="s">
        <v>377</v>
      </c>
    </row>
    <row r="15790" spans="1:44" ht="30">
      <c r="A15790" s="4" t="s">
        <v>10753</v>
      </c>
      <c r="B15790" s="4">
        <v>249430</v>
      </c>
      <c r="D15790" s="5" t="s">
        <v>19224</v>
      </c>
      <c r="E15790" s="6" t="str">
        <f>HYPERLINK("https://inpn.mnhn.fr/espece/cd_nom/249430","Hoplodrina ambigua (Denis &amp; Schiffermüller, 1775)")</f>
        <v>Hoplodrina ambigua (Denis &amp; Schiffermüller, 1775)</v>
      </c>
      <c r="F15790" s="5" t="s">
        <v>19225</v>
      </c>
      <c r="AH15790" s="4" t="str">
        <f>HYPERLINK("#Statut_biogéographique!A"&amp;_xlfn.XMATCH("P",Statut_biogéographique!A:A,2,1),"P")</f>
        <v>P</v>
      </c>
      <c r="AP15790" s="4" t="s">
        <v>376</v>
      </c>
      <c r="AR15790" s="4" t="s">
        <v>377</v>
      </c>
    </row>
    <row r="15791" spans="1:44" ht="30">
      <c r="A15791" s="4" t="s">
        <v>10753</v>
      </c>
      <c r="B15791" s="4">
        <v>249432</v>
      </c>
      <c r="D15791" s="5" t="s">
        <v>19226</v>
      </c>
      <c r="E15791" s="6" t="str">
        <f>HYPERLINK("https://inpn.mnhn.fr/espece/cd_nom/249432","Charanyca trigrammica (Hufnagel, 1766)")</f>
        <v>Charanyca trigrammica (Hufnagel, 1766)</v>
      </c>
      <c r="F15791" s="5" t="s">
        <v>19227</v>
      </c>
      <c r="AH15791" s="4" t="str">
        <f>HYPERLINK("#Statut_biogéographique!A"&amp;_xlfn.XMATCH("P",Statut_biogéographique!A:A,2,1),"P")</f>
        <v>P</v>
      </c>
      <c r="AP15791" s="4" t="s">
        <v>376</v>
      </c>
      <c r="AR15791" s="4" t="s">
        <v>377</v>
      </c>
    </row>
    <row r="15792" spans="1:44">
      <c r="A15792" s="4" t="s">
        <v>10753</v>
      </c>
      <c r="B15792" s="4">
        <v>249433</v>
      </c>
      <c r="D15792" s="5" t="s">
        <v>19228</v>
      </c>
      <c r="E15792" s="6" t="str">
        <f>HYPERLINK("https://inpn.mnhn.fr/espece/cd_nom/249433","Caradrina morpheus (Hufnagel, 1766)")</f>
        <v>Caradrina morpheus (Hufnagel, 1766)</v>
      </c>
      <c r="F15792" s="5" t="s">
        <v>19229</v>
      </c>
      <c r="AH15792" s="4" t="str">
        <f>HYPERLINK("#Statut_biogéographique!A"&amp;_xlfn.XMATCH("P",Statut_biogéographique!A:A,2,1),"P")</f>
        <v>P</v>
      </c>
      <c r="AP15792" s="4" t="s">
        <v>376</v>
      </c>
      <c r="AR15792" s="4" t="s">
        <v>377</v>
      </c>
    </row>
    <row r="15793" spans="1:44">
      <c r="A15793" s="4" t="s">
        <v>10753</v>
      </c>
      <c r="B15793" s="4">
        <v>249434</v>
      </c>
      <c r="D15793" s="5" t="s">
        <v>19230</v>
      </c>
      <c r="E15793" s="6" t="str">
        <f>HYPERLINK("https://inpn.mnhn.fr/espece/cd_nom/249434","Atypha pulmonaris (Esper, 1790)")</f>
        <v>Atypha pulmonaris (Esper, 1790)</v>
      </c>
      <c r="F15793" s="5" t="s">
        <v>19231</v>
      </c>
      <c r="AH15793" s="4" t="str">
        <f>HYPERLINK("#Statut_biogéographique!A"&amp;_xlfn.XMATCH("P",Statut_biogéographique!A:A,2,1),"P")</f>
        <v>P</v>
      </c>
      <c r="AP15793" s="4" t="s">
        <v>376</v>
      </c>
      <c r="AR15793" s="4" t="s">
        <v>377</v>
      </c>
    </row>
    <row r="15794" spans="1:44">
      <c r="A15794" s="4" t="s">
        <v>10753</v>
      </c>
      <c r="B15794" s="4">
        <v>249438</v>
      </c>
      <c r="D15794" s="5" t="s">
        <v>19232</v>
      </c>
      <c r="E15794" s="6" t="str">
        <f>HYPERLINK("https://inpn.mnhn.fr/espece/cd_nom/249438","Episema glaucina (Esper, 1789)")</f>
        <v>Episema glaucina (Esper, 1789)</v>
      </c>
      <c r="F15794" s="5" t="s">
        <v>19233</v>
      </c>
      <c r="AH15794" s="4" t="str">
        <f>HYPERLINK("#Statut_biogéographique!A"&amp;_xlfn.XMATCH("P",Statut_biogéographique!A:A,2,1),"P")</f>
        <v>P</v>
      </c>
      <c r="AP15794" s="4" t="s">
        <v>376</v>
      </c>
      <c r="AR15794" s="4" t="s">
        <v>377</v>
      </c>
    </row>
    <row r="15795" spans="1:44">
      <c r="A15795" s="4" t="s">
        <v>10753</v>
      </c>
      <c r="B15795" s="4">
        <v>24944</v>
      </c>
      <c r="D15795" s="5" t="s">
        <v>19234</v>
      </c>
      <c r="E15795" s="6" t="str">
        <f>HYPERLINK("https://inpn.mnhn.fr/espece/cd_nom/24944","Pherbellia scutellaris (von Roser, 1840)")</f>
        <v>Pherbellia scutellaris (von Roser, 1840)</v>
      </c>
      <c r="AH15795" s="4" t="str">
        <f>HYPERLINK("#Statut_biogéographique!A"&amp;_xlfn.XMATCH("P",Statut_biogéographique!A:A,2,1),"P")</f>
        <v>P</v>
      </c>
      <c r="AP15795" s="4" t="s">
        <v>376</v>
      </c>
      <c r="AR15795" s="4" t="s">
        <v>377</v>
      </c>
    </row>
    <row r="15796" spans="1:44">
      <c r="A15796" s="4" t="s">
        <v>10753</v>
      </c>
      <c r="B15796" s="4">
        <v>249441</v>
      </c>
      <c r="D15796" s="5" t="s">
        <v>19235</v>
      </c>
      <c r="E15796" s="6" t="str">
        <f>HYPERLINK("https://inpn.mnhn.fr/espece/cd_nom/249441","Tholera cespitis (Denis &amp; Schiffermüller, 1775)")</f>
        <v>Tholera cespitis (Denis &amp; Schiffermüller, 1775)</v>
      </c>
      <c r="F15796" s="5" t="s">
        <v>19236</v>
      </c>
      <c r="AH15796" s="4" t="str">
        <f>HYPERLINK("#Statut_biogéographique!A"&amp;_xlfn.XMATCH("P",Statut_biogéographique!A:A,2,1),"P")</f>
        <v>P</v>
      </c>
      <c r="AP15796" s="4" t="s">
        <v>376</v>
      </c>
      <c r="AR15796" s="4" t="s">
        <v>377</v>
      </c>
    </row>
    <row r="15797" spans="1:44" ht="30">
      <c r="A15797" s="4" t="s">
        <v>10753</v>
      </c>
      <c r="B15797" s="4">
        <v>249442</v>
      </c>
      <c r="D15797" s="5" t="s">
        <v>19237</v>
      </c>
      <c r="E15797" s="6" t="str">
        <f>HYPERLINK("https://inpn.mnhn.fr/espece/cd_nom/249442","Tholera decimalis (Poda, 1761)")</f>
        <v>Tholera decimalis (Poda, 1761)</v>
      </c>
      <c r="F15797" s="5" t="s">
        <v>19238</v>
      </c>
      <c r="AH15797" s="4" t="str">
        <f>HYPERLINK("#Statut_biogéographique!A"&amp;_xlfn.XMATCH("P",Statut_biogéographique!A:A,2,1),"P")</f>
        <v>P</v>
      </c>
      <c r="AP15797" s="4" t="s">
        <v>376</v>
      </c>
      <c r="AR15797" s="4" t="s">
        <v>377</v>
      </c>
    </row>
    <row r="15798" spans="1:44" ht="30">
      <c r="A15798" s="4" t="s">
        <v>10753</v>
      </c>
      <c r="B15798" s="4">
        <v>249444</v>
      </c>
      <c r="D15798" s="5" t="s">
        <v>19239</v>
      </c>
      <c r="E15798" s="6" t="str">
        <f>HYPERLINK("https://inpn.mnhn.fr/espece/cd_nom/249444","Sideridis turbida (Esper, 1790)")</f>
        <v>Sideridis turbida (Esper, 1790)</v>
      </c>
      <c r="F15798" s="5" t="s">
        <v>19240</v>
      </c>
      <c r="AH15798" s="4" t="str">
        <f>HYPERLINK("#Statut_biogéographique!A"&amp;_xlfn.XMATCH("P",Statut_biogéographique!A:A,2,1),"P")</f>
        <v>P</v>
      </c>
      <c r="AP15798" s="4" t="s">
        <v>376</v>
      </c>
      <c r="AR15798" s="4" t="s">
        <v>377</v>
      </c>
    </row>
    <row r="15799" spans="1:44" ht="30">
      <c r="A15799" s="4" t="s">
        <v>10753</v>
      </c>
      <c r="B15799" s="4">
        <v>249445</v>
      </c>
      <c r="D15799" s="5" t="s">
        <v>19241</v>
      </c>
      <c r="E15799" s="6" t="str">
        <f>HYPERLINK("https://inpn.mnhn.fr/espece/cd_nom/249445","Sideridis rivularis (Fabricius, 1775)")</f>
        <v>Sideridis rivularis (Fabricius, 1775)</v>
      </c>
      <c r="F15799" s="5" t="s">
        <v>19242</v>
      </c>
      <c r="AH15799" s="4" t="str">
        <f>HYPERLINK("#Statut_biogéographique!A"&amp;_xlfn.XMATCH("P",Statut_biogéographique!A:A,2,1),"P")</f>
        <v>P</v>
      </c>
      <c r="AP15799" s="4" t="s">
        <v>376</v>
      </c>
      <c r="AR15799" s="4" t="s">
        <v>377</v>
      </c>
    </row>
    <row r="15800" spans="1:44" ht="30">
      <c r="A15800" s="4" t="s">
        <v>10753</v>
      </c>
      <c r="B15800" s="4">
        <v>249446</v>
      </c>
      <c r="D15800" s="5" t="s">
        <v>19243</v>
      </c>
      <c r="E15800" s="6" t="str">
        <f>HYPERLINK("https://inpn.mnhn.fr/espece/cd_nom/249446","Sideridis reticulata (Goeze, 1781)")</f>
        <v>Sideridis reticulata (Goeze, 1781)</v>
      </c>
      <c r="F15800" s="5" t="s">
        <v>19244</v>
      </c>
      <c r="AH15800" s="4" t="str">
        <f>HYPERLINK("#Statut_biogéographique!A"&amp;_xlfn.XMATCH("P",Statut_biogéographique!A:A,2,1),"P")</f>
        <v>P</v>
      </c>
      <c r="AP15800" s="4" t="s">
        <v>376</v>
      </c>
      <c r="AR15800" s="4" t="s">
        <v>377</v>
      </c>
    </row>
    <row r="15801" spans="1:44" ht="30">
      <c r="A15801" s="4" t="s">
        <v>10753</v>
      </c>
      <c r="B15801" s="4">
        <v>249448</v>
      </c>
      <c r="D15801" s="5" t="s">
        <v>19245</v>
      </c>
      <c r="E15801" s="6" t="str">
        <f>HYPERLINK("https://inpn.mnhn.fr/espece/cd_nom/249448","Polia bombycina (Hufnagel, 1766)")</f>
        <v>Polia bombycina (Hufnagel, 1766)</v>
      </c>
      <c r="F15801" s="5" t="s">
        <v>19246</v>
      </c>
      <c r="AH15801" s="4" t="str">
        <f>HYPERLINK("#Statut_biogéographique!A"&amp;_xlfn.XMATCH("P",Statut_biogéographique!A:A,2,1),"P")</f>
        <v>P</v>
      </c>
      <c r="AP15801" s="4" t="s">
        <v>376</v>
      </c>
      <c r="AR15801" s="4" t="s">
        <v>377</v>
      </c>
    </row>
    <row r="15802" spans="1:44" ht="30">
      <c r="A15802" s="4" t="s">
        <v>10753</v>
      </c>
      <c r="B15802" s="4">
        <v>249449</v>
      </c>
      <c r="D15802" s="5" t="s">
        <v>19247</v>
      </c>
      <c r="E15802" s="6" t="str">
        <f>HYPERLINK("https://inpn.mnhn.fr/espece/cd_nom/249449","Polia hepatica (Clerck, 1759)")</f>
        <v>Polia hepatica (Clerck, 1759)</v>
      </c>
      <c r="F15802" s="5" t="s">
        <v>19248</v>
      </c>
      <c r="AH15802" s="4" t="str">
        <f>HYPERLINK("#Statut_biogéographique!A"&amp;_xlfn.XMATCH("P",Statut_biogéographique!A:A,2,1),"P")</f>
        <v>P</v>
      </c>
      <c r="AP15802" s="4" t="s">
        <v>376</v>
      </c>
      <c r="AR15802" s="4" t="s">
        <v>377</v>
      </c>
    </row>
    <row r="15803" spans="1:44">
      <c r="A15803" s="4" t="s">
        <v>10753</v>
      </c>
      <c r="B15803" s="4">
        <v>249450</v>
      </c>
      <c r="D15803" s="5" t="s">
        <v>19249</v>
      </c>
      <c r="E15803" s="6" t="str">
        <f>HYPERLINK("https://inpn.mnhn.fr/espece/cd_nom/249450","Polia nebulosa (Hufnagel, 1766)")</f>
        <v>Polia nebulosa (Hufnagel, 1766)</v>
      </c>
      <c r="F15803" s="5" t="s">
        <v>19250</v>
      </c>
      <c r="AH15803" s="4" t="str">
        <f>HYPERLINK("#Statut_biogéographique!A"&amp;_xlfn.XMATCH("P",Statut_biogéographique!A:A,2,1),"P")</f>
        <v>P</v>
      </c>
      <c r="AP15803" s="4" t="s">
        <v>376</v>
      </c>
      <c r="AR15803" s="4" t="s">
        <v>377</v>
      </c>
    </row>
    <row r="15804" spans="1:44">
      <c r="A15804" s="4" t="s">
        <v>10753</v>
      </c>
      <c r="B15804" s="4">
        <v>249452</v>
      </c>
      <c r="D15804" s="5" t="s">
        <v>19251</v>
      </c>
      <c r="E15804" s="6" t="str">
        <f>HYPERLINK("https://inpn.mnhn.fr/espece/cd_nom/249452","Papestra biren (Goeze, 1781)")</f>
        <v>Papestra biren (Goeze, 1781)</v>
      </c>
      <c r="F15804" s="5" t="s">
        <v>19252</v>
      </c>
      <c r="AH15804" s="4" t="str">
        <f>HYPERLINK("#Statut_biogéographique!A"&amp;_xlfn.XMATCH("P",Statut_biogéographique!A:A,2,1),"P")</f>
        <v>P</v>
      </c>
      <c r="AP15804" s="4" t="s">
        <v>376</v>
      </c>
      <c r="AR15804" s="4" t="s">
        <v>377</v>
      </c>
    </row>
    <row r="15805" spans="1:44" ht="30">
      <c r="A15805" s="4" t="s">
        <v>10753</v>
      </c>
      <c r="B15805" s="4">
        <v>249453</v>
      </c>
      <c r="D15805" s="5" t="s">
        <v>19253</v>
      </c>
      <c r="E15805" s="6" t="str">
        <f>HYPERLINK("https://inpn.mnhn.fr/espece/cd_nom/249453","Pachetra sagittigera (Hufnagel, 1766)")</f>
        <v>Pachetra sagittigera (Hufnagel, 1766)</v>
      </c>
      <c r="F15805" s="5" t="s">
        <v>19254</v>
      </c>
      <c r="AH15805" s="4" t="str">
        <f>HYPERLINK("#Statut_biogéographique!A"&amp;_xlfn.XMATCH("P",Statut_biogéographique!A:A,2,1),"P")</f>
        <v>P</v>
      </c>
      <c r="AP15805" s="4" t="s">
        <v>376</v>
      </c>
      <c r="AR15805" s="4" t="s">
        <v>377</v>
      </c>
    </row>
    <row r="15806" spans="1:44">
      <c r="A15806" s="4" t="s">
        <v>10753</v>
      </c>
      <c r="B15806" s="4">
        <v>249454</v>
      </c>
      <c r="D15806" s="5" t="s">
        <v>19255</v>
      </c>
      <c r="E15806" s="6" t="str">
        <f>HYPERLINK("https://inpn.mnhn.fr/espece/cd_nom/249454","Melanchra persicariae (Linnaeus, 1761)")</f>
        <v>Melanchra persicariae (Linnaeus, 1761)</v>
      </c>
      <c r="F15806" s="5" t="s">
        <v>19256</v>
      </c>
      <c r="AH15806" s="4" t="str">
        <f>HYPERLINK("#Statut_biogéographique!A"&amp;_xlfn.XMATCH("P",Statut_biogéographique!A:A,2,1),"P")</f>
        <v>P</v>
      </c>
      <c r="AP15806" s="4" t="s">
        <v>376</v>
      </c>
      <c r="AR15806" s="4" t="s">
        <v>377</v>
      </c>
    </row>
    <row r="15807" spans="1:44">
      <c r="A15807" s="4" t="s">
        <v>10753</v>
      </c>
      <c r="B15807" s="4">
        <v>249455</v>
      </c>
      <c r="D15807" s="5" t="s">
        <v>19257</v>
      </c>
      <c r="E15807" s="6" t="str">
        <f>HYPERLINK("https://inpn.mnhn.fr/espece/cd_nom/249455","Mamestra brassicae (Linnaeus, 1758)")</f>
        <v>Mamestra brassicae (Linnaeus, 1758)</v>
      </c>
      <c r="F15807" s="5" t="s">
        <v>19258</v>
      </c>
      <c r="AH15807" s="4" t="str">
        <f>HYPERLINK("#Statut_biogéographique!A"&amp;_xlfn.XMATCH("P",Statut_biogéographique!A:A,2,1),"P")</f>
        <v>P</v>
      </c>
      <c r="AP15807" s="4" t="s">
        <v>376</v>
      </c>
      <c r="AR15807" s="4" t="s">
        <v>377</v>
      </c>
    </row>
    <row r="15808" spans="1:44" ht="30">
      <c r="A15808" s="4" t="s">
        <v>10753</v>
      </c>
      <c r="B15808" s="4">
        <v>249459</v>
      </c>
      <c r="D15808" s="5" t="s">
        <v>19259</v>
      </c>
      <c r="E15808" s="6" t="str">
        <f>HYPERLINK("https://inpn.mnhn.fr/espece/cd_nom/249459","Lacanobia w-latinum (Hufnagel, 1766)")</f>
        <v>Lacanobia w-latinum (Hufnagel, 1766)</v>
      </c>
      <c r="F15808" s="5" t="s">
        <v>19260</v>
      </c>
      <c r="AH15808" s="4" t="str">
        <f>HYPERLINK("#Statut_biogéographique!A"&amp;_xlfn.XMATCH("P",Statut_biogéographique!A:A,2,1),"P")</f>
        <v>P</v>
      </c>
      <c r="AP15808" s="4" t="s">
        <v>376</v>
      </c>
      <c r="AR15808" s="4" t="s">
        <v>377</v>
      </c>
    </row>
    <row r="15809" spans="1:44">
      <c r="A15809" s="4" t="s">
        <v>10753</v>
      </c>
      <c r="B15809" s="4">
        <v>24946</v>
      </c>
      <c r="D15809" s="5" t="s">
        <v>19261</v>
      </c>
      <c r="E15809" s="6" t="str">
        <f>HYPERLINK("https://inpn.mnhn.fr/espece/cd_nom/24946","Pherbellia ventralis (Fallén, 1820)")</f>
        <v>Pherbellia ventralis (Fallén, 1820)</v>
      </c>
      <c r="AH15809" s="4" t="str">
        <f>HYPERLINK("#Statut_biogéographique!A"&amp;_xlfn.XMATCH("P",Statut_biogéographique!A:A,2,1),"P")</f>
        <v>P</v>
      </c>
      <c r="AP15809" s="4" t="s">
        <v>376</v>
      </c>
      <c r="AR15809" s="4" t="s">
        <v>377</v>
      </c>
    </row>
    <row r="15810" spans="1:44">
      <c r="A15810" s="4" t="s">
        <v>10753</v>
      </c>
      <c r="B15810" s="4">
        <v>249460</v>
      </c>
      <c r="D15810" s="5" t="s">
        <v>19262</v>
      </c>
      <c r="E15810" s="6" t="str">
        <f>HYPERLINK("https://inpn.mnhn.fr/espece/cd_nom/249460","Lacanobia thalassina (Hufnagel, 1766)")</f>
        <v>Lacanobia thalassina (Hufnagel, 1766)</v>
      </c>
      <c r="F15810" s="5" t="s">
        <v>19263</v>
      </c>
      <c r="AH15810" s="4" t="str">
        <f>HYPERLINK("#Statut_biogéographique!A"&amp;_xlfn.XMATCH("P",Statut_biogéographique!A:A,2,1),"P")</f>
        <v>P</v>
      </c>
      <c r="AP15810" s="4" t="s">
        <v>376</v>
      </c>
      <c r="AR15810" s="4" t="s">
        <v>377</v>
      </c>
    </row>
    <row r="15811" spans="1:44" ht="30">
      <c r="A15811" s="4" t="s">
        <v>10753</v>
      </c>
      <c r="B15811" s="4">
        <v>249461</v>
      </c>
      <c r="D15811" s="5" t="s">
        <v>19264</v>
      </c>
      <c r="E15811" s="6" t="str">
        <f>HYPERLINK("https://inpn.mnhn.fr/espece/cd_nom/249461","Lacanobia contigua (Denis &amp; Schiffermüller, 1775)")</f>
        <v>Lacanobia contigua (Denis &amp; Schiffermüller, 1775)</v>
      </c>
      <c r="F15811" s="5" t="s">
        <v>19265</v>
      </c>
      <c r="AH15811" s="4" t="str">
        <f>HYPERLINK("#Statut_biogéographique!A"&amp;_xlfn.XMATCH("P",Statut_biogéographique!A:A,2,1),"P")</f>
        <v>P</v>
      </c>
      <c r="AP15811" s="4" t="s">
        <v>376</v>
      </c>
      <c r="AR15811" s="4" t="s">
        <v>377</v>
      </c>
    </row>
    <row r="15812" spans="1:44" ht="30">
      <c r="A15812" s="4" t="s">
        <v>10753</v>
      </c>
      <c r="B15812" s="4">
        <v>249462</v>
      </c>
      <c r="D15812" s="5" t="s">
        <v>19266</v>
      </c>
      <c r="E15812" s="6" t="str">
        <f>HYPERLINK("https://inpn.mnhn.fr/espece/cd_nom/249462","Lacanobia suasa (Denis &amp; Schiffermüller, 1775)")</f>
        <v>Lacanobia suasa (Denis &amp; Schiffermüller, 1775)</v>
      </c>
      <c r="F15812" s="5" t="s">
        <v>19267</v>
      </c>
      <c r="AH15812" s="4" t="str">
        <f>HYPERLINK("#Statut_biogéographique!A"&amp;_xlfn.XMATCH("P",Statut_biogéographique!A:A,2,1),"P")</f>
        <v>P</v>
      </c>
      <c r="AP15812" s="4" t="s">
        <v>376</v>
      </c>
      <c r="AR15812" s="4" t="s">
        <v>377</v>
      </c>
    </row>
    <row r="15813" spans="1:44">
      <c r="A15813" s="4" t="s">
        <v>10753</v>
      </c>
      <c r="B15813" s="4">
        <v>249463</v>
      </c>
      <c r="D15813" s="5" t="s">
        <v>19268</v>
      </c>
      <c r="E15813" s="6" t="str">
        <f>HYPERLINK("https://inpn.mnhn.fr/espece/cd_nom/249463","Lacanobia oleracea (Linnaeus, 1758)")</f>
        <v>Lacanobia oleracea (Linnaeus, 1758)</v>
      </c>
      <c r="F15813" s="5" t="s">
        <v>19269</v>
      </c>
      <c r="AH15813" s="4" t="str">
        <f>HYPERLINK("#Statut_biogéographique!A"&amp;_xlfn.XMATCH("P",Statut_biogéographique!A:A,2,1),"P")</f>
        <v>P</v>
      </c>
      <c r="AP15813" s="4" t="s">
        <v>376</v>
      </c>
      <c r="AR15813" s="4" t="s">
        <v>377</v>
      </c>
    </row>
    <row r="15814" spans="1:44">
      <c r="A15814" s="4" t="s">
        <v>10753</v>
      </c>
      <c r="B15814" s="4">
        <v>249464</v>
      </c>
      <c r="D15814" s="5" t="s">
        <v>19270</v>
      </c>
      <c r="E15814" s="6" t="str">
        <f>HYPERLINK("https://inpn.mnhn.fr/espece/cd_nom/249464","Lacanobia splendens (Hübner, 1808)")</f>
        <v>Lacanobia splendens (Hübner, 1808)</v>
      </c>
      <c r="F15814" s="5" t="s">
        <v>19271</v>
      </c>
      <c r="AH15814" s="4" t="str">
        <f>HYPERLINK("#Statut_biogéographique!A"&amp;_xlfn.XMATCH("P",Statut_biogéographique!A:A,2,1),"P")</f>
        <v>P</v>
      </c>
      <c r="AP15814" s="4" t="s">
        <v>376</v>
      </c>
      <c r="AR15814" s="4" t="s">
        <v>377</v>
      </c>
    </row>
    <row r="15815" spans="1:44" ht="30">
      <c r="A15815" s="4" t="s">
        <v>10753</v>
      </c>
      <c r="B15815" s="4">
        <v>249467</v>
      </c>
      <c r="D15815" s="5" t="s">
        <v>19272</v>
      </c>
      <c r="E15815" s="6" t="str">
        <f>HYPERLINK("https://inpn.mnhn.fr/espece/cd_nom/249467","Hecatera bicolorata (Hufnagel, 1766)")</f>
        <v>Hecatera bicolorata (Hufnagel, 1766)</v>
      </c>
      <c r="F15815" s="5" t="s">
        <v>19273</v>
      </c>
      <c r="AH15815" s="4" t="str">
        <f>HYPERLINK("#Statut_biogéographique!A"&amp;_xlfn.XMATCH("P",Statut_biogéographique!A:A,2,1),"P")</f>
        <v>P</v>
      </c>
      <c r="AP15815" s="4" t="s">
        <v>376</v>
      </c>
      <c r="AR15815" s="4" t="s">
        <v>377</v>
      </c>
    </row>
    <row r="15816" spans="1:44" ht="30">
      <c r="A15816" s="4" t="s">
        <v>10753</v>
      </c>
      <c r="B15816" s="4">
        <v>249469</v>
      </c>
      <c r="D15816" s="5" t="s">
        <v>19274</v>
      </c>
      <c r="E15816" s="6" t="str">
        <f>HYPERLINK("https://inpn.mnhn.fr/espece/cd_nom/249469","Hecatera dysodea (Denis &amp; Schiffermüller, 1775)")</f>
        <v>Hecatera dysodea (Denis &amp; Schiffermüller, 1775)</v>
      </c>
      <c r="F15816" s="5" t="s">
        <v>19275</v>
      </c>
      <c r="AH15816" s="4" t="str">
        <f>HYPERLINK("#Statut_biogéographique!A"&amp;_xlfn.XMATCH("P",Statut_biogéographique!A:A,2,1),"P")</f>
        <v>P</v>
      </c>
      <c r="AP15816" s="4" t="s">
        <v>376</v>
      </c>
      <c r="AR15816" s="4" t="s">
        <v>377</v>
      </c>
    </row>
    <row r="15817" spans="1:44">
      <c r="A15817" s="4" t="s">
        <v>10753</v>
      </c>
      <c r="B15817" s="4">
        <v>249470</v>
      </c>
      <c r="D15817" s="5" t="s">
        <v>19276</v>
      </c>
      <c r="E15817" s="6" t="str">
        <f>HYPERLINK("https://inpn.mnhn.fr/espece/cd_nom/249470","Hecatera cappa (Hübner, 1809)")</f>
        <v>Hecatera cappa (Hübner, 1809)</v>
      </c>
      <c r="F15817" s="5" t="s">
        <v>19277</v>
      </c>
      <c r="AH15817" s="4" t="str">
        <f>HYPERLINK("#Statut_biogéographique!A"&amp;_xlfn.XMATCH("P",Statut_biogéographique!A:A,2,1),"P")</f>
        <v>P</v>
      </c>
      <c r="AP15817" s="4" t="s">
        <v>376</v>
      </c>
      <c r="AR15817" s="4" t="s">
        <v>377</v>
      </c>
    </row>
    <row r="15818" spans="1:44" ht="30">
      <c r="A15818" s="4" t="s">
        <v>10753</v>
      </c>
      <c r="B15818" s="4">
        <v>249476</v>
      </c>
      <c r="D15818" s="5" t="s">
        <v>19278</v>
      </c>
      <c r="E15818" s="6" t="str">
        <f>HYPERLINK("https://inpn.mnhn.fr/espece/cd_nom/249476","Hadena bicruris (Hufnagel, 1766)")</f>
        <v>Hadena bicruris (Hufnagel, 1766)</v>
      </c>
      <c r="F15818" s="5" t="s">
        <v>19279</v>
      </c>
      <c r="AH15818" s="4" t="str">
        <f>HYPERLINK("#Statut_biogéographique!A"&amp;_xlfn.XMATCH("P",Statut_biogéographique!A:A,2,1),"P")</f>
        <v>P</v>
      </c>
      <c r="AP15818" s="4" t="s">
        <v>376</v>
      </c>
      <c r="AR15818" s="4" t="s">
        <v>377</v>
      </c>
    </row>
    <row r="15819" spans="1:44">
      <c r="A15819" s="4" t="s">
        <v>10753</v>
      </c>
      <c r="B15819" s="4">
        <v>249477</v>
      </c>
      <c r="D15819" s="5" t="s">
        <v>19280</v>
      </c>
      <c r="E15819" s="6" t="str">
        <f>HYPERLINK("https://inpn.mnhn.fr/espece/cd_nom/249477","Hadena magnolii (Boisduval, 1828)")</f>
        <v>Hadena magnolii (Boisduval, 1828)</v>
      </c>
      <c r="F15819" s="5" t="s">
        <v>19281</v>
      </c>
      <c r="AH15819" s="4" t="str">
        <f>HYPERLINK("#Statut_biogéographique!A"&amp;_xlfn.XMATCH("P",Statut_biogéographique!A:A,2,1),"P")</f>
        <v>P</v>
      </c>
      <c r="AP15819" s="4" t="s">
        <v>376</v>
      </c>
      <c r="AR15819" s="4" t="s">
        <v>377</v>
      </c>
    </row>
    <row r="15820" spans="1:44" ht="30">
      <c r="A15820" s="4" t="s">
        <v>10753</v>
      </c>
      <c r="B15820" s="4">
        <v>249478</v>
      </c>
      <c r="D15820" s="5" t="s">
        <v>19282</v>
      </c>
      <c r="E15820" s="6" t="str">
        <f>HYPERLINK("https://inpn.mnhn.fr/espece/cd_nom/249478","Hadena compta (Denis &amp; Schiffermüller, 1775)")</f>
        <v>Hadena compta (Denis &amp; Schiffermüller, 1775)</v>
      </c>
      <c r="F15820" s="5" t="s">
        <v>19283</v>
      </c>
      <c r="AH15820" s="4" t="str">
        <f>HYPERLINK("#Statut_biogéographique!A"&amp;_xlfn.XMATCH("P",Statut_biogéographique!A:A,2,1),"P")</f>
        <v>P</v>
      </c>
      <c r="AP15820" s="4" t="s">
        <v>376</v>
      </c>
      <c r="AR15820" s="4" t="s">
        <v>377</v>
      </c>
    </row>
    <row r="15821" spans="1:44" ht="30">
      <c r="A15821" s="4" t="s">
        <v>10753</v>
      </c>
      <c r="B15821" s="4">
        <v>249479</v>
      </c>
      <c r="D15821" s="5" t="s">
        <v>19284</v>
      </c>
      <c r="E15821" s="6" t="str">
        <f>HYPERLINK("https://inpn.mnhn.fr/espece/cd_nom/249479","Hadena confusa (Hufnagel, 1766)")</f>
        <v>Hadena confusa (Hufnagel, 1766)</v>
      </c>
      <c r="F15821" s="5" t="s">
        <v>19285</v>
      </c>
      <c r="AH15821" s="4" t="str">
        <f>HYPERLINK("#Statut_biogéographique!A"&amp;_xlfn.XMATCH("P",Statut_biogéographique!A:A,2,1),"P")</f>
        <v>P</v>
      </c>
      <c r="AP15821" s="4" t="s">
        <v>376</v>
      </c>
      <c r="AR15821" s="4" t="s">
        <v>377</v>
      </c>
    </row>
    <row r="15822" spans="1:44">
      <c r="A15822" s="4" t="s">
        <v>10753</v>
      </c>
      <c r="B15822" s="4">
        <v>24948</v>
      </c>
      <c r="D15822" s="5" t="s">
        <v>19286</v>
      </c>
      <c r="E15822" s="6" t="str">
        <f>HYPERLINK("https://inpn.mnhn.fr/espece/cd_nom/24948","Pteromicra angustipennis (Staeger, 1845)")</f>
        <v>Pteromicra angustipennis (Staeger, 1845)</v>
      </c>
      <c r="AH15822" s="4" t="str">
        <f>HYPERLINK("#Statut_biogéographique!A"&amp;_xlfn.XMATCH("P",Statut_biogéographique!A:A,2,1),"P")</f>
        <v>P</v>
      </c>
      <c r="AP15822" s="4" t="s">
        <v>376</v>
      </c>
      <c r="AR15822" s="4" t="s">
        <v>377</v>
      </c>
    </row>
    <row r="15823" spans="1:44">
      <c r="A15823" s="4" t="s">
        <v>10753</v>
      </c>
      <c r="B15823" s="4">
        <v>249481</v>
      </c>
      <c r="D15823" s="5" t="s">
        <v>19287</v>
      </c>
      <c r="E15823" s="6" t="str">
        <f>HYPERLINK("https://inpn.mnhn.fr/espece/cd_nom/249481","Hadena albimacula (Borkhausen, 1792)")</f>
        <v>Hadena albimacula (Borkhausen, 1792)</v>
      </c>
      <c r="F15823" s="5" t="s">
        <v>19288</v>
      </c>
      <c r="AH15823" s="4" t="str">
        <f>HYPERLINK("#Statut_biogéographique!A"&amp;_xlfn.XMATCH("P",Statut_biogéographique!A:A,2,1),"P")</f>
        <v>P</v>
      </c>
      <c r="AP15823" s="4" t="s">
        <v>376</v>
      </c>
      <c r="AR15823" s="4" t="s">
        <v>377</v>
      </c>
    </row>
    <row r="15824" spans="1:44">
      <c r="A15824" s="4" t="s">
        <v>10753</v>
      </c>
      <c r="B15824" s="4">
        <v>249482</v>
      </c>
      <c r="D15824" s="5" t="s">
        <v>19289</v>
      </c>
      <c r="E15824" s="6" t="str">
        <f>HYPERLINK("https://inpn.mnhn.fr/espece/cd_nom/249482","Hadena luteocincta (Rambur, 1834)")</f>
        <v>Hadena luteocincta (Rambur, 1834)</v>
      </c>
      <c r="F15824" s="5" t="s">
        <v>19290</v>
      </c>
      <c r="AH15824" s="4" t="str">
        <f>HYPERLINK("#Statut_biogéographique!A"&amp;_xlfn.XMATCH("P",Statut_biogéographique!A:A,2,1),"P")</f>
        <v>P</v>
      </c>
      <c r="AP15824" s="4" t="s">
        <v>376</v>
      </c>
      <c r="AR15824" s="4" t="s">
        <v>377</v>
      </c>
    </row>
    <row r="15825" spans="1:44" ht="45">
      <c r="A15825" s="4" t="s">
        <v>10753</v>
      </c>
      <c r="B15825" s="4">
        <v>249483</v>
      </c>
      <c r="D15825" s="5" t="s">
        <v>19291</v>
      </c>
      <c r="E15825" s="6" t="str">
        <f>HYPERLINK("https://inpn.mnhn.fr/espece/cd_nom/249483","Hadena filograna (Esper, 1788)")</f>
        <v>Hadena filograna (Esper, 1788)</v>
      </c>
      <c r="F15825" s="5" t="s">
        <v>19292</v>
      </c>
      <c r="AH15825" s="4" t="str">
        <f>HYPERLINK("#Statut_biogéographique!A"&amp;_xlfn.XMATCH("P",Statut_biogéographique!A:A,2,1),"P")</f>
        <v>P</v>
      </c>
      <c r="AP15825" s="4" t="s">
        <v>376</v>
      </c>
      <c r="AR15825" s="4" t="s">
        <v>377</v>
      </c>
    </row>
    <row r="15826" spans="1:44">
      <c r="A15826" s="4" t="s">
        <v>10753</v>
      </c>
      <c r="B15826" s="4">
        <v>249485</v>
      </c>
      <c r="D15826" s="5" t="s">
        <v>19293</v>
      </c>
      <c r="E15826" s="6" t="str">
        <f>HYPERLINK("https://inpn.mnhn.fr/espece/cd_nom/249485","Hadena caesia (Denis &amp; Schiffermüller, 1775)")</f>
        <v>Hadena caesia (Denis &amp; Schiffermüller, 1775)</v>
      </c>
      <c r="F15826" s="5" t="s">
        <v>19294</v>
      </c>
      <c r="AH15826" s="4" t="str">
        <f>HYPERLINK("#Statut_biogéographique!A"&amp;_xlfn.XMATCH("P",Statut_biogéographique!A:A,2,1),"P")</f>
        <v>P</v>
      </c>
      <c r="AP15826" s="4" t="s">
        <v>376</v>
      </c>
      <c r="AR15826" s="4" t="s">
        <v>377</v>
      </c>
    </row>
    <row r="15827" spans="1:44" ht="30">
      <c r="A15827" s="4" t="s">
        <v>10753</v>
      </c>
      <c r="B15827" s="4">
        <v>249487</v>
      </c>
      <c r="D15827" s="5" t="s">
        <v>19295</v>
      </c>
      <c r="E15827" s="6" t="str">
        <f>HYPERLINK("https://inpn.mnhn.fr/espece/cd_nom/249487","Hadena perplexa (Denis &amp; Schiffermüller, 1775)")</f>
        <v>Hadena perplexa (Denis &amp; Schiffermüller, 1775)</v>
      </c>
      <c r="F15827" s="5" t="s">
        <v>19296</v>
      </c>
      <c r="AH15827" s="4" t="str">
        <f>HYPERLINK("#Statut_biogéographique!A"&amp;_xlfn.XMATCH("P",Statut_biogéographique!A:A,2,1),"P")</f>
        <v>P</v>
      </c>
      <c r="AP15827" s="4" t="s">
        <v>376</v>
      </c>
      <c r="AR15827" s="4" t="s">
        <v>377</v>
      </c>
    </row>
    <row r="15828" spans="1:44" ht="30">
      <c r="A15828" s="4" t="s">
        <v>10753</v>
      </c>
      <c r="B15828" s="4">
        <v>249490</v>
      </c>
      <c r="D15828" s="5" t="s">
        <v>19297</v>
      </c>
      <c r="E15828" s="6" t="str">
        <f>HYPERLINK("https://inpn.mnhn.fr/espece/cd_nom/249490","Hadena silenes (Hübner, 1822)")</f>
        <v>Hadena silenes (Hübner, 1822)</v>
      </c>
      <c r="F15828" s="5" t="s">
        <v>19298</v>
      </c>
      <c r="AH15828" s="4" t="str">
        <f>HYPERLINK("#Statut_biogéographique!A"&amp;_xlfn.XMATCH("P",Statut_biogéographique!A:A,2,1),"P")</f>
        <v>P</v>
      </c>
      <c r="AP15828" s="4" t="s">
        <v>376</v>
      </c>
      <c r="AR15828" s="4" t="s">
        <v>377</v>
      </c>
    </row>
    <row r="15829" spans="1:44" ht="30">
      <c r="A15829" s="4" t="s">
        <v>10753</v>
      </c>
      <c r="B15829" s="4">
        <v>249493</v>
      </c>
      <c r="D15829" s="5" t="s">
        <v>19299</v>
      </c>
      <c r="E15829" s="6" t="str">
        <f>HYPERLINK("https://inpn.mnhn.fr/espece/cd_nom/249493","Hada plebeja (Linnaeus, 1761)")</f>
        <v>Hada plebeja (Linnaeus, 1761)</v>
      </c>
      <c r="F15829" s="5" t="s">
        <v>19300</v>
      </c>
      <c r="AH15829" s="4" t="str">
        <f>HYPERLINK("#Statut_biogéographique!A"&amp;_xlfn.XMATCH("P",Statut_biogéographique!A:A,2,1),"P")</f>
        <v>P</v>
      </c>
      <c r="AP15829" s="4" t="s">
        <v>376</v>
      </c>
      <c r="AR15829" s="4" t="s">
        <v>377</v>
      </c>
    </row>
    <row r="15830" spans="1:44">
      <c r="A15830" s="4" t="s">
        <v>10753</v>
      </c>
      <c r="B15830" s="4">
        <v>249495</v>
      </c>
      <c r="D15830" s="5" t="s">
        <v>19301</v>
      </c>
      <c r="E15830" s="6" t="str">
        <f>HYPERLINK("https://inpn.mnhn.fr/espece/cd_nom/249495","Coranarta cordigera (Thunberg, 1788)")</f>
        <v>Coranarta cordigera (Thunberg, 1788)</v>
      </c>
      <c r="F15830" s="5" t="s">
        <v>19302</v>
      </c>
      <c r="AH15830" s="4" t="str">
        <f>HYPERLINK("#Statut_biogéographique!A"&amp;_xlfn.XMATCH("P",Statut_biogéographique!A:A,2,1),"P")</f>
        <v>P</v>
      </c>
      <c r="AP15830" s="4" t="s">
        <v>376</v>
      </c>
      <c r="AR15830" s="4" t="s">
        <v>377</v>
      </c>
    </row>
    <row r="15831" spans="1:44" ht="30">
      <c r="A15831" s="4" t="s">
        <v>10753</v>
      </c>
      <c r="B15831" s="4">
        <v>249497</v>
      </c>
      <c r="D15831" s="5" t="s">
        <v>19303</v>
      </c>
      <c r="E15831" s="6" t="str">
        <f>HYPERLINK("https://inpn.mnhn.fr/espece/cd_nom/249497","Conisania luteago (Denis &amp; Schiffermüller, 1775)")</f>
        <v>Conisania luteago (Denis &amp; Schiffermüller, 1775)</v>
      </c>
      <c r="F15831" s="5" t="s">
        <v>19304</v>
      </c>
      <c r="AH15831" s="4" t="str">
        <f>HYPERLINK("#Statut_biogéographique!A"&amp;_xlfn.XMATCH("P",Statut_biogéographique!A:A,2,1),"P")</f>
        <v>P</v>
      </c>
      <c r="AP15831" s="4" t="s">
        <v>376</v>
      </c>
      <c r="AR15831" s="4" t="s">
        <v>377</v>
      </c>
    </row>
    <row r="15832" spans="1:44">
      <c r="A15832" s="4" t="s">
        <v>10753</v>
      </c>
      <c r="B15832" s="4">
        <v>249498</v>
      </c>
      <c r="D15832" s="5" t="s">
        <v>19305</v>
      </c>
      <c r="E15832" s="6" t="str">
        <f>HYPERLINK("https://inpn.mnhn.fr/espece/cd_nom/249498","Cerapteryx graminis (Linnaeus, 1758)")</f>
        <v>Cerapteryx graminis (Linnaeus, 1758)</v>
      </c>
      <c r="F15832" s="5" t="s">
        <v>19306</v>
      </c>
      <c r="AH15832" s="4" t="str">
        <f>HYPERLINK("#Statut_biogéographique!A"&amp;_xlfn.XMATCH("P",Statut_biogéographique!A:A,2,1),"P")</f>
        <v>P</v>
      </c>
      <c r="AP15832" s="4" t="s">
        <v>376</v>
      </c>
      <c r="AR15832" s="4" t="s">
        <v>377</v>
      </c>
    </row>
    <row r="15833" spans="1:44">
      <c r="A15833" s="4" t="s">
        <v>10753</v>
      </c>
      <c r="B15833" s="4">
        <v>249499</v>
      </c>
      <c r="D15833" s="5" t="s">
        <v>19307</v>
      </c>
      <c r="E15833" s="6" t="str">
        <f>HYPERLINK("https://inpn.mnhn.fr/espece/cd_nom/249499","Ceramica pisi (Linnaeus, 1758)")</f>
        <v>Ceramica pisi (Linnaeus, 1758)</v>
      </c>
      <c r="F15833" s="5" t="s">
        <v>19308</v>
      </c>
      <c r="AH15833" s="4" t="str">
        <f>HYPERLINK("#Statut_biogéographique!A"&amp;_xlfn.XMATCH("P",Statut_biogéographique!A:A,2,1),"P")</f>
        <v>P</v>
      </c>
      <c r="AP15833" s="4" t="s">
        <v>376</v>
      </c>
      <c r="AR15833" s="4" t="s">
        <v>377</v>
      </c>
    </row>
    <row r="15834" spans="1:44">
      <c r="A15834" s="4" t="s">
        <v>10753</v>
      </c>
      <c r="B15834" s="4">
        <v>249501</v>
      </c>
      <c r="D15834" s="5" t="s">
        <v>19309</v>
      </c>
      <c r="E15834" s="6" t="str">
        <f>HYPERLINK("https://inpn.mnhn.fr/espece/cd_nom/249501","Anarta myrtilli (Linnaeus, 1761)")</f>
        <v>Anarta myrtilli (Linnaeus, 1761)</v>
      </c>
      <c r="F15834" s="5" t="s">
        <v>19310</v>
      </c>
      <c r="AH15834" s="4" t="str">
        <f>HYPERLINK("#Statut_biogéographique!A"&amp;_xlfn.XMATCH("P",Statut_biogéographique!A:A,2,1),"P")</f>
        <v>P</v>
      </c>
      <c r="AP15834" s="4" t="s">
        <v>376</v>
      </c>
      <c r="AR15834" s="4" t="s">
        <v>377</v>
      </c>
    </row>
    <row r="15835" spans="1:44">
      <c r="A15835" s="4" t="s">
        <v>10753</v>
      </c>
      <c r="B15835" s="4">
        <v>249502</v>
      </c>
      <c r="D15835" s="5" t="s">
        <v>19311</v>
      </c>
      <c r="E15835" s="6" t="str">
        <f>HYPERLINK("https://inpn.mnhn.fr/espece/cd_nom/249502","Trachea atriplicis (Linnaeus, 1758)")</f>
        <v>Trachea atriplicis (Linnaeus, 1758)</v>
      </c>
      <c r="F15835" s="5" t="s">
        <v>19312</v>
      </c>
      <c r="AH15835" s="4" t="str">
        <f>HYPERLINK("#Statut_biogéographique!A"&amp;_xlfn.XMATCH("P",Statut_biogéographique!A:A,2,1),"P")</f>
        <v>P</v>
      </c>
      <c r="AP15835" s="4" t="s">
        <v>376</v>
      </c>
      <c r="AR15835" s="4" t="s">
        <v>377</v>
      </c>
    </row>
    <row r="15836" spans="1:44" ht="30">
      <c r="A15836" s="4" t="s">
        <v>10753</v>
      </c>
      <c r="B15836" s="4">
        <v>249503</v>
      </c>
      <c r="D15836" s="5" t="s">
        <v>19313</v>
      </c>
      <c r="E15836" s="6" t="str">
        <f>HYPERLINK("https://inpn.mnhn.fr/espece/cd_nom/249503","Thalpophila matura (Hufnagel, 1766)")</f>
        <v>Thalpophila matura (Hufnagel, 1766)</v>
      </c>
      <c r="F15836" s="5" t="s">
        <v>19314</v>
      </c>
      <c r="AH15836" s="4" t="str">
        <f>HYPERLINK("#Statut_biogéographique!A"&amp;_xlfn.XMATCH("P",Statut_biogéographique!A:A,2,1),"P")</f>
        <v>P</v>
      </c>
      <c r="AP15836" s="4" t="s">
        <v>376</v>
      </c>
      <c r="AR15836" s="4" t="s">
        <v>377</v>
      </c>
    </row>
    <row r="15837" spans="1:44" ht="30">
      <c r="A15837" s="4" t="s">
        <v>10753</v>
      </c>
      <c r="B15837" s="4">
        <v>249507</v>
      </c>
      <c r="D15837" s="5" t="s">
        <v>19315</v>
      </c>
      <c r="E15837" s="6" t="str">
        <f>HYPERLINK("https://inpn.mnhn.fr/espece/cd_nom/249507","Rusina ferruginea (Esper, 1785)")</f>
        <v>Rusina ferruginea (Esper, 1785)</v>
      </c>
      <c r="F15837" s="5" t="s">
        <v>19316</v>
      </c>
      <c r="AH15837" s="4" t="str">
        <f>HYPERLINK("#Statut_biogéographique!A"&amp;_xlfn.XMATCH("P",Statut_biogéographique!A:A,2,1),"P")</f>
        <v>P</v>
      </c>
      <c r="AP15837" s="4" t="s">
        <v>376</v>
      </c>
      <c r="AR15837" s="4" t="s">
        <v>377</v>
      </c>
    </row>
    <row r="15838" spans="1:44">
      <c r="A15838" s="4" t="s">
        <v>10753</v>
      </c>
      <c r="B15838" s="4">
        <v>249509</v>
      </c>
      <c r="D15838" s="5" t="s">
        <v>19317</v>
      </c>
      <c r="E15838" s="6" t="str">
        <f>HYPERLINK("https://inpn.mnhn.fr/espece/cd_nom/249509","Proxenus hospes (Freyer, 1831)")</f>
        <v>Proxenus hospes (Freyer, 1831)</v>
      </c>
      <c r="F15838" s="5" t="s">
        <v>19318</v>
      </c>
      <c r="AH15838" s="4" t="str">
        <f>HYPERLINK("#Statut_biogéographique!A"&amp;_xlfn.XMATCH("P",Statut_biogéographique!A:A,2,1),"P")</f>
        <v>P</v>
      </c>
      <c r="AP15838" s="4" t="s">
        <v>376</v>
      </c>
      <c r="AR15838" s="4" t="s">
        <v>377</v>
      </c>
    </row>
    <row r="15839" spans="1:44">
      <c r="A15839" s="4" t="s">
        <v>10753</v>
      </c>
      <c r="B15839" s="4">
        <v>24951</v>
      </c>
      <c r="D15839" s="5" t="s">
        <v>19319</v>
      </c>
      <c r="E15839" s="6" t="str">
        <f>HYPERLINK("https://inpn.mnhn.fr/espece/cd_nom/24951","Pteromicra leucopeza (Meigen, 1838)")</f>
        <v>Pteromicra leucopeza (Meigen, 1838)</v>
      </c>
      <c r="AH15839" s="4" t="str">
        <f>HYPERLINK("#Statut_biogéographique!A"&amp;_xlfn.XMATCH("P",Statut_biogéographique!A:A,2,1),"P")</f>
        <v>P</v>
      </c>
      <c r="AP15839" s="4" t="s">
        <v>376</v>
      </c>
      <c r="AR15839" s="4" t="s">
        <v>377</v>
      </c>
    </row>
    <row r="15840" spans="1:44" ht="30">
      <c r="A15840" s="4" t="s">
        <v>10753</v>
      </c>
      <c r="B15840" s="4">
        <v>249511</v>
      </c>
      <c r="D15840" s="5" t="s">
        <v>19320</v>
      </c>
      <c r="E15840" s="6" t="str">
        <f>HYPERLINK("https://inpn.mnhn.fr/espece/cd_nom/249511","Polyphaenis sericata (Esper, 1787)")</f>
        <v>Polyphaenis sericata (Esper, 1787)</v>
      </c>
      <c r="F15840" s="5" t="s">
        <v>19321</v>
      </c>
      <c r="AH15840" s="4" t="str">
        <f>HYPERLINK("#Statut_biogéographique!A"&amp;_xlfn.XMATCH("P",Statut_biogéographique!A:A,2,1),"P")</f>
        <v>P</v>
      </c>
      <c r="AP15840" s="4" t="s">
        <v>376</v>
      </c>
      <c r="AR15840" s="4" t="s">
        <v>377</v>
      </c>
    </row>
    <row r="15841" spans="1:44">
      <c r="A15841" s="4" t="s">
        <v>10753</v>
      </c>
      <c r="B15841" s="4">
        <v>249513</v>
      </c>
      <c r="D15841" s="5" t="s">
        <v>19322</v>
      </c>
      <c r="E15841" s="6" t="str">
        <f>HYPERLINK("https://inpn.mnhn.fr/espece/cd_nom/249513","Phlogophora meticulosa (Linnaeus, 1758)")</f>
        <v>Phlogophora meticulosa (Linnaeus, 1758)</v>
      </c>
      <c r="F15841" s="5" t="s">
        <v>19323</v>
      </c>
      <c r="AH15841" s="4" t="str">
        <f>HYPERLINK("#Statut_biogéographique!A"&amp;_xlfn.XMATCH("P",Statut_biogéographique!A:A,2,1),"P")</f>
        <v>P</v>
      </c>
      <c r="AP15841" s="4" t="s">
        <v>376</v>
      </c>
      <c r="AR15841" s="4" t="s">
        <v>377</v>
      </c>
    </row>
    <row r="15842" spans="1:44">
      <c r="A15842" s="4" t="s">
        <v>10753</v>
      </c>
      <c r="B15842" s="4">
        <v>249514</v>
      </c>
      <c r="D15842" s="5" t="s">
        <v>19324</v>
      </c>
      <c r="E15842" s="6" t="str">
        <f>HYPERLINK("https://inpn.mnhn.fr/espece/cd_nom/249514","Phlogophora scita (Hübner, 1790)")</f>
        <v>Phlogophora scita (Hübner, 1790)</v>
      </c>
      <c r="F15842" s="5" t="s">
        <v>19325</v>
      </c>
      <c r="AH15842" s="4" t="str">
        <f>HYPERLINK("#Statut_biogéographique!A"&amp;_xlfn.XMATCH("P",Statut_biogéographique!A:A,2,1),"P")</f>
        <v>P</v>
      </c>
      <c r="AP15842" s="4" t="s">
        <v>376</v>
      </c>
      <c r="AR15842" s="4" t="s">
        <v>377</v>
      </c>
    </row>
    <row r="15843" spans="1:44">
      <c r="A15843" s="4" t="s">
        <v>10753</v>
      </c>
      <c r="B15843" s="4">
        <v>249515</v>
      </c>
      <c r="D15843" s="5" t="s">
        <v>19326</v>
      </c>
      <c r="E15843" s="6" t="str">
        <f>HYPERLINK("https://inpn.mnhn.fr/espece/cd_nom/249515","Parastichtis suspecta (Hübner, 1817)")</f>
        <v>Parastichtis suspecta (Hübner, 1817)</v>
      </c>
      <c r="F15843" s="5" t="s">
        <v>19327</v>
      </c>
      <c r="AH15843" s="4" t="str">
        <f>HYPERLINK("#Statut_biogéographique!A"&amp;_xlfn.XMATCH("P",Statut_biogéographique!A:A,2,1),"P")</f>
        <v>P</v>
      </c>
      <c r="AP15843" s="4" t="s">
        <v>376</v>
      </c>
      <c r="AR15843" s="4" t="s">
        <v>377</v>
      </c>
    </row>
    <row r="15844" spans="1:44">
      <c r="A15844" s="4" t="s">
        <v>10753</v>
      </c>
      <c r="B15844" s="4">
        <v>249517</v>
      </c>
      <c r="D15844" s="5" t="s">
        <v>19328</v>
      </c>
      <c r="E15844" s="6" t="str">
        <f>HYPERLINK("https://inpn.mnhn.fr/espece/cd_nom/249517","Mormo maura (Linnaeus, 1758)")</f>
        <v>Mormo maura (Linnaeus, 1758)</v>
      </c>
      <c r="F15844" s="5" t="s">
        <v>19329</v>
      </c>
      <c r="AH15844" s="4" t="str">
        <f>HYPERLINK("#Statut_biogéographique!A"&amp;_xlfn.XMATCH("P",Statut_biogéographique!A:A,2,1),"P")</f>
        <v>P</v>
      </c>
      <c r="AP15844" s="4" t="s">
        <v>376</v>
      </c>
      <c r="AR15844" s="4" t="s">
        <v>377</v>
      </c>
    </row>
    <row r="15845" spans="1:44" ht="30">
      <c r="A15845" s="4" t="s">
        <v>10753</v>
      </c>
      <c r="B15845" s="4">
        <v>249519</v>
      </c>
      <c r="D15845" s="5" t="s">
        <v>19330</v>
      </c>
      <c r="E15845" s="6" t="str">
        <f>HYPERLINK("https://inpn.mnhn.fr/espece/cd_nom/249519","Mesogona acetosellae (Denis &amp; Schiffermüller, 1775)")</f>
        <v>Mesogona acetosellae (Denis &amp; Schiffermüller, 1775)</v>
      </c>
      <c r="F15845" s="5" t="s">
        <v>19331</v>
      </c>
      <c r="AH15845" s="4" t="str">
        <f>HYPERLINK("#Statut_biogéographique!A"&amp;_xlfn.XMATCH("P",Statut_biogéographique!A:A,2,1),"P")</f>
        <v>P</v>
      </c>
      <c r="AP15845" s="4" t="s">
        <v>376</v>
      </c>
      <c r="AR15845" s="4" t="s">
        <v>377</v>
      </c>
    </row>
    <row r="15846" spans="1:44">
      <c r="A15846" s="4" t="s">
        <v>10753</v>
      </c>
      <c r="B15846" s="4">
        <v>249520</v>
      </c>
      <c r="D15846" s="5" t="s">
        <v>19332</v>
      </c>
      <c r="E15846" s="6" t="str">
        <f>HYPERLINK("https://inpn.mnhn.fr/espece/cd_nom/249520","Mesogona oxalina (Hübner, 1803)")</f>
        <v>Mesogona oxalina (Hübner, 1803)</v>
      </c>
      <c r="F15846" s="5" t="s">
        <v>19333</v>
      </c>
      <c r="AH15846" s="4" t="str">
        <f>HYPERLINK("#Statut_biogéographique!A"&amp;_xlfn.XMATCH("P",Statut_biogéographique!A:A,2,1),"P")</f>
        <v>P</v>
      </c>
      <c r="AP15846" s="4" t="s">
        <v>376</v>
      </c>
      <c r="AR15846" s="4" t="s">
        <v>377</v>
      </c>
    </row>
    <row r="15847" spans="1:44">
      <c r="A15847" s="4" t="s">
        <v>10753</v>
      </c>
      <c r="B15847" s="4">
        <v>249521</v>
      </c>
      <c r="D15847" s="5" t="s">
        <v>19334</v>
      </c>
      <c r="E15847" s="6" t="str">
        <f>HYPERLINK("https://inpn.mnhn.fr/espece/cd_nom/249521","Ipimorpha retusa (Linnaeus, 1761)")</f>
        <v>Ipimorpha retusa (Linnaeus, 1761)</v>
      </c>
      <c r="F15847" s="5" t="s">
        <v>19335</v>
      </c>
      <c r="AH15847" s="4" t="str">
        <f>HYPERLINK("#Statut_biogéographique!A"&amp;_xlfn.XMATCH("P",Statut_biogéographique!A:A,2,1),"P")</f>
        <v>P</v>
      </c>
      <c r="AP15847" s="4" t="s">
        <v>376</v>
      </c>
      <c r="AR15847" s="4" t="s">
        <v>377</v>
      </c>
    </row>
    <row r="15848" spans="1:44" ht="30">
      <c r="A15848" s="4" t="s">
        <v>10753</v>
      </c>
      <c r="B15848" s="4">
        <v>249522</v>
      </c>
      <c r="D15848" s="5" t="s">
        <v>19336</v>
      </c>
      <c r="E15848" s="6" t="str">
        <f>HYPERLINK("https://inpn.mnhn.fr/espece/cd_nom/249522","Ipimorpha subtusa (Denis &amp; Schiffermüller, 1775)")</f>
        <v>Ipimorpha subtusa (Denis &amp; Schiffermüller, 1775)</v>
      </c>
      <c r="F15848" s="5" t="s">
        <v>18837</v>
      </c>
      <c r="AH15848" s="4" t="str">
        <f>HYPERLINK("#Statut_biogéographique!A"&amp;_xlfn.XMATCH("P",Statut_biogéographique!A:A,2,1),"P")</f>
        <v>P</v>
      </c>
      <c r="AP15848" s="4" t="s">
        <v>376</v>
      </c>
      <c r="AR15848" s="4" t="s">
        <v>377</v>
      </c>
    </row>
    <row r="15849" spans="1:44">
      <c r="A15849" s="4" t="s">
        <v>10753</v>
      </c>
      <c r="B15849" s="4">
        <v>249523</v>
      </c>
      <c r="D15849" s="5" t="s">
        <v>19337</v>
      </c>
      <c r="E15849" s="6" t="str">
        <f>HYPERLINK("https://inpn.mnhn.fr/espece/cd_nom/249523","Hyppa rectilinea (Esper, 1788)")</f>
        <v>Hyppa rectilinea (Esper, 1788)</v>
      </c>
      <c r="F15849" s="5" t="s">
        <v>19338</v>
      </c>
      <c r="AH15849" s="4" t="str">
        <f>HYPERLINK("#Statut_biogéographique!A"&amp;_xlfn.XMATCH("P",Statut_biogéographique!A:A,2,1),"P")</f>
        <v>P</v>
      </c>
      <c r="AP15849" s="4" t="s">
        <v>376</v>
      </c>
      <c r="AR15849" s="4" t="s">
        <v>377</v>
      </c>
    </row>
    <row r="15850" spans="1:44">
      <c r="A15850" s="4" t="s">
        <v>10753</v>
      </c>
      <c r="B15850" s="4">
        <v>249525</v>
      </c>
      <c r="D15850" s="5" t="s">
        <v>19339</v>
      </c>
      <c r="E15850" s="6" t="str">
        <f>HYPERLINK("https://inpn.mnhn.fr/espece/cd_nom/249525","Euplexia lucipara (Linnaeus, 1758)")</f>
        <v>Euplexia lucipara (Linnaeus, 1758)</v>
      </c>
      <c r="F15850" s="5" t="s">
        <v>19340</v>
      </c>
      <c r="AH15850" s="4" t="str">
        <f>HYPERLINK("#Statut_biogéographique!A"&amp;_xlfn.XMATCH("P",Statut_biogéographique!A:A,2,1),"P")</f>
        <v>P</v>
      </c>
      <c r="AP15850" s="4" t="s">
        <v>376</v>
      </c>
      <c r="AR15850" s="4" t="s">
        <v>377</v>
      </c>
    </row>
    <row r="15851" spans="1:44">
      <c r="A15851" s="4" t="s">
        <v>10753</v>
      </c>
      <c r="B15851" s="4">
        <v>249526</v>
      </c>
      <c r="D15851" s="5" t="s">
        <v>19341</v>
      </c>
      <c r="E15851" s="6" t="str">
        <f>HYPERLINK("https://inpn.mnhn.fr/espece/cd_nom/249526","Eucarta amethystina (Hübner, 1803)")</f>
        <v>Eucarta amethystina (Hübner, 1803)</v>
      </c>
      <c r="F15851" s="5" t="s">
        <v>19342</v>
      </c>
      <c r="AH15851" s="4" t="str">
        <f>HYPERLINK("#Statut_biogéographique!A"&amp;_xlfn.XMATCH("P",Statut_biogéographique!A:A,2,1),"P")</f>
        <v>P</v>
      </c>
      <c r="AP15851" s="4" t="s">
        <v>376</v>
      </c>
      <c r="AR15851" s="4" t="s">
        <v>377</v>
      </c>
    </row>
    <row r="15852" spans="1:44">
      <c r="A15852" s="4" t="s">
        <v>10753</v>
      </c>
      <c r="B15852" s="4">
        <v>249527</v>
      </c>
      <c r="D15852" s="5" t="s">
        <v>19343</v>
      </c>
      <c r="E15852" s="6" t="str">
        <f>HYPERLINK("https://inpn.mnhn.fr/espece/cd_nom/249527","Enargia paleacea (Esper, 1788)")</f>
        <v>Enargia paleacea (Esper, 1788)</v>
      </c>
      <c r="F15852" s="5" t="s">
        <v>19344</v>
      </c>
      <c r="AH15852" s="4" t="str">
        <f>HYPERLINK("#Statut_biogéographique!A"&amp;_xlfn.XMATCH("P",Statut_biogéographique!A:A,2,1),"P")</f>
        <v>P</v>
      </c>
      <c r="AP15852" s="4" t="s">
        <v>376</v>
      </c>
      <c r="AR15852" s="4" t="s">
        <v>377</v>
      </c>
    </row>
    <row r="15853" spans="1:44">
      <c r="A15853" s="4" t="s">
        <v>10753</v>
      </c>
      <c r="B15853" s="4">
        <v>249528</v>
      </c>
      <c r="D15853" s="5" t="s">
        <v>19345</v>
      </c>
      <c r="E15853" s="6" t="str">
        <f>HYPERLINK("https://inpn.mnhn.fr/espece/cd_nom/249528","Dypterygia scabriuscula (Linnaeus, 1758)")</f>
        <v>Dypterygia scabriuscula (Linnaeus, 1758)</v>
      </c>
      <c r="F15853" s="5" t="s">
        <v>19346</v>
      </c>
      <c r="AH15853" s="4" t="str">
        <f>HYPERLINK("#Statut_biogéographique!A"&amp;_xlfn.XMATCH("P",Statut_biogéographique!A:A,2,1),"P")</f>
        <v>P</v>
      </c>
      <c r="AP15853" s="4" t="s">
        <v>376</v>
      </c>
      <c r="AR15853" s="4" t="s">
        <v>377</v>
      </c>
    </row>
    <row r="15854" spans="1:44">
      <c r="A15854" s="4" t="s">
        <v>10753</v>
      </c>
      <c r="B15854" s="4">
        <v>249529</v>
      </c>
      <c r="D15854" s="5" t="s">
        <v>19347</v>
      </c>
      <c r="E15854" s="6" t="str">
        <f>HYPERLINK("https://inpn.mnhn.fr/espece/cd_nom/249529","Dicycla oo (Linnaeus, 1758)")</f>
        <v>Dicycla oo (Linnaeus, 1758)</v>
      </c>
      <c r="F15854" s="5" t="s">
        <v>19348</v>
      </c>
      <c r="AH15854" s="4" t="str">
        <f>HYPERLINK("#Statut_biogéographique!A"&amp;_xlfn.XMATCH("P",Statut_biogéographique!A:A,2,1),"P")</f>
        <v>P</v>
      </c>
      <c r="AP15854" s="4" t="s">
        <v>376</v>
      </c>
      <c r="AR15854" s="4" t="s">
        <v>377</v>
      </c>
    </row>
    <row r="15855" spans="1:44">
      <c r="A15855" s="4" t="s">
        <v>10753</v>
      </c>
      <c r="B15855" s="4">
        <v>24953</v>
      </c>
      <c r="D15855" s="5">
        <v>24953</v>
      </c>
      <c r="E15855" s="6" t="str">
        <f>HYPERLINK("https://inpn.mnhn.fr/espece/cd_nom/24953","Sciomyza dryomyzina Zetterstedt, 1846")</f>
        <v>Sciomyza dryomyzina Zetterstedt, 1846</v>
      </c>
      <c r="AH15855" s="4" t="str">
        <f>HYPERLINK("#Statut_biogéographique!A"&amp;_xlfn.XMATCH("P",Statut_biogéographique!A:A,2,1),"P")</f>
        <v>P</v>
      </c>
      <c r="AP15855" s="4" t="s">
        <v>376</v>
      </c>
      <c r="AR15855" s="4" t="s">
        <v>377</v>
      </c>
    </row>
    <row r="15856" spans="1:44">
      <c r="A15856" s="4" t="s">
        <v>10753</v>
      </c>
      <c r="B15856" s="4">
        <v>249530</v>
      </c>
      <c r="D15856" s="5" t="s">
        <v>19349</v>
      </c>
      <c r="E15856" s="6" t="str">
        <f>HYPERLINK("https://inpn.mnhn.fr/espece/cd_nom/249530","Crypsedra gemmea (Treitschke, 1825)")</f>
        <v>Crypsedra gemmea (Treitschke, 1825)</v>
      </c>
      <c r="F15856" s="5" t="s">
        <v>19350</v>
      </c>
      <c r="AH15856" s="4" t="str">
        <f>HYPERLINK("#Statut_biogéographique!A"&amp;_xlfn.XMATCH("P",Statut_biogéographique!A:A,2,1),"P")</f>
        <v>P</v>
      </c>
      <c r="AP15856" s="4" t="s">
        <v>376</v>
      </c>
      <c r="AR15856" s="4" t="s">
        <v>377</v>
      </c>
    </row>
    <row r="15857" spans="1:44">
      <c r="A15857" s="4" t="s">
        <v>10753</v>
      </c>
      <c r="B15857" s="4">
        <v>249531</v>
      </c>
      <c r="D15857" s="5" t="s">
        <v>19351</v>
      </c>
      <c r="E15857" s="6" t="str">
        <f>HYPERLINK("https://inpn.mnhn.fr/espece/cd_nom/249531","Cosmia diffinis (Linnaeus, 1767)")</f>
        <v>Cosmia diffinis (Linnaeus, 1767)</v>
      </c>
      <c r="F15857" s="5" t="s">
        <v>19352</v>
      </c>
      <c r="AH15857" s="4" t="str">
        <f>HYPERLINK("#Statut_biogéographique!A"&amp;_xlfn.XMATCH("P",Statut_biogéographique!A:A,2,1),"P")</f>
        <v>P</v>
      </c>
      <c r="AP15857" s="4" t="s">
        <v>376</v>
      </c>
      <c r="AR15857" s="4" t="s">
        <v>377</v>
      </c>
    </row>
    <row r="15858" spans="1:44">
      <c r="A15858" s="4" t="s">
        <v>10753</v>
      </c>
      <c r="B15858" s="4">
        <v>249532</v>
      </c>
      <c r="D15858" s="5" t="s">
        <v>19353</v>
      </c>
      <c r="E15858" s="6" t="str">
        <f>HYPERLINK("https://inpn.mnhn.fr/espece/cd_nom/249532","Cosmia affinis (Linnaeus, 1767)")</f>
        <v>Cosmia affinis (Linnaeus, 1767)</v>
      </c>
      <c r="F15858" s="5" t="s">
        <v>19354</v>
      </c>
      <c r="AH15858" s="4" t="str">
        <f>HYPERLINK("#Statut_biogéographique!A"&amp;_xlfn.XMATCH("P",Statut_biogéographique!A:A,2,1),"P")</f>
        <v>P</v>
      </c>
      <c r="AP15858" s="4" t="s">
        <v>376</v>
      </c>
      <c r="AR15858" s="4" t="s">
        <v>377</v>
      </c>
    </row>
    <row r="15859" spans="1:44" ht="30">
      <c r="A15859" s="4" t="s">
        <v>10753</v>
      </c>
      <c r="B15859" s="4">
        <v>249533</v>
      </c>
      <c r="D15859" s="5" t="s">
        <v>19355</v>
      </c>
      <c r="E15859" s="6" t="str">
        <f>HYPERLINK("https://inpn.mnhn.fr/espece/cd_nom/249533","Cosmia pyralina (Denis &amp; Schiffermüller, 1775)")</f>
        <v>Cosmia pyralina (Denis &amp; Schiffermüller, 1775)</v>
      </c>
      <c r="F15859" s="5" t="s">
        <v>19356</v>
      </c>
      <c r="AH15859" s="4" t="str">
        <f>HYPERLINK("#Statut_biogéographique!A"&amp;_xlfn.XMATCH("P",Statut_biogéographique!A:A,2,1),"P")</f>
        <v>P</v>
      </c>
      <c r="AP15859" s="4" t="s">
        <v>376</v>
      </c>
      <c r="AR15859" s="4" t="s">
        <v>377</v>
      </c>
    </row>
    <row r="15860" spans="1:44">
      <c r="A15860" s="4" t="s">
        <v>10753</v>
      </c>
      <c r="B15860" s="4">
        <v>249534</v>
      </c>
      <c r="D15860" s="5" t="s">
        <v>19357</v>
      </c>
      <c r="E15860" s="6" t="str">
        <f>HYPERLINK("https://inpn.mnhn.fr/espece/cd_nom/249534","Cosmia trapezina (Linnaeus, 1758)")</f>
        <v>Cosmia trapezina (Linnaeus, 1758)</v>
      </c>
      <c r="F15860" s="5" t="s">
        <v>19358</v>
      </c>
      <c r="AH15860" s="4" t="str">
        <f>HYPERLINK("#Statut_biogéographique!A"&amp;_xlfn.XMATCH("P",Statut_biogéographique!A:A,2,1),"P")</f>
        <v>P</v>
      </c>
      <c r="AP15860" s="4" t="s">
        <v>376</v>
      </c>
      <c r="AR15860" s="4" t="s">
        <v>377</v>
      </c>
    </row>
    <row r="15861" spans="1:44" ht="30">
      <c r="A15861" s="4" t="s">
        <v>10753</v>
      </c>
      <c r="B15861" s="4">
        <v>249535</v>
      </c>
      <c r="D15861" s="5" t="s">
        <v>19359</v>
      </c>
      <c r="E15861" s="6" t="str">
        <f>HYPERLINK("https://inpn.mnhn.fr/espece/cd_nom/249535","Chloantha hyperici (Denis &amp; Schiffermüller, 1775)")</f>
        <v>Chloantha hyperici (Denis &amp; Schiffermüller, 1775)</v>
      </c>
      <c r="F15861" s="5" t="s">
        <v>19360</v>
      </c>
      <c r="AH15861" s="4" t="str">
        <f>HYPERLINK("#Statut_biogéographique!A"&amp;_xlfn.XMATCH("P",Statut_biogéographique!A:A,2,1),"P")</f>
        <v>P</v>
      </c>
      <c r="AP15861" s="4" t="s">
        <v>376</v>
      </c>
      <c r="AR15861" s="4" t="s">
        <v>377</v>
      </c>
    </row>
    <row r="15862" spans="1:44" ht="30">
      <c r="A15862" s="4" t="s">
        <v>10753</v>
      </c>
      <c r="B15862" s="4">
        <v>249536</v>
      </c>
      <c r="D15862" s="5" t="s">
        <v>19361</v>
      </c>
      <c r="E15862" s="6" t="str">
        <f>HYPERLINK("https://inpn.mnhn.fr/espece/cd_nom/249536","Chilodes maritima (Tauscher, 1806)")</f>
        <v>Chilodes maritima (Tauscher, 1806)</v>
      </c>
      <c r="F15862" s="5" t="s">
        <v>19362</v>
      </c>
      <c r="AH15862" s="4" t="str">
        <f>HYPERLINK("#Statut_biogéographique!A"&amp;_xlfn.XMATCH("P",Statut_biogéographique!A:A,2,1),"P")</f>
        <v>P</v>
      </c>
      <c r="AP15862" s="4" t="s">
        <v>376</v>
      </c>
      <c r="AR15862" s="4" t="s">
        <v>377</v>
      </c>
    </row>
    <row r="15863" spans="1:44">
      <c r="A15863" s="4" t="s">
        <v>10753</v>
      </c>
      <c r="B15863" s="4">
        <v>249537</v>
      </c>
      <c r="D15863" s="5" t="s">
        <v>19363</v>
      </c>
      <c r="E15863" s="6" t="str">
        <f>HYPERLINK("https://inpn.mnhn.fr/espece/cd_nom/249537","Callopistria juventina (Stoll in Cramer, 1782)")</f>
        <v>Callopistria juventina (Stoll in Cramer, 1782)</v>
      </c>
      <c r="F15863" s="5" t="s">
        <v>19364</v>
      </c>
      <c r="AH15863" s="4" t="str">
        <f>HYPERLINK("#Statut_biogéographique!A"&amp;_xlfn.XMATCH("P",Statut_biogéographique!A:A,2,1),"P")</f>
        <v>P</v>
      </c>
      <c r="AP15863" s="4" t="s">
        <v>376</v>
      </c>
      <c r="AR15863" s="4" t="s">
        <v>377</v>
      </c>
    </row>
    <row r="15864" spans="1:44">
      <c r="A15864" s="4" t="s">
        <v>10753</v>
      </c>
      <c r="B15864" s="4">
        <v>249538</v>
      </c>
      <c r="D15864" s="5" t="s">
        <v>19365</v>
      </c>
      <c r="E15864" s="6" t="str">
        <f>HYPERLINK("https://inpn.mnhn.fr/espece/cd_nom/249538","Auchmis detersa (Esper, 1787)")</f>
        <v>Auchmis detersa (Esper, 1787)</v>
      </c>
      <c r="F15864" s="5" t="s">
        <v>19366</v>
      </c>
      <c r="AH15864" s="4" t="str">
        <f>HYPERLINK("#Statut_biogéographique!A"&amp;_xlfn.XMATCH("P",Statut_biogéographique!A:A,2,1),"P")</f>
        <v>P</v>
      </c>
      <c r="AP15864" s="4" t="s">
        <v>376</v>
      </c>
      <c r="AR15864" s="4" t="s">
        <v>377</v>
      </c>
    </row>
    <row r="15865" spans="1:44">
      <c r="A15865" s="4" t="s">
        <v>10753</v>
      </c>
      <c r="B15865" s="4">
        <v>249539</v>
      </c>
      <c r="D15865" s="5" t="s">
        <v>19367</v>
      </c>
      <c r="E15865" s="6" t="str">
        <f>HYPERLINK("https://inpn.mnhn.fr/espece/cd_nom/249539","Athetis gluteosa (Treitschke, 1835)")</f>
        <v>Athetis gluteosa (Treitschke, 1835)</v>
      </c>
      <c r="F15865" s="5" t="s">
        <v>19368</v>
      </c>
      <c r="AH15865" s="4" t="str">
        <f>HYPERLINK("#Statut_biogéographique!A"&amp;_xlfn.XMATCH("P",Statut_biogéographique!A:A,2,1),"P")</f>
        <v>P</v>
      </c>
      <c r="AP15865" s="4" t="s">
        <v>376</v>
      </c>
      <c r="AR15865" s="4" t="s">
        <v>377</v>
      </c>
    </row>
    <row r="15866" spans="1:44" ht="30">
      <c r="A15866" s="4" t="s">
        <v>10753</v>
      </c>
      <c r="B15866" s="4">
        <v>249542</v>
      </c>
      <c r="D15866" s="5" t="s">
        <v>19369</v>
      </c>
      <c r="E15866" s="6" t="str">
        <f>HYPERLINK("https://inpn.mnhn.fr/espece/cd_nom/249542","Actinotia polyodon (Clerck, 1759)")</f>
        <v>Actinotia polyodon (Clerck, 1759)</v>
      </c>
      <c r="F15866" s="5" t="s">
        <v>19370</v>
      </c>
      <c r="AH15866" s="4" t="str">
        <f>HYPERLINK("#Statut_biogéographique!A"&amp;_xlfn.XMATCH("P",Statut_biogéographique!A:A,2,1),"P")</f>
        <v>P</v>
      </c>
      <c r="AP15866" s="4" t="s">
        <v>376</v>
      </c>
      <c r="AR15866" s="4" t="s">
        <v>377</v>
      </c>
    </row>
    <row r="15867" spans="1:44" ht="30">
      <c r="A15867" s="4" t="s">
        <v>10753</v>
      </c>
      <c r="B15867" s="4">
        <v>249543</v>
      </c>
      <c r="D15867" s="5" t="s">
        <v>19371</v>
      </c>
      <c r="E15867" s="6" t="str">
        <f>HYPERLINK("https://inpn.mnhn.fr/espece/cd_nom/249543","Actinotia radiosa (Esper, 1804)")</f>
        <v>Actinotia radiosa (Esper, 1804)</v>
      </c>
      <c r="F15867" s="5" t="s">
        <v>19372</v>
      </c>
      <c r="AH15867" s="4" t="str">
        <f>HYPERLINK("#Statut_biogéographique!A"&amp;_xlfn.XMATCH("P",Statut_biogéographique!A:A,2,1),"P")</f>
        <v>P</v>
      </c>
      <c r="AP15867" s="4" t="s">
        <v>376</v>
      </c>
      <c r="AR15867" s="4" t="s">
        <v>377</v>
      </c>
    </row>
    <row r="15868" spans="1:44">
      <c r="A15868" s="4" t="s">
        <v>10753</v>
      </c>
      <c r="B15868" s="4">
        <v>249544</v>
      </c>
      <c r="D15868" s="5" t="s">
        <v>19373</v>
      </c>
      <c r="E15868" s="6" t="str">
        <f>HYPERLINK("https://inpn.mnhn.fr/espece/cd_nom/249544","Senta flammea (Curtis, 1828)")</f>
        <v>Senta flammea (Curtis, 1828)</v>
      </c>
      <c r="F15868" s="5" t="s">
        <v>19374</v>
      </c>
      <c r="AH15868" s="4" t="str">
        <f>HYPERLINK("#Statut_biogéographique!A"&amp;_xlfn.XMATCH("P",Statut_biogéographique!A:A,2,1),"P")</f>
        <v>P</v>
      </c>
      <c r="AP15868" s="4" t="s">
        <v>376</v>
      </c>
      <c r="AR15868" s="4" t="s">
        <v>377</v>
      </c>
    </row>
    <row r="15869" spans="1:44">
      <c r="A15869" s="4" t="s">
        <v>10753</v>
      </c>
      <c r="B15869" s="4">
        <v>249545</v>
      </c>
      <c r="D15869" s="5" t="s">
        <v>19375</v>
      </c>
      <c r="E15869" s="6" t="str">
        <f>HYPERLINK("https://inpn.mnhn.fr/espece/cd_nom/249545","Mythimna turca (Linnaeus, 1761)")</f>
        <v>Mythimna turca (Linnaeus, 1761)</v>
      </c>
      <c r="F15869" s="5" t="s">
        <v>19376</v>
      </c>
      <c r="AH15869" s="4" t="str">
        <f>HYPERLINK("#Statut_biogéographique!A"&amp;_xlfn.XMATCH("P",Statut_biogéographique!A:A,2,1),"P")</f>
        <v>P</v>
      </c>
      <c r="AP15869" s="4" t="s">
        <v>376</v>
      </c>
      <c r="AR15869" s="4" t="s">
        <v>377</v>
      </c>
    </row>
    <row r="15870" spans="1:44" ht="30">
      <c r="A15870" s="4" t="s">
        <v>10753</v>
      </c>
      <c r="B15870" s="4">
        <v>249546</v>
      </c>
      <c r="D15870" s="5" t="s">
        <v>19377</v>
      </c>
      <c r="E15870" s="6" t="str">
        <f>HYPERLINK("https://inpn.mnhn.fr/espece/cd_nom/249546","Mythimna conigera (Denis &amp; Schiffermüller, 1775)")</f>
        <v>Mythimna conigera (Denis &amp; Schiffermüller, 1775)</v>
      </c>
      <c r="F15870" s="5" t="s">
        <v>19378</v>
      </c>
      <c r="AH15870" s="4" t="str">
        <f>HYPERLINK("#Statut_biogéographique!A"&amp;_xlfn.XMATCH("P",Statut_biogéographique!A:A,2,1),"P")</f>
        <v>P</v>
      </c>
      <c r="AP15870" s="4" t="s">
        <v>376</v>
      </c>
      <c r="AR15870" s="4" t="s">
        <v>377</v>
      </c>
    </row>
    <row r="15871" spans="1:44" ht="30">
      <c r="A15871" s="4" t="s">
        <v>10753</v>
      </c>
      <c r="B15871" s="4">
        <v>249547</v>
      </c>
      <c r="D15871" s="5" t="s">
        <v>19379</v>
      </c>
      <c r="E15871" s="6" t="str">
        <f>HYPERLINK("https://inpn.mnhn.fr/espece/cd_nom/249547","Mythimna pudorina (Denis &amp; Schiffermüller, 1775)")</f>
        <v>Mythimna pudorina (Denis &amp; Schiffermüller, 1775)</v>
      </c>
      <c r="F15871" s="5" t="s">
        <v>19380</v>
      </c>
      <c r="AH15871" s="4" t="str">
        <f>HYPERLINK("#Statut_biogéographique!A"&amp;_xlfn.XMATCH("P",Statut_biogéographique!A:A,2,1),"P")</f>
        <v>P</v>
      </c>
      <c r="AP15871" s="4" t="s">
        <v>376</v>
      </c>
      <c r="AR15871" s="4" t="s">
        <v>377</v>
      </c>
    </row>
    <row r="15872" spans="1:44">
      <c r="A15872" s="4" t="s">
        <v>10753</v>
      </c>
      <c r="B15872" s="4">
        <v>249548</v>
      </c>
      <c r="D15872" s="5" t="s">
        <v>19381</v>
      </c>
      <c r="E15872" s="6" t="str">
        <f>HYPERLINK("https://inpn.mnhn.fr/espece/cd_nom/249548","Mythimna pallens (Linnaeus, 1758)")</f>
        <v>Mythimna pallens (Linnaeus, 1758)</v>
      </c>
      <c r="F15872" s="5" t="s">
        <v>19382</v>
      </c>
      <c r="AH15872" s="4" t="str">
        <f>HYPERLINK("#Statut_biogéographique!A"&amp;_xlfn.XMATCH("P",Statut_biogéographique!A:A,2,1),"P")</f>
        <v>P</v>
      </c>
      <c r="AP15872" s="4" t="s">
        <v>376</v>
      </c>
      <c r="AR15872" s="4" t="s">
        <v>377</v>
      </c>
    </row>
    <row r="15873" spans="1:44">
      <c r="A15873" s="4" t="s">
        <v>10753</v>
      </c>
      <c r="B15873" s="4">
        <v>249549</v>
      </c>
      <c r="D15873" s="5" t="s">
        <v>19383</v>
      </c>
      <c r="E15873" s="6" t="str">
        <f>HYPERLINK("https://inpn.mnhn.fr/espece/cd_nom/249549","Mythimna impura (Hübner, 1808)")</f>
        <v>Mythimna impura (Hübner, 1808)</v>
      </c>
      <c r="F15873" s="5" t="s">
        <v>19384</v>
      </c>
      <c r="AH15873" s="4" t="str">
        <f>HYPERLINK("#Statut_biogéographique!A"&amp;_xlfn.XMATCH("P",Statut_biogéographique!A:A,2,1),"P")</f>
        <v>P</v>
      </c>
      <c r="AP15873" s="4" t="s">
        <v>376</v>
      </c>
      <c r="AR15873" s="4" t="s">
        <v>377</v>
      </c>
    </row>
    <row r="15874" spans="1:44">
      <c r="A15874" s="4" t="s">
        <v>10753</v>
      </c>
      <c r="B15874" s="4">
        <v>249550</v>
      </c>
      <c r="D15874" s="5" t="s">
        <v>19385</v>
      </c>
      <c r="E15874" s="6" t="str">
        <f>HYPERLINK("https://inpn.mnhn.fr/espece/cd_nom/249550","Mythimna straminea (Treitschke, 1825)")</f>
        <v>Mythimna straminea (Treitschke, 1825)</v>
      </c>
      <c r="F15874" s="5" t="s">
        <v>19386</v>
      </c>
      <c r="AH15874" s="4" t="str">
        <f>HYPERLINK("#Statut_biogéographique!A"&amp;_xlfn.XMATCH("P",Statut_biogéographique!A:A,2,1),"P")</f>
        <v>P</v>
      </c>
      <c r="AP15874" s="4" t="s">
        <v>376</v>
      </c>
      <c r="AR15874" s="4" t="s">
        <v>377</v>
      </c>
    </row>
    <row r="15875" spans="1:44" ht="30">
      <c r="A15875" s="4" t="s">
        <v>10753</v>
      </c>
      <c r="B15875" s="4">
        <v>249551</v>
      </c>
      <c r="D15875" s="5" t="s">
        <v>19387</v>
      </c>
      <c r="E15875" s="6" t="str">
        <f>HYPERLINK("https://inpn.mnhn.fr/espece/cd_nom/249551","Mythimna vitellina (Hübner, 1808)")</f>
        <v>Mythimna vitellina (Hübner, 1808)</v>
      </c>
      <c r="F15875" s="5" t="s">
        <v>19388</v>
      </c>
      <c r="AH15875" s="4" t="str">
        <f>HYPERLINK("#Statut_biogéographique!A"&amp;_xlfn.XMATCH("P",Statut_biogéographique!A:A,2,1),"P")</f>
        <v>P</v>
      </c>
      <c r="AP15875" s="4" t="s">
        <v>376</v>
      </c>
      <c r="AR15875" s="4" t="s">
        <v>377</v>
      </c>
    </row>
    <row r="15876" spans="1:44">
      <c r="A15876" s="4" t="s">
        <v>10753</v>
      </c>
      <c r="B15876" s="4">
        <v>249552</v>
      </c>
      <c r="D15876" s="5" t="s">
        <v>19389</v>
      </c>
      <c r="E15876" s="6" t="str">
        <f>HYPERLINK("https://inpn.mnhn.fr/espece/cd_nom/249552","Mythimna unipuncta (Haworth, 1809)")</f>
        <v>Mythimna unipuncta (Haworth, 1809)</v>
      </c>
      <c r="F15876" s="5" t="s">
        <v>19390</v>
      </c>
      <c r="AH15876" s="4" t="str">
        <f>HYPERLINK("#Statut_biogéographique!A"&amp;_xlfn.XMATCH("P",Statut_biogéographique!A:A,2,1),"P")</f>
        <v>P</v>
      </c>
      <c r="AP15876" s="4" t="s">
        <v>376</v>
      </c>
      <c r="AR15876" s="4" t="s">
        <v>377</v>
      </c>
    </row>
    <row r="15877" spans="1:44" ht="45">
      <c r="A15877" s="4" t="s">
        <v>10753</v>
      </c>
      <c r="B15877" s="4">
        <v>249555</v>
      </c>
      <c r="D15877" s="5" t="s">
        <v>19391</v>
      </c>
      <c r="E15877" s="6" t="str">
        <f>HYPERLINK("https://inpn.mnhn.fr/espece/cd_nom/249555","Mythimna sicula (Treitschke, 1835)")</f>
        <v>Mythimna sicula (Treitschke, 1835)</v>
      </c>
      <c r="F15877" s="5" t="s">
        <v>19392</v>
      </c>
      <c r="AH15877" s="4" t="str">
        <f>HYPERLINK("#Statut_biogéographique!A"&amp;_xlfn.XMATCH("P",Statut_biogéographique!A:A,2,1),"P")</f>
        <v>P</v>
      </c>
      <c r="AP15877" s="4" t="s">
        <v>376</v>
      </c>
      <c r="AR15877" s="4" t="s">
        <v>377</v>
      </c>
    </row>
    <row r="15878" spans="1:44" ht="30">
      <c r="A15878" s="4" t="s">
        <v>10753</v>
      </c>
      <c r="B15878" s="4">
        <v>249557</v>
      </c>
      <c r="D15878" s="5" t="s">
        <v>19393</v>
      </c>
      <c r="E15878" s="6" t="str">
        <f>HYPERLINK("https://inpn.mnhn.fr/espece/cd_nom/249557","Mythimna albipuncta (Denis &amp; Schiffermüller, 1775)")</f>
        <v>Mythimna albipuncta (Denis &amp; Schiffermüller, 1775)</v>
      </c>
      <c r="F15878" s="5" t="s">
        <v>19394</v>
      </c>
      <c r="AH15878" s="4" t="str">
        <f>HYPERLINK("#Statut_biogéographique!A"&amp;_xlfn.XMATCH("P",Statut_biogéographique!A:A,2,1),"P")</f>
        <v>P</v>
      </c>
      <c r="AP15878" s="4" t="s">
        <v>376</v>
      </c>
      <c r="AR15878" s="4" t="s">
        <v>377</v>
      </c>
    </row>
    <row r="15879" spans="1:44" ht="30">
      <c r="A15879" s="4" t="s">
        <v>10753</v>
      </c>
      <c r="B15879" s="4">
        <v>249558</v>
      </c>
      <c r="D15879" s="5" t="s">
        <v>19395</v>
      </c>
      <c r="E15879" s="6" t="str">
        <f>HYPERLINK("https://inpn.mnhn.fr/espece/cd_nom/249558","Mythimna ferrago (Fabricius, 1787)")</f>
        <v>Mythimna ferrago (Fabricius, 1787)</v>
      </c>
      <c r="F15879" s="5" t="s">
        <v>19396</v>
      </c>
      <c r="AH15879" s="4" t="str">
        <f>HYPERLINK("#Statut_biogéographique!A"&amp;_xlfn.XMATCH("P",Statut_biogéographique!A:A,2,1),"P")</f>
        <v>P</v>
      </c>
      <c r="AP15879" s="4" t="s">
        <v>376</v>
      </c>
      <c r="AR15879" s="4" t="s">
        <v>377</v>
      </c>
    </row>
    <row r="15880" spans="1:44">
      <c r="A15880" s="4" t="s">
        <v>10753</v>
      </c>
      <c r="B15880" s="4">
        <v>249561</v>
      </c>
      <c r="D15880" s="5" t="s">
        <v>19397</v>
      </c>
      <c r="E15880" s="6" t="str">
        <f>HYPERLINK("https://inpn.mnhn.fr/espece/cd_nom/249561","Mythimna l-album (Linnaeus, 1767)")</f>
        <v>Mythimna l-album (Linnaeus, 1767)</v>
      </c>
      <c r="F15880" s="5" t="s">
        <v>19398</v>
      </c>
      <c r="AH15880" s="4" t="str">
        <f>HYPERLINK("#Statut_biogéographique!A"&amp;_xlfn.XMATCH("P",Statut_biogéographique!A:A,2,1),"P")</f>
        <v>P</v>
      </c>
      <c r="AP15880" s="4" t="s">
        <v>376</v>
      </c>
      <c r="AR15880" s="4" t="s">
        <v>377</v>
      </c>
    </row>
    <row r="15881" spans="1:44">
      <c r="A15881" s="4" t="s">
        <v>10753</v>
      </c>
      <c r="B15881" s="4">
        <v>249563</v>
      </c>
      <c r="D15881" s="5" t="s">
        <v>19399</v>
      </c>
      <c r="E15881" s="6" t="str">
        <f>HYPERLINK("https://inpn.mnhn.fr/espece/cd_nom/249563","Leucania comma (Linnaeus, 1761)")</f>
        <v>Leucania comma (Linnaeus, 1761)</v>
      </c>
      <c r="F15881" s="5" t="s">
        <v>19400</v>
      </c>
      <c r="AH15881" s="4" t="str">
        <f>HYPERLINK("#Statut_biogéographique!A"&amp;_xlfn.XMATCH("P",Statut_biogéographique!A:A,2,1),"P")</f>
        <v>P</v>
      </c>
      <c r="AP15881" s="4" t="s">
        <v>376</v>
      </c>
      <c r="AR15881" s="4" t="s">
        <v>377</v>
      </c>
    </row>
    <row r="15882" spans="1:44">
      <c r="A15882" s="4" t="s">
        <v>10753</v>
      </c>
      <c r="B15882" s="4">
        <v>249564</v>
      </c>
      <c r="D15882" s="5" t="s">
        <v>19401</v>
      </c>
      <c r="E15882" s="6" t="str">
        <f>HYPERLINK("https://inpn.mnhn.fr/espece/cd_nom/249564","Leucania obsoleta (Hübner, 1803)")</f>
        <v>Leucania obsoleta (Hübner, 1803)</v>
      </c>
      <c r="F15882" s="5" t="s">
        <v>19402</v>
      </c>
      <c r="AH15882" s="4" t="str">
        <f>HYPERLINK("#Statut_biogéographique!A"&amp;_xlfn.XMATCH("P",Statut_biogéographique!A:A,2,1),"P")</f>
        <v>P</v>
      </c>
      <c r="AP15882" s="4" t="s">
        <v>376</v>
      </c>
      <c r="AR15882" s="4" t="s">
        <v>377</v>
      </c>
    </row>
    <row r="15883" spans="1:44" ht="30">
      <c r="A15883" s="4" t="s">
        <v>10753</v>
      </c>
      <c r="B15883" s="4">
        <v>249569</v>
      </c>
      <c r="D15883" s="5" t="s">
        <v>19403</v>
      </c>
      <c r="E15883" s="6" t="str">
        <f>HYPERLINK("https://inpn.mnhn.fr/espece/cd_nom/249569","Leucania loreyi (Duponchel, 1827)")</f>
        <v>Leucania loreyi (Duponchel, 1827)</v>
      </c>
      <c r="F15883" s="5" t="s">
        <v>19404</v>
      </c>
      <c r="AH15883" s="4" t="str">
        <f>HYPERLINK("#Statut_biogéographique!A"&amp;_xlfn.XMATCH("P",Statut_biogéographique!A:A,2,1),"P")</f>
        <v>P</v>
      </c>
      <c r="AP15883" s="4" t="s">
        <v>376</v>
      </c>
      <c r="AR15883" s="4" t="s">
        <v>377</v>
      </c>
    </row>
    <row r="15884" spans="1:44" ht="30">
      <c r="A15884" s="4" t="s">
        <v>10753</v>
      </c>
      <c r="B15884" s="4">
        <v>249573</v>
      </c>
      <c r="D15884" s="5" t="s">
        <v>19405</v>
      </c>
      <c r="E15884" s="6" t="str">
        <f>HYPERLINK("https://inpn.mnhn.fr/espece/cd_nom/249573","Panolis flammea (Denis &amp; Schiffermüller, 1775)")</f>
        <v>Panolis flammea (Denis &amp; Schiffermüller, 1775)</v>
      </c>
      <c r="F15884" s="5" t="s">
        <v>19406</v>
      </c>
      <c r="AH15884" s="4" t="str">
        <f>HYPERLINK("#Statut_biogéographique!A"&amp;_xlfn.XMATCH("P",Statut_biogéographique!A:A,2,1),"P")</f>
        <v>P</v>
      </c>
      <c r="AP15884" s="4" t="s">
        <v>376</v>
      </c>
      <c r="AR15884" s="4" t="s">
        <v>377</v>
      </c>
    </row>
    <row r="15885" spans="1:44" ht="30">
      <c r="A15885" s="4" t="s">
        <v>10753</v>
      </c>
      <c r="B15885" s="4">
        <v>249574</v>
      </c>
      <c r="D15885" s="5" t="s">
        <v>19407</v>
      </c>
      <c r="E15885" s="6" t="str">
        <f>HYPERLINK("https://inpn.mnhn.fr/espece/cd_nom/249574","Orthosia incerta (Hufnagel, 1766)")</f>
        <v>Orthosia incerta (Hufnagel, 1766)</v>
      </c>
      <c r="F15885" s="5" t="s">
        <v>19408</v>
      </c>
      <c r="AH15885" s="4" t="str">
        <f>HYPERLINK("#Statut_biogéographique!A"&amp;_xlfn.XMATCH("P",Statut_biogéographique!A:A,2,1),"P")</f>
        <v>P</v>
      </c>
      <c r="AP15885" s="4" t="s">
        <v>376</v>
      </c>
      <c r="AR15885" s="4" t="s">
        <v>377</v>
      </c>
    </row>
    <row r="15886" spans="1:44">
      <c r="A15886" s="4" t="s">
        <v>10753</v>
      </c>
      <c r="B15886" s="4">
        <v>249575</v>
      </c>
      <c r="D15886" s="5" t="s">
        <v>19409</v>
      </c>
      <c r="E15886" s="6" t="str">
        <f>HYPERLINK("https://inpn.mnhn.fr/espece/cd_nom/249575","Orthosia gothica (Linnaeus, 1758)")</f>
        <v>Orthosia gothica (Linnaeus, 1758)</v>
      </c>
      <c r="F15886" s="5" t="s">
        <v>19410</v>
      </c>
      <c r="AH15886" s="4" t="str">
        <f>HYPERLINK("#Statut_biogéographique!A"&amp;_xlfn.XMATCH("P",Statut_biogéographique!A:A,2,1),"P")</f>
        <v>P</v>
      </c>
      <c r="AP15886" s="4" t="s">
        <v>376</v>
      </c>
      <c r="AR15886" s="4" t="s">
        <v>377</v>
      </c>
    </row>
    <row r="15887" spans="1:44" ht="30">
      <c r="A15887" s="4" t="s">
        <v>10753</v>
      </c>
      <c r="B15887" s="4">
        <v>249576</v>
      </c>
      <c r="D15887" s="5" t="s">
        <v>19411</v>
      </c>
      <c r="E15887" s="6" t="str">
        <f>HYPERLINK("https://inpn.mnhn.fr/espece/cd_nom/249576","Orthosia cruda (Denis &amp; Schiffermüller, 1775)")</f>
        <v>Orthosia cruda (Denis &amp; Schiffermüller, 1775)</v>
      </c>
      <c r="F15887" s="5" t="s">
        <v>19412</v>
      </c>
      <c r="AH15887" s="4" t="str">
        <f>HYPERLINK("#Statut_biogéographique!A"&amp;_xlfn.XMATCH("P",Statut_biogéographique!A:A,2,1),"P")</f>
        <v>P</v>
      </c>
      <c r="AP15887" s="4" t="s">
        <v>376</v>
      </c>
      <c r="AR15887" s="4" t="s">
        <v>377</v>
      </c>
    </row>
    <row r="15888" spans="1:44" ht="30">
      <c r="A15888" s="4" t="s">
        <v>10753</v>
      </c>
      <c r="B15888" s="4">
        <v>249577</v>
      </c>
      <c r="D15888" s="5" t="s">
        <v>19413</v>
      </c>
      <c r="E15888" s="6" t="str">
        <f>HYPERLINK("https://inpn.mnhn.fr/espece/cd_nom/249577","Orthosia miniosa (Denis &amp; Schiffermüller, 1775)")</f>
        <v>Orthosia miniosa (Denis &amp; Schiffermüller, 1775)</v>
      </c>
      <c r="F15888" s="5" t="s">
        <v>19414</v>
      </c>
      <c r="AH15888" s="4" t="str">
        <f>HYPERLINK("#Statut_biogéographique!A"&amp;_xlfn.XMATCH("P",Statut_biogéographique!A:A,2,1),"P")</f>
        <v>P</v>
      </c>
      <c r="AP15888" s="4" t="s">
        <v>376</v>
      </c>
      <c r="AR15888" s="4" t="s">
        <v>377</v>
      </c>
    </row>
    <row r="15889" spans="1:44">
      <c r="A15889" s="4" t="s">
        <v>10753</v>
      </c>
      <c r="B15889" s="4">
        <v>249578</v>
      </c>
      <c r="D15889" s="5" t="s">
        <v>19415</v>
      </c>
      <c r="E15889" s="6" t="str">
        <f>HYPERLINK("https://inpn.mnhn.fr/espece/cd_nom/249578","Orthosia populeti (Fabricius, 1781)")</f>
        <v>Orthosia populeti (Fabricius, 1781)</v>
      </c>
      <c r="F15889" s="5" t="s">
        <v>19416</v>
      </c>
      <c r="AH15889" s="4" t="str">
        <f>HYPERLINK("#Statut_biogéographique!A"&amp;_xlfn.XMATCH("P",Statut_biogéographique!A:A,2,1),"P")</f>
        <v>P</v>
      </c>
      <c r="AP15889" s="4" t="s">
        <v>376</v>
      </c>
      <c r="AR15889" s="4" t="s">
        <v>377</v>
      </c>
    </row>
    <row r="15890" spans="1:44">
      <c r="A15890" s="4" t="s">
        <v>10753</v>
      </c>
      <c r="B15890" s="4">
        <v>249579</v>
      </c>
      <c r="D15890" s="5" t="s">
        <v>19417</v>
      </c>
      <c r="E15890" s="6" t="str">
        <f>HYPERLINK("https://inpn.mnhn.fr/espece/cd_nom/249579","Orthosia cerasi (Fabricius, 1775)")</f>
        <v>Orthosia cerasi (Fabricius, 1775)</v>
      </c>
      <c r="F15890" s="5" t="s">
        <v>19418</v>
      </c>
      <c r="AH15890" s="4" t="str">
        <f>HYPERLINK("#Statut_biogéographique!A"&amp;_xlfn.XMATCH("P",Statut_biogéographique!A:A,2,1),"P")</f>
        <v>P</v>
      </c>
      <c r="AP15890" s="4" t="s">
        <v>376</v>
      </c>
      <c r="AR15890" s="4" t="s">
        <v>377</v>
      </c>
    </row>
    <row r="15891" spans="1:44">
      <c r="A15891" s="4" t="s">
        <v>10753</v>
      </c>
      <c r="B15891" s="4">
        <v>24958</v>
      </c>
      <c r="D15891" s="5">
        <v>24958</v>
      </c>
      <c r="E15891" s="6" t="str">
        <f>HYPERLINK("https://inpn.mnhn.fr/espece/cd_nom/24958","Dichetophora finlandica Verbeke, 1964")</f>
        <v>Dichetophora finlandica Verbeke, 1964</v>
      </c>
      <c r="AH15891" s="4" t="str">
        <f>HYPERLINK("#Statut_biogéographique!A"&amp;_xlfn.XMATCH("P",Statut_biogéographique!A:A,2,1),"P")</f>
        <v>P</v>
      </c>
      <c r="AP15891" s="4" t="s">
        <v>376</v>
      </c>
      <c r="AR15891" s="4" t="s">
        <v>377</v>
      </c>
    </row>
    <row r="15892" spans="1:44" ht="30">
      <c r="A15892" s="4" t="s">
        <v>10753</v>
      </c>
      <c r="B15892" s="4">
        <v>249580</v>
      </c>
      <c r="D15892" s="5" t="s">
        <v>19419</v>
      </c>
      <c r="E15892" s="6" t="str">
        <f>HYPERLINK("https://inpn.mnhn.fr/espece/cd_nom/249580","Orthosia gracilis (Denis &amp; Schiffermüller, 1775)")</f>
        <v>Orthosia gracilis (Denis &amp; Schiffermüller, 1775)</v>
      </c>
      <c r="F15892" s="5" t="s">
        <v>19420</v>
      </c>
      <c r="AH15892" s="4" t="str">
        <f>HYPERLINK("#Statut_biogéographique!A"&amp;_xlfn.XMATCH("P",Statut_biogéographique!A:A,2,1),"P")</f>
        <v>P</v>
      </c>
      <c r="AP15892" s="4" t="s">
        <v>376</v>
      </c>
      <c r="AR15892" s="4" t="s">
        <v>377</v>
      </c>
    </row>
    <row r="15893" spans="1:44">
      <c r="A15893" s="4" t="s">
        <v>10753</v>
      </c>
      <c r="B15893" s="4">
        <v>249581</v>
      </c>
      <c r="D15893" s="5" t="s">
        <v>19421</v>
      </c>
      <c r="E15893" s="6" t="str">
        <f>HYPERLINK("https://inpn.mnhn.fr/espece/cd_nom/249581","Orthosia opima (Hübner, 1809)")</f>
        <v>Orthosia opima (Hübner, 1809)</v>
      </c>
      <c r="F15893" s="5" t="s">
        <v>19422</v>
      </c>
      <c r="AH15893" s="4" t="str">
        <f>HYPERLINK("#Statut_biogéographique!A"&amp;_xlfn.XMATCH("P",Statut_biogéographique!A:A,2,1),"P")</f>
        <v>P</v>
      </c>
      <c r="AP15893" s="4" t="s">
        <v>376</v>
      </c>
      <c r="AR15893" s="4" t="s">
        <v>377</v>
      </c>
    </row>
    <row r="15894" spans="1:44" ht="30">
      <c r="A15894" s="4" t="s">
        <v>10753</v>
      </c>
      <c r="B15894" s="4">
        <v>249582</v>
      </c>
      <c r="D15894" s="5" t="s">
        <v>19423</v>
      </c>
      <c r="E15894" s="6" t="str">
        <f>HYPERLINK("https://inpn.mnhn.fr/espece/cd_nom/249582","Egira conspicillaris (Linnaeus, 1758)")</f>
        <v>Egira conspicillaris (Linnaeus, 1758)</v>
      </c>
      <c r="F15894" s="5" t="s">
        <v>19424</v>
      </c>
      <c r="AH15894" s="4" t="str">
        <f>HYPERLINK("#Statut_biogéographique!A"&amp;_xlfn.XMATCH("P",Statut_biogéographique!A:A,2,1),"P")</f>
        <v>P</v>
      </c>
      <c r="AP15894" s="4" t="s">
        <v>376</v>
      </c>
      <c r="AR15894" s="4" t="s">
        <v>377</v>
      </c>
    </row>
    <row r="15895" spans="1:44">
      <c r="A15895" s="4" t="s">
        <v>10753</v>
      </c>
      <c r="B15895" s="4">
        <v>249583</v>
      </c>
      <c r="D15895" s="5" t="s">
        <v>19425</v>
      </c>
      <c r="E15895" s="6" t="str">
        <f>HYPERLINK("https://inpn.mnhn.fr/espece/cd_nom/249583","Xylena vetusta (Hübner, 1813)")</f>
        <v>Xylena vetusta (Hübner, 1813)</v>
      </c>
      <c r="F15895" s="5" t="s">
        <v>19426</v>
      </c>
      <c r="AH15895" s="4" t="str">
        <f>HYPERLINK("#Statut_biogéographique!A"&amp;_xlfn.XMATCH("P",Statut_biogéographique!A:A,2,1),"P")</f>
        <v>P</v>
      </c>
      <c r="AP15895" s="4" t="s">
        <v>376</v>
      </c>
      <c r="AR15895" s="4" t="s">
        <v>377</v>
      </c>
    </row>
    <row r="15896" spans="1:44">
      <c r="A15896" s="4" t="s">
        <v>10753</v>
      </c>
      <c r="B15896" s="4">
        <v>249584</v>
      </c>
      <c r="D15896" s="5" t="s">
        <v>19427</v>
      </c>
      <c r="E15896" s="6" t="str">
        <f>HYPERLINK("https://inpn.mnhn.fr/espece/cd_nom/249584","Xylena exsoleta (Linnaeus, 1758)")</f>
        <v>Xylena exsoleta (Linnaeus, 1758)</v>
      </c>
      <c r="F15896" s="5" t="s">
        <v>19428</v>
      </c>
      <c r="AH15896" s="4" t="str">
        <f>HYPERLINK("#Statut_biogéographique!A"&amp;_xlfn.XMATCH("P",Statut_biogéographique!A:A,2,1),"P")</f>
        <v>P</v>
      </c>
      <c r="AP15896" s="4" t="s">
        <v>376</v>
      </c>
      <c r="AR15896" s="4" t="s">
        <v>377</v>
      </c>
    </row>
    <row r="15897" spans="1:44" ht="30">
      <c r="A15897" s="4" t="s">
        <v>10753</v>
      </c>
      <c r="B15897" s="4">
        <v>249585</v>
      </c>
      <c r="D15897" s="5" t="s">
        <v>19429</v>
      </c>
      <c r="E15897" s="6" t="str">
        <f>HYPERLINK("https://inpn.mnhn.fr/espece/cd_nom/249585","Xanthia togata (Esper, 1788)")</f>
        <v>Xanthia togata (Esper, 1788)</v>
      </c>
      <c r="F15897" s="5" t="s">
        <v>19430</v>
      </c>
      <c r="AH15897" s="4" t="str">
        <f>HYPERLINK("#Statut_biogéographique!A"&amp;_xlfn.XMATCH("P",Statut_biogéographique!A:A,2,1),"P")</f>
        <v>P</v>
      </c>
      <c r="AP15897" s="4" t="s">
        <v>376</v>
      </c>
      <c r="AR15897" s="4" t="s">
        <v>377</v>
      </c>
    </row>
    <row r="15898" spans="1:44">
      <c r="A15898" s="4" t="s">
        <v>10753</v>
      </c>
      <c r="B15898" s="4">
        <v>249589</v>
      </c>
      <c r="D15898" s="5" t="s">
        <v>19431</v>
      </c>
      <c r="E15898" s="6" t="str">
        <f>HYPERLINK("https://inpn.mnhn.fr/espece/cd_nom/249589","Trigonophora flammea (Esper, 1785)")</f>
        <v>Trigonophora flammea (Esper, 1785)</v>
      </c>
      <c r="F15898" s="5" t="s">
        <v>19432</v>
      </c>
      <c r="AH15898" s="4" t="str">
        <f>HYPERLINK("#Statut_biogéographique!A"&amp;_xlfn.XMATCH("P",Statut_biogéographique!A:A,2,1),"P")</f>
        <v>P</v>
      </c>
      <c r="AP15898" s="4" t="s">
        <v>376</v>
      </c>
      <c r="AR15898" s="4" t="s">
        <v>377</v>
      </c>
    </row>
    <row r="15899" spans="1:44">
      <c r="A15899" s="4" t="s">
        <v>10753</v>
      </c>
      <c r="B15899" s="4">
        <v>24959</v>
      </c>
      <c r="D15899" s="5" t="s">
        <v>19433</v>
      </c>
      <c r="E15899" s="6" t="str">
        <f>HYPERLINK("https://inpn.mnhn.fr/espece/cd_nom/24959","Dichetophora obliterata (Fabricius, 1805)")</f>
        <v>Dichetophora obliterata (Fabricius, 1805)</v>
      </c>
      <c r="AH15899" s="4" t="str">
        <f>HYPERLINK("#Statut_biogéographique!A"&amp;_xlfn.XMATCH("P",Statut_biogéographique!A:A,2,1),"P")</f>
        <v>P</v>
      </c>
      <c r="AP15899" s="4" t="s">
        <v>376</v>
      </c>
      <c r="AR15899" s="4" t="s">
        <v>377</v>
      </c>
    </row>
    <row r="15900" spans="1:44">
      <c r="A15900" s="4" t="s">
        <v>10753</v>
      </c>
      <c r="B15900" s="4">
        <v>249591</v>
      </c>
      <c r="D15900" s="5" t="s">
        <v>19434</v>
      </c>
      <c r="E15900" s="6" t="str">
        <f>HYPERLINK("https://inpn.mnhn.fr/espece/cd_nom/249591","Trigonophora jodea (Herrich-Schäffer, 1850)")</f>
        <v>Trigonophora jodea (Herrich-Schäffer, 1850)</v>
      </c>
      <c r="F15900" s="5" t="s">
        <v>19435</v>
      </c>
      <c r="AH15900" s="4" t="str">
        <f>HYPERLINK("#Statut_biogéographique!A"&amp;_xlfn.XMATCH("P",Statut_biogéographique!A:A,2,1),"P")</f>
        <v>P</v>
      </c>
      <c r="AP15900" s="4" t="s">
        <v>376</v>
      </c>
      <c r="AR15900" s="4" t="s">
        <v>377</v>
      </c>
    </row>
    <row r="15901" spans="1:44">
      <c r="A15901" s="4" t="s">
        <v>10753</v>
      </c>
      <c r="B15901" s="4">
        <v>249593</v>
      </c>
      <c r="D15901" s="5" t="s">
        <v>19436</v>
      </c>
      <c r="E15901" s="6" t="str">
        <f>HYPERLINK("https://inpn.mnhn.fr/espece/cd_nom/249593","Tiliacea aurago (Denis &amp; Schiffermüller, 1775)")</f>
        <v>Tiliacea aurago (Denis &amp; Schiffermüller, 1775)</v>
      </c>
      <c r="F15901" s="5" t="s">
        <v>19437</v>
      </c>
      <c r="AH15901" s="4" t="str">
        <f>HYPERLINK("#Statut_biogéographique!A"&amp;_xlfn.XMATCH("P",Statut_biogéographique!A:A,2,1),"P")</f>
        <v>P</v>
      </c>
      <c r="AP15901" s="4" t="s">
        <v>376</v>
      </c>
      <c r="AR15901" s="4" t="s">
        <v>377</v>
      </c>
    </row>
    <row r="15902" spans="1:44">
      <c r="A15902" s="4" t="s">
        <v>10753</v>
      </c>
      <c r="B15902" s="4">
        <v>249595</v>
      </c>
      <c r="D15902" s="5" t="s">
        <v>19438</v>
      </c>
      <c r="E15902" s="6" t="str">
        <f>HYPERLINK("https://inpn.mnhn.fr/espece/cd_nom/249595","Tiliacea citrago (Linnaeus, 1758)")</f>
        <v>Tiliacea citrago (Linnaeus, 1758)</v>
      </c>
      <c r="F15902" s="5" t="s">
        <v>19439</v>
      </c>
      <c r="AH15902" s="4" t="str">
        <f>HYPERLINK("#Statut_biogéographique!A"&amp;_xlfn.XMATCH("P",Statut_biogéographique!A:A,2,1),"P")</f>
        <v>P</v>
      </c>
      <c r="AP15902" s="4" t="s">
        <v>376</v>
      </c>
      <c r="AR15902" s="4" t="s">
        <v>377</v>
      </c>
    </row>
    <row r="15903" spans="1:44" ht="30">
      <c r="A15903" s="4" t="s">
        <v>10753</v>
      </c>
      <c r="B15903" s="4">
        <v>249598</v>
      </c>
      <c r="D15903" s="5" t="s">
        <v>19440</v>
      </c>
      <c r="E15903" s="6" t="str">
        <f>HYPERLINK("https://inpn.mnhn.fr/espece/cd_nom/249598","Mniotype adusta (Esper, 1790)")</f>
        <v>Mniotype adusta (Esper, 1790)</v>
      </c>
      <c r="F15903" s="5" t="s">
        <v>19441</v>
      </c>
      <c r="AH15903" s="4" t="str">
        <f>HYPERLINK("#Statut_biogéographique!A"&amp;_xlfn.XMATCH("P",Statut_biogéographique!A:A,2,1),"P")</f>
        <v>P</v>
      </c>
      <c r="AP15903" s="4" t="s">
        <v>376</v>
      </c>
      <c r="AR15903" s="4" t="s">
        <v>377</v>
      </c>
    </row>
    <row r="15904" spans="1:44">
      <c r="A15904" s="4" t="s">
        <v>10753</v>
      </c>
      <c r="B15904" s="4">
        <v>249600</v>
      </c>
      <c r="D15904" s="5" t="s">
        <v>19442</v>
      </c>
      <c r="E15904" s="6" t="str">
        <f>HYPERLINK("https://inpn.mnhn.fr/espece/cd_nom/249600","Mniotype solieri (Boisduval, 1829)")</f>
        <v>Mniotype solieri (Boisduval, 1829)</v>
      </c>
      <c r="F15904" s="5" t="s">
        <v>19443</v>
      </c>
      <c r="AH15904" s="4" t="str">
        <f>HYPERLINK("#Statut_biogéographique!A"&amp;_xlfn.XMATCH("P",Statut_biogéographique!A:A,2,1),"P")</f>
        <v>P</v>
      </c>
      <c r="AP15904" s="4" t="s">
        <v>376</v>
      </c>
      <c r="AR15904" s="4" t="s">
        <v>377</v>
      </c>
    </row>
    <row r="15905" spans="1:44" ht="30">
      <c r="A15905" s="4" t="s">
        <v>10753</v>
      </c>
      <c r="B15905" s="4">
        <v>249602</v>
      </c>
      <c r="D15905" s="5" t="s">
        <v>19444</v>
      </c>
      <c r="E15905" s="6" t="str">
        <f>HYPERLINK("https://inpn.mnhn.fr/espece/cd_nom/249602","Mniotype satura (Denis &amp; Schiffermüller, 1775)")</f>
        <v>Mniotype satura (Denis &amp; Schiffermüller, 1775)</v>
      </c>
      <c r="F15905" s="5" t="s">
        <v>19445</v>
      </c>
      <c r="AH15905" s="4" t="str">
        <f>HYPERLINK("#Statut_biogéographique!A"&amp;_xlfn.XMATCH("P",Statut_biogéographique!A:A,2,1),"P")</f>
        <v>P</v>
      </c>
      <c r="AP15905" s="4" t="s">
        <v>376</v>
      </c>
      <c r="AR15905" s="4" t="s">
        <v>377</v>
      </c>
    </row>
    <row r="15906" spans="1:44">
      <c r="A15906" s="4" t="s">
        <v>10753</v>
      </c>
      <c r="B15906" s="4">
        <v>249603</v>
      </c>
      <c r="D15906" s="5" t="s">
        <v>19446</v>
      </c>
      <c r="E15906" s="6" t="str">
        <f>HYPERLINK("https://inpn.mnhn.fr/espece/cd_nom/249603","Lithophane semibrunnea (Haworth, 1809)")</f>
        <v>Lithophane semibrunnea (Haworth, 1809)</v>
      </c>
      <c r="F15906" s="5" t="s">
        <v>19447</v>
      </c>
      <c r="AH15906" s="4" t="str">
        <f>HYPERLINK("#Statut_biogéographique!A"&amp;_xlfn.XMATCH("P",Statut_biogéographique!A:A,2,1),"P")</f>
        <v>P</v>
      </c>
      <c r="AP15906" s="4" t="s">
        <v>376</v>
      </c>
      <c r="AR15906" s="4" t="s">
        <v>377</v>
      </c>
    </row>
    <row r="15907" spans="1:44">
      <c r="A15907" s="4" t="s">
        <v>10753</v>
      </c>
      <c r="B15907" s="4">
        <v>249604</v>
      </c>
      <c r="D15907" s="5" t="s">
        <v>19448</v>
      </c>
      <c r="E15907" s="6" t="str">
        <f>HYPERLINK("https://inpn.mnhn.fr/espece/cd_nom/249604","Lithophane socia (Hufnagel, 1766)")</f>
        <v>Lithophane socia (Hufnagel, 1766)</v>
      </c>
      <c r="F15907" s="5" t="s">
        <v>19449</v>
      </c>
      <c r="AH15907" s="4" t="str">
        <f>HYPERLINK("#Statut_biogéographique!A"&amp;_xlfn.XMATCH("P",Statut_biogéographique!A:A,2,1),"P")</f>
        <v>P</v>
      </c>
      <c r="AP15907" s="4" t="s">
        <v>376</v>
      </c>
      <c r="AR15907" s="4" t="s">
        <v>377</v>
      </c>
    </row>
    <row r="15908" spans="1:44" ht="30">
      <c r="A15908" s="4" t="s">
        <v>10753</v>
      </c>
      <c r="B15908" s="4">
        <v>249605</v>
      </c>
      <c r="D15908" s="5" t="s">
        <v>19450</v>
      </c>
      <c r="E15908" s="6" t="str">
        <f>HYPERLINK("https://inpn.mnhn.fr/espece/cd_nom/249605","Lithophane ornitopus (Hufnagel, 1766)")</f>
        <v>Lithophane ornitopus (Hufnagel, 1766)</v>
      </c>
      <c r="F15908" s="5" t="s">
        <v>19451</v>
      </c>
      <c r="AH15908" s="4" t="str">
        <f>HYPERLINK("#Statut_biogéographique!A"&amp;_xlfn.XMATCH("P",Statut_biogéographique!A:A,2,1),"P")</f>
        <v>P</v>
      </c>
      <c r="AP15908" s="4" t="s">
        <v>376</v>
      </c>
      <c r="AR15908" s="4" t="s">
        <v>377</v>
      </c>
    </row>
    <row r="15909" spans="1:44" ht="30">
      <c r="A15909" s="4" t="s">
        <v>10753</v>
      </c>
      <c r="B15909" s="4">
        <v>249606</v>
      </c>
      <c r="D15909" s="5" t="s">
        <v>19452</v>
      </c>
      <c r="E15909" s="6" t="str">
        <f>HYPERLINK("https://inpn.mnhn.fr/espece/cd_nom/249606","Lithophane furcifera (Hufnagel, 1766)")</f>
        <v>Lithophane furcifera (Hufnagel, 1766)</v>
      </c>
      <c r="F15909" s="5" t="s">
        <v>19453</v>
      </c>
      <c r="AH15909" s="4" t="str">
        <f>HYPERLINK("#Statut_biogéographique!A"&amp;_xlfn.XMATCH("P",Statut_biogéographique!A:A,2,1),"P")</f>
        <v>P</v>
      </c>
      <c r="AP15909" s="4" t="s">
        <v>376</v>
      </c>
      <c r="AR15909" s="4" t="s">
        <v>377</v>
      </c>
    </row>
    <row r="15910" spans="1:44">
      <c r="A15910" s="4" t="s">
        <v>10753</v>
      </c>
      <c r="B15910" s="4">
        <v>24961</v>
      </c>
      <c r="D15910" s="5" t="s">
        <v>19454</v>
      </c>
      <c r="E15910" s="6" t="str">
        <f>HYPERLINK("https://inpn.mnhn.fr/espece/cd_nom/24961","Dictya umbrarum (Linnaeus, 1758)")</f>
        <v>Dictya umbrarum (Linnaeus, 1758)</v>
      </c>
      <c r="AH15910" s="4" t="str">
        <f>HYPERLINK("#Statut_biogéographique!A"&amp;_xlfn.XMATCH("P",Statut_biogéographique!A:A,2,1),"P")</f>
        <v>P</v>
      </c>
      <c r="AP15910" s="4" t="s">
        <v>376</v>
      </c>
      <c r="AR15910" s="4" t="s">
        <v>377</v>
      </c>
    </row>
    <row r="15911" spans="1:44">
      <c r="A15911" s="4" t="s">
        <v>10753</v>
      </c>
      <c r="B15911" s="4">
        <v>249612</v>
      </c>
      <c r="D15911" s="5" t="s">
        <v>19455</v>
      </c>
      <c r="E15911" s="6" t="str">
        <f>HYPERLINK("https://inpn.mnhn.fr/espece/cd_nom/249612","Jodia croceago (Denis &amp; Schiffermüller, 1775)")</f>
        <v>Jodia croceago (Denis &amp; Schiffermüller, 1775)</v>
      </c>
      <c r="F15911" s="5" t="s">
        <v>19456</v>
      </c>
      <c r="AH15911" s="4" t="str">
        <f>HYPERLINK("#Statut_biogéographique!A"&amp;_xlfn.XMATCH("P",Statut_biogéographique!A:A,2,1),"P")</f>
        <v>P</v>
      </c>
      <c r="AP15911" s="4" t="s">
        <v>376</v>
      </c>
      <c r="AR15911" s="4" t="s">
        <v>377</v>
      </c>
    </row>
    <row r="15912" spans="1:44">
      <c r="A15912" s="4" t="s">
        <v>10753</v>
      </c>
      <c r="B15912" s="4">
        <v>249613</v>
      </c>
      <c r="D15912" s="5" t="s">
        <v>19457</v>
      </c>
      <c r="E15912" s="6" t="str">
        <f>HYPERLINK("https://inpn.mnhn.fr/espece/cd_nom/249613","Griposia aprilina (Linnaeus, 1758)")</f>
        <v>Griposia aprilina (Linnaeus, 1758)</v>
      </c>
      <c r="F15912" s="5" t="s">
        <v>19458</v>
      </c>
      <c r="AH15912" s="4" t="str">
        <f>HYPERLINK("#Statut_biogéographique!A"&amp;_xlfn.XMATCH("P",Statut_biogéographique!A:A,2,1),"P")</f>
        <v>P</v>
      </c>
      <c r="AP15912" s="4" t="s">
        <v>376</v>
      </c>
      <c r="AR15912" s="4" t="s">
        <v>377</v>
      </c>
    </row>
    <row r="15913" spans="1:44">
      <c r="A15913" s="4" t="s">
        <v>10753</v>
      </c>
      <c r="B15913" s="4">
        <v>249615</v>
      </c>
      <c r="D15913" s="5" t="s">
        <v>19459</v>
      </c>
      <c r="E15913" s="6" t="str">
        <f>HYPERLINK("https://inpn.mnhn.fr/espece/cd_nom/249615","Eupsilia transversa (Hufnagel, 1766)")</f>
        <v>Eupsilia transversa (Hufnagel, 1766)</v>
      </c>
      <c r="F15913" s="5" t="s">
        <v>19460</v>
      </c>
      <c r="AH15913" s="4" t="str">
        <f>HYPERLINK("#Statut_biogéographique!A"&amp;_xlfn.XMATCH("P",Statut_biogéographique!A:A,2,1),"P")</f>
        <v>P</v>
      </c>
      <c r="AP15913" s="4" t="s">
        <v>376</v>
      </c>
      <c r="AR15913" s="4" t="s">
        <v>377</v>
      </c>
    </row>
    <row r="15914" spans="1:44" ht="30">
      <c r="A15914" s="4" t="s">
        <v>10753</v>
      </c>
      <c r="B15914" s="4">
        <v>249616</v>
      </c>
      <c r="D15914" s="5" t="s">
        <v>19461</v>
      </c>
      <c r="E15914" s="6" t="str">
        <f>HYPERLINK("https://inpn.mnhn.fr/espece/cd_nom/249616","Dryobotodes eremita (Fabricius, 1775)")</f>
        <v>Dryobotodes eremita (Fabricius, 1775)</v>
      </c>
      <c r="F15914" s="5" t="s">
        <v>19462</v>
      </c>
      <c r="AH15914" s="4" t="str">
        <f>HYPERLINK("#Statut_biogéographique!A"&amp;_xlfn.XMATCH("P",Statut_biogéographique!A:A,2,1),"P")</f>
        <v>P</v>
      </c>
      <c r="AP15914" s="4" t="s">
        <v>376</v>
      </c>
      <c r="AR15914" s="4" t="s">
        <v>377</v>
      </c>
    </row>
    <row r="15915" spans="1:44">
      <c r="A15915" s="4" t="s">
        <v>10753</v>
      </c>
      <c r="B15915" s="4">
        <v>249617</v>
      </c>
      <c r="D15915" s="5" t="s">
        <v>19463</v>
      </c>
      <c r="E15915" s="6" t="str">
        <f>HYPERLINK("https://inpn.mnhn.fr/espece/cd_nom/249617","Dryobotodes monochroma (Esper, 1790)")</f>
        <v>Dryobotodes monochroma (Esper, 1790)</v>
      </c>
      <c r="F15915" s="5" t="s">
        <v>19464</v>
      </c>
      <c r="AH15915" s="4" t="str">
        <f>HYPERLINK("#Statut_biogéographique!A"&amp;_xlfn.XMATCH("P",Statut_biogéographique!A:A,2,1),"P")</f>
        <v>P</v>
      </c>
      <c r="AP15915" s="4" t="s">
        <v>376</v>
      </c>
      <c r="AR15915" s="4" t="s">
        <v>377</v>
      </c>
    </row>
    <row r="15916" spans="1:44">
      <c r="A15916" s="4" t="s">
        <v>10753</v>
      </c>
      <c r="B15916" s="4">
        <v>249621</v>
      </c>
      <c r="D15916" s="5" t="s">
        <v>19465</v>
      </c>
      <c r="E15916" s="6" t="str">
        <f>HYPERLINK("https://inpn.mnhn.fr/espece/cd_nom/249621","Dryobota labecula (Esper, 1788)")</f>
        <v>Dryobota labecula (Esper, 1788)</v>
      </c>
      <c r="F15916" s="5" t="s">
        <v>19466</v>
      </c>
      <c r="AH15916" s="4" t="str">
        <f>HYPERLINK("#Statut_biogéographique!A"&amp;_xlfn.XMATCH("P",Statut_biogéographique!A:A,2,1),"P")</f>
        <v>P</v>
      </c>
      <c r="AP15916" s="4" t="s">
        <v>376</v>
      </c>
      <c r="AR15916" s="4" t="s">
        <v>377</v>
      </c>
    </row>
    <row r="15917" spans="1:44" ht="30">
      <c r="A15917" s="4" t="s">
        <v>10753</v>
      </c>
      <c r="B15917" s="4">
        <v>249622</v>
      </c>
      <c r="D15917" s="5" t="s">
        <v>19467</v>
      </c>
      <c r="E15917" s="6" t="str">
        <f>HYPERLINK("https://inpn.mnhn.fr/espece/cd_nom/249622","Dichonia convergens (Denis &amp; Schiffermüller, 1775)")</f>
        <v>Dichonia convergens (Denis &amp; Schiffermüller, 1775)</v>
      </c>
      <c r="F15917" s="5" t="s">
        <v>19468</v>
      </c>
      <c r="AH15917" s="4" t="str">
        <f>HYPERLINK("#Statut_biogéographique!A"&amp;_xlfn.XMATCH("P",Statut_biogéographique!A:A,2,1),"P")</f>
        <v>P</v>
      </c>
      <c r="AP15917" s="4" t="s">
        <v>376</v>
      </c>
      <c r="AR15917" s="4" t="s">
        <v>377</v>
      </c>
    </row>
    <row r="15918" spans="1:44">
      <c r="A15918" s="4" t="s">
        <v>10753</v>
      </c>
      <c r="B15918" s="4">
        <v>249624</v>
      </c>
      <c r="D15918" s="5" t="s">
        <v>19469</v>
      </c>
      <c r="E15918" s="6" t="str">
        <f>HYPERLINK("https://inpn.mnhn.fr/espece/cd_nom/249624","Dasypolia templi (Thunberg, 1792)")</f>
        <v>Dasypolia templi (Thunberg, 1792)</v>
      </c>
      <c r="F15918" s="5" t="s">
        <v>19470</v>
      </c>
      <c r="AH15918" s="4" t="str">
        <f>HYPERLINK("#Statut_biogéographique!A"&amp;_xlfn.XMATCH("P",Statut_biogéographique!A:A,2,1),"P")</f>
        <v>P</v>
      </c>
      <c r="AP15918" s="4" t="s">
        <v>376</v>
      </c>
      <c r="AR15918" s="4" t="s">
        <v>377</v>
      </c>
    </row>
    <row r="15919" spans="1:44" ht="30">
      <c r="A15919" s="4" t="s">
        <v>10753</v>
      </c>
      <c r="B15919" s="4">
        <v>249626</v>
      </c>
      <c r="D15919" s="5" t="s">
        <v>19471</v>
      </c>
      <c r="E15919" s="6" t="str">
        <f>HYPERLINK("https://inpn.mnhn.fr/espece/cd_nom/249626","Conistra vaccinii (Linnaeus, 1761)")</f>
        <v>Conistra vaccinii (Linnaeus, 1761)</v>
      </c>
      <c r="F15919" s="5" t="s">
        <v>19472</v>
      </c>
      <c r="AH15919" s="4" t="str">
        <f>HYPERLINK("#Statut_biogéographique!A"&amp;_xlfn.XMATCH("P",Statut_biogéographique!A:A,2,1),"P")</f>
        <v>P</v>
      </c>
      <c r="AP15919" s="4" t="s">
        <v>376</v>
      </c>
      <c r="AR15919" s="4" t="s">
        <v>377</v>
      </c>
    </row>
    <row r="15920" spans="1:44">
      <c r="A15920" s="4" t="s">
        <v>10753</v>
      </c>
      <c r="B15920" s="4">
        <v>249627</v>
      </c>
      <c r="D15920" s="5" t="s">
        <v>19473</v>
      </c>
      <c r="E15920" s="6" t="str">
        <f>HYPERLINK("https://inpn.mnhn.fr/espece/cd_nom/249627","Conistra ligula (Esper, 1791)")</f>
        <v>Conistra ligula (Esper, 1791)</v>
      </c>
      <c r="F15920" s="5" t="s">
        <v>19474</v>
      </c>
      <c r="AH15920" s="4" t="str">
        <f>HYPERLINK("#Statut_biogéographique!A"&amp;_xlfn.XMATCH("P",Statut_biogéographique!A:A,2,1),"P")</f>
        <v>P</v>
      </c>
      <c r="AP15920" s="4" t="s">
        <v>376</v>
      </c>
      <c r="AR15920" s="4" t="s">
        <v>377</v>
      </c>
    </row>
    <row r="15921" spans="1:44" ht="30">
      <c r="A15921" s="4" t="s">
        <v>10753</v>
      </c>
      <c r="B15921" s="4">
        <v>249629</v>
      </c>
      <c r="D15921" s="5" t="s">
        <v>19475</v>
      </c>
      <c r="E15921" s="6" t="str">
        <f>HYPERLINK("https://inpn.mnhn.fr/espece/cd_nom/249629","Conistra rubiginosa (Scopoli, 1763)")</f>
        <v>Conistra rubiginosa (Scopoli, 1763)</v>
      </c>
      <c r="F15921" s="5" t="s">
        <v>19476</v>
      </c>
      <c r="AH15921" s="4" t="str">
        <f>HYPERLINK("#Statut_biogéographique!A"&amp;_xlfn.XMATCH("P",Statut_biogéographique!A:A,2,1),"P")</f>
        <v>P</v>
      </c>
      <c r="AP15921" s="4" t="s">
        <v>376</v>
      </c>
      <c r="AR15921" s="4" t="s">
        <v>377</v>
      </c>
    </row>
    <row r="15922" spans="1:44">
      <c r="A15922" s="4" t="s">
        <v>10753</v>
      </c>
      <c r="B15922" s="4">
        <v>24963</v>
      </c>
      <c r="D15922" s="5" t="s">
        <v>19477</v>
      </c>
      <c r="E15922" s="6" t="str">
        <f>HYPERLINK("https://inpn.mnhn.fr/espece/cd_nom/24963","Elgiva cucularia (Linnaeus, 1767)")</f>
        <v>Elgiva cucularia (Linnaeus, 1767)</v>
      </c>
      <c r="AH15922" s="4" t="str">
        <f>HYPERLINK("#Statut_biogéographique!A"&amp;_xlfn.XMATCH("P",Statut_biogéographique!A:A,2,1),"P")</f>
        <v>P</v>
      </c>
      <c r="AP15922" s="4" t="s">
        <v>376</v>
      </c>
      <c r="AR15922" s="4" t="s">
        <v>377</v>
      </c>
    </row>
    <row r="15923" spans="1:44">
      <c r="A15923" s="4" t="s">
        <v>10753</v>
      </c>
      <c r="B15923" s="4">
        <v>249630</v>
      </c>
      <c r="D15923" s="5" t="s">
        <v>19478</v>
      </c>
      <c r="E15923" s="6" t="str">
        <f>HYPERLINK("https://inpn.mnhn.fr/espece/cd_nom/249630","Conistra gallica (Lederer, 1857)")</f>
        <v>Conistra gallica (Lederer, 1857)</v>
      </c>
      <c r="F15923" s="5" t="s">
        <v>19479</v>
      </c>
      <c r="AH15923" s="4" t="str">
        <f>HYPERLINK("#Statut_biogéographique!A"&amp;_xlfn.XMATCH("P",Statut_biogéographique!A:A,2,1),"P")</f>
        <v>P</v>
      </c>
      <c r="AP15923" s="4" t="s">
        <v>376</v>
      </c>
      <c r="AR15923" s="4" t="s">
        <v>377</v>
      </c>
    </row>
    <row r="15924" spans="1:44" ht="30">
      <c r="A15924" s="4" t="s">
        <v>10753</v>
      </c>
      <c r="B15924" s="4">
        <v>249635</v>
      </c>
      <c r="D15924" s="5" t="s">
        <v>19480</v>
      </c>
      <c r="E15924" s="6" t="str">
        <f>HYPERLINK("https://inpn.mnhn.fr/espece/cd_nom/249635","Conistra rubiginea (Denis &amp; Schiffermüller, 1775)")</f>
        <v>Conistra rubiginea (Denis &amp; Schiffermüller, 1775)</v>
      </c>
      <c r="F15924" s="5" t="s">
        <v>19481</v>
      </c>
      <c r="AH15924" s="4" t="str">
        <f>HYPERLINK("#Statut_biogéographique!A"&amp;_xlfn.XMATCH("P",Statut_biogéographique!A:A,2,1),"P")</f>
        <v>P</v>
      </c>
      <c r="AP15924" s="4" t="s">
        <v>376</v>
      </c>
      <c r="AR15924" s="4" t="s">
        <v>377</v>
      </c>
    </row>
    <row r="15925" spans="1:44" ht="30">
      <c r="A15925" s="4" t="s">
        <v>10753</v>
      </c>
      <c r="B15925" s="4">
        <v>249637</v>
      </c>
      <c r="D15925" s="5" t="s">
        <v>19482</v>
      </c>
      <c r="E15925" s="6" t="str">
        <f>HYPERLINK("https://inpn.mnhn.fr/espece/cd_nom/249637","Conistra erythrocephala (Denis &amp; Schiffermüller, 1775)")</f>
        <v>Conistra erythrocephala (Denis &amp; Schiffermüller, 1775)</v>
      </c>
      <c r="F15925" s="5" t="s">
        <v>19483</v>
      </c>
      <c r="AH15925" s="4" t="str">
        <f>HYPERLINK("#Statut_biogéographique!A"&amp;_xlfn.XMATCH("P",Statut_biogéographique!A:A,2,1),"P")</f>
        <v>P</v>
      </c>
      <c r="AP15925" s="4" t="s">
        <v>376</v>
      </c>
      <c r="AR15925" s="4" t="s">
        <v>377</v>
      </c>
    </row>
    <row r="15926" spans="1:44">
      <c r="A15926" s="4" t="s">
        <v>10753</v>
      </c>
      <c r="B15926" s="4">
        <v>249638</v>
      </c>
      <c r="D15926" s="5" t="s">
        <v>19484</v>
      </c>
      <c r="E15926" s="6" t="str">
        <f>HYPERLINK("https://inpn.mnhn.fr/espece/cd_nom/249638","Brachylomia viminalis (Fabricius, 1777)")</f>
        <v>Brachylomia viminalis (Fabricius, 1777)</v>
      </c>
      <c r="F15926" s="5" t="s">
        <v>19485</v>
      </c>
      <c r="AH15926" s="4" t="str">
        <f>HYPERLINK("#Statut_biogéographique!A"&amp;_xlfn.XMATCH("P",Statut_biogéographique!A:A,2,1),"P")</f>
        <v>P</v>
      </c>
      <c r="AP15926" s="4" t="s">
        <v>376</v>
      </c>
      <c r="AR15926" s="4" t="s">
        <v>377</v>
      </c>
    </row>
    <row r="15927" spans="1:44" ht="30">
      <c r="A15927" s="4" t="s">
        <v>10753</v>
      </c>
      <c r="B15927" s="4">
        <v>249639</v>
      </c>
      <c r="D15927" s="5" t="s">
        <v>19486</v>
      </c>
      <c r="E15927" s="6" t="str">
        <f>HYPERLINK("https://inpn.mnhn.fr/espece/cd_nom/249639","Atethmia centrago (Haworth, 1809)")</f>
        <v>Atethmia centrago (Haworth, 1809)</v>
      </c>
      <c r="F15927" s="5" t="s">
        <v>19487</v>
      </c>
      <c r="AH15927" s="4" t="str">
        <f>HYPERLINK("#Statut_biogéographique!A"&amp;_xlfn.XMATCH("P",Statut_biogéographique!A:A,2,1),"P")</f>
        <v>P</v>
      </c>
      <c r="AP15927" s="4" t="s">
        <v>376</v>
      </c>
      <c r="AR15927" s="4" t="s">
        <v>377</v>
      </c>
    </row>
    <row r="15928" spans="1:44">
      <c r="A15928" s="4" t="s">
        <v>10753</v>
      </c>
      <c r="B15928" s="4">
        <v>249641</v>
      </c>
      <c r="D15928" s="5" t="s">
        <v>19488</v>
      </c>
      <c r="E15928" s="6" t="str">
        <f>HYPERLINK("https://inpn.mnhn.fr/espece/cd_nom/249641","Aporophyla lueneburgensis (Freyer, 1848)")</f>
        <v>Aporophyla lueneburgensis (Freyer, 1848)</v>
      </c>
      <c r="F15928" s="5" t="s">
        <v>19489</v>
      </c>
      <c r="AH15928" s="4" t="str">
        <f>HYPERLINK("#Statut_biogéographique!A"&amp;_xlfn.XMATCH("P",Statut_biogéographique!A:A,2,1),"P")</f>
        <v>P</v>
      </c>
      <c r="AP15928" s="4" t="s">
        <v>376</v>
      </c>
      <c r="AR15928" s="4" t="s">
        <v>377</v>
      </c>
    </row>
    <row r="15929" spans="1:44">
      <c r="A15929" s="4" t="s">
        <v>10753</v>
      </c>
      <c r="B15929" s="4">
        <v>249642</v>
      </c>
      <c r="D15929" s="5" t="s">
        <v>19490</v>
      </c>
      <c r="E15929" s="6" t="str">
        <f>HYPERLINK("https://inpn.mnhn.fr/espece/cd_nom/249642","Aporophyla nigra (Haworth, 1809)")</f>
        <v>Aporophyla nigra (Haworth, 1809)</v>
      </c>
      <c r="F15929" s="5" t="s">
        <v>19491</v>
      </c>
      <c r="AH15929" s="4" t="str">
        <f>HYPERLINK("#Statut_biogéographique!A"&amp;_xlfn.XMATCH("P",Statut_biogéographique!A:A,2,1),"P")</f>
        <v>P</v>
      </c>
      <c r="AP15929" s="4" t="s">
        <v>376</v>
      </c>
      <c r="AR15929" s="4" t="s">
        <v>377</v>
      </c>
    </row>
    <row r="15930" spans="1:44">
      <c r="A15930" s="4" t="s">
        <v>10753</v>
      </c>
      <c r="B15930" s="4">
        <v>249644</v>
      </c>
      <c r="D15930" s="5" t="s">
        <v>19492</v>
      </c>
      <c r="E15930" s="6" t="str">
        <f>HYPERLINK("https://inpn.mnhn.fr/espece/cd_nom/249644","Antitype chi (Linnaeus, 1758)")</f>
        <v>Antitype chi (Linnaeus, 1758)</v>
      </c>
      <c r="F15930" s="5" t="s">
        <v>19493</v>
      </c>
      <c r="AH15930" s="4" t="str">
        <f>HYPERLINK("#Statut_biogéographique!A"&amp;_xlfn.XMATCH("P",Statut_biogéographique!A:A,2,1),"P")</f>
        <v>P</v>
      </c>
      <c r="AP15930" s="4" t="s">
        <v>376</v>
      </c>
      <c r="AR15930" s="4" t="s">
        <v>377</v>
      </c>
    </row>
    <row r="15931" spans="1:44" ht="30">
      <c r="A15931" s="4" t="s">
        <v>10753</v>
      </c>
      <c r="B15931" s="4">
        <v>249647</v>
      </c>
      <c r="D15931" s="5" t="s">
        <v>19494</v>
      </c>
      <c r="E15931" s="6" t="str">
        <f>HYPERLINK("https://inpn.mnhn.fr/espece/cd_nom/249647","Ammoconia caecimacula (Denis &amp; Schiffermüller, 1775)")</f>
        <v>Ammoconia caecimacula (Denis &amp; Schiffermüller, 1775)</v>
      </c>
      <c r="F15931" s="5" t="s">
        <v>19495</v>
      </c>
      <c r="AH15931" s="4" t="str">
        <f>HYPERLINK("#Statut_biogéographique!A"&amp;_xlfn.XMATCH("P",Statut_biogéographique!A:A,2,1),"P")</f>
        <v>P</v>
      </c>
      <c r="AP15931" s="4" t="s">
        <v>376</v>
      </c>
      <c r="AR15931" s="4" t="s">
        <v>377</v>
      </c>
    </row>
    <row r="15932" spans="1:44" ht="30">
      <c r="A15932" s="4" t="s">
        <v>10753</v>
      </c>
      <c r="B15932" s="4">
        <v>249649</v>
      </c>
      <c r="D15932" s="5" t="s">
        <v>19496</v>
      </c>
      <c r="E15932" s="6" t="str">
        <f>HYPERLINK("https://inpn.mnhn.fr/espece/cd_nom/249649","Agrochola lychnidis (Denis &amp; Schiffermüller, 1775)")</f>
        <v>Agrochola lychnidis (Denis &amp; Schiffermüller, 1775)</v>
      </c>
      <c r="F15932" s="5" t="s">
        <v>19497</v>
      </c>
      <c r="AH15932" s="4" t="str">
        <f>HYPERLINK("#Statut_biogéographique!A"&amp;_xlfn.XMATCH("P",Statut_biogéographique!A:A,2,1),"P")</f>
        <v>P</v>
      </c>
      <c r="AP15932" s="4" t="s">
        <v>376</v>
      </c>
      <c r="AR15932" s="4" t="s">
        <v>377</v>
      </c>
    </row>
    <row r="15933" spans="1:44">
      <c r="A15933" s="4" t="s">
        <v>10753</v>
      </c>
      <c r="B15933" s="4">
        <v>249662</v>
      </c>
      <c r="D15933" s="5" t="s">
        <v>19498</v>
      </c>
      <c r="E15933" s="6" t="str">
        <f>HYPERLINK("https://inpn.mnhn.fr/espece/cd_nom/249662","Eutelia adulatrix (Hübner, 1813)")</f>
        <v>Eutelia adulatrix (Hübner, 1813)</v>
      </c>
      <c r="F15933" s="5" t="s">
        <v>19499</v>
      </c>
      <c r="AH15933" s="4" t="str">
        <f>HYPERLINK("#Statut_biogéographique!A"&amp;_xlfn.XMATCH("P",Statut_biogéographique!A:A,2,1),"P")</f>
        <v>P</v>
      </c>
      <c r="AP15933" s="4" t="s">
        <v>376</v>
      </c>
      <c r="AR15933" s="4" t="s">
        <v>377</v>
      </c>
    </row>
    <row r="15934" spans="1:44" ht="45">
      <c r="A15934" s="4" t="s">
        <v>10753</v>
      </c>
      <c r="B15934" s="4">
        <v>249667</v>
      </c>
      <c r="D15934" s="5" t="s">
        <v>19500</v>
      </c>
      <c r="E15934" s="6" t="str">
        <f>HYPERLINK("https://inpn.mnhn.fr/espece/cd_nom/249667","Emmelia trabealis (Scopoli, 1763)")</f>
        <v>Emmelia trabealis (Scopoli, 1763)</v>
      </c>
      <c r="AH15934" s="4" t="str">
        <f>HYPERLINK("#Statut_biogéographique!A"&amp;_xlfn.XMATCH("P",Statut_biogéographique!A:A,2,1),"P")</f>
        <v>P</v>
      </c>
      <c r="AP15934" s="4" t="s">
        <v>376</v>
      </c>
      <c r="AR15934" s="4" t="s">
        <v>377</v>
      </c>
    </row>
    <row r="15935" spans="1:44" ht="30">
      <c r="A15935" s="4" t="s">
        <v>10753</v>
      </c>
      <c r="B15935" s="4">
        <v>249669</v>
      </c>
      <c r="D15935" s="5" t="s">
        <v>19501</v>
      </c>
      <c r="E15935" s="6" t="str">
        <f>HYPERLINK("https://inpn.mnhn.fr/espece/cd_nom/249669","Deltote deceptoria (Scopoli, 1763)")</f>
        <v>Deltote deceptoria (Scopoli, 1763)</v>
      </c>
      <c r="F15935" s="5" t="s">
        <v>19502</v>
      </c>
      <c r="AH15935" s="4" t="str">
        <f>HYPERLINK("#Statut_biogéographique!A"&amp;_xlfn.XMATCH("P",Statut_biogéographique!A:A,2,1),"P")</f>
        <v>P</v>
      </c>
      <c r="AP15935" s="4" t="s">
        <v>376</v>
      </c>
      <c r="AR15935" s="4" t="s">
        <v>377</v>
      </c>
    </row>
    <row r="15936" spans="1:44" ht="30">
      <c r="A15936" s="4" t="s">
        <v>10753</v>
      </c>
      <c r="B15936" s="4">
        <v>249670</v>
      </c>
      <c r="D15936" s="5" t="s">
        <v>19503</v>
      </c>
      <c r="E15936" s="6" t="str">
        <f>HYPERLINK("https://inpn.mnhn.fr/espece/cd_nom/249670","Deltote bankiana (Fabricius, 1775)")</f>
        <v>Deltote bankiana (Fabricius, 1775)</v>
      </c>
      <c r="F15936" s="5" t="s">
        <v>19504</v>
      </c>
      <c r="AH15936" s="4" t="str">
        <f>HYPERLINK("#Statut_biogéographique!A"&amp;_xlfn.XMATCH("P",Statut_biogéographique!A:A,2,1),"P")</f>
        <v>P</v>
      </c>
      <c r="AP15936" s="4" t="s">
        <v>376</v>
      </c>
      <c r="AR15936" s="4" t="s">
        <v>377</v>
      </c>
    </row>
    <row r="15937" spans="1:44" ht="30">
      <c r="A15937" s="4" t="s">
        <v>10753</v>
      </c>
      <c r="B15937" s="4">
        <v>249672</v>
      </c>
      <c r="D15937" s="5" t="s">
        <v>19505</v>
      </c>
      <c r="E15937" s="6" t="str">
        <f>HYPERLINK("https://inpn.mnhn.fr/espece/cd_nom/249672","Trisateles emortualis (Denis &amp; Schiffermüller, 1775)")</f>
        <v>Trisateles emortualis (Denis &amp; Schiffermüller, 1775)</v>
      </c>
      <c r="F15937" s="5" t="s">
        <v>19506</v>
      </c>
      <c r="AH15937" s="4" t="str">
        <f>HYPERLINK("#Statut_biogéographique!A"&amp;_xlfn.XMATCH("P",Statut_biogéographique!A:A,2,1),"P")</f>
        <v>P</v>
      </c>
      <c r="AP15937" s="4" t="s">
        <v>376</v>
      </c>
      <c r="AR15937" s="4" t="s">
        <v>377</v>
      </c>
    </row>
    <row r="15938" spans="1:44">
      <c r="A15938" s="4" t="s">
        <v>10753</v>
      </c>
      <c r="B15938" s="4">
        <v>24968</v>
      </c>
      <c r="D15938" s="5" t="s">
        <v>19507</v>
      </c>
      <c r="E15938" s="6" t="str">
        <f>HYPERLINK("https://inpn.mnhn.fr/espece/cd_nom/24968","Euthycera chaerophylli (Fabricius, 1798)")</f>
        <v>Euthycera chaerophylli (Fabricius, 1798)</v>
      </c>
      <c r="AH15938" s="4" t="str">
        <f>HYPERLINK("#Statut_biogéographique!A"&amp;_xlfn.XMATCH("P",Statut_biogéographique!A:A,2,1),"P")</f>
        <v>P</v>
      </c>
      <c r="AP15938" s="4" t="s">
        <v>376</v>
      </c>
      <c r="AR15938" s="4" t="s">
        <v>377</v>
      </c>
    </row>
    <row r="15939" spans="1:44">
      <c r="A15939" s="4" t="s">
        <v>10753</v>
      </c>
      <c r="B15939" s="4">
        <v>249682</v>
      </c>
      <c r="D15939" s="5" t="s">
        <v>19508</v>
      </c>
      <c r="E15939" s="6" t="str">
        <f>HYPERLINK("https://inpn.mnhn.fr/espece/cd_nom/249682","Eublemma ostrina (Hübner, 1808)")</f>
        <v>Eublemma ostrina (Hübner, 1808)</v>
      </c>
      <c r="F15939" s="5" t="s">
        <v>19509</v>
      </c>
      <c r="AH15939" s="4" t="str">
        <f>HYPERLINK("#Statut_biogéographique!A"&amp;_xlfn.XMATCH("P",Statut_biogéographique!A:A,2,1),"P")</f>
        <v>P</v>
      </c>
      <c r="AP15939" s="4" t="s">
        <v>376</v>
      </c>
      <c r="AR15939" s="4" t="s">
        <v>377</v>
      </c>
    </row>
    <row r="15940" spans="1:44">
      <c r="A15940" s="4" t="s">
        <v>10753</v>
      </c>
      <c r="B15940" s="4">
        <v>249683</v>
      </c>
      <c r="D15940" s="5" t="s">
        <v>19510</v>
      </c>
      <c r="E15940" s="6" t="str">
        <f>HYPERLINK("https://inpn.mnhn.fr/espece/cd_nom/249683","Eublemma parva (Hübner, 1808)")</f>
        <v>Eublemma parva (Hübner, 1808)</v>
      </c>
      <c r="F15940" s="5" t="s">
        <v>19511</v>
      </c>
      <c r="AH15940" s="4" t="str">
        <f>HYPERLINK("#Statut_biogéographique!A"&amp;_xlfn.XMATCH("P",Statut_biogéographique!A:A,2,1),"P")</f>
        <v>P</v>
      </c>
      <c r="AP15940" s="4" t="s">
        <v>376</v>
      </c>
      <c r="AR15940" s="4" t="s">
        <v>377</v>
      </c>
    </row>
    <row r="15941" spans="1:44" ht="30">
      <c r="A15941" s="4" t="s">
        <v>10753</v>
      </c>
      <c r="B15941" s="4">
        <v>249685</v>
      </c>
      <c r="D15941" s="5" t="s">
        <v>19512</v>
      </c>
      <c r="E15941" s="6" t="str">
        <f>HYPERLINK("https://inpn.mnhn.fr/espece/cd_nom/249685","Eublemma purpurina (Denis &amp; Schiffermüller, 1775)")</f>
        <v>Eublemma purpurina (Denis &amp; Schiffermüller, 1775)</v>
      </c>
      <c r="F15941" s="5" t="s">
        <v>19513</v>
      </c>
      <c r="AH15941" s="4" t="str">
        <f>HYPERLINK("#Statut_biogéographique!A"&amp;_xlfn.XMATCH("P",Statut_biogéographique!A:A,2,1),"P")</f>
        <v>P</v>
      </c>
      <c r="AP15941" s="4" t="s">
        <v>376</v>
      </c>
      <c r="AR15941" s="4" t="s">
        <v>377</v>
      </c>
    </row>
    <row r="15942" spans="1:44" ht="30">
      <c r="A15942" s="4" t="s">
        <v>10753</v>
      </c>
      <c r="B15942" s="4">
        <v>24969</v>
      </c>
      <c r="D15942" s="5" t="s">
        <v>19514</v>
      </c>
      <c r="E15942" s="6" t="str">
        <f>HYPERLINK("https://inpn.mnhn.fr/espece/cd_nom/24969","Euthycera fumigata (Scopoli, 1763)")</f>
        <v>Euthycera fumigata (Scopoli, 1763)</v>
      </c>
      <c r="AH15942" s="4" t="str">
        <f>HYPERLINK("#Statut_biogéographique!A"&amp;_xlfn.XMATCH("P",Statut_biogéographique!A:A,2,1),"P")</f>
        <v>P</v>
      </c>
      <c r="AP15942" s="4" t="s">
        <v>376</v>
      </c>
      <c r="AR15942" s="4" t="s">
        <v>377</v>
      </c>
    </row>
    <row r="15943" spans="1:44">
      <c r="A15943" s="4" t="s">
        <v>10753</v>
      </c>
      <c r="B15943" s="4">
        <v>249699</v>
      </c>
      <c r="D15943" s="5" t="s">
        <v>19515</v>
      </c>
      <c r="E15943" s="6" t="str">
        <f>HYPERLINK("https://inpn.mnhn.fr/espece/cd_nom/249699","Cucullia absinthii (Linnaeus, 1761)")</f>
        <v>Cucullia absinthii (Linnaeus, 1761)</v>
      </c>
      <c r="F15943" s="5" t="s">
        <v>19516</v>
      </c>
      <c r="AH15943" s="4" t="str">
        <f>HYPERLINK("#Statut_biogéographique!A"&amp;_xlfn.XMATCH("P",Statut_biogéographique!A:A,2,1),"P")</f>
        <v>P</v>
      </c>
      <c r="AP15943" s="4" t="s">
        <v>376</v>
      </c>
      <c r="AR15943" s="4" t="s">
        <v>377</v>
      </c>
    </row>
    <row r="15944" spans="1:44">
      <c r="A15944" s="4" t="s">
        <v>10753</v>
      </c>
      <c r="B15944" s="4">
        <v>249702</v>
      </c>
      <c r="D15944" s="5" t="s">
        <v>19517</v>
      </c>
      <c r="E15944" s="6" t="str">
        <f>HYPERLINK("https://inpn.mnhn.fr/espece/cd_nom/249702","Cucullia artemisiae (Hufnagel, 1766)")</f>
        <v>Cucullia artemisiae (Hufnagel, 1766)</v>
      </c>
      <c r="F15944" s="5" t="s">
        <v>19518</v>
      </c>
      <c r="AH15944" s="4" t="str">
        <f>HYPERLINK("#Statut_biogéographique!A"&amp;_xlfn.XMATCH("P",Statut_biogéographique!A:A,2,1),"P")</f>
        <v>P</v>
      </c>
      <c r="AP15944" s="4" t="s">
        <v>376</v>
      </c>
      <c r="AR15944" s="4" t="s">
        <v>377</v>
      </c>
    </row>
    <row r="15945" spans="1:44" ht="30">
      <c r="A15945" s="4" t="s">
        <v>10753</v>
      </c>
      <c r="B15945" s="4">
        <v>249705</v>
      </c>
      <c r="D15945" s="5" t="s">
        <v>19519</v>
      </c>
      <c r="E15945" s="6" t="str">
        <f>HYPERLINK("https://inpn.mnhn.fr/espece/cd_nom/249705","Cucullia lactucae (Denis &amp; Schiffermüller, 1775)")</f>
        <v>Cucullia lactucae (Denis &amp; Schiffermüller, 1775)</v>
      </c>
      <c r="F15945" s="5" t="s">
        <v>19520</v>
      </c>
      <c r="AH15945" s="4" t="str">
        <f>HYPERLINK("#Statut_biogéographique!A"&amp;_xlfn.XMATCH("P",Statut_biogéographique!A:A,2,1),"P")</f>
        <v>P</v>
      </c>
      <c r="AP15945" s="4" t="s">
        <v>376</v>
      </c>
      <c r="AR15945" s="4" t="s">
        <v>377</v>
      </c>
    </row>
    <row r="15946" spans="1:44" ht="30">
      <c r="A15946" s="4" t="s">
        <v>10753</v>
      </c>
      <c r="B15946" s="4">
        <v>249706</v>
      </c>
      <c r="D15946" s="5" t="s">
        <v>19521</v>
      </c>
      <c r="E15946" s="6" t="str">
        <f>HYPERLINK("https://inpn.mnhn.fr/espece/cd_nom/249706","Cucullia lucifuga (Denis &amp; Schiffermüller, 1775)")</f>
        <v>Cucullia lucifuga (Denis &amp; Schiffermüller, 1775)</v>
      </c>
      <c r="F15946" s="5" t="s">
        <v>19522</v>
      </c>
      <c r="AH15946" s="4" t="str">
        <f>HYPERLINK("#Statut_biogéographique!A"&amp;_xlfn.XMATCH("P",Statut_biogéographique!A:A,2,1),"P")</f>
        <v>P</v>
      </c>
      <c r="AP15946" s="4" t="s">
        <v>376</v>
      </c>
      <c r="AR15946" s="4" t="s">
        <v>377</v>
      </c>
    </row>
    <row r="15947" spans="1:44">
      <c r="A15947" s="4" t="s">
        <v>10753</v>
      </c>
      <c r="B15947" s="4">
        <v>249707</v>
      </c>
      <c r="D15947" s="5" t="s">
        <v>19523</v>
      </c>
      <c r="E15947" s="6" t="str">
        <f>HYPERLINK("https://inpn.mnhn.fr/espece/cd_nom/249707","Cucullia umbratica (Linnaeus, 1758)")</f>
        <v>Cucullia umbratica (Linnaeus, 1758)</v>
      </c>
      <c r="F15947" s="5" t="s">
        <v>19524</v>
      </c>
      <c r="AH15947" s="4" t="str">
        <f>HYPERLINK("#Statut_biogéographique!A"&amp;_xlfn.XMATCH("P",Statut_biogéographique!A:A,2,1),"P")</f>
        <v>P</v>
      </c>
      <c r="AP15947" s="4" t="s">
        <v>376</v>
      </c>
      <c r="AR15947" s="4" t="s">
        <v>377</v>
      </c>
    </row>
    <row r="15948" spans="1:44" ht="30">
      <c r="A15948" s="4" t="s">
        <v>10753</v>
      </c>
      <c r="B15948" s="4">
        <v>249710</v>
      </c>
      <c r="D15948" s="5" t="s">
        <v>19525</v>
      </c>
      <c r="E15948" s="6" t="str">
        <f>HYPERLINK("https://inpn.mnhn.fr/espece/cd_nom/249710","Cucullia chamomillae (Denis &amp; Schiffermüller, 1775)")</f>
        <v>Cucullia chamomillae (Denis &amp; Schiffermüller, 1775)</v>
      </c>
      <c r="F15948" s="5" t="s">
        <v>19526</v>
      </c>
      <c r="AH15948" s="4" t="str">
        <f>HYPERLINK("#Statut_biogéographique!A"&amp;_xlfn.XMATCH("P",Statut_biogéographique!A:A,2,1),"P")</f>
        <v>P</v>
      </c>
      <c r="AP15948" s="4" t="s">
        <v>376</v>
      </c>
      <c r="AR15948" s="4" t="s">
        <v>377</v>
      </c>
    </row>
    <row r="15949" spans="1:44">
      <c r="A15949" s="4" t="s">
        <v>10753</v>
      </c>
      <c r="B15949" s="4">
        <v>249712</v>
      </c>
      <c r="D15949" s="5" t="s">
        <v>19527</v>
      </c>
      <c r="E15949" s="6" t="str">
        <f>HYPERLINK("https://inpn.mnhn.fr/espece/cd_nom/249712","Cucullia gnaphalii (Hübner, 1813)")</f>
        <v>Cucullia gnaphalii (Hübner, 1813)</v>
      </c>
      <c r="F15949" s="5" t="s">
        <v>19528</v>
      </c>
      <c r="AH15949" s="4" t="str">
        <f>HYPERLINK("#Statut_biogéographique!A"&amp;_xlfn.XMATCH("P",Statut_biogéographique!A:A,2,1),"P")</f>
        <v>P</v>
      </c>
      <c r="AP15949" s="4" t="s">
        <v>376</v>
      </c>
      <c r="AR15949" s="4" t="s">
        <v>377</v>
      </c>
    </row>
    <row r="15950" spans="1:44" ht="30">
      <c r="A15950" s="4" t="s">
        <v>10753</v>
      </c>
      <c r="B15950" s="4">
        <v>249713</v>
      </c>
      <c r="D15950" s="5" t="s">
        <v>19529</v>
      </c>
      <c r="E15950" s="6" t="str">
        <f>HYPERLINK("https://inpn.mnhn.fr/espece/cd_nom/249713","Cucullia tanaceti (Denis &amp; Schiffermüller, 1775)")</f>
        <v>Cucullia tanaceti (Denis &amp; Schiffermüller, 1775)</v>
      </c>
      <c r="F15950" s="5" t="s">
        <v>19530</v>
      </c>
      <c r="AH15950" s="4" t="str">
        <f>HYPERLINK("#Statut_biogéographique!A"&amp;_xlfn.XMATCH("P",Statut_biogéographique!A:A,2,1),"P")</f>
        <v>P</v>
      </c>
      <c r="AP15950" s="4" t="s">
        <v>376</v>
      </c>
      <c r="AR15950" s="4" t="s">
        <v>377</v>
      </c>
    </row>
    <row r="15951" spans="1:44">
      <c r="A15951" s="4" t="s">
        <v>10753</v>
      </c>
      <c r="B15951" s="4">
        <v>249715</v>
      </c>
      <c r="D15951" s="5" t="s">
        <v>19531</v>
      </c>
      <c r="E15951" s="6" t="str">
        <f>HYPERLINK("https://inpn.mnhn.fr/espece/cd_nom/249715","Cucullia asteris (Denis &amp; Schiffermüller, 1775)")</f>
        <v>Cucullia asteris (Denis &amp; Schiffermüller, 1775)</v>
      </c>
      <c r="F15951" s="5" t="s">
        <v>19532</v>
      </c>
      <c r="AH15951" s="4" t="str">
        <f>HYPERLINK("#Statut_biogéographique!A"&amp;_xlfn.XMATCH("P",Statut_biogéographique!A:A,2,1),"P")</f>
        <v>P</v>
      </c>
      <c r="AP15951" s="4" t="s">
        <v>376</v>
      </c>
      <c r="AR15951" s="4" t="s">
        <v>377</v>
      </c>
    </row>
    <row r="15952" spans="1:44" ht="30">
      <c r="A15952" s="4" t="s">
        <v>10753</v>
      </c>
      <c r="B15952" s="4">
        <v>249716</v>
      </c>
      <c r="D15952" s="5" t="s">
        <v>19533</v>
      </c>
      <c r="E15952" s="6" t="str">
        <f>HYPERLINK("https://inpn.mnhn.fr/espece/cd_nom/249716","Xylocampa areola (Esper, 1789)")</f>
        <v>Xylocampa areola (Esper, 1789)</v>
      </c>
      <c r="F15952" s="5" t="s">
        <v>19534</v>
      </c>
      <c r="AH15952" s="4" t="str">
        <f>HYPERLINK("#Statut_biogéographique!A"&amp;_xlfn.XMATCH("P",Statut_biogéographique!A:A,2,1),"P")</f>
        <v>P</v>
      </c>
      <c r="AP15952" s="4" t="s">
        <v>376</v>
      </c>
      <c r="AR15952" s="4" t="s">
        <v>377</v>
      </c>
    </row>
    <row r="15953" spans="1:44" ht="30">
      <c r="A15953" s="4" t="s">
        <v>10753</v>
      </c>
      <c r="B15953" s="4">
        <v>24972</v>
      </c>
      <c r="D15953" s="5" t="s">
        <v>19535</v>
      </c>
      <c r="E15953" s="6" t="str">
        <f>HYPERLINK("https://inpn.mnhn.fr/espece/cd_nom/24972","Hydromya dorsalis (Fabricius, 1775)")</f>
        <v>Hydromya dorsalis (Fabricius, 1775)</v>
      </c>
      <c r="AH15953" s="4" t="str">
        <f>HYPERLINK("#Statut_biogéographique!A"&amp;_xlfn.XMATCH("P",Statut_biogéographique!A:A,2,1),"P")</f>
        <v>P</v>
      </c>
      <c r="AP15953" s="4" t="s">
        <v>376</v>
      </c>
      <c r="AR15953" s="4" t="s">
        <v>377</v>
      </c>
    </row>
    <row r="15954" spans="1:44">
      <c r="A15954" s="4" t="s">
        <v>10753</v>
      </c>
      <c r="B15954" s="4">
        <v>249720</v>
      </c>
      <c r="D15954" s="5" t="s">
        <v>19536</v>
      </c>
      <c r="E15954" s="6" t="str">
        <f>HYPERLINK("https://inpn.mnhn.fr/espece/cd_nom/249720","Stilbia anomala (Haworth, 1812)")</f>
        <v>Stilbia anomala (Haworth, 1812)</v>
      </c>
      <c r="F15954" s="5" t="s">
        <v>19537</v>
      </c>
      <c r="AH15954" s="4" t="str">
        <f>HYPERLINK("#Statut_biogéographique!A"&amp;_xlfn.XMATCH("P",Statut_biogéographique!A:A,2,1),"P")</f>
        <v>P</v>
      </c>
      <c r="AP15954" s="4" t="s">
        <v>376</v>
      </c>
      <c r="AR15954" s="4" t="s">
        <v>377</v>
      </c>
    </row>
    <row r="15955" spans="1:44">
      <c r="A15955" s="4" t="s">
        <v>10753</v>
      </c>
      <c r="B15955" s="4">
        <v>249725</v>
      </c>
      <c r="D15955" s="5" t="s">
        <v>19538</v>
      </c>
      <c r="E15955" s="6" t="str">
        <f>HYPERLINK("https://inpn.mnhn.fr/espece/cd_nom/249725","Omphalophana antirrhinii (Hübner, 1803)")</f>
        <v>Omphalophana antirrhinii (Hübner, 1803)</v>
      </c>
      <c r="F15955" s="5" t="s">
        <v>19539</v>
      </c>
      <c r="AH15955" s="4" t="str">
        <f>HYPERLINK("#Statut_biogéographique!A"&amp;_xlfn.XMATCH("P",Statut_biogéographique!A:A,2,1),"P")</f>
        <v>P</v>
      </c>
      <c r="AP15955" s="4" t="s">
        <v>376</v>
      </c>
      <c r="AR15955" s="4" t="s">
        <v>377</v>
      </c>
    </row>
    <row r="15956" spans="1:44">
      <c r="A15956" s="4" t="s">
        <v>10753</v>
      </c>
      <c r="B15956" s="4">
        <v>249726</v>
      </c>
      <c r="D15956" s="5" t="s">
        <v>19540</v>
      </c>
      <c r="E15956" s="6" t="str">
        <f>HYPERLINK("https://inpn.mnhn.fr/espece/cd_nom/249726","Omia cymbalariae (Hübner, 1809)")</f>
        <v>Omia cymbalariae (Hübner, 1809)</v>
      </c>
      <c r="F15956" s="5" t="s">
        <v>19541</v>
      </c>
      <c r="AH15956" s="4" t="str">
        <f>HYPERLINK("#Statut_biogéographique!A"&amp;_xlfn.XMATCH("P",Statut_biogéographique!A:A,2,1),"P")</f>
        <v>P</v>
      </c>
      <c r="AP15956" s="4" t="s">
        <v>376</v>
      </c>
      <c r="AR15956" s="4" t="s">
        <v>377</v>
      </c>
    </row>
    <row r="15957" spans="1:44">
      <c r="A15957" s="4" t="s">
        <v>10753</v>
      </c>
      <c r="B15957" s="4">
        <v>249727</v>
      </c>
      <c r="D15957" s="5" t="s">
        <v>19542</v>
      </c>
      <c r="E15957" s="6" t="str">
        <f>HYPERLINK("https://inpn.mnhn.fr/espece/cd_nom/249727","Omia cyclopea (Graslin, 1837)")</f>
        <v>Omia cyclopea (Graslin, 1837)</v>
      </c>
      <c r="F15957" s="5" t="s">
        <v>19543</v>
      </c>
      <c r="AH15957" s="4" t="str">
        <f>HYPERLINK("#Statut_biogéographique!A"&amp;_xlfn.XMATCH("P",Statut_biogéographique!A:A,2,1),"P")</f>
        <v>P</v>
      </c>
      <c r="AP15957" s="4" t="s">
        <v>376</v>
      </c>
      <c r="AR15957" s="4" t="s">
        <v>377</v>
      </c>
    </row>
    <row r="15958" spans="1:44" ht="30">
      <c r="A15958" s="4" t="s">
        <v>10753</v>
      </c>
      <c r="B15958" s="4">
        <v>249730</v>
      </c>
      <c r="D15958" s="5" t="s">
        <v>19544</v>
      </c>
      <c r="E15958" s="6" t="str">
        <f>HYPERLINK("https://inpn.mnhn.fr/espece/cd_nom/249730","Lamprosticta culta (Denis &amp; Schiffermüller, 1775)")</f>
        <v>Lamprosticta culta (Denis &amp; Schiffermüller, 1775)</v>
      </c>
      <c r="F15958" s="5" t="s">
        <v>19545</v>
      </c>
      <c r="AH15958" s="4" t="str">
        <f>HYPERLINK("#Statut_biogéographique!A"&amp;_xlfn.XMATCH("P",Statut_biogéographique!A:A,2,1),"P")</f>
        <v>P</v>
      </c>
      <c r="AP15958" s="4" t="s">
        <v>376</v>
      </c>
      <c r="AR15958" s="4" t="s">
        <v>377</v>
      </c>
    </row>
    <row r="15959" spans="1:44">
      <c r="A15959" s="4" t="s">
        <v>10753</v>
      </c>
      <c r="B15959" s="4">
        <v>249734</v>
      </c>
      <c r="D15959" s="5" t="s">
        <v>19546</v>
      </c>
      <c r="E15959" s="6" t="str">
        <f>HYPERLINK("https://inpn.mnhn.fr/espece/cd_nom/249734","Calophasia lunula (Hufnagel, 1766)")</f>
        <v>Calophasia lunula (Hufnagel, 1766)</v>
      </c>
      <c r="F15959" s="5" t="s">
        <v>19547</v>
      </c>
      <c r="AH15959" s="4" t="str">
        <f>HYPERLINK("#Statut_biogéographique!A"&amp;_xlfn.XMATCH("P",Statut_biogéographique!A:A,2,1),"P")</f>
        <v>P</v>
      </c>
      <c r="AP15959" s="4" t="s">
        <v>376</v>
      </c>
      <c r="AR15959" s="4" t="s">
        <v>377</v>
      </c>
    </row>
    <row r="15960" spans="1:44">
      <c r="A15960" s="4" t="s">
        <v>10753</v>
      </c>
      <c r="B15960" s="4">
        <v>249736</v>
      </c>
      <c r="D15960" s="5" t="s">
        <v>19548</v>
      </c>
      <c r="E15960" s="6" t="str">
        <f>HYPERLINK("https://inpn.mnhn.fr/espece/cd_nom/249736","Calophasia platyptera (Esper, 1788)")</f>
        <v>Calophasia platyptera (Esper, 1788)</v>
      </c>
      <c r="F15960" s="5" t="s">
        <v>19549</v>
      </c>
      <c r="AH15960" s="4" t="str">
        <f>HYPERLINK("#Statut_biogéographique!A"&amp;_xlfn.XMATCH("P",Statut_biogéographique!A:A,2,1),"P")</f>
        <v>P</v>
      </c>
      <c r="AP15960" s="4" t="s">
        <v>376</v>
      </c>
      <c r="AR15960" s="4" t="s">
        <v>377</v>
      </c>
    </row>
    <row r="15961" spans="1:44">
      <c r="A15961" s="4" t="s">
        <v>10753</v>
      </c>
      <c r="B15961" s="4">
        <v>249738</v>
      </c>
      <c r="D15961" s="5" t="s">
        <v>19550</v>
      </c>
      <c r="E15961" s="6" t="str">
        <f>HYPERLINK("https://inpn.mnhn.fr/espece/cd_nom/249738","Calliergis ramosa (Esper, 1786)")</f>
        <v>Calliergis ramosa (Esper, 1786)</v>
      </c>
      <c r="F15961" s="5" t="s">
        <v>19551</v>
      </c>
      <c r="AH15961" s="4" t="str">
        <f>HYPERLINK("#Statut_biogéographique!A"&amp;_xlfn.XMATCH("P",Statut_biogéographique!A:A,2,1),"P")</f>
        <v>P</v>
      </c>
      <c r="AP15961" s="4" t="s">
        <v>376</v>
      </c>
      <c r="AR15961" s="4" t="s">
        <v>377</v>
      </c>
    </row>
    <row r="15962" spans="1:44">
      <c r="A15962" s="4" t="s">
        <v>10753</v>
      </c>
      <c r="B15962" s="4">
        <v>249742</v>
      </c>
      <c r="D15962" s="5" t="s">
        <v>19552</v>
      </c>
      <c r="E15962" s="6" t="str">
        <f>HYPERLINK("https://inpn.mnhn.fr/espece/cd_nom/249742","Valeria jaspidea (Villers, 1789)")</f>
        <v>Valeria jaspidea (Villers, 1789)</v>
      </c>
      <c r="F15962" s="5" t="s">
        <v>19553</v>
      </c>
      <c r="AH15962" s="4" t="str">
        <f>HYPERLINK("#Statut_biogéographique!A"&amp;_xlfn.XMATCH("P",Statut_biogéographique!A:A,2,1),"P")</f>
        <v>P</v>
      </c>
      <c r="AP15962" s="4" t="s">
        <v>376</v>
      </c>
      <c r="AR15962" s="4" t="s">
        <v>377</v>
      </c>
    </row>
    <row r="15963" spans="1:44">
      <c r="A15963" s="4" t="s">
        <v>10753</v>
      </c>
      <c r="B15963" s="4">
        <v>249743</v>
      </c>
      <c r="D15963" s="5" t="s">
        <v>19554</v>
      </c>
      <c r="E15963" s="6" t="str">
        <f>HYPERLINK("https://inpn.mnhn.fr/espece/cd_nom/249743","Meganephria bimaculosa (Linnaeus, 1767)")</f>
        <v>Meganephria bimaculosa (Linnaeus, 1767)</v>
      </c>
      <c r="F15963" s="5" t="s">
        <v>19555</v>
      </c>
      <c r="AH15963" s="4" t="str">
        <f>HYPERLINK("#Statut_biogéographique!A"&amp;_xlfn.XMATCH("P",Statut_biogéographique!A:A,2,1),"P")</f>
        <v>P</v>
      </c>
      <c r="AP15963" s="4" t="s">
        <v>376</v>
      </c>
      <c r="AR15963" s="4" t="s">
        <v>377</v>
      </c>
    </row>
    <row r="15964" spans="1:44">
      <c r="A15964" s="4" t="s">
        <v>10753</v>
      </c>
      <c r="B15964" s="4">
        <v>249744</v>
      </c>
      <c r="D15964" s="5" t="s">
        <v>19556</v>
      </c>
      <c r="E15964" s="6" t="str">
        <f>HYPERLINK("https://inpn.mnhn.fr/espece/cd_nom/249744","Brachionycha nubeculosa (Esper, 1785)")</f>
        <v>Brachionycha nubeculosa (Esper, 1785)</v>
      </c>
      <c r="F15964" s="5" t="s">
        <v>19557</v>
      </c>
      <c r="AH15964" s="4" t="str">
        <f>HYPERLINK("#Statut_biogéographique!A"&amp;_xlfn.XMATCH("P",Statut_biogéographique!A:A,2,1),"P")</f>
        <v>P</v>
      </c>
      <c r="AP15964" s="4" t="s">
        <v>376</v>
      </c>
      <c r="AR15964" s="4" t="s">
        <v>377</v>
      </c>
    </row>
    <row r="15965" spans="1:44" ht="30">
      <c r="A15965" s="4" t="s">
        <v>10753</v>
      </c>
      <c r="B15965" s="4">
        <v>249745</v>
      </c>
      <c r="D15965" s="5" t="s">
        <v>19558</v>
      </c>
      <c r="E15965" s="6" t="str">
        <f>HYPERLINK("https://inpn.mnhn.fr/espece/cd_nom/249745","Asteroscopus sphinx (Hufnagel, 1766)")</f>
        <v>Asteroscopus sphinx (Hufnagel, 1766)</v>
      </c>
      <c r="F15965" s="5" t="s">
        <v>19559</v>
      </c>
      <c r="AH15965" s="4" t="str">
        <f>HYPERLINK("#Statut_biogéographique!A"&amp;_xlfn.XMATCH("P",Statut_biogéographique!A:A,2,1),"P")</f>
        <v>P</v>
      </c>
      <c r="AP15965" s="4" t="s">
        <v>376</v>
      </c>
      <c r="AR15965" s="4" t="s">
        <v>377</v>
      </c>
    </row>
    <row r="15966" spans="1:44">
      <c r="A15966" s="4" t="s">
        <v>10753</v>
      </c>
      <c r="B15966" s="4">
        <v>249746</v>
      </c>
      <c r="D15966" s="5" t="s">
        <v>19560</v>
      </c>
      <c r="E15966" s="6" t="str">
        <f>HYPERLINK("https://inpn.mnhn.fr/espece/cd_nom/249746","Allophyes oxyacanthae (Linnaeus, 1758)")</f>
        <v>Allophyes oxyacanthae (Linnaeus, 1758)</v>
      </c>
      <c r="F15966" s="5" t="s">
        <v>19561</v>
      </c>
      <c r="AH15966" s="4" t="str">
        <f>HYPERLINK("#Statut_biogéographique!A"&amp;_xlfn.XMATCH("P",Statut_biogéographique!A:A,2,1),"P")</f>
        <v>P</v>
      </c>
      <c r="AP15966" s="4" t="s">
        <v>376</v>
      </c>
      <c r="AR15966" s="4" t="s">
        <v>377</v>
      </c>
    </row>
    <row r="15967" spans="1:44" ht="30">
      <c r="A15967" s="4" t="s">
        <v>10753</v>
      </c>
      <c r="B15967" s="4">
        <v>249748</v>
      </c>
      <c r="D15967" s="5" t="s">
        <v>19562</v>
      </c>
      <c r="E15967" s="6" t="str">
        <f>HYPERLINK("https://inpn.mnhn.fr/espece/cd_nom/249748","Catocala fulminea (Scopoli, 1763)")</f>
        <v>Catocala fulminea (Scopoli, 1763)</v>
      </c>
      <c r="F15967" s="5" t="s">
        <v>19563</v>
      </c>
      <c r="AH15967" s="4" t="str">
        <f>HYPERLINK("#Statut_biogéographique!A"&amp;_xlfn.XMATCH("P",Statut_biogéographique!A:A,2,1),"P")</f>
        <v>P</v>
      </c>
      <c r="AP15967" s="4" t="s">
        <v>376</v>
      </c>
      <c r="AR15967" s="4" t="s">
        <v>377</v>
      </c>
    </row>
    <row r="15968" spans="1:44">
      <c r="A15968" s="4" t="s">
        <v>10753</v>
      </c>
      <c r="B15968" s="4">
        <v>249753</v>
      </c>
      <c r="D15968" s="5" t="s">
        <v>19564</v>
      </c>
      <c r="E15968" s="6" t="str">
        <f>HYPERLINK("https://inpn.mnhn.fr/espece/cd_nom/249753","Catocala fraxini (Linnaeus, 1758)")</f>
        <v>Catocala fraxini (Linnaeus, 1758)</v>
      </c>
      <c r="F15968" s="5" t="s">
        <v>19565</v>
      </c>
      <c r="AH15968" s="4" t="str">
        <f>HYPERLINK("#Statut_biogéographique!A"&amp;_xlfn.XMATCH("P",Statut_biogéographique!A:A,2,1),"P")</f>
        <v>P</v>
      </c>
      <c r="AP15968" s="4" t="s">
        <v>376</v>
      </c>
      <c r="AR15968" s="4" t="s">
        <v>377</v>
      </c>
    </row>
    <row r="15969" spans="1:44">
      <c r="A15969" s="4" t="s">
        <v>10753</v>
      </c>
      <c r="B15969" s="4">
        <v>249754</v>
      </c>
      <c r="D15969" s="5" t="s">
        <v>19566</v>
      </c>
      <c r="E15969" s="6" t="str">
        <f>HYPERLINK("https://inpn.mnhn.fr/espece/cd_nom/249754","Catocala nupta (Linnaeus, 1767)")</f>
        <v>Catocala nupta (Linnaeus, 1767)</v>
      </c>
      <c r="F15969" s="5" t="s">
        <v>19567</v>
      </c>
      <c r="AH15969" s="4" t="str">
        <f>HYPERLINK("#Statut_biogéographique!A"&amp;_xlfn.XMATCH("P",Statut_biogéographique!A:A,2,1),"P")</f>
        <v>P</v>
      </c>
      <c r="AP15969" s="4" t="s">
        <v>376</v>
      </c>
      <c r="AR15969" s="4" t="s">
        <v>377</v>
      </c>
    </row>
    <row r="15970" spans="1:44">
      <c r="A15970" s="4" t="s">
        <v>10753</v>
      </c>
      <c r="B15970" s="4">
        <v>249756</v>
      </c>
      <c r="D15970" s="5" t="s">
        <v>19568</v>
      </c>
      <c r="E15970" s="6" t="str">
        <f>HYPERLINK("https://inpn.mnhn.fr/espece/cd_nom/249756","Catocala elocata (Esper, 1787)")</f>
        <v>Catocala elocata (Esper, 1787)</v>
      </c>
      <c r="F15970" s="5" t="s">
        <v>19569</v>
      </c>
      <c r="AH15970" s="4" t="str">
        <f>HYPERLINK("#Statut_biogéographique!A"&amp;_xlfn.XMATCH("P",Statut_biogéographique!A:A,2,1),"P")</f>
        <v>P</v>
      </c>
      <c r="AP15970" s="4" t="s">
        <v>376</v>
      </c>
      <c r="AR15970" s="4" t="s">
        <v>377</v>
      </c>
    </row>
    <row r="15971" spans="1:44">
      <c r="A15971" s="4" t="s">
        <v>10753</v>
      </c>
      <c r="B15971" s="4">
        <v>249759</v>
      </c>
      <c r="D15971" s="5" t="s">
        <v>19570</v>
      </c>
      <c r="E15971" s="6" t="str">
        <f>HYPERLINK("https://inpn.mnhn.fr/espece/cd_nom/249759","Catocala sponsa (Linnaeus, 1767)")</f>
        <v>Catocala sponsa (Linnaeus, 1767)</v>
      </c>
      <c r="F15971" s="5" t="s">
        <v>19571</v>
      </c>
      <c r="AH15971" s="4" t="str">
        <f>HYPERLINK("#Statut_biogéographique!A"&amp;_xlfn.XMATCH("P",Statut_biogéographique!A:A,2,1),"P")</f>
        <v>P</v>
      </c>
      <c r="AP15971" s="4" t="s">
        <v>376</v>
      </c>
      <c r="AR15971" s="4" t="s">
        <v>377</v>
      </c>
    </row>
    <row r="15972" spans="1:44">
      <c r="A15972" s="4" t="s">
        <v>10753</v>
      </c>
      <c r="B15972" s="4">
        <v>249760</v>
      </c>
      <c r="D15972" s="5" t="s">
        <v>19572</v>
      </c>
      <c r="E15972" s="6" t="str">
        <f>HYPERLINK("https://inpn.mnhn.fr/espece/cd_nom/249760","Catocala optata (Godart, 1824)")</f>
        <v>Catocala optata (Godart, 1824)</v>
      </c>
      <c r="F15972" s="5" t="s">
        <v>19573</v>
      </c>
      <c r="AH15972" s="4" t="str">
        <f>HYPERLINK("#Statut_biogéographique!A"&amp;_xlfn.XMATCH("P",Statut_biogéographique!A:A,2,1),"P")</f>
        <v>P</v>
      </c>
      <c r="AP15972" s="4" t="s">
        <v>376</v>
      </c>
      <c r="AR15972" s="4" t="s">
        <v>377</v>
      </c>
    </row>
    <row r="15973" spans="1:44" ht="30">
      <c r="A15973" s="4" t="s">
        <v>10753</v>
      </c>
      <c r="B15973" s="4">
        <v>249761</v>
      </c>
      <c r="D15973" s="5" t="s">
        <v>19574</v>
      </c>
      <c r="E15973" s="6" t="str">
        <f>HYPERLINK("https://inpn.mnhn.fr/espece/cd_nom/249761","Catocala promissa (Denis &amp; Schiffermüller, 1775)")</f>
        <v>Catocala promissa (Denis &amp; Schiffermüller, 1775)</v>
      </c>
      <c r="F15973" s="5" t="s">
        <v>19575</v>
      </c>
      <c r="AH15973" s="4" t="str">
        <f>HYPERLINK("#Statut_biogéographique!A"&amp;_xlfn.XMATCH("P",Statut_biogéographique!A:A,2,1),"P")</f>
        <v>P</v>
      </c>
      <c r="AP15973" s="4" t="s">
        <v>376</v>
      </c>
      <c r="AR15973" s="4" t="s">
        <v>377</v>
      </c>
    </row>
    <row r="15974" spans="1:44" ht="30">
      <c r="A15974" s="4" t="s">
        <v>10753</v>
      </c>
      <c r="B15974" s="4">
        <v>249764</v>
      </c>
      <c r="D15974" s="5" t="s">
        <v>19576</v>
      </c>
      <c r="E15974" s="6" t="str">
        <f>HYPERLINK("https://inpn.mnhn.fr/espece/cd_nom/249764","Minucia lunaris (Denis &amp; Schiffermüller, 1775)")</f>
        <v>Minucia lunaris (Denis &amp; Schiffermüller, 1775)</v>
      </c>
      <c r="F15974" s="5" t="s">
        <v>19577</v>
      </c>
      <c r="AH15974" s="4" t="str">
        <f>HYPERLINK("#Statut_biogéographique!A"&amp;_xlfn.XMATCH("P",Statut_biogéographique!A:A,2,1),"P")</f>
        <v>P</v>
      </c>
      <c r="AP15974" s="4" t="s">
        <v>376</v>
      </c>
      <c r="AR15974" s="4" t="s">
        <v>377</v>
      </c>
    </row>
    <row r="15975" spans="1:44" ht="30">
      <c r="A15975" s="4" t="s">
        <v>10753</v>
      </c>
      <c r="B15975" s="4">
        <v>249767</v>
      </c>
      <c r="D15975" s="5" t="s">
        <v>19578</v>
      </c>
      <c r="E15975" s="6" t="str">
        <f>HYPERLINK("https://inpn.mnhn.fr/espece/cd_nom/249767","Dysgonia algira (Linnaeus, 1767)")</f>
        <v>Dysgonia algira (Linnaeus, 1767)</v>
      </c>
      <c r="F15975" s="5" t="s">
        <v>19579</v>
      </c>
      <c r="AH15975" s="4" t="str">
        <f>HYPERLINK("#Statut_biogéographique!A"&amp;_xlfn.XMATCH("P",Statut_biogéographique!A:A,2,1),"P")</f>
        <v>P</v>
      </c>
      <c r="AP15975" s="4" t="s">
        <v>376</v>
      </c>
      <c r="AR15975" s="4" t="s">
        <v>377</v>
      </c>
    </row>
    <row r="15976" spans="1:44" ht="30">
      <c r="A15976" s="4" t="s">
        <v>10753</v>
      </c>
      <c r="B15976" s="4">
        <v>249769</v>
      </c>
      <c r="D15976" s="5" t="s">
        <v>19580</v>
      </c>
      <c r="E15976" s="6" t="str">
        <f>HYPERLINK("https://inpn.mnhn.fr/espece/cd_nom/249769","Catephia alchymista (Denis &amp; Schiffermüller, 1775)")</f>
        <v>Catephia alchymista (Denis &amp; Schiffermüller, 1775)</v>
      </c>
      <c r="F15976" s="5" t="s">
        <v>19581</v>
      </c>
      <c r="AH15976" s="4" t="str">
        <f>HYPERLINK("#Statut_biogéographique!A"&amp;_xlfn.XMATCH("P",Statut_biogéographique!A:A,2,1),"P")</f>
        <v>P</v>
      </c>
      <c r="AP15976" s="4" t="s">
        <v>376</v>
      </c>
      <c r="AR15976" s="4" t="s">
        <v>377</v>
      </c>
    </row>
    <row r="15977" spans="1:44">
      <c r="A15977" s="4" t="s">
        <v>10753</v>
      </c>
      <c r="B15977" s="4">
        <v>249770</v>
      </c>
      <c r="D15977" s="5" t="s">
        <v>19582</v>
      </c>
      <c r="E15977" s="6" t="str">
        <f>HYPERLINK("https://inpn.mnhn.fr/espece/cd_nom/249770","Lygephila lusoria (Linnaeus, 1758)")</f>
        <v>Lygephila lusoria (Linnaeus, 1758)</v>
      </c>
      <c r="F15977" s="5" t="s">
        <v>19583</v>
      </c>
      <c r="AH15977" s="4" t="str">
        <f>HYPERLINK("#Statut_biogéographique!A"&amp;_xlfn.XMATCH("P",Statut_biogéographique!A:A,2,1),"P")</f>
        <v>P</v>
      </c>
      <c r="AP15977" s="4" t="s">
        <v>376</v>
      </c>
      <c r="AR15977" s="4" t="s">
        <v>377</v>
      </c>
    </row>
    <row r="15978" spans="1:44">
      <c r="A15978" s="4" t="s">
        <v>10753</v>
      </c>
      <c r="B15978" s="4">
        <v>249771</v>
      </c>
      <c r="D15978" s="5" t="s">
        <v>19584</v>
      </c>
      <c r="E15978" s="6" t="str">
        <f>HYPERLINK("https://inpn.mnhn.fr/espece/cd_nom/249771","Lygephila pastinum (Treitschke, 1826)")</f>
        <v>Lygephila pastinum (Treitschke, 1826)</v>
      </c>
      <c r="F15978" s="5" t="s">
        <v>19585</v>
      </c>
      <c r="AH15978" s="4" t="str">
        <f>HYPERLINK("#Statut_biogéographique!A"&amp;_xlfn.XMATCH("P",Statut_biogéographique!A:A,2,1),"P")</f>
        <v>P</v>
      </c>
      <c r="AP15978" s="4" t="s">
        <v>376</v>
      </c>
      <c r="AR15978" s="4" t="s">
        <v>377</v>
      </c>
    </row>
    <row r="15979" spans="1:44">
      <c r="A15979" s="4" t="s">
        <v>10753</v>
      </c>
      <c r="B15979" s="4">
        <v>249772</v>
      </c>
      <c r="D15979" s="5" t="s">
        <v>19586</v>
      </c>
      <c r="E15979" s="6" t="str">
        <f>HYPERLINK("https://inpn.mnhn.fr/espece/cd_nom/249772","Lygephila viciae (Hübner, 1822)")</f>
        <v>Lygephila viciae (Hübner, 1822)</v>
      </c>
      <c r="F15979" s="5" t="s">
        <v>19587</v>
      </c>
      <c r="AH15979" s="4" t="str">
        <f>HYPERLINK("#Statut_biogéographique!A"&amp;_xlfn.XMATCH("P",Statut_biogéographique!A:A,2,1),"P")</f>
        <v>P</v>
      </c>
      <c r="AP15979" s="4" t="s">
        <v>376</v>
      </c>
      <c r="AR15979" s="4" t="s">
        <v>377</v>
      </c>
    </row>
    <row r="15980" spans="1:44" ht="30">
      <c r="A15980" s="4" t="s">
        <v>10753</v>
      </c>
      <c r="B15980" s="4">
        <v>249773</v>
      </c>
      <c r="D15980" s="5" t="s">
        <v>19588</v>
      </c>
      <c r="E15980" s="6" t="str">
        <f>HYPERLINK("https://inpn.mnhn.fr/espece/cd_nom/249773","Lygephila craccae (Denis &amp; Schiffermüller, 1775)")</f>
        <v>Lygephila craccae (Denis &amp; Schiffermüller, 1775)</v>
      </c>
      <c r="F15980" s="5" t="s">
        <v>19589</v>
      </c>
      <c r="AH15980" s="4" t="str">
        <f>HYPERLINK("#Statut_biogéographique!A"&amp;_xlfn.XMATCH("P",Statut_biogéographique!A:A,2,1),"P")</f>
        <v>P</v>
      </c>
      <c r="AP15980" s="4" t="s">
        <v>376</v>
      </c>
      <c r="AR15980" s="4" t="s">
        <v>377</v>
      </c>
    </row>
    <row r="15981" spans="1:44" ht="30">
      <c r="A15981" s="4" t="s">
        <v>10753</v>
      </c>
      <c r="B15981" s="4">
        <v>249775</v>
      </c>
      <c r="D15981" s="5" t="s">
        <v>19590</v>
      </c>
      <c r="E15981" s="6" t="str">
        <f>HYPERLINK("https://inpn.mnhn.fr/espece/cd_nom/249775","Laspeyria flexula (Denis &amp; Schiffermüller, 1775)")</f>
        <v>Laspeyria flexula (Denis &amp; Schiffermüller, 1775)</v>
      </c>
      <c r="F15981" s="5" t="s">
        <v>19591</v>
      </c>
      <c r="AH15981" s="4" t="str">
        <f>HYPERLINK("#Statut_biogéographique!A"&amp;_xlfn.XMATCH("P",Statut_biogéographique!A:A,2,1),"P")</f>
        <v>P</v>
      </c>
      <c r="AP15981" s="4" t="s">
        <v>376</v>
      </c>
      <c r="AR15981" s="4" t="s">
        <v>377</v>
      </c>
    </row>
    <row r="15982" spans="1:44">
      <c r="A15982" s="4" t="s">
        <v>10753</v>
      </c>
      <c r="B15982" s="4">
        <v>249776</v>
      </c>
      <c r="D15982" s="5" t="s">
        <v>19592</v>
      </c>
      <c r="E15982" s="6" t="str">
        <f>HYPERLINK("https://inpn.mnhn.fr/espece/cd_nom/249776","Euclidia glyphica (Linnaeus, 1758)")</f>
        <v>Euclidia glyphica (Linnaeus, 1758)</v>
      </c>
      <c r="F15982" s="5" t="s">
        <v>19593</v>
      </c>
      <c r="AH15982" s="4" t="str">
        <f>HYPERLINK("#Statut_biogéographique!A"&amp;_xlfn.XMATCH("P",Statut_biogéographique!A:A,2,1),"P")</f>
        <v>P</v>
      </c>
      <c r="AP15982" s="4" t="s">
        <v>376</v>
      </c>
      <c r="AR15982" s="4" t="s">
        <v>377</v>
      </c>
    </row>
    <row r="15983" spans="1:44">
      <c r="A15983" s="4" t="s">
        <v>10753</v>
      </c>
      <c r="B15983" s="4">
        <v>24978</v>
      </c>
      <c r="D15983" s="5">
        <v>24978</v>
      </c>
      <c r="E15983" s="6" t="str">
        <f>HYPERLINK("https://inpn.mnhn.fr/espece/cd_nom/24978","Limnia paludicola Elberg, 1965")</f>
        <v>Limnia paludicola Elberg, 1965</v>
      </c>
      <c r="AH15983" s="4" t="str">
        <f>HYPERLINK("#Statut_biogéographique!A"&amp;_xlfn.XMATCH("P",Statut_biogéographique!A:A,2,1),"P")</f>
        <v>P</v>
      </c>
      <c r="AP15983" s="4" t="s">
        <v>376</v>
      </c>
      <c r="AR15983" s="4" t="s">
        <v>377</v>
      </c>
    </row>
    <row r="15984" spans="1:44">
      <c r="A15984" s="4" t="s">
        <v>10753</v>
      </c>
      <c r="B15984" s="4">
        <v>249780</v>
      </c>
      <c r="D15984" s="5" t="s">
        <v>19594</v>
      </c>
      <c r="E15984" s="6" t="str">
        <f>HYPERLINK("https://inpn.mnhn.fr/espece/cd_nom/249780","Autophila dilucida (Hübner, 1808)")</f>
        <v>Autophila dilucida (Hübner, 1808)</v>
      </c>
      <c r="F15984" s="5" t="s">
        <v>19595</v>
      </c>
      <c r="AH15984" s="4" t="str">
        <f>HYPERLINK("#Statut_biogéographique!A"&amp;_xlfn.XMATCH("P",Statut_biogéographique!A:A,2,1),"P")</f>
        <v>P</v>
      </c>
      <c r="AP15984" s="4" t="s">
        <v>376</v>
      </c>
      <c r="AR15984" s="4" t="s">
        <v>377</v>
      </c>
    </row>
    <row r="15985" spans="1:44">
      <c r="A15985" s="4" t="s">
        <v>10753</v>
      </c>
      <c r="B15985" s="4">
        <v>249785</v>
      </c>
      <c r="D15985" s="5" t="s">
        <v>19596</v>
      </c>
      <c r="E15985" s="6" t="str">
        <f>HYPERLINK("https://inpn.mnhn.fr/espece/cd_nom/249785","Scoliopteryx libatrix (Linnaeus, 1758)")</f>
        <v>Scoliopteryx libatrix (Linnaeus, 1758)</v>
      </c>
      <c r="F15985" s="5" t="s">
        <v>19597</v>
      </c>
      <c r="AH15985" s="4" t="str">
        <f>HYPERLINK("#Statut_biogéographique!A"&amp;_xlfn.XMATCH("P",Statut_biogéographique!A:A,2,1),"P")</f>
        <v>P</v>
      </c>
      <c r="AP15985" s="4" t="s">
        <v>376</v>
      </c>
      <c r="AR15985" s="4" t="s">
        <v>377</v>
      </c>
    </row>
    <row r="15986" spans="1:44">
      <c r="A15986" s="4" t="s">
        <v>10753</v>
      </c>
      <c r="B15986" s="4">
        <v>249787</v>
      </c>
      <c r="D15986" s="5" t="s">
        <v>19598</v>
      </c>
      <c r="E15986" s="6" t="str">
        <f>HYPERLINK("https://inpn.mnhn.fr/espece/cd_nom/249787","Cryphia algae (Fabricius, 1775)")</f>
        <v>Cryphia algae (Fabricius, 1775)</v>
      </c>
      <c r="F15986" s="5" t="s">
        <v>19599</v>
      </c>
      <c r="AH15986" s="4" t="str">
        <f>HYPERLINK("#Statut_biogéographique!A"&amp;_xlfn.XMATCH("P",Statut_biogéographique!A:A,2,1),"P")</f>
        <v>P</v>
      </c>
      <c r="AP15986" s="4" t="s">
        <v>376</v>
      </c>
      <c r="AR15986" s="4" t="s">
        <v>377</v>
      </c>
    </row>
    <row r="15987" spans="1:44" ht="30">
      <c r="A15987" s="4" t="s">
        <v>10753</v>
      </c>
      <c r="B15987" s="4">
        <v>24979</v>
      </c>
      <c r="D15987" s="5" t="s">
        <v>19600</v>
      </c>
      <c r="E15987" s="6" t="str">
        <f>HYPERLINK("https://inpn.mnhn.fr/espece/cd_nom/24979","Limnia unguicornis (Scopoli, 1763)")</f>
        <v>Limnia unguicornis (Scopoli, 1763)</v>
      </c>
      <c r="AH15987" s="4" t="str">
        <f>HYPERLINK("#Statut_biogéographique!A"&amp;_xlfn.XMATCH("P",Statut_biogéographique!A:A,2,1),"P")</f>
        <v>P</v>
      </c>
      <c r="AP15987" s="4" t="s">
        <v>376</v>
      </c>
      <c r="AR15987" s="4" t="s">
        <v>377</v>
      </c>
    </row>
    <row r="15988" spans="1:44">
      <c r="A15988" s="4" t="s">
        <v>10753</v>
      </c>
      <c r="B15988" s="4">
        <v>249801</v>
      </c>
      <c r="D15988" s="5" t="s">
        <v>19601</v>
      </c>
      <c r="E15988" s="6" t="str">
        <f>HYPERLINK("https://inpn.mnhn.fr/espece/cd_nom/249801","Amphipyra pyramidea (Linnaeus, 1758)")</f>
        <v>Amphipyra pyramidea (Linnaeus, 1758)</v>
      </c>
      <c r="F15988" s="5" t="s">
        <v>19602</v>
      </c>
      <c r="AH15988" s="4" t="str">
        <f>HYPERLINK("#Statut_biogéographique!A"&amp;_xlfn.XMATCH("P",Statut_biogéographique!A:A,2,1),"P")</f>
        <v>P</v>
      </c>
      <c r="AP15988" s="4" t="s">
        <v>376</v>
      </c>
      <c r="AR15988" s="4" t="s">
        <v>377</v>
      </c>
    </row>
    <row r="15989" spans="1:44">
      <c r="A15989" s="4" t="s">
        <v>10753</v>
      </c>
      <c r="B15989" s="4">
        <v>249802</v>
      </c>
      <c r="D15989" s="5" t="s">
        <v>19603</v>
      </c>
      <c r="E15989" s="6" t="str">
        <f>HYPERLINK("https://inpn.mnhn.fr/espece/cd_nom/249802","Amphipyra berbera Rungs, 1949")</f>
        <v>Amphipyra berbera Rungs, 1949</v>
      </c>
      <c r="F15989" s="5" t="s">
        <v>19604</v>
      </c>
      <c r="AH15989" s="4" t="str">
        <f>HYPERLINK("#Statut_biogéographique!A"&amp;_xlfn.XMATCH("P",Statut_biogéographique!A:A,2,1),"P")</f>
        <v>P</v>
      </c>
      <c r="AP15989" s="4" t="s">
        <v>376</v>
      </c>
      <c r="AR15989" s="4" t="s">
        <v>377</v>
      </c>
    </row>
    <row r="15990" spans="1:44">
      <c r="A15990" s="4" t="s">
        <v>10753</v>
      </c>
      <c r="B15990" s="4">
        <v>249803</v>
      </c>
      <c r="D15990" s="5" t="s">
        <v>19605</v>
      </c>
      <c r="E15990" s="6" t="str">
        <f>HYPERLINK("https://inpn.mnhn.fr/espece/cd_nom/249803","Amphipyra perflua (Fabricius, 1787)")</f>
        <v>Amphipyra perflua (Fabricius, 1787)</v>
      </c>
      <c r="F15990" s="5" t="s">
        <v>19606</v>
      </c>
      <c r="AH15990" s="4" t="str">
        <f>HYPERLINK("#Statut_biogéographique!A"&amp;_xlfn.XMATCH("P",Statut_biogéographique!A:A,2,1),"P")</f>
        <v>P</v>
      </c>
      <c r="AP15990" s="4" t="s">
        <v>376</v>
      </c>
      <c r="AR15990" s="4" t="s">
        <v>377</v>
      </c>
    </row>
    <row r="15991" spans="1:44" ht="30">
      <c r="A15991" s="4" t="s">
        <v>10753</v>
      </c>
      <c r="B15991" s="4">
        <v>249804</v>
      </c>
      <c r="D15991" s="5" t="s">
        <v>19607</v>
      </c>
      <c r="E15991" s="6" t="str">
        <f>HYPERLINK("https://inpn.mnhn.fr/espece/cd_nom/249804","Amphipyra livida (Denis &amp; Schiffermüller, 1775)")</f>
        <v>Amphipyra livida (Denis &amp; Schiffermüller, 1775)</v>
      </c>
      <c r="F15991" s="5" t="s">
        <v>19608</v>
      </c>
      <c r="AH15991" s="4" t="str">
        <f>HYPERLINK("#Statut_biogéographique!A"&amp;_xlfn.XMATCH("P",Statut_biogéographique!A:A,2,1),"P")</f>
        <v>P</v>
      </c>
      <c r="AP15991" s="4" t="s">
        <v>376</v>
      </c>
      <c r="AR15991" s="4" t="s">
        <v>377</v>
      </c>
    </row>
    <row r="15992" spans="1:44">
      <c r="A15992" s="4" t="s">
        <v>10753</v>
      </c>
      <c r="B15992" s="4">
        <v>249805</v>
      </c>
      <c r="D15992" s="5" t="s">
        <v>19609</v>
      </c>
      <c r="E15992" s="6" t="str">
        <f>HYPERLINK("https://inpn.mnhn.fr/espece/cd_nom/249805","Amphipyra tragopoginis (Clerck, 1759)")</f>
        <v>Amphipyra tragopoginis (Clerck, 1759)</v>
      </c>
      <c r="F15992" s="5" t="s">
        <v>19610</v>
      </c>
      <c r="AH15992" s="4" t="str">
        <f>HYPERLINK("#Statut_biogéographique!A"&amp;_xlfn.XMATCH("P",Statut_biogéographique!A:A,2,1),"P")</f>
        <v>P</v>
      </c>
      <c r="AP15992" s="4" t="s">
        <v>376</v>
      </c>
      <c r="AR15992" s="4" t="s">
        <v>377</v>
      </c>
    </row>
    <row r="15993" spans="1:44">
      <c r="A15993" s="4" t="s">
        <v>10753</v>
      </c>
      <c r="B15993" s="4">
        <v>249806</v>
      </c>
      <c r="D15993" s="5" t="s">
        <v>19611</v>
      </c>
      <c r="E15993" s="6" t="str">
        <f>HYPERLINK("https://inpn.mnhn.fr/espece/cd_nom/249806","Amphipyra tetra (Fabricius, 1787)")</f>
        <v>Amphipyra tetra (Fabricius, 1787)</v>
      </c>
      <c r="F15993" s="5" t="s">
        <v>19612</v>
      </c>
      <c r="AH15993" s="4" t="str">
        <f>HYPERLINK("#Statut_biogéographique!A"&amp;_xlfn.XMATCH("P",Statut_biogéographique!A:A,2,1),"P")</f>
        <v>P</v>
      </c>
      <c r="AP15993" s="4" t="s">
        <v>376</v>
      </c>
      <c r="AR15993" s="4" t="s">
        <v>377</v>
      </c>
    </row>
    <row r="15994" spans="1:44">
      <c r="A15994" s="4" t="s">
        <v>10753</v>
      </c>
      <c r="B15994" s="4">
        <v>249807</v>
      </c>
      <c r="D15994" s="5" t="s">
        <v>19613</v>
      </c>
      <c r="E15994" s="6" t="str">
        <f>HYPERLINK("https://inpn.mnhn.fr/espece/cd_nom/249807","Aedia funesta (Esper, 1786)")</f>
        <v>Aedia funesta (Esper, 1786)</v>
      </c>
      <c r="F15994" s="5" t="s">
        <v>19614</v>
      </c>
      <c r="AH15994" s="4" t="str">
        <f>HYPERLINK("#Statut_biogéographique!A"&amp;_xlfn.XMATCH("P",Statut_biogéographique!A:A,2,1),"P")</f>
        <v>P</v>
      </c>
      <c r="AP15994" s="4" t="s">
        <v>376</v>
      </c>
      <c r="AR15994" s="4" t="s">
        <v>377</v>
      </c>
    </row>
    <row r="15995" spans="1:44" ht="30">
      <c r="A15995" s="4" t="s">
        <v>10753</v>
      </c>
      <c r="B15995" s="4">
        <v>249808</v>
      </c>
      <c r="D15995" s="5" t="s">
        <v>19615</v>
      </c>
      <c r="E15995" s="6" t="str">
        <f>HYPERLINK("https://inpn.mnhn.fr/espece/cd_nom/249808","Aedia leucomelas (Linnaeus, 1758)")</f>
        <v>Aedia leucomelas (Linnaeus, 1758)</v>
      </c>
      <c r="F15995" s="5" t="s">
        <v>19616</v>
      </c>
      <c r="AH15995" s="4" t="str">
        <f>HYPERLINK("#Statut_biogéographique!A"&amp;_xlfn.XMATCH("P",Statut_biogéographique!A:A,2,1),"P")</f>
        <v>P</v>
      </c>
      <c r="AP15995" s="4" t="s">
        <v>376</v>
      </c>
      <c r="AR15995" s="4" t="s">
        <v>377</v>
      </c>
    </row>
    <row r="15996" spans="1:44">
      <c r="A15996" s="4" t="s">
        <v>10753</v>
      </c>
      <c r="B15996" s="4">
        <v>24981</v>
      </c>
      <c r="D15996" s="5" t="s">
        <v>19617</v>
      </c>
      <c r="E15996" s="6" t="str">
        <f>HYPERLINK("https://inpn.mnhn.fr/espece/cd_nom/24981","Pherbina coryleti (Scopoli, 1763)")</f>
        <v>Pherbina coryleti (Scopoli, 1763)</v>
      </c>
      <c r="AH15996" s="4" t="str">
        <f>HYPERLINK("#Statut_biogéographique!A"&amp;_xlfn.XMATCH("P",Statut_biogéographique!A:A,2,1),"P")</f>
        <v>P</v>
      </c>
      <c r="AP15996" s="4" t="s">
        <v>376</v>
      </c>
      <c r="AR15996" s="4" t="s">
        <v>377</v>
      </c>
    </row>
    <row r="15997" spans="1:44" ht="30">
      <c r="A15997" s="4" t="s">
        <v>10753</v>
      </c>
      <c r="B15997" s="4">
        <v>249814</v>
      </c>
      <c r="D15997" s="5" t="s">
        <v>19618</v>
      </c>
      <c r="E15997" s="6" t="str">
        <f>HYPERLINK("https://inpn.mnhn.fr/espece/cd_nom/249814","Moma alpium (Osbeck, 1778)")</f>
        <v>Moma alpium (Osbeck, 1778)</v>
      </c>
      <c r="F15997" s="5" t="s">
        <v>19619</v>
      </c>
      <c r="AH15997" s="4" t="str">
        <f>HYPERLINK("#Statut_biogéographique!A"&amp;_xlfn.XMATCH("P",Statut_biogéographique!A:A,2,1),"P")</f>
        <v>P</v>
      </c>
      <c r="AP15997" s="4" t="s">
        <v>376</v>
      </c>
      <c r="AR15997" s="4" t="s">
        <v>377</v>
      </c>
    </row>
    <row r="15998" spans="1:44" ht="30">
      <c r="A15998" s="4" t="s">
        <v>10753</v>
      </c>
      <c r="B15998" s="4">
        <v>249815</v>
      </c>
      <c r="D15998" s="5" t="s">
        <v>19620</v>
      </c>
      <c r="E15998" s="6" t="str">
        <f>HYPERLINK("https://inpn.mnhn.fr/espece/cd_nom/249815","Craniophora ligustri (Denis &amp; Schiffermüller, 1775)")</f>
        <v>Craniophora ligustri (Denis &amp; Schiffermüller, 1775)</v>
      </c>
      <c r="F15998" s="5" t="s">
        <v>19621</v>
      </c>
      <c r="AH15998" s="4" t="str">
        <f>HYPERLINK("#Statut_biogéographique!A"&amp;_xlfn.XMATCH("P",Statut_biogéographique!A:A,2,1),"P")</f>
        <v>P</v>
      </c>
      <c r="AP15998" s="4" t="s">
        <v>376</v>
      </c>
      <c r="AR15998" s="4" t="s">
        <v>377</v>
      </c>
    </row>
    <row r="15999" spans="1:44">
      <c r="A15999" s="4" t="s">
        <v>10753</v>
      </c>
      <c r="B15999" s="4">
        <v>249817</v>
      </c>
      <c r="D15999" s="5" t="s">
        <v>19622</v>
      </c>
      <c r="E15999" s="6" t="str">
        <f>HYPERLINK("https://inpn.mnhn.fr/espece/cd_nom/249817","Acronicta alni (Linnaeus, 1767)")</f>
        <v>Acronicta alni (Linnaeus, 1767)</v>
      </c>
      <c r="F15999" s="5" t="s">
        <v>19623</v>
      </c>
      <c r="AH15999" s="4" t="str">
        <f>HYPERLINK("#Statut_biogéographique!A"&amp;_xlfn.XMATCH("P",Statut_biogéographique!A:A,2,1),"P")</f>
        <v>P</v>
      </c>
      <c r="AP15999" s="4" t="s">
        <v>376</v>
      </c>
      <c r="AR15999" s="4" t="s">
        <v>377</v>
      </c>
    </row>
    <row r="16000" spans="1:44">
      <c r="A16000" s="4" t="s">
        <v>10753</v>
      </c>
      <c r="B16000" s="4">
        <v>249818</v>
      </c>
      <c r="D16000" s="5" t="s">
        <v>19624</v>
      </c>
      <c r="E16000" s="6" t="str">
        <f>HYPERLINK("https://inpn.mnhn.fr/espece/cd_nom/249818","Acronicta cuspis (Hübner, 1813)")</f>
        <v>Acronicta cuspis (Hübner, 1813)</v>
      </c>
      <c r="F16000" s="5" t="s">
        <v>19625</v>
      </c>
      <c r="AH16000" s="4" t="str">
        <f>HYPERLINK("#Statut_biogéographique!A"&amp;_xlfn.XMATCH("P",Statut_biogéographique!A:A,2,1),"P")</f>
        <v>P</v>
      </c>
      <c r="AP16000" s="4" t="s">
        <v>376</v>
      </c>
      <c r="AR16000" s="4" t="s">
        <v>377</v>
      </c>
    </row>
    <row r="16001" spans="1:44" ht="30">
      <c r="A16001" s="4" t="s">
        <v>10753</v>
      </c>
      <c r="B16001" s="4">
        <v>249819</v>
      </c>
      <c r="D16001" s="5" t="s">
        <v>19626</v>
      </c>
      <c r="E16001" s="6" t="str">
        <f>HYPERLINK("https://inpn.mnhn.fr/espece/cd_nom/249819","Acronicta tridens (Denis &amp; Schiffermüller, 1775)")</f>
        <v>Acronicta tridens (Denis &amp; Schiffermüller, 1775)</v>
      </c>
      <c r="F16001" s="5" t="s">
        <v>19627</v>
      </c>
      <c r="AH16001" s="4" t="str">
        <f>HYPERLINK("#Statut_biogéographique!A"&amp;_xlfn.XMATCH("P",Statut_biogéographique!A:A,2,1),"P")</f>
        <v>P</v>
      </c>
      <c r="AP16001" s="4" t="s">
        <v>376</v>
      </c>
      <c r="AR16001" s="4" t="s">
        <v>377</v>
      </c>
    </row>
    <row r="16002" spans="1:44">
      <c r="A16002" s="4" t="s">
        <v>10753</v>
      </c>
      <c r="B16002" s="4">
        <v>24982</v>
      </c>
      <c r="D16002" s="5">
        <v>24982</v>
      </c>
      <c r="E16002" s="6" t="str">
        <f>HYPERLINK("https://inpn.mnhn.fr/espece/cd_nom/24982","Pherbina intermedia Verbeke, 1948")</f>
        <v>Pherbina intermedia Verbeke, 1948</v>
      </c>
      <c r="AH16002" s="4" t="str">
        <f>HYPERLINK("#Statut_biogéographique!A"&amp;_xlfn.XMATCH("P",Statut_biogéographique!A:A,2,1),"P")</f>
        <v>P</v>
      </c>
      <c r="AP16002" s="4" t="s">
        <v>376</v>
      </c>
      <c r="AR16002" s="4" t="s">
        <v>377</v>
      </c>
    </row>
    <row r="16003" spans="1:44" ht="30">
      <c r="A16003" s="4" t="s">
        <v>10753</v>
      </c>
      <c r="B16003" s="4">
        <v>249820</v>
      </c>
      <c r="D16003" s="5" t="s">
        <v>19628</v>
      </c>
      <c r="E16003" s="6" t="str">
        <f>HYPERLINK("https://inpn.mnhn.fr/espece/cd_nom/249820","Acronicta psi (Linnaeus, 1758)")</f>
        <v>Acronicta psi (Linnaeus, 1758)</v>
      </c>
      <c r="F16003" s="5" t="s">
        <v>19629</v>
      </c>
      <c r="AH16003" s="4" t="str">
        <f>HYPERLINK("#Statut_biogéographique!A"&amp;_xlfn.XMATCH("P",Statut_biogéographique!A:A,2,1),"P")</f>
        <v>P</v>
      </c>
      <c r="AP16003" s="4" t="s">
        <v>376</v>
      </c>
      <c r="AR16003" s="4" t="s">
        <v>377</v>
      </c>
    </row>
    <row r="16004" spans="1:44" ht="30">
      <c r="A16004" s="4" t="s">
        <v>10753</v>
      </c>
      <c r="B16004" s="4">
        <v>249821</v>
      </c>
      <c r="D16004" s="5" t="s">
        <v>19630</v>
      </c>
      <c r="E16004" s="6" t="str">
        <f>HYPERLINK("https://inpn.mnhn.fr/espece/cd_nom/249821","Acronicta aceris (Linnaeus, 1758)")</f>
        <v>Acronicta aceris (Linnaeus, 1758)</v>
      </c>
      <c r="F16004" s="5" t="s">
        <v>19631</v>
      </c>
      <c r="AH16004" s="4" t="str">
        <f>HYPERLINK("#Statut_biogéographique!A"&amp;_xlfn.XMATCH("P",Statut_biogéographique!A:A,2,1),"P")</f>
        <v>P</v>
      </c>
      <c r="AP16004" s="4" t="s">
        <v>376</v>
      </c>
      <c r="AR16004" s="4" t="s">
        <v>377</v>
      </c>
    </row>
    <row r="16005" spans="1:44">
      <c r="A16005" s="4" t="s">
        <v>10753</v>
      </c>
      <c r="B16005" s="4">
        <v>249822</v>
      </c>
      <c r="D16005" s="5" t="s">
        <v>19632</v>
      </c>
      <c r="E16005" s="6" t="str">
        <f>HYPERLINK("https://inpn.mnhn.fr/espece/cd_nom/249822","Acronicta leporina (Linnaeus, 1758)")</f>
        <v>Acronicta leporina (Linnaeus, 1758)</v>
      </c>
      <c r="F16005" s="5" t="s">
        <v>19633</v>
      </c>
      <c r="AH16005" s="4" t="str">
        <f>HYPERLINK("#Statut_biogéographique!A"&amp;_xlfn.XMATCH("P",Statut_biogéographique!A:A,2,1),"P")</f>
        <v>P</v>
      </c>
      <c r="AP16005" s="4" t="s">
        <v>376</v>
      </c>
      <c r="AR16005" s="4" t="s">
        <v>377</v>
      </c>
    </row>
    <row r="16006" spans="1:44" ht="30">
      <c r="A16006" s="4" t="s">
        <v>10753</v>
      </c>
      <c r="B16006" s="4">
        <v>249823</v>
      </c>
      <c r="D16006" s="5" t="s">
        <v>19634</v>
      </c>
      <c r="E16006" s="6" t="str">
        <f>HYPERLINK("https://inpn.mnhn.fr/espece/cd_nom/249823","Acronicta megacephala (Denis &amp; Schiffermüller, 1775)")</f>
        <v>Acronicta megacephala (Denis &amp; Schiffermüller, 1775)</v>
      </c>
      <c r="F16006" s="5" t="s">
        <v>19635</v>
      </c>
      <c r="AH16006" s="4" t="str">
        <f>HYPERLINK("#Statut_biogéographique!A"&amp;_xlfn.XMATCH("P",Statut_biogéographique!A:A,2,1),"P")</f>
        <v>P</v>
      </c>
      <c r="AP16006" s="4" t="s">
        <v>376</v>
      </c>
      <c r="AR16006" s="4" t="s">
        <v>377</v>
      </c>
    </row>
    <row r="16007" spans="1:44" ht="30">
      <c r="A16007" s="4" t="s">
        <v>10753</v>
      </c>
      <c r="B16007" s="4">
        <v>249824</v>
      </c>
      <c r="D16007" s="5" t="s">
        <v>19636</v>
      </c>
      <c r="E16007" s="6" t="str">
        <f>HYPERLINK("https://inpn.mnhn.fr/espece/cd_nom/249824","Acronicta strigosa (Denis &amp; Schiffermüller, 1775)")</f>
        <v>Acronicta strigosa (Denis &amp; Schiffermüller, 1775)</v>
      </c>
      <c r="F16007" s="5" t="s">
        <v>19637</v>
      </c>
      <c r="AH16007" s="4" t="str">
        <f>HYPERLINK("#Statut_biogéographique!A"&amp;_xlfn.XMATCH("P",Statut_biogéographique!A:A,2,1),"P")</f>
        <v>P</v>
      </c>
      <c r="AP16007" s="4" t="s">
        <v>376</v>
      </c>
      <c r="AR16007" s="4" t="s">
        <v>377</v>
      </c>
    </row>
    <row r="16008" spans="1:44">
      <c r="A16008" s="4" t="s">
        <v>10753</v>
      </c>
      <c r="B16008" s="4">
        <v>249825</v>
      </c>
      <c r="D16008" s="5" t="s">
        <v>19638</v>
      </c>
      <c r="E16008" s="6" t="str">
        <f>HYPERLINK("https://inpn.mnhn.fr/espece/cd_nom/249825","Acronicta menyanthidis (Esper, 1789)")</f>
        <v>Acronicta menyanthidis (Esper, 1789)</v>
      </c>
      <c r="F16008" s="5" t="s">
        <v>19639</v>
      </c>
      <c r="AH16008" s="4" t="str">
        <f>HYPERLINK("#Statut_biogéographique!A"&amp;_xlfn.XMATCH("P",Statut_biogéographique!A:A,2,1),"P")</f>
        <v>P</v>
      </c>
      <c r="AP16008" s="4" t="s">
        <v>376</v>
      </c>
      <c r="AR16008" s="4" t="s">
        <v>377</v>
      </c>
    </row>
    <row r="16009" spans="1:44" ht="30">
      <c r="A16009" s="4" t="s">
        <v>10753</v>
      </c>
      <c r="B16009" s="4">
        <v>249826</v>
      </c>
      <c r="D16009" s="5" t="s">
        <v>19640</v>
      </c>
      <c r="E16009" s="6" t="str">
        <f>HYPERLINK("https://inpn.mnhn.fr/espece/cd_nom/249826","Acronicta auricoma (Denis &amp; Schiffermüller, 1775)")</f>
        <v>Acronicta auricoma (Denis &amp; Schiffermüller, 1775)</v>
      </c>
      <c r="F16009" s="5" t="s">
        <v>19641</v>
      </c>
      <c r="AH16009" s="4" t="str">
        <f>HYPERLINK("#Statut_biogéographique!A"&amp;_xlfn.XMATCH("P",Statut_biogéographique!A:A,2,1),"P")</f>
        <v>P</v>
      </c>
      <c r="AP16009" s="4" t="s">
        <v>376</v>
      </c>
      <c r="AR16009" s="4" t="s">
        <v>377</v>
      </c>
    </row>
    <row r="16010" spans="1:44" ht="45">
      <c r="A16010" s="4" t="s">
        <v>10753</v>
      </c>
      <c r="B16010" s="4">
        <v>249827</v>
      </c>
      <c r="D16010" s="5" t="s">
        <v>19642</v>
      </c>
      <c r="E16010" s="6" t="str">
        <f>HYPERLINK("https://inpn.mnhn.fr/espece/cd_nom/249827","Acronicta euphorbiae (Denis &amp; Schiffermüller, 1775)")</f>
        <v>Acronicta euphorbiae (Denis &amp; Schiffermüller, 1775)</v>
      </c>
      <c r="F16010" s="5" t="s">
        <v>19643</v>
      </c>
      <c r="AH16010" s="4" t="str">
        <f>HYPERLINK("#Statut_biogéographique!A"&amp;_xlfn.XMATCH("P",Statut_biogéographique!A:A,2,1),"P")</f>
        <v>P</v>
      </c>
      <c r="AP16010" s="4" t="s">
        <v>376</v>
      </c>
      <c r="AR16010" s="4" t="s">
        <v>377</v>
      </c>
    </row>
    <row r="16011" spans="1:44" ht="30">
      <c r="A16011" s="4" t="s">
        <v>10753</v>
      </c>
      <c r="B16011" s="4">
        <v>249828</v>
      </c>
      <c r="D16011" s="5" t="s">
        <v>19644</v>
      </c>
      <c r="E16011" s="6" t="str">
        <f>HYPERLINK("https://inpn.mnhn.fr/espece/cd_nom/249828","Acronicta rumicis (Linnaeus, 1758)")</f>
        <v>Acronicta rumicis (Linnaeus, 1758)</v>
      </c>
      <c r="F16011" s="5" t="s">
        <v>19645</v>
      </c>
      <c r="AH16011" s="4" t="str">
        <f>HYPERLINK("#Statut_biogéographique!A"&amp;_xlfn.XMATCH("P",Statut_biogéographique!A:A,2,1),"P")</f>
        <v>P</v>
      </c>
      <c r="AP16011" s="4" t="s">
        <v>376</v>
      </c>
      <c r="AR16011" s="4" t="s">
        <v>377</v>
      </c>
    </row>
    <row r="16012" spans="1:44" ht="30">
      <c r="A16012" s="4" t="s">
        <v>10753</v>
      </c>
      <c r="B16012" s="4">
        <v>249829</v>
      </c>
      <c r="D16012" s="5" t="s">
        <v>19646</v>
      </c>
      <c r="E16012" s="6" t="str">
        <f>HYPERLINK("https://inpn.mnhn.fr/espece/cd_nom/249829","Acontia lucida (Hufnagel, 1766)")</f>
        <v>Acontia lucida (Hufnagel, 1766)</v>
      </c>
      <c r="F16012" s="5" t="s">
        <v>19647</v>
      </c>
      <c r="AH16012" s="4" t="str">
        <f>HYPERLINK("#Statut_biogéographique!A"&amp;_xlfn.XMATCH("P",Statut_biogéographique!A:A,2,1),"P")</f>
        <v>P</v>
      </c>
      <c r="AP16012" s="4" t="s">
        <v>376</v>
      </c>
      <c r="AR16012" s="4" t="s">
        <v>377</v>
      </c>
    </row>
    <row r="16013" spans="1:44">
      <c r="A16013" s="4" t="s">
        <v>10753</v>
      </c>
      <c r="B16013" s="4">
        <v>249830</v>
      </c>
      <c r="D16013" s="5" t="s">
        <v>19648</v>
      </c>
      <c r="E16013" s="6" t="str">
        <f>HYPERLINK("https://inpn.mnhn.fr/espece/cd_nom/249830","Nola cucullatella (Linnaeus, 1758)")</f>
        <v>Nola cucullatella (Linnaeus, 1758)</v>
      </c>
      <c r="F16013" s="5" t="s">
        <v>19649</v>
      </c>
      <c r="AH16013" s="4" t="str">
        <f>HYPERLINK("#Statut_biogéographique!A"&amp;_xlfn.XMATCH("P",Statut_biogéographique!A:A,2,1),"P")</f>
        <v>P</v>
      </c>
      <c r="AP16013" s="4" t="s">
        <v>376</v>
      </c>
      <c r="AR16013" s="4" t="s">
        <v>377</v>
      </c>
    </row>
    <row r="16014" spans="1:44">
      <c r="A16014" s="4" t="s">
        <v>10753</v>
      </c>
      <c r="B16014" s="4">
        <v>249831</v>
      </c>
      <c r="D16014" s="5" t="s">
        <v>19650</v>
      </c>
      <c r="E16014" s="6" t="str">
        <f>HYPERLINK("https://inpn.mnhn.fr/espece/cd_nom/249831","Nola confusalis (Herrich-Schäffer, 1847)")</f>
        <v>Nola confusalis (Herrich-Schäffer, 1847)</v>
      </c>
      <c r="F16014" s="5" t="s">
        <v>19651</v>
      </c>
      <c r="AH16014" s="4" t="str">
        <f>HYPERLINK("#Statut_biogéographique!A"&amp;_xlfn.XMATCH("P",Statut_biogéographique!A:A,2,1),"P")</f>
        <v>P</v>
      </c>
      <c r="AP16014" s="4" t="s">
        <v>376</v>
      </c>
      <c r="AR16014" s="4" t="s">
        <v>377</v>
      </c>
    </row>
    <row r="16015" spans="1:44">
      <c r="A16015" s="4" t="s">
        <v>10753</v>
      </c>
      <c r="B16015" s="4">
        <v>249832</v>
      </c>
      <c r="D16015" s="5" t="s">
        <v>19652</v>
      </c>
      <c r="E16015" s="6" t="str">
        <f>HYPERLINK("https://inpn.mnhn.fr/espece/cd_nom/249832","Nola cicatricalis (Treitschke, 1835)")</f>
        <v>Nola cicatricalis (Treitschke, 1835)</v>
      </c>
      <c r="F16015" s="5" t="s">
        <v>19653</v>
      </c>
      <c r="AH16015" s="4" t="str">
        <f>HYPERLINK("#Statut_biogéographique!A"&amp;_xlfn.XMATCH("P",Statut_biogéographique!A:A,2,1),"P")</f>
        <v>P</v>
      </c>
      <c r="AP16015" s="4" t="s">
        <v>376</v>
      </c>
      <c r="AR16015" s="4" t="s">
        <v>377</v>
      </c>
    </row>
    <row r="16016" spans="1:44">
      <c r="A16016" s="4" t="s">
        <v>10753</v>
      </c>
      <c r="B16016" s="4">
        <v>249833</v>
      </c>
      <c r="D16016" s="5" t="s">
        <v>19654</v>
      </c>
      <c r="E16016" s="6" t="str">
        <f>HYPERLINK("https://inpn.mnhn.fr/espece/cd_nom/249833","Nola aerugula (Hübner, 1793)")</f>
        <v>Nola aerugula (Hübner, 1793)</v>
      </c>
      <c r="F16016" s="5" t="s">
        <v>19655</v>
      </c>
      <c r="AH16016" s="4" t="str">
        <f>HYPERLINK("#Statut_biogéographique!A"&amp;_xlfn.XMATCH("P",Statut_biogéographique!A:A,2,1),"P")</f>
        <v>P</v>
      </c>
      <c r="AP16016" s="4" t="s">
        <v>376</v>
      </c>
      <c r="AR16016" s="4" t="s">
        <v>377</v>
      </c>
    </row>
    <row r="16017" spans="1:44">
      <c r="A16017" s="4" t="s">
        <v>10753</v>
      </c>
      <c r="B16017" s="4">
        <v>249837</v>
      </c>
      <c r="D16017" s="5" t="s">
        <v>19656</v>
      </c>
      <c r="E16017" s="6" t="str">
        <f>HYPERLINK("https://inpn.mnhn.fr/espece/cd_nom/249837","Nola subchlamydula Staudinger, 1870")</f>
        <v>Nola subchlamydula Staudinger, 1870</v>
      </c>
      <c r="F16017" s="5" t="s">
        <v>19657</v>
      </c>
      <c r="AH16017" s="4" t="str">
        <f>HYPERLINK("#Statut_biogéographique!A"&amp;_xlfn.XMATCH("P",Statut_biogéographique!A:A,2,1),"P")</f>
        <v>P</v>
      </c>
      <c r="AP16017" s="4" t="s">
        <v>376</v>
      </c>
      <c r="AR16017" s="4" t="s">
        <v>377</v>
      </c>
    </row>
    <row r="16018" spans="1:44">
      <c r="A16018" s="4" t="s">
        <v>10753</v>
      </c>
      <c r="B16018" s="4">
        <v>249840</v>
      </c>
      <c r="D16018" s="5" t="s">
        <v>19658</v>
      </c>
      <c r="E16018" s="6" t="str">
        <f>HYPERLINK("https://inpn.mnhn.fr/espece/cd_nom/249840","Meganola togatulalis (Hübner, 1796)")</f>
        <v>Meganola togatulalis (Hübner, 1796)</v>
      </c>
      <c r="F16018" s="5" t="s">
        <v>19659</v>
      </c>
      <c r="AH16018" s="4" t="str">
        <f>HYPERLINK("#Statut_biogéographique!A"&amp;_xlfn.XMATCH("P",Statut_biogéographique!A:A,2,1),"P")</f>
        <v>P</v>
      </c>
      <c r="AP16018" s="4" t="s">
        <v>376</v>
      </c>
      <c r="AR16018" s="4" t="s">
        <v>377</v>
      </c>
    </row>
    <row r="16019" spans="1:44" ht="30">
      <c r="A16019" s="4" t="s">
        <v>10753</v>
      </c>
      <c r="B16019" s="4">
        <v>249841</v>
      </c>
      <c r="D16019" s="5" t="s">
        <v>19660</v>
      </c>
      <c r="E16019" s="6" t="str">
        <f>HYPERLINK("https://inpn.mnhn.fr/espece/cd_nom/249841","Meganola strigula (Denis &amp; Schiffermüller, 1775)")</f>
        <v>Meganola strigula (Denis &amp; Schiffermüller, 1775)</v>
      </c>
      <c r="F16019" s="5" t="s">
        <v>19661</v>
      </c>
      <c r="AH16019" s="4" t="str">
        <f>HYPERLINK("#Statut_biogéographique!A"&amp;_xlfn.XMATCH("P",Statut_biogéographique!A:A,2,1),"P")</f>
        <v>P</v>
      </c>
      <c r="AP16019" s="4" t="s">
        <v>376</v>
      </c>
      <c r="AR16019" s="4" t="s">
        <v>377</v>
      </c>
    </row>
    <row r="16020" spans="1:44" ht="30">
      <c r="A16020" s="4" t="s">
        <v>10753</v>
      </c>
      <c r="B16020" s="4">
        <v>249842</v>
      </c>
      <c r="D16020" s="5" t="s">
        <v>19662</v>
      </c>
      <c r="E16020" s="6" t="str">
        <f>HYPERLINK("https://inpn.mnhn.fr/espece/cd_nom/249842","Meganola albula (Denis &amp; Schiffermüller, 1775)")</f>
        <v>Meganola albula (Denis &amp; Schiffermüller, 1775)</v>
      </c>
      <c r="F16020" s="5" t="s">
        <v>19663</v>
      </c>
      <c r="AH16020" s="4" t="str">
        <f>HYPERLINK("#Statut_biogéographique!A"&amp;_xlfn.XMATCH("P",Statut_biogéographique!A:A,2,1),"P")</f>
        <v>P</v>
      </c>
      <c r="AP16020" s="4" t="s">
        <v>376</v>
      </c>
      <c r="AR16020" s="4" t="s">
        <v>377</v>
      </c>
    </row>
    <row r="16021" spans="1:44">
      <c r="A16021" s="4" t="s">
        <v>10753</v>
      </c>
      <c r="B16021" s="4">
        <v>249843</v>
      </c>
      <c r="D16021" s="5" t="s">
        <v>19664</v>
      </c>
      <c r="E16021" s="6" t="str">
        <f>HYPERLINK("https://inpn.mnhn.fr/espece/cd_nom/249843","Earias clorana (Linnaeus, 1761)")</f>
        <v>Earias clorana (Linnaeus, 1761)</v>
      </c>
      <c r="F16021" s="5" t="s">
        <v>19665</v>
      </c>
      <c r="AH16021" s="4" t="str">
        <f>HYPERLINK("#Statut_biogéographique!A"&amp;_xlfn.XMATCH("P",Statut_biogéographique!A:A,2,1),"P")</f>
        <v>P</v>
      </c>
      <c r="AP16021" s="4" t="s">
        <v>376</v>
      </c>
      <c r="AR16021" s="4" t="s">
        <v>377</v>
      </c>
    </row>
    <row r="16022" spans="1:44" ht="30">
      <c r="A16022" s="4" t="s">
        <v>10753</v>
      </c>
      <c r="B16022" s="4">
        <v>249848</v>
      </c>
      <c r="D16022" s="5" t="s">
        <v>19666</v>
      </c>
      <c r="E16022" s="6" t="str">
        <f>HYPERLINK("https://inpn.mnhn.fr/espece/cd_nom/249848","Nycteola revayana (Scopoli, 1772)")</f>
        <v>Nycteola revayana (Scopoli, 1772)</v>
      </c>
      <c r="F16022" s="5" t="s">
        <v>19667</v>
      </c>
      <c r="AH16022" s="4" t="str">
        <f>HYPERLINK("#Statut_biogéographique!A"&amp;_xlfn.XMATCH("P",Statut_biogéographique!A:A,2,1),"P")</f>
        <v>P</v>
      </c>
      <c r="AP16022" s="4" t="s">
        <v>376</v>
      </c>
      <c r="AR16022" s="4" t="s">
        <v>377</v>
      </c>
    </row>
    <row r="16023" spans="1:44">
      <c r="A16023" s="4" t="s">
        <v>10753</v>
      </c>
      <c r="B16023" s="4">
        <v>24985</v>
      </c>
      <c r="D16023" s="5" t="s">
        <v>19668</v>
      </c>
      <c r="E16023" s="6" t="str">
        <f>HYPERLINK("https://inpn.mnhn.fr/espece/cd_nom/24985","Psacadina vittigera (Schiner, 1864)")</f>
        <v>Psacadina vittigera (Schiner, 1864)</v>
      </c>
      <c r="AH16023" s="4" t="str">
        <f>HYPERLINK("#Statut_biogéographique!A"&amp;_xlfn.XMATCH("P",Statut_biogéographique!A:A,2,1),"P")</f>
        <v>P</v>
      </c>
      <c r="AP16023" s="4" t="s">
        <v>376</v>
      </c>
      <c r="AR16023" s="4" t="s">
        <v>377</v>
      </c>
    </row>
    <row r="16024" spans="1:44">
      <c r="A16024" s="4" t="s">
        <v>10753</v>
      </c>
      <c r="B16024" s="4">
        <v>249850</v>
      </c>
      <c r="D16024" s="5" t="s">
        <v>19669</v>
      </c>
      <c r="E16024" s="6" t="str">
        <f>HYPERLINK("https://inpn.mnhn.fr/espece/cd_nom/249850","Nycteola degenerana (Hübner, 1799)")</f>
        <v>Nycteola degenerana (Hübner, 1799)</v>
      </c>
      <c r="F16024" s="5" t="s">
        <v>19670</v>
      </c>
      <c r="AH16024" s="4" t="str">
        <f>HYPERLINK("#Statut_biogéographique!A"&amp;_xlfn.XMATCH("P",Statut_biogéographique!A:A,2,1),"P")</f>
        <v>P</v>
      </c>
      <c r="AP16024" s="4" t="s">
        <v>376</v>
      </c>
      <c r="AR16024" s="4" t="s">
        <v>377</v>
      </c>
    </row>
    <row r="16025" spans="1:44">
      <c r="A16025" s="4" t="s">
        <v>10753</v>
      </c>
      <c r="B16025" s="4">
        <v>249852</v>
      </c>
      <c r="D16025" s="5" t="s">
        <v>19671</v>
      </c>
      <c r="E16025" s="6" t="str">
        <f>HYPERLINK("https://inpn.mnhn.fr/espece/cd_nom/249852","Nycteola siculana (Fuchs, 1899)")</f>
        <v>Nycteola siculana (Fuchs, 1899)</v>
      </c>
      <c r="F16025" s="5" t="s">
        <v>19672</v>
      </c>
      <c r="AH16025" s="4" t="str">
        <f>HYPERLINK("#Statut_biogéographique!A"&amp;_xlfn.XMATCH("P",Statut_biogéographique!A:A,2,1),"P")</f>
        <v>P</v>
      </c>
      <c r="AP16025" s="4" t="s">
        <v>376</v>
      </c>
      <c r="AR16025" s="4" t="s">
        <v>377</v>
      </c>
    </row>
    <row r="16026" spans="1:44" ht="30">
      <c r="A16026" s="4" t="s">
        <v>10753</v>
      </c>
      <c r="B16026" s="4">
        <v>249854</v>
      </c>
      <c r="D16026" s="5" t="s">
        <v>19673</v>
      </c>
      <c r="E16026" s="6" t="str">
        <f>HYPERLINK("https://inpn.mnhn.fr/espece/cd_nom/249854","Bena bicolorana (Fuessly, 1775)")</f>
        <v>Bena bicolorana (Fuessly, 1775)</v>
      </c>
      <c r="F16026" s="5" t="s">
        <v>19674</v>
      </c>
      <c r="AH16026" s="4" t="str">
        <f>HYPERLINK("#Statut_biogéographique!A"&amp;_xlfn.XMATCH("P",Statut_biogéographique!A:A,2,1),"P")</f>
        <v>P</v>
      </c>
      <c r="AP16026" s="4" t="s">
        <v>376</v>
      </c>
      <c r="AR16026" s="4" t="s">
        <v>377</v>
      </c>
    </row>
    <row r="16027" spans="1:44">
      <c r="A16027" s="4" t="s">
        <v>10753</v>
      </c>
      <c r="B16027" s="4">
        <v>24986</v>
      </c>
      <c r="D16027" s="5" t="s">
        <v>19675</v>
      </c>
      <c r="E16027" s="6" t="str">
        <f>HYPERLINK("https://inpn.mnhn.fr/espece/cd_nom/24986","Psacadina zernyi (Mayer, 1953)")</f>
        <v>Psacadina zernyi (Mayer, 1953)</v>
      </c>
      <c r="AH16027" s="4" t="str">
        <f>HYPERLINK("#Statut_biogéographique!A"&amp;_xlfn.XMATCH("P",Statut_biogéographique!A:A,2,1),"P")</f>
        <v>P</v>
      </c>
      <c r="AP16027" s="4" t="s">
        <v>376</v>
      </c>
      <c r="AR16027" s="4" t="s">
        <v>377</v>
      </c>
    </row>
    <row r="16028" spans="1:44">
      <c r="A16028" s="4" t="s">
        <v>10753</v>
      </c>
      <c r="B16028" s="4">
        <v>24988</v>
      </c>
      <c r="D16028" s="5" t="s">
        <v>19676</v>
      </c>
      <c r="E16028" s="6" t="str">
        <f>HYPERLINK("https://inpn.mnhn.fr/espece/cd_nom/24988","Renocera pallida (Fallén, 1820)")</f>
        <v>Renocera pallida (Fallén, 1820)</v>
      </c>
      <c r="AH16028" s="4" t="str">
        <f>HYPERLINK("#Statut_biogéographique!A"&amp;_xlfn.XMATCH("P",Statut_biogéographique!A:A,2,1),"P")</f>
        <v>P</v>
      </c>
      <c r="AP16028" s="4" t="s">
        <v>376</v>
      </c>
      <c r="AR16028" s="4" t="s">
        <v>377</v>
      </c>
    </row>
    <row r="16029" spans="1:44">
      <c r="A16029" s="4" t="s">
        <v>10753</v>
      </c>
      <c r="B16029" s="4">
        <v>249881</v>
      </c>
      <c r="D16029" s="5" t="s">
        <v>19677</v>
      </c>
      <c r="E16029" s="6" t="str">
        <f>HYPERLINK("https://inpn.mnhn.fr/espece/cd_nom/249881","Taxomyia taxi (Inchbald, 1861)")</f>
        <v>Taxomyia taxi (Inchbald, 1861)</v>
      </c>
      <c r="AH16029" s="4" t="str">
        <f>HYPERLINK("#Statut_biogéographique!A"&amp;_xlfn.XMATCH("P",Statut_biogéographique!A:A,2,1),"P")</f>
        <v>P</v>
      </c>
      <c r="AP16029" s="4" t="s">
        <v>376</v>
      </c>
      <c r="AR16029" s="4" t="s">
        <v>377</v>
      </c>
    </row>
    <row r="16030" spans="1:44">
      <c r="A16030" s="4" t="s">
        <v>10753</v>
      </c>
      <c r="B16030" s="4">
        <v>249885</v>
      </c>
      <c r="D16030" s="5" t="s">
        <v>19678</v>
      </c>
      <c r="E16030" s="6" t="str">
        <f>HYPERLINK("https://inpn.mnhn.fr/espece/cd_nom/249885","Sackenomyia reaumurii (Bremi, 1847)")</f>
        <v>Sackenomyia reaumurii (Bremi, 1847)</v>
      </c>
      <c r="AH16030" s="4" t="str">
        <f>HYPERLINK("#Statut_biogéographique!A"&amp;_xlfn.XMATCH("P",Statut_biogéographique!A:A,2,1),"P")</f>
        <v>P</v>
      </c>
      <c r="AP16030" s="4" t="s">
        <v>376</v>
      </c>
      <c r="AR16030" s="4" t="s">
        <v>377</v>
      </c>
    </row>
    <row r="16031" spans="1:44">
      <c r="A16031" s="4" t="s">
        <v>10753</v>
      </c>
      <c r="B16031" s="4">
        <v>24989</v>
      </c>
      <c r="D16031" s="5" t="s">
        <v>19679</v>
      </c>
      <c r="E16031" s="6" t="str">
        <f>HYPERLINK("https://inpn.mnhn.fr/espece/cd_nom/24989","Renocera striata (Meigen, 1830)")</f>
        <v>Renocera striata (Meigen, 1830)</v>
      </c>
      <c r="AH16031" s="4" t="str">
        <f>HYPERLINK("#Statut_biogéographique!A"&amp;_xlfn.XMATCH("P",Statut_biogéographique!A:A,2,1),"P")</f>
        <v>P</v>
      </c>
      <c r="AP16031" s="4" t="s">
        <v>376</v>
      </c>
      <c r="AR16031" s="4" t="s">
        <v>377</v>
      </c>
    </row>
    <row r="16032" spans="1:44">
      <c r="A16032" s="4" t="s">
        <v>10753</v>
      </c>
      <c r="B16032" s="4">
        <v>24990</v>
      </c>
      <c r="D16032" s="5" t="s">
        <v>19680</v>
      </c>
      <c r="E16032" s="6" t="str">
        <f>HYPERLINK("https://inpn.mnhn.fr/espece/cd_nom/24990","Renocera stroblii Hendel, 1900")</f>
        <v>Renocera stroblii Hendel, 1900</v>
      </c>
      <c r="AH16032" s="4" t="str">
        <f>HYPERLINK("#Statut_biogéographique!A"&amp;_xlfn.XMATCH("P",Statut_biogéographique!A:A,2,1),"P")</f>
        <v>P</v>
      </c>
      <c r="AP16032" s="4" t="s">
        <v>376</v>
      </c>
      <c r="AR16032" s="4" t="s">
        <v>377</v>
      </c>
    </row>
    <row r="16033" spans="1:44" ht="30">
      <c r="A16033" s="4" t="s">
        <v>10753</v>
      </c>
      <c r="B16033" s="4">
        <v>24992</v>
      </c>
      <c r="D16033" s="5" t="s">
        <v>19681</v>
      </c>
      <c r="E16033" s="6" t="str">
        <f>HYPERLINK("https://inpn.mnhn.fr/espece/cd_nom/24992","Sepedon sphegea (Fabricius, 1775)")</f>
        <v>Sepedon sphegea (Fabricius, 1775)</v>
      </c>
      <c r="AH16033" s="4" t="str">
        <f>HYPERLINK("#Statut_biogéographique!A"&amp;_xlfn.XMATCH("P",Statut_biogéographique!A:A,2,1),"P")</f>
        <v>P</v>
      </c>
      <c r="AP16033" s="4" t="s">
        <v>376</v>
      </c>
      <c r="AR16033" s="4" t="s">
        <v>377</v>
      </c>
    </row>
    <row r="16034" spans="1:44">
      <c r="A16034" s="4" t="s">
        <v>10753</v>
      </c>
      <c r="B16034" s="4">
        <v>249929</v>
      </c>
      <c r="D16034" s="5" t="s">
        <v>19682</v>
      </c>
      <c r="E16034" s="6" t="str">
        <f>HYPERLINK("https://inpn.mnhn.fr/espece/cd_nom/249929","Physemocecis hartigi (Liebel, 1892)")</f>
        <v>Physemocecis hartigi (Liebel, 1892)</v>
      </c>
      <c r="AH16034" s="4" t="str">
        <f>HYPERLINK("#Statut_biogéographique!A"&amp;_xlfn.XMATCH("P",Statut_biogéographique!A:A,2,1),"P")</f>
        <v>P</v>
      </c>
      <c r="AP16034" s="4" t="s">
        <v>376</v>
      </c>
      <c r="AR16034" s="4" t="s">
        <v>377</v>
      </c>
    </row>
    <row r="16035" spans="1:44">
      <c r="A16035" s="4" t="s">
        <v>10753</v>
      </c>
      <c r="B16035" s="4">
        <v>24993</v>
      </c>
      <c r="D16035" s="5" t="s">
        <v>19683</v>
      </c>
      <c r="E16035" s="6" t="str">
        <f>HYPERLINK("https://inpn.mnhn.fr/espece/cd_nom/24993","Sepedon spinipes (Scopoli, 1763)")</f>
        <v>Sepedon spinipes (Scopoli, 1763)</v>
      </c>
      <c r="AH16035" s="4" t="str">
        <f>HYPERLINK("#Statut_biogéographique!A"&amp;_xlfn.XMATCH("P",Statut_biogéographique!A:A,2,1),"P")</f>
        <v>P</v>
      </c>
      <c r="AP16035" s="4" t="s">
        <v>376</v>
      </c>
      <c r="AR16035" s="4" t="s">
        <v>377</v>
      </c>
    </row>
    <row r="16036" spans="1:44">
      <c r="A16036" s="4" t="s">
        <v>10753</v>
      </c>
      <c r="B16036" s="4">
        <v>249931</v>
      </c>
      <c r="D16036" s="5" t="s">
        <v>19684</v>
      </c>
      <c r="E16036" s="6" t="str">
        <f>HYPERLINK("https://inpn.mnhn.fr/espece/cd_nom/249931","Phegomyia fagicola (Kieffer, 1901)")</f>
        <v>Phegomyia fagicola (Kieffer, 1901)</v>
      </c>
      <c r="AH16036" s="4" t="str">
        <f>HYPERLINK("#Statut_biogéographique!A"&amp;_xlfn.XMATCH("P",Statut_biogéographique!A:A,2,1),"P")</f>
        <v>P</v>
      </c>
      <c r="AP16036" s="4" t="s">
        <v>376</v>
      </c>
      <c r="AR16036" s="4" t="s">
        <v>377</v>
      </c>
    </row>
    <row r="16037" spans="1:44">
      <c r="A16037" s="4" t="s">
        <v>10753</v>
      </c>
      <c r="B16037" s="4">
        <v>24994</v>
      </c>
      <c r="D16037" s="5">
        <v>24994</v>
      </c>
      <c r="E16037" s="6" t="str">
        <f>HYPERLINK("https://inpn.mnhn.fr/espece/cd_nom/24994","Sepedon spinipes spinipes (Scopoli, 1763)")</f>
        <v>Sepedon spinipes spinipes (Scopoli, 1763)</v>
      </c>
      <c r="AH16037" s="4" t="str">
        <f>HYPERLINK("#Statut_biogéographique!A"&amp;_xlfn.XMATCH("P",Statut_biogéographique!A:A,2,1),"P")</f>
        <v>P</v>
      </c>
      <c r="AP16037" s="4" t="s">
        <v>376</v>
      </c>
      <c r="AR16037" s="4" t="s">
        <v>377</v>
      </c>
    </row>
    <row r="16038" spans="1:44">
      <c r="A16038" s="4" t="s">
        <v>10753</v>
      </c>
      <c r="B16038" s="4">
        <v>249941</v>
      </c>
      <c r="D16038" s="5" t="s">
        <v>19685</v>
      </c>
      <c r="E16038" s="6" t="str">
        <f>HYPERLINK("https://inpn.mnhn.fr/espece/cd_nom/249941","Monarthropalpus flavus (Schrank, 1776)")</f>
        <v>Monarthropalpus flavus (Schrank, 1776)</v>
      </c>
      <c r="AH16038" s="4" t="str">
        <f>HYPERLINK("#Statut_biogéographique!A"&amp;_xlfn.XMATCH("P",Statut_biogéographique!A:A,2,1),"P")</f>
        <v>P</v>
      </c>
      <c r="AP16038" s="4" t="s">
        <v>376</v>
      </c>
      <c r="AR16038" s="4" t="s">
        <v>377</v>
      </c>
    </row>
    <row r="16039" spans="1:44">
      <c r="A16039" s="4" t="s">
        <v>10753</v>
      </c>
      <c r="B16039" s="4">
        <v>249959</v>
      </c>
      <c r="D16039" s="5" t="s">
        <v>19686</v>
      </c>
      <c r="E16039" s="6" t="str">
        <f>HYPERLINK("https://inpn.mnhn.fr/espece/cd_nom/249959","Macrodiplosis pustularis (Bremi, 1847)")</f>
        <v>Macrodiplosis pustularis (Bremi, 1847)</v>
      </c>
      <c r="AH16039" s="4" t="str">
        <f>HYPERLINK("#Statut_biogéographique!A"&amp;_xlfn.XMATCH("P",Statut_biogéographique!A:A,2,1),"P")</f>
        <v>P</v>
      </c>
      <c r="AP16039" s="4" t="s">
        <v>376</v>
      </c>
      <c r="AR16039" s="4" t="s">
        <v>377</v>
      </c>
    </row>
    <row r="16040" spans="1:44">
      <c r="A16040" s="4" t="s">
        <v>10753</v>
      </c>
      <c r="B16040" s="4">
        <v>24996</v>
      </c>
      <c r="D16040" s="5">
        <v>24996</v>
      </c>
      <c r="E16040" s="6" t="str">
        <f>HYPERLINK("https://inpn.mnhn.fr/espece/cd_nom/24996","Tetanocera arrogans Meigen, 1830")</f>
        <v>Tetanocera arrogans Meigen, 1830</v>
      </c>
      <c r="AH16040" s="4" t="str">
        <f>HYPERLINK("#Statut_biogéographique!A"&amp;_xlfn.XMATCH("P",Statut_biogéographique!A:A,2,1),"P")</f>
        <v>P</v>
      </c>
      <c r="AP16040" s="4" t="s">
        <v>376</v>
      </c>
      <c r="AR16040" s="4" t="s">
        <v>377</v>
      </c>
    </row>
    <row r="16041" spans="1:44">
      <c r="A16041" s="4" t="s">
        <v>10753</v>
      </c>
      <c r="B16041" s="4">
        <v>24997</v>
      </c>
      <c r="D16041" s="5" t="s">
        <v>19687</v>
      </c>
      <c r="E16041" s="6" t="str">
        <f>HYPERLINK("https://inpn.mnhn.fr/espece/cd_nom/24997","Tetanocera elata (Fabricius, 1781)")</f>
        <v>Tetanocera elata (Fabricius, 1781)</v>
      </c>
      <c r="AH16041" s="4" t="str">
        <f>HYPERLINK("#Statut_biogéographique!A"&amp;_xlfn.XMATCH("P",Statut_biogéographique!A:A,2,1),"P")</f>
        <v>P</v>
      </c>
      <c r="AP16041" s="4" t="s">
        <v>376</v>
      </c>
      <c r="AR16041" s="4" t="s">
        <v>377</v>
      </c>
    </row>
    <row r="16042" spans="1:44">
      <c r="A16042" s="4" t="s">
        <v>10753</v>
      </c>
      <c r="B16042" s="4">
        <v>24998</v>
      </c>
      <c r="D16042" s="5" t="s">
        <v>19688</v>
      </c>
      <c r="E16042" s="6" t="str">
        <f>HYPERLINK("https://inpn.mnhn.fr/espece/cd_nom/24998","Tetanocera ferruginea Fallén, 1820")</f>
        <v>Tetanocera ferruginea Fallén, 1820</v>
      </c>
      <c r="AH16042" s="4" t="str">
        <f>HYPERLINK("#Statut_biogéographique!A"&amp;_xlfn.XMATCH("P",Statut_biogéographique!A:A,2,1),"P")</f>
        <v>P</v>
      </c>
      <c r="AP16042" s="4" t="s">
        <v>376</v>
      </c>
      <c r="AR16042" s="4" t="s">
        <v>377</v>
      </c>
    </row>
    <row r="16043" spans="1:44">
      <c r="A16043" s="4" t="s">
        <v>10753</v>
      </c>
      <c r="B16043" s="4">
        <v>24999</v>
      </c>
      <c r="D16043" s="5" t="s">
        <v>19689</v>
      </c>
      <c r="E16043" s="6" t="str">
        <f>HYPERLINK("https://inpn.mnhn.fr/espece/cd_nom/24999","Tetanocera fuscinervis (Zetterstedt, 1838)")</f>
        <v>Tetanocera fuscinervis (Zetterstedt, 1838)</v>
      </c>
      <c r="AH16043" s="4" t="str">
        <f>HYPERLINK("#Statut_biogéographique!A"&amp;_xlfn.XMATCH("P",Statut_biogéographique!A:A,2,1),"P")</f>
        <v>P</v>
      </c>
      <c r="AP16043" s="4" t="s">
        <v>376</v>
      </c>
      <c r="AR16043" s="4" t="s">
        <v>377</v>
      </c>
    </row>
    <row r="16044" spans="1:44">
      <c r="A16044" s="4" t="s">
        <v>10753</v>
      </c>
      <c r="B16044" s="4">
        <v>25001</v>
      </c>
      <c r="D16044" s="5">
        <v>25001</v>
      </c>
      <c r="E16044" s="6" t="str">
        <f>HYPERLINK("https://inpn.mnhn.fr/espece/cd_nom/25001","Tetanocera hyalipennis von Roser, 1840")</f>
        <v>Tetanocera hyalipennis von Roser, 1840</v>
      </c>
      <c r="AH16044" s="4" t="str">
        <f>HYPERLINK("#Statut_biogéographique!A"&amp;_xlfn.XMATCH("P",Statut_biogéographique!A:A,2,1),"P")</f>
        <v>P</v>
      </c>
      <c r="AP16044" s="4" t="s">
        <v>376</v>
      </c>
      <c r="AR16044" s="4" t="s">
        <v>377</v>
      </c>
    </row>
    <row r="16045" spans="1:44">
      <c r="A16045" s="4" t="s">
        <v>10753</v>
      </c>
      <c r="B16045" s="4">
        <v>250019</v>
      </c>
      <c r="D16045" s="5" t="s">
        <v>19690</v>
      </c>
      <c r="E16045" s="6" t="str">
        <f>HYPERLINK("https://inpn.mnhn.fr/espece/cd_nom/250019","Harmandiola cavernosa (Rübsaamen, 1899)")</f>
        <v>Harmandiola cavernosa (Rübsaamen, 1899)</v>
      </c>
      <c r="AH16045" s="4" t="str">
        <f>HYPERLINK("#Statut_biogéographique!A"&amp;_xlfn.XMATCH("P",Statut_biogéographique!A:A,2,1),"P")</f>
        <v>P</v>
      </c>
      <c r="AP16045" s="4" t="s">
        <v>376</v>
      </c>
      <c r="AR16045" s="4" t="s">
        <v>377</v>
      </c>
    </row>
    <row r="16046" spans="1:44">
      <c r="A16046" s="4" t="s">
        <v>10753</v>
      </c>
      <c r="B16046" s="4">
        <v>250026</v>
      </c>
      <c r="D16046" s="5" t="s">
        <v>19691</v>
      </c>
      <c r="E16046" s="6" t="str">
        <f>HYPERLINK("https://inpn.mnhn.fr/espece/cd_nom/250026","Geocrypta braueri (Handlirsch, 1884)")</f>
        <v>Geocrypta braueri (Handlirsch, 1884)</v>
      </c>
      <c r="AH16046" s="4" t="str">
        <f>HYPERLINK("#Statut_biogéographique!A"&amp;_xlfn.XMATCH("P",Statut_biogéographique!A:A,2,1),"P")</f>
        <v>P</v>
      </c>
      <c r="AP16046" s="4" t="s">
        <v>376</v>
      </c>
      <c r="AR16046" s="4" t="s">
        <v>377</v>
      </c>
    </row>
    <row r="16047" spans="1:44">
      <c r="A16047" s="4" t="s">
        <v>10753</v>
      </c>
      <c r="B16047" s="4">
        <v>25003</v>
      </c>
      <c r="D16047" s="5" t="s">
        <v>19692</v>
      </c>
      <c r="E16047" s="6" t="str">
        <f>HYPERLINK("https://inpn.mnhn.fr/espece/cd_nom/25003","Tetanocera phyllophora Melander, 1920")</f>
        <v>Tetanocera phyllophora Melander, 1920</v>
      </c>
      <c r="AH16047" s="4" t="str">
        <f>HYPERLINK("#Statut_biogéographique!A"&amp;_xlfn.XMATCH("P",Statut_biogéographique!A:A,2,1),"P")</f>
        <v>P</v>
      </c>
      <c r="AP16047" s="4" t="s">
        <v>376</v>
      </c>
      <c r="AR16047" s="4" t="s">
        <v>377</v>
      </c>
    </row>
    <row r="16048" spans="1:44">
      <c r="A16048" s="4" t="s">
        <v>10753</v>
      </c>
      <c r="B16048" s="4">
        <v>250032</v>
      </c>
      <c r="D16048" s="5">
        <v>250032</v>
      </c>
      <c r="E16048" s="6" t="str">
        <f>HYPERLINK("https://inpn.mnhn.fr/espece/cd_nom/250032","Drisina glutinosa Giard, 1893")</f>
        <v>Drisina glutinosa Giard, 1893</v>
      </c>
      <c r="AH16048" s="4" t="str">
        <f>HYPERLINK("#Statut_biogéographique!A"&amp;_xlfn.XMATCH("P",Statut_biogéographique!A:A,2,1),"P")</f>
        <v>P</v>
      </c>
      <c r="AP16048" s="4" t="s">
        <v>376</v>
      </c>
      <c r="AR16048" s="4" t="s">
        <v>377</v>
      </c>
    </row>
    <row r="16049" spans="1:44">
      <c r="A16049" s="4" t="s">
        <v>10753</v>
      </c>
      <c r="B16049" s="4">
        <v>25004</v>
      </c>
      <c r="D16049" s="5" t="s">
        <v>19693</v>
      </c>
      <c r="E16049" s="6" t="str">
        <f>HYPERLINK("https://inpn.mnhn.fr/espece/cd_nom/25004","Tetanocera punctifrons Rondani, 1868")</f>
        <v>Tetanocera punctifrons Rondani, 1868</v>
      </c>
      <c r="AH16049" s="4" t="str">
        <f>HYPERLINK("#Statut_biogéographique!A"&amp;_xlfn.XMATCH("P",Statut_biogéographique!A:A,2,1),"P")</f>
        <v>P</v>
      </c>
      <c r="AP16049" s="4" t="s">
        <v>376</v>
      </c>
      <c r="AR16049" s="4" t="s">
        <v>377</v>
      </c>
    </row>
    <row r="16050" spans="1:44">
      <c r="A16050" s="4" t="s">
        <v>10753</v>
      </c>
      <c r="B16050" s="4">
        <v>25007</v>
      </c>
      <c r="D16050" s="5">
        <v>25007</v>
      </c>
      <c r="E16050" s="6" t="str">
        <f>HYPERLINK("https://inpn.mnhn.fr/espece/cd_nom/25007","Tetanocera silvatica Meigen, 1830")</f>
        <v>Tetanocera silvatica Meigen, 1830</v>
      </c>
      <c r="AH16050" s="4" t="str">
        <f>HYPERLINK("#Statut_biogéographique!A"&amp;_xlfn.XMATCH("P",Statut_biogéographique!A:A,2,1),"P")</f>
        <v>P</v>
      </c>
      <c r="AP16050" s="4" t="s">
        <v>376</v>
      </c>
      <c r="AR16050" s="4" t="s">
        <v>377</v>
      </c>
    </row>
    <row r="16051" spans="1:44">
      <c r="A16051" s="4" t="s">
        <v>10753</v>
      </c>
      <c r="B16051" s="4">
        <v>25009</v>
      </c>
      <c r="D16051" s="5" t="s">
        <v>19694</v>
      </c>
      <c r="E16051" s="6" t="str">
        <f>HYPERLINK("https://inpn.mnhn.fr/espece/cd_nom/25009","Trypetoptera punctulata (Scopoli, 1763)")</f>
        <v>Trypetoptera punctulata (Scopoli, 1763)</v>
      </c>
      <c r="AH16051" s="4" t="str">
        <f>HYPERLINK("#Statut_biogéographique!A"&amp;_xlfn.XMATCH("P",Statut_biogéographique!A:A,2,1),"P")</f>
        <v>P</v>
      </c>
      <c r="AP16051" s="4" t="s">
        <v>376</v>
      </c>
      <c r="AR16051" s="4" t="s">
        <v>377</v>
      </c>
    </row>
    <row r="16052" spans="1:44">
      <c r="A16052" s="4" t="s">
        <v>10753</v>
      </c>
      <c r="B16052" s="4">
        <v>250130</v>
      </c>
      <c r="D16052" s="5">
        <v>250130</v>
      </c>
      <c r="E16052" s="6" t="str">
        <f>HYPERLINK("https://inpn.mnhn.fr/espece/cd_nom/250130","Contarinia carpini Kieffer, 1897")</f>
        <v>Contarinia carpini Kieffer, 1897</v>
      </c>
      <c r="AH16052" s="4" t="str">
        <f>HYPERLINK("#Statut_biogéographique!A"&amp;_xlfn.XMATCH("P",Statut_biogéographique!A:A,2,1),"P")</f>
        <v>P</v>
      </c>
      <c r="AP16052" s="4" t="s">
        <v>376</v>
      </c>
      <c r="AR16052" s="4" t="s">
        <v>377</v>
      </c>
    </row>
    <row r="16053" spans="1:44" ht="30">
      <c r="A16053" s="4" t="s">
        <v>10753</v>
      </c>
      <c r="B16053" s="4">
        <v>25015</v>
      </c>
      <c r="D16053" s="5" t="s">
        <v>19695</v>
      </c>
      <c r="E16053" s="6" t="str">
        <f>HYPERLINK("https://inpn.mnhn.fr/espece/cd_nom/25015","Dryomyza flaveola (Fabricius, 1794)")</f>
        <v>Dryomyza flaveola (Fabricius, 1794)</v>
      </c>
      <c r="AH16053" s="4" t="str">
        <f>HYPERLINK("#Statut_biogéographique!A"&amp;_xlfn.XMATCH("P",Statut_biogéographique!A:A,2,1),"P")</f>
        <v>P</v>
      </c>
      <c r="AP16053" s="4" t="s">
        <v>376</v>
      </c>
      <c r="AR16053" s="4" t="s">
        <v>377</v>
      </c>
    </row>
    <row r="16054" spans="1:44">
      <c r="A16054" s="4" t="s">
        <v>10753</v>
      </c>
      <c r="B16054" s="4">
        <v>250184</v>
      </c>
      <c r="D16054" s="5" t="s">
        <v>19696</v>
      </c>
      <c r="E16054" s="6" t="str">
        <f>HYPERLINK("https://inpn.mnhn.fr/espece/cd_nom/250184","Asphondylia coronillae (Vallot, 1829)")</f>
        <v>Asphondylia coronillae (Vallot, 1829)</v>
      </c>
      <c r="AH16054" s="4" t="str">
        <f>HYPERLINK("#Statut_biogéographique!A"&amp;_xlfn.XMATCH("P",Statut_biogéographique!A:A,2,1),"P")</f>
        <v>P</v>
      </c>
      <c r="AP16054" s="4" t="s">
        <v>376</v>
      </c>
      <c r="AR16054" s="4" t="s">
        <v>377</v>
      </c>
    </row>
    <row r="16055" spans="1:44">
      <c r="A16055" s="4" t="s">
        <v>10753</v>
      </c>
      <c r="B16055" s="4">
        <v>250287</v>
      </c>
      <c r="D16055" s="5" t="s">
        <v>19697</v>
      </c>
      <c r="E16055" s="6" t="str">
        <f>HYPERLINK("https://inpn.mnhn.fr/espece/cd_nom/250287","Chirocephalus diaphanus Prévost, 1803")</f>
        <v>Chirocephalus diaphanus Prévost, 1803</v>
      </c>
      <c r="F16055" s="5" t="s">
        <v>19698</v>
      </c>
      <c r="Q16055" s="7" t="str">
        <f>HYPERLINK("#Liste_rouge!A"&amp;_xlfn.XMATCH("LC",Liste_rouge!A:A,2,1),"LC")</f>
        <v>LC</v>
      </c>
      <c r="AH16055" s="4" t="str">
        <f>HYPERLINK("#Statut_biogéographique!A"&amp;_xlfn.XMATCH("P",Statut_biogéographique!A:A,2,1),"P")</f>
        <v>P</v>
      </c>
      <c r="AP16055" s="4" t="s">
        <v>376</v>
      </c>
      <c r="AR16055" s="4" t="s">
        <v>377</v>
      </c>
    </row>
    <row r="16056" spans="1:44">
      <c r="A16056" s="4" t="s">
        <v>10753</v>
      </c>
      <c r="B16056" s="4">
        <v>250293</v>
      </c>
      <c r="D16056" s="5" t="s">
        <v>19699</v>
      </c>
      <c r="E16056" s="6" t="str">
        <f>HYPERLINK("https://inpn.mnhn.fr/espece/cd_nom/250293","Lepidurus apus (Linnaeus, 1758)")</f>
        <v>Lepidurus apus (Linnaeus, 1758)</v>
      </c>
      <c r="Q16056" s="7" t="str">
        <f>HYPERLINK("#Liste_rouge!A"&amp;_xlfn.XMATCH("NT",Liste_rouge!A:A,2,1),"NT")</f>
        <v>NT</v>
      </c>
      <c r="AH16056" s="4" t="str">
        <f>HYPERLINK("#Statut_biogéographique!A"&amp;_xlfn.XMATCH("P",Statut_biogéographique!A:A,2,1),"P")</f>
        <v>P</v>
      </c>
      <c r="AP16056" s="4" t="s">
        <v>376</v>
      </c>
      <c r="AR16056" s="4" t="s">
        <v>377</v>
      </c>
    </row>
    <row r="16057" spans="1:44">
      <c r="A16057" s="4" t="s">
        <v>10753</v>
      </c>
      <c r="B16057" s="4">
        <v>250294</v>
      </c>
      <c r="D16057" s="5" t="s">
        <v>19700</v>
      </c>
      <c r="E16057" s="6" t="str">
        <f>HYPERLINK("https://inpn.mnhn.fr/espece/cd_nom/250294","Triops cancriformis (Bosc, 1801)")</f>
        <v>Triops cancriformis (Bosc, 1801)</v>
      </c>
      <c r="Q16057" s="7" t="str">
        <f>HYPERLINK("#Liste_rouge!A"&amp;_xlfn.XMATCH("NT",Liste_rouge!A:A,2,1),"NT")</f>
        <v>NT</v>
      </c>
      <c r="AH16057" s="4" t="str">
        <f>HYPERLINK("#Statut_biogéographique!A"&amp;_xlfn.XMATCH("P",Statut_biogéographique!A:A,2,1),"P")</f>
        <v>P</v>
      </c>
      <c r="AP16057" s="4" t="s">
        <v>376</v>
      </c>
      <c r="AR16057" s="4" t="s">
        <v>377</v>
      </c>
    </row>
    <row r="16058" spans="1:44" ht="30">
      <c r="A16058" s="4" t="s">
        <v>10753</v>
      </c>
      <c r="B16058" s="4">
        <v>250416</v>
      </c>
      <c r="D16058" s="5" t="s">
        <v>19701</v>
      </c>
      <c r="E16058" s="6" t="str">
        <f>HYPERLINK("https://inpn.mnhn.fr/espece/cd_nom/250416","Dicyrtomina minuta minuta (O. Fabricius, 1783)")</f>
        <v>Dicyrtomina minuta minuta (O. Fabricius, 1783)</v>
      </c>
      <c r="AH16058" s="4" t="str">
        <f>HYPERLINK("#Statut_biogéographique!A"&amp;_xlfn.XMATCH("P",Statut_biogéographique!A:A,2,1),"P")</f>
        <v>P</v>
      </c>
      <c r="AP16058" s="4" t="s">
        <v>376</v>
      </c>
      <c r="AR16058" s="4" t="s">
        <v>377</v>
      </c>
    </row>
    <row r="16059" spans="1:44">
      <c r="A16059" s="4" t="s">
        <v>10753</v>
      </c>
      <c r="B16059" s="4">
        <v>25044</v>
      </c>
      <c r="D16059" s="5" t="s">
        <v>19702</v>
      </c>
      <c r="E16059" s="6" t="str">
        <f>HYPERLINK("https://inpn.mnhn.fr/espece/cd_nom/25044","Nemopoda nitidula (Fallén, 1820)")</f>
        <v>Nemopoda nitidula (Fallén, 1820)</v>
      </c>
      <c r="AH16059" s="4" t="str">
        <f>HYPERLINK("#Statut_biogéographique!A"&amp;_xlfn.XMATCH("P",Statut_biogéographique!A:A,2,1),"P")</f>
        <v>P</v>
      </c>
      <c r="AP16059" s="4" t="s">
        <v>376</v>
      </c>
      <c r="AR16059" s="4" t="s">
        <v>377</v>
      </c>
    </row>
    <row r="16060" spans="1:44" ht="75">
      <c r="A16060" s="4" t="s">
        <v>10753</v>
      </c>
      <c r="B16060" s="4">
        <v>25052</v>
      </c>
      <c r="D16060" s="5" t="s">
        <v>19703</v>
      </c>
      <c r="E16060" s="6" t="str">
        <f>HYPERLINK("https://inpn.mnhn.fr/espece/cd_nom/25052","Saltella sphondylii (Schrank, 1803)")</f>
        <v>Saltella sphondylii (Schrank, 1803)</v>
      </c>
      <c r="AH16060" s="4" t="str">
        <f>HYPERLINK("#Statut_biogéographique!A"&amp;_xlfn.XMATCH("P",Statut_biogéographique!A:A,2,1),"P")</f>
        <v>P</v>
      </c>
      <c r="AP16060" s="4" t="s">
        <v>376</v>
      </c>
      <c r="AR16060" s="4" t="s">
        <v>377</v>
      </c>
    </row>
    <row r="16061" spans="1:44">
      <c r="A16061" s="4" t="s">
        <v>10753</v>
      </c>
      <c r="B16061" s="4">
        <v>250523</v>
      </c>
      <c r="D16061" s="5">
        <v>250523</v>
      </c>
      <c r="E16061" s="6" t="str">
        <f>HYPERLINK("https://inpn.mnhn.fr/espece/cd_nom/250523","Chrysis angustula angustula Schenck, 1856")</f>
        <v>Chrysis angustula angustula Schenck, 1856</v>
      </c>
      <c r="AH16061" s="4" t="str">
        <f>HYPERLINK("#Statut_biogéographique!A"&amp;_xlfn.XMATCH("P",Statut_biogéographique!A:A,2,1),"P")</f>
        <v>P</v>
      </c>
      <c r="AP16061" s="4" t="s">
        <v>376</v>
      </c>
      <c r="AR16061" s="4" t="s">
        <v>377</v>
      </c>
    </row>
    <row r="16062" spans="1:44">
      <c r="A16062" s="4" t="s">
        <v>10753</v>
      </c>
      <c r="B16062" s="4">
        <v>25056</v>
      </c>
      <c r="D16062" s="5">
        <v>25056</v>
      </c>
      <c r="E16062" s="6" t="str">
        <f>HYPERLINK("https://inpn.mnhn.fr/espece/cd_nom/25056","Sepsis biflexuosa Strobl, 1893")</f>
        <v>Sepsis biflexuosa Strobl, 1893</v>
      </c>
      <c r="AH16062" s="4" t="str">
        <f>HYPERLINK("#Statut_biogéographique!A"&amp;_xlfn.XMATCH("P",Statut_biogéographique!A:A,2,1),"P")</f>
        <v>P</v>
      </c>
      <c r="AP16062" s="4" t="s">
        <v>376</v>
      </c>
      <c r="AR16062" s="4" t="s">
        <v>377</v>
      </c>
    </row>
    <row r="16063" spans="1:44">
      <c r="A16063" s="4" t="s">
        <v>10753</v>
      </c>
      <c r="B16063" s="4">
        <v>25057</v>
      </c>
      <c r="D16063" s="5" t="s">
        <v>19704</v>
      </c>
      <c r="E16063" s="6" t="str">
        <f>HYPERLINK("https://inpn.mnhn.fr/espece/cd_nom/25057","Sepsis cynipsea (Linnaeus, 1758)")</f>
        <v>Sepsis cynipsea (Linnaeus, 1758)</v>
      </c>
      <c r="AH16063" s="4" t="str">
        <f>HYPERLINK("#Statut_biogéographique!A"&amp;_xlfn.XMATCH("P",Statut_biogéographique!A:A,2,1),"P")</f>
        <v>P</v>
      </c>
      <c r="AP16063" s="4" t="s">
        <v>376</v>
      </c>
      <c r="AR16063" s="4" t="s">
        <v>377</v>
      </c>
    </row>
    <row r="16064" spans="1:44">
      <c r="A16064" s="4" t="s">
        <v>10753</v>
      </c>
      <c r="B16064" s="4">
        <v>25059</v>
      </c>
      <c r="D16064" s="5">
        <v>25059</v>
      </c>
      <c r="E16064" s="6" t="str">
        <f>HYPERLINK("https://inpn.mnhn.fr/espece/cd_nom/25059","Sepsis duplicata Haliday, 1838")</f>
        <v>Sepsis duplicata Haliday, 1838</v>
      </c>
      <c r="AH16064" s="4" t="str">
        <f>HYPERLINK("#Statut_biogéographique!A"&amp;_xlfn.XMATCH("P",Statut_biogéographique!A:A,2,1),"P")</f>
        <v>P</v>
      </c>
      <c r="AP16064" s="4" t="s">
        <v>376</v>
      </c>
      <c r="AR16064" s="4" t="s">
        <v>377</v>
      </c>
    </row>
    <row r="16065" spans="1:44">
      <c r="A16065" s="4" t="s">
        <v>10753</v>
      </c>
      <c r="B16065" s="4">
        <v>25061</v>
      </c>
      <c r="D16065" s="5">
        <v>25061</v>
      </c>
      <c r="E16065" s="6" t="str">
        <f>HYPERLINK("https://inpn.mnhn.fr/espece/cd_nom/25061","Sepsis flavimana Meigen, 1826")</f>
        <v>Sepsis flavimana Meigen, 1826</v>
      </c>
      <c r="AH16065" s="4" t="str">
        <f>HYPERLINK("#Statut_biogéographique!A"&amp;_xlfn.XMATCH("P",Statut_biogéographique!A:A,2,1),"P")</f>
        <v>P</v>
      </c>
      <c r="AP16065" s="4" t="s">
        <v>376</v>
      </c>
      <c r="AR16065" s="4" t="s">
        <v>377</v>
      </c>
    </row>
    <row r="16066" spans="1:44">
      <c r="A16066" s="4" t="s">
        <v>10753</v>
      </c>
      <c r="B16066" s="4">
        <v>25063</v>
      </c>
      <c r="D16066" s="5">
        <v>25063</v>
      </c>
      <c r="E16066" s="6" t="str">
        <f>HYPERLINK("https://inpn.mnhn.fr/espece/cd_nom/25063","Sepsis fulgens Meigen, 1826")</f>
        <v>Sepsis fulgens Meigen, 1826</v>
      </c>
      <c r="F16066" s="5" t="s">
        <v>19705</v>
      </c>
      <c r="AH16066" s="4" t="str">
        <f>HYPERLINK("#Statut_biogéographique!A"&amp;_xlfn.XMATCH("P",Statut_biogéographique!A:A,2,1),"P")</f>
        <v>P</v>
      </c>
      <c r="AP16066" s="4" t="s">
        <v>376</v>
      </c>
      <c r="AR16066" s="4" t="s">
        <v>377</v>
      </c>
    </row>
    <row r="16067" spans="1:44">
      <c r="A16067" s="4" t="s">
        <v>10753</v>
      </c>
      <c r="B16067" s="4">
        <v>250645</v>
      </c>
      <c r="D16067" s="5">
        <v>250645</v>
      </c>
      <c r="E16067" s="6" t="str">
        <f>HYPERLINK("https://inpn.mnhn.fr/espece/cd_nom/250645","Myrmosa atra atra Panzer, 1801")</f>
        <v>Myrmosa atra atra Panzer, 1801</v>
      </c>
      <c r="AH16067" s="4" t="str">
        <f>HYPERLINK("#Statut_biogéographique!A"&amp;_xlfn.XMATCH("P",Statut_biogéographique!A:A,2,1),"P")</f>
        <v>P</v>
      </c>
      <c r="AP16067" s="4" t="s">
        <v>376</v>
      </c>
      <c r="AR16067" s="4" t="s">
        <v>377</v>
      </c>
    </row>
    <row r="16068" spans="1:44">
      <c r="A16068" s="4" t="s">
        <v>10753</v>
      </c>
      <c r="B16068" s="4">
        <v>25066</v>
      </c>
      <c r="D16068" s="5">
        <v>25066</v>
      </c>
      <c r="E16068" s="6" t="str">
        <f>HYPERLINK("https://inpn.mnhn.fr/espece/cd_nom/25066","Sepsis orthocnemis Frey, 1908")</f>
        <v>Sepsis orthocnemis Frey, 1908</v>
      </c>
      <c r="AH16068" s="4" t="str">
        <f>HYPERLINK("#Statut_biogéographique!A"&amp;_xlfn.XMATCH("P",Statut_biogéographique!A:A,2,1),"P")</f>
        <v>P</v>
      </c>
      <c r="AP16068" s="4" t="s">
        <v>376</v>
      </c>
      <c r="AR16068" s="4" t="s">
        <v>377</v>
      </c>
    </row>
    <row r="16069" spans="1:44">
      <c r="A16069" s="4" t="s">
        <v>10753</v>
      </c>
      <c r="B16069" s="4">
        <v>25067</v>
      </c>
      <c r="D16069" s="5" t="s">
        <v>19706</v>
      </c>
      <c r="E16069" s="6" t="str">
        <f>HYPERLINK("https://inpn.mnhn.fr/espece/cd_nom/25067","Sepsis punctum (Fabricius, 1794)")</f>
        <v>Sepsis punctum (Fabricius, 1794)</v>
      </c>
      <c r="AH16069" s="4" t="str">
        <f>HYPERLINK("#Statut_biogéographique!A"&amp;_xlfn.XMATCH("P",Statut_biogéographique!A:A,2,1),"P")</f>
        <v>P</v>
      </c>
      <c r="AP16069" s="4" t="s">
        <v>376</v>
      </c>
      <c r="AR16069" s="4" t="s">
        <v>377</v>
      </c>
    </row>
    <row r="16070" spans="1:44" ht="30">
      <c r="A16070" s="4" t="s">
        <v>10753</v>
      </c>
      <c r="B16070" s="4">
        <v>250699</v>
      </c>
      <c r="D16070" s="5">
        <v>250699</v>
      </c>
      <c r="E16070" s="6" t="str">
        <f>HYPERLINK("https://inpn.mnhn.fr/espece/cd_nom/250699","Decticus verrucivorus verrucivorus (Linnaeus, 1758)")</f>
        <v>Decticus verrucivorus verrucivorus (Linnaeus, 1758)</v>
      </c>
      <c r="F16070" s="5" t="s">
        <v>19707</v>
      </c>
      <c r="V16070" s="7" t="str">
        <f>HYPERLINK("#Liste_rouge!A"&amp;_xlfn.XMATCH("NT",Liste_rouge!A:A,2,1),"NT")</f>
        <v>NT</v>
      </c>
      <c r="W16070" s="4" t="str">
        <f>HYPERLINK("#Critères_liste_rouge!A$1","pr.A3c")</f>
        <v>pr.A3c</v>
      </c>
      <c r="AH16070" s="4" t="str">
        <f>HYPERLINK("#Statut_biogéographique!A"&amp;_xlfn.XMATCH("P",Statut_biogéographique!A:A,2,1),"P")</f>
        <v>P</v>
      </c>
      <c r="AP16070" s="4" t="s">
        <v>376</v>
      </c>
      <c r="AR16070" s="4" t="s">
        <v>377</v>
      </c>
    </row>
    <row r="16071" spans="1:44">
      <c r="A16071" s="4" t="s">
        <v>10753</v>
      </c>
      <c r="B16071" s="4">
        <v>25070</v>
      </c>
      <c r="D16071" s="5">
        <v>25070</v>
      </c>
      <c r="E16071" s="6" t="str">
        <f>HYPERLINK("https://inpn.mnhn.fr/espece/cd_nom/25070","Sepsis violacea Meigen, 1826")</f>
        <v>Sepsis violacea Meigen, 1826</v>
      </c>
      <c r="AH16071" s="4" t="str">
        <f>HYPERLINK("#Statut_biogéographique!A"&amp;_xlfn.XMATCH("P",Statut_biogéographique!A:A,2,1),"P")</f>
        <v>P</v>
      </c>
      <c r="AP16071" s="4" t="s">
        <v>376</v>
      </c>
      <c r="AR16071" s="4" t="s">
        <v>377</v>
      </c>
    </row>
    <row r="16072" spans="1:44" ht="30">
      <c r="A16072" s="4" t="s">
        <v>10753</v>
      </c>
      <c r="B16072" s="4">
        <v>25073</v>
      </c>
      <c r="D16072" s="5" t="s">
        <v>19708</v>
      </c>
      <c r="E16072" s="6" t="str">
        <f>HYPERLINK("https://inpn.mnhn.fr/espece/cd_nom/25073","Themira annulipes (Meigen, 1826)")</f>
        <v>Themira annulipes (Meigen, 1826)</v>
      </c>
      <c r="AH16072" s="4" t="str">
        <f>HYPERLINK("#Statut_biogéographique!A"&amp;_xlfn.XMATCH("P",Statut_biogéographique!A:A,2,1),"P")</f>
        <v>P</v>
      </c>
      <c r="AP16072" s="4" t="s">
        <v>376</v>
      </c>
      <c r="AR16072" s="4" t="s">
        <v>377</v>
      </c>
    </row>
    <row r="16073" spans="1:44">
      <c r="A16073" s="4" t="s">
        <v>10753</v>
      </c>
      <c r="B16073" s="4">
        <v>250738</v>
      </c>
      <c r="D16073" s="5">
        <v>250738</v>
      </c>
      <c r="E16073" s="6" t="str">
        <f>HYPERLINK("https://inpn.mnhn.fr/espece/cd_nom/250738","Loboptera decipiens decipiens (Germar, 1817)")</f>
        <v>Loboptera decipiens decipiens (Germar, 1817)</v>
      </c>
      <c r="AH16073" s="4" t="str">
        <f>HYPERLINK("#Statut_biogéographique!A"&amp;_xlfn.XMATCH("P",Statut_biogéographique!A:A,2,1),"P")</f>
        <v>P</v>
      </c>
      <c r="AP16073" s="4" t="s">
        <v>376</v>
      </c>
      <c r="AR16073" s="4" t="s">
        <v>377</v>
      </c>
    </row>
    <row r="16074" spans="1:44">
      <c r="A16074" s="4" t="s">
        <v>10753</v>
      </c>
      <c r="B16074" s="4">
        <v>25090</v>
      </c>
      <c r="D16074" s="5" t="s">
        <v>19709</v>
      </c>
      <c r="E16074" s="6" t="str">
        <f>HYPERLINK("https://inpn.mnhn.fr/espece/cd_nom/25090","Calliopum simillimum (Collin, 1933)")</f>
        <v>Calliopum simillimum (Collin, 1933)</v>
      </c>
      <c r="AH16074" s="4" t="str">
        <f>HYPERLINK("#Statut_biogéographique!A"&amp;_xlfn.XMATCH("P",Statut_biogéographique!A:A,2,1),"P")</f>
        <v>P</v>
      </c>
      <c r="AP16074" s="4" t="s">
        <v>376</v>
      </c>
      <c r="AR16074" s="4" t="s">
        <v>377</v>
      </c>
    </row>
    <row r="16075" spans="1:44">
      <c r="A16075" s="4" t="s">
        <v>10753</v>
      </c>
      <c r="B16075" s="4">
        <v>25092</v>
      </c>
      <c r="D16075" s="5" t="s">
        <v>19710</v>
      </c>
      <c r="E16075" s="6" t="str">
        <f>HYPERLINK("https://inpn.mnhn.fr/espece/cd_nom/25092","Cnemacantha muscaria (Fallén, 1823)")</f>
        <v>Cnemacantha muscaria (Fallén, 1823)</v>
      </c>
      <c r="AH16075" s="4" t="str">
        <f>HYPERLINK("#Statut_biogéographique!A"&amp;_xlfn.XMATCH("P",Statut_biogéographique!A:A,2,1),"P")</f>
        <v>P</v>
      </c>
      <c r="AP16075" s="4" t="s">
        <v>376</v>
      </c>
      <c r="AR16075" s="4" t="s">
        <v>377</v>
      </c>
    </row>
    <row r="16076" spans="1:44">
      <c r="A16076" s="4" t="s">
        <v>10753</v>
      </c>
      <c r="B16076" s="4">
        <v>25098</v>
      </c>
      <c r="D16076" s="5" t="s">
        <v>19711</v>
      </c>
      <c r="E16076" s="6" t="str">
        <f>HYPERLINK("https://inpn.mnhn.fr/espece/cd_nom/25098","Homoneura interstincta (Fallén, 1820)")</f>
        <v>Homoneura interstincta (Fallén, 1820)</v>
      </c>
      <c r="AH16076" s="4" t="str">
        <f>HYPERLINK("#Statut_biogéographique!A"&amp;_xlfn.XMATCH("P",Statut_biogéographique!A:A,2,1),"P")</f>
        <v>P</v>
      </c>
      <c r="AP16076" s="4" t="s">
        <v>376</v>
      </c>
      <c r="AR16076" s="4" t="s">
        <v>377</v>
      </c>
    </row>
    <row r="16077" spans="1:44" ht="30">
      <c r="A16077" s="4" t="s">
        <v>10753</v>
      </c>
      <c r="B16077" s="4">
        <v>250991</v>
      </c>
      <c r="D16077" s="5" t="s">
        <v>19712</v>
      </c>
      <c r="E16077" s="6" t="str">
        <f>HYPERLINK("https://inpn.mnhn.fr/espece/cd_nom/250991","Pterostichus cristatus cristatus (L. Dufour, 1820)")</f>
        <v>Pterostichus cristatus cristatus (L. Dufour, 1820)</v>
      </c>
      <c r="AH16077" s="4" t="str">
        <f>HYPERLINK("#Statut_biogéographique!A"&amp;_xlfn.XMATCH("P",Statut_biogéographique!A:A,2,1),"P")</f>
        <v>P</v>
      </c>
      <c r="AP16077" s="4" t="s">
        <v>376</v>
      </c>
      <c r="AR16077" s="4" t="s">
        <v>377</v>
      </c>
    </row>
    <row r="16078" spans="1:44" ht="30">
      <c r="A16078" s="4" t="s">
        <v>10753</v>
      </c>
      <c r="B16078" s="4">
        <v>251016</v>
      </c>
      <c r="D16078" s="5" t="s">
        <v>19713</v>
      </c>
      <c r="E16078" s="6" t="str">
        <f>HYPERLINK("https://inpn.mnhn.fr/espece/cd_nom/251016","Pterostichus selmanni prevostii (Dejean, 1828)")</f>
        <v>Pterostichus selmanni prevostii (Dejean, 1828)</v>
      </c>
      <c r="AH16078" s="4" t="str">
        <f>HYPERLINK("#Statut_biogéographique!A"&amp;_xlfn.XMATCH("P",Statut_biogéographique!A:A,2,1),"P")</f>
        <v>P</v>
      </c>
      <c r="AP16078" s="4" t="s">
        <v>376</v>
      </c>
      <c r="AR16078" s="4" t="s">
        <v>377</v>
      </c>
    </row>
    <row r="16079" spans="1:44" ht="30">
      <c r="A16079" s="4" t="s">
        <v>10753</v>
      </c>
      <c r="B16079" s="4">
        <v>251049</v>
      </c>
      <c r="D16079" s="5">
        <v>251049</v>
      </c>
      <c r="E16079" s="6" t="str">
        <f>HYPERLINK("https://inpn.mnhn.fr/espece/cd_nom/251049","Trichaphaenops sollaudi sollaudi Jeannel, 1916")</f>
        <v>Trichaphaenops sollaudi sollaudi Jeannel, 1916</v>
      </c>
      <c r="L16079" s="4" t="str">
        <f>HYPERLINK("#Réglementation!A"&amp;_xlfn.XMATCH("NI3",Réglementation!A:A,2,1),"NI3")</f>
        <v>NI3</v>
      </c>
      <c r="AH16079" s="4" t="str">
        <f>HYPERLINK("#Statut_biogéographique!A"&amp;_xlfn.XMATCH("E",Statut_biogéographique!A:A,2,1),"E")</f>
        <v>E</v>
      </c>
      <c r="AP16079" s="4" t="s">
        <v>376</v>
      </c>
      <c r="AR16079" s="4" t="s">
        <v>377</v>
      </c>
    </row>
    <row r="16080" spans="1:44">
      <c r="A16080" s="4" t="s">
        <v>10753</v>
      </c>
      <c r="B16080" s="4">
        <v>25109</v>
      </c>
      <c r="D16080" s="5" t="s">
        <v>19714</v>
      </c>
      <c r="E16080" s="6" t="str">
        <f>HYPERLINK("https://inpn.mnhn.fr/espece/cd_nom/25109","Lyciella decipiens (Loew, 1847)")</f>
        <v>Lyciella decipiens (Loew, 1847)</v>
      </c>
      <c r="AH16080" s="4" t="str">
        <f>HYPERLINK("#Statut_biogéographique!A"&amp;_xlfn.XMATCH("P",Statut_biogéographique!A:A,2,1),"P")</f>
        <v>P</v>
      </c>
      <c r="AP16080" s="4" t="s">
        <v>376</v>
      </c>
      <c r="AR16080" s="4" t="s">
        <v>377</v>
      </c>
    </row>
    <row r="16081" spans="1:44">
      <c r="A16081" s="4" t="s">
        <v>10753</v>
      </c>
      <c r="B16081" s="4">
        <v>25112</v>
      </c>
      <c r="D16081" s="5" t="s">
        <v>19715</v>
      </c>
      <c r="E16081" s="6" t="str">
        <f>HYPERLINK("https://inpn.mnhn.fr/espece/cd_nom/25112","Lyciella platycephala (Loew, 1847)")</f>
        <v>Lyciella platycephala (Loew, 1847)</v>
      </c>
      <c r="AH16081" s="4" t="str">
        <f>HYPERLINK("#Statut_biogéographique!A"&amp;_xlfn.XMATCH("P",Statut_biogéographique!A:A,2,1),"P")</f>
        <v>P</v>
      </c>
      <c r="AP16081" s="4" t="s">
        <v>376</v>
      </c>
      <c r="AR16081" s="4" t="s">
        <v>377</v>
      </c>
    </row>
    <row r="16082" spans="1:44">
      <c r="A16082" s="4" t="s">
        <v>10753</v>
      </c>
      <c r="B16082" s="4">
        <v>25114</v>
      </c>
      <c r="D16082" s="5" t="s">
        <v>19716</v>
      </c>
      <c r="E16082" s="6" t="str">
        <f>HYPERLINK("https://inpn.mnhn.fr/espece/cd_nom/25114","Lyciella rorida (Fallén, 1820)")</f>
        <v>Lyciella rorida (Fallén, 1820)</v>
      </c>
      <c r="AH16082" s="4" t="str">
        <f>HYPERLINK("#Statut_biogéographique!A"&amp;_xlfn.XMATCH("P",Statut_biogéographique!A:A,2,1),"P")</f>
        <v>P</v>
      </c>
      <c r="AP16082" s="4" t="s">
        <v>376</v>
      </c>
      <c r="AR16082" s="4" t="s">
        <v>377</v>
      </c>
    </row>
    <row r="16083" spans="1:44">
      <c r="A16083" s="4" t="s">
        <v>10753</v>
      </c>
      <c r="B16083" s="4">
        <v>25133</v>
      </c>
      <c r="D16083" s="5" t="s">
        <v>19717</v>
      </c>
      <c r="E16083" s="6" t="str">
        <f>HYPERLINK("https://inpn.mnhn.fr/espece/cd_nom/25133","Peplomyza litura (Meigen, 1826)")</f>
        <v>Peplomyza litura (Meigen, 1826)</v>
      </c>
      <c r="AH16083" s="4" t="str">
        <f>HYPERLINK("#Statut_biogéographique!A"&amp;_xlfn.XMATCH("P",Statut_biogéographique!A:A,2,1),"P")</f>
        <v>P</v>
      </c>
      <c r="AP16083" s="4" t="s">
        <v>376</v>
      </c>
      <c r="AR16083" s="4" t="s">
        <v>377</v>
      </c>
    </row>
    <row r="16084" spans="1:44">
      <c r="A16084" s="4" t="s">
        <v>10753</v>
      </c>
      <c r="B16084" s="4">
        <v>251372</v>
      </c>
      <c r="D16084" s="5" t="s">
        <v>19718</v>
      </c>
      <c r="E16084" s="6" t="str">
        <f>HYPERLINK("https://inpn.mnhn.fr/espece/cd_nom/251372","Carabus monilis monilis Fabricius, 1792")</f>
        <v>Carabus monilis monilis Fabricius, 1792</v>
      </c>
      <c r="AH16084" s="4" t="str">
        <f>HYPERLINK("#Statut_biogéographique!A"&amp;_xlfn.XMATCH("D",Statut_biogéographique!A:A,2,1),"D")</f>
        <v>D</v>
      </c>
      <c r="AP16084" s="4" t="s">
        <v>376</v>
      </c>
      <c r="AR16084" s="4" t="s">
        <v>377</v>
      </c>
    </row>
    <row r="16085" spans="1:44" ht="30">
      <c r="A16085" s="4" t="s">
        <v>10753</v>
      </c>
      <c r="B16085" s="4">
        <v>251386</v>
      </c>
      <c r="D16085" s="5" t="s">
        <v>19719</v>
      </c>
      <c r="E16085" s="6" t="str">
        <f>HYPERLINK("https://inpn.mnhn.fr/espece/cd_nom/251386","Carabus nemoralis nemoralis O.F. Müller, 1764")</f>
        <v>Carabus nemoralis nemoralis O.F. Müller, 1764</v>
      </c>
      <c r="AH16085" s="4" t="str">
        <f>HYPERLINK("#Statut_biogéographique!A"&amp;_xlfn.XMATCH("P",Statut_biogéographique!A:A,2,1),"P")</f>
        <v>P</v>
      </c>
      <c r="AP16085" s="4" t="s">
        <v>376</v>
      </c>
      <c r="AR16085" s="4" t="s">
        <v>377</v>
      </c>
    </row>
    <row r="16086" spans="1:44" ht="30">
      <c r="A16086" s="4" t="s">
        <v>10753</v>
      </c>
      <c r="B16086" s="4">
        <v>251393</v>
      </c>
      <c r="D16086" s="5" t="s">
        <v>19720</v>
      </c>
      <c r="E16086" s="6" t="str">
        <f>HYPERLINK("https://inpn.mnhn.fr/espece/cd_nom/251393","Carabus problematicus problematicus Herbst, 1786")</f>
        <v>Carabus problematicus problematicus Herbst, 1786</v>
      </c>
      <c r="AH16086" s="4" t="str">
        <f>HYPERLINK("#Statut_biogéographique!A"&amp;_xlfn.XMATCH("P",Statut_biogéographique!A:A,2,1),"P")</f>
        <v>P</v>
      </c>
      <c r="AP16086" s="4" t="s">
        <v>376</v>
      </c>
      <c r="AR16086" s="4" t="s">
        <v>377</v>
      </c>
    </row>
    <row r="16087" spans="1:44">
      <c r="A16087" s="4" t="s">
        <v>10753</v>
      </c>
      <c r="B16087" s="4">
        <v>251413</v>
      </c>
      <c r="D16087" s="5" t="s">
        <v>19721</v>
      </c>
      <c r="E16087" s="6" t="str">
        <f>HYPERLINK("https://inpn.mnhn.fr/espece/cd_nom/251413","Carabus irregularis irregularis Fabricius, 1792")</f>
        <v>Carabus irregularis irregularis Fabricius, 1792</v>
      </c>
      <c r="AH16087" s="4" t="str">
        <f>HYPERLINK("#Statut_biogéographique!A"&amp;_xlfn.XMATCH("P",Statut_biogéographique!A:A,2,1),"P")</f>
        <v>P</v>
      </c>
      <c r="AP16087" s="4" t="s">
        <v>376</v>
      </c>
      <c r="AR16087" s="4" t="s">
        <v>377</v>
      </c>
    </row>
    <row r="16088" spans="1:44" ht="30">
      <c r="A16088" s="4" t="s">
        <v>10753</v>
      </c>
      <c r="B16088" s="4">
        <v>251421</v>
      </c>
      <c r="D16088" s="5" t="s">
        <v>19722</v>
      </c>
      <c r="E16088" s="6" t="str">
        <f>HYPERLINK("https://inpn.mnhn.fr/espece/cd_nom/251421","Carabus auronitens auronitens Fabricius, 1792")</f>
        <v>Carabus auronitens auronitens Fabricius, 1792</v>
      </c>
      <c r="F16088" s="5" t="s">
        <v>19723</v>
      </c>
      <c r="L16088" s="4" t="str">
        <f>HYPERLINK("#Réglementation!A"&amp;_xlfn.XMATCH("NI3",Réglementation!A:A,2,1),"NI3")</f>
        <v>NI3</v>
      </c>
      <c r="AH16088" s="4" t="str">
        <f>HYPERLINK("#Statut_biogéographique!A"&amp;_xlfn.XMATCH("P",Statut_biogéographique!A:A,2,1),"P")</f>
        <v>P</v>
      </c>
      <c r="AP16088" s="4" t="s">
        <v>376</v>
      </c>
      <c r="AR16088" s="4" t="s">
        <v>377</v>
      </c>
    </row>
    <row r="16089" spans="1:44" ht="30">
      <c r="A16089" s="4" t="s">
        <v>10753</v>
      </c>
      <c r="B16089" s="4">
        <v>251435</v>
      </c>
      <c r="D16089" s="5" t="s">
        <v>19724</v>
      </c>
      <c r="E16089" s="6" t="str">
        <f>HYPERLINK("https://inpn.mnhn.fr/espece/cd_nom/251435","Carabus coriaceus coriaceus Linnaeus, 1758")</f>
        <v>Carabus coriaceus coriaceus Linnaeus, 1758</v>
      </c>
      <c r="AH16089" s="4" t="str">
        <f>HYPERLINK("#Statut_biogéographique!A"&amp;_xlfn.XMATCH("P",Statut_biogéographique!A:A,2,1),"P")</f>
        <v>P</v>
      </c>
      <c r="AP16089" s="4" t="s">
        <v>376</v>
      </c>
      <c r="AR16089" s="4" t="s">
        <v>377</v>
      </c>
    </row>
    <row r="16090" spans="1:44" ht="30">
      <c r="A16090" s="4" t="s">
        <v>10753</v>
      </c>
      <c r="B16090" s="4">
        <v>251451</v>
      </c>
      <c r="D16090" s="5" t="s">
        <v>19725</v>
      </c>
      <c r="E16090" s="6" t="str">
        <f>HYPERLINK("https://inpn.mnhn.fr/espece/cd_nom/251451","Cicindela campestris campestris Linnaeus, 1758")</f>
        <v>Cicindela campestris campestris Linnaeus, 1758</v>
      </c>
      <c r="AH16090" s="4" t="str">
        <f>HYPERLINK("#Statut_biogéographique!A"&amp;_xlfn.XMATCH("P",Statut_biogéographique!A:A,2,1),"P")</f>
        <v>P</v>
      </c>
      <c r="AP16090" s="4" t="s">
        <v>376</v>
      </c>
      <c r="AR16090" s="4" t="s">
        <v>377</v>
      </c>
    </row>
    <row r="16091" spans="1:44" ht="30">
      <c r="A16091" s="4" t="s">
        <v>10753</v>
      </c>
      <c r="B16091" s="4">
        <v>251497</v>
      </c>
      <c r="D16091" s="5">
        <v>251497</v>
      </c>
      <c r="E16091" s="6" t="str">
        <f>HYPERLINK("https://inpn.mnhn.fr/espece/cd_nom/251497","Loricaster testaceus testaceus Mulsant &amp; Rey, 1861")</f>
        <v>Loricaster testaceus testaceus Mulsant &amp; Rey, 1861</v>
      </c>
      <c r="AH16091" s="4" t="str">
        <f>HYPERLINK("#Statut_biogéographique!A"&amp;_xlfn.XMATCH("P",Statut_biogéographique!A:A,2,1),"P")</f>
        <v>P</v>
      </c>
      <c r="AP16091" s="4" t="s">
        <v>376</v>
      </c>
      <c r="AR16091" s="4" t="s">
        <v>377</v>
      </c>
    </row>
    <row r="16092" spans="1:44" ht="30">
      <c r="A16092" s="4" t="s">
        <v>10753</v>
      </c>
      <c r="B16092" s="4">
        <v>251528</v>
      </c>
      <c r="D16092" s="5" t="s">
        <v>19726</v>
      </c>
      <c r="E16092" s="6" t="str">
        <f>HYPERLINK("https://inpn.mnhn.fr/espece/cd_nom/251528","Margarinotus striola succicola (C. Thomson, 1862)")</f>
        <v>Margarinotus striola succicola (C. Thomson, 1862)</v>
      </c>
      <c r="AH16092" s="4" t="str">
        <f>HYPERLINK("#Statut_biogéographique!A"&amp;_xlfn.XMATCH("P",Statut_biogéographique!A:A,2,1),"P")</f>
        <v>P</v>
      </c>
      <c r="AP16092" s="4" t="s">
        <v>376</v>
      </c>
      <c r="AR16092" s="4" t="s">
        <v>377</v>
      </c>
    </row>
    <row r="16093" spans="1:44">
      <c r="A16093" s="4" t="s">
        <v>10753</v>
      </c>
      <c r="B16093" s="4">
        <v>25158</v>
      </c>
      <c r="D16093" s="5" t="s">
        <v>19727</v>
      </c>
      <c r="E16093" s="6" t="str">
        <f>HYPERLINK("https://inpn.mnhn.fr/espece/cd_nom/25158","Tricholauxania praeusta (Fallén, 1820)")</f>
        <v>Tricholauxania praeusta (Fallén, 1820)</v>
      </c>
      <c r="AH16093" s="4" t="str">
        <f>HYPERLINK("#Statut_biogéographique!A"&amp;_xlfn.XMATCH("P",Statut_biogéographique!A:A,2,1),"P")</f>
        <v>P</v>
      </c>
      <c r="AP16093" s="4" t="s">
        <v>376</v>
      </c>
      <c r="AR16093" s="4" t="s">
        <v>377</v>
      </c>
    </row>
    <row r="16094" spans="1:44">
      <c r="A16094" s="4" t="s">
        <v>10753</v>
      </c>
      <c r="B16094" s="4">
        <v>25160</v>
      </c>
      <c r="D16094" s="5" t="s">
        <v>19728</v>
      </c>
      <c r="E16094" s="6" t="str">
        <f>HYPERLINK("https://inpn.mnhn.fr/espece/cd_nom/25160","Trigonometopus frontalis (Meigen, 1830)")</f>
        <v>Trigonometopus frontalis (Meigen, 1830)</v>
      </c>
      <c r="AH16094" s="4" t="str">
        <f>HYPERLINK("#Statut_biogéographique!A"&amp;_xlfn.XMATCH("P",Statut_biogéographique!A:A,2,1),"P")</f>
        <v>P</v>
      </c>
      <c r="AP16094" s="4" t="s">
        <v>376</v>
      </c>
      <c r="AR16094" s="4" t="s">
        <v>377</v>
      </c>
    </row>
    <row r="16095" spans="1:44">
      <c r="A16095" s="4" t="s">
        <v>10753</v>
      </c>
      <c r="B16095" s="4">
        <v>25169</v>
      </c>
      <c r="D16095" s="5" t="s">
        <v>19729</v>
      </c>
      <c r="E16095" s="6" t="str">
        <f>HYPERLINK("https://inpn.mnhn.fr/espece/cd_nom/25169","Chamaemyia juncorum (Fallén, 1823)")</f>
        <v>Chamaemyia juncorum (Fallén, 1823)</v>
      </c>
      <c r="AH16095" s="4" t="str">
        <f>HYPERLINK("#Statut_biogéographique!A"&amp;_xlfn.XMATCH("P",Statut_biogéographique!A:A,2,1),"P")</f>
        <v>P</v>
      </c>
      <c r="AP16095" s="4" t="s">
        <v>376</v>
      </c>
      <c r="AR16095" s="4" t="s">
        <v>377</v>
      </c>
    </row>
    <row r="16096" spans="1:44" ht="30">
      <c r="A16096" s="4" t="s">
        <v>10753</v>
      </c>
      <c r="B16096" s="4">
        <v>251710</v>
      </c>
      <c r="D16096" s="5" t="s">
        <v>19730</v>
      </c>
      <c r="E16096" s="6" t="str">
        <f>HYPERLINK("https://inpn.mnhn.fr/espece/cd_nom/251710","Anogcodes seladonius seladonius (Fabricius, 1792)")</f>
        <v>Anogcodes seladonius seladonius (Fabricius, 1792)</v>
      </c>
      <c r="AH16096" s="4" t="str">
        <f>HYPERLINK("#Statut_biogéographique!A"&amp;_xlfn.XMATCH("P",Statut_biogéographique!A:A,2,1),"P")</f>
        <v>P</v>
      </c>
      <c r="AP16096" s="4" t="s">
        <v>376</v>
      </c>
      <c r="AR16096" s="4" t="s">
        <v>377</v>
      </c>
    </row>
    <row r="16097" spans="1:44">
      <c r="A16097" s="4" t="s">
        <v>10753</v>
      </c>
      <c r="B16097" s="4">
        <v>251729</v>
      </c>
      <c r="D16097" s="5">
        <v>251729</v>
      </c>
      <c r="E16097" s="6" t="str">
        <f>HYPERLINK("https://inpn.mnhn.fr/espece/cd_nom/251729","Diaphorus gredleri gredleri Mik, 1881")</f>
        <v>Diaphorus gredleri gredleri Mik, 1881</v>
      </c>
      <c r="AH16097" s="4" t="str">
        <f>HYPERLINK("#Statut_biogéographique!A"&amp;_xlfn.XMATCH("P",Statut_biogéographique!A:A,2,1),"P")</f>
        <v>P</v>
      </c>
      <c r="AP16097" s="4" t="s">
        <v>376</v>
      </c>
      <c r="AR16097" s="4" t="s">
        <v>377</v>
      </c>
    </row>
    <row r="16098" spans="1:44">
      <c r="A16098" s="4" t="s">
        <v>10753</v>
      </c>
      <c r="B16098" s="4">
        <v>251731</v>
      </c>
      <c r="D16098" s="5" t="s">
        <v>19731</v>
      </c>
      <c r="E16098" s="6" t="str">
        <f>HYPERLINK("https://inpn.mnhn.fr/espece/cd_nom/251731","Dolichopus lepidus lepidus Stæger, 1842")</f>
        <v>Dolichopus lepidus lepidus Stæger, 1842</v>
      </c>
      <c r="AH16098" s="4" t="str">
        <f>HYPERLINK("#Statut_biogéographique!A"&amp;_xlfn.XMATCH("P",Statut_biogéographique!A:A,2,1),"P")</f>
        <v>P</v>
      </c>
      <c r="AP16098" s="4" t="s">
        <v>376</v>
      </c>
      <c r="AR16098" s="4" t="s">
        <v>377</v>
      </c>
    </row>
    <row r="16099" spans="1:44" ht="30">
      <c r="A16099" s="4" t="s">
        <v>10753</v>
      </c>
      <c r="B16099" s="4">
        <v>251777</v>
      </c>
      <c r="D16099" s="5" t="s">
        <v>19732</v>
      </c>
      <c r="E16099" s="6" t="str">
        <f>HYPERLINK("https://inpn.mnhn.fr/espece/cd_nom/251777","Nephrotoma appendiculata appendiculata (Pierre, 1919)")</f>
        <v>Nephrotoma appendiculata appendiculata (Pierre, 1919)</v>
      </c>
      <c r="AH16099" s="4" t="str">
        <f>HYPERLINK("#Statut_biogéographique!A"&amp;_xlfn.XMATCH("P",Statut_biogéographique!A:A,2,1),"P")</f>
        <v>P</v>
      </c>
      <c r="AP16099" s="4" t="s">
        <v>376</v>
      </c>
      <c r="AR16099" s="4" t="s">
        <v>377</v>
      </c>
    </row>
    <row r="16100" spans="1:44" ht="30">
      <c r="A16100" s="4" t="s">
        <v>10753</v>
      </c>
      <c r="B16100" s="4">
        <v>251790</v>
      </c>
      <c r="D16100" s="5" t="s">
        <v>19733</v>
      </c>
      <c r="E16100" s="6" t="str">
        <f>HYPERLINK("https://inpn.mnhn.fr/espece/cd_nom/251790","Tanyptera atrata atrata (Linnaeus, 1758)")</f>
        <v>Tanyptera atrata atrata (Linnaeus, 1758)</v>
      </c>
      <c r="AH16100" s="4" t="str">
        <f>HYPERLINK("#Statut_biogéographique!A"&amp;_xlfn.XMATCH("P",Statut_biogéographique!A:A,2,1),"P")</f>
        <v>P</v>
      </c>
      <c r="AP16100" s="4" t="s">
        <v>376</v>
      </c>
      <c r="AR16100" s="4" t="s">
        <v>377</v>
      </c>
    </row>
    <row r="16101" spans="1:44" ht="30">
      <c r="A16101" s="4" t="s">
        <v>10753</v>
      </c>
      <c r="B16101" s="4">
        <v>251820</v>
      </c>
      <c r="D16101" s="5" t="s">
        <v>19734</v>
      </c>
      <c r="E16101" s="6" t="str">
        <f>HYPERLINK("https://inpn.mnhn.fr/espece/cd_nom/251820","Colpa quinquecincta quinquecincta (Fabricius, 1793)")</f>
        <v>Colpa quinquecincta quinquecincta (Fabricius, 1793)</v>
      </c>
      <c r="AH16101" s="4" t="str">
        <f>HYPERLINK("#Statut_biogéographique!A"&amp;_xlfn.XMATCH("P",Statut_biogéographique!A:A,2,1),"P")</f>
        <v>P</v>
      </c>
      <c r="AP16101" s="4" t="s">
        <v>376</v>
      </c>
      <c r="AR16101" s="4" t="s">
        <v>377</v>
      </c>
    </row>
    <row r="16102" spans="1:44">
      <c r="A16102" s="4" t="s">
        <v>10753</v>
      </c>
      <c r="B16102" s="4">
        <v>251840</v>
      </c>
      <c r="D16102" s="5">
        <v>251840</v>
      </c>
      <c r="E16102" s="6" t="str">
        <f>HYPERLINK("https://inpn.mnhn.fr/espece/cd_nom/251840","Sciapteryx costalis soror Konow, 1890")</f>
        <v>Sciapteryx costalis soror Konow, 1890</v>
      </c>
      <c r="AH16102" s="4" t="str">
        <f>HYPERLINK("#Statut_biogéographique!A"&amp;_xlfn.XMATCH("P",Statut_biogéographique!A:A,2,1),"P")</f>
        <v>P</v>
      </c>
      <c r="AP16102" s="4" t="s">
        <v>376</v>
      </c>
      <c r="AR16102" s="4" t="s">
        <v>377</v>
      </c>
    </row>
    <row r="16103" spans="1:44" ht="30">
      <c r="A16103" s="4" t="s">
        <v>10753</v>
      </c>
      <c r="B16103" s="4">
        <v>251865</v>
      </c>
      <c r="D16103" s="5" t="s">
        <v>19735</v>
      </c>
      <c r="E16103" s="6" t="str">
        <f>HYPERLINK("https://inpn.mnhn.fr/espece/cd_nom/251865","Gymnomerus laevipes laevipes (Shuckard, 1837)")</f>
        <v>Gymnomerus laevipes laevipes (Shuckard, 1837)</v>
      </c>
      <c r="AH16103" s="4" t="str">
        <f>HYPERLINK("#Statut_biogéographique!A"&amp;_xlfn.XMATCH("P",Statut_biogéographique!A:A,2,1),"P")</f>
        <v>P</v>
      </c>
      <c r="AP16103" s="4" t="s">
        <v>376</v>
      </c>
      <c r="AR16103" s="4" t="s">
        <v>377</v>
      </c>
    </row>
    <row r="16104" spans="1:44">
      <c r="A16104" s="4" t="s">
        <v>10753</v>
      </c>
      <c r="B16104" s="4">
        <v>25187</v>
      </c>
      <c r="D16104" s="5" t="s">
        <v>19736</v>
      </c>
      <c r="E16104" s="6" t="str">
        <f>HYPERLINK("https://inpn.mnhn.fr/espece/cd_nom/25187","Lonchaea chorea (Fabricius, 1781)")</f>
        <v>Lonchaea chorea (Fabricius, 1781)</v>
      </c>
      <c r="AH16104" s="4" t="str">
        <f>HYPERLINK("#Statut_biogéographique!A"&amp;_xlfn.XMATCH("P",Statut_biogéographique!A:A,2,1),"P")</f>
        <v>P</v>
      </c>
      <c r="AP16104" s="4" t="s">
        <v>376</v>
      </c>
      <c r="AR16104" s="4" t="s">
        <v>377</v>
      </c>
    </row>
    <row r="16105" spans="1:44">
      <c r="A16105" s="4" t="s">
        <v>10753</v>
      </c>
      <c r="B16105" s="4">
        <v>251871</v>
      </c>
      <c r="D16105" s="5" t="s">
        <v>19737</v>
      </c>
      <c r="E16105" s="6" t="str">
        <f>HYPERLINK("https://inpn.mnhn.fr/espece/cd_nom/251871","Eumenes papillarius papillarius (Christ, 1791)")</f>
        <v>Eumenes papillarius papillarius (Christ, 1791)</v>
      </c>
      <c r="AH16105" s="4" t="str">
        <f>HYPERLINK("#Statut_biogéographique!A"&amp;_xlfn.XMATCH("P",Statut_biogéographique!A:A,2,1),"P")</f>
        <v>P</v>
      </c>
      <c r="AP16105" s="4" t="s">
        <v>376</v>
      </c>
      <c r="AR16105" s="4" t="s">
        <v>377</v>
      </c>
    </row>
    <row r="16106" spans="1:44" ht="30">
      <c r="A16106" s="4" t="s">
        <v>10753</v>
      </c>
      <c r="B16106" s="4">
        <v>251878</v>
      </c>
      <c r="D16106" s="5" t="s">
        <v>19738</v>
      </c>
      <c r="E16106" s="6" t="str">
        <f>HYPERLINK("https://inpn.mnhn.fr/espece/cd_nom/251878","Ancistrocerus oviventris oviventris (Wesmael, 1836)")</f>
        <v>Ancistrocerus oviventris oviventris (Wesmael, 1836)</v>
      </c>
      <c r="AH16106" s="4" t="str">
        <f>HYPERLINK("#Statut_biogéographique!A"&amp;_xlfn.XMATCH("P",Statut_biogéographique!A:A,2,1),"P")</f>
        <v>P</v>
      </c>
      <c r="AP16106" s="4" t="s">
        <v>376</v>
      </c>
      <c r="AR16106" s="4" t="s">
        <v>377</v>
      </c>
    </row>
    <row r="16107" spans="1:44">
      <c r="A16107" s="4" t="s">
        <v>10753</v>
      </c>
      <c r="B16107" s="4">
        <v>25193</v>
      </c>
      <c r="D16107" s="5" t="s">
        <v>19739</v>
      </c>
      <c r="E16107" s="6" t="str">
        <f>HYPERLINK("https://inpn.mnhn.fr/espece/cd_nom/25193","Lonchaea scutellaris Rondani, 1874")</f>
        <v>Lonchaea scutellaris Rondani, 1874</v>
      </c>
      <c r="AH16107" s="4" t="str">
        <f>HYPERLINK("#Statut_biogéographique!A"&amp;_xlfn.XMATCH("P",Statut_biogéographique!A:A,2,1),"P")</f>
        <v>P</v>
      </c>
      <c r="AP16107" s="4" t="s">
        <v>376</v>
      </c>
      <c r="AR16107" s="4" t="s">
        <v>377</v>
      </c>
    </row>
    <row r="16108" spans="1:44">
      <c r="A16108" s="4" t="s">
        <v>10753</v>
      </c>
      <c r="B16108" s="4">
        <v>25194</v>
      </c>
      <c r="D16108" s="5" t="s">
        <v>19740</v>
      </c>
      <c r="E16108" s="6" t="str">
        <f>HYPERLINK("https://inpn.mnhn.fr/espece/cd_nom/25194","Lonchaea sylvatica Beling, 1873")</f>
        <v>Lonchaea sylvatica Beling, 1873</v>
      </c>
      <c r="AH16108" s="4" t="str">
        <f>HYPERLINK("#Statut_biogéographique!A"&amp;_xlfn.XMATCH("P",Statut_biogéographique!A:A,2,1),"P")</f>
        <v>P</v>
      </c>
      <c r="AP16108" s="4" t="s">
        <v>376</v>
      </c>
      <c r="AR16108" s="4" t="s">
        <v>377</v>
      </c>
    </row>
    <row r="16109" spans="1:44">
      <c r="A16109" s="4" t="s">
        <v>10753</v>
      </c>
      <c r="B16109" s="4">
        <v>251945</v>
      </c>
      <c r="D16109" s="5">
        <v>251945</v>
      </c>
      <c r="E16109" s="6" t="str">
        <f>HYPERLINK("https://inpn.mnhn.fr/espece/cd_nom/251945","Rhyacophila dorsalis dorsalis (Curtis, 1834)")</f>
        <v>Rhyacophila dorsalis dorsalis (Curtis, 1834)</v>
      </c>
      <c r="AH16109" s="4" t="str">
        <f>HYPERLINK("#Statut_biogéographique!A"&amp;_xlfn.XMATCH("P",Statut_biogéographique!A:A,2,1),"P")</f>
        <v>P</v>
      </c>
      <c r="AP16109" s="4" t="s">
        <v>376</v>
      </c>
      <c r="AR16109" s="4" t="s">
        <v>377</v>
      </c>
    </row>
    <row r="16110" spans="1:44" ht="30">
      <c r="A16110" s="4" t="s">
        <v>10753</v>
      </c>
      <c r="B16110" s="4">
        <v>251954</v>
      </c>
      <c r="D16110" s="5">
        <v>251954</v>
      </c>
      <c r="E16110" s="6" t="str">
        <f>HYPERLINK("https://inpn.mnhn.fr/espece/cd_nom/251954","Plectrocnemia geniculata geniculata McLachlan, 1871")</f>
        <v>Plectrocnemia geniculata geniculata McLachlan, 1871</v>
      </c>
      <c r="AH16110" s="4" t="str">
        <f>HYPERLINK("#Statut_biogéographique!A"&amp;_xlfn.XMATCH("P",Statut_biogéographique!A:A,2,1),"P")</f>
        <v>P</v>
      </c>
      <c r="AP16110" s="4" t="s">
        <v>376</v>
      </c>
      <c r="AR16110" s="4" t="s">
        <v>377</v>
      </c>
    </row>
    <row r="16111" spans="1:44" ht="30">
      <c r="A16111" s="4" t="s">
        <v>10753</v>
      </c>
      <c r="B16111" s="4">
        <v>251958</v>
      </c>
      <c r="D16111" s="5">
        <v>251958</v>
      </c>
      <c r="E16111" s="6" t="str">
        <f>HYPERLINK("https://inpn.mnhn.fr/espece/cd_nom/251958","Limnephilus rhombicus rhombicus (Linnaeus, 1758)")</f>
        <v>Limnephilus rhombicus rhombicus (Linnaeus, 1758)</v>
      </c>
      <c r="AH16111" s="4" t="str">
        <f>HYPERLINK("#Statut_biogéographique!A"&amp;_xlfn.XMATCH("P",Statut_biogéographique!A:A,2,1),"P")</f>
        <v>P</v>
      </c>
      <c r="AP16111" s="4" t="s">
        <v>376</v>
      </c>
      <c r="AR16111" s="4" t="s">
        <v>377</v>
      </c>
    </row>
    <row r="16112" spans="1:44">
      <c r="A16112" s="4" t="s">
        <v>10753</v>
      </c>
      <c r="B16112" s="4">
        <v>25196</v>
      </c>
      <c r="D16112" s="5">
        <v>25196</v>
      </c>
      <c r="E16112" s="6" t="str">
        <f>HYPERLINK("https://inpn.mnhn.fr/espece/cd_nom/25196","Lonchaea tarsata Fallén, 1820")</f>
        <v>Lonchaea tarsata Fallén, 1820</v>
      </c>
      <c r="AH16112" s="4" t="str">
        <f>HYPERLINK("#Statut_biogéographique!A"&amp;_xlfn.XMATCH("P",Statut_biogéographique!A:A,2,1),"P")</f>
        <v>P</v>
      </c>
      <c r="AP16112" s="4" t="s">
        <v>376</v>
      </c>
      <c r="AR16112" s="4" t="s">
        <v>377</v>
      </c>
    </row>
    <row r="16113" spans="1:44">
      <c r="A16113" s="4" t="s">
        <v>10753</v>
      </c>
      <c r="B16113" s="4">
        <v>25210</v>
      </c>
      <c r="D16113" s="5" t="s">
        <v>19741</v>
      </c>
      <c r="E16113" s="6" t="str">
        <f>HYPERLINK("https://inpn.mnhn.fr/espece/cd_nom/25210","Palloptera umbellatarum (Fabricius, 1775)")</f>
        <v>Palloptera umbellatarum (Fabricius, 1775)</v>
      </c>
      <c r="AH16113" s="4" t="str">
        <f>HYPERLINK("#Statut_biogéographique!A"&amp;_xlfn.XMATCH("P",Statut_biogéographique!A:A,2,1),"P")</f>
        <v>P</v>
      </c>
      <c r="AP16113" s="4" t="s">
        <v>376</v>
      </c>
      <c r="AR16113" s="4" t="s">
        <v>377</v>
      </c>
    </row>
    <row r="16114" spans="1:44">
      <c r="A16114" s="4" t="s">
        <v>10753</v>
      </c>
      <c r="B16114" s="4">
        <v>252129</v>
      </c>
      <c r="D16114" s="5">
        <v>252129</v>
      </c>
      <c r="E16114" s="6" t="str">
        <f>HYPERLINK("https://inpn.mnhn.fr/espece/cd_nom/252129","Jassargus alpinus allemanicus Wagner, 1958")</f>
        <v>Jassargus alpinus allemanicus Wagner, 1958</v>
      </c>
      <c r="AH16114" s="4" t="str">
        <f>HYPERLINK("#Statut_biogéographique!A"&amp;_xlfn.XMATCH("P",Statut_biogéographique!A:A,2,1),"P")</f>
        <v>P</v>
      </c>
      <c r="AP16114" s="4" t="s">
        <v>376</v>
      </c>
      <c r="AR16114" s="4" t="s">
        <v>377</v>
      </c>
    </row>
    <row r="16115" spans="1:44">
      <c r="A16115" s="4" t="s">
        <v>10753</v>
      </c>
      <c r="B16115" s="4">
        <v>252156</v>
      </c>
      <c r="D16115" s="5">
        <v>252156</v>
      </c>
      <c r="E16115" s="6" t="str">
        <f>HYPERLINK("https://inpn.mnhn.fr/espece/cd_nom/252156","Cerceris rybyensis rybyensis (Linnaeus, 1771)")</f>
        <v>Cerceris rybyensis rybyensis (Linnaeus, 1771)</v>
      </c>
      <c r="AH16115" s="4" t="str">
        <f>HYPERLINK("#Statut_biogéographique!A"&amp;_xlfn.XMATCH("P",Statut_biogéographique!A:A,2,1),"P")</f>
        <v>P</v>
      </c>
      <c r="AP16115" s="4" t="s">
        <v>376</v>
      </c>
      <c r="AR16115" s="4" t="s">
        <v>377</v>
      </c>
    </row>
    <row r="16116" spans="1:44" ht="30">
      <c r="A16116" s="4" t="s">
        <v>10753</v>
      </c>
      <c r="B16116" s="4">
        <v>252164</v>
      </c>
      <c r="D16116" s="5">
        <v>252164</v>
      </c>
      <c r="E16116" s="6" t="str">
        <f>HYPERLINK("https://inpn.mnhn.fr/espece/cd_nom/252164","Lindenius pygmaeus armatus (Vander Linden, 1829)")</f>
        <v>Lindenius pygmaeus armatus (Vander Linden, 1829)</v>
      </c>
      <c r="AH16116" s="4" t="str">
        <f>HYPERLINK("#Statut_biogéographique!A"&amp;_xlfn.XMATCH("P",Statut_biogéographique!A:A,2,1),"P")</f>
        <v>P</v>
      </c>
      <c r="AP16116" s="4" t="s">
        <v>376</v>
      </c>
      <c r="AR16116" s="4" t="s">
        <v>377</v>
      </c>
    </row>
    <row r="16117" spans="1:44" ht="30">
      <c r="A16117" s="4" t="s">
        <v>10753</v>
      </c>
      <c r="B16117" s="4">
        <v>252166</v>
      </c>
      <c r="D16117" s="5">
        <v>252166</v>
      </c>
      <c r="E16117" s="6" t="str">
        <f>HYPERLINK("https://inpn.mnhn.fr/espece/cd_nom/252166","Ectemnius continuus punctatus (Lepeletier &amp; Brullé, 1835)")</f>
        <v>Ectemnius continuus punctatus (Lepeletier &amp; Brullé, 1835)</v>
      </c>
      <c r="AH16117" s="4" t="str">
        <f>HYPERLINK("#Statut_biogéographique!A"&amp;_xlfn.XMATCH("P",Statut_biogéographique!A:A,2,1),"P")</f>
        <v>P</v>
      </c>
      <c r="AP16117" s="4" t="s">
        <v>376</v>
      </c>
      <c r="AR16117" s="4" t="s">
        <v>377</v>
      </c>
    </row>
    <row r="16118" spans="1:44" ht="30">
      <c r="A16118" s="4" t="s">
        <v>10753</v>
      </c>
      <c r="B16118" s="4">
        <v>252167</v>
      </c>
      <c r="D16118" s="5">
        <v>252167</v>
      </c>
      <c r="E16118" s="6" t="str">
        <f>HYPERLINK("https://inpn.mnhn.fr/espece/cd_nom/252167","Crossocerus elongatulus elongatulus (Vander Linden, 1829)")</f>
        <v>Crossocerus elongatulus elongatulus (Vander Linden, 1829)</v>
      </c>
      <c r="AH16118" s="4" t="str">
        <f>HYPERLINK("#Statut_biogéographique!A"&amp;_xlfn.XMATCH("P",Statut_biogéographique!A:A,2,1),"P")</f>
        <v>P</v>
      </c>
      <c r="AP16118" s="4" t="s">
        <v>376</v>
      </c>
      <c r="AR16118" s="4" t="s">
        <v>377</v>
      </c>
    </row>
    <row r="16119" spans="1:44">
      <c r="A16119" s="4" t="s">
        <v>10753</v>
      </c>
      <c r="B16119" s="4">
        <v>25218</v>
      </c>
      <c r="D16119" s="5" t="s">
        <v>19742</v>
      </c>
      <c r="E16119" s="6" t="str">
        <f>HYPERLINK("https://inpn.mnhn.fr/espece/cd_nom/25218","Allopiophila luteata (Haliday, 1833)")</f>
        <v>Allopiophila luteata (Haliday, 1833)</v>
      </c>
      <c r="AH16119" s="4" t="str">
        <f>HYPERLINK("#Statut_biogéographique!A"&amp;_xlfn.XMATCH("P",Statut_biogéographique!A:A,2,1),"P")</f>
        <v>P</v>
      </c>
      <c r="AP16119" s="4" t="s">
        <v>376</v>
      </c>
      <c r="AR16119" s="4" t="s">
        <v>377</v>
      </c>
    </row>
    <row r="16120" spans="1:44">
      <c r="A16120" s="4" t="s">
        <v>10753</v>
      </c>
      <c r="B16120" s="4">
        <v>252211</v>
      </c>
      <c r="D16120" s="5">
        <v>252211</v>
      </c>
      <c r="E16120" s="6" t="str">
        <f>HYPERLINK("https://inpn.mnhn.fr/espece/cd_nom/252211","Bembecinus tridens tridens (Fabricius, 1781)")</f>
        <v>Bembecinus tridens tridens (Fabricius, 1781)</v>
      </c>
      <c r="AH16120" s="4" t="str">
        <f>HYPERLINK("#Statut_biogéographique!A"&amp;_xlfn.XMATCH("P",Statut_biogéographique!A:A,2,1),"P")</f>
        <v>P</v>
      </c>
      <c r="AP16120" s="4" t="s">
        <v>376</v>
      </c>
      <c r="AR16120" s="4" t="s">
        <v>377</v>
      </c>
    </row>
    <row r="16121" spans="1:44">
      <c r="A16121" s="4" t="s">
        <v>10753</v>
      </c>
      <c r="B16121" s="4">
        <v>252213</v>
      </c>
      <c r="D16121" s="5">
        <v>252213</v>
      </c>
      <c r="E16121" s="6" t="str">
        <f>HYPERLINK("https://inpn.mnhn.fr/espece/cd_nom/252213","Astata boops boops (Schrank, 1781)")</f>
        <v>Astata boops boops (Schrank, 1781)</v>
      </c>
      <c r="AH16121" s="4" t="str">
        <f>HYPERLINK("#Statut_biogéographique!A"&amp;_xlfn.XMATCH("P",Statut_biogéographique!A:A,2,1),"P")</f>
        <v>P</v>
      </c>
      <c r="AP16121" s="4" t="s">
        <v>376</v>
      </c>
      <c r="AR16121" s="4" t="s">
        <v>377</v>
      </c>
    </row>
    <row r="16122" spans="1:44">
      <c r="A16122" s="4" t="s">
        <v>10753</v>
      </c>
      <c r="B16122" s="4">
        <v>25222</v>
      </c>
      <c r="D16122" s="5" t="s">
        <v>19743</v>
      </c>
      <c r="E16122" s="6" t="str">
        <f>HYPERLINK("https://inpn.mnhn.fr/espece/cd_nom/25222","Parapiophila vulgaris (Fallén, 1820)")</f>
        <v>Parapiophila vulgaris (Fallén, 1820)</v>
      </c>
      <c r="AH16122" s="4" t="str">
        <f>HYPERLINK("#Statut_biogéographique!A"&amp;_xlfn.XMATCH("P",Statut_biogéographique!A:A,2,1),"P")</f>
        <v>P</v>
      </c>
      <c r="AP16122" s="4" t="s">
        <v>376</v>
      </c>
      <c r="AR16122" s="4" t="s">
        <v>377</v>
      </c>
    </row>
    <row r="16123" spans="1:44" ht="30">
      <c r="A16123" s="4" t="s">
        <v>10753</v>
      </c>
      <c r="B16123" s="4">
        <v>252221</v>
      </c>
      <c r="D16123" s="5" t="s">
        <v>19744</v>
      </c>
      <c r="E16123" s="6" t="str">
        <f>HYPERLINK("https://inpn.mnhn.fr/espece/cd_nom/252221","Evagetes pectinipes pectinipes (Linnaeus, 1758)")</f>
        <v>Evagetes pectinipes pectinipes (Linnaeus, 1758)</v>
      </c>
      <c r="AH16123" s="4" t="str">
        <f>HYPERLINK("#Statut_biogéographique!A"&amp;_xlfn.XMATCH("P",Statut_biogéographique!A:A,2,1),"P")</f>
        <v>P</v>
      </c>
      <c r="AP16123" s="4" t="s">
        <v>376</v>
      </c>
      <c r="AR16123" s="4" t="s">
        <v>377</v>
      </c>
    </row>
    <row r="16124" spans="1:44" ht="30">
      <c r="A16124" s="4" t="s">
        <v>10753</v>
      </c>
      <c r="B16124" s="4">
        <v>252238</v>
      </c>
      <c r="D16124" s="5" t="s">
        <v>19745</v>
      </c>
      <c r="E16124" s="6" t="str">
        <f>HYPERLINK("https://inpn.mnhn.fr/espece/cd_nom/252238","Sigara nigrolineata nigrolineata (Fieber, 1848)")</f>
        <v>Sigara nigrolineata nigrolineata (Fieber, 1848)</v>
      </c>
      <c r="AH16124" s="4" t="str">
        <f>HYPERLINK("#Statut_biogéographique!A"&amp;_xlfn.XMATCH("P",Statut_biogéographique!A:A,2,1),"P")</f>
        <v>P</v>
      </c>
      <c r="AP16124" s="4" t="s">
        <v>376</v>
      </c>
      <c r="AR16124" s="4" t="s">
        <v>377</v>
      </c>
    </row>
    <row r="16125" spans="1:44">
      <c r="A16125" s="4" t="s">
        <v>10753</v>
      </c>
      <c r="B16125" s="4">
        <v>252239</v>
      </c>
      <c r="D16125" s="5">
        <v>252239</v>
      </c>
      <c r="E16125" s="6" t="str">
        <f>HYPERLINK("https://inpn.mnhn.fr/espece/cd_nom/252239","Sigara limitata limitata (Fieber, 1848)")</f>
        <v>Sigara limitata limitata (Fieber, 1848)</v>
      </c>
      <c r="AH16125" s="4" t="str">
        <f>HYPERLINK("#Statut_biogéographique!A"&amp;_xlfn.XMATCH("P",Statut_biogéographique!A:A,2,1),"P")</f>
        <v>P</v>
      </c>
      <c r="AP16125" s="4" t="s">
        <v>376</v>
      </c>
      <c r="AR16125" s="4" t="s">
        <v>377</v>
      </c>
    </row>
    <row r="16126" spans="1:44" ht="30">
      <c r="A16126" s="4" t="s">
        <v>10753</v>
      </c>
      <c r="B16126" s="4">
        <v>252243</v>
      </c>
      <c r="D16126" s="5">
        <v>252243</v>
      </c>
      <c r="E16126" s="6" t="str">
        <f>HYPERLINK("https://inpn.mnhn.fr/espece/cd_nom/252243","Micronecta poweri poweri (Douglas &amp; Scott, 1869)")</f>
        <v>Micronecta poweri poweri (Douglas &amp; Scott, 1869)</v>
      </c>
      <c r="AH16126" s="4" t="str">
        <f>HYPERLINK("#Statut_biogéographique!A"&amp;_xlfn.XMATCH("P",Statut_biogéographique!A:A,2,1),"P")</f>
        <v>P</v>
      </c>
      <c r="AP16126" s="4" t="s">
        <v>376</v>
      </c>
      <c r="AR16126" s="4" t="s">
        <v>377</v>
      </c>
    </row>
    <row r="16127" spans="1:44">
      <c r="A16127" s="4" t="s">
        <v>10753</v>
      </c>
      <c r="B16127" s="4">
        <v>252250</v>
      </c>
      <c r="D16127" s="5" t="s">
        <v>19746</v>
      </c>
      <c r="E16127" s="6" t="str">
        <f>HYPERLINK("https://inpn.mnhn.fr/espece/cd_nom/252250","Hebrus pusillus pusillus (Fallén, 1807)")</f>
        <v>Hebrus pusillus pusillus (Fallén, 1807)</v>
      </c>
      <c r="AH16127" s="4" t="str">
        <f>HYPERLINK("#Statut_biogéographique!A"&amp;_xlfn.XMATCH("P",Statut_biogéographique!A:A,2,1),"P")</f>
        <v>P</v>
      </c>
      <c r="AP16127" s="4" t="s">
        <v>376</v>
      </c>
      <c r="AR16127" s="4" t="s">
        <v>377</v>
      </c>
    </row>
    <row r="16128" spans="1:44">
      <c r="A16128" s="4" t="s">
        <v>10753</v>
      </c>
      <c r="B16128" s="4">
        <v>252251</v>
      </c>
      <c r="D16128" s="5">
        <v>252251</v>
      </c>
      <c r="E16128" s="6" t="str">
        <f>HYPERLINK("https://inpn.mnhn.fr/espece/cd_nom/252251","Velia caprai caprai Tamanini, 1947")</f>
        <v>Velia caprai caprai Tamanini, 1947</v>
      </c>
      <c r="AH16128" s="4" t="str">
        <f>HYPERLINK("#Statut_biogéographique!A"&amp;_xlfn.XMATCH("P",Statut_biogéographique!A:A,2,1),"P")</f>
        <v>P</v>
      </c>
      <c r="AP16128" s="4" t="s">
        <v>376</v>
      </c>
      <c r="AR16128" s="4" t="s">
        <v>377</v>
      </c>
    </row>
    <row r="16129" spans="1:44" ht="30">
      <c r="A16129" s="4" t="s">
        <v>10753</v>
      </c>
      <c r="B16129" s="4">
        <v>252282</v>
      </c>
      <c r="D16129" s="5">
        <v>252282</v>
      </c>
      <c r="E16129" s="6" t="str">
        <f>HYPERLINK("https://inpn.mnhn.fr/espece/cd_nom/252282","Mecomma ambulans ambulans (Fallén, 1807)")</f>
        <v>Mecomma ambulans ambulans (Fallén, 1807)</v>
      </c>
      <c r="AH16129" s="4" t="str">
        <f>HYPERLINK("#Statut_biogéographique!A"&amp;_xlfn.XMATCH("P",Statut_biogéographique!A:A,2,1),"P")</f>
        <v>P</v>
      </c>
      <c r="AP16129" s="4" t="s">
        <v>376</v>
      </c>
      <c r="AR16129" s="4" t="s">
        <v>377</v>
      </c>
    </row>
    <row r="16130" spans="1:44" ht="30">
      <c r="A16130" s="4" t="s">
        <v>10753</v>
      </c>
      <c r="B16130" s="4">
        <v>252285</v>
      </c>
      <c r="D16130" s="5">
        <v>252285</v>
      </c>
      <c r="E16130" s="6" t="str">
        <f>HYPERLINK("https://inpn.mnhn.fr/espece/cd_nom/252285","Rhabdomiris striatellus striatellus (Fabricius, 1794)")</f>
        <v>Rhabdomiris striatellus striatellus (Fabricius, 1794)</v>
      </c>
      <c r="AH16130" s="4" t="str">
        <f>HYPERLINK("#Statut_biogéographique!A"&amp;_xlfn.XMATCH("P",Statut_biogéographique!A:A,2,1),"P")</f>
        <v>P</v>
      </c>
      <c r="AP16130" s="4" t="s">
        <v>376</v>
      </c>
      <c r="AR16130" s="4" t="s">
        <v>377</v>
      </c>
    </row>
    <row r="16131" spans="1:44">
      <c r="A16131" s="4" t="s">
        <v>10753</v>
      </c>
      <c r="B16131" s="4">
        <v>252314</v>
      </c>
      <c r="D16131" s="5">
        <v>252314</v>
      </c>
      <c r="E16131" s="6" t="str">
        <f>HYPERLINK("https://inpn.mnhn.fr/espece/cd_nom/252314","Aneurus avenius avenius (Dufour, 1833)")</f>
        <v>Aneurus avenius avenius (Dufour, 1833)</v>
      </c>
      <c r="AH16131" s="4" t="str">
        <f>HYPERLINK("#Statut_biogéographique!A"&amp;_xlfn.XMATCH("P",Statut_biogéographique!A:A,2,1),"P")</f>
        <v>P</v>
      </c>
      <c r="AP16131" s="4" t="s">
        <v>376</v>
      </c>
      <c r="AR16131" s="4" t="s">
        <v>377</v>
      </c>
    </row>
    <row r="16132" spans="1:44" ht="30">
      <c r="A16132" s="4" t="s">
        <v>10753</v>
      </c>
      <c r="B16132" s="4">
        <v>252339</v>
      </c>
      <c r="D16132" s="5" t="s">
        <v>19747</v>
      </c>
      <c r="E16132" s="6" t="str">
        <f>HYPERLINK("https://inpn.mnhn.fr/espece/cd_nom/252339","Gampsocoris punctipes punctipes (Germar, 1822)")</f>
        <v>Gampsocoris punctipes punctipes (Germar, 1822)</v>
      </c>
      <c r="AH16132" s="4" t="str">
        <f>HYPERLINK("#Statut_biogéographique!A"&amp;_xlfn.XMATCH("P",Statut_biogéographique!A:A,2,1),"P")</f>
        <v>P</v>
      </c>
      <c r="AP16132" s="4" t="s">
        <v>376</v>
      </c>
      <c r="AR16132" s="4" t="s">
        <v>377</v>
      </c>
    </row>
    <row r="16133" spans="1:44" ht="30">
      <c r="A16133" s="4" t="s">
        <v>10753</v>
      </c>
      <c r="B16133" s="4">
        <v>252374</v>
      </c>
      <c r="D16133" s="5" t="s">
        <v>19748</v>
      </c>
      <c r="E16133" s="6" t="str">
        <f>HYPERLINK("https://inpn.mnhn.fr/espece/cd_nom/252374","Stagonomus bipunctatus pusillus (Herrich-Schäffer, 1833)")</f>
        <v>Stagonomus bipunctatus pusillus (Herrich-Schäffer, 1833)</v>
      </c>
      <c r="AH16133" s="4" t="str">
        <f>HYPERLINK("#Statut_biogéographique!A"&amp;_xlfn.XMATCH("P",Statut_biogéographique!A:A,2,1),"P")</f>
        <v>P</v>
      </c>
      <c r="AP16133" s="4" t="s">
        <v>376</v>
      </c>
      <c r="AR16133" s="4" t="s">
        <v>377</v>
      </c>
    </row>
    <row r="16134" spans="1:44">
      <c r="A16134" s="4" t="s">
        <v>10753</v>
      </c>
      <c r="B16134" s="4">
        <v>25238</v>
      </c>
      <c r="D16134" s="5" t="s">
        <v>19749</v>
      </c>
      <c r="E16134" s="6" t="str">
        <f>HYPERLINK("https://inpn.mnhn.fr/espece/cd_nom/25238","Aulacigaster leucopeza (Meigen, 1830)")</f>
        <v>Aulacigaster leucopeza (Meigen, 1830)</v>
      </c>
      <c r="AH16134" s="4" t="str">
        <f>HYPERLINK("#Statut_biogéographique!A"&amp;_xlfn.XMATCH("P",Statut_biogéographique!A:A,2,1),"P")</f>
        <v>P</v>
      </c>
      <c r="AP16134" s="4" t="s">
        <v>376</v>
      </c>
      <c r="AR16134" s="4" t="s">
        <v>377</v>
      </c>
    </row>
    <row r="16135" spans="1:44" ht="30">
      <c r="A16135" s="4" t="s">
        <v>10753</v>
      </c>
      <c r="B16135" s="4">
        <v>252446</v>
      </c>
      <c r="D16135" s="5">
        <v>252446</v>
      </c>
      <c r="E16135" s="6" t="str">
        <f>HYPERLINK("https://inpn.mnhn.fr/espece/cd_nom/252446","Coccinella septempunctata septempunctata Linnaeus, 1758")</f>
        <v>Coccinella septempunctata septempunctata Linnaeus, 1758</v>
      </c>
      <c r="AH16135" s="4" t="str">
        <f>HYPERLINK("#Statut_biogéographique!A"&amp;_xlfn.XMATCH("P",Statut_biogéographique!A:A,2,1),"P")</f>
        <v>P</v>
      </c>
      <c r="AP16135" s="4" t="s">
        <v>376</v>
      </c>
      <c r="AR16135" s="4" t="s">
        <v>377</v>
      </c>
    </row>
    <row r="16136" spans="1:44" ht="30">
      <c r="A16136" s="4" t="s">
        <v>10753</v>
      </c>
      <c r="B16136" s="4">
        <v>252458</v>
      </c>
      <c r="D16136" s="5">
        <v>252458</v>
      </c>
      <c r="E16136" s="6" t="str">
        <f>HYPERLINK("https://inpn.mnhn.fr/espece/cd_nom/252458","Athous subfuscus subfuscus (O.F. Müller, 1764)")</f>
        <v>Athous subfuscus subfuscus (O.F. Müller, 1764)</v>
      </c>
      <c r="AH16136" s="4" t="str">
        <f>HYPERLINK("#Statut_biogéographique!A"&amp;_xlfn.XMATCH("P",Statut_biogéographique!A:A,2,1),"P")</f>
        <v>P</v>
      </c>
      <c r="AP16136" s="4" t="s">
        <v>376</v>
      </c>
      <c r="AR16136" s="4" t="s">
        <v>377</v>
      </c>
    </row>
    <row r="16137" spans="1:44" ht="30">
      <c r="A16137" s="4" t="s">
        <v>10753</v>
      </c>
      <c r="B16137" s="4">
        <v>252571</v>
      </c>
      <c r="D16137" s="5">
        <v>252571</v>
      </c>
      <c r="E16137" s="6" t="str">
        <f>HYPERLINK("https://inpn.mnhn.fr/espece/cd_nom/252571","Cryptocephalus pygmaeus vittula Suffrian, 1848")</f>
        <v>Cryptocephalus pygmaeus vittula Suffrian, 1848</v>
      </c>
      <c r="AH16137" s="4" t="str">
        <f>HYPERLINK("#Statut_biogéographique!A"&amp;_xlfn.XMATCH("D",Statut_biogéographique!A:A,2,1),"D")</f>
        <v>D</v>
      </c>
      <c r="AP16137" s="4" t="s">
        <v>376</v>
      </c>
      <c r="AR16137" s="4" t="s">
        <v>377</v>
      </c>
    </row>
    <row r="16138" spans="1:44">
      <c r="A16138" s="4" t="s">
        <v>10753</v>
      </c>
      <c r="B16138" s="4">
        <v>25259</v>
      </c>
      <c r="D16138" s="5" t="s">
        <v>19750</v>
      </c>
      <c r="E16138" s="6" t="str">
        <f>HYPERLINK("https://inpn.mnhn.fr/espece/cd_nom/25259","Clusia flava (Meigen, 1830)")</f>
        <v>Clusia flava (Meigen, 1830)</v>
      </c>
      <c r="AH16138" s="4" t="str">
        <f>HYPERLINK("#Statut_biogéographique!A"&amp;_xlfn.XMATCH("P",Statut_biogéographique!A:A,2,1),"P")</f>
        <v>P</v>
      </c>
      <c r="AP16138" s="4" t="s">
        <v>376</v>
      </c>
      <c r="AR16138" s="4" t="s">
        <v>377</v>
      </c>
    </row>
    <row r="16139" spans="1:44">
      <c r="A16139" s="4" t="s">
        <v>10753</v>
      </c>
      <c r="B16139" s="4">
        <v>252595</v>
      </c>
      <c r="D16139" s="5">
        <v>252595</v>
      </c>
      <c r="E16139" s="6" t="str">
        <f>HYPERLINK("https://inpn.mnhn.fr/espece/cd_nom/252595","Gastrophysa viridula viridula (De Geer, 1775)")</f>
        <v>Gastrophysa viridula viridula (De Geer, 1775)</v>
      </c>
      <c r="F16139" s="5" t="s">
        <v>19751</v>
      </c>
      <c r="AH16139" s="4" t="str">
        <f>HYPERLINK("#Statut_biogéographique!A"&amp;_xlfn.XMATCH("P",Statut_biogéographique!A:A,2,1),"P")</f>
        <v>P</v>
      </c>
      <c r="AP16139" s="4" t="s">
        <v>376</v>
      </c>
      <c r="AR16139" s="4" t="s">
        <v>377</v>
      </c>
    </row>
    <row r="16140" spans="1:44" ht="30">
      <c r="A16140" s="4" t="s">
        <v>10753</v>
      </c>
      <c r="B16140" s="4">
        <v>252626</v>
      </c>
      <c r="D16140" s="5">
        <v>252626</v>
      </c>
      <c r="E16140" s="6" t="str">
        <f>HYPERLINK("https://inpn.mnhn.fr/espece/cd_nom/252626","Chrysolina marginata marginata (Linnaeus, 1758)")</f>
        <v>Chrysolina marginata marginata (Linnaeus, 1758)</v>
      </c>
      <c r="F16140" s="5" t="s">
        <v>19752</v>
      </c>
      <c r="AH16140" s="4" t="str">
        <f>HYPERLINK("#Statut_biogéographique!A"&amp;_xlfn.XMATCH("P",Statut_biogéographique!A:A,2,1),"P")</f>
        <v>P</v>
      </c>
      <c r="AP16140" s="4" t="s">
        <v>376</v>
      </c>
      <c r="AR16140" s="4" t="s">
        <v>377</v>
      </c>
    </row>
    <row r="16141" spans="1:44">
      <c r="A16141" s="4" t="s">
        <v>10753</v>
      </c>
      <c r="B16141" s="4">
        <v>25266</v>
      </c>
      <c r="D16141" s="5" t="s">
        <v>19753</v>
      </c>
      <c r="E16141" s="6" t="str">
        <f>HYPERLINK("https://inpn.mnhn.fr/espece/cd_nom/25266","Clusiodes albimanus (Meigen, 1830)")</f>
        <v>Clusiodes albimanus (Meigen, 1830)</v>
      </c>
      <c r="AH16141" s="4" t="str">
        <f>HYPERLINK("#Statut_biogéographique!A"&amp;_xlfn.XMATCH("P",Statut_biogéographique!A:A,2,1),"P")</f>
        <v>P</v>
      </c>
      <c r="AP16141" s="4" t="s">
        <v>376</v>
      </c>
      <c r="AR16141" s="4" t="s">
        <v>377</v>
      </c>
    </row>
    <row r="16142" spans="1:44">
      <c r="A16142" s="4" t="s">
        <v>10753</v>
      </c>
      <c r="B16142" s="4">
        <v>25269</v>
      </c>
      <c r="D16142" s="5" t="s">
        <v>19754</v>
      </c>
      <c r="E16142" s="6" t="str">
        <f>HYPERLINK("https://inpn.mnhn.fr/espece/cd_nom/25269","Clusiodes gentilis (Collin, 1912)")</f>
        <v>Clusiodes gentilis (Collin, 1912)</v>
      </c>
      <c r="AH16142" s="4" t="str">
        <f>HYPERLINK("#Statut_biogéographique!A"&amp;_xlfn.XMATCH("P",Statut_biogéographique!A:A,2,1),"P")</f>
        <v>P</v>
      </c>
      <c r="AP16142" s="4" t="s">
        <v>376</v>
      </c>
      <c r="AR16142" s="4" t="s">
        <v>377</v>
      </c>
    </row>
    <row r="16143" spans="1:44">
      <c r="A16143" s="4" t="s">
        <v>10753</v>
      </c>
      <c r="B16143" s="4">
        <v>25271</v>
      </c>
      <c r="D16143" s="5" t="s">
        <v>19755</v>
      </c>
      <c r="E16143" s="6" t="str">
        <f>HYPERLINK("https://inpn.mnhn.fr/espece/cd_nom/25271","Clusiodes ruficollis (Meigen, 1830)")</f>
        <v>Clusiodes ruficollis (Meigen, 1830)</v>
      </c>
      <c r="AH16143" s="4" t="str">
        <f>HYPERLINK("#Statut_biogéographique!A"&amp;_xlfn.XMATCH("P",Statut_biogéographique!A:A,2,1),"P")</f>
        <v>P</v>
      </c>
      <c r="AP16143" s="4" t="s">
        <v>376</v>
      </c>
      <c r="AR16143" s="4" t="s">
        <v>377</v>
      </c>
    </row>
    <row r="16144" spans="1:44">
      <c r="A16144" s="4" t="s">
        <v>10753</v>
      </c>
      <c r="B16144" s="4">
        <v>25272</v>
      </c>
      <c r="D16144" s="5" t="s">
        <v>19756</v>
      </c>
      <c r="E16144" s="6" t="str">
        <f>HYPERLINK("https://inpn.mnhn.fr/espece/cd_nom/25272","Clusiodes verticalis (Collin, 1912)")</f>
        <v>Clusiodes verticalis (Collin, 1912)</v>
      </c>
      <c r="AH16144" s="4" t="str">
        <f>HYPERLINK("#Statut_biogéographique!A"&amp;_xlfn.XMATCH("P",Statut_biogéographique!A:A,2,1),"P")</f>
        <v>P</v>
      </c>
      <c r="AP16144" s="4" t="s">
        <v>376</v>
      </c>
      <c r="AR16144" s="4" t="s">
        <v>377</v>
      </c>
    </row>
    <row r="16145" spans="1:44">
      <c r="A16145" s="4" t="s">
        <v>10753</v>
      </c>
      <c r="B16145" s="4">
        <v>252741</v>
      </c>
      <c r="D16145" s="5" t="s">
        <v>19757</v>
      </c>
      <c r="E16145" s="6" t="str">
        <f>HYPERLINK("https://inpn.mnhn.fr/espece/cd_nom/252741","Cassida murraea murraea Linnaeus, 1767")</f>
        <v>Cassida murraea murraea Linnaeus, 1767</v>
      </c>
      <c r="AH16145" s="4" t="str">
        <f>HYPERLINK("#Statut_biogéographique!A"&amp;_xlfn.XMATCH("P",Statut_biogéographique!A:A,2,1),"P")</f>
        <v>P</v>
      </c>
      <c r="AP16145" s="4" t="s">
        <v>376</v>
      </c>
      <c r="AR16145" s="4" t="s">
        <v>377</v>
      </c>
    </row>
    <row r="16146" spans="1:44" ht="75">
      <c r="A16146" s="4" t="s">
        <v>10753</v>
      </c>
      <c r="B16146" s="4">
        <v>252770</v>
      </c>
      <c r="D16146" s="5" t="s">
        <v>19758</v>
      </c>
      <c r="E16146" s="6" t="str">
        <f>HYPERLINK("https://inpn.mnhn.fr/espece/cd_nom/252770","Byrrhus pilula pilula (Linnaeus, 1758)")</f>
        <v>Byrrhus pilula pilula (Linnaeus, 1758)</v>
      </c>
      <c r="F16146" s="5" t="s">
        <v>19759</v>
      </c>
      <c r="AH16146" s="4" t="str">
        <f>HYPERLINK("#Statut_biogéographique!A"&amp;_xlfn.XMATCH("P",Statut_biogéographique!A:A,2,1),"P")</f>
        <v>P</v>
      </c>
      <c r="AP16146" s="4" t="s">
        <v>376</v>
      </c>
      <c r="AR16146" s="4" t="s">
        <v>377</v>
      </c>
    </row>
    <row r="16147" spans="1:44">
      <c r="A16147" s="4" t="s">
        <v>10753</v>
      </c>
      <c r="B16147" s="4">
        <v>252805</v>
      </c>
      <c r="D16147" s="5" t="s">
        <v>19760</v>
      </c>
      <c r="E16147" s="6" t="str">
        <f>HYPERLINK("https://inpn.mnhn.fr/espece/cd_nom/252805","Hylesinus wachtli orni Fuchs, 1906")</f>
        <v>Hylesinus wachtli orni Fuchs, 1906</v>
      </c>
      <c r="AH16147" s="4" t="str">
        <f>HYPERLINK("#Statut_biogéographique!A"&amp;_xlfn.XMATCH("P",Statut_biogéographique!A:A,2,1),"P")</f>
        <v>P</v>
      </c>
      <c r="AP16147" s="4" t="s">
        <v>376</v>
      </c>
      <c r="AR16147" s="4" t="s">
        <v>377</v>
      </c>
    </row>
    <row r="16148" spans="1:44" ht="30">
      <c r="A16148" s="4" t="s">
        <v>10753</v>
      </c>
      <c r="B16148" s="4">
        <v>252895</v>
      </c>
      <c r="D16148" s="5" t="s">
        <v>19761</v>
      </c>
      <c r="E16148" s="6" t="str">
        <f>HYPERLINK("https://inpn.mnhn.fr/espece/cd_nom/252895","Polydrusus aeratus aeratus (Gravenhorst, 1807)")</f>
        <v>Polydrusus aeratus aeratus (Gravenhorst, 1807)</v>
      </c>
      <c r="AH16148" s="4" t="str">
        <f>HYPERLINK("#Statut_biogéographique!A"&amp;_xlfn.XMATCH("P",Statut_biogéographique!A:A,2,1),"P")</f>
        <v>P</v>
      </c>
      <c r="AP16148" s="4" t="s">
        <v>376</v>
      </c>
      <c r="AR16148" s="4" t="s">
        <v>377</v>
      </c>
    </row>
    <row r="16149" spans="1:44" ht="60">
      <c r="A16149" s="4" t="s">
        <v>10753</v>
      </c>
      <c r="B16149" s="4">
        <v>252969</v>
      </c>
      <c r="D16149" s="5" t="s">
        <v>19762</v>
      </c>
      <c r="E16149" s="6" t="str">
        <f>HYPERLINK("https://inpn.mnhn.fr/espece/cd_nom/252969","Quedius mesomelinus mesomelinus (Marsham, 1802)")</f>
        <v>Quedius mesomelinus mesomelinus (Marsham, 1802)</v>
      </c>
      <c r="AH16149" s="4" t="str">
        <f>HYPERLINK("#Statut_biogéographique!A"&amp;_xlfn.XMATCH("P",Statut_biogéographique!A:A,2,1),"P")</f>
        <v>P</v>
      </c>
      <c r="AP16149" s="4" t="s">
        <v>376</v>
      </c>
      <c r="AR16149" s="4" t="s">
        <v>377</v>
      </c>
    </row>
    <row r="16150" spans="1:44">
      <c r="A16150" s="4" t="s">
        <v>10753</v>
      </c>
      <c r="B16150" s="4">
        <v>25297</v>
      </c>
      <c r="D16150" s="5">
        <v>25297</v>
      </c>
      <c r="E16150" s="6" t="str">
        <f>HYPERLINK("https://inpn.mnhn.fr/espece/cd_nom/25297","Geomyza balachowskyi Mesnil, 1934")</f>
        <v>Geomyza balachowskyi Mesnil, 1934</v>
      </c>
      <c r="AH16150" s="4" t="str">
        <f>HYPERLINK("#Statut_biogéographique!A"&amp;_xlfn.XMATCH("P",Statut_biogéographique!A:A,2,1),"P")</f>
        <v>P</v>
      </c>
      <c r="AP16150" s="4" t="s">
        <v>376</v>
      </c>
      <c r="AR16150" s="4" t="s">
        <v>377</v>
      </c>
    </row>
    <row r="16151" spans="1:44">
      <c r="A16151" s="4" t="s">
        <v>10753</v>
      </c>
      <c r="B16151" s="4">
        <v>25299</v>
      </c>
      <c r="D16151" s="5" t="s">
        <v>19763</v>
      </c>
      <c r="E16151" s="6" t="str">
        <f>HYPERLINK("https://inpn.mnhn.fr/espece/cd_nom/25299","Geomyza tripunctata Fallén, 1823")</f>
        <v>Geomyza tripunctata Fallén, 1823</v>
      </c>
      <c r="AH16151" s="4" t="str">
        <f>HYPERLINK("#Statut_biogéographique!A"&amp;_xlfn.XMATCH("P",Statut_biogéographique!A:A,2,1),"P")</f>
        <v>P</v>
      </c>
      <c r="AP16151" s="4" t="s">
        <v>376</v>
      </c>
      <c r="AR16151" s="4" t="s">
        <v>377</v>
      </c>
    </row>
    <row r="16152" spans="1:44">
      <c r="A16152" s="4" t="s">
        <v>10753</v>
      </c>
      <c r="B16152" s="4">
        <v>25304</v>
      </c>
      <c r="D16152" s="5" t="s">
        <v>19764</v>
      </c>
      <c r="E16152" s="6" t="str">
        <f>HYPERLINK("https://inpn.mnhn.fr/espece/cd_nom/25304","Opomyza florum (Fabricius, 1794)")</f>
        <v>Opomyza florum (Fabricius, 1794)</v>
      </c>
      <c r="AH16152" s="4" t="str">
        <f>HYPERLINK("#Statut_biogéographique!A"&amp;_xlfn.XMATCH("P",Statut_biogéographique!A:A,2,1),"P")</f>
        <v>P</v>
      </c>
      <c r="AP16152" s="4" t="s">
        <v>376</v>
      </c>
      <c r="AR16152" s="4" t="s">
        <v>377</v>
      </c>
    </row>
    <row r="16153" spans="1:44">
      <c r="A16153" s="4" t="s">
        <v>10753</v>
      </c>
      <c r="B16153" s="4">
        <v>25305</v>
      </c>
      <c r="D16153" s="5" t="s">
        <v>19765</v>
      </c>
      <c r="E16153" s="6" t="str">
        <f>HYPERLINK("https://inpn.mnhn.fr/espece/cd_nom/25305","Opomyza germinationis (Linnaeus, 1758)")</f>
        <v>Opomyza germinationis (Linnaeus, 1758)</v>
      </c>
      <c r="AH16153" s="4" t="str">
        <f>HYPERLINK("#Statut_biogéographique!A"&amp;_xlfn.XMATCH("P",Statut_biogéographique!A:A,2,1),"P")</f>
        <v>P</v>
      </c>
      <c r="AP16153" s="4" t="s">
        <v>376</v>
      </c>
      <c r="AR16153" s="4" t="s">
        <v>377</v>
      </c>
    </row>
    <row r="16154" spans="1:44">
      <c r="A16154" s="4" t="s">
        <v>10753</v>
      </c>
      <c r="B16154" s="4">
        <v>25306</v>
      </c>
      <c r="D16154" s="5" t="s">
        <v>19766</v>
      </c>
      <c r="E16154" s="6" t="str">
        <f>HYPERLINK("https://inpn.mnhn.fr/espece/cd_nom/25306","Opomyza lineatopunctata von Roser, 1840")</f>
        <v>Opomyza lineatopunctata von Roser, 1840</v>
      </c>
      <c r="AH16154" s="4" t="str">
        <f>HYPERLINK("#Statut_biogéographique!A"&amp;_xlfn.XMATCH("P",Statut_biogéographique!A:A,2,1),"P")</f>
        <v>P</v>
      </c>
      <c r="AP16154" s="4" t="s">
        <v>376</v>
      </c>
      <c r="AR16154" s="4" t="s">
        <v>377</v>
      </c>
    </row>
    <row r="16155" spans="1:44">
      <c r="A16155" s="4" t="s">
        <v>10753</v>
      </c>
      <c r="B16155" s="4">
        <v>253081</v>
      </c>
      <c r="D16155" s="5" t="s">
        <v>19767</v>
      </c>
      <c r="E16155" s="6" t="str">
        <f>HYPERLINK("https://inpn.mnhn.fr/espece/cd_nom/253081","Anthophagus alpestris alpestris Heer, 1839")</f>
        <v>Anthophagus alpestris alpestris Heer, 1839</v>
      </c>
      <c r="AH16155" s="4" t="str">
        <f>HYPERLINK("#Statut_biogéographique!A"&amp;_xlfn.XMATCH("P",Statut_biogéographique!A:A,2,1),"P")</f>
        <v>P</v>
      </c>
      <c r="AP16155" s="4" t="s">
        <v>376</v>
      </c>
      <c r="AR16155" s="4" t="s">
        <v>377</v>
      </c>
    </row>
    <row r="16156" spans="1:44">
      <c r="A16156" s="4" t="s">
        <v>10753</v>
      </c>
      <c r="B16156" s="4">
        <v>253086</v>
      </c>
      <c r="D16156" s="5" t="s">
        <v>19768</v>
      </c>
      <c r="E16156" s="6" t="str">
        <f>HYPERLINK("https://inpn.mnhn.fr/espece/cd_nom/253086","Acidota crenata crenata (Fabricius, 1792)")</f>
        <v>Acidota crenata crenata (Fabricius, 1792)</v>
      </c>
      <c r="AH16156" s="4" t="str">
        <f>HYPERLINK("#Statut_biogéographique!A"&amp;_xlfn.XMATCH("P",Statut_biogéographique!A:A,2,1),"P")</f>
        <v>P</v>
      </c>
      <c r="AP16156" s="4" t="s">
        <v>376</v>
      </c>
      <c r="AR16156" s="4" t="s">
        <v>377</v>
      </c>
    </row>
    <row r="16157" spans="1:44">
      <c r="A16157" s="4" t="s">
        <v>10753</v>
      </c>
      <c r="B16157" s="4">
        <v>25309</v>
      </c>
      <c r="D16157" s="5">
        <v>25309</v>
      </c>
      <c r="E16157" s="6" t="str">
        <f>HYPERLINK("https://inpn.mnhn.fr/espece/cd_nom/25309","Opomyza petrei Mesnil, 1934")</f>
        <v>Opomyza petrei Mesnil, 1934</v>
      </c>
      <c r="AH16157" s="4" t="str">
        <f>HYPERLINK("#Statut_biogéographique!A"&amp;_xlfn.XMATCH("P",Statut_biogéographique!A:A,2,1),"P")</f>
        <v>P</v>
      </c>
      <c r="AP16157" s="4" t="s">
        <v>376</v>
      </c>
      <c r="AR16157" s="4" t="s">
        <v>377</v>
      </c>
    </row>
    <row r="16158" spans="1:44">
      <c r="A16158" s="4" t="s">
        <v>10753</v>
      </c>
      <c r="B16158" s="4">
        <v>253114</v>
      </c>
      <c r="D16158" s="5">
        <v>253114</v>
      </c>
      <c r="E16158" s="6" t="str">
        <f>HYPERLINK("https://inpn.mnhn.fr/espece/cd_nom/253114","Stenus flavipes flavipes Stephens, 1833")</f>
        <v>Stenus flavipes flavipes Stephens, 1833</v>
      </c>
      <c r="AH16158" s="4" t="str">
        <f>HYPERLINK("#Statut_biogéographique!A"&amp;_xlfn.XMATCH("P",Statut_biogéographique!A:A,2,1),"P")</f>
        <v>P</v>
      </c>
      <c r="AP16158" s="4" t="s">
        <v>376</v>
      </c>
      <c r="AR16158" s="4" t="s">
        <v>377</v>
      </c>
    </row>
    <row r="16159" spans="1:44">
      <c r="A16159" s="4" t="s">
        <v>10753</v>
      </c>
      <c r="B16159" s="4">
        <v>25318</v>
      </c>
      <c r="D16159" s="5" t="s">
        <v>19769</v>
      </c>
      <c r="E16159" s="6" t="str">
        <f>HYPERLINK("https://inpn.mnhn.fr/espece/cd_nom/25318","Anthomyza gracilis Fallén, 1823")</f>
        <v>Anthomyza gracilis Fallén, 1823</v>
      </c>
      <c r="AH16159" s="4" t="str">
        <f>HYPERLINK("#Statut_biogéographique!A"&amp;_xlfn.XMATCH("P",Statut_biogéographique!A:A,2,1),"P")</f>
        <v>P</v>
      </c>
      <c r="AP16159" s="4" t="s">
        <v>376</v>
      </c>
      <c r="AR16159" s="4" t="s">
        <v>377</v>
      </c>
    </row>
    <row r="16160" spans="1:44">
      <c r="A16160" s="4" t="s">
        <v>10753</v>
      </c>
      <c r="B16160" s="4">
        <v>253272</v>
      </c>
      <c r="D16160" s="5">
        <v>253272</v>
      </c>
      <c r="E16160" s="6" t="str">
        <f>HYPERLINK("https://inpn.mnhn.fr/espece/cd_nom/253272","Ethmia chrysopyga chrysopyga (Zeller, 1844)")</f>
        <v>Ethmia chrysopyga chrysopyga (Zeller, 1844)</v>
      </c>
      <c r="AH16160" s="4" t="str">
        <f>HYPERLINK("#Statut_biogéographique!A"&amp;_xlfn.XMATCH("P",Statut_biogéographique!A:A,2,1),"P")</f>
        <v>P</v>
      </c>
      <c r="AP16160" s="4" t="s">
        <v>376</v>
      </c>
      <c r="AR16160" s="4" t="s">
        <v>377</v>
      </c>
    </row>
    <row r="16161" spans="1:44">
      <c r="A16161" s="4" t="s">
        <v>10753</v>
      </c>
      <c r="B16161" s="4">
        <v>253327</v>
      </c>
      <c r="D16161" s="5">
        <v>253327</v>
      </c>
      <c r="E16161" s="6" t="str">
        <f>HYPERLINK("https://inpn.mnhn.fr/espece/cd_nom/253327","Poecilocampa populi populi (Linnaeus, 1758)")</f>
        <v>Poecilocampa populi populi (Linnaeus, 1758)</v>
      </c>
      <c r="F16161" s="5" t="s">
        <v>19770</v>
      </c>
      <c r="AH16161" s="4" t="str">
        <f>HYPERLINK("#Statut_biogéographique!A"&amp;_xlfn.XMATCH("P",Statut_biogéographique!A:A,2,1),"P")</f>
        <v>P</v>
      </c>
      <c r="AP16161" s="4" t="s">
        <v>376</v>
      </c>
      <c r="AR16161" s="4" t="s">
        <v>377</v>
      </c>
    </row>
    <row r="16162" spans="1:44" ht="30">
      <c r="A16162" s="4" t="s">
        <v>10753</v>
      </c>
      <c r="B16162" s="4">
        <v>253370</v>
      </c>
      <c r="D16162" s="5" t="s">
        <v>19771</v>
      </c>
      <c r="E16162" s="6" t="str">
        <f>HYPERLINK("https://inpn.mnhn.fr/espece/cd_nom/253370","Xestia ashworthii candelarum (Staudinger, 1871)")</f>
        <v>Xestia ashworthii candelarum (Staudinger, 1871)</v>
      </c>
      <c r="AH16162" s="4" t="str">
        <f>HYPERLINK("#Statut_biogéographique!A"&amp;_xlfn.XMATCH("P",Statut_biogéographique!A:A,2,1),"P")</f>
        <v>P</v>
      </c>
      <c r="AP16162" s="4" t="s">
        <v>376</v>
      </c>
      <c r="AR16162" s="4" t="s">
        <v>377</v>
      </c>
    </row>
    <row r="16163" spans="1:44">
      <c r="A16163" s="4" t="s">
        <v>10753</v>
      </c>
      <c r="B16163" s="4">
        <v>253386</v>
      </c>
      <c r="D16163" s="5">
        <v>253386</v>
      </c>
      <c r="E16163" s="6" t="str">
        <f>HYPERLINK("https://inpn.mnhn.fr/espece/cd_nom/253386","Ochropleura plecta plecta (Linnaeus, 1761)")</f>
        <v>Ochropleura plecta plecta (Linnaeus, 1761)</v>
      </c>
      <c r="AH16163" s="4" t="str">
        <f>HYPERLINK("#Statut_biogéographique!A"&amp;_xlfn.XMATCH("P",Statut_biogéographique!A:A,2,1),"P")</f>
        <v>P</v>
      </c>
      <c r="AP16163" s="4" t="s">
        <v>376</v>
      </c>
      <c r="AR16163" s="4" t="s">
        <v>377</v>
      </c>
    </row>
    <row r="16164" spans="1:44" ht="30">
      <c r="A16164" s="4" t="s">
        <v>10753</v>
      </c>
      <c r="B16164" s="4">
        <v>253421</v>
      </c>
      <c r="D16164" s="5">
        <v>253421</v>
      </c>
      <c r="E16164" s="6" t="str">
        <f>HYPERLINK("https://inpn.mnhn.fr/espece/cd_nom/253421","Lithophane ornitopus ornitopus (Hufnagel, 1766)")</f>
        <v>Lithophane ornitopus ornitopus (Hufnagel, 1766)</v>
      </c>
      <c r="AH16164" s="4" t="str">
        <f>HYPERLINK("#Statut_biogéographique!A"&amp;_xlfn.XMATCH("P",Statut_biogéographique!A:A,2,1),"P")</f>
        <v>P</v>
      </c>
      <c r="AP16164" s="4" t="s">
        <v>376</v>
      </c>
      <c r="AR16164" s="4" t="s">
        <v>377</v>
      </c>
    </row>
    <row r="16165" spans="1:44">
      <c r="A16165" s="4" t="s">
        <v>10753</v>
      </c>
      <c r="B16165" s="4">
        <v>253440</v>
      </c>
      <c r="D16165" s="5">
        <v>253440</v>
      </c>
      <c r="E16165" s="6" t="str">
        <f>HYPERLINK("https://inpn.mnhn.fr/espece/cd_nom/253440","Amphipyra berbera svenssoni Fletcher, 1968")</f>
        <v>Amphipyra berbera svenssoni Fletcher, 1968</v>
      </c>
      <c r="AH16165" s="4" t="str">
        <f>HYPERLINK("#Statut_biogéographique!A"&amp;_xlfn.XMATCH("P",Statut_biogéographique!A:A,2,1),"P")</f>
        <v>P</v>
      </c>
      <c r="AP16165" s="4" t="s">
        <v>376</v>
      </c>
      <c r="AR16165" s="4" t="s">
        <v>377</v>
      </c>
    </row>
    <row r="16166" spans="1:44">
      <c r="A16166" s="4" t="s">
        <v>10753</v>
      </c>
      <c r="B16166" s="4">
        <v>25346</v>
      </c>
      <c r="D16166" s="5" t="s">
        <v>19772</v>
      </c>
      <c r="E16166" s="6" t="str">
        <f>HYPERLINK("https://inpn.mnhn.fr/espece/cd_nom/25346","Amauromyza flavifrons (Meigen, 1830)")</f>
        <v>Amauromyza flavifrons (Meigen, 1830)</v>
      </c>
      <c r="AH16166" s="4" t="str">
        <f>HYPERLINK("#Statut_biogéographique!A"&amp;_xlfn.XMATCH("P",Statut_biogéographique!A:A,2,1),"P")</f>
        <v>P</v>
      </c>
      <c r="AP16166" s="4" t="s">
        <v>376</v>
      </c>
      <c r="AR16166" s="4" t="s">
        <v>377</v>
      </c>
    </row>
    <row r="16167" spans="1:44">
      <c r="A16167" s="4" t="s">
        <v>10753</v>
      </c>
      <c r="B16167" s="4">
        <v>253466</v>
      </c>
      <c r="D16167" s="5" t="s">
        <v>19773</v>
      </c>
      <c r="E16167" s="6" t="str">
        <f>HYPERLINK("https://inpn.mnhn.fr/espece/cd_nom/253466","Dasytes aeratus Stephens, 1830")</f>
        <v>Dasytes aeratus Stephens, 1830</v>
      </c>
      <c r="AH16167" s="4" t="str">
        <f>HYPERLINK("#Statut_biogéographique!A"&amp;_xlfn.XMATCH("P",Statut_biogéographique!A:A,2,1),"P")</f>
        <v>P</v>
      </c>
      <c r="AP16167" s="4" t="s">
        <v>376</v>
      </c>
      <c r="AR16167" s="4" t="s">
        <v>377</v>
      </c>
    </row>
    <row r="16168" spans="1:44">
      <c r="A16168" s="4" t="s">
        <v>10753</v>
      </c>
      <c r="B16168" s="4">
        <v>253469</v>
      </c>
      <c r="D16168" s="5" t="s">
        <v>19774</v>
      </c>
      <c r="E16168" s="6" t="str">
        <f>HYPERLINK("https://inpn.mnhn.fr/espece/cd_nom/253469","Phloeophagus turbatus (Schönherr, 1845)")</f>
        <v>Phloeophagus turbatus (Schönherr, 1845)</v>
      </c>
      <c r="AH16168" s="4" t="str">
        <f>HYPERLINK("#Statut_biogéographique!A"&amp;_xlfn.XMATCH("A",Statut_biogéographique!A:A,2,1),"A")</f>
        <v>A</v>
      </c>
      <c r="AP16168" s="4" t="s">
        <v>376</v>
      </c>
      <c r="AR16168" s="4" t="s">
        <v>377</v>
      </c>
    </row>
    <row r="16169" spans="1:44">
      <c r="A16169" s="4" t="s">
        <v>10753</v>
      </c>
      <c r="B16169" s="4">
        <v>25347</v>
      </c>
      <c r="D16169" s="5" t="s">
        <v>19775</v>
      </c>
      <c r="E16169" s="6" t="str">
        <f>HYPERLINK("https://inpn.mnhn.fr/espece/cd_nom/25347","Amauromyza labiatarum (Hendel, 1920)")</f>
        <v>Amauromyza labiatarum (Hendel, 1920)</v>
      </c>
      <c r="AH16169" s="4" t="str">
        <f>HYPERLINK("#Statut_biogéographique!A"&amp;_xlfn.XMATCH("P",Statut_biogéographique!A:A,2,1),"P")</f>
        <v>P</v>
      </c>
      <c r="AP16169" s="4" t="s">
        <v>376</v>
      </c>
      <c r="AR16169" s="4" t="s">
        <v>377</v>
      </c>
    </row>
    <row r="16170" spans="1:44">
      <c r="A16170" s="4" t="s">
        <v>10753</v>
      </c>
      <c r="B16170" s="4">
        <v>25348</v>
      </c>
      <c r="D16170" s="5" t="s">
        <v>19776</v>
      </c>
      <c r="E16170" s="6" t="str">
        <f>HYPERLINK("https://inpn.mnhn.fr/espece/cd_nom/25348","Amauromyza lamii (Kaltenbach, 1858)")</f>
        <v>Amauromyza lamii (Kaltenbach, 1858)</v>
      </c>
      <c r="AH16170" s="4" t="str">
        <f>HYPERLINK("#Statut_biogéographique!A"&amp;_xlfn.XMATCH("P",Statut_biogéographique!A:A,2,1),"P")</f>
        <v>P</v>
      </c>
      <c r="AP16170" s="4" t="s">
        <v>376</v>
      </c>
      <c r="AR16170" s="4" t="s">
        <v>377</v>
      </c>
    </row>
    <row r="16171" spans="1:44">
      <c r="A16171" s="4" t="s">
        <v>10753</v>
      </c>
      <c r="B16171" s="4">
        <v>25349</v>
      </c>
      <c r="D16171" s="5" t="s">
        <v>19777</v>
      </c>
      <c r="E16171" s="6" t="str">
        <f>HYPERLINK("https://inpn.mnhn.fr/espece/cd_nom/25349","Amauromyza verbasci (Bouché, 1847)")</f>
        <v>Amauromyza verbasci (Bouché, 1847)</v>
      </c>
      <c r="AH16171" s="4" t="str">
        <f>HYPERLINK("#Statut_biogéographique!A"&amp;_xlfn.XMATCH("P",Statut_biogéographique!A:A,2,1),"P")</f>
        <v>P</v>
      </c>
      <c r="AP16171" s="4" t="s">
        <v>376</v>
      </c>
      <c r="AR16171" s="4" t="s">
        <v>377</v>
      </c>
    </row>
    <row r="16172" spans="1:44">
      <c r="A16172" s="4" t="s">
        <v>10753</v>
      </c>
      <c r="B16172" s="4">
        <v>25370</v>
      </c>
      <c r="D16172" s="5" t="s">
        <v>19778</v>
      </c>
      <c r="E16172" s="6" t="str">
        <f>HYPERLINK("https://inpn.mnhn.fr/espece/cd_nom/25370","Ophiomyia maura (Meigen, 1838)")</f>
        <v>Ophiomyia maura (Meigen, 1838)</v>
      </c>
      <c r="AH16172" s="4" t="str">
        <f>HYPERLINK("#Statut_biogéographique!A"&amp;_xlfn.XMATCH("P",Statut_biogéographique!A:A,2,1),"P")</f>
        <v>P</v>
      </c>
      <c r="AP16172" s="4" t="s">
        <v>376</v>
      </c>
      <c r="AR16172" s="4" t="s">
        <v>377</v>
      </c>
    </row>
    <row r="16173" spans="1:44">
      <c r="A16173" s="4" t="s">
        <v>10753</v>
      </c>
      <c r="B16173" s="4">
        <v>25381</v>
      </c>
      <c r="D16173" s="5">
        <v>25381</v>
      </c>
      <c r="E16173" s="6" t="str">
        <f>HYPERLINK("https://inpn.mnhn.fr/espece/cd_nom/25381","Agromyza alnibetulae Hendel, 1931")</f>
        <v>Agromyza alnibetulae Hendel, 1931</v>
      </c>
      <c r="AH16173" s="4" t="str">
        <f>HYPERLINK("#Statut_biogéographique!A"&amp;_xlfn.XMATCH("P",Statut_biogéographique!A:A,2,1),"P")</f>
        <v>P</v>
      </c>
      <c r="AP16173" s="4" t="s">
        <v>376</v>
      </c>
      <c r="AR16173" s="4" t="s">
        <v>377</v>
      </c>
    </row>
    <row r="16174" spans="1:44">
      <c r="A16174" s="4" t="s">
        <v>10753</v>
      </c>
      <c r="B16174" s="4">
        <v>25382</v>
      </c>
      <c r="D16174" s="5">
        <v>25382</v>
      </c>
      <c r="E16174" s="6" t="str">
        <f>HYPERLINK("https://inpn.mnhn.fr/espece/cd_nom/25382","Agromyza flaviceps Fallén, 1823")</f>
        <v>Agromyza flaviceps Fallén, 1823</v>
      </c>
      <c r="AH16174" s="4" t="str">
        <f>HYPERLINK("#Statut_biogéographique!A"&amp;_xlfn.XMATCH("P",Statut_biogéographique!A:A,2,1),"P")</f>
        <v>P</v>
      </c>
      <c r="AP16174" s="4" t="s">
        <v>376</v>
      </c>
      <c r="AR16174" s="4" t="s">
        <v>377</v>
      </c>
    </row>
    <row r="16175" spans="1:44">
      <c r="A16175" s="4" t="s">
        <v>10753</v>
      </c>
      <c r="B16175" s="4">
        <v>25401</v>
      </c>
      <c r="D16175" s="5" t="s">
        <v>19779</v>
      </c>
      <c r="E16175" s="6" t="str">
        <f>HYPERLINK("https://inpn.mnhn.fr/espece/cd_nom/25401","Agromyza sulfuriceps Strobl, 1898")</f>
        <v>Agromyza sulfuriceps Strobl, 1898</v>
      </c>
      <c r="AH16175" s="4" t="str">
        <f>HYPERLINK("#Statut_biogéographique!A"&amp;_xlfn.XMATCH("P",Statut_biogéographique!A:A,2,1),"P")</f>
        <v>P</v>
      </c>
      <c r="AP16175" s="4" t="s">
        <v>376</v>
      </c>
      <c r="AR16175" s="4" t="s">
        <v>377</v>
      </c>
    </row>
    <row r="16176" spans="1:44">
      <c r="A16176" s="4" t="s">
        <v>10753</v>
      </c>
      <c r="B16176" s="4">
        <v>25408</v>
      </c>
      <c r="D16176" s="5" t="s">
        <v>19780</v>
      </c>
      <c r="E16176" s="6" t="str">
        <f>HYPERLINK("https://inpn.mnhn.fr/espece/cd_nom/25408","Phytoliriomyza melampyga (Loew, 1869)")</f>
        <v>Phytoliriomyza melampyga (Loew, 1869)</v>
      </c>
      <c r="AH16176" s="4" t="str">
        <f>HYPERLINK("#Statut_biogéographique!A"&amp;_xlfn.XMATCH("P",Statut_biogéographique!A:A,2,1),"P")</f>
        <v>P</v>
      </c>
      <c r="AP16176" s="4" t="s">
        <v>376</v>
      </c>
      <c r="AR16176" s="4" t="s">
        <v>377</v>
      </c>
    </row>
    <row r="16177" spans="1:44">
      <c r="A16177" s="4" t="s">
        <v>10753</v>
      </c>
      <c r="B16177" s="4">
        <v>25426</v>
      </c>
      <c r="D16177" s="5" t="s">
        <v>19781</v>
      </c>
      <c r="E16177" s="6" t="str">
        <f>HYPERLINK("https://inpn.mnhn.fr/espece/cd_nom/25426","Liriomyza amoena (Meigen, 1830)")</f>
        <v>Liriomyza amoena (Meigen, 1830)</v>
      </c>
      <c r="AH16177" s="4" t="str">
        <f>HYPERLINK("#Statut_biogéographique!A"&amp;_xlfn.XMATCH("P",Statut_biogéographique!A:A,2,1),"P")</f>
        <v>P</v>
      </c>
      <c r="AP16177" s="4" t="s">
        <v>376</v>
      </c>
      <c r="AR16177" s="4" t="s">
        <v>377</v>
      </c>
    </row>
    <row r="16178" spans="1:44">
      <c r="A16178" s="4" t="s">
        <v>10753</v>
      </c>
      <c r="B16178" s="4">
        <v>25427</v>
      </c>
      <c r="D16178" s="5" t="s">
        <v>19782</v>
      </c>
      <c r="E16178" s="6" t="str">
        <f>HYPERLINK("https://inpn.mnhn.fr/espece/cd_nom/25427","Liriomyza artemisicola de Meijere, 1924")</f>
        <v>Liriomyza artemisicola de Meijere, 1924</v>
      </c>
      <c r="AH16178" s="4" t="str">
        <f>HYPERLINK("#Statut_biogéographique!A"&amp;_xlfn.XMATCH("P",Statut_biogéographique!A:A,2,1),"P")</f>
        <v>P</v>
      </c>
      <c r="AP16178" s="4" t="s">
        <v>376</v>
      </c>
      <c r="AR16178" s="4" t="s">
        <v>377</v>
      </c>
    </row>
    <row r="16179" spans="1:44" ht="30">
      <c r="A16179" s="4" t="s">
        <v>10753</v>
      </c>
      <c r="B16179" s="4">
        <v>25429</v>
      </c>
      <c r="D16179" s="5" t="s">
        <v>19783</v>
      </c>
      <c r="E16179" s="6" t="str">
        <f>HYPERLINK("https://inpn.mnhn.fr/espece/cd_nom/25429","Liriomyza bryoniae (Kaltenbach, 1858)")</f>
        <v>Liriomyza bryoniae (Kaltenbach, 1858)</v>
      </c>
      <c r="AH16179" s="4" t="str">
        <f>HYPERLINK("#Statut_biogéographique!A"&amp;_xlfn.XMATCH("P",Statut_biogéographique!A:A,2,1),"P")</f>
        <v>P</v>
      </c>
      <c r="AP16179" s="4" t="s">
        <v>376</v>
      </c>
      <c r="AR16179" s="4" t="s">
        <v>377</v>
      </c>
    </row>
    <row r="16180" spans="1:44" ht="30">
      <c r="A16180" s="4" t="s">
        <v>10753</v>
      </c>
      <c r="B16180" s="4">
        <v>25433</v>
      </c>
      <c r="D16180" s="5" t="s">
        <v>19784</v>
      </c>
      <c r="E16180" s="6" t="str">
        <f>HYPERLINK("https://inpn.mnhn.fr/espece/cd_nom/25433","Liriomyza congesta (Becker, 1903)")</f>
        <v>Liriomyza congesta (Becker, 1903)</v>
      </c>
      <c r="AH16180" s="4" t="str">
        <f>HYPERLINK("#Statut_biogéographique!A"&amp;_xlfn.XMATCH("P",Statut_biogéographique!A:A,2,1),"P")</f>
        <v>P</v>
      </c>
      <c r="AP16180" s="4" t="s">
        <v>376</v>
      </c>
      <c r="AR16180" s="4" t="s">
        <v>377</v>
      </c>
    </row>
    <row r="16181" spans="1:44">
      <c r="A16181" s="4" t="s">
        <v>10753</v>
      </c>
      <c r="B16181" s="4">
        <v>25440</v>
      </c>
      <c r="D16181" s="5">
        <v>25440</v>
      </c>
      <c r="E16181" s="6" t="str">
        <f>HYPERLINK("https://inpn.mnhn.fr/espece/cd_nom/25440","Liriomyza demeijerei Hering, 1930")</f>
        <v>Liriomyza demeijerei Hering, 1930</v>
      </c>
      <c r="AH16181" s="4" t="str">
        <f>HYPERLINK("#Statut_biogéographique!A"&amp;_xlfn.XMATCH("P",Statut_biogéographique!A:A,2,1),"P")</f>
        <v>P</v>
      </c>
      <c r="AP16181" s="4" t="s">
        <v>376</v>
      </c>
      <c r="AR16181" s="4" t="s">
        <v>377</v>
      </c>
    </row>
    <row r="16182" spans="1:44">
      <c r="A16182" s="4" t="s">
        <v>10753</v>
      </c>
      <c r="B16182" s="4">
        <v>25442</v>
      </c>
      <c r="D16182" s="5" t="s">
        <v>19785</v>
      </c>
      <c r="E16182" s="6" t="str">
        <f>HYPERLINK("https://inpn.mnhn.fr/espece/cd_nom/25442","Liriomyza eupatorii (Kaltenbach, 1873)")</f>
        <v>Liriomyza eupatorii (Kaltenbach, 1873)</v>
      </c>
      <c r="AH16182" s="4" t="str">
        <f>HYPERLINK("#Statut_biogéographique!A"&amp;_xlfn.XMATCH("P",Statut_biogéographique!A:A,2,1),"P")</f>
        <v>P</v>
      </c>
      <c r="AP16182" s="4" t="s">
        <v>376</v>
      </c>
      <c r="AR16182" s="4" t="s">
        <v>377</v>
      </c>
    </row>
    <row r="16183" spans="1:44" ht="30">
      <c r="A16183" s="4" t="s">
        <v>10753</v>
      </c>
      <c r="B16183" s="4">
        <v>25444</v>
      </c>
      <c r="D16183" s="5" t="s">
        <v>19786</v>
      </c>
      <c r="E16183" s="6" t="str">
        <f>HYPERLINK("https://inpn.mnhn.fr/espece/cd_nom/25444","Liriomyza flaveola (Fallén, 1823)")</f>
        <v>Liriomyza flaveola (Fallén, 1823)</v>
      </c>
      <c r="AH16183" s="4" t="str">
        <f>HYPERLINK("#Statut_biogéographique!A"&amp;_xlfn.XMATCH("P",Statut_biogéographique!A:A,2,1),"P")</f>
        <v>P</v>
      </c>
      <c r="AP16183" s="4" t="s">
        <v>376</v>
      </c>
      <c r="AR16183" s="4" t="s">
        <v>377</v>
      </c>
    </row>
    <row r="16184" spans="1:44">
      <c r="A16184" s="4" t="s">
        <v>10753</v>
      </c>
      <c r="B16184" s="4">
        <v>254488</v>
      </c>
      <c r="D16184" s="5" t="s">
        <v>19787</v>
      </c>
      <c r="E16184" s="6" t="str">
        <f>HYPERLINK("https://inpn.mnhn.fr/espece/cd_nom/254488","Hypogastrura sahlbergi (Reuter, 1895)")</f>
        <v>Hypogastrura sahlbergi (Reuter, 1895)</v>
      </c>
      <c r="AH16184" s="4" t="str">
        <f>HYPERLINK("#Statut_biogéographique!A"&amp;_xlfn.XMATCH("P",Statut_biogéographique!A:A,2,1),"P")</f>
        <v>P</v>
      </c>
      <c r="AP16184" s="4" t="s">
        <v>376</v>
      </c>
      <c r="AR16184" s="4" t="s">
        <v>377</v>
      </c>
    </row>
    <row r="16185" spans="1:44">
      <c r="A16185" s="4" t="s">
        <v>10753</v>
      </c>
      <c r="B16185" s="4">
        <v>25450</v>
      </c>
      <c r="D16185" s="5" t="s">
        <v>19788</v>
      </c>
      <c r="E16185" s="6" t="str">
        <f>HYPERLINK("https://inpn.mnhn.fr/espece/cd_nom/25450","Liriomyza pascuum (Meigen, 1838)")</f>
        <v>Liriomyza pascuum (Meigen, 1838)</v>
      </c>
      <c r="AH16185" s="4" t="str">
        <f>HYPERLINK("#Statut_biogéographique!A"&amp;_xlfn.XMATCH("P",Statut_biogéographique!A:A,2,1),"P")</f>
        <v>P</v>
      </c>
      <c r="AP16185" s="4" t="s">
        <v>376</v>
      </c>
      <c r="AR16185" s="4" t="s">
        <v>377</v>
      </c>
    </row>
    <row r="16186" spans="1:44">
      <c r="A16186" s="4" t="s">
        <v>10753</v>
      </c>
      <c r="B16186" s="4">
        <v>25452</v>
      </c>
      <c r="D16186" s="5" t="s">
        <v>19789</v>
      </c>
      <c r="E16186" s="6" t="str">
        <f>HYPERLINK("https://inpn.mnhn.fr/espece/cd_nom/25452","Liriomyza pusilla (Meigen, 1830)")</f>
        <v>Liriomyza pusilla (Meigen, 1830)</v>
      </c>
      <c r="AH16186" s="4" t="str">
        <f>HYPERLINK("#Statut_biogéographique!A"&amp;_xlfn.XMATCH("P",Statut_biogéographique!A:A,2,1),"P")</f>
        <v>P</v>
      </c>
      <c r="AP16186" s="4" t="s">
        <v>376</v>
      </c>
      <c r="AR16186" s="4" t="s">
        <v>377</v>
      </c>
    </row>
    <row r="16187" spans="1:44">
      <c r="A16187" s="4" t="s">
        <v>10753</v>
      </c>
      <c r="B16187" s="4">
        <v>25454</v>
      </c>
      <c r="D16187" s="5">
        <v>25454</v>
      </c>
      <c r="E16187" s="6" t="str">
        <f>HYPERLINK("https://inpn.mnhn.fr/espece/cd_nom/25454","Liriomyza sonchi Hendel, 1931")</f>
        <v>Liriomyza sonchi Hendel, 1931</v>
      </c>
      <c r="AH16187" s="4" t="str">
        <f>HYPERLINK("#Statut_biogéographique!A"&amp;_xlfn.XMATCH("P",Statut_biogéographique!A:A,2,1),"P")</f>
        <v>P</v>
      </c>
      <c r="AP16187" s="4" t="s">
        <v>376</v>
      </c>
      <c r="AR16187" s="4" t="s">
        <v>377</v>
      </c>
    </row>
    <row r="16188" spans="1:44">
      <c r="A16188" s="4" t="s">
        <v>10753</v>
      </c>
      <c r="B16188" s="4">
        <v>25456</v>
      </c>
      <c r="D16188" s="5" t="s">
        <v>19790</v>
      </c>
      <c r="E16188" s="6" t="str">
        <f>HYPERLINK("https://inpn.mnhn.fr/espece/cd_nom/25456","Liriomyza strigata (Meigen, 1830)")</f>
        <v>Liriomyza strigata (Meigen, 1830)</v>
      </c>
      <c r="AH16188" s="4" t="str">
        <f>HYPERLINK("#Statut_biogéographique!A"&amp;_xlfn.XMATCH("P",Statut_biogéographique!A:A,2,1),"P")</f>
        <v>P</v>
      </c>
      <c r="AP16188" s="4" t="s">
        <v>376</v>
      </c>
      <c r="AR16188" s="4" t="s">
        <v>377</v>
      </c>
    </row>
    <row r="16189" spans="1:44">
      <c r="A16189" s="4" t="s">
        <v>10753</v>
      </c>
      <c r="B16189" s="4">
        <v>25458</v>
      </c>
      <c r="D16189" s="5" t="s">
        <v>19791</v>
      </c>
      <c r="E16189" s="6" t="str">
        <f>HYPERLINK("https://inpn.mnhn.fr/espece/cd_nom/25458","Liriomyza taraxaci Hering, 1927")</f>
        <v>Liriomyza taraxaci Hering, 1927</v>
      </c>
      <c r="AH16189" s="4" t="str">
        <f>HYPERLINK("#Statut_biogéographique!A"&amp;_xlfn.XMATCH("P",Statut_biogéographique!A:A,2,1),"P")</f>
        <v>P</v>
      </c>
      <c r="AP16189" s="4" t="s">
        <v>376</v>
      </c>
      <c r="AR16189" s="4" t="s">
        <v>377</v>
      </c>
    </row>
    <row r="16190" spans="1:44" ht="45">
      <c r="A16190" s="4" t="s">
        <v>10753</v>
      </c>
      <c r="B16190" s="4">
        <v>25474</v>
      </c>
      <c r="D16190" s="5" t="s">
        <v>19792</v>
      </c>
      <c r="E16190" s="6" t="str">
        <f>HYPERLINK("https://inpn.mnhn.fr/espece/cd_nom/25474","Cerodontha denticornis (Panzer, 1806)")</f>
        <v>Cerodontha denticornis (Panzer, 1806)</v>
      </c>
      <c r="AH16190" s="4" t="str">
        <f>HYPERLINK("#Statut_biogéographique!A"&amp;_xlfn.XMATCH("P",Statut_biogéographique!A:A,2,1),"P")</f>
        <v>P</v>
      </c>
      <c r="AP16190" s="4" t="s">
        <v>376</v>
      </c>
      <c r="AR16190" s="4" t="s">
        <v>377</v>
      </c>
    </row>
    <row r="16191" spans="1:44" ht="30">
      <c r="A16191" s="4" t="s">
        <v>10753</v>
      </c>
      <c r="B16191" s="4">
        <v>25488</v>
      </c>
      <c r="D16191" s="5" t="s">
        <v>19793</v>
      </c>
      <c r="E16191" s="6" t="str">
        <f>HYPERLINK("https://inpn.mnhn.fr/espece/cd_nom/25488","Cerodontha iraeos (Robineau-Desvoidy, 1851)")</f>
        <v>Cerodontha iraeos (Robineau-Desvoidy, 1851)</v>
      </c>
      <c r="AH16191" s="4" t="str">
        <f>HYPERLINK("#Statut_biogéographique!A"&amp;_xlfn.XMATCH("P",Statut_biogéographique!A:A,2,1),"P")</f>
        <v>P</v>
      </c>
      <c r="AP16191" s="4" t="s">
        <v>376</v>
      </c>
      <c r="AR16191" s="4" t="s">
        <v>377</v>
      </c>
    </row>
    <row r="16192" spans="1:44">
      <c r="A16192" s="4" t="s">
        <v>10753</v>
      </c>
      <c r="B16192" s="4">
        <v>25495</v>
      </c>
      <c r="D16192" s="5" t="s">
        <v>19794</v>
      </c>
      <c r="E16192" s="6" t="str">
        <f>HYPERLINK("https://inpn.mnhn.fr/espece/cd_nom/25495","Calycomyza artemisiae (Kaltenbach, 1856)")</f>
        <v>Calycomyza artemisiae (Kaltenbach, 1856)</v>
      </c>
      <c r="AH16192" s="4" t="str">
        <f>HYPERLINK("#Statut_biogéographique!A"&amp;_xlfn.XMATCH("P",Statut_biogéographique!A:A,2,1),"P")</f>
        <v>P</v>
      </c>
      <c r="AP16192" s="4" t="s">
        <v>376</v>
      </c>
      <c r="AR16192" s="4" t="s">
        <v>377</v>
      </c>
    </row>
    <row r="16193" spans="1:44">
      <c r="A16193" s="4" t="s">
        <v>10753</v>
      </c>
      <c r="B16193" s="4">
        <v>25498</v>
      </c>
      <c r="D16193" s="5" t="s">
        <v>19795</v>
      </c>
      <c r="E16193" s="6" t="str">
        <f>HYPERLINK("https://inpn.mnhn.fr/espece/cd_nom/25498","Calycomyza humeralis (von Roser, 1840)")</f>
        <v>Calycomyza humeralis (von Roser, 1840)</v>
      </c>
      <c r="AH16193" s="4" t="str">
        <f>HYPERLINK("#Statut_biogéographique!A"&amp;_xlfn.XMATCH("P",Statut_biogéographique!A:A,2,1),"P")</f>
        <v>P</v>
      </c>
      <c r="AP16193" s="4" t="s">
        <v>376</v>
      </c>
      <c r="AR16193" s="4" t="s">
        <v>377</v>
      </c>
    </row>
    <row r="16194" spans="1:44">
      <c r="A16194" s="4" t="s">
        <v>10753</v>
      </c>
      <c r="B16194" s="4">
        <v>255085</v>
      </c>
      <c r="D16194" s="5" t="s">
        <v>19796</v>
      </c>
      <c r="E16194" s="6" t="str">
        <f>HYPERLINK("https://inpn.mnhn.fr/espece/cd_nom/255085","Kalaphorura burmeisteri (Lubbock, 1873)")</f>
        <v>Kalaphorura burmeisteri (Lubbock, 1873)</v>
      </c>
      <c r="AH16194" s="4" t="str">
        <f>HYPERLINK("#Statut_biogéographique!A"&amp;_xlfn.XMATCH("P",Statut_biogéographique!A:A,2,1),"P")</f>
        <v>P</v>
      </c>
      <c r="AP16194" s="4" t="s">
        <v>376</v>
      </c>
      <c r="AR16194" s="4" t="s">
        <v>377</v>
      </c>
    </row>
    <row r="16195" spans="1:44">
      <c r="A16195" s="4" t="s">
        <v>10753</v>
      </c>
      <c r="B16195" s="4">
        <v>255221</v>
      </c>
      <c r="D16195" s="5" t="s">
        <v>19797</v>
      </c>
      <c r="E16195" s="6" t="str">
        <f>HYPERLINK("https://inpn.mnhn.fr/espece/cd_nom/255221","Folsomides parvulus Stach, 1922")</f>
        <v>Folsomides parvulus Stach, 1922</v>
      </c>
      <c r="AH16195" s="4" t="str">
        <f>HYPERLINK("#Statut_biogéographique!A"&amp;_xlfn.XMATCH("P",Statut_biogéographique!A:A,2,1),"P")</f>
        <v>P</v>
      </c>
      <c r="AP16195" s="4" t="s">
        <v>376</v>
      </c>
      <c r="AR16195" s="4" t="s">
        <v>377</v>
      </c>
    </row>
    <row r="16196" spans="1:44" ht="30">
      <c r="A16196" s="4" t="s">
        <v>10753</v>
      </c>
      <c r="B16196" s="4">
        <v>255265</v>
      </c>
      <c r="D16196" s="5">
        <v>255265</v>
      </c>
      <c r="E16196" s="6" t="str">
        <f>HYPERLINK("https://inpn.mnhn.fr/espece/cd_nom/255265","Isotomurus pseudopalustris Carapelli, Frati, Fanciulli &amp; Dallai, 2001")</f>
        <v>Isotomurus pseudopalustris Carapelli, Frati, Fanciulli &amp; Dallai, 2001</v>
      </c>
      <c r="AH16196" s="4" t="str">
        <f>HYPERLINK("#Statut_biogéographique!A"&amp;_xlfn.XMATCH("D",Statut_biogéographique!A:A,2,1),"D")</f>
        <v>D</v>
      </c>
      <c r="AP16196" s="4" t="s">
        <v>376</v>
      </c>
      <c r="AR16196" s="4" t="s">
        <v>377</v>
      </c>
    </row>
    <row r="16197" spans="1:44" ht="30">
      <c r="A16197" s="4" t="s">
        <v>10753</v>
      </c>
      <c r="B16197" s="4">
        <v>255301</v>
      </c>
      <c r="D16197" s="5">
        <v>255301</v>
      </c>
      <c r="E16197" s="6" t="str">
        <f>HYPERLINK("https://inpn.mnhn.fr/espece/cd_nom/255301","Pseudanurophorus binoculatus Kseneman, 1934")</f>
        <v>Pseudanurophorus binoculatus Kseneman, 1934</v>
      </c>
      <c r="AH16197" s="4" t="str">
        <f>HYPERLINK("#Statut_biogéographique!A"&amp;_xlfn.XMATCH("P",Statut_biogéographique!A:A,2,1),"P")</f>
        <v>P</v>
      </c>
      <c r="AP16197" s="4" t="s">
        <v>376</v>
      </c>
      <c r="AR16197" s="4" t="s">
        <v>377</v>
      </c>
    </row>
    <row r="16198" spans="1:44">
      <c r="A16198" s="4" t="s">
        <v>10753</v>
      </c>
      <c r="B16198" s="4">
        <v>25535</v>
      </c>
      <c r="D16198" s="5" t="s">
        <v>19798</v>
      </c>
      <c r="E16198" s="6" t="str">
        <f>HYPERLINK("https://inpn.mnhn.fr/espece/cd_nom/25535","Phytomyza agromyzina Meigen, 1830")</f>
        <v>Phytomyza agromyzina Meigen, 1830</v>
      </c>
      <c r="AH16198" s="4" t="str">
        <f>HYPERLINK("#Statut_biogéographique!A"&amp;_xlfn.XMATCH("P",Statut_biogéographique!A:A,2,1),"P")</f>
        <v>P</v>
      </c>
      <c r="AP16198" s="4" t="s">
        <v>376</v>
      </c>
      <c r="AR16198" s="4" t="s">
        <v>377</v>
      </c>
    </row>
    <row r="16199" spans="1:44">
      <c r="A16199" s="4" t="s">
        <v>10753</v>
      </c>
      <c r="B16199" s="4">
        <v>25541</v>
      </c>
      <c r="D16199" s="5">
        <v>25541</v>
      </c>
      <c r="E16199" s="6" t="str">
        <f>HYPERLINK("https://inpn.mnhn.fr/espece/cd_nom/25541","Phytomyza angelicastri Hering, 1932")</f>
        <v>Phytomyza angelicastri Hering, 1932</v>
      </c>
      <c r="AH16199" s="4" t="str">
        <f>HYPERLINK("#Statut_biogéographique!A"&amp;_xlfn.XMATCH("P",Statut_biogéographique!A:A,2,1),"P")</f>
        <v>P</v>
      </c>
      <c r="AP16199" s="4" t="s">
        <v>376</v>
      </c>
      <c r="AR16199" s="4" t="s">
        <v>377</v>
      </c>
    </row>
    <row r="16200" spans="1:44">
      <c r="A16200" s="4" t="s">
        <v>10753</v>
      </c>
      <c r="B16200" s="4">
        <v>25542</v>
      </c>
      <c r="D16200" s="5">
        <v>25542</v>
      </c>
      <c r="E16200" s="6" t="str">
        <f>HYPERLINK("https://inpn.mnhn.fr/espece/cd_nom/25542","Phytomyza aquilegiae Hardy, 1849")</f>
        <v>Phytomyza aquilegiae Hardy, 1849</v>
      </c>
      <c r="AH16200" s="4" t="str">
        <f>HYPERLINK("#Statut_biogéographique!A"&amp;_xlfn.XMATCH("P",Statut_biogéographique!A:A,2,1),"P")</f>
        <v>P</v>
      </c>
      <c r="AP16200" s="4" t="s">
        <v>376</v>
      </c>
      <c r="AR16200" s="4" t="s">
        <v>377</v>
      </c>
    </row>
    <row r="16201" spans="1:44" ht="30">
      <c r="A16201" s="4" t="s">
        <v>10753</v>
      </c>
      <c r="B16201" s="4">
        <v>25544</v>
      </c>
      <c r="D16201" s="5" t="s">
        <v>19799</v>
      </c>
      <c r="E16201" s="6" t="str">
        <f>HYPERLINK("https://inpn.mnhn.fr/espece/cd_nom/25544","Phytomyza chaerophylli Kaltenbach, 1856")</f>
        <v>Phytomyza chaerophylli Kaltenbach, 1856</v>
      </c>
      <c r="AH16201" s="4" t="str">
        <f>HYPERLINK("#Statut_biogéographique!A"&amp;_xlfn.XMATCH("P",Statut_biogéographique!A:A,2,1),"P")</f>
        <v>P</v>
      </c>
      <c r="AP16201" s="4" t="s">
        <v>376</v>
      </c>
      <c r="AR16201" s="4" t="s">
        <v>377</v>
      </c>
    </row>
    <row r="16202" spans="1:44">
      <c r="A16202" s="4" t="s">
        <v>10753</v>
      </c>
      <c r="B16202" s="4">
        <v>25551</v>
      </c>
      <c r="D16202" s="5">
        <v>25551</v>
      </c>
      <c r="E16202" s="6" t="str">
        <f>HYPERLINK("https://inpn.mnhn.fr/espece/cd_nom/25551","Phytomyza cytisi Brischke, 1880")</f>
        <v>Phytomyza cytisi Brischke, 1880</v>
      </c>
      <c r="AH16202" s="4" t="str">
        <f>HYPERLINK("#Statut_biogéographique!A"&amp;_xlfn.XMATCH("P",Statut_biogéographique!A:A,2,1),"P")</f>
        <v>P</v>
      </c>
      <c r="AP16202" s="4" t="s">
        <v>376</v>
      </c>
      <c r="AR16202" s="4" t="s">
        <v>377</v>
      </c>
    </row>
    <row r="16203" spans="1:44">
      <c r="A16203" s="4" t="s">
        <v>10753</v>
      </c>
      <c r="B16203" s="4">
        <v>25552</v>
      </c>
      <c r="D16203" s="5">
        <v>25552</v>
      </c>
      <c r="E16203" s="6" t="str">
        <f>HYPERLINK("https://inpn.mnhn.fr/espece/cd_nom/25552","Phytomyza eupatorii Hendel, 1927")</f>
        <v>Phytomyza eupatorii Hendel, 1927</v>
      </c>
      <c r="AH16203" s="4" t="str">
        <f>HYPERLINK("#Statut_biogéographique!A"&amp;_xlfn.XMATCH("P",Statut_biogéographique!A:A,2,1),"P")</f>
        <v>P</v>
      </c>
      <c r="AP16203" s="4" t="s">
        <v>376</v>
      </c>
      <c r="AR16203" s="4" t="s">
        <v>377</v>
      </c>
    </row>
    <row r="16204" spans="1:44">
      <c r="A16204" s="4" t="s">
        <v>10753</v>
      </c>
      <c r="B16204" s="4">
        <v>25554</v>
      </c>
      <c r="D16204" s="5" t="s">
        <v>19800</v>
      </c>
      <c r="E16204" s="6" t="str">
        <f>HYPERLINK("https://inpn.mnhn.fr/espece/cd_nom/25554","Phytomyza glechomae Kaltenbach, 1862")</f>
        <v>Phytomyza glechomae Kaltenbach, 1862</v>
      </c>
      <c r="AH16204" s="4" t="str">
        <f>HYPERLINK("#Statut_biogéographique!A"&amp;_xlfn.XMATCH("P",Statut_biogéographique!A:A,2,1),"P")</f>
        <v>P</v>
      </c>
      <c r="AP16204" s="4" t="s">
        <v>376</v>
      </c>
      <c r="AR16204" s="4" t="s">
        <v>377</v>
      </c>
    </row>
    <row r="16205" spans="1:44">
      <c r="A16205" s="4" t="s">
        <v>10753</v>
      </c>
      <c r="B16205" s="4">
        <v>25556</v>
      </c>
      <c r="D16205" s="5" t="s">
        <v>19801</v>
      </c>
      <c r="E16205" s="6" t="str">
        <f>HYPERLINK("https://inpn.mnhn.fr/espece/cd_nom/25556","Phytomyza ilicis Curtis, 1846")</f>
        <v>Phytomyza ilicis Curtis, 1846</v>
      </c>
      <c r="F16205" s="5" t="s">
        <v>19802</v>
      </c>
      <c r="AH16205" s="4" t="str">
        <f>HYPERLINK("#Statut_biogéographique!A"&amp;_xlfn.XMATCH("P",Statut_biogéographique!A:A,2,1),"P")</f>
        <v>P</v>
      </c>
      <c r="AP16205" s="4" t="s">
        <v>376</v>
      </c>
      <c r="AR16205" s="4" t="s">
        <v>377</v>
      </c>
    </row>
    <row r="16206" spans="1:44">
      <c r="A16206" s="4" t="s">
        <v>10753</v>
      </c>
      <c r="B16206" s="4">
        <v>25558</v>
      </c>
      <c r="D16206" s="5" t="s">
        <v>19803</v>
      </c>
      <c r="E16206" s="6" t="str">
        <f>HYPERLINK("https://inpn.mnhn.fr/espece/cd_nom/25558","Phytomyza lappae Goureau, 1851")</f>
        <v>Phytomyza lappae Goureau, 1851</v>
      </c>
      <c r="AH16206" s="4" t="str">
        <f>HYPERLINK("#Statut_biogéographique!A"&amp;_xlfn.XMATCH("P",Statut_biogéographique!A:A,2,1),"P")</f>
        <v>P</v>
      </c>
      <c r="AP16206" s="4" t="s">
        <v>376</v>
      </c>
      <c r="AR16206" s="4" t="s">
        <v>377</v>
      </c>
    </row>
    <row r="16207" spans="1:44">
      <c r="A16207" s="4" t="s">
        <v>10753</v>
      </c>
      <c r="B16207" s="4">
        <v>25566</v>
      </c>
      <c r="D16207" s="5" t="s">
        <v>19804</v>
      </c>
      <c r="E16207" s="6" t="str">
        <f>HYPERLINK("https://inpn.mnhn.fr/espece/cd_nom/25566","Phytomyza minuscula Goureau, 1851")</f>
        <v>Phytomyza minuscula Goureau, 1851</v>
      </c>
      <c r="AH16207" s="4" t="str">
        <f>HYPERLINK("#Statut_biogéographique!A"&amp;_xlfn.XMATCH("P",Statut_biogéographique!A:A,2,1),"P")</f>
        <v>P</v>
      </c>
      <c r="AP16207" s="4" t="s">
        <v>376</v>
      </c>
      <c r="AR16207" s="4" t="s">
        <v>377</v>
      </c>
    </row>
    <row r="16208" spans="1:44" ht="60">
      <c r="A16208" s="4" t="s">
        <v>10753</v>
      </c>
      <c r="B16208" s="4">
        <v>25574</v>
      </c>
      <c r="D16208" s="5" t="s">
        <v>19805</v>
      </c>
      <c r="E16208" s="6" t="str">
        <f>HYPERLINK("https://inpn.mnhn.fr/espece/cd_nom/25574","Phytomyza ranunculi (Schrank, 1803)")</f>
        <v>Phytomyza ranunculi (Schrank, 1803)</v>
      </c>
      <c r="AH16208" s="4" t="str">
        <f>HYPERLINK("#Statut_biogéographique!A"&amp;_xlfn.XMATCH("P",Statut_biogéographique!A:A,2,1),"P")</f>
        <v>P</v>
      </c>
      <c r="AP16208" s="4" t="s">
        <v>376</v>
      </c>
      <c r="AR16208" s="4" t="s">
        <v>377</v>
      </c>
    </row>
    <row r="16209" spans="1:44">
      <c r="A16209" s="4" t="s">
        <v>10753</v>
      </c>
      <c r="B16209" s="4">
        <v>25600</v>
      </c>
      <c r="D16209" s="5">
        <v>25600</v>
      </c>
      <c r="E16209" s="6" t="str">
        <f>HYPERLINK("https://inpn.mnhn.fr/espece/cd_nom/25600","Phytomyza senecionis Kaltenbach, 1869")</f>
        <v>Phytomyza senecionis Kaltenbach, 1869</v>
      </c>
      <c r="AH16209" s="4" t="str">
        <f>HYPERLINK("#Statut_biogéographique!A"&amp;_xlfn.XMATCH("P",Statut_biogéographique!A:A,2,1),"P")</f>
        <v>P</v>
      </c>
      <c r="AP16209" s="4" t="s">
        <v>376</v>
      </c>
      <c r="AR16209" s="4" t="s">
        <v>377</v>
      </c>
    </row>
    <row r="16210" spans="1:44">
      <c r="A16210" s="4" t="s">
        <v>10753</v>
      </c>
      <c r="B16210" s="4">
        <v>25601</v>
      </c>
      <c r="D16210" s="5" t="s">
        <v>19806</v>
      </c>
      <c r="E16210" s="6" t="str">
        <f>HYPERLINK("https://inpn.mnhn.fr/espece/cd_nom/25601","Phytomyza solidaginis Hendel, 1920")</f>
        <v>Phytomyza solidaginis Hendel, 1920</v>
      </c>
      <c r="AH16210" s="4" t="str">
        <f>HYPERLINK("#Statut_biogéographique!A"&amp;_xlfn.XMATCH("P",Statut_biogéographique!A:A,2,1),"P")</f>
        <v>P</v>
      </c>
      <c r="AP16210" s="4" t="s">
        <v>376</v>
      </c>
      <c r="AR16210" s="4" t="s">
        <v>377</v>
      </c>
    </row>
    <row r="16211" spans="1:44" ht="30">
      <c r="A16211" s="4" t="s">
        <v>10753</v>
      </c>
      <c r="B16211" s="4">
        <v>25604</v>
      </c>
      <c r="D16211" s="5" t="s">
        <v>19807</v>
      </c>
      <c r="E16211" s="6" t="str">
        <f>HYPERLINK("https://inpn.mnhn.fr/espece/cd_nom/25604","Phytomyza spondylii Robineau-Desvoidy, 1851")</f>
        <v>Phytomyza spondylii Robineau-Desvoidy, 1851</v>
      </c>
      <c r="AH16211" s="4" t="str">
        <f>HYPERLINK("#Statut_biogéographique!A"&amp;_xlfn.XMATCH("P",Statut_biogéographique!A:A,2,1),"P")</f>
        <v>P</v>
      </c>
      <c r="AP16211" s="4" t="s">
        <v>376</v>
      </c>
      <c r="AR16211" s="4" t="s">
        <v>377</v>
      </c>
    </row>
    <row r="16212" spans="1:44">
      <c r="A16212" s="4" t="s">
        <v>10753</v>
      </c>
      <c r="B16212" s="4">
        <v>25611</v>
      </c>
      <c r="D16212" s="5">
        <v>25611</v>
      </c>
      <c r="E16212" s="6" t="str">
        <f>HYPERLINK("https://inpn.mnhn.fr/espece/cd_nom/25611","Phytomyza vitalbae Kaltenbach, 1872")</f>
        <v>Phytomyza vitalbae Kaltenbach, 1872</v>
      </c>
      <c r="AH16212" s="4" t="str">
        <f>HYPERLINK("#Statut_biogéographique!A"&amp;_xlfn.XMATCH("P",Statut_biogéographique!A:A,2,1),"P")</f>
        <v>P</v>
      </c>
      <c r="AP16212" s="4" t="s">
        <v>376</v>
      </c>
      <c r="AR16212" s="4" t="s">
        <v>377</v>
      </c>
    </row>
    <row r="16213" spans="1:44">
      <c r="A16213" s="4" t="s">
        <v>10753</v>
      </c>
      <c r="B16213" s="4">
        <v>256249</v>
      </c>
      <c r="D16213" s="5" t="s">
        <v>19808</v>
      </c>
      <c r="E16213" s="6" t="str">
        <f>HYPERLINK("https://inpn.mnhn.fr/espece/cd_nom/256249","Asteia amoena Meigen, 1830")</f>
        <v>Asteia amoena Meigen, 1830</v>
      </c>
      <c r="AH16213" s="4" t="str">
        <f>HYPERLINK("#Statut_biogéographique!A"&amp;_xlfn.XMATCH("P",Statut_biogéographique!A:A,2,1),"P")</f>
        <v>P</v>
      </c>
      <c r="AP16213" s="4" t="s">
        <v>376</v>
      </c>
      <c r="AR16213" s="4" t="s">
        <v>377</v>
      </c>
    </row>
    <row r="16214" spans="1:44">
      <c r="A16214" s="4" t="s">
        <v>10753</v>
      </c>
      <c r="B16214" s="4">
        <v>256277</v>
      </c>
      <c r="D16214" s="5">
        <v>256277</v>
      </c>
      <c r="E16214" s="6" t="str">
        <f>HYPERLINK("https://inpn.mnhn.fr/espece/cd_nom/256277","Diastata vagans Loew, 1864")</f>
        <v>Diastata vagans Loew, 1864</v>
      </c>
      <c r="AH16214" s="4" t="str">
        <f>HYPERLINK("#Statut_biogéographique!A"&amp;_xlfn.XMATCH("P",Statut_biogéographique!A:A,2,1),"P")</f>
        <v>P</v>
      </c>
      <c r="AP16214" s="4" t="s">
        <v>376</v>
      </c>
      <c r="AR16214" s="4" t="s">
        <v>377</v>
      </c>
    </row>
    <row r="16215" spans="1:44">
      <c r="A16215" s="4" t="s">
        <v>10753</v>
      </c>
      <c r="B16215" s="4">
        <v>25643</v>
      </c>
      <c r="D16215" s="5" t="s">
        <v>19809</v>
      </c>
      <c r="E16215" s="6" t="str">
        <f>HYPERLINK("https://inpn.mnhn.fr/espece/cd_nom/25643","Phyllomyza longipalpis (Schmitz, 1924)")</f>
        <v>Phyllomyza longipalpis (Schmitz, 1924)</v>
      </c>
      <c r="AH16215" s="4" t="str">
        <f>HYPERLINK("#Statut_biogéographique!A"&amp;_xlfn.XMATCH("P",Statut_biogéographique!A:A,2,1),"P")</f>
        <v>P</v>
      </c>
      <c r="AP16215" s="4" t="s">
        <v>376</v>
      </c>
      <c r="AR16215" s="4" t="s">
        <v>377</v>
      </c>
    </row>
    <row r="16216" spans="1:44">
      <c r="A16216" s="4" t="s">
        <v>10753</v>
      </c>
      <c r="B16216" s="4">
        <v>25644</v>
      </c>
      <c r="D16216" s="5" t="s">
        <v>19810</v>
      </c>
      <c r="E16216" s="6" t="str">
        <f>HYPERLINK("https://inpn.mnhn.fr/espece/cd_nom/25644","Phyllomyza securicornis Fallén, 1823")</f>
        <v>Phyllomyza securicornis Fallén, 1823</v>
      </c>
      <c r="AH16216" s="4" t="str">
        <f>HYPERLINK("#Statut_biogéographique!A"&amp;_xlfn.XMATCH("P",Statut_biogéographique!A:A,2,1),"P")</f>
        <v>P</v>
      </c>
      <c r="AP16216" s="4" t="s">
        <v>376</v>
      </c>
      <c r="AR16216" s="4" t="s">
        <v>377</v>
      </c>
    </row>
    <row r="16217" spans="1:44">
      <c r="A16217" s="4" t="s">
        <v>10753</v>
      </c>
      <c r="B16217" s="4">
        <v>256584</v>
      </c>
      <c r="D16217" s="5" t="s">
        <v>19811</v>
      </c>
      <c r="E16217" s="6" t="str">
        <f>HYPERLINK("https://inpn.mnhn.fr/espece/cd_nom/256584","Clusiodes caledonicus (Collin, 1912)")</f>
        <v>Clusiodes caledonicus (Collin, 1912)</v>
      </c>
      <c r="AH16217" s="4" t="str">
        <f>HYPERLINK("#Statut_biogéographique!A"&amp;_xlfn.XMATCH("P",Statut_biogéographique!A:A,2,1),"P")</f>
        <v>P</v>
      </c>
      <c r="AP16217" s="4" t="s">
        <v>376</v>
      </c>
      <c r="AR16217" s="4" t="s">
        <v>377</v>
      </c>
    </row>
    <row r="16218" spans="1:44">
      <c r="A16218" s="4" t="s">
        <v>10753</v>
      </c>
      <c r="B16218" s="4">
        <v>256677</v>
      </c>
      <c r="D16218" s="5">
        <v>256677</v>
      </c>
      <c r="E16218" s="6" t="str">
        <f>HYPERLINK("https://inpn.mnhn.fr/espece/cd_nom/256677","Stegana nigrithorax Strobl, 1898")</f>
        <v>Stegana nigrithorax Strobl, 1898</v>
      </c>
      <c r="AH16218" s="4" t="str">
        <f>HYPERLINK("#Statut_biogéographique!A"&amp;_xlfn.XMATCH("P",Statut_biogéographique!A:A,2,1),"P")</f>
        <v>P</v>
      </c>
      <c r="AP16218" s="4" t="s">
        <v>376</v>
      </c>
      <c r="AR16218" s="4" t="s">
        <v>377</v>
      </c>
    </row>
    <row r="16219" spans="1:44">
      <c r="A16219" s="4" t="s">
        <v>10753</v>
      </c>
      <c r="B16219" s="4">
        <v>256717</v>
      </c>
      <c r="D16219" s="5">
        <v>256717</v>
      </c>
      <c r="E16219" s="6" t="str">
        <f>HYPERLINK("https://inpn.mnhn.fr/espece/cd_nom/256717","Suillia cepelaki Martinek, 1985")</f>
        <v>Suillia cepelaki Martinek, 1985</v>
      </c>
      <c r="AH16219" s="4" t="str">
        <f>HYPERLINK("#Statut_biogéographique!A"&amp;_xlfn.XMATCH("P",Statut_biogéographique!A:A,2,1),"P")</f>
        <v>P</v>
      </c>
      <c r="AP16219" s="4" t="s">
        <v>376</v>
      </c>
      <c r="AR16219" s="4" t="s">
        <v>377</v>
      </c>
    </row>
    <row r="16220" spans="1:44">
      <c r="A16220" s="4" t="s">
        <v>10753</v>
      </c>
      <c r="B16220" s="4">
        <v>256719</v>
      </c>
      <c r="D16220" s="5">
        <v>256719</v>
      </c>
      <c r="E16220" s="6" t="str">
        <f>HYPERLINK("https://inpn.mnhn.fr/espece/cd_nom/256719","Suillia dawnae Withers, 1987")</f>
        <v>Suillia dawnae Withers, 1987</v>
      </c>
      <c r="AH16220" s="4" t="str">
        <f>HYPERLINK("#Statut_biogéographique!A"&amp;_xlfn.XMATCH("P",Statut_biogéographique!A:A,2,1),"P")</f>
        <v>P</v>
      </c>
      <c r="AP16220" s="4" t="s">
        <v>376</v>
      </c>
      <c r="AR16220" s="4" t="s">
        <v>377</v>
      </c>
    </row>
    <row r="16221" spans="1:44" ht="30">
      <c r="A16221" s="4" t="s">
        <v>10753</v>
      </c>
      <c r="B16221" s="4">
        <v>256722</v>
      </c>
      <c r="D16221" s="5" t="s">
        <v>19812</v>
      </c>
      <c r="E16221" s="6" t="str">
        <f>HYPERLINK("https://inpn.mnhn.fr/espece/cd_nom/256722","Suillia flavifrons (Zetterstedt, 1838)")</f>
        <v>Suillia flavifrons (Zetterstedt, 1838)</v>
      </c>
      <c r="AH16221" s="4" t="str">
        <f>HYPERLINK("#Statut_biogéographique!A"&amp;_xlfn.XMATCH("P",Statut_biogéographique!A:A,2,1),"P")</f>
        <v>P</v>
      </c>
      <c r="AP16221" s="4" t="s">
        <v>376</v>
      </c>
      <c r="AR16221" s="4" t="s">
        <v>377</v>
      </c>
    </row>
    <row r="16222" spans="1:44" ht="30">
      <c r="A16222" s="4" t="s">
        <v>10753</v>
      </c>
      <c r="B16222" s="4">
        <v>25676</v>
      </c>
      <c r="D16222" s="5" t="s">
        <v>19813</v>
      </c>
      <c r="E16222" s="6" t="str">
        <f>HYPERLINK("https://inpn.mnhn.fr/espece/cd_nom/25676","Elachiptera cornuta (Fallén, 1820)")</f>
        <v>Elachiptera cornuta (Fallén, 1820)</v>
      </c>
      <c r="AH16222" s="4" t="str">
        <f>HYPERLINK("#Statut_biogéographique!A"&amp;_xlfn.XMATCH("P",Statut_biogéographique!A:A,2,1),"P")</f>
        <v>P</v>
      </c>
      <c r="AP16222" s="4" t="s">
        <v>376</v>
      </c>
      <c r="AR16222" s="4" t="s">
        <v>377</v>
      </c>
    </row>
    <row r="16223" spans="1:44">
      <c r="A16223" s="4" t="s">
        <v>10753</v>
      </c>
      <c r="B16223" s="4">
        <v>257032</v>
      </c>
      <c r="D16223" s="5">
        <v>257032</v>
      </c>
      <c r="E16223" s="6" t="str">
        <f>HYPERLINK("https://inpn.mnhn.fr/espece/cd_nom/257032","Lonchaea bukowskii Czerny, 1934")</f>
        <v>Lonchaea bukowskii Czerny, 1934</v>
      </c>
      <c r="AH16223" s="4" t="str">
        <f>HYPERLINK("#Statut_biogéographique!A"&amp;_xlfn.XMATCH("P",Statut_biogéographique!A:A,2,1),"P")</f>
        <v>P</v>
      </c>
      <c r="AP16223" s="4" t="s">
        <v>376</v>
      </c>
      <c r="AR16223" s="4" t="s">
        <v>377</v>
      </c>
    </row>
    <row r="16224" spans="1:44">
      <c r="A16224" s="4" t="s">
        <v>10753</v>
      </c>
      <c r="B16224" s="4">
        <v>257037</v>
      </c>
      <c r="D16224" s="5">
        <v>257037</v>
      </c>
      <c r="E16224" s="6" t="str">
        <f>HYPERLINK("https://inpn.mnhn.fr/espece/cd_nom/257037","Lonchaea contigua Collin, 1953")</f>
        <v>Lonchaea contigua Collin, 1953</v>
      </c>
      <c r="AH16224" s="4" t="str">
        <f>HYPERLINK("#Statut_biogéographique!A"&amp;_xlfn.XMATCH("P",Statut_biogéographique!A:A,2,1),"P")</f>
        <v>P</v>
      </c>
      <c r="AP16224" s="4" t="s">
        <v>376</v>
      </c>
      <c r="AR16224" s="4" t="s">
        <v>377</v>
      </c>
    </row>
    <row r="16225" spans="1:44">
      <c r="A16225" s="4" t="s">
        <v>10753</v>
      </c>
      <c r="B16225" s="4">
        <v>257038</v>
      </c>
      <c r="D16225" s="5">
        <v>257038</v>
      </c>
      <c r="E16225" s="6" t="str">
        <f>HYPERLINK("https://inpn.mnhn.fr/espece/cd_nom/257038","Lonchaea contraria Czerny, 1934")</f>
        <v>Lonchaea contraria Czerny, 1934</v>
      </c>
      <c r="AH16225" s="4" t="str">
        <f>HYPERLINK("#Statut_biogéographique!A"&amp;_xlfn.XMATCH("P",Statut_biogéographique!A:A,2,1),"P")</f>
        <v>P</v>
      </c>
      <c r="AP16225" s="4" t="s">
        <v>376</v>
      </c>
      <c r="AR16225" s="4" t="s">
        <v>377</v>
      </c>
    </row>
    <row r="16226" spans="1:44">
      <c r="A16226" s="4" t="s">
        <v>10753</v>
      </c>
      <c r="B16226" s="4">
        <v>25704</v>
      </c>
      <c r="D16226" s="5" t="s">
        <v>19814</v>
      </c>
      <c r="E16226" s="6" t="str">
        <f>HYPERLINK("https://inpn.mnhn.fr/espece/cd_nom/25704","Polyodaspis ruficornis (Macquart, 1835)")</f>
        <v>Polyodaspis ruficornis (Macquart, 1835)</v>
      </c>
      <c r="AH16226" s="4" t="str">
        <f>HYPERLINK("#Statut_biogéographique!A"&amp;_xlfn.XMATCH("P",Statut_biogéographique!A:A,2,1),"P")</f>
        <v>P</v>
      </c>
      <c r="AP16226" s="4" t="s">
        <v>376</v>
      </c>
      <c r="AR16226" s="4" t="s">
        <v>377</v>
      </c>
    </row>
    <row r="16227" spans="1:44" ht="30">
      <c r="A16227" s="4" t="s">
        <v>10753</v>
      </c>
      <c r="B16227" s="4">
        <v>257043</v>
      </c>
      <c r="D16227" s="5">
        <v>257043</v>
      </c>
      <c r="E16227" s="6" t="str">
        <f>HYPERLINK("https://inpn.mnhn.fr/espece/cd_nom/257043","Lonchaea fraxina MacGowan &amp; Rotheray, 2000")</f>
        <v>Lonchaea fraxina MacGowan &amp; Rotheray, 2000</v>
      </c>
      <c r="AH16227" s="4" t="str">
        <f>HYPERLINK("#Statut_biogéographique!A"&amp;_xlfn.XMATCH("P",Statut_biogéographique!A:A,2,1),"P")</f>
        <v>P</v>
      </c>
      <c r="AP16227" s="4" t="s">
        <v>376</v>
      </c>
      <c r="AR16227" s="4" t="s">
        <v>377</v>
      </c>
    </row>
    <row r="16228" spans="1:44">
      <c r="A16228" s="4" t="s">
        <v>10753</v>
      </c>
      <c r="B16228" s="4">
        <v>257051</v>
      </c>
      <c r="D16228" s="5">
        <v>257051</v>
      </c>
      <c r="E16228" s="6" t="str">
        <f>HYPERLINK("https://inpn.mnhn.fr/espece/cd_nom/257051","Lonchaea iona MacGowan, 2001")</f>
        <v>Lonchaea iona MacGowan, 2001</v>
      </c>
      <c r="AH16228" s="4" t="str">
        <f>HYPERLINK("#Statut_biogéographique!A"&amp;_xlfn.XMATCH("P",Statut_biogéographique!A:A,2,1),"P")</f>
        <v>P</v>
      </c>
      <c r="AP16228" s="4" t="s">
        <v>376</v>
      </c>
      <c r="AR16228" s="4" t="s">
        <v>377</v>
      </c>
    </row>
    <row r="16229" spans="1:44">
      <c r="A16229" s="4" t="s">
        <v>10753</v>
      </c>
      <c r="B16229" s="4">
        <v>257055</v>
      </c>
      <c r="D16229" s="5">
        <v>257055</v>
      </c>
      <c r="E16229" s="6" t="str">
        <f>HYPERLINK("https://inpn.mnhn.fr/espece/cd_nom/257055","Lonchaea limatula Collin, 1953")</f>
        <v>Lonchaea limatula Collin, 1953</v>
      </c>
      <c r="AH16229" s="4" t="str">
        <f>HYPERLINK("#Statut_biogéographique!A"&amp;_xlfn.XMATCH("P",Statut_biogéographique!A:A,2,1),"P")</f>
        <v>P</v>
      </c>
      <c r="AP16229" s="4" t="s">
        <v>376</v>
      </c>
      <c r="AR16229" s="4" t="s">
        <v>377</v>
      </c>
    </row>
    <row r="16230" spans="1:44">
      <c r="A16230" s="4" t="s">
        <v>10753</v>
      </c>
      <c r="B16230" s="4">
        <v>257059</v>
      </c>
      <c r="D16230" s="5">
        <v>257059</v>
      </c>
      <c r="E16230" s="6" t="str">
        <f>HYPERLINK("https://inpn.mnhn.fr/espece/cd_nom/257059","Lonchaea patens Collin, 1953")</f>
        <v>Lonchaea patens Collin, 1953</v>
      </c>
      <c r="AH16230" s="4" t="str">
        <f>HYPERLINK("#Statut_biogéographique!A"&amp;_xlfn.XMATCH("P",Statut_biogéographique!A:A,2,1),"P")</f>
        <v>P</v>
      </c>
      <c r="AP16230" s="4" t="s">
        <v>376</v>
      </c>
      <c r="AR16230" s="4" t="s">
        <v>377</v>
      </c>
    </row>
    <row r="16231" spans="1:44">
      <c r="A16231" s="4" t="s">
        <v>10753</v>
      </c>
      <c r="B16231" s="4">
        <v>257068</v>
      </c>
      <c r="D16231" s="5">
        <v>257068</v>
      </c>
      <c r="E16231" s="6" t="str">
        <f>HYPERLINK("https://inpn.mnhn.fr/espece/cd_nom/257068","Lonchaea subneatosa Kovalev, 1974")</f>
        <v>Lonchaea subneatosa Kovalev, 1974</v>
      </c>
      <c r="AH16231" s="4" t="str">
        <f>HYPERLINK("#Statut_biogéographique!A"&amp;_xlfn.XMATCH("P",Statut_biogéographique!A:A,2,1),"P")</f>
        <v>P</v>
      </c>
      <c r="AP16231" s="4" t="s">
        <v>376</v>
      </c>
      <c r="AR16231" s="4" t="s">
        <v>377</v>
      </c>
    </row>
    <row r="16232" spans="1:44">
      <c r="A16232" s="4" t="s">
        <v>10753</v>
      </c>
      <c r="B16232" s="4">
        <v>257106</v>
      </c>
      <c r="D16232" s="5" t="s">
        <v>19815</v>
      </c>
      <c r="E16232" s="6" t="str">
        <f>HYPERLINK("https://inpn.mnhn.fr/espece/cd_nom/257106","Neria commutata (Czerny, 1930)")</f>
        <v>Neria commutata (Czerny, 1930)</v>
      </c>
      <c r="AH16232" s="4" t="str">
        <f>HYPERLINK("#Statut_biogéographique!A"&amp;_xlfn.XMATCH("P",Statut_biogéographique!A:A,2,1),"P")</f>
        <v>P</v>
      </c>
      <c r="AP16232" s="4" t="s">
        <v>376</v>
      </c>
      <c r="AR16232" s="4" t="s">
        <v>377</v>
      </c>
    </row>
    <row r="16233" spans="1:44">
      <c r="A16233" s="4" t="s">
        <v>10753</v>
      </c>
      <c r="B16233" s="4">
        <v>257108</v>
      </c>
      <c r="D16233" s="5" t="s">
        <v>19816</v>
      </c>
      <c r="E16233" s="6" t="str">
        <f>HYPERLINK("https://inpn.mnhn.fr/espece/cd_nom/257108","Neria femoralis (Meigen, 1826)")</f>
        <v>Neria femoralis (Meigen, 1826)</v>
      </c>
      <c r="AH16233" s="4" t="str">
        <f>HYPERLINK("#Statut_biogéographique!A"&amp;_xlfn.XMATCH("P",Statut_biogéographique!A:A,2,1),"P")</f>
        <v>P</v>
      </c>
      <c r="AP16233" s="4" t="s">
        <v>376</v>
      </c>
      <c r="AR16233" s="4" t="s">
        <v>377</v>
      </c>
    </row>
    <row r="16234" spans="1:44">
      <c r="A16234" s="4" t="s">
        <v>10753</v>
      </c>
      <c r="B16234" s="4">
        <v>257119</v>
      </c>
      <c r="D16234" s="5" t="s">
        <v>19817</v>
      </c>
      <c r="E16234" s="6" t="str">
        <f>HYPERLINK("https://inpn.mnhn.fr/espece/cd_nom/257119","Phyllomyza equitans (Hendel, 1919)")</f>
        <v>Phyllomyza equitans (Hendel, 1919)</v>
      </c>
      <c r="AH16234" s="4" t="str">
        <f>HYPERLINK("#Statut_biogéographique!A"&amp;_xlfn.XMATCH("P",Statut_biogéographique!A:A,2,1),"P")</f>
        <v>P</v>
      </c>
      <c r="AP16234" s="4" t="s">
        <v>376</v>
      </c>
      <c r="AR16234" s="4" t="s">
        <v>377</v>
      </c>
    </row>
    <row r="16235" spans="1:44">
      <c r="A16235" s="4" t="s">
        <v>10753</v>
      </c>
      <c r="B16235" s="4">
        <v>257189</v>
      </c>
      <c r="D16235" s="5" t="s">
        <v>19818</v>
      </c>
      <c r="E16235" s="6" t="str">
        <f>HYPERLINK("https://inpn.mnhn.fr/espece/cd_nom/257189","Geomyza majuscula (Loew, 1864)")</f>
        <v>Geomyza majuscula (Loew, 1864)</v>
      </c>
      <c r="AH16235" s="4" t="str">
        <f>HYPERLINK("#Statut_biogéographique!A"&amp;_xlfn.XMATCH("P",Statut_biogéographique!A:A,2,1),"P")</f>
        <v>P</v>
      </c>
      <c r="AP16235" s="4" t="s">
        <v>376</v>
      </c>
      <c r="AR16235" s="4" t="s">
        <v>377</v>
      </c>
    </row>
    <row r="16236" spans="1:44">
      <c r="A16236" s="4" t="s">
        <v>10753</v>
      </c>
      <c r="B16236" s="4">
        <v>25729</v>
      </c>
      <c r="D16236" s="5">
        <v>25729</v>
      </c>
      <c r="E16236" s="6" t="str">
        <f>HYPERLINK("https://inpn.mnhn.fr/espece/cd_nom/25729","Lipara lucens Meigen, 1830")</f>
        <v>Lipara lucens Meigen, 1830</v>
      </c>
      <c r="AH16236" s="4" t="str">
        <f>HYPERLINK("#Statut_biogéographique!A"&amp;_xlfn.XMATCH("P",Statut_biogéographique!A:A,2,1),"P")</f>
        <v>P</v>
      </c>
      <c r="AP16236" s="4" t="s">
        <v>376</v>
      </c>
      <c r="AR16236" s="4" t="s">
        <v>377</v>
      </c>
    </row>
    <row r="16237" spans="1:44">
      <c r="A16237" s="4" t="s">
        <v>10753</v>
      </c>
      <c r="B16237" s="4">
        <v>257662</v>
      </c>
      <c r="D16237" s="5">
        <v>257662</v>
      </c>
      <c r="E16237" s="6" t="str">
        <f>HYPERLINK("https://inpn.mnhn.fr/espece/cd_nom/257662","Pseudacteon fennicus Schmitz, 1927")</f>
        <v>Pseudacteon fennicus Schmitz, 1927</v>
      </c>
      <c r="AH16237" s="4" t="str">
        <f>HYPERLINK("#Statut_biogéographique!A"&amp;_xlfn.XMATCH("P",Statut_biogéographique!A:A,2,1),"P")</f>
        <v>P</v>
      </c>
      <c r="AP16237" s="4" t="s">
        <v>376</v>
      </c>
      <c r="AR16237" s="4" t="s">
        <v>377</v>
      </c>
    </row>
    <row r="16238" spans="1:44">
      <c r="A16238" s="4" t="s">
        <v>10753</v>
      </c>
      <c r="B16238" s="4">
        <v>257680</v>
      </c>
      <c r="D16238" s="5" t="s">
        <v>19819</v>
      </c>
      <c r="E16238" s="6" t="str">
        <f>HYPERLINK("https://inpn.mnhn.fr/espece/cd_nom/257680","Triphleba aptina (Schiner, 1853)")</f>
        <v>Triphleba aptina (Schiner, 1853)</v>
      </c>
      <c r="AH16238" s="4" t="str">
        <f>HYPERLINK("#Statut_biogéographique!A"&amp;_xlfn.XMATCH("P",Statut_biogéographique!A:A,2,1),"P")</f>
        <v>P</v>
      </c>
      <c r="AP16238" s="4" t="s">
        <v>376</v>
      </c>
      <c r="AR16238" s="4" t="s">
        <v>377</v>
      </c>
    </row>
    <row r="16239" spans="1:44">
      <c r="A16239" s="4" t="s">
        <v>10753</v>
      </c>
      <c r="B16239" s="4">
        <v>257774</v>
      </c>
      <c r="D16239" s="5" t="s">
        <v>19820</v>
      </c>
      <c r="E16239" s="6" t="str">
        <f>HYPERLINK("https://inpn.mnhn.fr/espece/cd_nom/257774","Rivellia syngenesiae (Fabricius, 1781)")</f>
        <v>Rivellia syngenesiae (Fabricius, 1781)</v>
      </c>
      <c r="AH16239" s="4" t="str">
        <f>HYPERLINK("#Statut_biogéographique!A"&amp;_xlfn.XMATCH("P",Statut_biogéographique!A:A,2,1),"P")</f>
        <v>P</v>
      </c>
      <c r="AP16239" s="4" t="s">
        <v>376</v>
      </c>
      <c r="AR16239" s="4" t="s">
        <v>377</v>
      </c>
    </row>
    <row r="16240" spans="1:44">
      <c r="A16240" s="4" t="s">
        <v>10753</v>
      </c>
      <c r="B16240" s="4">
        <v>257972</v>
      </c>
      <c r="D16240" s="5" t="s">
        <v>19821</v>
      </c>
      <c r="E16240" s="6" t="str">
        <f>HYPERLINK("https://inpn.mnhn.fr/espece/cd_nom/257972","Ischiolepta crenata (Meigen, 1838)")</f>
        <v>Ischiolepta crenata (Meigen, 1838)</v>
      </c>
      <c r="AH16240" s="4" t="str">
        <f>HYPERLINK("#Statut_biogéographique!A"&amp;_xlfn.XMATCH("P",Statut_biogéographique!A:A,2,1),"P")</f>
        <v>P</v>
      </c>
      <c r="AP16240" s="4" t="s">
        <v>376</v>
      </c>
      <c r="AR16240" s="4" t="s">
        <v>377</v>
      </c>
    </row>
    <row r="16241" spans="1:44">
      <c r="A16241" s="4" t="s">
        <v>10753</v>
      </c>
      <c r="B16241" s="4">
        <v>258119</v>
      </c>
      <c r="D16241" s="5" t="s">
        <v>19822</v>
      </c>
      <c r="E16241" s="6" t="str">
        <f>HYPERLINK("https://inpn.mnhn.fr/espece/cd_nom/258119","Cheilosia morio (Zetterstedt, 1838)")</f>
        <v>Cheilosia morio (Zetterstedt, 1838)</v>
      </c>
      <c r="O16241" s="7" t="str">
        <f>HYPERLINK("#Liste_rouge!A"&amp;_xlfn.XMATCH("EN",Liste_rouge!A:A,2,1),"EN")</f>
        <v>EN</v>
      </c>
      <c r="P16241" s="7" t="str">
        <f>HYPERLINK("#Liste_rouge!A"&amp;_xlfn.XMATCH("EN",Liste_rouge!A:A,2,1),"EN")</f>
        <v>EN</v>
      </c>
      <c r="AH16241" s="4" t="str">
        <f>HYPERLINK("#Statut_biogéographique!A"&amp;_xlfn.XMATCH("P",Statut_biogéographique!A:A,2,1),"P")</f>
        <v>P</v>
      </c>
      <c r="AP16241" s="4" t="s">
        <v>376</v>
      </c>
      <c r="AR16241" s="4" t="s">
        <v>377</v>
      </c>
    </row>
    <row r="16242" spans="1:44">
      <c r="A16242" s="4" t="s">
        <v>10753</v>
      </c>
      <c r="B16242" s="4">
        <v>258139</v>
      </c>
      <c r="D16242" s="5">
        <v>258139</v>
      </c>
      <c r="E16242" s="6" t="str">
        <f>HYPERLINK("https://inpn.mnhn.fr/espece/cd_nom/258139","Cheilosia vujici Claussen &amp; Doczkal, 1998")</f>
        <v>Cheilosia vujici Claussen &amp; Doczkal, 1998</v>
      </c>
      <c r="O16242" s="7" t="str">
        <f>HYPERLINK("#Liste_rouge!A"&amp;_xlfn.XMATCH("EN",Liste_rouge!A:A,2,1),"EN")</f>
        <v>EN</v>
      </c>
      <c r="P16242" s="7" t="str">
        <f>HYPERLINK("#Liste_rouge!A"&amp;_xlfn.XMATCH("EN",Liste_rouge!A:A,2,1),"EN")</f>
        <v>EN</v>
      </c>
      <c r="AH16242" s="4" t="str">
        <f>HYPERLINK("#Statut_biogéographique!A"&amp;_xlfn.XMATCH("P",Statut_biogéographique!A:A,2,1),"P")</f>
        <v>P</v>
      </c>
      <c r="AP16242" s="4" t="s">
        <v>376</v>
      </c>
      <c r="AR16242" s="4" t="s">
        <v>377</v>
      </c>
    </row>
    <row r="16243" spans="1:44">
      <c r="A16243" s="4" t="s">
        <v>10753</v>
      </c>
      <c r="B16243" s="4">
        <v>258212</v>
      </c>
      <c r="D16243" s="5" t="s">
        <v>19823</v>
      </c>
      <c r="E16243" s="6" t="str">
        <f>HYPERLINK("https://inpn.mnhn.fr/espece/cd_nom/258212","Lejota ruficornis (Zetterstedt, 1843)")</f>
        <v>Lejota ruficornis (Zetterstedt, 1843)</v>
      </c>
      <c r="P16243" s="7" t="str">
        <f>HYPERLINK("#Liste_rouge!A"&amp;_xlfn.XMATCH("LC",Liste_rouge!A:A,2,1),"LC")</f>
        <v>LC</v>
      </c>
      <c r="AH16243" s="4" t="str">
        <f>HYPERLINK("#Statut_biogéographique!A"&amp;_xlfn.XMATCH("P",Statut_biogéographique!A:A,2,1),"P")</f>
        <v>P</v>
      </c>
      <c r="AP16243" s="4" t="s">
        <v>376</v>
      </c>
      <c r="AR16243" s="4" t="s">
        <v>377</v>
      </c>
    </row>
    <row r="16244" spans="1:44">
      <c r="A16244" s="4" t="s">
        <v>10753</v>
      </c>
      <c r="B16244" s="4">
        <v>258224</v>
      </c>
      <c r="D16244" s="5" t="s">
        <v>19824</v>
      </c>
      <c r="E16244" s="6" t="str">
        <f>HYPERLINK("https://inpn.mnhn.fr/espece/cd_nom/258224","Melanogaster parumplicata (Loew, 1840)")</f>
        <v>Melanogaster parumplicata (Loew, 1840)</v>
      </c>
      <c r="O16244" s="7" t="str">
        <f>HYPERLINK("#Liste_rouge!A"&amp;_xlfn.XMATCH("LC",Liste_rouge!A:A,2,1),"LC")</f>
        <v>LC</v>
      </c>
      <c r="P16244" s="7" t="str">
        <f>HYPERLINK("#Liste_rouge!A"&amp;_xlfn.XMATCH("LC",Liste_rouge!A:A,2,1),"LC")</f>
        <v>LC</v>
      </c>
      <c r="AH16244" s="4" t="str">
        <f>HYPERLINK("#Statut_biogéographique!A"&amp;_xlfn.XMATCH("P",Statut_biogéographique!A:A,2,1),"P")</f>
        <v>P</v>
      </c>
      <c r="AP16244" s="4" t="s">
        <v>376</v>
      </c>
      <c r="AR16244" s="4" t="s">
        <v>377</v>
      </c>
    </row>
    <row r="16245" spans="1:44" ht="45">
      <c r="A16245" s="4" t="s">
        <v>10753</v>
      </c>
      <c r="B16245" s="4">
        <v>258277</v>
      </c>
      <c r="D16245" s="5">
        <v>258277</v>
      </c>
      <c r="E16245" s="6" t="str">
        <f>HYPERLINK("https://inpn.mnhn.fr/espece/cd_nom/258277","Microdon myrmicae Schönrogge, Barr, Wardlaw, Napper, Gardner, Breen, Elmes &amp; Thoma, 2002")</f>
        <v>Microdon myrmicae Schönrogge, Barr, Wardlaw, Napper, Gardner, Breen, Elmes &amp; Thoma, 2002</v>
      </c>
      <c r="O16245" s="7" t="str">
        <f>HYPERLINK("#Liste_rouge!A"&amp;_xlfn.XMATCH("VU",Liste_rouge!A:A,2,1),"VU")</f>
        <v>VU</v>
      </c>
      <c r="P16245" s="7" t="str">
        <f>HYPERLINK("#Liste_rouge!A"&amp;_xlfn.XMATCH("VU",Liste_rouge!A:A,2,1),"VU")</f>
        <v>VU</v>
      </c>
      <c r="AH16245" s="4" t="str">
        <f>HYPERLINK("#Statut_biogéographique!A"&amp;_xlfn.XMATCH("P",Statut_biogéographique!A:A,2,1),"P")</f>
        <v>P</v>
      </c>
      <c r="AP16245" s="4" t="s">
        <v>376</v>
      </c>
      <c r="AR16245" s="4" t="s">
        <v>377</v>
      </c>
    </row>
    <row r="16246" spans="1:44">
      <c r="A16246" s="4" t="s">
        <v>10753</v>
      </c>
      <c r="B16246" s="4">
        <v>258312</v>
      </c>
      <c r="D16246" s="5">
        <v>258312</v>
      </c>
      <c r="E16246" s="6" t="str">
        <f>HYPERLINK("https://inpn.mnhn.fr/espece/cd_nom/258312","Pipizella mongolorum Stackelberg, 1952")</f>
        <v>Pipizella mongolorum Stackelberg, 1952</v>
      </c>
      <c r="P16246" s="7" t="str">
        <f>HYPERLINK("#Liste_rouge!A"&amp;_xlfn.XMATCH("EN",Liste_rouge!A:A,2,1),"EN")</f>
        <v>EN</v>
      </c>
      <c r="AH16246" s="4" t="str">
        <f>HYPERLINK("#Statut_biogéographique!A"&amp;_xlfn.XMATCH("P",Statut_biogéographique!A:A,2,1),"P")</f>
        <v>P</v>
      </c>
      <c r="AP16246" s="4" t="s">
        <v>376</v>
      </c>
      <c r="AR16246" s="4" t="s">
        <v>377</v>
      </c>
    </row>
    <row r="16247" spans="1:44">
      <c r="A16247" s="4" t="s">
        <v>10753</v>
      </c>
      <c r="B16247" s="4">
        <v>258323</v>
      </c>
      <c r="D16247" s="5">
        <v>258323</v>
      </c>
      <c r="E16247" s="6" t="str">
        <f>HYPERLINK("https://inpn.mnhn.fr/espece/cd_nom/258323","Platycheirus jaerensis Nielsen, 1971")</f>
        <v>Platycheirus jaerensis Nielsen, 1971</v>
      </c>
      <c r="P16247" s="7" t="str">
        <f>HYPERLINK("#Liste_rouge!A"&amp;_xlfn.XMATCH("LC",Liste_rouge!A:A,2,1),"LC")</f>
        <v>LC</v>
      </c>
      <c r="AH16247" s="4" t="str">
        <f>HYPERLINK("#Statut_biogéographique!A"&amp;_xlfn.XMATCH("P",Statut_biogéographique!A:A,2,1),"P")</f>
        <v>P</v>
      </c>
      <c r="AP16247" s="4" t="s">
        <v>376</v>
      </c>
      <c r="AR16247" s="4" t="s">
        <v>377</v>
      </c>
    </row>
    <row r="16248" spans="1:44">
      <c r="A16248" s="4" t="s">
        <v>10753</v>
      </c>
      <c r="B16248" s="4">
        <v>258352</v>
      </c>
      <c r="D16248" s="5">
        <v>258352</v>
      </c>
      <c r="E16248" s="6" t="str">
        <f>HYPERLINK("https://inpn.mnhn.fr/espece/cd_nom/258352","Sphegina montana Becker, 1921")</f>
        <v>Sphegina montana Becker, 1921</v>
      </c>
      <c r="P16248" s="7" t="str">
        <f>HYPERLINK("#Liste_rouge!A"&amp;_xlfn.XMATCH("LC",Liste_rouge!A:A,2,1),"LC")</f>
        <v>LC</v>
      </c>
      <c r="AH16248" s="4" t="str">
        <f>HYPERLINK("#Statut_biogéographique!A"&amp;_xlfn.XMATCH("P",Statut_biogéographique!A:A,2,1),"P")</f>
        <v>P</v>
      </c>
      <c r="AP16248" s="4" t="s">
        <v>376</v>
      </c>
      <c r="AR16248" s="4" t="s">
        <v>377</v>
      </c>
    </row>
    <row r="16249" spans="1:44">
      <c r="A16249" s="4" t="s">
        <v>10753</v>
      </c>
      <c r="B16249" s="4">
        <v>258365</v>
      </c>
      <c r="D16249" s="5">
        <v>258365</v>
      </c>
      <c r="E16249" s="6" t="str">
        <f>HYPERLINK("https://inpn.mnhn.fr/espece/cd_nom/258365","Syrphus auberti Goeldlin, 1996")</f>
        <v>Syrphus auberti Goeldlin, 1996</v>
      </c>
      <c r="O16249" s="7" t="str">
        <f>HYPERLINK("#Liste_rouge!A"&amp;_xlfn.XMATCH("EN",Liste_rouge!A:A,2,1),"EN")</f>
        <v>EN</v>
      </c>
      <c r="P16249" s="7" t="str">
        <f>HYPERLINK("#Liste_rouge!A"&amp;_xlfn.XMATCH("EN",Liste_rouge!A:A,2,1),"EN")</f>
        <v>EN</v>
      </c>
      <c r="AH16249" s="4" t="str">
        <f>HYPERLINK("#Statut_biogéographique!A"&amp;_xlfn.XMATCH("P",Statut_biogéographique!A:A,2,1),"P")</f>
        <v>P</v>
      </c>
      <c r="AP16249" s="4" t="s">
        <v>376</v>
      </c>
      <c r="AR16249" s="4" t="s">
        <v>377</v>
      </c>
    </row>
    <row r="16250" spans="1:44">
      <c r="A16250" s="4" t="s">
        <v>10753</v>
      </c>
      <c r="B16250" s="4">
        <v>258370</v>
      </c>
      <c r="D16250" s="5" t="s">
        <v>19825</v>
      </c>
      <c r="E16250" s="6" t="str">
        <f>HYPERLINK("https://inpn.mnhn.fr/espece/cd_nom/258370","Xanthogramma dives (Rondani, 1857)")</f>
        <v>Xanthogramma dives (Rondani, 1857)</v>
      </c>
      <c r="P16250" s="7" t="str">
        <f>HYPERLINK("#Liste_rouge!A"&amp;_xlfn.XMATCH("LC",Liste_rouge!A:A,2,1),"LC")</f>
        <v>LC</v>
      </c>
      <c r="AH16250" s="4" t="str">
        <f>HYPERLINK("#Statut_biogéographique!A"&amp;_xlfn.XMATCH("P",Statut_biogéographique!A:A,2,1),"P")</f>
        <v>P</v>
      </c>
      <c r="AP16250" s="4" t="s">
        <v>376</v>
      </c>
      <c r="AR16250" s="4" t="s">
        <v>377</v>
      </c>
    </row>
    <row r="16251" spans="1:44">
      <c r="A16251" s="4" t="s">
        <v>10753</v>
      </c>
      <c r="B16251" s="4">
        <v>258372</v>
      </c>
      <c r="D16251" s="5">
        <v>258372</v>
      </c>
      <c r="E16251" s="6" t="str">
        <f>HYPERLINK("https://inpn.mnhn.fr/espece/cd_nom/258372","Xanthogramma stackelbergi Violovitsh, 1975")</f>
        <v>Xanthogramma stackelbergi Violovitsh, 1975</v>
      </c>
      <c r="P16251" s="7" t="str">
        <f>HYPERLINK("#Liste_rouge!A"&amp;_xlfn.XMATCH("LC",Liste_rouge!A:A,2,1),"LC")</f>
        <v>LC</v>
      </c>
      <c r="AH16251" s="4" t="str">
        <f>HYPERLINK("#Statut_biogéographique!A"&amp;_xlfn.XMATCH("P",Statut_biogéographique!A:A,2,1),"P")</f>
        <v>P</v>
      </c>
      <c r="AP16251" s="4" t="s">
        <v>376</v>
      </c>
      <c r="AR16251" s="4" t="s">
        <v>377</v>
      </c>
    </row>
    <row r="16252" spans="1:44" ht="30">
      <c r="A16252" s="4" t="s">
        <v>10753</v>
      </c>
      <c r="B16252" s="4">
        <v>25839</v>
      </c>
      <c r="D16252" s="5" t="s">
        <v>19826</v>
      </c>
      <c r="E16252" s="6" t="str">
        <f>HYPERLINK("https://inpn.mnhn.fr/espece/cd_nom/25839","Aphanotrigonum trilineatum (Meigen, 1830)")</f>
        <v>Aphanotrigonum trilineatum (Meigen, 1830)</v>
      </c>
      <c r="AH16252" s="4" t="str">
        <f>HYPERLINK("#Statut_biogéographique!A"&amp;_xlfn.XMATCH("P",Statut_biogéographique!A:A,2,1),"P")</f>
        <v>P</v>
      </c>
      <c r="AP16252" s="4" t="s">
        <v>376</v>
      </c>
      <c r="AR16252" s="4" t="s">
        <v>377</v>
      </c>
    </row>
    <row r="16253" spans="1:44" ht="30">
      <c r="A16253" s="4" t="s">
        <v>10753</v>
      </c>
      <c r="B16253" s="4">
        <v>25872</v>
      </c>
      <c r="D16253" s="5" t="s">
        <v>19827</v>
      </c>
      <c r="E16253" s="6" t="str">
        <f>HYPERLINK("https://inpn.mnhn.fr/espece/cd_nom/25872","Camarota curvipennis (Latreille, 1805)")</f>
        <v>Camarota curvipennis (Latreille, 1805)</v>
      </c>
      <c r="AH16253" s="4" t="str">
        <f>HYPERLINK("#Statut_biogéographique!A"&amp;_xlfn.XMATCH("P",Statut_biogéographique!A:A,2,1),"P")</f>
        <v>P</v>
      </c>
      <c r="AP16253" s="4" t="s">
        <v>376</v>
      </c>
      <c r="AR16253" s="4" t="s">
        <v>377</v>
      </c>
    </row>
    <row r="16254" spans="1:44">
      <c r="A16254" s="4" t="s">
        <v>10753</v>
      </c>
      <c r="B16254" s="4">
        <v>25956</v>
      </c>
      <c r="D16254" s="5">
        <v>25956</v>
      </c>
      <c r="E16254" s="6" t="str">
        <f>HYPERLINK("https://inpn.mnhn.fr/espece/cd_nom/25956","Chlorops speciosus Meigen, 1830")</f>
        <v>Chlorops speciosus Meigen, 1830</v>
      </c>
      <c r="AH16254" s="4" t="str">
        <f>HYPERLINK("#Statut_biogéographique!A"&amp;_xlfn.XMATCH("P",Statut_biogéographique!A:A,2,1),"P")</f>
        <v>P</v>
      </c>
      <c r="AP16254" s="4" t="s">
        <v>376</v>
      </c>
      <c r="AR16254" s="4" t="s">
        <v>377</v>
      </c>
    </row>
    <row r="16255" spans="1:44">
      <c r="A16255" s="4" t="s">
        <v>10753</v>
      </c>
      <c r="B16255" s="4">
        <v>25989</v>
      </c>
      <c r="D16255" s="5" t="s">
        <v>19828</v>
      </c>
      <c r="E16255" s="6" t="str">
        <f>HYPERLINK("https://inpn.mnhn.fr/espece/cd_nom/25989","Cetema cereris (Fallén, 1820)")</f>
        <v>Cetema cereris (Fallén, 1820)</v>
      </c>
      <c r="AH16255" s="4" t="str">
        <f>HYPERLINK("#Statut_biogéographique!A"&amp;_xlfn.XMATCH("P",Statut_biogéographique!A:A,2,1),"P")</f>
        <v>P</v>
      </c>
      <c r="AP16255" s="4" t="s">
        <v>376</v>
      </c>
      <c r="AR16255" s="4" t="s">
        <v>377</v>
      </c>
    </row>
    <row r="16256" spans="1:44" ht="45">
      <c r="A16256" s="4" t="s">
        <v>10753</v>
      </c>
      <c r="B16256" s="4">
        <v>26005</v>
      </c>
      <c r="D16256" s="5" t="s">
        <v>19829</v>
      </c>
      <c r="E16256" s="6" t="str">
        <f>HYPERLINK("https://inpn.mnhn.fr/espece/cd_nom/26005","Thaumatomyia notata (Meigen, 1830)")</f>
        <v>Thaumatomyia notata (Meigen, 1830)</v>
      </c>
      <c r="AH16256" s="4" t="str">
        <f>HYPERLINK("#Statut_biogéographique!A"&amp;_xlfn.XMATCH("P",Statut_biogéographique!A:A,2,1),"P")</f>
        <v>P</v>
      </c>
      <c r="AP16256" s="4" t="s">
        <v>376</v>
      </c>
      <c r="AR16256" s="4" t="s">
        <v>377</v>
      </c>
    </row>
    <row r="16257" spans="1:44" ht="30">
      <c r="A16257" s="4" t="s">
        <v>10753</v>
      </c>
      <c r="B16257" s="4">
        <v>26016</v>
      </c>
      <c r="D16257" s="5" t="s">
        <v>19830</v>
      </c>
      <c r="E16257" s="6" t="str">
        <f>HYPERLINK("https://inpn.mnhn.fr/espece/cd_nom/26016","Thaumatomyia rufa (Macquart, 1835)")</f>
        <v>Thaumatomyia rufa (Macquart, 1835)</v>
      </c>
      <c r="AH16257" s="4" t="str">
        <f>HYPERLINK("#Statut_biogéographique!A"&amp;_xlfn.XMATCH("P",Statut_biogéographique!A:A,2,1),"P")</f>
        <v>P</v>
      </c>
      <c r="AP16257" s="4" t="s">
        <v>376</v>
      </c>
      <c r="AR16257" s="4" t="s">
        <v>377</v>
      </c>
    </row>
    <row r="16258" spans="1:44">
      <c r="A16258" s="4" t="s">
        <v>10753</v>
      </c>
      <c r="B16258" s="4">
        <v>26022</v>
      </c>
      <c r="D16258" s="5" t="s">
        <v>19831</v>
      </c>
      <c r="E16258" s="6" t="str">
        <f>HYPERLINK("https://inpn.mnhn.fr/espece/cd_nom/26022","Thaumatomyia trifasciata (Zetterstedt, 1848)")</f>
        <v>Thaumatomyia trifasciata (Zetterstedt, 1848)</v>
      </c>
      <c r="AH16258" s="4" t="str">
        <f>HYPERLINK("#Statut_biogéographique!A"&amp;_xlfn.XMATCH("P",Statut_biogéographique!A:A,2,1),"P")</f>
        <v>P</v>
      </c>
      <c r="AP16258" s="4" t="s">
        <v>376</v>
      </c>
      <c r="AR16258" s="4" t="s">
        <v>377</v>
      </c>
    </row>
    <row r="16259" spans="1:44" ht="30">
      <c r="A16259" s="4" t="s">
        <v>10753</v>
      </c>
      <c r="B16259" s="4">
        <v>26040</v>
      </c>
      <c r="D16259" s="5" t="s">
        <v>19832</v>
      </c>
      <c r="E16259" s="6" t="str">
        <f>HYPERLINK("https://inpn.mnhn.fr/espece/cd_nom/26040","Lasiosina cinctipes (Meigen, 1830)")</f>
        <v>Lasiosina cinctipes (Meigen, 1830)</v>
      </c>
      <c r="AH16259" s="4" t="str">
        <f>HYPERLINK("#Statut_biogéographique!A"&amp;_xlfn.XMATCH("P",Statut_biogéographique!A:A,2,1),"P")</f>
        <v>P</v>
      </c>
      <c r="AP16259" s="4" t="s">
        <v>376</v>
      </c>
      <c r="AR16259" s="4" t="s">
        <v>377</v>
      </c>
    </row>
    <row r="16260" spans="1:44">
      <c r="A16260" s="4" t="s">
        <v>10753</v>
      </c>
      <c r="B16260" s="4">
        <v>26050</v>
      </c>
      <c r="D16260" s="5">
        <v>26050</v>
      </c>
      <c r="E16260" s="6" t="str">
        <f>HYPERLINK("https://inpn.mnhn.fr/espece/cd_nom/26050","Diastata costata Meigen, 1830")</f>
        <v>Diastata costata Meigen, 1830</v>
      </c>
      <c r="AH16260" s="4" t="str">
        <f>HYPERLINK("#Statut_biogéographique!A"&amp;_xlfn.XMATCH("P",Statut_biogéographique!A:A,2,1),"P")</f>
        <v>P</v>
      </c>
      <c r="AP16260" s="4" t="s">
        <v>376</v>
      </c>
      <c r="AR16260" s="4" t="s">
        <v>377</v>
      </c>
    </row>
    <row r="16261" spans="1:44">
      <c r="A16261" s="4" t="s">
        <v>10753</v>
      </c>
      <c r="B16261" s="4">
        <v>26054</v>
      </c>
      <c r="D16261" s="5" t="s">
        <v>19833</v>
      </c>
      <c r="E16261" s="6" t="str">
        <f>HYPERLINK("https://inpn.mnhn.fr/espece/cd_nom/26054","Diastata nebulosa (Fallén, 1823)")</f>
        <v>Diastata nebulosa (Fallén, 1823)</v>
      </c>
      <c r="AH16261" s="4" t="str">
        <f>HYPERLINK("#Statut_biogéographique!A"&amp;_xlfn.XMATCH("P",Statut_biogéographique!A:A,2,1),"P")</f>
        <v>P</v>
      </c>
      <c r="AP16261" s="4" t="s">
        <v>376</v>
      </c>
      <c r="AR16261" s="4" t="s">
        <v>377</v>
      </c>
    </row>
    <row r="16262" spans="1:44">
      <c r="A16262" s="4" t="s">
        <v>10753</v>
      </c>
      <c r="B16262" s="4">
        <v>26057</v>
      </c>
      <c r="D16262" s="5" t="s">
        <v>19834</v>
      </c>
      <c r="E16262" s="6" t="str">
        <f>HYPERLINK("https://inpn.mnhn.fr/espece/cd_nom/26057","Campichoeta obscuripennis (Meigen, 1830)")</f>
        <v>Campichoeta obscuripennis (Meigen, 1830)</v>
      </c>
      <c r="AH16262" s="4" t="str">
        <f>HYPERLINK("#Statut_biogéographique!A"&amp;_xlfn.XMATCH("P",Statut_biogéographique!A:A,2,1),"P")</f>
        <v>P</v>
      </c>
      <c r="AP16262" s="4" t="s">
        <v>376</v>
      </c>
      <c r="AR16262" s="4" t="s">
        <v>377</v>
      </c>
    </row>
    <row r="16263" spans="1:44">
      <c r="A16263" s="4" t="s">
        <v>10753</v>
      </c>
      <c r="B16263" s="4">
        <v>26059</v>
      </c>
      <c r="D16263" s="5" t="s">
        <v>19835</v>
      </c>
      <c r="E16263" s="6" t="str">
        <f>HYPERLINK("https://inpn.mnhn.fr/espece/cd_nom/26059","Campichoeta punctum (Meigen, 1830)")</f>
        <v>Campichoeta punctum (Meigen, 1830)</v>
      </c>
      <c r="AH16263" s="4" t="str">
        <f>HYPERLINK("#Statut_biogéographique!A"&amp;_xlfn.XMATCH("P",Statut_biogéographique!A:A,2,1),"P")</f>
        <v>P</v>
      </c>
      <c r="AP16263" s="4" t="s">
        <v>376</v>
      </c>
      <c r="AR16263" s="4" t="s">
        <v>377</v>
      </c>
    </row>
    <row r="16264" spans="1:44">
      <c r="A16264" s="4" t="s">
        <v>10753</v>
      </c>
      <c r="B16264" s="4">
        <v>26080</v>
      </c>
      <c r="D16264" s="5" t="s">
        <v>19836</v>
      </c>
      <c r="E16264" s="6" t="str">
        <f>HYPERLINK("https://inpn.mnhn.fr/espece/cd_nom/26080","Discomyza incurva (Fallén, 1823)")</f>
        <v>Discomyza incurva (Fallén, 1823)</v>
      </c>
      <c r="AH16264" s="4" t="str">
        <f>HYPERLINK("#Statut_biogéographique!A"&amp;_xlfn.XMATCH("P",Statut_biogéographique!A:A,2,1),"P")</f>
        <v>P</v>
      </c>
      <c r="AP16264" s="4" t="s">
        <v>376</v>
      </c>
      <c r="AR16264" s="4" t="s">
        <v>377</v>
      </c>
    </row>
    <row r="16265" spans="1:44">
      <c r="A16265" s="4" t="s">
        <v>10753</v>
      </c>
      <c r="B16265" s="4">
        <v>26106</v>
      </c>
      <c r="D16265" s="5" t="s">
        <v>19837</v>
      </c>
      <c r="E16265" s="6" t="str">
        <f>HYPERLINK("https://inpn.mnhn.fr/espece/cd_nom/26106","Psilopa polita (Macquart, 1835)")</f>
        <v>Psilopa polita (Macquart, 1835)</v>
      </c>
      <c r="AH16265" s="4" t="str">
        <f>HYPERLINK("#Statut_biogéographique!A"&amp;_xlfn.XMATCH("P",Statut_biogéographique!A:A,2,1),"P")</f>
        <v>P</v>
      </c>
      <c r="AP16265" s="4" t="s">
        <v>376</v>
      </c>
      <c r="AR16265" s="4" t="s">
        <v>377</v>
      </c>
    </row>
    <row r="16266" spans="1:44">
      <c r="A16266" s="4" t="s">
        <v>10753</v>
      </c>
      <c r="B16266" s="4">
        <v>26127</v>
      </c>
      <c r="D16266" s="5" t="s">
        <v>19838</v>
      </c>
      <c r="E16266" s="6" t="str">
        <f>HYPERLINK("https://inpn.mnhn.fr/espece/cd_nom/26127","Hydrellia obscura (Meigen, 1830)")</f>
        <v>Hydrellia obscura (Meigen, 1830)</v>
      </c>
      <c r="AH16266" s="4" t="str">
        <f>HYPERLINK("#Statut_biogéographique!A"&amp;_xlfn.XMATCH("P",Statut_biogéographique!A:A,2,1),"P")</f>
        <v>P</v>
      </c>
      <c r="AP16266" s="4" t="s">
        <v>376</v>
      </c>
      <c r="AR16266" s="4" t="s">
        <v>377</v>
      </c>
    </row>
    <row r="16267" spans="1:44">
      <c r="A16267" s="4" t="s">
        <v>10753</v>
      </c>
      <c r="B16267" s="4">
        <v>26156</v>
      </c>
      <c r="D16267" s="5" t="s">
        <v>19839</v>
      </c>
      <c r="E16267" s="6" t="str">
        <f>HYPERLINK("https://inpn.mnhn.fr/espece/cd_nom/26156","Philygria flavipes (Fallén, 1823)")</f>
        <v>Philygria flavipes (Fallén, 1823)</v>
      </c>
      <c r="AH16267" s="4" t="str">
        <f>HYPERLINK("#Statut_biogéographique!A"&amp;_xlfn.XMATCH("P",Statut_biogéographique!A:A,2,1),"P")</f>
        <v>P</v>
      </c>
      <c r="AP16267" s="4" t="s">
        <v>376</v>
      </c>
      <c r="AR16267" s="4" t="s">
        <v>377</v>
      </c>
    </row>
    <row r="16268" spans="1:44">
      <c r="A16268" s="4" t="s">
        <v>10753</v>
      </c>
      <c r="B16268" s="4">
        <v>26162</v>
      </c>
      <c r="D16268" s="5" t="s">
        <v>19840</v>
      </c>
      <c r="E16268" s="6" t="str">
        <f>HYPERLINK("https://inpn.mnhn.fr/espece/cd_nom/26162","Philygria stictica (Meigen, 1830)")</f>
        <v>Philygria stictica (Meigen, 1830)</v>
      </c>
      <c r="AH16268" s="4" t="str">
        <f>HYPERLINK("#Statut_biogéographique!A"&amp;_xlfn.XMATCH("P",Statut_biogéographique!A:A,2,1),"P")</f>
        <v>P</v>
      </c>
      <c r="AP16268" s="4" t="s">
        <v>376</v>
      </c>
      <c r="AR16268" s="4" t="s">
        <v>377</v>
      </c>
    </row>
    <row r="16269" spans="1:44">
      <c r="A16269" s="4" t="s">
        <v>10753</v>
      </c>
      <c r="B16269" s="4">
        <v>26165</v>
      </c>
      <c r="D16269" s="5" t="s">
        <v>19841</v>
      </c>
      <c r="E16269" s="6" t="str">
        <f>HYPERLINK("https://inpn.mnhn.fr/espece/cd_nom/26165","Axysta cesta (Haliday, 1833)")</f>
        <v>Axysta cesta (Haliday, 1833)</v>
      </c>
      <c r="AH16269" s="4" t="str">
        <f>HYPERLINK("#Statut_biogéographique!A"&amp;_xlfn.XMATCH("P",Statut_biogéographique!A:A,2,1),"P")</f>
        <v>P</v>
      </c>
      <c r="AP16269" s="4" t="s">
        <v>376</v>
      </c>
      <c r="AR16269" s="4" t="s">
        <v>377</v>
      </c>
    </row>
    <row r="16270" spans="1:44">
      <c r="A16270" s="4" t="s">
        <v>10753</v>
      </c>
      <c r="B16270" s="4">
        <v>26177</v>
      </c>
      <c r="D16270" s="5" t="s">
        <v>19842</v>
      </c>
      <c r="E16270" s="6" t="str">
        <f>HYPERLINK("https://inpn.mnhn.fr/espece/cd_nom/26177","Parydra (Parydra) aquila (Fallén, 1813)")</f>
        <v>Parydra (Parydra) aquila (Fallén, 1813)</v>
      </c>
      <c r="AH16270" s="4" t="str">
        <f>HYPERLINK("#Statut_biogéographique!A"&amp;_xlfn.XMATCH("P",Statut_biogéographique!A:A,2,1),"P")</f>
        <v>P</v>
      </c>
      <c r="AP16270" s="4" t="s">
        <v>376</v>
      </c>
      <c r="AR16270" s="4" t="s">
        <v>377</v>
      </c>
    </row>
    <row r="16271" spans="1:44">
      <c r="A16271" s="4" t="s">
        <v>10753</v>
      </c>
      <c r="B16271" s="4">
        <v>261816</v>
      </c>
      <c r="D16271" s="5">
        <v>261816</v>
      </c>
      <c r="E16271" s="6" t="str">
        <f>HYPERLINK("https://inpn.mnhn.fr/espece/cd_nom/261816","Stenomalina gracilis (Walker, 1834)")</f>
        <v>Stenomalina gracilis (Walker, 1834)</v>
      </c>
      <c r="AH16271" s="4" t="str">
        <f>HYPERLINK("#Statut_biogéographique!A"&amp;_xlfn.XMATCH("P",Statut_biogéographique!A:A,2,1),"P")</f>
        <v>P</v>
      </c>
      <c r="AP16271" s="4" t="s">
        <v>376</v>
      </c>
      <c r="AR16271" s="4" t="s">
        <v>377</v>
      </c>
    </row>
    <row r="16272" spans="1:44">
      <c r="A16272" s="4" t="s">
        <v>10753</v>
      </c>
      <c r="B16272" s="4">
        <v>26283</v>
      </c>
      <c r="D16272" s="5" t="s">
        <v>19843</v>
      </c>
      <c r="E16272" s="6" t="str">
        <f>HYPERLINK("https://inpn.mnhn.fr/espece/cd_nom/26283","Chymomyza fuscimana (Zetterstedt, 1838)")</f>
        <v>Chymomyza fuscimana (Zetterstedt, 1838)</v>
      </c>
      <c r="AH16272" s="4" t="str">
        <f>HYPERLINK("#Statut_biogéographique!A"&amp;_xlfn.XMATCH("P",Statut_biogéographique!A:A,2,1),"P")</f>
        <v>P</v>
      </c>
      <c r="AP16272" s="4" t="s">
        <v>376</v>
      </c>
      <c r="AR16272" s="4" t="s">
        <v>377</v>
      </c>
    </row>
    <row r="16273" spans="1:44">
      <c r="A16273" s="4" t="s">
        <v>10753</v>
      </c>
      <c r="B16273" s="4">
        <v>263225</v>
      </c>
      <c r="D16273" s="5" t="s">
        <v>19844</v>
      </c>
      <c r="E16273" s="6" t="str">
        <f>HYPERLINK("https://inpn.mnhn.fr/espece/cd_nom/263225","Hedychrum gerstaeckeri Chevrier, 1869")</f>
        <v>Hedychrum gerstaeckeri Chevrier, 1869</v>
      </c>
      <c r="AH16273" s="4" t="str">
        <f>HYPERLINK("#Statut_biogéographique!A"&amp;_xlfn.XMATCH("P",Statut_biogéographique!A:A,2,1),"P")</f>
        <v>P</v>
      </c>
      <c r="AP16273" s="4" t="s">
        <v>376</v>
      </c>
      <c r="AR16273" s="4" t="s">
        <v>377</v>
      </c>
    </row>
    <row r="16274" spans="1:44">
      <c r="A16274" s="4" t="s">
        <v>10753</v>
      </c>
      <c r="B16274" s="4">
        <v>263326</v>
      </c>
      <c r="D16274" s="5">
        <v>263326</v>
      </c>
      <c r="E16274" s="6" t="str">
        <f>HYPERLINK("https://inpn.mnhn.fr/espece/cd_nom/263326","Elampus panzeri (Fabricius, 1804)")</f>
        <v>Elampus panzeri (Fabricius, 1804)</v>
      </c>
      <c r="AH16274" s="4" t="str">
        <f>HYPERLINK("#Statut_biogéographique!A"&amp;_xlfn.XMATCH("P",Statut_biogéographique!A:A,2,1),"P")</f>
        <v>P</v>
      </c>
      <c r="AP16274" s="4" t="s">
        <v>376</v>
      </c>
      <c r="AR16274" s="4" t="s">
        <v>377</v>
      </c>
    </row>
    <row r="16275" spans="1:44">
      <c r="A16275" s="4" t="s">
        <v>10753</v>
      </c>
      <c r="B16275" s="4">
        <v>263377</v>
      </c>
      <c r="D16275" s="5" t="s">
        <v>19845</v>
      </c>
      <c r="E16275" s="6" t="str">
        <f>HYPERLINK("https://inpn.mnhn.fr/espece/cd_nom/263377","Chrysura cuprea (Rossi, 1790)")</f>
        <v>Chrysura cuprea (Rossi, 1790)</v>
      </c>
      <c r="AH16275" s="4" t="str">
        <f>HYPERLINK("#Statut_biogéographique!A"&amp;_xlfn.XMATCH("P",Statut_biogéographique!A:A,2,1),"P")</f>
        <v>P</v>
      </c>
      <c r="AP16275" s="4" t="s">
        <v>376</v>
      </c>
      <c r="AR16275" s="4" t="s">
        <v>377</v>
      </c>
    </row>
    <row r="16276" spans="1:44">
      <c r="A16276" s="4" t="s">
        <v>10753</v>
      </c>
      <c r="B16276" s="4">
        <v>26348</v>
      </c>
      <c r="D16276" s="5" t="s">
        <v>19846</v>
      </c>
      <c r="E16276" s="6" t="str">
        <f>HYPERLINK("https://inpn.mnhn.fr/espece/cd_nom/26348","Eccoptomera microps (Meigen, 1830)")</f>
        <v>Eccoptomera microps (Meigen, 1830)</v>
      </c>
      <c r="AH16276" s="4" t="str">
        <f>HYPERLINK("#Statut_biogéographique!A"&amp;_xlfn.XMATCH("P",Statut_biogéographique!A:A,2,1),"P")</f>
        <v>P</v>
      </c>
      <c r="AP16276" s="4" t="s">
        <v>376</v>
      </c>
      <c r="AR16276" s="4" t="s">
        <v>377</v>
      </c>
    </row>
    <row r="16277" spans="1:44">
      <c r="A16277" s="4" t="s">
        <v>10753</v>
      </c>
      <c r="B16277" s="4">
        <v>26349</v>
      </c>
      <c r="D16277" s="5" t="s">
        <v>19847</v>
      </c>
      <c r="E16277" s="6" t="str">
        <f>HYPERLINK("https://inpn.mnhn.fr/espece/cd_nom/26349","Eccoptomera obscura (Meigen, 1830)")</f>
        <v>Eccoptomera obscura (Meigen, 1830)</v>
      </c>
      <c r="AH16277" s="4" t="str">
        <f>HYPERLINK("#Statut_biogéographique!A"&amp;_xlfn.XMATCH("P",Statut_biogéographique!A:A,2,1),"P")</f>
        <v>P</v>
      </c>
      <c r="AP16277" s="4" t="s">
        <v>376</v>
      </c>
      <c r="AR16277" s="4" t="s">
        <v>377</v>
      </c>
    </row>
    <row r="16278" spans="1:44">
      <c r="A16278" s="4" t="s">
        <v>10753</v>
      </c>
      <c r="B16278" s="4">
        <v>26351</v>
      </c>
      <c r="D16278" s="5" t="s">
        <v>19848</v>
      </c>
      <c r="E16278" s="6" t="str">
        <f>HYPERLINK("https://inpn.mnhn.fr/espece/cd_nom/26351","Eccoptomera pallescens (Meigen, 1830)")</f>
        <v>Eccoptomera pallescens (Meigen, 1830)</v>
      </c>
      <c r="AH16278" s="4" t="str">
        <f>HYPERLINK("#Statut_biogéographique!A"&amp;_xlfn.XMATCH("P",Statut_biogéographique!A:A,2,1),"P")</f>
        <v>P</v>
      </c>
      <c r="AP16278" s="4" t="s">
        <v>376</v>
      </c>
      <c r="AR16278" s="4" t="s">
        <v>377</v>
      </c>
    </row>
    <row r="16279" spans="1:44">
      <c r="A16279" s="4" t="s">
        <v>10753</v>
      </c>
      <c r="B16279" s="4">
        <v>26394</v>
      </c>
      <c r="D16279" s="5" t="s">
        <v>19849</v>
      </c>
      <c r="E16279" s="6" t="str">
        <f>HYPERLINK("https://inpn.mnhn.fr/espece/cd_nom/26394","Suillia affinis (Meigen, 1830)")</f>
        <v>Suillia affinis (Meigen, 1830)</v>
      </c>
      <c r="AH16279" s="4" t="str">
        <f>HYPERLINK("#Statut_biogéographique!A"&amp;_xlfn.XMATCH("P",Statut_biogéographique!A:A,2,1),"P")</f>
        <v>P</v>
      </c>
      <c r="AP16279" s="4" t="s">
        <v>376</v>
      </c>
      <c r="AR16279" s="4" t="s">
        <v>377</v>
      </c>
    </row>
    <row r="16280" spans="1:44">
      <c r="A16280" s="4" t="s">
        <v>10753</v>
      </c>
      <c r="B16280" s="4">
        <v>26395</v>
      </c>
      <c r="D16280" s="5" t="s">
        <v>19850</v>
      </c>
      <c r="E16280" s="6" t="str">
        <f>HYPERLINK("https://inpn.mnhn.fr/espece/cd_nom/26395","Suillia atricornis (Meigen, 1830)")</f>
        <v>Suillia atricornis (Meigen, 1830)</v>
      </c>
      <c r="AH16280" s="4" t="str">
        <f>HYPERLINK("#Statut_biogéographique!A"&amp;_xlfn.XMATCH("P",Statut_biogéographique!A:A,2,1),"P")</f>
        <v>P</v>
      </c>
      <c r="AP16280" s="4" t="s">
        <v>376</v>
      </c>
      <c r="AR16280" s="4" t="s">
        <v>377</v>
      </c>
    </row>
    <row r="16281" spans="1:44">
      <c r="A16281" s="4" t="s">
        <v>10753</v>
      </c>
      <c r="B16281" s="4">
        <v>26396</v>
      </c>
      <c r="D16281" s="5" t="s">
        <v>19851</v>
      </c>
      <c r="E16281" s="6" t="str">
        <f>HYPERLINK("https://inpn.mnhn.fr/espece/cd_nom/26396","Suillia bicolor (Zetterstedt, 1838)")</f>
        <v>Suillia bicolor (Zetterstedt, 1838)</v>
      </c>
      <c r="AH16281" s="4" t="str">
        <f>HYPERLINK("#Statut_biogéographique!A"&amp;_xlfn.XMATCH("P",Statut_biogéographique!A:A,2,1),"P")</f>
        <v>P</v>
      </c>
      <c r="AP16281" s="4" t="s">
        <v>376</v>
      </c>
      <c r="AR16281" s="4" t="s">
        <v>377</v>
      </c>
    </row>
    <row r="16282" spans="1:44">
      <c r="A16282" s="4" t="s">
        <v>10753</v>
      </c>
      <c r="B16282" s="4">
        <v>26397</v>
      </c>
      <c r="D16282" s="5" t="s">
        <v>19852</v>
      </c>
      <c r="E16282" s="6" t="str">
        <f>HYPERLINK("https://inpn.mnhn.fr/espece/cd_nom/26397","Suillia flava (Meigen, 1830)")</f>
        <v>Suillia flava (Meigen, 1830)</v>
      </c>
      <c r="AH16282" s="4" t="str">
        <f>HYPERLINK("#Statut_biogéographique!A"&amp;_xlfn.XMATCH("P",Statut_biogéographique!A:A,2,1),"P")</f>
        <v>P</v>
      </c>
      <c r="AP16282" s="4" t="s">
        <v>376</v>
      </c>
      <c r="AR16282" s="4" t="s">
        <v>377</v>
      </c>
    </row>
    <row r="16283" spans="1:44">
      <c r="A16283" s="4" t="s">
        <v>10753</v>
      </c>
      <c r="B16283" s="4">
        <v>26404</v>
      </c>
      <c r="D16283" s="5" t="s">
        <v>19853</v>
      </c>
      <c r="E16283" s="6" t="str">
        <f>HYPERLINK("https://inpn.mnhn.fr/espece/cd_nom/26404","Suillia pallida (Fallén, 1820)")</f>
        <v>Suillia pallida (Fallén, 1820)</v>
      </c>
      <c r="AH16283" s="4" t="str">
        <f>HYPERLINK("#Statut_biogéographique!A"&amp;_xlfn.XMATCH("P",Statut_biogéographique!A:A,2,1),"P")</f>
        <v>P</v>
      </c>
      <c r="AP16283" s="4" t="s">
        <v>376</v>
      </c>
      <c r="AR16283" s="4" t="s">
        <v>377</v>
      </c>
    </row>
    <row r="16284" spans="1:44">
      <c r="A16284" s="4" t="s">
        <v>10753</v>
      </c>
      <c r="B16284" s="4">
        <v>264065</v>
      </c>
      <c r="D16284" s="5">
        <v>264065</v>
      </c>
      <c r="E16284" s="6" t="str">
        <f>HYPERLINK("https://inpn.mnhn.fr/espece/cd_nom/264065","Stenamma westwoodii Westwood, 1839")</f>
        <v>Stenamma westwoodii Westwood, 1839</v>
      </c>
      <c r="AH16284" s="4" t="str">
        <f>HYPERLINK("#Statut_biogéographique!A"&amp;_xlfn.XMATCH("P",Statut_biogéographique!A:A,2,1),"P")</f>
        <v>P</v>
      </c>
      <c r="AP16284" s="4" t="s">
        <v>376</v>
      </c>
      <c r="AR16284" s="4" t="s">
        <v>377</v>
      </c>
    </row>
    <row r="16285" spans="1:44">
      <c r="A16285" s="4" t="s">
        <v>10753</v>
      </c>
      <c r="B16285" s="4">
        <v>26408</v>
      </c>
      <c r="D16285" s="5" t="s">
        <v>19854</v>
      </c>
      <c r="E16285" s="6" t="str">
        <f>HYPERLINK("https://inpn.mnhn.fr/espece/cd_nom/26408","Suillia vaginata (Loew, 1862)")</f>
        <v>Suillia vaginata (Loew, 1862)</v>
      </c>
      <c r="AH16285" s="4" t="str">
        <f>HYPERLINK("#Statut_biogéographique!A"&amp;_xlfn.XMATCH("P",Statut_biogéographique!A:A,2,1),"P")</f>
        <v>P</v>
      </c>
      <c r="AP16285" s="4" t="s">
        <v>376</v>
      </c>
      <c r="AR16285" s="4" t="s">
        <v>377</v>
      </c>
    </row>
    <row r="16286" spans="1:44">
      <c r="A16286" s="4" t="s">
        <v>10753</v>
      </c>
      <c r="B16286" s="4">
        <v>26409</v>
      </c>
      <c r="D16286" s="5" t="s">
        <v>19855</v>
      </c>
      <c r="E16286" s="6" t="str">
        <f>HYPERLINK("https://inpn.mnhn.fr/espece/cd_nom/26409","Suillia variegata (Loew, 1862)")</f>
        <v>Suillia variegata (Loew, 1862)</v>
      </c>
      <c r="AH16286" s="4" t="str">
        <f>HYPERLINK("#Statut_biogéographique!A"&amp;_xlfn.XMATCH("P",Statut_biogéographique!A:A,2,1),"P")</f>
        <v>P</v>
      </c>
      <c r="AP16286" s="4" t="s">
        <v>376</v>
      </c>
      <c r="AR16286" s="4" t="s">
        <v>377</v>
      </c>
    </row>
    <row r="16287" spans="1:44">
      <c r="A16287" s="4" t="s">
        <v>10753</v>
      </c>
      <c r="B16287" s="4">
        <v>26418</v>
      </c>
      <c r="D16287" s="5" t="s">
        <v>19856</v>
      </c>
      <c r="E16287" s="6" t="str">
        <f>HYPERLINK("https://inpn.mnhn.fr/espece/cd_nom/26418","Heteromyza rotundicornis (Zetterstedt, 1846)")</f>
        <v>Heteromyza rotundicornis (Zetterstedt, 1846)</v>
      </c>
      <c r="AH16287" s="4" t="str">
        <f>HYPERLINK("#Statut_biogéographique!A"&amp;_xlfn.XMATCH("P",Statut_biogéographique!A:A,2,1),"P")</f>
        <v>P</v>
      </c>
      <c r="AP16287" s="4" t="s">
        <v>376</v>
      </c>
      <c r="AR16287" s="4" t="s">
        <v>377</v>
      </c>
    </row>
    <row r="16288" spans="1:44">
      <c r="A16288" s="4" t="s">
        <v>10753</v>
      </c>
      <c r="B16288" s="4">
        <v>26420</v>
      </c>
      <c r="D16288" s="5" t="s">
        <v>19857</v>
      </c>
      <c r="E16288" s="6" t="str">
        <f>HYPERLINK("https://inpn.mnhn.fr/espece/cd_nom/26420","Tephrochlamys flavipes (Zetterstedt, 1838)")</f>
        <v>Tephrochlamys flavipes (Zetterstedt, 1838)</v>
      </c>
      <c r="AH16288" s="4" t="str">
        <f>HYPERLINK("#Statut_biogéographique!A"&amp;_xlfn.XMATCH("P",Statut_biogéographique!A:A,2,1),"P")</f>
        <v>P</v>
      </c>
      <c r="AP16288" s="4" t="s">
        <v>376</v>
      </c>
      <c r="AR16288" s="4" t="s">
        <v>377</v>
      </c>
    </row>
    <row r="16289" spans="1:44">
      <c r="A16289" s="4" t="s">
        <v>10753</v>
      </c>
      <c r="B16289" s="4">
        <v>26421</v>
      </c>
      <c r="D16289" s="5" t="s">
        <v>19858</v>
      </c>
      <c r="E16289" s="6" t="str">
        <f>HYPERLINK("https://inpn.mnhn.fr/espece/cd_nom/26421","Tephrochlamys laeta (Meigen, 1830)")</f>
        <v>Tephrochlamys laeta (Meigen, 1830)</v>
      </c>
      <c r="AH16289" s="4" t="str">
        <f>HYPERLINK("#Statut_biogéographique!A"&amp;_xlfn.XMATCH("P",Statut_biogéographique!A:A,2,1),"P")</f>
        <v>P</v>
      </c>
      <c r="AP16289" s="4" t="s">
        <v>376</v>
      </c>
      <c r="AR16289" s="4" t="s">
        <v>377</v>
      </c>
    </row>
    <row r="16290" spans="1:44" ht="30">
      <c r="A16290" s="4" t="s">
        <v>10753</v>
      </c>
      <c r="B16290" s="4">
        <v>26422</v>
      </c>
      <c r="D16290" s="5" t="s">
        <v>19859</v>
      </c>
      <c r="E16290" s="6" t="str">
        <f>HYPERLINK("https://inpn.mnhn.fr/espece/cd_nom/26422","Tephrochlamys rufiventris (Meigen, 1830)")</f>
        <v>Tephrochlamys rufiventris (Meigen, 1830)</v>
      </c>
      <c r="AH16290" s="4" t="str">
        <f>HYPERLINK("#Statut_biogéographique!A"&amp;_xlfn.XMATCH("P",Statut_biogéographique!A:A,2,1),"P")</f>
        <v>P</v>
      </c>
      <c r="AP16290" s="4" t="s">
        <v>376</v>
      </c>
      <c r="AR16290" s="4" t="s">
        <v>377</v>
      </c>
    </row>
    <row r="16291" spans="1:44" ht="30">
      <c r="A16291" s="4" t="s">
        <v>10753</v>
      </c>
      <c r="B16291" s="4">
        <v>26435</v>
      </c>
      <c r="D16291" s="5" t="s">
        <v>19860</v>
      </c>
      <c r="E16291" s="6" t="str">
        <f>HYPERLINK("https://inpn.mnhn.fr/espece/cd_nom/26435","Sphaerocera curvipes Latreille, 1805")</f>
        <v>Sphaerocera curvipes Latreille, 1805</v>
      </c>
      <c r="AH16291" s="4" t="str">
        <f>HYPERLINK("#Statut_biogéographique!A"&amp;_xlfn.XMATCH("P",Statut_biogéographique!A:A,2,1),"P")</f>
        <v>P</v>
      </c>
      <c r="AP16291" s="4" t="s">
        <v>376</v>
      </c>
      <c r="AR16291" s="4" t="s">
        <v>377</v>
      </c>
    </row>
    <row r="16292" spans="1:44">
      <c r="A16292" s="4" t="s">
        <v>10753</v>
      </c>
      <c r="B16292" s="4">
        <v>264382</v>
      </c>
      <c r="D16292" s="5" t="s">
        <v>19861</v>
      </c>
      <c r="E16292" s="6" t="str">
        <f>HYPERLINK("https://inpn.mnhn.fr/espece/cd_nom/264382","Lasius rabaudi (Bondroit, 1917)")</f>
        <v>Lasius rabaudi (Bondroit, 1917)</v>
      </c>
      <c r="AH16292" s="4" t="str">
        <f>HYPERLINK("#Statut_biogéographique!A"&amp;_xlfn.XMATCH("P",Statut_biogéographique!A:A,2,1),"P")</f>
        <v>P</v>
      </c>
      <c r="AP16292" s="4" t="s">
        <v>376</v>
      </c>
      <c r="AR16292" s="4" t="s">
        <v>377</v>
      </c>
    </row>
    <row r="16293" spans="1:44">
      <c r="A16293" s="4" t="s">
        <v>10753</v>
      </c>
      <c r="B16293" s="4">
        <v>264388</v>
      </c>
      <c r="D16293" s="5">
        <v>264388</v>
      </c>
      <c r="E16293" s="6" t="str">
        <f>HYPERLINK("https://inpn.mnhn.fr/espece/cd_nom/264388","Lasius paralienus Seifert, 1992")</f>
        <v>Lasius paralienus Seifert, 1992</v>
      </c>
      <c r="AH16293" s="4" t="str">
        <f>HYPERLINK("#Statut_biogéographique!A"&amp;_xlfn.XMATCH("P",Statut_biogéographique!A:A,2,1),"P")</f>
        <v>P</v>
      </c>
      <c r="AP16293" s="4" t="s">
        <v>376</v>
      </c>
      <c r="AR16293" s="4" t="s">
        <v>377</v>
      </c>
    </row>
    <row r="16294" spans="1:44">
      <c r="A16294" s="4" t="s">
        <v>10753</v>
      </c>
      <c r="B16294" s="4">
        <v>26442</v>
      </c>
      <c r="D16294" s="5" t="s">
        <v>19862</v>
      </c>
      <c r="E16294" s="6" t="str">
        <f>HYPERLINK("https://inpn.mnhn.fr/espece/cd_nom/26442","Ischiolepta pusilla (Fallén, 1820)")</f>
        <v>Ischiolepta pusilla (Fallén, 1820)</v>
      </c>
      <c r="AH16294" s="4" t="str">
        <f>HYPERLINK("#Statut_biogéographique!A"&amp;_xlfn.XMATCH("P",Statut_biogéographique!A:A,2,1),"P")</f>
        <v>P</v>
      </c>
      <c r="AP16294" s="4" t="s">
        <v>376</v>
      </c>
      <c r="AR16294" s="4" t="s">
        <v>377</v>
      </c>
    </row>
    <row r="16295" spans="1:44" ht="30">
      <c r="A16295" s="4" t="s">
        <v>10753</v>
      </c>
      <c r="B16295" s="4">
        <v>26454</v>
      </c>
      <c r="D16295" s="5" t="s">
        <v>19863</v>
      </c>
      <c r="E16295" s="6" t="str">
        <f>HYPERLINK("https://inpn.mnhn.fr/espece/cd_nom/26454","Copromyza stercoraria (Meigen, 1830)")</f>
        <v>Copromyza stercoraria (Meigen, 1830)</v>
      </c>
      <c r="AH16295" s="4" t="str">
        <f>HYPERLINK("#Statut_biogéographique!A"&amp;_xlfn.XMATCH("P",Statut_biogéographique!A:A,2,1),"P")</f>
        <v>P</v>
      </c>
      <c r="AP16295" s="4" t="s">
        <v>376</v>
      </c>
      <c r="AR16295" s="4" t="s">
        <v>377</v>
      </c>
    </row>
    <row r="16296" spans="1:44" ht="30">
      <c r="A16296" s="4" t="s">
        <v>10753</v>
      </c>
      <c r="B16296" s="4">
        <v>26458</v>
      </c>
      <c r="D16296" s="5" t="s">
        <v>19864</v>
      </c>
      <c r="E16296" s="6" t="str">
        <f>HYPERLINK("https://inpn.mnhn.fr/espece/cd_nom/26458","Lotophila atra (Meigen, 1830)")</f>
        <v>Lotophila atra (Meigen, 1830)</v>
      </c>
      <c r="AH16296" s="4" t="str">
        <f>HYPERLINK("#Statut_biogéographique!A"&amp;_xlfn.XMATCH("P",Statut_biogéographique!A:A,2,1),"P")</f>
        <v>P</v>
      </c>
      <c r="AP16296" s="4" t="s">
        <v>376</v>
      </c>
      <c r="AR16296" s="4" t="s">
        <v>377</v>
      </c>
    </row>
    <row r="16297" spans="1:44">
      <c r="A16297" s="4" t="s">
        <v>10753</v>
      </c>
      <c r="B16297" s="4">
        <v>26464</v>
      </c>
      <c r="D16297" s="5" t="s">
        <v>19865</v>
      </c>
      <c r="E16297" s="6" t="str">
        <f>HYPERLINK("https://inpn.mnhn.fr/espece/cd_nom/26464","Borborillus uncinatus (Duda, 1923)")</f>
        <v>Borborillus uncinatus (Duda, 1923)</v>
      </c>
      <c r="AH16297" s="4" t="str">
        <f>HYPERLINK("#Statut_biogéographique!A"&amp;_xlfn.XMATCH("P",Statut_biogéographique!A:A,2,1),"P")</f>
        <v>P</v>
      </c>
      <c r="AP16297" s="4" t="s">
        <v>376</v>
      </c>
      <c r="AR16297" s="4" t="s">
        <v>377</v>
      </c>
    </row>
    <row r="16298" spans="1:44">
      <c r="A16298" s="4" t="s">
        <v>10753</v>
      </c>
      <c r="B16298" s="4">
        <v>26472</v>
      </c>
      <c r="D16298" s="5" t="s">
        <v>19866</v>
      </c>
      <c r="E16298" s="6" t="str">
        <f>HYPERLINK("https://inpn.mnhn.fr/espece/cd_nom/26472","Crumomyia fimetaria (Meigen, 1830)")</f>
        <v>Crumomyia fimetaria (Meigen, 1830)</v>
      </c>
      <c r="AH16298" s="4" t="str">
        <f>HYPERLINK("#Statut_biogéographique!A"&amp;_xlfn.XMATCH("P",Statut_biogéographique!A:A,2,1),"P")</f>
        <v>P</v>
      </c>
      <c r="AP16298" s="4" t="s">
        <v>376</v>
      </c>
      <c r="AR16298" s="4" t="s">
        <v>377</v>
      </c>
    </row>
    <row r="16299" spans="1:44">
      <c r="A16299" s="4" t="s">
        <v>10753</v>
      </c>
      <c r="B16299" s="4">
        <v>26474</v>
      </c>
      <c r="D16299" s="5" t="s">
        <v>19867</v>
      </c>
      <c r="E16299" s="6" t="str">
        <f>HYPERLINK("https://inpn.mnhn.fr/espece/cd_nom/26474","Crumomyia glabrifrons (Meigen, 1830)")</f>
        <v>Crumomyia glabrifrons (Meigen, 1830)</v>
      </c>
      <c r="AH16299" s="4" t="str">
        <f>HYPERLINK("#Statut_biogéographique!A"&amp;_xlfn.XMATCH("P",Statut_biogéographique!A:A,2,1),"P")</f>
        <v>P</v>
      </c>
      <c r="AP16299" s="4" t="s">
        <v>376</v>
      </c>
      <c r="AR16299" s="4" t="s">
        <v>377</v>
      </c>
    </row>
    <row r="16300" spans="1:44">
      <c r="A16300" s="4" t="s">
        <v>10753</v>
      </c>
      <c r="B16300" s="4">
        <v>26476</v>
      </c>
      <c r="D16300" s="5" t="s">
        <v>19868</v>
      </c>
      <c r="E16300" s="6" t="str">
        <f>HYPERLINK("https://inpn.mnhn.fr/espece/cd_nom/26476","Crumomyia glacialis (Meigen, 1830)")</f>
        <v>Crumomyia glacialis (Meigen, 1830)</v>
      </c>
      <c r="AH16300" s="4" t="str">
        <f>HYPERLINK("#Statut_biogéographique!A"&amp;_xlfn.XMATCH("P",Statut_biogéographique!A:A,2,1),"P")</f>
        <v>P</v>
      </c>
      <c r="AP16300" s="4" t="s">
        <v>376</v>
      </c>
      <c r="AR16300" s="4" t="s">
        <v>377</v>
      </c>
    </row>
    <row r="16301" spans="1:44">
      <c r="A16301" s="4" t="s">
        <v>10753</v>
      </c>
      <c r="B16301" s="4">
        <v>26478</v>
      </c>
      <c r="D16301" s="5" t="s">
        <v>19869</v>
      </c>
      <c r="E16301" s="6" t="str">
        <f>HYPERLINK("https://inpn.mnhn.fr/espece/cd_nom/26478","Crumomyia nitida (Meigen, 1830)")</f>
        <v>Crumomyia nitida (Meigen, 1830)</v>
      </c>
      <c r="AH16301" s="4" t="str">
        <f>HYPERLINK("#Statut_biogéographique!A"&amp;_xlfn.XMATCH("P",Statut_biogéographique!A:A,2,1),"P")</f>
        <v>P</v>
      </c>
      <c r="AP16301" s="4" t="s">
        <v>376</v>
      </c>
      <c r="AR16301" s="4" t="s">
        <v>377</v>
      </c>
    </row>
    <row r="16302" spans="1:44">
      <c r="A16302" s="4" t="s">
        <v>10753</v>
      </c>
      <c r="B16302" s="4">
        <v>26489</v>
      </c>
      <c r="D16302" s="5" t="s">
        <v>19870</v>
      </c>
      <c r="E16302" s="6" t="str">
        <f>HYPERLINK("https://inpn.mnhn.fr/espece/cd_nom/26489","Coproica ferruginata (Stenhammar, 1855)")</f>
        <v>Coproica ferruginata (Stenhammar, 1855)</v>
      </c>
      <c r="AH16302" s="4" t="str">
        <f>HYPERLINK("#Statut_biogéographique!A"&amp;_xlfn.XMATCH("P",Statut_biogéographique!A:A,2,1),"P")</f>
        <v>P</v>
      </c>
      <c r="AP16302" s="4" t="s">
        <v>376</v>
      </c>
      <c r="AR16302" s="4" t="s">
        <v>377</v>
      </c>
    </row>
    <row r="16303" spans="1:44">
      <c r="A16303" s="4" t="s">
        <v>10753</v>
      </c>
      <c r="B16303" s="4">
        <v>26490</v>
      </c>
      <c r="D16303" s="5">
        <v>26490</v>
      </c>
      <c r="E16303" s="6" t="str">
        <f>HYPERLINK("https://inpn.mnhn.fr/espece/cd_nom/26490","Coproica hirticula Collin, 1956")</f>
        <v>Coproica hirticula Collin, 1956</v>
      </c>
      <c r="AH16303" s="4" t="str">
        <f>HYPERLINK("#Statut_biogéographique!A"&amp;_xlfn.XMATCH("P",Statut_biogéographique!A:A,2,1),"P")</f>
        <v>P</v>
      </c>
      <c r="AP16303" s="4" t="s">
        <v>376</v>
      </c>
      <c r="AR16303" s="4" t="s">
        <v>377</v>
      </c>
    </row>
    <row r="16304" spans="1:44">
      <c r="A16304" s="4" t="s">
        <v>10753</v>
      </c>
      <c r="B16304" s="4">
        <v>26522</v>
      </c>
      <c r="D16304" s="5" t="s">
        <v>19871</v>
      </c>
      <c r="E16304" s="6" t="str">
        <f>HYPERLINK("https://inpn.mnhn.fr/espece/cd_nom/26522","Opacifrons coxata (Stenhammar, 1854)")</f>
        <v>Opacifrons coxata (Stenhammar, 1854)</v>
      </c>
      <c r="AH16304" s="4" t="str">
        <f>HYPERLINK("#Statut_biogéographique!A"&amp;_xlfn.XMATCH("P",Statut_biogéographique!A:A,2,1),"P")</f>
        <v>P</v>
      </c>
      <c r="AP16304" s="4" t="s">
        <v>376</v>
      </c>
      <c r="AR16304" s="4" t="s">
        <v>377</v>
      </c>
    </row>
    <row r="16305" spans="1:44">
      <c r="A16305" s="4" t="s">
        <v>10753</v>
      </c>
      <c r="B16305" s="4">
        <v>26550</v>
      </c>
      <c r="D16305" s="5" t="s">
        <v>19872</v>
      </c>
      <c r="E16305" s="6" t="str">
        <f>HYPERLINK("https://inpn.mnhn.fr/espece/cd_nom/26550","Limosina silvatica (Meigen, 1830)")</f>
        <v>Limosina silvatica (Meigen, 1830)</v>
      </c>
      <c r="AH16305" s="4" t="str">
        <f>HYPERLINK("#Statut_biogéographique!A"&amp;_xlfn.XMATCH("P",Statut_biogéographique!A:A,2,1),"P")</f>
        <v>P</v>
      </c>
      <c r="AP16305" s="4" t="s">
        <v>376</v>
      </c>
      <c r="AR16305" s="4" t="s">
        <v>377</v>
      </c>
    </row>
    <row r="16306" spans="1:44">
      <c r="A16306" s="4" t="s">
        <v>10753</v>
      </c>
      <c r="B16306" s="4">
        <v>26552</v>
      </c>
      <c r="D16306" s="5" t="s">
        <v>19873</v>
      </c>
      <c r="E16306" s="6" t="str">
        <f>HYPERLINK("https://inpn.mnhn.fr/espece/cd_nom/26552","Gigalimosina flaviceps (Zetterstedt, 1847)")</f>
        <v>Gigalimosina flaviceps (Zetterstedt, 1847)</v>
      </c>
      <c r="AH16306" s="4" t="str">
        <f>HYPERLINK("#Statut_biogéographique!A"&amp;_xlfn.XMATCH("P",Statut_biogéographique!A:A,2,1),"P")</f>
        <v>P</v>
      </c>
      <c r="AP16306" s="4" t="s">
        <v>376</v>
      </c>
      <c r="AR16306" s="4" t="s">
        <v>377</v>
      </c>
    </row>
    <row r="16307" spans="1:44">
      <c r="A16307" s="4" t="s">
        <v>10753</v>
      </c>
      <c r="B16307" s="4">
        <v>26554</v>
      </c>
      <c r="D16307" s="5" t="s">
        <v>19874</v>
      </c>
      <c r="E16307" s="6" t="str">
        <f>HYPERLINK("https://inpn.mnhn.fr/espece/cd_nom/26554","Apteromyia claviventris (Strobl, 1909)")</f>
        <v>Apteromyia claviventris (Strobl, 1909)</v>
      </c>
      <c r="AH16307" s="4" t="str">
        <f>HYPERLINK("#Statut_biogéographique!A"&amp;_xlfn.XMATCH("P",Statut_biogéographique!A:A,2,1),"P")</f>
        <v>P</v>
      </c>
      <c r="AP16307" s="4" t="s">
        <v>376</v>
      </c>
      <c r="AR16307" s="4" t="s">
        <v>377</v>
      </c>
    </row>
    <row r="16308" spans="1:44">
      <c r="A16308" s="4" t="s">
        <v>10753</v>
      </c>
      <c r="B16308" s="4">
        <v>26556</v>
      </c>
      <c r="D16308" s="5" t="s">
        <v>19875</v>
      </c>
      <c r="E16308" s="6" t="str">
        <f>HYPERLINK("https://inpn.mnhn.fr/espece/cd_nom/26556","Herniosina bequaerti (Villeneuve, 1917)")</f>
        <v>Herniosina bequaerti (Villeneuve, 1917)</v>
      </c>
      <c r="AH16308" s="4" t="str">
        <f>HYPERLINK("#Statut_biogéographique!A"&amp;_xlfn.XMATCH("P",Statut_biogéographique!A:A,2,1),"P")</f>
        <v>P</v>
      </c>
      <c r="AP16308" s="4" t="s">
        <v>376</v>
      </c>
      <c r="AR16308" s="4" t="s">
        <v>377</v>
      </c>
    </row>
    <row r="16309" spans="1:44">
      <c r="A16309" s="4" t="s">
        <v>10753</v>
      </c>
      <c r="B16309" s="4">
        <v>26558</v>
      </c>
      <c r="D16309" s="5" t="s">
        <v>19876</v>
      </c>
      <c r="E16309" s="6" t="str">
        <f>HYPERLINK("https://inpn.mnhn.fr/espece/cd_nom/26558","Terrilimosina racovitzai (Bezzi, 1911)")</f>
        <v>Terrilimosina racovitzai (Bezzi, 1911)</v>
      </c>
      <c r="AH16309" s="4" t="str">
        <f>HYPERLINK("#Statut_biogéographique!A"&amp;_xlfn.XMATCH("P",Statut_biogéographique!A:A,2,1),"P")</f>
        <v>P</v>
      </c>
      <c r="AP16309" s="4" t="s">
        <v>376</v>
      </c>
      <c r="AR16309" s="4" t="s">
        <v>377</v>
      </c>
    </row>
    <row r="16310" spans="1:44">
      <c r="A16310" s="4" t="s">
        <v>10753</v>
      </c>
      <c r="B16310" s="4">
        <v>26560</v>
      </c>
      <c r="D16310" s="5" t="s">
        <v>19877</v>
      </c>
      <c r="E16310" s="6" t="str">
        <f>HYPERLINK("https://inpn.mnhn.fr/espece/cd_nom/26560","Terrilimosina schmitzi (Duda, 1918)")</f>
        <v>Terrilimosina schmitzi (Duda, 1918)</v>
      </c>
      <c r="AH16310" s="4" t="str">
        <f>HYPERLINK("#Statut_biogéographique!A"&amp;_xlfn.XMATCH("P",Statut_biogéographique!A:A,2,1),"P")</f>
        <v>P</v>
      </c>
      <c r="AP16310" s="4" t="s">
        <v>376</v>
      </c>
      <c r="AR16310" s="4" t="s">
        <v>377</v>
      </c>
    </row>
    <row r="16311" spans="1:44">
      <c r="A16311" s="4" t="s">
        <v>10753</v>
      </c>
      <c r="B16311" s="4">
        <v>266020</v>
      </c>
      <c r="D16311" s="5" t="s">
        <v>19878</v>
      </c>
      <c r="E16311" s="6" t="str">
        <f>HYPERLINK("https://inpn.mnhn.fr/espece/cd_nom/266020","Sialis fuliginosa Pictet, 1836")</f>
        <v>Sialis fuliginosa Pictet, 1836</v>
      </c>
      <c r="AH16311" s="4" t="str">
        <f>HYPERLINK("#Statut_biogéographique!A"&amp;_xlfn.XMATCH("P",Statut_biogéographique!A:A,2,1),"P")</f>
        <v>P</v>
      </c>
      <c r="AP16311" s="4" t="s">
        <v>376</v>
      </c>
      <c r="AR16311" s="4" t="s">
        <v>377</v>
      </c>
    </row>
    <row r="16312" spans="1:44">
      <c r="A16312" s="4" t="s">
        <v>10753</v>
      </c>
      <c r="B16312" s="4">
        <v>26607</v>
      </c>
      <c r="D16312" s="5" t="s">
        <v>19879</v>
      </c>
      <c r="E16312" s="6" t="str">
        <f>HYPERLINK("https://inpn.mnhn.fr/espece/cd_nom/26607","Chaetopodella scutellaris (Haliday, 1836)")</f>
        <v>Chaetopodella scutellaris (Haliday, 1836)</v>
      </c>
      <c r="AH16312" s="4" t="str">
        <f>HYPERLINK("#Statut_biogéographique!A"&amp;_xlfn.XMATCH("P",Statut_biogéographique!A:A,2,1),"P")</f>
        <v>P</v>
      </c>
      <c r="AP16312" s="4" t="s">
        <v>376</v>
      </c>
      <c r="AR16312" s="4" t="s">
        <v>377</v>
      </c>
    </row>
    <row r="16313" spans="1:44" ht="30">
      <c r="A16313" s="4" t="s">
        <v>10753</v>
      </c>
      <c r="B16313" s="4">
        <v>26618</v>
      </c>
      <c r="D16313" s="5" t="s">
        <v>19880</v>
      </c>
      <c r="E16313" s="6" t="str">
        <f>HYPERLINK("https://inpn.mnhn.fr/espece/cd_nom/26618","Telomerina flavipes (Meigen, 1830)")</f>
        <v>Telomerina flavipes (Meigen, 1830)</v>
      </c>
      <c r="AH16313" s="4" t="str">
        <f>HYPERLINK("#Statut_biogéographique!A"&amp;_xlfn.XMATCH("P",Statut_biogéographique!A:A,2,1),"P")</f>
        <v>P</v>
      </c>
      <c r="AP16313" s="4" t="s">
        <v>376</v>
      </c>
      <c r="AR16313" s="4" t="s">
        <v>377</v>
      </c>
    </row>
    <row r="16314" spans="1:44">
      <c r="A16314" s="4" t="s">
        <v>10753</v>
      </c>
      <c r="B16314" s="4">
        <v>26620</v>
      </c>
      <c r="D16314" s="5" t="s">
        <v>19881</v>
      </c>
      <c r="E16314" s="6" t="str">
        <f>HYPERLINK("https://inpn.mnhn.fr/espece/cd_nom/26620","Telomerina pseudoleucoptera (Duda, 1924)")</f>
        <v>Telomerina pseudoleucoptera (Duda, 1924)</v>
      </c>
      <c r="AH16314" s="4" t="str">
        <f>HYPERLINK("#Statut_biogéographique!A"&amp;_xlfn.XMATCH("P",Statut_biogéographique!A:A,2,1),"P")</f>
        <v>P</v>
      </c>
      <c r="AP16314" s="4" t="s">
        <v>376</v>
      </c>
      <c r="AR16314" s="4" t="s">
        <v>377</v>
      </c>
    </row>
    <row r="16315" spans="1:44">
      <c r="A16315" s="4" t="s">
        <v>10753</v>
      </c>
      <c r="B16315" s="4">
        <v>266410</v>
      </c>
      <c r="D16315" s="5">
        <v>266410</v>
      </c>
      <c r="E16315" s="6" t="str">
        <f>HYPERLINK("https://inpn.mnhn.fr/espece/cd_nom/266410","Sisyra iridipennis A. Costa, 1884")</f>
        <v>Sisyra iridipennis A. Costa, 1884</v>
      </c>
      <c r="AH16315" s="4" t="str">
        <f>HYPERLINK("#Statut_biogéographique!A"&amp;_xlfn.XMATCH("P",Statut_biogéographique!A:A,2,1),"P")</f>
        <v>P</v>
      </c>
      <c r="AP16315" s="4" t="s">
        <v>376</v>
      </c>
      <c r="AR16315" s="4" t="s">
        <v>377</v>
      </c>
    </row>
    <row r="16316" spans="1:44">
      <c r="A16316" s="4" t="s">
        <v>10753</v>
      </c>
      <c r="B16316" s="4">
        <v>26646</v>
      </c>
      <c r="D16316" s="5" t="s">
        <v>19882</v>
      </c>
      <c r="E16316" s="6" t="str">
        <f>HYPERLINK("https://inpn.mnhn.fr/espece/cd_nom/26646","Ornithomya avicularia (Linnaeus, 1758)")</f>
        <v>Ornithomya avicularia (Linnaeus, 1758)</v>
      </c>
      <c r="F16316" s="5" t="s">
        <v>19883</v>
      </c>
      <c r="AH16316" s="4" t="str">
        <f>HYPERLINK("#Statut_biogéographique!A"&amp;_xlfn.XMATCH("P",Statut_biogéographique!A:A,2,1),"P")</f>
        <v>P</v>
      </c>
      <c r="AP16316" s="4" t="s">
        <v>376</v>
      </c>
      <c r="AR16316" s="4" t="s">
        <v>377</v>
      </c>
    </row>
    <row r="16317" spans="1:44">
      <c r="A16317" s="4" t="s">
        <v>10753</v>
      </c>
      <c r="B16317" s="4">
        <v>266589</v>
      </c>
      <c r="D16317" s="5" t="s">
        <v>19884</v>
      </c>
      <c r="E16317" s="6" t="str">
        <f>HYPERLINK("https://inpn.mnhn.fr/espece/cd_nom/266589","Nemoura dubitans Morton, 1894")</f>
        <v>Nemoura dubitans Morton, 1894</v>
      </c>
      <c r="AH16317" s="4" t="str">
        <f>HYPERLINK("#Statut_biogéographique!A"&amp;_xlfn.XMATCH("P",Statut_biogéographique!A:A,2,1),"P")</f>
        <v>P</v>
      </c>
      <c r="AP16317" s="4" t="s">
        <v>376</v>
      </c>
      <c r="AR16317" s="4" t="s">
        <v>377</v>
      </c>
    </row>
    <row r="16318" spans="1:44">
      <c r="A16318" s="4" t="s">
        <v>10753</v>
      </c>
      <c r="B16318" s="4">
        <v>26661</v>
      </c>
      <c r="D16318" s="5" t="s">
        <v>19885</v>
      </c>
      <c r="E16318" s="6" t="str">
        <f>HYPERLINK("https://inpn.mnhn.fr/espece/cd_nom/26661","Ornithomya biloba (Dufour, 1827)")</f>
        <v>Ornithomya biloba (Dufour, 1827)</v>
      </c>
      <c r="AH16318" s="4" t="str">
        <f>HYPERLINK("#Statut_biogéographique!A"&amp;_xlfn.XMATCH("P",Statut_biogéographique!A:A,2,1),"P")</f>
        <v>P</v>
      </c>
      <c r="AP16318" s="4" t="s">
        <v>376</v>
      </c>
      <c r="AR16318" s="4" t="s">
        <v>377</v>
      </c>
    </row>
    <row r="16319" spans="1:44">
      <c r="A16319" s="4" t="s">
        <v>10753</v>
      </c>
      <c r="B16319" s="4">
        <v>26698</v>
      </c>
      <c r="D16319" s="5" t="s">
        <v>19886</v>
      </c>
      <c r="E16319" s="6" t="str">
        <f>HYPERLINK("https://inpn.mnhn.fr/espece/cd_nom/26698","Lipoptena cervi (Linnaeus, 1758)")</f>
        <v>Lipoptena cervi (Linnaeus, 1758)</v>
      </c>
      <c r="AH16319" s="4" t="str">
        <f>HYPERLINK("#Statut_biogéographique!A"&amp;_xlfn.XMATCH("P",Statut_biogéographique!A:A,2,1),"P")</f>
        <v>P</v>
      </c>
      <c r="AP16319" s="4" t="s">
        <v>376</v>
      </c>
      <c r="AR16319" s="4" t="s">
        <v>377</v>
      </c>
    </row>
    <row r="16320" spans="1:44">
      <c r="A16320" s="4" t="s">
        <v>10753</v>
      </c>
      <c r="B16320" s="4">
        <v>26763</v>
      </c>
      <c r="D16320" s="5" t="s">
        <v>19887</v>
      </c>
      <c r="E16320" s="6" t="str">
        <f>HYPERLINK("https://inpn.mnhn.fr/espece/cd_nom/26763","Cordilura pudica (Meigen, 1826)")</f>
        <v>Cordilura pudica (Meigen, 1826)</v>
      </c>
      <c r="AH16320" s="4" t="str">
        <f>HYPERLINK("#Statut_biogéographique!A"&amp;_xlfn.XMATCH("P",Statut_biogéographique!A:A,2,1),"P")</f>
        <v>P</v>
      </c>
      <c r="AP16320" s="4" t="s">
        <v>376</v>
      </c>
      <c r="AR16320" s="4" t="s">
        <v>377</v>
      </c>
    </row>
    <row r="16321" spans="1:44">
      <c r="A16321" s="4" t="s">
        <v>10753</v>
      </c>
      <c r="B16321" s="4">
        <v>26771</v>
      </c>
      <c r="D16321" s="5" t="s">
        <v>19888</v>
      </c>
      <c r="E16321" s="6" t="str">
        <f>HYPERLINK("https://inpn.mnhn.fr/espece/cd_nom/26771","Nanna articulata (Becker, 1894)")</f>
        <v>Nanna articulata (Becker, 1894)</v>
      </c>
      <c r="AH16321" s="4" t="str">
        <f>HYPERLINK("#Statut_biogéographique!A"&amp;_xlfn.XMATCH("Q",Statut_biogéographique!A:A,2,1),"Q")</f>
        <v>Q</v>
      </c>
      <c r="AP16321" s="4" t="s">
        <v>376</v>
      </c>
      <c r="AR16321" s="4" t="s">
        <v>377</v>
      </c>
    </row>
    <row r="16322" spans="1:44">
      <c r="A16322" s="4" t="s">
        <v>10753</v>
      </c>
      <c r="B16322" s="4">
        <v>26772</v>
      </c>
      <c r="D16322" s="5" t="s">
        <v>19889</v>
      </c>
      <c r="E16322" s="6" t="str">
        <f>HYPERLINK("https://inpn.mnhn.fr/espece/cd_nom/26772","Nanna fasciata (Meigen, 1826)")</f>
        <v>Nanna fasciata (Meigen, 1826)</v>
      </c>
      <c r="AH16322" s="4" t="str">
        <f>HYPERLINK("#Statut_biogéographique!A"&amp;_xlfn.XMATCH("P",Statut_biogéographique!A:A,2,1),"P")</f>
        <v>P</v>
      </c>
      <c r="AP16322" s="4" t="s">
        <v>376</v>
      </c>
      <c r="AR16322" s="4" t="s">
        <v>377</v>
      </c>
    </row>
    <row r="16323" spans="1:44">
      <c r="A16323" s="4" t="s">
        <v>10753</v>
      </c>
      <c r="B16323" s="4">
        <v>26774</v>
      </c>
      <c r="D16323" s="5" t="s">
        <v>19890</v>
      </c>
      <c r="E16323" s="6" t="str">
        <f>HYPERLINK("https://inpn.mnhn.fr/espece/cd_nom/26774","Nanna flavipes (Fallén, 1819)")</f>
        <v>Nanna flavipes (Fallén, 1819)</v>
      </c>
      <c r="AH16323" s="4" t="str">
        <f>HYPERLINK("#Statut_biogéographique!A"&amp;_xlfn.XMATCH("P",Statut_biogéographique!A:A,2,1),"P")</f>
        <v>P</v>
      </c>
      <c r="AP16323" s="4" t="s">
        <v>376</v>
      </c>
      <c r="AR16323" s="4" t="s">
        <v>377</v>
      </c>
    </row>
    <row r="16324" spans="1:44">
      <c r="A16324" s="4" t="s">
        <v>10753</v>
      </c>
      <c r="B16324" s="4">
        <v>267777</v>
      </c>
      <c r="D16324" s="5">
        <v>267777</v>
      </c>
      <c r="E16324" s="6" t="str">
        <f>HYPERLINK("https://inpn.mnhn.fr/espece/cd_nom/267777","Trioza kiefferi Giard, 1902")</f>
        <v>Trioza kiefferi Giard, 1902</v>
      </c>
      <c r="AH16324" s="4" t="str">
        <f>HYPERLINK("#Statut_biogéographique!A"&amp;_xlfn.XMATCH("P",Statut_biogéographique!A:A,2,1),"P")</f>
        <v>P</v>
      </c>
      <c r="AP16324" s="4" t="s">
        <v>376</v>
      </c>
      <c r="AR16324" s="4" t="s">
        <v>377</v>
      </c>
    </row>
    <row r="16325" spans="1:44">
      <c r="A16325" s="4" t="s">
        <v>10753</v>
      </c>
      <c r="B16325" s="4">
        <v>26778</v>
      </c>
      <c r="D16325" s="5" t="s">
        <v>19891</v>
      </c>
      <c r="E16325" s="6" t="str">
        <f>HYPERLINK("https://inpn.mnhn.fr/espece/cd_nom/26778","Nanna tibiella (Zetterstedt, 1838)")</f>
        <v>Nanna tibiella (Zetterstedt, 1838)</v>
      </c>
      <c r="AH16325" s="4" t="str">
        <f>HYPERLINK("#Statut_biogéographique!A"&amp;_xlfn.XMATCH("P",Statut_biogéographique!A:A,2,1),"P")</f>
        <v>P</v>
      </c>
      <c r="AP16325" s="4" t="s">
        <v>376</v>
      </c>
      <c r="AR16325" s="4" t="s">
        <v>377</v>
      </c>
    </row>
    <row r="16326" spans="1:44">
      <c r="A16326" s="4" t="s">
        <v>10753</v>
      </c>
      <c r="B16326" s="4">
        <v>26781</v>
      </c>
      <c r="D16326" s="5" t="s">
        <v>19892</v>
      </c>
      <c r="E16326" s="6" t="str">
        <f>HYPERLINK("https://inpn.mnhn.fr/espece/cd_nom/26781","Cleigastra apicalis (Meigen, 1826)")</f>
        <v>Cleigastra apicalis (Meigen, 1826)</v>
      </c>
      <c r="AH16326" s="4" t="str">
        <f>HYPERLINK("#Statut_biogéographique!A"&amp;_xlfn.XMATCH("P",Statut_biogéographique!A:A,2,1),"P")</f>
        <v>P</v>
      </c>
      <c r="AP16326" s="4" t="s">
        <v>376</v>
      </c>
      <c r="AR16326" s="4" t="s">
        <v>377</v>
      </c>
    </row>
    <row r="16327" spans="1:44">
      <c r="A16327" s="4" t="s">
        <v>10753</v>
      </c>
      <c r="B16327" s="4">
        <v>26789</v>
      </c>
      <c r="D16327" s="5" t="s">
        <v>19893</v>
      </c>
      <c r="E16327" s="6" t="str">
        <f>HYPERLINK("https://inpn.mnhn.fr/espece/cd_nom/26789","Chaetosa punctipes (Meigen, 1826)")</f>
        <v>Chaetosa punctipes (Meigen, 1826)</v>
      </c>
      <c r="AH16327" s="4" t="str">
        <f>HYPERLINK("#Statut_biogéographique!A"&amp;_xlfn.XMATCH("P",Statut_biogéographique!A:A,2,1),"P")</f>
        <v>P</v>
      </c>
      <c r="AP16327" s="4" t="s">
        <v>376</v>
      </c>
      <c r="AR16327" s="4" t="s">
        <v>377</v>
      </c>
    </row>
    <row r="16328" spans="1:44">
      <c r="A16328" s="4" t="s">
        <v>10753</v>
      </c>
      <c r="B16328" s="4">
        <v>26796</v>
      </c>
      <c r="D16328" s="5" t="s">
        <v>19894</v>
      </c>
      <c r="E16328" s="6" t="str">
        <f>HYPERLINK("https://inpn.mnhn.fr/espece/cd_nom/26796","Scathophaga furcata (Say, 1823)")</f>
        <v>Scathophaga furcata (Say, 1823)</v>
      </c>
      <c r="AH16328" s="4" t="str">
        <f>HYPERLINK("#Statut_biogéographique!A"&amp;_xlfn.XMATCH("P",Statut_biogéographique!A:A,2,1),"P")</f>
        <v>P</v>
      </c>
      <c r="AP16328" s="4" t="s">
        <v>376</v>
      </c>
      <c r="AR16328" s="4" t="s">
        <v>377</v>
      </c>
    </row>
    <row r="16329" spans="1:44">
      <c r="A16329" s="4" t="s">
        <v>10753</v>
      </c>
      <c r="B16329" s="4">
        <v>26798</v>
      </c>
      <c r="D16329" s="5" t="s">
        <v>19895</v>
      </c>
      <c r="E16329" s="6" t="str">
        <f>HYPERLINK("https://inpn.mnhn.fr/espece/cd_nom/26798","Scathophaga inquinata Meigen, 1826")</f>
        <v>Scathophaga inquinata Meigen, 1826</v>
      </c>
      <c r="AH16329" s="4" t="str">
        <f>HYPERLINK("#Statut_biogéographique!A"&amp;_xlfn.XMATCH("P",Statut_biogéographique!A:A,2,1),"P")</f>
        <v>P</v>
      </c>
      <c r="AP16329" s="4" t="s">
        <v>376</v>
      </c>
      <c r="AR16329" s="4" t="s">
        <v>377</v>
      </c>
    </row>
    <row r="16330" spans="1:44">
      <c r="A16330" s="4" t="s">
        <v>10753</v>
      </c>
      <c r="B16330" s="4">
        <v>26801</v>
      </c>
      <c r="D16330" s="5" t="s">
        <v>19896</v>
      </c>
      <c r="E16330" s="6" t="str">
        <f>HYPERLINK("https://inpn.mnhn.fr/espece/cd_nom/26801","Scathophaga lutaria (Fabricius, 1794)")</f>
        <v>Scathophaga lutaria (Fabricius, 1794)</v>
      </c>
      <c r="AH16330" s="4" t="str">
        <f>HYPERLINK("#Statut_biogéographique!A"&amp;_xlfn.XMATCH("P",Statut_biogéographique!A:A,2,1),"P")</f>
        <v>P</v>
      </c>
      <c r="AP16330" s="4" t="s">
        <v>376</v>
      </c>
      <c r="AR16330" s="4" t="s">
        <v>377</v>
      </c>
    </row>
    <row r="16331" spans="1:44">
      <c r="A16331" s="4" t="s">
        <v>10753</v>
      </c>
      <c r="B16331" s="4">
        <v>26804</v>
      </c>
      <c r="D16331" s="5" t="s">
        <v>19897</v>
      </c>
      <c r="E16331" s="6" t="str">
        <f>HYPERLINK("https://inpn.mnhn.fr/espece/cd_nom/26804","Scathophaga scybalaria (Linnaeus, 1758)")</f>
        <v>Scathophaga scybalaria (Linnaeus, 1758)</v>
      </c>
      <c r="AH16331" s="4" t="str">
        <f>HYPERLINK("#Statut_biogéographique!A"&amp;_xlfn.XMATCH("P",Statut_biogéographique!A:A,2,1),"P")</f>
        <v>P</v>
      </c>
      <c r="AP16331" s="4" t="s">
        <v>376</v>
      </c>
      <c r="AR16331" s="4" t="s">
        <v>377</v>
      </c>
    </row>
    <row r="16332" spans="1:44" ht="30">
      <c r="A16332" s="4" t="s">
        <v>10753</v>
      </c>
      <c r="B16332" s="4">
        <v>26805</v>
      </c>
      <c r="D16332" s="5" t="s">
        <v>19898</v>
      </c>
      <c r="E16332" s="6" t="str">
        <f>HYPERLINK("https://inpn.mnhn.fr/espece/cd_nom/26805","Scathophaga stercoraria (Linnaeus, 1758)")</f>
        <v>Scathophaga stercoraria (Linnaeus, 1758)</v>
      </c>
      <c r="F16332" s="5" t="s">
        <v>19899</v>
      </c>
      <c r="AH16332" s="4" t="str">
        <f>HYPERLINK("#Statut_biogéographique!A"&amp;_xlfn.XMATCH("P",Statut_biogéographique!A:A,2,1),"P")</f>
        <v>P</v>
      </c>
      <c r="AP16332" s="4" t="s">
        <v>376</v>
      </c>
      <c r="AR16332" s="4" t="s">
        <v>377</v>
      </c>
    </row>
    <row r="16333" spans="1:44" ht="30">
      <c r="A16333" s="4" t="s">
        <v>10753</v>
      </c>
      <c r="B16333" s="4">
        <v>26807</v>
      </c>
      <c r="D16333" s="5" t="s">
        <v>19900</v>
      </c>
      <c r="E16333" s="6" t="str">
        <f>HYPERLINK("https://inpn.mnhn.fr/espece/cd_nom/26807","Scathophaga suilla (Fabricius, 1794)")</f>
        <v>Scathophaga suilla (Fabricius, 1794)</v>
      </c>
      <c r="AH16333" s="4" t="str">
        <f>HYPERLINK("#Statut_biogéographique!A"&amp;_xlfn.XMATCH("P",Statut_biogéographique!A:A,2,1),"P")</f>
        <v>P</v>
      </c>
      <c r="AP16333" s="4" t="s">
        <v>376</v>
      </c>
      <c r="AR16333" s="4" t="s">
        <v>377</v>
      </c>
    </row>
    <row r="16334" spans="1:44">
      <c r="A16334" s="4" t="s">
        <v>10753</v>
      </c>
      <c r="B16334" s="4">
        <v>26819</v>
      </c>
      <c r="D16334" s="5" t="s">
        <v>19901</v>
      </c>
      <c r="E16334" s="6" t="str">
        <f>HYPERLINK("https://inpn.mnhn.fr/espece/cd_nom/26819","Hydromyza livens (Fabricius, 1794)")</f>
        <v>Hydromyza livens (Fabricius, 1794)</v>
      </c>
      <c r="AH16334" s="4" t="str">
        <f>HYPERLINK("#Statut_biogéographique!A"&amp;_xlfn.XMATCH("P",Statut_biogéographique!A:A,2,1),"P")</f>
        <v>P</v>
      </c>
      <c r="AP16334" s="4" t="s">
        <v>376</v>
      </c>
      <c r="AR16334" s="4" t="s">
        <v>377</v>
      </c>
    </row>
    <row r="16335" spans="1:44">
      <c r="A16335" s="4" t="s">
        <v>10753</v>
      </c>
      <c r="B16335" s="4">
        <v>26831</v>
      </c>
      <c r="D16335" s="5" t="s">
        <v>19902</v>
      </c>
      <c r="E16335" s="6" t="str">
        <f>HYPERLINK("https://inpn.mnhn.fr/espece/cd_nom/26831","Leptopa filiformis Zetterstedt, 1838")</f>
        <v>Leptopa filiformis Zetterstedt, 1838</v>
      </c>
      <c r="AH16335" s="4" t="str">
        <f>HYPERLINK("#Statut_biogéographique!A"&amp;_xlfn.XMATCH("P",Statut_biogéographique!A:A,2,1),"P")</f>
        <v>P</v>
      </c>
      <c r="AP16335" s="4" t="s">
        <v>376</v>
      </c>
      <c r="AR16335" s="4" t="s">
        <v>377</v>
      </c>
    </row>
    <row r="16336" spans="1:44">
      <c r="A16336" s="4" t="s">
        <v>10753</v>
      </c>
      <c r="B16336" s="4">
        <v>26834</v>
      </c>
      <c r="D16336" s="5" t="s">
        <v>19903</v>
      </c>
      <c r="E16336" s="6" t="str">
        <f>HYPERLINK("https://inpn.mnhn.fr/espece/cd_nom/26834","Adia cinerella (Fallén, 1825)")</f>
        <v>Adia cinerella (Fallén, 1825)</v>
      </c>
      <c r="AH16336" s="4" t="str">
        <f>HYPERLINK("#Statut_biogéographique!A"&amp;_xlfn.XMATCH("P",Statut_biogéographique!A:A,2,1),"P")</f>
        <v>P</v>
      </c>
      <c r="AP16336" s="4" t="s">
        <v>376</v>
      </c>
      <c r="AR16336" s="4" t="s">
        <v>377</v>
      </c>
    </row>
    <row r="16337" spans="1:44" ht="30">
      <c r="A16337" s="4" t="s">
        <v>10753</v>
      </c>
      <c r="B16337" s="4">
        <v>26839</v>
      </c>
      <c r="D16337" s="5" t="s">
        <v>19904</v>
      </c>
      <c r="E16337" s="6" t="str">
        <f>HYPERLINK("https://inpn.mnhn.fr/espece/cd_nom/26839","Anthomyia liturata (Robineau-Desvoidy, 1830)")</f>
        <v>Anthomyia liturata (Robineau-Desvoidy, 1830)</v>
      </c>
      <c r="AH16337" s="4" t="str">
        <f>HYPERLINK("#Statut_biogéographique!A"&amp;_xlfn.XMATCH("P",Statut_biogéographique!A:A,2,1),"P")</f>
        <v>P</v>
      </c>
      <c r="AP16337" s="4" t="s">
        <v>376</v>
      </c>
      <c r="AR16337" s="4" t="s">
        <v>377</v>
      </c>
    </row>
    <row r="16338" spans="1:44">
      <c r="A16338" s="4" t="s">
        <v>10753</v>
      </c>
      <c r="B16338" s="4">
        <v>26842</v>
      </c>
      <c r="D16338" s="5" t="s">
        <v>19905</v>
      </c>
      <c r="E16338" s="6" t="str">
        <f>HYPERLINK("https://inpn.mnhn.fr/espece/cd_nom/26842","Anthomyia pluvialis (Linnaeus, 1758)")</f>
        <v>Anthomyia pluvialis (Linnaeus, 1758)</v>
      </c>
      <c r="AH16338" s="4" t="str">
        <f>HYPERLINK("#Statut_biogéographique!A"&amp;_xlfn.XMATCH("P",Statut_biogéographique!A:A,2,1),"P")</f>
        <v>P</v>
      </c>
      <c r="AP16338" s="4" t="s">
        <v>376</v>
      </c>
      <c r="AR16338" s="4" t="s">
        <v>377</v>
      </c>
    </row>
    <row r="16339" spans="1:44">
      <c r="A16339" s="4" t="s">
        <v>10753</v>
      </c>
      <c r="B16339" s="4">
        <v>26843</v>
      </c>
      <c r="D16339" s="5">
        <v>26843</v>
      </c>
      <c r="E16339" s="6" t="str">
        <f>HYPERLINK("https://inpn.mnhn.fr/espece/cd_nom/26843","Anthomyia procellaris Rondani, 1866")</f>
        <v>Anthomyia procellaris Rondani, 1866</v>
      </c>
      <c r="AH16339" s="4" t="str">
        <f>HYPERLINK("#Statut_biogéographique!A"&amp;_xlfn.XMATCH("P",Statut_biogéographique!A:A,2,1),"P")</f>
        <v>P</v>
      </c>
      <c r="AP16339" s="4" t="s">
        <v>376</v>
      </c>
      <c r="AR16339" s="4" t="s">
        <v>377</v>
      </c>
    </row>
    <row r="16340" spans="1:44">
      <c r="A16340" s="4" t="s">
        <v>10753</v>
      </c>
      <c r="B16340" s="4">
        <v>26849</v>
      </c>
      <c r="D16340" s="5" t="s">
        <v>19906</v>
      </c>
      <c r="E16340" s="6" t="str">
        <f>HYPERLINK("https://inpn.mnhn.fr/espece/cd_nom/26849","Botanophila fugax (Meigen, 1826)")</f>
        <v>Botanophila fugax (Meigen, 1826)</v>
      </c>
      <c r="AH16340" s="4" t="str">
        <f>HYPERLINK("#Statut_biogéographique!A"&amp;_xlfn.XMATCH("P",Statut_biogéographique!A:A,2,1),"P")</f>
        <v>P</v>
      </c>
      <c r="AP16340" s="4" t="s">
        <v>376</v>
      </c>
      <c r="AR16340" s="4" t="s">
        <v>377</v>
      </c>
    </row>
    <row r="16341" spans="1:44">
      <c r="A16341" s="4" t="s">
        <v>10753</v>
      </c>
      <c r="B16341" s="4">
        <v>26856</v>
      </c>
      <c r="D16341" s="5" t="s">
        <v>19907</v>
      </c>
      <c r="E16341" s="6" t="str">
        <f>HYPERLINK("https://inpn.mnhn.fr/espece/cd_nom/26856","Botanophila striolata (Fallén, 1824)")</f>
        <v>Botanophila striolata (Fallén, 1824)</v>
      </c>
      <c r="AH16341" s="4" t="str">
        <f>HYPERLINK("#Statut_biogéographique!A"&amp;_xlfn.XMATCH("P",Statut_biogéographique!A:A,2,1),"P")</f>
        <v>P</v>
      </c>
      <c r="AP16341" s="4" t="s">
        <v>376</v>
      </c>
      <c r="AR16341" s="4" t="s">
        <v>377</v>
      </c>
    </row>
    <row r="16342" spans="1:44">
      <c r="A16342" s="4" t="s">
        <v>10753</v>
      </c>
      <c r="B16342" s="4">
        <v>26862</v>
      </c>
      <c r="D16342" s="5" t="s">
        <v>19908</v>
      </c>
      <c r="E16342" s="6" t="str">
        <f>HYPERLINK("https://inpn.mnhn.fr/espece/cd_nom/26862","Chirosia grossicauda Strobl, 1899")</f>
        <v>Chirosia grossicauda Strobl, 1899</v>
      </c>
      <c r="AH16342" s="4" t="str">
        <f>HYPERLINK("#Statut_biogéographique!A"&amp;_xlfn.XMATCH("P",Statut_biogéographique!A:A,2,1),"P")</f>
        <v>P</v>
      </c>
      <c r="AP16342" s="4" t="s">
        <v>376</v>
      </c>
      <c r="AR16342" s="4" t="s">
        <v>377</v>
      </c>
    </row>
    <row r="16343" spans="1:44">
      <c r="A16343" s="4" t="s">
        <v>10753</v>
      </c>
      <c r="B16343" s="4">
        <v>26869</v>
      </c>
      <c r="D16343" s="5" t="s">
        <v>19909</v>
      </c>
      <c r="E16343" s="6" t="str">
        <f>HYPERLINK("https://inpn.mnhn.fr/espece/cd_nom/26869","Delia antiqua (Meigen, 1826)")</f>
        <v>Delia antiqua (Meigen, 1826)</v>
      </c>
      <c r="AH16343" s="4" t="str">
        <f>HYPERLINK("#Statut_biogéographique!A"&amp;_xlfn.XMATCH("P",Statut_biogéographique!A:A,2,1),"P")</f>
        <v>P</v>
      </c>
      <c r="AP16343" s="4" t="s">
        <v>376</v>
      </c>
      <c r="AR16343" s="4" t="s">
        <v>377</v>
      </c>
    </row>
    <row r="16344" spans="1:44">
      <c r="A16344" s="4" t="s">
        <v>10753</v>
      </c>
      <c r="B16344" s="4">
        <v>26875</v>
      </c>
      <c r="D16344" s="5" t="s">
        <v>19910</v>
      </c>
      <c r="E16344" s="6" t="str">
        <f>HYPERLINK("https://inpn.mnhn.fr/espece/cd_nom/26875","Delia florilega (Zetterstedt, 1845)")</f>
        <v>Delia florilega (Zetterstedt, 1845)</v>
      </c>
      <c r="AH16344" s="4" t="str">
        <f>HYPERLINK("#Statut_biogéographique!A"&amp;_xlfn.XMATCH("P",Statut_biogéographique!A:A,2,1),"P")</f>
        <v>P</v>
      </c>
      <c r="AP16344" s="4" t="s">
        <v>376</v>
      </c>
      <c r="AR16344" s="4" t="s">
        <v>377</v>
      </c>
    </row>
    <row r="16345" spans="1:44">
      <c r="A16345" s="4" t="s">
        <v>10753</v>
      </c>
      <c r="B16345" s="4">
        <v>26884</v>
      </c>
      <c r="D16345" s="5" t="s">
        <v>19911</v>
      </c>
      <c r="E16345" s="6" t="str">
        <f>HYPERLINK("https://inpn.mnhn.fr/espece/cd_nom/26884","Delia platura (Meigen, 1826)")</f>
        <v>Delia platura (Meigen, 1826)</v>
      </c>
      <c r="AH16345" s="4" t="str">
        <f>HYPERLINK("#Statut_biogéographique!A"&amp;_xlfn.XMATCH("P",Statut_biogéographique!A:A,2,1),"P")</f>
        <v>P</v>
      </c>
      <c r="AP16345" s="4" t="s">
        <v>376</v>
      </c>
      <c r="AR16345" s="4" t="s">
        <v>377</v>
      </c>
    </row>
    <row r="16346" spans="1:44">
      <c r="A16346" s="4" t="s">
        <v>10753</v>
      </c>
      <c r="B16346" s="4">
        <v>26886</v>
      </c>
      <c r="D16346" s="5" t="s">
        <v>19912</v>
      </c>
      <c r="E16346" s="6" t="str">
        <f>HYPERLINK("https://inpn.mnhn.fr/espece/cd_nom/26886","Delia radicum (Linnaeus, 1758)")</f>
        <v>Delia radicum (Linnaeus, 1758)</v>
      </c>
      <c r="F16346" s="5" t="s">
        <v>19913</v>
      </c>
      <c r="AH16346" s="4" t="str">
        <f>HYPERLINK("#Statut_biogéographique!A"&amp;_xlfn.XMATCH("P",Statut_biogéographique!A:A,2,1),"P")</f>
        <v>P</v>
      </c>
      <c r="AP16346" s="4" t="s">
        <v>376</v>
      </c>
      <c r="AR16346" s="4" t="s">
        <v>377</v>
      </c>
    </row>
    <row r="16347" spans="1:44">
      <c r="A16347" s="4" t="s">
        <v>10753</v>
      </c>
      <c r="B16347" s="4">
        <v>26897</v>
      </c>
      <c r="D16347" s="5" t="s">
        <v>19914</v>
      </c>
      <c r="E16347" s="6" t="str">
        <f>HYPERLINK("https://inpn.mnhn.fr/espece/cd_nom/26897","Eustalomyia histrio (Zetterstedt, 1838)")</f>
        <v>Eustalomyia histrio (Zetterstedt, 1838)</v>
      </c>
      <c r="AH16347" s="4" t="str">
        <f>HYPERLINK("#Statut_biogéographique!A"&amp;_xlfn.XMATCH("P",Statut_biogéographique!A:A,2,1),"P")</f>
        <v>P</v>
      </c>
      <c r="AP16347" s="4" t="s">
        <v>376</v>
      </c>
      <c r="AR16347" s="4" t="s">
        <v>377</v>
      </c>
    </row>
    <row r="16348" spans="1:44" ht="30">
      <c r="A16348" s="4" t="s">
        <v>10753</v>
      </c>
      <c r="B16348" s="4">
        <v>26903</v>
      </c>
      <c r="D16348" s="5" t="s">
        <v>19915</v>
      </c>
      <c r="E16348" s="6" t="str">
        <f>HYPERLINK("https://inpn.mnhn.fr/espece/cd_nom/26903","Heterostylodes pratensis (Meigen, 1826)")</f>
        <v>Heterostylodes pratensis (Meigen, 1826)</v>
      </c>
      <c r="AH16348" s="4" t="str">
        <f>HYPERLINK("#Statut_biogéographique!A"&amp;_xlfn.XMATCH("P",Statut_biogéographique!A:A,2,1),"P")</f>
        <v>P</v>
      </c>
      <c r="AP16348" s="4" t="s">
        <v>376</v>
      </c>
      <c r="AR16348" s="4" t="s">
        <v>377</v>
      </c>
    </row>
    <row r="16349" spans="1:44">
      <c r="A16349" s="4" t="s">
        <v>10753</v>
      </c>
      <c r="B16349" s="4">
        <v>26906</v>
      </c>
      <c r="D16349" s="5" t="s">
        <v>19916</v>
      </c>
      <c r="E16349" s="6" t="str">
        <f>HYPERLINK("https://inpn.mnhn.fr/espece/cd_nom/26906","Hydrophoria lancifer (Harris, 1780)")</f>
        <v>Hydrophoria lancifer (Harris, 1780)</v>
      </c>
      <c r="AH16349" s="4" t="str">
        <f>HYPERLINK("#Statut_biogéographique!A"&amp;_xlfn.XMATCH("P",Statut_biogéographique!A:A,2,1),"P")</f>
        <v>P</v>
      </c>
      <c r="AP16349" s="4" t="s">
        <v>376</v>
      </c>
      <c r="AR16349" s="4" t="s">
        <v>377</v>
      </c>
    </row>
    <row r="16350" spans="1:44">
      <c r="A16350" s="4" t="s">
        <v>10753</v>
      </c>
      <c r="B16350" s="4">
        <v>26910</v>
      </c>
      <c r="D16350" s="5" t="s">
        <v>19917</v>
      </c>
      <c r="E16350" s="6" t="str">
        <f>HYPERLINK("https://inpn.mnhn.fr/espece/cd_nom/26910","Hydrophoria linogrisea (Meigen, 1826)")</f>
        <v>Hydrophoria linogrisea (Meigen, 1826)</v>
      </c>
      <c r="AH16350" s="4" t="str">
        <f>HYPERLINK("#Statut_biogéographique!A"&amp;_xlfn.XMATCH("P",Statut_biogéographique!A:A,2,1),"P")</f>
        <v>P</v>
      </c>
      <c r="AP16350" s="4" t="s">
        <v>376</v>
      </c>
      <c r="AR16350" s="4" t="s">
        <v>377</v>
      </c>
    </row>
    <row r="16351" spans="1:44">
      <c r="A16351" s="4" t="s">
        <v>10753</v>
      </c>
      <c r="B16351" s="4">
        <v>26911</v>
      </c>
      <c r="D16351" s="5" t="s">
        <v>19918</v>
      </c>
      <c r="E16351" s="6" t="str">
        <f>HYPERLINK("https://inpn.mnhn.fr/espece/cd_nom/26911","Hydrophoria ruralis (Meigen, 1826)")</f>
        <v>Hydrophoria ruralis (Meigen, 1826)</v>
      </c>
      <c r="AH16351" s="4" t="str">
        <f>HYPERLINK("#Statut_biogéographique!A"&amp;_xlfn.XMATCH("P",Statut_biogéographique!A:A,2,1),"P")</f>
        <v>P</v>
      </c>
      <c r="AP16351" s="4" t="s">
        <v>376</v>
      </c>
      <c r="AR16351" s="4" t="s">
        <v>377</v>
      </c>
    </row>
    <row r="16352" spans="1:44">
      <c r="A16352" s="4" t="s">
        <v>10753</v>
      </c>
      <c r="B16352" s="4">
        <v>26915</v>
      </c>
      <c r="D16352" s="5" t="s">
        <v>19919</v>
      </c>
      <c r="E16352" s="6" t="str">
        <f>HYPERLINK("https://inpn.mnhn.fr/espece/cd_nom/26915","Hylemya nigrimana (Meigen, 1826)")</f>
        <v>Hylemya nigrimana (Meigen, 1826)</v>
      </c>
      <c r="AH16352" s="4" t="str">
        <f>HYPERLINK("#Statut_biogéographique!A"&amp;_xlfn.XMATCH("P",Statut_biogéographique!A:A,2,1),"P")</f>
        <v>P</v>
      </c>
      <c r="AP16352" s="4" t="s">
        <v>376</v>
      </c>
      <c r="AR16352" s="4" t="s">
        <v>377</v>
      </c>
    </row>
    <row r="16353" spans="1:44">
      <c r="A16353" s="4" t="s">
        <v>10753</v>
      </c>
      <c r="B16353" s="4">
        <v>26922</v>
      </c>
      <c r="D16353" s="5" t="s">
        <v>19920</v>
      </c>
      <c r="E16353" s="6" t="str">
        <f>HYPERLINK("https://inpn.mnhn.fr/espece/cd_nom/26922","Hylemya vagans (Panzer, 1798)")</f>
        <v>Hylemya vagans (Panzer, 1798)</v>
      </c>
      <c r="AH16353" s="4" t="str">
        <f>HYPERLINK("#Statut_biogéographique!A"&amp;_xlfn.XMATCH("P",Statut_biogéographique!A:A,2,1),"P")</f>
        <v>P</v>
      </c>
      <c r="AP16353" s="4" t="s">
        <v>376</v>
      </c>
      <c r="AR16353" s="4" t="s">
        <v>377</v>
      </c>
    </row>
    <row r="16354" spans="1:44">
      <c r="A16354" s="4" t="s">
        <v>10753</v>
      </c>
      <c r="B16354" s="4">
        <v>26925</v>
      </c>
      <c r="D16354" s="5" t="s">
        <v>19921</v>
      </c>
      <c r="E16354" s="6" t="str">
        <f>HYPERLINK("https://inpn.mnhn.fr/espece/cd_nom/26925","Hylemya variata (Fallén, 1823)")</f>
        <v>Hylemya variata (Fallén, 1823)</v>
      </c>
      <c r="AH16354" s="4" t="str">
        <f>HYPERLINK("#Statut_biogéographique!A"&amp;_xlfn.XMATCH("P",Statut_biogéographique!A:A,2,1),"P")</f>
        <v>P</v>
      </c>
      <c r="AP16354" s="4" t="s">
        <v>376</v>
      </c>
      <c r="AR16354" s="4" t="s">
        <v>377</v>
      </c>
    </row>
    <row r="16355" spans="1:44">
      <c r="A16355" s="4" t="s">
        <v>10753</v>
      </c>
      <c r="B16355" s="4">
        <v>26939</v>
      </c>
      <c r="D16355" s="5" t="s">
        <v>19922</v>
      </c>
      <c r="E16355" s="6" t="str">
        <f>HYPERLINK("https://inpn.mnhn.fr/espece/cd_nom/26939","Paregle audacula (Harris, 1780)")</f>
        <v>Paregle audacula (Harris, 1780)</v>
      </c>
      <c r="AH16355" s="4" t="str">
        <f>HYPERLINK("#Statut_biogéographique!A"&amp;_xlfn.XMATCH("P",Statut_biogéographique!A:A,2,1),"P")</f>
        <v>P</v>
      </c>
      <c r="AP16355" s="4" t="s">
        <v>376</v>
      </c>
      <c r="AR16355" s="4" t="s">
        <v>377</v>
      </c>
    </row>
    <row r="16356" spans="1:44">
      <c r="A16356" s="4" t="s">
        <v>10753</v>
      </c>
      <c r="B16356" s="4">
        <v>26949</v>
      </c>
      <c r="D16356" s="5" t="s">
        <v>19923</v>
      </c>
      <c r="E16356" s="6" t="str">
        <f>HYPERLINK("https://inpn.mnhn.fr/espece/cd_nom/26949","Phorbia sepia (Meigen, 1826)")</f>
        <v>Phorbia sepia (Meigen, 1826)</v>
      </c>
      <c r="AH16356" s="4" t="str">
        <f>HYPERLINK("#Statut_biogéographique!A"&amp;_xlfn.XMATCH("P",Statut_biogéographique!A:A,2,1),"P")</f>
        <v>P</v>
      </c>
      <c r="AP16356" s="4" t="s">
        <v>376</v>
      </c>
      <c r="AR16356" s="4" t="s">
        <v>377</v>
      </c>
    </row>
    <row r="16357" spans="1:44">
      <c r="A16357" s="4" t="s">
        <v>10753</v>
      </c>
      <c r="B16357" s="4">
        <v>26954</v>
      </c>
      <c r="D16357" s="5" t="s">
        <v>19924</v>
      </c>
      <c r="E16357" s="6" t="str">
        <f>HYPERLINK("https://inpn.mnhn.fr/espece/cd_nom/26954","Zaphne ambigua (Fallén, 1823)")</f>
        <v>Zaphne ambigua (Fallén, 1823)</v>
      </c>
      <c r="AH16357" s="4" t="str">
        <f>HYPERLINK("#Statut_biogéographique!A"&amp;_xlfn.XMATCH("P",Statut_biogéographique!A:A,2,1),"P")</f>
        <v>P</v>
      </c>
      <c r="AP16357" s="4" t="s">
        <v>376</v>
      </c>
      <c r="AR16357" s="4" t="s">
        <v>377</v>
      </c>
    </row>
    <row r="16358" spans="1:44">
      <c r="A16358" s="4" t="s">
        <v>10753</v>
      </c>
      <c r="B16358" s="4">
        <v>26960</v>
      </c>
      <c r="D16358" s="5" t="s">
        <v>19925</v>
      </c>
      <c r="E16358" s="6" t="str">
        <f>HYPERLINK("https://inpn.mnhn.fr/espece/cd_nom/26960","Alliopsis silvestris (Fallén, 1824)")</f>
        <v>Alliopsis silvestris (Fallén, 1824)</v>
      </c>
      <c r="AH16358" s="4" t="str">
        <f>HYPERLINK("#Statut_biogéographique!A"&amp;_xlfn.XMATCH("P",Statut_biogéographique!A:A,2,1),"P")</f>
        <v>P</v>
      </c>
      <c r="AP16358" s="4" t="s">
        <v>376</v>
      </c>
      <c r="AR16358" s="4" t="s">
        <v>377</v>
      </c>
    </row>
    <row r="16359" spans="1:44">
      <c r="A16359" s="4" t="s">
        <v>10753</v>
      </c>
      <c r="B16359" s="4">
        <v>26967</v>
      </c>
      <c r="D16359" s="5" t="s">
        <v>19926</v>
      </c>
      <c r="E16359" s="6" t="str">
        <f>HYPERLINK("https://inpn.mnhn.fr/espece/cd_nom/26967","Emmesomyia socia (Fallén, 1825)")</f>
        <v>Emmesomyia socia (Fallén, 1825)</v>
      </c>
      <c r="AH16359" s="4" t="str">
        <f>HYPERLINK("#Statut_biogéographique!A"&amp;_xlfn.XMATCH("P",Statut_biogéographique!A:A,2,1),"P")</f>
        <v>P</v>
      </c>
      <c r="AP16359" s="4" t="s">
        <v>376</v>
      </c>
      <c r="AR16359" s="4" t="s">
        <v>377</v>
      </c>
    </row>
    <row r="16360" spans="1:44">
      <c r="A16360" s="4" t="s">
        <v>10753</v>
      </c>
      <c r="B16360" s="4">
        <v>26977</v>
      </c>
      <c r="D16360" s="5" t="s">
        <v>19927</v>
      </c>
      <c r="E16360" s="6" t="str">
        <f>HYPERLINK("https://inpn.mnhn.fr/espece/cd_nom/26977","Paradelia intersecta (Meigen, 1826)")</f>
        <v>Paradelia intersecta (Meigen, 1826)</v>
      </c>
      <c r="AH16360" s="4" t="str">
        <f>HYPERLINK("#Statut_biogéographique!A"&amp;_xlfn.XMATCH("P",Statut_biogéographique!A:A,2,1),"P")</f>
        <v>P</v>
      </c>
      <c r="AP16360" s="4" t="s">
        <v>376</v>
      </c>
      <c r="AR16360" s="4" t="s">
        <v>377</v>
      </c>
    </row>
    <row r="16361" spans="1:44">
      <c r="A16361" s="4" t="s">
        <v>10753</v>
      </c>
      <c r="B16361" s="4">
        <v>26987</v>
      </c>
      <c r="D16361" s="5" t="s">
        <v>19928</v>
      </c>
      <c r="E16361" s="6" t="str">
        <f>HYPERLINK("https://inpn.mnhn.fr/espece/cd_nom/26987","Pegomya geniculata (Bouché, 1834)")</f>
        <v>Pegomya geniculata (Bouché, 1834)</v>
      </c>
      <c r="AH16361" s="4" t="str">
        <f>HYPERLINK("#Statut_biogéographique!A"&amp;_xlfn.XMATCH("P",Statut_biogéographique!A:A,2,1),"P")</f>
        <v>P</v>
      </c>
      <c r="AP16361" s="4" t="s">
        <v>376</v>
      </c>
      <c r="AR16361" s="4" t="s">
        <v>377</v>
      </c>
    </row>
    <row r="16362" spans="1:44">
      <c r="A16362" s="4" t="s">
        <v>10753</v>
      </c>
      <c r="B16362" s="4">
        <v>26992</v>
      </c>
      <c r="D16362" s="5" t="s">
        <v>19929</v>
      </c>
      <c r="E16362" s="6" t="str">
        <f>HYPERLINK("https://inpn.mnhn.fr/espece/cd_nom/26992","Pegomya hyoscyami (Panzer, 1809)")</f>
        <v>Pegomya hyoscyami (Panzer, 1809)</v>
      </c>
      <c r="AH16362" s="4" t="str">
        <f>HYPERLINK("#Statut_biogéographique!A"&amp;_xlfn.XMATCH("P",Statut_biogéographique!A:A,2,1),"P")</f>
        <v>P</v>
      </c>
      <c r="AP16362" s="4" t="s">
        <v>376</v>
      </c>
      <c r="AR16362" s="4" t="s">
        <v>377</v>
      </c>
    </row>
    <row r="16363" spans="1:44">
      <c r="A16363" s="4" t="s">
        <v>10753</v>
      </c>
      <c r="B16363" s="4">
        <v>27003</v>
      </c>
      <c r="D16363" s="5" t="s">
        <v>19930</v>
      </c>
      <c r="E16363" s="6" t="str">
        <f>HYPERLINK("https://inpn.mnhn.fr/espece/cd_nom/27003","Pegomya solennis (Meigen, 1826)")</f>
        <v>Pegomya solennis (Meigen, 1826)</v>
      </c>
      <c r="AH16363" s="4" t="str">
        <f>HYPERLINK("#Statut_biogéographique!A"&amp;_xlfn.XMATCH("P",Statut_biogéographique!A:A,2,1),"P")</f>
        <v>P</v>
      </c>
      <c r="AP16363" s="4" t="s">
        <v>376</v>
      </c>
      <c r="AR16363" s="4" t="s">
        <v>377</v>
      </c>
    </row>
    <row r="16364" spans="1:44">
      <c r="A16364" s="4" t="s">
        <v>10753</v>
      </c>
      <c r="B16364" s="4">
        <v>27018</v>
      </c>
      <c r="D16364" s="5" t="s">
        <v>19931</v>
      </c>
      <c r="E16364" s="6" t="str">
        <f>HYPERLINK("https://inpn.mnhn.fr/espece/cd_nom/27018","Pegoplata aestiva (Meigen, 1826)")</f>
        <v>Pegoplata aestiva (Meigen, 1826)</v>
      </c>
      <c r="AH16364" s="4" t="str">
        <f>HYPERLINK("#Statut_biogéographique!A"&amp;_xlfn.XMATCH("P",Statut_biogéographique!A:A,2,1),"P")</f>
        <v>P</v>
      </c>
      <c r="AP16364" s="4" t="s">
        <v>376</v>
      </c>
      <c r="AR16364" s="4" t="s">
        <v>377</v>
      </c>
    </row>
    <row r="16365" spans="1:44">
      <c r="A16365" s="4" t="s">
        <v>10753</v>
      </c>
      <c r="B16365" s="4">
        <v>27032</v>
      </c>
      <c r="D16365" s="5" t="s">
        <v>19932</v>
      </c>
      <c r="E16365" s="6" t="str">
        <f>HYPERLINK("https://inpn.mnhn.fr/espece/cd_nom/27032","Muscina stabulans (Fallén, 1817)")</f>
        <v>Muscina stabulans (Fallén, 1817)</v>
      </c>
      <c r="AH16365" s="4" t="str">
        <f>HYPERLINK("#Statut_biogéographique!A"&amp;_xlfn.XMATCH("P",Statut_biogéographique!A:A,2,1),"P")</f>
        <v>P</v>
      </c>
      <c r="AP16365" s="4" t="s">
        <v>376</v>
      </c>
      <c r="AR16365" s="4" t="s">
        <v>377</v>
      </c>
    </row>
    <row r="16366" spans="1:44">
      <c r="A16366" s="4" t="s">
        <v>10753</v>
      </c>
      <c r="B16366" s="4">
        <v>27036</v>
      </c>
      <c r="D16366" s="5">
        <v>27036</v>
      </c>
      <c r="E16366" s="6" t="str">
        <f>HYPERLINK("https://inpn.mnhn.fr/espece/cd_nom/27036","Azelia nebulosa Robineau-Desvoidy, 1830")</f>
        <v>Azelia nebulosa Robineau-Desvoidy, 1830</v>
      </c>
      <c r="AH16366" s="4" t="str">
        <f>HYPERLINK("#Statut_biogéographique!A"&amp;_xlfn.XMATCH("P",Statut_biogéographique!A:A,2,1),"P")</f>
        <v>P</v>
      </c>
      <c r="AP16366" s="4" t="s">
        <v>376</v>
      </c>
      <c r="AR16366" s="4" t="s">
        <v>377</v>
      </c>
    </row>
    <row r="16367" spans="1:44">
      <c r="A16367" s="4" t="s">
        <v>10753</v>
      </c>
      <c r="B16367" s="4">
        <v>27047</v>
      </c>
      <c r="D16367" s="5" t="s">
        <v>19933</v>
      </c>
      <c r="E16367" s="6" t="str">
        <f>HYPERLINK("https://inpn.mnhn.fr/espece/cd_nom/27047","Thricops cunctans (Meigen, 1826)")</f>
        <v>Thricops cunctans (Meigen, 1826)</v>
      </c>
      <c r="AH16367" s="4" t="str">
        <f>HYPERLINK("#Statut_biogéographique!A"&amp;_xlfn.XMATCH("P",Statut_biogéographique!A:A,2,1),"P")</f>
        <v>P</v>
      </c>
      <c r="AP16367" s="4" t="s">
        <v>376</v>
      </c>
      <c r="AR16367" s="4" t="s">
        <v>377</v>
      </c>
    </row>
    <row r="16368" spans="1:44">
      <c r="A16368" s="4" t="s">
        <v>10753</v>
      </c>
      <c r="B16368" s="4">
        <v>27051</v>
      </c>
      <c r="D16368" s="5" t="s">
        <v>19934</v>
      </c>
      <c r="E16368" s="6" t="str">
        <f>HYPERLINK("https://inpn.mnhn.fr/espece/cd_nom/27051","Thricops longipes (Zetterstedt, 1845)")</f>
        <v>Thricops longipes (Zetterstedt, 1845)</v>
      </c>
      <c r="AH16368" s="4" t="str">
        <f>HYPERLINK("#Statut_biogéographique!A"&amp;_xlfn.XMATCH("P",Statut_biogéographique!A:A,2,1),"P")</f>
        <v>P</v>
      </c>
      <c r="AP16368" s="4" t="s">
        <v>376</v>
      </c>
      <c r="AR16368" s="4" t="s">
        <v>377</v>
      </c>
    </row>
    <row r="16369" spans="1:44" ht="30">
      <c r="A16369" s="4" t="s">
        <v>10753</v>
      </c>
      <c r="B16369" s="4">
        <v>27052</v>
      </c>
      <c r="D16369" s="5" t="s">
        <v>19935</v>
      </c>
      <c r="E16369" s="6" t="str">
        <f>HYPERLINK("https://inpn.mnhn.fr/espece/cd_nom/27052","Thricops nigrifrons (Robineau-Desvoidy, 1830)")</f>
        <v>Thricops nigrifrons (Robineau-Desvoidy, 1830)</v>
      </c>
      <c r="AH16369" s="4" t="str">
        <f>HYPERLINK("#Statut_biogéographique!A"&amp;_xlfn.XMATCH("P",Statut_biogéographique!A:A,2,1),"P")</f>
        <v>P</v>
      </c>
      <c r="AP16369" s="4" t="s">
        <v>376</v>
      </c>
      <c r="AR16369" s="4" t="s">
        <v>377</v>
      </c>
    </row>
    <row r="16370" spans="1:44">
      <c r="A16370" s="4" t="s">
        <v>10753</v>
      </c>
      <c r="B16370" s="4">
        <v>27055</v>
      </c>
      <c r="D16370" s="5" t="s">
        <v>19936</v>
      </c>
      <c r="E16370" s="6" t="str">
        <f>HYPERLINK("https://inpn.mnhn.fr/espece/cd_nom/27055","Thricops semicinereus (Wiedemann, 1817)")</f>
        <v>Thricops semicinereus (Wiedemann, 1817)</v>
      </c>
      <c r="AH16370" s="4" t="str">
        <f>HYPERLINK("#Statut_biogéographique!A"&amp;_xlfn.XMATCH("P",Statut_biogéographique!A:A,2,1),"P")</f>
        <v>P</v>
      </c>
      <c r="AP16370" s="4" t="s">
        <v>376</v>
      </c>
      <c r="AR16370" s="4" t="s">
        <v>377</v>
      </c>
    </row>
    <row r="16371" spans="1:44" ht="30">
      <c r="A16371" s="4" t="s">
        <v>10753</v>
      </c>
      <c r="B16371" s="4">
        <v>27083</v>
      </c>
      <c r="D16371" s="5" t="s">
        <v>19937</v>
      </c>
      <c r="E16371" s="6" t="str">
        <f>HYPERLINK("https://inpn.mnhn.fr/espece/cd_nom/27083","Hydrotaea irritans (Fallén, 1823)")</f>
        <v>Hydrotaea irritans (Fallén, 1823)</v>
      </c>
      <c r="AH16371" s="4" t="str">
        <f>HYPERLINK("#Statut_biogéographique!A"&amp;_xlfn.XMATCH("P",Statut_biogéographique!A:A,2,1),"P")</f>
        <v>P</v>
      </c>
      <c r="AP16371" s="4" t="s">
        <v>376</v>
      </c>
      <c r="AR16371" s="4" t="s">
        <v>377</v>
      </c>
    </row>
    <row r="16372" spans="1:44">
      <c r="A16372" s="4" t="s">
        <v>10753</v>
      </c>
      <c r="B16372" s="4">
        <v>27087</v>
      </c>
      <c r="D16372" s="5" t="s">
        <v>19938</v>
      </c>
      <c r="E16372" s="6" t="str">
        <f>HYPERLINK("https://inpn.mnhn.fr/espece/cd_nom/27087","Hydrotaea militaris (Meigen, 1826)")</f>
        <v>Hydrotaea militaris (Meigen, 1826)</v>
      </c>
      <c r="AH16372" s="4" t="str">
        <f>HYPERLINK("#Statut_biogéographique!A"&amp;_xlfn.XMATCH("P",Statut_biogéographique!A:A,2,1),"P")</f>
        <v>P</v>
      </c>
      <c r="AP16372" s="4" t="s">
        <v>376</v>
      </c>
      <c r="AR16372" s="4" t="s">
        <v>377</v>
      </c>
    </row>
    <row r="16373" spans="1:44">
      <c r="A16373" s="4" t="s">
        <v>10753</v>
      </c>
      <c r="B16373" s="4">
        <v>27094</v>
      </c>
      <c r="D16373" s="5">
        <v>27094</v>
      </c>
      <c r="E16373" s="6" t="str">
        <f>HYPERLINK("https://inpn.mnhn.fr/espece/cd_nom/27094","Hydrotaea velutina Robineau-Desvoidy, 1830")</f>
        <v>Hydrotaea velutina Robineau-Desvoidy, 1830</v>
      </c>
      <c r="AH16373" s="4" t="str">
        <f>HYPERLINK("#Statut_biogéographique!A"&amp;_xlfn.XMATCH("P",Statut_biogéographique!A:A,2,1),"P")</f>
        <v>P</v>
      </c>
      <c r="AP16373" s="4" t="s">
        <v>376</v>
      </c>
      <c r="AR16373" s="4" t="s">
        <v>377</v>
      </c>
    </row>
    <row r="16374" spans="1:44">
      <c r="A16374" s="4" t="s">
        <v>10753</v>
      </c>
      <c r="B16374" s="4">
        <v>27104</v>
      </c>
      <c r="D16374" s="5" t="s">
        <v>19939</v>
      </c>
      <c r="E16374" s="6" t="str">
        <f>HYPERLINK("https://inpn.mnhn.fr/espece/cd_nom/27104","Mesembrina meridiana (Linnaeus, 1758)")</f>
        <v>Mesembrina meridiana (Linnaeus, 1758)</v>
      </c>
      <c r="AH16374" s="4" t="str">
        <f>HYPERLINK("#Statut_biogéographique!A"&amp;_xlfn.XMATCH("P",Statut_biogéographique!A:A,2,1),"P")</f>
        <v>P</v>
      </c>
      <c r="AP16374" s="4" t="s">
        <v>376</v>
      </c>
      <c r="AR16374" s="4" t="s">
        <v>377</v>
      </c>
    </row>
    <row r="16375" spans="1:44">
      <c r="A16375" s="4" t="s">
        <v>10753</v>
      </c>
      <c r="B16375" s="4">
        <v>27105</v>
      </c>
      <c r="D16375" s="5" t="s">
        <v>19940</v>
      </c>
      <c r="E16375" s="6" t="str">
        <f>HYPERLINK("https://inpn.mnhn.fr/espece/cd_nom/27105","Mesembrina mystacea (Linnaeus, 1758)")</f>
        <v>Mesembrina mystacea (Linnaeus, 1758)</v>
      </c>
      <c r="AH16375" s="4" t="str">
        <f>HYPERLINK("#Statut_biogéographique!A"&amp;_xlfn.XMATCH("P",Statut_biogéographique!A:A,2,1),"P")</f>
        <v>P</v>
      </c>
      <c r="AP16375" s="4" t="s">
        <v>376</v>
      </c>
      <c r="AR16375" s="4" t="s">
        <v>377</v>
      </c>
    </row>
    <row r="16376" spans="1:44">
      <c r="A16376" s="4" t="s">
        <v>10753</v>
      </c>
      <c r="B16376" s="4">
        <v>27115</v>
      </c>
      <c r="D16376" s="5" t="s">
        <v>19941</v>
      </c>
      <c r="E16376" s="6" t="str">
        <f>HYPERLINK("https://inpn.mnhn.fr/espece/cd_nom/27115","Musca autumnalis De Geer, 1776")</f>
        <v>Musca autumnalis De Geer, 1776</v>
      </c>
      <c r="AH16376" s="4" t="str">
        <f>HYPERLINK("#Statut_biogéographique!A"&amp;_xlfn.XMATCH("P",Statut_biogéographique!A:A,2,1),"P")</f>
        <v>P</v>
      </c>
      <c r="AP16376" s="4" t="s">
        <v>376</v>
      </c>
      <c r="AR16376" s="4" t="s">
        <v>377</v>
      </c>
    </row>
    <row r="16377" spans="1:44">
      <c r="A16377" s="4" t="s">
        <v>10753</v>
      </c>
      <c r="B16377" s="4">
        <v>27117</v>
      </c>
      <c r="D16377" s="5" t="s">
        <v>19942</v>
      </c>
      <c r="E16377" s="6" t="str">
        <f>HYPERLINK("https://inpn.mnhn.fr/espece/cd_nom/27117","Musca domestica Linnaeus, 1758")</f>
        <v>Musca domestica Linnaeus, 1758</v>
      </c>
      <c r="F16377" s="5" t="s">
        <v>19943</v>
      </c>
      <c r="AH16377" s="4" t="str">
        <f>HYPERLINK("#Statut_biogéographique!A"&amp;_xlfn.XMATCH("P",Statut_biogéographique!A:A,2,1),"P")</f>
        <v>P</v>
      </c>
      <c r="AP16377" s="4" t="s">
        <v>376</v>
      </c>
      <c r="AR16377" s="4" t="s">
        <v>377</v>
      </c>
    </row>
    <row r="16378" spans="1:44">
      <c r="A16378" s="4" t="s">
        <v>10753</v>
      </c>
      <c r="B16378" s="4">
        <v>27118</v>
      </c>
      <c r="D16378" s="5">
        <v>27118</v>
      </c>
      <c r="E16378" s="6" t="str">
        <f>HYPERLINK("https://inpn.mnhn.fr/espece/cd_nom/27118","Musca tempestiva Fallén, 1817")</f>
        <v>Musca tempestiva Fallén, 1817</v>
      </c>
      <c r="AH16378" s="4" t="str">
        <f>HYPERLINK("#Statut_biogéographique!A"&amp;_xlfn.XMATCH("P",Statut_biogéographique!A:A,2,1),"P")</f>
        <v>P</v>
      </c>
      <c r="AP16378" s="4" t="s">
        <v>376</v>
      </c>
      <c r="AR16378" s="4" t="s">
        <v>377</v>
      </c>
    </row>
    <row r="16379" spans="1:44" ht="210">
      <c r="A16379" s="4" t="s">
        <v>10753</v>
      </c>
      <c r="B16379" s="4">
        <v>27134</v>
      </c>
      <c r="D16379" s="5" t="s">
        <v>19944</v>
      </c>
      <c r="E16379" s="6" t="str">
        <f>HYPERLINK("https://inpn.mnhn.fr/espece/cd_nom/27134","Neomyia cornicina (Fabricius, 1781)")</f>
        <v>Neomyia cornicina (Fabricius, 1781)</v>
      </c>
      <c r="AH16379" s="4" t="str">
        <f>HYPERLINK("#Statut_biogéographique!A"&amp;_xlfn.XMATCH("P",Statut_biogéographique!A:A,2,1),"P")</f>
        <v>P</v>
      </c>
      <c r="AP16379" s="4" t="s">
        <v>376</v>
      </c>
      <c r="AR16379" s="4" t="s">
        <v>377</v>
      </c>
    </row>
    <row r="16380" spans="1:44" ht="30">
      <c r="A16380" s="4" t="s">
        <v>10753</v>
      </c>
      <c r="B16380" s="4">
        <v>27136</v>
      </c>
      <c r="D16380" s="5" t="s">
        <v>19945</v>
      </c>
      <c r="E16380" s="6" t="str">
        <f>HYPERLINK("https://inpn.mnhn.fr/espece/cd_nom/27136","Neomyia viridescens (Robineau-Desvoidy, 1830)")</f>
        <v>Neomyia viridescens (Robineau-Desvoidy, 1830)</v>
      </c>
      <c r="AH16380" s="4" t="str">
        <f>HYPERLINK("#Statut_biogéographique!A"&amp;_xlfn.XMATCH("P",Statut_biogéographique!A:A,2,1),"P")</f>
        <v>P</v>
      </c>
      <c r="AP16380" s="4" t="s">
        <v>376</v>
      </c>
      <c r="AR16380" s="4" t="s">
        <v>377</v>
      </c>
    </row>
    <row r="16381" spans="1:44" ht="60">
      <c r="A16381" s="4" t="s">
        <v>10753</v>
      </c>
      <c r="B16381" s="4">
        <v>27138</v>
      </c>
      <c r="D16381" s="5" t="s">
        <v>19946</v>
      </c>
      <c r="E16381" s="6" t="str">
        <f>HYPERLINK("https://inpn.mnhn.fr/espece/cd_nom/27138","Pyrellia rapax (Harris, 1780)")</f>
        <v>Pyrellia rapax (Harris, 1780)</v>
      </c>
      <c r="AH16381" s="4" t="str">
        <f>HYPERLINK("#Statut_biogéographique!A"&amp;_xlfn.XMATCH("P",Statut_biogéographique!A:A,2,1),"P")</f>
        <v>P</v>
      </c>
      <c r="AP16381" s="4" t="s">
        <v>376</v>
      </c>
      <c r="AR16381" s="4" t="s">
        <v>377</v>
      </c>
    </row>
    <row r="16382" spans="1:44">
      <c r="A16382" s="4" t="s">
        <v>10753</v>
      </c>
      <c r="B16382" s="4">
        <v>27152</v>
      </c>
      <c r="D16382" s="5" t="s">
        <v>19947</v>
      </c>
      <c r="E16382" s="6" t="str">
        <f>HYPERLINK("https://inpn.mnhn.fr/espece/cd_nom/27152","Stomoxys calcitrans (Linnaeus, 1758)")</f>
        <v>Stomoxys calcitrans (Linnaeus, 1758)</v>
      </c>
      <c r="F16382" s="5" t="s">
        <v>19948</v>
      </c>
      <c r="AH16382" s="4" t="str">
        <f>HYPERLINK("#Statut_biogéographique!A"&amp;_xlfn.XMATCH("P",Statut_biogéographique!A:A,2,1),"P")</f>
        <v>P</v>
      </c>
      <c r="AP16382" s="4" t="s">
        <v>376</v>
      </c>
      <c r="AR16382" s="4" t="s">
        <v>377</v>
      </c>
    </row>
    <row r="16383" spans="1:44" ht="30">
      <c r="A16383" s="4" t="s">
        <v>10753</v>
      </c>
      <c r="B16383" s="4">
        <v>27158</v>
      </c>
      <c r="D16383" s="5" t="s">
        <v>19949</v>
      </c>
      <c r="E16383" s="6" t="str">
        <f>HYPERLINK("https://inpn.mnhn.fr/espece/cd_nom/27158","Haematobosca stimulans (Meigen, 1824)")</f>
        <v>Haematobosca stimulans (Meigen, 1824)</v>
      </c>
      <c r="AH16383" s="4" t="str">
        <f>HYPERLINK("#Statut_biogéographique!A"&amp;_xlfn.XMATCH("P",Statut_biogéographique!A:A,2,1),"P")</f>
        <v>P</v>
      </c>
      <c r="AP16383" s="4" t="s">
        <v>376</v>
      </c>
      <c r="AR16383" s="4" t="s">
        <v>377</v>
      </c>
    </row>
    <row r="16384" spans="1:44">
      <c r="A16384" s="4" t="s">
        <v>10753</v>
      </c>
      <c r="B16384" s="4">
        <v>27162</v>
      </c>
      <c r="D16384" s="5" t="s">
        <v>19950</v>
      </c>
      <c r="E16384" s="6" t="str">
        <f>HYPERLINK("https://inpn.mnhn.fr/espece/cd_nom/27162","Atherigona varia (Meigen, 1826)")</f>
        <v>Atherigona varia (Meigen, 1826)</v>
      </c>
      <c r="AH16384" s="4" t="str">
        <f>HYPERLINK("#Statut_biogéographique!A"&amp;_xlfn.XMATCH("P",Statut_biogéographique!A:A,2,1),"P")</f>
        <v>P</v>
      </c>
      <c r="AP16384" s="4" t="s">
        <v>376</v>
      </c>
      <c r="AR16384" s="4" t="s">
        <v>377</v>
      </c>
    </row>
    <row r="16385" spans="1:44">
      <c r="A16385" s="4" t="s">
        <v>10753</v>
      </c>
      <c r="B16385" s="4">
        <v>27188</v>
      </c>
      <c r="D16385" s="5" t="s">
        <v>19951</v>
      </c>
      <c r="E16385" s="6" t="str">
        <f>HYPERLINK("https://inpn.mnhn.fr/espece/cd_nom/27188","Phaonia laeta (Fallén, 1823)")</f>
        <v>Phaonia laeta (Fallén, 1823)</v>
      </c>
      <c r="AH16385" s="4" t="str">
        <f>HYPERLINK("#Statut_biogéographique!A"&amp;_xlfn.XMATCH("P",Statut_biogéographique!A:A,2,1),"P")</f>
        <v>P</v>
      </c>
      <c r="AP16385" s="4" t="s">
        <v>376</v>
      </c>
      <c r="AR16385" s="4" t="s">
        <v>377</v>
      </c>
    </row>
    <row r="16386" spans="1:44">
      <c r="A16386" s="4" t="s">
        <v>10753</v>
      </c>
      <c r="B16386" s="4">
        <v>27197</v>
      </c>
      <c r="D16386" s="5" t="s">
        <v>19952</v>
      </c>
      <c r="E16386" s="6" t="str">
        <f>HYPERLINK("https://inpn.mnhn.fr/espece/cd_nom/27197","Phaonia pallida (Fabricius, 1787)")</f>
        <v>Phaonia pallida (Fabricius, 1787)</v>
      </c>
      <c r="AH16386" s="4" t="str">
        <f>HYPERLINK("#Statut_biogéographique!A"&amp;_xlfn.XMATCH("P",Statut_biogéographique!A:A,2,1),"P")</f>
        <v>P</v>
      </c>
      <c r="AP16386" s="4" t="s">
        <v>376</v>
      </c>
      <c r="AR16386" s="4" t="s">
        <v>377</v>
      </c>
    </row>
    <row r="16387" spans="1:44" ht="30">
      <c r="A16387" s="4" t="s">
        <v>10753</v>
      </c>
      <c r="B16387" s="4">
        <v>27201</v>
      </c>
      <c r="D16387" s="5" t="s">
        <v>19953</v>
      </c>
      <c r="E16387" s="6" t="str">
        <f>HYPERLINK("https://inpn.mnhn.fr/espece/cd_nom/27201","Phaonia rufiventris (Scopoli, 1763)")</f>
        <v>Phaonia rufiventris (Scopoli, 1763)</v>
      </c>
      <c r="AH16387" s="4" t="str">
        <f>HYPERLINK("#Statut_biogéographique!A"&amp;_xlfn.XMATCH("P",Statut_biogéographique!A:A,2,1),"P")</f>
        <v>P</v>
      </c>
      <c r="AP16387" s="4" t="s">
        <v>376</v>
      </c>
      <c r="AR16387" s="4" t="s">
        <v>377</v>
      </c>
    </row>
    <row r="16388" spans="1:44" ht="30">
      <c r="A16388" s="4" t="s">
        <v>10753</v>
      </c>
      <c r="B16388" s="4">
        <v>27207</v>
      </c>
      <c r="D16388" s="5" t="s">
        <v>19954</v>
      </c>
      <c r="E16388" s="6" t="str">
        <f>HYPERLINK("https://inpn.mnhn.fr/espece/cd_nom/27207","Phaonia subventa (Harris, 1780)")</f>
        <v>Phaonia subventa (Harris, 1780)</v>
      </c>
      <c r="AH16388" s="4" t="str">
        <f>HYPERLINK("#Statut_biogéographique!A"&amp;_xlfn.XMATCH("P",Statut_biogéographique!A:A,2,1),"P")</f>
        <v>P</v>
      </c>
      <c r="AP16388" s="4" t="s">
        <v>376</v>
      </c>
      <c r="AR16388" s="4" t="s">
        <v>377</v>
      </c>
    </row>
    <row r="16389" spans="1:44" ht="45">
      <c r="A16389" s="4" t="s">
        <v>10753</v>
      </c>
      <c r="B16389" s="4">
        <v>27209</v>
      </c>
      <c r="D16389" s="5" t="s">
        <v>19955</v>
      </c>
      <c r="E16389" s="6" t="str">
        <f>HYPERLINK("https://inpn.mnhn.fr/espece/cd_nom/27209","Phaonia tuguriorum (Scopoli, 1763)")</f>
        <v>Phaonia tuguriorum (Scopoli, 1763)</v>
      </c>
      <c r="AH16389" s="4" t="str">
        <f>HYPERLINK("#Statut_biogéographique!A"&amp;_xlfn.XMATCH("P",Statut_biogéographique!A:A,2,1),"P")</f>
        <v>P</v>
      </c>
      <c r="AP16389" s="4" t="s">
        <v>376</v>
      </c>
      <c r="AR16389" s="4" t="s">
        <v>377</v>
      </c>
    </row>
    <row r="16390" spans="1:44">
      <c r="A16390" s="4" t="s">
        <v>10753</v>
      </c>
      <c r="B16390" s="4">
        <v>27211</v>
      </c>
      <c r="D16390" s="5" t="s">
        <v>19956</v>
      </c>
      <c r="E16390" s="6" t="str">
        <f>HYPERLINK("https://inpn.mnhn.fr/espece/cd_nom/27211","Phaonia valida (Harris, 1780)")</f>
        <v>Phaonia valida (Harris, 1780)</v>
      </c>
      <c r="AH16390" s="4" t="str">
        <f>HYPERLINK("#Statut_biogéographique!A"&amp;_xlfn.XMATCH("P",Statut_biogéographique!A:A,2,1),"P")</f>
        <v>P</v>
      </c>
      <c r="AP16390" s="4" t="s">
        <v>376</v>
      </c>
      <c r="AR16390" s="4" t="s">
        <v>377</v>
      </c>
    </row>
    <row r="16391" spans="1:44" ht="60">
      <c r="A16391" s="4" t="s">
        <v>10753</v>
      </c>
      <c r="B16391" s="4">
        <v>27232</v>
      </c>
      <c r="D16391" s="5" t="s">
        <v>19957</v>
      </c>
      <c r="E16391" s="6" t="str">
        <f>HYPERLINK("https://inpn.mnhn.fr/espece/cd_nom/27232","Helina evecta (Harris, 1780)")</f>
        <v>Helina evecta (Harris, 1780)</v>
      </c>
      <c r="AH16391" s="4" t="str">
        <f>HYPERLINK("#Statut_biogéographique!A"&amp;_xlfn.XMATCH("P",Statut_biogéographique!A:A,2,1),"P")</f>
        <v>P</v>
      </c>
      <c r="AP16391" s="4" t="s">
        <v>376</v>
      </c>
      <c r="AR16391" s="4" t="s">
        <v>377</v>
      </c>
    </row>
    <row r="16392" spans="1:44" ht="60">
      <c r="A16392" s="4" t="s">
        <v>10753</v>
      </c>
      <c r="B16392" s="4">
        <v>27238</v>
      </c>
      <c r="D16392" s="5" t="s">
        <v>19958</v>
      </c>
      <c r="E16392" s="6" t="str">
        <f>HYPERLINK("https://inpn.mnhn.fr/espece/cd_nom/27238","Helina impuncta (Fallén, 1825)")</f>
        <v>Helina impuncta (Fallén, 1825)</v>
      </c>
      <c r="AH16392" s="4" t="str">
        <f>HYPERLINK("#Statut_biogéographique!A"&amp;_xlfn.XMATCH("P",Statut_biogéographique!A:A,2,1),"P")</f>
        <v>P</v>
      </c>
      <c r="AP16392" s="4" t="s">
        <v>376</v>
      </c>
      <c r="AR16392" s="4" t="s">
        <v>377</v>
      </c>
    </row>
    <row r="16393" spans="1:44">
      <c r="A16393" s="4" t="s">
        <v>10753</v>
      </c>
      <c r="B16393" s="4">
        <v>27253</v>
      </c>
      <c r="D16393" s="5" t="s">
        <v>19959</v>
      </c>
      <c r="E16393" s="6" t="str">
        <f>HYPERLINK("https://inpn.mnhn.fr/espece/cd_nom/27253","Helina sexmaculata (Preyssler, 1791)")</f>
        <v>Helina sexmaculata (Preyssler, 1791)</v>
      </c>
      <c r="AH16393" s="4" t="str">
        <f>HYPERLINK("#Statut_biogéographique!A"&amp;_xlfn.XMATCH("P",Statut_biogéographique!A:A,2,1),"P")</f>
        <v>P</v>
      </c>
      <c r="AP16393" s="4" t="s">
        <v>376</v>
      </c>
      <c r="AR16393" s="4" t="s">
        <v>377</v>
      </c>
    </row>
    <row r="16394" spans="1:44" ht="30">
      <c r="A16394" s="4" t="s">
        <v>10753</v>
      </c>
      <c r="B16394" s="4">
        <v>27263</v>
      </c>
      <c r="D16394" s="5" t="s">
        <v>19960</v>
      </c>
      <c r="E16394" s="6" t="str">
        <f>HYPERLINK("https://inpn.mnhn.fr/espece/cd_nom/27263","Mydaea ancilla (Meigen, 1826)")</f>
        <v>Mydaea ancilla (Meigen, 1826)</v>
      </c>
      <c r="AH16394" s="4" t="str">
        <f>HYPERLINK("#Statut_biogéographique!A"&amp;_xlfn.XMATCH("P",Statut_biogéographique!A:A,2,1),"P")</f>
        <v>P</v>
      </c>
      <c r="AP16394" s="4" t="s">
        <v>376</v>
      </c>
      <c r="AR16394" s="4" t="s">
        <v>377</v>
      </c>
    </row>
    <row r="16395" spans="1:44">
      <c r="A16395" s="4" t="s">
        <v>10753</v>
      </c>
      <c r="B16395" s="4">
        <v>27269</v>
      </c>
      <c r="D16395" s="5" t="s">
        <v>19961</v>
      </c>
      <c r="E16395" s="6" t="str">
        <f>HYPERLINK("https://inpn.mnhn.fr/espece/cd_nom/27269","Mydaea humeralis Robineau-Desvoidy, 1830")</f>
        <v>Mydaea humeralis Robineau-Desvoidy, 1830</v>
      </c>
      <c r="AH16395" s="4" t="str">
        <f>HYPERLINK("#Statut_biogéographique!A"&amp;_xlfn.XMATCH("P",Statut_biogéographique!A:A,2,1),"P")</f>
        <v>P</v>
      </c>
      <c r="AP16395" s="4" t="s">
        <v>376</v>
      </c>
      <c r="AR16395" s="4" t="s">
        <v>377</v>
      </c>
    </row>
    <row r="16396" spans="1:44" ht="30">
      <c r="A16396" s="4" t="s">
        <v>10753</v>
      </c>
      <c r="B16396" s="4">
        <v>27280</v>
      </c>
      <c r="D16396" s="5" t="s">
        <v>19962</v>
      </c>
      <c r="E16396" s="6" t="str">
        <f>HYPERLINK("https://inpn.mnhn.fr/espece/cd_nom/27280","Hebecnema nigricolor (Fallén, 1825)")</f>
        <v>Hebecnema nigricolor (Fallén, 1825)</v>
      </c>
      <c r="AH16396" s="4" t="str">
        <f>HYPERLINK("#Statut_biogéographique!A"&amp;_xlfn.XMATCH("P",Statut_biogéographique!A:A,2,1),"P")</f>
        <v>P</v>
      </c>
      <c r="AP16396" s="4" t="s">
        <v>376</v>
      </c>
      <c r="AR16396" s="4" t="s">
        <v>377</v>
      </c>
    </row>
    <row r="16397" spans="1:44" ht="30">
      <c r="A16397" s="4" t="s">
        <v>10753</v>
      </c>
      <c r="B16397" s="4">
        <v>27287</v>
      </c>
      <c r="D16397" s="5" t="s">
        <v>19963</v>
      </c>
      <c r="E16397" s="6" t="str">
        <f>HYPERLINK("https://inpn.mnhn.fr/espece/cd_nom/27287","Graphomya maculata (Scopoli, 1763)")</f>
        <v>Graphomya maculata (Scopoli, 1763)</v>
      </c>
      <c r="AH16397" s="4" t="str">
        <f>HYPERLINK("#Statut_biogéographique!A"&amp;_xlfn.XMATCH("P",Statut_biogéographique!A:A,2,1),"P")</f>
        <v>P</v>
      </c>
      <c r="AP16397" s="4" t="s">
        <v>376</v>
      </c>
      <c r="AR16397" s="4" t="s">
        <v>377</v>
      </c>
    </row>
    <row r="16398" spans="1:44">
      <c r="A16398" s="4" t="s">
        <v>10753</v>
      </c>
      <c r="B16398" s="4">
        <v>272997</v>
      </c>
      <c r="D16398" s="5">
        <v>272997</v>
      </c>
      <c r="E16398" s="6" t="str">
        <f>HYPERLINK("https://inpn.mnhn.fr/espece/cd_nom/272997","Dorcatoma robusta A. Strand, 1938")</f>
        <v>Dorcatoma robusta A. Strand, 1938</v>
      </c>
      <c r="AH16398" s="4" t="str">
        <f>HYPERLINK("#Statut_biogéographique!A"&amp;_xlfn.XMATCH("P",Statut_biogéographique!A:A,2,1),"P")</f>
        <v>P</v>
      </c>
      <c r="AP16398" s="4" t="s">
        <v>376</v>
      </c>
      <c r="AR16398" s="4" t="s">
        <v>377</v>
      </c>
    </row>
    <row r="16399" spans="1:44">
      <c r="A16399" s="4" t="s">
        <v>10753</v>
      </c>
      <c r="B16399" s="4">
        <v>273043</v>
      </c>
      <c r="D16399" s="5" t="s">
        <v>19964</v>
      </c>
      <c r="E16399" s="6" t="str">
        <f>HYPERLINK("https://inpn.mnhn.fr/espece/cd_nom/273043","Ptilineurus marmoratus (Reitter, 1877)")</f>
        <v>Ptilineurus marmoratus (Reitter, 1877)</v>
      </c>
      <c r="AH16399" s="4" t="str">
        <f>HYPERLINK("#Statut_biogéographique!A"&amp;_xlfn.XMATCH("I",Statut_biogéographique!A:A,2,1),"I")</f>
        <v>I</v>
      </c>
      <c r="AP16399" s="4" t="s">
        <v>376</v>
      </c>
      <c r="AR16399" s="4" t="s">
        <v>377</v>
      </c>
    </row>
    <row r="16400" spans="1:44" ht="45">
      <c r="A16400" s="4" t="s">
        <v>10753</v>
      </c>
      <c r="B16400" s="4">
        <v>27325</v>
      </c>
      <c r="D16400" s="5" t="s">
        <v>19965</v>
      </c>
      <c r="E16400" s="6" t="str">
        <f>HYPERLINK("https://inpn.mnhn.fr/espece/cd_nom/27325","Lispe tentaculata (De Geer, 1776)")</f>
        <v>Lispe tentaculata (De Geer, 1776)</v>
      </c>
      <c r="AH16400" s="4" t="str">
        <f>HYPERLINK("#Statut_biogéographique!A"&amp;_xlfn.XMATCH("P",Statut_biogéographique!A:A,2,1),"P")</f>
        <v>P</v>
      </c>
      <c r="AP16400" s="4" t="s">
        <v>376</v>
      </c>
      <c r="AR16400" s="4" t="s">
        <v>377</v>
      </c>
    </row>
    <row r="16401" spans="1:44" ht="30">
      <c r="A16401" s="4" t="s">
        <v>10753</v>
      </c>
      <c r="B16401" s="4">
        <v>27340</v>
      </c>
      <c r="D16401" s="5" t="s">
        <v>19966</v>
      </c>
      <c r="E16401" s="6" t="str">
        <f>HYPERLINK("https://inpn.mnhn.fr/espece/cd_nom/27340","Schoenomyza litorella (Fallén, 1823)")</f>
        <v>Schoenomyza litorella (Fallén, 1823)</v>
      </c>
      <c r="AH16401" s="4" t="str">
        <f>HYPERLINK("#Statut_biogéographique!A"&amp;_xlfn.XMATCH("P",Statut_biogéographique!A:A,2,1),"P")</f>
        <v>P</v>
      </c>
      <c r="AP16401" s="4" t="s">
        <v>376</v>
      </c>
      <c r="AR16401" s="4" t="s">
        <v>377</v>
      </c>
    </row>
    <row r="16402" spans="1:44" ht="45">
      <c r="A16402" s="4" t="s">
        <v>10753</v>
      </c>
      <c r="B16402" s="4">
        <v>27351</v>
      </c>
      <c r="D16402" s="5" t="s">
        <v>19967</v>
      </c>
      <c r="E16402" s="6" t="str">
        <f>HYPERLINK("https://inpn.mnhn.fr/espece/cd_nom/27351","Coenosia agromyzina (Fallén, 1825)")</f>
        <v>Coenosia agromyzina (Fallén, 1825)</v>
      </c>
      <c r="AH16402" s="4" t="str">
        <f>HYPERLINK("#Statut_biogéographique!A"&amp;_xlfn.XMATCH("P",Statut_biogéographique!A:A,2,1),"P")</f>
        <v>P</v>
      </c>
      <c r="AP16402" s="4" t="s">
        <v>376</v>
      </c>
      <c r="AR16402" s="4" t="s">
        <v>377</v>
      </c>
    </row>
    <row r="16403" spans="1:44">
      <c r="A16403" s="4" t="s">
        <v>10753</v>
      </c>
      <c r="B16403" s="4">
        <v>27352</v>
      </c>
      <c r="D16403" s="5">
        <v>27352</v>
      </c>
      <c r="E16403" s="6" t="str">
        <f>HYPERLINK("https://inpn.mnhn.fr/espece/cd_nom/27352","Coenosia albicornis Meigen, 1826")</f>
        <v>Coenosia albicornis Meigen, 1826</v>
      </c>
      <c r="AH16403" s="4" t="str">
        <f>HYPERLINK("#Statut_biogéographique!A"&amp;_xlfn.XMATCH("P",Statut_biogéographique!A:A,2,1),"P")</f>
        <v>P</v>
      </c>
      <c r="AP16403" s="4" t="s">
        <v>376</v>
      </c>
      <c r="AR16403" s="4" t="s">
        <v>377</v>
      </c>
    </row>
    <row r="16404" spans="1:44" ht="45">
      <c r="A16404" s="4" t="s">
        <v>10753</v>
      </c>
      <c r="B16404" s="4">
        <v>27381</v>
      </c>
      <c r="D16404" s="5" t="s">
        <v>19968</v>
      </c>
      <c r="E16404" s="6" t="str">
        <f>HYPERLINK("https://inpn.mnhn.fr/espece/cd_nom/27381","Coenosia tigrina (Fabricius, 1775)")</f>
        <v>Coenosia tigrina (Fabricius, 1775)</v>
      </c>
      <c r="AH16404" s="4" t="str">
        <f>HYPERLINK("#Statut_biogéographique!A"&amp;_xlfn.XMATCH("P",Statut_biogéographique!A:A,2,1),"P")</f>
        <v>P</v>
      </c>
      <c r="AP16404" s="4" t="s">
        <v>376</v>
      </c>
      <c r="AR16404" s="4" t="s">
        <v>377</v>
      </c>
    </row>
    <row r="16405" spans="1:44" ht="30">
      <c r="A16405" s="4" t="s">
        <v>10753</v>
      </c>
      <c r="B16405" s="4">
        <v>27393</v>
      </c>
      <c r="D16405" s="5" t="s">
        <v>19969</v>
      </c>
      <c r="E16405" s="6" t="str">
        <f>HYPERLINK("https://inpn.mnhn.fr/espece/cd_nom/27393","Fannia armata (Meigen, 1826)")</f>
        <v>Fannia armata (Meigen, 1826)</v>
      </c>
      <c r="AH16405" s="4" t="str">
        <f>HYPERLINK("#Statut_biogéographique!A"&amp;_xlfn.XMATCH("P",Statut_biogéographique!A:A,2,1),"P")</f>
        <v>P</v>
      </c>
      <c r="AP16405" s="4" t="s">
        <v>376</v>
      </c>
      <c r="AR16405" s="4" t="s">
        <v>377</v>
      </c>
    </row>
    <row r="16406" spans="1:44">
      <c r="A16406" s="4" t="s">
        <v>10753</v>
      </c>
      <c r="B16406" s="4">
        <v>27394</v>
      </c>
      <c r="D16406" s="5" t="s">
        <v>19970</v>
      </c>
      <c r="E16406" s="6" t="str">
        <f>HYPERLINK("https://inpn.mnhn.fr/espece/cd_nom/27394","Fannia canicularis (Linnaeus, 1761)")</f>
        <v>Fannia canicularis (Linnaeus, 1761)</v>
      </c>
      <c r="AH16406" s="4" t="str">
        <f>HYPERLINK("#Statut_biogéographique!A"&amp;_xlfn.XMATCH("P",Statut_biogéographique!A:A,2,1),"P")</f>
        <v>P</v>
      </c>
      <c r="AP16406" s="4" t="s">
        <v>376</v>
      </c>
      <c r="AR16406" s="4" t="s">
        <v>377</v>
      </c>
    </row>
    <row r="16407" spans="1:44" ht="30">
      <c r="A16407" s="4" t="s">
        <v>10753</v>
      </c>
      <c r="B16407" s="4">
        <v>273961</v>
      </c>
      <c r="D16407" s="5" t="s">
        <v>19971</v>
      </c>
      <c r="E16407" s="6" t="str">
        <f>HYPERLINK("https://inpn.mnhn.fr/espece/cd_nom/273961","Cantharis paludosa Fallén, 1807")</f>
        <v>Cantharis paludosa Fallén, 1807</v>
      </c>
      <c r="AH16407" s="4" t="str">
        <f>HYPERLINK("#Statut_biogéographique!A"&amp;_xlfn.XMATCH("P",Statut_biogéographique!A:A,2,1),"P")</f>
        <v>P</v>
      </c>
      <c r="AP16407" s="4" t="s">
        <v>376</v>
      </c>
      <c r="AR16407" s="4" t="s">
        <v>377</v>
      </c>
    </row>
    <row r="16408" spans="1:44" ht="45">
      <c r="A16408" s="4" t="s">
        <v>10753</v>
      </c>
      <c r="B16408" s="4">
        <v>273967</v>
      </c>
      <c r="D16408" s="5" t="s">
        <v>19972</v>
      </c>
      <c r="E16408" s="6" t="str">
        <f>HYPERLINK("https://inpn.mnhn.fr/espece/cd_nom/273967","Cantharis quadripunctata (O.F. Müller, 1776)")</f>
        <v>Cantharis quadripunctata (O.F. Müller, 1776)</v>
      </c>
      <c r="AH16408" s="4" t="str">
        <f>HYPERLINK("#Statut_biogéographique!A"&amp;_xlfn.XMATCH("P",Statut_biogéographique!A:A,2,1),"P")</f>
        <v>P</v>
      </c>
      <c r="AP16408" s="4" t="s">
        <v>376</v>
      </c>
      <c r="AR16408" s="4" t="s">
        <v>377</v>
      </c>
    </row>
    <row r="16409" spans="1:44">
      <c r="A16409" s="4" t="s">
        <v>10753</v>
      </c>
      <c r="B16409" s="4">
        <v>27397</v>
      </c>
      <c r="D16409" s="5" t="s">
        <v>19973</v>
      </c>
      <c r="E16409" s="6" t="str">
        <f>HYPERLINK("https://inpn.mnhn.fr/espece/cd_nom/27397","Fannia coracina (Loew, 1873)")</f>
        <v>Fannia coracina (Loew, 1873)</v>
      </c>
      <c r="AH16409" s="4" t="str">
        <f>HYPERLINK("#Statut_biogéographique!A"&amp;_xlfn.XMATCH("P",Statut_biogéographique!A:A,2,1),"P")</f>
        <v>P</v>
      </c>
      <c r="AP16409" s="4" t="s">
        <v>376</v>
      </c>
      <c r="AR16409" s="4" t="s">
        <v>377</v>
      </c>
    </row>
    <row r="16410" spans="1:44" ht="30">
      <c r="A16410" s="4" t="s">
        <v>10753</v>
      </c>
      <c r="B16410" s="4">
        <v>27399</v>
      </c>
      <c r="D16410" s="5" t="s">
        <v>19974</v>
      </c>
      <c r="E16410" s="6" t="str">
        <f>HYPERLINK("https://inpn.mnhn.fr/espece/cd_nom/27399","Fannia fuscula (Fallén, 1825)")</f>
        <v>Fannia fuscula (Fallén, 1825)</v>
      </c>
      <c r="AH16410" s="4" t="str">
        <f>HYPERLINK("#Statut_biogéographique!A"&amp;_xlfn.XMATCH("P",Statut_biogéographique!A:A,2,1),"P")</f>
        <v>P</v>
      </c>
      <c r="AP16410" s="4" t="s">
        <v>376</v>
      </c>
      <c r="AR16410" s="4" t="s">
        <v>377</v>
      </c>
    </row>
    <row r="16411" spans="1:44" ht="30">
      <c r="A16411" s="4" t="s">
        <v>10753</v>
      </c>
      <c r="B16411" s="4">
        <v>27406</v>
      </c>
      <c r="D16411" s="5" t="s">
        <v>19975</v>
      </c>
      <c r="E16411" s="6" t="str">
        <f>HYPERLINK("https://inpn.mnhn.fr/espece/cd_nom/27406","Fannia lepida (Wiedemann, 1817)")</f>
        <v>Fannia lepida (Wiedemann, 1817)</v>
      </c>
      <c r="AH16411" s="4" t="str">
        <f>HYPERLINK("#Statut_biogéographique!A"&amp;_xlfn.XMATCH("P",Statut_biogéographique!A:A,2,1),"P")</f>
        <v>P</v>
      </c>
      <c r="AP16411" s="4" t="s">
        <v>376</v>
      </c>
      <c r="AR16411" s="4" t="s">
        <v>377</v>
      </c>
    </row>
    <row r="16412" spans="1:44" ht="45">
      <c r="A16412" s="4" t="s">
        <v>10753</v>
      </c>
      <c r="B16412" s="4">
        <v>27409</v>
      </c>
      <c r="D16412" s="5" t="s">
        <v>19976</v>
      </c>
      <c r="E16412" s="6" t="str">
        <f>HYPERLINK("https://inpn.mnhn.fr/espece/cd_nom/27409","Fannia lustrator (Harris, 1780)")</f>
        <v>Fannia lustrator (Harris, 1780)</v>
      </c>
      <c r="AH16412" s="4" t="str">
        <f>HYPERLINK("#Statut_biogéographique!A"&amp;_xlfn.XMATCH("P",Statut_biogéographique!A:A,2,1),"P")</f>
        <v>P</v>
      </c>
      <c r="AP16412" s="4" t="s">
        <v>376</v>
      </c>
      <c r="AR16412" s="4" t="s">
        <v>377</v>
      </c>
    </row>
    <row r="16413" spans="1:44">
      <c r="A16413" s="4" t="s">
        <v>10753</v>
      </c>
      <c r="B16413" s="4">
        <v>27413</v>
      </c>
      <c r="D16413" s="5" t="s">
        <v>19977</v>
      </c>
      <c r="E16413" s="6" t="str">
        <f>HYPERLINK("https://inpn.mnhn.fr/espece/cd_nom/27413","Fannia mollissima (Haliday, 1840)")</f>
        <v>Fannia mollissima (Haliday, 1840)</v>
      </c>
      <c r="AH16413" s="4" t="str">
        <f>HYPERLINK("#Statut_biogéographique!A"&amp;_xlfn.XMATCH("P",Statut_biogéographique!A:A,2,1),"P")</f>
        <v>P</v>
      </c>
      <c r="AP16413" s="4" t="s">
        <v>376</v>
      </c>
      <c r="AR16413" s="4" t="s">
        <v>377</v>
      </c>
    </row>
    <row r="16414" spans="1:44" ht="30">
      <c r="A16414" s="4" t="s">
        <v>10753</v>
      </c>
      <c r="B16414" s="4">
        <v>27415</v>
      </c>
      <c r="D16414" s="5" t="s">
        <v>19978</v>
      </c>
      <c r="E16414" s="6" t="str">
        <f>HYPERLINK("https://inpn.mnhn.fr/espece/cd_nom/27415","Fannia monilis (Haliday, 1838)")</f>
        <v>Fannia monilis (Haliday, 1838)</v>
      </c>
      <c r="AH16414" s="4" t="str">
        <f>HYPERLINK("#Statut_biogéographique!A"&amp;_xlfn.XMATCH("P",Statut_biogéographique!A:A,2,1),"P")</f>
        <v>P</v>
      </c>
      <c r="AP16414" s="4" t="s">
        <v>376</v>
      </c>
      <c r="AR16414" s="4" t="s">
        <v>377</v>
      </c>
    </row>
    <row r="16415" spans="1:44">
      <c r="A16415" s="4" t="s">
        <v>10753</v>
      </c>
      <c r="B16415" s="4">
        <v>27416</v>
      </c>
      <c r="D16415" s="5" t="s">
        <v>19979</v>
      </c>
      <c r="E16415" s="6" t="str">
        <f>HYPERLINK("https://inpn.mnhn.fr/espece/cd_nom/27416","Fannia pallitibia (Rondani, 1866)")</f>
        <v>Fannia pallitibia (Rondani, 1866)</v>
      </c>
      <c r="AH16415" s="4" t="str">
        <f>HYPERLINK("#Statut_biogéographique!A"&amp;_xlfn.XMATCH("P",Statut_biogéographique!A:A,2,1),"P")</f>
        <v>P</v>
      </c>
      <c r="AP16415" s="4" t="s">
        <v>376</v>
      </c>
      <c r="AR16415" s="4" t="s">
        <v>377</v>
      </c>
    </row>
    <row r="16416" spans="1:44">
      <c r="A16416" s="4" t="s">
        <v>10753</v>
      </c>
      <c r="B16416" s="4">
        <v>27418</v>
      </c>
      <c r="D16416" s="5" t="s">
        <v>19980</v>
      </c>
      <c r="E16416" s="6" t="str">
        <f>HYPERLINK("https://inpn.mnhn.fr/espece/cd_nom/27418","Fannia polychaeta (Stein, 1895)")</f>
        <v>Fannia polychaeta (Stein, 1895)</v>
      </c>
      <c r="AH16416" s="4" t="str">
        <f>HYPERLINK("#Statut_biogéographique!A"&amp;_xlfn.XMATCH("P",Statut_biogéographique!A:A,2,1),"P")</f>
        <v>P</v>
      </c>
      <c r="AP16416" s="4" t="s">
        <v>376</v>
      </c>
      <c r="AR16416" s="4" t="s">
        <v>377</v>
      </c>
    </row>
    <row r="16417" spans="1:44">
      <c r="A16417" s="4" t="s">
        <v>10753</v>
      </c>
      <c r="B16417" s="4">
        <v>27419</v>
      </c>
      <c r="D16417" s="5" t="s">
        <v>19981</v>
      </c>
      <c r="E16417" s="6" t="str">
        <f>HYPERLINK("https://inpn.mnhn.fr/espece/cd_nom/27419","Fannia postica (Stein, 1895)")</f>
        <v>Fannia postica (Stein, 1895)</v>
      </c>
      <c r="AH16417" s="4" t="str">
        <f>HYPERLINK("#Statut_biogéographique!A"&amp;_xlfn.XMATCH("P",Statut_biogéographique!A:A,2,1),"P")</f>
        <v>P</v>
      </c>
      <c r="AP16417" s="4" t="s">
        <v>376</v>
      </c>
      <c r="AR16417" s="4" t="s">
        <v>377</v>
      </c>
    </row>
    <row r="16418" spans="1:44">
      <c r="A16418" s="4" t="s">
        <v>10753</v>
      </c>
      <c r="B16418" s="4">
        <v>27423</v>
      </c>
      <c r="D16418" s="5" t="s">
        <v>19982</v>
      </c>
      <c r="E16418" s="6" t="str">
        <f>HYPERLINK("https://inpn.mnhn.fr/espece/cd_nom/27423","Fannia rondanii (Strobl, 1893)")</f>
        <v>Fannia rondanii (Strobl, 1893)</v>
      </c>
      <c r="AH16418" s="4" t="str">
        <f>HYPERLINK("#Statut_biogéographique!A"&amp;_xlfn.XMATCH("P",Statut_biogéographique!A:A,2,1),"P")</f>
        <v>P</v>
      </c>
      <c r="AP16418" s="4" t="s">
        <v>376</v>
      </c>
      <c r="AR16418" s="4" t="s">
        <v>377</v>
      </c>
    </row>
    <row r="16419" spans="1:44">
      <c r="A16419" s="4" t="s">
        <v>10753</v>
      </c>
      <c r="B16419" s="4">
        <v>27426</v>
      </c>
      <c r="D16419" s="5" t="s">
        <v>19983</v>
      </c>
      <c r="E16419" s="6" t="str">
        <f>HYPERLINK("https://inpn.mnhn.fr/espece/cd_nom/27426","Fannia serena (Fallén, 1825)")</f>
        <v>Fannia serena (Fallén, 1825)</v>
      </c>
      <c r="AH16419" s="4" t="str">
        <f>HYPERLINK("#Statut_biogéographique!A"&amp;_xlfn.XMATCH("P",Statut_biogéographique!A:A,2,1),"P")</f>
        <v>P</v>
      </c>
      <c r="AP16419" s="4" t="s">
        <v>376</v>
      </c>
      <c r="AR16419" s="4" t="s">
        <v>377</v>
      </c>
    </row>
    <row r="16420" spans="1:44">
      <c r="A16420" s="4" t="s">
        <v>10753</v>
      </c>
      <c r="B16420" s="4">
        <v>27427</v>
      </c>
      <c r="D16420" s="5" t="s">
        <v>19984</v>
      </c>
      <c r="E16420" s="6" t="str">
        <f>HYPERLINK("https://inpn.mnhn.fr/espece/cd_nom/27427","Fannia similis (Stein, 1895)")</f>
        <v>Fannia similis (Stein, 1895)</v>
      </c>
      <c r="AH16420" s="4" t="str">
        <f>HYPERLINK("#Statut_biogéographique!A"&amp;_xlfn.XMATCH("P",Statut_biogéographique!A:A,2,1),"P")</f>
        <v>P</v>
      </c>
      <c r="AP16420" s="4" t="s">
        <v>376</v>
      </c>
      <c r="AR16420" s="4" t="s">
        <v>377</v>
      </c>
    </row>
    <row r="16421" spans="1:44">
      <c r="A16421" s="4" t="s">
        <v>10753</v>
      </c>
      <c r="B16421" s="4">
        <v>27428</v>
      </c>
      <c r="D16421" s="5" t="s">
        <v>19985</v>
      </c>
      <c r="E16421" s="6" t="str">
        <f>HYPERLINK("https://inpn.mnhn.fr/espece/cd_nom/27428","Fannia sociella (Zetterstedt, 1845)")</f>
        <v>Fannia sociella (Zetterstedt, 1845)</v>
      </c>
      <c r="AH16421" s="4" t="str">
        <f>HYPERLINK("#Statut_biogéographique!A"&amp;_xlfn.XMATCH("P",Statut_biogéographique!A:A,2,1),"P")</f>
        <v>P</v>
      </c>
      <c r="AP16421" s="4" t="s">
        <v>376</v>
      </c>
      <c r="AR16421" s="4" t="s">
        <v>377</v>
      </c>
    </row>
    <row r="16422" spans="1:44">
      <c r="A16422" s="4" t="s">
        <v>10753</v>
      </c>
      <c r="B16422" s="4">
        <v>27472</v>
      </c>
      <c r="D16422" s="5" t="s">
        <v>19986</v>
      </c>
      <c r="E16422" s="6" t="str">
        <f>HYPERLINK("https://inpn.mnhn.fr/espece/cd_nom/27472","Melinda gentilis Robineau-Desvoidy, 1830")</f>
        <v>Melinda gentilis Robineau-Desvoidy, 1830</v>
      </c>
      <c r="AH16422" s="4" t="str">
        <f>HYPERLINK("#Statut_biogéographique!A"&amp;_xlfn.XMATCH("P",Statut_biogéographique!A:A,2,1),"P")</f>
        <v>P</v>
      </c>
      <c r="AP16422" s="4" t="s">
        <v>376</v>
      </c>
      <c r="AR16422" s="4" t="s">
        <v>377</v>
      </c>
    </row>
    <row r="16423" spans="1:44">
      <c r="A16423" s="4" t="s">
        <v>10753</v>
      </c>
      <c r="B16423" s="4">
        <v>27483</v>
      </c>
      <c r="D16423" s="5" t="s">
        <v>19987</v>
      </c>
      <c r="E16423" s="6" t="str">
        <f>HYPERLINK("https://inpn.mnhn.fr/espece/cd_nom/27483","Protocalliphora azurea (Fallén, 1817)")</f>
        <v>Protocalliphora azurea (Fallén, 1817)</v>
      </c>
      <c r="AH16423" s="4" t="str">
        <f>HYPERLINK("#Statut_biogéographique!A"&amp;_xlfn.XMATCH("P",Statut_biogéographique!A:A,2,1),"P")</f>
        <v>P</v>
      </c>
      <c r="AP16423" s="4" t="s">
        <v>376</v>
      </c>
      <c r="AR16423" s="4" t="s">
        <v>377</v>
      </c>
    </row>
    <row r="16424" spans="1:44">
      <c r="A16424" s="4" t="s">
        <v>10753</v>
      </c>
      <c r="B16424" s="4">
        <v>27489</v>
      </c>
      <c r="D16424" s="5" t="s">
        <v>19988</v>
      </c>
      <c r="E16424" s="6" t="str">
        <f>HYPERLINK("https://inpn.mnhn.fr/espece/cd_nom/27489","Pollenia rudis (Fabricius, 1794)")</f>
        <v>Pollenia rudis (Fabricius, 1794)</v>
      </c>
      <c r="F16424" s="5" t="s">
        <v>19989</v>
      </c>
      <c r="AH16424" s="4" t="str">
        <f>HYPERLINK("#Statut_biogéographique!A"&amp;_xlfn.XMATCH("P",Statut_biogéographique!A:A,2,1),"P")</f>
        <v>P</v>
      </c>
      <c r="AP16424" s="4" t="s">
        <v>376</v>
      </c>
      <c r="AR16424" s="4" t="s">
        <v>377</v>
      </c>
    </row>
    <row r="16425" spans="1:44">
      <c r="A16425" s="4" t="s">
        <v>10753</v>
      </c>
      <c r="B16425" s="4">
        <v>27497</v>
      </c>
      <c r="D16425" s="5" t="s">
        <v>19990</v>
      </c>
      <c r="E16425" s="6" t="str">
        <f>HYPERLINK("https://inpn.mnhn.fr/espece/cd_nom/27497","Stomorhina lunata (Fabricius, 1805)")</f>
        <v>Stomorhina lunata (Fabricius, 1805)</v>
      </c>
      <c r="AH16425" s="4" t="str">
        <f>HYPERLINK("#Statut_biogéographique!A"&amp;_xlfn.XMATCH("P",Statut_biogéographique!A:A,2,1),"P")</f>
        <v>P</v>
      </c>
      <c r="AP16425" s="4" t="s">
        <v>376</v>
      </c>
      <c r="AR16425" s="4" t="s">
        <v>377</v>
      </c>
    </row>
    <row r="16426" spans="1:44">
      <c r="A16426" s="4" t="s">
        <v>10753</v>
      </c>
      <c r="B16426" s="4">
        <v>27501</v>
      </c>
      <c r="D16426" s="5" t="s">
        <v>19991</v>
      </c>
      <c r="E16426" s="6" t="str">
        <f>HYPERLINK("https://inpn.mnhn.fr/espece/cd_nom/27501","Eurychaeta muscaria (Meigen, 1826)")</f>
        <v>Eurychaeta muscaria (Meigen, 1826)</v>
      </c>
      <c r="AH16426" s="4" t="str">
        <f>HYPERLINK("#Statut_biogéographique!A"&amp;_xlfn.XMATCH("P",Statut_biogéographique!A:A,2,1),"P")</f>
        <v>P</v>
      </c>
      <c r="AP16426" s="4" t="s">
        <v>376</v>
      </c>
      <c r="AR16426" s="4" t="s">
        <v>377</v>
      </c>
    </row>
    <row r="16427" spans="1:44">
      <c r="A16427" s="4" t="s">
        <v>10753</v>
      </c>
      <c r="B16427" s="4">
        <v>27547</v>
      </c>
      <c r="D16427" s="5">
        <v>27547</v>
      </c>
      <c r="E16427" s="6" t="str">
        <f>HYPERLINK("https://inpn.mnhn.fr/espece/cd_nom/27547","Angiometopa falleni Pape, 1986")</f>
        <v>Angiometopa falleni Pape, 1986</v>
      </c>
      <c r="AH16427" s="4" t="str">
        <f>HYPERLINK("#Statut_biogéographique!A"&amp;_xlfn.XMATCH("P",Statut_biogéographique!A:A,2,1),"P")</f>
        <v>P</v>
      </c>
      <c r="AP16427" s="4" t="s">
        <v>376</v>
      </c>
      <c r="AR16427" s="4" t="s">
        <v>377</v>
      </c>
    </row>
    <row r="16428" spans="1:44" ht="30">
      <c r="A16428" s="4" t="s">
        <v>10753</v>
      </c>
      <c r="B16428" s="4">
        <v>27550</v>
      </c>
      <c r="D16428" s="5" t="s">
        <v>19992</v>
      </c>
      <c r="E16428" s="6" t="str">
        <f>HYPERLINK("https://inpn.mnhn.fr/espece/cd_nom/27550","Brachicoma devia (Fallén, 1820)")</f>
        <v>Brachicoma devia (Fallén, 1820)</v>
      </c>
      <c r="AH16428" s="4" t="str">
        <f>HYPERLINK("#Statut_biogéographique!A"&amp;_xlfn.XMATCH("P",Statut_biogéographique!A:A,2,1),"P")</f>
        <v>P</v>
      </c>
      <c r="AP16428" s="4" t="s">
        <v>376</v>
      </c>
      <c r="AR16428" s="4" t="s">
        <v>377</v>
      </c>
    </row>
    <row r="16429" spans="1:44">
      <c r="A16429" s="4" t="s">
        <v>10753</v>
      </c>
      <c r="B16429" s="4">
        <v>27552</v>
      </c>
      <c r="D16429" s="5" t="s">
        <v>19993</v>
      </c>
      <c r="E16429" s="6" t="str">
        <f>HYPERLINK("https://inpn.mnhn.fr/espece/cd_nom/27552","Nyctia halterata (Panzer, 1798)")</f>
        <v>Nyctia halterata (Panzer, 1798)</v>
      </c>
      <c r="AH16429" s="4" t="str">
        <f>HYPERLINK("#Statut_biogéographique!A"&amp;_xlfn.XMATCH("P",Statut_biogéographique!A:A,2,1),"P")</f>
        <v>P</v>
      </c>
      <c r="AP16429" s="4" t="s">
        <v>376</v>
      </c>
      <c r="AR16429" s="4" t="s">
        <v>377</v>
      </c>
    </row>
    <row r="16430" spans="1:44">
      <c r="A16430" s="4" t="s">
        <v>10753</v>
      </c>
      <c r="B16430" s="4">
        <v>27637</v>
      </c>
      <c r="D16430" s="5" t="s">
        <v>19994</v>
      </c>
      <c r="E16430" s="6" t="str">
        <f>HYPERLINK("https://inpn.mnhn.fr/espece/cd_nom/27637","Sarcophaga carnaria (Linnaeus, 1758)")</f>
        <v>Sarcophaga carnaria (Linnaeus, 1758)</v>
      </c>
      <c r="F16430" s="5" t="s">
        <v>19995</v>
      </c>
      <c r="AH16430" s="4" t="str">
        <f>HYPERLINK("#Statut_biogéographique!A"&amp;_xlfn.XMATCH("P",Statut_biogéographique!A:A,2,1),"P")</f>
        <v>P</v>
      </c>
      <c r="AP16430" s="4" t="s">
        <v>376</v>
      </c>
      <c r="AR16430" s="4" t="s">
        <v>377</v>
      </c>
    </row>
    <row r="16431" spans="1:44">
      <c r="A16431" s="4" t="s">
        <v>10753</v>
      </c>
      <c r="B16431" s="4">
        <v>27654</v>
      </c>
      <c r="D16431" s="5" t="s">
        <v>19996</v>
      </c>
      <c r="E16431" s="6" t="str">
        <f>HYPERLINK("https://inpn.mnhn.fr/espece/cd_nom/27654","Sarcophaga subvicina Rohdendorf, 1937")</f>
        <v>Sarcophaga subvicina Rohdendorf, 1937</v>
      </c>
      <c r="AH16431" s="4" t="str">
        <f>HYPERLINK("#Statut_biogéographique!A"&amp;_xlfn.XMATCH("P",Statut_biogéographique!A:A,2,1),"P")</f>
        <v>P</v>
      </c>
      <c r="AP16431" s="4" t="s">
        <v>376</v>
      </c>
      <c r="AR16431" s="4" t="s">
        <v>377</v>
      </c>
    </row>
    <row r="16432" spans="1:44">
      <c r="A16432" s="4" t="s">
        <v>10753</v>
      </c>
      <c r="B16432" s="4">
        <v>27710</v>
      </c>
      <c r="D16432" s="5" t="s">
        <v>19997</v>
      </c>
      <c r="E16432" s="6" t="str">
        <f>HYPERLINK("https://inpn.mnhn.fr/espece/cd_nom/27710","Blepharipa pratensis (Meigen, 1824)")</f>
        <v>Blepharipa pratensis (Meigen, 1824)</v>
      </c>
      <c r="AH16432" s="4" t="str">
        <f>HYPERLINK("#Statut_biogéographique!A"&amp;_xlfn.XMATCH("P",Statut_biogéographique!A:A,2,1),"P")</f>
        <v>P</v>
      </c>
      <c r="AP16432" s="4" t="s">
        <v>376</v>
      </c>
      <c r="AR16432" s="4" t="s">
        <v>377</v>
      </c>
    </row>
    <row r="16433" spans="1:44">
      <c r="A16433" s="4" t="s">
        <v>10753</v>
      </c>
      <c r="B16433" s="4">
        <v>27763</v>
      </c>
      <c r="D16433" s="5" t="s">
        <v>19998</v>
      </c>
      <c r="E16433" s="6" t="str">
        <f>HYPERLINK("https://inpn.mnhn.fr/espece/cd_nom/27763","Drino vicina (Zetterstedt, 1849)")</f>
        <v>Drino vicina (Zetterstedt, 1849)</v>
      </c>
      <c r="AH16433" s="4" t="str">
        <f>HYPERLINK("#Statut_biogéographique!A"&amp;_xlfn.XMATCH("P",Statut_biogéographique!A:A,2,1),"P")</f>
        <v>P</v>
      </c>
      <c r="AP16433" s="4" t="s">
        <v>376</v>
      </c>
      <c r="AR16433" s="4" t="s">
        <v>377</v>
      </c>
    </row>
    <row r="16434" spans="1:44">
      <c r="A16434" s="4" t="s">
        <v>10753</v>
      </c>
      <c r="B16434" s="4">
        <v>27767</v>
      </c>
      <c r="D16434" s="5" t="s">
        <v>19999</v>
      </c>
      <c r="E16434" s="6" t="str">
        <f>HYPERLINK("https://inpn.mnhn.fr/espece/cd_nom/27767","Epicampocera succincta (Meigen, 1824)")</f>
        <v>Epicampocera succincta (Meigen, 1824)</v>
      </c>
      <c r="AH16434" s="4" t="str">
        <f>HYPERLINK("#Statut_biogéographique!A"&amp;_xlfn.XMATCH("P",Statut_biogéographique!A:A,2,1),"P")</f>
        <v>P</v>
      </c>
      <c r="AP16434" s="4" t="s">
        <v>376</v>
      </c>
      <c r="AR16434" s="4" t="s">
        <v>377</v>
      </c>
    </row>
    <row r="16435" spans="1:44">
      <c r="A16435" s="4" t="s">
        <v>10753</v>
      </c>
      <c r="B16435" s="4">
        <v>277926</v>
      </c>
      <c r="D16435" s="5" t="s">
        <v>20000</v>
      </c>
      <c r="E16435" s="6" t="str">
        <f>HYPERLINK("https://inpn.mnhn.fr/espece/cd_nom/277926","Carabus violaceus violaceus Linnaeus, 1758")</f>
        <v>Carabus violaceus violaceus Linnaeus, 1758</v>
      </c>
      <c r="AH16435" s="4" t="str">
        <f>HYPERLINK("#Statut_biogéographique!A"&amp;_xlfn.XMATCH("P",Statut_biogéographique!A:A,2,1),"P")</f>
        <v>P</v>
      </c>
      <c r="AP16435" s="4" t="s">
        <v>376</v>
      </c>
      <c r="AR16435" s="4" t="s">
        <v>377</v>
      </c>
    </row>
    <row r="16436" spans="1:44">
      <c r="A16436" s="4" t="s">
        <v>10753</v>
      </c>
      <c r="B16436" s="4">
        <v>278135</v>
      </c>
      <c r="D16436" s="5" t="s">
        <v>20001</v>
      </c>
      <c r="E16436" s="6" t="str">
        <f>HYPERLINK("https://inpn.mnhn.fr/espece/cd_nom/278135","Opsilia molybdaena (Dalman, 1817)")</f>
        <v>Opsilia molybdaena (Dalman, 1817)</v>
      </c>
      <c r="AH16436" s="4" t="str">
        <f>HYPERLINK("#Statut_biogéographique!A"&amp;_xlfn.XMATCH("P",Statut_biogéographique!A:A,2,1),"P")</f>
        <v>P</v>
      </c>
      <c r="AP16436" s="4" t="s">
        <v>376</v>
      </c>
      <c r="AR16436" s="4" t="s">
        <v>377</v>
      </c>
    </row>
    <row r="16437" spans="1:44" ht="30">
      <c r="A16437" s="4" t="s">
        <v>10753</v>
      </c>
      <c r="B16437" s="4">
        <v>27866</v>
      </c>
      <c r="D16437" s="5" t="s">
        <v>20002</v>
      </c>
      <c r="E16437" s="6" t="str">
        <f>HYPERLINK("https://inpn.mnhn.fr/espece/cd_nom/27866","Lydella stabulans (Meigen, 1824)")</f>
        <v>Lydella stabulans (Meigen, 1824)</v>
      </c>
      <c r="AH16437" s="4" t="str">
        <f>HYPERLINK("#Statut_biogéographique!A"&amp;_xlfn.XMATCH("P",Statut_biogéographique!A:A,2,1),"P")</f>
        <v>P</v>
      </c>
      <c r="AP16437" s="4" t="s">
        <v>376</v>
      </c>
      <c r="AR16437" s="4" t="s">
        <v>377</v>
      </c>
    </row>
    <row r="16438" spans="1:44">
      <c r="A16438" s="4" t="s">
        <v>10753</v>
      </c>
      <c r="B16438" s="4">
        <v>278696</v>
      </c>
      <c r="D16438" s="5">
        <v>278696</v>
      </c>
      <c r="E16438" s="6" t="str">
        <f>HYPERLINK("https://inpn.mnhn.fr/espece/cd_nom/278696","Cerylon fagi C. Brisout de Barneville, 1867")</f>
        <v>Cerylon fagi C. Brisout de Barneville, 1867</v>
      </c>
      <c r="AH16438" s="4" t="str">
        <f>HYPERLINK("#Statut_biogéographique!A"&amp;_xlfn.XMATCH("P",Statut_biogéographique!A:A,2,1),"P")</f>
        <v>P</v>
      </c>
      <c r="AP16438" s="4" t="s">
        <v>376</v>
      </c>
      <c r="AR16438" s="4" t="s">
        <v>377</v>
      </c>
    </row>
    <row r="16439" spans="1:44">
      <c r="A16439" s="4" t="s">
        <v>10753</v>
      </c>
      <c r="B16439" s="4">
        <v>278707</v>
      </c>
      <c r="D16439" s="5">
        <v>278707</v>
      </c>
      <c r="E16439" s="6" t="str">
        <f>HYPERLINK("https://inpn.mnhn.fr/espece/cd_nom/278707","Clambus pallidulus Reitter, 1911")</f>
        <v>Clambus pallidulus Reitter, 1911</v>
      </c>
      <c r="AH16439" s="4" t="str">
        <f>HYPERLINK("#Statut_biogéographique!A"&amp;_xlfn.XMATCH("P",Statut_biogéographique!A:A,2,1),"P")</f>
        <v>P</v>
      </c>
      <c r="AP16439" s="4" t="s">
        <v>376</v>
      </c>
      <c r="AR16439" s="4" t="s">
        <v>377</v>
      </c>
    </row>
    <row r="16440" spans="1:44" ht="30">
      <c r="A16440" s="4" t="s">
        <v>10753</v>
      </c>
      <c r="B16440" s="4">
        <v>27875</v>
      </c>
      <c r="D16440" s="5" t="s">
        <v>20003</v>
      </c>
      <c r="E16440" s="6" t="str">
        <f>HYPERLINK("https://inpn.mnhn.fr/espece/cd_nom/27875","Medina collaris (Fallén, 1820)")</f>
        <v>Medina collaris (Fallén, 1820)</v>
      </c>
      <c r="AH16440" s="4" t="str">
        <f>HYPERLINK("#Statut_biogéographique!A"&amp;_xlfn.XMATCH("P",Statut_biogéographique!A:A,2,1),"P")</f>
        <v>P</v>
      </c>
      <c r="AP16440" s="4" t="s">
        <v>376</v>
      </c>
      <c r="AR16440" s="4" t="s">
        <v>377</v>
      </c>
    </row>
    <row r="16441" spans="1:44" ht="30">
      <c r="A16441" s="4" t="s">
        <v>10753</v>
      </c>
      <c r="B16441" s="4">
        <v>27905</v>
      </c>
      <c r="D16441" s="5" t="s">
        <v>20004</v>
      </c>
      <c r="E16441" s="6" t="str">
        <f>HYPERLINK("https://inpn.mnhn.fr/espece/cd_nom/27905","Ocytata pallipes (Fallén, 1820)")</f>
        <v>Ocytata pallipes (Fallén, 1820)</v>
      </c>
      <c r="AH16441" s="4" t="str">
        <f>HYPERLINK("#Statut_biogéographique!A"&amp;_xlfn.XMATCH("P",Statut_biogéographique!A:A,2,1),"P")</f>
        <v>P</v>
      </c>
      <c r="AP16441" s="4" t="s">
        <v>376</v>
      </c>
      <c r="AR16441" s="4" t="s">
        <v>377</v>
      </c>
    </row>
    <row r="16442" spans="1:44" ht="30">
      <c r="A16442" s="4" t="s">
        <v>10753</v>
      </c>
      <c r="B16442" s="4">
        <v>279068</v>
      </c>
      <c r="D16442" s="5" t="s">
        <v>20005</v>
      </c>
      <c r="E16442" s="6" t="str">
        <f>HYPERLINK("https://inpn.mnhn.fr/espece/cd_nom/279068","Dermestes gyllenhali Laporte de Castelnau, 1840")</f>
        <v>Dermestes gyllenhali Laporte de Castelnau, 1840</v>
      </c>
      <c r="AH16442" s="4" t="str">
        <f>HYPERLINK("#Statut_biogéographique!A"&amp;_xlfn.XMATCH("P",Statut_biogéographique!A:A,2,1),"P")</f>
        <v>P</v>
      </c>
      <c r="AP16442" s="4" t="s">
        <v>376</v>
      </c>
      <c r="AR16442" s="4" t="s">
        <v>377</v>
      </c>
    </row>
    <row r="16443" spans="1:44">
      <c r="A16443" s="4" t="s">
        <v>10753</v>
      </c>
      <c r="B16443" s="4">
        <v>279133</v>
      </c>
      <c r="D16443" s="5">
        <v>279133</v>
      </c>
      <c r="E16443" s="6" t="str">
        <f>HYPERLINK("https://inpn.mnhn.fr/espece/cd_nom/279133","Attagenus smirnovi Zhantiev, 1973")</f>
        <v>Attagenus smirnovi Zhantiev, 1973</v>
      </c>
      <c r="AH16443" s="4" t="str">
        <f>HYPERLINK("#Statut_biogéographique!A"&amp;_xlfn.XMATCH("I",Statut_biogéographique!A:A,2,1),"I")</f>
        <v>I</v>
      </c>
      <c r="AP16443" s="4" t="s">
        <v>376</v>
      </c>
      <c r="AR16443" s="4" t="s">
        <v>377</v>
      </c>
    </row>
    <row r="16444" spans="1:44">
      <c r="A16444" s="4" t="s">
        <v>10753</v>
      </c>
      <c r="B16444" s="4">
        <v>279151</v>
      </c>
      <c r="D16444" s="5" t="s">
        <v>20006</v>
      </c>
      <c r="E16444" s="6" t="str">
        <f>HYPERLINK("https://inpn.mnhn.fr/espece/cd_nom/279151","Anthrenocerus australis (Hope, 1843)")</f>
        <v>Anthrenocerus australis (Hope, 1843)</v>
      </c>
      <c r="AH16444" s="4" t="str">
        <f>HYPERLINK("#Statut_biogéographique!A"&amp;_xlfn.XMATCH("I",Statut_biogéographique!A:A,2,1),"I")</f>
        <v>I</v>
      </c>
      <c r="AP16444" s="4" t="s">
        <v>376</v>
      </c>
      <c r="AR16444" s="4" t="s">
        <v>377</v>
      </c>
    </row>
    <row r="16445" spans="1:44">
      <c r="A16445" s="4" t="s">
        <v>10753</v>
      </c>
      <c r="B16445" s="4">
        <v>27917</v>
      </c>
      <c r="D16445" s="5" t="s">
        <v>20007</v>
      </c>
      <c r="E16445" s="6" t="str">
        <f>HYPERLINK("https://inpn.mnhn.fr/espece/cd_nom/27917","Pales pumicata (Meigen, 1824)")</f>
        <v>Pales pumicata (Meigen, 1824)</v>
      </c>
      <c r="AH16445" s="4" t="str">
        <f>HYPERLINK("#Statut_biogéographique!A"&amp;_xlfn.XMATCH("P",Statut_biogéographique!A:A,2,1),"P")</f>
        <v>P</v>
      </c>
      <c r="AP16445" s="4" t="s">
        <v>376</v>
      </c>
      <c r="AR16445" s="4" t="s">
        <v>377</v>
      </c>
    </row>
    <row r="16446" spans="1:44">
      <c r="A16446" s="4" t="s">
        <v>10753</v>
      </c>
      <c r="B16446" s="4">
        <v>279360</v>
      </c>
      <c r="D16446" s="5" t="s">
        <v>20008</v>
      </c>
      <c r="E16446" s="6" t="str">
        <f>HYPERLINK("https://inpn.mnhn.fr/espece/cd_nom/279360","Haliplus sibiricus Motschulsky, 1860")</f>
        <v>Haliplus sibiricus Motschulsky, 1860</v>
      </c>
      <c r="AH16446" s="4" t="str">
        <f>HYPERLINK("#Statut_biogéographique!A"&amp;_xlfn.XMATCH("P",Statut_biogéographique!A:A,2,1),"P")</f>
        <v>P</v>
      </c>
      <c r="AP16446" s="4" t="s">
        <v>376</v>
      </c>
      <c r="AR16446" s="4" t="s">
        <v>377</v>
      </c>
    </row>
    <row r="16447" spans="1:44" ht="45">
      <c r="A16447" s="4" t="s">
        <v>10753</v>
      </c>
      <c r="B16447" s="4">
        <v>27941</v>
      </c>
      <c r="D16447" s="5" t="s">
        <v>20009</v>
      </c>
      <c r="E16447" s="6" t="str">
        <f>HYPERLINK("https://inpn.mnhn.fr/espece/cd_nom/27941","Phorocera obscura (Fallén, 1810)")</f>
        <v>Phorocera obscura (Fallén, 1810)</v>
      </c>
      <c r="AH16447" s="4" t="str">
        <f>HYPERLINK("#Statut_biogéographique!A"&amp;_xlfn.XMATCH("P",Statut_biogéographique!A:A,2,1),"P")</f>
        <v>P</v>
      </c>
      <c r="AP16447" s="4" t="s">
        <v>376</v>
      </c>
      <c r="AR16447" s="4" t="s">
        <v>377</v>
      </c>
    </row>
    <row r="16448" spans="1:44" ht="240">
      <c r="A16448" s="4" t="s">
        <v>10753</v>
      </c>
      <c r="B16448" s="4">
        <v>27955</v>
      </c>
      <c r="D16448" s="5" t="s">
        <v>20010</v>
      </c>
      <c r="E16448" s="6" t="str">
        <f>HYPERLINK("https://inpn.mnhn.fr/espece/cd_nom/27955","Phryxe vulgaris (Fallén, 1810)")</f>
        <v>Phryxe vulgaris (Fallén, 1810)</v>
      </c>
      <c r="AH16448" s="4" t="str">
        <f>HYPERLINK("#Statut_biogéographique!A"&amp;_xlfn.XMATCH("P",Statut_biogéographique!A:A,2,1),"P")</f>
        <v>P</v>
      </c>
      <c r="AP16448" s="4" t="s">
        <v>376</v>
      </c>
      <c r="AR16448" s="4" t="s">
        <v>377</v>
      </c>
    </row>
    <row r="16449" spans="1:44">
      <c r="A16449" s="4" t="s">
        <v>10753</v>
      </c>
      <c r="B16449" s="4">
        <v>279642</v>
      </c>
      <c r="D16449" s="5" t="s">
        <v>20011</v>
      </c>
      <c r="E16449" s="6" t="str">
        <f>HYPERLINK("https://inpn.mnhn.fr/espece/cd_nom/279642","Cyrtusa subtestacea (Gyllenhal, 1813)")</f>
        <v>Cyrtusa subtestacea (Gyllenhal, 1813)</v>
      </c>
      <c r="AH16449" s="4" t="str">
        <f>HYPERLINK("#Statut_biogéographique!A"&amp;_xlfn.XMATCH("P",Statut_biogéographique!A:A,2,1),"P")</f>
        <v>P</v>
      </c>
      <c r="AP16449" s="4" t="s">
        <v>376</v>
      </c>
      <c r="AR16449" s="4" t="s">
        <v>377</v>
      </c>
    </row>
    <row r="16450" spans="1:44">
      <c r="A16450" s="4" t="s">
        <v>10753</v>
      </c>
      <c r="B16450" s="4">
        <v>27986</v>
      </c>
      <c r="D16450" s="5" t="s">
        <v>20012</v>
      </c>
      <c r="E16450" s="6" t="str">
        <f>HYPERLINK("https://inpn.mnhn.fr/espece/cd_nom/27986","Sturmia bella (Meigen, 1824)")</f>
        <v>Sturmia bella (Meigen, 1824)</v>
      </c>
      <c r="AH16450" s="4" t="str">
        <f>HYPERLINK("#Statut_biogéographique!A"&amp;_xlfn.XMATCH("P",Statut_biogéographique!A:A,2,1),"P")</f>
        <v>P</v>
      </c>
      <c r="AP16450" s="4" t="s">
        <v>376</v>
      </c>
      <c r="AR16450" s="4" t="s">
        <v>377</v>
      </c>
    </row>
    <row r="16451" spans="1:44">
      <c r="A16451" s="4" t="s">
        <v>10753</v>
      </c>
      <c r="B16451" s="4">
        <v>28001</v>
      </c>
      <c r="D16451" s="5" t="s">
        <v>20013</v>
      </c>
      <c r="E16451" s="6" t="str">
        <f>HYPERLINK("https://inpn.mnhn.fr/espece/cd_nom/28001","Winthemia quadripustulata (Fabricius, 1794)")</f>
        <v>Winthemia quadripustulata (Fabricius, 1794)</v>
      </c>
      <c r="AH16451" s="4" t="str">
        <f>HYPERLINK("#Statut_biogéographique!A"&amp;_xlfn.XMATCH("P",Statut_biogéographique!A:A,2,1),"P")</f>
        <v>P</v>
      </c>
      <c r="AP16451" s="4" t="s">
        <v>376</v>
      </c>
      <c r="AR16451" s="4" t="s">
        <v>377</v>
      </c>
    </row>
    <row r="16452" spans="1:44" ht="30">
      <c r="A16452" s="4" t="s">
        <v>10753</v>
      </c>
      <c r="B16452" s="4">
        <v>28020</v>
      </c>
      <c r="D16452" s="5" t="s">
        <v>20014</v>
      </c>
      <c r="E16452" s="6" t="str">
        <f>HYPERLINK("https://inpn.mnhn.fr/espece/cd_nom/28020","Actia crassicornis (Meigen, 1824)")</f>
        <v>Actia crassicornis (Meigen, 1824)</v>
      </c>
      <c r="AH16452" s="4" t="str">
        <f>HYPERLINK("#Statut_biogéographique!A"&amp;_xlfn.XMATCH("P",Statut_biogéographique!A:A,2,1),"P")</f>
        <v>P</v>
      </c>
      <c r="AP16452" s="4" t="s">
        <v>376</v>
      </c>
      <c r="AR16452" s="4" t="s">
        <v>377</v>
      </c>
    </row>
    <row r="16453" spans="1:44" ht="30">
      <c r="A16453" s="4" t="s">
        <v>10753</v>
      </c>
      <c r="B16453" s="4">
        <v>28021</v>
      </c>
      <c r="D16453" s="5" t="s">
        <v>20015</v>
      </c>
      <c r="E16453" s="6" t="str">
        <f>HYPERLINK("https://inpn.mnhn.fr/espece/cd_nom/28021","Actia lamia (Meigen, 1838)")</f>
        <v>Actia lamia (Meigen, 1838)</v>
      </c>
      <c r="AH16453" s="4" t="str">
        <f>HYPERLINK("#Statut_biogéographique!A"&amp;_xlfn.XMATCH("P",Statut_biogéographique!A:A,2,1),"P")</f>
        <v>P</v>
      </c>
      <c r="AP16453" s="4" t="s">
        <v>376</v>
      </c>
      <c r="AR16453" s="4" t="s">
        <v>377</v>
      </c>
    </row>
    <row r="16454" spans="1:44" ht="30">
      <c r="A16454" s="4" t="s">
        <v>10753</v>
      </c>
      <c r="B16454" s="4">
        <v>28048</v>
      </c>
      <c r="D16454" s="5" t="s">
        <v>20016</v>
      </c>
      <c r="E16454" s="6" t="str">
        <f>HYPERLINK("https://inpn.mnhn.fr/espece/cd_nom/28048","Demoticus plebejus (Fallén, 1810)")</f>
        <v>Demoticus plebejus (Fallén, 1810)</v>
      </c>
      <c r="AH16454" s="4" t="str">
        <f>HYPERLINK("#Statut_biogéographique!A"&amp;_xlfn.XMATCH("P",Statut_biogéographique!A:A,2,1),"P")</f>
        <v>P</v>
      </c>
      <c r="AP16454" s="4" t="s">
        <v>376</v>
      </c>
      <c r="AR16454" s="4" t="s">
        <v>377</v>
      </c>
    </row>
    <row r="16455" spans="1:44" ht="30">
      <c r="A16455" s="4" t="s">
        <v>10753</v>
      </c>
      <c r="B16455" s="4">
        <v>28052</v>
      </c>
      <c r="D16455" s="5" t="s">
        <v>20017</v>
      </c>
      <c r="E16455" s="6" t="str">
        <f>HYPERLINK("https://inpn.mnhn.fr/espece/cd_nom/28052","Eloceria delecta (Meigen, 1824)")</f>
        <v>Eloceria delecta (Meigen, 1824)</v>
      </c>
      <c r="AH16455" s="4" t="str">
        <f>HYPERLINK("#Statut_biogéographique!A"&amp;_xlfn.XMATCH("P",Statut_biogéographique!A:A,2,1),"P")</f>
        <v>P</v>
      </c>
      <c r="AP16455" s="4" t="s">
        <v>376</v>
      </c>
      <c r="AR16455" s="4" t="s">
        <v>377</v>
      </c>
    </row>
    <row r="16456" spans="1:44" ht="60">
      <c r="A16456" s="4" t="s">
        <v>10753</v>
      </c>
      <c r="B16456" s="4">
        <v>28115</v>
      </c>
      <c r="D16456" s="5" t="s">
        <v>20018</v>
      </c>
      <c r="E16456" s="6" t="str">
        <f>HYPERLINK("https://inpn.mnhn.fr/espece/cd_nom/28115","Lydina aenea (Meigen, 1824)")</f>
        <v>Lydina aenea (Meigen, 1824)</v>
      </c>
      <c r="AH16456" s="4" t="str">
        <f>HYPERLINK("#Statut_biogéographique!A"&amp;_xlfn.XMATCH("P",Statut_biogéographique!A:A,2,1),"P")</f>
        <v>P</v>
      </c>
      <c r="AP16456" s="4" t="s">
        <v>376</v>
      </c>
      <c r="AR16456" s="4" t="s">
        <v>377</v>
      </c>
    </row>
    <row r="16457" spans="1:44">
      <c r="A16457" s="4" t="s">
        <v>10753</v>
      </c>
      <c r="B16457" s="4">
        <v>281157</v>
      </c>
      <c r="D16457" s="5" t="s">
        <v>20019</v>
      </c>
      <c r="E16457" s="6" t="str">
        <f>HYPERLINK("https://inpn.mnhn.fr/espece/cd_nom/281157","Schizotus pectinicornis (Linnaeus, 1758)")</f>
        <v>Schizotus pectinicornis (Linnaeus, 1758)</v>
      </c>
      <c r="F16457" s="5" t="s">
        <v>20020</v>
      </c>
      <c r="AH16457" s="4" t="str">
        <f>HYPERLINK("#Statut_biogéographique!A"&amp;_xlfn.XMATCH("P",Statut_biogéographique!A:A,2,1),"P")</f>
        <v>P</v>
      </c>
      <c r="AP16457" s="4" t="s">
        <v>376</v>
      </c>
      <c r="AR16457" s="4" t="s">
        <v>377</v>
      </c>
    </row>
    <row r="16458" spans="1:44">
      <c r="A16458" s="4" t="s">
        <v>10753</v>
      </c>
      <c r="B16458" s="4">
        <v>281169</v>
      </c>
      <c r="D16458" s="5" t="s">
        <v>20021</v>
      </c>
      <c r="E16458" s="6" t="str">
        <f>HYPERLINK("https://inpn.mnhn.fr/espece/cd_nom/281169","Scirtes hemisphaericus (Linnaeus, 1758)")</f>
        <v>Scirtes hemisphaericus (Linnaeus, 1758)</v>
      </c>
      <c r="AH16458" s="4" t="str">
        <f>HYPERLINK("#Statut_biogéographique!A"&amp;_xlfn.XMATCH("P",Statut_biogéographique!A:A,2,1),"P")</f>
        <v>P</v>
      </c>
      <c r="AP16458" s="4" t="s">
        <v>376</v>
      </c>
      <c r="AR16458" s="4" t="s">
        <v>377</v>
      </c>
    </row>
    <row r="16459" spans="1:44" ht="30">
      <c r="A16459" s="4" t="s">
        <v>10753</v>
      </c>
      <c r="B16459" s="4">
        <v>28123</v>
      </c>
      <c r="D16459" s="5" t="s">
        <v>20022</v>
      </c>
      <c r="E16459" s="6" t="str">
        <f>HYPERLINK("https://inpn.mnhn.fr/espece/cd_nom/28123","Macquartia dispar (Fallén, 1820)")</f>
        <v>Macquartia dispar (Fallén, 1820)</v>
      </c>
      <c r="AH16459" s="4" t="str">
        <f>HYPERLINK("#Statut_biogéographique!A"&amp;_xlfn.XMATCH("P",Statut_biogéographique!A:A,2,1),"P")</f>
        <v>P</v>
      </c>
      <c r="AP16459" s="4" t="s">
        <v>376</v>
      </c>
      <c r="AR16459" s="4" t="s">
        <v>377</v>
      </c>
    </row>
    <row r="16460" spans="1:44" ht="30">
      <c r="A16460" s="4" t="s">
        <v>10753</v>
      </c>
      <c r="B16460" s="4">
        <v>281235</v>
      </c>
      <c r="D16460" s="5" t="s">
        <v>20023</v>
      </c>
      <c r="E16460" s="6" t="str">
        <f>HYPERLINK("https://inpn.mnhn.fr/espece/cd_nom/281235","Prionocyphon serricornis (P.W.J. Müller, 1821)")</f>
        <v>Prionocyphon serricornis (P.W.J. Müller, 1821)</v>
      </c>
      <c r="AH16460" s="4" t="str">
        <f>HYPERLINK("#Statut_biogéographique!A"&amp;_xlfn.XMATCH("P",Statut_biogéographique!A:A,2,1),"P")</f>
        <v>P</v>
      </c>
      <c r="AP16460" s="4" t="s">
        <v>376</v>
      </c>
      <c r="AR16460" s="4" t="s">
        <v>377</v>
      </c>
    </row>
    <row r="16461" spans="1:44" ht="45">
      <c r="A16461" s="4" t="s">
        <v>10753</v>
      </c>
      <c r="B16461" s="4">
        <v>28129</v>
      </c>
      <c r="D16461" s="5" t="s">
        <v>20024</v>
      </c>
      <c r="E16461" s="6" t="str">
        <f>HYPERLINK("https://inpn.mnhn.fr/espece/cd_nom/28129","Macquartia tenebricosa (Meigen, 1824)")</f>
        <v>Macquartia tenebricosa (Meigen, 1824)</v>
      </c>
      <c r="AH16461" s="4" t="str">
        <f>HYPERLINK("#Statut_biogéographique!A"&amp;_xlfn.XMATCH("P",Statut_biogéographique!A:A,2,1),"P")</f>
        <v>P</v>
      </c>
      <c r="AP16461" s="4" t="s">
        <v>376</v>
      </c>
      <c r="AR16461" s="4" t="s">
        <v>377</v>
      </c>
    </row>
    <row r="16462" spans="1:44">
      <c r="A16462" s="4" t="s">
        <v>10753</v>
      </c>
      <c r="B16462" s="4">
        <v>28135</v>
      </c>
      <c r="D16462" s="5" t="s">
        <v>20025</v>
      </c>
      <c r="E16462" s="6" t="str">
        <f>HYPERLINK("https://inpn.mnhn.fr/espece/cd_nom/28135","Mintho rufiventris (Fallén, 1817)")</f>
        <v>Mintho rufiventris (Fallén, 1817)</v>
      </c>
      <c r="AH16462" s="4" t="str">
        <f>HYPERLINK("#Statut_biogéographique!A"&amp;_xlfn.XMATCH("P",Statut_biogéographique!A:A,2,1),"P")</f>
        <v>P</v>
      </c>
      <c r="AP16462" s="4" t="s">
        <v>376</v>
      </c>
      <c r="AR16462" s="4" t="s">
        <v>377</v>
      </c>
    </row>
    <row r="16463" spans="1:44">
      <c r="A16463" s="4" t="s">
        <v>10753</v>
      </c>
      <c r="B16463" s="4">
        <v>281398</v>
      </c>
      <c r="D16463" s="5" t="s">
        <v>20026</v>
      </c>
      <c r="E16463" s="6" t="str">
        <f>HYPERLINK("https://inpn.mnhn.fr/espece/cd_nom/281398","Forficula ruficollis Fabricius, 1798")</f>
        <v>Forficula ruficollis Fabricius, 1798</v>
      </c>
      <c r="AH16463" s="4" t="str">
        <f>HYPERLINK("#Statut_biogéographique!A"&amp;_xlfn.XMATCH("P",Statut_biogéographique!A:A,2,1),"P")</f>
        <v>P</v>
      </c>
      <c r="AP16463" s="4" t="s">
        <v>376</v>
      </c>
      <c r="AR16463" s="4" t="s">
        <v>377</v>
      </c>
    </row>
    <row r="16464" spans="1:44">
      <c r="A16464" s="4" t="s">
        <v>10753</v>
      </c>
      <c r="B16464" s="4">
        <v>28153</v>
      </c>
      <c r="D16464" s="5" t="s">
        <v>20027</v>
      </c>
      <c r="E16464" s="6" t="str">
        <f>HYPERLINK("https://inpn.mnhn.fr/espece/cd_nom/28153","Peribaea tibialis (Robineau-Desvoidy, 1851)")</f>
        <v>Peribaea tibialis (Robineau-Desvoidy, 1851)</v>
      </c>
      <c r="AH16464" s="4" t="str">
        <f>HYPERLINK("#Statut_biogéographique!A"&amp;_xlfn.XMATCH("P",Statut_biogéographique!A:A,2,1),"P")</f>
        <v>P</v>
      </c>
      <c r="AP16464" s="4" t="s">
        <v>376</v>
      </c>
      <c r="AR16464" s="4" t="s">
        <v>377</v>
      </c>
    </row>
    <row r="16465" spans="1:44" ht="45">
      <c r="A16465" s="4" t="s">
        <v>10753</v>
      </c>
      <c r="B16465" s="4">
        <v>28165</v>
      </c>
      <c r="D16465" s="5" t="s">
        <v>20028</v>
      </c>
      <c r="E16465" s="6" t="str">
        <f>HYPERLINK("https://inpn.mnhn.fr/espece/cd_nom/28165","Siphona geniculata (De Geer, 1776)")</f>
        <v>Siphona geniculata (De Geer, 1776)</v>
      </c>
      <c r="AH16465" s="4" t="str">
        <f>HYPERLINK("#Statut_biogéographique!A"&amp;_xlfn.XMATCH("P",Statut_biogéographique!A:A,2,1),"P")</f>
        <v>P</v>
      </c>
      <c r="AP16465" s="4" t="s">
        <v>376</v>
      </c>
      <c r="AR16465" s="4" t="s">
        <v>377</v>
      </c>
    </row>
    <row r="16466" spans="1:44" ht="30">
      <c r="A16466" s="4" t="s">
        <v>10753</v>
      </c>
      <c r="B16466" s="4">
        <v>28173</v>
      </c>
      <c r="D16466" s="5" t="s">
        <v>20029</v>
      </c>
      <c r="E16466" s="6" t="str">
        <f>HYPERLINK("https://inpn.mnhn.fr/espece/cd_nom/28173","Solieria inanis (Fallén, 1810)")</f>
        <v>Solieria inanis (Fallén, 1810)</v>
      </c>
      <c r="AH16466" s="4" t="str">
        <f>HYPERLINK("#Statut_biogéographique!A"&amp;_xlfn.XMATCH("P",Statut_biogéographique!A:A,2,1),"P")</f>
        <v>P</v>
      </c>
      <c r="AP16466" s="4" t="s">
        <v>376</v>
      </c>
      <c r="AR16466" s="4" t="s">
        <v>377</v>
      </c>
    </row>
    <row r="16467" spans="1:44" ht="30">
      <c r="A16467" s="4" t="s">
        <v>10753</v>
      </c>
      <c r="B16467" s="4">
        <v>28199</v>
      </c>
      <c r="D16467" s="5" t="s">
        <v>20030</v>
      </c>
      <c r="E16467" s="6" t="str">
        <f>HYPERLINK("https://inpn.mnhn.fr/espece/cd_nom/28199","Triarthria setipennis (Fallén, 1810)")</f>
        <v>Triarthria setipennis (Fallén, 1810)</v>
      </c>
      <c r="AH16467" s="4" t="str">
        <f>HYPERLINK("#Statut_biogéographique!A"&amp;_xlfn.XMATCH("P",Statut_biogéographique!A:A,2,1),"P")</f>
        <v>P</v>
      </c>
      <c r="AP16467" s="4" t="s">
        <v>376</v>
      </c>
      <c r="AR16467" s="4" t="s">
        <v>377</v>
      </c>
    </row>
    <row r="16468" spans="1:44">
      <c r="A16468" s="4" t="s">
        <v>10753</v>
      </c>
      <c r="B16468" s="4">
        <v>28202</v>
      </c>
      <c r="D16468" s="5" t="s">
        <v>20031</v>
      </c>
      <c r="E16468" s="6" t="str">
        <f>HYPERLINK("https://inpn.mnhn.fr/espece/cd_nom/28202","Zophomyia temula (Scopoli, 1763)")</f>
        <v>Zophomyia temula (Scopoli, 1763)</v>
      </c>
      <c r="AH16468" s="4" t="str">
        <f>HYPERLINK("#Statut_biogéographique!A"&amp;_xlfn.XMATCH("P",Statut_biogéographique!A:A,2,1),"P")</f>
        <v>P</v>
      </c>
      <c r="AP16468" s="4" t="s">
        <v>376</v>
      </c>
      <c r="AR16468" s="4" t="s">
        <v>377</v>
      </c>
    </row>
    <row r="16469" spans="1:44">
      <c r="A16469" s="4" t="s">
        <v>10753</v>
      </c>
      <c r="B16469" s="4">
        <v>282070</v>
      </c>
      <c r="D16469" s="5" t="s">
        <v>20032</v>
      </c>
      <c r="E16469" s="6" t="str">
        <f>HYPERLINK("https://inpn.mnhn.fr/espece/cd_nom/282070","Delia pilifemur (Ringdahl, 1933)")</f>
        <v>Delia pilifemur (Ringdahl, 1933)</v>
      </c>
      <c r="AH16469" s="4" t="str">
        <f>HYPERLINK("#Statut_biogéographique!A"&amp;_xlfn.XMATCH("P",Statut_biogéographique!A:A,2,1),"P")</f>
        <v>P</v>
      </c>
      <c r="AP16469" s="4" t="s">
        <v>376</v>
      </c>
      <c r="AR16469" s="4" t="s">
        <v>377</v>
      </c>
    </row>
    <row r="16470" spans="1:44" ht="30">
      <c r="A16470" s="4" t="s">
        <v>10753</v>
      </c>
      <c r="B16470" s="4">
        <v>282088</v>
      </c>
      <c r="D16470" s="5" t="s">
        <v>20033</v>
      </c>
      <c r="E16470" s="6" t="str">
        <f>HYPERLINK("https://inpn.mnhn.fr/espece/cd_nom/282088","Egle minuta (Meigen, 1826)")</f>
        <v>Egle minuta (Meigen, 1826)</v>
      </c>
      <c r="AH16470" s="4" t="str">
        <f>HYPERLINK("#Statut_biogéographique!A"&amp;_xlfn.XMATCH("P",Statut_biogéographique!A:A,2,1),"P")</f>
        <v>P</v>
      </c>
      <c r="AP16470" s="4" t="s">
        <v>376</v>
      </c>
      <c r="AR16470" s="4" t="s">
        <v>377</v>
      </c>
    </row>
    <row r="16471" spans="1:44">
      <c r="A16471" s="4" t="s">
        <v>10753</v>
      </c>
      <c r="B16471" s="4">
        <v>28219</v>
      </c>
      <c r="D16471" s="5" t="s">
        <v>20034</v>
      </c>
      <c r="E16471" s="6" t="str">
        <f>HYPERLINK("https://inpn.mnhn.fr/espece/cd_nom/28219","Cyrtophleba ruricola (Meigen, 1824)")</f>
        <v>Cyrtophleba ruricola (Meigen, 1824)</v>
      </c>
      <c r="AH16471" s="4" t="str">
        <f>HYPERLINK("#Statut_biogéographique!A"&amp;_xlfn.XMATCH("P",Statut_biogéographique!A:A,2,1),"P")</f>
        <v>P</v>
      </c>
      <c r="AP16471" s="4" t="s">
        <v>376</v>
      </c>
      <c r="AR16471" s="4" t="s">
        <v>377</v>
      </c>
    </row>
    <row r="16472" spans="1:44">
      <c r="A16472" s="4" t="s">
        <v>10753</v>
      </c>
      <c r="B16472" s="4">
        <v>282236</v>
      </c>
      <c r="D16472" s="5" t="s">
        <v>20035</v>
      </c>
      <c r="E16472" s="6" t="str">
        <f>HYPERLINK("https://inpn.mnhn.fr/espece/cd_nom/282236","Bibio femoralis Meigen, 1838")</f>
        <v>Bibio femoralis Meigen, 1838</v>
      </c>
      <c r="AH16472" s="4" t="str">
        <f>HYPERLINK("#Statut_biogéographique!A"&amp;_xlfn.XMATCH("I",Statut_biogéographique!A:A,2,1),"I")</f>
        <v>I</v>
      </c>
      <c r="AP16472" s="4" t="s">
        <v>376</v>
      </c>
      <c r="AR16472" s="4" t="s">
        <v>377</v>
      </c>
    </row>
    <row r="16473" spans="1:44" ht="30">
      <c r="A16473" s="4" t="s">
        <v>10753</v>
      </c>
      <c r="B16473" s="4">
        <v>28228</v>
      </c>
      <c r="D16473" s="5" t="s">
        <v>20036</v>
      </c>
      <c r="E16473" s="6" t="str">
        <f>HYPERLINK("https://inpn.mnhn.fr/espece/cd_nom/28228","Dinera ferina (Fallén, 1817)")</f>
        <v>Dinera ferina (Fallén, 1817)</v>
      </c>
      <c r="AH16473" s="4" t="str">
        <f>HYPERLINK("#Statut_biogéographique!A"&amp;_xlfn.XMATCH("P",Statut_biogéographique!A:A,2,1),"P")</f>
        <v>P</v>
      </c>
      <c r="AP16473" s="4" t="s">
        <v>376</v>
      </c>
      <c r="AR16473" s="4" t="s">
        <v>377</v>
      </c>
    </row>
    <row r="16474" spans="1:44" ht="30">
      <c r="A16474" s="4" t="s">
        <v>10753</v>
      </c>
      <c r="B16474" s="4">
        <v>28233</v>
      </c>
      <c r="D16474" s="5" t="s">
        <v>20037</v>
      </c>
      <c r="E16474" s="6" t="str">
        <f>HYPERLINK("https://inpn.mnhn.fr/espece/cd_nom/28233","Dufouria chalybeata (Meigen, 1824)")</f>
        <v>Dufouria chalybeata (Meigen, 1824)</v>
      </c>
      <c r="AH16474" s="4" t="str">
        <f>HYPERLINK("#Statut_biogéographique!A"&amp;_xlfn.XMATCH("P",Statut_biogéographique!A:A,2,1),"P")</f>
        <v>P</v>
      </c>
      <c r="AP16474" s="4" t="s">
        <v>376</v>
      </c>
      <c r="AR16474" s="4" t="s">
        <v>377</v>
      </c>
    </row>
    <row r="16475" spans="1:44" ht="30">
      <c r="A16475" s="4" t="s">
        <v>10753</v>
      </c>
      <c r="B16475" s="4">
        <v>28239</v>
      </c>
      <c r="D16475" s="5" t="s">
        <v>20038</v>
      </c>
      <c r="E16475" s="6" t="str">
        <f>HYPERLINK("https://inpn.mnhn.fr/espece/cd_nom/28239","Eriothrix rufomaculata (De Geer, 1776)")</f>
        <v>Eriothrix rufomaculata (De Geer, 1776)</v>
      </c>
      <c r="AH16475" s="4" t="str">
        <f>HYPERLINK("#Statut_biogéographique!A"&amp;_xlfn.XMATCH("P",Statut_biogéographique!A:A,2,1),"P")</f>
        <v>P</v>
      </c>
      <c r="AP16475" s="4" t="s">
        <v>376</v>
      </c>
      <c r="AR16475" s="4" t="s">
        <v>377</v>
      </c>
    </row>
    <row r="16476" spans="1:44">
      <c r="A16476" s="4" t="s">
        <v>10753</v>
      </c>
      <c r="B16476" s="4">
        <v>28243</v>
      </c>
      <c r="D16476" s="5" t="s">
        <v>20039</v>
      </c>
      <c r="E16476" s="6" t="str">
        <f>HYPERLINK("https://inpn.mnhn.fr/espece/cd_nom/28243","Estheria cristata (Meigen, 1826)")</f>
        <v>Estheria cristata (Meigen, 1826)</v>
      </c>
      <c r="AH16476" s="4" t="str">
        <f>HYPERLINK("#Statut_biogéographique!A"&amp;_xlfn.XMATCH("P",Statut_biogéographique!A:A,2,1),"P")</f>
        <v>P</v>
      </c>
      <c r="AP16476" s="4" t="s">
        <v>376</v>
      </c>
      <c r="AR16476" s="4" t="s">
        <v>377</v>
      </c>
    </row>
    <row r="16477" spans="1:44">
      <c r="A16477" s="4" t="s">
        <v>10753</v>
      </c>
      <c r="B16477" s="4">
        <v>282529</v>
      </c>
      <c r="D16477" s="5" t="s">
        <v>20040</v>
      </c>
      <c r="E16477" s="6" t="str">
        <f>HYPERLINK("https://inpn.mnhn.fr/espece/cd_nom/282529","Bellardia vespillo (Fabricius, 1794)")</f>
        <v>Bellardia vespillo (Fabricius, 1794)</v>
      </c>
      <c r="AH16477" s="4" t="str">
        <f>HYPERLINK("#Statut_biogéographique!A"&amp;_xlfn.XMATCH("D",Statut_biogéographique!A:A,2,1),"D")</f>
        <v>D</v>
      </c>
      <c r="AP16477" s="4" t="s">
        <v>376</v>
      </c>
      <c r="AR16477" s="4" t="s">
        <v>377</v>
      </c>
    </row>
    <row r="16478" spans="1:44">
      <c r="A16478" s="4" t="s">
        <v>10753</v>
      </c>
      <c r="B16478" s="4">
        <v>28283</v>
      </c>
      <c r="D16478" s="5" t="s">
        <v>20041</v>
      </c>
      <c r="E16478" s="6" t="str">
        <f>HYPERLINK("https://inpn.mnhn.fr/espece/cd_nom/28283","Trixa conspersa (Harris, 1776)")</f>
        <v>Trixa conspersa (Harris, 1776)</v>
      </c>
      <c r="AH16478" s="4" t="str">
        <f>HYPERLINK("#Statut_biogéographique!A"&amp;_xlfn.XMATCH("P",Statut_biogéographique!A:A,2,1),"P")</f>
        <v>P</v>
      </c>
      <c r="AP16478" s="4" t="s">
        <v>376</v>
      </c>
      <c r="AR16478" s="4" t="s">
        <v>377</v>
      </c>
    </row>
    <row r="16479" spans="1:44" ht="45">
      <c r="A16479" s="4" t="s">
        <v>10753</v>
      </c>
      <c r="B16479" s="4">
        <v>28287</v>
      </c>
      <c r="D16479" s="5" t="s">
        <v>20042</v>
      </c>
      <c r="E16479" s="6" t="str">
        <f>HYPERLINK("https://inpn.mnhn.fr/espece/cd_nom/28287","Voria ruralis (Fallén, 1810)")</f>
        <v>Voria ruralis (Fallén, 1810)</v>
      </c>
      <c r="AH16479" s="4" t="str">
        <f>HYPERLINK("#Statut_biogéographique!A"&amp;_xlfn.XMATCH("P",Statut_biogéographique!A:A,2,1),"P")</f>
        <v>P</v>
      </c>
      <c r="AP16479" s="4" t="s">
        <v>376</v>
      </c>
      <c r="AR16479" s="4" t="s">
        <v>377</v>
      </c>
    </row>
    <row r="16480" spans="1:44" ht="30">
      <c r="A16480" s="4" t="s">
        <v>10753</v>
      </c>
      <c r="B16480" s="4">
        <v>28295</v>
      </c>
      <c r="D16480" s="5" t="s">
        <v>20043</v>
      </c>
      <c r="E16480" s="6" t="str">
        <f>HYPERLINK("https://inpn.mnhn.fr/espece/cd_nom/28295","Cistogaster globosa (Fabricius, 1775)")</f>
        <v>Cistogaster globosa (Fabricius, 1775)</v>
      </c>
      <c r="AH16480" s="4" t="str">
        <f>HYPERLINK("#Statut_biogéographique!A"&amp;_xlfn.XMATCH("P",Statut_biogéographique!A:A,2,1),"P")</f>
        <v>P</v>
      </c>
      <c r="AP16480" s="4" t="s">
        <v>376</v>
      </c>
      <c r="AR16480" s="4" t="s">
        <v>377</v>
      </c>
    </row>
    <row r="16481" spans="1:44">
      <c r="A16481" s="4" t="s">
        <v>10753</v>
      </c>
      <c r="B16481" s="4">
        <v>28319</v>
      </c>
      <c r="D16481" s="5" t="s">
        <v>20044</v>
      </c>
      <c r="E16481" s="6" t="str">
        <f>HYPERLINK("https://inpn.mnhn.fr/espece/cd_nom/28319","Ectophasia crassipennis (Fabricius, 1794)")</f>
        <v>Ectophasia crassipennis (Fabricius, 1794)</v>
      </c>
      <c r="AH16481" s="4" t="str">
        <f>HYPERLINK("#Statut_biogéographique!A"&amp;_xlfn.XMATCH("P",Statut_biogéographique!A:A,2,1),"P")</f>
        <v>P</v>
      </c>
      <c r="AP16481" s="4" t="s">
        <v>376</v>
      </c>
      <c r="AR16481" s="4" t="s">
        <v>377</v>
      </c>
    </row>
    <row r="16482" spans="1:44">
      <c r="A16482" s="4" t="s">
        <v>10753</v>
      </c>
      <c r="B16482" s="4">
        <v>28327</v>
      </c>
      <c r="D16482" s="5" t="s">
        <v>20045</v>
      </c>
      <c r="E16482" s="6" t="str">
        <f>HYPERLINK("https://inpn.mnhn.fr/espece/cd_nom/28327","Gymnosoma nitens Meigen, 1824")</f>
        <v>Gymnosoma nitens Meigen, 1824</v>
      </c>
      <c r="AH16482" s="4" t="str">
        <f>HYPERLINK("#Statut_biogéographique!A"&amp;_xlfn.XMATCH("P",Statut_biogéographique!A:A,2,1),"P")</f>
        <v>P</v>
      </c>
      <c r="AP16482" s="4" t="s">
        <v>376</v>
      </c>
      <c r="AR16482" s="4" t="s">
        <v>377</v>
      </c>
    </row>
    <row r="16483" spans="1:44" ht="30">
      <c r="A16483" s="4" t="s">
        <v>10753</v>
      </c>
      <c r="B16483" s="4">
        <v>28342</v>
      </c>
      <c r="D16483" s="5" t="s">
        <v>20046</v>
      </c>
      <c r="E16483" s="6" t="str">
        <f>HYPERLINK("https://inpn.mnhn.fr/espece/cd_nom/28342","Leucostoma simplex (Fallén, 1815)")</f>
        <v>Leucostoma simplex (Fallén, 1815)</v>
      </c>
      <c r="AH16483" s="4" t="str">
        <f>HYPERLINK("#Statut_biogéographique!A"&amp;_xlfn.XMATCH("P",Statut_biogéographique!A:A,2,1),"P")</f>
        <v>P</v>
      </c>
      <c r="AP16483" s="4" t="s">
        <v>376</v>
      </c>
      <c r="AR16483" s="4" t="s">
        <v>377</v>
      </c>
    </row>
    <row r="16484" spans="1:44">
      <c r="A16484" s="4" t="s">
        <v>10753</v>
      </c>
      <c r="B16484" s="4">
        <v>283491</v>
      </c>
      <c r="D16484" s="5">
        <v>283491</v>
      </c>
      <c r="E16484" s="6" t="str">
        <f>HYPERLINK("https://inpn.mnhn.fr/espece/cd_nom/283491","Empis sericans Brullé, 1832")</f>
        <v>Empis sericans Brullé, 1832</v>
      </c>
      <c r="AH16484" s="4" t="str">
        <f>HYPERLINK("#Statut_biogéographique!A"&amp;_xlfn.XMATCH("P",Statut_biogéographique!A:A,2,1),"P")</f>
        <v>P</v>
      </c>
      <c r="AP16484" s="4" t="s">
        <v>376</v>
      </c>
      <c r="AR16484" s="4" t="s">
        <v>377</v>
      </c>
    </row>
    <row r="16485" spans="1:44">
      <c r="A16485" s="4" t="s">
        <v>10753</v>
      </c>
      <c r="B16485" s="4">
        <v>283537</v>
      </c>
      <c r="D16485" s="5" t="s">
        <v>20047</v>
      </c>
      <c r="E16485" s="6" t="str">
        <f>HYPERLINK("https://inpn.mnhn.fr/espece/cd_nom/283537","Empis grisea Fallén, 1816")</f>
        <v>Empis grisea Fallén, 1816</v>
      </c>
      <c r="AH16485" s="4" t="str">
        <f>HYPERLINK("#Statut_biogéographique!A"&amp;_xlfn.XMATCH("P",Statut_biogéographique!A:A,2,1),"P")</f>
        <v>P</v>
      </c>
      <c r="AP16485" s="4" t="s">
        <v>376</v>
      </c>
      <c r="AR16485" s="4" t="s">
        <v>377</v>
      </c>
    </row>
    <row r="16486" spans="1:44">
      <c r="A16486" s="4" t="s">
        <v>10753</v>
      </c>
      <c r="B16486" s="4">
        <v>283546</v>
      </c>
      <c r="D16486" s="5" t="s">
        <v>20048</v>
      </c>
      <c r="E16486" s="6" t="str">
        <f>HYPERLINK("https://inpn.mnhn.fr/espece/cd_nom/283546","Empis rustica Fallén, 1816")</f>
        <v>Empis rustica Fallén, 1816</v>
      </c>
      <c r="AH16486" s="4" t="str">
        <f>HYPERLINK("#Statut_biogéographique!A"&amp;_xlfn.XMATCH("P",Statut_biogéographique!A:A,2,1),"P")</f>
        <v>P</v>
      </c>
      <c r="AP16486" s="4" t="s">
        <v>376</v>
      </c>
      <c r="AR16486" s="4" t="s">
        <v>377</v>
      </c>
    </row>
    <row r="16487" spans="1:44">
      <c r="A16487" s="4" t="s">
        <v>10753</v>
      </c>
      <c r="B16487" s="4">
        <v>283550</v>
      </c>
      <c r="D16487" s="5" t="s">
        <v>20049</v>
      </c>
      <c r="E16487" s="6" t="str">
        <f>HYPERLINK("https://inpn.mnhn.fr/espece/cd_nom/283550","Empis variegata Meigen, 1804")</f>
        <v>Empis variegata Meigen, 1804</v>
      </c>
      <c r="AH16487" s="4" t="str">
        <f>HYPERLINK("#Statut_biogéographique!A"&amp;_xlfn.XMATCH("P",Statut_biogéographique!A:A,2,1),"P")</f>
        <v>P</v>
      </c>
      <c r="AP16487" s="4" t="s">
        <v>376</v>
      </c>
      <c r="AR16487" s="4" t="s">
        <v>377</v>
      </c>
    </row>
    <row r="16488" spans="1:44">
      <c r="A16488" s="4" t="s">
        <v>10753</v>
      </c>
      <c r="B16488" s="4">
        <v>283553</v>
      </c>
      <c r="D16488" s="5" t="s">
        <v>20050</v>
      </c>
      <c r="E16488" s="6" t="str">
        <f>HYPERLINK("https://inpn.mnhn.fr/espece/cd_nom/283553","Empis aestiva Loew, 1867")</f>
        <v>Empis aestiva Loew, 1867</v>
      </c>
      <c r="AH16488" s="4" t="str">
        <f>HYPERLINK("#Statut_biogéographique!A"&amp;_xlfn.XMATCH("P",Statut_biogéographique!A:A,2,1),"P")</f>
        <v>P</v>
      </c>
      <c r="AP16488" s="4" t="s">
        <v>376</v>
      </c>
      <c r="AR16488" s="4" t="s">
        <v>377</v>
      </c>
    </row>
    <row r="16489" spans="1:44">
      <c r="A16489" s="4" t="s">
        <v>10753</v>
      </c>
      <c r="B16489" s="4">
        <v>283563</v>
      </c>
      <c r="D16489" s="5" t="s">
        <v>20051</v>
      </c>
      <c r="E16489" s="6" t="str">
        <f>HYPERLINK("https://inpn.mnhn.fr/espece/cd_nom/283563","Empis bicuspidata Collin, 1927")</f>
        <v>Empis bicuspidata Collin, 1927</v>
      </c>
      <c r="AH16489" s="4" t="str">
        <f>HYPERLINK("#Statut_biogéographique!A"&amp;_xlfn.XMATCH("P",Statut_biogéographique!A:A,2,1),"P")</f>
        <v>P</v>
      </c>
      <c r="AP16489" s="4" t="s">
        <v>376</v>
      </c>
      <c r="AR16489" s="4" t="s">
        <v>377</v>
      </c>
    </row>
    <row r="16490" spans="1:44">
      <c r="A16490" s="4" t="s">
        <v>10753</v>
      </c>
      <c r="B16490" s="4">
        <v>283603</v>
      </c>
      <c r="D16490" s="5" t="s">
        <v>20052</v>
      </c>
      <c r="E16490" s="6" t="str">
        <f>HYPERLINK("https://inpn.mnhn.fr/espece/cd_nom/283603","Empis nuntia Meigen, 1838")</f>
        <v>Empis nuntia Meigen, 1838</v>
      </c>
      <c r="AH16490" s="4" t="str">
        <f>HYPERLINK("#Statut_biogéographique!A"&amp;_xlfn.XMATCH("P",Statut_biogéographique!A:A,2,1),"P")</f>
        <v>P</v>
      </c>
      <c r="AP16490" s="4" t="s">
        <v>376</v>
      </c>
      <c r="AR16490" s="4" t="s">
        <v>377</v>
      </c>
    </row>
    <row r="16491" spans="1:44">
      <c r="A16491" s="4" t="s">
        <v>10753</v>
      </c>
      <c r="B16491" s="4">
        <v>283605</v>
      </c>
      <c r="D16491" s="5" t="s">
        <v>20053</v>
      </c>
      <c r="E16491" s="6" t="str">
        <f>HYPERLINK("https://inpn.mnhn.fr/espece/cd_nom/283605","Empis planetica Collin, 1927")</f>
        <v>Empis planetica Collin, 1927</v>
      </c>
      <c r="AH16491" s="4" t="str">
        <f>HYPERLINK("#Statut_biogéographique!A"&amp;_xlfn.XMATCH("P",Statut_biogéographique!A:A,2,1),"P")</f>
        <v>P</v>
      </c>
      <c r="AP16491" s="4" t="s">
        <v>376</v>
      </c>
      <c r="AR16491" s="4" t="s">
        <v>377</v>
      </c>
    </row>
    <row r="16492" spans="1:44">
      <c r="A16492" s="4" t="s">
        <v>10753</v>
      </c>
      <c r="B16492" s="4">
        <v>283609</v>
      </c>
      <c r="D16492" s="5" t="s">
        <v>20054</v>
      </c>
      <c r="E16492" s="6" t="str">
        <f>HYPERLINK("https://inpn.mnhn.fr/espece/cd_nom/283609","Empis prodromus Loew, 1867")</f>
        <v>Empis prodromus Loew, 1867</v>
      </c>
      <c r="AH16492" s="4" t="str">
        <f>HYPERLINK("#Statut_biogéographique!A"&amp;_xlfn.XMATCH("P",Statut_biogéographique!A:A,2,1),"P")</f>
        <v>P</v>
      </c>
      <c r="AP16492" s="4" t="s">
        <v>376</v>
      </c>
      <c r="AR16492" s="4" t="s">
        <v>377</v>
      </c>
    </row>
    <row r="16493" spans="1:44">
      <c r="A16493" s="4" t="s">
        <v>10753</v>
      </c>
      <c r="B16493" s="4">
        <v>283631</v>
      </c>
      <c r="D16493" s="5">
        <v>283631</v>
      </c>
      <c r="E16493" s="6" t="str">
        <f>HYPERLINK("https://inpn.mnhn.fr/espece/cd_nom/283631","Empis woodi Collin, 1927")</f>
        <v>Empis woodi Collin, 1927</v>
      </c>
      <c r="AH16493" s="4" t="str">
        <f>HYPERLINK("#Statut_biogéographique!A"&amp;_xlfn.XMATCH("P",Statut_biogéographique!A:A,2,1),"P")</f>
        <v>P</v>
      </c>
      <c r="AP16493" s="4" t="s">
        <v>376</v>
      </c>
      <c r="AR16493" s="4" t="s">
        <v>377</v>
      </c>
    </row>
    <row r="16494" spans="1:44">
      <c r="A16494" s="4" t="s">
        <v>10753</v>
      </c>
      <c r="B16494" s="4">
        <v>283668</v>
      </c>
      <c r="D16494" s="5" t="s">
        <v>20055</v>
      </c>
      <c r="E16494" s="6" t="str">
        <f>HYPERLINK("https://inpn.mnhn.fr/espece/cd_nom/283668","Rhamphomyia albohirta Collin, 1926")</f>
        <v>Rhamphomyia albohirta Collin, 1926</v>
      </c>
      <c r="AH16494" s="4" t="str">
        <f>HYPERLINK("#Statut_biogéographique!A"&amp;_xlfn.XMATCH("P",Statut_biogéographique!A:A,2,1),"P")</f>
        <v>P</v>
      </c>
      <c r="AP16494" s="4" t="s">
        <v>376</v>
      </c>
      <c r="AR16494" s="4" t="s">
        <v>377</v>
      </c>
    </row>
    <row r="16495" spans="1:44">
      <c r="A16495" s="4" t="s">
        <v>10753</v>
      </c>
      <c r="B16495" s="4">
        <v>283679</v>
      </c>
      <c r="D16495" s="5">
        <v>283679</v>
      </c>
      <c r="E16495" s="6" t="str">
        <f>HYPERLINK("https://inpn.mnhn.fr/espece/cd_nom/283679","Rhamphomyia umbripes Becker, 1887")</f>
        <v>Rhamphomyia umbripes Becker, 1887</v>
      </c>
      <c r="AH16495" s="4" t="str">
        <f>HYPERLINK("#Statut_biogéographique!A"&amp;_xlfn.XMATCH("P",Statut_biogéographique!A:A,2,1),"P")</f>
        <v>P</v>
      </c>
      <c r="AP16495" s="4" t="s">
        <v>376</v>
      </c>
      <c r="AR16495" s="4" t="s">
        <v>377</v>
      </c>
    </row>
    <row r="16496" spans="1:44">
      <c r="A16496" s="4" t="s">
        <v>10753</v>
      </c>
      <c r="B16496" s="4">
        <v>283706</v>
      </c>
      <c r="D16496" s="5" t="s">
        <v>20056</v>
      </c>
      <c r="E16496" s="6" t="str">
        <f>HYPERLINK("https://inpn.mnhn.fr/espece/cd_nom/283706","Rhamphomyia laevipes (Fallén, 1816)")</f>
        <v>Rhamphomyia laevipes (Fallén, 1816)</v>
      </c>
      <c r="AH16496" s="4" t="str">
        <f>HYPERLINK("#Statut_biogéographique!A"&amp;_xlfn.XMATCH("P",Statut_biogéographique!A:A,2,1),"P")</f>
        <v>P</v>
      </c>
      <c r="AP16496" s="4" t="s">
        <v>376</v>
      </c>
      <c r="AR16496" s="4" t="s">
        <v>377</v>
      </c>
    </row>
    <row r="16497" spans="1:44">
      <c r="A16497" s="4" t="s">
        <v>10753</v>
      </c>
      <c r="B16497" s="4">
        <v>283729</v>
      </c>
      <c r="D16497" s="5" t="s">
        <v>20057</v>
      </c>
      <c r="E16497" s="6" t="str">
        <f>HYPERLINK("https://inpn.mnhn.fr/espece/cd_nom/283729","Rhamphomyia subcinarescens Collin, 1926")</f>
        <v>Rhamphomyia subcinarescens Collin, 1926</v>
      </c>
      <c r="AH16497" s="4" t="str">
        <f>HYPERLINK("#Statut_biogéographique!A"&amp;_xlfn.XMATCH("P",Statut_biogéographique!A:A,2,1),"P")</f>
        <v>P</v>
      </c>
      <c r="AP16497" s="4" t="s">
        <v>376</v>
      </c>
      <c r="AR16497" s="4" t="s">
        <v>377</v>
      </c>
    </row>
    <row r="16498" spans="1:44">
      <c r="A16498" s="4" t="s">
        <v>10753</v>
      </c>
      <c r="B16498" s="4">
        <v>283796</v>
      </c>
      <c r="D16498" s="5" t="s">
        <v>20058</v>
      </c>
      <c r="E16498" s="6" t="str">
        <f>HYPERLINK("https://inpn.mnhn.fr/espece/cd_nom/283796","Rhamphomyia nigripennis (Fabricius, 1794)")</f>
        <v>Rhamphomyia nigripennis (Fabricius, 1794)</v>
      </c>
      <c r="AH16498" s="4" t="str">
        <f>HYPERLINK("#Statut_biogéographique!A"&amp;_xlfn.XMATCH("P",Statut_biogéographique!A:A,2,1),"P")</f>
        <v>P</v>
      </c>
      <c r="AP16498" s="4" t="s">
        <v>376</v>
      </c>
      <c r="AR16498" s="4" t="s">
        <v>377</v>
      </c>
    </row>
    <row r="16499" spans="1:44" ht="30">
      <c r="A16499" s="4" t="s">
        <v>10753</v>
      </c>
      <c r="B16499" s="4">
        <v>283802</v>
      </c>
      <c r="D16499" s="5" t="s">
        <v>20059</v>
      </c>
      <c r="E16499" s="6" t="str">
        <f>HYPERLINK("https://inpn.mnhn.fr/espece/cd_nom/283802","Rhamphomyia erythrophthalma Meigen, 1830")</f>
        <v>Rhamphomyia erythrophthalma Meigen, 1830</v>
      </c>
      <c r="AH16499" s="4" t="str">
        <f>HYPERLINK("#Statut_biogéographique!A"&amp;_xlfn.XMATCH("D",Statut_biogéographique!A:A,2,1),"D")</f>
        <v>D</v>
      </c>
      <c r="AP16499" s="4" t="s">
        <v>376</v>
      </c>
      <c r="AR16499" s="4" t="s">
        <v>377</v>
      </c>
    </row>
    <row r="16500" spans="1:44">
      <c r="A16500" s="4" t="s">
        <v>10753</v>
      </c>
      <c r="B16500" s="4">
        <v>284114</v>
      </c>
      <c r="D16500" s="5">
        <v>284114</v>
      </c>
      <c r="E16500" s="6" t="str">
        <f>HYPERLINK("https://inpn.mnhn.fr/espece/cd_nom/284114","Trichina bilobata Collin, 1926")</f>
        <v>Trichina bilobata Collin, 1926</v>
      </c>
      <c r="AH16500" s="4" t="str">
        <f>HYPERLINK("#Statut_biogéographique!A"&amp;_xlfn.XMATCH("P",Statut_biogéographique!A:A,2,1),"P")</f>
        <v>P</v>
      </c>
      <c r="AP16500" s="4" t="s">
        <v>376</v>
      </c>
      <c r="AR16500" s="4" t="s">
        <v>377</v>
      </c>
    </row>
    <row r="16501" spans="1:44">
      <c r="A16501" s="4" t="s">
        <v>10753</v>
      </c>
      <c r="B16501" s="4">
        <v>284124</v>
      </c>
      <c r="D16501" s="5">
        <v>284124</v>
      </c>
      <c r="E16501" s="6" t="str">
        <f>HYPERLINK("https://inpn.mnhn.fr/espece/cd_nom/284124","Bicellaria mera Collin, 1961")</f>
        <v>Bicellaria mera Collin, 1961</v>
      </c>
      <c r="AH16501" s="4" t="str">
        <f>HYPERLINK("#Statut_biogéographique!A"&amp;_xlfn.XMATCH("P",Statut_biogéographique!A:A,2,1),"P")</f>
        <v>P</v>
      </c>
      <c r="AP16501" s="4" t="s">
        <v>376</v>
      </c>
      <c r="AR16501" s="4" t="s">
        <v>377</v>
      </c>
    </row>
    <row r="16502" spans="1:44">
      <c r="A16502" s="4" t="s">
        <v>10753</v>
      </c>
      <c r="B16502" s="4">
        <v>284128</v>
      </c>
      <c r="D16502" s="5">
        <v>284128</v>
      </c>
      <c r="E16502" s="6" t="str">
        <f>HYPERLINK("https://inpn.mnhn.fr/espece/cd_nom/284128","Oedalea freyi Chvála, 1983")</f>
        <v>Oedalea freyi Chvála, 1983</v>
      </c>
      <c r="AH16502" s="4" t="str">
        <f>HYPERLINK("#Statut_biogéographique!A"&amp;_xlfn.XMATCH("P",Statut_biogéographique!A:A,2,1),"P")</f>
        <v>P</v>
      </c>
      <c r="AP16502" s="4" t="s">
        <v>376</v>
      </c>
      <c r="AR16502" s="4" t="s">
        <v>377</v>
      </c>
    </row>
    <row r="16503" spans="1:44">
      <c r="A16503" s="4" t="s">
        <v>10753</v>
      </c>
      <c r="B16503" s="4">
        <v>284133</v>
      </c>
      <c r="D16503" s="5">
        <v>284133</v>
      </c>
      <c r="E16503" s="6" t="str">
        <f>HYPERLINK("https://inpn.mnhn.fr/espece/cd_nom/284133","Oedalea tristis Scholtz, 1851")</f>
        <v>Oedalea tristis Scholtz, 1851</v>
      </c>
      <c r="AH16503" s="4" t="str">
        <f>HYPERLINK("#Statut_biogéographique!A"&amp;_xlfn.XMATCH("P",Statut_biogéographique!A:A,2,1),"P")</f>
        <v>P</v>
      </c>
      <c r="AP16503" s="4" t="s">
        <v>376</v>
      </c>
      <c r="AR16503" s="4" t="s">
        <v>377</v>
      </c>
    </row>
    <row r="16504" spans="1:44">
      <c r="A16504" s="4" t="s">
        <v>10753</v>
      </c>
      <c r="B16504" s="4">
        <v>284134</v>
      </c>
      <c r="D16504" s="5" t="s">
        <v>20060</v>
      </c>
      <c r="E16504" s="6" t="str">
        <f>HYPERLINK("https://inpn.mnhn.fr/espece/cd_nom/284134","Euthyneura albipennis (Zetterstedt, 1842)")</f>
        <v>Euthyneura albipennis (Zetterstedt, 1842)</v>
      </c>
      <c r="AH16504" s="4" t="str">
        <f>HYPERLINK("#Statut_biogéographique!A"&amp;_xlfn.XMATCH("P",Statut_biogéographique!A:A,2,1),"P")</f>
        <v>P</v>
      </c>
      <c r="AP16504" s="4" t="s">
        <v>376</v>
      </c>
      <c r="AR16504" s="4" t="s">
        <v>377</v>
      </c>
    </row>
    <row r="16505" spans="1:44">
      <c r="A16505" s="4" t="s">
        <v>10753</v>
      </c>
      <c r="B16505" s="4">
        <v>284246</v>
      </c>
      <c r="D16505" s="5" t="s">
        <v>20061</v>
      </c>
      <c r="E16505" s="6" t="str">
        <f>HYPERLINK("https://inpn.mnhn.fr/espece/cd_nom/284246","Platypalpus pseudociliaris (Strobl, 1910)")</f>
        <v>Platypalpus pseudociliaris (Strobl, 1910)</v>
      </c>
      <c r="AH16505" s="4" t="str">
        <f>HYPERLINK("#Statut_biogéographique!A"&amp;_xlfn.XMATCH("P",Statut_biogéographique!A:A,2,1),"P")</f>
        <v>P</v>
      </c>
      <c r="AP16505" s="4" t="s">
        <v>376</v>
      </c>
      <c r="AR16505" s="4" t="s">
        <v>377</v>
      </c>
    </row>
    <row r="16506" spans="1:44">
      <c r="A16506" s="4" t="s">
        <v>10753</v>
      </c>
      <c r="B16506" s="4">
        <v>284270</v>
      </c>
      <c r="D16506" s="5" t="s">
        <v>20062</v>
      </c>
      <c r="E16506" s="6" t="str">
        <f>HYPERLINK("https://inpn.mnhn.fr/espece/cd_nom/284270","Platypalpus subtilis (Collin, 1926)")</f>
        <v>Platypalpus subtilis (Collin, 1926)</v>
      </c>
      <c r="AH16506" s="4" t="str">
        <f>HYPERLINK("#Statut_biogéographique!A"&amp;_xlfn.XMATCH("P",Statut_biogéographique!A:A,2,1),"P")</f>
        <v>P</v>
      </c>
      <c r="AP16506" s="4" t="s">
        <v>376</v>
      </c>
      <c r="AR16506" s="4" t="s">
        <v>377</v>
      </c>
    </row>
    <row r="16507" spans="1:44">
      <c r="A16507" s="4" t="s">
        <v>10753</v>
      </c>
      <c r="B16507" s="4">
        <v>284333</v>
      </c>
      <c r="D16507" s="5" t="s">
        <v>20063</v>
      </c>
      <c r="E16507" s="6" t="str">
        <f>HYPERLINK("https://inpn.mnhn.fr/espece/cd_nom/284333","Drapetis assimilis (Fallén, 1815)")</f>
        <v>Drapetis assimilis (Fallén, 1815)</v>
      </c>
      <c r="AH16507" s="4" t="str">
        <f>HYPERLINK("#Statut_biogéographique!A"&amp;_xlfn.XMATCH("P",Statut_biogéographique!A:A,2,1),"P")</f>
        <v>P</v>
      </c>
      <c r="AP16507" s="4" t="s">
        <v>376</v>
      </c>
      <c r="AR16507" s="4" t="s">
        <v>377</v>
      </c>
    </row>
    <row r="16508" spans="1:44">
      <c r="A16508" s="4" t="s">
        <v>10753</v>
      </c>
      <c r="B16508" s="4">
        <v>284337</v>
      </c>
      <c r="D16508" s="5">
        <v>284337</v>
      </c>
      <c r="E16508" s="6" t="str">
        <f>HYPERLINK("https://inpn.mnhn.fr/espece/cd_nom/284337","Drapetis exilis Meigen, 1822")</f>
        <v>Drapetis exilis Meigen, 1822</v>
      </c>
      <c r="AH16508" s="4" t="str">
        <f>HYPERLINK("#Statut_biogéographique!A"&amp;_xlfn.XMATCH("P",Statut_biogéographique!A:A,2,1),"P")</f>
        <v>P</v>
      </c>
      <c r="AP16508" s="4" t="s">
        <v>376</v>
      </c>
      <c r="AR16508" s="4" t="s">
        <v>377</v>
      </c>
    </row>
    <row r="16509" spans="1:44">
      <c r="A16509" s="4" t="s">
        <v>10753</v>
      </c>
      <c r="B16509" s="4">
        <v>284342</v>
      </c>
      <c r="D16509" s="5" t="s">
        <v>20064</v>
      </c>
      <c r="E16509" s="6" t="str">
        <f>HYPERLINK("https://inpn.mnhn.fr/espece/cd_nom/284342","Drapetis parilis Collin, 1926")</f>
        <v>Drapetis parilis Collin, 1926</v>
      </c>
      <c r="AH16509" s="4" t="str">
        <f>HYPERLINK("#Statut_biogéographique!A"&amp;_xlfn.XMATCH("P",Statut_biogéographique!A:A,2,1),"P")</f>
        <v>P</v>
      </c>
      <c r="AP16509" s="4" t="s">
        <v>376</v>
      </c>
      <c r="AR16509" s="4" t="s">
        <v>377</v>
      </c>
    </row>
    <row r="16510" spans="1:44">
      <c r="A16510" s="4" t="s">
        <v>10753</v>
      </c>
      <c r="B16510" s="4">
        <v>284433</v>
      </c>
      <c r="D16510" s="5" t="s">
        <v>20065</v>
      </c>
      <c r="E16510" s="6" t="str">
        <f>HYPERLINK("https://inpn.mnhn.fr/espece/cd_nom/284433","Antlemon brevimanum (Loew, 1871)")</f>
        <v>Antlemon brevimanum (Loew, 1871)</v>
      </c>
      <c r="AH16510" s="4" t="str">
        <f>HYPERLINK("#Statut_biogéographique!A"&amp;_xlfn.XMATCH("P",Statut_biogéographique!A:A,2,1),"P")</f>
        <v>P</v>
      </c>
      <c r="AP16510" s="4" t="s">
        <v>376</v>
      </c>
      <c r="AR16510" s="4" t="s">
        <v>377</v>
      </c>
    </row>
    <row r="16511" spans="1:44">
      <c r="A16511" s="4" t="s">
        <v>10753</v>
      </c>
      <c r="B16511" s="4">
        <v>284845</v>
      </c>
      <c r="D16511" s="5">
        <v>284845</v>
      </c>
      <c r="E16511" s="6" t="str">
        <f>HYPERLINK("https://inpn.mnhn.fr/espece/cd_nom/284845","Exechia chandleri Caspers, 1987")</f>
        <v>Exechia chandleri Caspers, 1987</v>
      </c>
      <c r="AH16511" s="4" t="str">
        <f>HYPERLINK("#Statut_biogéographique!A"&amp;_xlfn.XMATCH("P",Statut_biogéographique!A:A,2,1),"P")</f>
        <v>P</v>
      </c>
      <c r="AP16511" s="4" t="s">
        <v>376</v>
      </c>
      <c r="AR16511" s="4" t="s">
        <v>377</v>
      </c>
    </row>
    <row r="16512" spans="1:44">
      <c r="A16512" s="4" t="s">
        <v>10753</v>
      </c>
      <c r="B16512" s="4">
        <v>284865</v>
      </c>
      <c r="D16512" s="5">
        <v>284865</v>
      </c>
      <c r="E16512" s="6" t="str">
        <f>HYPERLINK("https://inpn.mnhn.fr/espece/cd_nom/284865","Cordyla pusilla Edwards, 1925")</f>
        <v>Cordyla pusilla Edwards, 1925</v>
      </c>
      <c r="AH16512" s="4" t="str">
        <f>HYPERLINK("#Statut_biogéographique!A"&amp;_xlfn.XMATCH("P",Statut_biogéographique!A:A,2,1),"P")</f>
        <v>P</v>
      </c>
      <c r="AP16512" s="4" t="s">
        <v>376</v>
      </c>
      <c r="AR16512" s="4" t="s">
        <v>377</v>
      </c>
    </row>
    <row r="16513" spans="1:44">
      <c r="A16513" s="4" t="s">
        <v>10753</v>
      </c>
      <c r="B16513" s="4">
        <v>284996</v>
      </c>
      <c r="D16513" s="5">
        <v>284996</v>
      </c>
      <c r="E16513" s="6" t="str">
        <f>HYPERLINK("https://inpn.mnhn.fr/espece/cd_nom/284996","Phronia taczanowskyi Dziedzicki, 1889")</f>
        <v>Phronia taczanowskyi Dziedzicki, 1889</v>
      </c>
      <c r="AH16513" s="4" t="str">
        <f>HYPERLINK("#Statut_biogéographique!A"&amp;_xlfn.XMATCH("P",Statut_biogéographique!A:A,2,1),"P")</f>
        <v>P</v>
      </c>
      <c r="AP16513" s="4" t="s">
        <v>376</v>
      </c>
      <c r="AR16513" s="4" t="s">
        <v>377</v>
      </c>
    </row>
    <row r="16514" spans="1:44">
      <c r="A16514" s="4" t="s">
        <v>10753</v>
      </c>
      <c r="B16514" s="4">
        <v>285198</v>
      </c>
      <c r="D16514" s="5">
        <v>285198</v>
      </c>
      <c r="E16514" s="6" t="str">
        <f>HYPERLINK("https://inpn.mnhn.fr/espece/cd_nom/285198","Cephalops penultimus Ackland, 1993")</f>
        <v>Cephalops penultimus Ackland, 1993</v>
      </c>
      <c r="AH16514" s="4" t="str">
        <f>HYPERLINK("#Statut_biogéographique!A"&amp;_xlfn.XMATCH("P",Statut_biogéographique!A:A,2,1),"P")</f>
        <v>P</v>
      </c>
      <c r="AP16514" s="4" t="s">
        <v>376</v>
      </c>
      <c r="AR16514" s="4" t="s">
        <v>377</v>
      </c>
    </row>
    <row r="16515" spans="1:44">
      <c r="A16515" s="4" t="s">
        <v>10753</v>
      </c>
      <c r="B16515" s="4">
        <v>285247</v>
      </c>
      <c r="D16515" s="5" t="s">
        <v>20066</v>
      </c>
      <c r="E16515" s="6" t="str">
        <f>HYPERLINK("https://inpn.mnhn.fr/espece/cd_nom/285247","Microcephalops opacus (Fallén, 1816)")</f>
        <v>Microcephalops opacus (Fallén, 1816)</v>
      </c>
      <c r="AH16515" s="4" t="str">
        <f>HYPERLINK("#Statut_biogéographique!A"&amp;_xlfn.XMATCH("P",Statut_biogéographique!A:A,2,1),"P")</f>
        <v>P</v>
      </c>
      <c r="AP16515" s="4" t="s">
        <v>376</v>
      </c>
      <c r="AR16515" s="4" t="s">
        <v>377</v>
      </c>
    </row>
    <row r="16516" spans="1:44">
      <c r="A16516" s="4" t="s">
        <v>10753</v>
      </c>
      <c r="B16516" s="4">
        <v>285304</v>
      </c>
      <c r="D16516" s="5">
        <v>285304</v>
      </c>
      <c r="E16516" s="6" t="str">
        <f>HYPERLINK("https://inpn.mnhn.fr/espece/cd_nom/285304","Chalarus decorus Jervis, 1992")</f>
        <v>Chalarus decorus Jervis, 1992</v>
      </c>
      <c r="AH16516" s="4" t="str">
        <f>HYPERLINK("#Statut_biogéographique!A"&amp;_xlfn.XMATCH("P",Statut_biogéographique!A:A,2,1),"P")</f>
        <v>P</v>
      </c>
      <c r="AP16516" s="4" t="s">
        <v>376</v>
      </c>
      <c r="AR16516" s="4" t="s">
        <v>377</v>
      </c>
    </row>
    <row r="16517" spans="1:44">
      <c r="A16517" s="4" t="s">
        <v>10753</v>
      </c>
      <c r="B16517" s="4">
        <v>285335</v>
      </c>
      <c r="D16517" s="5" t="s">
        <v>20067</v>
      </c>
      <c r="E16517" s="6" t="str">
        <f>HYPERLINK("https://inpn.mnhn.fr/espece/cd_nom/285335","Loxocera albiseta (Schrank, 1803)")</f>
        <v>Loxocera albiseta (Schrank, 1803)</v>
      </c>
      <c r="AH16517" s="4" t="str">
        <f>HYPERLINK("#Statut_biogéographique!A"&amp;_xlfn.XMATCH("P",Statut_biogéographique!A:A,2,1),"P")</f>
        <v>P</v>
      </c>
      <c r="AP16517" s="4" t="s">
        <v>376</v>
      </c>
      <c r="AR16517" s="4" t="s">
        <v>377</v>
      </c>
    </row>
    <row r="16518" spans="1:44">
      <c r="A16518" s="4" t="s">
        <v>10753</v>
      </c>
      <c r="B16518" s="4">
        <v>285480</v>
      </c>
      <c r="D16518" s="5" t="s">
        <v>20068</v>
      </c>
      <c r="E16518" s="6" t="str">
        <f>HYPERLINK("https://inpn.mnhn.fr/espece/cd_nom/285480","Psychoda cinerea Banks, 1894")</f>
        <v>Psychoda cinerea Banks, 1894</v>
      </c>
      <c r="AH16518" s="4" t="str">
        <f>HYPERLINK("#Statut_biogéographique!A"&amp;_xlfn.XMATCH("P",Statut_biogéographique!A:A,2,1),"P")</f>
        <v>P</v>
      </c>
      <c r="AP16518" s="4" t="s">
        <v>376</v>
      </c>
      <c r="AR16518" s="4" t="s">
        <v>377</v>
      </c>
    </row>
    <row r="16519" spans="1:44">
      <c r="A16519" s="4" t="s">
        <v>10753</v>
      </c>
      <c r="B16519" s="4">
        <v>285574</v>
      </c>
      <c r="D16519" s="5" t="s">
        <v>20069</v>
      </c>
      <c r="E16519" s="6" t="str">
        <f>HYPERLINK("https://inpn.mnhn.fr/espece/cd_nom/285574","Mormia cornuta (Tonnoir, 1919)")</f>
        <v>Mormia cornuta (Tonnoir, 1919)</v>
      </c>
      <c r="AH16519" s="4" t="str">
        <f>HYPERLINK("#Statut_biogéographique!A"&amp;_xlfn.XMATCH("P",Statut_biogéographique!A:A,2,1),"P")</f>
        <v>P</v>
      </c>
      <c r="AP16519" s="4" t="s">
        <v>376</v>
      </c>
      <c r="AR16519" s="4" t="s">
        <v>377</v>
      </c>
    </row>
    <row r="16520" spans="1:44">
      <c r="A16520" s="4" t="s">
        <v>10753</v>
      </c>
      <c r="B16520" s="4">
        <v>285633</v>
      </c>
      <c r="D16520" s="5">
        <v>285633</v>
      </c>
      <c r="E16520" s="6" t="str">
        <f>HYPERLINK("https://inpn.mnhn.fr/espece/cd_nom/285633","Jungiella pseudolongicornis Wagner, 1975")</f>
        <v>Jungiella pseudolongicornis Wagner, 1975</v>
      </c>
      <c r="AH16520" s="4" t="str">
        <f>HYPERLINK("#Statut_biogéographique!A"&amp;_xlfn.XMATCH("P",Statut_biogéographique!A:A,2,1),"P")</f>
        <v>P</v>
      </c>
      <c r="AP16520" s="4" t="s">
        <v>376</v>
      </c>
      <c r="AR16520" s="4" t="s">
        <v>377</v>
      </c>
    </row>
    <row r="16521" spans="1:44">
      <c r="A16521" s="4" t="s">
        <v>10753</v>
      </c>
      <c r="B16521" s="4">
        <v>285841</v>
      </c>
      <c r="D16521" s="5" t="s">
        <v>20070</v>
      </c>
      <c r="E16521" s="6" t="str">
        <f>HYPERLINK("https://inpn.mnhn.fr/espece/cd_nom/285841","Miltogramma murina Meigen, 1824")</f>
        <v>Miltogramma murina Meigen, 1824</v>
      </c>
      <c r="AH16521" s="4" t="str">
        <f>HYPERLINK("#Statut_biogéographique!A"&amp;_xlfn.XMATCH("P",Statut_biogéographique!A:A,2,1),"P")</f>
        <v>P</v>
      </c>
      <c r="AP16521" s="4" t="s">
        <v>376</v>
      </c>
      <c r="AR16521" s="4" t="s">
        <v>377</v>
      </c>
    </row>
    <row r="16522" spans="1:44">
      <c r="A16522" s="4" t="s">
        <v>10753</v>
      </c>
      <c r="B16522" s="4">
        <v>285874</v>
      </c>
      <c r="D16522" s="5" t="s">
        <v>20071</v>
      </c>
      <c r="E16522" s="6" t="str">
        <f>HYPERLINK("https://inpn.mnhn.fr/espece/cd_nom/285874","Cordilura aemula Collin, 1958")</f>
        <v>Cordilura aemula Collin, 1958</v>
      </c>
      <c r="AH16522" s="4" t="str">
        <f>HYPERLINK("#Statut_biogéographique!A"&amp;_xlfn.XMATCH("P",Statut_biogéographique!A:A,2,1),"P")</f>
        <v>P</v>
      </c>
      <c r="AP16522" s="4" t="s">
        <v>376</v>
      </c>
      <c r="AR16522" s="4" t="s">
        <v>377</v>
      </c>
    </row>
    <row r="16523" spans="1:44">
      <c r="A16523" s="4" t="s">
        <v>10753</v>
      </c>
      <c r="B16523" s="4">
        <v>285878</v>
      </c>
      <c r="D16523" s="5" t="s">
        <v>20072</v>
      </c>
      <c r="E16523" s="6" t="str">
        <f>HYPERLINK("https://inpn.mnhn.fr/espece/cd_nom/285878","Cordilura impudica (Rondani, 1867)")</f>
        <v>Cordilura impudica (Rondani, 1867)</v>
      </c>
      <c r="AH16523" s="4" t="str">
        <f>HYPERLINK("#Statut_biogéographique!A"&amp;_xlfn.XMATCH("P",Statut_biogéographique!A:A,2,1),"P")</f>
        <v>P</v>
      </c>
      <c r="AP16523" s="4" t="s">
        <v>376</v>
      </c>
      <c r="AR16523" s="4" t="s">
        <v>377</v>
      </c>
    </row>
    <row r="16524" spans="1:44">
      <c r="A16524" s="4" t="s">
        <v>10753</v>
      </c>
      <c r="B16524" s="4">
        <v>286173</v>
      </c>
      <c r="D16524" s="5" t="s">
        <v>20073</v>
      </c>
      <c r="E16524" s="6" t="str">
        <f>HYPERLINK("https://inpn.mnhn.fr/espece/cd_nom/286173","Corynoptera forcipata (Winnertz, 1867)")</f>
        <v>Corynoptera forcipata (Winnertz, 1867)</v>
      </c>
      <c r="AH16524" s="4" t="str">
        <f>HYPERLINK("#Statut_biogéographique!A"&amp;_xlfn.XMATCH("P",Statut_biogéographique!A:A,2,1),"P")</f>
        <v>P</v>
      </c>
      <c r="AP16524" s="4" t="s">
        <v>376</v>
      </c>
      <c r="AR16524" s="4" t="s">
        <v>377</v>
      </c>
    </row>
    <row r="16525" spans="1:44">
      <c r="A16525" s="4" t="s">
        <v>10753</v>
      </c>
      <c r="B16525" s="4">
        <v>286189</v>
      </c>
      <c r="D16525" s="5" t="s">
        <v>20074</v>
      </c>
      <c r="E16525" s="6" t="str">
        <f>HYPERLINK("https://inpn.mnhn.fr/espece/cd_nom/286189","Corynoptera irmgardis (Lengersdorf, 1930)")</f>
        <v>Corynoptera irmgardis (Lengersdorf, 1930)</v>
      </c>
      <c r="AH16525" s="4" t="str">
        <f>HYPERLINK("#Statut_biogéographique!A"&amp;_xlfn.XMATCH("P",Statut_biogéographique!A:A,2,1),"P")</f>
        <v>P</v>
      </c>
      <c r="AP16525" s="4" t="s">
        <v>376</v>
      </c>
      <c r="AR16525" s="4" t="s">
        <v>377</v>
      </c>
    </row>
    <row r="16526" spans="1:44" ht="30">
      <c r="A16526" s="4" t="s">
        <v>10753</v>
      </c>
      <c r="B16526" s="4">
        <v>286324</v>
      </c>
      <c r="D16526" s="5">
        <v>286324</v>
      </c>
      <c r="E16526" s="6" t="str">
        <f>HYPERLINK("https://inpn.mnhn.fr/espece/cd_nom/286324","Leptosciarella subviatica Mohrig &amp; Menzel, 1997")</f>
        <v>Leptosciarella subviatica Mohrig &amp; Menzel, 1997</v>
      </c>
      <c r="AH16526" s="4" t="str">
        <f>HYPERLINK("#Statut_biogéographique!A"&amp;_xlfn.XMATCH("P",Statut_biogéographique!A:A,2,1),"P")</f>
        <v>P</v>
      </c>
      <c r="AP16526" s="4" t="s">
        <v>376</v>
      </c>
      <c r="AR16526" s="4" t="s">
        <v>377</v>
      </c>
    </row>
    <row r="16527" spans="1:44">
      <c r="A16527" s="4" t="s">
        <v>10753</v>
      </c>
      <c r="B16527" s="4">
        <v>286393</v>
      </c>
      <c r="D16527" s="5" t="s">
        <v>20075</v>
      </c>
      <c r="E16527" s="6" t="str">
        <f>HYPERLINK("https://inpn.mnhn.fr/espece/cd_nom/286393","Phytosciara ungulata (Winnertz, 1867)")</f>
        <v>Phytosciara ungulata (Winnertz, 1867)</v>
      </c>
      <c r="AH16527" s="4" t="str">
        <f>HYPERLINK("#Statut_biogéographique!A"&amp;_xlfn.XMATCH("P",Statut_biogéographique!A:A,2,1),"P")</f>
        <v>P</v>
      </c>
      <c r="AP16527" s="4" t="s">
        <v>376</v>
      </c>
      <c r="AR16527" s="4" t="s">
        <v>377</v>
      </c>
    </row>
    <row r="16528" spans="1:44">
      <c r="A16528" s="4" t="s">
        <v>10753</v>
      </c>
      <c r="B16528" s="4">
        <v>286456</v>
      </c>
      <c r="D16528" s="5">
        <v>286456</v>
      </c>
      <c r="E16528" s="6" t="str">
        <f>HYPERLINK("https://inpn.mnhn.fr/espece/cd_nom/286456","Sciara ruficauda Meigen, 1818")</f>
        <v>Sciara ruficauda Meigen, 1818</v>
      </c>
      <c r="AH16528" s="4" t="str">
        <f>HYPERLINK("#Statut_biogéographique!A"&amp;_xlfn.XMATCH("P",Statut_biogéographique!A:A,2,1),"P")</f>
        <v>P</v>
      </c>
      <c r="AP16528" s="4" t="s">
        <v>376</v>
      </c>
      <c r="AR16528" s="4" t="s">
        <v>377</v>
      </c>
    </row>
    <row r="16529" spans="1:44" ht="45">
      <c r="A16529" s="4" t="s">
        <v>10753</v>
      </c>
      <c r="B16529" s="4">
        <v>28893</v>
      </c>
      <c r="D16529" s="5" t="s">
        <v>20076</v>
      </c>
      <c r="E16529" s="6" t="str">
        <f>HYPERLINK("https://inpn.mnhn.fr/espece/cd_nom/28893","Folsomia candida Willem, 1902")</f>
        <v>Folsomia candida Willem, 1902</v>
      </c>
      <c r="AH16529" s="4" t="str">
        <f>HYPERLINK("#Statut_biogéographique!A"&amp;_xlfn.XMATCH("P",Statut_biogéographique!A:A,2,1),"P")</f>
        <v>P</v>
      </c>
      <c r="AP16529" s="4" t="s">
        <v>376</v>
      </c>
      <c r="AR16529" s="4" t="s">
        <v>377</v>
      </c>
    </row>
    <row r="16530" spans="1:44">
      <c r="A16530" s="4" t="s">
        <v>10753</v>
      </c>
      <c r="B16530" s="4">
        <v>28898</v>
      </c>
      <c r="D16530" s="5">
        <v>28898</v>
      </c>
      <c r="E16530" s="6" t="str">
        <f>HYPERLINK("https://inpn.mnhn.fr/espece/cd_nom/28898","Isotoma viridis Bourlet, 1839")</f>
        <v>Isotoma viridis Bourlet, 1839</v>
      </c>
      <c r="AH16530" s="4" t="str">
        <f>HYPERLINK("#Statut_biogéographique!A"&amp;_xlfn.XMATCH("P",Statut_biogéographique!A:A,2,1),"P")</f>
        <v>P</v>
      </c>
      <c r="AP16530" s="4" t="s">
        <v>376</v>
      </c>
      <c r="AR16530" s="4" t="s">
        <v>377</v>
      </c>
    </row>
    <row r="16531" spans="1:44">
      <c r="A16531" s="4" t="s">
        <v>10753</v>
      </c>
      <c r="B16531" s="4">
        <v>28902</v>
      </c>
      <c r="D16531" s="5" t="s">
        <v>20077</v>
      </c>
      <c r="E16531" s="6" t="str">
        <f>HYPERLINK("https://inpn.mnhn.fr/espece/cd_nom/28902","Lepidocyrtus lignorum (Fabricius, 1793)")</f>
        <v>Lepidocyrtus lignorum (Fabricius, 1793)</v>
      </c>
      <c r="AH16531" s="4" t="str">
        <f>HYPERLINK("#Statut_biogéographique!A"&amp;_xlfn.XMATCH("P",Statut_biogéographique!A:A,2,1),"P")</f>
        <v>P</v>
      </c>
      <c r="AP16531" s="4" t="s">
        <v>376</v>
      </c>
      <c r="AR16531" s="4" t="s">
        <v>377</v>
      </c>
    </row>
    <row r="16532" spans="1:44">
      <c r="A16532" s="4" t="s">
        <v>10753</v>
      </c>
      <c r="B16532" s="4">
        <v>28916</v>
      </c>
      <c r="D16532" s="5" t="s">
        <v>20078</v>
      </c>
      <c r="E16532" s="6" t="str">
        <f>HYPERLINK("https://inpn.mnhn.fr/espece/cd_nom/28916","Pseudosinella vandeli Denis, 1923")</f>
        <v>Pseudosinella vandeli Denis, 1923</v>
      </c>
      <c r="AH16532" s="4" t="str">
        <f>HYPERLINK("#Statut_biogéographique!A"&amp;_xlfn.XMATCH("P",Statut_biogéographique!A:A,2,1),"P")</f>
        <v>P</v>
      </c>
      <c r="AP16532" s="4" t="s">
        <v>376</v>
      </c>
      <c r="AR16532" s="4" t="s">
        <v>377</v>
      </c>
    </row>
    <row r="16533" spans="1:44">
      <c r="A16533" s="4" t="s">
        <v>10753</v>
      </c>
      <c r="B16533" s="4">
        <v>28926</v>
      </c>
      <c r="D16533" s="5" t="s">
        <v>20079</v>
      </c>
      <c r="E16533" s="6" t="str">
        <f>HYPERLINK("https://inpn.mnhn.fr/espece/cd_nom/28926","Acentrella sinaica Bogoescu, 1931")</f>
        <v>Acentrella sinaica Bogoescu, 1931</v>
      </c>
      <c r="Q16533" s="7" t="str">
        <f>HYPERLINK("#Liste_rouge!A"&amp;_xlfn.XMATCH("LC",Liste_rouge!A:A,2,1),"LC")</f>
        <v>LC</v>
      </c>
      <c r="AH16533" s="4" t="str">
        <f>HYPERLINK("#Statut_biogéographique!A"&amp;_xlfn.XMATCH("P",Statut_biogéographique!A:A,2,1),"P")</f>
        <v>P</v>
      </c>
      <c r="AP16533" s="4" t="s">
        <v>376</v>
      </c>
      <c r="AR16533" s="4" t="s">
        <v>377</v>
      </c>
    </row>
    <row r="16534" spans="1:44" ht="30">
      <c r="A16534" s="4" t="s">
        <v>10753</v>
      </c>
      <c r="B16534" s="4">
        <v>28930</v>
      </c>
      <c r="D16534" s="5" t="s">
        <v>20080</v>
      </c>
      <c r="E16534" s="6" t="str">
        <f>HYPERLINK("https://inpn.mnhn.fr/espece/cd_nom/28930","Alainites muticus (Linnaeus, 1758)")</f>
        <v>Alainites muticus (Linnaeus, 1758)</v>
      </c>
      <c r="Q16534" s="7" t="str">
        <f>HYPERLINK("#Liste_rouge!A"&amp;_xlfn.XMATCH("LC",Liste_rouge!A:A,2,1),"LC")</f>
        <v>LC</v>
      </c>
      <c r="AH16534" s="4" t="str">
        <f>HYPERLINK("#Statut_biogéographique!A"&amp;_xlfn.XMATCH("P",Statut_biogéographique!A:A,2,1),"P")</f>
        <v>P</v>
      </c>
      <c r="AP16534" s="4" t="s">
        <v>376</v>
      </c>
      <c r="AR16534" s="4" t="s">
        <v>377</v>
      </c>
    </row>
    <row r="16535" spans="1:44">
      <c r="A16535" s="4" t="s">
        <v>10753</v>
      </c>
      <c r="B16535" s="4">
        <v>28933</v>
      </c>
      <c r="D16535" s="5" t="s">
        <v>20081</v>
      </c>
      <c r="E16535" s="6" t="str">
        <f>HYPERLINK("https://inpn.mnhn.fr/espece/cd_nom/28933","Ameletus inopinatus Eaton, 1887")</f>
        <v>Ameletus inopinatus Eaton, 1887</v>
      </c>
      <c r="Q16535" s="7" t="str">
        <f>HYPERLINK("#Liste_rouge!A"&amp;_xlfn.XMATCH("EN",Liste_rouge!A:A,2,1),"EN")</f>
        <v>EN</v>
      </c>
      <c r="AH16535" s="4" t="str">
        <f>HYPERLINK("#Statut_biogéographique!A"&amp;_xlfn.XMATCH("P",Statut_biogéographique!A:A,2,1),"P")</f>
        <v>P</v>
      </c>
      <c r="AP16535" s="4" t="s">
        <v>376</v>
      </c>
      <c r="AR16535" s="4" t="s">
        <v>377</v>
      </c>
    </row>
    <row r="16536" spans="1:44">
      <c r="A16536" s="4" t="s">
        <v>10753</v>
      </c>
      <c r="B16536" s="4">
        <v>28935</v>
      </c>
      <c r="D16536" s="5" t="s">
        <v>20082</v>
      </c>
      <c r="E16536" s="6" t="str">
        <f>HYPERLINK("https://inpn.mnhn.fr/espece/cd_nom/28935","Baetis alpinus (Pictet, 1843)")</f>
        <v>Baetis alpinus (Pictet, 1843)</v>
      </c>
      <c r="Q16536" s="7" t="str">
        <f>HYPERLINK("#Liste_rouge!A"&amp;_xlfn.XMATCH("LC",Liste_rouge!A:A,2,1),"LC")</f>
        <v>LC</v>
      </c>
      <c r="AH16536" s="4" t="str">
        <f>HYPERLINK("#Statut_biogéographique!A"&amp;_xlfn.XMATCH("P",Statut_biogéographique!A:A,2,1),"P")</f>
        <v>P</v>
      </c>
      <c r="AP16536" s="4" t="s">
        <v>376</v>
      </c>
      <c r="AR16536" s="4" t="s">
        <v>377</v>
      </c>
    </row>
    <row r="16537" spans="1:44">
      <c r="A16537" s="4" t="s">
        <v>10753</v>
      </c>
      <c r="B16537" s="4">
        <v>28937</v>
      </c>
      <c r="D16537" s="5" t="s">
        <v>20083</v>
      </c>
      <c r="E16537" s="6" t="str">
        <f>HYPERLINK("https://inpn.mnhn.fr/espece/cd_nom/28937","Baetis buceratus Eaton, 1870")</f>
        <v>Baetis buceratus Eaton, 1870</v>
      </c>
      <c r="Q16537" s="7" t="str">
        <f>HYPERLINK("#Liste_rouge!A"&amp;_xlfn.XMATCH("LC",Liste_rouge!A:A,2,1),"LC")</f>
        <v>LC</v>
      </c>
      <c r="AH16537" s="4" t="str">
        <f>HYPERLINK("#Statut_biogéographique!A"&amp;_xlfn.XMATCH("P",Statut_biogéographique!A:A,2,1),"P")</f>
        <v>P</v>
      </c>
      <c r="AP16537" s="4" t="s">
        <v>376</v>
      </c>
      <c r="AR16537" s="4" t="s">
        <v>377</v>
      </c>
    </row>
    <row r="16538" spans="1:44" ht="30">
      <c r="A16538" s="4" t="s">
        <v>10753</v>
      </c>
      <c r="B16538" s="4">
        <v>28940</v>
      </c>
      <c r="D16538" s="5" t="s">
        <v>20084</v>
      </c>
      <c r="E16538" s="6" t="str">
        <f>HYPERLINK("https://inpn.mnhn.fr/espece/cd_nom/28940","Baetis fuscatus (Linnaeus, 1761)")</f>
        <v>Baetis fuscatus (Linnaeus, 1761)</v>
      </c>
      <c r="F16538" s="5" t="s">
        <v>20085</v>
      </c>
      <c r="Q16538" s="7" t="str">
        <f>HYPERLINK("#Liste_rouge!A"&amp;_xlfn.XMATCH("LC",Liste_rouge!A:A,2,1),"LC")</f>
        <v>LC</v>
      </c>
      <c r="AH16538" s="4" t="str">
        <f>HYPERLINK("#Statut_biogéographique!A"&amp;_xlfn.XMATCH("P",Statut_biogéographique!A:A,2,1),"P")</f>
        <v>P</v>
      </c>
      <c r="AP16538" s="4" t="s">
        <v>376</v>
      </c>
      <c r="AR16538" s="4" t="s">
        <v>377</v>
      </c>
    </row>
    <row r="16539" spans="1:44">
      <c r="A16539" s="4" t="s">
        <v>10753</v>
      </c>
      <c r="B16539" s="4">
        <v>28943</v>
      </c>
      <c r="D16539" s="5">
        <v>28943</v>
      </c>
      <c r="E16539" s="6" t="str">
        <f>HYPERLINK("https://inpn.mnhn.fr/espece/cd_nom/28943","Baetis liebenauae Keffermüller, 1974")</f>
        <v>Baetis liebenauae Keffermüller, 1974</v>
      </c>
      <c r="Q16539" s="7" t="str">
        <f>HYPERLINK("#Liste_rouge!A"&amp;_xlfn.XMATCH("LC",Liste_rouge!A:A,2,1),"LC")</f>
        <v>LC</v>
      </c>
      <c r="AH16539" s="4" t="str">
        <f>HYPERLINK("#Statut_biogéographique!A"&amp;_xlfn.XMATCH("P",Statut_biogéographique!A:A,2,1),"P")</f>
        <v>P</v>
      </c>
      <c r="AP16539" s="4" t="s">
        <v>376</v>
      </c>
      <c r="AR16539" s="4" t="s">
        <v>377</v>
      </c>
    </row>
    <row r="16540" spans="1:44">
      <c r="A16540" s="4" t="s">
        <v>10753</v>
      </c>
      <c r="B16540" s="4">
        <v>28944</v>
      </c>
      <c r="D16540" s="5" t="s">
        <v>20086</v>
      </c>
      <c r="E16540" s="6" t="str">
        <f>HYPERLINK("https://inpn.mnhn.fr/espece/cd_nom/28944","Baetis lutheri Müller-Liebenau, 1967")</f>
        <v>Baetis lutheri Müller-Liebenau, 1967</v>
      </c>
      <c r="Q16540" s="7" t="str">
        <f>HYPERLINK("#Liste_rouge!A"&amp;_xlfn.XMATCH("LC",Liste_rouge!A:A,2,1),"LC")</f>
        <v>LC</v>
      </c>
      <c r="AH16540" s="4" t="str">
        <f>HYPERLINK("#Statut_biogéographique!A"&amp;_xlfn.XMATCH("P",Statut_biogéographique!A:A,2,1),"P")</f>
        <v>P</v>
      </c>
      <c r="AP16540" s="4" t="s">
        <v>376</v>
      </c>
      <c r="AR16540" s="4" t="s">
        <v>377</v>
      </c>
    </row>
    <row r="16541" spans="1:44">
      <c r="A16541" s="4" t="s">
        <v>10753</v>
      </c>
      <c r="B16541" s="4">
        <v>28947</v>
      </c>
      <c r="D16541" s="5">
        <v>28947</v>
      </c>
      <c r="E16541" s="6" t="str">
        <f>HYPERLINK("https://inpn.mnhn.fr/espece/cd_nom/28947","Baetis nubecularis Eaton, 1898")</f>
        <v>Baetis nubecularis Eaton, 1898</v>
      </c>
      <c r="Q16541" s="7" t="str">
        <f>HYPERLINK("#Liste_rouge!A"&amp;_xlfn.XMATCH("VU",Liste_rouge!A:A,2,1),"VU")</f>
        <v>VU</v>
      </c>
      <c r="AH16541" s="4" t="str">
        <f>HYPERLINK("#Statut_biogéographique!A"&amp;_xlfn.XMATCH("S",Statut_biogéographique!A:A,2,1),"S")</f>
        <v>S</v>
      </c>
      <c r="AP16541" s="4" t="s">
        <v>376</v>
      </c>
      <c r="AR16541" s="4" t="s">
        <v>377</v>
      </c>
    </row>
    <row r="16542" spans="1:44">
      <c r="A16542" s="4" t="s">
        <v>10753</v>
      </c>
      <c r="B16542" s="4">
        <v>28949</v>
      </c>
      <c r="D16542" s="5" t="s">
        <v>20087</v>
      </c>
      <c r="E16542" s="6" t="str">
        <f>HYPERLINK("https://inpn.mnhn.fr/espece/cd_nom/28949","Baetis pentaphlebodes Ujhelyi, 1966")</f>
        <v>Baetis pentaphlebodes Ujhelyi, 1966</v>
      </c>
      <c r="Q16542" s="7" t="str">
        <f>HYPERLINK("#Liste_rouge!A"&amp;_xlfn.XMATCH("VU",Liste_rouge!A:A,2,1),"VU")</f>
        <v>VU</v>
      </c>
      <c r="AH16542" s="4" t="str">
        <f>HYPERLINK("#Statut_biogéographique!A"&amp;_xlfn.XMATCH("P",Statut_biogéographique!A:A,2,1),"P")</f>
        <v>P</v>
      </c>
      <c r="AP16542" s="4" t="s">
        <v>376</v>
      </c>
      <c r="AR16542" s="4" t="s">
        <v>377</v>
      </c>
    </row>
    <row r="16543" spans="1:44" ht="30">
      <c r="A16543" s="4" t="s">
        <v>10753</v>
      </c>
      <c r="B16543" s="4">
        <v>28950</v>
      </c>
      <c r="D16543" s="5" t="s">
        <v>20088</v>
      </c>
      <c r="E16543" s="6" t="str">
        <f>HYPERLINK("https://inpn.mnhn.fr/espece/cd_nom/28950","Baetis rhodani (Pictet, 1843)")</f>
        <v>Baetis rhodani (Pictet, 1843)</v>
      </c>
      <c r="Q16543" s="7" t="str">
        <f>HYPERLINK("#Liste_rouge!A"&amp;_xlfn.XMATCH("LC",Liste_rouge!A:A,2,1),"LC")</f>
        <v>LC</v>
      </c>
      <c r="AH16543" s="4" t="str">
        <f>HYPERLINK("#Statut_biogéographique!A"&amp;_xlfn.XMATCH("P",Statut_biogéographique!A:A,2,1),"P")</f>
        <v>P</v>
      </c>
      <c r="AP16543" s="4" t="s">
        <v>376</v>
      </c>
      <c r="AR16543" s="4" t="s">
        <v>377</v>
      </c>
    </row>
    <row r="16544" spans="1:44">
      <c r="A16544" s="4" t="s">
        <v>10753</v>
      </c>
      <c r="B16544" s="4">
        <v>28951</v>
      </c>
      <c r="D16544" s="5" t="s">
        <v>20089</v>
      </c>
      <c r="E16544" s="6" t="str">
        <f>HYPERLINK("https://inpn.mnhn.fr/espece/cd_nom/28951","Baetis scambus Eaton, 1870")</f>
        <v>Baetis scambus Eaton, 1870</v>
      </c>
      <c r="Q16544" s="7" t="str">
        <f>HYPERLINK("#Liste_rouge!A"&amp;_xlfn.XMATCH("LC",Liste_rouge!A:A,2,1),"LC")</f>
        <v>LC</v>
      </c>
      <c r="AH16544" s="4" t="str">
        <f>HYPERLINK("#Statut_biogéographique!A"&amp;_xlfn.XMATCH("P",Statut_biogéographique!A:A,2,1),"P")</f>
        <v>P</v>
      </c>
      <c r="AP16544" s="4" t="s">
        <v>376</v>
      </c>
      <c r="AR16544" s="4" t="s">
        <v>377</v>
      </c>
    </row>
    <row r="16545" spans="1:44">
      <c r="A16545" s="4" t="s">
        <v>10753</v>
      </c>
      <c r="B16545" s="4">
        <v>28954</v>
      </c>
      <c r="D16545" s="5">
        <v>28954</v>
      </c>
      <c r="E16545" s="6" t="str">
        <f>HYPERLINK("https://inpn.mnhn.fr/espece/cd_nom/28954","Baetis vardarensis Ikonomov, 1962")</f>
        <v>Baetis vardarensis Ikonomov, 1962</v>
      </c>
      <c r="Q16545" s="7" t="str">
        <f>HYPERLINK("#Liste_rouge!A"&amp;_xlfn.XMATCH("LC",Liste_rouge!A:A,2,1),"LC")</f>
        <v>LC</v>
      </c>
      <c r="AH16545" s="4" t="str">
        <f>HYPERLINK("#Statut_biogéographique!A"&amp;_xlfn.XMATCH("P",Statut_biogéographique!A:A,2,1),"P")</f>
        <v>P</v>
      </c>
      <c r="AP16545" s="4" t="s">
        <v>376</v>
      </c>
      <c r="AR16545" s="4" t="s">
        <v>377</v>
      </c>
    </row>
    <row r="16546" spans="1:44">
      <c r="A16546" s="4" t="s">
        <v>10753</v>
      </c>
      <c r="B16546" s="4">
        <v>28955</v>
      </c>
      <c r="D16546" s="5" t="s">
        <v>20090</v>
      </c>
      <c r="E16546" s="6" t="str">
        <f>HYPERLINK("https://inpn.mnhn.fr/espece/cd_nom/28955","Baetis vernus Curtis, 1834")</f>
        <v>Baetis vernus Curtis, 1834</v>
      </c>
      <c r="Q16546" s="7" t="str">
        <f>HYPERLINK("#Liste_rouge!A"&amp;_xlfn.XMATCH("LC",Liste_rouge!A:A,2,1),"LC")</f>
        <v>LC</v>
      </c>
      <c r="AH16546" s="4" t="str">
        <f>HYPERLINK("#Statut_biogéographique!A"&amp;_xlfn.XMATCH("P",Statut_biogéographique!A:A,2,1),"P")</f>
        <v>P</v>
      </c>
      <c r="AP16546" s="4" t="s">
        <v>376</v>
      </c>
      <c r="AR16546" s="4" t="s">
        <v>377</v>
      </c>
    </row>
    <row r="16547" spans="1:44">
      <c r="A16547" s="4" t="s">
        <v>10753</v>
      </c>
      <c r="B16547" s="4">
        <v>28959</v>
      </c>
      <c r="D16547" s="5">
        <v>28959</v>
      </c>
      <c r="E16547" s="6" t="str">
        <f>HYPERLINK("https://inpn.mnhn.fr/espece/cd_nom/28959","Caenis beskidensis Sowa, 1973")</f>
        <v>Caenis beskidensis Sowa, 1973</v>
      </c>
      <c r="Q16547" s="7" t="str">
        <f>HYPERLINK("#Liste_rouge!A"&amp;_xlfn.XMATCH("LC",Liste_rouge!A:A,2,1),"LC")</f>
        <v>LC</v>
      </c>
      <c r="AH16547" s="4" t="str">
        <f>HYPERLINK("#Statut_biogéographique!A"&amp;_xlfn.XMATCH("P",Statut_biogéographique!A:A,2,1),"P")</f>
        <v>P</v>
      </c>
      <c r="AP16547" s="4" t="s">
        <v>376</v>
      </c>
      <c r="AR16547" s="4" t="s">
        <v>377</v>
      </c>
    </row>
    <row r="16548" spans="1:44">
      <c r="A16548" s="4" t="s">
        <v>10753</v>
      </c>
      <c r="B16548" s="4">
        <v>28960</v>
      </c>
      <c r="D16548" s="5" t="s">
        <v>20091</v>
      </c>
      <c r="E16548" s="6" t="str">
        <f>HYPERLINK("https://inpn.mnhn.fr/espece/cd_nom/28960","Caenis horaria (Linnaeus, 1758)")</f>
        <v>Caenis horaria (Linnaeus, 1758)</v>
      </c>
      <c r="F16548" s="5" t="s">
        <v>20092</v>
      </c>
      <c r="Q16548" s="7" t="str">
        <f>HYPERLINK("#Liste_rouge!A"&amp;_xlfn.XMATCH("LC",Liste_rouge!A:A,2,1),"LC")</f>
        <v>LC</v>
      </c>
      <c r="AH16548" s="4" t="str">
        <f>HYPERLINK("#Statut_biogéographique!A"&amp;_xlfn.XMATCH("P",Statut_biogéographique!A:A,2,1),"P")</f>
        <v>P</v>
      </c>
      <c r="AP16548" s="4" t="s">
        <v>376</v>
      </c>
      <c r="AR16548" s="4" t="s">
        <v>377</v>
      </c>
    </row>
    <row r="16549" spans="1:44">
      <c r="A16549" s="4" t="s">
        <v>10753</v>
      </c>
      <c r="B16549" s="4">
        <v>28962</v>
      </c>
      <c r="D16549" s="5" t="s">
        <v>20093</v>
      </c>
      <c r="E16549" s="6" t="str">
        <f>HYPERLINK("https://inpn.mnhn.fr/espece/cd_nom/28962","Caenis luctuosa (Burmeister, 1839)")</f>
        <v>Caenis luctuosa (Burmeister, 1839)</v>
      </c>
      <c r="Q16549" s="7" t="str">
        <f>HYPERLINK("#Liste_rouge!A"&amp;_xlfn.XMATCH("LC",Liste_rouge!A:A,2,1),"LC")</f>
        <v>LC</v>
      </c>
      <c r="AH16549" s="4" t="str">
        <f>HYPERLINK("#Statut_biogéographique!A"&amp;_xlfn.XMATCH("P",Statut_biogéographique!A:A,2,1),"P")</f>
        <v>P</v>
      </c>
      <c r="AP16549" s="4" t="s">
        <v>376</v>
      </c>
      <c r="AR16549" s="4" t="s">
        <v>377</v>
      </c>
    </row>
    <row r="16550" spans="1:44">
      <c r="A16550" s="4" t="s">
        <v>10753</v>
      </c>
      <c r="B16550" s="4">
        <v>28964</v>
      </c>
      <c r="D16550" s="5" t="s">
        <v>20094</v>
      </c>
      <c r="E16550" s="6" t="str">
        <f>HYPERLINK("https://inpn.mnhn.fr/espece/cd_nom/28964","Caenis macrura Stephens, 1836")</f>
        <v>Caenis macrura Stephens, 1836</v>
      </c>
      <c r="Q16550" s="7" t="str">
        <f>HYPERLINK("#Liste_rouge!A"&amp;_xlfn.XMATCH("LC",Liste_rouge!A:A,2,1),"LC")</f>
        <v>LC</v>
      </c>
      <c r="AH16550" s="4" t="str">
        <f>HYPERLINK("#Statut_biogéographique!A"&amp;_xlfn.XMATCH("P",Statut_biogéographique!A:A,2,1),"P")</f>
        <v>P</v>
      </c>
      <c r="AP16550" s="4" t="s">
        <v>376</v>
      </c>
      <c r="AR16550" s="4" t="s">
        <v>377</v>
      </c>
    </row>
    <row r="16551" spans="1:44">
      <c r="A16551" s="4" t="s">
        <v>10753</v>
      </c>
      <c r="B16551" s="4">
        <v>28965</v>
      </c>
      <c r="D16551" s="5">
        <v>28965</v>
      </c>
      <c r="E16551" s="6" t="str">
        <f>HYPERLINK("https://inpn.mnhn.fr/espece/cd_nom/28965","Caenis pseudorivulorum Keffermüller, 1960")</f>
        <v>Caenis pseudorivulorum Keffermüller, 1960</v>
      </c>
      <c r="Q16551" s="7" t="str">
        <f>HYPERLINK("#Liste_rouge!A"&amp;_xlfn.XMATCH("LC",Liste_rouge!A:A,2,1),"LC")</f>
        <v>LC</v>
      </c>
      <c r="AH16551" s="4" t="str">
        <f>HYPERLINK("#Statut_biogéographique!A"&amp;_xlfn.XMATCH("P",Statut_biogéographique!A:A,2,1),"P")</f>
        <v>P</v>
      </c>
      <c r="AP16551" s="4" t="s">
        <v>376</v>
      </c>
      <c r="AR16551" s="4" t="s">
        <v>377</v>
      </c>
    </row>
    <row r="16552" spans="1:44">
      <c r="A16552" s="4" t="s">
        <v>10753</v>
      </c>
      <c r="B16552" s="4">
        <v>28966</v>
      </c>
      <c r="D16552" s="5" t="s">
        <v>20095</v>
      </c>
      <c r="E16552" s="6" t="str">
        <f>HYPERLINK("https://inpn.mnhn.fr/espece/cd_nom/28966","Caenis pusilla Navás, 1913")</f>
        <v>Caenis pusilla Navás, 1913</v>
      </c>
      <c r="Q16552" s="7" t="str">
        <f>HYPERLINK("#Liste_rouge!A"&amp;_xlfn.XMATCH("LC",Liste_rouge!A:A,2,1),"LC")</f>
        <v>LC</v>
      </c>
      <c r="AH16552" s="4" t="str">
        <f>HYPERLINK("#Statut_biogéographique!A"&amp;_xlfn.XMATCH("P",Statut_biogéographique!A:A,2,1),"P")</f>
        <v>P</v>
      </c>
      <c r="AP16552" s="4" t="s">
        <v>376</v>
      </c>
      <c r="AR16552" s="4" t="s">
        <v>377</v>
      </c>
    </row>
    <row r="16553" spans="1:44">
      <c r="A16553" s="4" t="s">
        <v>10753</v>
      </c>
      <c r="B16553" s="4">
        <v>28967</v>
      </c>
      <c r="D16553" s="5" t="s">
        <v>20096</v>
      </c>
      <c r="E16553" s="6" t="str">
        <f>HYPERLINK("https://inpn.mnhn.fr/espece/cd_nom/28967","Caenis rivulorum Eaton, 1884")</f>
        <v>Caenis rivulorum Eaton, 1884</v>
      </c>
      <c r="Q16553" s="7" t="str">
        <f>HYPERLINK("#Liste_rouge!A"&amp;_xlfn.XMATCH("LC",Liste_rouge!A:A,2,1),"LC")</f>
        <v>LC</v>
      </c>
      <c r="AH16553" s="4" t="str">
        <f>HYPERLINK("#Statut_biogéographique!A"&amp;_xlfn.XMATCH("P",Statut_biogéographique!A:A,2,1),"P")</f>
        <v>P</v>
      </c>
      <c r="AP16553" s="4" t="s">
        <v>376</v>
      </c>
      <c r="AR16553" s="4" t="s">
        <v>377</v>
      </c>
    </row>
    <row r="16554" spans="1:44">
      <c r="A16554" s="4" t="s">
        <v>10753</v>
      </c>
      <c r="B16554" s="4">
        <v>28968</v>
      </c>
      <c r="D16554" s="5" t="s">
        <v>20097</v>
      </c>
      <c r="E16554" s="6" t="str">
        <f>HYPERLINK("https://inpn.mnhn.fr/espece/cd_nom/28968","Caenis robusta Eaton, 1884")</f>
        <v>Caenis robusta Eaton, 1884</v>
      </c>
      <c r="Q16554" s="7" t="str">
        <f>HYPERLINK("#Liste_rouge!A"&amp;_xlfn.XMATCH("LC",Liste_rouge!A:A,2,1),"LC")</f>
        <v>LC</v>
      </c>
      <c r="AH16554" s="4" t="str">
        <f>HYPERLINK("#Statut_biogéographique!A"&amp;_xlfn.XMATCH("P",Statut_biogéographique!A:A,2,1),"P")</f>
        <v>P</v>
      </c>
      <c r="AP16554" s="4" t="s">
        <v>376</v>
      </c>
      <c r="AR16554" s="4" t="s">
        <v>377</v>
      </c>
    </row>
    <row r="16555" spans="1:44">
      <c r="A16555" s="4" t="s">
        <v>10753</v>
      </c>
      <c r="B16555" s="4">
        <v>28971</v>
      </c>
      <c r="D16555" s="5" t="s">
        <v>20098</v>
      </c>
      <c r="E16555" s="6" t="str">
        <f>HYPERLINK("https://inpn.mnhn.fr/espece/cd_nom/28971","Centroptilum luteolum (O.F. Müller, 1776)")</f>
        <v>Centroptilum luteolum (O.F. Müller, 1776)</v>
      </c>
      <c r="Q16555" s="7" t="str">
        <f>HYPERLINK("#Liste_rouge!A"&amp;_xlfn.XMATCH("LC",Liste_rouge!A:A,2,1),"LC")</f>
        <v>LC</v>
      </c>
      <c r="AH16555" s="4" t="str">
        <f>HYPERLINK("#Statut_biogéographique!A"&amp;_xlfn.XMATCH("P",Statut_biogéographique!A:A,2,1),"P")</f>
        <v>P</v>
      </c>
      <c r="AP16555" s="4" t="s">
        <v>376</v>
      </c>
      <c r="AR16555" s="4" t="s">
        <v>377</v>
      </c>
    </row>
    <row r="16556" spans="1:44">
      <c r="A16556" s="4" t="s">
        <v>10753</v>
      </c>
      <c r="B16556" s="4">
        <v>28976</v>
      </c>
      <c r="D16556" s="5" t="s">
        <v>20099</v>
      </c>
      <c r="E16556" s="6" t="str">
        <f>HYPERLINK("https://inpn.mnhn.fr/espece/cd_nom/28976","Choroterpes picteti (Eaton, 1871)")</f>
        <v>Choroterpes picteti (Eaton, 1871)</v>
      </c>
      <c r="Q16556" s="7" t="str">
        <f>HYPERLINK("#Liste_rouge!A"&amp;_xlfn.XMATCH("LC",Liste_rouge!A:A,2,1),"LC")</f>
        <v>LC</v>
      </c>
      <c r="AH16556" s="4" t="str">
        <f>HYPERLINK("#Statut_biogéographique!A"&amp;_xlfn.XMATCH("P",Statut_biogéographique!A:A,2,1),"P")</f>
        <v>P</v>
      </c>
      <c r="AP16556" s="4" t="s">
        <v>376</v>
      </c>
      <c r="AR16556" s="4" t="s">
        <v>377</v>
      </c>
    </row>
    <row r="16557" spans="1:44" ht="30">
      <c r="A16557" s="4" t="s">
        <v>10753</v>
      </c>
      <c r="B16557" s="4">
        <v>28978</v>
      </c>
      <c r="D16557" s="5" t="s">
        <v>20100</v>
      </c>
      <c r="E16557" s="6" t="str">
        <f>HYPERLINK("https://inpn.mnhn.fr/espece/cd_nom/28978","Cloeon dipterum (Linnaeus, 1761)")</f>
        <v>Cloeon dipterum (Linnaeus, 1761)</v>
      </c>
      <c r="F16557" s="5" t="s">
        <v>20101</v>
      </c>
      <c r="Q16557" s="7" t="str">
        <f>HYPERLINK("#Liste_rouge!A"&amp;_xlfn.XMATCH("LC",Liste_rouge!A:A,2,1),"LC")</f>
        <v>LC</v>
      </c>
      <c r="AH16557" s="4" t="str">
        <f>HYPERLINK("#Statut_biogéographique!A"&amp;_xlfn.XMATCH("P",Statut_biogéographique!A:A,2,1),"P")</f>
        <v>P</v>
      </c>
      <c r="AP16557" s="4" t="s">
        <v>376</v>
      </c>
      <c r="AR16557" s="4" t="s">
        <v>377</v>
      </c>
    </row>
    <row r="16558" spans="1:44">
      <c r="A16558" s="4" t="s">
        <v>10753</v>
      </c>
      <c r="B16558" s="4">
        <v>28983</v>
      </c>
      <c r="D16558" s="5" t="s">
        <v>20102</v>
      </c>
      <c r="E16558" s="6" t="str">
        <f>HYPERLINK("https://inpn.mnhn.fr/espece/cd_nom/28983","Ecdyonurus aurantiacus (Burmeister, 1839)")</f>
        <v>Ecdyonurus aurantiacus (Burmeister, 1839)</v>
      </c>
      <c r="Q16558" s="7" t="str">
        <f>HYPERLINK("#Liste_rouge!A"&amp;_xlfn.XMATCH("VU",Liste_rouge!A:A,2,1),"VU")</f>
        <v>VU</v>
      </c>
      <c r="AH16558" s="4" t="str">
        <f>HYPERLINK("#Statut_biogéographique!A"&amp;_xlfn.XMATCH("P",Statut_biogéographique!A:A,2,1),"P")</f>
        <v>P</v>
      </c>
      <c r="AP16558" s="4" t="s">
        <v>376</v>
      </c>
      <c r="AR16558" s="4" t="s">
        <v>377</v>
      </c>
    </row>
    <row r="16559" spans="1:44">
      <c r="A16559" s="4" t="s">
        <v>10753</v>
      </c>
      <c r="B16559" s="4">
        <v>28986</v>
      </c>
      <c r="D16559" s="5" t="s">
        <v>20103</v>
      </c>
      <c r="E16559" s="6" t="str">
        <f>HYPERLINK("https://inpn.mnhn.fr/espece/cd_nom/28986","Ecdyonurus dispar (Curtis, 1834)")</f>
        <v>Ecdyonurus dispar (Curtis, 1834)</v>
      </c>
      <c r="Q16559" s="7" t="str">
        <f>HYPERLINK("#Liste_rouge!A"&amp;_xlfn.XMATCH("LC",Liste_rouge!A:A,2,1),"LC")</f>
        <v>LC</v>
      </c>
      <c r="AH16559" s="4" t="str">
        <f>HYPERLINK("#Statut_biogéographique!A"&amp;_xlfn.XMATCH("P",Statut_biogéographique!A:A,2,1),"P")</f>
        <v>P</v>
      </c>
      <c r="AP16559" s="4" t="s">
        <v>376</v>
      </c>
      <c r="AR16559" s="4" t="s">
        <v>377</v>
      </c>
    </row>
    <row r="16560" spans="1:44">
      <c r="A16560" s="4" t="s">
        <v>10753</v>
      </c>
      <c r="B16560" s="4">
        <v>28988</v>
      </c>
      <c r="D16560" s="5" t="s">
        <v>20104</v>
      </c>
      <c r="E16560" s="6" t="str">
        <f>HYPERLINK("https://inpn.mnhn.fr/espece/cd_nom/28988","Ecdyonurus helveticus (Eaton, 1887)")</f>
        <v>Ecdyonurus helveticus (Eaton, 1887)</v>
      </c>
      <c r="Q16560" s="7" t="str">
        <f>HYPERLINK("#Liste_rouge!A"&amp;_xlfn.XMATCH("LC",Liste_rouge!A:A,2,1),"LC")</f>
        <v>LC</v>
      </c>
      <c r="AH16560" s="4" t="str">
        <f>HYPERLINK("#Statut_biogéographique!A"&amp;_xlfn.XMATCH("P",Statut_biogéographique!A:A,2,1),"P")</f>
        <v>P</v>
      </c>
      <c r="AP16560" s="4" t="s">
        <v>376</v>
      </c>
      <c r="AR16560" s="4" t="s">
        <v>377</v>
      </c>
    </row>
    <row r="16561" spans="1:44">
      <c r="A16561" s="4" t="s">
        <v>10753</v>
      </c>
      <c r="B16561" s="4">
        <v>28989</v>
      </c>
      <c r="D16561" s="5" t="s">
        <v>20105</v>
      </c>
      <c r="E16561" s="6" t="str">
        <f>HYPERLINK("https://inpn.mnhn.fr/espece/cd_nom/28989","Ecdyonurus insignis (Eaton, 1870)")</f>
        <v>Ecdyonurus insignis (Eaton, 1870)</v>
      </c>
      <c r="Q16561" s="7" t="str">
        <f>HYPERLINK("#Liste_rouge!A"&amp;_xlfn.XMATCH("LC",Liste_rouge!A:A,2,1),"LC")</f>
        <v>LC</v>
      </c>
      <c r="AH16561" s="4" t="str">
        <f>HYPERLINK("#Statut_biogéographique!A"&amp;_xlfn.XMATCH("P",Statut_biogéographique!A:A,2,1),"P")</f>
        <v>P</v>
      </c>
      <c r="AP16561" s="4" t="s">
        <v>376</v>
      </c>
      <c r="AR16561" s="4" t="s">
        <v>377</v>
      </c>
    </row>
    <row r="16562" spans="1:44">
      <c r="A16562" s="4" t="s">
        <v>10753</v>
      </c>
      <c r="B16562" s="4">
        <v>28990</v>
      </c>
      <c r="D16562" s="5">
        <v>28990</v>
      </c>
      <c r="E16562" s="6" t="str">
        <f>HYPERLINK("https://inpn.mnhn.fr/espece/cd_nom/28990","Ecdyonurus macani Thomas &amp; Sowa, 1970")</f>
        <v>Ecdyonurus macani Thomas &amp; Sowa, 1970</v>
      </c>
      <c r="Q16562" s="7" t="str">
        <f>HYPERLINK("#Liste_rouge!A"&amp;_xlfn.XMATCH("VU",Liste_rouge!A:A,2,1),"VU")</f>
        <v>VU</v>
      </c>
      <c r="AH16562" s="4" t="str">
        <f>HYPERLINK("#Statut_biogéographique!A"&amp;_xlfn.XMATCH("P",Statut_biogéographique!A:A,2,1),"P")</f>
        <v>P</v>
      </c>
      <c r="AP16562" s="4" t="s">
        <v>376</v>
      </c>
      <c r="AR16562" s="4" t="s">
        <v>377</v>
      </c>
    </row>
    <row r="16563" spans="1:44" ht="30">
      <c r="A16563" s="4" t="s">
        <v>10753</v>
      </c>
      <c r="B16563" s="4">
        <v>28991</v>
      </c>
      <c r="D16563" s="5">
        <v>28991</v>
      </c>
      <c r="E16563" s="6" t="str">
        <f>HYPERLINK("https://inpn.mnhn.fr/espece/cd_nom/28991","Ecdyonurus parahelveticus Hefti, Tomka &amp; Zurwerra, 1986")</f>
        <v>Ecdyonurus parahelveticus Hefti, Tomka &amp; Zurwerra, 1986</v>
      </c>
      <c r="Q16563" s="7" t="str">
        <f>HYPERLINK("#Liste_rouge!A"&amp;_xlfn.XMATCH("DD",Liste_rouge!A:A,2,1),"DD")</f>
        <v>DD</v>
      </c>
      <c r="AH16563" s="4" t="str">
        <f>HYPERLINK("#Statut_biogéographique!A"&amp;_xlfn.XMATCH("P",Statut_biogéographique!A:A,2,1),"P")</f>
        <v>P</v>
      </c>
      <c r="AP16563" s="4" t="s">
        <v>376</v>
      </c>
      <c r="AR16563" s="4" t="s">
        <v>377</v>
      </c>
    </row>
    <row r="16564" spans="1:44">
      <c r="A16564" s="4" t="s">
        <v>10753</v>
      </c>
      <c r="B16564" s="4">
        <v>28993</v>
      </c>
      <c r="D16564" s="5" t="s">
        <v>20106</v>
      </c>
      <c r="E16564" s="6" t="str">
        <f>HYPERLINK("https://inpn.mnhn.fr/espece/cd_nom/28993","Ecdyonurus picteti (Meyer-Dur, 1864)")</f>
        <v>Ecdyonurus picteti (Meyer-Dur, 1864)</v>
      </c>
      <c r="Q16564" s="7" t="str">
        <f>HYPERLINK("#Liste_rouge!A"&amp;_xlfn.XMATCH("LC",Liste_rouge!A:A,2,1),"LC")</f>
        <v>LC</v>
      </c>
      <c r="AH16564" s="4" t="str">
        <f>HYPERLINK("#Statut_biogéographique!A"&amp;_xlfn.XMATCH("P",Statut_biogéographique!A:A,2,1),"P")</f>
        <v>P</v>
      </c>
      <c r="AP16564" s="4" t="s">
        <v>376</v>
      </c>
      <c r="AR16564" s="4" t="s">
        <v>377</v>
      </c>
    </row>
    <row r="16565" spans="1:44">
      <c r="A16565" s="4" t="s">
        <v>10753</v>
      </c>
      <c r="B16565" s="4">
        <v>28996</v>
      </c>
      <c r="D16565" s="5">
        <v>28996</v>
      </c>
      <c r="E16565" s="6" t="str">
        <f>HYPERLINK("https://inpn.mnhn.fr/espece/cd_nom/28996","Ecdyonurus torrentis Kimmins, 1942")</f>
        <v>Ecdyonurus torrentis Kimmins, 1942</v>
      </c>
      <c r="Q16565" s="7" t="str">
        <f>HYPERLINK("#Liste_rouge!A"&amp;_xlfn.XMATCH("LC",Liste_rouge!A:A,2,1),"LC")</f>
        <v>LC</v>
      </c>
      <c r="AH16565" s="4" t="str">
        <f>HYPERLINK("#Statut_biogéographique!A"&amp;_xlfn.XMATCH("P",Statut_biogéographique!A:A,2,1),"P")</f>
        <v>P</v>
      </c>
      <c r="AP16565" s="4" t="s">
        <v>376</v>
      </c>
      <c r="AR16565" s="4" t="s">
        <v>377</v>
      </c>
    </row>
    <row r="16566" spans="1:44">
      <c r="A16566" s="4" t="s">
        <v>10753</v>
      </c>
      <c r="B16566" s="4">
        <v>28997</v>
      </c>
      <c r="D16566" s="5" t="s">
        <v>20107</v>
      </c>
      <c r="E16566" s="6" t="str">
        <f>HYPERLINK("https://inpn.mnhn.fr/espece/cd_nom/28997","Ecdyonurus venosus (Fabricius, 1775)")</f>
        <v>Ecdyonurus venosus (Fabricius, 1775)</v>
      </c>
      <c r="Q16566" s="7" t="str">
        <f>HYPERLINK("#Liste_rouge!A"&amp;_xlfn.XMATCH("LC",Liste_rouge!A:A,2,1),"LC")</f>
        <v>LC</v>
      </c>
      <c r="AH16566" s="4" t="str">
        <f>HYPERLINK("#Statut_biogéographique!A"&amp;_xlfn.XMATCH("P",Statut_biogéographique!A:A,2,1),"P")</f>
        <v>P</v>
      </c>
      <c r="AP16566" s="4" t="s">
        <v>376</v>
      </c>
      <c r="AR16566" s="4" t="s">
        <v>377</v>
      </c>
    </row>
    <row r="16567" spans="1:44">
      <c r="A16567" s="4" t="s">
        <v>10753</v>
      </c>
      <c r="B16567" s="4">
        <v>29000</v>
      </c>
      <c r="D16567" s="5" t="s">
        <v>20108</v>
      </c>
      <c r="E16567" s="6" t="str">
        <f>HYPERLINK("https://inpn.mnhn.fr/espece/cd_nom/29000","Electrogena lateralis (Curtis, 1834)")</f>
        <v>Electrogena lateralis (Curtis, 1834)</v>
      </c>
      <c r="Q16567" s="7" t="str">
        <f>HYPERLINK("#Liste_rouge!A"&amp;_xlfn.XMATCH("LC",Liste_rouge!A:A,2,1),"LC")</f>
        <v>LC</v>
      </c>
      <c r="AH16567" s="4" t="str">
        <f>HYPERLINK("#Statut_biogéographique!A"&amp;_xlfn.XMATCH("P",Statut_biogéographique!A:A,2,1),"P")</f>
        <v>P</v>
      </c>
      <c r="AP16567" s="4" t="s">
        <v>376</v>
      </c>
      <c r="AR16567" s="4" t="s">
        <v>377</v>
      </c>
    </row>
    <row r="16568" spans="1:44">
      <c r="A16568" s="4" t="s">
        <v>10753</v>
      </c>
      <c r="B16568" s="4">
        <v>29002</v>
      </c>
      <c r="D16568" s="5" t="s">
        <v>20109</v>
      </c>
      <c r="E16568" s="6" t="str">
        <f>HYPERLINK("https://inpn.mnhn.fr/espece/cd_nom/29002","Electrogena ujhelyii (Sowa, 1981)")</f>
        <v>Electrogena ujhelyii (Sowa, 1981)</v>
      </c>
      <c r="Q16568" s="7" t="str">
        <f>HYPERLINK("#Liste_rouge!A"&amp;_xlfn.XMATCH("LC",Liste_rouge!A:A,2,1),"LC")</f>
        <v>LC</v>
      </c>
      <c r="AH16568" s="4" t="str">
        <f>HYPERLINK("#Statut_biogéographique!A"&amp;_xlfn.XMATCH("P",Statut_biogéographique!A:A,2,1),"P")</f>
        <v>P</v>
      </c>
      <c r="AP16568" s="4" t="s">
        <v>376</v>
      </c>
      <c r="AR16568" s="4" t="s">
        <v>377</v>
      </c>
    </row>
    <row r="16569" spans="1:44">
      <c r="A16569" s="4" t="s">
        <v>10753</v>
      </c>
      <c r="B16569" s="4">
        <v>29007</v>
      </c>
      <c r="D16569" s="5" t="s">
        <v>20110</v>
      </c>
      <c r="E16569" s="6" t="str">
        <f>HYPERLINK("https://inpn.mnhn.fr/espece/cd_nom/29007","Epeorus assimilis Eaton, 1885")</f>
        <v>Epeorus assimilis Eaton, 1885</v>
      </c>
      <c r="Q16569" s="7" t="str">
        <f>HYPERLINK("#Liste_rouge!A"&amp;_xlfn.XMATCH("LC",Liste_rouge!A:A,2,1),"LC")</f>
        <v>LC</v>
      </c>
      <c r="AH16569" s="4" t="str">
        <f>HYPERLINK("#Statut_biogéographique!A"&amp;_xlfn.XMATCH("P",Statut_biogéographique!A:A,2,1),"P")</f>
        <v>P</v>
      </c>
      <c r="AP16569" s="4" t="s">
        <v>376</v>
      </c>
      <c r="AR16569" s="4" t="s">
        <v>377</v>
      </c>
    </row>
    <row r="16570" spans="1:44">
      <c r="A16570" s="4" t="s">
        <v>10753</v>
      </c>
      <c r="B16570" s="4">
        <v>29008</v>
      </c>
      <c r="D16570" s="5" t="s">
        <v>20111</v>
      </c>
      <c r="E16570" s="6" t="str">
        <f>HYPERLINK("https://inpn.mnhn.fr/espece/cd_nom/29008","Epeorus sylvicola (Pictet, 1865)")</f>
        <v>Epeorus sylvicola (Pictet, 1865)</v>
      </c>
      <c r="AH16570" s="4" t="str">
        <f>HYPERLINK("#Statut_biogéographique!A"&amp;_xlfn.XMATCH("Q",Statut_biogéographique!A:A,2,1),"Q")</f>
        <v>Q</v>
      </c>
      <c r="AP16570" s="4" t="s">
        <v>376</v>
      </c>
      <c r="AR16570" s="4" t="s">
        <v>377</v>
      </c>
    </row>
    <row r="16571" spans="1:44">
      <c r="A16571" s="4" t="s">
        <v>10753</v>
      </c>
      <c r="B16571" s="4">
        <v>29009</v>
      </c>
      <c r="D16571" s="5">
        <v>29009</v>
      </c>
      <c r="E16571" s="6" t="str">
        <f>HYPERLINK("https://inpn.mnhn.fr/espece/cd_nom/29009","Epeorus torrentium Eaton, 1881")</f>
        <v>Epeorus torrentium Eaton, 1881</v>
      </c>
      <c r="Q16571" s="7" t="str">
        <f>HYPERLINK("#Liste_rouge!A"&amp;_xlfn.XMATCH("LC",Liste_rouge!A:A,2,1),"LC")</f>
        <v>LC</v>
      </c>
      <c r="AH16571" s="4" t="str">
        <f>HYPERLINK("#Statut_biogéographique!A"&amp;_xlfn.XMATCH("P",Statut_biogéographique!A:A,2,1),"P")</f>
        <v>P</v>
      </c>
      <c r="AP16571" s="4" t="s">
        <v>376</v>
      </c>
      <c r="AR16571" s="4" t="s">
        <v>377</v>
      </c>
    </row>
    <row r="16572" spans="1:44">
      <c r="A16572" s="4" t="s">
        <v>10753</v>
      </c>
      <c r="B16572" s="4">
        <v>29011</v>
      </c>
      <c r="D16572" s="5">
        <v>29011</v>
      </c>
      <c r="E16572" s="6" t="str">
        <f>HYPERLINK("https://inpn.mnhn.fr/espece/cd_nom/29011","Ephemera danica O.F. Müller, 1764")</f>
        <v>Ephemera danica O.F. Müller, 1764</v>
      </c>
      <c r="F16572" s="5" t="s">
        <v>20112</v>
      </c>
      <c r="Q16572" s="7" t="str">
        <f>HYPERLINK("#Liste_rouge!A"&amp;_xlfn.XMATCH("LC",Liste_rouge!A:A,2,1),"LC")</f>
        <v>LC</v>
      </c>
      <c r="AH16572" s="4" t="str">
        <f>HYPERLINK("#Statut_biogéographique!A"&amp;_xlfn.XMATCH("P",Statut_biogéographique!A:A,2,1),"P")</f>
        <v>P</v>
      </c>
      <c r="AP16572" s="4" t="s">
        <v>376</v>
      </c>
      <c r="AR16572" s="4" t="s">
        <v>377</v>
      </c>
    </row>
    <row r="16573" spans="1:44">
      <c r="A16573" s="4" t="s">
        <v>10753</v>
      </c>
      <c r="B16573" s="4">
        <v>29013</v>
      </c>
      <c r="D16573" s="5">
        <v>29013</v>
      </c>
      <c r="E16573" s="6" t="str">
        <f>HYPERLINK("https://inpn.mnhn.fr/espece/cd_nom/29013","Ephemera glaucops Pictet, 1843")</f>
        <v>Ephemera glaucops Pictet, 1843</v>
      </c>
      <c r="Q16573" s="7" t="str">
        <f>HYPERLINK("#Liste_rouge!A"&amp;_xlfn.XMATCH("LC",Liste_rouge!A:A,2,1),"LC")</f>
        <v>LC</v>
      </c>
      <c r="AH16573" s="4" t="str">
        <f>HYPERLINK("#Statut_biogéographique!A"&amp;_xlfn.XMATCH("P",Statut_biogéographique!A:A,2,1),"P")</f>
        <v>P</v>
      </c>
      <c r="AP16573" s="4" t="s">
        <v>376</v>
      </c>
      <c r="AR16573" s="4" t="s">
        <v>377</v>
      </c>
    </row>
    <row r="16574" spans="1:44">
      <c r="A16574" s="4" t="s">
        <v>10753</v>
      </c>
      <c r="B16574" s="4">
        <v>29014</v>
      </c>
      <c r="D16574" s="5">
        <v>29014</v>
      </c>
      <c r="E16574" s="6" t="str">
        <f>HYPERLINK("https://inpn.mnhn.fr/espece/cd_nom/29014","Ephemera lineata Eaton, 1870")</f>
        <v>Ephemera lineata Eaton, 1870</v>
      </c>
      <c r="Q16574" s="7" t="str">
        <f>HYPERLINK("#Liste_rouge!A"&amp;_xlfn.XMATCH("LC",Liste_rouge!A:A,2,1),"LC")</f>
        <v>LC</v>
      </c>
      <c r="AH16574" s="4" t="str">
        <f>HYPERLINK("#Statut_biogéographique!A"&amp;_xlfn.XMATCH("P",Statut_biogéographique!A:A,2,1),"P")</f>
        <v>P</v>
      </c>
      <c r="AP16574" s="4" t="s">
        <v>376</v>
      </c>
      <c r="AR16574" s="4" t="s">
        <v>377</v>
      </c>
    </row>
    <row r="16575" spans="1:44">
      <c r="A16575" s="4" t="s">
        <v>10753</v>
      </c>
      <c r="B16575" s="4">
        <v>29015</v>
      </c>
      <c r="D16575" s="5" t="s">
        <v>20113</v>
      </c>
      <c r="E16575" s="6" t="str">
        <f>HYPERLINK("https://inpn.mnhn.fr/espece/cd_nom/29015","Ephemera vulgata Linnaeus, 1758")</f>
        <v>Ephemera vulgata Linnaeus, 1758</v>
      </c>
      <c r="F16575" s="5" t="s">
        <v>20114</v>
      </c>
      <c r="Q16575" s="7" t="str">
        <f>HYPERLINK("#Liste_rouge!A"&amp;_xlfn.XMATCH("LC",Liste_rouge!A:A,2,1),"LC")</f>
        <v>LC</v>
      </c>
      <c r="AH16575" s="4" t="str">
        <f>HYPERLINK("#Statut_biogéographique!A"&amp;_xlfn.XMATCH("P",Statut_biogéographique!A:A,2,1),"P")</f>
        <v>P</v>
      </c>
      <c r="AP16575" s="4" t="s">
        <v>376</v>
      </c>
      <c r="AR16575" s="4" t="s">
        <v>377</v>
      </c>
    </row>
    <row r="16576" spans="1:44">
      <c r="A16576" s="4" t="s">
        <v>10753</v>
      </c>
      <c r="B16576" s="4">
        <v>29020</v>
      </c>
      <c r="D16576" s="5">
        <v>29020</v>
      </c>
      <c r="E16576" s="6" t="str">
        <f>HYPERLINK("https://inpn.mnhn.fr/espece/cd_nom/29020","Ephemerella notata Eaton, 1887")</f>
        <v>Ephemerella notata Eaton, 1887</v>
      </c>
      <c r="Q16576" s="7" t="str">
        <f>HYPERLINK("#Liste_rouge!A"&amp;_xlfn.XMATCH("NT",Liste_rouge!A:A,2,1),"NT")</f>
        <v>NT</v>
      </c>
      <c r="AH16576" s="4" t="str">
        <f>HYPERLINK("#Statut_biogéographique!A"&amp;_xlfn.XMATCH("P",Statut_biogéographique!A:A,2,1),"P")</f>
        <v>P</v>
      </c>
      <c r="AP16576" s="4" t="s">
        <v>376</v>
      </c>
      <c r="AR16576" s="4" t="s">
        <v>377</v>
      </c>
    </row>
    <row r="16577" spans="1:44">
      <c r="A16577" s="4" t="s">
        <v>10753</v>
      </c>
      <c r="B16577" s="4">
        <v>29022</v>
      </c>
      <c r="D16577" s="5" t="s">
        <v>20115</v>
      </c>
      <c r="E16577" s="6" t="str">
        <f>HYPERLINK("https://inpn.mnhn.fr/espece/cd_nom/29022","Ephoron virgo (Olivier, 1791)")</f>
        <v>Ephoron virgo (Olivier, 1791)</v>
      </c>
      <c r="Q16577" s="7" t="str">
        <f>HYPERLINK("#Liste_rouge!A"&amp;_xlfn.XMATCH("LC",Liste_rouge!A:A,2,1),"LC")</f>
        <v>LC</v>
      </c>
      <c r="AH16577" s="4" t="str">
        <f>HYPERLINK("#Statut_biogéographique!A"&amp;_xlfn.XMATCH("P",Statut_biogéographique!A:A,2,1),"P")</f>
        <v>P</v>
      </c>
      <c r="AP16577" s="4" t="s">
        <v>376</v>
      </c>
      <c r="AR16577" s="4" t="s">
        <v>377</v>
      </c>
    </row>
    <row r="16578" spans="1:44">
      <c r="A16578" s="4" t="s">
        <v>10753</v>
      </c>
      <c r="B16578" s="4">
        <v>29024</v>
      </c>
      <c r="D16578" s="5" t="s">
        <v>20116</v>
      </c>
      <c r="E16578" s="6" t="str">
        <f>HYPERLINK("https://inpn.mnhn.fr/espece/cd_nom/29024","Habroleptoides auberti (Biancheri, 1954)")</f>
        <v>Habroleptoides auberti (Biancheri, 1954)</v>
      </c>
      <c r="Q16578" s="7" t="str">
        <f>HYPERLINK("#Liste_rouge!A"&amp;_xlfn.XMATCH("LC",Liste_rouge!A:A,2,1),"LC")</f>
        <v>LC</v>
      </c>
      <c r="AH16578" s="4" t="str">
        <f>HYPERLINK("#Statut_biogéographique!A"&amp;_xlfn.XMATCH("P",Statut_biogéographique!A:A,2,1),"P")</f>
        <v>P</v>
      </c>
      <c r="AP16578" s="4" t="s">
        <v>376</v>
      </c>
      <c r="AR16578" s="4" t="s">
        <v>377</v>
      </c>
    </row>
    <row r="16579" spans="1:44">
      <c r="A16579" s="4" t="s">
        <v>10753</v>
      </c>
      <c r="B16579" s="4">
        <v>29027</v>
      </c>
      <c r="D16579" s="5" t="s">
        <v>20117</v>
      </c>
      <c r="E16579" s="6" t="str">
        <f>HYPERLINK("https://inpn.mnhn.fr/espece/cd_nom/29027","Habroleptoides confusa Sartori &amp; Jacob, 1986")</f>
        <v>Habroleptoides confusa Sartori &amp; Jacob, 1986</v>
      </c>
      <c r="Q16579" s="7" t="str">
        <f>HYPERLINK("#Liste_rouge!A"&amp;_xlfn.XMATCH("LC",Liste_rouge!A:A,2,1),"LC")</f>
        <v>LC</v>
      </c>
      <c r="AH16579" s="4" t="str">
        <f>HYPERLINK("#Statut_biogéographique!A"&amp;_xlfn.XMATCH("P",Statut_biogéographique!A:A,2,1),"P")</f>
        <v>P</v>
      </c>
      <c r="AP16579" s="4" t="s">
        <v>376</v>
      </c>
      <c r="AR16579" s="4" t="s">
        <v>377</v>
      </c>
    </row>
    <row r="16580" spans="1:44">
      <c r="A16580" s="4" t="s">
        <v>10753</v>
      </c>
      <c r="B16580" s="4">
        <v>29028</v>
      </c>
      <c r="D16580" s="5" t="s">
        <v>20118</v>
      </c>
      <c r="E16580" s="6" t="str">
        <f>HYPERLINK("https://inpn.mnhn.fr/espece/cd_nom/29028","Habroleptoides modesta (Hagen, 1864)")</f>
        <v>Habroleptoides modesta (Hagen, 1864)</v>
      </c>
      <c r="Q16580" s="7" t="str">
        <f>HYPERLINK("#Liste_rouge!A"&amp;_xlfn.XMATCH("VU",Liste_rouge!A:A,2,1),"VU")</f>
        <v>VU</v>
      </c>
      <c r="AH16580" s="4" t="str">
        <f>HYPERLINK("#Statut_biogéographique!A"&amp;_xlfn.XMATCH("S",Statut_biogéographique!A:A,2,1),"S")</f>
        <v>S</v>
      </c>
      <c r="AP16580" s="4" t="s">
        <v>376</v>
      </c>
      <c r="AR16580" s="4" t="s">
        <v>377</v>
      </c>
    </row>
    <row r="16581" spans="1:44">
      <c r="A16581" s="4" t="s">
        <v>10753</v>
      </c>
      <c r="B16581" s="4">
        <v>29031</v>
      </c>
      <c r="D16581" s="5" t="s">
        <v>20119</v>
      </c>
      <c r="E16581" s="6" t="str">
        <f>HYPERLINK("https://inpn.mnhn.fr/espece/cd_nom/29031","Habrophlebia fusca (Curtis, 1834)")</f>
        <v>Habrophlebia fusca (Curtis, 1834)</v>
      </c>
      <c r="Q16581" s="7" t="str">
        <f>HYPERLINK("#Liste_rouge!A"&amp;_xlfn.XMATCH("LC",Liste_rouge!A:A,2,1),"LC")</f>
        <v>LC</v>
      </c>
      <c r="AH16581" s="4" t="str">
        <f>HYPERLINK("#Statut_biogéographique!A"&amp;_xlfn.XMATCH("P",Statut_biogéographique!A:A,2,1),"P")</f>
        <v>P</v>
      </c>
      <c r="AP16581" s="4" t="s">
        <v>376</v>
      </c>
      <c r="AR16581" s="4" t="s">
        <v>377</v>
      </c>
    </row>
    <row r="16582" spans="1:44">
      <c r="A16582" s="4" t="s">
        <v>10753</v>
      </c>
      <c r="B16582" s="4">
        <v>29032</v>
      </c>
      <c r="D16582" s="5">
        <v>29032</v>
      </c>
      <c r="E16582" s="6" t="str">
        <f>HYPERLINK("https://inpn.mnhn.fr/espece/cd_nom/29032","Habrophlebia lauta Eaton, 1884")</f>
        <v>Habrophlebia lauta Eaton, 1884</v>
      </c>
      <c r="Q16582" s="7" t="str">
        <f>HYPERLINK("#Liste_rouge!A"&amp;_xlfn.XMATCH("LC",Liste_rouge!A:A,2,1),"LC")</f>
        <v>LC</v>
      </c>
      <c r="AH16582" s="4" t="str">
        <f>HYPERLINK("#Statut_biogéographique!A"&amp;_xlfn.XMATCH("P",Statut_biogéographique!A:A,2,1),"P")</f>
        <v>P</v>
      </c>
      <c r="AP16582" s="4" t="s">
        <v>376</v>
      </c>
      <c r="AR16582" s="4" t="s">
        <v>377</v>
      </c>
    </row>
    <row r="16583" spans="1:44">
      <c r="A16583" s="4" t="s">
        <v>10753</v>
      </c>
      <c r="B16583" s="4">
        <v>29036</v>
      </c>
      <c r="D16583" s="5" t="s">
        <v>20120</v>
      </c>
      <c r="E16583" s="6" t="str">
        <f>HYPERLINK("https://inpn.mnhn.fr/espece/cd_nom/29036","Heptagenia flava Rostock, 1878")</f>
        <v>Heptagenia flava Rostock, 1878</v>
      </c>
      <c r="Q16583" s="7" t="str">
        <f>HYPERLINK("#Liste_rouge!A"&amp;_xlfn.XMATCH("LC",Liste_rouge!A:A,2,1),"LC")</f>
        <v>LC</v>
      </c>
      <c r="AH16583" s="4" t="str">
        <f>HYPERLINK("#Statut_biogéographique!A"&amp;_xlfn.XMATCH("P",Statut_biogéographique!A:A,2,1),"P")</f>
        <v>P</v>
      </c>
      <c r="AP16583" s="4" t="s">
        <v>376</v>
      </c>
      <c r="AR16583" s="4" t="s">
        <v>377</v>
      </c>
    </row>
    <row r="16584" spans="1:44">
      <c r="A16584" s="4" t="s">
        <v>10753</v>
      </c>
      <c r="B16584" s="4">
        <v>29039</v>
      </c>
      <c r="D16584" s="5" t="s">
        <v>20121</v>
      </c>
      <c r="E16584" s="6" t="str">
        <f>HYPERLINK("https://inpn.mnhn.fr/espece/cd_nom/29039","Heptagenia longicauda (Stephens, 1836)")</f>
        <v>Heptagenia longicauda (Stephens, 1836)</v>
      </c>
      <c r="Q16584" s="7" t="str">
        <f>HYPERLINK("#Liste_rouge!A"&amp;_xlfn.XMATCH("NT",Liste_rouge!A:A,2,1),"NT")</f>
        <v>NT</v>
      </c>
      <c r="AH16584" s="4" t="str">
        <f>HYPERLINK("#Statut_biogéographique!A"&amp;_xlfn.XMATCH("P",Statut_biogéographique!A:A,2,1),"P")</f>
        <v>P</v>
      </c>
      <c r="AP16584" s="4" t="s">
        <v>376</v>
      </c>
      <c r="AR16584" s="4" t="s">
        <v>377</v>
      </c>
    </row>
    <row r="16585" spans="1:44">
      <c r="A16585" s="4" t="s">
        <v>10753</v>
      </c>
      <c r="B16585" s="4">
        <v>29040</v>
      </c>
      <c r="D16585" s="5" t="s">
        <v>20122</v>
      </c>
      <c r="E16585" s="6" t="str">
        <f>HYPERLINK("https://inpn.mnhn.fr/espece/cd_nom/29040","Heptagenia sulphurea (O.F. Müller, 1776)")</f>
        <v>Heptagenia sulphurea (O.F. Müller, 1776)</v>
      </c>
      <c r="Q16585" s="7" t="str">
        <f>HYPERLINK("#Liste_rouge!A"&amp;_xlfn.XMATCH("LC",Liste_rouge!A:A,2,1),"LC")</f>
        <v>LC</v>
      </c>
      <c r="AH16585" s="4" t="str">
        <f>HYPERLINK("#Statut_biogéographique!A"&amp;_xlfn.XMATCH("P",Statut_biogéographique!A:A,2,1),"P")</f>
        <v>P</v>
      </c>
      <c r="AP16585" s="4" t="s">
        <v>376</v>
      </c>
      <c r="AR16585" s="4" t="s">
        <v>377</v>
      </c>
    </row>
    <row r="16586" spans="1:44">
      <c r="A16586" s="4" t="s">
        <v>10753</v>
      </c>
      <c r="B16586" s="4">
        <v>29044</v>
      </c>
      <c r="D16586" s="5" t="s">
        <v>20123</v>
      </c>
      <c r="E16586" s="6" t="str">
        <f>HYPERLINK("https://inpn.mnhn.fr/espece/cd_nom/29044","Labiobaetis atrebatinus (Eaton, 1870)")</f>
        <v>Labiobaetis atrebatinus (Eaton, 1870)</v>
      </c>
      <c r="Q16586" s="7" t="str">
        <f>HYPERLINK("#Liste_rouge!A"&amp;_xlfn.XMATCH("LC",Liste_rouge!A:A,2,1),"LC")</f>
        <v>LC</v>
      </c>
      <c r="AH16586" s="4" t="str">
        <f>HYPERLINK("#Statut_biogéographique!A"&amp;_xlfn.XMATCH("P",Statut_biogéographique!A:A,2,1),"P")</f>
        <v>P</v>
      </c>
      <c r="AP16586" s="4" t="s">
        <v>376</v>
      </c>
      <c r="AR16586" s="4" t="s">
        <v>377</v>
      </c>
    </row>
    <row r="16587" spans="1:44">
      <c r="A16587" s="4" t="s">
        <v>10753</v>
      </c>
      <c r="B16587" s="4">
        <v>29046</v>
      </c>
      <c r="D16587" s="5" t="s">
        <v>20124</v>
      </c>
      <c r="E16587" s="6" t="str">
        <f>HYPERLINK("https://inpn.mnhn.fr/espece/cd_nom/29046","Leptophlebia marginata (Linnaeus, 1767)")</f>
        <v>Leptophlebia marginata (Linnaeus, 1767)</v>
      </c>
      <c r="Q16587" s="7" t="str">
        <f>HYPERLINK("#Liste_rouge!A"&amp;_xlfn.XMATCH("LC",Liste_rouge!A:A,2,1),"LC")</f>
        <v>LC</v>
      </c>
      <c r="AH16587" s="4" t="str">
        <f>HYPERLINK("#Statut_biogéographique!A"&amp;_xlfn.XMATCH("P",Statut_biogéographique!A:A,2,1),"P")</f>
        <v>P</v>
      </c>
      <c r="AP16587" s="4" t="s">
        <v>376</v>
      </c>
      <c r="AR16587" s="4" t="s">
        <v>377</v>
      </c>
    </row>
    <row r="16588" spans="1:44">
      <c r="A16588" s="4" t="s">
        <v>10753</v>
      </c>
      <c r="B16588" s="4">
        <v>29047</v>
      </c>
      <c r="D16588" s="5" t="s">
        <v>20125</v>
      </c>
      <c r="E16588" s="6" t="str">
        <f>HYPERLINK("https://inpn.mnhn.fr/espece/cd_nom/29047","Leptophlebia vespertina (Linnaeus, 1758)")</f>
        <v>Leptophlebia vespertina (Linnaeus, 1758)</v>
      </c>
      <c r="Q16588" s="7" t="str">
        <f>HYPERLINK("#Liste_rouge!A"&amp;_xlfn.XMATCH("NT",Liste_rouge!A:A,2,1),"NT")</f>
        <v>NT</v>
      </c>
      <c r="AH16588" s="4" t="str">
        <f>HYPERLINK("#Statut_biogéographique!A"&amp;_xlfn.XMATCH("P",Statut_biogéographique!A:A,2,1),"P")</f>
        <v>P</v>
      </c>
      <c r="AP16588" s="4" t="s">
        <v>376</v>
      </c>
      <c r="AR16588" s="4" t="s">
        <v>377</v>
      </c>
    </row>
    <row r="16589" spans="1:44">
      <c r="A16589" s="4" t="s">
        <v>10753</v>
      </c>
      <c r="B16589" s="4">
        <v>29049</v>
      </c>
      <c r="D16589" s="5" t="s">
        <v>20126</v>
      </c>
      <c r="E16589" s="6" t="str">
        <f>HYPERLINK("https://inpn.mnhn.fr/espece/cd_nom/29049","Metreletus balcanicus (Ulmer, 1920)")</f>
        <v>Metreletus balcanicus (Ulmer, 1920)</v>
      </c>
      <c r="Q16589" s="7" t="str">
        <f>HYPERLINK("#Liste_rouge!A"&amp;_xlfn.XMATCH("NT",Liste_rouge!A:A,2,1),"NT")</f>
        <v>NT</v>
      </c>
      <c r="AH16589" s="4" t="str">
        <f>HYPERLINK("#Statut_biogéographique!A"&amp;_xlfn.XMATCH("P",Statut_biogéographique!A:A,2,1),"P")</f>
        <v>P</v>
      </c>
      <c r="AP16589" s="4" t="s">
        <v>376</v>
      </c>
      <c r="AR16589" s="4" t="s">
        <v>377</v>
      </c>
    </row>
    <row r="16590" spans="1:44">
      <c r="A16590" s="4" t="s">
        <v>10753</v>
      </c>
      <c r="B16590" s="4">
        <v>29055</v>
      </c>
      <c r="D16590" s="5" t="s">
        <v>20127</v>
      </c>
      <c r="E16590" s="6" t="str">
        <f>HYPERLINK("https://inpn.mnhn.fr/espece/cd_nom/29055","Nigrobaetis niger (Linnaeus, 1761)")</f>
        <v>Nigrobaetis niger (Linnaeus, 1761)</v>
      </c>
      <c r="F16590" s="5" t="s">
        <v>20128</v>
      </c>
      <c r="Q16590" s="7" t="str">
        <f>HYPERLINK("#Liste_rouge!A"&amp;_xlfn.XMATCH("LC",Liste_rouge!A:A,2,1),"LC")</f>
        <v>LC</v>
      </c>
      <c r="AH16590" s="4" t="str">
        <f>HYPERLINK("#Statut_biogéographique!A"&amp;_xlfn.XMATCH("P",Statut_biogéographique!A:A,2,1),"P")</f>
        <v>P</v>
      </c>
      <c r="AP16590" s="4" t="s">
        <v>376</v>
      </c>
      <c r="AR16590" s="4" t="s">
        <v>377</v>
      </c>
    </row>
    <row r="16591" spans="1:44">
      <c r="A16591" s="4" t="s">
        <v>10753</v>
      </c>
      <c r="B16591" s="4">
        <v>29058</v>
      </c>
      <c r="D16591" s="5" t="s">
        <v>20129</v>
      </c>
      <c r="E16591" s="6" t="str">
        <f>HYPERLINK("https://inpn.mnhn.fr/espece/cd_nom/29058","Oligoneuriella rhenana (Imhoff, 1852)")</f>
        <v>Oligoneuriella rhenana (Imhoff, 1852)</v>
      </c>
      <c r="Q16591" s="7" t="str">
        <f>HYPERLINK("#Liste_rouge!A"&amp;_xlfn.XMATCH("LC",Liste_rouge!A:A,2,1),"LC")</f>
        <v>LC</v>
      </c>
      <c r="AH16591" s="4" t="str">
        <f>HYPERLINK("#Statut_biogéographique!A"&amp;_xlfn.XMATCH("P",Statut_biogéographique!A:A,2,1),"P")</f>
        <v>P</v>
      </c>
      <c r="AP16591" s="4" t="s">
        <v>376</v>
      </c>
      <c r="AR16591" s="4" t="s">
        <v>377</v>
      </c>
    </row>
    <row r="16592" spans="1:44">
      <c r="A16592" s="4" t="s">
        <v>10753</v>
      </c>
      <c r="B16592" s="4">
        <v>29060</v>
      </c>
      <c r="D16592" s="5" t="s">
        <v>20130</v>
      </c>
      <c r="E16592" s="6" t="str">
        <f>HYPERLINK("https://inpn.mnhn.fr/espece/cd_nom/29060","Paraleptophlebia cincta (Retzius, 1783)")</f>
        <v>Paraleptophlebia cincta (Retzius, 1783)</v>
      </c>
      <c r="Q16592" s="7" t="str">
        <f>HYPERLINK("#Liste_rouge!A"&amp;_xlfn.XMATCH("LC",Liste_rouge!A:A,2,1),"LC")</f>
        <v>LC</v>
      </c>
      <c r="AH16592" s="4" t="str">
        <f>HYPERLINK("#Statut_biogéographique!A"&amp;_xlfn.XMATCH("P",Statut_biogéographique!A:A,2,1),"P")</f>
        <v>P</v>
      </c>
      <c r="AP16592" s="4" t="s">
        <v>376</v>
      </c>
      <c r="AR16592" s="4" t="s">
        <v>377</v>
      </c>
    </row>
    <row r="16593" spans="1:44" ht="30">
      <c r="A16593" s="4" t="s">
        <v>10753</v>
      </c>
      <c r="B16593" s="4">
        <v>29061</v>
      </c>
      <c r="D16593" s="5" t="s">
        <v>20131</v>
      </c>
      <c r="E16593" s="6" t="str">
        <f>HYPERLINK("https://inpn.mnhn.fr/espece/cd_nom/29061","Paraleptophlebia submarginata (Stephens, 1836)")</f>
        <v>Paraleptophlebia submarginata (Stephens, 1836)</v>
      </c>
      <c r="Q16593" s="7" t="str">
        <f>HYPERLINK("#Liste_rouge!A"&amp;_xlfn.XMATCH("LC",Liste_rouge!A:A,2,1),"LC")</f>
        <v>LC</v>
      </c>
      <c r="AH16593" s="4" t="str">
        <f>HYPERLINK("#Statut_biogéographique!A"&amp;_xlfn.XMATCH("P",Statut_biogéographique!A:A,2,1),"P")</f>
        <v>P</v>
      </c>
      <c r="AP16593" s="4" t="s">
        <v>376</v>
      </c>
      <c r="AR16593" s="4" t="s">
        <v>377</v>
      </c>
    </row>
    <row r="16594" spans="1:44" ht="30">
      <c r="A16594" s="4" t="s">
        <v>10753</v>
      </c>
      <c r="B16594" s="4">
        <v>29066</v>
      </c>
      <c r="D16594" s="5" t="s">
        <v>20132</v>
      </c>
      <c r="E16594" s="6" t="str">
        <f>HYPERLINK("https://inpn.mnhn.fr/espece/cd_nom/29066","Potamanthus luteus (Linnaeus, 1767)")</f>
        <v>Potamanthus luteus (Linnaeus, 1767)</v>
      </c>
      <c r="F16594" s="5" t="s">
        <v>20133</v>
      </c>
      <c r="Q16594" s="7" t="str">
        <f>HYPERLINK("#Liste_rouge!A"&amp;_xlfn.XMATCH("LC",Liste_rouge!A:A,2,1),"LC")</f>
        <v>LC</v>
      </c>
      <c r="AH16594" s="4" t="str">
        <f>HYPERLINK("#Statut_biogéographique!A"&amp;_xlfn.XMATCH("P",Statut_biogéographique!A:A,2,1),"P")</f>
        <v>P</v>
      </c>
      <c r="AP16594" s="4" t="s">
        <v>376</v>
      </c>
      <c r="AR16594" s="4" t="s">
        <v>377</v>
      </c>
    </row>
    <row r="16595" spans="1:44" ht="30">
      <c r="A16595" s="4" t="s">
        <v>10753</v>
      </c>
      <c r="B16595" s="4">
        <v>29068</v>
      </c>
      <c r="D16595" s="5" t="s">
        <v>20134</v>
      </c>
      <c r="E16595" s="6" t="str">
        <f>HYPERLINK("https://inpn.mnhn.fr/espece/cd_nom/29068","Procloeon bifidum (Bengtsson, 1912)")</f>
        <v>Procloeon bifidum (Bengtsson, 1912)</v>
      </c>
      <c r="Q16595" s="7" t="str">
        <f>HYPERLINK("#Liste_rouge!A"&amp;_xlfn.XMATCH("LC",Liste_rouge!A:A,2,1),"LC")</f>
        <v>LC</v>
      </c>
      <c r="AH16595" s="4" t="str">
        <f>HYPERLINK("#Statut_biogéographique!A"&amp;_xlfn.XMATCH("P",Statut_biogéographique!A:A,2,1),"P")</f>
        <v>P</v>
      </c>
      <c r="AP16595" s="4" t="s">
        <v>376</v>
      </c>
      <c r="AR16595" s="4" t="s">
        <v>377</v>
      </c>
    </row>
    <row r="16596" spans="1:44">
      <c r="A16596" s="4" t="s">
        <v>10753</v>
      </c>
      <c r="B16596" s="4">
        <v>29069</v>
      </c>
      <c r="D16596" s="5" t="s">
        <v>20135</v>
      </c>
      <c r="E16596" s="6" t="str">
        <f>HYPERLINK("https://inpn.mnhn.fr/espece/cd_nom/29069","Procloeon pennulatum (Eaton, 1870)")</f>
        <v>Procloeon pennulatum (Eaton, 1870)</v>
      </c>
      <c r="Q16596" s="7" t="str">
        <f>HYPERLINK("#Liste_rouge!A"&amp;_xlfn.XMATCH("LC",Liste_rouge!A:A,2,1),"LC")</f>
        <v>LC</v>
      </c>
      <c r="AH16596" s="4" t="str">
        <f>HYPERLINK("#Statut_biogéographique!A"&amp;_xlfn.XMATCH("P",Statut_biogéographique!A:A,2,1),"P")</f>
        <v>P</v>
      </c>
      <c r="AP16596" s="4" t="s">
        <v>376</v>
      </c>
      <c r="AR16596" s="4" t="s">
        <v>377</v>
      </c>
    </row>
    <row r="16597" spans="1:44">
      <c r="A16597" s="4" t="s">
        <v>10753</v>
      </c>
      <c r="B16597" s="4">
        <v>29071</v>
      </c>
      <c r="D16597" s="5" t="s">
        <v>20136</v>
      </c>
      <c r="E16597" s="6" t="str">
        <f>HYPERLINK("https://inpn.mnhn.fr/espece/cd_nom/29071","Procloeon pulchrum (Eaton, 1885)")</f>
        <v>Procloeon pulchrum (Eaton, 1885)</v>
      </c>
      <c r="Q16597" s="7" t="str">
        <f>HYPERLINK("#Liste_rouge!A"&amp;_xlfn.XMATCH("LC",Liste_rouge!A:A,2,1),"LC")</f>
        <v>LC</v>
      </c>
      <c r="AH16597" s="4" t="str">
        <f>HYPERLINK("#Statut_biogéographique!A"&amp;_xlfn.XMATCH("P",Statut_biogéographique!A:A,2,1),"P")</f>
        <v>P</v>
      </c>
      <c r="AP16597" s="4" t="s">
        <v>376</v>
      </c>
      <c r="AR16597" s="4" t="s">
        <v>377</v>
      </c>
    </row>
    <row r="16598" spans="1:44" ht="30">
      <c r="A16598" s="4" t="s">
        <v>10753</v>
      </c>
      <c r="B16598" s="4">
        <v>29081</v>
      </c>
      <c r="D16598" s="5" t="s">
        <v>20137</v>
      </c>
      <c r="E16598" s="6" t="str">
        <f>HYPERLINK("https://inpn.mnhn.fr/espece/cd_nom/29081","Rhithrogena beskidensis Alba-Tercedor &amp; Sowa, 1987")</f>
        <v>Rhithrogena beskidensis Alba-Tercedor &amp; Sowa, 1987</v>
      </c>
      <c r="Q16598" s="7" t="str">
        <f>HYPERLINK("#Liste_rouge!A"&amp;_xlfn.XMATCH("LC",Liste_rouge!A:A,2,1),"LC")</f>
        <v>LC</v>
      </c>
      <c r="AH16598" s="4" t="str">
        <f>HYPERLINK("#Statut_biogéographique!A"&amp;_xlfn.XMATCH("P",Statut_biogéographique!A:A,2,1),"P")</f>
        <v>P</v>
      </c>
      <c r="AP16598" s="4" t="s">
        <v>376</v>
      </c>
      <c r="AR16598" s="4" t="s">
        <v>377</v>
      </c>
    </row>
    <row r="16599" spans="1:44" ht="30">
      <c r="A16599" s="4" t="s">
        <v>10753</v>
      </c>
      <c r="B16599" s="4">
        <v>29082</v>
      </c>
      <c r="D16599" s="5" t="s">
        <v>20138</v>
      </c>
      <c r="E16599" s="6" t="str">
        <f>HYPERLINK("https://inpn.mnhn.fr/espece/cd_nom/29082","Rhithrogena carpatoalpina Klonowska, Olechowska, Sartori &amp; Weichselbaumer, 1987")</f>
        <v>Rhithrogena carpatoalpina Klonowska, Olechowska, Sartori &amp; Weichselbaumer, 1987</v>
      </c>
      <c r="Q16599" s="7" t="str">
        <f>HYPERLINK("#Liste_rouge!A"&amp;_xlfn.XMATCH("DD",Liste_rouge!A:A,2,1),"DD")</f>
        <v>DD</v>
      </c>
      <c r="AH16599" s="4" t="str">
        <f>HYPERLINK("#Statut_biogéographique!A"&amp;_xlfn.XMATCH("P",Statut_biogéographique!A:A,2,1),"P")</f>
        <v>P</v>
      </c>
      <c r="AP16599" s="4" t="s">
        <v>376</v>
      </c>
      <c r="AR16599" s="4" t="s">
        <v>377</v>
      </c>
    </row>
    <row r="16600" spans="1:44">
      <c r="A16600" s="4" t="s">
        <v>10753</v>
      </c>
      <c r="B16600" s="4">
        <v>29088</v>
      </c>
      <c r="D16600" s="5" t="s">
        <v>20139</v>
      </c>
      <c r="E16600" s="6" t="str">
        <f>HYPERLINK("https://inpn.mnhn.fr/espece/cd_nom/29088","Rhithrogena dorieri Sowa, 1971")</f>
        <v>Rhithrogena dorieri Sowa, 1971</v>
      </c>
      <c r="Q16600" s="7" t="str">
        <f>HYPERLINK("#Liste_rouge!A"&amp;_xlfn.XMATCH("NT",Liste_rouge!A:A,2,1),"NT")</f>
        <v>NT</v>
      </c>
      <c r="AH16600" s="4" t="str">
        <f>HYPERLINK("#Statut_biogéographique!A"&amp;_xlfn.XMATCH("P",Statut_biogéographique!A:A,2,1),"P")</f>
        <v>P</v>
      </c>
      <c r="AP16600" s="4" t="s">
        <v>376</v>
      </c>
      <c r="AR16600" s="4" t="s">
        <v>377</v>
      </c>
    </row>
    <row r="16601" spans="1:44">
      <c r="A16601" s="4" t="s">
        <v>10753</v>
      </c>
      <c r="B16601" s="4">
        <v>29091</v>
      </c>
      <c r="D16601" s="5" t="s">
        <v>20140</v>
      </c>
      <c r="E16601" s="6" t="str">
        <f>HYPERLINK("https://inpn.mnhn.fr/espece/cd_nom/29091","Rhithrogena germanica Eaton, 1885")</f>
        <v>Rhithrogena germanica Eaton, 1885</v>
      </c>
      <c r="Q16601" s="7" t="str">
        <f>HYPERLINK("#Liste_rouge!A"&amp;_xlfn.XMATCH("VU",Liste_rouge!A:A,2,1),"VU")</f>
        <v>VU</v>
      </c>
      <c r="AH16601" s="4" t="str">
        <f>HYPERLINK("#Statut_biogéographique!A"&amp;_xlfn.XMATCH("P",Statut_biogéographique!A:A,2,1),"P")</f>
        <v>P</v>
      </c>
      <c r="AP16601" s="4" t="s">
        <v>376</v>
      </c>
      <c r="AR16601" s="4" t="s">
        <v>377</v>
      </c>
    </row>
    <row r="16602" spans="1:44" ht="30">
      <c r="A16602" s="4" t="s">
        <v>10753</v>
      </c>
      <c r="B16602" s="4">
        <v>29092</v>
      </c>
      <c r="D16602" s="5">
        <v>29092</v>
      </c>
      <c r="E16602" s="6" t="str">
        <f>HYPERLINK("https://inpn.mnhn.fr/espece/cd_nom/29092","Rhithrogena gratianopolitana Sowa, Degrange &amp; Sartori, 1986")</f>
        <v>Rhithrogena gratianopolitana Sowa, Degrange &amp; Sartori, 1986</v>
      </c>
      <c r="Q16602" s="7" t="str">
        <f>HYPERLINK("#Liste_rouge!A"&amp;_xlfn.XMATCH("NT",Liste_rouge!A:A,2,1),"NT")</f>
        <v>NT</v>
      </c>
      <c r="AH16602" s="4" t="str">
        <f>HYPERLINK("#Statut_biogéographique!A"&amp;_xlfn.XMATCH("P",Statut_biogéographique!A:A,2,1),"P")</f>
        <v>P</v>
      </c>
      <c r="AP16602" s="4" t="s">
        <v>376</v>
      </c>
      <c r="AR16602" s="4" t="s">
        <v>377</v>
      </c>
    </row>
    <row r="16603" spans="1:44">
      <c r="A16603" s="4" t="s">
        <v>10753</v>
      </c>
      <c r="B16603" s="4">
        <v>29102</v>
      </c>
      <c r="D16603" s="5" t="s">
        <v>20141</v>
      </c>
      <c r="E16603" s="6" t="str">
        <f>HYPERLINK("https://inpn.mnhn.fr/espece/cd_nom/29102","Rhithrogena picteti Sowa, 1971")</f>
        <v>Rhithrogena picteti Sowa, 1971</v>
      </c>
      <c r="Q16603" s="7" t="str">
        <f>HYPERLINK("#Liste_rouge!A"&amp;_xlfn.XMATCH("LC",Liste_rouge!A:A,2,1),"LC")</f>
        <v>LC</v>
      </c>
      <c r="AH16603" s="4" t="str">
        <f>HYPERLINK("#Statut_biogéographique!A"&amp;_xlfn.XMATCH("P",Statut_biogéographique!A:A,2,1),"P")</f>
        <v>P</v>
      </c>
      <c r="AP16603" s="4" t="s">
        <v>376</v>
      </c>
      <c r="AR16603" s="4" t="s">
        <v>377</v>
      </c>
    </row>
    <row r="16604" spans="1:44" ht="30">
      <c r="A16604" s="4" t="s">
        <v>10753</v>
      </c>
      <c r="B16604" s="4">
        <v>29104</v>
      </c>
      <c r="D16604" s="5" t="s">
        <v>20142</v>
      </c>
      <c r="E16604" s="6" t="str">
        <f>HYPERLINK("https://inpn.mnhn.fr/espece/cd_nom/29104","Rhithrogena puytoraci Sowa &amp; Degrange, 1987")</f>
        <v>Rhithrogena puytoraci Sowa &amp; Degrange, 1987</v>
      </c>
      <c r="Q16604" s="7" t="str">
        <f>HYPERLINK("#Liste_rouge!A"&amp;_xlfn.XMATCH("LC",Liste_rouge!A:A,2,1),"LC")</f>
        <v>LC</v>
      </c>
      <c r="AH16604" s="4" t="str">
        <f>HYPERLINK("#Statut_biogéographique!A"&amp;_xlfn.XMATCH("P",Statut_biogéographique!A:A,2,1),"P")</f>
        <v>P</v>
      </c>
      <c r="AP16604" s="4" t="s">
        <v>376</v>
      </c>
      <c r="AR16604" s="4" t="s">
        <v>377</v>
      </c>
    </row>
    <row r="16605" spans="1:44">
      <c r="A16605" s="4" t="s">
        <v>10753</v>
      </c>
      <c r="B16605" s="4">
        <v>29106</v>
      </c>
      <c r="D16605" s="5" t="s">
        <v>20143</v>
      </c>
      <c r="E16605" s="6" t="str">
        <f>HYPERLINK("https://inpn.mnhn.fr/espece/cd_nom/29106","Rhithrogena semicolorata (Curtis, 1834)")</f>
        <v>Rhithrogena semicolorata (Curtis, 1834)</v>
      </c>
      <c r="Q16605" s="7" t="str">
        <f>HYPERLINK("#Liste_rouge!A"&amp;_xlfn.XMATCH("LC",Liste_rouge!A:A,2,1),"LC")</f>
        <v>LC</v>
      </c>
      <c r="AH16605" s="4" t="str">
        <f>HYPERLINK("#Statut_biogéographique!A"&amp;_xlfn.XMATCH("P",Statut_biogéographique!A:A,2,1),"P")</f>
        <v>P</v>
      </c>
      <c r="AP16605" s="4" t="s">
        <v>376</v>
      </c>
      <c r="AR16605" s="4" t="s">
        <v>377</v>
      </c>
    </row>
    <row r="16606" spans="1:44">
      <c r="A16606" s="4" t="s">
        <v>10753</v>
      </c>
      <c r="B16606" s="4">
        <v>29109</v>
      </c>
      <c r="D16606" s="5" t="s">
        <v>20144</v>
      </c>
      <c r="E16606" s="6" t="str">
        <f>HYPERLINK("https://inpn.mnhn.fr/espece/cd_nom/29109","Siphlonurus aestivalis (Eaton, 1903)")</f>
        <v>Siphlonurus aestivalis (Eaton, 1903)</v>
      </c>
      <c r="Q16606" s="7" t="str">
        <f>HYPERLINK("#Liste_rouge!A"&amp;_xlfn.XMATCH("LC",Liste_rouge!A:A,2,1),"LC")</f>
        <v>LC</v>
      </c>
      <c r="AH16606" s="4" t="str">
        <f>HYPERLINK("#Statut_biogéographique!A"&amp;_xlfn.XMATCH("P",Statut_biogéographique!A:A,2,1),"P")</f>
        <v>P</v>
      </c>
      <c r="AP16606" s="4" t="s">
        <v>376</v>
      </c>
      <c r="AR16606" s="4" t="s">
        <v>377</v>
      </c>
    </row>
    <row r="16607" spans="1:44">
      <c r="A16607" s="4" t="s">
        <v>10753</v>
      </c>
      <c r="B16607" s="4">
        <v>29110</v>
      </c>
      <c r="D16607" s="5" t="s">
        <v>20145</v>
      </c>
      <c r="E16607" s="6" t="str">
        <f>HYPERLINK("https://inpn.mnhn.fr/espece/cd_nom/29110","Siphlonurus lacustris (Eaton, 1870)")</f>
        <v>Siphlonurus lacustris (Eaton, 1870)</v>
      </c>
      <c r="Q16607" s="7" t="str">
        <f>HYPERLINK("#Liste_rouge!A"&amp;_xlfn.XMATCH("LC",Liste_rouge!A:A,2,1),"LC")</f>
        <v>LC</v>
      </c>
      <c r="AH16607" s="4" t="str">
        <f>HYPERLINK("#Statut_biogéographique!A"&amp;_xlfn.XMATCH("P",Statut_biogéographique!A:A,2,1),"P")</f>
        <v>P</v>
      </c>
      <c r="AP16607" s="4" t="s">
        <v>376</v>
      </c>
      <c r="AR16607" s="4" t="s">
        <v>377</v>
      </c>
    </row>
    <row r="16608" spans="1:44">
      <c r="A16608" s="4" t="s">
        <v>10753</v>
      </c>
      <c r="B16608" s="4">
        <v>29114</v>
      </c>
      <c r="D16608" s="5" t="s">
        <v>20146</v>
      </c>
      <c r="E16608" s="6" t="str">
        <f>HYPERLINK("https://inpn.mnhn.fr/espece/cd_nom/29114","Torleya major (Klapalek, 1905)")</f>
        <v>Torleya major (Klapalek, 1905)</v>
      </c>
      <c r="Q16608" s="7" t="str">
        <f>HYPERLINK("#Liste_rouge!A"&amp;_xlfn.XMATCH("LC",Liste_rouge!A:A,2,1),"LC")</f>
        <v>LC</v>
      </c>
      <c r="AH16608" s="4" t="str">
        <f>HYPERLINK("#Statut_biogéographique!A"&amp;_xlfn.XMATCH("P",Statut_biogéographique!A:A,2,1),"P")</f>
        <v>P</v>
      </c>
      <c r="AP16608" s="4" t="s">
        <v>376</v>
      </c>
      <c r="AR16608" s="4" t="s">
        <v>377</v>
      </c>
    </row>
    <row r="16609" spans="1:44">
      <c r="A16609" s="4" t="s">
        <v>10753</v>
      </c>
      <c r="B16609" s="4">
        <v>294280</v>
      </c>
      <c r="D16609" s="5" t="s">
        <v>20147</v>
      </c>
      <c r="E16609" s="6" t="str">
        <f>HYPERLINK("https://inpn.mnhn.fr/espece/cd_nom/294280","Bioblapsis polita (Vollenhoven, 1878)")</f>
        <v>Bioblapsis polita (Vollenhoven, 1878)</v>
      </c>
      <c r="AH16609" s="4" t="str">
        <f>HYPERLINK("#Statut_biogéographique!A"&amp;_xlfn.XMATCH("P",Statut_biogéographique!A:A,2,1),"P")</f>
        <v>P</v>
      </c>
      <c r="AP16609" s="4" t="s">
        <v>376</v>
      </c>
      <c r="AR16609" s="4" t="s">
        <v>377</v>
      </c>
    </row>
    <row r="16610" spans="1:44" ht="30">
      <c r="A16610" s="4" t="s">
        <v>10753</v>
      </c>
      <c r="B16610" s="4">
        <v>295951</v>
      </c>
      <c r="D16610" s="5" t="s">
        <v>20148</v>
      </c>
      <c r="E16610" s="6" t="str">
        <f>HYPERLINK("https://inpn.mnhn.fr/espece/cd_nom/295951","Gilpinia laricis (Jurine, 1807)")</f>
        <v>Gilpinia laricis (Jurine, 1807)</v>
      </c>
      <c r="AH16610" s="4" t="str">
        <f>HYPERLINK("#Statut_biogéographique!A"&amp;_xlfn.XMATCH("P",Statut_biogéographique!A:A,2,1),"P")</f>
        <v>P</v>
      </c>
      <c r="AP16610" s="4" t="s">
        <v>376</v>
      </c>
      <c r="AR16610" s="4" t="s">
        <v>377</v>
      </c>
    </row>
    <row r="16611" spans="1:44">
      <c r="A16611" s="4" t="s">
        <v>10753</v>
      </c>
      <c r="B16611" s="4">
        <v>296126</v>
      </c>
      <c r="D16611" s="5" t="s">
        <v>20149</v>
      </c>
      <c r="E16611" s="6" t="str">
        <f>HYPERLINK("https://inpn.mnhn.fr/espece/cd_nom/296126","Dolerus gibbosus Hartig, 1837")</f>
        <v>Dolerus gibbosus Hartig, 1837</v>
      </c>
      <c r="AH16611" s="4" t="str">
        <f>HYPERLINK("#Statut_biogéographique!A"&amp;_xlfn.XMATCH("P",Statut_biogéographique!A:A,2,1),"P")</f>
        <v>P</v>
      </c>
      <c r="AP16611" s="4" t="s">
        <v>376</v>
      </c>
      <c r="AR16611" s="4" t="s">
        <v>377</v>
      </c>
    </row>
    <row r="16612" spans="1:44">
      <c r="A16612" s="4" t="s">
        <v>10753</v>
      </c>
      <c r="B16612" s="4">
        <v>296199</v>
      </c>
      <c r="D16612" s="5">
        <v>296199</v>
      </c>
      <c r="E16612" s="6" t="str">
        <f>HYPERLINK("https://inpn.mnhn.fr/espece/cd_nom/296199","Pristiphora luteipes Lindqvist, 1955")</f>
        <v>Pristiphora luteipes Lindqvist, 1955</v>
      </c>
      <c r="AH16612" s="4" t="str">
        <f>HYPERLINK("#Statut_biogéographique!A"&amp;_xlfn.XMATCH("P",Statut_biogéographique!A:A,2,1),"P")</f>
        <v>P</v>
      </c>
      <c r="AP16612" s="4" t="s">
        <v>376</v>
      </c>
      <c r="AR16612" s="4" t="s">
        <v>377</v>
      </c>
    </row>
    <row r="16613" spans="1:44">
      <c r="A16613" s="4" t="s">
        <v>10753</v>
      </c>
      <c r="B16613" s="4">
        <v>296488</v>
      </c>
      <c r="D16613" s="5" t="s">
        <v>20150</v>
      </c>
      <c r="E16613" s="6" t="str">
        <f>HYPERLINK("https://inpn.mnhn.fr/espece/cd_nom/296488","Metallus albipes (Cameron, 1875)")</f>
        <v>Metallus albipes (Cameron, 1875)</v>
      </c>
      <c r="AH16613" s="4" t="str">
        <f>HYPERLINK("#Statut_biogéographique!A"&amp;_xlfn.XMATCH("P",Statut_biogéographique!A:A,2,1),"P")</f>
        <v>P</v>
      </c>
      <c r="AP16613" s="4" t="s">
        <v>376</v>
      </c>
      <c r="AR16613" s="4" t="s">
        <v>377</v>
      </c>
    </row>
    <row r="16614" spans="1:44">
      <c r="A16614" s="4" t="s">
        <v>10753</v>
      </c>
      <c r="B16614" s="4">
        <v>297585</v>
      </c>
      <c r="D16614" s="5" t="s">
        <v>20151</v>
      </c>
      <c r="E16614" s="6" t="str">
        <f>HYPERLINK("https://inpn.mnhn.fr/espece/cd_nom/297585","Glossosoma bifidum McLachlan, 1879")</f>
        <v>Glossosoma bifidum McLachlan, 1879</v>
      </c>
      <c r="AH16614" s="4" t="str">
        <f>HYPERLINK("#Statut_biogéographique!A"&amp;_xlfn.XMATCH("P",Statut_biogéographique!A:A,2,1),"P")</f>
        <v>P</v>
      </c>
      <c r="AP16614" s="4" t="s">
        <v>376</v>
      </c>
      <c r="AR16614" s="4" t="s">
        <v>377</v>
      </c>
    </row>
    <row r="16615" spans="1:44">
      <c r="A16615" s="4" t="s">
        <v>10753</v>
      </c>
      <c r="B16615" s="4">
        <v>297625</v>
      </c>
      <c r="D16615" s="5">
        <v>297625</v>
      </c>
      <c r="E16615" s="6" t="str">
        <f>HYPERLINK("https://inpn.mnhn.fr/espece/cd_nom/297625","Hydroptila ivisa Malicky, 1972")</f>
        <v>Hydroptila ivisa Malicky, 1972</v>
      </c>
      <c r="AH16615" s="4" t="str">
        <f>HYPERLINK("#Statut_biogéographique!A"&amp;_xlfn.XMATCH("P",Statut_biogéographique!A:A,2,1),"P")</f>
        <v>P</v>
      </c>
      <c r="AP16615" s="4" t="s">
        <v>376</v>
      </c>
      <c r="AR16615" s="4" t="s">
        <v>377</v>
      </c>
    </row>
    <row r="16616" spans="1:44" ht="30">
      <c r="A16616" s="4" t="s">
        <v>10753</v>
      </c>
      <c r="B16616" s="4">
        <v>297792</v>
      </c>
      <c r="D16616" s="5">
        <v>297792</v>
      </c>
      <c r="E16616" s="6" t="str">
        <f>HYPERLINK("https://inpn.mnhn.fr/espece/cd_nom/297792","Hydropsyche botosaneanui Marinković-Gospodnetić, 1966")</f>
        <v>Hydropsyche botosaneanui Marinković-Gospodnetić, 1966</v>
      </c>
      <c r="AH16616" s="4" t="str">
        <f>HYPERLINK("#Statut_biogéographique!A"&amp;_xlfn.XMATCH("P",Statut_biogéographique!A:A,2,1),"P")</f>
        <v>P</v>
      </c>
      <c r="AP16616" s="4" t="s">
        <v>376</v>
      </c>
      <c r="AR16616" s="4" t="s">
        <v>377</v>
      </c>
    </row>
    <row r="16617" spans="1:44">
      <c r="A16617" s="4" t="s">
        <v>10753</v>
      </c>
      <c r="B16617" s="4">
        <v>297999</v>
      </c>
      <c r="D16617" s="5">
        <v>297999</v>
      </c>
      <c r="E16617" s="6" t="str">
        <f>HYPERLINK("https://inpn.mnhn.fr/espece/cd_nom/297999","Ecclisopteryx dalecarlica Kolenati, 1848")</f>
        <v>Ecclisopteryx dalecarlica Kolenati, 1848</v>
      </c>
      <c r="AH16617" s="4" t="str">
        <f>HYPERLINK("#Statut_biogéographique!A"&amp;_xlfn.XMATCH("P",Statut_biogéographique!A:A,2,1),"P")</f>
        <v>P</v>
      </c>
      <c r="AP16617" s="4" t="s">
        <v>376</v>
      </c>
      <c r="AR16617" s="4" t="s">
        <v>377</v>
      </c>
    </row>
    <row r="16618" spans="1:44">
      <c r="A16618" s="4" t="s">
        <v>10753</v>
      </c>
      <c r="B16618" s="4">
        <v>298588</v>
      </c>
      <c r="D16618" s="5" t="s">
        <v>20152</v>
      </c>
      <c r="E16618" s="6" t="str">
        <f>HYPERLINK("https://inpn.mnhn.fr/espece/cd_nom/298588","Hydrodroma despiciens (O.F. Müller, 1776)")</f>
        <v>Hydrodroma despiciens (O.F. Müller, 1776)</v>
      </c>
      <c r="AH16618" s="4" t="str">
        <f>HYPERLINK("#Statut_biogéographique!A"&amp;_xlfn.XMATCH("P",Statut_biogéographique!A:A,2,1),"P")</f>
        <v>P</v>
      </c>
      <c r="AP16618" s="4" t="s">
        <v>376</v>
      </c>
      <c r="AR16618" s="4" t="s">
        <v>377</v>
      </c>
    </row>
    <row r="16619" spans="1:44">
      <c r="A16619" s="4" t="s">
        <v>10753</v>
      </c>
      <c r="B16619" s="4">
        <v>298787</v>
      </c>
      <c r="D16619" s="5" t="s">
        <v>20153</v>
      </c>
      <c r="E16619" s="6" t="str">
        <f>HYPERLINK("https://inpn.mnhn.fr/espece/cd_nom/298787","Oxus longisetus (Berlese, 1885)")</f>
        <v>Oxus longisetus (Berlese, 1885)</v>
      </c>
      <c r="AH16619" s="4" t="str">
        <f>HYPERLINK("#Statut_biogéographique!A"&amp;_xlfn.XMATCH("P",Statut_biogéographique!A:A,2,1),"P")</f>
        <v>P</v>
      </c>
      <c r="AP16619" s="4" t="s">
        <v>376</v>
      </c>
      <c r="AR16619" s="4" t="s">
        <v>377</v>
      </c>
    </row>
    <row r="16620" spans="1:44">
      <c r="A16620" s="4" t="s">
        <v>10753</v>
      </c>
      <c r="B16620" s="4">
        <v>298876</v>
      </c>
      <c r="D16620" s="5">
        <v>298876</v>
      </c>
      <c r="E16620" s="6" t="str">
        <f>HYPERLINK("https://inpn.mnhn.fr/espece/cd_nom/298876","Limnesia fulgida Koch, 1836")</f>
        <v>Limnesia fulgida Koch, 1836</v>
      </c>
      <c r="AH16620" s="4" t="str">
        <f>HYPERLINK("#Statut_biogéographique!A"&amp;_xlfn.XMATCH("P",Statut_biogéographique!A:A,2,1),"P")</f>
        <v>P</v>
      </c>
      <c r="AP16620" s="4" t="s">
        <v>376</v>
      </c>
      <c r="AR16620" s="4" t="s">
        <v>377</v>
      </c>
    </row>
    <row r="16621" spans="1:44">
      <c r="A16621" s="4" t="s">
        <v>10753</v>
      </c>
      <c r="B16621" s="4">
        <v>298880</v>
      </c>
      <c r="D16621" s="5">
        <v>298880</v>
      </c>
      <c r="E16621" s="6" t="str">
        <f>HYPERLINK("https://inpn.mnhn.fr/espece/cd_nom/298880","Limnesia koenikei Piersig, 1894")</f>
        <v>Limnesia koenikei Piersig, 1894</v>
      </c>
      <c r="AH16621" s="4" t="str">
        <f>HYPERLINK("#Statut_biogéographique!A"&amp;_xlfn.XMATCH("P",Statut_biogéographique!A:A,2,1),"P")</f>
        <v>P</v>
      </c>
      <c r="AP16621" s="4" t="s">
        <v>376</v>
      </c>
      <c r="AR16621" s="4" t="s">
        <v>377</v>
      </c>
    </row>
    <row r="16622" spans="1:44">
      <c r="A16622" s="4" t="s">
        <v>10753</v>
      </c>
      <c r="B16622" s="4">
        <v>298881</v>
      </c>
      <c r="D16622" s="5" t="s">
        <v>20154</v>
      </c>
      <c r="E16622" s="6" t="str">
        <f>HYPERLINK("https://inpn.mnhn.fr/espece/cd_nom/298881","Limnesia maculata (O.F. Müller, 1776)")</f>
        <v>Limnesia maculata (O.F. Müller, 1776)</v>
      </c>
      <c r="AH16622" s="4" t="str">
        <f>HYPERLINK("#Statut_biogéographique!A"&amp;_xlfn.XMATCH("P",Statut_biogéographique!A:A,2,1),"P")</f>
        <v>P</v>
      </c>
      <c r="AP16622" s="4" t="s">
        <v>376</v>
      </c>
      <c r="AR16622" s="4" t="s">
        <v>377</v>
      </c>
    </row>
    <row r="16623" spans="1:44">
      <c r="A16623" s="4" t="s">
        <v>10753</v>
      </c>
      <c r="B16623" s="4">
        <v>298984</v>
      </c>
      <c r="D16623" s="5" t="s">
        <v>20155</v>
      </c>
      <c r="E16623" s="6" t="str">
        <f>HYPERLINK("https://inpn.mnhn.fr/espece/cd_nom/298984","Hygrobates foreli (Lebert, 1874)")</f>
        <v>Hygrobates foreli (Lebert, 1874)</v>
      </c>
      <c r="AH16623" s="4" t="str">
        <f>HYPERLINK("#Statut_biogéographique!A"&amp;_xlfn.XMATCH("P",Statut_biogéographique!A:A,2,1),"P")</f>
        <v>P</v>
      </c>
      <c r="AP16623" s="4" t="s">
        <v>376</v>
      </c>
      <c r="AR16623" s="4" t="s">
        <v>377</v>
      </c>
    </row>
    <row r="16624" spans="1:44">
      <c r="A16624" s="4" t="s">
        <v>10753</v>
      </c>
      <c r="B16624" s="4">
        <v>298985</v>
      </c>
      <c r="D16624" s="5" t="s">
        <v>20156</v>
      </c>
      <c r="E16624" s="6" t="str">
        <f>HYPERLINK("https://inpn.mnhn.fr/espece/cd_nom/298985","Hygrobates longipalpis (Hermann, 1804)")</f>
        <v>Hygrobates longipalpis (Hermann, 1804)</v>
      </c>
      <c r="AH16624" s="4" t="str">
        <f>HYPERLINK("#Statut_biogéographique!A"&amp;_xlfn.XMATCH("P",Statut_biogéographique!A:A,2,1),"P")</f>
        <v>P</v>
      </c>
      <c r="AP16624" s="4" t="s">
        <v>376</v>
      </c>
      <c r="AR16624" s="4" t="s">
        <v>377</v>
      </c>
    </row>
    <row r="16625" spans="1:44">
      <c r="A16625" s="4" t="s">
        <v>10753</v>
      </c>
      <c r="B16625" s="4">
        <v>298998</v>
      </c>
      <c r="D16625" s="5" t="s">
        <v>20157</v>
      </c>
      <c r="E16625" s="6" t="str">
        <f>HYPERLINK("https://inpn.mnhn.fr/espece/cd_nom/298998","Neumania deltoides (Piersig, 1894)")</f>
        <v>Neumania deltoides (Piersig, 1894)</v>
      </c>
      <c r="AH16625" s="4" t="str">
        <f>HYPERLINK("#Statut_biogéographique!A"&amp;_xlfn.XMATCH("P",Statut_biogéographique!A:A,2,1),"P")</f>
        <v>P</v>
      </c>
      <c r="AP16625" s="4" t="s">
        <v>376</v>
      </c>
      <c r="AR16625" s="4" t="s">
        <v>377</v>
      </c>
    </row>
    <row r="16626" spans="1:44">
      <c r="A16626" s="4" t="s">
        <v>10753</v>
      </c>
      <c r="B16626" s="4">
        <v>299001</v>
      </c>
      <c r="D16626" s="5" t="s">
        <v>20158</v>
      </c>
      <c r="E16626" s="6" t="str">
        <f>HYPERLINK("https://inpn.mnhn.fr/espece/cd_nom/299001","Neumania limosa (Koch, 1836)")</f>
        <v>Neumania limosa (Koch, 1836)</v>
      </c>
      <c r="AH16626" s="4" t="str">
        <f>HYPERLINK("#Statut_biogéographique!A"&amp;_xlfn.XMATCH("P",Statut_biogéographique!A:A,2,1),"P")</f>
        <v>P</v>
      </c>
      <c r="AP16626" s="4" t="s">
        <v>376</v>
      </c>
      <c r="AR16626" s="4" t="s">
        <v>377</v>
      </c>
    </row>
    <row r="16627" spans="1:44">
      <c r="A16627" s="4" t="s">
        <v>10753</v>
      </c>
      <c r="B16627" s="4">
        <v>299004</v>
      </c>
      <c r="D16627" s="5" t="s">
        <v>20159</v>
      </c>
      <c r="E16627" s="6" t="str">
        <f>HYPERLINK("https://inpn.mnhn.fr/espece/cd_nom/299004","Neumania spinipes (O.F. Müller, 1776)")</f>
        <v>Neumania spinipes (O.F. Müller, 1776)</v>
      </c>
      <c r="AH16627" s="4" t="str">
        <f>HYPERLINK("#Statut_biogéographique!A"&amp;_xlfn.XMATCH("P",Statut_biogéographique!A:A,2,1),"P")</f>
        <v>P</v>
      </c>
      <c r="AP16627" s="4" t="s">
        <v>376</v>
      </c>
      <c r="AR16627" s="4" t="s">
        <v>377</v>
      </c>
    </row>
    <row r="16628" spans="1:44">
      <c r="A16628" s="4" t="s">
        <v>10753</v>
      </c>
      <c r="B16628" s="4">
        <v>299006</v>
      </c>
      <c r="D16628" s="5" t="s">
        <v>20160</v>
      </c>
      <c r="E16628" s="6" t="str">
        <f>HYPERLINK("https://inpn.mnhn.fr/espece/cd_nom/299006","Neumania vernalis (O.F. Müller, 1776)")</f>
        <v>Neumania vernalis (O.F. Müller, 1776)</v>
      </c>
      <c r="AH16628" s="4" t="str">
        <f>HYPERLINK("#Statut_biogéographique!A"&amp;_xlfn.XMATCH("P",Statut_biogéographique!A:A,2,1),"P")</f>
        <v>P</v>
      </c>
      <c r="AP16628" s="4" t="s">
        <v>376</v>
      </c>
      <c r="AR16628" s="4" t="s">
        <v>377</v>
      </c>
    </row>
    <row r="16629" spans="1:44">
      <c r="A16629" s="4" t="s">
        <v>10753</v>
      </c>
      <c r="B16629" s="4">
        <v>299011</v>
      </c>
      <c r="D16629" s="5" t="s">
        <v>20161</v>
      </c>
      <c r="E16629" s="6" t="str">
        <f>HYPERLINK("https://inpn.mnhn.fr/espece/cd_nom/299011","Unionicola crassipes (O.F. Müller, 1776)")</f>
        <v>Unionicola crassipes (O.F. Müller, 1776)</v>
      </c>
      <c r="AH16629" s="4" t="str">
        <f>HYPERLINK("#Statut_biogéographique!A"&amp;_xlfn.XMATCH("P",Statut_biogéographique!A:A,2,1),"P")</f>
        <v>P</v>
      </c>
      <c r="AP16629" s="4" t="s">
        <v>376</v>
      </c>
      <c r="AR16629" s="4" t="s">
        <v>377</v>
      </c>
    </row>
    <row r="16630" spans="1:44">
      <c r="A16630" s="4" t="s">
        <v>10753</v>
      </c>
      <c r="B16630" s="4">
        <v>299015</v>
      </c>
      <c r="D16630" s="5" t="s">
        <v>20162</v>
      </c>
      <c r="E16630" s="6" t="str">
        <f>HYPERLINK("https://inpn.mnhn.fr/espece/cd_nom/299015","Unionicola ypsilophora (Bonz, 1783)")</f>
        <v>Unionicola ypsilophora (Bonz, 1783)</v>
      </c>
      <c r="AH16630" s="4" t="str">
        <f>HYPERLINK("#Statut_biogéographique!A"&amp;_xlfn.XMATCH("P",Statut_biogéographique!A:A,2,1),"P")</f>
        <v>P</v>
      </c>
      <c r="AP16630" s="4" t="s">
        <v>376</v>
      </c>
      <c r="AR16630" s="4" t="s">
        <v>377</v>
      </c>
    </row>
    <row r="16631" spans="1:44">
      <c r="A16631" s="4" t="s">
        <v>10753</v>
      </c>
      <c r="B16631" s="4">
        <v>299069</v>
      </c>
      <c r="D16631" s="5" t="s">
        <v>20163</v>
      </c>
      <c r="E16631" s="6" t="str">
        <f>HYPERLINK("https://inpn.mnhn.fr/espece/cd_nom/299069","Forelia liliacea (O.F. Müller, 1776)")</f>
        <v>Forelia liliacea (O.F. Müller, 1776)</v>
      </c>
      <c r="AH16631" s="4" t="str">
        <f>HYPERLINK("#Statut_biogéographique!A"&amp;_xlfn.XMATCH("P",Statut_biogéographique!A:A,2,1),"P")</f>
        <v>P</v>
      </c>
      <c r="AP16631" s="4" t="s">
        <v>376</v>
      </c>
      <c r="AR16631" s="4" t="s">
        <v>377</v>
      </c>
    </row>
    <row r="16632" spans="1:44">
      <c r="A16632" s="4" t="s">
        <v>10753</v>
      </c>
      <c r="B16632" s="4">
        <v>299078</v>
      </c>
      <c r="D16632" s="5" t="s">
        <v>20164</v>
      </c>
      <c r="E16632" s="6" t="str">
        <f>HYPERLINK("https://inpn.mnhn.fr/espece/cd_nom/299078","Pionopsis lutescens (Herrmann, 1804)")</f>
        <v>Pionopsis lutescens (Herrmann, 1804)</v>
      </c>
      <c r="AH16632" s="4" t="str">
        <f>HYPERLINK("#Statut_biogéographique!A"&amp;_xlfn.XMATCH("P",Statut_biogéographique!A:A,2,1),"P")</f>
        <v>P</v>
      </c>
      <c r="AP16632" s="4" t="s">
        <v>376</v>
      </c>
      <c r="AR16632" s="4" t="s">
        <v>377</v>
      </c>
    </row>
    <row r="16633" spans="1:44">
      <c r="A16633" s="4" t="s">
        <v>10753</v>
      </c>
      <c r="B16633" s="4">
        <v>299081</v>
      </c>
      <c r="D16633" s="5" t="s">
        <v>20165</v>
      </c>
      <c r="E16633" s="6" t="str">
        <f>HYPERLINK("https://inpn.mnhn.fr/espece/cd_nom/299081","Tiphys ensifer (Koenike, 1895)")</f>
        <v>Tiphys ensifer (Koenike, 1895)</v>
      </c>
      <c r="AH16633" s="4" t="str">
        <f>HYPERLINK("#Statut_biogéographique!A"&amp;_xlfn.XMATCH("P",Statut_biogéographique!A:A,2,1),"P")</f>
        <v>P</v>
      </c>
      <c r="AP16633" s="4" t="s">
        <v>376</v>
      </c>
      <c r="AR16633" s="4" t="s">
        <v>377</v>
      </c>
    </row>
    <row r="16634" spans="1:44">
      <c r="A16634" s="4" t="s">
        <v>10753</v>
      </c>
      <c r="B16634" s="4">
        <v>299088</v>
      </c>
      <c r="D16634" s="5">
        <v>299088</v>
      </c>
      <c r="E16634" s="6" t="str">
        <f>HYPERLINK("https://inpn.mnhn.fr/espece/cd_nom/299088","Hydrochoreutes krameri Piersig, 1896")</f>
        <v>Hydrochoreutes krameri Piersig, 1896</v>
      </c>
      <c r="AH16634" s="4" t="str">
        <f>HYPERLINK("#Statut_biogéographique!A"&amp;_xlfn.XMATCH("P",Statut_biogéographique!A:A,2,1),"P")</f>
        <v>P</v>
      </c>
      <c r="AP16634" s="4" t="s">
        <v>376</v>
      </c>
      <c r="AR16634" s="4" t="s">
        <v>377</v>
      </c>
    </row>
    <row r="16635" spans="1:44">
      <c r="A16635" s="4" t="s">
        <v>10753</v>
      </c>
      <c r="B16635" s="4">
        <v>299095</v>
      </c>
      <c r="D16635" s="5" t="s">
        <v>20166</v>
      </c>
      <c r="E16635" s="6" t="str">
        <f>HYPERLINK("https://inpn.mnhn.fr/espece/cd_nom/299095","Piona alpicola (Neuman, 1880)")</f>
        <v>Piona alpicola (Neuman, 1880)</v>
      </c>
      <c r="AH16635" s="4" t="str">
        <f>HYPERLINK("#Statut_biogéographique!A"&amp;_xlfn.XMATCH("P",Statut_biogéographique!A:A,2,1),"P")</f>
        <v>P</v>
      </c>
      <c r="AP16635" s="4" t="s">
        <v>376</v>
      </c>
      <c r="AR16635" s="4" t="s">
        <v>377</v>
      </c>
    </row>
    <row r="16636" spans="1:44">
      <c r="A16636" s="4" t="s">
        <v>10753</v>
      </c>
      <c r="B16636" s="4">
        <v>299103</v>
      </c>
      <c r="D16636" s="5" t="s">
        <v>20167</v>
      </c>
      <c r="E16636" s="6" t="str">
        <f>HYPERLINK("https://inpn.mnhn.fr/espece/cd_nom/299103","Piona disparilis (Koenike, 1895)")</f>
        <v>Piona disparilis (Koenike, 1895)</v>
      </c>
      <c r="AH16636" s="4" t="str">
        <f>HYPERLINK("#Statut_biogéographique!A"&amp;_xlfn.XMATCH("P",Statut_biogéographique!A:A,2,1),"P")</f>
        <v>P</v>
      </c>
      <c r="AP16636" s="4" t="s">
        <v>376</v>
      </c>
      <c r="AR16636" s="4" t="s">
        <v>377</v>
      </c>
    </row>
    <row r="16637" spans="1:44">
      <c r="A16637" s="4" t="s">
        <v>10753</v>
      </c>
      <c r="B16637" s="4">
        <v>299113</v>
      </c>
      <c r="D16637" s="5" t="s">
        <v>20168</v>
      </c>
      <c r="E16637" s="6" t="str">
        <f>HYPERLINK("https://inpn.mnhn.fr/espece/cd_nom/299113","Piona nodata (O.F. Müller, 1776)")</f>
        <v>Piona nodata (O.F. Müller, 1776)</v>
      </c>
      <c r="AH16637" s="4" t="str">
        <f>HYPERLINK("#Statut_biogéographique!A"&amp;_xlfn.XMATCH("P",Statut_biogéographique!A:A,2,1),"P")</f>
        <v>P</v>
      </c>
      <c r="AP16637" s="4" t="s">
        <v>376</v>
      </c>
      <c r="AR16637" s="4" t="s">
        <v>377</v>
      </c>
    </row>
    <row r="16638" spans="1:44">
      <c r="A16638" s="4" t="s">
        <v>10753</v>
      </c>
      <c r="B16638" s="4">
        <v>299117</v>
      </c>
      <c r="D16638" s="5" t="s">
        <v>20169</v>
      </c>
      <c r="E16638" s="6" t="str">
        <f>HYPERLINK("https://inpn.mnhn.fr/espece/cd_nom/299117","Piona obturbans (Piersig, 1896)")</f>
        <v>Piona obturbans (Piersig, 1896)</v>
      </c>
      <c r="AH16638" s="4" t="str">
        <f>HYPERLINK("#Statut_biogéographique!A"&amp;_xlfn.XMATCH("P",Statut_biogéographique!A:A,2,1),"P")</f>
        <v>P</v>
      </c>
      <c r="AP16638" s="4" t="s">
        <v>376</v>
      </c>
      <c r="AR16638" s="4" t="s">
        <v>377</v>
      </c>
    </row>
    <row r="16639" spans="1:44">
      <c r="A16639" s="4" t="s">
        <v>10753</v>
      </c>
      <c r="B16639" s="4">
        <v>299121</v>
      </c>
      <c r="D16639" s="5" t="s">
        <v>20170</v>
      </c>
      <c r="E16639" s="6" t="str">
        <f>HYPERLINK("https://inpn.mnhn.fr/espece/cd_nom/299121","Piona rotundoides (Thor, 1897)")</f>
        <v>Piona rotundoides (Thor, 1897)</v>
      </c>
      <c r="AH16639" s="4" t="str">
        <f>HYPERLINK("#Statut_biogéographique!A"&amp;_xlfn.XMATCH("P",Statut_biogéographique!A:A,2,1),"P")</f>
        <v>P</v>
      </c>
      <c r="AP16639" s="4" t="s">
        <v>376</v>
      </c>
      <c r="AR16639" s="4" t="s">
        <v>377</v>
      </c>
    </row>
    <row r="16640" spans="1:44">
      <c r="A16640" s="4" t="s">
        <v>10753</v>
      </c>
      <c r="B16640" s="4">
        <v>299125</v>
      </c>
      <c r="D16640" s="5">
        <v>299125</v>
      </c>
      <c r="E16640" s="6" t="str">
        <f>HYPERLINK("https://inpn.mnhn.fr/espece/cd_nom/299125","Piona tuberifera K. H. Viets, 1910")</f>
        <v>Piona tuberifera K. H. Viets, 1910</v>
      </c>
      <c r="AH16640" s="4" t="str">
        <f>HYPERLINK("#Statut_biogéographique!A"&amp;_xlfn.XMATCH("P",Statut_biogéographique!A:A,2,1),"P")</f>
        <v>P</v>
      </c>
      <c r="AP16640" s="4" t="s">
        <v>376</v>
      </c>
      <c r="AR16640" s="4" t="s">
        <v>377</v>
      </c>
    </row>
    <row r="16641" spans="1:44">
      <c r="A16641" s="4" t="s">
        <v>10753</v>
      </c>
      <c r="B16641" s="4">
        <v>299129</v>
      </c>
      <c r="D16641" s="5" t="s">
        <v>20171</v>
      </c>
      <c r="E16641" s="6" t="str">
        <f>HYPERLINK("https://inpn.mnhn.fr/espece/cd_nom/299129","Piona conglobata (Koch, 1836)")</f>
        <v>Piona conglobata (Koch, 1836)</v>
      </c>
      <c r="AH16641" s="4" t="str">
        <f>HYPERLINK("#Statut_biogéographique!A"&amp;_xlfn.XMATCH("P",Statut_biogéographique!A:A,2,1),"P")</f>
        <v>P</v>
      </c>
      <c r="AP16641" s="4" t="s">
        <v>376</v>
      </c>
      <c r="AR16641" s="4" t="s">
        <v>377</v>
      </c>
    </row>
    <row r="16642" spans="1:44">
      <c r="A16642" s="4" t="s">
        <v>10753</v>
      </c>
      <c r="B16642" s="4">
        <v>299132</v>
      </c>
      <c r="D16642" s="5" t="s">
        <v>20172</v>
      </c>
      <c r="E16642" s="6" t="str">
        <f>HYPERLINK("https://inpn.mnhn.fr/espece/cd_nom/299132","Piona neumani (Koenike, 1883)")</f>
        <v>Piona neumani (Koenike, 1883)</v>
      </c>
      <c r="AH16642" s="4" t="str">
        <f>HYPERLINK("#Statut_biogéographique!A"&amp;_xlfn.XMATCH("P",Statut_biogéographique!A:A,2,1),"P")</f>
        <v>P</v>
      </c>
      <c r="AP16642" s="4" t="s">
        <v>376</v>
      </c>
      <c r="AR16642" s="4" t="s">
        <v>377</v>
      </c>
    </row>
    <row r="16643" spans="1:44">
      <c r="A16643" s="4" t="s">
        <v>10753</v>
      </c>
      <c r="B16643" s="4">
        <v>299209</v>
      </c>
      <c r="D16643" s="5" t="s">
        <v>20173</v>
      </c>
      <c r="E16643" s="6" t="str">
        <f>HYPERLINK("https://inpn.mnhn.fr/espece/cd_nom/299209","Brachypoda versicolor (O.F. Müller, 1776)")</f>
        <v>Brachypoda versicolor (O.F. Müller, 1776)</v>
      </c>
      <c r="AH16643" s="4" t="str">
        <f>HYPERLINK("#Statut_biogéographique!A"&amp;_xlfn.XMATCH("P",Statut_biogéographique!A:A,2,1),"P")</f>
        <v>P</v>
      </c>
      <c r="AP16643" s="4" t="s">
        <v>376</v>
      </c>
      <c r="AR16643" s="4" t="s">
        <v>377</v>
      </c>
    </row>
    <row r="16644" spans="1:44">
      <c r="A16644" s="4" t="s">
        <v>10753</v>
      </c>
      <c r="B16644" s="4">
        <v>299264</v>
      </c>
      <c r="D16644" s="5" t="s">
        <v>20174</v>
      </c>
      <c r="E16644" s="6" t="str">
        <f>HYPERLINK("https://inpn.mnhn.fr/espece/cd_nom/299264","Arrenurus abbreviator Berlese, 1888")</f>
        <v>Arrenurus abbreviator Berlese, 1888</v>
      </c>
      <c r="AH16644" s="4" t="str">
        <f>HYPERLINK("#Statut_biogéographique!A"&amp;_xlfn.XMATCH("P",Statut_biogéographique!A:A,2,1),"P")</f>
        <v>P</v>
      </c>
      <c r="AP16644" s="4" t="s">
        <v>376</v>
      </c>
      <c r="AR16644" s="4" t="s">
        <v>377</v>
      </c>
    </row>
    <row r="16645" spans="1:44">
      <c r="A16645" s="4" t="s">
        <v>10753</v>
      </c>
      <c r="B16645" s="4">
        <v>299268</v>
      </c>
      <c r="D16645" s="5" t="s">
        <v>20175</v>
      </c>
      <c r="E16645" s="6" t="str">
        <f>HYPERLINK("https://inpn.mnhn.fr/espece/cd_nom/299268","Arrenurus albator (O.F. Müller, 1776)")</f>
        <v>Arrenurus albator (O.F. Müller, 1776)</v>
      </c>
      <c r="AH16645" s="4" t="str">
        <f>HYPERLINK("#Statut_biogéographique!A"&amp;_xlfn.XMATCH("P",Statut_biogéographique!A:A,2,1),"P")</f>
        <v>P</v>
      </c>
      <c r="AP16645" s="4" t="s">
        <v>376</v>
      </c>
      <c r="AR16645" s="4" t="s">
        <v>377</v>
      </c>
    </row>
    <row r="16646" spans="1:44">
      <c r="A16646" s="4" t="s">
        <v>10753</v>
      </c>
      <c r="B16646" s="4">
        <v>299272</v>
      </c>
      <c r="D16646" s="5" t="s">
        <v>20176</v>
      </c>
      <c r="E16646" s="6" t="str">
        <f>HYPERLINK("https://inpn.mnhn.fr/espece/cd_nom/299272","Arrenurus batillifer Koenike, 1896")</f>
        <v>Arrenurus batillifer Koenike, 1896</v>
      </c>
      <c r="AH16646" s="4" t="str">
        <f>HYPERLINK("#Statut_biogéographique!A"&amp;_xlfn.XMATCH("P",Statut_biogéographique!A:A,2,1),"P")</f>
        <v>P</v>
      </c>
      <c r="AP16646" s="4" t="s">
        <v>376</v>
      </c>
      <c r="AR16646" s="4" t="s">
        <v>377</v>
      </c>
    </row>
    <row r="16647" spans="1:44">
      <c r="A16647" s="4" t="s">
        <v>10753</v>
      </c>
      <c r="B16647" s="4">
        <v>299275</v>
      </c>
      <c r="D16647" s="5" t="s">
        <v>20177</v>
      </c>
      <c r="E16647" s="6" t="str">
        <f>HYPERLINK("https://inpn.mnhn.fr/espece/cd_nom/299275","Arrenurus bicuspidator Berlese, 1885")</f>
        <v>Arrenurus bicuspidator Berlese, 1885</v>
      </c>
      <c r="AH16647" s="4" t="str">
        <f>HYPERLINK("#Statut_biogéographique!A"&amp;_xlfn.XMATCH("P",Statut_biogéographique!A:A,2,1),"P")</f>
        <v>P</v>
      </c>
      <c r="AP16647" s="4" t="s">
        <v>376</v>
      </c>
      <c r="AR16647" s="4" t="s">
        <v>377</v>
      </c>
    </row>
    <row r="16648" spans="1:44">
      <c r="A16648" s="4" t="s">
        <v>10753</v>
      </c>
      <c r="B16648" s="4">
        <v>299278</v>
      </c>
      <c r="D16648" s="5" t="s">
        <v>20178</v>
      </c>
      <c r="E16648" s="6" t="str">
        <f>HYPERLINK("https://inpn.mnhn.fr/espece/cd_nom/299278","Arrenurus bruzelii Koenike, 1885")</f>
        <v>Arrenurus bruzelii Koenike, 1885</v>
      </c>
      <c r="AH16648" s="4" t="str">
        <f>HYPERLINK("#Statut_biogéographique!A"&amp;_xlfn.XMATCH("P",Statut_biogéographique!A:A,2,1),"P")</f>
        <v>P</v>
      </c>
      <c r="AP16648" s="4" t="s">
        <v>376</v>
      </c>
      <c r="AR16648" s="4" t="s">
        <v>377</v>
      </c>
    </row>
    <row r="16649" spans="1:44">
      <c r="A16649" s="4" t="s">
        <v>10753</v>
      </c>
      <c r="B16649" s="4">
        <v>299279</v>
      </c>
      <c r="D16649" s="5">
        <v>299279</v>
      </c>
      <c r="E16649" s="6" t="str">
        <f>HYPERLINK("https://inpn.mnhn.fr/espece/cd_nom/299279","Arrenurus claviger Koenike, 1885")</f>
        <v>Arrenurus claviger Koenike, 1885</v>
      </c>
      <c r="AH16649" s="4" t="str">
        <f>HYPERLINK("#Statut_biogéographique!A"&amp;_xlfn.XMATCH("P",Statut_biogéographique!A:A,2,1),"P")</f>
        <v>P</v>
      </c>
      <c r="AP16649" s="4" t="s">
        <v>376</v>
      </c>
      <c r="AR16649" s="4" t="s">
        <v>377</v>
      </c>
    </row>
    <row r="16650" spans="1:44">
      <c r="A16650" s="4" t="s">
        <v>10753</v>
      </c>
      <c r="B16650" s="4">
        <v>299285</v>
      </c>
      <c r="D16650" s="5" t="s">
        <v>20179</v>
      </c>
      <c r="E16650" s="6" t="str">
        <f>HYPERLINK("https://inpn.mnhn.fr/espece/cd_nom/299285","Arrenurus cuspidator (O.F. Müller, 1776)")</f>
        <v>Arrenurus cuspidator (O.F. Müller, 1776)</v>
      </c>
      <c r="AH16650" s="4" t="str">
        <f>HYPERLINK("#Statut_biogéographique!A"&amp;_xlfn.XMATCH("P",Statut_biogéographique!A:A,2,1),"P")</f>
        <v>P</v>
      </c>
      <c r="AP16650" s="4" t="s">
        <v>376</v>
      </c>
      <c r="AR16650" s="4" t="s">
        <v>377</v>
      </c>
    </row>
    <row r="16651" spans="1:44">
      <c r="A16651" s="4" t="s">
        <v>10753</v>
      </c>
      <c r="B16651" s="4">
        <v>299311</v>
      </c>
      <c r="D16651" s="5" t="s">
        <v>20180</v>
      </c>
      <c r="E16651" s="6" t="str">
        <f>HYPERLINK("https://inpn.mnhn.fr/espece/cd_nom/299311","Arrenurus maculator (O.F. Müller, 1776)")</f>
        <v>Arrenurus maculator (O.F. Müller, 1776)</v>
      </c>
      <c r="AH16651" s="4" t="str">
        <f>HYPERLINK("#Statut_biogéographique!A"&amp;_xlfn.XMATCH("P",Statut_biogéographique!A:A,2,1),"P")</f>
        <v>P</v>
      </c>
      <c r="AP16651" s="4" t="s">
        <v>376</v>
      </c>
      <c r="AR16651" s="4" t="s">
        <v>377</v>
      </c>
    </row>
    <row r="16652" spans="1:44">
      <c r="A16652" s="4" t="s">
        <v>10753</v>
      </c>
      <c r="B16652" s="4">
        <v>299334</v>
      </c>
      <c r="D16652" s="5">
        <v>299334</v>
      </c>
      <c r="E16652" s="6" t="str">
        <f>HYPERLINK("https://inpn.mnhn.fr/espece/cd_nom/299334","Arrenurus tetracyphus Piersig, 1894")</f>
        <v>Arrenurus tetracyphus Piersig, 1894</v>
      </c>
      <c r="AH16652" s="4" t="str">
        <f>HYPERLINK("#Statut_biogéographique!A"&amp;_xlfn.XMATCH("P",Statut_biogéographique!A:A,2,1),"P")</f>
        <v>P</v>
      </c>
      <c r="AP16652" s="4" t="s">
        <v>376</v>
      </c>
      <c r="AR16652" s="4" t="s">
        <v>377</v>
      </c>
    </row>
    <row r="16653" spans="1:44">
      <c r="A16653" s="4" t="s">
        <v>10753</v>
      </c>
      <c r="B16653" s="4">
        <v>299352</v>
      </c>
      <c r="D16653" s="5" t="s">
        <v>20181</v>
      </c>
      <c r="E16653" s="6" t="str">
        <f>HYPERLINK("https://inpn.mnhn.fr/espece/cd_nom/299352","Arrenurus globator (O.F. Müller, 1776)")</f>
        <v>Arrenurus globator (O.F. Müller, 1776)</v>
      </c>
      <c r="AH16653" s="4" t="str">
        <f>HYPERLINK("#Statut_biogéographique!A"&amp;_xlfn.XMATCH("P",Statut_biogéographique!A:A,2,1),"P")</f>
        <v>P</v>
      </c>
      <c r="AP16653" s="4" t="s">
        <v>376</v>
      </c>
      <c r="AR16653" s="4" t="s">
        <v>377</v>
      </c>
    </row>
    <row r="16654" spans="1:44">
      <c r="A16654" s="4" t="s">
        <v>10753</v>
      </c>
      <c r="B16654" s="4">
        <v>299367</v>
      </c>
      <c r="D16654" s="5" t="s">
        <v>20182</v>
      </c>
      <c r="E16654" s="6" t="str">
        <f>HYPERLINK("https://inpn.mnhn.fr/espece/cd_nom/299367","Arrenurus bifidicodulus Piersig, 1897")</f>
        <v>Arrenurus bifidicodulus Piersig, 1897</v>
      </c>
      <c r="AH16654" s="4" t="str">
        <f>HYPERLINK("#Statut_biogéographique!A"&amp;_xlfn.XMATCH("P",Statut_biogéographique!A:A,2,1),"P")</f>
        <v>P</v>
      </c>
      <c r="AP16654" s="4" t="s">
        <v>376</v>
      </c>
      <c r="AR16654" s="4" t="s">
        <v>377</v>
      </c>
    </row>
    <row r="16655" spans="1:44">
      <c r="A16655" s="4" t="s">
        <v>10753</v>
      </c>
      <c r="B16655" s="4">
        <v>299377</v>
      </c>
      <c r="D16655" s="5" t="s">
        <v>20183</v>
      </c>
      <c r="E16655" s="6" t="str">
        <f>HYPERLINK("https://inpn.mnhn.fr/espece/cd_nom/299377","Arrenurus integrator (O.F. Müller, 1776)")</f>
        <v>Arrenurus integrator (O.F. Müller, 1776)</v>
      </c>
      <c r="AH16655" s="4" t="str">
        <f>HYPERLINK("#Statut_biogéographique!A"&amp;_xlfn.XMATCH("P",Statut_biogéographique!A:A,2,1),"P")</f>
        <v>P</v>
      </c>
      <c r="AP16655" s="4" t="s">
        <v>376</v>
      </c>
      <c r="AR16655" s="4" t="s">
        <v>377</v>
      </c>
    </row>
    <row r="16656" spans="1:44">
      <c r="A16656" s="4" t="s">
        <v>10753</v>
      </c>
      <c r="B16656" s="4">
        <v>299393</v>
      </c>
      <c r="D16656" s="5">
        <v>299393</v>
      </c>
      <c r="E16656" s="6" t="str">
        <f>HYPERLINK("https://inpn.mnhn.fr/espece/cd_nom/299393","Arrenurus fontinalis K. H. Viets, 1920")</f>
        <v>Arrenurus fontinalis K. H. Viets, 1920</v>
      </c>
      <c r="AH16656" s="4" t="str">
        <f>HYPERLINK("#Statut_biogéographique!A"&amp;_xlfn.XMATCH("P",Statut_biogéographique!A:A,2,1),"P")</f>
        <v>P</v>
      </c>
      <c r="AP16656" s="4" t="s">
        <v>376</v>
      </c>
      <c r="AR16656" s="4" t="s">
        <v>377</v>
      </c>
    </row>
    <row r="16657" spans="1:44">
      <c r="A16657" s="4" t="s">
        <v>10753</v>
      </c>
      <c r="B16657" s="4">
        <v>299397</v>
      </c>
      <c r="D16657" s="5">
        <v>299397</v>
      </c>
      <c r="E16657" s="6" t="str">
        <f>HYPERLINK("https://inpn.mnhn.fr/espece/cd_nom/299397","Arrenurus nodosus Koenike, 1896")</f>
        <v>Arrenurus nodosus Koenike, 1896</v>
      </c>
      <c r="AH16657" s="4" t="str">
        <f>HYPERLINK("#Statut_biogéographique!A"&amp;_xlfn.XMATCH("P",Statut_biogéographique!A:A,2,1),"P")</f>
        <v>P</v>
      </c>
      <c r="AP16657" s="4" t="s">
        <v>376</v>
      </c>
      <c r="AR16657" s="4" t="s">
        <v>377</v>
      </c>
    </row>
    <row r="16658" spans="1:44">
      <c r="A16658" s="4" t="s">
        <v>10753</v>
      </c>
      <c r="B16658" s="4">
        <v>299404</v>
      </c>
      <c r="D16658" s="5" t="s">
        <v>20184</v>
      </c>
      <c r="E16658" s="6" t="str">
        <f>HYPERLINK("https://inpn.mnhn.fr/espece/cd_nom/299404","Arrenurus truncatellus (O.F. Müller, 1776)")</f>
        <v>Arrenurus truncatellus (O.F. Müller, 1776)</v>
      </c>
      <c r="AH16658" s="4" t="str">
        <f>HYPERLINK("#Statut_biogéographique!A"&amp;_xlfn.XMATCH("P",Statut_biogéographique!A:A,2,1),"P")</f>
        <v>P</v>
      </c>
      <c r="AP16658" s="4" t="s">
        <v>376</v>
      </c>
      <c r="AR16658" s="4" t="s">
        <v>377</v>
      </c>
    </row>
    <row r="16659" spans="1:44">
      <c r="A16659" s="4" t="s">
        <v>10753</v>
      </c>
      <c r="B16659" s="4">
        <v>303091</v>
      </c>
      <c r="D16659" s="5" t="s">
        <v>20185</v>
      </c>
      <c r="E16659" s="6" t="str">
        <f>HYPERLINK("https://inpn.mnhn.fr/espece/cd_nom/303091","Agyneta cauta (O. Pickard-Cambridge, 1903)")</f>
        <v>Agyneta cauta (O. Pickard-Cambridge, 1903)</v>
      </c>
      <c r="Q16659" s="7" t="str">
        <f>HYPERLINK("#Liste_rouge!A"&amp;_xlfn.XMATCH("DD",Liste_rouge!A:A,2,1),"DD")</f>
        <v>DD</v>
      </c>
      <c r="AH16659" s="4" t="str">
        <f>HYPERLINK("#Statut_biogéographique!A"&amp;_xlfn.XMATCH("P",Statut_biogéographique!A:A,2,1),"P")</f>
        <v>P</v>
      </c>
      <c r="AP16659" s="4" t="s">
        <v>376</v>
      </c>
      <c r="AR16659" s="4" t="s">
        <v>377</v>
      </c>
    </row>
    <row r="16660" spans="1:44">
      <c r="A16660" s="4" t="s">
        <v>10753</v>
      </c>
      <c r="B16660" s="4">
        <v>303177</v>
      </c>
      <c r="D16660" s="5" t="s">
        <v>20186</v>
      </c>
      <c r="E16660" s="6" t="str">
        <f>HYPERLINK("https://inpn.mnhn.fr/espece/cd_nom/303177","Centromerus semiater (L. Koch, 1879)")</f>
        <v>Centromerus semiater (L. Koch, 1879)</v>
      </c>
      <c r="Q16660" s="7" t="str">
        <f>HYPERLINK("#Liste_rouge!A"&amp;_xlfn.XMATCH("DD",Liste_rouge!A:A,2,1),"DD")</f>
        <v>DD</v>
      </c>
      <c r="AH16660" s="4" t="str">
        <f>HYPERLINK("#Statut_biogéographique!A"&amp;_xlfn.XMATCH("P",Statut_biogéographique!A:A,2,1),"P")</f>
        <v>P</v>
      </c>
      <c r="AP16660" s="4" t="s">
        <v>376</v>
      </c>
      <c r="AR16660" s="4" t="s">
        <v>377</v>
      </c>
    </row>
    <row r="16661" spans="1:44" ht="30">
      <c r="A16661" s="4" t="s">
        <v>10753</v>
      </c>
      <c r="B16661" s="4">
        <v>303436</v>
      </c>
      <c r="D16661" s="5" t="s">
        <v>20187</v>
      </c>
      <c r="E16661" s="6" t="str">
        <f>HYPERLINK("https://inpn.mnhn.fr/espece/cd_nom/303436","Micrargus apertus (O. Pickard-Cambridge, 1871)")</f>
        <v>Micrargus apertus (O. Pickard-Cambridge, 1871)</v>
      </c>
      <c r="Q16661" s="7" t="str">
        <f>HYPERLINK("#Liste_rouge!A"&amp;_xlfn.XMATCH("LC",Liste_rouge!A:A,2,1),"LC")</f>
        <v>LC</v>
      </c>
      <c r="AH16661" s="4" t="str">
        <f>HYPERLINK("#Statut_biogéographique!A"&amp;_xlfn.XMATCH("P",Statut_biogéographique!A:A,2,1),"P")</f>
        <v>P</v>
      </c>
      <c r="AP16661" s="4" t="s">
        <v>376</v>
      </c>
      <c r="AR16661" s="4" t="s">
        <v>377</v>
      </c>
    </row>
    <row r="16662" spans="1:44" ht="30">
      <c r="A16662" s="4" t="s">
        <v>10753</v>
      </c>
      <c r="B16662" s="4">
        <v>303536</v>
      </c>
      <c r="D16662" s="5">
        <v>303536</v>
      </c>
      <c r="E16662" s="6" t="str">
        <f>HYPERLINK("https://inpn.mnhn.fr/espece/cd_nom/303536","Porrhomma campbelli F.O. Pickard-Cambridge, 1894")</f>
        <v>Porrhomma campbelli F.O. Pickard-Cambridge, 1894</v>
      </c>
      <c r="Q16662" s="7" t="str">
        <f>HYPERLINK("#Liste_rouge!A"&amp;_xlfn.XMATCH("DD",Liste_rouge!A:A,2,1),"DD")</f>
        <v>DD</v>
      </c>
      <c r="AH16662" s="4" t="str">
        <f>HYPERLINK("#Statut_biogéographique!A"&amp;_xlfn.XMATCH("P",Statut_biogéographique!A:A,2,1),"P")</f>
        <v>P</v>
      </c>
      <c r="AP16662" s="4" t="s">
        <v>376</v>
      </c>
      <c r="AR16662" s="4" t="s">
        <v>377</v>
      </c>
    </row>
    <row r="16663" spans="1:44">
      <c r="A16663" s="4" t="s">
        <v>10753</v>
      </c>
      <c r="B16663" s="4">
        <v>303768</v>
      </c>
      <c r="D16663" s="5" t="s">
        <v>20188</v>
      </c>
      <c r="E16663" s="6" t="str">
        <f>HYPERLINK("https://inpn.mnhn.fr/espece/cd_nom/303768","Walckenaeria alticeps (Denis, 1952)")</f>
        <v>Walckenaeria alticeps (Denis, 1952)</v>
      </c>
      <c r="Q16663" s="7" t="str">
        <f>HYPERLINK("#Liste_rouge!A"&amp;_xlfn.XMATCH("LC",Liste_rouge!A:A,2,1),"LC")</f>
        <v>LC</v>
      </c>
      <c r="AH16663" s="4" t="str">
        <f>HYPERLINK("#Statut_biogéographique!A"&amp;_xlfn.XMATCH("P",Statut_biogéographique!A:A,2,1),"P")</f>
        <v>P</v>
      </c>
      <c r="AP16663" s="4" t="s">
        <v>376</v>
      </c>
      <c r="AR16663" s="4" t="s">
        <v>377</v>
      </c>
    </row>
    <row r="16664" spans="1:44">
      <c r="A16664" s="4" t="s">
        <v>10753</v>
      </c>
      <c r="B16664" s="4">
        <v>303894</v>
      </c>
      <c r="D16664" s="5" t="s">
        <v>20189</v>
      </c>
      <c r="E16664" s="6" t="str">
        <f>HYPERLINK("https://inpn.mnhn.fr/espece/cd_nom/303894","Arctosa lutetiana (Simon, 1876)")</f>
        <v>Arctosa lutetiana (Simon, 1876)</v>
      </c>
      <c r="Q16664" s="7" t="str">
        <f>HYPERLINK("#Liste_rouge!A"&amp;_xlfn.XMATCH("LC",Liste_rouge!A:A,2,1),"LC")</f>
        <v>LC</v>
      </c>
      <c r="AH16664" s="4" t="str">
        <f>HYPERLINK("#Statut_biogéographique!A"&amp;_xlfn.XMATCH("P",Statut_biogéographique!A:A,2,1),"P")</f>
        <v>P</v>
      </c>
      <c r="AP16664" s="4" t="s">
        <v>376</v>
      </c>
      <c r="AR16664" s="4" t="s">
        <v>377</v>
      </c>
    </row>
    <row r="16665" spans="1:44" ht="30">
      <c r="A16665" s="4" t="s">
        <v>10753</v>
      </c>
      <c r="B16665" s="4">
        <v>304500</v>
      </c>
      <c r="D16665" s="5">
        <v>304500</v>
      </c>
      <c r="E16665" s="6" t="str">
        <f>HYPERLINK("https://inpn.mnhn.fr/espece/cd_nom/304500","Talavera parvistyla Logunov &amp; Kronestedt, 2003")</f>
        <v>Talavera parvistyla Logunov &amp; Kronestedt, 2003</v>
      </c>
      <c r="Q16665" s="7" t="str">
        <f>HYPERLINK("#Liste_rouge!A"&amp;_xlfn.XMATCH("EN",Liste_rouge!A:A,2,1),"EN")</f>
        <v>EN</v>
      </c>
      <c r="AH16665" s="4" t="str">
        <f>HYPERLINK("#Statut_biogéographique!A"&amp;_xlfn.XMATCH("P",Statut_biogéographique!A:A,2,1),"P")</f>
        <v>P</v>
      </c>
      <c r="AP16665" s="4" t="s">
        <v>376</v>
      </c>
      <c r="AR16665" s="4" t="s">
        <v>377</v>
      </c>
    </row>
    <row r="16666" spans="1:44" ht="30">
      <c r="A16666" s="4" t="s">
        <v>10753</v>
      </c>
      <c r="B16666" s="4">
        <v>306034</v>
      </c>
      <c r="D16666" s="5" t="s">
        <v>20190</v>
      </c>
      <c r="E16666" s="6" t="str">
        <f>HYPERLINK("https://inpn.mnhn.fr/espece/cd_nom/306034","Necrobinus defunctorum (Waltl, 1835)")</f>
        <v>Necrobinus defunctorum (Waltl, 1835)</v>
      </c>
      <c r="AH16666" s="4" t="str">
        <f>HYPERLINK("#Statut_biogéographique!A"&amp;_xlfn.XMATCH("P",Statut_biogéographique!A:A,2,1),"P")</f>
        <v>P</v>
      </c>
      <c r="AP16666" s="4" t="s">
        <v>376</v>
      </c>
      <c r="AR16666" s="4" t="s">
        <v>377</v>
      </c>
    </row>
    <row r="16667" spans="1:44">
      <c r="A16667" s="4" t="s">
        <v>10753</v>
      </c>
      <c r="B16667" s="4">
        <v>306039</v>
      </c>
      <c r="D16667" s="5" t="s">
        <v>20191</v>
      </c>
      <c r="E16667" s="6" t="str">
        <f>HYPERLINK("https://inpn.mnhn.fr/espece/cd_nom/306039","Korynetes ruficornis Sturm, 1837")</f>
        <v>Korynetes ruficornis Sturm, 1837</v>
      </c>
      <c r="F16667" s="5" t="s">
        <v>20192</v>
      </c>
      <c r="AH16667" s="4" t="str">
        <f>HYPERLINK("#Statut_biogéographique!A"&amp;_xlfn.XMATCH("P",Statut_biogéographique!A:A,2,1),"P")</f>
        <v>P</v>
      </c>
      <c r="AP16667" s="4" t="s">
        <v>376</v>
      </c>
      <c r="AR16667" s="4" t="s">
        <v>377</v>
      </c>
    </row>
    <row r="16668" spans="1:44" ht="45">
      <c r="A16668" s="4" t="s">
        <v>10753</v>
      </c>
      <c r="B16668" s="4">
        <v>306040</v>
      </c>
      <c r="D16668" s="5" t="s">
        <v>20193</v>
      </c>
      <c r="E16668" s="6" t="str">
        <f>HYPERLINK("https://inpn.mnhn.fr/espece/cd_nom/306040","Tarsostenus univittatus (Rossi, 1792)")</f>
        <v>Tarsostenus univittatus (Rossi, 1792)</v>
      </c>
      <c r="AH16668" s="4" t="str">
        <f>HYPERLINK("#Statut_biogéographique!A"&amp;_xlfn.XMATCH("P",Statut_biogéographique!A:A,2,1),"P")</f>
        <v>P</v>
      </c>
      <c r="AP16668" s="4" t="s">
        <v>376</v>
      </c>
      <c r="AR16668" s="4" t="s">
        <v>377</v>
      </c>
    </row>
    <row r="16669" spans="1:44" ht="30">
      <c r="A16669" s="4" t="s">
        <v>10753</v>
      </c>
      <c r="B16669" s="4">
        <v>306063</v>
      </c>
      <c r="D16669" s="5" t="s">
        <v>20194</v>
      </c>
      <c r="E16669" s="6" t="str">
        <f>HYPERLINK("https://inpn.mnhn.fr/espece/cd_nom/306063","Clerus mutillarius Fabricius, 1775")</f>
        <v>Clerus mutillarius Fabricius, 1775</v>
      </c>
      <c r="F16669" s="5" t="s">
        <v>20195</v>
      </c>
      <c r="AH16669" s="4" t="str">
        <f>HYPERLINK("#Statut_biogéographique!A"&amp;_xlfn.XMATCH("P",Statut_biogéographique!A:A,2,1),"P")</f>
        <v>P</v>
      </c>
      <c r="AP16669" s="4" t="s">
        <v>376</v>
      </c>
      <c r="AR16669" s="4" t="s">
        <v>377</v>
      </c>
    </row>
    <row r="16670" spans="1:44">
      <c r="A16670" s="4" t="s">
        <v>10753</v>
      </c>
      <c r="B16670" s="4">
        <v>306064</v>
      </c>
      <c r="D16670" s="5" t="s">
        <v>20196</v>
      </c>
      <c r="E16670" s="6" t="str">
        <f>HYPERLINK("https://inpn.mnhn.fr/espece/cd_nom/306064","Thanasimus femoralis (Zetterstedt, 1828)")</f>
        <v>Thanasimus femoralis (Zetterstedt, 1828)</v>
      </c>
      <c r="AH16670" s="4" t="str">
        <f>HYPERLINK("#Statut_biogéographique!A"&amp;_xlfn.XMATCH("P",Statut_biogéographique!A:A,2,1),"P")</f>
        <v>P</v>
      </c>
      <c r="AP16670" s="4" t="s">
        <v>376</v>
      </c>
      <c r="AR16670" s="4" t="s">
        <v>377</v>
      </c>
    </row>
    <row r="16671" spans="1:44">
      <c r="A16671" s="4" t="s">
        <v>10753</v>
      </c>
      <c r="B16671" s="4">
        <v>306091</v>
      </c>
      <c r="D16671" s="5">
        <v>306091</v>
      </c>
      <c r="E16671" s="6" t="str">
        <f>HYPERLINK("https://inpn.mnhn.fr/espece/cd_nom/306091","Ephistemus reitteri Casey, 1900")</f>
        <v>Ephistemus reitteri Casey, 1900</v>
      </c>
      <c r="AH16671" s="4" t="str">
        <f>HYPERLINK("#Statut_biogéographique!A"&amp;_xlfn.XMATCH("P",Statut_biogéographique!A:A,2,1),"P")</f>
        <v>P</v>
      </c>
      <c r="AP16671" s="4" t="s">
        <v>376</v>
      </c>
      <c r="AR16671" s="4" t="s">
        <v>377</v>
      </c>
    </row>
    <row r="16672" spans="1:44">
      <c r="A16672" s="4" t="s">
        <v>10753</v>
      </c>
      <c r="B16672" s="4">
        <v>306145</v>
      </c>
      <c r="D16672" s="5" t="s">
        <v>20197</v>
      </c>
      <c r="E16672" s="6" t="str">
        <f>HYPERLINK("https://inpn.mnhn.fr/espece/cd_nom/306145","Atomaria turgida Erichson, 1846")</f>
        <v>Atomaria turgida Erichson, 1846</v>
      </c>
      <c r="AH16672" s="4" t="str">
        <f>HYPERLINK("#Statut_biogéographique!A"&amp;_xlfn.XMATCH("P",Statut_biogéographique!A:A,2,1),"P")</f>
        <v>P</v>
      </c>
      <c r="AP16672" s="4" t="s">
        <v>376</v>
      </c>
      <c r="AR16672" s="4" t="s">
        <v>377</v>
      </c>
    </row>
    <row r="16673" spans="1:44">
      <c r="A16673" s="4" t="s">
        <v>10753</v>
      </c>
      <c r="B16673" s="4">
        <v>306158</v>
      </c>
      <c r="D16673" s="5" t="s">
        <v>20198</v>
      </c>
      <c r="E16673" s="6" t="str">
        <f>HYPERLINK("https://inpn.mnhn.fr/espece/cd_nom/306158","Cryptophagus denticulatus Heer, 1841")</f>
        <v>Cryptophagus denticulatus Heer, 1841</v>
      </c>
      <c r="AH16673" s="4" t="str">
        <f>HYPERLINK("#Statut_biogéographique!A"&amp;_xlfn.XMATCH("P",Statut_biogéographique!A:A,2,1),"P")</f>
        <v>P</v>
      </c>
      <c r="AP16673" s="4" t="s">
        <v>376</v>
      </c>
      <c r="AR16673" s="4" t="s">
        <v>377</v>
      </c>
    </row>
    <row r="16674" spans="1:44">
      <c r="A16674" s="4" t="s">
        <v>10753</v>
      </c>
      <c r="B16674" s="4">
        <v>306412</v>
      </c>
      <c r="D16674" s="5" t="s">
        <v>20199</v>
      </c>
      <c r="E16674" s="6" t="str">
        <f>HYPERLINK("https://inpn.mnhn.fr/espece/cd_nom/306412","Crenitis punctatostriata (Letzner, 1840)")</f>
        <v>Crenitis punctatostriata (Letzner, 1840)</v>
      </c>
      <c r="AH16674" s="4" t="str">
        <f>HYPERLINK("#Statut_biogéographique!A"&amp;_xlfn.XMATCH("P",Statut_biogéographique!A:A,2,1),"P")</f>
        <v>P</v>
      </c>
      <c r="AP16674" s="4" t="s">
        <v>376</v>
      </c>
      <c r="AR16674" s="4" t="s">
        <v>377</v>
      </c>
    </row>
    <row r="16675" spans="1:44">
      <c r="A16675" s="4" t="s">
        <v>10753</v>
      </c>
      <c r="B16675" s="4">
        <v>306421</v>
      </c>
      <c r="D16675" s="5">
        <v>306421</v>
      </c>
      <c r="E16675" s="6" t="str">
        <f>HYPERLINK("https://inpn.mnhn.fr/espece/cd_nom/306421","Sphaeridium marginatum Fabricius, 1787")</f>
        <v>Sphaeridium marginatum Fabricius, 1787</v>
      </c>
      <c r="AH16675" s="4" t="str">
        <f>HYPERLINK("#Statut_biogéographique!A"&amp;_xlfn.XMATCH("P",Statut_biogéographique!A:A,2,1),"P")</f>
        <v>P</v>
      </c>
      <c r="AP16675" s="4" t="s">
        <v>376</v>
      </c>
      <c r="AR16675" s="4" t="s">
        <v>377</v>
      </c>
    </row>
    <row r="16676" spans="1:44">
      <c r="A16676" s="4" t="s">
        <v>10753</v>
      </c>
      <c r="B16676" s="4">
        <v>306429</v>
      </c>
      <c r="D16676" s="5">
        <v>306429</v>
      </c>
      <c r="E16676" s="6" t="str">
        <f>HYPERLINK("https://inpn.mnhn.fr/espece/cd_nom/306429","Sphaeridium substriatum Faldermann, 1838")</f>
        <v>Sphaeridium substriatum Faldermann, 1838</v>
      </c>
      <c r="AH16676" s="4" t="str">
        <f>HYPERLINK("#Statut_biogéographique!A"&amp;_xlfn.XMATCH("P",Statut_biogéographique!A:A,2,1),"P")</f>
        <v>P</v>
      </c>
      <c r="AP16676" s="4" t="s">
        <v>376</v>
      </c>
      <c r="AR16676" s="4" t="s">
        <v>377</v>
      </c>
    </row>
    <row r="16677" spans="1:44">
      <c r="A16677" s="4" t="s">
        <v>10753</v>
      </c>
      <c r="B16677" s="4">
        <v>306432</v>
      </c>
      <c r="D16677" s="5">
        <v>306432</v>
      </c>
      <c r="E16677" s="6" t="str">
        <f>HYPERLINK("https://inpn.mnhn.fr/espece/cd_nom/306432","Cryptopleurum subtile Sharp, 1884")</f>
        <v>Cryptopleurum subtile Sharp, 1884</v>
      </c>
      <c r="AH16677" s="4" t="str">
        <f>HYPERLINK("#Statut_biogéographique!A"&amp;_xlfn.XMATCH("I",Statut_biogéographique!A:A,2,1),"I")</f>
        <v>I</v>
      </c>
      <c r="AP16677" s="4" t="s">
        <v>376</v>
      </c>
      <c r="AR16677" s="4" t="s">
        <v>377</v>
      </c>
    </row>
    <row r="16678" spans="1:44">
      <c r="A16678" s="4" t="s">
        <v>10753</v>
      </c>
      <c r="B16678" s="4">
        <v>306446</v>
      </c>
      <c r="D16678" s="5" t="s">
        <v>20200</v>
      </c>
      <c r="E16678" s="6" t="str">
        <f>HYPERLINK("https://inpn.mnhn.fr/espece/cd_nom/306446","Cercyon sternalis (Sharp, 1918)")</f>
        <v>Cercyon sternalis (Sharp, 1918)</v>
      </c>
      <c r="AH16678" s="4" t="str">
        <f>HYPERLINK("#Statut_biogéographique!A"&amp;_xlfn.XMATCH("P",Statut_biogéographique!A:A,2,1),"P")</f>
        <v>P</v>
      </c>
      <c r="AP16678" s="4" t="s">
        <v>376</v>
      </c>
      <c r="AR16678" s="4" t="s">
        <v>377</v>
      </c>
    </row>
    <row r="16679" spans="1:44" ht="30">
      <c r="A16679" s="4" t="s">
        <v>10753</v>
      </c>
      <c r="B16679" s="4">
        <v>306453</v>
      </c>
      <c r="D16679" s="5">
        <v>306453</v>
      </c>
      <c r="E16679" s="6" t="str">
        <f>HYPERLINK("https://inpn.mnhn.fr/espece/cd_nom/306453","Hydrochus megaphallus Berge Henegouwen, 1988")</f>
        <v>Hydrochus megaphallus Berge Henegouwen, 1988</v>
      </c>
      <c r="AH16679" s="4" t="str">
        <f>HYPERLINK("#Statut_biogéographique!A"&amp;_xlfn.XMATCH("P",Statut_biogéographique!A:A,2,1),"P")</f>
        <v>P</v>
      </c>
      <c r="AP16679" s="4" t="s">
        <v>376</v>
      </c>
      <c r="AR16679" s="4" t="s">
        <v>377</v>
      </c>
    </row>
    <row r="16680" spans="1:44">
      <c r="A16680" s="4" t="s">
        <v>10753</v>
      </c>
      <c r="B16680" s="4">
        <v>306515</v>
      </c>
      <c r="D16680" s="5" t="s">
        <v>20201</v>
      </c>
      <c r="E16680" s="6" t="str">
        <f>HYPERLINK("https://inpn.mnhn.fr/espece/cd_nom/306515","Migneauxia lederi Reitter, 1875")</f>
        <v>Migneauxia lederi Reitter, 1875</v>
      </c>
      <c r="AH16680" s="4" t="str">
        <f>HYPERLINK("#Statut_biogéographique!A"&amp;_xlfn.XMATCH("P",Statut_biogéographique!A:A,2,1),"P")</f>
        <v>P</v>
      </c>
      <c r="AP16680" s="4" t="s">
        <v>376</v>
      </c>
      <c r="AR16680" s="4" t="s">
        <v>377</v>
      </c>
    </row>
    <row r="16681" spans="1:44">
      <c r="A16681" s="4" t="s">
        <v>10753</v>
      </c>
      <c r="B16681" s="4">
        <v>306556</v>
      </c>
      <c r="D16681" s="5">
        <v>306556</v>
      </c>
      <c r="E16681" s="6" t="str">
        <f>HYPERLINK("https://inpn.mnhn.fr/espece/cd_nom/306556","Corticaria alleni C. Johnson, 1974")</f>
        <v>Corticaria alleni C. Johnson, 1974</v>
      </c>
      <c r="AH16681" s="4" t="str">
        <f>HYPERLINK("#Statut_biogéographique!A"&amp;_xlfn.XMATCH("P",Statut_biogéographique!A:A,2,1),"P")</f>
        <v>P</v>
      </c>
      <c r="AP16681" s="4" t="s">
        <v>376</v>
      </c>
      <c r="AR16681" s="4" t="s">
        <v>377</v>
      </c>
    </row>
    <row r="16682" spans="1:44">
      <c r="A16682" s="4" t="s">
        <v>10753</v>
      </c>
      <c r="B16682" s="4">
        <v>306640</v>
      </c>
      <c r="D16682" s="5" t="s">
        <v>20202</v>
      </c>
      <c r="E16682" s="6" t="str">
        <f>HYPERLINK("https://inpn.mnhn.fr/espece/cd_nom/306640","Malachius aeneus (Linnaeus, 1758)")</f>
        <v>Malachius aeneus (Linnaeus, 1758)</v>
      </c>
      <c r="AH16682" s="4" t="str">
        <f>HYPERLINK("#Statut_biogéographique!A"&amp;_xlfn.XMATCH("P",Statut_biogéographique!A:A,2,1),"P")</f>
        <v>P</v>
      </c>
      <c r="AP16682" s="4" t="s">
        <v>376</v>
      </c>
      <c r="AR16682" s="4" t="s">
        <v>377</v>
      </c>
    </row>
    <row r="16683" spans="1:44">
      <c r="A16683" s="4" t="s">
        <v>10753</v>
      </c>
      <c r="B16683" s="4">
        <v>306970</v>
      </c>
      <c r="D16683" s="5" t="s">
        <v>20203</v>
      </c>
      <c r="E16683" s="6" t="str">
        <f>HYPERLINK("https://inpn.mnhn.fr/espece/cd_nom/306970","Mordellistena humeralis (Linnaeus, 1758)")</f>
        <v>Mordellistena humeralis (Linnaeus, 1758)</v>
      </c>
      <c r="AH16683" s="4" t="str">
        <f>HYPERLINK("#Statut_biogéographique!A"&amp;_xlfn.XMATCH("P",Statut_biogéographique!A:A,2,1),"P")</f>
        <v>P</v>
      </c>
      <c r="AP16683" s="4" t="s">
        <v>376</v>
      </c>
      <c r="AR16683" s="4" t="s">
        <v>377</v>
      </c>
    </row>
    <row r="16684" spans="1:44">
      <c r="A16684" s="4" t="s">
        <v>10753</v>
      </c>
      <c r="B16684" s="4">
        <v>306994</v>
      </c>
      <c r="D16684" s="5">
        <v>306994</v>
      </c>
      <c r="E16684" s="6" t="str">
        <f>HYPERLINK("https://inpn.mnhn.fr/espece/cd_nom/306994","Mordellistena minutula Ermisch, 1956")</f>
        <v>Mordellistena minutula Ermisch, 1956</v>
      </c>
      <c r="AH16684" s="4" t="str">
        <f>HYPERLINK("#Statut_biogéographique!A"&amp;_xlfn.XMATCH("P",Statut_biogéographique!A:A,2,1),"P")</f>
        <v>P</v>
      </c>
      <c r="AP16684" s="4" t="s">
        <v>376</v>
      </c>
      <c r="AR16684" s="4" t="s">
        <v>377</v>
      </c>
    </row>
    <row r="16685" spans="1:44">
      <c r="A16685" s="4" t="s">
        <v>10753</v>
      </c>
      <c r="B16685" s="4">
        <v>307008</v>
      </c>
      <c r="D16685" s="5" t="s">
        <v>20204</v>
      </c>
      <c r="E16685" s="6" t="str">
        <f>HYPERLINK("https://inpn.mnhn.fr/espece/cd_nom/307008","Mordellistena parvula (Gyllenhal, 1827)")</f>
        <v>Mordellistena parvula (Gyllenhal, 1827)</v>
      </c>
      <c r="AH16685" s="4" t="str">
        <f>HYPERLINK("#Statut_biogéographique!A"&amp;_xlfn.XMATCH("P",Statut_biogéographique!A:A,2,1),"P")</f>
        <v>P</v>
      </c>
      <c r="AP16685" s="4" t="s">
        <v>376</v>
      </c>
      <c r="AR16685" s="4" t="s">
        <v>377</v>
      </c>
    </row>
    <row r="16686" spans="1:44">
      <c r="A16686" s="4" t="s">
        <v>10753</v>
      </c>
      <c r="B16686" s="4">
        <v>307036</v>
      </c>
      <c r="D16686" s="5" t="s">
        <v>20205</v>
      </c>
      <c r="E16686" s="6" t="str">
        <f>HYPERLINK("https://inpn.mnhn.fr/espece/cd_nom/307036","Mordellistena variegata (Fabricius, 1798)")</f>
        <v>Mordellistena variegata (Fabricius, 1798)</v>
      </c>
      <c r="AH16686" s="4" t="str">
        <f>HYPERLINK("#Statut_biogéographique!A"&amp;_xlfn.XMATCH("P",Statut_biogéographique!A:A,2,1),"P")</f>
        <v>P</v>
      </c>
      <c r="AP16686" s="4" t="s">
        <v>376</v>
      </c>
      <c r="AR16686" s="4" t="s">
        <v>377</v>
      </c>
    </row>
    <row r="16687" spans="1:44">
      <c r="A16687" s="4" t="s">
        <v>10753</v>
      </c>
      <c r="B16687" s="4">
        <v>307225</v>
      </c>
      <c r="D16687" s="5" t="s">
        <v>20206</v>
      </c>
      <c r="E16687" s="6" t="str">
        <f>HYPERLINK("https://inpn.mnhn.fr/espece/cd_nom/307225","Anaspis bohemica Schilsky, 1899")</f>
        <v>Anaspis bohemica Schilsky, 1899</v>
      </c>
      <c r="AH16687" s="4" t="str">
        <f>HYPERLINK("#Statut_biogéographique!A"&amp;_xlfn.XMATCH("P",Statut_biogéographique!A:A,2,1),"P")</f>
        <v>P</v>
      </c>
      <c r="AP16687" s="4" t="s">
        <v>376</v>
      </c>
      <c r="AR16687" s="4" t="s">
        <v>377</v>
      </c>
    </row>
    <row r="16688" spans="1:44">
      <c r="A16688" s="4" t="s">
        <v>10753</v>
      </c>
      <c r="B16688" s="4">
        <v>307229</v>
      </c>
      <c r="D16688" s="5" t="s">
        <v>20207</v>
      </c>
      <c r="E16688" s="6" t="str">
        <f>HYPERLINK("https://inpn.mnhn.fr/espece/cd_nom/307229","Anaspis garneysi Fowler, 1889")</f>
        <v>Anaspis garneysi Fowler, 1889</v>
      </c>
      <c r="AH16688" s="4" t="str">
        <f>HYPERLINK("#Statut_biogéographique!A"&amp;_xlfn.XMATCH("P",Statut_biogéographique!A:A,2,1),"P")</f>
        <v>P</v>
      </c>
      <c r="AP16688" s="4" t="s">
        <v>376</v>
      </c>
      <c r="AR16688" s="4" t="s">
        <v>377</v>
      </c>
    </row>
    <row r="16689" spans="1:44">
      <c r="A16689" s="4" t="s">
        <v>10753</v>
      </c>
      <c r="B16689" s="4">
        <v>307288</v>
      </c>
      <c r="D16689" s="5" t="s">
        <v>20208</v>
      </c>
      <c r="E16689" s="6" t="str">
        <f>HYPERLINK("https://inpn.mnhn.fr/espece/cd_nom/307288","Scraptia fuscula P.W.J. Müller, 1821")</f>
        <v>Scraptia fuscula P.W.J. Müller, 1821</v>
      </c>
      <c r="AH16689" s="4" t="str">
        <f>HYPERLINK("#Statut_biogéographique!A"&amp;_xlfn.XMATCH("P",Statut_biogéographique!A:A,2,1),"P")</f>
        <v>P</v>
      </c>
      <c r="AP16689" s="4" t="s">
        <v>376</v>
      </c>
      <c r="AR16689" s="4" t="s">
        <v>377</v>
      </c>
    </row>
    <row r="16690" spans="1:44">
      <c r="A16690" s="4" t="s">
        <v>10753</v>
      </c>
      <c r="B16690" s="4">
        <v>307314</v>
      </c>
      <c r="D16690" s="5">
        <v>307314</v>
      </c>
      <c r="E16690" s="6" t="str">
        <f>HYPERLINK("https://inpn.mnhn.fr/espece/cd_nom/307314","Nemozoma caucasicum Ménétriés, 1832")</f>
        <v>Nemozoma caucasicum Ménétriés, 1832</v>
      </c>
      <c r="P16690" s="7" t="str">
        <f>HYPERLINK("#Liste_rouge!A"&amp;_xlfn.XMATCH("DD",Liste_rouge!A:A,2,1),"DD")</f>
        <v>DD</v>
      </c>
      <c r="AH16690" s="4" t="str">
        <f>HYPERLINK("#Statut_biogéographique!A"&amp;_xlfn.XMATCH("P",Statut_biogéographique!A:A,2,1),"P")</f>
        <v>P</v>
      </c>
      <c r="AP16690" s="4" t="s">
        <v>376</v>
      </c>
      <c r="AR16690" s="4" t="s">
        <v>377</v>
      </c>
    </row>
    <row r="16691" spans="1:44">
      <c r="A16691" s="4" t="s">
        <v>10753</v>
      </c>
      <c r="B16691" s="4">
        <v>307418</v>
      </c>
      <c r="D16691" s="5" t="s">
        <v>20209</v>
      </c>
      <c r="E16691" s="6" t="str">
        <f>HYPERLINK("https://inpn.mnhn.fr/espece/cd_nom/307418","Arthroplea congener Bengtsson, 1908")</f>
        <v>Arthroplea congener Bengtsson, 1908</v>
      </c>
      <c r="Q16691" s="7" t="str">
        <f>HYPERLINK("#Liste_rouge!A"&amp;_xlfn.XMATCH("CR",Liste_rouge!A:A,2,1),"CR")</f>
        <v>CR</v>
      </c>
      <c r="AH16691" s="4" t="str">
        <f>HYPERLINK("#Statut_biogéographique!A"&amp;_xlfn.XMATCH("P",Statut_biogéographique!A:A,2,1),"P")</f>
        <v>P</v>
      </c>
      <c r="AP16691" s="4" t="s">
        <v>376</v>
      </c>
      <c r="AR16691" s="4" t="s">
        <v>377</v>
      </c>
    </row>
    <row r="16692" spans="1:44">
      <c r="A16692" s="4" t="s">
        <v>10753</v>
      </c>
      <c r="B16692" s="4">
        <v>307462</v>
      </c>
      <c r="D16692" s="5" t="s">
        <v>20210</v>
      </c>
      <c r="E16692" s="6" t="str">
        <f>HYPERLINK("https://inpn.mnhn.fr/espece/cd_nom/307462","Brachycercus europaeus Kluge, 1991")</f>
        <v>Brachycercus europaeus Kluge, 1991</v>
      </c>
      <c r="Q16692" s="7" t="str">
        <f>HYPERLINK("#Liste_rouge!A"&amp;_xlfn.XMATCH("LC",Liste_rouge!A:A,2,1),"LC")</f>
        <v>LC</v>
      </c>
      <c r="AH16692" s="4" t="str">
        <f>HYPERLINK("#Statut_biogéographique!A"&amp;_xlfn.XMATCH("P",Statut_biogéographique!A:A,2,1),"P")</f>
        <v>P</v>
      </c>
      <c r="AP16692" s="4" t="s">
        <v>376</v>
      </c>
      <c r="AR16692" s="4" t="s">
        <v>377</v>
      </c>
    </row>
    <row r="16693" spans="1:44">
      <c r="A16693" s="4" t="s">
        <v>10753</v>
      </c>
      <c r="B16693" s="4">
        <v>307754</v>
      </c>
      <c r="D16693" s="5">
        <v>307754</v>
      </c>
      <c r="E16693" s="6" t="str">
        <f>HYPERLINK("https://inpn.mnhn.fr/espece/cd_nom/307754","Orientus ishidae (Matsumura, 1902)")</f>
        <v>Orientus ishidae (Matsumura, 1902)</v>
      </c>
      <c r="AH16693" s="4" t="str">
        <f>HYPERLINK("#Statut_biogéographique!A"&amp;_xlfn.XMATCH("I",Statut_biogéographique!A:A,2,1),"I")</f>
        <v>I</v>
      </c>
      <c r="AP16693" s="4" t="s">
        <v>376</v>
      </c>
      <c r="AR16693" s="4" t="s">
        <v>377</v>
      </c>
    </row>
    <row r="16694" spans="1:44">
      <c r="A16694" s="4" t="s">
        <v>10753</v>
      </c>
      <c r="B16694" s="4">
        <v>308335</v>
      </c>
      <c r="D16694" s="5" t="s">
        <v>20211</v>
      </c>
      <c r="E16694" s="6" t="str">
        <f>HYPERLINK("https://inpn.mnhn.fr/espece/cd_nom/308335","Alboglossiphonia hyalina (O.F. Müller, 1774)")</f>
        <v>Alboglossiphonia hyalina (O.F. Müller, 1774)</v>
      </c>
      <c r="AH16694" s="4" t="str">
        <f>HYPERLINK("#Statut_biogéographique!A"&amp;_xlfn.XMATCH("P",Statut_biogéographique!A:A,2,1),"P")</f>
        <v>P</v>
      </c>
      <c r="AP16694" s="4" t="s">
        <v>376</v>
      </c>
      <c r="AR16694" s="4" t="s">
        <v>377</v>
      </c>
    </row>
    <row r="16695" spans="1:44">
      <c r="A16695" s="4" t="s">
        <v>10753</v>
      </c>
      <c r="B16695" s="4">
        <v>308340</v>
      </c>
      <c r="D16695" s="5" t="s">
        <v>20212</v>
      </c>
      <c r="E16695" s="6" t="str">
        <f>HYPERLINK("https://inpn.mnhn.fr/espece/cd_nom/308340","Glossiphonia verrucata (Fr. Müller, 1844)")</f>
        <v>Glossiphonia verrucata (Fr. Müller, 1844)</v>
      </c>
      <c r="AH16695" s="4" t="str">
        <f>HYPERLINK("#Statut_biogéographique!A"&amp;_xlfn.XMATCH("P",Statut_biogéographique!A:A,2,1),"P")</f>
        <v>P</v>
      </c>
      <c r="AP16695" s="4" t="s">
        <v>376</v>
      </c>
      <c r="AR16695" s="4" t="s">
        <v>377</v>
      </c>
    </row>
    <row r="16696" spans="1:44">
      <c r="A16696" s="4" t="s">
        <v>10753</v>
      </c>
      <c r="B16696" s="4">
        <v>308342</v>
      </c>
      <c r="D16696" s="5" t="s">
        <v>20213</v>
      </c>
      <c r="E16696" s="6" t="str">
        <f>HYPERLINK("https://inpn.mnhn.fr/espece/cd_nom/308342","Placobdella costata (Fr. Müller, 1846)")</f>
        <v>Placobdella costata (Fr. Müller, 1846)</v>
      </c>
      <c r="AH16696" s="4" t="str">
        <f>HYPERLINK("#Statut_biogéographique!A"&amp;_xlfn.XMATCH("P",Statut_biogéographique!A:A,2,1),"P")</f>
        <v>P</v>
      </c>
      <c r="AP16696" s="4" t="s">
        <v>376</v>
      </c>
      <c r="AR16696" s="4" t="s">
        <v>377</v>
      </c>
    </row>
    <row r="16697" spans="1:44">
      <c r="A16697" s="4" t="s">
        <v>10753</v>
      </c>
      <c r="B16697" s="4">
        <v>308343</v>
      </c>
      <c r="D16697" s="5" t="s">
        <v>20214</v>
      </c>
      <c r="E16697" s="6" t="str">
        <f>HYPERLINK("https://inpn.mnhn.fr/espece/cd_nom/308343","Theromyzon maculosum (Rathke, 1862)")</f>
        <v>Theromyzon maculosum (Rathke, 1862)</v>
      </c>
      <c r="AH16697" s="4" t="str">
        <f>HYPERLINK("#Statut_biogéographique!A"&amp;_xlfn.XMATCH("P",Statut_biogéographique!A:A,2,1),"P")</f>
        <v>P</v>
      </c>
      <c r="AP16697" s="4" t="s">
        <v>376</v>
      </c>
      <c r="AR16697" s="4" t="s">
        <v>377</v>
      </c>
    </row>
    <row r="16698" spans="1:44">
      <c r="A16698" s="4" t="s">
        <v>10753</v>
      </c>
      <c r="B16698" s="4">
        <v>308348</v>
      </c>
      <c r="D16698" s="5" t="s">
        <v>20215</v>
      </c>
      <c r="E16698" s="6" t="str">
        <f>HYPERLINK("https://inpn.mnhn.fr/espece/cd_nom/308348","Limnatis nilotica (Savigny, 1822)")</f>
        <v>Limnatis nilotica (Savigny, 1822)</v>
      </c>
      <c r="AH16698" s="4" t="str">
        <f>HYPERLINK("#Statut_biogéographique!A"&amp;_xlfn.XMATCH("P",Statut_biogéographique!A:A,2,1),"P")</f>
        <v>P</v>
      </c>
      <c r="AP16698" s="4" t="s">
        <v>376</v>
      </c>
      <c r="AR16698" s="4" t="s">
        <v>377</v>
      </c>
    </row>
    <row r="16699" spans="1:44">
      <c r="A16699" s="4" t="s">
        <v>10753</v>
      </c>
      <c r="B16699" s="4">
        <v>308351</v>
      </c>
      <c r="D16699" s="5" t="s">
        <v>20216</v>
      </c>
      <c r="E16699" s="6" t="str">
        <f>HYPERLINK("https://inpn.mnhn.fr/espece/cd_nom/308351","Caspiobdella fadejewi (Epshtein, 1961)")</f>
        <v>Caspiobdella fadejewi (Epshtein, 1961)</v>
      </c>
      <c r="AH16699" s="4" t="str">
        <f>HYPERLINK("#Statut_biogéographique!A"&amp;_xlfn.XMATCH("I",Statut_biogéographique!A:A,2,1),"I")</f>
        <v>I</v>
      </c>
      <c r="AP16699" s="4" t="s">
        <v>376</v>
      </c>
      <c r="AR16699" s="4" t="s">
        <v>377</v>
      </c>
    </row>
    <row r="16700" spans="1:44">
      <c r="A16700" s="4" t="s">
        <v>10753</v>
      </c>
      <c r="B16700" s="4">
        <v>308762</v>
      </c>
      <c r="D16700" s="5" t="s">
        <v>20217</v>
      </c>
      <c r="E16700" s="6" t="str">
        <f>HYPERLINK("https://inpn.mnhn.fr/espece/cd_nom/308762","Dryudella femoralis (Mocsáry, 1877)")</f>
        <v>Dryudella femoralis (Mocsáry, 1877)</v>
      </c>
      <c r="AH16700" s="4" t="str">
        <f>HYPERLINK("#Statut_biogéographique!A"&amp;_xlfn.XMATCH("P",Statut_biogéographique!A:A,2,1),"P")</f>
        <v>P</v>
      </c>
      <c r="AP16700" s="4" t="s">
        <v>376</v>
      </c>
      <c r="AR16700" s="4" t="s">
        <v>377</v>
      </c>
    </row>
    <row r="16701" spans="1:44">
      <c r="A16701" s="4" t="s">
        <v>10753</v>
      </c>
      <c r="B16701" s="4">
        <v>311691</v>
      </c>
      <c r="D16701" s="5" t="s">
        <v>20218</v>
      </c>
      <c r="E16701" s="6" t="str">
        <f>HYPERLINK("https://inpn.mnhn.fr/espece/cd_nom/311691","Naucoris maculatus conspersus Stål, 1876")</f>
        <v>Naucoris maculatus conspersus Stål, 1876</v>
      </c>
      <c r="AH16701" s="4" t="str">
        <f>HYPERLINK("#Statut_biogéographique!A"&amp;_xlfn.XMATCH("P",Statut_biogéographique!A:A,2,1),"P")</f>
        <v>P</v>
      </c>
      <c r="AP16701" s="4" t="s">
        <v>376</v>
      </c>
      <c r="AR16701" s="4" t="s">
        <v>377</v>
      </c>
    </row>
    <row r="16702" spans="1:44">
      <c r="A16702" s="4" t="s">
        <v>10753</v>
      </c>
      <c r="B16702" s="4">
        <v>312570</v>
      </c>
      <c r="D16702" s="5" t="s">
        <v>20219</v>
      </c>
      <c r="E16702" s="6" t="str">
        <f>HYPERLINK("https://inpn.mnhn.fr/espece/cd_nom/312570","Cimex lectularius Linnaeus, 1758")</f>
        <v>Cimex lectularius Linnaeus, 1758</v>
      </c>
      <c r="F16702" s="5" t="s">
        <v>20220</v>
      </c>
      <c r="AH16702" s="4" t="str">
        <f>HYPERLINK("#Statut_biogéographique!A"&amp;_xlfn.XMATCH("P",Statut_biogéographique!A:A,2,1),"P")</f>
        <v>P</v>
      </c>
      <c r="AP16702" s="4" t="s">
        <v>376</v>
      </c>
      <c r="AR16702" s="4" t="s">
        <v>377</v>
      </c>
    </row>
    <row r="16703" spans="1:44" ht="30">
      <c r="A16703" s="4" t="s">
        <v>10753</v>
      </c>
      <c r="B16703" s="4">
        <v>312885</v>
      </c>
      <c r="D16703" s="5">
        <v>312885</v>
      </c>
      <c r="E16703" s="6" t="str">
        <f>HYPERLINK("https://inpn.mnhn.fr/espece/cd_nom/312885","Leptoglossus occidentalis Heidemann, 1910")</f>
        <v>Leptoglossus occidentalis Heidemann, 1910</v>
      </c>
      <c r="F16703" s="5" t="s">
        <v>20221</v>
      </c>
      <c r="AH16703" s="4" t="str">
        <f>HYPERLINK("#Statut_biogéographique!A"&amp;_xlfn.XMATCH("I",Statut_biogéographique!A:A,2,1),"I")</f>
        <v>I</v>
      </c>
      <c r="AP16703" s="4" t="s">
        <v>376</v>
      </c>
      <c r="AR16703" s="4" t="s">
        <v>377</v>
      </c>
    </row>
    <row r="16704" spans="1:44">
      <c r="A16704" s="4" t="s">
        <v>10753</v>
      </c>
      <c r="B16704" s="4">
        <v>313024</v>
      </c>
      <c r="D16704" s="5" t="s">
        <v>20222</v>
      </c>
      <c r="E16704" s="6" t="str">
        <f>HYPERLINK("https://inpn.mnhn.fr/espece/cd_nom/313024","Carpocoris pudicus (Poda, 1761)")</f>
        <v>Carpocoris pudicus (Poda, 1761)</v>
      </c>
      <c r="AH16704" s="4" t="str">
        <f>HYPERLINK("#Statut_biogéographique!A"&amp;_xlfn.XMATCH("P",Statut_biogéographique!A:A,2,1),"P")</f>
        <v>P</v>
      </c>
      <c r="AP16704" s="4" t="s">
        <v>376</v>
      </c>
      <c r="AR16704" s="4" t="s">
        <v>377</v>
      </c>
    </row>
    <row r="16705" spans="1:44">
      <c r="A16705" s="4" t="s">
        <v>10753</v>
      </c>
      <c r="B16705" s="4">
        <v>317256</v>
      </c>
      <c r="D16705" s="5" t="s">
        <v>20223</v>
      </c>
      <c r="E16705" s="6" t="str">
        <f>HYPERLINK("https://inpn.mnhn.fr/espece/cd_nom/317256","Scymnus oertzeni Weise, 1886")</f>
        <v>Scymnus oertzeni Weise, 1886</v>
      </c>
      <c r="AH16705" s="4" t="str">
        <f>HYPERLINK("#Statut_biogéographique!A"&amp;_xlfn.XMATCH("P",Statut_biogéographique!A:A,2,1),"P")</f>
        <v>P</v>
      </c>
      <c r="AP16705" s="4" t="s">
        <v>376</v>
      </c>
      <c r="AR16705" s="4" t="s">
        <v>377</v>
      </c>
    </row>
    <row r="16706" spans="1:44">
      <c r="A16706" s="4" t="s">
        <v>10753</v>
      </c>
      <c r="B16706" s="4">
        <v>317298</v>
      </c>
      <c r="D16706" s="5" t="s">
        <v>20224</v>
      </c>
      <c r="E16706" s="6" t="str">
        <f>HYPERLINK("https://inpn.mnhn.fr/espece/cd_nom/317298","Hyperaspis reppensis (Herbst, 1783)")</f>
        <v>Hyperaspis reppensis (Herbst, 1783)</v>
      </c>
      <c r="AH16706" s="4" t="str">
        <f>HYPERLINK("#Statut_biogéographique!A"&amp;_xlfn.XMATCH("P",Statut_biogéographique!A:A,2,1),"P")</f>
        <v>P</v>
      </c>
      <c r="AP16706" s="4" t="s">
        <v>376</v>
      </c>
      <c r="AR16706" s="4" t="s">
        <v>377</v>
      </c>
    </row>
    <row r="16707" spans="1:44">
      <c r="A16707" s="4" t="s">
        <v>10753</v>
      </c>
      <c r="B16707" s="4">
        <v>317425</v>
      </c>
      <c r="D16707" s="5" t="s">
        <v>20225</v>
      </c>
      <c r="E16707" s="6" t="str">
        <f>HYPERLINK("https://inpn.mnhn.fr/espece/cd_nom/317425","Sylvicola cinctus (Fabricius, 1787)")</f>
        <v>Sylvicola cinctus (Fabricius, 1787)</v>
      </c>
      <c r="AH16707" s="4" t="str">
        <f>HYPERLINK("#Statut_biogéographique!A"&amp;_xlfn.XMATCH("P",Statut_biogéographique!A:A,2,1),"P")</f>
        <v>P</v>
      </c>
      <c r="AP16707" s="4" t="s">
        <v>376</v>
      </c>
      <c r="AR16707" s="4" t="s">
        <v>377</v>
      </c>
    </row>
    <row r="16708" spans="1:44">
      <c r="A16708" s="4" t="s">
        <v>10753</v>
      </c>
      <c r="B16708" s="4">
        <v>317792</v>
      </c>
      <c r="D16708" s="5" t="s">
        <v>20226</v>
      </c>
      <c r="E16708" s="6" t="str">
        <f>HYPERLINK("https://inpn.mnhn.fr/espece/cd_nom/317792","Coelioxys alata Förster, 1853")</f>
        <v>Coelioxys alata Förster, 1853</v>
      </c>
      <c r="P16708" s="7" t="str">
        <f>HYPERLINK("#Liste_rouge!A"&amp;_xlfn.XMATCH("LC",Liste_rouge!A:A,2,1),"LC")</f>
        <v>LC</v>
      </c>
      <c r="AH16708" s="4" t="str">
        <f>HYPERLINK("#Statut_biogéographique!A"&amp;_xlfn.XMATCH("P",Statut_biogéographique!A:A,2,1),"P")</f>
        <v>P</v>
      </c>
      <c r="AP16708" s="4" t="s">
        <v>376</v>
      </c>
      <c r="AR16708" s="4" t="s">
        <v>377</v>
      </c>
    </row>
    <row r="16709" spans="1:44">
      <c r="A16709" s="4" t="s">
        <v>10753</v>
      </c>
      <c r="B16709" s="4">
        <v>317811</v>
      </c>
      <c r="D16709" s="5">
        <v>317811</v>
      </c>
      <c r="E16709" s="6" t="str">
        <f>HYPERLINK("https://inpn.mnhn.fr/espece/cd_nom/317811","Colletes hederae Schmidt &amp; Westrich, 1993")</f>
        <v>Colletes hederae Schmidt &amp; Westrich, 1993</v>
      </c>
      <c r="F16709" s="5" t="s">
        <v>20227</v>
      </c>
      <c r="O16709" s="7" t="str">
        <f>HYPERLINK("#Liste_rouge!A"&amp;_xlfn.XMATCH("LC",Liste_rouge!A:A,2,1),"LC")</f>
        <v>LC</v>
      </c>
      <c r="P16709" s="7" t="str">
        <f>HYPERLINK("#Liste_rouge!A"&amp;_xlfn.XMATCH("LC",Liste_rouge!A:A,2,1),"LC")</f>
        <v>LC</v>
      </c>
      <c r="AH16709" s="4" t="str">
        <f>HYPERLINK("#Statut_biogéographique!A"&amp;_xlfn.XMATCH("P",Statut_biogéographique!A:A,2,1),"P")</f>
        <v>P</v>
      </c>
      <c r="AP16709" s="4" t="s">
        <v>376</v>
      </c>
      <c r="AR16709" s="4" t="s">
        <v>377</v>
      </c>
    </row>
    <row r="16710" spans="1:44">
      <c r="A16710" s="4" t="s">
        <v>10753</v>
      </c>
      <c r="B16710" s="4">
        <v>317868</v>
      </c>
      <c r="D16710" s="5" t="s">
        <v>20228</v>
      </c>
      <c r="E16710" s="6" t="str">
        <f>HYPERLINK("https://inpn.mnhn.fr/espece/cd_nom/317868","Epeolus fallax Morawitz, 1872")</f>
        <v>Epeolus fallax Morawitz, 1872</v>
      </c>
      <c r="O16710" s="7" t="str">
        <f>HYPERLINK("#Liste_rouge!A"&amp;_xlfn.XMATCH("LC",Liste_rouge!A:A,2,1),"LC")</f>
        <v>LC</v>
      </c>
      <c r="P16710" s="7" t="str">
        <f>HYPERLINK("#Liste_rouge!A"&amp;_xlfn.XMATCH("LC",Liste_rouge!A:A,2,1),"LC")</f>
        <v>LC</v>
      </c>
      <c r="AH16710" s="4" t="str">
        <f>HYPERLINK("#Statut_biogéographique!A"&amp;_xlfn.XMATCH("P",Statut_biogéographique!A:A,2,1),"P")</f>
        <v>P</v>
      </c>
      <c r="AP16710" s="4" t="s">
        <v>376</v>
      </c>
      <c r="AR16710" s="4" t="s">
        <v>377</v>
      </c>
    </row>
    <row r="16711" spans="1:44">
      <c r="A16711" s="4" t="s">
        <v>10753</v>
      </c>
      <c r="B16711" s="4">
        <v>317934</v>
      </c>
      <c r="D16711" s="5" t="s">
        <v>20229</v>
      </c>
      <c r="E16711" s="6" t="str">
        <f>HYPERLINK("https://inpn.mnhn.fr/espece/cd_nom/317934","Halictus carinthiacus Blüthgen, 1936")</f>
        <v>Halictus carinthiacus Blüthgen, 1936</v>
      </c>
      <c r="O16711" s="7" t="str">
        <f>HYPERLINK("#Liste_rouge!A"&amp;_xlfn.XMATCH("EN",Liste_rouge!A:A,2,1),"EN")</f>
        <v>EN</v>
      </c>
      <c r="P16711" s="7" t="str">
        <f>HYPERLINK("#Liste_rouge!A"&amp;_xlfn.XMATCH("EN",Liste_rouge!A:A,2,1),"EN")</f>
        <v>EN</v>
      </c>
      <c r="AH16711" s="4" t="str">
        <f>HYPERLINK("#Statut_biogéographique!A"&amp;_xlfn.XMATCH("P",Statut_biogéographique!A:A,2,1),"P")</f>
        <v>P</v>
      </c>
      <c r="AP16711" s="4" t="s">
        <v>376</v>
      </c>
      <c r="AR16711" s="4" t="s">
        <v>377</v>
      </c>
    </row>
    <row r="16712" spans="1:44" ht="30">
      <c r="A16712" s="4" t="s">
        <v>10753</v>
      </c>
      <c r="B16712" s="4">
        <v>317939</v>
      </c>
      <c r="D16712" s="5" t="s">
        <v>20230</v>
      </c>
      <c r="E16712" s="6" t="str">
        <f>HYPERLINK("https://inpn.mnhn.fr/espece/cd_nom/317939","Halictus compressus (Walckenaer, 1802)")</f>
        <v>Halictus compressus (Walckenaer, 1802)</v>
      </c>
      <c r="P16712" s="7" t="str">
        <f>HYPERLINK("#Liste_rouge!A"&amp;_xlfn.XMATCH("LC",Liste_rouge!A:A,2,1),"LC")</f>
        <v>LC</v>
      </c>
      <c r="AH16712" s="4" t="str">
        <f>HYPERLINK("#Statut_biogéographique!A"&amp;_xlfn.XMATCH("P",Statut_biogéographique!A:A,2,1),"P")</f>
        <v>P</v>
      </c>
      <c r="AP16712" s="4" t="s">
        <v>376</v>
      </c>
      <c r="AR16712" s="4" t="s">
        <v>377</v>
      </c>
    </row>
    <row r="16713" spans="1:44">
      <c r="A16713" s="4" t="s">
        <v>10753</v>
      </c>
      <c r="B16713" s="4">
        <v>318170</v>
      </c>
      <c r="D16713" s="5" t="s">
        <v>20231</v>
      </c>
      <c r="E16713" s="6" t="str">
        <f>HYPERLINK("https://inpn.mnhn.fr/espece/cd_nom/318170","Lasioglossum zonulum (Smith, 1848)")</f>
        <v>Lasioglossum zonulum (Smith, 1848)</v>
      </c>
      <c r="P16713" s="7" t="str">
        <f>HYPERLINK("#Liste_rouge!A"&amp;_xlfn.XMATCH("LC",Liste_rouge!A:A,2,1),"LC")</f>
        <v>LC</v>
      </c>
      <c r="AH16713" s="4" t="str">
        <f>HYPERLINK("#Statut_biogéographique!A"&amp;_xlfn.XMATCH("P",Statut_biogéographique!A:A,2,1),"P")</f>
        <v>P</v>
      </c>
      <c r="AP16713" s="4" t="s">
        <v>376</v>
      </c>
      <c r="AR16713" s="4" t="s">
        <v>377</v>
      </c>
    </row>
    <row r="16714" spans="1:44">
      <c r="A16714" s="4" t="s">
        <v>10753</v>
      </c>
      <c r="B16714" s="4">
        <v>318271</v>
      </c>
      <c r="D16714" s="5">
        <v>318271</v>
      </c>
      <c r="E16714" s="6" t="str">
        <f>HYPERLINK("https://inpn.mnhn.fr/espece/cd_nom/318271","Nomada emarginata Morawitz, 1877")</f>
        <v>Nomada emarginata Morawitz, 1877</v>
      </c>
      <c r="P16714" s="7" t="str">
        <f>HYPERLINK("#Liste_rouge!A"&amp;_xlfn.XMATCH("LC",Liste_rouge!A:A,2,1),"LC")</f>
        <v>LC</v>
      </c>
      <c r="AH16714" s="4" t="str">
        <f>HYPERLINK("#Statut_biogéographique!A"&amp;_xlfn.XMATCH("P",Statut_biogéographique!A:A,2,1),"P")</f>
        <v>P</v>
      </c>
      <c r="AP16714" s="4" t="s">
        <v>376</v>
      </c>
      <c r="AR16714" s="4" t="s">
        <v>377</v>
      </c>
    </row>
    <row r="16715" spans="1:44">
      <c r="A16715" s="4" t="s">
        <v>10753</v>
      </c>
      <c r="B16715" s="4">
        <v>318412</v>
      </c>
      <c r="D16715" s="5">
        <v>318412</v>
      </c>
      <c r="E16715" s="6" t="str">
        <f>HYPERLINK("https://inpn.mnhn.fr/espece/cd_nom/318412","Osmia mustelina Gerstäcker, 1869")</f>
        <v>Osmia mustelina Gerstäcker, 1869</v>
      </c>
      <c r="P16715" s="7" t="str">
        <f>HYPERLINK("#Liste_rouge!A"&amp;_xlfn.XMATCH("LC",Liste_rouge!A:A,2,1),"LC")</f>
        <v>LC</v>
      </c>
      <c r="AH16715" s="4" t="str">
        <f>HYPERLINK("#Statut_biogéographique!A"&amp;_xlfn.XMATCH("Q",Statut_biogéographique!A:A,2,1),"Q")</f>
        <v>Q</v>
      </c>
      <c r="AP16715" s="4" t="s">
        <v>376</v>
      </c>
      <c r="AR16715" s="4" t="s">
        <v>377</v>
      </c>
    </row>
    <row r="16716" spans="1:44">
      <c r="A16716" s="4" t="s">
        <v>10753</v>
      </c>
      <c r="B16716" s="4">
        <v>318504</v>
      </c>
      <c r="D16716" s="5" t="s">
        <v>20232</v>
      </c>
      <c r="E16716" s="6" t="str">
        <f>HYPERLINK("https://inpn.mnhn.fr/espece/cd_nom/318504","Sphecodes rubicundus Hagens, 1875")</f>
        <v>Sphecodes rubicundus Hagens, 1875</v>
      </c>
      <c r="P16716" s="7" t="str">
        <f>HYPERLINK("#Liste_rouge!A"&amp;_xlfn.XMATCH("NT",Liste_rouge!A:A,2,1),"NT")</f>
        <v>NT</v>
      </c>
      <c r="AH16716" s="4" t="str">
        <f>HYPERLINK("#Statut_biogéographique!A"&amp;_xlfn.XMATCH("P",Statut_biogéographique!A:A,2,1),"P")</f>
        <v>P</v>
      </c>
      <c r="AP16716" s="4" t="s">
        <v>376</v>
      </c>
      <c r="AR16716" s="4" t="s">
        <v>377</v>
      </c>
    </row>
    <row r="16717" spans="1:44">
      <c r="A16717" s="4" t="s">
        <v>10753</v>
      </c>
      <c r="B16717" s="4">
        <v>318513</v>
      </c>
      <c r="D16717" s="5">
        <v>318513</v>
      </c>
      <c r="E16717" s="6" t="str">
        <f>HYPERLINK("https://inpn.mnhn.fr/espece/cd_nom/318513","Stelis odontopyga Noskiewicz, 1926")</f>
        <v>Stelis odontopyga Noskiewicz, 1926</v>
      </c>
      <c r="P16717" s="7" t="str">
        <f>HYPERLINK("#Liste_rouge!A"&amp;_xlfn.XMATCH("LC",Liste_rouge!A:A,2,1),"LC")</f>
        <v>LC</v>
      </c>
      <c r="AH16717" s="4" t="str">
        <f>HYPERLINK("#Statut_biogéographique!A"&amp;_xlfn.XMATCH("P",Statut_biogéographique!A:A,2,1),"P")</f>
        <v>P</v>
      </c>
      <c r="AP16717" s="4" t="s">
        <v>376</v>
      </c>
      <c r="AR16717" s="4" t="s">
        <v>377</v>
      </c>
    </row>
    <row r="16718" spans="1:44">
      <c r="A16718" s="4" t="s">
        <v>10753</v>
      </c>
      <c r="B16718" s="4">
        <v>318516</v>
      </c>
      <c r="D16718" s="5" t="s">
        <v>20233</v>
      </c>
      <c r="E16718" s="6" t="str">
        <f>HYPERLINK("https://inpn.mnhn.fr/espece/cd_nom/318516","Stelis punctulatissima (Kirby, 1802)")</f>
        <v>Stelis punctulatissima (Kirby, 1802)</v>
      </c>
      <c r="P16718" s="7" t="str">
        <f>HYPERLINK("#Liste_rouge!A"&amp;_xlfn.XMATCH("LC",Liste_rouge!A:A,2,1),"LC")</f>
        <v>LC</v>
      </c>
      <c r="AH16718" s="4" t="str">
        <f>HYPERLINK("#Statut_biogéographique!A"&amp;_xlfn.XMATCH("P",Statut_biogéographique!A:A,2,1),"P")</f>
        <v>P</v>
      </c>
      <c r="AP16718" s="4" t="s">
        <v>376</v>
      </c>
      <c r="AR16718" s="4" t="s">
        <v>377</v>
      </c>
    </row>
    <row r="16719" spans="1:44" ht="45">
      <c r="A16719" s="4" t="s">
        <v>10753</v>
      </c>
      <c r="B16719" s="4">
        <v>319045</v>
      </c>
      <c r="D16719" s="5" t="s">
        <v>20234</v>
      </c>
      <c r="E16719" s="6" t="str">
        <f>HYPERLINK("https://inpn.mnhn.fr/espece/cd_nom/319045","Dryops auriculatus (Geoffroy in Fourcroy, 1785)")</f>
        <v>Dryops auriculatus (Geoffroy in Fourcroy, 1785)</v>
      </c>
      <c r="F16719" s="5" t="s">
        <v>20235</v>
      </c>
      <c r="AH16719" s="4" t="str">
        <f>HYPERLINK("#Statut_biogéographique!A"&amp;_xlfn.XMATCH("P",Statut_biogéographique!A:A,2,1),"P")</f>
        <v>P</v>
      </c>
      <c r="AP16719" s="4" t="s">
        <v>376</v>
      </c>
      <c r="AR16719" s="4" t="s">
        <v>377</v>
      </c>
    </row>
    <row r="16720" spans="1:44">
      <c r="A16720" s="4" t="s">
        <v>10753</v>
      </c>
      <c r="B16720" s="4">
        <v>319048</v>
      </c>
      <c r="D16720" s="5" t="s">
        <v>20236</v>
      </c>
      <c r="E16720" s="6" t="str">
        <f>HYPERLINK("https://inpn.mnhn.fr/espece/cd_nom/319048","Dryops ernesti Gozis, 1886")</f>
        <v>Dryops ernesti Gozis, 1886</v>
      </c>
      <c r="AH16720" s="4" t="str">
        <f>HYPERLINK("#Statut_biogéographique!A"&amp;_xlfn.XMATCH("P",Statut_biogéographique!A:A,2,1),"P")</f>
        <v>P</v>
      </c>
      <c r="AP16720" s="4" t="s">
        <v>376</v>
      </c>
      <c r="AR16720" s="4" t="s">
        <v>377</v>
      </c>
    </row>
    <row r="16721" spans="1:44">
      <c r="A16721" s="4" t="s">
        <v>10753</v>
      </c>
      <c r="B16721" s="4">
        <v>319091</v>
      </c>
      <c r="D16721" s="5" t="s">
        <v>20237</v>
      </c>
      <c r="E16721" s="6" t="str">
        <f>HYPERLINK("https://inpn.mnhn.fr/espece/cd_nom/319091","Ampedus auripes (Reitter, 1895)")</f>
        <v>Ampedus auripes (Reitter, 1895)</v>
      </c>
      <c r="O16721" s="7" t="str">
        <f>HYPERLINK("#Liste_rouge!A"&amp;_xlfn.XMATCH("LC",Liste_rouge!A:A,2,1),"LC")</f>
        <v>LC</v>
      </c>
      <c r="P16721" s="7" t="str">
        <f>HYPERLINK("#Liste_rouge!A"&amp;_xlfn.XMATCH("LC",Liste_rouge!A:A,2,1),"LC")</f>
        <v>LC</v>
      </c>
      <c r="AH16721" s="4" t="str">
        <f>HYPERLINK("#Statut_biogéographique!A"&amp;_xlfn.XMATCH("P",Statut_biogéographique!A:A,2,1),"P")</f>
        <v>P</v>
      </c>
      <c r="AP16721" s="4" t="s">
        <v>376</v>
      </c>
      <c r="AR16721" s="4" t="s">
        <v>377</v>
      </c>
    </row>
    <row r="16722" spans="1:44" ht="30">
      <c r="A16722" s="4" t="s">
        <v>10753</v>
      </c>
      <c r="B16722" s="4">
        <v>319254</v>
      </c>
      <c r="D16722" s="5">
        <v>319254</v>
      </c>
      <c r="E16722" s="6" t="str">
        <f>HYPERLINK("https://inpn.mnhn.fr/espece/cd_nom/319254","Brachygonus campadellii Platia &amp; Gudenzi, 2000")</f>
        <v>Brachygonus campadellii Platia &amp; Gudenzi, 2000</v>
      </c>
      <c r="O16722" s="7" t="str">
        <f>HYPERLINK("#Liste_rouge!A"&amp;_xlfn.XMATCH("DD",Liste_rouge!A:A,2,1),"DD")</f>
        <v>DD</v>
      </c>
      <c r="P16722" s="7" t="str">
        <f>HYPERLINK("#Liste_rouge!A"&amp;_xlfn.XMATCH("DD",Liste_rouge!A:A,2,1),"DD")</f>
        <v>DD</v>
      </c>
      <c r="AH16722" s="4" t="str">
        <f>HYPERLINK("#Statut_biogéographique!A"&amp;_xlfn.XMATCH("P",Statut_biogéographique!A:A,2,1),"P")</f>
        <v>P</v>
      </c>
      <c r="AP16722" s="4" t="s">
        <v>376</v>
      </c>
      <c r="AR16722" s="4" t="s">
        <v>377</v>
      </c>
    </row>
    <row r="16723" spans="1:44" ht="30">
      <c r="A16723" s="4" t="s">
        <v>10753</v>
      </c>
      <c r="B16723" s="4">
        <v>319866</v>
      </c>
      <c r="D16723" s="5" t="s">
        <v>20238</v>
      </c>
      <c r="E16723" s="6" t="str">
        <f>HYPERLINK("https://inpn.mnhn.fr/espece/cd_nom/319866","Bosmina coregoni Baird, 1857")</f>
        <v>Bosmina coregoni Baird, 1857</v>
      </c>
      <c r="Q16723" s="7" t="str">
        <f>HYPERLINK("#Liste_rouge!A"&amp;_xlfn.XMATCH("DD",Liste_rouge!A:A,2,1),"DD")</f>
        <v>DD</v>
      </c>
      <c r="AH16723" s="4" t="str">
        <f>HYPERLINK("#Statut_biogéographique!A"&amp;_xlfn.XMATCH("P",Statut_biogéographique!A:A,2,1),"P")</f>
        <v>P</v>
      </c>
      <c r="AP16723" s="4" t="s">
        <v>376</v>
      </c>
      <c r="AR16723" s="4" t="s">
        <v>377</v>
      </c>
    </row>
    <row r="16724" spans="1:44">
      <c r="A16724" s="4" t="s">
        <v>10753</v>
      </c>
      <c r="B16724" s="4">
        <v>320026</v>
      </c>
      <c r="D16724" s="5">
        <v>320026</v>
      </c>
      <c r="E16724" s="6" t="str">
        <f>HYPERLINK("https://inpn.mnhn.fr/espece/cd_nom/320026","Mesocyclops leuckarti leuckarti (Claus, 1857)")</f>
        <v>Mesocyclops leuckarti leuckarti (Claus, 1857)</v>
      </c>
      <c r="AH16724" s="4" t="str">
        <f>HYPERLINK("#Statut_biogéographique!A"&amp;_xlfn.XMATCH("P",Statut_biogéographique!A:A,2,1),"P")</f>
        <v>P</v>
      </c>
      <c r="AP16724" s="4" t="s">
        <v>376</v>
      </c>
      <c r="AR16724" s="4" t="s">
        <v>377</v>
      </c>
    </row>
    <row r="16725" spans="1:44">
      <c r="A16725" s="4" t="s">
        <v>10753</v>
      </c>
      <c r="B16725" s="4">
        <v>320831</v>
      </c>
      <c r="D16725" s="5" t="s">
        <v>20239</v>
      </c>
      <c r="E16725" s="6" t="str">
        <f>HYPERLINK("https://inpn.mnhn.fr/espece/cd_nom/320831","Fabaeformiscandona protzi (Hartwig, 1898)")</f>
        <v>Fabaeformiscandona protzi (Hartwig, 1898)</v>
      </c>
      <c r="AH16725" s="4" t="str">
        <f>HYPERLINK("#Statut_biogéographique!A"&amp;_xlfn.XMATCH("P",Statut_biogéographique!A:A,2,1),"P")</f>
        <v>P</v>
      </c>
      <c r="AP16725" s="4" t="s">
        <v>376</v>
      </c>
      <c r="AR16725" s="4" t="s">
        <v>377</v>
      </c>
    </row>
    <row r="16726" spans="1:44">
      <c r="A16726" s="4" t="s">
        <v>10753</v>
      </c>
      <c r="B16726" s="4">
        <v>322008</v>
      </c>
      <c r="D16726" s="5" t="s">
        <v>20240</v>
      </c>
      <c r="E16726" s="6" t="str">
        <f>HYPERLINK("https://inpn.mnhn.fr/espece/cd_nom/322008","Cryptocephalus carinthiacus Suffrian, 1848")</f>
        <v>Cryptocephalus carinthiacus Suffrian, 1848</v>
      </c>
      <c r="AH16726" s="4" t="str">
        <f>HYPERLINK("#Statut_biogéographique!A"&amp;_xlfn.XMATCH("P",Statut_biogéographique!A:A,2,1),"P")</f>
        <v>P</v>
      </c>
      <c r="AP16726" s="4" t="s">
        <v>376</v>
      </c>
      <c r="AR16726" s="4" t="s">
        <v>377</v>
      </c>
    </row>
    <row r="16727" spans="1:44">
      <c r="A16727" s="4" t="s">
        <v>10753</v>
      </c>
      <c r="B16727" s="4">
        <v>322067</v>
      </c>
      <c r="D16727" s="5" t="s">
        <v>20241</v>
      </c>
      <c r="E16727" s="6" t="str">
        <f>HYPERLINK("https://inpn.mnhn.fr/espece/cd_nom/322067","Oomorphus concolor (Sturm, 1807)")</f>
        <v>Oomorphus concolor (Sturm, 1807)</v>
      </c>
      <c r="AH16727" s="4" t="str">
        <f>HYPERLINK("#Statut_biogéographique!A"&amp;_xlfn.XMATCH("P",Statut_biogéographique!A:A,2,1),"P")</f>
        <v>P</v>
      </c>
      <c r="AP16727" s="4" t="s">
        <v>376</v>
      </c>
      <c r="AR16727" s="4" t="s">
        <v>377</v>
      </c>
    </row>
    <row r="16728" spans="1:44">
      <c r="A16728" s="4" t="s">
        <v>10753</v>
      </c>
      <c r="B16728" s="4">
        <v>322073</v>
      </c>
      <c r="D16728" s="5" t="s">
        <v>20242</v>
      </c>
      <c r="E16728" s="6" t="str">
        <f>HYPERLINK("https://inpn.mnhn.fr/espece/cd_nom/322073","Gonioctena linnaeana (Schrank, 1781)")</f>
        <v>Gonioctena linnaeana (Schrank, 1781)</v>
      </c>
      <c r="AH16728" s="4" t="str">
        <f>HYPERLINK("#Statut_biogéographique!A"&amp;_xlfn.XMATCH("P",Statut_biogéographique!A:A,2,1),"P")</f>
        <v>P</v>
      </c>
      <c r="AP16728" s="4" t="s">
        <v>376</v>
      </c>
      <c r="AR16728" s="4" t="s">
        <v>377</v>
      </c>
    </row>
    <row r="16729" spans="1:44">
      <c r="A16729" s="4" t="s">
        <v>10753</v>
      </c>
      <c r="B16729" s="4">
        <v>322076</v>
      </c>
      <c r="D16729" s="5" t="s">
        <v>20243</v>
      </c>
      <c r="E16729" s="6" t="str">
        <f>HYPERLINK("https://inpn.mnhn.fr/espece/cd_nom/322076","Gonioctena intermedia (Helliesen, 1913)")</f>
        <v>Gonioctena intermedia (Helliesen, 1913)</v>
      </c>
      <c r="AH16729" s="4" t="str">
        <f>HYPERLINK("#Statut_biogéographique!A"&amp;_xlfn.XMATCH("P",Statut_biogéographique!A:A,2,1),"P")</f>
        <v>P</v>
      </c>
      <c r="AP16729" s="4" t="s">
        <v>376</v>
      </c>
      <c r="AR16729" s="4" t="s">
        <v>377</v>
      </c>
    </row>
    <row r="16730" spans="1:44">
      <c r="A16730" s="4" t="s">
        <v>10753</v>
      </c>
      <c r="B16730" s="4">
        <v>322539</v>
      </c>
      <c r="D16730" s="5">
        <v>322539</v>
      </c>
      <c r="E16730" s="6" t="str">
        <f>HYPERLINK("https://inpn.mnhn.fr/espece/cd_nom/322539","Diabrotica virgifera LeConte, 1868")</f>
        <v>Diabrotica virgifera LeConte, 1868</v>
      </c>
      <c r="F16730" s="5" t="s">
        <v>20244</v>
      </c>
      <c r="AH16730" s="4" t="str">
        <f>HYPERLINK("#Statut_biogéographique!A"&amp;_xlfn.XMATCH("J",Statut_biogéographique!A:A,2,1),"J")</f>
        <v>J</v>
      </c>
      <c r="AP16730" s="4" t="s">
        <v>376</v>
      </c>
      <c r="AR16730" s="4" t="s">
        <v>377</v>
      </c>
    </row>
    <row r="16731" spans="1:44">
      <c r="A16731" s="4" t="s">
        <v>10753</v>
      </c>
      <c r="B16731" s="4">
        <v>322762</v>
      </c>
      <c r="D16731" s="5" t="s">
        <v>20245</v>
      </c>
      <c r="E16731" s="6" t="str">
        <f>HYPERLINK("https://inpn.mnhn.fr/espece/cd_nom/322762","Longitarsus minusculus (Foudras, 1860)")</f>
        <v>Longitarsus minusculus (Foudras, 1860)</v>
      </c>
      <c r="AH16731" s="4" t="str">
        <f>HYPERLINK("#Statut_biogéographique!A"&amp;_xlfn.XMATCH("P",Statut_biogéographique!A:A,2,1),"P")</f>
        <v>P</v>
      </c>
      <c r="AP16731" s="4" t="s">
        <v>376</v>
      </c>
      <c r="AR16731" s="4" t="s">
        <v>377</v>
      </c>
    </row>
    <row r="16732" spans="1:44">
      <c r="A16732" s="4" t="s">
        <v>10753</v>
      </c>
      <c r="B16732" s="4">
        <v>325426</v>
      </c>
      <c r="D16732" s="5" t="s">
        <v>20246</v>
      </c>
      <c r="E16732" s="6" t="str">
        <f>HYPERLINK("https://inpn.mnhn.fr/espece/cd_nom/325426","Hylastes brunneus Erichson, 1836")</f>
        <v>Hylastes brunneus Erichson, 1836</v>
      </c>
      <c r="AH16732" s="4" t="str">
        <f>HYPERLINK("#Statut_biogéographique!A"&amp;_xlfn.XMATCH("P",Statut_biogéographique!A:A,2,1),"P")</f>
        <v>P</v>
      </c>
      <c r="AP16732" s="4" t="s">
        <v>376</v>
      </c>
      <c r="AR16732" s="4" t="s">
        <v>377</v>
      </c>
    </row>
    <row r="16733" spans="1:44">
      <c r="A16733" s="4" t="s">
        <v>10753</v>
      </c>
      <c r="B16733" s="4">
        <v>328026</v>
      </c>
      <c r="D16733" s="5" t="s">
        <v>20247</v>
      </c>
      <c r="E16733" s="6" t="str">
        <f>HYPERLINK("https://inpn.mnhn.fr/espece/cd_nom/328026","Liophloeus tessulatus (O.F. Müller, 1776)")</f>
        <v>Liophloeus tessulatus (O.F. Müller, 1776)</v>
      </c>
      <c r="F16733" s="5" t="s">
        <v>20248</v>
      </c>
      <c r="AH16733" s="4" t="str">
        <f>HYPERLINK("#Statut_biogéographique!A"&amp;_xlfn.XMATCH("P",Statut_biogéographique!A:A,2,1),"P")</f>
        <v>P</v>
      </c>
      <c r="AP16733" s="4" t="s">
        <v>376</v>
      </c>
      <c r="AR16733" s="4" t="s">
        <v>377</v>
      </c>
    </row>
    <row r="16734" spans="1:44">
      <c r="A16734" s="4" t="s">
        <v>10753</v>
      </c>
      <c r="B16734" s="4">
        <v>329445</v>
      </c>
      <c r="D16734" s="5">
        <v>329445</v>
      </c>
      <c r="E16734" s="6" t="str">
        <f>HYPERLINK("https://inpn.mnhn.fr/espece/cd_nom/329445","Quedius curtipennis Bernhauer, 1908")</f>
        <v>Quedius curtipennis Bernhauer, 1908</v>
      </c>
      <c r="AH16734" s="4" t="str">
        <f>HYPERLINK("#Statut_biogéographique!A"&amp;_xlfn.XMATCH("P",Statut_biogéographique!A:A,2,1),"P")</f>
        <v>P</v>
      </c>
      <c r="AP16734" s="4" t="s">
        <v>376</v>
      </c>
      <c r="AR16734" s="4" t="s">
        <v>377</v>
      </c>
    </row>
    <row r="16735" spans="1:44">
      <c r="A16735" s="4" t="s">
        <v>10753</v>
      </c>
      <c r="B16735" s="4">
        <v>329494</v>
      </c>
      <c r="D16735" s="5" t="s">
        <v>20249</v>
      </c>
      <c r="E16735" s="6" t="str">
        <f>HYPERLINK("https://inpn.mnhn.fr/espece/cd_nom/329494","Quedius nitipennis (Stephens, 1833)")</f>
        <v>Quedius nitipennis (Stephens, 1833)</v>
      </c>
      <c r="AH16735" s="4" t="str">
        <f>HYPERLINK("#Statut_biogéographique!A"&amp;_xlfn.XMATCH("P",Statut_biogéographique!A:A,2,1),"P")</f>
        <v>P</v>
      </c>
      <c r="AP16735" s="4" t="s">
        <v>376</v>
      </c>
      <c r="AR16735" s="4" t="s">
        <v>377</v>
      </c>
    </row>
    <row r="16736" spans="1:44">
      <c r="A16736" s="4" t="s">
        <v>10753</v>
      </c>
      <c r="B16736" s="4">
        <v>330870</v>
      </c>
      <c r="D16736" s="5">
        <v>330870</v>
      </c>
      <c r="E16736" s="6" t="str">
        <f>HYPERLINK("https://inpn.mnhn.fr/espece/cd_nom/330870","Phloeonomus punctipennis Thomson, 1867")</f>
        <v>Phloeonomus punctipennis Thomson, 1867</v>
      </c>
      <c r="AH16736" s="4" t="str">
        <f>HYPERLINK("#Statut_biogéographique!A"&amp;_xlfn.XMATCH("P",Statut_biogéographique!A:A,2,1),"P")</f>
        <v>P</v>
      </c>
      <c r="AP16736" s="4" t="s">
        <v>376</v>
      </c>
      <c r="AR16736" s="4" t="s">
        <v>377</v>
      </c>
    </row>
    <row r="16737" spans="1:44">
      <c r="A16737" s="4" t="s">
        <v>10753</v>
      </c>
      <c r="B16737" s="4">
        <v>331889</v>
      </c>
      <c r="D16737" s="5" t="s">
        <v>20250</v>
      </c>
      <c r="E16737" s="6" t="str">
        <f>HYPERLINK("https://inpn.mnhn.fr/espece/cd_nom/331889","Brachygluta fossulata (Reichenbach, 1816)")</f>
        <v>Brachygluta fossulata (Reichenbach, 1816)</v>
      </c>
      <c r="AH16737" s="4" t="str">
        <f>HYPERLINK("#Statut_biogéographique!A"&amp;_xlfn.XMATCH("P",Statut_biogéographique!A:A,2,1),"P")</f>
        <v>P</v>
      </c>
      <c r="AP16737" s="4" t="s">
        <v>376</v>
      </c>
      <c r="AR16737" s="4" t="s">
        <v>377</v>
      </c>
    </row>
    <row r="16738" spans="1:44">
      <c r="A16738" s="4" t="s">
        <v>10753</v>
      </c>
      <c r="B16738" s="4">
        <v>332578</v>
      </c>
      <c r="D16738" s="5">
        <v>332578</v>
      </c>
      <c r="E16738" s="6" t="str">
        <f>HYPERLINK("https://inpn.mnhn.fr/espece/cd_nom/332578","Scaphisoma assimile Erichson, 1845")</f>
        <v>Scaphisoma assimile Erichson, 1845</v>
      </c>
      <c r="AH16738" s="4" t="str">
        <f>HYPERLINK("#Statut_biogéographique!A"&amp;_xlfn.XMATCH("P",Statut_biogéographique!A:A,2,1),"P")</f>
        <v>P</v>
      </c>
      <c r="AP16738" s="4" t="s">
        <v>376</v>
      </c>
      <c r="AR16738" s="4" t="s">
        <v>377</v>
      </c>
    </row>
    <row r="16739" spans="1:44">
      <c r="A16739" s="4" t="s">
        <v>10753</v>
      </c>
      <c r="B16739" s="4">
        <v>333015</v>
      </c>
      <c r="D16739" s="5" t="s">
        <v>20251</v>
      </c>
      <c r="E16739" s="6" t="str">
        <f>HYPERLINK("https://inpn.mnhn.fr/espece/cd_nom/333015","Derodontus macularis (Fuss, 1850)")</f>
        <v>Derodontus macularis (Fuss, 1850)</v>
      </c>
      <c r="AH16739" s="4" t="str">
        <f>HYPERLINK("#Statut_biogéographique!A"&amp;_xlfn.XMATCH("P",Statut_biogéographique!A:A,2,1),"P")</f>
        <v>P</v>
      </c>
      <c r="AP16739" s="4" t="s">
        <v>376</v>
      </c>
      <c r="AR16739" s="4" t="s">
        <v>377</v>
      </c>
    </row>
    <row r="16740" spans="1:44">
      <c r="A16740" s="4" t="s">
        <v>10753</v>
      </c>
      <c r="B16740" s="4">
        <v>334177</v>
      </c>
      <c r="D16740" s="5" t="s">
        <v>20252</v>
      </c>
      <c r="E16740" s="6" t="str">
        <f>HYPERLINK("https://inpn.mnhn.fr/espece/cd_nom/334177","Vertigo genesii (Gredler, 1856)")</f>
        <v>Vertigo genesii (Gredler, 1856)</v>
      </c>
      <c r="F16740" s="5" t="s">
        <v>20253</v>
      </c>
      <c r="K16740" s="4" t="str">
        <f>HYPERLINK("#Réglementation!A"&amp;_xlfn.XMATCH("CDH2",Réglementation!A:A,2,1),"CDH2")</f>
        <v>CDH2</v>
      </c>
      <c r="O16740" s="7" t="str">
        <f>HYPERLINK("#Liste_rouge!A"&amp;_xlfn.XMATCH("LC",Liste_rouge!A:A,2,1),"LC")</f>
        <v>LC</v>
      </c>
      <c r="P16740" s="7" t="str">
        <f>HYPERLINK("#Liste_rouge!A"&amp;_xlfn.XMATCH("LC",Liste_rouge!A:A,2,1),"LC")</f>
        <v>LC</v>
      </c>
      <c r="Q16740" s="7" t="str">
        <f>HYPERLINK("#Liste_rouge!A"&amp;_xlfn.XMATCH("EN",Liste_rouge!A:A,2,1),"EN")</f>
        <v>EN</v>
      </c>
      <c r="AH16740" s="4" t="str">
        <f>HYPERLINK("#Statut_biogéographique!A"&amp;_xlfn.XMATCH("P",Statut_biogéographique!A:A,2,1),"P")</f>
        <v>P</v>
      </c>
      <c r="AM16740" s="4" t="s">
        <v>375</v>
      </c>
      <c r="AN16740" s="4" t="s">
        <v>375</v>
      </c>
      <c r="AO16740" s="4" t="s">
        <v>375</v>
      </c>
      <c r="AP16740" s="4" t="s">
        <v>376</v>
      </c>
      <c r="AR16740" s="4" t="s">
        <v>377</v>
      </c>
    </row>
    <row r="16741" spans="1:44">
      <c r="A16741" s="4" t="s">
        <v>10753</v>
      </c>
      <c r="B16741" s="4">
        <v>334178</v>
      </c>
      <c r="D16741" s="5" t="s">
        <v>20254</v>
      </c>
      <c r="E16741" s="6" t="str">
        <f>HYPERLINK("https://inpn.mnhn.fr/espece/cd_nom/334178","Vertigo geyeri Lindholm, 1925")</f>
        <v>Vertigo geyeri Lindholm, 1925</v>
      </c>
      <c r="F16741" s="5" t="s">
        <v>20255</v>
      </c>
      <c r="K16741" s="4" t="str">
        <f>HYPERLINK("#Réglementation!A"&amp;_xlfn.XMATCH("CDH2",Réglementation!A:A,2,1),"CDH2")</f>
        <v>CDH2</v>
      </c>
      <c r="O16741" s="7" t="str">
        <f>HYPERLINK("#Liste_rouge!A"&amp;_xlfn.XMATCH("LC",Liste_rouge!A:A,2,1),"LC")</f>
        <v>LC</v>
      </c>
      <c r="P16741" s="7" t="str">
        <f>HYPERLINK("#Liste_rouge!A"&amp;_xlfn.XMATCH("LC",Liste_rouge!A:A,2,1),"LC")</f>
        <v>LC</v>
      </c>
      <c r="Q16741" s="7" t="str">
        <f>HYPERLINK("#Liste_rouge!A"&amp;_xlfn.XMATCH("LC",Liste_rouge!A:A,2,1),"LC")</f>
        <v>LC</v>
      </c>
      <c r="AH16741" s="4" t="str">
        <f>HYPERLINK("#Statut_biogéographique!A"&amp;_xlfn.XMATCH("P",Statut_biogéographique!A:A,2,1),"P")</f>
        <v>P</v>
      </c>
      <c r="AM16741" s="4" t="s">
        <v>375</v>
      </c>
      <c r="AN16741" s="4" t="s">
        <v>375</v>
      </c>
      <c r="AO16741" s="4" t="s">
        <v>375</v>
      </c>
      <c r="AP16741" s="4" t="s">
        <v>376</v>
      </c>
      <c r="AR16741" s="4" t="s">
        <v>377</v>
      </c>
    </row>
    <row r="16742" spans="1:44" ht="30">
      <c r="A16742" s="4" t="s">
        <v>10753</v>
      </c>
      <c r="B16742" s="4">
        <v>335667</v>
      </c>
      <c r="D16742" s="5" t="s">
        <v>20256</v>
      </c>
      <c r="E16742" s="6" t="str">
        <f>HYPERLINK("https://inpn.mnhn.fr/espece/cd_nom/335667","Zonitoides arboreus (Say, 1816)")</f>
        <v>Zonitoides arboreus (Say, 1816)</v>
      </c>
      <c r="F16742" s="5" t="s">
        <v>20257</v>
      </c>
      <c r="Q16742" s="7" t="str">
        <f>HYPERLINK("#Liste_rouge!A"&amp;_xlfn.XMATCH("NA",Liste_rouge!A:A,2,1),"NA")</f>
        <v>NA</v>
      </c>
      <c r="AH16742" s="4" t="str">
        <f>HYPERLINK("#Statut_biogéographique!A"&amp;_xlfn.XMATCH("M",Statut_biogéographique!A:A,2,1),"M")</f>
        <v>M</v>
      </c>
      <c r="AM16742" s="4" t="s">
        <v>375</v>
      </c>
      <c r="AN16742" s="4" t="s">
        <v>375</v>
      </c>
      <c r="AO16742" s="4" t="s">
        <v>375</v>
      </c>
      <c r="AP16742" s="4" t="s">
        <v>376</v>
      </c>
      <c r="AR16742" s="4" t="s">
        <v>377</v>
      </c>
    </row>
    <row r="16743" spans="1:44">
      <c r="A16743" s="4" t="s">
        <v>10753</v>
      </c>
      <c r="B16743" s="4">
        <v>337113</v>
      </c>
      <c r="D16743" s="5" t="s">
        <v>20258</v>
      </c>
      <c r="E16743" s="6" t="str">
        <f>HYPERLINK("https://inpn.mnhn.fr/espece/cd_nom/337113","Nemastoma bimaculatum (Fabricius, 1775)")</f>
        <v>Nemastoma bimaculatum (Fabricius, 1775)</v>
      </c>
      <c r="AH16743" s="4" t="str">
        <f>HYPERLINK("#Statut_biogéographique!A"&amp;_xlfn.XMATCH("P",Statut_biogéographique!A:A,2,1),"P")</f>
        <v>P</v>
      </c>
      <c r="AP16743" s="4" t="s">
        <v>376</v>
      </c>
      <c r="AR16743" s="4" t="s">
        <v>377</v>
      </c>
    </row>
    <row r="16744" spans="1:44">
      <c r="A16744" s="4" t="s">
        <v>10753</v>
      </c>
      <c r="B16744" s="4">
        <v>337165</v>
      </c>
      <c r="D16744" s="5" t="s">
        <v>20259</v>
      </c>
      <c r="E16744" s="6" t="str">
        <f>HYPERLINK("https://inpn.mnhn.fr/espece/cd_nom/337165","Mitostoma chrysomelas (Hermann, 1804)")</f>
        <v>Mitostoma chrysomelas (Hermann, 1804)</v>
      </c>
      <c r="AH16744" s="4" t="str">
        <f>HYPERLINK("#Statut_biogéographique!A"&amp;_xlfn.XMATCH("P",Statut_biogéographique!A:A,2,1),"P")</f>
        <v>P</v>
      </c>
      <c r="AP16744" s="4" t="s">
        <v>376</v>
      </c>
      <c r="AR16744" s="4" t="s">
        <v>377</v>
      </c>
    </row>
    <row r="16745" spans="1:44">
      <c r="A16745" s="4" t="s">
        <v>10753</v>
      </c>
      <c r="B16745" s="4">
        <v>337240</v>
      </c>
      <c r="D16745" s="5" t="s">
        <v>20260</v>
      </c>
      <c r="E16745" s="6" t="str">
        <f>HYPERLINK("https://inpn.mnhn.fr/espece/cd_nom/337240","Opilio canestrinii (Thorell, 1876)")</f>
        <v>Opilio canestrinii (Thorell, 1876)</v>
      </c>
      <c r="AH16745" s="4" t="str">
        <f>HYPERLINK("#Statut_biogéographique!A"&amp;_xlfn.XMATCH("P",Statut_biogéographique!A:A,2,1),"P")</f>
        <v>P</v>
      </c>
      <c r="AP16745" s="4" t="s">
        <v>376</v>
      </c>
      <c r="AR16745" s="4" t="s">
        <v>377</v>
      </c>
    </row>
    <row r="16746" spans="1:44">
      <c r="A16746" s="4" t="s">
        <v>10753</v>
      </c>
      <c r="B16746" s="4">
        <v>337312</v>
      </c>
      <c r="D16746" s="5" t="s">
        <v>20261</v>
      </c>
      <c r="E16746" s="6" t="str">
        <f>HYPERLINK("https://inpn.mnhn.fr/espece/cd_nom/337312","Mitopus morio (Fabricius, 1779)")</f>
        <v>Mitopus morio (Fabricius, 1779)</v>
      </c>
      <c r="AH16746" s="4" t="str">
        <f>HYPERLINK("#Statut_biogéographique!A"&amp;_xlfn.XMATCH("P",Statut_biogéographique!A:A,2,1),"P")</f>
        <v>P</v>
      </c>
      <c r="AP16746" s="4" t="s">
        <v>376</v>
      </c>
      <c r="AR16746" s="4" t="s">
        <v>377</v>
      </c>
    </row>
    <row r="16747" spans="1:44">
      <c r="A16747" s="4" t="s">
        <v>10753</v>
      </c>
      <c r="B16747" s="4">
        <v>337320</v>
      </c>
      <c r="D16747" s="5" t="s">
        <v>20262</v>
      </c>
      <c r="E16747" s="6" t="str">
        <f>HYPERLINK("https://inpn.mnhn.fr/espece/cd_nom/337320","Dicranopalpus ramosus (Simon, 1909)")</f>
        <v>Dicranopalpus ramosus (Simon, 1909)</v>
      </c>
      <c r="AH16747" s="4" t="str">
        <f>HYPERLINK("#Statut_biogéographique!A"&amp;_xlfn.XMATCH("P",Statut_biogéographique!A:A,2,1),"P")</f>
        <v>P</v>
      </c>
      <c r="AP16747" s="4" t="s">
        <v>376</v>
      </c>
      <c r="AR16747" s="4" t="s">
        <v>377</v>
      </c>
    </row>
    <row r="16748" spans="1:44">
      <c r="A16748" s="4" t="s">
        <v>10753</v>
      </c>
      <c r="B16748" s="4">
        <v>337326</v>
      </c>
      <c r="D16748" s="5" t="s">
        <v>20263</v>
      </c>
      <c r="E16748" s="6" t="str">
        <f>HYPERLINK("https://inpn.mnhn.fr/espece/cd_nom/337326","Amilenus aurantiacus (Simon, 1881)")</f>
        <v>Amilenus aurantiacus (Simon, 1881)</v>
      </c>
      <c r="AH16748" s="4" t="str">
        <f>HYPERLINK("#Statut_biogéographique!A"&amp;_xlfn.XMATCH("P",Statut_biogéographique!A:A,2,1),"P")</f>
        <v>P</v>
      </c>
      <c r="AP16748" s="4" t="s">
        <v>376</v>
      </c>
      <c r="AR16748" s="4" t="s">
        <v>377</v>
      </c>
    </row>
    <row r="16749" spans="1:44">
      <c r="A16749" s="4" t="s">
        <v>10753</v>
      </c>
      <c r="B16749" s="4">
        <v>338530</v>
      </c>
      <c r="D16749" s="5">
        <v>338530</v>
      </c>
      <c r="E16749" s="6" t="str">
        <f>HYPERLINK("https://inpn.mnhn.fr/espece/cd_nom/338530","")</f>
        <v/>
      </c>
      <c r="AP16749" s="4" t="s">
        <v>376</v>
      </c>
      <c r="AR16749" s="4" t="s">
        <v>377</v>
      </c>
    </row>
    <row r="16750" spans="1:44" ht="30">
      <c r="A16750" s="4" t="s">
        <v>10753</v>
      </c>
      <c r="B16750" s="4">
        <v>339889</v>
      </c>
      <c r="D16750" s="5">
        <v>339889</v>
      </c>
      <c r="E16750" s="6" t="str">
        <f>HYPERLINK("https://inpn.mnhn.fr/espece/cd_nom/339889","Myrmechixenus subterraneus Chevrolat, 1835")</f>
        <v>Myrmechixenus subterraneus Chevrolat, 1835</v>
      </c>
      <c r="AH16750" s="4" t="str">
        <f>HYPERLINK("#Statut_biogéographique!A"&amp;_xlfn.XMATCH("P",Statut_biogéographique!A:A,2,1),"P")</f>
        <v>P</v>
      </c>
      <c r="AP16750" s="4" t="s">
        <v>376</v>
      </c>
      <c r="AR16750" s="4" t="s">
        <v>377</v>
      </c>
    </row>
    <row r="16751" spans="1:44">
      <c r="A16751" s="4" t="s">
        <v>10753</v>
      </c>
      <c r="B16751" s="4">
        <v>339919</v>
      </c>
      <c r="D16751" s="5" t="s">
        <v>20264</v>
      </c>
      <c r="E16751" s="6" t="str">
        <f>HYPERLINK("https://inpn.mnhn.fr/espece/cd_nom/339919","Prionychus fairmairii (Reiche, 1860)")</f>
        <v>Prionychus fairmairii (Reiche, 1860)</v>
      </c>
      <c r="P16751" s="7" t="str">
        <f>HYPERLINK("#Liste_rouge!A"&amp;_xlfn.XMATCH("DD",Liste_rouge!A:A,2,1),"DD")</f>
        <v>DD</v>
      </c>
      <c r="AH16751" s="4" t="str">
        <f>HYPERLINK("#Statut_biogéographique!A"&amp;_xlfn.XMATCH("P",Statut_biogéographique!A:A,2,1),"P")</f>
        <v>P</v>
      </c>
      <c r="AP16751" s="4" t="s">
        <v>376</v>
      </c>
      <c r="AR16751" s="4" t="s">
        <v>377</v>
      </c>
    </row>
    <row r="16752" spans="1:44">
      <c r="A16752" s="4" t="s">
        <v>10753</v>
      </c>
      <c r="B16752" s="4">
        <v>339965</v>
      </c>
      <c r="D16752" s="5" t="s">
        <v>20265</v>
      </c>
      <c r="E16752" s="6" t="str">
        <f>HYPERLINK("https://inpn.mnhn.fr/espece/cd_nom/339965","Mycetochara axillaris (Paykull, 1799)")</f>
        <v>Mycetochara axillaris (Paykull, 1799)</v>
      </c>
      <c r="P16752" s="7" t="str">
        <f>HYPERLINK("#Liste_rouge!A"&amp;_xlfn.XMATCH("LC",Liste_rouge!A:A,2,1),"LC")</f>
        <v>LC</v>
      </c>
      <c r="AH16752" s="4" t="str">
        <f>HYPERLINK("#Statut_biogéographique!A"&amp;_xlfn.XMATCH("P",Statut_biogéographique!A:A,2,1),"P")</f>
        <v>P</v>
      </c>
      <c r="AP16752" s="4" t="s">
        <v>376</v>
      </c>
      <c r="AR16752" s="4" t="s">
        <v>377</v>
      </c>
    </row>
    <row r="16753" spans="1:44">
      <c r="A16753" s="4" t="s">
        <v>10753</v>
      </c>
      <c r="B16753" s="4">
        <v>339972</v>
      </c>
      <c r="D16753" s="5" t="s">
        <v>20266</v>
      </c>
      <c r="E16753" s="6" t="str">
        <f>HYPERLINK("https://inpn.mnhn.fr/espece/cd_nom/339972","Mycetochara humeralis (Fabricius, 1787)")</f>
        <v>Mycetochara humeralis (Fabricius, 1787)</v>
      </c>
      <c r="P16753" s="7" t="str">
        <f>HYPERLINK("#Liste_rouge!A"&amp;_xlfn.XMATCH("LC",Liste_rouge!A:A,2,1),"LC")</f>
        <v>LC</v>
      </c>
      <c r="AH16753" s="4" t="str">
        <f>HYPERLINK("#Statut_biogéographique!A"&amp;_xlfn.XMATCH("P",Statut_biogéographique!A:A,2,1),"P")</f>
        <v>P</v>
      </c>
      <c r="AP16753" s="4" t="s">
        <v>376</v>
      </c>
      <c r="AR16753" s="4" t="s">
        <v>377</v>
      </c>
    </row>
    <row r="16754" spans="1:44">
      <c r="A16754" s="4" t="s">
        <v>10753</v>
      </c>
      <c r="B16754" s="4">
        <v>340003</v>
      </c>
      <c r="D16754" s="5">
        <v>340003</v>
      </c>
      <c r="E16754" s="6" t="str">
        <f>HYPERLINK("https://inpn.mnhn.fr/espece/cd_nom/340003","Isomira hypocrita Mulsant, 1856")</f>
        <v>Isomira hypocrita Mulsant, 1856</v>
      </c>
      <c r="O16754" s="7" t="str">
        <f>HYPERLINK("#Liste_rouge!A"&amp;_xlfn.XMATCH("DD",Liste_rouge!A:A,2,1),"DD")</f>
        <v>DD</v>
      </c>
      <c r="P16754" s="7" t="str">
        <f>HYPERLINK("#Liste_rouge!A"&amp;_xlfn.XMATCH("DD",Liste_rouge!A:A,2,1),"DD")</f>
        <v>DD</v>
      </c>
      <c r="AH16754" s="4" t="str">
        <f>HYPERLINK("#Statut_biogéographique!A"&amp;_xlfn.XMATCH("P",Statut_biogéographique!A:A,2,1),"P")</f>
        <v>P</v>
      </c>
      <c r="AP16754" s="4" t="s">
        <v>376</v>
      </c>
      <c r="AR16754" s="4" t="s">
        <v>377</v>
      </c>
    </row>
    <row r="16755" spans="1:44">
      <c r="A16755" s="4" t="s">
        <v>10753</v>
      </c>
      <c r="B16755" s="4">
        <v>340004</v>
      </c>
      <c r="D16755" s="5" t="s">
        <v>20267</v>
      </c>
      <c r="E16755" s="6" t="str">
        <f>HYPERLINK("https://inpn.mnhn.fr/espece/cd_nom/340004","Isomira icteropa (Küster, 1852)")</f>
        <v>Isomira icteropa (Küster, 1852)</v>
      </c>
      <c r="P16755" s="7" t="str">
        <f>HYPERLINK("#Liste_rouge!A"&amp;_xlfn.XMATCH("LC",Liste_rouge!A:A,2,1),"LC")</f>
        <v>LC</v>
      </c>
      <c r="AH16755" s="4" t="str">
        <f>HYPERLINK("#Statut_biogéographique!A"&amp;_xlfn.XMATCH("P",Statut_biogéographique!A:A,2,1),"P")</f>
        <v>P</v>
      </c>
      <c r="AP16755" s="4" t="s">
        <v>376</v>
      </c>
      <c r="AR16755" s="4" t="s">
        <v>377</v>
      </c>
    </row>
    <row r="16756" spans="1:44">
      <c r="A16756" s="4" t="s">
        <v>10753</v>
      </c>
      <c r="B16756" s="4">
        <v>340048</v>
      </c>
      <c r="D16756" s="5" t="s">
        <v>20268</v>
      </c>
      <c r="E16756" s="6" t="str">
        <f>HYPERLINK("https://inpn.mnhn.fr/espece/cd_nom/340048","Cteniopus sulphureus (Linnaeus, 1758)")</f>
        <v>Cteniopus sulphureus (Linnaeus, 1758)</v>
      </c>
      <c r="F16756" s="5" t="s">
        <v>20269</v>
      </c>
      <c r="AH16756" s="4" t="str">
        <f>HYPERLINK("#Statut_biogéographique!A"&amp;_xlfn.XMATCH("P",Statut_biogéographique!A:A,2,1),"P")</f>
        <v>P</v>
      </c>
      <c r="AP16756" s="4" t="s">
        <v>376</v>
      </c>
      <c r="AR16756" s="4" t="s">
        <v>377</v>
      </c>
    </row>
    <row r="16757" spans="1:44">
      <c r="A16757" s="4" t="s">
        <v>10753</v>
      </c>
      <c r="B16757" s="4">
        <v>340053</v>
      </c>
      <c r="D16757" s="5" t="s">
        <v>20270</v>
      </c>
      <c r="E16757" s="6" t="str">
        <f>HYPERLINK("https://inpn.mnhn.fr/espece/cd_nom/340053","Allecula morio (Fabricius, 1787)")</f>
        <v>Allecula morio (Fabricius, 1787)</v>
      </c>
      <c r="O16757" s="7" t="str">
        <f>HYPERLINK("#Liste_rouge!A"&amp;_xlfn.XMATCH("LC",Liste_rouge!A:A,2,1),"LC")</f>
        <v>LC</v>
      </c>
      <c r="P16757" s="7" t="str">
        <f>HYPERLINK("#Liste_rouge!A"&amp;_xlfn.XMATCH("LC",Liste_rouge!A:A,2,1),"LC")</f>
        <v>LC</v>
      </c>
      <c r="AH16757" s="4" t="str">
        <f>HYPERLINK("#Statut_biogéographique!A"&amp;_xlfn.XMATCH("P",Statut_biogéographique!A:A,2,1),"P")</f>
        <v>P</v>
      </c>
      <c r="AP16757" s="4" t="s">
        <v>376</v>
      </c>
      <c r="AR16757" s="4" t="s">
        <v>377</v>
      </c>
    </row>
    <row r="16758" spans="1:44">
      <c r="A16758" s="4" t="s">
        <v>10753</v>
      </c>
      <c r="B16758" s="4">
        <v>340134</v>
      </c>
      <c r="D16758" s="5" t="s">
        <v>20271</v>
      </c>
      <c r="E16758" s="6" t="str">
        <f>HYPERLINK("https://inpn.mnhn.fr/espece/cd_nom/340134","Polypedilum pullum (Zetterstedt, 1838)")</f>
        <v>Polypedilum pullum (Zetterstedt, 1838)</v>
      </c>
      <c r="AH16758" s="4" t="str">
        <f>HYPERLINK("#Statut_biogéographique!A"&amp;_xlfn.XMATCH("P",Statut_biogéographique!A:A,2,1),"P")</f>
        <v>P</v>
      </c>
      <c r="AP16758" s="4" t="s">
        <v>376</v>
      </c>
      <c r="AR16758" s="4" t="s">
        <v>377</v>
      </c>
    </row>
    <row r="16759" spans="1:44">
      <c r="A16759" s="4" t="s">
        <v>10753</v>
      </c>
      <c r="B16759" s="4">
        <v>340699</v>
      </c>
      <c r="D16759" s="5" t="s">
        <v>20272</v>
      </c>
      <c r="E16759" s="6" t="str">
        <f>HYPERLINK("https://inpn.mnhn.fr/espece/cd_nom/340699","Stigmella carpinella (Heinemann, 1862)")</f>
        <v>Stigmella carpinella (Heinemann, 1862)</v>
      </c>
      <c r="AH16759" s="4" t="str">
        <f>HYPERLINK("#Statut_biogéographique!A"&amp;_xlfn.XMATCH("P",Statut_biogéographique!A:A,2,1),"P")</f>
        <v>P</v>
      </c>
      <c r="AP16759" s="4" t="s">
        <v>376</v>
      </c>
      <c r="AR16759" s="4" t="s">
        <v>377</v>
      </c>
    </row>
    <row r="16760" spans="1:44">
      <c r="A16760" s="4" t="s">
        <v>10753</v>
      </c>
      <c r="B16760" s="4">
        <v>340816</v>
      </c>
      <c r="D16760" s="5">
        <v>340816</v>
      </c>
      <c r="E16760" s="6" t="str">
        <f>HYPERLINK("https://inpn.mnhn.fr/espece/cd_nom/340816","Psychoides verhuella Bruand, 1853")</f>
        <v>Psychoides verhuella Bruand, 1853</v>
      </c>
      <c r="AH16760" s="4" t="str">
        <f>HYPERLINK("#Statut_biogéographique!A"&amp;_xlfn.XMATCH("P",Statut_biogéographique!A:A,2,1),"P")</f>
        <v>P</v>
      </c>
      <c r="AP16760" s="4" t="s">
        <v>376</v>
      </c>
      <c r="AR16760" s="4" t="s">
        <v>377</v>
      </c>
    </row>
    <row r="16761" spans="1:44">
      <c r="A16761" s="4" t="s">
        <v>10753</v>
      </c>
      <c r="B16761" s="4">
        <v>340852</v>
      </c>
      <c r="D16761" s="5" t="s">
        <v>20273</v>
      </c>
      <c r="E16761" s="6" t="str">
        <f>HYPERLINK("https://inpn.mnhn.fr/espece/cd_nom/340852","Tineola bisselliella (Hummel, 1823)")</f>
        <v>Tineola bisselliella (Hummel, 1823)</v>
      </c>
      <c r="AH16761" s="4" t="str">
        <f>HYPERLINK("#Statut_biogéographique!A"&amp;_xlfn.XMATCH("I",Statut_biogéographique!A:A,2,1),"I")</f>
        <v>I</v>
      </c>
      <c r="AP16761" s="4" t="s">
        <v>376</v>
      </c>
      <c r="AR16761" s="4" t="s">
        <v>377</v>
      </c>
    </row>
    <row r="16762" spans="1:44">
      <c r="A16762" s="4" t="s">
        <v>10753</v>
      </c>
      <c r="B16762" s="4">
        <v>341242</v>
      </c>
      <c r="D16762" s="5">
        <v>341242</v>
      </c>
      <c r="E16762" s="6" t="str">
        <f>HYPERLINK("https://inpn.mnhn.fr/espece/cd_nom/341242","Bucculatrix ulmifoliae M. Hering, 1931")</f>
        <v>Bucculatrix ulmifoliae M. Hering, 1931</v>
      </c>
      <c r="AH16762" s="4" t="str">
        <f>HYPERLINK("#Statut_biogéographique!A"&amp;_xlfn.XMATCH("P",Statut_biogéographique!A:A,2,1),"P")</f>
        <v>P</v>
      </c>
      <c r="AP16762" s="4" t="s">
        <v>376</v>
      </c>
      <c r="AR16762" s="4" t="s">
        <v>377</v>
      </c>
    </row>
    <row r="16763" spans="1:44" ht="30">
      <c r="A16763" s="4" t="s">
        <v>10753</v>
      </c>
      <c r="B16763" s="4">
        <v>341468</v>
      </c>
      <c r="D16763" s="5" t="s">
        <v>20274</v>
      </c>
      <c r="E16763" s="6" t="str">
        <f>HYPERLINK("https://inpn.mnhn.fr/espece/cd_nom/341468","Semioscopis strigulana (Denis &amp; Schiffermüller, 1775)")</f>
        <v>Semioscopis strigulana (Denis &amp; Schiffermüller, 1775)</v>
      </c>
      <c r="AH16763" s="4" t="str">
        <f>HYPERLINK("#Statut_biogéographique!A"&amp;_xlfn.XMATCH("P",Statut_biogéographique!A:A,2,1),"P")</f>
        <v>P</v>
      </c>
      <c r="AP16763" s="4" t="s">
        <v>376</v>
      </c>
      <c r="AR16763" s="4" t="s">
        <v>377</v>
      </c>
    </row>
    <row r="16764" spans="1:44">
      <c r="A16764" s="4" t="s">
        <v>10753</v>
      </c>
      <c r="B16764" s="4">
        <v>341582</v>
      </c>
      <c r="D16764" s="5" t="s">
        <v>20275</v>
      </c>
      <c r="E16764" s="6" t="str">
        <f>HYPERLINK("https://inpn.mnhn.fr/espece/cd_nom/341582","Elachista festucicolella Zeller, 1853")</f>
        <v>Elachista festucicolella Zeller, 1853</v>
      </c>
      <c r="AH16764" s="4" t="str">
        <f>HYPERLINK("#Statut_biogéographique!A"&amp;_xlfn.XMATCH("P",Statut_biogéographique!A:A,2,1),"P")</f>
        <v>P</v>
      </c>
      <c r="AP16764" s="4" t="s">
        <v>376</v>
      </c>
      <c r="AR16764" s="4" t="s">
        <v>377</v>
      </c>
    </row>
    <row r="16765" spans="1:44">
      <c r="A16765" s="4" t="s">
        <v>10753</v>
      </c>
      <c r="B16765" s="4">
        <v>341681</v>
      </c>
      <c r="D16765" s="5">
        <v>341681</v>
      </c>
      <c r="E16765" s="6" t="str">
        <f>HYPERLINK("https://inpn.mnhn.fr/espece/cd_nom/341681","Elachista poae Stainton, 1855")</f>
        <v>Elachista poae Stainton, 1855</v>
      </c>
      <c r="AH16765" s="4" t="str">
        <f>HYPERLINK("#Statut_biogéographique!A"&amp;_xlfn.XMATCH("P",Statut_biogéographique!A:A,2,1),"P")</f>
        <v>P</v>
      </c>
      <c r="AP16765" s="4" t="s">
        <v>376</v>
      </c>
      <c r="AR16765" s="4" t="s">
        <v>377</v>
      </c>
    </row>
    <row r="16766" spans="1:44">
      <c r="A16766" s="4" t="s">
        <v>10753</v>
      </c>
      <c r="B16766" s="4">
        <v>341688</v>
      </c>
      <c r="D16766" s="5" t="s">
        <v>20276</v>
      </c>
      <c r="E16766" s="6" t="str">
        <f>HYPERLINK("https://inpn.mnhn.fr/espece/cd_nom/341688","Elachista stabilella Stainton, 1858")</f>
        <v>Elachista stabilella Stainton, 1858</v>
      </c>
      <c r="AH16766" s="4" t="str">
        <f>HYPERLINK("#Statut_biogéographique!A"&amp;_xlfn.XMATCH("P",Statut_biogéographique!A:A,2,1),"P")</f>
        <v>P</v>
      </c>
      <c r="AP16766" s="4" t="s">
        <v>376</v>
      </c>
      <c r="AR16766" s="4" t="s">
        <v>377</v>
      </c>
    </row>
    <row r="16767" spans="1:44">
      <c r="A16767" s="4" t="s">
        <v>10753</v>
      </c>
      <c r="B16767" s="4">
        <v>341841</v>
      </c>
      <c r="D16767" s="5">
        <v>341841</v>
      </c>
      <c r="E16767" s="6" t="str">
        <f>HYPERLINK("https://inpn.mnhn.fr/espece/cd_nom/341841","Metalampra italica Baldizzone, 1977")</f>
        <v>Metalampra italica Baldizzone, 1977</v>
      </c>
      <c r="AH16767" s="4" t="str">
        <f>HYPERLINK("#Statut_biogéographique!A"&amp;_xlfn.XMATCH("P",Statut_biogéographique!A:A,2,1),"P")</f>
        <v>P</v>
      </c>
      <c r="AP16767" s="4" t="s">
        <v>376</v>
      </c>
      <c r="AR16767" s="4" t="s">
        <v>377</v>
      </c>
    </row>
    <row r="16768" spans="1:44">
      <c r="A16768" s="4" t="s">
        <v>10753</v>
      </c>
      <c r="B16768" s="4">
        <v>341915</v>
      </c>
      <c r="D16768" s="5" t="s">
        <v>20277</v>
      </c>
      <c r="E16768" s="6" t="str">
        <f>HYPERLINK("https://inpn.mnhn.fr/espece/cd_nom/341915","Coleophora badiipennella (Duponchel, 1843)")</f>
        <v>Coleophora badiipennella (Duponchel, 1843)</v>
      </c>
      <c r="AH16768" s="4" t="str">
        <f>HYPERLINK("#Statut_biogéographique!A"&amp;_xlfn.XMATCH("P",Statut_biogéographique!A:A,2,1),"P")</f>
        <v>P</v>
      </c>
      <c r="AP16768" s="4" t="s">
        <v>376</v>
      </c>
      <c r="AR16768" s="4" t="s">
        <v>377</v>
      </c>
    </row>
    <row r="16769" spans="1:44">
      <c r="A16769" s="4" t="s">
        <v>10753</v>
      </c>
      <c r="B16769" s="4">
        <v>342738</v>
      </c>
      <c r="D16769" s="5" t="s">
        <v>20278</v>
      </c>
      <c r="E16769" s="6" t="str">
        <f>HYPERLINK("https://inpn.mnhn.fr/espece/cd_nom/342738","Zygaena minos viridescens Burgeff, 1926")</f>
        <v>Zygaena minos viridescens Burgeff, 1926</v>
      </c>
      <c r="AH16769" s="4" t="str">
        <f>HYPERLINK("#Statut_biogéographique!A"&amp;_xlfn.XMATCH("P",Statut_biogéographique!A:A,2,1),"P")</f>
        <v>P</v>
      </c>
      <c r="AP16769" s="4" t="s">
        <v>376</v>
      </c>
      <c r="AR16769" s="4" t="s">
        <v>377</v>
      </c>
    </row>
    <row r="16770" spans="1:44" ht="30">
      <c r="A16770" s="4" t="s">
        <v>10753</v>
      </c>
      <c r="B16770" s="4">
        <v>342742</v>
      </c>
      <c r="D16770" s="5" t="s">
        <v>20279</v>
      </c>
      <c r="E16770" s="6" t="str">
        <f>HYPERLINK("https://inpn.mnhn.fr/espece/cd_nom/342742","Zygaena purpuralis purpuralis (Brünnich, 1763)")</f>
        <v>Zygaena purpuralis purpuralis (Brünnich, 1763)</v>
      </c>
      <c r="AH16770" s="4" t="str">
        <f>HYPERLINK("#Statut_biogéographique!A"&amp;_xlfn.XMATCH("P",Statut_biogéographique!A:A,2,1),"P")</f>
        <v>P</v>
      </c>
      <c r="AP16770" s="4" t="s">
        <v>376</v>
      </c>
      <c r="AR16770" s="4" t="s">
        <v>377</v>
      </c>
    </row>
    <row r="16771" spans="1:44">
      <c r="A16771" s="4" t="s">
        <v>10753</v>
      </c>
      <c r="B16771" s="4">
        <v>342772</v>
      </c>
      <c r="D16771" s="5">
        <v>342772</v>
      </c>
      <c r="E16771" s="6" t="str">
        <f>HYPERLINK("https://inpn.mnhn.fr/espece/cd_nom/342772","Zygaena fausta junceae Oberthür, 1884")</f>
        <v>Zygaena fausta junceae Oberthür, 1884</v>
      </c>
      <c r="AH16771" s="4" t="str">
        <f>HYPERLINK("#Statut_biogéographique!A"&amp;_xlfn.XMATCH("E",Statut_biogéographique!A:A,2,1),"E")</f>
        <v>E</v>
      </c>
      <c r="AP16771" s="4" t="s">
        <v>376</v>
      </c>
      <c r="AR16771" s="4" t="s">
        <v>377</v>
      </c>
    </row>
    <row r="16772" spans="1:44" ht="30">
      <c r="A16772" s="4" t="s">
        <v>10753</v>
      </c>
      <c r="B16772" s="4">
        <v>342789</v>
      </c>
      <c r="D16772" s="5" t="s">
        <v>20280</v>
      </c>
      <c r="E16772" s="6" t="str">
        <f>HYPERLINK("https://inpn.mnhn.fr/espece/cd_nom/342789","Zygaena carniolica virginea (O.F. Müller, 1766)")</f>
        <v>Zygaena carniolica virginea (O.F. Müller, 1766)</v>
      </c>
      <c r="AH16772" s="4" t="str">
        <f>HYPERLINK("#Statut_biogéographique!A"&amp;_xlfn.XMATCH("S",Statut_biogéographique!A:A,2,1),"S")</f>
        <v>S</v>
      </c>
      <c r="AP16772" s="4" t="s">
        <v>376</v>
      </c>
      <c r="AR16772" s="4" t="s">
        <v>377</v>
      </c>
    </row>
    <row r="16773" spans="1:44" ht="60">
      <c r="A16773" s="4" t="s">
        <v>10753</v>
      </c>
      <c r="B16773" s="4">
        <v>342946</v>
      </c>
      <c r="D16773" s="5" t="s">
        <v>20281</v>
      </c>
      <c r="E16773" s="6" t="str">
        <f>HYPERLINK("https://inpn.mnhn.fr/espece/cd_nom/342946","Zygaena transalpina hippocrepidis (Hübner, 1799)")</f>
        <v>Zygaena transalpina hippocrepidis (Hübner, 1799)</v>
      </c>
      <c r="F16773" s="5" t="s">
        <v>20282</v>
      </c>
      <c r="AH16773" s="4" t="str">
        <f>HYPERLINK("#Statut_biogéographique!A"&amp;_xlfn.XMATCH("P",Statut_biogéographique!A:A,2,1),"P")</f>
        <v>P</v>
      </c>
      <c r="AP16773" s="4" t="s">
        <v>376</v>
      </c>
      <c r="AR16773" s="4" t="s">
        <v>377</v>
      </c>
    </row>
    <row r="16774" spans="1:44" ht="45">
      <c r="A16774" s="4" t="s">
        <v>10753</v>
      </c>
      <c r="B16774" s="4">
        <v>342953</v>
      </c>
      <c r="D16774" s="5" t="s">
        <v>20283</v>
      </c>
      <c r="E16774" s="6" t="str">
        <f>HYPERLINK("https://inpn.mnhn.fr/espece/cd_nom/342953","Zygaena transalpina transalpina (Esper, 1780)")</f>
        <v>Zygaena transalpina transalpina (Esper, 1780)</v>
      </c>
      <c r="AH16774" s="4" t="str">
        <f>HYPERLINK("#Statut_biogéographique!A"&amp;_xlfn.XMATCH("P",Statut_biogéographique!A:A,2,1),"P")</f>
        <v>P</v>
      </c>
      <c r="AP16774" s="4" t="s">
        <v>376</v>
      </c>
      <c r="AR16774" s="4" t="s">
        <v>377</v>
      </c>
    </row>
    <row r="16775" spans="1:44">
      <c r="A16775" s="4" t="s">
        <v>10753</v>
      </c>
      <c r="B16775" s="4">
        <v>343037</v>
      </c>
      <c r="D16775" s="5" t="s">
        <v>20284</v>
      </c>
      <c r="E16775" s="6" t="str">
        <f>HYPERLINK("https://inpn.mnhn.fr/espece/cd_nom/343037","Adscita geryon geryon (Hübner, 1813)")</f>
        <v>Adscita geryon geryon (Hübner, 1813)</v>
      </c>
      <c r="AH16775" s="4" t="str">
        <f>HYPERLINK("#Statut_biogéographique!A"&amp;_xlfn.XMATCH("P",Statut_biogéographique!A:A,2,1),"P")</f>
        <v>P</v>
      </c>
      <c r="AP16775" s="4" t="s">
        <v>376</v>
      </c>
      <c r="AR16775" s="4" t="s">
        <v>377</v>
      </c>
    </row>
    <row r="16776" spans="1:44">
      <c r="A16776" s="4" t="s">
        <v>10753</v>
      </c>
      <c r="B16776" s="4">
        <v>343203</v>
      </c>
      <c r="D16776" s="5" t="s">
        <v>20285</v>
      </c>
      <c r="E16776" s="6" t="str">
        <f>HYPERLINK("https://inpn.mnhn.fr/espece/cd_nom/343203","Apotomis betuletana (Haworth, 1811)")</f>
        <v>Apotomis betuletana (Haworth, 1811)</v>
      </c>
      <c r="AH16776" s="4" t="str">
        <f>HYPERLINK("#Statut_biogéographique!A"&amp;_xlfn.XMATCH("P",Statut_biogéographique!A:A,2,1),"P")</f>
        <v>P</v>
      </c>
      <c r="AP16776" s="4" t="s">
        <v>376</v>
      </c>
      <c r="AR16776" s="4" t="s">
        <v>377</v>
      </c>
    </row>
    <row r="16777" spans="1:44">
      <c r="A16777" s="4" t="s">
        <v>10753</v>
      </c>
      <c r="B16777" s="4">
        <v>343222</v>
      </c>
      <c r="D16777" s="5" t="s">
        <v>20286</v>
      </c>
      <c r="E16777" s="6" t="str">
        <f>HYPERLINK("https://inpn.mnhn.fr/espece/cd_nom/343222","Ancylis diminutana (Haworth, 1811)")</f>
        <v>Ancylis diminutana (Haworth, 1811)</v>
      </c>
      <c r="AH16777" s="4" t="str">
        <f>HYPERLINK("#Statut_biogéographique!A"&amp;_xlfn.XMATCH("P",Statut_biogéographique!A:A,2,1),"P")</f>
        <v>P</v>
      </c>
      <c r="AP16777" s="4" t="s">
        <v>376</v>
      </c>
      <c r="AR16777" s="4" t="s">
        <v>377</v>
      </c>
    </row>
    <row r="16778" spans="1:44">
      <c r="A16778" s="4" t="s">
        <v>10753</v>
      </c>
      <c r="B16778" s="4">
        <v>343252</v>
      </c>
      <c r="D16778" s="5" t="s">
        <v>20287</v>
      </c>
      <c r="E16778" s="6" t="str">
        <f>HYPERLINK("https://inpn.mnhn.fr/espece/cd_nom/343252","Eucosma fulvana (Stephens, 1834)")</f>
        <v>Eucosma fulvana (Stephens, 1834)</v>
      </c>
      <c r="AH16778" s="4" t="str">
        <f>HYPERLINK("#Statut_biogéographique!A"&amp;_xlfn.XMATCH("P",Statut_biogéographique!A:A,2,1),"P")</f>
        <v>P</v>
      </c>
      <c r="AP16778" s="4" t="s">
        <v>376</v>
      </c>
      <c r="AR16778" s="4" t="s">
        <v>377</v>
      </c>
    </row>
    <row r="16779" spans="1:44" ht="30">
      <c r="A16779" s="4" t="s">
        <v>10753</v>
      </c>
      <c r="B16779" s="4">
        <v>343513</v>
      </c>
      <c r="D16779" s="5" t="s">
        <v>20288</v>
      </c>
      <c r="E16779" s="6" t="str">
        <f>HYPERLINK("https://inpn.mnhn.fr/espece/cd_nom/343513","Doloploca punctulana (Denis &amp; Schiffermüller, 1775)")</f>
        <v>Doloploca punctulana (Denis &amp; Schiffermüller, 1775)</v>
      </c>
      <c r="AH16779" s="4" t="str">
        <f>HYPERLINK("#Statut_biogéographique!A"&amp;_xlfn.XMATCH("P",Statut_biogéographique!A:A,2,1),"P")</f>
        <v>P</v>
      </c>
      <c r="AP16779" s="4" t="s">
        <v>376</v>
      </c>
      <c r="AR16779" s="4" t="s">
        <v>377</v>
      </c>
    </row>
    <row r="16780" spans="1:44" ht="30">
      <c r="A16780" s="4" t="s">
        <v>10753</v>
      </c>
      <c r="B16780" s="4">
        <v>343525</v>
      </c>
      <c r="D16780" s="5" t="s">
        <v>20289</v>
      </c>
      <c r="E16780" s="6" t="str">
        <f>HYPERLINK("https://inpn.mnhn.fr/espece/cd_nom/343525","Philedone gerningana (Denis &amp; Schiffermüller, 1775)")</f>
        <v>Philedone gerningana (Denis &amp; Schiffermüller, 1775)</v>
      </c>
      <c r="AH16780" s="4" t="str">
        <f>HYPERLINK("#Statut_biogéographique!A"&amp;_xlfn.XMATCH("P",Statut_biogéographique!A:A,2,1),"P")</f>
        <v>P</v>
      </c>
      <c r="AP16780" s="4" t="s">
        <v>376</v>
      </c>
      <c r="AR16780" s="4" t="s">
        <v>377</v>
      </c>
    </row>
    <row r="16781" spans="1:44">
      <c r="A16781" s="4" t="s">
        <v>10753</v>
      </c>
      <c r="B16781" s="4">
        <v>343553</v>
      </c>
      <c r="D16781" s="5" t="s">
        <v>20290</v>
      </c>
      <c r="E16781" s="6" t="str">
        <f>HYPERLINK("https://inpn.mnhn.fr/espece/cd_nom/343553","Dichelia histrionana (Frölich, 1828)")</f>
        <v>Dichelia histrionana (Frölich, 1828)</v>
      </c>
      <c r="AH16781" s="4" t="str">
        <f>HYPERLINK("#Statut_biogéographique!A"&amp;_xlfn.XMATCH("P",Statut_biogéographique!A:A,2,1),"P")</f>
        <v>P</v>
      </c>
      <c r="AP16781" s="4" t="s">
        <v>376</v>
      </c>
      <c r="AR16781" s="4" t="s">
        <v>377</v>
      </c>
    </row>
    <row r="16782" spans="1:44">
      <c r="A16782" s="4" t="s">
        <v>10753</v>
      </c>
      <c r="B16782" s="4">
        <v>343566</v>
      </c>
      <c r="D16782" s="5" t="s">
        <v>20291</v>
      </c>
      <c r="E16782" s="6" t="str">
        <f>HYPERLINK("https://inpn.mnhn.fr/espece/cd_nom/343566","Archips betulana (Hübner, 1787)")</f>
        <v>Archips betulana (Hübner, 1787)</v>
      </c>
      <c r="AH16782" s="4" t="str">
        <f>HYPERLINK("#Statut_biogéographique!A"&amp;_xlfn.XMATCH("P",Statut_biogéographique!A:A,2,1),"P")</f>
        <v>P</v>
      </c>
      <c r="AP16782" s="4" t="s">
        <v>376</v>
      </c>
      <c r="AR16782" s="4" t="s">
        <v>377</v>
      </c>
    </row>
    <row r="16783" spans="1:44">
      <c r="A16783" s="4" t="s">
        <v>10753</v>
      </c>
      <c r="B16783" s="4">
        <v>343621</v>
      </c>
      <c r="D16783" s="5" t="s">
        <v>20292</v>
      </c>
      <c r="E16783" s="6" t="str">
        <f>HYPERLINK("https://inpn.mnhn.fr/espece/cd_nom/343621","Stenoptilia eborinodactyla Zagulajev, 1986")</f>
        <v>Stenoptilia eborinodactyla Zagulajev, 1986</v>
      </c>
      <c r="AH16783" s="4" t="str">
        <f>HYPERLINK("#Statut_biogéographique!A"&amp;_xlfn.XMATCH("P",Statut_biogéographique!A:A,2,1),"P")</f>
        <v>P</v>
      </c>
      <c r="AP16783" s="4" t="s">
        <v>376</v>
      </c>
      <c r="AR16783" s="4" t="s">
        <v>377</v>
      </c>
    </row>
    <row r="16784" spans="1:44">
      <c r="A16784" s="4" t="s">
        <v>10753</v>
      </c>
      <c r="B16784" s="4">
        <v>343794</v>
      </c>
      <c r="D16784" s="5" t="s">
        <v>20293</v>
      </c>
      <c r="E16784" s="6" t="str">
        <f>HYPERLINK("https://inpn.mnhn.fr/espece/cd_nom/343794","Phycita meliella (Mann, 1864)")</f>
        <v>Phycita meliella (Mann, 1864)</v>
      </c>
      <c r="F16784" s="5" t="s">
        <v>20294</v>
      </c>
      <c r="AH16784" s="4" t="str">
        <f>HYPERLINK("#Statut_biogéographique!A"&amp;_xlfn.XMATCH("P",Statut_biogéographique!A:A,2,1),"P")</f>
        <v>P</v>
      </c>
      <c r="AP16784" s="4" t="s">
        <v>376</v>
      </c>
      <c r="AR16784" s="4" t="s">
        <v>377</v>
      </c>
    </row>
    <row r="16785" spans="1:44">
      <c r="A16785" s="4" t="s">
        <v>10753</v>
      </c>
      <c r="B16785" s="4">
        <v>344087</v>
      </c>
      <c r="D16785" s="5" t="s">
        <v>20295</v>
      </c>
      <c r="E16785" s="6" t="str">
        <f>HYPERLINK("https://inpn.mnhn.fr/espece/cd_nom/344087","Eudonia laetella (Zeller, 1846)")</f>
        <v>Eudonia laetella (Zeller, 1846)</v>
      </c>
      <c r="F16785" s="5" t="s">
        <v>20296</v>
      </c>
      <c r="AH16785" s="4" t="str">
        <f>HYPERLINK("#Statut_biogéographique!A"&amp;_xlfn.XMATCH("P",Statut_biogéographique!A:A,2,1),"P")</f>
        <v>P</v>
      </c>
      <c r="AP16785" s="4" t="s">
        <v>376</v>
      </c>
      <c r="AR16785" s="4" t="s">
        <v>377</v>
      </c>
    </row>
    <row r="16786" spans="1:44" ht="30">
      <c r="A16786" s="4" t="s">
        <v>10753</v>
      </c>
      <c r="B16786" s="4">
        <v>344169</v>
      </c>
      <c r="D16786" s="5">
        <v>344169</v>
      </c>
      <c r="E16786" s="6" t="str">
        <f>HYPERLINK("https://inpn.mnhn.fr/espece/cd_nom/344169","Cyclophora albiocellaria albiocellaria (Hübner, 1789)")</f>
        <v>Cyclophora albiocellaria albiocellaria (Hübner, 1789)</v>
      </c>
      <c r="F16786" s="5" t="s">
        <v>20297</v>
      </c>
      <c r="AH16786" s="4" t="str">
        <f>HYPERLINK("#Statut_biogéographique!A"&amp;_xlfn.XMATCH("P",Statut_biogéographique!A:A,2,1),"P")</f>
        <v>P</v>
      </c>
      <c r="AP16786" s="4" t="s">
        <v>376</v>
      </c>
      <c r="AR16786" s="4" t="s">
        <v>377</v>
      </c>
    </row>
    <row r="16787" spans="1:44">
      <c r="A16787" s="4" t="s">
        <v>10753</v>
      </c>
      <c r="B16787" s="4">
        <v>345352</v>
      </c>
      <c r="D16787" s="5" t="s">
        <v>20298</v>
      </c>
      <c r="E16787" s="6" t="str">
        <f>HYPERLINK("https://inpn.mnhn.fr/espece/cd_nom/345352","Panthea coenobita (Esper, 1785)")</f>
        <v>Panthea coenobita (Esper, 1785)</v>
      </c>
      <c r="F16787" s="5" t="s">
        <v>20299</v>
      </c>
      <c r="AH16787" s="4" t="str">
        <f>HYPERLINK("#Statut_biogéographique!A"&amp;_xlfn.XMATCH("P",Statut_biogéographique!A:A,2,1),"P")</f>
        <v>P</v>
      </c>
      <c r="AP16787" s="4" t="s">
        <v>376</v>
      </c>
      <c r="AR16787" s="4" t="s">
        <v>377</v>
      </c>
    </row>
    <row r="16788" spans="1:44">
      <c r="A16788" s="4" t="s">
        <v>10753</v>
      </c>
      <c r="B16788" s="4">
        <v>345689</v>
      </c>
      <c r="D16788" s="5" t="s">
        <v>20300</v>
      </c>
      <c r="E16788" s="6" t="str">
        <f>HYPERLINK("https://inpn.mnhn.fr/espece/cd_nom/345689","Luperina nickerlii (Freyer, 1845)")</f>
        <v>Luperina nickerlii (Freyer, 1845)</v>
      </c>
      <c r="F16788" s="5" t="s">
        <v>20301</v>
      </c>
      <c r="AH16788" s="4" t="str">
        <f>HYPERLINK("#Statut_biogéographique!A"&amp;_xlfn.XMATCH("P",Statut_biogéographique!A:A,2,1),"P")</f>
        <v>P</v>
      </c>
      <c r="AP16788" s="4" t="s">
        <v>376</v>
      </c>
      <c r="AR16788" s="4" t="s">
        <v>377</v>
      </c>
    </row>
    <row r="16789" spans="1:44">
      <c r="A16789" s="4" t="s">
        <v>10753</v>
      </c>
      <c r="B16789" s="4">
        <v>346019</v>
      </c>
      <c r="D16789" s="5" t="s">
        <v>20302</v>
      </c>
      <c r="E16789" s="6" t="str">
        <f>HYPERLINK("https://inpn.mnhn.fr/espece/cd_nom/346019","Orbona fragariae (Vieweg, 1790)")</f>
        <v>Orbona fragariae (Vieweg, 1790)</v>
      </c>
      <c r="F16789" s="5" t="s">
        <v>20303</v>
      </c>
      <c r="AH16789" s="4" t="str">
        <f>HYPERLINK("#Statut_biogéographique!A"&amp;_xlfn.XMATCH("W",Statut_biogéographique!A:A,2,1),"W")</f>
        <v>W</v>
      </c>
      <c r="AP16789" s="4" t="s">
        <v>376</v>
      </c>
      <c r="AR16789" s="4" t="s">
        <v>377</v>
      </c>
    </row>
    <row r="16790" spans="1:44" ht="30">
      <c r="A16790" s="4" t="s">
        <v>10753</v>
      </c>
      <c r="B16790" s="4">
        <v>346062</v>
      </c>
      <c r="D16790" s="5" t="s">
        <v>20304</v>
      </c>
      <c r="E16790" s="6" t="str">
        <f>HYPERLINK("https://inpn.mnhn.fr/espece/cd_nom/346062","Aporophyla lutulenta (Denis &amp; Schiffermüller, 1775)")</f>
        <v>Aporophyla lutulenta (Denis &amp; Schiffermüller, 1775)</v>
      </c>
      <c r="AH16790" s="4" t="str">
        <f>HYPERLINK("#Statut_biogéographique!A"&amp;_xlfn.XMATCH("Q",Statut_biogéographique!A:A,2,1),"Q")</f>
        <v>Q</v>
      </c>
      <c r="AP16790" s="4" t="s">
        <v>376</v>
      </c>
      <c r="AR16790" s="4" t="s">
        <v>377</v>
      </c>
    </row>
    <row r="16791" spans="1:44" ht="30">
      <c r="A16791" s="4" t="s">
        <v>10753</v>
      </c>
      <c r="B16791" s="4">
        <v>346092</v>
      </c>
      <c r="D16791" s="5" t="s">
        <v>20305</v>
      </c>
      <c r="E16791" s="6" t="str">
        <f>HYPERLINK("https://inpn.mnhn.fr/espece/cd_nom/346092","Pseudeustrotia candidula (Denis &amp; Schiffermüller, 1775)")</f>
        <v>Pseudeustrotia candidula (Denis &amp; Schiffermüller, 1775)</v>
      </c>
      <c r="F16791" s="5" t="s">
        <v>20306</v>
      </c>
      <c r="AH16791" s="4" t="str">
        <f>HYPERLINK("#Statut_biogéographique!A"&amp;_xlfn.XMATCH("P",Statut_biogéographique!A:A,2,1),"P")</f>
        <v>P</v>
      </c>
      <c r="AP16791" s="4" t="s">
        <v>376</v>
      </c>
      <c r="AR16791" s="4" t="s">
        <v>377</v>
      </c>
    </row>
    <row r="16792" spans="1:44">
      <c r="A16792" s="4" t="s">
        <v>10753</v>
      </c>
      <c r="B16792" s="4">
        <v>346154</v>
      </c>
      <c r="D16792" s="5">
        <v>346154</v>
      </c>
      <c r="E16792" s="6" t="str">
        <f>HYPERLINK("https://inpn.mnhn.fr/espece/cd_nom/346154","Cucullia campanulae Freyer, 1831")</f>
        <v>Cucullia campanulae Freyer, 1831</v>
      </c>
      <c r="F16792" s="5" t="s">
        <v>20307</v>
      </c>
      <c r="AH16792" s="4" t="str">
        <f>HYPERLINK("#Statut_biogéographique!A"&amp;_xlfn.XMATCH("P",Statut_biogéographique!A:A,2,1),"P")</f>
        <v>P</v>
      </c>
      <c r="AP16792" s="4" t="s">
        <v>376</v>
      </c>
      <c r="AR16792" s="4" t="s">
        <v>377</v>
      </c>
    </row>
    <row r="16793" spans="1:44">
      <c r="A16793" s="4" t="s">
        <v>10753</v>
      </c>
      <c r="B16793" s="4">
        <v>346242</v>
      </c>
      <c r="D16793" s="5" t="s">
        <v>20308</v>
      </c>
      <c r="E16793" s="6" t="str">
        <f>HYPERLINK("https://inpn.mnhn.fr/espece/cd_nom/346242","Catocala electa (Vieweg, 1790)")</f>
        <v>Catocala electa (Vieweg, 1790)</v>
      </c>
      <c r="F16793" s="5" t="s">
        <v>20309</v>
      </c>
      <c r="AH16793" s="4" t="str">
        <f>HYPERLINK("#Statut_biogéographique!A"&amp;_xlfn.XMATCH("P",Statut_biogéographique!A:A,2,1),"P")</f>
        <v>P</v>
      </c>
      <c r="AP16793" s="4" t="s">
        <v>376</v>
      </c>
      <c r="AR16793" s="4" t="s">
        <v>377</v>
      </c>
    </row>
    <row r="16794" spans="1:44">
      <c r="A16794" s="4" t="s">
        <v>10753</v>
      </c>
      <c r="B16794" s="4">
        <v>394505</v>
      </c>
      <c r="D16794" s="5" t="s">
        <v>20310</v>
      </c>
      <c r="E16794" s="6" t="str">
        <f>HYPERLINK("https://inpn.mnhn.fr/espece/cd_nom/394505","Agrilus graecus Obenberger, 1916")</f>
        <v>Agrilus graecus Obenberger, 1916</v>
      </c>
      <c r="AH16794" s="4" t="str">
        <f>HYPERLINK("#Statut_biogéographique!A"&amp;_xlfn.XMATCH("P",Statut_biogéographique!A:A,2,1),"P")</f>
        <v>P</v>
      </c>
      <c r="AP16794" s="4" t="s">
        <v>376</v>
      </c>
      <c r="AR16794" s="4" t="s">
        <v>377</v>
      </c>
    </row>
    <row r="16795" spans="1:44">
      <c r="A16795" s="4" t="s">
        <v>10753</v>
      </c>
      <c r="B16795" s="4">
        <v>397605</v>
      </c>
      <c r="D16795" s="5" t="s">
        <v>20311</v>
      </c>
      <c r="E16795" s="6" t="str">
        <f>HYPERLINK("https://inpn.mnhn.fr/espece/cd_nom/397605","Phalacrus caricis Sturm, 1807")</f>
        <v>Phalacrus caricis Sturm, 1807</v>
      </c>
      <c r="AH16795" s="4" t="str">
        <f>HYPERLINK("#Statut_biogéographique!A"&amp;_xlfn.XMATCH("P",Statut_biogéographique!A:A,2,1),"P")</f>
        <v>P</v>
      </c>
      <c r="AP16795" s="4" t="s">
        <v>376</v>
      </c>
      <c r="AR16795" s="4" t="s">
        <v>377</v>
      </c>
    </row>
    <row r="16796" spans="1:44" ht="30">
      <c r="A16796" s="4" t="s">
        <v>10753</v>
      </c>
      <c r="B16796" s="4">
        <v>397685</v>
      </c>
      <c r="D16796" s="5" t="s">
        <v>20312</v>
      </c>
      <c r="E16796" s="6" t="str">
        <f>HYPERLINK("https://inpn.mnhn.fr/espece/cd_nom/397685","Apterygida albipennis Megerle de Muehlfeld in Charpentier, 1825")</f>
        <v>Apterygida albipennis Megerle de Muehlfeld in Charpentier, 1825</v>
      </c>
      <c r="AH16796" s="4" t="str">
        <f>HYPERLINK("#Statut_biogéographique!A"&amp;_xlfn.XMATCH("P",Statut_biogéographique!A:A,2,1),"P")</f>
        <v>P</v>
      </c>
      <c r="AP16796" s="4" t="s">
        <v>376</v>
      </c>
      <c r="AR16796" s="4" t="s">
        <v>377</v>
      </c>
    </row>
    <row r="16797" spans="1:44" ht="30">
      <c r="A16797" s="4" t="s">
        <v>10753</v>
      </c>
      <c r="B16797" s="4">
        <v>400706</v>
      </c>
      <c r="D16797" s="5" t="s">
        <v>20313</v>
      </c>
      <c r="E16797" s="6" t="str">
        <f>HYPERLINK("https://inpn.mnhn.fr/espece/cd_nom/400706","Geophilus alpinus Meinert, 1870")</f>
        <v>Geophilus alpinus Meinert, 1870</v>
      </c>
      <c r="AH16797" s="4" t="str">
        <f>HYPERLINK("#Statut_biogéographique!A"&amp;_xlfn.XMATCH("P",Statut_biogéographique!A:A,2,1),"P")</f>
        <v>P</v>
      </c>
      <c r="AP16797" s="4" t="s">
        <v>376</v>
      </c>
      <c r="AR16797" s="4" t="s">
        <v>377</v>
      </c>
    </row>
    <row r="16798" spans="1:44" ht="30">
      <c r="A16798" s="4" t="s">
        <v>10753</v>
      </c>
      <c r="B16798" s="4">
        <v>401712</v>
      </c>
      <c r="D16798" s="5" t="s">
        <v>20314</v>
      </c>
      <c r="E16798" s="6" t="str">
        <f>HYPERLINK("https://inpn.mnhn.fr/espece/cd_nom/401712","Polistes opinabilis Kohl, 1898")</f>
        <v>Polistes opinabilis Kohl, 1898</v>
      </c>
      <c r="AH16798" s="4" t="str">
        <f>HYPERLINK("#Statut_biogéographique!A"&amp;_xlfn.XMATCH("P",Statut_biogéographique!A:A,2,1),"P")</f>
        <v>P</v>
      </c>
      <c r="AP16798" s="4" t="s">
        <v>376</v>
      </c>
      <c r="AR16798" s="4" t="s">
        <v>377</v>
      </c>
    </row>
    <row r="16799" spans="1:44">
      <c r="A16799" s="4" t="s">
        <v>10753</v>
      </c>
      <c r="B16799" s="4">
        <v>403172</v>
      </c>
      <c r="D16799" s="5" t="s">
        <v>20315</v>
      </c>
      <c r="E16799" s="6" t="str">
        <f>HYPERLINK("https://inpn.mnhn.fr/espece/cd_nom/403172","Cis fusciclavis Nyholm, 1953")</f>
        <v>Cis fusciclavis Nyholm, 1953</v>
      </c>
      <c r="AH16799" s="4" t="str">
        <f>HYPERLINK("#Statut_biogéographique!A"&amp;_xlfn.XMATCH("P",Statut_biogéographique!A:A,2,1),"P")</f>
        <v>P</v>
      </c>
      <c r="AP16799" s="4" t="s">
        <v>376</v>
      </c>
      <c r="AR16799" s="4" t="s">
        <v>377</v>
      </c>
    </row>
    <row r="16800" spans="1:44">
      <c r="A16800" s="4" t="s">
        <v>10753</v>
      </c>
      <c r="B16800" s="4">
        <v>403179</v>
      </c>
      <c r="D16800" s="5" t="s">
        <v>20316</v>
      </c>
      <c r="E16800" s="6" t="str">
        <f>HYPERLINK("https://inpn.mnhn.fr/espece/cd_nom/403179","Cis matchanus Reitter, 1915")</f>
        <v>Cis matchanus Reitter, 1915</v>
      </c>
      <c r="AH16800" s="4" t="str">
        <f>HYPERLINK("#Statut_biogéographique!A"&amp;_xlfn.XMATCH("P",Statut_biogéographique!A:A,2,1),"P")</f>
        <v>P</v>
      </c>
      <c r="AP16800" s="4" t="s">
        <v>376</v>
      </c>
      <c r="AR16800" s="4" t="s">
        <v>377</v>
      </c>
    </row>
    <row r="16801" spans="1:44" ht="45">
      <c r="A16801" s="4" t="s">
        <v>10753</v>
      </c>
      <c r="B16801" s="4">
        <v>403485</v>
      </c>
      <c r="D16801" s="5" t="s">
        <v>20317</v>
      </c>
      <c r="E16801" s="6" t="str">
        <f>HYPERLINK("https://inpn.mnhn.fr/espece/cd_nom/403485","Cryptophagus punctipennis C. Brisout de Barneville, 1863")</f>
        <v>Cryptophagus punctipennis C. Brisout de Barneville, 1863</v>
      </c>
      <c r="AH16801" s="4" t="str">
        <f>HYPERLINK("#Statut_biogéographique!A"&amp;_xlfn.XMATCH("P",Statut_biogéographique!A:A,2,1),"P")</f>
        <v>P</v>
      </c>
      <c r="AP16801" s="4" t="s">
        <v>376</v>
      </c>
      <c r="AR16801" s="4" t="s">
        <v>377</v>
      </c>
    </row>
    <row r="16802" spans="1:44">
      <c r="A16802" s="4" t="s">
        <v>10753</v>
      </c>
      <c r="B16802" s="4">
        <v>404339</v>
      </c>
      <c r="D16802" s="5" t="s">
        <v>20318</v>
      </c>
      <c r="E16802" s="6" t="str">
        <f>HYPERLINK("https://inpn.mnhn.fr/espece/cd_nom/404339","Corticaria rubripes Mannerheim, 1844")</f>
        <v>Corticaria rubripes Mannerheim, 1844</v>
      </c>
      <c r="AH16802" s="4" t="str">
        <f>HYPERLINK("#Statut_biogéographique!A"&amp;_xlfn.XMATCH("P",Statut_biogéographique!A:A,2,1),"P")</f>
        <v>P</v>
      </c>
      <c r="AP16802" s="4" t="s">
        <v>376</v>
      </c>
      <c r="AR16802" s="4" t="s">
        <v>377</v>
      </c>
    </row>
    <row r="16803" spans="1:44" ht="30">
      <c r="A16803" s="4" t="s">
        <v>10753</v>
      </c>
      <c r="B16803" s="4">
        <v>404424</v>
      </c>
      <c r="D16803" s="5" t="s">
        <v>20319</v>
      </c>
      <c r="E16803" s="6" t="str">
        <f>HYPERLINK("https://inpn.mnhn.fr/espece/cd_nom/404424","Latridius porcatus Herbst, 1793")</f>
        <v>Latridius porcatus Herbst, 1793</v>
      </c>
      <c r="AH16803" s="4" t="str">
        <f>HYPERLINK("#Statut_biogéographique!A"&amp;_xlfn.XMATCH("P",Statut_biogéographique!A:A,2,1),"P")</f>
        <v>P</v>
      </c>
      <c r="AP16803" s="4" t="s">
        <v>376</v>
      </c>
      <c r="AR16803" s="4" t="s">
        <v>377</v>
      </c>
    </row>
    <row r="16804" spans="1:44">
      <c r="A16804" s="4" t="s">
        <v>10753</v>
      </c>
      <c r="B16804" s="4">
        <v>407259</v>
      </c>
      <c r="D16804" s="5" t="s">
        <v>20320</v>
      </c>
      <c r="E16804" s="6" t="str">
        <f>HYPERLINK("https://inpn.mnhn.fr/espece/cd_nom/407259","Tetrix kraussi Saulcy, 1889")</f>
        <v>Tetrix kraussi Saulcy, 1889</v>
      </c>
      <c r="F16804" s="5" t="s">
        <v>20321</v>
      </c>
      <c r="V16804" s="7" t="str">
        <f>HYPERLINK("#Liste_rouge!A"&amp;_xlfn.XMATCH("VU",Liste_rouge!A:A,2,1),"VU")</f>
        <v>VU</v>
      </c>
      <c r="W16804" s="4" t="str">
        <f>HYPERLINK("#Critères_liste_rouge!A$1","B2ab(iii)")</f>
        <v>B2ab(iii)</v>
      </c>
      <c r="X16804" s="5" t="s">
        <v>374</v>
      </c>
      <c r="AH16804" s="4" t="str">
        <f>HYPERLINK("#Statut_biogéographique!A"&amp;_xlfn.XMATCH("P",Statut_biogéographique!A:A,2,1),"P")</f>
        <v>P</v>
      </c>
      <c r="AM16804" s="4" t="s">
        <v>375</v>
      </c>
      <c r="AN16804" s="4" t="s">
        <v>375</v>
      </c>
      <c r="AO16804" s="4" t="s">
        <v>375</v>
      </c>
      <c r="AP16804" s="4" t="s">
        <v>376</v>
      </c>
      <c r="AR16804" s="4" t="s">
        <v>377</v>
      </c>
    </row>
    <row r="16805" spans="1:44" ht="30">
      <c r="A16805" s="4" t="s">
        <v>10753</v>
      </c>
      <c r="B16805" s="4">
        <v>409399</v>
      </c>
      <c r="D16805" s="5" t="s">
        <v>20322</v>
      </c>
      <c r="E16805" s="6" t="str">
        <f>HYPERLINK("https://inpn.mnhn.fr/espece/cd_nom/409399","Otiorhynchus lugdunensis Boheman, 1842")</f>
        <v>Otiorhynchus lugdunensis Boheman, 1842</v>
      </c>
      <c r="AH16805" s="4" t="str">
        <f>HYPERLINK("#Statut_biogéographique!A"&amp;_xlfn.XMATCH("P",Statut_biogéographique!A:A,2,1),"P")</f>
        <v>P</v>
      </c>
      <c r="AP16805" s="4" t="s">
        <v>376</v>
      </c>
      <c r="AR16805" s="4" t="s">
        <v>377</v>
      </c>
    </row>
    <row r="16806" spans="1:44">
      <c r="A16806" s="4" t="s">
        <v>10753</v>
      </c>
      <c r="B16806" s="4">
        <v>409632</v>
      </c>
      <c r="D16806" s="5" t="s">
        <v>20323</v>
      </c>
      <c r="E16806" s="6" t="str">
        <f>HYPERLINK("https://inpn.mnhn.fr/espece/cd_nom/409632","Brachyderes illaesus Boheman, 1833")</f>
        <v>Brachyderes illaesus Boheman, 1833</v>
      </c>
      <c r="AH16806" s="4" t="str">
        <f>HYPERLINK("#Statut_biogéographique!A"&amp;_xlfn.XMATCH("P",Statut_biogéographique!A:A,2,1),"P")</f>
        <v>P</v>
      </c>
      <c r="AP16806" s="4" t="s">
        <v>376</v>
      </c>
      <c r="AR16806" s="4" t="s">
        <v>377</v>
      </c>
    </row>
    <row r="16807" spans="1:44">
      <c r="A16807" s="4" t="s">
        <v>10753</v>
      </c>
      <c r="B16807" s="4">
        <v>415286</v>
      </c>
      <c r="D16807" s="5" t="s">
        <v>20324</v>
      </c>
      <c r="E16807" s="6" t="str">
        <f>HYPERLINK("https://inpn.mnhn.fr/espece/cd_nom/415286","Blastobasis magna Amsel, 1952")</f>
        <v>Blastobasis magna Amsel, 1952</v>
      </c>
      <c r="AH16807" s="4" t="str">
        <f>HYPERLINK("#Statut_biogéographique!A"&amp;_xlfn.XMATCH("P",Statut_biogéographique!A:A,2,1),"P")</f>
        <v>P</v>
      </c>
      <c r="AP16807" s="4" t="s">
        <v>376</v>
      </c>
      <c r="AR16807" s="4" t="s">
        <v>377</v>
      </c>
    </row>
    <row r="16808" spans="1:44">
      <c r="A16808" s="4" t="s">
        <v>10753</v>
      </c>
      <c r="B16808" s="4">
        <v>415515</v>
      </c>
      <c r="D16808" s="5" t="s">
        <v>20325</v>
      </c>
      <c r="E16808" s="6" t="str">
        <f>HYPERLINK("https://inpn.mnhn.fr/espece/cd_nom/415515","Epinotia cinereana (Haworth, 1811)")</f>
        <v>Epinotia cinereana (Haworth, 1811)</v>
      </c>
      <c r="AH16808" s="4" t="str">
        <f>HYPERLINK("#Statut_biogéographique!A"&amp;_xlfn.XMATCH("P",Statut_biogéographique!A:A,2,1),"P")</f>
        <v>P</v>
      </c>
      <c r="AP16808" s="4" t="s">
        <v>376</v>
      </c>
      <c r="AR16808" s="4" t="s">
        <v>377</v>
      </c>
    </row>
    <row r="16809" spans="1:44">
      <c r="A16809" s="4" t="s">
        <v>10753</v>
      </c>
      <c r="B16809" s="4">
        <v>415963</v>
      </c>
      <c r="D16809" s="5" t="s">
        <v>20326</v>
      </c>
      <c r="E16809" s="6" t="str">
        <f>HYPERLINK("https://inpn.mnhn.fr/espece/cd_nom/415963","Elegia atrifasciella Ragonot, 1887")</f>
        <v>Elegia atrifasciella Ragonot, 1887</v>
      </c>
      <c r="AH16809" s="4" t="str">
        <f>HYPERLINK("#Statut_biogéographique!A"&amp;_xlfn.XMATCH("P",Statut_biogéographique!A:A,2,1),"P")</f>
        <v>P</v>
      </c>
      <c r="AP16809" s="4" t="s">
        <v>376</v>
      </c>
      <c r="AR16809" s="4" t="s">
        <v>377</v>
      </c>
    </row>
    <row r="16810" spans="1:44">
      <c r="A16810" s="4" t="s">
        <v>10753</v>
      </c>
      <c r="B16810" s="4">
        <v>416340</v>
      </c>
      <c r="D16810" s="5">
        <v>416340</v>
      </c>
      <c r="E16810" s="6" t="str">
        <f>HYPERLINK("https://inpn.mnhn.fr/espece/cd_nom/416340","Eupithecia goossensiata Mabille, 1869")</f>
        <v>Eupithecia goossensiata Mabille, 1869</v>
      </c>
      <c r="F16810" s="5" t="s">
        <v>20327</v>
      </c>
      <c r="AH16810" s="4" t="str">
        <f>HYPERLINK("#Statut_biogéographique!A"&amp;_xlfn.XMATCH("P",Statut_biogéographique!A:A,2,1),"P")</f>
        <v>P</v>
      </c>
      <c r="AP16810" s="4" t="s">
        <v>376</v>
      </c>
      <c r="AR16810" s="4" t="s">
        <v>377</v>
      </c>
    </row>
    <row r="16811" spans="1:44">
      <c r="A16811" s="4" t="s">
        <v>10753</v>
      </c>
      <c r="B16811" s="4">
        <v>416518</v>
      </c>
      <c r="D16811" s="5" t="s">
        <v>20328</v>
      </c>
      <c r="E16811" s="6" t="str">
        <f>HYPERLINK("https://inpn.mnhn.fr/espece/cd_nom/416518","Mesapamea secalella Remm, 1983")</f>
        <v>Mesapamea secalella Remm, 1983</v>
      </c>
      <c r="F16811" s="5" t="s">
        <v>20329</v>
      </c>
      <c r="AH16811" s="4" t="str">
        <f>HYPERLINK("#Statut_biogéographique!A"&amp;_xlfn.XMATCH("P",Statut_biogéographique!A:A,2,1),"P")</f>
        <v>P</v>
      </c>
      <c r="AP16811" s="4" t="s">
        <v>376</v>
      </c>
      <c r="AR16811" s="4" t="s">
        <v>377</v>
      </c>
    </row>
    <row r="16812" spans="1:44" ht="30">
      <c r="A16812" s="4" t="s">
        <v>10753</v>
      </c>
      <c r="B16812" s="4">
        <v>416747</v>
      </c>
      <c r="D16812" s="5" t="s">
        <v>20330</v>
      </c>
      <c r="E16812" s="6" t="str">
        <f>HYPERLINK("https://inpn.mnhn.fr/espece/cd_nom/416747","Trochulus hispidus (Linnaeus, 1758)")</f>
        <v>Trochulus hispidus (Linnaeus, 1758)</v>
      </c>
      <c r="F16812" s="5" t="s">
        <v>20331</v>
      </c>
      <c r="O16812" s="7" t="str">
        <f>HYPERLINK("#Liste_rouge!A"&amp;_xlfn.XMATCH("LC",Liste_rouge!A:A,2,1),"LC")</f>
        <v>LC</v>
      </c>
      <c r="P16812" s="7" t="str">
        <f>HYPERLINK("#Liste_rouge!A"&amp;_xlfn.XMATCH("LC",Liste_rouge!A:A,2,1),"LC")</f>
        <v>LC</v>
      </c>
      <c r="Q16812" s="7" t="str">
        <f>HYPERLINK("#Liste_rouge!A"&amp;_xlfn.XMATCH("LC",Liste_rouge!A:A,2,1),"LC")</f>
        <v>LC</v>
      </c>
      <c r="AH16812" s="4" t="str">
        <f>HYPERLINK("#Statut_biogéographique!A"&amp;_xlfn.XMATCH("P",Statut_biogéographique!A:A,2,1),"P")</f>
        <v>P</v>
      </c>
      <c r="AM16812" s="4" t="s">
        <v>375</v>
      </c>
      <c r="AN16812" s="4" t="s">
        <v>375</v>
      </c>
      <c r="AO16812" s="4" t="s">
        <v>375</v>
      </c>
      <c r="AP16812" s="4" t="s">
        <v>376</v>
      </c>
      <c r="AR16812" s="4" t="s">
        <v>377</v>
      </c>
    </row>
    <row r="16813" spans="1:44">
      <c r="A16813" s="4" t="s">
        <v>10753</v>
      </c>
      <c r="B16813" s="4">
        <v>416748</v>
      </c>
      <c r="D16813" s="5" t="s">
        <v>20332</v>
      </c>
      <c r="E16813" s="6" t="str">
        <f>HYPERLINK("https://inpn.mnhn.fr/espece/cd_nom/416748","Trochulus plebeius (Draparnaud, 1805)")</f>
        <v>Trochulus plebeius (Draparnaud, 1805)</v>
      </c>
      <c r="F16813" s="5" t="s">
        <v>20333</v>
      </c>
      <c r="O16813" s="7" t="str">
        <f>HYPERLINK("#Liste_rouge!A"&amp;_xlfn.XMATCH("DD",Liste_rouge!A:A,2,1),"DD")</f>
        <v>DD</v>
      </c>
      <c r="P16813" s="7" t="str">
        <f>HYPERLINK("#Liste_rouge!A"&amp;_xlfn.XMATCH("DD",Liste_rouge!A:A,2,1),"DD")</f>
        <v>DD</v>
      </c>
      <c r="Q16813" s="7" t="str">
        <f>HYPERLINK("#Liste_rouge!A"&amp;_xlfn.XMATCH("DD",Liste_rouge!A:A,2,1),"DD")</f>
        <v>DD</v>
      </c>
      <c r="AH16813" s="4" t="str">
        <f>HYPERLINK("#Statut_biogéographique!A"&amp;_xlfn.XMATCH("P",Statut_biogéographique!A:A,2,1),"P")</f>
        <v>P</v>
      </c>
      <c r="AP16813" s="4" t="s">
        <v>376</v>
      </c>
      <c r="AR16813" s="4" t="s">
        <v>377</v>
      </c>
    </row>
    <row r="16814" spans="1:44">
      <c r="A16814" s="4" t="s">
        <v>10753</v>
      </c>
      <c r="B16814" s="4">
        <v>416749</v>
      </c>
      <c r="D16814" s="5" t="s">
        <v>20334</v>
      </c>
      <c r="E16814" s="6" t="str">
        <f>HYPERLINK("https://inpn.mnhn.fr/espece/cd_nom/416749","Trochulus sericeus (Draparnaud, 1801)")</f>
        <v>Trochulus sericeus (Draparnaud, 1801)</v>
      </c>
      <c r="F16814" s="5" t="s">
        <v>20335</v>
      </c>
      <c r="O16814" s="7" t="str">
        <f>HYPERLINK("#Liste_rouge!A"&amp;_xlfn.XMATCH("LC",Liste_rouge!A:A,2,1),"LC")</f>
        <v>LC</v>
      </c>
      <c r="P16814" s="7" t="str">
        <f>HYPERLINK("#Liste_rouge!A"&amp;_xlfn.XMATCH("LC",Liste_rouge!A:A,2,1),"LC")</f>
        <v>LC</v>
      </c>
      <c r="Q16814" s="7" t="str">
        <f>HYPERLINK("#Liste_rouge!A"&amp;_xlfn.XMATCH("DD",Liste_rouge!A:A,2,1),"DD")</f>
        <v>DD</v>
      </c>
      <c r="AH16814" s="4" t="str">
        <f>HYPERLINK("#Statut_biogéographique!A"&amp;_xlfn.XMATCH("P",Statut_biogéographique!A:A,2,1),"P")</f>
        <v>P</v>
      </c>
      <c r="AP16814" s="4" t="s">
        <v>376</v>
      </c>
      <c r="AR16814" s="4" t="s">
        <v>377</v>
      </c>
    </row>
    <row r="16815" spans="1:44">
      <c r="A16815" s="4" t="s">
        <v>10753</v>
      </c>
      <c r="B16815" s="4">
        <v>416750</v>
      </c>
      <c r="D16815" s="5" t="s">
        <v>20336</v>
      </c>
      <c r="E16815" s="6" t="str">
        <f>HYPERLINK("https://inpn.mnhn.fr/espece/cd_nom/416750","Trochulus phorochaetia (Bourguignat, 1864)")</f>
        <v>Trochulus phorochaetia (Bourguignat, 1864)</v>
      </c>
      <c r="F16815" s="5" t="s">
        <v>20337</v>
      </c>
      <c r="O16815" s="7" t="str">
        <f>HYPERLINK("#Liste_rouge!A"&amp;_xlfn.XMATCH("LC",Liste_rouge!A:A,2,1),"LC")</f>
        <v>LC</v>
      </c>
      <c r="P16815" s="7" t="str">
        <f>HYPERLINK("#Liste_rouge!A"&amp;_xlfn.XMATCH("LC",Liste_rouge!A:A,2,1),"LC")</f>
        <v>LC</v>
      </c>
      <c r="Q16815" s="7" t="str">
        <f>HYPERLINK("#Liste_rouge!A"&amp;_xlfn.XMATCH("DD",Liste_rouge!A:A,2,1),"DD")</f>
        <v>DD</v>
      </c>
      <c r="AH16815" s="4" t="str">
        <f>HYPERLINK("#Statut_biogéographique!A"&amp;_xlfn.XMATCH("E",Statut_biogéographique!A:A,2,1),"E")</f>
        <v>E</v>
      </c>
      <c r="AP16815" s="4" t="s">
        <v>376</v>
      </c>
      <c r="AR16815" s="4" t="s">
        <v>377</v>
      </c>
    </row>
    <row r="16816" spans="1:44">
      <c r="A16816" s="4" t="s">
        <v>10753</v>
      </c>
      <c r="B16816" s="4">
        <v>416755</v>
      </c>
      <c r="D16816" s="5" t="s">
        <v>20338</v>
      </c>
      <c r="E16816" s="6" t="str">
        <f>HYPERLINK("https://inpn.mnhn.fr/espece/cd_nom/416755","Trochulus montanus (S. Studer, 1820)")</f>
        <v>Trochulus montanus (S. Studer, 1820)</v>
      </c>
      <c r="F16816" s="5" t="s">
        <v>20339</v>
      </c>
      <c r="O16816" s="7" t="str">
        <f>HYPERLINK("#Liste_rouge!A"&amp;_xlfn.XMATCH("DD",Liste_rouge!A:A,2,1),"DD")</f>
        <v>DD</v>
      </c>
      <c r="P16816" s="7" t="str">
        <f>HYPERLINK("#Liste_rouge!A"&amp;_xlfn.XMATCH("DD",Liste_rouge!A:A,2,1),"DD")</f>
        <v>DD</v>
      </c>
      <c r="Q16816" s="7" t="str">
        <f>HYPERLINK("#Liste_rouge!A"&amp;_xlfn.XMATCH("DD",Liste_rouge!A:A,2,1),"DD")</f>
        <v>DD</v>
      </c>
      <c r="AH16816" s="4" t="str">
        <f>HYPERLINK("#Statut_biogéographique!A"&amp;_xlfn.XMATCH("P",Statut_biogéographique!A:A,2,1),"P")</f>
        <v>P</v>
      </c>
      <c r="AM16816" s="4" t="s">
        <v>375</v>
      </c>
      <c r="AN16816" s="4" t="s">
        <v>375</v>
      </c>
      <c r="AO16816" s="4" t="s">
        <v>375</v>
      </c>
      <c r="AP16816" s="4" t="s">
        <v>376</v>
      </c>
      <c r="AR16816" s="4" t="s">
        <v>377</v>
      </c>
    </row>
    <row r="16817" spans="1:44">
      <c r="A16817" s="4" t="s">
        <v>10753</v>
      </c>
      <c r="B16817" s="4">
        <v>416756</v>
      </c>
      <c r="D16817" s="5" t="s">
        <v>20340</v>
      </c>
      <c r="E16817" s="6" t="str">
        <f>HYPERLINK("https://inpn.mnhn.fr/espece/cd_nom/416756","Trochulus villosus (Draparnaud, 1805)")</f>
        <v>Trochulus villosus (Draparnaud, 1805)</v>
      </c>
      <c r="F16817" s="5" t="s">
        <v>20341</v>
      </c>
      <c r="O16817" s="7" t="str">
        <f>HYPERLINK("#Liste_rouge!A"&amp;_xlfn.XMATCH("LC",Liste_rouge!A:A,2,1),"LC")</f>
        <v>LC</v>
      </c>
      <c r="P16817" s="7" t="str">
        <f>HYPERLINK("#Liste_rouge!A"&amp;_xlfn.XMATCH("LC",Liste_rouge!A:A,2,1),"LC")</f>
        <v>LC</v>
      </c>
      <c r="Q16817" s="7" t="str">
        <f>HYPERLINK("#Liste_rouge!A"&amp;_xlfn.XMATCH("LC",Liste_rouge!A:A,2,1),"LC")</f>
        <v>LC</v>
      </c>
      <c r="AH16817" s="4" t="str">
        <f>HYPERLINK("#Statut_biogéographique!A"&amp;_xlfn.XMATCH("P",Statut_biogéographique!A:A,2,1),"P")</f>
        <v>P</v>
      </c>
      <c r="AM16817" s="4" t="s">
        <v>375</v>
      </c>
      <c r="AN16817" s="4" t="s">
        <v>375</v>
      </c>
      <c r="AO16817" s="4" t="s">
        <v>375</v>
      </c>
      <c r="AP16817" s="4" t="s">
        <v>376</v>
      </c>
      <c r="AR16817" s="4" t="s">
        <v>377</v>
      </c>
    </row>
    <row r="16818" spans="1:44">
      <c r="A16818" s="4" t="s">
        <v>10753</v>
      </c>
      <c r="B16818" s="4">
        <v>416758</v>
      </c>
      <c r="D16818" s="5" t="s">
        <v>20342</v>
      </c>
      <c r="E16818" s="6" t="str">
        <f>HYPERLINK("https://inpn.mnhn.fr/espece/cd_nom/416758","Trochulus striolatus (C. Pfeiffer, 1828)")</f>
        <v>Trochulus striolatus (C. Pfeiffer, 1828)</v>
      </c>
      <c r="O16818" s="7" t="str">
        <f>HYPERLINK("#Liste_rouge!A"&amp;_xlfn.XMATCH("LC",Liste_rouge!A:A,2,1),"LC")</f>
        <v>LC</v>
      </c>
      <c r="P16818" s="7" t="str">
        <f>HYPERLINK("#Liste_rouge!A"&amp;_xlfn.XMATCH("LC",Liste_rouge!A:A,2,1),"LC")</f>
        <v>LC</v>
      </c>
      <c r="Q16818" s="7" t="str">
        <f>HYPERLINK("#Liste_rouge!A"&amp;_xlfn.XMATCH("LC",Liste_rouge!A:A,2,1),"LC")</f>
        <v>LC</v>
      </c>
      <c r="AH16818" s="4" t="str">
        <f>HYPERLINK("#Statut_biogéographique!A"&amp;_xlfn.XMATCH("P",Statut_biogéographique!A:A,2,1),"P")</f>
        <v>P</v>
      </c>
      <c r="AM16818" s="4" t="s">
        <v>375</v>
      </c>
      <c r="AN16818" s="4" t="s">
        <v>375</v>
      </c>
      <c r="AO16818" s="4" t="s">
        <v>375</v>
      </c>
      <c r="AP16818" s="4" t="s">
        <v>376</v>
      </c>
      <c r="AR16818" s="4" t="s">
        <v>377</v>
      </c>
    </row>
    <row r="16819" spans="1:44">
      <c r="A16819" s="4" t="s">
        <v>10753</v>
      </c>
      <c r="B16819" s="4">
        <v>416791</v>
      </c>
      <c r="D16819" s="5" t="s">
        <v>20343</v>
      </c>
      <c r="E16819" s="6" t="str">
        <f>HYPERLINK("https://inpn.mnhn.fr/espece/cd_nom/416791","Ampedus elongatulus (Fabricius, 1787)")</f>
        <v>Ampedus elongatulus (Fabricius, 1787)</v>
      </c>
      <c r="P16819" s="7" t="str">
        <f>HYPERLINK("#Liste_rouge!A"&amp;_xlfn.XMATCH("NT",Liste_rouge!A:A,2,1),"NT")</f>
        <v>NT</v>
      </c>
      <c r="AH16819" s="4" t="str">
        <f>HYPERLINK("#Statut_biogéographique!A"&amp;_xlfn.XMATCH("P",Statut_biogéographique!A:A,2,1),"P")</f>
        <v>P</v>
      </c>
      <c r="AP16819" s="4" t="s">
        <v>376</v>
      </c>
      <c r="AR16819" s="4" t="s">
        <v>377</v>
      </c>
    </row>
    <row r="16820" spans="1:44">
      <c r="A16820" s="4" t="s">
        <v>10753</v>
      </c>
      <c r="B16820" s="4">
        <v>416813</v>
      </c>
      <c r="D16820" s="5" t="s">
        <v>20344</v>
      </c>
      <c r="E16820" s="6" t="str">
        <f>HYPERLINK("https://inpn.mnhn.fr/espece/cd_nom/416813","Corticeus fasciatus (Fabricius, 1790)")</f>
        <v>Corticeus fasciatus (Fabricius, 1790)</v>
      </c>
      <c r="P16820" s="7" t="str">
        <f>HYPERLINK("#Liste_rouge!A"&amp;_xlfn.XMATCH("NT",Liste_rouge!A:A,2,1),"NT")</f>
        <v>NT</v>
      </c>
      <c r="AH16820" s="4" t="str">
        <f>HYPERLINK("#Statut_biogéographique!A"&amp;_xlfn.XMATCH("P",Statut_biogéographique!A:A,2,1),"P")</f>
        <v>P</v>
      </c>
      <c r="AP16820" s="4" t="s">
        <v>376</v>
      </c>
      <c r="AR16820" s="4" t="s">
        <v>377</v>
      </c>
    </row>
    <row r="16821" spans="1:44">
      <c r="A16821" s="4" t="s">
        <v>10753</v>
      </c>
      <c r="B16821" s="4">
        <v>416821</v>
      </c>
      <c r="D16821" s="5" t="s">
        <v>20345</v>
      </c>
      <c r="E16821" s="6" t="str">
        <f>HYPERLINK("https://inpn.mnhn.fr/espece/cd_nom/416821","Isorhipis marmottani (Bonvouloir, 1871)")</f>
        <v>Isorhipis marmottani (Bonvouloir, 1871)</v>
      </c>
      <c r="O16821" s="7" t="str">
        <f>HYPERLINK("#Liste_rouge!A"&amp;_xlfn.XMATCH("LC",Liste_rouge!A:A,2,1),"LC")</f>
        <v>LC</v>
      </c>
      <c r="P16821" s="7" t="str">
        <f>HYPERLINK("#Liste_rouge!A"&amp;_xlfn.XMATCH("LC",Liste_rouge!A:A,2,1),"LC")</f>
        <v>LC</v>
      </c>
      <c r="AH16821" s="4" t="str">
        <f>HYPERLINK("#Statut_biogéographique!A"&amp;_xlfn.XMATCH("P",Statut_biogéographique!A:A,2,1),"P")</f>
        <v>P</v>
      </c>
      <c r="AP16821" s="4" t="s">
        <v>376</v>
      </c>
      <c r="AR16821" s="4" t="s">
        <v>377</v>
      </c>
    </row>
    <row r="16822" spans="1:44" ht="30">
      <c r="A16822" s="4" t="s">
        <v>10753</v>
      </c>
      <c r="B16822" s="4">
        <v>416822</v>
      </c>
      <c r="D16822" s="5" t="s">
        <v>20346</v>
      </c>
      <c r="E16822" s="6" t="str">
        <f>HYPERLINK("https://inpn.mnhn.fr/espece/cd_nom/416822","Isorhipis melasoides (Laporte de Castelnau, 1835)")</f>
        <v>Isorhipis melasoides (Laporte de Castelnau, 1835)</v>
      </c>
      <c r="P16822" s="7" t="str">
        <f>HYPERLINK("#Liste_rouge!A"&amp;_xlfn.XMATCH("LC",Liste_rouge!A:A,2,1),"LC")</f>
        <v>LC</v>
      </c>
      <c r="AH16822" s="4" t="str">
        <f>HYPERLINK("#Statut_biogéographique!A"&amp;_xlfn.XMATCH("P",Statut_biogéographique!A:A,2,1),"P")</f>
        <v>P</v>
      </c>
      <c r="AP16822" s="4" t="s">
        <v>376</v>
      </c>
      <c r="AR16822" s="4" t="s">
        <v>377</v>
      </c>
    </row>
    <row r="16823" spans="1:44">
      <c r="A16823" s="4" t="s">
        <v>10753</v>
      </c>
      <c r="B16823" s="4">
        <v>416838</v>
      </c>
      <c r="D16823" s="5" t="s">
        <v>20347</v>
      </c>
      <c r="E16823" s="6" t="str">
        <f>HYPERLINK("https://inpn.mnhn.fr/espece/cd_nom/416838","Corticeus bicoloroides (Roubal, 1933)")</f>
        <v>Corticeus bicoloroides (Roubal, 1933)</v>
      </c>
      <c r="O16823" s="7" t="str">
        <f>HYPERLINK("#Liste_rouge!A"&amp;_xlfn.XMATCH("EN",Liste_rouge!A:A,2,1),"EN")</f>
        <v>EN</v>
      </c>
      <c r="P16823" s="7" t="str">
        <f>HYPERLINK("#Liste_rouge!A"&amp;_xlfn.XMATCH("EN",Liste_rouge!A:A,2,1),"EN")</f>
        <v>EN</v>
      </c>
      <c r="AH16823" s="4" t="str">
        <f>HYPERLINK("#Statut_biogéographique!A"&amp;_xlfn.XMATCH("P",Statut_biogéographique!A:A,2,1),"P")</f>
        <v>P</v>
      </c>
      <c r="AP16823" s="4" t="s">
        <v>376</v>
      </c>
      <c r="AR16823" s="4" t="s">
        <v>377</v>
      </c>
    </row>
    <row r="16824" spans="1:44" ht="30">
      <c r="A16824" s="4" t="s">
        <v>10753</v>
      </c>
      <c r="B16824" s="4">
        <v>427510</v>
      </c>
      <c r="D16824" s="5" t="s">
        <v>20348</v>
      </c>
      <c r="E16824" s="6" t="str">
        <f>HYPERLINK("https://inpn.mnhn.fr/espece/cd_nom/427510","Trachys menthae Bedel, 1921")</f>
        <v>Trachys menthae Bedel, 1921</v>
      </c>
      <c r="AH16824" s="4" t="str">
        <f>HYPERLINK("#Statut_biogéographique!A"&amp;_xlfn.XMATCH("P",Statut_biogéographique!A:A,2,1),"P")</f>
        <v>P</v>
      </c>
      <c r="AP16824" s="4" t="s">
        <v>376</v>
      </c>
      <c r="AR16824" s="4" t="s">
        <v>377</v>
      </c>
    </row>
    <row r="16825" spans="1:44">
      <c r="A16825" s="4" t="s">
        <v>10753</v>
      </c>
      <c r="B16825" s="4">
        <v>432537</v>
      </c>
      <c r="D16825" s="5" t="s">
        <v>20349</v>
      </c>
      <c r="E16825" s="6" t="str">
        <f>HYPERLINK("https://inpn.mnhn.fr/espece/cd_nom/432537","Dacnogenia coerulans (Rostock, 1878)")</f>
        <v>Dacnogenia coerulans (Rostock, 1878)</v>
      </c>
      <c r="Q16825" s="7" t="str">
        <f>HYPERLINK("#Liste_rouge!A"&amp;_xlfn.XMATCH("LC",Liste_rouge!A:A,2,1),"LC")</f>
        <v>LC</v>
      </c>
      <c r="AH16825" s="4" t="str">
        <f>HYPERLINK("#Statut_biogéographique!A"&amp;_xlfn.XMATCH("P",Statut_biogéographique!A:A,2,1),"P")</f>
        <v>P</v>
      </c>
      <c r="AP16825" s="4" t="s">
        <v>376</v>
      </c>
      <c r="AR16825" s="4" t="s">
        <v>377</v>
      </c>
    </row>
    <row r="16826" spans="1:44" ht="30">
      <c r="A16826" s="4" t="s">
        <v>10753</v>
      </c>
      <c r="B16826" s="4">
        <v>432549</v>
      </c>
      <c r="D16826" s="5">
        <v>432549</v>
      </c>
      <c r="E16826" s="6" t="str">
        <f>HYPERLINK("https://inpn.mnhn.fr/espece/cd_nom/432549","Aiolopus thalassinus thalassinus (Fabricius, 1781)")</f>
        <v>Aiolopus thalassinus thalassinus (Fabricius, 1781)</v>
      </c>
      <c r="F16826" s="5" t="s">
        <v>20350</v>
      </c>
      <c r="AH16826" s="4" t="str">
        <f>HYPERLINK("#Statut_biogéographique!A"&amp;_xlfn.XMATCH("P",Statut_biogéographique!A:A,2,1),"P")</f>
        <v>P</v>
      </c>
      <c r="AP16826" s="4" t="s">
        <v>376</v>
      </c>
      <c r="AR16826" s="4" t="s">
        <v>377</v>
      </c>
    </row>
    <row r="16827" spans="1:44">
      <c r="A16827" s="4" t="s">
        <v>10753</v>
      </c>
      <c r="B16827" s="4">
        <v>432555</v>
      </c>
      <c r="D16827" s="5">
        <v>432555</v>
      </c>
      <c r="E16827" s="6" t="str">
        <f>HYPERLINK("https://inpn.mnhn.fr/espece/cd_nom/432555","Locusta migratoria gallica Rémaudière, 1947")</f>
        <v>Locusta migratoria gallica Rémaudière, 1947</v>
      </c>
      <c r="F16827" s="5" t="s">
        <v>20351</v>
      </c>
      <c r="AH16827" s="4" t="str">
        <f>HYPERLINK("#Statut_biogéographique!A"&amp;_xlfn.XMATCH("P",Statut_biogéographique!A:A,2,1),"P")</f>
        <v>P</v>
      </c>
      <c r="AP16827" s="4" t="s">
        <v>376</v>
      </c>
      <c r="AR16827" s="4" t="s">
        <v>377</v>
      </c>
    </row>
    <row r="16828" spans="1:44" ht="30">
      <c r="A16828" s="4" t="s">
        <v>10753</v>
      </c>
      <c r="B16828" s="4">
        <v>432556</v>
      </c>
      <c r="D16828" s="5" t="s">
        <v>20352</v>
      </c>
      <c r="E16828" s="6" t="str">
        <f>HYPERLINK("https://inpn.mnhn.fr/espece/cd_nom/432556","Miramella alpina subalpina (Fischer, 1850)")</f>
        <v>Miramella alpina subalpina (Fischer, 1850)</v>
      </c>
      <c r="F16828" s="5" t="s">
        <v>20353</v>
      </c>
      <c r="AH16828" s="4" t="str">
        <f>HYPERLINK("#Statut_biogéographique!A"&amp;_xlfn.XMATCH("P",Statut_biogéographique!A:A,2,1),"P")</f>
        <v>P</v>
      </c>
      <c r="AP16828" s="4" t="s">
        <v>376</v>
      </c>
      <c r="AR16828" s="4" t="s">
        <v>377</v>
      </c>
    </row>
    <row r="16829" spans="1:44" ht="30">
      <c r="A16829" s="4" t="s">
        <v>10753</v>
      </c>
      <c r="B16829" s="4">
        <v>433589</v>
      </c>
      <c r="D16829" s="5">
        <v>433589</v>
      </c>
      <c r="E16829" s="6" t="str">
        <f>HYPERLINK("https://inpn.mnhn.fr/espece/cd_nom/433589","Vespa velutina Lepeletier, 1836")</f>
        <v>Vespa velutina Lepeletier, 1836</v>
      </c>
      <c r="F16829" s="5" t="s">
        <v>20354</v>
      </c>
      <c r="AH16829" s="4" t="str">
        <f>HYPERLINK("#Statut_biogéographique!A"&amp;_xlfn.XMATCH("J",Statut_biogéographique!A:A,2,1),"J")</f>
        <v>J</v>
      </c>
      <c r="AP16829" s="4" t="s">
        <v>376</v>
      </c>
      <c r="AR16829" s="4" t="s">
        <v>377</v>
      </c>
    </row>
    <row r="16830" spans="1:44">
      <c r="A16830" s="4" t="s">
        <v>10753</v>
      </c>
      <c r="B16830" s="4">
        <v>433590</v>
      </c>
      <c r="D16830" s="5">
        <v>433590</v>
      </c>
      <c r="E16830" s="6" t="str">
        <f>HYPERLINK("https://inpn.mnhn.fr/espece/cd_nom/433590","Vespa velutina nigrithorax du Buysson, 1905")</f>
        <v>Vespa velutina nigrithorax du Buysson, 1905</v>
      </c>
      <c r="F16830" s="5" t="s">
        <v>20355</v>
      </c>
      <c r="AH16830" s="4" t="str">
        <f>HYPERLINK("#Statut_biogéographique!A"&amp;_xlfn.XMATCH("J",Statut_biogéographique!A:A,2,1),"J")</f>
        <v>J</v>
      </c>
      <c r="AL16830" s="5" t="str">
        <f>HYPERLINK("#Réglementation!A"&amp;_xlfn.XMATCH("FRnoEEEA2",Réglementation!A:A,2,1),"FRnoEEEA2 - EEEUE - VV1")</f>
        <v>FRnoEEEA2 - EEEUE - VV1</v>
      </c>
      <c r="AP16830" s="4" t="s">
        <v>376</v>
      </c>
      <c r="AR16830" s="4" t="s">
        <v>377</v>
      </c>
    </row>
    <row r="16831" spans="1:44">
      <c r="A16831" s="4" t="s">
        <v>10753</v>
      </c>
      <c r="B16831" s="4">
        <v>436724</v>
      </c>
      <c r="D16831" s="5">
        <v>436724</v>
      </c>
      <c r="E16831" s="6" t="str">
        <f>HYPERLINK("https://inpn.mnhn.fr/espece/cd_nom/436724","Cicadetta cantilatrix Sueur &amp; Puissant, 2007")</f>
        <v>Cicadetta cantilatrix Sueur &amp; Puissant, 2007</v>
      </c>
      <c r="F16831" s="5" t="s">
        <v>20356</v>
      </c>
      <c r="AH16831" s="4" t="str">
        <f>HYPERLINK("#Statut_biogéographique!A"&amp;_xlfn.XMATCH("P",Statut_biogéographique!A:A,2,1),"P")</f>
        <v>P</v>
      </c>
      <c r="AP16831" s="4" t="s">
        <v>376</v>
      </c>
      <c r="AR16831" s="4" t="s">
        <v>377</v>
      </c>
    </row>
    <row r="16832" spans="1:44">
      <c r="A16832" s="4" t="s">
        <v>10753</v>
      </c>
      <c r="B16832" s="4">
        <v>436726</v>
      </c>
      <c r="D16832" s="5">
        <v>436726</v>
      </c>
      <c r="E16832" s="6" t="str">
        <f>HYPERLINK("https://inpn.mnhn.fr/espece/cd_nom/436726","Macrogastra rolphii rolphii (W. Turton, 1826)")</f>
        <v>Macrogastra rolphii rolphii (W. Turton, 1826)</v>
      </c>
      <c r="F16832" s="5" t="s">
        <v>11875</v>
      </c>
      <c r="AH16832" s="4" t="str">
        <f>HYPERLINK("#Statut_biogéographique!A"&amp;_xlfn.XMATCH("P",Statut_biogéographique!A:A,2,1),"P")</f>
        <v>P</v>
      </c>
      <c r="AP16832" s="4" t="s">
        <v>376</v>
      </c>
      <c r="AR16832" s="4" t="s">
        <v>377</v>
      </c>
    </row>
    <row r="16833" spans="1:44" ht="30">
      <c r="A16833" s="4" t="s">
        <v>10753</v>
      </c>
      <c r="B16833" s="4">
        <v>436727</v>
      </c>
      <c r="D16833" s="5" t="s">
        <v>20357</v>
      </c>
      <c r="E16833" s="6" t="str">
        <f>HYPERLINK("https://inpn.mnhn.fr/espece/cd_nom/436727","Macrogastra rolphii digonostoma (Bourguignat, 1877)")</f>
        <v>Macrogastra rolphii digonostoma (Bourguignat, 1877)</v>
      </c>
      <c r="F16833" s="5" t="s">
        <v>20358</v>
      </c>
      <c r="AH16833" s="4" t="str">
        <f>HYPERLINK("#Statut_biogéographique!A"&amp;_xlfn.XMATCH("P",Statut_biogéographique!A:A,2,1),"P")</f>
        <v>P</v>
      </c>
      <c r="AP16833" s="4" t="s">
        <v>376</v>
      </c>
      <c r="AR16833" s="4" t="s">
        <v>377</v>
      </c>
    </row>
    <row r="16834" spans="1:44">
      <c r="A16834" s="4" t="s">
        <v>10753</v>
      </c>
      <c r="B16834" s="4">
        <v>445258</v>
      </c>
      <c r="D16834" s="5">
        <v>445258</v>
      </c>
      <c r="E16834" s="6" t="str">
        <f>HYPERLINK("https://inpn.mnhn.fr/espece/cd_nom/445258","Calliptamus italicus italicus (Linnaeus, 1758)")</f>
        <v>Calliptamus italicus italicus (Linnaeus, 1758)</v>
      </c>
      <c r="F16834" s="5" t="s">
        <v>20359</v>
      </c>
      <c r="AH16834" s="4" t="str">
        <f>HYPERLINK("#Statut_biogéographique!A"&amp;_xlfn.XMATCH("P",Statut_biogéographique!A:A,2,1),"P")</f>
        <v>P</v>
      </c>
      <c r="AP16834" s="4" t="s">
        <v>376</v>
      </c>
      <c r="AR16834" s="4" t="s">
        <v>377</v>
      </c>
    </row>
    <row r="16835" spans="1:44" ht="30">
      <c r="A16835" s="4" t="s">
        <v>10753</v>
      </c>
      <c r="B16835" s="4">
        <v>445259</v>
      </c>
      <c r="D16835" s="5" t="s">
        <v>20360</v>
      </c>
      <c r="E16835" s="6" t="str">
        <f>HYPERLINK("https://inpn.mnhn.fr/espece/cd_nom/445259","Charissa variegata (Duponchel, 1830)")</f>
        <v>Charissa variegata (Duponchel, 1830)</v>
      </c>
      <c r="F16835" s="5" t="s">
        <v>20361</v>
      </c>
      <c r="AH16835" s="4" t="str">
        <f>HYPERLINK("#Statut_biogéographique!A"&amp;_xlfn.XMATCH("P",Statut_biogéographique!A:A,2,1),"P")</f>
        <v>P</v>
      </c>
      <c r="AP16835" s="4" t="s">
        <v>376</v>
      </c>
      <c r="AR16835" s="4" t="s">
        <v>377</v>
      </c>
    </row>
    <row r="16836" spans="1:44" ht="30">
      <c r="A16836" s="4" t="s">
        <v>10753</v>
      </c>
      <c r="B16836" s="4">
        <v>445264</v>
      </c>
      <c r="D16836" s="5" t="s">
        <v>20362</v>
      </c>
      <c r="E16836" s="6" t="str">
        <f>HYPERLINK("https://inpn.mnhn.fr/espece/cd_nom/445264","Oedipoda caerulescens caerulescens (Linnaeus, 1758)")</f>
        <v>Oedipoda caerulescens caerulescens (Linnaeus, 1758)</v>
      </c>
      <c r="F16836" s="5" t="s">
        <v>20363</v>
      </c>
      <c r="AH16836" s="4" t="str">
        <f>HYPERLINK("#Statut_biogéographique!A"&amp;_xlfn.XMATCH("P",Statut_biogéographique!A:A,2,1),"P")</f>
        <v>P</v>
      </c>
      <c r="AP16836" s="4" t="s">
        <v>376</v>
      </c>
      <c r="AR16836" s="4" t="s">
        <v>377</v>
      </c>
    </row>
    <row r="16837" spans="1:44" ht="30">
      <c r="A16837" s="4" t="s">
        <v>10753</v>
      </c>
      <c r="B16837" s="4">
        <v>445269</v>
      </c>
      <c r="D16837" s="5" t="s">
        <v>20364</v>
      </c>
      <c r="E16837" s="6" t="str">
        <f>HYPERLINK("https://inpn.mnhn.fr/espece/cd_nom/445269","Coscinia cribraria (Linnaeus, 1758)")</f>
        <v>Coscinia cribraria (Linnaeus, 1758)</v>
      </c>
      <c r="F16837" s="5" t="s">
        <v>20365</v>
      </c>
      <c r="AH16837" s="4" t="str">
        <f>HYPERLINK("#Statut_biogéographique!A"&amp;_xlfn.XMATCH("P",Statut_biogéographique!A:A,2,1),"P")</f>
        <v>P</v>
      </c>
      <c r="AP16837" s="4" t="s">
        <v>376</v>
      </c>
      <c r="AR16837" s="4" t="s">
        <v>377</v>
      </c>
    </row>
    <row r="16838" spans="1:44">
      <c r="A16838" s="4" t="s">
        <v>10753</v>
      </c>
      <c r="B16838" s="4">
        <v>457228</v>
      </c>
      <c r="D16838" s="5" t="s">
        <v>20366</v>
      </c>
      <c r="E16838" s="6" t="str">
        <f>HYPERLINK("https://inpn.mnhn.fr/espece/cd_nom/457228","Metellina mengei (Blackwall, 1869)")</f>
        <v>Metellina mengei (Blackwall, 1869)</v>
      </c>
      <c r="Q16838" s="7" t="str">
        <f>HYPERLINK("#Liste_rouge!A"&amp;_xlfn.XMATCH("LC",Liste_rouge!A:A,2,1),"LC")</f>
        <v>LC</v>
      </c>
      <c r="AH16838" s="4" t="str">
        <f>HYPERLINK("#Statut_biogéographique!A"&amp;_xlfn.XMATCH("P",Statut_biogéographique!A:A,2,1),"P")</f>
        <v>P</v>
      </c>
      <c r="AP16838" s="4" t="s">
        <v>376</v>
      </c>
      <c r="AR16838" s="4" t="s">
        <v>377</v>
      </c>
    </row>
    <row r="16839" spans="1:44">
      <c r="A16839" s="4" t="s">
        <v>10753</v>
      </c>
      <c r="B16839" s="4">
        <v>457230</v>
      </c>
      <c r="D16839" s="5" t="s">
        <v>20367</v>
      </c>
      <c r="E16839" s="6" t="str">
        <f>HYPERLINK("https://inpn.mnhn.fr/espece/cd_nom/457230","Allagelena gracilens (C.L. Koch, 1841)")</f>
        <v>Allagelena gracilens (C.L. Koch, 1841)</v>
      </c>
      <c r="Q16839" s="7" t="str">
        <f>HYPERLINK("#Liste_rouge!A"&amp;_xlfn.XMATCH("LC",Liste_rouge!A:A,2,1),"LC")</f>
        <v>LC</v>
      </c>
      <c r="AH16839" s="4" t="str">
        <f>HYPERLINK("#Statut_biogéographique!A"&amp;_xlfn.XMATCH("P",Statut_biogéographique!A:A,2,1),"P")</f>
        <v>P</v>
      </c>
      <c r="AP16839" s="4" t="s">
        <v>376</v>
      </c>
      <c r="AR16839" s="4" t="s">
        <v>377</v>
      </c>
    </row>
    <row r="16840" spans="1:44">
      <c r="A16840" s="4" t="s">
        <v>10753</v>
      </c>
      <c r="B16840" s="4">
        <v>457240</v>
      </c>
      <c r="D16840" s="5" t="s">
        <v>20368</v>
      </c>
      <c r="E16840" s="6" t="str">
        <f>HYPERLINK("https://inpn.mnhn.fr/espece/cd_nom/457240","Ipa keyserlingi (Ausserer, 1867)")</f>
        <v>Ipa keyserlingi (Ausserer, 1867)</v>
      </c>
      <c r="Q16840" s="7" t="str">
        <f>HYPERLINK("#Liste_rouge!A"&amp;_xlfn.XMATCH("LC",Liste_rouge!A:A,2,1),"LC")</f>
        <v>LC</v>
      </c>
      <c r="AH16840" s="4" t="str">
        <f>HYPERLINK("#Statut_biogéographique!A"&amp;_xlfn.XMATCH("P",Statut_biogéographique!A:A,2,1),"P")</f>
        <v>P</v>
      </c>
      <c r="AP16840" s="4" t="s">
        <v>376</v>
      </c>
      <c r="AR16840" s="4" t="s">
        <v>377</v>
      </c>
    </row>
    <row r="16841" spans="1:44">
      <c r="A16841" s="4" t="s">
        <v>10753</v>
      </c>
      <c r="B16841" s="4">
        <v>457244</v>
      </c>
      <c r="D16841" s="5" t="s">
        <v>20369</v>
      </c>
      <c r="E16841" s="6" t="str">
        <f>HYPERLINK("https://inpn.mnhn.fr/espece/cd_nom/457244","Parasteatoda tepidariorum (C.L. Koch, 1841)")</f>
        <v>Parasteatoda tepidariorum (C.L. Koch, 1841)</v>
      </c>
      <c r="Q16841" s="7" t="str">
        <f>HYPERLINK("#Liste_rouge!A"&amp;_xlfn.XMATCH("LC",Liste_rouge!A:A,2,1),"LC")</f>
        <v>LC</v>
      </c>
      <c r="AH16841" s="4" t="str">
        <f>HYPERLINK("#Statut_biogéographique!A"&amp;_xlfn.XMATCH("P",Statut_biogéographique!A:A,2,1),"P")</f>
        <v>P</v>
      </c>
      <c r="AP16841" s="4" t="s">
        <v>376</v>
      </c>
      <c r="AR16841" s="4" t="s">
        <v>377</v>
      </c>
    </row>
    <row r="16842" spans="1:44">
      <c r="A16842" s="4" t="s">
        <v>10753</v>
      </c>
      <c r="B16842" s="4">
        <v>457316</v>
      </c>
      <c r="D16842" s="5" t="s">
        <v>20370</v>
      </c>
      <c r="E16842" s="6" t="str">
        <f>HYPERLINK("https://inpn.mnhn.fr/espece/cd_nom/457316","Pachygnatha degeeri Sundevall, 1830")</f>
        <v>Pachygnatha degeeri Sundevall, 1830</v>
      </c>
      <c r="Q16842" s="7" t="str">
        <f>HYPERLINK("#Liste_rouge!A"&amp;_xlfn.XMATCH("LC",Liste_rouge!A:A,2,1),"LC")</f>
        <v>LC</v>
      </c>
      <c r="AH16842" s="4" t="str">
        <f>HYPERLINK("#Statut_biogéographique!A"&amp;_xlfn.XMATCH("P",Statut_biogéographique!A:A,2,1),"P")</f>
        <v>P</v>
      </c>
      <c r="AP16842" s="4" t="s">
        <v>376</v>
      </c>
      <c r="AR16842" s="4" t="s">
        <v>377</v>
      </c>
    </row>
    <row r="16843" spans="1:44">
      <c r="A16843" s="4" t="s">
        <v>10753</v>
      </c>
      <c r="B16843" s="4">
        <v>457320</v>
      </c>
      <c r="D16843" s="5" t="s">
        <v>20371</v>
      </c>
      <c r="E16843" s="6" t="str">
        <f>HYPERLINK("https://inpn.mnhn.fr/espece/cd_nom/457320","Aculepeira ceropegia (Walckenaer, 1802)")</f>
        <v>Aculepeira ceropegia (Walckenaer, 1802)</v>
      </c>
      <c r="Q16843" s="7" t="str">
        <f>HYPERLINK("#Liste_rouge!A"&amp;_xlfn.XMATCH("LC",Liste_rouge!A:A,2,1),"LC")</f>
        <v>LC</v>
      </c>
      <c r="AH16843" s="4" t="str">
        <f>HYPERLINK("#Statut_biogéographique!A"&amp;_xlfn.XMATCH("P",Statut_biogéographique!A:A,2,1),"P")</f>
        <v>P</v>
      </c>
      <c r="AP16843" s="4" t="s">
        <v>376</v>
      </c>
      <c r="AR16843" s="4" t="s">
        <v>377</v>
      </c>
    </row>
    <row r="16844" spans="1:44">
      <c r="A16844" s="4" t="s">
        <v>10753</v>
      </c>
      <c r="B16844" s="4">
        <v>457321</v>
      </c>
      <c r="D16844" s="5" t="s">
        <v>20372</v>
      </c>
      <c r="E16844" s="6" t="str">
        <f>HYPERLINK("https://inpn.mnhn.fr/espece/cd_nom/457321","Araneus alsine Walckenaer, 1802")</f>
        <v>Araneus alsine Walckenaer, 1802</v>
      </c>
      <c r="F16844" s="5" t="s">
        <v>20373</v>
      </c>
      <c r="Q16844" s="7" t="str">
        <f>HYPERLINK("#Liste_rouge!A"&amp;_xlfn.XMATCH("LC",Liste_rouge!A:A,2,1),"LC")</f>
        <v>LC</v>
      </c>
      <c r="AH16844" s="4" t="str">
        <f>HYPERLINK("#Statut_biogéographique!A"&amp;_xlfn.XMATCH("P",Statut_biogéographique!A:A,2,1),"P")</f>
        <v>P</v>
      </c>
      <c r="AP16844" s="4" t="s">
        <v>376</v>
      </c>
      <c r="AR16844" s="4" t="s">
        <v>377</v>
      </c>
    </row>
    <row r="16845" spans="1:44">
      <c r="A16845" s="4" t="s">
        <v>10753</v>
      </c>
      <c r="B16845" s="4">
        <v>457331</v>
      </c>
      <c r="D16845" s="5" t="s">
        <v>20374</v>
      </c>
      <c r="E16845" s="6" t="str">
        <f>HYPERLINK("https://inpn.mnhn.fr/espece/cd_nom/457331","Larinioides sclopetarius (Clerck, 1758)")</f>
        <v>Larinioides sclopetarius (Clerck, 1758)</v>
      </c>
      <c r="Q16845" s="7" t="str">
        <f>HYPERLINK("#Liste_rouge!A"&amp;_xlfn.XMATCH("LC",Liste_rouge!A:A,2,1),"LC")</f>
        <v>LC</v>
      </c>
      <c r="AH16845" s="4" t="str">
        <f>HYPERLINK("#Statut_biogéographique!A"&amp;_xlfn.XMATCH("P",Statut_biogéographique!A:A,2,1),"P")</f>
        <v>P</v>
      </c>
      <c r="AP16845" s="4" t="s">
        <v>376</v>
      </c>
      <c r="AR16845" s="4" t="s">
        <v>377</v>
      </c>
    </row>
    <row r="16846" spans="1:44">
      <c r="A16846" s="4" t="s">
        <v>10753</v>
      </c>
      <c r="B16846" s="4">
        <v>457340</v>
      </c>
      <c r="D16846" s="5" t="s">
        <v>20375</v>
      </c>
      <c r="E16846" s="6" t="str">
        <f>HYPERLINK("https://inpn.mnhn.fr/espece/cd_nom/457340","Pardosa prativaga (L. Koch, 1870)")</f>
        <v>Pardosa prativaga (L. Koch, 1870)</v>
      </c>
      <c r="Q16846" s="7" t="str">
        <f>HYPERLINK("#Liste_rouge!A"&amp;_xlfn.XMATCH("LC",Liste_rouge!A:A,2,1),"LC")</f>
        <v>LC</v>
      </c>
      <c r="AH16846" s="4" t="str">
        <f>HYPERLINK("#Statut_biogéographique!A"&amp;_xlfn.XMATCH("P",Statut_biogéographique!A:A,2,1),"P")</f>
        <v>P</v>
      </c>
      <c r="AP16846" s="4" t="s">
        <v>376</v>
      </c>
      <c r="AR16846" s="4" t="s">
        <v>377</v>
      </c>
    </row>
    <row r="16847" spans="1:44">
      <c r="A16847" s="4" t="s">
        <v>10753</v>
      </c>
      <c r="B16847" s="4">
        <v>457342</v>
      </c>
      <c r="D16847" s="5">
        <v>457342</v>
      </c>
      <c r="E16847" s="6" t="str">
        <f>HYPERLINK("https://inpn.mnhn.fr/espece/cd_nom/457342","Pardosa saltans Töpfer-Hofmann, 2000")</f>
        <v>Pardosa saltans Töpfer-Hofmann, 2000</v>
      </c>
      <c r="F16847" s="5" t="s">
        <v>20376</v>
      </c>
      <c r="Q16847" s="7" t="str">
        <f>HYPERLINK("#Liste_rouge!A"&amp;_xlfn.XMATCH("LC",Liste_rouge!A:A,2,1),"LC")</f>
        <v>LC</v>
      </c>
      <c r="AH16847" s="4" t="str">
        <f>HYPERLINK("#Statut_biogéographique!A"&amp;_xlfn.XMATCH("P",Statut_biogéographique!A:A,2,1),"P")</f>
        <v>P</v>
      </c>
      <c r="AP16847" s="4" t="s">
        <v>376</v>
      </c>
      <c r="AR16847" s="4" t="s">
        <v>377</v>
      </c>
    </row>
    <row r="16848" spans="1:44">
      <c r="A16848" s="4" t="s">
        <v>10753</v>
      </c>
      <c r="B16848" s="4">
        <v>457346</v>
      </c>
      <c r="D16848" s="5" t="s">
        <v>20377</v>
      </c>
      <c r="E16848" s="6" t="str">
        <f>HYPERLINK("https://inpn.mnhn.fr/espece/cd_nom/457346","Trochosa robusta (Simon, 1876)")</f>
        <v>Trochosa robusta (Simon, 1876)</v>
      </c>
      <c r="Q16848" s="7" t="str">
        <f>HYPERLINK("#Liste_rouge!A"&amp;_xlfn.XMATCH("LC",Liste_rouge!A:A,2,1),"LC")</f>
        <v>LC</v>
      </c>
      <c r="AH16848" s="4" t="str">
        <f>HYPERLINK("#Statut_biogéographique!A"&amp;_xlfn.XMATCH("P",Statut_biogéographique!A:A,2,1),"P")</f>
        <v>P</v>
      </c>
      <c r="AP16848" s="4" t="s">
        <v>376</v>
      </c>
      <c r="AR16848" s="4" t="s">
        <v>377</v>
      </c>
    </row>
    <row r="16849" spans="1:44">
      <c r="A16849" s="4" t="s">
        <v>10753</v>
      </c>
      <c r="B16849" s="4">
        <v>457348</v>
      </c>
      <c r="D16849" s="5" t="s">
        <v>20378</v>
      </c>
      <c r="E16849" s="6" t="str">
        <f>HYPERLINK("https://inpn.mnhn.fr/espece/cd_nom/457348","Zora silvestris Kulczyński, 1897")</f>
        <v>Zora silvestris Kulczyński, 1897</v>
      </c>
      <c r="Q16849" s="7" t="str">
        <f>HYPERLINK("#Liste_rouge!A"&amp;_xlfn.XMATCH("LC",Liste_rouge!A:A,2,1),"LC")</f>
        <v>LC</v>
      </c>
      <c r="AH16849" s="4" t="str">
        <f>HYPERLINK("#Statut_biogéographique!A"&amp;_xlfn.XMATCH("P",Statut_biogéographique!A:A,2,1),"P")</f>
        <v>P</v>
      </c>
      <c r="AP16849" s="4" t="s">
        <v>376</v>
      </c>
      <c r="AR16849" s="4" t="s">
        <v>377</v>
      </c>
    </row>
    <row r="16850" spans="1:44">
      <c r="A16850" s="4" t="s">
        <v>10753</v>
      </c>
      <c r="B16850" s="4">
        <v>457363</v>
      </c>
      <c r="D16850" s="5" t="s">
        <v>20379</v>
      </c>
      <c r="E16850" s="6" t="str">
        <f>HYPERLINK("https://inpn.mnhn.fr/espece/cd_nom/457363","Clubiona phragmitis C.L. Koch, 1843")</f>
        <v>Clubiona phragmitis C.L. Koch, 1843</v>
      </c>
      <c r="Q16850" s="7" t="str">
        <f>HYPERLINK("#Liste_rouge!A"&amp;_xlfn.XMATCH("LC",Liste_rouge!A:A,2,1),"LC")</f>
        <v>LC</v>
      </c>
      <c r="AH16850" s="4" t="str">
        <f>HYPERLINK("#Statut_biogéographique!A"&amp;_xlfn.XMATCH("P",Statut_biogéographique!A:A,2,1),"P")</f>
        <v>P</v>
      </c>
      <c r="AP16850" s="4" t="s">
        <v>376</v>
      </c>
      <c r="AR16850" s="4" t="s">
        <v>377</v>
      </c>
    </row>
    <row r="16851" spans="1:44">
      <c r="A16851" s="4" t="s">
        <v>10753</v>
      </c>
      <c r="B16851" s="4">
        <v>457397</v>
      </c>
      <c r="D16851" s="5" t="s">
        <v>20380</v>
      </c>
      <c r="E16851" s="6" t="str">
        <f>HYPERLINK("https://inpn.mnhn.fr/espece/cd_nom/457397","Xysticus ulmi (Hahn, 1831)")</f>
        <v>Xysticus ulmi (Hahn, 1831)</v>
      </c>
      <c r="Q16851" s="7" t="str">
        <f>HYPERLINK("#Liste_rouge!A"&amp;_xlfn.XMATCH("LC",Liste_rouge!A:A,2,1),"LC")</f>
        <v>LC</v>
      </c>
      <c r="AH16851" s="4" t="str">
        <f>HYPERLINK("#Statut_biogéographique!A"&amp;_xlfn.XMATCH("P",Statut_biogéographique!A:A,2,1),"P")</f>
        <v>P</v>
      </c>
      <c r="AP16851" s="4" t="s">
        <v>376</v>
      </c>
      <c r="AR16851" s="4" t="s">
        <v>377</v>
      </c>
    </row>
    <row r="16852" spans="1:44" ht="30">
      <c r="A16852" s="4" t="s">
        <v>10753</v>
      </c>
      <c r="B16852" s="4">
        <v>458686</v>
      </c>
      <c r="D16852" s="5" t="s">
        <v>20381</v>
      </c>
      <c r="E16852" s="6" t="str">
        <f>HYPERLINK("https://inpn.mnhn.fr/espece/cd_nom/458686","Charissa glaucinaria (Hübner, 1799)")</f>
        <v>Charissa glaucinaria (Hübner, 1799)</v>
      </c>
      <c r="F16852" s="5" t="s">
        <v>20382</v>
      </c>
      <c r="AH16852" s="4" t="str">
        <f>HYPERLINK("#Statut_biogéographique!A"&amp;_xlfn.XMATCH("P",Statut_biogéographique!A:A,2,1),"P")</f>
        <v>P</v>
      </c>
      <c r="AP16852" s="4" t="s">
        <v>376</v>
      </c>
      <c r="AR16852" s="4" t="s">
        <v>377</v>
      </c>
    </row>
    <row r="16853" spans="1:44" ht="30">
      <c r="A16853" s="4" t="s">
        <v>10753</v>
      </c>
      <c r="B16853" s="4">
        <v>458706</v>
      </c>
      <c r="D16853" s="5" t="s">
        <v>20383</v>
      </c>
      <c r="E16853" s="6" t="str">
        <f>HYPERLINK("https://inpn.mnhn.fr/espece/cd_nom/458706","Eresus kollari Rossi, 1846")</f>
        <v>Eresus kollari Rossi, 1846</v>
      </c>
      <c r="F16853" s="5" t="s">
        <v>20384</v>
      </c>
      <c r="Q16853" s="7" t="str">
        <f>HYPERLINK("#Liste_rouge!A"&amp;_xlfn.XMATCH("LC",Liste_rouge!A:A,2,1),"LC")</f>
        <v>LC</v>
      </c>
      <c r="AE16853" s="4" t="str">
        <f>HYPERLINK("#SCAP!A"&amp;_xlfn.XMATCH("A",SCAP!A:A,2,1),"A")</f>
        <v>A</v>
      </c>
      <c r="AH16853" s="4" t="str">
        <f>HYPERLINK("#Statut_biogéographique!A"&amp;_xlfn.XMATCH("P",Statut_biogéographique!A:A,2,1),"P")</f>
        <v>P</v>
      </c>
      <c r="AP16853" s="4" t="s">
        <v>376</v>
      </c>
      <c r="AR16853" s="4" t="s">
        <v>377</v>
      </c>
    </row>
    <row r="16854" spans="1:44">
      <c r="A16854" s="4" t="s">
        <v>10753</v>
      </c>
      <c r="B16854" s="4">
        <v>458766</v>
      </c>
      <c r="D16854" s="5" t="s">
        <v>20385</v>
      </c>
      <c r="E16854" s="6" t="str">
        <f>HYPERLINK("https://inpn.mnhn.fr/espece/cd_nom/458766","Mermessus trilobatus (Emerton, 1882)")</f>
        <v>Mermessus trilobatus (Emerton, 1882)</v>
      </c>
      <c r="Q16854" s="7" t="str">
        <f>HYPERLINK("#Liste_rouge!A"&amp;_xlfn.XMATCH("NA",Liste_rouge!A:A,2,1),"NA")</f>
        <v>NA</v>
      </c>
      <c r="AH16854" s="4" t="str">
        <f>HYPERLINK("#Statut_biogéographique!A"&amp;_xlfn.XMATCH("P",Statut_biogéographique!A:A,2,1),"P")</f>
        <v>P</v>
      </c>
      <c r="AP16854" s="4" t="s">
        <v>376</v>
      </c>
      <c r="AR16854" s="4" t="s">
        <v>377</v>
      </c>
    </row>
    <row r="16855" spans="1:44">
      <c r="A16855" s="4" t="s">
        <v>10753</v>
      </c>
      <c r="B16855" s="4">
        <v>458768</v>
      </c>
      <c r="D16855" s="5" t="s">
        <v>20386</v>
      </c>
      <c r="E16855" s="6" t="str">
        <f>HYPERLINK("https://inpn.mnhn.fr/espece/cd_nom/458768","Cozyptila blackwalli (Simon, 1875)")</f>
        <v>Cozyptila blackwalli (Simon, 1875)</v>
      </c>
      <c r="Q16855" s="7" t="str">
        <f>HYPERLINK("#Liste_rouge!A"&amp;_xlfn.XMATCH("LC",Liste_rouge!A:A,2,1),"LC")</f>
        <v>LC</v>
      </c>
      <c r="AH16855" s="4" t="str">
        <f>HYPERLINK("#Statut_biogéographique!A"&amp;_xlfn.XMATCH("P",Statut_biogéographique!A:A,2,1),"P")</f>
        <v>P</v>
      </c>
      <c r="AP16855" s="4" t="s">
        <v>376</v>
      </c>
      <c r="AR16855" s="4" t="s">
        <v>377</v>
      </c>
    </row>
    <row r="16856" spans="1:44">
      <c r="A16856" s="4" t="s">
        <v>10753</v>
      </c>
      <c r="B16856" s="4">
        <v>458769</v>
      </c>
      <c r="D16856" s="5" t="s">
        <v>20387</v>
      </c>
      <c r="E16856" s="6" t="str">
        <f>HYPERLINK("https://inpn.mnhn.fr/espece/cd_nom/458769","Ebrechtella tricuspidata (Fabricius, 1775)")</f>
        <v>Ebrechtella tricuspidata (Fabricius, 1775)</v>
      </c>
      <c r="F16856" s="5" t="s">
        <v>20388</v>
      </c>
      <c r="Q16856" s="7" t="str">
        <f>HYPERLINK("#Liste_rouge!A"&amp;_xlfn.XMATCH("LC",Liste_rouge!A:A,2,1),"LC")</f>
        <v>LC</v>
      </c>
      <c r="AH16856" s="4" t="str">
        <f>HYPERLINK("#Statut_biogéographique!A"&amp;_xlfn.XMATCH("P",Statut_biogéographique!A:A,2,1),"P")</f>
        <v>P</v>
      </c>
      <c r="AP16856" s="4" t="s">
        <v>376</v>
      </c>
      <c r="AR16856" s="4" t="s">
        <v>377</v>
      </c>
    </row>
    <row r="16857" spans="1:44" ht="45">
      <c r="A16857" s="4" t="s">
        <v>10753</v>
      </c>
      <c r="B16857" s="4">
        <v>459036</v>
      </c>
      <c r="D16857" s="5" t="s">
        <v>20389</v>
      </c>
      <c r="E16857" s="6" t="str">
        <f>HYPERLINK("https://inpn.mnhn.fr/espece/cd_nom/459036","Spiris striata (Linnaeus, 1758)")</f>
        <v>Spiris striata (Linnaeus, 1758)</v>
      </c>
      <c r="F16857" s="5" t="s">
        <v>20390</v>
      </c>
      <c r="AH16857" s="4" t="str">
        <f>HYPERLINK("#Statut_biogéographique!A"&amp;_xlfn.XMATCH("P",Statut_biogéographique!A:A,2,1),"P")</f>
        <v>P</v>
      </c>
      <c r="AP16857" s="4" t="s">
        <v>376</v>
      </c>
      <c r="AR16857" s="4" t="s">
        <v>377</v>
      </c>
    </row>
    <row r="16858" spans="1:44" ht="30">
      <c r="A16858" s="4" t="s">
        <v>10753</v>
      </c>
      <c r="B16858" s="4">
        <v>459069</v>
      </c>
      <c r="D16858" s="5" t="s">
        <v>20391</v>
      </c>
      <c r="E16858" s="6" t="str">
        <f>HYPERLINK("https://inpn.mnhn.fr/espece/cd_nom/459069","Spilarctia lutea (Hufnagel, 1766)")</f>
        <v>Spilarctia lutea (Hufnagel, 1766)</v>
      </c>
      <c r="F16858" s="5" t="s">
        <v>20392</v>
      </c>
      <c r="AH16858" s="4" t="str">
        <f>HYPERLINK("#Statut_biogéographique!A"&amp;_xlfn.XMATCH("P",Statut_biogéographique!A:A,2,1),"P")</f>
        <v>P</v>
      </c>
      <c r="AP16858" s="4" t="s">
        <v>376</v>
      </c>
      <c r="AR16858" s="4" t="s">
        <v>377</v>
      </c>
    </row>
    <row r="16859" spans="1:44" ht="30">
      <c r="A16859" s="4" t="s">
        <v>10753</v>
      </c>
      <c r="B16859" s="4">
        <v>459324</v>
      </c>
      <c r="D16859" s="5">
        <v>459324</v>
      </c>
      <c r="E16859" s="6" t="str">
        <f>HYPERLINK("https://inpn.mnhn.fr/espece/cd_nom/459324","Leiopus linnei Wallin, Nylander &amp; Kvamme, 2009")</f>
        <v>Leiopus linnei Wallin, Nylander &amp; Kvamme, 2009</v>
      </c>
      <c r="AH16859" s="4" t="str">
        <f>HYPERLINK("#Statut_biogéographique!A"&amp;_xlfn.XMATCH("P",Statut_biogéographique!A:A,2,1),"P")</f>
        <v>P</v>
      </c>
      <c r="AP16859" s="4" t="s">
        <v>376</v>
      </c>
      <c r="AR16859" s="4" t="s">
        <v>377</v>
      </c>
    </row>
    <row r="16860" spans="1:44" ht="30">
      <c r="A16860" s="4" t="s">
        <v>10753</v>
      </c>
      <c r="B16860" s="4">
        <v>459325</v>
      </c>
      <c r="D16860" s="5" t="s">
        <v>20393</v>
      </c>
      <c r="E16860" s="6" t="str">
        <f>HYPERLINK("https://inpn.mnhn.fr/espece/cd_nom/459325","Harmonia axyridis (Pallas, 1773)")</f>
        <v>Harmonia axyridis (Pallas, 1773)</v>
      </c>
      <c r="F16860" s="5" t="s">
        <v>20394</v>
      </c>
      <c r="AH16860" s="4" t="str">
        <f>HYPERLINK("#Statut_biogéographique!A"&amp;_xlfn.XMATCH("J",Statut_biogéographique!A:A,2,1),"J")</f>
        <v>J</v>
      </c>
      <c r="AP16860" s="4" t="s">
        <v>376</v>
      </c>
      <c r="AR16860" s="4" t="s">
        <v>377</v>
      </c>
    </row>
    <row r="16861" spans="1:44">
      <c r="A16861" s="4" t="s">
        <v>10753</v>
      </c>
      <c r="B16861" s="4">
        <v>485</v>
      </c>
      <c r="D16861" s="5" t="s">
        <v>20395</v>
      </c>
      <c r="E16861" s="6" t="str">
        <f>HYPERLINK("https://inpn.mnhn.fr/espece/cd_nom/485","Helobdella stagnalis (Linnaeus, 1758)")</f>
        <v>Helobdella stagnalis (Linnaeus, 1758)</v>
      </c>
      <c r="F16861" s="5" t="s">
        <v>20396</v>
      </c>
      <c r="AH16861" s="4" t="str">
        <f>HYPERLINK("#Statut_biogéographique!A"&amp;_xlfn.XMATCH("P",Statut_biogéographique!A:A,2,1),"P")</f>
        <v>P</v>
      </c>
      <c r="AP16861" s="4" t="s">
        <v>376</v>
      </c>
      <c r="AR16861" s="4" t="s">
        <v>377</v>
      </c>
    </row>
    <row r="16862" spans="1:44">
      <c r="A16862" s="4" t="s">
        <v>10753</v>
      </c>
      <c r="B16862" s="4">
        <v>490</v>
      </c>
      <c r="D16862" s="5" t="s">
        <v>20397</v>
      </c>
      <c r="E16862" s="6" t="str">
        <f>HYPERLINK("https://inpn.mnhn.fr/espece/cd_nom/490","Piscicola geometra (Linnaeus, 1758)")</f>
        <v>Piscicola geometra (Linnaeus, 1758)</v>
      </c>
      <c r="F16862" s="5" t="s">
        <v>20398</v>
      </c>
      <c r="AH16862" s="4" t="str">
        <f>HYPERLINK("#Statut_biogéographique!A"&amp;_xlfn.XMATCH("P",Statut_biogéographique!A:A,2,1),"P")</f>
        <v>P</v>
      </c>
      <c r="AP16862" s="4" t="s">
        <v>376</v>
      </c>
      <c r="AR16862" s="4" t="s">
        <v>377</v>
      </c>
    </row>
    <row r="16863" spans="1:44" ht="30">
      <c r="A16863" s="4" t="s">
        <v>10753</v>
      </c>
      <c r="B16863" s="4">
        <v>497</v>
      </c>
      <c r="D16863" s="5">
        <v>497</v>
      </c>
      <c r="E16863" s="6" t="str">
        <f>HYPERLINK("https://inpn.mnhn.fr/espece/cd_nom/497","Hirudo medicinalis Linnaeus, 1758")</f>
        <v>Hirudo medicinalis Linnaeus, 1758</v>
      </c>
      <c r="F16863" s="5" t="s">
        <v>20399</v>
      </c>
      <c r="G16863" s="4" t="str">
        <f>HYPERLINK("[#Réglementation!A"&amp;_xlfn.XMATCH("CCB",Réglementation!A:A,2,1),"CCB")</f>
        <v>CCB</v>
      </c>
      <c r="I16863" s="4" t="str">
        <f>HYPERLINK("#Réglementation!A"&amp;_xlfn.XMATCH("IBE3",Réglementation!A:A,2,1),"IBE3")</f>
        <v>IBE3</v>
      </c>
      <c r="K16863" s="4" t="str">
        <f>HYPERLINK("#Réglementation!A"&amp;_xlfn.XMATCH("CDH5",Réglementation!A:A,2,1),"CDH5")</f>
        <v>CDH5</v>
      </c>
      <c r="O16863" s="7" t="str">
        <f>HYPERLINK("#Liste_rouge!A"&amp;_xlfn.XMATCH("NT",Liste_rouge!A:A,2,1),"NT")</f>
        <v>NT</v>
      </c>
      <c r="AH16863" s="4" t="str">
        <f>HYPERLINK("#Statut_biogéographique!A"&amp;_xlfn.XMATCH("P",Statut_biogéographique!A:A,2,1),"P")</f>
        <v>P</v>
      </c>
      <c r="AP16863" s="4" t="s">
        <v>376</v>
      </c>
      <c r="AR16863" s="4" t="s">
        <v>377</v>
      </c>
    </row>
    <row r="16864" spans="1:44">
      <c r="A16864" s="4" t="s">
        <v>10753</v>
      </c>
      <c r="B16864" s="4">
        <v>499</v>
      </c>
      <c r="D16864" s="5" t="s">
        <v>20400</v>
      </c>
      <c r="E16864" s="6" t="str">
        <f>HYPERLINK("https://inpn.mnhn.fr/espece/cd_nom/499","Haemopis sanguisuga (Linnaeus, 1758)")</f>
        <v>Haemopis sanguisuga (Linnaeus, 1758)</v>
      </c>
      <c r="AH16864" s="4" t="str">
        <f>HYPERLINK("#Statut_biogéographique!A"&amp;_xlfn.XMATCH("P",Statut_biogéographique!A:A,2,1),"P")</f>
        <v>P</v>
      </c>
      <c r="AP16864" s="4" t="s">
        <v>376</v>
      </c>
      <c r="AR16864" s="4" t="s">
        <v>377</v>
      </c>
    </row>
    <row r="16865" spans="1:44">
      <c r="A16865" s="4" t="s">
        <v>10753</v>
      </c>
      <c r="B16865" s="4">
        <v>51331</v>
      </c>
      <c r="D16865" s="5" t="s">
        <v>20401</v>
      </c>
      <c r="E16865" s="6" t="str">
        <f>HYPERLINK("https://inpn.mnhn.fr/espece/cd_nom/51331","Ledra aurita (Linnaeus, 1758)")</f>
        <v>Ledra aurita (Linnaeus, 1758)</v>
      </c>
      <c r="F16865" s="5" t="s">
        <v>20402</v>
      </c>
      <c r="AH16865" s="4" t="str">
        <f>HYPERLINK("#Statut_biogéographique!A"&amp;_xlfn.XMATCH("P",Statut_biogéographique!A:A,2,1),"P")</f>
        <v>P</v>
      </c>
      <c r="AP16865" s="4" t="s">
        <v>376</v>
      </c>
      <c r="AR16865" s="4" t="s">
        <v>377</v>
      </c>
    </row>
    <row r="16866" spans="1:44">
      <c r="A16866" s="4" t="s">
        <v>10753</v>
      </c>
      <c r="B16866" s="4">
        <v>51377</v>
      </c>
      <c r="D16866" s="5" t="s">
        <v>20403</v>
      </c>
      <c r="E16866" s="6" t="str">
        <f>HYPERLINK("https://inpn.mnhn.fr/espece/cd_nom/51377","Ectopsocus briggsi McLachlan, 1899")</f>
        <v>Ectopsocus briggsi McLachlan, 1899</v>
      </c>
      <c r="AH16866" s="4" t="str">
        <f>HYPERLINK("#Statut_biogéographique!A"&amp;_xlfn.XMATCH("C",Statut_biogéographique!A:A,2,1),"C")</f>
        <v>C</v>
      </c>
      <c r="AP16866" s="4" t="s">
        <v>376</v>
      </c>
      <c r="AR16866" s="4" t="s">
        <v>377</v>
      </c>
    </row>
    <row r="16867" spans="1:44">
      <c r="A16867" s="4" t="s">
        <v>10753</v>
      </c>
      <c r="B16867" s="4">
        <v>51394</v>
      </c>
      <c r="D16867" s="5" t="s">
        <v>20404</v>
      </c>
      <c r="E16867" s="6" t="str">
        <f>HYPERLINK("https://inpn.mnhn.fr/espece/cd_nom/51394","Graphopsocus cruciatus (Linnaeus, 1768)")</f>
        <v>Graphopsocus cruciatus (Linnaeus, 1768)</v>
      </c>
      <c r="AH16867" s="4" t="str">
        <f>HYPERLINK("#Statut_biogéographique!A"&amp;_xlfn.XMATCH("P",Statut_biogéographique!A:A,2,1),"P")</f>
        <v>P</v>
      </c>
      <c r="AP16867" s="4" t="s">
        <v>376</v>
      </c>
      <c r="AR16867" s="4" t="s">
        <v>377</v>
      </c>
    </row>
    <row r="16868" spans="1:44">
      <c r="A16868" s="4" t="s">
        <v>10753</v>
      </c>
      <c r="B16868" s="4">
        <v>51405</v>
      </c>
      <c r="D16868" s="5">
        <v>51405</v>
      </c>
      <c r="E16868" s="6" t="str">
        <f>HYPERLINK("https://inpn.mnhn.fr/espece/cd_nom/51405","Lepinotus patruelis Pearman, 1931")</f>
        <v>Lepinotus patruelis Pearman, 1931</v>
      </c>
      <c r="AH16868" s="4" t="str">
        <f>HYPERLINK("#Statut_biogéographique!A"&amp;_xlfn.XMATCH("C",Statut_biogéographique!A:A,2,1),"C")</f>
        <v>C</v>
      </c>
      <c r="AP16868" s="4" t="s">
        <v>376</v>
      </c>
      <c r="AR16868" s="4" t="s">
        <v>377</v>
      </c>
    </row>
    <row r="16869" spans="1:44">
      <c r="A16869" s="4" t="s">
        <v>10753</v>
      </c>
      <c r="B16869" s="4">
        <v>51411</v>
      </c>
      <c r="D16869" s="5" t="s">
        <v>20405</v>
      </c>
      <c r="E16869" s="6" t="str">
        <f>HYPERLINK("https://inpn.mnhn.fr/espece/cd_nom/51411","Loensia fasciata (Fabricius, 1787)")</f>
        <v>Loensia fasciata (Fabricius, 1787)</v>
      </c>
      <c r="AH16869" s="4" t="str">
        <f>HYPERLINK("#Statut_biogéographique!A"&amp;_xlfn.XMATCH("P",Statut_biogéographique!A:A,2,1),"P")</f>
        <v>P</v>
      </c>
      <c r="AP16869" s="4" t="s">
        <v>376</v>
      </c>
      <c r="AR16869" s="4" t="s">
        <v>377</v>
      </c>
    </row>
    <row r="16870" spans="1:44">
      <c r="A16870" s="4" t="s">
        <v>10753</v>
      </c>
      <c r="B16870" s="4">
        <v>51433</v>
      </c>
      <c r="D16870" s="5" t="s">
        <v>20406</v>
      </c>
      <c r="E16870" s="6" t="str">
        <f>HYPERLINK("https://inpn.mnhn.fr/espece/cd_nom/51433","Psococerastis gibbosa (Sulzer, 1776)")</f>
        <v>Psococerastis gibbosa (Sulzer, 1776)</v>
      </c>
      <c r="AH16870" s="4" t="str">
        <f>HYPERLINK("#Statut_biogéographique!A"&amp;_xlfn.XMATCH("P",Statut_biogéographique!A:A,2,1),"P")</f>
        <v>P</v>
      </c>
      <c r="AP16870" s="4" t="s">
        <v>376</v>
      </c>
      <c r="AR16870" s="4" t="s">
        <v>377</v>
      </c>
    </row>
    <row r="16871" spans="1:44" ht="30">
      <c r="A16871" s="4" t="s">
        <v>10753</v>
      </c>
      <c r="B16871" s="4">
        <v>51439</v>
      </c>
      <c r="D16871" s="5" t="s">
        <v>20407</v>
      </c>
      <c r="E16871" s="6" t="str">
        <f>HYPERLINK("https://inpn.mnhn.fr/espece/cd_nom/51439","Trichadenotecnum sexpunctatum (Linnaeus, 1758)")</f>
        <v>Trichadenotecnum sexpunctatum (Linnaeus, 1758)</v>
      </c>
      <c r="AH16871" s="4" t="str">
        <f>HYPERLINK("#Statut_biogéographique!A"&amp;_xlfn.XMATCH("P",Statut_biogéographique!A:A,2,1),"P")</f>
        <v>P</v>
      </c>
      <c r="AP16871" s="4" t="s">
        <v>376</v>
      </c>
      <c r="AR16871" s="4" t="s">
        <v>377</v>
      </c>
    </row>
    <row r="16872" spans="1:44">
      <c r="A16872" s="4" t="s">
        <v>10753</v>
      </c>
      <c r="B16872" s="4">
        <v>51497</v>
      </c>
      <c r="D16872" s="5" t="s">
        <v>20408</v>
      </c>
      <c r="E16872" s="6" t="str">
        <f>HYPERLINK("https://inpn.mnhn.fr/espece/cd_nom/51497","Blepharidopterus angulatus (Fallén, 1807)")</f>
        <v>Blepharidopterus angulatus (Fallén, 1807)</v>
      </c>
      <c r="AH16872" s="4" t="str">
        <f>HYPERLINK("#Statut_biogéographique!A"&amp;_xlfn.XMATCH("P",Statut_biogéographique!A:A,2,1),"P")</f>
        <v>P</v>
      </c>
      <c r="AP16872" s="4" t="s">
        <v>376</v>
      </c>
      <c r="AR16872" s="4" t="s">
        <v>377</v>
      </c>
    </row>
    <row r="16873" spans="1:44">
      <c r="A16873" s="4" t="s">
        <v>10753</v>
      </c>
      <c r="B16873" s="4">
        <v>51499</v>
      </c>
      <c r="D16873" s="5" t="s">
        <v>20409</v>
      </c>
      <c r="E16873" s="6" t="str">
        <f>HYPERLINK("https://inpn.mnhn.fr/espece/cd_nom/51499","Callicorixa praeusta (Fieber, 1848)")</f>
        <v>Callicorixa praeusta (Fieber, 1848)</v>
      </c>
      <c r="AH16873" s="4" t="str">
        <f>HYPERLINK("#Statut_biogéographique!A"&amp;_xlfn.XMATCH("P",Statut_biogéographique!A:A,2,1),"P")</f>
        <v>P</v>
      </c>
      <c r="AP16873" s="4" t="s">
        <v>376</v>
      </c>
      <c r="AR16873" s="4" t="s">
        <v>377</v>
      </c>
    </row>
    <row r="16874" spans="1:44" ht="30">
      <c r="A16874" s="4" t="s">
        <v>10753</v>
      </c>
      <c r="B16874" s="4">
        <v>51503</v>
      </c>
      <c r="D16874" s="5" t="s">
        <v>20410</v>
      </c>
      <c r="E16874" s="6" t="str">
        <f>HYPERLINK("https://inpn.mnhn.fr/espece/cd_nom/51503","Compsidolon salicellum (Herrich-Schäffer, 1841)")</f>
        <v>Compsidolon salicellum (Herrich-Schäffer, 1841)</v>
      </c>
      <c r="AH16874" s="4" t="str">
        <f>HYPERLINK("#Statut_biogéographique!A"&amp;_xlfn.XMATCH("P",Statut_biogéographique!A:A,2,1),"P")</f>
        <v>P</v>
      </c>
      <c r="AP16874" s="4" t="s">
        <v>376</v>
      </c>
      <c r="AR16874" s="4" t="s">
        <v>377</v>
      </c>
    </row>
    <row r="16875" spans="1:44">
      <c r="A16875" s="4" t="s">
        <v>10753</v>
      </c>
      <c r="B16875" s="4">
        <v>51508</v>
      </c>
      <c r="D16875" s="5" t="s">
        <v>20411</v>
      </c>
      <c r="E16875" s="6" t="str">
        <f>HYPERLINK("https://inpn.mnhn.fr/espece/cd_nom/51508","Dolycoris baccarum (Linnaeus, 1758)")</f>
        <v>Dolycoris baccarum (Linnaeus, 1758)</v>
      </c>
      <c r="F16875" s="5" t="s">
        <v>20412</v>
      </c>
      <c r="AH16875" s="4" t="str">
        <f>HYPERLINK("#Statut_biogéographique!A"&amp;_xlfn.XMATCH("P",Statut_biogéographique!A:A,2,1),"P")</f>
        <v>P</v>
      </c>
      <c r="AP16875" s="4" t="s">
        <v>376</v>
      </c>
      <c r="AR16875" s="4" t="s">
        <v>377</v>
      </c>
    </row>
    <row r="16876" spans="1:44" ht="30">
      <c r="A16876" s="4" t="s">
        <v>10753</v>
      </c>
      <c r="B16876" s="4">
        <v>51512</v>
      </c>
      <c r="D16876" s="5" t="s">
        <v>20413</v>
      </c>
      <c r="E16876" s="6" t="str">
        <f>HYPERLINK("https://inpn.mnhn.fr/espece/cd_nom/51512","Euplocamus anthracinalis (Scopoli, 1763)")</f>
        <v>Euplocamus anthracinalis (Scopoli, 1763)</v>
      </c>
      <c r="AH16876" s="4" t="str">
        <f>HYPERLINK("#Statut_biogéographique!A"&amp;_xlfn.XMATCH("P",Statut_biogéographique!A:A,2,1),"P")</f>
        <v>P</v>
      </c>
      <c r="AP16876" s="4" t="s">
        <v>376</v>
      </c>
      <c r="AR16876" s="4" t="s">
        <v>377</v>
      </c>
    </row>
    <row r="16877" spans="1:44">
      <c r="A16877" s="4" t="s">
        <v>10753</v>
      </c>
      <c r="B16877" s="4">
        <v>51517</v>
      </c>
      <c r="D16877" s="5" t="s">
        <v>20414</v>
      </c>
      <c r="E16877" s="6" t="str">
        <f>HYPERLINK("https://inpn.mnhn.fr/espece/cd_nom/51517","Hesperocorixa linnaei (Fieber, 1848)")</f>
        <v>Hesperocorixa linnaei (Fieber, 1848)</v>
      </c>
      <c r="AH16877" s="4" t="str">
        <f>HYPERLINK("#Statut_biogéographique!A"&amp;_xlfn.XMATCH("P",Statut_biogéographique!A:A,2,1),"P")</f>
        <v>P</v>
      </c>
      <c r="AP16877" s="4" t="s">
        <v>376</v>
      </c>
      <c r="AR16877" s="4" t="s">
        <v>377</v>
      </c>
    </row>
    <row r="16878" spans="1:44">
      <c r="A16878" s="4" t="s">
        <v>10753</v>
      </c>
      <c r="B16878" s="4">
        <v>51519</v>
      </c>
      <c r="D16878" s="5" t="s">
        <v>20415</v>
      </c>
      <c r="E16878" s="6" t="str">
        <f>HYPERLINK("https://inpn.mnhn.fr/espece/cd_nom/51519","Hesperocorixa sahlbergi (Fieber, 1848)")</f>
        <v>Hesperocorixa sahlbergi (Fieber, 1848)</v>
      </c>
      <c r="AH16878" s="4" t="str">
        <f>HYPERLINK("#Statut_biogéographique!A"&amp;_xlfn.XMATCH("P",Statut_biogéographique!A:A,2,1),"P")</f>
        <v>P</v>
      </c>
      <c r="AP16878" s="4" t="s">
        <v>376</v>
      </c>
      <c r="AR16878" s="4" t="s">
        <v>377</v>
      </c>
    </row>
    <row r="16879" spans="1:44">
      <c r="A16879" s="4" t="s">
        <v>10753</v>
      </c>
      <c r="B16879" s="4">
        <v>51523</v>
      </c>
      <c r="D16879" s="5" t="s">
        <v>20416</v>
      </c>
      <c r="E16879" s="6" t="str">
        <f>HYPERLINK("https://inpn.mnhn.fr/espece/cd_nom/51523","Ilyocoris cimicoides (Linnaeus, 1758)")</f>
        <v>Ilyocoris cimicoides (Linnaeus, 1758)</v>
      </c>
      <c r="F16879" s="5" t="s">
        <v>20417</v>
      </c>
      <c r="AH16879" s="4" t="str">
        <f>HYPERLINK("#Statut_biogéographique!A"&amp;_xlfn.XMATCH("P",Statut_biogéographique!A:A,2,1),"P")</f>
        <v>P</v>
      </c>
      <c r="AP16879" s="4" t="s">
        <v>376</v>
      </c>
      <c r="AR16879" s="4" t="s">
        <v>377</v>
      </c>
    </row>
    <row r="16880" spans="1:44">
      <c r="A16880" s="4" t="s">
        <v>10753</v>
      </c>
      <c r="B16880" s="4">
        <v>51547</v>
      </c>
      <c r="D16880" s="5" t="s">
        <v>20418</v>
      </c>
      <c r="E16880" s="6" t="str">
        <f>HYPERLINK("https://inpn.mnhn.fr/espece/cd_nom/51547","Pantilius tunicatus (Fabricius, 1781)")</f>
        <v>Pantilius tunicatus (Fabricius, 1781)</v>
      </c>
      <c r="AH16880" s="4" t="str">
        <f>HYPERLINK("#Statut_biogéographique!A"&amp;_xlfn.XMATCH("P",Statut_biogéographique!A:A,2,1),"P")</f>
        <v>P</v>
      </c>
      <c r="AP16880" s="4" t="s">
        <v>376</v>
      </c>
      <c r="AR16880" s="4" t="s">
        <v>377</v>
      </c>
    </row>
    <row r="16881" spans="1:44" ht="30">
      <c r="A16881" s="4" t="s">
        <v>10753</v>
      </c>
      <c r="B16881" s="4">
        <v>51555</v>
      </c>
      <c r="D16881" s="5" t="s">
        <v>20419</v>
      </c>
      <c r="E16881" s="6" t="str">
        <f>HYPERLINK("https://inpn.mnhn.fr/espece/cd_nom/51555","Taphropeltus contractus (Herrich-Schäffer, 1835)")</f>
        <v>Taphropeltus contractus (Herrich-Schäffer, 1835)</v>
      </c>
      <c r="AH16881" s="4" t="str">
        <f>HYPERLINK("#Statut_biogéographique!A"&amp;_xlfn.XMATCH("P",Statut_biogéographique!A:A,2,1),"P")</f>
        <v>P</v>
      </c>
      <c r="AP16881" s="4" t="s">
        <v>376</v>
      </c>
      <c r="AR16881" s="4" t="s">
        <v>377</v>
      </c>
    </row>
    <row r="16882" spans="1:44" ht="30">
      <c r="A16882" s="4" t="s">
        <v>10753</v>
      </c>
      <c r="B16882" s="4">
        <v>51569</v>
      </c>
      <c r="D16882" s="5" t="s">
        <v>20420</v>
      </c>
      <c r="E16882" s="6" t="str">
        <f>HYPERLINK("https://inpn.mnhn.fr/espece/cd_nom/51569","Lyristes plebejus (Scopoli, 1763)")</f>
        <v>Lyristes plebejus (Scopoli, 1763)</v>
      </c>
      <c r="F16882" s="5" t="s">
        <v>20421</v>
      </c>
      <c r="AH16882" s="4" t="str">
        <f>HYPERLINK("#Statut_biogéographique!A"&amp;_xlfn.XMATCH("P",Statut_biogéographique!A:A,2,1),"P")</f>
        <v>P</v>
      </c>
      <c r="AP16882" s="4" t="s">
        <v>376</v>
      </c>
      <c r="AR16882" s="4" t="s">
        <v>377</v>
      </c>
    </row>
    <row r="16883" spans="1:44" ht="30">
      <c r="A16883" s="4" t="s">
        <v>10753</v>
      </c>
      <c r="B16883" s="4">
        <v>51602</v>
      </c>
      <c r="D16883" s="5" t="s">
        <v>20422</v>
      </c>
      <c r="E16883" s="6" t="str">
        <f>HYPERLINK("https://inpn.mnhn.fr/espece/cd_nom/51602","Eurygaster maura (Linnaeus, 1758)")</f>
        <v>Eurygaster maura (Linnaeus, 1758)</v>
      </c>
      <c r="AH16883" s="4" t="str">
        <f>HYPERLINK("#Statut_biogéographique!A"&amp;_xlfn.XMATCH("P",Statut_biogéographique!A:A,2,1),"P")</f>
        <v>P</v>
      </c>
      <c r="AP16883" s="4" t="s">
        <v>376</v>
      </c>
      <c r="AR16883" s="4" t="s">
        <v>377</v>
      </c>
    </row>
    <row r="16884" spans="1:44">
      <c r="A16884" s="4" t="s">
        <v>10753</v>
      </c>
      <c r="B16884" s="4">
        <v>51610</v>
      </c>
      <c r="D16884" s="5" t="s">
        <v>20423</v>
      </c>
      <c r="E16884" s="6" t="str">
        <f>HYPERLINK("https://inpn.mnhn.fr/espece/cd_nom/51610","Graphosoma italicum (O.F. Müller, 1766)")</f>
        <v>Graphosoma italicum (O.F. Müller, 1766)</v>
      </c>
      <c r="F16884" s="5" t="s">
        <v>20424</v>
      </c>
      <c r="AH16884" s="4" t="str">
        <f>HYPERLINK("#Statut_biogéographique!A"&amp;_xlfn.XMATCH("P",Statut_biogéographique!A:A,2,1),"P")</f>
        <v>P</v>
      </c>
      <c r="AP16884" s="4" t="s">
        <v>376</v>
      </c>
      <c r="AR16884" s="4" t="s">
        <v>377</v>
      </c>
    </row>
    <row r="16885" spans="1:44">
      <c r="A16885" s="4" t="s">
        <v>10753</v>
      </c>
      <c r="B16885" s="4">
        <v>51613</v>
      </c>
      <c r="D16885" s="5" t="s">
        <v>20425</v>
      </c>
      <c r="E16885" s="6" t="str">
        <f>HYPERLINK("https://inpn.mnhn.fr/espece/cd_nom/51613","Podops inunctus (Fabricius, 1775)")</f>
        <v>Podops inunctus (Fabricius, 1775)</v>
      </c>
      <c r="AH16885" s="4" t="str">
        <f>HYPERLINK("#Statut_biogéographique!A"&amp;_xlfn.XMATCH("P",Statut_biogéographique!A:A,2,1),"P")</f>
        <v>P</v>
      </c>
      <c r="AP16885" s="4" t="s">
        <v>376</v>
      </c>
      <c r="AR16885" s="4" t="s">
        <v>377</v>
      </c>
    </row>
    <row r="16886" spans="1:44">
      <c r="A16886" s="4" t="s">
        <v>10753</v>
      </c>
      <c r="B16886" s="4">
        <v>51615</v>
      </c>
      <c r="D16886" s="5" t="s">
        <v>20426</v>
      </c>
      <c r="E16886" s="6" t="str">
        <f>HYPERLINK("https://inpn.mnhn.fr/espece/cd_nom/51615","Aelia acuminata (Linnaeus, 1758)")</f>
        <v>Aelia acuminata (Linnaeus, 1758)</v>
      </c>
      <c r="F16886" s="5" t="s">
        <v>20427</v>
      </c>
      <c r="AH16886" s="4" t="str">
        <f>HYPERLINK("#Statut_biogéographique!A"&amp;_xlfn.XMATCH("P",Statut_biogéographique!A:A,2,1),"P")</f>
        <v>P</v>
      </c>
      <c r="AP16886" s="4" t="s">
        <v>376</v>
      </c>
      <c r="AR16886" s="4" t="s">
        <v>377</v>
      </c>
    </row>
    <row r="16887" spans="1:44">
      <c r="A16887" s="4" t="s">
        <v>10753</v>
      </c>
      <c r="B16887" s="4">
        <v>51617</v>
      </c>
      <c r="D16887" s="5" t="s">
        <v>20428</v>
      </c>
      <c r="E16887" s="6" t="str">
        <f>HYPERLINK("https://inpn.mnhn.fr/espece/cd_nom/51617","Dyroderes umbraculatus (Fabricius, 1775)")</f>
        <v>Dyroderes umbraculatus (Fabricius, 1775)</v>
      </c>
      <c r="AH16887" s="4" t="str">
        <f>HYPERLINK("#Statut_biogéographique!A"&amp;_xlfn.XMATCH("P",Statut_biogéographique!A:A,2,1),"P")</f>
        <v>P</v>
      </c>
      <c r="AP16887" s="4" t="s">
        <v>376</v>
      </c>
      <c r="AR16887" s="4" t="s">
        <v>377</v>
      </c>
    </row>
    <row r="16888" spans="1:44">
      <c r="A16888" s="4" t="s">
        <v>10753</v>
      </c>
      <c r="B16888" s="4">
        <v>51619</v>
      </c>
      <c r="D16888" s="5" t="s">
        <v>20429</v>
      </c>
      <c r="E16888" s="6" t="str">
        <f>HYPERLINK("https://inpn.mnhn.fr/espece/cd_nom/51619","Palomena prasina (Linnaeus, 1761)")</f>
        <v>Palomena prasina (Linnaeus, 1761)</v>
      </c>
      <c r="F16888" s="5" t="s">
        <v>20430</v>
      </c>
      <c r="AH16888" s="4" t="str">
        <f>HYPERLINK("#Statut_biogéographique!A"&amp;_xlfn.XMATCH("P",Statut_biogéographique!A:A,2,1),"P")</f>
        <v>P</v>
      </c>
      <c r="AP16888" s="4" t="s">
        <v>376</v>
      </c>
      <c r="AR16888" s="4" t="s">
        <v>377</v>
      </c>
    </row>
    <row r="16889" spans="1:44">
      <c r="A16889" s="4" t="s">
        <v>10753</v>
      </c>
      <c r="B16889" s="4">
        <v>51620</v>
      </c>
      <c r="D16889" s="5" t="s">
        <v>20431</v>
      </c>
      <c r="E16889" s="6" t="str">
        <f>HYPERLINK("https://inpn.mnhn.fr/espece/cd_nom/51620","Palomena viridissima (Poda, 1761)")</f>
        <v>Palomena viridissima (Poda, 1761)</v>
      </c>
      <c r="AH16889" s="4" t="str">
        <f>HYPERLINK("#Statut_biogéographique!A"&amp;_xlfn.XMATCH("P",Statut_biogéographique!A:A,2,1),"P")</f>
        <v>P</v>
      </c>
      <c r="AP16889" s="4" t="s">
        <v>376</v>
      </c>
      <c r="AR16889" s="4" t="s">
        <v>377</v>
      </c>
    </row>
    <row r="16890" spans="1:44" ht="30">
      <c r="A16890" s="4" t="s">
        <v>10753</v>
      </c>
      <c r="B16890" s="4">
        <v>51627</v>
      </c>
      <c r="D16890" s="5" t="s">
        <v>20432</v>
      </c>
      <c r="E16890" s="6" t="str">
        <f>HYPERLINK("https://inpn.mnhn.fr/espece/cd_nom/51627","Carpocoris purpureipennis (De Geer, 1773)")</f>
        <v>Carpocoris purpureipennis (De Geer, 1773)</v>
      </c>
      <c r="AH16890" s="4" t="str">
        <f>HYPERLINK("#Statut_biogéographique!A"&amp;_xlfn.XMATCH("P",Statut_biogéographique!A:A,2,1),"P")</f>
        <v>P</v>
      </c>
      <c r="AP16890" s="4" t="s">
        <v>376</v>
      </c>
      <c r="AR16890" s="4" t="s">
        <v>377</v>
      </c>
    </row>
    <row r="16891" spans="1:44">
      <c r="A16891" s="4" t="s">
        <v>10753</v>
      </c>
      <c r="B16891" s="4">
        <v>51637</v>
      </c>
      <c r="D16891" s="5" t="s">
        <v>20433</v>
      </c>
      <c r="E16891" s="6" t="str">
        <f>HYPERLINK("https://inpn.mnhn.fr/espece/cd_nom/51637","Pentatoma rufipes (Linnaeus, 1758)")</f>
        <v>Pentatoma rufipes (Linnaeus, 1758)</v>
      </c>
      <c r="F16891" s="5" t="s">
        <v>20434</v>
      </c>
      <c r="AH16891" s="4" t="str">
        <f>HYPERLINK("#Statut_biogéographique!A"&amp;_xlfn.XMATCH("P",Statut_biogéographique!A:A,2,1),"P")</f>
        <v>P</v>
      </c>
      <c r="AP16891" s="4" t="s">
        <v>376</v>
      </c>
      <c r="AR16891" s="4" t="s">
        <v>377</v>
      </c>
    </row>
    <row r="16892" spans="1:44" ht="30">
      <c r="A16892" s="4" t="s">
        <v>10753</v>
      </c>
      <c r="B16892" s="4">
        <v>51641</v>
      </c>
      <c r="D16892" s="5" t="s">
        <v>20435</v>
      </c>
      <c r="E16892" s="6" t="str">
        <f>HYPERLINK("https://inpn.mnhn.fr/espece/cd_nom/51641","Piezodorus lituratus (Fabricius, 1794)")</f>
        <v>Piezodorus lituratus (Fabricius, 1794)</v>
      </c>
      <c r="AH16892" s="4" t="str">
        <f>HYPERLINK("#Statut_biogéographique!A"&amp;_xlfn.XMATCH("P",Statut_biogéographique!A:A,2,1),"P")</f>
        <v>P</v>
      </c>
      <c r="AP16892" s="4" t="s">
        <v>376</v>
      </c>
      <c r="AR16892" s="4" t="s">
        <v>377</v>
      </c>
    </row>
    <row r="16893" spans="1:44" ht="30">
      <c r="A16893" s="4" t="s">
        <v>10753</v>
      </c>
      <c r="B16893" s="4">
        <v>51647</v>
      </c>
      <c r="D16893" s="5" t="s">
        <v>20436</v>
      </c>
      <c r="E16893" s="6" t="str">
        <f>HYPERLINK("https://inpn.mnhn.fr/espece/cd_nom/51647","Acanthosoma haemorrhoidale (Linnaeus, 1758)")</f>
        <v>Acanthosoma haemorrhoidale (Linnaeus, 1758)</v>
      </c>
      <c r="F16893" s="5" t="s">
        <v>20437</v>
      </c>
      <c r="AH16893" s="4" t="str">
        <f>HYPERLINK("#Statut_biogéographique!A"&amp;_xlfn.XMATCH("P",Statut_biogéographique!A:A,2,1),"P")</f>
        <v>P</v>
      </c>
      <c r="AP16893" s="4" t="s">
        <v>376</v>
      </c>
      <c r="AR16893" s="4" t="s">
        <v>377</v>
      </c>
    </row>
    <row r="16894" spans="1:44">
      <c r="A16894" s="4" t="s">
        <v>10753</v>
      </c>
      <c r="B16894" s="4">
        <v>51649</v>
      </c>
      <c r="D16894" s="5" t="s">
        <v>20438</v>
      </c>
      <c r="E16894" s="6" t="str">
        <f>HYPERLINK("https://inpn.mnhn.fr/espece/cd_nom/51649","Elasmucha grisea (Linnaeus, 1758)")</f>
        <v>Elasmucha grisea (Linnaeus, 1758)</v>
      </c>
      <c r="F16894" s="5" t="s">
        <v>20439</v>
      </c>
      <c r="AH16894" s="4" t="str">
        <f>HYPERLINK("#Statut_biogéographique!A"&amp;_xlfn.XMATCH("P",Statut_biogéographique!A:A,2,1),"P")</f>
        <v>P</v>
      </c>
      <c r="AP16894" s="4" t="s">
        <v>376</v>
      </c>
      <c r="AR16894" s="4" t="s">
        <v>377</v>
      </c>
    </row>
    <row r="16895" spans="1:44">
      <c r="A16895" s="4" t="s">
        <v>10753</v>
      </c>
      <c r="B16895" s="4">
        <v>51653</v>
      </c>
      <c r="D16895" s="5" t="s">
        <v>20440</v>
      </c>
      <c r="E16895" s="6" t="str">
        <f>HYPERLINK("https://inpn.mnhn.fr/espece/cd_nom/51653","Rhacognathus punctatus (Linnaeus, 1758)")</f>
        <v>Rhacognathus punctatus (Linnaeus, 1758)</v>
      </c>
      <c r="AH16895" s="4" t="str">
        <f>HYPERLINK("#Statut_biogéographique!A"&amp;_xlfn.XMATCH("P",Statut_biogéographique!A:A,2,1),"P")</f>
        <v>P</v>
      </c>
      <c r="AP16895" s="4" t="s">
        <v>376</v>
      </c>
      <c r="AR16895" s="4" t="s">
        <v>377</v>
      </c>
    </row>
    <row r="16896" spans="1:44">
      <c r="A16896" s="4" t="s">
        <v>10753</v>
      </c>
      <c r="B16896" s="4">
        <v>51658</v>
      </c>
      <c r="D16896" s="5" t="s">
        <v>20441</v>
      </c>
      <c r="E16896" s="6" t="str">
        <f>HYPERLINK("https://inpn.mnhn.fr/espece/cd_nom/51658","Coreus marginatus (Linnaeus, 1758)")</f>
        <v>Coreus marginatus (Linnaeus, 1758)</v>
      </c>
      <c r="F16896" s="5" t="s">
        <v>20442</v>
      </c>
      <c r="AH16896" s="4" t="str">
        <f>HYPERLINK("#Statut_biogéographique!A"&amp;_xlfn.XMATCH("P",Statut_biogéographique!A:A,2,1),"P")</f>
        <v>P</v>
      </c>
      <c r="AP16896" s="4" t="s">
        <v>376</v>
      </c>
      <c r="AR16896" s="4" t="s">
        <v>377</v>
      </c>
    </row>
    <row r="16897" spans="1:44">
      <c r="A16897" s="4" t="s">
        <v>10753</v>
      </c>
      <c r="B16897" s="4">
        <v>51660</v>
      </c>
      <c r="D16897" s="5" t="s">
        <v>20443</v>
      </c>
      <c r="E16897" s="6" t="str">
        <f>HYPERLINK("https://inpn.mnhn.fr/espece/cd_nom/51660","Coriomeris hirticornis (Fabricius, 1794)")</f>
        <v>Coriomeris hirticornis (Fabricius, 1794)</v>
      </c>
      <c r="AH16897" s="4" t="str">
        <f>HYPERLINK("#Statut_biogéographique!A"&amp;_xlfn.XMATCH("P",Statut_biogéographique!A:A,2,1),"P")</f>
        <v>P</v>
      </c>
      <c r="AP16897" s="4" t="s">
        <v>376</v>
      </c>
      <c r="AR16897" s="4" t="s">
        <v>377</v>
      </c>
    </row>
    <row r="16898" spans="1:44">
      <c r="A16898" s="4" t="s">
        <v>10753</v>
      </c>
      <c r="B16898" s="4">
        <v>51667</v>
      </c>
      <c r="D16898" s="5" t="s">
        <v>20444</v>
      </c>
      <c r="E16898" s="6" t="str">
        <f>HYPERLINK("https://inpn.mnhn.fr/espece/cd_nom/51667","Myrmus miriformis (Fallén, 1807)")</f>
        <v>Myrmus miriformis (Fallén, 1807)</v>
      </c>
      <c r="AH16898" s="4" t="str">
        <f>HYPERLINK("#Statut_biogéographique!A"&amp;_xlfn.XMATCH("P",Statut_biogéographique!A:A,2,1),"P")</f>
        <v>P</v>
      </c>
      <c r="AP16898" s="4" t="s">
        <v>376</v>
      </c>
      <c r="AR16898" s="4" t="s">
        <v>377</v>
      </c>
    </row>
    <row r="16899" spans="1:44">
      <c r="A16899" s="4" t="s">
        <v>10753</v>
      </c>
      <c r="B16899" s="4">
        <v>51677</v>
      </c>
      <c r="D16899" s="5" t="s">
        <v>20445</v>
      </c>
      <c r="E16899" s="6" t="str">
        <f>HYPERLINK("https://inpn.mnhn.fr/espece/cd_nom/51677","Pyrrhocoris apterus (Linnaeus, 1758)")</f>
        <v>Pyrrhocoris apterus (Linnaeus, 1758)</v>
      </c>
      <c r="F16899" s="5" t="s">
        <v>20446</v>
      </c>
      <c r="AH16899" s="4" t="str">
        <f>HYPERLINK("#Statut_biogéographique!A"&amp;_xlfn.XMATCH("P",Statut_biogéographique!A:A,2,1),"P")</f>
        <v>P</v>
      </c>
      <c r="AP16899" s="4" t="s">
        <v>376</v>
      </c>
      <c r="AR16899" s="4" t="s">
        <v>377</v>
      </c>
    </row>
    <row r="16900" spans="1:44">
      <c r="A16900" s="4" t="s">
        <v>10753</v>
      </c>
      <c r="B16900" s="4">
        <v>51687</v>
      </c>
      <c r="D16900" s="5" t="s">
        <v>20447</v>
      </c>
      <c r="E16900" s="6" t="str">
        <f>HYPERLINK("https://inpn.mnhn.fr/espece/cd_nom/51687","Lygaeus equestris (Linnaeus, 1758)")</f>
        <v>Lygaeus equestris (Linnaeus, 1758)</v>
      </c>
      <c r="F16900" s="5" t="s">
        <v>20448</v>
      </c>
      <c r="AH16900" s="4" t="str">
        <f>HYPERLINK("#Statut_biogéographique!A"&amp;_xlfn.XMATCH("P",Statut_biogéographique!A:A,2,1),"P")</f>
        <v>P</v>
      </c>
      <c r="AP16900" s="4" t="s">
        <v>376</v>
      </c>
      <c r="AR16900" s="4" t="s">
        <v>377</v>
      </c>
    </row>
    <row r="16901" spans="1:44">
      <c r="A16901" s="4" t="s">
        <v>10753</v>
      </c>
      <c r="B16901" s="4">
        <v>51691</v>
      </c>
      <c r="D16901" s="5">
        <v>51691</v>
      </c>
      <c r="E16901" s="6" t="str">
        <f>HYPERLINK("https://inpn.mnhn.fr/espece/cd_nom/51691","Lygaeus simulans Deckert, 1985")</f>
        <v>Lygaeus simulans Deckert, 1985</v>
      </c>
      <c r="AH16901" s="4" t="str">
        <f>HYPERLINK("#Statut_biogéographique!A"&amp;_xlfn.XMATCH("P",Statut_biogéographique!A:A,2,1),"P")</f>
        <v>P</v>
      </c>
      <c r="AP16901" s="4" t="s">
        <v>376</v>
      </c>
      <c r="AR16901" s="4" t="s">
        <v>377</v>
      </c>
    </row>
    <row r="16902" spans="1:44">
      <c r="A16902" s="4" t="s">
        <v>10753</v>
      </c>
      <c r="B16902" s="4">
        <v>51703</v>
      </c>
      <c r="D16902" s="5">
        <v>51703</v>
      </c>
      <c r="E16902" s="6" t="str">
        <f>HYPERLINK("https://inpn.mnhn.fr/espece/cd_nom/51703","Ischnodemus sabuleti (Fallén, 1826)")</f>
        <v>Ischnodemus sabuleti (Fallén, 1826)</v>
      </c>
      <c r="AH16902" s="4" t="str">
        <f>HYPERLINK("#Statut_biogéographique!A"&amp;_xlfn.XMATCH("P",Statut_biogéographique!A:A,2,1),"P")</f>
        <v>P</v>
      </c>
      <c r="AP16902" s="4" t="s">
        <v>376</v>
      </c>
      <c r="AR16902" s="4" t="s">
        <v>377</v>
      </c>
    </row>
    <row r="16903" spans="1:44">
      <c r="A16903" s="4" t="s">
        <v>10753</v>
      </c>
      <c r="B16903" s="4">
        <v>51710</v>
      </c>
      <c r="D16903" s="5" t="s">
        <v>20449</v>
      </c>
      <c r="E16903" s="6" t="str">
        <f>HYPERLINK("https://inpn.mnhn.fr/espece/cd_nom/51710","Heterogaster urticae (Fabricius, 1775)")</f>
        <v>Heterogaster urticae (Fabricius, 1775)</v>
      </c>
      <c r="F16903" s="5" t="s">
        <v>20450</v>
      </c>
      <c r="AH16903" s="4" t="str">
        <f>HYPERLINK("#Statut_biogéographique!A"&amp;_xlfn.XMATCH("P",Statut_biogéographique!A:A,2,1),"P")</f>
        <v>P</v>
      </c>
      <c r="AP16903" s="4" t="s">
        <v>376</v>
      </c>
      <c r="AR16903" s="4" t="s">
        <v>377</v>
      </c>
    </row>
    <row r="16904" spans="1:44">
      <c r="A16904" s="4" t="s">
        <v>10753</v>
      </c>
      <c r="B16904" s="4">
        <v>51714</v>
      </c>
      <c r="D16904" s="5" t="s">
        <v>20451</v>
      </c>
      <c r="E16904" s="6" t="str">
        <f>HYPERLINK("https://inpn.mnhn.fr/espece/cd_nom/51714","Emblethis verbasci (Fabricius, 1803)")</f>
        <v>Emblethis verbasci (Fabricius, 1803)</v>
      </c>
      <c r="AH16904" s="4" t="str">
        <f>HYPERLINK("#Statut_biogéographique!A"&amp;_xlfn.XMATCH("P",Statut_biogéographique!A:A,2,1),"P")</f>
        <v>P</v>
      </c>
      <c r="AP16904" s="4" t="s">
        <v>376</v>
      </c>
      <c r="AR16904" s="4" t="s">
        <v>377</v>
      </c>
    </row>
    <row r="16905" spans="1:44" ht="30">
      <c r="A16905" s="4" t="s">
        <v>10753</v>
      </c>
      <c r="B16905" s="4">
        <v>51716</v>
      </c>
      <c r="D16905" s="5" t="s">
        <v>20452</v>
      </c>
      <c r="E16905" s="6" t="str">
        <f>HYPERLINK("https://inpn.mnhn.fr/espece/cd_nom/51716","Beosus maritimus (Scopoli, 1763)")</f>
        <v>Beosus maritimus (Scopoli, 1763)</v>
      </c>
      <c r="AH16905" s="4" t="str">
        <f>HYPERLINK("#Statut_biogéographique!A"&amp;_xlfn.XMATCH("P",Statut_biogéographique!A:A,2,1),"P")</f>
        <v>P</v>
      </c>
      <c r="AP16905" s="4" t="s">
        <v>376</v>
      </c>
      <c r="AR16905" s="4" t="s">
        <v>377</v>
      </c>
    </row>
    <row r="16906" spans="1:44">
      <c r="A16906" s="4" t="s">
        <v>10753</v>
      </c>
      <c r="B16906" s="4">
        <v>51720</v>
      </c>
      <c r="D16906" s="5" t="s">
        <v>20453</v>
      </c>
      <c r="E16906" s="6" t="str">
        <f>HYPERLINK("https://inpn.mnhn.fr/espece/cd_nom/51720","Rhyparochromus pini (Linnaeus, 1758)")</f>
        <v>Rhyparochromus pini (Linnaeus, 1758)</v>
      </c>
      <c r="AH16906" s="4" t="str">
        <f>HYPERLINK("#Statut_biogéographique!A"&amp;_xlfn.XMATCH("P",Statut_biogéographique!A:A,2,1),"P")</f>
        <v>P</v>
      </c>
      <c r="AP16906" s="4" t="s">
        <v>376</v>
      </c>
      <c r="AR16906" s="4" t="s">
        <v>377</v>
      </c>
    </row>
    <row r="16907" spans="1:44">
      <c r="A16907" s="4" t="s">
        <v>10753</v>
      </c>
      <c r="B16907" s="4">
        <v>51729</v>
      </c>
      <c r="D16907" s="5">
        <v>51729</v>
      </c>
      <c r="E16907" s="6" t="str">
        <f>HYPERLINK("https://inpn.mnhn.fr/espece/cd_nom/51729","Peritrechus gracilicornis Puton, 1877")</f>
        <v>Peritrechus gracilicornis Puton, 1877</v>
      </c>
      <c r="AH16907" s="4" t="str">
        <f>HYPERLINK("#Statut_biogéographique!A"&amp;_xlfn.XMATCH("P",Statut_biogéographique!A:A,2,1),"P")</f>
        <v>P</v>
      </c>
      <c r="AP16907" s="4" t="s">
        <v>376</v>
      </c>
      <c r="AR16907" s="4" t="s">
        <v>377</v>
      </c>
    </row>
    <row r="16908" spans="1:44">
      <c r="A16908" s="4" t="s">
        <v>10753</v>
      </c>
      <c r="B16908" s="4">
        <v>51735</v>
      </c>
      <c r="D16908" s="5" t="s">
        <v>20454</v>
      </c>
      <c r="E16908" s="6" t="str">
        <f>HYPERLINK("https://inpn.mnhn.fr/espece/cd_nom/51735","Acalypta parvula (Fallén, 1807)")</f>
        <v>Acalypta parvula (Fallén, 1807)</v>
      </c>
      <c r="AH16908" s="4" t="str">
        <f>HYPERLINK("#Statut_biogéographique!A"&amp;_xlfn.XMATCH("P",Statut_biogéographique!A:A,2,1),"P")</f>
        <v>P</v>
      </c>
      <c r="AP16908" s="4" t="s">
        <v>376</v>
      </c>
      <c r="AR16908" s="4" t="s">
        <v>377</v>
      </c>
    </row>
    <row r="16909" spans="1:44">
      <c r="A16909" s="4" t="s">
        <v>10753</v>
      </c>
      <c r="B16909" s="4">
        <v>51741</v>
      </c>
      <c r="D16909" s="5" t="s">
        <v>20455</v>
      </c>
      <c r="E16909" s="6" t="str">
        <f>HYPERLINK("https://inpn.mnhn.fr/espece/cd_nom/51741","Hebrus pusillus (Fallén, 1807)")</f>
        <v>Hebrus pusillus (Fallén, 1807)</v>
      </c>
      <c r="AH16909" s="4" t="str">
        <f>HYPERLINK("#Statut_biogéographique!A"&amp;_xlfn.XMATCH("P",Statut_biogéographique!A:A,2,1),"P")</f>
        <v>P</v>
      </c>
      <c r="AP16909" s="4" t="s">
        <v>376</v>
      </c>
      <c r="AR16909" s="4" t="s">
        <v>377</v>
      </c>
    </row>
    <row r="16910" spans="1:44">
      <c r="A16910" s="4" t="s">
        <v>10753</v>
      </c>
      <c r="B16910" s="4">
        <v>51744</v>
      </c>
      <c r="D16910" s="5" t="s">
        <v>20456</v>
      </c>
      <c r="E16910" s="6" t="str">
        <f>HYPERLINK("https://inpn.mnhn.fr/espece/cd_nom/51744","Microvelia reticulata (Burmeister, 1835)")</f>
        <v>Microvelia reticulata (Burmeister, 1835)</v>
      </c>
      <c r="AH16910" s="4" t="str">
        <f>HYPERLINK("#Statut_biogéographique!A"&amp;_xlfn.XMATCH("P",Statut_biogéographique!A:A,2,1),"P")</f>
        <v>P</v>
      </c>
      <c r="AP16910" s="4" t="s">
        <v>376</v>
      </c>
      <c r="AR16910" s="4" t="s">
        <v>377</v>
      </c>
    </row>
    <row r="16911" spans="1:44">
      <c r="A16911" s="4" t="s">
        <v>10753</v>
      </c>
      <c r="B16911" s="4">
        <v>51747</v>
      </c>
      <c r="D16911" s="5" t="s">
        <v>20457</v>
      </c>
      <c r="E16911" s="6" t="str">
        <f>HYPERLINK("https://inpn.mnhn.fr/espece/cd_nom/51747","Gerris argentatus Schummel, 1832")</f>
        <v>Gerris argentatus Schummel, 1832</v>
      </c>
      <c r="AH16911" s="4" t="str">
        <f>HYPERLINK("#Statut_biogéographique!A"&amp;_xlfn.XMATCH("P",Statut_biogéographique!A:A,2,1),"P")</f>
        <v>P</v>
      </c>
      <c r="AP16911" s="4" t="s">
        <v>376</v>
      </c>
      <c r="AR16911" s="4" t="s">
        <v>377</v>
      </c>
    </row>
    <row r="16912" spans="1:44">
      <c r="A16912" s="4" t="s">
        <v>10753</v>
      </c>
      <c r="B16912" s="4">
        <v>51749</v>
      </c>
      <c r="D16912" s="5" t="s">
        <v>20458</v>
      </c>
      <c r="E16912" s="6" t="str">
        <f>HYPERLINK("https://inpn.mnhn.fr/espece/cd_nom/51749","Gerris gibbifer Schummel, 1832")</f>
        <v>Gerris gibbifer Schummel, 1832</v>
      </c>
      <c r="AH16912" s="4" t="str">
        <f>HYPERLINK("#Statut_biogéographique!A"&amp;_xlfn.XMATCH("P",Statut_biogéographique!A:A,2,1),"P")</f>
        <v>P</v>
      </c>
      <c r="AP16912" s="4" t="s">
        <v>376</v>
      </c>
      <c r="AR16912" s="4" t="s">
        <v>377</v>
      </c>
    </row>
    <row r="16913" spans="1:44" ht="30">
      <c r="A16913" s="4" t="s">
        <v>10753</v>
      </c>
      <c r="B16913" s="4">
        <v>51750</v>
      </c>
      <c r="D16913" s="5" t="s">
        <v>20459</v>
      </c>
      <c r="E16913" s="6" t="str">
        <f>HYPERLINK("https://inpn.mnhn.fr/espece/cd_nom/51750","Gerris lacustris (Linnaeus, 1758)")</f>
        <v>Gerris lacustris (Linnaeus, 1758)</v>
      </c>
      <c r="F16913" s="5" t="s">
        <v>20460</v>
      </c>
      <c r="AH16913" s="4" t="str">
        <f>HYPERLINK("#Statut_biogéographique!A"&amp;_xlfn.XMATCH("P",Statut_biogéographique!A:A,2,1),"P")</f>
        <v>P</v>
      </c>
      <c r="AP16913" s="4" t="s">
        <v>376</v>
      </c>
      <c r="AR16913" s="4" t="s">
        <v>377</v>
      </c>
    </row>
    <row r="16914" spans="1:44">
      <c r="A16914" s="4" t="s">
        <v>10753</v>
      </c>
      <c r="B16914" s="4">
        <v>51751</v>
      </c>
      <c r="D16914" s="5">
        <v>51751</v>
      </c>
      <c r="E16914" s="6" t="str">
        <f>HYPERLINK("https://inpn.mnhn.fr/espece/cd_nom/51751","Gerris lateralis Schummel, 1832")</f>
        <v>Gerris lateralis Schummel, 1832</v>
      </c>
      <c r="AH16914" s="4" t="str">
        <f>HYPERLINK("#Statut_biogéographique!A"&amp;_xlfn.XMATCH("P",Statut_biogéographique!A:A,2,1),"P")</f>
        <v>P</v>
      </c>
      <c r="AP16914" s="4" t="s">
        <v>376</v>
      </c>
      <c r="AR16914" s="4" t="s">
        <v>377</v>
      </c>
    </row>
    <row r="16915" spans="1:44" ht="30">
      <c r="A16915" s="4" t="s">
        <v>10753</v>
      </c>
      <c r="B16915" s="4">
        <v>51758</v>
      </c>
      <c r="D16915" s="5" t="s">
        <v>20461</v>
      </c>
      <c r="E16915" s="6" t="str">
        <f>HYPERLINK("https://inpn.mnhn.fr/espece/cd_nom/51758","Hydrometra stagnorum (Linnaeus, 1758)")</f>
        <v>Hydrometra stagnorum (Linnaeus, 1758)</v>
      </c>
      <c r="F16915" s="5" t="s">
        <v>20462</v>
      </c>
      <c r="AH16915" s="4" t="str">
        <f>HYPERLINK("#Statut_biogéographique!A"&amp;_xlfn.XMATCH("P",Statut_biogéographique!A:A,2,1),"P")</f>
        <v>P</v>
      </c>
      <c r="AP16915" s="4" t="s">
        <v>376</v>
      </c>
      <c r="AR16915" s="4" t="s">
        <v>377</v>
      </c>
    </row>
    <row r="16916" spans="1:44">
      <c r="A16916" s="4" t="s">
        <v>10753</v>
      </c>
      <c r="B16916" s="4">
        <v>51770</v>
      </c>
      <c r="D16916" s="5" t="s">
        <v>20463</v>
      </c>
      <c r="E16916" s="6" t="str">
        <f>HYPERLINK("https://inpn.mnhn.fr/espece/cd_nom/51770","Nabis ericetorum Scholtz, 1847")</f>
        <v>Nabis ericetorum Scholtz, 1847</v>
      </c>
      <c r="AH16916" s="4" t="str">
        <f>HYPERLINK("#Statut_biogéographique!A"&amp;_xlfn.XMATCH("P",Statut_biogéographique!A:A,2,1),"P")</f>
        <v>P</v>
      </c>
      <c r="AP16916" s="4" t="s">
        <v>376</v>
      </c>
      <c r="AR16916" s="4" t="s">
        <v>377</v>
      </c>
    </row>
    <row r="16917" spans="1:44">
      <c r="A16917" s="4" t="s">
        <v>10753</v>
      </c>
      <c r="B16917" s="4">
        <v>51771</v>
      </c>
      <c r="D16917" s="5" t="s">
        <v>20464</v>
      </c>
      <c r="E16917" s="6" t="str">
        <f>HYPERLINK("https://inpn.mnhn.fr/espece/cd_nom/51771","Nabis rugosus (Linnaeus, 1758)")</f>
        <v>Nabis rugosus (Linnaeus, 1758)</v>
      </c>
      <c r="AH16917" s="4" t="str">
        <f>HYPERLINK("#Statut_biogéographique!A"&amp;_xlfn.XMATCH("P",Statut_biogéographique!A:A,2,1),"P")</f>
        <v>P</v>
      </c>
      <c r="AP16917" s="4" t="s">
        <v>376</v>
      </c>
      <c r="AR16917" s="4" t="s">
        <v>377</v>
      </c>
    </row>
    <row r="16918" spans="1:44">
      <c r="A16918" s="4" t="s">
        <v>10753</v>
      </c>
      <c r="B16918" s="4">
        <v>51784</v>
      </c>
      <c r="D16918" s="5" t="s">
        <v>20465</v>
      </c>
      <c r="E16918" s="6" t="str">
        <f>HYPERLINK("https://inpn.mnhn.fr/espece/cd_nom/51784","Deraeocoris lutescens (Schilling, 1837)")</f>
        <v>Deraeocoris lutescens (Schilling, 1837)</v>
      </c>
      <c r="AH16918" s="4" t="str">
        <f>HYPERLINK("#Statut_biogéographique!A"&amp;_xlfn.XMATCH("P",Statut_biogéographique!A:A,2,1),"P")</f>
        <v>P</v>
      </c>
      <c r="AP16918" s="4" t="s">
        <v>376</v>
      </c>
      <c r="AR16918" s="4" t="s">
        <v>377</v>
      </c>
    </row>
    <row r="16919" spans="1:44">
      <c r="A16919" s="4" t="s">
        <v>10753</v>
      </c>
      <c r="B16919" s="4">
        <v>51785</v>
      </c>
      <c r="D16919" s="5">
        <v>51785</v>
      </c>
      <c r="E16919" s="6" t="str">
        <f>HYPERLINK("https://inpn.mnhn.fr/espece/cd_nom/51785","Deraeocoris morio (Boheman, 1852)")</f>
        <v>Deraeocoris morio (Boheman, 1852)</v>
      </c>
      <c r="AH16919" s="4" t="str">
        <f>HYPERLINK("#Statut_biogéographique!A"&amp;_xlfn.XMATCH("P",Statut_biogéographique!A:A,2,1),"P")</f>
        <v>P</v>
      </c>
      <c r="AP16919" s="4" t="s">
        <v>376</v>
      </c>
      <c r="AR16919" s="4" t="s">
        <v>377</v>
      </c>
    </row>
    <row r="16920" spans="1:44" ht="30">
      <c r="A16920" s="4" t="s">
        <v>10753</v>
      </c>
      <c r="B16920" s="4">
        <v>51786</v>
      </c>
      <c r="D16920" s="5" t="s">
        <v>20466</v>
      </c>
      <c r="E16920" s="6" t="str">
        <f>HYPERLINK("https://inpn.mnhn.fr/espece/cd_nom/51786","Deraeocoris ruber (Linnaeus, 1758)")</f>
        <v>Deraeocoris ruber (Linnaeus, 1758)</v>
      </c>
      <c r="AH16920" s="4" t="str">
        <f>HYPERLINK("#Statut_biogéographique!A"&amp;_xlfn.XMATCH("P",Statut_biogéographique!A:A,2,1),"P")</f>
        <v>P</v>
      </c>
      <c r="AP16920" s="4" t="s">
        <v>376</v>
      </c>
      <c r="AR16920" s="4" t="s">
        <v>377</v>
      </c>
    </row>
    <row r="16921" spans="1:44">
      <c r="A16921" s="4" t="s">
        <v>10753</v>
      </c>
      <c r="B16921" s="4">
        <v>51794</v>
      </c>
      <c r="D16921" s="5" t="s">
        <v>20467</v>
      </c>
      <c r="E16921" s="6" t="str">
        <f>HYPERLINK("https://inpn.mnhn.fr/espece/cd_nom/51794","Stenotus binotatus (Fabricius, 1794)")</f>
        <v>Stenotus binotatus (Fabricius, 1794)</v>
      </c>
      <c r="AH16921" s="4" t="str">
        <f>HYPERLINK("#Statut_biogéographique!A"&amp;_xlfn.XMATCH("P",Statut_biogéographique!A:A,2,1),"P")</f>
        <v>P</v>
      </c>
      <c r="AP16921" s="4" t="s">
        <v>376</v>
      </c>
      <c r="AR16921" s="4" t="s">
        <v>377</v>
      </c>
    </row>
    <row r="16922" spans="1:44">
      <c r="A16922" s="4" t="s">
        <v>10753</v>
      </c>
      <c r="B16922" s="4">
        <v>51798</v>
      </c>
      <c r="D16922" s="5" t="s">
        <v>20468</v>
      </c>
      <c r="E16922" s="6" t="str">
        <f>HYPERLINK("https://inpn.mnhn.fr/espece/cd_nom/51798","Phytocoris tiliae (Fabricius, 1777)")</f>
        <v>Phytocoris tiliae (Fabricius, 1777)</v>
      </c>
      <c r="AH16922" s="4" t="str">
        <f>HYPERLINK("#Statut_biogéographique!A"&amp;_xlfn.XMATCH("P",Statut_biogéographique!A:A,2,1),"P")</f>
        <v>P</v>
      </c>
      <c r="AP16922" s="4" t="s">
        <v>376</v>
      </c>
      <c r="AR16922" s="4" t="s">
        <v>377</v>
      </c>
    </row>
    <row r="16923" spans="1:44">
      <c r="A16923" s="4" t="s">
        <v>10753</v>
      </c>
      <c r="B16923" s="4">
        <v>51813</v>
      </c>
      <c r="D16923" s="5" t="s">
        <v>20469</v>
      </c>
      <c r="E16923" s="6" t="str">
        <f>HYPERLINK("https://inpn.mnhn.fr/espece/cd_nom/51813","Adelphocoris lineolatus (Goeze, 1778)")</f>
        <v>Adelphocoris lineolatus (Goeze, 1778)</v>
      </c>
      <c r="AH16923" s="4" t="str">
        <f>HYPERLINK("#Statut_biogéographique!A"&amp;_xlfn.XMATCH("P",Statut_biogéographique!A:A,2,1),"P")</f>
        <v>P</v>
      </c>
      <c r="AP16923" s="4" t="s">
        <v>376</v>
      </c>
      <c r="AR16923" s="4" t="s">
        <v>377</v>
      </c>
    </row>
    <row r="16924" spans="1:44">
      <c r="A16924" s="4" t="s">
        <v>10753</v>
      </c>
      <c r="B16924" s="4">
        <v>51814</v>
      </c>
      <c r="D16924" s="5" t="s">
        <v>20470</v>
      </c>
      <c r="E16924" s="6" t="str">
        <f>HYPERLINK("https://inpn.mnhn.fr/espece/cd_nom/51814","Adelphocoris seticornis (Fabricius, 1775)")</f>
        <v>Adelphocoris seticornis (Fabricius, 1775)</v>
      </c>
      <c r="AH16924" s="4" t="str">
        <f>HYPERLINK("#Statut_biogéographique!A"&amp;_xlfn.XMATCH("P",Statut_biogéographique!A:A,2,1),"P")</f>
        <v>P</v>
      </c>
      <c r="AP16924" s="4" t="s">
        <v>376</v>
      </c>
      <c r="AR16924" s="4" t="s">
        <v>377</v>
      </c>
    </row>
    <row r="16925" spans="1:44">
      <c r="A16925" s="4" t="s">
        <v>10753</v>
      </c>
      <c r="B16925" s="4">
        <v>51822</v>
      </c>
      <c r="D16925" s="5" t="s">
        <v>20471</v>
      </c>
      <c r="E16925" s="6" t="str">
        <f>HYPERLINK("https://inpn.mnhn.fr/espece/cd_nom/51822","Lygus rugulipennis Poppius, 1911")</f>
        <v>Lygus rugulipennis Poppius, 1911</v>
      </c>
      <c r="AH16925" s="4" t="str">
        <f>HYPERLINK("#Statut_biogéographique!A"&amp;_xlfn.XMATCH("P",Statut_biogéographique!A:A,2,1),"P")</f>
        <v>P</v>
      </c>
      <c r="AP16925" s="4" t="s">
        <v>376</v>
      </c>
      <c r="AR16925" s="4" t="s">
        <v>377</v>
      </c>
    </row>
    <row r="16926" spans="1:44">
      <c r="A16926" s="4" t="s">
        <v>10753</v>
      </c>
      <c r="B16926" s="4">
        <v>51830</v>
      </c>
      <c r="D16926" s="5">
        <v>51830</v>
      </c>
      <c r="E16926" s="6" t="str">
        <f>HYPERLINK("https://inpn.mnhn.fr/espece/cd_nom/51830","Pilophorus clavatus (Linnaeus, 1767)")</f>
        <v>Pilophorus clavatus (Linnaeus, 1767)</v>
      </c>
      <c r="AH16926" s="4" t="str">
        <f>HYPERLINK("#Statut_biogéographique!A"&amp;_xlfn.XMATCH("P",Statut_biogéographique!A:A,2,1),"P")</f>
        <v>P</v>
      </c>
      <c r="AP16926" s="4" t="s">
        <v>376</v>
      </c>
      <c r="AR16926" s="4" t="s">
        <v>377</v>
      </c>
    </row>
    <row r="16927" spans="1:44">
      <c r="A16927" s="4" t="s">
        <v>10753</v>
      </c>
      <c r="B16927" s="4">
        <v>51832</v>
      </c>
      <c r="D16927" s="5">
        <v>51832</v>
      </c>
      <c r="E16927" s="6" t="str">
        <f>HYPERLINK("https://inpn.mnhn.fr/espece/cd_nom/51832","Orthotylus ericetorum (Fallén, 1807)")</f>
        <v>Orthotylus ericetorum (Fallén, 1807)</v>
      </c>
      <c r="AH16927" s="4" t="str">
        <f>HYPERLINK("#Statut_biogéographique!A"&amp;_xlfn.XMATCH("P",Statut_biogéographique!A:A,2,1),"P")</f>
        <v>P</v>
      </c>
      <c r="AP16927" s="4" t="s">
        <v>376</v>
      </c>
      <c r="AR16927" s="4" t="s">
        <v>377</v>
      </c>
    </row>
    <row r="16928" spans="1:44">
      <c r="A16928" s="4" t="s">
        <v>10753</v>
      </c>
      <c r="B16928" s="4">
        <v>51834</v>
      </c>
      <c r="D16928" s="5">
        <v>51834</v>
      </c>
      <c r="E16928" s="6" t="str">
        <f>HYPERLINK("https://inpn.mnhn.fr/espece/cd_nom/51834","Orthotylus marginalis Reuter, 1883")</f>
        <v>Orthotylus marginalis Reuter, 1883</v>
      </c>
      <c r="AH16928" s="4" t="str">
        <f>HYPERLINK("#Statut_biogéographique!A"&amp;_xlfn.XMATCH("P",Statut_biogéographique!A:A,2,1),"P")</f>
        <v>P</v>
      </c>
      <c r="AP16928" s="4" t="s">
        <v>376</v>
      </c>
      <c r="AR16928" s="4" t="s">
        <v>377</v>
      </c>
    </row>
    <row r="16929" spans="1:44">
      <c r="A16929" s="4" t="s">
        <v>10753</v>
      </c>
      <c r="B16929" s="4">
        <v>51839</v>
      </c>
      <c r="D16929" s="5" t="s">
        <v>20472</v>
      </c>
      <c r="E16929" s="6" t="str">
        <f>HYPERLINK("https://inpn.mnhn.fr/espece/cd_nom/51839","Dicyphus annulatus (Wolff, 1804)")</f>
        <v>Dicyphus annulatus (Wolff, 1804)</v>
      </c>
      <c r="AH16929" s="4" t="str">
        <f>HYPERLINK("#Statut_biogéographique!A"&amp;_xlfn.XMATCH("P",Statut_biogéographique!A:A,2,1),"P")</f>
        <v>P</v>
      </c>
      <c r="AP16929" s="4" t="s">
        <v>376</v>
      </c>
      <c r="AR16929" s="4" t="s">
        <v>377</v>
      </c>
    </row>
    <row r="16930" spans="1:44">
      <c r="A16930" s="4" t="s">
        <v>10753</v>
      </c>
      <c r="B16930" s="4">
        <v>51840</v>
      </c>
      <c r="D16930" s="5">
        <v>51840</v>
      </c>
      <c r="E16930" s="6" t="str">
        <f>HYPERLINK("https://inpn.mnhn.fr/espece/cd_nom/51840","Dicyphus epilobii Reuter, 1883")</f>
        <v>Dicyphus epilobii Reuter, 1883</v>
      </c>
      <c r="AH16930" s="4" t="str">
        <f>HYPERLINK("#Statut_biogéographique!A"&amp;_xlfn.XMATCH("P",Statut_biogéographique!A:A,2,1),"P")</f>
        <v>P</v>
      </c>
      <c r="AP16930" s="4" t="s">
        <v>376</v>
      </c>
      <c r="AR16930" s="4" t="s">
        <v>377</v>
      </c>
    </row>
    <row r="16931" spans="1:44">
      <c r="A16931" s="4" t="s">
        <v>10753</v>
      </c>
      <c r="B16931" s="4">
        <v>51847</v>
      </c>
      <c r="D16931" s="5" t="s">
        <v>20473</v>
      </c>
      <c r="E16931" s="6" t="str">
        <f>HYPERLINK("https://inpn.mnhn.fr/espece/cd_nom/51847","Plagiognathus arbustorum (Fabricius, 1794)")</f>
        <v>Plagiognathus arbustorum (Fabricius, 1794)</v>
      </c>
      <c r="AH16931" s="4" t="str">
        <f>HYPERLINK("#Statut_biogéographique!A"&amp;_xlfn.XMATCH("P",Statut_biogéographique!A:A,2,1),"P")</f>
        <v>P</v>
      </c>
      <c r="AP16931" s="4" t="s">
        <v>376</v>
      </c>
      <c r="AR16931" s="4" t="s">
        <v>377</v>
      </c>
    </row>
    <row r="16932" spans="1:44">
      <c r="A16932" s="4" t="s">
        <v>10753</v>
      </c>
      <c r="B16932" s="4">
        <v>51849</v>
      </c>
      <c r="D16932" s="5">
        <v>51849</v>
      </c>
      <c r="E16932" s="6" t="str">
        <f>HYPERLINK("https://inpn.mnhn.fr/espece/cd_nom/51849","Atractotomus magnicornis (Fallén, 1807)")</f>
        <v>Atractotomus magnicornis (Fallén, 1807)</v>
      </c>
      <c r="AH16932" s="4" t="str">
        <f>HYPERLINK("#Statut_biogéographique!A"&amp;_xlfn.XMATCH("P",Statut_biogéographique!A:A,2,1),"P")</f>
        <v>P</v>
      </c>
      <c r="AP16932" s="4" t="s">
        <v>376</v>
      </c>
      <c r="AR16932" s="4" t="s">
        <v>377</v>
      </c>
    </row>
    <row r="16933" spans="1:44">
      <c r="A16933" s="4" t="s">
        <v>10753</v>
      </c>
      <c r="B16933" s="4">
        <v>51858</v>
      </c>
      <c r="D16933" s="5" t="s">
        <v>20474</v>
      </c>
      <c r="E16933" s="6" t="str">
        <f>HYPERLINK("https://inpn.mnhn.fr/espece/cd_nom/51858","Aphelocheirus aestivalis (Fabricius, 1794)")</f>
        <v>Aphelocheirus aestivalis (Fabricius, 1794)</v>
      </c>
      <c r="AH16933" s="4" t="str">
        <f>HYPERLINK("#Statut_biogéographique!A"&amp;_xlfn.XMATCH("P",Statut_biogéographique!A:A,2,1),"P")</f>
        <v>P</v>
      </c>
      <c r="AP16933" s="4" t="s">
        <v>376</v>
      </c>
      <c r="AR16933" s="4" t="s">
        <v>377</v>
      </c>
    </row>
    <row r="16934" spans="1:44">
      <c r="A16934" s="4" t="s">
        <v>10753</v>
      </c>
      <c r="B16934" s="4">
        <v>51862</v>
      </c>
      <c r="D16934" s="5" t="s">
        <v>20475</v>
      </c>
      <c r="E16934" s="6" t="str">
        <f>HYPERLINK("https://inpn.mnhn.fr/espece/cd_nom/51862","Naucoris maculatus Fabricius, 1798")</f>
        <v>Naucoris maculatus Fabricius, 1798</v>
      </c>
      <c r="AH16934" s="4" t="str">
        <f>HYPERLINK("#Statut_biogéographique!A"&amp;_xlfn.XMATCH("P",Statut_biogéographique!A:A,2,1),"P")</f>
        <v>P</v>
      </c>
      <c r="AP16934" s="4" t="s">
        <v>376</v>
      </c>
      <c r="AR16934" s="4" t="s">
        <v>377</v>
      </c>
    </row>
    <row r="16935" spans="1:44" ht="30">
      <c r="A16935" s="4" t="s">
        <v>10753</v>
      </c>
      <c r="B16935" s="4">
        <v>51866</v>
      </c>
      <c r="D16935" s="5" t="s">
        <v>20476</v>
      </c>
      <c r="E16935" s="6" t="str">
        <f>HYPERLINK("https://inpn.mnhn.fr/espece/cd_nom/51866","Nepa cinerea Linnaeus, 1758")</f>
        <v>Nepa cinerea Linnaeus, 1758</v>
      </c>
      <c r="F16935" s="5" t="s">
        <v>20477</v>
      </c>
      <c r="AH16935" s="4" t="str">
        <f>HYPERLINK("#Statut_biogéographique!A"&amp;_xlfn.XMATCH("P",Statut_biogéographique!A:A,2,1),"P")</f>
        <v>P</v>
      </c>
      <c r="AP16935" s="4" t="s">
        <v>376</v>
      </c>
      <c r="AR16935" s="4" t="s">
        <v>377</v>
      </c>
    </row>
    <row r="16936" spans="1:44">
      <c r="A16936" s="4" t="s">
        <v>10753</v>
      </c>
      <c r="B16936" s="4">
        <v>51868</v>
      </c>
      <c r="D16936" s="5" t="s">
        <v>20478</v>
      </c>
      <c r="E16936" s="6" t="str">
        <f>HYPERLINK("https://inpn.mnhn.fr/espece/cd_nom/51868","Ranatra linearis (Linnaeus, 1758)")</f>
        <v>Ranatra linearis (Linnaeus, 1758)</v>
      </c>
      <c r="F16936" s="5" t="s">
        <v>20479</v>
      </c>
      <c r="AH16936" s="4" t="str">
        <f>HYPERLINK("#Statut_biogéographique!A"&amp;_xlfn.XMATCH("P",Statut_biogéographique!A:A,2,1),"P")</f>
        <v>P</v>
      </c>
      <c r="AP16936" s="4" t="s">
        <v>376</v>
      </c>
      <c r="AR16936" s="4" t="s">
        <v>377</v>
      </c>
    </row>
    <row r="16937" spans="1:44">
      <c r="A16937" s="4" t="s">
        <v>10753</v>
      </c>
      <c r="B16937" s="4">
        <v>51881</v>
      </c>
      <c r="D16937" s="5">
        <v>51881</v>
      </c>
      <c r="E16937" s="6" t="str">
        <f>HYPERLINK("https://inpn.mnhn.fr/espece/cd_nom/51881","Notonecta glauca Linnaeus, 1758")</f>
        <v>Notonecta glauca Linnaeus, 1758</v>
      </c>
      <c r="F16937" s="5" t="s">
        <v>20480</v>
      </c>
      <c r="AH16937" s="4" t="str">
        <f>HYPERLINK("#Statut_biogéographique!A"&amp;_xlfn.XMATCH("P",Statut_biogéographique!A:A,2,1),"P")</f>
        <v>P</v>
      </c>
      <c r="AP16937" s="4" t="s">
        <v>376</v>
      </c>
      <c r="AR16937" s="4" t="s">
        <v>377</v>
      </c>
    </row>
    <row r="16938" spans="1:44" ht="30">
      <c r="A16938" s="4" t="s">
        <v>10753</v>
      </c>
      <c r="B16938" s="4">
        <v>51886</v>
      </c>
      <c r="D16938" s="5" t="s">
        <v>20481</v>
      </c>
      <c r="E16938" s="6" t="str">
        <f>HYPERLINK("https://inpn.mnhn.fr/espece/cd_nom/51886","Notonecta maculata Fabricius, 1794")</f>
        <v>Notonecta maculata Fabricius, 1794</v>
      </c>
      <c r="F16938" s="5" t="s">
        <v>20482</v>
      </c>
      <c r="AH16938" s="4" t="str">
        <f>HYPERLINK("#Statut_biogéographique!A"&amp;_xlfn.XMATCH("P",Statut_biogéographique!A:A,2,1),"P")</f>
        <v>P</v>
      </c>
      <c r="AP16938" s="4" t="s">
        <v>376</v>
      </c>
      <c r="AR16938" s="4" t="s">
        <v>377</v>
      </c>
    </row>
    <row r="16939" spans="1:44">
      <c r="A16939" s="4" t="s">
        <v>10753</v>
      </c>
      <c r="B16939" s="4">
        <v>51891</v>
      </c>
      <c r="D16939" s="5" t="s">
        <v>20483</v>
      </c>
      <c r="E16939" s="6" t="str">
        <f>HYPERLINK("https://inpn.mnhn.fr/espece/cd_nom/51891","Cymatia coleoptrata (Fabricius, 1777)")</f>
        <v>Cymatia coleoptrata (Fabricius, 1777)</v>
      </c>
      <c r="AH16939" s="4" t="str">
        <f>HYPERLINK("#Statut_biogéographique!A"&amp;_xlfn.XMATCH("P",Statut_biogéographique!A:A,2,1),"P")</f>
        <v>P</v>
      </c>
      <c r="AP16939" s="4" t="s">
        <v>376</v>
      </c>
      <c r="AR16939" s="4" t="s">
        <v>377</v>
      </c>
    </row>
    <row r="16940" spans="1:44">
      <c r="A16940" s="4" t="s">
        <v>10753</v>
      </c>
      <c r="B16940" s="4">
        <v>51896</v>
      </c>
      <c r="D16940" s="5" t="s">
        <v>20484</v>
      </c>
      <c r="E16940" s="6" t="str">
        <f>HYPERLINK("https://inpn.mnhn.fr/espece/cd_nom/51896","Corixa punctata (Illiger, 1807)")</f>
        <v>Corixa punctata (Illiger, 1807)</v>
      </c>
      <c r="F16940" s="5" t="s">
        <v>20485</v>
      </c>
      <c r="AH16940" s="4" t="str">
        <f>HYPERLINK("#Statut_biogéographique!A"&amp;_xlfn.XMATCH("P",Statut_biogéographique!A:A,2,1),"P")</f>
        <v>P</v>
      </c>
      <c r="AP16940" s="4" t="s">
        <v>376</v>
      </c>
      <c r="AR16940" s="4" t="s">
        <v>377</v>
      </c>
    </row>
    <row r="16941" spans="1:44">
      <c r="A16941" s="4" t="s">
        <v>10753</v>
      </c>
      <c r="B16941" s="4">
        <v>51898</v>
      </c>
      <c r="D16941" s="5" t="s">
        <v>20486</v>
      </c>
      <c r="E16941" s="6" t="str">
        <f>HYPERLINK("https://inpn.mnhn.fr/espece/cd_nom/51898","Corixa panzeri (Fieber, 1848)")</f>
        <v>Corixa panzeri (Fieber, 1848)</v>
      </c>
      <c r="AH16941" s="4" t="str">
        <f>HYPERLINK("#Statut_biogéographique!A"&amp;_xlfn.XMATCH("P",Statut_biogéographique!A:A,2,1),"P")</f>
        <v>P</v>
      </c>
      <c r="AP16941" s="4" t="s">
        <v>376</v>
      </c>
      <c r="AR16941" s="4" t="s">
        <v>377</v>
      </c>
    </row>
    <row r="16942" spans="1:44">
      <c r="A16942" s="4" t="s">
        <v>10753</v>
      </c>
      <c r="B16942" s="4">
        <v>51903</v>
      </c>
      <c r="D16942" s="5" t="s">
        <v>20487</v>
      </c>
      <c r="E16942" s="6" t="str">
        <f>HYPERLINK("https://inpn.mnhn.fr/espece/cd_nom/51903","Sigara falleni (Fieber, 1848)")</f>
        <v>Sigara falleni (Fieber, 1848)</v>
      </c>
      <c r="AH16942" s="4" t="str">
        <f>HYPERLINK("#Statut_biogéographique!A"&amp;_xlfn.XMATCH("P",Statut_biogéographique!A:A,2,1),"P")</f>
        <v>P</v>
      </c>
      <c r="AP16942" s="4" t="s">
        <v>376</v>
      </c>
      <c r="AR16942" s="4" t="s">
        <v>377</v>
      </c>
    </row>
    <row r="16943" spans="1:44">
      <c r="A16943" s="4" t="s">
        <v>10753</v>
      </c>
      <c r="B16943" s="4">
        <v>51905</v>
      </c>
      <c r="D16943" s="5" t="s">
        <v>20488</v>
      </c>
      <c r="E16943" s="6" t="str">
        <f>HYPERLINK("https://inpn.mnhn.fr/espece/cd_nom/51905","Sigara dorsalis (Leach, 1817)")</f>
        <v>Sigara dorsalis (Leach, 1817)</v>
      </c>
      <c r="AH16943" s="4" t="str">
        <f>HYPERLINK("#Statut_biogéographique!A"&amp;_xlfn.XMATCH("P",Statut_biogéographique!A:A,2,1),"P")</f>
        <v>P</v>
      </c>
      <c r="AP16943" s="4" t="s">
        <v>376</v>
      </c>
      <c r="AR16943" s="4" t="s">
        <v>377</v>
      </c>
    </row>
    <row r="16944" spans="1:44" ht="30">
      <c r="A16944" s="4" t="s">
        <v>10753</v>
      </c>
      <c r="B16944" s="4">
        <v>51911</v>
      </c>
      <c r="D16944" s="5" t="s">
        <v>20489</v>
      </c>
      <c r="E16944" s="6" t="str">
        <f>HYPERLINK("https://inpn.mnhn.fr/espece/cd_nom/51911","Cicadetta montana (Scopoli, 1772)")</f>
        <v>Cicadetta montana (Scopoli, 1772)</v>
      </c>
      <c r="F16944" s="5" t="s">
        <v>20490</v>
      </c>
      <c r="AH16944" s="4" t="str">
        <f>HYPERLINK("#Statut_biogéographique!A"&amp;_xlfn.XMATCH("P",Statut_biogéographique!A:A,2,1),"P")</f>
        <v>P</v>
      </c>
      <c r="AP16944" s="4" t="s">
        <v>376</v>
      </c>
      <c r="AR16944" s="4" t="s">
        <v>377</v>
      </c>
    </row>
    <row r="16945" spans="1:44" ht="30">
      <c r="A16945" s="4" t="s">
        <v>10753</v>
      </c>
      <c r="B16945" s="4">
        <v>51913</v>
      </c>
      <c r="D16945" s="5" t="s">
        <v>20491</v>
      </c>
      <c r="E16945" s="6" t="str">
        <f>HYPERLINK("https://inpn.mnhn.fr/espece/cd_nom/51913","Cicada orni Linnaeus, 1758")</f>
        <v>Cicada orni Linnaeus, 1758</v>
      </c>
      <c r="F16945" s="5" t="s">
        <v>20492</v>
      </c>
      <c r="AH16945" s="4" t="str">
        <f>HYPERLINK("#Statut_biogéographique!A"&amp;_xlfn.XMATCH("P",Statut_biogéographique!A:A,2,1),"P")</f>
        <v>P</v>
      </c>
      <c r="AP16945" s="4" t="s">
        <v>376</v>
      </c>
      <c r="AR16945" s="4" t="s">
        <v>377</v>
      </c>
    </row>
    <row r="16946" spans="1:44" ht="30">
      <c r="A16946" s="4" t="s">
        <v>10753</v>
      </c>
      <c r="B16946" s="4">
        <v>51916</v>
      </c>
      <c r="D16946" s="5" t="s">
        <v>20493</v>
      </c>
      <c r="E16946" s="6" t="str">
        <f>HYPERLINK("https://inpn.mnhn.fr/espece/cd_nom/51916","Tibicina haematodes (Scopoli, 1763)")</f>
        <v>Tibicina haematodes (Scopoli, 1763)</v>
      </c>
      <c r="F16946" s="5" t="s">
        <v>20494</v>
      </c>
      <c r="AH16946" s="4" t="str">
        <f>HYPERLINK("#Statut_biogéographique!A"&amp;_xlfn.XMATCH("P",Statut_biogéographique!A:A,2,1),"P")</f>
        <v>P</v>
      </c>
      <c r="AP16946" s="4" t="s">
        <v>376</v>
      </c>
      <c r="AR16946" s="4" t="s">
        <v>377</v>
      </c>
    </row>
    <row r="16947" spans="1:44">
      <c r="A16947" s="4" t="s">
        <v>10753</v>
      </c>
      <c r="B16947" s="4">
        <v>51923</v>
      </c>
      <c r="D16947" s="5" t="s">
        <v>20495</v>
      </c>
      <c r="E16947" s="6" t="str">
        <f>HYPERLINK("https://inpn.mnhn.fr/espece/cd_nom/51923","Cercopis vulnerata Rossi, 1807")</f>
        <v>Cercopis vulnerata Rossi, 1807</v>
      </c>
      <c r="F16947" s="5" t="s">
        <v>20496</v>
      </c>
      <c r="AH16947" s="4" t="str">
        <f>HYPERLINK("#Statut_biogéographique!A"&amp;_xlfn.XMATCH("P",Statut_biogéographique!A:A,2,1),"P")</f>
        <v>P</v>
      </c>
      <c r="AP16947" s="4" t="s">
        <v>376</v>
      </c>
      <c r="AR16947" s="4" t="s">
        <v>377</v>
      </c>
    </row>
    <row r="16948" spans="1:44">
      <c r="A16948" s="4" t="s">
        <v>10753</v>
      </c>
      <c r="B16948" s="4">
        <v>51929</v>
      </c>
      <c r="D16948" s="5">
        <v>51929</v>
      </c>
      <c r="E16948" s="6" t="str">
        <f>HYPERLINK("https://inpn.mnhn.fr/espece/cd_nom/51929","Aphrophora alni (Fallén, 1805)")</f>
        <v>Aphrophora alni (Fallén, 1805)</v>
      </c>
      <c r="AH16948" s="4" t="str">
        <f>HYPERLINK("#Statut_biogéographique!A"&amp;_xlfn.XMATCH("P",Statut_biogéographique!A:A,2,1),"P")</f>
        <v>P</v>
      </c>
      <c r="AP16948" s="4" t="s">
        <v>376</v>
      </c>
      <c r="AR16948" s="4" t="s">
        <v>377</v>
      </c>
    </row>
    <row r="16949" spans="1:44" ht="45">
      <c r="A16949" s="4" t="s">
        <v>10753</v>
      </c>
      <c r="B16949" s="4">
        <v>51936</v>
      </c>
      <c r="D16949" s="5" t="s">
        <v>20497</v>
      </c>
      <c r="E16949" s="6" t="str">
        <f>HYPERLINK("https://inpn.mnhn.fr/espece/cd_nom/51936","Neophilaenus lineatus (Linnaeus, 1758)")</f>
        <v>Neophilaenus lineatus (Linnaeus, 1758)</v>
      </c>
      <c r="AH16949" s="4" t="str">
        <f>HYPERLINK("#Statut_biogéographique!A"&amp;_xlfn.XMATCH("P",Statut_biogéographique!A:A,2,1),"P")</f>
        <v>P</v>
      </c>
      <c r="AP16949" s="4" t="s">
        <v>376</v>
      </c>
      <c r="AR16949" s="4" t="s">
        <v>377</v>
      </c>
    </row>
    <row r="16950" spans="1:44">
      <c r="A16950" s="4" t="s">
        <v>10753</v>
      </c>
      <c r="B16950" s="4">
        <v>51946</v>
      </c>
      <c r="D16950" s="5" t="s">
        <v>20498</v>
      </c>
      <c r="E16950" s="6" t="str">
        <f>HYPERLINK("https://inpn.mnhn.fr/espece/cd_nom/51946","Cicadella viridis (Linnaeus, 1758)")</f>
        <v>Cicadella viridis (Linnaeus, 1758)</v>
      </c>
      <c r="F16950" s="5" t="s">
        <v>20499</v>
      </c>
      <c r="AH16950" s="4" t="str">
        <f>HYPERLINK("#Statut_biogéographique!A"&amp;_xlfn.XMATCH("P",Statut_biogéographique!A:A,2,1),"P")</f>
        <v>P</v>
      </c>
      <c r="AP16950" s="4" t="s">
        <v>376</v>
      </c>
      <c r="AR16950" s="4" t="s">
        <v>377</v>
      </c>
    </row>
    <row r="16951" spans="1:44">
      <c r="A16951" s="4" t="s">
        <v>10753</v>
      </c>
      <c r="B16951" s="4">
        <v>51949</v>
      </c>
      <c r="D16951" s="5" t="s">
        <v>20500</v>
      </c>
      <c r="E16951" s="6" t="str">
        <f>HYPERLINK("https://inpn.mnhn.fr/espece/cd_nom/51949","Evacanthus acuminatus (Fabricius, 1794)")</f>
        <v>Evacanthus acuminatus (Fabricius, 1794)</v>
      </c>
      <c r="AH16951" s="4" t="str">
        <f>HYPERLINK("#Statut_biogéographique!A"&amp;_xlfn.XMATCH("P",Statut_biogéographique!A:A,2,1),"P")</f>
        <v>P</v>
      </c>
      <c r="AP16951" s="4" t="s">
        <v>376</v>
      </c>
      <c r="AR16951" s="4" t="s">
        <v>377</v>
      </c>
    </row>
    <row r="16952" spans="1:44">
      <c r="A16952" s="4" t="s">
        <v>10753</v>
      </c>
      <c r="B16952" s="4">
        <v>51950</v>
      </c>
      <c r="D16952" s="5" t="s">
        <v>20501</v>
      </c>
      <c r="E16952" s="6" t="str">
        <f>HYPERLINK("https://inpn.mnhn.fr/espece/cd_nom/51950","Evacanthus interruptus (Linnaeus, 1758)")</f>
        <v>Evacanthus interruptus (Linnaeus, 1758)</v>
      </c>
      <c r="AH16952" s="4" t="str">
        <f>HYPERLINK("#Statut_biogéographique!A"&amp;_xlfn.XMATCH("P",Statut_biogéographique!A:A,2,1),"P")</f>
        <v>P</v>
      </c>
      <c r="AP16952" s="4" t="s">
        <v>376</v>
      </c>
      <c r="AR16952" s="4" t="s">
        <v>377</v>
      </c>
    </row>
    <row r="16953" spans="1:44">
      <c r="A16953" s="4" t="s">
        <v>10753</v>
      </c>
      <c r="B16953" s="4">
        <v>51961</v>
      </c>
      <c r="D16953" s="5" t="s">
        <v>20502</v>
      </c>
      <c r="E16953" s="6" t="str">
        <f>HYPERLINK("https://inpn.mnhn.fr/espece/cd_nom/51961","Stroggylocephalus livens (Zetterstedt, 1840)")</f>
        <v>Stroggylocephalus livens (Zetterstedt, 1840)</v>
      </c>
      <c r="AH16953" s="4" t="str">
        <f>HYPERLINK("#Statut_biogéographique!A"&amp;_xlfn.XMATCH("P",Statut_biogéographique!A:A,2,1),"P")</f>
        <v>P</v>
      </c>
      <c r="AP16953" s="4" t="s">
        <v>376</v>
      </c>
      <c r="AR16953" s="4" t="s">
        <v>377</v>
      </c>
    </row>
    <row r="16954" spans="1:44">
      <c r="A16954" s="4" t="s">
        <v>10753</v>
      </c>
      <c r="B16954" s="4">
        <v>51980</v>
      </c>
      <c r="D16954" s="5" t="s">
        <v>20503</v>
      </c>
      <c r="E16954" s="6" t="str">
        <f>HYPERLINK("https://inpn.mnhn.fr/espece/cd_nom/51980","Mocydia crocea (Herrich-Schäffer, 1837)")</f>
        <v>Mocydia crocea (Herrich-Schäffer, 1837)</v>
      </c>
      <c r="AH16954" s="4" t="str">
        <f>HYPERLINK("#Statut_biogéographique!A"&amp;_xlfn.XMATCH("P",Statut_biogéographique!A:A,2,1),"P")</f>
        <v>P</v>
      </c>
      <c r="AP16954" s="4" t="s">
        <v>376</v>
      </c>
      <c r="AR16954" s="4" t="s">
        <v>377</v>
      </c>
    </row>
    <row r="16955" spans="1:44">
      <c r="A16955" s="4" t="s">
        <v>10753</v>
      </c>
      <c r="B16955" s="4">
        <v>52007</v>
      </c>
      <c r="D16955" s="5" t="s">
        <v>20504</v>
      </c>
      <c r="E16955" s="6" t="str">
        <f>HYPERLINK("https://inpn.mnhn.fr/espece/cd_nom/52007","Psyllopsis fraxini (Linnaeus, 1758)")</f>
        <v>Psyllopsis fraxini (Linnaeus, 1758)</v>
      </c>
      <c r="AH16955" s="4" t="str">
        <f>HYPERLINK("#Statut_biogéographique!A"&amp;_xlfn.XMATCH("P",Statut_biogéographique!A:A,2,1),"P")</f>
        <v>P</v>
      </c>
      <c r="AP16955" s="4" t="s">
        <v>376</v>
      </c>
      <c r="AR16955" s="4" t="s">
        <v>377</v>
      </c>
    </row>
    <row r="16956" spans="1:44">
      <c r="A16956" s="4" t="s">
        <v>10753</v>
      </c>
      <c r="B16956" s="4">
        <v>52028</v>
      </c>
      <c r="D16956" s="5" t="s">
        <v>20505</v>
      </c>
      <c r="E16956" s="6" t="str">
        <f>HYPERLINK("https://inpn.mnhn.fr/espece/cd_nom/52028","Aphis fabae Scopoli, 1763")</f>
        <v>Aphis fabae Scopoli, 1763</v>
      </c>
      <c r="F16956" s="5" t="s">
        <v>20506</v>
      </c>
      <c r="AH16956" s="4" t="str">
        <f>HYPERLINK("#Statut_biogéographique!A"&amp;_xlfn.XMATCH("P",Statut_biogéographique!A:A,2,1),"P")</f>
        <v>P</v>
      </c>
      <c r="AP16956" s="4" t="s">
        <v>376</v>
      </c>
      <c r="AR16956" s="4" t="s">
        <v>377</v>
      </c>
    </row>
    <row r="16957" spans="1:44">
      <c r="A16957" s="4" t="s">
        <v>10753</v>
      </c>
      <c r="B16957" s="4">
        <v>52031</v>
      </c>
      <c r="D16957" s="5">
        <v>52031</v>
      </c>
      <c r="E16957" s="6" t="str">
        <f>HYPERLINK("https://inpn.mnhn.fr/espece/cd_nom/52031","Aphis grossulariae Kaltenbach, 1843")</f>
        <v>Aphis grossulariae Kaltenbach, 1843</v>
      </c>
      <c r="AH16957" s="4" t="str">
        <f>HYPERLINK("#Statut_biogéographique!A"&amp;_xlfn.XMATCH("P",Statut_biogéographique!A:A,2,1),"P")</f>
        <v>P</v>
      </c>
      <c r="AP16957" s="4" t="s">
        <v>376</v>
      </c>
      <c r="AR16957" s="4" t="s">
        <v>377</v>
      </c>
    </row>
    <row r="16958" spans="1:44">
      <c r="A16958" s="4" t="s">
        <v>10753</v>
      </c>
      <c r="B16958" s="4">
        <v>52039</v>
      </c>
      <c r="D16958" s="5">
        <v>52039</v>
      </c>
      <c r="E16958" s="6" t="str">
        <f>HYPERLINK("https://inpn.mnhn.fr/espece/cd_nom/52039","Megoura viciae Buckton, 1876")</f>
        <v>Megoura viciae Buckton, 1876</v>
      </c>
      <c r="F16958" s="5" t="s">
        <v>20507</v>
      </c>
      <c r="AH16958" s="4" t="str">
        <f>HYPERLINK("#Statut_biogéographique!A"&amp;_xlfn.XMATCH("P",Statut_biogéographique!A:A,2,1),"P")</f>
        <v>P</v>
      </c>
      <c r="AP16958" s="4" t="s">
        <v>376</v>
      </c>
      <c r="AR16958" s="4" t="s">
        <v>377</v>
      </c>
    </row>
    <row r="16959" spans="1:44">
      <c r="A16959" s="4" t="s">
        <v>10753</v>
      </c>
      <c r="B16959" s="4">
        <v>52045</v>
      </c>
      <c r="D16959" s="5" t="s">
        <v>20508</v>
      </c>
      <c r="E16959" s="6" t="str">
        <f>HYPERLINK("https://inpn.mnhn.fr/espece/cd_nom/52045","Myzus cerasi (Fabricius, 1775)")</f>
        <v>Myzus cerasi (Fabricius, 1775)</v>
      </c>
      <c r="AH16959" s="4" t="str">
        <f>HYPERLINK("#Statut_biogéographique!A"&amp;_xlfn.XMATCH("P",Statut_biogéographique!A:A,2,1),"P")</f>
        <v>P</v>
      </c>
      <c r="AP16959" s="4" t="s">
        <v>376</v>
      </c>
      <c r="AR16959" s="4" t="s">
        <v>377</v>
      </c>
    </row>
    <row r="16960" spans="1:44">
      <c r="A16960" s="4" t="s">
        <v>10753</v>
      </c>
      <c r="B16960" s="4">
        <v>52046</v>
      </c>
      <c r="D16960" s="5" t="s">
        <v>20509</v>
      </c>
      <c r="E16960" s="6" t="str">
        <f>HYPERLINK("https://inpn.mnhn.fr/espece/cd_nom/52046","Myzus persicae (Sulzer, 1776)")</f>
        <v>Myzus persicae (Sulzer, 1776)</v>
      </c>
      <c r="F16960" s="5" t="s">
        <v>20510</v>
      </c>
      <c r="AH16960" s="4" t="str">
        <f>HYPERLINK("#Statut_biogéographique!A"&amp;_xlfn.XMATCH("I",Statut_biogéographique!A:A,2,1),"I")</f>
        <v>I</v>
      </c>
      <c r="AP16960" s="4" t="s">
        <v>376</v>
      </c>
      <c r="AR16960" s="4" t="s">
        <v>377</v>
      </c>
    </row>
    <row r="16961" spans="1:44">
      <c r="A16961" s="4" t="s">
        <v>10753</v>
      </c>
      <c r="B16961" s="4">
        <v>52073</v>
      </c>
      <c r="D16961" s="5" t="s">
        <v>20511</v>
      </c>
      <c r="E16961" s="6" t="str">
        <f>HYPERLINK("https://inpn.mnhn.fr/espece/cd_nom/52073","Osmylus fulvicephalus (Scopoli, 1763)")</f>
        <v>Osmylus fulvicephalus (Scopoli, 1763)</v>
      </c>
      <c r="F16961" s="5" t="s">
        <v>20512</v>
      </c>
      <c r="AH16961" s="4" t="str">
        <f>HYPERLINK("#Statut_biogéographique!A"&amp;_xlfn.XMATCH("P",Statut_biogéographique!A:A,2,1),"P")</f>
        <v>P</v>
      </c>
      <c r="AP16961" s="4" t="s">
        <v>376</v>
      </c>
      <c r="AR16961" s="4" t="s">
        <v>377</v>
      </c>
    </row>
    <row r="16962" spans="1:44">
      <c r="A16962" s="4" t="s">
        <v>10753</v>
      </c>
      <c r="B16962" s="4">
        <v>52076</v>
      </c>
      <c r="D16962" s="5" t="s">
        <v>20513</v>
      </c>
      <c r="E16962" s="6" t="str">
        <f>HYPERLINK("https://inpn.mnhn.fr/espece/cd_nom/52076","Sisyra dalii McLachlan, 1866")</f>
        <v>Sisyra dalii McLachlan, 1866</v>
      </c>
      <c r="AH16962" s="4" t="str">
        <f>HYPERLINK("#Statut_biogéographique!A"&amp;_xlfn.XMATCH("P",Statut_biogéographique!A:A,2,1),"P")</f>
        <v>P</v>
      </c>
      <c r="AP16962" s="4" t="s">
        <v>376</v>
      </c>
      <c r="AR16962" s="4" t="s">
        <v>377</v>
      </c>
    </row>
    <row r="16963" spans="1:44" ht="30">
      <c r="A16963" s="4" t="s">
        <v>10753</v>
      </c>
      <c r="B16963" s="4">
        <v>52081</v>
      </c>
      <c r="D16963" s="5" t="s">
        <v>20514</v>
      </c>
      <c r="E16963" s="6" t="str">
        <f>HYPERLINK("https://inpn.mnhn.fr/espece/cd_nom/52081","Euroleon nostras (Geoffroy in Fourcroy, 1785)")</f>
        <v>Euroleon nostras (Geoffroy in Fourcroy, 1785)</v>
      </c>
      <c r="AH16963" s="4" t="str">
        <f>HYPERLINK("#Statut_biogéographique!A"&amp;_xlfn.XMATCH("P",Statut_biogéographique!A:A,2,1),"P")</f>
        <v>P</v>
      </c>
      <c r="AP16963" s="4" t="s">
        <v>376</v>
      </c>
      <c r="AR16963" s="4" t="s">
        <v>377</v>
      </c>
    </row>
    <row r="16964" spans="1:44">
      <c r="A16964" s="4" t="s">
        <v>10753</v>
      </c>
      <c r="B16964" s="4">
        <v>52084</v>
      </c>
      <c r="D16964" s="5" t="s">
        <v>20515</v>
      </c>
      <c r="E16964" s="6" t="str">
        <f>HYPERLINK("https://inpn.mnhn.fr/espece/cd_nom/52084","Myrmeleon formicarius Linnaeus, 1767")</f>
        <v>Myrmeleon formicarius Linnaeus, 1767</v>
      </c>
      <c r="AH16964" s="4" t="str">
        <f>HYPERLINK("#Statut_biogéographique!A"&amp;_xlfn.XMATCH("P",Statut_biogéographique!A:A,2,1),"P")</f>
        <v>P</v>
      </c>
      <c r="AP16964" s="4" t="s">
        <v>376</v>
      </c>
      <c r="AR16964" s="4" t="s">
        <v>377</v>
      </c>
    </row>
    <row r="16965" spans="1:44">
      <c r="A16965" s="4" t="s">
        <v>10753</v>
      </c>
      <c r="B16965" s="4">
        <v>520850</v>
      </c>
      <c r="D16965" s="5" t="s">
        <v>20516</v>
      </c>
      <c r="E16965" s="6" t="str">
        <f>HYPERLINK("https://inpn.mnhn.fr/espece/cd_nom/520850","Litoligia literosa (Haworth, 1809)")</f>
        <v>Litoligia literosa (Haworth, 1809)</v>
      </c>
      <c r="F16965" s="5" t="s">
        <v>20517</v>
      </c>
      <c r="AH16965" s="4" t="str">
        <f>HYPERLINK("#Statut_biogéographique!A"&amp;_xlfn.XMATCH("P",Statut_biogéographique!A:A,2,1),"P")</f>
        <v>P</v>
      </c>
      <c r="AP16965" s="4" t="s">
        <v>376</v>
      </c>
      <c r="AR16965" s="4" t="s">
        <v>377</v>
      </c>
    </row>
    <row r="16966" spans="1:44" ht="30">
      <c r="A16966" s="4" t="s">
        <v>10753</v>
      </c>
      <c r="B16966" s="4">
        <v>520881</v>
      </c>
      <c r="D16966" s="5" t="s">
        <v>20518</v>
      </c>
      <c r="E16966" s="6" t="str">
        <f>HYPERLINK("https://inpn.mnhn.fr/espece/cd_nom/520881","Anorthoa munda (Denis &amp; Schiffermüller, 1775)")</f>
        <v>Anorthoa munda (Denis &amp; Schiffermüller, 1775)</v>
      </c>
      <c r="F16966" s="5" t="s">
        <v>20519</v>
      </c>
      <c r="AH16966" s="4" t="str">
        <f>HYPERLINK("#Statut_biogéographique!A"&amp;_xlfn.XMATCH("P",Statut_biogéographique!A:A,2,1),"P")</f>
        <v>P</v>
      </c>
      <c r="AP16966" s="4" t="s">
        <v>376</v>
      </c>
      <c r="AR16966" s="4" t="s">
        <v>377</v>
      </c>
    </row>
    <row r="16967" spans="1:44" ht="30">
      <c r="A16967" s="4" t="s">
        <v>10753</v>
      </c>
      <c r="B16967" s="4">
        <v>520887</v>
      </c>
      <c r="D16967" s="5" t="s">
        <v>20520</v>
      </c>
      <c r="E16967" s="6" t="str">
        <f>HYPERLINK("https://inpn.mnhn.fr/espece/cd_nom/520887","Caradrina clavipalpis (Scopoli, 1763)")</f>
        <v>Caradrina clavipalpis (Scopoli, 1763)</v>
      </c>
      <c r="F16967" s="5" t="s">
        <v>20521</v>
      </c>
      <c r="AH16967" s="4" t="str">
        <f>HYPERLINK("#Statut_biogéographique!A"&amp;_xlfn.XMATCH("P",Statut_biogéographique!A:A,2,1),"P")</f>
        <v>P</v>
      </c>
      <c r="AP16967" s="4" t="s">
        <v>376</v>
      </c>
      <c r="AR16967" s="4" t="s">
        <v>377</v>
      </c>
    </row>
    <row r="16968" spans="1:44">
      <c r="A16968" s="4" t="s">
        <v>10753</v>
      </c>
      <c r="B16968" s="4">
        <v>52089</v>
      </c>
      <c r="D16968" s="5" t="s">
        <v>20522</v>
      </c>
      <c r="E16968" s="6" t="str">
        <f>HYPERLINK("https://inpn.mnhn.fr/espece/cd_nom/52089","Distoleon tetragrammicus (Fabricius, 1798)")</f>
        <v>Distoleon tetragrammicus (Fabricius, 1798)</v>
      </c>
      <c r="F16968" s="5" t="s">
        <v>20523</v>
      </c>
      <c r="AH16968" s="4" t="str">
        <f>HYPERLINK("#Statut_biogéographique!A"&amp;_xlfn.XMATCH("P",Statut_biogéographique!A:A,2,1),"P")</f>
        <v>P</v>
      </c>
      <c r="AP16968" s="4" t="s">
        <v>376</v>
      </c>
      <c r="AR16968" s="4" t="s">
        <v>377</v>
      </c>
    </row>
    <row r="16969" spans="1:44" ht="30">
      <c r="A16969" s="4" t="s">
        <v>10753</v>
      </c>
      <c r="B16969" s="4">
        <v>520893</v>
      </c>
      <c r="D16969" s="5" t="s">
        <v>20524</v>
      </c>
      <c r="E16969" s="6" t="str">
        <f>HYPERLINK("https://inpn.mnhn.fr/espece/cd_nom/520893","Deltote uncula (Clerck, 1759)")</f>
        <v>Deltote uncula (Clerck, 1759)</v>
      </c>
      <c r="F16969" s="5" t="s">
        <v>20525</v>
      </c>
      <c r="AH16969" s="4" t="str">
        <f>HYPERLINK("#Statut_biogéographique!A"&amp;_xlfn.XMATCH("P",Statut_biogéographique!A:A,2,1),"P")</f>
        <v>P</v>
      </c>
      <c r="AP16969" s="4" t="s">
        <v>376</v>
      </c>
      <c r="AR16969" s="4" t="s">
        <v>377</v>
      </c>
    </row>
    <row r="16970" spans="1:44">
      <c r="A16970" s="4" t="s">
        <v>10753</v>
      </c>
      <c r="B16970" s="4">
        <v>520897</v>
      </c>
      <c r="D16970" s="5" t="s">
        <v>20526</v>
      </c>
      <c r="E16970" s="6" t="str">
        <f>HYPERLINK("https://inpn.mnhn.fr/espece/cd_nom/520897","Euclidia mi (Clerck, 1759)")</f>
        <v>Euclidia mi (Clerck, 1759)</v>
      </c>
      <c r="F16970" s="5" t="s">
        <v>20527</v>
      </c>
      <c r="AH16970" s="4" t="str">
        <f>HYPERLINK("#Statut_biogéographique!A"&amp;_xlfn.XMATCH("P",Statut_biogéographique!A:A,2,1),"P")</f>
        <v>P</v>
      </c>
      <c r="AP16970" s="4" t="s">
        <v>376</v>
      </c>
      <c r="AR16970" s="4" t="s">
        <v>377</v>
      </c>
    </row>
    <row r="16971" spans="1:44">
      <c r="A16971" s="4" t="s">
        <v>10753</v>
      </c>
      <c r="B16971" s="4">
        <v>520902</v>
      </c>
      <c r="D16971" s="5" t="s">
        <v>20528</v>
      </c>
      <c r="E16971" s="6" t="str">
        <f>HYPERLINK("https://inpn.mnhn.fr/espece/cd_nom/520902","Lateroligia ophiogramma (Esper, 1794)")</f>
        <v>Lateroligia ophiogramma (Esper, 1794)</v>
      </c>
      <c r="F16971" s="5" t="s">
        <v>20529</v>
      </c>
      <c r="AH16971" s="4" t="str">
        <f>HYPERLINK("#Statut_biogéographique!A"&amp;_xlfn.XMATCH("P",Statut_biogéographique!A:A,2,1),"P")</f>
        <v>P</v>
      </c>
      <c r="AP16971" s="4" t="s">
        <v>376</v>
      </c>
      <c r="AR16971" s="4" t="s">
        <v>377</v>
      </c>
    </row>
    <row r="16972" spans="1:44">
      <c r="A16972" s="4" t="s">
        <v>10753</v>
      </c>
      <c r="B16972" s="4">
        <v>520903</v>
      </c>
      <c r="D16972" s="5" t="s">
        <v>20530</v>
      </c>
      <c r="E16972" s="6" t="str">
        <f>HYPERLINK("https://inpn.mnhn.fr/espece/cd_nom/520903","Helotropha leucostigma (Hübner, 1808)")</f>
        <v>Helotropha leucostigma (Hübner, 1808)</v>
      </c>
      <c r="F16972" s="5" t="s">
        <v>20531</v>
      </c>
      <c r="AH16972" s="4" t="str">
        <f>HYPERLINK("#Statut_biogéographique!A"&amp;_xlfn.XMATCH("P",Statut_biogéographique!A:A,2,1),"P")</f>
        <v>P</v>
      </c>
      <c r="AP16972" s="4" t="s">
        <v>376</v>
      </c>
      <c r="AR16972" s="4" t="s">
        <v>377</v>
      </c>
    </row>
    <row r="16973" spans="1:44">
      <c r="A16973" s="4" t="s">
        <v>10753</v>
      </c>
      <c r="B16973" s="4">
        <v>520904</v>
      </c>
      <c r="D16973" s="5" t="s">
        <v>20532</v>
      </c>
      <c r="E16973" s="6" t="str">
        <f>HYPERLINK("https://inpn.mnhn.fr/espece/cd_nom/520904","Photedes fluxa (Hübner, 1809)")</f>
        <v>Photedes fluxa (Hübner, 1809)</v>
      </c>
      <c r="F16973" s="5" t="s">
        <v>20533</v>
      </c>
      <c r="AH16973" s="4" t="str">
        <f>HYPERLINK("#Statut_biogéographique!A"&amp;_xlfn.XMATCH("P",Statut_biogéographique!A:A,2,1),"P")</f>
        <v>P</v>
      </c>
      <c r="AP16973" s="4" t="s">
        <v>376</v>
      </c>
      <c r="AR16973" s="4" t="s">
        <v>377</v>
      </c>
    </row>
    <row r="16974" spans="1:44">
      <c r="A16974" s="4" t="s">
        <v>10753</v>
      </c>
      <c r="B16974" s="4">
        <v>520905</v>
      </c>
      <c r="D16974" s="5" t="s">
        <v>20534</v>
      </c>
      <c r="E16974" s="6" t="str">
        <f>HYPERLINK("https://inpn.mnhn.fr/espece/cd_nom/520905","Photedes extrema (Hübner, 1809)")</f>
        <v>Photedes extrema (Hübner, 1809)</v>
      </c>
      <c r="F16974" s="5" t="s">
        <v>20535</v>
      </c>
      <c r="AH16974" s="4" t="str">
        <f>HYPERLINK("#Statut_biogéographique!A"&amp;_xlfn.XMATCH("P",Statut_biogéographique!A:A,2,1),"P")</f>
        <v>P</v>
      </c>
      <c r="AP16974" s="4" t="s">
        <v>376</v>
      </c>
      <c r="AR16974" s="4" t="s">
        <v>377</v>
      </c>
    </row>
    <row r="16975" spans="1:44">
      <c r="A16975" s="4" t="s">
        <v>10753</v>
      </c>
      <c r="B16975" s="4">
        <v>520907</v>
      </c>
      <c r="D16975" s="5" t="s">
        <v>20536</v>
      </c>
      <c r="E16975" s="6" t="str">
        <f>HYPERLINK("https://inpn.mnhn.fr/espece/cd_nom/520907","Caradrina aspersa Rambur, 1834")</f>
        <v>Caradrina aspersa Rambur, 1834</v>
      </c>
      <c r="F16975" s="5" t="s">
        <v>20537</v>
      </c>
      <c r="AH16975" s="4" t="str">
        <f>HYPERLINK("#Statut_biogéographique!A"&amp;_xlfn.XMATCH("P",Statut_biogéographique!A:A,2,1),"P")</f>
        <v>P</v>
      </c>
      <c r="AP16975" s="4" t="s">
        <v>376</v>
      </c>
      <c r="AR16975" s="4" t="s">
        <v>377</v>
      </c>
    </row>
    <row r="16976" spans="1:44">
      <c r="A16976" s="4" t="s">
        <v>10753</v>
      </c>
      <c r="B16976" s="4">
        <v>52097</v>
      </c>
      <c r="D16976" s="5" t="s">
        <v>20538</v>
      </c>
      <c r="E16976" s="6" t="str">
        <f>HYPERLINK("https://inpn.mnhn.fr/espece/cd_nom/52097","Micromus variegatus (Fabricius, 1793)")</f>
        <v>Micromus variegatus (Fabricius, 1793)</v>
      </c>
      <c r="AH16976" s="4" t="str">
        <f>HYPERLINK("#Statut_biogéographique!A"&amp;_xlfn.XMATCH("P",Statut_biogéographique!A:A,2,1),"P")</f>
        <v>P</v>
      </c>
      <c r="AP16976" s="4" t="s">
        <v>376</v>
      </c>
      <c r="AR16976" s="4" t="s">
        <v>377</v>
      </c>
    </row>
    <row r="16977" spans="1:44">
      <c r="A16977" s="4" t="s">
        <v>10753</v>
      </c>
      <c r="B16977" s="4">
        <v>520990</v>
      </c>
      <c r="D16977" s="5">
        <v>520990</v>
      </c>
      <c r="E16977" s="6" t="str">
        <f>HYPERLINK("https://inpn.mnhn.fr/espece/cd_nom/520990","Bythinella friderici Boeters &amp; Falkner, 2008")</f>
        <v>Bythinella friderici Boeters &amp; Falkner, 2008</v>
      </c>
      <c r="F16977" s="5" t="s">
        <v>20539</v>
      </c>
      <c r="Q16977" s="7" t="str">
        <f>HYPERLINK("#Liste_rouge!A"&amp;_xlfn.XMATCH("DD",Liste_rouge!A:A,2,1),"DD")</f>
        <v>DD</v>
      </c>
      <c r="AH16977" s="4" t="str">
        <f>HYPERLINK("#Statut_biogéographique!A"&amp;_xlfn.XMATCH("E",Statut_biogéographique!A:A,2,1),"E")</f>
        <v>E</v>
      </c>
      <c r="AP16977" s="4" t="s">
        <v>376</v>
      </c>
      <c r="AR16977" s="4" t="s">
        <v>377</v>
      </c>
    </row>
    <row r="16978" spans="1:44">
      <c r="A16978" s="4" t="s">
        <v>10753</v>
      </c>
      <c r="B16978" s="4">
        <v>52103</v>
      </c>
      <c r="D16978" s="5" t="s">
        <v>20540</v>
      </c>
      <c r="E16978" s="6" t="str">
        <f>HYPERLINK("https://inpn.mnhn.fr/espece/cd_nom/52103","Chrysopa perla (Linnaeus, 1758)")</f>
        <v>Chrysopa perla (Linnaeus, 1758)</v>
      </c>
      <c r="F16978" s="5" t="s">
        <v>20541</v>
      </c>
      <c r="AH16978" s="4" t="str">
        <f>HYPERLINK("#Statut_biogéographique!A"&amp;_xlfn.XMATCH("P",Statut_biogéographique!A:A,2,1),"P")</f>
        <v>P</v>
      </c>
      <c r="AP16978" s="4" t="s">
        <v>376</v>
      </c>
      <c r="AR16978" s="4" t="s">
        <v>377</v>
      </c>
    </row>
    <row r="16979" spans="1:44" ht="45">
      <c r="A16979" s="4" t="s">
        <v>10753</v>
      </c>
      <c r="B16979" s="4">
        <v>52106</v>
      </c>
      <c r="D16979" s="5" t="s">
        <v>20542</v>
      </c>
      <c r="E16979" s="6" t="str">
        <f>HYPERLINK("https://inpn.mnhn.fr/espece/cd_nom/52106","Chrysoperla carnea (Stephens, 1836)")</f>
        <v>Chrysoperla carnea (Stephens, 1836)</v>
      </c>
      <c r="AH16979" s="4" t="str">
        <f>HYPERLINK("#Statut_biogéographique!A"&amp;_xlfn.XMATCH("P",Statut_biogéographique!A:A,2,1),"P")</f>
        <v>P</v>
      </c>
      <c r="AP16979" s="4" t="s">
        <v>376</v>
      </c>
      <c r="AR16979" s="4" t="s">
        <v>377</v>
      </c>
    </row>
    <row r="16980" spans="1:44">
      <c r="A16980" s="4" t="s">
        <v>10753</v>
      </c>
      <c r="B16980" s="4">
        <v>52115</v>
      </c>
      <c r="D16980" s="5" t="s">
        <v>20543</v>
      </c>
      <c r="E16980" s="6" t="str">
        <f>HYPERLINK("https://inpn.mnhn.fr/espece/cd_nom/52115","Libelloides longicornis (Linnaeus, 1764)")</f>
        <v>Libelloides longicornis (Linnaeus, 1764)</v>
      </c>
      <c r="F16980" s="5" t="s">
        <v>20544</v>
      </c>
      <c r="AH16980" s="4" t="str">
        <f>HYPERLINK("#Statut_biogéographique!A"&amp;_xlfn.XMATCH("P",Statut_biogéographique!A:A,2,1),"P")</f>
        <v>P</v>
      </c>
      <c r="AP16980" s="4" t="s">
        <v>376</v>
      </c>
      <c r="AR16980" s="4" t="s">
        <v>377</v>
      </c>
    </row>
    <row r="16981" spans="1:44" ht="30">
      <c r="A16981" s="4" t="s">
        <v>10753</v>
      </c>
      <c r="B16981" s="4">
        <v>52121</v>
      </c>
      <c r="D16981" s="5" t="s">
        <v>20545</v>
      </c>
      <c r="E16981" s="6" t="str">
        <f>HYPERLINK("https://inpn.mnhn.fr/espece/cd_nom/52121","Libelloides coccajus (Denis &amp; Schiffermüller, 1775)")</f>
        <v>Libelloides coccajus (Denis &amp; Schiffermüller, 1775)</v>
      </c>
      <c r="F16981" s="5" t="s">
        <v>20546</v>
      </c>
      <c r="AH16981" s="4" t="str">
        <f>HYPERLINK("#Statut_biogéographique!A"&amp;_xlfn.XMATCH("P",Statut_biogéographique!A:A,2,1),"P")</f>
        <v>P</v>
      </c>
      <c r="AP16981" s="4" t="s">
        <v>376</v>
      </c>
      <c r="AR16981" s="4" t="s">
        <v>377</v>
      </c>
    </row>
    <row r="16982" spans="1:44">
      <c r="A16982" s="4" t="s">
        <v>10753</v>
      </c>
      <c r="B16982" s="4">
        <v>52124</v>
      </c>
      <c r="D16982" s="5" t="s">
        <v>20547</v>
      </c>
      <c r="E16982" s="6" t="str">
        <f>HYPERLINK("https://inpn.mnhn.fr/espece/cd_nom/52124","Mantispa styriaca (Poda, 1761)")</f>
        <v>Mantispa styriaca (Poda, 1761)</v>
      </c>
      <c r="AH16982" s="4" t="str">
        <f>HYPERLINK("#Statut_biogéographique!A"&amp;_xlfn.XMATCH("P",Statut_biogéographique!A:A,2,1),"P")</f>
        <v>P</v>
      </c>
      <c r="AP16982" s="4" t="s">
        <v>376</v>
      </c>
      <c r="AR16982" s="4" t="s">
        <v>377</v>
      </c>
    </row>
    <row r="16983" spans="1:44">
      <c r="A16983" s="4" t="s">
        <v>10753</v>
      </c>
      <c r="B16983" s="4">
        <v>52138</v>
      </c>
      <c r="D16983" s="5" t="s">
        <v>20548</v>
      </c>
      <c r="E16983" s="6" t="str">
        <f>HYPERLINK("https://inpn.mnhn.fr/espece/cd_nom/52138","Sialis lutaria (Linnaeus, 1758)")</f>
        <v>Sialis lutaria (Linnaeus, 1758)</v>
      </c>
      <c r="AH16983" s="4" t="str">
        <f>HYPERLINK("#Statut_biogéographique!A"&amp;_xlfn.XMATCH("P",Statut_biogéographique!A:A,2,1),"P")</f>
        <v>P</v>
      </c>
      <c r="AP16983" s="4" t="s">
        <v>376</v>
      </c>
      <c r="AR16983" s="4" t="s">
        <v>377</v>
      </c>
    </row>
    <row r="16984" spans="1:44">
      <c r="A16984" s="4" t="s">
        <v>10753</v>
      </c>
      <c r="B16984" s="4">
        <v>52143</v>
      </c>
      <c r="D16984" s="5" t="s">
        <v>20549</v>
      </c>
      <c r="E16984" s="6" t="str">
        <f>HYPERLINK("https://inpn.mnhn.fr/espece/cd_nom/52143","Boreus hyemalis (Linnaeus, 1767)")</f>
        <v>Boreus hyemalis (Linnaeus, 1767)</v>
      </c>
      <c r="AH16984" s="4" t="str">
        <f>HYPERLINK("#Statut_biogéographique!A"&amp;_xlfn.XMATCH("P",Statut_biogéographique!A:A,2,1),"P")</f>
        <v>P</v>
      </c>
      <c r="AP16984" s="4" t="s">
        <v>376</v>
      </c>
      <c r="AR16984" s="4" t="s">
        <v>377</v>
      </c>
    </row>
    <row r="16985" spans="1:44">
      <c r="A16985" s="4" t="s">
        <v>10753</v>
      </c>
      <c r="B16985" s="4">
        <v>521447</v>
      </c>
      <c r="D16985" s="5" t="s">
        <v>20550</v>
      </c>
      <c r="E16985" s="6" t="str">
        <f>HYPERLINK("https://inpn.mnhn.fr/espece/cd_nom/521447","Phylloneta sisyphia (Clerck, 1758)")</f>
        <v>Phylloneta sisyphia (Clerck, 1758)</v>
      </c>
      <c r="F16985" s="5" t="s">
        <v>20551</v>
      </c>
      <c r="Q16985" s="7" t="str">
        <f>HYPERLINK("#Liste_rouge!A"&amp;_xlfn.XMATCH("LC",Liste_rouge!A:A,2,1),"LC")</f>
        <v>LC</v>
      </c>
      <c r="AH16985" s="4" t="str">
        <f>HYPERLINK("#Statut_biogéographique!A"&amp;_xlfn.XMATCH("P",Statut_biogéographique!A:A,2,1),"P")</f>
        <v>P</v>
      </c>
      <c r="AP16985" s="4" t="s">
        <v>376</v>
      </c>
      <c r="AR16985" s="4" t="s">
        <v>377</v>
      </c>
    </row>
    <row r="16986" spans="1:44">
      <c r="A16986" s="4" t="s">
        <v>10753</v>
      </c>
      <c r="B16986" s="4">
        <v>521457</v>
      </c>
      <c r="D16986" s="5" t="s">
        <v>20552</v>
      </c>
      <c r="E16986" s="6" t="str">
        <f>HYPERLINK("https://inpn.mnhn.fr/espece/cd_nom/521457","Atheta tibialis (Heer, 1839)")</f>
        <v>Atheta tibialis (Heer, 1839)</v>
      </c>
      <c r="AH16986" s="4" t="str">
        <f>HYPERLINK("#Statut_biogéographique!A"&amp;_xlfn.XMATCH("P",Statut_biogéographique!A:A,2,1),"P")</f>
        <v>P</v>
      </c>
      <c r="AP16986" s="4" t="s">
        <v>376</v>
      </c>
      <c r="AR16986" s="4" t="s">
        <v>377</v>
      </c>
    </row>
    <row r="16987" spans="1:44">
      <c r="A16987" s="4" t="s">
        <v>10753</v>
      </c>
      <c r="B16987" s="4">
        <v>521459</v>
      </c>
      <c r="D16987" s="5" t="s">
        <v>20553</v>
      </c>
      <c r="E16987" s="6" t="str">
        <f>HYPERLINK("https://inpn.mnhn.fr/espece/cd_nom/521459","Zorochros dermestoides (Herbst, 1806)")</f>
        <v>Zorochros dermestoides (Herbst, 1806)</v>
      </c>
      <c r="AH16987" s="4" t="str">
        <f>HYPERLINK("#Statut_biogéographique!A"&amp;_xlfn.XMATCH("P",Statut_biogéographique!A:A,2,1),"P")</f>
        <v>P</v>
      </c>
      <c r="AP16987" s="4" t="s">
        <v>376</v>
      </c>
      <c r="AR16987" s="4" t="s">
        <v>377</v>
      </c>
    </row>
    <row r="16988" spans="1:44">
      <c r="A16988" s="4" t="s">
        <v>10753</v>
      </c>
      <c r="B16988" s="4">
        <v>52147</v>
      </c>
      <c r="D16988" s="5" t="s">
        <v>20554</v>
      </c>
      <c r="E16988" s="6" t="str">
        <f>HYPERLINK("https://inpn.mnhn.fr/espece/cd_nom/52147","Panorpa cognata Rambur, 1842")</f>
        <v>Panorpa cognata Rambur, 1842</v>
      </c>
      <c r="AH16988" s="4" t="str">
        <f>HYPERLINK("#Statut_biogéographique!A"&amp;_xlfn.XMATCH("P",Statut_biogéographique!A:A,2,1),"P")</f>
        <v>P</v>
      </c>
      <c r="AP16988" s="4" t="s">
        <v>376</v>
      </c>
      <c r="AR16988" s="4" t="s">
        <v>377</v>
      </c>
    </row>
    <row r="16989" spans="1:44">
      <c r="A16989" s="4" t="s">
        <v>10753</v>
      </c>
      <c r="B16989" s="4">
        <v>52148</v>
      </c>
      <c r="D16989" s="5" t="s">
        <v>20555</v>
      </c>
      <c r="E16989" s="6" t="str">
        <f>HYPERLINK("https://inpn.mnhn.fr/espece/cd_nom/52148","Panorpa communis Linnaeus, 1758")</f>
        <v>Panorpa communis Linnaeus, 1758</v>
      </c>
      <c r="F16989" s="5" t="s">
        <v>20556</v>
      </c>
      <c r="AH16989" s="4" t="str">
        <f>HYPERLINK("#Statut_biogéographique!A"&amp;_xlfn.XMATCH("P",Statut_biogéographique!A:A,2,1),"P")</f>
        <v>P</v>
      </c>
      <c r="AP16989" s="4" t="s">
        <v>376</v>
      </c>
      <c r="AR16989" s="4" t="s">
        <v>377</v>
      </c>
    </row>
    <row r="16990" spans="1:44" ht="60">
      <c r="A16990" s="4" t="s">
        <v>10753</v>
      </c>
      <c r="B16990" s="4">
        <v>521485</v>
      </c>
      <c r="D16990" s="5" t="s">
        <v>20557</v>
      </c>
      <c r="E16990" s="6" t="str">
        <f>HYPERLINK("https://inpn.mnhn.fr/espece/cd_nom/521485","Bodilopsis rufa (Moll, 1782)")</f>
        <v>Bodilopsis rufa (Moll, 1782)</v>
      </c>
      <c r="AH16990" s="4" t="str">
        <f>HYPERLINK("#Statut_biogéographique!A"&amp;_xlfn.XMATCH("P",Statut_biogéographique!A:A,2,1),"P")</f>
        <v>P</v>
      </c>
      <c r="AP16990" s="4" t="s">
        <v>376</v>
      </c>
      <c r="AR16990" s="4" t="s">
        <v>377</v>
      </c>
    </row>
    <row r="16991" spans="1:44" ht="30">
      <c r="A16991" s="4" t="s">
        <v>10753</v>
      </c>
      <c r="B16991" s="4">
        <v>52149</v>
      </c>
      <c r="D16991" s="5" t="s">
        <v>20558</v>
      </c>
      <c r="E16991" s="6" t="str">
        <f>HYPERLINK("https://inpn.mnhn.fr/espece/cd_nom/52149","Panorpa germanica Linnaeus, 1758")</f>
        <v>Panorpa germanica Linnaeus, 1758</v>
      </c>
      <c r="AH16991" s="4" t="str">
        <f>HYPERLINK("#Statut_biogéographique!A"&amp;_xlfn.XMATCH("P",Statut_biogéographique!A:A,2,1),"P")</f>
        <v>P</v>
      </c>
      <c r="AP16991" s="4" t="s">
        <v>376</v>
      </c>
      <c r="AR16991" s="4" t="s">
        <v>377</v>
      </c>
    </row>
    <row r="16992" spans="1:44" ht="45">
      <c r="A16992" s="4" t="s">
        <v>10753</v>
      </c>
      <c r="B16992" s="4">
        <v>521491</v>
      </c>
      <c r="D16992" s="5" t="s">
        <v>20559</v>
      </c>
      <c r="E16992" s="6" t="str">
        <f>HYPERLINK("https://inpn.mnhn.fr/espece/cd_nom/521491","Temnothorax interruptus (Schenk, 1852)")</f>
        <v>Temnothorax interruptus (Schenk, 1852)</v>
      </c>
      <c r="AH16992" s="4" t="str">
        <f>HYPERLINK("#Statut_biogéographique!A"&amp;_xlfn.XMATCH("P",Statut_biogéographique!A:A,2,1),"P")</f>
        <v>P</v>
      </c>
      <c r="AP16992" s="4" t="s">
        <v>376</v>
      </c>
      <c r="AR16992" s="4" t="s">
        <v>377</v>
      </c>
    </row>
    <row r="16993" spans="1:44" ht="60">
      <c r="A16993" s="4" t="s">
        <v>10753</v>
      </c>
      <c r="B16993" s="4">
        <v>521494</v>
      </c>
      <c r="D16993" s="5" t="s">
        <v>20560</v>
      </c>
      <c r="E16993" s="6" t="str">
        <f>HYPERLINK("https://inpn.mnhn.fr/espece/cd_nom/521494","Aricia agestis (Denis &amp; Schiffermüller, 1775)")</f>
        <v>Aricia agestis (Denis &amp; Schiffermüller, 1775)</v>
      </c>
      <c r="F16993" s="5" t="s">
        <v>20561</v>
      </c>
      <c r="P16993" s="7" t="str">
        <f>HYPERLINK("#Liste_rouge!A"&amp;_xlfn.XMATCH("LC",Liste_rouge!A:A,2,1),"LC")</f>
        <v>LC</v>
      </c>
      <c r="Q16993" s="7" t="str">
        <f>HYPERLINK("#Liste_rouge!A"&amp;_xlfn.XMATCH("LC",Liste_rouge!A:A,2,1),"LC")</f>
        <v>LC</v>
      </c>
      <c r="T16993" s="7" t="str">
        <f>HYPERLINK("#Liste_rouge!A"&amp;_xlfn.XMATCH("LC",Liste_rouge!A:A,2,1),"LC")</f>
        <v>LC</v>
      </c>
      <c r="V16993" s="7" t="str">
        <f>HYPERLINK("#Liste_rouge!A"&amp;_xlfn.XMATCH("LC",Liste_rouge!A:A,2,1),"LC")</f>
        <v>LC</v>
      </c>
      <c r="AH16993" s="4" t="str">
        <f>HYPERLINK("#Statut_biogéographique!A"&amp;_xlfn.XMATCH("P",Statut_biogéographique!A:A,2,1),"P")</f>
        <v>P</v>
      </c>
      <c r="AM16993" s="4" t="s">
        <v>375</v>
      </c>
      <c r="AN16993" s="4" t="s">
        <v>375</v>
      </c>
      <c r="AO16993" s="4" t="s">
        <v>375</v>
      </c>
      <c r="AP16993" s="4" t="s">
        <v>376</v>
      </c>
      <c r="AR16993" s="4" t="s">
        <v>377</v>
      </c>
    </row>
    <row r="16994" spans="1:44">
      <c r="A16994" s="4" t="s">
        <v>10753</v>
      </c>
      <c r="B16994" s="4">
        <v>52150</v>
      </c>
      <c r="D16994" s="5" t="s">
        <v>20562</v>
      </c>
      <c r="E16994" s="6" t="str">
        <f>HYPERLINK("https://inpn.mnhn.fr/espece/cd_nom/52150","Panorpa vulgaris Imhoff &amp; Labram, 1845")</f>
        <v>Panorpa vulgaris Imhoff &amp; Labram, 1845</v>
      </c>
      <c r="AH16994" s="4" t="str">
        <f>HYPERLINK("#Statut_biogéographique!A"&amp;_xlfn.XMATCH("P",Statut_biogéographique!A:A,2,1),"P")</f>
        <v>P</v>
      </c>
      <c r="AP16994" s="4" t="s">
        <v>376</v>
      </c>
      <c r="AR16994" s="4" t="s">
        <v>377</v>
      </c>
    </row>
    <row r="16995" spans="1:44">
      <c r="A16995" s="4" t="s">
        <v>10753</v>
      </c>
      <c r="B16995" s="4">
        <v>521501</v>
      </c>
      <c r="D16995" s="5" t="s">
        <v>20563</v>
      </c>
      <c r="E16995" s="6" t="str">
        <f>HYPERLINK("https://inpn.mnhn.fr/espece/cd_nom/521501","Bembidion tibiale Duftschmid, 1812")</f>
        <v>Bembidion tibiale Duftschmid, 1812</v>
      </c>
      <c r="AH16995" s="4" t="str">
        <f>HYPERLINK("#Statut_biogéographique!A"&amp;_xlfn.XMATCH("P",Statut_biogéographique!A:A,2,1),"P")</f>
        <v>P</v>
      </c>
      <c r="AP16995" s="4" t="s">
        <v>376</v>
      </c>
      <c r="AR16995" s="4" t="s">
        <v>377</v>
      </c>
    </row>
    <row r="16996" spans="1:44" ht="30">
      <c r="A16996" s="4" t="s">
        <v>10753</v>
      </c>
      <c r="B16996" s="4">
        <v>521507</v>
      </c>
      <c r="D16996" s="5" t="s">
        <v>20564</v>
      </c>
      <c r="E16996" s="6" t="str">
        <f>HYPERLINK("https://inpn.mnhn.fr/espece/cd_nom/521507","Bolitochara pulchra Gravenhorst, 1806")</f>
        <v>Bolitochara pulchra Gravenhorst, 1806</v>
      </c>
      <c r="AH16996" s="4" t="str">
        <f>HYPERLINK("#Statut_biogéographique!A"&amp;_xlfn.XMATCH("P",Statut_biogéographique!A:A,2,1),"P")</f>
        <v>P</v>
      </c>
      <c r="AP16996" s="4" t="s">
        <v>376</v>
      </c>
      <c r="AR16996" s="4" t="s">
        <v>377</v>
      </c>
    </row>
    <row r="16997" spans="1:44">
      <c r="A16997" s="4" t="s">
        <v>10753</v>
      </c>
      <c r="B16997" s="4">
        <v>521537</v>
      </c>
      <c r="D16997" s="5" t="s">
        <v>20565</v>
      </c>
      <c r="E16997" s="6" t="str">
        <f>HYPERLINK("https://inpn.mnhn.fr/espece/cd_nom/521537","Pyla fusca (Haworth, 1811)")</f>
        <v>Pyla fusca (Haworth, 1811)</v>
      </c>
      <c r="AH16997" s="4" t="str">
        <f>HYPERLINK("#Statut_biogéographique!A"&amp;_xlfn.XMATCH("P",Statut_biogéographique!A:A,2,1),"P")</f>
        <v>P</v>
      </c>
      <c r="AP16997" s="4" t="s">
        <v>376</v>
      </c>
      <c r="AR16997" s="4" t="s">
        <v>377</v>
      </c>
    </row>
    <row r="16998" spans="1:44">
      <c r="A16998" s="4" t="s">
        <v>10753</v>
      </c>
      <c r="B16998" s="4">
        <v>521538</v>
      </c>
      <c r="D16998" s="5" t="s">
        <v>20566</v>
      </c>
      <c r="E16998" s="6" t="str">
        <f>HYPERLINK("https://inpn.mnhn.fr/espece/cd_nom/521538","Scopula confinaria (Herrich-Schäffer, 1847)")</f>
        <v>Scopula confinaria (Herrich-Schäffer, 1847)</v>
      </c>
      <c r="F16998" s="5" t="s">
        <v>20567</v>
      </c>
      <c r="AH16998" s="4" t="str">
        <f>HYPERLINK("#Statut_biogéographique!A"&amp;_xlfn.XMATCH("P",Statut_biogéographique!A:A,2,1),"P")</f>
        <v>P</v>
      </c>
      <c r="AP16998" s="4" t="s">
        <v>376</v>
      </c>
      <c r="AR16998" s="4" t="s">
        <v>377</v>
      </c>
    </row>
    <row r="16999" spans="1:44" ht="30">
      <c r="A16999" s="4" t="s">
        <v>10753</v>
      </c>
      <c r="B16999" s="4">
        <v>521547</v>
      </c>
      <c r="D16999" s="5" t="s">
        <v>20568</v>
      </c>
      <c r="E16999" s="6" t="str">
        <f>HYPERLINK("https://inpn.mnhn.fr/espece/cd_nom/521547","Watsonarctia deserta (Bartel, 1902)")</f>
        <v>Watsonarctia deserta (Bartel, 1902)</v>
      </c>
      <c r="F16999" s="5" t="s">
        <v>20569</v>
      </c>
      <c r="AH16999" s="4" t="str">
        <f>HYPERLINK("#Statut_biogéographique!A"&amp;_xlfn.XMATCH("P",Statut_biogéographique!A:A,2,1),"P")</f>
        <v>P</v>
      </c>
      <c r="AP16999" s="4" t="s">
        <v>376</v>
      </c>
      <c r="AR16999" s="4" t="s">
        <v>377</v>
      </c>
    </row>
    <row r="17000" spans="1:44">
      <c r="A17000" s="4" t="s">
        <v>10753</v>
      </c>
      <c r="B17000" s="4">
        <v>521549</v>
      </c>
      <c r="D17000" s="5" t="s">
        <v>20570</v>
      </c>
      <c r="E17000" s="6" t="str">
        <f>HYPERLINK("https://inpn.mnhn.fr/espece/cd_nom/521549","Dichagyris musiva (Hübner, 1803)")</f>
        <v>Dichagyris musiva (Hübner, 1803)</v>
      </c>
      <c r="F17000" s="5" t="s">
        <v>20571</v>
      </c>
      <c r="AH17000" s="4" t="str">
        <f>HYPERLINK("#Statut_biogéographique!A"&amp;_xlfn.XMATCH("P",Statut_biogéographique!A:A,2,1),"P")</f>
        <v>P</v>
      </c>
      <c r="AP17000" s="4" t="s">
        <v>376</v>
      </c>
      <c r="AR17000" s="4" t="s">
        <v>377</v>
      </c>
    </row>
    <row r="17001" spans="1:44">
      <c r="A17001" s="4" t="s">
        <v>10753</v>
      </c>
      <c r="B17001" s="4">
        <v>521553</v>
      </c>
      <c r="D17001" s="5" t="s">
        <v>20572</v>
      </c>
      <c r="E17001" s="6" t="str">
        <f>HYPERLINK("https://inpn.mnhn.fr/espece/cd_nom/521553","Bembidion geniculatum Heer, 1837")</f>
        <v>Bembidion geniculatum Heer, 1837</v>
      </c>
      <c r="AH17001" s="4" t="str">
        <f>HYPERLINK("#Statut_biogéographique!A"&amp;_xlfn.XMATCH("P",Statut_biogéographique!A:A,2,1),"P")</f>
        <v>P</v>
      </c>
      <c r="AP17001" s="4" t="s">
        <v>376</v>
      </c>
      <c r="AR17001" s="4" t="s">
        <v>377</v>
      </c>
    </row>
    <row r="17002" spans="1:44">
      <c r="A17002" s="4" t="s">
        <v>10753</v>
      </c>
      <c r="B17002" s="4">
        <v>521613</v>
      </c>
      <c r="D17002" s="5" t="s">
        <v>20573</v>
      </c>
      <c r="E17002" s="6" t="str">
        <f>HYPERLINK("https://inpn.mnhn.fr/espece/cd_nom/521613","Euconulus alderi (J.E. Gray, 1840)")</f>
        <v>Euconulus alderi (J.E. Gray, 1840)</v>
      </c>
      <c r="F17002" s="5" t="s">
        <v>20574</v>
      </c>
      <c r="Q17002" s="7" t="str">
        <f>HYPERLINK("#Liste_rouge!A"&amp;_xlfn.XMATCH("LC",Liste_rouge!A:A,2,1),"LC")</f>
        <v>LC</v>
      </c>
      <c r="AH17002" s="4" t="str">
        <f>HYPERLINK("#Statut_biogéographique!A"&amp;_xlfn.XMATCH("P",Statut_biogéographique!A:A,2,1),"P")</f>
        <v>P</v>
      </c>
      <c r="AM17002" s="4" t="s">
        <v>375</v>
      </c>
      <c r="AN17002" s="4" t="s">
        <v>375</v>
      </c>
      <c r="AO17002" s="4" t="s">
        <v>375</v>
      </c>
      <c r="AP17002" s="4" t="s">
        <v>376</v>
      </c>
      <c r="AR17002" s="4" t="s">
        <v>377</v>
      </c>
    </row>
    <row r="17003" spans="1:44">
      <c r="A17003" s="4" t="s">
        <v>10753</v>
      </c>
      <c r="B17003" s="4">
        <v>52332</v>
      </c>
      <c r="D17003" s="5" t="s">
        <v>20575</v>
      </c>
      <c r="E17003" s="6" t="str">
        <f>HYPERLINK("https://inpn.mnhn.fr/espece/cd_nom/52332","Birka cinereipes (Klug, 1816)")</f>
        <v>Birka cinereipes (Klug, 1816)</v>
      </c>
      <c r="AH17003" s="4" t="str">
        <f>HYPERLINK("#Statut_biogéographique!A"&amp;_xlfn.XMATCH("P",Statut_biogéographique!A:A,2,1),"P")</f>
        <v>P</v>
      </c>
      <c r="AP17003" s="4" t="s">
        <v>376</v>
      </c>
      <c r="AR17003" s="4" t="s">
        <v>377</v>
      </c>
    </row>
    <row r="17004" spans="1:44" ht="30">
      <c r="A17004" s="4" t="s">
        <v>10753</v>
      </c>
      <c r="B17004" s="4">
        <v>52341</v>
      </c>
      <c r="D17004" s="5" t="s">
        <v>20576</v>
      </c>
      <c r="E17004" s="6" t="str">
        <f>HYPERLINK("https://inpn.mnhn.fr/espece/cd_nom/52341","Claremontia alternipes (Klug, 1816)")</f>
        <v>Claremontia alternipes (Klug, 1816)</v>
      </c>
      <c r="AH17004" s="4" t="str">
        <f>HYPERLINK("#Statut_biogéographique!A"&amp;_xlfn.XMATCH("P",Statut_biogéographique!A:A,2,1),"P")</f>
        <v>P</v>
      </c>
      <c r="AP17004" s="4" t="s">
        <v>376</v>
      </c>
      <c r="AR17004" s="4" t="s">
        <v>377</v>
      </c>
    </row>
    <row r="17005" spans="1:44" ht="30">
      <c r="A17005" s="4" t="s">
        <v>10753</v>
      </c>
      <c r="B17005" s="4">
        <v>52350</v>
      </c>
      <c r="D17005" s="5" t="s">
        <v>20577</v>
      </c>
      <c r="E17005" s="6" t="str">
        <f>HYPERLINK("https://inpn.mnhn.fr/espece/cd_nom/52350","Corynis crassicornis (Rossi, 1790)")</f>
        <v>Corynis crassicornis (Rossi, 1790)</v>
      </c>
      <c r="AH17005" s="4" t="str">
        <f>HYPERLINK("#Statut_biogéographique!A"&amp;_xlfn.XMATCH("P",Statut_biogéographique!A:A,2,1),"P")</f>
        <v>P</v>
      </c>
      <c r="AP17005" s="4" t="s">
        <v>376</v>
      </c>
      <c r="AR17005" s="4" t="s">
        <v>377</v>
      </c>
    </row>
    <row r="17006" spans="1:44">
      <c r="A17006" s="4" t="s">
        <v>10753</v>
      </c>
      <c r="B17006" s="4">
        <v>52351</v>
      </c>
      <c r="D17006" s="5" t="s">
        <v>20578</v>
      </c>
      <c r="E17006" s="6" t="str">
        <f>HYPERLINK("https://inpn.mnhn.fr/espece/cd_nom/52351","Corynis obscura (Fabricius, 1775)")</f>
        <v>Corynis obscura (Fabricius, 1775)</v>
      </c>
      <c r="AH17006" s="4" t="str">
        <f>HYPERLINK("#Statut_biogéographique!A"&amp;_xlfn.XMATCH("P",Statut_biogéographique!A:A,2,1),"P")</f>
        <v>P</v>
      </c>
      <c r="AP17006" s="4" t="s">
        <v>376</v>
      </c>
      <c r="AR17006" s="4" t="s">
        <v>377</v>
      </c>
    </row>
    <row r="17007" spans="1:44">
      <c r="A17007" s="4" t="s">
        <v>10753</v>
      </c>
      <c r="B17007" s="4">
        <v>52359</v>
      </c>
      <c r="D17007" s="5" t="s">
        <v>20579</v>
      </c>
      <c r="E17007" s="6" t="str">
        <f>HYPERLINK("https://inpn.mnhn.fr/espece/cd_nom/52359","Dysmachus fuscipennis (Meigen, 1820)")</f>
        <v>Dysmachus fuscipennis (Meigen, 1820)</v>
      </c>
      <c r="AH17007" s="4" t="str">
        <f>HYPERLINK("#Statut_biogéographique!A"&amp;_xlfn.XMATCH("P",Statut_biogéographique!A:A,2,1),"P")</f>
        <v>P</v>
      </c>
      <c r="AP17007" s="4" t="s">
        <v>376</v>
      </c>
      <c r="AR17007" s="4" t="s">
        <v>377</v>
      </c>
    </row>
    <row r="17008" spans="1:44" ht="30">
      <c r="A17008" s="4" t="s">
        <v>10753</v>
      </c>
      <c r="B17008" s="4">
        <v>52416</v>
      </c>
      <c r="D17008" s="5" t="s">
        <v>20580</v>
      </c>
      <c r="E17008" s="6" t="str">
        <f>HYPERLINK("https://inpn.mnhn.fr/espece/cd_nom/52416","Megalodontes plagiocephalus (Fabricius, 1804)")</f>
        <v>Megalodontes plagiocephalus (Fabricius, 1804)</v>
      </c>
      <c r="AH17008" s="4" t="str">
        <f>HYPERLINK("#Statut_biogéographique!A"&amp;_xlfn.XMATCH("P",Statut_biogéographique!A:A,2,1),"P")</f>
        <v>P</v>
      </c>
      <c r="AP17008" s="4" t="s">
        <v>376</v>
      </c>
      <c r="AR17008" s="4" t="s">
        <v>377</v>
      </c>
    </row>
    <row r="17009" spans="1:44">
      <c r="A17009" s="4" t="s">
        <v>10753</v>
      </c>
      <c r="B17009" s="4">
        <v>52419</v>
      </c>
      <c r="D17009" s="5" t="s">
        <v>20581</v>
      </c>
      <c r="E17009" s="6" t="str">
        <f>HYPERLINK("https://inpn.mnhn.fr/espece/cd_nom/52419","Abia candens Konow, 1887")</f>
        <v>Abia candens Konow, 1887</v>
      </c>
      <c r="AH17009" s="4" t="str">
        <f>HYPERLINK("#Statut_biogéographique!A"&amp;_xlfn.XMATCH("P",Statut_biogéographique!A:A,2,1),"P")</f>
        <v>P</v>
      </c>
      <c r="AP17009" s="4" t="s">
        <v>376</v>
      </c>
      <c r="AR17009" s="4" t="s">
        <v>377</v>
      </c>
    </row>
    <row r="17010" spans="1:44">
      <c r="A17010" s="4" t="s">
        <v>10753</v>
      </c>
      <c r="B17010" s="4">
        <v>52420</v>
      </c>
      <c r="D17010" s="5" t="s">
        <v>20582</v>
      </c>
      <c r="E17010" s="6" t="str">
        <f>HYPERLINK("https://inpn.mnhn.fr/espece/cd_nom/52420","Abia sericea (Linnaeus, 1767)")</f>
        <v>Abia sericea (Linnaeus, 1767)</v>
      </c>
      <c r="AH17010" s="4" t="str">
        <f>HYPERLINK("#Statut_biogéographique!A"&amp;_xlfn.XMATCH("P",Statut_biogéographique!A:A,2,1),"P")</f>
        <v>P</v>
      </c>
      <c r="AP17010" s="4" t="s">
        <v>376</v>
      </c>
      <c r="AR17010" s="4" t="s">
        <v>377</v>
      </c>
    </row>
    <row r="17011" spans="1:44">
      <c r="A17011" s="4" t="s">
        <v>10753</v>
      </c>
      <c r="B17011" s="4">
        <v>52432</v>
      </c>
      <c r="D17011" s="5" t="s">
        <v>20583</v>
      </c>
      <c r="E17011" s="6" t="str">
        <f>HYPERLINK("https://inpn.mnhn.fr/espece/cd_nom/52432","Ametastegia carpini (Hartig, 1837)")</f>
        <v>Ametastegia carpini (Hartig, 1837)</v>
      </c>
      <c r="AH17011" s="4" t="str">
        <f>HYPERLINK("#Statut_biogéographique!A"&amp;_xlfn.XMATCH("P",Statut_biogéographique!A:A,2,1),"P")</f>
        <v>P</v>
      </c>
      <c r="AP17011" s="4" t="s">
        <v>376</v>
      </c>
      <c r="AR17011" s="4" t="s">
        <v>377</v>
      </c>
    </row>
    <row r="17012" spans="1:44" ht="60">
      <c r="A17012" s="4" t="s">
        <v>10753</v>
      </c>
      <c r="B17012" s="4">
        <v>52433</v>
      </c>
      <c r="D17012" s="5" t="s">
        <v>20584</v>
      </c>
      <c r="E17012" s="6" t="str">
        <f>HYPERLINK("https://inpn.mnhn.fr/espece/cd_nom/52433","Ametastegia equiseti (Fallén, 1808)")</f>
        <v>Ametastegia equiseti (Fallén, 1808)</v>
      </c>
      <c r="AH17012" s="4" t="str">
        <f>HYPERLINK("#Statut_biogéographique!A"&amp;_xlfn.XMATCH("P",Statut_biogéographique!A:A,2,1),"P")</f>
        <v>P</v>
      </c>
      <c r="AP17012" s="4" t="s">
        <v>376</v>
      </c>
      <c r="AR17012" s="4" t="s">
        <v>377</v>
      </c>
    </row>
    <row r="17013" spans="1:44" ht="30">
      <c r="A17013" s="4" t="s">
        <v>10753</v>
      </c>
      <c r="B17013" s="4">
        <v>52434</v>
      </c>
      <c r="D17013" s="5" t="s">
        <v>20585</v>
      </c>
      <c r="E17013" s="6" t="str">
        <f>HYPERLINK("https://inpn.mnhn.fr/espece/cd_nom/52434","Ametastegia glabrata (Fallén, 1808)")</f>
        <v>Ametastegia glabrata (Fallén, 1808)</v>
      </c>
      <c r="AH17013" s="4" t="str">
        <f>HYPERLINK("#Statut_biogéographique!A"&amp;_xlfn.XMATCH("P",Statut_biogéographique!A:A,2,1),"P")</f>
        <v>P</v>
      </c>
      <c r="AP17013" s="4" t="s">
        <v>376</v>
      </c>
      <c r="AR17013" s="4" t="s">
        <v>377</v>
      </c>
    </row>
    <row r="17014" spans="1:44" ht="45">
      <c r="A17014" s="4" t="s">
        <v>10753</v>
      </c>
      <c r="B17014" s="4">
        <v>52435</v>
      </c>
      <c r="D17014" s="5" t="s">
        <v>20586</v>
      </c>
      <c r="E17014" s="6" t="str">
        <f>HYPERLINK("https://inpn.mnhn.fr/espece/cd_nom/52435","Ametastegia pallipes (Spinola, 1807)")</f>
        <v>Ametastegia pallipes (Spinola, 1807)</v>
      </c>
      <c r="AH17014" s="4" t="str">
        <f>HYPERLINK("#Statut_biogéographique!A"&amp;_xlfn.XMATCH("P",Statut_biogéographique!A:A,2,1),"P")</f>
        <v>P</v>
      </c>
      <c r="AP17014" s="4" t="s">
        <v>376</v>
      </c>
      <c r="AR17014" s="4" t="s">
        <v>377</v>
      </c>
    </row>
    <row r="17015" spans="1:44">
      <c r="A17015" s="4" t="s">
        <v>10753</v>
      </c>
      <c r="B17015" s="4">
        <v>52437</v>
      </c>
      <c r="D17015" s="5">
        <v>52437</v>
      </c>
      <c r="E17015" s="6" t="str">
        <f>HYPERLINK("https://inpn.mnhn.fr/espece/cd_nom/52437","Arge berberidis Schrank, 1802")</f>
        <v>Arge berberidis Schrank, 1802</v>
      </c>
      <c r="AH17015" s="4" t="str">
        <f>HYPERLINK("#Statut_biogéographique!A"&amp;_xlfn.XMATCH("P",Statut_biogéographique!A:A,2,1),"P")</f>
        <v>P</v>
      </c>
      <c r="AP17015" s="4" t="s">
        <v>376</v>
      </c>
      <c r="AR17015" s="4" t="s">
        <v>377</v>
      </c>
    </row>
    <row r="17016" spans="1:44" ht="30">
      <c r="A17016" s="4" t="s">
        <v>10753</v>
      </c>
      <c r="B17016" s="4">
        <v>52439</v>
      </c>
      <c r="D17016" s="5" t="s">
        <v>20587</v>
      </c>
      <c r="E17016" s="6" t="str">
        <f>HYPERLINK("https://inpn.mnhn.fr/espece/cd_nom/52439","Arge ciliaris (Linnaeus, 1767)")</f>
        <v>Arge ciliaris (Linnaeus, 1767)</v>
      </c>
      <c r="AH17016" s="4" t="str">
        <f>HYPERLINK("#Statut_biogéographique!A"&amp;_xlfn.XMATCH("P",Statut_biogéographique!A:A,2,1),"P")</f>
        <v>P</v>
      </c>
      <c r="AP17016" s="4" t="s">
        <v>376</v>
      </c>
      <c r="AR17016" s="4" t="s">
        <v>377</v>
      </c>
    </row>
    <row r="17017" spans="1:44" ht="30">
      <c r="A17017" s="4" t="s">
        <v>10753</v>
      </c>
      <c r="B17017" s="4">
        <v>52440</v>
      </c>
      <c r="D17017" s="5" t="s">
        <v>20588</v>
      </c>
      <c r="E17017" s="6" t="str">
        <f>HYPERLINK("https://inpn.mnhn.fr/espece/cd_nom/52440","Arge cyanocrocea (Forster, 1771)")</f>
        <v>Arge cyanocrocea (Forster, 1771)</v>
      </c>
      <c r="AH17017" s="4" t="str">
        <f>HYPERLINK("#Statut_biogéographique!A"&amp;_xlfn.XMATCH("P",Statut_biogéographique!A:A,2,1),"P")</f>
        <v>P</v>
      </c>
      <c r="AP17017" s="4" t="s">
        <v>376</v>
      </c>
      <c r="AR17017" s="4" t="s">
        <v>377</v>
      </c>
    </row>
    <row r="17018" spans="1:44" ht="30">
      <c r="A17018" s="4" t="s">
        <v>10753</v>
      </c>
      <c r="B17018" s="4">
        <v>52441</v>
      </c>
      <c r="D17018" s="5" t="s">
        <v>20589</v>
      </c>
      <c r="E17018" s="6" t="str">
        <f>HYPERLINK("https://inpn.mnhn.fr/espece/cd_nom/52441","Arge enodis (Linnaeus, 1767)")</f>
        <v>Arge enodis (Linnaeus, 1767)</v>
      </c>
      <c r="AH17018" s="4" t="str">
        <f>HYPERLINK("#Statut_biogéographique!A"&amp;_xlfn.XMATCH("P",Statut_biogéographique!A:A,2,1),"P")</f>
        <v>P</v>
      </c>
      <c r="AP17018" s="4" t="s">
        <v>376</v>
      </c>
      <c r="AR17018" s="4" t="s">
        <v>377</v>
      </c>
    </row>
    <row r="17019" spans="1:44" ht="30">
      <c r="A17019" s="4" t="s">
        <v>10753</v>
      </c>
      <c r="B17019" s="4">
        <v>52442</v>
      </c>
      <c r="D17019" s="5" t="s">
        <v>20590</v>
      </c>
      <c r="E17019" s="6" t="str">
        <f>HYPERLINK("https://inpn.mnhn.fr/espece/cd_nom/52442","Arge gracilicornis (Klug, 1814)")</f>
        <v>Arge gracilicornis (Klug, 1814)</v>
      </c>
      <c r="F17019" s="5" t="s">
        <v>20591</v>
      </c>
      <c r="AH17019" s="4" t="str">
        <f>HYPERLINK("#Statut_biogéographique!A"&amp;_xlfn.XMATCH("P",Statut_biogéographique!A:A,2,1),"P")</f>
        <v>P</v>
      </c>
      <c r="AP17019" s="4" t="s">
        <v>376</v>
      </c>
      <c r="AR17019" s="4" t="s">
        <v>377</v>
      </c>
    </row>
    <row r="17020" spans="1:44">
      <c r="A17020" s="4" t="s">
        <v>10753</v>
      </c>
      <c r="B17020" s="4">
        <v>52444</v>
      </c>
      <c r="D17020" s="5" t="s">
        <v>20592</v>
      </c>
      <c r="E17020" s="6" t="str">
        <f>HYPERLINK("https://inpn.mnhn.fr/espece/cd_nom/52444","Arge nigripes (Retzius, 1783)")</f>
        <v>Arge nigripes (Retzius, 1783)</v>
      </c>
      <c r="AH17020" s="4" t="str">
        <f>HYPERLINK("#Statut_biogéographique!A"&amp;_xlfn.XMATCH("P",Statut_biogéographique!A:A,2,1),"P")</f>
        <v>P</v>
      </c>
      <c r="AP17020" s="4" t="s">
        <v>376</v>
      </c>
      <c r="AR17020" s="4" t="s">
        <v>377</v>
      </c>
    </row>
    <row r="17021" spans="1:44" ht="45">
      <c r="A17021" s="4" t="s">
        <v>10753</v>
      </c>
      <c r="B17021" s="4">
        <v>52448</v>
      </c>
      <c r="D17021" s="5" t="s">
        <v>20593</v>
      </c>
      <c r="E17021" s="6" t="str">
        <f>HYPERLINK("https://inpn.mnhn.fr/espece/cd_nom/52448","Arge ustulata (Linnaeus, 1758)")</f>
        <v>Arge ustulata (Linnaeus, 1758)</v>
      </c>
      <c r="F17021" s="5" t="s">
        <v>20594</v>
      </c>
      <c r="AH17021" s="4" t="str">
        <f>HYPERLINK("#Statut_biogéographique!A"&amp;_xlfn.XMATCH("P",Statut_biogéographique!A:A,2,1),"P")</f>
        <v>P</v>
      </c>
      <c r="AP17021" s="4" t="s">
        <v>376</v>
      </c>
      <c r="AR17021" s="4" t="s">
        <v>377</v>
      </c>
    </row>
    <row r="17022" spans="1:44">
      <c r="A17022" s="4" t="s">
        <v>10753</v>
      </c>
      <c r="B17022" s="4">
        <v>52452</v>
      </c>
      <c r="D17022" s="5" t="s">
        <v>20595</v>
      </c>
      <c r="E17022" s="6" t="str">
        <f>HYPERLINK("https://inpn.mnhn.fr/espece/cd_nom/52452","Athalia bicolor Audinet-Serville, 1823")</f>
        <v>Athalia bicolor Audinet-Serville, 1823</v>
      </c>
      <c r="AH17022" s="4" t="str">
        <f>HYPERLINK("#Statut_biogéographique!A"&amp;_xlfn.XMATCH("P",Statut_biogéographique!A:A,2,1),"P")</f>
        <v>P</v>
      </c>
      <c r="AP17022" s="4" t="s">
        <v>376</v>
      </c>
      <c r="AR17022" s="4" t="s">
        <v>377</v>
      </c>
    </row>
    <row r="17023" spans="1:44" ht="30">
      <c r="A17023" s="4" t="s">
        <v>10753</v>
      </c>
      <c r="B17023" s="4">
        <v>52453</v>
      </c>
      <c r="D17023" s="5" t="s">
        <v>20596</v>
      </c>
      <c r="E17023" s="6" t="str">
        <f>HYPERLINK("https://inpn.mnhn.fr/espece/cd_nom/52453","Athalia circularis (Klug, 1815)")</f>
        <v>Athalia circularis (Klug, 1815)</v>
      </c>
      <c r="AH17023" s="4" t="str">
        <f>HYPERLINK("#Statut_biogéographique!A"&amp;_xlfn.XMATCH("P",Statut_biogéographique!A:A,2,1),"P")</f>
        <v>P</v>
      </c>
      <c r="AP17023" s="4" t="s">
        <v>376</v>
      </c>
      <c r="AR17023" s="4" t="s">
        <v>377</v>
      </c>
    </row>
    <row r="17024" spans="1:44">
      <c r="A17024" s="4" t="s">
        <v>10753</v>
      </c>
      <c r="B17024" s="4">
        <v>52454</v>
      </c>
      <c r="D17024" s="5" t="s">
        <v>20597</v>
      </c>
      <c r="E17024" s="6" t="str">
        <f>HYPERLINK("https://inpn.mnhn.fr/espece/cd_nom/52454","Athalia cordata Audinet-Serville, 1823")</f>
        <v>Athalia cordata Audinet-Serville, 1823</v>
      </c>
      <c r="AH17024" s="4" t="str">
        <f>HYPERLINK("#Statut_biogéographique!A"&amp;_xlfn.XMATCH("P",Statut_biogéographique!A:A,2,1),"P")</f>
        <v>P</v>
      </c>
      <c r="AP17024" s="4" t="s">
        <v>376</v>
      </c>
      <c r="AR17024" s="4" t="s">
        <v>377</v>
      </c>
    </row>
    <row r="17025" spans="1:44">
      <c r="A17025" s="4" t="s">
        <v>10753</v>
      </c>
      <c r="B17025" s="4">
        <v>52455</v>
      </c>
      <c r="D17025" s="5" t="s">
        <v>20598</v>
      </c>
      <c r="E17025" s="6" t="str">
        <f>HYPERLINK("https://inpn.mnhn.fr/espece/cd_nom/52455","Athalia liberta (Klug, 1815)")</f>
        <v>Athalia liberta (Klug, 1815)</v>
      </c>
      <c r="AH17025" s="4" t="str">
        <f>HYPERLINK("#Statut_biogéographique!A"&amp;_xlfn.XMATCH("P",Statut_biogéographique!A:A,2,1),"P")</f>
        <v>P</v>
      </c>
      <c r="AP17025" s="4" t="s">
        <v>376</v>
      </c>
      <c r="AR17025" s="4" t="s">
        <v>377</v>
      </c>
    </row>
    <row r="17026" spans="1:44">
      <c r="A17026" s="4" t="s">
        <v>10753</v>
      </c>
      <c r="B17026" s="4">
        <v>52456</v>
      </c>
      <c r="D17026" s="5" t="s">
        <v>20599</v>
      </c>
      <c r="E17026" s="6" t="str">
        <f>HYPERLINK("https://inpn.mnhn.fr/espece/cd_nom/52456","Athalia lugens (Klug, 1815)")</f>
        <v>Athalia lugens (Klug, 1815)</v>
      </c>
      <c r="AH17026" s="4" t="str">
        <f>HYPERLINK("#Statut_biogéographique!A"&amp;_xlfn.XMATCH("P",Statut_biogéographique!A:A,2,1),"P")</f>
        <v>P</v>
      </c>
      <c r="AP17026" s="4" t="s">
        <v>376</v>
      </c>
      <c r="AR17026" s="4" t="s">
        <v>377</v>
      </c>
    </row>
    <row r="17027" spans="1:44">
      <c r="A17027" s="4" t="s">
        <v>10753</v>
      </c>
      <c r="B17027" s="4">
        <v>52457</v>
      </c>
      <c r="D17027" s="5" t="s">
        <v>20600</v>
      </c>
      <c r="E17027" s="6" t="str">
        <f>HYPERLINK("https://inpn.mnhn.fr/espece/cd_nom/52457","Athalia rosae (Linnaeus, 1758)")</f>
        <v>Athalia rosae (Linnaeus, 1758)</v>
      </c>
      <c r="F17027" s="5" t="s">
        <v>20601</v>
      </c>
      <c r="AH17027" s="4" t="str">
        <f>HYPERLINK("#Statut_biogéographique!A"&amp;_xlfn.XMATCH("P",Statut_biogéographique!A:A,2,1),"P")</f>
        <v>P</v>
      </c>
      <c r="AP17027" s="4" t="s">
        <v>376</v>
      </c>
      <c r="AR17027" s="4" t="s">
        <v>377</v>
      </c>
    </row>
    <row r="17028" spans="1:44">
      <c r="A17028" s="4" t="s">
        <v>10753</v>
      </c>
      <c r="B17028" s="4">
        <v>52461</v>
      </c>
      <c r="D17028" s="5" t="s">
        <v>20602</v>
      </c>
      <c r="E17028" s="6" t="str">
        <f>HYPERLINK("https://inpn.mnhn.fr/espece/cd_nom/52461","Caliroa annulipes (Klug, 1816)")</f>
        <v>Caliroa annulipes (Klug, 1816)</v>
      </c>
      <c r="AH17028" s="4" t="str">
        <f>HYPERLINK("#Statut_biogéographique!A"&amp;_xlfn.XMATCH("P",Statut_biogéographique!A:A,2,1),"P")</f>
        <v>P</v>
      </c>
      <c r="AP17028" s="4" t="s">
        <v>376</v>
      </c>
      <c r="AR17028" s="4" t="s">
        <v>377</v>
      </c>
    </row>
    <row r="17029" spans="1:44" ht="30">
      <c r="A17029" s="4" t="s">
        <v>10753</v>
      </c>
      <c r="B17029" s="4">
        <v>52462</v>
      </c>
      <c r="D17029" s="5" t="s">
        <v>20603</v>
      </c>
      <c r="E17029" s="6" t="str">
        <f>HYPERLINK("https://inpn.mnhn.fr/espece/cd_nom/52462","Caliroa cerasi (Linnaeus, 1758)")</f>
        <v>Caliroa cerasi (Linnaeus, 1758)</v>
      </c>
      <c r="F17029" s="5" t="s">
        <v>20604</v>
      </c>
      <c r="AH17029" s="4" t="str">
        <f>HYPERLINK("#Statut_biogéographique!A"&amp;_xlfn.XMATCH("P",Statut_biogéographique!A:A,2,1),"P")</f>
        <v>P</v>
      </c>
      <c r="AP17029" s="4" t="s">
        <v>376</v>
      </c>
      <c r="AR17029" s="4" t="s">
        <v>377</v>
      </c>
    </row>
    <row r="17030" spans="1:44">
      <c r="A17030" s="4" t="s">
        <v>10753</v>
      </c>
      <c r="B17030" s="4">
        <v>52463</v>
      </c>
      <c r="D17030" s="5">
        <v>52463</v>
      </c>
      <c r="E17030" s="6" t="str">
        <f>HYPERLINK("https://inpn.mnhn.fr/espece/cd_nom/52463","Caliroa cinxia (Klug, 1816)")</f>
        <v>Caliroa cinxia (Klug, 1816)</v>
      </c>
      <c r="AH17030" s="4" t="str">
        <f>HYPERLINK("#Statut_biogéographique!A"&amp;_xlfn.XMATCH("P",Statut_biogéographique!A:A,2,1),"P")</f>
        <v>P</v>
      </c>
      <c r="AP17030" s="4" t="s">
        <v>376</v>
      </c>
      <c r="AR17030" s="4" t="s">
        <v>377</v>
      </c>
    </row>
    <row r="17031" spans="1:44">
      <c r="A17031" s="4" t="s">
        <v>10753</v>
      </c>
      <c r="B17031" s="4">
        <v>52464</v>
      </c>
      <c r="D17031" s="5" t="s">
        <v>20605</v>
      </c>
      <c r="E17031" s="6" t="str">
        <f>HYPERLINK("https://inpn.mnhn.fr/espece/cd_nom/52464","Caliroa varipes (Klug, 1816)")</f>
        <v>Caliroa varipes (Klug, 1816)</v>
      </c>
      <c r="AH17031" s="4" t="str">
        <f>HYPERLINK("#Statut_biogéographique!A"&amp;_xlfn.XMATCH("P",Statut_biogéographique!A:A,2,1),"P")</f>
        <v>P</v>
      </c>
      <c r="AP17031" s="4" t="s">
        <v>376</v>
      </c>
      <c r="AR17031" s="4" t="s">
        <v>377</v>
      </c>
    </row>
    <row r="17032" spans="1:44" ht="45">
      <c r="A17032" s="4" t="s">
        <v>10753</v>
      </c>
      <c r="B17032" s="4">
        <v>52466</v>
      </c>
      <c r="D17032" s="5" t="s">
        <v>20606</v>
      </c>
      <c r="E17032" s="6" t="str">
        <f>HYPERLINK("https://inpn.mnhn.fr/espece/cd_nom/52466","Cladius pectinicornis (Geoffroy in Fourcroy, 1785)")</f>
        <v>Cladius pectinicornis (Geoffroy in Fourcroy, 1785)</v>
      </c>
      <c r="F17032" s="5" t="s">
        <v>20607</v>
      </c>
      <c r="AH17032" s="4" t="str">
        <f>HYPERLINK("#Statut_biogéographique!A"&amp;_xlfn.XMATCH("P",Statut_biogéographique!A:A,2,1),"P")</f>
        <v>P</v>
      </c>
      <c r="AP17032" s="4" t="s">
        <v>376</v>
      </c>
      <c r="AR17032" s="4" t="s">
        <v>377</v>
      </c>
    </row>
    <row r="17033" spans="1:44">
      <c r="A17033" s="4" t="s">
        <v>10753</v>
      </c>
      <c r="B17033" s="4">
        <v>52473</v>
      </c>
      <c r="D17033" s="5" t="s">
        <v>20608</v>
      </c>
      <c r="E17033" s="6" t="str">
        <f>HYPERLINK("https://inpn.mnhn.fr/espece/cd_nom/52473","Dolerus asper Zaddach, 1859")</f>
        <v>Dolerus asper Zaddach, 1859</v>
      </c>
      <c r="AH17033" s="4" t="str">
        <f>HYPERLINK("#Statut_biogéographique!A"&amp;_xlfn.XMATCH("P",Statut_biogéographique!A:A,2,1),"P")</f>
        <v>P</v>
      </c>
      <c r="AP17033" s="4" t="s">
        <v>376</v>
      </c>
      <c r="AR17033" s="4" t="s">
        <v>377</v>
      </c>
    </row>
    <row r="17034" spans="1:44">
      <c r="A17034" s="4" t="s">
        <v>10753</v>
      </c>
      <c r="B17034" s="4">
        <v>52474</v>
      </c>
      <c r="D17034" s="5" t="s">
        <v>20609</v>
      </c>
      <c r="E17034" s="6" t="str">
        <f>HYPERLINK("https://inpn.mnhn.fr/espece/cd_nom/52474","Dolerus cothurnatus Audinet-Serville, 1823")</f>
        <v>Dolerus cothurnatus Audinet-Serville, 1823</v>
      </c>
      <c r="AH17034" s="4" t="str">
        <f>HYPERLINK("#Statut_biogéographique!A"&amp;_xlfn.XMATCH("P",Statut_biogéographique!A:A,2,1),"P")</f>
        <v>P</v>
      </c>
      <c r="AP17034" s="4" t="s">
        <v>376</v>
      </c>
      <c r="AR17034" s="4" t="s">
        <v>377</v>
      </c>
    </row>
    <row r="17035" spans="1:44">
      <c r="A17035" s="4" t="s">
        <v>10753</v>
      </c>
      <c r="B17035" s="4">
        <v>52475</v>
      </c>
      <c r="D17035" s="5" t="s">
        <v>20610</v>
      </c>
      <c r="E17035" s="6" t="str">
        <f>HYPERLINK("https://inpn.mnhn.fr/espece/cd_nom/52475","Dolerus ferrugatus Audinet-Serville, 1823")</f>
        <v>Dolerus ferrugatus Audinet-Serville, 1823</v>
      </c>
      <c r="AH17035" s="4" t="str">
        <f>HYPERLINK("#Statut_biogéographique!A"&amp;_xlfn.XMATCH("P",Statut_biogéographique!A:A,2,1),"P")</f>
        <v>P</v>
      </c>
      <c r="AP17035" s="4" t="s">
        <v>376</v>
      </c>
      <c r="AR17035" s="4" t="s">
        <v>377</v>
      </c>
    </row>
    <row r="17036" spans="1:44">
      <c r="A17036" s="4" t="s">
        <v>10753</v>
      </c>
      <c r="B17036" s="4">
        <v>52476</v>
      </c>
      <c r="D17036" s="5" t="s">
        <v>20611</v>
      </c>
      <c r="E17036" s="6" t="str">
        <f>HYPERLINK("https://inpn.mnhn.fr/espece/cd_nom/52476","Dolerus germanicus (Fabricius, 1775)")</f>
        <v>Dolerus germanicus (Fabricius, 1775)</v>
      </c>
      <c r="AH17036" s="4" t="str">
        <f>HYPERLINK("#Statut_biogéographique!A"&amp;_xlfn.XMATCH("P",Statut_biogéographique!A:A,2,1),"P")</f>
        <v>P</v>
      </c>
      <c r="AP17036" s="4" t="s">
        <v>376</v>
      </c>
      <c r="AR17036" s="4" t="s">
        <v>377</v>
      </c>
    </row>
    <row r="17037" spans="1:44">
      <c r="A17037" s="4" t="s">
        <v>10753</v>
      </c>
      <c r="B17037" s="4">
        <v>52478</v>
      </c>
      <c r="D17037" s="5" t="s">
        <v>20612</v>
      </c>
      <c r="E17037" s="6" t="str">
        <f>HYPERLINK("https://inpn.mnhn.fr/espece/cd_nom/52478","Dolerus liogaster C.G. Thomson, 1871")</f>
        <v>Dolerus liogaster C.G. Thomson, 1871</v>
      </c>
      <c r="AH17037" s="4" t="str">
        <f>HYPERLINK("#Statut_biogéographique!A"&amp;_xlfn.XMATCH("P",Statut_biogéographique!A:A,2,1),"P")</f>
        <v>P</v>
      </c>
      <c r="AP17037" s="4" t="s">
        <v>376</v>
      </c>
      <c r="AR17037" s="4" t="s">
        <v>377</v>
      </c>
    </row>
    <row r="17038" spans="1:44">
      <c r="A17038" s="4" t="s">
        <v>10753</v>
      </c>
      <c r="B17038" s="4">
        <v>52480</v>
      </c>
      <c r="D17038" s="5" t="s">
        <v>20613</v>
      </c>
      <c r="E17038" s="6" t="str">
        <f>HYPERLINK("https://inpn.mnhn.fr/espece/cd_nom/52480","Dolerus niger (Linnaeus, 1767)")</f>
        <v>Dolerus niger (Linnaeus, 1767)</v>
      </c>
      <c r="AH17038" s="4" t="str">
        <f>HYPERLINK("#Statut_biogéographique!A"&amp;_xlfn.XMATCH("P",Statut_biogéographique!A:A,2,1),"P")</f>
        <v>P</v>
      </c>
      <c r="AP17038" s="4" t="s">
        <v>376</v>
      </c>
      <c r="AR17038" s="4" t="s">
        <v>377</v>
      </c>
    </row>
    <row r="17039" spans="1:44" ht="30">
      <c r="A17039" s="4" t="s">
        <v>10753</v>
      </c>
      <c r="B17039" s="4">
        <v>52481</v>
      </c>
      <c r="D17039" s="5" t="s">
        <v>20614</v>
      </c>
      <c r="E17039" s="6" t="str">
        <f>HYPERLINK("https://inpn.mnhn.fr/espece/cd_nom/52481","Dolerus nigratus (O.F. Müller, 1776)")</f>
        <v>Dolerus nigratus (O.F. Müller, 1776)</v>
      </c>
      <c r="AH17039" s="4" t="str">
        <f>HYPERLINK("#Statut_biogéographique!A"&amp;_xlfn.XMATCH("P",Statut_biogéographique!A:A,2,1),"P")</f>
        <v>P</v>
      </c>
      <c r="AP17039" s="4" t="s">
        <v>376</v>
      </c>
      <c r="AR17039" s="4" t="s">
        <v>377</v>
      </c>
    </row>
    <row r="17040" spans="1:44" ht="30">
      <c r="A17040" s="4" t="s">
        <v>10753</v>
      </c>
      <c r="B17040" s="4">
        <v>52482</v>
      </c>
      <c r="D17040" s="5" t="s">
        <v>20615</v>
      </c>
      <c r="E17040" s="6" t="str">
        <f>HYPERLINK("https://inpn.mnhn.fr/espece/cd_nom/52482","Dolerus picipes (Klug, 1818)")</f>
        <v>Dolerus picipes (Klug, 1818)</v>
      </c>
      <c r="AH17040" s="4" t="str">
        <f>HYPERLINK("#Statut_biogéographique!A"&amp;_xlfn.XMATCH("P",Statut_biogéographique!A:A,2,1),"P")</f>
        <v>P</v>
      </c>
      <c r="AP17040" s="4" t="s">
        <v>376</v>
      </c>
      <c r="AR17040" s="4" t="s">
        <v>377</v>
      </c>
    </row>
    <row r="17041" spans="1:44">
      <c r="A17041" s="4" t="s">
        <v>10753</v>
      </c>
      <c r="B17041" s="4">
        <v>52483</v>
      </c>
      <c r="D17041" s="5" t="s">
        <v>20616</v>
      </c>
      <c r="E17041" s="6" t="str">
        <f>HYPERLINK("https://inpn.mnhn.fr/espece/cd_nom/52483","Dolerus puncticollis C.G. Thomson, 1871")</f>
        <v>Dolerus puncticollis C.G. Thomson, 1871</v>
      </c>
      <c r="AH17041" s="4" t="str">
        <f>HYPERLINK("#Statut_biogéographique!A"&amp;_xlfn.XMATCH("P",Statut_biogéographique!A:A,2,1),"P")</f>
        <v>P</v>
      </c>
      <c r="AP17041" s="4" t="s">
        <v>376</v>
      </c>
      <c r="AR17041" s="4" t="s">
        <v>377</v>
      </c>
    </row>
    <row r="17042" spans="1:44">
      <c r="A17042" s="4" t="s">
        <v>10753</v>
      </c>
      <c r="B17042" s="4">
        <v>52489</v>
      </c>
      <c r="D17042" s="5" t="s">
        <v>20617</v>
      </c>
      <c r="E17042" s="6" t="str">
        <f>HYPERLINK("https://inpn.mnhn.fr/espece/cd_nom/52489","Heterarthrus microcephalus (Klug, 1818)")</f>
        <v>Heterarthrus microcephalus (Klug, 1818)</v>
      </c>
      <c r="AH17042" s="4" t="str">
        <f>HYPERLINK("#Statut_biogéographique!A"&amp;_xlfn.XMATCH("P",Statut_biogéographique!A:A,2,1),"P")</f>
        <v>P</v>
      </c>
      <c r="AP17042" s="4" t="s">
        <v>376</v>
      </c>
      <c r="AR17042" s="4" t="s">
        <v>377</v>
      </c>
    </row>
    <row r="17043" spans="1:44" ht="30">
      <c r="A17043" s="4" t="s">
        <v>10753</v>
      </c>
      <c r="B17043" s="4">
        <v>52491</v>
      </c>
      <c r="D17043" s="5" t="s">
        <v>20618</v>
      </c>
      <c r="E17043" s="6" t="str">
        <f>HYPERLINK("https://inpn.mnhn.fr/espece/cd_nom/52491","Heterarthrus vagans (Fallén, 1808)")</f>
        <v>Heterarthrus vagans (Fallén, 1808)</v>
      </c>
      <c r="AH17043" s="4" t="str">
        <f>HYPERLINK("#Statut_biogéographique!A"&amp;_xlfn.XMATCH("P",Statut_biogéographique!A:A,2,1),"P")</f>
        <v>P</v>
      </c>
      <c r="AP17043" s="4" t="s">
        <v>376</v>
      </c>
      <c r="AR17043" s="4" t="s">
        <v>377</v>
      </c>
    </row>
    <row r="17044" spans="1:44" ht="30">
      <c r="A17044" s="4" t="s">
        <v>10753</v>
      </c>
      <c r="B17044" s="4">
        <v>52498</v>
      </c>
      <c r="D17044" s="5" t="s">
        <v>20619</v>
      </c>
      <c r="E17044" s="6" t="str">
        <f>HYPERLINK("https://inpn.mnhn.fr/espece/cd_nom/52498","Empria liturata (Gmelin, 1790)")</f>
        <v>Empria liturata (Gmelin, 1790)</v>
      </c>
      <c r="AH17044" s="4" t="str">
        <f>HYPERLINK("#Statut_biogéographique!A"&amp;_xlfn.XMATCH("P",Statut_biogéographique!A:A,2,1),"P")</f>
        <v>P</v>
      </c>
      <c r="AP17044" s="4" t="s">
        <v>376</v>
      </c>
      <c r="AR17044" s="4" t="s">
        <v>377</v>
      </c>
    </row>
    <row r="17045" spans="1:44" ht="30">
      <c r="A17045" s="4" t="s">
        <v>10753</v>
      </c>
      <c r="B17045" s="4">
        <v>52501</v>
      </c>
      <c r="D17045" s="5" t="s">
        <v>20620</v>
      </c>
      <c r="E17045" s="6" t="str">
        <f>HYPERLINK("https://inpn.mnhn.fr/espece/cd_nom/52501","Monostegia abdominalis (Fabricius, 1798)")</f>
        <v>Monostegia abdominalis (Fabricius, 1798)</v>
      </c>
      <c r="AH17045" s="4" t="str">
        <f>HYPERLINK("#Statut_biogéographique!A"&amp;_xlfn.XMATCH("P",Statut_biogéographique!A:A,2,1),"P")</f>
        <v>P</v>
      </c>
      <c r="AP17045" s="4" t="s">
        <v>376</v>
      </c>
      <c r="AR17045" s="4" t="s">
        <v>377</v>
      </c>
    </row>
    <row r="17046" spans="1:44" ht="30">
      <c r="A17046" s="4" t="s">
        <v>10753</v>
      </c>
      <c r="B17046" s="4">
        <v>52503</v>
      </c>
      <c r="D17046" s="5" t="s">
        <v>20621</v>
      </c>
      <c r="E17046" s="6" t="str">
        <f>HYPERLINK("https://inpn.mnhn.fr/espece/cd_nom/52503","Eriocampa ovata (Linnaeus, 1761)")</f>
        <v>Eriocampa ovata (Linnaeus, 1761)</v>
      </c>
      <c r="F17046" s="5" t="s">
        <v>20622</v>
      </c>
      <c r="AH17046" s="4" t="str">
        <f>HYPERLINK("#Statut_biogéographique!A"&amp;_xlfn.XMATCH("P",Statut_biogéographique!A:A,2,1),"P")</f>
        <v>P</v>
      </c>
      <c r="AP17046" s="4" t="s">
        <v>376</v>
      </c>
      <c r="AR17046" s="4" t="s">
        <v>377</v>
      </c>
    </row>
    <row r="17047" spans="1:44" ht="30">
      <c r="A17047" s="4" t="s">
        <v>10753</v>
      </c>
      <c r="B17047" s="4">
        <v>52506</v>
      </c>
      <c r="D17047" s="5" t="s">
        <v>20623</v>
      </c>
      <c r="E17047" s="6" t="str">
        <f>HYPERLINK("https://inpn.mnhn.fr/espece/cd_nom/52506","Euura atra (Jurine, 1807)")</f>
        <v>Euura atra (Jurine, 1807)</v>
      </c>
      <c r="AH17047" s="4" t="str">
        <f>HYPERLINK("#Statut_biogéographique!A"&amp;_xlfn.XMATCH("P",Statut_biogéographique!A:A,2,1),"P")</f>
        <v>P</v>
      </c>
      <c r="AP17047" s="4" t="s">
        <v>376</v>
      </c>
      <c r="AR17047" s="4" t="s">
        <v>377</v>
      </c>
    </row>
    <row r="17048" spans="1:44" ht="30">
      <c r="A17048" s="4" t="s">
        <v>10753</v>
      </c>
      <c r="B17048" s="4">
        <v>52507</v>
      </c>
      <c r="D17048" s="5" t="s">
        <v>20624</v>
      </c>
      <c r="E17048" s="6" t="str">
        <f>HYPERLINK("https://inpn.mnhn.fr/espece/cd_nom/52507","Euura mucronata (Hartig, 1837)")</f>
        <v>Euura mucronata (Hartig, 1837)</v>
      </c>
      <c r="AH17048" s="4" t="str">
        <f>HYPERLINK("#Statut_biogéographique!A"&amp;_xlfn.XMATCH("P",Statut_biogéographique!A:A,2,1),"P")</f>
        <v>P</v>
      </c>
      <c r="AP17048" s="4" t="s">
        <v>376</v>
      </c>
      <c r="AR17048" s="4" t="s">
        <v>377</v>
      </c>
    </row>
    <row r="17049" spans="1:44">
      <c r="A17049" s="4" t="s">
        <v>10753</v>
      </c>
      <c r="B17049" s="4">
        <v>52513</v>
      </c>
      <c r="D17049" s="5">
        <v>52513</v>
      </c>
      <c r="E17049" s="6" t="str">
        <f>HYPERLINK("https://inpn.mnhn.fr/espece/cd_nom/52513","Pristiphora confusa Lindqvist, 1955")</f>
        <v>Pristiphora confusa Lindqvist, 1955</v>
      </c>
      <c r="AH17049" s="4" t="str">
        <f>HYPERLINK("#Statut_biogéographique!A"&amp;_xlfn.XMATCH("P",Statut_biogéographique!A:A,2,1),"P")</f>
        <v>P</v>
      </c>
      <c r="AP17049" s="4" t="s">
        <v>376</v>
      </c>
      <c r="AR17049" s="4" t="s">
        <v>377</v>
      </c>
    </row>
    <row r="17050" spans="1:44" ht="45">
      <c r="A17050" s="4" t="s">
        <v>10753</v>
      </c>
      <c r="B17050" s="4">
        <v>52516</v>
      </c>
      <c r="D17050" s="5" t="s">
        <v>20625</v>
      </c>
      <c r="E17050" s="6" t="str">
        <f>HYPERLINK("https://inpn.mnhn.fr/espece/cd_nom/52516","Pristiphora pallidiventris (Fallén, 1808)")</f>
        <v>Pristiphora pallidiventris (Fallén, 1808)</v>
      </c>
      <c r="AH17050" s="4" t="str">
        <f>HYPERLINK("#Statut_biogéographique!A"&amp;_xlfn.XMATCH("P",Statut_biogéographique!A:A,2,1),"P")</f>
        <v>P</v>
      </c>
      <c r="AP17050" s="4" t="s">
        <v>376</v>
      </c>
      <c r="AR17050" s="4" t="s">
        <v>377</v>
      </c>
    </row>
    <row r="17051" spans="1:44" ht="45">
      <c r="A17051" s="4" t="s">
        <v>10753</v>
      </c>
      <c r="B17051" s="4">
        <v>52520</v>
      </c>
      <c r="D17051" s="5" t="s">
        <v>20626</v>
      </c>
      <c r="E17051" s="6" t="str">
        <f>HYPERLINK("https://inpn.mnhn.fr/espece/cd_nom/52520","Macrophya albicincta (Schrank, 1776)")</f>
        <v>Macrophya albicincta (Schrank, 1776)</v>
      </c>
      <c r="F17051" s="5" t="s">
        <v>20627</v>
      </c>
      <c r="AH17051" s="4" t="str">
        <f>HYPERLINK("#Statut_biogéographique!A"&amp;_xlfn.XMATCH("P",Statut_biogéographique!A:A,2,1),"P")</f>
        <v>P</v>
      </c>
      <c r="AP17051" s="4" t="s">
        <v>376</v>
      </c>
      <c r="AR17051" s="4" t="s">
        <v>377</v>
      </c>
    </row>
    <row r="17052" spans="1:44" ht="30">
      <c r="A17052" s="4" t="s">
        <v>10753</v>
      </c>
      <c r="B17052" s="4">
        <v>52521</v>
      </c>
      <c r="D17052" s="5" t="s">
        <v>20628</v>
      </c>
      <c r="E17052" s="6" t="str">
        <f>HYPERLINK("https://inpn.mnhn.fr/espece/cd_nom/52521","Macrophya annulata (Geoffroy in Fourcroy, 1785)")</f>
        <v>Macrophya annulata (Geoffroy in Fourcroy, 1785)</v>
      </c>
      <c r="F17052" s="5" t="s">
        <v>20629</v>
      </c>
      <c r="AH17052" s="4" t="str">
        <f>HYPERLINK("#Statut_biogéographique!A"&amp;_xlfn.XMATCH("P",Statut_biogéographique!A:A,2,1),"P")</f>
        <v>P</v>
      </c>
      <c r="AP17052" s="4" t="s">
        <v>376</v>
      </c>
      <c r="AR17052" s="4" t="s">
        <v>377</v>
      </c>
    </row>
    <row r="17053" spans="1:44" ht="45">
      <c r="A17053" s="4" t="s">
        <v>10753</v>
      </c>
      <c r="B17053" s="4">
        <v>52522</v>
      </c>
      <c r="D17053" s="5" t="s">
        <v>20630</v>
      </c>
      <c r="E17053" s="6" t="str">
        <f>HYPERLINK("https://inpn.mnhn.fr/espece/cd_nom/52522","Macrophya diversipes (Schrank, 1782)")</f>
        <v>Macrophya diversipes (Schrank, 1782)</v>
      </c>
      <c r="AH17053" s="4" t="str">
        <f>HYPERLINK("#Statut_biogéographique!A"&amp;_xlfn.XMATCH("P",Statut_biogéographique!A:A,2,1),"P")</f>
        <v>P</v>
      </c>
      <c r="AP17053" s="4" t="s">
        <v>376</v>
      </c>
      <c r="AR17053" s="4" t="s">
        <v>377</v>
      </c>
    </row>
    <row r="17054" spans="1:44" ht="30">
      <c r="A17054" s="4" t="s">
        <v>10753</v>
      </c>
      <c r="B17054" s="4">
        <v>52523</v>
      </c>
      <c r="D17054" s="5" t="s">
        <v>20631</v>
      </c>
      <c r="E17054" s="6" t="str">
        <f>HYPERLINK("https://inpn.mnhn.fr/espece/cd_nom/52523","Macrophya duodecimpunctata (Linnaeus, 1758)")</f>
        <v>Macrophya duodecimpunctata (Linnaeus, 1758)</v>
      </c>
      <c r="AH17054" s="4" t="str">
        <f>HYPERLINK("#Statut_biogéographique!A"&amp;_xlfn.XMATCH("P",Statut_biogéographique!A:A,2,1),"P")</f>
        <v>P</v>
      </c>
      <c r="AP17054" s="4" t="s">
        <v>376</v>
      </c>
      <c r="AR17054" s="4" t="s">
        <v>377</v>
      </c>
    </row>
    <row r="17055" spans="1:44" ht="45">
      <c r="A17055" s="4" t="s">
        <v>10753</v>
      </c>
      <c r="B17055" s="4">
        <v>52524</v>
      </c>
      <c r="D17055" s="5" t="s">
        <v>20632</v>
      </c>
      <c r="E17055" s="6" t="str">
        <f>HYPERLINK("https://inpn.mnhn.fr/espece/cd_nom/52524","Macrophya montana (Scopoli, 1763)")</f>
        <v>Macrophya montana (Scopoli, 1763)</v>
      </c>
      <c r="F17055" s="5" t="s">
        <v>20633</v>
      </c>
      <c r="AH17055" s="4" t="str">
        <f>HYPERLINK("#Statut_biogéographique!A"&amp;_xlfn.XMATCH("P",Statut_biogéographique!A:A,2,1),"P")</f>
        <v>P</v>
      </c>
      <c r="AP17055" s="4" t="s">
        <v>376</v>
      </c>
      <c r="AR17055" s="4" t="s">
        <v>377</v>
      </c>
    </row>
    <row r="17056" spans="1:44">
      <c r="A17056" s="4" t="s">
        <v>10753</v>
      </c>
      <c r="B17056" s="4">
        <v>52526</v>
      </c>
      <c r="D17056" s="5" t="s">
        <v>20634</v>
      </c>
      <c r="E17056" s="6" t="str">
        <f>HYPERLINK("https://inpn.mnhn.fr/espece/cd_nom/52526","Macrophya ribis (Schrank, 1781)")</f>
        <v>Macrophya ribis (Schrank, 1781)</v>
      </c>
      <c r="AH17056" s="4" t="str">
        <f>HYPERLINK("#Statut_biogéographique!A"&amp;_xlfn.XMATCH("P",Statut_biogéographique!A:A,2,1),"P")</f>
        <v>P</v>
      </c>
      <c r="AP17056" s="4" t="s">
        <v>376</v>
      </c>
      <c r="AR17056" s="4" t="s">
        <v>377</v>
      </c>
    </row>
    <row r="17057" spans="1:44" ht="30">
      <c r="A17057" s="4" t="s">
        <v>10753</v>
      </c>
      <c r="B17057" s="4">
        <v>52527</v>
      </c>
      <c r="D17057" s="5" t="s">
        <v>20635</v>
      </c>
      <c r="E17057" s="6" t="str">
        <f>HYPERLINK("https://inpn.mnhn.fr/espece/cd_nom/52527","Macrophya rufipes (Linnaeus, 1758)")</f>
        <v>Macrophya rufipes (Linnaeus, 1758)</v>
      </c>
      <c r="F17057" s="5" t="s">
        <v>20636</v>
      </c>
      <c r="AH17057" s="4" t="str">
        <f>HYPERLINK("#Statut_biogéographique!A"&amp;_xlfn.XMATCH("P",Statut_biogéographique!A:A,2,1),"P")</f>
        <v>P</v>
      </c>
      <c r="AP17057" s="4" t="s">
        <v>376</v>
      </c>
      <c r="AR17057" s="4" t="s">
        <v>377</v>
      </c>
    </row>
    <row r="17058" spans="1:44">
      <c r="A17058" s="4" t="s">
        <v>10753</v>
      </c>
      <c r="B17058" s="4">
        <v>52532</v>
      </c>
      <c r="D17058" s="5" t="s">
        <v>20637</v>
      </c>
      <c r="E17058" s="6" t="str">
        <f>HYPERLINK("https://inpn.mnhn.fr/espece/cd_nom/52532","Metallus pumilus (Klug, 1816)")</f>
        <v>Metallus pumilus (Klug, 1816)</v>
      </c>
      <c r="AH17058" s="4" t="str">
        <f>HYPERLINK("#Statut_biogéographique!A"&amp;_xlfn.XMATCH("P",Statut_biogéographique!A:A,2,1),"P")</f>
        <v>P</v>
      </c>
      <c r="AP17058" s="4" t="s">
        <v>376</v>
      </c>
      <c r="AR17058" s="4" t="s">
        <v>377</v>
      </c>
    </row>
    <row r="17059" spans="1:44">
      <c r="A17059" s="4" t="s">
        <v>10753</v>
      </c>
      <c r="B17059" s="4">
        <v>52536</v>
      </c>
      <c r="D17059" s="5" t="s">
        <v>20638</v>
      </c>
      <c r="E17059" s="6" t="str">
        <f>HYPERLINK("https://inpn.mnhn.fr/espece/cd_nom/52536","Profenusa pygmaea (Klug, 1816)")</f>
        <v>Profenusa pygmaea (Klug, 1816)</v>
      </c>
      <c r="AH17059" s="4" t="str">
        <f>HYPERLINK("#Statut_biogéographique!A"&amp;_xlfn.XMATCH("P",Statut_biogéographique!A:A,2,1),"P")</f>
        <v>P</v>
      </c>
      <c r="AP17059" s="4" t="s">
        <v>376</v>
      </c>
      <c r="AR17059" s="4" t="s">
        <v>377</v>
      </c>
    </row>
    <row r="17060" spans="1:44">
      <c r="A17060" s="4" t="s">
        <v>10753</v>
      </c>
      <c r="B17060" s="4">
        <v>52538</v>
      </c>
      <c r="D17060" s="5" t="s">
        <v>20639</v>
      </c>
      <c r="E17060" s="6" t="str">
        <f>HYPERLINK("https://inpn.mnhn.fr/espece/cd_nom/52538","Fenusa dohrnii (Tischbein, 1846)")</f>
        <v>Fenusa dohrnii (Tischbein, 1846)</v>
      </c>
      <c r="AH17060" s="4" t="str">
        <f>HYPERLINK("#Statut_biogéographique!A"&amp;_xlfn.XMATCH("P",Statut_biogéographique!A:A,2,1),"P")</f>
        <v>P</v>
      </c>
      <c r="AP17060" s="4" t="s">
        <v>376</v>
      </c>
      <c r="AR17060" s="4" t="s">
        <v>377</v>
      </c>
    </row>
    <row r="17061" spans="1:44">
      <c r="A17061" s="4" t="s">
        <v>10753</v>
      </c>
      <c r="B17061" s="4">
        <v>52539</v>
      </c>
      <c r="D17061" s="5" t="s">
        <v>20640</v>
      </c>
      <c r="E17061" s="6" t="str">
        <f>HYPERLINK("https://inpn.mnhn.fr/espece/cd_nom/52539","Fenusa pumila Leach, 1817")</f>
        <v>Fenusa pumila Leach, 1817</v>
      </c>
      <c r="AH17061" s="4" t="str">
        <f>HYPERLINK("#Statut_biogéographique!A"&amp;_xlfn.XMATCH("P",Statut_biogéographique!A:A,2,1),"P")</f>
        <v>P</v>
      </c>
      <c r="AP17061" s="4" t="s">
        <v>376</v>
      </c>
      <c r="AR17061" s="4" t="s">
        <v>377</v>
      </c>
    </row>
    <row r="17062" spans="1:44">
      <c r="A17062" s="4" t="s">
        <v>10753</v>
      </c>
      <c r="B17062" s="4">
        <v>52544</v>
      </c>
      <c r="D17062" s="5" t="s">
        <v>20641</v>
      </c>
      <c r="E17062" s="6" t="str">
        <f>HYPERLINK("https://inpn.mnhn.fr/espece/cd_nom/52544","Nematus lucidus (Panzer, 1801)")</f>
        <v>Nematus lucidus (Panzer, 1801)</v>
      </c>
      <c r="AH17062" s="4" t="str">
        <f>HYPERLINK("#Statut_biogéographique!A"&amp;_xlfn.XMATCH("P",Statut_biogéographique!A:A,2,1),"P")</f>
        <v>P</v>
      </c>
      <c r="AP17062" s="4" t="s">
        <v>376</v>
      </c>
      <c r="AR17062" s="4" t="s">
        <v>377</v>
      </c>
    </row>
    <row r="17063" spans="1:44">
      <c r="A17063" s="4" t="s">
        <v>10753</v>
      </c>
      <c r="B17063" s="4">
        <v>52554</v>
      </c>
      <c r="D17063" s="5" t="s">
        <v>20642</v>
      </c>
      <c r="E17063" s="6" t="str">
        <f>HYPERLINK("https://inpn.mnhn.fr/espece/cd_nom/52554","Pachyprotasis antennata (Klug, 1817)")</f>
        <v>Pachyprotasis antennata (Klug, 1817)</v>
      </c>
      <c r="AH17063" s="4" t="str">
        <f>HYPERLINK("#Statut_biogéographique!A"&amp;_xlfn.XMATCH("P",Statut_biogéographique!A:A,2,1),"P")</f>
        <v>P</v>
      </c>
      <c r="AP17063" s="4" t="s">
        <v>376</v>
      </c>
      <c r="AR17063" s="4" t="s">
        <v>377</v>
      </c>
    </row>
    <row r="17064" spans="1:44" ht="30">
      <c r="A17064" s="4" t="s">
        <v>10753</v>
      </c>
      <c r="B17064" s="4">
        <v>52555</v>
      </c>
      <c r="D17064" s="5" t="s">
        <v>20643</v>
      </c>
      <c r="E17064" s="6" t="str">
        <f>HYPERLINK("https://inpn.mnhn.fr/espece/cd_nom/52555","Pachyprotasis rapae (Linnaeus, 1767)")</f>
        <v>Pachyprotasis rapae (Linnaeus, 1767)</v>
      </c>
      <c r="AH17064" s="4" t="str">
        <f>HYPERLINK("#Statut_biogéographique!A"&amp;_xlfn.XMATCH("P",Statut_biogéographique!A:A,2,1),"P")</f>
        <v>P</v>
      </c>
      <c r="AP17064" s="4" t="s">
        <v>376</v>
      </c>
      <c r="AR17064" s="4" t="s">
        <v>377</v>
      </c>
    </row>
    <row r="17065" spans="1:44" ht="30">
      <c r="A17065" s="4" t="s">
        <v>10753</v>
      </c>
      <c r="B17065" s="4">
        <v>52568</v>
      </c>
      <c r="D17065" s="5" t="s">
        <v>20644</v>
      </c>
      <c r="E17065" s="6" t="str">
        <f>HYPERLINK("https://inpn.mnhn.fr/espece/cd_nom/52568","Priophorus brullei Dahlbom, 1835")</f>
        <v>Priophorus brullei Dahlbom, 1835</v>
      </c>
      <c r="AH17065" s="4" t="str">
        <f>HYPERLINK("#Statut_biogéographique!A"&amp;_xlfn.XMATCH("P",Statut_biogéographique!A:A,2,1),"P")</f>
        <v>P</v>
      </c>
      <c r="AP17065" s="4" t="s">
        <v>376</v>
      </c>
      <c r="AR17065" s="4" t="s">
        <v>377</v>
      </c>
    </row>
    <row r="17066" spans="1:44">
      <c r="A17066" s="4" t="s">
        <v>10753</v>
      </c>
      <c r="B17066" s="4">
        <v>52579</v>
      </c>
      <c r="D17066" s="5" t="s">
        <v>20645</v>
      </c>
      <c r="E17066" s="6" t="str">
        <f>HYPERLINK("https://inpn.mnhn.fr/espece/cd_nom/52579","Rhogogaster punctulata (Klug, 1817)")</f>
        <v>Rhogogaster punctulata (Klug, 1817)</v>
      </c>
      <c r="AH17066" s="4" t="str">
        <f>HYPERLINK("#Statut_biogéographique!A"&amp;_xlfn.XMATCH("P",Statut_biogéographique!A:A,2,1),"P")</f>
        <v>P</v>
      </c>
      <c r="AP17066" s="4" t="s">
        <v>376</v>
      </c>
      <c r="AR17066" s="4" t="s">
        <v>377</v>
      </c>
    </row>
    <row r="17067" spans="1:44" ht="45">
      <c r="A17067" s="4" t="s">
        <v>10753</v>
      </c>
      <c r="B17067" s="4">
        <v>52580</v>
      </c>
      <c r="D17067" s="5" t="s">
        <v>20646</v>
      </c>
      <c r="E17067" s="6" t="str">
        <f>HYPERLINK("https://inpn.mnhn.fr/espece/cd_nom/52580","Rhogogaster viridis (Linnaeus, 1758)")</f>
        <v>Rhogogaster viridis (Linnaeus, 1758)</v>
      </c>
      <c r="AH17067" s="4" t="str">
        <f>HYPERLINK("#Statut_biogéographique!A"&amp;_xlfn.XMATCH("P",Statut_biogéographique!A:A,2,1),"P")</f>
        <v>P</v>
      </c>
      <c r="AP17067" s="4" t="s">
        <v>376</v>
      </c>
      <c r="AR17067" s="4" t="s">
        <v>377</v>
      </c>
    </row>
    <row r="17068" spans="1:44" ht="45">
      <c r="A17068" s="4" t="s">
        <v>10753</v>
      </c>
      <c r="B17068" s="4">
        <v>52582</v>
      </c>
      <c r="D17068" s="5" t="s">
        <v>20647</v>
      </c>
      <c r="E17068" s="6" t="str">
        <f>HYPERLINK("https://inpn.mnhn.fr/espece/cd_nom/52582","Selandria serva (Fabricius, 1793)")</f>
        <v>Selandria serva (Fabricius, 1793)</v>
      </c>
      <c r="AH17068" s="4" t="str">
        <f>HYPERLINK("#Statut_biogéographique!A"&amp;_xlfn.XMATCH("P",Statut_biogéographique!A:A,2,1),"P")</f>
        <v>P</v>
      </c>
      <c r="AP17068" s="4" t="s">
        <v>376</v>
      </c>
      <c r="AR17068" s="4" t="s">
        <v>377</v>
      </c>
    </row>
    <row r="17069" spans="1:44" ht="30">
      <c r="A17069" s="4" t="s">
        <v>10753</v>
      </c>
      <c r="B17069" s="4">
        <v>52586</v>
      </c>
      <c r="D17069" s="5" t="s">
        <v>20648</v>
      </c>
      <c r="E17069" s="6" t="str">
        <f>HYPERLINK("https://inpn.mnhn.fr/espece/cd_nom/52586","Aneugmenus coronatus (Klug, 1818)")</f>
        <v>Aneugmenus coronatus (Klug, 1818)</v>
      </c>
      <c r="AH17069" s="4" t="str">
        <f>HYPERLINK("#Statut_biogéographique!A"&amp;_xlfn.XMATCH("P",Statut_biogéographique!A:A,2,1),"P")</f>
        <v>P</v>
      </c>
      <c r="AP17069" s="4" t="s">
        <v>376</v>
      </c>
      <c r="AR17069" s="4" t="s">
        <v>377</v>
      </c>
    </row>
    <row r="17070" spans="1:44" ht="30">
      <c r="A17070" s="4" t="s">
        <v>10753</v>
      </c>
      <c r="B17070" s="4">
        <v>52587</v>
      </c>
      <c r="D17070" s="5" t="s">
        <v>20649</v>
      </c>
      <c r="E17070" s="6" t="str">
        <f>HYPERLINK("https://inpn.mnhn.fr/espece/cd_nom/52587","Aneugmenus padi (Linnaeus, 1761)")</f>
        <v>Aneugmenus padi (Linnaeus, 1761)</v>
      </c>
      <c r="AH17070" s="4" t="str">
        <f>HYPERLINK("#Statut_biogéographique!A"&amp;_xlfn.XMATCH("P",Statut_biogéographique!A:A,2,1),"P")</f>
        <v>P</v>
      </c>
      <c r="AP17070" s="4" t="s">
        <v>376</v>
      </c>
      <c r="AR17070" s="4" t="s">
        <v>377</v>
      </c>
    </row>
    <row r="17071" spans="1:44">
      <c r="A17071" s="4" t="s">
        <v>10753</v>
      </c>
      <c r="B17071" s="4">
        <v>52595</v>
      </c>
      <c r="D17071" s="5" t="s">
        <v>20650</v>
      </c>
      <c r="E17071" s="6" t="str">
        <f>HYPERLINK("https://inpn.mnhn.fr/espece/cd_nom/52595","Tenthredo arcuata Förster, 1771")</f>
        <v>Tenthredo arcuata Förster, 1771</v>
      </c>
      <c r="AH17071" s="4" t="str">
        <f>HYPERLINK("#Statut_biogéographique!A"&amp;_xlfn.XMATCH("P",Statut_biogéographique!A:A,2,1),"P")</f>
        <v>P</v>
      </c>
      <c r="AP17071" s="4" t="s">
        <v>376</v>
      </c>
      <c r="AR17071" s="4" t="s">
        <v>377</v>
      </c>
    </row>
    <row r="17072" spans="1:44" ht="60">
      <c r="A17072" s="4" t="s">
        <v>10753</v>
      </c>
      <c r="B17072" s="4">
        <v>52597</v>
      </c>
      <c r="D17072" s="5" t="s">
        <v>20651</v>
      </c>
      <c r="E17072" s="6" t="str">
        <f>HYPERLINK("https://inpn.mnhn.fr/espece/cd_nom/52597","Tenthredo atra Linnaeus, 1758")</f>
        <v>Tenthredo atra Linnaeus, 1758</v>
      </c>
      <c r="F17072" s="5" t="s">
        <v>20652</v>
      </c>
      <c r="AH17072" s="4" t="str">
        <f>HYPERLINK("#Statut_biogéographique!A"&amp;_xlfn.XMATCH("P",Statut_biogéographique!A:A,2,1),"P")</f>
        <v>P</v>
      </c>
      <c r="AP17072" s="4" t="s">
        <v>376</v>
      </c>
      <c r="AR17072" s="4" t="s">
        <v>377</v>
      </c>
    </row>
    <row r="17073" spans="1:44" ht="30">
      <c r="A17073" s="4" t="s">
        <v>10753</v>
      </c>
      <c r="B17073" s="4">
        <v>52599</v>
      </c>
      <c r="D17073" s="5" t="s">
        <v>20653</v>
      </c>
      <c r="E17073" s="6" t="str">
        <f>HYPERLINK("https://inpn.mnhn.fr/espece/cd_nom/52599","Tenthredo colon Klug, 1817")</f>
        <v>Tenthredo colon Klug, 1817</v>
      </c>
      <c r="AH17073" s="4" t="str">
        <f>HYPERLINK("#Statut_biogéographique!A"&amp;_xlfn.XMATCH("P",Statut_biogéographique!A:A,2,1),"P")</f>
        <v>P</v>
      </c>
      <c r="AP17073" s="4" t="s">
        <v>376</v>
      </c>
      <c r="AR17073" s="4" t="s">
        <v>377</v>
      </c>
    </row>
    <row r="17074" spans="1:44" ht="45">
      <c r="A17074" s="4" t="s">
        <v>10753</v>
      </c>
      <c r="B17074" s="4">
        <v>52601</v>
      </c>
      <c r="D17074" s="5" t="s">
        <v>20654</v>
      </c>
      <c r="E17074" s="6" t="str">
        <f>HYPERLINK("https://inpn.mnhn.fr/espece/cd_nom/52601","Tenthredo ferruginea Schrank, 1776")</f>
        <v>Tenthredo ferruginea Schrank, 1776</v>
      </c>
      <c r="AH17074" s="4" t="str">
        <f>HYPERLINK("#Statut_biogéographique!A"&amp;_xlfn.XMATCH("P",Statut_biogéographique!A:A,2,1),"P")</f>
        <v>P</v>
      </c>
      <c r="AP17074" s="4" t="s">
        <v>376</v>
      </c>
      <c r="AR17074" s="4" t="s">
        <v>377</v>
      </c>
    </row>
    <row r="17075" spans="1:44" ht="45">
      <c r="A17075" s="4" t="s">
        <v>10753</v>
      </c>
      <c r="B17075" s="4">
        <v>52602</v>
      </c>
      <c r="D17075" s="5" t="s">
        <v>20655</v>
      </c>
      <c r="E17075" s="6" t="str">
        <f>HYPERLINK("https://inpn.mnhn.fr/espece/cd_nom/52602","Tenthredo livida Linnaeus, 1758")</f>
        <v>Tenthredo livida Linnaeus, 1758</v>
      </c>
      <c r="F17075" s="5" t="s">
        <v>20656</v>
      </c>
      <c r="AH17075" s="4" t="str">
        <f>HYPERLINK("#Statut_biogéographique!A"&amp;_xlfn.XMATCH("P",Statut_biogéographique!A:A,2,1),"P")</f>
        <v>P</v>
      </c>
      <c r="AP17075" s="4" t="s">
        <v>376</v>
      </c>
      <c r="AR17075" s="4" t="s">
        <v>377</v>
      </c>
    </row>
    <row r="17076" spans="1:44" ht="30">
      <c r="A17076" s="4" t="s">
        <v>10753</v>
      </c>
      <c r="B17076" s="4">
        <v>52603</v>
      </c>
      <c r="D17076" s="5">
        <v>52603</v>
      </c>
      <c r="E17076" s="6" t="str">
        <f>HYPERLINK("https://inpn.mnhn.fr/espece/cd_nom/52603","Tenthredo maculata Geoffroy in Fourcroy, 1785")</f>
        <v>Tenthredo maculata Geoffroy in Fourcroy, 1785</v>
      </c>
      <c r="F17076" s="5" t="s">
        <v>20657</v>
      </c>
      <c r="AH17076" s="4" t="str">
        <f>HYPERLINK("#Statut_biogéographique!A"&amp;_xlfn.XMATCH("P",Statut_biogéographique!A:A,2,1),"P")</f>
        <v>P</v>
      </c>
      <c r="AP17076" s="4" t="s">
        <v>376</v>
      </c>
      <c r="AR17076" s="4" t="s">
        <v>377</v>
      </c>
    </row>
    <row r="17077" spans="1:44">
      <c r="A17077" s="4" t="s">
        <v>10753</v>
      </c>
      <c r="B17077" s="4">
        <v>52606</v>
      </c>
      <c r="D17077" s="5" t="s">
        <v>20658</v>
      </c>
      <c r="E17077" s="6" t="str">
        <f>HYPERLINK("https://inpn.mnhn.fr/espece/cd_nom/52606","Tenthredo olivacea Klug, 1817")</f>
        <v>Tenthredo olivacea Klug, 1817</v>
      </c>
      <c r="AH17077" s="4" t="str">
        <f>HYPERLINK("#Statut_biogéographique!A"&amp;_xlfn.XMATCH("P",Statut_biogéographique!A:A,2,1),"P")</f>
        <v>P</v>
      </c>
      <c r="AP17077" s="4" t="s">
        <v>376</v>
      </c>
      <c r="AR17077" s="4" t="s">
        <v>377</v>
      </c>
    </row>
    <row r="17078" spans="1:44" ht="30">
      <c r="A17078" s="4" t="s">
        <v>10753</v>
      </c>
      <c r="B17078" s="4">
        <v>52610</v>
      </c>
      <c r="D17078" s="5" t="s">
        <v>20659</v>
      </c>
      <c r="E17078" s="6" t="str">
        <f>HYPERLINK("https://inpn.mnhn.fr/espece/cd_nom/52610","Tenthredo solitaria Scopoli, 1763")</f>
        <v>Tenthredo solitaria Scopoli, 1763</v>
      </c>
      <c r="AH17078" s="4" t="str">
        <f>HYPERLINK("#Statut_biogéographique!A"&amp;_xlfn.XMATCH("P",Statut_biogéographique!A:A,2,1),"P")</f>
        <v>P</v>
      </c>
      <c r="AP17078" s="4" t="s">
        <v>376</v>
      </c>
      <c r="AR17078" s="4" t="s">
        <v>377</v>
      </c>
    </row>
    <row r="17079" spans="1:44">
      <c r="A17079" s="4" t="s">
        <v>10753</v>
      </c>
      <c r="B17079" s="4">
        <v>52611</v>
      </c>
      <c r="D17079" s="5" t="s">
        <v>20660</v>
      </c>
      <c r="E17079" s="6" t="str">
        <f>HYPERLINK("https://inpn.mnhn.fr/espece/cd_nom/52611","Tenthredo temula Scopoli, 1763")</f>
        <v>Tenthredo temula Scopoli, 1763</v>
      </c>
      <c r="AH17079" s="4" t="str">
        <f>HYPERLINK("#Statut_biogéographique!A"&amp;_xlfn.XMATCH("P",Statut_biogéographique!A:A,2,1),"P")</f>
        <v>P</v>
      </c>
      <c r="AP17079" s="4" t="s">
        <v>376</v>
      </c>
      <c r="AR17079" s="4" t="s">
        <v>377</v>
      </c>
    </row>
    <row r="17080" spans="1:44" ht="45">
      <c r="A17080" s="4" t="s">
        <v>10753</v>
      </c>
      <c r="B17080" s="4">
        <v>52612</v>
      </c>
      <c r="D17080" s="5" t="s">
        <v>20661</v>
      </c>
      <c r="E17080" s="6" t="str">
        <f>HYPERLINK("https://inpn.mnhn.fr/espece/cd_nom/52612","Tenthredo velox Fabricius, 1798")</f>
        <v>Tenthredo velox Fabricius, 1798</v>
      </c>
      <c r="AH17080" s="4" t="str">
        <f>HYPERLINK("#Statut_biogéographique!A"&amp;_xlfn.XMATCH("P",Statut_biogéographique!A:A,2,1),"P")</f>
        <v>P</v>
      </c>
      <c r="AP17080" s="4" t="s">
        <v>376</v>
      </c>
      <c r="AR17080" s="4" t="s">
        <v>377</v>
      </c>
    </row>
    <row r="17081" spans="1:44" ht="30">
      <c r="A17081" s="4" t="s">
        <v>10753</v>
      </c>
      <c r="B17081" s="4">
        <v>52613</v>
      </c>
      <c r="D17081" s="5" t="s">
        <v>20662</v>
      </c>
      <c r="E17081" s="6" t="str">
        <f>HYPERLINK("https://inpn.mnhn.fr/espece/cd_nom/52613","Tenthredo vespa Retzius, 1783")</f>
        <v>Tenthredo vespa Retzius, 1783</v>
      </c>
      <c r="AH17081" s="4" t="str">
        <f>HYPERLINK("#Statut_biogéographique!A"&amp;_xlfn.XMATCH("P",Statut_biogéographique!A:A,2,1),"P")</f>
        <v>P</v>
      </c>
      <c r="AP17081" s="4" t="s">
        <v>376</v>
      </c>
      <c r="AR17081" s="4" t="s">
        <v>377</v>
      </c>
    </row>
    <row r="17082" spans="1:44" ht="30">
      <c r="A17082" s="4" t="s">
        <v>10753</v>
      </c>
      <c r="B17082" s="4">
        <v>52616</v>
      </c>
      <c r="D17082" s="5" t="s">
        <v>20663</v>
      </c>
      <c r="E17082" s="6" t="str">
        <f>HYPERLINK("https://inpn.mnhn.fr/espece/cd_nom/52616","Aglaostigma aucupariae (Klug, 1817)")</f>
        <v>Aglaostigma aucupariae (Klug, 1817)</v>
      </c>
      <c r="AH17082" s="4" t="str">
        <f>HYPERLINK("#Statut_biogéographique!A"&amp;_xlfn.XMATCH("P",Statut_biogéographique!A:A,2,1),"P")</f>
        <v>P</v>
      </c>
      <c r="AP17082" s="4" t="s">
        <v>376</v>
      </c>
      <c r="AR17082" s="4" t="s">
        <v>377</v>
      </c>
    </row>
    <row r="17083" spans="1:44">
      <c r="A17083" s="4" t="s">
        <v>10753</v>
      </c>
      <c r="B17083" s="4">
        <v>52617</v>
      </c>
      <c r="D17083" s="5" t="s">
        <v>20664</v>
      </c>
      <c r="E17083" s="6" t="str">
        <f>HYPERLINK("https://inpn.mnhn.fr/espece/cd_nom/52617","Aglaostigma fulvipes (Scopoli, 1763)")</f>
        <v>Aglaostigma fulvipes (Scopoli, 1763)</v>
      </c>
      <c r="AH17083" s="4" t="str">
        <f>HYPERLINK("#Statut_biogéographique!A"&amp;_xlfn.XMATCH("P",Statut_biogéographique!A:A,2,1),"P")</f>
        <v>P</v>
      </c>
      <c r="AP17083" s="4" t="s">
        <v>376</v>
      </c>
      <c r="AR17083" s="4" t="s">
        <v>377</v>
      </c>
    </row>
    <row r="17084" spans="1:44" ht="75">
      <c r="A17084" s="4" t="s">
        <v>10753</v>
      </c>
      <c r="B17084" s="4">
        <v>52620</v>
      </c>
      <c r="D17084" s="5" t="s">
        <v>20665</v>
      </c>
      <c r="E17084" s="6" t="str">
        <f>HYPERLINK("https://inpn.mnhn.fr/espece/cd_nom/52620","Tenthredopsis litterata (Geoffroy in Fourcroy, 1785)")</f>
        <v>Tenthredopsis litterata (Geoffroy in Fourcroy, 1785)</v>
      </c>
      <c r="F17084" s="5" t="s">
        <v>20666</v>
      </c>
      <c r="AH17084" s="4" t="str">
        <f>HYPERLINK("#Statut_biogéographique!A"&amp;_xlfn.XMATCH("P",Statut_biogéographique!A:A,2,1),"P")</f>
        <v>P</v>
      </c>
      <c r="AP17084" s="4" t="s">
        <v>376</v>
      </c>
      <c r="AR17084" s="4" t="s">
        <v>377</v>
      </c>
    </row>
    <row r="17085" spans="1:44">
      <c r="A17085" s="4" t="s">
        <v>10753</v>
      </c>
      <c r="B17085" s="4">
        <v>52624</v>
      </c>
      <c r="D17085" s="5" t="s">
        <v>20667</v>
      </c>
      <c r="E17085" s="6" t="str">
        <f>HYPERLINK("https://inpn.mnhn.fr/espece/cd_nom/52624","Tenthredopsis friesei (Konow, 1884)")</f>
        <v>Tenthredopsis friesei (Konow, 1884)</v>
      </c>
      <c r="AH17085" s="4" t="str">
        <f>HYPERLINK("#Statut_biogéographique!A"&amp;_xlfn.XMATCH("P",Statut_biogéographique!A:A,2,1),"P")</f>
        <v>P</v>
      </c>
      <c r="AP17085" s="4" t="s">
        <v>376</v>
      </c>
      <c r="AR17085" s="4" t="s">
        <v>377</v>
      </c>
    </row>
    <row r="17086" spans="1:44" ht="45">
      <c r="A17086" s="4" t="s">
        <v>10753</v>
      </c>
      <c r="B17086" s="4">
        <v>52627</v>
      </c>
      <c r="D17086" s="5" t="s">
        <v>20668</v>
      </c>
      <c r="E17086" s="6" t="str">
        <f>HYPERLINK("https://inpn.mnhn.fr/espece/cd_nom/52627","Tenthredopsis scutellaris (Fabricius, 1804)")</f>
        <v>Tenthredopsis scutellaris (Fabricius, 1804)</v>
      </c>
      <c r="AH17086" s="4" t="str">
        <f>HYPERLINK("#Statut_biogéographique!A"&amp;_xlfn.XMATCH("P",Statut_biogéographique!A:A,2,1),"P")</f>
        <v>P</v>
      </c>
      <c r="AP17086" s="4" t="s">
        <v>376</v>
      </c>
      <c r="AR17086" s="4" t="s">
        <v>377</v>
      </c>
    </row>
    <row r="17087" spans="1:44">
      <c r="A17087" s="4" t="s">
        <v>10753</v>
      </c>
      <c r="B17087" s="4">
        <v>52629</v>
      </c>
      <c r="D17087" s="5" t="s">
        <v>20669</v>
      </c>
      <c r="E17087" s="6" t="str">
        <f>HYPERLINK("https://inpn.mnhn.fr/espece/cd_nom/52629","Tenthredopsis sordida (Klug, 1817)")</f>
        <v>Tenthredopsis sordida (Klug, 1817)</v>
      </c>
      <c r="AH17087" s="4" t="str">
        <f>HYPERLINK("#Statut_biogéographique!A"&amp;_xlfn.XMATCH("P",Statut_biogéographique!A:A,2,1),"P")</f>
        <v>P</v>
      </c>
      <c r="AP17087" s="4" t="s">
        <v>376</v>
      </c>
      <c r="AR17087" s="4" t="s">
        <v>377</v>
      </c>
    </row>
    <row r="17088" spans="1:44" ht="30">
      <c r="A17088" s="4" t="s">
        <v>10753</v>
      </c>
      <c r="B17088" s="4">
        <v>52630</v>
      </c>
      <c r="D17088" s="5" t="s">
        <v>20670</v>
      </c>
      <c r="E17088" s="6" t="str">
        <f>HYPERLINK("https://inpn.mnhn.fr/espece/cd_nom/52630","Tenthredopsis stigma (Fabricius, 1798)")</f>
        <v>Tenthredopsis stigma (Fabricius, 1798)</v>
      </c>
      <c r="AH17088" s="4" t="str">
        <f>HYPERLINK("#Statut_biogéographique!A"&amp;_xlfn.XMATCH("P",Statut_biogéographique!A:A,2,1),"P")</f>
        <v>P</v>
      </c>
      <c r="AP17088" s="4" t="s">
        <v>376</v>
      </c>
      <c r="AR17088" s="4" t="s">
        <v>377</v>
      </c>
    </row>
    <row r="17089" spans="1:44" ht="30">
      <c r="A17089" s="4" t="s">
        <v>10753</v>
      </c>
      <c r="B17089" s="4">
        <v>52635</v>
      </c>
      <c r="D17089" s="5" t="s">
        <v>20671</v>
      </c>
      <c r="E17089" s="6" t="str">
        <f>HYPERLINK("https://inpn.mnhn.fr/espece/cd_nom/52635","Stethomostus fuliginosus (Schrank, 1781)")</f>
        <v>Stethomostus fuliginosus (Schrank, 1781)</v>
      </c>
      <c r="AH17089" s="4" t="str">
        <f>HYPERLINK("#Statut_biogéographique!A"&amp;_xlfn.XMATCH("P",Statut_biogéographique!A:A,2,1),"P")</f>
        <v>P</v>
      </c>
      <c r="AP17089" s="4" t="s">
        <v>376</v>
      </c>
      <c r="AR17089" s="4" t="s">
        <v>377</v>
      </c>
    </row>
    <row r="17090" spans="1:44" ht="30">
      <c r="A17090" s="4" t="s">
        <v>10753</v>
      </c>
      <c r="B17090" s="4">
        <v>52638</v>
      </c>
      <c r="D17090" s="5" t="s">
        <v>20672</v>
      </c>
      <c r="E17090" s="6" t="str">
        <f>HYPERLINK("https://inpn.mnhn.fr/espece/cd_nom/52638","Monophadnus pallescens (Gmelin, 1790)")</f>
        <v>Monophadnus pallescens (Gmelin, 1790)</v>
      </c>
      <c r="AH17090" s="4" t="str">
        <f>HYPERLINK("#Statut_biogéographique!A"&amp;_xlfn.XMATCH("P",Statut_biogéographique!A:A,2,1),"P")</f>
        <v>P</v>
      </c>
      <c r="AP17090" s="4" t="s">
        <v>376</v>
      </c>
      <c r="AR17090" s="4" t="s">
        <v>377</v>
      </c>
    </row>
    <row r="17091" spans="1:44" ht="30">
      <c r="A17091" s="4" t="s">
        <v>10753</v>
      </c>
      <c r="B17091" s="4">
        <v>52644</v>
      </c>
      <c r="D17091" s="5" t="s">
        <v>20673</v>
      </c>
      <c r="E17091" s="6" t="str">
        <f>HYPERLINK("https://inpn.mnhn.fr/espece/cd_nom/52644","Halidamia affinis (Fallén, 1807)")</f>
        <v>Halidamia affinis (Fallén, 1807)</v>
      </c>
      <c r="AH17091" s="4" t="str">
        <f>HYPERLINK("#Statut_biogéographique!A"&amp;_xlfn.XMATCH("P",Statut_biogéographique!A:A,2,1),"P")</f>
        <v>P</v>
      </c>
      <c r="AP17091" s="4" t="s">
        <v>376</v>
      </c>
      <c r="AR17091" s="4" t="s">
        <v>377</v>
      </c>
    </row>
    <row r="17092" spans="1:44" ht="30">
      <c r="A17092" s="4" t="s">
        <v>10753</v>
      </c>
      <c r="B17092" s="4">
        <v>52657</v>
      </c>
      <c r="D17092" s="5" t="s">
        <v>20674</v>
      </c>
      <c r="E17092" s="6" t="str">
        <f>HYPERLINK("https://inpn.mnhn.fr/espece/cd_nom/52657","Calameuta filiformis (Eversmann, 1847)")</f>
        <v>Calameuta filiformis (Eversmann, 1847)</v>
      </c>
      <c r="AH17092" s="4" t="str">
        <f>HYPERLINK("#Statut_biogéographique!A"&amp;_xlfn.XMATCH("P",Statut_biogéographique!A:A,2,1),"P")</f>
        <v>P</v>
      </c>
      <c r="AP17092" s="4" t="s">
        <v>376</v>
      </c>
      <c r="AR17092" s="4" t="s">
        <v>377</v>
      </c>
    </row>
    <row r="17093" spans="1:44" ht="45">
      <c r="A17093" s="4" t="s">
        <v>10753</v>
      </c>
      <c r="B17093" s="4">
        <v>52665</v>
      </c>
      <c r="D17093" s="5" t="s">
        <v>20675</v>
      </c>
      <c r="E17093" s="6" t="str">
        <f>HYPERLINK("https://inpn.mnhn.fr/espece/cd_nom/52665","Andricus fecundatrix (Hartig, 1840)")</f>
        <v>Andricus fecundatrix (Hartig, 1840)</v>
      </c>
      <c r="AH17093" s="4" t="str">
        <f>HYPERLINK("#Statut_biogéographique!A"&amp;_xlfn.XMATCH("P",Statut_biogéographique!A:A,2,1),"P")</f>
        <v>P</v>
      </c>
      <c r="AP17093" s="4" t="s">
        <v>376</v>
      </c>
      <c r="AR17093" s="4" t="s">
        <v>377</v>
      </c>
    </row>
    <row r="17094" spans="1:44">
      <c r="A17094" s="4" t="s">
        <v>10753</v>
      </c>
      <c r="B17094" s="4">
        <v>52667</v>
      </c>
      <c r="D17094" s="5" t="s">
        <v>20676</v>
      </c>
      <c r="E17094" s="6" t="str">
        <f>HYPERLINK("https://inpn.mnhn.fr/espece/cd_nom/52667","Andricus kollari (Hartig, 1843)")</f>
        <v>Andricus kollari (Hartig, 1843)</v>
      </c>
      <c r="AH17094" s="4" t="str">
        <f>HYPERLINK("#Statut_biogéographique!A"&amp;_xlfn.XMATCH("P",Statut_biogéographique!A:A,2,1),"P")</f>
        <v>P</v>
      </c>
      <c r="AP17094" s="4" t="s">
        <v>376</v>
      </c>
      <c r="AR17094" s="4" t="s">
        <v>377</v>
      </c>
    </row>
    <row r="17095" spans="1:44" ht="30">
      <c r="A17095" s="4" t="s">
        <v>10753</v>
      </c>
      <c r="B17095" s="4">
        <v>52688</v>
      </c>
      <c r="D17095" s="5" t="s">
        <v>20677</v>
      </c>
      <c r="E17095" s="6" t="str">
        <f>HYPERLINK("https://inpn.mnhn.fr/espece/cd_nom/52688","Neuroterus numismalis (Geoffroy in Fourcroy, 1785)")</f>
        <v>Neuroterus numismalis (Geoffroy in Fourcroy, 1785)</v>
      </c>
      <c r="AH17095" s="4" t="str">
        <f>HYPERLINK("#Statut_biogéographique!A"&amp;_xlfn.XMATCH("P",Statut_biogéographique!A:A,2,1),"P")</f>
        <v>P</v>
      </c>
      <c r="AP17095" s="4" t="s">
        <v>376</v>
      </c>
      <c r="AR17095" s="4" t="s">
        <v>377</v>
      </c>
    </row>
    <row r="17096" spans="1:44">
      <c r="A17096" s="4" t="s">
        <v>10753</v>
      </c>
      <c r="B17096" s="4">
        <v>52716</v>
      </c>
      <c r="D17096" s="5">
        <v>52716</v>
      </c>
      <c r="E17096" s="6" t="str">
        <f>HYPERLINK("https://inpn.mnhn.fr/espece/cd_nom/52716","Agriotypus armatus Curtis, 1832")</f>
        <v>Agriotypus armatus Curtis, 1832</v>
      </c>
      <c r="AH17096" s="4" t="str">
        <f>HYPERLINK("#Statut_biogéographique!A"&amp;_xlfn.XMATCH("P",Statut_biogéographique!A:A,2,1),"P")</f>
        <v>P</v>
      </c>
      <c r="AP17096" s="4" t="s">
        <v>376</v>
      </c>
      <c r="AR17096" s="4" t="s">
        <v>377</v>
      </c>
    </row>
    <row r="17097" spans="1:44">
      <c r="A17097" s="4" t="s">
        <v>10753</v>
      </c>
      <c r="B17097" s="4">
        <v>527194</v>
      </c>
      <c r="D17097" s="5" t="s">
        <v>20678</v>
      </c>
      <c r="E17097" s="6" t="str">
        <f>HYPERLINK("https://inpn.mnhn.fr/espece/cd_nom/527194","Potosia cuprea (Fabricius, 1775)")</f>
        <v>Potosia cuprea (Fabricius, 1775)</v>
      </c>
      <c r="F17097" s="5" t="s">
        <v>20679</v>
      </c>
      <c r="AH17097" s="4" t="str">
        <f>HYPERLINK("#Statut_biogéographique!A"&amp;_xlfn.XMATCH("P",Statut_biogéographique!A:A,2,1),"P")</f>
        <v>P</v>
      </c>
      <c r="AP17097" s="4" t="s">
        <v>376</v>
      </c>
      <c r="AR17097" s="4" t="s">
        <v>377</v>
      </c>
    </row>
    <row r="17098" spans="1:44">
      <c r="A17098" s="4" t="s">
        <v>10753</v>
      </c>
      <c r="B17098" s="4">
        <v>527207</v>
      </c>
      <c r="D17098" s="5" t="s">
        <v>20680</v>
      </c>
      <c r="E17098" s="6" t="str">
        <f>HYPERLINK("https://inpn.mnhn.fr/espece/cd_nom/527207","Carilia virginea (Linnaeus, 1758)")</f>
        <v>Carilia virginea (Linnaeus, 1758)</v>
      </c>
      <c r="P17098" s="7" t="str">
        <f>HYPERLINK("#Liste_rouge!A"&amp;_xlfn.XMATCH("LC",Liste_rouge!A:A,2,1),"LC")</f>
        <v>LC</v>
      </c>
      <c r="AH17098" s="4" t="str">
        <f>HYPERLINK("#Statut_biogéographique!A"&amp;_xlfn.XMATCH("P",Statut_biogéographique!A:A,2,1),"P")</f>
        <v>P</v>
      </c>
      <c r="AP17098" s="4" t="s">
        <v>376</v>
      </c>
      <c r="AR17098" s="4" t="s">
        <v>377</v>
      </c>
    </row>
    <row r="17099" spans="1:44">
      <c r="A17099" s="4" t="s">
        <v>10753</v>
      </c>
      <c r="B17099" s="4">
        <v>52726</v>
      </c>
      <c r="D17099" s="5" t="s">
        <v>20681</v>
      </c>
      <c r="E17099" s="6" t="str">
        <f>HYPERLINK("https://inpn.mnhn.fr/espece/cd_nom/52726","Rhyssa persuasoria (Linnaeus, 1758)")</f>
        <v>Rhyssa persuasoria (Linnaeus, 1758)</v>
      </c>
      <c r="F17099" s="5" t="s">
        <v>20682</v>
      </c>
      <c r="AH17099" s="4" t="str">
        <f>HYPERLINK("#Statut_biogéographique!A"&amp;_xlfn.XMATCH("P",Statut_biogéographique!A:A,2,1),"P")</f>
        <v>P</v>
      </c>
      <c r="AP17099" s="4" t="s">
        <v>376</v>
      </c>
      <c r="AR17099" s="4" t="s">
        <v>377</v>
      </c>
    </row>
    <row r="17100" spans="1:44">
      <c r="A17100" s="4" t="s">
        <v>10753</v>
      </c>
      <c r="B17100" s="4">
        <v>52738</v>
      </c>
      <c r="D17100" s="5">
        <v>52738</v>
      </c>
      <c r="E17100" s="6" t="str">
        <f>HYPERLINK("https://inpn.mnhn.fr/espece/cd_nom/52738","Chrysis analis Spinola, 1807")</f>
        <v>Chrysis analis Spinola, 1807</v>
      </c>
      <c r="AH17100" s="4" t="str">
        <f>HYPERLINK("#Statut_biogéographique!A"&amp;_xlfn.XMATCH("P",Statut_biogéographique!A:A,2,1),"P")</f>
        <v>P</v>
      </c>
      <c r="AP17100" s="4" t="s">
        <v>376</v>
      </c>
      <c r="AR17100" s="4" t="s">
        <v>377</v>
      </c>
    </row>
    <row r="17101" spans="1:44">
      <c r="A17101" s="4" t="s">
        <v>10753</v>
      </c>
      <c r="B17101" s="4">
        <v>52740</v>
      </c>
      <c r="D17101" s="5" t="s">
        <v>20683</v>
      </c>
      <c r="E17101" s="6" t="str">
        <f>HYPERLINK("https://inpn.mnhn.fr/espece/cd_nom/52740","Chrysis angustula Schenck, 1856")</f>
        <v>Chrysis angustula Schenck, 1856</v>
      </c>
      <c r="AH17101" s="4" t="str">
        <f>HYPERLINK("#Statut_biogéographique!A"&amp;_xlfn.XMATCH("P",Statut_biogéographique!A:A,2,1),"P")</f>
        <v>P</v>
      </c>
      <c r="AP17101" s="4" t="s">
        <v>376</v>
      </c>
      <c r="AR17101" s="4" t="s">
        <v>377</v>
      </c>
    </row>
    <row r="17102" spans="1:44">
      <c r="A17102" s="4" t="s">
        <v>10753</v>
      </c>
      <c r="B17102" s="4">
        <v>52741</v>
      </c>
      <c r="D17102" s="5">
        <v>52741</v>
      </c>
      <c r="E17102" s="6" t="str">
        <f>HYPERLINK("https://inpn.mnhn.fr/espece/cd_nom/52741","Chrysis brevitarsis Thomson, 1870")</f>
        <v>Chrysis brevitarsis Thomson, 1870</v>
      </c>
      <c r="AH17102" s="4" t="str">
        <f>HYPERLINK("#Statut_biogéographique!A"&amp;_xlfn.XMATCH("P",Statut_biogéographique!A:A,2,1),"P")</f>
        <v>P</v>
      </c>
      <c r="AP17102" s="4" t="s">
        <v>376</v>
      </c>
      <c r="AR17102" s="4" t="s">
        <v>377</v>
      </c>
    </row>
    <row r="17103" spans="1:44">
      <c r="A17103" s="4" t="s">
        <v>10753</v>
      </c>
      <c r="B17103" s="4">
        <v>52743</v>
      </c>
      <c r="D17103" s="5" t="s">
        <v>20684</v>
      </c>
      <c r="E17103" s="6" t="str">
        <f>HYPERLINK("https://inpn.mnhn.fr/espece/cd_nom/52743","Chrysis ignita (Linnaeus, 1758)")</f>
        <v>Chrysis ignita (Linnaeus, 1758)</v>
      </c>
      <c r="F17103" s="5" t="s">
        <v>20685</v>
      </c>
      <c r="AH17103" s="4" t="str">
        <f>HYPERLINK("#Statut_biogéographique!A"&amp;_xlfn.XMATCH("P",Statut_biogéographique!A:A,2,1),"P")</f>
        <v>P</v>
      </c>
      <c r="AP17103" s="4" t="s">
        <v>376</v>
      </c>
      <c r="AR17103" s="4" t="s">
        <v>377</v>
      </c>
    </row>
    <row r="17104" spans="1:44">
      <c r="A17104" s="4" t="s">
        <v>10753</v>
      </c>
      <c r="B17104" s="4">
        <v>52745</v>
      </c>
      <c r="D17104" s="5">
        <v>52745</v>
      </c>
      <c r="E17104" s="6" t="str">
        <f>HYPERLINK("https://inpn.mnhn.fr/espece/cd_nom/52745","Chrysis mediata Linsenmaier, 1951")</f>
        <v>Chrysis mediata Linsenmaier, 1951</v>
      </c>
      <c r="AH17104" s="4" t="str">
        <f>HYPERLINK("#Statut_biogéographique!A"&amp;_xlfn.XMATCH("P",Statut_biogéographique!A:A,2,1),"P")</f>
        <v>P</v>
      </c>
      <c r="AP17104" s="4" t="s">
        <v>376</v>
      </c>
      <c r="AR17104" s="4" t="s">
        <v>377</v>
      </c>
    </row>
    <row r="17105" spans="1:44">
      <c r="A17105" s="4" t="s">
        <v>10753</v>
      </c>
      <c r="B17105" s="4">
        <v>52747</v>
      </c>
      <c r="D17105" s="5">
        <v>52747</v>
      </c>
      <c r="E17105" s="6" t="str">
        <f>HYPERLINK("https://inpn.mnhn.fr/espece/cd_nom/52747","Chrysis rutilans Olivier, 1791")</f>
        <v>Chrysis rutilans Olivier, 1791</v>
      </c>
      <c r="AH17105" s="4" t="str">
        <f>HYPERLINK("#Statut_biogéographique!A"&amp;_xlfn.XMATCH("P",Statut_biogéographique!A:A,2,1),"P")</f>
        <v>P</v>
      </c>
      <c r="AP17105" s="4" t="s">
        <v>376</v>
      </c>
      <c r="AR17105" s="4" t="s">
        <v>377</v>
      </c>
    </row>
    <row r="17106" spans="1:44">
      <c r="A17106" s="4" t="s">
        <v>10753</v>
      </c>
      <c r="B17106" s="4">
        <v>52753</v>
      </c>
      <c r="D17106" s="5" t="s">
        <v>20686</v>
      </c>
      <c r="E17106" s="6" t="str">
        <f>HYPERLINK("https://inpn.mnhn.fr/espece/cd_nom/52753","Trichrysis cyanea (Linnaeus, 1758)")</f>
        <v>Trichrysis cyanea (Linnaeus, 1758)</v>
      </c>
      <c r="AH17106" s="4" t="str">
        <f>HYPERLINK("#Statut_biogéographique!A"&amp;_xlfn.XMATCH("P",Statut_biogéographique!A:A,2,1),"P")</f>
        <v>P</v>
      </c>
      <c r="AP17106" s="4" t="s">
        <v>376</v>
      </c>
      <c r="AR17106" s="4" t="s">
        <v>377</v>
      </c>
    </row>
    <row r="17107" spans="1:44" ht="30">
      <c r="A17107" s="4" t="s">
        <v>10753</v>
      </c>
      <c r="B17107" s="4">
        <v>52777</v>
      </c>
      <c r="D17107" s="5" t="s">
        <v>20687</v>
      </c>
      <c r="E17107" s="6" t="str">
        <f>HYPERLINK("https://inpn.mnhn.fr/espece/cd_nom/52777","Aphaenogaster subterranea (Latreille, 1798)")</f>
        <v>Aphaenogaster subterranea (Latreille, 1798)</v>
      </c>
      <c r="AH17107" s="4" t="str">
        <f>HYPERLINK("#Statut_biogéographique!A"&amp;_xlfn.XMATCH("P",Statut_biogéographique!A:A,2,1),"P")</f>
        <v>P</v>
      </c>
      <c r="AP17107" s="4" t="s">
        <v>376</v>
      </c>
      <c r="AR17107" s="4" t="s">
        <v>377</v>
      </c>
    </row>
    <row r="17108" spans="1:44" ht="45">
      <c r="A17108" s="4" t="s">
        <v>10753</v>
      </c>
      <c r="B17108" s="4">
        <v>52779</v>
      </c>
      <c r="D17108" s="5" t="s">
        <v>20688</v>
      </c>
      <c r="E17108" s="6" t="str">
        <f>HYPERLINK("https://inpn.mnhn.fr/espece/cd_nom/52779","Camponotus aethiops (Latreille, 1798)")</f>
        <v>Camponotus aethiops (Latreille, 1798)</v>
      </c>
      <c r="F17108" s="5" t="s">
        <v>20689</v>
      </c>
      <c r="AH17108" s="4" t="str">
        <f>HYPERLINK("#Statut_biogéographique!A"&amp;_xlfn.XMATCH("P",Statut_biogéographique!A:A,2,1),"P")</f>
        <v>P</v>
      </c>
      <c r="AP17108" s="4" t="s">
        <v>376</v>
      </c>
      <c r="AR17108" s="4" t="s">
        <v>377</v>
      </c>
    </row>
    <row r="17109" spans="1:44" ht="45">
      <c r="A17109" s="4" t="s">
        <v>10753</v>
      </c>
      <c r="B17109" s="4">
        <v>52781</v>
      </c>
      <c r="D17109" s="5" t="s">
        <v>20690</v>
      </c>
      <c r="E17109" s="6" t="str">
        <f>HYPERLINK("https://inpn.mnhn.fr/espece/cd_nom/52781","Camponotus lateralis (Olivier, 1792)")</f>
        <v>Camponotus lateralis (Olivier, 1792)</v>
      </c>
      <c r="F17109" s="5" t="s">
        <v>20691</v>
      </c>
      <c r="AH17109" s="4" t="str">
        <f>HYPERLINK("#Statut_biogéographique!A"&amp;_xlfn.XMATCH("P",Statut_biogéographique!A:A,2,1),"P")</f>
        <v>P</v>
      </c>
      <c r="AP17109" s="4" t="s">
        <v>376</v>
      </c>
      <c r="AR17109" s="4" t="s">
        <v>377</v>
      </c>
    </row>
    <row r="17110" spans="1:44">
      <c r="A17110" s="4" t="s">
        <v>10753</v>
      </c>
      <c r="B17110" s="4">
        <v>52784</v>
      </c>
      <c r="D17110" s="5" t="s">
        <v>20692</v>
      </c>
      <c r="E17110" s="6" t="str">
        <f>HYPERLINK("https://inpn.mnhn.fr/espece/cd_nom/52784","Camponotus sylvaticus (Olivier, 1792)")</f>
        <v>Camponotus sylvaticus (Olivier, 1792)</v>
      </c>
      <c r="F17110" s="5" t="s">
        <v>20693</v>
      </c>
      <c r="AH17110" s="4" t="str">
        <f>HYPERLINK("#Statut_biogéographique!A"&amp;_xlfn.XMATCH("P",Statut_biogéographique!A:A,2,1),"P")</f>
        <v>P</v>
      </c>
      <c r="AP17110" s="4" t="s">
        <v>376</v>
      </c>
      <c r="AR17110" s="4" t="s">
        <v>377</v>
      </c>
    </row>
    <row r="17111" spans="1:44" ht="30">
      <c r="A17111" s="4" t="s">
        <v>10753</v>
      </c>
      <c r="B17111" s="4">
        <v>52785</v>
      </c>
      <c r="D17111" s="5" t="s">
        <v>20694</v>
      </c>
      <c r="E17111" s="6" t="str">
        <f>HYPERLINK("https://inpn.mnhn.fr/espece/cd_nom/52785","Camponotus vagus (Scopoli, 1763)")</f>
        <v>Camponotus vagus (Scopoli, 1763)</v>
      </c>
      <c r="AH17111" s="4" t="str">
        <f>HYPERLINK("#Statut_biogéographique!A"&amp;_xlfn.XMATCH("P",Statut_biogéographique!A:A,2,1),"P")</f>
        <v>P</v>
      </c>
      <c r="AP17111" s="4" t="s">
        <v>376</v>
      </c>
      <c r="AR17111" s="4" t="s">
        <v>377</v>
      </c>
    </row>
    <row r="17112" spans="1:44">
      <c r="A17112" s="4" t="s">
        <v>10753</v>
      </c>
      <c r="B17112" s="4">
        <v>52788</v>
      </c>
      <c r="D17112" s="5" t="s">
        <v>20695</v>
      </c>
      <c r="E17112" s="6" t="str">
        <f>HYPERLINK("https://inpn.mnhn.fr/espece/cd_nom/52788","Formica cunicularia Latreille, 1798")</f>
        <v>Formica cunicularia Latreille, 1798</v>
      </c>
      <c r="F17112" s="5" t="s">
        <v>20696</v>
      </c>
      <c r="AH17112" s="4" t="str">
        <f>HYPERLINK("#Statut_biogéographique!A"&amp;_xlfn.XMATCH("P",Statut_biogéographique!A:A,2,1),"P")</f>
        <v>P</v>
      </c>
      <c r="AP17112" s="4" t="s">
        <v>376</v>
      </c>
      <c r="AR17112" s="4" t="s">
        <v>377</v>
      </c>
    </row>
    <row r="17113" spans="1:44" ht="30">
      <c r="A17113" s="4" t="s">
        <v>10753</v>
      </c>
      <c r="B17113" s="4">
        <v>52789</v>
      </c>
      <c r="D17113" s="5" t="s">
        <v>20697</v>
      </c>
      <c r="E17113" s="6" t="str">
        <f>HYPERLINK("https://inpn.mnhn.fr/espece/cd_nom/52789","Formica fusca Linnaeus, 1758")</f>
        <v>Formica fusca Linnaeus, 1758</v>
      </c>
      <c r="F17113" s="5" t="s">
        <v>20698</v>
      </c>
      <c r="AH17113" s="4" t="str">
        <f>HYPERLINK("#Statut_biogéographique!A"&amp;_xlfn.XMATCH("P",Statut_biogéographique!A:A,2,1),"P")</f>
        <v>P</v>
      </c>
      <c r="AP17113" s="4" t="s">
        <v>376</v>
      </c>
      <c r="AR17113" s="4" t="s">
        <v>377</v>
      </c>
    </row>
    <row r="17114" spans="1:44" ht="60">
      <c r="A17114" s="4" t="s">
        <v>10753</v>
      </c>
      <c r="B17114" s="4">
        <v>52790</v>
      </c>
      <c r="D17114" s="5" t="s">
        <v>20699</v>
      </c>
      <c r="E17114" s="6" t="str">
        <f>HYPERLINK("https://inpn.mnhn.fr/espece/cd_nom/52790","Formica pratensis Retzius, 1783")</f>
        <v>Formica pratensis Retzius, 1783</v>
      </c>
      <c r="F17114" s="5" t="s">
        <v>20700</v>
      </c>
      <c r="AH17114" s="4" t="str">
        <f>HYPERLINK("#Statut_biogéographique!A"&amp;_xlfn.XMATCH("P",Statut_biogéographique!A:A,2,1),"P")</f>
        <v>P</v>
      </c>
      <c r="AP17114" s="4" t="s">
        <v>376</v>
      </c>
      <c r="AR17114" s="4" t="s">
        <v>377</v>
      </c>
    </row>
    <row r="17115" spans="1:44" ht="30">
      <c r="A17115" s="4" t="s">
        <v>10753</v>
      </c>
      <c r="B17115" s="4">
        <v>52791</v>
      </c>
      <c r="D17115" s="5" t="s">
        <v>20701</v>
      </c>
      <c r="E17115" s="6" t="str">
        <f>HYPERLINK("https://inpn.mnhn.fr/espece/cd_nom/52791","Formica rufa Linnaeus, 1761")</f>
        <v>Formica rufa Linnaeus, 1761</v>
      </c>
      <c r="F17115" s="5" t="s">
        <v>20702</v>
      </c>
      <c r="AH17115" s="4" t="str">
        <f>HYPERLINK("#Statut_biogéographique!A"&amp;_xlfn.XMATCH("P",Statut_biogéographique!A:A,2,1),"P")</f>
        <v>P</v>
      </c>
      <c r="AP17115" s="4" t="s">
        <v>376</v>
      </c>
      <c r="AR17115" s="4" t="s">
        <v>377</v>
      </c>
    </row>
    <row r="17116" spans="1:44" ht="30">
      <c r="A17116" s="4" t="s">
        <v>10753</v>
      </c>
      <c r="B17116" s="4">
        <v>52792</v>
      </c>
      <c r="D17116" s="5" t="s">
        <v>20703</v>
      </c>
      <c r="E17116" s="6" t="str">
        <f>HYPERLINK("https://inpn.mnhn.fr/espece/cd_nom/52792","Formica rufibarbis Fabricius, 1793")</f>
        <v>Formica rufibarbis Fabricius, 1793</v>
      </c>
      <c r="AH17116" s="4" t="str">
        <f>HYPERLINK("#Statut_biogéographique!A"&amp;_xlfn.XMATCH("P",Statut_biogéographique!A:A,2,1),"P")</f>
        <v>P</v>
      </c>
      <c r="AP17116" s="4" t="s">
        <v>376</v>
      </c>
      <c r="AR17116" s="4" t="s">
        <v>377</v>
      </c>
    </row>
    <row r="17117" spans="1:44" ht="45">
      <c r="A17117" s="4" t="s">
        <v>10753</v>
      </c>
      <c r="B17117" s="4">
        <v>52793</v>
      </c>
      <c r="D17117" s="5" t="s">
        <v>20704</v>
      </c>
      <c r="E17117" s="6" t="str">
        <f>HYPERLINK("https://inpn.mnhn.fr/espece/cd_nom/52793","Formica sanguinea Latreille, 1798")</f>
        <v>Formica sanguinea Latreille, 1798</v>
      </c>
      <c r="AH17117" s="4" t="str">
        <f>HYPERLINK("#Statut_biogéographique!A"&amp;_xlfn.XMATCH("P",Statut_biogéographique!A:A,2,1),"P")</f>
        <v>P</v>
      </c>
      <c r="AP17117" s="4" t="s">
        <v>376</v>
      </c>
      <c r="AR17117" s="4" t="s">
        <v>377</v>
      </c>
    </row>
    <row r="17118" spans="1:44" ht="30">
      <c r="A17118" s="4" t="s">
        <v>10753</v>
      </c>
      <c r="B17118" s="4">
        <v>52808</v>
      </c>
      <c r="D17118" s="5" t="s">
        <v>20705</v>
      </c>
      <c r="E17118" s="6" t="str">
        <f>HYPERLINK("https://inpn.mnhn.fr/espece/cd_nom/52808","Myrmica ruginodis Nylander, 1846")</f>
        <v>Myrmica ruginodis Nylander, 1846</v>
      </c>
      <c r="AH17118" s="4" t="str">
        <f>HYPERLINK("#Statut_biogéographique!A"&amp;_xlfn.XMATCH("P",Statut_biogéographique!A:A,2,1),"P")</f>
        <v>P</v>
      </c>
      <c r="AP17118" s="4" t="s">
        <v>376</v>
      </c>
      <c r="AR17118" s="4" t="s">
        <v>377</v>
      </c>
    </row>
    <row r="17119" spans="1:44" ht="30">
      <c r="A17119" s="4" t="s">
        <v>10753</v>
      </c>
      <c r="B17119" s="4">
        <v>52809</v>
      </c>
      <c r="D17119" s="5" t="s">
        <v>20706</v>
      </c>
      <c r="E17119" s="6" t="str">
        <f>HYPERLINK("https://inpn.mnhn.fr/espece/cd_nom/52809","Myrmica scabrinodis Nylander, 1846")</f>
        <v>Myrmica scabrinodis Nylander, 1846</v>
      </c>
      <c r="AH17119" s="4" t="str">
        <f>HYPERLINK("#Statut_biogéographique!A"&amp;_xlfn.XMATCH("P",Statut_biogéographique!A:A,2,1),"P")</f>
        <v>P</v>
      </c>
      <c r="AP17119" s="4" t="s">
        <v>376</v>
      </c>
      <c r="AR17119" s="4" t="s">
        <v>377</v>
      </c>
    </row>
    <row r="17120" spans="1:44">
      <c r="A17120" s="4" t="s">
        <v>10753</v>
      </c>
      <c r="B17120" s="4">
        <v>52814</v>
      </c>
      <c r="D17120" s="5" t="s">
        <v>20707</v>
      </c>
      <c r="E17120" s="6" t="str">
        <f>HYPERLINK("https://inpn.mnhn.fr/espece/cd_nom/52814","Lasius alienus (Förster, 1850)")</f>
        <v>Lasius alienus (Förster, 1850)</v>
      </c>
      <c r="AH17120" s="4" t="str">
        <f>HYPERLINK("#Statut_biogéographique!A"&amp;_xlfn.XMATCH("P",Statut_biogéographique!A:A,2,1),"P")</f>
        <v>P</v>
      </c>
      <c r="AP17120" s="4" t="s">
        <v>376</v>
      </c>
      <c r="AR17120" s="4" t="s">
        <v>377</v>
      </c>
    </row>
    <row r="17121" spans="1:44">
      <c r="A17121" s="4" t="s">
        <v>10753</v>
      </c>
      <c r="B17121" s="4">
        <v>52815</v>
      </c>
      <c r="D17121" s="5" t="s">
        <v>20708</v>
      </c>
      <c r="E17121" s="6" t="str">
        <f>HYPERLINK("https://inpn.mnhn.fr/espece/cd_nom/52815","Lasius brunneus (Latreille, 1798)")</f>
        <v>Lasius brunneus (Latreille, 1798)</v>
      </c>
      <c r="AH17121" s="4" t="str">
        <f>HYPERLINK("#Statut_biogéographique!A"&amp;_xlfn.XMATCH("P",Statut_biogéographique!A:A,2,1),"P")</f>
        <v>P</v>
      </c>
      <c r="AP17121" s="4" t="s">
        <v>376</v>
      </c>
      <c r="AR17121" s="4" t="s">
        <v>377</v>
      </c>
    </row>
    <row r="17122" spans="1:44">
      <c r="A17122" s="4" t="s">
        <v>10753</v>
      </c>
      <c r="B17122" s="4">
        <v>52816</v>
      </c>
      <c r="D17122" s="5" t="s">
        <v>20709</v>
      </c>
      <c r="E17122" s="6" t="str">
        <f>HYPERLINK("https://inpn.mnhn.fr/espece/cd_nom/52816","Lasius emarginatus (Olivier, 1792)")</f>
        <v>Lasius emarginatus (Olivier, 1792)</v>
      </c>
      <c r="F17122" s="5" t="s">
        <v>20710</v>
      </c>
      <c r="AH17122" s="4" t="str">
        <f>HYPERLINK("#Statut_biogéographique!A"&amp;_xlfn.XMATCH("P",Statut_biogéographique!A:A,2,1),"P")</f>
        <v>P</v>
      </c>
      <c r="AP17122" s="4" t="s">
        <v>376</v>
      </c>
      <c r="AR17122" s="4" t="s">
        <v>377</v>
      </c>
    </row>
    <row r="17123" spans="1:44">
      <c r="A17123" s="4" t="s">
        <v>10753</v>
      </c>
      <c r="B17123" s="4">
        <v>52817</v>
      </c>
      <c r="D17123" s="5" t="s">
        <v>20711</v>
      </c>
      <c r="E17123" s="6" t="str">
        <f>HYPERLINK("https://inpn.mnhn.fr/espece/cd_nom/52817","Lasius niger (Linnaeus, 1758)")</f>
        <v>Lasius niger (Linnaeus, 1758)</v>
      </c>
      <c r="F17123" s="5" t="s">
        <v>20712</v>
      </c>
      <c r="AH17123" s="4" t="str">
        <f>HYPERLINK("#Statut_biogéographique!A"&amp;_xlfn.XMATCH("P",Statut_biogéographique!A:A,2,1),"P")</f>
        <v>P</v>
      </c>
      <c r="AP17123" s="4" t="s">
        <v>376</v>
      </c>
      <c r="AR17123" s="4" t="s">
        <v>377</v>
      </c>
    </row>
    <row r="17124" spans="1:44" ht="30">
      <c r="A17124" s="4" t="s">
        <v>10753</v>
      </c>
      <c r="B17124" s="4">
        <v>52818</v>
      </c>
      <c r="D17124" s="5" t="s">
        <v>20713</v>
      </c>
      <c r="E17124" s="6" t="str">
        <f>HYPERLINK("https://inpn.mnhn.fr/espece/cd_nom/52818","Lasius umbratus (Nylander, 1846)")</f>
        <v>Lasius umbratus (Nylander, 1846)</v>
      </c>
      <c r="AH17124" s="4" t="str">
        <f>HYPERLINK("#Statut_biogéographique!A"&amp;_xlfn.XMATCH("P",Statut_biogéographique!A:A,2,1),"P")</f>
        <v>P</v>
      </c>
      <c r="AP17124" s="4" t="s">
        <v>376</v>
      </c>
      <c r="AR17124" s="4" t="s">
        <v>377</v>
      </c>
    </row>
    <row r="17125" spans="1:44">
      <c r="A17125" s="4" t="s">
        <v>10753</v>
      </c>
      <c r="B17125" s="4">
        <v>52822</v>
      </c>
      <c r="D17125" s="5" t="s">
        <v>20714</v>
      </c>
      <c r="E17125" s="6" t="str">
        <f>HYPERLINK("https://inpn.mnhn.fr/espece/cd_nom/52822","Plagiolepis pygmaea (Latreille, 1798)")</f>
        <v>Plagiolepis pygmaea (Latreille, 1798)</v>
      </c>
      <c r="AH17125" s="4" t="str">
        <f>HYPERLINK("#Statut_biogéographique!A"&amp;_xlfn.XMATCH("P",Statut_biogéographique!A:A,2,1),"P")</f>
        <v>P</v>
      </c>
      <c r="AP17125" s="4" t="s">
        <v>376</v>
      </c>
      <c r="AR17125" s="4" t="s">
        <v>377</v>
      </c>
    </row>
    <row r="17126" spans="1:44" ht="45">
      <c r="A17126" s="4" t="s">
        <v>10753</v>
      </c>
      <c r="B17126" s="4">
        <v>52831</v>
      </c>
      <c r="D17126" s="5" t="s">
        <v>20715</v>
      </c>
      <c r="E17126" s="6" t="str">
        <f>HYPERLINK("https://inpn.mnhn.fr/espece/cd_nom/52831","Tapinoma erraticum (Latreille, 1798)")</f>
        <v>Tapinoma erraticum (Latreille, 1798)</v>
      </c>
      <c r="AH17126" s="4" t="str">
        <f>HYPERLINK("#Statut_biogéographique!A"&amp;_xlfn.XMATCH("P",Statut_biogéographique!A:A,2,1),"P")</f>
        <v>P</v>
      </c>
      <c r="AP17126" s="4" t="s">
        <v>376</v>
      </c>
      <c r="AR17126" s="4" t="s">
        <v>377</v>
      </c>
    </row>
    <row r="17127" spans="1:44">
      <c r="A17127" s="4" t="s">
        <v>10753</v>
      </c>
      <c r="B17127" s="4">
        <v>52832</v>
      </c>
      <c r="D17127" s="5" t="s">
        <v>20716</v>
      </c>
      <c r="E17127" s="6" t="str">
        <f>HYPERLINK("https://inpn.mnhn.fr/espece/cd_nom/52832","Tapinoma nigerrimum (Nylander, 1856)")</f>
        <v>Tapinoma nigerrimum (Nylander, 1856)</v>
      </c>
      <c r="AH17127" s="4" t="str">
        <f>HYPERLINK("#Statut_biogéographique!A"&amp;_xlfn.XMATCH("P",Statut_biogéographique!A:A,2,1),"P")</f>
        <v>P</v>
      </c>
      <c r="AP17127" s="4" t="s">
        <v>376</v>
      </c>
      <c r="AR17127" s="4" t="s">
        <v>377</v>
      </c>
    </row>
    <row r="17128" spans="1:44" ht="45">
      <c r="A17128" s="4" t="s">
        <v>10753</v>
      </c>
      <c r="B17128" s="4">
        <v>52834</v>
      </c>
      <c r="D17128" s="5" t="s">
        <v>20717</v>
      </c>
      <c r="E17128" s="6" t="str">
        <f>HYPERLINK("https://inpn.mnhn.fr/espece/cd_nom/52834","Tetramorium caespitum (Linnaeus, 1758)")</f>
        <v>Tetramorium caespitum (Linnaeus, 1758)</v>
      </c>
      <c r="F17128" s="5" t="s">
        <v>20718</v>
      </c>
      <c r="AH17128" s="4" t="str">
        <f>HYPERLINK("#Statut_biogéographique!A"&amp;_xlfn.XMATCH("P",Statut_biogéographique!A:A,2,1),"P")</f>
        <v>P</v>
      </c>
      <c r="AP17128" s="4" t="s">
        <v>376</v>
      </c>
      <c r="AR17128" s="4" t="s">
        <v>377</v>
      </c>
    </row>
    <row r="17129" spans="1:44">
      <c r="A17129" s="4" t="s">
        <v>10753</v>
      </c>
      <c r="B17129" s="4">
        <v>52835</v>
      </c>
      <c r="D17129" s="5" t="s">
        <v>20719</v>
      </c>
      <c r="E17129" s="6" t="str">
        <f>HYPERLINK("https://inpn.mnhn.fr/espece/cd_nom/52835","Tetramorium semilaeve André, 1883")</f>
        <v>Tetramorium semilaeve André, 1883</v>
      </c>
      <c r="AH17129" s="4" t="str">
        <f>HYPERLINK("#Statut_biogéographique!A"&amp;_xlfn.XMATCH("P",Statut_biogéographique!A:A,2,1),"P")</f>
        <v>P</v>
      </c>
      <c r="AP17129" s="4" t="s">
        <v>376</v>
      </c>
      <c r="AR17129" s="4" t="s">
        <v>377</v>
      </c>
    </row>
    <row r="17130" spans="1:44" ht="30">
      <c r="A17130" s="4" t="s">
        <v>10753</v>
      </c>
      <c r="B17130" s="4">
        <v>52838</v>
      </c>
      <c r="D17130" s="5" t="s">
        <v>20720</v>
      </c>
      <c r="E17130" s="6" t="str">
        <f>HYPERLINK("https://inpn.mnhn.fr/espece/cd_nom/52838","Arachnospila fumipennis (Zetterstedt, 1838)")</f>
        <v>Arachnospila fumipennis (Zetterstedt, 1838)</v>
      </c>
      <c r="AH17130" s="4" t="str">
        <f>HYPERLINK("#Statut_biogéographique!A"&amp;_xlfn.XMATCH("P",Statut_biogéographique!A:A,2,1),"P")</f>
        <v>P</v>
      </c>
      <c r="AP17130" s="4" t="s">
        <v>376</v>
      </c>
      <c r="AR17130" s="4" t="s">
        <v>377</v>
      </c>
    </row>
    <row r="17131" spans="1:44">
      <c r="A17131" s="4" t="s">
        <v>10753</v>
      </c>
      <c r="B17131" s="4">
        <v>52839</v>
      </c>
      <c r="D17131" s="5" t="s">
        <v>20721</v>
      </c>
      <c r="E17131" s="6" t="str">
        <f>HYPERLINK("https://inpn.mnhn.fr/espece/cd_nom/52839","Arachnospila spissa (Schioedte, 1837)")</f>
        <v>Arachnospila spissa (Schioedte, 1837)</v>
      </c>
      <c r="AH17131" s="4" t="str">
        <f>HYPERLINK("#Statut_biogéographique!A"&amp;_xlfn.XMATCH("P",Statut_biogéographique!A:A,2,1),"P")</f>
        <v>P</v>
      </c>
      <c r="AP17131" s="4" t="s">
        <v>376</v>
      </c>
      <c r="AR17131" s="4" t="s">
        <v>377</v>
      </c>
    </row>
    <row r="17132" spans="1:44" ht="30">
      <c r="A17132" s="4" t="s">
        <v>10753</v>
      </c>
      <c r="B17132" s="4">
        <v>52848</v>
      </c>
      <c r="D17132" s="5" t="s">
        <v>20722</v>
      </c>
      <c r="E17132" s="6" t="str">
        <f>HYPERLINK("https://inpn.mnhn.fr/espece/cd_nom/52848","Anoplius nigerrimus (Scopoli, 1763)")</f>
        <v>Anoplius nigerrimus (Scopoli, 1763)</v>
      </c>
      <c r="AH17132" s="4" t="str">
        <f>HYPERLINK("#Statut_biogéographique!A"&amp;_xlfn.XMATCH("P",Statut_biogéographique!A:A,2,1),"P")</f>
        <v>P</v>
      </c>
      <c r="AP17132" s="4" t="s">
        <v>376</v>
      </c>
      <c r="AR17132" s="4" t="s">
        <v>377</v>
      </c>
    </row>
    <row r="17133" spans="1:44">
      <c r="A17133" s="4" t="s">
        <v>10753</v>
      </c>
      <c r="B17133" s="4">
        <v>52850</v>
      </c>
      <c r="D17133" s="5" t="s">
        <v>20723</v>
      </c>
      <c r="E17133" s="6" t="str">
        <f>HYPERLINK("https://inpn.mnhn.fr/espece/cd_nom/52850","Aporus unicolor Spinola, 1807")</f>
        <v>Aporus unicolor Spinola, 1807</v>
      </c>
      <c r="AH17133" s="4" t="str">
        <f>HYPERLINK("#Statut_biogéographique!A"&amp;_xlfn.XMATCH("P",Statut_biogéographique!A:A,2,1),"P")</f>
        <v>P</v>
      </c>
      <c r="AP17133" s="4" t="s">
        <v>376</v>
      </c>
      <c r="AR17133" s="4" t="s">
        <v>377</v>
      </c>
    </row>
    <row r="17134" spans="1:44" ht="45">
      <c r="A17134" s="4" t="s">
        <v>10753</v>
      </c>
      <c r="B17134" s="4">
        <v>52852</v>
      </c>
      <c r="D17134" s="5" t="s">
        <v>20724</v>
      </c>
      <c r="E17134" s="6" t="str">
        <f>HYPERLINK("https://inpn.mnhn.fr/espece/cd_nom/52852","Episyron rufipes (Linnaeus, 1758)")</f>
        <v>Episyron rufipes (Linnaeus, 1758)</v>
      </c>
      <c r="AH17134" s="4" t="str">
        <f>HYPERLINK("#Statut_biogéographique!A"&amp;_xlfn.XMATCH("P",Statut_biogéographique!A:A,2,1),"P")</f>
        <v>P</v>
      </c>
      <c r="AP17134" s="4" t="s">
        <v>376</v>
      </c>
      <c r="AR17134" s="4" t="s">
        <v>377</v>
      </c>
    </row>
    <row r="17135" spans="1:44" ht="30">
      <c r="A17135" s="4" t="s">
        <v>10753</v>
      </c>
      <c r="B17135" s="4">
        <v>528528</v>
      </c>
      <c r="D17135" s="5" t="s">
        <v>20725</v>
      </c>
      <c r="E17135" s="6" t="str">
        <f>HYPERLINK("https://inpn.mnhn.fr/espece/cd_nom/528528","Sphaerium lacustre (O.F. Müller, 1774)")</f>
        <v>Sphaerium lacustre (O.F. Müller, 1774)</v>
      </c>
      <c r="F17135" s="5" t="s">
        <v>20726</v>
      </c>
      <c r="O17135" s="7" t="str">
        <f>HYPERLINK("#Liste_rouge!A"&amp;_xlfn.XMATCH("LC",Liste_rouge!A:A,2,1),"LC")</f>
        <v>LC</v>
      </c>
      <c r="P17135" s="7" t="str">
        <f>HYPERLINK("#Liste_rouge!A"&amp;_xlfn.XMATCH("LC",Liste_rouge!A:A,2,1),"LC")</f>
        <v>LC</v>
      </c>
      <c r="Q17135" s="7" t="str">
        <f>HYPERLINK("#Liste_rouge!A"&amp;_xlfn.XMATCH("LC",Liste_rouge!A:A,2,1),"LC")</f>
        <v>LC</v>
      </c>
      <c r="AH17135" s="4" t="str">
        <f>HYPERLINK("#Statut_biogéographique!A"&amp;_xlfn.XMATCH("P",Statut_biogéographique!A:A,2,1),"P")</f>
        <v>P</v>
      </c>
      <c r="AP17135" s="4" t="s">
        <v>376</v>
      </c>
      <c r="AR17135" s="4" t="s">
        <v>377</v>
      </c>
    </row>
    <row r="17136" spans="1:44" ht="30">
      <c r="A17136" s="4" t="s">
        <v>10753</v>
      </c>
      <c r="B17136" s="4">
        <v>528530</v>
      </c>
      <c r="D17136" s="5" t="s">
        <v>20727</v>
      </c>
      <c r="E17136" s="6" t="str">
        <f>HYPERLINK("https://inpn.mnhn.fr/espece/cd_nom/528530","Odhneripisidium moitessierianum (Paladilhe, 1866)")</f>
        <v>Odhneripisidium moitessierianum (Paladilhe, 1866)</v>
      </c>
      <c r="F17136" s="5" t="s">
        <v>20728</v>
      </c>
      <c r="P17136" s="7" t="str">
        <f>HYPERLINK("#Liste_rouge!A"&amp;_xlfn.XMATCH("LC",Liste_rouge!A:A,2,1),"LC")</f>
        <v>LC</v>
      </c>
      <c r="Q17136" s="7" t="str">
        <f>HYPERLINK("#Liste_rouge!A"&amp;_xlfn.XMATCH("LC",Liste_rouge!A:A,2,1),"LC")</f>
        <v>LC</v>
      </c>
      <c r="AH17136" s="4" t="str">
        <f>HYPERLINK("#Statut_biogéographique!A"&amp;_xlfn.XMATCH("P",Statut_biogéographique!A:A,2,1),"P")</f>
        <v>P</v>
      </c>
      <c r="AP17136" s="4" t="s">
        <v>376</v>
      </c>
      <c r="AR17136" s="4" t="s">
        <v>377</v>
      </c>
    </row>
    <row r="17137" spans="1:44">
      <c r="A17137" s="4" t="s">
        <v>10753</v>
      </c>
      <c r="B17137" s="4">
        <v>528547</v>
      </c>
      <c r="D17137" s="5" t="s">
        <v>20729</v>
      </c>
      <c r="E17137" s="6" t="str">
        <f>HYPERLINK("https://inpn.mnhn.fr/espece/cd_nom/528547","Odhneripisidium conventus (Clessin, 1877)")</f>
        <v>Odhneripisidium conventus (Clessin, 1877)</v>
      </c>
      <c r="F17137" s="5" t="s">
        <v>20730</v>
      </c>
      <c r="O17137" s="7" t="str">
        <f>HYPERLINK("#Liste_rouge!A"&amp;_xlfn.XMATCH("LC",Liste_rouge!A:A,2,1),"LC")</f>
        <v>LC</v>
      </c>
      <c r="P17137" s="7" t="str">
        <f>HYPERLINK("#Liste_rouge!A"&amp;_xlfn.XMATCH("LC",Liste_rouge!A:A,2,1),"LC")</f>
        <v>LC</v>
      </c>
      <c r="Q17137" s="7" t="str">
        <f>HYPERLINK("#Liste_rouge!A"&amp;_xlfn.XMATCH("VU",Liste_rouge!A:A,2,1),"VU")</f>
        <v>VU</v>
      </c>
      <c r="AH17137" s="4" t="str">
        <f>HYPERLINK("#Statut_biogéographique!A"&amp;_xlfn.XMATCH("P",Statut_biogéographique!A:A,2,1),"P")</f>
        <v>P</v>
      </c>
      <c r="AP17137" s="4" t="s">
        <v>376</v>
      </c>
      <c r="AR17137" s="4" t="s">
        <v>377</v>
      </c>
    </row>
    <row r="17138" spans="1:44" ht="30">
      <c r="A17138" s="4" t="s">
        <v>10753</v>
      </c>
      <c r="B17138" s="4">
        <v>52855</v>
      </c>
      <c r="D17138" s="5" t="s">
        <v>20731</v>
      </c>
      <c r="E17138" s="6" t="str">
        <f>HYPERLINK("https://inpn.mnhn.fr/espece/cd_nom/52855","Pompilus cinereus (Fabricius, 1775)")</f>
        <v>Pompilus cinereus (Fabricius, 1775)</v>
      </c>
      <c r="AH17138" s="4" t="str">
        <f>HYPERLINK("#Statut_biogéographique!A"&amp;_xlfn.XMATCH("P",Statut_biogéographique!A:A,2,1),"P")</f>
        <v>P</v>
      </c>
      <c r="AP17138" s="4" t="s">
        <v>376</v>
      </c>
      <c r="AR17138" s="4" t="s">
        <v>377</v>
      </c>
    </row>
    <row r="17139" spans="1:44" ht="30">
      <c r="A17139" s="4" t="s">
        <v>10753</v>
      </c>
      <c r="B17139" s="4">
        <v>52860</v>
      </c>
      <c r="D17139" s="5" t="s">
        <v>20732</v>
      </c>
      <c r="E17139" s="6" t="str">
        <f>HYPERLINK("https://inpn.mnhn.fr/espece/cd_nom/52860","Priocnemis exaltata (Fabricius, 1775)")</f>
        <v>Priocnemis exaltata (Fabricius, 1775)</v>
      </c>
      <c r="AH17139" s="4" t="str">
        <f>HYPERLINK("#Statut_biogéographique!A"&amp;_xlfn.XMATCH("P",Statut_biogéographique!A:A,2,1),"P")</f>
        <v>P</v>
      </c>
      <c r="AP17139" s="4" t="s">
        <v>376</v>
      </c>
      <c r="AR17139" s="4" t="s">
        <v>377</v>
      </c>
    </row>
    <row r="17140" spans="1:44">
      <c r="A17140" s="4" t="s">
        <v>10753</v>
      </c>
      <c r="B17140" s="4">
        <v>52861</v>
      </c>
      <c r="D17140" s="5">
        <v>52861</v>
      </c>
      <c r="E17140" s="6" t="str">
        <f>HYPERLINK("https://inpn.mnhn.fr/espece/cd_nom/52861","Priocnemis fennica Haupt, 1927")</f>
        <v>Priocnemis fennica Haupt, 1927</v>
      </c>
      <c r="AH17140" s="4" t="str">
        <f>HYPERLINK("#Statut_biogéographique!A"&amp;_xlfn.XMATCH("P",Statut_biogéographique!A:A,2,1),"P")</f>
        <v>P</v>
      </c>
      <c r="AP17140" s="4" t="s">
        <v>376</v>
      </c>
      <c r="AR17140" s="4" t="s">
        <v>377</v>
      </c>
    </row>
    <row r="17141" spans="1:44" ht="30">
      <c r="A17141" s="4" t="s">
        <v>10753</v>
      </c>
      <c r="B17141" s="4">
        <v>52877</v>
      </c>
      <c r="D17141" s="5" t="s">
        <v>20733</v>
      </c>
      <c r="E17141" s="6" t="str">
        <f>HYPERLINK("https://inpn.mnhn.fr/espece/cd_nom/52877","Polistes biglumis (Linnaeus, 1758)")</f>
        <v>Polistes biglumis (Linnaeus, 1758)</v>
      </c>
      <c r="F17141" s="5" t="s">
        <v>20734</v>
      </c>
      <c r="AH17141" s="4" t="str">
        <f>HYPERLINK("#Statut_biogéographique!A"&amp;_xlfn.XMATCH("P",Statut_biogéographique!A:A,2,1),"P")</f>
        <v>P</v>
      </c>
      <c r="AP17141" s="4" t="s">
        <v>376</v>
      </c>
      <c r="AR17141" s="4" t="s">
        <v>377</v>
      </c>
    </row>
    <row r="17142" spans="1:44">
      <c r="A17142" s="4" t="s">
        <v>10753</v>
      </c>
      <c r="B17142" s="4">
        <v>52880</v>
      </c>
      <c r="D17142" s="5" t="s">
        <v>20735</v>
      </c>
      <c r="E17142" s="6" t="str">
        <f>HYPERLINK("https://inpn.mnhn.fr/espece/cd_nom/52880","Polistes bischoffi Weyrauch, 1937")</f>
        <v>Polistes bischoffi Weyrauch, 1937</v>
      </c>
      <c r="AH17142" s="4" t="str">
        <f>HYPERLINK("#Statut_biogéographique!A"&amp;_xlfn.XMATCH("P",Statut_biogéographique!A:A,2,1),"P")</f>
        <v>P</v>
      </c>
      <c r="AP17142" s="4" t="s">
        <v>376</v>
      </c>
      <c r="AR17142" s="4" t="s">
        <v>377</v>
      </c>
    </row>
    <row r="17143" spans="1:44">
      <c r="A17143" s="4" t="s">
        <v>10753</v>
      </c>
      <c r="B17143" s="4">
        <v>52883</v>
      </c>
      <c r="D17143" s="5" t="s">
        <v>20736</v>
      </c>
      <c r="E17143" s="6" t="str">
        <f>HYPERLINK("https://inpn.mnhn.fr/espece/cd_nom/52883","Polistes gallicus (Linnaeus, 1767)")</f>
        <v>Polistes gallicus (Linnaeus, 1767)</v>
      </c>
      <c r="AH17143" s="4" t="str">
        <f>HYPERLINK("#Statut_biogéographique!A"&amp;_xlfn.XMATCH("P",Statut_biogéographique!A:A,2,1),"P")</f>
        <v>P</v>
      </c>
      <c r="AP17143" s="4" t="s">
        <v>376</v>
      </c>
      <c r="AR17143" s="4" t="s">
        <v>377</v>
      </c>
    </row>
    <row r="17144" spans="1:44">
      <c r="A17144" s="4" t="s">
        <v>10753</v>
      </c>
      <c r="B17144" s="4">
        <v>528834</v>
      </c>
      <c r="D17144" s="5" t="s">
        <v>20737</v>
      </c>
      <c r="E17144" s="6" t="str">
        <f>HYPERLINK("https://inpn.mnhn.fr/espece/cd_nom/528834","Drassodex lesserti (Schenkel, 1936)")</f>
        <v>Drassodex lesserti (Schenkel, 1936)</v>
      </c>
      <c r="Q17144" s="7" t="str">
        <f>HYPERLINK("#Liste_rouge!A"&amp;_xlfn.XMATCH("LC",Liste_rouge!A:A,2,1),"LC")</f>
        <v>LC</v>
      </c>
      <c r="AH17144" s="4" t="str">
        <f>HYPERLINK("#Statut_biogéographique!A"&amp;_xlfn.XMATCH("S",Statut_biogéographique!A:A,2,1),"S")</f>
        <v>S</v>
      </c>
      <c r="AP17144" s="4" t="s">
        <v>376</v>
      </c>
      <c r="AR17144" s="4" t="s">
        <v>377</v>
      </c>
    </row>
    <row r="17145" spans="1:44">
      <c r="A17145" s="4" t="s">
        <v>10753</v>
      </c>
      <c r="B17145" s="4">
        <v>52886</v>
      </c>
      <c r="D17145" s="5">
        <v>52886</v>
      </c>
      <c r="E17145" s="6" t="str">
        <f>HYPERLINK("https://inpn.mnhn.fr/espece/cd_nom/52886","Vespa crabro Linnaeus, 1758")</f>
        <v>Vespa crabro Linnaeus, 1758</v>
      </c>
      <c r="F17145" s="5" t="s">
        <v>20738</v>
      </c>
      <c r="AH17145" s="4" t="str">
        <f>HYPERLINK("#Statut_biogéographique!A"&amp;_xlfn.XMATCH("P",Statut_biogéographique!A:A,2,1),"P")</f>
        <v>P</v>
      </c>
      <c r="AP17145" s="4" t="s">
        <v>376</v>
      </c>
      <c r="AR17145" s="4" t="s">
        <v>377</v>
      </c>
    </row>
    <row r="17146" spans="1:44" ht="30">
      <c r="A17146" s="4" t="s">
        <v>10753</v>
      </c>
      <c r="B17146" s="4">
        <v>52888</v>
      </c>
      <c r="D17146" s="5" t="s">
        <v>20739</v>
      </c>
      <c r="E17146" s="6" t="str">
        <f>HYPERLINK("https://inpn.mnhn.fr/espece/cd_nom/52888","Dolichovespula adulterina (du Buysson, 1905)")</f>
        <v>Dolichovespula adulterina (du Buysson, 1905)</v>
      </c>
      <c r="F17146" s="5" t="s">
        <v>20740</v>
      </c>
      <c r="AH17146" s="4" t="str">
        <f>HYPERLINK("#Statut_biogéographique!A"&amp;_xlfn.XMATCH("P",Statut_biogéographique!A:A,2,1),"P")</f>
        <v>P</v>
      </c>
      <c r="AP17146" s="4" t="s">
        <v>376</v>
      </c>
      <c r="AR17146" s="4" t="s">
        <v>377</v>
      </c>
    </row>
    <row r="17147" spans="1:44">
      <c r="A17147" s="4" t="s">
        <v>10753</v>
      </c>
      <c r="B17147" s="4">
        <v>52889</v>
      </c>
      <c r="D17147" s="5" t="s">
        <v>20741</v>
      </c>
      <c r="E17147" s="6" t="str">
        <f>HYPERLINK("https://inpn.mnhn.fr/espece/cd_nom/52889","Dolichovespula media (Retzius, 1783)")</f>
        <v>Dolichovespula media (Retzius, 1783)</v>
      </c>
      <c r="F17147" s="5" t="s">
        <v>20742</v>
      </c>
      <c r="AH17147" s="4" t="str">
        <f>HYPERLINK("#Statut_biogéographique!A"&amp;_xlfn.XMATCH("P",Statut_biogéographique!A:A,2,1),"P")</f>
        <v>P</v>
      </c>
      <c r="AP17147" s="4" t="s">
        <v>376</v>
      </c>
      <c r="AR17147" s="4" t="s">
        <v>377</v>
      </c>
    </row>
    <row r="17148" spans="1:44">
      <c r="A17148" s="4" t="s">
        <v>10753</v>
      </c>
      <c r="B17148" s="4">
        <v>52891</v>
      </c>
      <c r="D17148" s="5" t="s">
        <v>20743</v>
      </c>
      <c r="E17148" s="6" t="str">
        <f>HYPERLINK("https://inpn.mnhn.fr/espece/cd_nom/52891","Dolichovespula omissa (Bischoff, 1931)")</f>
        <v>Dolichovespula omissa (Bischoff, 1931)</v>
      </c>
      <c r="AH17148" s="4" t="str">
        <f>HYPERLINK("#Statut_biogéographique!A"&amp;_xlfn.XMATCH("P",Statut_biogéographique!A:A,2,1),"P")</f>
        <v>P</v>
      </c>
      <c r="AP17148" s="4" t="s">
        <v>376</v>
      </c>
      <c r="AR17148" s="4" t="s">
        <v>377</v>
      </c>
    </row>
    <row r="17149" spans="1:44">
      <c r="A17149" s="4" t="s">
        <v>10753</v>
      </c>
      <c r="B17149" s="4">
        <v>52892</v>
      </c>
      <c r="D17149" s="5">
        <v>52892</v>
      </c>
      <c r="E17149" s="6" t="str">
        <f>HYPERLINK("https://inpn.mnhn.fr/espece/cd_nom/52892","Dolichovespula saxonica (Fabricius, 1793)")</f>
        <v>Dolichovespula saxonica (Fabricius, 1793)</v>
      </c>
      <c r="F17149" s="5" t="s">
        <v>20744</v>
      </c>
      <c r="AH17149" s="4" t="str">
        <f>HYPERLINK("#Statut_biogéographique!A"&amp;_xlfn.XMATCH("P",Statut_biogéographique!A:A,2,1),"P")</f>
        <v>P</v>
      </c>
      <c r="AP17149" s="4" t="s">
        <v>376</v>
      </c>
      <c r="AR17149" s="4" t="s">
        <v>377</v>
      </c>
    </row>
    <row r="17150" spans="1:44">
      <c r="A17150" s="4" t="s">
        <v>10753</v>
      </c>
      <c r="B17150" s="4">
        <v>52893</v>
      </c>
      <c r="D17150" s="5" t="s">
        <v>20745</v>
      </c>
      <c r="E17150" s="6" t="str">
        <f>HYPERLINK("https://inpn.mnhn.fr/espece/cd_nom/52893","Dolichovespula sylvestris (Scopoli, 1763)")</f>
        <v>Dolichovespula sylvestris (Scopoli, 1763)</v>
      </c>
      <c r="F17150" s="5" t="s">
        <v>20746</v>
      </c>
      <c r="AH17150" s="4" t="str">
        <f>HYPERLINK("#Statut_biogéographique!A"&amp;_xlfn.XMATCH("P",Statut_biogéographique!A:A,2,1),"P")</f>
        <v>P</v>
      </c>
      <c r="AP17150" s="4" t="s">
        <v>376</v>
      </c>
      <c r="AR17150" s="4" t="s">
        <v>377</v>
      </c>
    </row>
    <row r="17151" spans="1:44">
      <c r="A17151" s="4" t="s">
        <v>10753</v>
      </c>
      <c r="B17151" s="4">
        <v>52897</v>
      </c>
      <c r="D17151" s="5">
        <v>52897</v>
      </c>
      <c r="E17151" s="6" t="str">
        <f>HYPERLINK("https://inpn.mnhn.fr/espece/cd_nom/52897","Vespula austriaca (Panzer, 1799)")</f>
        <v>Vespula austriaca (Panzer, 1799)</v>
      </c>
      <c r="F17151" s="5" t="s">
        <v>20747</v>
      </c>
      <c r="AH17151" s="4" t="str">
        <f>HYPERLINK("#Statut_biogéographique!A"&amp;_xlfn.XMATCH("P",Statut_biogéographique!A:A,2,1),"P")</f>
        <v>P</v>
      </c>
      <c r="AP17151" s="4" t="s">
        <v>376</v>
      </c>
      <c r="AR17151" s="4" t="s">
        <v>377</v>
      </c>
    </row>
    <row r="17152" spans="1:44">
      <c r="A17152" s="4" t="s">
        <v>10753</v>
      </c>
      <c r="B17152" s="4">
        <v>52898</v>
      </c>
      <c r="D17152" s="5" t="s">
        <v>20748</v>
      </c>
      <c r="E17152" s="6" t="str">
        <f>HYPERLINK("https://inpn.mnhn.fr/espece/cd_nom/52898","Vespula germanica (Fabricius, 1793)")</f>
        <v>Vespula germanica (Fabricius, 1793)</v>
      </c>
      <c r="F17152" s="5" t="s">
        <v>20749</v>
      </c>
      <c r="AH17152" s="4" t="str">
        <f>HYPERLINK("#Statut_biogéographique!A"&amp;_xlfn.XMATCH("P",Statut_biogéographique!A:A,2,1),"P")</f>
        <v>P</v>
      </c>
      <c r="AP17152" s="4" t="s">
        <v>376</v>
      </c>
      <c r="AR17152" s="4" t="s">
        <v>377</v>
      </c>
    </row>
    <row r="17153" spans="1:44">
      <c r="A17153" s="4" t="s">
        <v>10753</v>
      </c>
      <c r="B17153" s="4">
        <v>52900</v>
      </c>
      <c r="D17153" s="5" t="s">
        <v>20750</v>
      </c>
      <c r="E17153" s="6" t="str">
        <f>HYPERLINK("https://inpn.mnhn.fr/espece/cd_nom/52900","Vespula rufa (Linnaeus, 1758)")</f>
        <v>Vespula rufa (Linnaeus, 1758)</v>
      </c>
      <c r="F17153" s="5" t="s">
        <v>20751</v>
      </c>
      <c r="AH17153" s="4" t="str">
        <f>HYPERLINK("#Statut_biogéographique!A"&amp;_xlfn.XMATCH("P",Statut_biogéographique!A:A,2,1),"P")</f>
        <v>P</v>
      </c>
      <c r="AP17153" s="4" t="s">
        <v>376</v>
      </c>
      <c r="AR17153" s="4" t="s">
        <v>377</v>
      </c>
    </row>
    <row r="17154" spans="1:44">
      <c r="A17154" s="4" t="s">
        <v>10753</v>
      </c>
      <c r="B17154" s="4">
        <v>52902</v>
      </c>
      <c r="D17154" s="5" t="s">
        <v>20752</v>
      </c>
      <c r="E17154" s="6" t="str">
        <f>HYPERLINK("https://inpn.mnhn.fr/espece/cd_nom/52902","Vespula vulgaris (Linnaeus, 1758)")</f>
        <v>Vespula vulgaris (Linnaeus, 1758)</v>
      </c>
      <c r="F17154" s="5" t="s">
        <v>20753</v>
      </c>
      <c r="AH17154" s="4" t="str">
        <f>HYPERLINK("#Statut_biogéographique!A"&amp;_xlfn.XMATCH("P",Statut_biogéographique!A:A,2,1),"P")</f>
        <v>P</v>
      </c>
      <c r="AP17154" s="4" t="s">
        <v>376</v>
      </c>
      <c r="AR17154" s="4" t="s">
        <v>377</v>
      </c>
    </row>
    <row r="17155" spans="1:44">
      <c r="A17155" s="4" t="s">
        <v>10753</v>
      </c>
      <c r="B17155" s="4">
        <v>52907</v>
      </c>
      <c r="D17155" s="5" t="s">
        <v>20754</v>
      </c>
      <c r="E17155" s="6" t="str">
        <f>HYPERLINK("https://inpn.mnhn.fr/espece/cd_nom/52907","Lestica clypeata (Schreber, 1759)")</f>
        <v>Lestica clypeata (Schreber, 1759)</v>
      </c>
      <c r="AH17155" s="4" t="str">
        <f>HYPERLINK("#Statut_biogéographique!A"&amp;_xlfn.XMATCH("P",Statut_biogéographique!A:A,2,1),"P")</f>
        <v>P</v>
      </c>
      <c r="AP17155" s="4" t="s">
        <v>376</v>
      </c>
      <c r="AR17155" s="4" t="s">
        <v>377</v>
      </c>
    </row>
    <row r="17156" spans="1:44">
      <c r="A17156" s="4" t="s">
        <v>10753</v>
      </c>
      <c r="B17156" s="4">
        <v>52911</v>
      </c>
      <c r="D17156" s="5" t="s">
        <v>20755</v>
      </c>
      <c r="E17156" s="6" t="str">
        <f>HYPERLINK("https://inpn.mnhn.fr/espece/cd_nom/52911","Ectemnius borealis (Zetterstedt, 1838)")</f>
        <v>Ectemnius borealis (Zetterstedt, 1838)</v>
      </c>
      <c r="AH17156" s="4" t="str">
        <f>HYPERLINK("#Statut_biogéographique!A"&amp;_xlfn.XMATCH("P",Statut_biogéographique!A:A,2,1),"P")</f>
        <v>P</v>
      </c>
      <c r="AP17156" s="4" t="s">
        <v>376</v>
      </c>
      <c r="AR17156" s="4" t="s">
        <v>377</v>
      </c>
    </row>
    <row r="17157" spans="1:44">
      <c r="A17157" s="4" t="s">
        <v>10753</v>
      </c>
      <c r="B17157" s="4">
        <v>52913</v>
      </c>
      <c r="D17157" s="5" t="s">
        <v>20756</v>
      </c>
      <c r="E17157" s="6" t="str">
        <f>HYPERLINK("https://inpn.mnhn.fr/espece/cd_nom/52913","Ectemnius continuus (Fabricius, 1804)")</f>
        <v>Ectemnius continuus (Fabricius, 1804)</v>
      </c>
      <c r="AH17157" s="4" t="str">
        <f>HYPERLINK("#Statut_biogéographique!A"&amp;_xlfn.XMATCH("P",Statut_biogéographique!A:A,2,1),"P")</f>
        <v>P</v>
      </c>
      <c r="AP17157" s="4" t="s">
        <v>376</v>
      </c>
      <c r="AR17157" s="4" t="s">
        <v>377</v>
      </c>
    </row>
    <row r="17158" spans="1:44">
      <c r="A17158" s="4" t="s">
        <v>10753</v>
      </c>
      <c r="B17158" s="4">
        <v>52916</v>
      </c>
      <c r="D17158" s="5">
        <v>52916</v>
      </c>
      <c r="E17158" s="6" t="str">
        <f>HYPERLINK("https://inpn.mnhn.fr/espece/cd_nom/52916","Ectemnius dives (Lepeletier &amp; Brullé, 1835)")</f>
        <v>Ectemnius dives (Lepeletier &amp; Brullé, 1835)</v>
      </c>
      <c r="AH17158" s="4" t="str">
        <f>HYPERLINK("#Statut_biogéographique!A"&amp;_xlfn.XMATCH("P",Statut_biogéographique!A:A,2,1),"P")</f>
        <v>P</v>
      </c>
      <c r="AP17158" s="4" t="s">
        <v>376</v>
      </c>
      <c r="AR17158" s="4" t="s">
        <v>377</v>
      </c>
    </row>
    <row r="17159" spans="1:44">
      <c r="A17159" s="4" t="s">
        <v>10753</v>
      </c>
      <c r="B17159" s="4">
        <v>52917</v>
      </c>
      <c r="D17159" s="5" t="s">
        <v>20757</v>
      </c>
      <c r="E17159" s="6" t="str">
        <f>HYPERLINK("https://inpn.mnhn.fr/espece/cd_nom/52917","Ectemnius cephalotes (Olivier, 1792)")</f>
        <v>Ectemnius cephalotes (Olivier, 1792)</v>
      </c>
      <c r="AH17159" s="4" t="str">
        <f>HYPERLINK("#Statut_biogéographique!A"&amp;_xlfn.XMATCH("P",Statut_biogéographique!A:A,2,1),"P")</f>
        <v>P</v>
      </c>
      <c r="AP17159" s="4" t="s">
        <v>376</v>
      </c>
      <c r="AR17159" s="4" t="s">
        <v>377</v>
      </c>
    </row>
    <row r="17160" spans="1:44">
      <c r="A17160" s="4" t="s">
        <v>10753</v>
      </c>
      <c r="B17160" s="4">
        <v>52919</v>
      </c>
      <c r="D17160" s="5">
        <v>52919</v>
      </c>
      <c r="E17160" s="6" t="str">
        <f>HYPERLINK("https://inpn.mnhn.fr/espece/cd_nom/52919","Ectemnius guttatus (Vander Linden, 1829)")</f>
        <v>Ectemnius guttatus (Vander Linden, 1829)</v>
      </c>
      <c r="AH17160" s="4" t="str">
        <f>HYPERLINK("#Statut_biogéographique!A"&amp;_xlfn.XMATCH("P",Statut_biogéographique!A:A,2,1),"P")</f>
        <v>P</v>
      </c>
      <c r="AP17160" s="4" t="s">
        <v>376</v>
      </c>
      <c r="AR17160" s="4" t="s">
        <v>377</v>
      </c>
    </row>
    <row r="17161" spans="1:44">
      <c r="A17161" s="4" t="s">
        <v>10753</v>
      </c>
      <c r="B17161" s="4">
        <v>52921</v>
      </c>
      <c r="D17161" s="5" t="s">
        <v>20758</v>
      </c>
      <c r="E17161" s="6" t="str">
        <f>HYPERLINK("https://inpn.mnhn.fr/espece/cd_nom/52921","Ectemnius lapidarius (Panzer, 1804)")</f>
        <v>Ectemnius lapidarius (Panzer, 1804)</v>
      </c>
      <c r="AH17161" s="4" t="str">
        <f>HYPERLINK("#Statut_biogéographique!A"&amp;_xlfn.XMATCH("P",Statut_biogéographique!A:A,2,1),"P")</f>
        <v>P</v>
      </c>
      <c r="AP17161" s="4" t="s">
        <v>376</v>
      </c>
      <c r="AR17161" s="4" t="s">
        <v>377</v>
      </c>
    </row>
    <row r="17162" spans="1:44">
      <c r="A17162" s="4" t="s">
        <v>10753</v>
      </c>
      <c r="B17162" s="4">
        <v>52923</v>
      </c>
      <c r="D17162" s="5" t="s">
        <v>20759</v>
      </c>
      <c r="E17162" s="6" t="str">
        <f>HYPERLINK("https://inpn.mnhn.fr/espece/cd_nom/52923","Ectemnius lituratus (Panzer, 1804)")</f>
        <v>Ectemnius lituratus (Panzer, 1804)</v>
      </c>
      <c r="AH17162" s="4" t="str">
        <f>HYPERLINK("#Statut_biogéographique!A"&amp;_xlfn.XMATCH("P",Statut_biogéographique!A:A,2,1),"P")</f>
        <v>P</v>
      </c>
      <c r="AP17162" s="4" t="s">
        <v>376</v>
      </c>
      <c r="AR17162" s="4" t="s">
        <v>377</v>
      </c>
    </row>
    <row r="17163" spans="1:44">
      <c r="A17163" s="4" t="s">
        <v>10753</v>
      </c>
      <c r="B17163" s="4">
        <v>52925</v>
      </c>
      <c r="D17163" s="5" t="s">
        <v>20760</v>
      </c>
      <c r="E17163" s="6" t="str">
        <f>HYPERLINK("https://inpn.mnhn.fr/espece/cd_nom/52925","Ectemnius ruficornis (Zetterstedt, 1838)")</f>
        <v>Ectemnius ruficornis (Zetterstedt, 1838)</v>
      </c>
      <c r="AH17163" s="4" t="str">
        <f>HYPERLINK("#Statut_biogéographique!A"&amp;_xlfn.XMATCH("P",Statut_biogéographique!A:A,2,1),"P")</f>
        <v>P</v>
      </c>
      <c r="AP17163" s="4" t="s">
        <v>376</v>
      </c>
      <c r="AR17163" s="4" t="s">
        <v>377</v>
      </c>
    </row>
    <row r="17164" spans="1:44">
      <c r="A17164" s="4" t="s">
        <v>10753</v>
      </c>
      <c r="B17164" s="4">
        <v>52927</v>
      </c>
      <c r="D17164" s="5" t="s">
        <v>20761</v>
      </c>
      <c r="E17164" s="6" t="str">
        <f>HYPERLINK("https://inpn.mnhn.fr/espece/cd_nom/52927","Ectemnius rubicola (Dufour &amp; Perris, 1840)")</f>
        <v>Ectemnius rubicola (Dufour &amp; Perris, 1840)</v>
      </c>
      <c r="AH17164" s="4" t="str">
        <f>HYPERLINK("#Statut_biogéographique!A"&amp;_xlfn.XMATCH("P",Statut_biogéographique!A:A,2,1),"P")</f>
        <v>P</v>
      </c>
      <c r="AP17164" s="4" t="s">
        <v>376</v>
      </c>
      <c r="AR17164" s="4" t="s">
        <v>377</v>
      </c>
    </row>
    <row r="17165" spans="1:44">
      <c r="A17165" s="4" t="s">
        <v>10753</v>
      </c>
      <c r="B17165" s="4">
        <v>52931</v>
      </c>
      <c r="D17165" s="5" t="s">
        <v>20762</v>
      </c>
      <c r="E17165" s="6" t="str">
        <f>HYPERLINK("https://inpn.mnhn.fr/espece/cd_nom/52931","Ectemnius sexcinctus (Fabricius, 1775)")</f>
        <v>Ectemnius sexcinctus (Fabricius, 1775)</v>
      </c>
      <c r="AH17165" s="4" t="str">
        <f>HYPERLINK("#Statut_biogéographique!A"&amp;_xlfn.XMATCH("P",Statut_biogéographique!A:A,2,1),"P")</f>
        <v>P</v>
      </c>
      <c r="AP17165" s="4" t="s">
        <v>376</v>
      </c>
      <c r="AR17165" s="4" t="s">
        <v>377</v>
      </c>
    </row>
    <row r="17166" spans="1:44">
      <c r="A17166" s="4" t="s">
        <v>10753</v>
      </c>
      <c r="B17166" s="4">
        <v>52937</v>
      </c>
      <c r="D17166" s="5" t="s">
        <v>20763</v>
      </c>
      <c r="E17166" s="6" t="str">
        <f>HYPERLINK("https://inpn.mnhn.fr/espece/cd_nom/52937","Crossocerus assimilis (F. Smith, 1856)")</f>
        <v>Crossocerus assimilis (F. Smith, 1856)</v>
      </c>
      <c r="AH17166" s="4" t="str">
        <f>HYPERLINK("#Statut_biogéographique!A"&amp;_xlfn.XMATCH("P",Statut_biogéographique!A:A,2,1),"P")</f>
        <v>P</v>
      </c>
      <c r="AP17166" s="4" t="s">
        <v>376</v>
      </c>
      <c r="AR17166" s="4" t="s">
        <v>377</v>
      </c>
    </row>
    <row r="17167" spans="1:44">
      <c r="A17167" s="4" t="s">
        <v>10753</v>
      </c>
      <c r="B17167" s="4">
        <v>52938</v>
      </c>
      <c r="D17167" s="5" t="s">
        <v>20764</v>
      </c>
      <c r="E17167" s="6" t="str">
        <f>HYPERLINK("https://inpn.mnhn.fr/espece/cd_nom/52938","Crossocerus barbipes (Dahlbom, 1845)")</f>
        <v>Crossocerus barbipes (Dahlbom, 1845)</v>
      </c>
      <c r="AH17167" s="4" t="str">
        <f>HYPERLINK("#Statut_biogéographique!A"&amp;_xlfn.XMATCH("P",Statut_biogéographique!A:A,2,1),"P")</f>
        <v>P</v>
      </c>
      <c r="AP17167" s="4" t="s">
        <v>376</v>
      </c>
      <c r="AR17167" s="4" t="s">
        <v>377</v>
      </c>
    </row>
    <row r="17168" spans="1:44">
      <c r="A17168" s="4" t="s">
        <v>10753</v>
      </c>
      <c r="B17168" s="4">
        <v>52940</v>
      </c>
      <c r="D17168" s="5" t="s">
        <v>20765</v>
      </c>
      <c r="E17168" s="6" t="str">
        <f>HYPERLINK("https://inpn.mnhn.fr/espece/cd_nom/52940","Crossocerus cetratus (Shuckard, 1837)")</f>
        <v>Crossocerus cetratus (Shuckard, 1837)</v>
      </c>
      <c r="AH17168" s="4" t="str">
        <f>HYPERLINK("#Statut_biogéographique!A"&amp;_xlfn.XMATCH("P",Statut_biogéographique!A:A,2,1),"P")</f>
        <v>P</v>
      </c>
      <c r="AP17168" s="4" t="s">
        <v>376</v>
      </c>
      <c r="AR17168" s="4" t="s">
        <v>377</v>
      </c>
    </row>
    <row r="17169" spans="1:44">
      <c r="A17169" s="4" t="s">
        <v>10753</v>
      </c>
      <c r="B17169" s="4">
        <v>52942</v>
      </c>
      <c r="D17169" s="5" t="s">
        <v>20766</v>
      </c>
      <c r="E17169" s="6" t="str">
        <f>HYPERLINK("https://inpn.mnhn.fr/espece/cd_nom/52942","Crossocerus megacephalus (Rossi, 1790)")</f>
        <v>Crossocerus megacephalus (Rossi, 1790)</v>
      </c>
      <c r="AH17169" s="4" t="str">
        <f>HYPERLINK("#Statut_biogéographique!A"&amp;_xlfn.XMATCH("P",Statut_biogéographique!A:A,2,1),"P")</f>
        <v>P</v>
      </c>
      <c r="AP17169" s="4" t="s">
        <v>376</v>
      </c>
      <c r="AR17169" s="4" t="s">
        <v>377</v>
      </c>
    </row>
    <row r="17170" spans="1:44">
      <c r="A17170" s="4" t="s">
        <v>10753</v>
      </c>
      <c r="B17170" s="4">
        <v>52944</v>
      </c>
      <c r="D17170" s="5" t="s">
        <v>20767</v>
      </c>
      <c r="E17170" s="6" t="str">
        <f>HYPERLINK("https://inpn.mnhn.fr/espece/cd_nom/52944","Crossocerus walkeri (Shuckard, 1837)")</f>
        <v>Crossocerus walkeri (Shuckard, 1837)</v>
      </c>
      <c r="AH17170" s="4" t="str">
        <f>HYPERLINK("#Statut_biogéographique!A"&amp;_xlfn.XMATCH("P",Statut_biogéographique!A:A,2,1),"P")</f>
        <v>P</v>
      </c>
      <c r="AP17170" s="4" t="s">
        <v>376</v>
      </c>
      <c r="AR17170" s="4" t="s">
        <v>377</v>
      </c>
    </row>
    <row r="17171" spans="1:44" ht="30">
      <c r="A17171" s="4" t="s">
        <v>10753</v>
      </c>
      <c r="B17171" s="4">
        <v>52947</v>
      </c>
      <c r="D17171" s="5">
        <v>52947</v>
      </c>
      <c r="E17171" s="6" t="str">
        <f>HYPERLINK("https://inpn.mnhn.fr/espece/cd_nom/52947","Crossocerus elongatulus (Vander Linden, 1829)")</f>
        <v>Crossocerus elongatulus (Vander Linden, 1829)</v>
      </c>
      <c r="AH17171" s="4" t="str">
        <f>HYPERLINK("#Statut_biogéographique!A"&amp;_xlfn.XMATCH("P",Statut_biogéographique!A:A,2,1),"P")</f>
        <v>P</v>
      </c>
      <c r="AP17171" s="4" t="s">
        <v>376</v>
      </c>
      <c r="AR17171" s="4" t="s">
        <v>377</v>
      </c>
    </row>
    <row r="17172" spans="1:44">
      <c r="A17172" s="4" t="s">
        <v>10753</v>
      </c>
      <c r="B17172" s="4">
        <v>52948</v>
      </c>
      <c r="D17172" s="5">
        <v>52948</v>
      </c>
      <c r="E17172" s="6" t="str">
        <f>HYPERLINK("https://inpn.mnhn.fr/espece/cd_nom/52948","Crossocerus exiguus (Vander Linden, 1829)")</f>
        <v>Crossocerus exiguus (Vander Linden, 1829)</v>
      </c>
      <c r="AH17172" s="4" t="str">
        <f>HYPERLINK("#Statut_biogéographique!A"&amp;_xlfn.XMATCH("P",Statut_biogéographique!A:A,2,1),"P")</f>
        <v>P</v>
      </c>
      <c r="AP17172" s="4" t="s">
        <v>376</v>
      </c>
      <c r="AR17172" s="4" t="s">
        <v>377</v>
      </c>
    </row>
    <row r="17173" spans="1:44">
      <c r="A17173" s="4" t="s">
        <v>10753</v>
      </c>
      <c r="B17173" s="4">
        <v>52952</v>
      </c>
      <c r="D17173" s="5">
        <v>52952</v>
      </c>
      <c r="E17173" s="6" t="str">
        <f>HYPERLINK("https://inpn.mnhn.fr/espece/cd_nom/52952","Crossocerus tarsatus (Shuckard, 1837)")</f>
        <v>Crossocerus tarsatus (Shuckard, 1837)</v>
      </c>
      <c r="AH17173" s="4" t="str">
        <f>HYPERLINK("#Statut_biogéographique!A"&amp;_xlfn.XMATCH("P",Statut_biogéographique!A:A,2,1),"P")</f>
        <v>P</v>
      </c>
      <c r="AP17173" s="4" t="s">
        <v>376</v>
      </c>
      <c r="AR17173" s="4" t="s">
        <v>377</v>
      </c>
    </row>
    <row r="17174" spans="1:44">
      <c r="A17174" s="4" t="s">
        <v>10753</v>
      </c>
      <c r="B17174" s="4">
        <v>52953</v>
      </c>
      <c r="D17174" s="5" t="s">
        <v>20768</v>
      </c>
      <c r="E17174" s="6" t="str">
        <f>HYPERLINK("https://inpn.mnhn.fr/espece/cd_nom/52953","Crossocerus vagabundus (Panzer, 1798)")</f>
        <v>Crossocerus vagabundus (Panzer, 1798)</v>
      </c>
      <c r="AH17174" s="4" t="str">
        <f>HYPERLINK("#Statut_biogéographique!A"&amp;_xlfn.XMATCH("P",Statut_biogéographique!A:A,2,1),"P")</f>
        <v>P</v>
      </c>
      <c r="AP17174" s="4" t="s">
        <v>376</v>
      </c>
      <c r="AR17174" s="4" t="s">
        <v>377</v>
      </c>
    </row>
    <row r="17175" spans="1:44">
      <c r="A17175" s="4" t="s">
        <v>10753</v>
      </c>
      <c r="B17175" s="4">
        <v>52955</v>
      </c>
      <c r="D17175" s="5">
        <v>52955</v>
      </c>
      <c r="E17175" s="6" t="str">
        <f>HYPERLINK("https://inpn.mnhn.fr/espece/cd_nom/52955","Crossocerus wesmaeli (Vander Linden, 1829)")</f>
        <v>Crossocerus wesmaeli (Vander Linden, 1829)</v>
      </c>
      <c r="AH17175" s="4" t="str">
        <f>HYPERLINK("#Statut_biogéographique!A"&amp;_xlfn.XMATCH("P",Statut_biogéographique!A:A,2,1),"P")</f>
        <v>P</v>
      </c>
      <c r="AP17175" s="4" t="s">
        <v>376</v>
      </c>
      <c r="AR17175" s="4" t="s">
        <v>377</v>
      </c>
    </row>
    <row r="17176" spans="1:44" ht="30">
      <c r="A17176" s="4" t="s">
        <v>10753</v>
      </c>
      <c r="B17176" s="4">
        <v>52956</v>
      </c>
      <c r="D17176" s="5" t="s">
        <v>20769</v>
      </c>
      <c r="E17176" s="6" t="str">
        <f>HYPERLINK("https://inpn.mnhn.fr/espece/cd_nom/52956","Crossocerus podagricus (Vander Linden, 1829)")</f>
        <v>Crossocerus podagricus (Vander Linden, 1829)</v>
      </c>
      <c r="AH17176" s="4" t="str">
        <f>HYPERLINK("#Statut_biogéographique!A"&amp;_xlfn.XMATCH("P",Statut_biogéographique!A:A,2,1),"P")</f>
        <v>P</v>
      </c>
      <c r="AP17176" s="4" t="s">
        <v>376</v>
      </c>
      <c r="AR17176" s="4" t="s">
        <v>377</v>
      </c>
    </row>
    <row r="17177" spans="1:44" ht="30">
      <c r="A17177" s="4" t="s">
        <v>10753</v>
      </c>
      <c r="B17177" s="4">
        <v>52958</v>
      </c>
      <c r="D17177" s="5" t="s">
        <v>20770</v>
      </c>
      <c r="E17177" s="6" t="str">
        <f>HYPERLINK("https://inpn.mnhn.fr/espece/cd_nom/52958","Crossocerus quadrimaculatus (Fabricius, 1793)")</f>
        <v>Crossocerus quadrimaculatus (Fabricius, 1793)</v>
      </c>
      <c r="AH17177" s="4" t="str">
        <f>HYPERLINK("#Statut_biogéographique!A"&amp;_xlfn.XMATCH("P",Statut_biogéographique!A:A,2,1),"P")</f>
        <v>P</v>
      </c>
      <c r="AP17177" s="4" t="s">
        <v>376</v>
      </c>
      <c r="AR17177" s="4" t="s">
        <v>377</v>
      </c>
    </row>
    <row r="17178" spans="1:44" ht="30">
      <c r="A17178" s="4" t="s">
        <v>10753</v>
      </c>
      <c r="B17178" s="4">
        <v>52961</v>
      </c>
      <c r="D17178" s="5" t="s">
        <v>20771</v>
      </c>
      <c r="E17178" s="6" t="str">
        <f>HYPERLINK("https://inpn.mnhn.fr/espece/cd_nom/52961","Crossocerus annulipes (Lepeletier &amp; Brullé, 1835)")</f>
        <v>Crossocerus annulipes (Lepeletier &amp; Brullé, 1835)</v>
      </c>
      <c r="AH17178" s="4" t="str">
        <f>HYPERLINK("#Statut_biogéographique!A"&amp;_xlfn.XMATCH("P",Statut_biogéographique!A:A,2,1),"P")</f>
        <v>P</v>
      </c>
      <c r="AP17178" s="4" t="s">
        <v>376</v>
      </c>
      <c r="AR17178" s="4" t="s">
        <v>377</v>
      </c>
    </row>
    <row r="17179" spans="1:44">
      <c r="A17179" s="4" t="s">
        <v>10753</v>
      </c>
      <c r="B17179" s="4">
        <v>52972</v>
      </c>
      <c r="D17179" s="5" t="s">
        <v>20772</v>
      </c>
      <c r="E17179" s="6" t="str">
        <f>HYPERLINK("https://inpn.mnhn.fr/espece/cd_nom/52972","Ammophila sabulosa (Linnaeus, 1758)")</f>
        <v>Ammophila sabulosa (Linnaeus, 1758)</v>
      </c>
      <c r="AH17179" s="4" t="str">
        <f>HYPERLINK("#Statut_biogéographique!A"&amp;_xlfn.XMATCH("P",Statut_biogéographique!A:A,2,1),"P")</f>
        <v>P</v>
      </c>
      <c r="AP17179" s="4" t="s">
        <v>376</v>
      </c>
      <c r="AR17179" s="4" t="s">
        <v>377</v>
      </c>
    </row>
    <row r="17180" spans="1:44">
      <c r="A17180" s="4" t="s">
        <v>10753</v>
      </c>
      <c r="B17180" s="4">
        <v>52976</v>
      </c>
      <c r="D17180" s="5">
        <v>52976</v>
      </c>
      <c r="E17180" s="6" t="str">
        <f>HYPERLINK("https://inpn.mnhn.fr/espece/cd_nom/52976","Argogorytes hispanicus (Mercet, 1906)")</f>
        <v>Argogorytes hispanicus (Mercet, 1906)</v>
      </c>
      <c r="AH17180" s="4" t="str">
        <f>HYPERLINK("#Statut_biogéographique!A"&amp;_xlfn.XMATCH("P",Statut_biogéographique!A:A,2,1),"P")</f>
        <v>P</v>
      </c>
      <c r="AP17180" s="4" t="s">
        <v>376</v>
      </c>
      <c r="AR17180" s="4" t="s">
        <v>377</v>
      </c>
    </row>
    <row r="17181" spans="1:44">
      <c r="A17181" s="4" t="s">
        <v>10753</v>
      </c>
      <c r="B17181" s="4">
        <v>52977</v>
      </c>
      <c r="D17181" s="5" t="s">
        <v>20773</v>
      </c>
      <c r="E17181" s="6" t="str">
        <f>HYPERLINK("https://inpn.mnhn.fr/espece/cd_nom/52977","Argogorytes mystaceus (Linnaeus, 1761)")</f>
        <v>Argogorytes mystaceus (Linnaeus, 1761)</v>
      </c>
      <c r="AH17181" s="4" t="str">
        <f>HYPERLINK("#Statut_biogéographique!A"&amp;_xlfn.XMATCH("P",Statut_biogéographique!A:A,2,1),"P")</f>
        <v>P</v>
      </c>
      <c r="AP17181" s="4" t="s">
        <v>376</v>
      </c>
      <c r="AR17181" s="4" t="s">
        <v>377</v>
      </c>
    </row>
    <row r="17182" spans="1:44">
      <c r="A17182" s="4" t="s">
        <v>10753</v>
      </c>
      <c r="B17182" s="4">
        <v>52984</v>
      </c>
      <c r="D17182" s="5">
        <v>52984</v>
      </c>
      <c r="E17182" s="6" t="str">
        <f>HYPERLINK("https://inpn.mnhn.fr/espece/cd_nom/52984","Bembecinus tridens (Fabricius, 1781)")</f>
        <v>Bembecinus tridens (Fabricius, 1781)</v>
      </c>
      <c r="AH17182" s="4" t="str">
        <f>HYPERLINK("#Statut_biogéographique!A"&amp;_xlfn.XMATCH("P",Statut_biogéographique!A:A,2,1),"P")</f>
        <v>P</v>
      </c>
      <c r="AP17182" s="4" t="s">
        <v>376</v>
      </c>
      <c r="AR17182" s="4" t="s">
        <v>377</v>
      </c>
    </row>
    <row r="17183" spans="1:44">
      <c r="A17183" s="4" t="s">
        <v>10753</v>
      </c>
      <c r="B17183" s="4">
        <v>52987</v>
      </c>
      <c r="D17183" s="5">
        <v>52987</v>
      </c>
      <c r="E17183" s="6" t="str">
        <f>HYPERLINK("https://inpn.mnhn.fr/espece/cd_nom/52987","Cerceris quinquefasciata (Rossi, 1792)")</f>
        <v>Cerceris quinquefasciata (Rossi, 1792)</v>
      </c>
      <c r="AH17183" s="4" t="str">
        <f>HYPERLINK("#Statut_biogéographique!A"&amp;_xlfn.XMATCH("P",Statut_biogéographique!A:A,2,1),"P")</f>
        <v>P</v>
      </c>
      <c r="AP17183" s="4" t="s">
        <v>376</v>
      </c>
      <c r="AR17183" s="4" t="s">
        <v>377</v>
      </c>
    </row>
    <row r="17184" spans="1:44">
      <c r="A17184" s="4" t="s">
        <v>10753</v>
      </c>
      <c r="B17184" s="4">
        <v>52989</v>
      </c>
      <c r="D17184" s="5" t="s">
        <v>20774</v>
      </c>
      <c r="E17184" s="6" t="str">
        <f>HYPERLINK("https://inpn.mnhn.fr/espece/cd_nom/52989","Dolichurus corniculus (Spinola, 1807)")</f>
        <v>Dolichurus corniculus (Spinola, 1807)</v>
      </c>
      <c r="AH17184" s="4" t="str">
        <f>HYPERLINK("#Statut_biogéographique!A"&amp;_xlfn.XMATCH("P",Statut_biogéographique!A:A,2,1),"P")</f>
        <v>P</v>
      </c>
      <c r="AP17184" s="4" t="s">
        <v>376</v>
      </c>
      <c r="AR17184" s="4" t="s">
        <v>377</v>
      </c>
    </row>
    <row r="17185" spans="1:44">
      <c r="A17185" s="4" t="s">
        <v>10753</v>
      </c>
      <c r="B17185" s="4">
        <v>52992</v>
      </c>
      <c r="D17185" s="5">
        <v>52992</v>
      </c>
      <c r="E17185" s="6" t="str">
        <f>HYPERLINK("https://inpn.mnhn.fr/espece/cd_nom/52992","Pemphredon lethifer (Shuckard, 1837) s.l.")</f>
        <v>Pemphredon lethifer (Shuckard, 1837) s.l.</v>
      </c>
      <c r="AH17185" s="4" t="str">
        <f>HYPERLINK("#Statut_biogéographique!A"&amp;_xlfn.XMATCH("P",Statut_biogéographique!A:A,2,1),"P")</f>
        <v>P</v>
      </c>
      <c r="AP17185" s="4" t="s">
        <v>376</v>
      </c>
      <c r="AR17185" s="4" t="s">
        <v>377</v>
      </c>
    </row>
    <row r="17186" spans="1:44">
      <c r="A17186" s="4" t="s">
        <v>10753</v>
      </c>
      <c r="B17186" s="4">
        <v>52994</v>
      </c>
      <c r="D17186" s="5">
        <v>52994</v>
      </c>
      <c r="E17186" s="6" t="str">
        <f>HYPERLINK("https://inpn.mnhn.fr/espece/cd_nom/52994","Pemphredon lugubris (Fabricius, 1793)")</f>
        <v>Pemphredon lugubris (Fabricius, 1793)</v>
      </c>
      <c r="F17186" s="5" t="s">
        <v>20775</v>
      </c>
      <c r="AH17186" s="4" t="str">
        <f>HYPERLINK("#Statut_biogéographique!A"&amp;_xlfn.XMATCH("P",Statut_biogéographique!A:A,2,1),"P")</f>
        <v>P</v>
      </c>
      <c r="AP17186" s="4" t="s">
        <v>376</v>
      </c>
      <c r="AR17186" s="4" t="s">
        <v>377</v>
      </c>
    </row>
    <row r="17187" spans="1:44">
      <c r="A17187" s="4" t="s">
        <v>10753</v>
      </c>
      <c r="B17187" s="4">
        <v>52995</v>
      </c>
      <c r="D17187" s="5" t="s">
        <v>20776</v>
      </c>
      <c r="E17187" s="6" t="str">
        <f>HYPERLINK("https://inpn.mnhn.fr/espece/cd_nom/52995","Pemphredon rugifer (Dahlbom, 1844)")</f>
        <v>Pemphredon rugifer (Dahlbom, 1844)</v>
      </c>
      <c r="AH17187" s="4" t="str">
        <f>HYPERLINK("#Statut_biogéographique!A"&amp;_xlfn.XMATCH("P",Statut_biogéographique!A:A,2,1),"P")</f>
        <v>P</v>
      </c>
      <c r="AP17187" s="4" t="s">
        <v>376</v>
      </c>
      <c r="AR17187" s="4" t="s">
        <v>377</v>
      </c>
    </row>
    <row r="17188" spans="1:44">
      <c r="A17188" s="4" t="s">
        <v>10753</v>
      </c>
      <c r="B17188" s="4">
        <v>52997</v>
      </c>
      <c r="D17188" s="5">
        <v>52997</v>
      </c>
      <c r="E17188" s="6" t="str">
        <f>HYPERLINK("https://inpn.mnhn.fr/espece/cd_nom/52997","Pemphredon lugens Dahlbom, 1842")</f>
        <v>Pemphredon lugens Dahlbom, 1842</v>
      </c>
      <c r="AH17188" s="4" t="str">
        <f>HYPERLINK("#Statut_biogéographique!A"&amp;_xlfn.XMATCH("P",Statut_biogéographique!A:A,2,1),"P")</f>
        <v>P</v>
      </c>
      <c r="AP17188" s="4" t="s">
        <v>376</v>
      </c>
      <c r="AR17188" s="4" t="s">
        <v>377</v>
      </c>
    </row>
    <row r="17189" spans="1:44">
      <c r="A17189" s="4" t="s">
        <v>10753</v>
      </c>
      <c r="B17189" s="4">
        <v>53010</v>
      </c>
      <c r="D17189" s="5">
        <v>53010</v>
      </c>
      <c r="E17189" s="6" t="str">
        <f>HYPERLINK("https://inpn.mnhn.fr/espece/cd_nom/53010","Entomognathus brevis (Vander Linden, 1829)")</f>
        <v>Entomognathus brevis (Vander Linden, 1829)</v>
      </c>
      <c r="AH17189" s="4" t="str">
        <f>HYPERLINK("#Statut_biogéographique!A"&amp;_xlfn.XMATCH("P",Statut_biogéographique!A:A,2,1),"P")</f>
        <v>P</v>
      </c>
      <c r="AP17189" s="4" t="s">
        <v>376</v>
      </c>
      <c r="AR17189" s="4" t="s">
        <v>377</v>
      </c>
    </row>
    <row r="17190" spans="1:44" ht="30">
      <c r="A17190" s="4" t="s">
        <v>10753</v>
      </c>
      <c r="B17190" s="4">
        <v>53013</v>
      </c>
      <c r="D17190" s="5" t="s">
        <v>20777</v>
      </c>
      <c r="E17190" s="6" t="str">
        <f>HYPERLINK("https://inpn.mnhn.fr/espece/cd_nom/53013","Gorytes laticinctus (Lepeletier de Saint Fargeau, 1832)")</f>
        <v>Gorytes laticinctus (Lepeletier de Saint Fargeau, 1832)</v>
      </c>
      <c r="AH17190" s="4" t="str">
        <f>HYPERLINK("#Statut_biogéographique!A"&amp;_xlfn.XMATCH("P",Statut_biogéographique!A:A,2,1),"P")</f>
        <v>P</v>
      </c>
      <c r="AP17190" s="4" t="s">
        <v>376</v>
      </c>
      <c r="AR17190" s="4" t="s">
        <v>377</v>
      </c>
    </row>
    <row r="17191" spans="1:44">
      <c r="A17191" s="4" t="s">
        <v>10753</v>
      </c>
      <c r="B17191" s="4">
        <v>53014</v>
      </c>
      <c r="D17191" s="5">
        <v>53014</v>
      </c>
      <c r="E17191" s="6" t="str">
        <f>HYPERLINK("https://inpn.mnhn.fr/espece/cd_nom/53014","Gorytes planifrons (Wesmael, 1852)")</f>
        <v>Gorytes planifrons (Wesmael, 1852)</v>
      </c>
      <c r="AH17191" s="4" t="str">
        <f>HYPERLINK("#Statut_biogéographique!A"&amp;_xlfn.XMATCH("P",Statut_biogéographique!A:A,2,1),"P")</f>
        <v>P</v>
      </c>
      <c r="AP17191" s="4" t="s">
        <v>376</v>
      </c>
      <c r="AR17191" s="4" t="s">
        <v>377</v>
      </c>
    </row>
    <row r="17192" spans="1:44">
      <c r="A17192" s="4" t="s">
        <v>10753</v>
      </c>
      <c r="B17192" s="4">
        <v>53015</v>
      </c>
      <c r="D17192" s="5" t="s">
        <v>20778</v>
      </c>
      <c r="E17192" s="6" t="str">
        <f>HYPERLINK("https://inpn.mnhn.fr/espece/cd_nom/53015","Gorytes quadrifasciatus (Fabricius, 1804)")</f>
        <v>Gorytes quadrifasciatus (Fabricius, 1804)</v>
      </c>
      <c r="AH17192" s="4" t="str">
        <f>HYPERLINK("#Statut_biogéographique!A"&amp;_xlfn.XMATCH("P",Statut_biogéographique!A:A,2,1),"P")</f>
        <v>P</v>
      </c>
      <c r="AP17192" s="4" t="s">
        <v>376</v>
      </c>
      <c r="AR17192" s="4" t="s">
        <v>377</v>
      </c>
    </row>
    <row r="17193" spans="1:44">
      <c r="A17193" s="4" t="s">
        <v>10753</v>
      </c>
      <c r="B17193" s="4">
        <v>53016</v>
      </c>
      <c r="D17193" s="5" t="s">
        <v>20779</v>
      </c>
      <c r="E17193" s="6" t="str">
        <f>HYPERLINK("https://inpn.mnhn.fr/espece/cd_nom/53016","Gorytes quinquecinctus (Fabricius, 1793)")</f>
        <v>Gorytes quinquecinctus (Fabricius, 1793)</v>
      </c>
      <c r="AH17193" s="4" t="str">
        <f>HYPERLINK("#Statut_biogéographique!A"&amp;_xlfn.XMATCH("P",Statut_biogéographique!A:A,2,1),"P")</f>
        <v>P</v>
      </c>
      <c r="AP17193" s="4" t="s">
        <v>376</v>
      </c>
      <c r="AR17193" s="4" t="s">
        <v>377</v>
      </c>
    </row>
    <row r="17194" spans="1:44">
      <c r="A17194" s="4" t="s">
        <v>10753</v>
      </c>
      <c r="B17194" s="4">
        <v>53020</v>
      </c>
      <c r="D17194" s="5" t="s">
        <v>20780</v>
      </c>
      <c r="E17194" s="6" t="str">
        <f>HYPERLINK("https://inpn.mnhn.fr/espece/cd_nom/53020","Mellinus arvensis (Linnaeus, 1758)")</f>
        <v>Mellinus arvensis (Linnaeus, 1758)</v>
      </c>
      <c r="AH17194" s="4" t="str">
        <f>HYPERLINK("#Statut_biogéographique!A"&amp;_xlfn.XMATCH("P",Statut_biogéographique!A:A,2,1),"P")</f>
        <v>P</v>
      </c>
      <c r="AP17194" s="4" t="s">
        <v>376</v>
      </c>
      <c r="AR17194" s="4" t="s">
        <v>377</v>
      </c>
    </row>
    <row r="17195" spans="1:44">
      <c r="A17195" s="4" t="s">
        <v>10753</v>
      </c>
      <c r="B17195" s="4">
        <v>53022</v>
      </c>
      <c r="D17195" s="5">
        <v>53022</v>
      </c>
      <c r="E17195" s="6" t="str">
        <f>HYPERLINK("https://inpn.mnhn.fr/espece/cd_nom/53022","Miscophus ater Lepeletier, 1845")</f>
        <v>Miscophus ater Lepeletier, 1845</v>
      </c>
      <c r="AH17195" s="4" t="str">
        <f>HYPERLINK("#Statut_biogéographique!A"&amp;_xlfn.XMATCH("P",Statut_biogéographique!A:A,2,1),"P")</f>
        <v>P</v>
      </c>
      <c r="AP17195" s="4" t="s">
        <v>376</v>
      </c>
      <c r="AR17195" s="4" t="s">
        <v>377</v>
      </c>
    </row>
    <row r="17196" spans="1:44">
      <c r="A17196" s="4" t="s">
        <v>10753</v>
      </c>
      <c r="B17196" s="4">
        <v>53026</v>
      </c>
      <c r="D17196" s="5">
        <v>53026</v>
      </c>
      <c r="E17196" s="6" t="str">
        <f>HYPERLINK("https://inpn.mnhn.fr/espece/cd_nom/53026","Nitela spinolae Latreille, 1809")</f>
        <v>Nitela spinolae Latreille, 1809</v>
      </c>
      <c r="AH17196" s="4" t="str">
        <f>HYPERLINK("#Statut_biogéographique!A"&amp;_xlfn.XMATCH("P",Statut_biogéographique!A:A,2,1),"P")</f>
        <v>P</v>
      </c>
      <c r="AP17196" s="4" t="s">
        <v>376</v>
      </c>
      <c r="AR17196" s="4" t="s">
        <v>377</v>
      </c>
    </row>
    <row r="17197" spans="1:44">
      <c r="A17197" s="4" t="s">
        <v>10753</v>
      </c>
      <c r="B17197" s="4">
        <v>53030</v>
      </c>
      <c r="D17197" s="5" t="s">
        <v>20781</v>
      </c>
      <c r="E17197" s="6" t="str">
        <f>HYPERLINK("https://inpn.mnhn.fr/espece/cd_nom/53030","Nysson maculosus (Gmelin, 1790)")</f>
        <v>Nysson maculosus (Gmelin, 1790)</v>
      </c>
      <c r="AH17197" s="4" t="str">
        <f>HYPERLINK("#Statut_biogéographique!A"&amp;_xlfn.XMATCH("P",Statut_biogéographique!A:A,2,1),"P")</f>
        <v>P</v>
      </c>
      <c r="AP17197" s="4" t="s">
        <v>376</v>
      </c>
      <c r="AR17197" s="4" t="s">
        <v>377</v>
      </c>
    </row>
    <row r="17198" spans="1:44">
      <c r="A17198" s="4" t="s">
        <v>10753</v>
      </c>
      <c r="B17198" s="4">
        <v>53031</v>
      </c>
      <c r="D17198" s="5">
        <v>53031</v>
      </c>
      <c r="E17198" s="6" t="str">
        <f>HYPERLINK("https://inpn.mnhn.fr/espece/cd_nom/53031","Nysson spinosus (J. Forster, 1771)")</f>
        <v>Nysson spinosus (J. Forster, 1771)</v>
      </c>
      <c r="AH17198" s="4" t="str">
        <f>HYPERLINK("#Statut_biogéographique!A"&amp;_xlfn.XMATCH("P",Statut_biogéographique!A:A,2,1),"P")</f>
        <v>P</v>
      </c>
      <c r="AP17198" s="4" t="s">
        <v>376</v>
      </c>
      <c r="AR17198" s="4" t="s">
        <v>377</v>
      </c>
    </row>
    <row r="17199" spans="1:44">
      <c r="A17199" s="4" t="s">
        <v>10753</v>
      </c>
      <c r="B17199" s="4">
        <v>53032</v>
      </c>
      <c r="D17199" s="5" t="s">
        <v>20782</v>
      </c>
      <c r="E17199" s="6" t="str">
        <f>HYPERLINK("https://inpn.mnhn.fr/espece/cd_nom/53032","Nysson trimaculatus (Rossi, 1790)")</f>
        <v>Nysson trimaculatus (Rossi, 1790)</v>
      </c>
      <c r="AH17199" s="4" t="str">
        <f>HYPERLINK("#Statut_biogéographique!A"&amp;_xlfn.XMATCH("P",Statut_biogéographique!A:A,2,1),"P")</f>
        <v>P</v>
      </c>
      <c r="AP17199" s="4" t="s">
        <v>376</v>
      </c>
      <c r="AR17199" s="4" t="s">
        <v>377</v>
      </c>
    </row>
    <row r="17200" spans="1:44" ht="30">
      <c r="A17200" s="4" t="s">
        <v>10753</v>
      </c>
      <c r="B17200" s="4">
        <v>530331</v>
      </c>
      <c r="D17200" s="5" t="s">
        <v>20783</v>
      </c>
      <c r="E17200" s="6" t="str">
        <f>HYPERLINK("https://inpn.mnhn.fr/espece/cd_nom/530331","Anoplophora glabripennis (Motschulsky, 1854)")</f>
        <v>Anoplophora glabripennis (Motschulsky, 1854)</v>
      </c>
      <c r="F17200" s="5" t="s">
        <v>20784</v>
      </c>
      <c r="AH17200" s="4" t="str">
        <f>HYPERLINK("#Statut_biogéographique!A"&amp;_xlfn.XMATCH("J",Statut_biogéographique!A:A,2,1),"J")</f>
        <v>J</v>
      </c>
      <c r="AP17200" s="4" t="s">
        <v>376</v>
      </c>
      <c r="AR17200" s="4" t="s">
        <v>377</v>
      </c>
    </row>
    <row r="17201" spans="1:44">
      <c r="A17201" s="4" t="s">
        <v>10753</v>
      </c>
      <c r="B17201" s="4">
        <v>53037</v>
      </c>
      <c r="D17201" s="5">
        <v>53037</v>
      </c>
      <c r="E17201" s="6" t="str">
        <f>HYPERLINK("https://inpn.mnhn.fr/espece/cd_nom/53037","Passaloecus borealis Dahlbom, 1844")</f>
        <v>Passaloecus borealis Dahlbom, 1844</v>
      </c>
      <c r="AH17201" s="4" t="str">
        <f>HYPERLINK("#Statut_biogéographique!A"&amp;_xlfn.XMATCH("P",Statut_biogéographique!A:A,2,1),"P")</f>
        <v>P</v>
      </c>
      <c r="AP17201" s="4" t="s">
        <v>376</v>
      </c>
      <c r="AR17201" s="4" t="s">
        <v>377</v>
      </c>
    </row>
    <row r="17202" spans="1:44">
      <c r="A17202" s="4" t="s">
        <v>10753</v>
      </c>
      <c r="B17202" s="4">
        <v>53038</v>
      </c>
      <c r="D17202" s="5">
        <v>53038</v>
      </c>
      <c r="E17202" s="6" t="str">
        <f>HYPERLINK("https://inpn.mnhn.fr/espece/cd_nom/53038","Passaloecus clypealis Faester, 1947")</f>
        <v>Passaloecus clypealis Faester, 1947</v>
      </c>
      <c r="AH17202" s="4" t="str">
        <f>HYPERLINK("#Statut_biogéographique!A"&amp;_xlfn.XMATCH("P",Statut_biogéographique!A:A,2,1),"P")</f>
        <v>P</v>
      </c>
      <c r="AP17202" s="4" t="s">
        <v>376</v>
      </c>
      <c r="AR17202" s="4" t="s">
        <v>377</v>
      </c>
    </row>
    <row r="17203" spans="1:44">
      <c r="A17203" s="4" t="s">
        <v>10753</v>
      </c>
      <c r="B17203" s="4">
        <v>53039</v>
      </c>
      <c r="D17203" s="5">
        <v>53039</v>
      </c>
      <c r="E17203" s="6" t="str">
        <f>HYPERLINK("https://inpn.mnhn.fr/espece/cd_nom/53039","Passaloecus corniger Shuckard, 1837")</f>
        <v>Passaloecus corniger Shuckard, 1837</v>
      </c>
      <c r="AH17203" s="4" t="str">
        <f>HYPERLINK("#Statut_biogéographique!A"&amp;_xlfn.XMATCH("P",Statut_biogéographique!A:A,2,1),"P")</f>
        <v>P</v>
      </c>
      <c r="AP17203" s="4" t="s">
        <v>376</v>
      </c>
      <c r="AR17203" s="4" t="s">
        <v>377</v>
      </c>
    </row>
    <row r="17204" spans="1:44">
      <c r="A17204" s="4" t="s">
        <v>10753</v>
      </c>
      <c r="B17204" s="4">
        <v>53040</v>
      </c>
      <c r="D17204" s="5">
        <v>53040</v>
      </c>
      <c r="E17204" s="6" t="str">
        <f>HYPERLINK("https://inpn.mnhn.fr/espece/cd_nom/53040","Passaloecus eremita Kohl, 1893")</f>
        <v>Passaloecus eremita Kohl, 1893</v>
      </c>
      <c r="AH17204" s="4" t="str">
        <f>HYPERLINK("#Statut_biogéographique!A"&amp;_xlfn.XMATCH("P",Statut_biogéographique!A:A,2,1),"P")</f>
        <v>P</v>
      </c>
      <c r="AP17204" s="4" t="s">
        <v>376</v>
      </c>
      <c r="AR17204" s="4" t="s">
        <v>377</v>
      </c>
    </row>
    <row r="17205" spans="1:44">
      <c r="A17205" s="4" t="s">
        <v>10753</v>
      </c>
      <c r="B17205" s="4">
        <v>53041</v>
      </c>
      <c r="D17205" s="5" t="s">
        <v>20785</v>
      </c>
      <c r="E17205" s="6" t="str">
        <f>HYPERLINK("https://inpn.mnhn.fr/espece/cd_nom/53041","Passaloecus gracilis (Curtis, 1834)")</f>
        <v>Passaloecus gracilis (Curtis, 1834)</v>
      </c>
      <c r="AH17205" s="4" t="str">
        <f>HYPERLINK("#Statut_biogéographique!A"&amp;_xlfn.XMATCH("P",Statut_biogéographique!A:A,2,1),"P")</f>
        <v>P</v>
      </c>
      <c r="AP17205" s="4" t="s">
        <v>376</v>
      </c>
      <c r="AR17205" s="4" t="s">
        <v>377</v>
      </c>
    </row>
    <row r="17206" spans="1:44">
      <c r="A17206" s="4" t="s">
        <v>10753</v>
      </c>
      <c r="B17206" s="4">
        <v>53042</v>
      </c>
      <c r="D17206" s="5">
        <v>53042</v>
      </c>
      <c r="E17206" s="6" t="str">
        <f>HYPERLINK("https://inpn.mnhn.fr/espece/cd_nom/53042","Passaloecus pictus Ribaut, 1952")</f>
        <v>Passaloecus pictus Ribaut, 1952</v>
      </c>
      <c r="AH17206" s="4" t="str">
        <f>HYPERLINK("#Statut_biogéographique!A"&amp;_xlfn.XMATCH("P",Statut_biogéographique!A:A,2,1),"P")</f>
        <v>P</v>
      </c>
      <c r="AP17206" s="4" t="s">
        <v>376</v>
      </c>
      <c r="AR17206" s="4" t="s">
        <v>377</v>
      </c>
    </row>
    <row r="17207" spans="1:44">
      <c r="A17207" s="4" t="s">
        <v>10753</v>
      </c>
      <c r="B17207" s="4">
        <v>53047</v>
      </c>
      <c r="D17207" s="5">
        <v>53047</v>
      </c>
      <c r="E17207" s="6" t="str">
        <f>HYPERLINK("https://inpn.mnhn.fr/espece/cd_nom/53047","Psenulus concolor (Dahlbom, 1843)")</f>
        <v>Psenulus concolor (Dahlbom, 1843)</v>
      </c>
      <c r="AH17207" s="4" t="str">
        <f>HYPERLINK("#Statut_biogéographique!A"&amp;_xlfn.XMATCH("P",Statut_biogéographique!A:A,2,1),"P")</f>
        <v>P</v>
      </c>
      <c r="AP17207" s="4" t="s">
        <v>376</v>
      </c>
      <c r="AR17207" s="4" t="s">
        <v>377</v>
      </c>
    </row>
    <row r="17208" spans="1:44">
      <c r="A17208" s="4" t="s">
        <v>10753</v>
      </c>
      <c r="B17208" s="4">
        <v>53048</v>
      </c>
      <c r="D17208" s="5">
        <v>53048</v>
      </c>
      <c r="E17208" s="6" t="str">
        <f>HYPERLINK("https://inpn.mnhn.fr/espece/cd_nom/53048","Psenulus fuscipennis (Dahlbom, 1843)")</f>
        <v>Psenulus fuscipennis (Dahlbom, 1843)</v>
      </c>
      <c r="AH17208" s="4" t="str">
        <f>HYPERLINK("#Statut_biogéographique!A"&amp;_xlfn.XMATCH("P",Statut_biogéographique!A:A,2,1),"P")</f>
        <v>P</v>
      </c>
      <c r="AP17208" s="4" t="s">
        <v>376</v>
      </c>
      <c r="AR17208" s="4" t="s">
        <v>377</v>
      </c>
    </row>
    <row r="17209" spans="1:44">
      <c r="A17209" s="4" t="s">
        <v>10753</v>
      </c>
      <c r="B17209" s="4">
        <v>53049</v>
      </c>
      <c r="D17209" s="5">
        <v>53049</v>
      </c>
      <c r="E17209" s="6" t="str">
        <f>HYPERLINK("https://inpn.mnhn.fr/espece/cd_nom/53049","Psenulus schencki (Tournier, 1889)")</f>
        <v>Psenulus schencki (Tournier, 1889)</v>
      </c>
      <c r="AH17209" s="4" t="str">
        <f>HYPERLINK("#Statut_biogéographique!A"&amp;_xlfn.XMATCH("P",Statut_biogéographique!A:A,2,1),"P")</f>
        <v>P</v>
      </c>
      <c r="AP17209" s="4" t="s">
        <v>376</v>
      </c>
      <c r="AR17209" s="4" t="s">
        <v>377</v>
      </c>
    </row>
    <row r="17210" spans="1:44">
      <c r="A17210" s="4" t="s">
        <v>10753</v>
      </c>
      <c r="B17210" s="4">
        <v>53052</v>
      </c>
      <c r="D17210" s="5" t="s">
        <v>20786</v>
      </c>
      <c r="E17210" s="6" t="str">
        <f>HYPERLINK("https://inpn.mnhn.fr/espece/cd_nom/53052","Rhopalum clavipes (Linnaeus, 1758)")</f>
        <v>Rhopalum clavipes (Linnaeus, 1758)</v>
      </c>
      <c r="AH17210" s="4" t="str">
        <f>HYPERLINK("#Statut_biogéographique!A"&amp;_xlfn.XMATCH("P",Statut_biogéographique!A:A,2,1),"P")</f>
        <v>P</v>
      </c>
      <c r="AP17210" s="4" t="s">
        <v>376</v>
      </c>
      <c r="AR17210" s="4" t="s">
        <v>377</v>
      </c>
    </row>
    <row r="17211" spans="1:44">
      <c r="A17211" s="4" t="s">
        <v>10753</v>
      </c>
      <c r="B17211" s="4">
        <v>53053</v>
      </c>
      <c r="D17211" s="5">
        <v>53053</v>
      </c>
      <c r="E17211" s="6" t="str">
        <f>HYPERLINK("https://inpn.mnhn.fr/espece/cd_nom/53053","Rhopalum coarctatum (Scopoli, 1763)")</f>
        <v>Rhopalum coarctatum (Scopoli, 1763)</v>
      </c>
      <c r="AH17211" s="4" t="str">
        <f>HYPERLINK("#Statut_biogéographique!A"&amp;_xlfn.XMATCH("P",Statut_biogéographique!A:A,2,1),"P")</f>
        <v>P</v>
      </c>
      <c r="AP17211" s="4" t="s">
        <v>376</v>
      </c>
      <c r="AR17211" s="4" t="s">
        <v>377</v>
      </c>
    </row>
    <row r="17212" spans="1:44">
      <c r="A17212" s="4" t="s">
        <v>10753</v>
      </c>
      <c r="B17212" s="4">
        <v>53055</v>
      </c>
      <c r="D17212" s="5">
        <v>53055</v>
      </c>
      <c r="E17212" s="6" t="str">
        <f>HYPERLINK("https://inpn.mnhn.fr/espece/cd_nom/53055","Spilomena differens Blüthgen, 1953")</f>
        <v>Spilomena differens Blüthgen, 1953</v>
      </c>
      <c r="AH17212" s="4" t="str">
        <f>HYPERLINK("#Statut_biogéographique!A"&amp;_xlfn.XMATCH("P",Statut_biogéographique!A:A,2,1),"P")</f>
        <v>P</v>
      </c>
      <c r="AP17212" s="4" t="s">
        <v>376</v>
      </c>
      <c r="AR17212" s="4" t="s">
        <v>377</v>
      </c>
    </row>
    <row r="17213" spans="1:44">
      <c r="A17213" s="4" t="s">
        <v>10753</v>
      </c>
      <c r="B17213" s="4">
        <v>53056</v>
      </c>
      <c r="D17213" s="5">
        <v>53056</v>
      </c>
      <c r="E17213" s="6" t="str">
        <f>HYPERLINK("https://inpn.mnhn.fr/espece/cd_nom/53056","Spilomena troglodytes (Vander Linden, 1829)")</f>
        <v>Spilomena troglodytes (Vander Linden, 1829)</v>
      </c>
      <c r="AH17213" s="4" t="str">
        <f>HYPERLINK("#Statut_biogéographique!A"&amp;_xlfn.XMATCH("P",Statut_biogéographique!A:A,2,1),"P")</f>
        <v>P</v>
      </c>
      <c r="AP17213" s="4" t="s">
        <v>376</v>
      </c>
      <c r="AR17213" s="4" t="s">
        <v>377</v>
      </c>
    </row>
    <row r="17214" spans="1:44">
      <c r="A17214" s="4" t="s">
        <v>10753</v>
      </c>
      <c r="B17214" s="4">
        <v>53059</v>
      </c>
      <c r="D17214" s="5">
        <v>53059</v>
      </c>
      <c r="E17214" s="6" t="str">
        <f>HYPERLINK("https://inpn.mnhn.fr/espece/cd_nom/53059","Stigmus pendulus Panzer, 1804")</f>
        <v>Stigmus pendulus Panzer, 1804</v>
      </c>
      <c r="AH17214" s="4" t="str">
        <f>HYPERLINK("#Statut_biogéographique!A"&amp;_xlfn.XMATCH("P",Statut_biogéographique!A:A,2,1),"P")</f>
        <v>P</v>
      </c>
      <c r="AP17214" s="4" t="s">
        <v>376</v>
      </c>
      <c r="AR17214" s="4" t="s">
        <v>377</v>
      </c>
    </row>
    <row r="17215" spans="1:44">
      <c r="A17215" s="4" t="s">
        <v>10753</v>
      </c>
      <c r="B17215" s="4">
        <v>53062</v>
      </c>
      <c r="D17215" s="5" t="s">
        <v>20787</v>
      </c>
      <c r="E17215" s="6" t="str">
        <f>HYPERLINK("https://inpn.mnhn.fr/espece/cd_nom/53062","Tachysphex pompiliformis (Panzer, 1805) s.l.")</f>
        <v>Tachysphex pompiliformis (Panzer, 1805) s.l.</v>
      </c>
      <c r="AH17215" s="4" t="str">
        <f>HYPERLINK("#Statut_biogéographique!A"&amp;_xlfn.XMATCH("P",Statut_biogéographique!A:A,2,1),"P")</f>
        <v>P</v>
      </c>
      <c r="AP17215" s="4" t="s">
        <v>376</v>
      </c>
      <c r="AR17215" s="4" t="s">
        <v>377</v>
      </c>
    </row>
    <row r="17216" spans="1:44">
      <c r="A17216" s="4" t="s">
        <v>10753</v>
      </c>
      <c r="B17216" s="4">
        <v>53063</v>
      </c>
      <c r="D17216" s="5">
        <v>53063</v>
      </c>
      <c r="E17216" s="6" t="str">
        <f>HYPERLINK("https://inpn.mnhn.fr/espece/cd_nom/53063","Tachysphex psammobius (Kohl, 1880)")</f>
        <v>Tachysphex psammobius (Kohl, 1880)</v>
      </c>
      <c r="AH17216" s="4" t="str">
        <f>HYPERLINK("#Statut_biogéographique!A"&amp;_xlfn.XMATCH("P",Statut_biogéographique!A:A,2,1),"P")</f>
        <v>P</v>
      </c>
      <c r="AP17216" s="4" t="s">
        <v>376</v>
      </c>
      <c r="AR17216" s="4" t="s">
        <v>377</v>
      </c>
    </row>
    <row r="17217" spans="1:44">
      <c r="A17217" s="4" t="s">
        <v>10753</v>
      </c>
      <c r="B17217" s="4">
        <v>53065</v>
      </c>
      <c r="D17217" s="5">
        <v>53065</v>
      </c>
      <c r="E17217" s="6" t="str">
        <f>HYPERLINK("https://inpn.mnhn.fr/espece/cd_nom/53065","Trypoxylon attenuatum F. Smith, 1851")</f>
        <v>Trypoxylon attenuatum F. Smith, 1851</v>
      </c>
      <c r="AH17217" s="4" t="str">
        <f>HYPERLINK("#Statut_biogéographique!A"&amp;_xlfn.XMATCH("P",Statut_biogéographique!A:A,2,1),"P")</f>
        <v>P</v>
      </c>
      <c r="AP17217" s="4" t="s">
        <v>376</v>
      </c>
      <c r="AR17217" s="4" t="s">
        <v>377</v>
      </c>
    </row>
    <row r="17218" spans="1:44" ht="30">
      <c r="A17218" s="4" t="s">
        <v>10753</v>
      </c>
      <c r="B17218" s="4">
        <v>53066</v>
      </c>
      <c r="D17218" s="5">
        <v>53066</v>
      </c>
      <c r="E17218" s="6" t="str">
        <f>HYPERLINK("https://inpn.mnhn.fr/espece/cd_nom/53066","Trypoxylon clavicerum Lepeletier de Saint Fargeau &amp; Audinet-Serville, 1828")</f>
        <v>Trypoxylon clavicerum Lepeletier de Saint Fargeau &amp; Audinet-Serville, 1828</v>
      </c>
      <c r="AH17218" s="4" t="str">
        <f>HYPERLINK("#Statut_biogéographique!A"&amp;_xlfn.XMATCH("P",Statut_biogéographique!A:A,2,1),"P")</f>
        <v>P</v>
      </c>
      <c r="AP17218" s="4" t="s">
        <v>376</v>
      </c>
      <c r="AR17218" s="4" t="s">
        <v>377</v>
      </c>
    </row>
    <row r="17219" spans="1:44">
      <c r="A17219" s="4" t="s">
        <v>10753</v>
      </c>
      <c r="B17219" s="4">
        <v>53067</v>
      </c>
      <c r="D17219" s="5" t="s">
        <v>20788</v>
      </c>
      <c r="E17219" s="6" t="str">
        <f>HYPERLINK("https://inpn.mnhn.fr/espece/cd_nom/53067","Trypoxylon figulus (Linnaeus, 1758)")</f>
        <v>Trypoxylon figulus (Linnaeus, 1758)</v>
      </c>
      <c r="AH17219" s="4" t="str">
        <f>HYPERLINK("#Statut_biogéographique!A"&amp;_xlfn.XMATCH("P",Statut_biogéographique!A:A,2,1),"P")</f>
        <v>P</v>
      </c>
      <c r="AP17219" s="4" t="s">
        <v>376</v>
      </c>
      <c r="AR17219" s="4" t="s">
        <v>377</v>
      </c>
    </row>
    <row r="17220" spans="1:44">
      <c r="A17220" s="4" t="s">
        <v>10753</v>
      </c>
      <c r="B17220" s="4">
        <v>53077</v>
      </c>
      <c r="D17220" s="5" t="s">
        <v>20789</v>
      </c>
      <c r="E17220" s="6" t="str">
        <f>HYPERLINK("https://inpn.mnhn.fr/espece/cd_nom/53077","Andrena cineraria (Linnaeus, 1758)")</f>
        <v>Andrena cineraria (Linnaeus, 1758)</v>
      </c>
      <c r="P17220" s="7" t="str">
        <f>HYPERLINK("#Liste_rouge!A"&amp;_xlfn.XMATCH("LC",Liste_rouge!A:A,2,1),"LC")</f>
        <v>LC</v>
      </c>
      <c r="AH17220" s="4" t="str">
        <f>HYPERLINK("#Statut_biogéographique!A"&amp;_xlfn.XMATCH("P",Statut_biogéographique!A:A,2,1),"P")</f>
        <v>P</v>
      </c>
      <c r="AP17220" s="4" t="s">
        <v>376</v>
      </c>
      <c r="AR17220" s="4" t="s">
        <v>377</v>
      </c>
    </row>
    <row r="17221" spans="1:44">
      <c r="A17221" s="4" t="s">
        <v>10753</v>
      </c>
      <c r="B17221" s="4">
        <v>53079</v>
      </c>
      <c r="D17221" s="5" t="s">
        <v>20790</v>
      </c>
      <c r="E17221" s="6" t="str">
        <f>HYPERLINK("https://inpn.mnhn.fr/espece/cd_nom/53079","Andrena fulva (Müller, 1766)")</f>
        <v>Andrena fulva (Müller, 1766)</v>
      </c>
      <c r="O17221" s="7" t="str">
        <f>HYPERLINK("#Liste_rouge!A"&amp;_xlfn.XMATCH("DD",Liste_rouge!A:A,2,1),"DD")</f>
        <v>DD</v>
      </c>
      <c r="P17221" s="7" t="str">
        <f>HYPERLINK("#Liste_rouge!A"&amp;_xlfn.XMATCH("DD",Liste_rouge!A:A,2,1),"DD")</f>
        <v>DD</v>
      </c>
      <c r="AH17221" s="4" t="str">
        <f>HYPERLINK("#Statut_biogéographique!A"&amp;_xlfn.XMATCH("P",Statut_biogéographique!A:A,2,1),"P")</f>
        <v>P</v>
      </c>
      <c r="AP17221" s="4" t="s">
        <v>376</v>
      </c>
      <c r="AR17221" s="4" t="s">
        <v>377</v>
      </c>
    </row>
    <row r="17222" spans="1:44">
      <c r="A17222" s="4" t="s">
        <v>10753</v>
      </c>
      <c r="B17222" s="4">
        <v>53081</v>
      </c>
      <c r="D17222" s="5" t="s">
        <v>20791</v>
      </c>
      <c r="E17222" s="6" t="str">
        <f>HYPERLINK("https://inpn.mnhn.fr/espece/cd_nom/53081","Anthidium manicatum (Linnaeus, 1758)")</f>
        <v>Anthidium manicatum (Linnaeus, 1758)</v>
      </c>
      <c r="F17222" s="5" t="s">
        <v>20792</v>
      </c>
      <c r="P17222" s="7" t="str">
        <f>HYPERLINK("#Liste_rouge!A"&amp;_xlfn.XMATCH("LC",Liste_rouge!A:A,2,1),"LC")</f>
        <v>LC</v>
      </c>
      <c r="AH17222" s="4" t="str">
        <f>HYPERLINK("#Statut_biogéographique!A"&amp;_xlfn.XMATCH("P",Statut_biogéographique!A:A,2,1),"P")</f>
        <v>P</v>
      </c>
      <c r="AP17222" s="4" t="s">
        <v>376</v>
      </c>
      <c r="AR17222" s="4" t="s">
        <v>377</v>
      </c>
    </row>
    <row r="17223" spans="1:44">
      <c r="A17223" s="4" t="s">
        <v>10753</v>
      </c>
      <c r="B17223" s="4">
        <v>53082</v>
      </c>
      <c r="D17223" s="5">
        <v>53082</v>
      </c>
      <c r="E17223" s="6" t="str">
        <f>HYPERLINK("https://inpn.mnhn.fr/espece/cd_nom/53082","Anthidium montanum Morawitz, 1865")</f>
        <v>Anthidium montanum Morawitz, 1865</v>
      </c>
      <c r="P17223" s="7" t="str">
        <f>HYPERLINK("#Liste_rouge!A"&amp;_xlfn.XMATCH("NT",Liste_rouge!A:A,2,1),"NT")</f>
        <v>NT</v>
      </c>
      <c r="AH17223" s="4" t="str">
        <f>HYPERLINK("#Statut_biogéographique!A"&amp;_xlfn.XMATCH("P",Statut_biogéographique!A:A,2,1),"P")</f>
        <v>P</v>
      </c>
      <c r="AP17223" s="4" t="s">
        <v>376</v>
      </c>
      <c r="AR17223" s="4" t="s">
        <v>377</v>
      </c>
    </row>
    <row r="17224" spans="1:44">
      <c r="A17224" s="4" t="s">
        <v>10753</v>
      </c>
      <c r="B17224" s="4">
        <v>53083</v>
      </c>
      <c r="D17224" s="5">
        <v>53083</v>
      </c>
      <c r="E17224" s="6" t="str">
        <f>HYPERLINK("https://inpn.mnhn.fr/espece/cd_nom/53083","Anthidium punctatum Latreille, 1809")</f>
        <v>Anthidium punctatum Latreille, 1809</v>
      </c>
      <c r="P17224" s="7" t="str">
        <f>HYPERLINK("#Liste_rouge!A"&amp;_xlfn.XMATCH("LC",Liste_rouge!A:A,2,1),"LC")</f>
        <v>LC</v>
      </c>
      <c r="AH17224" s="4" t="str">
        <f>HYPERLINK("#Statut_biogéographique!A"&amp;_xlfn.XMATCH("P",Statut_biogéographique!A:A,2,1),"P")</f>
        <v>P</v>
      </c>
      <c r="AP17224" s="4" t="s">
        <v>376</v>
      </c>
      <c r="AR17224" s="4" t="s">
        <v>377</v>
      </c>
    </row>
    <row r="17225" spans="1:44">
      <c r="A17225" s="4" t="s">
        <v>10753</v>
      </c>
      <c r="B17225" s="4">
        <v>53086</v>
      </c>
      <c r="D17225" s="5">
        <v>53086</v>
      </c>
      <c r="E17225" s="6" t="str">
        <f>HYPERLINK("https://inpn.mnhn.fr/espece/cd_nom/53086","Aphidius funebris Mackauer, 1961")</f>
        <v>Aphidius funebris Mackauer, 1961</v>
      </c>
      <c r="AH17225" s="4" t="str">
        <f>HYPERLINK("#Statut_biogéographique!A"&amp;_xlfn.XMATCH("P",Statut_biogéographique!A:A,2,1),"P")</f>
        <v>P</v>
      </c>
      <c r="AP17225" s="4" t="s">
        <v>376</v>
      </c>
      <c r="AR17225" s="4" t="s">
        <v>377</v>
      </c>
    </row>
    <row r="17226" spans="1:44">
      <c r="A17226" s="4" t="s">
        <v>10753</v>
      </c>
      <c r="B17226" s="4">
        <v>53095</v>
      </c>
      <c r="D17226" s="5" t="s">
        <v>20793</v>
      </c>
      <c r="E17226" s="6" t="str">
        <f>HYPERLINK("https://inpn.mnhn.fr/espece/cd_nom/53095","Bombus hortorum (Linnaeus, 1761)")</f>
        <v>Bombus hortorum (Linnaeus, 1761)</v>
      </c>
      <c r="F17226" s="5" t="s">
        <v>20794</v>
      </c>
      <c r="P17226" s="7" t="str">
        <f>HYPERLINK("#Liste_rouge!A"&amp;_xlfn.XMATCH("LC",Liste_rouge!A:A,2,1),"LC")</f>
        <v>LC</v>
      </c>
      <c r="AH17226" s="4" t="str">
        <f>HYPERLINK("#Statut_biogéographique!A"&amp;_xlfn.XMATCH("P",Statut_biogéographique!A:A,2,1),"P")</f>
        <v>P</v>
      </c>
      <c r="AP17226" s="4" t="s">
        <v>376</v>
      </c>
      <c r="AR17226" s="4" t="s">
        <v>377</v>
      </c>
    </row>
    <row r="17227" spans="1:44">
      <c r="A17227" s="4" t="s">
        <v>10753</v>
      </c>
      <c r="B17227" s="4">
        <v>53096</v>
      </c>
      <c r="D17227" s="5" t="s">
        <v>20795</v>
      </c>
      <c r="E17227" s="6" t="str">
        <f>HYPERLINK("https://inpn.mnhn.fr/espece/cd_nom/53096","Bombus hypnorum (Linnaeus, 1758)")</f>
        <v>Bombus hypnorum (Linnaeus, 1758)</v>
      </c>
      <c r="F17227" s="5" t="s">
        <v>20796</v>
      </c>
      <c r="P17227" s="7" t="str">
        <f>HYPERLINK("#Liste_rouge!A"&amp;_xlfn.XMATCH("LC",Liste_rouge!A:A,2,1),"LC")</f>
        <v>LC</v>
      </c>
      <c r="AH17227" s="4" t="str">
        <f>HYPERLINK("#Statut_biogéographique!A"&amp;_xlfn.XMATCH("P",Statut_biogéographique!A:A,2,1),"P")</f>
        <v>P</v>
      </c>
      <c r="AP17227" s="4" t="s">
        <v>376</v>
      </c>
      <c r="AR17227" s="4" t="s">
        <v>377</v>
      </c>
    </row>
    <row r="17228" spans="1:44">
      <c r="A17228" s="4" t="s">
        <v>10753</v>
      </c>
      <c r="B17228" s="4">
        <v>53097</v>
      </c>
      <c r="D17228" s="5" t="s">
        <v>20797</v>
      </c>
      <c r="E17228" s="6" t="str">
        <f>HYPERLINK("https://inpn.mnhn.fr/espece/cd_nom/53097","Bombus lapidarius (Linnaeus, 1758)")</f>
        <v>Bombus lapidarius (Linnaeus, 1758)</v>
      </c>
      <c r="F17228" s="5" t="s">
        <v>20798</v>
      </c>
      <c r="P17228" s="7" t="str">
        <f>HYPERLINK("#Liste_rouge!A"&amp;_xlfn.XMATCH("LC",Liste_rouge!A:A,2,1),"LC")</f>
        <v>LC</v>
      </c>
      <c r="AH17228" s="4" t="str">
        <f>HYPERLINK("#Statut_biogéographique!A"&amp;_xlfn.XMATCH("P",Statut_biogéographique!A:A,2,1),"P")</f>
        <v>P</v>
      </c>
      <c r="AP17228" s="4" t="s">
        <v>376</v>
      </c>
      <c r="AR17228" s="4" t="s">
        <v>377</v>
      </c>
    </row>
    <row r="17229" spans="1:44" ht="30">
      <c r="A17229" s="4" t="s">
        <v>10753</v>
      </c>
      <c r="B17229" s="4">
        <v>53098</v>
      </c>
      <c r="D17229" s="5" t="s">
        <v>20799</v>
      </c>
      <c r="E17229" s="6" t="str">
        <f>HYPERLINK("https://inpn.mnhn.fr/espece/cd_nom/53098","Bombus lucorum (Linnaeus, 1761)")</f>
        <v>Bombus lucorum (Linnaeus, 1761)</v>
      </c>
      <c r="F17229" s="5" t="s">
        <v>20800</v>
      </c>
      <c r="P17229" s="7" t="str">
        <f>HYPERLINK("#Liste_rouge!A"&amp;_xlfn.XMATCH("LC",Liste_rouge!A:A,2,1),"LC")</f>
        <v>LC</v>
      </c>
      <c r="AH17229" s="4" t="str">
        <f>HYPERLINK("#Statut_biogéographique!A"&amp;_xlfn.XMATCH("P",Statut_biogéographique!A:A,2,1),"P")</f>
        <v>P</v>
      </c>
      <c r="AP17229" s="4" t="s">
        <v>376</v>
      </c>
      <c r="AR17229" s="4" t="s">
        <v>377</v>
      </c>
    </row>
    <row r="17230" spans="1:44">
      <c r="A17230" s="4" t="s">
        <v>10753</v>
      </c>
      <c r="B17230" s="4">
        <v>53099</v>
      </c>
      <c r="D17230" s="5" t="s">
        <v>20801</v>
      </c>
      <c r="E17230" s="6" t="str">
        <f>HYPERLINK("https://inpn.mnhn.fr/espece/cd_nom/53099","Bombus pascuorum (Scopoli, 1763)")</f>
        <v>Bombus pascuorum (Scopoli, 1763)</v>
      </c>
      <c r="F17230" s="5" t="s">
        <v>20802</v>
      </c>
      <c r="P17230" s="7" t="str">
        <f>HYPERLINK("#Liste_rouge!A"&amp;_xlfn.XMATCH("LC",Liste_rouge!A:A,2,1),"LC")</f>
        <v>LC</v>
      </c>
      <c r="AH17230" s="4" t="str">
        <f>HYPERLINK("#Statut_biogéographique!A"&amp;_xlfn.XMATCH("P",Statut_biogéographique!A:A,2,1),"P")</f>
        <v>P</v>
      </c>
      <c r="AP17230" s="4" t="s">
        <v>376</v>
      </c>
      <c r="AR17230" s="4" t="s">
        <v>377</v>
      </c>
    </row>
    <row r="17231" spans="1:44">
      <c r="A17231" s="4" t="s">
        <v>10753</v>
      </c>
      <c r="B17231" s="4">
        <v>53100</v>
      </c>
      <c r="D17231" s="5" t="s">
        <v>20803</v>
      </c>
      <c r="E17231" s="6" t="str">
        <f>HYPERLINK("https://inpn.mnhn.fr/espece/cd_nom/53100","Bombus pratorum (Linnaeus, 1761)")</f>
        <v>Bombus pratorum (Linnaeus, 1761)</v>
      </c>
      <c r="F17231" s="5" t="s">
        <v>20804</v>
      </c>
      <c r="P17231" s="7" t="str">
        <f>HYPERLINK("#Liste_rouge!A"&amp;_xlfn.XMATCH("LC",Liste_rouge!A:A,2,1),"LC")</f>
        <v>LC</v>
      </c>
      <c r="AH17231" s="4" t="str">
        <f>HYPERLINK("#Statut_biogéographique!A"&amp;_xlfn.XMATCH("P",Statut_biogéographique!A:A,2,1),"P")</f>
        <v>P</v>
      </c>
      <c r="AP17231" s="4" t="s">
        <v>376</v>
      </c>
      <c r="AR17231" s="4" t="s">
        <v>377</v>
      </c>
    </row>
    <row r="17232" spans="1:44">
      <c r="A17232" s="4" t="s">
        <v>10753</v>
      </c>
      <c r="B17232" s="4">
        <v>53101</v>
      </c>
      <c r="D17232" s="5" t="s">
        <v>20805</v>
      </c>
      <c r="E17232" s="6" t="str">
        <f>HYPERLINK("https://inpn.mnhn.fr/espece/cd_nom/53101","Bombus ruderarius (Müller, 1776)")</f>
        <v>Bombus ruderarius (Müller, 1776)</v>
      </c>
      <c r="F17232" s="5" t="s">
        <v>20806</v>
      </c>
      <c r="P17232" s="7" t="str">
        <f>HYPERLINK("#Liste_rouge!A"&amp;_xlfn.XMATCH("LC",Liste_rouge!A:A,2,1),"LC")</f>
        <v>LC</v>
      </c>
      <c r="AH17232" s="4" t="str">
        <f>HYPERLINK("#Statut_biogéographique!A"&amp;_xlfn.XMATCH("P",Statut_biogéographique!A:A,2,1),"P")</f>
        <v>P</v>
      </c>
      <c r="AP17232" s="4" t="s">
        <v>376</v>
      </c>
      <c r="AR17232" s="4" t="s">
        <v>377</v>
      </c>
    </row>
    <row r="17233" spans="1:44" ht="30">
      <c r="A17233" s="4" t="s">
        <v>10753</v>
      </c>
      <c r="B17233" s="4">
        <v>53103</v>
      </c>
      <c r="D17233" s="5" t="s">
        <v>20807</v>
      </c>
      <c r="E17233" s="6" t="str">
        <f>HYPERLINK("https://inpn.mnhn.fr/espece/cd_nom/53103","Bombus sylvarum (Linnaeus, 1761)")</f>
        <v>Bombus sylvarum (Linnaeus, 1761)</v>
      </c>
      <c r="F17233" s="5" t="s">
        <v>20808</v>
      </c>
      <c r="P17233" s="7" t="str">
        <f>HYPERLINK("#Liste_rouge!A"&amp;_xlfn.XMATCH("LC",Liste_rouge!A:A,2,1),"LC")</f>
        <v>LC</v>
      </c>
      <c r="AH17233" s="4" t="str">
        <f>HYPERLINK("#Statut_biogéographique!A"&amp;_xlfn.XMATCH("P",Statut_biogéographique!A:A,2,1),"P")</f>
        <v>P</v>
      </c>
      <c r="AP17233" s="4" t="s">
        <v>376</v>
      </c>
      <c r="AR17233" s="4" t="s">
        <v>377</v>
      </c>
    </row>
    <row r="17234" spans="1:44">
      <c r="A17234" s="4" t="s">
        <v>10753</v>
      </c>
      <c r="B17234" s="4">
        <v>53104</v>
      </c>
      <c r="D17234" s="5" t="s">
        <v>20809</v>
      </c>
      <c r="E17234" s="6" t="str">
        <f>HYPERLINK("https://inpn.mnhn.fr/espece/cd_nom/53104","Bombus terrestris (Linnaeus, 1758)")</f>
        <v>Bombus terrestris (Linnaeus, 1758)</v>
      </c>
      <c r="F17234" s="5" t="s">
        <v>20810</v>
      </c>
      <c r="P17234" s="7" t="str">
        <f>HYPERLINK("#Liste_rouge!A"&amp;_xlfn.XMATCH("LC",Liste_rouge!A:A,2,1),"LC")</f>
        <v>LC</v>
      </c>
      <c r="AH17234" s="4" t="str">
        <f>HYPERLINK("#Statut_biogéographique!A"&amp;_xlfn.XMATCH("P",Statut_biogéographique!A:A,2,1),"P")</f>
        <v>P</v>
      </c>
      <c r="AP17234" s="4" t="s">
        <v>376</v>
      </c>
      <c r="AR17234" s="4" t="s">
        <v>377</v>
      </c>
    </row>
    <row r="17235" spans="1:44">
      <c r="A17235" s="4" t="s">
        <v>10753</v>
      </c>
      <c r="B17235" s="4">
        <v>53108</v>
      </c>
      <c r="D17235" s="5" t="s">
        <v>20811</v>
      </c>
      <c r="E17235" s="6" t="str">
        <f>HYPERLINK("https://inpn.mnhn.fr/espece/cd_nom/53108","Coelioxys quadridentata (Linnaeus, 1758)")</f>
        <v>Coelioxys quadridentata (Linnaeus, 1758)</v>
      </c>
      <c r="P17235" s="7" t="str">
        <f>HYPERLINK("#Liste_rouge!A"&amp;_xlfn.XMATCH("LC",Liste_rouge!A:A,2,1),"LC")</f>
        <v>LC</v>
      </c>
      <c r="AH17235" s="4" t="str">
        <f>HYPERLINK("#Statut_biogéographique!A"&amp;_xlfn.XMATCH("P",Statut_biogéographique!A:A,2,1),"P")</f>
        <v>P</v>
      </c>
      <c r="AP17235" s="4" t="s">
        <v>376</v>
      </c>
      <c r="AR17235" s="4" t="s">
        <v>377</v>
      </c>
    </row>
    <row r="17236" spans="1:44">
      <c r="A17236" s="4" t="s">
        <v>10753</v>
      </c>
      <c r="B17236" s="4">
        <v>53110</v>
      </c>
      <c r="D17236" s="5" t="s">
        <v>20812</v>
      </c>
      <c r="E17236" s="6" t="str">
        <f>HYPERLINK("https://inpn.mnhn.fr/espece/cd_nom/53110","Colletes daviesanus Smith, 1846")</f>
        <v>Colletes daviesanus Smith, 1846</v>
      </c>
      <c r="P17236" s="7" t="str">
        <f>HYPERLINK("#Liste_rouge!A"&amp;_xlfn.XMATCH("LC",Liste_rouge!A:A,2,1),"LC")</f>
        <v>LC</v>
      </c>
      <c r="AH17236" s="4" t="str">
        <f>HYPERLINK("#Statut_biogéographique!A"&amp;_xlfn.XMATCH("P",Statut_biogéographique!A:A,2,1),"P")</f>
        <v>P</v>
      </c>
      <c r="AP17236" s="4" t="s">
        <v>376</v>
      </c>
      <c r="AR17236" s="4" t="s">
        <v>377</v>
      </c>
    </row>
    <row r="17237" spans="1:44">
      <c r="A17237" s="4" t="s">
        <v>10753</v>
      </c>
      <c r="B17237" s="4">
        <v>531122</v>
      </c>
      <c r="D17237" s="5" t="s">
        <v>20813</v>
      </c>
      <c r="E17237" s="6" t="str">
        <f>HYPERLINK("https://inpn.mnhn.fr/espece/cd_nom/531122","Arion vulgaris Moquin-Tandon, 1855")</f>
        <v>Arion vulgaris Moquin-Tandon, 1855</v>
      </c>
      <c r="F17237" s="5" t="s">
        <v>20814</v>
      </c>
      <c r="O17237" s="7" t="str">
        <f>HYPERLINK("#Liste_rouge!A"&amp;_xlfn.XMATCH("LC",Liste_rouge!A:A,2,1),"LC")</f>
        <v>LC</v>
      </c>
      <c r="P17237" s="7" t="str">
        <f>HYPERLINK("#Liste_rouge!A"&amp;_xlfn.XMATCH("LC",Liste_rouge!A:A,2,1),"LC")</f>
        <v>LC</v>
      </c>
      <c r="Q17237" s="7" t="str">
        <f>HYPERLINK("#Liste_rouge!A"&amp;_xlfn.XMATCH("LC",Liste_rouge!A:A,2,1),"LC")</f>
        <v>LC</v>
      </c>
      <c r="AH17237" s="4" t="str">
        <f>HYPERLINK("#Statut_biogéographique!A"&amp;_xlfn.XMATCH("P",Statut_biogéographique!A:A,2,1),"P")</f>
        <v>P</v>
      </c>
      <c r="AP17237" s="4" t="s">
        <v>376</v>
      </c>
      <c r="AR17237" s="4" t="s">
        <v>377</v>
      </c>
    </row>
    <row r="17238" spans="1:44" ht="30">
      <c r="A17238" s="4" t="s">
        <v>10753</v>
      </c>
      <c r="B17238" s="4">
        <v>531162</v>
      </c>
      <c r="D17238" s="5" t="s">
        <v>20815</v>
      </c>
      <c r="E17238" s="6" t="str">
        <f>HYPERLINK("https://inpn.mnhn.fr/espece/cd_nom/531162","Euglesa casertana (Poli, 1791)")</f>
        <v>Euglesa casertana (Poli, 1791)</v>
      </c>
      <c r="F17238" s="5" t="s">
        <v>20816</v>
      </c>
      <c r="O17238" s="7" t="str">
        <f>HYPERLINK("#Liste_rouge!A"&amp;_xlfn.XMATCH("LC",Liste_rouge!A:A,2,1),"LC")</f>
        <v>LC</v>
      </c>
      <c r="P17238" s="7" t="str">
        <f>HYPERLINK("#Liste_rouge!A"&amp;_xlfn.XMATCH("LC",Liste_rouge!A:A,2,1),"LC")</f>
        <v>LC</v>
      </c>
      <c r="Q17238" s="7" t="str">
        <f>HYPERLINK("#Liste_rouge!A"&amp;_xlfn.XMATCH("LC",Liste_rouge!A:A,2,1),"LC")</f>
        <v>LC</v>
      </c>
      <c r="AH17238" s="4" t="str">
        <f>HYPERLINK("#Statut_biogéographique!A"&amp;_xlfn.XMATCH("P",Statut_biogéographique!A:A,2,1),"P")</f>
        <v>P</v>
      </c>
      <c r="AP17238" s="4" t="s">
        <v>376</v>
      </c>
      <c r="AR17238" s="4" t="s">
        <v>377</v>
      </c>
    </row>
    <row r="17239" spans="1:44">
      <c r="A17239" s="4" t="s">
        <v>10753</v>
      </c>
      <c r="B17239" s="4">
        <v>531183</v>
      </c>
      <c r="D17239" s="5" t="s">
        <v>20817</v>
      </c>
      <c r="E17239" s="6" t="str">
        <f>HYPERLINK("https://inpn.mnhn.fr/espece/cd_nom/531183","Euglesa globularis (Clessin, 1873)")</f>
        <v>Euglesa globularis (Clessin, 1873)</v>
      </c>
      <c r="F17239" s="5" t="s">
        <v>20818</v>
      </c>
      <c r="P17239" s="7" t="str">
        <f>HYPERLINK("#Liste_rouge!A"&amp;_xlfn.XMATCH("LC",Liste_rouge!A:A,2,1),"LC")</f>
        <v>LC</v>
      </c>
      <c r="Q17239" s="7" t="str">
        <f>HYPERLINK("#Liste_rouge!A"&amp;_xlfn.XMATCH("DD",Liste_rouge!A:A,2,1),"DD")</f>
        <v>DD</v>
      </c>
      <c r="AH17239" s="4" t="str">
        <f>HYPERLINK("#Statut_biogéographique!A"&amp;_xlfn.XMATCH("P",Statut_biogéographique!A:A,2,1),"P")</f>
        <v>P</v>
      </c>
      <c r="AP17239" s="4" t="s">
        <v>376</v>
      </c>
      <c r="AR17239" s="4" t="s">
        <v>377</v>
      </c>
    </row>
    <row r="17240" spans="1:44">
      <c r="A17240" s="4" t="s">
        <v>10753</v>
      </c>
      <c r="B17240" s="4">
        <v>531202</v>
      </c>
      <c r="D17240" s="5" t="s">
        <v>20819</v>
      </c>
      <c r="E17240" s="6" t="str">
        <f>HYPERLINK("https://inpn.mnhn.fr/espece/cd_nom/531202","Euglesa henslowana (Sheppard, 1825)")</f>
        <v>Euglesa henslowana (Sheppard, 1825)</v>
      </c>
      <c r="F17240" s="5" t="s">
        <v>20820</v>
      </c>
      <c r="O17240" s="7" t="str">
        <f>HYPERLINK("#Liste_rouge!A"&amp;_xlfn.XMATCH("LC",Liste_rouge!A:A,2,1),"LC")</f>
        <v>LC</v>
      </c>
      <c r="P17240" s="7" t="str">
        <f>HYPERLINK("#Liste_rouge!A"&amp;_xlfn.XMATCH("LC",Liste_rouge!A:A,2,1),"LC")</f>
        <v>LC</v>
      </c>
      <c r="Q17240" s="7" t="str">
        <f>HYPERLINK("#Liste_rouge!A"&amp;_xlfn.XMATCH("LC",Liste_rouge!A:A,2,1),"LC")</f>
        <v>LC</v>
      </c>
      <c r="AH17240" s="4" t="str">
        <f>HYPERLINK("#Statut_biogéographique!A"&amp;_xlfn.XMATCH("P",Statut_biogéographique!A:A,2,1),"P")</f>
        <v>P</v>
      </c>
      <c r="AP17240" s="4" t="s">
        <v>376</v>
      </c>
      <c r="AR17240" s="4" t="s">
        <v>377</v>
      </c>
    </row>
    <row r="17241" spans="1:44">
      <c r="A17241" s="4" t="s">
        <v>10753</v>
      </c>
      <c r="B17241" s="4">
        <v>531203</v>
      </c>
      <c r="D17241" s="5" t="s">
        <v>20821</v>
      </c>
      <c r="E17241" s="6" t="str">
        <f>HYPERLINK("https://inpn.mnhn.fr/espece/cd_nom/531203","Euglesa hibernica (Westerlund, 1894)")</f>
        <v>Euglesa hibernica (Westerlund, 1894)</v>
      </c>
      <c r="F17241" s="5" t="s">
        <v>20822</v>
      </c>
      <c r="P17241" s="7" t="str">
        <f>HYPERLINK("#Liste_rouge!A"&amp;_xlfn.XMATCH("LC",Liste_rouge!A:A,2,1),"LC")</f>
        <v>LC</v>
      </c>
      <c r="Q17241" s="7" t="str">
        <f>HYPERLINK("#Liste_rouge!A"&amp;_xlfn.XMATCH("LC",Liste_rouge!A:A,2,1),"LC")</f>
        <v>LC</v>
      </c>
      <c r="AH17241" s="4" t="str">
        <f>HYPERLINK("#Statut_biogéographique!A"&amp;_xlfn.XMATCH("P",Statut_biogéographique!A:A,2,1),"P")</f>
        <v>P</v>
      </c>
      <c r="AP17241" s="4" t="s">
        <v>376</v>
      </c>
      <c r="AR17241" s="4" t="s">
        <v>377</v>
      </c>
    </row>
    <row r="17242" spans="1:44">
      <c r="A17242" s="4" t="s">
        <v>10753</v>
      </c>
      <c r="B17242" s="4">
        <v>531204</v>
      </c>
      <c r="D17242" s="5" t="s">
        <v>20823</v>
      </c>
      <c r="E17242" s="6" t="str">
        <f>HYPERLINK("https://inpn.mnhn.fr/espece/cd_nom/531204","Euglesa lilljeborgii (Clessin, 1886)")</f>
        <v>Euglesa lilljeborgii (Clessin, 1886)</v>
      </c>
      <c r="F17242" s="5" t="s">
        <v>20824</v>
      </c>
      <c r="O17242" s="7" t="str">
        <f>HYPERLINK("#Liste_rouge!A"&amp;_xlfn.XMATCH("LC",Liste_rouge!A:A,2,1),"LC")</f>
        <v>LC</v>
      </c>
      <c r="P17242" s="7" t="str">
        <f>HYPERLINK("#Liste_rouge!A"&amp;_xlfn.XMATCH("LC",Liste_rouge!A:A,2,1),"LC")</f>
        <v>LC</v>
      </c>
      <c r="Q17242" s="7" t="str">
        <f>HYPERLINK("#Liste_rouge!A"&amp;_xlfn.XMATCH("NT",Liste_rouge!A:A,2,1),"NT")</f>
        <v>NT</v>
      </c>
      <c r="AH17242" s="4" t="str">
        <f>HYPERLINK("#Statut_biogéographique!A"&amp;_xlfn.XMATCH("P",Statut_biogéographique!A:A,2,1),"P")</f>
        <v>P</v>
      </c>
      <c r="AP17242" s="4" t="s">
        <v>376</v>
      </c>
      <c r="AR17242" s="4" t="s">
        <v>377</v>
      </c>
    </row>
    <row r="17243" spans="1:44">
      <c r="A17243" s="4" t="s">
        <v>10753</v>
      </c>
      <c r="B17243" s="4">
        <v>531205</v>
      </c>
      <c r="D17243" s="5" t="s">
        <v>20825</v>
      </c>
      <c r="E17243" s="6" t="str">
        <f>HYPERLINK("https://inpn.mnhn.fr/espece/cd_nom/531205","Euglesa milium (Held, 1836)")</f>
        <v>Euglesa milium (Held, 1836)</v>
      </c>
      <c r="F17243" s="5" t="s">
        <v>20826</v>
      </c>
      <c r="O17243" s="7" t="str">
        <f>HYPERLINK("#Liste_rouge!A"&amp;_xlfn.XMATCH("LC",Liste_rouge!A:A,2,1),"LC")</f>
        <v>LC</v>
      </c>
      <c r="P17243" s="7" t="str">
        <f>HYPERLINK("#Liste_rouge!A"&amp;_xlfn.XMATCH("LC",Liste_rouge!A:A,2,1),"LC")</f>
        <v>LC</v>
      </c>
      <c r="Q17243" s="7" t="str">
        <f>HYPERLINK("#Liste_rouge!A"&amp;_xlfn.XMATCH("LC",Liste_rouge!A:A,2,1),"LC")</f>
        <v>LC</v>
      </c>
      <c r="AH17243" s="4" t="str">
        <f>HYPERLINK("#Statut_biogéographique!A"&amp;_xlfn.XMATCH("P",Statut_biogéographique!A:A,2,1),"P")</f>
        <v>P</v>
      </c>
      <c r="AP17243" s="4" t="s">
        <v>376</v>
      </c>
      <c r="AR17243" s="4" t="s">
        <v>377</v>
      </c>
    </row>
    <row r="17244" spans="1:44">
      <c r="A17244" s="4" t="s">
        <v>10753</v>
      </c>
      <c r="B17244" s="4">
        <v>531206</v>
      </c>
      <c r="D17244" s="5" t="s">
        <v>20827</v>
      </c>
      <c r="E17244" s="6" t="str">
        <f>HYPERLINK("https://inpn.mnhn.fr/espece/cd_nom/531206","Euglesa nitida (Jenyns, 1832)")</f>
        <v>Euglesa nitida (Jenyns, 1832)</v>
      </c>
      <c r="F17244" s="5" t="s">
        <v>20828</v>
      </c>
      <c r="O17244" s="7" t="str">
        <f>HYPERLINK("#Liste_rouge!A"&amp;_xlfn.XMATCH("LC",Liste_rouge!A:A,2,1),"LC")</f>
        <v>LC</v>
      </c>
      <c r="P17244" s="7" t="str">
        <f>HYPERLINK("#Liste_rouge!A"&amp;_xlfn.XMATCH("LC",Liste_rouge!A:A,2,1),"LC")</f>
        <v>LC</v>
      </c>
      <c r="Q17244" s="7" t="str">
        <f>HYPERLINK("#Liste_rouge!A"&amp;_xlfn.XMATCH("LC",Liste_rouge!A:A,2,1),"LC")</f>
        <v>LC</v>
      </c>
      <c r="AH17244" s="4" t="str">
        <f>HYPERLINK("#Statut_biogéographique!A"&amp;_xlfn.XMATCH("P",Statut_biogéographique!A:A,2,1),"P")</f>
        <v>P</v>
      </c>
      <c r="AP17244" s="4" t="s">
        <v>376</v>
      </c>
      <c r="AR17244" s="4" t="s">
        <v>377</v>
      </c>
    </row>
    <row r="17245" spans="1:44" ht="30">
      <c r="A17245" s="4" t="s">
        <v>10753</v>
      </c>
      <c r="B17245" s="4">
        <v>531207</v>
      </c>
      <c r="D17245" s="5" t="s">
        <v>20829</v>
      </c>
      <c r="E17245" s="6" t="str">
        <f>HYPERLINK("https://inpn.mnhn.fr/espece/cd_nom/531207","Euglesa obtusalis (Lamarck, 1818)")</f>
        <v>Euglesa obtusalis (Lamarck, 1818)</v>
      </c>
      <c r="F17245" s="5" t="s">
        <v>20830</v>
      </c>
      <c r="O17245" s="7" t="str">
        <f>HYPERLINK("#Liste_rouge!A"&amp;_xlfn.XMATCH("LC",Liste_rouge!A:A,2,1),"LC")</f>
        <v>LC</v>
      </c>
      <c r="P17245" s="7" t="str">
        <f>HYPERLINK("#Liste_rouge!A"&amp;_xlfn.XMATCH("LC",Liste_rouge!A:A,2,1),"LC")</f>
        <v>LC</v>
      </c>
      <c r="Q17245" s="7" t="str">
        <f>HYPERLINK("#Liste_rouge!A"&amp;_xlfn.XMATCH("LC",Liste_rouge!A:A,2,1),"LC")</f>
        <v>LC</v>
      </c>
      <c r="AH17245" s="4" t="str">
        <f>HYPERLINK("#Statut_biogéographique!A"&amp;_xlfn.XMATCH("P",Statut_biogéographique!A:A,2,1),"P")</f>
        <v>P</v>
      </c>
      <c r="AP17245" s="4" t="s">
        <v>376</v>
      </c>
      <c r="AR17245" s="4" t="s">
        <v>377</v>
      </c>
    </row>
    <row r="17246" spans="1:44">
      <c r="A17246" s="4" t="s">
        <v>10753</v>
      </c>
      <c r="B17246" s="4">
        <v>531208</v>
      </c>
      <c r="D17246" s="5" t="s">
        <v>20831</v>
      </c>
      <c r="E17246" s="6" t="str">
        <f>HYPERLINK("https://inpn.mnhn.fr/espece/cd_nom/531208","Euglesa personata (Malm, 1855)")</f>
        <v>Euglesa personata (Malm, 1855)</v>
      </c>
      <c r="F17246" s="5" t="s">
        <v>20832</v>
      </c>
      <c r="P17246" s="7" t="str">
        <f>HYPERLINK("#Liste_rouge!A"&amp;_xlfn.XMATCH("LC",Liste_rouge!A:A,2,1),"LC")</f>
        <v>LC</v>
      </c>
      <c r="Q17246" s="7" t="str">
        <f>HYPERLINK("#Liste_rouge!A"&amp;_xlfn.XMATCH("LC",Liste_rouge!A:A,2,1),"LC")</f>
        <v>LC</v>
      </c>
      <c r="AH17246" s="4" t="str">
        <f>HYPERLINK("#Statut_biogéographique!A"&amp;_xlfn.XMATCH("P",Statut_biogéographique!A:A,2,1),"P")</f>
        <v>P</v>
      </c>
      <c r="AP17246" s="4" t="s">
        <v>376</v>
      </c>
      <c r="AR17246" s="4" t="s">
        <v>377</v>
      </c>
    </row>
    <row r="17247" spans="1:44">
      <c r="A17247" s="4" t="s">
        <v>10753</v>
      </c>
      <c r="B17247" s="4">
        <v>531210</v>
      </c>
      <c r="D17247" s="5" t="s">
        <v>20833</v>
      </c>
      <c r="E17247" s="6" t="str">
        <f>HYPERLINK("https://inpn.mnhn.fr/espece/cd_nom/531210","Euglesa pulchella (Jenyns, 1832)")</f>
        <v>Euglesa pulchella (Jenyns, 1832)</v>
      </c>
      <c r="F17247" s="5" t="s">
        <v>20834</v>
      </c>
      <c r="P17247" s="7" t="str">
        <f>HYPERLINK("#Liste_rouge!A"&amp;_xlfn.XMATCH("LC",Liste_rouge!A:A,2,1),"LC")</f>
        <v>LC</v>
      </c>
      <c r="Q17247" s="7" t="str">
        <f>HYPERLINK("#Liste_rouge!A"&amp;_xlfn.XMATCH("DD",Liste_rouge!A:A,2,1),"DD")</f>
        <v>DD</v>
      </c>
      <c r="AH17247" s="4" t="str">
        <f>HYPERLINK("#Statut_biogéographique!A"&amp;_xlfn.XMATCH("P",Statut_biogéographique!A:A,2,1),"P")</f>
        <v>P</v>
      </c>
      <c r="AP17247" s="4" t="s">
        <v>376</v>
      </c>
      <c r="AR17247" s="4" t="s">
        <v>377</v>
      </c>
    </row>
    <row r="17248" spans="1:44" ht="30">
      <c r="A17248" s="4" t="s">
        <v>10753</v>
      </c>
      <c r="B17248" s="4">
        <v>531211</v>
      </c>
      <c r="D17248" s="5" t="s">
        <v>20835</v>
      </c>
      <c r="E17248" s="6" t="str">
        <f>HYPERLINK("https://inpn.mnhn.fr/espece/cd_nom/531211","Euglesa subtruncata (Malm, 1855)")</f>
        <v>Euglesa subtruncata (Malm, 1855)</v>
      </c>
      <c r="F17248" s="5" t="s">
        <v>20836</v>
      </c>
      <c r="O17248" s="7" t="str">
        <f>HYPERLINK("#Liste_rouge!A"&amp;_xlfn.XMATCH("LC",Liste_rouge!A:A,2,1),"LC")</f>
        <v>LC</v>
      </c>
      <c r="P17248" s="7" t="str">
        <f>HYPERLINK("#Liste_rouge!A"&amp;_xlfn.XMATCH("LC",Liste_rouge!A:A,2,1),"LC")</f>
        <v>LC</v>
      </c>
      <c r="Q17248" s="7" t="str">
        <f>HYPERLINK("#Liste_rouge!A"&amp;_xlfn.XMATCH("LC",Liste_rouge!A:A,2,1),"LC")</f>
        <v>LC</v>
      </c>
      <c r="AH17248" s="4" t="str">
        <f>HYPERLINK("#Statut_biogéographique!A"&amp;_xlfn.XMATCH("P",Statut_biogéographique!A:A,2,1),"P")</f>
        <v>P</v>
      </c>
      <c r="AP17248" s="4" t="s">
        <v>376</v>
      </c>
      <c r="AR17248" s="4" t="s">
        <v>377</v>
      </c>
    </row>
    <row r="17249" spans="1:44" ht="30">
      <c r="A17249" s="4" t="s">
        <v>10753</v>
      </c>
      <c r="B17249" s="4">
        <v>531212</v>
      </c>
      <c r="D17249" s="5" t="s">
        <v>20837</v>
      </c>
      <c r="E17249" s="6" t="str">
        <f>HYPERLINK("https://inpn.mnhn.fr/espece/cd_nom/531212","Euglesa supina (A. Schmidt, 1851)")</f>
        <v>Euglesa supina (A. Schmidt, 1851)</v>
      </c>
      <c r="F17249" s="5" t="s">
        <v>20838</v>
      </c>
      <c r="O17249" s="7" t="str">
        <f>HYPERLINK("#Liste_rouge!A"&amp;_xlfn.XMATCH("LC",Liste_rouge!A:A,2,1),"LC")</f>
        <v>LC</v>
      </c>
      <c r="P17249" s="7" t="str">
        <f>HYPERLINK("#Liste_rouge!A"&amp;_xlfn.XMATCH("LC",Liste_rouge!A:A,2,1),"LC")</f>
        <v>LC</v>
      </c>
      <c r="Q17249" s="7" t="str">
        <f>HYPERLINK("#Liste_rouge!A"&amp;_xlfn.XMATCH("LC",Liste_rouge!A:A,2,1),"LC")</f>
        <v>LC</v>
      </c>
      <c r="AH17249" s="4" t="str">
        <f>HYPERLINK("#Statut_biogéographique!A"&amp;_xlfn.XMATCH("P",Statut_biogéographique!A:A,2,1),"P")</f>
        <v>P</v>
      </c>
      <c r="AP17249" s="4" t="s">
        <v>376</v>
      </c>
      <c r="AR17249" s="4" t="s">
        <v>377</v>
      </c>
    </row>
    <row r="17250" spans="1:44" ht="30">
      <c r="A17250" s="4" t="s">
        <v>10753</v>
      </c>
      <c r="B17250" s="4">
        <v>531242</v>
      </c>
      <c r="D17250" s="5" t="s">
        <v>20839</v>
      </c>
      <c r="E17250" s="6" t="str">
        <f>HYPERLINK("https://inpn.mnhn.fr/espece/cd_nom/531242","Odhneripisidium tenuilineatum (Stelfox, 1918)")</f>
        <v>Odhneripisidium tenuilineatum (Stelfox, 1918)</v>
      </c>
      <c r="F17250" s="5" t="s">
        <v>20840</v>
      </c>
      <c r="P17250" s="7" t="str">
        <f>HYPERLINK("#Liste_rouge!A"&amp;_xlfn.XMATCH("LC",Liste_rouge!A:A,2,1),"LC")</f>
        <v>LC</v>
      </c>
      <c r="Q17250" s="7" t="str">
        <f>HYPERLINK("#Liste_rouge!A"&amp;_xlfn.XMATCH("LC",Liste_rouge!A:A,2,1),"LC")</f>
        <v>LC</v>
      </c>
      <c r="AH17250" s="4" t="str">
        <f>HYPERLINK("#Statut_biogéographique!A"&amp;_xlfn.XMATCH("P",Statut_biogéographique!A:A,2,1),"P")</f>
        <v>P</v>
      </c>
      <c r="AP17250" s="4" t="s">
        <v>376</v>
      </c>
      <c r="AR17250" s="4" t="s">
        <v>377</v>
      </c>
    </row>
    <row r="17251" spans="1:44">
      <c r="A17251" s="4" t="s">
        <v>10753</v>
      </c>
      <c r="B17251" s="4">
        <v>53130</v>
      </c>
      <c r="D17251" s="5" t="s">
        <v>20841</v>
      </c>
      <c r="E17251" s="6" t="str">
        <f>HYPERLINK("https://inpn.mnhn.fr/espece/cd_nom/53130","Halictus maculatus Smith, 1848")</f>
        <v>Halictus maculatus Smith, 1848</v>
      </c>
      <c r="P17251" s="7" t="str">
        <f>HYPERLINK("#Liste_rouge!A"&amp;_xlfn.XMATCH("LC",Liste_rouge!A:A,2,1),"LC")</f>
        <v>LC</v>
      </c>
      <c r="AH17251" s="4" t="str">
        <f>HYPERLINK("#Statut_biogéographique!A"&amp;_xlfn.XMATCH("P",Statut_biogéographique!A:A,2,1),"P")</f>
        <v>P</v>
      </c>
      <c r="AP17251" s="4" t="s">
        <v>376</v>
      </c>
      <c r="AR17251" s="4" t="s">
        <v>377</v>
      </c>
    </row>
    <row r="17252" spans="1:44">
      <c r="A17252" s="4" t="s">
        <v>10753</v>
      </c>
      <c r="B17252" s="4">
        <v>53144</v>
      </c>
      <c r="D17252" s="5" t="s">
        <v>20842</v>
      </c>
      <c r="E17252" s="6" t="str">
        <f>HYPERLINK("https://inpn.mnhn.fr/espece/cd_nom/53144","Halictus quadricinctus (Fabricius, 1777)")</f>
        <v>Halictus quadricinctus (Fabricius, 1777)</v>
      </c>
      <c r="P17252" s="7" t="str">
        <f>HYPERLINK("#Liste_rouge!A"&amp;_xlfn.XMATCH("NT",Liste_rouge!A:A,2,1),"NT")</f>
        <v>NT</v>
      </c>
      <c r="AH17252" s="4" t="str">
        <f>HYPERLINK("#Statut_biogéographique!A"&amp;_xlfn.XMATCH("P",Statut_biogéographique!A:A,2,1),"P")</f>
        <v>P</v>
      </c>
      <c r="AP17252" s="4" t="s">
        <v>376</v>
      </c>
      <c r="AR17252" s="4" t="s">
        <v>377</v>
      </c>
    </row>
    <row r="17253" spans="1:44">
      <c r="A17253" s="4" t="s">
        <v>10753</v>
      </c>
      <c r="B17253" s="4">
        <v>53145</v>
      </c>
      <c r="D17253" s="5" t="s">
        <v>20843</v>
      </c>
      <c r="E17253" s="6" t="str">
        <f>HYPERLINK("https://inpn.mnhn.fr/espece/cd_nom/53145","Halictus rubicundus (Christ, 1791)")</f>
        <v>Halictus rubicundus (Christ, 1791)</v>
      </c>
      <c r="P17253" s="7" t="str">
        <f>HYPERLINK("#Liste_rouge!A"&amp;_xlfn.XMATCH("LC",Liste_rouge!A:A,2,1),"LC")</f>
        <v>LC</v>
      </c>
      <c r="AH17253" s="4" t="str">
        <f>HYPERLINK("#Statut_biogéographique!A"&amp;_xlfn.XMATCH("P",Statut_biogéographique!A:A,2,1),"P")</f>
        <v>P</v>
      </c>
      <c r="AP17253" s="4" t="s">
        <v>376</v>
      </c>
      <c r="AR17253" s="4" t="s">
        <v>377</v>
      </c>
    </row>
    <row r="17254" spans="1:44">
      <c r="A17254" s="4" t="s">
        <v>10753</v>
      </c>
      <c r="B17254" s="4">
        <v>53146</v>
      </c>
      <c r="D17254" s="5" t="s">
        <v>20844</v>
      </c>
      <c r="E17254" s="6" t="str">
        <f>HYPERLINK("https://inpn.mnhn.fr/espece/cd_nom/53146","Halictus scabiosae (Rossi, 1790)")</f>
        <v>Halictus scabiosae (Rossi, 1790)</v>
      </c>
      <c r="P17254" s="7" t="str">
        <f>HYPERLINK("#Liste_rouge!A"&amp;_xlfn.XMATCH("LC",Liste_rouge!A:A,2,1),"LC")</f>
        <v>LC</v>
      </c>
      <c r="AH17254" s="4" t="str">
        <f>HYPERLINK("#Statut_biogéographique!A"&amp;_xlfn.XMATCH("P",Statut_biogéographique!A:A,2,1),"P")</f>
        <v>P</v>
      </c>
      <c r="AP17254" s="4" t="s">
        <v>376</v>
      </c>
      <c r="AR17254" s="4" t="s">
        <v>377</v>
      </c>
    </row>
    <row r="17255" spans="1:44">
      <c r="A17255" s="4" t="s">
        <v>10753</v>
      </c>
      <c r="B17255" s="4">
        <v>53148</v>
      </c>
      <c r="D17255" s="5">
        <v>53148</v>
      </c>
      <c r="E17255" s="6" t="str">
        <f>HYPERLINK("https://inpn.mnhn.fr/espece/cd_nom/53148","Halictus simplex Blüthgen, 1923")</f>
        <v>Halictus simplex Blüthgen, 1923</v>
      </c>
      <c r="P17255" s="7" t="str">
        <f>HYPERLINK("#Liste_rouge!A"&amp;_xlfn.XMATCH("LC",Liste_rouge!A:A,2,1),"LC")</f>
        <v>LC</v>
      </c>
      <c r="AH17255" s="4" t="str">
        <f>HYPERLINK("#Statut_biogéographique!A"&amp;_xlfn.XMATCH("P",Statut_biogéographique!A:A,2,1),"P")</f>
        <v>P</v>
      </c>
      <c r="AP17255" s="4" t="s">
        <v>376</v>
      </c>
      <c r="AR17255" s="4" t="s">
        <v>377</v>
      </c>
    </row>
    <row r="17256" spans="1:44">
      <c r="A17256" s="4" t="s">
        <v>10753</v>
      </c>
      <c r="B17256" s="4">
        <v>53157</v>
      </c>
      <c r="D17256" s="5" t="s">
        <v>20845</v>
      </c>
      <c r="E17256" s="6" t="str">
        <f>HYPERLINK("https://inpn.mnhn.fr/espece/cd_nom/53157","Megachile centuncularis (Linnaeus, 1758)")</f>
        <v>Megachile centuncularis (Linnaeus, 1758)</v>
      </c>
      <c r="F17256" s="5" t="s">
        <v>20846</v>
      </c>
      <c r="P17256" s="7" t="str">
        <f>HYPERLINK("#Liste_rouge!A"&amp;_xlfn.XMATCH("LC",Liste_rouge!A:A,2,1),"LC")</f>
        <v>LC</v>
      </c>
      <c r="AH17256" s="4" t="str">
        <f>HYPERLINK("#Statut_biogéographique!A"&amp;_xlfn.XMATCH("P",Statut_biogéographique!A:A,2,1),"P")</f>
        <v>P</v>
      </c>
      <c r="AP17256" s="4" t="s">
        <v>376</v>
      </c>
      <c r="AR17256" s="4" t="s">
        <v>377</v>
      </c>
    </row>
    <row r="17257" spans="1:44">
      <c r="A17257" s="4" t="s">
        <v>10753</v>
      </c>
      <c r="B17257" s="4">
        <v>53158</v>
      </c>
      <c r="D17257" s="5" t="s">
        <v>20847</v>
      </c>
      <c r="E17257" s="6" t="str">
        <f>HYPERLINK("https://inpn.mnhn.fr/espece/cd_nom/53158","Megachile circumcincta (Kirby, 1802)")</f>
        <v>Megachile circumcincta (Kirby, 1802)</v>
      </c>
      <c r="P17257" s="7" t="str">
        <f>HYPERLINK("#Liste_rouge!A"&amp;_xlfn.XMATCH("LC",Liste_rouge!A:A,2,1),"LC")</f>
        <v>LC</v>
      </c>
      <c r="AH17257" s="4" t="str">
        <f>HYPERLINK("#Statut_biogéographique!A"&amp;_xlfn.XMATCH("P",Statut_biogéographique!A:A,2,1),"P")</f>
        <v>P</v>
      </c>
      <c r="AP17257" s="4" t="s">
        <v>376</v>
      </c>
      <c r="AR17257" s="4" t="s">
        <v>377</v>
      </c>
    </row>
    <row r="17258" spans="1:44">
      <c r="A17258" s="4" t="s">
        <v>10753</v>
      </c>
      <c r="B17258" s="4">
        <v>53159</v>
      </c>
      <c r="D17258" s="5" t="s">
        <v>20848</v>
      </c>
      <c r="E17258" s="6" t="str">
        <f>HYPERLINK("https://inpn.mnhn.fr/espece/cd_nom/53159","Megachile maritima (Kirby, 1802)")</f>
        <v>Megachile maritima (Kirby, 1802)</v>
      </c>
      <c r="P17258" s="7" t="str">
        <f>HYPERLINK("#Liste_rouge!A"&amp;_xlfn.XMATCH("DD",Liste_rouge!A:A,2,1),"DD")</f>
        <v>DD</v>
      </c>
      <c r="AH17258" s="4" t="str">
        <f>HYPERLINK("#Statut_biogéographique!A"&amp;_xlfn.XMATCH("P",Statut_biogéographique!A:A,2,1),"P")</f>
        <v>P</v>
      </c>
      <c r="AP17258" s="4" t="s">
        <v>376</v>
      </c>
      <c r="AR17258" s="4" t="s">
        <v>377</v>
      </c>
    </row>
    <row r="17259" spans="1:44">
      <c r="A17259" s="4" t="s">
        <v>10753</v>
      </c>
      <c r="B17259" s="4">
        <v>53161</v>
      </c>
      <c r="D17259" s="5">
        <v>53161</v>
      </c>
      <c r="E17259" s="6" t="str">
        <f>HYPERLINK("https://inpn.mnhn.fr/espece/cd_nom/53161","Megachile nigriventris Schenck, 1869")</f>
        <v>Megachile nigriventris Schenck, 1869</v>
      </c>
      <c r="P17259" s="7" t="str">
        <f>HYPERLINK("#Liste_rouge!A"&amp;_xlfn.XMATCH("DD",Liste_rouge!A:A,2,1),"DD")</f>
        <v>DD</v>
      </c>
      <c r="AH17259" s="4" t="str">
        <f>HYPERLINK("#Statut_biogéographique!A"&amp;_xlfn.XMATCH("P",Statut_biogéographique!A:A,2,1),"P")</f>
        <v>P</v>
      </c>
      <c r="AP17259" s="4" t="s">
        <v>376</v>
      </c>
      <c r="AR17259" s="4" t="s">
        <v>377</v>
      </c>
    </row>
    <row r="17260" spans="1:44">
      <c r="A17260" s="4" t="s">
        <v>10753</v>
      </c>
      <c r="B17260" s="4">
        <v>53162</v>
      </c>
      <c r="D17260" s="5">
        <v>53162</v>
      </c>
      <c r="E17260" s="6" t="str">
        <f>HYPERLINK("https://inpn.mnhn.fr/espece/cd_nom/53162","Megachile pilidens Alfken, 1924")</f>
        <v>Megachile pilidens Alfken, 1924</v>
      </c>
      <c r="P17260" s="7" t="str">
        <f>HYPERLINK("#Liste_rouge!A"&amp;_xlfn.XMATCH("LC",Liste_rouge!A:A,2,1),"LC")</f>
        <v>LC</v>
      </c>
      <c r="AH17260" s="4" t="str">
        <f>HYPERLINK("#Statut_biogéographique!A"&amp;_xlfn.XMATCH("P",Statut_biogéographique!A:A,2,1),"P")</f>
        <v>P</v>
      </c>
      <c r="AP17260" s="4" t="s">
        <v>376</v>
      </c>
      <c r="AR17260" s="4" t="s">
        <v>377</v>
      </c>
    </row>
    <row r="17261" spans="1:44">
      <c r="A17261" s="4" t="s">
        <v>10753</v>
      </c>
      <c r="B17261" s="4">
        <v>53163</v>
      </c>
      <c r="D17261" s="5">
        <v>53163</v>
      </c>
      <c r="E17261" s="6" t="str">
        <f>HYPERLINK("https://inpn.mnhn.fr/espece/cd_nom/53163","Megachile pyrenaea Pérez, 1890")</f>
        <v>Megachile pyrenaea Pérez, 1890</v>
      </c>
      <c r="P17261" s="7" t="str">
        <f>HYPERLINK("#Liste_rouge!A"&amp;_xlfn.XMATCH("DD",Liste_rouge!A:A,2,1),"DD")</f>
        <v>DD</v>
      </c>
      <c r="AH17261" s="4" t="str">
        <f>HYPERLINK("#Statut_biogéographique!A"&amp;_xlfn.XMATCH("P",Statut_biogéographique!A:A,2,1),"P")</f>
        <v>P</v>
      </c>
      <c r="AP17261" s="4" t="s">
        <v>376</v>
      </c>
      <c r="AR17261" s="4" t="s">
        <v>377</v>
      </c>
    </row>
    <row r="17262" spans="1:44">
      <c r="A17262" s="4" t="s">
        <v>10753</v>
      </c>
      <c r="B17262" s="4">
        <v>53164</v>
      </c>
      <c r="D17262" s="5" t="s">
        <v>20849</v>
      </c>
      <c r="E17262" s="6" t="str">
        <f>HYPERLINK("https://inpn.mnhn.fr/espece/cd_nom/53164","Megachile willughbiella (Kirby, 1802)")</f>
        <v>Megachile willughbiella (Kirby, 1802)</v>
      </c>
      <c r="P17262" s="7" t="str">
        <f>HYPERLINK("#Liste_rouge!A"&amp;_xlfn.XMATCH("LC",Liste_rouge!A:A,2,1),"LC")</f>
        <v>LC</v>
      </c>
      <c r="AH17262" s="4" t="str">
        <f>HYPERLINK("#Statut_biogéographique!A"&amp;_xlfn.XMATCH("P",Statut_biogéographique!A:A,2,1),"P")</f>
        <v>P</v>
      </c>
      <c r="AP17262" s="4" t="s">
        <v>376</v>
      </c>
      <c r="AR17262" s="4" t="s">
        <v>377</v>
      </c>
    </row>
    <row r="17263" spans="1:44">
      <c r="A17263" s="4" t="s">
        <v>10753</v>
      </c>
      <c r="B17263" s="4">
        <v>53169</v>
      </c>
      <c r="D17263" s="5" t="s">
        <v>20850</v>
      </c>
      <c r="E17263" s="6" t="str">
        <f>HYPERLINK("https://inpn.mnhn.fr/espece/cd_nom/53169","Nomada flavoguttata (Kirby, 1802)")</f>
        <v>Nomada flavoguttata (Kirby, 1802)</v>
      </c>
      <c r="P17263" s="7" t="str">
        <f>HYPERLINK("#Liste_rouge!A"&amp;_xlfn.XMATCH("LC",Liste_rouge!A:A,2,1),"LC")</f>
        <v>LC</v>
      </c>
      <c r="AH17263" s="4" t="str">
        <f>HYPERLINK("#Statut_biogéographique!A"&amp;_xlfn.XMATCH("P",Statut_biogéographique!A:A,2,1),"P")</f>
        <v>P</v>
      </c>
      <c r="AP17263" s="4" t="s">
        <v>376</v>
      </c>
      <c r="AR17263" s="4" t="s">
        <v>377</v>
      </c>
    </row>
    <row r="17264" spans="1:44">
      <c r="A17264" s="4" t="s">
        <v>10753</v>
      </c>
      <c r="B17264" s="4">
        <v>53171</v>
      </c>
      <c r="D17264" s="5" t="s">
        <v>20851</v>
      </c>
      <c r="E17264" s="6" t="str">
        <f>HYPERLINK("https://inpn.mnhn.fr/espece/cd_nom/53171","Osmia andrenoides Spinola, 1807")</f>
        <v>Osmia andrenoides Spinola, 1807</v>
      </c>
      <c r="P17264" s="7" t="str">
        <f>HYPERLINK("#Liste_rouge!A"&amp;_xlfn.XMATCH("LC",Liste_rouge!A:A,2,1),"LC")</f>
        <v>LC</v>
      </c>
      <c r="AH17264" s="4" t="str">
        <f>HYPERLINK("#Statut_biogéographique!A"&amp;_xlfn.XMATCH("P",Statut_biogéographique!A:A,2,1),"P")</f>
        <v>P</v>
      </c>
      <c r="AP17264" s="4" t="s">
        <v>376</v>
      </c>
      <c r="AR17264" s="4" t="s">
        <v>377</v>
      </c>
    </row>
    <row r="17265" spans="1:44">
      <c r="A17265" s="4" t="s">
        <v>10753</v>
      </c>
      <c r="B17265" s="4">
        <v>53172</v>
      </c>
      <c r="D17265" s="5" t="s">
        <v>20852</v>
      </c>
      <c r="E17265" s="6" t="str">
        <f>HYPERLINK("https://inpn.mnhn.fr/espece/cd_nom/53172","Osmia aurulenta (Panzer, 1799)")</f>
        <v>Osmia aurulenta (Panzer, 1799)</v>
      </c>
      <c r="P17265" s="7" t="str">
        <f>HYPERLINK("#Liste_rouge!A"&amp;_xlfn.XMATCH("LC",Liste_rouge!A:A,2,1),"LC")</f>
        <v>LC</v>
      </c>
      <c r="AH17265" s="4" t="str">
        <f>HYPERLINK("#Statut_biogéographique!A"&amp;_xlfn.XMATCH("P",Statut_biogéographique!A:A,2,1),"P")</f>
        <v>P</v>
      </c>
      <c r="AP17265" s="4" t="s">
        <v>376</v>
      </c>
      <c r="AR17265" s="4" t="s">
        <v>377</v>
      </c>
    </row>
    <row r="17266" spans="1:44">
      <c r="A17266" s="4" t="s">
        <v>10753</v>
      </c>
      <c r="B17266" s="4">
        <v>53173</v>
      </c>
      <c r="D17266" s="5" t="s">
        <v>20853</v>
      </c>
      <c r="E17266" s="6" t="str">
        <f>HYPERLINK("https://inpn.mnhn.fr/espece/cd_nom/53173","Osmia bicolor (Schrank, 1781)")</f>
        <v>Osmia bicolor (Schrank, 1781)</v>
      </c>
      <c r="P17266" s="7" t="str">
        <f>HYPERLINK("#Liste_rouge!A"&amp;_xlfn.XMATCH("LC",Liste_rouge!A:A,2,1),"LC")</f>
        <v>LC</v>
      </c>
      <c r="AH17266" s="4" t="str">
        <f>HYPERLINK("#Statut_biogéographique!A"&amp;_xlfn.XMATCH("P",Statut_biogéographique!A:A,2,1),"P")</f>
        <v>P</v>
      </c>
      <c r="AP17266" s="4" t="s">
        <v>376</v>
      </c>
      <c r="AR17266" s="4" t="s">
        <v>377</v>
      </c>
    </row>
    <row r="17267" spans="1:44">
      <c r="A17267" s="4" t="s">
        <v>10753</v>
      </c>
      <c r="B17267" s="4">
        <v>53175</v>
      </c>
      <c r="D17267" s="5" t="s">
        <v>20854</v>
      </c>
      <c r="E17267" s="6" t="str">
        <f>HYPERLINK("https://inpn.mnhn.fr/espece/cd_nom/53175","Osmia caerulescens (Linnaeus, 1758)")</f>
        <v>Osmia caerulescens (Linnaeus, 1758)</v>
      </c>
      <c r="P17267" s="7" t="str">
        <f>HYPERLINK("#Liste_rouge!A"&amp;_xlfn.XMATCH("LC",Liste_rouge!A:A,2,1),"LC")</f>
        <v>LC</v>
      </c>
      <c r="AH17267" s="4" t="str">
        <f>HYPERLINK("#Statut_biogéographique!A"&amp;_xlfn.XMATCH("P",Statut_biogéographique!A:A,2,1),"P")</f>
        <v>P</v>
      </c>
      <c r="AP17267" s="4" t="s">
        <v>376</v>
      </c>
      <c r="AR17267" s="4" t="s">
        <v>377</v>
      </c>
    </row>
    <row r="17268" spans="1:44">
      <c r="A17268" s="4" t="s">
        <v>10753</v>
      </c>
      <c r="B17268" s="4">
        <v>53176</v>
      </c>
      <c r="D17268" s="5" t="s">
        <v>20855</v>
      </c>
      <c r="E17268" s="6" t="str">
        <f>HYPERLINK("https://inpn.mnhn.fr/espece/cd_nom/53176","Osmia cornuta (Latreille, 1805)")</f>
        <v>Osmia cornuta (Latreille, 1805)</v>
      </c>
      <c r="P17268" s="7" t="str">
        <f>HYPERLINK("#Liste_rouge!A"&amp;_xlfn.XMATCH("LC",Liste_rouge!A:A,2,1),"LC")</f>
        <v>LC</v>
      </c>
      <c r="AH17268" s="4" t="str">
        <f>HYPERLINK("#Statut_biogéographique!A"&amp;_xlfn.XMATCH("P",Statut_biogéographique!A:A,2,1),"P")</f>
        <v>P</v>
      </c>
      <c r="AP17268" s="4" t="s">
        <v>376</v>
      </c>
      <c r="AR17268" s="4" t="s">
        <v>377</v>
      </c>
    </row>
    <row r="17269" spans="1:44">
      <c r="A17269" s="4" t="s">
        <v>10753</v>
      </c>
      <c r="B17269" s="4">
        <v>53181</v>
      </c>
      <c r="D17269" s="5">
        <v>53181</v>
      </c>
      <c r="E17269" s="6" t="str">
        <f>HYPERLINK("https://inpn.mnhn.fr/espece/cd_nom/53181","Osmia gallarum Spinola, 1807")</f>
        <v>Osmia gallarum Spinola, 1807</v>
      </c>
      <c r="P17269" s="7" t="str">
        <f>HYPERLINK("#Liste_rouge!A"&amp;_xlfn.XMATCH("LC",Liste_rouge!A:A,2,1),"LC")</f>
        <v>LC</v>
      </c>
      <c r="AH17269" s="4" t="str">
        <f>HYPERLINK("#Statut_biogéographique!A"&amp;_xlfn.XMATCH("P",Statut_biogéographique!A:A,2,1),"P")</f>
        <v>P</v>
      </c>
      <c r="AP17269" s="4" t="s">
        <v>376</v>
      </c>
      <c r="AR17269" s="4" t="s">
        <v>377</v>
      </c>
    </row>
    <row r="17270" spans="1:44">
      <c r="A17270" s="4" t="s">
        <v>10753</v>
      </c>
      <c r="B17270" s="4">
        <v>53186</v>
      </c>
      <c r="D17270" s="5">
        <v>53186</v>
      </c>
      <c r="E17270" s="6" t="str">
        <f>HYPERLINK("https://inpn.mnhn.fr/espece/cd_nom/53186","Osmia rufohirta Latreille, 1811")</f>
        <v>Osmia rufohirta Latreille, 1811</v>
      </c>
      <c r="P17270" s="7" t="str">
        <f>HYPERLINK("#Liste_rouge!A"&amp;_xlfn.XMATCH("LC",Liste_rouge!A:A,2,1),"LC")</f>
        <v>LC</v>
      </c>
      <c r="AH17270" s="4" t="str">
        <f>HYPERLINK("#Statut_biogéographique!A"&amp;_xlfn.XMATCH("P",Statut_biogéographique!A:A,2,1),"P")</f>
        <v>P</v>
      </c>
      <c r="AP17270" s="4" t="s">
        <v>376</v>
      </c>
      <c r="AR17270" s="4" t="s">
        <v>377</v>
      </c>
    </row>
    <row r="17271" spans="1:44">
      <c r="A17271" s="4" t="s">
        <v>10753</v>
      </c>
      <c r="B17271" s="4">
        <v>53196</v>
      </c>
      <c r="D17271" s="5" t="s">
        <v>20856</v>
      </c>
      <c r="E17271" s="6" t="str">
        <f>HYPERLINK("https://inpn.mnhn.fr/espece/cd_nom/53196","Stelis phaeoptera (Kirby, 1802)")</f>
        <v>Stelis phaeoptera (Kirby, 1802)</v>
      </c>
      <c r="P17271" s="7" t="str">
        <f>HYPERLINK("#Liste_rouge!A"&amp;_xlfn.XMATCH("DD",Liste_rouge!A:A,2,1),"DD")</f>
        <v>DD</v>
      </c>
      <c r="AH17271" s="4" t="str">
        <f>HYPERLINK("#Statut_biogéographique!A"&amp;_xlfn.XMATCH("P",Statut_biogéographique!A:A,2,1),"P")</f>
        <v>P</v>
      </c>
      <c r="AP17271" s="4" t="s">
        <v>376</v>
      </c>
      <c r="AR17271" s="4" t="s">
        <v>377</v>
      </c>
    </row>
    <row r="17272" spans="1:44">
      <c r="A17272" s="4" t="s">
        <v>10753</v>
      </c>
      <c r="B17272" s="4">
        <v>53198</v>
      </c>
      <c r="D17272" s="5" t="s">
        <v>20857</v>
      </c>
      <c r="E17272" s="6" t="str">
        <f>HYPERLINK("https://inpn.mnhn.fr/espece/cd_nom/53198","Xylocopa violacea (Linnaeus, 1758)")</f>
        <v>Xylocopa violacea (Linnaeus, 1758)</v>
      </c>
      <c r="F17272" s="5" t="s">
        <v>20858</v>
      </c>
      <c r="P17272" s="7" t="str">
        <f>HYPERLINK("#Liste_rouge!A"&amp;_xlfn.XMATCH("LC",Liste_rouge!A:A,2,1),"LC")</f>
        <v>LC</v>
      </c>
      <c r="AH17272" s="4" t="str">
        <f>HYPERLINK("#Statut_biogéographique!A"&amp;_xlfn.XMATCH("P",Statut_biogéographique!A:A,2,1),"P")</f>
        <v>P</v>
      </c>
      <c r="AP17272" s="4" t="s">
        <v>376</v>
      </c>
      <c r="AR17272" s="4" t="s">
        <v>377</v>
      </c>
    </row>
    <row r="17273" spans="1:44" ht="60">
      <c r="A17273" s="4" t="s">
        <v>10753</v>
      </c>
      <c r="B17273" s="4">
        <v>53221</v>
      </c>
      <c r="D17273" s="5" t="s">
        <v>20859</v>
      </c>
      <c r="E17273" s="6" t="str">
        <f>HYPERLINK("https://inpn.mnhn.fr/espece/cd_nom/53221","Pyrgus malvae (Linnaeus, 1758)")</f>
        <v>Pyrgus malvae (Linnaeus, 1758)</v>
      </c>
      <c r="F17273" s="5" t="s">
        <v>20860</v>
      </c>
      <c r="P17273" s="7" t="str">
        <f>HYPERLINK("#Liste_rouge!A"&amp;_xlfn.XMATCH("LC",Liste_rouge!A:A,2,1),"LC")</f>
        <v>LC</v>
      </c>
      <c r="Q17273" s="7" t="str">
        <f>HYPERLINK("#Liste_rouge!A"&amp;_xlfn.XMATCH("LC",Liste_rouge!A:A,2,1),"LC")</f>
        <v>LC</v>
      </c>
      <c r="T17273" s="7" t="str">
        <f>HYPERLINK("#Liste_rouge!A"&amp;_xlfn.XMATCH("LC",Liste_rouge!A:A,2,1),"LC")</f>
        <v>LC</v>
      </c>
      <c r="V17273" s="7" t="str">
        <f>HYPERLINK("#Liste_rouge!A"&amp;_xlfn.XMATCH("LC",Liste_rouge!A:A,2,1),"LC")</f>
        <v>LC</v>
      </c>
      <c r="X17273" s="5" t="s">
        <v>398</v>
      </c>
      <c r="AH17273" s="4" t="str">
        <f>HYPERLINK("#Statut_biogéographique!A"&amp;_xlfn.XMATCH("P",Statut_biogéographique!A:A,2,1),"P")</f>
        <v>P</v>
      </c>
      <c r="AM17273" s="4" t="s">
        <v>375</v>
      </c>
      <c r="AN17273" s="4" t="s">
        <v>375</v>
      </c>
      <c r="AO17273" s="4" t="s">
        <v>375</v>
      </c>
      <c r="AP17273" s="4" t="s">
        <v>376</v>
      </c>
      <c r="AR17273" s="4" t="s">
        <v>377</v>
      </c>
    </row>
    <row r="17274" spans="1:44" ht="45">
      <c r="A17274" s="4" t="s">
        <v>10753</v>
      </c>
      <c r="B17274" s="4">
        <v>53229</v>
      </c>
      <c r="D17274" s="5" t="s">
        <v>20861</v>
      </c>
      <c r="E17274" s="6" t="str">
        <f>HYPERLINK("https://inpn.mnhn.fr/espece/cd_nom/53229","Pyrgus alveus (Hübner, 1803)")</f>
        <v>Pyrgus alveus (Hübner, 1803)</v>
      </c>
      <c r="F17274" s="5" t="s">
        <v>20862</v>
      </c>
      <c r="P17274" s="7" t="str">
        <f>HYPERLINK("#Liste_rouge!A"&amp;_xlfn.XMATCH("LC",Liste_rouge!A:A,2,1),"LC")</f>
        <v>LC</v>
      </c>
      <c r="Q17274" s="7" t="str">
        <f>HYPERLINK("#Liste_rouge!A"&amp;_xlfn.XMATCH("LC",Liste_rouge!A:A,2,1),"LC")</f>
        <v>LC</v>
      </c>
      <c r="T17274" s="7" t="str">
        <f>HYPERLINK("#Liste_rouge!A"&amp;_xlfn.XMATCH("EN",Liste_rouge!A:A,2,1),"EN")</f>
        <v>EN</v>
      </c>
      <c r="U17274" s="4" t="str">
        <f>HYPERLINK("#Critères_liste_rouge!A$1","B2ab(i,iii)")</f>
        <v>B2ab(i,iii)</v>
      </c>
      <c r="V17274" s="7" t="str">
        <f>HYPERLINK("#Liste_rouge!A"&amp;_xlfn.XMATCH("NT",Liste_rouge!A:A,2,1),"NT")</f>
        <v>NT</v>
      </c>
      <c r="W17274" s="4" t="str">
        <f>HYPERLINK("#Critères_liste_rouge!A$1","pr.A2c")</f>
        <v>pr.A2c</v>
      </c>
      <c r="X17274" s="5" t="s">
        <v>12755</v>
      </c>
      <c r="Y17274" s="5" t="s">
        <v>12756</v>
      </c>
      <c r="AH17274" s="4" t="str">
        <f>HYPERLINK("#Statut_biogéographique!A"&amp;_xlfn.XMATCH("P",Statut_biogéographique!A:A,2,1),"P")</f>
        <v>P</v>
      </c>
      <c r="AM17274" s="4" t="s">
        <v>375</v>
      </c>
      <c r="AN17274" s="4" t="s">
        <v>375</v>
      </c>
      <c r="AO17274" s="4" t="s">
        <v>375</v>
      </c>
      <c r="AP17274" s="4" t="s">
        <v>376</v>
      </c>
      <c r="AR17274" s="4" t="s">
        <v>377</v>
      </c>
    </row>
    <row r="17275" spans="1:44" ht="30">
      <c r="A17275" s="4" t="s">
        <v>10753</v>
      </c>
      <c r="B17275" s="4">
        <v>53231</v>
      </c>
      <c r="D17275" s="5" t="s">
        <v>20863</v>
      </c>
      <c r="E17275" s="6" t="str">
        <f>HYPERLINK("https://inpn.mnhn.fr/espece/cd_nom/53231","Pyrgus alveus alveus (Hübner, 1803)")</f>
        <v>Pyrgus alveus alveus (Hübner, 1803)</v>
      </c>
      <c r="AH17275" s="4" t="str">
        <f>HYPERLINK("#Statut_biogéographique!A"&amp;_xlfn.XMATCH("P",Statut_biogéographique!A:A,2,1),"P")</f>
        <v>P</v>
      </c>
      <c r="AP17275" s="4" t="s">
        <v>376</v>
      </c>
      <c r="AR17275" s="4" t="s">
        <v>377</v>
      </c>
    </row>
    <row r="17276" spans="1:44">
      <c r="A17276" s="4" t="s">
        <v>10753</v>
      </c>
      <c r="B17276" s="4">
        <v>53236</v>
      </c>
      <c r="D17276" s="5" t="s">
        <v>20864</v>
      </c>
      <c r="E17276" s="6" t="str">
        <f>HYPERLINK("https://inpn.mnhn.fr/espece/cd_nom/53236","Pyrgus armoricanus (Oberthür, 1910)")</f>
        <v>Pyrgus armoricanus (Oberthür, 1910)</v>
      </c>
      <c r="F17276" s="5" t="s">
        <v>20865</v>
      </c>
      <c r="P17276" s="7" t="str">
        <f>HYPERLINK("#Liste_rouge!A"&amp;_xlfn.XMATCH("LC",Liste_rouge!A:A,2,1),"LC")</f>
        <v>LC</v>
      </c>
      <c r="Q17276" s="7" t="str">
        <f>HYPERLINK("#Liste_rouge!A"&amp;_xlfn.XMATCH("LC",Liste_rouge!A:A,2,1),"LC")</f>
        <v>LC</v>
      </c>
      <c r="T17276" s="7" t="str">
        <f>HYPERLINK("#Liste_rouge!A"&amp;_xlfn.XMATCH("LC",Liste_rouge!A:A,2,1),"LC")</f>
        <v>LC</v>
      </c>
      <c r="V17276" s="7" t="str">
        <f>HYPERLINK("#Liste_rouge!A"&amp;_xlfn.XMATCH("NT",Liste_rouge!A:A,2,1),"NT")</f>
        <v>NT</v>
      </c>
      <c r="W17276" s="4" t="str">
        <f>HYPERLINK("#Critères_liste_rouge!A$1","pr.A3c")</f>
        <v>pr.A3c</v>
      </c>
      <c r="X17276" s="5" t="s">
        <v>398</v>
      </c>
      <c r="AH17276" s="4" t="str">
        <f>HYPERLINK("#Statut_biogéographique!A"&amp;_xlfn.XMATCH("P",Statut_biogéographique!A:A,2,1),"P")</f>
        <v>P</v>
      </c>
      <c r="AM17276" s="4" t="s">
        <v>375</v>
      </c>
      <c r="AN17276" s="4" t="s">
        <v>375</v>
      </c>
      <c r="AO17276" s="4" t="s">
        <v>375</v>
      </c>
      <c r="AP17276" s="4" t="s">
        <v>376</v>
      </c>
      <c r="AR17276" s="4" t="s">
        <v>377</v>
      </c>
    </row>
    <row r="17277" spans="1:44" ht="45">
      <c r="A17277" s="4" t="s">
        <v>10753</v>
      </c>
      <c r="B17277" s="4">
        <v>53242</v>
      </c>
      <c r="D17277" s="5" t="s">
        <v>20866</v>
      </c>
      <c r="E17277" s="6" t="str">
        <f>HYPERLINK("https://inpn.mnhn.fr/espece/cd_nom/53242","Pyrgus serratulae (Rambur, 1839)")</f>
        <v>Pyrgus serratulae (Rambur, 1839)</v>
      </c>
      <c r="F17277" s="5" t="s">
        <v>20867</v>
      </c>
      <c r="P17277" s="7" t="str">
        <f>HYPERLINK("#Liste_rouge!A"&amp;_xlfn.XMATCH("LC",Liste_rouge!A:A,2,1),"LC")</f>
        <v>LC</v>
      </c>
      <c r="Q17277" s="7" t="str">
        <f>HYPERLINK("#Liste_rouge!A"&amp;_xlfn.XMATCH("LC",Liste_rouge!A:A,2,1),"LC")</f>
        <v>LC</v>
      </c>
      <c r="T17277" s="7" t="str">
        <f>HYPERLINK("#Liste_rouge!A"&amp;_xlfn.XMATCH("NT",Liste_rouge!A:A,2,1),"NT")</f>
        <v>NT</v>
      </c>
      <c r="U17277" s="4" t="str">
        <f>HYPERLINK("#Critères_liste_rouge!A$1","pr. B2b(i,iii)")</f>
        <v>pr. B2b(i,iii)</v>
      </c>
      <c r="V17277" s="7" t="str">
        <f>HYPERLINK("#Liste_rouge!A"&amp;_xlfn.XMATCH("NT",Liste_rouge!A:A,2,1),"NT")</f>
        <v>NT</v>
      </c>
      <c r="W17277" s="4" t="str">
        <f>HYPERLINK("#Critères_liste_rouge!A$1","pr.A2c")</f>
        <v>pr.A2c</v>
      </c>
      <c r="X17277" s="5" t="s">
        <v>398</v>
      </c>
      <c r="AH17277" s="4" t="str">
        <f>HYPERLINK("#Statut_biogéographique!A"&amp;_xlfn.XMATCH("P",Statut_biogéographique!A:A,2,1),"P")</f>
        <v>P</v>
      </c>
      <c r="AM17277" s="4" t="s">
        <v>375</v>
      </c>
      <c r="AN17277" s="4" t="s">
        <v>375</v>
      </c>
      <c r="AO17277" s="4" t="s">
        <v>375</v>
      </c>
      <c r="AP17277" s="4" t="s">
        <v>376</v>
      </c>
      <c r="AR17277" s="4" t="s">
        <v>377</v>
      </c>
    </row>
    <row r="17278" spans="1:44" ht="45">
      <c r="A17278" s="4" t="s">
        <v>10753</v>
      </c>
      <c r="B17278" s="4">
        <v>53248</v>
      </c>
      <c r="D17278" s="5" t="s">
        <v>20868</v>
      </c>
      <c r="E17278" s="6" t="str">
        <f>HYPERLINK("https://inpn.mnhn.fr/espece/cd_nom/53248","Pyrgus cirsii (Rambur, 1839)")</f>
        <v>Pyrgus cirsii (Rambur, 1839)</v>
      </c>
      <c r="F17278" s="5" t="s">
        <v>20869</v>
      </c>
      <c r="O17278" s="7" t="str">
        <f>HYPERLINK("#Liste_rouge!A"&amp;_xlfn.XMATCH("VU",Liste_rouge!A:A,2,1),"VU")</f>
        <v>VU</v>
      </c>
      <c r="P17278" s="7" t="str">
        <f>HYPERLINK("#Liste_rouge!A"&amp;_xlfn.XMATCH("VU",Liste_rouge!A:A,2,1),"VU")</f>
        <v>VU</v>
      </c>
      <c r="Q17278" s="7" t="str">
        <f>HYPERLINK("#Liste_rouge!A"&amp;_xlfn.XMATCH("NT",Liste_rouge!A:A,2,1),"NT")</f>
        <v>NT</v>
      </c>
      <c r="T17278" s="7" t="str">
        <f>HYPERLINK("#Liste_rouge!A"&amp;_xlfn.XMATCH("CR",Liste_rouge!A:A,2,1),"CR")</f>
        <v>CR</v>
      </c>
      <c r="U17278" s="4" t="str">
        <f>HYPERLINK("#Critères_liste_rouge!A$1","B(1+2)ab(i,ii,iii)")</f>
        <v>B(1+2)ab(i,ii,iii)</v>
      </c>
      <c r="V17278" s="7" t="str">
        <f>HYPERLINK("#Liste_rouge!A"&amp;_xlfn.XMATCH("EN",Liste_rouge!A:A,2,1),"EN")</f>
        <v>EN</v>
      </c>
      <c r="W17278" s="4" t="str">
        <f>HYPERLINK("#Critères_liste_rouge!A$1","B2ab(iii,iv)")</f>
        <v>B2ab(iii,iv)</v>
      </c>
      <c r="X17278" s="5" t="s">
        <v>374</v>
      </c>
      <c r="AD17278" s="4" t="s">
        <v>11319</v>
      </c>
      <c r="AE17278" s="4" t="str">
        <f>HYPERLINK("#SCAP!A"&amp;_xlfn.XMATCH("1-",SCAP!A:A,2,1),"1-")</f>
        <v>1-</v>
      </c>
      <c r="AF17278" s="4" t="str">
        <f>HYPERLINK("#SCAP!A"&amp;_xlfn.XMATCH("1+",SCAP!A:A,2,1),"1+")</f>
        <v>1+</v>
      </c>
      <c r="AG17278" s="4" t="str">
        <f>HYPERLINK("#SCAP!A"&amp;_xlfn.XMATCH("1-",SCAP!A:A,2,1),"1-")</f>
        <v>1-</v>
      </c>
      <c r="AH17278" s="4" t="str">
        <f>HYPERLINK("#Statut_biogéographique!A"&amp;_xlfn.XMATCH("P",Statut_biogéographique!A:A,2,1),"P")</f>
        <v>P</v>
      </c>
      <c r="AI17278" s="8" t="s">
        <v>20870</v>
      </c>
      <c r="AJ17278" s="4" t="s">
        <v>12803</v>
      </c>
      <c r="AM17278" s="4" t="s">
        <v>375</v>
      </c>
      <c r="AN17278" s="4" t="s">
        <v>375</v>
      </c>
      <c r="AO17278" s="4" t="s">
        <v>375</v>
      </c>
      <c r="AP17278" s="4" t="s">
        <v>376</v>
      </c>
      <c r="AR17278" s="4" t="s">
        <v>377</v>
      </c>
    </row>
    <row r="17279" spans="1:44" ht="30">
      <c r="A17279" s="4" t="s">
        <v>10753</v>
      </c>
      <c r="B17279" s="4">
        <v>53269</v>
      </c>
      <c r="D17279" s="5" t="s">
        <v>20871</v>
      </c>
      <c r="E17279" s="6" t="str">
        <f>HYPERLINK("https://inpn.mnhn.fr/espece/cd_nom/53269","Spialia sertorius (Hoffmannsegg, 1804)")</f>
        <v>Spialia sertorius (Hoffmannsegg, 1804)</v>
      </c>
      <c r="F17279" s="5" t="s">
        <v>20872</v>
      </c>
      <c r="P17279" s="7" t="str">
        <f>HYPERLINK("#Liste_rouge!A"&amp;_xlfn.XMATCH("LC",Liste_rouge!A:A,2,1),"LC")</f>
        <v>LC</v>
      </c>
      <c r="Q17279" s="7" t="str">
        <f>HYPERLINK("#Liste_rouge!A"&amp;_xlfn.XMATCH("LC",Liste_rouge!A:A,2,1),"LC")</f>
        <v>LC</v>
      </c>
      <c r="T17279" s="7" t="str">
        <f>HYPERLINK("#Liste_rouge!A"&amp;_xlfn.XMATCH("NT",Liste_rouge!A:A,2,1),"NT")</f>
        <v>NT</v>
      </c>
      <c r="U17279" s="4" t="str">
        <f>HYPERLINK("#Critères_liste_rouge!A$1","pr. B2b(ii,iii)")</f>
        <v>pr. B2b(ii,iii)</v>
      </c>
      <c r="V17279" s="7" t="str">
        <f>HYPERLINK("#Liste_rouge!A"&amp;_xlfn.XMATCH("LC",Liste_rouge!A:A,2,1),"LC")</f>
        <v>LC</v>
      </c>
      <c r="X17279" s="5" t="s">
        <v>398</v>
      </c>
      <c r="AH17279" s="4" t="str">
        <f>HYPERLINK("#Statut_biogéographique!A"&amp;_xlfn.XMATCH("P",Statut_biogéographique!A:A,2,1),"P")</f>
        <v>P</v>
      </c>
      <c r="AM17279" s="4" t="s">
        <v>375</v>
      </c>
      <c r="AN17279" s="4" t="s">
        <v>375</v>
      </c>
      <c r="AO17279" s="4" t="s">
        <v>375</v>
      </c>
      <c r="AP17279" s="4" t="s">
        <v>376</v>
      </c>
      <c r="AR17279" s="4" t="s">
        <v>377</v>
      </c>
    </row>
    <row r="17280" spans="1:44" ht="45">
      <c r="A17280" s="4" t="s">
        <v>10753</v>
      </c>
      <c r="B17280" s="4">
        <v>53291</v>
      </c>
      <c r="D17280" s="5" t="s">
        <v>20873</v>
      </c>
      <c r="E17280" s="6" t="str">
        <f>HYPERLINK("https://inpn.mnhn.fr/espece/cd_nom/53291","Carcharodus alceae (Esper, 1780)")</f>
        <v>Carcharodus alceae (Esper, 1780)</v>
      </c>
      <c r="F17280" s="5" t="s">
        <v>20874</v>
      </c>
      <c r="P17280" s="7" t="str">
        <f>HYPERLINK("#Liste_rouge!A"&amp;_xlfn.XMATCH("LC",Liste_rouge!A:A,2,1),"LC")</f>
        <v>LC</v>
      </c>
      <c r="Q17280" s="7" t="str">
        <f>HYPERLINK("#Liste_rouge!A"&amp;_xlfn.XMATCH("LC",Liste_rouge!A:A,2,1),"LC")</f>
        <v>LC</v>
      </c>
      <c r="T17280" s="7" t="str">
        <f>HYPERLINK("#Liste_rouge!A"&amp;_xlfn.XMATCH("LC",Liste_rouge!A:A,2,1),"LC")</f>
        <v>LC</v>
      </c>
      <c r="V17280" s="7" t="str">
        <f>HYPERLINK("#Liste_rouge!A"&amp;_xlfn.XMATCH("LC",Liste_rouge!A:A,2,1),"LC")</f>
        <v>LC</v>
      </c>
      <c r="AH17280" s="4" t="str">
        <f>HYPERLINK("#Statut_biogéographique!A"&amp;_xlfn.XMATCH("P",Statut_biogéographique!A:A,2,1),"P")</f>
        <v>P</v>
      </c>
      <c r="AM17280" s="4" t="s">
        <v>375</v>
      </c>
      <c r="AN17280" s="4" t="s">
        <v>375</v>
      </c>
      <c r="AO17280" s="4" t="s">
        <v>375</v>
      </c>
      <c r="AP17280" s="4" t="s">
        <v>376</v>
      </c>
      <c r="AR17280" s="4" t="s">
        <v>377</v>
      </c>
    </row>
    <row r="17281" spans="1:44" ht="45">
      <c r="A17281" s="4" t="s">
        <v>10753</v>
      </c>
      <c r="B17281" s="4">
        <v>53307</v>
      </c>
      <c r="D17281" s="5" t="s">
        <v>20875</v>
      </c>
      <c r="E17281" s="6" t="str">
        <f>HYPERLINK("https://inpn.mnhn.fr/espece/cd_nom/53307","Erynnis tages (Linnaeus, 1758)")</f>
        <v>Erynnis tages (Linnaeus, 1758)</v>
      </c>
      <c r="F17281" s="5" t="s">
        <v>20876</v>
      </c>
      <c r="P17281" s="7" t="str">
        <f>HYPERLINK("#Liste_rouge!A"&amp;_xlfn.XMATCH("LC",Liste_rouge!A:A,2,1),"LC")</f>
        <v>LC</v>
      </c>
      <c r="Q17281" s="7" t="str">
        <f>HYPERLINK("#Liste_rouge!A"&amp;_xlfn.XMATCH("LC",Liste_rouge!A:A,2,1),"LC")</f>
        <v>LC</v>
      </c>
      <c r="T17281" s="7" t="str">
        <f>HYPERLINK("#Liste_rouge!A"&amp;_xlfn.XMATCH("LC",Liste_rouge!A:A,2,1),"LC")</f>
        <v>LC</v>
      </c>
      <c r="V17281" s="7" t="str">
        <f>HYPERLINK("#Liste_rouge!A"&amp;_xlfn.XMATCH("LC",Liste_rouge!A:A,2,1),"LC")</f>
        <v>LC</v>
      </c>
      <c r="AH17281" s="4" t="str">
        <f>HYPERLINK("#Statut_biogéographique!A"&amp;_xlfn.XMATCH("P",Statut_biogéographique!A:A,2,1),"P")</f>
        <v>P</v>
      </c>
      <c r="AM17281" s="4" t="s">
        <v>375</v>
      </c>
      <c r="AN17281" s="4" t="s">
        <v>375</v>
      </c>
      <c r="AO17281" s="4" t="s">
        <v>375</v>
      </c>
      <c r="AP17281" s="4" t="s">
        <v>376</v>
      </c>
      <c r="AR17281" s="4" t="s">
        <v>377</v>
      </c>
    </row>
    <row r="17282" spans="1:44" ht="30">
      <c r="A17282" s="4" t="s">
        <v>10753</v>
      </c>
      <c r="B17282" s="4">
        <v>53312</v>
      </c>
      <c r="D17282" s="5" t="s">
        <v>20877</v>
      </c>
      <c r="E17282" s="6" t="str">
        <f>HYPERLINK("https://inpn.mnhn.fr/espece/cd_nom/53312","Heteropterus morpheus (Pallas, 1771)")</f>
        <v>Heteropterus morpheus (Pallas, 1771)</v>
      </c>
      <c r="F17282" s="5" t="s">
        <v>20878</v>
      </c>
      <c r="P17282" s="7" t="str">
        <f>HYPERLINK("#Liste_rouge!A"&amp;_xlfn.XMATCH("LC",Liste_rouge!A:A,2,1),"LC")</f>
        <v>LC</v>
      </c>
      <c r="Q17282" s="7" t="str">
        <f>HYPERLINK("#Liste_rouge!A"&amp;_xlfn.XMATCH("LC",Liste_rouge!A:A,2,1),"LC")</f>
        <v>LC</v>
      </c>
      <c r="T17282" s="7" t="str">
        <f>HYPERLINK("#Liste_rouge!A"&amp;_xlfn.XMATCH("VU",Liste_rouge!A:A,2,1),"VU")</f>
        <v>VU</v>
      </c>
      <c r="U17282" s="4" t="str">
        <f>HYPERLINK("#Critères_liste_rouge!A$1","EN B(1+2)ab(iii) (-1)")</f>
        <v>EN B(1+2)ab(iii) (-1)</v>
      </c>
      <c r="X17282" s="5" t="s">
        <v>374</v>
      </c>
      <c r="AH17282" s="4" t="str">
        <f>HYPERLINK("#Statut_biogéographique!A"&amp;_xlfn.XMATCH("P",Statut_biogéographique!A:A,2,1),"P")</f>
        <v>P</v>
      </c>
      <c r="AM17282" s="4" t="s">
        <v>375</v>
      </c>
      <c r="AN17282" s="4" t="s">
        <v>375</v>
      </c>
      <c r="AO17282" s="4" t="s">
        <v>375</v>
      </c>
      <c r="AP17282" s="4" t="s">
        <v>376</v>
      </c>
      <c r="AR17282" s="4" t="s">
        <v>377</v>
      </c>
    </row>
    <row r="17283" spans="1:44" ht="30">
      <c r="A17283" s="4" t="s">
        <v>10753</v>
      </c>
      <c r="B17283" s="4">
        <v>53315</v>
      </c>
      <c r="D17283" s="5" t="s">
        <v>20879</v>
      </c>
      <c r="E17283" s="6" t="str">
        <f>HYPERLINK("https://inpn.mnhn.fr/espece/cd_nom/53315","Carterocephalus palaemon (Pallas, 1771)")</f>
        <v>Carterocephalus palaemon (Pallas, 1771)</v>
      </c>
      <c r="F17283" s="5" t="s">
        <v>20880</v>
      </c>
      <c r="P17283" s="7" t="str">
        <f>HYPERLINK("#Liste_rouge!A"&amp;_xlfn.XMATCH("LC",Liste_rouge!A:A,2,1),"LC")</f>
        <v>LC</v>
      </c>
      <c r="Q17283" s="7" t="str">
        <f>HYPERLINK("#Liste_rouge!A"&amp;_xlfn.XMATCH("LC",Liste_rouge!A:A,2,1),"LC")</f>
        <v>LC</v>
      </c>
      <c r="T17283" s="7" t="str">
        <f>HYPERLINK("#Liste_rouge!A"&amp;_xlfn.XMATCH("LC",Liste_rouge!A:A,2,1),"LC")</f>
        <v>LC</v>
      </c>
      <c r="V17283" s="7" t="str">
        <f>HYPERLINK("#Liste_rouge!A"&amp;_xlfn.XMATCH("LC",Liste_rouge!A:A,2,1),"LC")</f>
        <v>LC</v>
      </c>
      <c r="AH17283" s="4" t="str">
        <f>HYPERLINK("#Statut_biogéographique!A"&amp;_xlfn.XMATCH("P",Statut_biogéographique!A:A,2,1),"P")</f>
        <v>P</v>
      </c>
      <c r="AM17283" s="4" t="s">
        <v>375</v>
      </c>
      <c r="AN17283" s="4" t="s">
        <v>375</v>
      </c>
      <c r="AO17283" s="4" t="s">
        <v>375</v>
      </c>
      <c r="AP17283" s="4" t="s">
        <v>376</v>
      </c>
      <c r="AR17283" s="4" t="s">
        <v>377</v>
      </c>
    </row>
    <row r="17284" spans="1:44" ht="30">
      <c r="A17284" s="4" t="s">
        <v>10753</v>
      </c>
      <c r="B17284" s="4">
        <v>53320</v>
      </c>
      <c r="D17284" s="5" t="s">
        <v>20881</v>
      </c>
      <c r="E17284" s="6" t="str">
        <f>HYPERLINK("https://inpn.mnhn.fr/espece/cd_nom/53320","Thymelicus acteon (Rottemburg, 1775)")</f>
        <v>Thymelicus acteon (Rottemburg, 1775)</v>
      </c>
      <c r="F17284" s="5" t="s">
        <v>20882</v>
      </c>
      <c r="P17284" s="7" t="str">
        <f>HYPERLINK("#Liste_rouge!A"&amp;_xlfn.XMATCH("NT",Liste_rouge!A:A,2,1),"NT")</f>
        <v>NT</v>
      </c>
      <c r="Q17284" s="7" t="str">
        <f>HYPERLINK("#Liste_rouge!A"&amp;_xlfn.XMATCH("LC",Liste_rouge!A:A,2,1),"LC")</f>
        <v>LC</v>
      </c>
      <c r="T17284" s="7" t="str">
        <f>HYPERLINK("#Liste_rouge!A"&amp;_xlfn.XMATCH("NT",Liste_rouge!A:A,2,1),"NT")</f>
        <v>NT</v>
      </c>
      <c r="U17284" s="4" t="str">
        <f>HYPERLINK("#Critères_liste_rouge!A$1","pr. B2b(iii)")</f>
        <v>pr. B2b(iii)</v>
      </c>
      <c r="V17284" s="7" t="str">
        <f>HYPERLINK("#Liste_rouge!A"&amp;_xlfn.XMATCH("NT",Liste_rouge!A:A,2,1),"NT")</f>
        <v>NT</v>
      </c>
      <c r="W17284" s="4" t="str">
        <f>HYPERLINK("#Critères_liste_rouge!A$1","pr.A2c")</f>
        <v>pr.A2c</v>
      </c>
      <c r="X17284" s="5" t="s">
        <v>398</v>
      </c>
      <c r="AH17284" s="4" t="str">
        <f>HYPERLINK("#Statut_biogéographique!A"&amp;_xlfn.XMATCH("P",Statut_biogéographique!A:A,2,1),"P")</f>
        <v>P</v>
      </c>
      <c r="AM17284" s="4" t="s">
        <v>375</v>
      </c>
      <c r="AN17284" s="4" t="s">
        <v>375</v>
      </c>
      <c r="AO17284" s="4" t="s">
        <v>375</v>
      </c>
      <c r="AP17284" s="4" t="s">
        <v>376</v>
      </c>
      <c r="AR17284" s="4" t="s">
        <v>377</v>
      </c>
    </row>
    <row r="17285" spans="1:44">
      <c r="A17285" s="4" t="s">
        <v>10753</v>
      </c>
      <c r="B17285" s="4">
        <v>53332</v>
      </c>
      <c r="D17285" s="5" t="s">
        <v>20883</v>
      </c>
      <c r="E17285" s="6" t="str">
        <f>HYPERLINK("https://inpn.mnhn.fr/espece/cd_nom/53332","Hesperia comma (Linnaeus, 1758)")</f>
        <v>Hesperia comma (Linnaeus, 1758)</v>
      </c>
      <c r="F17285" s="5" t="s">
        <v>20884</v>
      </c>
      <c r="P17285" s="7" t="str">
        <f>HYPERLINK("#Liste_rouge!A"&amp;_xlfn.XMATCH("LC",Liste_rouge!A:A,2,1),"LC")</f>
        <v>LC</v>
      </c>
      <c r="Q17285" s="7" t="str">
        <f>HYPERLINK("#Liste_rouge!A"&amp;_xlfn.XMATCH("LC",Liste_rouge!A:A,2,1),"LC")</f>
        <v>LC</v>
      </c>
      <c r="T17285" s="7" t="str">
        <f>HYPERLINK("#Liste_rouge!A"&amp;_xlfn.XMATCH("NT",Liste_rouge!A:A,2,1),"NT")</f>
        <v>NT</v>
      </c>
      <c r="U17285" s="4" t="str">
        <f>HYPERLINK("#Critères_liste_rouge!A$1","pr. B2b(iii)")</f>
        <v>pr. B2b(iii)</v>
      </c>
      <c r="V17285" s="7" t="str">
        <f>HYPERLINK("#Liste_rouge!A"&amp;_xlfn.XMATCH("NT",Liste_rouge!A:A,2,1),"NT")</f>
        <v>NT</v>
      </c>
      <c r="W17285" s="4" t="str">
        <f>HYPERLINK("#Critères_liste_rouge!A$1","pr.A3c")</f>
        <v>pr.A3c</v>
      </c>
      <c r="X17285" s="5" t="s">
        <v>398</v>
      </c>
      <c r="AH17285" s="4" t="str">
        <f>HYPERLINK("#Statut_biogéographique!A"&amp;_xlfn.XMATCH("P",Statut_biogéographique!A:A,2,1),"P")</f>
        <v>P</v>
      </c>
      <c r="AM17285" s="4" t="s">
        <v>375</v>
      </c>
      <c r="AN17285" s="4" t="s">
        <v>375</v>
      </c>
      <c r="AO17285" s="4" t="s">
        <v>375</v>
      </c>
      <c r="AP17285" s="4" t="s">
        <v>376</v>
      </c>
      <c r="AR17285" s="4" t="s">
        <v>377</v>
      </c>
    </row>
    <row r="17286" spans="1:44" ht="30">
      <c r="A17286" s="4" t="s">
        <v>10753</v>
      </c>
      <c r="B17286" s="4">
        <v>53364</v>
      </c>
      <c r="D17286" s="5" t="s">
        <v>20885</v>
      </c>
      <c r="E17286" s="6" t="str">
        <f>HYPERLINK("https://inpn.mnhn.fr/espece/cd_nom/53364","Minois dryas (Scopoli, 1763)")</f>
        <v>Minois dryas (Scopoli, 1763)</v>
      </c>
      <c r="F17286" s="5" t="s">
        <v>20886</v>
      </c>
      <c r="P17286" s="7" t="str">
        <f>HYPERLINK("#Liste_rouge!A"&amp;_xlfn.XMATCH("LC",Liste_rouge!A:A,2,1),"LC")</f>
        <v>LC</v>
      </c>
      <c r="Q17286" s="7" t="str">
        <f>HYPERLINK("#Liste_rouge!A"&amp;_xlfn.XMATCH("LC",Liste_rouge!A:A,2,1),"LC")</f>
        <v>LC</v>
      </c>
      <c r="T17286" s="7" t="str">
        <f>HYPERLINK("#Liste_rouge!A"&amp;_xlfn.XMATCH("NT",Liste_rouge!A:A,2,1),"NT")</f>
        <v>NT</v>
      </c>
      <c r="U17286" s="4" t="str">
        <f>HYPERLINK("#Critères_liste_rouge!A$1","pr. B2b(iii)")</f>
        <v>pr. B2b(iii)</v>
      </c>
      <c r="V17286" s="7" t="str">
        <f>HYPERLINK("#Liste_rouge!A"&amp;_xlfn.XMATCH("NT",Liste_rouge!A:A,2,1),"NT")</f>
        <v>NT</v>
      </c>
      <c r="W17286" s="4" t="str">
        <f>HYPERLINK("#Critères_liste_rouge!A$1","pr.A3c")</f>
        <v>pr.A3c</v>
      </c>
      <c r="X17286" s="5" t="s">
        <v>398</v>
      </c>
      <c r="AE17286" s="4" t="str">
        <f>HYPERLINK("#SCAP!A"&amp;_xlfn.XMATCH("A",SCAP!A:A,2,1),"A")</f>
        <v>A</v>
      </c>
      <c r="AF17286" s="4" t="str">
        <f>HYPERLINK("#SCAP!A"&amp;_xlfn.XMATCH("A",SCAP!A:A,2,1),"A")</f>
        <v>A</v>
      </c>
      <c r="AH17286" s="4" t="str">
        <f>HYPERLINK("#Statut_biogéographique!A"&amp;_xlfn.XMATCH("P",Statut_biogéographique!A:A,2,1),"P")</f>
        <v>P</v>
      </c>
      <c r="AM17286" s="4" t="s">
        <v>375</v>
      </c>
      <c r="AN17286" s="4" t="s">
        <v>375</v>
      </c>
      <c r="AO17286" s="4" t="s">
        <v>375</v>
      </c>
      <c r="AP17286" s="4" t="s">
        <v>376</v>
      </c>
      <c r="AR17286" s="4" t="s">
        <v>377</v>
      </c>
    </row>
    <row r="17287" spans="1:44" ht="30">
      <c r="A17287" s="4" t="s">
        <v>10753</v>
      </c>
      <c r="B17287" s="4">
        <v>53367</v>
      </c>
      <c r="D17287" s="5" t="s">
        <v>20887</v>
      </c>
      <c r="E17287" s="6" t="str">
        <f>HYPERLINK("https://inpn.mnhn.fr/espece/cd_nom/53367","Brintesia circe (Fabricius, 1775)")</f>
        <v>Brintesia circe (Fabricius, 1775)</v>
      </c>
      <c r="F17287" s="5" t="s">
        <v>20888</v>
      </c>
      <c r="P17287" s="7" t="str">
        <f>HYPERLINK("#Liste_rouge!A"&amp;_xlfn.XMATCH("LC",Liste_rouge!A:A,2,1),"LC")</f>
        <v>LC</v>
      </c>
      <c r="Q17287" s="7" t="str">
        <f>HYPERLINK("#Liste_rouge!A"&amp;_xlfn.XMATCH("LC",Liste_rouge!A:A,2,1),"LC")</f>
        <v>LC</v>
      </c>
      <c r="T17287" s="7" t="str">
        <f>HYPERLINK("#Liste_rouge!A"&amp;_xlfn.XMATCH("LC",Liste_rouge!A:A,2,1),"LC")</f>
        <v>LC</v>
      </c>
      <c r="V17287" s="7" t="str">
        <f>HYPERLINK("#Liste_rouge!A"&amp;_xlfn.XMATCH("LC",Liste_rouge!A:A,2,1),"LC")</f>
        <v>LC</v>
      </c>
      <c r="AH17287" s="4" t="str">
        <f>HYPERLINK("#Statut_biogéographique!A"&amp;_xlfn.XMATCH("P",Statut_biogéographique!A:A,2,1),"P")</f>
        <v>P</v>
      </c>
      <c r="AM17287" s="4" t="s">
        <v>375</v>
      </c>
      <c r="AN17287" s="4" t="s">
        <v>375</v>
      </c>
      <c r="AO17287" s="4" t="s">
        <v>375</v>
      </c>
      <c r="AP17287" s="4" t="s">
        <v>376</v>
      </c>
      <c r="AR17287" s="4" t="s">
        <v>377</v>
      </c>
    </row>
    <row r="17288" spans="1:44" ht="30">
      <c r="A17288" s="4" t="s">
        <v>10753</v>
      </c>
      <c r="B17288" s="4">
        <v>53370</v>
      </c>
      <c r="D17288" s="5" t="s">
        <v>20889</v>
      </c>
      <c r="E17288" s="6" t="str">
        <f>HYPERLINK("https://inpn.mnhn.fr/espece/cd_nom/53370","Arethusana arethusa (Denis &amp; Schiffermüller, 1775)")</f>
        <v>Arethusana arethusa (Denis &amp; Schiffermüller, 1775)</v>
      </c>
      <c r="F17288" s="5" t="s">
        <v>20890</v>
      </c>
      <c r="P17288" s="7" t="str">
        <f>HYPERLINK("#Liste_rouge!A"&amp;_xlfn.XMATCH("LC",Liste_rouge!A:A,2,1),"LC")</f>
        <v>LC</v>
      </c>
      <c r="Q17288" s="7" t="str">
        <f>HYPERLINK("#Liste_rouge!A"&amp;_xlfn.XMATCH("LC",Liste_rouge!A:A,2,1),"LC")</f>
        <v>LC</v>
      </c>
      <c r="T17288" s="7" t="str">
        <f>HYPERLINK("#Liste_rouge!A"&amp;_xlfn.XMATCH("VU",Liste_rouge!A:A,2,1),"VU")</f>
        <v>VU</v>
      </c>
      <c r="U17288" s="4" t="str">
        <f>HYPERLINK("#Critères_liste_rouge!A$1","A2c")</f>
        <v>A2c</v>
      </c>
      <c r="V17288" s="7" t="str">
        <f>HYPERLINK("#Liste_rouge!A"&amp;_xlfn.XMATCH("CR",Liste_rouge!A:A,2,1),"CR")</f>
        <v>CR</v>
      </c>
      <c r="W17288" s="4" t="str">
        <f>HYPERLINK("#Critères_liste_rouge!A$1","A2cB2ab(i,ii,iv)")</f>
        <v>A2cB2ab(i,ii,iv)</v>
      </c>
      <c r="X17288" s="5" t="s">
        <v>374</v>
      </c>
      <c r="AD17288" s="4" t="s">
        <v>11319</v>
      </c>
      <c r="AH17288" s="4" t="str">
        <f>HYPERLINK("#Statut_biogéographique!A"&amp;_xlfn.XMATCH("P",Statut_biogéographique!A:A,2,1),"P")</f>
        <v>P</v>
      </c>
      <c r="AM17288" s="4" t="s">
        <v>375</v>
      </c>
      <c r="AN17288" s="4" t="s">
        <v>375</v>
      </c>
      <c r="AO17288" s="4" t="s">
        <v>375</v>
      </c>
      <c r="AP17288" s="4" t="s">
        <v>376</v>
      </c>
      <c r="AR17288" s="4" t="s">
        <v>377</v>
      </c>
    </row>
    <row r="17289" spans="1:44" ht="30">
      <c r="A17289" s="4" t="s">
        <v>10753</v>
      </c>
      <c r="B17289" s="4">
        <v>53376</v>
      </c>
      <c r="D17289" s="5" t="s">
        <v>20891</v>
      </c>
      <c r="E17289" s="6" t="str">
        <f>HYPERLINK("https://inpn.mnhn.fr/espece/cd_nom/53376","Hipparchia fagi (Scopoli, 1763)")</f>
        <v>Hipparchia fagi (Scopoli, 1763)</v>
      </c>
      <c r="F17289" s="5" t="s">
        <v>20892</v>
      </c>
      <c r="O17289" s="7" t="str">
        <f>HYPERLINK("#Liste_rouge!A"&amp;_xlfn.XMATCH("NT",Liste_rouge!A:A,2,1),"NT")</f>
        <v>NT</v>
      </c>
      <c r="P17289" s="7" t="str">
        <f>HYPERLINK("#Liste_rouge!A"&amp;_xlfn.XMATCH("NT",Liste_rouge!A:A,2,1),"NT")</f>
        <v>NT</v>
      </c>
      <c r="Q17289" s="7" t="str">
        <f>HYPERLINK("#Liste_rouge!A"&amp;_xlfn.XMATCH("LC",Liste_rouge!A:A,2,1),"LC")</f>
        <v>LC</v>
      </c>
      <c r="T17289" s="7" t="str">
        <f>HYPERLINK("#Liste_rouge!A"&amp;_xlfn.XMATCH("VU",Liste_rouge!A:A,2,1),"VU")</f>
        <v>VU</v>
      </c>
      <c r="U17289" s="4" t="str">
        <f>HYPERLINK("#Critères_liste_rouge!A$1","EN B2ab(iii) (-1)")</f>
        <v>EN B2ab(iii) (-1)</v>
      </c>
      <c r="V17289" s="7" t="str">
        <f>HYPERLINK("#Liste_rouge!A"&amp;_xlfn.XMATCH("VU",Liste_rouge!A:A,2,1),"VU")</f>
        <v>VU</v>
      </c>
      <c r="W17289" s="4" t="str">
        <f>HYPERLINK("#Critères_liste_rouge!A$1","A2acB2ab(iii,iv)")</f>
        <v>A2acB2ab(iii,iv)</v>
      </c>
      <c r="X17289" s="5" t="s">
        <v>374</v>
      </c>
      <c r="AH17289" s="4" t="str">
        <f>HYPERLINK("#Statut_biogéographique!A"&amp;_xlfn.XMATCH("P",Statut_biogéographique!A:A,2,1),"P")</f>
        <v>P</v>
      </c>
      <c r="AM17289" s="4" t="s">
        <v>375</v>
      </c>
      <c r="AN17289" s="4" t="s">
        <v>375</v>
      </c>
      <c r="AO17289" s="4" t="s">
        <v>375</v>
      </c>
      <c r="AP17289" s="4" t="s">
        <v>376</v>
      </c>
      <c r="AR17289" s="4" t="s">
        <v>377</v>
      </c>
    </row>
    <row r="17290" spans="1:44" ht="45">
      <c r="A17290" s="4" t="s">
        <v>10753</v>
      </c>
      <c r="B17290" s="4">
        <v>53379</v>
      </c>
      <c r="D17290" s="5" t="s">
        <v>20893</v>
      </c>
      <c r="E17290" s="6" t="str">
        <f>HYPERLINK("https://inpn.mnhn.fr/espece/cd_nom/53379","Hipparchia alcyone (Denis &amp; Schiffermüller, 1775)")</f>
        <v>Hipparchia alcyone (Denis &amp; Schiffermüller, 1775)</v>
      </c>
      <c r="F17290" s="5" t="s">
        <v>20894</v>
      </c>
      <c r="Q17290" s="7" t="str">
        <f>HYPERLINK("#Liste_rouge!A"&amp;_xlfn.XMATCH("LC",Liste_rouge!A:A,2,1),"LC")</f>
        <v>LC</v>
      </c>
      <c r="AH17290" s="4" t="str">
        <f>HYPERLINK("#Statut_biogéographique!A"&amp;_xlfn.XMATCH("P",Statut_biogéographique!A:A,2,1),"P")</f>
        <v>P</v>
      </c>
      <c r="AP17290" s="4" t="s">
        <v>376</v>
      </c>
      <c r="AR17290" s="4" t="s">
        <v>377</v>
      </c>
    </row>
    <row r="17291" spans="1:44" ht="30">
      <c r="A17291" s="4" t="s">
        <v>10753</v>
      </c>
      <c r="B17291" s="4">
        <v>53391</v>
      </c>
      <c r="D17291" s="5" t="s">
        <v>20895</v>
      </c>
      <c r="E17291" s="6" t="str">
        <f>HYPERLINK("https://inpn.mnhn.fr/espece/cd_nom/53391","Hipparchia semele (Linnaeus, 1758)")</f>
        <v>Hipparchia semele (Linnaeus, 1758)</v>
      </c>
      <c r="F17291" s="5" t="s">
        <v>20896</v>
      </c>
      <c r="O17291" s="7" t="str">
        <f>HYPERLINK("#Liste_rouge!A"&amp;_xlfn.XMATCH("LC",Liste_rouge!A:A,2,1),"LC")</f>
        <v>LC</v>
      </c>
      <c r="P17291" s="7" t="str">
        <f>HYPERLINK("#Liste_rouge!A"&amp;_xlfn.XMATCH("LC",Liste_rouge!A:A,2,1),"LC")</f>
        <v>LC</v>
      </c>
      <c r="Q17291" s="7" t="str">
        <f>HYPERLINK("#Liste_rouge!A"&amp;_xlfn.XMATCH("LC",Liste_rouge!A:A,2,1),"LC")</f>
        <v>LC</v>
      </c>
      <c r="T17291" s="7" t="str">
        <f>HYPERLINK("#Liste_rouge!A"&amp;_xlfn.XMATCH("EN",Liste_rouge!A:A,2,1),"EN")</f>
        <v>EN</v>
      </c>
      <c r="U17291" s="4" t="str">
        <f>HYPERLINK("#Critères_liste_rouge!A$1","B(1+2)ab(iii)")</f>
        <v>B(1+2)ab(iii)</v>
      </c>
      <c r="V17291" s="7" t="str">
        <f>HYPERLINK("#Liste_rouge!A"&amp;_xlfn.XMATCH("EN",Liste_rouge!A:A,2,1),"EN")</f>
        <v>EN</v>
      </c>
      <c r="W17291" s="4" t="str">
        <f>HYPERLINK("#Critères_liste_rouge!A$1","A2acB2ab(iii)")</f>
        <v>A2acB2ab(iii)</v>
      </c>
      <c r="X17291" s="5" t="s">
        <v>374</v>
      </c>
      <c r="AH17291" s="4" t="str">
        <f>HYPERLINK("#Statut_biogéographique!A"&amp;_xlfn.XMATCH("P",Statut_biogéographique!A:A,2,1),"P")</f>
        <v>P</v>
      </c>
      <c r="AM17291" s="4" t="s">
        <v>375</v>
      </c>
      <c r="AN17291" s="4" t="s">
        <v>375</v>
      </c>
      <c r="AO17291" s="4" t="s">
        <v>375</v>
      </c>
      <c r="AP17291" s="4" t="s">
        <v>376</v>
      </c>
      <c r="AR17291" s="4" t="s">
        <v>377</v>
      </c>
    </row>
    <row r="17292" spans="1:44" ht="45">
      <c r="A17292" s="4" t="s">
        <v>10753</v>
      </c>
      <c r="B17292" s="4">
        <v>53425</v>
      </c>
      <c r="D17292" s="5" t="s">
        <v>20897</v>
      </c>
      <c r="E17292" s="6" t="str">
        <f>HYPERLINK("https://inpn.mnhn.fr/espece/cd_nom/53425","Chazara briseis (Linnaeus, 1764)")</f>
        <v>Chazara briseis (Linnaeus, 1764)</v>
      </c>
      <c r="F17292" s="5" t="s">
        <v>20898</v>
      </c>
      <c r="P17292" s="7" t="str">
        <f>HYPERLINK("#Liste_rouge!A"&amp;_xlfn.XMATCH("NT",Liste_rouge!A:A,2,1),"NT")</f>
        <v>NT</v>
      </c>
      <c r="Q17292" s="7" t="str">
        <f>HYPERLINK("#Liste_rouge!A"&amp;_xlfn.XMATCH("VU",Liste_rouge!A:A,2,1),"VU")</f>
        <v>VU</v>
      </c>
      <c r="T17292" s="7" t="str">
        <f>HYPERLINK("#Liste_rouge!A"&amp;_xlfn.XMATCH("CR",Liste_rouge!A:A,2,1),"CR")</f>
        <v>CR</v>
      </c>
      <c r="U17292" s="4" t="str">
        <f>HYPERLINK("#Critères_liste_rouge!A$1","B2ab(iii)")</f>
        <v>B2ab(iii)</v>
      </c>
      <c r="V17292" s="7" t="str">
        <f>HYPERLINK("#Liste_rouge!A"&amp;_xlfn.XMATCH("CR",Liste_rouge!A:A,2,1),"CR")</f>
        <v>CR</v>
      </c>
      <c r="W17292" s="4" t="str">
        <f>HYPERLINK("#Critères_liste_rouge!A$1","A2cB2ab(i,ii,iv)")</f>
        <v>A2cB2ab(i,ii,iv)</v>
      </c>
      <c r="X17292" s="5" t="s">
        <v>374</v>
      </c>
      <c r="AD17292" s="4" t="s">
        <v>11319</v>
      </c>
      <c r="AE17292" s="4" t="str">
        <f>HYPERLINK("#SCAP!A"&amp;_xlfn.XMATCH("A",SCAP!A:A,2,1),"A")</f>
        <v>A</v>
      </c>
      <c r="AF17292" s="4" t="str">
        <f>HYPERLINK("#SCAP!A"&amp;_xlfn.XMATCH("A",SCAP!A:A,2,1),"A")</f>
        <v>A</v>
      </c>
      <c r="AH17292" s="4" t="str">
        <f>HYPERLINK("#Statut_biogéographique!A"&amp;_xlfn.XMATCH("P",Statut_biogéographique!A:A,2,1),"P")</f>
        <v>P</v>
      </c>
      <c r="AI17292" s="8" t="s">
        <v>20899</v>
      </c>
      <c r="AJ17292" s="4" t="s">
        <v>12803</v>
      </c>
      <c r="AM17292" s="4" t="s">
        <v>375</v>
      </c>
      <c r="AN17292" s="4" t="s">
        <v>382</v>
      </c>
      <c r="AO17292" s="4" t="s">
        <v>382</v>
      </c>
      <c r="AP17292" s="4" t="s">
        <v>376</v>
      </c>
      <c r="AR17292" s="4" t="s">
        <v>377</v>
      </c>
    </row>
    <row r="17293" spans="1:44" ht="45">
      <c r="A17293" s="4" t="s">
        <v>10753</v>
      </c>
      <c r="B17293" s="4">
        <v>53449</v>
      </c>
      <c r="D17293" s="5" t="s">
        <v>20900</v>
      </c>
      <c r="E17293" s="6" t="str">
        <f>HYPERLINK("https://inpn.mnhn.fr/espece/cd_nom/53449","Erebia ligea (Linnaeus, 1758)")</f>
        <v>Erebia ligea (Linnaeus, 1758)</v>
      </c>
      <c r="F17293" s="5" t="s">
        <v>20901</v>
      </c>
      <c r="P17293" s="7" t="str">
        <f>HYPERLINK("#Liste_rouge!A"&amp;_xlfn.XMATCH("LC",Liste_rouge!A:A,2,1),"LC")</f>
        <v>LC</v>
      </c>
      <c r="Q17293" s="7" t="str">
        <f>HYPERLINK("#Liste_rouge!A"&amp;_xlfn.XMATCH("LC",Liste_rouge!A:A,2,1),"LC")</f>
        <v>LC</v>
      </c>
      <c r="V17293" s="7" t="str">
        <f>HYPERLINK("#Liste_rouge!A"&amp;_xlfn.XMATCH("LC",Liste_rouge!A:A,2,1),"LC")</f>
        <v>LC</v>
      </c>
      <c r="AH17293" s="4" t="str">
        <f>HYPERLINK("#Statut_biogéographique!A"&amp;_xlfn.XMATCH("P",Statut_biogéographique!A:A,2,1),"P")</f>
        <v>P</v>
      </c>
      <c r="AM17293" s="4" t="s">
        <v>375</v>
      </c>
      <c r="AN17293" s="4" t="s">
        <v>375</v>
      </c>
      <c r="AO17293" s="4" t="s">
        <v>375</v>
      </c>
      <c r="AP17293" s="4" t="s">
        <v>376</v>
      </c>
      <c r="AR17293" s="4" t="s">
        <v>377</v>
      </c>
    </row>
    <row r="17294" spans="1:44">
      <c r="A17294" s="4" t="s">
        <v>10753</v>
      </c>
      <c r="B17294" s="4">
        <v>53451</v>
      </c>
      <c r="D17294" s="5" t="s">
        <v>20902</v>
      </c>
      <c r="E17294" s="6" t="str">
        <f>HYPERLINK("https://inpn.mnhn.fr/espece/cd_nom/53451","Erebia euryale (Esper, 1805)")</f>
        <v>Erebia euryale (Esper, 1805)</v>
      </c>
      <c r="F17294" s="5" t="s">
        <v>20903</v>
      </c>
      <c r="P17294" s="7" t="str">
        <f>HYPERLINK("#Liste_rouge!A"&amp;_xlfn.XMATCH("LC",Liste_rouge!A:A,2,1),"LC")</f>
        <v>LC</v>
      </c>
      <c r="Q17294" s="7" t="str">
        <f>HYPERLINK("#Liste_rouge!A"&amp;_xlfn.XMATCH("LC",Liste_rouge!A:A,2,1),"LC")</f>
        <v>LC</v>
      </c>
      <c r="V17294" s="7" t="str">
        <f>HYPERLINK("#Liste_rouge!A"&amp;_xlfn.XMATCH("LC",Liste_rouge!A:A,2,1),"LC")</f>
        <v>LC</v>
      </c>
      <c r="AH17294" s="4" t="str">
        <f>HYPERLINK("#Statut_biogéographique!A"&amp;_xlfn.XMATCH("P",Statut_biogéographique!A:A,2,1),"P")</f>
        <v>P</v>
      </c>
      <c r="AM17294" s="4" t="s">
        <v>375</v>
      </c>
      <c r="AN17294" s="4" t="s">
        <v>375</v>
      </c>
      <c r="AO17294" s="4" t="s">
        <v>375</v>
      </c>
      <c r="AP17294" s="4" t="s">
        <v>376</v>
      </c>
      <c r="AR17294" s="4" t="s">
        <v>377</v>
      </c>
    </row>
    <row r="17295" spans="1:44" ht="45">
      <c r="A17295" s="4" t="s">
        <v>10753</v>
      </c>
      <c r="B17295" s="4">
        <v>53459</v>
      </c>
      <c r="D17295" s="5" t="s">
        <v>20904</v>
      </c>
      <c r="E17295" s="6" t="str">
        <f>HYPERLINK("https://inpn.mnhn.fr/espece/cd_nom/53459","Erebia manto (Denis &amp; Schiffermüller, 1775)")</f>
        <v>Erebia manto (Denis &amp; Schiffermüller, 1775)</v>
      </c>
      <c r="F17295" s="5" t="s">
        <v>20905</v>
      </c>
      <c r="O17295" s="7" t="str">
        <f>HYPERLINK("#Liste_rouge!A"&amp;_xlfn.XMATCH("LC",Liste_rouge!A:A,2,1),"LC")</f>
        <v>LC</v>
      </c>
      <c r="P17295" s="7" t="str">
        <f>HYPERLINK("#Liste_rouge!A"&amp;_xlfn.XMATCH("LC",Liste_rouge!A:A,2,1),"LC")</f>
        <v>LC</v>
      </c>
      <c r="Q17295" s="7" t="str">
        <f>HYPERLINK("#Liste_rouge!A"&amp;_xlfn.XMATCH("LC",Liste_rouge!A:A,2,1),"LC")</f>
        <v>LC</v>
      </c>
      <c r="AH17295" s="4" t="str">
        <f>HYPERLINK("#Statut_biogéographique!A"&amp;_xlfn.XMATCH("P",Statut_biogéographique!A:A,2,1),"P")</f>
        <v>P</v>
      </c>
      <c r="AP17295" s="4" t="s">
        <v>376</v>
      </c>
      <c r="AR17295" s="4" t="s">
        <v>377</v>
      </c>
    </row>
    <row r="17296" spans="1:44" ht="45">
      <c r="A17296" s="4" t="s">
        <v>10753</v>
      </c>
      <c r="B17296" s="4">
        <v>53483</v>
      </c>
      <c r="D17296" s="5" t="s">
        <v>20906</v>
      </c>
      <c r="E17296" s="6" t="str">
        <f>HYPERLINK("https://inpn.mnhn.fr/espece/cd_nom/53483","Erebia aethiops (Esper, 1777)")</f>
        <v>Erebia aethiops (Esper, 1777)</v>
      </c>
      <c r="F17296" s="5" t="s">
        <v>20907</v>
      </c>
      <c r="P17296" s="7" t="str">
        <f>HYPERLINK("#Liste_rouge!A"&amp;_xlfn.XMATCH("LC",Liste_rouge!A:A,2,1),"LC")</f>
        <v>LC</v>
      </c>
      <c r="Q17296" s="7" t="str">
        <f>HYPERLINK("#Liste_rouge!A"&amp;_xlfn.XMATCH("LC",Liste_rouge!A:A,2,1),"LC")</f>
        <v>LC</v>
      </c>
      <c r="T17296" s="7" t="str">
        <f>HYPERLINK("#Liste_rouge!A"&amp;_xlfn.XMATCH("NT",Liste_rouge!A:A,2,1),"NT")</f>
        <v>NT</v>
      </c>
      <c r="U17296" s="4" t="str">
        <f>HYPERLINK("#Critères_liste_rouge!A$1","pr. B2b(iii)")</f>
        <v>pr. B2b(iii)</v>
      </c>
      <c r="V17296" s="7" t="str">
        <f>HYPERLINK("#Liste_rouge!A"&amp;_xlfn.XMATCH("LC",Liste_rouge!A:A,2,1),"LC")</f>
        <v>LC</v>
      </c>
      <c r="X17296" s="5" t="s">
        <v>12755</v>
      </c>
      <c r="Y17296" s="5" t="s">
        <v>12784</v>
      </c>
      <c r="AH17296" s="4" t="str">
        <f>HYPERLINK("#Statut_biogéographique!A"&amp;_xlfn.XMATCH("P",Statut_biogéographique!A:A,2,1),"P")</f>
        <v>P</v>
      </c>
      <c r="AM17296" s="4" t="s">
        <v>375</v>
      </c>
      <c r="AN17296" s="4" t="s">
        <v>375</v>
      </c>
      <c r="AO17296" s="4" t="s">
        <v>375</v>
      </c>
      <c r="AP17296" s="4" t="s">
        <v>376</v>
      </c>
      <c r="AR17296" s="4" t="s">
        <v>377</v>
      </c>
    </row>
    <row r="17297" spans="1:44" ht="60">
      <c r="A17297" s="4" t="s">
        <v>10753</v>
      </c>
      <c r="B17297" s="4">
        <v>53487</v>
      </c>
      <c r="D17297" s="5" t="s">
        <v>20908</v>
      </c>
      <c r="E17297" s="6" t="str">
        <f>HYPERLINK("https://inpn.mnhn.fr/espece/cd_nom/53487","Erebia medusa (Denis &amp; Schiffermüller, 1775)")</f>
        <v>Erebia medusa (Denis &amp; Schiffermüller, 1775)</v>
      </c>
      <c r="F17297" s="5" t="s">
        <v>20909</v>
      </c>
      <c r="P17297" s="7" t="str">
        <f>HYPERLINK("#Liste_rouge!A"&amp;_xlfn.XMATCH("LC",Liste_rouge!A:A,2,1),"LC")</f>
        <v>LC</v>
      </c>
      <c r="Q17297" s="7" t="str">
        <f>HYPERLINK("#Liste_rouge!A"&amp;_xlfn.XMATCH("LC",Liste_rouge!A:A,2,1),"LC")</f>
        <v>LC</v>
      </c>
      <c r="T17297" s="7" t="str">
        <f>HYPERLINK("#Liste_rouge!A"&amp;_xlfn.XMATCH("NT",Liste_rouge!A:A,2,1),"NT")</f>
        <v>NT</v>
      </c>
      <c r="U17297" s="4" t="str">
        <f>HYPERLINK("#Critères_liste_rouge!A$1","pr. B2b(iii)")</f>
        <v>pr. B2b(iii)</v>
      </c>
      <c r="V17297" s="7" t="str">
        <f>HYPERLINK("#Liste_rouge!A"&amp;_xlfn.XMATCH("LC",Liste_rouge!A:A,2,1),"LC")</f>
        <v>LC</v>
      </c>
      <c r="X17297" s="5" t="s">
        <v>398</v>
      </c>
      <c r="AH17297" s="4" t="str">
        <f>HYPERLINK("#Statut_biogéographique!A"&amp;_xlfn.XMATCH("P",Statut_biogéographique!A:A,2,1),"P")</f>
        <v>P</v>
      </c>
      <c r="AM17297" s="4" t="s">
        <v>375</v>
      </c>
      <c r="AN17297" s="4" t="s">
        <v>375</v>
      </c>
      <c r="AO17297" s="4" t="s">
        <v>375</v>
      </c>
      <c r="AP17297" s="4" t="s">
        <v>376</v>
      </c>
      <c r="AR17297" s="4" t="s">
        <v>377</v>
      </c>
    </row>
    <row r="17298" spans="1:44" ht="45">
      <c r="A17298" s="4" t="s">
        <v>10753</v>
      </c>
      <c r="B17298" s="4">
        <v>53538</v>
      </c>
      <c r="D17298" s="5" t="s">
        <v>20910</v>
      </c>
      <c r="E17298" s="6" t="str">
        <f>HYPERLINK("https://inpn.mnhn.fr/espece/cd_nom/53538","Erebia pronoe (Esper, 1780)")</f>
        <v>Erebia pronoe (Esper, 1780)</v>
      </c>
      <c r="F17298" s="5" t="s">
        <v>20911</v>
      </c>
      <c r="O17298" s="7" t="str">
        <f>HYPERLINK("#Liste_rouge!A"&amp;_xlfn.XMATCH("LC",Liste_rouge!A:A,2,1),"LC")</f>
        <v>LC</v>
      </c>
      <c r="P17298" s="7" t="str">
        <f>HYPERLINK("#Liste_rouge!A"&amp;_xlfn.XMATCH("LC",Liste_rouge!A:A,2,1),"LC")</f>
        <v>LC</v>
      </c>
      <c r="Q17298" s="7" t="str">
        <f>HYPERLINK("#Liste_rouge!A"&amp;_xlfn.XMATCH("LC",Liste_rouge!A:A,2,1),"LC")</f>
        <v>LC</v>
      </c>
      <c r="V17298" s="7" t="str">
        <f>HYPERLINK("#Liste_rouge!A"&amp;_xlfn.XMATCH("VU",Liste_rouge!A:A,2,1),"VU")</f>
        <v>VU</v>
      </c>
      <c r="W17298" s="4" t="str">
        <f>HYPERLINK("#Critères_liste_rouge!A$1","B2ab(iii)")</f>
        <v>B2ab(iii)</v>
      </c>
      <c r="X17298" s="5" t="s">
        <v>374</v>
      </c>
      <c r="AH17298" s="4" t="str">
        <f>HYPERLINK("#Statut_biogéographique!A"&amp;_xlfn.XMATCH("P",Statut_biogéographique!A:A,2,1),"P")</f>
        <v>P</v>
      </c>
      <c r="AM17298" s="4" t="s">
        <v>375</v>
      </c>
      <c r="AN17298" s="4" t="s">
        <v>375</v>
      </c>
      <c r="AO17298" s="4" t="s">
        <v>375</v>
      </c>
      <c r="AP17298" s="4" t="s">
        <v>376</v>
      </c>
      <c r="AR17298" s="4" t="s">
        <v>377</v>
      </c>
    </row>
    <row r="17299" spans="1:44">
      <c r="A17299" s="4" t="s">
        <v>10753</v>
      </c>
      <c r="B17299" s="4">
        <v>535387</v>
      </c>
      <c r="D17299" s="5" t="s">
        <v>20912</v>
      </c>
      <c r="E17299" s="6" t="str">
        <f>HYPERLINK("https://inpn.mnhn.fr/espece/cd_nom/535387","Liopterus haemorrhoidalis (Fabricius, 1787)")</f>
        <v>Liopterus haemorrhoidalis (Fabricius, 1787)</v>
      </c>
      <c r="AH17299" s="4" t="str">
        <f>HYPERLINK("#Statut_biogéographique!A"&amp;_xlfn.XMATCH("P",Statut_biogéographique!A:A,2,1),"P")</f>
        <v>P</v>
      </c>
      <c r="AP17299" s="4" t="s">
        <v>376</v>
      </c>
      <c r="AR17299" s="4" t="s">
        <v>377</v>
      </c>
    </row>
    <row r="17300" spans="1:44" ht="30">
      <c r="A17300" s="4" t="s">
        <v>10753</v>
      </c>
      <c r="B17300" s="4">
        <v>53564</v>
      </c>
      <c r="D17300" s="5" t="s">
        <v>20913</v>
      </c>
      <c r="E17300" s="6" t="str">
        <f>HYPERLINK("https://inpn.mnhn.fr/espece/cd_nom/53564","Erebia oeme (Hübner, 1804)")</f>
        <v>Erebia oeme (Hübner, 1804)</v>
      </c>
      <c r="F17300" s="5" t="s">
        <v>20914</v>
      </c>
      <c r="O17300" s="7" t="str">
        <f>HYPERLINK("#Liste_rouge!A"&amp;_xlfn.XMATCH("LC",Liste_rouge!A:A,2,1),"LC")</f>
        <v>LC</v>
      </c>
      <c r="P17300" s="7" t="str">
        <f>HYPERLINK("#Liste_rouge!A"&amp;_xlfn.XMATCH("LC",Liste_rouge!A:A,2,1),"LC")</f>
        <v>LC</v>
      </c>
      <c r="Q17300" s="7" t="str">
        <f>HYPERLINK("#Liste_rouge!A"&amp;_xlfn.XMATCH("LC",Liste_rouge!A:A,2,1),"LC")</f>
        <v>LC</v>
      </c>
      <c r="V17300" s="7" t="str">
        <f>HYPERLINK("#Liste_rouge!A"&amp;_xlfn.XMATCH("NT",Liste_rouge!A:A,2,1),"NT")</f>
        <v>NT</v>
      </c>
      <c r="W17300" s="4" t="str">
        <f>HYPERLINK("#Critères_liste_rouge!A$1","pr.A3c")</f>
        <v>pr.A3c</v>
      </c>
      <c r="X17300" s="5" t="s">
        <v>398</v>
      </c>
      <c r="AH17300" s="4" t="str">
        <f>HYPERLINK("#Statut_biogéographique!A"&amp;_xlfn.XMATCH("P",Statut_biogéographique!A:A,2,1),"P")</f>
        <v>P</v>
      </c>
      <c r="AM17300" s="4" t="s">
        <v>375</v>
      </c>
      <c r="AN17300" s="4" t="s">
        <v>375</v>
      </c>
      <c r="AO17300" s="4" t="s">
        <v>375</v>
      </c>
      <c r="AP17300" s="4" t="s">
        <v>376</v>
      </c>
      <c r="AR17300" s="4" t="s">
        <v>377</v>
      </c>
    </row>
    <row r="17301" spans="1:44">
      <c r="A17301" s="4" t="s">
        <v>10753</v>
      </c>
      <c r="B17301" s="4">
        <v>535752</v>
      </c>
      <c r="D17301" s="5" t="s">
        <v>20915</v>
      </c>
      <c r="E17301" s="6" t="str">
        <f>HYPERLINK("https://inpn.mnhn.fr/espece/cd_nom/535752","Bicolorana bicolor bicolor (Philippi, 1830)")</f>
        <v>Bicolorana bicolor bicolor (Philippi, 1830)</v>
      </c>
      <c r="F17301" s="5" t="s">
        <v>20916</v>
      </c>
      <c r="AH17301" s="4" t="str">
        <f>HYPERLINK("#Statut_biogéographique!A"&amp;_xlfn.XMATCH("P",Statut_biogéographique!A:A,2,1),"P")</f>
        <v>P</v>
      </c>
      <c r="AP17301" s="4" t="s">
        <v>376</v>
      </c>
      <c r="AR17301" s="4" t="s">
        <v>377</v>
      </c>
    </row>
    <row r="17302" spans="1:44" ht="30">
      <c r="A17302" s="4" t="s">
        <v>10753</v>
      </c>
      <c r="B17302" s="4">
        <v>535758</v>
      </c>
      <c r="D17302" s="5" t="s">
        <v>20917</v>
      </c>
      <c r="E17302" s="6" t="str">
        <f>HYPERLINK("https://inpn.mnhn.fr/espece/cd_nom/535758","Pteronemobius heydenii heydenii (Fischer, 1853)")</f>
        <v>Pteronemobius heydenii heydenii (Fischer, 1853)</v>
      </c>
      <c r="F17302" s="5" t="s">
        <v>20918</v>
      </c>
      <c r="AH17302" s="4" t="str">
        <f>HYPERLINK("#Statut_biogéographique!A"&amp;_xlfn.XMATCH("P",Statut_biogéographique!A:A,2,1),"P")</f>
        <v>P</v>
      </c>
      <c r="AP17302" s="4" t="s">
        <v>376</v>
      </c>
      <c r="AR17302" s="4" t="s">
        <v>377</v>
      </c>
    </row>
    <row r="17303" spans="1:44">
      <c r="A17303" s="4" t="s">
        <v>10753</v>
      </c>
      <c r="B17303" s="4">
        <v>535760</v>
      </c>
      <c r="D17303" s="5" t="s">
        <v>20919</v>
      </c>
      <c r="E17303" s="6" t="str">
        <f>HYPERLINK("https://inpn.mnhn.fr/espece/cd_nom/535760","Oecanthus pellucens pellucens (Scopoli, 1763)")</f>
        <v>Oecanthus pellucens pellucens (Scopoli, 1763)</v>
      </c>
      <c r="F17303" s="5" t="s">
        <v>20920</v>
      </c>
      <c r="AH17303" s="4" t="str">
        <f>HYPERLINK("#Statut_biogéographique!A"&amp;_xlfn.XMATCH("P",Statut_biogéographique!A:A,2,1),"P")</f>
        <v>P</v>
      </c>
      <c r="AP17303" s="4" t="s">
        <v>376</v>
      </c>
      <c r="AR17303" s="4" t="s">
        <v>377</v>
      </c>
    </row>
    <row r="17304" spans="1:44">
      <c r="A17304" s="4" t="s">
        <v>10753</v>
      </c>
      <c r="B17304" s="4">
        <v>535763</v>
      </c>
      <c r="D17304" s="5">
        <v>535763</v>
      </c>
      <c r="E17304" s="6" t="str">
        <f>HYPERLINK("https://inpn.mnhn.fr/espece/cd_nom/535763","Dociostaurus genei genei (Ocskay, 1832)")</f>
        <v>Dociostaurus genei genei (Ocskay, 1832)</v>
      </c>
      <c r="F17304" s="5" t="s">
        <v>20921</v>
      </c>
      <c r="AH17304" s="4" t="str">
        <f>HYPERLINK("#Statut_biogéographique!A"&amp;_xlfn.XMATCH("P",Statut_biogéographique!A:A,2,1),"P")</f>
        <v>P</v>
      </c>
      <c r="AP17304" s="4" t="s">
        <v>376</v>
      </c>
      <c r="AR17304" s="4" t="s">
        <v>377</v>
      </c>
    </row>
    <row r="17305" spans="1:44" ht="30">
      <c r="A17305" s="4" t="s">
        <v>10753</v>
      </c>
      <c r="B17305" s="4">
        <v>535765</v>
      </c>
      <c r="D17305" s="5">
        <v>535765</v>
      </c>
      <c r="E17305" s="6" t="str">
        <f>HYPERLINK("https://inpn.mnhn.fr/espece/cd_nom/535765","Omocestus viridulus viridulus (Linnaeus, 1758)")</f>
        <v>Omocestus viridulus viridulus (Linnaeus, 1758)</v>
      </c>
      <c r="F17305" s="5" t="s">
        <v>20922</v>
      </c>
      <c r="AH17305" s="4" t="str">
        <f>HYPERLINK("#Statut_biogéographique!A"&amp;_xlfn.XMATCH("P",Statut_biogéographique!A:A,2,1),"P")</f>
        <v>P</v>
      </c>
      <c r="AP17305" s="4" t="s">
        <v>376</v>
      </c>
      <c r="AR17305" s="4" t="s">
        <v>377</v>
      </c>
    </row>
    <row r="17306" spans="1:44" ht="30">
      <c r="A17306" s="4" t="s">
        <v>10753</v>
      </c>
      <c r="B17306" s="4">
        <v>535767</v>
      </c>
      <c r="D17306" s="5" t="s">
        <v>20923</v>
      </c>
      <c r="E17306" s="6" t="str">
        <f>HYPERLINK("https://inpn.mnhn.fr/espece/cd_nom/535767","Stauroderus scalaris scalaris (Fischer von Waldheim, 1846)")</f>
        <v>Stauroderus scalaris scalaris (Fischer von Waldheim, 1846)</v>
      </c>
      <c r="AH17306" s="4" t="str">
        <f>HYPERLINK("#Statut_biogéographique!A"&amp;_xlfn.XMATCH("P",Statut_biogéographique!A:A,2,1),"P")</f>
        <v>P</v>
      </c>
      <c r="AP17306" s="4" t="s">
        <v>376</v>
      </c>
      <c r="AR17306" s="4" t="s">
        <v>377</v>
      </c>
    </row>
    <row r="17307" spans="1:44" ht="30">
      <c r="A17307" s="4" t="s">
        <v>10753</v>
      </c>
      <c r="B17307" s="4">
        <v>535771</v>
      </c>
      <c r="D17307" s="5" t="s">
        <v>20924</v>
      </c>
      <c r="E17307" s="6" t="str">
        <f>HYPERLINK("https://inpn.mnhn.fr/espece/cd_nom/535771","Locusta migratoria migratoria (Linnaeus, 1758)")</f>
        <v>Locusta migratoria migratoria (Linnaeus, 1758)</v>
      </c>
      <c r="F17307" s="5" t="s">
        <v>20925</v>
      </c>
      <c r="AE17307" s="4" t="str">
        <f>HYPERLINK("#SCAP!A"&amp;_xlfn.XMATCH("A",SCAP!A:A,2,1),"A")</f>
        <v>A</v>
      </c>
      <c r="AH17307" s="4" t="str">
        <f>HYPERLINK("#Statut_biogéographique!A"&amp;_xlfn.XMATCH("P",Statut_biogéographique!A:A,2,1),"P")</f>
        <v>P</v>
      </c>
      <c r="AP17307" s="4" t="s">
        <v>376</v>
      </c>
      <c r="AR17307" s="4" t="s">
        <v>377</v>
      </c>
    </row>
    <row r="17308" spans="1:44">
      <c r="A17308" s="4" t="s">
        <v>10753</v>
      </c>
      <c r="B17308" s="4">
        <v>535823</v>
      </c>
      <c r="D17308" s="5" t="s">
        <v>20926</v>
      </c>
      <c r="E17308" s="6" t="str">
        <f>HYPERLINK("https://inpn.mnhn.fr/espece/cd_nom/535823","Ephippiger diurnus Dufour, 1841")</f>
        <v>Ephippiger diurnus Dufour, 1841</v>
      </c>
      <c r="F17308" s="5" t="s">
        <v>20927</v>
      </c>
      <c r="P17308" s="7" t="str">
        <f>HYPERLINK("#Liste_rouge!A"&amp;_xlfn.XMATCH("LC",Liste_rouge!A:A,2,1),"LC")</f>
        <v>LC</v>
      </c>
      <c r="X17308" s="5" t="s">
        <v>398</v>
      </c>
      <c r="AH17308" s="4" t="str">
        <f>HYPERLINK("#Statut_biogéographique!A"&amp;_xlfn.XMATCH("P",Statut_biogéographique!A:A,2,1),"P")</f>
        <v>P</v>
      </c>
      <c r="AM17308" s="4" t="s">
        <v>375</v>
      </c>
      <c r="AN17308" s="4" t="s">
        <v>375</v>
      </c>
      <c r="AO17308" s="4" t="s">
        <v>375</v>
      </c>
      <c r="AP17308" s="4" t="s">
        <v>376</v>
      </c>
      <c r="AR17308" s="4" t="s">
        <v>377</v>
      </c>
    </row>
    <row r="17309" spans="1:44" ht="30">
      <c r="A17309" s="4" t="s">
        <v>10753</v>
      </c>
      <c r="B17309" s="4">
        <v>535849</v>
      </c>
      <c r="D17309" s="5">
        <v>535849</v>
      </c>
      <c r="E17309" s="6" t="str">
        <f>HYPERLINK("https://inpn.mnhn.fr/espece/cd_nom/535849","Mecostethus parapleurus parapleurus (Hagenbach, 1822)")</f>
        <v>Mecostethus parapleurus parapleurus (Hagenbach, 1822)</v>
      </c>
      <c r="F17309" s="5" t="s">
        <v>20928</v>
      </c>
      <c r="AH17309" s="4" t="str">
        <f>HYPERLINK("#Statut_biogéographique!A"&amp;_xlfn.XMATCH("P",Statut_biogéographique!A:A,2,1),"P")</f>
        <v>P</v>
      </c>
      <c r="AP17309" s="4" t="s">
        <v>376</v>
      </c>
      <c r="AR17309" s="4" t="s">
        <v>377</v>
      </c>
    </row>
    <row r="17310" spans="1:44">
      <c r="A17310" s="4" t="s">
        <v>10753</v>
      </c>
      <c r="B17310" s="4">
        <v>53595</v>
      </c>
      <c r="D17310" s="5" t="s">
        <v>20929</v>
      </c>
      <c r="E17310" s="6" t="str">
        <f>HYPERLINK("https://inpn.mnhn.fr/espece/cd_nom/53595","Pararge aegeria (Linnaeus, 1758)")</f>
        <v>Pararge aegeria (Linnaeus, 1758)</v>
      </c>
      <c r="F17310" s="5" t="s">
        <v>20930</v>
      </c>
      <c r="P17310" s="7" t="str">
        <f>HYPERLINK("#Liste_rouge!A"&amp;_xlfn.XMATCH("LC",Liste_rouge!A:A,2,1),"LC")</f>
        <v>LC</v>
      </c>
      <c r="Q17310" s="7" t="str">
        <f>HYPERLINK("#Liste_rouge!A"&amp;_xlfn.XMATCH("LC",Liste_rouge!A:A,2,1),"LC")</f>
        <v>LC</v>
      </c>
      <c r="T17310" s="7" t="str">
        <f>HYPERLINK("#Liste_rouge!A"&amp;_xlfn.XMATCH("LC",Liste_rouge!A:A,2,1),"LC")</f>
        <v>LC</v>
      </c>
      <c r="V17310" s="7" t="str">
        <f>HYPERLINK("#Liste_rouge!A"&amp;_xlfn.XMATCH("LC",Liste_rouge!A:A,2,1),"LC")</f>
        <v>LC</v>
      </c>
      <c r="AH17310" s="4" t="str">
        <f>HYPERLINK("#Statut_biogéographique!A"&amp;_xlfn.XMATCH("P",Statut_biogéographique!A:A,2,1),"P")</f>
        <v>P</v>
      </c>
      <c r="AM17310" s="4" t="s">
        <v>375</v>
      </c>
      <c r="AN17310" s="4" t="s">
        <v>375</v>
      </c>
      <c r="AO17310" s="4" t="s">
        <v>375</v>
      </c>
      <c r="AP17310" s="4" t="s">
        <v>376</v>
      </c>
      <c r="AR17310" s="4" t="s">
        <v>377</v>
      </c>
    </row>
    <row r="17311" spans="1:44" ht="30">
      <c r="A17311" s="4" t="s">
        <v>10753</v>
      </c>
      <c r="B17311" s="4">
        <v>53598</v>
      </c>
      <c r="D17311" s="5" t="s">
        <v>20931</v>
      </c>
      <c r="E17311" s="6" t="str">
        <f>HYPERLINK("https://inpn.mnhn.fr/espece/cd_nom/53598","Pararge aegeria tircis (Butler, 1867)")</f>
        <v>Pararge aegeria tircis (Butler, 1867)</v>
      </c>
      <c r="AH17311" s="4" t="str">
        <f>HYPERLINK("#Statut_biogéographique!A"&amp;_xlfn.XMATCH("P",Statut_biogéographique!A:A,2,1),"P")</f>
        <v>P</v>
      </c>
      <c r="AP17311" s="4" t="s">
        <v>376</v>
      </c>
      <c r="AR17311" s="4" t="s">
        <v>377</v>
      </c>
    </row>
    <row r="17312" spans="1:44" ht="45">
      <c r="A17312" s="4" t="s">
        <v>10753</v>
      </c>
      <c r="B17312" s="4">
        <v>53604</v>
      </c>
      <c r="D17312" s="5" t="s">
        <v>20932</v>
      </c>
      <c r="E17312" s="6" t="str">
        <f>HYPERLINK("https://inpn.mnhn.fr/espece/cd_nom/53604","Lasiommata megera (Linnaeus, 1767)")</f>
        <v>Lasiommata megera (Linnaeus, 1767)</v>
      </c>
      <c r="F17312" s="5" t="s">
        <v>20933</v>
      </c>
      <c r="P17312" s="7" t="str">
        <f>HYPERLINK("#Liste_rouge!A"&amp;_xlfn.XMATCH("LC",Liste_rouge!A:A,2,1),"LC")</f>
        <v>LC</v>
      </c>
      <c r="Q17312" s="7" t="str">
        <f>HYPERLINK("#Liste_rouge!A"&amp;_xlfn.XMATCH("LC",Liste_rouge!A:A,2,1),"LC")</f>
        <v>LC</v>
      </c>
      <c r="T17312" s="7" t="str">
        <f>HYPERLINK("#Liste_rouge!A"&amp;_xlfn.XMATCH("LC",Liste_rouge!A:A,2,1),"LC")</f>
        <v>LC</v>
      </c>
      <c r="V17312" s="7" t="str">
        <f>HYPERLINK("#Liste_rouge!A"&amp;_xlfn.XMATCH("LC",Liste_rouge!A:A,2,1),"LC")</f>
        <v>LC</v>
      </c>
      <c r="AH17312" s="4" t="str">
        <f>HYPERLINK("#Statut_biogéographique!A"&amp;_xlfn.XMATCH("P",Statut_biogéographique!A:A,2,1),"P")</f>
        <v>P</v>
      </c>
      <c r="AM17312" s="4" t="s">
        <v>375</v>
      </c>
      <c r="AN17312" s="4" t="s">
        <v>375</v>
      </c>
      <c r="AO17312" s="4" t="s">
        <v>375</v>
      </c>
      <c r="AP17312" s="4" t="s">
        <v>376</v>
      </c>
      <c r="AR17312" s="4" t="s">
        <v>377</v>
      </c>
    </row>
    <row r="17313" spans="1:44">
      <c r="A17313" s="4" t="s">
        <v>10753</v>
      </c>
      <c r="B17313" s="4">
        <v>536050</v>
      </c>
      <c r="D17313" s="5" t="s">
        <v>20934</v>
      </c>
      <c r="E17313" s="6" t="str">
        <f>HYPERLINK("https://inpn.mnhn.fr/espece/cd_nom/536050","Bicolorana bicolor (Philippi, 1830)")</f>
        <v>Bicolorana bicolor (Philippi, 1830)</v>
      </c>
      <c r="F17313" s="5" t="s">
        <v>20916</v>
      </c>
      <c r="P17313" s="7" t="str">
        <f>HYPERLINK("#Liste_rouge!A"&amp;_xlfn.XMATCH("LC",Liste_rouge!A:A,2,1),"LC")</f>
        <v>LC</v>
      </c>
      <c r="V17313" s="7" t="str">
        <f>HYPERLINK("#Liste_rouge!A"&amp;_xlfn.XMATCH("LC",Liste_rouge!A:A,2,1),"LC")</f>
        <v>LC</v>
      </c>
      <c r="AH17313" s="4" t="str">
        <f>HYPERLINK("#Statut_biogéographique!A"&amp;_xlfn.XMATCH("P",Statut_biogéographique!A:A,2,1),"P")</f>
        <v>P</v>
      </c>
      <c r="AM17313" s="4" t="s">
        <v>375</v>
      </c>
      <c r="AN17313" s="4" t="s">
        <v>375</v>
      </c>
      <c r="AO17313" s="4" t="s">
        <v>375</v>
      </c>
      <c r="AP17313" s="4" t="s">
        <v>376</v>
      </c>
      <c r="AR17313" s="4" t="s">
        <v>377</v>
      </c>
    </row>
    <row r="17314" spans="1:44">
      <c r="A17314" s="4" t="s">
        <v>10753</v>
      </c>
      <c r="B17314" s="4">
        <v>536062</v>
      </c>
      <c r="D17314" s="5" t="s">
        <v>20935</v>
      </c>
      <c r="E17314" s="6" t="str">
        <f>HYPERLINK("https://inpn.mnhn.fr/espece/cd_nom/536062","Ephippiger diurnus diurnus Dufour, 1841")</f>
        <v>Ephippiger diurnus diurnus Dufour, 1841</v>
      </c>
      <c r="AH17314" s="4" t="str">
        <f>HYPERLINK("#Statut_biogéographique!A"&amp;_xlfn.XMATCH("P",Statut_biogéographique!A:A,2,1),"P")</f>
        <v>P</v>
      </c>
      <c r="AP17314" s="4" t="s">
        <v>376</v>
      </c>
      <c r="AR17314" s="4" t="s">
        <v>377</v>
      </c>
    </row>
    <row r="17315" spans="1:44" ht="45">
      <c r="A17315" s="4" t="s">
        <v>10753</v>
      </c>
      <c r="B17315" s="4">
        <v>53609</v>
      </c>
      <c r="D17315" s="5" t="s">
        <v>20936</v>
      </c>
      <c r="E17315" s="6" t="str">
        <f>HYPERLINK("https://inpn.mnhn.fr/espece/cd_nom/53609","Lasiommata maera (Linnaeus, 1758)")</f>
        <v>Lasiommata maera (Linnaeus, 1758)</v>
      </c>
      <c r="F17315" s="5" t="s">
        <v>20937</v>
      </c>
      <c r="P17315" s="7" t="str">
        <f>HYPERLINK("#Liste_rouge!A"&amp;_xlfn.XMATCH("LC",Liste_rouge!A:A,2,1),"LC")</f>
        <v>LC</v>
      </c>
      <c r="Q17315" s="7" t="str">
        <f>HYPERLINK("#Liste_rouge!A"&amp;_xlfn.XMATCH("LC",Liste_rouge!A:A,2,1),"LC")</f>
        <v>LC</v>
      </c>
      <c r="T17315" s="7" t="str">
        <f>HYPERLINK("#Liste_rouge!A"&amp;_xlfn.XMATCH("LC",Liste_rouge!A:A,2,1),"LC")</f>
        <v>LC</v>
      </c>
      <c r="V17315" s="7" t="str">
        <f>HYPERLINK("#Liste_rouge!A"&amp;_xlfn.XMATCH("LC",Liste_rouge!A:A,2,1),"LC")</f>
        <v>LC</v>
      </c>
      <c r="AH17315" s="4" t="str">
        <f>HYPERLINK("#Statut_biogéographique!A"&amp;_xlfn.XMATCH("P",Statut_biogéographique!A:A,2,1),"P")</f>
        <v>P</v>
      </c>
      <c r="AM17315" s="4" t="s">
        <v>375</v>
      </c>
      <c r="AN17315" s="4" t="s">
        <v>375</v>
      </c>
      <c r="AO17315" s="4" t="s">
        <v>375</v>
      </c>
      <c r="AP17315" s="4" t="s">
        <v>376</v>
      </c>
      <c r="AR17315" s="4" t="s">
        <v>377</v>
      </c>
    </row>
    <row r="17316" spans="1:44" ht="30">
      <c r="A17316" s="4" t="s">
        <v>10753</v>
      </c>
      <c r="B17316" s="4">
        <v>53611</v>
      </c>
      <c r="D17316" s="5" t="s">
        <v>20938</v>
      </c>
      <c r="E17316" s="6" t="str">
        <f>HYPERLINK("https://inpn.mnhn.fr/espece/cd_nom/53611","Lasiommata petropolitana (Fabricius, 1787)")</f>
        <v>Lasiommata petropolitana (Fabricius, 1787)</v>
      </c>
      <c r="F17316" s="5" t="s">
        <v>20939</v>
      </c>
      <c r="P17316" s="7" t="str">
        <f>HYPERLINK("#Liste_rouge!A"&amp;_xlfn.XMATCH("LC",Liste_rouge!A:A,2,1),"LC")</f>
        <v>LC</v>
      </c>
      <c r="Q17316" s="7" t="str">
        <f>HYPERLINK("#Liste_rouge!A"&amp;_xlfn.XMATCH("LC",Liste_rouge!A:A,2,1),"LC")</f>
        <v>LC</v>
      </c>
      <c r="AH17316" s="4" t="str">
        <f>HYPERLINK("#Statut_biogéographique!A"&amp;_xlfn.XMATCH("P",Statut_biogéographique!A:A,2,1),"P")</f>
        <v>P</v>
      </c>
      <c r="AP17316" s="4" t="s">
        <v>376</v>
      </c>
      <c r="AR17316" s="4" t="s">
        <v>377</v>
      </c>
    </row>
    <row r="17317" spans="1:44" ht="30">
      <c r="A17317" s="4" t="s">
        <v>10753</v>
      </c>
      <c r="B17317" s="4">
        <v>53615</v>
      </c>
      <c r="D17317" s="5" t="s">
        <v>20940</v>
      </c>
      <c r="E17317" s="6" t="str">
        <f>HYPERLINK("https://inpn.mnhn.fr/espece/cd_nom/53615","Lopinga achine (Scopoli, 1763)")</f>
        <v>Lopinga achine (Scopoli, 1763)</v>
      </c>
      <c r="F17317" s="5" t="s">
        <v>20941</v>
      </c>
      <c r="I17317" s="4" t="str">
        <f>HYPERLINK("#Réglementation!A"&amp;_xlfn.XMATCH("IBE2",Réglementation!A:A,2,1),"IBE2")</f>
        <v>IBE2</v>
      </c>
      <c r="K17317" s="4" t="str">
        <f>HYPERLINK("#Réglementation!A"&amp;_xlfn.XMATCH("CDH4",Réglementation!A:A,2,1),"CDH4")</f>
        <v>CDH4</v>
      </c>
      <c r="L17317" s="4" t="str">
        <f>HYPERLINK("#Réglementation!A"&amp;_xlfn.XMATCH("NI2",Réglementation!A:A,2,1),"NI2")</f>
        <v>NI2</v>
      </c>
      <c r="P17317" s="7" t="str">
        <f>HYPERLINK("#Liste_rouge!A"&amp;_xlfn.XMATCH("VU",Liste_rouge!A:A,2,1),"VU")</f>
        <v>VU</v>
      </c>
      <c r="Q17317" s="7" t="str">
        <f>HYPERLINK("#Liste_rouge!A"&amp;_xlfn.XMATCH("NT",Liste_rouge!A:A,2,1),"NT")</f>
        <v>NT</v>
      </c>
      <c r="T17317" s="7" t="str">
        <f>HYPERLINK("#Liste_rouge!A"&amp;_xlfn.XMATCH("NT",Liste_rouge!A:A,2,1),"NT")</f>
        <v>NT</v>
      </c>
      <c r="U17317" s="4" t="str">
        <f>HYPERLINK("#Critères_liste_rouge!A$1","pr. B2b(iii)")</f>
        <v>pr. B2b(iii)</v>
      </c>
      <c r="V17317" s="7" t="str">
        <f>HYPERLINK("#Liste_rouge!A"&amp;_xlfn.XMATCH("VU",Liste_rouge!A:A,2,1),"VU")</f>
        <v>VU</v>
      </c>
      <c r="W17317" s="4" t="str">
        <f>HYPERLINK("#Critères_liste_rouge!A$1","A2c")</f>
        <v>A2c</v>
      </c>
      <c r="X17317" s="5" t="s">
        <v>374</v>
      </c>
      <c r="AE17317" s="4" t="str">
        <f>HYPERLINK("#SCAP!A"&amp;_xlfn.XMATCH("1-",SCAP!A:A,2,1),"1-")</f>
        <v>1-</v>
      </c>
      <c r="AF17317" s="4" t="str">
        <f>HYPERLINK("#SCAP!A"&amp;_xlfn.XMATCH("2+",SCAP!A:A,2,1),"2+")</f>
        <v>2+</v>
      </c>
      <c r="AG17317" s="4" t="str">
        <f>HYPERLINK("#SCAP!A"&amp;_xlfn.XMATCH("1+",SCAP!A:A,2,1),"1+")</f>
        <v>1+</v>
      </c>
      <c r="AH17317" s="4" t="str">
        <f>HYPERLINK("#Statut_biogéographique!A"&amp;_xlfn.XMATCH("P",Statut_biogéographique!A:A,2,1),"P")</f>
        <v>P</v>
      </c>
      <c r="AI17317" s="8" t="s">
        <v>20942</v>
      </c>
      <c r="AJ17317" s="4" t="s">
        <v>12803</v>
      </c>
      <c r="AM17317" s="4" t="s">
        <v>375</v>
      </c>
      <c r="AN17317" s="4" t="s">
        <v>375</v>
      </c>
      <c r="AO17317" s="4" t="s">
        <v>375</v>
      </c>
      <c r="AP17317" s="4" t="s">
        <v>376</v>
      </c>
      <c r="AR17317" s="4" t="s">
        <v>377</v>
      </c>
    </row>
    <row r="17318" spans="1:44" ht="30">
      <c r="A17318" s="4" t="s">
        <v>10753</v>
      </c>
      <c r="B17318" s="4">
        <v>53623</v>
      </c>
      <c r="D17318" s="5" t="s">
        <v>20943</v>
      </c>
      <c r="E17318" s="6" t="str">
        <f>HYPERLINK("https://inpn.mnhn.fr/espece/cd_nom/53623","Coenonympha pamphilus (Linnaeus, 1758)")</f>
        <v>Coenonympha pamphilus (Linnaeus, 1758)</v>
      </c>
      <c r="F17318" s="5" t="s">
        <v>20944</v>
      </c>
      <c r="P17318" s="7" t="str">
        <f>HYPERLINK("#Liste_rouge!A"&amp;_xlfn.XMATCH("LC",Liste_rouge!A:A,2,1),"LC")</f>
        <v>LC</v>
      </c>
      <c r="Q17318" s="7" t="str">
        <f>HYPERLINK("#Liste_rouge!A"&amp;_xlfn.XMATCH("LC",Liste_rouge!A:A,2,1),"LC")</f>
        <v>LC</v>
      </c>
      <c r="T17318" s="7" t="str">
        <f>HYPERLINK("#Liste_rouge!A"&amp;_xlfn.XMATCH("LC",Liste_rouge!A:A,2,1),"LC")</f>
        <v>LC</v>
      </c>
      <c r="V17318" s="7" t="str">
        <f>HYPERLINK("#Liste_rouge!A"&amp;_xlfn.XMATCH("LC",Liste_rouge!A:A,2,1),"LC")</f>
        <v>LC</v>
      </c>
      <c r="AH17318" s="4" t="str">
        <f>HYPERLINK("#Statut_biogéographique!A"&amp;_xlfn.XMATCH("P",Statut_biogéographique!A:A,2,1),"P")</f>
        <v>P</v>
      </c>
      <c r="AM17318" s="4" t="s">
        <v>375</v>
      </c>
      <c r="AN17318" s="4" t="s">
        <v>375</v>
      </c>
      <c r="AO17318" s="4" t="s">
        <v>375</v>
      </c>
      <c r="AP17318" s="4" t="s">
        <v>376</v>
      </c>
      <c r="AR17318" s="4" t="s">
        <v>377</v>
      </c>
    </row>
    <row r="17319" spans="1:44" ht="45">
      <c r="A17319" s="4" t="s">
        <v>10753</v>
      </c>
      <c r="B17319" s="4">
        <v>53631</v>
      </c>
      <c r="D17319" s="5" t="s">
        <v>20945</v>
      </c>
      <c r="E17319" s="6" t="str">
        <f>HYPERLINK("https://inpn.mnhn.fr/espece/cd_nom/53631","Coenonympha tullia (O.F. Müller, 1764)")</f>
        <v>Coenonympha tullia (O.F. Müller, 1764)</v>
      </c>
      <c r="F17319" s="5" t="s">
        <v>20946</v>
      </c>
      <c r="L17319" s="4" t="str">
        <f>HYPERLINK("#Réglementation!A"&amp;_xlfn.XMATCH("NI3",Réglementation!A:A,2,1),"NI3")</f>
        <v>NI3</v>
      </c>
      <c r="P17319" s="7" t="str">
        <f>HYPERLINK("#Liste_rouge!A"&amp;_xlfn.XMATCH("VU",Liste_rouge!A:A,2,1),"VU")</f>
        <v>VU</v>
      </c>
      <c r="Q17319" s="7" t="str">
        <f>HYPERLINK("#Liste_rouge!A"&amp;_xlfn.XMATCH("EN",Liste_rouge!A:A,2,1),"EN")</f>
        <v>EN</v>
      </c>
      <c r="T17319" s="7" t="str">
        <f>HYPERLINK("#Liste_rouge!A"&amp;_xlfn.XMATCH("RE",Liste_rouge!A:A,2,1),"RE")</f>
        <v>RE</v>
      </c>
      <c r="V17319" s="7" t="str">
        <f>HYPERLINK("#Liste_rouge!A"&amp;_xlfn.XMATCH("EN",Liste_rouge!A:A,2,1),"EN")</f>
        <v>EN</v>
      </c>
      <c r="W17319" s="4" t="str">
        <f>HYPERLINK("#Critères_liste_rouge!A$1","A2acB2ab(i,ii,iii,iv)")</f>
        <v>A2acB2ab(i,ii,iii,iv)</v>
      </c>
      <c r="X17319" s="5" t="s">
        <v>374</v>
      </c>
      <c r="AD17319" s="4" t="s">
        <v>20947</v>
      </c>
      <c r="AE17319" s="4" t="str">
        <f>HYPERLINK("#SCAP!A"&amp;_xlfn.XMATCH("1+",SCAP!A:A,2,1),"1+")</f>
        <v>1+</v>
      </c>
      <c r="AF17319" s="4" t="str">
        <f>HYPERLINK("#SCAP!A"&amp;_xlfn.XMATCH("1+",SCAP!A:A,2,1),"1+")</f>
        <v>1+</v>
      </c>
      <c r="AG17319" s="4" t="str">
        <f>HYPERLINK("#SCAP!A"&amp;_xlfn.XMATCH("1+",SCAP!A:A,2,1),"1+")</f>
        <v>1+</v>
      </c>
      <c r="AH17319" s="4" t="str">
        <f>HYPERLINK("#Statut_biogéographique!A"&amp;_xlfn.XMATCH("P",Statut_biogéographique!A:A,2,1),"P")</f>
        <v>P</v>
      </c>
      <c r="AI17319" s="8" t="s">
        <v>20948</v>
      </c>
      <c r="AJ17319" s="4" t="s">
        <v>12803</v>
      </c>
      <c r="AM17319" s="4" t="s">
        <v>375</v>
      </c>
      <c r="AN17319" s="4" t="s">
        <v>382</v>
      </c>
      <c r="AO17319" s="4" t="s">
        <v>382</v>
      </c>
      <c r="AP17319" s="4" t="s">
        <v>389</v>
      </c>
      <c r="AR17319" s="4" t="s">
        <v>377</v>
      </c>
    </row>
    <row r="17320" spans="1:44" ht="30">
      <c r="A17320" s="4" t="s">
        <v>10753</v>
      </c>
      <c r="B17320" s="4">
        <v>53651</v>
      </c>
      <c r="D17320" s="5" t="s">
        <v>20949</v>
      </c>
      <c r="E17320" s="6" t="str">
        <f>HYPERLINK("https://inpn.mnhn.fr/espece/cd_nom/53651","Coenonympha hero (Linnaeus, 1761)")</f>
        <v>Coenonympha hero (Linnaeus, 1761)</v>
      </c>
      <c r="F17320" s="5" t="s">
        <v>20950</v>
      </c>
      <c r="I17320" s="4" t="str">
        <f>HYPERLINK("#Réglementation!A"&amp;_xlfn.XMATCH("IBE2",Réglementation!A:A,2,1),"IBE2")</f>
        <v>IBE2</v>
      </c>
      <c r="K17320" s="4" t="str">
        <f>HYPERLINK("#Réglementation!A"&amp;_xlfn.XMATCH("CDH4",Réglementation!A:A,2,1),"CDH4")</f>
        <v>CDH4</v>
      </c>
      <c r="L17320" s="4" t="str">
        <f>HYPERLINK("#Réglementation!A"&amp;_xlfn.XMATCH("NI2",Réglementation!A:A,2,1),"NI2")</f>
        <v>NI2</v>
      </c>
      <c r="P17320" s="7" t="str">
        <f>HYPERLINK("#Liste_rouge!A"&amp;_xlfn.XMATCH("VU",Liste_rouge!A:A,2,1),"VU")</f>
        <v>VU</v>
      </c>
      <c r="Q17320" s="7" t="str">
        <f>HYPERLINK("#Liste_rouge!A"&amp;_xlfn.XMATCH("CR",Liste_rouge!A:A,2,1),"CR")</f>
        <v>CR</v>
      </c>
      <c r="T17320" s="7" t="str">
        <f>HYPERLINK("#Liste_rouge!A"&amp;_xlfn.XMATCH("RE",Liste_rouge!A:A,2,1),"RE")</f>
        <v>RE</v>
      </c>
      <c r="V17320" s="7" t="str">
        <f>HYPERLINK("#Liste_rouge!A"&amp;_xlfn.XMATCH("CR",Liste_rouge!A:A,2,1),"CR")</f>
        <v>CR</v>
      </c>
      <c r="W17320" s="4" t="str">
        <f>HYPERLINK("#Critères_liste_rouge!A$1","A2acB2ab(i,ii,iii,iv)")</f>
        <v>A2acB2ab(i,ii,iii,iv)</v>
      </c>
      <c r="X17320" s="5" t="s">
        <v>374</v>
      </c>
      <c r="AD17320" s="4" t="s">
        <v>11319</v>
      </c>
      <c r="AE17320" s="4" t="str">
        <f>HYPERLINK("#SCAP!A"&amp;_xlfn.XMATCH("1+",SCAP!A:A,2,1),"1+")</f>
        <v>1+</v>
      </c>
      <c r="AG17320" s="4" t="str">
        <f>HYPERLINK("#SCAP!A"&amp;_xlfn.XMATCH("1+",SCAP!A:A,2,1),"1+")</f>
        <v>1+</v>
      </c>
      <c r="AH17320" s="4" t="str">
        <f>HYPERLINK("#Statut_biogéographique!A"&amp;_xlfn.XMATCH("P",Statut_biogéographique!A:A,2,1),"P")</f>
        <v>P</v>
      </c>
      <c r="AI17320" s="8" t="s">
        <v>20951</v>
      </c>
      <c r="AJ17320" s="4" t="s">
        <v>12803</v>
      </c>
      <c r="AM17320" s="4" t="s">
        <v>382</v>
      </c>
      <c r="AN17320" s="4" t="s">
        <v>382</v>
      </c>
      <c r="AO17320" s="4" t="s">
        <v>382</v>
      </c>
      <c r="AP17320" s="4" t="s">
        <v>389</v>
      </c>
      <c r="AR17320" s="4" t="s">
        <v>377</v>
      </c>
    </row>
    <row r="17321" spans="1:44" ht="45">
      <c r="A17321" s="4" t="s">
        <v>10753</v>
      </c>
      <c r="B17321" s="4">
        <v>53661</v>
      </c>
      <c r="D17321" s="5" t="s">
        <v>20952</v>
      </c>
      <c r="E17321" s="6" t="str">
        <f>HYPERLINK("https://inpn.mnhn.fr/espece/cd_nom/53661","Coenonympha arcania (Linnaeus, 1761)")</f>
        <v>Coenonympha arcania (Linnaeus, 1761)</v>
      </c>
      <c r="F17321" s="5" t="s">
        <v>20953</v>
      </c>
      <c r="P17321" s="7" t="str">
        <f>HYPERLINK("#Liste_rouge!A"&amp;_xlfn.XMATCH("LC",Liste_rouge!A:A,2,1),"LC")</f>
        <v>LC</v>
      </c>
      <c r="Q17321" s="7" t="str">
        <f>HYPERLINK("#Liste_rouge!A"&amp;_xlfn.XMATCH("LC",Liste_rouge!A:A,2,1),"LC")</f>
        <v>LC</v>
      </c>
      <c r="T17321" s="7" t="str">
        <f>HYPERLINK("#Liste_rouge!A"&amp;_xlfn.XMATCH("LC",Liste_rouge!A:A,2,1),"LC")</f>
        <v>LC</v>
      </c>
      <c r="V17321" s="7" t="str">
        <f>HYPERLINK("#Liste_rouge!A"&amp;_xlfn.XMATCH("LC",Liste_rouge!A:A,2,1),"LC")</f>
        <v>LC</v>
      </c>
      <c r="AH17321" s="4" t="str">
        <f>HYPERLINK("#Statut_biogéographique!A"&amp;_xlfn.XMATCH("P",Statut_biogéographique!A:A,2,1),"P")</f>
        <v>P</v>
      </c>
      <c r="AM17321" s="4" t="s">
        <v>375</v>
      </c>
      <c r="AN17321" s="4" t="s">
        <v>375</v>
      </c>
      <c r="AO17321" s="4" t="s">
        <v>375</v>
      </c>
      <c r="AP17321" s="4" t="s">
        <v>376</v>
      </c>
      <c r="AR17321" s="4" t="s">
        <v>377</v>
      </c>
    </row>
    <row r="17322" spans="1:44" ht="45">
      <c r="A17322" s="4" t="s">
        <v>10753</v>
      </c>
      <c r="B17322" s="4">
        <v>53663</v>
      </c>
      <c r="D17322" s="5" t="s">
        <v>20954</v>
      </c>
      <c r="E17322" s="6" t="str">
        <f>HYPERLINK("https://inpn.mnhn.fr/espece/cd_nom/53663","Coenonympha glycerion (Borkhausen, 1788)")</f>
        <v>Coenonympha glycerion (Borkhausen, 1788)</v>
      </c>
      <c r="F17322" s="5" t="s">
        <v>20955</v>
      </c>
      <c r="P17322" s="7" t="str">
        <f>HYPERLINK("#Liste_rouge!A"&amp;_xlfn.XMATCH("LC",Liste_rouge!A:A,2,1),"LC")</f>
        <v>LC</v>
      </c>
      <c r="Q17322" s="7" t="str">
        <f>HYPERLINK("#Liste_rouge!A"&amp;_xlfn.XMATCH("LC",Liste_rouge!A:A,2,1),"LC")</f>
        <v>LC</v>
      </c>
      <c r="T17322" s="7" t="str">
        <f>HYPERLINK("#Liste_rouge!A"&amp;_xlfn.XMATCH("VU",Liste_rouge!A:A,2,1),"VU")</f>
        <v>VU</v>
      </c>
      <c r="U17322" s="4" t="str">
        <f>HYPERLINK("#Critères_liste_rouge!A$1","A2c")</f>
        <v>A2c</v>
      </c>
      <c r="V17322" s="7" t="str">
        <f>HYPERLINK("#Liste_rouge!A"&amp;_xlfn.XMATCH("NT",Liste_rouge!A:A,2,1),"NT")</f>
        <v>NT</v>
      </c>
      <c r="W17322" s="4" t="str">
        <f>HYPERLINK("#Critères_liste_rouge!A$1","pr.A3c")</f>
        <v>pr.A3c</v>
      </c>
      <c r="X17322" s="5" t="s">
        <v>12755</v>
      </c>
      <c r="Y17322" s="5" t="s">
        <v>12756</v>
      </c>
      <c r="AH17322" s="4" t="str">
        <f>HYPERLINK("#Statut_biogéographique!A"&amp;_xlfn.XMATCH("P",Statut_biogéographique!A:A,2,1),"P")</f>
        <v>P</v>
      </c>
      <c r="AM17322" s="4" t="s">
        <v>375</v>
      </c>
      <c r="AN17322" s="4" t="s">
        <v>375</v>
      </c>
      <c r="AO17322" s="4" t="s">
        <v>375</v>
      </c>
      <c r="AP17322" s="4" t="s">
        <v>376</v>
      </c>
      <c r="AR17322" s="4" t="s">
        <v>377</v>
      </c>
    </row>
    <row r="17323" spans="1:44" ht="30">
      <c r="A17323" s="4" t="s">
        <v>10753</v>
      </c>
      <c r="B17323" s="4">
        <v>53665</v>
      </c>
      <c r="D17323" s="5">
        <v>53665</v>
      </c>
      <c r="E17323" s="6" t="str">
        <f>HYPERLINK("https://inpn.mnhn.fr/espece/cd_nom/53665","Coenonympha glycerion glycerion (Borkhausen, 1788)")</f>
        <v>Coenonympha glycerion glycerion (Borkhausen, 1788)</v>
      </c>
      <c r="AH17323" s="4" t="str">
        <f>HYPERLINK("#Statut_biogéographique!A"&amp;_xlfn.XMATCH("P",Statut_biogéographique!A:A,2,1),"P")</f>
        <v>P</v>
      </c>
      <c r="AP17323" s="4" t="s">
        <v>376</v>
      </c>
      <c r="AR17323" s="4" t="s">
        <v>377</v>
      </c>
    </row>
    <row r="17324" spans="1:44" ht="30">
      <c r="A17324" s="4" t="s">
        <v>10753</v>
      </c>
      <c r="B17324" s="4">
        <v>53668</v>
      </c>
      <c r="D17324" s="5" t="s">
        <v>20956</v>
      </c>
      <c r="E17324" s="6" t="str">
        <f>HYPERLINK("https://inpn.mnhn.fr/espece/cd_nom/53668","Maniola jurtina (Linnaeus, 1758)")</f>
        <v>Maniola jurtina (Linnaeus, 1758)</v>
      </c>
      <c r="F17324" s="5" t="s">
        <v>20957</v>
      </c>
      <c r="P17324" s="7" t="str">
        <f>HYPERLINK("#Liste_rouge!A"&amp;_xlfn.XMATCH("LC",Liste_rouge!A:A,2,1),"LC")</f>
        <v>LC</v>
      </c>
      <c r="Q17324" s="7" t="str">
        <f>HYPERLINK("#Liste_rouge!A"&amp;_xlfn.XMATCH("LC",Liste_rouge!A:A,2,1),"LC")</f>
        <v>LC</v>
      </c>
      <c r="T17324" s="7" t="str">
        <f>HYPERLINK("#Liste_rouge!A"&amp;_xlfn.XMATCH("LC",Liste_rouge!A:A,2,1),"LC")</f>
        <v>LC</v>
      </c>
      <c r="V17324" s="7" t="str">
        <f>HYPERLINK("#Liste_rouge!A"&amp;_xlfn.XMATCH("LC",Liste_rouge!A:A,2,1),"LC")</f>
        <v>LC</v>
      </c>
      <c r="AH17324" s="4" t="str">
        <f>HYPERLINK("#Statut_biogéographique!A"&amp;_xlfn.XMATCH("P",Statut_biogéographique!A:A,2,1),"P")</f>
        <v>P</v>
      </c>
      <c r="AM17324" s="4" t="s">
        <v>375</v>
      </c>
      <c r="AN17324" s="4" t="s">
        <v>375</v>
      </c>
      <c r="AO17324" s="4" t="s">
        <v>375</v>
      </c>
      <c r="AP17324" s="4" t="s">
        <v>376</v>
      </c>
      <c r="AR17324" s="4" t="s">
        <v>377</v>
      </c>
    </row>
    <row r="17325" spans="1:44" ht="30">
      <c r="A17325" s="4" t="s">
        <v>10753</v>
      </c>
      <c r="B17325" s="4">
        <v>53670</v>
      </c>
      <c r="D17325" s="5" t="s">
        <v>20958</v>
      </c>
      <c r="E17325" s="6" t="str">
        <f>HYPERLINK("https://inpn.mnhn.fr/espece/cd_nom/53670","Maniola jurtina jurtina (Linnaeus, 1758)")</f>
        <v>Maniola jurtina jurtina (Linnaeus, 1758)</v>
      </c>
      <c r="AH17325" s="4" t="str">
        <f>HYPERLINK("#Statut_biogéographique!A"&amp;_xlfn.XMATCH("P",Statut_biogéographique!A:A,2,1),"P")</f>
        <v>P</v>
      </c>
      <c r="AP17325" s="4" t="s">
        <v>376</v>
      </c>
      <c r="AR17325" s="4" t="s">
        <v>377</v>
      </c>
    </row>
    <row r="17326" spans="1:44" ht="60">
      <c r="A17326" s="4" t="s">
        <v>10753</v>
      </c>
      <c r="B17326" s="4">
        <v>53700</v>
      </c>
      <c r="D17326" s="5" t="s">
        <v>20959</v>
      </c>
      <c r="E17326" s="6" t="str">
        <f>HYPERLINK("https://inpn.mnhn.fr/espece/cd_nom/53700","Melanargia galathea (Linnaeus, 1758)")</f>
        <v>Melanargia galathea (Linnaeus, 1758)</v>
      </c>
      <c r="F17326" s="5" t="s">
        <v>20960</v>
      </c>
      <c r="P17326" s="7" t="str">
        <f>HYPERLINK("#Liste_rouge!A"&amp;_xlfn.XMATCH("LC",Liste_rouge!A:A,2,1),"LC")</f>
        <v>LC</v>
      </c>
      <c r="Q17326" s="7" t="str">
        <f>HYPERLINK("#Liste_rouge!A"&amp;_xlfn.XMATCH("LC",Liste_rouge!A:A,2,1),"LC")</f>
        <v>LC</v>
      </c>
      <c r="T17326" s="7" t="str">
        <f>HYPERLINK("#Liste_rouge!A"&amp;_xlfn.XMATCH("LC",Liste_rouge!A:A,2,1),"LC")</f>
        <v>LC</v>
      </c>
      <c r="V17326" s="7" t="str">
        <f>HYPERLINK("#Liste_rouge!A"&amp;_xlfn.XMATCH("LC",Liste_rouge!A:A,2,1),"LC")</f>
        <v>LC</v>
      </c>
      <c r="AH17326" s="4" t="str">
        <f>HYPERLINK("#Statut_biogéographique!A"&amp;_xlfn.XMATCH("P",Statut_biogéographique!A:A,2,1),"P")</f>
        <v>P</v>
      </c>
      <c r="AM17326" s="4" t="s">
        <v>375</v>
      </c>
      <c r="AN17326" s="4" t="s">
        <v>375</v>
      </c>
      <c r="AO17326" s="4" t="s">
        <v>375</v>
      </c>
      <c r="AP17326" s="4" t="s">
        <v>376</v>
      </c>
      <c r="AR17326" s="4" t="s">
        <v>377</v>
      </c>
    </row>
    <row r="17327" spans="1:44" ht="30">
      <c r="A17327" s="4" t="s">
        <v>10753</v>
      </c>
      <c r="B17327" s="4">
        <v>53724</v>
      </c>
      <c r="D17327" s="5" t="s">
        <v>20961</v>
      </c>
      <c r="E17327" s="6" t="str">
        <f>HYPERLINK("https://inpn.mnhn.fr/espece/cd_nom/53724","Araschnia levana (Linnaeus, 1758)")</f>
        <v>Araschnia levana (Linnaeus, 1758)</v>
      </c>
      <c r="F17327" s="5" t="s">
        <v>20962</v>
      </c>
      <c r="P17327" s="7" t="str">
        <f>HYPERLINK("#Liste_rouge!A"&amp;_xlfn.XMATCH("LC",Liste_rouge!A:A,2,1),"LC")</f>
        <v>LC</v>
      </c>
      <c r="Q17327" s="7" t="str">
        <f>HYPERLINK("#Liste_rouge!A"&amp;_xlfn.XMATCH("LC",Liste_rouge!A:A,2,1),"LC")</f>
        <v>LC</v>
      </c>
      <c r="T17327" s="7" t="str">
        <f>HYPERLINK("#Liste_rouge!A"&amp;_xlfn.XMATCH("LC",Liste_rouge!A:A,2,1),"LC")</f>
        <v>LC</v>
      </c>
      <c r="V17327" s="7" t="str">
        <f>HYPERLINK("#Liste_rouge!A"&amp;_xlfn.XMATCH("LC",Liste_rouge!A:A,2,1),"LC")</f>
        <v>LC</v>
      </c>
      <c r="AH17327" s="4" t="str">
        <f>HYPERLINK("#Statut_biogéographique!A"&amp;_xlfn.XMATCH("P",Statut_biogéographique!A:A,2,1),"P")</f>
        <v>P</v>
      </c>
      <c r="AM17327" s="4" t="s">
        <v>375</v>
      </c>
      <c r="AN17327" s="4" t="s">
        <v>375</v>
      </c>
      <c r="AO17327" s="4" t="s">
        <v>375</v>
      </c>
      <c r="AP17327" s="4" t="s">
        <v>376</v>
      </c>
      <c r="AR17327" s="4" t="s">
        <v>377</v>
      </c>
    </row>
    <row r="17328" spans="1:44" ht="30">
      <c r="A17328" s="4" t="s">
        <v>10753</v>
      </c>
      <c r="B17328" s="4">
        <v>53727</v>
      </c>
      <c r="D17328" s="5" t="s">
        <v>20963</v>
      </c>
      <c r="E17328" s="6" t="str">
        <f>HYPERLINK("https://inpn.mnhn.fr/espece/cd_nom/53727","Nymphalis polychloros (Linnaeus, 1758)")</f>
        <v>Nymphalis polychloros (Linnaeus, 1758)</v>
      </c>
      <c r="F17328" s="5" t="s">
        <v>20964</v>
      </c>
      <c r="P17328" s="7" t="str">
        <f>HYPERLINK("#Liste_rouge!A"&amp;_xlfn.XMATCH("LC",Liste_rouge!A:A,2,1),"LC")</f>
        <v>LC</v>
      </c>
      <c r="Q17328" s="7" t="str">
        <f>HYPERLINK("#Liste_rouge!A"&amp;_xlfn.XMATCH("LC",Liste_rouge!A:A,2,1),"LC")</f>
        <v>LC</v>
      </c>
      <c r="T17328" s="7" t="str">
        <f>HYPERLINK("#Liste_rouge!A"&amp;_xlfn.XMATCH("LC",Liste_rouge!A:A,2,1),"LC")</f>
        <v>LC</v>
      </c>
      <c r="V17328" s="7" t="str">
        <f>HYPERLINK("#Liste_rouge!A"&amp;_xlfn.XMATCH("LC",Liste_rouge!A:A,2,1),"LC")</f>
        <v>LC</v>
      </c>
      <c r="AH17328" s="4" t="str">
        <f>HYPERLINK("#Statut_biogéographique!A"&amp;_xlfn.XMATCH("P",Statut_biogéographique!A:A,2,1),"P")</f>
        <v>P</v>
      </c>
      <c r="AM17328" s="4" t="s">
        <v>375</v>
      </c>
      <c r="AN17328" s="4" t="s">
        <v>375</v>
      </c>
      <c r="AO17328" s="4" t="s">
        <v>375</v>
      </c>
      <c r="AP17328" s="4" t="s">
        <v>376</v>
      </c>
      <c r="AR17328" s="4" t="s">
        <v>377</v>
      </c>
    </row>
    <row r="17329" spans="1:44" ht="30">
      <c r="A17329" s="4" t="s">
        <v>10753</v>
      </c>
      <c r="B17329" s="4">
        <v>53733</v>
      </c>
      <c r="D17329" s="5" t="s">
        <v>20965</v>
      </c>
      <c r="E17329" s="6" t="str">
        <f>HYPERLINK("https://inpn.mnhn.fr/espece/cd_nom/53733","Nymphalis antiopa (Linnaeus, 1758)")</f>
        <v>Nymphalis antiopa (Linnaeus, 1758)</v>
      </c>
      <c r="F17329" s="5" t="s">
        <v>20966</v>
      </c>
      <c r="O17329" s="7" t="str">
        <f>HYPERLINK("#Liste_rouge!A"&amp;_xlfn.XMATCH("LC",Liste_rouge!A:A,2,1),"LC")</f>
        <v>LC</v>
      </c>
      <c r="P17329" s="7" t="str">
        <f>HYPERLINK("#Liste_rouge!A"&amp;_xlfn.XMATCH("LC",Liste_rouge!A:A,2,1),"LC")</f>
        <v>LC</v>
      </c>
      <c r="Q17329" s="7" t="str">
        <f>HYPERLINK("#Liste_rouge!A"&amp;_xlfn.XMATCH("LC",Liste_rouge!A:A,2,1),"LC")</f>
        <v>LC</v>
      </c>
      <c r="T17329" s="7" t="str">
        <f>HYPERLINK("#Liste_rouge!A"&amp;_xlfn.XMATCH("EN",Liste_rouge!A:A,2,1),"EN")</f>
        <v>EN</v>
      </c>
      <c r="U17329" s="4" t="str">
        <f>HYPERLINK("#Critères_liste_rouge!A$1","A2c B2ab(ii)")</f>
        <v>A2c B2ab(ii)</v>
      </c>
      <c r="V17329" s="7" t="str">
        <f>HYPERLINK("#Liste_rouge!A"&amp;_xlfn.XMATCH("NT",Liste_rouge!A:A,2,1),"NT")</f>
        <v>NT</v>
      </c>
      <c r="W17329" s="4" t="str">
        <f>HYPERLINK("#Critères_liste_rouge!A$1","pr.A2c")</f>
        <v>pr.A2c</v>
      </c>
      <c r="AH17329" s="4" t="str">
        <f>HYPERLINK("#Statut_biogéographique!A"&amp;_xlfn.XMATCH("P",Statut_biogéographique!A:A,2,1),"P")</f>
        <v>P</v>
      </c>
      <c r="AM17329" s="4" t="s">
        <v>375</v>
      </c>
      <c r="AN17329" s="4" t="s">
        <v>375</v>
      </c>
      <c r="AO17329" s="4" t="s">
        <v>375</v>
      </c>
      <c r="AP17329" s="4" t="s">
        <v>376</v>
      </c>
      <c r="AR17329" s="4" t="s">
        <v>377</v>
      </c>
    </row>
    <row r="17330" spans="1:44" ht="30">
      <c r="A17330" s="4" t="s">
        <v>10753</v>
      </c>
      <c r="B17330" s="4">
        <v>53741</v>
      </c>
      <c r="D17330" s="5" t="s">
        <v>20967</v>
      </c>
      <c r="E17330" s="6" t="str">
        <f>HYPERLINK("https://inpn.mnhn.fr/espece/cd_nom/53741","Vanessa atalanta (Linnaeus, 1758)")</f>
        <v>Vanessa atalanta (Linnaeus, 1758)</v>
      </c>
      <c r="F17330" s="5" t="s">
        <v>20968</v>
      </c>
      <c r="O17330" s="7" t="str">
        <f>HYPERLINK("#Liste_rouge!A"&amp;_xlfn.XMATCH("LC",Liste_rouge!A:A,2,1),"LC")</f>
        <v>LC</v>
      </c>
      <c r="P17330" s="7" t="str">
        <f>HYPERLINK("#Liste_rouge!A"&amp;_xlfn.XMATCH("LC",Liste_rouge!A:A,2,1),"LC")</f>
        <v>LC</v>
      </c>
      <c r="Q17330" s="7" t="str">
        <f>HYPERLINK("#Liste_rouge!A"&amp;_xlfn.XMATCH("LC",Liste_rouge!A:A,2,1),"LC")</f>
        <v>LC</v>
      </c>
      <c r="T17330" s="7" t="str">
        <f>HYPERLINK("#Liste_rouge!A"&amp;_xlfn.XMATCH("LC",Liste_rouge!A:A,2,1),"LC")</f>
        <v>LC</v>
      </c>
      <c r="V17330" s="7" t="str">
        <f>HYPERLINK("#Liste_rouge!A"&amp;_xlfn.XMATCH("LC",Liste_rouge!A:A,2,1),"LC")</f>
        <v>LC</v>
      </c>
      <c r="AH17330" s="4" t="str">
        <f>HYPERLINK("#Statut_biogéographique!A"&amp;_xlfn.XMATCH("P",Statut_biogéographique!A:A,2,1),"P")</f>
        <v>P</v>
      </c>
      <c r="AM17330" s="4" t="s">
        <v>375</v>
      </c>
      <c r="AN17330" s="4" t="s">
        <v>375</v>
      </c>
      <c r="AO17330" s="4" t="s">
        <v>375</v>
      </c>
      <c r="AP17330" s="4" t="s">
        <v>376</v>
      </c>
      <c r="AR17330" s="4" t="s">
        <v>377</v>
      </c>
    </row>
    <row r="17331" spans="1:44" ht="45">
      <c r="A17331" s="4" t="s">
        <v>10753</v>
      </c>
      <c r="B17331" s="4">
        <v>53747</v>
      </c>
      <c r="D17331" s="5" t="s">
        <v>20969</v>
      </c>
      <c r="E17331" s="6" t="str">
        <f>HYPERLINK("https://inpn.mnhn.fr/espece/cd_nom/53747","Vanessa cardui (Linnaeus, 1758)")</f>
        <v>Vanessa cardui (Linnaeus, 1758)</v>
      </c>
      <c r="F17331" s="5" t="s">
        <v>20970</v>
      </c>
      <c r="O17331" s="7" t="str">
        <f>HYPERLINK("#Liste_rouge!A"&amp;_xlfn.XMATCH("LC",Liste_rouge!A:A,2,1),"LC")</f>
        <v>LC</v>
      </c>
      <c r="P17331" s="7" t="str">
        <f>HYPERLINK("#Liste_rouge!A"&amp;_xlfn.XMATCH("LC",Liste_rouge!A:A,2,1),"LC")</f>
        <v>LC</v>
      </c>
      <c r="Q17331" s="7" t="str">
        <f>HYPERLINK("#Liste_rouge!A"&amp;_xlfn.XMATCH("LC",Liste_rouge!A:A,2,1),"LC")</f>
        <v>LC</v>
      </c>
      <c r="T17331" s="7" t="str">
        <f>HYPERLINK("#Liste_rouge!A"&amp;_xlfn.XMATCH("LC",Liste_rouge!A:A,2,1),"LC")</f>
        <v>LC</v>
      </c>
      <c r="V17331" s="7" t="str">
        <f>HYPERLINK("#Liste_rouge!A"&amp;_xlfn.XMATCH("LC",Liste_rouge!A:A,2,1),"LC")</f>
        <v>LC</v>
      </c>
      <c r="AH17331" s="4" t="str">
        <f>HYPERLINK("#Statut_biogéographique!A"&amp;_xlfn.XMATCH("P",Statut_biogéographique!A:A,2,1),"P")</f>
        <v>P</v>
      </c>
      <c r="AM17331" s="4" t="s">
        <v>375</v>
      </c>
      <c r="AN17331" s="4" t="s">
        <v>375</v>
      </c>
      <c r="AO17331" s="4" t="s">
        <v>375</v>
      </c>
      <c r="AP17331" s="4" t="s">
        <v>376</v>
      </c>
      <c r="AR17331" s="4" t="s">
        <v>377</v>
      </c>
    </row>
    <row r="17332" spans="1:44" ht="30">
      <c r="A17332" s="4" t="s">
        <v>10753</v>
      </c>
      <c r="B17332" s="4">
        <v>53754</v>
      </c>
      <c r="D17332" s="5" t="s">
        <v>20971</v>
      </c>
      <c r="E17332" s="6" t="str">
        <f>HYPERLINK("https://inpn.mnhn.fr/espece/cd_nom/53754","Aglais urticae (Linnaeus, 1758)")</f>
        <v>Aglais urticae (Linnaeus, 1758)</v>
      </c>
      <c r="F17332" s="5" t="s">
        <v>20972</v>
      </c>
      <c r="P17332" s="7" t="str">
        <f>HYPERLINK("#Liste_rouge!A"&amp;_xlfn.XMATCH("LC",Liste_rouge!A:A,2,1),"LC")</f>
        <v>LC</v>
      </c>
      <c r="Q17332" s="7" t="str">
        <f>HYPERLINK("#Liste_rouge!A"&amp;_xlfn.XMATCH("LC",Liste_rouge!A:A,2,1),"LC")</f>
        <v>LC</v>
      </c>
      <c r="T17332" s="7" t="str">
        <f>HYPERLINK("#Liste_rouge!A"&amp;_xlfn.XMATCH("LC",Liste_rouge!A:A,2,1),"LC")</f>
        <v>LC</v>
      </c>
      <c r="V17332" s="7" t="str">
        <f>HYPERLINK("#Liste_rouge!A"&amp;_xlfn.XMATCH("LC",Liste_rouge!A:A,2,1),"LC")</f>
        <v>LC</v>
      </c>
      <c r="AH17332" s="4" t="str">
        <f>HYPERLINK("#Statut_biogéographique!A"&amp;_xlfn.XMATCH("P",Statut_biogéographique!A:A,2,1),"P")</f>
        <v>P</v>
      </c>
      <c r="AM17332" s="4" t="s">
        <v>375</v>
      </c>
      <c r="AN17332" s="4" t="s">
        <v>375</v>
      </c>
      <c r="AO17332" s="4" t="s">
        <v>375</v>
      </c>
      <c r="AP17332" s="4" t="s">
        <v>376</v>
      </c>
      <c r="AR17332" s="4" t="s">
        <v>377</v>
      </c>
    </row>
    <row r="17333" spans="1:44" ht="45">
      <c r="A17333" s="4" t="s">
        <v>10753</v>
      </c>
      <c r="B17333" s="4">
        <v>53759</v>
      </c>
      <c r="D17333" s="5" t="s">
        <v>20973</v>
      </c>
      <c r="E17333" s="6" t="str">
        <f>HYPERLINK("https://inpn.mnhn.fr/espece/cd_nom/53759","Polygonia c-album (Linnaeus, 1758)")</f>
        <v>Polygonia c-album (Linnaeus, 1758)</v>
      </c>
      <c r="F17333" s="5" t="s">
        <v>20974</v>
      </c>
      <c r="P17333" s="7" t="str">
        <f>HYPERLINK("#Liste_rouge!A"&amp;_xlfn.XMATCH("LC",Liste_rouge!A:A,2,1),"LC")</f>
        <v>LC</v>
      </c>
      <c r="Q17333" s="7" t="str">
        <f>HYPERLINK("#Liste_rouge!A"&amp;_xlfn.XMATCH("LC",Liste_rouge!A:A,2,1),"LC")</f>
        <v>LC</v>
      </c>
      <c r="T17333" s="7" t="str">
        <f>HYPERLINK("#Liste_rouge!A"&amp;_xlfn.XMATCH("LC",Liste_rouge!A:A,2,1),"LC")</f>
        <v>LC</v>
      </c>
      <c r="V17333" s="7" t="str">
        <f>HYPERLINK("#Liste_rouge!A"&amp;_xlfn.XMATCH("LC",Liste_rouge!A:A,2,1),"LC")</f>
        <v>LC</v>
      </c>
      <c r="AH17333" s="4" t="str">
        <f>HYPERLINK("#Statut_biogéographique!A"&amp;_xlfn.XMATCH("P",Statut_biogéographique!A:A,2,1),"P")</f>
        <v>P</v>
      </c>
      <c r="AM17333" s="4" t="s">
        <v>375</v>
      </c>
      <c r="AN17333" s="4" t="s">
        <v>375</v>
      </c>
      <c r="AO17333" s="4" t="s">
        <v>375</v>
      </c>
      <c r="AP17333" s="4" t="s">
        <v>376</v>
      </c>
      <c r="AR17333" s="4" t="s">
        <v>377</v>
      </c>
    </row>
    <row r="17334" spans="1:44" ht="30">
      <c r="A17334" s="4" t="s">
        <v>10753</v>
      </c>
      <c r="B17334" s="4">
        <v>53765</v>
      </c>
      <c r="D17334" s="5" t="s">
        <v>20975</v>
      </c>
      <c r="E17334" s="6" t="str">
        <f>HYPERLINK("https://inpn.mnhn.fr/espece/cd_nom/53765","Limenitis populi (Linnaeus, 1758)")</f>
        <v>Limenitis populi (Linnaeus, 1758)</v>
      </c>
      <c r="F17334" s="5" t="s">
        <v>20976</v>
      </c>
      <c r="P17334" s="7" t="str">
        <f>HYPERLINK("#Liste_rouge!A"&amp;_xlfn.XMATCH("LC",Liste_rouge!A:A,2,1),"LC")</f>
        <v>LC</v>
      </c>
      <c r="Q17334" s="7" t="str">
        <f>HYPERLINK("#Liste_rouge!A"&amp;_xlfn.XMATCH("NT",Liste_rouge!A:A,2,1),"NT")</f>
        <v>NT</v>
      </c>
      <c r="T17334" s="7" t="str">
        <f>HYPERLINK("#Liste_rouge!A"&amp;_xlfn.XMATCH("EN",Liste_rouge!A:A,2,1),"EN")</f>
        <v>EN</v>
      </c>
      <c r="U17334" s="4" t="str">
        <f>HYPERLINK("#Critères_liste_rouge!A$1","B2ab(iii)")</f>
        <v>B2ab(iii)</v>
      </c>
      <c r="V17334" s="7" t="str">
        <f>HYPERLINK("#Liste_rouge!A"&amp;_xlfn.XMATCH("VU",Liste_rouge!A:A,2,1),"VU")</f>
        <v>VU</v>
      </c>
      <c r="W17334" s="4" t="str">
        <f>HYPERLINK("#Critères_liste_rouge!A$1","A2c")</f>
        <v>A2c</v>
      </c>
      <c r="X17334" s="5" t="s">
        <v>374</v>
      </c>
      <c r="AE17334" s="4" t="str">
        <f>HYPERLINK("#SCAP!A"&amp;_xlfn.XMATCH("A",SCAP!A:A,2,1),"A")</f>
        <v>A</v>
      </c>
      <c r="AF17334" s="4" t="str">
        <f>HYPERLINK("#SCAP!A"&amp;_xlfn.XMATCH("A",SCAP!A:A,2,1),"A")</f>
        <v>A</v>
      </c>
      <c r="AH17334" s="4" t="str">
        <f>HYPERLINK("#Statut_biogéographique!A"&amp;_xlfn.XMATCH("P",Statut_biogéographique!A:A,2,1),"P")</f>
        <v>P</v>
      </c>
      <c r="AM17334" s="4" t="s">
        <v>375</v>
      </c>
      <c r="AN17334" s="4" t="s">
        <v>375</v>
      </c>
      <c r="AO17334" s="4" t="s">
        <v>375</v>
      </c>
      <c r="AP17334" s="4" t="s">
        <v>376</v>
      </c>
      <c r="AR17334" s="4" t="s">
        <v>377</v>
      </c>
    </row>
    <row r="17335" spans="1:44" ht="45">
      <c r="A17335" s="4" t="s">
        <v>10753</v>
      </c>
      <c r="B17335" s="4">
        <v>53767</v>
      </c>
      <c r="D17335" s="5" t="s">
        <v>20977</v>
      </c>
      <c r="E17335" s="6" t="str">
        <f>HYPERLINK("https://inpn.mnhn.fr/espece/cd_nom/53767","Limenitis reducta Staudinger, 1901")</f>
        <v>Limenitis reducta Staudinger, 1901</v>
      </c>
      <c r="F17335" s="5" t="s">
        <v>20978</v>
      </c>
      <c r="P17335" s="7" t="str">
        <f>HYPERLINK("#Liste_rouge!A"&amp;_xlfn.XMATCH("LC",Liste_rouge!A:A,2,1),"LC")</f>
        <v>LC</v>
      </c>
      <c r="Q17335" s="7" t="str">
        <f>HYPERLINK("#Liste_rouge!A"&amp;_xlfn.XMATCH("LC",Liste_rouge!A:A,2,1),"LC")</f>
        <v>LC</v>
      </c>
      <c r="T17335" s="7" t="str">
        <f>HYPERLINK("#Liste_rouge!A"&amp;_xlfn.XMATCH("NT",Liste_rouge!A:A,2,1),"NT")</f>
        <v>NT</v>
      </c>
      <c r="U17335" s="4" t="str">
        <f>HYPERLINK("#Critères_liste_rouge!A$1","pr. B2(ii)")</f>
        <v>pr. B2(ii)</v>
      </c>
      <c r="V17335" s="7" t="str">
        <f>HYPERLINK("#Liste_rouge!A"&amp;_xlfn.XMATCH("LC",Liste_rouge!A:A,2,1),"LC")</f>
        <v>LC</v>
      </c>
      <c r="X17335" s="5" t="s">
        <v>398</v>
      </c>
      <c r="AH17335" s="4" t="str">
        <f>HYPERLINK("#Statut_biogéographique!A"&amp;_xlfn.XMATCH("P",Statut_biogéographique!A:A,2,1),"P")</f>
        <v>P</v>
      </c>
      <c r="AM17335" s="4" t="s">
        <v>375</v>
      </c>
      <c r="AN17335" s="4" t="s">
        <v>375</v>
      </c>
      <c r="AO17335" s="4" t="s">
        <v>375</v>
      </c>
      <c r="AP17335" s="4" t="s">
        <v>376</v>
      </c>
      <c r="AR17335" s="4" t="s">
        <v>377</v>
      </c>
    </row>
    <row r="17336" spans="1:44" ht="45">
      <c r="A17336" s="4" t="s">
        <v>10753</v>
      </c>
      <c r="B17336" s="4">
        <v>53770</v>
      </c>
      <c r="D17336" s="5" t="s">
        <v>20979</v>
      </c>
      <c r="E17336" s="6" t="str">
        <f>HYPERLINK("https://inpn.mnhn.fr/espece/cd_nom/53770","Limenitis camilla (Linnaeus, 1764)")</f>
        <v>Limenitis camilla (Linnaeus, 1764)</v>
      </c>
      <c r="F17336" s="5" t="s">
        <v>20980</v>
      </c>
      <c r="P17336" s="7" t="str">
        <f>HYPERLINK("#Liste_rouge!A"&amp;_xlfn.XMATCH("LC",Liste_rouge!A:A,2,1),"LC")</f>
        <v>LC</v>
      </c>
      <c r="Q17336" s="7" t="str">
        <f>HYPERLINK("#Liste_rouge!A"&amp;_xlfn.XMATCH("LC",Liste_rouge!A:A,2,1),"LC")</f>
        <v>LC</v>
      </c>
      <c r="T17336" s="7" t="str">
        <f>HYPERLINK("#Liste_rouge!A"&amp;_xlfn.XMATCH("LC",Liste_rouge!A:A,2,1),"LC")</f>
        <v>LC</v>
      </c>
      <c r="V17336" s="7" t="str">
        <f>HYPERLINK("#Liste_rouge!A"&amp;_xlfn.XMATCH("LC",Liste_rouge!A:A,2,1),"LC")</f>
        <v>LC</v>
      </c>
      <c r="AH17336" s="4" t="str">
        <f>HYPERLINK("#Statut_biogéographique!A"&amp;_xlfn.XMATCH("P",Statut_biogéographique!A:A,2,1),"P")</f>
        <v>P</v>
      </c>
      <c r="AM17336" s="4" t="s">
        <v>375</v>
      </c>
      <c r="AN17336" s="4" t="s">
        <v>375</v>
      </c>
      <c r="AO17336" s="4" t="s">
        <v>375</v>
      </c>
      <c r="AP17336" s="4" t="s">
        <v>376</v>
      </c>
      <c r="AR17336" s="4" t="s">
        <v>377</v>
      </c>
    </row>
    <row r="17337" spans="1:44" ht="30">
      <c r="A17337" s="4" t="s">
        <v>10753</v>
      </c>
      <c r="B17337" s="4">
        <v>53783</v>
      </c>
      <c r="D17337" s="5" t="s">
        <v>20981</v>
      </c>
      <c r="E17337" s="6" t="str">
        <f>HYPERLINK("https://inpn.mnhn.fr/espece/cd_nom/53783","Apatura ilia (Denis &amp; Schiffermüller, 1775)")</f>
        <v>Apatura ilia (Denis &amp; Schiffermüller, 1775)</v>
      </c>
      <c r="F17337" s="5" t="s">
        <v>20982</v>
      </c>
      <c r="P17337" s="7" t="str">
        <f>HYPERLINK("#Liste_rouge!A"&amp;_xlfn.XMATCH("LC",Liste_rouge!A:A,2,1),"LC")</f>
        <v>LC</v>
      </c>
      <c r="Q17337" s="7" t="str">
        <f>HYPERLINK("#Liste_rouge!A"&amp;_xlfn.XMATCH("LC",Liste_rouge!A:A,2,1),"LC")</f>
        <v>LC</v>
      </c>
      <c r="T17337" s="7" t="str">
        <f>HYPERLINK("#Liste_rouge!A"&amp;_xlfn.XMATCH("LC",Liste_rouge!A:A,2,1),"LC")</f>
        <v>LC</v>
      </c>
      <c r="V17337" s="7" t="str">
        <f>HYPERLINK("#Liste_rouge!A"&amp;_xlfn.XMATCH("NT",Liste_rouge!A:A,2,1),"NT")</f>
        <v>NT</v>
      </c>
      <c r="W17337" s="4" t="str">
        <f>HYPERLINK("#Critères_liste_rouge!A$1","pr.A3c")</f>
        <v>pr.A3c</v>
      </c>
      <c r="X17337" s="5" t="s">
        <v>398</v>
      </c>
      <c r="AH17337" s="4" t="str">
        <f>HYPERLINK("#Statut_biogéographique!A"&amp;_xlfn.XMATCH("P",Statut_biogéographique!A:A,2,1),"P")</f>
        <v>P</v>
      </c>
      <c r="AM17337" s="4" t="s">
        <v>375</v>
      </c>
      <c r="AN17337" s="4" t="s">
        <v>375</v>
      </c>
      <c r="AO17337" s="4" t="s">
        <v>375</v>
      </c>
      <c r="AP17337" s="4" t="s">
        <v>376</v>
      </c>
      <c r="AR17337" s="4" t="s">
        <v>377</v>
      </c>
    </row>
    <row r="17338" spans="1:44" ht="30">
      <c r="A17338" s="4" t="s">
        <v>10753</v>
      </c>
      <c r="B17338" s="4">
        <v>53786</v>
      </c>
      <c r="D17338" s="5" t="s">
        <v>20983</v>
      </c>
      <c r="E17338" s="6" t="str">
        <f>HYPERLINK("https://inpn.mnhn.fr/espece/cd_nom/53786","Apatura iris (Linnaeus, 1758)")</f>
        <v>Apatura iris (Linnaeus, 1758)</v>
      </c>
      <c r="F17338" s="5" t="s">
        <v>20984</v>
      </c>
      <c r="P17338" s="7" t="str">
        <f>HYPERLINK("#Liste_rouge!A"&amp;_xlfn.XMATCH("LC",Liste_rouge!A:A,2,1),"LC")</f>
        <v>LC</v>
      </c>
      <c r="Q17338" s="7" t="str">
        <f>HYPERLINK("#Liste_rouge!A"&amp;_xlfn.XMATCH("LC",Liste_rouge!A:A,2,1),"LC")</f>
        <v>LC</v>
      </c>
      <c r="T17338" s="7" t="str">
        <f>HYPERLINK("#Liste_rouge!A"&amp;_xlfn.XMATCH("LC",Liste_rouge!A:A,2,1),"LC")</f>
        <v>LC</v>
      </c>
      <c r="V17338" s="7" t="str">
        <f>HYPERLINK("#Liste_rouge!A"&amp;_xlfn.XMATCH("LC",Liste_rouge!A:A,2,1),"LC")</f>
        <v>LC</v>
      </c>
      <c r="X17338" s="5" t="s">
        <v>398</v>
      </c>
      <c r="AH17338" s="4" t="str">
        <f>HYPERLINK("#Statut_biogéographique!A"&amp;_xlfn.XMATCH("P",Statut_biogéographique!A:A,2,1),"P")</f>
        <v>P</v>
      </c>
      <c r="AM17338" s="4" t="s">
        <v>375</v>
      </c>
      <c r="AN17338" s="4" t="s">
        <v>375</v>
      </c>
      <c r="AO17338" s="4" t="s">
        <v>375</v>
      </c>
      <c r="AP17338" s="4" t="s">
        <v>376</v>
      </c>
      <c r="AR17338" s="4" t="s">
        <v>377</v>
      </c>
    </row>
    <row r="17339" spans="1:44" ht="45">
      <c r="A17339" s="4" t="s">
        <v>10753</v>
      </c>
      <c r="B17339" s="4">
        <v>53794</v>
      </c>
      <c r="D17339" s="5" t="s">
        <v>20985</v>
      </c>
      <c r="E17339" s="6" t="str">
        <f>HYPERLINK("https://inpn.mnhn.fr/espece/cd_nom/53794","Melitaea didyma (Esper, 1778)")</f>
        <v>Melitaea didyma (Esper, 1778)</v>
      </c>
      <c r="F17339" s="5" t="s">
        <v>20986</v>
      </c>
      <c r="P17339" s="7" t="str">
        <f>HYPERLINK("#Liste_rouge!A"&amp;_xlfn.XMATCH("LC",Liste_rouge!A:A,2,1),"LC")</f>
        <v>LC</v>
      </c>
      <c r="Q17339" s="7" t="str">
        <f>HYPERLINK("#Liste_rouge!A"&amp;_xlfn.XMATCH("LC",Liste_rouge!A:A,2,1),"LC")</f>
        <v>LC</v>
      </c>
      <c r="T17339" s="7" t="str">
        <f>HYPERLINK("#Liste_rouge!A"&amp;_xlfn.XMATCH("LC",Liste_rouge!A:A,2,1),"LC")</f>
        <v>LC</v>
      </c>
      <c r="V17339" s="7" t="str">
        <f>HYPERLINK("#Liste_rouge!A"&amp;_xlfn.XMATCH("NT",Liste_rouge!A:A,2,1),"NT")</f>
        <v>NT</v>
      </c>
      <c r="W17339" s="4" t="str">
        <f>HYPERLINK("#Critères_liste_rouge!A$1","pr.A3c")</f>
        <v>pr.A3c</v>
      </c>
      <c r="X17339" s="5" t="s">
        <v>398</v>
      </c>
      <c r="AH17339" s="4" t="str">
        <f>HYPERLINK("#Statut_biogéographique!A"&amp;_xlfn.XMATCH("P",Statut_biogéographique!A:A,2,1),"P")</f>
        <v>P</v>
      </c>
      <c r="AM17339" s="4" t="s">
        <v>375</v>
      </c>
      <c r="AN17339" s="4" t="s">
        <v>375</v>
      </c>
      <c r="AO17339" s="4" t="s">
        <v>375</v>
      </c>
      <c r="AP17339" s="4" t="s">
        <v>376</v>
      </c>
      <c r="AR17339" s="4" t="s">
        <v>377</v>
      </c>
    </row>
    <row r="17340" spans="1:44" ht="45">
      <c r="A17340" s="4" t="s">
        <v>10753</v>
      </c>
      <c r="B17340" s="4">
        <v>53811</v>
      </c>
      <c r="D17340" s="5" t="s">
        <v>20987</v>
      </c>
      <c r="E17340" s="6" t="str">
        <f>HYPERLINK("https://inpn.mnhn.fr/espece/cd_nom/53811","Melitaea phoebe (Denis &amp; Schiffermüller, 1775)")</f>
        <v>Melitaea phoebe (Denis &amp; Schiffermüller, 1775)</v>
      </c>
      <c r="F17340" s="5" t="s">
        <v>20988</v>
      </c>
      <c r="P17340" s="7" t="str">
        <f>HYPERLINK("#Liste_rouge!A"&amp;_xlfn.XMATCH("LC",Liste_rouge!A:A,2,1),"LC")</f>
        <v>LC</v>
      </c>
      <c r="Q17340" s="7" t="str">
        <f>HYPERLINK("#Liste_rouge!A"&amp;_xlfn.XMATCH("LC",Liste_rouge!A:A,2,1),"LC")</f>
        <v>LC</v>
      </c>
      <c r="T17340" s="7" t="str">
        <f>HYPERLINK("#Liste_rouge!A"&amp;_xlfn.XMATCH("LC",Liste_rouge!A:A,2,1),"LC")</f>
        <v>LC</v>
      </c>
      <c r="V17340" s="7" t="str">
        <f>HYPERLINK("#Liste_rouge!A"&amp;_xlfn.XMATCH("LC",Liste_rouge!A:A,2,1),"LC")</f>
        <v>LC</v>
      </c>
      <c r="X17340" s="5" t="s">
        <v>398</v>
      </c>
      <c r="AH17340" s="4" t="str">
        <f>HYPERLINK("#Statut_biogéographique!A"&amp;_xlfn.XMATCH("P",Statut_biogéographique!A:A,2,1),"P")</f>
        <v>P</v>
      </c>
      <c r="AM17340" s="4" t="s">
        <v>375</v>
      </c>
      <c r="AN17340" s="4" t="s">
        <v>375</v>
      </c>
      <c r="AO17340" s="4" t="s">
        <v>375</v>
      </c>
      <c r="AP17340" s="4" t="s">
        <v>376</v>
      </c>
      <c r="AR17340" s="4" t="s">
        <v>377</v>
      </c>
    </row>
    <row r="17341" spans="1:44" ht="60">
      <c r="A17341" s="4" t="s">
        <v>10753</v>
      </c>
      <c r="B17341" s="4">
        <v>53817</v>
      </c>
      <c r="D17341" s="5" t="s">
        <v>20989</v>
      </c>
      <c r="E17341" s="6" t="str">
        <f>HYPERLINK("https://inpn.mnhn.fr/espece/cd_nom/53817","Melitaea cinxia (Linnaeus, 1758)")</f>
        <v>Melitaea cinxia (Linnaeus, 1758)</v>
      </c>
      <c r="F17341" s="5" t="s">
        <v>20990</v>
      </c>
      <c r="P17341" s="7" t="str">
        <f>HYPERLINK("#Liste_rouge!A"&amp;_xlfn.XMATCH("LC",Liste_rouge!A:A,2,1),"LC")</f>
        <v>LC</v>
      </c>
      <c r="Q17341" s="7" t="str">
        <f>HYPERLINK("#Liste_rouge!A"&amp;_xlfn.XMATCH("LC",Liste_rouge!A:A,2,1),"LC")</f>
        <v>LC</v>
      </c>
      <c r="T17341" s="7" t="str">
        <f>HYPERLINK("#Liste_rouge!A"&amp;_xlfn.XMATCH("LC",Liste_rouge!A:A,2,1),"LC")</f>
        <v>LC</v>
      </c>
      <c r="V17341" s="7" t="str">
        <f>HYPERLINK("#Liste_rouge!A"&amp;_xlfn.XMATCH("LC",Liste_rouge!A:A,2,1),"LC")</f>
        <v>LC</v>
      </c>
      <c r="AH17341" s="4" t="str">
        <f>HYPERLINK("#Statut_biogéographique!A"&amp;_xlfn.XMATCH("P",Statut_biogéographique!A:A,2,1),"P")</f>
        <v>P</v>
      </c>
      <c r="AM17341" s="4" t="s">
        <v>375</v>
      </c>
      <c r="AN17341" s="4" t="s">
        <v>375</v>
      </c>
      <c r="AO17341" s="4" t="s">
        <v>375</v>
      </c>
      <c r="AP17341" s="4" t="s">
        <v>376</v>
      </c>
      <c r="AR17341" s="4" t="s">
        <v>377</v>
      </c>
    </row>
    <row r="17342" spans="1:44" ht="30">
      <c r="A17342" s="4" t="s">
        <v>10753</v>
      </c>
      <c r="B17342" s="4">
        <v>53821</v>
      </c>
      <c r="D17342" s="5" t="s">
        <v>20991</v>
      </c>
      <c r="E17342" s="6" t="str">
        <f>HYPERLINK("https://inpn.mnhn.fr/espece/cd_nom/53821","Melitaea diamina (Lang, 1789)")</f>
        <v>Melitaea diamina (Lang, 1789)</v>
      </c>
      <c r="F17342" s="5" t="s">
        <v>20992</v>
      </c>
      <c r="P17342" s="7" t="str">
        <f>HYPERLINK("#Liste_rouge!A"&amp;_xlfn.XMATCH("LC",Liste_rouge!A:A,2,1),"LC")</f>
        <v>LC</v>
      </c>
      <c r="Q17342" s="7" t="str">
        <f>HYPERLINK("#Liste_rouge!A"&amp;_xlfn.XMATCH("LC",Liste_rouge!A:A,2,1),"LC")</f>
        <v>LC</v>
      </c>
      <c r="T17342" s="7" t="str">
        <f>HYPERLINK("#Liste_rouge!A"&amp;_xlfn.XMATCH("NT",Liste_rouge!A:A,2,1),"NT")</f>
        <v>NT</v>
      </c>
      <c r="U17342" s="4" t="str">
        <f>HYPERLINK("#Critères_liste_rouge!A$1","pr. B2b(iii)")</f>
        <v>pr. B2b(iii)</v>
      </c>
      <c r="V17342" s="7" t="str">
        <f>HYPERLINK("#Liste_rouge!A"&amp;_xlfn.XMATCH("LC",Liste_rouge!A:A,2,1),"LC")</f>
        <v>LC</v>
      </c>
      <c r="X17342" s="5" t="s">
        <v>398</v>
      </c>
      <c r="AH17342" s="4" t="str">
        <f>HYPERLINK("#Statut_biogéographique!A"&amp;_xlfn.XMATCH("P",Statut_biogéographique!A:A,2,1),"P")</f>
        <v>P</v>
      </c>
      <c r="AM17342" s="4" t="s">
        <v>375</v>
      </c>
      <c r="AN17342" s="4" t="s">
        <v>375</v>
      </c>
      <c r="AO17342" s="4" t="s">
        <v>375</v>
      </c>
      <c r="AP17342" s="4" t="s">
        <v>376</v>
      </c>
      <c r="AR17342" s="4" t="s">
        <v>377</v>
      </c>
    </row>
    <row r="17343" spans="1:44">
      <c r="A17343" s="4" t="s">
        <v>10753</v>
      </c>
      <c r="B17343" s="4">
        <v>538382</v>
      </c>
      <c r="D17343" s="5">
        <v>538382</v>
      </c>
      <c r="E17343" s="6" t="str">
        <f>HYPERLINK("https://inpn.mnhn.fr/espece/cd_nom/538382","Chaetarthria simillima Vorst &amp; Cuppen, 2003")</f>
        <v>Chaetarthria simillima Vorst &amp; Cuppen, 2003</v>
      </c>
      <c r="AH17343" s="4" t="str">
        <f>HYPERLINK("#Statut_biogéographique!A"&amp;_xlfn.XMATCH("P",Statut_biogéographique!A:A,2,1),"P")</f>
        <v>P</v>
      </c>
      <c r="AP17343" s="4" t="s">
        <v>376</v>
      </c>
      <c r="AR17343" s="4" t="s">
        <v>377</v>
      </c>
    </row>
    <row r="17344" spans="1:44" ht="45">
      <c r="A17344" s="4" t="s">
        <v>10753</v>
      </c>
      <c r="B17344" s="4">
        <v>53856</v>
      </c>
      <c r="D17344" s="5" t="s">
        <v>20993</v>
      </c>
      <c r="E17344" s="6" t="str">
        <f>HYPERLINK("https://inpn.mnhn.fr/espece/cd_nom/53856","Euphydryas maturna (Linnaeus, 1758)")</f>
        <v>Euphydryas maturna (Linnaeus, 1758)</v>
      </c>
      <c r="F17344" s="5" t="s">
        <v>20994</v>
      </c>
      <c r="I17344" s="4" t="str">
        <f>HYPERLINK("#Réglementation!A"&amp;_xlfn.XMATCH("IBE2",Réglementation!A:A,2,1),"IBE2")</f>
        <v>IBE2</v>
      </c>
      <c r="K17344" s="4" t="str">
        <f>HYPERLINK("#Réglementation!A"&amp;_xlfn.XMATCH("CDH2",Réglementation!A:A,2,1),"CDH2 - CDH4")</f>
        <v>CDH2 - CDH4</v>
      </c>
      <c r="L17344" s="4" t="str">
        <f>HYPERLINK("#Réglementation!A"&amp;_xlfn.XMATCH("NI2",Réglementation!A:A,2,1),"NI2")</f>
        <v>NI2</v>
      </c>
      <c r="O17344" s="7" t="str">
        <f>HYPERLINK("#Liste_rouge!A"&amp;_xlfn.XMATCH("DD",Liste_rouge!A:A,2,1),"DD")</f>
        <v>DD</v>
      </c>
      <c r="P17344" s="7" t="str">
        <f>HYPERLINK("#Liste_rouge!A"&amp;_xlfn.XMATCH("VU",Liste_rouge!A:A,2,1),"VU")</f>
        <v>VU</v>
      </c>
      <c r="Q17344" s="7" t="str">
        <f>HYPERLINK("#Liste_rouge!A"&amp;_xlfn.XMATCH("EN",Liste_rouge!A:A,2,1),"EN")</f>
        <v>EN</v>
      </c>
      <c r="T17344" s="7" t="str">
        <f>HYPERLINK("#Liste_rouge!A"&amp;_xlfn.XMATCH("EN",Liste_rouge!A:A,2,1),"EN")</f>
        <v>EN</v>
      </c>
      <c r="U17344" s="4" t="str">
        <f>HYPERLINK("#Critères_liste_rouge!A$1","B(1+2)ab(i,iii)")</f>
        <v>B(1+2)ab(i,iii)</v>
      </c>
      <c r="V17344" s="7" t="str">
        <f>HYPERLINK("#Liste_rouge!A"&amp;_xlfn.XMATCH("CR",Liste_rouge!A:A,2,1),"CR")</f>
        <v>CR</v>
      </c>
      <c r="X17344" s="5" t="s">
        <v>374</v>
      </c>
      <c r="AD17344" s="4" t="s">
        <v>11319</v>
      </c>
      <c r="AE17344" s="4" t="str">
        <f>HYPERLINK("#SCAP!A"&amp;_xlfn.XMATCH("1-",SCAP!A:A,2,1),"1-")</f>
        <v>1-</v>
      </c>
      <c r="AF17344" s="4" t="str">
        <f>HYPERLINK("#SCAP!A"&amp;_xlfn.XMATCH("1+",SCAP!A:A,2,1),"1+")</f>
        <v>1+</v>
      </c>
      <c r="AG17344" s="4" t="str">
        <f>HYPERLINK("#SCAP!A"&amp;_xlfn.XMATCH("1-",SCAP!A:A,2,1),"1-")</f>
        <v>1-</v>
      </c>
      <c r="AH17344" s="4" t="str">
        <f>HYPERLINK("#Statut_biogéographique!A"&amp;_xlfn.XMATCH("P",Statut_biogéographique!A:A,2,1),"P")</f>
        <v>P</v>
      </c>
      <c r="AI17344" s="8" t="s">
        <v>20995</v>
      </c>
      <c r="AJ17344" s="4" t="s">
        <v>12803</v>
      </c>
      <c r="AM17344" s="4" t="s">
        <v>375</v>
      </c>
      <c r="AN17344" s="4" t="s">
        <v>382</v>
      </c>
      <c r="AO17344" s="4" t="s">
        <v>382</v>
      </c>
      <c r="AP17344" s="4" t="s">
        <v>389</v>
      </c>
      <c r="AR17344" s="4" t="s">
        <v>377</v>
      </c>
    </row>
    <row r="17345" spans="1:44" ht="60">
      <c r="A17345" s="4" t="s">
        <v>10753</v>
      </c>
      <c r="B17345" s="4">
        <v>53865</v>
      </c>
      <c r="D17345" s="5" t="s">
        <v>20996</v>
      </c>
      <c r="E17345" s="6" t="str">
        <f>HYPERLINK("https://inpn.mnhn.fr/espece/cd_nom/53865","Euphydryas aurinia (Rottemburg, 1775)")</f>
        <v>Euphydryas aurinia (Rottemburg, 1775)</v>
      </c>
      <c r="F17345" s="5" t="s">
        <v>20997</v>
      </c>
      <c r="I17345" s="4" t="str">
        <f>HYPERLINK("#Réglementation!A"&amp;_xlfn.XMATCH("IBE2",Réglementation!A:A,2,1),"IBE2")</f>
        <v>IBE2</v>
      </c>
      <c r="K17345" s="4" t="str">
        <f>HYPERLINK("#Réglementation!A"&amp;_xlfn.XMATCH("CDH2",Réglementation!A:A,2,1),"CDH2")</f>
        <v>CDH2</v>
      </c>
      <c r="L17345" s="4" t="str">
        <f>HYPERLINK("#Réglementation!A"&amp;_xlfn.XMATCH("NI3",Réglementation!A:A,2,1),"NI3")</f>
        <v>NI3</v>
      </c>
      <c r="P17345" s="7" t="str">
        <f>HYPERLINK("#Liste_rouge!A"&amp;_xlfn.XMATCH("LC",Liste_rouge!A:A,2,1),"LC")</f>
        <v>LC</v>
      </c>
      <c r="Q17345" s="7" t="str">
        <f>HYPERLINK("#Liste_rouge!A"&amp;_xlfn.XMATCH("LC",Liste_rouge!A:A,2,1),"LC")</f>
        <v>LC</v>
      </c>
      <c r="T17345" s="7" t="str">
        <f>HYPERLINK("#Liste_rouge!A"&amp;_xlfn.XMATCH("NT",Liste_rouge!A:A,2,1),"NT")</f>
        <v>NT</v>
      </c>
      <c r="U17345" s="4" t="str">
        <f>HYPERLINK("#Critères_liste_rouge!A$1","pr. B2b(iii)")</f>
        <v>pr. B2b(iii)</v>
      </c>
      <c r="V17345" s="7" t="str">
        <f>HYPERLINK("#Liste_rouge!A"&amp;_xlfn.XMATCH("NT",Liste_rouge!A:A,2,1),"NT")</f>
        <v>NT</v>
      </c>
      <c r="W17345" s="4" t="str">
        <f>HYPERLINK("#Critères_liste_rouge!A$1","pr.A2c")</f>
        <v>pr.A2c</v>
      </c>
      <c r="X17345" s="5" t="s">
        <v>374</v>
      </c>
      <c r="AE17345" s="4" t="str">
        <f>HYPERLINK("#SCAP!A"&amp;_xlfn.XMATCH("1+",SCAP!A:A,2,1),"1+")</f>
        <v>1+</v>
      </c>
      <c r="AF17345" s="4" t="str">
        <f>HYPERLINK("#SCAP!A"&amp;_xlfn.XMATCH("2+",SCAP!A:A,2,1),"2+")</f>
        <v>2+</v>
      </c>
      <c r="AG17345" s="4" t="str">
        <f>HYPERLINK("#SCAP!A"&amp;_xlfn.XMATCH("2+",SCAP!A:A,2,1),"2+")</f>
        <v>2+</v>
      </c>
      <c r="AH17345" s="4" t="str">
        <f>HYPERLINK("#Statut_biogéographique!A"&amp;_xlfn.XMATCH("P",Statut_biogéographique!A:A,2,1),"P")</f>
        <v>P</v>
      </c>
      <c r="AI17345" s="8" t="s">
        <v>20998</v>
      </c>
      <c r="AJ17345" s="4" t="s">
        <v>12803</v>
      </c>
      <c r="AM17345" s="4" t="s">
        <v>375</v>
      </c>
      <c r="AN17345" s="4" t="s">
        <v>375</v>
      </c>
      <c r="AO17345" s="4" t="s">
        <v>375</v>
      </c>
      <c r="AP17345" s="4" t="s">
        <v>376</v>
      </c>
      <c r="AR17345" s="4" t="s">
        <v>377</v>
      </c>
    </row>
    <row r="17346" spans="1:44" ht="30">
      <c r="A17346" s="4" t="s">
        <v>10753</v>
      </c>
      <c r="B17346" s="4">
        <v>53868</v>
      </c>
      <c r="D17346" s="5" t="s">
        <v>20999</v>
      </c>
      <c r="E17346" s="6" t="str">
        <f>HYPERLINK("https://inpn.mnhn.fr/espece/cd_nom/53868","Euphydryas aurinia aurinia (Rottemburg, 1775)")</f>
        <v>Euphydryas aurinia aurinia (Rottemburg, 1775)</v>
      </c>
      <c r="F17346" s="5" t="s">
        <v>21000</v>
      </c>
      <c r="I17346" s="4" t="str">
        <f>HYPERLINK("#Réglementation!A"&amp;_xlfn.XMATCH("IBE2",Réglementation!A:A,2,1),"IBE2")</f>
        <v>IBE2</v>
      </c>
      <c r="K17346" s="4" t="str">
        <f>HYPERLINK("#Réglementation!A"&amp;_xlfn.XMATCH("CDH2",Réglementation!A:A,2,1),"CDH2")</f>
        <v>CDH2</v>
      </c>
      <c r="L17346" s="4" t="str">
        <f>HYPERLINK("#Réglementation!A"&amp;_xlfn.XMATCH("NI3",Réglementation!A:A,2,1),"NI3")</f>
        <v>NI3</v>
      </c>
      <c r="AH17346" s="4" t="str">
        <f>HYPERLINK("#Statut_biogéographique!A"&amp;_xlfn.XMATCH("P",Statut_biogéographique!A:A,2,1),"P")</f>
        <v>P</v>
      </c>
      <c r="AP17346" s="4" t="s">
        <v>376</v>
      </c>
      <c r="AR17346" s="4" t="s">
        <v>377</v>
      </c>
    </row>
    <row r="17347" spans="1:44" ht="30">
      <c r="A17347" s="4" t="s">
        <v>10753</v>
      </c>
      <c r="B17347" s="4">
        <v>53878</v>
      </c>
      <c r="D17347" s="5" t="s">
        <v>21001</v>
      </c>
      <c r="E17347" s="6" t="str">
        <f>HYPERLINK("https://inpn.mnhn.fr/espece/cd_nom/53878","Argynnis paphia (Linnaeus, 1758)")</f>
        <v>Argynnis paphia (Linnaeus, 1758)</v>
      </c>
      <c r="F17347" s="5" t="s">
        <v>21002</v>
      </c>
      <c r="P17347" s="7" t="str">
        <f>HYPERLINK("#Liste_rouge!A"&amp;_xlfn.XMATCH("LC",Liste_rouge!A:A,2,1),"LC")</f>
        <v>LC</v>
      </c>
      <c r="Q17347" s="7" t="str">
        <f>HYPERLINK("#Liste_rouge!A"&amp;_xlfn.XMATCH("LC",Liste_rouge!A:A,2,1),"LC")</f>
        <v>LC</v>
      </c>
      <c r="T17347" s="7" t="str">
        <f>HYPERLINK("#Liste_rouge!A"&amp;_xlfn.XMATCH("LC",Liste_rouge!A:A,2,1),"LC")</f>
        <v>LC</v>
      </c>
      <c r="V17347" s="7" t="str">
        <f>HYPERLINK("#Liste_rouge!A"&amp;_xlfn.XMATCH("LC",Liste_rouge!A:A,2,1),"LC")</f>
        <v>LC</v>
      </c>
      <c r="AH17347" s="4" t="str">
        <f>HYPERLINK("#Statut_biogéographique!A"&amp;_xlfn.XMATCH("P",Statut_biogéographique!A:A,2,1),"P")</f>
        <v>P</v>
      </c>
      <c r="AM17347" s="4" t="s">
        <v>375</v>
      </c>
      <c r="AN17347" s="4" t="s">
        <v>375</v>
      </c>
      <c r="AO17347" s="4" t="s">
        <v>375</v>
      </c>
      <c r="AP17347" s="4" t="s">
        <v>376</v>
      </c>
      <c r="AR17347" s="4" t="s">
        <v>377</v>
      </c>
    </row>
    <row r="17348" spans="1:44" ht="45">
      <c r="A17348" s="4" t="s">
        <v>10753</v>
      </c>
      <c r="B17348" s="4">
        <v>53895</v>
      </c>
      <c r="D17348" s="5" t="s">
        <v>21003</v>
      </c>
      <c r="E17348" s="6" t="str">
        <f>HYPERLINK("https://inpn.mnhn.fr/espece/cd_nom/53895","Fabriciana niobe (Linnaeus, 1758)")</f>
        <v>Fabriciana niobe (Linnaeus, 1758)</v>
      </c>
      <c r="F17348" s="5" t="s">
        <v>21004</v>
      </c>
      <c r="P17348" s="7" t="str">
        <f>HYPERLINK("#Liste_rouge!A"&amp;_xlfn.XMATCH("LC",Liste_rouge!A:A,2,1),"LC")</f>
        <v>LC</v>
      </c>
      <c r="Q17348" s="7" t="str">
        <f>HYPERLINK("#Liste_rouge!A"&amp;_xlfn.XMATCH("NT",Liste_rouge!A:A,2,1),"NT")</f>
        <v>NT</v>
      </c>
      <c r="T17348" s="7" t="str">
        <f>HYPERLINK("#Liste_rouge!A"&amp;_xlfn.XMATCH("VU",Liste_rouge!A:A,2,1),"VU")</f>
        <v>VU</v>
      </c>
      <c r="U17348" s="4" t="str">
        <f>HYPERLINK("#Critères_liste_rouge!A$1","A2c")</f>
        <v>A2c</v>
      </c>
      <c r="V17348" s="7" t="str">
        <f>HYPERLINK("#Liste_rouge!A"&amp;_xlfn.XMATCH("NT",Liste_rouge!A:A,2,1),"NT")</f>
        <v>NT</v>
      </c>
      <c r="W17348" s="4" t="str">
        <f>HYPERLINK("#Critères_liste_rouge!A$1","pr.A3c")</f>
        <v>pr.A3c</v>
      </c>
      <c r="X17348" s="5" t="s">
        <v>12755</v>
      </c>
      <c r="Y17348" s="5" t="s">
        <v>12756</v>
      </c>
      <c r="AH17348" s="4" t="str">
        <f>HYPERLINK("#Statut_biogéographique!A"&amp;_xlfn.XMATCH("P",Statut_biogéographique!A:A,2,1),"P")</f>
        <v>P</v>
      </c>
      <c r="AM17348" s="4" t="s">
        <v>375</v>
      </c>
      <c r="AN17348" s="4" t="s">
        <v>375</v>
      </c>
      <c r="AO17348" s="4" t="s">
        <v>375</v>
      </c>
      <c r="AP17348" s="4" t="s">
        <v>376</v>
      </c>
      <c r="AR17348" s="4" t="s">
        <v>377</v>
      </c>
    </row>
    <row r="17349" spans="1:44" ht="60">
      <c r="A17349" s="4" t="s">
        <v>10753</v>
      </c>
      <c r="B17349" s="4">
        <v>53902</v>
      </c>
      <c r="D17349" s="5" t="s">
        <v>21005</v>
      </c>
      <c r="E17349" s="6" t="str">
        <f>HYPERLINK("https://inpn.mnhn.fr/espece/cd_nom/53902","Fabriciana adippe (Denis &amp; Schiffermüller, 1775)")</f>
        <v>Fabriciana adippe (Denis &amp; Schiffermüller, 1775)</v>
      </c>
      <c r="F17349" s="5" t="s">
        <v>21006</v>
      </c>
      <c r="P17349" s="7" t="str">
        <f>HYPERLINK("#Liste_rouge!A"&amp;_xlfn.XMATCH("LC",Liste_rouge!A:A,2,1),"LC")</f>
        <v>LC</v>
      </c>
      <c r="Q17349" s="7" t="str">
        <f>HYPERLINK("#Liste_rouge!A"&amp;_xlfn.XMATCH("LC",Liste_rouge!A:A,2,1),"LC")</f>
        <v>LC</v>
      </c>
      <c r="T17349" s="7" t="str">
        <f>HYPERLINK("#Liste_rouge!A"&amp;_xlfn.XMATCH("LC",Liste_rouge!A:A,2,1),"LC")</f>
        <v>LC</v>
      </c>
      <c r="V17349" s="7" t="str">
        <f>HYPERLINK("#Liste_rouge!A"&amp;_xlfn.XMATCH("LC",Liste_rouge!A:A,2,1),"LC")</f>
        <v>LC</v>
      </c>
      <c r="AH17349" s="4" t="str">
        <f>HYPERLINK("#Statut_biogéographique!A"&amp;_xlfn.XMATCH("P",Statut_biogéographique!A:A,2,1),"P")</f>
        <v>P</v>
      </c>
      <c r="AM17349" s="4" t="s">
        <v>375</v>
      </c>
      <c r="AN17349" s="4" t="s">
        <v>375</v>
      </c>
      <c r="AO17349" s="4" t="s">
        <v>375</v>
      </c>
      <c r="AP17349" s="4" t="s">
        <v>376</v>
      </c>
      <c r="AR17349" s="4" t="s">
        <v>377</v>
      </c>
    </row>
    <row r="17350" spans="1:44">
      <c r="A17350" s="4" t="s">
        <v>10753</v>
      </c>
      <c r="B17350" s="4">
        <v>53908</v>
      </c>
      <c r="D17350" s="5" t="s">
        <v>21007</v>
      </c>
      <c r="E17350" s="6" t="str">
        <f>HYPERLINK("https://inpn.mnhn.fr/espece/cd_nom/53908","Issoria lathonia (Linnaeus, 1758)")</f>
        <v>Issoria lathonia (Linnaeus, 1758)</v>
      </c>
      <c r="F17350" s="5" t="s">
        <v>21008</v>
      </c>
      <c r="P17350" s="7" t="str">
        <f>HYPERLINK("#Liste_rouge!A"&amp;_xlfn.XMATCH("LC",Liste_rouge!A:A,2,1),"LC")</f>
        <v>LC</v>
      </c>
      <c r="Q17350" s="7" t="str">
        <f>HYPERLINK("#Liste_rouge!A"&amp;_xlfn.XMATCH("LC",Liste_rouge!A:A,2,1),"LC")</f>
        <v>LC</v>
      </c>
      <c r="T17350" s="7" t="str">
        <f>HYPERLINK("#Liste_rouge!A"&amp;_xlfn.XMATCH("LC",Liste_rouge!A:A,2,1),"LC")</f>
        <v>LC</v>
      </c>
      <c r="V17350" s="7" t="str">
        <f>HYPERLINK("#Liste_rouge!A"&amp;_xlfn.XMATCH("LC",Liste_rouge!A:A,2,1),"LC")</f>
        <v>LC</v>
      </c>
      <c r="AH17350" s="4" t="str">
        <f>HYPERLINK("#Statut_biogéographique!A"&amp;_xlfn.XMATCH("P",Statut_biogéographique!A:A,2,1),"P")</f>
        <v>P</v>
      </c>
      <c r="AM17350" s="4" t="s">
        <v>375</v>
      </c>
      <c r="AN17350" s="4" t="s">
        <v>375</v>
      </c>
      <c r="AO17350" s="4" t="s">
        <v>375</v>
      </c>
      <c r="AP17350" s="4" t="s">
        <v>376</v>
      </c>
      <c r="AR17350" s="4" t="s">
        <v>377</v>
      </c>
    </row>
    <row r="17351" spans="1:44" ht="60">
      <c r="A17351" s="4" t="s">
        <v>10753</v>
      </c>
      <c r="B17351" s="4">
        <v>53915</v>
      </c>
      <c r="D17351" s="5" t="s">
        <v>21009</v>
      </c>
      <c r="E17351" s="6" t="str">
        <f>HYPERLINK("https://inpn.mnhn.fr/espece/cd_nom/53915","Brenthis ino (Rottemburg, 1775)")</f>
        <v>Brenthis ino (Rottemburg, 1775)</v>
      </c>
      <c r="F17351" s="5" t="s">
        <v>21010</v>
      </c>
      <c r="P17351" s="7" t="str">
        <f>HYPERLINK("#Liste_rouge!A"&amp;_xlfn.XMATCH("LC",Liste_rouge!A:A,2,1),"LC")</f>
        <v>LC</v>
      </c>
      <c r="Q17351" s="7" t="str">
        <f>HYPERLINK("#Liste_rouge!A"&amp;_xlfn.XMATCH("LC",Liste_rouge!A:A,2,1),"LC")</f>
        <v>LC</v>
      </c>
      <c r="T17351" s="7" t="str">
        <f>HYPERLINK("#Liste_rouge!A"&amp;_xlfn.XMATCH("NT",Liste_rouge!A:A,2,1),"NT")</f>
        <v>NT</v>
      </c>
      <c r="U17351" s="4" t="str">
        <f>HYPERLINK("#Critères_liste_rouge!A$1","pr. B2b(iii)")</f>
        <v>pr. B2b(iii)</v>
      </c>
      <c r="V17351" s="7" t="str">
        <f>HYPERLINK("#Liste_rouge!A"&amp;_xlfn.XMATCH("LC",Liste_rouge!A:A,2,1),"LC")</f>
        <v>LC</v>
      </c>
      <c r="X17351" s="5" t="s">
        <v>398</v>
      </c>
      <c r="AH17351" s="4" t="str">
        <f>HYPERLINK("#Statut_biogéographique!A"&amp;_xlfn.XMATCH("P",Statut_biogéographique!A:A,2,1),"P")</f>
        <v>P</v>
      </c>
      <c r="AM17351" s="4" t="s">
        <v>375</v>
      </c>
      <c r="AN17351" s="4" t="s">
        <v>375</v>
      </c>
      <c r="AO17351" s="4" t="s">
        <v>375</v>
      </c>
      <c r="AP17351" s="4" t="s">
        <v>376</v>
      </c>
      <c r="AR17351" s="4" t="s">
        <v>377</v>
      </c>
    </row>
    <row r="17352" spans="1:44" ht="30">
      <c r="A17352" s="4" t="s">
        <v>10753</v>
      </c>
      <c r="B17352" s="4">
        <v>53926</v>
      </c>
      <c r="D17352" s="5" t="s">
        <v>21011</v>
      </c>
      <c r="E17352" s="6" t="str">
        <f>HYPERLINK("https://inpn.mnhn.fr/espece/cd_nom/53926","Boloria aquilonaris (Stichel, 1908)")</f>
        <v>Boloria aquilonaris (Stichel, 1908)</v>
      </c>
      <c r="F17352" s="5" t="s">
        <v>21012</v>
      </c>
      <c r="L17352" s="4" t="str">
        <f>HYPERLINK("#Réglementation!A"&amp;_xlfn.XMATCH("NI3",Réglementation!A:A,2,1),"NI3")</f>
        <v>NI3</v>
      </c>
      <c r="P17352" s="7" t="str">
        <f>HYPERLINK("#Liste_rouge!A"&amp;_xlfn.XMATCH("LC",Liste_rouge!A:A,2,1),"LC")</f>
        <v>LC</v>
      </c>
      <c r="Q17352" s="7" t="str">
        <f>HYPERLINK("#Liste_rouge!A"&amp;_xlfn.XMATCH("NT",Liste_rouge!A:A,2,1),"NT")</f>
        <v>NT</v>
      </c>
      <c r="T17352" s="7" t="str">
        <f>HYPERLINK("#Liste_rouge!A"&amp;_xlfn.XMATCH("RE",Liste_rouge!A:A,2,1),"RE")</f>
        <v>RE</v>
      </c>
      <c r="V17352" s="7" t="str">
        <f>HYPERLINK("#Liste_rouge!A"&amp;_xlfn.XMATCH("EN",Liste_rouge!A:A,2,1),"EN")</f>
        <v>EN</v>
      </c>
      <c r="W17352" s="4" t="str">
        <f>HYPERLINK("#Critères_liste_rouge!A$1","B2ab(iii)")</f>
        <v>B2ab(iii)</v>
      </c>
      <c r="X17352" s="5" t="s">
        <v>374</v>
      </c>
      <c r="AD17352" s="4" t="s">
        <v>20947</v>
      </c>
      <c r="AE17352" s="4" t="str">
        <f>HYPERLINK("#SCAP!A"&amp;_xlfn.XMATCH("1-",SCAP!A:A,2,1),"1-")</f>
        <v>1-</v>
      </c>
      <c r="AF17352" s="4" t="str">
        <f>HYPERLINK("#SCAP!A"&amp;_xlfn.XMATCH("2-",SCAP!A:A,2,1),"2-")</f>
        <v>2-</v>
      </c>
      <c r="AG17352" s="4" t="str">
        <f>HYPERLINK("#SCAP!A"&amp;_xlfn.XMATCH("2+",SCAP!A:A,2,1),"2+")</f>
        <v>2+</v>
      </c>
      <c r="AH17352" s="4" t="str">
        <f>HYPERLINK("#Statut_biogéographique!A"&amp;_xlfn.XMATCH("P",Statut_biogéographique!A:A,2,1),"P")</f>
        <v>P</v>
      </c>
      <c r="AI17352" s="8" t="s">
        <v>21013</v>
      </c>
      <c r="AJ17352" s="4" t="s">
        <v>12803</v>
      </c>
      <c r="AM17352" s="4" t="s">
        <v>375</v>
      </c>
      <c r="AN17352" s="4" t="s">
        <v>382</v>
      </c>
      <c r="AO17352" s="4" t="s">
        <v>382</v>
      </c>
      <c r="AP17352" s="4" t="s">
        <v>376</v>
      </c>
      <c r="AR17352" s="4" t="s">
        <v>377</v>
      </c>
    </row>
    <row r="17353" spans="1:44" ht="30">
      <c r="A17353" s="4" t="s">
        <v>10753</v>
      </c>
      <c r="B17353" s="4">
        <v>53969</v>
      </c>
      <c r="D17353" s="5" t="s">
        <v>21014</v>
      </c>
      <c r="E17353" s="6" t="str">
        <f>HYPERLINK("https://inpn.mnhn.fr/espece/cd_nom/53969","Hamearis lucina (Linnaeus, 1758)")</f>
        <v>Hamearis lucina (Linnaeus, 1758)</v>
      </c>
      <c r="F17353" s="5" t="s">
        <v>21015</v>
      </c>
      <c r="P17353" s="7" t="str">
        <f>HYPERLINK("#Liste_rouge!A"&amp;_xlfn.XMATCH("LC",Liste_rouge!A:A,2,1),"LC")</f>
        <v>LC</v>
      </c>
      <c r="Q17353" s="7" t="str">
        <f>HYPERLINK("#Liste_rouge!A"&amp;_xlfn.XMATCH("LC",Liste_rouge!A:A,2,1),"LC")</f>
        <v>LC</v>
      </c>
      <c r="T17353" s="7" t="str">
        <f>HYPERLINK("#Liste_rouge!A"&amp;_xlfn.XMATCH("LC",Liste_rouge!A:A,2,1),"LC")</f>
        <v>LC</v>
      </c>
      <c r="V17353" s="7" t="str">
        <f>HYPERLINK("#Liste_rouge!A"&amp;_xlfn.XMATCH("LC",Liste_rouge!A:A,2,1),"LC")</f>
        <v>LC</v>
      </c>
      <c r="X17353" s="5" t="s">
        <v>398</v>
      </c>
      <c r="AH17353" s="4" t="str">
        <f>HYPERLINK("#Statut_biogéographique!A"&amp;_xlfn.XMATCH("P",Statut_biogéographique!A:A,2,1),"P")</f>
        <v>P</v>
      </c>
      <c r="AM17353" s="4" t="s">
        <v>375</v>
      </c>
      <c r="AN17353" s="4" t="s">
        <v>375</v>
      </c>
      <c r="AO17353" s="4" t="s">
        <v>375</v>
      </c>
      <c r="AP17353" s="4" t="s">
        <v>376</v>
      </c>
      <c r="AR17353" s="4" t="s">
        <v>377</v>
      </c>
    </row>
    <row r="17354" spans="1:44" ht="45">
      <c r="A17354" s="4" t="s">
        <v>10753</v>
      </c>
      <c r="B17354" s="4">
        <v>53973</v>
      </c>
      <c r="D17354" s="5" t="s">
        <v>21016</v>
      </c>
      <c r="E17354" s="6" t="str">
        <f>HYPERLINK("https://inpn.mnhn.fr/espece/cd_nom/53973","Lycaena phlaeas (Linnaeus, 1761)")</f>
        <v>Lycaena phlaeas (Linnaeus, 1761)</v>
      </c>
      <c r="F17354" s="5" t="s">
        <v>21017</v>
      </c>
      <c r="P17354" s="7" t="str">
        <f>HYPERLINK("#Liste_rouge!A"&amp;_xlfn.XMATCH("LC",Liste_rouge!A:A,2,1),"LC")</f>
        <v>LC</v>
      </c>
      <c r="Q17354" s="7" t="str">
        <f>HYPERLINK("#Liste_rouge!A"&amp;_xlfn.XMATCH("LC",Liste_rouge!A:A,2,1),"LC")</f>
        <v>LC</v>
      </c>
      <c r="T17354" s="7" t="str">
        <f>HYPERLINK("#Liste_rouge!A"&amp;_xlfn.XMATCH("LC",Liste_rouge!A:A,2,1),"LC")</f>
        <v>LC</v>
      </c>
      <c r="V17354" s="7" t="str">
        <f>HYPERLINK("#Liste_rouge!A"&amp;_xlfn.XMATCH("LC",Liste_rouge!A:A,2,1),"LC")</f>
        <v>LC</v>
      </c>
      <c r="AH17354" s="4" t="str">
        <f>HYPERLINK("#Statut_biogéographique!A"&amp;_xlfn.XMATCH("P",Statut_biogéographique!A:A,2,1),"P")</f>
        <v>P</v>
      </c>
      <c r="AM17354" s="4" t="s">
        <v>375</v>
      </c>
      <c r="AN17354" s="4" t="s">
        <v>375</v>
      </c>
      <c r="AO17354" s="4" t="s">
        <v>375</v>
      </c>
      <c r="AP17354" s="4" t="s">
        <v>376</v>
      </c>
      <c r="AR17354" s="4" t="s">
        <v>377</v>
      </c>
    </row>
    <row r="17355" spans="1:44" ht="45">
      <c r="A17355" s="4" t="s">
        <v>10753</v>
      </c>
      <c r="B17355" s="4">
        <v>53976</v>
      </c>
      <c r="D17355" s="5" t="s">
        <v>21018</v>
      </c>
      <c r="E17355" s="6" t="str">
        <f>HYPERLINK("https://inpn.mnhn.fr/espece/cd_nom/53976","Lycaena helle (Denis &amp; Schiffermüller, 1775)")</f>
        <v>Lycaena helle (Denis &amp; Schiffermüller, 1775)</v>
      </c>
      <c r="F17355" s="5" t="s">
        <v>21019</v>
      </c>
      <c r="K17355" s="4" t="str">
        <f>HYPERLINK("#Réglementation!A"&amp;_xlfn.XMATCH("CDH2",Réglementation!A:A,2,1),"CDH2 - CDH4")</f>
        <v>CDH2 - CDH4</v>
      </c>
      <c r="L17355" s="4" t="str">
        <f>HYPERLINK("#Réglementation!A"&amp;_xlfn.XMATCH("NI2",Réglementation!A:A,2,1),"NI2")</f>
        <v>NI2</v>
      </c>
      <c r="P17355" s="7" t="str">
        <f>HYPERLINK("#Liste_rouge!A"&amp;_xlfn.XMATCH("EN",Liste_rouge!A:A,2,1),"EN")</f>
        <v>EN</v>
      </c>
      <c r="Q17355" s="7" t="str">
        <f>HYPERLINK("#Liste_rouge!A"&amp;_xlfn.XMATCH("NT",Liste_rouge!A:A,2,1),"NT")</f>
        <v>NT</v>
      </c>
      <c r="T17355" s="7" t="str">
        <f>HYPERLINK("#Liste_rouge!A"&amp;_xlfn.XMATCH("CR",Liste_rouge!A:A,2,1),"CR")</f>
        <v>CR</v>
      </c>
      <c r="U17355" s="4" t="str">
        <f>HYPERLINK("#Critères_liste_rouge!A$1","B2ab(i,ii,iii)")</f>
        <v>B2ab(i,ii,iii)</v>
      </c>
      <c r="V17355" s="7" t="str">
        <f>HYPERLINK("#Liste_rouge!A"&amp;_xlfn.XMATCH("VU",Liste_rouge!A:A,2,1),"VU")</f>
        <v>VU</v>
      </c>
      <c r="W17355" s="4" t="str">
        <f>HYPERLINK("#Critères_liste_rouge!A$1","A2acB2ab(iii,iv)")</f>
        <v>A2acB2ab(iii,iv)</v>
      </c>
      <c r="X17355" s="5" t="s">
        <v>374</v>
      </c>
      <c r="AE17355" s="4" t="str">
        <f>HYPERLINK("#SCAP!A"&amp;_xlfn.XMATCH("1+",SCAP!A:A,2,1),"1+")</f>
        <v>1+</v>
      </c>
      <c r="AG17355" s="4" t="str">
        <f>HYPERLINK("#SCAP!A"&amp;_xlfn.XMATCH("1+",SCAP!A:A,2,1),"1+")</f>
        <v>1+</v>
      </c>
      <c r="AH17355" s="4" t="str">
        <f>HYPERLINK("#Statut_biogéographique!A"&amp;_xlfn.XMATCH("P",Statut_biogéographique!A:A,2,1),"P")</f>
        <v>P</v>
      </c>
      <c r="AI17355" s="8" t="s">
        <v>21020</v>
      </c>
      <c r="AJ17355" s="4" t="s">
        <v>12803</v>
      </c>
      <c r="AM17355" s="4" t="s">
        <v>375</v>
      </c>
      <c r="AN17355" s="4" t="s">
        <v>382</v>
      </c>
      <c r="AO17355" s="4" t="s">
        <v>382</v>
      </c>
      <c r="AP17355" s="4" t="s">
        <v>376</v>
      </c>
      <c r="AR17355" s="4" t="s">
        <v>377</v>
      </c>
    </row>
    <row r="17356" spans="1:44" ht="90">
      <c r="A17356" s="4" t="s">
        <v>10753</v>
      </c>
      <c r="B17356" s="4">
        <v>53979</v>
      </c>
      <c r="D17356" s="5" t="s">
        <v>21021</v>
      </c>
      <c r="E17356" s="6" t="str">
        <f>HYPERLINK("https://inpn.mnhn.fr/espece/cd_nom/53979","Lycaena dispar (Haworth, 1802)")</f>
        <v>Lycaena dispar (Haworth, 1802)</v>
      </c>
      <c r="F17356" s="5" t="s">
        <v>21022</v>
      </c>
      <c r="I17356" s="4" t="str">
        <f>HYPERLINK("#Réglementation!A"&amp;_xlfn.XMATCH("IBE2",Réglementation!A:A,2,1),"IBE2")</f>
        <v>IBE2</v>
      </c>
      <c r="K17356" s="4" t="str">
        <f>HYPERLINK("#Réglementation!A"&amp;_xlfn.XMATCH("CDH2",Réglementation!A:A,2,1),"CDH2 - CDH4")</f>
        <v>CDH2 - CDH4</v>
      </c>
      <c r="L17356" s="4" t="str">
        <f>HYPERLINK("#Réglementation!A"&amp;_xlfn.XMATCH("NI2",Réglementation!A:A,2,1),"NI2")</f>
        <v>NI2</v>
      </c>
      <c r="P17356" s="7" t="str">
        <f>HYPERLINK("#Liste_rouge!A"&amp;_xlfn.XMATCH("LC",Liste_rouge!A:A,2,1),"LC")</f>
        <v>LC</v>
      </c>
      <c r="Q17356" s="7" t="str">
        <f>HYPERLINK("#Liste_rouge!A"&amp;_xlfn.XMATCH("LC",Liste_rouge!A:A,2,1),"LC")</f>
        <v>LC</v>
      </c>
      <c r="T17356" s="7" t="str">
        <f>HYPERLINK("#Liste_rouge!A"&amp;_xlfn.XMATCH("LC",Liste_rouge!A:A,2,1),"LC")</f>
        <v>LC</v>
      </c>
      <c r="V17356" s="7" t="str">
        <f>HYPERLINK("#Liste_rouge!A"&amp;_xlfn.XMATCH("NT",Liste_rouge!A:A,2,1),"NT")</f>
        <v>NT</v>
      </c>
      <c r="W17356" s="4" t="str">
        <f>HYPERLINK("#Critères_liste_rouge!A$1","pr.A3c")</f>
        <v>pr.A3c</v>
      </c>
      <c r="X17356" s="5" t="s">
        <v>398</v>
      </c>
      <c r="AE17356" s="4" t="str">
        <f>HYPERLINK("#SCAP!A"&amp;_xlfn.XMATCH("3",SCAP!A:A,2,1),"3")</f>
        <v>3</v>
      </c>
      <c r="AF17356" s="4" t="str">
        <f>HYPERLINK("#SCAP!A"&amp;_xlfn.XMATCH("3",SCAP!A:A,2,1),"3")</f>
        <v>3</v>
      </c>
      <c r="AG17356" s="4" t="str">
        <f>HYPERLINK("#SCAP!A"&amp;_xlfn.XMATCH("2+",SCAP!A:A,2,1),"2+")</f>
        <v>2+</v>
      </c>
      <c r="AH17356" s="4" t="str">
        <f>HYPERLINK("#Statut_biogéographique!A"&amp;_xlfn.XMATCH("P",Statut_biogéographique!A:A,2,1),"P")</f>
        <v>P</v>
      </c>
      <c r="AI17356" s="8" t="s">
        <v>21023</v>
      </c>
      <c r="AJ17356" s="4" t="s">
        <v>12803</v>
      </c>
      <c r="AM17356" s="4" t="s">
        <v>375</v>
      </c>
      <c r="AN17356" s="4" t="s">
        <v>375</v>
      </c>
      <c r="AO17356" s="4" t="s">
        <v>375</v>
      </c>
      <c r="AP17356" s="4" t="s">
        <v>376</v>
      </c>
      <c r="AR17356" s="4" t="s">
        <v>377</v>
      </c>
    </row>
    <row r="17357" spans="1:44" ht="45">
      <c r="A17357" s="4" t="s">
        <v>10753</v>
      </c>
      <c r="B17357" s="4">
        <v>54021</v>
      </c>
      <c r="D17357" s="5" t="s">
        <v>21024</v>
      </c>
      <c r="E17357" s="6" t="str">
        <f>HYPERLINK("https://inpn.mnhn.fr/espece/cd_nom/54021","Lampides boeticus (Linnaeus, 1767)")</f>
        <v>Lampides boeticus (Linnaeus, 1767)</v>
      </c>
      <c r="F17357" s="5" t="s">
        <v>21025</v>
      </c>
      <c r="O17357" s="7" t="str">
        <f>HYPERLINK("#Liste_rouge!A"&amp;_xlfn.XMATCH("LC",Liste_rouge!A:A,2,1),"LC")</f>
        <v>LC</v>
      </c>
      <c r="P17357" s="7" t="str">
        <f>HYPERLINK("#Liste_rouge!A"&amp;_xlfn.XMATCH("LC",Liste_rouge!A:A,2,1),"LC")</f>
        <v>LC</v>
      </c>
      <c r="Q17357" s="7" t="str">
        <f>HYPERLINK("#Liste_rouge!A"&amp;_xlfn.XMATCH("LC",Liste_rouge!A:A,2,1),"LC")</f>
        <v>LC</v>
      </c>
      <c r="T17357" s="7" t="str">
        <f>HYPERLINK("#Liste_rouge!A"&amp;_xlfn.XMATCH("LC",Liste_rouge!A:A,2,1),"LC")</f>
        <v>LC</v>
      </c>
      <c r="V17357" s="7" t="str">
        <f>HYPERLINK("#Liste_rouge!A"&amp;_xlfn.XMATCH("LC",Liste_rouge!A:A,2,1),"LC")</f>
        <v>LC</v>
      </c>
      <c r="AH17357" s="4" t="str">
        <f>HYPERLINK("#Statut_biogéographique!A"&amp;_xlfn.XMATCH("P",Statut_biogéographique!A:A,2,1),"P")</f>
        <v>P</v>
      </c>
      <c r="AM17357" s="4" t="s">
        <v>375</v>
      </c>
      <c r="AN17357" s="4" t="s">
        <v>375</v>
      </c>
      <c r="AO17357" s="4" t="s">
        <v>375</v>
      </c>
      <c r="AP17357" s="4" t="s">
        <v>376</v>
      </c>
      <c r="AR17357" s="4" t="s">
        <v>377</v>
      </c>
    </row>
    <row r="17358" spans="1:44" ht="30">
      <c r="A17358" s="4" t="s">
        <v>10753</v>
      </c>
      <c r="B17358" s="4">
        <v>54029</v>
      </c>
      <c r="D17358" s="5" t="s">
        <v>21026</v>
      </c>
      <c r="E17358" s="6" t="str">
        <f>HYPERLINK("https://inpn.mnhn.fr/espece/cd_nom/54029","Cupido minimus (Fuessly, 1775)")</f>
        <v>Cupido minimus (Fuessly, 1775)</v>
      </c>
      <c r="F17358" s="5" t="s">
        <v>21027</v>
      </c>
      <c r="P17358" s="7" t="str">
        <f>HYPERLINK("#Liste_rouge!A"&amp;_xlfn.XMATCH("LC",Liste_rouge!A:A,2,1),"LC")</f>
        <v>LC</v>
      </c>
      <c r="Q17358" s="7" t="str">
        <f>HYPERLINK("#Liste_rouge!A"&amp;_xlfn.XMATCH("LC",Liste_rouge!A:A,2,1),"LC")</f>
        <v>LC</v>
      </c>
      <c r="T17358" s="7" t="str">
        <f>HYPERLINK("#Liste_rouge!A"&amp;_xlfn.XMATCH("LC",Liste_rouge!A:A,2,1),"LC")</f>
        <v>LC</v>
      </c>
      <c r="V17358" s="7" t="str">
        <f>HYPERLINK("#Liste_rouge!A"&amp;_xlfn.XMATCH("LC",Liste_rouge!A:A,2,1),"LC")</f>
        <v>LC</v>
      </c>
      <c r="AH17358" s="4" t="str">
        <f>HYPERLINK("#Statut_biogéographique!A"&amp;_xlfn.XMATCH("P",Statut_biogéographique!A:A,2,1),"P")</f>
        <v>P</v>
      </c>
      <c r="AM17358" s="4" t="s">
        <v>375</v>
      </c>
      <c r="AN17358" s="4" t="s">
        <v>375</v>
      </c>
      <c r="AO17358" s="4" t="s">
        <v>375</v>
      </c>
      <c r="AP17358" s="4" t="s">
        <v>376</v>
      </c>
      <c r="AR17358" s="4" t="s">
        <v>377</v>
      </c>
    </row>
    <row r="17359" spans="1:44" ht="45">
      <c r="A17359" s="4" t="s">
        <v>10753</v>
      </c>
      <c r="B17359" s="4">
        <v>54031</v>
      </c>
      <c r="D17359" s="5" t="s">
        <v>21028</v>
      </c>
      <c r="E17359" s="6" t="str">
        <f>HYPERLINK("https://inpn.mnhn.fr/espece/cd_nom/54031","Cupido osiris (Meigen, 1829)")</f>
        <v>Cupido osiris (Meigen, 1829)</v>
      </c>
      <c r="F17359" s="5" t="s">
        <v>21029</v>
      </c>
      <c r="P17359" s="7" t="str">
        <f>HYPERLINK("#Liste_rouge!A"&amp;_xlfn.XMATCH("LC",Liste_rouge!A:A,2,1),"LC")</f>
        <v>LC</v>
      </c>
      <c r="Q17359" s="7" t="str">
        <f>HYPERLINK("#Liste_rouge!A"&amp;_xlfn.XMATCH("LC",Liste_rouge!A:A,2,1),"LC")</f>
        <v>LC</v>
      </c>
      <c r="T17359" s="7" t="str">
        <f>HYPERLINK("#Liste_rouge!A"&amp;_xlfn.XMATCH("CR",Liste_rouge!A:A,2,1),"CR")</f>
        <v>CR</v>
      </c>
      <c r="U17359" s="4" t="str">
        <f>HYPERLINK("#Critères_liste_rouge!A$1","B2ab(ii,iii)")</f>
        <v>B2ab(ii,iii)</v>
      </c>
      <c r="V17359" s="7" t="str">
        <f>HYPERLINK("#Liste_rouge!A"&amp;_xlfn.XMATCH("DD",Liste_rouge!A:A,2,1),"DD")</f>
        <v>DD</v>
      </c>
      <c r="X17359" s="5" t="s">
        <v>374</v>
      </c>
      <c r="AH17359" s="4" t="str">
        <f>HYPERLINK("#Statut_biogéographique!A"&amp;_xlfn.XMATCH("P",Statut_biogéographique!A:A,2,1),"P")</f>
        <v>P</v>
      </c>
      <c r="AM17359" s="4" t="s">
        <v>375</v>
      </c>
      <c r="AN17359" s="4" t="s">
        <v>375</v>
      </c>
      <c r="AO17359" s="4" t="s">
        <v>375</v>
      </c>
      <c r="AP17359" s="4" t="s">
        <v>376</v>
      </c>
      <c r="AR17359" s="4" t="s">
        <v>377</v>
      </c>
    </row>
    <row r="17360" spans="1:44" ht="30">
      <c r="A17360" s="4" t="s">
        <v>10753</v>
      </c>
      <c r="B17360" s="4">
        <v>54052</v>
      </c>
      <c r="D17360" s="5" t="s">
        <v>21030</v>
      </c>
      <c r="E17360" s="6" t="str">
        <f>HYPERLINK("https://inpn.mnhn.fr/espece/cd_nom/54052","Celastrina argiolus (Linnaeus, 1758)")</f>
        <v>Celastrina argiolus (Linnaeus, 1758)</v>
      </c>
      <c r="F17360" s="5" t="s">
        <v>21031</v>
      </c>
      <c r="P17360" s="7" t="str">
        <f>HYPERLINK("#Liste_rouge!A"&amp;_xlfn.XMATCH("LC",Liste_rouge!A:A,2,1),"LC")</f>
        <v>LC</v>
      </c>
      <c r="Q17360" s="7" t="str">
        <f>HYPERLINK("#Liste_rouge!A"&amp;_xlfn.XMATCH("LC",Liste_rouge!A:A,2,1),"LC")</f>
        <v>LC</v>
      </c>
      <c r="T17360" s="7" t="str">
        <f>HYPERLINK("#Liste_rouge!A"&amp;_xlfn.XMATCH("LC",Liste_rouge!A:A,2,1),"LC")</f>
        <v>LC</v>
      </c>
      <c r="V17360" s="7" t="str">
        <f>HYPERLINK("#Liste_rouge!A"&amp;_xlfn.XMATCH("LC",Liste_rouge!A:A,2,1),"LC")</f>
        <v>LC</v>
      </c>
      <c r="AH17360" s="4" t="str">
        <f>HYPERLINK("#Statut_biogéographique!A"&amp;_xlfn.XMATCH("P",Statut_biogéographique!A:A,2,1),"P")</f>
        <v>P</v>
      </c>
      <c r="AM17360" s="4" t="s">
        <v>375</v>
      </c>
      <c r="AN17360" s="4" t="s">
        <v>375</v>
      </c>
      <c r="AO17360" s="4" t="s">
        <v>375</v>
      </c>
      <c r="AP17360" s="4" t="s">
        <v>376</v>
      </c>
      <c r="AR17360" s="4" t="s">
        <v>377</v>
      </c>
    </row>
    <row r="17361" spans="1:44" ht="45">
      <c r="A17361" s="4" t="s">
        <v>10753</v>
      </c>
      <c r="B17361" s="4">
        <v>54055</v>
      </c>
      <c r="D17361" s="5" t="s">
        <v>21032</v>
      </c>
      <c r="E17361" s="6" t="str">
        <f>HYPERLINK("https://inpn.mnhn.fr/espece/cd_nom/54055","Pseudophilotes baton (Bergsträsser, 1779)")</f>
        <v>Pseudophilotes baton (Bergsträsser, 1779)</v>
      </c>
      <c r="F17361" s="5" t="s">
        <v>21033</v>
      </c>
      <c r="O17361" s="7" t="str">
        <f>HYPERLINK("#Liste_rouge!A"&amp;_xlfn.XMATCH("LC",Liste_rouge!A:A,2,1),"LC")</f>
        <v>LC</v>
      </c>
      <c r="P17361" s="7" t="str">
        <f>HYPERLINK("#Liste_rouge!A"&amp;_xlfn.XMATCH("LC",Liste_rouge!A:A,2,1),"LC")</f>
        <v>LC</v>
      </c>
      <c r="Q17361" s="7" t="str">
        <f>HYPERLINK("#Liste_rouge!A"&amp;_xlfn.XMATCH("LC",Liste_rouge!A:A,2,1),"LC")</f>
        <v>LC</v>
      </c>
      <c r="T17361" s="7" t="str">
        <f>HYPERLINK("#Liste_rouge!A"&amp;_xlfn.XMATCH("EN",Liste_rouge!A:A,2,1),"EN")</f>
        <v>EN</v>
      </c>
      <c r="U17361" s="4" t="str">
        <f>HYPERLINK("#Critères_liste_rouge!A$1","A2C B2ab(i,ii,iii)")</f>
        <v>A2C B2ab(i,ii,iii)</v>
      </c>
      <c r="V17361" s="7" t="str">
        <f>HYPERLINK("#Liste_rouge!A"&amp;_xlfn.XMATCH("EN",Liste_rouge!A:A,2,1),"EN")</f>
        <v>EN</v>
      </c>
      <c r="W17361" s="4" t="str">
        <f>HYPERLINK("#Critères_liste_rouge!A$1","A2acB2ab(iii,iv)")</f>
        <v>A2acB2ab(iii,iv)</v>
      </c>
      <c r="X17361" s="5" t="s">
        <v>374</v>
      </c>
      <c r="AH17361" s="4" t="str">
        <f>HYPERLINK("#Statut_biogéographique!A"&amp;_xlfn.XMATCH("P",Statut_biogéographique!A:A,2,1),"P")</f>
        <v>P</v>
      </c>
      <c r="AM17361" s="4" t="s">
        <v>375</v>
      </c>
      <c r="AN17361" s="4" t="s">
        <v>375</v>
      </c>
      <c r="AO17361" s="4" t="s">
        <v>375</v>
      </c>
      <c r="AP17361" s="4" t="s">
        <v>376</v>
      </c>
      <c r="AR17361" s="4" t="s">
        <v>377</v>
      </c>
    </row>
    <row r="17362" spans="1:44" ht="60">
      <c r="A17362" s="4" t="s">
        <v>10753</v>
      </c>
      <c r="B17362" s="4">
        <v>54075</v>
      </c>
      <c r="D17362" s="5" t="s">
        <v>21034</v>
      </c>
      <c r="E17362" s="6" t="str">
        <f>HYPERLINK("https://inpn.mnhn.fr/espece/cd_nom/54075","Glaucopsyche alexis (Poda, 1761)")</f>
        <v>Glaucopsyche alexis (Poda, 1761)</v>
      </c>
      <c r="F17362" s="5" t="s">
        <v>21035</v>
      </c>
      <c r="P17362" s="7" t="str">
        <f>HYPERLINK("#Liste_rouge!A"&amp;_xlfn.XMATCH("LC",Liste_rouge!A:A,2,1),"LC")</f>
        <v>LC</v>
      </c>
      <c r="Q17362" s="7" t="str">
        <f>HYPERLINK("#Liste_rouge!A"&amp;_xlfn.XMATCH("LC",Liste_rouge!A:A,2,1),"LC")</f>
        <v>LC</v>
      </c>
      <c r="T17362" s="7" t="str">
        <f>HYPERLINK("#Liste_rouge!A"&amp;_xlfn.XMATCH("NT",Liste_rouge!A:A,2,1),"NT")</f>
        <v>NT</v>
      </c>
      <c r="U17362" s="4" t="str">
        <f>HYPERLINK("#Critères_liste_rouge!A$1","pr. B2b(iii)")</f>
        <v>pr. B2b(iii)</v>
      </c>
      <c r="V17362" s="7" t="str">
        <f>HYPERLINK("#Liste_rouge!A"&amp;_xlfn.XMATCH("NT",Liste_rouge!A:A,2,1),"NT")</f>
        <v>NT</v>
      </c>
      <c r="W17362" s="4" t="str">
        <f>HYPERLINK("#Critères_liste_rouge!A$1","pr.A3c")</f>
        <v>pr.A3c</v>
      </c>
      <c r="X17362" s="5" t="s">
        <v>398</v>
      </c>
      <c r="AH17362" s="4" t="str">
        <f>HYPERLINK("#Statut_biogéographique!A"&amp;_xlfn.XMATCH("P",Statut_biogéographique!A:A,2,1),"P")</f>
        <v>P</v>
      </c>
      <c r="AM17362" s="4" t="s">
        <v>375</v>
      </c>
      <c r="AN17362" s="4" t="s">
        <v>375</v>
      </c>
      <c r="AO17362" s="4" t="s">
        <v>375</v>
      </c>
      <c r="AP17362" s="4" t="s">
        <v>376</v>
      </c>
      <c r="AR17362" s="4" t="s">
        <v>377</v>
      </c>
    </row>
    <row r="17363" spans="1:44" ht="105">
      <c r="A17363" s="4" t="s">
        <v>10753</v>
      </c>
      <c r="B17363" s="4">
        <v>54105</v>
      </c>
      <c r="D17363" s="5" t="s">
        <v>21036</v>
      </c>
      <c r="E17363" s="6" t="str">
        <f>HYPERLINK("https://inpn.mnhn.fr/espece/cd_nom/54105","Plebejus argus (Linnaeus, 1758)")</f>
        <v>Plebejus argus (Linnaeus, 1758)</v>
      </c>
      <c r="F17363" s="5" t="s">
        <v>21037</v>
      </c>
      <c r="P17363" s="7" t="str">
        <f>HYPERLINK("#Liste_rouge!A"&amp;_xlfn.XMATCH("LC",Liste_rouge!A:A,2,1),"LC")</f>
        <v>LC</v>
      </c>
      <c r="Q17363" s="7" t="str">
        <f>HYPERLINK("#Liste_rouge!A"&amp;_xlfn.XMATCH("LC",Liste_rouge!A:A,2,1),"LC")</f>
        <v>LC</v>
      </c>
      <c r="T17363" s="7" t="str">
        <f>HYPERLINK("#Liste_rouge!A"&amp;_xlfn.XMATCH("VU",Liste_rouge!A:A,2,1),"VU")</f>
        <v>VU</v>
      </c>
      <c r="U17363" s="4" t="str">
        <f>HYPERLINK("#Critères_liste_rouge!A$1","B2ab(iii)")</f>
        <v>B2ab(iii)</v>
      </c>
      <c r="V17363" s="7" t="str">
        <f>HYPERLINK("#Liste_rouge!A"&amp;_xlfn.XMATCH("LC",Liste_rouge!A:A,2,1),"LC")</f>
        <v>LC</v>
      </c>
      <c r="X17363" s="5" t="s">
        <v>12755</v>
      </c>
      <c r="Y17363" s="5" t="s">
        <v>12784</v>
      </c>
      <c r="AH17363" s="4" t="str">
        <f>HYPERLINK("#Statut_biogéographique!A"&amp;_xlfn.XMATCH("P",Statut_biogéographique!A:A,2,1),"P")</f>
        <v>P</v>
      </c>
      <c r="AM17363" s="4" t="s">
        <v>375</v>
      </c>
      <c r="AN17363" s="4" t="s">
        <v>375</v>
      </c>
      <c r="AO17363" s="4" t="s">
        <v>375</v>
      </c>
      <c r="AP17363" s="4" t="s">
        <v>376</v>
      </c>
      <c r="AR17363" s="4" t="s">
        <v>377</v>
      </c>
    </row>
    <row r="17364" spans="1:44" ht="90">
      <c r="A17364" s="4" t="s">
        <v>10753</v>
      </c>
      <c r="B17364" s="4">
        <v>54126</v>
      </c>
      <c r="D17364" s="5" t="s">
        <v>21038</v>
      </c>
      <c r="E17364" s="6" t="str">
        <f>HYPERLINK("https://inpn.mnhn.fr/espece/cd_nom/54126","Plebejus idas (Linnaeus, 1761)")</f>
        <v>Plebejus idas (Linnaeus, 1761)</v>
      </c>
      <c r="F17364" s="5" t="s">
        <v>21039</v>
      </c>
      <c r="P17364" s="7" t="str">
        <f>HYPERLINK("#Liste_rouge!A"&amp;_xlfn.XMATCH("LC",Liste_rouge!A:A,2,1),"LC")</f>
        <v>LC</v>
      </c>
      <c r="Q17364" s="7" t="str">
        <f>HYPERLINK("#Liste_rouge!A"&amp;_xlfn.XMATCH("LC",Liste_rouge!A:A,2,1),"LC")</f>
        <v>LC</v>
      </c>
      <c r="T17364" s="7" t="str">
        <f>HYPERLINK("#Liste_rouge!A"&amp;_xlfn.XMATCH("VU",Liste_rouge!A:A,2,1),"VU")</f>
        <v>VU</v>
      </c>
      <c r="U17364" s="4" t="str">
        <f>HYPERLINK("#Critères_liste_rouge!A$1","B2ab(ii,iii)")</f>
        <v>B2ab(ii,iii)</v>
      </c>
      <c r="V17364" s="7" t="str">
        <f>HYPERLINK("#Liste_rouge!A"&amp;_xlfn.XMATCH("NT",Liste_rouge!A:A,2,1),"NT")</f>
        <v>NT</v>
      </c>
      <c r="W17364" s="4" t="str">
        <f>HYPERLINK("#Critères_liste_rouge!A$1","pr.A3c")</f>
        <v>pr.A3c</v>
      </c>
      <c r="X17364" s="5" t="s">
        <v>12755</v>
      </c>
      <c r="Y17364" s="5" t="s">
        <v>12756</v>
      </c>
      <c r="AH17364" s="4" t="str">
        <f>HYPERLINK("#Statut_biogéographique!A"&amp;_xlfn.XMATCH("P",Statut_biogéographique!A:A,2,1),"P")</f>
        <v>P</v>
      </c>
      <c r="AM17364" s="4" t="s">
        <v>375</v>
      </c>
      <c r="AN17364" s="4" t="s">
        <v>375</v>
      </c>
      <c r="AO17364" s="4" t="s">
        <v>375</v>
      </c>
      <c r="AP17364" s="4" t="s">
        <v>376</v>
      </c>
      <c r="AR17364" s="4" t="s">
        <v>377</v>
      </c>
    </row>
    <row r="17365" spans="1:44" ht="45">
      <c r="A17365" s="4" t="s">
        <v>10753</v>
      </c>
      <c r="B17365" s="4">
        <v>54170</v>
      </c>
      <c r="D17365" s="5" t="s">
        <v>21040</v>
      </c>
      <c r="E17365" s="6" t="str">
        <f>HYPERLINK("https://inpn.mnhn.fr/espece/cd_nom/54170","Plebejus argyrognomon (Bergsträsser, 1779)")</f>
        <v>Plebejus argyrognomon (Bergsträsser, 1779)</v>
      </c>
      <c r="F17365" s="5" t="s">
        <v>21041</v>
      </c>
      <c r="P17365" s="7" t="str">
        <f>HYPERLINK("#Liste_rouge!A"&amp;_xlfn.XMATCH("LC",Liste_rouge!A:A,2,1),"LC")</f>
        <v>LC</v>
      </c>
      <c r="Q17365" s="7" t="str">
        <f>HYPERLINK("#Liste_rouge!A"&amp;_xlfn.XMATCH("LC",Liste_rouge!A:A,2,1),"LC")</f>
        <v>LC</v>
      </c>
      <c r="T17365" s="7" t="str">
        <f>HYPERLINK("#Liste_rouge!A"&amp;_xlfn.XMATCH("LC",Liste_rouge!A:A,2,1),"LC")</f>
        <v>LC</v>
      </c>
      <c r="V17365" s="7" t="str">
        <f>HYPERLINK("#Liste_rouge!A"&amp;_xlfn.XMATCH("LC",Liste_rouge!A:A,2,1),"LC")</f>
        <v>LC</v>
      </c>
      <c r="X17365" s="5" t="s">
        <v>398</v>
      </c>
      <c r="AH17365" s="4" t="str">
        <f>HYPERLINK("#Statut_biogéographique!A"&amp;_xlfn.XMATCH("P",Statut_biogéographique!A:A,2,1),"P")</f>
        <v>P</v>
      </c>
      <c r="AM17365" s="4" t="s">
        <v>375</v>
      </c>
      <c r="AN17365" s="4" t="s">
        <v>375</v>
      </c>
      <c r="AO17365" s="4" t="s">
        <v>375</v>
      </c>
      <c r="AP17365" s="4" t="s">
        <v>376</v>
      </c>
      <c r="AR17365" s="4" t="s">
        <v>377</v>
      </c>
    </row>
    <row r="17366" spans="1:44" ht="30">
      <c r="A17366" s="4" t="s">
        <v>10753</v>
      </c>
      <c r="B17366" s="4">
        <v>54176</v>
      </c>
      <c r="D17366" s="5" t="s">
        <v>21042</v>
      </c>
      <c r="E17366" s="6" t="str">
        <f>HYPERLINK("https://inpn.mnhn.fr/espece/cd_nom/54176","Aricia artaxerxes (Fabricius, 1793)")</f>
        <v>Aricia artaxerxes (Fabricius, 1793)</v>
      </c>
      <c r="F17366" s="5" t="s">
        <v>21043</v>
      </c>
      <c r="P17366" s="7" t="str">
        <f>HYPERLINK("#Liste_rouge!A"&amp;_xlfn.XMATCH("LC",Liste_rouge!A:A,2,1),"LC")</f>
        <v>LC</v>
      </c>
      <c r="Q17366" s="7" t="str">
        <f>HYPERLINK("#Liste_rouge!A"&amp;_xlfn.XMATCH("LC",Liste_rouge!A:A,2,1),"LC")</f>
        <v>LC</v>
      </c>
      <c r="V17366" s="7" t="str">
        <f>HYPERLINK("#Liste_rouge!A"&amp;_xlfn.XMATCH("LC",Liste_rouge!A:A,2,1),"LC")</f>
        <v>LC</v>
      </c>
      <c r="AH17366" s="4" t="str">
        <f>HYPERLINK("#Statut_biogéographique!A"&amp;_xlfn.XMATCH("P",Statut_biogéographique!A:A,2,1),"P")</f>
        <v>P</v>
      </c>
      <c r="AM17366" s="4" t="s">
        <v>375</v>
      </c>
      <c r="AN17366" s="4" t="s">
        <v>375</v>
      </c>
      <c r="AO17366" s="4" t="s">
        <v>375</v>
      </c>
      <c r="AP17366" s="4" t="s">
        <v>376</v>
      </c>
      <c r="AR17366" s="4" t="s">
        <v>377</v>
      </c>
    </row>
    <row r="17367" spans="1:44" ht="45">
      <c r="A17367" s="4" t="s">
        <v>10753</v>
      </c>
      <c r="B17367" s="4">
        <v>54191</v>
      </c>
      <c r="D17367" s="5" t="s">
        <v>21044</v>
      </c>
      <c r="E17367" s="6" t="str">
        <f>HYPERLINK("https://inpn.mnhn.fr/espece/cd_nom/54191","Eumedonia eumedon (Esper, 1780)")</f>
        <v>Eumedonia eumedon (Esper, 1780)</v>
      </c>
      <c r="F17367" s="5" t="s">
        <v>21045</v>
      </c>
      <c r="P17367" s="7" t="str">
        <f>HYPERLINK("#Liste_rouge!A"&amp;_xlfn.XMATCH("LC",Liste_rouge!A:A,2,1),"LC")</f>
        <v>LC</v>
      </c>
      <c r="Q17367" s="7" t="str">
        <f>HYPERLINK("#Liste_rouge!A"&amp;_xlfn.XMATCH("LC",Liste_rouge!A:A,2,1),"LC")</f>
        <v>LC</v>
      </c>
      <c r="V17367" s="7" t="str">
        <f>HYPERLINK("#Liste_rouge!A"&amp;_xlfn.XMATCH("NT",Liste_rouge!A:A,2,1),"NT")</f>
        <v>NT</v>
      </c>
      <c r="W17367" s="4" t="str">
        <f>HYPERLINK("#Critères_liste_rouge!A$1","pr.A3c")</f>
        <v>pr.A3c</v>
      </c>
      <c r="X17367" s="5" t="s">
        <v>398</v>
      </c>
      <c r="AH17367" s="4" t="str">
        <f>HYPERLINK("#Statut_biogéographique!A"&amp;_xlfn.XMATCH("P",Statut_biogéographique!A:A,2,1),"P")</f>
        <v>P</v>
      </c>
      <c r="AM17367" s="4" t="s">
        <v>375</v>
      </c>
      <c r="AN17367" s="4" t="s">
        <v>375</v>
      </c>
      <c r="AO17367" s="4" t="s">
        <v>375</v>
      </c>
      <c r="AP17367" s="4" t="s">
        <v>376</v>
      </c>
      <c r="AR17367" s="4" t="s">
        <v>377</v>
      </c>
    </row>
    <row r="17368" spans="1:44" ht="45">
      <c r="A17368" s="4" t="s">
        <v>10753</v>
      </c>
      <c r="B17368" s="4">
        <v>54213</v>
      </c>
      <c r="D17368" s="5" t="s">
        <v>21046</v>
      </c>
      <c r="E17368" s="6" t="str">
        <f>HYPERLINK("https://inpn.mnhn.fr/espece/cd_nom/54213","Cyaniris semiargus (Rottemburg, 1775)")</f>
        <v>Cyaniris semiargus (Rottemburg, 1775)</v>
      </c>
      <c r="F17368" s="5" t="s">
        <v>21047</v>
      </c>
      <c r="P17368" s="7" t="str">
        <f>HYPERLINK("#Liste_rouge!A"&amp;_xlfn.XMATCH("LC",Liste_rouge!A:A,2,1),"LC")</f>
        <v>LC</v>
      </c>
      <c r="Q17368" s="7" t="str">
        <f>HYPERLINK("#Liste_rouge!A"&amp;_xlfn.XMATCH("LC",Liste_rouge!A:A,2,1),"LC")</f>
        <v>LC</v>
      </c>
      <c r="T17368" s="7" t="str">
        <f>HYPERLINK("#Liste_rouge!A"&amp;_xlfn.XMATCH("LC",Liste_rouge!A:A,2,1),"LC")</f>
        <v>LC</v>
      </c>
      <c r="V17368" s="7" t="str">
        <f>HYPERLINK("#Liste_rouge!A"&amp;_xlfn.XMATCH("LC",Liste_rouge!A:A,2,1),"LC")</f>
        <v>LC</v>
      </c>
      <c r="AH17368" s="4" t="str">
        <f>HYPERLINK("#Statut_biogéographique!A"&amp;_xlfn.XMATCH("P",Statut_biogéographique!A:A,2,1),"P")</f>
        <v>P</v>
      </c>
      <c r="AM17368" s="4" t="s">
        <v>375</v>
      </c>
      <c r="AN17368" s="4" t="s">
        <v>375</v>
      </c>
      <c r="AO17368" s="4" t="s">
        <v>375</v>
      </c>
      <c r="AP17368" s="4" t="s">
        <v>376</v>
      </c>
      <c r="AR17368" s="4" t="s">
        <v>377</v>
      </c>
    </row>
    <row r="17369" spans="1:44" ht="135">
      <c r="A17369" s="4" t="s">
        <v>10753</v>
      </c>
      <c r="B17369" s="4">
        <v>54265</v>
      </c>
      <c r="D17369" s="5" t="s">
        <v>21048</v>
      </c>
      <c r="E17369" s="6" t="str">
        <f>HYPERLINK("https://inpn.mnhn.fr/espece/cd_nom/54265","Lysandra coridon (Poda, 1761)")</f>
        <v>Lysandra coridon (Poda, 1761)</v>
      </c>
      <c r="F17369" s="5" t="s">
        <v>21049</v>
      </c>
      <c r="O17369" s="7" t="str">
        <f>HYPERLINK("#Liste_rouge!A"&amp;_xlfn.XMATCH("LC",Liste_rouge!A:A,2,1),"LC")</f>
        <v>LC</v>
      </c>
      <c r="P17369" s="7" t="str">
        <f>HYPERLINK("#Liste_rouge!A"&amp;_xlfn.XMATCH("LC",Liste_rouge!A:A,2,1),"LC")</f>
        <v>LC</v>
      </c>
      <c r="Q17369" s="7" t="str">
        <f>HYPERLINK("#Liste_rouge!A"&amp;_xlfn.XMATCH("DD",Liste_rouge!A:A,2,1),"DD (cd_nom 608318) - LC (cd_nom 219768)")</f>
        <v>DD (cd_nom 608318) - LC (cd_nom 219768)</v>
      </c>
      <c r="T17369" s="7" t="str">
        <f>HYPERLINK("#Liste_rouge!A"&amp;_xlfn.XMATCH("LC",Liste_rouge!A:A,2,1),"LC")</f>
        <v>LC</v>
      </c>
      <c r="V17369" s="7" t="str">
        <f>HYPERLINK("#Liste_rouge!A"&amp;_xlfn.XMATCH("LC",Liste_rouge!A:A,2,1),"LC")</f>
        <v>LC</v>
      </c>
      <c r="X17369" s="5" t="s">
        <v>398</v>
      </c>
      <c r="AH17369" s="4" t="str">
        <f>HYPERLINK("#Statut_biogéographique!A"&amp;_xlfn.XMATCH("P",Statut_biogéographique!A:A,2,1),"P")</f>
        <v>P</v>
      </c>
      <c r="AM17369" s="4" t="s">
        <v>375</v>
      </c>
      <c r="AN17369" s="4" t="s">
        <v>375</v>
      </c>
      <c r="AO17369" s="4" t="s">
        <v>375</v>
      </c>
      <c r="AP17369" s="4" t="s">
        <v>376</v>
      </c>
      <c r="AR17369" s="4" t="s">
        <v>377</v>
      </c>
    </row>
    <row r="17370" spans="1:44" ht="60">
      <c r="A17370" s="4" t="s">
        <v>10753</v>
      </c>
      <c r="B17370" s="4">
        <v>54271</v>
      </c>
      <c r="D17370" s="5" t="s">
        <v>21050</v>
      </c>
      <c r="E17370" s="6" t="str">
        <f>HYPERLINK("https://inpn.mnhn.fr/espece/cd_nom/54271","Lysandra bellargus (Rottemburg, 1775)")</f>
        <v>Lysandra bellargus (Rottemburg, 1775)</v>
      </c>
      <c r="F17370" s="5" t="s">
        <v>21051</v>
      </c>
      <c r="P17370" s="7" t="str">
        <f>HYPERLINK("#Liste_rouge!A"&amp;_xlfn.XMATCH("LC",Liste_rouge!A:A,2,1),"LC")</f>
        <v>LC</v>
      </c>
      <c r="Q17370" s="7" t="str">
        <f>HYPERLINK("#Liste_rouge!A"&amp;_xlfn.XMATCH("LC",Liste_rouge!A:A,2,1),"LC")</f>
        <v>LC</v>
      </c>
      <c r="T17370" s="7" t="str">
        <f>HYPERLINK("#Liste_rouge!A"&amp;_xlfn.XMATCH("LC",Liste_rouge!A:A,2,1),"LC")</f>
        <v>LC</v>
      </c>
      <c r="V17370" s="7" t="str">
        <f>HYPERLINK("#Liste_rouge!A"&amp;_xlfn.XMATCH("LC",Liste_rouge!A:A,2,1),"LC")</f>
        <v>LC</v>
      </c>
      <c r="AH17370" s="4" t="str">
        <f>HYPERLINK("#Statut_biogéographique!A"&amp;_xlfn.XMATCH("P",Statut_biogéographique!A:A,2,1),"P")</f>
        <v>P</v>
      </c>
      <c r="AM17370" s="4" t="s">
        <v>375</v>
      </c>
      <c r="AN17370" s="4" t="s">
        <v>375</v>
      </c>
      <c r="AO17370" s="4" t="s">
        <v>375</v>
      </c>
      <c r="AP17370" s="4" t="s">
        <v>376</v>
      </c>
      <c r="AR17370" s="4" t="s">
        <v>377</v>
      </c>
    </row>
    <row r="17371" spans="1:44" ht="45">
      <c r="A17371" s="4" t="s">
        <v>10753</v>
      </c>
      <c r="B17371" s="4">
        <v>54279</v>
      </c>
      <c r="D17371" s="5" t="s">
        <v>21052</v>
      </c>
      <c r="E17371" s="6" t="str">
        <f>HYPERLINK("https://inpn.mnhn.fr/espece/cd_nom/54279","Polyommatus icarus (Rottemburg, 1775)")</f>
        <v>Polyommatus icarus (Rottemburg, 1775)</v>
      </c>
      <c r="F17371" s="5" t="s">
        <v>21053</v>
      </c>
      <c r="P17371" s="7" t="str">
        <f>HYPERLINK("#Liste_rouge!A"&amp;_xlfn.XMATCH("LC",Liste_rouge!A:A,2,1),"LC")</f>
        <v>LC</v>
      </c>
      <c r="Q17371" s="7" t="str">
        <f>HYPERLINK("#Liste_rouge!A"&amp;_xlfn.XMATCH("LC",Liste_rouge!A:A,2,1),"LC")</f>
        <v>LC</v>
      </c>
      <c r="T17371" s="7" t="str">
        <f>HYPERLINK("#Liste_rouge!A"&amp;_xlfn.XMATCH("LC",Liste_rouge!A:A,2,1),"LC")</f>
        <v>LC</v>
      </c>
      <c r="V17371" s="7" t="str">
        <f>HYPERLINK("#Liste_rouge!A"&amp;_xlfn.XMATCH("LC",Liste_rouge!A:A,2,1),"LC")</f>
        <v>LC</v>
      </c>
      <c r="AH17371" s="4" t="str">
        <f>HYPERLINK("#Statut_biogéographique!A"&amp;_xlfn.XMATCH("P",Statut_biogéographique!A:A,2,1),"P")</f>
        <v>P</v>
      </c>
      <c r="AM17371" s="4" t="s">
        <v>375</v>
      </c>
      <c r="AN17371" s="4" t="s">
        <v>375</v>
      </c>
      <c r="AO17371" s="4" t="s">
        <v>375</v>
      </c>
      <c r="AP17371" s="4" t="s">
        <v>376</v>
      </c>
      <c r="AR17371" s="4" t="s">
        <v>377</v>
      </c>
    </row>
    <row r="17372" spans="1:44" ht="30">
      <c r="A17372" s="4" t="s">
        <v>10753</v>
      </c>
      <c r="B17372" s="4">
        <v>54307</v>
      </c>
      <c r="D17372" s="5" t="s">
        <v>21054</v>
      </c>
      <c r="E17372" s="6" t="str">
        <f>HYPERLINK("https://inpn.mnhn.fr/espece/cd_nom/54307","Callophrys rubi (Linnaeus, 1758)")</f>
        <v>Callophrys rubi (Linnaeus, 1758)</v>
      </c>
      <c r="F17372" s="5" t="s">
        <v>21055</v>
      </c>
      <c r="P17372" s="7" t="str">
        <f>HYPERLINK("#Liste_rouge!A"&amp;_xlfn.XMATCH("LC",Liste_rouge!A:A,2,1),"LC")</f>
        <v>LC</v>
      </c>
      <c r="Q17372" s="7" t="str">
        <f>HYPERLINK("#Liste_rouge!A"&amp;_xlfn.XMATCH("LC",Liste_rouge!A:A,2,1),"LC")</f>
        <v>LC</v>
      </c>
      <c r="T17372" s="7" t="str">
        <f>HYPERLINK("#Liste_rouge!A"&amp;_xlfn.XMATCH("LC",Liste_rouge!A:A,2,1),"LC")</f>
        <v>LC</v>
      </c>
      <c r="V17372" s="7" t="str">
        <f>HYPERLINK("#Liste_rouge!A"&amp;_xlfn.XMATCH("LC",Liste_rouge!A:A,2,1),"LC")</f>
        <v>LC</v>
      </c>
      <c r="AH17372" s="4" t="str">
        <f>HYPERLINK("#Statut_biogéographique!A"&amp;_xlfn.XMATCH("P",Statut_biogéographique!A:A,2,1),"P")</f>
        <v>P</v>
      </c>
      <c r="AM17372" s="4" t="s">
        <v>375</v>
      </c>
      <c r="AN17372" s="4" t="s">
        <v>375</v>
      </c>
      <c r="AO17372" s="4" t="s">
        <v>375</v>
      </c>
      <c r="AP17372" s="4" t="s">
        <v>376</v>
      </c>
      <c r="AR17372" s="4" t="s">
        <v>377</v>
      </c>
    </row>
    <row r="17373" spans="1:44" ht="30">
      <c r="A17373" s="4" t="s">
        <v>10753</v>
      </c>
      <c r="B17373" s="4">
        <v>54319</v>
      </c>
      <c r="D17373" s="5" t="s">
        <v>21056</v>
      </c>
      <c r="E17373" s="6" t="str">
        <f>HYPERLINK("https://inpn.mnhn.fr/espece/cd_nom/54319","Thecla betulae (Linnaeus, 1758)")</f>
        <v>Thecla betulae (Linnaeus, 1758)</v>
      </c>
      <c r="F17373" s="5" t="s">
        <v>21057</v>
      </c>
      <c r="P17373" s="7" t="str">
        <f>HYPERLINK("#Liste_rouge!A"&amp;_xlfn.XMATCH("LC",Liste_rouge!A:A,2,1),"LC")</f>
        <v>LC</v>
      </c>
      <c r="Q17373" s="7" t="str">
        <f>HYPERLINK("#Liste_rouge!A"&amp;_xlfn.XMATCH("LC",Liste_rouge!A:A,2,1),"LC")</f>
        <v>LC</v>
      </c>
      <c r="T17373" s="7" t="str">
        <f>HYPERLINK("#Liste_rouge!A"&amp;_xlfn.XMATCH("NT",Liste_rouge!A:A,2,1),"NT")</f>
        <v>NT</v>
      </c>
      <c r="U17373" s="4" t="str">
        <f>HYPERLINK("#Critères_liste_rouge!A$1","pr. B2b(iii)")</f>
        <v>pr. B2b(iii)</v>
      </c>
      <c r="V17373" s="7" t="str">
        <f>HYPERLINK("#Liste_rouge!A"&amp;_xlfn.XMATCH("LC",Liste_rouge!A:A,2,1),"LC")</f>
        <v>LC</v>
      </c>
      <c r="AH17373" s="4" t="str">
        <f>HYPERLINK("#Statut_biogéographique!A"&amp;_xlfn.XMATCH("P",Statut_biogéographique!A:A,2,1),"P")</f>
        <v>P</v>
      </c>
      <c r="AM17373" s="4" t="s">
        <v>375</v>
      </c>
      <c r="AN17373" s="4" t="s">
        <v>375</v>
      </c>
      <c r="AO17373" s="4" t="s">
        <v>375</v>
      </c>
      <c r="AP17373" s="4" t="s">
        <v>376</v>
      </c>
      <c r="AR17373" s="4" t="s">
        <v>377</v>
      </c>
    </row>
    <row r="17374" spans="1:44" ht="45">
      <c r="A17374" s="4" t="s">
        <v>10753</v>
      </c>
      <c r="B17374" s="4">
        <v>54322</v>
      </c>
      <c r="D17374" s="5" t="s">
        <v>21058</v>
      </c>
      <c r="E17374" s="6" t="str">
        <f>HYPERLINK("https://inpn.mnhn.fr/espece/cd_nom/54322","Quercusia quercus (Linnaeus, 1758)")</f>
        <v>Quercusia quercus (Linnaeus, 1758)</v>
      </c>
      <c r="F17374" s="5" t="s">
        <v>21059</v>
      </c>
      <c r="P17374" s="7" t="str">
        <f>HYPERLINK("#Liste_rouge!A"&amp;_xlfn.XMATCH("LC",Liste_rouge!A:A,2,1),"LC")</f>
        <v>LC</v>
      </c>
      <c r="Q17374" s="7" t="str">
        <f>HYPERLINK("#Liste_rouge!A"&amp;_xlfn.XMATCH("LC",Liste_rouge!A:A,2,1),"LC")</f>
        <v>LC</v>
      </c>
      <c r="T17374" s="7" t="str">
        <f>HYPERLINK("#Liste_rouge!A"&amp;_xlfn.XMATCH("LC",Liste_rouge!A:A,2,1),"LC")</f>
        <v>LC</v>
      </c>
      <c r="V17374" s="7" t="str">
        <f>HYPERLINK("#Liste_rouge!A"&amp;_xlfn.XMATCH("LC",Liste_rouge!A:A,2,1),"LC")</f>
        <v>LC</v>
      </c>
      <c r="AH17374" s="4" t="str">
        <f>HYPERLINK("#Statut_biogéographique!A"&amp;_xlfn.XMATCH("P",Statut_biogéographique!A:A,2,1),"P")</f>
        <v>P</v>
      </c>
      <c r="AM17374" s="4" t="s">
        <v>375</v>
      </c>
      <c r="AN17374" s="4" t="s">
        <v>375</v>
      </c>
      <c r="AO17374" s="4" t="s">
        <v>375</v>
      </c>
      <c r="AP17374" s="4" t="s">
        <v>376</v>
      </c>
      <c r="AR17374" s="4" t="s">
        <v>377</v>
      </c>
    </row>
    <row r="17375" spans="1:44" ht="45">
      <c r="A17375" s="4" t="s">
        <v>10753</v>
      </c>
      <c r="B17375" s="4">
        <v>54339</v>
      </c>
      <c r="D17375" s="5" t="s">
        <v>21060</v>
      </c>
      <c r="E17375" s="6" t="str">
        <f>HYPERLINK("https://inpn.mnhn.fr/espece/cd_nom/54339","Aporia crataegi (Linnaeus, 1758)")</f>
        <v>Aporia crataegi (Linnaeus, 1758)</v>
      </c>
      <c r="F17375" s="5" t="s">
        <v>21061</v>
      </c>
      <c r="P17375" s="7" t="str">
        <f>HYPERLINK("#Liste_rouge!A"&amp;_xlfn.XMATCH("LC",Liste_rouge!A:A,2,1),"LC")</f>
        <v>LC</v>
      </c>
      <c r="Q17375" s="7" t="str">
        <f>HYPERLINK("#Liste_rouge!A"&amp;_xlfn.XMATCH("LC",Liste_rouge!A:A,2,1),"LC")</f>
        <v>LC</v>
      </c>
      <c r="T17375" s="7" t="str">
        <f>HYPERLINK("#Liste_rouge!A"&amp;_xlfn.XMATCH("LC",Liste_rouge!A:A,2,1),"LC")</f>
        <v>LC</v>
      </c>
      <c r="V17375" s="7" t="str">
        <f>HYPERLINK("#Liste_rouge!A"&amp;_xlfn.XMATCH("LC",Liste_rouge!A:A,2,1),"LC")</f>
        <v>LC</v>
      </c>
      <c r="X17375" s="5" t="s">
        <v>398</v>
      </c>
      <c r="AH17375" s="4" t="str">
        <f>HYPERLINK("#Statut_biogéographique!A"&amp;_xlfn.XMATCH("P",Statut_biogéographique!A:A,2,1),"P")</f>
        <v>P</v>
      </c>
      <c r="AM17375" s="4" t="s">
        <v>375</v>
      </c>
      <c r="AN17375" s="4" t="s">
        <v>375</v>
      </c>
      <c r="AO17375" s="4" t="s">
        <v>375</v>
      </c>
      <c r="AP17375" s="4" t="s">
        <v>376</v>
      </c>
      <c r="AR17375" s="4" t="s">
        <v>377</v>
      </c>
    </row>
    <row r="17376" spans="1:44" ht="30">
      <c r="A17376" s="4" t="s">
        <v>10753</v>
      </c>
      <c r="B17376" s="4">
        <v>54342</v>
      </c>
      <c r="D17376" s="5" t="s">
        <v>21062</v>
      </c>
      <c r="E17376" s="6" t="str">
        <f>HYPERLINK("https://inpn.mnhn.fr/espece/cd_nom/54342","Pieris brassicae (Linnaeus, 1758)")</f>
        <v>Pieris brassicae (Linnaeus, 1758)</v>
      </c>
      <c r="F17376" s="5" t="s">
        <v>21063</v>
      </c>
      <c r="P17376" s="7" t="str">
        <f>HYPERLINK("#Liste_rouge!A"&amp;_xlfn.XMATCH("LC",Liste_rouge!A:A,2,1),"LC")</f>
        <v>LC</v>
      </c>
      <c r="Q17376" s="7" t="str">
        <f>HYPERLINK("#Liste_rouge!A"&amp;_xlfn.XMATCH("LC",Liste_rouge!A:A,2,1),"LC")</f>
        <v>LC</v>
      </c>
      <c r="T17376" s="7" t="str">
        <f>HYPERLINK("#Liste_rouge!A"&amp;_xlfn.XMATCH("LC",Liste_rouge!A:A,2,1),"LC")</f>
        <v>LC</v>
      </c>
      <c r="V17376" s="7" t="str">
        <f>HYPERLINK("#Liste_rouge!A"&amp;_xlfn.XMATCH("LC",Liste_rouge!A:A,2,1),"LC")</f>
        <v>LC</v>
      </c>
      <c r="AH17376" s="4" t="str">
        <f>HYPERLINK("#Statut_biogéographique!A"&amp;_xlfn.XMATCH("P",Statut_biogéographique!A:A,2,1),"P")</f>
        <v>P</v>
      </c>
      <c r="AM17376" s="4" t="s">
        <v>375</v>
      </c>
      <c r="AN17376" s="4" t="s">
        <v>375</v>
      </c>
      <c r="AO17376" s="4" t="s">
        <v>375</v>
      </c>
      <c r="AP17376" s="4" t="s">
        <v>376</v>
      </c>
      <c r="AR17376" s="4" t="s">
        <v>377</v>
      </c>
    </row>
    <row r="17377" spans="1:44" ht="45">
      <c r="A17377" s="4" t="s">
        <v>10753</v>
      </c>
      <c r="B17377" s="4">
        <v>54362</v>
      </c>
      <c r="D17377" s="5" t="s">
        <v>21064</v>
      </c>
      <c r="E17377" s="6" t="str">
        <f>HYPERLINK("https://inpn.mnhn.fr/espece/cd_nom/54362","Pontia daplidice (Linnaeus, 1758)")</f>
        <v>Pontia daplidice (Linnaeus, 1758)</v>
      </c>
      <c r="F17377" s="5" t="s">
        <v>21065</v>
      </c>
      <c r="O17377" s="7" t="str">
        <f>HYPERLINK("#Liste_rouge!A"&amp;_xlfn.XMATCH("LC",Liste_rouge!A:A,2,1),"LC")</f>
        <v>LC</v>
      </c>
      <c r="P17377" s="7" t="str">
        <f>HYPERLINK("#Liste_rouge!A"&amp;_xlfn.XMATCH("LC",Liste_rouge!A:A,2,1),"LC")</f>
        <v>LC</v>
      </c>
      <c r="Q17377" s="7" t="str">
        <f>HYPERLINK("#Liste_rouge!A"&amp;_xlfn.XMATCH("LC",Liste_rouge!A:A,2,1),"LC")</f>
        <v>LC</v>
      </c>
      <c r="T17377" s="7" t="str">
        <f>HYPERLINK("#Liste_rouge!A"&amp;_xlfn.XMATCH("VU",Liste_rouge!A:A,2,1),"VU")</f>
        <v>VU</v>
      </c>
      <c r="U17377" s="4" t="str">
        <f>HYPERLINK("#Critères_liste_rouge!A$1","EN B(1+2)ab(iii) (-1)")</f>
        <v>EN B(1+2)ab(iii) (-1)</v>
      </c>
      <c r="X17377" s="5" t="s">
        <v>374</v>
      </c>
      <c r="AH17377" s="4" t="str">
        <f>HYPERLINK("#Statut_biogéographique!A"&amp;_xlfn.XMATCH("P",Statut_biogéographique!A:A,2,1),"P")</f>
        <v>P</v>
      </c>
      <c r="AM17377" s="4" t="s">
        <v>375</v>
      </c>
      <c r="AN17377" s="4" t="s">
        <v>375</v>
      </c>
      <c r="AO17377" s="4" t="s">
        <v>375</v>
      </c>
      <c r="AP17377" s="4" t="s">
        <v>376</v>
      </c>
      <c r="AR17377" s="4" t="s">
        <v>377</v>
      </c>
    </row>
    <row r="17378" spans="1:44" ht="45">
      <c r="A17378" s="4" t="s">
        <v>10753</v>
      </c>
      <c r="B17378" s="4">
        <v>54376</v>
      </c>
      <c r="D17378" s="5" t="s">
        <v>21066</v>
      </c>
      <c r="E17378" s="6" t="str">
        <f>HYPERLINK("https://inpn.mnhn.fr/espece/cd_nom/54376","Leptidea sinapis (Linnaeus, 1758)")</f>
        <v>Leptidea sinapis (Linnaeus, 1758)</v>
      </c>
      <c r="F17378" s="5" t="s">
        <v>21067</v>
      </c>
      <c r="P17378" s="7" t="str">
        <f>HYPERLINK("#Liste_rouge!A"&amp;_xlfn.XMATCH("LC",Liste_rouge!A:A,2,1),"LC")</f>
        <v>LC</v>
      </c>
      <c r="Q17378" s="7" t="str">
        <f>HYPERLINK("#Liste_rouge!A"&amp;_xlfn.XMATCH("LC",Liste_rouge!A:A,2,1),"LC")</f>
        <v>LC</v>
      </c>
      <c r="T17378" s="7" t="str">
        <f>HYPERLINK("#Liste_rouge!A"&amp;_xlfn.XMATCH("LC",Liste_rouge!A:A,2,1),"LC")</f>
        <v>LC</v>
      </c>
      <c r="V17378" s="7" t="str">
        <f>HYPERLINK("#Liste_rouge!A"&amp;_xlfn.XMATCH("LC",Liste_rouge!A:A,2,1),"LC")</f>
        <v>LC</v>
      </c>
      <c r="AH17378" s="4" t="str">
        <f>HYPERLINK("#Statut_biogéographique!A"&amp;_xlfn.XMATCH("P",Statut_biogéographique!A:A,2,1),"P")</f>
        <v>P</v>
      </c>
      <c r="AM17378" s="4" t="s">
        <v>375</v>
      </c>
      <c r="AN17378" s="4" t="s">
        <v>375</v>
      </c>
      <c r="AO17378" s="4" t="s">
        <v>375</v>
      </c>
      <c r="AP17378" s="4" t="s">
        <v>376</v>
      </c>
      <c r="AR17378" s="4" t="s">
        <v>377</v>
      </c>
    </row>
    <row r="17379" spans="1:44" ht="30">
      <c r="A17379" s="4" t="s">
        <v>10753</v>
      </c>
      <c r="B17379" s="4">
        <v>54384</v>
      </c>
      <c r="D17379" s="5" t="s">
        <v>21068</v>
      </c>
      <c r="E17379" s="6" t="str">
        <f>HYPERLINK("https://inpn.mnhn.fr/espece/cd_nom/54384","Colias hyale (Linnaeus, 1758)")</f>
        <v>Colias hyale (Linnaeus, 1758)</v>
      </c>
      <c r="F17379" s="5" t="s">
        <v>21069</v>
      </c>
      <c r="P17379" s="7" t="str">
        <f>HYPERLINK("#Liste_rouge!A"&amp;_xlfn.XMATCH("LC",Liste_rouge!A:A,2,1),"LC")</f>
        <v>LC</v>
      </c>
      <c r="Q17379" s="7" t="str">
        <f>HYPERLINK("#Liste_rouge!A"&amp;_xlfn.XMATCH("LC",Liste_rouge!A:A,2,1),"LC")</f>
        <v>LC</v>
      </c>
      <c r="T17379" s="7" t="str">
        <f>HYPERLINK("#Liste_rouge!A"&amp;_xlfn.XMATCH("LC",Liste_rouge!A:A,2,1),"LC")</f>
        <v>LC</v>
      </c>
      <c r="V17379" s="7" t="str">
        <f>HYPERLINK("#Liste_rouge!A"&amp;_xlfn.XMATCH("LC",Liste_rouge!A:A,2,1),"LC")</f>
        <v>LC</v>
      </c>
      <c r="AH17379" s="4" t="str">
        <f>HYPERLINK("#Statut_biogéographique!A"&amp;_xlfn.XMATCH("P",Statut_biogéographique!A:A,2,1),"P")</f>
        <v>P</v>
      </c>
      <c r="AM17379" s="4" t="s">
        <v>375</v>
      </c>
      <c r="AN17379" s="4" t="s">
        <v>375</v>
      </c>
      <c r="AO17379" s="4" t="s">
        <v>375</v>
      </c>
      <c r="AP17379" s="4" t="s">
        <v>376</v>
      </c>
      <c r="AR17379" s="4" t="s">
        <v>377</v>
      </c>
    </row>
    <row r="17380" spans="1:44">
      <c r="A17380" s="4" t="s">
        <v>10753</v>
      </c>
      <c r="B17380" s="4">
        <v>54400</v>
      </c>
      <c r="D17380" s="5" t="s">
        <v>21070</v>
      </c>
      <c r="E17380" s="6" t="str">
        <f>HYPERLINK("https://inpn.mnhn.fr/espece/cd_nom/54400","Colias palaeno (Linnaeus, 1761)")</f>
        <v>Colias palaeno (Linnaeus, 1761)</v>
      </c>
      <c r="F17380" s="5" t="s">
        <v>21071</v>
      </c>
      <c r="L17380" s="4" t="str">
        <f>HYPERLINK("#Réglementation!A"&amp;_xlfn.XMATCH("NI3",Réglementation!A:A,2,1),"NI3")</f>
        <v>NI3</v>
      </c>
      <c r="P17380" s="7" t="str">
        <f>HYPERLINK("#Liste_rouge!A"&amp;_xlfn.XMATCH("LC",Liste_rouge!A:A,2,1),"LC")</f>
        <v>LC</v>
      </c>
      <c r="Q17380" s="7" t="str">
        <f>HYPERLINK("#Liste_rouge!A"&amp;_xlfn.XMATCH("LC",Liste_rouge!A:A,2,1),"LC")</f>
        <v>LC</v>
      </c>
      <c r="V17380" s="7" t="str">
        <f>HYPERLINK("#Liste_rouge!A"&amp;_xlfn.XMATCH("VU",Liste_rouge!A:A,2,1),"VU")</f>
        <v>VU</v>
      </c>
      <c r="W17380" s="4" t="str">
        <f>HYPERLINK("#Critères_liste_rouge!A$1","A2acB2ab(iii)")</f>
        <v>A2acB2ab(iii)</v>
      </c>
      <c r="X17380" s="5" t="s">
        <v>374</v>
      </c>
      <c r="AE17380" s="4" t="str">
        <f>HYPERLINK("#SCAP!A"&amp;_xlfn.XMATCH("1+",SCAP!A:A,2,1),"1+")</f>
        <v>1+</v>
      </c>
      <c r="AG17380" s="4" t="str">
        <f>HYPERLINK("#SCAP!A"&amp;_xlfn.XMATCH("1+",SCAP!A:A,2,1),"1+")</f>
        <v>1+</v>
      </c>
      <c r="AH17380" s="4" t="str">
        <f>HYPERLINK("#Statut_biogéographique!A"&amp;_xlfn.XMATCH("P",Statut_biogéographique!A:A,2,1),"P")</f>
        <v>P</v>
      </c>
      <c r="AI17380" s="8" t="s">
        <v>21072</v>
      </c>
      <c r="AJ17380" s="4" t="s">
        <v>12803</v>
      </c>
      <c r="AM17380" s="4" t="s">
        <v>375</v>
      </c>
      <c r="AN17380" s="4" t="s">
        <v>375</v>
      </c>
      <c r="AO17380" s="4" t="s">
        <v>375</v>
      </c>
      <c r="AP17380" s="4" t="s">
        <v>376</v>
      </c>
      <c r="AR17380" s="4" t="s">
        <v>377</v>
      </c>
    </row>
    <row r="17381" spans="1:44">
      <c r="A17381" s="4" t="s">
        <v>10753</v>
      </c>
      <c r="B17381" s="4">
        <v>54403</v>
      </c>
      <c r="D17381" s="5" t="s">
        <v>21073</v>
      </c>
      <c r="E17381" s="6" t="str">
        <f>HYPERLINK("https://inpn.mnhn.fr/espece/cd_nom/54403","Colias palaeno europome (Esper, 1778)")</f>
        <v>Colias palaeno europome (Esper, 1778)</v>
      </c>
      <c r="L17381" s="4" t="str">
        <f>HYPERLINK("#Réglementation!A"&amp;_xlfn.XMATCH("NI3",Réglementation!A:A,2,1),"NI3")</f>
        <v>NI3</v>
      </c>
      <c r="Q17381" s="7" t="str">
        <f>HYPERLINK("#Liste_rouge!A"&amp;_xlfn.XMATCH("NT",Liste_rouge!A:A,2,1),"NT")</f>
        <v>NT</v>
      </c>
      <c r="AH17381" s="4" t="str">
        <f>HYPERLINK("#Statut_biogéographique!A"&amp;_xlfn.XMATCH("P",Statut_biogéographique!A:A,2,1),"P")</f>
        <v>P</v>
      </c>
      <c r="AP17381" s="4" t="s">
        <v>376</v>
      </c>
      <c r="AR17381" s="4" t="s">
        <v>377</v>
      </c>
    </row>
    <row r="17382" spans="1:44" ht="30">
      <c r="A17382" s="4" t="s">
        <v>10753</v>
      </c>
      <c r="B17382" s="4">
        <v>54417</v>
      </c>
      <c r="D17382" s="5" t="s">
        <v>21074</v>
      </c>
      <c r="E17382" s="6" t="str">
        <f>HYPERLINK("https://inpn.mnhn.fr/espece/cd_nom/54417","Gonepteryx rhamni (Linnaeus, 1758)")</f>
        <v>Gonepteryx rhamni (Linnaeus, 1758)</v>
      </c>
      <c r="F17382" s="5" t="s">
        <v>21075</v>
      </c>
      <c r="P17382" s="7" t="str">
        <f>HYPERLINK("#Liste_rouge!A"&amp;_xlfn.XMATCH("LC",Liste_rouge!A:A,2,1),"LC")</f>
        <v>LC</v>
      </c>
      <c r="Q17382" s="7" t="str">
        <f>HYPERLINK("#Liste_rouge!A"&amp;_xlfn.XMATCH("LC",Liste_rouge!A:A,2,1),"LC")</f>
        <v>LC</v>
      </c>
      <c r="T17382" s="7" t="str">
        <f>HYPERLINK("#Liste_rouge!A"&amp;_xlfn.XMATCH("LC",Liste_rouge!A:A,2,1),"LC")</f>
        <v>LC</v>
      </c>
      <c r="V17382" s="7" t="str">
        <f>HYPERLINK("#Liste_rouge!A"&amp;_xlfn.XMATCH("LC",Liste_rouge!A:A,2,1),"LC")</f>
        <v>LC</v>
      </c>
      <c r="AH17382" s="4" t="str">
        <f>HYPERLINK("#Statut_biogéographique!A"&amp;_xlfn.XMATCH("P",Statut_biogéographique!A:A,2,1),"P")</f>
        <v>P</v>
      </c>
      <c r="AM17382" s="4" t="s">
        <v>375</v>
      </c>
      <c r="AN17382" s="4" t="s">
        <v>375</v>
      </c>
      <c r="AO17382" s="4" t="s">
        <v>375</v>
      </c>
      <c r="AP17382" s="4" t="s">
        <v>376</v>
      </c>
      <c r="AR17382" s="4" t="s">
        <v>377</v>
      </c>
    </row>
    <row r="17383" spans="1:44" ht="30">
      <c r="A17383" s="4" t="s">
        <v>10753</v>
      </c>
      <c r="B17383" s="4">
        <v>544258</v>
      </c>
      <c r="D17383" s="5" t="s">
        <v>21076</v>
      </c>
      <c r="E17383" s="6" t="str">
        <f>HYPERLINK("https://inpn.mnhn.fr/espece/cd_nom/544258","Asellus (Asellus) aquaticus (Linnaeus, 1758)")</f>
        <v>Asellus (Asellus) aquaticus (Linnaeus, 1758)</v>
      </c>
      <c r="F17383" s="5" t="s">
        <v>21077</v>
      </c>
      <c r="O17383" s="7" t="str">
        <f>HYPERLINK("#Liste_rouge!A"&amp;_xlfn.XMATCH("LC",Liste_rouge!A:A,2,1),"LC")</f>
        <v>LC</v>
      </c>
      <c r="Q17383" s="7" t="str">
        <f>HYPERLINK("#Liste_rouge!A"&amp;_xlfn.XMATCH("NA",Liste_rouge!A:A,2,1),"NA")</f>
        <v>NA</v>
      </c>
      <c r="AH17383" s="4" t="str">
        <f>HYPERLINK("#Statut_biogéographique!A"&amp;_xlfn.XMATCH("I",Statut_biogéographique!A:A,2,1),"I")</f>
        <v>I</v>
      </c>
      <c r="AP17383" s="4" t="s">
        <v>376</v>
      </c>
      <c r="AR17383" s="4" t="s">
        <v>377</v>
      </c>
    </row>
    <row r="17384" spans="1:44" ht="45">
      <c r="A17384" s="4" t="s">
        <v>10753</v>
      </c>
      <c r="B17384" s="4">
        <v>54433</v>
      </c>
      <c r="D17384" s="5" t="s">
        <v>21078</v>
      </c>
      <c r="E17384" s="6" t="str">
        <f>HYPERLINK("https://inpn.mnhn.fr/espece/cd_nom/54433","Euchloe crameri Butler, 1869")</f>
        <v>Euchloe crameri Butler, 1869</v>
      </c>
      <c r="F17384" s="5" t="s">
        <v>21079</v>
      </c>
      <c r="P17384" s="7" t="str">
        <f>HYPERLINK("#Liste_rouge!A"&amp;_xlfn.XMATCH("LC",Liste_rouge!A:A,2,1),"LC")</f>
        <v>LC</v>
      </c>
      <c r="Q17384" s="7" t="str">
        <f>HYPERLINK("#Liste_rouge!A"&amp;_xlfn.XMATCH("LC",Liste_rouge!A:A,2,1),"LC")</f>
        <v>LC</v>
      </c>
      <c r="T17384" s="7" t="str">
        <f>HYPERLINK("#Liste_rouge!A"&amp;_xlfn.XMATCH("CR",Liste_rouge!A:A,2,1),"CR")</f>
        <v>CR</v>
      </c>
      <c r="U17384" s="4" t="str">
        <f>HYPERLINK("#Critères_liste_rouge!A$1","B2ab(i,ii)")</f>
        <v>B2ab(i,ii)</v>
      </c>
      <c r="X17384" s="5" t="s">
        <v>374</v>
      </c>
      <c r="AH17384" s="4" t="str">
        <f>HYPERLINK("#Statut_biogéographique!A"&amp;_xlfn.XMATCH("P",Statut_biogéographique!A:A,2,1),"P")</f>
        <v>P</v>
      </c>
      <c r="AM17384" s="4" t="s">
        <v>375</v>
      </c>
      <c r="AN17384" s="4" t="s">
        <v>375</v>
      </c>
      <c r="AO17384" s="4" t="s">
        <v>375</v>
      </c>
      <c r="AP17384" s="4" t="s">
        <v>376</v>
      </c>
      <c r="AR17384" s="4" t="s">
        <v>377</v>
      </c>
    </row>
    <row r="17385" spans="1:44" ht="30">
      <c r="A17385" s="4" t="s">
        <v>10753</v>
      </c>
      <c r="B17385" s="4">
        <v>544397</v>
      </c>
      <c r="D17385" s="5" t="s">
        <v>21080</v>
      </c>
      <c r="E17385" s="6" t="str">
        <f>HYPERLINK("https://inpn.mnhn.fr/espece/cd_nom/544397","Gigantodiaptomus amblyodon (Marenzeller, 1873)")</f>
        <v>Gigantodiaptomus amblyodon (Marenzeller, 1873)</v>
      </c>
      <c r="Q17385" s="7" t="str">
        <f>HYPERLINK("#Liste_rouge!A"&amp;_xlfn.XMATCH("VU",Liste_rouge!A:A,2,1),"VU")</f>
        <v>VU</v>
      </c>
      <c r="AH17385" s="4" t="str">
        <f>HYPERLINK("#Statut_biogéographique!A"&amp;_xlfn.XMATCH("P",Statut_biogéographique!A:A,2,1),"P")</f>
        <v>P</v>
      </c>
      <c r="AP17385" s="4" t="s">
        <v>376</v>
      </c>
      <c r="AR17385" s="4" t="s">
        <v>377</v>
      </c>
    </row>
    <row r="17386" spans="1:44" ht="45">
      <c r="A17386" s="4" t="s">
        <v>10753</v>
      </c>
      <c r="B17386" s="4">
        <v>54451</v>
      </c>
      <c r="D17386" s="5" t="s">
        <v>21081</v>
      </c>
      <c r="E17386" s="6" t="str">
        <f>HYPERLINK("https://inpn.mnhn.fr/espece/cd_nom/54451","Anthocharis cardamines (Linnaeus, 1758)")</f>
        <v>Anthocharis cardamines (Linnaeus, 1758)</v>
      </c>
      <c r="F17386" s="5" t="s">
        <v>21082</v>
      </c>
      <c r="P17386" s="7" t="str">
        <f>HYPERLINK("#Liste_rouge!A"&amp;_xlfn.XMATCH("LC",Liste_rouge!A:A,2,1),"LC")</f>
        <v>LC</v>
      </c>
      <c r="Q17386" s="7" t="str">
        <f>HYPERLINK("#Liste_rouge!A"&amp;_xlfn.XMATCH("LC",Liste_rouge!A:A,2,1),"LC")</f>
        <v>LC</v>
      </c>
      <c r="T17386" s="7" t="str">
        <f>HYPERLINK("#Liste_rouge!A"&amp;_xlfn.XMATCH("LC",Liste_rouge!A:A,2,1),"LC")</f>
        <v>LC</v>
      </c>
      <c r="V17386" s="7" t="str">
        <f>HYPERLINK("#Liste_rouge!A"&amp;_xlfn.XMATCH("LC",Liste_rouge!A:A,2,1),"LC")</f>
        <v>LC</v>
      </c>
      <c r="AH17386" s="4" t="str">
        <f>HYPERLINK("#Statut_biogéographique!A"&amp;_xlfn.XMATCH("P",Statut_biogéographique!A:A,2,1),"P")</f>
        <v>P</v>
      </c>
      <c r="AM17386" s="4" t="s">
        <v>375</v>
      </c>
      <c r="AN17386" s="4" t="s">
        <v>375</v>
      </c>
      <c r="AO17386" s="4" t="s">
        <v>375</v>
      </c>
      <c r="AP17386" s="4" t="s">
        <v>376</v>
      </c>
      <c r="AR17386" s="4" t="s">
        <v>377</v>
      </c>
    </row>
    <row r="17387" spans="1:44">
      <c r="A17387" s="4" t="s">
        <v>10753</v>
      </c>
      <c r="B17387" s="4">
        <v>54468</v>
      </c>
      <c r="D17387" s="5" t="s">
        <v>21083</v>
      </c>
      <c r="E17387" s="6" t="str">
        <f>HYPERLINK("https://inpn.mnhn.fr/espece/cd_nom/54468","Papilio machaon Linnaeus, 1758")</f>
        <v>Papilio machaon Linnaeus, 1758</v>
      </c>
      <c r="F17387" s="5" t="s">
        <v>21084</v>
      </c>
      <c r="P17387" s="7" t="str">
        <f>HYPERLINK("#Liste_rouge!A"&amp;_xlfn.XMATCH("LC",Liste_rouge!A:A,2,1),"LC")</f>
        <v>LC</v>
      </c>
      <c r="Q17387" s="7" t="str">
        <f>HYPERLINK("#Liste_rouge!A"&amp;_xlfn.XMATCH("LC",Liste_rouge!A:A,2,1),"LC")</f>
        <v>LC</v>
      </c>
      <c r="T17387" s="7" t="str">
        <f>HYPERLINK("#Liste_rouge!A"&amp;_xlfn.XMATCH("LC",Liste_rouge!A:A,2,1),"LC")</f>
        <v>LC</v>
      </c>
      <c r="V17387" s="7" t="str">
        <f>HYPERLINK("#Liste_rouge!A"&amp;_xlfn.XMATCH("LC",Liste_rouge!A:A,2,1),"LC")</f>
        <v>LC</v>
      </c>
      <c r="AH17387" s="4" t="str">
        <f>HYPERLINK("#Statut_biogéographique!A"&amp;_xlfn.XMATCH("P",Statut_biogéographique!A:A,2,1),"P")</f>
        <v>P</v>
      </c>
      <c r="AM17387" s="4" t="s">
        <v>375</v>
      </c>
      <c r="AN17387" s="4" t="s">
        <v>375</v>
      </c>
      <c r="AO17387" s="4" t="s">
        <v>375</v>
      </c>
      <c r="AP17387" s="4" t="s">
        <v>376</v>
      </c>
      <c r="AR17387" s="4" t="s">
        <v>377</v>
      </c>
    </row>
    <row r="17388" spans="1:44" ht="30">
      <c r="A17388" s="4" t="s">
        <v>10753</v>
      </c>
      <c r="B17388" s="4">
        <v>54475</v>
      </c>
      <c r="D17388" s="5" t="s">
        <v>21085</v>
      </c>
      <c r="E17388" s="6" t="str">
        <f>HYPERLINK("https://inpn.mnhn.fr/espece/cd_nom/54475","Iphiclides podalirius (Linnaeus, 1758)")</f>
        <v>Iphiclides podalirius (Linnaeus, 1758)</v>
      </c>
      <c r="F17388" s="5" t="s">
        <v>21086</v>
      </c>
      <c r="P17388" s="7" t="str">
        <f>HYPERLINK("#Liste_rouge!A"&amp;_xlfn.XMATCH("LC",Liste_rouge!A:A,2,1),"LC")</f>
        <v>LC</v>
      </c>
      <c r="Q17388" s="7" t="str">
        <f>HYPERLINK("#Liste_rouge!A"&amp;_xlfn.XMATCH("LC",Liste_rouge!A:A,2,1),"LC")</f>
        <v>LC</v>
      </c>
      <c r="T17388" s="7" t="str">
        <f>HYPERLINK("#Liste_rouge!A"&amp;_xlfn.XMATCH("LC",Liste_rouge!A:A,2,1),"LC")</f>
        <v>LC</v>
      </c>
      <c r="V17388" s="7" t="str">
        <f>HYPERLINK("#Liste_rouge!A"&amp;_xlfn.XMATCH("LC",Liste_rouge!A:A,2,1),"LC")</f>
        <v>LC</v>
      </c>
      <c r="AH17388" s="4" t="str">
        <f>HYPERLINK("#Statut_biogéographique!A"&amp;_xlfn.XMATCH("P",Statut_biogéographique!A:A,2,1),"P")</f>
        <v>P</v>
      </c>
      <c r="AM17388" s="4" t="s">
        <v>375</v>
      </c>
      <c r="AN17388" s="4" t="s">
        <v>375</v>
      </c>
      <c r="AO17388" s="4" t="s">
        <v>375</v>
      </c>
      <c r="AP17388" s="4" t="s">
        <v>376</v>
      </c>
      <c r="AR17388" s="4" t="s">
        <v>377</v>
      </c>
    </row>
    <row r="17389" spans="1:44" ht="30">
      <c r="A17389" s="4" t="s">
        <v>10753</v>
      </c>
      <c r="B17389" s="4">
        <v>54477</v>
      </c>
      <c r="D17389" s="5">
        <v>54477</v>
      </c>
      <c r="E17389" s="6" t="str">
        <f>HYPERLINK("https://inpn.mnhn.fr/espece/cd_nom/54477","Iphiclides podalirius podalirius (Linnaeus, 1758)")</f>
        <v>Iphiclides podalirius podalirius (Linnaeus, 1758)</v>
      </c>
      <c r="AH17389" s="4" t="str">
        <f>HYPERLINK("#Statut_biogéographique!A"&amp;_xlfn.XMATCH("P",Statut_biogéographique!A:A,2,1),"P")</f>
        <v>P</v>
      </c>
      <c r="AP17389" s="4" t="s">
        <v>376</v>
      </c>
      <c r="AR17389" s="4" t="s">
        <v>377</v>
      </c>
    </row>
    <row r="17390" spans="1:44">
      <c r="A17390" s="4" t="s">
        <v>10753</v>
      </c>
      <c r="B17390" s="4">
        <v>54496</v>
      </c>
      <c r="D17390" s="5" t="s">
        <v>21087</v>
      </c>
      <c r="E17390" s="6" t="str">
        <f>HYPERLINK("https://inpn.mnhn.fr/espece/cd_nom/54496","Parnassius apollo (Linnaeus, 1758)")</f>
        <v>Parnassius apollo (Linnaeus, 1758)</v>
      </c>
      <c r="F17390" s="5" t="s">
        <v>21088</v>
      </c>
      <c r="G17390" s="4" t="str">
        <f>HYPERLINK("[#Réglementation!A"&amp;_xlfn.XMATCH("CCA",Réglementation!A:A,2,1),"CCA")</f>
        <v>CCA</v>
      </c>
      <c r="I17390" s="4" t="str">
        <f>HYPERLINK("#Réglementation!A"&amp;_xlfn.XMATCH("IBE2",Réglementation!A:A,2,1),"IBE2")</f>
        <v>IBE2</v>
      </c>
      <c r="K17390" s="4" t="str">
        <f>HYPERLINK("#Réglementation!A"&amp;_xlfn.XMATCH("CDH4",Réglementation!A:A,2,1),"CDH4")</f>
        <v>CDH4</v>
      </c>
      <c r="L17390" s="4" t="str">
        <f>HYPERLINK("#Réglementation!A"&amp;_xlfn.XMATCH("NI2",Réglementation!A:A,2,1),"NI2")</f>
        <v>NI2</v>
      </c>
      <c r="O17390" s="7" t="str">
        <f>HYPERLINK("#Liste_rouge!A"&amp;_xlfn.XMATCH("LC",Liste_rouge!A:A,2,1),"LC")</f>
        <v>LC</v>
      </c>
      <c r="P17390" s="7" t="str">
        <f>HYPERLINK("#Liste_rouge!A"&amp;_xlfn.XMATCH("NT",Liste_rouge!A:A,2,1),"NT")</f>
        <v>NT</v>
      </c>
      <c r="Q17390" s="7" t="str">
        <f>HYPERLINK("#Liste_rouge!A"&amp;_xlfn.XMATCH("LC",Liste_rouge!A:A,2,1),"LC")</f>
        <v>LC</v>
      </c>
      <c r="T17390" s="7" t="str">
        <f>HYPERLINK("#Liste_rouge!A"&amp;_xlfn.XMATCH("NA",Liste_rouge!A:A,2,1),"NA")</f>
        <v>NA</v>
      </c>
      <c r="V17390" s="7" t="str">
        <f>HYPERLINK("#Liste_rouge!A"&amp;_xlfn.XMATCH("VU",Liste_rouge!A:A,2,1),"VU")</f>
        <v>VU</v>
      </c>
      <c r="W17390" s="4" t="str">
        <f>HYPERLINK("#Critères_liste_rouge!A$1","A2acB2ab(i,ii,iii,iv)")</f>
        <v>A2acB2ab(i,ii,iii,iv)</v>
      </c>
      <c r="X17390" s="5" t="s">
        <v>374</v>
      </c>
      <c r="AD17390" s="4" t="s">
        <v>21089</v>
      </c>
      <c r="AE17390" s="4" t="str">
        <f>HYPERLINK("#SCAP!A"&amp;_xlfn.XMATCH("1+",SCAP!A:A,2,1),"1+")</f>
        <v>1+</v>
      </c>
      <c r="AG17390" s="4" t="str">
        <f>HYPERLINK("#SCAP!A"&amp;_xlfn.XMATCH("1+",SCAP!A:A,2,1),"1+")</f>
        <v>1+</v>
      </c>
      <c r="AH17390" s="4" t="str">
        <f>HYPERLINK("#Statut_biogéographique!A"&amp;_xlfn.XMATCH("P",Statut_biogéographique!A:A,2,1),"P")</f>
        <v>P</v>
      </c>
      <c r="AI17390" s="8" t="s">
        <v>21090</v>
      </c>
      <c r="AJ17390" s="4" t="s">
        <v>12803</v>
      </c>
      <c r="AM17390" s="4" t="s">
        <v>375</v>
      </c>
      <c r="AN17390" s="4" t="s">
        <v>375</v>
      </c>
      <c r="AO17390" s="4" t="s">
        <v>375</v>
      </c>
      <c r="AP17390" s="4" t="s">
        <v>376</v>
      </c>
      <c r="AR17390" s="4" t="s">
        <v>377</v>
      </c>
    </row>
    <row r="17391" spans="1:44">
      <c r="A17391" s="4" t="s">
        <v>10753</v>
      </c>
      <c r="B17391" s="4">
        <v>54526</v>
      </c>
      <c r="D17391" s="5" t="s">
        <v>21091</v>
      </c>
      <c r="E17391" s="6" t="str">
        <f>HYPERLINK("https://inpn.mnhn.fr/espece/cd_nom/54526","Dyseriocrania subpurpurella (Haworth, 1828)")</f>
        <v>Dyseriocrania subpurpurella (Haworth, 1828)</v>
      </c>
      <c r="AH17391" s="4" t="str">
        <f>HYPERLINK("#Statut_biogéographique!A"&amp;_xlfn.XMATCH("P",Statut_biogéographique!A:A,2,1),"P")</f>
        <v>P</v>
      </c>
      <c r="AP17391" s="4" t="s">
        <v>376</v>
      </c>
      <c r="AR17391" s="4" t="s">
        <v>377</v>
      </c>
    </row>
    <row r="17392" spans="1:44">
      <c r="A17392" s="4" t="s">
        <v>10753</v>
      </c>
      <c r="B17392" s="4">
        <v>54537</v>
      </c>
      <c r="D17392" s="5" t="s">
        <v>21092</v>
      </c>
      <c r="E17392" s="6" t="str">
        <f>HYPERLINK("https://inpn.mnhn.fr/espece/cd_nom/54537","Hepialus humuli (Linnaeus, 1758)")</f>
        <v>Hepialus humuli (Linnaeus, 1758)</v>
      </c>
      <c r="F17392" s="5" t="s">
        <v>21093</v>
      </c>
      <c r="AH17392" s="4" t="str">
        <f>HYPERLINK("#Statut_biogéographique!A"&amp;_xlfn.XMATCH("P",Statut_biogéographique!A:A,2,1),"P")</f>
        <v>P</v>
      </c>
      <c r="AP17392" s="4" t="s">
        <v>376</v>
      </c>
      <c r="AR17392" s="4" t="s">
        <v>377</v>
      </c>
    </row>
    <row r="17393" spans="1:44">
      <c r="A17393" s="4" t="s">
        <v>10753</v>
      </c>
      <c r="B17393" s="4">
        <v>54540</v>
      </c>
      <c r="D17393" s="5" t="s">
        <v>21094</v>
      </c>
      <c r="E17393" s="6" t="str">
        <f>HYPERLINK("https://inpn.mnhn.fr/espece/cd_nom/54540","Korscheltellus lupulinus (Linnaeus, 1758)")</f>
        <v>Korscheltellus lupulinus (Linnaeus, 1758)</v>
      </c>
      <c r="F17393" s="5" t="s">
        <v>21095</v>
      </c>
      <c r="AH17393" s="4" t="str">
        <f>HYPERLINK("#Statut_biogéographique!A"&amp;_xlfn.XMATCH("P",Statut_biogéographique!A:A,2,1),"P")</f>
        <v>P</v>
      </c>
      <c r="AP17393" s="4" t="s">
        <v>376</v>
      </c>
      <c r="AR17393" s="4" t="s">
        <v>377</v>
      </c>
    </row>
    <row r="17394" spans="1:44">
      <c r="A17394" s="4" t="s">
        <v>10753</v>
      </c>
      <c r="B17394" s="4">
        <v>54548</v>
      </c>
      <c r="D17394" s="5" t="s">
        <v>21096</v>
      </c>
      <c r="E17394" s="6" t="str">
        <f>HYPERLINK("https://inpn.mnhn.fr/espece/cd_nom/54548","Phalera bucephala (Linnaeus, 1758)")</f>
        <v>Phalera bucephala (Linnaeus, 1758)</v>
      </c>
      <c r="F17394" s="5" t="s">
        <v>21097</v>
      </c>
      <c r="AH17394" s="4" t="str">
        <f>HYPERLINK("#Statut_biogéographique!A"&amp;_xlfn.XMATCH("P",Statut_biogéographique!A:A,2,1),"P")</f>
        <v>P</v>
      </c>
      <c r="AP17394" s="4" t="s">
        <v>376</v>
      </c>
      <c r="AR17394" s="4" t="s">
        <v>377</v>
      </c>
    </row>
    <row r="17395" spans="1:44">
      <c r="A17395" s="4" t="s">
        <v>10753</v>
      </c>
      <c r="B17395" s="4">
        <v>54555</v>
      </c>
      <c r="D17395" s="5" t="s">
        <v>21098</v>
      </c>
      <c r="E17395" s="6" t="str">
        <f>HYPERLINK("https://inpn.mnhn.fr/espece/cd_nom/54555","Cerura vinula (Linnaeus, 1758)")</f>
        <v>Cerura vinula (Linnaeus, 1758)</v>
      </c>
      <c r="F17395" s="5" t="s">
        <v>21099</v>
      </c>
      <c r="AH17395" s="4" t="str">
        <f>HYPERLINK("#Statut_biogéographique!A"&amp;_xlfn.XMATCH("P",Statut_biogéographique!A:A,2,1),"P")</f>
        <v>P</v>
      </c>
      <c r="AP17395" s="4" t="s">
        <v>376</v>
      </c>
      <c r="AR17395" s="4" t="s">
        <v>377</v>
      </c>
    </row>
    <row r="17396" spans="1:44">
      <c r="A17396" s="4" t="s">
        <v>10753</v>
      </c>
      <c r="B17396" s="4">
        <v>54557</v>
      </c>
      <c r="D17396" s="5" t="s">
        <v>21100</v>
      </c>
      <c r="E17396" s="6" t="str">
        <f>HYPERLINK("https://inpn.mnhn.fr/espece/cd_nom/54557","Cerura erminea (Esper, 1783)")</f>
        <v>Cerura erminea (Esper, 1783)</v>
      </c>
      <c r="F17396" s="5" t="s">
        <v>21101</v>
      </c>
      <c r="AH17396" s="4" t="str">
        <f>HYPERLINK("#Statut_biogéographique!A"&amp;_xlfn.XMATCH("P",Statut_biogéographique!A:A,2,1),"P")</f>
        <v>P</v>
      </c>
      <c r="AP17396" s="4" t="s">
        <v>376</v>
      </c>
      <c r="AR17396" s="4" t="s">
        <v>377</v>
      </c>
    </row>
    <row r="17397" spans="1:44">
      <c r="A17397" s="4" t="s">
        <v>10753</v>
      </c>
      <c r="B17397" s="4">
        <v>54567</v>
      </c>
      <c r="D17397" s="5" t="s">
        <v>21102</v>
      </c>
      <c r="E17397" s="6" t="str">
        <f>HYPERLINK("https://inpn.mnhn.fr/espece/cd_nom/54567","Neoharpyia verbasci (Fabricius, 1798)")</f>
        <v>Neoharpyia verbasci (Fabricius, 1798)</v>
      </c>
      <c r="F17397" s="5" t="s">
        <v>21103</v>
      </c>
      <c r="AH17397" s="4" t="str">
        <f>HYPERLINK("#Statut_biogéographique!A"&amp;_xlfn.XMATCH("P",Statut_biogéographique!A:A,2,1),"P")</f>
        <v>P</v>
      </c>
      <c r="AP17397" s="4" t="s">
        <v>376</v>
      </c>
      <c r="AR17397" s="4" t="s">
        <v>377</v>
      </c>
    </row>
    <row r="17398" spans="1:44" ht="30">
      <c r="A17398" s="4" t="s">
        <v>10753</v>
      </c>
      <c r="B17398" s="4">
        <v>54570</v>
      </c>
      <c r="D17398" s="5" t="s">
        <v>21104</v>
      </c>
      <c r="E17398" s="6" t="str">
        <f>HYPERLINK("https://inpn.mnhn.fr/espece/cd_nom/54570","Stauropus fagi (Linnaeus, 1758)")</f>
        <v>Stauropus fagi (Linnaeus, 1758)</v>
      </c>
      <c r="F17398" s="5" t="s">
        <v>21105</v>
      </c>
      <c r="AH17398" s="4" t="str">
        <f>HYPERLINK("#Statut_biogéographique!A"&amp;_xlfn.XMATCH("P",Statut_biogéographique!A:A,2,1),"P")</f>
        <v>P</v>
      </c>
      <c r="AP17398" s="4" t="s">
        <v>376</v>
      </c>
      <c r="AR17398" s="4" t="s">
        <v>377</v>
      </c>
    </row>
    <row r="17399" spans="1:44" ht="30">
      <c r="A17399" s="4" t="s">
        <v>10753</v>
      </c>
      <c r="B17399" s="4">
        <v>54573</v>
      </c>
      <c r="D17399" s="5" t="s">
        <v>21106</v>
      </c>
      <c r="E17399" s="6" t="str">
        <f>HYPERLINK("https://inpn.mnhn.fr/espece/cd_nom/54573","Peridea anceps (Goeze, 1781)")</f>
        <v>Peridea anceps (Goeze, 1781)</v>
      </c>
      <c r="F17399" s="5" t="s">
        <v>21107</v>
      </c>
      <c r="AH17399" s="4" t="str">
        <f>HYPERLINK("#Statut_biogéographique!A"&amp;_xlfn.XMATCH("P",Statut_biogéographique!A:A,2,1),"P")</f>
        <v>P</v>
      </c>
      <c r="AP17399" s="4" t="s">
        <v>376</v>
      </c>
      <c r="AR17399" s="4" t="s">
        <v>377</v>
      </c>
    </row>
    <row r="17400" spans="1:44">
      <c r="A17400" s="4" t="s">
        <v>10753</v>
      </c>
      <c r="B17400" s="4">
        <v>54578</v>
      </c>
      <c r="D17400" s="5" t="s">
        <v>21108</v>
      </c>
      <c r="E17400" s="6" t="str">
        <f>HYPERLINK("https://inpn.mnhn.fr/espece/cd_nom/54578","Notodonta dromedarius (Linnaeus, 1767)")</f>
        <v>Notodonta dromedarius (Linnaeus, 1767)</v>
      </c>
      <c r="F17400" s="5" t="s">
        <v>21109</v>
      </c>
      <c r="AH17400" s="4" t="str">
        <f>HYPERLINK("#Statut_biogéographique!A"&amp;_xlfn.XMATCH("P",Statut_biogéographique!A:A,2,1),"P")</f>
        <v>P</v>
      </c>
      <c r="AP17400" s="4" t="s">
        <v>376</v>
      </c>
      <c r="AR17400" s="4" t="s">
        <v>377</v>
      </c>
    </row>
    <row r="17401" spans="1:44">
      <c r="A17401" s="4" t="s">
        <v>10753</v>
      </c>
      <c r="B17401" s="4">
        <v>54580</v>
      </c>
      <c r="D17401" s="5" t="s">
        <v>21110</v>
      </c>
      <c r="E17401" s="6" t="str">
        <f>HYPERLINK("https://inpn.mnhn.fr/espece/cd_nom/54580","Notodonta torva (Hübner, 1803)")</f>
        <v>Notodonta torva (Hübner, 1803)</v>
      </c>
      <c r="F17401" s="5" t="s">
        <v>21111</v>
      </c>
      <c r="AH17401" s="4" t="str">
        <f>HYPERLINK("#Statut_biogéographique!A"&amp;_xlfn.XMATCH("P",Statut_biogéographique!A:A,2,1),"P")</f>
        <v>P</v>
      </c>
      <c r="AP17401" s="4" t="s">
        <v>376</v>
      </c>
      <c r="AR17401" s="4" t="s">
        <v>377</v>
      </c>
    </row>
    <row r="17402" spans="1:44" ht="30">
      <c r="A17402" s="4" t="s">
        <v>10753</v>
      </c>
      <c r="B17402" s="4">
        <v>54589</v>
      </c>
      <c r="D17402" s="5" t="s">
        <v>21112</v>
      </c>
      <c r="E17402" s="6" t="str">
        <f>HYPERLINK("https://inpn.mnhn.fr/espece/cd_nom/54589","Drymonia dodonaea (Denis &amp; Schiffermüller, 1775)")</f>
        <v>Drymonia dodonaea (Denis &amp; Schiffermüller, 1775)</v>
      </c>
      <c r="F17402" s="5" t="s">
        <v>21113</v>
      </c>
      <c r="AH17402" s="4" t="str">
        <f>HYPERLINK("#Statut_biogéographique!A"&amp;_xlfn.XMATCH("P",Statut_biogéographique!A:A,2,1),"P")</f>
        <v>P</v>
      </c>
      <c r="AP17402" s="4" t="s">
        <v>376</v>
      </c>
      <c r="AR17402" s="4" t="s">
        <v>377</v>
      </c>
    </row>
    <row r="17403" spans="1:44">
      <c r="A17403" s="4" t="s">
        <v>10753</v>
      </c>
      <c r="B17403" s="4">
        <v>54592</v>
      </c>
      <c r="D17403" s="5" t="s">
        <v>21114</v>
      </c>
      <c r="E17403" s="6" t="str">
        <f>HYPERLINK("https://inpn.mnhn.fr/espece/cd_nom/54592","Drymonia ruficornis (Hufnagel, 1766)")</f>
        <v>Drymonia ruficornis (Hufnagel, 1766)</v>
      </c>
      <c r="F17403" s="5" t="s">
        <v>21115</v>
      </c>
      <c r="AH17403" s="4" t="str">
        <f>HYPERLINK("#Statut_biogéographique!A"&amp;_xlfn.XMATCH("P",Statut_biogéographique!A:A,2,1),"P")</f>
        <v>P</v>
      </c>
      <c r="AP17403" s="4" t="s">
        <v>376</v>
      </c>
      <c r="AR17403" s="4" t="s">
        <v>377</v>
      </c>
    </row>
    <row r="17404" spans="1:44" ht="30">
      <c r="A17404" s="4" t="s">
        <v>10753</v>
      </c>
      <c r="B17404" s="4">
        <v>54595</v>
      </c>
      <c r="D17404" s="5" t="s">
        <v>21116</v>
      </c>
      <c r="E17404" s="6" t="str">
        <f>HYPERLINK("https://inpn.mnhn.fr/espece/cd_nom/54595","Drymonia querna (Denis &amp; Schiffermüller, 1775)")</f>
        <v>Drymonia querna (Denis &amp; Schiffermüller, 1775)</v>
      </c>
      <c r="F17404" s="5" t="s">
        <v>21117</v>
      </c>
      <c r="AH17404" s="4" t="str">
        <f>HYPERLINK("#Statut_biogéographique!A"&amp;_xlfn.XMATCH("P",Statut_biogéographique!A:A,2,1),"P")</f>
        <v>P</v>
      </c>
      <c r="AP17404" s="4" t="s">
        <v>376</v>
      </c>
      <c r="AR17404" s="4" t="s">
        <v>377</v>
      </c>
    </row>
    <row r="17405" spans="1:44">
      <c r="A17405" s="4" t="s">
        <v>10753</v>
      </c>
      <c r="B17405" s="4">
        <v>54614</v>
      </c>
      <c r="D17405" s="5" t="s">
        <v>21118</v>
      </c>
      <c r="E17405" s="6" t="str">
        <f>HYPERLINK("https://inpn.mnhn.fr/espece/cd_nom/54614","Pheosia tremula (Clerck, 1759)")</f>
        <v>Pheosia tremula (Clerck, 1759)</v>
      </c>
      <c r="F17405" s="5" t="s">
        <v>21119</v>
      </c>
      <c r="AH17405" s="4" t="str">
        <f>HYPERLINK("#Statut_biogéographique!A"&amp;_xlfn.XMATCH("P",Statut_biogéographique!A:A,2,1),"P")</f>
        <v>P</v>
      </c>
      <c r="AP17405" s="4" t="s">
        <v>376</v>
      </c>
      <c r="AR17405" s="4" t="s">
        <v>377</v>
      </c>
    </row>
    <row r="17406" spans="1:44">
      <c r="A17406" s="4" t="s">
        <v>10753</v>
      </c>
      <c r="B17406" s="4">
        <v>54617</v>
      </c>
      <c r="D17406" s="5" t="s">
        <v>21120</v>
      </c>
      <c r="E17406" s="6" t="str">
        <f>HYPERLINK("https://inpn.mnhn.fr/espece/cd_nom/54617","Pheosia gnoma (Fabricius, 1777)")</f>
        <v>Pheosia gnoma (Fabricius, 1777)</v>
      </c>
      <c r="F17406" s="5" t="s">
        <v>21121</v>
      </c>
      <c r="AH17406" s="4" t="str">
        <f>HYPERLINK("#Statut_biogéographique!A"&amp;_xlfn.XMATCH("P",Statut_biogéographique!A:A,2,1),"P")</f>
        <v>P</v>
      </c>
      <c r="AP17406" s="4" t="s">
        <v>376</v>
      </c>
      <c r="AR17406" s="4" t="s">
        <v>377</v>
      </c>
    </row>
    <row r="17407" spans="1:44" ht="30">
      <c r="A17407" s="4" t="s">
        <v>10753</v>
      </c>
      <c r="B17407" s="4">
        <v>54621</v>
      </c>
      <c r="D17407" s="5" t="s">
        <v>21122</v>
      </c>
      <c r="E17407" s="6" t="str">
        <f>HYPERLINK("https://inpn.mnhn.fr/espece/cd_nom/54621","Ptilophora plumigera (Denis &amp; Schiffermüller, 1775)")</f>
        <v>Ptilophora plumigera (Denis &amp; Schiffermüller, 1775)</v>
      </c>
      <c r="F17407" s="5" t="s">
        <v>21123</v>
      </c>
      <c r="AH17407" s="4" t="str">
        <f>HYPERLINK("#Statut_biogéographique!A"&amp;_xlfn.XMATCH("P",Statut_biogéographique!A:A,2,1),"P")</f>
        <v>P</v>
      </c>
      <c r="AP17407" s="4" t="s">
        <v>376</v>
      </c>
      <c r="AR17407" s="4" t="s">
        <v>377</v>
      </c>
    </row>
    <row r="17408" spans="1:44">
      <c r="A17408" s="4" t="s">
        <v>10753</v>
      </c>
      <c r="B17408" s="4">
        <v>54625</v>
      </c>
      <c r="D17408" s="5" t="s">
        <v>21124</v>
      </c>
      <c r="E17408" s="6" t="str">
        <f>HYPERLINK("https://inpn.mnhn.fr/espece/cd_nom/54625","Pterostoma palpina (Clerck, 1759)")</f>
        <v>Pterostoma palpina (Clerck, 1759)</v>
      </c>
      <c r="F17408" s="5" t="s">
        <v>21125</v>
      </c>
      <c r="AH17408" s="4" t="str">
        <f>HYPERLINK("#Statut_biogéographique!A"&amp;_xlfn.XMATCH("P",Statut_biogéographique!A:A,2,1),"P")</f>
        <v>P</v>
      </c>
      <c r="AP17408" s="4" t="s">
        <v>376</v>
      </c>
      <c r="AR17408" s="4" t="s">
        <v>377</v>
      </c>
    </row>
    <row r="17409" spans="1:44" ht="30">
      <c r="A17409" s="4" t="s">
        <v>10753</v>
      </c>
      <c r="B17409" s="4">
        <v>54628</v>
      </c>
      <c r="D17409" s="5" t="s">
        <v>21126</v>
      </c>
      <c r="E17409" s="6" t="str">
        <f>HYPERLINK("https://inpn.mnhn.fr/espece/cd_nom/54628","Ptilodon capucina (Linnaeus, 1758)")</f>
        <v>Ptilodon capucina (Linnaeus, 1758)</v>
      </c>
      <c r="F17409" s="5" t="s">
        <v>21127</v>
      </c>
      <c r="AH17409" s="4" t="str">
        <f>HYPERLINK("#Statut_biogéographique!A"&amp;_xlfn.XMATCH("P",Statut_biogéographique!A:A,2,1),"P")</f>
        <v>P</v>
      </c>
      <c r="AP17409" s="4" t="s">
        <v>376</v>
      </c>
      <c r="AR17409" s="4" t="s">
        <v>377</v>
      </c>
    </row>
    <row r="17410" spans="1:44" ht="30">
      <c r="A17410" s="4" t="s">
        <v>10753</v>
      </c>
      <c r="B17410" s="4">
        <v>54636</v>
      </c>
      <c r="D17410" s="5" t="s">
        <v>21128</v>
      </c>
      <c r="E17410" s="6" t="str">
        <f>HYPERLINK("https://inpn.mnhn.fr/espece/cd_nom/54636","Leucodonta bicoloria (Denis &amp; Schiffermüller, 1775)")</f>
        <v>Leucodonta bicoloria (Denis &amp; Schiffermüller, 1775)</v>
      </c>
      <c r="F17410" s="5" t="s">
        <v>21129</v>
      </c>
      <c r="AH17410" s="4" t="str">
        <f>HYPERLINK("#Statut_biogéographique!A"&amp;_xlfn.XMATCH("P",Statut_biogéographique!A:A,2,1),"P")</f>
        <v>P</v>
      </c>
      <c r="AP17410" s="4" t="s">
        <v>376</v>
      </c>
      <c r="AR17410" s="4" t="s">
        <v>377</v>
      </c>
    </row>
    <row r="17411" spans="1:44">
      <c r="A17411" s="4" t="s">
        <v>10753</v>
      </c>
      <c r="B17411" s="4">
        <v>54642</v>
      </c>
      <c r="D17411" s="5" t="s">
        <v>21130</v>
      </c>
      <c r="E17411" s="6" t="str">
        <f>HYPERLINK("https://inpn.mnhn.fr/espece/cd_nom/54642","Odontosia carmelita (Esper, 1798)")</f>
        <v>Odontosia carmelita (Esper, 1798)</v>
      </c>
      <c r="F17411" s="5" t="s">
        <v>21131</v>
      </c>
      <c r="AH17411" s="4" t="str">
        <f>HYPERLINK("#Statut_biogéographique!A"&amp;_xlfn.XMATCH("P",Statut_biogéographique!A:A,2,1),"P")</f>
        <v>P</v>
      </c>
      <c r="AP17411" s="4" t="s">
        <v>376</v>
      </c>
      <c r="AR17411" s="4" t="s">
        <v>377</v>
      </c>
    </row>
    <row r="17412" spans="1:44">
      <c r="A17412" s="4" t="s">
        <v>10753</v>
      </c>
      <c r="B17412" s="4">
        <v>54650</v>
      </c>
      <c r="D17412" s="5" t="s">
        <v>21132</v>
      </c>
      <c r="E17412" s="6" t="str">
        <f>HYPERLINK("https://inpn.mnhn.fr/espece/cd_nom/54650","Gluphisia crenata (Esper, 1785)")</f>
        <v>Gluphisia crenata (Esper, 1785)</v>
      </c>
      <c r="F17412" s="5" t="s">
        <v>21133</v>
      </c>
      <c r="AH17412" s="4" t="str">
        <f>HYPERLINK("#Statut_biogéographique!A"&amp;_xlfn.XMATCH("P",Statut_biogéographique!A:A,2,1),"P")</f>
        <v>P</v>
      </c>
      <c r="AP17412" s="4" t="s">
        <v>376</v>
      </c>
      <c r="AR17412" s="4" t="s">
        <v>377</v>
      </c>
    </row>
    <row r="17413" spans="1:44">
      <c r="A17413" s="4" t="s">
        <v>10753</v>
      </c>
      <c r="B17413" s="4">
        <v>54657</v>
      </c>
      <c r="D17413" s="5" t="s">
        <v>21134</v>
      </c>
      <c r="E17413" s="6" t="str">
        <f>HYPERLINK("https://inpn.mnhn.fr/espece/cd_nom/54657","Clostera curtula (Linnaeus, 1758)")</f>
        <v>Clostera curtula (Linnaeus, 1758)</v>
      </c>
      <c r="F17413" s="5" t="s">
        <v>21135</v>
      </c>
      <c r="AH17413" s="4" t="str">
        <f>HYPERLINK("#Statut_biogéographique!A"&amp;_xlfn.XMATCH("P",Statut_biogéographique!A:A,2,1),"P")</f>
        <v>P</v>
      </c>
      <c r="AP17413" s="4" t="s">
        <v>376</v>
      </c>
      <c r="AR17413" s="4" t="s">
        <v>377</v>
      </c>
    </row>
    <row r="17414" spans="1:44" ht="30">
      <c r="A17414" s="4" t="s">
        <v>10753</v>
      </c>
      <c r="B17414" s="4">
        <v>54659</v>
      </c>
      <c r="D17414" s="5" t="s">
        <v>21136</v>
      </c>
      <c r="E17414" s="6" t="str">
        <f>HYPERLINK("https://inpn.mnhn.fr/espece/cd_nom/54659","Clostera anachoreta (Denis &amp; Schiffermüller, 1775)")</f>
        <v>Clostera anachoreta (Denis &amp; Schiffermüller, 1775)</v>
      </c>
      <c r="F17414" s="5" t="s">
        <v>21137</v>
      </c>
      <c r="AH17414" s="4" t="str">
        <f>HYPERLINK("#Statut_biogéographique!A"&amp;_xlfn.XMATCH("P",Statut_biogéographique!A:A,2,1),"P")</f>
        <v>P</v>
      </c>
      <c r="AP17414" s="4" t="s">
        <v>376</v>
      </c>
      <c r="AR17414" s="4" t="s">
        <v>377</v>
      </c>
    </row>
    <row r="17415" spans="1:44">
      <c r="A17415" s="4" t="s">
        <v>10753</v>
      </c>
      <c r="B17415" s="4">
        <v>54661</v>
      </c>
      <c r="D17415" s="5" t="s">
        <v>21138</v>
      </c>
      <c r="E17415" s="6" t="str">
        <f>HYPERLINK("https://inpn.mnhn.fr/espece/cd_nom/54661","Clostera anastomosis (Linnaeus, 1758)")</f>
        <v>Clostera anastomosis (Linnaeus, 1758)</v>
      </c>
      <c r="F17415" s="5" t="s">
        <v>21139</v>
      </c>
      <c r="AH17415" s="4" t="str">
        <f>HYPERLINK("#Statut_biogéographique!A"&amp;_xlfn.XMATCH("P",Statut_biogéographique!A:A,2,1),"P")</f>
        <v>P</v>
      </c>
      <c r="AP17415" s="4" t="s">
        <v>376</v>
      </c>
      <c r="AR17415" s="4" t="s">
        <v>377</v>
      </c>
    </row>
    <row r="17416" spans="1:44">
      <c r="A17416" s="4" t="s">
        <v>10753</v>
      </c>
      <c r="B17416" s="4">
        <v>54664</v>
      </c>
      <c r="D17416" s="5" t="s">
        <v>21140</v>
      </c>
      <c r="E17416" s="6" t="str">
        <f>HYPERLINK("https://inpn.mnhn.fr/espece/cd_nom/54664","Clostera pigra (Hufnagel, 1766)")</f>
        <v>Clostera pigra (Hufnagel, 1766)</v>
      </c>
      <c r="F17416" s="5" t="s">
        <v>21141</v>
      </c>
      <c r="AH17416" s="4" t="str">
        <f>HYPERLINK("#Statut_biogéographique!A"&amp;_xlfn.XMATCH("P",Statut_biogéographique!A:A,2,1),"P")</f>
        <v>P</v>
      </c>
      <c r="AP17416" s="4" t="s">
        <v>376</v>
      </c>
      <c r="AR17416" s="4" t="s">
        <v>377</v>
      </c>
    </row>
    <row r="17417" spans="1:44" ht="30">
      <c r="A17417" s="4" t="s">
        <v>10753</v>
      </c>
      <c r="B17417" s="4">
        <v>54671</v>
      </c>
      <c r="D17417" s="5" t="s">
        <v>21142</v>
      </c>
      <c r="E17417" s="6" t="str">
        <f>HYPERLINK("https://inpn.mnhn.fr/espece/cd_nom/54671","Thaumetopoea processionea (Linnaeus, 1758)")</f>
        <v>Thaumetopoea processionea (Linnaeus, 1758)</v>
      </c>
      <c r="F17417" s="5" t="s">
        <v>21143</v>
      </c>
      <c r="AH17417" s="4" t="str">
        <f>HYPERLINK("#Statut_biogéographique!A"&amp;_xlfn.XMATCH("P",Statut_biogéographique!A:A,2,1),"P")</f>
        <v>P</v>
      </c>
      <c r="AP17417" s="4" t="s">
        <v>376</v>
      </c>
      <c r="AR17417" s="4" t="s">
        <v>377</v>
      </c>
    </row>
    <row r="17418" spans="1:44" ht="30">
      <c r="A17418" s="4" t="s">
        <v>10753</v>
      </c>
      <c r="B17418" s="4">
        <v>54674</v>
      </c>
      <c r="D17418" s="5" t="s">
        <v>21144</v>
      </c>
      <c r="E17418" s="6" t="str">
        <f>HYPERLINK("https://inpn.mnhn.fr/espece/cd_nom/54674","Thaumetopoea pityocampa (Denis &amp; Schiffermüller, 1775)")</f>
        <v>Thaumetopoea pityocampa (Denis &amp; Schiffermüller, 1775)</v>
      </c>
      <c r="F17418" s="5" t="s">
        <v>21145</v>
      </c>
      <c r="AH17418" s="4" t="str">
        <f>HYPERLINK("#Statut_biogéographique!A"&amp;_xlfn.XMATCH("P",Statut_biogéographique!A:A,2,1),"P")</f>
        <v>P</v>
      </c>
      <c r="AP17418" s="4" t="s">
        <v>376</v>
      </c>
      <c r="AR17418" s="4" t="s">
        <v>377</v>
      </c>
    </row>
    <row r="17419" spans="1:44">
      <c r="A17419" s="4" t="s">
        <v>10753</v>
      </c>
      <c r="B17419" s="4">
        <v>54684</v>
      </c>
      <c r="D17419" s="5" t="s">
        <v>21146</v>
      </c>
      <c r="E17419" s="6" t="str">
        <f>HYPERLINK("https://inpn.mnhn.fr/espece/cd_nom/54684","Diloba caeruleocephala (Linnaeus, 1758)")</f>
        <v>Diloba caeruleocephala (Linnaeus, 1758)</v>
      </c>
      <c r="F17419" s="5" t="s">
        <v>21147</v>
      </c>
      <c r="AH17419" s="4" t="str">
        <f>HYPERLINK("#Statut_biogéographique!A"&amp;_xlfn.XMATCH("P",Statut_biogéographique!A:A,2,1),"P")</f>
        <v>P</v>
      </c>
      <c r="AP17419" s="4" t="s">
        <v>376</v>
      </c>
      <c r="AR17419" s="4" t="s">
        <v>377</v>
      </c>
    </row>
    <row r="17420" spans="1:44">
      <c r="A17420" s="4" t="s">
        <v>10753</v>
      </c>
      <c r="B17420" s="4">
        <v>54695</v>
      </c>
      <c r="D17420" s="5" t="s">
        <v>21148</v>
      </c>
      <c r="E17420" s="6" t="str">
        <f>HYPERLINK("https://inpn.mnhn.fr/espece/cd_nom/54695","Dysauxes ancilla (Linnaeus, 1767)")</f>
        <v>Dysauxes ancilla (Linnaeus, 1767)</v>
      </c>
      <c r="F17420" s="5" t="s">
        <v>21149</v>
      </c>
      <c r="AH17420" s="4" t="str">
        <f>HYPERLINK("#Statut_biogéographique!A"&amp;_xlfn.XMATCH("P",Statut_biogéographique!A:A,2,1),"P")</f>
        <v>P</v>
      </c>
      <c r="AP17420" s="4" t="s">
        <v>376</v>
      </c>
      <c r="AR17420" s="4" t="s">
        <v>377</v>
      </c>
    </row>
    <row r="17421" spans="1:44">
      <c r="A17421" s="4" t="s">
        <v>10753</v>
      </c>
      <c r="B17421" s="4">
        <v>54697</v>
      </c>
      <c r="D17421" s="5" t="s">
        <v>21150</v>
      </c>
      <c r="E17421" s="6" t="str">
        <f>HYPERLINK("https://inpn.mnhn.fr/espece/cd_nom/54697","Dysauxes punctata (Fabricius, 1781)")</f>
        <v>Dysauxes punctata (Fabricius, 1781)</v>
      </c>
      <c r="F17421" s="5" t="s">
        <v>21151</v>
      </c>
      <c r="AH17421" s="4" t="str">
        <f>HYPERLINK("#Statut_biogéographique!A"&amp;_xlfn.XMATCH("P",Statut_biogéographique!A:A,2,1),"P")</f>
        <v>P</v>
      </c>
      <c r="AP17421" s="4" t="s">
        <v>376</v>
      </c>
      <c r="AR17421" s="4" t="s">
        <v>377</v>
      </c>
    </row>
    <row r="17422" spans="1:44" ht="30">
      <c r="A17422" s="4" t="s">
        <v>10753</v>
      </c>
      <c r="B17422" s="4">
        <v>54701</v>
      </c>
      <c r="D17422" s="5" t="s">
        <v>21152</v>
      </c>
      <c r="E17422" s="6" t="str">
        <f>HYPERLINK("https://inpn.mnhn.fr/espece/cd_nom/54701","Lemonia dumi (Linnaeus, 1761)")</f>
        <v>Lemonia dumi (Linnaeus, 1761)</v>
      </c>
      <c r="F17422" s="5" t="s">
        <v>21153</v>
      </c>
      <c r="AH17422" s="4" t="str">
        <f>HYPERLINK("#Statut_biogéographique!A"&amp;_xlfn.XMATCH("P",Statut_biogéographique!A:A,2,1),"P")</f>
        <v>P</v>
      </c>
      <c r="AP17422" s="4" t="s">
        <v>376</v>
      </c>
      <c r="AR17422" s="4" t="s">
        <v>377</v>
      </c>
    </row>
    <row r="17423" spans="1:44">
      <c r="A17423" s="4" t="s">
        <v>10753</v>
      </c>
      <c r="B17423" s="4">
        <v>54713</v>
      </c>
      <c r="D17423" s="5" t="s">
        <v>21154</v>
      </c>
      <c r="E17423" s="6" t="str">
        <f>HYPERLINK("https://inpn.mnhn.fr/espece/cd_nom/54713","Saturnia pyri (Denis &amp; Schiffermüller, 1775)")</f>
        <v>Saturnia pyri (Denis &amp; Schiffermüller, 1775)</v>
      </c>
      <c r="F17423" s="5" t="s">
        <v>21155</v>
      </c>
      <c r="AH17423" s="4" t="str">
        <f>HYPERLINK("#Statut_biogéographique!A"&amp;_xlfn.XMATCH("P",Statut_biogéographique!A:A,2,1),"P")</f>
        <v>P</v>
      </c>
      <c r="AP17423" s="4" t="s">
        <v>376</v>
      </c>
      <c r="AR17423" s="4" t="s">
        <v>377</v>
      </c>
    </row>
    <row r="17424" spans="1:44">
      <c r="A17424" s="4" t="s">
        <v>10753</v>
      </c>
      <c r="B17424" s="4">
        <v>54724</v>
      </c>
      <c r="D17424" s="5" t="s">
        <v>21156</v>
      </c>
      <c r="E17424" s="6" t="str">
        <f>HYPERLINK("https://inpn.mnhn.fr/espece/cd_nom/54724","Aglia tau (Linnaeus, 1758)")</f>
        <v>Aglia tau (Linnaeus, 1758)</v>
      </c>
      <c r="F17424" s="5" t="s">
        <v>21157</v>
      </c>
      <c r="AH17424" s="4" t="str">
        <f>HYPERLINK("#Statut_biogéographique!A"&amp;_xlfn.XMATCH("P",Statut_biogéographique!A:A,2,1),"P")</f>
        <v>P</v>
      </c>
      <c r="AP17424" s="4" t="s">
        <v>376</v>
      </c>
      <c r="AR17424" s="4" t="s">
        <v>377</v>
      </c>
    </row>
    <row r="17425" spans="1:44">
      <c r="A17425" s="4" t="s">
        <v>10753</v>
      </c>
      <c r="B17425" s="4">
        <v>54728</v>
      </c>
      <c r="D17425" s="5" t="s">
        <v>21158</v>
      </c>
      <c r="E17425" s="6" t="str">
        <f>HYPERLINK("https://inpn.mnhn.fr/espece/cd_nom/54728","Endromis versicolora (Linnaeus, 1758)")</f>
        <v>Endromis versicolora (Linnaeus, 1758)</v>
      </c>
      <c r="F17425" s="5" t="s">
        <v>21159</v>
      </c>
      <c r="AH17425" s="4" t="str">
        <f>HYPERLINK("#Statut_biogéographique!A"&amp;_xlfn.XMATCH("P",Statut_biogéographique!A:A,2,1),"P")</f>
        <v>P</v>
      </c>
      <c r="AP17425" s="4" t="s">
        <v>376</v>
      </c>
      <c r="AR17425" s="4" t="s">
        <v>377</v>
      </c>
    </row>
    <row r="17426" spans="1:44">
      <c r="A17426" s="4" t="s">
        <v>10753</v>
      </c>
      <c r="B17426" s="4">
        <v>54732</v>
      </c>
      <c r="D17426" s="5" t="s">
        <v>21160</v>
      </c>
      <c r="E17426" s="6" t="str">
        <f>HYPERLINK("https://inpn.mnhn.fr/espece/cd_nom/54732","Gastropacha quercifolia (Linnaeus, 1758)")</f>
        <v>Gastropacha quercifolia (Linnaeus, 1758)</v>
      </c>
      <c r="F17426" s="5" t="s">
        <v>21161</v>
      </c>
      <c r="AH17426" s="4" t="str">
        <f>HYPERLINK("#Statut_biogéographique!A"&amp;_xlfn.XMATCH("P",Statut_biogéographique!A:A,2,1),"P")</f>
        <v>P</v>
      </c>
      <c r="AP17426" s="4" t="s">
        <v>376</v>
      </c>
      <c r="AR17426" s="4" t="s">
        <v>377</v>
      </c>
    </row>
    <row r="17427" spans="1:44" ht="30">
      <c r="A17427" s="4" t="s">
        <v>10753</v>
      </c>
      <c r="B17427" s="4">
        <v>54734</v>
      </c>
      <c r="D17427" s="5" t="s">
        <v>21162</v>
      </c>
      <c r="E17427" s="6" t="str">
        <f>HYPERLINK("https://inpn.mnhn.fr/espece/cd_nom/54734","Gastropacha populifolia (Denis &amp; Schiffermüller, 1775)")</f>
        <v>Gastropacha populifolia (Denis &amp; Schiffermüller, 1775)</v>
      </c>
      <c r="F17427" s="5" t="s">
        <v>21163</v>
      </c>
      <c r="AH17427" s="4" t="str">
        <f>HYPERLINK("#Statut_biogéographique!A"&amp;_xlfn.XMATCH("P",Statut_biogéographique!A:A,2,1),"P")</f>
        <v>P</v>
      </c>
      <c r="AP17427" s="4" t="s">
        <v>376</v>
      </c>
      <c r="AR17427" s="4" t="s">
        <v>377</v>
      </c>
    </row>
    <row r="17428" spans="1:44" ht="30">
      <c r="A17428" s="4" t="s">
        <v>10753</v>
      </c>
      <c r="B17428" s="4">
        <v>54737</v>
      </c>
      <c r="D17428" s="5" t="s">
        <v>21164</v>
      </c>
      <c r="E17428" s="6" t="str">
        <f>HYPERLINK("https://inpn.mnhn.fr/espece/cd_nom/54737","Phyllodesma ilicifolia (Linnaeus, 1758)")</f>
        <v>Phyllodesma ilicifolia (Linnaeus, 1758)</v>
      </c>
      <c r="F17428" s="5" t="s">
        <v>21165</v>
      </c>
      <c r="O17428" s="7" t="str">
        <f>HYPERLINK("#Liste_rouge!A"&amp;_xlfn.XMATCH("VU",Liste_rouge!A:A,2,1),"VU")</f>
        <v>VU</v>
      </c>
      <c r="AH17428" s="4" t="str">
        <f>HYPERLINK("#Statut_biogéographique!A"&amp;_xlfn.XMATCH("P",Statut_biogéographique!A:A,2,1),"P")</f>
        <v>P</v>
      </c>
      <c r="AP17428" s="4" t="s">
        <v>376</v>
      </c>
      <c r="AR17428" s="4" t="s">
        <v>377</v>
      </c>
    </row>
    <row r="17429" spans="1:44" ht="30">
      <c r="A17429" s="4" t="s">
        <v>10753</v>
      </c>
      <c r="B17429" s="4">
        <v>54739</v>
      </c>
      <c r="D17429" s="5" t="s">
        <v>21166</v>
      </c>
      <c r="E17429" s="6" t="str">
        <f>HYPERLINK("https://inpn.mnhn.fr/espece/cd_nom/54739","Phyllodesma tremulifolia (Hübner, 1810)")</f>
        <v>Phyllodesma tremulifolia (Hübner, 1810)</v>
      </c>
      <c r="F17429" s="5" t="s">
        <v>21167</v>
      </c>
      <c r="AH17429" s="4" t="str">
        <f>HYPERLINK("#Statut_biogéographique!A"&amp;_xlfn.XMATCH("P",Statut_biogéographique!A:A,2,1),"P")</f>
        <v>P</v>
      </c>
      <c r="AP17429" s="4" t="s">
        <v>376</v>
      </c>
      <c r="AR17429" s="4" t="s">
        <v>377</v>
      </c>
    </row>
    <row r="17430" spans="1:44">
      <c r="A17430" s="4" t="s">
        <v>10753</v>
      </c>
      <c r="B17430" s="4">
        <v>54744</v>
      </c>
      <c r="D17430" s="5" t="s">
        <v>21168</v>
      </c>
      <c r="E17430" s="6" t="str">
        <f>HYPERLINK("https://inpn.mnhn.fr/espece/cd_nom/54744","Malacosoma neustria (Linnaeus, 1758)")</f>
        <v>Malacosoma neustria (Linnaeus, 1758)</v>
      </c>
      <c r="F17430" s="5" t="s">
        <v>21169</v>
      </c>
      <c r="AH17430" s="4" t="str">
        <f>HYPERLINK("#Statut_biogéographique!A"&amp;_xlfn.XMATCH("P",Statut_biogéographique!A:A,2,1),"P")</f>
        <v>P</v>
      </c>
      <c r="AP17430" s="4" t="s">
        <v>376</v>
      </c>
      <c r="AR17430" s="4" t="s">
        <v>377</v>
      </c>
    </row>
    <row r="17431" spans="1:44">
      <c r="A17431" s="4" t="s">
        <v>10753</v>
      </c>
      <c r="B17431" s="4">
        <v>54749</v>
      </c>
      <c r="D17431" s="5" t="s">
        <v>21170</v>
      </c>
      <c r="E17431" s="6" t="str">
        <f>HYPERLINK("https://inpn.mnhn.fr/espece/cd_nom/54749","Malacosoma alpicola (Staudinger, 1870)")</f>
        <v>Malacosoma alpicola (Staudinger, 1870)</v>
      </c>
      <c r="F17431" s="5" t="s">
        <v>21171</v>
      </c>
      <c r="AH17431" s="4" t="str">
        <f>HYPERLINK("#Statut_biogéographique!A"&amp;_xlfn.XMATCH("P",Statut_biogéographique!A:A,2,1),"P")</f>
        <v>P</v>
      </c>
      <c r="AP17431" s="4" t="s">
        <v>376</v>
      </c>
      <c r="AR17431" s="4" t="s">
        <v>377</v>
      </c>
    </row>
    <row r="17432" spans="1:44" ht="30">
      <c r="A17432" s="4" t="s">
        <v>10753</v>
      </c>
      <c r="B17432" s="4">
        <v>54752</v>
      </c>
      <c r="D17432" s="5" t="s">
        <v>21172</v>
      </c>
      <c r="E17432" s="6" t="str">
        <f>HYPERLINK("https://inpn.mnhn.fr/espece/cd_nom/54752","Trichiura crataegi (Linnaeus, 1758)")</f>
        <v>Trichiura crataegi (Linnaeus, 1758)</v>
      </c>
      <c r="F17432" s="5" t="s">
        <v>21173</v>
      </c>
      <c r="AH17432" s="4" t="str">
        <f>HYPERLINK("#Statut_biogéographique!A"&amp;_xlfn.XMATCH("P",Statut_biogéographique!A:A,2,1),"P")</f>
        <v>P</v>
      </c>
      <c r="AP17432" s="4" t="s">
        <v>376</v>
      </c>
      <c r="AR17432" s="4" t="s">
        <v>377</v>
      </c>
    </row>
    <row r="17433" spans="1:44">
      <c r="A17433" s="4" t="s">
        <v>10753</v>
      </c>
      <c r="B17433" s="4">
        <v>54757</v>
      </c>
      <c r="D17433" s="5" t="s">
        <v>21174</v>
      </c>
      <c r="E17433" s="6" t="str">
        <f>HYPERLINK("https://inpn.mnhn.fr/espece/cd_nom/54757","Poecilocampa populi (Linnaeus, 1758)")</f>
        <v>Poecilocampa populi (Linnaeus, 1758)</v>
      </c>
      <c r="F17433" s="5" t="s">
        <v>19770</v>
      </c>
      <c r="AH17433" s="4" t="str">
        <f>HYPERLINK("#Statut_biogéographique!A"&amp;_xlfn.XMATCH("P",Statut_biogéographique!A:A,2,1),"P")</f>
        <v>P</v>
      </c>
      <c r="AP17433" s="4" t="s">
        <v>376</v>
      </c>
      <c r="AR17433" s="4" t="s">
        <v>377</v>
      </c>
    </row>
    <row r="17434" spans="1:44" ht="30">
      <c r="A17434" s="4" t="s">
        <v>10753</v>
      </c>
      <c r="B17434" s="4">
        <v>54762</v>
      </c>
      <c r="D17434" s="5" t="s">
        <v>21175</v>
      </c>
      <c r="E17434" s="6" t="str">
        <f>HYPERLINK("https://inpn.mnhn.fr/espece/cd_nom/54762","Eriogaster catax (Linnaeus, 1758)")</f>
        <v>Eriogaster catax (Linnaeus, 1758)</v>
      </c>
      <c r="F17434" s="5" t="s">
        <v>21176</v>
      </c>
      <c r="I17434" s="4" t="str">
        <f>HYPERLINK("#Réglementation!A"&amp;_xlfn.XMATCH("IBE2",Réglementation!A:A,2,1),"IBE2")</f>
        <v>IBE2</v>
      </c>
      <c r="K17434" s="4" t="str">
        <f>HYPERLINK("#Réglementation!A"&amp;_xlfn.XMATCH("CDH2",Réglementation!A:A,2,1),"CDH2 - CDH4")</f>
        <v>CDH2 - CDH4</v>
      </c>
      <c r="L17434" s="4" t="str">
        <f>HYPERLINK("#Réglementation!A"&amp;_xlfn.XMATCH("NI2",Réglementation!A:A,2,1),"NI2")</f>
        <v>NI2</v>
      </c>
      <c r="O17434" s="7" t="str">
        <f>HYPERLINK("#Liste_rouge!A"&amp;_xlfn.XMATCH("DD",Liste_rouge!A:A,2,1),"DD")</f>
        <v>DD</v>
      </c>
      <c r="AE17434" s="4" t="str">
        <f>HYPERLINK("#SCAP!A"&amp;_xlfn.XMATCH("1-",SCAP!A:A,2,1),"1-")</f>
        <v>1-</v>
      </c>
      <c r="AF17434" s="4" t="str">
        <f>HYPERLINK("#SCAP!A"&amp;_xlfn.XMATCH("2-",SCAP!A:A,2,1),"2-")</f>
        <v>2-</v>
      </c>
      <c r="AG17434" s="4" t="str">
        <f>HYPERLINK("#SCAP!A"&amp;_xlfn.XMATCH("2-",SCAP!A:A,2,1),"2-")</f>
        <v>2-</v>
      </c>
      <c r="AH17434" s="4" t="str">
        <f>HYPERLINK("#Statut_biogéographique!A"&amp;_xlfn.XMATCH("P",Statut_biogéographique!A:A,2,1),"P")</f>
        <v>P</v>
      </c>
      <c r="AP17434" s="4" t="s">
        <v>376</v>
      </c>
      <c r="AR17434" s="4" t="s">
        <v>377</v>
      </c>
    </row>
    <row r="17435" spans="1:44" ht="30">
      <c r="A17435" s="4" t="s">
        <v>10753</v>
      </c>
      <c r="B17435" s="4">
        <v>54764</v>
      </c>
      <c r="D17435" s="5" t="s">
        <v>21177</v>
      </c>
      <c r="E17435" s="6" t="str">
        <f>HYPERLINK("https://inpn.mnhn.fr/espece/cd_nom/54764","Eriogaster rimicola (Denis &amp; Schiffermüller, 1775)")</f>
        <v>Eriogaster rimicola (Denis &amp; Schiffermüller, 1775)</v>
      </c>
      <c r="F17435" s="5" t="s">
        <v>21178</v>
      </c>
      <c r="AH17435" s="4" t="str">
        <f>HYPERLINK("#Statut_biogéographique!A"&amp;_xlfn.XMATCH("P",Statut_biogéographique!A:A,2,1),"P")</f>
        <v>P</v>
      </c>
      <c r="AP17435" s="4" t="s">
        <v>376</v>
      </c>
      <c r="AR17435" s="4" t="s">
        <v>377</v>
      </c>
    </row>
    <row r="17436" spans="1:44" ht="30">
      <c r="A17436" s="4" t="s">
        <v>10753</v>
      </c>
      <c r="B17436" s="4">
        <v>54766</v>
      </c>
      <c r="D17436" s="5" t="s">
        <v>21179</v>
      </c>
      <c r="E17436" s="6" t="str">
        <f>HYPERLINK("https://inpn.mnhn.fr/espece/cd_nom/54766","Eriogaster lanestris (Linnaeus, 1758)")</f>
        <v>Eriogaster lanestris (Linnaeus, 1758)</v>
      </c>
      <c r="F17436" s="5" t="s">
        <v>21180</v>
      </c>
      <c r="AH17436" s="4" t="str">
        <f>HYPERLINK("#Statut_biogéographique!A"&amp;_xlfn.XMATCH("P",Statut_biogéographique!A:A,2,1),"P")</f>
        <v>P</v>
      </c>
      <c r="AP17436" s="4" t="s">
        <v>376</v>
      </c>
      <c r="AR17436" s="4" t="s">
        <v>377</v>
      </c>
    </row>
    <row r="17437" spans="1:44" ht="30">
      <c r="A17437" s="4" t="s">
        <v>10753</v>
      </c>
      <c r="B17437" s="4">
        <v>54770</v>
      </c>
      <c r="D17437" s="5" t="s">
        <v>21181</v>
      </c>
      <c r="E17437" s="6" t="str">
        <f>HYPERLINK("https://inpn.mnhn.fr/espece/cd_nom/54770","Lasiocampa quercus (Linnaeus, 1758)")</f>
        <v>Lasiocampa quercus (Linnaeus, 1758)</v>
      </c>
      <c r="F17437" s="5" t="s">
        <v>21182</v>
      </c>
      <c r="AH17437" s="4" t="str">
        <f>HYPERLINK("#Statut_biogéographique!A"&amp;_xlfn.XMATCH("P",Statut_biogéographique!A:A,2,1),"P")</f>
        <v>P</v>
      </c>
      <c r="AP17437" s="4" t="s">
        <v>376</v>
      </c>
      <c r="AR17437" s="4" t="s">
        <v>377</v>
      </c>
    </row>
    <row r="17438" spans="1:44">
      <c r="A17438" s="4" t="s">
        <v>10753</v>
      </c>
      <c r="B17438" s="4">
        <v>54773</v>
      </c>
      <c r="D17438" s="5" t="s">
        <v>21183</v>
      </c>
      <c r="E17438" s="6" t="str">
        <f>HYPERLINK("https://inpn.mnhn.fr/espece/cd_nom/54773","Macrothylacia rubi (Linnaeus, 1758)")</f>
        <v>Macrothylacia rubi (Linnaeus, 1758)</v>
      </c>
      <c r="F17438" s="5" t="s">
        <v>21184</v>
      </c>
      <c r="AH17438" s="4" t="str">
        <f>HYPERLINK("#Statut_biogéographique!A"&amp;_xlfn.XMATCH("P",Statut_biogéographique!A:A,2,1),"P")</f>
        <v>P</v>
      </c>
      <c r="AP17438" s="4" t="s">
        <v>376</v>
      </c>
      <c r="AR17438" s="4" t="s">
        <v>377</v>
      </c>
    </row>
    <row r="17439" spans="1:44">
      <c r="A17439" s="4" t="s">
        <v>10753</v>
      </c>
      <c r="B17439" s="4">
        <v>54779</v>
      </c>
      <c r="D17439" s="5" t="s">
        <v>21185</v>
      </c>
      <c r="E17439" s="6" t="str">
        <f>HYPERLINK("https://inpn.mnhn.fr/espece/cd_nom/54779","Dendrolimus pini (Linnaeus, 1758)")</f>
        <v>Dendrolimus pini (Linnaeus, 1758)</v>
      </c>
      <c r="F17439" s="5" t="s">
        <v>21186</v>
      </c>
      <c r="AH17439" s="4" t="str">
        <f>HYPERLINK("#Statut_biogéographique!A"&amp;_xlfn.XMATCH("P",Statut_biogéographique!A:A,2,1),"P")</f>
        <v>P</v>
      </c>
      <c r="AP17439" s="4" t="s">
        <v>376</v>
      </c>
      <c r="AR17439" s="4" t="s">
        <v>377</v>
      </c>
    </row>
    <row r="17440" spans="1:44">
      <c r="A17440" s="4" t="s">
        <v>10753</v>
      </c>
      <c r="B17440" s="4">
        <v>54782</v>
      </c>
      <c r="D17440" s="5" t="s">
        <v>21187</v>
      </c>
      <c r="E17440" s="6" t="str">
        <f>HYPERLINK("https://inpn.mnhn.fr/espece/cd_nom/54782","Odonestis pruni (Linnaeus, 1758)")</f>
        <v>Odonestis pruni (Linnaeus, 1758)</v>
      </c>
      <c r="F17440" s="5" t="s">
        <v>21188</v>
      </c>
      <c r="AH17440" s="4" t="str">
        <f>HYPERLINK("#Statut_biogéographique!A"&amp;_xlfn.XMATCH("P",Statut_biogéographique!A:A,2,1),"P")</f>
        <v>P</v>
      </c>
      <c r="AP17440" s="4" t="s">
        <v>376</v>
      </c>
      <c r="AR17440" s="4" t="s">
        <v>377</v>
      </c>
    </row>
    <row r="17441" spans="1:44" ht="60">
      <c r="A17441" s="4" t="s">
        <v>10753</v>
      </c>
      <c r="B17441" s="4">
        <v>54795</v>
      </c>
      <c r="D17441" s="5" t="s">
        <v>21189</v>
      </c>
      <c r="E17441" s="6" t="str">
        <f>HYPERLINK("https://inpn.mnhn.fr/espece/cd_nom/54795","Agrius convolvuli (Linnaeus, 1758)")</f>
        <v>Agrius convolvuli (Linnaeus, 1758)</v>
      </c>
      <c r="F17441" s="5" t="s">
        <v>21190</v>
      </c>
      <c r="AH17441" s="4" t="str">
        <f>HYPERLINK("#Statut_biogéographique!A"&amp;_xlfn.XMATCH("P",Statut_biogéographique!A:A,2,1),"P")</f>
        <v>P</v>
      </c>
      <c r="AP17441" s="4" t="s">
        <v>376</v>
      </c>
      <c r="AR17441" s="4" t="s">
        <v>377</v>
      </c>
    </row>
    <row r="17442" spans="1:44">
      <c r="A17442" s="4" t="s">
        <v>10753</v>
      </c>
      <c r="B17442" s="4">
        <v>54798</v>
      </c>
      <c r="D17442" s="5" t="s">
        <v>21191</v>
      </c>
      <c r="E17442" s="6" t="str">
        <f>HYPERLINK("https://inpn.mnhn.fr/espece/cd_nom/54798","Acherontia atropos (Linnaeus, 1758)")</f>
        <v>Acherontia atropos (Linnaeus, 1758)</v>
      </c>
      <c r="F17442" s="5" t="s">
        <v>21192</v>
      </c>
      <c r="AH17442" s="4" t="str">
        <f>HYPERLINK("#Statut_biogéographique!A"&amp;_xlfn.XMATCH("P",Statut_biogéographique!A:A,2,1),"P")</f>
        <v>P</v>
      </c>
      <c r="AP17442" s="4" t="s">
        <v>376</v>
      </c>
      <c r="AR17442" s="4" t="s">
        <v>377</v>
      </c>
    </row>
    <row r="17443" spans="1:44" ht="45">
      <c r="A17443" s="4" t="s">
        <v>10753</v>
      </c>
      <c r="B17443" s="4">
        <v>54801</v>
      </c>
      <c r="D17443" s="5" t="s">
        <v>21193</v>
      </c>
      <c r="E17443" s="6" t="str">
        <f>HYPERLINK("https://inpn.mnhn.fr/espece/cd_nom/54801","Sphinx ligustri Linnaeus, 1758")</f>
        <v>Sphinx ligustri Linnaeus, 1758</v>
      </c>
      <c r="F17443" s="5" t="s">
        <v>21194</v>
      </c>
      <c r="AH17443" s="4" t="str">
        <f>HYPERLINK("#Statut_biogéographique!A"&amp;_xlfn.XMATCH("P",Statut_biogéographique!A:A,2,1),"P")</f>
        <v>P</v>
      </c>
      <c r="AP17443" s="4" t="s">
        <v>376</v>
      </c>
      <c r="AR17443" s="4" t="s">
        <v>377</v>
      </c>
    </row>
    <row r="17444" spans="1:44" ht="30">
      <c r="A17444" s="4" t="s">
        <v>10753</v>
      </c>
      <c r="B17444" s="4">
        <v>54809</v>
      </c>
      <c r="D17444" s="5" t="s">
        <v>21195</v>
      </c>
      <c r="E17444" s="6" t="str">
        <f>HYPERLINK("https://inpn.mnhn.fr/espece/cd_nom/54809","Marumba quercus (Denis &amp; Schiffermüller, 1775)")</f>
        <v>Marumba quercus (Denis &amp; Schiffermüller, 1775)</v>
      </c>
      <c r="F17444" s="5" t="s">
        <v>21196</v>
      </c>
      <c r="AH17444" s="4" t="str">
        <f>HYPERLINK("#Statut_biogéographique!A"&amp;_xlfn.XMATCH("P",Statut_biogéographique!A:A,2,1),"P")</f>
        <v>P</v>
      </c>
      <c r="AP17444" s="4" t="s">
        <v>376</v>
      </c>
      <c r="AR17444" s="4" t="s">
        <v>377</v>
      </c>
    </row>
    <row r="17445" spans="1:44">
      <c r="A17445" s="4" t="s">
        <v>10753</v>
      </c>
      <c r="B17445" s="4">
        <v>54815</v>
      </c>
      <c r="D17445" s="5" t="s">
        <v>21197</v>
      </c>
      <c r="E17445" s="6" t="str">
        <f>HYPERLINK("https://inpn.mnhn.fr/espece/cd_nom/54815","Mimas tiliae (Linnaeus, 1758)")</f>
        <v>Mimas tiliae (Linnaeus, 1758)</v>
      </c>
      <c r="F17445" s="5" t="s">
        <v>21198</v>
      </c>
      <c r="AH17445" s="4" t="str">
        <f>HYPERLINK("#Statut_biogéographique!A"&amp;_xlfn.XMATCH("P",Statut_biogéographique!A:A,2,1),"P")</f>
        <v>P</v>
      </c>
      <c r="AP17445" s="4" t="s">
        <v>376</v>
      </c>
      <c r="AR17445" s="4" t="s">
        <v>377</v>
      </c>
    </row>
    <row r="17446" spans="1:44">
      <c r="A17446" s="4" t="s">
        <v>10753</v>
      </c>
      <c r="B17446" s="4">
        <v>54818</v>
      </c>
      <c r="D17446" s="5" t="s">
        <v>21199</v>
      </c>
      <c r="E17446" s="6" t="str">
        <f>HYPERLINK("https://inpn.mnhn.fr/espece/cd_nom/54818","Laothoe populi (Linnaeus, 1758)")</f>
        <v>Laothoe populi (Linnaeus, 1758)</v>
      </c>
      <c r="F17446" s="5" t="s">
        <v>21200</v>
      </c>
      <c r="AH17446" s="4" t="str">
        <f>HYPERLINK("#Statut_biogéographique!A"&amp;_xlfn.XMATCH("P",Statut_biogéographique!A:A,2,1),"P")</f>
        <v>P</v>
      </c>
      <c r="AP17446" s="4" t="s">
        <v>376</v>
      </c>
      <c r="AR17446" s="4" t="s">
        <v>377</v>
      </c>
    </row>
    <row r="17447" spans="1:44" ht="45">
      <c r="A17447" s="4" t="s">
        <v>10753</v>
      </c>
      <c r="B17447" s="4">
        <v>54821</v>
      </c>
      <c r="D17447" s="5" t="s">
        <v>21201</v>
      </c>
      <c r="E17447" s="6" t="str">
        <f>HYPERLINK("https://inpn.mnhn.fr/espece/cd_nom/54821","Hemaris tityus (Linnaeus, 1758)")</f>
        <v>Hemaris tityus (Linnaeus, 1758)</v>
      </c>
      <c r="F17447" s="5" t="s">
        <v>21202</v>
      </c>
      <c r="AH17447" s="4" t="str">
        <f>HYPERLINK("#Statut_biogéographique!A"&amp;_xlfn.XMATCH("P",Statut_biogéographique!A:A,2,1),"P")</f>
        <v>P</v>
      </c>
      <c r="AP17447" s="4" t="s">
        <v>376</v>
      </c>
      <c r="AR17447" s="4" t="s">
        <v>377</v>
      </c>
    </row>
    <row r="17448" spans="1:44" ht="45">
      <c r="A17448" s="4" t="s">
        <v>10753</v>
      </c>
      <c r="B17448" s="4">
        <v>54824</v>
      </c>
      <c r="D17448" s="5" t="s">
        <v>21203</v>
      </c>
      <c r="E17448" s="6" t="str">
        <f>HYPERLINK("https://inpn.mnhn.fr/espece/cd_nom/54824","Hemaris fuciformis (Linnaeus, 1758)")</f>
        <v>Hemaris fuciformis (Linnaeus, 1758)</v>
      </c>
      <c r="F17448" s="5" t="s">
        <v>21204</v>
      </c>
      <c r="AH17448" s="4" t="str">
        <f>HYPERLINK("#Statut_biogéographique!A"&amp;_xlfn.XMATCH("P",Statut_biogéographique!A:A,2,1),"P")</f>
        <v>P</v>
      </c>
      <c r="AP17448" s="4" t="s">
        <v>376</v>
      </c>
      <c r="AR17448" s="4" t="s">
        <v>377</v>
      </c>
    </row>
    <row r="17449" spans="1:44">
      <c r="A17449" s="4" t="s">
        <v>10753</v>
      </c>
      <c r="B17449" s="4">
        <v>54829</v>
      </c>
      <c r="D17449" s="5" t="s">
        <v>21205</v>
      </c>
      <c r="E17449" s="6" t="str">
        <f>HYPERLINK("https://inpn.mnhn.fr/espece/cd_nom/54829","Macroglossum stellatarum (Linnaeus, 1758)")</f>
        <v>Macroglossum stellatarum (Linnaeus, 1758)</v>
      </c>
      <c r="F17449" s="5" t="s">
        <v>21206</v>
      </c>
      <c r="AH17449" s="4" t="str">
        <f>HYPERLINK("#Statut_biogéographique!A"&amp;_xlfn.XMATCH("P",Statut_biogéographique!A:A,2,1),"P")</f>
        <v>P</v>
      </c>
      <c r="AP17449" s="4" t="s">
        <v>376</v>
      </c>
      <c r="AR17449" s="4" t="s">
        <v>377</v>
      </c>
    </row>
    <row r="17450" spans="1:44">
      <c r="A17450" s="4" t="s">
        <v>10753</v>
      </c>
      <c r="B17450" s="4">
        <v>54832</v>
      </c>
      <c r="D17450" s="5" t="s">
        <v>21207</v>
      </c>
      <c r="E17450" s="6" t="str">
        <f>HYPERLINK("https://inpn.mnhn.fr/espece/cd_nom/54832","Daphnis nerii (Linnaeus, 1758)")</f>
        <v>Daphnis nerii (Linnaeus, 1758)</v>
      </c>
      <c r="F17450" s="5" t="s">
        <v>21208</v>
      </c>
      <c r="AH17450" s="4" t="str">
        <f>HYPERLINK("#Statut_biogéographique!A"&amp;_xlfn.XMATCH("P",Statut_biogéographique!A:A,2,1),"P")</f>
        <v>P</v>
      </c>
      <c r="AP17450" s="4" t="s">
        <v>376</v>
      </c>
      <c r="AR17450" s="4" t="s">
        <v>377</v>
      </c>
    </row>
    <row r="17451" spans="1:44" ht="30">
      <c r="A17451" s="4" t="s">
        <v>10753</v>
      </c>
      <c r="B17451" s="4">
        <v>54837</v>
      </c>
      <c r="D17451" s="5" t="s">
        <v>21209</v>
      </c>
      <c r="E17451" s="6" t="str">
        <f>HYPERLINK("https://inpn.mnhn.fr/espece/cd_nom/54837","Proserpinus proserpina (Pallas, 1772)")</f>
        <v>Proserpinus proserpina (Pallas, 1772)</v>
      </c>
      <c r="F17451" s="5" t="s">
        <v>21210</v>
      </c>
      <c r="K17451" s="4" t="str">
        <f>HYPERLINK("#Réglementation!A"&amp;_xlfn.XMATCH("CDH4",Réglementation!A:A,2,1),"CDH4")</f>
        <v>CDH4</v>
      </c>
      <c r="L17451" s="4" t="str">
        <f>HYPERLINK("#Réglementation!A"&amp;_xlfn.XMATCH("NI2",Réglementation!A:A,2,1),"NI2")</f>
        <v>NI2</v>
      </c>
      <c r="O17451" s="7" t="str">
        <f>HYPERLINK("#Liste_rouge!A"&amp;_xlfn.XMATCH("DD",Liste_rouge!A:A,2,1),"DD")</f>
        <v>DD</v>
      </c>
      <c r="AE17451" s="4" t="str">
        <f>HYPERLINK("#SCAP!A"&amp;_xlfn.XMATCH("3",SCAP!A:A,2,1),"3")</f>
        <v>3</v>
      </c>
      <c r="AF17451" s="4" t="str">
        <f>HYPERLINK("#SCAP!A"&amp;_xlfn.XMATCH("3",SCAP!A:A,2,1),"3")</f>
        <v>3</v>
      </c>
      <c r="AG17451" s="4" t="str">
        <f>HYPERLINK("#SCAP!A"&amp;_xlfn.XMATCH("NP",SCAP!A:A,2,1),"NP")</f>
        <v>NP</v>
      </c>
      <c r="AH17451" s="4" t="str">
        <f>HYPERLINK("#Statut_biogéographique!A"&amp;_xlfn.XMATCH("P",Statut_biogéographique!A:A,2,1),"P")</f>
        <v>P</v>
      </c>
      <c r="AP17451" s="4" t="s">
        <v>376</v>
      </c>
      <c r="AR17451" s="4" t="s">
        <v>377</v>
      </c>
    </row>
    <row r="17452" spans="1:44">
      <c r="A17452" s="4" t="s">
        <v>10753</v>
      </c>
      <c r="B17452" s="4">
        <v>54841</v>
      </c>
      <c r="D17452" s="5" t="s">
        <v>21211</v>
      </c>
      <c r="E17452" s="6" t="str">
        <f>HYPERLINK("https://inpn.mnhn.fr/espece/cd_nom/54841","Hyles vespertilio (Esper, 1780)")</f>
        <v>Hyles vespertilio (Esper, 1780)</v>
      </c>
      <c r="F17452" s="5" t="s">
        <v>21212</v>
      </c>
      <c r="AH17452" s="4" t="str">
        <f>HYPERLINK("#Statut_biogéographique!A"&amp;_xlfn.XMATCH("P",Statut_biogéographique!A:A,2,1),"P")</f>
        <v>P</v>
      </c>
      <c r="AP17452" s="4" t="s">
        <v>376</v>
      </c>
      <c r="AR17452" s="4" t="s">
        <v>377</v>
      </c>
    </row>
    <row r="17453" spans="1:44">
      <c r="A17453" s="4" t="s">
        <v>10753</v>
      </c>
      <c r="B17453" s="4">
        <v>54843</v>
      </c>
      <c r="D17453" s="5" t="s">
        <v>21213</v>
      </c>
      <c r="E17453" s="6" t="str">
        <f>HYPERLINK("https://inpn.mnhn.fr/espece/cd_nom/54843","Hyles euphorbiae (Linnaeus, 1758)")</f>
        <v>Hyles euphorbiae (Linnaeus, 1758)</v>
      </c>
      <c r="F17453" s="5" t="s">
        <v>21214</v>
      </c>
      <c r="AH17453" s="4" t="str">
        <f>HYPERLINK("#Statut_biogéographique!A"&amp;_xlfn.XMATCH("P",Statut_biogéographique!A:A,2,1),"P")</f>
        <v>P</v>
      </c>
      <c r="AP17453" s="4" t="s">
        <v>376</v>
      </c>
      <c r="AR17453" s="4" t="s">
        <v>377</v>
      </c>
    </row>
    <row r="17454" spans="1:44" ht="45">
      <c r="A17454" s="4" t="s">
        <v>10753</v>
      </c>
      <c r="B17454" s="4">
        <v>54847</v>
      </c>
      <c r="D17454" s="5" t="s">
        <v>21215</v>
      </c>
      <c r="E17454" s="6" t="str">
        <f>HYPERLINK("https://inpn.mnhn.fr/espece/cd_nom/54847","Hyles gallii (Rottemburg, 1775)")</f>
        <v>Hyles gallii (Rottemburg, 1775)</v>
      </c>
      <c r="F17454" s="5" t="s">
        <v>21216</v>
      </c>
      <c r="AH17454" s="4" t="str">
        <f>HYPERLINK("#Statut_biogéographique!A"&amp;_xlfn.XMATCH("P",Statut_biogéographique!A:A,2,1),"P")</f>
        <v>P</v>
      </c>
      <c r="AP17454" s="4" t="s">
        <v>376</v>
      </c>
      <c r="AR17454" s="4" t="s">
        <v>377</v>
      </c>
    </row>
    <row r="17455" spans="1:44">
      <c r="A17455" s="4" t="s">
        <v>10753</v>
      </c>
      <c r="B17455" s="4">
        <v>54854</v>
      </c>
      <c r="D17455" s="5" t="s">
        <v>21217</v>
      </c>
      <c r="E17455" s="6" t="str">
        <f>HYPERLINK("https://inpn.mnhn.fr/espece/cd_nom/54854","Deilephila elpenor (Linnaeus, 1758)")</f>
        <v>Deilephila elpenor (Linnaeus, 1758)</v>
      </c>
      <c r="F17455" s="5" t="s">
        <v>21218</v>
      </c>
      <c r="AH17455" s="4" t="str">
        <f>HYPERLINK("#Statut_biogéographique!A"&amp;_xlfn.XMATCH("P",Statut_biogéographique!A:A,2,1),"P")</f>
        <v>P</v>
      </c>
      <c r="AP17455" s="4" t="s">
        <v>376</v>
      </c>
      <c r="AR17455" s="4" t="s">
        <v>377</v>
      </c>
    </row>
    <row r="17456" spans="1:44" ht="60">
      <c r="A17456" s="4" t="s">
        <v>10753</v>
      </c>
      <c r="B17456" s="4">
        <v>54856</v>
      </c>
      <c r="D17456" s="5" t="s">
        <v>21219</v>
      </c>
      <c r="E17456" s="6" t="str">
        <f>HYPERLINK("https://inpn.mnhn.fr/espece/cd_nom/54856","Deilephila porcellus (Linnaeus, 1758)")</f>
        <v>Deilephila porcellus (Linnaeus, 1758)</v>
      </c>
      <c r="F17456" s="5" t="s">
        <v>21220</v>
      </c>
      <c r="AH17456" s="4" t="str">
        <f>HYPERLINK("#Statut_biogéographique!A"&amp;_xlfn.XMATCH("P",Statut_biogéographique!A:A,2,1),"P")</f>
        <v>P</v>
      </c>
      <c r="AP17456" s="4" t="s">
        <v>376</v>
      </c>
      <c r="AR17456" s="4" t="s">
        <v>377</v>
      </c>
    </row>
    <row r="17457" spans="1:44" ht="30">
      <c r="A17457" s="4" t="s">
        <v>10753</v>
      </c>
      <c r="B17457" s="4">
        <v>54859</v>
      </c>
      <c r="D17457" s="5" t="s">
        <v>21221</v>
      </c>
      <c r="E17457" s="6" t="str">
        <f>HYPERLINK("https://inpn.mnhn.fr/espece/cd_nom/54859","Hippotion celerio (Linnaeus, 1758)")</f>
        <v>Hippotion celerio (Linnaeus, 1758)</v>
      </c>
      <c r="F17457" s="5" t="s">
        <v>21222</v>
      </c>
      <c r="AH17457" s="4" t="str">
        <f>HYPERLINK("#Statut_biogéographique!A"&amp;_xlfn.XMATCH("P",Statut_biogéographique!A:A,2,1),"P")</f>
        <v>P</v>
      </c>
      <c r="AP17457" s="4" t="s">
        <v>376</v>
      </c>
      <c r="AR17457" s="4" t="s">
        <v>377</v>
      </c>
    </row>
    <row r="17458" spans="1:44">
      <c r="A17458" s="4" t="s">
        <v>10753</v>
      </c>
      <c r="B17458" s="4">
        <v>56502</v>
      </c>
      <c r="D17458" s="5" t="s">
        <v>21223</v>
      </c>
      <c r="E17458" s="6" t="str">
        <f>HYPERLINK("https://inpn.mnhn.fr/espece/cd_nom/56502","Aegopinella nitidula (Draparnaud, 1805)")</f>
        <v>Aegopinella nitidula (Draparnaud, 1805)</v>
      </c>
      <c r="F17458" s="5" t="s">
        <v>21224</v>
      </c>
      <c r="O17458" s="7" t="str">
        <f>HYPERLINK("#Liste_rouge!A"&amp;_xlfn.XMATCH("LC",Liste_rouge!A:A,2,1),"LC")</f>
        <v>LC</v>
      </c>
      <c r="P17458" s="7" t="str">
        <f>HYPERLINK("#Liste_rouge!A"&amp;_xlfn.XMATCH("LC",Liste_rouge!A:A,2,1),"LC")</f>
        <v>LC</v>
      </c>
      <c r="Q17458" s="7" t="str">
        <f>HYPERLINK("#Liste_rouge!A"&amp;_xlfn.XMATCH("LC",Liste_rouge!A:A,2,1),"LC")</f>
        <v>LC</v>
      </c>
      <c r="AH17458" s="4" t="str">
        <f>HYPERLINK("#Statut_biogéographique!A"&amp;_xlfn.XMATCH("P",Statut_biogéographique!A:A,2,1),"P")</f>
        <v>P</v>
      </c>
      <c r="AM17458" s="4" t="s">
        <v>375</v>
      </c>
      <c r="AN17458" s="4" t="s">
        <v>375</v>
      </c>
      <c r="AO17458" s="4" t="s">
        <v>375</v>
      </c>
      <c r="AP17458" s="4" t="s">
        <v>376</v>
      </c>
      <c r="AR17458" s="4" t="s">
        <v>377</v>
      </c>
    </row>
    <row r="17459" spans="1:44" ht="30">
      <c r="A17459" s="4" t="s">
        <v>10753</v>
      </c>
      <c r="B17459" s="4">
        <v>56503</v>
      </c>
      <c r="D17459" s="5" t="s">
        <v>21225</v>
      </c>
      <c r="E17459" s="6" t="str">
        <f>HYPERLINK("https://inpn.mnhn.fr/espece/cd_nom/56503","Aegopinella pura (Alder, 1830)")</f>
        <v>Aegopinella pura (Alder, 1830)</v>
      </c>
      <c r="F17459" s="5" t="s">
        <v>21226</v>
      </c>
      <c r="P17459" s="7" t="str">
        <f>HYPERLINK("#Liste_rouge!A"&amp;_xlfn.XMATCH("LC",Liste_rouge!A:A,2,1),"LC")</f>
        <v>LC</v>
      </c>
      <c r="Q17459" s="7" t="str">
        <f>HYPERLINK("#Liste_rouge!A"&amp;_xlfn.XMATCH("LC",Liste_rouge!A:A,2,1),"LC")</f>
        <v>LC</v>
      </c>
      <c r="AH17459" s="4" t="str">
        <f>HYPERLINK("#Statut_biogéographique!A"&amp;_xlfn.XMATCH("P",Statut_biogéographique!A:A,2,1),"P")</f>
        <v>P</v>
      </c>
      <c r="AM17459" s="4" t="s">
        <v>375</v>
      </c>
      <c r="AN17459" s="4" t="s">
        <v>375</v>
      </c>
      <c r="AO17459" s="4" t="s">
        <v>375</v>
      </c>
      <c r="AP17459" s="4" t="s">
        <v>376</v>
      </c>
      <c r="AR17459" s="4" t="s">
        <v>377</v>
      </c>
    </row>
    <row r="17460" spans="1:44" ht="30">
      <c r="A17460" s="4" t="s">
        <v>10753</v>
      </c>
      <c r="B17460" s="4">
        <v>56508</v>
      </c>
      <c r="D17460" s="5" t="s">
        <v>21227</v>
      </c>
      <c r="E17460" s="6" t="str">
        <f>HYPERLINK("https://inpn.mnhn.fr/espece/cd_nom/56508","Candidula unifasciata (Poiret, 1801)")</f>
        <v>Candidula unifasciata (Poiret, 1801)</v>
      </c>
      <c r="F17460" s="5" t="s">
        <v>11955</v>
      </c>
      <c r="O17460" s="7" t="str">
        <f>HYPERLINK("#Liste_rouge!A"&amp;_xlfn.XMATCH("LC",Liste_rouge!A:A,2,1),"LC")</f>
        <v>LC</v>
      </c>
      <c r="P17460" s="7" t="str">
        <f>HYPERLINK("#Liste_rouge!A"&amp;_xlfn.XMATCH("LC",Liste_rouge!A:A,2,1),"LC")</f>
        <v>LC</v>
      </c>
      <c r="Q17460" s="7" t="str">
        <f>HYPERLINK("#Liste_rouge!A"&amp;_xlfn.XMATCH("LC",Liste_rouge!A:A,2,1),"LC")</f>
        <v>LC</v>
      </c>
      <c r="AH17460" s="4" t="str">
        <f>HYPERLINK("#Statut_biogéographique!A"&amp;_xlfn.XMATCH("P",Statut_biogéographique!A:A,2,1),"P")</f>
        <v>P</v>
      </c>
      <c r="AM17460" s="4" t="s">
        <v>375</v>
      </c>
      <c r="AN17460" s="4" t="s">
        <v>375</v>
      </c>
      <c r="AO17460" s="4" t="s">
        <v>375</v>
      </c>
      <c r="AP17460" s="4" t="s">
        <v>376</v>
      </c>
      <c r="AR17460" s="4" t="s">
        <v>377</v>
      </c>
    </row>
    <row r="17461" spans="1:44">
      <c r="A17461" s="4" t="s">
        <v>10753</v>
      </c>
      <c r="B17461" s="4">
        <v>589936</v>
      </c>
      <c r="D17461" s="5">
        <v>589936</v>
      </c>
      <c r="E17461" s="6" t="str">
        <f>HYPERLINK("https://inpn.mnhn.fr/espece/cd_nom/589936","")</f>
        <v/>
      </c>
      <c r="AP17461" s="4" t="s">
        <v>376</v>
      </c>
      <c r="AR17461" s="4" t="s">
        <v>377</v>
      </c>
    </row>
    <row r="17462" spans="1:44">
      <c r="A17462" s="4" t="s">
        <v>10753</v>
      </c>
      <c r="B17462" s="4">
        <v>593042</v>
      </c>
      <c r="D17462" s="5" t="s">
        <v>21228</v>
      </c>
      <c r="E17462" s="6" t="str">
        <f>HYPERLINK("https://inpn.mnhn.fr/espece/cd_nom/593042","Cochlicopa lubricella (Porro, 1838)")</f>
        <v>Cochlicopa lubricella (Porro, 1838)</v>
      </c>
      <c r="F17462" s="5" t="s">
        <v>21229</v>
      </c>
      <c r="P17462" s="7" t="str">
        <f>HYPERLINK("#Liste_rouge!A"&amp;_xlfn.XMATCH("LC",Liste_rouge!A:A,2,1),"LC")</f>
        <v>LC</v>
      </c>
      <c r="Q17462" s="7" t="str">
        <f>HYPERLINK("#Liste_rouge!A"&amp;_xlfn.XMATCH("LC",Liste_rouge!A:A,2,1),"LC")</f>
        <v>LC</v>
      </c>
      <c r="AH17462" s="4" t="str">
        <f>HYPERLINK("#Statut_biogéographique!A"&amp;_xlfn.XMATCH("P",Statut_biogéographique!A:A,2,1),"P")</f>
        <v>P</v>
      </c>
      <c r="AM17462" s="4" t="s">
        <v>375</v>
      </c>
      <c r="AN17462" s="4" t="s">
        <v>375</v>
      </c>
      <c r="AO17462" s="4" t="s">
        <v>375</v>
      </c>
      <c r="AP17462" s="4" t="s">
        <v>376</v>
      </c>
      <c r="AR17462" s="4" t="s">
        <v>377</v>
      </c>
    </row>
    <row r="17463" spans="1:44">
      <c r="A17463" s="4" t="s">
        <v>10753</v>
      </c>
      <c r="B17463" s="4">
        <v>593263</v>
      </c>
      <c r="D17463" s="5" t="s">
        <v>21230</v>
      </c>
      <c r="E17463" s="6" t="str">
        <f>HYPERLINK("https://inpn.mnhn.fr/espece/cd_nom/593263","Roeseliana roeselii (Hagenbach, 1822)")</f>
        <v>Roeseliana roeselii (Hagenbach, 1822)</v>
      </c>
      <c r="P17463" s="7" t="str">
        <f>HYPERLINK("#Liste_rouge!A"&amp;_xlfn.XMATCH("LC",Liste_rouge!A:A,2,1),"LC")</f>
        <v>LC</v>
      </c>
      <c r="V17463" s="7" t="str">
        <f>HYPERLINK("#Liste_rouge!A"&amp;_xlfn.XMATCH("LC",Liste_rouge!A:A,2,1),"LC")</f>
        <v>LC</v>
      </c>
      <c r="AH17463" s="4" t="str">
        <f>HYPERLINK("#Statut_biogéographique!A"&amp;_xlfn.XMATCH("P",Statut_biogéographique!A:A,2,1),"P")</f>
        <v>P</v>
      </c>
      <c r="AM17463" s="4" t="s">
        <v>375</v>
      </c>
      <c r="AN17463" s="4" t="s">
        <v>375</v>
      </c>
      <c r="AO17463" s="4" t="s">
        <v>375</v>
      </c>
      <c r="AP17463" s="4" t="s">
        <v>376</v>
      </c>
      <c r="AR17463" s="4" t="s">
        <v>377</v>
      </c>
    </row>
    <row r="17464" spans="1:44" ht="30">
      <c r="A17464" s="4" t="s">
        <v>10753</v>
      </c>
      <c r="B17464" s="4">
        <v>593264</v>
      </c>
      <c r="D17464" s="5" t="s">
        <v>21231</v>
      </c>
      <c r="E17464" s="6" t="str">
        <f>HYPERLINK("https://inpn.mnhn.fr/espece/cd_nom/593264","Roeseliana roeselii roeselii (Hagenbach, 1822)")</f>
        <v>Roeseliana roeselii roeselii (Hagenbach, 1822)</v>
      </c>
      <c r="F17464" s="5" t="s">
        <v>21232</v>
      </c>
      <c r="AH17464" s="4" t="str">
        <f>HYPERLINK("#Statut_biogéographique!A"&amp;_xlfn.XMATCH("P",Statut_biogéographique!A:A,2,1),"P")</f>
        <v>P</v>
      </c>
      <c r="AP17464" s="4" t="s">
        <v>376</v>
      </c>
      <c r="AR17464" s="4" t="s">
        <v>377</v>
      </c>
    </row>
    <row r="17465" spans="1:44" ht="30">
      <c r="A17465" s="4" t="s">
        <v>10753</v>
      </c>
      <c r="B17465" s="4">
        <v>593306</v>
      </c>
      <c r="D17465" s="5" t="s">
        <v>21233</v>
      </c>
      <c r="E17465" s="6" t="str">
        <f>HYPERLINK("https://inpn.mnhn.fr/espece/cd_nom/593306","Barbitistes serricauda (Fabricius, 1794)")</f>
        <v>Barbitistes serricauda (Fabricius, 1794)</v>
      </c>
      <c r="F17465" s="5" t="s">
        <v>21234</v>
      </c>
      <c r="P17465" s="7" t="str">
        <f>HYPERLINK("#Liste_rouge!A"&amp;_xlfn.XMATCH("LC",Liste_rouge!A:A,2,1),"LC")</f>
        <v>LC</v>
      </c>
      <c r="V17465" s="7" t="str">
        <f>HYPERLINK("#Liste_rouge!A"&amp;_xlfn.XMATCH("LC",Liste_rouge!A:A,2,1),"LC")</f>
        <v>LC</v>
      </c>
      <c r="AH17465" s="4" t="str">
        <f>HYPERLINK("#Statut_biogéographique!A"&amp;_xlfn.XMATCH("P",Statut_biogéographique!A:A,2,1),"P")</f>
        <v>P</v>
      </c>
      <c r="AM17465" s="4" t="s">
        <v>375</v>
      </c>
      <c r="AN17465" s="4" t="s">
        <v>375</v>
      </c>
      <c r="AO17465" s="4" t="s">
        <v>375</v>
      </c>
      <c r="AP17465" s="4" t="s">
        <v>376</v>
      </c>
      <c r="AR17465" s="4" t="s">
        <v>377</v>
      </c>
    </row>
    <row r="17466" spans="1:44">
      <c r="A17466" s="4" t="s">
        <v>10753</v>
      </c>
      <c r="B17466" s="4">
        <v>593311</v>
      </c>
      <c r="D17466" s="5" t="s">
        <v>21235</v>
      </c>
      <c r="E17466" s="6" t="str">
        <f>HYPERLINK("https://inpn.mnhn.fr/espece/cd_nom/593311","Tetrix tenuicornis (Sahlberg, 1891)")</f>
        <v>Tetrix tenuicornis (Sahlberg, 1891)</v>
      </c>
      <c r="F17466" s="5" t="s">
        <v>21236</v>
      </c>
      <c r="P17466" s="7" t="str">
        <f>HYPERLINK("#Liste_rouge!A"&amp;_xlfn.XMATCH("LC",Liste_rouge!A:A,2,1),"LC")</f>
        <v>LC</v>
      </c>
      <c r="V17466" s="7" t="str">
        <f>HYPERLINK("#Liste_rouge!A"&amp;_xlfn.XMATCH("LC",Liste_rouge!A:A,2,1),"LC")</f>
        <v>LC</v>
      </c>
      <c r="AH17466" s="4" t="str">
        <f>HYPERLINK("#Statut_biogéographique!A"&amp;_xlfn.XMATCH("P",Statut_biogéographique!A:A,2,1),"P")</f>
        <v>P</v>
      </c>
      <c r="AM17466" s="4" t="s">
        <v>375</v>
      </c>
      <c r="AN17466" s="4" t="s">
        <v>375</v>
      </c>
      <c r="AO17466" s="4" t="s">
        <v>375</v>
      </c>
      <c r="AP17466" s="4" t="s">
        <v>376</v>
      </c>
      <c r="AR17466" s="4" t="s">
        <v>377</v>
      </c>
    </row>
    <row r="17467" spans="1:44">
      <c r="A17467" s="4" t="s">
        <v>10753</v>
      </c>
      <c r="B17467" s="4">
        <v>593705</v>
      </c>
      <c r="D17467" s="5" t="s">
        <v>21237</v>
      </c>
      <c r="E17467" s="6" t="str">
        <f>HYPERLINK("https://inpn.mnhn.fr/espece/cd_nom/593705","Chydorus sphaericus (O.F. Müller, 1776)")</f>
        <v>Chydorus sphaericus (O.F. Müller, 1776)</v>
      </c>
      <c r="F17467" s="5" t="s">
        <v>21238</v>
      </c>
      <c r="Q17467" s="7" t="str">
        <f>HYPERLINK("#Liste_rouge!A"&amp;_xlfn.XMATCH("LC",Liste_rouge!A:A,2,1),"LC")</f>
        <v>LC</v>
      </c>
      <c r="AH17467" s="4" t="str">
        <f>HYPERLINK("#Statut_biogéographique!A"&amp;_xlfn.XMATCH("P",Statut_biogéographique!A:A,2,1),"P")</f>
        <v>P</v>
      </c>
      <c r="AP17467" s="4" t="s">
        <v>376</v>
      </c>
      <c r="AR17467" s="4" t="s">
        <v>377</v>
      </c>
    </row>
    <row r="17468" spans="1:44">
      <c r="A17468" s="4" t="s">
        <v>10753</v>
      </c>
      <c r="B17468" s="4">
        <v>593722</v>
      </c>
      <c r="D17468" s="5" t="s">
        <v>21239</v>
      </c>
      <c r="E17468" s="6" t="str">
        <f>HYPERLINK("https://inpn.mnhn.fr/espece/cd_nom/593722","Leydigia leydigi (Schoedler, 1863)")</f>
        <v>Leydigia leydigi (Schoedler, 1863)</v>
      </c>
      <c r="Q17468" s="7" t="str">
        <f>HYPERLINK("#Liste_rouge!A"&amp;_xlfn.XMATCH("DD",Liste_rouge!A:A,2,1),"DD")</f>
        <v>DD</v>
      </c>
      <c r="AH17468" s="4" t="str">
        <f>HYPERLINK("#Statut_biogéographique!A"&amp;_xlfn.XMATCH("P",Statut_biogéographique!A:A,2,1),"P")</f>
        <v>P</v>
      </c>
      <c r="AP17468" s="4" t="s">
        <v>376</v>
      </c>
      <c r="AR17468" s="4" t="s">
        <v>377</v>
      </c>
    </row>
    <row r="17469" spans="1:44">
      <c r="A17469" s="4" t="s">
        <v>10753</v>
      </c>
      <c r="B17469" s="4">
        <v>593724</v>
      </c>
      <c r="D17469" s="5" t="s">
        <v>21240</v>
      </c>
      <c r="E17469" s="6" t="str">
        <f>HYPERLINK("https://inpn.mnhn.fr/espece/cd_nom/593724","Moina macrocopa (Straus, 1820)")</f>
        <v>Moina macrocopa (Straus, 1820)</v>
      </c>
      <c r="Q17469" s="7" t="str">
        <f>HYPERLINK("#Liste_rouge!A"&amp;_xlfn.XMATCH("DD",Liste_rouge!A:A,2,1),"DD")</f>
        <v>DD</v>
      </c>
      <c r="AH17469" s="4" t="str">
        <f>HYPERLINK("#Statut_biogéographique!A"&amp;_xlfn.XMATCH("P",Statut_biogéographique!A:A,2,1),"P")</f>
        <v>P</v>
      </c>
      <c r="AP17469" s="4" t="s">
        <v>376</v>
      </c>
      <c r="AR17469" s="4" t="s">
        <v>377</v>
      </c>
    </row>
    <row r="17470" spans="1:44" ht="30">
      <c r="A17470" s="4" t="s">
        <v>10753</v>
      </c>
      <c r="B17470" s="4">
        <v>601602</v>
      </c>
      <c r="D17470" s="5" t="s">
        <v>21241</v>
      </c>
      <c r="E17470" s="6" t="str">
        <f>HYPERLINK("https://inpn.mnhn.fr/espece/cd_nom/601602","Acanthocyclops einslei Mirabdullayev &amp; Defaye, 2004")</f>
        <v>Acanthocyclops einslei Mirabdullayev &amp; Defaye, 2004</v>
      </c>
      <c r="Q17470" s="7" t="str">
        <f>HYPERLINK("#Liste_rouge!A"&amp;_xlfn.XMATCH("LC",Liste_rouge!A:A,2,1),"LC")</f>
        <v>LC</v>
      </c>
      <c r="AH17470" s="4" t="str">
        <f>HYPERLINK("#Statut_biogéographique!A"&amp;_xlfn.XMATCH("P",Statut_biogéographique!A:A,2,1),"P")</f>
        <v>P</v>
      </c>
      <c r="AP17470" s="4" t="s">
        <v>376</v>
      </c>
      <c r="AR17470" s="4" t="s">
        <v>377</v>
      </c>
    </row>
    <row r="17471" spans="1:44">
      <c r="A17471" s="4" t="s">
        <v>10753</v>
      </c>
      <c r="B17471" s="4">
        <v>608272</v>
      </c>
      <c r="D17471" s="5" t="s">
        <v>21242</v>
      </c>
      <c r="E17471" s="6" t="str">
        <f>HYPERLINK("https://inpn.mnhn.fr/espece/cd_nom/608272","Leptidea juvernica Williams, 1946")</f>
        <v>Leptidea juvernica Williams, 1946</v>
      </c>
      <c r="F17471" s="5" t="s">
        <v>21243</v>
      </c>
      <c r="AH17471" s="4" t="str">
        <f>HYPERLINK("#Statut_biogéographique!A"&amp;_xlfn.XMATCH("P",Statut_biogéographique!A:A,2,1),"P")</f>
        <v>P</v>
      </c>
      <c r="AP17471" s="4" t="s">
        <v>376</v>
      </c>
      <c r="AR17471" s="4" t="s">
        <v>377</v>
      </c>
    </row>
    <row r="17472" spans="1:44" ht="45">
      <c r="A17472" s="4" t="s">
        <v>10753</v>
      </c>
      <c r="B17472" s="4">
        <v>608277</v>
      </c>
      <c r="D17472" s="5" t="s">
        <v>21244</v>
      </c>
      <c r="E17472" s="6" t="str">
        <f>HYPERLINK("https://inpn.mnhn.fr/espece/cd_nom/608277","Pieris bryoniae (Hübner, 1800)")</f>
        <v>Pieris bryoniae (Hübner, 1800)</v>
      </c>
      <c r="F17472" s="5" t="s">
        <v>21245</v>
      </c>
      <c r="P17472" s="7" t="str">
        <f>HYPERLINK("#Liste_rouge!A"&amp;_xlfn.XMATCH("LC",Liste_rouge!A:A,2,1),"LC")</f>
        <v>LC</v>
      </c>
      <c r="Q17472" s="7" t="str">
        <f>HYPERLINK("#Liste_rouge!A"&amp;_xlfn.XMATCH("LC",Liste_rouge!A:A,2,1),"LC")</f>
        <v>LC</v>
      </c>
      <c r="T17472" s="7" t="str">
        <f>HYPERLINK("#Liste_rouge!A"&amp;_xlfn.XMATCH("NE",Liste_rouge!A:A,2,1),"NE")</f>
        <v>NE</v>
      </c>
      <c r="V17472" s="7" t="str">
        <f>HYPERLINK("#Liste_rouge!A"&amp;_xlfn.XMATCH("NT",Liste_rouge!A:A,2,1),"NT")</f>
        <v>NT</v>
      </c>
      <c r="W17472" s="4" t="str">
        <f>HYPERLINK("#Critères_liste_rouge!A$1","pr.A3c")</f>
        <v>pr.A3c</v>
      </c>
      <c r="X17472" s="5" t="s">
        <v>398</v>
      </c>
      <c r="AH17472" s="4" t="str">
        <f>HYPERLINK("#Statut_biogéographique!A"&amp;_xlfn.XMATCH("P",Statut_biogéographique!A:A,2,1),"P")</f>
        <v>P</v>
      </c>
      <c r="AM17472" s="4" t="s">
        <v>375</v>
      </c>
      <c r="AN17472" s="4" t="s">
        <v>375</v>
      </c>
      <c r="AO17472" s="4" t="s">
        <v>375</v>
      </c>
      <c r="AP17472" s="4" t="s">
        <v>376</v>
      </c>
      <c r="AR17472" s="4" t="s">
        <v>377</v>
      </c>
    </row>
    <row r="17473" spans="1:44" ht="30">
      <c r="A17473" s="4" t="s">
        <v>10753</v>
      </c>
      <c r="B17473" s="4">
        <v>608279</v>
      </c>
      <c r="D17473" s="5" t="s">
        <v>21246</v>
      </c>
      <c r="E17473" s="6" t="str">
        <f>HYPERLINK("https://inpn.mnhn.fr/espece/cd_nom/608279","Lycaena alciphron alciphron (Rottemburg, 1775)")</f>
        <v>Lycaena alciphron alciphron (Rottemburg, 1775)</v>
      </c>
      <c r="F17473" s="5" t="s">
        <v>21247</v>
      </c>
      <c r="Q17473" s="7" t="str">
        <f>HYPERLINK("#Liste_rouge!A"&amp;_xlfn.XMATCH("NT",Liste_rouge!A:A,2,1),"NT")</f>
        <v>NT</v>
      </c>
      <c r="AH17473" s="4" t="str">
        <f>HYPERLINK("#Statut_biogéographique!A"&amp;_xlfn.XMATCH("P",Statut_biogéographique!A:A,2,1),"P")</f>
        <v>P</v>
      </c>
      <c r="AP17473" s="4" t="s">
        <v>376</v>
      </c>
      <c r="AR17473" s="4" t="s">
        <v>377</v>
      </c>
    </row>
    <row r="17474" spans="1:44" ht="75">
      <c r="A17474" s="4" t="s">
        <v>10753</v>
      </c>
      <c r="B17474" s="4">
        <v>608280</v>
      </c>
      <c r="D17474" s="5" t="s">
        <v>21248</v>
      </c>
      <c r="E17474" s="6" t="str">
        <f>HYPERLINK("https://inpn.mnhn.fr/espece/cd_nom/608280","Lycaena alciphron gordius (Sulzer, 1776)")</f>
        <v>Lycaena alciphron gordius (Sulzer, 1776)</v>
      </c>
      <c r="F17474" s="5" t="s">
        <v>21249</v>
      </c>
      <c r="AH17474" s="4" t="str">
        <f>HYPERLINK("#Statut_biogéographique!A"&amp;_xlfn.XMATCH("P",Statut_biogéographique!A:A,2,1),"P")</f>
        <v>P</v>
      </c>
      <c r="AP17474" s="4" t="s">
        <v>376</v>
      </c>
      <c r="AR17474" s="4" t="s">
        <v>377</v>
      </c>
    </row>
    <row r="17475" spans="1:44" ht="45">
      <c r="A17475" s="4" t="s">
        <v>10753</v>
      </c>
      <c r="B17475" s="4">
        <v>608289</v>
      </c>
      <c r="D17475" s="5" t="s">
        <v>21250</v>
      </c>
      <c r="E17475" s="6" t="str">
        <f>HYPERLINK("https://inpn.mnhn.fr/espece/cd_nom/608289","Lycaena hippothoe eurydame (Hoffmannsegg, 1806)")</f>
        <v>Lycaena hippothoe eurydame (Hoffmannsegg, 1806)</v>
      </c>
      <c r="AH17475" s="4" t="str">
        <f>HYPERLINK("#Statut_biogéographique!A"&amp;_xlfn.XMATCH("P",Statut_biogéographique!A:A,2,1),"P")</f>
        <v>P</v>
      </c>
      <c r="AP17475" s="4" t="s">
        <v>376</v>
      </c>
      <c r="AR17475" s="4" t="s">
        <v>377</v>
      </c>
    </row>
    <row r="17476" spans="1:44" ht="45">
      <c r="A17476" s="4" t="s">
        <v>10753</v>
      </c>
      <c r="B17476" s="4">
        <v>608290</v>
      </c>
      <c r="D17476" s="5" t="s">
        <v>21251</v>
      </c>
      <c r="E17476" s="6" t="str">
        <f>HYPERLINK("https://inpn.mnhn.fr/espece/cd_nom/608290","Lycaena tityrus tityrus (Poda, 1761)")</f>
        <v>Lycaena tityrus tityrus (Poda, 1761)</v>
      </c>
      <c r="AH17476" s="4" t="str">
        <f>HYPERLINK("#Statut_biogéographique!A"&amp;_xlfn.XMATCH("P",Statut_biogéographique!A:A,2,1),"P")</f>
        <v>P</v>
      </c>
      <c r="AP17476" s="4" t="s">
        <v>376</v>
      </c>
      <c r="AR17476" s="4" t="s">
        <v>377</v>
      </c>
    </row>
    <row r="17477" spans="1:44" ht="45">
      <c r="A17477" s="4" t="s">
        <v>10753</v>
      </c>
      <c r="B17477" s="4">
        <v>608362</v>
      </c>
      <c r="D17477" s="5" t="s">
        <v>21252</v>
      </c>
      <c r="E17477" s="6" t="str">
        <f>HYPERLINK("https://inpn.mnhn.fr/espece/cd_nom/608362","Melitaea celadussa Fruhstorfer, 1910")</f>
        <v>Melitaea celadussa Fruhstorfer, 1910</v>
      </c>
      <c r="F17477" s="5" t="s">
        <v>21253</v>
      </c>
      <c r="AH17477" s="4" t="str">
        <f>HYPERLINK("#Statut_biogéographique!A"&amp;_xlfn.XMATCH("P",Statut_biogéographique!A:A,2,1),"P")</f>
        <v>P</v>
      </c>
      <c r="AM17477" s="4" t="s">
        <v>375</v>
      </c>
      <c r="AN17477" s="4" t="s">
        <v>375</v>
      </c>
      <c r="AO17477" s="4" t="s">
        <v>375</v>
      </c>
      <c r="AP17477" s="4" t="s">
        <v>376</v>
      </c>
      <c r="AR17477" s="4" t="s">
        <v>377</v>
      </c>
    </row>
    <row r="17478" spans="1:44" ht="45">
      <c r="A17478" s="4" t="s">
        <v>10753</v>
      </c>
      <c r="B17478" s="4">
        <v>608364</v>
      </c>
      <c r="D17478" s="5" t="s">
        <v>21254</v>
      </c>
      <c r="E17478" s="6" t="str">
        <f>HYPERLINK("https://inpn.mnhn.fr/espece/cd_nom/608364","Aglais io (Linnaeus, 1758)")</f>
        <v>Aglais io (Linnaeus, 1758)</v>
      </c>
      <c r="F17478" s="5" t="s">
        <v>21255</v>
      </c>
      <c r="P17478" s="7" t="str">
        <f>HYPERLINK("#Liste_rouge!A"&amp;_xlfn.XMATCH("LC",Liste_rouge!A:A,2,1),"LC")</f>
        <v>LC</v>
      </c>
      <c r="Q17478" s="7" t="str">
        <f>HYPERLINK("#Liste_rouge!A"&amp;_xlfn.XMATCH("LC",Liste_rouge!A:A,2,1),"LC")</f>
        <v>LC</v>
      </c>
      <c r="T17478" s="7" t="str">
        <f>HYPERLINK("#Liste_rouge!A"&amp;_xlfn.XMATCH("LC",Liste_rouge!A:A,2,1),"LC")</f>
        <v>LC</v>
      </c>
      <c r="V17478" s="7" t="str">
        <f>HYPERLINK("#Liste_rouge!A"&amp;_xlfn.XMATCH("LC",Liste_rouge!A:A,2,1),"LC")</f>
        <v>LC</v>
      </c>
      <c r="AH17478" s="4" t="str">
        <f>HYPERLINK("#Statut_biogéographique!A"&amp;_xlfn.XMATCH("P",Statut_biogéographique!A:A,2,1),"P")</f>
        <v>P</v>
      </c>
      <c r="AM17478" s="4" t="s">
        <v>375</v>
      </c>
      <c r="AN17478" s="4" t="s">
        <v>375</v>
      </c>
      <c r="AO17478" s="4" t="s">
        <v>375</v>
      </c>
      <c r="AP17478" s="4" t="s">
        <v>376</v>
      </c>
      <c r="AR17478" s="4" t="s">
        <v>377</v>
      </c>
    </row>
    <row r="17479" spans="1:44" ht="45">
      <c r="A17479" s="4" t="s">
        <v>10753</v>
      </c>
      <c r="B17479" s="4">
        <v>608405</v>
      </c>
      <c r="D17479" s="5" t="s">
        <v>21256</v>
      </c>
      <c r="E17479" s="6" t="str">
        <f>HYPERLINK("https://inpn.mnhn.fr/espece/cd_nom/608405","Pyronia tithonus (Linnaeus, 1771)")</f>
        <v>Pyronia tithonus (Linnaeus, 1771)</v>
      </c>
      <c r="F17479" s="5" t="s">
        <v>21257</v>
      </c>
      <c r="P17479" s="7" t="str">
        <f>HYPERLINK("#Liste_rouge!A"&amp;_xlfn.XMATCH("LC",Liste_rouge!A:A,2,1),"LC")</f>
        <v>LC</v>
      </c>
      <c r="Q17479" s="7" t="str">
        <f>HYPERLINK("#Liste_rouge!A"&amp;_xlfn.XMATCH("LC",Liste_rouge!A:A,2,1),"LC")</f>
        <v>LC</v>
      </c>
      <c r="T17479" s="7" t="str">
        <f>HYPERLINK("#Liste_rouge!A"&amp;_xlfn.XMATCH("LC",Liste_rouge!A:A,2,1),"LC")</f>
        <v>LC</v>
      </c>
      <c r="V17479" s="7" t="str">
        <f>HYPERLINK("#Liste_rouge!A"&amp;_xlfn.XMATCH("LC",Liste_rouge!A:A,2,1),"LC")</f>
        <v>LC</v>
      </c>
      <c r="AH17479" s="4" t="str">
        <f>HYPERLINK("#Statut_biogéographique!A"&amp;_xlfn.XMATCH("P",Statut_biogéographique!A:A,2,1),"P")</f>
        <v>P</v>
      </c>
      <c r="AM17479" s="4" t="s">
        <v>375</v>
      </c>
      <c r="AN17479" s="4" t="s">
        <v>375</v>
      </c>
      <c r="AO17479" s="4" t="s">
        <v>375</v>
      </c>
      <c r="AP17479" s="4" t="s">
        <v>376</v>
      </c>
      <c r="AR17479" s="4" t="s">
        <v>377</v>
      </c>
    </row>
    <row r="17480" spans="1:44" ht="30">
      <c r="A17480" s="4" t="s">
        <v>10753</v>
      </c>
      <c r="B17480" s="4">
        <v>61729</v>
      </c>
      <c r="D17480" s="5">
        <v>61729</v>
      </c>
      <c r="E17480" s="6" t="str">
        <f>HYPERLINK("https://inpn.mnhn.fr/espece/cd_nom/61729","Cochlodina laminata laminata (Montagu, 1803)")</f>
        <v>Cochlodina laminata laminata (Montagu, 1803)</v>
      </c>
      <c r="F17480" s="5" t="s">
        <v>12216</v>
      </c>
      <c r="AH17480" s="4" t="str">
        <f>HYPERLINK("#Statut_biogéographique!A"&amp;_xlfn.XMATCH("P",Statut_biogéographique!A:A,2,1),"P")</f>
        <v>P</v>
      </c>
      <c r="AP17480" s="4" t="s">
        <v>376</v>
      </c>
      <c r="AR17480" s="4" t="s">
        <v>377</v>
      </c>
    </row>
    <row r="17481" spans="1:44" ht="60">
      <c r="A17481" s="4" t="s">
        <v>10753</v>
      </c>
      <c r="B17481" s="4">
        <v>61758</v>
      </c>
      <c r="D17481" s="5" t="s">
        <v>21258</v>
      </c>
      <c r="E17481" s="6" t="str">
        <f>HYPERLINK("https://inpn.mnhn.fr/espece/cd_nom/61758","Physella acuta (Draparnaud, 1805)")</f>
        <v>Physella acuta (Draparnaud, 1805)</v>
      </c>
      <c r="F17481" s="5" t="s">
        <v>21259</v>
      </c>
      <c r="O17481" s="7" t="str">
        <f>HYPERLINK("#Liste_rouge!A"&amp;_xlfn.XMATCH("LC",Liste_rouge!A:A,2,1),"LC")</f>
        <v>LC</v>
      </c>
      <c r="P17481" s="7" t="str">
        <f>HYPERLINK("#Liste_rouge!A"&amp;_xlfn.XMATCH("LC",Liste_rouge!A:A,2,1),"LC")</f>
        <v>LC</v>
      </c>
      <c r="Q17481" s="7" t="str">
        <f>HYPERLINK("#Liste_rouge!A"&amp;_xlfn.XMATCH("NA",Liste_rouge!A:A,2,1),"NA")</f>
        <v>NA</v>
      </c>
      <c r="AH17481" s="4" t="str">
        <f>HYPERLINK("#Statut_biogéographique!A"&amp;_xlfn.XMATCH("I",Statut_biogéographique!A:A,2,1),"I")</f>
        <v>I</v>
      </c>
      <c r="AM17481" s="4" t="s">
        <v>375</v>
      </c>
      <c r="AN17481" s="4" t="s">
        <v>375</v>
      </c>
      <c r="AO17481" s="4" t="s">
        <v>375</v>
      </c>
      <c r="AP17481" s="4" t="s">
        <v>376</v>
      </c>
      <c r="AR17481" s="4" t="s">
        <v>377</v>
      </c>
    </row>
    <row r="17482" spans="1:44">
      <c r="A17482" s="4" t="s">
        <v>10753</v>
      </c>
      <c r="B17482" s="4">
        <v>61976</v>
      </c>
      <c r="D17482" s="5" t="s">
        <v>21260</v>
      </c>
      <c r="E17482" s="6" t="str">
        <f>HYPERLINK("https://inpn.mnhn.fr/espece/cd_nom/61976","Theodoxus fluviatilis (Linnaeus, 1758)")</f>
        <v>Theodoxus fluviatilis (Linnaeus, 1758)</v>
      </c>
      <c r="F17482" s="5" t="s">
        <v>11764</v>
      </c>
      <c r="O17482" s="7" t="str">
        <f>HYPERLINK("#Liste_rouge!A"&amp;_xlfn.XMATCH("LC",Liste_rouge!A:A,2,1),"LC")</f>
        <v>LC</v>
      </c>
      <c r="P17482" s="7" t="str">
        <f>HYPERLINK("#Liste_rouge!A"&amp;_xlfn.XMATCH("LC",Liste_rouge!A:A,2,1),"LC")</f>
        <v>LC</v>
      </c>
      <c r="Q17482" s="7" t="str">
        <f>HYPERLINK("#Liste_rouge!A"&amp;_xlfn.XMATCH("LC",Liste_rouge!A:A,2,1),"LC")</f>
        <v>LC</v>
      </c>
      <c r="AH17482" s="4" t="str">
        <f>HYPERLINK("#Statut_biogéographique!A"&amp;_xlfn.XMATCH("P",Statut_biogéographique!A:A,2,1),"P")</f>
        <v>P</v>
      </c>
      <c r="AM17482" s="4" t="s">
        <v>375</v>
      </c>
      <c r="AN17482" s="4" t="s">
        <v>375</v>
      </c>
      <c r="AO17482" s="4" t="s">
        <v>375</v>
      </c>
      <c r="AP17482" s="4" t="s">
        <v>376</v>
      </c>
      <c r="AR17482" s="4" t="s">
        <v>377</v>
      </c>
    </row>
    <row r="17483" spans="1:44" ht="30">
      <c r="A17483" s="4" t="s">
        <v>10753</v>
      </c>
      <c r="B17483" s="4">
        <v>61987</v>
      </c>
      <c r="D17483" s="5" t="s">
        <v>21261</v>
      </c>
      <c r="E17483" s="6" t="str">
        <f>HYPERLINK("https://inpn.mnhn.fr/espece/cd_nom/61987","Cochlostoma septemspirale (Razoumowsky, 1789)")</f>
        <v>Cochlostoma septemspirale (Razoumowsky, 1789)</v>
      </c>
      <c r="F17483" s="5" t="s">
        <v>11765</v>
      </c>
      <c r="O17483" s="7" t="str">
        <f>HYPERLINK("#Liste_rouge!A"&amp;_xlfn.XMATCH("LC",Liste_rouge!A:A,2,1),"LC")</f>
        <v>LC</v>
      </c>
      <c r="P17483" s="7" t="str">
        <f>HYPERLINK("#Liste_rouge!A"&amp;_xlfn.XMATCH("LC",Liste_rouge!A:A,2,1),"LC")</f>
        <v>LC</v>
      </c>
      <c r="Q17483" s="7" t="str">
        <f>HYPERLINK("#Liste_rouge!A"&amp;_xlfn.XMATCH("LC",Liste_rouge!A:A,2,1),"LC")</f>
        <v>LC</v>
      </c>
      <c r="AH17483" s="4" t="str">
        <f>HYPERLINK("#Statut_biogéographique!A"&amp;_xlfn.XMATCH("P",Statut_biogéographique!A:A,2,1),"P")</f>
        <v>P</v>
      </c>
      <c r="AM17483" s="4" t="s">
        <v>375</v>
      </c>
      <c r="AN17483" s="4" t="s">
        <v>375</v>
      </c>
      <c r="AO17483" s="4" t="s">
        <v>375</v>
      </c>
      <c r="AP17483" s="4" t="s">
        <v>376</v>
      </c>
      <c r="AR17483" s="4" t="s">
        <v>377</v>
      </c>
    </row>
    <row r="17484" spans="1:44" ht="45">
      <c r="A17484" s="4" t="s">
        <v>10753</v>
      </c>
      <c r="B17484" s="4">
        <v>61994</v>
      </c>
      <c r="D17484" s="5" t="s">
        <v>21262</v>
      </c>
      <c r="E17484" s="6" t="str">
        <f>HYPERLINK("https://inpn.mnhn.fr/espece/cd_nom/61994","Viviparus viviparus (Linnaeus, 1758)")</f>
        <v>Viviparus viviparus (Linnaeus, 1758)</v>
      </c>
      <c r="F17484" s="5" t="s">
        <v>21263</v>
      </c>
      <c r="O17484" s="7" t="str">
        <f>HYPERLINK("#Liste_rouge!A"&amp;_xlfn.XMATCH("LC",Liste_rouge!A:A,2,1),"LC")</f>
        <v>LC</v>
      </c>
      <c r="P17484" s="7" t="str">
        <f>HYPERLINK("#Liste_rouge!A"&amp;_xlfn.XMATCH("LC",Liste_rouge!A:A,2,1),"LC")</f>
        <v>LC</v>
      </c>
      <c r="Q17484" s="7" t="str">
        <f>HYPERLINK("#Liste_rouge!A"&amp;_xlfn.XMATCH("LC",Liste_rouge!A:A,2,1),"LC")</f>
        <v>LC</v>
      </c>
      <c r="AH17484" s="4" t="str">
        <f>HYPERLINK("#Statut_biogéographique!A"&amp;_xlfn.XMATCH("P",Statut_biogéographique!A:A,2,1),"P")</f>
        <v>P</v>
      </c>
      <c r="AM17484" s="4" t="s">
        <v>375</v>
      </c>
      <c r="AN17484" s="4" t="s">
        <v>375</v>
      </c>
      <c r="AO17484" s="4" t="s">
        <v>375</v>
      </c>
      <c r="AP17484" s="4" t="s">
        <v>376</v>
      </c>
      <c r="AR17484" s="4" t="s">
        <v>377</v>
      </c>
    </row>
    <row r="17485" spans="1:44">
      <c r="A17485" s="4" t="s">
        <v>10753</v>
      </c>
      <c r="B17485" s="4">
        <v>62002</v>
      </c>
      <c r="D17485" s="5" t="s">
        <v>21264</v>
      </c>
      <c r="E17485" s="6" t="str">
        <f>HYPERLINK("https://inpn.mnhn.fr/espece/cd_nom/62002","Valvata cristata O.F. Müller, 1774")</f>
        <v>Valvata cristata O.F. Müller, 1774</v>
      </c>
      <c r="F17485" s="5" t="s">
        <v>21265</v>
      </c>
      <c r="P17485" s="7" t="str">
        <f>HYPERLINK("#Liste_rouge!A"&amp;_xlfn.XMATCH("LC",Liste_rouge!A:A,2,1),"LC")</f>
        <v>LC</v>
      </c>
      <c r="Q17485" s="7" t="str">
        <f>HYPERLINK("#Liste_rouge!A"&amp;_xlfn.XMATCH("LC",Liste_rouge!A:A,2,1),"LC")</f>
        <v>LC</v>
      </c>
      <c r="AH17485" s="4" t="str">
        <f>HYPERLINK("#Statut_biogéographique!A"&amp;_xlfn.XMATCH("P",Statut_biogéographique!A:A,2,1),"P")</f>
        <v>P</v>
      </c>
      <c r="AM17485" s="4" t="s">
        <v>375</v>
      </c>
      <c r="AN17485" s="4" t="s">
        <v>375</v>
      </c>
      <c r="AO17485" s="4" t="s">
        <v>375</v>
      </c>
      <c r="AP17485" s="4" t="s">
        <v>376</v>
      </c>
      <c r="AR17485" s="4" t="s">
        <v>377</v>
      </c>
    </row>
    <row r="17486" spans="1:44" ht="30">
      <c r="A17486" s="4" t="s">
        <v>10753</v>
      </c>
      <c r="B17486" s="4">
        <v>62004</v>
      </c>
      <c r="D17486" s="5" t="s">
        <v>21266</v>
      </c>
      <c r="E17486" s="6" t="str">
        <f>HYPERLINK("https://inpn.mnhn.fr/espece/cd_nom/62004","Valvata piscinalis (O.F. Müller, 1774)")</f>
        <v>Valvata piscinalis (O.F. Müller, 1774)</v>
      </c>
      <c r="F17486" s="5" t="s">
        <v>21267</v>
      </c>
      <c r="O17486" s="7" t="str">
        <f>HYPERLINK("#Liste_rouge!A"&amp;_xlfn.XMATCH("LC",Liste_rouge!A:A,2,1),"LC")</f>
        <v>LC</v>
      </c>
      <c r="P17486" s="7" t="str">
        <f>HYPERLINK("#Liste_rouge!A"&amp;_xlfn.XMATCH("LC",Liste_rouge!A:A,2,1),"LC")</f>
        <v>LC</v>
      </c>
      <c r="Q17486" s="7" t="str">
        <f>HYPERLINK("#Liste_rouge!A"&amp;_xlfn.XMATCH("LC",Liste_rouge!A:A,2,1),"LC")</f>
        <v>LC</v>
      </c>
      <c r="AH17486" s="4" t="str">
        <f>HYPERLINK("#Statut_biogéographique!A"&amp;_xlfn.XMATCH("P",Statut_biogéographique!A:A,2,1),"P")</f>
        <v>P</v>
      </c>
      <c r="AM17486" s="4" t="s">
        <v>375</v>
      </c>
      <c r="AN17486" s="4" t="s">
        <v>375</v>
      </c>
      <c r="AO17486" s="4" t="s">
        <v>375</v>
      </c>
      <c r="AP17486" s="4" t="s">
        <v>376</v>
      </c>
      <c r="AR17486" s="4" t="s">
        <v>377</v>
      </c>
    </row>
    <row r="17487" spans="1:44">
      <c r="A17487" s="4" t="s">
        <v>10753</v>
      </c>
      <c r="B17487" s="4">
        <v>62032</v>
      </c>
      <c r="D17487" s="5" t="s">
        <v>21268</v>
      </c>
      <c r="E17487" s="6" t="str">
        <f>HYPERLINK("https://inpn.mnhn.fr/espece/cd_nom/62032","Pomatias elegans (O.F. Müller, 1774)")</f>
        <v>Pomatias elegans (O.F. Müller, 1774)</v>
      </c>
      <c r="F17487" s="5" t="s">
        <v>21269</v>
      </c>
      <c r="P17487" s="7" t="str">
        <f>HYPERLINK("#Liste_rouge!A"&amp;_xlfn.XMATCH("LC",Liste_rouge!A:A,2,1),"LC")</f>
        <v>LC</v>
      </c>
      <c r="Q17487" s="7" t="str">
        <f>HYPERLINK("#Liste_rouge!A"&amp;_xlfn.XMATCH("LC",Liste_rouge!A:A,2,1),"LC")</f>
        <v>LC</v>
      </c>
      <c r="AH17487" s="4" t="str">
        <f>HYPERLINK("#Statut_biogéographique!A"&amp;_xlfn.XMATCH("P",Statut_biogéographique!A:A,2,1),"P")</f>
        <v>P</v>
      </c>
      <c r="AM17487" s="4" t="s">
        <v>375</v>
      </c>
      <c r="AN17487" s="4" t="s">
        <v>375</v>
      </c>
      <c r="AO17487" s="4" t="s">
        <v>375</v>
      </c>
      <c r="AP17487" s="4" t="s">
        <v>376</v>
      </c>
      <c r="AR17487" s="4" t="s">
        <v>377</v>
      </c>
    </row>
    <row r="17488" spans="1:44">
      <c r="A17488" s="4" t="s">
        <v>10753</v>
      </c>
      <c r="B17488" s="4">
        <v>62131</v>
      </c>
      <c r="D17488" s="5" t="s">
        <v>21270</v>
      </c>
      <c r="E17488" s="6" t="str">
        <f>HYPERLINK("https://inpn.mnhn.fr/espece/cd_nom/62131","Potamopyrgus antipodarum (Gray, 1843)")</f>
        <v>Potamopyrgus antipodarum (Gray, 1843)</v>
      </c>
      <c r="F17488" s="5" t="s">
        <v>21271</v>
      </c>
      <c r="O17488" s="7" t="str">
        <f>HYPERLINK("#Liste_rouge!A"&amp;_xlfn.XMATCH("LC",Liste_rouge!A:A,2,1),"LC")</f>
        <v>LC</v>
      </c>
      <c r="Q17488" s="7" t="str">
        <f>HYPERLINK("#Liste_rouge!A"&amp;_xlfn.XMATCH("NA",Liste_rouge!A:A,2,1),"NA")</f>
        <v>NA</v>
      </c>
      <c r="AH17488" s="4" t="str">
        <f>HYPERLINK("#Statut_biogéographique!A"&amp;_xlfn.XMATCH("J",Statut_biogéographique!A:A,2,1),"J")</f>
        <v>J</v>
      </c>
      <c r="AM17488" s="4" t="s">
        <v>375</v>
      </c>
      <c r="AN17488" s="4" t="s">
        <v>375</v>
      </c>
      <c r="AO17488" s="4" t="s">
        <v>375</v>
      </c>
      <c r="AP17488" s="4" t="s">
        <v>376</v>
      </c>
      <c r="AR17488" s="4" t="s">
        <v>377</v>
      </c>
    </row>
    <row r="17489" spans="1:44">
      <c r="A17489" s="4" t="s">
        <v>10753</v>
      </c>
      <c r="B17489" s="4">
        <v>62135</v>
      </c>
      <c r="D17489" s="5" t="s">
        <v>21272</v>
      </c>
      <c r="E17489" s="6" t="str">
        <f>HYPERLINK("https://inpn.mnhn.fr/espece/cd_nom/62135","Bythiospeum diaphanum (Michaud, 1831)")</f>
        <v>Bythiospeum diaphanum (Michaud, 1831)</v>
      </c>
      <c r="F17489" s="5" t="s">
        <v>11771</v>
      </c>
      <c r="L17489" s="4" t="str">
        <f>HYPERLINK("#Réglementation!A"&amp;_xlfn.XMATCH("NMO4",Réglementation!A:A,2,1),"NMO4")</f>
        <v>NMO4</v>
      </c>
      <c r="O17489" s="7" t="str">
        <f>HYPERLINK("#Liste_rouge!A"&amp;_xlfn.XMATCH("NT",Liste_rouge!A:A,2,1),"NT")</f>
        <v>NT</v>
      </c>
      <c r="P17489" s="7" t="str">
        <f>HYPERLINK("#Liste_rouge!A"&amp;_xlfn.XMATCH("NT",Liste_rouge!A:A,2,1),"NT")</f>
        <v>NT</v>
      </c>
      <c r="Q17489" s="7" t="str">
        <f>HYPERLINK("#Liste_rouge!A"&amp;_xlfn.XMATCH("DD",Liste_rouge!A:A,2,1),"DD")</f>
        <v>DD</v>
      </c>
      <c r="AH17489" s="4" t="str">
        <f>HYPERLINK("#Statut_biogéographique!A"&amp;_xlfn.XMATCH("E",Statut_biogéographique!A:A,2,1),"E")</f>
        <v>E</v>
      </c>
      <c r="AM17489" s="4" t="s">
        <v>375</v>
      </c>
      <c r="AN17489" s="4" t="s">
        <v>375</v>
      </c>
      <c r="AO17489" s="4" t="s">
        <v>375</v>
      </c>
      <c r="AP17489" s="4" t="s">
        <v>376</v>
      </c>
      <c r="AR17489" s="4" t="s">
        <v>377</v>
      </c>
    </row>
    <row r="17490" spans="1:44">
      <c r="A17490" s="4" t="s">
        <v>10753</v>
      </c>
      <c r="B17490" s="4">
        <v>62145</v>
      </c>
      <c r="D17490" s="5" t="s">
        <v>21273</v>
      </c>
      <c r="E17490" s="6" t="str">
        <f>HYPERLINK("https://inpn.mnhn.fr/espece/cd_nom/62145","Avenionia brevis (Draparnaud, 1805)")</f>
        <v>Avenionia brevis (Draparnaud, 1805)</v>
      </c>
      <c r="F17490" s="5" t="s">
        <v>21274</v>
      </c>
      <c r="L17490" s="4" t="str">
        <f>HYPERLINK("#Réglementation!A"&amp;_xlfn.XMATCH("NMO4",Réglementation!A:A,2,1),"NMO4")</f>
        <v>NMO4</v>
      </c>
      <c r="O17490" s="7" t="str">
        <f>HYPERLINK("#Liste_rouge!A"&amp;_xlfn.XMATCH("LC",Liste_rouge!A:A,2,1),"LC")</f>
        <v>LC</v>
      </c>
      <c r="P17490" s="7" t="str">
        <f>HYPERLINK("#Liste_rouge!A"&amp;_xlfn.XMATCH("LC",Liste_rouge!A:A,2,1),"LC")</f>
        <v>LC</v>
      </c>
      <c r="Q17490" s="7" t="str">
        <f>HYPERLINK("#Liste_rouge!A"&amp;_xlfn.XMATCH("LC",Liste_rouge!A:A,2,1),"LC")</f>
        <v>LC</v>
      </c>
      <c r="AH17490" s="4" t="str">
        <f>HYPERLINK("#Statut_biogéographique!A"&amp;_xlfn.XMATCH("E",Statut_biogéographique!A:A,2,1),"E")</f>
        <v>E</v>
      </c>
      <c r="AM17490" s="4" t="s">
        <v>375</v>
      </c>
      <c r="AN17490" s="4" t="s">
        <v>375</v>
      </c>
      <c r="AO17490" s="4" t="s">
        <v>375</v>
      </c>
      <c r="AP17490" s="4" t="s">
        <v>376</v>
      </c>
      <c r="AR17490" s="4" t="s">
        <v>377</v>
      </c>
    </row>
    <row r="17491" spans="1:44" ht="45">
      <c r="A17491" s="4" t="s">
        <v>10753</v>
      </c>
      <c r="B17491" s="4">
        <v>62153</v>
      </c>
      <c r="D17491" s="5" t="s">
        <v>21275</v>
      </c>
      <c r="E17491" s="6" t="str">
        <f>HYPERLINK("https://inpn.mnhn.fr/espece/cd_nom/62153","Bythinella viridis (Poiret, 1801)")</f>
        <v>Bythinella viridis (Poiret, 1801)</v>
      </c>
      <c r="F17491" s="5" t="s">
        <v>21276</v>
      </c>
      <c r="L17491" s="4" t="str">
        <f>HYPERLINK("#Réglementation!A"&amp;_xlfn.XMATCH("NMO4",Réglementation!A:A,2,1),"NMO4")</f>
        <v>NMO4</v>
      </c>
      <c r="O17491" s="7" t="str">
        <f>HYPERLINK("#Liste_rouge!A"&amp;_xlfn.XMATCH("EN",Liste_rouge!A:A,2,1),"EN")</f>
        <v>EN</v>
      </c>
      <c r="P17491" s="7" t="str">
        <f>HYPERLINK("#Liste_rouge!A"&amp;_xlfn.XMATCH("EN",Liste_rouge!A:A,2,1),"EN")</f>
        <v>EN</v>
      </c>
      <c r="Q17491" s="7" t="str">
        <f>HYPERLINK("#Liste_rouge!A"&amp;_xlfn.XMATCH("DD",Liste_rouge!A:A,2,1),"DD (cd_nom 162838) - LC (cd_nom 62153)")</f>
        <v>DD (cd_nom 162838) - LC (cd_nom 62153)</v>
      </c>
      <c r="AE17491" s="4" t="str">
        <f>HYPERLINK("#SCAP!A"&amp;_xlfn.XMATCH("A",SCAP!A:A,2,1),"A")</f>
        <v>A</v>
      </c>
      <c r="AH17491" s="4" t="str">
        <f>HYPERLINK("#Statut_biogéographique!A"&amp;_xlfn.XMATCH("E",Statut_biogéographique!A:A,2,1),"E")</f>
        <v>E</v>
      </c>
      <c r="AM17491" s="4" t="s">
        <v>375</v>
      </c>
      <c r="AN17491" s="4" t="s">
        <v>382</v>
      </c>
      <c r="AO17491" s="4" t="s">
        <v>382</v>
      </c>
      <c r="AP17491" s="4" t="s">
        <v>389</v>
      </c>
      <c r="AR17491" s="4" t="s">
        <v>377</v>
      </c>
    </row>
    <row r="17492" spans="1:44" ht="45">
      <c r="A17492" s="4" t="s">
        <v>10753</v>
      </c>
      <c r="B17492" s="4">
        <v>62161</v>
      </c>
      <c r="D17492" s="5" t="s">
        <v>21277</v>
      </c>
      <c r="E17492" s="6" t="str">
        <f>HYPERLINK("https://inpn.mnhn.fr/espece/cd_nom/62161","Bythinella bicarinata (Des Moulins, 1827)")</f>
        <v>Bythinella bicarinata (Des Moulins, 1827)</v>
      </c>
      <c r="F17492" s="5" t="s">
        <v>21278</v>
      </c>
      <c r="L17492" s="4" t="str">
        <f>HYPERLINK("#Réglementation!A"&amp;_xlfn.XMATCH("NMO4",Réglementation!A:A,2,1),"NMO4")</f>
        <v>NMO4</v>
      </c>
      <c r="O17492" s="7" t="str">
        <f>HYPERLINK("#Liste_rouge!A"&amp;_xlfn.XMATCH("DD",Liste_rouge!A:A,2,1),"DD (cd_nom 62154) - LC (cd_nom 62161)")</f>
        <v>DD (cd_nom 62154) - LC (cd_nom 62161)</v>
      </c>
      <c r="P17492" s="7" t="str">
        <f>HYPERLINK("#Liste_rouge!A"&amp;_xlfn.XMATCH("DD",Liste_rouge!A:A,2,1),"DD (cd_nom 62154) - LC (cd_nom 62161)")</f>
        <v>DD (cd_nom 62154) - LC (cd_nom 62161)</v>
      </c>
      <c r="Q17492" s="7" t="str">
        <f>HYPERLINK("#Liste_rouge!A"&amp;_xlfn.XMATCH("LC",Liste_rouge!A:A,2,1),"LC")</f>
        <v>LC</v>
      </c>
      <c r="AH17492" s="4" t="str">
        <f>HYPERLINK("#Statut_biogéographique!A"&amp;_xlfn.XMATCH("E",Statut_biogéographique!A:A,2,1),"E")</f>
        <v>E</v>
      </c>
      <c r="AM17492" s="4" t="s">
        <v>375</v>
      </c>
      <c r="AN17492" s="4" t="s">
        <v>375</v>
      </c>
      <c r="AO17492" s="4" t="s">
        <v>375</v>
      </c>
      <c r="AP17492" s="4" t="s">
        <v>376</v>
      </c>
      <c r="AR17492" s="4" t="s">
        <v>377</v>
      </c>
    </row>
    <row r="17493" spans="1:44">
      <c r="A17493" s="4" t="s">
        <v>10753</v>
      </c>
      <c r="B17493" s="4">
        <v>62180</v>
      </c>
      <c r="D17493" s="5" t="s">
        <v>21279</v>
      </c>
      <c r="E17493" s="6" t="str">
        <f>HYPERLINK("https://inpn.mnhn.fr/espece/cd_nom/62180","Lithoglyphus naticoides (C. Pfeiffer, 1828)")</f>
        <v>Lithoglyphus naticoides (C. Pfeiffer, 1828)</v>
      </c>
      <c r="F17493" s="5" t="s">
        <v>21280</v>
      </c>
      <c r="O17493" s="7" t="str">
        <f>HYPERLINK("#Liste_rouge!A"&amp;_xlfn.XMATCH("LC",Liste_rouge!A:A,2,1),"LC")</f>
        <v>LC</v>
      </c>
      <c r="P17493" s="7" t="str">
        <f>HYPERLINK("#Liste_rouge!A"&amp;_xlfn.XMATCH("LC",Liste_rouge!A:A,2,1),"LC")</f>
        <v>LC</v>
      </c>
      <c r="Q17493" s="7" t="str">
        <f>HYPERLINK("#Liste_rouge!A"&amp;_xlfn.XMATCH("NA",Liste_rouge!A:A,2,1),"NA")</f>
        <v>NA</v>
      </c>
      <c r="AH17493" s="4" t="str">
        <f>HYPERLINK("#Statut_biogéographique!A"&amp;_xlfn.XMATCH("I",Statut_biogéographique!A:A,2,1),"I")</f>
        <v>I</v>
      </c>
      <c r="AM17493" s="4" t="s">
        <v>375</v>
      </c>
      <c r="AN17493" s="4" t="s">
        <v>375</v>
      </c>
      <c r="AO17493" s="4" t="s">
        <v>375</v>
      </c>
      <c r="AP17493" s="4" t="s">
        <v>376</v>
      </c>
      <c r="AR17493" s="4" t="s">
        <v>377</v>
      </c>
    </row>
    <row r="17494" spans="1:44">
      <c r="A17494" s="4" t="s">
        <v>10753</v>
      </c>
      <c r="B17494" s="4">
        <v>62188</v>
      </c>
      <c r="D17494" s="5" t="s">
        <v>21281</v>
      </c>
      <c r="E17494" s="6" t="str">
        <f>HYPERLINK("https://inpn.mnhn.fr/espece/cd_nom/62188","Bithynia tentaculata (Linnaeus, 1758)")</f>
        <v>Bithynia tentaculata (Linnaeus, 1758)</v>
      </c>
      <c r="F17494" s="5" t="s">
        <v>21282</v>
      </c>
      <c r="O17494" s="7" t="str">
        <f>HYPERLINK("#Liste_rouge!A"&amp;_xlfn.XMATCH("LC",Liste_rouge!A:A,2,1),"LC")</f>
        <v>LC</v>
      </c>
      <c r="P17494" s="7" t="str">
        <f>HYPERLINK("#Liste_rouge!A"&amp;_xlfn.XMATCH("LC",Liste_rouge!A:A,2,1),"LC")</f>
        <v>LC</v>
      </c>
      <c r="Q17494" s="7" t="str">
        <f>HYPERLINK("#Liste_rouge!A"&amp;_xlfn.XMATCH("LC",Liste_rouge!A:A,2,1),"LC")</f>
        <v>LC</v>
      </c>
      <c r="AH17494" s="4" t="str">
        <f>HYPERLINK("#Statut_biogéographique!A"&amp;_xlfn.XMATCH("P",Statut_biogéographique!A:A,2,1),"P")</f>
        <v>P</v>
      </c>
      <c r="AM17494" s="4" t="s">
        <v>375</v>
      </c>
      <c r="AN17494" s="4" t="s">
        <v>375</v>
      </c>
      <c r="AO17494" s="4" t="s">
        <v>375</v>
      </c>
      <c r="AP17494" s="4" t="s">
        <v>376</v>
      </c>
      <c r="AR17494" s="4" t="s">
        <v>377</v>
      </c>
    </row>
    <row r="17495" spans="1:44">
      <c r="A17495" s="4" t="s">
        <v>10753</v>
      </c>
      <c r="B17495" s="4">
        <v>62189</v>
      </c>
      <c r="D17495" s="5" t="s">
        <v>21283</v>
      </c>
      <c r="E17495" s="6" t="str">
        <f>HYPERLINK("https://inpn.mnhn.fr/espece/cd_nom/62189","Bithynia leachii (Sheppard, 1823)")</f>
        <v>Bithynia leachii (Sheppard, 1823)</v>
      </c>
      <c r="F17495" s="5" t="s">
        <v>21284</v>
      </c>
      <c r="O17495" s="7" t="str">
        <f>HYPERLINK("#Liste_rouge!A"&amp;_xlfn.XMATCH("LC",Liste_rouge!A:A,2,1),"LC")</f>
        <v>LC</v>
      </c>
      <c r="P17495" s="7" t="str">
        <f>HYPERLINK("#Liste_rouge!A"&amp;_xlfn.XMATCH("LC",Liste_rouge!A:A,2,1),"LC")</f>
        <v>LC</v>
      </c>
      <c r="Q17495" s="7" t="str">
        <f>HYPERLINK("#Liste_rouge!A"&amp;_xlfn.XMATCH("LC",Liste_rouge!A:A,2,1),"LC")</f>
        <v>LC</v>
      </c>
      <c r="AH17495" s="4" t="str">
        <f>HYPERLINK("#Statut_biogéographique!A"&amp;_xlfn.XMATCH("P",Statut_biogéographique!A:A,2,1),"P")</f>
        <v>P</v>
      </c>
      <c r="AM17495" s="4" t="s">
        <v>375</v>
      </c>
      <c r="AN17495" s="4" t="s">
        <v>375</v>
      </c>
      <c r="AO17495" s="4" t="s">
        <v>375</v>
      </c>
      <c r="AP17495" s="4" t="s">
        <v>376</v>
      </c>
      <c r="AR17495" s="4" t="s">
        <v>377</v>
      </c>
    </row>
    <row r="17496" spans="1:44">
      <c r="A17496" s="4" t="s">
        <v>10753</v>
      </c>
      <c r="B17496" s="4">
        <v>622809</v>
      </c>
      <c r="D17496" s="5">
        <v>622809</v>
      </c>
      <c r="E17496" s="6" t="str">
        <f>HYPERLINK("https://inpn.mnhn.fr/espece/cd_nom/622809","Biapertura affinis (Leydig, 1860)")</f>
        <v>Biapertura affinis (Leydig, 1860)</v>
      </c>
      <c r="AH17496" s="4" t="str">
        <f>HYPERLINK("#Statut_biogéographique!A"&amp;_xlfn.XMATCH("P",Statut_biogéographique!A:A,2,1),"P")</f>
        <v>P</v>
      </c>
      <c r="AP17496" s="4" t="s">
        <v>376</v>
      </c>
      <c r="AR17496" s="4" t="s">
        <v>377</v>
      </c>
    </row>
    <row r="17497" spans="1:44">
      <c r="A17497" s="4" t="s">
        <v>10753</v>
      </c>
      <c r="B17497" s="4">
        <v>625202</v>
      </c>
      <c r="D17497" s="5" t="s">
        <v>21285</v>
      </c>
      <c r="E17497" s="6" t="str">
        <f>HYPERLINK("https://inpn.mnhn.fr/espece/cd_nom/625202","Disparalona rostrata (Koch, 1841)")</f>
        <v>Disparalona rostrata (Koch, 1841)</v>
      </c>
      <c r="Q17497" s="7" t="str">
        <f>HYPERLINK("#Liste_rouge!A"&amp;_xlfn.XMATCH("LC",Liste_rouge!A:A,2,1),"LC")</f>
        <v>LC</v>
      </c>
      <c r="AH17497" s="4" t="str">
        <f>HYPERLINK("#Statut_biogéographique!A"&amp;_xlfn.XMATCH("P",Statut_biogéographique!A:A,2,1),"P")</f>
        <v>P</v>
      </c>
      <c r="AP17497" s="4" t="s">
        <v>376</v>
      </c>
      <c r="AR17497" s="4" t="s">
        <v>377</v>
      </c>
    </row>
    <row r="17498" spans="1:44" ht="45">
      <c r="A17498" s="4" t="s">
        <v>10753</v>
      </c>
      <c r="B17498" s="4">
        <v>626169</v>
      </c>
      <c r="D17498" s="5" t="s">
        <v>21286</v>
      </c>
      <c r="E17498" s="6" t="str">
        <f>HYPERLINK("https://inpn.mnhn.fr/espece/cd_nom/626169","Phengaris nausithous (Bergsträsser, 1779)")</f>
        <v>Phengaris nausithous (Bergsträsser, 1779)</v>
      </c>
      <c r="F17498" s="5" t="s">
        <v>21287</v>
      </c>
      <c r="I17498" s="4" t="str">
        <f>HYPERLINK("#Réglementation!A"&amp;_xlfn.XMATCH("IBE2",Réglementation!A:A,2,1),"IBE2")</f>
        <v>IBE2</v>
      </c>
      <c r="K17498" s="4" t="str">
        <f>HYPERLINK("#Réglementation!A"&amp;_xlfn.XMATCH("CDH2",Réglementation!A:A,2,1),"CDH2 - CDH4")</f>
        <v>CDH2 - CDH4</v>
      </c>
      <c r="L17498" s="4" t="str">
        <f>HYPERLINK("#Réglementation!A"&amp;_xlfn.XMATCH("NI2",Réglementation!A:A,2,1),"NI2")</f>
        <v>NI2</v>
      </c>
      <c r="P17498" s="7" t="str">
        <f>HYPERLINK("#Liste_rouge!A"&amp;_xlfn.XMATCH("NT",Liste_rouge!A:A,2,1),"NT")</f>
        <v>NT</v>
      </c>
      <c r="Q17498" s="7" t="str">
        <f>HYPERLINK("#Liste_rouge!A"&amp;_xlfn.XMATCH("VU",Liste_rouge!A:A,2,1),"VU")</f>
        <v>VU</v>
      </c>
      <c r="T17498" s="7" t="str">
        <f>HYPERLINK("#Liste_rouge!A"&amp;_xlfn.XMATCH("CR",Liste_rouge!A:A,2,1),"CR")</f>
        <v>CR</v>
      </c>
      <c r="U17498" s="4" t="str">
        <f>HYPERLINK("#Critères_liste_rouge!A$1","B(1+2)ab(i,ii,iii)")</f>
        <v>B(1+2)ab(i,ii,iii)</v>
      </c>
      <c r="V17498" s="7" t="str">
        <f>HYPERLINK("#Liste_rouge!A"&amp;_xlfn.XMATCH("CR",Liste_rouge!A:A,2,1),"CR")</f>
        <v>CR</v>
      </c>
      <c r="W17498" s="4" t="str">
        <f>HYPERLINK("#Critères_liste_rouge!A$1","A2cB2ab(i,ii,iv)")</f>
        <v>A2cB2ab(i,ii,iv)</v>
      </c>
      <c r="X17498" s="5" t="s">
        <v>374</v>
      </c>
      <c r="AC17498" s="4" t="s">
        <v>11319</v>
      </c>
      <c r="AE17498" s="4" t="str">
        <f>HYPERLINK("#SCAP!A"&amp;_xlfn.XMATCH("1-",SCAP!A:A,2,1),"1-")</f>
        <v>1-</v>
      </c>
      <c r="AG17498" s="4" t="str">
        <f>HYPERLINK("#SCAP!A"&amp;_xlfn.XMATCH("1-",SCAP!A:A,2,1),"1-")</f>
        <v>1-</v>
      </c>
      <c r="AH17498" s="4" t="str">
        <f>HYPERLINK("#Statut_biogéographique!A"&amp;_xlfn.XMATCH("P",Statut_biogéographique!A:A,2,1),"P")</f>
        <v>P</v>
      </c>
      <c r="AI17498" s="8" t="s">
        <v>21288</v>
      </c>
      <c r="AJ17498" s="4" t="s">
        <v>21289</v>
      </c>
      <c r="AM17498" s="4" t="s">
        <v>375</v>
      </c>
      <c r="AN17498" s="4" t="s">
        <v>382</v>
      </c>
      <c r="AO17498" s="4" t="s">
        <v>382</v>
      </c>
      <c r="AP17498" s="4" t="s">
        <v>389</v>
      </c>
      <c r="AR17498" s="4" t="s">
        <v>377</v>
      </c>
    </row>
    <row r="17499" spans="1:44">
      <c r="A17499" s="4" t="s">
        <v>10753</v>
      </c>
      <c r="B17499" s="4">
        <v>627791</v>
      </c>
      <c r="D17499" s="5" t="s">
        <v>21290</v>
      </c>
      <c r="E17499" s="6" t="str">
        <f>HYPERLINK("https://inpn.mnhn.fr/espece/cd_nom/627791","Psodos canaliculata (Hochenwarth, 1785)")</f>
        <v>Psodos canaliculata (Hochenwarth, 1785)</v>
      </c>
      <c r="F17499" s="5" t="s">
        <v>21291</v>
      </c>
      <c r="AH17499" s="4" t="str">
        <f>HYPERLINK("#Statut_biogéographique!A"&amp;_xlfn.XMATCH("P",Statut_biogéographique!A:A,2,1),"P")</f>
        <v>P</v>
      </c>
      <c r="AP17499" s="4" t="s">
        <v>376</v>
      </c>
      <c r="AR17499" s="4" t="s">
        <v>377</v>
      </c>
    </row>
    <row r="17500" spans="1:44">
      <c r="A17500" s="4" t="s">
        <v>10753</v>
      </c>
      <c r="B17500" s="4">
        <v>628321</v>
      </c>
      <c r="D17500" s="5" t="s">
        <v>21292</v>
      </c>
      <c r="E17500" s="6" t="str">
        <f>HYPERLINK("https://inpn.mnhn.fr/espece/cd_nom/628321","Temnothorax affinis (Mayr, 1855)")</f>
        <v>Temnothorax affinis (Mayr, 1855)</v>
      </c>
      <c r="AH17500" s="4" t="str">
        <f>HYPERLINK("#Statut_biogéographique!A"&amp;_xlfn.XMATCH("P",Statut_biogéographique!A:A,2,1),"P")</f>
        <v>P</v>
      </c>
      <c r="AP17500" s="4" t="s">
        <v>376</v>
      </c>
      <c r="AR17500" s="4" t="s">
        <v>377</v>
      </c>
    </row>
    <row r="17501" spans="1:44">
      <c r="A17501" s="4" t="s">
        <v>10753</v>
      </c>
      <c r="B17501" s="4">
        <v>628327</v>
      </c>
      <c r="D17501" s="5" t="s">
        <v>21293</v>
      </c>
      <c r="E17501" s="6" t="str">
        <f>HYPERLINK("https://inpn.mnhn.fr/espece/cd_nom/628327","Formica clara Forel, 1886")</f>
        <v>Formica clara Forel, 1886</v>
      </c>
      <c r="AH17501" s="4" t="str">
        <f>HYPERLINK("#Statut_biogéographique!A"&amp;_xlfn.XMATCH("P",Statut_biogéographique!A:A,2,1),"P")</f>
        <v>P</v>
      </c>
      <c r="AP17501" s="4" t="s">
        <v>376</v>
      </c>
      <c r="AR17501" s="4" t="s">
        <v>377</v>
      </c>
    </row>
    <row r="17502" spans="1:44" ht="30">
      <c r="A17502" s="4" t="s">
        <v>10753</v>
      </c>
      <c r="B17502" s="4">
        <v>628329</v>
      </c>
      <c r="D17502" s="5" t="s">
        <v>21294</v>
      </c>
      <c r="E17502" s="6" t="str">
        <f>HYPERLINK("https://inpn.mnhn.fr/espece/cd_nom/628329","Formica picea Nylander, 1846")</f>
        <v>Formica picea Nylander, 1846</v>
      </c>
      <c r="AH17502" s="4" t="str">
        <f>HYPERLINK("#Statut_biogéographique!A"&amp;_xlfn.XMATCH("P",Statut_biogéographique!A:A,2,1),"P")</f>
        <v>P</v>
      </c>
      <c r="AP17502" s="4" t="s">
        <v>376</v>
      </c>
      <c r="AR17502" s="4" t="s">
        <v>377</v>
      </c>
    </row>
    <row r="17503" spans="1:44" ht="45">
      <c r="A17503" s="4" t="s">
        <v>10753</v>
      </c>
      <c r="B17503" s="4">
        <v>628335</v>
      </c>
      <c r="D17503" s="5" t="s">
        <v>21295</v>
      </c>
      <c r="E17503" s="6" t="str">
        <f>HYPERLINK("https://inpn.mnhn.fr/espece/cd_nom/628335","Myrmica specioides Bondroit, 1918")</f>
        <v>Myrmica specioides Bondroit, 1918</v>
      </c>
      <c r="AH17503" s="4" t="str">
        <f>HYPERLINK("#Statut_biogéographique!A"&amp;_xlfn.XMATCH("P",Statut_biogéographique!A:A,2,1),"P")</f>
        <v>P</v>
      </c>
      <c r="AP17503" s="4" t="s">
        <v>376</v>
      </c>
      <c r="AR17503" s="4" t="s">
        <v>377</v>
      </c>
    </row>
    <row r="17504" spans="1:44">
      <c r="A17504" s="4" t="s">
        <v>10753</v>
      </c>
      <c r="B17504" s="4">
        <v>628339</v>
      </c>
      <c r="D17504" s="5" t="s">
        <v>21296</v>
      </c>
      <c r="E17504" s="6" t="str">
        <f>HYPERLINK("https://inpn.mnhn.fr/espece/cd_nom/628339","Temnothorax albipennis (Curtis, 1854)")</f>
        <v>Temnothorax albipennis (Curtis, 1854)</v>
      </c>
      <c r="AH17504" s="4" t="str">
        <f>HYPERLINK("#Statut_biogéographique!A"&amp;_xlfn.XMATCH("P",Statut_biogéographique!A:A,2,1),"P")</f>
        <v>P</v>
      </c>
      <c r="AP17504" s="4" t="s">
        <v>376</v>
      </c>
      <c r="AR17504" s="4" t="s">
        <v>377</v>
      </c>
    </row>
    <row r="17505" spans="1:44" ht="30">
      <c r="A17505" s="4" t="s">
        <v>10753</v>
      </c>
      <c r="B17505" s="4">
        <v>628343</v>
      </c>
      <c r="D17505" s="5" t="s">
        <v>21297</v>
      </c>
      <c r="E17505" s="6" t="str">
        <f>HYPERLINK("https://inpn.mnhn.fr/espece/cd_nom/628343","Temnothorax aveli (Bondroit, 1918)")</f>
        <v>Temnothorax aveli (Bondroit, 1918)</v>
      </c>
      <c r="AH17505" s="4" t="str">
        <f>HYPERLINK("#Statut_biogéographique!A"&amp;_xlfn.XMATCH("E",Statut_biogéographique!A:A,2,1),"E")</f>
        <v>E</v>
      </c>
      <c r="AP17505" s="4" t="s">
        <v>376</v>
      </c>
      <c r="AR17505" s="4" t="s">
        <v>377</v>
      </c>
    </row>
    <row r="17506" spans="1:44">
      <c r="A17506" s="4" t="s">
        <v>10753</v>
      </c>
      <c r="B17506" s="4">
        <v>628365</v>
      </c>
      <c r="D17506" s="5" t="s">
        <v>21298</v>
      </c>
      <c r="E17506" s="6" t="str">
        <f>HYPERLINK("https://inpn.mnhn.fr/espece/cd_nom/628365","Temnothorax nigriceps (Mayr, 1855)")</f>
        <v>Temnothorax nigriceps (Mayr, 1855)</v>
      </c>
      <c r="AH17506" s="4" t="str">
        <f>HYPERLINK("#Statut_biogéographique!A"&amp;_xlfn.XMATCH("P",Statut_biogéographique!A:A,2,1),"P")</f>
        <v>P</v>
      </c>
      <c r="AP17506" s="4" t="s">
        <v>376</v>
      </c>
      <c r="AR17506" s="4" t="s">
        <v>377</v>
      </c>
    </row>
    <row r="17507" spans="1:44" ht="30">
      <c r="A17507" s="4" t="s">
        <v>10753</v>
      </c>
      <c r="B17507" s="4">
        <v>628367</v>
      </c>
      <c r="D17507" s="5" t="s">
        <v>21299</v>
      </c>
      <c r="E17507" s="6" t="str">
        <f>HYPERLINK("https://inpn.mnhn.fr/espece/cd_nom/628367","Temnothorax nylanderi (Förster, 1850)")</f>
        <v>Temnothorax nylanderi (Förster, 1850)</v>
      </c>
      <c r="AH17507" s="4" t="str">
        <f>HYPERLINK("#Statut_biogéographique!A"&amp;_xlfn.XMATCH("P",Statut_biogéographique!A:A,2,1),"P")</f>
        <v>P</v>
      </c>
      <c r="AP17507" s="4" t="s">
        <v>376</v>
      </c>
      <c r="AR17507" s="4" t="s">
        <v>377</v>
      </c>
    </row>
    <row r="17508" spans="1:44">
      <c r="A17508" s="4" t="s">
        <v>10753</v>
      </c>
      <c r="B17508" s="4">
        <v>628371</v>
      </c>
      <c r="D17508" s="5" t="s">
        <v>21300</v>
      </c>
      <c r="E17508" s="6" t="str">
        <f>HYPERLINK("https://inpn.mnhn.fr/espece/cd_nom/628371","Temnothorax parvulus (Schenck, 1852)")</f>
        <v>Temnothorax parvulus (Schenck, 1852)</v>
      </c>
      <c r="AH17508" s="4" t="str">
        <f>HYPERLINK("#Statut_biogéographique!A"&amp;_xlfn.XMATCH("P",Statut_biogéographique!A:A,2,1),"P")</f>
        <v>P</v>
      </c>
      <c r="AP17508" s="4" t="s">
        <v>376</v>
      </c>
      <c r="AR17508" s="4" t="s">
        <v>377</v>
      </c>
    </row>
    <row r="17509" spans="1:44" ht="30">
      <c r="A17509" s="4" t="s">
        <v>10753</v>
      </c>
      <c r="B17509" s="4">
        <v>628374</v>
      </c>
      <c r="D17509" s="5" t="s">
        <v>21301</v>
      </c>
      <c r="E17509" s="6" t="str">
        <f>HYPERLINK("https://inpn.mnhn.fr/espece/cd_nom/628374","Temnothorax recedens (Nylander, 1856)")</f>
        <v>Temnothorax recedens (Nylander, 1856)</v>
      </c>
      <c r="AH17509" s="4" t="str">
        <f>HYPERLINK("#Statut_biogéographique!A"&amp;_xlfn.XMATCH("P",Statut_biogéographique!A:A,2,1),"P")</f>
        <v>P</v>
      </c>
      <c r="AP17509" s="4" t="s">
        <v>376</v>
      </c>
      <c r="AR17509" s="4" t="s">
        <v>377</v>
      </c>
    </row>
    <row r="17510" spans="1:44" ht="45">
      <c r="A17510" s="4" t="s">
        <v>10753</v>
      </c>
      <c r="B17510" s="4">
        <v>628380</v>
      </c>
      <c r="D17510" s="5" t="s">
        <v>21302</v>
      </c>
      <c r="E17510" s="6" t="str">
        <f>HYPERLINK("https://inpn.mnhn.fr/espece/cd_nom/628380","Temnothorax tuberum (Fabricius, 1775)")</f>
        <v>Temnothorax tuberum (Fabricius, 1775)</v>
      </c>
      <c r="F17510" s="5" t="s">
        <v>21303</v>
      </c>
      <c r="AH17510" s="4" t="str">
        <f>HYPERLINK("#Statut_biogéographique!A"&amp;_xlfn.XMATCH("P",Statut_biogéographique!A:A,2,1),"P")</f>
        <v>P</v>
      </c>
      <c r="AP17510" s="4" t="s">
        <v>376</v>
      </c>
      <c r="AR17510" s="4" t="s">
        <v>377</v>
      </c>
    </row>
    <row r="17511" spans="1:44" ht="45">
      <c r="A17511" s="4" t="s">
        <v>10753</v>
      </c>
      <c r="B17511" s="4">
        <v>628381</v>
      </c>
      <c r="D17511" s="5" t="s">
        <v>21304</v>
      </c>
      <c r="E17511" s="6" t="str">
        <f>HYPERLINK("https://inpn.mnhn.fr/espece/cd_nom/628381","Temnothorax unifasciatus (Latreille, 1798)")</f>
        <v>Temnothorax unifasciatus (Latreille, 1798)</v>
      </c>
      <c r="AH17511" s="4" t="str">
        <f>HYPERLINK("#Statut_biogéographique!A"&amp;_xlfn.XMATCH("P",Statut_biogéographique!A:A,2,1),"P")</f>
        <v>P</v>
      </c>
      <c r="AP17511" s="4" t="s">
        <v>376</v>
      </c>
      <c r="AR17511" s="4" t="s">
        <v>377</v>
      </c>
    </row>
    <row r="17512" spans="1:44" ht="60">
      <c r="A17512" s="4" t="s">
        <v>10753</v>
      </c>
      <c r="B17512" s="4">
        <v>631131</v>
      </c>
      <c r="D17512" s="5" t="s">
        <v>21305</v>
      </c>
      <c r="E17512" s="6" t="str">
        <f>HYPERLINK("https://inpn.mnhn.fr/espece/cd_nom/631131","Phengaris alcon (Denis &amp; Schiffermüller, 1775)")</f>
        <v>Phengaris alcon (Denis &amp; Schiffermüller, 1775)</v>
      </c>
      <c r="F17512" s="5" t="s">
        <v>21306</v>
      </c>
      <c r="L17512" s="4" t="str">
        <f>HYPERLINK("#Réglementation!A"&amp;_xlfn.XMATCH("NI3",Réglementation!A:A,2,1),"NI3")</f>
        <v>NI3</v>
      </c>
      <c r="P17512" s="7" t="str">
        <f>HYPERLINK("#Liste_rouge!A"&amp;_xlfn.XMATCH("LC",Liste_rouge!A:A,2,1),"LC")</f>
        <v>LC</v>
      </c>
      <c r="Q17512" s="7" t="str">
        <f>HYPERLINK("#Liste_rouge!A"&amp;_xlfn.XMATCH("NT",Liste_rouge!A:A,2,1),"NT")</f>
        <v>NT</v>
      </c>
      <c r="T17512" s="7" t="str">
        <f>HYPERLINK("#Liste_rouge!A"&amp;_xlfn.XMATCH("EN",Liste_rouge!A:A,2,1),"EN")</f>
        <v>EN</v>
      </c>
      <c r="U17512" s="4" t="str">
        <f>HYPERLINK("#Critères_liste_rouge!A$1","B2ab(ii,iii)")</f>
        <v>B2ab(ii,iii)</v>
      </c>
      <c r="V17512" s="7" t="str">
        <f>HYPERLINK("#Liste_rouge!A"&amp;_xlfn.XMATCH("EN",Liste_rouge!A:A,2,1),"EN (cd_nom 54082) - VU (cd_nom 54083)")</f>
        <v>EN (cd_nom 54082) - VU (cd_nom 54083)</v>
      </c>
      <c r="W17512" s="4" t="str">
        <f>HYPERLINK("#Critères_liste_rouge!A$1","A2acB2ab(i,ii,iii,iv) (cd_nom 54082)")</f>
        <v>A2acB2ab(i,ii,iii,iv) (cd_nom 54082)</v>
      </c>
      <c r="X17512" s="5" t="s">
        <v>374</v>
      </c>
      <c r="AC17512" s="4" t="s">
        <v>11319</v>
      </c>
      <c r="AE17512" s="4" t="str">
        <f>HYPERLINK("#SCAP!A"&amp;_xlfn.XMATCH("1-",SCAP!A:A,2,1),"1-")</f>
        <v>1-</v>
      </c>
      <c r="AF17512" s="4" t="str">
        <f>HYPERLINK("#SCAP!A"&amp;_xlfn.XMATCH("1+",SCAP!A:A,2,1),"1+")</f>
        <v>1+</v>
      </c>
      <c r="AG17512" s="4" t="str">
        <f>HYPERLINK("#SCAP!A"&amp;_xlfn.XMATCH("1+",SCAP!A:A,2,1),"1+")</f>
        <v>1+</v>
      </c>
      <c r="AH17512" s="4" t="str">
        <f>HYPERLINK("#Statut_biogéographique!A"&amp;_xlfn.XMATCH("P",Statut_biogéographique!A:A,2,1),"P")</f>
        <v>P</v>
      </c>
      <c r="AI17512" s="8" t="s">
        <v>21307</v>
      </c>
      <c r="AJ17512" s="4" t="s">
        <v>21289</v>
      </c>
      <c r="AM17512" s="4" t="s">
        <v>375</v>
      </c>
      <c r="AN17512" s="4" t="s">
        <v>382</v>
      </c>
      <c r="AO17512" s="4" t="s">
        <v>382</v>
      </c>
      <c r="AP17512" s="4" t="s">
        <v>376</v>
      </c>
      <c r="AR17512" s="4" t="s">
        <v>377</v>
      </c>
    </row>
    <row r="17513" spans="1:44" ht="60">
      <c r="A17513" s="4" t="s">
        <v>10753</v>
      </c>
      <c r="B17513" s="4">
        <v>631133</v>
      </c>
      <c r="D17513" s="5" t="s">
        <v>21308</v>
      </c>
      <c r="E17513" s="6" t="str">
        <f>HYPERLINK("https://inpn.mnhn.fr/espece/cd_nom/631133","Phengaris arion (Linnaeus, 1758)")</f>
        <v>Phengaris arion (Linnaeus, 1758)</v>
      </c>
      <c r="F17513" s="5" t="s">
        <v>21309</v>
      </c>
      <c r="I17513" s="4" t="str">
        <f>HYPERLINK("#Réglementation!A"&amp;_xlfn.XMATCH("IBE2",Réglementation!A:A,2,1),"IBE2")</f>
        <v>IBE2</v>
      </c>
      <c r="K17513" s="4" t="str">
        <f>HYPERLINK("#Réglementation!A"&amp;_xlfn.XMATCH("CDH4",Réglementation!A:A,2,1),"CDH4")</f>
        <v>CDH4</v>
      </c>
      <c r="L17513" s="4" t="str">
        <f>HYPERLINK("#Réglementation!A"&amp;_xlfn.XMATCH("NI2",Réglementation!A:A,2,1),"NI2")</f>
        <v>NI2</v>
      </c>
      <c r="P17513" s="7" t="str">
        <f>HYPERLINK("#Liste_rouge!A"&amp;_xlfn.XMATCH("EN",Liste_rouge!A:A,2,1),"EN")</f>
        <v>EN</v>
      </c>
      <c r="Q17513" s="7" t="str">
        <f>HYPERLINK("#Liste_rouge!A"&amp;_xlfn.XMATCH("LC",Liste_rouge!A:A,2,1),"LC")</f>
        <v>LC</v>
      </c>
      <c r="T17513" s="7" t="str">
        <f>HYPERLINK("#Liste_rouge!A"&amp;_xlfn.XMATCH("EN",Liste_rouge!A:A,2,1),"EN")</f>
        <v>EN</v>
      </c>
      <c r="U17513" s="4" t="str">
        <f>HYPERLINK("#Critères_liste_rouge!A$1","A2c B2ab(i,ii,iii)")</f>
        <v>A2c B2ab(i,ii,iii)</v>
      </c>
      <c r="V17513" s="7" t="str">
        <f>HYPERLINK("#Liste_rouge!A"&amp;_xlfn.XMATCH("VU",Liste_rouge!A:A,2,1),"VU")</f>
        <v>VU</v>
      </c>
      <c r="W17513" s="4" t="str">
        <f>HYPERLINK("#Critères_liste_rouge!A$1","A2acB2ab(ii,iii,iv)")</f>
        <v>A2acB2ab(ii,iii,iv)</v>
      </c>
      <c r="X17513" s="5" t="s">
        <v>374</v>
      </c>
      <c r="AC17513" s="4" t="s">
        <v>11319</v>
      </c>
      <c r="AE17513" s="4" t="str">
        <f>HYPERLINK("#SCAP!A"&amp;_xlfn.XMATCH("1+",SCAP!A:A,2,1),"1+")</f>
        <v>1+</v>
      </c>
      <c r="AF17513" s="4" t="str">
        <f>HYPERLINK("#SCAP!A"&amp;_xlfn.XMATCH("2+",SCAP!A:A,2,1),"2+")</f>
        <v>2+</v>
      </c>
      <c r="AG17513" s="4" t="str">
        <f>HYPERLINK("#SCAP!A"&amp;_xlfn.XMATCH("2-",SCAP!A:A,2,1),"2-")</f>
        <v>2-</v>
      </c>
      <c r="AH17513" s="4" t="str">
        <f>HYPERLINK("#Statut_biogéographique!A"&amp;_xlfn.XMATCH("P",Statut_biogéographique!A:A,2,1),"P")</f>
        <v>P</v>
      </c>
      <c r="AI17513" s="8" t="s">
        <v>21310</v>
      </c>
      <c r="AJ17513" s="4" t="s">
        <v>21289</v>
      </c>
      <c r="AM17513" s="4" t="s">
        <v>375</v>
      </c>
      <c r="AN17513" s="4" t="s">
        <v>375</v>
      </c>
      <c r="AO17513" s="4" t="s">
        <v>375</v>
      </c>
      <c r="AP17513" s="4" t="s">
        <v>376</v>
      </c>
      <c r="AR17513" s="4" t="s">
        <v>377</v>
      </c>
    </row>
    <row r="17514" spans="1:44" ht="75">
      <c r="A17514" s="4" t="s">
        <v>10753</v>
      </c>
      <c r="B17514" s="4">
        <v>631135</v>
      </c>
      <c r="D17514" s="5" t="s">
        <v>21311</v>
      </c>
      <c r="E17514" s="6" t="str">
        <f>HYPERLINK("https://inpn.mnhn.fr/espece/cd_nom/631135","Phengaris teleius (Bergsträsser, 1779)")</f>
        <v>Phengaris teleius (Bergsträsser, 1779)</v>
      </c>
      <c r="F17514" s="5" t="s">
        <v>21312</v>
      </c>
      <c r="I17514" s="4" t="str">
        <f>HYPERLINK("#Réglementation!A"&amp;_xlfn.XMATCH("IBE2",Réglementation!A:A,2,1),"IBE2")</f>
        <v>IBE2</v>
      </c>
      <c r="K17514" s="4" t="str">
        <f>HYPERLINK("#Réglementation!A"&amp;_xlfn.XMATCH("CDH2",Réglementation!A:A,2,1),"CDH2 - CDH4")</f>
        <v>CDH2 - CDH4</v>
      </c>
      <c r="L17514" s="4" t="str">
        <f>HYPERLINK("#Réglementation!A"&amp;_xlfn.XMATCH("NI2",Réglementation!A:A,2,1),"NI2")</f>
        <v>NI2</v>
      </c>
      <c r="P17514" s="7" t="str">
        <f>HYPERLINK("#Liste_rouge!A"&amp;_xlfn.XMATCH("VU",Liste_rouge!A:A,2,1),"VU")</f>
        <v>VU</v>
      </c>
      <c r="Q17514" s="7" t="str">
        <f>HYPERLINK("#Liste_rouge!A"&amp;_xlfn.XMATCH("VU",Liste_rouge!A:A,2,1),"VU")</f>
        <v>VU</v>
      </c>
      <c r="X17514" s="5" t="s">
        <v>374</v>
      </c>
      <c r="AE17514" s="4" t="str">
        <f>HYPERLINK("#SCAP!A"&amp;_xlfn.XMATCH("1-",SCAP!A:A,2,1),"1-")</f>
        <v>1-</v>
      </c>
      <c r="AG17514" s="4" t="str">
        <f>HYPERLINK("#SCAP!A"&amp;_xlfn.XMATCH("1-",SCAP!A:A,2,1),"1-")</f>
        <v>1-</v>
      </c>
      <c r="AH17514" s="4" t="str">
        <f>HYPERLINK("#Statut_biogéographique!A"&amp;_xlfn.XMATCH("P",Statut_biogéographique!A:A,2,1),"P")</f>
        <v>P</v>
      </c>
      <c r="AI17514" s="8" t="s">
        <v>21313</v>
      </c>
      <c r="AJ17514" s="4" t="s">
        <v>21289</v>
      </c>
      <c r="AM17514" s="4" t="s">
        <v>382</v>
      </c>
      <c r="AN17514" s="4" t="s">
        <v>382</v>
      </c>
      <c r="AO17514" s="4" t="s">
        <v>382</v>
      </c>
      <c r="AP17514" s="4" t="s">
        <v>389</v>
      </c>
      <c r="AR17514" s="4" t="s">
        <v>377</v>
      </c>
    </row>
    <row r="17515" spans="1:44">
      <c r="A17515" s="4" t="s">
        <v>10753</v>
      </c>
      <c r="B17515" s="4">
        <v>639833</v>
      </c>
      <c r="D17515" s="5" t="s">
        <v>21314</v>
      </c>
      <c r="E17515" s="6" t="str">
        <f>HYPERLINK("https://inpn.mnhn.fr/espece/cd_nom/639833","Corticeus bicolor (Olivier, 1790)")</f>
        <v>Corticeus bicolor (Olivier, 1790)</v>
      </c>
      <c r="P17515" s="7" t="str">
        <f>HYPERLINK("#Liste_rouge!A"&amp;_xlfn.XMATCH("LC",Liste_rouge!A:A,2,1),"LC")</f>
        <v>LC</v>
      </c>
      <c r="AH17515" s="4" t="str">
        <f>HYPERLINK("#Statut_biogéographique!A"&amp;_xlfn.XMATCH("P",Statut_biogéographique!A:A,2,1),"P")</f>
        <v>P</v>
      </c>
      <c r="AP17515" s="4" t="s">
        <v>376</v>
      </c>
      <c r="AR17515" s="4" t="s">
        <v>377</v>
      </c>
    </row>
    <row r="17516" spans="1:44">
      <c r="A17516" s="4" t="s">
        <v>10753</v>
      </c>
      <c r="B17516" s="4">
        <v>639835</v>
      </c>
      <c r="D17516" s="5" t="s">
        <v>21315</v>
      </c>
      <c r="E17516" s="6" t="str">
        <f>HYPERLINK("https://inpn.mnhn.fr/espece/cd_nom/639835","Corticeus linearis (Fabricius, 1790)")</f>
        <v>Corticeus linearis (Fabricius, 1790)</v>
      </c>
      <c r="P17516" s="7" t="str">
        <f>HYPERLINK("#Liste_rouge!A"&amp;_xlfn.XMATCH("LC",Liste_rouge!A:A,2,1),"LC")</f>
        <v>LC</v>
      </c>
      <c r="AH17516" s="4" t="str">
        <f>HYPERLINK("#Statut_biogéographique!A"&amp;_xlfn.XMATCH("P",Statut_biogéographique!A:A,2,1),"P")</f>
        <v>P</v>
      </c>
      <c r="AP17516" s="4" t="s">
        <v>376</v>
      </c>
      <c r="AR17516" s="4" t="s">
        <v>377</v>
      </c>
    </row>
    <row r="17517" spans="1:44">
      <c r="A17517" s="4" t="s">
        <v>10753</v>
      </c>
      <c r="B17517" s="4">
        <v>639836</v>
      </c>
      <c r="D17517" s="5" t="s">
        <v>21316</v>
      </c>
      <c r="E17517" s="6" t="str">
        <f>HYPERLINK("https://inpn.mnhn.fr/espece/cd_nom/639836","Corticeus pini (Panzer, 1799)")</f>
        <v>Corticeus pini (Panzer, 1799)</v>
      </c>
      <c r="P17517" s="7" t="str">
        <f>HYPERLINK("#Liste_rouge!A"&amp;_xlfn.XMATCH("LC",Liste_rouge!A:A,2,1),"LC")</f>
        <v>LC</v>
      </c>
      <c r="AH17517" s="4" t="str">
        <f>HYPERLINK("#Statut_biogéographique!A"&amp;_xlfn.XMATCH("P",Statut_biogéographique!A:A,2,1),"P")</f>
        <v>P</v>
      </c>
      <c r="AP17517" s="4" t="s">
        <v>376</v>
      </c>
      <c r="AR17517" s="4" t="s">
        <v>377</v>
      </c>
    </row>
    <row r="17518" spans="1:44" ht="30">
      <c r="A17518" s="4" t="s">
        <v>10753</v>
      </c>
      <c r="B17518" s="4">
        <v>639837</v>
      </c>
      <c r="D17518" s="5" t="s">
        <v>21317</v>
      </c>
      <c r="E17518" s="6" t="str">
        <f>HYPERLINK("https://inpn.mnhn.fr/espece/cd_nom/639837","Corticeus unicolor Piller &amp; Mitterpacher, 1783")</f>
        <v>Corticeus unicolor Piller &amp; Mitterpacher, 1783</v>
      </c>
      <c r="P17518" s="7" t="str">
        <f>HYPERLINK("#Liste_rouge!A"&amp;_xlfn.XMATCH("LC",Liste_rouge!A:A,2,1),"LC")</f>
        <v>LC</v>
      </c>
      <c r="AH17518" s="4" t="str">
        <f>HYPERLINK("#Statut_biogéographique!A"&amp;_xlfn.XMATCH("P",Statut_biogéographique!A:A,2,1),"P")</f>
        <v>P</v>
      </c>
      <c r="AP17518" s="4" t="s">
        <v>376</v>
      </c>
      <c r="AR17518" s="4" t="s">
        <v>377</v>
      </c>
    </row>
    <row r="17519" spans="1:44">
      <c r="A17519" s="4" t="s">
        <v>10753</v>
      </c>
      <c r="B17519" s="4">
        <v>639917</v>
      </c>
      <c r="D17519" s="5" t="s">
        <v>21318</v>
      </c>
      <c r="E17519" s="6" t="str">
        <f>HYPERLINK("https://inpn.mnhn.fr/espece/cd_nom/639917","Simocephalus exspinosus (De Geer, 1778)")</f>
        <v>Simocephalus exspinosus (De Geer, 1778)</v>
      </c>
      <c r="Q17519" s="7" t="str">
        <f>HYPERLINK("#Liste_rouge!A"&amp;_xlfn.XMATCH("LC",Liste_rouge!A:A,2,1),"LC")</f>
        <v>LC</v>
      </c>
      <c r="AH17519" s="4" t="str">
        <f>HYPERLINK("#Statut_biogéographique!A"&amp;_xlfn.XMATCH("P",Statut_biogéographique!A:A,2,1),"P")</f>
        <v>P</v>
      </c>
      <c r="AP17519" s="4" t="s">
        <v>376</v>
      </c>
      <c r="AR17519" s="4" t="s">
        <v>377</v>
      </c>
    </row>
    <row r="17520" spans="1:44">
      <c r="A17520" s="4" t="s">
        <v>10753</v>
      </c>
      <c r="B17520" s="4">
        <v>639936</v>
      </c>
      <c r="D17520" s="5" t="s">
        <v>21319</v>
      </c>
      <c r="E17520" s="6" t="str">
        <f>HYPERLINK("https://inpn.mnhn.fr/espece/cd_nom/639936","Coronatella rectangula (Sars, 1861)")</f>
        <v>Coronatella rectangula (Sars, 1861)</v>
      </c>
      <c r="Q17520" s="7" t="str">
        <f>HYPERLINK("#Liste_rouge!A"&amp;_xlfn.XMATCH("LC",Liste_rouge!A:A,2,1),"LC")</f>
        <v>LC</v>
      </c>
      <c r="AH17520" s="4" t="str">
        <f>HYPERLINK("#Statut_biogéographique!A"&amp;_xlfn.XMATCH("P",Statut_biogéographique!A:A,2,1),"P")</f>
        <v>P</v>
      </c>
      <c r="AP17520" s="4" t="s">
        <v>376</v>
      </c>
      <c r="AR17520" s="4" t="s">
        <v>377</v>
      </c>
    </row>
    <row r="17521" spans="1:44" ht="30">
      <c r="A17521" s="4" t="s">
        <v>10753</v>
      </c>
      <c r="B17521" s="4">
        <v>64035</v>
      </c>
      <c r="D17521" s="5" t="s">
        <v>21320</v>
      </c>
      <c r="E17521" s="6" t="str">
        <f>HYPERLINK("https://inpn.mnhn.fr/espece/cd_nom/64035","Carychium minimum O.F. Müller, 1774")</f>
        <v>Carychium minimum O.F. Müller, 1774</v>
      </c>
      <c r="F17521" s="5" t="s">
        <v>21321</v>
      </c>
      <c r="P17521" s="7" t="str">
        <f>HYPERLINK("#Liste_rouge!A"&amp;_xlfn.XMATCH("LC",Liste_rouge!A:A,2,1),"LC")</f>
        <v>LC</v>
      </c>
      <c r="Q17521" s="7" t="str">
        <f>HYPERLINK("#Liste_rouge!A"&amp;_xlfn.XMATCH("LC",Liste_rouge!A:A,2,1),"LC")</f>
        <v>LC</v>
      </c>
      <c r="AH17521" s="4" t="str">
        <f>HYPERLINK("#Statut_biogéographique!A"&amp;_xlfn.XMATCH("P",Statut_biogéographique!A:A,2,1),"P")</f>
        <v>P</v>
      </c>
      <c r="AM17521" s="4" t="s">
        <v>375</v>
      </c>
      <c r="AN17521" s="4" t="s">
        <v>375</v>
      </c>
      <c r="AO17521" s="4" t="s">
        <v>375</v>
      </c>
      <c r="AP17521" s="4" t="s">
        <v>376</v>
      </c>
      <c r="AR17521" s="4" t="s">
        <v>377</v>
      </c>
    </row>
    <row r="17522" spans="1:44" ht="30">
      <c r="A17522" s="4" t="s">
        <v>10753</v>
      </c>
      <c r="B17522" s="4">
        <v>64036</v>
      </c>
      <c r="D17522" s="5" t="s">
        <v>21322</v>
      </c>
      <c r="E17522" s="6" t="str">
        <f>HYPERLINK("https://inpn.mnhn.fr/espece/cd_nom/64036","Carychium tridentatum (Risso, 1826)")</f>
        <v>Carychium tridentatum (Risso, 1826)</v>
      </c>
      <c r="F17522" s="5" t="s">
        <v>21323</v>
      </c>
      <c r="P17522" s="7" t="str">
        <f>HYPERLINK("#Liste_rouge!A"&amp;_xlfn.XMATCH("LC",Liste_rouge!A:A,2,1),"LC")</f>
        <v>LC</v>
      </c>
      <c r="Q17522" s="7" t="str">
        <f>HYPERLINK("#Liste_rouge!A"&amp;_xlfn.XMATCH("LC",Liste_rouge!A:A,2,1),"LC")</f>
        <v>LC</v>
      </c>
      <c r="AH17522" s="4" t="str">
        <f>HYPERLINK("#Statut_biogéographique!A"&amp;_xlfn.XMATCH("P",Statut_biogéographique!A:A,2,1),"P")</f>
        <v>P</v>
      </c>
      <c r="AM17522" s="4" t="s">
        <v>375</v>
      </c>
      <c r="AN17522" s="4" t="s">
        <v>375</v>
      </c>
      <c r="AO17522" s="4" t="s">
        <v>375</v>
      </c>
      <c r="AP17522" s="4" t="s">
        <v>376</v>
      </c>
      <c r="AR17522" s="4" t="s">
        <v>377</v>
      </c>
    </row>
    <row r="17523" spans="1:44" ht="30">
      <c r="A17523" s="4" t="s">
        <v>10753</v>
      </c>
      <c r="B17523" s="4">
        <v>64043</v>
      </c>
      <c r="D17523" s="5" t="s">
        <v>21324</v>
      </c>
      <c r="E17523" s="6" t="str">
        <f>HYPERLINK("https://inpn.mnhn.fr/espece/cd_nom/64043","Galba truncatula (O.F. Müller, 1774)")</f>
        <v>Galba truncatula (O.F. Müller, 1774)</v>
      </c>
      <c r="F17523" s="5" t="s">
        <v>21325</v>
      </c>
      <c r="O17523" s="7" t="str">
        <f>HYPERLINK("#Liste_rouge!A"&amp;_xlfn.XMATCH("LC",Liste_rouge!A:A,2,1),"LC")</f>
        <v>LC</v>
      </c>
      <c r="P17523" s="7" t="str">
        <f>HYPERLINK("#Liste_rouge!A"&amp;_xlfn.XMATCH("LC",Liste_rouge!A:A,2,1),"LC")</f>
        <v>LC</v>
      </c>
      <c r="Q17523" s="7" t="str">
        <f>HYPERLINK("#Liste_rouge!A"&amp;_xlfn.XMATCH("NA",Liste_rouge!A:A,2,1),"NA")</f>
        <v>NA</v>
      </c>
      <c r="AH17523" s="4" t="str">
        <f>HYPERLINK("#Statut_biogéographique!A"&amp;_xlfn.XMATCH("I",Statut_biogéographique!A:A,2,1),"I")</f>
        <v>I</v>
      </c>
      <c r="AM17523" s="4" t="s">
        <v>375</v>
      </c>
      <c r="AN17523" s="4" t="s">
        <v>375</v>
      </c>
      <c r="AO17523" s="4" t="s">
        <v>375</v>
      </c>
      <c r="AP17523" s="4" t="s">
        <v>376</v>
      </c>
      <c r="AR17523" s="4" t="s">
        <v>377</v>
      </c>
    </row>
    <row r="17524" spans="1:44">
      <c r="A17524" s="4" t="s">
        <v>10753</v>
      </c>
      <c r="B17524" s="4">
        <v>64049</v>
      </c>
      <c r="D17524" s="5" t="s">
        <v>21326</v>
      </c>
      <c r="E17524" s="6" t="str">
        <f>HYPERLINK("https://inpn.mnhn.fr/espece/cd_nom/64049","Stagnicola palustris (O.F. Müller, 1774)")</f>
        <v>Stagnicola palustris (O.F. Müller, 1774)</v>
      </c>
      <c r="F17524" s="5" t="s">
        <v>21327</v>
      </c>
      <c r="O17524" s="7" t="str">
        <f>HYPERLINK("#Liste_rouge!A"&amp;_xlfn.XMATCH("LC",Liste_rouge!A:A,2,1),"LC")</f>
        <v>LC</v>
      </c>
      <c r="P17524" s="7" t="str">
        <f>HYPERLINK("#Liste_rouge!A"&amp;_xlfn.XMATCH("LC",Liste_rouge!A:A,2,1),"LC")</f>
        <v>LC</v>
      </c>
      <c r="Q17524" s="7" t="str">
        <f>HYPERLINK("#Liste_rouge!A"&amp;_xlfn.XMATCH("LC",Liste_rouge!A:A,2,1),"LC")</f>
        <v>LC</v>
      </c>
      <c r="AH17524" s="4" t="str">
        <f>HYPERLINK("#Statut_biogéographique!A"&amp;_xlfn.XMATCH("P",Statut_biogéographique!A:A,2,1),"P")</f>
        <v>P</v>
      </c>
      <c r="AM17524" s="4" t="s">
        <v>375</v>
      </c>
      <c r="AN17524" s="4" t="s">
        <v>375</v>
      </c>
      <c r="AO17524" s="4" t="s">
        <v>375</v>
      </c>
      <c r="AP17524" s="4" t="s">
        <v>376</v>
      </c>
      <c r="AR17524" s="4" t="s">
        <v>377</v>
      </c>
    </row>
    <row r="17525" spans="1:44">
      <c r="A17525" s="4" t="s">
        <v>10753</v>
      </c>
      <c r="B17525" s="4">
        <v>64054</v>
      </c>
      <c r="D17525" s="5" t="s">
        <v>21328</v>
      </c>
      <c r="E17525" s="6" t="str">
        <f>HYPERLINK("https://inpn.mnhn.fr/espece/cd_nom/64054","Radix auricularia (Linnaeus, 1758)")</f>
        <v>Radix auricularia (Linnaeus, 1758)</v>
      </c>
      <c r="F17525" s="5" t="s">
        <v>21329</v>
      </c>
      <c r="O17525" s="7" t="str">
        <f>HYPERLINK("#Liste_rouge!A"&amp;_xlfn.XMATCH("LC",Liste_rouge!A:A,2,1),"LC")</f>
        <v>LC</v>
      </c>
      <c r="P17525" s="7" t="str">
        <f>HYPERLINK("#Liste_rouge!A"&amp;_xlfn.XMATCH("LC",Liste_rouge!A:A,2,1),"LC")</f>
        <v>LC</v>
      </c>
      <c r="Q17525" s="7" t="str">
        <f>HYPERLINK("#Liste_rouge!A"&amp;_xlfn.XMATCH("LC",Liste_rouge!A:A,2,1),"LC")</f>
        <v>LC</v>
      </c>
      <c r="AH17525" s="4" t="str">
        <f>HYPERLINK("#Statut_biogéographique!A"&amp;_xlfn.XMATCH("P",Statut_biogéographique!A:A,2,1),"P")</f>
        <v>P</v>
      </c>
      <c r="AM17525" s="4" t="s">
        <v>375</v>
      </c>
      <c r="AN17525" s="4" t="s">
        <v>375</v>
      </c>
      <c r="AO17525" s="4" t="s">
        <v>375</v>
      </c>
      <c r="AP17525" s="4" t="s">
        <v>376</v>
      </c>
      <c r="AR17525" s="4" t="s">
        <v>377</v>
      </c>
    </row>
    <row r="17526" spans="1:44">
      <c r="A17526" s="4" t="s">
        <v>10753</v>
      </c>
      <c r="B17526" s="4">
        <v>64063</v>
      </c>
      <c r="D17526" s="5" t="s">
        <v>21330</v>
      </c>
      <c r="E17526" s="6" t="str">
        <f>HYPERLINK("https://inpn.mnhn.fr/espece/cd_nom/64063","Lymnaea stagnalis (Linnaeus, 1758)")</f>
        <v>Lymnaea stagnalis (Linnaeus, 1758)</v>
      </c>
      <c r="F17526" s="5" t="s">
        <v>21331</v>
      </c>
      <c r="O17526" s="7" t="str">
        <f>HYPERLINK("#Liste_rouge!A"&amp;_xlfn.XMATCH("LC",Liste_rouge!A:A,2,1),"LC")</f>
        <v>LC</v>
      </c>
      <c r="P17526" s="7" t="str">
        <f>HYPERLINK("#Liste_rouge!A"&amp;_xlfn.XMATCH("LC",Liste_rouge!A:A,2,1),"LC")</f>
        <v>LC</v>
      </c>
      <c r="Q17526" s="7" t="str">
        <f>HYPERLINK("#Liste_rouge!A"&amp;_xlfn.XMATCH("LC",Liste_rouge!A:A,2,1),"LC")</f>
        <v>LC</v>
      </c>
      <c r="AH17526" s="4" t="str">
        <f>HYPERLINK("#Statut_biogéographique!A"&amp;_xlfn.XMATCH("P",Statut_biogéographique!A:A,2,1),"P")</f>
        <v>P</v>
      </c>
      <c r="AM17526" s="4" t="s">
        <v>375</v>
      </c>
      <c r="AN17526" s="4" t="s">
        <v>375</v>
      </c>
      <c r="AO17526" s="4" t="s">
        <v>375</v>
      </c>
      <c r="AP17526" s="4" t="s">
        <v>376</v>
      </c>
      <c r="AR17526" s="4" t="s">
        <v>377</v>
      </c>
    </row>
    <row r="17527" spans="1:44">
      <c r="A17527" s="4" t="s">
        <v>10753</v>
      </c>
      <c r="B17527" s="4">
        <v>64069</v>
      </c>
      <c r="D17527" s="5" t="s">
        <v>21332</v>
      </c>
      <c r="E17527" s="6" t="str">
        <f>HYPERLINK("https://inpn.mnhn.fr/espece/cd_nom/64069","Aplexa hypnorum (Linnaeus, 1758)")</f>
        <v>Aplexa hypnorum (Linnaeus, 1758)</v>
      </c>
      <c r="F17527" s="5" t="s">
        <v>21333</v>
      </c>
      <c r="P17527" s="7" t="str">
        <f>HYPERLINK("#Liste_rouge!A"&amp;_xlfn.XMATCH("LC",Liste_rouge!A:A,2,1),"LC")</f>
        <v>LC</v>
      </c>
      <c r="Q17527" s="7" t="str">
        <f>HYPERLINK("#Liste_rouge!A"&amp;_xlfn.XMATCH("LC",Liste_rouge!A:A,2,1),"LC")</f>
        <v>LC</v>
      </c>
      <c r="AH17527" s="4" t="str">
        <f>HYPERLINK("#Statut_biogéographique!A"&amp;_xlfn.XMATCH("P",Statut_biogéographique!A:A,2,1),"P")</f>
        <v>P</v>
      </c>
      <c r="AM17527" s="4" t="s">
        <v>375</v>
      </c>
      <c r="AN17527" s="4" t="s">
        <v>375</v>
      </c>
      <c r="AO17527" s="4" t="s">
        <v>375</v>
      </c>
      <c r="AP17527" s="4" t="s">
        <v>376</v>
      </c>
      <c r="AR17527" s="4" t="s">
        <v>377</v>
      </c>
    </row>
    <row r="17528" spans="1:44">
      <c r="A17528" s="4" t="s">
        <v>10753</v>
      </c>
      <c r="B17528" s="4">
        <v>64071</v>
      </c>
      <c r="D17528" s="5" t="s">
        <v>21334</v>
      </c>
      <c r="E17528" s="6" t="str">
        <f>HYPERLINK("https://inpn.mnhn.fr/espece/cd_nom/64071","Physa fontinalis (Linnaeus, 1758)")</f>
        <v>Physa fontinalis (Linnaeus, 1758)</v>
      </c>
      <c r="F17528" s="5" t="s">
        <v>21335</v>
      </c>
      <c r="O17528" s="7" t="str">
        <f>HYPERLINK("#Liste_rouge!A"&amp;_xlfn.XMATCH("LC",Liste_rouge!A:A,2,1),"LC")</f>
        <v>LC</v>
      </c>
      <c r="P17528" s="7" t="str">
        <f>HYPERLINK("#Liste_rouge!A"&amp;_xlfn.XMATCH("LC",Liste_rouge!A:A,2,1),"LC")</f>
        <v>LC</v>
      </c>
      <c r="Q17528" s="7" t="str">
        <f>HYPERLINK("#Liste_rouge!A"&amp;_xlfn.XMATCH("LC",Liste_rouge!A:A,2,1),"LC")</f>
        <v>LC</v>
      </c>
      <c r="AH17528" s="4" t="str">
        <f>HYPERLINK("#Statut_biogéographique!A"&amp;_xlfn.XMATCH("P",Statut_biogéographique!A:A,2,1),"P")</f>
        <v>P</v>
      </c>
      <c r="AM17528" s="4" t="s">
        <v>375</v>
      </c>
      <c r="AN17528" s="4" t="s">
        <v>375</v>
      </c>
      <c r="AO17528" s="4" t="s">
        <v>375</v>
      </c>
      <c r="AP17528" s="4" t="s">
        <v>376</v>
      </c>
      <c r="AR17528" s="4" t="s">
        <v>377</v>
      </c>
    </row>
    <row r="17529" spans="1:44" ht="30">
      <c r="A17529" s="4" t="s">
        <v>10753</v>
      </c>
      <c r="B17529" s="4">
        <v>64077</v>
      </c>
      <c r="D17529" s="5" t="s">
        <v>21336</v>
      </c>
      <c r="E17529" s="6" t="str">
        <f>HYPERLINK("https://inpn.mnhn.fr/espece/cd_nom/64077","Planorbis planorbis (Linnaeus, 1758)")</f>
        <v>Planorbis planorbis (Linnaeus, 1758)</v>
      </c>
      <c r="F17529" s="5" t="s">
        <v>21337</v>
      </c>
      <c r="O17529" s="7" t="str">
        <f>HYPERLINK("#Liste_rouge!A"&amp;_xlfn.XMATCH("LC",Liste_rouge!A:A,2,1),"LC")</f>
        <v>LC</v>
      </c>
      <c r="P17529" s="7" t="str">
        <f>HYPERLINK("#Liste_rouge!A"&amp;_xlfn.XMATCH("LC",Liste_rouge!A:A,2,1),"LC")</f>
        <v>LC</v>
      </c>
      <c r="Q17529" s="7" t="str">
        <f>HYPERLINK("#Liste_rouge!A"&amp;_xlfn.XMATCH("LC",Liste_rouge!A:A,2,1),"LC")</f>
        <v>LC</v>
      </c>
      <c r="AH17529" s="4" t="str">
        <f>HYPERLINK("#Statut_biogéographique!A"&amp;_xlfn.XMATCH("P",Statut_biogéographique!A:A,2,1),"P")</f>
        <v>P</v>
      </c>
      <c r="AM17529" s="4" t="s">
        <v>375</v>
      </c>
      <c r="AN17529" s="4" t="s">
        <v>375</v>
      </c>
      <c r="AO17529" s="4" t="s">
        <v>375</v>
      </c>
      <c r="AP17529" s="4" t="s">
        <v>376</v>
      </c>
      <c r="AR17529" s="4" t="s">
        <v>377</v>
      </c>
    </row>
    <row r="17530" spans="1:44">
      <c r="A17530" s="4" t="s">
        <v>10753</v>
      </c>
      <c r="B17530" s="4">
        <v>64079</v>
      </c>
      <c r="D17530" s="5">
        <v>64079</v>
      </c>
      <c r="E17530" s="6" t="str">
        <f>HYPERLINK("https://inpn.mnhn.fr/espece/cd_nom/64079","Planorbis carinatus O.F. Müller, 1774")</f>
        <v>Planorbis carinatus O.F. Müller, 1774</v>
      </c>
      <c r="F17530" s="5" t="s">
        <v>21338</v>
      </c>
      <c r="P17530" s="7" t="str">
        <f>HYPERLINK("#Liste_rouge!A"&amp;_xlfn.XMATCH("LC",Liste_rouge!A:A,2,1),"LC")</f>
        <v>LC</v>
      </c>
      <c r="Q17530" s="7" t="str">
        <f>HYPERLINK("#Liste_rouge!A"&amp;_xlfn.XMATCH("LC",Liste_rouge!A:A,2,1),"LC")</f>
        <v>LC</v>
      </c>
      <c r="AH17530" s="4" t="str">
        <f>HYPERLINK("#Statut_biogéographique!A"&amp;_xlfn.XMATCH("P",Statut_biogéographique!A:A,2,1),"P")</f>
        <v>P</v>
      </c>
      <c r="AM17530" s="4" t="s">
        <v>375</v>
      </c>
      <c r="AN17530" s="4" t="s">
        <v>375</v>
      </c>
      <c r="AO17530" s="4" t="s">
        <v>375</v>
      </c>
      <c r="AP17530" s="4" t="s">
        <v>376</v>
      </c>
      <c r="AR17530" s="4" t="s">
        <v>377</v>
      </c>
    </row>
    <row r="17531" spans="1:44">
      <c r="A17531" s="4" t="s">
        <v>10753</v>
      </c>
      <c r="B17531" s="4">
        <v>64090</v>
      </c>
      <c r="D17531" s="5" t="s">
        <v>21339</v>
      </c>
      <c r="E17531" s="6" t="str">
        <f>HYPERLINK("https://inpn.mnhn.fr/espece/cd_nom/64090","Anisus septemgyratus (Rossmässler, 1835)")</f>
        <v>Anisus septemgyratus (Rossmässler, 1835)</v>
      </c>
      <c r="F17531" s="5" t="s">
        <v>21340</v>
      </c>
      <c r="P17531" s="7" t="str">
        <f>HYPERLINK("#Liste_rouge!A"&amp;_xlfn.XMATCH("LC",Liste_rouge!A:A,2,1),"LC")</f>
        <v>LC</v>
      </c>
      <c r="Q17531" s="7" t="str">
        <f>HYPERLINK("#Liste_rouge!A"&amp;_xlfn.XMATCH("DD",Liste_rouge!A:A,2,1),"DD")</f>
        <v>DD</v>
      </c>
      <c r="AH17531" s="4" t="str">
        <f>HYPERLINK("#Statut_biogéographique!A"&amp;_xlfn.XMATCH("P",Statut_biogéographique!A:A,2,1),"P")</f>
        <v>P</v>
      </c>
      <c r="AP17531" s="4" t="s">
        <v>376</v>
      </c>
      <c r="AR17531" s="4" t="s">
        <v>377</v>
      </c>
    </row>
    <row r="17532" spans="1:44">
      <c r="A17532" s="4" t="s">
        <v>10753</v>
      </c>
      <c r="B17532" s="4">
        <v>64091</v>
      </c>
      <c r="D17532" s="5" t="s">
        <v>21341</v>
      </c>
      <c r="E17532" s="6" t="str">
        <f>HYPERLINK("https://inpn.mnhn.fr/espece/cd_nom/64091","Anisus leucostoma (Millet, 1813)")</f>
        <v>Anisus leucostoma (Millet, 1813)</v>
      </c>
      <c r="F17532" s="5" t="s">
        <v>21342</v>
      </c>
      <c r="O17532" s="7" t="str">
        <f>HYPERLINK("#Liste_rouge!A"&amp;_xlfn.XMATCH("LC",Liste_rouge!A:A,2,1),"LC")</f>
        <v>LC</v>
      </c>
      <c r="P17532" s="7" t="str">
        <f>HYPERLINK("#Liste_rouge!A"&amp;_xlfn.XMATCH("LC",Liste_rouge!A:A,2,1),"LC")</f>
        <v>LC</v>
      </c>
      <c r="Q17532" s="7" t="str">
        <f>HYPERLINK("#Liste_rouge!A"&amp;_xlfn.XMATCH("LC",Liste_rouge!A:A,2,1),"LC")</f>
        <v>LC</v>
      </c>
      <c r="AH17532" s="4" t="str">
        <f>HYPERLINK("#Statut_biogéographique!A"&amp;_xlfn.XMATCH("P",Statut_biogéographique!A:A,2,1),"P")</f>
        <v>P</v>
      </c>
      <c r="AM17532" s="4" t="s">
        <v>375</v>
      </c>
      <c r="AN17532" s="4" t="s">
        <v>375</v>
      </c>
      <c r="AO17532" s="4" t="s">
        <v>375</v>
      </c>
      <c r="AP17532" s="4" t="s">
        <v>376</v>
      </c>
      <c r="AR17532" s="4" t="s">
        <v>377</v>
      </c>
    </row>
    <row r="17533" spans="1:44">
      <c r="A17533" s="4" t="s">
        <v>10753</v>
      </c>
      <c r="B17533" s="4">
        <v>64094</v>
      </c>
      <c r="D17533" s="5" t="s">
        <v>21343</v>
      </c>
      <c r="E17533" s="6" t="str">
        <f>HYPERLINK("https://inpn.mnhn.fr/espece/cd_nom/64094","Anisus spirorbis (Linnaeus, 1758)")</f>
        <v>Anisus spirorbis (Linnaeus, 1758)</v>
      </c>
      <c r="F17533" s="5" t="s">
        <v>21344</v>
      </c>
      <c r="P17533" s="7" t="str">
        <f>HYPERLINK("#Liste_rouge!A"&amp;_xlfn.XMATCH("LC",Liste_rouge!A:A,2,1),"LC")</f>
        <v>LC</v>
      </c>
      <c r="Q17533" s="7" t="str">
        <f>HYPERLINK("#Liste_rouge!A"&amp;_xlfn.XMATCH("LC",Liste_rouge!A:A,2,1),"LC")</f>
        <v>LC</v>
      </c>
      <c r="AH17533" s="4" t="str">
        <f>HYPERLINK("#Statut_biogéographique!A"&amp;_xlfn.XMATCH("P",Statut_biogéographique!A:A,2,1),"P")</f>
        <v>P</v>
      </c>
      <c r="AM17533" s="4" t="s">
        <v>375</v>
      </c>
      <c r="AN17533" s="4" t="s">
        <v>375</v>
      </c>
      <c r="AO17533" s="4" t="s">
        <v>375</v>
      </c>
      <c r="AP17533" s="4" t="s">
        <v>376</v>
      </c>
      <c r="AR17533" s="4" t="s">
        <v>377</v>
      </c>
    </row>
    <row r="17534" spans="1:44">
      <c r="A17534" s="4" t="s">
        <v>10753</v>
      </c>
      <c r="B17534" s="4">
        <v>64096</v>
      </c>
      <c r="D17534" s="5" t="s">
        <v>21345</v>
      </c>
      <c r="E17534" s="6" t="str">
        <f>HYPERLINK("https://inpn.mnhn.fr/espece/cd_nom/64096","Anisus vortex (Linnaeus, 1758)")</f>
        <v>Anisus vortex (Linnaeus, 1758)</v>
      </c>
      <c r="F17534" s="5" t="s">
        <v>21346</v>
      </c>
      <c r="P17534" s="7" t="str">
        <f>HYPERLINK("#Liste_rouge!A"&amp;_xlfn.XMATCH("LC",Liste_rouge!A:A,2,1),"LC")</f>
        <v>LC</v>
      </c>
      <c r="Q17534" s="7" t="str">
        <f>HYPERLINK("#Liste_rouge!A"&amp;_xlfn.XMATCH("LC",Liste_rouge!A:A,2,1),"LC")</f>
        <v>LC</v>
      </c>
      <c r="AH17534" s="4" t="str">
        <f>HYPERLINK("#Statut_biogéographique!A"&amp;_xlfn.XMATCH("P",Statut_biogéographique!A:A,2,1),"P")</f>
        <v>P</v>
      </c>
      <c r="AM17534" s="4" t="s">
        <v>375</v>
      </c>
      <c r="AN17534" s="4" t="s">
        <v>375</v>
      </c>
      <c r="AO17534" s="4" t="s">
        <v>375</v>
      </c>
      <c r="AP17534" s="4" t="s">
        <v>376</v>
      </c>
      <c r="AR17534" s="4" t="s">
        <v>377</v>
      </c>
    </row>
    <row r="17535" spans="1:44">
      <c r="A17535" s="4" t="s">
        <v>10753</v>
      </c>
      <c r="B17535" s="4">
        <v>64101</v>
      </c>
      <c r="D17535" s="5" t="s">
        <v>21347</v>
      </c>
      <c r="E17535" s="6" t="str">
        <f>HYPERLINK("https://inpn.mnhn.fr/espece/cd_nom/64101","Bathyomphalus contortus (Linnaeus, 1758)")</f>
        <v>Bathyomphalus contortus (Linnaeus, 1758)</v>
      </c>
      <c r="F17535" s="5" t="s">
        <v>21348</v>
      </c>
      <c r="O17535" s="7" t="str">
        <f>HYPERLINK("#Liste_rouge!A"&amp;_xlfn.XMATCH("LC",Liste_rouge!A:A,2,1),"LC")</f>
        <v>LC</v>
      </c>
      <c r="P17535" s="7" t="str">
        <f>HYPERLINK("#Liste_rouge!A"&amp;_xlfn.XMATCH("LC",Liste_rouge!A:A,2,1),"LC")</f>
        <v>LC</v>
      </c>
      <c r="Q17535" s="7" t="str">
        <f>HYPERLINK("#Liste_rouge!A"&amp;_xlfn.XMATCH("LC",Liste_rouge!A:A,2,1),"LC")</f>
        <v>LC</v>
      </c>
      <c r="AH17535" s="4" t="str">
        <f>HYPERLINK("#Statut_biogéographique!A"&amp;_xlfn.XMATCH("P",Statut_biogéographique!A:A,2,1),"P")</f>
        <v>P</v>
      </c>
      <c r="AM17535" s="4" t="s">
        <v>375</v>
      </c>
      <c r="AN17535" s="4" t="s">
        <v>375</v>
      </c>
      <c r="AO17535" s="4" t="s">
        <v>375</v>
      </c>
      <c r="AP17535" s="4" t="s">
        <v>376</v>
      </c>
      <c r="AR17535" s="4" t="s">
        <v>377</v>
      </c>
    </row>
    <row r="17536" spans="1:44">
      <c r="A17536" s="4" t="s">
        <v>10753</v>
      </c>
      <c r="B17536" s="4">
        <v>64104</v>
      </c>
      <c r="D17536" s="5" t="s">
        <v>21349</v>
      </c>
      <c r="E17536" s="6" t="str">
        <f>HYPERLINK("https://inpn.mnhn.fr/espece/cd_nom/64104","Gyraulus albus (O.F. Müller, 1774)")</f>
        <v>Gyraulus albus (O.F. Müller, 1774)</v>
      </c>
      <c r="F17536" s="5" t="s">
        <v>21350</v>
      </c>
      <c r="O17536" s="7" t="str">
        <f>HYPERLINK("#Liste_rouge!A"&amp;_xlfn.XMATCH("LC",Liste_rouge!A:A,2,1),"LC")</f>
        <v>LC</v>
      </c>
      <c r="P17536" s="7" t="str">
        <f>HYPERLINK("#Liste_rouge!A"&amp;_xlfn.XMATCH("LC",Liste_rouge!A:A,2,1),"LC")</f>
        <v>LC</v>
      </c>
      <c r="Q17536" s="7" t="str">
        <f>HYPERLINK("#Liste_rouge!A"&amp;_xlfn.XMATCH("LC",Liste_rouge!A:A,2,1),"LC")</f>
        <v>LC</v>
      </c>
      <c r="AH17536" s="4" t="str">
        <f>HYPERLINK("#Statut_biogéographique!A"&amp;_xlfn.XMATCH("P",Statut_biogéographique!A:A,2,1),"P")</f>
        <v>P</v>
      </c>
      <c r="AM17536" s="4" t="s">
        <v>375</v>
      </c>
      <c r="AN17536" s="4" t="s">
        <v>375</v>
      </c>
      <c r="AO17536" s="4" t="s">
        <v>375</v>
      </c>
      <c r="AP17536" s="4" t="s">
        <v>376</v>
      </c>
      <c r="AR17536" s="4" t="s">
        <v>377</v>
      </c>
    </row>
    <row r="17537" spans="1:44" ht="30">
      <c r="A17537" s="4" t="s">
        <v>10753</v>
      </c>
      <c r="B17537" s="4">
        <v>64111</v>
      </c>
      <c r="D17537" s="5" t="s">
        <v>21351</v>
      </c>
      <c r="E17537" s="6" t="str">
        <f>HYPERLINK("https://inpn.mnhn.fr/espece/cd_nom/64111","Armiger crista (Linnaeus, 1758)")</f>
        <v>Armiger crista (Linnaeus, 1758)</v>
      </c>
      <c r="F17537" s="5" t="s">
        <v>21352</v>
      </c>
      <c r="O17537" s="7" t="str">
        <f>HYPERLINK("#Liste_rouge!A"&amp;_xlfn.XMATCH("LC",Liste_rouge!A:A,2,1),"LC")</f>
        <v>LC</v>
      </c>
      <c r="P17537" s="7" t="str">
        <f>HYPERLINK("#Liste_rouge!A"&amp;_xlfn.XMATCH("LC",Liste_rouge!A:A,2,1),"LC")</f>
        <v>LC</v>
      </c>
      <c r="Q17537" s="7" t="str">
        <f>HYPERLINK("#Liste_rouge!A"&amp;_xlfn.XMATCH("LC",Liste_rouge!A:A,2,1),"LC")</f>
        <v>LC</v>
      </c>
      <c r="AH17537" s="4" t="str">
        <f>HYPERLINK("#Statut_biogéographique!A"&amp;_xlfn.XMATCH("P",Statut_biogéographique!A:A,2,1),"P")</f>
        <v>P</v>
      </c>
      <c r="AM17537" s="4" t="s">
        <v>375</v>
      </c>
      <c r="AN17537" s="4" t="s">
        <v>375</v>
      </c>
      <c r="AO17537" s="4" t="s">
        <v>375</v>
      </c>
      <c r="AP17537" s="4" t="s">
        <v>376</v>
      </c>
      <c r="AR17537" s="4" t="s">
        <v>377</v>
      </c>
    </row>
    <row r="17538" spans="1:44" ht="30">
      <c r="A17538" s="4" t="s">
        <v>10753</v>
      </c>
      <c r="B17538" s="4">
        <v>64114</v>
      </c>
      <c r="D17538" s="5" t="s">
        <v>21353</v>
      </c>
      <c r="E17538" s="6" t="str">
        <f>HYPERLINK("https://inpn.mnhn.fr/espece/cd_nom/64114","Hippeutis complanatus (Linnaeus, 1758)")</f>
        <v>Hippeutis complanatus (Linnaeus, 1758)</v>
      </c>
      <c r="F17538" s="5" t="s">
        <v>21354</v>
      </c>
      <c r="O17538" s="7" t="str">
        <f>HYPERLINK("#Liste_rouge!A"&amp;_xlfn.XMATCH("LC",Liste_rouge!A:A,2,1),"LC")</f>
        <v>LC</v>
      </c>
      <c r="P17538" s="7" t="str">
        <f>HYPERLINK("#Liste_rouge!A"&amp;_xlfn.XMATCH("LC",Liste_rouge!A:A,2,1),"LC")</f>
        <v>LC</v>
      </c>
      <c r="Q17538" s="7" t="str">
        <f>HYPERLINK("#Liste_rouge!A"&amp;_xlfn.XMATCH("LC",Liste_rouge!A:A,2,1),"LC")</f>
        <v>LC</v>
      </c>
      <c r="AH17538" s="4" t="str">
        <f>HYPERLINK("#Statut_biogéographique!A"&amp;_xlfn.XMATCH("P",Statut_biogéographique!A:A,2,1),"P")</f>
        <v>P</v>
      </c>
      <c r="AM17538" s="4" t="s">
        <v>375</v>
      </c>
      <c r="AN17538" s="4" t="s">
        <v>375</v>
      </c>
      <c r="AO17538" s="4" t="s">
        <v>375</v>
      </c>
      <c r="AP17538" s="4" t="s">
        <v>376</v>
      </c>
      <c r="AR17538" s="4" t="s">
        <v>377</v>
      </c>
    </row>
    <row r="17539" spans="1:44">
      <c r="A17539" s="4" t="s">
        <v>10753</v>
      </c>
      <c r="B17539" s="4">
        <v>64117</v>
      </c>
      <c r="D17539" s="5" t="s">
        <v>21355</v>
      </c>
      <c r="E17539" s="6" t="str">
        <f>HYPERLINK("https://inpn.mnhn.fr/espece/cd_nom/64117","Segmentina nitida (O.F. Müller, 1774)")</f>
        <v>Segmentina nitida (O.F. Müller, 1774)</v>
      </c>
      <c r="F17539" s="5" t="s">
        <v>21356</v>
      </c>
      <c r="P17539" s="7" t="str">
        <f>HYPERLINK("#Liste_rouge!A"&amp;_xlfn.XMATCH("LC",Liste_rouge!A:A,2,1),"LC")</f>
        <v>LC</v>
      </c>
      <c r="Q17539" s="7" t="str">
        <f>HYPERLINK("#Liste_rouge!A"&amp;_xlfn.XMATCH("LC",Liste_rouge!A:A,2,1),"LC")</f>
        <v>LC</v>
      </c>
      <c r="AH17539" s="4" t="str">
        <f>HYPERLINK("#Statut_biogéographique!A"&amp;_xlfn.XMATCH("P",Statut_biogéographique!A:A,2,1),"P")</f>
        <v>P</v>
      </c>
      <c r="AM17539" s="4" t="s">
        <v>375</v>
      </c>
      <c r="AN17539" s="4" t="s">
        <v>375</v>
      </c>
      <c r="AO17539" s="4" t="s">
        <v>375</v>
      </c>
      <c r="AP17539" s="4" t="s">
        <v>376</v>
      </c>
      <c r="AR17539" s="4" t="s">
        <v>377</v>
      </c>
    </row>
    <row r="17540" spans="1:44">
      <c r="A17540" s="4" t="s">
        <v>10753</v>
      </c>
      <c r="B17540" s="4">
        <v>64120</v>
      </c>
      <c r="D17540" s="5" t="s">
        <v>21357</v>
      </c>
      <c r="E17540" s="6" t="str">
        <f>HYPERLINK("https://inpn.mnhn.fr/espece/cd_nom/64120","Planorbarius corneus (Linnaeus, 1758)")</f>
        <v>Planorbarius corneus (Linnaeus, 1758)</v>
      </c>
      <c r="F17540" s="5" t="s">
        <v>21358</v>
      </c>
      <c r="O17540" s="7" t="str">
        <f>HYPERLINK("#Liste_rouge!A"&amp;_xlfn.XMATCH("LC",Liste_rouge!A:A,2,1),"LC")</f>
        <v>LC</v>
      </c>
      <c r="P17540" s="7" t="str">
        <f>HYPERLINK("#Liste_rouge!A"&amp;_xlfn.XMATCH("LC",Liste_rouge!A:A,2,1),"LC")</f>
        <v>LC</v>
      </c>
      <c r="Q17540" s="7" t="str">
        <f>HYPERLINK("#Liste_rouge!A"&amp;_xlfn.XMATCH("LC",Liste_rouge!A:A,2,1),"LC")</f>
        <v>LC</v>
      </c>
      <c r="AH17540" s="4" t="str">
        <f>HYPERLINK("#Statut_biogéographique!A"&amp;_xlfn.XMATCH("P",Statut_biogéographique!A:A,2,1),"P")</f>
        <v>P</v>
      </c>
      <c r="AM17540" s="4" t="s">
        <v>375</v>
      </c>
      <c r="AN17540" s="4" t="s">
        <v>375</v>
      </c>
      <c r="AO17540" s="4" t="s">
        <v>375</v>
      </c>
      <c r="AP17540" s="4" t="s">
        <v>376</v>
      </c>
      <c r="AR17540" s="4" t="s">
        <v>377</v>
      </c>
    </row>
    <row r="17541" spans="1:44" ht="45">
      <c r="A17541" s="4" t="s">
        <v>10753</v>
      </c>
      <c r="B17541" s="4">
        <v>64124</v>
      </c>
      <c r="D17541" s="5" t="s">
        <v>21359</v>
      </c>
      <c r="E17541" s="6" t="str">
        <f>HYPERLINK("https://inpn.mnhn.fr/espece/cd_nom/64124","Ancylus fluviatilis O.F. Müller, 1774")</f>
        <v>Ancylus fluviatilis O.F. Müller, 1774</v>
      </c>
      <c r="F17541" s="5" t="s">
        <v>21360</v>
      </c>
      <c r="O17541" s="7" t="str">
        <f>HYPERLINK("#Liste_rouge!A"&amp;_xlfn.XMATCH("LC",Liste_rouge!A:A,2,1),"LC")</f>
        <v>LC</v>
      </c>
      <c r="P17541" s="7" t="str">
        <f>HYPERLINK("#Liste_rouge!A"&amp;_xlfn.XMATCH("LC",Liste_rouge!A:A,2,1),"LC")</f>
        <v>LC</v>
      </c>
      <c r="Q17541" s="7" t="str">
        <f>HYPERLINK("#Liste_rouge!A"&amp;_xlfn.XMATCH("LC",Liste_rouge!A:A,2,1),"LC")</f>
        <v>LC</v>
      </c>
      <c r="AH17541" s="4" t="str">
        <f>HYPERLINK("#Statut_biogéographique!A"&amp;_xlfn.XMATCH("P",Statut_biogéographique!A:A,2,1),"P")</f>
        <v>P</v>
      </c>
      <c r="AM17541" s="4" t="s">
        <v>375</v>
      </c>
      <c r="AN17541" s="4" t="s">
        <v>375</v>
      </c>
      <c r="AO17541" s="4" t="s">
        <v>375</v>
      </c>
      <c r="AP17541" s="4" t="s">
        <v>376</v>
      </c>
      <c r="AR17541" s="4" t="s">
        <v>377</v>
      </c>
    </row>
    <row r="17542" spans="1:44">
      <c r="A17542" s="4" t="s">
        <v>10753</v>
      </c>
      <c r="B17542" s="4">
        <v>64131</v>
      </c>
      <c r="D17542" s="5" t="s">
        <v>21361</v>
      </c>
      <c r="E17542" s="6" t="str">
        <f>HYPERLINK("https://inpn.mnhn.fr/espece/cd_nom/64131","Acroloxus lacustris (Linnaeus, 1758)")</f>
        <v>Acroloxus lacustris (Linnaeus, 1758)</v>
      </c>
      <c r="F17542" s="5" t="s">
        <v>21362</v>
      </c>
      <c r="O17542" s="7" t="str">
        <f>HYPERLINK("#Liste_rouge!A"&amp;_xlfn.XMATCH("LC",Liste_rouge!A:A,2,1),"LC")</f>
        <v>LC</v>
      </c>
      <c r="P17542" s="7" t="str">
        <f>HYPERLINK("#Liste_rouge!A"&amp;_xlfn.XMATCH("LC",Liste_rouge!A:A,2,1),"LC")</f>
        <v>LC</v>
      </c>
      <c r="Q17542" s="7" t="str">
        <f>HYPERLINK("#Liste_rouge!A"&amp;_xlfn.XMATCH("LC",Liste_rouge!A:A,2,1),"LC")</f>
        <v>LC</v>
      </c>
      <c r="AH17542" s="4" t="str">
        <f>HYPERLINK("#Statut_biogéographique!A"&amp;_xlfn.XMATCH("P",Statut_biogéographique!A:A,2,1),"P")</f>
        <v>P</v>
      </c>
      <c r="AM17542" s="4" t="s">
        <v>375</v>
      </c>
      <c r="AN17542" s="4" t="s">
        <v>375</v>
      </c>
      <c r="AO17542" s="4" t="s">
        <v>375</v>
      </c>
      <c r="AP17542" s="4" t="s">
        <v>376</v>
      </c>
      <c r="AR17542" s="4" t="s">
        <v>377</v>
      </c>
    </row>
    <row r="17543" spans="1:44">
      <c r="A17543" s="4" t="s">
        <v>10753</v>
      </c>
      <c r="B17543" s="4">
        <v>641317</v>
      </c>
      <c r="D17543" s="5" t="s">
        <v>21363</v>
      </c>
      <c r="E17543" s="6" t="str">
        <f>HYPERLINK("https://inpn.mnhn.fr/espece/cd_nom/641317","Dreissena rostriformis (Deshayes, 1838)")</f>
        <v>Dreissena rostriformis (Deshayes, 1838)</v>
      </c>
      <c r="O17543" s="7" t="str">
        <f>HYPERLINK("#Liste_rouge!A"&amp;_xlfn.XMATCH("LC",Liste_rouge!A:A,2,1),"LC")</f>
        <v>LC</v>
      </c>
      <c r="AH17543" s="4" t="str">
        <f>HYPERLINK("#Statut_biogéographique!A"&amp;_xlfn.XMATCH("I",Statut_biogéographique!A:A,2,1),"I")</f>
        <v>I</v>
      </c>
      <c r="AP17543" s="4" t="s">
        <v>376</v>
      </c>
      <c r="AR17543" s="4" t="s">
        <v>377</v>
      </c>
    </row>
    <row r="17544" spans="1:44" ht="30">
      <c r="A17544" s="4" t="s">
        <v>10753</v>
      </c>
      <c r="B17544" s="4">
        <v>641319</v>
      </c>
      <c r="D17544" s="5" t="s">
        <v>21364</v>
      </c>
      <c r="E17544" s="6" t="str">
        <f>HYPERLINK("https://inpn.mnhn.fr/espece/cd_nom/641319","Dreissena rostriformis bugensis Andrusov, 1897")</f>
        <v>Dreissena rostriformis bugensis Andrusov, 1897</v>
      </c>
      <c r="F17544" s="5" t="s">
        <v>21365</v>
      </c>
      <c r="O17544" s="7" t="str">
        <f>HYPERLINK("#Liste_rouge!A"&amp;_xlfn.XMATCH("LC",Liste_rouge!A:A,2,1),"LC")</f>
        <v>LC</v>
      </c>
      <c r="P17544" s="7" t="str">
        <f>HYPERLINK("#Liste_rouge!A"&amp;_xlfn.XMATCH("LC",Liste_rouge!A:A,2,1),"LC")</f>
        <v>LC</v>
      </c>
      <c r="Q17544" s="7" t="str">
        <f>HYPERLINK("#Liste_rouge!A"&amp;_xlfn.XMATCH("NA",Liste_rouge!A:A,2,1),"NA")</f>
        <v>NA</v>
      </c>
      <c r="AH17544" s="4" t="str">
        <f>HYPERLINK("#Statut_biogéographique!A"&amp;_xlfn.XMATCH("I",Statut_biogéographique!A:A,2,1),"I")</f>
        <v>I</v>
      </c>
      <c r="AM17544" s="4" t="s">
        <v>375</v>
      </c>
      <c r="AN17544" s="4" t="s">
        <v>375</v>
      </c>
      <c r="AO17544" s="4" t="s">
        <v>375</v>
      </c>
      <c r="AP17544" s="4" t="s">
        <v>376</v>
      </c>
      <c r="AR17544" s="4" t="s">
        <v>377</v>
      </c>
    </row>
    <row r="17545" spans="1:44" ht="45">
      <c r="A17545" s="4" t="s">
        <v>10753</v>
      </c>
      <c r="B17545" s="4">
        <v>64135</v>
      </c>
      <c r="D17545" s="5" t="s">
        <v>21366</v>
      </c>
      <c r="E17545" s="6" t="str">
        <f>HYPERLINK("https://inpn.mnhn.fr/espece/cd_nom/64135","Lauria cylindracea (da Costa, 1778)")</f>
        <v>Lauria cylindracea (da Costa, 1778)</v>
      </c>
      <c r="F17545" s="5" t="s">
        <v>21367</v>
      </c>
      <c r="Q17545" s="7" t="str">
        <f>HYPERLINK("#Liste_rouge!A"&amp;_xlfn.XMATCH("LC",Liste_rouge!A:A,2,1),"LC")</f>
        <v>LC</v>
      </c>
      <c r="AH17545" s="4" t="str">
        <f>HYPERLINK("#Statut_biogéographique!A"&amp;_xlfn.XMATCH("P",Statut_biogéographique!A:A,2,1),"P")</f>
        <v>P</v>
      </c>
      <c r="AM17545" s="4" t="s">
        <v>375</v>
      </c>
      <c r="AN17545" s="4" t="s">
        <v>375</v>
      </c>
      <c r="AO17545" s="4" t="s">
        <v>375</v>
      </c>
      <c r="AP17545" s="4" t="s">
        <v>376</v>
      </c>
      <c r="AR17545" s="4" t="s">
        <v>377</v>
      </c>
    </row>
    <row r="17546" spans="1:44" ht="45">
      <c r="A17546" s="4" t="s">
        <v>10753</v>
      </c>
      <c r="B17546" s="4">
        <v>64137</v>
      </c>
      <c r="D17546" s="5" t="s">
        <v>21368</v>
      </c>
      <c r="E17546" s="6" t="str">
        <f>HYPERLINK("https://inpn.mnhn.fr/espece/cd_nom/64137","Pupilla muscorum (Linnaeus, 1758)")</f>
        <v>Pupilla muscorum (Linnaeus, 1758)</v>
      </c>
      <c r="F17546" s="5" t="s">
        <v>21369</v>
      </c>
      <c r="O17546" s="7" t="str">
        <f>HYPERLINK("#Liste_rouge!A"&amp;_xlfn.XMATCH("LC",Liste_rouge!A:A,2,1),"LC")</f>
        <v>LC</v>
      </c>
      <c r="P17546" s="7" t="str">
        <f>HYPERLINK("#Liste_rouge!A"&amp;_xlfn.XMATCH("LC",Liste_rouge!A:A,2,1),"LC")</f>
        <v>LC</v>
      </c>
      <c r="Q17546" s="7" t="str">
        <f>HYPERLINK("#Liste_rouge!A"&amp;_xlfn.XMATCH("LC",Liste_rouge!A:A,2,1),"LC")</f>
        <v>LC</v>
      </c>
      <c r="AH17546" s="4" t="str">
        <f>HYPERLINK("#Statut_biogéographique!A"&amp;_xlfn.XMATCH("P",Statut_biogéographique!A:A,2,1),"P")</f>
        <v>P</v>
      </c>
      <c r="AM17546" s="4" t="s">
        <v>375</v>
      </c>
      <c r="AN17546" s="4" t="s">
        <v>375</v>
      </c>
      <c r="AO17546" s="4" t="s">
        <v>375</v>
      </c>
      <c r="AP17546" s="4" t="s">
        <v>376</v>
      </c>
      <c r="AR17546" s="4" t="s">
        <v>377</v>
      </c>
    </row>
    <row r="17547" spans="1:44" ht="30">
      <c r="A17547" s="4" t="s">
        <v>10753</v>
      </c>
      <c r="B17547" s="4">
        <v>64140</v>
      </c>
      <c r="D17547" s="5" t="s">
        <v>21370</v>
      </c>
      <c r="E17547" s="6" t="str">
        <f>HYPERLINK("https://inpn.mnhn.fr/espece/cd_nom/64140","Vertigo angustior Jeffreys, 1830")</f>
        <v>Vertigo angustior Jeffreys, 1830</v>
      </c>
      <c r="F17547" s="5" t="s">
        <v>21371</v>
      </c>
      <c r="K17547" s="4" t="str">
        <f>HYPERLINK("#Réglementation!A"&amp;_xlfn.XMATCH("CDH2",Réglementation!A:A,2,1),"CDH2")</f>
        <v>CDH2</v>
      </c>
      <c r="O17547" s="7" t="str">
        <f>HYPERLINK("#Liste_rouge!A"&amp;_xlfn.XMATCH("NT",Liste_rouge!A:A,2,1),"NT")</f>
        <v>NT</v>
      </c>
      <c r="P17547" s="7" t="str">
        <f>HYPERLINK("#Liste_rouge!A"&amp;_xlfn.XMATCH("VU",Liste_rouge!A:A,2,1),"VU")</f>
        <v>VU</v>
      </c>
      <c r="Q17547" s="7" t="str">
        <f>HYPERLINK("#Liste_rouge!A"&amp;_xlfn.XMATCH("LC",Liste_rouge!A:A,2,1),"LC")</f>
        <v>LC</v>
      </c>
      <c r="AE17547" s="4" t="str">
        <f>HYPERLINK("#SCAP!A"&amp;_xlfn.XMATCH("1+",SCAP!A:A,2,1),"1+")</f>
        <v>1+</v>
      </c>
      <c r="AH17547" s="4" t="str">
        <f>HYPERLINK("#Statut_biogéographique!A"&amp;_xlfn.XMATCH("P",Statut_biogéographique!A:A,2,1),"P")</f>
        <v>P</v>
      </c>
      <c r="AM17547" s="4" t="s">
        <v>375</v>
      </c>
      <c r="AN17547" s="4" t="s">
        <v>375</v>
      </c>
      <c r="AO17547" s="4" t="s">
        <v>375</v>
      </c>
      <c r="AP17547" s="4" t="s">
        <v>376</v>
      </c>
      <c r="AR17547" s="4" t="s">
        <v>377</v>
      </c>
    </row>
    <row r="17548" spans="1:44" ht="45">
      <c r="A17548" s="4" t="s">
        <v>10753</v>
      </c>
      <c r="B17548" s="4">
        <v>64141</v>
      </c>
      <c r="D17548" s="5" t="s">
        <v>21372</v>
      </c>
      <c r="E17548" s="6" t="str">
        <f>HYPERLINK("https://inpn.mnhn.fr/espece/cd_nom/64141","Vertigo moulinsiana (Dupuy, 1849)")</f>
        <v>Vertigo moulinsiana (Dupuy, 1849)</v>
      </c>
      <c r="F17548" s="5" t="s">
        <v>21373</v>
      </c>
      <c r="K17548" s="4" t="str">
        <f>HYPERLINK("#Réglementation!A"&amp;_xlfn.XMATCH("CDH2",Réglementation!A:A,2,1),"CDH2")</f>
        <v>CDH2</v>
      </c>
      <c r="O17548" s="7" t="str">
        <f>HYPERLINK("#Liste_rouge!A"&amp;_xlfn.XMATCH("VU",Liste_rouge!A:A,2,1),"VU")</f>
        <v>VU</v>
      </c>
      <c r="P17548" s="7" t="str">
        <f>HYPERLINK("#Liste_rouge!A"&amp;_xlfn.XMATCH("VU",Liste_rouge!A:A,2,1),"VU")</f>
        <v>VU</v>
      </c>
      <c r="Q17548" s="7" t="str">
        <f>HYPERLINK("#Liste_rouge!A"&amp;_xlfn.XMATCH("LC",Liste_rouge!A:A,2,1),"LC")</f>
        <v>LC</v>
      </c>
      <c r="AE17548" s="4" t="str">
        <f>HYPERLINK("#SCAP!A"&amp;_xlfn.XMATCH("1+",SCAP!A:A,2,1),"1+")</f>
        <v>1+</v>
      </c>
      <c r="AH17548" s="4" t="str">
        <f>HYPERLINK("#Statut_biogéographique!A"&amp;_xlfn.XMATCH("P",Statut_biogéographique!A:A,2,1),"P")</f>
        <v>P</v>
      </c>
      <c r="AM17548" s="4" t="s">
        <v>375</v>
      </c>
      <c r="AN17548" s="4" t="s">
        <v>375</v>
      </c>
      <c r="AO17548" s="4" t="s">
        <v>375</v>
      </c>
      <c r="AP17548" s="4" t="s">
        <v>376</v>
      </c>
      <c r="AR17548" s="4" t="s">
        <v>377</v>
      </c>
    </row>
    <row r="17549" spans="1:44" ht="30">
      <c r="A17549" s="4" t="s">
        <v>10753</v>
      </c>
      <c r="B17549" s="4">
        <v>64144</v>
      </c>
      <c r="D17549" s="5" t="s">
        <v>21374</v>
      </c>
      <c r="E17549" s="6" t="str">
        <f>HYPERLINK("https://inpn.mnhn.fr/espece/cd_nom/64144","Vallonia costata (O.F. Müller, 1774)")</f>
        <v>Vallonia costata (O.F. Müller, 1774)</v>
      </c>
      <c r="F17549" s="5" t="s">
        <v>21375</v>
      </c>
      <c r="P17549" s="7" t="str">
        <f>HYPERLINK("#Liste_rouge!A"&amp;_xlfn.XMATCH("LC",Liste_rouge!A:A,2,1),"LC")</f>
        <v>LC</v>
      </c>
      <c r="Q17549" s="7" t="str">
        <f>HYPERLINK("#Liste_rouge!A"&amp;_xlfn.XMATCH("LC",Liste_rouge!A:A,2,1),"LC")</f>
        <v>LC</v>
      </c>
      <c r="AH17549" s="4" t="str">
        <f>HYPERLINK("#Statut_biogéographique!A"&amp;_xlfn.XMATCH("P",Statut_biogéographique!A:A,2,1),"P")</f>
        <v>P</v>
      </c>
      <c r="AM17549" s="4" t="s">
        <v>375</v>
      </c>
      <c r="AN17549" s="4" t="s">
        <v>375</v>
      </c>
      <c r="AO17549" s="4" t="s">
        <v>375</v>
      </c>
      <c r="AP17549" s="4" t="s">
        <v>376</v>
      </c>
      <c r="AR17549" s="4" t="s">
        <v>377</v>
      </c>
    </row>
    <row r="17550" spans="1:44" ht="30">
      <c r="A17550" s="4" t="s">
        <v>10753</v>
      </c>
      <c r="B17550" s="4">
        <v>64145</v>
      </c>
      <c r="D17550" s="5" t="s">
        <v>21376</v>
      </c>
      <c r="E17550" s="6" t="str">
        <f>HYPERLINK("https://inpn.mnhn.fr/espece/cd_nom/64145","Vallonia pulchella (O.F. Müller, 1774)")</f>
        <v>Vallonia pulchella (O.F. Müller, 1774)</v>
      </c>
      <c r="F17550" s="5" t="s">
        <v>21377</v>
      </c>
      <c r="P17550" s="7" t="str">
        <f>HYPERLINK("#Liste_rouge!A"&amp;_xlfn.XMATCH("LC",Liste_rouge!A:A,2,1),"LC")</f>
        <v>LC</v>
      </c>
      <c r="Q17550" s="7" t="str">
        <f>HYPERLINK("#Liste_rouge!A"&amp;_xlfn.XMATCH("LC",Liste_rouge!A:A,2,1),"LC")</f>
        <v>LC</v>
      </c>
      <c r="AH17550" s="4" t="str">
        <f>HYPERLINK("#Statut_biogéographique!A"&amp;_xlfn.XMATCH("P",Statut_biogéographique!A:A,2,1),"P")</f>
        <v>P</v>
      </c>
      <c r="AM17550" s="4" t="s">
        <v>375</v>
      </c>
      <c r="AN17550" s="4" t="s">
        <v>375</v>
      </c>
      <c r="AO17550" s="4" t="s">
        <v>375</v>
      </c>
      <c r="AP17550" s="4" t="s">
        <v>376</v>
      </c>
      <c r="AR17550" s="4" t="s">
        <v>377</v>
      </c>
    </row>
    <row r="17551" spans="1:44" ht="30">
      <c r="A17551" s="4" t="s">
        <v>10753</v>
      </c>
      <c r="B17551" s="4">
        <v>64156</v>
      </c>
      <c r="D17551" s="5" t="s">
        <v>21378</v>
      </c>
      <c r="E17551" s="6" t="str">
        <f>HYPERLINK("https://inpn.mnhn.fr/espece/cd_nom/64156","Cochlicopa lubrica (O.F. Müller, 1774)")</f>
        <v>Cochlicopa lubrica (O.F. Müller, 1774)</v>
      </c>
      <c r="F17551" s="5" t="s">
        <v>21379</v>
      </c>
      <c r="P17551" s="7" t="str">
        <f>HYPERLINK("#Liste_rouge!A"&amp;_xlfn.XMATCH("LC",Liste_rouge!A:A,2,1),"LC")</f>
        <v>LC</v>
      </c>
      <c r="Q17551" s="7" t="str">
        <f>HYPERLINK("#Liste_rouge!A"&amp;_xlfn.XMATCH("LC",Liste_rouge!A:A,2,1),"LC")</f>
        <v>LC</v>
      </c>
      <c r="AH17551" s="4" t="str">
        <f>HYPERLINK("#Statut_biogéographique!A"&amp;_xlfn.XMATCH("P",Statut_biogéographique!A:A,2,1),"P")</f>
        <v>P</v>
      </c>
      <c r="AM17551" s="4" t="s">
        <v>375</v>
      </c>
      <c r="AN17551" s="4" t="s">
        <v>375</v>
      </c>
      <c r="AO17551" s="4" t="s">
        <v>375</v>
      </c>
      <c r="AP17551" s="4" t="s">
        <v>376</v>
      </c>
      <c r="AR17551" s="4" t="s">
        <v>377</v>
      </c>
    </row>
    <row r="17552" spans="1:44">
      <c r="A17552" s="4" t="s">
        <v>10753</v>
      </c>
      <c r="B17552" s="4">
        <v>64158</v>
      </c>
      <c r="D17552" s="5" t="s">
        <v>21380</v>
      </c>
      <c r="E17552" s="6" t="str">
        <f>HYPERLINK("https://inpn.mnhn.fr/espece/cd_nom/64158","Cochlicopa nitens (M. von Gallenstein, 1848)")</f>
        <v>Cochlicopa nitens (M. von Gallenstein, 1848)</v>
      </c>
      <c r="F17552" s="5" t="s">
        <v>21381</v>
      </c>
      <c r="P17552" s="7" t="str">
        <f>HYPERLINK("#Liste_rouge!A"&amp;_xlfn.XMATCH("LC",Liste_rouge!A:A,2,1),"LC")</f>
        <v>LC</v>
      </c>
      <c r="Q17552" s="7" t="str">
        <f>HYPERLINK("#Liste_rouge!A"&amp;_xlfn.XMATCH("DD",Liste_rouge!A:A,2,1),"DD")</f>
        <v>DD</v>
      </c>
      <c r="AE17552" s="4" t="str">
        <f>HYPERLINK("#SCAP!A"&amp;_xlfn.XMATCH("6",SCAP!A:A,2,1),"6")</f>
        <v>6</v>
      </c>
      <c r="AH17552" s="4" t="str">
        <f>HYPERLINK("#Statut_biogéographique!A"&amp;_xlfn.XMATCH("P",Statut_biogéographique!A:A,2,1),"P")</f>
        <v>P</v>
      </c>
      <c r="AP17552" s="4" t="s">
        <v>376</v>
      </c>
      <c r="AR17552" s="4" t="s">
        <v>377</v>
      </c>
    </row>
    <row r="17553" spans="1:44">
      <c r="A17553" s="4" t="s">
        <v>10753</v>
      </c>
      <c r="B17553" s="4">
        <v>64161</v>
      </c>
      <c r="D17553" s="5" t="s">
        <v>21382</v>
      </c>
      <c r="E17553" s="6" t="str">
        <f>HYPERLINK("https://inpn.mnhn.fr/espece/cd_nom/64161","Clausilia bidentata (Strøm, 1765)")</f>
        <v>Clausilia bidentata (Strøm, 1765)</v>
      </c>
      <c r="F17553" s="5" t="s">
        <v>11884</v>
      </c>
      <c r="O17553" s="7" t="str">
        <f>HYPERLINK("#Liste_rouge!A"&amp;_xlfn.XMATCH("LC",Liste_rouge!A:A,2,1),"LC")</f>
        <v>LC</v>
      </c>
      <c r="P17553" s="7" t="str">
        <f>HYPERLINK("#Liste_rouge!A"&amp;_xlfn.XMATCH("LC",Liste_rouge!A:A,2,1),"LC")</f>
        <v>LC</v>
      </c>
      <c r="Q17553" s="7" t="str">
        <f>HYPERLINK("#Liste_rouge!A"&amp;_xlfn.XMATCH("LC",Liste_rouge!A:A,2,1),"LC")</f>
        <v>LC</v>
      </c>
      <c r="AH17553" s="4" t="str">
        <f>HYPERLINK("#Statut_biogéographique!A"&amp;_xlfn.XMATCH("P",Statut_biogéographique!A:A,2,1),"P")</f>
        <v>P</v>
      </c>
      <c r="AM17553" s="4" t="s">
        <v>375</v>
      </c>
      <c r="AN17553" s="4" t="s">
        <v>375</v>
      </c>
      <c r="AO17553" s="4" t="s">
        <v>375</v>
      </c>
      <c r="AP17553" s="4" t="s">
        <v>376</v>
      </c>
      <c r="AR17553" s="4" t="s">
        <v>377</v>
      </c>
    </row>
    <row r="17554" spans="1:44">
      <c r="A17554" s="4" t="s">
        <v>10753</v>
      </c>
      <c r="B17554" s="4">
        <v>64169</v>
      </c>
      <c r="D17554" s="5" t="s">
        <v>21383</v>
      </c>
      <c r="E17554" s="6" t="str">
        <f>HYPERLINK("https://inpn.mnhn.fr/espece/cd_nom/64169","Succinea putris (Linnaeus, 1758)")</f>
        <v>Succinea putris (Linnaeus, 1758)</v>
      </c>
      <c r="F17554" s="5" t="s">
        <v>21384</v>
      </c>
      <c r="P17554" s="7" t="str">
        <f>HYPERLINK("#Liste_rouge!A"&amp;_xlfn.XMATCH("LC",Liste_rouge!A:A,2,1),"LC")</f>
        <v>LC</v>
      </c>
      <c r="Q17554" s="7" t="str">
        <f>HYPERLINK("#Liste_rouge!A"&amp;_xlfn.XMATCH("LC",Liste_rouge!A:A,2,1),"LC")</f>
        <v>LC</v>
      </c>
      <c r="AH17554" s="4" t="str">
        <f>HYPERLINK("#Statut_biogéographique!A"&amp;_xlfn.XMATCH("P",Statut_biogéographique!A:A,2,1),"P")</f>
        <v>P</v>
      </c>
      <c r="AM17554" s="4" t="s">
        <v>375</v>
      </c>
      <c r="AN17554" s="4" t="s">
        <v>375</v>
      </c>
      <c r="AO17554" s="4" t="s">
        <v>375</v>
      </c>
      <c r="AP17554" s="4" t="s">
        <v>376</v>
      </c>
      <c r="AR17554" s="4" t="s">
        <v>377</v>
      </c>
    </row>
    <row r="17555" spans="1:44">
      <c r="A17555" s="4" t="s">
        <v>10753</v>
      </c>
      <c r="B17555" s="4">
        <v>64173</v>
      </c>
      <c r="D17555" s="5" t="s">
        <v>21385</v>
      </c>
      <c r="E17555" s="6" t="str">
        <f>HYPERLINK("https://inpn.mnhn.fr/espece/cd_nom/64173","Discus rotundatus (O.F. Müller, 1774)")</f>
        <v>Discus rotundatus (O.F. Müller, 1774)</v>
      </c>
      <c r="F17555" s="5" t="s">
        <v>11898</v>
      </c>
      <c r="O17555" s="7" t="str">
        <f>HYPERLINK("#Liste_rouge!A"&amp;_xlfn.XMATCH("LC",Liste_rouge!A:A,2,1),"LC")</f>
        <v>LC</v>
      </c>
      <c r="P17555" s="7" t="str">
        <f>HYPERLINK("#Liste_rouge!A"&amp;_xlfn.XMATCH("LC",Liste_rouge!A:A,2,1),"LC")</f>
        <v>LC</v>
      </c>
      <c r="Q17555" s="7" t="str">
        <f>HYPERLINK("#Liste_rouge!A"&amp;_xlfn.XMATCH("LC",Liste_rouge!A:A,2,1),"LC")</f>
        <v>LC</v>
      </c>
      <c r="AH17555" s="4" t="str">
        <f>HYPERLINK("#Statut_biogéographique!A"&amp;_xlfn.XMATCH("P",Statut_biogéographique!A:A,2,1),"P")</f>
        <v>P</v>
      </c>
      <c r="AM17555" s="4" t="s">
        <v>375</v>
      </c>
      <c r="AN17555" s="4" t="s">
        <v>375</v>
      </c>
      <c r="AO17555" s="4" t="s">
        <v>375</v>
      </c>
      <c r="AP17555" s="4" t="s">
        <v>376</v>
      </c>
      <c r="AR17555" s="4" t="s">
        <v>377</v>
      </c>
    </row>
    <row r="17556" spans="1:44">
      <c r="A17556" s="4" t="s">
        <v>10753</v>
      </c>
      <c r="B17556" s="4">
        <v>64176</v>
      </c>
      <c r="D17556" s="5" t="s">
        <v>21386</v>
      </c>
      <c r="E17556" s="6" t="str">
        <f>HYPERLINK("https://inpn.mnhn.fr/espece/cd_nom/64176","Arion ater (Linnaeus, 1758)")</f>
        <v>Arion ater (Linnaeus, 1758)</v>
      </c>
      <c r="O17556" s="7" t="str">
        <f>HYPERLINK("#Liste_rouge!A"&amp;_xlfn.XMATCH("LC",Liste_rouge!A:A,2,1),"LC")</f>
        <v>LC</v>
      </c>
      <c r="P17556" s="7" t="str">
        <f>HYPERLINK("#Liste_rouge!A"&amp;_xlfn.XMATCH("LC",Liste_rouge!A:A,2,1),"LC")</f>
        <v>LC</v>
      </c>
      <c r="Q17556" s="7" t="str">
        <f>HYPERLINK("#Liste_rouge!A"&amp;_xlfn.XMATCH("DD",Liste_rouge!A:A,2,1),"DD")</f>
        <v>DD</v>
      </c>
      <c r="AH17556" s="4" t="str">
        <f>HYPERLINK("#Statut_biogéographique!A"&amp;_xlfn.XMATCH("D",Statut_biogéographique!A:A,2,1),"D")</f>
        <v>D</v>
      </c>
      <c r="AP17556" s="4" t="s">
        <v>376</v>
      </c>
      <c r="AR17556" s="4" t="s">
        <v>377</v>
      </c>
    </row>
    <row r="17557" spans="1:44" ht="30">
      <c r="A17557" s="4" t="s">
        <v>10753</v>
      </c>
      <c r="B17557" s="4">
        <v>64179</v>
      </c>
      <c r="D17557" s="5" t="s">
        <v>21387</v>
      </c>
      <c r="E17557" s="6" t="str">
        <f>HYPERLINK("https://inpn.mnhn.fr/espece/cd_nom/64179","Arion distinctus Mabille, 1868")</f>
        <v>Arion distinctus Mabille, 1868</v>
      </c>
      <c r="F17557" s="5" t="s">
        <v>21388</v>
      </c>
      <c r="O17557" s="7" t="str">
        <f>HYPERLINK("#Liste_rouge!A"&amp;_xlfn.XMATCH("DD",Liste_rouge!A:A,2,1),"DD (cd_nom 929807) - LC (cd_nom 64179)")</f>
        <v>DD (cd_nom 929807) - LC (cd_nom 64179)</v>
      </c>
      <c r="P17557" s="7" t="str">
        <f>HYPERLINK("#Liste_rouge!A"&amp;_xlfn.XMATCH("DD",Liste_rouge!A:A,2,1),"DD (cd_nom 929807) - LC (cd_nom 64179)")</f>
        <v>DD (cd_nom 929807) - LC (cd_nom 64179)</v>
      </c>
      <c r="Q17557" s="7" t="str">
        <f>HYPERLINK("#Liste_rouge!A"&amp;_xlfn.XMATCH("LC",Liste_rouge!A:A,2,1),"LC")</f>
        <v>LC</v>
      </c>
      <c r="AH17557" s="4" t="str">
        <f>HYPERLINK("#Statut_biogéographique!A"&amp;_xlfn.XMATCH("P",Statut_biogéographique!A:A,2,1),"P")</f>
        <v>P</v>
      </c>
      <c r="AP17557" s="4" t="s">
        <v>376</v>
      </c>
      <c r="AR17557" s="4" t="s">
        <v>377</v>
      </c>
    </row>
    <row r="17558" spans="1:44" ht="30">
      <c r="A17558" s="4" t="s">
        <v>10753</v>
      </c>
      <c r="B17558" s="4">
        <v>64180</v>
      </c>
      <c r="D17558" s="5" t="s">
        <v>21389</v>
      </c>
      <c r="E17558" s="6" t="str">
        <f>HYPERLINK("https://inpn.mnhn.fr/espece/cd_nom/64180","Arion fasciatus (Nilsson, 1823)")</f>
        <v>Arion fasciatus (Nilsson, 1823)</v>
      </c>
      <c r="F17558" s="5" t="s">
        <v>21390</v>
      </c>
      <c r="O17558" s="7" t="str">
        <f>HYPERLINK("#Liste_rouge!A"&amp;_xlfn.XMATCH("LC",Liste_rouge!A:A,2,1),"LC")</f>
        <v>LC</v>
      </c>
      <c r="P17558" s="7" t="str">
        <f>HYPERLINK("#Liste_rouge!A"&amp;_xlfn.XMATCH("LC",Liste_rouge!A:A,2,1),"LC")</f>
        <v>LC</v>
      </c>
      <c r="Q17558" s="7" t="str">
        <f>HYPERLINK("#Liste_rouge!A"&amp;_xlfn.XMATCH("LC",Liste_rouge!A:A,2,1),"LC")</f>
        <v>LC</v>
      </c>
      <c r="AH17558" s="4" t="str">
        <f>HYPERLINK("#Statut_biogéographique!A"&amp;_xlfn.XMATCH("P",Statut_biogéographique!A:A,2,1),"P")</f>
        <v>P</v>
      </c>
      <c r="AP17558" s="4" t="s">
        <v>376</v>
      </c>
      <c r="AR17558" s="4" t="s">
        <v>377</v>
      </c>
    </row>
    <row r="17559" spans="1:44">
      <c r="A17559" s="4" t="s">
        <v>10753</v>
      </c>
      <c r="B17559" s="4">
        <v>64181</v>
      </c>
      <c r="D17559" s="5" t="s">
        <v>21391</v>
      </c>
      <c r="E17559" s="6" t="str">
        <f>HYPERLINK("https://inpn.mnhn.fr/espece/cd_nom/64181","Arion hortensis Férussac, 1819")</f>
        <v>Arion hortensis Férussac, 1819</v>
      </c>
      <c r="F17559" s="5" t="s">
        <v>21392</v>
      </c>
      <c r="O17559" s="7" t="str">
        <f>HYPERLINK("#Liste_rouge!A"&amp;_xlfn.XMATCH("LC",Liste_rouge!A:A,2,1),"LC")</f>
        <v>LC</v>
      </c>
      <c r="P17559" s="7" t="str">
        <f>HYPERLINK("#Liste_rouge!A"&amp;_xlfn.XMATCH("LC",Liste_rouge!A:A,2,1),"LC")</f>
        <v>LC</v>
      </c>
      <c r="Q17559" s="7" t="str">
        <f>HYPERLINK("#Liste_rouge!A"&amp;_xlfn.XMATCH("LC",Liste_rouge!A:A,2,1),"LC")</f>
        <v>LC</v>
      </c>
      <c r="AH17559" s="4" t="str">
        <f>HYPERLINK("#Statut_biogéographique!A"&amp;_xlfn.XMATCH("P",Statut_biogéographique!A:A,2,1),"P")</f>
        <v>P</v>
      </c>
      <c r="AP17559" s="4" t="s">
        <v>376</v>
      </c>
      <c r="AR17559" s="4" t="s">
        <v>377</v>
      </c>
    </row>
    <row r="17560" spans="1:44">
      <c r="A17560" s="4" t="s">
        <v>10753</v>
      </c>
      <c r="B17560" s="4">
        <v>64182</v>
      </c>
      <c r="D17560" s="5" t="s">
        <v>21393</v>
      </c>
      <c r="E17560" s="6" t="str">
        <f>HYPERLINK("https://inpn.mnhn.fr/espece/cd_nom/64182","Arion intermedius Normand, 1852")</f>
        <v>Arion intermedius Normand, 1852</v>
      </c>
      <c r="F17560" s="5" t="s">
        <v>21394</v>
      </c>
      <c r="O17560" s="7" t="str">
        <f>HYPERLINK("#Liste_rouge!A"&amp;_xlfn.XMATCH("LC",Liste_rouge!A:A,2,1),"LC")</f>
        <v>LC</v>
      </c>
      <c r="P17560" s="7" t="str">
        <f>HYPERLINK("#Liste_rouge!A"&amp;_xlfn.XMATCH("LC",Liste_rouge!A:A,2,1),"LC")</f>
        <v>LC</v>
      </c>
      <c r="Q17560" s="7" t="str">
        <f>HYPERLINK("#Liste_rouge!A"&amp;_xlfn.XMATCH("LC",Liste_rouge!A:A,2,1),"LC")</f>
        <v>LC</v>
      </c>
      <c r="AH17560" s="4" t="str">
        <f>HYPERLINK("#Statut_biogéographique!A"&amp;_xlfn.XMATCH("P",Statut_biogéographique!A:A,2,1),"P")</f>
        <v>P</v>
      </c>
      <c r="AP17560" s="4" t="s">
        <v>376</v>
      </c>
      <c r="AR17560" s="4" t="s">
        <v>377</v>
      </c>
    </row>
    <row r="17561" spans="1:44">
      <c r="A17561" s="4" t="s">
        <v>10753</v>
      </c>
      <c r="B17561" s="4">
        <v>64185</v>
      </c>
      <c r="D17561" s="5" t="s">
        <v>21395</v>
      </c>
      <c r="E17561" s="6" t="str">
        <f>HYPERLINK("https://inpn.mnhn.fr/espece/cd_nom/64185","Arion rufus (Linnaeus, 1758)")</f>
        <v>Arion rufus (Linnaeus, 1758)</v>
      </c>
      <c r="F17561" s="5" t="s">
        <v>21396</v>
      </c>
      <c r="O17561" s="7" t="str">
        <f>HYPERLINK("#Liste_rouge!A"&amp;_xlfn.XMATCH("LC",Liste_rouge!A:A,2,1),"LC")</f>
        <v>LC</v>
      </c>
      <c r="P17561" s="7" t="str">
        <f>HYPERLINK("#Liste_rouge!A"&amp;_xlfn.XMATCH("LC",Liste_rouge!A:A,2,1),"LC")</f>
        <v>LC</v>
      </c>
      <c r="Q17561" s="7" t="str">
        <f>HYPERLINK("#Liste_rouge!A"&amp;_xlfn.XMATCH("LC",Liste_rouge!A:A,2,1),"LC")</f>
        <v>LC</v>
      </c>
      <c r="AH17561" s="4" t="str">
        <f>HYPERLINK("#Statut_biogéographique!A"&amp;_xlfn.XMATCH("P",Statut_biogéographique!A:A,2,1),"P")</f>
        <v>P</v>
      </c>
      <c r="AP17561" s="4" t="s">
        <v>376</v>
      </c>
      <c r="AR17561" s="4" t="s">
        <v>377</v>
      </c>
    </row>
    <row r="17562" spans="1:44">
      <c r="A17562" s="4" t="s">
        <v>10753</v>
      </c>
      <c r="B17562" s="4">
        <v>64187</v>
      </c>
      <c r="D17562" s="5" t="s">
        <v>21397</v>
      </c>
      <c r="E17562" s="6" t="str">
        <f>HYPERLINK("https://inpn.mnhn.fr/espece/cd_nom/64187","Arion subfuscus (Draparnaud, 1805)")</f>
        <v>Arion subfuscus (Draparnaud, 1805)</v>
      </c>
      <c r="F17562" s="5" t="s">
        <v>21398</v>
      </c>
      <c r="O17562" s="7" t="str">
        <f>HYPERLINK("#Liste_rouge!A"&amp;_xlfn.XMATCH("LC",Liste_rouge!A:A,2,1),"LC")</f>
        <v>LC</v>
      </c>
      <c r="P17562" s="7" t="str">
        <f>HYPERLINK("#Liste_rouge!A"&amp;_xlfn.XMATCH("LC",Liste_rouge!A:A,2,1),"LC")</f>
        <v>LC</v>
      </c>
      <c r="Q17562" s="7" t="str">
        <f>HYPERLINK("#Liste_rouge!A"&amp;_xlfn.XMATCH("LC",Liste_rouge!A:A,2,1),"LC")</f>
        <v>LC</v>
      </c>
      <c r="AH17562" s="4" t="str">
        <f>HYPERLINK("#Statut_biogéographique!A"&amp;_xlfn.XMATCH("P",Statut_biogéographique!A:A,2,1),"P")</f>
        <v>P</v>
      </c>
      <c r="AP17562" s="4" t="s">
        <v>376</v>
      </c>
      <c r="AR17562" s="4" t="s">
        <v>377</v>
      </c>
    </row>
    <row r="17563" spans="1:44">
      <c r="A17563" s="4" t="s">
        <v>10753</v>
      </c>
      <c r="B17563" s="4">
        <v>64193</v>
      </c>
      <c r="D17563" s="5" t="s">
        <v>21399</v>
      </c>
      <c r="E17563" s="6" t="str">
        <f>HYPERLINK("https://inpn.mnhn.fr/espece/cd_nom/64193","Oxychilus alliarius (J.S. Miller, 1822)")</f>
        <v>Oxychilus alliarius (J.S. Miller, 1822)</v>
      </c>
      <c r="F17563" s="5" t="s">
        <v>21400</v>
      </c>
      <c r="O17563" s="7" t="str">
        <f>HYPERLINK("#Liste_rouge!A"&amp;_xlfn.XMATCH("LC",Liste_rouge!A:A,2,1),"LC")</f>
        <v>LC</v>
      </c>
      <c r="P17563" s="7" t="str">
        <f>HYPERLINK("#Liste_rouge!A"&amp;_xlfn.XMATCH("LC",Liste_rouge!A:A,2,1),"LC")</f>
        <v>LC</v>
      </c>
      <c r="Q17563" s="7" t="str">
        <f>HYPERLINK("#Liste_rouge!A"&amp;_xlfn.XMATCH("LC",Liste_rouge!A:A,2,1),"LC")</f>
        <v>LC</v>
      </c>
      <c r="AH17563" s="4" t="str">
        <f>HYPERLINK("#Statut_biogéographique!A"&amp;_xlfn.XMATCH("P",Statut_biogéographique!A:A,2,1),"P")</f>
        <v>P</v>
      </c>
      <c r="AM17563" s="4" t="s">
        <v>375</v>
      </c>
      <c r="AN17563" s="4" t="s">
        <v>375</v>
      </c>
      <c r="AO17563" s="4" t="s">
        <v>375</v>
      </c>
      <c r="AP17563" s="4" t="s">
        <v>376</v>
      </c>
      <c r="AR17563" s="4" t="s">
        <v>377</v>
      </c>
    </row>
    <row r="17564" spans="1:44">
      <c r="A17564" s="4" t="s">
        <v>10753</v>
      </c>
      <c r="B17564" s="4">
        <v>64194</v>
      </c>
      <c r="D17564" s="5" t="s">
        <v>21401</v>
      </c>
      <c r="E17564" s="6" t="str">
        <f>HYPERLINK("https://inpn.mnhn.fr/espece/cd_nom/64194","Oxychilus cellarius (O.F. Müller, 1774)")</f>
        <v>Oxychilus cellarius (O.F. Müller, 1774)</v>
      </c>
      <c r="F17564" s="5" t="s">
        <v>21402</v>
      </c>
      <c r="O17564" s="7" t="str">
        <f>HYPERLINK("#Liste_rouge!A"&amp;_xlfn.XMATCH("LC",Liste_rouge!A:A,2,1),"LC")</f>
        <v>LC</v>
      </c>
      <c r="P17564" s="7" t="str">
        <f>HYPERLINK("#Liste_rouge!A"&amp;_xlfn.XMATCH("LC",Liste_rouge!A:A,2,1),"LC")</f>
        <v>LC</v>
      </c>
      <c r="Q17564" s="7" t="str">
        <f>HYPERLINK("#Liste_rouge!A"&amp;_xlfn.XMATCH("LC",Liste_rouge!A:A,2,1),"LC")</f>
        <v>LC</v>
      </c>
      <c r="AH17564" s="4" t="str">
        <f>HYPERLINK("#Statut_biogéographique!A"&amp;_xlfn.XMATCH("P",Statut_biogéographique!A:A,2,1),"P")</f>
        <v>P</v>
      </c>
      <c r="AM17564" s="4" t="s">
        <v>375</v>
      </c>
      <c r="AN17564" s="4" t="s">
        <v>375</v>
      </c>
      <c r="AO17564" s="4" t="s">
        <v>375</v>
      </c>
      <c r="AP17564" s="4" t="s">
        <v>376</v>
      </c>
      <c r="AR17564" s="4" t="s">
        <v>377</v>
      </c>
    </row>
    <row r="17565" spans="1:44" ht="30">
      <c r="A17565" s="4" t="s">
        <v>10753</v>
      </c>
      <c r="B17565" s="4">
        <v>641941</v>
      </c>
      <c r="D17565" s="5" t="s">
        <v>21403</v>
      </c>
      <c r="E17565" s="6" t="str">
        <f>HYPERLINK("https://inpn.mnhn.fr/espece/cd_nom/641941","Colias crocea (Geoffroy in Fourcroy, 1785)")</f>
        <v>Colias crocea (Geoffroy in Fourcroy, 1785)</v>
      </c>
      <c r="F17565" s="5" t="s">
        <v>21404</v>
      </c>
      <c r="P17565" s="7" t="str">
        <f>HYPERLINK("#Liste_rouge!A"&amp;_xlfn.XMATCH("LC",Liste_rouge!A:A,2,1),"LC")</f>
        <v>LC</v>
      </c>
      <c r="Q17565" s="7" t="str">
        <f>HYPERLINK("#Liste_rouge!A"&amp;_xlfn.XMATCH("LC",Liste_rouge!A:A,2,1),"LC")</f>
        <v>LC</v>
      </c>
      <c r="T17565" s="7" t="str">
        <f>HYPERLINK("#Liste_rouge!A"&amp;_xlfn.XMATCH("LC",Liste_rouge!A:A,2,1),"LC")</f>
        <v>LC</v>
      </c>
      <c r="V17565" s="7" t="str">
        <f>HYPERLINK("#Liste_rouge!A"&amp;_xlfn.XMATCH("LC",Liste_rouge!A:A,2,1),"LC")</f>
        <v>LC</v>
      </c>
      <c r="AH17565" s="4" t="str">
        <f>HYPERLINK("#Statut_biogéographique!A"&amp;_xlfn.XMATCH("P",Statut_biogéographique!A:A,2,1),"P")</f>
        <v>P</v>
      </c>
      <c r="AM17565" s="4" t="s">
        <v>375</v>
      </c>
      <c r="AN17565" s="4" t="s">
        <v>375</v>
      </c>
      <c r="AO17565" s="4" t="s">
        <v>375</v>
      </c>
      <c r="AP17565" s="4" t="s">
        <v>376</v>
      </c>
      <c r="AR17565" s="4" t="s">
        <v>377</v>
      </c>
    </row>
    <row r="17566" spans="1:44" ht="60">
      <c r="A17566" s="4" t="s">
        <v>10753</v>
      </c>
      <c r="B17566" s="4">
        <v>64195</v>
      </c>
      <c r="D17566" s="5" t="s">
        <v>21405</v>
      </c>
      <c r="E17566" s="6" t="str">
        <f>HYPERLINK("https://inpn.mnhn.fr/espece/cd_nom/64195","Oxychilus draparnaudi (H. Beck, 1837)")</f>
        <v>Oxychilus draparnaudi (H. Beck, 1837)</v>
      </c>
      <c r="F17566" s="5" t="s">
        <v>21406</v>
      </c>
      <c r="O17566" s="7" t="str">
        <f>HYPERLINK("#Liste_rouge!A"&amp;_xlfn.XMATCH("LC",Liste_rouge!A:A,2,1),"LC")</f>
        <v>LC</v>
      </c>
      <c r="P17566" s="7" t="str">
        <f>HYPERLINK("#Liste_rouge!A"&amp;_xlfn.XMATCH("LC",Liste_rouge!A:A,2,1),"LC")</f>
        <v>LC</v>
      </c>
      <c r="Q17566" s="7" t="str">
        <f>HYPERLINK("#Liste_rouge!A"&amp;_xlfn.XMATCH("LC",Liste_rouge!A:A,2,1),"LC")</f>
        <v>LC</v>
      </c>
      <c r="AH17566" s="4" t="str">
        <f>HYPERLINK("#Statut_biogéographique!A"&amp;_xlfn.XMATCH("P",Statut_biogéographique!A:A,2,1),"P")</f>
        <v>P</v>
      </c>
      <c r="AM17566" s="4" t="s">
        <v>375</v>
      </c>
      <c r="AN17566" s="4" t="s">
        <v>375</v>
      </c>
      <c r="AO17566" s="4" t="s">
        <v>375</v>
      </c>
      <c r="AP17566" s="4" t="s">
        <v>376</v>
      </c>
      <c r="AR17566" s="4" t="s">
        <v>377</v>
      </c>
    </row>
    <row r="17567" spans="1:44" ht="75">
      <c r="A17567" s="4" t="s">
        <v>10753</v>
      </c>
      <c r="B17567" s="4">
        <v>64197</v>
      </c>
      <c r="D17567" s="5" t="s">
        <v>21407</v>
      </c>
      <c r="E17567" s="6" t="str">
        <f>HYPERLINK("https://inpn.mnhn.fr/espece/cd_nom/64197","Vitrina pellucida (O.F. Müller, 1774)")</f>
        <v>Vitrina pellucida (O.F. Müller, 1774)</v>
      </c>
      <c r="F17567" s="5" t="s">
        <v>21408</v>
      </c>
      <c r="P17567" s="7" t="str">
        <f>HYPERLINK("#Liste_rouge!A"&amp;_xlfn.XMATCH("LC",Liste_rouge!A:A,2,1),"LC")</f>
        <v>LC</v>
      </c>
      <c r="Q17567" s="7" t="str">
        <f>HYPERLINK("#Liste_rouge!A"&amp;_xlfn.XMATCH("LC",Liste_rouge!A:A,2,1),"LC")</f>
        <v>LC</v>
      </c>
      <c r="AH17567" s="4" t="str">
        <f>HYPERLINK("#Statut_biogéographique!A"&amp;_xlfn.XMATCH("P",Statut_biogéographique!A:A,2,1),"P")</f>
        <v>P</v>
      </c>
      <c r="AM17567" s="4" t="s">
        <v>375</v>
      </c>
      <c r="AN17567" s="4" t="s">
        <v>375</v>
      </c>
      <c r="AO17567" s="4" t="s">
        <v>375</v>
      </c>
      <c r="AP17567" s="4" t="s">
        <v>376</v>
      </c>
      <c r="AR17567" s="4" t="s">
        <v>377</v>
      </c>
    </row>
    <row r="17568" spans="1:44">
      <c r="A17568" s="4" t="s">
        <v>10753</v>
      </c>
      <c r="B17568" s="4">
        <v>64201</v>
      </c>
      <c r="D17568" s="5" t="s">
        <v>21409</v>
      </c>
      <c r="E17568" s="6" t="str">
        <f>HYPERLINK("https://inpn.mnhn.fr/espece/cd_nom/64201","Zonitoides nitidus (O.F. Müller, 1774)")</f>
        <v>Zonitoides nitidus (O.F. Müller, 1774)</v>
      </c>
      <c r="F17568" s="5" t="s">
        <v>21410</v>
      </c>
      <c r="P17568" s="7" t="str">
        <f>HYPERLINK("#Liste_rouge!A"&amp;_xlfn.XMATCH("LC",Liste_rouge!A:A,2,1),"LC")</f>
        <v>LC</v>
      </c>
      <c r="Q17568" s="7" t="str">
        <f>HYPERLINK("#Liste_rouge!A"&amp;_xlfn.XMATCH("LC",Liste_rouge!A:A,2,1),"LC")</f>
        <v>LC</v>
      </c>
      <c r="AH17568" s="4" t="str">
        <f>HYPERLINK("#Statut_biogéographique!A"&amp;_xlfn.XMATCH("P",Statut_biogéographique!A:A,2,1),"P")</f>
        <v>P</v>
      </c>
      <c r="AM17568" s="4" t="s">
        <v>375</v>
      </c>
      <c r="AN17568" s="4" t="s">
        <v>375</v>
      </c>
      <c r="AO17568" s="4" t="s">
        <v>375</v>
      </c>
      <c r="AP17568" s="4" t="s">
        <v>376</v>
      </c>
      <c r="AR17568" s="4" t="s">
        <v>377</v>
      </c>
    </row>
    <row r="17569" spans="1:44" ht="30">
      <c r="A17569" s="4" t="s">
        <v>10753</v>
      </c>
      <c r="B17569" s="4">
        <v>64205</v>
      </c>
      <c r="D17569" s="5" t="s">
        <v>21411</v>
      </c>
      <c r="E17569" s="6" t="str">
        <f>HYPERLINK("https://inpn.mnhn.fr/espece/cd_nom/64205","Deroceras laeve (O.F. Müller, 1774)")</f>
        <v>Deroceras laeve (O.F. Müller, 1774)</v>
      </c>
      <c r="F17569" s="5" t="s">
        <v>21412</v>
      </c>
      <c r="P17569" s="7" t="str">
        <f>HYPERLINK("#Liste_rouge!A"&amp;_xlfn.XMATCH("LC",Liste_rouge!A:A,2,1),"LC")</f>
        <v>LC</v>
      </c>
      <c r="Q17569" s="7" t="str">
        <f>HYPERLINK("#Liste_rouge!A"&amp;_xlfn.XMATCH("LC",Liste_rouge!A:A,2,1),"LC")</f>
        <v>LC</v>
      </c>
      <c r="AH17569" s="4" t="str">
        <f>HYPERLINK("#Statut_biogéographique!A"&amp;_xlfn.XMATCH("P",Statut_biogéographique!A:A,2,1),"P")</f>
        <v>P</v>
      </c>
      <c r="AP17569" s="4" t="s">
        <v>376</v>
      </c>
      <c r="AR17569" s="4" t="s">
        <v>377</v>
      </c>
    </row>
    <row r="17570" spans="1:44" ht="30">
      <c r="A17570" s="4" t="s">
        <v>10753</v>
      </c>
      <c r="B17570" s="4">
        <v>64206</v>
      </c>
      <c r="D17570" s="5" t="s">
        <v>21413</v>
      </c>
      <c r="E17570" s="6" t="str">
        <f>HYPERLINK("https://inpn.mnhn.fr/espece/cd_nom/64206","Deroceras reticulatum (O.F. Müller, 1774)")</f>
        <v>Deroceras reticulatum (O.F. Müller, 1774)</v>
      </c>
      <c r="F17570" s="5" t="s">
        <v>21414</v>
      </c>
      <c r="P17570" s="7" t="str">
        <f>HYPERLINK("#Liste_rouge!A"&amp;_xlfn.XMATCH("LC",Liste_rouge!A:A,2,1),"LC")</f>
        <v>LC</v>
      </c>
      <c r="Q17570" s="7" t="str">
        <f>HYPERLINK("#Liste_rouge!A"&amp;_xlfn.XMATCH("LC",Liste_rouge!A:A,2,1),"LC")</f>
        <v>LC</v>
      </c>
      <c r="AH17570" s="4" t="str">
        <f>HYPERLINK("#Statut_biogéographique!A"&amp;_xlfn.XMATCH("P",Statut_biogéographique!A:A,2,1),"P")</f>
        <v>P</v>
      </c>
      <c r="AP17570" s="4" t="s">
        <v>376</v>
      </c>
      <c r="AR17570" s="4" t="s">
        <v>377</v>
      </c>
    </row>
    <row r="17571" spans="1:44">
      <c r="A17571" s="4" t="s">
        <v>10753</v>
      </c>
      <c r="B17571" s="4">
        <v>64208</v>
      </c>
      <c r="D17571" s="5" t="s">
        <v>21415</v>
      </c>
      <c r="E17571" s="6" t="str">
        <f>HYPERLINK("https://inpn.mnhn.fr/espece/cd_nom/64208","Limax cinereoniger Wolf, 1803")</f>
        <v>Limax cinereoniger Wolf, 1803</v>
      </c>
      <c r="F17571" s="5" t="s">
        <v>21416</v>
      </c>
      <c r="O17571" s="7" t="str">
        <f>HYPERLINK("#Liste_rouge!A"&amp;_xlfn.XMATCH("LC",Liste_rouge!A:A,2,1),"LC")</f>
        <v>LC</v>
      </c>
      <c r="P17571" s="7" t="str">
        <f>HYPERLINK("#Liste_rouge!A"&amp;_xlfn.XMATCH("LC",Liste_rouge!A:A,2,1),"LC")</f>
        <v>LC</v>
      </c>
      <c r="Q17571" s="7" t="str">
        <f>HYPERLINK("#Liste_rouge!A"&amp;_xlfn.XMATCH("LC",Liste_rouge!A:A,2,1),"LC")</f>
        <v>LC</v>
      </c>
      <c r="AH17571" s="4" t="str">
        <f>HYPERLINK("#Statut_biogéographique!A"&amp;_xlfn.XMATCH("P",Statut_biogéographique!A:A,2,1),"P")</f>
        <v>P</v>
      </c>
      <c r="AP17571" s="4" t="s">
        <v>376</v>
      </c>
      <c r="AR17571" s="4" t="s">
        <v>377</v>
      </c>
    </row>
    <row r="17572" spans="1:44" ht="30">
      <c r="A17572" s="4" t="s">
        <v>10753</v>
      </c>
      <c r="B17572" s="4">
        <v>64213</v>
      </c>
      <c r="D17572" s="5" t="s">
        <v>21417</v>
      </c>
      <c r="E17572" s="6" t="str">
        <f>HYPERLINK("https://inpn.mnhn.fr/espece/cd_nom/64213","Limax maximus Linnaeus, 1758")</f>
        <v>Limax maximus Linnaeus, 1758</v>
      </c>
      <c r="F17572" s="5" t="s">
        <v>21418</v>
      </c>
      <c r="O17572" s="7" t="str">
        <f>HYPERLINK("#Liste_rouge!A"&amp;_xlfn.XMATCH("LC",Liste_rouge!A:A,2,1),"LC")</f>
        <v>LC</v>
      </c>
      <c r="P17572" s="7" t="str">
        <f>HYPERLINK("#Liste_rouge!A"&amp;_xlfn.XMATCH("LC",Liste_rouge!A:A,2,1),"LC")</f>
        <v>LC</v>
      </c>
      <c r="Q17572" s="7" t="str">
        <f>HYPERLINK("#Liste_rouge!A"&amp;_xlfn.XMATCH("LC",Liste_rouge!A:A,2,1),"LC")</f>
        <v>LC</v>
      </c>
      <c r="AH17572" s="4" t="str">
        <f>HYPERLINK("#Statut_biogéographique!A"&amp;_xlfn.XMATCH("P",Statut_biogéographique!A:A,2,1),"P")</f>
        <v>P</v>
      </c>
      <c r="AP17572" s="4" t="s">
        <v>376</v>
      </c>
      <c r="AR17572" s="4" t="s">
        <v>377</v>
      </c>
    </row>
    <row r="17573" spans="1:44" ht="30">
      <c r="A17573" s="4" t="s">
        <v>10753</v>
      </c>
      <c r="B17573" s="4">
        <v>64230</v>
      </c>
      <c r="D17573" s="5" t="s">
        <v>21419</v>
      </c>
      <c r="E17573" s="6" t="str">
        <f>HYPERLINK("https://inpn.mnhn.fr/espece/cd_nom/64230","Helicella itala (Linnaeus, 1758)")</f>
        <v>Helicella itala (Linnaeus, 1758)</v>
      </c>
      <c r="F17573" s="5" t="s">
        <v>21420</v>
      </c>
      <c r="O17573" s="7" t="str">
        <f>HYPERLINK("#Liste_rouge!A"&amp;_xlfn.XMATCH("LC",Liste_rouge!A:A,2,1),"LC")</f>
        <v>LC</v>
      </c>
      <c r="P17573" s="7" t="str">
        <f>HYPERLINK("#Liste_rouge!A"&amp;_xlfn.XMATCH("LC",Liste_rouge!A:A,2,1),"LC")</f>
        <v>LC</v>
      </c>
      <c r="Q17573" s="7" t="str">
        <f>HYPERLINK("#Liste_rouge!A"&amp;_xlfn.XMATCH("LC",Liste_rouge!A:A,2,1),"LC")</f>
        <v>LC</v>
      </c>
      <c r="AH17573" s="4" t="str">
        <f>HYPERLINK("#Statut_biogéographique!A"&amp;_xlfn.XMATCH("P",Statut_biogéographique!A:A,2,1),"P")</f>
        <v>P</v>
      </c>
      <c r="AM17573" s="4" t="s">
        <v>375</v>
      </c>
      <c r="AN17573" s="4" t="s">
        <v>375</v>
      </c>
      <c r="AO17573" s="4" t="s">
        <v>375</v>
      </c>
      <c r="AP17573" s="4" t="s">
        <v>376</v>
      </c>
      <c r="AR17573" s="4" t="s">
        <v>377</v>
      </c>
    </row>
    <row r="17574" spans="1:44">
      <c r="A17574" s="4" t="s">
        <v>10753</v>
      </c>
      <c r="B17574" s="4">
        <v>64239</v>
      </c>
      <c r="D17574" s="5" t="s">
        <v>21421</v>
      </c>
      <c r="E17574" s="6" t="str">
        <f>HYPERLINK("https://inpn.mnhn.fr/espece/cd_nom/64239","Monacha cantiana (Montagu, 1803)")</f>
        <v>Monacha cantiana (Montagu, 1803)</v>
      </c>
      <c r="F17574" s="5" t="s">
        <v>21422</v>
      </c>
      <c r="O17574" s="7" t="str">
        <f>HYPERLINK("#Liste_rouge!A"&amp;_xlfn.XMATCH("LC",Liste_rouge!A:A,2,1),"LC")</f>
        <v>LC</v>
      </c>
      <c r="P17574" s="7" t="str">
        <f>HYPERLINK("#Liste_rouge!A"&amp;_xlfn.XMATCH("LC",Liste_rouge!A:A,2,1),"LC")</f>
        <v>LC</v>
      </c>
      <c r="Q17574" s="7" t="str">
        <f>HYPERLINK("#Liste_rouge!A"&amp;_xlfn.XMATCH("LC",Liste_rouge!A:A,2,1),"LC")</f>
        <v>LC</v>
      </c>
      <c r="AH17574" s="4" t="str">
        <f>HYPERLINK("#Statut_biogéographique!A"&amp;_xlfn.XMATCH("P",Statut_biogéographique!A:A,2,1),"P")</f>
        <v>P</v>
      </c>
      <c r="AM17574" s="4" t="s">
        <v>375</v>
      </c>
      <c r="AN17574" s="4" t="s">
        <v>375</v>
      </c>
      <c r="AO17574" s="4" t="s">
        <v>375</v>
      </c>
      <c r="AP17574" s="4" t="s">
        <v>376</v>
      </c>
      <c r="AR17574" s="4" t="s">
        <v>377</v>
      </c>
    </row>
    <row r="17575" spans="1:44">
      <c r="A17575" s="4" t="s">
        <v>10753</v>
      </c>
      <c r="B17575" s="4">
        <v>64245</v>
      </c>
      <c r="D17575" s="5" t="s">
        <v>21423</v>
      </c>
      <c r="E17575" s="6" t="str">
        <f>HYPERLINK("https://inpn.mnhn.fr/espece/cd_nom/64245","Arianta arbustorum (Linnaeus, 1758)")</f>
        <v>Arianta arbustorum (Linnaeus, 1758)</v>
      </c>
      <c r="F17575" s="5" t="s">
        <v>21424</v>
      </c>
      <c r="O17575" s="7" t="str">
        <f>HYPERLINK("#Liste_rouge!A"&amp;_xlfn.XMATCH("LC",Liste_rouge!A:A,2,1),"LC")</f>
        <v>LC</v>
      </c>
      <c r="P17575" s="7" t="str">
        <f>HYPERLINK("#Liste_rouge!A"&amp;_xlfn.XMATCH("LC",Liste_rouge!A:A,2,1),"LC")</f>
        <v>LC</v>
      </c>
      <c r="Q17575" s="7" t="str">
        <f>HYPERLINK("#Liste_rouge!A"&amp;_xlfn.XMATCH("LC",Liste_rouge!A:A,2,1),"LC")</f>
        <v>LC</v>
      </c>
      <c r="AH17575" s="4" t="str">
        <f>HYPERLINK("#Statut_biogéographique!A"&amp;_xlfn.XMATCH("P",Statut_biogéographique!A:A,2,1),"P")</f>
        <v>P</v>
      </c>
      <c r="AM17575" s="4" t="s">
        <v>375</v>
      </c>
      <c r="AN17575" s="4" t="s">
        <v>375</v>
      </c>
      <c r="AO17575" s="4" t="s">
        <v>375</v>
      </c>
      <c r="AP17575" s="4" t="s">
        <v>376</v>
      </c>
      <c r="AR17575" s="4" t="s">
        <v>377</v>
      </c>
    </row>
    <row r="17576" spans="1:44">
      <c r="A17576" s="4" t="s">
        <v>10753</v>
      </c>
      <c r="B17576" s="4">
        <v>64247</v>
      </c>
      <c r="D17576" s="5" t="s">
        <v>21425</v>
      </c>
      <c r="E17576" s="6" t="str">
        <f>HYPERLINK("https://inpn.mnhn.fr/espece/cd_nom/64247","Cepaea hortensis (O.F. Müller, 1774)")</f>
        <v>Cepaea hortensis (O.F. Müller, 1774)</v>
      </c>
      <c r="F17576" s="5" t="s">
        <v>21426</v>
      </c>
      <c r="O17576" s="7" t="str">
        <f>HYPERLINK("#Liste_rouge!A"&amp;_xlfn.XMATCH("LC",Liste_rouge!A:A,2,1),"LC")</f>
        <v>LC</v>
      </c>
      <c r="P17576" s="7" t="str">
        <f>HYPERLINK("#Liste_rouge!A"&amp;_xlfn.XMATCH("LC",Liste_rouge!A:A,2,1),"LC")</f>
        <v>LC</v>
      </c>
      <c r="Q17576" s="7" t="str">
        <f>HYPERLINK("#Liste_rouge!A"&amp;_xlfn.XMATCH("LC",Liste_rouge!A:A,2,1),"LC")</f>
        <v>LC</v>
      </c>
      <c r="AH17576" s="4" t="str">
        <f>HYPERLINK("#Statut_biogéographique!A"&amp;_xlfn.XMATCH("P",Statut_biogéographique!A:A,2,1),"P")</f>
        <v>P</v>
      </c>
      <c r="AM17576" s="4" t="s">
        <v>375</v>
      </c>
      <c r="AN17576" s="4" t="s">
        <v>375</v>
      </c>
      <c r="AO17576" s="4" t="s">
        <v>375</v>
      </c>
      <c r="AP17576" s="4" t="s">
        <v>376</v>
      </c>
      <c r="AR17576" s="4" t="s">
        <v>377</v>
      </c>
    </row>
    <row r="17577" spans="1:44" ht="30">
      <c r="A17577" s="4" t="s">
        <v>10753</v>
      </c>
      <c r="B17577" s="4">
        <v>64248</v>
      </c>
      <c r="D17577" s="5" t="s">
        <v>21427</v>
      </c>
      <c r="E17577" s="6" t="str">
        <f>HYPERLINK("https://inpn.mnhn.fr/espece/cd_nom/64248","Cepaea nemoralis (Linnaeus, 1758)")</f>
        <v>Cepaea nemoralis (Linnaeus, 1758)</v>
      </c>
      <c r="F17577" s="5" t="s">
        <v>11969</v>
      </c>
      <c r="O17577" s="7" t="str">
        <f>HYPERLINK("#Liste_rouge!A"&amp;_xlfn.XMATCH("LC",Liste_rouge!A:A,2,1),"LC")</f>
        <v>LC</v>
      </c>
      <c r="P17577" s="7" t="str">
        <f>HYPERLINK("#Liste_rouge!A"&amp;_xlfn.XMATCH("LC",Liste_rouge!A:A,2,1),"LC")</f>
        <v>LC</v>
      </c>
      <c r="Q17577" s="7" t="str">
        <f>HYPERLINK("#Liste_rouge!A"&amp;_xlfn.XMATCH("LC",Liste_rouge!A:A,2,1),"LC")</f>
        <v>LC</v>
      </c>
      <c r="AH17577" s="4" t="str">
        <f>HYPERLINK("#Statut_biogéographique!A"&amp;_xlfn.XMATCH("P",Statut_biogéographique!A:A,2,1),"P")</f>
        <v>P</v>
      </c>
      <c r="AM17577" s="4" t="s">
        <v>375</v>
      </c>
      <c r="AN17577" s="4" t="s">
        <v>375</v>
      </c>
      <c r="AO17577" s="4" t="s">
        <v>375</v>
      </c>
      <c r="AP17577" s="4" t="s">
        <v>376</v>
      </c>
      <c r="AR17577" s="4" t="s">
        <v>377</v>
      </c>
    </row>
    <row r="17578" spans="1:44" ht="75">
      <c r="A17578" s="4" t="s">
        <v>10753</v>
      </c>
      <c r="B17578" s="4">
        <v>64260</v>
      </c>
      <c r="D17578" s="5" t="s">
        <v>21428</v>
      </c>
      <c r="E17578" s="6" t="str">
        <f>HYPERLINK("https://inpn.mnhn.fr/espece/cd_nom/64260","Helix pomatia Linnaeus, 1758")</f>
        <v>Helix pomatia Linnaeus, 1758</v>
      </c>
      <c r="F17578" s="5" t="s">
        <v>21429</v>
      </c>
      <c r="I17578" s="4" t="str">
        <f>HYPERLINK("#Réglementation!A"&amp;_xlfn.XMATCH("IBE3",Réglementation!A:A,2,1),"IBE3")</f>
        <v>IBE3</v>
      </c>
      <c r="K17578" s="4" t="str">
        <f>HYPERLINK("#Réglementation!A"&amp;_xlfn.XMATCH("CDH5",Réglementation!A:A,2,1),"CDH5")</f>
        <v>CDH5</v>
      </c>
      <c r="N17578" s="4" t="str">
        <f>HYPERLINK("#Réglementation!A"&amp;_xlfn.XMATCH("E39P1",Réglementation!A:A,2,1),"E39P1 - E39P2 - E70P1 - E70P2")</f>
        <v>E39P1 - E39P2 - E70P1 - E70P2</v>
      </c>
      <c r="O17578" s="7" t="str">
        <f>HYPERLINK("#Liste_rouge!A"&amp;_xlfn.XMATCH("LC",Liste_rouge!A:A,2,1),"LC")</f>
        <v>LC</v>
      </c>
      <c r="P17578" s="7" t="str">
        <f>HYPERLINK("#Liste_rouge!A"&amp;_xlfn.XMATCH("LC",Liste_rouge!A:A,2,1),"LC")</f>
        <v>LC</v>
      </c>
      <c r="Q17578" s="7" t="str">
        <f>HYPERLINK("#Liste_rouge!A"&amp;_xlfn.XMATCH("LC",Liste_rouge!A:A,2,1),"LC")</f>
        <v>LC</v>
      </c>
      <c r="AH17578" s="4" t="str">
        <f>HYPERLINK("#Statut_biogéographique!A"&amp;_xlfn.XMATCH("C",Statut_biogéographique!A:A,2,1),"C")</f>
        <v>C</v>
      </c>
      <c r="AK17578" s="4" t="str">
        <f>HYPERLINK("#Réglementation!A"&amp;_xlfn.XMATCH("PE1",Réglementation!A:A,2,1),"PE1 - PE1a - E39P1 - E39P2 - E70P1 - E70P2")</f>
        <v>PE1 - PE1a - E39P1 - E39P2 - E70P1 - E70P2</v>
      </c>
      <c r="AM17578" s="4" t="s">
        <v>375</v>
      </c>
      <c r="AN17578" s="4" t="s">
        <v>375</v>
      </c>
      <c r="AO17578" s="4" t="s">
        <v>375</v>
      </c>
      <c r="AP17578" s="4" t="s">
        <v>376</v>
      </c>
      <c r="AR17578" s="4" t="s">
        <v>377</v>
      </c>
    </row>
    <row r="17579" spans="1:44">
      <c r="A17579" s="4" t="s">
        <v>10753</v>
      </c>
      <c r="B17579" s="4">
        <v>642642</v>
      </c>
      <c r="D17579" s="5" t="s">
        <v>21430</v>
      </c>
      <c r="E17579" s="6" t="str">
        <f>HYPERLINK("https://inpn.mnhn.fr/espece/cd_nom/642642","Acrotona aterrima (Gravenhorst, 1802)")</f>
        <v>Acrotona aterrima (Gravenhorst, 1802)</v>
      </c>
      <c r="AH17579" s="4" t="str">
        <f>HYPERLINK("#Statut_biogéographique!A"&amp;_xlfn.XMATCH("P",Statut_biogéographique!A:A,2,1),"P")</f>
        <v>P</v>
      </c>
      <c r="AP17579" s="4" t="s">
        <v>376</v>
      </c>
      <c r="AR17579" s="4" t="s">
        <v>377</v>
      </c>
    </row>
    <row r="17580" spans="1:44" ht="30">
      <c r="A17580" s="4" t="s">
        <v>10753</v>
      </c>
      <c r="B17580" s="4">
        <v>642648</v>
      </c>
      <c r="D17580" s="5" t="s">
        <v>21431</v>
      </c>
      <c r="E17580" s="6" t="str">
        <f>HYPERLINK("https://inpn.mnhn.fr/espece/cd_nom/642648","Acrotona muscorum (C. Brisout de Barneville, 1860)")</f>
        <v>Acrotona muscorum (C. Brisout de Barneville, 1860)</v>
      </c>
      <c r="AH17580" s="4" t="str">
        <f>HYPERLINK("#Statut_biogéographique!A"&amp;_xlfn.XMATCH("P",Statut_biogéographique!A:A,2,1),"P")</f>
        <v>P</v>
      </c>
      <c r="AP17580" s="4" t="s">
        <v>376</v>
      </c>
      <c r="AR17580" s="4" t="s">
        <v>377</v>
      </c>
    </row>
    <row r="17581" spans="1:44">
      <c r="A17581" s="4" t="s">
        <v>10753</v>
      </c>
      <c r="B17581" s="4">
        <v>642654</v>
      </c>
      <c r="D17581" s="5" t="s">
        <v>21432</v>
      </c>
      <c r="E17581" s="6" t="str">
        <f>HYPERLINK("https://inpn.mnhn.fr/espece/cd_nom/642654","Acrotona pygmaea (Gravenhorst, 1802)")</f>
        <v>Acrotona pygmaea (Gravenhorst, 1802)</v>
      </c>
      <c r="AH17581" s="4" t="str">
        <f>HYPERLINK("#Statut_biogéographique!A"&amp;_xlfn.XMATCH("P",Statut_biogéographique!A:A,2,1),"P")</f>
        <v>P</v>
      </c>
      <c r="AP17581" s="4" t="s">
        <v>376</v>
      </c>
      <c r="AR17581" s="4" t="s">
        <v>377</v>
      </c>
    </row>
    <row r="17582" spans="1:44">
      <c r="A17582" s="4" t="s">
        <v>10753</v>
      </c>
      <c r="B17582" s="4">
        <v>64266</v>
      </c>
      <c r="D17582" s="5" t="s">
        <v>21433</v>
      </c>
      <c r="E17582" s="6" t="str">
        <f>HYPERLINK("https://inpn.mnhn.fr/espece/cd_nom/64266","Helicigona lapicida (Linnaeus, 1758)")</f>
        <v>Helicigona lapicida (Linnaeus, 1758)</v>
      </c>
      <c r="F17582" s="5" t="s">
        <v>11966</v>
      </c>
      <c r="O17582" s="7" t="str">
        <f>HYPERLINK("#Liste_rouge!A"&amp;_xlfn.XMATCH("LC",Liste_rouge!A:A,2,1),"LC")</f>
        <v>LC</v>
      </c>
      <c r="P17582" s="7" t="str">
        <f>HYPERLINK("#Liste_rouge!A"&amp;_xlfn.XMATCH("LC",Liste_rouge!A:A,2,1),"LC")</f>
        <v>LC</v>
      </c>
      <c r="Q17582" s="7" t="str">
        <f>HYPERLINK("#Liste_rouge!A"&amp;_xlfn.XMATCH("LC",Liste_rouge!A:A,2,1),"LC")</f>
        <v>LC</v>
      </c>
      <c r="AH17582" s="4" t="str">
        <f>HYPERLINK("#Statut_biogéographique!A"&amp;_xlfn.XMATCH("P",Statut_biogéographique!A:A,2,1),"P")</f>
        <v>P</v>
      </c>
      <c r="AM17582" s="4" t="s">
        <v>375</v>
      </c>
      <c r="AN17582" s="4" t="s">
        <v>375</v>
      </c>
      <c r="AO17582" s="4" t="s">
        <v>375</v>
      </c>
      <c r="AP17582" s="4" t="s">
        <v>376</v>
      </c>
      <c r="AR17582" s="4" t="s">
        <v>377</v>
      </c>
    </row>
    <row r="17583" spans="1:44">
      <c r="A17583" s="4" t="s">
        <v>10753</v>
      </c>
      <c r="B17583" s="4">
        <v>642661</v>
      </c>
      <c r="D17583" s="5" t="s">
        <v>21434</v>
      </c>
      <c r="E17583" s="6" t="str">
        <f>HYPERLINK("https://inpn.mnhn.fr/espece/cd_nom/642661","Aleochara bipustulata (Linnaeus, 1761)")</f>
        <v>Aleochara bipustulata (Linnaeus, 1761)</v>
      </c>
      <c r="AH17583" s="4" t="str">
        <f>HYPERLINK("#Statut_biogéographique!A"&amp;_xlfn.XMATCH("P",Statut_biogéographique!A:A,2,1),"P")</f>
        <v>P</v>
      </c>
      <c r="AP17583" s="4" t="s">
        <v>376</v>
      </c>
      <c r="AR17583" s="4" t="s">
        <v>377</v>
      </c>
    </row>
    <row r="17584" spans="1:44">
      <c r="A17584" s="4" t="s">
        <v>10753</v>
      </c>
      <c r="B17584" s="4">
        <v>642668</v>
      </c>
      <c r="D17584" s="5" t="s">
        <v>21435</v>
      </c>
      <c r="E17584" s="6" t="str">
        <f>HYPERLINK("https://inpn.mnhn.fr/espece/cd_nom/642668","Aleochara curtula (Goeze, 1777)")</f>
        <v>Aleochara curtula (Goeze, 1777)</v>
      </c>
      <c r="AH17584" s="4" t="str">
        <f>HYPERLINK("#Statut_biogéographique!A"&amp;_xlfn.XMATCH("P",Statut_biogéographique!A:A,2,1),"P")</f>
        <v>P</v>
      </c>
      <c r="AP17584" s="4" t="s">
        <v>376</v>
      </c>
      <c r="AR17584" s="4" t="s">
        <v>377</v>
      </c>
    </row>
    <row r="17585" spans="1:44">
      <c r="A17585" s="4" t="s">
        <v>10753</v>
      </c>
      <c r="B17585" s="4">
        <v>642676</v>
      </c>
      <c r="D17585" s="5" t="s">
        <v>21436</v>
      </c>
      <c r="E17585" s="6" t="str">
        <f>HYPERLINK("https://inpn.mnhn.fr/espece/cd_nom/642676","Aleochara haematoptera Kraatz, 1858")</f>
        <v>Aleochara haematoptera Kraatz, 1858</v>
      </c>
      <c r="AH17585" s="4" t="str">
        <f>HYPERLINK("#Statut_biogéographique!A"&amp;_xlfn.XMATCH("P",Statut_biogéographique!A:A,2,1),"P")</f>
        <v>P</v>
      </c>
      <c r="AP17585" s="4" t="s">
        <v>376</v>
      </c>
      <c r="AR17585" s="4" t="s">
        <v>377</v>
      </c>
    </row>
    <row r="17586" spans="1:44">
      <c r="A17586" s="4" t="s">
        <v>10753</v>
      </c>
      <c r="B17586" s="4">
        <v>64268</v>
      </c>
      <c r="D17586" s="5" t="s">
        <v>21437</v>
      </c>
      <c r="E17586" s="6" t="str">
        <f>HYPERLINK("https://inpn.mnhn.fr/espece/cd_nom/64268","Helicodonta obvoluta (O.F. Müller, 1774)")</f>
        <v>Helicodonta obvoluta (O.F. Müller, 1774)</v>
      </c>
      <c r="F17586" s="5" t="s">
        <v>11946</v>
      </c>
      <c r="O17586" s="7" t="str">
        <f>HYPERLINK("#Liste_rouge!A"&amp;_xlfn.XMATCH("LC",Liste_rouge!A:A,2,1),"LC")</f>
        <v>LC</v>
      </c>
      <c r="P17586" s="7" t="str">
        <f>HYPERLINK("#Liste_rouge!A"&amp;_xlfn.XMATCH("LC",Liste_rouge!A:A,2,1),"LC")</f>
        <v>LC</v>
      </c>
      <c r="Q17586" s="7" t="str">
        <f>HYPERLINK("#Liste_rouge!A"&amp;_xlfn.XMATCH("LC",Liste_rouge!A:A,2,1),"LC")</f>
        <v>LC</v>
      </c>
      <c r="AH17586" s="4" t="str">
        <f>HYPERLINK("#Statut_biogéographique!A"&amp;_xlfn.XMATCH("P",Statut_biogéographique!A:A,2,1),"P")</f>
        <v>P</v>
      </c>
      <c r="AM17586" s="4" t="s">
        <v>375</v>
      </c>
      <c r="AN17586" s="4" t="s">
        <v>375</v>
      </c>
      <c r="AO17586" s="4" t="s">
        <v>375</v>
      </c>
      <c r="AP17586" s="4" t="s">
        <v>376</v>
      </c>
      <c r="AR17586" s="4" t="s">
        <v>377</v>
      </c>
    </row>
    <row r="17587" spans="1:44">
      <c r="A17587" s="4" t="s">
        <v>10753</v>
      </c>
      <c r="B17587" s="4">
        <v>642680</v>
      </c>
      <c r="D17587" s="5">
        <v>642680</v>
      </c>
      <c r="E17587" s="6" t="str">
        <f>HYPERLINK("https://inpn.mnhn.fr/espece/cd_nom/642680","Aleochara intricata Mannerheim, 1830")</f>
        <v>Aleochara intricata Mannerheim, 1830</v>
      </c>
      <c r="AH17587" s="4" t="str">
        <f>HYPERLINK("#Statut_biogéographique!A"&amp;_xlfn.XMATCH("P",Statut_biogéographique!A:A,2,1),"P")</f>
        <v>P</v>
      </c>
      <c r="AP17587" s="4" t="s">
        <v>376</v>
      </c>
      <c r="AR17587" s="4" t="s">
        <v>377</v>
      </c>
    </row>
    <row r="17588" spans="1:44">
      <c r="A17588" s="4" t="s">
        <v>10753</v>
      </c>
      <c r="B17588" s="4">
        <v>642703</v>
      </c>
      <c r="D17588" s="5">
        <v>642703</v>
      </c>
      <c r="E17588" s="6" t="str">
        <f>HYPERLINK("https://inpn.mnhn.fr/espece/cd_nom/642703","Aleochara tristis Gravenhorst, 1806")</f>
        <v>Aleochara tristis Gravenhorst, 1806</v>
      </c>
      <c r="AH17588" s="4" t="str">
        <f>HYPERLINK("#Statut_biogéographique!A"&amp;_xlfn.XMATCH("P",Statut_biogéographique!A:A,2,1),"P")</f>
        <v>P</v>
      </c>
      <c r="AP17588" s="4" t="s">
        <v>376</v>
      </c>
      <c r="AR17588" s="4" t="s">
        <v>377</v>
      </c>
    </row>
    <row r="17589" spans="1:44">
      <c r="A17589" s="4" t="s">
        <v>10753</v>
      </c>
      <c r="B17589" s="4">
        <v>642745</v>
      </c>
      <c r="D17589" s="5" t="s">
        <v>21438</v>
      </c>
      <c r="E17589" s="6" t="str">
        <f>HYPERLINK("https://inpn.mnhn.fr/espece/cd_nom/642745","Anomognathus cuspidatus (Erichson, 1839)")</f>
        <v>Anomognathus cuspidatus (Erichson, 1839)</v>
      </c>
      <c r="AH17589" s="4" t="str">
        <f>HYPERLINK("#Statut_biogéographique!A"&amp;_xlfn.XMATCH("P",Statut_biogéographique!A:A,2,1),"P")</f>
        <v>P</v>
      </c>
      <c r="AP17589" s="4" t="s">
        <v>376</v>
      </c>
      <c r="AR17589" s="4" t="s">
        <v>377</v>
      </c>
    </row>
    <row r="17590" spans="1:44">
      <c r="A17590" s="4" t="s">
        <v>10753</v>
      </c>
      <c r="B17590" s="4">
        <v>642751</v>
      </c>
      <c r="D17590" s="5" t="s">
        <v>21439</v>
      </c>
      <c r="E17590" s="6" t="str">
        <f>HYPERLINK("https://inpn.mnhn.fr/espece/cd_nom/642751","Atheta aeneicollis (Sharp, 1869)")</f>
        <v>Atheta aeneicollis (Sharp, 1869)</v>
      </c>
      <c r="AH17590" s="4" t="str">
        <f>HYPERLINK("#Statut_biogéographique!A"&amp;_xlfn.XMATCH("P",Statut_biogéographique!A:A,2,1),"P")</f>
        <v>P</v>
      </c>
      <c r="AP17590" s="4" t="s">
        <v>376</v>
      </c>
      <c r="AR17590" s="4" t="s">
        <v>377</v>
      </c>
    </row>
    <row r="17591" spans="1:44">
      <c r="A17591" s="4" t="s">
        <v>10753</v>
      </c>
      <c r="B17591" s="4">
        <v>642765</v>
      </c>
      <c r="D17591" s="5" t="s">
        <v>21440</v>
      </c>
      <c r="E17591" s="6" t="str">
        <f>HYPERLINK("https://inpn.mnhn.fr/espece/cd_nom/642765","Atheta boletophila (Thomson, 1856)")</f>
        <v>Atheta boletophila (Thomson, 1856)</v>
      </c>
      <c r="AH17591" s="4" t="str">
        <f>HYPERLINK("#Statut_biogéographique!A"&amp;_xlfn.XMATCH("P",Statut_biogéographique!A:A,2,1),"P")</f>
        <v>P</v>
      </c>
      <c r="AP17591" s="4" t="s">
        <v>376</v>
      </c>
      <c r="AR17591" s="4" t="s">
        <v>377</v>
      </c>
    </row>
    <row r="17592" spans="1:44">
      <c r="A17592" s="4" t="s">
        <v>10753</v>
      </c>
      <c r="B17592" s="4">
        <v>642773</v>
      </c>
      <c r="D17592" s="5" t="s">
        <v>21441</v>
      </c>
      <c r="E17592" s="6" t="str">
        <f>HYPERLINK("https://inpn.mnhn.fr/espece/cd_nom/642773","Atheta cauta (Erichson, 1837)")</f>
        <v>Atheta cauta (Erichson, 1837)</v>
      </c>
      <c r="AH17592" s="4" t="str">
        <f>HYPERLINK("#Statut_biogéographique!A"&amp;_xlfn.XMATCH("P",Statut_biogéographique!A:A,2,1),"P")</f>
        <v>P</v>
      </c>
      <c r="AP17592" s="4" t="s">
        <v>376</v>
      </c>
      <c r="AR17592" s="4" t="s">
        <v>377</v>
      </c>
    </row>
    <row r="17593" spans="1:44">
      <c r="A17593" s="4" t="s">
        <v>10753</v>
      </c>
      <c r="B17593" s="4">
        <v>642781</v>
      </c>
      <c r="D17593" s="5" t="s">
        <v>21442</v>
      </c>
      <c r="E17593" s="6" t="str">
        <f>HYPERLINK("https://inpn.mnhn.fr/espece/cd_nom/642781","Atheta corvina (Thomson, 1856)")</f>
        <v>Atheta corvina (Thomson, 1856)</v>
      </c>
      <c r="AH17593" s="4" t="str">
        <f>HYPERLINK("#Statut_biogéographique!A"&amp;_xlfn.XMATCH("P",Statut_biogéographique!A:A,2,1),"P")</f>
        <v>P</v>
      </c>
      <c r="AP17593" s="4" t="s">
        <v>376</v>
      </c>
      <c r="AR17593" s="4" t="s">
        <v>377</v>
      </c>
    </row>
    <row r="17594" spans="1:44">
      <c r="A17594" s="4" t="s">
        <v>10753</v>
      </c>
      <c r="B17594" s="4">
        <v>642800</v>
      </c>
      <c r="D17594" s="5" t="s">
        <v>21443</v>
      </c>
      <c r="E17594" s="6" t="str">
        <f>HYPERLINK("https://inpn.mnhn.fr/espece/cd_nom/642800","Atheta fungivora (Thomson, 1867)")</f>
        <v>Atheta fungivora (Thomson, 1867)</v>
      </c>
      <c r="AH17594" s="4" t="str">
        <f>HYPERLINK("#Statut_biogéographique!A"&amp;_xlfn.XMATCH("P",Statut_biogéographique!A:A,2,1),"P")</f>
        <v>P</v>
      </c>
      <c r="AP17594" s="4" t="s">
        <v>376</v>
      </c>
      <c r="AR17594" s="4" t="s">
        <v>377</v>
      </c>
    </row>
    <row r="17595" spans="1:44">
      <c r="A17595" s="4" t="s">
        <v>10753</v>
      </c>
      <c r="B17595" s="4">
        <v>642821</v>
      </c>
      <c r="D17595" s="5" t="s">
        <v>21444</v>
      </c>
      <c r="E17595" s="6" t="str">
        <f>HYPERLINK("https://inpn.mnhn.fr/espece/cd_nom/642821","Atheta laticeps (Thomson, 1856)")</f>
        <v>Atheta laticeps (Thomson, 1856)</v>
      </c>
      <c r="AH17595" s="4" t="str">
        <f>HYPERLINK("#Statut_biogéographique!A"&amp;_xlfn.XMATCH("P",Statut_biogéographique!A:A,2,1),"P")</f>
        <v>P</v>
      </c>
      <c r="AP17595" s="4" t="s">
        <v>376</v>
      </c>
      <c r="AR17595" s="4" t="s">
        <v>377</v>
      </c>
    </row>
    <row r="17596" spans="1:44">
      <c r="A17596" s="4" t="s">
        <v>10753</v>
      </c>
      <c r="B17596" s="4">
        <v>642822</v>
      </c>
      <c r="D17596" s="5" t="s">
        <v>21445</v>
      </c>
      <c r="E17596" s="6" t="str">
        <f>HYPERLINK("https://inpn.mnhn.fr/espece/cd_nom/642822","Atheta laticollis (Stephens, 1832)")</f>
        <v>Atheta laticollis (Stephens, 1832)</v>
      </c>
      <c r="AH17596" s="4" t="str">
        <f>HYPERLINK("#Statut_biogéographique!A"&amp;_xlfn.XMATCH("P",Statut_biogéographique!A:A,2,1),"P")</f>
        <v>P</v>
      </c>
      <c r="AP17596" s="4" t="s">
        <v>376</v>
      </c>
      <c r="AR17596" s="4" t="s">
        <v>377</v>
      </c>
    </row>
    <row r="17597" spans="1:44">
      <c r="A17597" s="4" t="s">
        <v>10753</v>
      </c>
      <c r="B17597" s="4">
        <v>642827</v>
      </c>
      <c r="D17597" s="5" t="s">
        <v>21446</v>
      </c>
      <c r="E17597" s="6" t="str">
        <f>HYPERLINK("https://inpn.mnhn.fr/espece/cd_nom/642827","Atheta longicornis (Gravenhorst, 1802)")</f>
        <v>Atheta longicornis (Gravenhorst, 1802)</v>
      </c>
      <c r="AH17597" s="4" t="str">
        <f>HYPERLINK("#Statut_biogéographique!A"&amp;_xlfn.XMATCH("P",Statut_biogéographique!A:A,2,1),"P")</f>
        <v>P</v>
      </c>
      <c r="AP17597" s="4" t="s">
        <v>376</v>
      </c>
      <c r="AR17597" s="4" t="s">
        <v>377</v>
      </c>
    </row>
    <row r="17598" spans="1:44">
      <c r="A17598" s="4" t="s">
        <v>10753</v>
      </c>
      <c r="B17598" s="4">
        <v>642835</v>
      </c>
      <c r="D17598" s="5" t="s">
        <v>21447</v>
      </c>
      <c r="E17598" s="6" t="str">
        <f>HYPERLINK("https://inpn.mnhn.fr/espece/cd_nom/642835","Atheta melanaria (Mannerheim, 1830)")</f>
        <v>Atheta melanaria (Mannerheim, 1830)</v>
      </c>
      <c r="AH17598" s="4" t="str">
        <f>HYPERLINK("#Statut_biogéographique!A"&amp;_xlfn.XMATCH("P",Statut_biogéographique!A:A,2,1),"P")</f>
        <v>P</v>
      </c>
      <c r="AP17598" s="4" t="s">
        <v>376</v>
      </c>
      <c r="AR17598" s="4" t="s">
        <v>377</v>
      </c>
    </row>
    <row r="17599" spans="1:44">
      <c r="A17599" s="4" t="s">
        <v>10753</v>
      </c>
      <c r="B17599" s="4">
        <v>642846</v>
      </c>
      <c r="D17599" s="5" t="s">
        <v>21448</v>
      </c>
      <c r="E17599" s="6" t="str">
        <f>HYPERLINK("https://inpn.mnhn.fr/espece/cd_nom/642846","Atheta oblita (Erichson, 1839)")</f>
        <v>Atheta oblita (Erichson, 1839)</v>
      </c>
      <c r="AH17599" s="4" t="str">
        <f>HYPERLINK("#Statut_biogéographique!A"&amp;_xlfn.XMATCH("P",Statut_biogéographique!A:A,2,1),"P")</f>
        <v>P</v>
      </c>
      <c r="AP17599" s="4" t="s">
        <v>376</v>
      </c>
      <c r="AR17599" s="4" t="s">
        <v>377</v>
      </c>
    </row>
    <row r="17600" spans="1:44">
      <c r="A17600" s="4" t="s">
        <v>10753</v>
      </c>
      <c r="B17600" s="4">
        <v>642848</v>
      </c>
      <c r="D17600" s="5" t="s">
        <v>21449</v>
      </c>
      <c r="E17600" s="6" t="str">
        <f>HYPERLINK("https://inpn.mnhn.fr/espece/cd_nom/642848","Atheta occulta (Erichson, 1837)")</f>
        <v>Atheta occulta (Erichson, 1837)</v>
      </c>
      <c r="AH17600" s="4" t="str">
        <f>HYPERLINK("#Statut_biogéographique!A"&amp;_xlfn.XMATCH("P",Statut_biogéographique!A:A,2,1),"P")</f>
        <v>P</v>
      </c>
      <c r="AP17600" s="4" t="s">
        <v>376</v>
      </c>
      <c r="AR17600" s="4" t="s">
        <v>377</v>
      </c>
    </row>
    <row r="17601" spans="1:44">
      <c r="A17601" s="4" t="s">
        <v>10753</v>
      </c>
      <c r="B17601" s="4">
        <v>642853</v>
      </c>
      <c r="D17601" s="5" t="s">
        <v>21450</v>
      </c>
      <c r="E17601" s="6" t="str">
        <f>HYPERLINK("https://inpn.mnhn.fr/espece/cd_nom/642853","Atheta pallidicornis (C.G. Thomson, 1856)")</f>
        <v>Atheta pallidicornis (C.G. Thomson, 1856)</v>
      </c>
      <c r="AH17601" s="4" t="str">
        <f>HYPERLINK("#Statut_biogéographique!A"&amp;_xlfn.XMATCH("P",Statut_biogéographique!A:A,2,1),"P")</f>
        <v>P</v>
      </c>
      <c r="AP17601" s="4" t="s">
        <v>376</v>
      </c>
      <c r="AR17601" s="4" t="s">
        <v>377</v>
      </c>
    </row>
    <row r="17602" spans="1:44">
      <c r="A17602" s="4" t="s">
        <v>10753</v>
      </c>
      <c r="B17602" s="4">
        <v>642867</v>
      </c>
      <c r="D17602" s="5" t="s">
        <v>21451</v>
      </c>
      <c r="E17602" s="6" t="str">
        <f>HYPERLINK("https://inpn.mnhn.fr/espece/cd_nom/642867","Atheta ravilla (Erichson, 1839)")</f>
        <v>Atheta ravilla (Erichson, 1839)</v>
      </c>
      <c r="AH17602" s="4" t="str">
        <f>HYPERLINK("#Statut_biogéographique!A"&amp;_xlfn.XMATCH("P",Statut_biogéographique!A:A,2,1),"P")</f>
        <v>P</v>
      </c>
      <c r="AP17602" s="4" t="s">
        <v>376</v>
      </c>
      <c r="AR17602" s="4" t="s">
        <v>377</v>
      </c>
    </row>
    <row r="17603" spans="1:44">
      <c r="A17603" s="4" t="s">
        <v>10753</v>
      </c>
      <c r="B17603" s="4">
        <v>642875</v>
      </c>
      <c r="D17603" s="5" t="s">
        <v>21452</v>
      </c>
      <c r="E17603" s="6" t="str">
        <f>HYPERLINK("https://inpn.mnhn.fr/espece/cd_nom/642875","Atheta sodalis (Erichson, 1837)")</f>
        <v>Atheta sodalis (Erichson, 1837)</v>
      </c>
      <c r="AH17603" s="4" t="str">
        <f>HYPERLINK("#Statut_biogéographique!A"&amp;_xlfn.XMATCH("P",Statut_biogéographique!A:A,2,1),"P")</f>
        <v>P</v>
      </c>
      <c r="AP17603" s="4" t="s">
        <v>376</v>
      </c>
      <c r="AR17603" s="4" t="s">
        <v>377</v>
      </c>
    </row>
    <row r="17604" spans="1:44">
      <c r="A17604" s="4" t="s">
        <v>10753</v>
      </c>
      <c r="B17604" s="4">
        <v>642887</v>
      </c>
      <c r="D17604" s="5" t="s">
        <v>21453</v>
      </c>
      <c r="E17604" s="6" t="str">
        <f>HYPERLINK("https://inpn.mnhn.fr/espece/cd_nom/642887","Atheta trinotata (Kraatz, 1856)")</f>
        <v>Atheta trinotata (Kraatz, 1856)</v>
      </c>
      <c r="AH17604" s="4" t="str">
        <f>HYPERLINK("#Statut_biogéographique!A"&amp;_xlfn.XMATCH("P",Statut_biogéographique!A:A,2,1),"P")</f>
        <v>P</v>
      </c>
      <c r="AP17604" s="4" t="s">
        <v>376</v>
      </c>
      <c r="AR17604" s="4" t="s">
        <v>377</v>
      </c>
    </row>
    <row r="17605" spans="1:44">
      <c r="A17605" s="4" t="s">
        <v>10753</v>
      </c>
      <c r="B17605" s="4">
        <v>642897</v>
      </c>
      <c r="D17605" s="5" t="s">
        <v>21454</v>
      </c>
      <c r="E17605" s="6" t="str">
        <f>HYPERLINK("https://inpn.mnhn.fr/espece/cd_nom/642897","Bolitochara obliqua Erichson, 1837")</f>
        <v>Bolitochara obliqua Erichson, 1837</v>
      </c>
      <c r="AH17605" s="4" t="str">
        <f>HYPERLINK("#Statut_biogéographique!A"&amp;_xlfn.XMATCH("P",Statut_biogéographique!A:A,2,1),"P")</f>
        <v>P</v>
      </c>
      <c r="AP17605" s="4" t="s">
        <v>376</v>
      </c>
      <c r="AR17605" s="4" t="s">
        <v>377</v>
      </c>
    </row>
    <row r="17606" spans="1:44">
      <c r="A17606" s="4" t="s">
        <v>10753</v>
      </c>
      <c r="B17606" s="4">
        <v>642926</v>
      </c>
      <c r="D17606" s="5" t="s">
        <v>21455</v>
      </c>
      <c r="E17606" s="6" t="str">
        <f>HYPERLINK("https://inpn.mnhn.fr/espece/cd_nom/642926","Deinopsis erosa (Stephens, 1832)")</f>
        <v>Deinopsis erosa (Stephens, 1832)</v>
      </c>
      <c r="AH17606" s="4" t="str">
        <f>HYPERLINK("#Statut_biogéographique!A"&amp;_xlfn.XMATCH("P",Statut_biogéographique!A:A,2,1),"P")</f>
        <v>P</v>
      </c>
      <c r="AP17606" s="4" t="s">
        <v>376</v>
      </c>
      <c r="AR17606" s="4" t="s">
        <v>377</v>
      </c>
    </row>
    <row r="17607" spans="1:44">
      <c r="A17607" s="4" t="s">
        <v>10753</v>
      </c>
      <c r="B17607" s="4">
        <v>642930</v>
      </c>
      <c r="D17607" s="5" t="s">
        <v>21456</v>
      </c>
      <c r="E17607" s="6" t="str">
        <f>HYPERLINK("https://inpn.mnhn.fr/espece/cd_nom/642930","Dexiogyia corticina (Erichson, 1837)")</f>
        <v>Dexiogyia corticina (Erichson, 1837)</v>
      </c>
      <c r="AH17607" s="4" t="str">
        <f>HYPERLINK("#Statut_biogéographique!A"&amp;_xlfn.XMATCH("P",Statut_biogéographique!A:A,2,1),"P")</f>
        <v>P</v>
      </c>
      <c r="AP17607" s="4" t="s">
        <v>376</v>
      </c>
      <c r="AR17607" s="4" t="s">
        <v>377</v>
      </c>
    </row>
    <row r="17608" spans="1:44">
      <c r="A17608" s="4" t="s">
        <v>10753</v>
      </c>
      <c r="B17608" s="4">
        <v>642936</v>
      </c>
      <c r="D17608" s="5" t="s">
        <v>21457</v>
      </c>
      <c r="E17608" s="6" t="str">
        <f>HYPERLINK("https://inpn.mnhn.fr/espece/cd_nom/642936","Dinaraea aequata (Erichson, 1837)")</f>
        <v>Dinaraea aequata (Erichson, 1837)</v>
      </c>
      <c r="AH17608" s="4" t="str">
        <f>HYPERLINK("#Statut_biogéographique!A"&amp;_xlfn.XMATCH("P",Statut_biogéographique!A:A,2,1),"P")</f>
        <v>P</v>
      </c>
      <c r="AP17608" s="4" t="s">
        <v>376</v>
      </c>
      <c r="AR17608" s="4" t="s">
        <v>377</v>
      </c>
    </row>
    <row r="17609" spans="1:44">
      <c r="A17609" s="4" t="s">
        <v>10753</v>
      </c>
      <c r="B17609" s="4">
        <v>642939</v>
      </c>
      <c r="D17609" s="5" t="s">
        <v>21458</v>
      </c>
      <c r="E17609" s="6" t="str">
        <f>HYPERLINK("https://inpn.mnhn.fr/espece/cd_nom/642939","Dinaraea linearis (Gravenhorst, 1802)")</f>
        <v>Dinaraea linearis (Gravenhorst, 1802)</v>
      </c>
      <c r="AH17609" s="4" t="str">
        <f>HYPERLINK("#Statut_biogéographique!A"&amp;_xlfn.XMATCH("P",Statut_biogéographique!A:A,2,1),"P")</f>
        <v>P</v>
      </c>
      <c r="AP17609" s="4" t="s">
        <v>376</v>
      </c>
      <c r="AR17609" s="4" t="s">
        <v>377</v>
      </c>
    </row>
    <row r="17610" spans="1:44">
      <c r="A17610" s="4" t="s">
        <v>10753</v>
      </c>
      <c r="B17610" s="4">
        <v>642948</v>
      </c>
      <c r="D17610" s="5" t="s">
        <v>21459</v>
      </c>
      <c r="E17610" s="6" t="str">
        <f>HYPERLINK("https://inpn.mnhn.fr/espece/cd_nom/642948","Enalodroma hepatica (Erichson, 1839)")</f>
        <v>Enalodroma hepatica (Erichson, 1839)</v>
      </c>
      <c r="AH17610" s="4" t="str">
        <f>HYPERLINK("#Statut_biogéographique!A"&amp;_xlfn.XMATCH("P",Statut_biogéographique!A:A,2,1),"P")</f>
        <v>P</v>
      </c>
      <c r="AP17610" s="4" t="s">
        <v>376</v>
      </c>
      <c r="AR17610" s="4" t="s">
        <v>377</v>
      </c>
    </row>
    <row r="17611" spans="1:44">
      <c r="A17611" s="4" t="s">
        <v>10753</v>
      </c>
      <c r="B17611" s="4">
        <v>642956</v>
      </c>
      <c r="D17611" s="5" t="s">
        <v>21460</v>
      </c>
      <c r="E17611" s="6" t="str">
        <f>HYPERLINK("https://inpn.mnhn.fr/espece/cd_nom/642956","Falagria sulcatula (Gravenhorst, 1806)")</f>
        <v>Falagria sulcatula (Gravenhorst, 1806)</v>
      </c>
      <c r="AH17611" s="4" t="str">
        <f>HYPERLINK("#Statut_biogéographique!A"&amp;_xlfn.XMATCH("P",Statut_biogéographique!A:A,2,1),"P")</f>
        <v>P</v>
      </c>
      <c r="AP17611" s="4" t="s">
        <v>376</v>
      </c>
      <c r="AR17611" s="4" t="s">
        <v>377</v>
      </c>
    </row>
    <row r="17612" spans="1:44">
      <c r="A17612" s="4" t="s">
        <v>10753</v>
      </c>
      <c r="B17612" s="4">
        <v>642957</v>
      </c>
      <c r="D17612" s="5" t="s">
        <v>21461</v>
      </c>
      <c r="E17612" s="6" t="str">
        <f>HYPERLINK("https://inpn.mnhn.fr/espece/cd_nom/642957","Falagrioma thoracica (Stephens, 1832)")</f>
        <v>Falagrioma thoracica (Stephens, 1832)</v>
      </c>
      <c r="AH17612" s="4" t="str">
        <f>HYPERLINK("#Statut_biogéographique!A"&amp;_xlfn.XMATCH("P",Statut_biogéographique!A:A,2,1),"P")</f>
        <v>P</v>
      </c>
      <c r="AP17612" s="4" t="s">
        <v>376</v>
      </c>
      <c r="AR17612" s="4" t="s">
        <v>377</v>
      </c>
    </row>
    <row r="17613" spans="1:44">
      <c r="A17613" s="4" t="s">
        <v>10753</v>
      </c>
      <c r="B17613" s="4">
        <v>642967</v>
      </c>
      <c r="D17613" s="5" t="s">
        <v>21462</v>
      </c>
      <c r="E17613" s="6" t="str">
        <f>HYPERLINK("https://inpn.mnhn.fr/espece/cd_nom/642967","Gymnusa brevicollis (Paykull, 1800)")</f>
        <v>Gymnusa brevicollis (Paykull, 1800)</v>
      </c>
      <c r="AH17613" s="4" t="str">
        <f>HYPERLINK("#Statut_biogéographique!A"&amp;_xlfn.XMATCH("P",Statut_biogéographique!A:A,2,1),"P")</f>
        <v>P</v>
      </c>
      <c r="AP17613" s="4" t="s">
        <v>376</v>
      </c>
      <c r="AR17613" s="4" t="s">
        <v>377</v>
      </c>
    </row>
    <row r="17614" spans="1:44">
      <c r="A17614" s="4" t="s">
        <v>10753</v>
      </c>
      <c r="B17614" s="4">
        <v>642978</v>
      </c>
      <c r="D17614" s="5">
        <v>642978</v>
      </c>
      <c r="E17614" s="6" t="str">
        <f>HYPERLINK("https://inpn.mnhn.fr/espece/cd_nom/642978","Gyrophaena munsteri A. Strand, 1935")</f>
        <v>Gyrophaena munsteri A. Strand, 1935</v>
      </c>
      <c r="AH17614" s="4" t="str">
        <f>HYPERLINK("#Statut_biogéographique!A"&amp;_xlfn.XMATCH("P",Statut_biogéographique!A:A,2,1),"P")</f>
        <v>P</v>
      </c>
      <c r="AP17614" s="4" t="s">
        <v>376</v>
      </c>
      <c r="AR17614" s="4" t="s">
        <v>377</v>
      </c>
    </row>
    <row r="17615" spans="1:44">
      <c r="A17615" s="4" t="s">
        <v>10753</v>
      </c>
      <c r="B17615" s="4">
        <v>642982</v>
      </c>
      <c r="D17615" s="5" t="s">
        <v>21463</v>
      </c>
      <c r="E17615" s="6" t="str">
        <f>HYPERLINK("https://inpn.mnhn.fr/espece/cd_nom/642982","Gyrophaena polita (Gravenhorst, 1802)")</f>
        <v>Gyrophaena polita (Gravenhorst, 1802)</v>
      </c>
      <c r="AH17615" s="4" t="str">
        <f>HYPERLINK("#Statut_biogéographique!A"&amp;_xlfn.XMATCH("P",Statut_biogéographique!A:A,2,1),"P")</f>
        <v>P</v>
      </c>
      <c r="AP17615" s="4" t="s">
        <v>376</v>
      </c>
      <c r="AR17615" s="4" t="s">
        <v>377</v>
      </c>
    </row>
    <row r="17616" spans="1:44">
      <c r="A17616" s="4" t="s">
        <v>10753</v>
      </c>
      <c r="B17616" s="4">
        <v>642983</v>
      </c>
      <c r="D17616" s="5" t="s">
        <v>21464</v>
      </c>
      <c r="E17616" s="6" t="str">
        <f>HYPERLINK("https://inpn.mnhn.fr/espece/cd_nom/642983","Gyrophaena poweri Crotch, 1867")</f>
        <v>Gyrophaena poweri Crotch, 1867</v>
      </c>
      <c r="AH17616" s="4" t="str">
        <f>HYPERLINK("#Statut_biogéographique!A"&amp;_xlfn.XMATCH("P",Statut_biogéographique!A:A,2,1),"P")</f>
        <v>P</v>
      </c>
      <c r="AP17616" s="4" t="s">
        <v>376</v>
      </c>
      <c r="AR17616" s="4" t="s">
        <v>377</v>
      </c>
    </row>
    <row r="17617" spans="1:44">
      <c r="A17617" s="4" t="s">
        <v>10753</v>
      </c>
      <c r="B17617" s="4">
        <v>642985</v>
      </c>
      <c r="D17617" s="5">
        <v>642985</v>
      </c>
      <c r="E17617" s="6" t="str">
        <f>HYPERLINK("https://inpn.mnhn.fr/espece/cd_nom/642985","Gyrophaena strictula Erichson, 1839")</f>
        <v>Gyrophaena strictula Erichson, 1839</v>
      </c>
      <c r="AH17617" s="4" t="str">
        <f>HYPERLINK("#Statut_biogéographique!A"&amp;_xlfn.XMATCH("P",Statut_biogéographique!A:A,2,1),"P")</f>
        <v>P</v>
      </c>
      <c r="AP17617" s="4" t="s">
        <v>376</v>
      </c>
      <c r="AR17617" s="4" t="s">
        <v>377</v>
      </c>
    </row>
    <row r="17618" spans="1:44">
      <c r="A17618" s="4" t="s">
        <v>10753</v>
      </c>
      <c r="B17618" s="4">
        <v>642998</v>
      </c>
      <c r="D17618" s="5" t="s">
        <v>21465</v>
      </c>
      <c r="E17618" s="6" t="str">
        <f>HYPERLINK("https://inpn.mnhn.fr/espece/cd_nom/642998","Homoeusa acuminata (Märkel, 1842)")</f>
        <v>Homoeusa acuminata (Märkel, 1842)</v>
      </c>
      <c r="AH17618" s="4" t="str">
        <f>HYPERLINK("#Statut_biogéographique!A"&amp;_xlfn.XMATCH("P",Statut_biogéographique!A:A,2,1),"P")</f>
        <v>P</v>
      </c>
      <c r="AP17618" s="4" t="s">
        <v>376</v>
      </c>
      <c r="AR17618" s="4" t="s">
        <v>377</v>
      </c>
    </row>
    <row r="17619" spans="1:44">
      <c r="A17619" s="4" t="s">
        <v>10753</v>
      </c>
      <c r="B17619" s="4">
        <v>643016</v>
      </c>
      <c r="D17619" s="5" t="s">
        <v>21466</v>
      </c>
      <c r="E17619" s="6" t="str">
        <f>HYPERLINK("https://inpn.mnhn.fr/espece/cd_nom/643016","Hygronoma dimidiata (Gravenhorst, 1806)")</f>
        <v>Hygronoma dimidiata (Gravenhorst, 1806)</v>
      </c>
      <c r="AH17619" s="4" t="str">
        <f>HYPERLINK("#Statut_biogéographique!A"&amp;_xlfn.XMATCH("P",Statut_biogéographique!A:A,2,1),"P")</f>
        <v>P</v>
      </c>
      <c r="AP17619" s="4" t="s">
        <v>376</v>
      </c>
      <c r="AR17619" s="4" t="s">
        <v>377</v>
      </c>
    </row>
    <row r="17620" spans="1:44">
      <c r="A17620" s="4" t="s">
        <v>10753</v>
      </c>
      <c r="B17620" s="4">
        <v>643020</v>
      </c>
      <c r="D17620" s="5" t="s">
        <v>21467</v>
      </c>
      <c r="E17620" s="6" t="str">
        <f>HYPERLINK("https://inpn.mnhn.fr/espece/cd_nom/643020","Ischnoglossa prolixa (Gravenhorst, 1802)")</f>
        <v>Ischnoglossa prolixa (Gravenhorst, 1802)</v>
      </c>
      <c r="AH17620" s="4" t="str">
        <f>HYPERLINK("#Statut_biogéographique!A"&amp;_xlfn.XMATCH("P",Statut_biogéographique!A:A,2,1),"P")</f>
        <v>P</v>
      </c>
      <c r="AP17620" s="4" t="s">
        <v>376</v>
      </c>
      <c r="AR17620" s="4" t="s">
        <v>377</v>
      </c>
    </row>
    <row r="17621" spans="1:44" ht="30">
      <c r="A17621" s="4" t="s">
        <v>10753</v>
      </c>
      <c r="B17621" s="4">
        <v>643025</v>
      </c>
      <c r="D17621" s="5" t="s">
        <v>21468</v>
      </c>
      <c r="E17621" s="6" t="str">
        <f>HYPERLINK("https://inpn.mnhn.fr/espece/cd_nom/643025","Liogluta granigera (Kiesenwetter, 1850)")</f>
        <v>Liogluta granigera (Kiesenwetter, 1850)</v>
      </c>
      <c r="AH17621" s="4" t="str">
        <f>HYPERLINK("#Statut_biogéographique!A"&amp;_xlfn.XMATCH("P",Statut_biogéographique!A:A,2,1),"P")</f>
        <v>P</v>
      </c>
      <c r="AP17621" s="4" t="s">
        <v>376</v>
      </c>
      <c r="AR17621" s="4" t="s">
        <v>377</v>
      </c>
    </row>
    <row r="17622" spans="1:44">
      <c r="A17622" s="4" t="s">
        <v>10753</v>
      </c>
      <c r="B17622" s="4">
        <v>643033</v>
      </c>
      <c r="D17622" s="5" t="s">
        <v>21469</v>
      </c>
      <c r="E17622" s="6" t="str">
        <f>HYPERLINK("https://inpn.mnhn.fr/espece/cd_nom/643033","Lomechusa emarginata (Paykull, 1789)")</f>
        <v>Lomechusa emarginata (Paykull, 1789)</v>
      </c>
      <c r="AH17622" s="4" t="str">
        <f>HYPERLINK("#Statut_biogéographique!A"&amp;_xlfn.XMATCH("P",Statut_biogéographique!A:A,2,1),"P")</f>
        <v>P</v>
      </c>
      <c r="AP17622" s="4" t="s">
        <v>376</v>
      </c>
      <c r="AR17622" s="4" t="s">
        <v>377</v>
      </c>
    </row>
    <row r="17623" spans="1:44">
      <c r="A17623" s="4" t="s">
        <v>10753</v>
      </c>
      <c r="B17623" s="4">
        <v>643034</v>
      </c>
      <c r="D17623" s="5" t="s">
        <v>21470</v>
      </c>
      <c r="E17623" s="6" t="str">
        <f>HYPERLINK("https://inpn.mnhn.fr/espece/cd_nom/643034","Lomechusa paradoxa Gravenhorst, 1806")</f>
        <v>Lomechusa paradoxa Gravenhorst, 1806</v>
      </c>
      <c r="AH17623" s="4" t="str">
        <f>HYPERLINK("#Statut_biogéographique!A"&amp;_xlfn.XMATCH("P",Statut_biogéographique!A:A,2,1),"P")</f>
        <v>P</v>
      </c>
      <c r="AP17623" s="4" t="s">
        <v>376</v>
      </c>
      <c r="AR17623" s="4" t="s">
        <v>377</v>
      </c>
    </row>
    <row r="17624" spans="1:44">
      <c r="A17624" s="4" t="s">
        <v>10753</v>
      </c>
      <c r="B17624" s="4">
        <v>643055</v>
      </c>
      <c r="D17624" s="5">
        <v>643055</v>
      </c>
      <c r="E17624" s="6" t="str">
        <f>HYPERLINK("https://inpn.mnhn.fr/espece/cd_nom/643055","Myllaena intermedia Erichson, 1837")</f>
        <v>Myllaena intermedia Erichson, 1837</v>
      </c>
      <c r="AH17624" s="4" t="str">
        <f>HYPERLINK("#Statut_biogéographique!A"&amp;_xlfn.XMATCH("P",Statut_biogéographique!A:A,2,1),"P")</f>
        <v>P</v>
      </c>
      <c r="AP17624" s="4" t="s">
        <v>376</v>
      </c>
      <c r="AR17624" s="4" t="s">
        <v>377</v>
      </c>
    </row>
    <row r="17625" spans="1:44">
      <c r="A17625" s="4" t="s">
        <v>10753</v>
      </c>
      <c r="B17625" s="4">
        <v>643057</v>
      </c>
      <c r="D17625" s="5" t="s">
        <v>21471</v>
      </c>
      <c r="E17625" s="6" t="str">
        <f>HYPERLINK("https://inpn.mnhn.fr/espece/cd_nom/643057","Myllaena minuta (Gravenhorst, 1806)")</f>
        <v>Myllaena minuta (Gravenhorst, 1806)</v>
      </c>
      <c r="AH17625" s="4" t="str">
        <f>HYPERLINK("#Statut_biogéographique!A"&amp;_xlfn.XMATCH("P",Statut_biogéographique!A:A,2,1),"P")</f>
        <v>P</v>
      </c>
      <c r="AP17625" s="4" t="s">
        <v>376</v>
      </c>
      <c r="AR17625" s="4" t="s">
        <v>377</v>
      </c>
    </row>
    <row r="17626" spans="1:44" ht="30">
      <c r="A17626" s="4" t="s">
        <v>10753</v>
      </c>
      <c r="B17626" s="4">
        <v>643065</v>
      </c>
      <c r="D17626" s="5" t="s">
        <v>21472</v>
      </c>
      <c r="E17626" s="6" t="str">
        <f>HYPERLINK("https://inpn.mnhn.fr/espece/cd_nom/643065","Nehemitropia lividipennis (Mannerheim, 1830)")</f>
        <v>Nehemitropia lividipennis (Mannerheim, 1830)</v>
      </c>
      <c r="AH17626" s="4" t="str">
        <f>HYPERLINK("#Statut_biogéographique!A"&amp;_xlfn.XMATCH("P",Statut_biogéographique!A:A,2,1),"P")</f>
        <v>P</v>
      </c>
      <c r="AP17626" s="4" t="s">
        <v>376</v>
      </c>
      <c r="AR17626" s="4" t="s">
        <v>377</v>
      </c>
    </row>
    <row r="17627" spans="1:44">
      <c r="A17627" s="4" t="s">
        <v>10753</v>
      </c>
      <c r="B17627" s="4">
        <v>643089</v>
      </c>
      <c r="D17627" s="5" t="s">
        <v>21473</v>
      </c>
      <c r="E17627" s="6" t="str">
        <f>HYPERLINK("https://inpn.mnhn.fr/espece/cd_nom/643089","Oxypoda carbonaria (Heer, 1841)")</f>
        <v>Oxypoda carbonaria (Heer, 1841)</v>
      </c>
      <c r="AH17627" s="4" t="str">
        <f>HYPERLINK("#Statut_biogéographique!A"&amp;_xlfn.XMATCH("P",Statut_biogéographique!A:A,2,1),"P")</f>
        <v>P</v>
      </c>
      <c r="AP17627" s="4" t="s">
        <v>376</v>
      </c>
      <c r="AR17627" s="4" t="s">
        <v>377</v>
      </c>
    </row>
    <row r="17628" spans="1:44">
      <c r="A17628" s="4" t="s">
        <v>10753</v>
      </c>
      <c r="B17628" s="4">
        <v>643110</v>
      </c>
      <c r="D17628" s="5" t="s">
        <v>21474</v>
      </c>
      <c r="E17628" s="6" t="str">
        <f>HYPERLINK("https://inpn.mnhn.fr/espece/cd_nom/643110","Oxypoda opaca (Gravenhorst, 1802)")</f>
        <v>Oxypoda opaca (Gravenhorst, 1802)</v>
      </c>
      <c r="AH17628" s="4" t="str">
        <f>HYPERLINK("#Statut_biogéographique!A"&amp;_xlfn.XMATCH("P",Statut_biogéographique!A:A,2,1),"P")</f>
        <v>P</v>
      </c>
      <c r="AP17628" s="4" t="s">
        <v>376</v>
      </c>
      <c r="AR17628" s="4" t="s">
        <v>377</v>
      </c>
    </row>
    <row r="17629" spans="1:44">
      <c r="A17629" s="4" t="s">
        <v>10753</v>
      </c>
      <c r="B17629" s="4">
        <v>643128</v>
      </c>
      <c r="D17629" s="5" t="s">
        <v>21475</v>
      </c>
      <c r="E17629" s="6" t="str">
        <f>HYPERLINK("https://inpn.mnhn.fr/espece/cd_nom/643128","Pachnida nigella (Erichson, 1837)")</f>
        <v>Pachnida nigella (Erichson, 1837)</v>
      </c>
      <c r="AH17629" s="4" t="str">
        <f>HYPERLINK("#Statut_biogéographique!A"&amp;_xlfn.XMATCH("P",Statut_biogéographique!A:A,2,1),"P")</f>
        <v>P</v>
      </c>
      <c r="AP17629" s="4" t="s">
        <v>376</v>
      </c>
      <c r="AR17629" s="4" t="s">
        <v>377</v>
      </c>
    </row>
    <row r="17630" spans="1:44">
      <c r="A17630" s="4" t="s">
        <v>10753</v>
      </c>
      <c r="B17630" s="4">
        <v>643135</v>
      </c>
      <c r="D17630" s="5" t="s">
        <v>21476</v>
      </c>
      <c r="E17630" s="6" t="str">
        <f>HYPERLINK("https://inpn.mnhn.fr/espece/cd_nom/643135","Phloeopora teres (Gravenhorst, 1802)")</f>
        <v>Phloeopora teres (Gravenhorst, 1802)</v>
      </c>
      <c r="AH17630" s="4" t="str">
        <f>HYPERLINK("#Statut_biogéographique!A"&amp;_xlfn.XMATCH("P",Statut_biogéographique!A:A,2,1),"P")</f>
        <v>P</v>
      </c>
      <c r="AP17630" s="4" t="s">
        <v>376</v>
      </c>
      <c r="AR17630" s="4" t="s">
        <v>377</v>
      </c>
    </row>
    <row r="17631" spans="1:44">
      <c r="A17631" s="4" t="s">
        <v>10753</v>
      </c>
      <c r="B17631" s="4">
        <v>643138</v>
      </c>
      <c r="D17631" s="5">
        <v>643138</v>
      </c>
      <c r="E17631" s="6" t="str">
        <f>HYPERLINK("https://inpn.mnhn.fr/espece/cd_nom/643138","Placusa depressa Mäklin, 1845")</f>
        <v>Placusa depressa Mäklin, 1845</v>
      </c>
      <c r="AH17631" s="4" t="str">
        <f>HYPERLINK("#Statut_biogéographique!A"&amp;_xlfn.XMATCH("P",Statut_biogéographique!A:A,2,1),"P")</f>
        <v>P</v>
      </c>
      <c r="AP17631" s="4" t="s">
        <v>376</v>
      </c>
      <c r="AR17631" s="4" t="s">
        <v>377</v>
      </c>
    </row>
    <row r="17632" spans="1:44">
      <c r="A17632" s="4" t="s">
        <v>10753</v>
      </c>
      <c r="B17632" s="4">
        <v>643141</v>
      </c>
      <c r="D17632" s="5" t="s">
        <v>21477</v>
      </c>
      <c r="E17632" s="6" t="str">
        <f>HYPERLINK("https://inpn.mnhn.fr/espece/cd_nom/643141","Plataraea brunnea (Fabricius, 1798)")</f>
        <v>Plataraea brunnea (Fabricius, 1798)</v>
      </c>
      <c r="AH17632" s="4" t="str">
        <f>HYPERLINK("#Statut_biogéographique!A"&amp;_xlfn.XMATCH("P",Statut_biogéographique!A:A,2,1),"P")</f>
        <v>P</v>
      </c>
      <c r="AP17632" s="4" t="s">
        <v>376</v>
      </c>
      <c r="AR17632" s="4" t="s">
        <v>377</v>
      </c>
    </row>
    <row r="17633" spans="1:44">
      <c r="A17633" s="4" t="s">
        <v>10753</v>
      </c>
      <c r="B17633" s="4">
        <v>643145</v>
      </c>
      <c r="D17633" s="5">
        <v>643145</v>
      </c>
      <c r="E17633" s="6" t="str">
        <f>HYPERLINK("https://inpn.mnhn.fr/espece/cd_nom/643145","Pronomaea rostrata Erichson, 1837")</f>
        <v>Pronomaea rostrata Erichson, 1837</v>
      </c>
      <c r="AH17633" s="4" t="str">
        <f>HYPERLINK("#Statut_biogéographique!A"&amp;_xlfn.XMATCH("P",Statut_biogéographique!A:A,2,1),"P")</f>
        <v>P</v>
      </c>
      <c r="AP17633" s="4" t="s">
        <v>376</v>
      </c>
      <c r="AR17633" s="4" t="s">
        <v>377</v>
      </c>
    </row>
    <row r="17634" spans="1:44">
      <c r="A17634" s="4" t="s">
        <v>10753</v>
      </c>
      <c r="B17634" s="4">
        <v>643155</v>
      </c>
      <c r="D17634" s="5" t="s">
        <v>21478</v>
      </c>
      <c r="E17634" s="6" t="str">
        <f>HYPERLINK("https://inpn.mnhn.fr/espece/cd_nom/643155","Schistoglossa gemina (Erichson, 1837)")</f>
        <v>Schistoglossa gemina (Erichson, 1837)</v>
      </c>
      <c r="AH17634" s="4" t="str">
        <f>HYPERLINK("#Statut_biogéographique!A"&amp;_xlfn.XMATCH("P",Statut_biogéographique!A:A,2,1),"P")</f>
        <v>P</v>
      </c>
      <c r="AP17634" s="4" t="s">
        <v>376</v>
      </c>
      <c r="AR17634" s="4" t="s">
        <v>377</v>
      </c>
    </row>
    <row r="17635" spans="1:44">
      <c r="A17635" s="4" t="s">
        <v>10753</v>
      </c>
      <c r="B17635" s="4">
        <v>643196</v>
      </c>
      <c r="D17635" s="5" t="s">
        <v>21479</v>
      </c>
      <c r="E17635" s="6" t="str">
        <f>HYPERLINK("https://inpn.mnhn.fr/espece/cd_nom/643196","Drusilla canaliculata (Fabricius, 1787)")</f>
        <v>Drusilla canaliculata (Fabricius, 1787)</v>
      </c>
      <c r="AH17635" s="4" t="str">
        <f>HYPERLINK("#Statut_biogéographique!A"&amp;_xlfn.XMATCH("P",Statut_biogéographique!A:A,2,1),"P")</f>
        <v>P</v>
      </c>
      <c r="AP17635" s="4" t="s">
        <v>376</v>
      </c>
      <c r="AR17635" s="4" t="s">
        <v>377</v>
      </c>
    </row>
    <row r="17636" spans="1:44">
      <c r="A17636" s="4" t="s">
        <v>10753</v>
      </c>
      <c r="B17636" s="4">
        <v>643198</v>
      </c>
      <c r="D17636" s="5">
        <v>643198</v>
      </c>
      <c r="E17636" s="6" t="str">
        <f>HYPERLINK("https://inpn.mnhn.fr/espece/cd_nom/643198","Gyrophaena joyi Wendeler, 1924")</f>
        <v>Gyrophaena joyi Wendeler, 1924</v>
      </c>
      <c r="AH17636" s="4" t="str">
        <f>HYPERLINK("#Statut_biogéographique!A"&amp;_xlfn.XMATCH("P",Statut_biogéographique!A:A,2,1),"P")</f>
        <v>P</v>
      </c>
      <c r="AP17636" s="4" t="s">
        <v>376</v>
      </c>
      <c r="AR17636" s="4" t="s">
        <v>377</v>
      </c>
    </row>
    <row r="17637" spans="1:44">
      <c r="A17637" s="4" t="s">
        <v>10753</v>
      </c>
      <c r="B17637" s="4">
        <v>643200</v>
      </c>
      <c r="D17637" s="5" t="s">
        <v>21480</v>
      </c>
      <c r="E17637" s="6" t="str">
        <f>HYPERLINK("https://inpn.mnhn.fr/espece/cd_nom/643200","Lomechusoides strumosus (Fabricius, 1792)")</f>
        <v>Lomechusoides strumosus (Fabricius, 1792)</v>
      </c>
      <c r="AH17637" s="4" t="str">
        <f>HYPERLINK("#Statut_biogéographique!A"&amp;_xlfn.XMATCH("P",Statut_biogéographique!A:A,2,1),"P")</f>
        <v>P</v>
      </c>
      <c r="AP17637" s="4" t="s">
        <v>376</v>
      </c>
      <c r="AR17637" s="4" t="s">
        <v>377</v>
      </c>
    </row>
    <row r="17638" spans="1:44">
      <c r="A17638" s="4" t="s">
        <v>10753</v>
      </c>
      <c r="B17638" s="4">
        <v>643202</v>
      </c>
      <c r="D17638" s="5" t="s">
        <v>21481</v>
      </c>
      <c r="E17638" s="6" t="str">
        <f>HYPERLINK("https://inpn.mnhn.fr/espece/cd_nom/643202","Phloeopora corticalis (Gravenhorst, 1802)")</f>
        <v>Phloeopora corticalis (Gravenhorst, 1802)</v>
      </c>
      <c r="AH17638" s="4" t="str">
        <f>HYPERLINK("#Statut_biogéographique!A"&amp;_xlfn.XMATCH("P",Statut_biogéographique!A:A,2,1),"P")</f>
        <v>P</v>
      </c>
      <c r="AP17638" s="4" t="s">
        <v>376</v>
      </c>
      <c r="AR17638" s="4" t="s">
        <v>377</v>
      </c>
    </row>
    <row r="17639" spans="1:44">
      <c r="A17639" s="4" t="s">
        <v>10753</v>
      </c>
      <c r="B17639" s="4">
        <v>643450</v>
      </c>
      <c r="D17639" s="5" t="s">
        <v>21482</v>
      </c>
      <c r="E17639" s="6" t="str">
        <f>HYPERLINK("https://inpn.mnhn.fr/espece/cd_nom/643450","Boudinotiana notha (Hübner, 1803)")</f>
        <v>Boudinotiana notha (Hübner, 1803)</v>
      </c>
      <c r="F17639" s="5" t="s">
        <v>21483</v>
      </c>
      <c r="AH17639" s="4" t="str">
        <f>HYPERLINK("#Statut_biogéographique!A"&amp;_xlfn.XMATCH("P",Statut_biogéographique!A:A,2,1),"P")</f>
        <v>P</v>
      </c>
      <c r="AP17639" s="4" t="s">
        <v>376</v>
      </c>
      <c r="AR17639" s="4" t="s">
        <v>377</v>
      </c>
    </row>
    <row r="17640" spans="1:44" ht="30">
      <c r="A17640" s="4" t="s">
        <v>10753</v>
      </c>
      <c r="B17640" s="4">
        <v>643451</v>
      </c>
      <c r="D17640" s="5" t="s">
        <v>21484</v>
      </c>
      <c r="E17640" s="6" t="str">
        <f>HYPERLINK("https://inpn.mnhn.fr/espece/cd_nom/643451","Boudinotiana touranginii (Berce, 1870)")</f>
        <v>Boudinotiana touranginii (Berce, 1870)</v>
      </c>
      <c r="F17640" s="5" t="s">
        <v>21485</v>
      </c>
      <c r="AH17640" s="4" t="str">
        <f>HYPERLINK("#Statut_biogéographique!A"&amp;_xlfn.XMATCH("P",Statut_biogéographique!A:A,2,1),"P")</f>
        <v>P</v>
      </c>
      <c r="AP17640" s="4" t="s">
        <v>376</v>
      </c>
      <c r="AR17640" s="4" t="s">
        <v>377</v>
      </c>
    </row>
    <row r="17641" spans="1:44">
      <c r="A17641" s="4" t="s">
        <v>10753</v>
      </c>
      <c r="B17641" s="4">
        <v>643985</v>
      </c>
      <c r="D17641" s="5" t="s">
        <v>21486</v>
      </c>
      <c r="E17641" s="6" t="str">
        <f>HYPERLINK("https://inpn.mnhn.fr/espece/cd_nom/643985","Lapposyrphus lapponicus (Zetterstedt, 1838)")</f>
        <v>Lapposyrphus lapponicus (Zetterstedt, 1838)</v>
      </c>
      <c r="P17641" s="7" t="str">
        <f>HYPERLINK("#Liste_rouge!A"&amp;_xlfn.XMATCH("LC",Liste_rouge!A:A,2,1),"LC")</f>
        <v>LC</v>
      </c>
      <c r="AH17641" s="4" t="str">
        <f>HYPERLINK("#Statut_biogéographique!A"&amp;_xlfn.XMATCH("P",Statut_biogéographique!A:A,2,1),"P")</f>
        <v>P</v>
      </c>
      <c r="AP17641" s="4" t="s">
        <v>376</v>
      </c>
      <c r="AR17641" s="4" t="s">
        <v>377</v>
      </c>
    </row>
    <row r="17642" spans="1:44">
      <c r="A17642" s="4" t="s">
        <v>10753</v>
      </c>
      <c r="B17642" s="4">
        <v>643987</v>
      </c>
      <c r="D17642" s="5" t="s">
        <v>21487</v>
      </c>
      <c r="E17642" s="6" t="str">
        <f>HYPERLINK("https://inpn.mnhn.fr/espece/cd_nom/643987","Megasyrphus erraticus (Linnaeus, 1758)")</f>
        <v>Megasyrphus erraticus (Linnaeus, 1758)</v>
      </c>
      <c r="P17642" s="7" t="str">
        <f>HYPERLINK("#Liste_rouge!A"&amp;_xlfn.XMATCH("LC",Liste_rouge!A:A,2,1),"LC")</f>
        <v>LC</v>
      </c>
      <c r="AH17642" s="4" t="str">
        <f>HYPERLINK("#Statut_biogéographique!A"&amp;_xlfn.XMATCH("P",Statut_biogéographique!A:A,2,1),"P")</f>
        <v>P</v>
      </c>
      <c r="AP17642" s="4" t="s">
        <v>376</v>
      </c>
      <c r="AR17642" s="4" t="s">
        <v>377</v>
      </c>
    </row>
    <row r="17643" spans="1:44" ht="30">
      <c r="A17643" s="4" t="s">
        <v>10753</v>
      </c>
      <c r="B17643" s="4">
        <v>644013</v>
      </c>
      <c r="D17643" s="5">
        <v>644013</v>
      </c>
      <c r="E17643" s="6" t="str">
        <f>HYPERLINK("https://inpn.mnhn.fr/espece/cd_nom/644013","Volucella bombylans var. bombylans (Linnaeus, 1758)")</f>
        <v>Volucella bombylans var. bombylans (Linnaeus, 1758)</v>
      </c>
      <c r="AH17643" s="4" t="str">
        <f>HYPERLINK("#Statut_biogéographique!A"&amp;_xlfn.XMATCH("P",Statut_biogéographique!A:A,2,1),"P")</f>
        <v>P</v>
      </c>
      <c r="AP17643" s="4" t="s">
        <v>376</v>
      </c>
      <c r="AR17643" s="4" t="s">
        <v>377</v>
      </c>
    </row>
    <row r="17644" spans="1:44" ht="45">
      <c r="A17644" s="4" t="s">
        <v>10753</v>
      </c>
      <c r="B17644" s="4">
        <v>64435</v>
      </c>
      <c r="D17644" s="5" t="s">
        <v>21488</v>
      </c>
      <c r="E17644" s="6" t="str">
        <f>HYPERLINK("https://inpn.mnhn.fr/espece/cd_nom/64435","Margaritifera margaritifera (Linnaeus, 1758)")</f>
        <v>Margaritifera margaritifera (Linnaeus, 1758)</v>
      </c>
      <c r="F17644" s="5" t="s">
        <v>21489</v>
      </c>
      <c r="I17644" s="4" t="str">
        <f>HYPERLINK("#Réglementation!A"&amp;_xlfn.XMATCH("IBE3",Réglementation!A:A,2,1),"IBE3")</f>
        <v>IBE3</v>
      </c>
      <c r="K17644" s="4" t="str">
        <f>HYPERLINK("#Réglementation!A"&amp;_xlfn.XMATCH("CDH2",Réglementation!A:A,2,1),"CDH2 - CDH5")</f>
        <v>CDH2 - CDH5</v>
      </c>
      <c r="L17644" s="4" t="str">
        <f>HYPERLINK("#Réglementation!A"&amp;_xlfn.XMATCH("NMO2",Réglementation!A:A,2,1),"NMO2")</f>
        <v>NMO2</v>
      </c>
      <c r="O17644" s="7" t="str">
        <f>HYPERLINK("#Liste_rouge!A"&amp;_xlfn.XMATCH("EN",Liste_rouge!A:A,2,1),"EN")</f>
        <v>EN</v>
      </c>
      <c r="P17644" s="7" t="str">
        <f>HYPERLINK("#Liste_rouge!A"&amp;_xlfn.XMATCH("CR",Liste_rouge!A:A,2,1),"CR")</f>
        <v>CR</v>
      </c>
      <c r="Q17644" s="7" t="str">
        <f>HYPERLINK("#Liste_rouge!A"&amp;_xlfn.XMATCH("EN",Liste_rouge!A:A,2,1),"EN")</f>
        <v>EN</v>
      </c>
      <c r="AE17644" s="4" t="str">
        <f>HYPERLINK("#SCAP!A"&amp;_xlfn.XMATCH("7",SCAP!A:A,2,1),"7")</f>
        <v>7</v>
      </c>
      <c r="AF17644" s="4" t="str">
        <f>HYPERLINK("#SCAP!A"&amp;_xlfn.XMATCH("1+",SCAP!A:A,2,1),"1+")</f>
        <v>1+</v>
      </c>
      <c r="AH17644" s="4" t="str">
        <f>HYPERLINK("#Statut_biogéographique!A"&amp;_xlfn.XMATCH("P",Statut_biogéographique!A:A,2,1),"P")</f>
        <v>P</v>
      </c>
      <c r="AI17644" s="8" t="s">
        <v>21490</v>
      </c>
      <c r="AJ17644" s="4" t="s">
        <v>12248</v>
      </c>
      <c r="AM17644" s="4" t="s">
        <v>375</v>
      </c>
      <c r="AN17644" s="4" t="s">
        <v>375</v>
      </c>
      <c r="AO17644" s="4" t="s">
        <v>375</v>
      </c>
      <c r="AP17644" s="4" t="s">
        <v>389</v>
      </c>
      <c r="AR17644" s="4" t="s">
        <v>377</v>
      </c>
    </row>
    <row r="17645" spans="1:44" ht="60">
      <c r="A17645" s="4" t="s">
        <v>10753</v>
      </c>
      <c r="B17645" s="4">
        <v>64440</v>
      </c>
      <c r="D17645" s="5" t="s">
        <v>21491</v>
      </c>
      <c r="E17645" s="6" t="str">
        <f>HYPERLINK("https://inpn.mnhn.fr/espece/cd_nom/64440","Unio pictorum (Linnaeus, 1758)")</f>
        <v>Unio pictorum (Linnaeus, 1758)</v>
      </c>
      <c r="F17645" s="5" t="s">
        <v>21492</v>
      </c>
      <c r="O17645" s="7" t="str">
        <f>HYPERLINK("#Liste_rouge!A"&amp;_xlfn.XMATCH("LC",Liste_rouge!A:A,2,1),"LC")</f>
        <v>LC</v>
      </c>
      <c r="P17645" s="7" t="str">
        <f>HYPERLINK("#Liste_rouge!A"&amp;_xlfn.XMATCH("LC",Liste_rouge!A:A,2,1),"LC")</f>
        <v>LC</v>
      </c>
      <c r="Q17645" s="7" t="str">
        <f>HYPERLINK("#Liste_rouge!A"&amp;_xlfn.XMATCH("LC",Liste_rouge!A:A,2,1),"LC")</f>
        <v>LC</v>
      </c>
      <c r="AH17645" s="4" t="str">
        <f>HYPERLINK("#Statut_biogéographique!A"&amp;_xlfn.XMATCH("P",Statut_biogéographique!A:A,2,1),"P")</f>
        <v>P</v>
      </c>
      <c r="AM17645" s="4" t="s">
        <v>375</v>
      </c>
      <c r="AN17645" s="4" t="s">
        <v>375</v>
      </c>
      <c r="AO17645" s="4" t="s">
        <v>375</v>
      </c>
      <c r="AP17645" s="4" t="s">
        <v>376</v>
      </c>
      <c r="AR17645" s="4" t="s">
        <v>377</v>
      </c>
    </row>
    <row r="17646" spans="1:44">
      <c r="A17646" s="4" t="s">
        <v>10753</v>
      </c>
      <c r="B17646" s="4">
        <v>64442</v>
      </c>
      <c r="D17646" s="5" t="s">
        <v>21493</v>
      </c>
      <c r="E17646" s="6" t="str">
        <f>HYPERLINK("https://inpn.mnhn.fr/espece/cd_nom/64442","Unio tumidus Philipsson, 1788")</f>
        <v>Unio tumidus Philipsson, 1788</v>
      </c>
      <c r="F17646" s="5" t="s">
        <v>21494</v>
      </c>
      <c r="Q17646" s="7" t="str">
        <f>HYPERLINK("#Liste_rouge!A"&amp;_xlfn.XMATCH("NT",Liste_rouge!A:A,2,1),"NT")</f>
        <v>NT</v>
      </c>
      <c r="AH17646" s="4" t="str">
        <f>HYPERLINK("#Statut_biogéographique!A"&amp;_xlfn.XMATCH("P",Statut_biogéographique!A:A,2,1),"P")</f>
        <v>P</v>
      </c>
      <c r="AM17646" s="4" t="s">
        <v>375</v>
      </c>
      <c r="AN17646" s="4" t="s">
        <v>375</v>
      </c>
      <c r="AO17646" s="4" t="s">
        <v>375</v>
      </c>
      <c r="AP17646" s="4" t="s">
        <v>376</v>
      </c>
      <c r="AR17646" s="4" t="s">
        <v>377</v>
      </c>
    </row>
    <row r="17647" spans="1:44" ht="30">
      <c r="A17647" s="4" t="s">
        <v>10753</v>
      </c>
      <c r="B17647" s="4">
        <v>64443</v>
      </c>
      <c r="D17647" s="5" t="s">
        <v>21495</v>
      </c>
      <c r="E17647" s="6" t="str">
        <f>HYPERLINK("https://inpn.mnhn.fr/espece/cd_nom/64443","Unio crassus Philipsson, 1788")</f>
        <v>Unio crassus Philipsson, 1788</v>
      </c>
      <c r="F17647" s="5" t="s">
        <v>11975</v>
      </c>
      <c r="K17647" s="4" t="str">
        <f>HYPERLINK("#Réglementation!A"&amp;_xlfn.XMATCH("CDH2",Réglementation!A:A,2,1),"CDH2 - CDH4")</f>
        <v>CDH2 - CDH4</v>
      </c>
      <c r="L17647" s="4" t="str">
        <f>HYPERLINK("#Réglementation!A"&amp;_xlfn.XMATCH("NMO2",Réglementation!A:A,2,1),"NMO2")</f>
        <v>NMO2</v>
      </c>
      <c r="O17647" s="7" t="str">
        <f>HYPERLINK("#Liste_rouge!A"&amp;_xlfn.XMATCH("EN",Liste_rouge!A:A,2,1),"EN")</f>
        <v>EN</v>
      </c>
      <c r="P17647" s="7" t="str">
        <f>HYPERLINK("#Liste_rouge!A"&amp;_xlfn.XMATCH("VU",Liste_rouge!A:A,2,1),"VU")</f>
        <v>VU</v>
      </c>
      <c r="Q17647" s="7" t="str">
        <f>HYPERLINK("#Liste_rouge!A"&amp;_xlfn.XMATCH("LC",Liste_rouge!A:A,2,1),"LC")</f>
        <v>LC</v>
      </c>
      <c r="AE17647" s="4" t="str">
        <f>HYPERLINK("#SCAP!A"&amp;_xlfn.XMATCH("6",SCAP!A:A,2,1),"6")</f>
        <v>6</v>
      </c>
      <c r="AH17647" s="4" t="str">
        <f>HYPERLINK("#Statut_biogéographique!A"&amp;_xlfn.XMATCH("P",Statut_biogéographique!A:A,2,1),"P")</f>
        <v>P</v>
      </c>
      <c r="AM17647" s="4" t="s">
        <v>375</v>
      </c>
      <c r="AN17647" s="4" t="s">
        <v>375</v>
      </c>
      <c r="AO17647" s="4" t="s">
        <v>375</v>
      </c>
      <c r="AP17647" s="4" t="s">
        <v>389</v>
      </c>
      <c r="AR17647" s="4" t="s">
        <v>377</v>
      </c>
    </row>
    <row r="17648" spans="1:44" ht="60">
      <c r="A17648" s="4" t="s">
        <v>10753</v>
      </c>
      <c r="B17648" s="4">
        <v>64452</v>
      </c>
      <c r="D17648" s="5" t="s">
        <v>21496</v>
      </c>
      <c r="E17648" s="6" t="str">
        <f>HYPERLINK("https://inpn.mnhn.fr/espece/cd_nom/64452","Potomida littoralis (Cuvier, 1798)")</f>
        <v>Potomida littoralis (Cuvier, 1798)</v>
      </c>
      <c r="F17648" s="5" t="s">
        <v>21497</v>
      </c>
      <c r="O17648" s="7" t="str">
        <f>HYPERLINK("#Liste_rouge!A"&amp;_xlfn.XMATCH("EN",Liste_rouge!A:A,2,1),"EN")</f>
        <v>EN</v>
      </c>
      <c r="P17648" s="7" t="str">
        <f>HYPERLINK("#Liste_rouge!A"&amp;_xlfn.XMATCH("NT",Liste_rouge!A:A,2,1),"NT")</f>
        <v>NT</v>
      </c>
      <c r="Q17648" s="7" t="str">
        <f>HYPERLINK("#Liste_rouge!A"&amp;_xlfn.XMATCH("EN",Liste_rouge!A:A,2,1),"EN")</f>
        <v>EN</v>
      </c>
      <c r="AH17648" s="4" t="str">
        <f>HYPERLINK("#Statut_biogéographique!A"&amp;_xlfn.XMATCH("P",Statut_biogéographique!A:A,2,1),"P")</f>
        <v>P</v>
      </c>
      <c r="AM17648" s="4" t="s">
        <v>375</v>
      </c>
      <c r="AN17648" s="4" t="s">
        <v>375</v>
      </c>
      <c r="AO17648" s="4" t="s">
        <v>375</v>
      </c>
      <c r="AP17648" s="4" t="s">
        <v>376</v>
      </c>
      <c r="AR17648" s="4" t="s">
        <v>377</v>
      </c>
    </row>
    <row r="17649" spans="1:44">
      <c r="A17649" s="4" t="s">
        <v>10753</v>
      </c>
      <c r="B17649" s="4">
        <v>64455</v>
      </c>
      <c r="D17649" s="5" t="s">
        <v>21498</v>
      </c>
      <c r="E17649" s="6" t="str">
        <f>HYPERLINK("https://inpn.mnhn.fr/espece/cd_nom/64455","Anodonta anatina (Linnaeus, 1758)")</f>
        <v>Anodonta anatina (Linnaeus, 1758)</v>
      </c>
      <c r="F17649" s="5" t="s">
        <v>21499</v>
      </c>
      <c r="O17649" s="7" t="str">
        <f>HYPERLINK("#Liste_rouge!A"&amp;_xlfn.XMATCH("LC",Liste_rouge!A:A,2,1),"LC")</f>
        <v>LC</v>
      </c>
      <c r="P17649" s="7" t="str">
        <f>HYPERLINK("#Liste_rouge!A"&amp;_xlfn.XMATCH("LC",Liste_rouge!A:A,2,1),"LC")</f>
        <v>LC</v>
      </c>
      <c r="Q17649" s="7" t="str">
        <f>HYPERLINK("#Liste_rouge!A"&amp;_xlfn.XMATCH("VU",Liste_rouge!A:A,2,1),"VU")</f>
        <v>VU</v>
      </c>
      <c r="AH17649" s="4" t="str">
        <f>HYPERLINK("#Statut_biogéographique!A"&amp;_xlfn.XMATCH("P",Statut_biogéographique!A:A,2,1),"P")</f>
        <v>P</v>
      </c>
      <c r="AM17649" s="4" t="s">
        <v>375</v>
      </c>
      <c r="AN17649" s="4" t="s">
        <v>375</v>
      </c>
      <c r="AO17649" s="4" t="s">
        <v>375</v>
      </c>
      <c r="AP17649" s="4" t="s">
        <v>376</v>
      </c>
      <c r="AR17649" s="4" t="s">
        <v>377</v>
      </c>
    </row>
    <row r="17650" spans="1:44">
      <c r="A17650" s="4" t="s">
        <v>10753</v>
      </c>
      <c r="B17650" s="4">
        <v>64456</v>
      </c>
      <c r="D17650" s="5" t="s">
        <v>21500</v>
      </c>
      <c r="E17650" s="6" t="str">
        <f>HYPERLINK("https://inpn.mnhn.fr/espece/cd_nom/64456","Anodonta cygnea (Linnaeus, 1758)")</f>
        <v>Anodonta cygnea (Linnaeus, 1758)</v>
      </c>
      <c r="F17650" s="5" t="s">
        <v>21501</v>
      </c>
      <c r="O17650" s="7" t="str">
        <f>HYPERLINK("#Liste_rouge!A"&amp;_xlfn.XMATCH("LC",Liste_rouge!A:A,2,1),"LC")</f>
        <v>LC</v>
      </c>
      <c r="P17650" s="7" t="str">
        <f>HYPERLINK("#Liste_rouge!A"&amp;_xlfn.XMATCH("NT",Liste_rouge!A:A,2,1),"NT")</f>
        <v>NT</v>
      </c>
      <c r="Q17650" s="7" t="str">
        <f>HYPERLINK("#Liste_rouge!A"&amp;_xlfn.XMATCH("VU",Liste_rouge!A:A,2,1),"VU")</f>
        <v>VU</v>
      </c>
      <c r="AH17650" s="4" t="str">
        <f>HYPERLINK("#Statut_biogéographique!A"&amp;_xlfn.XMATCH("P",Statut_biogéographique!A:A,2,1),"P")</f>
        <v>P</v>
      </c>
      <c r="AM17650" s="4" t="s">
        <v>375</v>
      </c>
      <c r="AN17650" s="4" t="s">
        <v>375</v>
      </c>
      <c r="AO17650" s="4" t="s">
        <v>375</v>
      </c>
      <c r="AP17650" s="4" t="s">
        <v>376</v>
      </c>
      <c r="AR17650" s="4" t="s">
        <v>377</v>
      </c>
    </row>
    <row r="17651" spans="1:44" ht="45">
      <c r="A17651" s="4" t="s">
        <v>10753</v>
      </c>
      <c r="B17651" s="4">
        <v>64460</v>
      </c>
      <c r="D17651" s="5" t="s">
        <v>21502</v>
      </c>
      <c r="E17651" s="6" t="str">
        <f>HYPERLINK("https://inpn.mnhn.fr/espece/cd_nom/64460","Pseudanodonta complanata (Rossmässler, 1835)")</f>
        <v>Pseudanodonta complanata (Rossmässler, 1835)</v>
      </c>
      <c r="F17651" s="5" t="s">
        <v>21503</v>
      </c>
      <c r="O17651" s="7" t="str">
        <f>HYPERLINK("#Liste_rouge!A"&amp;_xlfn.XMATCH("VU",Liste_rouge!A:A,2,1),"VU")</f>
        <v>VU</v>
      </c>
      <c r="P17651" s="7" t="str">
        <f>HYPERLINK("#Liste_rouge!A"&amp;_xlfn.XMATCH("NT",Liste_rouge!A:A,2,1),"NT")</f>
        <v>NT</v>
      </c>
      <c r="Q17651" s="7" t="str">
        <f>HYPERLINK("#Liste_rouge!A"&amp;_xlfn.XMATCH("EN",Liste_rouge!A:A,2,1),"EN")</f>
        <v>EN</v>
      </c>
      <c r="AE17651" s="4" t="str">
        <f>HYPERLINK("#SCAP!A"&amp;_xlfn.XMATCH("A",SCAP!A:A,2,1),"A")</f>
        <v>A</v>
      </c>
      <c r="AH17651" s="4" t="str">
        <f>HYPERLINK("#Statut_biogéographique!A"&amp;_xlfn.XMATCH("P",Statut_biogéographique!A:A,2,1),"P")</f>
        <v>P</v>
      </c>
      <c r="AM17651" s="4" t="s">
        <v>375</v>
      </c>
      <c r="AN17651" s="4" t="s">
        <v>375</v>
      </c>
      <c r="AO17651" s="4" t="s">
        <v>375</v>
      </c>
      <c r="AP17651" s="4" t="s">
        <v>376</v>
      </c>
      <c r="AR17651" s="4" t="s">
        <v>377</v>
      </c>
    </row>
    <row r="17652" spans="1:44">
      <c r="A17652" s="4" t="s">
        <v>10753</v>
      </c>
      <c r="B17652" s="4">
        <v>645015</v>
      </c>
      <c r="D17652" s="5" t="s">
        <v>21504</v>
      </c>
      <c r="E17652" s="6" t="str">
        <f>HYPERLINK("https://inpn.mnhn.fr/espece/cd_nom/645015","Chrysotoxum arcuatum (Linnaeus, 1758)")</f>
        <v>Chrysotoxum arcuatum (Linnaeus, 1758)</v>
      </c>
      <c r="O17652" s="7" t="str">
        <f>HYPERLINK("#Liste_rouge!A"&amp;_xlfn.XMATCH("LC",Liste_rouge!A:A,2,1),"LC")</f>
        <v>LC</v>
      </c>
      <c r="P17652" s="7" t="str">
        <f>HYPERLINK("#Liste_rouge!A"&amp;_xlfn.XMATCH("LC",Liste_rouge!A:A,2,1),"LC")</f>
        <v>LC</v>
      </c>
      <c r="AH17652" s="4" t="str">
        <f>HYPERLINK("#Statut_biogéographique!A"&amp;_xlfn.XMATCH("P",Statut_biogéographique!A:A,2,1),"P")</f>
        <v>P</v>
      </c>
      <c r="AP17652" s="4" t="s">
        <v>376</v>
      </c>
      <c r="AR17652" s="4" t="s">
        <v>377</v>
      </c>
    </row>
    <row r="17653" spans="1:44" ht="30">
      <c r="A17653" s="4" t="s">
        <v>10753</v>
      </c>
      <c r="B17653" s="4">
        <v>645061</v>
      </c>
      <c r="D17653" s="5" t="s">
        <v>21505</v>
      </c>
      <c r="E17653" s="6" t="str">
        <f>HYPERLINK("https://inpn.mnhn.fr/espece/cd_nom/645061","Cydalima perspectalis (Walker, 1859)")</f>
        <v>Cydalima perspectalis (Walker, 1859)</v>
      </c>
      <c r="F17653" s="5" t="s">
        <v>21506</v>
      </c>
      <c r="AH17653" s="4" t="str">
        <f>HYPERLINK("#Statut_biogéographique!A"&amp;_xlfn.XMATCH("J",Statut_biogéographique!A:A,2,1),"J")</f>
        <v>J</v>
      </c>
      <c r="AP17653" s="4" t="s">
        <v>376</v>
      </c>
      <c r="AR17653" s="4" t="s">
        <v>377</v>
      </c>
    </row>
    <row r="17654" spans="1:44">
      <c r="A17654" s="4" t="s">
        <v>10753</v>
      </c>
      <c r="B17654" s="4">
        <v>645847</v>
      </c>
      <c r="D17654" s="5" t="s">
        <v>21507</v>
      </c>
      <c r="E17654" s="6" t="str">
        <f>HYPERLINK("https://inpn.mnhn.fr/espece/cd_nom/645847","Chlorophorus glaucus (Fabricius, 1781)")</f>
        <v>Chlorophorus glaucus (Fabricius, 1781)</v>
      </c>
      <c r="P17654" s="7" t="str">
        <f>HYPERLINK("#Liste_rouge!A"&amp;_xlfn.XMATCH("DD",Liste_rouge!A:A,2,1),"DD")</f>
        <v>DD</v>
      </c>
      <c r="AH17654" s="4" t="str">
        <f>HYPERLINK("#Statut_biogéographique!A"&amp;_xlfn.XMATCH("P",Statut_biogéographique!A:A,2,1),"P")</f>
        <v>P</v>
      </c>
      <c r="AP17654" s="4" t="s">
        <v>376</v>
      </c>
      <c r="AR17654" s="4" t="s">
        <v>377</v>
      </c>
    </row>
    <row r="17655" spans="1:44" ht="30">
      <c r="A17655" s="4" t="s">
        <v>10753</v>
      </c>
      <c r="B17655" s="4">
        <v>645873</v>
      </c>
      <c r="D17655" s="5" t="s">
        <v>21508</v>
      </c>
      <c r="E17655" s="6" t="str">
        <f>HYPERLINK("https://inpn.mnhn.fr/espece/cd_nom/645873","Erythromma lindenii (Selys, 1840)")</f>
        <v>Erythromma lindenii (Selys, 1840)</v>
      </c>
      <c r="F17655" s="5" t="s">
        <v>21509</v>
      </c>
      <c r="O17655" s="7" t="str">
        <f>HYPERLINK("#Liste_rouge!A"&amp;_xlfn.XMATCH("LC",Liste_rouge!A:A,2,1),"LC")</f>
        <v>LC</v>
      </c>
      <c r="P17655" s="7" t="str">
        <f>HYPERLINK("#Liste_rouge!A"&amp;_xlfn.XMATCH("LC",Liste_rouge!A:A,2,1),"LC")</f>
        <v>LC</v>
      </c>
      <c r="Q17655" s="7" t="str">
        <f>HYPERLINK("#Liste_rouge!A"&amp;_xlfn.XMATCH("LC",Liste_rouge!A:A,2,1),"LC")</f>
        <v>LC</v>
      </c>
      <c r="T17655" s="7" t="str">
        <f>HYPERLINK("#Liste_rouge!A"&amp;_xlfn.XMATCH("LC",Liste_rouge!A:A,2,1),"LC")</f>
        <v>LC</v>
      </c>
      <c r="V17655" s="7" t="str">
        <f>HYPERLINK("#Liste_rouge!A"&amp;_xlfn.XMATCH("LC",Liste_rouge!A:A,2,1),"LC")</f>
        <v>LC</v>
      </c>
      <c r="AH17655" s="4" t="str">
        <f>HYPERLINK("#Statut_biogéographique!A"&amp;_xlfn.XMATCH("P",Statut_biogéographique!A:A,2,1),"P")</f>
        <v>P</v>
      </c>
      <c r="AM17655" s="4" t="s">
        <v>375</v>
      </c>
      <c r="AN17655" s="4" t="s">
        <v>375</v>
      </c>
      <c r="AO17655" s="4" t="s">
        <v>375</v>
      </c>
      <c r="AP17655" s="4" t="s">
        <v>376</v>
      </c>
      <c r="AR17655" s="4" t="s">
        <v>377</v>
      </c>
    </row>
    <row r="17656" spans="1:44" ht="45">
      <c r="A17656" s="4" t="s">
        <v>10753</v>
      </c>
      <c r="B17656" s="4">
        <v>646236</v>
      </c>
      <c r="D17656" s="5" t="s">
        <v>21510</v>
      </c>
      <c r="E17656" s="6" t="str">
        <f>HYPERLINK("https://inpn.mnhn.fr/espece/cd_nom/646236","Brenthis daphne (Denis &amp; Schiffermüller, 1775)")</f>
        <v>Brenthis daphne (Denis &amp; Schiffermüller, 1775)</v>
      </c>
      <c r="F17656" s="5" t="s">
        <v>21511</v>
      </c>
      <c r="P17656" s="7" t="str">
        <f>HYPERLINK("#Liste_rouge!A"&amp;_xlfn.XMATCH("LC",Liste_rouge!A:A,2,1),"LC")</f>
        <v>LC</v>
      </c>
      <c r="Q17656" s="7" t="str">
        <f>HYPERLINK("#Liste_rouge!A"&amp;_xlfn.XMATCH("LC",Liste_rouge!A:A,2,1),"LC")</f>
        <v>LC</v>
      </c>
      <c r="T17656" s="7" t="str">
        <f>HYPERLINK("#Liste_rouge!A"&amp;_xlfn.XMATCH("LC",Liste_rouge!A:A,2,1),"LC")</f>
        <v>LC</v>
      </c>
      <c r="V17656" s="7" t="str">
        <f>HYPERLINK("#Liste_rouge!A"&amp;_xlfn.XMATCH("LC",Liste_rouge!A:A,2,1),"LC")</f>
        <v>LC</v>
      </c>
      <c r="AH17656" s="4" t="str">
        <f>HYPERLINK("#Statut_biogéographique!A"&amp;_xlfn.XMATCH("P",Statut_biogéographique!A:A,2,1),"P")</f>
        <v>P</v>
      </c>
      <c r="AM17656" s="4" t="s">
        <v>375</v>
      </c>
      <c r="AN17656" s="4" t="s">
        <v>375</v>
      </c>
      <c r="AO17656" s="4" t="s">
        <v>375</v>
      </c>
      <c r="AP17656" s="4" t="s">
        <v>376</v>
      </c>
      <c r="AR17656" s="4" t="s">
        <v>377</v>
      </c>
    </row>
    <row r="17657" spans="1:44" ht="105">
      <c r="A17657" s="4" t="s">
        <v>10753</v>
      </c>
      <c r="B17657" s="4">
        <v>64629</v>
      </c>
      <c r="D17657" s="5" t="s">
        <v>21512</v>
      </c>
      <c r="E17657" s="6" t="str">
        <f>HYPERLINK("https://inpn.mnhn.fr/espece/cd_nom/64629","Dreissena polymorpha (Pallas, 1771)")</f>
        <v>Dreissena polymorpha (Pallas, 1771)</v>
      </c>
      <c r="F17657" s="5" t="s">
        <v>11984</v>
      </c>
      <c r="O17657" s="7" t="str">
        <f>HYPERLINK("#Liste_rouge!A"&amp;_xlfn.XMATCH("LC",Liste_rouge!A:A,2,1),"LC")</f>
        <v>LC</v>
      </c>
      <c r="Q17657" s="7" t="str">
        <f>HYPERLINK("#Liste_rouge!A"&amp;_xlfn.XMATCH("NA",Liste_rouge!A:A,2,1),"NA")</f>
        <v>NA</v>
      </c>
      <c r="AH17657" s="4" t="str">
        <f>HYPERLINK("#Statut_biogéographique!A"&amp;_xlfn.XMATCH("J",Statut_biogéographique!A:A,2,1),"J")</f>
        <v>J</v>
      </c>
      <c r="AM17657" s="4" t="s">
        <v>375</v>
      </c>
      <c r="AN17657" s="4" t="s">
        <v>375</v>
      </c>
      <c r="AO17657" s="4" t="s">
        <v>375</v>
      </c>
      <c r="AP17657" s="4" t="s">
        <v>376</v>
      </c>
      <c r="AR17657" s="4" t="s">
        <v>377</v>
      </c>
    </row>
    <row r="17658" spans="1:44">
      <c r="A17658" s="4" t="s">
        <v>10753</v>
      </c>
      <c r="B17658" s="4">
        <v>64641</v>
      </c>
      <c r="D17658" s="5" t="s">
        <v>21513</v>
      </c>
      <c r="E17658" s="6" t="str">
        <f>HYPERLINK("https://inpn.mnhn.fr/espece/cd_nom/64641","Corbicula fluminalis (O.F. Müller, 1774)")</f>
        <v>Corbicula fluminalis (O.F. Müller, 1774)</v>
      </c>
      <c r="F17658" s="5" t="s">
        <v>21514</v>
      </c>
      <c r="O17658" s="7" t="str">
        <f>HYPERLINK("#Liste_rouge!A"&amp;_xlfn.XMATCH("LC",Liste_rouge!A:A,2,1),"LC")</f>
        <v>LC</v>
      </c>
      <c r="Q17658" s="7" t="str">
        <f>HYPERLINK("#Liste_rouge!A"&amp;_xlfn.XMATCH("NA",Liste_rouge!A:A,2,1),"NA")</f>
        <v>NA</v>
      </c>
      <c r="AH17658" s="4" t="str">
        <f>HYPERLINK("#Statut_biogéographique!A"&amp;_xlfn.XMATCH("J",Statut_biogéographique!A:A,2,1),"J")</f>
        <v>J</v>
      </c>
      <c r="AM17658" s="4" t="s">
        <v>375</v>
      </c>
      <c r="AN17658" s="4" t="s">
        <v>375</v>
      </c>
      <c r="AO17658" s="4" t="s">
        <v>375</v>
      </c>
      <c r="AP17658" s="4" t="s">
        <v>376</v>
      </c>
      <c r="AR17658" s="4" t="s">
        <v>377</v>
      </c>
    </row>
    <row r="17659" spans="1:44">
      <c r="A17659" s="4" t="s">
        <v>10753</v>
      </c>
      <c r="B17659" s="4">
        <v>64646</v>
      </c>
      <c r="D17659" s="5" t="s">
        <v>21515</v>
      </c>
      <c r="E17659" s="6" t="str">
        <f>HYPERLINK("https://inpn.mnhn.fr/espece/cd_nom/64646","Sphaerium corneum (Linnaeus, 1758)")</f>
        <v>Sphaerium corneum (Linnaeus, 1758)</v>
      </c>
      <c r="F17659" s="5" t="s">
        <v>21516</v>
      </c>
      <c r="O17659" s="7" t="str">
        <f>HYPERLINK("#Liste_rouge!A"&amp;_xlfn.XMATCH("LC",Liste_rouge!A:A,2,1),"LC")</f>
        <v>LC</v>
      </c>
      <c r="P17659" s="7" t="str">
        <f>HYPERLINK("#Liste_rouge!A"&amp;_xlfn.XMATCH("LC",Liste_rouge!A:A,2,1),"LC")</f>
        <v>LC</v>
      </c>
      <c r="Q17659" s="7" t="str">
        <f>HYPERLINK("#Liste_rouge!A"&amp;_xlfn.XMATCH("LC",Liste_rouge!A:A,2,1),"LC")</f>
        <v>LC</v>
      </c>
      <c r="AH17659" s="4" t="str">
        <f>HYPERLINK("#Statut_biogéographique!A"&amp;_xlfn.XMATCH("P",Statut_biogéographique!A:A,2,1),"P")</f>
        <v>P</v>
      </c>
      <c r="AP17659" s="4" t="s">
        <v>376</v>
      </c>
      <c r="AR17659" s="4" t="s">
        <v>377</v>
      </c>
    </row>
    <row r="17660" spans="1:44">
      <c r="A17660" s="4" t="s">
        <v>10753</v>
      </c>
      <c r="B17660" s="4">
        <v>64648</v>
      </c>
      <c r="D17660" s="5" t="s">
        <v>21517</v>
      </c>
      <c r="E17660" s="6" t="str">
        <f>HYPERLINK("https://inpn.mnhn.fr/espece/cd_nom/64648","Sphaerium solidum (Normand, 1844)")</f>
        <v>Sphaerium solidum (Normand, 1844)</v>
      </c>
      <c r="F17660" s="5" t="s">
        <v>21518</v>
      </c>
      <c r="O17660" s="7" t="str">
        <f>HYPERLINK("#Liste_rouge!A"&amp;_xlfn.XMATCH("NT",Liste_rouge!A:A,2,1),"NT")</f>
        <v>NT</v>
      </c>
      <c r="P17660" s="7" t="str">
        <f>HYPERLINK("#Liste_rouge!A"&amp;_xlfn.XMATCH("NT",Liste_rouge!A:A,2,1),"NT")</f>
        <v>NT</v>
      </c>
      <c r="Q17660" s="7" t="str">
        <f>HYPERLINK("#Liste_rouge!A"&amp;_xlfn.XMATCH("EN",Liste_rouge!A:A,2,1),"EN")</f>
        <v>EN</v>
      </c>
      <c r="AE17660" s="4" t="str">
        <f>HYPERLINK("#SCAP!A"&amp;_xlfn.XMATCH("6",SCAP!A:A,2,1),"6")</f>
        <v>6</v>
      </c>
      <c r="AH17660" s="4" t="str">
        <f>HYPERLINK("#Statut_biogéographique!A"&amp;_xlfn.XMATCH("P",Statut_biogéographique!A:A,2,1),"P")</f>
        <v>P</v>
      </c>
      <c r="AP17660" s="4" t="s">
        <v>376</v>
      </c>
      <c r="AR17660" s="4" t="s">
        <v>377</v>
      </c>
    </row>
    <row r="17661" spans="1:44">
      <c r="A17661" s="4" t="s">
        <v>10753</v>
      </c>
      <c r="B17661" s="4">
        <v>64649</v>
      </c>
      <c r="D17661" s="5" t="s">
        <v>21519</v>
      </c>
      <c r="E17661" s="6" t="str">
        <f>HYPERLINK("https://inpn.mnhn.fr/espece/cd_nom/64649","Sphaerium rivicola (Lamarck, 1818)")</f>
        <v>Sphaerium rivicola (Lamarck, 1818)</v>
      </c>
      <c r="F17661" s="5" t="s">
        <v>21520</v>
      </c>
      <c r="O17661" s="7" t="str">
        <f>HYPERLINK("#Liste_rouge!A"&amp;_xlfn.XMATCH("VU",Liste_rouge!A:A,2,1),"VU")</f>
        <v>VU</v>
      </c>
      <c r="P17661" s="7" t="str">
        <f>HYPERLINK("#Liste_rouge!A"&amp;_xlfn.XMATCH("LC",Liste_rouge!A:A,2,1),"LC")</f>
        <v>LC</v>
      </c>
      <c r="Q17661" s="7" t="str">
        <f>HYPERLINK("#Liste_rouge!A"&amp;_xlfn.XMATCH("EN",Liste_rouge!A:A,2,1),"EN")</f>
        <v>EN</v>
      </c>
      <c r="AH17661" s="4" t="str">
        <f>HYPERLINK("#Statut_biogéographique!A"&amp;_xlfn.XMATCH("P",Statut_biogéographique!A:A,2,1),"P")</f>
        <v>P</v>
      </c>
      <c r="AP17661" s="4" t="s">
        <v>376</v>
      </c>
      <c r="AR17661" s="4" t="s">
        <v>377</v>
      </c>
    </row>
    <row r="17662" spans="1:44">
      <c r="A17662" s="4" t="s">
        <v>10753</v>
      </c>
      <c r="B17662" s="4">
        <v>64655</v>
      </c>
      <c r="D17662" s="5" t="s">
        <v>21521</v>
      </c>
      <c r="E17662" s="6" t="str">
        <f>HYPERLINK("https://inpn.mnhn.fr/espece/cd_nom/64655","Pisidium amnicum (O.F. Müller, 1774)")</f>
        <v>Pisidium amnicum (O.F. Müller, 1774)</v>
      </c>
      <c r="F17662" s="5" t="s">
        <v>21522</v>
      </c>
      <c r="P17662" s="7" t="str">
        <f>HYPERLINK("#Liste_rouge!A"&amp;_xlfn.XMATCH("LC",Liste_rouge!A:A,2,1),"LC")</f>
        <v>LC</v>
      </c>
      <c r="Q17662" s="7" t="str">
        <f>HYPERLINK("#Liste_rouge!A"&amp;_xlfn.XMATCH("LC",Liste_rouge!A:A,2,1),"LC")</f>
        <v>LC</v>
      </c>
      <c r="AH17662" s="4" t="str">
        <f>HYPERLINK("#Statut_biogéographique!A"&amp;_xlfn.XMATCH("P",Statut_biogéographique!A:A,2,1),"P")</f>
        <v>P</v>
      </c>
      <c r="AP17662" s="4" t="s">
        <v>376</v>
      </c>
      <c r="AR17662" s="4" t="s">
        <v>377</v>
      </c>
    </row>
    <row r="17663" spans="1:44">
      <c r="A17663" s="4" t="s">
        <v>10753</v>
      </c>
      <c r="B17663" s="4">
        <v>647027</v>
      </c>
      <c r="D17663" s="5" t="s">
        <v>21523</v>
      </c>
      <c r="E17663" s="6" t="str">
        <f>HYPERLINK("https://inpn.mnhn.fr/espece/cd_nom/647027","Dorcus parallelipipedus (Linnaeus, 1758)")</f>
        <v>Dorcus parallelipipedus (Linnaeus, 1758)</v>
      </c>
      <c r="F17663" s="5" t="s">
        <v>21524</v>
      </c>
      <c r="P17663" s="7" t="str">
        <f>HYPERLINK("#Liste_rouge!A"&amp;_xlfn.XMATCH("LC",Liste_rouge!A:A,2,1),"LC")</f>
        <v>LC</v>
      </c>
      <c r="AH17663" s="4" t="str">
        <f>HYPERLINK("#Statut_biogéographique!A"&amp;_xlfn.XMATCH("P",Statut_biogéographique!A:A,2,1),"P")</f>
        <v>P</v>
      </c>
      <c r="AP17663" s="4" t="s">
        <v>376</v>
      </c>
      <c r="AR17663" s="4" t="s">
        <v>377</v>
      </c>
    </row>
    <row r="17664" spans="1:44" ht="60">
      <c r="A17664" s="4" t="s">
        <v>10753</v>
      </c>
      <c r="B17664" s="4">
        <v>647125</v>
      </c>
      <c r="D17664" s="5" t="s">
        <v>21525</v>
      </c>
      <c r="E17664" s="6" t="str">
        <f>HYPERLINK("https://inpn.mnhn.fr/espece/cd_nom/647125","Erebia meolans (Prunner, 1798)")</f>
        <v>Erebia meolans (Prunner, 1798)</v>
      </c>
      <c r="F17664" s="5" t="s">
        <v>21526</v>
      </c>
      <c r="O17664" s="7" t="str">
        <f>HYPERLINK("#Liste_rouge!A"&amp;_xlfn.XMATCH("LC",Liste_rouge!A:A,2,1),"LC")</f>
        <v>LC</v>
      </c>
      <c r="P17664" s="7" t="str">
        <f>HYPERLINK("#Liste_rouge!A"&amp;_xlfn.XMATCH("LC",Liste_rouge!A:A,2,1),"LC")</f>
        <v>LC</v>
      </c>
      <c r="Q17664" s="7" t="str">
        <f>HYPERLINK("#Liste_rouge!A"&amp;_xlfn.XMATCH("LC",Liste_rouge!A:A,2,1),"LC")</f>
        <v>LC</v>
      </c>
      <c r="T17664" s="7" t="str">
        <f>HYPERLINK("#Liste_rouge!A"&amp;_xlfn.XMATCH("VU",Liste_rouge!A:A,2,1),"VU")</f>
        <v>VU</v>
      </c>
      <c r="U17664" s="4" t="str">
        <f>HYPERLINK("#Critères_liste_rouge!A$1","EN B(1+2)ab(i,iii) (- 1)")</f>
        <v>EN B(1+2)ab(i,iii) (- 1)</v>
      </c>
      <c r="V17664" s="7" t="str">
        <f>HYPERLINK("#Liste_rouge!A"&amp;_xlfn.XMATCH("LC",Liste_rouge!A:A,2,1),"LC")</f>
        <v>LC</v>
      </c>
      <c r="X17664" s="5" t="s">
        <v>12755</v>
      </c>
      <c r="Y17664" s="5" t="s">
        <v>21527</v>
      </c>
      <c r="AH17664" s="4" t="str">
        <f>HYPERLINK("#Statut_biogéographique!A"&amp;_xlfn.XMATCH("P",Statut_biogéographique!A:A,2,1),"P")</f>
        <v>P</v>
      </c>
      <c r="AM17664" s="4" t="s">
        <v>375</v>
      </c>
      <c r="AN17664" s="4" t="s">
        <v>375</v>
      </c>
      <c r="AO17664" s="4" t="s">
        <v>375</v>
      </c>
      <c r="AP17664" s="4" t="s">
        <v>376</v>
      </c>
      <c r="AR17664" s="4" t="s">
        <v>377</v>
      </c>
    </row>
    <row r="17665" spans="1:44" ht="30">
      <c r="A17665" s="4" t="s">
        <v>10753</v>
      </c>
      <c r="B17665" s="4">
        <v>647735</v>
      </c>
      <c r="D17665" s="5" t="s">
        <v>21528</v>
      </c>
      <c r="E17665" s="6" t="str">
        <f>HYPERLINK("https://inpn.mnhn.fr/espece/cd_nom/647735","Korscheltellus fusconebulosus (De Geer, 1778)")</f>
        <v>Korscheltellus fusconebulosus (De Geer, 1778)</v>
      </c>
      <c r="F17665" s="5" t="s">
        <v>21529</v>
      </c>
      <c r="AH17665" s="4" t="str">
        <f>HYPERLINK("#Statut_biogéographique!A"&amp;_xlfn.XMATCH("P",Statut_biogéographique!A:A,2,1),"P")</f>
        <v>P</v>
      </c>
      <c r="AP17665" s="4" t="s">
        <v>376</v>
      </c>
      <c r="AR17665" s="4" t="s">
        <v>377</v>
      </c>
    </row>
    <row r="17666" spans="1:44">
      <c r="A17666" s="4" t="s">
        <v>10753</v>
      </c>
      <c r="B17666" s="4">
        <v>64854</v>
      </c>
      <c r="D17666" s="5" t="s">
        <v>21530</v>
      </c>
      <c r="E17666" s="6" t="str">
        <f>HYPERLINK("https://inpn.mnhn.fr/espece/cd_nom/64854","Polyxenus lagurus (Linnaeus, 1758)")</f>
        <v>Polyxenus lagurus (Linnaeus, 1758)</v>
      </c>
      <c r="AH17666" s="4" t="str">
        <f>HYPERLINK("#Statut_biogéographique!A"&amp;_xlfn.XMATCH("P",Statut_biogéographique!A:A,2,1),"P")</f>
        <v>P</v>
      </c>
      <c r="AP17666" s="4" t="s">
        <v>376</v>
      </c>
      <c r="AR17666" s="4" t="s">
        <v>377</v>
      </c>
    </row>
    <row r="17667" spans="1:44">
      <c r="A17667" s="4" t="s">
        <v>10753</v>
      </c>
      <c r="B17667" s="4">
        <v>64859</v>
      </c>
      <c r="D17667" s="5" t="s">
        <v>21531</v>
      </c>
      <c r="E17667" s="6" t="str">
        <f>HYPERLINK("https://inpn.mnhn.fr/espece/cd_nom/64859","Glomeris marginata (Villers, 1789)")</f>
        <v>Glomeris marginata (Villers, 1789)</v>
      </c>
      <c r="AH17667" s="4" t="str">
        <f>HYPERLINK("#Statut_biogéographique!A"&amp;_xlfn.XMATCH("P",Statut_biogéographique!A:A,2,1),"P")</f>
        <v>P</v>
      </c>
      <c r="AP17667" s="4" t="s">
        <v>376</v>
      </c>
      <c r="AR17667" s="4" t="s">
        <v>377</v>
      </c>
    </row>
    <row r="17668" spans="1:44" ht="30">
      <c r="A17668" s="4" t="s">
        <v>10753</v>
      </c>
      <c r="B17668" s="4">
        <v>64877</v>
      </c>
      <c r="D17668" s="5" t="s">
        <v>21532</v>
      </c>
      <c r="E17668" s="6" t="str">
        <f>HYPERLINK("https://inpn.mnhn.fr/espece/cd_nom/64877","Polydesmus angustus Latzel, 1884")</f>
        <v>Polydesmus angustus Latzel, 1884</v>
      </c>
      <c r="AH17668" s="4" t="str">
        <f>HYPERLINK("#Statut_biogéographique!A"&amp;_xlfn.XMATCH("P",Statut_biogéographique!A:A,2,1),"P")</f>
        <v>P</v>
      </c>
      <c r="AP17668" s="4" t="s">
        <v>376</v>
      </c>
      <c r="AR17668" s="4" t="s">
        <v>377</v>
      </c>
    </row>
    <row r="17669" spans="1:44">
      <c r="A17669" s="4" t="s">
        <v>10753</v>
      </c>
      <c r="B17669" s="4">
        <v>649725</v>
      </c>
      <c r="D17669" s="5" t="s">
        <v>21533</v>
      </c>
      <c r="E17669" s="6" t="str">
        <f>HYPERLINK("https://inpn.mnhn.fr/espece/cd_nom/649725","Perla abdominalis Burmeister, 1839")</f>
        <v>Perla abdominalis Burmeister, 1839</v>
      </c>
      <c r="AH17669" s="4" t="str">
        <f>HYPERLINK("#Statut_biogéographique!A"&amp;_xlfn.XMATCH("P",Statut_biogéographique!A:A,2,1),"P")</f>
        <v>P</v>
      </c>
      <c r="AP17669" s="4" t="s">
        <v>376</v>
      </c>
      <c r="AR17669" s="4" t="s">
        <v>377</v>
      </c>
    </row>
    <row r="17670" spans="1:44" ht="30">
      <c r="A17670" s="4" t="s">
        <v>10753</v>
      </c>
      <c r="B17670" s="4">
        <v>65076</v>
      </c>
      <c r="D17670" s="5" t="s">
        <v>21534</v>
      </c>
      <c r="E17670" s="6" t="str">
        <f>HYPERLINK("https://inpn.mnhn.fr/espece/cd_nom/65076","Calopteryx haemorrhoidalis (Vander Linden, 1825)")</f>
        <v>Calopteryx haemorrhoidalis (Vander Linden, 1825)</v>
      </c>
      <c r="F17670" s="5" t="s">
        <v>21535</v>
      </c>
      <c r="O17670" s="7" t="str">
        <f>HYPERLINK("#Liste_rouge!A"&amp;_xlfn.XMATCH("LC",Liste_rouge!A:A,2,1),"LC")</f>
        <v>LC</v>
      </c>
      <c r="P17670" s="7" t="str">
        <f>HYPERLINK("#Liste_rouge!A"&amp;_xlfn.XMATCH("LC",Liste_rouge!A:A,2,1),"LC")</f>
        <v>LC</v>
      </c>
      <c r="Q17670" s="7" t="str">
        <f>HYPERLINK("#Liste_rouge!A"&amp;_xlfn.XMATCH("LC",Liste_rouge!A:A,2,1),"LC")</f>
        <v>LC</v>
      </c>
      <c r="AH17670" s="4" t="str">
        <f>HYPERLINK("#Statut_biogéographique!A"&amp;_xlfn.XMATCH("P",Statut_biogéographique!A:A,2,1),"P")</f>
        <v>P</v>
      </c>
      <c r="AM17670" s="4" t="s">
        <v>375</v>
      </c>
      <c r="AN17670" s="4" t="s">
        <v>375</v>
      </c>
      <c r="AO17670" s="4" t="s">
        <v>375</v>
      </c>
      <c r="AP17670" s="4" t="s">
        <v>376</v>
      </c>
      <c r="AR17670" s="4" t="s">
        <v>377</v>
      </c>
    </row>
    <row r="17671" spans="1:44">
      <c r="A17671" s="4" t="s">
        <v>10753</v>
      </c>
      <c r="B17671" s="4">
        <v>65080</v>
      </c>
      <c r="D17671" s="5" t="s">
        <v>21536</v>
      </c>
      <c r="E17671" s="6" t="str">
        <f>HYPERLINK("https://inpn.mnhn.fr/espece/cd_nom/65080","Calopteryx virgo (Linnaeus, 1758)")</f>
        <v>Calopteryx virgo (Linnaeus, 1758)</v>
      </c>
      <c r="F17671" s="5" t="s">
        <v>21537</v>
      </c>
      <c r="O17671" s="7" t="str">
        <f>HYPERLINK("#Liste_rouge!A"&amp;_xlfn.XMATCH("LC",Liste_rouge!A:A,2,1),"LC")</f>
        <v>LC</v>
      </c>
      <c r="P17671" s="7" t="str">
        <f>HYPERLINK("#Liste_rouge!A"&amp;_xlfn.XMATCH("LC",Liste_rouge!A:A,2,1),"LC")</f>
        <v>LC</v>
      </c>
      <c r="Q17671" s="7" t="str">
        <f>HYPERLINK("#Liste_rouge!A"&amp;_xlfn.XMATCH("LC",Liste_rouge!A:A,2,1),"LC")</f>
        <v>LC</v>
      </c>
      <c r="T17671" s="7" t="str">
        <f>HYPERLINK("#Liste_rouge!A"&amp;_xlfn.XMATCH("LC",Liste_rouge!A:A,2,1),"LC")</f>
        <v>LC</v>
      </c>
      <c r="V17671" s="7" t="str">
        <f>HYPERLINK("#Liste_rouge!A"&amp;_xlfn.XMATCH("LC",Liste_rouge!A:A,2,1),"LC")</f>
        <v>LC</v>
      </c>
      <c r="AH17671" s="4" t="str">
        <f>HYPERLINK("#Statut_biogéographique!A"&amp;_xlfn.XMATCH("P",Statut_biogéographique!A:A,2,1),"P")</f>
        <v>P</v>
      </c>
      <c r="AM17671" s="4" t="s">
        <v>375</v>
      </c>
      <c r="AN17671" s="4" t="s">
        <v>375</v>
      </c>
      <c r="AO17671" s="4" t="s">
        <v>375</v>
      </c>
      <c r="AP17671" s="4" t="s">
        <v>376</v>
      </c>
      <c r="AR17671" s="4" t="s">
        <v>377</v>
      </c>
    </row>
    <row r="17672" spans="1:44" ht="30">
      <c r="A17672" s="4" t="s">
        <v>10753</v>
      </c>
      <c r="B17672" s="4">
        <v>65085</v>
      </c>
      <c r="D17672" s="5" t="s">
        <v>21538</v>
      </c>
      <c r="E17672" s="6" t="str">
        <f>HYPERLINK("https://inpn.mnhn.fr/espece/cd_nom/65085","Calopteryx virgo meridionalis Selys, 1873")</f>
        <v>Calopteryx virgo meridionalis Selys, 1873</v>
      </c>
      <c r="F17672" s="5" t="s">
        <v>21539</v>
      </c>
      <c r="AH17672" s="4" t="str">
        <f>HYPERLINK("#Statut_biogéographique!A"&amp;_xlfn.XMATCH("P",Statut_biogéographique!A:A,2,1),"P")</f>
        <v>P</v>
      </c>
      <c r="AP17672" s="4" t="s">
        <v>376</v>
      </c>
      <c r="AR17672" s="4" t="s">
        <v>377</v>
      </c>
    </row>
    <row r="17673" spans="1:44" ht="30">
      <c r="A17673" s="4" t="s">
        <v>10753</v>
      </c>
      <c r="B17673" s="4">
        <v>65086</v>
      </c>
      <c r="D17673" s="5" t="s">
        <v>21540</v>
      </c>
      <c r="E17673" s="6" t="str">
        <f>HYPERLINK("https://inpn.mnhn.fr/espece/cd_nom/65086","Calopteryx virgo virgo (Linnaeus, 1758)")</f>
        <v>Calopteryx virgo virgo (Linnaeus, 1758)</v>
      </c>
      <c r="F17673" s="5" t="s">
        <v>21541</v>
      </c>
      <c r="AH17673" s="4" t="str">
        <f>HYPERLINK("#Statut_biogéographique!A"&amp;_xlfn.XMATCH("P",Statut_biogéographique!A:A,2,1),"P")</f>
        <v>P</v>
      </c>
      <c r="AP17673" s="4" t="s">
        <v>376</v>
      </c>
      <c r="AR17673" s="4" t="s">
        <v>377</v>
      </c>
    </row>
    <row r="17674" spans="1:44">
      <c r="A17674" s="4" t="s">
        <v>10753</v>
      </c>
      <c r="B17674" s="4">
        <v>650912</v>
      </c>
      <c r="D17674" s="5" t="s">
        <v>21542</v>
      </c>
      <c r="E17674" s="6" t="str">
        <f>HYPERLINK("https://inpn.mnhn.fr/espece/cd_nom/650912","Cacopsylla fulguralis (Kuwayama, 1908)")</f>
        <v>Cacopsylla fulguralis (Kuwayama, 1908)</v>
      </c>
      <c r="AH17674" s="4" t="str">
        <f>HYPERLINK("#Statut_biogéographique!A"&amp;_xlfn.XMATCH("P",Statut_biogéographique!A:A,2,1),"P")</f>
        <v>P</v>
      </c>
      <c r="AP17674" s="4" t="s">
        <v>376</v>
      </c>
      <c r="AR17674" s="4" t="s">
        <v>377</v>
      </c>
    </row>
    <row r="17675" spans="1:44" ht="30">
      <c r="A17675" s="4" t="s">
        <v>10753</v>
      </c>
      <c r="B17675" s="4">
        <v>65101</v>
      </c>
      <c r="D17675" s="5" t="s">
        <v>21543</v>
      </c>
      <c r="E17675" s="6" t="str">
        <f>HYPERLINK("https://inpn.mnhn.fr/espece/cd_nom/65101","Pyrrhosoma nymphula (Sulzer, 1776)")</f>
        <v>Pyrrhosoma nymphula (Sulzer, 1776)</v>
      </c>
      <c r="F17675" s="5" t="s">
        <v>21544</v>
      </c>
      <c r="O17675" s="7" t="str">
        <f>HYPERLINK("#Liste_rouge!A"&amp;_xlfn.XMATCH("LC",Liste_rouge!A:A,2,1),"LC")</f>
        <v>LC</v>
      </c>
      <c r="P17675" s="7" t="str">
        <f>HYPERLINK("#Liste_rouge!A"&amp;_xlfn.XMATCH("LC",Liste_rouge!A:A,2,1),"LC")</f>
        <v>LC</v>
      </c>
      <c r="Q17675" s="7" t="str">
        <f>HYPERLINK("#Liste_rouge!A"&amp;_xlfn.XMATCH("LC",Liste_rouge!A:A,2,1),"LC")</f>
        <v>LC</v>
      </c>
      <c r="T17675" s="7" t="str">
        <f>HYPERLINK("#Liste_rouge!A"&amp;_xlfn.XMATCH("LC",Liste_rouge!A:A,2,1),"LC")</f>
        <v>LC</v>
      </c>
      <c r="V17675" s="7" t="str">
        <f>HYPERLINK("#Liste_rouge!A"&amp;_xlfn.XMATCH("LC",Liste_rouge!A:A,2,1),"LC")</f>
        <v>LC</v>
      </c>
      <c r="AH17675" s="4" t="str">
        <f>HYPERLINK("#Statut_biogéographique!A"&amp;_xlfn.XMATCH("P",Statut_biogéographique!A:A,2,1),"P")</f>
        <v>P</v>
      </c>
      <c r="AM17675" s="4" t="s">
        <v>375</v>
      </c>
      <c r="AN17675" s="4" t="s">
        <v>375</v>
      </c>
      <c r="AO17675" s="4" t="s">
        <v>375</v>
      </c>
      <c r="AP17675" s="4" t="s">
        <v>376</v>
      </c>
      <c r="AR17675" s="4" t="s">
        <v>377</v>
      </c>
    </row>
    <row r="17676" spans="1:44">
      <c r="A17676" s="4" t="s">
        <v>10753</v>
      </c>
      <c r="B17676" s="4">
        <v>65109</v>
      </c>
      <c r="D17676" s="5" t="s">
        <v>21545</v>
      </c>
      <c r="E17676" s="6" t="str">
        <f>HYPERLINK("https://inpn.mnhn.fr/espece/cd_nom/65109","Ischnura elegans (Vander Linden, 1820)")</f>
        <v>Ischnura elegans (Vander Linden, 1820)</v>
      </c>
      <c r="F17676" s="5" t="s">
        <v>21546</v>
      </c>
      <c r="O17676" s="7" t="str">
        <f>HYPERLINK("#Liste_rouge!A"&amp;_xlfn.XMATCH("LC",Liste_rouge!A:A,2,1),"LC")</f>
        <v>LC</v>
      </c>
      <c r="P17676" s="7" t="str">
        <f>HYPERLINK("#Liste_rouge!A"&amp;_xlfn.XMATCH("LC",Liste_rouge!A:A,2,1),"LC")</f>
        <v>LC</v>
      </c>
      <c r="Q17676" s="7" t="str">
        <f>HYPERLINK("#Liste_rouge!A"&amp;_xlfn.XMATCH("LC",Liste_rouge!A:A,2,1),"LC")</f>
        <v>LC</v>
      </c>
      <c r="T17676" s="7" t="str">
        <f>HYPERLINK("#Liste_rouge!A"&amp;_xlfn.XMATCH("LC",Liste_rouge!A:A,2,1),"LC")</f>
        <v>LC</v>
      </c>
      <c r="V17676" s="7" t="str">
        <f>HYPERLINK("#Liste_rouge!A"&amp;_xlfn.XMATCH("LC",Liste_rouge!A:A,2,1),"LC")</f>
        <v>LC</v>
      </c>
      <c r="AH17676" s="4" t="str">
        <f>HYPERLINK("#Statut_biogéographique!A"&amp;_xlfn.XMATCH("P",Statut_biogéographique!A:A,2,1),"P")</f>
        <v>P</v>
      </c>
      <c r="AM17676" s="4" t="s">
        <v>375</v>
      </c>
      <c r="AN17676" s="4" t="s">
        <v>375</v>
      </c>
      <c r="AO17676" s="4" t="s">
        <v>375</v>
      </c>
      <c r="AP17676" s="4" t="s">
        <v>376</v>
      </c>
      <c r="AR17676" s="4" t="s">
        <v>377</v>
      </c>
    </row>
    <row r="17677" spans="1:44">
      <c r="A17677" s="4" t="s">
        <v>10753</v>
      </c>
      <c r="B17677" s="4">
        <v>65113</v>
      </c>
      <c r="D17677" s="5" t="s">
        <v>21547</v>
      </c>
      <c r="E17677" s="6" t="str">
        <f>HYPERLINK("https://inpn.mnhn.fr/espece/cd_nom/65113","Ischnura genei (Rambur, 1842)")</f>
        <v>Ischnura genei (Rambur, 1842)</v>
      </c>
      <c r="F17677" s="5" t="s">
        <v>21548</v>
      </c>
      <c r="O17677" s="7" t="str">
        <f>HYPERLINK("#Liste_rouge!A"&amp;_xlfn.XMATCH("LC",Liste_rouge!A:A,2,1),"LC")</f>
        <v>LC</v>
      </c>
      <c r="P17677" s="7" t="str">
        <f>HYPERLINK("#Liste_rouge!A"&amp;_xlfn.XMATCH("LC",Liste_rouge!A:A,2,1),"LC")</f>
        <v>LC</v>
      </c>
      <c r="Q17677" s="7" t="str">
        <f>HYPERLINK("#Liste_rouge!A"&amp;_xlfn.XMATCH("LC",Liste_rouge!A:A,2,1),"LC")</f>
        <v>LC</v>
      </c>
      <c r="AH17677" s="4" t="str">
        <f>HYPERLINK("#Statut_biogéographique!A"&amp;_xlfn.XMATCH("P",Statut_biogéographique!A:A,2,1),"P")</f>
        <v>P</v>
      </c>
      <c r="AP17677" s="4" t="s">
        <v>376</v>
      </c>
      <c r="AR17677" s="4" t="s">
        <v>377</v>
      </c>
    </row>
    <row r="17678" spans="1:44">
      <c r="A17678" s="4" t="s">
        <v>10753</v>
      </c>
      <c r="B17678" s="4">
        <v>65115</v>
      </c>
      <c r="D17678" s="5" t="s">
        <v>21549</v>
      </c>
      <c r="E17678" s="6" t="str">
        <f>HYPERLINK("https://inpn.mnhn.fr/espece/cd_nom/65115","Ischnura pumilio (Charpentier, 1825)")</f>
        <v>Ischnura pumilio (Charpentier, 1825)</v>
      </c>
      <c r="F17678" s="5" t="s">
        <v>21550</v>
      </c>
      <c r="O17678" s="7" t="str">
        <f>HYPERLINK("#Liste_rouge!A"&amp;_xlfn.XMATCH("LC",Liste_rouge!A:A,2,1),"LC")</f>
        <v>LC</v>
      </c>
      <c r="P17678" s="7" t="str">
        <f>HYPERLINK("#Liste_rouge!A"&amp;_xlfn.XMATCH("LC",Liste_rouge!A:A,2,1),"LC")</f>
        <v>LC</v>
      </c>
      <c r="Q17678" s="7" t="str">
        <f>HYPERLINK("#Liste_rouge!A"&amp;_xlfn.XMATCH("LC",Liste_rouge!A:A,2,1),"LC")</f>
        <v>LC</v>
      </c>
      <c r="T17678" s="7" t="str">
        <f>HYPERLINK("#Liste_rouge!A"&amp;_xlfn.XMATCH("LC",Liste_rouge!A:A,2,1),"LC")</f>
        <v>LC</v>
      </c>
      <c r="V17678" s="7" t="str">
        <f>HYPERLINK("#Liste_rouge!A"&amp;_xlfn.XMATCH("NT",Liste_rouge!A:A,2,1),"NT")</f>
        <v>NT</v>
      </c>
      <c r="W17678" s="4" t="str">
        <f>HYPERLINK("#Critères_liste_rouge!A$1","pr.A3c")</f>
        <v>pr.A3c</v>
      </c>
      <c r="X17678" s="5" t="s">
        <v>398</v>
      </c>
      <c r="AH17678" s="4" t="str">
        <f>HYPERLINK("#Statut_biogéographique!A"&amp;_xlfn.XMATCH("P",Statut_biogéographique!A:A,2,1),"P")</f>
        <v>P</v>
      </c>
      <c r="AM17678" s="4" t="s">
        <v>375</v>
      </c>
      <c r="AN17678" s="4" t="s">
        <v>375</v>
      </c>
      <c r="AO17678" s="4" t="s">
        <v>375</v>
      </c>
      <c r="AP17678" s="4" t="s">
        <v>376</v>
      </c>
      <c r="AR17678" s="4" t="s">
        <v>377</v>
      </c>
    </row>
    <row r="17679" spans="1:44">
      <c r="A17679" s="4" t="s">
        <v>10753</v>
      </c>
      <c r="B17679" s="4">
        <v>65131</v>
      </c>
      <c r="D17679" s="5" t="s">
        <v>21551</v>
      </c>
      <c r="E17679" s="6" t="str">
        <f>HYPERLINK("https://inpn.mnhn.fr/espece/cd_nom/65131","Coenagrion scitulum (Rambur, 1842)")</f>
        <v>Coenagrion scitulum (Rambur, 1842)</v>
      </c>
      <c r="F17679" s="5" t="s">
        <v>21552</v>
      </c>
      <c r="O17679" s="7" t="str">
        <f>HYPERLINK("#Liste_rouge!A"&amp;_xlfn.XMATCH("LC",Liste_rouge!A:A,2,1),"LC")</f>
        <v>LC</v>
      </c>
      <c r="P17679" s="7" t="str">
        <f>HYPERLINK("#Liste_rouge!A"&amp;_xlfn.XMATCH("LC",Liste_rouge!A:A,2,1),"LC")</f>
        <v>LC</v>
      </c>
      <c r="Q17679" s="7" t="str">
        <f>HYPERLINK("#Liste_rouge!A"&amp;_xlfn.XMATCH("LC",Liste_rouge!A:A,2,1),"LC")</f>
        <v>LC</v>
      </c>
      <c r="T17679" s="7" t="str">
        <f>HYPERLINK("#Liste_rouge!A"&amp;_xlfn.XMATCH("LC",Liste_rouge!A:A,2,1),"LC")</f>
        <v>LC</v>
      </c>
      <c r="V17679" s="7" t="str">
        <f>HYPERLINK("#Liste_rouge!A"&amp;_xlfn.XMATCH("NT",Liste_rouge!A:A,2,1),"NT")</f>
        <v>NT</v>
      </c>
      <c r="W17679" s="4" t="str">
        <f>HYPERLINK("#Critères_liste_rouge!A$1","pr.A3c")</f>
        <v>pr.A3c</v>
      </c>
      <c r="X17679" s="5" t="s">
        <v>398</v>
      </c>
      <c r="AH17679" s="4" t="str">
        <f>HYPERLINK("#Statut_biogéographique!A"&amp;_xlfn.XMATCH("P",Statut_biogéographique!A:A,2,1),"P")</f>
        <v>P</v>
      </c>
      <c r="AM17679" s="4" t="s">
        <v>375</v>
      </c>
      <c r="AN17679" s="4" t="s">
        <v>375</v>
      </c>
      <c r="AO17679" s="4" t="s">
        <v>375</v>
      </c>
      <c r="AP17679" s="4" t="s">
        <v>376</v>
      </c>
      <c r="AR17679" s="4" t="s">
        <v>377</v>
      </c>
    </row>
    <row r="17680" spans="1:44">
      <c r="A17680" s="4" t="s">
        <v>10753</v>
      </c>
      <c r="B17680" s="4">
        <v>65133</v>
      </c>
      <c r="D17680" s="5" t="s">
        <v>21553</v>
      </c>
      <c r="E17680" s="6" t="str">
        <f>HYPERLINK("https://inpn.mnhn.fr/espece/cd_nom/65133","Coenagrion mercuriale (Charpentier, 1840)")</f>
        <v>Coenagrion mercuriale (Charpentier, 1840)</v>
      </c>
      <c r="F17680" s="5" t="s">
        <v>21554</v>
      </c>
      <c r="I17680" s="4" t="str">
        <f>HYPERLINK("#Réglementation!A"&amp;_xlfn.XMATCH("IBE2",Réglementation!A:A,2,1),"IBE2")</f>
        <v>IBE2</v>
      </c>
      <c r="K17680" s="4" t="str">
        <f>HYPERLINK("#Réglementation!A"&amp;_xlfn.XMATCH("CDH2",Réglementation!A:A,2,1),"CDH2")</f>
        <v>CDH2</v>
      </c>
      <c r="L17680" s="4" t="str">
        <f>HYPERLINK("#Réglementation!A"&amp;_xlfn.XMATCH("NI3",Réglementation!A:A,2,1),"NI3")</f>
        <v>NI3</v>
      </c>
      <c r="O17680" s="7" t="str">
        <f>HYPERLINK("#Liste_rouge!A"&amp;_xlfn.XMATCH("NT",Liste_rouge!A:A,2,1),"NT")</f>
        <v>NT</v>
      </c>
      <c r="P17680" s="7" t="str">
        <f>HYPERLINK("#Liste_rouge!A"&amp;_xlfn.XMATCH("NT",Liste_rouge!A:A,2,1),"NT")</f>
        <v>NT</v>
      </c>
      <c r="Q17680" s="7" t="str">
        <f>HYPERLINK("#Liste_rouge!A"&amp;_xlfn.XMATCH("LC",Liste_rouge!A:A,2,1),"LC")</f>
        <v>LC</v>
      </c>
      <c r="T17680" s="7" t="str">
        <f>HYPERLINK("#Liste_rouge!A"&amp;_xlfn.XMATCH("LC",Liste_rouge!A:A,2,1),"LC")</f>
        <v>LC</v>
      </c>
      <c r="V17680" s="7" t="str">
        <f>HYPERLINK("#Liste_rouge!A"&amp;_xlfn.XMATCH("NT",Liste_rouge!A:A,2,1),"NT")</f>
        <v>NT</v>
      </c>
      <c r="W17680" s="4" t="str">
        <f>HYPERLINK("#Critères_liste_rouge!A$1","pr.A2c")</f>
        <v>pr.A2c</v>
      </c>
      <c r="X17680" s="5" t="s">
        <v>398</v>
      </c>
      <c r="AE17680" s="4" t="str">
        <f>HYPERLINK("#SCAP!A"&amp;_xlfn.XMATCH("1-",SCAP!A:A,2,1),"1-")</f>
        <v>1-</v>
      </c>
      <c r="AF17680" s="4" t="str">
        <f>HYPERLINK("#SCAP!A"&amp;_xlfn.XMATCH("3",SCAP!A:A,2,1),"3")</f>
        <v>3</v>
      </c>
      <c r="AG17680" s="4" t="str">
        <f>HYPERLINK("#SCAP!A"&amp;_xlfn.XMATCH("2+",SCAP!A:A,2,1),"2+")</f>
        <v>2+</v>
      </c>
      <c r="AH17680" s="4" t="str">
        <f>HYPERLINK("#Statut_biogéographique!A"&amp;_xlfn.XMATCH("P",Statut_biogéographique!A:A,2,1),"P")</f>
        <v>P</v>
      </c>
      <c r="AI17680" s="8" t="s">
        <v>21555</v>
      </c>
      <c r="AJ17680" s="4" t="s">
        <v>21556</v>
      </c>
      <c r="AM17680" s="4" t="s">
        <v>375</v>
      </c>
      <c r="AN17680" s="4" t="s">
        <v>375</v>
      </c>
      <c r="AO17680" s="4" t="s">
        <v>375</v>
      </c>
      <c r="AP17680" s="4" t="s">
        <v>376</v>
      </c>
      <c r="AR17680" s="4" t="s">
        <v>377</v>
      </c>
    </row>
    <row r="17681" spans="1:44">
      <c r="A17681" s="4" t="s">
        <v>10753</v>
      </c>
      <c r="B17681" s="4">
        <v>65139</v>
      </c>
      <c r="D17681" s="5" t="s">
        <v>21557</v>
      </c>
      <c r="E17681" s="6" t="str">
        <f>HYPERLINK("https://inpn.mnhn.fr/espece/cd_nom/65139","Coenagrion ornatum (Selys, 1850)")</f>
        <v>Coenagrion ornatum (Selys, 1850)</v>
      </c>
      <c r="F17681" s="5" t="s">
        <v>21558</v>
      </c>
      <c r="K17681" s="4" t="str">
        <f>HYPERLINK("#Réglementation!A"&amp;_xlfn.XMATCH("CDH2",Réglementation!A:A,2,1),"CDH2")</f>
        <v>CDH2</v>
      </c>
      <c r="O17681" s="7" t="str">
        <f>HYPERLINK("#Liste_rouge!A"&amp;_xlfn.XMATCH("LC",Liste_rouge!A:A,2,1),"LC")</f>
        <v>LC</v>
      </c>
      <c r="P17681" s="7" t="str">
        <f>HYPERLINK("#Liste_rouge!A"&amp;_xlfn.XMATCH("NT",Liste_rouge!A:A,2,1),"NT")</f>
        <v>NT</v>
      </c>
      <c r="Q17681" s="7" t="str">
        <f>HYPERLINK("#Liste_rouge!A"&amp;_xlfn.XMATCH("NT",Liste_rouge!A:A,2,1),"NT")</f>
        <v>NT</v>
      </c>
      <c r="T17681" s="7" t="str">
        <f>HYPERLINK("#Liste_rouge!A"&amp;_xlfn.XMATCH("NT",Liste_rouge!A:A,2,1),"NT")</f>
        <v>NT</v>
      </c>
      <c r="X17681" s="5" t="s">
        <v>374</v>
      </c>
      <c r="AE17681" s="4" t="str">
        <f>HYPERLINK("#SCAP!A"&amp;_xlfn.XMATCH("1+",SCAP!A:A,2,1),"1+")</f>
        <v>1+</v>
      </c>
      <c r="AF17681" s="4" t="str">
        <f>HYPERLINK("#SCAP!A"&amp;_xlfn.XMATCH("1+",SCAP!A:A,2,1),"1+")</f>
        <v>1+</v>
      </c>
      <c r="AH17681" s="4" t="str">
        <f>HYPERLINK("#Statut_biogéographique!A"&amp;_xlfn.XMATCH("P",Statut_biogéographique!A:A,2,1),"P")</f>
        <v>P</v>
      </c>
      <c r="AI17681" s="8" t="s">
        <v>21559</v>
      </c>
      <c r="AJ17681" s="4" t="s">
        <v>21556</v>
      </c>
      <c r="AM17681" s="4" t="s">
        <v>375</v>
      </c>
      <c r="AN17681" s="4" t="s">
        <v>375</v>
      </c>
      <c r="AO17681" s="4" t="s">
        <v>375</v>
      </c>
      <c r="AP17681" s="4" t="s">
        <v>376</v>
      </c>
      <c r="AR17681" s="4" t="s">
        <v>377</v>
      </c>
    </row>
    <row r="17682" spans="1:44">
      <c r="A17682" s="4" t="s">
        <v>10753</v>
      </c>
      <c r="B17682" s="4">
        <v>65141</v>
      </c>
      <c r="D17682" s="5" t="s">
        <v>21560</v>
      </c>
      <c r="E17682" s="6" t="str">
        <f>HYPERLINK("https://inpn.mnhn.fr/espece/cd_nom/65141","Coenagrion puella (Linnaeus, 1758)")</f>
        <v>Coenagrion puella (Linnaeus, 1758)</v>
      </c>
      <c r="F17682" s="5" t="s">
        <v>21561</v>
      </c>
      <c r="O17682" s="7" t="str">
        <f>HYPERLINK("#Liste_rouge!A"&amp;_xlfn.XMATCH("LC",Liste_rouge!A:A,2,1),"LC")</f>
        <v>LC</v>
      </c>
      <c r="P17682" s="7" t="str">
        <f>HYPERLINK("#Liste_rouge!A"&amp;_xlfn.XMATCH("LC",Liste_rouge!A:A,2,1),"LC")</f>
        <v>LC</v>
      </c>
      <c r="Q17682" s="7" t="str">
        <f>HYPERLINK("#Liste_rouge!A"&amp;_xlfn.XMATCH("LC",Liste_rouge!A:A,2,1),"LC")</f>
        <v>LC</v>
      </c>
      <c r="T17682" s="7" t="str">
        <f>HYPERLINK("#Liste_rouge!A"&amp;_xlfn.XMATCH("LC",Liste_rouge!A:A,2,1),"LC")</f>
        <v>LC</v>
      </c>
      <c r="V17682" s="7" t="str">
        <f>HYPERLINK("#Liste_rouge!A"&amp;_xlfn.XMATCH("LC",Liste_rouge!A:A,2,1),"LC")</f>
        <v>LC</v>
      </c>
      <c r="AH17682" s="4" t="str">
        <f>HYPERLINK("#Statut_biogéographique!A"&amp;_xlfn.XMATCH("P",Statut_biogéographique!A:A,2,1),"P")</f>
        <v>P</v>
      </c>
      <c r="AM17682" s="4" t="s">
        <v>375</v>
      </c>
      <c r="AN17682" s="4" t="s">
        <v>375</v>
      </c>
      <c r="AO17682" s="4" t="s">
        <v>375</v>
      </c>
      <c r="AP17682" s="4" t="s">
        <v>376</v>
      </c>
      <c r="AR17682" s="4" t="s">
        <v>377</v>
      </c>
    </row>
    <row r="17683" spans="1:44" ht="30">
      <c r="A17683" s="4" t="s">
        <v>10753</v>
      </c>
      <c r="B17683" s="4">
        <v>65145</v>
      </c>
      <c r="D17683" s="5" t="s">
        <v>21562</v>
      </c>
      <c r="E17683" s="6" t="str">
        <f>HYPERLINK("https://inpn.mnhn.fr/espece/cd_nom/65145","Coenagrion pulchellum (Vander Linden, 1825)")</f>
        <v>Coenagrion pulchellum (Vander Linden, 1825)</v>
      </c>
      <c r="F17683" s="5" t="s">
        <v>21563</v>
      </c>
      <c r="O17683" s="7" t="str">
        <f>HYPERLINK("#Liste_rouge!A"&amp;_xlfn.XMATCH("LC",Liste_rouge!A:A,2,1),"LC")</f>
        <v>LC</v>
      </c>
      <c r="P17683" s="7" t="str">
        <f>HYPERLINK("#Liste_rouge!A"&amp;_xlfn.XMATCH("LC",Liste_rouge!A:A,2,1),"LC")</f>
        <v>LC</v>
      </c>
      <c r="Q17683" s="7" t="str">
        <f>HYPERLINK("#Liste_rouge!A"&amp;_xlfn.XMATCH("VU",Liste_rouge!A:A,2,1),"VU")</f>
        <v>VU</v>
      </c>
      <c r="T17683" s="7" t="str">
        <f>HYPERLINK("#Liste_rouge!A"&amp;_xlfn.XMATCH("VU",Liste_rouge!A:A,2,1),"VU")</f>
        <v>VU</v>
      </c>
      <c r="V17683" s="7" t="str">
        <f>HYPERLINK("#Liste_rouge!A"&amp;_xlfn.XMATCH("NT",Liste_rouge!A:A,2,1),"NT")</f>
        <v>NT</v>
      </c>
      <c r="W17683" s="4" t="str">
        <f>HYPERLINK("#Critères_liste_rouge!A$1","pr.A2c")</f>
        <v>pr.A2c</v>
      </c>
      <c r="X17683" s="5" t="s">
        <v>374</v>
      </c>
      <c r="AH17683" s="4" t="str">
        <f>HYPERLINK("#Statut_biogéographique!A"&amp;_xlfn.XMATCH("P",Statut_biogéographique!A:A,2,1),"P")</f>
        <v>P</v>
      </c>
      <c r="AI17683" s="8" t="s">
        <v>21564</v>
      </c>
      <c r="AJ17683" s="4" t="s">
        <v>21565</v>
      </c>
      <c r="AM17683" s="4" t="s">
        <v>375</v>
      </c>
      <c r="AN17683" s="4" t="s">
        <v>375</v>
      </c>
      <c r="AO17683" s="4" t="s">
        <v>375</v>
      </c>
      <c r="AP17683" s="4" t="s">
        <v>376</v>
      </c>
      <c r="AR17683" s="4" t="s">
        <v>377</v>
      </c>
    </row>
    <row r="17684" spans="1:44">
      <c r="A17684" s="4" t="s">
        <v>10753</v>
      </c>
      <c r="B17684" s="4">
        <v>65147</v>
      </c>
      <c r="D17684" s="5" t="s">
        <v>21566</v>
      </c>
      <c r="E17684" s="6" t="str">
        <f>HYPERLINK("https://inpn.mnhn.fr/espece/cd_nom/65147","Coenagrion lunulatum (Charpentier, 1840)")</f>
        <v>Coenagrion lunulatum (Charpentier, 1840)</v>
      </c>
      <c r="F17684" s="5" t="s">
        <v>21567</v>
      </c>
      <c r="O17684" s="7" t="str">
        <f>HYPERLINK("#Liste_rouge!A"&amp;_xlfn.XMATCH("LC",Liste_rouge!A:A,2,1),"LC")</f>
        <v>LC</v>
      </c>
      <c r="P17684" s="7" t="str">
        <f>HYPERLINK("#Liste_rouge!A"&amp;_xlfn.XMATCH("LC",Liste_rouge!A:A,2,1),"LC")</f>
        <v>LC</v>
      </c>
      <c r="Q17684" s="7" t="str">
        <f>HYPERLINK("#Liste_rouge!A"&amp;_xlfn.XMATCH("VU",Liste_rouge!A:A,2,1),"VU")</f>
        <v>VU</v>
      </c>
      <c r="AE17684" s="4" t="str">
        <f>HYPERLINK("#SCAP!A"&amp;_xlfn.XMATCH("A",SCAP!A:A,2,1),"A")</f>
        <v>A</v>
      </c>
      <c r="AH17684" s="4" t="str">
        <f>HYPERLINK("#Statut_biogéographique!A"&amp;_xlfn.XMATCH("P",Statut_biogéographique!A:A,2,1),"P")</f>
        <v>P</v>
      </c>
      <c r="AI17684" s="8" t="s">
        <v>21568</v>
      </c>
      <c r="AJ17684" s="4" t="s">
        <v>21556</v>
      </c>
      <c r="AP17684" s="4" t="s">
        <v>376</v>
      </c>
      <c r="AR17684" s="4" t="s">
        <v>377</v>
      </c>
    </row>
    <row r="17685" spans="1:44">
      <c r="A17685" s="4" t="s">
        <v>10753</v>
      </c>
      <c r="B17685" s="4">
        <v>65151</v>
      </c>
      <c r="D17685" s="5" t="s">
        <v>21569</v>
      </c>
      <c r="E17685" s="6" t="str">
        <f>HYPERLINK("https://inpn.mnhn.fr/espece/cd_nom/65151","Coenagrion hastulatum (Charpentier, 1825)")</f>
        <v>Coenagrion hastulatum (Charpentier, 1825)</v>
      </c>
      <c r="F17685" s="5" t="s">
        <v>21570</v>
      </c>
      <c r="O17685" s="7" t="str">
        <f>HYPERLINK("#Liste_rouge!A"&amp;_xlfn.XMATCH("LC",Liste_rouge!A:A,2,1),"LC")</f>
        <v>LC</v>
      </c>
      <c r="P17685" s="7" t="str">
        <f>HYPERLINK("#Liste_rouge!A"&amp;_xlfn.XMATCH("LC",Liste_rouge!A:A,2,1),"LC")</f>
        <v>LC</v>
      </c>
      <c r="Q17685" s="7" t="str">
        <f>HYPERLINK("#Liste_rouge!A"&amp;_xlfn.XMATCH("VU",Liste_rouge!A:A,2,1),"VU")</f>
        <v>VU</v>
      </c>
      <c r="T17685" s="7" t="str">
        <f>HYPERLINK("#Liste_rouge!A"&amp;_xlfn.XMATCH("CR",Liste_rouge!A:A,2,1),"CR")</f>
        <v>CR</v>
      </c>
      <c r="V17685" s="7" t="str">
        <f>HYPERLINK("#Liste_rouge!A"&amp;_xlfn.XMATCH("NT",Liste_rouge!A:A,2,1),"NT")</f>
        <v>NT</v>
      </c>
      <c r="W17685" s="4" t="str">
        <f>HYPERLINK("#Critères_liste_rouge!A$1","pr.A2c")</f>
        <v>pr.A2c</v>
      </c>
      <c r="X17685" s="5" t="s">
        <v>374</v>
      </c>
      <c r="AH17685" s="4" t="str">
        <f>HYPERLINK("#Statut_biogéographique!A"&amp;_xlfn.XMATCH("P",Statut_biogéographique!A:A,2,1),"P")</f>
        <v>P</v>
      </c>
      <c r="AI17685" s="8" t="s">
        <v>21571</v>
      </c>
      <c r="AJ17685" s="4" t="s">
        <v>21565</v>
      </c>
      <c r="AM17685" s="4" t="s">
        <v>375</v>
      </c>
      <c r="AN17685" s="4" t="s">
        <v>375</v>
      </c>
      <c r="AO17685" s="4" t="s">
        <v>375</v>
      </c>
      <c r="AP17685" s="4" t="s">
        <v>376</v>
      </c>
      <c r="AR17685" s="4" t="s">
        <v>377</v>
      </c>
    </row>
    <row r="17686" spans="1:44">
      <c r="A17686" s="4" t="s">
        <v>10753</v>
      </c>
      <c r="B17686" s="4">
        <v>65155</v>
      </c>
      <c r="D17686" s="5" t="s">
        <v>21572</v>
      </c>
      <c r="E17686" s="6" t="str">
        <f>HYPERLINK("https://inpn.mnhn.fr/espece/cd_nom/65155","Enallagma cyathigerum (Charpentier, 1840)")</f>
        <v>Enallagma cyathigerum (Charpentier, 1840)</v>
      </c>
      <c r="F17686" s="5" t="s">
        <v>21573</v>
      </c>
      <c r="O17686" s="7" t="str">
        <f>HYPERLINK("#Liste_rouge!A"&amp;_xlfn.XMATCH("LC",Liste_rouge!A:A,2,1),"LC")</f>
        <v>LC</v>
      </c>
      <c r="P17686" s="7" t="str">
        <f>HYPERLINK("#Liste_rouge!A"&amp;_xlfn.XMATCH("LC",Liste_rouge!A:A,2,1),"LC")</f>
        <v>LC</v>
      </c>
      <c r="Q17686" s="7" t="str">
        <f>HYPERLINK("#Liste_rouge!A"&amp;_xlfn.XMATCH("LC",Liste_rouge!A:A,2,1),"LC")</f>
        <v>LC</v>
      </c>
      <c r="T17686" s="7" t="str">
        <f>HYPERLINK("#Liste_rouge!A"&amp;_xlfn.XMATCH("LC",Liste_rouge!A:A,2,1),"LC")</f>
        <v>LC</v>
      </c>
      <c r="V17686" s="7" t="str">
        <f>HYPERLINK("#Liste_rouge!A"&amp;_xlfn.XMATCH("LC",Liste_rouge!A:A,2,1),"LC")</f>
        <v>LC</v>
      </c>
      <c r="AH17686" s="4" t="str">
        <f>HYPERLINK("#Statut_biogéographique!A"&amp;_xlfn.XMATCH("P",Statut_biogéographique!A:A,2,1),"P")</f>
        <v>P</v>
      </c>
      <c r="AM17686" s="4" t="s">
        <v>375</v>
      </c>
      <c r="AN17686" s="4" t="s">
        <v>375</v>
      </c>
      <c r="AO17686" s="4" t="s">
        <v>375</v>
      </c>
      <c r="AP17686" s="4" t="s">
        <v>376</v>
      </c>
      <c r="AR17686" s="4" t="s">
        <v>377</v>
      </c>
    </row>
    <row r="17687" spans="1:44">
      <c r="A17687" s="4" t="s">
        <v>10753</v>
      </c>
      <c r="B17687" s="4">
        <v>65161</v>
      </c>
      <c r="D17687" s="5" t="s">
        <v>21574</v>
      </c>
      <c r="E17687" s="6" t="str">
        <f>HYPERLINK("https://inpn.mnhn.fr/espece/cd_nom/65161","Erythromma najas (Hansemann, 1823)")</f>
        <v>Erythromma najas (Hansemann, 1823)</v>
      </c>
      <c r="F17687" s="5" t="s">
        <v>21575</v>
      </c>
      <c r="O17687" s="7" t="str">
        <f>HYPERLINK("#Liste_rouge!A"&amp;_xlfn.XMATCH("LC",Liste_rouge!A:A,2,1),"LC")</f>
        <v>LC</v>
      </c>
      <c r="P17687" s="7" t="str">
        <f>HYPERLINK("#Liste_rouge!A"&amp;_xlfn.XMATCH("LC",Liste_rouge!A:A,2,1),"LC")</f>
        <v>LC</v>
      </c>
      <c r="Q17687" s="7" t="str">
        <f>HYPERLINK("#Liste_rouge!A"&amp;_xlfn.XMATCH("LC",Liste_rouge!A:A,2,1),"LC")</f>
        <v>LC</v>
      </c>
      <c r="T17687" s="7" t="str">
        <f>HYPERLINK("#Liste_rouge!A"&amp;_xlfn.XMATCH("LC",Liste_rouge!A:A,2,1),"LC")</f>
        <v>LC</v>
      </c>
      <c r="V17687" s="7" t="str">
        <f>HYPERLINK("#Liste_rouge!A"&amp;_xlfn.XMATCH("LC",Liste_rouge!A:A,2,1),"LC")</f>
        <v>LC</v>
      </c>
      <c r="AH17687" s="4" t="str">
        <f>HYPERLINK("#Statut_biogéographique!A"&amp;_xlfn.XMATCH("P",Statut_biogéographique!A:A,2,1),"P")</f>
        <v>P</v>
      </c>
      <c r="AM17687" s="4" t="s">
        <v>375</v>
      </c>
      <c r="AN17687" s="4" t="s">
        <v>375</v>
      </c>
      <c r="AO17687" s="4" t="s">
        <v>375</v>
      </c>
      <c r="AP17687" s="4" t="s">
        <v>376</v>
      </c>
      <c r="AR17687" s="4" t="s">
        <v>377</v>
      </c>
    </row>
    <row r="17688" spans="1:44">
      <c r="A17688" s="4" t="s">
        <v>10753</v>
      </c>
      <c r="B17688" s="4">
        <v>65165</v>
      </c>
      <c r="D17688" s="5" t="s">
        <v>21576</v>
      </c>
      <c r="E17688" s="6" t="str">
        <f>HYPERLINK("https://inpn.mnhn.fr/espece/cd_nom/65165","Erythromma viridulum (Charpentier, 1840)")</f>
        <v>Erythromma viridulum (Charpentier, 1840)</v>
      </c>
      <c r="F17688" s="5" t="s">
        <v>21577</v>
      </c>
      <c r="O17688" s="7" t="str">
        <f>HYPERLINK("#Liste_rouge!A"&amp;_xlfn.XMATCH("LC",Liste_rouge!A:A,2,1),"LC")</f>
        <v>LC</v>
      </c>
      <c r="P17688" s="7" t="str">
        <f>HYPERLINK("#Liste_rouge!A"&amp;_xlfn.XMATCH("LC",Liste_rouge!A:A,2,1),"LC")</f>
        <v>LC</v>
      </c>
      <c r="Q17688" s="7" t="str">
        <f>HYPERLINK("#Liste_rouge!A"&amp;_xlfn.XMATCH("LC",Liste_rouge!A:A,2,1),"LC")</f>
        <v>LC</v>
      </c>
      <c r="T17688" s="7" t="str">
        <f>HYPERLINK("#Liste_rouge!A"&amp;_xlfn.XMATCH("LC",Liste_rouge!A:A,2,1),"LC")</f>
        <v>LC</v>
      </c>
      <c r="V17688" s="7" t="str">
        <f>HYPERLINK("#Liste_rouge!A"&amp;_xlfn.XMATCH("LC",Liste_rouge!A:A,2,1),"LC")</f>
        <v>LC</v>
      </c>
      <c r="AH17688" s="4" t="str">
        <f>HYPERLINK("#Statut_biogéographique!A"&amp;_xlfn.XMATCH("P",Statut_biogéographique!A:A,2,1),"P")</f>
        <v>P</v>
      </c>
      <c r="AM17688" s="4" t="s">
        <v>375</v>
      </c>
      <c r="AN17688" s="4" t="s">
        <v>375</v>
      </c>
      <c r="AO17688" s="4" t="s">
        <v>375</v>
      </c>
      <c r="AP17688" s="4" t="s">
        <v>376</v>
      </c>
      <c r="AR17688" s="4" t="s">
        <v>377</v>
      </c>
    </row>
    <row r="17689" spans="1:44">
      <c r="A17689" s="4" t="s">
        <v>10753</v>
      </c>
      <c r="B17689" s="4">
        <v>65174</v>
      </c>
      <c r="D17689" s="5" t="s">
        <v>21578</v>
      </c>
      <c r="E17689" s="6" t="str">
        <f>HYPERLINK("https://inpn.mnhn.fr/espece/cd_nom/65174","Nehalennia speciosa (Charpentier, 1840)")</f>
        <v>Nehalennia speciosa (Charpentier, 1840)</v>
      </c>
      <c r="F17689" s="5" t="s">
        <v>21579</v>
      </c>
      <c r="O17689" s="7" t="str">
        <f>HYPERLINK("#Liste_rouge!A"&amp;_xlfn.XMATCH("VU",Liste_rouge!A:A,2,1),"VU")</f>
        <v>VU</v>
      </c>
      <c r="P17689" s="7" t="str">
        <f>HYPERLINK("#Liste_rouge!A"&amp;_xlfn.XMATCH("NT",Liste_rouge!A:A,2,1),"NT")</f>
        <v>NT</v>
      </c>
      <c r="Q17689" s="7" t="str">
        <f>HYPERLINK("#Liste_rouge!A"&amp;_xlfn.XMATCH("CR",Liste_rouge!A:A,2,1),"CR")</f>
        <v>CR</v>
      </c>
      <c r="V17689" s="7" t="str">
        <f>HYPERLINK("#Liste_rouge!A"&amp;_xlfn.XMATCH("CR",Liste_rouge!A:A,2,1),"CR")</f>
        <v>CR</v>
      </c>
      <c r="W17689" s="4" t="str">
        <f>HYPERLINK("#Critères_liste_rouge!A$1","B2ab(iii)")</f>
        <v>B2ab(iii)</v>
      </c>
      <c r="X17689" s="5" t="s">
        <v>374</v>
      </c>
      <c r="AD17689" s="4" t="s">
        <v>11319</v>
      </c>
      <c r="AE17689" s="4" t="str">
        <f>HYPERLINK("#SCAP!A"&amp;_xlfn.XMATCH("A",SCAP!A:A,2,1),"A")</f>
        <v>A</v>
      </c>
      <c r="AG17689" s="4" t="str">
        <f>HYPERLINK("#SCAP!A"&amp;_xlfn.XMATCH("A",SCAP!A:A,2,1),"A")</f>
        <v>A</v>
      </c>
      <c r="AH17689" s="4" t="str">
        <f>HYPERLINK("#Statut_biogéographique!A"&amp;_xlfn.XMATCH("P",Statut_biogéographique!A:A,2,1),"P")</f>
        <v>P</v>
      </c>
      <c r="AI17689" s="8" t="s">
        <v>21580</v>
      </c>
      <c r="AJ17689" s="4" t="s">
        <v>21556</v>
      </c>
      <c r="AM17689" s="4" t="s">
        <v>382</v>
      </c>
      <c r="AN17689" s="4" t="s">
        <v>382</v>
      </c>
      <c r="AO17689" s="4" t="s">
        <v>382</v>
      </c>
      <c r="AP17689" s="4" t="s">
        <v>376</v>
      </c>
      <c r="AR17689" s="4" t="s">
        <v>377</v>
      </c>
    </row>
    <row r="17690" spans="1:44">
      <c r="A17690" s="4" t="s">
        <v>10753</v>
      </c>
      <c r="B17690" s="4">
        <v>65179</v>
      </c>
      <c r="D17690" s="5">
        <v>65179</v>
      </c>
      <c r="E17690" s="6" t="str">
        <f>HYPERLINK("https://inpn.mnhn.fr/espece/cd_nom/65179","Platycnemis acutipennis Selys, 1841")</f>
        <v>Platycnemis acutipennis Selys, 1841</v>
      </c>
      <c r="F17690" s="5" t="s">
        <v>21581</v>
      </c>
      <c r="O17690" s="7" t="str">
        <f>HYPERLINK("#Liste_rouge!A"&amp;_xlfn.XMATCH("LC",Liste_rouge!A:A,2,1),"LC")</f>
        <v>LC</v>
      </c>
      <c r="P17690" s="7" t="str">
        <f>HYPERLINK("#Liste_rouge!A"&amp;_xlfn.XMATCH("LC",Liste_rouge!A:A,2,1),"LC")</f>
        <v>LC</v>
      </c>
      <c r="Q17690" s="7" t="str">
        <f>HYPERLINK("#Liste_rouge!A"&amp;_xlfn.XMATCH("LC",Liste_rouge!A:A,2,1),"LC")</f>
        <v>LC</v>
      </c>
      <c r="T17690" s="7" t="str">
        <f>HYPERLINK("#Liste_rouge!A"&amp;_xlfn.XMATCH("VU",Liste_rouge!A:A,2,1),"VU")</f>
        <v>VU</v>
      </c>
      <c r="X17690" s="5" t="s">
        <v>374</v>
      </c>
      <c r="AH17690" s="4" t="str">
        <f>HYPERLINK("#Statut_biogéographique!A"&amp;_xlfn.XMATCH("P",Statut_biogéographique!A:A,2,1),"P")</f>
        <v>P</v>
      </c>
      <c r="AM17690" s="4" t="s">
        <v>375</v>
      </c>
      <c r="AN17690" s="4" t="s">
        <v>375</v>
      </c>
      <c r="AO17690" s="4" t="s">
        <v>375</v>
      </c>
      <c r="AP17690" s="4" t="s">
        <v>376</v>
      </c>
      <c r="AR17690" s="4" t="s">
        <v>377</v>
      </c>
    </row>
    <row r="17691" spans="1:44">
      <c r="A17691" s="4" t="s">
        <v>10753</v>
      </c>
      <c r="B17691" s="4">
        <v>65182</v>
      </c>
      <c r="D17691" s="5">
        <v>65182</v>
      </c>
      <c r="E17691" s="6" t="str">
        <f>HYPERLINK("https://inpn.mnhn.fr/espece/cd_nom/65182","Platycnemis latipes Rambur, 1842")</f>
        <v>Platycnemis latipes Rambur, 1842</v>
      </c>
      <c r="F17691" s="5" t="s">
        <v>21582</v>
      </c>
      <c r="O17691" s="7" t="str">
        <f>HYPERLINK("#Liste_rouge!A"&amp;_xlfn.XMATCH("LC",Liste_rouge!A:A,2,1),"LC")</f>
        <v>LC</v>
      </c>
      <c r="P17691" s="7" t="str">
        <f>HYPERLINK("#Liste_rouge!A"&amp;_xlfn.XMATCH("LC",Liste_rouge!A:A,2,1),"LC")</f>
        <v>LC</v>
      </c>
      <c r="Q17691" s="7" t="str">
        <f>HYPERLINK("#Liste_rouge!A"&amp;_xlfn.XMATCH("LC",Liste_rouge!A:A,2,1),"LC")</f>
        <v>LC</v>
      </c>
      <c r="AH17691" s="4" t="str">
        <f>HYPERLINK("#Statut_biogéographique!A"&amp;_xlfn.XMATCH("P",Statut_biogéographique!A:A,2,1),"P")</f>
        <v>P</v>
      </c>
      <c r="AP17691" s="4" t="s">
        <v>376</v>
      </c>
      <c r="AR17691" s="4" t="s">
        <v>377</v>
      </c>
    </row>
    <row r="17692" spans="1:44" ht="30">
      <c r="A17692" s="4" t="s">
        <v>10753</v>
      </c>
      <c r="B17692" s="4">
        <v>65184</v>
      </c>
      <c r="D17692" s="5" t="s">
        <v>21583</v>
      </c>
      <c r="E17692" s="6" t="str">
        <f>HYPERLINK("https://inpn.mnhn.fr/espece/cd_nom/65184","Platycnemis pennipes (Pallas, 1771)")</f>
        <v>Platycnemis pennipes (Pallas, 1771)</v>
      </c>
      <c r="F17692" s="5" t="s">
        <v>21584</v>
      </c>
      <c r="O17692" s="7" t="str">
        <f>HYPERLINK("#Liste_rouge!A"&amp;_xlfn.XMATCH("LC",Liste_rouge!A:A,2,1),"LC")</f>
        <v>LC</v>
      </c>
      <c r="P17692" s="7" t="str">
        <f>HYPERLINK("#Liste_rouge!A"&amp;_xlfn.XMATCH("LC",Liste_rouge!A:A,2,1),"LC")</f>
        <v>LC</v>
      </c>
      <c r="Q17692" s="7" t="str">
        <f>HYPERLINK("#Liste_rouge!A"&amp;_xlfn.XMATCH("LC",Liste_rouge!A:A,2,1),"LC")</f>
        <v>LC</v>
      </c>
      <c r="T17692" s="7" t="str">
        <f>HYPERLINK("#Liste_rouge!A"&amp;_xlfn.XMATCH("LC",Liste_rouge!A:A,2,1),"LC")</f>
        <v>LC</v>
      </c>
      <c r="V17692" s="7" t="str">
        <f>HYPERLINK("#Liste_rouge!A"&amp;_xlfn.XMATCH("LC",Liste_rouge!A:A,2,1),"LC")</f>
        <v>LC</v>
      </c>
      <c r="AH17692" s="4" t="str">
        <f>HYPERLINK("#Statut_biogéographique!A"&amp;_xlfn.XMATCH("P",Statut_biogéographique!A:A,2,1),"P")</f>
        <v>P</v>
      </c>
      <c r="AM17692" s="4" t="s">
        <v>375</v>
      </c>
      <c r="AN17692" s="4" t="s">
        <v>375</v>
      </c>
      <c r="AO17692" s="4" t="s">
        <v>375</v>
      </c>
      <c r="AP17692" s="4" t="s">
        <v>376</v>
      </c>
      <c r="AR17692" s="4" t="s">
        <v>377</v>
      </c>
    </row>
    <row r="17693" spans="1:44">
      <c r="A17693" s="4" t="s">
        <v>10753</v>
      </c>
      <c r="B17693" s="4">
        <v>65192</v>
      </c>
      <c r="D17693" s="5" t="s">
        <v>21585</v>
      </c>
      <c r="E17693" s="6" t="str">
        <f>HYPERLINK("https://inpn.mnhn.fr/espece/cd_nom/65192","Sympecma fusca (Vander Linden, 1820)")</f>
        <v>Sympecma fusca (Vander Linden, 1820)</v>
      </c>
      <c r="F17693" s="5" t="s">
        <v>21586</v>
      </c>
      <c r="O17693" s="7" t="str">
        <f>HYPERLINK("#Liste_rouge!A"&amp;_xlfn.XMATCH("LC",Liste_rouge!A:A,2,1),"LC")</f>
        <v>LC</v>
      </c>
      <c r="P17693" s="7" t="str">
        <f>HYPERLINK("#Liste_rouge!A"&amp;_xlfn.XMATCH("LC",Liste_rouge!A:A,2,1),"LC")</f>
        <v>LC</v>
      </c>
      <c r="Q17693" s="7" t="str">
        <f>HYPERLINK("#Liste_rouge!A"&amp;_xlfn.XMATCH("LC",Liste_rouge!A:A,2,1),"LC")</f>
        <v>LC</v>
      </c>
      <c r="T17693" s="7" t="str">
        <f>HYPERLINK("#Liste_rouge!A"&amp;_xlfn.XMATCH("LC",Liste_rouge!A:A,2,1),"LC")</f>
        <v>LC</v>
      </c>
      <c r="V17693" s="7" t="str">
        <f>HYPERLINK("#Liste_rouge!A"&amp;_xlfn.XMATCH("LC",Liste_rouge!A:A,2,1),"LC")</f>
        <v>LC</v>
      </c>
      <c r="AH17693" s="4" t="str">
        <f>HYPERLINK("#Statut_biogéographique!A"&amp;_xlfn.XMATCH("P",Statut_biogéographique!A:A,2,1),"P")</f>
        <v>P</v>
      </c>
      <c r="AM17693" s="4" t="s">
        <v>375</v>
      </c>
      <c r="AN17693" s="4" t="s">
        <v>375</v>
      </c>
      <c r="AO17693" s="4" t="s">
        <v>375</v>
      </c>
      <c r="AP17693" s="4" t="s">
        <v>376</v>
      </c>
      <c r="AR17693" s="4" t="s">
        <v>377</v>
      </c>
    </row>
    <row r="17694" spans="1:44">
      <c r="A17694" s="4" t="s">
        <v>10753</v>
      </c>
      <c r="B17694" s="4">
        <v>65199</v>
      </c>
      <c r="D17694" s="5" t="s">
        <v>21587</v>
      </c>
      <c r="E17694" s="6" t="str">
        <f>HYPERLINK("https://inpn.mnhn.fr/espece/cd_nom/65199","Lestes barbarus (Fabricius, 1798)")</f>
        <v>Lestes barbarus (Fabricius, 1798)</v>
      </c>
      <c r="F17694" s="5" t="s">
        <v>21588</v>
      </c>
      <c r="O17694" s="7" t="str">
        <f>HYPERLINK("#Liste_rouge!A"&amp;_xlfn.XMATCH("LC",Liste_rouge!A:A,2,1),"LC")</f>
        <v>LC</v>
      </c>
      <c r="P17694" s="7" t="str">
        <f>HYPERLINK("#Liste_rouge!A"&amp;_xlfn.XMATCH("LC",Liste_rouge!A:A,2,1),"LC")</f>
        <v>LC</v>
      </c>
      <c r="Q17694" s="7" t="str">
        <f>HYPERLINK("#Liste_rouge!A"&amp;_xlfn.XMATCH("LC",Liste_rouge!A:A,2,1),"LC")</f>
        <v>LC</v>
      </c>
      <c r="T17694" s="7" t="str">
        <f>HYPERLINK("#Liste_rouge!A"&amp;_xlfn.XMATCH("NT",Liste_rouge!A:A,2,1),"NT")</f>
        <v>NT</v>
      </c>
      <c r="V17694" s="7" t="str">
        <f>HYPERLINK("#Liste_rouge!A"&amp;_xlfn.XMATCH("DD",Liste_rouge!A:A,2,1),"DD")</f>
        <v>DD</v>
      </c>
      <c r="AH17694" s="4" t="str">
        <f>HYPERLINK("#Statut_biogéographique!A"&amp;_xlfn.XMATCH("P",Statut_biogéographique!A:A,2,1),"P")</f>
        <v>P</v>
      </c>
      <c r="AM17694" s="4" t="s">
        <v>375</v>
      </c>
      <c r="AN17694" s="4" t="s">
        <v>375</v>
      </c>
      <c r="AO17694" s="4" t="s">
        <v>375</v>
      </c>
      <c r="AP17694" s="4" t="s">
        <v>376</v>
      </c>
      <c r="AR17694" s="4" t="s">
        <v>377</v>
      </c>
    </row>
    <row r="17695" spans="1:44">
      <c r="A17695" s="4" t="s">
        <v>10753</v>
      </c>
      <c r="B17695" s="4">
        <v>65202</v>
      </c>
      <c r="D17695" s="5" t="s">
        <v>21589</v>
      </c>
      <c r="E17695" s="6" t="str">
        <f>HYPERLINK("https://inpn.mnhn.fr/espece/cd_nom/65202","Lestes virens (Charpentier, 1825)")</f>
        <v>Lestes virens (Charpentier, 1825)</v>
      </c>
      <c r="F17695" s="5" t="s">
        <v>21590</v>
      </c>
      <c r="O17695" s="7" t="str">
        <f>HYPERLINK("#Liste_rouge!A"&amp;_xlfn.XMATCH("LC",Liste_rouge!A:A,2,1),"LC")</f>
        <v>LC</v>
      </c>
      <c r="P17695" s="7" t="str">
        <f>HYPERLINK("#Liste_rouge!A"&amp;_xlfn.XMATCH("LC",Liste_rouge!A:A,2,1),"LC")</f>
        <v>LC</v>
      </c>
      <c r="Q17695" s="7" t="str">
        <f>HYPERLINK("#Liste_rouge!A"&amp;_xlfn.XMATCH("LC",Liste_rouge!A:A,2,1),"LC")</f>
        <v>LC</v>
      </c>
      <c r="T17695" s="7" t="str">
        <f>HYPERLINK("#Liste_rouge!A"&amp;_xlfn.XMATCH("VU",Liste_rouge!A:A,2,1),"VU")</f>
        <v>VU</v>
      </c>
      <c r="V17695" s="7" t="str">
        <f>HYPERLINK("#Liste_rouge!A"&amp;_xlfn.XMATCH("VU",Liste_rouge!A:A,2,1),"VU")</f>
        <v>VU</v>
      </c>
      <c r="W17695" s="4" t="str">
        <f>HYPERLINK("#Critères_liste_rouge!A$1","B2ab(iii)(iv)")</f>
        <v>B2ab(iii)(iv)</v>
      </c>
      <c r="X17695" s="5" t="s">
        <v>374</v>
      </c>
      <c r="AH17695" s="4" t="str">
        <f>HYPERLINK("#Statut_biogéographique!A"&amp;_xlfn.XMATCH("P",Statut_biogéographique!A:A,2,1),"P")</f>
        <v>P</v>
      </c>
      <c r="AM17695" s="4" t="s">
        <v>375</v>
      </c>
      <c r="AN17695" s="4" t="s">
        <v>375</v>
      </c>
      <c r="AO17695" s="4" t="s">
        <v>375</v>
      </c>
      <c r="AP17695" s="4" t="s">
        <v>376</v>
      </c>
      <c r="AR17695" s="4" t="s">
        <v>377</v>
      </c>
    </row>
    <row r="17696" spans="1:44">
      <c r="A17696" s="4" t="s">
        <v>10753</v>
      </c>
      <c r="B17696" s="4">
        <v>65204</v>
      </c>
      <c r="D17696" s="5" t="s">
        <v>21591</v>
      </c>
      <c r="E17696" s="6" t="str">
        <f>HYPERLINK("https://inpn.mnhn.fr/espece/cd_nom/65204","Lestes virens vestalis Rambur, 1842")</f>
        <v>Lestes virens vestalis Rambur, 1842</v>
      </c>
      <c r="F17696" s="5" t="s">
        <v>21592</v>
      </c>
      <c r="AH17696" s="4" t="str">
        <f>HYPERLINK("#Statut_biogéographique!A"&amp;_xlfn.XMATCH("P",Statut_biogéographique!A:A,2,1),"P")</f>
        <v>P</v>
      </c>
      <c r="AP17696" s="4" t="s">
        <v>376</v>
      </c>
      <c r="AR17696" s="4" t="s">
        <v>377</v>
      </c>
    </row>
    <row r="17697" spans="1:44">
      <c r="A17697" s="4" t="s">
        <v>10753</v>
      </c>
      <c r="B17697" s="4">
        <v>65208</v>
      </c>
      <c r="D17697" s="5" t="s">
        <v>21593</v>
      </c>
      <c r="E17697" s="6" t="str">
        <f>HYPERLINK("https://inpn.mnhn.fr/espece/cd_nom/65208","Lestes sponsa (Hansemann, 1823)")</f>
        <v>Lestes sponsa (Hansemann, 1823)</v>
      </c>
      <c r="F17697" s="5" t="s">
        <v>21594</v>
      </c>
      <c r="O17697" s="7" t="str">
        <f>HYPERLINK("#Liste_rouge!A"&amp;_xlfn.XMATCH("LC",Liste_rouge!A:A,2,1),"LC")</f>
        <v>LC</v>
      </c>
      <c r="P17697" s="7" t="str">
        <f>HYPERLINK("#Liste_rouge!A"&amp;_xlfn.XMATCH("LC",Liste_rouge!A:A,2,1),"LC")</f>
        <v>LC</v>
      </c>
      <c r="Q17697" s="7" t="str">
        <f>HYPERLINK("#Liste_rouge!A"&amp;_xlfn.XMATCH("NT",Liste_rouge!A:A,2,1),"NT")</f>
        <v>NT</v>
      </c>
      <c r="T17697" s="7" t="str">
        <f>HYPERLINK("#Liste_rouge!A"&amp;_xlfn.XMATCH("LC",Liste_rouge!A:A,2,1),"LC")</f>
        <v>LC</v>
      </c>
      <c r="V17697" s="7" t="str">
        <f>HYPERLINK("#Liste_rouge!A"&amp;_xlfn.XMATCH("LC",Liste_rouge!A:A,2,1),"LC")</f>
        <v>LC</v>
      </c>
      <c r="X17697" s="5" t="s">
        <v>398</v>
      </c>
      <c r="AH17697" s="4" t="str">
        <f>HYPERLINK("#Statut_biogéographique!A"&amp;_xlfn.XMATCH("P",Statut_biogéographique!A:A,2,1),"P")</f>
        <v>P</v>
      </c>
      <c r="AI17697" s="8" t="s">
        <v>21595</v>
      </c>
      <c r="AJ17697" s="4" t="s">
        <v>21565</v>
      </c>
      <c r="AM17697" s="4" t="s">
        <v>375</v>
      </c>
      <c r="AN17697" s="4" t="s">
        <v>375</v>
      </c>
      <c r="AO17697" s="4" t="s">
        <v>375</v>
      </c>
      <c r="AP17697" s="4" t="s">
        <v>376</v>
      </c>
      <c r="AR17697" s="4" t="s">
        <v>377</v>
      </c>
    </row>
    <row r="17698" spans="1:44" ht="45">
      <c r="A17698" s="4" t="s">
        <v>10753</v>
      </c>
      <c r="B17698" s="4">
        <v>652083</v>
      </c>
      <c r="D17698" s="5" t="s">
        <v>21596</v>
      </c>
      <c r="E17698" s="6" t="str">
        <f>HYPERLINK("https://inpn.mnhn.fr/espece/cd_nom/652083","Boloria eunomia (Esper, 1800)")</f>
        <v>Boloria eunomia (Esper, 1800)</v>
      </c>
      <c r="F17698" s="5" t="s">
        <v>21597</v>
      </c>
      <c r="L17698" s="4" t="str">
        <f>HYPERLINK("#Réglementation!A"&amp;_xlfn.XMATCH("NI3",Réglementation!A:A,2,1),"NI3")</f>
        <v>NI3</v>
      </c>
      <c r="P17698" s="7" t="str">
        <f>HYPERLINK("#Liste_rouge!A"&amp;_xlfn.XMATCH("LC",Liste_rouge!A:A,2,1),"LC")</f>
        <v>LC</v>
      </c>
      <c r="Q17698" s="7" t="str">
        <f>HYPERLINK("#Liste_rouge!A"&amp;_xlfn.XMATCH("LC",Liste_rouge!A:A,2,1),"LC")</f>
        <v>LC</v>
      </c>
      <c r="T17698" s="7" t="str">
        <f>HYPERLINK("#Liste_rouge!A"&amp;_xlfn.XMATCH("NT",Liste_rouge!A:A,2,1),"NT")</f>
        <v>NT</v>
      </c>
      <c r="U17698" s="4" t="str">
        <f>HYPERLINK("#Critères_liste_rouge!A$1","pr. B2b(iii)")</f>
        <v>pr. B2b(iii)</v>
      </c>
      <c r="X17698" s="5" t="s">
        <v>374</v>
      </c>
      <c r="AE17698" s="4" t="str">
        <f>HYPERLINK("#SCAP!A"&amp;_xlfn.XMATCH("1-",SCAP!A:A,2,1),"1-")</f>
        <v>1-</v>
      </c>
      <c r="AF17698" s="4" t="str">
        <f>HYPERLINK("#SCAP!A"&amp;_xlfn.XMATCH("1-",SCAP!A:A,2,1),"1-")</f>
        <v>1-</v>
      </c>
      <c r="AH17698" s="4" t="str">
        <f>HYPERLINK("#Statut_biogéographique!A"&amp;_xlfn.XMATCH("P",Statut_biogéographique!A:A,2,1),"P")</f>
        <v>P</v>
      </c>
      <c r="AI17698" s="8" t="s">
        <v>21598</v>
      </c>
      <c r="AJ17698" s="4" t="s">
        <v>12803</v>
      </c>
      <c r="AM17698" s="4" t="s">
        <v>375</v>
      </c>
      <c r="AN17698" s="4" t="s">
        <v>375</v>
      </c>
      <c r="AO17698" s="4" t="s">
        <v>375</v>
      </c>
      <c r="AP17698" s="4" t="s">
        <v>376</v>
      </c>
      <c r="AR17698" s="4" t="s">
        <v>377</v>
      </c>
    </row>
    <row r="17699" spans="1:44">
      <c r="A17699" s="4" t="s">
        <v>10753</v>
      </c>
      <c r="B17699" s="4">
        <v>65214</v>
      </c>
      <c r="D17699" s="5" t="s">
        <v>21599</v>
      </c>
      <c r="E17699" s="6" t="str">
        <f>HYPERLINK("https://inpn.mnhn.fr/espece/cd_nom/65214","Lestes dryas Kirby, 1890")</f>
        <v>Lestes dryas Kirby, 1890</v>
      </c>
      <c r="F17699" s="5" t="s">
        <v>21600</v>
      </c>
      <c r="O17699" s="7" t="str">
        <f>HYPERLINK("#Liste_rouge!A"&amp;_xlfn.XMATCH("LC",Liste_rouge!A:A,2,1),"LC")</f>
        <v>LC</v>
      </c>
      <c r="P17699" s="7" t="str">
        <f>HYPERLINK("#Liste_rouge!A"&amp;_xlfn.XMATCH("LC",Liste_rouge!A:A,2,1),"LC")</f>
        <v>LC</v>
      </c>
      <c r="Q17699" s="7" t="str">
        <f>HYPERLINK("#Liste_rouge!A"&amp;_xlfn.XMATCH("LC",Liste_rouge!A:A,2,1),"LC")</f>
        <v>LC</v>
      </c>
      <c r="T17699" s="7" t="str">
        <f>HYPERLINK("#Liste_rouge!A"&amp;_xlfn.XMATCH("VU",Liste_rouge!A:A,2,1),"VU")</f>
        <v>VU</v>
      </c>
      <c r="V17699" s="7" t="str">
        <f>HYPERLINK("#Liste_rouge!A"&amp;_xlfn.XMATCH("VU",Liste_rouge!A:A,2,1),"VU")</f>
        <v>VU</v>
      </c>
      <c r="W17699" s="4" t="str">
        <f>HYPERLINK("#Critères_liste_rouge!A$1","B2ab(iii)")</f>
        <v>B2ab(iii)</v>
      </c>
      <c r="X17699" s="5" t="s">
        <v>374</v>
      </c>
      <c r="AH17699" s="4" t="str">
        <f>HYPERLINK("#Statut_biogéographique!A"&amp;_xlfn.XMATCH("P",Statut_biogéographique!A:A,2,1),"P")</f>
        <v>P</v>
      </c>
      <c r="AM17699" s="4" t="s">
        <v>375</v>
      </c>
      <c r="AN17699" s="4" t="s">
        <v>375</v>
      </c>
      <c r="AO17699" s="4" t="s">
        <v>375</v>
      </c>
      <c r="AP17699" s="4" t="s">
        <v>376</v>
      </c>
      <c r="AR17699" s="4" t="s">
        <v>377</v>
      </c>
    </row>
    <row r="17700" spans="1:44">
      <c r="A17700" s="4" t="s">
        <v>10753</v>
      </c>
      <c r="B17700" s="4">
        <v>65219</v>
      </c>
      <c r="D17700" s="5" t="s">
        <v>21601</v>
      </c>
      <c r="E17700" s="6" t="str">
        <f>HYPERLINK("https://inpn.mnhn.fr/espece/cd_nom/65219","Chalcolestes viridis (Vander Linden, 1825)")</f>
        <v>Chalcolestes viridis (Vander Linden, 1825)</v>
      </c>
      <c r="F17700" s="5" t="s">
        <v>21602</v>
      </c>
      <c r="O17700" s="7" t="str">
        <f>HYPERLINK("#Liste_rouge!A"&amp;_xlfn.XMATCH("LC",Liste_rouge!A:A,2,1),"LC")</f>
        <v>LC</v>
      </c>
      <c r="P17700" s="7" t="str">
        <f>HYPERLINK("#Liste_rouge!A"&amp;_xlfn.XMATCH("LC",Liste_rouge!A:A,2,1),"LC")</f>
        <v>LC</v>
      </c>
      <c r="Q17700" s="7" t="str">
        <f>HYPERLINK("#Liste_rouge!A"&amp;_xlfn.XMATCH("LC",Liste_rouge!A:A,2,1),"LC")</f>
        <v>LC</v>
      </c>
      <c r="T17700" s="7" t="str">
        <f>HYPERLINK("#Liste_rouge!A"&amp;_xlfn.XMATCH("LC",Liste_rouge!A:A,2,1),"LC")</f>
        <v>LC</v>
      </c>
      <c r="V17700" s="7" t="str">
        <f>HYPERLINK("#Liste_rouge!A"&amp;_xlfn.XMATCH("LC",Liste_rouge!A:A,2,1),"LC")</f>
        <v>LC</v>
      </c>
      <c r="AH17700" s="4" t="str">
        <f>HYPERLINK("#Statut_biogéographique!A"&amp;_xlfn.XMATCH("P",Statut_biogéographique!A:A,2,1),"P")</f>
        <v>P</v>
      </c>
      <c r="AM17700" s="4" t="s">
        <v>375</v>
      </c>
      <c r="AN17700" s="4" t="s">
        <v>375</v>
      </c>
      <c r="AO17700" s="4" t="s">
        <v>375</v>
      </c>
      <c r="AP17700" s="4" t="s">
        <v>376</v>
      </c>
      <c r="AR17700" s="4" t="s">
        <v>377</v>
      </c>
    </row>
    <row r="17701" spans="1:44">
      <c r="A17701" s="4" t="s">
        <v>10753</v>
      </c>
      <c r="B17701" s="4">
        <v>65225</v>
      </c>
      <c r="D17701" s="5" t="s">
        <v>21603</v>
      </c>
      <c r="E17701" s="6" t="str">
        <f>HYPERLINK("https://inpn.mnhn.fr/espece/cd_nom/65225","Gomphus vulgatissimus (Linnaeus, 1758)")</f>
        <v>Gomphus vulgatissimus (Linnaeus, 1758)</v>
      </c>
      <c r="F17701" s="5" t="s">
        <v>21604</v>
      </c>
      <c r="O17701" s="7" t="str">
        <f>HYPERLINK("#Liste_rouge!A"&amp;_xlfn.XMATCH("LC",Liste_rouge!A:A,2,1),"LC")</f>
        <v>LC</v>
      </c>
      <c r="P17701" s="7" t="str">
        <f>HYPERLINK("#Liste_rouge!A"&amp;_xlfn.XMATCH("LC",Liste_rouge!A:A,2,1),"LC")</f>
        <v>LC</v>
      </c>
      <c r="Q17701" s="7" t="str">
        <f>HYPERLINK("#Liste_rouge!A"&amp;_xlfn.XMATCH("LC",Liste_rouge!A:A,2,1),"LC")</f>
        <v>LC</v>
      </c>
      <c r="T17701" s="7" t="str">
        <f>HYPERLINK("#Liste_rouge!A"&amp;_xlfn.XMATCH("LC",Liste_rouge!A:A,2,1),"LC")</f>
        <v>LC</v>
      </c>
      <c r="V17701" s="7" t="str">
        <f>HYPERLINK("#Liste_rouge!A"&amp;_xlfn.XMATCH("LC",Liste_rouge!A:A,2,1),"LC")</f>
        <v>LC</v>
      </c>
      <c r="AH17701" s="4" t="str">
        <f>HYPERLINK("#Statut_biogéographique!A"&amp;_xlfn.XMATCH("P",Statut_biogéographique!A:A,2,1),"P")</f>
        <v>P</v>
      </c>
      <c r="AM17701" s="4" t="s">
        <v>375</v>
      </c>
      <c r="AN17701" s="4" t="s">
        <v>375</v>
      </c>
      <c r="AO17701" s="4" t="s">
        <v>375</v>
      </c>
      <c r="AP17701" s="4" t="s">
        <v>376</v>
      </c>
      <c r="AR17701" s="4" t="s">
        <v>377</v>
      </c>
    </row>
    <row r="17702" spans="1:44">
      <c r="A17702" s="4" t="s">
        <v>10753</v>
      </c>
      <c r="B17702" s="4">
        <v>65227</v>
      </c>
      <c r="D17702" s="5" t="s">
        <v>21605</v>
      </c>
      <c r="E17702" s="6" t="str">
        <f>HYPERLINK("https://inpn.mnhn.fr/espece/cd_nom/65227","Gomphus pulchellus Selys, 1840")</f>
        <v>Gomphus pulchellus Selys, 1840</v>
      </c>
      <c r="F17702" s="5" t="s">
        <v>21606</v>
      </c>
      <c r="O17702" s="7" t="str">
        <f>HYPERLINK("#Liste_rouge!A"&amp;_xlfn.XMATCH("LC",Liste_rouge!A:A,2,1),"LC")</f>
        <v>LC</v>
      </c>
      <c r="P17702" s="7" t="str">
        <f>HYPERLINK("#Liste_rouge!A"&amp;_xlfn.XMATCH("LC",Liste_rouge!A:A,2,1),"LC")</f>
        <v>LC</v>
      </c>
      <c r="Q17702" s="7" t="str">
        <f>HYPERLINK("#Liste_rouge!A"&amp;_xlfn.XMATCH("LC",Liste_rouge!A:A,2,1),"LC")</f>
        <v>LC</v>
      </c>
      <c r="T17702" s="7" t="str">
        <f>HYPERLINK("#Liste_rouge!A"&amp;_xlfn.XMATCH("LC",Liste_rouge!A:A,2,1),"LC")</f>
        <v>LC</v>
      </c>
      <c r="V17702" s="7" t="str">
        <f>HYPERLINK("#Liste_rouge!A"&amp;_xlfn.XMATCH("LC",Liste_rouge!A:A,2,1),"LC")</f>
        <v>LC</v>
      </c>
      <c r="AH17702" s="4" t="str">
        <f>HYPERLINK("#Statut_biogéographique!A"&amp;_xlfn.XMATCH("P",Statut_biogéographique!A:A,2,1),"P")</f>
        <v>P</v>
      </c>
      <c r="AM17702" s="4" t="s">
        <v>375</v>
      </c>
      <c r="AN17702" s="4" t="s">
        <v>375</v>
      </c>
      <c r="AO17702" s="4" t="s">
        <v>375</v>
      </c>
      <c r="AP17702" s="4" t="s">
        <v>376</v>
      </c>
      <c r="AR17702" s="4" t="s">
        <v>377</v>
      </c>
    </row>
    <row r="17703" spans="1:44" ht="30">
      <c r="A17703" s="4" t="s">
        <v>10753</v>
      </c>
      <c r="B17703" s="4">
        <v>65231</v>
      </c>
      <c r="D17703" s="5">
        <v>65231</v>
      </c>
      <c r="E17703" s="6" t="str">
        <f>HYPERLINK("https://inpn.mnhn.fr/espece/cd_nom/65231","Gomphus graslinii Rambur, 1842")</f>
        <v>Gomphus graslinii Rambur, 1842</v>
      </c>
      <c r="F17703" s="5" t="s">
        <v>21607</v>
      </c>
      <c r="I17703" s="4" t="str">
        <f>HYPERLINK("#Réglementation!A"&amp;_xlfn.XMATCH("IBE2",Réglementation!A:A,2,1),"IBE2")</f>
        <v>IBE2</v>
      </c>
      <c r="K17703" s="4" t="str">
        <f>HYPERLINK("#Réglementation!A"&amp;_xlfn.XMATCH("CDH2",Réglementation!A:A,2,1),"CDH2 - CDH4")</f>
        <v>CDH2 - CDH4</v>
      </c>
      <c r="L17703" s="4" t="str">
        <f>HYPERLINK("#Réglementation!A"&amp;_xlfn.XMATCH("NI2",Réglementation!A:A,2,1),"NI2")</f>
        <v>NI2</v>
      </c>
      <c r="O17703" s="7" t="str">
        <f>HYPERLINK("#Liste_rouge!A"&amp;_xlfn.XMATCH("NT",Liste_rouge!A:A,2,1),"NT")</f>
        <v>NT</v>
      </c>
      <c r="P17703" s="7" t="str">
        <f>HYPERLINK("#Liste_rouge!A"&amp;_xlfn.XMATCH("NT",Liste_rouge!A:A,2,1),"NT")</f>
        <v>NT</v>
      </c>
      <c r="Q17703" s="7" t="str">
        <f>HYPERLINK("#Liste_rouge!A"&amp;_xlfn.XMATCH("LC",Liste_rouge!A:A,2,1),"LC")</f>
        <v>LC</v>
      </c>
      <c r="T17703" s="7" t="str">
        <f>HYPERLINK("#Liste_rouge!A"&amp;_xlfn.XMATCH("NE",Liste_rouge!A:A,2,1),"NE")</f>
        <v>NE</v>
      </c>
      <c r="AE17703" s="4" t="str">
        <f>HYPERLINK("#SCAP!A"&amp;_xlfn.XMATCH("A",SCAP!A:A,2,1),"A")</f>
        <v>A</v>
      </c>
      <c r="AH17703" s="4" t="str">
        <f>HYPERLINK("#Statut_biogéographique!A"&amp;_xlfn.XMATCH("P",Statut_biogéographique!A:A,2,1),"P")</f>
        <v>P</v>
      </c>
      <c r="AI17703" s="8" t="s">
        <v>21608</v>
      </c>
      <c r="AJ17703" s="4" t="s">
        <v>21556</v>
      </c>
      <c r="AP17703" s="4" t="s">
        <v>376</v>
      </c>
      <c r="AR17703" s="4" t="s">
        <v>377</v>
      </c>
    </row>
    <row r="17704" spans="1:44">
      <c r="A17704" s="4" t="s">
        <v>10753</v>
      </c>
      <c r="B17704" s="4">
        <v>65234</v>
      </c>
      <c r="D17704" s="5" t="s">
        <v>21609</v>
      </c>
      <c r="E17704" s="6" t="str">
        <f>HYPERLINK("https://inpn.mnhn.fr/espece/cd_nom/65234","Stylurus flavipes (Charpentier, 1825)")</f>
        <v>Stylurus flavipes (Charpentier, 1825)</v>
      </c>
      <c r="F17704" s="5" t="s">
        <v>21610</v>
      </c>
      <c r="I17704" s="4" t="str">
        <f>HYPERLINK("#Réglementation!A"&amp;_xlfn.XMATCH("IBE2",Réglementation!A:A,2,1),"IBE2")</f>
        <v>IBE2</v>
      </c>
      <c r="K17704" s="4" t="str">
        <f>HYPERLINK("#Réglementation!A"&amp;_xlfn.XMATCH("CDH4",Réglementation!A:A,2,1),"CDH4")</f>
        <v>CDH4</v>
      </c>
      <c r="L17704" s="4" t="str">
        <f>HYPERLINK("#Réglementation!A"&amp;_xlfn.XMATCH("NI2",Réglementation!A:A,2,1),"NI2")</f>
        <v>NI2</v>
      </c>
      <c r="O17704" s="7" t="str">
        <f>HYPERLINK("#Liste_rouge!A"&amp;_xlfn.XMATCH("LC",Liste_rouge!A:A,2,1),"LC")</f>
        <v>LC</v>
      </c>
      <c r="P17704" s="7" t="str">
        <f>HYPERLINK("#Liste_rouge!A"&amp;_xlfn.XMATCH("LC",Liste_rouge!A:A,2,1),"LC")</f>
        <v>LC</v>
      </c>
      <c r="Q17704" s="7" t="str">
        <f>HYPERLINK("#Liste_rouge!A"&amp;_xlfn.XMATCH("LC",Liste_rouge!A:A,2,1),"LC")</f>
        <v>LC</v>
      </c>
      <c r="T17704" s="7" t="str">
        <f>HYPERLINK("#Liste_rouge!A"&amp;_xlfn.XMATCH("NT",Liste_rouge!A:A,2,1),"NT")</f>
        <v>NT</v>
      </c>
      <c r="X17704" s="5" t="s">
        <v>374</v>
      </c>
      <c r="AE17704" s="4" t="str">
        <f>HYPERLINK("#SCAP!A"&amp;_xlfn.XMATCH("1+",SCAP!A:A,2,1),"1+")</f>
        <v>1+</v>
      </c>
      <c r="AF17704" s="4" t="str">
        <f>HYPERLINK("#SCAP!A"&amp;_xlfn.XMATCH("2+",SCAP!A:A,2,1),"2+")</f>
        <v>2+</v>
      </c>
      <c r="AG17704" s="4" t="str">
        <f>HYPERLINK("#SCAP!A"&amp;_xlfn.XMATCH("1-",SCAP!A:A,2,1),"1-")</f>
        <v>1-</v>
      </c>
      <c r="AH17704" s="4" t="str">
        <f>HYPERLINK("#Statut_biogéographique!A"&amp;_xlfn.XMATCH("P",Statut_biogéographique!A:A,2,1),"P")</f>
        <v>P</v>
      </c>
      <c r="AI17704" s="8" t="s">
        <v>21611</v>
      </c>
      <c r="AJ17704" s="4" t="s">
        <v>21556</v>
      </c>
      <c r="AM17704" s="4" t="s">
        <v>375</v>
      </c>
      <c r="AN17704" s="4" t="s">
        <v>375</v>
      </c>
      <c r="AO17704" s="4" t="s">
        <v>375</v>
      </c>
      <c r="AP17704" s="4" t="s">
        <v>376</v>
      </c>
      <c r="AR17704" s="4" t="s">
        <v>377</v>
      </c>
    </row>
    <row r="17705" spans="1:44" ht="30">
      <c r="A17705" s="4" t="s">
        <v>10753</v>
      </c>
      <c r="B17705" s="4">
        <v>65243</v>
      </c>
      <c r="D17705" s="5" t="s">
        <v>21612</v>
      </c>
      <c r="E17705" s="6" t="str">
        <f>HYPERLINK("https://inpn.mnhn.fr/espece/cd_nom/65243","Ophiogomphus cecilia (Geoffroy in Fourcroy, 1785)")</f>
        <v>Ophiogomphus cecilia (Geoffroy in Fourcroy, 1785)</v>
      </c>
      <c r="F17705" s="5" t="s">
        <v>21613</v>
      </c>
      <c r="I17705" s="4" t="str">
        <f>HYPERLINK("#Réglementation!A"&amp;_xlfn.XMATCH("IBE2",Réglementation!A:A,2,1),"IBE2")</f>
        <v>IBE2</v>
      </c>
      <c r="K17705" s="4" t="str">
        <f>HYPERLINK("#Réglementation!A"&amp;_xlfn.XMATCH("CDH2",Réglementation!A:A,2,1),"CDH2 - CDH4")</f>
        <v>CDH2 - CDH4</v>
      </c>
      <c r="L17705" s="4" t="str">
        <f>HYPERLINK("#Réglementation!A"&amp;_xlfn.XMATCH("NI2",Réglementation!A:A,2,1),"NI2")</f>
        <v>NI2</v>
      </c>
      <c r="O17705" s="7" t="str">
        <f>HYPERLINK("#Liste_rouge!A"&amp;_xlfn.XMATCH("LC",Liste_rouge!A:A,2,1),"LC")</f>
        <v>LC</v>
      </c>
      <c r="P17705" s="7" t="str">
        <f>HYPERLINK("#Liste_rouge!A"&amp;_xlfn.XMATCH("LC",Liste_rouge!A:A,2,1),"LC")</f>
        <v>LC</v>
      </c>
      <c r="Q17705" s="7" t="str">
        <f>HYPERLINK("#Liste_rouge!A"&amp;_xlfn.XMATCH("LC",Liste_rouge!A:A,2,1),"LC")</f>
        <v>LC</v>
      </c>
      <c r="T17705" s="7" t="str">
        <f>HYPERLINK("#Liste_rouge!A"&amp;_xlfn.XMATCH("VU",Liste_rouge!A:A,2,1),"VU")</f>
        <v>VU</v>
      </c>
      <c r="V17705" s="7" t="str">
        <f>HYPERLINK("#Liste_rouge!A"&amp;_xlfn.XMATCH("DD",Liste_rouge!A:A,2,1),"DD")</f>
        <v>DD</v>
      </c>
      <c r="X17705" s="5" t="s">
        <v>374</v>
      </c>
      <c r="AE17705" s="4" t="str">
        <f>HYPERLINK("#SCAP!A"&amp;_xlfn.XMATCH("A",SCAP!A:A,2,1),"A")</f>
        <v>A</v>
      </c>
      <c r="AH17705" s="4" t="str">
        <f>HYPERLINK("#Statut_biogéographique!A"&amp;_xlfn.XMATCH("P",Statut_biogéographique!A:A,2,1),"P")</f>
        <v>P</v>
      </c>
      <c r="AI17705" s="8" t="s">
        <v>21614</v>
      </c>
      <c r="AJ17705" s="4" t="s">
        <v>21556</v>
      </c>
      <c r="AM17705" s="4" t="s">
        <v>375</v>
      </c>
      <c r="AN17705" s="4" t="s">
        <v>375</v>
      </c>
      <c r="AO17705" s="4" t="s">
        <v>375</v>
      </c>
      <c r="AP17705" s="4" t="s">
        <v>376</v>
      </c>
      <c r="AR17705" s="4" t="s">
        <v>377</v>
      </c>
    </row>
    <row r="17706" spans="1:44" ht="30">
      <c r="A17706" s="4" t="s">
        <v>10753</v>
      </c>
      <c r="B17706" s="4">
        <v>65249</v>
      </c>
      <c r="D17706" s="5" t="s">
        <v>21615</v>
      </c>
      <c r="E17706" s="6" t="str">
        <f>HYPERLINK("https://inpn.mnhn.fr/espece/cd_nom/65249","Onychogomphus forcipatus (Linnaeus, 1758)")</f>
        <v>Onychogomphus forcipatus (Linnaeus, 1758)</v>
      </c>
      <c r="F17706" s="5" t="s">
        <v>21616</v>
      </c>
      <c r="O17706" s="7" t="str">
        <f>HYPERLINK("#Liste_rouge!A"&amp;_xlfn.XMATCH("LC",Liste_rouge!A:A,2,1),"LC")</f>
        <v>LC</v>
      </c>
      <c r="Q17706" s="7" t="str">
        <f>HYPERLINK("#Liste_rouge!A"&amp;_xlfn.XMATCH("LC",Liste_rouge!A:A,2,1),"LC")</f>
        <v>LC</v>
      </c>
      <c r="V17706" s="7" t="str">
        <f>HYPERLINK("#Liste_rouge!A"&amp;_xlfn.XMATCH("LC",Liste_rouge!A:A,2,1),"LC")</f>
        <v>LC</v>
      </c>
      <c r="AH17706" s="4" t="str">
        <f>HYPERLINK("#Statut_biogéographique!A"&amp;_xlfn.XMATCH("P",Statut_biogéographique!A:A,2,1),"P")</f>
        <v>P</v>
      </c>
      <c r="AM17706" s="4" t="s">
        <v>375</v>
      </c>
      <c r="AN17706" s="4" t="s">
        <v>375</v>
      </c>
      <c r="AO17706" s="4" t="s">
        <v>375</v>
      </c>
      <c r="AP17706" s="4" t="s">
        <v>376</v>
      </c>
      <c r="AR17706" s="4" t="s">
        <v>377</v>
      </c>
    </row>
    <row r="17707" spans="1:44" ht="30">
      <c r="A17707" s="4" t="s">
        <v>10753</v>
      </c>
      <c r="B17707" s="4">
        <v>65254</v>
      </c>
      <c r="D17707" s="5" t="s">
        <v>21617</v>
      </c>
      <c r="E17707" s="6" t="str">
        <f>HYPERLINK("https://inpn.mnhn.fr/espece/cd_nom/65254","Onychogomphus uncatus (Charpentier, 1840)")</f>
        <v>Onychogomphus uncatus (Charpentier, 1840)</v>
      </c>
      <c r="F17707" s="5" t="s">
        <v>21618</v>
      </c>
      <c r="O17707" s="7" t="str">
        <f>HYPERLINK("#Liste_rouge!A"&amp;_xlfn.XMATCH("LC",Liste_rouge!A:A,2,1),"LC")</f>
        <v>LC</v>
      </c>
      <c r="P17707" s="7" t="str">
        <f>HYPERLINK("#Liste_rouge!A"&amp;_xlfn.XMATCH("LC",Liste_rouge!A:A,2,1),"LC")</f>
        <v>LC</v>
      </c>
      <c r="Q17707" s="7" t="str">
        <f>HYPERLINK("#Liste_rouge!A"&amp;_xlfn.XMATCH("LC",Liste_rouge!A:A,2,1),"LC")</f>
        <v>LC</v>
      </c>
      <c r="T17707" s="7" t="str">
        <f>HYPERLINK("#Liste_rouge!A"&amp;_xlfn.XMATCH("EN",Liste_rouge!A:A,2,1),"EN")</f>
        <v>EN</v>
      </c>
      <c r="X17707" s="5" t="s">
        <v>374</v>
      </c>
      <c r="AH17707" s="4" t="str">
        <f>HYPERLINK("#Statut_biogéographique!A"&amp;_xlfn.XMATCH("P",Statut_biogéographique!A:A,2,1),"P")</f>
        <v>P</v>
      </c>
      <c r="AM17707" s="4" t="s">
        <v>375</v>
      </c>
      <c r="AN17707" s="4" t="s">
        <v>375</v>
      </c>
      <c r="AO17707" s="4" t="s">
        <v>375</v>
      </c>
      <c r="AP17707" s="4" t="s">
        <v>376</v>
      </c>
      <c r="AR17707" s="4" t="s">
        <v>377</v>
      </c>
    </row>
    <row r="17708" spans="1:44">
      <c r="A17708" s="4" t="s">
        <v>10753</v>
      </c>
      <c r="B17708" s="4">
        <v>65262</v>
      </c>
      <c r="D17708" s="5" t="s">
        <v>21619</v>
      </c>
      <c r="E17708" s="6" t="str">
        <f>HYPERLINK("https://inpn.mnhn.fr/espece/cd_nom/65262","Libellula depressa Linnaeus, 1758")</f>
        <v>Libellula depressa Linnaeus, 1758</v>
      </c>
      <c r="F17708" s="5" t="s">
        <v>21620</v>
      </c>
      <c r="O17708" s="7" t="str">
        <f>HYPERLINK("#Liste_rouge!A"&amp;_xlfn.XMATCH("LC",Liste_rouge!A:A,2,1),"LC")</f>
        <v>LC</v>
      </c>
      <c r="P17708" s="7" t="str">
        <f>HYPERLINK("#Liste_rouge!A"&amp;_xlfn.XMATCH("LC",Liste_rouge!A:A,2,1),"LC")</f>
        <v>LC</v>
      </c>
      <c r="Q17708" s="7" t="str">
        <f>HYPERLINK("#Liste_rouge!A"&amp;_xlfn.XMATCH("LC",Liste_rouge!A:A,2,1),"LC")</f>
        <v>LC</v>
      </c>
      <c r="T17708" s="7" t="str">
        <f>HYPERLINK("#Liste_rouge!A"&amp;_xlfn.XMATCH("LC",Liste_rouge!A:A,2,1),"LC")</f>
        <v>LC</v>
      </c>
      <c r="V17708" s="7" t="str">
        <f>HYPERLINK("#Liste_rouge!A"&amp;_xlfn.XMATCH("LC",Liste_rouge!A:A,2,1),"LC")</f>
        <v>LC</v>
      </c>
      <c r="AH17708" s="4" t="str">
        <f>HYPERLINK("#Statut_biogéographique!A"&amp;_xlfn.XMATCH("P",Statut_biogéographique!A:A,2,1),"P")</f>
        <v>P</v>
      </c>
      <c r="AM17708" s="4" t="s">
        <v>375</v>
      </c>
      <c r="AN17708" s="4" t="s">
        <v>375</v>
      </c>
      <c r="AO17708" s="4" t="s">
        <v>375</v>
      </c>
      <c r="AP17708" s="4" t="s">
        <v>376</v>
      </c>
      <c r="AR17708" s="4" t="s">
        <v>377</v>
      </c>
    </row>
    <row r="17709" spans="1:44">
      <c r="A17709" s="4" t="s">
        <v>10753</v>
      </c>
      <c r="B17709" s="4">
        <v>65265</v>
      </c>
      <c r="D17709" s="5" t="s">
        <v>21621</v>
      </c>
      <c r="E17709" s="6" t="str">
        <f>HYPERLINK("https://inpn.mnhn.fr/espece/cd_nom/65265","Libellula fulva O.F. Müller, 1764")</f>
        <v>Libellula fulva O.F. Müller, 1764</v>
      </c>
      <c r="F17709" s="5" t="s">
        <v>21622</v>
      </c>
      <c r="O17709" s="7" t="str">
        <f>HYPERLINK("#Liste_rouge!A"&amp;_xlfn.XMATCH("LC",Liste_rouge!A:A,2,1),"LC")</f>
        <v>LC</v>
      </c>
      <c r="P17709" s="7" t="str">
        <f>HYPERLINK("#Liste_rouge!A"&amp;_xlfn.XMATCH("LC",Liste_rouge!A:A,2,1),"LC")</f>
        <v>LC</v>
      </c>
      <c r="Q17709" s="7" t="str">
        <f>HYPERLINK("#Liste_rouge!A"&amp;_xlfn.XMATCH("LC",Liste_rouge!A:A,2,1),"LC")</f>
        <v>LC</v>
      </c>
      <c r="T17709" s="7" t="str">
        <f>HYPERLINK("#Liste_rouge!A"&amp;_xlfn.XMATCH("LC",Liste_rouge!A:A,2,1),"LC")</f>
        <v>LC</v>
      </c>
      <c r="V17709" s="7" t="str">
        <f>HYPERLINK("#Liste_rouge!A"&amp;_xlfn.XMATCH("LC",Liste_rouge!A:A,2,1),"LC")</f>
        <v>LC</v>
      </c>
      <c r="AH17709" s="4" t="str">
        <f>HYPERLINK("#Statut_biogéographique!A"&amp;_xlfn.XMATCH("P",Statut_biogéographique!A:A,2,1),"P")</f>
        <v>P</v>
      </c>
      <c r="AM17709" s="4" t="s">
        <v>375</v>
      </c>
      <c r="AN17709" s="4" t="s">
        <v>375</v>
      </c>
      <c r="AO17709" s="4" t="s">
        <v>375</v>
      </c>
      <c r="AP17709" s="4" t="s">
        <v>376</v>
      </c>
      <c r="AR17709" s="4" t="s">
        <v>377</v>
      </c>
    </row>
    <row r="17710" spans="1:44" ht="30">
      <c r="A17710" s="4" t="s">
        <v>10753</v>
      </c>
      <c r="B17710" s="4">
        <v>65271</v>
      </c>
      <c r="D17710" s="5" t="s">
        <v>21623</v>
      </c>
      <c r="E17710" s="6" t="str">
        <f>HYPERLINK("https://inpn.mnhn.fr/espece/cd_nom/65271","Libellula quadrimaculata Linnaeus, 1758")</f>
        <v>Libellula quadrimaculata Linnaeus, 1758</v>
      </c>
      <c r="F17710" s="5" t="s">
        <v>21624</v>
      </c>
      <c r="O17710" s="7" t="str">
        <f>HYPERLINK("#Liste_rouge!A"&amp;_xlfn.XMATCH("LC",Liste_rouge!A:A,2,1),"LC")</f>
        <v>LC</v>
      </c>
      <c r="P17710" s="7" t="str">
        <f>HYPERLINK("#Liste_rouge!A"&amp;_xlfn.XMATCH("LC",Liste_rouge!A:A,2,1),"LC")</f>
        <v>LC</v>
      </c>
      <c r="Q17710" s="7" t="str">
        <f>HYPERLINK("#Liste_rouge!A"&amp;_xlfn.XMATCH("LC",Liste_rouge!A:A,2,1),"LC")</f>
        <v>LC</v>
      </c>
      <c r="T17710" s="7" t="str">
        <f>HYPERLINK("#Liste_rouge!A"&amp;_xlfn.XMATCH("LC",Liste_rouge!A:A,2,1),"LC")</f>
        <v>LC</v>
      </c>
      <c r="V17710" s="7" t="str">
        <f>HYPERLINK("#Liste_rouge!A"&amp;_xlfn.XMATCH("LC",Liste_rouge!A:A,2,1),"LC")</f>
        <v>LC</v>
      </c>
      <c r="AH17710" s="4" t="str">
        <f>HYPERLINK("#Statut_biogéographique!A"&amp;_xlfn.XMATCH("P",Statut_biogéographique!A:A,2,1),"P")</f>
        <v>P</v>
      </c>
      <c r="AM17710" s="4" t="s">
        <v>375</v>
      </c>
      <c r="AN17710" s="4" t="s">
        <v>375</v>
      </c>
      <c r="AO17710" s="4" t="s">
        <v>375</v>
      </c>
      <c r="AP17710" s="4" t="s">
        <v>376</v>
      </c>
      <c r="AR17710" s="4" t="s">
        <v>377</v>
      </c>
    </row>
    <row r="17711" spans="1:44">
      <c r="A17711" s="4" t="s">
        <v>10753</v>
      </c>
      <c r="B17711" s="4">
        <v>652775</v>
      </c>
      <c r="D17711" s="5" t="s">
        <v>21625</v>
      </c>
      <c r="E17711" s="6" t="str">
        <f>HYPERLINK("https://inpn.mnhn.fr/espece/cd_nom/652775","Amphicerus bimaculatus (Olivier, 1790)")</f>
        <v>Amphicerus bimaculatus (Olivier, 1790)</v>
      </c>
      <c r="P17711" s="7" t="str">
        <f>HYPERLINK("#Liste_rouge!A"&amp;_xlfn.XMATCH("LC",Liste_rouge!A:A,2,1),"LC")</f>
        <v>LC</v>
      </c>
      <c r="AH17711" s="4" t="str">
        <f>HYPERLINK("#Statut_biogéographique!A"&amp;_xlfn.XMATCH("P",Statut_biogéographique!A:A,2,1),"P")</f>
        <v>P</v>
      </c>
      <c r="AP17711" s="4" t="s">
        <v>376</v>
      </c>
      <c r="AR17711" s="4" t="s">
        <v>377</v>
      </c>
    </row>
    <row r="17712" spans="1:44">
      <c r="A17712" s="4" t="s">
        <v>10753</v>
      </c>
      <c r="B17712" s="4">
        <v>65278</v>
      </c>
      <c r="D17712" s="5" t="s">
        <v>21626</v>
      </c>
      <c r="E17712" s="6" t="str">
        <f>HYPERLINK("https://inpn.mnhn.fr/espece/cd_nom/65278","Orthetrum cancellatum (Linnaeus, 1758)")</f>
        <v>Orthetrum cancellatum (Linnaeus, 1758)</v>
      </c>
      <c r="F17712" s="5" t="s">
        <v>21627</v>
      </c>
      <c r="O17712" s="7" t="str">
        <f>HYPERLINK("#Liste_rouge!A"&amp;_xlfn.XMATCH("LC",Liste_rouge!A:A,2,1),"LC")</f>
        <v>LC</v>
      </c>
      <c r="P17712" s="7" t="str">
        <f>HYPERLINK("#Liste_rouge!A"&amp;_xlfn.XMATCH("LC",Liste_rouge!A:A,2,1),"LC")</f>
        <v>LC</v>
      </c>
      <c r="Q17712" s="7" t="str">
        <f>HYPERLINK("#Liste_rouge!A"&amp;_xlfn.XMATCH("LC",Liste_rouge!A:A,2,1),"LC")</f>
        <v>LC</v>
      </c>
      <c r="T17712" s="7" t="str">
        <f>HYPERLINK("#Liste_rouge!A"&amp;_xlfn.XMATCH("LC",Liste_rouge!A:A,2,1),"LC")</f>
        <v>LC</v>
      </c>
      <c r="V17712" s="7" t="str">
        <f>HYPERLINK("#Liste_rouge!A"&amp;_xlfn.XMATCH("LC",Liste_rouge!A:A,2,1),"LC")</f>
        <v>LC</v>
      </c>
      <c r="AH17712" s="4" t="str">
        <f>HYPERLINK("#Statut_biogéographique!A"&amp;_xlfn.XMATCH("P",Statut_biogéographique!A:A,2,1),"P")</f>
        <v>P</v>
      </c>
      <c r="AM17712" s="4" t="s">
        <v>375</v>
      </c>
      <c r="AN17712" s="4" t="s">
        <v>375</v>
      </c>
      <c r="AO17712" s="4" t="s">
        <v>375</v>
      </c>
      <c r="AP17712" s="4" t="s">
        <v>376</v>
      </c>
      <c r="AR17712" s="4" t="s">
        <v>377</v>
      </c>
    </row>
    <row r="17713" spans="1:44">
      <c r="A17713" s="4" t="s">
        <v>10753</v>
      </c>
      <c r="B17713" s="4">
        <v>65282</v>
      </c>
      <c r="D17713" s="5" t="s">
        <v>21628</v>
      </c>
      <c r="E17713" s="6" t="str">
        <f>HYPERLINK("https://inpn.mnhn.fr/espece/cd_nom/65282","Orthetrum albistylum (Selys, 1848)")</f>
        <v>Orthetrum albistylum (Selys, 1848)</v>
      </c>
      <c r="F17713" s="5" t="s">
        <v>21629</v>
      </c>
      <c r="O17713" s="7" t="str">
        <f>HYPERLINK("#Liste_rouge!A"&amp;_xlfn.XMATCH("LC",Liste_rouge!A:A,2,1),"LC")</f>
        <v>LC</v>
      </c>
      <c r="P17713" s="7" t="str">
        <f>HYPERLINK("#Liste_rouge!A"&amp;_xlfn.XMATCH("LC",Liste_rouge!A:A,2,1),"LC")</f>
        <v>LC</v>
      </c>
      <c r="Q17713" s="7" t="str">
        <f>HYPERLINK("#Liste_rouge!A"&amp;_xlfn.XMATCH("LC",Liste_rouge!A:A,2,1),"LC")</f>
        <v>LC</v>
      </c>
      <c r="T17713" s="7" t="str">
        <f>HYPERLINK("#Liste_rouge!A"&amp;_xlfn.XMATCH("LC",Liste_rouge!A:A,2,1),"LC")</f>
        <v>LC</v>
      </c>
      <c r="V17713" s="7" t="str">
        <f>HYPERLINK("#Liste_rouge!A"&amp;_xlfn.XMATCH("LC",Liste_rouge!A:A,2,1),"LC")</f>
        <v>LC</v>
      </c>
      <c r="AH17713" s="4" t="str">
        <f>HYPERLINK("#Statut_biogéographique!A"&amp;_xlfn.XMATCH("P",Statut_biogéographique!A:A,2,1),"P")</f>
        <v>P</v>
      </c>
      <c r="AM17713" s="4" t="s">
        <v>375</v>
      </c>
      <c r="AN17713" s="4" t="s">
        <v>375</v>
      </c>
      <c r="AO17713" s="4" t="s">
        <v>375</v>
      </c>
      <c r="AP17713" s="4" t="s">
        <v>376</v>
      </c>
      <c r="AR17713" s="4" t="s">
        <v>377</v>
      </c>
    </row>
    <row r="17714" spans="1:44">
      <c r="A17714" s="4" t="s">
        <v>10753</v>
      </c>
      <c r="B17714" s="4">
        <v>65284</v>
      </c>
      <c r="D17714" s="5" t="s">
        <v>21630</v>
      </c>
      <c r="E17714" s="6" t="str">
        <f>HYPERLINK("https://inpn.mnhn.fr/espece/cd_nom/65284","Orthetrum coerulescens (Fabricius, 1798)")</f>
        <v>Orthetrum coerulescens (Fabricius, 1798)</v>
      </c>
      <c r="F17714" s="5" t="s">
        <v>21631</v>
      </c>
      <c r="O17714" s="7" t="str">
        <f>HYPERLINK("#Liste_rouge!A"&amp;_xlfn.XMATCH("LC",Liste_rouge!A:A,2,1),"LC")</f>
        <v>LC</v>
      </c>
      <c r="P17714" s="7" t="str">
        <f>HYPERLINK("#Liste_rouge!A"&amp;_xlfn.XMATCH("LC",Liste_rouge!A:A,2,1),"LC")</f>
        <v>LC</v>
      </c>
      <c r="Q17714" s="7" t="str">
        <f>HYPERLINK("#Liste_rouge!A"&amp;_xlfn.XMATCH("LC",Liste_rouge!A:A,2,1),"LC")</f>
        <v>LC</v>
      </c>
      <c r="V17714" s="7" t="str">
        <f>HYPERLINK("#Liste_rouge!A"&amp;_xlfn.XMATCH("LC",Liste_rouge!A:A,2,1),"LC")</f>
        <v>LC</v>
      </c>
      <c r="X17714" s="5" t="s">
        <v>398</v>
      </c>
      <c r="AH17714" s="4" t="str">
        <f>HYPERLINK("#Statut_biogéographique!A"&amp;_xlfn.XMATCH("P",Statut_biogéographique!A:A,2,1),"P")</f>
        <v>P</v>
      </c>
      <c r="AM17714" s="4" t="s">
        <v>375</v>
      </c>
      <c r="AN17714" s="4" t="s">
        <v>375</v>
      </c>
      <c r="AO17714" s="4" t="s">
        <v>375</v>
      </c>
      <c r="AP17714" s="4" t="s">
        <v>376</v>
      </c>
      <c r="AR17714" s="4" t="s">
        <v>377</v>
      </c>
    </row>
    <row r="17715" spans="1:44" ht="30">
      <c r="A17715" s="4" t="s">
        <v>10753</v>
      </c>
      <c r="B17715" s="4">
        <v>65290</v>
      </c>
      <c r="D17715" s="5" t="s">
        <v>21632</v>
      </c>
      <c r="E17715" s="6" t="str">
        <f>HYPERLINK("https://inpn.mnhn.fr/espece/cd_nom/65290","Orthetrum brunneum (Boyer de Fonscolombe, 1837)")</f>
        <v>Orthetrum brunneum (Boyer de Fonscolombe, 1837)</v>
      </c>
      <c r="F17715" s="5" t="s">
        <v>21633</v>
      </c>
      <c r="O17715" s="7" t="str">
        <f>HYPERLINK("#Liste_rouge!A"&amp;_xlfn.XMATCH("LC",Liste_rouge!A:A,2,1),"LC")</f>
        <v>LC</v>
      </c>
      <c r="P17715" s="7" t="str">
        <f>HYPERLINK("#Liste_rouge!A"&amp;_xlfn.XMATCH("LC",Liste_rouge!A:A,2,1),"LC")</f>
        <v>LC</v>
      </c>
      <c r="Q17715" s="7" t="str">
        <f>HYPERLINK("#Liste_rouge!A"&amp;_xlfn.XMATCH("LC",Liste_rouge!A:A,2,1),"LC")</f>
        <v>LC</v>
      </c>
      <c r="T17715" s="7" t="str">
        <f>HYPERLINK("#Liste_rouge!A"&amp;_xlfn.XMATCH("LC",Liste_rouge!A:A,2,1),"LC")</f>
        <v>LC</v>
      </c>
      <c r="V17715" s="7" t="str">
        <f>HYPERLINK("#Liste_rouge!A"&amp;_xlfn.XMATCH("LC",Liste_rouge!A:A,2,1),"LC")</f>
        <v>LC</v>
      </c>
      <c r="X17715" s="5" t="s">
        <v>398</v>
      </c>
      <c r="AH17715" s="4" t="str">
        <f>HYPERLINK("#Statut_biogéographique!A"&amp;_xlfn.XMATCH("P",Statut_biogéographique!A:A,2,1),"P")</f>
        <v>P</v>
      </c>
      <c r="AM17715" s="4" t="s">
        <v>375</v>
      </c>
      <c r="AN17715" s="4" t="s">
        <v>375</v>
      </c>
      <c r="AO17715" s="4" t="s">
        <v>375</v>
      </c>
      <c r="AP17715" s="4" t="s">
        <v>376</v>
      </c>
      <c r="AR17715" s="4" t="s">
        <v>377</v>
      </c>
    </row>
    <row r="17716" spans="1:44">
      <c r="A17716" s="4" t="s">
        <v>10753</v>
      </c>
      <c r="B17716" s="4">
        <v>65300</v>
      </c>
      <c r="D17716" s="5" t="s">
        <v>21634</v>
      </c>
      <c r="E17716" s="6" t="str">
        <f>HYPERLINK("https://inpn.mnhn.fr/espece/cd_nom/65300","Crocothemis erythraea (Brullé, 1832)")</f>
        <v>Crocothemis erythraea (Brullé, 1832)</v>
      </c>
      <c r="F17716" s="5" t="s">
        <v>21635</v>
      </c>
      <c r="O17716" s="7" t="str">
        <f>HYPERLINK("#Liste_rouge!A"&amp;_xlfn.XMATCH("LC",Liste_rouge!A:A,2,1),"LC")</f>
        <v>LC</v>
      </c>
      <c r="P17716" s="7" t="str">
        <f>HYPERLINK("#Liste_rouge!A"&amp;_xlfn.XMATCH("LC",Liste_rouge!A:A,2,1),"LC")</f>
        <v>LC</v>
      </c>
      <c r="Q17716" s="7" t="str">
        <f>HYPERLINK("#Liste_rouge!A"&amp;_xlfn.XMATCH("LC",Liste_rouge!A:A,2,1),"LC")</f>
        <v>LC</v>
      </c>
      <c r="T17716" s="7" t="str">
        <f>HYPERLINK("#Liste_rouge!A"&amp;_xlfn.XMATCH("LC",Liste_rouge!A:A,2,1),"LC")</f>
        <v>LC</v>
      </c>
      <c r="V17716" s="7" t="str">
        <f>HYPERLINK("#Liste_rouge!A"&amp;_xlfn.XMATCH("LC",Liste_rouge!A:A,2,1),"LC")</f>
        <v>LC</v>
      </c>
      <c r="AH17716" s="4" t="str">
        <f>HYPERLINK("#Statut_biogéographique!A"&amp;_xlfn.XMATCH("P",Statut_biogéographique!A:A,2,1),"P")</f>
        <v>P</v>
      </c>
      <c r="AM17716" s="4" t="s">
        <v>375</v>
      </c>
      <c r="AN17716" s="4" t="s">
        <v>375</v>
      </c>
      <c r="AO17716" s="4" t="s">
        <v>375</v>
      </c>
      <c r="AP17716" s="4" t="s">
        <v>376</v>
      </c>
      <c r="AR17716" s="4" t="s">
        <v>377</v>
      </c>
    </row>
    <row r="17717" spans="1:44" ht="30">
      <c r="A17717" s="4" t="s">
        <v>10753</v>
      </c>
      <c r="B17717" s="4">
        <v>65308</v>
      </c>
      <c r="D17717" s="5" t="s">
        <v>21636</v>
      </c>
      <c r="E17717" s="6" t="str">
        <f>HYPERLINK("https://inpn.mnhn.fr/espece/cd_nom/65308","Sympetrum pedemontanum (O.F. Müller in Allioni, 1766)")</f>
        <v>Sympetrum pedemontanum (O.F. Müller in Allioni, 1766)</v>
      </c>
      <c r="F17717" s="5" t="s">
        <v>21637</v>
      </c>
      <c r="O17717" s="7" t="str">
        <f>HYPERLINK("#Liste_rouge!A"&amp;_xlfn.XMATCH("LC",Liste_rouge!A:A,2,1),"LC")</f>
        <v>LC</v>
      </c>
      <c r="P17717" s="7" t="str">
        <f>HYPERLINK("#Liste_rouge!A"&amp;_xlfn.XMATCH("LC",Liste_rouge!A:A,2,1),"LC")</f>
        <v>LC</v>
      </c>
      <c r="Q17717" s="7" t="str">
        <f>HYPERLINK("#Liste_rouge!A"&amp;_xlfn.XMATCH("NT",Liste_rouge!A:A,2,1),"NT")</f>
        <v>NT</v>
      </c>
      <c r="V17717" s="7" t="str">
        <f>HYPERLINK("#Liste_rouge!A"&amp;_xlfn.XMATCH("EN",Liste_rouge!A:A,2,1),"EN")</f>
        <v>EN</v>
      </c>
      <c r="W17717" s="4" t="str">
        <f>HYPERLINK("#Critères_liste_rouge!A$1","A2CB2ab(i,ii,iv)")</f>
        <v>A2CB2ab(i,ii,iv)</v>
      </c>
      <c r="X17717" s="5" t="s">
        <v>374</v>
      </c>
      <c r="AH17717" s="4" t="str">
        <f>HYPERLINK("#Statut_biogéographique!A"&amp;_xlfn.XMATCH("P",Statut_biogéographique!A:A,2,1),"P")</f>
        <v>P</v>
      </c>
      <c r="AI17717" s="8" t="s">
        <v>21638</v>
      </c>
      <c r="AJ17717" s="4" t="s">
        <v>21565</v>
      </c>
      <c r="AM17717" s="4" t="s">
        <v>375</v>
      </c>
      <c r="AN17717" s="4" t="s">
        <v>375</v>
      </c>
      <c r="AO17717" s="4" t="s">
        <v>375</v>
      </c>
      <c r="AP17717" s="4" t="s">
        <v>376</v>
      </c>
      <c r="AR17717" s="4" t="s">
        <v>377</v>
      </c>
    </row>
    <row r="17718" spans="1:44">
      <c r="A17718" s="4" t="s">
        <v>10753</v>
      </c>
      <c r="B17718" s="4">
        <v>65312</v>
      </c>
      <c r="D17718" s="5" t="s">
        <v>21639</v>
      </c>
      <c r="E17718" s="6" t="str">
        <f>HYPERLINK("https://inpn.mnhn.fr/espece/cd_nom/65312","Sympetrum danae (Sulzer, 1776)")</f>
        <v>Sympetrum danae (Sulzer, 1776)</v>
      </c>
      <c r="F17718" s="5" t="s">
        <v>21640</v>
      </c>
      <c r="O17718" s="7" t="str">
        <f>HYPERLINK("#Liste_rouge!A"&amp;_xlfn.XMATCH("LC",Liste_rouge!A:A,2,1),"LC")</f>
        <v>LC</v>
      </c>
      <c r="P17718" s="7" t="str">
        <f>HYPERLINK("#Liste_rouge!A"&amp;_xlfn.XMATCH("LC",Liste_rouge!A:A,2,1),"LC")</f>
        <v>LC</v>
      </c>
      <c r="Q17718" s="7" t="str">
        <f>HYPERLINK("#Liste_rouge!A"&amp;_xlfn.XMATCH("VU",Liste_rouge!A:A,2,1),"VU")</f>
        <v>VU</v>
      </c>
      <c r="T17718" s="7" t="str">
        <f>HYPERLINK("#Liste_rouge!A"&amp;_xlfn.XMATCH("EN",Liste_rouge!A:A,2,1),"EN")</f>
        <v>EN</v>
      </c>
      <c r="V17718" s="7" t="str">
        <f>HYPERLINK("#Liste_rouge!A"&amp;_xlfn.XMATCH("LC",Liste_rouge!A:A,2,1),"LC")</f>
        <v>LC</v>
      </c>
      <c r="X17718" s="5" t="s">
        <v>374</v>
      </c>
      <c r="AH17718" s="4" t="str">
        <f>HYPERLINK("#Statut_biogéographique!A"&amp;_xlfn.XMATCH("P",Statut_biogéographique!A:A,2,1),"P")</f>
        <v>P</v>
      </c>
      <c r="AI17718" s="8" t="s">
        <v>21641</v>
      </c>
      <c r="AJ17718" s="4" t="s">
        <v>21565</v>
      </c>
      <c r="AM17718" s="4" t="s">
        <v>375</v>
      </c>
      <c r="AN17718" s="4" t="s">
        <v>382</v>
      </c>
      <c r="AO17718" s="4" t="s">
        <v>382</v>
      </c>
      <c r="AP17718" s="4" t="s">
        <v>376</v>
      </c>
      <c r="AR17718" s="4" t="s">
        <v>377</v>
      </c>
    </row>
    <row r="17719" spans="1:44">
      <c r="A17719" s="4" t="s">
        <v>10753</v>
      </c>
      <c r="B17719" s="4">
        <v>65318</v>
      </c>
      <c r="D17719" s="5" t="s">
        <v>21642</v>
      </c>
      <c r="E17719" s="6" t="str">
        <f>HYPERLINK("https://inpn.mnhn.fr/espece/cd_nom/65318","Sympetrum depressiusculum (Selys, 1841)")</f>
        <v>Sympetrum depressiusculum (Selys, 1841)</v>
      </c>
      <c r="F17719" s="5" t="s">
        <v>21643</v>
      </c>
      <c r="O17719" s="7" t="str">
        <f>HYPERLINK("#Liste_rouge!A"&amp;_xlfn.XMATCH("LC",Liste_rouge!A:A,2,1),"LC")</f>
        <v>LC</v>
      </c>
      <c r="P17719" s="7" t="str">
        <f>HYPERLINK("#Liste_rouge!A"&amp;_xlfn.XMATCH("VU",Liste_rouge!A:A,2,1),"VU")</f>
        <v>VU</v>
      </c>
      <c r="Q17719" s="7" t="str">
        <f>HYPERLINK("#Liste_rouge!A"&amp;_xlfn.XMATCH("EN",Liste_rouge!A:A,2,1),"EN")</f>
        <v>EN</v>
      </c>
      <c r="T17719" s="7" t="str">
        <f>HYPERLINK("#Liste_rouge!A"&amp;_xlfn.XMATCH("NA",Liste_rouge!A:A,2,1),"NA")</f>
        <v>NA</v>
      </c>
      <c r="V17719" s="7" t="str">
        <f>HYPERLINK("#Liste_rouge!A"&amp;_xlfn.XMATCH("DD",Liste_rouge!A:A,2,1),"DD")</f>
        <v>DD</v>
      </c>
      <c r="X17719" s="5" t="s">
        <v>374</v>
      </c>
      <c r="AE17719" s="4" t="str">
        <f>HYPERLINK("#SCAP!A"&amp;_xlfn.XMATCH("A",SCAP!A:A,2,1),"A")</f>
        <v>A</v>
      </c>
      <c r="AH17719" s="4" t="str">
        <f>HYPERLINK("#Statut_biogéographique!A"&amp;_xlfn.XMATCH("P",Statut_biogéographique!A:A,2,1),"P")</f>
        <v>P</v>
      </c>
      <c r="AI17719" s="8" t="s">
        <v>21644</v>
      </c>
      <c r="AJ17719" s="4" t="s">
        <v>21556</v>
      </c>
      <c r="AM17719" s="4" t="s">
        <v>375</v>
      </c>
      <c r="AN17719" s="4" t="s">
        <v>375</v>
      </c>
      <c r="AO17719" s="4" t="s">
        <v>375</v>
      </c>
      <c r="AP17719" s="4" t="s">
        <v>376</v>
      </c>
      <c r="AR17719" s="4" t="s">
        <v>377</v>
      </c>
    </row>
    <row r="17720" spans="1:44" ht="30">
      <c r="A17720" s="4" t="s">
        <v>10753</v>
      </c>
      <c r="B17720" s="4">
        <v>65322</v>
      </c>
      <c r="D17720" s="5" t="s">
        <v>21645</v>
      </c>
      <c r="E17720" s="6" t="str">
        <f>HYPERLINK("https://inpn.mnhn.fr/espece/cd_nom/65322","Sympetrum sanguineum (O.F. Müller, 1764)")</f>
        <v>Sympetrum sanguineum (O.F. Müller, 1764)</v>
      </c>
      <c r="F17720" s="5" t="s">
        <v>21646</v>
      </c>
      <c r="O17720" s="7" t="str">
        <f>HYPERLINK("#Liste_rouge!A"&amp;_xlfn.XMATCH("LC",Liste_rouge!A:A,2,1),"LC")</f>
        <v>LC</v>
      </c>
      <c r="P17720" s="7" t="str">
        <f>HYPERLINK("#Liste_rouge!A"&amp;_xlfn.XMATCH("LC",Liste_rouge!A:A,2,1),"LC")</f>
        <v>LC</v>
      </c>
      <c r="Q17720" s="7" t="str">
        <f>HYPERLINK("#Liste_rouge!A"&amp;_xlfn.XMATCH("LC",Liste_rouge!A:A,2,1),"LC")</f>
        <v>LC</v>
      </c>
      <c r="T17720" s="7" t="str">
        <f>HYPERLINK("#Liste_rouge!A"&amp;_xlfn.XMATCH("LC",Liste_rouge!A:A,2,1),"LC")</f>
        <v>LC</v>
      </c>
      <c r="V17720" s="7" t="str">
        <f>HYPERLINK("#Liste_rouge!A"&amp;_xlfn.XMATCH("LC",Liste_rouge!A:A,2,1),"LC")</f>
        <v>LC</v>
      </c>
      <c r="AH17720" s="4" t="str">
        <f>HYPERLINK("#Statut_biogéographique!A"&amp;_xlfn.XMATCH("P",Statut_biogéographique!A:A,2,1),"P")</f>
        <v>P</v>
      </c>
      <c r="AM17720" s="4" t="s">
        <v>375</v>
      </c>
      <c r="AN17720" s="4" t="s">
        <v>375</v>
      </c>
      <c r="AO17720" s="4" t="s">
        <v>375</v>
      </c>
      <c r="AP17720" s="4" t="s">
        <v>376</v>
      </c>
      <c r="AR17720" s="4" t="s">
        <v>377</v>
      </c>
    </row>
    <row r="17721" spans="1:44">
      <c r="A17721" s="4" t="s">
        <v>10753</v>
      </c>
      <c r="B17721" s="4">
        <v>65327</v>
      </c>
      <c r="D17721" s="5" t="s">
        <v>21647</v>
      </c>
      <c r="E17721" s="6" t="str">
        <f>HYPERLINK("https://inpn.mnhn.fr/espece/cd_nom/65327","Sympetrum flaveolum (Linnaeus, 1758)")</f>
        <v>Sympetrum flaveolum (Linnaeus, 1758)</v>
      </c>
      <c r="F17721" s="5" t="s">
        <v>21648</v>
      </c>
      <c r="O17721" s="7" t="str">
        <f>HYPERLINK("#Liste_rouge!A"&amp;_xlfn.XMATCH("LC",Liste_rouge!A:A,2,1),"LC")</f>
        <v>LC</v>
      </c>
      <c r="P17721" s="7" t="str">
        <f>HYPERLINK("#Liste_rouge!A"&amp;_xlfn.XMATCH("LC",Liste_rouge!A:A,2,1),"LC")</f>
        <v>LC</v>
      </c>
      <c r="Q17721" s="7" t="str">
        <f>HYPERLINK("#Liste_rouge!A"&amp;_xlfn.XMATCH("NT",Liste_rouge!A:A,2,1),"NT")</f>
        <v>NT</v>
      </c>
      <c r="T17721" s="7" t="str">
        <f>HYPERLINK("#Liste_rouge!A"&amp;_xlfn.XMATCH("NA",Liste_rouge!A:A,2,1),"NA")</f>
        <v>NA</v>
      </c>
      <c r="V17721" s="7" t="str">
        <f>HYPERLINK("#Liste_rouge!A"&amp;_xlfn.XMATCH("VU",Liste_rouge!A:A,2,1),"VU")</f>
        <v>VU</v>
      </c>
      <c r="W17721" s="4" t="str">
        <f>HYPERLINK("#Critères_liste_rouge!A$1","B2ab(iii)")</f>
        <v>B2ab(iii)</v>
      </c>
      <c r="X17721" s="5" t="s">
        <v>374</v>
      </c>
      <c r="AE17721" s="4" t="str">
        <f>HYPERLINK("#SCAP!A"&amp;_xlfn.XMATCH("A",SCAP!A:A,2,1),"A")</f>
        <v>A</v>
      </c>
      <c r="AH17721" s="4" t="str">
        <f>HYPERLINK("#Statut_biogéographique!A"&amp;_xlfn.XMATCH("P",Statut_biogéographique!A:A,2,1),"P")</f>
        <v>P</v>
      </c>
      <c r="AI17721" s="8" t="s">
        <v>21649</v>
      </c>
      <c r="AJ17721" s="4" t="s">
        <v>21565</v>
      </c>
      <c r="AM17721" s="4" t="s">
        <v>375</v>
      </c>
      <c r="AN17721" s="4" t="s">
        <v>375</v>
      </c>
      <c r="AO17721" s="4" t="s">
        <v>375</v>
      </c>
      <c r="AP17721" s="4" t="s">
        <v>376</v>
      </c>
      <c r="AR17721" s="4" t="s">
        <v>377</v>
      </c>
    </row>
    <row r="17722" spans="1:44" ht="30">
      <c r="A17722" s="4" t="s">
        <v>10753</v>
      </c>
      <c r="B17722" s="4">
        <v>653281</v>
      </c>
      <c r="D17722" s="5" t="s">
        <v>21650</v>
      </c>
      <c r="E17722" s="6" t="str">
        <f>HYPERLINK("https://inpn.mnhn.fr/espece/cd_nom/653281","Calopteryx splendens (Harris, 1780)")</f>
        <v>Calopteryx splendens (Harris, 1780)</v>
      </c>
      <c r="F17722" s="5" t="s">
        <v>21651</v>
      </c>
      <c r="O17722" s="7" t="str">
        <f>HYPERLINK("#Liste_rouge!A"&amp;_xlfn.XMATCH("LC",Liste_rouge!A:A,2,1),"LC")</f>
        <v>LC</v>
      </c>
      <c r="P17722" s="7" t="str">
        <f>HYPERLINK("#Liste_rouge!A"&amp;_xlfn.XMATCH("LC",Liste_rouge!A:A,2,1),"LC")</f>
        <v>LC</v>
      </c>
      <c r="Q17722" s="7" t="str">
        <f>HYPERLINK("#Liste_rouge!A"&amp;_xlfn.XMATCH("LC",Liste_rouge!A:A,2,1),"LC")</f>
        <v>LC</v>
      </c>
      <c r="V17722" s="7" t="str">
        <f>HYPERLINK("#Liste_rouge!A"&amp;_xlfn.XMATCH("LC",Liste_rouge!A:A,2,1),"LC")</f>
        <v>LC</v>
      </c>
      <c r="AH17722" s="4" t="str">
        <f>HYPERLINK("#Statut_biogéographique!A"&amp;_xlfn.XMATCH("P",Statut_biogéographique!A:A,2,1),"P")</f>
        <v>P</v>
      </c>
      <c r="AM17722" s="4" t="s">
        <v>375</v>
      </c>
      <c r="AN17722" s="4" t="s">
        <v>375</v>
      </c>
      <c r="AO17722" s="4" t="s">
        <v>375</v>
      </c>
      <c r="AP17722" s="4" t="s">
        <v>376</v>
      </c>
      <c r="AR17722" s="4" t="s">
        <v>377</v>
      </c>
    </row>
    <row r="17723" spans="1:44">
      <c r="A17723" s="4" t="s">
        <v>10753</v>
      </c>
      <c r="B17723" s="4">
        <v>653286</v>
      </c>
      <c r="D17723" s="5" t="s">
        <v>21652</v>
      </c>
      <c r="E17723" s="6" t="str">
        <f>HYPERLINK("https://inpn.mnhn.fr/espece/cd_nom/653286","Ceriagrion tenellum (Villers, 1789)")</f>
        <v>Ceriagrion tenellum (Villers, 1789)</v>
      </c>
      <c r="F17723" s="5" t="s">
        <v>21653</v>
      </c>
      <c r="O17723" s="7" t="str">
        <f>HYPERLINK("#Liste_rouge!A"&amp;_xlfn.XMATCH("LC",Liste_rouge!A:A,2,1),"LC")</f>
        <v>LC</v>
      </c>
      <c r="P17723" s="7" t="str">
        <f>HYPERLINK("#Liste_rouge!A"&amp;_xlfn.XMATCH("LC",Liste_rouge!A:A,2,1),"LC")</f>
        <v>LC</v>
      </c>
      <c r="Q17723" s="7" t="str">
        <f>HYPERLINK("#Liste_rouge!A"&amp;_xlfn.XMATCH("LC",Liste_rouge!A:A,2,1),"LC")</f>
        <v>LC</v>
      </c>
      <c r="T17723" s="7" t="str">
        <f>HYPERLINK("#Liste_rouge!A"&amp;_xlfn.XMATCH("LC",Liste_rouge!A:A,2,1),"LC")</f>
        <v>LC</v>
      </c>
      <c r="V17723" s="7" t="str">
        <f>HYPERLINK("#Liste_rouge!A"&amp;_xlfn.XMATCH("VU",Liste_rouge!A:A,2,1),"VU")</f>
        <v>VU</v>
      </c>
      <c r="W17723" s="4" t="str">
        <f>HYPERLINK("#Critères_liste_rouge!A$1","B2ab(iii)")</f>
        <v>B2ab(iii)</v>
      </c>
      <c r="X17723" s="5" t="s">
        <v>398</v>
      </c>
      <c r="AH17723" s="4" t="str">
        <f>HYPERLINK("#Statut_biogéographique!A"&amp;_xlfn.XMATCH("P",Statut_biogéographique!A:A,2,1),"P")</f>
        <v>P</v>
      </c>
      <c r="AM17723" s="4" t="s">
        <v>375</v>
      </c>
      <c r="AN17723" s="4" t="s">
        <v>375</v>
      </c>
      <c r="AO17723" s="4" t="s">
        <v>375</v>
      </c>
      <c r="AP17723" s="4" t="s">
        <v>376</v>
      </c>
      <c r="AR17723" s="4" t="s">
        <v>377</v>
      </c>
    </row>
    <row r="17724" spans="1:44">
      <c r="A17724" s="4" t="s">
        <v>10753</v>
      </c>
      <c r="B17724" s="4">
        <v>653291</v>
      </c>
      <c r="D17724" s="5" t="s">
        <v>21654</v>
      </c>
      <c r="E17724" s="6" t="str">
        <f>HYPERLINK("https://inpn.mnhn.fr/espece/cd_nom/653291","Gomphus simillimus Selys, 1840")</f>
        <v>Gomphus simillimus Selys, 1840</v>
      </c>
      <c r="F17724" s="5" t="s">
        <v>21655</v>
      </c>
      <c r="O17724" s="7" t="str">
        <f>HYPERLINK("#Liste_rouge!A"&amp;_xlfn.XMATCH("LC",Liste_rouge!A:A,2,1),"LC")</f>
        <v>LC</v>
      </c>
      <c r="P17724" s="7" t="str">
        <f>HYPERLINK("#Liste_rouge!A"&amp;_xlfn.XMATCH("NT",Liste_rouge!A:A,2,1),"NT")</f>
        <v>NT</v>
      </c>
      <c r="Q17724" s="7" t="str">
        <f>HYPERLINK("#Liste_rouge!A"&amp;_xlfn.XMATCH("LC",Liste_rouge!A:A,2,1),"LC")</f>
        <v>LC</v>
      </c>
      <c r="T17724" s="7" t="str">
        <f>HYPERLINK("#Liste_rouge!A"&amp;_xlfn.XMATCH("NT",Liste_rouge!A:A,2,1),"NT")</f>
        <v>NT</v>
      </c>
      <c r="X17724" s="5" t="s">
        <v>398</v>
      </c>
      <c r="AH17724" s="4" t="str">
        <f>HYPERLINK("#Statut_biogéographique!A"&amp;_xlfn.XMATCH("P",Statut_biogéographique!A:A,2,1),"P")</f>
        <v>P</v>
      </c>
      <c r="AM17724" s="4" t="s">
        <v>375</v>
      </c>
      <c r="AN17724" s="4" t="s">
        <v>375</v>
      </c>
      <c r="AO17724" s="4" t="s">
        <v>375</v>
      </c>
      <c r="AP17724" s="4" t="s">
        <v>376</v>
      </c>
      <c r="AR17724" s="4" t="s">
        <v>377</v>
      </c>
    </row>
    <row r="17725" spans="1:44" ht="30">
      <c r="A17725" s="4" t="s">
        <v>10753</v>
      </c>
      <c r="B17725" s="4">
        <v>653307</v>
      </c>
      <c r="D17725" s="5">
        <v>653307</v>
      </c>
      <c r="E17725" s="6" t="str">
        <f>HYPERLINK("https://inpn.mnhn.fr/espece/cd_nom/653307","Sympetrum vulgatum vulgatum (Linnaeus, 1758)")</f>
        <v>Sympetrum vulgatum vulgatum (Linnaeus, 1758)</v>
      </c>
      <c r="F17725" s="5" t="s">
        <v>21656</v>
      </c>
      <c r="T17725" s="7" t="str">
        <f>HYPERLINK("#Liste_rouge!A"&amp;_xlfn.XMATCH("VU",Liste_rouge!A:A,2,1),"VU")</f>
        <v>VU</v>
      </c>
      <c r="AH17725" s="4" t="str">
        <f>HYPERLINK("#Statut_biogéographique!A"&amp;_xlfn.XMATCH("P",Statut_biogéographique!A:A,2,1),"P")</f>
        <v>P</v>
      </c>
      <c r="AP17725" s="4" t="s">
        <v>376</v>
      </c>
      <c r="AR17725" s="4" t="s">
        <v>377</v>
      </c>
    </row>
    <row r="17726" spans="1:44">
      <c r="A17726" s="4" t="s">
        <v>10753</v>
      </c>
      <c r="B17726" s="4">
        <v>65335</v>
      </c>
      <c r="D17726" s="5" t="s">
        <v>21657</v>
      </c>
      <c r="E17726" s="6" t="str">
        <f>HYPERLINK("https://inpn.mnhn.fr/espece/cd_nom/65335","Sympetrum fonscolombii (Selys, 1840)")</f>
        <v>Sympetrum fonscolombii (Selys, 1840)</v>
      </c>
      <c r="F17726" s="5" t="s">
        <v>21658</v>
      </c>
      <c r="O17726" s="7" t="str">
        <f>HYPERLINK("#Liste_rouge!A"&amp;_xlfn.XMATCH("LC",Liste_rouge!A:A,2,1),"LC")</f>
        <v>LC</v>
      </c>
      <c r="P17726" s="7" t="str">
        <f>HYPERLINK("#Liste_rouge!A"&amp;_xlfn.XMATCH("LC",Liste_rouge!A:A,2,1),"LC")</f>
        <v>LC</v>
      </c>
      <c r="Q17726" s="7" t="str">
        <f>HYPERLINK("#Liste_rouge!A"&amp;_xlfn.XMATCH("LC",Liste_rouge!A:A,2,1),"LC")</f>
        <v>LC</v>
      </c>
      <c r="T17726" s="7" t="str">
        <f>HYPERLINK("#Liste_rouge!A"&amp;_xlfn.XMATCH("LC",Liste_rouge!A:A,2,1),"LC")</f>
        <v>LC</v>
      </c>
      <c r="V17726" s="7" t="str">
        <f>HYPERLINK("#Liste_rouge!A"&amp;_xlfn.XMATCH("LC",Liste_rouge!A:A,2,1),"LC")</f>
        <v>LC</v>
      </c>
      <c r="AH17726" s="4" t="str">
        <f>HYPERLINK("#Statut_biogéographique!A"&amp;_xlfn.XMATCH("P",Statut_biogéographique!A:A,2,1),"P")</f>
        <v>P</v>
      </c>
      <c r="AM17726" s="4" t="s">
        <v>375</v>
      </c>
      <c r="AN17726" s="4" t="s">
        <v>375</v>
      </c>
      <c r="AO17726" s="4" t="s">
        <v>375</v>
      </c>
      <c r="AP17726" s="4" t="s">
        <v>376</v>
      </c>
      <c r="AR17726" s="4" t="s">
        <v>377</v>
      </c>
    </row>
    <row r="17727" spans="1:44">
      <c r="A17727" s="4" t="s">
        <v>10753</v>
      </c>
      <c r="B17727" s="4">
        <v>65339</v>
      </c>
      <c r="D17727" s="5" t="s">
        <v>21659</v>
      </c>
      <c r="E17727" s="6" t="str">
        <f>HYPERLINK("https://inpn.mnhn.fr/espece/cd_nom/65339","Sympetrum meridionale (Selys, 1841)")</f>
        <v>Sympetrum meridionale (Selys, 1841)</v>
      </c>
      <c r="F17727" s="5" t="s">
        <v>21660</v>
      </c>
      <c r="O17727" s="7" t="str">
        <f>HYPERLINK("#Liste_rouge!A"&amp;_xlfn.XMATCH("LC",Liste_rouge!A:A,2,1),"LC")</f>
        <v>LC</v>
      </c>
      <c r="P17727" s="7" t="str">
        <f>HYPERLINK("#Liste_rouge!A"&amp;_xlfn.XMATCH("LC",Liste_rouge!A:A,2,1),"LC")</f>
        <v>LC</v>
      </c>
      <c r="Q17727" s="7" t="str">
        <f>HYPERLINK("#Liste_rouge!A"&amp;_xlfn.XMATCH("LC",Liste_rouge!A:A,2,1),"LC")</f>
        <v>LC</v>
      </c>
      <c r="T17727" s="7" t="str">
        <f>HYPERLINK("#Liste_rouge!A"&amp;_xlfn.XMATCH("DD",Liste_rouge!A:A,2,1),"DD")</f>
        <v>DD</v>
      </c>
      <c r="V17727" s="7" t="str">
        <f>HYPERLINK("#Liste_rouge!A"&amp;_xlfn.XMATCH("LC",Liste_rouge!A:A,2,1),"LC")</f>
        <v>LC</v>
      </c>
      <c r="AH17727" s="4" t="str">
        <f>HYPERLINK("#Statut_biogéographique!A"&amp;_xlfn.XMATCH("P",Statut_biogéographique!A:A,2,1),"P")</f>
        <v>P</v>
      </c>
      <c r="AM17727" s="4" t="s">
        <v>375</v>
      </c>
      <c r="AN17727" s="4" t="s">
        <v>375</v>
      </c>
      <c r="AO17727" s="4" t="s">
        <v>375</v>
      </c>
      <c r="AP17727" s="4" t="s">
        <v>376</v>
      </c>
      <c r="AR17727" s="4" t="s">
        <v>377</v>
      </c>
    </row>
    <row r="17728" spans="1:44">
      <c r="A17728" s="4" t="s">
        <v>10753</v>
      </c>
      <c r="B17728" s="4">
        <v>65344</v>
      </c>
      <c r="D17728" s="5" t="s">
        <v>21661</v>
      </c>
      <c r="E17728" s="6" t="str">
        <f>HYPERLINK("https://inpn.mnhn.fr/espece/cd_nom/65344","Sympetrum striolatum (Charpentier, 1840)")</f>
        <v>Sympetrum striolatum (Charpentier, 1840)</v>
      </c>
      <c r="F17728" s="5" t="s">
        <v>21662</v>
      </c>
      <c r="O17728" s="7" t="str">
        <f>HYPERLINK("#Liste_rouge!A"&amp;_xlfn.XMATCH("LC",Liste_rouge!A:A,2,1),"LC")</f>
        <v>LC</v>
      </c>
      <c r="P17728" s="7" t="str">
        <f>HYPERLINK("#Liste_rouge!A"&amp;_xlfn.XMATCH("LC",Liste_rouge!A:A,2,1),"LC")</f>
        <v>LC</v>
      </c>
      <c r="Q17728" s="7" t="str">
        <f>HYPERLINK("#Liste_rouge!A"&amp;_xlfn.XMATCH("LC",Liste_rouge!A:A,2,1),"LC")</f>
        <v>LC</v>
      </c>
      <c r="T17728" s="7" t="str">
        <f>HYPERLINK("#Liste_rouge!A"&amp;_xlfn.XMATCH("LC",Liste_rouge!A:A,2,1),"LC")</f>
        <v>LC</v>
      </c>
      <c r="V17728" s="7" t="str">
        <f>HYPERLINK("#Liste_rouge!A"&amp;_xlfn.XMATCH("LC",Liste_rouge!A:A,2,1),"LC")</f>
        <v>LC</v>
      </c>
      <c r="AH17728" s="4" t="str">
        <f>HYPERLINK("#Statut_biogéographique!A"&amp;_xlfn.XMATCH("P",Statut_biogéographique!A:A,2,1),"P")</f>
        <v>P</v>
      </c>
      <c r="AM17728" s="4" t="s">
        <v>375</v>
      </c>
      <c r="AN17728" s="4" t="s">
        <v>375</v>
      </c>
      <c r="AO17728" s="4" t="s">
        <v>375</v>
      </c>
      <c r="AP17728" s="4" t="s">
        <v>376</v>
      </c>
      <c r="AR17728" s="4" t="s">
        <v>377</v>
      </c>
    </row>
    <row r="17729" spans="1:44" ht="45">
      <c r="A17729" s="4" t="s">
        <v>10753</v>
      </c>
      <c r="B17729" s="4">
        <v>65348</v>
      </c>
      <c r="D17729" s="5" t="s">
        <v>21663</v>
      </c>
      <c r="E17729" s="6" t="str">
        <f>HYPERLINK("https://inpn.mnhn.fr/espece/cd_nom/65348","Sympetrum vulgatum (Linnaeus, 1758)")</f>
        <v>Sympetrum vulgatum (Linnaeus, 1758)</v>
      </c>
      <c r="F17729" s="5" t="s">
        <v>21664</v>
      </c>
      <c r="O17729" s="7" t="str">
        <f>HYPERLINK("#Liste_rouge!A"&amp;_xlfn.XMATCH("LC",Liste_rouge!A:A,2,1),"LC")</f>
        <v>LC</v>
      </c>
      <c r="P17729" s="7" t="str">
        <f>HYPERLINK("#Liste_rouge!A"&amp;_xlfn.XMATCH("LC",Liste_rouge!A:A,2,1),"LC")</f>
        <v>LC</v>
      </c>
      <c r="Q17729" s="7" t="str">
        <f>HYPERLINK("#Liste_rouge!A"&amp;_xlfn.XMATCH("NT",Liste_rouge!A:A,2,1),"NT")</f>
        <v>NT</v>
      </c>
      <c r="V17729" s="7" t="str">
        <f>HYPERLINK("#Liste_rouge!A"&amp;_xlfn.XMATCH("LC",Liste_rouge!A:A,2,1),"LC")</f>
        <v>LC</v>
      </c>
      <c r="X17729" s="5" t="s">
        <v>12755</v>
      </c>
      <c r="Y17729" s="5" t="s">
        <v>12784</v>
      </c>
      <c r="AH17729" s="4" t="str">
        <f>HYPERLINK("#Statut_biogéographique!A"&amp;_xlfn.XMATCH("P",Statut_biogéographique!A:A,2,1),"P")</f>
        <v>P</v>
      </c>
      <c r="AI17729" s="8" t="s">
        <v>21665</v>
      </c>
      <c r="AJ17729" s="4" t="s">
        <v>21565</v>
      </c>
      <c r="AM17729" s="4" t="s">
        <v>375</v>
      </c>
      <c r="AN17729" s="4" t="s">
        <v>375</v>
      </c>
      <c r="AO17729" s="4" t="s">
        <v>375</v>
      </c>
      <c r="AP17729" s="4" t="s">
        <v>376</v>
      </c>
      <c r="AR17729" s="4" t="s">
        <v>377</v>
      </c>
    </row>
    <row r="17730" spans="1:44">
      <c r="A17730" s="4" t="s">
        <v>10753</v>
      </c>
      <c r="B17730" s="4">
        <v>65352</v>
      </c>
      <c r="D17730" s="5" t="s">
        <v>21666</v>
      </c>
      <c r="E17730" s="6" t="str">
        <f>HYPERLINK("https://inpn.mnhn.fr/espece/cd_nom/65352","Leucorrhinia dubia (Vander Linden, 1825)")</f>
        <v>Leucorrhinia dubia (Vander Linden, 1825)</v>
      </c>
      <c r="F17730" s="5" t="s">
        <v>21667</v>
      </c>
      <c r="O17730" s="7" t="str">
        <f>HYPERLINK("#Liste_rouge!A"&amp;_xlfn.XMATCH("LC",Liste_rouge!A:A,2,1),"LC")</f>
        <v>LC</v>
      </c>
      <c r="P17730" s="7" t="str">
        <f>HYPERLINK("#Liste_rouge!A"&amp;_xlfn.XMATCH("LC",Liste_rouge!A:A,2,1),"LC")</f>
        <v>LC</v>
      </c>
      <c r="Q17730" s="7" t="str">
        <f>HYPERLINK("#Liste_rouge!A"&amp;_xlfn.XMATCH("NT",Liste_rouge!A:A,2,1),"NT")</f>
        <v>NT</v>
      </c>
      <c r="V17730" s="7" t="str">
        <f>HYPERLINK("#Liste_rouge!A"&amp;_xlfn.XMATCH("VU",Liste_rouge!A:A,2,1),"VU")</f>
        <v>VU</v>
      </c>
      <c r="W17730" s="4" t="str">
        <f>HYPERLINK("#Critères_liste_rouge!A$1","B2ab(iii)")</f>
        <v>B2ab(iii)</v>
      </c>
      <c r="X17730" s="5" t="s">
        <v>374</v>
      </c>
      <c r="AE17730" s="4" t="str">
        <f>HYPERLINK("#SCAP!A"&amp;_xlfn.XMATCH("A",SCAP!A:A,2,1),"A")</f>
        <v>A</v>
      </c>
      <c r="AH17730" s="4" t="str">
        <f>HYPERLINK("#Statut_biogéographique!A"&amp;_xlfn.XMATCH("P",Statut_biogéographique!A:A,2,1),"P")</f>
        <v>P</v>
      </c>
      <c r="AI17730" s="8" t="s">
        <v>21668</v>
      </c>
      <c r="AJ17730" s="4" t="s">
        <v>21565</v>
      </c>
      <c r="AM17730" s="4" t="s">
        <v>375</v>
      </c>
      <c r="AN17730" s="4" t="s">
        <v>375</v>
      </c>
      <c r="AO17730" s="4" t="s">
        <v>375</v>
      </c>
      <c r="AP17730" s="4" t="s">
        <v>376</v>
      </c>
      <c r="AR17730" s="4" t="s">
        <v>377</v>
      </c>
    </row>
    <row r="17731" spans="1:44">
      <c r="A17731" s="4" t="s">
        <v>10753</v>
      </c>
      <c r="B17731" s="4">
        <v>65356</v>
      </c>
      <c r="D17731" s="5" t="s">
        <v>21669</v>
      </c>
      <c r="E17731" s="6" t="str">
        <f>HYPERLINK("https://inpn.mnhn.fr/espece/cd_nom/65356","Leucorrhinia pectoralis (Charpentier, 1825)")</f>
        <v>Leucorrhinia pectoralis (Charpentier, 1825)</v>
      </c>
      <c r="F17731" s="5" t="s">
        <v>21670</v>
      </c>
      <c r="I17731" s="4" t="str">
        <f>HYPERLINK("#Réglementation!A"&amp;_xlfn.XMATCH("IBE2",Réglementation!A:A,2,1),"IBE2")</f>
        <v>IBE2</v>
      </c>
      <c r="K17731" s="4" t="str">
        <f>HYPERLINK("#Réglementation!A"&amp;_xlfn.XMATCH("CDH2",Réglementation!A:A,2,1),"CDH2 - CDH4")</f>
        <v>CDH2 - CDH4</v>
      </c>
      <c r="L17731" s="4" t="str">
        <f>HYPERLINK("#Réglementation!A"&amp;_xlfn.XMATCH("NI2",Réglementation!A:A,2,1),"NI2")</f>
        <v>NI2</v>
      </c>
      <c r="O17731" s="7" t="str">
        <f>HYPERLINK("#Liste_rouge!A"&amp;_xlfn.XMATCH("LC",Liste_rouge!A:A,2,1),"LC")</f>
        <v>LC</v>
      </c>
      <c r="P17731" s="7" t="str">
        <f>HYPERLINK("#Liste_rouge!A"&amp;_xlfn.XMATCH("LC",Liste_rouge!A:A,2,1),"LC")</f>
        <v>LC</v>
      </c>
      <c r="Q17731" s="7" t="str">
        <f>HYPERLINK("#Liste_rouge!A"&amp;_xlfn.XMATCH("NT",Liste_rouge!A:A,2,1),"NT")</f>
        <v>NT</v>
      </c>
      <c r="T17731" s="7" t="str">
        <f>HYPERLINK("#Liste_rouge!A"&amp;_xlfn.XMATCH("EN",Liste_rouge!A:A,2,1),"EN")</f>
        <v>EN</v>
      </c>
      <c r="V17731" s="7" t="str">
        <f>HYPERLINK("#Liste_rouge!A"&amp;_xlfn.XMATCH("EN",Liste_rouge!A:A,2,1),"EN")</f>
        <v>EN</v>
      </c>
      <c r="W17731" s="4" t="str">
        <f>HYPERLINK("#Critères_liste_rouge!A$1","B2ab(iii)")</f>
        <v>B2ab(iii)</v>
      </c>
      <c r="X17731" s="5" t="s">
        <v>374</v>
      </c>
      <c r="AE17731" s="4" t="str">
        <f>HYPERLINK("#SCAP!A"&amp;_xlfn.XMATCH("1-",SCAP!A:A,2,1),"1-")</f>
        <v>1-</v>
      </c>
      <c r="AF17731" s="4" t="str">
        <f>HYPERLINK("#SCAP!A"&amp;_xlfn.XMATCH("2-",SCAP!A:A,2,1),"2-")</f>
        <v>2-</v>
      </c>
      <c r="AG17731" s="4" t="str">
        <f>HYPERLINK("#SCAP!A"&amp;_xlfn.XMATCH("1-",SCAP!A:A,2,1),"1-")</f>
        <v>1-</v>
      </c>
      <c r="AH17731" s="4" t="str">
        <f>HYPERLINK("#Statut_biogéographique!A"&amp;_xlfn.XMATCH("P",Statut_biogéographique!A:A,2,1),"P")</f>
        <v>P</v>
      </c>
      <c r="AI17731" s="8" t="s">
        <v>21671</v>
      </c>
      <c r="AJ17731" s="4" t="s">
        <v>21556</v>
      </c>
      <c r="AM17731" s="4" t="s">
        <v>375</v>
      </c>
      <c r="AN17731" s="4" t="s">
        <v>375</v>
      </c>
      <c r="AO17731" s="4" t="s">
        <v>375</v>
      </c>
      <c r="AP17731" s="4" t="s">
        <v>376</v>
      </c>
      <c r="AR17731" s="4" t="s">
        <v>377</v>
      </c>
    </row>
    <row r="17732" spans="1:44">
      <c r="A17732" s="4" t="s">
        <v>10753</v>
      </c>
      <c r="B17732" s="4">
        <v>65358</v>
      </c>
      <c r="D17732" s="5" t="s">
        <v>21672</v>
      </c>
      <c r="E17732" s="6" t="str">
        <f>HYPERLINK("https://inpn.mnhn.fr/espece/cd_nom/65358","Leucorrhinia rubicunda (Linnaeus, 1758)")</f>
        <v>Leucorrhinia rubicunda (Linnaeus, 1758)</v>
      </c>
      <c r="F17732" s="5" t="s">
        <v>21673</v>
      </c>
      <c r="O17732" s="7" t="str">
        <f>HYPERLINK("#Liste_rouge!A"&amp;_xlfn.XMATCH("LC",Liste_rouge!A:A,2,1),"LC")</f>
        <v>LC</v>
      </c>
      <c r="P17732" s="7" t="str">
        <f>HYPERLINK("#Liste_rouge!A"&amp;_xlfn.XMATCH("LC",Liste_rouge!A:A,2,1),"LC")</f>
        <v>LC</v>
      </c>
      <c r="Q17732" s="7" t="str">
        <f>HYPERLINK("#Liste_rouge!A"&amp;_xlfn.XMATCH("RE",Liste_rouge!A:A,2,1),"RE")</f>
        <v>RE</v>
      </c>
      <c r="AH17732" s="4" t="str">
        <f>HYPERLINK("#Statut_biogéographique!A"&amp;_xlfn.XMATCH("P",Statut_biogéographique!A:A,2,1),"P")</f>
        <v>P</v>
      </c>
      <c r="AI17732" s="8" t="s">
        <v>21674</v>
      </c>
      <c r="AJ17732" s="4" t="s">
        <v>21565</v>
      </c>
      <c r="AP17732" s="4" t="s">
        <v>376</v>
      </c>
      <c r="AR17732" s="4" t="s">
        <v>377</v>
      </c>
    </row>
    <row r="17733" spans="1:44">
      <c r="A17733" s="4" t="s">
        <v>10753</v>
      </c>
      <c r="B17733" s="4">
        <v>65361</v>
      </c>
      <c r="D17733" s="5" t="s">
        <v>21675</v>
      </c>
      <c r="E17733" s="6" t="str">
        <f>HYPERLINK("https://inpn.mnhn.fr/espece/cd_nom/65361","Leucorrhinia caudalis (Charpentier, 1840)")</f>
        <v>Leucorrhinia caudalis (Charpentier, 1840)</v>
      </c>
      <c r="F17733" s="5" t="s">
        <v>21676</v>
      </c>
      <c r="I17733" s="4" t="str">
        <f>HYPERLINK("#Réglementation!A"&amp;_xlfn.XMATCH("IBE2",Réglementation!A:A,2,1),"IBE2")</f>
        <v>IBE2</v>
      </c>
      <c r="K17733" s="4" t="str">
        <f>HYPERLINK("#Réglementation!A"&amp;_xlfn.XMATCH("CDH4",Réglementation!A:A,2,1),"CDH4")</f>
        <v>CDH4</v>
      </c>
      <c r="L17733" s="4" t="str">
        <f>HYPERLINK("#Réglementation!A"&amp;_xlfn.XMATCH("NI2",Réglementation!A:A,2,1),"NI2")</f>
        <v>NI2</v>
      </c>
      <c r="O17733" s="7" t="str">
        <f>HYPERLINK("#Liste_rouge!A"&amp;_xlfn.XMATCH("LC",Liste_rouge!A:A,2,1),"LC")</f>
        <v>LC</v>
      </c>
      <c r="P17733" s="7" t="str">
        <f>HYPERLINK("#Liste_rouge!A"&amp;_xlfn.XMATCH("LC",Liste_rouge!A:A,2,1),"LC")</f>
        <v>LC</v>
      </c>
      <c r="Q17733" s="7" t="str">
        <f>HYPERLINK("#Liste_rouge!A"&amp;_xlfn.XMATCH("LC",Liste_rouge!A:A,2,1),"LC")</f>
        <v>LC</v>
      </c>
      <c r="T17733" s="7" t="str">
        <f>HYPERLINK("#Liste_rouge!A"&amp;_xlfn.XMATCH("VU",Liste_rouge!A:A,2,1),"VU")</f>
        <v>VU</v>
      </c>
      <c r="V17733" s="7" t="str">
        <f>HYPERLINK("#Liste_rouge!A"&amp;_xlfn.XMATCH("CR",Liste_rouge!A:A,2,1),"CR")</f>
        <v>CR</v>
      </c>
      <c r="W17733" s="4" t="str">
        <f>HYPERLINK("#Critères_liste_rouge!A$1","B2ab(iii,iv)")</f>
        <v>B2ab(iii,iv)</v>
      </c>
      <c r="X17733" s="5" t="s">
        <v>374</v>
      </c>
      <c r="AE17733" s="4" t="str">
        <f>HYPERLINK("#SCAP!A"&amp;_xlfn.XMATCH("1+",SCAP!A:A,2,1),"1+")</f>
        <v>1+</v>
      </c>
      <c r="AF17733" s="4" t="str">
        <f>HYPERLINK("#SCAP!A"&amp;_xlfn.XMATCH("1-",SCAP!A:A,2,1),"1-")</f>
        <v>1-</v>
      </c>
      <c r="AG17733" s="4" t="str">
        <f>HYPERLINK("#SCAP!A"&amp;_xlfn.XMATCH("1-",SCAP!A:A,2,1),"1-")</f>
        <v>1-</v>
      </c>
      <c r="AH17733" s="4" t="str">
        <f>HYPERLINK("#Statut_biogéographique!A"&amp;_xlfn.XMATCH("P",Statut_biogéographique!A:A,2,1),"P")</f>
        <v>P</v>
      </c>
      <c r="AI17733" s="8" t="s">
        <v>21677</v>
      </c>
      <c r="AJ17733" s="4" t="s">
        <v>21556</v>
      </c>
      <c r="AM17733" s="4" t="s">
        <v>375</v>
      </c>
      <c r="AN17733" s="4" t="s">
        <v>375</v>
      </c>
      <c r="AO17733" s="4" t="s">
        <v>375</v>
      </c>
      <c r="AP17733" s="4" t="s">
        <v>376</v>
      </c>
      <c r="AR17733" s="4" t="s">
        <v>377</v>
      </c>
    </row>
    <row r="17734" spans="1:44">
      <c r="A17734" s="4" t="s">
        <v>10753</v>
      </c>
      <c r="B17734" s="4">
        <v>65366</v>
      </c>
      <c r="D17734" s="5" t="s">
        <v>21678</v>
      </c>
      <c r="E17734" s="6" t="str">
        <f>HYPERLINK("https://inpn.mnhn.fr/espece/cd_nom/65366","Leucorrhinia albifrons (Burmeister, 1839)")</f>
        <v>Leucorrhinia albifrons (Burmeister, 1839)</v>
      </c>
      <c r="F17734" s="5" t="s">
        <v>21679</v>
      </c>
      <c r="I17734" s="4" t="str">
        <f>HYPERLINK("#Réglementation!A"&amp;_xlfn.XMATCH("IBE2",Réglementation!A:A,2,1),"IBE2")</f>
        <v>IBE2</v>
      </c>
      <c r="K17734" s="4" t="str">
        <f>HYPERLINK("#Réglementation!A"&amp;_xlfn.XMATCH("CDH4",Réglementation!A:A,2,1),"CDH4")</f>
        <v>CDH4</v>
      </c>
      <c r="L17734" s="4" t="str">
        <f>HYPERLINK("#Réglementation!A"&amp;_xlfn.XMATCH("NI2",Réglementation!A:A,2,1),"NI2")</f>
        <v>NI2</v>
      </c>
      <c r="O17734" s="7" t="str">
        <f>HYPERLINK("#Liste_rouge!A"&amp;_xlfn.XMATCH("LC",Liste_rouge!A:A,2,1),"LC")</f>
        <v>LC</v>
      </c>
      <c r="P17734" s="7" t="str">
        <f>HYPERLINK("#Liste_rouge!A"&amp;_xlfn.XMATCH("LC",Liste_rouge!A:A,2,1),"LC")</f>
        <v>LC</v>
      </c>
      <c r="Q17734" s="7" t="str">
        <f>HYPERLINK("#Liste_rouge!A"&amp;_xlfn.XMATCH("NT",Liste_rouge!A:A,2,1),"NT")</f>
        <v>NT</v>
      </c>
      <c r="V17734" s="7" t="str">
        <f>HYPERLINK("#Liste_rouge!A"&amp;_xlfn.XMATCH("EN",Liste_rouge!A:A,2,1),"EN")</f>
        <v>EN</v>
      </c>
      <c r="W17734" s="4" t="str">
        <f>HYPERLINK("#Critères_liste_rouge!A$1","B2ab(iii)")</f>
        <v>B2ab(iii)</v>
      </c>
      <c r="X17734" s="5" t="s">
        <v>374</v>
      </c>
      <c r="AE17734" s="4" t="str">
        <f>HYPERLINK("#SCAP!A"&amp;_xlfn.XMATCH("1+",SCAP!A:A,2,1),"1+")</f>
        <v>1+</v>
      </c>
      <c r="AG17734" s="4" t="str">
        <f>HYPERLINK("#SCAP!A"&amp;_xlfn.XMATCH("1-",SCAP!A:A,2,1),"1-")</f>
        <v>1-</v>
      </c>
      <c r="AH17734" s="4" t="str">
        <f>HYPERLINK("#Statut_biogéographique!A"&amp;_xlfn.XMATCH("P",Statut_biogéographique!A:A,2,1),"P")</f>
        <v>P</v>
      </c>
      <c r="AI17734" s="8" t="s">
        <v>21680</v>
      </c>
      <c r="AJ17734" s="4" t="s">
        <v>21556</v>
      </c>
      <c r="AM17734" s="4" t="s">
        <v>375</v>
      </c>
      <c r="AN17734" s="4" t="s">
        <v>375</v>
      </c>
      <c r="AO17734" s="4" t="s">
        <v>375</v>
      </c>
      <c r="AP17734" s="4" t="s">
        <v>376</v>
      </c>
      <c r="AR17734" s="4" t="s">
        <v>377</v>
      </c>
    </row>
    <row r="17735" spans="1:44">
      <c r="A17735" s="4" t="s">
        <v>10753</v>
      </c>
      <c r="B17735" s="4">
        <v>65376</v>
      </c>
      <c r="D17735" s="5" t="s">
        <v>21681</v>
      </c>
      <c r="E17735" s="6" t="str">
        <f>HYPERLINK("https://inpn.mnhn.fr/espece/cd_nom/65376","Cordulia aenea (Linnaeus, 1758)")</f>
        <v>Cordulia aenea (Linnaeus, 1758)</v>
      </c>
      <c r="F17735" s="5" t="s">
        <v>21682</v>
      </c>
      <c r="O17735" s="7" t="str">
        <f>HYPERLINK("#Liste_rouge!A"&amp;_xlfn.XMATCH("LC",Liste_rouge!A:A,2,1),"LC")</f>
        <v>LC</v>
      </c>
      <c r="P17735" s="7" t="str">
        <f>HYPERLINK("#Liste_rouge!A"&amp;_xlfn.XMATCH("LC",Liste_rouge!A:A,2,1),"LC")</f>
        <v>LC</v>
      </c>
      <c r="Q17735" s="7" t="str">
        <f>HYPERLINK("#Liste_rouge!A"&amp;_xlfn.XMATCH("LC",Liste_rouge!A:A,2,1),"LC")</f>
        <v>LC</v>
      </c>
      <c r="T17735" s="7" t="str">
        <f>HYPERLINK("#Liste_rouge!A"&amp;_xlfn.XMATCH("LC",Liste_rouge!A:A,2,1),"LC")</f>
        <v>LC</v>
      </c>
      <c r="V17735" s="7" t="str">
        <f>HYPERLINK("#Liste_rouge!A"&amp;_xlfn.XMATCH("LC",Liste_rouge!A:A,2,1),"LC")</f>
        <v>LC</v>
      </c>
      <c r="AH17735" s="4" t="str">
        <f>HYPERLINK("#Statut_biogéographique!A"&amp;_xlfn.XMATCH("P",Statut_biogéographique!A:A,2,1),"P")</f>
        <v>P</v>
      </c>
      <c r="AM17735" s="4" t="s">
        <v>375</v>
      </c>
      <c r="AN17735" s="4" t="s">
        <v>375</v>
      </c>
      <c r="AO17735" s="4" t="s">
        <v>375</v>
      </c>
      <c r="AP17735" s="4" t="s">
        <v>376</v>
      </c>
      <c r="AR17735" s="4" t="s">
        <v>377</v>
      </c>
    </row>
    <row r="17736" spans="1:44" ht="30">
      <c r="A17736" s="4" t="s">
        <v>10753</v>
      </c>
      <c r="B17736" s="4">
        <v>653777</v>
      </c>
      <c r="D17736" s="5" t="s">
        <v>21683</v>
      </c>
      <c r="E17736" s="6" t="str">
        <f>HYPERLINK("https://inpn.mnhn.fr/espece/cd_nom/653777","Dasypoda hirtipes (Fabricius, 1793)")</f>
        <v>Dasypoda hirtipes (Fabricius, 1793)</v>
      </c>
      <c r="P17736" s="7" t="str">
        <f>HYPERLINK("#Liste_rouge!A"&amp;_xlfn.XMATCH("LC",Liste_rouge!A:A,2,1),"LC")</f>
        <v>LC</v>
      </c>
      <c r="AH17736" s="4" t="str">
        <f>HYPERLINK("#Statut_biogéographique!A"&amp;_xlfn.XMATCH("P",Statut_biogéographique!A:A,2,1),"P")</f>
        <v>P</v>
      </c>
      <c r="AP17736" s="4" t="s">
        <v>376</v>
      </c>
      <c r="AR17736" s="4" t="s">
        <v>377</v>
      </c>
    </row>
    <row r="17737" spans="1:44" ht="30">
      <c r="A17737" s="4" t="s">
        <v>10753</v>
      </c>
      <c r="B17737" s="4">
        <v>65381</v>
      </c>
      <c r="D17737" s="5" t="s">
        <v>21684</v>
      </c>
      <c r="E17737" s="6" t="str">
        <f>HYPERLINK("https://inpn.mnhn.fr/espece/cd_nom/65381","Oxygastra curtisii (Dale, 1834)")</f>
        <v>Oxygastra curtisii (Dale, 1834)</v>
      </c>
      <c r="F17737" s="5" t="s">
        <v>21685</v>
      </c>
      <c r="I17737" s="4" t="str">
        <f>HYPERLINK("#Réglementation!A"&amp;_xlfn.XMATCH("IBE2",Réglementation!A:A,2,1),"IBE2")</f>
        <v>IBE2</v>
      </c>
      <c r="K17737" s="4" t="str">
        <f>HYPERLINK("#Réglementation!A"&amp;_xlfn.XMATCH("CDH2",Réglementation!A:A,2,1),"CDH2 - CDH4")</f>
        <v>CDH2 - CDH4</v>
      </c>
      <c r="L17737" s="4" t="str">
        <f>HYPERLINK("#Réglementation!A"&amp;_xlfn.XMATCH("NI2",Réglementation!A:A,2,1),"NI2")</f>
        <v>NI2</v>
      </c>
      <c r="O17737" s="7" t="str">
        <f>HYPERLINK("#Liste_rouge!A"&amp;_xlfn.XMATCH("LC",Liste_rouge!A:A,2,1),"LC")</f>
        <v>LC</v>
      </c>
      <c r="P17737" s="7" t="str">
        <f>HYPERLINK("#Liste_rouge!A"&amp;_xlfn.XMATCH("NT",Liste_rouge!A:A,2,1),"NT")</f>
        <v>NT</v>
      </c>
      <c r="Q17737" s="7" t="str">
        <f>HYPERLINK("#Liste_rouge!A"&amp;_xlfn.XMATCH("LC",Liste_rouge!A:A,2,1),"LC")</f>
        <v>LC</v>
      </c>
      <c r="T17737" s="7" t="str">
        <f>HYPERLINK("#Liste_rouge!A"&amp;_xlfn.XMATCH("NT",Liste_rouge!A:A,2,1),"NT")</f>
        <v>NT</v>
      </c>
      <c r="V17737" s="7" t="str">
        <f>HYPERLINK("#Liste_rouge!A"&amp;_xlfn.XMATCH("VU",Liste_rouge!A:A,2,1),"VU")</f>
        <v>VU</v>
      </c>
      <c r="W17737" s="4" t="str">
        <f>HYPERLINK("#Critères_liste_rouge!A$1","B2ab(iii)")</f>
        <v>B2ab(iii)</v>
      </c>
      <c r="X17737" s="5" t="s">
        <v>374</v>
      </c>
      <c r="AE17737" s="4" t="str">
        <f>HYPERLINK("#SCAP!A"&amp;_xlfn.XMATCH("A",SCAP!A:A,2,1),"A")</f>
        <v>A</v>
      </c>
      <c r="AH17737" s="4" t="str">
        <f>HYPERLINK("#Statut_biogéographique!A"&amp;_xlfn.XMATCH("P",Statut_biogéographique!A:A,2,1),"P")</f>
        <v>P</v>
      </c>
      <c r="AI17737" s="8" t="s">
        <v>21686</v>
      </c>
      <c r="AJ17737" s="4" t="s">
        <v>21556</v>
      </c>
      <c r="AM17737" s="4" t="s">
        <v>375</v>
      </c>
      <c r="AN17737" s="4" t="s">
        <v>375</v>
      </c>
      <c r="AO17737" s="4" t="s">
        <v>375</v>
      </c>
      <c r="AP17737" s="4" t="s">
        <v>376</v>
      </c>
      <c r="AR17737" s="4" t="s">
        <v>377</v>
      </c>
    </row>
    <row r="17738" spans="1:44" ht="30">
      <c r="A17738" s="4" t="s">
        <v>10753</v>
      </c>
      <c r="B17738" s="4">
        <v>653829</v>
      </c>
      <c r="D17738" s="5" t="s">
        <v>21687</v>
      </c>
      <c r="E17738" s="6" t="str">
        <f>HYPERLINK("https://inpn.mnhn.fr/espece/cd_nom/653829","Calopteryx splendens splendens (Harris, 1780)")</f>
        <v>Calopteryx splendens splendens (Harris, 1780)</v>
      </c>
      <c r="F17738" s="5" t="s">
        <v>21651</v>
      </c>
      <c r="T17738" s="7" t="str">
        <f>HYPERLINK("#Liste_rouge!A"&amp;_xlfn.XMATCH("LC",Liste_rouge!A:A,2,1),"LC")</f>
        <v>LC</v>
      </c>
      <c r="AH17738" s="4" t="str">
        <f>HYPERLINK("#Statut_biogéographique!A"&amp;_xlfn.XMATCH("P",Statut_biogéographique!A:A,2,1),"P")</f>
        <v>P</v>
      </c>
      <c r="AP17738" s="4" t="s">
        <v>376</v>
      </c>
      <c r="AR17738" s="4" t="s">
        <v>377</v>
      </c>
    </row>
    <row r="17739" spans="1:44" ht="30">
      <c r="A17739" s="4" t="s">
        <v>10753</v>
      </c>
      <c r="B17739" s="4">
        <v>65387</v>
      </c>
      <c r="D17739" s="5" t="s">
        <v>21688</v>
      </c>
      <c r="E17739" s="6" t="str">
        <f>HYPERLINK("https://inpn.mnhn.fr/espece/cd_nom/65387","Epitheca bimaculata (Charpentier, 1825)")</f>
        <v>Epitheca bimaculata (Charpentier, 1825)</v>
      </c>
      <c r="F17739" s="5" t="s">
        <v>21689</v>
      </c>
      <c r="O17739" s="7" t="str">
        <f>HYPERLINK("#Liste_rouge!A"&amp;_xlfn.XMATCH("LC",Liste_rouge!A:A,2,1),"LC")</f>
        <v>LC</v>
      </c>
      <c r="P17739" s="7" t="str">
        <f>HYPERLINK("#Liste_rouge!A"&amp;_xlfn.XMATCH("LC",Liste_rouge!A:A,2,1),"LC")</f>
        <v>LC</v>
      </c>
      <c r="Q17739" s="7" t="str">
        <f>HYPERLINK("#Liste_rouge!A"&amp;_xlfn.XMATCH("LC",Liste_rouge!A:A,2,1),"LC")</f>
        <v>LC</v>
      </c>
      <c r="T17739" s="7" t="str">
        <f>HYPERLINK("#Liste_rouge!A"&amp;_xlfn.XMATCH("NT",Liste_rouge!A:A,2,1),"NT")</f>
        <v>NT</v>
      </c>
      <c r="V17739" s="7" t="str">
        <f>HYPERLINK("#Liste_rouge!A"&amp;_xlfn.XMATCH("VU",Liste_rouge!A:A,2,1),"VU")</f>
        <v>VU</v>
      </c>
      <c r="W17739" s="4" t="str">
        <f>HYPERLINK("#Critères_liste_rouge!A$1","B2ab(iii)")</f>
        <v>B2ab(iii)</v>
      </c>
      <c r="X17739" s="5" t="s">
        <v>398</v>
      </c>
      <c r="AE17739" s="4" t="str">
        <f>HYPERLINK("#SCAP!A"&amp;_xlfn.XMATCH("A",SCAP!A:A,2,1),"A")</f>
        <v>A</v>
      </c>
      <c r="AH17739" s="4" t="str">
        <f>HYPERLINK("#Statut_biogéographique!A"&amp;_xlfn.XMATCH("P",Statut_biogéographique!A:A,2,1),"P")</f>
        <v>P</v>
      </c>
      <c r="AM17739" s="4" t="s">
        <v>375</v>
      </c>
      <c r="AN17739" s="4" t="s">
        <v>375</v>
      </c>
      <c r="AO17739" s="4" t="s">
        <v>375</v>
      </c>
      <c r="AP17739" s="4" t="s">
        <v>376</v>
      </c>
      <c r="AR17739" s="4" t="s">
        <v>377</v>
      </c>
    </row>
    <row r="17740" spans="1:44">
      <c r="A17740" s="4" t="s">
        <v>10753</v>
      </c>
      <c r="B17740" s="4">
        <v>65391</v>
      </c>
      <c r="D17740" s="5" t="s">
        <v>21690</v>
      </c>
      <c r="E17740" s="6" t="str">
        <f>HYPERLINK("https://inpn.mnhn.fr/espece/cd_nom/65391","Somatochlora alpestris (Selys, 1840)")</f>
        <v>Somatochlora alpestris (Selys, 1840)</v>
      </c>
      <c r="F17740" s="5" t="s">
        <v>21691</v>
      </c>
      <c r="O17740" s="7" t="str">
        <f>HYPERLINK("#Liste_rouge!A"&amp;_xlfn.XMATCH("LC",Liste_rouge!A:A,2,1),"LC")</f>
        <v>LC</v>
      </c>
      <c r="P17740" s="7" t="str">
        <f>HYPERLINK("#Liste_rouge!A"&amp;_xlfn.XMATCH("LC",Liste_rouge!A:A,2,1),"LC")</f>
        <v>LC</v>
      </c>
      <c r="Q17740" s="7" t="str">
        <f>HYPERLINK("#Liste_rouge!A"&amp;_xlfn.XMATCH("NT",Liste_rouge!A:A,2,1),"NT")</f>
        <v>NT</v>
      </c>
      <c r="V17740" s="7" t="str">
        <f>HYPERLINK("#Liste_rouge!A"&amp;_xlfn.XMATCH("CR",Liste_rouge!A:A,2,1),"CR")</f>
        <v>CR</v>
      </c>
      <c r="W17740" s="4" t="str">
        <f>HYPERLINK("#Critères_liste_rouge!A$1","A2cB2ab(iii,iv,v)")</f>
        <v>A2cB2ab(iii,iv,v)</v>
      </c>
      <c r="X17740" s="5" t="s">
        <v>374</v>
      </c>
      <c r="AD17740" s="4" t="s">
        <v>11319</v>
      </c>
      <c r="AE17740" s="4" t="str">
        <f>HYPERLINK("#SCAP!A"&amp;_xlfn.XMATCH("A",SCAP!A:A,2,1),"A")</f>
        <v>A</v>
      </c>
      <c r="AH17740" s="4" t="str">
        <f>HYPERLINK("#Statut_biogéographique!A"&amp;_xlfn.XMATCH("P",Statut_biogéographique!A:A,2,1),"P")</f>
        <v>P</v>
      </c>
      <c r="AI17740" s="8" t="s">
        <v>21692</v>
      </c>
      <c r="AJ17740" s="4" t="s">
        <v>21565</v>
      </c>
      <c r="AM17740" s="4" t="s">
        <v>375</v>
      </c>
      <c r="AN17740" s="4" t="s">
        <v>382</v>
      </c>
      <c r="AO17740" s="4" t="s">
        <v>382</v>
      </c>
      <c r="AP17740" s="4" t="s">
        <v>376</v>
      </c>
      <c r="AR17740" s="4" t="s">
        <v>377</v>
      </c>
    </row>
    <row r="17741" spans="1:44" ht="30">
      <c r="A17741" s="4" t="s">
        <v>10753</v>
      </c>
      <c r="B17741" s="4">
        <v>65393</v>
      </c>
      <c r="D17741" s="5" t="s">
        <v>21693</v>
      </c>
      <c r="E17741" s="6" t="str">
        <f>HYPERLINK("https://inpn.mnhn.fr/espece/cd_nom/65393","Somatochlora metallica (Vander Linden, 1825)")</f>
        <v>Somatochlora metallica (Vander Linden, 1825)</v>
      </c>
      <c r="F17741" s="5" t="s">
        <v>21694</v>
      </c>
      <c r="O17741" s="7" t="str">
        <f>HYPERLINK("#Liste_rouge!A"&amp;_xlfn.XMATCH("LC",Liste_rouge!A:A,2,1),"LC")</f>
        <v>LC</v>
      </c>
      <c r="P17741" s="7" t="str">
        <f>HYPERLINK("#Liste_rouge!A"&amp;_xlfn.XMATCH("LC",Liste_rouge!A:A,2,1),"LC")</f>
        <v>LC</v>
      </c>
      <c r="Q17741" s="7" t="str">
        <f>HYPERLINK("#Liste_rouge!A"&amp;_xlfn.XMATCH("LC",Liste_rouge!A:A,2,1),"LC")</f>
        <v>LC</v>
      </c>
      <c r="T17741" s="7" t="str">
        <f>HYPERLINK("#Liste_rouge!A"&amp;_xlfn.XMATCH("NT",Liste_rouge!A:A,2,1),"NT")</f>
        <v>NT</v>
      </c>
      <c r="V17741" s="7" t="str">
        <f>HYPERLINK("#Liste_rouge!A"&amp;_xlfn.XMATCH("LC",Liste_rouge!A:A,2,1),"LC")</f>
        <v>LC</v>
      </c>
      <c r="X17741" s="5" t="s">
        <v>398</v>
      </c>
      <c r="AH17741" s="4" t="str">
        <f>HYPERLINK("#Statut_biogéographique!A"&amp;_xlfn.XMATCH("P",Statut_biogéographique!A:A,2,1),"P")</f>
        <v>P</v>
      </c>
      <c r="AM17741" s="4" t="s">
        <v>375</v>
      </c>
      <c r="AN17741" s="4" t="s">
        <v>375</v>
      </c>
      <c r="AO17741" s="4" t="s">
        <v>375</v>
      </c>
      <c r="AP17741" s="4" t="s">
        <v>376</v>
      </c>
      <c r="AR17741" s="4" t="s">
        <v>377</v>
      </c>
    </row>
    <row r="17742" spans="1:44" ht="45">
      <c r="A17742" s="4" t="s">
        <v>10753</v>
      </c>
      <c r="B17742" s="4">
        <v>65395</v>
      </c>
      <c r="D17742" s="5" t="s">
        <v>21695</v>
      </c>
      <c r="E17742" s="6" t="str">
        <f>HYPERLINK("https://inpn.mnhn.fr/espece/cd_nom/65395","Somatochlora flavomaculata (Vander Linden, 1825)")</f>
        <v>Somatochlora flavomaculata (Vander Linden, 1825)</v>
      </c>
      <c r="F17742" s="5" t="s">
        <v>21696</v>
      </c>
      <c r="O17742" s="7" t="str">
        <f>HYPERLINK("#Liste_rouge!A"&amp;_xlfn.XMATCH("LC",Liste_rouge!A:A,2,1),"LC")</f>
        <v>LC</v>
      </c>
      <c r="P17742" s="7" t="str">
        <f>HYPERLINK("#Liste_rouge!A"&amp;_xlfn.XMATCH("LC",Liste_rouge!A:A,2,1),"LC")</f>
        <v>LC</v>
      </c>
      <c r="Q17742" s="7" t="str">
        <f>HYPERLINK("#Liste_rouge!A"&amp;_xlfn.XMATCH("LC",Liste_rouge!A:A,2,1),"LC")</f>
        <v>LC</v>
      </c>
      <c r="T17742" s="7" t="str">
        <f>HYPERLINK("#Liste_rouge!A"&amp;_xlfn.XMATCH("VU",Liste_rouge!A:A,2,1),"VU")</f>
        <v>VU</v>
      </c>
      <c r="V17742" s="7" t="str">
        <f>HYPERLINK("#Liste_rouge!A"&amp;_xlfn.XMATCH("NT",Liste_rouge!A:A,2,1),"NT")</f>
        <v>NT</v>
      </c>
      <c r="W17742" s="4" t="str">
        <f>HYPERLINK("#Critères_liste_rouge!A$1","pr.A2c")</f>
        <v>pr.A2c</v>
      </c>
      <c r="X17742" s="5" t="s">
        <v>12755</v>
      </c>
      <c r="Y17742" s="5" t="s">
        <v>12784</v>
      </c>
      <c r="AH17742" s="4" t="str">
        <f>HYPERLINK("#Statut_biogéographique!A"&amp;_xlfn.XMATCH("P",Statut_biogéographique!A:A,2,1),"P")</f>
        <v>P</v>
      </c>
      <c r="AM17742" s="4" t="s">
        <v>375</v>
      </c>
      <c r="AN17742" s="4" t="s">
        <v>375</v>
      </c>
      <c r="AO17742" s="4" t="s">
        <v>375</v>
      </c>
      <c r="AP17742" s="4" t="s">
        <v>376</v>
      </c>
      <c r="AR17742" s="4" t="s">
        <v>377</v>
      </c>
    </row>
    <row r="17743" spans="1:44">
      <c r="A17743" s="4" t="s">
        <v>10753</v>
      </c>
      <c r="B17743" s="4">
        <v>65397</v>
      </c>
      <c r="D17743" s="5" t="s">
        <v>21697</v>
      </c>
      <c r="E17743" s="6" t="str">
        <f>HYPERLINK("https://inpn.mnhn.fr/espece/cd_nom/65397","Somatochlora arctica (Zetterstedt, 1840)")</f>
        <v>Somatochlora arctica (Zetterstedt, 1840)</v>
      </c>
      <c r="F17743" s="5" t="s">
        <v>21698</v>
      </c>
      <c r="O17743" s="7" t="str">
        <f>HYPERLINK("#Liste_rouge!A"&amp;_xlfn.XMATCH("LC",Liste_rouge!A:A,2,1),"LC")</f>
        <v>LC</v>
      </c>
      <c r="P17743" s="7" t="str">
        <f>HYPERLINK("#Liste_rouge!A"&amp;_xlfn.XMATCH("LC",Liste_rouge!A:A,2,1),"LC")</f>
        <v>LC</v>
      </c>
      <c r="Q17743" s="7" t="str">
        <f>HYPERLINK("#Liste_rouge!A"&amp;_xlfn.XMATCH("NT",Liste_rouge!A:A,2,1),"NT")</f>
        <v>NT</v>
      </c>
      <c r="T17743" s="7" t="str">
        <f>HYPERLINK("#Liste_rouge!A"&amp;_xlfn.XMATCH("CR",Liste_rouge!A:A,2,1),"CR")</f>
        <v>CR</v>
      </c>
      <c r="V17743" s="7" t="str">
        <f>HYPERLINK("#Liste_rouge!A"&amp;_xlfn.XMATCH("VU",Liste_rouge!A:A,2,1),"VU")</f>
        <v>VU</v>
      </c>
      <c r="W17743" s="4" t="str">
        <f>HYPERLINK("#Critères_liste_rouge!A$1","B2ab(iii)")</f>
        <v>B2ab(iii)</v>
      </c>
      <c r="X17743" s="5" t="s">
        <v>374</v>
      </c>
      <c r="AE17743" s="4" t="str">
        <f>HYPERLINK("#SCAP!A"&amp;_xlfn.XMATCH("A",SCAP!A:A,2,1),"A")</f>
        <v>A</v>
      </c>
      <c r="AF17743" s="4" t="str">
        <f>HYPERLINK("#SCAP!A"&amp;_xlfn.XMATCH("A",SCAP!A:A,2,1),"A")</f>
        <v>A</v>
      </c>
      <c r="AH17743" s="4" t="str">
        <f>HYPERLINK("#Statut_biogéographique!A"&amp;_xlfn.XMATCH("P",Statut_biogéographique!A:A,2,1),"P")</f>
        <v>P</v>
      </c>
      <c r="AI17743" s="8" t="s">
        <v>21699</v>
      </c>
      <c r="AJ17743" s="4" t="s">
        <v>21565</v>
      </c>
      <c r="AM17743" s="4" t="s">
        <v>375</v>
      </c>
      <c r="AN17743" s="4" t="s">
        <v>375</v>
      </c>
      <c r="AO17743" s="4" t="s">
        <v>375</v>
      </c>
      <c r="AP17743" s="4" t="s">
        <v>376</v>
      </c>
      <c r="AR17743" s="4" t="s">
        <v>377</v>
      </c>
    </row>
    <row r="17744" spans="1:44">
      <c r="A17744" s="4" t="s">
        <v>10753</v>
      </c>
      <c r="B17744" s="4">
        <v>65412</v>
      </c>
      <c r="D17744" s="5" t="s">
        <v>21700</v>
      </c>
      <c r="E17744" s="6" t="str">
        <f>HYPERLINK("https://inpn.mnhn.fr/espece/cd_nom/65412","Boyeria irene (Boyer de Fonscolombe, 1838)")</f>
        <v>Boyeria irene (Boyer de Fonscolombe, 1838)</v>
      </c>
      <c r="F17744" s="5" t="s">
        <v>21701</v>
      </c>
      <c r="O17744" s="7" t="str">
        <f>HYPERLINK("#Liste_rouge!A"&amp;_xlfn.XMATCH("LC",Liste_rouge!A:A,2,1),"LC")</f>
        <v>LC</v>
      </c>
      <c r="P17744" s="7" t="str">
        <f>HYPERLINK("#Liste_rouge!A"&amp;_xlfn.XMATCH("LC",Liste_rouge!A:A,2,1),"LC")</f>
        <v>LC</v>
      </c>
      <c r="Q17744" s="7" t="str">
        <f>HYPERLINK("#Liste_rouge!A"&amp;_xlfn.XMATCH("LC",Liste_rouge!A:A,2,1),"LC")</f>
        <v>LC</v>
      </c>
      <c r="T17744" s="7" t="str">
        <f>HYPERLINK("#Liste_rouge!A"&amp;_xlfn.XMATCH("LC",Liste_rouge!A:A,2,1),"LC")</f>
        <v>LC</v>
      </c>
      <c r="V17744" s="7" t="str">
        <f>HYPERLINK("#Liste_rouge!A"&amp;_xlfn.XMATCH("NT",Liste_rouge!A:A,2,1),"NT")</f>
        <v>NT</v>
      </c>
      <c r="W17744" s="4" t="str">
        <f>HYPERLINK("#Critères_liste_rouge!A$1","pr.A3c")</f>
        <v>pr.A3c</v>
      </c>
      <c r="X17744" s="5" t="s">
        <v>398</v>
      </c>
      <c r="AH17744" s="4" t="str">
        <f>HYPERLINK("#Statut_biogéographique!A"&amp;_xlfn.XMATCH("P",Statut_biogéographique!A:A,2,1),"P")</f>
        <v>P</v>
      </c>
      <c r="AM17744" s="4" t="s">
        <v>375</v>
      </c>
      <c r="AN17744" s="4" t="s">
        <v>375</v>
      </c>
      <c r="AO17744" s="4" t="s">
        <v>375</v>
      </c>
      <c r="AP17744" s="4" t="s">
        <v>376</v>
      </c>
      <c r="AR17744" s="4" t="s">
        <v>377</v>
      </c>
    </row>
    <row r="17745" spans="1:44">
      <c r="A17745" s="4" t="s">
        <v>10753</v>
      </c>
      <c r="B17745" s="4">
        <v>65415</v>
      </c>
      <c r="D17745" s="5" t="s">
        <v>21702</v>
      </c>
      <c r="E17745" s="6" t="str">
        <f>HYPERLINK("https://inpn.mnhn.fr/espece/cd_nom/65415","Brachytron pratense (O.F. Müller, 1764)")</f>
        <v>Brachytron pratense (O.F. Müller, 1764)</v>
      </c>
      <c r="F17745" s="5" t="s">
        <v>21703</v>
      </c>
      <c r="O17745" s="7" t="str">
        <f>HYPERLINK("#Liste_rouge!A"&amp;_xlfn.XMATCH("LC",Liste_rouge!A:A,2,1),"LC")</f>
        <v>LC</v>
      </c>
      <c r="P17745" s="7" t="str">
        <f>HYPERLINK("#Liste_rouge!A"&amp;_xlfn.XMATCH("LC",Liste_rouge!A:A,2,1),"LC")</f>
        <v>LC</v>
      </c>
      <c r="Q17745" s="7" t="str">
        <f>HYPERLINK("#Liste_rouge!A"&amp;_xlfn.XMATCH("LC",Liste_rouge!A:A,2,1),"LC")</f>
        <v>LC</v>
      </c>
      <c r="T17745" s="7" t="str">
        <f>HYPERLINK("#Liste_rouge!A"&amp;_xlfn.XMATCH("LC",Liste_rouge!A:A,2,1),"LC")</f>
        <v>LC</v>
      </c>
      <c r="V17745" s="7" t="str">
        <f>HYPERLINK("#Liste_rouge!A"&amp;_xlfn.XMATCH("LC",Liste_rouge!A:A,2,1),"LC")</f>
        <v>LC</v>
      </c>
      <c r="AH17745" s="4" t="str">
        <f>HYPERLINK("#Statut_biogéographique!A"&amp;_xlfn.XMATCH("P",Statut_biogéographique!A:A,2,1),"P")</f>
        <v>P</v>
      </c>
      <c r="AM17745" s="4" t="s">
        <v>375</v>
      </c>
      <c r="AN17745" s="4" t="s">
        <v>375</v>
      </c>
      <c r="AO17745" s="4" t="s">
        <v>375</v>
      </c>
      <c r="AP17745" s="4" t="s">
        <v>376</v>
      </c>
      <c r="AR17745" s="4" t="s">
        <v>377</v>
      </c>
    </row>
    <row r="17746" spans="1:44" ht="30">
      <c r="A17746" s="4" t="s">
        <v>10753</v>
      </c>
      <c r="B17746" s="4">
        <v>65425</v>
      </c>
      <c r="D17746" s="5" t="s">
        <v>21704</v>
      </c>
      <c r="E17746" s="6" t="str">
        <f>HYPERLINK("https://inpn.mnhn.fr/espece/cd_nom/65425","Aeshna juncea (Linnaeus, 1758)")</f>
        <v>Aeshna juncea (Linnaeus, 1758)</v>
      </c>
      <c r="F17746" s="5" t="s">
        <v>21705</v>
      </c>
      <c r="O17746" s="7" t="str">
        <f>HYPERLINK("#Liste_rouge!A"&amp;_xlfn.XMATCH("LC",Liste_rouge!A:A,2,1),"LC")</f>
        <v>LC</v>
      </c>
      <c r="P17746" s="7" t="str">
        <f>HYPERLINK("#Liste_rouge!A"&amp;_xlfn.XMATCH("LC",Liste_rouge!A:A,2,1),"LC")</f>
        <v>LC</v>
      </c>
      <c r="Q17746" s="7" t="str">
        <f>HYPERLINK("#Liste_rouge!A"&amp;_xlfn.XMATCH("NT",Liste_rouge!A:A,2,1),"NT")</f>
        <v>NT</v>
      </c>
      <c r="T17746" s="7" t="str">
        <f>HYPERLINK("#Liste_rouge!A"&amp;_xlfn.XMATCH("NE",Liste_rouge!A:A,2,1),"NE")</f>
        <v>NE</v>
      </c>
      <c r="V17746" s="7" t="str">
        <f>HYPERLINK("#Liste_rouge!A"&amp;_xlfn.XMATCH("NT",Liste_rouge!A:A,2,1),"NT")</f>
        <v>NT</v>
      </c>
      <c r="W17746" s="4" t="str">
        <f>HYPERLINK("#Critères_liste_rouge!A$1","pr.A2c")</f>
        <v>pr.A2c</v>
      </c>
      <c r="X17746" s="5" t="s">
        <v>374</v>
      </c>
      <c r="AH17746" s="4" t="str">
        <f>HYPERLINK("#Statut_biogéographique!A"&amp;_xlfn.XMATCH("P",Statut_biogéographique!A:A,2,1),"P")</f>
        <v>P</v>
      </c>
      <c r="AI17746" s="8" t="s">
        <v>21706</v>
      </c>
      <c r="AJ17746" s="4" t="s">
        <v>21565</v>
      </c>
      <c r="AM17746" s="4" t="s">
        <v>375</v>
      </c>
      <c r="AN17746" s="4" t="s">
        <v>375</v>
      </c>
      <c r="AO17746" s="4" t="s">
        <v>375</v>
      </c>
      <c r="AP17746" s="4" t="s">
        <v>376</v>
      </c>
      <c r="AR17746" s="4" t="s">
        <v>377</v>
      </c>
    </row>
    <row r="17747" spans="1:44">
      <c r="A17747" s="4" t="s">
        <v>10753</v>
      </c>
      <c r="B17747" s="4">
        <v>65432</v>
      </c>
      <c r="D17747" s="5">
        <v>65432</v>
      </c>
      <c r="E17747" s="6" t="str">
        <f>HYPERLINK("https://inpn.mnhn.fr/espece/cd_nom/65432","Aeshna subarctica Walker, 1908")</f>
        <v>Aeshna subarctica Walker, 1908</v>
      </c>
      <c r="O17747" s="7" t="str">
        <f>HYPERLINK("#Liste_rouge!A"&amp;_xlfn.XMATCH("LC",Liste_rouge!A:A,2,1),"LC")</f>
        <v>LC</v>
      </c>
      <c r="Q17747" s="7" t="str">
        <f>HYPERLINK("#Liste_rouge!A"&amp;_xlfn.XMATCH("NT",Liste_rouge!A:A,2,1),"NT")</f>
        <v>NT</v>
      </c>
      <c r="AH17747" s="4" t="str">
        <f>HYPERLINK("#Statut_biogéographique!A"&amp;_xlfn.XMATCH("P",Statut_biogéographique!A:A,2,1),"P")</f>
        <v>P</v>
      </c>
      <c r="AI17747" s="8" t="s">
        <v>21707</v>
      </c>
      <c r="AJ17747" s="4" t="s">
        <v>21565</v>
      </c>
      <c r="AP17747" s="4" t="s">
        <v>376</v>
      </c>
      <c r="AR17747" s="4" t="s">
        <v>377</v>
      </c>
    </row>
    <row r="17748" spans="1:44" ht="30">
      <c r="A17748" s="4" t="s">
        <v>10753</v>
      </c>
      <c r="B17748" s="4">
        <v>65434</v>
      </c>
      <c r="D17748" s="5" t="s">
        <v>21708</v>
      </c>
      <c r="E17748" s="6" t="str">
        <f>HYPERLINK("https://inpn.mnhn.fr/espece/cd_nom/65434","Aeshna subarctica elisabethae Djakonov, 1922")</f>
        <v>Aeshna subarctica elisabethae Djakonov, 1922</v>
      </c>
      <c r="F17748" s="5" t="s">
        <v>21709</v>
      </c>
      <c r="V17748" s="7" t="str">
        <f>HYPERLINK("#Liste_rouge!A"&amp;_xlfn.XMATCH("EN",Liste_rouge!A:A,2,1),"EN")</f>
        <v>EN</v>
      </c>
      <c r="W17748" s="4" t="str">
        <f>HYPERLINK("#Critères_liste_rouge!A$1","B2ab(iii)")</f>
        <v>B2ab(iii)</v>
      </c>
      <c r="X17748" s="5" t="s">
        <v>374</v>
      </c>
      <c r="AE17748" s="4" t="str">
        <f>HYPERLINK("#SCAP!A"&amp;_xlfn.XMATCH("A",SCAP!A:A,2,1),"A")</f>
        <v>A</v>
      </c>
      <c r="AG17748" s="4" t="str">
        <f>HYPERLINK("#SCAP!A"&amp;_xlfn.XMATCH("A",SCAP!A:A,2,1),"A")</f>
        <v>A</v>
      </c>
      <c r="AH17748" s="4" t="str">
        <f>HYPERLINK("#Statut_biogéographique!A"&amp;_xlfn.XMATCH("P",Statut_biogéographique!A:A,2,1),"P")</f>
        <v>P</v>
      </c>
      <c r="AM17748" s="4" t="s">
        <v>375</v>
      </c>
      <c r="AN17748" s="4" t="s">
        <v>382</v>
      </c>
      <c r="AO17748" s="4" t="s">
        <v>382</v>
      </c>
      <c r="AP17748" s="4" t="s">
        <v>376</v>
      </c>
      <c r="AR17748" s="4" t="s">
        <v>377</v>
      </c>
    </row>
    <row r="17749" spans="1:44" ht="30">
      <c r="A17749" s="4" t="s">
        <v>10753</v>
      </c>
      <c r="B17749" s="4">
        <v>65440</v>
      </c>
      <c r="D17749" s="5" t="s">
        <v>21710</v>
      </c>
      <c r="E17749" s="6" t="str">
        <f>HYPERLINK("https://inpn.mnhn.fr/espece/cd_nom/65440","Aeshna cyanea (O.F. Müller, 1764)")</f>
        <v>Aeshna cyanea (O.F. Müller, 1764)</v>
      </c>
      <c r="F17749" s="5" t="s">
        <v>21711</v>
      </c>
      <c r="O17749" s="7" t="str">
        <f>HYPERLINK("#Liste_rouge!A"&amp;_xlfn.XMATCH("LC",Liste_rouge!A:A,2,1),"LC")</f>
        <v>LC</v>
      </c>
      <c r="P17749" s="7" t="str">
        <f>HYPERLINK("#Liste_rouge!A"&amp;_xlfn.XMATCH("LC",Liste_rouge!A:A,2,1),"LC")</f>
        <v>LC</v>
      </c>
      <c r="Q17749" s="7" t="str">
        <f>HYPERLINK("#Liste_rouge!A"&amp;_xlfn.XMATCH("LC",Liste_rouge!A:A,2,1),"LC")</f>
        <v>LC</v>
      </c>
      <c r="T17749" s="7" t="str">
        <f>HYPERLINK("#Liste_rouge!A"&amp;_xlfn.XMATCH("LC",Liste_rouge!A:A,2,1),"LC")</f>
        <v>LC</v>
      </c>
      <c r="V17749" s="7" t="str">
        <f>HYPERLINK("#Liste_rouge!A"&amp;_xlfn.XMATCH("LC",Liste_rouge!A:A,2,1),"LC")</f>
        <v>LC</v>
      </c>
      <c r="AH17749" s="4" t="str">
        <f>HYPERLINK("#Statut_biogéographique!A"&amp;_xlfn.XMATCH("P",Statut_biogéographique!A:A,2,1),"P")</f>
        <v>P</v>
      </c>
      <c r="AM17749" s="4" t="s">
        <v>375</v>
      </c>
      <c r="AN17749" s="4" t="s">
        <v>375</v>
      </c>
      <c r="AO17749" s="4" t="s">
        <v>375</v>
      </c>
      <c r="AP17749" s="4" t="s">
        <v>376</v>
      </c>
      <c r="AR17749" s="4" t="s">
        <v>377</v>
      </c>
    </row>
    <row r="17750" spans="1:44">
      <c r="A17750" s="4" t="s">
        <v>10753</v>
      </c>
      <c r="B17750" s="4">
        <v>65446</v>
      </c>
      <c r="D17750" s="5" t="s">
        <v>21712</v>
      </c>
      <c r="E17750" s="6" t="str">
        <f>HYPERLINK("https://inpn.mnhn.fr/espece/cd_nom/65446","Aeshna grandis (Linnaeus, 1758)")</f>
        <v>Aeshna grandis (Linnaeus, 1758)</v>
      </c>
      <c r="F17750" s="5" t="s">
        <v>21713</v>
      </c>
      <c r="O17750" s="7" t="str">
        <f>HYPERLINK("#Liste_rouge!A"&amp;_xlfn.XMATCH("LC",Liste_rouge!A:A,2,1),"LC")</f>
        <v>LC</v>
      </c>
      <c r="P17750" s="7" t="str">
        <f>HYPERLINK("#Liste_rouge!A"&amp;_xlfn.XMATCH("LC",Liste_rouge!A:A,2,1),"LC")</f>
        <v>LC</v>
      </c>
      <c r="Q17750" s="7" t="str">
        <f>HYPERLINK("#Liste_rouge!A"&amp;_xlfn.XMATCH("LC",Liste_rouge!A:A,2,1),"LC")</f>
        <v>LC</v>
      </c>
      <c r="T17750" s="7" t="str">
        <f>HYPERLINK("#Liste_rouge!A"&amp;_xlfn.XMATCH("NT",Liste_rouge!A:A,2,1),"NT")</f>
        <v>NT</v>
      </c>
      <c r="V17750" s="7" t="str">
        <f>HYPERLINK("#Liste_rouge!A"&amp;_xlfn.XMATCH("LC",Liste_rouge!A:A,2,1),"LC")</f>
        <v>LC</v>
      </c>
      <c r="X17750" s="5" t="s">
        <v>398</v>
      </c>
      <c r="AH17750" s="4" t="str">
        <f>HYPERLINK("#Statut_biogéographique!A"&amp;_xlfn.XMATCH("P",Statut_biogéographique!A:A,2,1),"P")</f>
        <v>P</v>
      </c>
      <c r="AM17750" s="4" t="s">
        <v>375</v>
      </c>
      <c r="AN17750" s="4" t="s">
        <v>375</v>
      </c>
      <c r="AO17750" s="4" t="s">
        <v>375</v>
      </c>
      <c r="AP17750" s="4" t="s">
        <v>376</v>
      </c>
      <c r="AR17750" s="4" t="s">
        <v>377</v>
      </c>
    </row>
    <row r="17751" spans="1:44">
      <c r="A17751" s="4" t="s">
        <v>10753</v>
      </c>
      <c r="B17751" s="4">
        <v>65451</v>
      </c>
      <c r="D17751" s="5" t="s">
        <v>21714</v>
      </c>
      <c r="E17751" s="6" t="str">
        <f>HYPERLINK("https://inpn.mnhn.fr/espece/cd_nom/65451","Aeshna mixta Latreille, 1805")</f>
        <v>Aeshna mixta Latreille, 1805</v>
      </c>
      <c r="F17751" s="5" t="s">
        <v>21715</v>
      </c>
      <c r="O17751" s="7" t="str">
        <f>HYPERLINK("#Liste_rouge!A"&amp;_xlfn.XMATCH("LC",Liste_rouge!A:A,2,1),"LC")</f>
        <v>LC</v>
      </c>
      <c r="P17751" s="7" t="str">
        <f>HYPERLINK("#Liste_rouge!A"&amp;_xlfn.XMATCH("LC",Liste_rouge!A:A,2,1),"LC")</f>
        <v>LC</v>
      </c>
      <c r="Q17751" s="7" t="str">
        <f>HYPERLINK("#Liste_rouge!A"&amp;_xlfn.XMATCH("LC",Liste_rouge!A:A,2,1),"LC")</f>
        <v>LC</v>
      </c>
      <c r="T17751" s="7" t="str">
        <f>HYPERLINK("#Liste_rouge!A"&amp;_xlfn.XMATCH("LC",Liste_rouge!A:A,2,1),"LC")</f>
        <v>LC</v>
      </c>
      <c r="V17751" s="7" t="str">
        <f>HYPERLINK("#Liste_rouge!A"&amp;_xlfn.XMATCH("LC",Liste_rouge!A:A,2,1),"LC")</f>
        <v>LC</v>
      </c>
      <c r="AH17751" s="4" t="str">
        <f>HYPERLINK("#Statut_biogéographique!A"&amp;_xlfn.XMATCH("P",Statut_biogéographique!A:A,2,1),"P")</f>
        <v>P</v>
      </c>
      <c r="AM17751" s="4" t="s">
        <v>375</v>
      </c>
      <c r="AN17751" s="4" t="s">
        <v>375</v>
      </c>
      <c r="AO17751" s="4" t="s">
        <v>375</v>
      </c>
      <c r="AP17751" s="4" t="s">
        <v>376</v>
      </c>
      <c r="AR17751" s="4" t="s">
        <v>377</v>
      </c>
    </row>
    <row r="17752" spans="1:44">
      <c r="A17752" s="4" t="s">
        <v>10753</v>
      </c>
      <c r="B17752" s="4">
        <v>65456</v>
      </c>
      <c r="D17752" s="5" t="s">
        <v>21716</v>
      </c>
      <c r="E17752" s="6" t="str">
        <f>HYPERLINK("https://inpn.mnhn.fr/espece/cd_nom/65456","Aeshna affinis Vander Linden, 1820")</f>
        <v>Aeshna affinis Vander Linden, 1820</v>
      </c>
      <c r="F17752" s="5" t="s">
        <v>21717</v>
      </c>
      <c r="O17752" s="7" t="str">
        <f>HYPERLINK("#Liste_rouge!A"&amp;_xlfn.XMATCH("LC",Liste_rouge!A:A,2,1),"LC")</f>
        <v>LC</v>
      </c>
      <c r="P17752" s="7" t="str">
        <f>HYPERLINK("#Liste_rouge!A"&amp;_xlfn.XMATCH("LC",Liste_rouge!A:A,2,1),"LC")</f>
        <v>LC</v>
      </c>
      <c r="Q17752" s="7" t="str">
        <f>HYPERLINK("#Liste_rouge!A"&amp;_xlfn.XMATCH("LC",Liste_rouge!A:A,2,1),"LC")</f>
        <v>LC</v>
      </c>
      <c r="T17752" s="7" t="str">
        <f>HYPERLINK("#Liste_rouge!A"&amp;_xlfn.XMATCH("LC",Liste_rouge!A:A,2,1),"LC")</f>
        <v>LC</v>
      </c>
      <c r="V17752" s="7" t="str">
        <f>HYPERLINK("#Liste_rouge!A"&amp;_xlfn.XMATCH("LC",Liste_rouge!A:A,2,1),"LC")</f>
        <v>LC</v>
      </c>
      <c r="AH17752" s="4" t="str">
        <f>HYPERLINK("#Statut_biogéographique!A"&amp;_xlfn.XMATCH("P",Statut_biogéographique!A:A,2,1),"P")</f>
        <v>P</v>
      </c>
      <c r="AM17752" s="4" t="s">
        <v>375</v>
      </c>
      <c r="AN17752" s="4" t="s">
        <v>375</v>
      </c>
      <c r="AO17752" s="4" t="s">
        <v>375</v>
      </c>
      <c r="AP17752" s="4" t="s">
        <v>376</v>
      </c>
      <c r="AR17752" s="4" t="s">
        <v>377</v>
      </c>
    </row>
    <row r="17753" spans="1:44">
      <c r="A17753" s="4" t="s">
        <v>10753</v>
      </c>
      <c r="B17753" s="4">
        <v>65467</v>
      </c>
      <c r="D17753" s="5" t="s">
        <v>21718</v>
      </c>
      <c r="E17753" s="6" t="str">
        <f>HYPERLINK("https://inpn.mnhn.fr/espece/cd_nom/65467","Hemianax ephippiger (Burmeister, 1839)")</f>
        <v>Hemianax ephippiger (Burmeister, 1839)</v>
      </c>
      <c r="F17753" s="5" t="s">
        <v>21719</v>
      </c>
      <c r="O17753" s="7" t="str">
        <f>HYPERLINK("#Liste_rouge!A"&amp;_xlfn.XMATCH("LC",Liste_rouge!A:A,2,1),"LC")</f>
        <v>LC</v>
      </c>
      <c r="P17753" s="7" t="str">
        <f>HYPERLINK("#Liste_rouge!A"&amp;_xlfn.XMATCH("LC",Liste_rouge!A:A,2,1),"LC")</f>
        <v>LC</v>
      </c>
      <c r="T17753" s="7" t="str">
        <f>HYPERLINK("#Liste_rouge!A"&amp;_xlfn.XMATCH("NA",Liste_rouge!A:A,2,1),"NA")</f>
        <v>NA</v>
      </c>
      <c r="AH17753" s="4" t="str">
        <f>HYPERLINK("#Statut_biogéographique!A"&amp;_xlfn.XMATCH("P",Statut_biogéographique!A:A,2,1),"P")</f>
        <v>P</v>
      </c>
      <c r="AM17753" s="4" t="s">
        <v>375</v>
      </c>
      <c r="AN17753" s="4" t="s">
        <v>375</v>
      </c>
      <c r="AO17753" s="4" t="s">
        <v>375</v>
      </c>
      <c r="AP17753" s="4" t="s">
        <v>376</v>
      </c>
      <c r="AR17753" s="4" t="s">
        <v>377</v>
      </c>
    </row>
    <row r="17754" spans="1:44">
      <c r="A17754" s="4" t="s">
        <v>10753</v>
      </c>
      <c r="B17754" s="4">
        <v>65473</v>
      </c>
      <c r="D17754" s="5" t="s">
        <v>21720</v>
      </c>
      <c r="E17754" s="6" t="str">
        <f>HYPERLINK("https://inpn.mnhn.fr/espece/cd_nom/65473","Anax imperator Leach, 1815")</f>
        <v>Anax imperator Leach, 1815</v>
      </c>
      <c r="F17754" s="5" t="s">
        <v>21721</v>
      </c>
      <c r="O17754" s="7" t="str">
        <f>HYPERLINK("#Liste_rouge!A"&amp;_xlfn.XMATCH("LC",Liste_rouge!A:A,2,1),"LC")</f>
        <v>LC</v>
      </c>
      <c r="P17754" s="7" t="str">
        <f>HYPERLINK("#Liste_rouge!A"&amp;_xlfn.XMATCH("LC",Liste_rouge!A:A,2,1),"LC")</f>
        <v>LC</v>
      </c>
      <c r="Q17754" s="7" t="str">
        <f>HYPERLINK("#Liste_rouge!A"&amp;_xlfn.XMATCH("LC",Liste_rouge!A:A,2,1),"LC")</f>
        <v>LC</v>
      </c>
      <c r="T17754" s="7" t="str">
        <f>HYPERLINK("#Liste_rouge!A"&amp;_xlfn.XMATCH("LC",Liste_rouge!A:A,2,1),"LC")</f>
        <v>LC</v>
      </c>
      <c r="V17754" s="7" t="str">
        <f>HYPERLINK("#Liste_rouge!A"&amp;_xlfn.XMATCH("LC",Liste_rouge!A:A,2,1),"LC")</f>
        <v>LC</v>
      </c>
      <c r="AH17754" s="4" t="str">
        <f>HYPERLINK("#Statut_biogéographique!A"&amp;_xlfn.XMATCH("P",Statut_biogéographique!A:A,2,1),"P")</f>
        <v>P</v>
      </c>
      <c r="AM17754" s="4" t="s">
        <v>375</v>
      </c>
      <c r="AN17754" s="4" t="s">
        <v>375</v>
      </c>
      <c r="AO17754" s="4" t="s">
        <v>375</v>
      </c>
      <c r="AP17754" s="4" t="s">
        <v>376</v>
      </c>
      <c r="AR17754" s="4" t="s">
        <v>377</v>
      </c>
    </row>
    <row r="17755" spans="1:44">
      <c r="A17755" s="4" t="s">
        <v>10753</v>
      </c>
      <c r="B17755" s="4">
        <v>65477</v>
      </c>
      <c r="D17755" s="5" t="s">
        <v>21722</v>
      </c>
      <c r="E17755" s="6" t="str">
        <f>HYPERLINK("https://inpn.mnhn.fr/espece/cd_nom/65477","Anax parthenope (Selys, 1839)")</f>
        <v>Anax parthenope (Selys, 1839)</v>
      </c>
      <c r="F17755" s="5" t="s">
        <v>21723</v>
      </c>
      <c r="O17755" s="7" t="str">
        <f>HYPERLINK("#Liste_rouge!A"&amp;_xlfn.XMATCH("LC",Liste_rouge!A:A,2,1),"LC")</f>
        <v>LC</v>
      </c>
      <c r="P17755" s="7" t="str">
        <f>HYPERLINK("#Liste_rouge!A"&amp;_xlfn.XMATCH("LC",Liste_rouge!A:A,2,1),"LC")</f>
        <v>LC</v>
      </c>
      <c r="Q17755" s="7" t="str">
        <f>HYPERLINK("#Liste_rouge!A"&amp;_xlfn.XMATCH("LC",Liste_rouge!A:A,2,1),"LC")</f>
        <v>LC</v>
      </c>
      <c r="T17755" s="7" t="str">
        <f>HYPERLINK("#Liste_rouge!A"&amp;_xlfn.XMATCH("LC",Liste_rouge!A:A,2,1),"LC")</f>
        <v>LC</v>
      </c>
      <c r="AH17755" s="4" t="str">
        <f>HYPERLINK("#Statut_biogéographique!A"&amp;_xlfn.XMATCH("P",Statut_biogéographique!A:A,2,1),"P")</f>
        <v>P</v>
      </c>
      <c r="AM17755" s="4" t="s">
        <v>375</v>
      </c>
      <c r="AN17755" s="4" t="s">
        <v>375</v>
      </c>
      <c r="AO17755" s="4" t="s">
        <v>375</v>
      </c>
      <c r="AP17755" s="4" t="s">
        <v>376</v>
      </c>
      <c r="AR17755" s="4" t="s">
        <v>377</v>
      </c>
    </row>
    <row r="17756" spans="1:44">
      <c r="A17756" s="4" t="s">
        <v>10753</v>
      </c>
      <c r="B17756" s="4">
        <v>65487</v>
      </c>
      <c r="D17756" s="5" t="s">
        <v>21724</v>
      </c>
      <c r="E17756" s="6" t="str">
        <f>HYPERLINK("https://inpn.mnhn.fr/espece/cd_nom/65487","Stethophyma grossum (Linnaeus, 1758)")</f>
        <v>Stethophyma grossum (Linnaeus, 1758)</v>
      </c>
      <c r="F17756" s="5" t="s">
        <v>21725</v>
      </c>
      <c r="P17756" s="7" t="str">
        <f>HYPERLINK("#Liste_rouge!A"&amp;_xlfn.XMATCH("LC",Liste_rouge!A:A,2,1),"LC")</f>
        <v>LC</v>
      </c>
      <c r="V17756" s="7" t="str">
        <f>HYPERLINK("#Liste_rouge!A"&amp;_xlfn.XMATCH("LC",Liste_rouge!A:A,2,1),"LC")</f>
        <v>LC</v>
      </c>
      <c r="X17756" s="5" t="s">
        <v>398</v>
      </c>
      <c r="AH17756" s="4" t="str">
        <f>HYPERLINK("#Statut_biogéographique!A"&amp;_xlfn.XMATCH("P",Statut_biogéographique!A:A,2,1),"P")</f>
        <v>P</v>
      </c>
      <c r="AM17756" s="4" t="s">
        <v>375</v>
      </c>
      <c r="AN17756" s="4" t="s">
        <v>375</v>
      </c>
      <c r="AO17756" s="4" t="s">
        <v>375</v>
      </c>
      <c r="AP17756" s="4" t="s">
        <v>376</v>
      </c>
      <c r="AR17756" s="4" t="s">
        <v>377</v>
      </c>
    </row>
    <row r="17757" spans="1:44">
      <c r="A17757" s="4" t="s">
        <v>10753</v>
      </c>
      <c r="B17757" s="4">
        <v>65496</v>
      </c>
      <c r="D17757" s="5" t="s">
        <v>21726</v>
      </c>
      <c r="E17757" s="6" t="str">
        <f>HYPERLINK("https://inpn.mnhn.fr/espece/cd_nom/65496","Euthystira brachyptera (Ocskay, 1826)")</f>
        <v>Euthystira brachyptera (Ocskay, 1826)</v>
      </c>
      <c r="F17757" s="5" t="s">
        <v>21727</v>
      </c>
      <c r="P17757" s="7" t="str">
        <f>HYPERLINK("#Liste_rouge!A"&amp;_xlfn.XMATCH("LC",Liste_rouge!A:A,2,1),"LC")</f>
        <v>LC</v>
      </c>
      <c r="V17757" s="7" t="str">
        <f>HYPERLINK("#Liste_rouge!A"&amp;_xlfn.XMATCH("LC",Liste_rouge!A:A,2,1),"LC")</f>
        <v>LC</v>
      </c>
      <c r="AH17757" s="4" t="str">
        <f>HYPERLINK("#Statut_biogéographique!A"&amp;_xlfn.XMATCH("P",Statut_biogéographique!A:A,2,1),"P")</f>
        <v>P</v>
      </c>
      <c r="AM17757" s="4" t="s">
        <v>375</v>
      </c>
      <c r="AN17757" s="4" t="s">
        <v>375</v>
      </c>
      <c r="AO17757" s="4" t="s">
        <v>375</v>
      </c>
      <c r="AP17757" s="4" t="s">
        <v>376</v>
      </c>
      <c r="AR17757" s="4" t="s">
        <v>377</v>
      </c>
    </row>
    <row r="17758" spans="1:44">
      <c r="A17758" s="4" t="s">
        <v>10753</v>
      </c>
      <c r="B17758" s="4">
        <v>65516</v>
      </c>
      <c r="D17758" s="5" t="s">
        <v>21728</v>
      </c>
      <c r="E17758" s="6" t="str">
        <f>HYPERLINK("https://inpn.mnhn.fr/espece/cd_nom/65516","Amphinemura standfussi (Ris, 1902)")</f>
        <v>Amphinemura standfussi (Ris, 1902)</v>
      </c>
      <c r="AH17758" s="4" t="str">
        <f>HYPERLINK("#Statut_biogéographique!A"&amp;_xlfn.XMATCH("P",Statut_biogéographique!A:A,2,1),"P")</f>
        <v>P</v>
      </c>
      <c r="AP17758" s="4" t="s">
        <v>376</v>
      </c>
      <c r="AR17758" s="4" t="s">
        <v>377</v>
      </c>
    </row>
    <row r="17759" spans="1:44">
      <c r="A17759" s="4" t="s">
        <v>10753</v>
      </c>
      <c r="B17759" s="4">
        <v>65517</v>
      </c>
      <c r="D17759" s="5" t="s">
        <v>21729</v>
      </c>
      <c r="E17759" s="6" t="str">
        <f>HYPERLINK("https://inpn.mnhn.fr/espece/cd_nom/65517","Amphinemura sulcicollis (Stephens, 1836)")</f>
        <v>Amphinemura sulcicollis (Stephens, 1836)</v>
      </c>
      <c r="AH17759" s="4" t="str">
        <f>HYPERLINK("#Statut_biogéographique!A"&amp;_xlfn.XMATCH("P",Statut_biogéographique!A:A,2,1),"P")</f>
        <v>P</v>
      </c>
      <c r="AP17759" s="4" t="s">
        <v>376</v>
      </c>
      <c r="AR17759" s="4" t="s">
        <v>377</v>
      </c>
    </row>
    <row r="17760" spans="1:44">
      <c r="A17760" s="4" t="s">
        <v>10753</v>
      </c>
      <c r="B17760" s="4">
        <v>65518</v>
      </c>
      <c r="D17760" s="5" t="s">
        <v>21730</v>
      </c>
      <c r="E17760" s="6" t="str">
        <f>HYPERLINK("https://inpn.mnhn.fr/espece/cd_nom/65518","Amphinemura triangularis (Ris, 1902)")</f>
        <v>Amphinemura triangularis (Ris, 1902)</v>
      </c>
      <c r="AH17760" s="4" t="str">
        <f>HYPERLINK("#Statut_biogéographique!A"&amp;_xlfn.XMATCH("P",Statut_biogéographique!A:A,2,1),"P")</f>
        <v>P</v>
      </c>
      <c r="AP17760" s="4" t="s">
        <v>376</v>
      </c>
      <c r="AR17760" s="4" t="s">
        <v>377</v>
      </c>
    </row>
    <row r="17761" spans="1:44">
      <c r="A17761" s="4" t="s">
        <v>10753</v>
      </c>
      <c r="B17761" s="4">
        <v>65520</v>
      </c>
      <c r="D17761" s="5" t="s">
        <v>21731</v>
      </c>
      <c r="E17761" s="6" t="str">
        <f>HYPERLINK("https://inpn.mnhn.fr/espece/cd_nom/65520","Brachyptera risi (Morton, 1896)")</f>
        <v>Brachyptera risi (Morton, 1896)</v>
      </c>
      <c r="AH17761" s="4" t="str">
        <f>HYPERLINK("#Statut_biogéographique!A"&amp;_xlfn.XMATCH("P",Statut_biogéographique!A:A,2,1),"P")</f>
        <v>P</v>
      </c>
      <c r="AP17761" s="4" t="s">
        <v>376</v>
      </c>
      <c r="AR17761" s="4" t="s">
        <v>377</v>
      </c>
    </row>
    <row r="17762" spans="1:44">
      <c r="A17762" s="4" t="s">
        <v>10753</v>
      </c>
      <c r="B17762" s="4">
        <v>65521</v>
      </c>
      <c r="D17762" s="5" t="s">
        <v>21732</v>
      </c>
      <c r="E17762" s="6" t="str">
        <f>HYPERLINK("https://inpn.mnhn.fr/espece/cd_nom/65521","Brachyptera seticornis (Klapálek, 1902)")</f>
        <v>Brachyptera seticornis (Klapálek, 1902)</v>
      </c>
      <c r="AH17762" s="4" t="str">
        <f>HYPERLINK("#Statut_biogéographique!A"&amp;_xlfn.XMATCH("P",Statut_biogéographique!A:A,2,1),"P")</f>
        <v>P</v>
      </c>
      <c r="AP17762" s="4" t="s">
        <v>376</v>
      </c>
      <c r="AR17762" s="4" t="s">
        <v>377</v>
      </c>
    </row>
    <row r="17763" spans="1:44">
      <c r="A17763" s="4" t="s">
        <v>10753</v>
      </c>
      <c r="B17763" s="4">
        <v>65523</v>
      </c>
      <c r="D17763" s="5">
        <v>65523</v>
      </c>
      <c r="E17763" s="6" t="str">
        <f>HYPERLINK("https://inpn.mnhn.fr/espece/cd_nom/65523","Capnia vidua Klapálek, 1904")</f>
        <v>Capnia vidua Klapálek, 1904</v>
      </c>
      <c r="AH17763" s="4" t="str">
        <f>HYPERLINK("#Statut_biogéographique!A"&amp;_xlfn.XMATCH("P",Statut_biogéographique!A:A,2,1),"P")</f>
        <v>P</v>
      </c>
      <c r="AP17763" s="4" t="s">
        <v>376</v>
      </c>
      <c r="AR17763" s="4" t="s">
        <v>377</v>
      </c>
    </row>
    <row r="17764" spans="1:44">
      <c r="A17764" s="4" t="s">
        <v>10753</v>
      </c>
      <c r="B17764" s="4">
        <v>65525</v>
      </c>
      <c r="D17764" s="5">
        <v>65525</v>
      </c>
      <c r="E17764" s="6" t="str">
        <f>HYPERLINK("https://inpn.mnhn.fr/espece/cd_nom/65525","Capnioneura mitis Despax, 1932")</f>
        <v>Capnioneura mitis Despax, 1932</v>
      </c>
      <c r="AH17764" s="4" t="str">
        <f>HYPERLINK("#Statut_biogéographique!A"&amp;_xlfn.XMATCH("P",Statut_biogéographique!A:A,2,1),"P")</f>
        <v>P</v>
      </c>
      <c r="AP17764" s="4" t="s">
        <v>376</v>
      </c>
      <c r="AR17764" s="4" t="s">
        <v>377</v>
      </c>
    </row>
    <row r="17765" spans="1:44">
      <c r="A17765" s="4" t="s">
        <v>10753</v>
      </c>
      <c r="B17765" s="4">
        <v>65534</v>
      </c>
      <c r="D17765" s="5" t="s">
        <v>21733</v>
      </c>
      <c r="E17765" s="6" t="str">
        <f>HYPERLINK("https://inpn.mnhn.fr/espece/cd_nom/65534","Dinocras cephalotes (Curtis, 1827)")</f>
        <v>Dinocras cephalotes (Curtis, 1827)</v>
      </c>
      <c r="AH17765" s="4" t="str">
        <f>HYPERLINK("#Statut_biogéographique!A"&amp;_xlfn.XMATCH("P",Statut_biogéographique!A:A,2,1),"P")</f>
        <v>P</v>
      </c>
      <c r="AP17765" s="4" t="s">
        <v>376</v>
      </c>
      <c r="AR17765" s="4" t="s">
        <v>377</v>
      </c>
    </row>
    <row r="17766" spans="1:44">
      <c r="A17766" s="4" t="s">
        <v>10753</v>
      </c>
      <c r="B17766" s="4">
        <v>65535</v>
      </c>
      <c r="D17766" s="5" t="s">
        <v>21734</v>
      </c>
      <c r="E17766" s="6" t="str">
        <f>HYPERLINK("https://inpn.mnhn.fr/espece/cd_nom/65535","Dinocras megacephala (Klapálek, 1907)")</f>
        <v>Dinocras megacephala (Klapálek, 1907)</v>
      </c>
      <c r="AH17766" s="4" t="str">
        <f>HYPERLINK("#Statut_biogéographique!A"&amp;_xlfn.XMATCH("P",Statut_biogéographique!A:A,2,1),"P")</f>
        <v>P</v>
      </c>
      <c r="AP17766" s="4" t="s">
        <v>376</v>
      </c>
      <c r="AR17766" s="4" t="s">
        <v>377</v>
      </c>
    </row>
    <row r="17767" spans="1:44">
      <c r="A17767" s="4" t="s">
        <v>10753</v>
      </c>
      <c r="B17767" s="4">
        <v>65539</v>
      </c>
      <c r="D17767" s="5" t="s">
        <v>21735</v>
      </c>
      <c r="E17767" s="6" t="str">
        <f>HYPERLINK("https://inpn.mnhn.fr/espece/cd_nom/65539","Isoperla ambigua (Despax, 1936)")</f>
        <v>Isoperla ambigua (Despax, 1936)</v>
      </c>
      <c r="AH17767" s="4" t="str">
        <f>HYPERLINK("#Statut_biogéographique!A"&amp;_xlfn.XMATCH("E",Statut_biogéographique!A:A,2,1),"E")</f>
        <v>E</v>
      </c>
      <c r="AP17767" s="4" t="s">
        <v>376</v>
      </c>
      <c r="AR17767" s="4" t="s">
        <v>377</v>
      </c>
    </row>
    <row r="17768" spans="1:44" ht="60">
      <c r="A17768" s="4" t="s">
        <v>10753</v>
      </c>
      <c r="B17768" s="4">
        <v>65540</v>
      </c>
      <c r="D17768" s="5" t="s">
        <v>21736</v>
      </c>
      <c r="E17768" s="6" t="str">
        <f>HYPERLINK("https://inpn.mnhn.fr/espece/cd_nom/65540","Isoperla grammatica (Poda, 1761)")</f>
        <v>Isoperla grammatica (Poda, 1761)</v>
      </c>
      <c r="AH17768" s="4" t="str">
        <f>HYPERLINK("#Statut_biogéographique!A"&amp;_xlfn.XMATCH("P",Statut_biogéographique!A:A,2,1),"P")</f>
        <v>P</v>
      </c>
      <c r="AP17768" s="4" t="s">
        <v>376</v>
      </c>
      <c r="AR17768" s="4" t="s">
        <v>377</v>
      </c>
    </row>
    <row r="17769" spans="1:44">
      <c r="A17769" s="4" t="s">
        <v>10753</v>
      </c>
      <c r="B17769" s="4">
        <v>65543</v>
      </c>
      <c r="D17769" s="5" t="s">
        <v>21737</v>
      </c>
      <c r="E17769" s="6" t="str">
        <f>HYPERLINK("https://inpn.mnhn.fr/espece/cd_nom/65543","Isoperla oxylepis (Despax, 1936)")</f>
        <v>Isoperla oxylepis (Despax, 1936)</v>
      </c>
      <c r="AH17769" s="4" t="str">
        <f>HYPERLINK("#Statut_biogéographique!A"&amp;_xlfn.XMATCH("P",Statut_biogéographique!A:A,2,1),"P")</f>
        <v>P</v>
      </c>
      <c r="AP17769" s="4" t="s">
        <v>376</v>
      </c>
      <c r="AR17769" s="4" t="s">
        <v>377</v>
      </c>
    </row>
    <row r="17770" spans="1:44">
      <c r="A17770" s="4" t="s">
        <v>10753</v>
      </c>
      <c r="B17770" s="4">
        <v>65544</v>
      </c>
      <c r="D17770" s="5" t="s">
        <v>21738</v>
      </c>
      <c r="E17770" s="6" t="str">
        <f>HYPERLINK("https://inpn.mnhn.fr/espece/cd_nom/65544","Isoperla rivulorum (Pictet, 1841)")</f>
        <v>Isoperla rivulorum (Pictet, 1841)</v>
      </c>
      <c r="AH17770" s="4" t="str">
        <f>HYPERLINK("#Statut_biogéographique!A"&amp;_xlfn.XMATCH("P",Statut_biogéographique!A:A,2,1),"P")</f>
        <v>P</v>
      </c>
      <c r="AP17770" s="4" t="s">
        <v>376</v>
      </c>
      <c r="AR17770" s="4" t="s">
        <v>377</v>
      </c>
    </row>
    <row r="17771" spans="1:44">
      <c r="A17771" s="4" t="s">
        <v>10753</v>
      </c>
      <c r="B17771" s="4">
        <v>65546</v>
      </c>
      <c r="D17771" s="5">
        <v>65546</v>
      </c>
      <c r="E17771" s="6" t="str">
        <f>HYPERLINK("https://inpn.mnhn.fr/espece/cd_nom/65546","Leuctra albida Kempny, 1899")</f>
        <v>Leuctra albida Kempny, 1899</v>
      </c>
      <c r="AH17771" s="4" t="str">
        <f>HYPERLINK("#Statut_biogéographique!A"&amp;_xlfn.XMATCH("P",Statut_biogéographique!A:A,2,1),"P")</f>
        <v>P</v>
      </c>
      <c r="AP17771" s="4" t="s">
        <v>376</v>
      </c>
      <c r="AR17771" s="4" t="s">
        <v>377</v>
      </c>
    </row>
    <row r="17772" spans="1:44">
      <c r="A17772" s="4" t="s">
        <v>10753</v>
      </c>
      <c r="B17772" s="4">
        <v>65547</v>
      </c>
      <c r="D17772" s="5">
        <v>65547</v>
      </c>
      <c r="E17772" s="6" t="str">
        <f>HYPERLINK("https://inpn.mnhn.fr/espece/cd_nom/65547","Leuctra alpina Kühtreiber, 1934")</f>
        <v>Leuctra alpina Kühtreiber, 1934</v>
      </c>
      <c r="AH17772" s="4" t="str">
        <f>HYPERLINK("#Statut_biogéographique!A"&amp;_xlfn.XMATCH("P",Statut_biogéographique!A:A,2,1),"P")</f>
        <v>P</v>
      </c>
      <c r="AP17772" s="4" t="s">
        <v>376</v>
      </c>
      <c r="AR17772" s="4" t="s">
        <v>377</v>
      </c>
    </row>
    <row r="17773" spans="1:44">
      <c r="A17773" s="4" t="s">
        <v>10753</v>
      </c>
      <c r="B17773" s="4">
        <v>65548</v>
      </c>
      <c r="D17773" s="5">
        <v>65548</v>
      </c>
      <c r="E17773" s="6" t="str">
        <f>HYPERLINK("https://inpn.mnhn.fr/espece/cd_nom/65548","Leuctra aurita Navás, 1919")</f>
        <v>Leuctra aurita Navás, 1919</v>
      </c>
      <c r="AH17773" s="4" t="str">
        <f>HYPERLINK("#Statut_biogéographique!A"&amp;_xlfn.XMATCH("P",Statut_biogéographique!A:A,2,1),"P")</f>
        <v>P</v>
      </c>
      <c r="AP17773" s="4" t="s">
        <v>376</v>
      </c>
      <c r="AR17773" s="4" t="s">
        <v>377</v>
      </c>
    </row>
    <row r="17774" spans="1:44">
      <c r="A17774" s="4" t="s">
        <v>10753</v>
      </c>
      <c r="B17774" s="4">
        <v>65551</v>
      </c>
      <c r="D17774" s="5" t="s">
        <v>21739</v>
      </c>
      <c r="E17774" s="6" t="str">
        <f>HYPERLINK("https://inpn.mnhn.fr/espece/cd_nom/65551","Leuctra cingulata Kempny, 1899")</f>
        <v>Leuctra cingulata Kempny, 1899</v>
      </c>
      <c r="AH17774" s="4" t="str">
        <f>HYPERLINK("#Statut_biogéographique!A"&amp;_xlfn.XMATCH("P",Statut_biogéographique!A:A,2,1),"P")</f>
        <v>P</v>
      </c>
      <c r="AP17774" s="4" t="s">
        <v>376</v>
      </c>
      <c r="AR17774" s="4" t="s">
        <v>377</v>
      </c>
    </row>
    <row r="17775" spans="1:44" ht="30">
      <c r="A17775" s="4" t="s">
        <v>10753</v>
      </c>
      <c r="B17775" s="4">
        <v>65554</v>
      </c>
      <c r="D17775" s="5" t="s">
        <v>21740</v>
      </c>
      <c r="E17775" s="6" t="str">
        <f>HYPERLINK("https://inpn.mnhn.fr/espece/cd_nom/65554","Leuctra fusca (Linnaeus, 1758)")</f>
        <v>Leuctra fusca (Linnaeus, 1758)</v>
      </c>
      <c r="AH17775" s="4" t="str">
        <f>HYPERLINK("#Statut_biogéographique!A"&amp;_xlfn.XMATCH("P",Statut_biogéographique!A:A,2,1),"P")</f>
        <v>P</v>
      </c>
      <c r="AP17775" s="4" t="s">
        <v>376</v>
      </c>
      <c r="AR17775" s="4" t="s">
        <v>377</v>
      </c>
    </row>
    <row r="17776" spans="1:44">
      <c r="A17776" s="4" t="s">
        <v>10753</v>
      </c>
      <c r="B17776" s="4">
        <v>65555</v>
      </c>
      <c r="D17776" s="5" t="s">
        <v>21741</v>
      </c>
      <c r="E17776" s="6" t="str">
        <f>HYPERLINK("https://inpn.mnhn.fr/espece/cd_nom/65555","Leuctra geniculata Stephens, 1836")</f>
        <v>Leuctra geniculata Stephens, 1836</v>
      </c>
      <c r="AH17776" s="4" t="str">
        <f>HYPERLINK("#Statut_biogéographique!A"&amp;_xlfn.XMATCH("P",Statut_biogéographique!A:A,2,1),"P")</f>
        <v>P</v>
      </c>
      <c r="AP17776" s="4" t="s">
        <v>376</v>
      </c>
      <c r="AR17776" s="4" t="s">
        <v>377</v>
      </c>
    </row>
    <row r="17777" spans="1:44">
      <c r="A17777" s="4" t="s">
        <v>10753</v>
      </c>
      <c r="B17777" s="4">
        <v>65556</v>
      </c>
      <c r="D17777" s="5">
        <v>65556</v>
      </c>
      <c r="E17777" s="6" t="str">
        <f>HYPERLINK("https://inpn.mnhn.fr/espece/cd_nom/65556","Leuctra handlirschi Kempny, 1898")</f>
        <v>Leuctra handlirschi Kempny, 1898</v>
      </c>
      <c r="AH17777" s="4" t="str">
        <f>HYPERLINK("#Statut_biogéographique!A"&amp;_xlfn.XMATCH("P",Statut_biogéographique!A:A,2,1),"P")</f>
        <v>P</v>
      </c>
      <c r="AP17777" s="4" t="s">
        <v>376</v>
      </c>
      <c r="AR17777" s="4" t="s">
        <v>377</v>
      </c>
    </row>
    <row r="17778" spans="1:44">
      <c r="A17778" s="4" t="s">
        <v>10753</v>
      </c>
      <c r="B17778" s="4">
        <v>65557</v>
      </c>
      <c r="D17778" s="5">
        <v>65557</v>
      </c>
      <c r="E17778" s="6" t="str">
        <f>HYPERLINK("https://inpn.mnhn.fr/espece/cd_nom/65557","Leuctra hippopus Kempny, 1899")</f>
        <v>Leuctra hippopus Kempny, 1899</v>
      </c>
      <c r="AH17778" s="4" t="str">
        <f>HYPERLINK("#Statut_biogéographique!A"&amp;_xlfn.XMATCH("P",Statut_biogéographique!A:A,2,1),"P")</f>
        <v>P</v>
      </c>
      <c r="AP17778" s="4" t="s">
        <v>376</v>
      </c>
      <c r="AR17778" s="4" t="s">
        <v>377</v>
      </c>
    </row>
    <row r="17779" spans="1:44">
      <c r="A17779" s="4" t="s">
        <v>10753</v>
      </c>
      <c r="B17779" s="4">
        <v>65558</v>
      </c>
      <c r="D17779" s="5">
        <v>65558</v>
      </c>
      <c r="E17779" s="6" t="str">
        <f>HYPERLINK("https://inpn.mnhn.fr/espece/cd_nom/65558","Leuctra inermis Kempny, 1899")</f>
        <v>Leuctra inermis Kempny, 1899</v>
      </c>
      <c r="AH17779" s="4" t="str">
        <f>HYPERLINK("#Statut_biogéographique!A"&amp;_xlfn.XMATCH("P",Statut_biogéographique!A:A,2,1),"P")</f>
        <v>P</v>
      </c>
      <c r="AP17779" s="4" t="s">
        <v>376</v>
      </c>
      <c r="AR17779" s="4" t="s">
        <v>377</v>
      </c>
    </row>
    <row r="17780" spans="1:44">
      <c r="A17780" s="4" t="s">
        <v>10753</v>
      </c>
      <c r="B17780" s="4">
        <v>65560</v>
      </c>
      <c r="D17780" s="5">
        <v>65560</v>
      </c>
      <c r="E17780" s="6" t="str">
        <f>HYPERLINK("https://inpn.mnhn.fr/espece/cd_nom/65560","Leuctra major Brinck, 1949")</f>
        <v>Leuctra major Brinck, 1949</v>
      </c>
      <c r="AH17780" s="4" t="str">
        <f>HYPERLINK("#Statut_biogéographique!A"&amp;_xlfn.XMATCH("P",Statut_biogéographique!A:A,2,1),"P")</f>
        <v>P</v>
      </c>
      <c r="AP17780" s="4" t="s">
        <v>376</v>
      </c>
      <c r="AR17780" s="4" t="s">
        <v>377</v>
      </c>
    </row>
    <row r="17781" spans="1:44">
      <c r="A17781" s="4" t="s">
        <v>10753</v>
      </c>
      <c r="B17781" s="4">
        <v>65563</v>
      </c>
      <c r="D17781" s="5" t="s">
        <v>21742</v>
      </c>
      <c r="E17781" s="6" t="str">
        <f>HYPERLINK("https://inpn.mnhn.fr/espece/cd_nom/65563","Leuctra nigra (Olivier, 1811)")</f>
        <v>Leuctra nigra (Olivier, 1811)</v>
      </c>
      <c r="AH17781" s="4" t="str">
        <f>HYPERLINK("#Statut_biogéographique!A"&amp;_xlfn.XMATCH("P",Statut_biogéographique!A:A,2,1),"P")</f>
        <v>P</v>
      </c>
      <c r="AP17781" s="4" t="s">
        <v>376</v>
      </c>
      <c r="AR17781" s="4" t="s">
        <v>377</v>
      </c>
    </row>
    <row r="17782" spans="1:44">
      <c r="A17782" s="4" t="s">
        <v>10753</v>
      </c>
      <c r="B17782" s="4">
        <v>65565</v>
      </c>
      <c r="D17782" s="5">
        <v>65565</v>
      </c>
      <c r="E17782" s="6" t="str">
        <f>HYPERLINK("https://inpn.mnhn.fr/espece/cd_nom/65565","Leuctra prima Kempny, 1899")</f>
        <v>Leuctra prima Kempny, 1899</v>
      </c>
      <c r="AH17782" s="4" t="str">
        <f>HYPERLINK("#Statut_biogéographique!A"&amp;_xlfn.XMATCH("P",Statut_biogéographique!A:A,2,1),"P")</f>
        <v>P</v>
      </c>
      <c r="AP17782" s="4" t="s">
        <v>376</v>
      </c>
      <c r="AR17782" s="4" t="s">
        <v>377</v>
      </c>
    </row>
    <row r="17783" spans="1:44">
      <c r="A17783" s="4" t="s">
        <v>10753</v>
      </c>
      <c r="B17783" s="4">
        <v>65566</v>
      </c>
      <c r="D17783" s="5">
        <v>65566</v>
      </c>
      <c r="E17783" s="6" t="str">
        <f>HYPERLINK("https://inpn.mnhn.fr/espece/cd_nom/65566","Leuctra pseudocingulata Mendl, 1968")</f>
        <v>Leuctra pseudocingulata Mendl, 1968</v>
      </c>
      <c r="AH17783" s="4" t="str">
        <f>HYPERLINK("#Statut_biogéographique!A"&amp;_xlfn.XMATCH("P",Statut_biogéographique!A:A,2,1),"P")</f>
        <v>P</v>
      </c>
      <c r="AP17783" s="4" t="s">
        <v>376</v>
      </c>
      <c r="AR17783" s="4" t="s">
        <v>377</v>
      </c>
    </row>
    <row r="17784" spans="1:44">
      <c r="A17784" s="4" t="s">
        <v>10753</v>
      </c>
      <c r="B17784" s="4">
        <v>65567</v>
      </c>
      <c r="D17784" s="5">
        <v>65567</v>
      </c>
      <c r="E17784" s="6" t="str">
        <f>HYPERLINK("https://inpn.mnhn.fr/espece/cd_nom/65567","Leuctra pseudosignifera Aubert, 1954")</f>
        <v>Leuctra pseudosignifera Aubert, 1954</v>
      </c>
      <c r="AH17784" s="4" t="str">
        <f>HYPERLINK("#Statut_biogéographique!A"&amp;_xlfn.XMATCH("P",Statut_biogéographique!A:A,2,1),"P")</f>
        <v>P</v>
      </c>
      <c r="AP17784" s="4" t="s">
        <v>376</v>
      </c>
      <c r="AR17784" s="4" t="s">
        <v>377</v>
      </c>
    </row>
    <row r="17785" spans="1:44">
      <c r="A17785" s="4" t="s">
        <v>10753</v>
      </c>
      <c r="B17785" s="4">
        <v>65568</v>
      </c>
      <c r="D17785" s="5" t="s">
        <v>21743</v>
      </c>
      <c r="E17785" s="6" t="str">
        <f>HYPERLINK("https://inpn.mnhn.fr/espece/cd_nom/65568","Leuctra rauscheri Aubert, 1957")</f>
        <v>Leuctra rauscheri Aubert, 1957</v>
      </c>
      <c r="AH17785" s="4" t="str">
        <f>HYPERLINK("#Statut_biogéographique!A"&amp;_xlfn.XMATCH("P",Statut_biogéographique!A:A,2,1),"P")</f>
        <v>P</v>
      </c>
      <c r="AP17785" s="4" t="s">
        <v>376</v>
      </c>
      <c r="AR17785" s="4" t="s">
        <v>377</v>
      </c>
    </row>
    <row r="17786" spans="1:44" ht="30">
      <c r="A17786" s="4" t="s">
        <v>10753</v>
      </c>
      <c r="B17786" s="4">
        <v>65585</v>
      </c>
      <c r="D17786" s="5" t="s">
        <v>21744</v>
      </c>
      <c r="E17786" s="6" t="str">
        <f>HYPERLINK("https://inpn.mnhn.fr/espece/cd_nom/65585","Perla marginata (Panzer, 1799)")</f>
        <v>Perla marginata (Panzer, 1799)</v>
      </c>
      <c r="AH17786" s="4" t="str">
        <f>HYPERLINK("#Statut_biogéographique!A"&amp;_xlfn.XMATCH("P",Statut_biogéographique!A:A,2,1),"P")</f>
        <v>P</v>
      </c>
      <c r="AP17786" s="4" t="s">
        <v>376</v>
      </c>
      <c r="AR17786" s="4" t="s">
        <v>377</v>
      </c>
    </row>
    <row r="17787" spans="1:44" ht="30">
      <c r="A17787" s="4" t="s">
        <v>10753</v>
      </c>
      <c r="B17787" s="4">
        <v>65589</v>
      </c>
      <c r="D17787" s="5" t="s">
        <v>21745</v>
      </c>
      <c r="E17787" s="6" t="str">
        <f>HYPERLINK("https://inpn.mnhn.fr/espece/cd_nom/65589","Perlodes microcephalus (Pictet, 1833)")</f>
        <v>Perlodes microcephalus (Pictet, 1833)</v>
      </c>
      <c r="AH17787" s="4" t="str">
        <f>HYPERLINK("#Statut_biogéographique!A"&amp;_xlfn.XMATCH("P",Statut_biogéographique!A:A,2,1),"P")</f>
        <v>P</v>
      </c>
      <c r="AP17787" s="4" t="s">
        <v>376</v>
      </c>
      <c r="AR17787" s="4" t="s">
        <v>377</v>
      </c>
    </row>
    <row r="17788" spans="1:44">
      <c r="A17788" s="4" t="s">
        <v>10753</v>
      </c>
      <c r="B17788" s="4">
        <v>65591</v>
      </c>
      <c r="D17788" s="5" t="s">
        <v>21746</v>
      </c>
      <c r="E17788" s="6" t="str">
        <f>HYPERLINK("https://inpn.mnhn.fr/espece/cd_nom/65591","Protonemura brevistyla (Ris, 1902)")</f>
        <v>Protonemura brevistyla (Ris, 1902)</v>
      </c>
      <c r="AH17788" s="4" t="str">
        <f>HYPERLINK("#Statut_biogéographique!A"&amp;_xlfn.XMATCH("P",Statut_biogéographique!A:A,2,1),"P")</f>
        <v>P</v>
      </c>
      <c r="AP17788" s="4" t="s">
        <v>376</v>
      </c>
      <c r="AR17788" s="4" t="s">
        <v>377</v>
      </c>
    </row>
    <row r="17789" spans="1:44">
      <c r="A17789" s="4" t="s">
        <v>10753</v>
      </c>
      <c r="B17789" s="4">
        <v>65594</v>
      </c>
      <c r="D17789" s="5" t="s">
        <v>21747</v>
      </c>
      <c r="E17789" s="6" t="str">
        <f>HYPERLINK("https://inpn.mnhn.fr/espece/cd_nom/65594","Protonemura lateralis (Pictet, 1836)")</f>
        <v>Protonemura lateralis (Pictet, 1836)</v>
      </c>
      <c r="AH17789" s="4" t="str">
        <f>HYPERLINK("#Statut_biogéographique!A"&amp;_xlfn.XMATCH("P",Statut_biogéographique!A:A,2,1),"P")</f>
        <v>P</v>
      </c>
      <c r="AP17789" s="4" t="s">
        <v>376</v>
      </c>
      <c r="AR17789" s="4" t="s">
        <v>377</v>
      </c>
    </row>
    <row r="17790" spans="1:44">
      <c r="A17790" s="4" t="s">
        <v>10753</v>
      </c>
      <c r="B17790" s="4">
        <v>65595</v>
      </c>
      <c r="D17790" s="5" t="s">
        <v>21748</v>
      </c>
      <c r="E17790" s="6" t="str">
        <f>HYPERLINK("https://inpn.mnhn.fr/espece/cd_nom/65595","Protonemura meyeri (Pictet, 1841)")</f>
        <v>Protonemura meyeri (Pictet, 1841)</v>
      </c>
      <c r="AH17790" s="4" t="str">
        <f>HYPERLINK("#Statut_biogéographique!A"&amp;_xlfn.XMATCH("P",Statut_biogéographique!A:A,2,1),"P")</f>
        <v>P</v>
      </c>
      <c r="AP17790" s="4" t="s">
        <v>376</v>
      </c>
      <c r="AR17790" s="4" t="s">
        <v>377</v>
      </c>
    </row>
    <row r="17791" spans="1:44">
      <c r="A17791" s="4" t="s">
        <v>10753</v>
      </c>
      <c r="B17791" s="4">
        <v>65596</v>
      </c>
      <c r="D17791" s="5" t="s">
        <v>21749</v>
      </c>
      <c r="E17791" s="6" t="str">
        <f>HYPERLINK("https://inpn.mnhn.fr/espece/cd_nom/65596","Protonemura nimborum (Ris, 1902)")</f>
        <v>Protonemura nimborum (Ris, 1902)</v>
      </c>
      <c r="AH17791" s="4" t="str">
        <f>HYPERLINK("#Statut_biogéographique!A"&amp;_xlfn.XMATCH("P",Statut_biogéographique!A:A,2,1),"P")</f>
        <v>P</v>
      </c>
      <c r="AP17791" s="4" t="s">
        <v>376</v>
      </c>
      <c r="AR17791" s="4" t="s">
        <v>377</v>
      </c>
    </row>
    <row r="17792" spans="1:44">
      <c r="A17792" s="4" t="s">
        <v>10753</v>
      </c>
      <c r="B17792" s="4">
        <v>65597</v>
      </c>
      <c r="D17792" s="5" t="s">
        <v>21750</v>
      </c>
      <c r="E17792" s="6" t="str">
        <f>HYPERLINK("https://inpn.mnhn.fr/espece/cd_nom/65597","Protonemura nitida (Pictet, 1936)")</f>
        <v>Protonemura nitida (Pictet, 1936)</v>
      </c>
      <c r="AH17792" s="4" t="str">
        <f>HYPERLINK("#Statut_biogéographique!A"&amp;_xlfn.XMATCH("P",Statut_biogéographique!A:A,2,1),"P")</f>
        <v>P</v>
      </c>
      <c r="AP17792" s="4" t="s">
        <v>376</v>
      </c>
      <c r="AR17792" s="4" t="s">
        <v>377</v>
      </c>
    </row>
    <row r="17793" spans="1:44">
      <c r="A17793" s="4" t="s">
        <v>10753</v>
      </c>
      <c r="B17793" s="4">
        <v>65598</v>
      </c>
      <c r="D17793" s="5" t="s">
        <v>21751</v>
      </c>
      <c r="E17793" s="6" t="str">
        <f>HYPERLINK("https://inpn.mnhn.fr/espece/cd_nom/65598","Protonemura praecox (Morton, 1894)")</f>
        <v>Protonemura praecox (Morton, 1894)</v>
      </c>
      <c r="AH17793" s="4" t="str">
        <f>HYPERLINK("#Statut_biogéographique!A"&amp;_xlfn.XMATCH("P",Statut_biogéographique!A:A,2,1),"P")</f>
        <v>P</v>
      </c>
      <c r="AP17793" s="4" t="s">
        <v>376</v>
      </c>
      <c r="AR17793" s="4" t="s">
        <v>377</v>
      </c>
    </row>
    <row r="17794" spans="1:44">
      <c r="A17794" s="4" t="s">
        <v>10753</v>
      </c>
      <c r="B17794" s="4">
        <v>65599</v>
      </c>
      <c r="D17794" s="5" t="s">
        <v>21752</v>
      </c>
      <c r="E17794" s="6" t="str">
        <f>HYPERLINK("https://inpn.mnhn.fr/espece/cd_nom/65599","Protonemura risi (Jacobson &amp; Bianchi, 1905)")</f>
        <v>Protonemura risi (Jacobson &amp; Bianchi, 1905)</v>
      </c>
      <c r="AH17794" s="4" t="str">
        <f>HYPERLINK("#Statut_biogéographique!A"&amp;_xlfn.XMATCH("P",Statut_biogéographique!A:A,2,1),"P")</f>
        <v>P</v>
      </c>
      <c r="AP17794" s="4" t="s">
        <v>376</v>
      </c>
      <c r="AR17794" s="4" t="s">
        <v>377</v>
      </c>
    </row>
    <row r="17795" spans="1:44">
      <c r="A17795" s="4" t="s">
        <v>10753</v>
      </c>
      <c r="B17795" s="4">
        <v>65602</v>
      </c>
      <c r="D17795" s="5" t="s">
        <v>21753</v>
      </c>
      <c r="E17795" s="6" t="str">
        <f>HYPERLINK("https://inpn.mnhn.fr/espece/cd_nom/65602","Siphonoperla torrentium (Pictet, 1841)")</f>
        <v>Siphonoperla torrentium (Pictet, 1841)</v>
      </c>
      <c r="AH17795" s="4" t="str">
        <f>HYPERLINK("#Statut_biogéographique!A"&amp;_xlfn.XMATCH("P",Statut_biogéographique!A:A,2,1),"P")</f>
        <v>P</v>
      </c>
      <c r="AP17795" s="4" t="s">
        <v>376</v>
      </c>
      <c r="AR17795" s="4" t="s">
        <v>377</v>
      </c>
    </row>
    <row r="17796" spans="1:44" ht="30">
      <c r="A17796" s="4" t="s">
        <v>10753</v>
      </c>
      <c r="B17796" s="4">
        <v>65607</v>
      </c>
      <c r="D17796" s="5" t="s">
        <v>21754</v>
      </c>
      <c r="E17796" s="6" t="str">
        <f>HYPERLINK("https://inpn.mnhn.fr/espece/cd_nom/65607","Taeniopteryx nebulosa (Linnaeus, 1758)")</f>
        <v>Taeniopteryx nebulosa (Linnaeus, 1758)</v>
      </c>
      <c r="AH17796" s="4" t="str">
        <f>HYPERLINK("#Statut_biogéographique!A"&amp;_xlfn.XMATCH("P",Statut_biogéographique!A:A,2,1),"P")</f>
        <v>P</v>
      </c>
      <c r="AP17796" s="4" t="s">
        <v>376</v>
      </c>
      <c r="AR17796" s="4" t="s">
        <v>377</v>
      </c>
    </row>
    <row r="17797" spans="1:44">
      <c r="A17797" s="4" t="s">
        <v>10753</v>
      </c>
      <c r="B17797" s="4">
        <v>65608</v>
      </c>
      <c r="D17797" s="5" t="s">
        <v>21755</v>
      </c>
      <c r="E17797" s="6" t="str">
        <f>HYPERLINK("https://inpn.mnhn.fr/espece/cd_nom/65608","Taeniopteryx schoenemundi (Mertens, 1923)")</f>
        <v>Taeniopteryx schoenemundi (Mertens, 1923)</v>
      </c>
      <c r="AH17797" s="4" t="str">
        <f>HYPERLINK("#Statut_biogéographique!A"&amp;_xlfn.XMATCH("P",Statut_biogéographique!A:A,2,1),"P")</f>
        <v>P</v>
      </c>
      <c r="AP17797" s="4" t="s">
        <v>376</v>
      </c>
      <c r="AR17797" s="4" t="s">
        <v>377</v>
      </c>
    </row>
    <row r="17798" spans="1:44" ht="45">
      <c r="A17798" s="4" t="s">
        <v>10753</v>
      </c>
      <c r="B17798" s="4">
        <v>65613</v>
      </c>
      <c r="D17798" s="5" t="s">
        <v>21756</v>
      </c>
      <c r="E17798" s="6" t="str">
        <f>HYPERLINK("https://inpn.mnhn.fr/espece/cd_nom/65613","Phaneroptera falcata (Poda, 1761)")</f>
        <v>Phaneroptera falcata (Poda, 1761)</v>
      </c>
      <c r="F17798" s="5" t="s">
        <v>21757</v>
      </c>
      <c r="P17798" s="7" t="str">
        <f>HYPERLINK("#Liste_rouge!A"&amp;_xlfn.XMATCH("LC",Liste_rouge!A:A,2,1),"LC")</f>
        <v>LC</v>
      </c>
      <c r="V17798" s="7" t="str">
        <f>HYPERLINK("#Liste_rouge!A"&amp;_xlfn.XMATCH("LC",Liste_rouge!A:A,2,1),"LC")</f>
        <v>LC</v>
      </c>
      <c r="AH17798" s="4" t="str">
        <f>HYPERLINK("#Statut_biogéographique!A"&amp;_xlfn.XMATCH("P",Statut_biogéographique!A:A,2,1),"P")</f>
        <v>P</v>
      </c>
      <c r="AM17798" s="4" t="s">
        <v>375</v>
      </c>
      <c r="AN17798" s="4" t="s">
        <v>375</v>
      </c>
      <c r="AO17798" s="4" t="s">
        <v>375</v>
      </c>
      <c r="AP17798" s="4" t="s">
        <v>376</v>
      </c>
      <c r="AR17798" s="4" t="s">
        <v>377</v>
      </c>
    </row>
    <row r="17799" spans="1:44">
      <c r="A17799" s="4" t="s">
        <v>10753</v>
      </c>
      <c r="B17799" s="4">
        <v>65614</v>
      </c>
      <c r="D17799" s="5" t="s">
        <v>21758</v>
      </c>
      <c r="E17799" s="6" t="str">
        <f>HYPERLINK("https://inpn.mnhn.fr/espece/cd_nom/65614","Phaneroptera nana Fieber, 1853")</f>
        <v>Phaneroptera nana Fieber, 1853</v>
      </c>
      <c r="F17799" s="5" t="s">
        <v>21759</v>
      </c>
      <c r="P17799" s="7" t="str">
        <f>HYPERLINK("#Liste_rouge!A"&amp;_xlfn.XMATCH("LC",Liste_rouge!A:A,2,1),"LC")</f>
        <v>LC</v>
      </c>
      <c r="V17799" s="7" t="str">
        <f>HYPERLINK("#Liste_rouge!A"&amp;_xlfn.XMATCH("LC",Liste_rouge!A:A,2,1),"LC")</f>
        <v>LC</v>
      </c>
      <c r="AH17799" s="4" t="str">
        <f>HYPERLINK("#Statut_biogéographique!A"&amp;_xlfn.XMATCH("P",Statut_biogéographique!A:A,2,1),"P")</f>
        <v>P</v>
      </c>
      <c r="AM17799" s="4" t="s">
        <v>375</v>
      </c>
      <c r="AN17799" s="4" t="s">
        <v>375</v>
      </c>
      <c r="AO17799" s="4" t="s">
        <v>375</v>
      </c>
      <c r="AP17799" s="4" t="s">
        <v>376</v>
      </c>
      <c r="AR17799" s="4" t="s">
        <v>377</v>
      </c>
    </row>
    <row r="17800" spans="1:44">
      <c r="A17800" s="4" t="s">
        <v>10753</v>
      </c>
      <c r="B17800" s="4">
        <v>65625</v>
      </c>
      <c r="D17800" s="5" t="s">
        <v>21760</v>
      </c>
      <c r="E17800" s="6" t="str">
        <f>HYPERLINK("https://inpn.mnhn.fr/espece/cd_nom/65625","Isophya pyrenaea (Audinet-Serville, 1838)")</f>
        <v>Isophya pyrenaea (Audinet-Serville, 1838)</v>
      </c>
      <c r="F17800" s="5" t="s">
        <v>21761</v>
      </c>
      <c r="P17800" s="7" t="str">
        <f>HYPERLINK("#Liste_rouge!A"&amp;_xlfn.XMATCH("LC",Liste_rouge!A:A,2,1),"LC")</f>
        <v>LC</v>
      </c>
      <c r="V17800" s="7" t="str">
        <f>HYPERLINK("#Liste_rouge!A"&amp;_xlfn.XMATCH("LC",Liste_rouge!A:A,2,1),"LC")</f>
        <v>LC</v>
      </c>
      <c r="AH17800" s="4" t="str">
        <f>HYPERLINK("#Statut_biogéographique!A"&amp;_xlfn.XMATCH("P",Statut_biogéographique!A:A,2,1),"P")</f>
        <v>P</v>
      </c>
      <c r="AM17800" s="4" t="s">
        <v>375</v>
      </c>
      <c r="AN17800" s="4" t="s">
        <v>375</v>
      </c>
      <c r="AO17800" s="4" t="s">
        <v>375</v>
      </c>
      <c r="AP17800" s="4" t="s">
        <v>376</v>
      </c>
      <c r="AR17800" s="4" t="s">
        <v>377</v>
      </c>
    </row>
    <row r="17801" spans="1:44" ht="30">
      <c r="A17801" s="4" t="s">
        <v>10753</v>
      </c>
      <c r="B17801" s="4">
        <v>65636</v>
      </c>
      <c r="D17801" s="5" t="s">
        <v>21762</v>
      </c>
      <c r="E17801" s="6" t="str">
        <f>HYPERLINK("https://inpn.mnhn.fr/espece/cd_nom/65636","Leptophyes punctatissima (Bosc, 1792)")</f>
        <v>Leptophyes punctatissima (Bosc, 1792)</v>
      </c>
      <c r="F17801" s="5" t="s">
        <v>21763</v>
      </c>
      <c r="O17801" s="7" t="str">
        <f>HYPERLINK("#Liste_rouge!A"&amp;_xlfn.XMATCH("LC",Liste_rouge!A:A,2,1),"LC")</f>
        <v>LC</v>
      </c>
      <c r="P17801" s="7" t="str">
        <f>HYPERLINK("#Liste_rouge!A"&amp;_xlfn.XMATCH("LC",Liste_rouge!A:A,2,1),"LC")</f>
        <v>LC</v>
      </c>
      <c r="V17801" s="7" t="str">
        <f>HYPERLINK("#Liste_rouge!A"&amp;_xlfn.XMATCH("LC",Liste_rouge!A:A,2,1),"LC")</f>
        <v>LC</v>
      </c>
      <c r="AH17801" s="4" t="str">
        <f>HYPERLINK("#Statut_biogéographique!A"&amp;_xlfn.XMATCH("P",Statut_biogéographique!A:A,2,1),"P")</f>
        <v>P</v>
      </c>
      <c r="AM17801" s="4" t="s">
        <v>375</v>
      </c>
      <c r="AN17801" s="4" t="s">
        <v>375</v>
      </c>
      <c r="AO17801" s="4" t="s">
        <v>375</v>
      </c>
      <c r="AP17801" s="4" t="s">
        <v>376</v>
      </c>
      <c r="AR17801" s="4" t="s">
        <v>377</v>
      </c>
    </row>
    <row r="17802" spans="1:44">
      <c r="A17802" s="4" t="s">
        <v>10753</v>
      </c>
      <c r="B17802" s="4">
        <v>65641</v>
      </c>
      <c r="D17802" s="5" t="s">
        <v>21764</v>
      </c>
      <c r="E17802" s="6" t="str">
        <f>HYPERLINK("https://inpn.mnhn.fr/espece/cd_nom/65641","Polysarcus denticauda (Charpentier, 1825)")</f>
        <v>Polysarcus denticauda (Charpentier, 1825)</v>
      </c>
      <c r="F17802" s="5" t="s">
        <v>21765</v>
      </c>
      <c r="P17802" s="7" t="str">
        <f>HYPERLINK("#Liste_rouge!A"&amp;_xlfn.XMATCH("LC",Liste_rouge!A:A,2,1),"LC")</f>
        <v>LC</v>
      </c>
      <c r="V17802" s="7" t="str">
        <f>HYPERLINK("#Liste_rouge!A"&amp;_xlfn.XMATCH("NT",Liste_rouge!A:A,2,1),"NT")</f>
        <v>NT</v>
      </c>
      <c r="W17802" s="4" t="str">
        <f>HYPERLINK("#Critères_liste_rouge!A$1","pr.A3c")</f>
        <v>pr.A3c</v>
      </c>
      <c r="X17802" s="5" t="s">
        <v>374</v>
      </c>
      <c r="AH17802" s="4" t="str">
        <f>HYPERLINK("#Statut_biogéographique!A"&amp;_xlfn.XMATCH("P",Statut_biogéographique!A:A,2,1),"P")</f>
        <v>P</v>
      </c>
      <c r="AM17802" s="4" t="s">
        <v>375</v>
      </c>
      <c r="AN17802" s="4" t="s">
        <v>375</v>
      </c>
      <c r="AO17802" s="4" t="s">
        <v>375</v>
      </c>
      <c r="AP17802" s="4" t="s">
        <v>376</v>
      </c>
      <c r="AR17802" s="4" t="s">
        <v>377</v>
      </c>
    </row>
    <row r="17803" spans="1:44" ht="45">
      <c r="A17803" s="4" t="s">
        <v>10753</v>
      </c>
      <c r="B17803" s="4">
        <v>65687</v>
      </c>
      <c r="D17803" s="5" t="s">
        <v>21766</v>
      </c>
      <c r="E17803" s="6" t="str">
        <f>HYPERLINK("https://inpn.mnhn.fr/espece/cd_nom/65687","Decticus verrucivorus (Linnaeus, 1758)")</f>
        <v>Decticus verrucivorus (Linnaeus, 1758)</v>
      </c>
      <c r="F17803" s="5" t="s">
        <v>21767</v>
      </c>
      <c r="P17803" s="7" t="str">
        <f>HYPERLINK("#Liste_rouge!A"&amp;_xlfn.XMATCH("LC",Liste_rouge!A:A,2,1),"LC")</f>
        <v>LC</v>
      </c>
      <c r="X17803" s="5" t="s">
        <v>12755</v>
      </c>
      <c r="Y17803" s="5" t="s">
        <v>12756</v>
      </c>
      <c r="AH17803" s="4" t="str">
        <f>HYPERLINK("#Statut_biogéographique!A"&amp;_xlfn.XMATCH("P",Statut_biogéographique!A:A,2,1),"P")</f>
        <v>P</v>
      </c>
      <c r="AM17803" s="4" t="s">
        <v>375</v>
      </c>
      <c r="AN17803" s="4" t="s">
        <v>375</v>
      </c>
      <c r="AO17803" s="4" t="s">
        <v>375</v>
      </c>
      <c r="AP17803" s="4" t="s">
        <v>376</v>
      </c>
      <c r="AR17803" s="4" t="s">
        <v>377</v>
      </c>
    </row>
    <row r="17804" spans="1:44">
      <c r="A17804" s="4" t="s">
        <v>10753</v>
      </c>
      <c r="B17804" s="4">
        <v>65697</v>
      </c>
      <c r="D17804" s="5" t="s">
        <v>21768</v>
      </c>
      <c r="E17804" s="6" t="str">
        <f>HYPERLINK("https://inpn.mnhn.fr/espece/cd_nom/65697","Platycleis albopunctata (Goeze, 1778)")</f>
        <v>Platycleis albopunctata (Goeze, 1778)</v>
      </c>
      <c r="F17804" s="5" t="s">
        <v>21769</v>
      </c>
      <c r="P17804" s="7" t="str">
        <f>HYPERLINK("#Liste_rouge!A"&amp;_xlfn.XMATCH("LC",Liste_rouge!A:A,2,1),"LC")</f>
        <v>LC</v>
      </c>
      <c r="AH17804" s="4" t="str">
        <f>HYPERLINK("#Statut_biogéographique!A"&amp;_xlfn.XMATCH("P",Statut_biogéographique!A:A,2,1),"P")</f>
        <v>P</v>
      </c>
      <c r="AM17804" s="4" t="s">
        <v>375</v>
      </c>
      <c r="AN17804" s="4" t="s">
        <v>375</v>
      </c>
      <c r="AO17804" s="4" t="s">
        <v>375</v>
      </c>
      <c r="AP17804" s="4" t="s">
        <v>376</v>
      </c>
      <c r="AR17804" s="4" t="s">
        <v>377</v>
      </c>
    </row>
    <row r="17805" spans="1:44" ht="30">
      <c r="A17805" s="4" t="s">
        <v>10753</v>
      </c>
      <c r="B17805" s="4">
        <v>65699</v>
      </c>
      <c r="D17805" s="5" t="s">
        <v>21770</v>
      </c>
      <c r="E17805" s="6" t="str">
        <f>HYPERLINK("https://inpn.mnhn.fr/espece/cd_nom/65699","Platycleis albopunctata albopunctata (Goeze, 1778)")</f>
        <v>Platycleis albopunctata albopunctata (Goeze, 1778)</v>
      </c>
      <c r="F17805" s="5" t="s">
        <v>21771</v>
      </c>
      <c r="V17805" s="7" t="str">
        <f>HYPERLINK("#Liste_rouge!A"&amp;_xlfn.XMATCH("LC",Liste_rouge!A:A,2,1),"LC")</f>
        <v>LC</v>
      </c>
      <c r="AH17805" s="4" t="str">
        <f>HYPERLINK("#Statut_biogéographique!A"&amp;_xlfn.XMATCH("P",Statut_biogéographique!A:A,2,1),"P")</f>
        <v>P</v>
      </c>
      <c r="AP17805" s="4" t="s">
        <v>376</v>
      </c>
      <c r="AR17805" s="4" t="s">
        <v>377</v>
      </c>
    </row>
    <row r="17806" spans="1:44" ht="30">
      <c r="A17806" s="4" t="s">
        <v>10753</v>
      </c>
      <c r="B17806" s="4">
        <v>65718</v>
      </c>
      <c r="D17806" s="5" t="s">
        <v>21772</v>
      </c>
      <c r="E17806" s="6" t="str">
        <f>HYPERLINK("https://inpn.mnhn.fr/espece/cd_nom/65718","Metrioptera brachyptera (Linnaeus, 1761)")</f>
        <v>Metrioptera brachyptera (Linnaeus, 1761)</v>
      </c>
      <c r="F17806" s="5" t="s">
        <v>21773</v>
      </c>
      <c r="P17806" s="7" t="str">
        <f>HYPERLINK("#Liste_rouge!A"&amp;_xlfn.XMATCH("LC",Liste_rouge!A:A,2,1),"LC")</f>
        <v>LC</v>
      </c>
      <c r="V17806" s="7" t="str">
        <f>HYPERLINK("#Liste_rouge!A"&amp;_xlfn.XMATCH("NT",Liste_rouge!A:A,2,1),"NT")</f>
        <v>NT</v>
      </c>
      <c r="W17806" s="4" t="str">
        <f>HYPERLINK("#Critères_liste_rouge!A$1","pr.A3c")</f>
        <v>pr.A3c</v>
      </c>
      <c r="X17806" s="5" t="s">
        <v>374</v>
      </c>
      <c r="AE17806" s="4" t="str">
        <f>HYPERLINK("#SCAP!A"&amp;_xlfn.XMATCH("A",SCAP!A:A,2,1),"A")</f>
        <v>A</v>
      </c>
      <c r="AH17806" s="4" t="str">
        <f>HYPERLINK("#Statut_biogéographique!A"&amp;_xlfn.XMATCH("P",Statut_biogéographique!A:A,2,1),"P")</f>
        <v>P</v>
      </c>
      <c r="AM17806" s="4" t="s">
        <v>375</v>
      </c>
      <c r="AN17806" s="4" t="s">
        <v>375</v>
      </c>
      <c r="AO17806" s="4" t="s">
        <v>375</v>
      </c>
      <c r="AP17806" s="4" t="s">
        <v>376</v>
      </c>
      <c r="AR17806" s="4" t="s">
        <v>377</v>
      </c>
    </row>
    <row r="17807" spans="1:44" ht="30">
      <c r="A17807" s="4" t="s">
        <v>10753</v>
      </c>
      <c r="B17807" s="4">
        <v>65719</v>
      </c>
      <c r="D17807" s="5" t="s">
        <v>21774</v>
      </c>
      <c r="E17807" s="6" t="str">
        <f>HYPERLINK("https://inpn.mnhn.fr/espece/cd_nom/65719","Metrioptera saussuriana (Frey-Gessner, 1872)")</f>
        <v>Metrioptera saussuriana (Frey-Gessner, 1872)</v>
      </c>
      <c r="F17807" s="5" t="s">
        <v>21775</v>
      </c>
      <c r="P17807" s="7" t="str">
        <f>HYPERLINK("#Liste_rouge!A"&amp;_xlfn.XMATCH("LC",Liste_rouge!A:A,2,1),"LC")</f>
        <v>LC</v>
      </c>
      <c r="V17807" s="7" t="str">
        <f>HYPERLINK("#Liste_rouge!A"&amp;_xlfn.XMATCH("LC",Liste_rouge!A:A,2,1),"LC")</f>
        <v>LC</v>
      </c>
      <c r="X17807" s="5" t="s">
        <v>374</v>
      </c>
      <c r="AH17807" s="4" t="str">
        <f>HYPERLINK("#Statut_biogéographique!A"&amp;_xlfn.XMATCH("P",Statut_biogéographique!A:A,2,1),"P")</f>
        <v>P</v>
      </c>
      <c r="AM17807" s="4" t="s">
        <v>375</v>
      </c>
      <c r="AN17807" s="4" t="s">
        <v>375</v>
      </c>
      <c r="AO17807" s="4" t="s">
        <v>375</v>
      </c>
      <c r="AP17807" s="4" t="s">
        <v>376</v>
      </c>
      <c r="AR17807" s="4" t="s">
        <v>377</v>
      </c>
    </row>
    <row r="17808" spans="1:44">
      <c r="A17808" s="4" t="s">
        <v>10753</v>
      </c>
      <c r="B17808" s="4">
        <v>65739</v>
      </c>
      <c r="D17808" s="5" t="s">
        <v>21776</v>
      </c>
      <c r="E17808" s="6" t="str">
        <f>HYPERLINK("https://inpn.mnhn.fr/espece/cd_nom/65739","Pholidoptera fallax (Fischer, 1853)")</f>
        <v>Pholidoptera fallax (Fischer, 1853)</v>
      </c>
      <c r="F17808" s="5" t="s">
        <v>21777</v>
      </c>
      <c r="P17808" s="7" t="str">
        <f>HYPERLINK("#Liste_rouge!A"&amp;_xlfn.XMATCH("LC",Liste_rouge!A:A,2,1),"LC")</f>
        <v>LC</v>
      </c>
      <c r="AH17808" s="4" t="str">
        <f>HYPERLINK("#Statut_biogéographique!A"&amp;_xlfn.XMATCH("P",Statut_biogéographique!A:A,2,1),"P")</f>
        <v>P</v>
      </c>
      <c r="AP17808" s="4" t="s">
        <v>376</v>
      </c>
      <c r="AR17808" s="4" t="s">
        <v>377</v>
      </c>
    </row>
    <row r="17809" spans="1:44">
      <c r="A17809" s="4" t="s">
        <v>10753</v>
      </c>
      <c r="B17809" s="4">
        <v>65740</v>
      </c>
      <c r="D17809" s="5" t="s">
        <v>21778</v>
      </c>
      <c r="E17809" s="6" t="str">
        <f>HYPERLINK("https://inpn.mnhn.fr/espece/cd_nom/65740","Pholidoptera griseoaptera (De Geer, 1773)")</f>
        <v>Pholidoptera griseoaptera (De Geer, 1773)</v>
      </c>
      <c r="F17809" s="5" t="s">
        <v>21779</v>
      </c>
      <c r="P17809" s="7" t="str">
        <f>HYPERLINK("#Liste_rouge!A"&amp;_xlfn.XMATCH("LC",Liste_rouge!A:A,2,1),"LC")</f>
        <v>LC</v>
      </c>
      <c r="V17809" s="7" t="str">
        <f>HYPERLINK("#Liste_rouge!A"&amp;_xlfn.XMATCH("LC",Liste_rouge!A:A,2,1),"LC")</f>
        <v>LC</v>
      </c>
      <c r="AH17809" s="4" t="str">
        <f>HYPERLINK("#Statut_biogéographique!A"&amp;_xlfn.XMATCH("P",Statut_biogéographique!A:A,2,1),"P")</f>
        <v>P</v>
      </c>
      <c r="AM17809" s="4" t="s">
        <v>375</v>
      </c>
      <c r="AN17809" s="4" t="s">
        <v>375</v>
      </c>
      <c r="AO17809" s="4" t="s">
        <v>375</v>
      </c>
      <c r="AP17809" s="4" t="s">
        <v>376</v>
      </c>
      <c r="AR17809" s="4" t="s">
        <v>377</v>
      </c>
    </row>
    <row r="17810" spans="1:44" ht="30">
      <c r="A17810" s="4" t="s">
        <v>10753</v>
      </c>
      <c r="B17810" s="4">
        <v>65765</v>
      </c>
      <c r="D17810" s="5" t="s">
        <v>21780</v>
      </c>
      <c r="E17810" s="6" t="str">
        <f>HYPERLINK("https://inpn.mnhn.fr/espece/cd_nom/65765","Antaxius pedestris (Fabricius, 1787)")</f>
        <v>Antaxius pedestris (Fabricius, 1787)</v>
      </c>
      <c r="F17810" s="5" t="s">
        <v>21781</v>
      </c>
      <c r="O17810" s="7" t="str">
        <f>HYPERLINK("#Liste_rouge!A"&amp;_xlfn.XMATCH("LC",Liste_rouge!A:A,2,1),"LC")</f>
        <v>LC</v>
      </c>
      <c r="P17810" s="7" t="str">
        <f>HYPERLINK("#Liste_rouge!A"&amp;_xlfn.XMATCH("LC",Liste_rouge!A:A,2,1),"LC")</f>
        <v>LC</v>
      </c>
      <c r="X17810" s="5" t="s">
        <v>374</v>
      </c>
      <c r="AH17810" s="4" t="str">
        <f>HYPERLINK("#Statut_biogéographique!A"&amp;_xlfn.XMATCH("P",Statut_biogéographique!A:A,2,1),"P")</f>
        <v>P</v>
      </c>
      <c r="AM17810" s="4" t="s">
        <v>375</v>
      </c>
      <c r="AN17810" s="4" t="s">
        <v>375</v>
      </c>
      <c r="AO17810" s="4" t="s">
        <v>375</v>
      </c>
      <c r="AP17810" s="4" t="s">
        <v>376</v>
      </c>
      <c r="AR17810" s="4" t="s">
        <v>377</v>
      </c>
    </row>
    <row r="17811" spans="1:44" ht="30">
      <c r="A17811" s="4" t="s">
        <v>10753</v>
      </c>
      <c r="B17811" s="4">
        <v>65771</v>
      </c>
      <c r="D17811" s="5" t="s">
        <v>21782</v>
      </c>
      <c r="E17811" s="6" t="str">
        <f>HYPERLINK("https://inpn.mnhn.fr/espece/cd_nom/65771","Gampsocleis glabra (Herbst, 1786)")</f>
        <v>Gampsocleis glabra (Herbst, 1786)</v>
      </c>
      <c r="F17811" s="5" t="s">
        <v>21783</v>
      </c>
      <c r="O17811" s="7" t="str">
        <f>HYPERLINK("#Liste_rouge!A"&amp;_xlfn.XMATCH("LC",Liste_rouge!A:A,2,1),"LC")</f>
        <v>LC</v>
      </c>
      <c r="P17811" s="7" t="str">
        <f>HYPERLINK("#Liste_rouge!A"&amp;_xlfn.XMATCH("NT",Liste_rouge!A:A,2,1),"NT")</f>
        <v>NT</v>
      </c>
      <c r="X17811" s="5" t="s">
        <v>374</v>
      </c>
      <c r="AE17811" s="4" t="str">
        <f>HYPERLINK("#SCAP!A"&amp;_xlfn.XMATCH("A",SCAP!A:A,2,1),"A")</f>
        <v>A</v>
      </c>
      <c r="AF17811" s="4" t="str">
        <f>HYPERLINK("#SCAP!A"&amp;_xlfn.XMATCH("A",SCAP!A:A,2,1),"A")</f>
        <v>A</v>
      </c>
      <c r="AH17811" s="4" t="str">
        <f>HYPERLINK("#Statut_biogéographique!A"&amp;_xlfn.XMATCH("P",Statut_biogéographique!A:A,2,1),"P")</f>
        <v>P</v>
      </c>
      <c r="AM17811" s="4" t="s">
        <v>375</v>
      </c>
      <c r="AN17811" s="4" t="s">
        <v>382</v>
      </c>
      <c r="AO17811" s="4" t="s">
        <v>382</v>
      </c>
      <c r="AP17811" s="4" t="s">
        <v>376</v>
      </c>
      <c r="AR17811" s="4" t="s">
        <v>377</v>
      </c>
    </row>
    <row r="17812" spans="1:44" ht="45">
      <c r="A17812" s="4" t="s">
        <v>10753</v>
      </c>
      <c r="B17812" s="4">
        <v>65774</v>
      </c>
      <c r="D17812" s="5" t="s">
        <v>21784</v>
      </c>
      <c r="E17812" s="6" t="str">
        <f>HYPERLINK("https://inpn.mnhn.fr/espece/cd_nom/65774","Tettigonia viridissima (Linnaeus, 1758)")</f>
        <v>Tettigonia viridissima (Linnaeus, 1758)</v>
      </c>
      <c r="F17812" s="5" t="s">
        <v>21785</v>
      </c>
      <c r="P17812" s="7" t="str">
        <f>HYPERLINK("#Liste_rouge!A"&amp;_xlfn.XMATCH("LC",Liste_rouge!A:A,2,1),"LC")</f>
        <v>LC</v>
      </c>
      <c r="V17812" s="7" t="str">
        <f>HYPERLINK("#Liste_rouge!A"&amp;_xlfn.XMATCH("LC",Liste_rouge!A:A,2,1),"LC")</f>
        <v>LC</v>
      </c>
      <c r="AH17812" s="4" t="str">
        <f>HYPERLINK("#Statut_biogéographique!A"&amp;_xlfn.XMATCH("P",Statut_biogéographique!A:A,2,1),"P")</f>
        <v>P</v>
      </c>
      <c r="AM17812" s="4" t="s">
        <v>375</v>
      </c>
      <c r="AN17812" s="4" t="s">
        <v>375</v>
      </c>
      <c r="AO17812" s="4" t="s">
        <v>375</v>
      </c>
      <c r="AP17812" s="4" t="s">
        <v>376</v>
      </c>
      <c r="AR17812" s="4" t="s">
        <v>377</v>
      </c>
    </row>
    <row r="17813" spans="1:44">
      <c r="A17813" s="4" t="s">
        <v>10753</v>
      </c>
      <c r="B17813" s="4">
        <v>65785</v>
      </c>
      <c r="D17813" s="5">
        <v>65785</v>
      </c>
      <c r="E17813" s="6" t="str">
        <f>HYPERLINK("https://inpn.mnhn.fr/espece/cd_nom/65785","Blatta orientalis Linnaeus, 1758")</f>
        <v>Blatta orientalis Linnaeus, 1758</v>
      </c>
      <c r="F17813" s="5" t="s">
        <v>21786</v>
      </c>
      <c r="AH17813" s="4" t="str">
        <f>HYPERLINK("#Statut_biogéographique!A"&amp;_xlfn.XMATCH("C",Statut_biogéographique!A:A,2,1),"C")</f>
        <v>C</v>
      </c>
      <c r="AP17813" s="4" t="s">
        <v>376</v>
      </c>
      <c r="AR17813" s="4" t="s">
        <v>377</v>
      </c>
    </row>
    <row r="17814" spans="1:44">
      <c r="A17814" s="4" t="s">
        <v>10753</v>
      </c>
      <c r="B17814" s="4">
        <v>65787</v>
      </c>
      <c r="D17814" s="5" t="s">
        <v>21787</v>
      </c>
      <c r="E17814" s="6" t="str">
        <f>HYPERLINK("https://inpn.mnhn.fr/espece/cd_nom/65787","Periplaneta americana (Linnaeus, 1758)")</f>
        <v>Periplaneta americana (Linnaeus, 1758)</v>
      </c>
      <c r="AH17814" s="4" t="str">
        <f>HYPERLINK("#Statut_biogéographique!A"&amp;_xlfn.XMATCH("I",Statut_biogéographique!A:A,2,1),"I")</f>
        <v>I</v>
      </c>
      <c r="AP17814" s="4" t="s">
        <v>376</v>
      </c>
      <c r="AR17814" s="4" t="s">
        <v>377</v>
      </c>
    </row>
    <row r="17815" spans="1:44" ht="30">
      <c r="A17815" s="4" t="s">
        <v>10753</v>
      </c>
      <c r="B17815" s="4">
        <v>65788</v>
      </c>
      <c r="D17815" s="5" t="s">
        <v>21788</v>
      </c>
      <c r="E17815" s="6" t="str">
        <f>HYPERLINK("https://inpn.mnhn.fr/espece/cd_nom/65788","Periplaneta australasiae (Fabricius, 1775)")</f>
        <v>Periplaneta australasiae (Fabricius, 1775)</v>
      </c>
      <c r="AH17815" s="4" t="str">
        <f>HYPERLINK("#Statut_biogéographique!A"&amp;_xlfn.XMATCH("I",Statut_biogéographique!A:A,2,1),"I")</f>
        <v>I</v>
      </c>
      <c r="AP17815" s="4" t="s">
        <v>376</v>
      </c>
      <c r="AR17815" s="4" t="s">
        <v>377</v>
      </c>
    </row>
    <row r="17816" spans="1:44" ht="30">
      <c r="A17816" s="4" t="s">
        <v>10753</v>
      </c>
      <c r="B17816" s="4">
        <v>65793</v>
      </c>
      <c r="D17816" s="5" t="s">
        <v>21789</v>
      </c>
      <c r="E17816" s="6" t="str">
        <f>HYPERLINK("https://inpn.mnhn.fr/espece/cd_nom/65793","Ectobius pallidus (Olivier, 1789)")</f>
        <v>Ectobius pallidus (Olivier, 1789)</v>
      </c>
      <c r="AH17816" s="4" t="str">
        <f>HYPERLINK("#Statut_biogéographique!A"&amp;_xlfn.XMATCH("P",Statut_biogéographique!A:A,2,1),"P")</f>
        <v>P</v>
      </c>
      <c r="AP17816" s="4" t="s">
        <v>376</v>
      </c>
      <c r="AR17816" s="4" t="s">
        <v>377</v>
      </c>
    </row>
    <row r="17817" spans="1:44">
      <c r="A17817" s="4" t="s">
        <v>10753</v>
      </c>
      <c r="B17817" s="4">
        <v>65796</v>
      </c>
      <c r="D17817" s="5">
        <v>65796</v>
      </c>
      <c r="E17817" s="6" t="str">
        <f>HYPERLINK("https://inpn.mnhn.fr/espece/cd_nom/65796","Ectobius corsorum Ramme, 1923")</f>
        <v>Ectobius corsorum Ramme, 1923</v>
      </c>
      <c r="AH17817" s="4" t="str">
        <f>HYPERLINK("#Statut_biogéographique!A"&amp;_xlfn.XMATCH("E",Statut_biogéographique!A:A,2,1),"E")</f>
        <v>E</v>
      </c>
      <c r="AP17817" s="4" t="s">
        <v>376</v>
      </c>
      <c r="AR17817" s="4" t="s">
        <v>377</v>
      </c>
    </row>
    <row r="17818" spans="1:44">
      <c r="A17818" s="4" t="s">
        <v>10753</v>
      </c>
      <c r="B17818" s="4">
        <v>65797</v>
      </c>
      <c r="D17818" s="5" t="s">
        <v>21790</v>
      </c>
      <c r="E17818" s="6" t="str">
        <f>HYPERLINK("https://inpn.mnhn.fr/espece/cd_nom/65797","Ectobius sylvestris (Poda, 1761)")</f>
        <v>Ectobius sylvestris (Poda, 1761)</v>
      </c>
      <c r="AH17818" s="4" t="str">
        <f>HYPERLINK("#Statut_biogéographique!A"&amp;_xlfn.XMATCH("P",Statut_biogéographique!A:A,2,1),"P")</f>
        <v>P</v>
      </c>
      <c r="AP17818" s="4" t="s">
        <v>376</v>
      </c>
      <c r="AR17818" s="4" t="s">
        <v>377</v>
      </c>
    </row>
    <row r="17819" spans="1:44">
      <c r="A17819" s="4" t="s">
        <v>10753</v>
      </c>
      <c r="B17819" s="4">
        <v>65798</v>
      </c>
      <c r="D17819" s="5">
        <v>65798</v>
      </c>
      <c r="E17819" s="6" t="str">
        <f>HYPERLINK("https://inpn.mnhn.fr/espece/cd_nom/65798","Ectobius eckerleini Harz, 1977")</f>
        <v>Ectobius eckerleini Harz, 1977</v>
      </c>
      <c r="AH17819" s="4" t="str">
        <f>HYPERLINK("#Statut_biogéographique!A"&amp;_xlfn.XMATCH("P",Statut_biogéographique!A:A,2,1),"P")</f>
        <v>P</v>
      </c>
      <c r="AP17819" s="4" t="s">
        <v>376</v>
      </c>
      <c r="AR17819" s="4" t="s">
        <v>377</v>
      </c>
    </row>
    <row r="17820" spans="1:44">
      <c r="A17820" s="4" t="s">
        <v>10753</v>
      </c>
      <c r="B17820" s="4">
        <v>65801</v>
      </c>
      <c r="D17820" s="5" t="s">
        <v>21791</v>
      </c>
      <c r="E17820" s="6" t="str">
        <f>HYPERLINK("https://inpn.mnhn.fr/espece/cd_nom/65801","Ectobius lapponicus (Linnaeus, 1758)")</f>
        <v>Ectobius lapponicus (Linnaeus, 1758)</v>
      </c>
      <c r="F17820" s="5" t="s">
        <v>21792</v>
      </c>
      <c r="AH17820" s="4" t="str">
        <f>HYPERLINK("#Statut_biogéographique!A"&amp;_xlfn.XMATCH("P",Statut_biogéographique!A:A,2,1),"P")</f>
        <v>P</v>
      </c>
      <c r="AP17820" s="4" t="s">
        <v>376</v>
      </c>
      <c r="AR17820" s="4" t="s">
        <v>377</v>
      </c>
    </row>
    <row r="17821" spans="1:44">
      <c r="A17821" s="4" t="s">
        <v>10753</v>
      </c>
      <c r="B17821" s="4">
        <v>65807</v>
      </c>
      <c r="D17821" s="5" t="s">
        <v>21793</v>
      </c>
      <c r="E17821" s="6" t="str">
        <f>HYPERLINK("https://inpn.mnhn.fr/espece/cd_nom/65807","Phyllodromica marginata (Schreber, 1781)")</f>
        <v>Phyllodromica marginata (Schreber, 1781)</v>
      </c>
      <c r="AH17821" s="4" t="str">
        <f>HYPERLINK("#Statut_biogéographique!A"&amp;_xlfn.XMATCH("D",Statut_biogéographique!A:A,2,1),"D")</f>
        <v>D</v>
      </c>
      <c r="AP17821" s="4" t="s">
        <v>376</v>
      </c>
      <c r="AR17821" s="4" t="s">
        <v>377</v>
      </c>
    </row>
    <row r="17822" spans="1:44">
      <c r="A17822" s="4" t="s">
        <v>10753</v>
      </c>
      <c r="B17822" s="4">
        <v>65808</v>
      </c>
      <c r="D17822" s="5" t="s">
        <v>21794</v>
      </c>
      <c r="E17822" s="6" t="str">
        <f>HYPERLINK("https://inpn.mnhn.fr/espece/cd_nom/65808","Phyllodromica sardea (Audinet-Serville, 1839)")</f>
        <v>Phyllodromica sardea (Audinet-Serville, 1839)</v>
      </c>
      <c r="AH17822" s="4" t="str">
        <f>HYPERLINK("#Statut_biogéographique!A"&amp;_xlfn.XMATCH("P",Statut_biogéographique!A:A,2,1),"P")</f>
        <v>P</v>
      </c>
      <c r="AP17822" s="4" t="s">
        <v>376</v>
      </c>
      <c r="AR17822" s="4" t="s">
        <v>377</v>
      </c>
    </row>
    <row r="17823" spans="1:44">
      <c r="A17823" s="4" t="s">
        <v>10753</v>
      </c>
      <c r="B17823" s="4">
        <v>65809</v>
      </c>
      <c r="D17823" s="5">
        <v>65809</v>
      </c>
      <c r="E17823" s="6" t="str">
        <f>HYPERLINK("https://inpn.mnhn.fr/espece/cd_nom/65809","Phyllodromica chopardi Fernandes, 1962")</f>
        <v>Phyllodromica chopardi Fernandes, 1962</v>
      </c>
      <c r="AH17823" s="4" t="str">
        <f>HYPERLINK("#Statut_biogéographique!A"&amp;_xlfn.XMATCH("P",Statut_biogéographique!A:A,2,1),"P")</f>
        <v>P</v>
      </c>
      <c r="AP17823" s="4" t="s">
        <v>376</v>
      </c>
      <c r="AR17823" s="4" t="s">
        <v>377</v>
      </c>
    </row>
    <row r="17824" spans="1:44">
      <c r="A17824" s="4" t="s">
        <v>10753</v>
      </c>
      <c r="B17824" s="4">
        <v>65810</v>
      </c>
      <c r="D17824" s="5" t="s">
        <v>21795</v>
      </c>
      <c r="E17824" s="6" t="str">
        <f>HYPERLINK("https://inpn.mnhn.fr/espece/cd_nom/65810","Phyllodromica subaptera (Rambur, 1838)")</f>
        <v>Phyllodromica subaptera (Rambur, 1838)</v>
      </c>
      <c r="AH17824" s="4" t="str">
        <f>HYPERLINK("#Statut_biogéographique!A"&amp;_xlfn.XMATCH("P",Statut_biogéographique!A:A,2,1),"P")</f>
        <v>P</v>
      </c>
      <c r="AP17824" s="4" t="s">
        <v>376</v>
      </c>
      <c r="AR17824" s="4" t="s">
        <v>377</v>
      </c>
    </row>
    <row r="17825" spans="1:44">
      <c r="A17825" s="4" t="s">
        <v>10753</v>
      </c>
      <c r="B17825" s="4">
        <v>65814</v>
      </c>
      <c r="D17825" s="5" t="s">
        <v>21796</v>
      </c>
      <c r="E17825" s="6" t="str">
        <f>HYPERLINK("https://inpn.mnhn.fr/espece/cd_nom/65814","Blattella germanica (Linnaeus, 1767)")</f>
        <v>Blattella germanica (Linnaeus, 1767)</v>
      </c>
      <c r="F17825" s="5" t="s">
        <v>21797</v>
      </c>
      <c r="AH17825" s="4" t="str">
        <f>HYPERLINK("#Statut_biogéographique!A"&amp;_xlfn.XMATCH("P",Statut_biogéographique!A:A,2,1),"P")</f>
        <v>P</v>
      </c>
      <c r="AP17825" s="4" t="s">
        <v>376</v>
      </c>
      <c r="AR17825" s="4" t="s">
        <v>377</v>
      </c>
    </row>
    <row r="17826" spans="1:44">
      <c r="A17826" s="4" t="s">
        <v>10753</v>
      </c>
      <c r="B17826" s="4">
        <v>65816</v>
      </c>
      <c r="D17826" s="5" t="s">
        <v>21798</v>
      </c>
      <c r="E17826" s="6" t="str">
        <f>HYPERLINK("https://inpn.mnhn.fr/espece/cd_nom/65816","Supella longipalpa (Fabricius, 1798)")</f>
        <v>Supella longipalpa (Fabricius, 1798)</v>
      </c>
      <c r="AH17826" s="4" t="str">
        <f>HYPERLINK("#Statut_biogéographique!A"&amp;_xlfn.XMATCH("I",Statut_biogéographique!A:A,2,1),"I")</f>
        <v>I</v>
      </c>
      <c r="AP17826" s="4" t="s">
        <v>376</v>
      </c>
      <c r="AR17826" s="4" t="s">
        <v>377</v>
      </c>
    </row>
    <row r="17827" spans="1:44">
      <c r="A17827" s="4" t="s">
        <v>10753</v>
      </c>
      <c r="B17827" s="4">
        <v>65818</v>
      </c>
      <c r="D17827" s="5" t="s">
        <v>21799</v>
      </c>
      <c r="E17827" s="6" t="str">
        <f>HYPERLINK("https://inpn.mnhn.fr/espece/cd_nom/65818","Loboptera decipiens (Germar, 1817)")</f>
        <v>Loboptera decipiens (Germar, 1817)</v>
      </c>
      <c r="AH17827" s="4" t="str">
        <f>HYPERLINK("#Statut_biogéographique!A"&amp;_xlfn.XMATCH("P",Statut_biogéographique!A:A,2,1),"P")</f>
        <v>P</v>
      </c>
      <c r="AP17827" s="4" t="s">
        <v>376</v>
      </c>
      <c r="AR17827" s="4" t="s">
        <v>377</v>
      </c>
    </row>
    <row r="17828" spans="1:44">
      <c r="A17828" s="4" t="s">
        <v>10753</v>
      </c>
      <c r="B17828" s="4">
        <v>65823</v>
      </c>
      <c r="D17828" s="5" t="s">
        <v>21800</v>
      </c>
      <c r="E17828" s="6" t="str">
        <f>HYPERLINK("https://inpn.mnhn.fr/espece/cd_nom/65823","Perlamantis alliberti Guérin-Méneville, 1843")</f>
        <v>Perlamantis alliberti Guérin-Méneville, 1843</v>
      </c>
      <c r="O17828" s="7" t="str">
        <f>HYPERLINK("#Liste_rouge!A"&amp;_xlfn.XMATCH("DD",Liste_rouge!A:A,2,1),"DD")</f>
        <v>DD</v>
      </c>
      <c r="AH17828" s="4" t="str">
        <f>HYPERLINK("#Statut_biogéographique!A"&amp;_xlfn.XMATCH("P",Statut_biogéographique!A:A,2,1),"P")</f>
        <v>P</v>
      </c>
      <c r="AP17828" s="4" t="s">
        <v>376</v>
      </c>
      <c r="AR17828" s="4" t="s">
        <v>377</v>
      </c>
    </row>
    <row r="17829" spans="1:44" ht="30">
      <c r="A17829" s="4" t="s">
        <v>10753</v>
      </c>
      <c r="B17829" s="4">
        <v>65827</v>
      </c>
      <c r="D17829" s="5" t="s">
        <v>21801</v>
      </c>
      <c r="E17829" s="6" t="str">
        <f>HYPERLINK("https://inpn.mnhn.fr/espece/cd_nom/65827","Empusa pennata (Thunberg, 1815)")</f>
        <v>Empusa pennata (Thunberg, 1815)</v>
      </c>
      <c r="F17829" s="5" t="s">
        <v>21802</v>
      </c>
      <c r="O17829" s="7" t="str">
        <f>HYPERLINK("#Liste_rouge!A"&amp;_xlfn.XMATCH("LC",Liste_rouge!A:A,2,1),"LC")</f>
        <v>LC</v>
      </c>
      <c r="AH17829" s="4" t="str">
        <f>HYPERLINK("#Statut_biogéographique!A"&amp;_xlfn.XMATCH("P",Statut_biogéographique!A:A,2,1),"P")</f>
        <v>P</v>
      </c>
      <c r="AP17829" s="4" t="s">
        <v>376</v>
      </c>
      <c r="AR17829" s="4" t="s">
        <v>377</v>
      </c>
    </row>
    <row r="17830" spans="1:44" ht="30">
      <c r="A17830" s="4" t="s">
        <v>10753</v>
      </c>
      <c r="B17830" s="4">
        <v>65832</v>
      </c>
      <c r="D17830" s="5" t="s">
        <v>21803</v>
      </c>
      <c r="E17830" s="6" t="str">
        <f>HYPERLINK("https://inpn.mnhn.fr/espece/cd_nom/65832","Ameles spallanzania (Rossi, 1792)")</f>
        <v>Ameles spallanzania (Rossi, 1792)</v>
      </c>
      <c r="O17830" s="7" t="str">
        <f>HYPERLINK("#Liste_rouge!A"&amp;_xlfn.XMATCH("LC",Liste_rouge!A:A,2,1),"LC")</f>
        <v>LC</v>
      </c>
      <c r="AH17830" s="4" t="str">
        <f>HYPERLINK("#Statut_biogéographique!A"&amp;_xlfn.XMATCH("P",Statut_biogéographique!A:A,2,1),"P")</f>
        <v>P</v>
      </c>
      <c r="AP17830" s="4" t="s">
        <v>376</v>
      </c>
      <c r="AR17830" s="4" t="s">
        <v>377</v>
      </c>
    </row>
    <row r="17831" spans="1:44">
      <c r="A17831" s="4" t="s">
        <v>10753</v>
      </c>
      <c r="B17831" s="4">
        <v>65834</v>
      </c>
      <c r="D17831" s="5" t="s">
        <v>21804</v>
      </c>
      <c r="E17831" s="6" t="str">
        <f>HYPERLINK("https://inpn.mnhn.fr/espece/cd_nom/65834","Ameles decolor (Charpentier, 1825)")</f>
        <v>Ameles decolor (Charpentier, 1825)</v>
      </c>
      <c r="F17831" s="5" t="s">
        <v>21805</v>
      </c>
      <c r="O17831" s="7" t="str">
        <f>HYPERLINK("#Liste_rouge!A"&amp;_xlfn.XMATCH("LC",Liste_rouge!A:A,2,1),"LC")</f>
        <v>LC</v>
      </c>
      <c r="AH17831" s="4" t="str">
        <f>HYPERLINK("#Statut_biogéographique!A"&amp;_xlfn.XMATCH("P",Statut_biogéographique!A:A,2,1),"P")</f>
        <v>P</v>
      </c>
      <c r="AP17831" s="4" t="s">
        <v>376</v>
      </c>
      <c r="AR17831" s="4" t="s">
        <v>377</v>
      </c>
    </row>
    <row r="17832" spans="1:44">
      <c r="A17832" s="4" t="s">
        <v>10753</v>
      </c>
      <c r="B17832" s="4">
        <v>65836</v>
      </c>
      <c r="D17832" s="5" t="s">
        <v>21806</v>
      </c>
      <c r="E17832" s="6" t="str">
        <f>HYPERLINK("https://inpn.mnhn.fr/espece/cd_nom/65836","Pseudoyersinia brevipennis (Yersin, 1860)")</f>
        <v>Pseudoyersinia brevipennis (Yersin, 1860)</v>
      </c>
      <c r="F17832" s="5" t="s">
        <v>21807</v>
      </c>
      <c r="O17832" s="7" t="str">
        <f>HYPERLINK("#Liste_rouge!A"&amp;_xlfn.XMATCH("EX",Liste_rouge!A:A,2,1),"EX")</f>
        <v>EX</v>
      </c>
      <c r="P17832" s="7" t="str">
        <f>HYPERLINK("#Liste_rouge!A"&amp;_xlfn.XMATCH("EX",Liste_rouge!A:A,2,1),"EX")</f>
        <v>EX</v>
      </c>
      <c r="AH17832" s="4" t="str">
        <f>HYPERLINK("#Statut_biogéographique!A"&amp;_xlfn.XMATCH("Z",Statut_biogéographique!A:A,2,1),"Z")</f>
        <v>Z</v>
      </c>
      <c r="AP17832" s="4" t="s">
        <v>376</v>
      </c>
      <c r="AR17832" s="4" t="s">
        <v>377</v>
      </c>
    </row>
    <row r="17833" spans="1:44" ht="30">
      <c r="A17833" s="4" t="s">
        <v>10753</v>
      </c>
      <c r="B17833" s="4">
        <v>65839</v>
      </c>
      <c r="D17833" s="5" t="s">
        <v>21808</v>
      </c>
      <c r="E17833" s="6" t="str">
        <f>HYPERLINK("https://inpn.mnhn.fr/espece/cd_nom/65839","Mantis religiosa (Linnaeus, 1758)")</f>
        <v>Mantis religiosa (Linnaeus, 1758)</v>
      </c>
      <c r="F17833" s="5" t="s">
        <v>21809</v>
      </c>
      <c r="O17833" s="7" t="str">
        <f>HYPERLINK("#Liste_rouge!A"&amp;_xlfn.XMATCH("LC",Liste_rouge!A:A,2,1),"LC")</f>
        <v>LC</v>
      </c>
      <c r="V17833" s="7" t="str">
        <f>HYPERLINK("#Liste_rouge!A"&amp;_xlfn.XMATCH("LC",Liste_rouge!A:A,2,1),"LC")</f>
        <v>LC</v>
      </c>
      <c r="AH17833" s="4" t="str">
        <f>HYPERLINK("#Statut_biogéographique!A"&amp;_xlfn.XMATCH("P",Statut_biogéographique!A:A,2,1),"P")</f>
        <v>P</v>
      </c>
      <c r="AP17833" s="4" t="s">
        <v>376</v>
      </c>
      <c r="AR17833" s="4" t="s">
        <v>377</v>
      </c>
    </row>
    <row r="17834" spans="1:44" ht="30">
      <c r="A17834" s="4" t="s">
        <v>10753</v>
      </c>
      <c r="B17834" s="4">
        <v>65842</v>
      </c>
      <c r="D17834" s="5" t="s">
        <v>21810</v>
      </c>
      <c r="E17834" s="6" t="str">
        <f>HYPERLINK("https://inpn.mnhn.fr/espece/cd_nom/65842","Iris oratoria (Linnaeus, 1758)")</f>
        <v>Iris oratoria (Linnaeus, 1758)</v>
      </c>
      <c r="F17834" s="5" t="s">
        <v>21811</v>
      </c>
      <c r="O17834" s="7" t="str">
        <f>HYPERLINK("#Liste_rouge!A"&amp;_xlfn.XMATCH("LC",Liste_rouge!A:A,2,1),"LC")</f>
        <v>LC</v>
      </c>
      <c r="AH17834" s="4" t="str">
        <f>HYPERLINK("#Statut_biogéographique!A"&amp;_xlfn.XMATCH("P",Statut_biogéographique!A:A,2,1),"P")</f>
        <v>P</v>
      </c>
      <c r="AP17834" s="4" t="s">
        <v>376</v>
      </c>
      <c r="AR17834" s="4" t="s">
        <v>377</v>
      </c>
    </row>
    <row r="17835" spans="1:44">
      <c r="A17835" s="4" t="s">
        <v>10753</v>
      </c>
      <c r="B17835" s="4">
        <v>65844</v>
      </c>
      <c r="D17835" s="5">
        <v>65844</v>
      </c>
      <c r="E17835" s="6" t="str">
        <f>HYPERLINK("https://inpn.mnhn.fr/espece/cd_nom/65844","Geomantis larvoides Pantel, 1896")</f>
        <v>Geomantis larvoides Pantel, 1896</v>
      </c>
      <c r="O17835" s="7" t="str">
        <f>HYPERLINK("#Liste_rouge!A"&amp;_xlfn.XMATCH("DD",Liste_rouge!A:A,2,1),"DD")</f>
        <v>DD</v>
      </c>
      <c r="AH17835" s="4" t="str">
        <f>HYPERLINK("#Statut_biogéographique!A"&amp;_xlfn.XMATCH("P",Statut_biogéographique!A:A,2,1),"P")</f>
        <v>P</v>
      </c>
      <c r="AP17835" s="4" t="s">
        <v>376</v>
      </c>
      <c r="AR17835" s="4" t="s">
        <v>377</v>
      </c>
    </row>
    <row r="17836" spans="1:44" ht="30">
      <c r="A17836" s="4" t="s">
        <v>10753</v>
      </c>
      <c r="B17836" s="4">
        <v>65851</v>
      </c>
      <c r="D17836" s="5" t="s">
        <v>21812</v>
      </c>
      <c r="E17836" s="6" t="str">
        <f>HYPERLINK("https://inpn.mnhn.fr/espece/cd_nom/65851","Anisolabis maritima (Bonelli, 1832)")</f>
        <v>Anisolabis maritima (Bonelli, 1832)</v>
      </c>
      <c r="AH17836" s="4" t="str">
        <f>HYPERLINK("#Statut_biogéographique!A"&amp;_xlfn.XMATCH("P",Statut_biogéographique!A:A,2,1),"P")</f>
        <v>P</v>
      </c>
      <c r="AP17836" s="4" t="s">
        <v>376</v>
      </c>
      <c r="AR17836" s="4" t="s">
        <v>377</v>
      </c>
    </row>
    <row r="17837" spans="1:44">
      <c r="A17837" s="4" t="s">
        <v>10753</v>
      </c>
      <c r="B17837" s="4">
        <v>65853</v>
      </c>
      <c r="D17837" s="5" t="s">
        <v>21813</v>
      </c>
      <c r="E17837" s="6" t="str">
        <f>HYPERLINK("https://inpn.mnhn.fr/espece/cd_nom/65853","Euborellia moesta (Géné, 1837)")</f>
        <v>Euborellia moesta (Géné, 1837)</v>
      </c>
      <c r="AH17837" s="4" t="str">
        <f>HYPERLINK("#Statut_biogéographique!A"&amp;_xlfn.XMATCH("P",Statut_biogéographique!A:A,2,1),"P")</f>
        <v>P</v>
      </c>
      <c r="AP17837" s="4" t="s">
        <v>376</v>
      </c>
      <c r="AR17837" s="4" t="s">
        <v>377</v>
      </c>
    </row>
    <row r="17838" spans="1:44" ht="45">
      <c r="A17838" s="4" t="s">
        <v>10753</v>
      </c>
      <c r="B17838" s="4">
        <v>65854</v>
      </c>
      <c r="D17838" s="5" t="s">
        <v>21814</v>
      </c>
      <c r="E17838" s="6" t="str">
        <f>HYPERLINK("https://inpn.mnhn.fr/espece/cd_nom/65854","Euborellia annulipes (Lucas, 1847)")</f>
        <v>Euborellia annulipes (Lucas, 1847)</v>
      </c>
      <c r="AH17838" s="4" t="str">
        <f>HYPERLINK("#Statut_biogéographique!A"&amp;_xlfn.XMATCH("C",Statut_biogéographique!A:A,2,1),"C")</f>
        <v>C</v>
      </c>
      <c r="AP17838" s="4" t="s">
        <v>376</v>
      </c>
      <c r="AR17838" s="4" t="s">
        <v>377</v>
      </c>
    </row>
    <row r="17839" spans="1:44" ht="30">
      <c r="A17839" s="4" t="s">
        <v>10753</v>
      </c>
      <c r="B17839" s="4">
        <v>65861</v>
      </c>
      <c r="D17839" s="5" t="s">
        <v>21815</v>
      </c>
      <c r="E17839" s="6" t="str">
        <f>HYPERLINK("https://inpn.mnhn.fr/espece/cd_nom/65861","Chelidurella acanthopygia (Géné, 1832)")</f>
        <v>Chelidurella acanthopygia (Géné, 1832)</v>
      </c>
      <c r="AH17839" s="4" t="str">
        <f>HYPERLINK("#Statut_biogéographique!A"&amp;_xlfn.XMATCH("P",Statut_biogéographique!A:A,2,1),"P")</f>
        <v>P</v>
      </c>
      <c r="AP17839" s="4" t="s">
        <v>376</v>
      </c>
      <c r="AR17839" s="4" t="s">
        <v>377</v>
      </c>
    </row>
    <row r="17840" spans="1:44" ht="30">
      <c r="A17840" s="4" t="s">
        <v>10753</v>
      </c>
      <c r="B17840" s="4">
        <v>65863</v>
      </c>
      <c r="D17840" s="5" t="s">
        <v>21816</v>
      </c>
      <c r="E17840" s="6" t="str">
        <f>HYPERLINK("https://inpn.mnhn.fr/espece/cd_nom/65863","Anechura bipunctata (Fabricius, 1781)")</f>
        <v>Anechura bipunctata (Fabricius, 1781)</v>
      </c>
      <c r="AH17840" s="4" t="str">
        <f>HYPERLINK("#Statut_biogéographique!A"&amp;_xlfn.XMATCH("P",Statut_biogéographique!A:A,2,1),"P")</f>
        <v>P</v>
      </c>
      <c r="AP17840" s="4" t="s">
        <v>376</v>
      </c>
      <c r="AR17840" s="4" t="s">
        <v>377</v>
      </c>
    </row>
    <row r="17841" spans="1:44">
      <c r="A17841" s="4" t="s">
        <v>10753</v>
      </c>
      <c r="B17841" s="4">
        <v>65865</v>
      </c>
      <c r="D17841" s="5" t="s">
        <v>21817</v>
      </c>
      <c r="E17841" s="6" t="str">
        <f>HYPERLINK("https://inpn.mnhn.fr/espece/cd_nom/65865","Pseudochelidura sinuata (Lafresnaye, 1828)")</f>
        <v>Pseudochelidura sinuata (Lafresnaye, 1828)</v>
      </c>
      <c r="AH17841" s="4" t="str">
        <f>HYPERLINK("#Statut_biogéographique!A"&amp;_xlfn.XMATCH("P",Statut_biogéographique!A:A,2,1),"P")</f>
        <v>P</v>
      </c>
      <c r="AP17841" s="4" t="s">
        <v>376</v>
      </c>
      <c r="AR17841" s="4" t="s">
        <v>377</v>
      </c>
    </row>
    <row r="17842" spans="1:44">
      <c r="A17842" s="4" t="s">
        <v>10753</v>
      </c>
      <c r="B17842" s="4">
        <v>65866</v>
      </c>
      <c r="D17842" s="5" t="s">
        <v>21818</v>
      </c>
      <c r="E17842" s="6" t="str">
        <f>HYPERLINK("https://inpn.mnhn.fr/espece/cd_nom/65866","Pseudochelidura minor Steinmann, 1979")</f>
        <v>Pseudochelidura minor Steinmann, 1979</v>
      </c>
      <c r="AH17842" s="4" t="str">
        <f>HYPERLINK("#Statut_biogéographique!A"&amp;_xlfn.XMATCH("P",Statut_biogéographique!A:A,2,1),"P")</f>
        <v>P</v>
      </c>
      <c r="AP17842" s="4" t="s">
        <v>376</v>
      </c>
      <c r="AR17842" s="4" t="s">
        <v>377</v>
      </c>
    </row>
    <row r="17843" spans="1:44">
      <c r="A17843" s="4" t="s">
        <v>10753</v>
      </c>
      <c r="B17843" s="4">
        <v>65867</v>
      </c>
      <c r="D17843" s="5">
        <v>65867</v>
      </c>
      <c r="E17843" s="6" t="str">
        <f>HYPERLINK("https://inpn.mnhn.fr/espece/cd_nom/65867","Pseudochelidura montuosa Steinmann, 1981")</f>
        <v>Pseudochelidura montuosa Steinmann, 1981</v>
      </c>
      <c r="AH17843" s="4" t="str">
        <f>HYPERLINK("#Statut_biogéographique!A"&amp;_xlfn.XMATCH("P",Statut_biogéographique!A:A,2,1),"P")</f>
        <v>P</v>
      </c>
      <c r="AP17843" s="4" t="s">
        <v>376</v>
      </c>
      <c r="AR17843" s="4" t="s">
        <v>377</v>
      </c>
    </row>
    <row r="17844" spans="1:44">
      <c r="A17844" s="4" t="s">
        <v>10753</v>
      </c>
      <c r="B17844" s="4">
        <v>65869</v>
      </c>
      <c r="D17844" s="5" t="s">
        <v>21819</v>
      </c>
      <c r="E17844" s="6" t="str">
        <f>HYPERLINK("https://inpn.mnhn.fr/espece/cd_nom/65869","Tettigonia cantans (Fuessly, 1775)")</f>
        <v>Tettigonia cantans (Fuessly, 1775)</v>
      </c>
      <c r="F17844" s="5" t="s">
        <v>21820</v>
      </c>
      <c r="P17844" s="7" t="str">
        <f>HYPERLINK("#Liste_rouge!A"&amp;_xlfn.XMATCH("LC",Liste_rouge!A:A,2,1),"LC")</f>
        <v>LC</v>
      </c>
      <c r="V17844" s="7" t="str">
        <f>HYPERLINK("#Liste_rouge!A"&amp;_xlfn.XMATCH("LC",Liste_rouge!A:A,2,1),"LC")</f>
        <v>LC</v>
      </c>
      <c r="AH17844" s="4" t="str">
        <f>HYPERLINK("#Statut_biogéographique!A"&amp;_xlfn.XMATCH("P",Statut_biogéographique!A:A,2,1),"P")</f>
        <v>P</v>
      </c>
      <c r="AM17844" s="4" t="s">
        <v>375</v>
      </c>
      <c r="AN17844" s="4" t="s">
        <v>375</v>
      </c>
      <c r="AO17844" s="4" t="s">
        <v>375</v>
      </c>
      <c r="AP17844" s="4" t="s">
        <v>376</v>
      </c>
      <c r="AR17844" s="4" t="s">
        <v>377</v>
      </c>
    </row>
    <row r="17845" spans="1:44" ht="30">
      <c r="A17845" s="4" t="s">
        <v>10753</v>
      </c>
      <c r="B17845" s="4">
        <v>65877</v>
      </c>
      <c r="D17845" s="5" t="s">
        <v>21821</v>
      </c>
      <c r="E17845" s="6" t="str">
        <f>HYPERLINK("https://inpn.mnhn.fr/espece/cd_nom/65877","Conocephalus fuscus (Fabricius, 1793)")</f>
        <v>Conocephalus fuscus (Fabricius, 1793)</v>
      </c>
      <c r="F17845" s="5" t="s">
        <v>21822</v>
      </c>
      <c r="P17845" s="7" t="str">
        <f>HYPERLINK("#Liste_rouge!A"&amp;_xlfn.XMATCH("LC",Liste_rouge!A:A,2,1),"LC")</f>
        <v>LC</v>
      </c>
      <c r="V17845" s="7" t="str">
        <f>HYPERLINK("#Liste_rouge!A"&amp;_xlfn.XMATCH("LC",Liste_rouge!A:A,2,1),"LC")</f>
        <v>LC</v>
      </c>
      <c r="AH17845" s="4" t="str">
        <f>HYPERLINK("#Statut_biogéographique!A"&amp;_xlfn.XMATCH("P",Statut_biogéographique!A:A,2,1),"P")</f>
        <v>P</v>
      </c>
      <c r="AM17845" s="4" t="s">
        <v>375</v>
      </c>
      <c r="AN17845" s="4" t="s">
        <v>375</v>
      </c>
      <c r="AO17845" s="4" t="s">
        <v>375</v>
      </c>
      <c r="AP17845" s="4" t="s">
        <v>376</v>
      </c>
      <c r="AR17845" s="4" t="s">
        <v>377</v>
      </c>
    </row>
    <row r="17846" spans="1:44">
      <c r="A17846" s="4" t="s">
        <v>10753</v>
      </c>
      <c r="B17846" s="4">
        <v>65878</v>
      </c>
      <c r="D17846" s="5" t="s">
        <v>21823</v>
      </c>
      <c r="E17846" s="6" t="str">
        <f>HYPERLINK("https://inpn.mnhn.fr/espece/cd_nom/65878","Conocephalus dorsalis (Latreille, 1804)")</f>
        <v>Conocephalus dorsalis (Latreille, 1804)</v>
      </c>
      <c r="F17846" s="5" t="s">
        <v>21824</v>
      </c>
      <c r="P17846" s="7" t="str">
        <f>HYPERLINK("#Liste_rouge!A"&amp;_xlfn.XMATCH("LC",Liste_rouge!A:A,2,1),"LC")</f>
        <v>LC</v>
      </c>
      <c r="V17846" s="7" t="str">
        <f>HYPERLINK("#Liste_rouge!A"&amp;_xlfn.XMATCH("NT",Liste_rouge!A:A,2,1),"NT")</f>
        <v>NT</v>
      </c>
      <c r="W17846" s="4" t="str">
        <f>HYPERLINK("#Critères_liste_rouge!A$1","pr.A3c")</f>
        <v>pr.A3c</v>
      </c>
      <c r="X17846" s="5" t="s">
        <v>398</v>
      </c>
      <c r="AE17846" s="4" t="str">
        <f>HYPERLINK("#SCAP!A"&amp;_xlfn.XMATCH("A",SCAP!A:A,2,1),"A")</f>
        <v>A</v>
      </c>
      <c r="AH17846" s="4" t="str">
        <f>HYPERLINK("#Statut_biogéographique!A"&amp;_xlfn.XMATCH("P",Statut_biogéographique!A:A,2,1),"P")</f>
        <v>P</v>
      </c>
      <c r="AM17846" s="4" t="s">
        <v>375</v>
      </c>
      <c r="AN17846" s="4" t="s">
        <v>375</v>
      </c>
      <c r="AO17846" s="4" t="s">
        <v>375</v>
      </c>
      <c r="AP17846" s="4" t="s">
        <v>376</v>
      </c>
      <c r="AR17846" s="4" t="s">
        <v>377</v>
      </c>
    </row>
    <row r="17847" spans="1:44" ht="30">
      <c r="A17847" s="4" t="s">
        <v>10753</v>
      </c>
      <c r="B17847" s="4">
        <v>65882</v>
      </c>
      <c r="D17847" s="5" t="s">
        <v>21825</v>
      </c>
      <c r="E17847" s="6" t="str">
        <f>HYPERLINK("https://inpn.mnhn.fr/espece/cd_nom/65882","Ruspolia nitidula (Scopoli, 1786)")</f>
        <v>Ruspolia nitidula (Scopoli, 1786)</v>
      </c>
      <c r="F17847" s="5" t="s">
        <v>21826</v>
      </c>
      <c r="P17847" s="7" t="str">
        <f>HYPERLINK("#Liste_rouge!A"&amp;_xlfn.XMATCH("LC",Liste_rouge!A:A,2,1),"LC")</f>
        <v>LC</v>
      </c>
      <c r="AH17847" s="4" t="str">
        <f>HYPERLINK("#Statut_biogéographique!A"&amp;_xlfn.XMATCH("P",Statut_biogéographique!A:A,2,1),"P")</f>
        <v>P</v>
      </c>
      <c r="AM17847" s="4" t="s">
        <v>375</v>
      </c>
      <c r="AN17847" s="4" t="s">
        <v>375</v>
      </c>
      <c r="AO17847" s="4" t="s">
        <v>375</v>
      </c>
      <c r="AP17847" s="4" t="s">
        <v>376</v>
      </c>
      <c r="AR17847" s="4" t="s">
        <v>377</v>
      </c>
    </row>
    <row r="17848" spans="1:44">
      <c r="A17848" s="4" t="s">
        <v>10753</v>
      </c>
      <c r="B17848" s="4">
        <v>65885</v>
      </c>
      <c r="D17848" s="5" t="s">
        <v>21827</v>
      </c>
      <c r="E17848" s="6" t="str">
        <f>HYPERLINK("https://inpn.mnhn.fr/espece/cd_nom/65885","Ruspolia nitidula nitidula (Scopoli, 1786)")</f>
        <v>Ruspolia nitidula nitidula (Scopoli, 1786)</v>
      </c>
      <c r="F17848" s="5" t="s">
        <v>21828</v>
      </c>
      <c r="V17848" s="7" t="str">
        <f>HYPERLINK("#Liste_rouge!A"&amp;_xlfn.XMATCH("LC",Liste_rouge!A:A,2,1),"LC")</f>
        <v>LC</v>
      </c>
      <c r="AH17848" s="4" t="str">
        <f>HYPERLINK("#Statut_biogéographique!A"&amp;_xlfn.XMATCH("P",Statut_biogéographique!A:A,2,1),"P")</f>
        <v>P</v>
      </c>
      <c r="AP17848" s="4" t="s">
        <v>376</v>
      </c>
      <c r="AR17848" s="4" t="s">
        <v>377</v>
      </c>
    </row>
    <row r="17849" spans="1:44" ht="30">
      <c r="A17849" s="4" t="s">
        <v>10753</v>
      </c>
      <c r="B17849" s="4">
        <v>65889</v>
      </c>
      <c r="D17849" s="5" t="s">
        <v>21829</v>
      </c>
      <c r="E17849" s="6" t="str">
        <f>HYPERLINK("https://inpn.mnhn.fr/espece/cd_nom/65889","Meconema thalassinum (De Geer, 1773)")</f>
        <v>Meconema thalassinum (De Geer, 1773)</v>
      </c>
      <c r="F17849" s="5" t="s">
        <v>21830</v>
      </c>
      <c r="P17849" s="7" t="str">
        <f>HYPERLINK("#Liste_rouge!A"&amp;_xlfn.XMATCH("LC",Liste_rouge!A:A,2,1),"LC")</f>
        <v>LC</v>
      </c>
      <c r="V17849" s="7" t="str">
        <f>HYPERLINK("#Liste_rouge!A"&amp;_xlfn.XMATCH("LC",Liste_rouge!A:A,2,1),"LC")</f>
        <v>LC</v>
      </c>
      <c r="AH17849" s="4" t="str">
        <f>HYPERLINK("#Statut_biogéographique!A"&amp;_xlfn.XMATCH("P",Statut_biogéographique!A:A,2,1),"P")</f>
        <v>P</v>
      </c>
      <c r="AM17849" s="4" t="s">
        <v>375</v>
      </c>
      <c r="AN17849" s="4" t="s">
        <v>375</v>
      </c>
      <c r="AO17849" s="4" t="s">
        <v>375</v>
      </c>
      <c r="AP17849" s="4" t="s">
        <v>376</v>
      </c>
      <c r="AR17849" s="4" t="s">
        <v>377</v>
      </c>
    </row>
    <row r="17850" spans="1:44">
      <c r="A17850" s="4" t="s">
        <v>10753</v>
      </c>
      <c r="B17850" s="4">
        <v>65891</v>
      </c>
      <c r="D17850" s="5" t="s">
        <v>21831</v>
      </c>
      <c r="E17850" s="6" t="str">
        <f>HYPERLINK("https://inpn.mnhn.fr/espece/cd_nom/65891","Meconema meridionale A. Costa, 1860")</f>
        <v>Meconema meridionale A. Costa, 1860</v>
      </c>
      <c r="F17850" s="5" t="s">
        <v>21832</v>
      </c>
      <c r="P17850" s="7" t="str">
        <f>HYPERLINK("#Liste_rouge!A"&amp;_xlfn.XMATCH("LC",Liste_rouge!A:A,2,1),"LC")</f>
        <v>LC</v>
      </c>
      <c r="V17850" s="7" t="str">
        <f>HYPERLINK("#Liste_rouge!A"&amp;_xlfn.XMATCH("LC",Liste_rouge!A:A,2,1),"LC")</f>
        <v>LC</v>
      </c>
      <c r="AH17850" s="4" t="str">
        <f>HYPERLINK("#Statut_biogéographique!A"&amp;_xlfn.XMATCH("P",Statut_biogéographique!A:A,2,1),"P")</f>
        <v>P</v>
      </c>
      <c r="AM17850" s="4" t="s">
        <v>375</v>
      </c>
      <c r="AN17850" s="4" t="s">
        <v>375</v>
      </c>
      <c r="AO17850" s="4" t="s">
        <v>375</v>
      </c>
      <c r="AP17850" s="4" t="s">
        <v>376</v>
      </c>
      <c r="AR17850" s="4" t="s">
        <v>377</v>
      </c>
    </row>
    <row r="17851" spans="1:44" ht="45">
      <c r="A17851" s="4" t="s">
        <v>10753</v>
      </c>
      <c r="B17851" s="4">
        <v>65899</v>
      </c>
      <c r="D17851" s="5" t="s">
        <v>21833</v>
      </c>
      <c r="E17851" s="6" t="str">
        <f>HYPERLINK("https://inpn.mnhn.fr/espece/cd_nom/65899","Gryllotalpa gryllotalpa (Linnaeus, 1758)")</f>
        <v>Gryllotalpa gryllotalpa (Linnaeus, 1758)</v>
      </c>
      <c r="F17851" s="5" t="s">
        <v>21834</v>
      </c>
      <c r="P17851" s="7" t="str">
        <f>HYPERLINK("#Liste_rouge!A"&amp;_xlfn.XMATCH("LC",Liste_rouge!A:A,2,1),"LC")</f>
        <v>LC</v>
      </c>
      <c r="V17851" s="7" t="str">
        <f>HYPERLINK("#Liste_rouge!A"&amp;_xlfn.XMATCH("DD",Liste_rouge!A:A,2,1),"DD")</f>
        <v>DD</v>
      </c>
      <c r="AH17851" s="4" t="str">
        <f>HYPERLINK("#Statut_biogéographique!A"&amp;_xlfn.XMATCH("P",Statut_biogéographique!A:A,2,1),"P")</f>
        <v>P</v>
      </c>
      <c r="AM17851" s="4" t="s">
        <v>375</v>
      </c>
      <c r="AN17851" s="4" t="s">
        <v>375</v>
      </c>
      <c r="AO17851" s="4" t="s">
        <v>375</v>
      </c>
      <c r="AP17851" s="4" t="s">
        <v>376</v>
      </c>
      <c r="AR17851" s="4" t="s">
        <v>377</v>
      </c>
    </row>
    <row r="17852" spans="1:44">
      <c r="A17852" s="4" t="s">
        <v>10753</v>
      </c>
      <c r="B17852" s="4">
        <v>65909</v>
      </c>
      <c r="D17852" s="5">
        <v>65909</v>
      </c>
      <c r="E17852" s="6" t="str">
        <f>HYPERLINK("https://inpn.mnhn.fr/espece/cd_nom/65909","Gryllus bimaculatus De Geer, 1773")</f>
        <v>Gryllus bimaculatus De Geer, 1773</v>
      </c>
      <c r="F17852" s="5" t="s">
        <v>21835</v>
      </c>
      <c r="P17852" s="7" t="str">
        <f>HYPERLINK("#Liste_rouge!A"&amp;_xlfn.XMATCH("LC",Liste_rouge!A:A,2,1),"LC")</f>
        <v>LC</v>
      </c>
      <c r="AH17852" s="4" t="str">
        <f>HYPERLINK("#Statut_biogéographique!A"&amp;_xlfn.XMATCH("P",Statut_biogéographique!A:A,2,1),"P")</f>
        <v>P</v>
      </c>
      <c r="AP17852" s="4" t="s">
        <v>376</v>
      </c>
      <c r="AR17852" s="4" t="s">
        <v>377</v>
      </c>
    </row>
    <row r="17853" spans="1:44" ht="45">
      <c r="A17853" s="4" t="s">
        <v>10753</v>
      </c>
      <c r="B17853" s="4">
        <v>65910</v>
      </c>
      <c r="D17853" s="5" t="s">
        <v>21836</v>
      </c>
      <c r="E17853" s="6" t="str">
        <f>HYPERLINK("https://inpn.mnhn.fr/espece/cd_nom/65910","Gryllus campestris Linnaeus, 1758")</f>
        <v>Gryllus campestris Linnaeus, 1758</v>
      </c>
      <c r="F17853" s="5" t="s">
        <v>21837</v>
      </c>
      <c r="P17853" s="7" t="str">
        <f>HYPERLINK("#Liste_rouge!A"&amp;_xlfn.XMATCH("LC",Liste_rouge!A:A,2,1),"LC")</f>
        <v>LC</v>
      </c>
      <c r="V17853" s="7" t="str">
        <f>HYPERLINK("#Liste_rouge!A"&amp;_xlfn.XMATCH("LC",Liste_rouge!A:A,2,1),"LC")</f>
        <v>LC</v>
      </c>
      <c r="AH17853" s="4" t="str">
        <f>HYPERLINK("#Statut_biogéographique!A"&amp;_xlfn.XMATCH("P",Statut_biogéographique!A:A,2,1),"P")</f>
        <v>P</v>
      </c>
      <c r="AM17853" s="4" t="s">
        <v>375</v>
      </c>
      <c r="AN17853" s="4" t="s">
        <v>375</v>
      </c>
      <c r="AO17853" s="4" t="s">
        <v>375</v>
      </c>
      <c r="AP17853" s="4" t="s">
        <v>376</v>
      </c>
      <c r="AR17853" s="4" t="s">
        <v>377</v>
      </c>
    </row>
    <row r="17854" spans="1:44" ht="60">
      <c r="A17854" s="4" t="s">
        <v>10753</v>
      </c>
      <c r="B17854" s="4">
        <v>65918</v>
      </c>
      <c r="D17854" s="5" t="s">
        <v>21838</v>
      </c>
      <c r="E17854" s="6" t="str">
        <f>HYPERLINK("https://inpn.mnhn.fr/espece/cd_nom/65918","Acheta domesticus (Linnaeus, 1758)")</f>
        <v>Acheta domesticus (Linnaeus, 1758)</v>
      </c>
      <c r="F17854" s="5" t="s">
        <v>21839</v>
      </c>
      <c r="P17854" s="7" t="str">
        <f>HYPERLINK("#Liste_rouge!A"&amp;_xlfn.XMATCH("LC",Liste_rouge!A:A,2,1),"LC")</f>
        <v>LC</v>
      </c>
      <c r="AH17854" s="4" t="str">
        <f>HYPERLINK("#Statut_biogéographique!A"&amp;_xlfn.XMATCH("P",Statut_biogéographique!A:A,2,1),"P")</f>
        <v>P</v>
      </c>
      <c r="AM17854" s="4" t="s">
        <v>375</v>
      </c>
      <c r="AN17854" s="4" t="s">
        <v>375</v>
      </c>
      <c r="AO17854" s="4" t="s">
        <v>375</v>
      </c>
      <c r="AP17854" s="4" t="s">
        <v>376</v>
      </c>
      <c r="AR17854" s="4" t="s">
        <v>377</v>
      </c>
    </row>
    <row r="17855" spans="1:44" ht="30">
      <c r="A17855" s="4" t="s">
        <v>10753</v>
      </c>
      <c r="B17855" s="4">
        <v>65932</v>
      </c>
      <c r="D17855" s="5" t="s">
        <v>21840</v>
      </c>
      <c r="E17855" s="6" t="str">
        <f>HYPERLINK("https://inpn.mnhn.fr/espece/cd_nom/65932","Nemobius sylvestris (Bosc, 1792)")</f>
        <v>Nemobius sylvestris (Bosc, 1792)</v>
      </c>
      <c r="F17855" s="5" t="s">
        <v>21841</v>
      </c>
      <c r="P17855" s="7" t="str">
        <f>HYPERLINK("#Liste_rouge!A"&amp;_xlfn.XMATCH("LC",Liste_rouge!A:A,2,1),"LC")</f>
        <v>LC</v>
      </c>
      <c r="V17855" s="7" t="str">
        <f>HYPERLINK("#Liste_rouge!A"&amp;_xlfn.XMATCH("LC",Liste_rouge!A:A,2,1),"LC")</f>
        <v>LC</v>
      </c>
      <c r="AH17855" s="4" t="str">
        <f>HYPERLINK("#Statut_biogéographique!A"&amp;_xlfn.XMATCH("P",Statut_biogéographique!A:A,2,1),"P")</f>
        <v>P</v>
      </c>
      <c r="AM17855" s="4" t="s">
        <v>375</v>
      </c>
      <c r="AN17855" s="4" t="s">
        <v>375</v>
      </c>
      <c r="AO17855" s="4" t="s">
        <v>375</v>
      </c>
      <c r="AP17855" s="4" t="s">
        <v>376</v>
      </c>
      <c r="AR17855" s="4" t="s">
        <v>377</v>
      </c>
    </row>
    <row r="17856" spans="1:44">
      <c r="A17856" s="4" t="s">
        <v>10753</v>
      </c>
      <c r="B17856" s="4">
        <v>65934</v>
      </c>
      <c r="D17856" s="5" t="s">
        <v>21842</v>
      </c>
      <c r="E17856" s="6" t="str">
        <f>HYPERLINK("https://inpn.mnhn.fr/espece/cd_nom/65934","Pteronemobius heydenii (Fischer, 1853)")</f>
        <v>Pteronemobius heydenii (Fischer, 1853)</v>
      </c>
      <c r="F17856" s="5" t="s">
        <v>20918</v>
      </c>
      <c r="P17856" s="7" t="str">
        <f>HYPERLINK("#Liste_rouge!A"&amp;_xlfn.XMATCH("LC",Liste_rouge!A:A,2,1),"LC")</f>
        <v>LC</v>
      </c>
      <c r="V17856" s="7" t="str">
        <f>HYPERLINK("#Liste_rouge!A"&amp;_xlfn.XMATCH("LC",Liste_rouge!A:A,2,1),"LC")</f>
        <v>LC</v>
      </c>
      <c r="X17856" s="5" t="s">
        <v>398</v>
      </c>
      <c r="AH17856" s="4" t="str">
        <f>HYPERLINK("#Statut_biogéographique!A"&amp;_xlfn.XMATCH("P",Statut_biogéographique!A:A,2,1),"P")</f>
        <v>P</v>
      </c>
      <c r="AM17856" s="4" t="s">
        <v>375</v>
      </c>
      <c r="AN17856" s="4" t="s">
        <v>375</v>
      </c>
      <c r="AO17856" s="4" t="s">
        <v>375</v>
      </c>
      <c r="AP17856" s="4" t="s">
        <v>376</v>
      </c>
      <c r="AR17856" s="4" t="s">
        <v>377</v>
      </c>
    </row>
    <row r="17857" spans="1:44">
      <c r="A17857" s="4" t="s">
        <v>10753</v>
      </c>
      <c r="B17857" s="4">
        <v>65935</v>
      </c>
      <c r="D17857" s="5" t="s">
        <v>21843</v>
      </c>
      <c r="E17857" s="6" t="str">
        <f>HYPERLINK("https://inpn.mnhn.fr/espece/cd_nom/65935","Pteronemobius lineolatus (Brullé, 1835)")</f>
        <v>Pteronemobius lineolatus (Brullé, 1835)</v>
      </c>
      <c r="F17857" s="5" t="s">
        <v>21844</v>
      </c>
      <c r="P17857" s="7" t="str">
        <f>HYPERLINK("#Liste_rouge!A"&amp;_xlfn.XMATCH("LC",Liste_rouge!A:A,2,1),"LC")</f>
        <v>LC</v>
      </c>
      <c r="X17857" s="5" t="s">
        <v>374</v>
      </c>
      <c r="AH17857" s="4" t="str">
        <f>HYPERLINK("#Statut_biogéographique!A"&amp;_xlfn.XMATCH("P",Statut_biogéographique!A:A,2,1),"P")</f>
        <v>P</v>
      </c>
      <c r="AM17857" s="4" t="s">
        <v>375</v>
      </c>
      <c r="AN17857" s="4" t="s">
        <v>375</v>
      </c>
      <c r="AO17857" s="4" t="s">
        <v>375</v>
      </c>
      <c r="AP17857" s="4" t="s">
        <v>376</v>
      </c>
      <c r="AR17857" s="4" t="s">
        <v>377</v>
      </c>
    </row>
    <row r="17858" spans="1:44" ht="30">
      <c r="A17858" s="4" t="s">
        <v>10753</v>
      </c>
      <c r="B17858" s="4">
        <v>65944</v>
      </c>
      <c r="D17858" s="5" t="s">
        <v>21845</v>
      </c>
      <c r="E17858" s="6" t="str">
        <f>HYPERLINK("https://inpn.mnhn.fr/espece/cd_nom/65944","Oecanthus pellucens (Scopoli, 1763)")</f>
        <v>Oecanthus pellucens (Scopoli, 1763)</v>
      </c>
      <c r="F17858" s="5" t="s">
        <v>21846</v>
      </c>
      <c r="P17858" s="7" t="str">
        <f>HYPERLINK("#Liste_rouge!A"&amp;_xlfn.XMATCH("LC",Liste_rouge!A:A,2,1),"LC")</f>
        <v>LC</v>
      </c>
      <c r="V17858" s="7" t="str">
        <f>HYPERLINK("#Liste_rouge!A"&amp;_xlfn.XMATCH("LC",Liste_rouge!A:A,2,1),"LC")</f>
        <v>LC</v>
      </c>
      <c r="AH17858" s="4" t="str">
        <f>HYPERLINK("#Statut_biogéographique!A"&amp;_xlfn.XMATCH("P",Statut_biogéographique!A:A,2,1),"P")</f>
        <v>P</v>
      </c>
      <c r="AM17858" s="4" t="s">
        <v>375</v>
      </c>
      <c r="AN17858" s="4" t="s">
        <v>375</v>
      </c>
      <c r="AO17858" s="4" t="s">
        <v>375</v>
      </c>
      <c r="AP17858" s="4" t="s">
        <v>376</v>
      </c>
      <c r="AR17858" s="4" t="s">
        <v>377</v>
      </c>
    </row>
    <row r="17859" spans="1:44" ht="30">
      <c r="A17859" s="4" t="s">
        <v>10753</v>
      </c>
      <c r="B17859" s="4">
        <v>65951</v>
      </c>
      <c r="D17859" s="5" t="s">
        <v>21847</v>
      </c>
      <c r="E17859" s="6" t="str">
        <f>HYPERLINK("https://inpn.mnhn.fr/espece/cd_nom/65951","Myrmecophilus acervorum (Panzer, 1799)")</f>
        <v>Myrmecophilus acervorum (Panzer, 1799)</v>
      </c>
      <c r="F17859" s="5" t="s">
        <v>21848</v>
      </c>
      <c r="P17859" s="7" t="str">
        <f>HYPERLINK("#Liste_rouge!A"&amp;_xlfn.XMATCH("LC",Liste_rouge!A:A,2,1),"LC")</f>
        <v>LC</v>
      </c>
      <c r="X17859" s="5" t="s">
        <v>374</v>
      </c>
      <c r="AH17859" s="4" t="str">
        <f>HYPERLINK("#Statut_biogéographique!A"&amp;_xlfn.XMATCH("P",Statut_biogéographique!A:A,2,1),"P")</f>
        <v>P</v>
      </c>
      <c r="AM17859" s="4" t="s">
        <v>375</v>
      </c>
      <c r="AN17859" s="4" t="s">
        <v>375</v>
      </c>
      <c r="AO17859" s="4" t="s">
        <v>375</v>
      </c>
      <c r="AP17859" s="4" t="s">
        <v>376</v>
      </c>
      <c r="AR17859" s="4" t="s">
        <v>377</v>
      </c>
    </row>
    <row r="17860" spans="1:44">
      <c r="A17860" s="4" t="s">
        <v>10753</v>
      </c>
      <c r="B17860" s="4">
        <v>65979</v>
      </c>
      <c r="D17860" s="5" t="s">
        <v>21849</v>
      </c>
      <c r="E17860" s="6" t="str">
        <f>HYPERLINK("https://inpn.mnhn.fr/espece/cd_nom/65979","Kalotermes flavicollis (Fabricius, 1793)")</f>
        <v>Kalotermes flavicollis (Fabricius, 1793)</v>
      </c>
      <c r="AH17860" s="4" t="str">
        <f>HYPERLINK("#Statut_biogéographique!A"&amp;_xlfn.XMATCH("P",Statut_biogéographique!A:A,2,1),"P")</f>
        <v>P</v>
      </c>
      <c r="AP17860" s="4" t="s">
        <v>376</v>
      </c>
      <c r="AR17860" s="4" t="s">
        <v>377</v>
      </c>
    </row>
    <row r="17861" spans="1:44">
      <c r="A17861" s="4" t="s">
        <v>10753</v>
      </c>
      <c r="B17861" s="4">
        <v>65984</v>
      </c>
      <c r="D17861" s="5" t="s">
        <v>21850</v>
      </c>
      <c r="E17861" s="6" t="str">
        <f>HYPERLINK("https://inpn.mnhn.fr/espece/cd_nom/65984","Reticulitermes flavipes (Kollar, 1837)")</f>
        <v>Reticulitermes flavipes (Kollar, 1837)</v>
      </c>
      <c r="AH17861" s="4" t="str">
        <f>HYPERLINK("#Statut_biogéographique!A"&amp;_xlfn.XMATCH("I",Statut_biogéographique!A:A,2,1),"I")</f>
        <v>I</v>
      </c>
      <c r="AP17861" s="4" t="s">
        <v>376</v>
      </c>
      <c r="AR17861" s="4" t="s">
        <v>377</v>
      </c>
    </row>
    <row r="17862" spans="1:44" ht="45">
      <c r="A17862" s="4" t="s">
        <v>10753</v>
      </c>
      <c r="B17862" s="4">
        <v>65991</v>
      </c>
      <c r="D17862" s="5" t="s">
        <v>21851</v>
      </c>
      <c r="E17862" s="6" t="str">
        <f>HYPERLINK("https://inpn.mnhn.fr/espece/cd_nom/65991","Forficula auricularia Linnaeus, 1758")</f>
        <v>Forficula auricularia Linnaeus, 1758</v>
      </c>
      <c r="F17862" s="5" t="s">
        <v>21852</v>
      </c>
      <c r="AH17862" s="4" t="str">
        <f>HYPERLINK("#Statut_biogéographique!A"&amp;_xlfn.XMATCH("P",Statut_biogéographique!A:A,2,1),"P")</f>
        <v>P</v>
      </c>
      <c r="AP17862" s="4" t="s">
        <v>376</v>
      </c>
      <c r="AR17862" s="4" t="s">
        <v>377</v>
      </c>
    </row>
    <row r="17863" spans="1:44">
      <c r="A17863" s="4" t="s">
        <v>10753</v>
      </c>
      <c r="B17863" s="4">
        <v>65992</v>
      </c>
      <c r="D17863" s="5" t="s">
        <v>21853</v>
      </c>
      <c r="E17863" s="6" t="str">
        <f>HYPERLINK("https://inpn.mnhn.fr/espece/cd_nom/65992","Forficula decipiens Géné, 1832")</f>
        <v>Forficula decipiens Géné, 1832</v>
      </c>
      <c r="AH17863" s="4" t="str">
        <f>HYPERLINK("#Statut_biogéographique!A"&amp;_xlfn.XMATCH("P",Statut_biogéographique!A:A,2,1),"P")</f>
        <v>P</v>
      </c>
      <c r="AP17863" s="4" t="s">
        <v>376</v>
      </c>
      <c r="AR17863" s="4" t="s">
        <v>377</v>
      </c>
    </row>
    <row r="17864" spans="1:44">
      <c r="A17864" s="4" t="s">
        <v>10753</v>
      </c>
      <c r="B17864" s="4">
        <v>65995</v>
      </c>
      <c r="D17864" s="5">
        <v>65995</v>
      </c>
      <c r="E17864" s="6" t="str">
        <f>HYPERLINK("https://inpn.mnhn.fr/espece/cd_nom/65995","Forficula lesnei Finot, 1887")</f>
        <v>Forficula lesnei Finot, 1887</v>
      </c>
      <c r="AH17864" s="4" t="str">
        <f>HYPERLINK("#Statut_biogéographique!A"&amp;_xlfn.XMATCH("P",Statut_biogéographique!A:A,2,1),"P")</f>
        <v>P</v>
      </c>
      <c r="AP17864" s="4" t="s">
        <v>376</v>
      </c>
      <c r="AR17864" s="4" t="s">
        <v>377</v>
      </c>
    </row>
    <row r="17865" spans="1:44" ht="120">
      <c r="A17865" s="4" t="s">
        <v>10753</v>
      </c>
      <c r="B17865" s="4">
        <v>66001</v>
      </c>
      <c r="D17865" s="5" t="s">
        <v>21854</v>
      </c>
      <c r="E17865" s="6" t="str">
        <f>HYPERLINK("https://inpn.mnhn.fr/espece/cd_nom/66001","Labidura riparia (Pallas, 1773)")</f>
        <v>Labidura riparia (Pallas, 1773)</v>
      </c>
      <c r="F17865" s="5" t="s">
        <v>21855</v>
      </c>
      <c r="AH17865" s="4" t="str">
        <f>HYPERLINK("#Statut_biogéographique!A"&amp;_xlfn.XMATCH("P",Statut_biogéographique!A:A,2,1),"P")</f>
        <v>P</v>
      </c>
      <c r="AP17865" s="4" t="s">
        <v>376</v>
      </c>
      <c r="AR17865" s="4" t="s">
        <v>377</v>
      </c>
    </row>
    <row r="17866" spans="1:44" ht="30">
      <c r="A17866" s="4" t="s">
        <v>10753</v>
      </c>
      <c r="B17866" s="4">
        <v>66003</v>
      </c>
      <c r="D17866" s="5" t="s">
        <v>21856</v>
      </c>
      <c r="E17866" s="6" t="str">
        <f>HYPERLINK("https://inpn.mnhn.fr/espece/cd_nom/66003","Nala lividipes (Dufour, 1820)")</f>
        <v>Nala lividipes (Dufour, 1820)</v>
      </c>
      <c r="AH17866" s="4" t="str">
        <f>HYPERLINK("#Statut_biogéographique!A"&amp;_xlfn.XMATCH("P",Statut_biogéographique!A:A,2,1),"P")</f>
        <v>P</v>
      </c>
      <c r="AP17866" s="4" t="s">
        <v>376</v>
      </c>
      <c r="AR17866" s="4" t="s">
        <v>377</v>
      </c>
    </row>
    <row r="17867" spans="1:44">
      <c r="A17867" s="4" t="s">
        <v>10753</v>
      </c>
      <c r="B17867" s="4">
        <v>66007</v>
      </c>
      <c r="D17867" s="5" t="s">
        <v>21857</v>
      </c>
      <c r="E17867" s="6" t="str">
        <f>HYPERLINK("https://inpn.mnhn.fr/espece/cd_nom/66007","Labia minor (Linnaeus, 1758)")</f>
        <v>Labia minor (Linnaeus, 1758)</v>
      </c>
      <c r="F17867" s="5" t="s">
        <v>21858</v>
      </c>
      <c r="AH17867" s="4" t="str">
        <f>HYPERLINK("#Statut_biogéographique!A"&amp;_xlfn.XMATCH("C",Statut_biogéographique!A:A,2,1),"C")</f>
        <v>C</v>
      </c>
      <c r="AP17867" s="4" t="s">
        <v>376</v>
      </c>
      <c r="AR17867" s="4" t="s">
        <v>377</v>
      </c>
    </row>
    <row r="17868" spans="1:44" ht="30">
      <c r="A17868" s="4" t="s">
        <v>10753</v>
      </c>
      <c r="B17868" s="4">
        <v>66009</v>
      </c>
      <c r="D17868" s="5" t="s">
        <v>21859</v>
      </c>
      <c r="E17868" s="6" t="str">
        <f>HYPERLINK("https://inpn.mnhn.fr/espece/cd_nom/66009","Marava arachidis (Yersin, 1860)")</f>
        <v>Marava arachidis (Yersin, 1860)</v>
      </c>
      <c r="AH17868" s="4" t="str">
        <f>HYPERLINK("#Statut_biogéographique!A"&amp;_xlfn.XMATCH("M",Statut_biogéographique!A:A,2,1),"M")</f>
        <v>M</v>
      </c>
      <c r="AP17868" s="4" t="s">
        <v>376</v>
      </c>
      <c r="AR17868" s="4" t="s">
        <v>377</v>
      </c>
    </row>
    <row r="17869" spans="1:44">
      <c r="A17869" s="4" t="s">
        <v>10753</v>
      </c>
      <c r="B17869" s="4">
        <v>66017</v>
      </c>
      <c r="D17869" s="5" t="s">
        <v>21860</v>
      </c>
      <c r="E17869" s="6" t="str">
        <f>HYPERLINK("https://inpn.mnhn.fr/espece/cd_nom/66017","Clonopsis gallica (Charpentier, 1825)")</f>
        <v>Clonopsis gallica (Charpentier, 1825)</v>
      </c>
      <c r="F17869" s="5" t="s">
        <v>21861</v>
      </c>
      <c r="AH17869" s="4" t="str">
        <f>HYPERLINK("#Statut_biogéographique!A"&amp;_xlfn.XMATCH("P",Statut_biogéographique!A:A,2,1),"P")</f>
        <v>P</v>
      </c>
      <c r="AP17869" s="4" t="s">
        <v>376</v>
      </c>
      <c r="AR17869" s="4" t="s">
        <v>377</v>
      </c>
    </row>
    <row r="17870" spans="1:44" ht="30">
      <c r="A17870" s="4" t="s">
        <v>10753</v>
      </c>
      <c r="B17870" s="4">
        <v>66026</v>
      </c>
      <c r="D17870" s="5" t="s">
        <v>21862</v>
      </c>
      <c r="E17870" s="6" t="str">
        <f>HYPERLINK("https://inpn.mnhn.fr/espece/cd_nom/66026","Paratettix meridionalis (Rambur, 1838)")</f>
        <v>Paratettix meridionalis (Rambur, 1838)</v>
      </c>
      <c r="F17870" s="5" t="s">
        <v>21863</v>
      </c>
      <c r="P17870" s="7" t="str">
        <f>HYPERLINK("#Liste_rouge!A"&amp;_xlfn.XMATCH("LC",Liste_rouge!A:A,2,1),"LC")</f>
        <v>LC</v>
      </c>
      <c r="AH17870" s="4" t="str">
        <f>HYPERLINK("#Statut_biogéographique!A"&amp;_xlfn.XMATCH("P",Statut_biogéographique!A:A,2,1),"P")</f>
        <v>P</v>
      </c>
      <c r="AM17870" s="4" t="s">
        <v>375</v>
      </c>
      <c r="AN17870" s="4" t="s">
        <v>375</v>
      </c>
      <c r="AO17870" s="4" t="s">
        <v>375</v>
      </c>
      <c r="AP17870" s="4" t="s">
        <v>376</v>
      </c>
      <c r="AR17870" s="4" t="s">
        <v>377</v>
      </c>
    </row>
    <row r="17871" spans="1:44" ht="30">
      <c r="A17871" s="4" t="s">
        <v>10753</v>
      </c>
      <c r="B17871" s="4">
        <v>66028</v>
      </c>
      <c r="D17871" s="5" t="s">
        <v>21864</v>
      </c>
      <c r="E17871" s="6" t="str">
        <f>HYPERLINK("https://inpn.mnhn.fr/espece/cd_nom/66028","Tetrix bipunctata (Linnaeus, 1758)")</f>
        <v>Tetrix bipunctata (Linnaeus, 1758)</v>
      </c>
      <c r="F17871" s="5" t="s">
        <v>21865</v>
      </c>
      <c r="P17871" s="7" t="str">
        <f>HYPERLINK("#Liste_rouge!A"&amp;_xlfn.XMATCH("LC",Liste_rouge!A:A,2,1),"LC")</f>
        <v>LC</v>
      </c>
      <c r="V17871" s="7" t="str">
        <f>HYPERLINK("#Liste_rouge!A"&amp;_xlfn.XMATCH("DD",Liste_rouge!A:A,2,1),"DD")</f>
        <v>DD</v>
      </c>
      <c r="X17871" s="5" t="s">
        <v>374</v>
      </c>
      <c r="AH17871" s="4" t="str">
        <f>HYPERLINK("#Statut_biogéographique!A"&amp;_xlfn.XMATCH("P",Statut_biogéographique!A:A,2,1),"P")</f>
        <v>P</v>
      </c>
      <c r="AM17871" s="4" t="s">
        <v>375</v>
      </c>
      <c r="AN17871" s="4" t="s">
        <v>375</v>
      </c>
      <c r="AO17871" s="4" t="s">
        <v>375</v>
      </c>
      <c r="AP17871" s="4" t="s">
        <v>376</v>
      </c>
      <c r="AR17871" s="4" t="s">
        <v>377</v>
      </c>
    </row>
    <row r="17872" spans="1:44">
      <c r="A17872" s="4" t="s">
        <v>10753</v>
      </c>
      <c r="B17872" s="4">
        <v>66029</v>
      </c>
      <c r="D17872" s="5">
        <v>66029</v>
      </c>
      <c r="E17872" s="6" t="str">
        <f>HYPERLINK("https://inpn.mnhn.fr/espece/cd_nom/66029","Tetrix bolivari Saulcy in Azam, 1901")</f>
        <v>Tetrix bolivari Saulcy in Azam, 1901</v>
      </c>
      <c r="F17872" s="5" t="s">
        <v>21866</v>
      </c>
      <c r="P17872" s="7" t="str">
        <f>HYPERLINK("#Liste_rouge!A"&amp;_xlfn.XMATCH("LC",Liste_rouge!A:A,2,1),"LC")</f>
        <v>LC</v>
      </c>
      <c r="V17872" s="7" t="str">
        <f>HYPERLINK("#Liste_rouge!A"&amp;_xlfn.XMATCH("DD",Liste_rouge!A:A,2,1),"DD")</f>
        <v>DD</v>
      </c>
      <c r="X17872" s="5" t="s">
        <v>398</v>
      </c>
      <c r="AH17872" s="4" t="str">
        <f>HYPERLINK("#Statut_biogéographique!A"&amp;_xlfn.XMATCH("P",Statut_biogéographique!A:A,2,1),"P")</f>
        <v>P</v>
      </c>
      <c r="AM17872" s="4" t="s">
        <v>375</v>
      </c>
      <c r="AN17872" s="4" t="s">
        <v>375</v>
      </c>
      <c r="AO17872" s="4" t="s">
        <v>375</v>
      </c>
      <c r="AP17872" s="4" t="s">
        <v>376</v>
      </c>
      <c r="AR17872" s="4" t="s">
        <v>377</v>
      </c>
    </row>
    <row r="17873" spans="1:44">
      <c r="A17873" s="4" t="s">
        <v>10753</v>
      </c>
      <c r="B17873" s="4">
        <v>66030</v>
      </c>
      <c r="D17873" s="5" t="s">
        <v>21867</v>
      </c>
      <c r="E17873" s="6" t="str">
        <f>HYPERLINK("https://inpn.mnhn.fr/espece/cd_nom/66030","Tetrix ceperoi (Bolívar, 1887)")</f>
        <v>Tetrix ceperoi (Bolívar, 1887)</v>
      </c>
      <c r="F17873" s="5" t="s">
        <v>21868</v>
      </c>
      <c r="P17873" s="7" t="str">
        <f>HYPERLINK("#Liste_rouge!A"&amp;_xlfn.XMATCH("LC",Liste_rouge!A:A,2,1),"LC")</f>
        <v>LC</v>
      </c>
      <c r="V17873" s="7" t="str">
        <f>HYPERLINK("#Liste_rouge!A"&amp;_xlfn.XMATCH("DD",Liste_rouge!A:A,2,1),"DD")</f>
        <v>DD</v>
      </c>
      <c r="AH17873" s="4" t="str">
        <f>HYPERLINK("#Statut_biogéographique!A"&amp;_xlfn.XMATCH("P",Statut_biogéographique!A:A,2,1),"P")</f>
        <v>P</v>
      </c>
      <c r="AM17873" s="4" t="s">
        <v>375</v>
      </c>
      <c r="AN17873" s="4" t="s">
        <v>375</v>
      </c>
      <c r="AO17873" s="4" t="s">
        <v>375</v>
      </c>
      <c r="AP17873" s="4" t="s">
        <v>376</v>
      </c>
      <c r="AR17873" s="4" t="s">
        <v>377</v>
      </c>
    </row>
    <row r="17874" spans="1:44" ht="30">
      <c r="A17874" s="4" t="s">
        <v>10753</v>
      </c>
      <c r="B17874" s="4">
        <v>66032</v>
      </c>
      <c r="D17874" s="5" t="s">
        <v>21869</v>
      </c>
      <c r="E17874" s="6" t="str">
        <f>HYPERLINK("https://inpn.mnhn.fr/espece/cd_nom/66032","Tetrix subulata (Linnaeus, 1758)")</f>
        <v>Tetrix subulata (Linnaeus, 1758)</v>
      </c>
      <c r="F17874" s="5" t="s">
        <v>21870</v>
      </c>
      <c r="P17874" s="7" t="str">
        <f>HYPERLINK("#Liste_rouge!A"&amp;_xlfn.XMATCH("LC",Liste_rouge!A:A,2,1),"LC")</f>
        <v>LC</v>
      </c>
      <c r="V17874" s="7" t="str">
        <f>HYPERLINK("#Liste_rouge!A"&amp;_xlfn.XMATCH("LC",Liste_rouge!A:A,2,1),"LC")</f>
        <v>LC</v>
      </c>
      <c r="AH17874" s="4" t="str">
        <f>HYPERLINK("#Statut_biogéographique!A"&amp;_xlfn.XMATCH("P",Statut_biogéographique!A:A,2,1),"P")</f>
        <v>P</v>
      </c>
      <c r="AM17874" s="4" t="s">
        <v>375</v>
      </c>
      <c r="AN17874" s="4" t="s">
        <v>375</v>
      </c>
      <c r="AO17874" s="4" t="s">
        <v>375</v>
      </c>
      <c r="AP17874" s="4" t="s">
        <v>376</v>
      </c>
      <c r="AR17874" s="4" t="s">
        <v>377</v>
      </c>
    </row>
    <row r="17875" spans="1:44" ht="30">
      <c r="A17875" s="4" t="s">
        <v>10753</v>
      </c>
      <c r="B17875" s="4">
        <v>66036</v>
      </c>
      <c r="D17875" s="5" t="s">
        <v>21871</v>
      </c>
      <c r="E17875" s="6" t="str">
        <f>HYPERLINK("https://inpn.mnhn.fr/espece/cd_nom/66036","Tetrix undulata (Sowerby, 1806)")</f>
        <v>Tetrix undulata (Sowerby, 1806)</v>
      </c>
      <c r="F17875" s="5" t="s">
        <v>21872</v>
      </c>
      <c r="P17875" s="7" t="str">
        <f>HYPERLINK("#Liste_rouge!A"&amp;_xlfn.XMATCH("LC",Liste_rouge!A:A,2,1),"LC")</f>
        <v>LC</v>
      </c>
      <c r="V17875" s="7" t="str">
        <f>HYPERLINK("#Liste_rouge!A"&amp;_xlfn.XMATCH("LC",Liste_rouge!A:A,2,1),"LC")</f>
        <v>LC</v>
      </c>
      <c r="AH17875" s="4" t="str">
        <f>HYPERLINK("#Statut_biogéographique!A"&amp;_xlfn.XMATCH("P",Statut_biogéographique!A:A,2,1),"P")</f>
        <v>P</v>
      </c>
      <c r="AM17875" s="4" t="s">
        <v>375</v>
      </c>
      <c r="AN17875" s="4" t="s">
        <v>375</v>
      </c>
      <c r="AO17875" s="4" t="s">
        <v>375</v>
      </c>
      <c r="AP17875" s="4" t="s">
        <v>376</v>
      </c>
      <c r="AR17875" s="4" t="s">
        <v>377</v>
      </c>
    </row>
    <row r="17876" spans="1:44" ht="30">
      <c r="A17876" s="4" t="s">
        <v>10753</v>
      </c>
      <c r="B17876" s="4">
        <v>66067</v>
      </c>
      <c r="D17876" s="5" t="s">
        <v>21873</v>
      </c>
      <c r="E17876" s="6" t="str">
        <f>HYPERLINK("https://inpn.mnhn.fr/espece/cd_nom/66067","Arcyptera fusca (Pallas, 1773)")</f>
        <v>Arcyptera fusca (Pallas, 1773)</v>
      </c>
      <c r="F17876" s="5" t="s">
        <v>21874</v>
      </c>
      <c r="P17876" s="7" t="str">
        <f>HYPERLINK("#Liste_rouge!A"&amp;_xlfn.XMATCH("LC",Liste_rouge!A:A,2,1),"LC")</f>
        <v>LC</v>
      </c>
      <c r="V17876" s="7" t="str">
        <f>HYPERLINK("#Liste_rouge!A"&amp;_xlfn.XMATCH("EN",Liste_rouge!A:A,2,1),"EN")</f>
        <v>EN</v>
      </c>
      <c r="W17876" s="4" t="str">
        <f>HYPERLINK("#Critères_liste_rouge!A$1","A2cB2ab(iii)")</f>
        <v>A2cB2ab(iii)</v>
      </c>
      <c r="X17876" s="5" t="s">
        <v>374</v>
      </c>
      <c r="AH17876" s="4" t="str">
        <f>HYPERLINK("#Statut_biogéographique!A"&amp;_xlfn.XMATCH("P",Statut_biogéographique!A:A,2,1),"P")</f>
        <v>P</v>
      </c>
      <c r="AM17876" s="4" t="s">
        <v>375</v>
      </c>
      <c r="AN17876" s="4" t="s">
        <v>375</v>
      </c>
      <c r="AO17876" s="4" t="s">
        <v>375</v>
      </c>
      <c r="AP17876" s="4" t="s">
        <v>376</v>
      </c>
      <c r="AR17876" s="4" t="s">
        <v>377</v>
      </c>
    </row>
    <row r="17877" spans="1:44" ht="30">
      <c r="A17877" s="4" t="s">
        <v>10753</v>
      </c>
      <c r="B17877" s="4">
        <v>66068</v>
      </c>
      <c r="D17877" s="5" t="s">
        <v>21875</v>
      </c>
      <c r="E17877" s="6" t="str">
        <f>HYPERLINK("https://inpn.mnhn.fr/espece/cd_nom/66068","Arcyptera microptera (Fischer von Waldheim, 1833)")</f>
        <v>Arcyptera microptera (Fischer von Waldheim, 1833)</v>
      </c>
      <c r="F17877" s="5" t="s">
        <v>21876</v>
      </c>
      <c r="P17877" s="7" t="str">
        <f>HYPERLINK("#Liste_rouge!A"&amp;_xlfn.XMATCH("LC",Liste_rouge!A:A,2,1),"LC")</f>
        <v>LC</v>
      </c>
      <c r="AH17877" s="4" t="str">
        <f>HYPERLINK("#Statut_biogéographique!A"&amp;_xlfn.XMATCH("P",Statut_biogéographique!A:A,2,1),"P")</f>
        <v>P</v>
      </c>
      <c r="AP17877" s="4" t="s">
        <v>376</v>
      </c>
      <c r="AR17877" s="4" t="s">
        <v>377</v>
      </c>
    </row>
    <row r="17878" spans="1:44">
      <c r="A17878" s="4" t="s">
        <v>10753</v>
      </c>
      <c r="B17878" s="4">
        <v>66077</v>
      </c>
      <c r="D17878" s="5" t="s">
        <v>21877</v>
      </c>
      <c r="E17878" s="6" t="str">
        <f>HYPERLINK("https://inpn.mnhn.fr/espece/cd_nom/66077","Chrysochraon dispar (Germar, 1834)")</f>
        <v>Chrysochraon dispar (Germar, 1834)</v>
      </c>
      <c r="F17878" s="5" t="s">
        <v>21878</v>
      </c>
      <c r="P17878" s="7" t="str">
        <f>HYPERLINK("#Liste_rouge!A"&amp;_xlfn.XMATCH("LC",Liste_rouge!A:A,2,1),"LC")</f>
        <v>LC</v>
      </c>
      <c r="AH17878" s="4" t="str">
        <f>HYPERLINK("#Statut_biogéographique!A"&amp;_xlfn.XMATCH("P",Statut_biogéographique!A:A,2,1),"P")</f>
        <v>P</v>
      </c>
      <c r="AM17878" s="4" t="s">
        <v>375</v>
      </c>
      <c r="AN17878" s="4" t="s">
        <v>375</v>
      </c>
      <c r="AO17878" s="4" t="s">
        <v>375</v>
      </c>
      <c r="AP17878" s="4" t="s">
        <v>376</v>
      </c>
      <c r="AR17878" s="4" t="s">
        <v>377</v>
      </c>
    </row>
    <row r="17879" spans="1:44">
      <c r="A17879" s="4" t="s">
        <v>10753</v>
      </c>
      <c r="B17879" s="4">
        <v>66078</v>
      </c>
      <c r="D17879" s="5">
        <v>66078</v>
      </c>
      <c r="E17879" s="6" t="str">
        <f>HYPERLINK("https://inpn.mnhn.fr/espece/cd_nom/66078","Chrysochraon dispar dispar (Germar, 1834)")</f>
        <v>Chrysochraon dispar dispar (Germar, 1834)</v>
      </c>
      <c r="F17879" s="5" t="s">
        <v>21878</v>
      </c>
      <c r="V17879" s="7" t="str">
        <f>HYPERLINK("#Liste_rouge!A"&amp;_xlfn.XMATCH("LC",Liste_rouge!A:A,2,1),"LC")</f>
        <v>LC</v>
      </c>
      <c r="AH17879" s="4" t="str">
        <f>HYPERLINK("#Statut_biogéographique!A"&amp;_xlfn.XMATCH("P",Statut_biogéographique!A:A,2,1),"P")</f>
        <v>P</v>
      </c>
      <c r="AP17879" s="4" t="s">
        <v>376</v>
      </c>
      <c r="AR17879" s="4" t="s">
        <v>377</v>
      </c>
    </row>
    <row r="17880" spans="1:44" ht="30">
      <c r="A17880" s="4" t="s">
        <v>10753</v>
      </c>
      <c r="B17880" s="4">
        <v>66085</v>
      </c>
      <c r="D17880" s="5" t="s">
        <v>21879</v>
      </c>
      <c r="E17880" s="6" t="str">
        <f>HYPERLINK("https://inpn.mnhn.fr/espece/cd_nom/66085","Omocestus haemorrhoidalis (Charpentier, 1825)")</f>
        <v>Omocestus haemorrhoidalis (Charpentier, 1825)</v>
      </c>
      <c r="F17880" s="5" t="s">
        <v>21880</v>
      </c>
      <c r="P17880" s="7" t="str">
        <f>HYPERLINK("#Liste_rouge!A"&amp;_xlfn.XMATCH("LC",Liste_rouge!A:A,2,1),"LC")</f>
        <v>LC</v>
      </c>
      <c r="V17880" s="7" t="str">
        <f>HYPERLINK("#Liste_rouge!A"&amp;_xlfn.XMATCH("VU",Liste_rouge!A:A,2,1),"VU")</f>
        <v>VU</v>
      </c>
      <c r="W17880" s="4" t="str">
        <f>HYPERLINK("#Critères_liste_rouge!A$1","B2ab(iii)")</f>
        <v>B2ab(iii)</v>
      </c>
      <c r="X17880" s="5" t="s">
        <v>374</v>
      </c>
      <c r="AH17880" s="4" t="str">
        <f>HYPERLINK("#Statut_biogéographique!A"&amp;_xlfn.XMATCH("P",Statut_biogéographique!A:A,2,1),"P")</f>
        <v>P</v>
      </c>
      <c r="AM17880" s="4" t="s">
        <v>375</v>
      </c>
      <c r="AN17880" s="4" t="s">
        <v>375</v>
      </c>
      <c r="AO17880" s="4" t="s">
        <v>375</v>
      </c>
      <c r="AP17880" s="4" t="s">
        <v>376</v>
      </c>
      <c r="AR17880" s="4" t="s">
        <v>377</v>
      </c>
    </row>
    <row r="17881" spans="1:44" ht="30">
      <c r="A17881" s="4" t="s">
        <v>10753</v>
      </c>
      <c r="B17881" s="4">
        <v>66086</v>
      </c>
      <c r="D17881" s="5" t="s">
        <v>21881</v>
      </c>
      <c r="E17881" s="6" t="str">
        <f>HYPERLINK("https://inpn.mnhn.fr/espece/cd_nom/66086","Omocestus petraeus (Brisout de Barneville, 1856)")</f>
        <v>Omocestus petraeus (Brisout de Barneville, 1856)</v>
      </c>
      <c r="F17881" s="5" t="s">
        <v>21882</v>
      </c>
      <c r="P17881" s="7" t="str">
        <f>HYPERLINK("#Liste_rouge!A"&amp;_xlfn.XMATCH("LC",Liste_rouge!A:A,2,1),"LC")</f>
        <v>LC</v>
      </c>
      <c r="X17881" s="5" t="s">
        <v>374</v>
      </c>
      <c r="AE17881" s="4" t="str">
        <f>HYPERLINK("#SCAP!A"&amp;_xlfn.XMATCH("A",SCAP!A:A,2,1),"A")</f>
        <v>A</v>
      </c>
      <c r="AH17881" s="4" t="str">
        <f>HYPERLINK("#Statut_biogéographique!A"&amp;_xlfn.XMATCH("P",Statut_biogéographique!A:A,2,1),"P")</f>
        <v>P</v>
      </c>
      <c r="AM17881" s="4" t="s">
        <v>375</v>
      </c>
      <c r="AN17881" s="4" t="s">
        <v>382</v>
      </c>
      <c r="AO17881" s="4" t="s">
        <v>382</v>
      </c>
      <c r="AP17881" s="4" t="s">
        <v>376</v>
      </c>
      <c r="AR17881" s="4" t="s">
        <v>377</v>
      </c>
    </row>
    <row r="17882" spans="1:44" ht="30">
      <c r="A17882" s="4" t="s">
        <v>10753</v>
      </c>
      <c r="B17882" s="4">
        <v>66088</v>
      </c>
      <c r="D17882" s="5" t="s">
        <v>21883</v>
      </c>
      <c r="E17882" s="6" t="str">
        <f>HYPERLINK("https://inpn.mnhn.fr/espece/cd_nom/66088","Omocestus rufipes (Zetterstedt, 1821)")</f>
        <v>Omocestus rufipes (Zetterstedt, 1821)</v>
      </c>
      <c r="F17882" s="5" t="s">
        <v>21884</v>
      </c>
      <c r="P17882" s="7" t="str">
        <f>HYPERLINK("#Liste_rouge!A"&amp;_xlfn.XMATCH("LC",Liste_rouge!A:A,2,1),"LC")</f>
        <v>LC</v>
      </c>
      <c r="V17882" s="7" t="str">
        <f>HYPERLINK("#Liste_rouge!A"&amp;_xlfn.XMATCH("LC",Liste_rouge!A:A,2,1),"LC")</f>
        <v>LC</v>
      </c>
      <c r="AH17882" s="4" t="str">
        <f>HYPERLINK("#Statut_biogéographique!A"&amp;_xlfn.XMATCH("P",Statut_biogéographique!A:A,2,1),"P")</f>
        <v>P</v>
      </c>
      <c r="AM17882" s="4" t="s">
        <v>375</v>
      </c>
      <c r="AN17882" s="4" t="s">
        <v>375</v>
      </c>
      <c r="AO17882" s="4" t="s">
        <v>375</v>
      </c>
      <c r="AP17882" s="4" t="s">
        <v>376</v>
      </c>
      <c r="AR17882" s="4" t="s">
        <v>377</v>
      </c>
    </row>
    <row r="17883" spans="1:44" ht="60">
      <c r="A17883" s="4" t="s">
        <v>10753</v>
      </c>
      <c r="B17883" s="4">
        <v>66090</v>
      </c>
      <c r="D17883" s="5" t="s">
        <v>21885</v>
      </c>
      <c r="E17883" s="6" t="str">
        <f>HYPERLINK("https://inpn.mnhn.fr/espece/cd_nom/66090","Omocestus viridulus (Linnaeus, 1758)")</f>
        <v>Omocestus viridulus (Linnaeus, 1758)</v>
      </c>
      <c r="F17883" s="5" t="s">
        <v>21886</v>
      </c>
      <c r="P17883" s="7" t="str">
        <f>HYPERLINK("#Liste_rouge!A"&amp;_xlfn.XMATCH("LC",Liste_rouge!A:A,2,1),"LC")</f>
        <v>LC</v>
      </c>
      <c r="V17883" s="7" t="str">
        <f>HYPERLINK("#Liste_rouge!A"&amp;_xlfn.XMATCH("LC",Liste_rouge!A:A,2,1),"LC")</f>
        <v>LC</v>
      </c>
      <c r="X17883" s="5" t="s">
        <v>21887</v>
      </c>
      <c r="Y17883" s="5" t="s">
        <v>21888</v>
      </c>
      <c r="AH17883" s="4" t="str">
        <f>HYPERLINK("#Statut_biogéographique!A"&amp;_xlfn.XMATCH("P",Statut_biogéographique!A:A,2,1),"P")</f>
        <v>P</v>
      </c>
      <c r="AM17883" s="4" t="s">
        <v>375</v>
      </c>
      <c r="AN17883" s="4" t="s">
        <v>375</v>
      </c>
      <c r="AO17883" s="4" t="s">
        <v>375</v>
      </c>
      <c r="AP17883" s="4" t="s">
        <v>376</v>
      </c>
      <c r="AR17883" s="4" t="s">
        <v>377</v>
      </c>
    </row>
    <row r="17884" spans="1:44">
      <c r="A17884" s="4" t="s">
        <v>10753</v>
      </c>
      <c r="B17884" s="4">
        <v>66091</v>
      </c>
      <c r="D17884" s="5" t="s">
        <v>21889</v>
      </c>
      <c r="E17884" s="6" t="str">
        <f>HYPERLINK("https://inpn.mnhn.fr/espece/cd_nom/66091","Omocestus antigai (Bolívar, 1897)")</f>
        <v>Omocestus antigai (Bolívar, 1897)</v>
      </c>
      <c r="F17884" s="5" t="s">
        <v>21890</v>
      </c>
      <c r="O17884" s="7" t="str">
        <f>HYPERLINK("#Liste_rouge!A"&amp;_xlfn.XMATCH("VU",Liste_rouge!A:A,2,1),"VU")</f>
        <v>VU</v>
      </c>
      <c r="P17884" s="7" t="str">
        <f>HYPERLINK("#Liste_rouge!A"&amp;_xlfn.XMATCH("VU",Liste_rouge!A:A,2,1),"VU (cd_nom 66091) - EN (cd_nom 407264)")</f>
        <v>VU (cd_nom 66091) - EN (cd_nom 407264)</v>
      </c>
      <c r="AH17884" s="4" t="str">
        <f>HYPERLINK("#Statut_biogéographique!A"&amp;_xlfn.XMATCH("P",Statut_biogéographique!A:A,2,1),"P")</f>
        <v>P</v>
      </c>
      <c r="AP17884" s="4" t="s">
        <v>376</v>
      </c>
      <c r="AR17884" s="4" t="s">
        <v>377</v>
      </c>
    </row>
    <row r="17885" spans="1:44" ht="30">
      <c r="A17885" s="4" t="s">
        <v>10753</v>
      </c>
      <c r="B17885" s="4">
        <v>66100</v>
      </c>
      <c r="D17885" s="5" t="s">
        <v>21891</v>
      </c>
      <c r="E17885" s="6" t="str">
        <f>HYPERLINK("https://inpn.mnhn.fr/espece/cd_nom/66100","Stenobothrus lineatus (Panzer, 1796)")</f>
        <v>Stenobothrus lineatus (Panzer, 1796)</v>
      </c>
      <c r="F17885" s="5" t="s">
        <v>21892</v>
      </c>
      <c r="P17885" s="7" t="str">
        <f>HYPERLINK("#Liste_rouge!A"&amp;_xlfn.XMATCH("LC",Liste_rouge!A:A,2,1),"LC")</f>
        <v>LC</v>
      </c>
      <c r="V17885" s="7" t="str">
        <f>HYPERLINK("#Liste_rouge!A"&amp;_xlfn.XMATCH("LC",Liste_rouge!A:A,2,1),"LC")</f>
        <v>LC</v>
      </c>
      <c r="AH17885" s="4" t="str">
        <f>HYPERLINK("#Statut_biogéographique!A"&amp;_xlfn.XMATCH("P",Statut_biogéographique!A:A,2,1),"P")</f>
        <v>P</v>
      </c>
      <c r="AM17885" s="4" t="s">
        <v>375</v>
      </c>
      <c r="AN17885" s="4" t="s">
        <v>375</v>
      </c>
      <c r="AO17885" s="4" t="s">
        <v>375</v>
      </c>
      <c r="AP17885" s="4" t="s">
        <v>376</v>
      </c>
      <c r="AR17885" s="4" t="s">
        <v>377</v>
      </c>
    </row>
    <row r="17886" spans="1:44">
      <c r="A17886" s="4" t="s">
        <v>10753</v>
      </c>
      <c r="B17886" s="4">
        <v>66101</v>
      </c>
      <c r="D17886" s="5" t="s">
        <v>21893</v>
      </c>
      <c r="E17886" s="6" t="str">
        <f>HYPERLINK("https://inpn.mnhn.fr/espece/cd_nom/66101","Stenobothrus fischeri (Eversmann, 1848)")</f>
        <v>Stenobothrus fischeri (Eversmann, 1848)</v>
      </c>
      <c r="F17886" s="5" t="s">
        <v>21894</v>
      </c>
      <c r="P17886" s="7" t="str">
        <f>HYPERLINK("#Liste_rouge!A"&amp;_xlfn.XMATCH("LC",Liste_rouge!A:A,2,1),"LC")</f>
        <v>LC</v>
      </c>
      <c r="AH17886" s="4" t="str">
        <f>HYPERLINK("#Statut_biogéographique!A"&amp;_xlfn.XMATCH("P",Statut_biogéographique!A:A,2,1),"P")</f>
        <v>P</v>
      </c>
      <c r="AP17886" s="4" t="s">
        <v>376</v>
      </c>
      <c r="AR17886" s="4" t="s">
        <v>377</v>
      </c>
    </row>
    <row r="17887" spans="1:44" ht="30">
      <c r="A17887" s="4" t="s">
        <v>10753</v>
      </c>
      <c r="B17887" s="4">
        <v>66102</v>
      </c>
      <c r="D17887" s="5" t="s">
        <v>21895</v>
      </c>
      <c r="E17887" s="6" t="str">
        <f>HYPERLINK("https://inpn.mnhn.fr/espece/cd_nom/66102","Stenobothrus nigromaculatus (Herrich-Schäffer, 1840)")</f>
        <v>Stenobothrus nigromaculatus (Herrich-Schäffer, 1840)</v>
      </c>
      <c r="F17887" s="5" t="s">
        <v>21896</v>
      </c>
      <c r="P17887" s="7" t="str">
        <f>HYPERLINK("#Liste_rouge!A"&amp;_xlfn.XMATCH("LC",Liste_rouge!A:A,2,1),"LC")</f>
        <v>LC</v>
      </c>
      <c r="X17887" s="5" t="s">
        <v>374</v>
      </c>
      <c r="AH17887" s="4" t="str">
        <f>HYPERLINK("#Statut_biogéographique!A"&amp;_xlfn.XMATCH("P",Statut_biogéographique!A:A,2,1),"P")</f>
        <v>P</v>
      </c>
      <c r="AM17887" s="4" t="s">
        <v>375</v>
      </c>
      <c r="AN17887" s="4" t="s">
        <v>375</v>
      </c>
      <c r="AO17887" s="4" t="s">
        <v>375</v>
      </c>
      <c r="AP17887" s="4" t="s">
        <v>376</v>
      </c>
      <c r="AR17887" s="4" t="s">
        <v>377</v>
      </c>
    </row>
    <row r="17888" spans="1:44">
      <c r="A17888" s="4" t="s">
        <v>10753</v>
      </c>
      <c r="B17888" s="4">
        <v>66103</v>
      </c>
      <c r="D17888" s="5" t="s">
        <v>21897</v>
      </c>
      <c r="E17888" s="6" t="str">
        <f>HYPERLINK("https://inpn.mnhn.fr/espece/cd_nom/66103","Stenobothrus stigmaticus (Rambur, 1838)")</f>
        <v>Stenobothrus stigmaticus (Rambur, 1838)</v>
      </c>
      <c r="F17888" s="5" t="s">
        <v>21898</v>
      </c>
      <c r="P17888" s="7" t="str">
        <f>HYPERLINK("#Liste_rouge!A"&amp;_xlfn.XMATCH("LC",Liste_rouge!A:A,2,1),"LC")</f>
        <v>LC</v>
      </c>
      <c r="V17888" s="7" t="str">
        <f>HYPERLINK("#Liste_rouge!A"&amp;_xlfn.XMATCH("CR",Liste_rouge!A:A,2,1),"CR")</f>
        <v>CR</v>
      </c>
      <c r="W17888" s="4" t="str">
        <f>HYPERLINK("#Critères_liste_rouge!A$1","A2acB2ab(ii,iii,iv)")</f>
        <v>A2acB2ab(ii,iii,iv)</v>
      </c>
      <c r="X17888" s="5" t="s">
        <v>374</v>
      </c>
      <c r="AH17888" s="4" t="str">
        <f>HYPERLINK("#Statut_biogéographique!A"&amp;_xlfn.XMATCH("P",Statut_biogéographique!A:A,2,1),"P")</f>
        <v>P</v>
      </c>
      <c r="AM17888" s="4" t="s">
        <v>375</v>
      </c>
      <c r="AN17888" s="4" t="s">
        <v>382</v>
      </c>
      <c r="AO17888" s="4" t="s">
        <v>382</v>
      </c>
      <c r="AP17888" s="4" t="s">
        <v>376</v>
      </c>
      <c r="AR17888" s="4" t="s">
        <v>377</v>
      </c>
    </row>
    <row r="17889" spans="1:44" ht="30">
      <c r="A17889" s="4" t="s">
        <v>10753</v>
      </c>
      <c r="B17889" s="4">
        <v>66107</v>
      </c>
      <c r="D17889" s="5">
        <v>66107</v>
      </c>
      <c r="E17889" s="6" t="str">
        <f>HYPERLINK("https://inpn.mnhn.fr/espece/cd_nom/66107","Stenobothrus cotticus Kruseman &amp; Jeekel, 1967")</f>
        <v>Stenobothrus cotticus Kruseman &amp; Jeekel, 1967</v>
      </c>
      <c r="F17889" s="5" t="s">
        <v>21899</v>
      </c>
      <c r="O17889" s="7" t="str">
        <f>HYPERLINK("#Liste_rouge!A"&amp;_xlfn.XMATCH("NT",Liste_rouge!A:A,2,1),"NT")</f>
        <v>NT</v>
      </c>
      <c r="P17889" s="7" t="str">
        <f>HYPERLINK("#Liste_rouge!A"&amp;_xlfn.XMATCH("NT",Liste_rouge!A:A,2,1),"NT")</f>
        <v>NT</v>
      </c>
      <c r="AH17889" s="4" t="str">
        <f>HYPERLINK("#Statut_biogéographique!A"&amp;_xlfn.XMATCH("P",Statut_biogéographique!A:A,2,1),"P")</f>
        <v>P</v>
      </c>
      <c r="AP17889" s="4" t="s">
        <v>376</v>
      </c>
      <c r="AR17889" s="4" t="s">
        <v>377</v>
      </c>
    </row>
    <row r="17890" spans="1:44" ht="30">
      <c r="A17890" s="4" t="s">
        <v>10753</v>
      </c>
      <c r="B17890" s="4">
        <v>66114</v>
      </c>
      <c r="D17890" s="5" t="s">
        <v>21900</v>
      </c>
      <c r="E17890" s="6" t="str">
        <f>HYPERLINK("https://inpn.mnhn.fr/espece/cd_nom/66114","Gomphocerippus rufus (Linnaeus, 1758)")</f>
        <v>Gomphocerippus rufus (Linnaeus, 1758)</v>
      </c>
      <c r="F17890" s="5" t="s">
        <v>21901</v>
      </c>
      <c r="P17890" s="7" t="str">
        <f>HYPERLINK("#Liste_rouge!A"&amp;_xlfn.XMATCH("LC",Liste_rouge!A:A,2,1),"LC")</f>
        <v>LC</v>
      </c>
      <c r="V17890" s="7" t="str">
        <f>HYPERLINK("#Liste_rouge!A"&amp;_xlfn.XMATCH("LC",Liste_rouge!A:A,2,1),"LC")</f>
        <v>LC</v>
      </c>
      <c r="AH17890" s="4" t="str">
        <f>HYPERLINK("#Statut_biogéographique!A"&amp;_xlfn.XMATCH("P",Statut_biogéographique!A:A,2,1),"P")</f>
        <v>P</v>
      </c>
      <c r="AM17890" s="4" t="s">
        <v>375</v>
      </c>
      <c r="AN17890" s="4" t="s">
        <v>375</v>
      </c>
      <c r="AO17890" s="4" t="s">
        <v>375</v>
      </c>
      <c r="AP17890" s="4" t="s">
        <v>376</v>
      </c>
      <c r="AR17890" s="4" t="s">
        <v>377</v>
      </c>
    </row>
    <row r="17891" spans="1:44" ht="30">
      <c r="A17891" s="4" t="s">
        <v>10753</v>
      </c>
      <c r="B17891" s="4">
        <v>66121</v>
      </c>
      <c r="D17891" s="5" t="s">
        <v>21902</v>
      </c>
      <c r="E17891" s="6" t="str">
        <f>HYPERLINK("https://inpn.mnhn.fr/espece/cd_nom/66121","Myrmeleotettix maculatus (Thunberg, 1815)")</f>
        <v>Myrmeleotettix maculatus (Thunberg, 1815)</v>
      </c>
      <c r="F17891" s="5" t="s">
        <v>21903</v>
      </c>
      <c r="P17891" s="7" t="str">
        <f>HYPERLINK("#Liste_rouge!A"&amp;_xlfn.XMATCH("LC",Liste_rouge!A:A,2,1),"LC")</f>
        <v>LC</v>
      </c>
      <c r="V17891" s="7" t="str">
        <f>HYPERLINK("#Liste_rouge!A"&amp;_xlfn.XMATCH("VU",Liste_rouge!A:A,2,1),"VU")</f>
        <v>VU</v>
      </c>
      <c r="W17891" s="4" t="str">
        <f>HYPERLINK("#Critères_liste_rouge!A$1","B2ab(iii,iv)")</f>
        <v>B2ab(iii,iv)</v>
      </c>
      <c r="X17891" s="5" t="s">
        <v>374</v>
      </c>
      <c r="AH17891" s="4" t="str">
        <f>HYPERLINK("#Statut_biogéographique!A"&amp;_xlfn.XMATCH("P",Statut_biogéographique!A:A,2,1),"P")</f>
        <v>P</v>
      </c>
      <c r="AM17891" s="4" t="s">
        <v>375</v>
      </c>
      <c r="AN17891" s="4" t="s">
        <v>375</v>
      </c>
      <c r="AO17891" s="4" t="s">
        <v>375</v>
      </c>
      <c r="AP17891" s="4" t="s">
        <v>376</v>
      </c>
      <c r="AR17891" s="4" t="s">
        <v>377</v>
      </c>
    </row>
    <row r="17892" spans="1:44" ht="30">
      <c r="A17892" s="4" t="s">
        <v>10753</v>
      </c>
      <c r="B17892" s="4">
        <v>66129</v>
      </c>
      <c r="D17892" s="5" t="s">
        <v>21904</v>
      </c>
      <c r="E17892" s="6" t="str">
        <f>HYPERLINK("https://inpn.mnhn.fr/espece/cd_nom/66129","Stauroderus scalaris (Fischer von Waldheim, 1846)")</f>
        <v>Stauroderus scalaris (Fischer von Waldheim, 1846)</v>
      </c>
      <c r="F17892" s="5" t="s">
        <v>21905</v>
      </c>
      <c r="P17892" s="7" t="str">
        <f>HYPERLINK("#Liste_rouge!A"&amp;_xlfn.XMATCH("LC",Liste_rouge!A:A,2,1),"LC")</f>
        <v>LC</v>
      </c>
      <c r="V17892" s="7" t="str">
        <f>HYPERLINK("#Liste_rouge!A"&amp;_xlfn.XMATCH("NT",Liste_rouge!A:A,2,1),"NT")</f>
        <v>NT</v>
      </c>
      <c r="W17892" s="4" t="str">
        <f>HYPERLINK("#Critères_liste_rouge!A$1","pr.A2c")</f>
        <v>pr.A2c</v>
      </c>
      <c r="X17892" s="5" t="s">
        <v>21887</v>
      </c>
      <c r="Y17892" s="5" t="s">
        <v>12756</v>
      </c>
      <c r="AH17892" s="4" t="str">
        <f>HYPERLINK("#Statut_biogéographique!A"&amp;_xlfn.XMATCH("P",Statut_biogéographique!A:A,2,1),"P")</f>
        <v>P</v>
      </c>
      <c r="AM17892" s="4" t="s">
        <v>375</v>
      </c>
      <c r="AN17892" s="4" t="s">
        <v>375</v>
      </c>
      <c r="AO17892" s="4" t="s">
        <v>375</v>
      </c>
      <c r="AP17892" s="4" t="s">
        <v>376</v>
      </c>
      <c r="AR17892" s="4" t="s">
        <v>377</v>
      </c>
    </row>
    <row r="17893" spans="1:44">
      <c r="A17893" s="4" t="s">
        <v>10753</v>
      </c>
      <c r="B17893" s="4">
        <v>66157</v>
      </c>
      <c r="D17893" s="5" t="s">
        <v>21906</v>
      </c>
      <c r="E17893" s="6" t="str">
        <f>HYPERLINK("https://inpn.mnhn.fr/espece/cd_nom/66157","Chorthippus albomarginatus (De Geer, 1773)")</f>
        <v>Chorthippus albomarginatus (De Geer, 1773)</v>
      </c>
      <c r="F17893" s="5" t="s">
        <v>21907</v>
      </c>
      <c r="P17893" s="7" t="str">
        <f>HYPERLINK("#Liste_rouge!A"&amp;_xlfn.XMATCH("LC",Liste_rouge!A:A,2,1),"LC")</f>
        <v>LC</v>
      </c>
      <c r="V17893" s="7" t="str">
        <f>HYPERLINK("#Liste_rouge!A"&amp;_xlfn.XMATCH("LC",Liste_rouge!A:A,2,1),"LC")</f>
        <v>LC</v>
      </c>
      <c r="AH17893" s="4" t="str">
        <f>HYPERLINK("#Statut_biogéographique!A"&amp;_xlfn.XMATCH("P",Statut_biogéographique!A:A,2,1),"P")</f>
        <v>P</v>
      </c>
      <c r="AM17893" s="4" t="s">
        <v>375</v>
      </c>
      <c r="AN17893" s="4" t="s">
        <v>375</v>
      </c>
      <c r="AO17893" s="4" t="s">
        <v>375</v>
      </c>
      <c r="AP17893" s="4" t="s">
        <v>376</v>
      </c>
      <c r="AR17893" s="4" t="s">
        <v>377</v>
      </c>
    </row>
    <row r="17894" spans="1:44">
      <c r="A17894" s="4" t="s">
        <v>10753</v>
      </c>
      <c r="B17894" s="4">
        <v>66159</v>
      </c>
      <c r="D17894" s="5" t="s">
        <v>21908</v>
      </c>
      <c r="E17894" s="6" t="str">
        <f>HYPERLINK("https://inpn.mnhn.fr/espece/cd_nom/66159","Chorthippus dorsatus (Zetterstedt, 1821)")</f>
        <v>Chorthippus dorsatus (Zetterstedt, 1821)</v>
      </c>
      <c r="F17894" s="5" t="s">
        <v>21909</v>
      </c>
      <c r="P17894" s="7" t="str">
        <f>HYPERLINK("#Liste_rouge!A"&amp;_xlfn.XMATCH("LC",Liste_rouge!A:A,2,1),"LC")</f>
        <v>LC</v>
      </c>
      <c r="V17894" s="7" t="str">
        <f>HYPERLINK("#Liste_rouge!A"&amp;_xlfn.XMATCH("LC",Liste_rouge!A:A,2,1),"LC")</f>
        <v>LC</v>
      </c>
      <c r="AH17894" s="4" t="str">
        <f>HYPERLINK("#Statut_biogéographique!A"&amp;_xlfn.XMATCH("P",Statut_biogéographique!A:A,2,1),"P")</f>
        <v>P</v>
      </c>
      <c r="AM17894" s="4" t="s">
        <v>375</v>
      </c>
      <c r="AN17894" s="4" t="s">
        <v>375</v>
      </c>
      <c r="AO17894" s="4" t="s">
        <v>375</v>
      </c>
      <c r="AP17894" s="4" t="s">
        <v>376</v>
      </c>
      <c r="AR17894" s="4" t="s">
        <v>377</v>
      </c>
    </row>
    <row r="17895" spans="1:44" ht="30">
      <c r="A17895" s="4" t="s">
        <v>10753</v>
      </c>
      <c r="B17895" s="4">
        <v>66160</v>
      </c>
      <c r="D17895" s="5">
        <v>66160</v>
      </c>
      <c r="E17895" s="6" t="str">
        <f>HYPERLINK("https://inpn.mnhn.fr/espece/cd_nom/66160","Chorthippus dorsatus dorsatus (Zetterstedt, 1821)")</f>
        <v>Chorthippus dorsatus dorsatus (Zetterstedt, 1821)</v>
      </c>
      <c r="F17895" s="5" t="s">
        <v>21909</v>
      </c>
      <c r="AH17895" s="4" t="str">
        <f>HYPERLINK("#Statut_biogéographique!A"&amp;_xlfn.XMATCH("P",Statut_biogéographique!A:A,2,1),"P")</f>
        <v>P</v>
      </c>
      <c r="AP17895" s="4" t="s">
        <v>376</v>
      </c>
      <c r="AR17895" s="4" t="s">
        <v>377</v>
      </c>
    </row>
    <row r="17896" spans="1:44" ht="30">
      <c r="A17896" s="4" t="s">
        <v>10753</v>
      </c>
      <c r="B17896" s="4">
        <v>66173</v>
      </c>
      <c r="D17896" s="5" t="s">
        <v>21910</v>
      </c>
      <c r="E17896" s="6" t="str">
        <f>HYPERLINK("https://inpn.mnhn.fr/espece/cd_nom/66173","Euchorthippus declivus (Brisout de Barneville, 1848)")</f>
        <v>Euchorthippus declivus (Brisout de Barneville, 1848)</v>
      </c>
      <c r="F17896" s="5" t="s">
        <v>21911</v>
      </c>
      <c r="O17896" s="7" t="str">
        <f>HYPERLINK("#Liste_rouge!A"&amp;_xlfn.XMATCH("LC",Liste_rouge!A:A,2,1),"LC")</f>
        <v>LC</v>
      </c>
      <c r="P17896" s="7" t="str">
        <f>HYPERLINK("#Liste_rouge!A"&amp;_xlfn.XMATCH("LC",Liste_rouge!A:A,2,1),"LC")</f>
        <v>LC</v>
      </c>
      <c r="V17896" s="7" t="str">
        <f>HYPERLINK("#Liste_rouge!A"&amp;_xlfn.XMATCH("LC",Liste_rouge!A:A,2,1),"LC")</f>
        <v>LC</v>
      </c>
      <c r="AH17896" s="4" t="str">
        <f>HYPERLINK("#Statut_biogéographique!A"&amp;_xlfn.XMATCH("P",Statut_biogéographique!A:A,2,1),"P")</f>
        <v>P</v>
      </c>
      <c r="AM17896" s="4" t="s">
        <v>375</v>
      </c>
      <c r="AN17896" s="4" t="s">
        <v>375</v>
      </c>
      <c r="AO17896" s="4" t="s">
        <v>375</v>
      </c>
      <c r="AP17896" s="4" t="s">
        <v>376</v>
      </c>
      <c r="AR17896" s="4" t="s">
        <v>377</v>
      </c>
    </row>
    <row r="17897" spans="1:44">
      <c r="A17897" s="4" t="s">
        <v>10753</v>
      </c>
      <c r="B17897" s="4">
        <v>66178</v>
      </c>
      <c r="D17897" s="5" t="s">
        <v>21912</v>
      </c>
      <c r="E17897" s="6" t="str">
        <f>HYPERLINK("https://inpn.mnhn.fr/espece/cd_nom/66178","Psophus stridulus (Linnaeus, 1758)")</f>
        <v>Psophus stridulus (Linnaeus, 1758)</v>
      </c>
      <c r="F17897" s="5" t="s">
        <v>21913</v>
      </c>
      <c r="P17897" s="7" t="str">
        <f>HYPERLINK("#Liste_rouge!A"&amp;_xlfn.XMATCH("LC",Liste_rouge!A:A,2,1),"LC")</f>
        <v>LC</v>
      </c>
      <c r="V17897" s="7" t="str">
        <f>HYPERLINK("#Liste_rouge!A"&amp;_xlfn.XMATCH("EN",Liste_rouge!A:A,2,1),"EN")</f>
        <v>EN</v>
      </c>
      <c r="W17897" s="4" t="str">
        <f>HYPERLINK("#Critères_liste_rouge!A$1","A2acB2ab(iii,iv)")</f>
        <v>A2acB2ab(iii,iv)</v>
      </c>
      <c r="X17897" s="5" t="s">
        <v>374</v>
      </c>
      <c r="AH17897" s="4" t="str">
        <f>HYPERLINK("#Statut_biogéographique!A"&amp;_xlfn.XMATCH("P",Statut_biogéographique!A:A,2,1),"P")</f>
        <v>P</v>
      </c>
      <c r="AM17897" s="4" t="s">
        <v>375</v>
      </c>
      <c r="AN17897" s="4" t="s">
        <v>375</v>
      </c>
      <c r="AO17897" s="4" t="s">
        <v>375</v>
      </c>
      <c r="AP17897" s="4" t="s">
        <v>376</v>
      </c>
      <c r="AR17897" s="4" t="s">
        <v>377</v>
      </c>
    </row>
    <row r="17898" spans="1:44" ht="60">
      <c r="A17898" s="4" t="s">
        <v>10753</v>
      </c>
      <c r="B17898" s="4">
        <v>66181</v>
      </c>
      <c r="D17898" s="5" t="s">
        <v>21914</v>
      </c>
      <c r="E17898" s="6" t="str">
        <f>HYPERLINK("https://inpn.mnhn.fr/espece/cd_nom/66181","Locusta migratoria (Linnaeus, 1758)")</f>
        <v>Locusta migratoria (Linnaeus, 1758)</v>
      </c>
      <c r="F17898" s="5" t="s">
        <v>21915</v>
      </c>
      <c r="P17898" s="7" t="str">
        <f>HYPERLINK("#Liste_rouge!A"&amp;_xlfn.XMATCH("LC",Liste_rouge!A:A,2,1),"LC")</f>
        <v>LC</v>
      </c>
      <c r="AH17898" s="4" t="str">
        <f>HYPERLINK("#Statut_biogéographique!A"&amp;_xlfn.XMATCH("P",Statut_biogéographique!A:A,2,1),"P")</f>
        <v>P</v>
      </c>
      <c r="AP17898" s="4" t="s">
        <v>376</v>
      </c>
      <c r="AR17898" s="4" t="s">
        <v>377</v>
      </c>
    </row>
    <row r="17899" spans="1:44">
      <c r="A17899" s="4" t="s">
        <v>10753</v>
      </c>
      <c r="B17899" s="4">
        <v>66187</v>
      </c>
      <c r="D17899" s="5" t="s">
        <v>21916</v>
      </c>
      <c r="E17899" s="6" t="str">
        <f>HYPERLINK("https://inpn.mnhn.fr/espece/cd_nom/66187","Oedaleus decorus (Germar, 1825)")</f>
        <v>Oedaleus decorus (Germar, 1825)</v>
      </c>
      <c r="F17899" s="5" t="s">
        <v>21917</v>
      </c>
      <c r="P17899" s="7" t="str">
        <f>HYPERLINK("#Liste_rouge!A"&amp;_xlfn.XMATCH("LC",Liste_rouge!A:A,2,1),"LC")</f>
        <v>LC</v>
      </c>
      <c r="X17899" s="5" t="s">
        <v>398</v>
      </c>
      <c r="AH17899" s="4" t="str">
        <f>HYPERLINK("#Statut_biogéographique!A"&amp;_xlfn.XMATCH("P",Statut_biogéographique!A:A,2,1),"P")</f>
        <v>P</v>
      </c>
      <c r="AM17899" s="4" t="s">
        <v>375</v>
      </c>
      <c r="AN17899" s="4" t="s">
        <v>375</v>
      </c>
      <c r="AO17899" s="4" t="s">
        <v>375</v>
      </c>
      <c r="AP17899" s="4" t="s">
        <v>376</v>
      </c>
      <c r="AR17899" s="4" t="s">
        <v>377</v>
      </c>
    </row>
    <row r="17900" spans="1:44" ht="45">
      <c r="A17900" s="4" t="s">
        <v>10753</v>
      </c>
      <c r="B17900" s="4">
        <v>66194</v>
      </c>
      <c r="D17900" s="5" t="s">
        <v>21918</v>
      </c>
      <c r="E17900" s="6" t="str">
        <f>HYPERLINK("https://inpn.mnhn.fr/espece/cd_nom/66194","Oedipoda caerulescens (Linnaeus, 1758)")</f>
        <v>Oedipoda caerulescens (Linnaeus, 1758)</v>
      </c>
      <c r="F17900" s="5" t="s">
        <v>21919</v>
      </c>
      <c r="P17900" s="7" t="str">
        <f>HYPERLINK("#Liste_rouge!A"&amp;_xlfn.XMATCH("LC",Liste_rouge!A:A,2,1),"LC")</f>
        <v>LC</v>
      </c>
      <c r="V17900" s="7" t="str">
        <f>HYPERLINK("#Liste_rouge!A"&amp;_xlfn.XMATCH("LC",Liste_rouge!A:A,2,1),"LC")</f>
        <v>LC</v>
      </c>
      <c r="AH17900" s="4" t="str">
        <f>HYPERLINK("#Statut_biogéographique!A"&amp;_xlfn.XMATCH("P",Statut_biogéographique!A:A,2,1),"P")</f>
        <v>P</v>
      </c>
      <c r="AM17900" s="4" t="s">
        <v>375</v>
      </c>
      <c r="AN17900" s="4" t="s">
        <v>375</v>
      </c>
      <c r="AO17900" s="4" t="s">
        <v>375</v>
      </c>
      <c r="AP17900" s="4" t="s">
        <v>376</v>
      </c>
      <c r="AR17900" s="4" t="s">
        <v>377</v>
      </c>
    </row>
    <row r="17901" spans="1:44" ht="45">
      <c r="A17901" s="4" t="s">
        <v>10753</v>
      </c>
      <c r="B17901" s="4">
        <v>66196</v>
      </c>
      <c r="D17901" s="5" t="s">
        <v>21920</v>
      </c>
      <c r="E17901" s="6" t="str">
        <f>HYPERLINK("https://inpn.mnhn.fr/espece/cd_nom/66196","Oedipoda germanica (Latreille, 1804)")</f>
        <v>Oedipoda germanica (Latreille, 1804)</v>
      </c>
      <c r="F17901" s="5" t="s">
        <v>21921</v>
      </c>
      <c r="O17901" s="7" t="str">
        <f>HYPERLINK("#Liste_rouge!A"&amp;_xlfn.XMATCH("LC",Liste_rouge!A:A,2,1),"LC")</f>
        <v>LC</v>
      </c>
      <c r="P17901" s="7" t="str">
        <f>HYPERLINK("#Liste_rouge!A"&amp;_xlfn.XMATCH("LC",Liste_rouge!A:A,2,1),"LC")</f>
        <v>LC</v>
      </c>
      <c r="V17901" s="7" t="str">
        <f>HYPERLINK("#Liste_rouge!A"&amp;_xlfn.XMATCH("VU",Liste_rouge!A:A,2,1),"VU")</f>
        <v>VU</v>
      </c>
      <c r="W17901" s="4" t="str">
        <f>HYPERLINK("#Critères_liste_rouge!A$1","B2ab(iii)")</f>
        <v>B2ab(iii)</v>
      </c>
      <c r="X17901" s="5" t="s">
        <v>374</v>
      </c>
      <c r="AH17901" s="4" t="str">
        <f>HYPERLINK("#Statut_biogéographique!A"&amp;_xlfn.XMATCH("P",Statut_biogéographique!A:A,2,1),"P")</f>
        <v>P</v>
      </c>
      <c r="AM17901" s="4" t="s">
        <v>375</v>
      </c>
      <c r="AN17901" s="4" t="s">
        <v>375</v>
      </c>
      <c r="AO17901" s="4" t="s">
        <v>375</v>
      </c>
      <c r="AP17901" s="4" t="s">
        <v>376</v>
      </c>
      <c r="AR17901" s="4" t="s">
        <v>377</v>
      </c>
    </row>
    <row r="17902" spans="1:44" ht="30">
      <c r="A17902" s="4" t="s">
        <v>10753</v>
      </c>
      <c r="B17902" s="4">
        <v>66200</v>
      </c>
      <c r="D17902" s="5" t="s">
        <v>21922</v>
      </c>
      <c r="E17902" s="6" t="str">
        <f>HYPERLINK("https://inpn.mnhn.fr/espece/cd_nom/66200","Sphingonotus caerulans (Linnaeus, 1767)")</f>
        <v>Sphingonotus caerulans (Linnaeus, 1767)</v>
      </c>
      <c r="F17902" s="5" t="s">
        <v>21923</v>
      </c>
      <c r="P17902" s="7" t="str">
        <f>HYPERLINK("#Liste_rouge!A"&amp;_xlfn.XMATCH("LC",Liste_rouge!A:A,2,1),"LC")</f>
        <v>LC</v>
      </c>
      <c r="V17902" s="7" t="str">
        <f>HYPERLINK("#Liste_rouge!A"&amp;_xlfn.XMATCH("NT",Liste_rouge!A:A,2,1),"NT")</f>
        <v>NT</v>
      </c>
      <c r="W17902" s="4" t="str">
        <f>HYPERLINK("#Critères_liste_rouge!A$1","pr.A3c")</f>
        <v>pr.A3c</v>
      </c>
      <c r="X17902" s="5" t="s">
        <v>398</v>
      </c>
      <c r="AH17902" s="4" t="str">
        <f>HYPERLINK("#Statut_biogéographique!A"&amp;_xlfn.XMATCH("P",Statut_biogéographique!A:A,2,1),"P")</f>
        <v>P</v>
      </c>
      <c r="AM17902" s="4" t="s">
        <v>375</v>
      </c>
      <c r="AN17902" s="4" t="s">
        <v>375</v>
      </c>
      <c r="AO17902" s="4" t="s">
        <v>375</v>
      </c>
      <c r="AP17902" s="4" t="s">
        <v>376</v>
      </c>
      <c r="AR17902" s="4" t="s">
        <v>377</v>
      </c>
    </row>
    <row r="17903" spans="1:44" ht="30">
      <c r="A17903" s="4" t="s">
        <v>10753</v>
      </c>
      <c r="B17903" s="4">
        <v>66201</v>
      </c>
      <c r="D17903" s="5">
        <v>66201</v>
      </c>
      <c r="E17903" s="6" t="str">
        <f>HYPERLINK("https://inpn.mnhn.fr/espece/cd_nom/66201","Sphingonotus caerulans caerulans (Linnaeus, 1767)")</f>
        <v>Sphingonotus caerulans caerulans (Linnaeus, 1767)</v>
      </c>
      <c r="F17903" s="5" t="s">
        <v>21924</v>
      </c>
      <c r="AH17903" s="4" t="str">
        <f>HYPERLINK("#Statut_biogéographique!A"&amp;_xlfn.XMATCH("P",Statut_biogéographique!A:A,2,1),"P")</f>
        <v>P</v>
      </c>
      <c r="AP17903" s="4" t="s">
        <v>376</v>
      </c>
      <c r="AR17903" s="4" t="s">
        <v>377</v>
      </c>
    </row>
    <row r="17904" spans="1:44" ht="30">
      <c r="A17904" s="4" t="s">
        <v>10753</v>
      </c>
      <c r="B17904" s="4">
        <v>66214</v>
      </c>
      <c r="D17904" s="5" t="s">
        <v>21925</v>
      </c>
      <c r="E17904" s="6" t="str">
        <f>HYPERLINK("https://inpn.mnhn.fr/espece/cd_nom/66214","Aiolopus thalassinus (Fabricius, 1781)")</f>
        <v>Aiolopus thalassinus (Fabricius, 1781)</v>
      </c>
      <c r="F17904" s="5" t="s">
        <v>21926</v>
      </c>
      <c r="P17904" s="7" t="str">
        <f>HYPERLINK("#Liste_rouge!A"&amp;_xlfn.XMATCH("LC",Liste_rouge!A:A,2,1),"LC")</f>
        <v>LC</v>
      </c>
      <c r="V17904" s="7" t="str">
        <f>HYPERLINK("#Liste_rouge!A"&amp;_xlfn.XMATCH("NT",Liste_rouge!A:A,2,1),"NT")</f>
        <v>NT</v>
      </c>
      <c r="W17904" s="4" t="str">
        <f>HYPERLINK("#Critères_liste_rouge!A$1","pr.A3c")</f>
        <v>pr.A3c</v>
      </c>
      <c r="AH17904" s="4" t="str">
        <f>HYPERLINK("#Statut_biogéographique!A"&amp;_xlfn.XMATCH("P",Statut_biogéographique!A:A,2,1),"P")</f>
        <v>P</v>
      </c>
      <c r="AM17904" s="4" t="s">
        <v>375</v>
      </c>
      <c r="AN17904" s="4" t="s">
        <v>375</v>
      </c>
      <c r="AO17904" s="4" t="s">
        <v>375</v>
      </c>
      <c r="AP17904" s="4" t="s">
        <v>376</v>
      </c>
      <c r="AR17904" s="4" t="s">
        <v>377</v>
      </c>
    </row>
    <row r="17905" spans="1:44">
      <c r="A17905" s="4" t="s">
        <v>10753</v>
      </c>
      <c r="B17905" s="4">
        <v>66215</v>
      </c>
      <c r="D17905" s="5" t="s">
        <v>21927</v>
      </c>
      <c r="E17905" s="6" t="str">
        <f>HYPERLINK("https://inpn.mnhn.fr/espece/cd_nom/66215","Aiolopus strepens (Latreille, 1804)")</f>
        <v>Aiolopus strepens (Latreille, 1804)</v>
      </c>
      <c r="F17905" s="5" t="s">
        <v>21928</v>
      </c>
      <c r="P17905" s="7" t="str">
        <f>HYPERLINK("#Liste_rouge!A"&amp;_xlfn.XMATCH("LC",Liste_rouge!A:A,2,1),"LC")</f>
        <v>LC</v>
      </c>
      <c r="V17905" s="7" t="str">
        <f>HYPERLINK("#Liste_rouge!A"&amp;_xlfn.XMATCH("DD",Liste_rouge!A:A,2,1),"DD")</f>
        <v>DD</v>
      </c>
      <c r="AH17905" s="4" t="str">
        <f>HYPERLINK("#Statut_biogéographique!A"&amp;_xlfn.XMATCH("P",Statut_biogéographique!A:A,2,1),"P")</f>
        <v>P</v>
      </c>
      <c r="AM17905" s="4" t="s">
        <v>375</v>
      </c>
      <c r="AN17905" s="4" t="s">
        <v>375</v>
      </c>
      <c r="AO17905" s="4" t="s">
        <v>375</v>
      </c>
      <c r="AP17905" s="4" t="s">
        <v>376</v>
      </c>
      <c r="AR17905" s="4" t="s">
        <v>377</v>
      </c>
    </row>
    <row r="17906" spans="1:44">
      <c r="A17906" s="4" t="s">
        <v>10753</v>
      </c>
      <c r="B17906" s="4">
        <v>66223</v>
      </c>
      <c r="D17906" s="5" t="s">
        <v>21929</v>
      </c>
      <c r="E17906" s="6" t="str">
        <f>HYPERLINK("https://inpn.mnhn.fr/espece/cd_nom/66223","Paracinema tricolor (Thunberg, 1815)")</f>
        <v>Paracinema tricolor (Thunberg, 1815)</v>
      </c>
      <c r="F17906" s="5" t="s">
        <v>21930</v>
      </c>
      <c r="P17906" s="7" t="str">
        <f>HYPERLINK("#Liste_rouge!A"&amp;_xlfn.XMATCH("NT",Liste_rouge!A:A,2,1),"NT")</f>
        <v>NT</v>
      </c>
      <c r="X17906" s="5" t="s">
        <v>374</v>
      </c>
      <c r="AH17906" s="4" t="str">
        <f>HYPERLINK("#Statut_biogéographique!A"&amp;_xlfn.XMATCH("P",Statut_biogéographique!A:A,2,1),"P")</f>
        <v>P</v>
      </c>
      <c r="AM17906" s="4" t="s">
        <v>375</v>
      </c>
      <c r="AN17906" s="4" t="s">
        <v>375</v>
      </c>
      <c r="AO17906" s="4" t="s">
        <v>375</v>
      </c>
      <c r="AP17906" s="4" t="s">
        <v>376</v>
      </c>
      <c r="AR17906" s="4" t="s">
        <v>377</v>
      </c>
    </row>
    <row r="17907" spans="1:44">
      <c r="A17907" s="4" t="s">
        <v>10753</v>
      </c>
      <c r="B17907" s="4">
        <v>66243</v>
      </c>
      <c r="D17907" s="5" t="s">
        <v>21931</v>
      </c>
      <c r="E17907" s="6" t="str">
        <f>HYPERLINK("https://inpn.mnhn.fr/espece/cd_nom/66243","Cophopodisma pyrenaea (Fischer, 1853)")</f>
        <v>Cophopodisma pyrenaea (Fischer, 1853)</v>
      </c>
      <c r="F17907" s="5" t="s">
        <v>21932</v>
      </c>
      <c r="P17907" s="7" t="str">
        <f>HYPERLINK("#Liste_rouge!A"&amp;_xlfn.XMATCH("NT",Liste_rouge!A:A,2,1),"NT")</f>
        <v>NT</v>
      </c>
      <c r="AH17907" s="4" t="str">
        <f>HYPERLINK("#Statut_biogéographique!A"&amp;_xlfn.XMATCH("P",Statut_biogéographique!A:A,2,1),"P")</f>
        <v>P</v>
      </c>
      <c r="AP17907" s="4" t="s">
        <v>376</v>
      </c>
      <c r="AR17907" s="4" t="s">
        <v>377</v>
      </c>
    </row>
    <row r="17908" spans="1:44">
      <c r="A17908" s="4" t="s">
        <v>10753</v>
      </c>
      <c r="B17908" s="4">
        <v>66250</v>
      </c>
      <c r="D17908" s="5" t="s">
        <v>21933</v>
      </c>
      <c r="E17908" s="6" t="str">
        <f>HYPERLINK("https://inpn.mnhn.fr/espece/cd_nom/66250","Miramella alpina (Kollar, 1833)")</f>
        <v>Miramella alpina (Kollar, 1833)</v>
      </c>
      <c r="F17908" s="5" t="s">
        <v>21934</v>
      </c>
      <c r="O17908" s="7" t="str">
        <f>HYPERLINK("#Liste_rouge!A"&amp;_xlfn.XMATCH("LC",Liste_rouge!A:A,2,1),"LC")</f>
        <v>LC</v>
      </c>
      <c r="P17908" s="7" t="str">
        <f>HYPERLINK("#Liste_rouge!A"&amp;_xlfn.XMATCH("LC",Liste_rouge!A:A,2,1),"LC")</f>
        <v>LC</v>
      </c>
      <c r="V17908" s="7" t="str">
        <f>HYPERLINK("#Liste_rouge!A"&amp;_xlfn.XMATCH("LC",Liste_rouge!A:A,2,1),"LC")</f>
        <v>LC</v>
      </c>
      <c r="AH17908" s="4" t="str">
        <f>HYPERLINK("#Statut_biogéographique!A"&amp;_xlfn.XMATCH("P",Statut_biogéographique!A:A,2,1),"P")</f>
        <v>P</v>
      </c>
      <c r="AM17908" s="4" t="s">
        <v>375</v>
      </c>
      <c r="AN17908" s="4" t="s">
        <v>375</v>
      </c>
      <c r="AO17908" s="4" t="s">
        <v>375</v>
      </c>
      <c r="AP17908" s="4" t="s">
        <v>376</v>
      </c>
      <c r="AR17908" s="4" t="s">
        <v>377</v>
      </c>
    </row>
    <row r="17909" spans="1:44" ht="30">
      <c r="A17909" s="4" t="s">
        <v>10753</v>
      </c>
      <c r="B17909" s="4">
        <v>66262</v>
      </c>
      <c r="D17909" s="5" t="s">
        <v>21935</v>
      </c>
      <c r="E17909" s="6" t="str">
        <f>HYPERLINK("https://inpn.mnhn.fr/espece/cd_nom/66262","Anacridium aegyptium (Linnaeus, 1764)")</f>
        <v>Anacridium aegyptium (Linnaeus, 1764)</v>
      </c>
      <c r="F17909" s="5" t="s">
        <v>21936</v>
      </c>
      <c r="P17909" s="7" t="str">
        <f>HYPERLINK("#Liste_rouge!A"&amp;_xlfn.XMATCH("LC",Liste_rouge!A:A,2,1),"LC")</f>
        <v>LC</v>
      </c>
      <c r="AH17909" s="4" t="str">
        <f>HYPERLINK("#Statut_biogéographique!A"&amp;_xlfn.XMATCH("P",Statut_biogéographique!A:A,2,1),"P")</f>
        <v>P</v>
      </c>
      <c r="AM17909" s="4" t="s">
        <v>375</v>
      </c>
      <c r="AN17909" s="4" t="s">
        <v>375</v>
      </c>
      <c r="AO17909" s="4" t="s">
        <v>375</v>
      </c>
      <c r="AP17909" s="4" t="s">
        <v>376</v>
      </c>
      <c r="AR17909" s="4" t="s">
        <v>377</v>
      </c>
    </row>
    <row r="17910" spans="1:44" ht="30">
      <c r="A17910" s="4" t="s">
        <v>10753</v>
      </c>
      <c r="B17910" s="4">
        <v>66268</v>
      </c>
      <c r="D17910" s="5" t="s">
        <v>21937</v>
      </c>
      <c r="E17910" s="6" t="str">
        <f>HYPERLINK("https://inpn.mnhn.fr/espece/cd_nom/66268","Calliptamus italicus (Linnaeus, 1758)")</f>
        <v>Calliptamus italicus (Linnaeus, 1758)</v>
      </c>
      <c r="F17910" s="5" t="s">
        <v>21938</v>
      </c>
      <c r="P17910" s="7" t="str">
        <f>HYPERLINK("#Liste_rouge!A"&amp;_xlfn.XMATCH("LC",Liste_rouge!A:A,2,1),"LC")</f>
        <v>LC</v>
      </c>
      <c r="V17910" s="7" t="str">
        <f>HYPERLINK("#Liste_rouge!A"&amp;_xlfn.XMATCH("LC",Liste_rouge!A:A,2,1),"LC")</f>
        <v>LC</v>
      </c>
      <c r="AH17910" s="4" t="str">
        <f>HYPERLINK("#Statut_biogéographique!A"&amp;_xlfn.XMATCH("P",Statut_biogéographique!A:A,2,1),"P")</f>
        <v>P</v>
      </c>
      <c r="AM17910" s="4" t="s">
        <v>375</v>
      </c>
      <c r="AN17910" s="4" t="s">
        <v>375</v>
      </c>
      <c r="AO17910" s="4" t="s">
        <v>375</v>
      </c>
      <c r="AP17910" s="4" t="s">
        <v>376</v>
      </c>
      <c r="AR17910" s="4" t="s">
        <v>377</v>
      </c>
    </row>
    <row r="17911" spans="1:44">
      <c r="A17911" s="4" t="s">
        <v>10753</v>
      </c>
      <c r="B17911" s="4">
        <v>66270</v>
      </c>
      <c r="D17911" s="5" t="s">
        <v>21939</v>
      </c>
      <c r="E17911" s="6" t="str">
        <f>HYPERLINK("https://inpn.mnhn.fr/espece/cd_nom/66270","Calliptamus barbarus (O.G. Costa, 1836)")</f>
        <v>Calliptamus barbarus (O.G. Costa, 1836)</v>
      </c>
      <c r="F17911" s="5" t="s">
        <v>21940</v>
      </c>
      <c r="P17911" s="7" t="str">
        <f>HYPERLINK("#Liste_rouge!A"&amp;_xlfn.XMATCH("LC",Liste_rouge!A:A,2,1),"LC")</f>
        <v>LC</v>
      </c>
      <c r="V17911" s="7" t="str">
        <f>HYPERLINK("#Liste_rouge!A"&amp;_xlfn.XMATCH("NT",Liste_rouge!A:A,2,1),"NT")</f>
        <v>NT</v>
      </c>
      <c r="W17911" s="4" t="str">
        <f>HYPERLINK("#Critères_liste_rouge!A$1","pr.A3c")</f>
        <v>pr.A3c</v>
      </c>
      <c r="X17911" s="5" t="s">
        <v>398</v>
      </c>
      <c r="AH17911" s="4" t="str">
        <f>HYPERLINK("#Statut_biogéographique!A"&amp;_xlfn.XMATCH("P",Statut_biogéographique!A:A,2,1),"P")</f>
        <v>P</v>
      </c>
      <c r="AM17911" s="4" t="s">
        <v>375</v>
      </c>
      <c r="AN17911" s="4" t="s">
        <v>375</v>
      </c>
      <c r="AO17911" s="4" t="s">
        <v>375</v>
      </c>
      <c r="AP17911" s="4" t="s">
        <v>376</v>
      </c>
      <c r="AR17911" s="4" t="s">
        <v>377</v>
      </c>
    </row>
    <row r="17912" spans="1:44" ht="30">
      <c r="A17912" s="4" t="s">
        <v>10753</v>
      </c>
      <c r="B17912" s="4">
        <v>669412</v>
      </c>
      <c r="D17912" s="5" t="s">
        <v>21941</v>
      </c>
      <c r="E17912" s="6" t="str">
        <f>HYPERLINK("https://inpn.mnhn.fr/espece/cd_nom/669412","Atyaephyra desmarestii (Millet, 1831)")</f>
        <v>Atyaephyra desmarestii (Millet, 1831)</v>
      </c>
      <c r="F17912" s="5" t="s">
        <v>21942</v>
      </c>
      <c r="O17912" s="7" t="str">
        <f>HYPERLINK("#Liste_rouge!A"&amp;_xlfn.XMATCH("LC",Liste_rouge!A:A,2,1),"LC")</f>
        <v>LC</v>
      </c>
      <c r="Q17912" s="7" t="str">
        <f>HYPERLINK("#Liste_rouge!A"&amp;_xlfn.XMATCH("LC",Liste_rouge!A:A,2,1),"LC")</f>
        <v>LC</v>
      </c>
      <c r="AH17912" s="4" t="str">
        <f>HYPERLINK("#Statut_biogéographique!A"&amp;_xlfn.XMATCH("I",Statut_biogéographique!A:A,2,1),"I")</f>
        <v>I</v>
      </c>
      <c r="AP17912" s="4" t="s">
        <v>376</v>
      </c>
      <c r="AR17912" s="4" t="s">
        <v>377</v>
      </c>
    </row>
    <row r="17913" spans="1:44">
      <c r="A17913" s="4" t="s">
        <v>10753</v>
      </c>
      <c r="B17913" s="4">
        <v>674963</v>
      </c>
      <c r="D17913" s="5">
        <v>674963</v>
      </c>
      <c r="E17913" s="6" t="str">
        <f>HYPERLINK("https://inpn.mnhn.fr/espece/cd_nom/674963","Limonius poneli Leseigneur &amp; Mertlik, 2007")</f>
        <v>Limonius poneli Leseigneur &amp; Mertlik, 2007</v>
      </c>
      <c r="AH17913" s="4" t="str">
        <f>HYPERLINK("#Statut_biogéographique!A"&amp;_xlfn.XMATCH("P",Statut_biogéographique!A:A,2,1),"P")</f>
        <v>P</v>
      </c>
      <c r="AP17913" s="4" t="s">
        <v>376</v>
      </c>
      <c r="AR17913" s="4" t="s">
        <v>377</v>
      </c>
    </row>
    <row r="17914" spans="1:44">
      <c r="A17914" s="4" t="s">
        <v>10753</v>
      </c>
      <c r="B17914" s="4">
        <v>675621</v>
      </c>
      <c r="D17914" s="5" t="s">
        <v>21943</v>
      </c>
      <c r="E17914" s="6" t="str">
        <f>HYPERLINK("https://inpn.mnhn.fr/espece/cd_nom/675621","Drapetes mordelloides Host, 1789")</f>
        <v>Drapetes mordelloides Host, 1789</v>
      </c>
      <c r="AH17914" s="4" t="str">
        <f>HYPERLINK("#Statut_biogéographique!A"&amp;_xlfn.XMATCH("P",Statut_biogéographique!A:A,2,1),"P")</f>
        <v>P</v>
      </c>
      <c r="AP17914" s="4" t="s">
        <v>376</v>
      </c>
      <c r="AR17914" s="4" t="s">
        <v>377</v>
      </c>
    </row>
    <row r="17915" spans="1:44">
      <c r="A17915" s="4" t="s">
        <v>10753</v>
      </c>
      <c r="B17915" s="4">
        <v>698323</v>
      </c>
      <c r="D17915" s="5" t="s">
        <v>21944</v>
      </c>
      <c r="E17915" s="6" t="str">
        <f>HYPERLINK("https://inpn.mnhn.fr/espece/cd_nom/698323","Idaea macilentaria (Herrich-Schäffer, 1846)")</f>
        <v>Idaea macilentaria (Herrich-Schäffer, 1846)</v>
      </c>
      <c r="F17915" s="5" t="s">
        <v>21945</v>
      </c>
      <c r="AH17915" s="4" t="str">
        <f>HYPERLINK("#Statut_biogéographique!A"&amp;_xlfn.XMATCH("P",Statut_biogéographique!A:A,2,1),"P")</f>
        <v>P</v>
      </c>
      <c r="AP17915" s="4" t="s">
        <v>376</v>
      </c>
      <c r="AR17915" s="4" t="s">
        <v>377</v>
      </c>
    </row>
    <row r="17916" spans="1:44">
      <c r="A17916" s="4" t="s">
        <v>10753</v>
      </c>
      <c r="B17916" s="4">
        <v>698919</v>
      </c>
      <c r="D17916" s="5">
        <v>698919</v>
      </c>
      <c r="E17916" s="6" t="str">
        <f>HYPERLINK("https://inpn.mnhn.fr/espece/cd_nom/698919","Trixagus meybohmi Leseigneur, 2005")</f>
        <v>Trixagus meybohmi Leseigneur, 2005</v>
      </c>
      <c r="AH17916" s="4" t="str">
        <f>HYPERLINK("#Statut_biogéographique!A"&amp;_xlfn.XMATCH("P",Statut_biogéographique!A:A,2,1),"P")</f>
        <v>P</v>
      </c>
      <c r="AP17916" s="4" t="s">
        <v>376</v>
      </c>
      <c r="AR17916" s="4" t="s">
        <v>377</v>
      </c>
    </row>
    <row r="17917" spans="1:44" ht="30">
      <c r="A17917" s="4" t="s">
        <v>10753</v>
      </c>
      <c r="B17917" s="4">
        <v>698946</v>
      </c>
      <c r="D17917" s="5" t="s">
        <v>21946</v>
      </c>
      <c r="E17917" s="6" t="str">
        <f>HYPERLINK("https://inpn.mnhn.fr/espece/cd_nom/698946","Trichius gallicus Dejean, 1821")</f>
        <v>Trichius gallicus Dejean, 1821</v>
      </c>
      <c r="F17917" s="5" t="s">
        <v>21947</v>
      </c>
      <c r="P17917" s="7" t="str">
        <f>HYPERLINK("#Liste_rouge!A"&amp;_xlfn.XMATCH("LC",Liste_rouge!A:A,2,1),"LC")</f>
        <v>LC</v>
      </c>
      <c r="AH17917" s="4" t="str">
        <f>HYPERLINK("#Statut_biogéographique!A"&amp;_xlfn.XMATCH("P",Statut_biogéographique!A:A,2,1),"P")</f>
        <v>P</v>
      </c>
      <c r="AP17917" s="4" t="s">
        <v>376</v>
      </c>
      <c r="AR17917" s="4" t="s">
        <v>377</v>
      </c>
    </row>
    <row r="17918" spans="1:44">
      <c r="A17918" s="4" t="s">
        <v>10753</v>
      </c>
      <c r="B17918" s="4">
        <v>699581</v>
      </c>
      <c r="D17918" s="5" t="s">
        <v>21948</v>
      </c>
      <c r="E17918" s="6" t="str">
        <f>HYPERLINK("https://inpn.mnhn.fr/espece/cd_nom/699581","Perizoma juracolaria (Wehrli, 1919)")</f>
        <v>Perizoma juracolaria (Wehrli, 1919)</v>
      </c>
      <c r="F17918" s="5" t="s">
        <v>21949</v>
      </c>
      <c r="AH17918" s="4" t="str">
        <f>HYPERLINK("#Statut_biogéographique!A"&amp;_xlfn.XMATCH("P",Statut_biogéographique!A:A,2,1),"P")</f>
        <v>P</v>
      </c>
      <c r="AP17918" s="4" t="s">
        <v>376</v>
      </c>
      <c r="AR17918" s="4" t="s">
        <v>377</v>
      </c>
    </row>
    <row r="17919" spans="1:44" ht="30">
      <c r="A17919" s="4" t="s">
        <v>10753</v>
      </c>
      <c r="B17919" s="4">
        <v>699869</v>
      </c>
      <c r="D17919" s="5" t="s">
        <v>21950</v>
      </c>
      <c r="E17919" s="6" t="str">
        <f>HYPERLINK("https://inpn.mnhn.fr/espece/cd_nom/699869","Oxyptilus parvidactylus (Haworth, 1811)")</f>
        <v>Oxyptilus parvidactylus (Haworth, 1811)</v>
      </c>
      <c r="AH17919" s="4" t="str">
        <f>HYPERLINK("#Statut_biogéographique!A"&amp;_xlfn.XMATCH("P",Statut_biogéographique!A:A,2,1),"P")</f>
        <v>P</v>
      </c>
      <c r="AP17919" s="4" t="s">
        <v>376</v>
      </c>
      <c r="AR17919" s="4" t="s">
        <v>377</v>
      </c>
    </row>
    <row r="17920" spans="1:44" ht="30">
      <c r="A17920" s="4" t="s">
        <v>10753</v>
      </c>
      <c r="B17920" s="4">
        <v>699881</v>
      </c>
      <c r="D17920" s="5" t="s">
        <v>21951</v>
      </c>
      <c r="E17920" s="6" t="str">
        <f>HYPERLINK("https://inpn.mnhn.fr/espece/cd_nom/699881","Oxyptilus chrysodactylus (Denis &amp; Schiffermüller, 1775)")</f>
        <v>Oxyptilus chrysodactylus (Denis &amp; Schiffermüller, 1775)</v>
      </c>
      <c r="AH17920" s="4" t="str">
        <f>HYPERLINK("#Statut_biogéographique!A"&amp;_xlfn.XMATCH("P",Statut_biogéographique!A:A,2,1),"P")</f>
        <v>P</v>
      </c>
      <c r="AP17920" s="4" t="s">
        <v>376</v>
      </c>
      <c r="AR17920" s="4" t="s">
        <v>377</v>
      </c>
    </row>
    <row r="17921" spans="1:44">
      <c r="A17921" s="4" t="s">
        <v>10753</v>
      </c>
      <c r="B17921" s="4">
        <v>699887</v>
      </c>
      <c r="D17921" s="5" t="s">
        <v>21952</v>
      </c>
      <c r="E17921" s="6" t="str">
        <f>HYPERLINK("https://inpn.mnhn.fr/espece/cd_nom/699887","Armadillidium nasatum Budde-Lund, 1885")</f>
        <v>Armadillidium nasatum Budde-Lund, 1885</v>
      </c>
      <c r="AH17921" s="4" t="str">
        <f>HYPERLINK("#Statut_biogéographique!A"&amp;_xlfn.XMATCH("P",Statut_biogéographique!A:A,2,1),"P")</f>
        <v>P</v>
      </c>
      <c r="AP17921" s="4" t="s">
        <v>376</v>
      </c>
      <c r="AR17921" s="4" t="s">
        <v>377</v>
      </c>
    </row>
    <row r="17922" spans="1:44">
      <c r="A17922" s="4" t="s">
        <v>10753</v>
      </c>
      <c r="B17922" s="4">
        <v>699935</v>
      </c>
      <c r="D17922" s="5" t="s">
        <v>21953</v>
      </c>
      <c r="E17922" s="6" t="str">
        <f>HYPERLINK("https://inpn.mnhn.fr/espece/cd_nom/699935","Capperia britanniodactyla (Gregson, 1869)")</f>
        <v>Capperia britanniodactyla (Gregson, 1869)</v>
      </c>
      <c r="AH17922" s="4" t="str">
        <f>HYPERLINK("#Statut_biogéographique!A"&amp;_xlfn.XMATCH("P",Statut_biogéographique!A:A,2,1),"P")</f>
        <v>P</v>
      </c>
      <c r="AP17922" s="4" t="s">
        <v>376</v>
      </c>
      <c r="AR17922" s="4" t="s">
        <v>377</v>
      </c>
    </row>
    <row r="17923" spans="1:44" ht="30">
      <c r="A17923" s="4" t="s">
        <v>10753</v>
      </c>
      <c r="B17923" s="4">
        <v>701411</v>
      </c>
      <c r="D17923" s="5" t="s">
        <v>21954</v>
      </c>
      <c r="E17923" s="6" t="str">
        <f>HYPERLINK("https://inpn.mnhn.fr/espece/cd_nom/701411","Cnaemidophorus rhododactylus (Denis &amp; Schiffermüller, 1775)")</f>
        <v>Cnaemidophorus rhododactylus (Denis &amp; Schiffermüller, 1775)</v>
      </c>
      <c r="AH17923" s="4" t="str">
        <f>HYPERLINK("#Statut_biogéographique!A"&amp;_xlfn.XMATCH("P",Statut_biogéographique!A:A,2,1),"P")</f>
        <v>P</v>
      </c>
      <c r="AP17923" s="4" t="s">
        <v>376</v>
      </c>
      <c r="AR17923" s="4" t="s">
        <v>377</v>
      </c>
    </row>
    <row r="17924" spans="1:44">
      <c r="A17924" s="4" t="s">
        <v>10753</v>
      </c>
      <c r="B17924" s="4">
        <v>701438</v>
      </c>
      <c r="D17924" s="5" t="s">
        <v>21955</v>
      </c>
      <c r="E17924" s="6" t="str">
        <f>HYPERLINK("https://inpn.mnhn.fr/espece/cd_nom/701438","Tettigettalna argentata (Olivier, 1790)")</f>
        <v>Tettigettalna argentata (Olivier, 1790)</v>
      </c>
      <c r="F17924" s="5" t="s">
        <v>21956</v>
      </c>
      <c r="AH17924" s="4" t="str">
        <f>HYPERLINK("#Statut_biogéographique!A"&amp;_xlfn.XMATCH("P",Statut_biogéographique!A:A,2,1),"P")</f>
        <v>P</v>
      </c>
      <c r="AP17924" s="4" t="s">
        <v>376</v>
      </c>
      <c r="AR17924" s="4" t="s">
        <v>377</v>
      </c>
    </row>
    <row r="17925" spans="1:44" ht="30">
      <c r="A17925" s="4" t="s">
        <v>10753</v>
      </c>
      <c r="B17925" s="4">
        <v>701462</v>
      </c>
      <c r="D17925" s="5" t="s">
        <v>21957</v>
      </c>
      <c r="E17925" s="6" t="str">
        <f>HYPERLINK("https://inpn.mnhn.fr/espece/cd_nom/701462","Stenoptilia stigmatodactyla (Zeller, 1852)")</f>
        <v>Stenoptilia stigmatodactyla (Zeller, 1852)</v>
      </c>
      <c r="AH17925" s="4" t="str">
        <f>HYPERLINK("#Statut_biogéographique!A"&amp;_xlfn.XMATCH("P",Statut_biogéographique!A:A,2,1),"P")</f>
        <v>P</v>
      </c>
      <c r="AP17925" s="4" t="s">
        <v>376</v>
      </c>
      <c r="AR17925" s="4" t="s">
        <v>377</v>
      </c>
    </row>
    <row r="17926" spans="1:44">
      <c r="A17926" s="4" t="s">
        <v>10753</v>
      </c>
      <c r="B17926" s="4">
        <v>701599</v>
      </c>
      <c r="D17926" s="5" t="s">
        <v>21958</v>
      </c>
      <c r="E17926" s="6" t="str">
        <f>HYPERLINK("https://inpn.mnhn.fr/espece/cd_nom/701599","Cydia amplana (Hübner, 1799)")</f>
        <v>Cydia amplana (Hübner, 1799)</v>
      </c>
      <c r="AH17926" s="4" t="str">
        <f>HYPERLINK("#Statut_biogéographique!A"&amp;_xlfn.XMATCH("P",Statut_biogéographique!A:A,2,1),"P")</f>
        <v>P</v>
      </c>
      <c r="AP17926" s="4" t="s">
        <v>376</v>
      </c>
      <c r="AR17926" s="4" t="s">
        <v>377</v>
      </c>
    </row>
    <row r="17927" spans="1:44">
      <c r="A17927" s="4" t="s">
        <v>10753</v>
      </c>
      <c r="B17927" s="4">
        <v>701622</v>
      </c>
      <c r="D17927" s="5" t="s">
        <v>21959</v>
      </c>
      <c r="E17927" s="6" t="str">
        <f>HYPERLINK("https://inpn.mnhn.fr/espece/cd_nom/701622","Pterophorus pentadactylus (Linnaeus, 1758)")</f>
        <v>Pterophorus pentadactylus (Linnaeus, 1758)</v>
      </c>
      <c r="AH17927" s="4" t="str">
        <f>HYPERLINK("#Statut_biogéographique!A"&amp;_xlfn.XMATCH("P",Statut_biogéographique!A:A,2,1),"P")</f>
        <v>P</v>
      </c>
      <c r="AP17927" s="4" t="s">
        <v>376</v>
      </c>
      <c r="AR17927" s="4" t="s">
        <v>377</v>
      </c>
    </row>
    <row r="17928" spans="1:44" ht="30">
      <c r="A17928" s="4" t="s">
        <v>10753</v>
      </c>
      <c r="B17928" s="4">
        <v>701642</v>
      </c>
      <c r="D17928" s="5" t="s">
        <v>21960</v>
      </c>
      <c r="E17928" s="6" t="str">
        <f>HYPERLINK("https://inpn.mnhn.fr/espece/cd_nom/701642","Merrifieldia icterodactyla (Mann, 1855)")</f>
        <v>Merrifieldia icterodactyla (Mann, 1855)</v>
      </c>
      <c r="AH17928" s="4" t="str">
        <f>HYPERLINK("#Statut_biogéographique!A"&amp;_xlfn.XMATCH("P",Statut_biogéographique!A:A,2,1),"P")</f>
        <v>P</v>
      </c>
      <c r="AP17928" s="4" t="s">
        <v>376</v>
      </c>
      <c r="AR17928" s="4" t="s">
        <v>377</v>
      </c>
    </row>
    <row r="17929" spans="1:44" ht="45">
      <c r="A17929" s="4" t="s">
        <v>10753</v>
      </c>
      <c r="B17929" s="4">
        <v>701713</v>
      </c>
      <c r="D17929" s="5" t="s">
        <v>21961</v>
      </c>
      <c r="E17929" s="6" t="str">
        <f>HYPERLINK("https://inpn.mnhn.fr/espece/cd_nom/701713","Hellinsia lienigiana (Zeller, 1852)")</f>
        <v>Hellinsia lienigiana (Zeller, 1852)</v>
      </c>
      <c r="AH17929" s="4" t="str">
        <f>HYPERLINK("#Statut_biogéographique!A"&amp;_xlfn.XMATCH("P",Statut_biogéographique!A:A,2,1),"P")</f>
        <v>P</v>
      </c>
      <c r="AP17929" s="4" t="s">
        <v>376</v>
      </c>
      <c r="AR17929" s="4" t="s">
        <v>377</v>
      </c>
    </row>
    <row r="17930" spans="1:44" ht="30">
      <c r="A17930" s="4" t="s">
        <v>10753</v>
      </c>
      <c r="B17930" s="4">
        <v>701917</v>
      </c>
      <c r="D17930" s="5" t="s">
        <v>21962</v>
      </c>
      <c r="E17930" s="6" t="str">
        <f>HYPERLINK("https://inpn.mnhn.fr/espece/cd_nom/701917","Gerinia honoraria (Denis &amp; Schiffermüller, 1775)")</f>
        <v>Gerinia honoraria (Denis &amp; Schiffermüller, 1775)</v>
      </c>
      <c r="F17930" s="5" t="s">
        <v>21963</v>
      </c>
      <c r="AH17930" s="4" t="str">
        <f>HYPERLINK("#Statut_biogéographique!A"&amp;_xlfn.XMATCH("P",Statut_biogéographique!A:A,2,1),"P")</f>
        <v>P</v>
      </c>
      <c r="AP17930" s="4" t="s">
        <v>376</v>
      </c>
      <c r="AR17930" s="4" t="s">
        <v>377</v>
      </c>
    </row>
    <row r="17931" spans="1:44" ht="45">
      <c r="A17931" s="4" t="s">
        <v>10753</v>
      </c>
      <c r="B17931" s="4">
        <v>701921</v>
      </c>
      <c r="D17931" s="5" t="s">
        <v>21964</v>
      </c>
      <c r="E17931" s="6" t="str">
        <f>HYPERLINK("https://inpn.mnhn.fr/espece/cd_nom/701921","Drosophila suzukii (Matsumura, 1931)")</f>
        <v>Drosophila suzukii (Matsumura, 1931)</v>
      </c>
      <c r="F17931" s="5" t="s">
        <v>21965</v>
      </c>
      <c r="AH17931" s="4" t="str">
        <f>HYPERLINK("#Statut_biogéographique!A"&amp;_xlfn.XMATCH("J",Statut_biogéographique!A:A,2,1),"J")</f>
        <v>J</v>
      </c>
      <c r="AP17931" s="4" t="s">
        <v>376</v>
      </c>
      <c r="AR17931" s="4" t="s">
        <v>377</v>
      </c>
    </row>
    <row r="17932" spans="1:44">
      <c r="A17932" s="4" t="s">
        <v>10753</v>
      </c>
      <c r="B17932" s="4">
        <v>707069</v>
      </c>
      <c r="D17932" s="5">
        <v>707069</v>
      </c>
      <c r="E17932" s="6" t="str">
        <f>HYPERLINK("https://inpn.mnhn.fr/espece/cd_nom/707069","Megachile sculpturalis Smith, 1853")</f>
        <v>Megachile sculpturalis Smith, 1853</v>
      </c>
      <c r="AH17932" s="4" t="str">
        <f>HYPERLINK("#Statut_biogéographique!A"&amp;_xlfn.XMATCH("J",Statut_biogéographique!A:A,2,1),"J")</f>
        <v>J</v>
      </c>
      <c r="AP17932" s="4" t="s">
        <v>376</v>
      </c>
      <c r="AR17932" s="4" t="s">
        <v>377</v>
      </c>
    </row>
    <row r="17933" spans="1:44" ht="30">
      <c r="A17933" s="4" t="s">
        <v>10753</v>
      </c>
      <c r="B17933" s="4">
        <v>712923</v>
      </c>
      <c r="D17933" s="5" t="s">
        <v>21966</v>
      </c>
      <c r="E17933" s="6" t="str">
        <f>HYPERLINK("https://inpn.mnhn.fr/espece/cd_nom/712923","Megachile parietina (Geoffroy in Fourcroy, 1785)")</f>
        <v>Megachile parietina (Geoffroy in Fourcroy, 1785)</v>
      </c>
      <c r="F17933" s="5" t="s">
        <v>21967</v>
      </c>
      <c r="O17933" s="7" t="str">
        <f>HYPERLINK("#Liste_rouge!A"&amp;_xlfn.XMATCH("LC",Liste_rouge!A:A,2,1),"LC")</f>
        <v>LC</v>
      </c>
      <c r="P17933" s="7" t="str">
        <f>HYPERLINK("#Liste_rouge!A"&amp;_xlfn.XMATCH("LC",Liste_rouge!A:A,2,1),"LC")</f>
        <v>LC</v>
      </c>
      <c r="AH17933" s="4" t="str">
        <f>HYPERLINK("#Statut_biogéographique!A"&amp;_xlfn.XMATCH("P",Statut_biogéographique!A:A,2,1),"P")</f>
        <v>P</v>
      </c>
      <c r="AP17933" s="4" t="s">
        <v>376</v>
      </c>
      <c r="AR17933" s="4" t="s">
        <v>377</v>
      </c>
    </row>
    <row r="17934" spans="1:44" ht="30">
      <c r="A17934" s="4" t="s">
        <v>10753</v>
      </c>
      <c r="B17934" s="4">
        <v>713055</v>
      </c>
      <c r="D17934" s="5" t="s">
        <v>21968</v>
      </c>
      <c r="E17934" s="6" t="str">
        <f>HYPERLINK("https://inpn.mnhn.fr/espece/cd_nom/713055","Micrambe pilosula (Erichson, 1846)")</f>
        <v>Micrambe pilosula (Erichson, 1846)</v>
      </c>
      <c r="AH17934" s="4" t="str">
        <f>HYPERLINK("#Statut_biogéographique!A"&amp;_xlfn.XMATCH("P",Statut_biogéographique!A:A,2,1),"P")</f>
        <v>P</v>
      </c>
      <c r="AP17934" s="4" t="s">
        <v>376</v>
      </c>
      <c r="AR17934" s="4" t="s">
        <v>377</v>
      </c>
    </row>
    <row r="17935" spans="1:44">
      <c r="A17935" s="4" t="s">
        <v>10753</v>
      </c>
      <c r="B17935" s="4">
        <v>715126</v>
      </c>
      <c r="D17935" s="5" t="s">
        <v>21969</v>
      </c>
      <c r="E17935" s="6" t="str">
        <f>HYPERLINK("https://inpn.mnhn.fr/espece/cd_nom/715126","")</f>
        <v/>
      </c>
      <c r="O17935" s="7" t="str">
        <f>HYPERLINK("#Liste_rouge!A"&amp;_xlfn.XMATCH("LC",Liste_rouge!A:A,2,1),"LC")</f>
        <v>LC</v>
      </c>
      <c r="AP17935" s="4" t="s">
        <v>376</v>
      </c>
      <c r="AR17935" s="4" t="s">
        <v>377</v>
      </c>
    </row>
    <row r="17936" spans="1:44">
      <c r="A17936" s="4" t="s">
        <v>10753</v>
      </c>
      <c r="B17936" s="4">
        <v>715309</v>
      </c>
      <c r="D17936" s="5">
        <v>715309</v>
      </c>
      <c r="E17936" s="6" t="str">
        <f>HYPERLINK("https://inpn.mnhn.fr/espece/cd_nom/715309","Xironogiton victoriensis Gelder &amp; Hall, 1990")</f>
        <v>Xironogiton victoriensis Gelder &amp; Hall, 1990</v>
      </c>
      <c r="AH17936" s="4" t="str">
        <f>HYPERLINK("#Statut_biogéographique!A"&amp;_xlfn.XMATCH("I",Statut_biogéographique!A:A,2,1),"I")</f>
        <v>I</v>
      </c>
      <c r="AP17936" s="4" t="s">
        <v>376</v>
      </c>
      <c r="AR17936" s="4" t="s">
        <v>377</v>
      </c>
    </row>
    <row r="17937" spans="1:44">
      <c r="A17937" s="4" t="s">
        <v>10753</v>
      </c>
      <c r="B17937" s="4">
        <v>716197</v>
      </c>
      <c r="D17937" s="5" t="s">
        <v>21970</v>
      </c>
      <c r="E17937" s="6" t="str">
        <f>HYPERLINK("https://inpn.mnhn.fr/espece/cd_nom/716197","Platnickina tincta (Walckenaer, 1802)")</f>
        <v>Platnickina tincta (Walckenaer, 1802)</v>
      </c>
      <c r="Q17937" s="7" t="str">
        <f>HYPERLINK("#Liste_rouge!A"&amp;_xlfn.XMATCH("LC",Liste_rouge!A:A,2,1),"LC")</f>
        <v>LC</v>
      </c>
      <c r="AH17937" s="4" t="str">
        <f>HYPERLINK("#Statut_biogéographique!A"&amp;_xlfn.XMATCH("P",Statut_biogéographique!A:A,2,1),"P")</f>
        <v>P</v>
      </c>
      <c r="AP17937" s="4" t="s">
        <v>376</v>
      </c>
      <c r="AR17937" s="4" t="s">
        <v>377</v>
      </c>
    </row>
    <row r="17938" spans="1:44">
      <c r="A17938" s="4" t="s">
        <v>10753</v>
      </c>
      <c r="B17938" s="4">
        <v>716246</v>
      </c>
      <c r="D17938" s="5" t="s">
        <v>21971</v>
      </c>
      <c r="E17938" s="6" t="str">
        <f>HYPERLINK("https://inpn.mnhn.fr/espece/cd_nom/716246","Bembidion genei Küster, 1847")</f>
        <v>Bembidion genei Küster, 1847</v>
      </c>
      <c r="AH17938" s="4" t="str">
        <f>HYPERLINK("#Statut_biogéographique!A"&amp;_xlfn.XMATCH("P",Statut_biogéographique!A:A,2,1),"P")</f>
        <v>P</v>
      </c>
      <c r="AP17938" s="4" t="s">
        <v>376</v>
      </c>
      <c r="AR17938" s="4" t="s">
        <v>377</v>
      </c>
    </row>
    <row r="17939" spans="1:44" ht="30">
      <c r="A17939" s="4" t="s">
        <v>10753</v>
      </c>
      <c r="B17939" s="4">
        <v>716420</v>
      </c>
      <c r="D17939" s="5" t="s">
        <v>21972</v>
      </c>
      <c r="E17939" s="6" t="str">
        <f>HYPERLINK("https://inpn.mnhn.fr/espece/cd_nom/716420","Emphytus didymus (Klug, 1818)")</f>
        <v>Emphytus didymus (Klug, 1818)</v>
      </c>
      <c r="AH17939" s="4" t="str">
        <f>HYPERLINK("#Statut_biogéographique!A"&amp;_xlfn.XMATCH("P",Statut_biogéographique!A:A,2,1),"P")</f>
        <v>P</v>
      </c>
      <c r="AP17939" s="4" t="s">
        <v>376</v>
      </c>
      <c r="AR17939" s="4" t="s">
        <v>377</v>
      </c>
    </row>
    <row r="17940" spans="1:44">
      <c r="A17940" s="4" t="s">
        <v>10753</v>
      </c>
      <c r="B17940" s="4">
        <v>716422</v>
      </c>
      <c r="D17940" s="5" t="s">
        <v>21973</v>
      </c>
      <c r="E17940" s="6" t="str">
        <f>HYPERLINK("https://inpn.mnhn.fr/espece/cd_nom/716422","Cytisogaster picta (Klug, 1817)")</f>
        <v>Cytisogaster picta (Klug, 1817)</v>
      </c>
      <c r="AH17940" s="4" t="str">
        <f>HYPERLINK("#Statut_biogéographique!A"&amp;_xlfn.XMATCH("P",Statut_biogéographique!A:A,2,1),"P")</f>
        <v>P</v>
      </c>
      <c r="AP17940" s="4" t="s">
        <v>376</v>
      </c>
      <c r="AR17940" s="4" t="s">
        <v>377</v>
      </c>
    </row>
    <row r="17941" spans="1:44">
      <c r="A17941" s="4" t="s">
        <v>10753</v>
      </c>
      <c r="B17941" s="4">
        <v>716424</v>
      </c>
      <c r="D17941" s="5" t="s">
        <v>21974</v>
      </c>
      <c r="E17941" s="6" t="str">
        <f>HYPERLINK("https://inpn.mnhn.fr/espece/cd_nom/716424","Cephaledo bifasciata (Müller, 1766)")</f>
        <v>Cephaledo bifasciata (Müller, 1766)</v>
      </c>
      <c r="AH17941" s="4" t="str">
        <f>HYPERLINK("#Statut_biogéographique!A"&amp;_xlfn.XMATCH("P",Statut_biogéographique!A:A,2,1),"P")</f>
        <v>P</v>
      </c>
      <c r="AP17941" s="4" t="s">
        <v>376</v>
      </c>
      <c r="AR17941" s="4" t="s">
        <v>377</v>
      </c>
    </row>
    <row r="17942" spans="1:44" ht="30">
      <c r="A17942" s="4" t="s">
        <v>10753</v>
      </c>
      <c r="B17942" s="4">
        <v>716426</v>
      </c>
      <c r="D17942" s="5" t="s">
        <v>21975</v>
      </c>
      <c r="E17942" s="6" t="str">
        <f>HYPERLINK("https://inpn.mnhn.fr/espece/cd_nom/716426","Paratenthredo frauenfeldii (Giraud, 1857)")</f>
        <v>Paratenthredo frauenfeldii (Giraud, 1857)</v>
      </c>
      <c r="AH17942" s="4" t="str">
        <f>HYPERLINK("#Statut_biogéographique!A"&amp;_xlfn.XMATCH("P",Statut_biogéographique!A:A,2,1),"P")</f>
        <v>P</v>
      </c>
      <c r="AP17942" s="4" t="s">
        <v>376</v>
      </c>
      <c r="AR17942" s="4" t="s">
        <v>377</v>
      </c>
    </row>
    <row r="17943" spans="1:44" ht="30">
      <c r="A17943" s="4" t="s">
        <v>10753</v>
      </c>
      <c r="B17943" s="4">
        <v>716428</v>
      </c>
      <c r="D17943" s="5" t="s">
        <v>21976</v>
      </c>
      <c r="E17943" s="6" t="str">
        <f>HYPERLINK("https://inpn.mnhn.fr/espece/cd_nom/716428","Zonuledo zonula (Klug, 1817)")</f>
        <v>Zonuledo zonula (Klug, 1817)</v>
      </c>
      <c r="F17943" s="5" t="s">
        <v>21977</v>
      </c>
      <c r="AH17943" s="4" t="str">
        <f>HYPERLINK("#Statut_biogéographique!A"&amp;_xlfn.XMATCH("P",Statut_biogéographique!A:A,2,1),"P")</f>
        <v>P</v>
      </c>
      <c r="AP17943" s="4" t="s">
        <v>376</v>
      </c>
      <c r="AR17943" s="4" t="s">
        <v>377</v>
      </c>
    </row>
    <row r="17944" spans="1:44">
      <c r="A17944" s="4" t="s">
        <v>10753</v>
      </c>
      <c r="B17944" s="4">
        <v>716453</v>
      </c>
      <c r="D17944" s="5" t="s">
        <v>21978</v>
      </c>
      <c r="E17944" s="6" t="str">
        <f>HYPERLINK("https://inpn.mnhn.fr/espece/cd_nom/716453","Eudonia pallida (Curtis, 1827)")</f>
        <v>Eudonia pallida (Curtis, 1827)</v>
      </c>
      <c r="F17944" s="5" t="s">
        <v>21979</v>
      </c>
      <c r="AH17944" s="4" t="str">
        <f>HYPERLINK("#Statut_biogéographique!A"&amp;_xlfn.XMATCH("P",Statut_biogéographique!A:A,2,1),"P")</f>
        <v>P</v>
      </c>
      <c r="AP17944" s="4" t="s">
        <v>376</v>
      </c>
      <c r="AR17944" s="4" t="s">
        <v>377</v>
      </c>
    </row>
    <row r="17945" spans="1:44" ht="30">
      <c r="A17945" s="4" t="s">
        <v>10753</v>
      </c>
      <c r="B17945" s="4">
        <v>716457</v>
      </c>
      <c r="D17945" s="5" t="s">
        <v>21980</v>
      </c>
      <c r="E17945" s="6" t="str">
        <f>HYPERLINK("https://inpn.mnhn.fr/espece/cd_nom/716457","Cucullia scrophulariae (Denis &amp; Schiffermüller, 1775)")</f>
        <v>Cucullia scrophulariae (Denis &amp; Schiffermüller, 1775)</v>
      </c>
      <c r="F17945" s="5" t="s">
        <v>21981</v>
      </c>
      <c r="AH17945" s="4" t="str">
        <f>HYPERLINK("#Statut_biogéographique!A"&amp;_xlfn.XMATCH("P",Statut_biogéographique!A:A,2,1),"P")</f>
        <v>P</v>
      </c>
      <c r="AP17945" s="4" t="s">
        <v>376</v>
      </c>
      <c r="AR17945" s="4" t="s">
        <v>377</v>
      </c>
    </row>
    <row r="17946" spans="1:44">
      <c r="A17946" s="4" t="s">
        <v>10753</v>
      </c>
      <c r="B17946" s="4">
        <v>716458</v>
      </c>
      <c r="D17946" s="5" t="s">
        <v>21982</v>
      </c>
      <c r="E17946" s="6" t="str">
        <f>HYPERLINK("https://inpn.mnhn.fr/espece/cd_nom/716458","Cucullia verbasci (Linnaeus, 1758)")</f>
        <v>Cucullia verbasci (Linnaeus, 1758)</v>
      </c>
      <c r="F17946" s="5" t="s">
        <v>21983</v>
      </c>
      <c r="AH17946" s="4" t="str">
        <f>HYPERLINK("#Statut_biogéographique!A"&amp;_xlfn.XMATCH("P",Statut_biogéographique!A:A,2,1),"P")</f>
        <v>P</v>
      </c>
      <c r="AP17946" s="4" t="s">
        <v>376</v>
      </c>
      <c r="AR17946" s="4" t="s">
        <v>377</v>
      </c>
    </row>
    <row r="17947" spans="1:44">
      <c r="A17947" s="4" t="s">
        <v>10753</v>
      </c>
      <c r="B17947" s="4">
        <v>716460</v>
      </c>
      <c r="D17947" s="5" t="s">
        <v>21984</v>
      </c>
      <c r="E17947" s="6" t="str">
        <f>HYPERLINK("https://inpn.mnhn.fr/espece/cd_nom/716460","Cucullia caninae Rambur, 1833")</f>
        <v>Cucullia caninae Rambur, 1833</v>
      </c>
      <c r="F17947" s="5" t="s">
        <v>21985</v>
      </c>
      <c r="AH17947" s="4" t="str">
        <f>HYPERLINK("#Statut_biogéographique!A"&amp;_xlfn.XMATCH("P",Statut_biogéographique!A:A,2,1),"P")</f>
        <v>P</v>
      </c>
      <c r="AP17947" s="4" t="s">
        <v>376</v>
      </c>
      <c r="AR17947" s="4" t="s">
        <v>377</v>
      </c>
    </row>
    <row r="17948" spans="1:44" ht="30">
      <c r="A17948" s="4" t="s">
        <v>10753</v>
      </c>
      <c r="B17948" s="4">
        <v>716464</v>
      </c>
      <c r="D17948" s="5" t="s">
        <v>21986</v>
      </c>
      <c r="E17948" s="6" t="str">
        <f>HYPERLINK("https://inpn.mnhn.fr/espece/cd_nom/716464","Cucullia lychnitis Rambur, 1833")</f>
        <v>Cucullia lychnitis Rambur, 1833</v>
      </c>
      <c r="F17948" s="5" t="s">
        <v>21987</v>
      </c>
      <c r="AH17948" s="4" t="str">
        <f>HYPERLINK("#Statut_biogéographique!A"&amp;_xlfn.XMATCH("P",Statut_biogéographique!A:A,2,1),"P")</f>
        <v>P</v>
      </c>
      <c r="AP17948" s="4" t="s">
        <v>376</v>
      </c>
      <c r="AR17948" s="4" t="s">
        <v>377</v>
      </c>
    </row>
    <row r="17949" spans="1:44" ht="30">
      <c r="A17949" s="4" t="s">
        <v>10753</v>
      </c>
      <c r="B17949" s="4">
        <v>716691</v>
      </c>
      <c r="D17949" s="5" t="s">
        <v>21988</v>
      </c>
      <c r="E17949" s="6" t="str">
        <f>HYPERLINK("https://inpn.mnhn.fr/espece/cd_nom/716691","Arctia tigrina (Villers, 1789)")</f>
        <v>Arctia tigrina (Villers, 1789)</v>
      </c>
      <c r="F17949" s="5" t="s">
        <v>21989</v>
      </c>
      <c r="AH17949" s="4" t="str">
        <f>HYPERLINK("#Statut_biogéographique!A"&amp;_xlfn.XMATCH("P",Statut_biogéographique!A:A,2,1),"P")</f>
        <v>P</v>
      </c>
      <c r="AP17949" s="4" t="s">
        <v>376</v>
      </c>
      <c r="AR17949" s="4" t="s">
        <v>377</v>
      </c>
    </row>
    <row r="17950" spans="1:44" ht="30">
      <c r="A17950" s="4" t="s">
        <v>10753</v>
      </c>
      <c r="B17950" s="4">
        <v>716692</v>
      </c>
      <c r="D17950" s="5" t="s">
        <v>21990</v>
      </c>
      <c r="E17950" s="6" t="str">
        <f>HYPERLINK("https://inpn.mnhn.fr/espece/cd_nom/716692","Wittia sororcula (Hufnagel, 1766)")</f>
        <v>Wittia sororcula (Hufnagel, 1766)</v>
      </c>
      <c r="AH17950" s="4" t="str">
        <f>HYPERLINK("#Statut_biogéographique!A"&amp;_xlfn.XMATCH("P",Statut_biogéographique!A:A,2,1),"P")</f>
        <v>P</v>
      </c>
      <c r="AP17950" s="4" t="s">
        <v>376</v>
      </c>
      <c r="AR17950" s="4" t="s">
        <v>377</v>
      </c>
    </row>
    <row r="17951" spans="1:44" ht="30">
      <c r="A17951" s="4" t="s">
        <v>10753</v>
      </c>
      <c r="B17951" s="4">
        <v>716693</v>
      </c>
      <c r="D17951" s="5" t="s">
        <v>21991</v>
      </c>
      <c r="E17951" s="6" t="str">
        <f>HYPERLINK("https://inpn.mnhn.fr/espece/cd_nom/716693","Epatolmis luctifera (Denis &amp; Schiffermüller, 1775)")</f>
        <v>Epatolmis luctifera (Denis &amp; Schiffermüller, 1775)</v>
      </c>
      <c r="F17951" s="5" t="s">
        <v>21992</v>
      </c>
      <c r="L17951" s="4" t="str">
        <f>HYPERLINK("#Réglementation!A"&amp;_xlfn.XMATCH("NI3",Réglementation!A:A,2,1),"NI3")</f>
        <v>NI3</v>
      </c>
      <c r="AH17951" s="4" t="str">
        <f>HYPERLINK("#Statut_biogéographique!A"&amp;_xlfn.XMATCH("P",Statut_biogéographique!A:A,2,1),"P")</f>
        <v>P</v>
      </c>
      <c r="AP17951" s="4" t="s">
        <v>376</v>
      </c>
      <c r="AR17951" s="4" t="s">
        <v>377</v>
      </c>
    </row>
    <row r="17952" spans="1:44" ht="30">
      <c r="A17952" s="4" t="s">
        <v>10753</v>
      </c>
      <c r="B17952" s="4">
        <v>716725</v>
      </c>
      <c r="D17952" s="5" t="s">
        <v>21993</v>
      </c>
      <c r="E17952" s="6" t="str">
        <f>HYPERLINK("https://inpn.mnhn.fr/espece/cd_nom/716725","Anarta pugnax (Hübner, 1824)")</f>
        <v>Anarta pugnax (Hübner, 1824)</v>
      </c>
      <c r="F17952" s="5" t="s">
        <v>21994</v>
      </c>
      <c r="AH17952" s="4" t="str">
        <f>HYPERLINK("#Statut_biogéographique!A"&amp;_xlfn.XMATCH("P",Statut_biogéographique!A:A,2,1),"P")</f>
        <v>P</v>
      </c>
      <c r="AP17952" s="4" t="s">
        <v>376</v>
      </c>
      <c r="AR17952" s="4" t="s">
        <v>377</v>
      </c>
    </row>
    <row r="17953" spans="1:44" ht="30">
      <c r="A17953" s="4" t="s">
        <v>10753</v>
      </c>
      <c r="B17953" s="4">
        <v>716729</v>
      </c>
      <c r="D17953" s="5" t="s">
        <v>21995</v>
      </c>
      <c r="E17953" s="6" t="str">
        <f>HYPERLINK("https://inpn.mnhn.fr/espece/cd_nom/716729","Corticarina parvula (Mannerheim, 1844)")</f>
        <v>Corticarina parvula (Mannerheim, 1844)</v>
      </c>
      <c r="AH17953" s="4" t="str">
        <f>HYPERLINK("#Statut_biogéographique!A"&amp;_xlfn.XMATCH("P",Statut_biogéographique!A:A,2,1),"P")</f>
        <v>P</v>
      </c>
      <c r="AP17953" s="4" t="s">
        <v>376</v>
      </c>
      <c r="AR17953" s="4" t="s">
        <v>377</v>
      </c>
    </row>
    <row r="17954" spans="1:44">
      <c r="A17954" s="4" t="s">
        <v>10753</v>
      </c>
      <c r="B17954" s="4">
        <v>718154</v>
      </c>
      <c r="D17954" s="5" t="s">
        <v>21996</v>
      </c>
      <c r="E17954" s="6" t="str">
        <f>HYPERLINK("https://inpn.mnhn.fr/espece/cd_nom/718154","Lepidostoma basale (Kolenati, 1848)")</f>
        <v>Lepidostoma basale (Kolenati, 1848)</v>
      </c>
      <c r="AH17954" s="4" t="str">
        <f>HYPERLINK("#Statut_biogéographique!A"&amp;_xlfn.XMATCH("P",Statut_biogéographique!A:A,2,1),"P")</f>
        <v>P</v>
      </c>
      <c r="AP17954" s="4" t="s">
        <v>376</v>
      </c>
      <c r="AR17954" s="4" t="s">
        <v>377</v>
      </c>
    </row>
    <row r="17955" spans="1:44">
      <c r="A17955" s="4" t="s">
        <v>10753</v>
      </c>
      <c r="B17955" s="4">
        <v>718162</v>
      </c>
      <c r="D17955" s="5" t="s">
        <v>21997</v>
      </c>
      <c r="E17955" s="6" t="str">
        <f>HYPERLINK("https://inpn.mnhn.fr/espece/cd_nom/718162","Colpotaulius incisus (Curtis, 1834)")</f>
        <v>Colpotaulius incisus (Curtis, 1834)</v>
      </c>
      <c r="AH17955" s="4" t="str">
        <f>HYPERLINK("#Statut_biogéographique!A"&amp;_xlfn.XMATCH("P",Statut_biogéographique!A:A,2,1),"P")</f>
        <v>P</v>
      </c>
      <c r="AP17955" s="4" t="s">
        <v>376</v>
      </c>
      <c r="AR17955" s="4" t="s">
        <v>377</v>
      </c>
    </row>
    <row r="17956" spans="1:44">
      <c r="A17956" s="4" t="s">
        <v>10753</v>
      </c>
      <c r="B17956" s="4">
        <v>718452</v>
      </c>
      <c r="D17956" s="5" t="s">
        <v>21998</v>
      </c>
      <c r="E17956" s="6" t="str">
        <f>HYPERLINK("https://inpn.mnhn.fr/espece/cd_nom/718452","Anthomalachius spinosus (Erichson, 1840)")</f>
        <v>Anthomalachius spinosus (Erichson, 1840)</v>
      </c>
      <c r="AH17956" s="4" t="str">
        <f>HYPERLINK("#Statut_biogéographique!A"&amp;_xlfn.XMATCH("P",Statut_biogéographique!A:A,2,1),"P")</f>
        <v>P</v>
      </c>
      <c r="AP17956" s="4" t="s">
        <v>376</v>
      </c>
      <c r="AR17956" s="4" t="s">
        <v>377</v>
      </c>
    </row>
    <row r="17957" spans="1:44">
      <c r="A17957" s="4" t="s">
        <v>10753</v>
      </c>
      <c r="B17957" s="4">
        <v>718465</v>
      </c>
      <c r="D17957" s="5">
        <v>718465</v>
      </c>
      <c r="E17957" s="6" t="str">
        <f>HYPERLINK("https://inpn.mnhn.fr/espece/cd_nom/718465","Bruchidius siliquastri Delobel, 2007")</f>
        <v>Bruchidius siliquastri Delobel, 2007</v>
      </c>
      <c r="AH17957" s="4" t="str">
        <f>HYPERLINK("#Statut_biogéographique!A"&amp;_xlfn.XMATCH("I",Statut_biogéographique!A:A,2,1),"I")</f>
        <v>I</v>
      </c>
      <c r="AP17957" s="4" t="s">
        <v>376</v>
      </c>
      <c r="AR17957" s="4" t="s">
        <v>377</v>
      </c>
    </row>
    <row r="17958" spans="1:44" ht="30">
      <c r="A17958" s="4" t="s">
        <v>10753</v>
      </c>
      <c r="B17958" s="4">
        <v>718467</v>
      </c>
      <c r="D17958" s="5" t="s">
        <v>21999</v>
      </c>
      <c r="E17958" s="6" t="str">
        <f>HYPERLINK("https://inpn.mnhn.fr/espece/cd_nom/718467","Donus comatus (Boheman, 1842)")</f>
        <v>Donus comatus (Boheman, 1842)</v>
      </c>
      <c r="AH17958" s="4" t="str">
        <f>HYPERLINK("#Statut_biogéographique!A"&amp;_xlfn.XMATCH("P",Statut_biogéographique!A:A,2,1),"P")</f>
        <v>P</v>
      </c>
      <c r="AP17958" s="4" t="s">
        <v>376</v>
      </c>
      <c r="AR17958" s="4" t="s">
        <v>377</v>
      </c>
    </row>
    <row r="17959" spans="1:44">
      <c r="A17959" s="4" t="s">
        <v>10753</v>
      </c>
      <c r="B17959" s="4">
        <v>718470</v>
      </c>
      <c r="D17959" s="5" t="s">
        <v>22000</v>
      </c>
      <c r="E17959" s="6" t="str">
        <f>HYPERLINK("https://inpn.mnhn.fr/espece/cd_nom/718470","Elateroides dermestoides (Linnaeus, 1761)")</f>
        <v>Elateroides dermestoides (Linnaeus, 1761)</v>
      </c>
      <c r="F17959" s="5" t="s">
        <v>22001</v>
      </c>
      <c r="AH17959" s="4" t="str">
        <f>HYPERLINK("#Statut_biogéographique!A"&amp;_xlfn.XMATCH("P",Statut_biogéographique!A:A,2,1),"P")</f>
        <v>P</v>
      </c>
      <c r="AP17959" s="4" t="s">
        <v>376</v>
      </c>
      <c r="AR17959" s="4" t="s">
        <v>377</v>
      </c>
    </row>
    <row r="17960" spans="1:44">
      <c r="A17960" s="4" t="s">
        <v>10753</v>
      </c>
      <c r="B17960" s="4">
        <v>718484</v>
      </c>
      <c r="D17960" s="5" t="s">
        <v>22002</v>
      </c>
      <c r="E17960" s="6" t="str">
        <f>HYPERLINK("https://inpn.mnhn.fr/espece/cd_nom/718484","Osmia spinulosa (Kirby, 1802)")</f>
        <v>Osmia spinulosa (Kirby, 1802)</v>
      </c>
      <c r="P17960" s="7" t="str">
        <f>HYPERLINK("#Liste_rouge!A"&amp;_xlfn.XMATCH("LC",Liste_rouge!A:A,2,1),"LC")</f>
        <v>LC</v>
      </c>
      <c r="AH17960" s="4" t="str">
        <f>HYPERLINK("#Statut_biogéographique!A"&amp;_xlfn.XMATCH("P",Statut_biogéographique!A:A,2,1),"P")</f>
        <v>P</v>
      </c>
      <c r="AP17960" s="4" t="s">
        <v>376</v>
      </c>
      <c r="AR17960" s="4" t="s">
        <v>377</v>
      </c>
    </row>
    <row r="17961" spans="1:44">
      <c r="A17961" s="4" t="s">
        <v>10753</v>
      </c>
      <c r="B17961" s="4">
        <v>718487</v>
      </c>
      <c r="D17961" s="5" t="s">
        <v>22003</v>
      </c>
      <c r="E17961" s="6" t="str">
        <f>HYPERLINK("https://inpn.mnhn.fr/espece/cd_nom/718487","Osmia tergestensis Ducke, 1897")</f>
        <v>Osmia tergestensis Ducke, 1897</v>
      </c>
      <c r="P17961" s="7" t="str">
        <f>HYPERLINK("#Liste_rouge!A"&amp;_xlfn.XMATCH("LC",Liste_rouge!A:A,2,1),"LC")</f>
        <v>LC</v>
      </c>
      <c r="AH17961" s="4" t="str">
        <f>HYPERLINK("#Statut_biogéographique!A"&amp;_xlfn.XMATCH("P",Statut_biogéographique!A:A,2,1),"P")</f>
        <v>P</v>
      </c>
      <c r="AP17961" s="4" t="s">
        <v>376</v>
      </c>
      <c r="AR17961" s="4" t="s">
        <v>377</v>
      </c>
    </row>
    <row r="17962" spans="1:44">
      <c r="A17962" s="4" t="s">
        <v>10753</v>
      </c>
      <c r="B17962" s="4">
        <v>718500</v>
      </c>
      <c r="D17962" s="5" t="s">
        <v>22004</v>
      </c>
      <c r="E17962" s="6" t="str">
        <f>HYPERLINK("https://inpn.mnhn.fr/espece/cd_nom/718500","Bombus cryptarum (Fabricius, 1775)")</f>
        <v>Bombus cryptarum (Fabricius, 1775)</v>
      </c>
      <c r="F17962" s="5" t="s">
        <v>22005</v>
      </c>
      <c r="O17962" s="7" t="str">
        <f>HYPERLINK("#Liste_rouge!A"&amp;_xlfn.XMATCH("DD",Liste_rouge!A:A,2,1),"DD")</f>
        <v>DD</v>
      </c>
      <c r="P17962" s="7" t="str">
        <f>HYPERLINK("#Liste_rouge!A"&amp;_xlfn.XMATCH("LC",Liste_rouge!A:A,2,1),"LC")</f>
        <v>LC</v>
      </c>
      <c r="AH17962" s="4" t="str">
        <f>HYPERLINK("#Statut_biogéographique!A"&amp;_xlfn.XMATCH("P",Statut_biogéographique!A:A,2,1),"P")</f>
        <v>P</v>
      </c>
      <c r="AP17962" s="4" t="s">
        <v>376</v>
      </c>
      <c r="AR17962" s="4" t="s">
        <v>377</v>
      </c>
    </row>
    <row r="17963" spans="1:44" ht="30">
      <c r="A17963" s="4" t="s">
        <v>10753</v>
      </c>
      <c r="B17963" s="4">
        <v>718506</v>
      </c>
      <c r="D17963" s="5" t="s">
        <v>22006</v>
      </c>
      <c r="E17963" s="6" t="str">
        <f>HYPERLINK("https://inpn.mnhn.fr/espece/cd_nom/718506","Emphytus calceatus (Klug, 1818)")</f>
        <v>Emphytus calceatus (Klug, 1818)</v>
      </c>
      <c r="AH17963" s="4" t="str">
        <f>HYPERLINK("#Statut_biogéographique!A"&amp;_xlfn.XMATCH("P",Statut_biogéographique!A:A,2,1),"P")</f>
        <v>P</v>
      </c>
      <c r="AP17963" s="4" t="s">
        <v>376</v>
      </c>
      <c r="AR17963" s="4" t="s">
        <v>377</v>
      </c>
    </row>
    <row r="17964" spans="1:44">
      <c r="A17964" s="4" t="s">
        <v>10753</v>
      </c>
      <c r="B17964" s="4">
        <v>718507</v>
      </c>
      <c r="D17964" s="5" t="s">
        <v>22007</v>
      </c>
      <c r="E17964" s="6" t="str">
        <f>HYPERLINK("https://inpn.mnhn.fr/espece/cd_nom/718507","Emphytus basalis (Klug, 1818)")</f>
        <v>Emphytus basalis (Klug, 1818)</v>
      </c>
      <c r="AH17964" s="4" t="str">
        <f>HYPERLINK("#Statut_biogéographique!A"&amp;_xlfn.XMATCH("P",Statut_biogéographique!A:A,2,1),"P")</f>
        <v>P</v>
      </c>
      <c r="AP17964" s="4" t="s">
        <v>376</v>
      </c>
      <c r="AR17964" s="4" t="s">
        <v>377</v>
      </c>
    </row>
    <row r="17965" spans="1:44">
      <c r="A17965" s="4" t="s">
        <v>10753</v>
      </c>
      <c r="B17965" s="4">
        <v>719587</v>
      </c>
      <c r="D17965" s="5" t="s">
        <v>22008</v>
      </c>
      <c r="E17965" s="6" t="str">
        <f>HYPERLINK("https://inpn.mnhn.fr/espece/cd_nom/719587","Hydroporus dorsalis (Fabricius, 1787)")</f>
        <v>Hydroporus dorsalis (Fabricius, 1787)</v>
      </c>
      <c r="AH17965" s="4" t="str">
        <f>HYPERLINK("#Statut_biogéographique!A"&amp;_xlfn.XMATCH("P",Statut_biogéographique!A:A,2,1),"P")</f>
        <v>P</v>
      </c>
      <c r="AP17965" s="4" t="s">
        <v>376</v>
      </c>
      <c r="AR17965" s="4" t="s">
        <v>377</v>
      </c>
    </row>
    <row r="17966" spans="1:44" ht="30">
      <c r="A17966" s="4" t="s">
        <v>10753</v>
      </c>
      <c r="B17966" s="4">
        <v>719622</v>
      </c>
      <c r="D17966" s="5" t="s">
        <v>22009</v>
      </c>
      <c r="E17966" s="6" t="str">
        <f>HYPERLINK("https://inpn.mnhn.fr/espece/cd_nom/719622","Bryophila domestica (Hufnagel, 1766)")</f>
        <v>Bryophila domestica (Hufnagel, 1766)</v>
      </c>
      <c r="F17966" s="5" t="s">
        <v>22010</v>
      </c>
      <c r="AH17966" s="4" t="str">
        <f>HYPERLINK("#Statut_biogéographique!A"&amp;_xlfn.XMATCH("P",Statut_biogéographique!A:A,2,1),"P")</f>
        <v>P</v>
      </c>
      <c r="AP17966" s="4" t="s">
        <v>376</v>
      </c>
      <c r="AR17966" s="4" t="s">
        <v>377</v>
      </c>
    </row>
    <row r="17967" spans="1:44">
      <c r="A17967" s="4" t="s">
        <v>10753</v>
      </c>
      <c r="B17967" s="4">
        <v>719623</v>
      </c>
      <c r="D17967" s="5" t="s">
        <v>22011</v>
      </c>
      <c r="E17967" s="6" t="str">
        <f>HYPERLINK("https://inpn.mnhn.fr/espece/cd_nom/719623","Bryophila ravula (Hübner, 1813)")</f>
        <v>Bryophila ravula (Hübner, 1813)</v>
      </c>
      <c r="F17967" s="5" t="s">
        <v>22012</v>
      </c>
      <c r="AH17967" s="4" t="str">
        <f>HYPERLINK("#Statut_biogéographique!A"&amp;_xlfn.XMATCH("P",Statut_biogéographique!A:A,2,1),"P")</f>
        <v>P</v>
      </c>
      <c r="AP17967" s="4" t="s">
        <v>376</v>
      </c>
      <c r="AR17967" s="4" t="s">
        <v>377</v>
      </c>
    </row>
    <row r="17968" spans="1:44" ht="30">
      <c r="A17968" s="4" t="s">
        <v>10753</v>
      </c>
      <c r="B17968" s="4">
        <v>719632</v>
      </c>
      <c r="D17968" s="5" t="s">
        <v>22013</v>
      </c>
      <c r="E17968" s="6" t="str">
        <f>HYPERLINK("https://inpn.mnhn.fr/espece/cd_nom/719632","Bryophila raptricula (Denis &amp; Schiffermüller, 1775)")</f>
        <v>Bryophila raptricula (Denis &amp; Schiffermüller, 1775)</v>
      </c>
      <c r="F17968" s="5" t="s">
        <v>22014</v>
      </c>
      <c r="AH17968" s="4" t="str">
        <f>HYPERLINK("#Statut_biogéographique!A"&amp;_xlfn.XMATCH("P",Statut_biogéographique!A:A,2,1),"P")</f>
        <v>P</v>
      </c>
      <c r="AP17968" s="4" t="s">
        <v>376</v>
      </c>
      <c r="AR17968" s="4" t="s">
        <v>377</v>
      </c>
    </row>
    <row r="17969" spans="1:44">
      <c r="A17969" s="4" t="s">
        <v>10753</v>
      </c>
      <c r="B17969" s="4">
        <v>719636</v>
      </c>
      <c r="D17969" s="5" t="s">
        <v>22015</v>
      </c>
      <c r="E17969" s="6" t="str">
        <f>HYPERLINK("https://inpn.mnhn.fr/espece/cd_nom/719636","Herminia tarsipennalis Treitschke, 1835")</f>
        <v>Herminia tarsipennalis Treitschke, 1835</v>
      </c>
      <c r="F17969" s="5" t="s">
        <v>22016</v>
      </c>
      <c r="AH17969" s="4" t="str">
        <f>HYPERLINK("#Statut_biogéographique!A"&amp;_xlfn.XMATCH("P",Statut_biogéographique!A:A,2,1),"P")</f>
        <v>P</v>
      </c>
      <c r="AP17969" s="4" t="s">
        <v>376</v>
      </c>
      <c r="AR17969" s="4" t="s">
        <v>377</v>
      </c>
    </row>
    <row r="17970" spans="1:44">
      <c r="A17970" s="4" t="s">
        <v>10753</v>
      </c>
      <c r="B17970" s="4">
        <v>719791</v>
      </c>
      <c r="D17970" s="5" t="s">
        <v>22017</v>
      </c>
      <c r="E17970" s="6" t="str">
        <f>HYPERLINK("https://inpn.mnhn.fr/espece/cd_nom/719791","Tachinus rufipes (Linnaeus, 1758)")</f>
        <v>Tachinus rufipes (Linnaeus, 1758)</v>
      </c>
      <c r="F17970" s="5" t="s">
        <v>22018</v>
      </c>
      <c r="AH17970" s="4" t="str">
        <f>HYPERLINK("#Statut_biogéographique!A"&amp;_xlfn.XMATCH("P",Statut_biogéographique!A:A,2,1),"P")</f>
        <v>P</v>
      </c>
      <c r="AP17970" s="4" t="s">
        <v>376</v>
      </c>
      <c r="AR17970" s="4" t="s">
        <v>377</v>
      </c>
    </row>
    <row r="17971" spans="1:44">
      <c r="A17971" s="4" t="s">
        <v>10753</v>
      </c>
      <c r="B17971" s="4">
        <v>719801</v>
      </c>
      <c r="D17971" s="5" t="s">
        <v>22019</v>
      </c>
      <c r="E17971" s="6" t="str">
        <f>HYPERLINK("https://inpn.mnhn.fr/espece/cd_nom/719801","Lacanobia aliena (Hübner, 1809)")</f>
        <v>Lacanobia aliena (Hübner, 1809)</v>
      </c>
      <c r="F17971" s="5" t="s">
        <v>22020</v>
      </c>
      <c r="AH17971" s="4" t="str">
        <f>HYPERLINK("#Statut_biogéographique!A"&amp;_xlfn.XMATCH("P",Statut_biogéographique!A:A,2,1),"P")</f>
        <v>P</v>
      </c>
      <c r="AP17971" s="4" t="s">
        <v>376</v>
      </c>
      <c r="AR17971" s="4" t="s">
        <v>377</v>
      </c>
    </row>
    <row r="17972" spans="1:44">
      <c r="A17972" s="4" t="s">
        <v>10753</v>
      </c>
      <c r="B17972" s="4">
        <v>719817</v>
      </c>
      <c r="D17972" s="5" t="s">
        <v>22021</v>
      </c>
      <c r="E17972" s="6" t="str">
        <f>HYPERLINK("https://inpn.mnhn.fr/espece/cd_nom/719817","Eratigena agrestis (Walckenaer, 1802)")</f>
        <v>Eratigena agrestis (Walckenaer, 1802)</v>
      </c>
      <c r="Q17972" s="7" t="str">
        <f>HYPERLINK("#Liste_rouge!A"&amp;_xlfn.XMATCH("LC",Liste_rouge!A:A,2,1),"LC")</f>
        <v>LC</v>
      </c>
      <c r="AH17972" s="4" t="str">
        <f>HYPERLINK("#Statut_biogéographique!A"&amp;_xlfn.XMATCH("P",Statut_biogéographique!A:A,2,1),"P")</f>
        <v>P</v>
      </c>
      <c r="AP17972" s="4" t="s">
        <v>376</v>
      </c>
      <c r="AR17972" s="4" t="s">
        <v>377</v>
      </c>
    </row>
    <row r="17973" spans="1:44">
      <c r="A17973" s="4" t="s">
        <v>10753</v>
      </c>
      <c r="B17973" s="4">
        <v>719818</v>
      </c>
      <c r="D17973" s="5" t="s">
        <v>22022</v>
      </c>
      <c r="E17973" s="6" t="str">
        <f>HYPERLINK("https://inpn.mnhn.fr/espece/cd_nom/719818","Eratigena atrica (C.L. Koch, 1843)")</f>
        <v>Eratigena atrica (C.L. Koch, 1843)</v>
      </c>
      <c r="F17973" s="5" t="s">
        <v>22023</v>
      </c>
      <c r="Q17973" s="7" t="str">
        <f>HYPERLINK("#Liste_rouge!A"&amp;_xlfn.XMATCH("LC",Liste_rouge!A:A,2,1),"LC")</f>
        <v>LC</v>
      </c>
      <c r="AH17973" s="4" t="str">
        <f>HYPERLINK("#Statut_biogéographique!A"&amp;_xlfn.XMATCH("P",Statut_biogéographique!A:A,2,1),"P")</f>
        <v>P</v>
      </c>
      <c r="AP17973" s="4" t="s">
        <v>376</v>
      </c>
      <c r="AR17973" s="4" t="s">
        <v>377</v>
      </c>
    </row>
    <row r="17974" spans="1:44">
      <c r="A17974" s="4" t="s">
        <v>10753</v>
      </c>
      <c r="B17974" s="4">
        <v>719839</v>
      </c>
      <c r="D17974" s="5" t="s">
        <v>22024</v>
      </c>
      <c r="E17974" s="6" t="str">
        <f>HYPERLINK("https://inpn.mnhn.fr/espece/cd_nom/719839","Parasteatoda lunata (Clerck, 1758)")</f>
        <v>Parasteatoda lunata (Clerck, 1758)</v>
      </c>
      <c r="F17974" s="5" t="s">
        <v>22025</v>
      </c>
      <c r="Q17974" s="7" t="str">
        <f>HYPERLINK("#Liste_rouge!A"&amp;_xlfn.XMATCH("LC",Liste_rouge!A:A,2,1),"LC")</f>
        <v>LC</v>
      </c>
      <c r="AH17974" s="4" t="str">
        <f>HYPERLINK("#Statut_biogéographique!A"&amp;_xlfn.XMATCH("P",Statut_biogéographique!A:A,2,1),"P")</f>
        <v>P</v>
      </c>
      <c r="AP17974" s="4" t="s">
        <v>376</v>
      </c>
      <c r="AR17974" s="4" t="s">
        <v>377</v>
      </c>
    </row>
    <row r="17975" spans="1:44">
      <c r="A17975" s="4" t="s">
        <v>10753</v>
      </c>
      <c r="B17975" s="4">
        <v>719840</v>
      </c>
      <c r="D17975" s="5" t="s">
        <v>22026</v>
      </c>
      <c r="E17975" s="6" t="str">
        <f>HYPERLINK("https://inpn.mnhn.fr/espece/cd_nom/719840","Parasteatoda simulans (Thorell, 1875)")</f>
        <v>Parasteatoda simulans (Thorell, 1875)</v>
      </c>
      <c r="Q17975" s="7" t="str">
        <f>HYPERLINK("#Liste_rouge!A"&amp;_xlfn.XMATCH("LC",Liste_rouge!A:A,2,1),"LC")</f>
        <v>LC</v>
      </c>
      <c r="AH17975" s="4" t="str">
        <f>HYPERLINK("#Statut_biogéographique!A"&amp;_xlfn.XMATCH("P",Statut_biogéographique!A:A,2,1),"P")</f>
        <v>P</v>
      </c>
      <c r="AP17975" s="4" t="s">
        <v>376</v>
      </c>
      <c r="AR17975" s="4" t="s">
        <v>377</v>
      </c>
    </row>
    <row r="17976" spans="1:44" ht="30">
      <c r="A17976" s="4" t="s">
        <v>10753</v>
      </c>
      <c r="B17976" s="4">
        <v>719846</v>
      </c>
      <c r="D17976" s="5" t="s">
        <v>22027</v>
      </c>
      <c r="E17976" s="6" t="str">
        <f>HYPERLINK("https://inpn.mnhn.fr/espece/cd_nom/719846","Heterotheridion nigrovariegatum (Simon, 1873)")</f>
        <v>Heterotheridion nigrovariegatum (Simon, 1873)</v>
      </c>
      <c r="Q17976" s="7" t="str">
        <f>HYPERLINK("#Liste_rouge!A"&amp;_xlfn.XMATCH("LC",Liste_rouge!A:A,2,1),"LC")</f>
        <v>LC</v>
      </c>
      <c r="AH17976" s="4" t="str">
        <f>HYPERLINK("#Statut_biogéographique!A"&amp;_xlfn.XMATCH("P",Statut_biogéographique!A:A,2,1),"P")</f>
        <v>P</v>
      </c>
      <c r="AP17976" s="4" t="s">
        <v>376</v>
      </c>
      <c r="AR17976" s="4" t="s">
        <v>377</v>
      </c>
    </row>
    <row r="17977" spans="1:44">
      <c r="A17977" s="4" t="s">
        <v>10753</v>
      </c>
      <c r="B17977" s="4">
        <v>719850</v>
      </c>
      <c r="D17977" s="5" t="s">
        <v>22028</v>
      </c>
      <c r="E17977" s="6" t="str">
        <f>HYPERLINK("https://inpn.mnhn.fr/espece/cd_nom/719850","Phylloneta impressa (L. Koch, 1881)")</f>
        <v>Phylloneta impressa (L. Koch, 1881)</v>
      </c>
      <c r="Q17977" s="7" t="str">
        <f>HYPERLINK("#Liste_rouge!A"&amp;_xlfn.XMATCH("LC",Liste_rouge!A:A,2,1),"LC")</f>
        <v>LC</v>
      </c>
      <c r="AH17977" s="4" t="str">
        <f>HYPERLINK("#Statut_biogéographique!A"&amp;_xlfn.XMATCH("P",Statut_biogéographique!A:A,2,1),"P")</f>
        <v>P</v>
      </c>
      <c r="AP17977" s="4" t="s">
        <v>376</v>
      </c>
      <c r="AR17977" s="4" t="s">
        <v>377</v>
      </c>
    </row>
    <row r="17978" spans="1:44">
      <c r="A17978" s="4" t="s">
        <v>10753</v>
      </c>
      <c r="B17978" s="4">
        <v>720069</v>
      </c>
      <c r="D17978" s="5" t="s">
        <v>22029</v>
      </c>
      <c r="E17978" s="6" t="str">
        <f>HYPERLINK("https://inpn.mnhn.fr/espece/cd_nom/720069","Halyomorpha halys (Stål, 1855)")</f>
        <v>Halyomorpha halys (Stål, 1855)</v>
      </c>
      <c r="F17978" s="5" t="s">
        <v>22030</v>
      </c>
      <c r="AH17978" s="4" t="str">
        <f>HYPERLINK("#Statut_biogéographique!A"&amp;_xlfn.XMATCH("J",Statut_biogéographique!A:A,2,1),"J")</f>
        <v>J</v>
      </c>
      <c r="AP17978" s="4" t="s">
        <v>376</v>
      </c>
      <c r="AR17978" s="4" t="s">
        <v>377</v>
      </c>
    </row>
    <row r="17979" spans="1:44">
      <c r="A17979" s="4" t="s">
        <v>10753</v>
      </c>
      <c r="B17979" s="4">
        <v>721013</v>
      </c>
      <c r="D17979" s="5" t="s">
        <v>22031</v>
      </c>
      <c r="E17979" s="6" t="str">
        <f>HYPERLINK("https://inpn.mnhn.fr/espece/cd_nom/721013","Megachile ericetorum Lepeletier, 1841")</f>
        <v>Megachile ericetorum Lepeletier, 1841</v>
      </c>
      <c r="P17979" s="7" t="str">
        <f>HYPERLINK("#Liste_rouge!A"&amp;_xlfn.XMATCH("LC",Liste_rouge!A:A,2,1),"LC")</f>
        <v>LC</v>
      </c>
      <c r="AH17979" s="4" t="str">
        <f>HYPERLINK("#Statut_biogéographique!A"&amp;_xlfn.XMATCH("P",Statut_biogéographique!A:A,2,1),"P")</f>
        <v>P</v>
      </c>
      <c r="AP17979" s="4" t="s">
        <v>376</v>
      </c>
      <c r="AR17979" s="4" t="s">
        <v>377</v>
      </c>
    </row>
    <row r="17980" spans="1:44">
      <c r="A17980" s="4" t="s">
        <v>10753</v>
      </c>
      <c r="B17980" s="4">
        <v>721499</v>
      </c>
      <c r="D17980" s="5" t="s">
        <v>22032</v>
      </c>
      <c r="E17980" s="6" t="str">
        <f>HYPERLINK("https://inpn.mnhn.fr/espece/cd_nom/721499","Platysoma angustatum (Hoffmann, 1803)")</f>
        <v>Platysoma angustatum (Hoffmann, 1803)</v>
      </c>
      <c r="AH17980" s="4" t="str">
        <f>HYPERLINK("#Statut_biogéographique!A"&amp;_xlfn.XMATCH("P",Statut_biogéographique!A:A,2,1),"P")</f>
        <v>P</v>
      </c>
      <c r="AP17980" s="4" t="s">
        <v>376</v>
      </c>
      <c r="AR17980" s="4" t="s">
        <v>377</v>
      </c>
    </row>
    <row r="17981" spans="1:44" ht="30">
      <c r="A17981" s="4" t="s">
        <v>10753</v>
      </c>
      <c r="B17981" s="4">
        <v>721723</v>
      </c>
      <c r="D17981" s="5" t="s">
        <v>22033</v>
      </c>
      <c r="E17981" s="6" t="str">
        <f>HYPERLINK("https://inpn.mnhn.fr/espece/cd_nom/721723","Acrobasis advenella (Zincken, 1818)")</f>
        <v>Acrobasis advenella (Zincken, 1818)</v>
      </c>
      <c r="F17981" s="5" t="s">
        <v>22034</v>
      </c>
      <c r="AH17981" s="4" t="str">
        <f>HYPERLINK("#Statut_biogéographique!A"&amp;_xlfn.XMATCH("P",Statut_biogéographique!A:A,2,1),"P")</f>
        <v>P</v>
      </c>
      <c r="AP17981" s="4" t="s">
        <v>376</v>
      </c>
      <c r="AR17981" s="4" t="s">
        <v>377</v>
      </c>
    </row>
    <row r="17982" spans="1:44" ht="30">
      <c r="A17982" s="4" t="s">
        <v>10753</v>
      </c>
      <c r="B17982" s="4">
        <v>721725</v>
      </c>
      <c r="D17982" s="5" t="s">
        <v>22035</v>
      </c>
      <c r="E17982" s="6" t="str">
        <f>HYPERLINK("https://inpn.mnhn.fr/espece/cd_nom/721725","Acrobasis marmorea (Haworth, 1811)")</f>
        <v>Acrobasis marmorea (Haworth, 1811)</v>
      </c>
      <c r="F17982" s="5" t="s">
        <v>22036</v>
      </c>
      <c r="AH17982" s="4" t="str">
        <f>HYPERLINK("#Statut_biogéographique!A"&amp;_xlfn.XMATCH("P",Statut_biogéographique!A:A,2,1),"P")</f>
        <v>P</v>
      </c>
      <c r="AP17982" s="4" t="s">
        <v>376</v>
      </c>
      <c r="AR17982" s="4" t="s">
        <v>377</v>
      </c>
    </row>
    <row r="17983" spans="1:44">
      <c r="A17983" s="4" t="s">
        <v>10753</v>
      </c>
      <c r="B17983" s="4">
        <v>721727</v>
      </c>
      <c r="D17983" s="5" t="s">
        <v>22037</v>
      </c>
      <c r="E17983" s="6" t="str">
        <f>HYPERLINK("https://inpn.mnhn.fr/espece/cd_nom/721727","Pennithera firmata (Hübner, 1822)")</f>
        <v>Pennithera firmata (Hübner, 1822)</v>
      </c>
      <c r="F17983" s="5" t="s">
        <v>22038</v>
      </c>
      <c r="AH17983" s="4" t="str">
        <f>HYPERLINK("#Statut_biogéographique!A"&amp;_xlfn.XMATCH("P",Statut_biogéographique!A:A,2,1),"P")</f>
        <v>P</v>
      </c>
      <c r="AP17983" s="4" t="s">
        <v>376</v>
      </c>
      <c r="AR17983" s="4" t="s">
        <v>377</v>
      </c>
    </row>
    <row r="17984" spans="1:44">
      <c r="A17984" s="4" t="s">
        <v>10753</v>
      </c>
      <c r="B17984" s="4">
        <v>721729</v>
      </c>
      <c r="D17984" s="5" t="s">
        <v>22039</v>
      </c>
      <c r="E17984" s="6" t="str">
        <f>HYPERLINK("https://inpn.mnhn.fr/espece/cd_nom/721729","Anania stachydalis (Zincken in Germar, 1821)")</f>
        <v>Anania stachydalis (Zincken in Germar, 1821)</v>
      </c>
      <c r="AH17984" s="4" t="str">
        <f>HYPERLINK("#Statut_biogéographique!A"&amp;_xlfn.XMATCH("P",Statut_biogéographique!A:A,2,1),"P")</f>
        <v>P</v>
      </c>
      <c r="AP17984" s="4" t="s">
        <v>376</v>
      </c>
      <c r="AR17984" s="4" t="s">
        <v>377</v>
      </c>
    </row>
    <row r="17985" spans="1:44" ht="30">
      <c r="A17985" s="4" t="s">
        <v>10753</v>
      </c>
      <c r="B17985" s="4">
        <v>721730</v>
      </c>
      <c r="D17985" s="5" t="s">
        <v>22040</v>
      </c>
      <c r="E17985" s="6" t="str">
        <f>HYPERLINK("https://inpn.mnhn.fr/espece/cd_nom/721730","Anarta trifolii (Hufnagel, 1766)")</f>
        <v>Anarta trifolii (Hufnagel, 1766)</v>
      </c>
      <c r="F17985" s="5" t="s">
        <v>22041</v>
      </c>
      <c r="AH17985" s="4" t="str">
        <f>HYPERLINK("#Statut_biogéographique!A"&amp;_xlfn.XMATCH("P",Statut_biogéographique!A:A,2,1),"P")</f>
        <v>P</v>
      </c>
      <c r="AP17985" s="4" t="s">
        <v>376</v>
      </c>
      <c r="AR17985" s="4" t="s">
        <v>377</v>
      </c>
    </row>
    <row r="17986" spans="1:44">
      <c r="A17986" s="4" t="s">
        <v>10753</v>
      </c>
      <c r="B17986" s="4">
        <v>726907</v>
      </c>
      <c r="D17986" s="5">
        <v>726907</v>
      </c>
      <c r="E17986" s="6" t="str">
        <f>HYPERLINK("https://inpn.mnhn.fr/espece/cd_nom/726907","Hilara longifurca Strobl, 1892")</f>
        <v>Hilara longifurca Strobl, 1892</v>
      </c>
      <c r="AH17986" s="4" t="str">
        <f>HYPERLINK("#Statut_biogéographique!A"&amp;_xlfn.XMATCH("P",Statut_biogéographique!A:A,2,1),"P")</f>
        <v>P</v>
      </c>
      <c r="AP17986" s="4" t="s">
        <v>376</v>
      </c>
      <c r="AR17986" s="4" t="s">
        <v>377</v>
      </c>
    </row>
    <row r="17987" spans="1:44">
      <c r="A17987" s="4" t="s">
        <v>10753</v>
      </c>
      <c r="B17987" s="4">
        <v>727253</v>
      </c>
      <c r="D17987" s="5" t="s">
        <v>22042</v>
      </c>
      <c r="E17987" s="6" t="str">
        <f>HYPERLINK("https://inpn.mnhn.fr/espece/cd_nom/727253","Sericomyia bombiformis (Fallén, 1810)")</f>
        <v>Sericomyia bombiformis (Fallén, 1810)</v>
      </c>
      <c r="O17987" s="7" t="str">
        <f>HYPERLINK("#Liste_rouge!A"&amp;_xlfn.XMATCH("LC",Liste_rouge!A:A,2,1),"LC")</f>
        <v>LC</v>
      </c>
      <c r="P17987" s="7" t="str">
        <f>HYPERLINK("#Liste_rouge!A"&amp;_xlfn.XMATCH("LC",Liste_rouge!A:A,2,1),"LC")</f>
        <v>LC</v>
      </c>
      <c r="AH17987" s="4" t="str">
        <f>HYPERLINK("#Statut_biogéographique!A"&amp;_xlfn.XMATCH("P",Statut_biogéographique!A:A,2,1),"P")</f>
        <v>P</v>
      </c>
      <c r="AP17987" s="4" t="s">
        <v>376</v>
      </c>
      <c r="AR17987" s="4" t="s">
        <v>377</v>
      </c>
    </row>
    <row r="17988" spans="1:44" ht="30">
      <c r="A17988" s="4" t="s">
        <v>10753</v>
      </c>
      <c r="B17988" s="4">
        <v>727254</v>
      </c>
      <c r="D17988" s="5" t="s">
        <v>22043</v>
      </c>
      <c r="E17988" s="6" t="str">
        <f>HYPERLINK("https://inpn.mnhn.fr/espece/cd_nom/727254","Sericomyia superbiens (Müller, 1776)")</f>
        <v>Sericomyia superbiens (Müller, 1776)</v>
      </c>
      <c r="O17988" s="7" t="str">
        <f>HYPERLINK("#Liste_rouge!A"&amp;_xlfn.XMATCH("LC",Liste_rouge!A:A,2,1),"LC")</f>
        <v>LC</v>
      </c>
      <c r="P17988" s="7" t="str">
        <f>HYPERLINK("#Liste_rouge!A"&amp;_xlfn.XMATCH("LC",Liste_rouge!A:A,2,1),"LC")</f>
        <v>LC</v>
      </c>
      <c r="AH17988" s="4" t="str">
        <f>HYPERLINK("#Statut_biogéographique!A"&amp;_xlfn.XMATCH("P",Statut_biogéographique!A:A,2,1),"P")</f>
        <v>P</v>
      </c>
      <c r="AP17988" s="4" t="s">
        <v>376</v>
      </c>
      <c r="AR17988" s="4" t="s">
        <v>377</v>
      </c>
    </row>
    <row r="17989" spans="1:44">
      <c r="A17989" s="4" t="s">
        <v>10753</v>
      </c>
      <c r="B17989" s="4">
        <v>727263</v>
      </c>
      <c r="D17989" s="5" t="s">
        <v>22044</v>
      </c>
      <c r="E17989" s="6" t="str">
        <f>HYPERLINK("https://inpn.mnhn.fr/espece/cd_nom/727263","Phytomyza aprilina Goureau, 1851")</f>
        <v>Phytomyza aprilina Goureau, 1851</v>
      </c>
      <c r="AH17989" s="4" t="str">
        <f>HYPERLINK("#Statut_biogéographique!A"&amp;_xlfn.XMATCH("P",Statut_biogéographique!A:A,2,1),"P")</f>
        <v>P</v>
      </c>
      <c r="AP17989" s="4" t="s">
        <v>376</v>
      </c>
      <c r="AR17989" s="4" t="s">
        <v>377</v>
      </c>
    </row>
    <row r="17990" spans="1:44">
      <c r="A17990" s="4" t="s">
        <v>10753</v>
      </c>
      <c r="B17990" s="4">
        <v>727265</v>
      </c>
      <c r="D17990" s="5" t="s">
        <v>22045</v>
      </c>
      <c r="E17990" s="6" t="str">
        <f>HYPERLINK("https://inpn.mnhn.fr/espece/cd_nom/727265","Phytomyza farfarella Hendel, 1935")</f>
        <v>Phytomyza farfarella Hendel, 1935</v>
      </c>
      <c r="AH17990" s="4" t="str">
        <f>HYPERLINK("#Statut_biogéographique!A"&amp;_xlfn.XMATCH("P",Statut_biogéographique!A:A,2,1),"P")</f>
        <v>P</v>
      </c>
      <c r="AP17990" s="4" t="s">
        <v>376</v>
      </c>
      <c r="AR17990" s="4" t="s">
        <v>377</v>
      </c>
    </row>
    <row r="17991" spans="1:44" ht="45">
      <c r="A17991" s="4" t="s">
        <v>10753</v>
      </c>
      <c r="B17991" s="4">
        <v>727269</v>
      </c>
      <c r="D17991" s="5" t="s">
        <v>22046</v>
      </c>
      <c r="E17991" s="6" t="str">
        <f>HYPERLINK("https://inpn.mnhn.fr/espece/cd_nom/727269","Phytomyza horticola Goureau, 1851")</f>
        <v>Phytomyza horticola Goureau, 1851</v>
      </c>
      <c r="AH17991" s="4" t="str">
        <f>HYPERLINK("#Statut_biogéographique!A"&amp;_xlfn.XMATCH("P",Statut_biogéographique!A:A,2,1),"P")</f>
        <v>P</v>
      </c>
      <c r="AP17991" s="4" t="s">
        <v>376</v>
      </c>
      <c r="AR17991" s="4" t="s">
        <v>377</v>
      </c>
    </row>
    <row r="17992" spans="1:44" ht="30">
      <c r="A17992" s="4" t="s">
        <v>10753</v>
      </c>
      <c r="B17992" s="4">
        <v>727270</v>
      </c>
      <c r="D17992" s="5" t="s">
        <v>22047</v>
      </c>
      <c r="E17992" s="6" t="str">
        <f>HYPERLINK("https://inpn.mnhn.fr/espece/cd_nom/727270","Phytomyza lonicerae Robineau-Desvoidy, 1851")</f>
        <v>Phytomyza lonicerae Robineau-Desvoidy, 1851</v>
      </c>
      <c r="AH17992" s="4" t="str">
        <f>HYPERLINK("#Statut_biogéographique!A"&amp;_xlfn.XMATCH("P",Statut_biogéographique!A:A,2,1),"P")</f>
        <v>P</v>
      </c>
      <c r="AP17992" s="4" t="s">
        <v>376</v>
      </c>
      <c r="AR17992" s="4" t="s">
        <v>377</v>
      </c>
    </row>
    <row r="17993" spans="1:44" ht="30">
      <c r="A17993" s="4" t="s">
        <v>10753</v>
      </c>
      <c r="B17993" s="4">
        <v>727277</v>
      </c>
      <c r="D17993" s="5" t="s">
        <v>22048</v>
      </c>
      <c r="E17993" s="6" t="str">
        <f>HYPERLINK("https://inpn.mnhn.fr/espece/cd_nom/727277","Phytomyza periclymeni de Meijere in Hendel, 1922")</f>
        <v>Phytomyza periclymeni de Meijere in Hendel, 1922</v>
      </c>
      <c r="AH17993" s="4" t="str">
        <f>HYPERLINK("#Statut_biogéographique!A"&amp;_xlfn.XMATCH("P",Statut_biogéographique!A:A,2,1),"P")</f>
        <v>P</v>
      </c>
      <c r="AP17993" s="4" t="s">
        <v>376</v>
      </c>
      <c r="AR17993" s="4" t="s">
        <v>377</v>
      </c>
    </row>
    <row r="17994" spans="1:44" ht="30">
      <c r="A17994" s="4" t="s">
        <v>10753</v>
      </c>
      <c r="B17994" s="4">
        <v>727278</v>
      </c>
      <c r="D17994" s="5" t="s">
        <v>22049</v>
      </c>
      <c r="E17994" s="6" t="str">
        <f>HYPERLINK("https://inpn.mnhn.fr/espece/cd_nom/727278","Phytomyza primulae Robineau-Desvoidy, 1851")</f>
        <v>Phytomyza primulae Robineau-Desvoidy, 1851</v>
      </c>
      <c r="AH17994" s="4" t="str">
        <f>HYPERLINK("#Statut_biogéographique!A"&amp;_xlfn.XMATCH("P",Statut_biogéographique!A:A,2,1),"P")</f>
        <v>P</v>
      </c>
      <c r="AP17994" s="4" t="s">
        <v>376</v>
      </c>
      <c r="AR17994" s="4" t="s">
        <v>377</v>
      </c>
    </row>
    <row r="17995" spans="1:44">
      <c r="A17995" s="4" t="s">
        <v>10753</v>
      </c>
      <c r="B17995" s="4">
        <v>727279</v>
      </c>
      <c r="D17995" s="5" t="s">
        <v>22050</v>
      </c>
      <c r="E17995" s="6" t="str">
        <f>HYPERLINK("https://inpn.mnhn.fr/espece/cd_nom/727279","Phytomyza ramosa Hendel, 1923")</f>
        <v>Phytomyza ramosa Hendel, 1923</v>
      </c>
      <c r="AH17995" s="4" t="str">
        <f>HYPERLINK("#Statut_biogéographique!A"&amp;_xlfn.XMATCH("P",Statut_biogéographique!A:A,2,1),"P")</f>
        <v>P</v>
      </c>
      <c r="AP17995" s="4" t="s">
        <v>376</v>
      </c>
      <c r="AR17995" s="4" t="s">
        <v>377</v>
      </c>
    </row>
    <row r="17996" spans="1:44" ht="30">
      <c r="A17996" s="4" t="s">
        <v>10753</v>
      </c>
      <c r="B17996" s="4">
        <v>727281</v>
      </c>
      <c r="D17996" s="5" t="s">
        <v>22051</v>
      </c>
      <c r="E17996" s="6" t="str">
        <f>HYPERLINK("https://inpn.mnhn.fr/espece/cd_nom/727281","Phytomyza scolopendri Robineau-Desvoidy, 1851")</f>
        <v>Phytomyza scolopendri Robineau-Desvoidy, 1851</v>
      </c>
      <c r="AH17996" s="4" t="str">
        <f>HYPERLINK("#Statut_biogéographique!A"&amp;_xlfn.XMATCH("P",Statut_biogéographique!A:A,2,1),"P")</f>
        <v>P</v>
      </c>
      <c r="AP17996" s="4" t="s">
        <v>376</v>
      </c>
      <c r="AR17996" s="4" t="s">
        <v>377</v>
      </c>
    </row>
    <row r="17997" spans="1:44">
      <c r="A17997" s="4" t="s">
        <v>10753</v>
      </c>
      <c r="B17997" s="4">
        <v>727282</v>
      </c>
      <c r="D17997" s="5" t="s">
        <v>22052</v>
      </c>
      <c r="E17997" s="6" t="str">
        <f>HYPERLINK("https://inpn.mnhn.fr/espece/cd_nom/727282","Phytomyza succisae Hering, 1922")</f>
        <v>Phytomyza succisae Hering, 1922</v>
      </c>
      <c r="AH17997" s="4" t="str">
        <f>HYPERLINK("#Statut_biogéographique!A"&amp;_xlfn.XMATCH("P",Statut_biogéographique!A:A,2,1),"P")</f>
        <v>P</v>
      </c>
      <c r="AP17997" s="4" t="s">
        <v>376</v>
      </c>
      <c r="AR17997" s="4" t="s">
        <v>377</v>
      </c>
    </row>
    <row r="17998" spans="1:44">
      <c r="A17998" s="4" t="s">
        <v>10753</v>
      </c>
      <c r="B17998" s="4">
        <v>727285</v>
      </c>
      <c r="D17998" s="5" t="s">
        <v>22053</v>
      </c>
      <c r="E17998" s="6" t="str">
        <f>HYPERLINK("https://inpn.mnhn.fr/espece/cd_nom/727285","Phytomyza syngenesiae (Hardy, 1849)")</f>
        <v>Phytomyza syngenesiae (Hardy, 1849)</v>
      </c>
      <c r="AH17998" s="4" t="str">
        <f>HYPERLINK("#Statut_biogéographique!A"&amp;_xlfn.XMATCH("P",Statut_biogéographique!A:A,2,1),"P")</f>
        <v>P</v>
      </c>
      <c r="AP17998" s="4" t="s">
        <v>376</v>
      </c>
      <c r="AR17998" s="4" t="s">
        <v>377</v>
      </c>
    </row>
    <row r="17999" spans="1:44" ht="30">
      <c r="A17999" s="4" t="s">
        <v>10753</v>
      </c>
      <c r="B17999" s="4">
        <v>727319</v>
      </c>
      <c r="D17999" s="5" t="s">
        <v>22054</v>
      </c>
      <c r="E17999" s="6" t="str">
        <f>HYPERLINK("https://inpn.mnhn.fr/espece/cd_nom/727319","Zelotherses ferugana (Hübner, 1793)")</f>
        <v>Zelotherses ferugana (Hübner, 1793)</v>
      </c>
      <c r="AH17999" s="4" t="str">
        <f>HYPERLINK("#Statut_biogéographique!A"&amp;_xlfn.XMATCH("P",Statut_biogéographique!A:A,2,1),"P")</f>
        <v>P</v>
      </c>
      <c r="AP17999" s="4" t="s">
        <v>376</v>
      </c>
      <c r="AR17999" s="4" t="s">
        <v>377</v>
      </c>
    </row>
    <row r="18000" spans="1:44">
      <c r="A18000" s="4" t="s">
        <v>10753</v>
      </c>
      <c r="B18000" s="4">
        <v>727321</v>
      </c>
      <c r="D18000" s="5" t="s">
        <v>22055</v>
      </c>
      <c r="E18000" s="6" t="str">
        <f>HYPERLINK("https://inpn.mnhn.fr/espece/cd_nom/727321","Zelotherses unitana (Hübner, 1799)")</f>
        <v>Zelotherses unitana (Hübner, 1799)</v>
      </c>
      <c r="AH18000" s="4" t="str">
        <f>HYPERLINK("#Statut_biogéographique!A"&amp;_xlfn.XMATCH("P",Statut_biogéographique!A:A,2,1),"P")</f>
        <v>P</v>
      </c>
      <c r="AP18000" s="4" t="s">
        <v>376</v>
      </c>
      <c r="AR18000" s="4" t="s">
        <v>377</v>
      </c>
    </row>
    <row r="18001" spans="1:44">
      <c r="A18001" s="4" t="s">
        <v>10753</v>
      </c>
      <c r="B18001" s="4">
        <v>727335</v>
      </c>
      <c r="D18001" s="5" t="s">
        <v>22056</v>
      </c>
      <c r="E18001" s="6" t="str">
        <f>HYPERLINK("https://inpn.mnhn.fr/espece/cd_nom/727335","Cephalops straminipes (Becker, 1900)")</f>
        <v>Cephalops straminipes (Becker, 1900)</v>
      </c>
      <c r="AH18001" s="4" t="str">
        <f>HYPERLINK("#Statut_biogéographique!A"&amp;_xlfn.XMATCH("P",Statut_biogéographique!A:A,2,1),"P")</f>
        <v>P</v>
      </c>
      <c r="AP18001" s="4" t="s">
        <v>376</v>
      </c>
      <c r="AR18001" s="4" t="s">
        <v>377</v>
      </c>
    </row>
    <row r="18002" spans="1:44">
      <c r="A18002" s="4" t="s">
        <v>10753</v>
      </c>
      <c r="B18002" s="4">
        <v>727381</v>
      </c>
      <c r="D18002" s="5" t="s">
        <v>22057</v>
      </c>
      <c r="E18002" s="6" t="str">
        <f>HYPERLINK("https://inpn.mnhn.fr/espece/cd_nom/727381","Ethiromyia chalybea (Wiedemann, 1817)")</f>
        <v>Ethiromyia chalybea (Wiedemann, 1817)</v>
      </c>
      <c r="AH18002" s="4" t="str">
        <f>HYPERLINK("#Statut_biogéographique!A"&amp;_xlfn.XMATCH("P",Statut_biogéographique!A:A,2,1),"P")</f>
        <v>P</v>
      </c>
      <c r="AP18002" s="4" t="s">
        <v>376</v>
      </c>
      <c r="AR18002" s="4" t="s">
        <v>377</v>
      </c>
    </row>
    <row r="18003" spans="1:44">
      <c r="A18003" s="4" t="s">
        <v>10753</v>
      </c>
      <c r="B18003" s="4">
        <v>741</v>
      </c>
      <c r="D18003" s="5" t="s">
        <v>22058</v>
      </c>
      <c r="E18003" s="6" t="str">
        <f>HYPERLINK("https://inpn.mnhn.fr/espece/cd_nom/741","Aulodrilus pluriseta (Piguet, 1906)")</f>
        <v>Aulodrilus pluriseta (Piguet, 1906)</v>
      </c>
      <c r="AH18003" s="4" t="str">
        <f>HYPERLINK("#Statut_biogéographique!A"&amp;_xlfn.XMATCH("P",Statut_biogéographique!A:A,2,1),"P")</f>
        <v>P</v>
      </c>
      <c r="AP18003" s="4" t="s">
        <v>376</v>
      </c>
      <c r="AR18003" s="4" t="s">
        <v>377</v>
      </c>
    </row>
    <row r="18004" spans="1:44" ht="30">
      <c r="A18004" s="4" t="s">
        <v>10753</v>
      </c>
      <c r="B18004" s="4">
        <v>743295</v>
      </c>
      <c r="D18004" s="5" t="s">
        <v>22059</v>
      </c>
      <c r="E18004" s="6" t="str">
        <f>HYPERLINK("https://inpn.mnhn.fr/espece/cd_nom/743295","Cyclorhipidion bodoanum (Reitter, 1913)")</f>
        <v>Cyclorhipidion bodoanum (Reitter, 1913)</v>
      </c>
      <c r="AH18004" s="4" t="str">
        <f>HYPERLINK("#Statut_biogéographique!A"&amp;_xlfn.XMATCH("I",Statut_biogéographique!A:A,2,1),"I")</f>
        <v>I</v>
      </c>
      <c r="AP18004" s="4" t="s">
        <v>376</v>
      </c>
      <c r="AR18004" s="4" t="s">
        <v>377</v>
      </c>
    </row>
    <row r="18005" spans="1:44">
      <c r="A18005" s="4" t="s">
        <v>10753</v>
      </c>
      <c r="B18005" s="4">
        <v>744</v>
      </c>
      <c r="D18005" s="5" t="s">
        <v>22060</v>
      </c>
      <c r="E18005" s="6" t="str">
        <f>HYPERLINK("https://inpn.mnhn.fr/espece/cd_nom/744","Limnodrilus hoffmeisteri Claparède, 1862")</f>
        <v>Limnodrilus hoffmeisteri Claparède, 1862</v>
      </c>
      <c r="AH18005" s="4" t="str">
        <f>HYPERLINK("#Statut_biogéographique!A"&amp;_xlfn.XMATCH("P",Statut_biogéographique!A:A,2,1),"P")</f>
        <v>P</v>
      </c>
      <c r="AP18005" s="4" t="s">
        <v>376</v>
      </c>
      <c r="AR18005" s="4" t="s">
        <v>377</v>
      </c>
    </row>
    <row r="18006" spans="1:44" ht="30">
      <c r="A18006" s="4" t="s">
        <v>10753</v>
      </c>
      <c r="B18006" s="4">
        <v>747792</v>
      </c>
      <c r="D18006" s="5">
        <v>747792</v>
      </c>
      <c r="E18006" s="6" t="str">
        <f>HYPERLINK("https://inpn.mnhn.fr/espece/cd_nom/747792","Myrmica martini Seifert, Yazdi &amp; Schultz, 2014")</f>
        <v>Myrmica martini Seifert, Yazdi &amp; Schultz, 2014</v>
      </c>
      <c r="AH18006" s="4" t="str">
        <f>HYPERLINK("#Statut_biogéographique!A"&amp;_xlfn.XMATCH("S",Statut_biogéographique!A:A,2,1),"S")</f>
        <v>S</v>
      </c>
      <c r="AP18006" s="4" t="s">
        <v>376</v>
      </c>
      <c r="AR18006" s="4" t="s">
        <v>377</v>
      </c>
    </row>
    <row r="18007" spans="1:44" ht="45">
      <c r="A18007" s="4" t="s">
        <v>10753</v>
      </c>
      <c r="B18007" s="4">
        <v>7667</v>
      </c>
      <c r="D18007" s="5" t="s">
        <v>22061</v>
      </c>
      <c r="E18007" s="6" t="str">
        <f>HYPERLINK("https://inpn.mnhn.fr/espece/cd_nom/7667","Calamosternus granarius (Linnaeus, 1767)")</f>
        <v>Calamosternus granarius (Linnaeus, 1767)</v>
      </c>
      <c r="AH18007" s="4" t="str">
        <f>HYPERLINK("#Statut_biogéographique!A"&amp;_xlfn.XMATCH("P",Statut_biogéographique!A:A,2,1),"P")</f>
        <v>P</v>
      </c>
      <c r="AP18007" s="4" t="s">
        <v>376</v>
      </c>
      <c r="AR18007" s="4" t="s">
        <v>377</v>
      </c>
    </row>
    <row r="18008" spans="1:44">
      <c r="A18008" s="4" t="s">
        <v>10753</v>
      </c>
      <c r="B18008" s="4">
        <v>766778</v>
      </c>
      <c r="D18008" s="5" t="s">
        <v>22062</v>
      </c>
      <c r="E18008" s="6" t="str">
        <f>HYPERLINK("https://inpn.mnhn.fr/espece/cd_nom/766778","Temnothorax lichtensteini (Bondroit, 1918)")</f>
        <v>Temnothorax lichtensteini (Bondroit, 1918)</v>
      </c>
      <c r="AH18008" s="4" t="str">
        <f>HYPERLINK("#Statut_biogéographique!A"&amp;_xlfn.XMATCH("P",Statut_biogéographique!A:A,2,1),"P")</f>
        <v>P</v>
      </c>
      <c r="AP18008" s="4" t="s">
        <v>376</v>
      </c>
      <c r="AR18008" s="4" t="s">
        <v>377</v>
      </c>
    </row>
    <row r="18009" spans="1:44">
      <c r="A18009" s="4" t="s">
        <v>10753</v>
      </c>
      <c r="B18009" s="4">
        <v>767</v>
      </c>
      <c r="D18009" s="5" t="s">
        <v>22063</v>
      </c>
      <c r="E18009" s="6" t="str">
        <f>HYPERLINK("https://inpn.mnhn.fr/espece/cd_nom/767","Eiseniella tetraedra (Savigny, 1826)")</f>
        <v>Eiseniella tetraedra (Savigny, 1826)</v>
      </c>
      <c r="F18009" s="5" t="s">
        <v>22064</v>
      </c>
      <c r="AH18009" s="4" t="str">
        <f>HYPERLINK("#Statut_biogéographique!A"&amp;_xlfn.XMATCH("P",Statut_biogéographique!A:A,2,1),"P")</f>
        <v>P</v>
      </c>
      <c r="AP18009" s="4" t="s">
        <v>376</v>
      </c>
      <c r="AR18009" s="4" t="s">
        <v>377</v>
      </c>
    </row>
    <row r="18010" spans="1:44" ht="30">
      <c r="A18010" s="4" t="s">
        <v>10753</v>
      </c>
      <c r="B18010" s="4">
        <v>770393</v>
      </c>
      <c r="D18010" s="5" t="s">
        <v>22065</v>
      </c>
      <c r="E18010" s="6" t="str">
        <f>HYPERLINK("https://inpn.mnhn.fr/espece/cd_nom/770393","Cirrhia ocellaris (Borkhausen, 1792)")</f>
        <v>Cirrhia ocellaris (Borkhausen, 1792)</v>
      </c>
      <c r="F18010" s="5" t="s">
        <v>22066</v>
      </c>
      <c r="AH18010" s="4" t="str">
        <f>HYPERLINK("#Statut_biogéographique!A"&amp;_xlfn.XMATCH("P",Statut_biogéographique!A:A,2,1),"P")</f>
        <v>P</v>
      </c>
      <c r="AP18010" s="4" t="s">
        <v>376</v>
      </c>
      <c r="AR18010" s="4" t="s">
        <v>377</v>
      </c>
    </row>
    <row r="18011" spans="1:44" ht="30">
      <c r="A18011" s="4" t="s">
        <v>10753</v>
      </c>
      <c r="B18011" s="4">
        <v>774047</v>
      </c>
      <c r="D18011" s="5" t="s">
        <v>22067</v>
      </c>
      <c r="E18011" s="6" t="str">
        <f>HYPERLINK("https://inpn.mnhn.fr/espece/cd_nom/774047","Diacrisia purpurata (Linnaeus, 1758)")</f>
        <v>Diacrisia purpurata (Linnaeus, 1758)</v>
      </c>
      <c r="F18011" s="5" t="s">
        <v>22068</v>
      </c>
      <c r="AH18011" s="4" t="str">
        <f>HYPERLINK("#Statut_biogéographique!A"&amp;_xlfn.XMATCH("P",Statut_biogéographique!A:A,2,1),"P")</f>
        <v>P</v>
      </c>
      <c r="AP18011" s="4" t="s">
        <v>376</v>
      </c>
      <c r="AR18011" s="4" t="s">
        <v>377</v>
      </c>
    </row>
    <row r="18012" spans="1:44">
      <c r="A18012" s="4" t="s">
        <v>10753</v>
      </c>
      <c r="B18012" s="4">
        <v>774052</v>
      </c>
      <c r="D18012" s="5" t="s">
        <v>22069</v>
      </c>
      <c r="E18012" s="6" t="str">
        <f>HYPERLINK("https://inpn.mnhn.fr/espece/cd_nom/774052","Eriopygodes imbecilla (Fabricius, 1794)")</f>
        <v>Eriopygodes imbecilla (Fabricius, 1794)</v>
      </c>
      <c r="AH18012" s="4" t="str">
        <f>HYPERLINK("#Statut_biogéographique!A"&amp;_xlfn.XMATCH("P",Statut_biogéographique!A:A,2,1),"P")</f>
        <v>P</v>
      </c>
      <c r="AP18012" s="4" t="s">
        <v>376</v>
      </c>
      <c r="AR18012" s="4" t="s">
        <v>377</v>
      </c>
    </row>
    <row r="18013" spans="1:44">
      <c r="A18013" s="4" t="s">
        <v>10753</v>
      </c>
      <c r="B18013" s="4">
        <v>777967</v>
      </c>
      <c r="D18013" s="5" t="s">
        <v>22070</v>
      </c>
      <c r="E18013" s="6" t="str">
        <f>HYPERLINK("https://inpn.mnhn.fr/espece/cd_nom/777967","Polistes dominula (Christ, 1791)")</f>
        <v>Polistes dominula (Christ, 1791)</v>
      </c>
      <c r="F18013" s="5" t="s">
        <v>22071</v>
      </c>
      <c r="AH18013" s="4" t="str">
        <f>HYPERLINK("#Statut_biogéographique!A"&amp;_xlfn.XMATCH("P",Statut_biogéographique!A:A,2,1),"P")</f>
        <v>P</v>
      </c>
      <c r="AP18013" s="4" t="s">
        <v>376</v>
      </c>
      <c r="AR18013" s="4" t="s">
        <v>377</v>
      </c>
    </row>
    <row r="18014" spans="1:44">
      <c r="A18014" s="4" t="s">
        <v>10753</v>
      </c>
      <c r="B18014" s="4">
        <v>777980</v>
      </c>
      <c r="D18014" s="5" t="s">
        <v>22072</v>
      </c>
      <c r="E18014" s="6" t="str">
        <f>HYPERLINK("https://inpn.mnhn.fr/espece/cd_nom/777980","Epichnopterix sieboldii (Reutti, 1853)")</f>
        <v>Epichnopterix sieboldii (Reutti, 1853)</v>
      </c>
      <c r="AH18014" s="4" t="str">
        <f>HYPERLINK("#Statut_biogéographique!A"&amp;_xlfn.XMATCH("P",Statut_biogéographique!A:A,2,1),"P")</f>
        <v>P</v>
      </c>
      <c r="AP18014" s="4" t="s">
        <v>376</v>
      </c>
      <c r="AR18014" s="4" t="s">
        <v>377</v>
      </c>
    </row>
    <row r="18015" spans="1:44" ht="45">
      <c r="A18015" s="4" t="s">
        <v>10753</v>
      </c>
      <c r="B18015" s="4">
        <v>778119</v>
      </c>
      <c r="D18015" s="5" t="s">
        <v>22073</v>
      </c>
      <c r="E18015" s="6" t="str">
        <f>HYPERLINK("https://inpn.mnhn.fr/espece/cd_nom/778119","Anarta odontites (Boisduval, 1828)")</f>
        <v>Anarta odontites (Boisduval, 1828)</v>
      </c>
      <c r="F18015" s="5" t="s">
        <v>22074</v>
      </c>
      <c r="AH18015" s="4" t="str">
        <f>HYPERLINK("#Statut_biogéographique!A"&amp;_xlfn.XMATCH("P",Statut_biogéographique!A:A,2,1),"P")</f>
        <v>P</v>
      </c>
      <c r="AP18015" s="4" t="s">
        <v>376</v>
      </c>
      <c r="AR18015" s="4" t="s">
        <v>377</v>
      </c>
    </row>
    <row r="18016" spans="1:44">
      <c r="A18016" s="4" t="s">
        <v>10753</v>
      </c>
      <c r="B18016" s="4">
        <v>778225</v>
      </c>
      <c r="D18016" s="5" t="s">
        <v>22075</v>
      </c>
      <c r="E18016" s="6" t="str">
        <f>HYPERLINK("https://inpn.mnhn.fr/espece/cd_nom/778225","Pneumia nubila (Meigen, 1818)")</f>
        <v>Pneumia nubila (Meigen, 1818)</v>
      </c>
      <c r="AH18016" s="4" t="str">
        <f>HYPERLINK("#Statut_biogéographique!A"&amp;_xlfn.XMATCH("P",Statut_biogéographique!A:A,2,1),"P")</f>
        <v>P</v>
      </c>
      <c r="AP18016" s="4" t="s">
        <v>376</v>
      </c>
      <c r="AR18016" s="4" t="s">
        <v>377</v>
      </c>
    </row>
    <row r="18017" spans="1:44">
      <c r="A18017" s="4" t="s">
        <v>10753</v>
      </c>
      <c r="B18017" s="4">
        <v>778232</v>
      </c>
      <c r="D18017" s="5" t="s">
        <v>22076</v>
      </c>
      <c r="E18017" s="6" t="str">
        <f>HYPERLINK("https://inpn.mnhn.fr/espece/cd_nom/778232","Pneumia trivialis (Eaton, 1893)")</f>
        <v>Pneumia trivialis (Eaton, 1893)</v>
      </c>
      <c r="AH18017" s="4" t="str">
        <f>HYPERLINK("#Statut_biogéographique!A"&amp;_xlfn.XMATCH("P",Statut_biogéographique!A:A,2,1),"P")</f>
        <v>P</v>
      </c>
      <c r="AP18017" s="4" t="s">
        <v>376</v>
      </c>
      <c r="AR18017" s="4" t="s">
        <v>377</v>
      </c>
    </row>
    <row r="18018" spans="1:44">
      <c r="A18018" s="4" t="s">
        <v>10753</v>
      </c>
      <c r="B18018" s="4">
        <v>778564</v>
      </c>
      <c r="D18018" s="5" t="s">
        <v>22077</v>
      </c>
      <c r="E18018" s="6" t="str">
        <f>HYPERLINK("https://inpn.mnhn.fr/espece/cd_nom/778564","Inermocoelotes inermis (L. Koch, 1855)")</f>
        <v>Inermocoelotes inermis (L. Koch, 1855)</v>
      </c>
      <c r="Q18018" s="7" t="str">
        <f>HYPERLINK("#Liste_rouge!A"&amp;_xlfn.XMATCH("LC",Liste_rouge!A:A,2,1),"LC")</f>
        <v>LC</v>
      </c>
      <c r="AH18018" s="4" t="str">
        <f>HYPERLINK("#Statut_biogéographique!A"&amp;_xlfn.XMATCH("P",Statut_biogéographique!A:A,2,1),"P")</f>
        <v>P</v>
      </c>
      <c r="AP18018" s="4" t="s">
        <v>376</v>
      </c>
      <c r="AR18018" s="4" t="s">
        <v>377</v>
      </c>
    </row>
    <row r="18019" spans="1:44">
      <c r="A18019" s="4" t="s">
        <v>10753</v>
      </c>
      <c r="B18019" s="4">
        <v>779358</v>
      </c>
      <c r="D18019" s="5" t="s">
        <v>22078</v>
      </c>
      <c r="E18019" s="6" t="str">
        <f>HYPERLINK("https://inpn.mnhn.fr/espece/cd_nom/779358","Meligramma euchroma (Kowarz, 1885)")</f>
        <v>Meligramma euchroma (Kowarz, 1885)</v>
      </c>
      <c r="P18019" s="7" t="str">
        <f>HYPERLINK("#Liste_rouge!A"&amp;_xlfn.XMATCH("LC",Liste_rouge!A:A,2,1),"LC")</f>
        <v>LC</v>
      </c>
      <c r="AH18019" s="4" t="str">
        <f>HYPERLINK("#Statut_biogéographique!A"&amp;_xlfn.XMATCH("P",Statut_biogéographique!A:A,2,1),"P")</f>
        <v>P</v>
      </c>
      <c r="AP18019" s="4" t="s">
        <v>376</v>
      </c>
      <c r="AR18019" s="4" t="s">
        <v>377</v>
      </c>
    </row>
    <row r="18020" spans="1:44">
      <c r="A18020" s="4" t="s">
        <v>10753</v>
      </c>
      <c r="B18020" s="4">
        <v>779367</v>
      </c>
      <c r="D18020" s="5">
        <v>779367</v>
      </c>
      <c r="E18020" s="6" t="str">
        <f>HYPERLINK("https://inpn.mnhn.fr/espece/cd_nom/779367","Psilota exilistyla Smit &amp; Vujić, 2008")</f>
        <v>Psilota exilistyla Smit &amp; Vujić, 2008</v>
      </c>
      <c r="O18020" s="7" t="str">
        <f>HYPERLINK("#Liste_rouge!A"&amp;_xlfn.XMATCH("DD",Liste_rouge!A:A,2,1),"DD")</f>
        <v>DD</v>
      </c>
      <c r="P18020" s="7" t="str">
        <f>HYPERLINK("#Liste_rouge!A"&amp;_xlfn.XMATCH("DD",Liste_rouge!A:A,2,1),"DD")</f>
        <v>DD</v>
      </c>
      <c r="AH18020" s="4" t="str">
        <f>HYPERLINK("#Statut_biogéographique!A"&amp;_xlfn.XMATCH("P",Statut_biogéographique!A:A,2,1),"P")</f>
        <v>P</v>
      </c>
      <c r="AP18020" s="4" t="s">
        <v>376</v>
      </c>
      <c r="AR18020" s="4" t="s">
        <v>377</v>
      </c>
    </row>
    <row r="18021" spans="1:44" ht="30">
      <c r="A18021" s="4" t="s">
        <v>10753</v>
      </c>
      <c r="B18021" s="4">
        <v>780121</v>
      </c>
      <c r="D18021" s="5" t="s">
        <v>22079</v>
      </c>
      <c r="E18021" s="6" t="str">
        <f>HYPERLINK("https://inpn.mnhn.fr/espece/cd_nom/780121","Adscita dujardini Efetov &amp; Tarmann, 2014")</f>
        <v>Adscita dujardini Efetov &amp; Tarmann, 2014</v>
      </c>
      <c r="F18021" s="5" t="s">
        <v>22080</v>
      </c>
      <c r="AH18021" s="4" t="str">
        <f>HYPERLINK("#Statut_biogéographique!A"&amp;_xlfn.XMATCH("P",Statut_biogéographique!A:A,2,1),"P")</f>
        <v>P</v>
      </c>
      <c r="AP18021" s="4" t="s">
        <v>376</v>
      </c>
      <c r="AR18021" s="4" t="s">
        <v>377</v>
      </c>
    </row>
    <row r="18022" spans="1:44" ht="60">
      <c r="A18022" s="4" t="s">
        <v>10753</v>
      </c>
      <c r="B18022" s="4">
        <v>780135</v>
      </c>
      <c r="D18022" s="5" t="s">
        <v>22081</v>
      </c>
      <c r="E18022" s="6" t="str">
        <f>HYPERLINK("https://inpn.mnhn.fr/espece/cd_nom/780135","Anaspis maculata Geoffroy in Fourcroy, 1785")</f>
        <v>Anaspis maculata Geoffroy in Fourcroy, 1785</v>
      </c>
      <c r="F18022" s="5" t="s">
        <v>22082</v>
      </c>
      <c r="AH18022" s="4" t="str">
        <f>HYPERLINK("#Statut_biogéographique!A"&amp;_xlfn.XMATCH("P",Statut_biogéographique!A:A,2,1),"P")</f>
        <v>P</v>
      </c>
      <c r="AP18022" s="4" t="s">
        <v>376</v>
      </c>
      <c r="AR18022" s="4" t="s">
        <v>377</v>
      </c>
    </row>
    <row r="18023" spans="1:44">
      <c r="A18023" s="4" t="s">
        <v>10753</v>
      </c>
      <c r="B18023" s="4">
        <v>780258</v>
      </c>
      <c r="D18023" s="5" t="s">
        <v>22083</v>
      </c>
      <c r="E18023" s="6" t="str">
        <f>HYPERLINK("https://inpn.mnhn.fr/espece/cd_nom/780258","Idaea rubraria (Staudinger, 1901)")</f>
        <v>Idaea rubraria (Staudinger, 1901)</v>
      </c>
      <c r="F18023" s="5" t="s">
        <v>22084</v>
      </c>
      <c r="AH18023" s="4" t="str">
        <f>HYPERLINK("#Statut_biogéographique!A"&amp;_xlfn.XMATCH("P",Statut_biogéographique!A:A,2,1),"P")</f>
        <v>P</v>
      </c>
      <c r="AP18023" s="4" t="s">
        <v>376</v>
      </c>
      <c r="AR18023" s="4" t="s">
        <v>377</v>
      </c>
    </row>
    <row r="18024" spans="1:44">
      <c r="A18024" s="4" t="s">
        <v>10753</v>
      </c>
      <c r="B18024" s="4">
        <v>780428</v>
      </c>
      <c r="D18024" s="5" t="s">
        <v>22085</v>
      </c>
      <c r="E18024" s="6" t="str">
        <f>HYPERLINK("https://inpn.mnhn.fr/espece/cd_nom/780428","Haemopis elegans Moquin-Tandon, 1846")</f>
        <v>Haemopis elegans Moquin-Tandon, 1846</v>
      </c>
      <c r="AH18024" s="4" t="str">
        <f>HYPERLINK("#Statut_biogéographique!A"&amp;_xlfn.XMATCH("D",Statut_biogéographique!A:A,2,1),"D")</f>
        <v>D</v>
      </c>
      <c r="AP18024" s="4" t="s">
        <v>376</v>
      </c>
      <c r="AR18024" s="4" t="s">
        <v>377</v>
      </c>
    </row>
    <row r="18025" spans="1:44">
      <c r="A18025" s="4" t="s">
        <v>10753</v>
      </c>
      <c r="B18025" s="4">
        <v>780495</v>
      </c>
      <c r="D18025" s="5" t="s">
        <v>22086</v>
      </c>
      <c r="E18025" s="6" t="str">
        <f>HYPERLINK("https://inpn.mnhn.fr/espece/cd_nom/780495","Bembidion bruxellense Wesmaël, 1835")</f>
        <v>Bembidion bruxellense Wesmaël, 1835</v>
      </c>
      <c r="AH18025" s="4" t="str">
        <f>HYPERLINK("#Statut_biogéographique!A"&amp;_xlfn.XMATCH("P",Statut_biogéographique!A:A,2,1),"P")</f>
        <v>P</v>
      </c>
      <c r="AP18025" s="4" t="s">
        <v>376</v>
      </c>
      <c r="AR18025" s="4" t="s">
        <v>377</v>
      </c>
    </row>
    <row r="18026" spans="1:44" ht="45">
      <c r="A18026" s="4" t="s">
        <v>10753</v>
      </c>
      <c r="B18026" s="4">
        <v>780498</v>
      </c>
      <c r="D18026" s="5" t="s">
        <v>22087</v>
      </c>
      <c r="E18026" s="6" t="str">
        <f>HYPERLINK("https://inpn.mnhn.fr/espece/cd_nom/780498","Bembidion tetracolum Say, 1823")</f>
        <v>Bembidion tetracolum Say, 1823</v>
      </c>
      <c r="AH18026" s="4" t="str">
        <f>HYPERLINK("#Statut_biogéographique!A"&amp;_xlfn.XMATCH("P",Statut_biogéographique!A:A,2,1),"P")</f>
        <v>P</v>
      </c>
      <c r="AP18026" s="4" t="s">
        <v>376</v>
      </c>
      <c r="AR18026" s="4" t="s">
        <v>377</v>
      </c>
    </row>
    <row r="18027" spans="1:44">
      <c r="A18027" s="4" t="s">
        <v>10753</v>
      </c>
      <c r="B18027" s="4">
        <v>780979</v>
      </c>
      <c r="D18027" s="5" t="s">
        <v>22088</v>
      </c>
      <c r="E18027" s="6" t="str">
        <f>HYPERLINK("https://inpn.mnhn.fr/espece/cd_nom/780979","Scopula rufomixtaria (Graslin, 1863)")</f>
        <v>Scopula rufomixtaria (Graslin, 1863)</v>
      </c>
      <c r="F18027" s="5" t="s">
        <v>22089</v>
      </c>
      <c r="AH18027" s="4" t="str">
        <f>HYPERLINK("#Statut_biogéographique!A"&amp;_xlfn.XMATCH("P",Statut_biogéographique!A:A,2,1),"P")</f>
        <v>P</v>
      </c>
      <c r="AP18027" s="4" t="s">
        <v>376</v>
      </c>
      <c r="AR18027" s="4" t="s">
        <v>377</v>
      </c>
    </row>
    <row r="18028" spans="1:44">
      <c r="A18028" s="4" t="s">
        <v>10753</v>
      </c>
      <c r="B18028" s="4">
        <v>781518</v>
      </c>
      <c r="D18028" s="5" t="s">
        <v>22090</v>
      </c>
      <c r="E18028" s="6" t="str">
        <f>HYPERLINK("https://inpn.mnhn.fr/espece/cd_nom/781518","Globia sparganii (Esper, 1790)")</f>
        <v>Globia sparganii (Esper, 1790)</v>
      </c>
      <c r="AH18028" s="4" t="str">
        <f>HYPERLINK("#Statut_biogéographique!A"&amp;_xlfn.XMATCH("P",Statut_biogéographique!A:A,2,1),"P")</f>
        <v>P</v>
      </c>
      <c r="AP18028" s="4" t="s">
        <v>376</v>
      </c>
      <c r="AR18028" s="4" t="s">
        <v>377</v>
      </c>
    </row>
    <row r="18029" spans="1:44">
      <c r="A18029" s="4" t="s">
        <v>10753</v>
      </c>
      <c r="B18029" s="4">
        <v>781615</v>
      </c>
      <c r="D18029" s="5" t="s">
        <v>22091</v>
      </c>
      <c r="E18029" s="6" t="str">
        <f>HYPERLINK("https://inpn.mnhn.fr/espece/cd_nom/781615","Crambus perlellus (Scopoli, 1763)")</f>
        <v>Crambus perlellus (Scopoli, 1763)</v>
      </c>
      <c r="F18029" s="5" t="s">
        <v>22092</v>
      </c>
      <c r="AH18029" s="4" t="str">
        <f>HYPERLINK("#Statut_biogéographique!A"&amp;_xlfn.XMATCH("P",Statut_biogéographique!A:A,2,1),"P")</f>
        <v>P</v>
      </c>
      <c r="AP18029" s="4" t="s">
        <v>376</v>
      </c>
      <c r="AR18029" s="4" t="s">
        <v>377</v>
      </c>
    </row>
    <row r="18030" spans="1:44" ht="30">
      <c r="A18030" s="4" t="s">
        <v>10753</v>
      </c>
      <c r="B18030" s="4">
        <v>781696</v>
      </c>
      <c r="D18030" s="5" t="s">
        <v>22093</v>
      </c>
      <c r="E18030" s="6" t="str">
        <f>HYPERLINK("https://inpn.mnhn.fr/espece/cd_nom/781696","Triphosa tauteli Leraut, 2009")</f>
        <v>Triphosa tauteli Leraut, 2009</v>
      </c>
      <c r="F18030" s="5" t="s">
        <v>22094</v>
      </c>
      <c r="AH18030" s="4" t="str">
        <f>HYPERLINK("#Statut_biogéographique!A"&amp;_xlfn.XMATCH("P",Statut_biogéographique!A:A,2,1),"P")</f>
        <v>P</v>
      </c>
      <c r="AP18030" s="4" t="s">
        <v>376</v>
      </c>
      <c r="AR18030" s="4" t="s">
        <v>377</v>
      </c>
    </row>
    <row r="18031" spans="1:44" ht="30">
      <c r="A18031" s="4" t="s">
        <v>10753</v>
      </c>
      <c r="B18031" s="4">
        <v>781812</v>
      </c>
      <c r="D18031" s="5" t="s">
        <v>22095</v>
      </c>
      <c r="E18031" s="6" t="str">
        <f>HYPERLINK("https://inpn.mnhn.fr/espece/cd_nom/781812","Charissa ambiguata (Duponchel, 1830)")</f>
        <v>Charissa ambiguata (Duponchel, 1830)</v>
      </c>
      <c r="F18031" s="5" t="s">
        <v>22096</v>
      </c>
      <c r="AH18031" s="4" t="str">
        <f>HYPERLINK("#Statut_biogéographique!A"&amp;_xlfn.XMATCH("P",Statut_biogéographique!A:A,2,1),"P")</f>
        <v>P</v>
      </c>
      <c r="AP18031" s="4" t="s">
        <v>376</v>
      </c>
      <c r="AR18031" s="4" t="s">
        <v>377</v>
      </c>
    </row>
    <row r="18032" spans="1:44" ht="45">
      <c r="A18032" s="4" t="s">
        <v>10753</v>
      </c>
      <c r="B18032" s="4">
        <v>781820</v>
      </c>
      <c r="D18032" s="5" t="s">
        <v>22097</v>
      </c>
      <c r="E18032" s="6" t="str">
        <f>HYPERLINK("https://inpn.mnhn.fr/espece/cd_nom/781820","Charissa pullata (Denis &amp; Schiffermüller, 1775)")</f>
        <v>Charissa pullata (Denis &amp; Schiffermüller, 1775)</v>
      </c>
      <c r="F18032" s="5" t="s">
        <v>22098</v>
      </c>
      <c r="AH18032" s="4" t="str">
        <f>HYPERLINK("#Statut_biogéographique!A"&amp;_xlfn.XMATCH("P",Statut_biogéographique!A:A,2,1),"P")</f>
        <v>P</v>
      </c>
      <c r="AP18032" s="4" t="s">
        <v>376</v>
      </c>
      <c r="AR18032" s="4" t="s">
        <v>377</v>
      </c>
    </row>
    <row r="18033" spans="1:44" ht="30">
      <c r="A18033" s="4" t="s">
        <v>10753</v>
      </c>
      <c r="B18033" s="4">
        <v>781842</v>
      </c>
      <c r="D18033" s="5" t="s">
        <v>22099</v>
      </c>
      <c r="E18033" s="6" t="str">
        <f>HYPERLINK("https://inpn.mnhn.fr/espece/cd_nom/781842","Charissa italohelvetica (Rézbányai-Reser, 1986)")</f>
        <v>Charissa italohelvetica (Rézbányai-Reser, 1986)</v>
      </c>
      <c r="F18033" s="5" t="s">
        <v>22100</v>
      </c>
      <c r="AH18033" s="4" t="str">
        <f>HYPERLINK("#Statut_biogéographique!A"&amp;_xlfn.XMATCH("P",Statut_biogéographique!A:A,2,1),"P")</f>
        <v>P</v>
      </c>
      <c r="AP18033" s="4" t="s">
        <v>376</v>
      </c>
      <c r="AR18033" s="4" t="s">
        <v>377</v>
      </c>
    </row>
    <row r="18034" spans="1:44" ht="30">
      <c r="A18034" s="4" t="s">
        <v>10753</v>
      </c>
      <c r="B18034" s="4">
        <v>781844</v>
      </c>
      <c r="D18034" s="5" t="s">
        <v>22101</v>
      </c>
      <c r="E18034" s="6" t="str">
        <f>HYPERLINK("https://inpn.mnhn.fr/espece/cd_nom/781844","Charissa mucidaria (Hübner, 1799)")</f>
        <v>Charissa mucidaria (Hübner, 1799)</v>
      </c>
      <c r="F18034" s="5" t="s">
        <v>22102</v>
      </c>
      <c r="AH18034" s="4" t="str">
        <f>HYPERLINK("#Statut_biogéographique!A"&amp;_xlfn.XMATCH("P",Statut_biogéographique!A:A,2,1),"P")</f>
        <v>P</v>
      </c>
      <c r="AP18034" s="4" t="s">
        <v>376</v>
      </c>
      <c r="AR18034" s="4" t="s">
        <v>377</v>
      </c>
    </row>
    <row r="18035" spans="1:44" ht="30">
      <c r="A18035" s="4" t="s">
        <v>10753</v>
      </c>
      <c r="B18035" s="4">
        <v>781846</v>
      </c>
      <c r="D18035" s="5" t="s">
        <v>22103</v>
      </c>
      <c r="E18035" s="6" t="str">
        <f>HYPERLINK("https://inpn.mnhn.fr/espece/cd_nom/781846","Pechipogo strigilata (Linnaeus, 1758)")</f>
        <v>Pechipogo strigilata (Linnaeus, 1758)</v>
      </c>
      <c r="AH18035" s="4" t="str">
        <f>HYPERLINK("#Statut_biogéographique!A"&amp;_xlfn.XMATCH("P",Statut_biogéographique!A:A,2,1),"P")</f>
        <v>P</v>
      </c>
      <c r="AP18035" s="4" t="s">
        <v>376</v>
      </c>
      <c r="AR18035" s="4" t="s">
        <v>377</v>
      </c>
    </row>
    <row r="18036" spans="1:44" ht="45">
      <c r="A18036" s="4" t="s">
        <v>10753</v>
      </c>
      <c r="B18036" s="4">
        <v>781849</v>
      </c>
      <c r="D18036" s="5" t="s">
        <v>22104</v>
      </c>
      <c r="E18036" s="6" t="str">
        <f>HYPERLINK("https://inpn.mnhn.fr/espece/cd_nom/781849","Phigaliohybernia marginaria (Fabricius, 1777)")</f>
        <v>Phigaliohybernia marginaria (Fabricius, 1777)</v>
      </c>
      <c r="F18036" s="5" t="s">
        <v>22105</v>
      </c>
      <c r="AH18036" s="4" t="str">
        <f>HYPERLINK("#Statut_biogéographique!A"&amp;_xlfn.XMATCH("P",Statut_biogéographique!A:A,2,1),"P")</f>
        <v>P</v>
      </c>
      <c r="AP18036" s="4" t="s">
        <v>376</v>
      </c>
      <c r="AR18036" s="4" t="s">
        <v>377</v>
      </c>
    </row>
    <row r="18037" spans="1:44" ht="45">
      <c r="A18037" s="4" t="s">
        <v>10753</v>
      </c>
      <c r="B18037" s="4">
        <v>781852</v>
      </c>
      <c r="D18037" s="5" t="s">
        <v>22106</v>
      </c>
      <c r="E18037" s="6" t="str">
        <f>HYPERLINK("https://inpn.mnhn.fr/espece/cd_nom/781852","Phigaliohybernia aurantiaria (Hübner, 1799)")</f>
        <v>Phigaliohybernia aurantiaria (Hübner, 1799)</v>
      </c>
      <c r="F18037" s="5" t="s">
        <v>22107</v>
      </c>
      <c r="AH18037" s="4" t="str">
        <f>HYPERLINK("#Statut_biogéographique!A"&amp;_xlfn.XMATCH("P",Statut_biogéographique!A:A,2,1),"P")</f>
        <v>P</v>
      </c>
      <c r="AP18037" s="4" t="s">
        <v>376</v>
      </c>
      <c r="AR18037" s="4" t="s">
        <v>377</v>
      </c>
    </row>
    <row r="18038" spans="1:44" ht="30">
      <c r="A18038" s="4" t="s">
        <v>10753</v>
      </c>
      <c r="B18038" s="4">
        <v>781863</v>
      </c>
      <c r="D18038" s="5" t="s">
        <v>22108</v>
      </c>
      <c r="E18038" s="6" t="str">
        <f>HYPERLINK("https://inpn.mnhn.fr/espece/cd_nom/781863","Deltote pygarga (Hufnagel, 1766)")</f>
        <v>Deltote pygarga (Hufnagel, 1766)</v>
      </c>
      <c r="F18038" s="5" t="s">
        <v>22109</v>
      </c>
      <c r="AH18038" s="4" t="str">
        <f>HYPERLINK("#Statut_biogéographique!A"&amp;_xlfn.XMATCH("P",Statut_biogéographique!A:A,2,1),"P")</f>
        <v>P</v>
      </c>
      <c r="AP18038" s="4" t="s">
        <v>376</v>
      </c>
      <c r="AR18038" s="4" t="s">
        <v>377</v>
      </c>
    </row>
    <row r="18039" spans="1:44">
      <c r="A18039" s="4" t="s">
        <v>10753</v>
      </c>
      <c r="B18039" s="4">
        <v>781874</v>
      </c>
      <c r="D18039" s="5" t="s">
        <v>22110</v>
      </c>
      <c r="E18039" s="6" t="str">
        <f>HYPERLINK("https://inpn.mnhn.fr/espece/cd_nom/781874","Amphipyra cinnamomea (Goeze, 1781)")</f>
        <v>Amphipyra cinnamomea (Goeze, 1781)</v>
      </c>
      <c r="F18039" s="5" t="s">
        <v>22111</v>
      </c>
      <c r="AH18039" s="4" t="str">
        <f>HYPERLINK("#Statut_biogéographique!A"&amp;_xlfn.XMATCH("P",Statut_biogéographique!A:A,2,1),"P")</f>
        <v>P</v>
      </c>
      <c r="AP18039" s="4" t="s">
        <v>376</v>
      </c>
      <c r="AR18039" s="4" t="s">
        <v>377</v>
      </c>
    </row>
    <row r="18040" spans="1:44">
      <c r="A18040" s="4" t="s">
        <v>10753</v>
      </c>
      <c r="B18040" s="4">
        <v>781882</v>
      </c>
      <c r="D18040" s="5" t="s">
        <v>22112</v>
      </c>
      <c r="E18040" s="6" t="str">
        <f>HYPERLINK("https://inpn.mnhn.fr/espece/cd_nom/781882","Caradrina selini Boisduval, 1840")</f>
        <v>Caradrina selini Boisduval, 1840</v>
      </c>
      <c r="F18040" s="5" t="s">
        <v>22113</v>
      </c>
      <c r="AH18040" s="4" t="str">
        <f>HYPERLINK("#Statut_biogéographique!A"&amp;_xlfn.XMATCH("P",Statut_biogéographique!A:A,2,1),"P")</f>
        <v>P</v>
      </c>
      <c r="AP18040" s="4" t="s">
        <v>376</v>
      </c>
      <c r="AR18040" s="4" t="s">
        <v>377</v>
      </c>
    </row>
    <row r="18041" spans="1:44">
      <c r="A18041" s="4" t="s">
        <v>10753</v>
      </c>
      <c r="B18041" s="4">
        <v>781884</v>
      </c>
      <c r="D18041" s="5">
        <v>781884</v>
      </c>
      <c r="E18041" s="6" t="str">
        <f>HYPERLINK("https://inpn.mnhn.fr/espece/cd_nom/781884","Caradrina kadenii Freyer, 1836")</f>
        <v>Caradrina kadenii Freyer, 1836</v>
      </c>
      <c r="F18041" s="5" t="s">
        <v>22114</v>
      </c>
      <c r="AH18041" s="4" t="str">
        <f>HYPERLINK("#Statut_biogéographique!A"&amp;_xlfn.XMATCH("P",Statut_biogéographique!A:A,2,1),"P")</f>
        <v>P</v>
      </c>
      <c r="AP18041" s="4" t="s">
        <v>376</v>
      </c>
      <c r="AR18041" s="4" t="s">
        <v>377</v>
      </c>
    </row>
    <row r="18042" spans="1:44">
      <c r="A18042" s="4" t="s">
        <v>10753</v>
      </c>
      <c r="B18042" s="4">
        <v>781886</v>
      </c>
      <c r="D18042" s="5" t="s">
        <v>22115</v>
      </c>
      <c r="E18042" s="6" t="str">
        <f>HYPERLINK("https://inpn.mnhn.fr/espece/cd_nom/781886","Caradrina terrea Freyer, 1839")</f>
        <v>Caradrina terrea Freyer, 1839</v>
      </c>
      <c r="F18042" s="5" t="s">
        <v>22116</v>
      </c>
      <c r="AH18042" s="4" t="str">
        <f>HYPERLINK("#Statut_biogéographique!A"&amp;_xlfn.XMATCH("P",Statut_biogéographique!A:A,2,1),"P")</f>
        <v>P</v>
      </c>
      <c r="AP18042" s="4" t="s">
        <v>376</v>
      </c>
      <c r="AR18042" s="4" t="s">
        <v>377</v>
      </c>
    </row>
    <row r="18043" spans="1:44">
      <c r="A18043" s="4" t="s">
        <v>10753</v>
      </c>
      <c r="B18043" s="4">
        <v>781887</v>
      </c>
      <c r="D18043" s="5" t="s">
        <v>22117</v>
      </c>
      <c r="E18043" s="6" t="str">
        <f>HYPERLINK("https://inpn.mnhn.fr/espece/cd_nom/781887","Caradrina montana Bremer, 1861")</f>
        <v>Caradrina montana Bremer, 1861</v>
      </c>
      <c r="F18043" s="5" t="s">
        <v>22118</v>
      </c>
      <c r="AH18043" s="4" t="str">
        <f>HYPERLINK("#Statut_biogéographique!A"&amp;_xlfn.XMATCH("P",Statut_biogéographique!A:A,2,1),"P")</f>
        <v>P</v>
      </c>
      <c r="AP18043" s="4" t="s">
        <v>376</v>
      </c>
      <c r="AR18043" s="4" t="s">
        <v>377</v>
      </c>
    </row>
    <row r="18044" spans="1:44">
      <c r="A18044" s="4" t="s">
        <v>10753</v>
      </c>
      <c r="B18044" s="4">
        <v>781897</v>
      </c>
      <c r="D18044" s="5" t="s">
        <v>22119</v>
      </c>
      <c r="E18044" s="6" t="str">
        <f>HYPERLINK("https://inpn.mnhn.fr/espece/cd_nom/781897","Xylena solidaginis (Hübner, 1803)")</f>
        <v>Xylena solidaginis (Hübner, 1803)</v>
      </c>
      <c r="AH18044" s="4" t="str">
        <f>HYPERLINK("#Statut_biogéographique!A"&amp;_xlfn.XMATCH("P",Statut_biogéographique!A:A,2,1),"P")</f>
        <v>P</v>
      </c>
      <c r="AP18044" s="4" t="s">
        <v>376</v>
      </c>
      <c r="AR18044" s="4" t="s">
        <v>377</v>
      </c>
    </row>
    <row r="18045" spans="1:44">
      <c r="A18045" s="4" t="s">
        <v>10753</v>
      </c>
      <c r="B18045" s="4">
        <v>781902</v>
      </c>
      <c r="D18045" s="5" t="s">
        <v>22120</v>
      </c>
      <c r="E18045" s="6" t="str">
        <f>HYPERLINK("https://inpn.mnhn.fr/espece/cd_nom/781902","Lenisa geminipuncta (Haworth, 1809)")</f>
        <v>Lenisa geminipuncta (Haworth, 1809)</v>
      </c>
      <c r="F18045" s="5" t="s">
        <v>22121</v>
      </c>
      <c r="AH18045" s="4" t="str">
        <f>HYPERLINK("#Statut_biogéographique!A"&amp;_xlfn.XMATCH("P",Statut_biogéographique!A:A,2,1),"P")</f>
        <v>P</v>
      </c>
      <c r="AP18045" s="4" t="s">
        <v>376</v>
      </c>
      <c r="AR18045" s="4" t="s">
        <v>377</v>
      </c>
    </row>
    <row r="18046" spans="1:44" ht="30">
      <c r="A18046" s="4" t="s">
        <v>10753</v>
      </c>
      <c r="B18046" s="4">
        <v>781908</v>
      </c>
      <c r="D18046" s="5" t="s">
        <v>22122</v>
      </c>
      <c r="E18046" s="6" t="str">
        <f>HYPERLINK("https://inpn.mnhn.fr/espece/cd_nom/781908","Denticucullus pygmina (Haworth, 1809)")</f>
        <v>Denticucullus pygmina (Haworth, 1809)</v>
      </c>
      <c r="F18046" s="5" t="s">
        <v>22123</v>
      </c>
      <c r="AH18046" s="4" t="str">
        <f>HYPERLINK("#Statut_biogéographique!A"&amp;_xlfn.XMATCH("P",Statut_biogéographique!A:A,2,1),"P")</f>
        <v>P</v>
      </c>
      <c r="AP18046" s="4" t="s">
        <v>376</v>
      </c>
      <c r="AR18046" s="4" t="s">
        <v>377</v>
      </c>
    </row>
    <row r="18047" spans="1:44">
      <c r="A18047" s="4" t="s">
        <v>10753</v>
      </c>
      <c r="B18047" s="4">
        <v>781926</v>
      </c>
      <c r="D18047" s="5" t="s">
        <v>22124</v>
      </c>
      <c r="E18047" s="6" t="str">
        <f>HYPERLINK("https://inpn.mnhn.fr/espece/cd_nom/781926","Paradiarsia punicea (Hübner, 1803)")</f>
        <v>Paradiarsia punicea (Hübner, 1803)</v>
      </c>
      <c r="AH18047" s="4" t="str">
        <f>HYPERLINK("#Statut_biogéographique!A"&amp;_xlfn.XMATCH("P",Statut_biogéographique!A:A,2,1),"P")</f>
        <v>P</v>
      </c>
      <c r="AP18047" s="4" t="s">
        <v>376</v>
      </c>
      <c r="AR18047" s="4" t="s">
        <v>377</v>
      </c>
    </row>
    <row r="18048" spans="1:44" ht="30">
      <c r="A18048" s="4" t="s">
        <v>10753</v>
      </c>
      <c r="B18048" s="4">
        <v>782816</v>
      </c>
      <c r="D18048" s="5" t="s">
        <v>22125</v>
      </c>
      <c r="E18048" s="6" t="str">
        <f>HYPERLINK("https://inpn.mnhn.fr/espece/cd_nom/782816","Rheumaptera cervinalis (Scopoli, 1763)")</f>
        <v>Rheumaptera cervinalis (Scopoli, 1763)</v>
      </c>
      <c r="F18048" s="5" t="s">
        <v>22126</v>
      </c>
      <c r="AH18048" s="4" t="str">
        <f>HYPERLINK("#Statut_biogéographique!A"&amp;_xlfn.XMATCH("P",Statut_biogéographique!A:A,2,1),"P")</f>
        <v>P</v>
      </c>
      <c r="AP18048" s="4" t="s">
        <v>376</v>
      </c>
      <c r="AR18048" s="4" t="s">
        <v>377</v>
      </c>
    </row>
    <row r="18049" spans="1:44" ht="30">
      <c r="A18049" s="4" t="s">
        <v>10753</v>
      </c>
      <c r="B18049" s="4">
        <v>782834</v>
      </c>
      <c r="D18049" s="5" t="s">
        <v>22127</v>
      </c>
      <c r="E18049" s="6" t="str">
        <f>HYPERLINK("https://inpn.mnhn.fr/espece/cd_nom/782834","Rheumaptera undulata (Linnaeus, 1758)")</f>
        <v>Rheumaptera undulata (Linnaeus, 1758)</v>
      </c>
      <c r="F18049" s="5" t="s">
        <v>22128</v>
      </c>
      <c r="AH18049" s="4" t="str">
        <f>HYPERLINK("#Statut_biogéographique!A"&amp;_xlfn.XMATCH("P",Statut_biogéographique!A:A,2,1),"P")</f>
        <v>P</v>
      </c>
      <c r="AP18049" s="4" t="s">
        <v>376</v>
      </c>
      <c r="AR18049" s="4" t="s">
        <v>377</v>
      </c>
    </row>
    <row r="18050" spans="1:44" ht="30">
      <c r="A18050" s="4" t="s">
        <v>10753</v>
      </c>
      <c r="B18050" s="4">
        <v>783803</v>
      </c>
      <c r="D18050" s="5">
        <v>783803</v>
      </c>
      <c r="E18050" s="6" t="str">
        <f>HYPERLINK("https://inpn.mnhn.fr/espece/cd_nom/783803","Dryocosmus kuriphilus Yasumatsu, 1951")</f>
        <v>Dryocosmus kuriphilus Yasumatsu, 1951</v>
      </c>
      <c r="F18050" s="5" t="s">
        <v>22129</v>
      </c>
      <c r="AH18050" s="4" t="str">
        <f>HYPERLINK("#Statut_biogéographique!A"&amp;_xlfn.XMATCH("I",Statut_biogéographique!A:A,2,1),"I")</f>
        <v>I</v>
      </c>
      <c r="AP18050" s="4" t="s">
        <v>376</v>
      </c>
      <c r="AR18050" s="4" t="s">
        <v>377</v>
      </c>
    </row>
    <row r="18051" spans="1:44">
      <c r="A18051" s="4" t="s">
        <v>10753</v>
      </c>
      <c r="B18051" s="4">
        <v>783809</v>
      </c>
      <c r="D18051" s="5" t="s">
        <v>22130</v>
      </c>
      <c r="E18051" s="6" t="str">
        <f>HYPERLINK("https://inpn.mnhn.fr/espece/cd_nom/783809","Megabruchidius dorsalis (Fåhraeus, 1839)")</f>
        <v>Megabruchidius dorsalis (Fåhraeus, 1839)</v>
      </c>
      <c r="AH18051" s="4" t="str">
        <f>HYPERLINK("#Statut_biogéographique!A"&amp;_xlfn.XMATCH("I",Statut_biogéographique!A:A,2,1),"I")</f>
        <v>I</v>
      </c>
      <c r="AP18051" s="4" t="s">
        <v>376</v>
      </c>
      <c r="AR18051" s="4" t="s">
        <v>377</v>
      </c>
    </row>
    <row r="18052" spans="1:44">
      <c r="A18052" s="4" t="s">
        <v>10753</v>
      </c>
      <c r="B18052" s="4">
        <v>783819</v>
      </c>
      <c r="D18052" s="5" t="s">
        <v>22131</v>
      </c>
      <c r="E18052" s="6" t="str">
        <f>HYPERLINK("https://inpn.mnhn.fr/espece/cd_nom/783819","Anchoscelis lunosa (Haworth, 1809)")</f>
        <v>Anchoscelis lunosa (Haworth, 1809)</v>
      </c>
      <c r="AH18052" s="4" t="str">
        <f>HYPERLINK("#Statut_biogéographique!A"&amp;_xlfn.XMATCH("P",Statut_biogéographique!A:A,2,1),"P")</f>
        <v>P</v>
      </c>
      <c r="AP18052" s="4" t="s">
        <v>376</v>
      </c>
      <c r="AR18052" s="4" t="s">
        <v>377</v>
      </c>
    </row>
    <row r="18053" spans="1:44" ht="30">
      <c r="A18053" s="4" t="s">
        <v>10753</v>
      </c>
      <c r="B18053" s="4">
        <v>784165</v>
      </c>
      <c r="D18053" s="5" t="s">
        <v>22132</v>
      </c>
      <c r="E18053" s="6" t="str">
        <f>HYPERLINK("https://inpn.mnhn.fr/espece/cd_nom/784165","Pseudoips prasinanus (Linnaeus, 1758)")</f>
        <v>Pseudoips prasinanus (Linnaeus, 1758)</v>
      </c>
      <c r="F18053" s="5" t="s">
        <v>22133</v>
      </c>
      <c r="AH18053" s="4" t="str">
        <f>HYPERLINK("#Statut_biogéographique!A"&amp;_xlfn.XMATCH("P",Statut_biogéographique!A:A,2,1),"P")</f>
        <v>P</v>
      </c>
      <c r="AP18053" s="4" t="s">
        <v>376</v>
      </c>
      <c r="AR18053" s="4" t="s">
        <v>377</v>
      </c>
    </row>
    <row r="18054" spans="1:44" ht="30">
      <c r="A18054" s="4" t="s">
        <v>10753</v>
      </c>
      <c r="B18054" s="4">
        <v>784182</v>
      </c>
      <c r="D18054" s="5" t="s">
        <v>22134</v>
      </c>
      <c r="E18054" s="6" t="str">
        <f>HYPERLINK("https://inpn.mnhn.fr/espece/cd_nom/784182","Sphrageidus similis (Fuessly, 1775)")</f>
        <v>Sphrageidus similis (Fuessly, 1775)</v>
      </c>
      <c r="F18054" s="5" t="s">
        <v>22135</v>
      </c>
      <c r="AH18054" s="4" t="str">
        <f>HYPERLINK("#Statut_biogéographique!A"&amp;_xlfn.XMATCH("P",Statut_biogéographique!A:A,2,1),"P")</f>
        <v>P</v>
      </c>
      <c r="AP18054" s="4" t="s">
        <v>376</v>
      </c>
      <c r="AR18054" s="4" t="s">
        <v>377</v>
      </c>
    </row>
    <row r="18055" spans="1:44" ht="30">
      <c r="A18055" s="4" t="s">
        <v>10753</v>
      </c>
      <c r="B18055" s="4">
        <v>784184</v>
      </c>
      <c r="D18055" s="5" t="s">
        <v>22136</v>
      </c>
      <c r="E18055" s="6" t="str">
        <f>HYPERLINK("https://inpn.mnhn.fr/espece/cd_nom/784184","Gynaephora fascelina (Linnaeus, 1758)")</f>
        <v>Gynaephora fascelina (Linnaeus, 1758)</v>
      </c>
      <c r="F18055" s="5" t="s">
        <v>22137</v>
      </c>
      <c r="AH18055" s="4" t="str">
        <f>HYPERLINK("#Statut_biogéographique!A"&amp;_xlfn.XMATCH("P",Statut_biogéographique!A:A,2,1),"P")</f>
        <v>P</v>
      </c>
      <c r="AP18055" s="4" t="s">
        <v>376</v>
      </c>
      <c r="AR18055" s="4" t="s">
        <v>377</v>
      </c>
    </row>
    <row r="18056" spans="1:44" ht="30">
      <c r="A18056" s="4" t="s">
        <v>10753</v>
      </c>
      <c r="B18056" s="4">
        <v>784209</v>
      </c>
      <c r="D18056" s="5" t="s">
        <v>22138</v>
      </c>
      <c r="E18056" s="6" t="str">
        <f>HYPERLINK("https://inpn.mnhn.fr/espece/cd_nom/784209","Chelis maculosa (Denis &amp; Schiffermüller, 1775)")</f>
        <v>Chelis maculosa (Denis &amp; Schiffermüller, 1775)</v>
      </c>
      <c r="F18056" s="5" t="s">
        <v>22139</v>
      </c>
      <c r="AH18056" s="4" t="str">
        <f>HYPERLINK("#Statut_biogéographique!A"&amp;_xlfn.XMATCH("P",Statut_biogéographique!A:A,2,1),"P")</f>
        <v>P</v>
      </c>
      <c r="AP18056" s="4" t="s">
        <v>376</v>
      </c>
      <c r="AR18056" s="4" t="s">
        <v>377</v>
      </c>
    </row>
    <row r="18057" spans="1:44" ht="30">
      <c r="A18057" s="4" t="s">
        <v>10753</v>
      </c>
      <c r="B18057" s="4">
        <v>784236</v>
      </c>
      <c r="D18057" s="5" t="s">
        <v>22140</v>
      </c>
      <c r="E18057" s="6" t="str">
        <f>HYPERLINK("https://inpn.mnhn.fr/espece/cd_nom/784236","Acossus terebra (Denis &amp; Schiffermüller, 1775)")</f>
        <v>Acossus terebra (Denis &amp; Schiffermüller, 1775)</v>
      </c>
      <c r="F18057" s="5" t="s">
        <v>22141</v>
      </c>
      <c r="AH18057" s="4" t="str">
        <f>HYPERLINK("#Statut_biogéographique!A"&amp;_xlfn.XMATCH("P",Statut_biogéographique!A:A,2,1),"P")</f>
        <v>P</v>
      </c>
      <c r="AP18057" s="4" t="s">
        <v>376</v>
      </c>
      <c r="AR18057" s="4" t="s">
        <v>377</v>
      </c>
    </row>
    <row r="18058" spans="1:44">
      <c r="A18058" s="4" t="s">
        <v>10753</v>
      </c>
      <c r="B18058" s="4">
        <v>784237</v>
      </c>
      <c r="D18058" s="5" t="s">
        <v>22142</v>
      </c>
      <c r="E18058" s="6" t="str">
        <f>HYPERLINK("https://inpn.mnhn.fr/espece/cd_nom/784237","Globia algae (Esper, 1789)")</f>
        <v>Globia algae (Esper, 1789)</v>
      </c>
      <c r="AH18058" s="4" t="str">
        <f>HYPERLINK("#Statut_biogéographique!A"&amp;_xlfn.XMATCH("P",Statut_biogéographique!A:A,2,1),"P")</f>
        <v>P</v>
      </c>
      <c r="AP18058" s="4" t="s">
        <v>376</v>
      </c>
      <c r="AR18058" s="4" t="s">
        <v>377</v>
      </c>
    </row>
    <row r="18059" spans="1:44">
      <c r="A18059" s="4" t="s">
        <v>10753</v>
      </c>
      <c r="B18059" s="4">
        <v>784239</v>
      </c>
      <c r="D18059" s="5" t="s">
        <v>22143</v>
      </c>
      <c r="E18059" s="6" t="str">
        <f>HYPERLINK("https://inpn.mnhn.fr/espece/cd_nom/784239","Catocala coniuncta (Esper, 1787)")</f>
        <v>Catocala coniuncta (Esper, 1787)</v>
      </c>
      <c r="F18059" s="5" t="s">
        <v>22144</v>
      </c>
      <c r="AH18059" s="4" t="str">
        <f>HYPERLINK("#Statut_biogéographique!A"&amp;_xlfn.XMATCH("P",Statut_biogéographique!A:A,2,1),"P")</f>
        <v>P</v>
      </c>
      <c r="AP18059" s="4" t="s">
        <v>376</v>
      </c>
      <c r="AR18059" s="4" t="s">
        <v>377</v>
      </c>
    </row>
    <row r="18060" spans="1:44">
      <c r="A18060" s="4" t="s">
        <v>10753</v>
      </c>
      <c r="B18060" s="4">
        <v>784263</v>
      </c>
      <c r="D18060" s="5" t="s">
        <v>22145</v>
      </c>
      <c r="E18060" s="6" t="str">
        <f>HYPERLINK("https://inpn.mnhn.fr/espece/cd_nom/784263","Xestia viridescens (Turati, 1919)")</f>
        <v>Xestia viridescens (Turati, 1919)</v>
      </c>
      <c r="F18060" s="5" t="s">
        <v>22146</v>
      </c>
      <c r="AH18060" s="4" t="str">
        <f>HYPERLINK("#Statut_biogéographique!A"&amp;_xlfn.XMATCH("P",Statut_biogéographique!A:A,2,1),"P")</f>
        <v>P</v>
      </c>
      <c r="AP18060" s="4" t="s">
        <v>376</v>
      </c>
      <c r="AR18060" s="4" t="s">
        <v>377</v>
      </c>
    </row>
    <row r="18061" spans="1:44">
      <c r="A18061" s="4" t="s">
        <v>10753</v>
      </c>
      <c r="B18061" s="4">
        <v>785079</v>
      </c>
      <c r="D18061" s="5" t="s">
        <v>22147</v>
      </c>
      <c r="E18061" s="6" t="str">
        <f>HYPERLINK("https://inpn.mnhn.fr/espece/cd_nom/785079","Parna apicalis (Brischke, 1888)")</f>
        <v>Parna apicalis (Brischke, 1888)</v>
      </c>
      <c r="AH18061" s="4" t="str">
        <f>HYPERLINK("#Statut_biogéographique!A"&amp;_xlfn.XMATCH("P",Statut_biogéographique!A:A,2,1),"P")</f>
        <v>P</v>
      </c>
      <c r="AP18061" s="4" t="s">
        <v>376</v>
      </c>
      <c r="AR18061" s="4" t="s">
        <v>377</v>
      </c>
    </row>
    <row r="18062" spans="1:44">
      <c r="A18062" s="4" t="s">
        <v>10753</v>
      </c>
      <c r="B18062" s="4">
        <v>785299</v>
      </c>
      <c r="D18062" s="5" t="s">
        <v>22148</v>
      </c>
      <c r="E18062" s="6" t="str">
        <f>HYPERLINK("https://inpn.mnhn.fr/espece/cd_nom/785299","Sericoris astrana Guenée, 1845")</f>
        <v>Sericoris astrana Guenée, 1845</v>
      </c>
      <c r="AH18062" s="4" t="str">
        <f>HYPERLINK("#Statut_biogéographique!A"&amp;_xlfn.XMATCH("P",Statut_biogéographique!A:A,2,1),"P")</f>
        <v>P</v>
      </c>
      <c r="AP18062" s="4" t="s">
        <v>376</v>
      </c>
      <c r="AR18062" s="4" t="s">
        <v>377</v>
      </c>
    </row>
    <row r="18063" spans="1:44" ht="30">
      <c r="A18063" s="4" t="s">
        <v>10753</v>
      </c>
      <c r="B18063" s="4">
        <v>785321</v>
      </c>
      <c r="D18063" s="5" t="s">
        <v>22149</v>
      </c>
      <c r="E18063" s="6" t="str">
        <f>HYPERLINK("https://inpn.mnhn.fr/espece/cd_nom/785321","Anania coronata (Hufnagel, 1767)")</f>
        <v>Anania coronata (Hufnagel, 1767)</v>
      </c>
      <c r="F18063" s="5" t="s">
        <v>22150</v>
      </c>
      <c r="AH18063" s="4" t="str">
        <f>HYPERLINK("#Statut_biogéographique!A"&amp;_xlfn.XMATCH("P",Statut_biogéographique!A:A,2,1),"P")</f>
        <v>P</v>
      </c>
      <c r="AP18063" s="4" t="s">
        <v>376</v>
      </c>
      <c r="AR18063" s="4" t="s">
        <v>377</v>
      </c>
    </row>
    <row r="18064" spans="1:44" ht="30">
      <c r="A18064" s="4" t="s">
        <v>10753</v>
      </c>
      <c r="B18064" s="4">
        <v>785566</v>
      </c>
      <c r="D18064" s="5" t="s">
        <v>22151</v>
      </c>
      <c r="E18064" s="6" t="str">
        <f>HYPERLINK("https://inpn.mnhn.fr/espece/cd_nom/785566","Obscurella obscura (Draparnaud, 1805)")</f>
        <v>Obscurella obscura (Draparnaud, 1805)</v>
      </c>
      <c r="F18064" s="5" t="s">
        <v>22152</v>
      </c>
      <c r="O18064" s="7" t="str">
        <f>HYPERLINK("#Liste_rouge!A"&amp;_xlfn.XMATCH("LC",Liste_rouge!A:A,2,1),"LC")</f>
        <v>LC</v>
      </c>
      <c r="P18064" s="7" t="str">
        <f>HYPERLINK("#Liste_rouge!A"&amp;_xlfn.XMATCH("LC",Liste_rouge!A:A,2,1),"LC")</f>
        <v>LC</v>
      </c>
      <c r="Q18064" s="7" t="str">
        <f>HYPERLINK("#Liste_rouge!A"&amp;_xlfn.XMATCH("LC",Liste_rouge!A:A,2,1),"LC")</f>
        <v>LC</v>
      </c>
      <c r="AH18064" s="4" t="str">
        <f>HYPERLINK("#Statut_biogéographique!A"&amp;_xlfn.XMATCH("P",Statut_biogéographique!A:A,2,1),"P")</f>
        <v>P</v>
      </c>
      <c r="AP18064" s="4" t="s">
        <v>376</v>
      </c>
      <c r="AR18064" s="4" t="s">
        <v>377</v>
      </c>
    </row>
    <row r="18065" spans="1:44" ht="30">
      <c r="A18065" s="4" t="s">
        <v>10753</v>
      </c>
      <c r="B18065" s="4">
        <v>785584</v>
      </c>
      <c r="D18065" s="5" t="s">
        <v>22153</v>
      </c>
      <c r="E18065" s="6" t="str">
        <f>HYPERLINK("https://inpn.mnhn.fr/espece/cd_nom/785584","Obscurella conica (Vallot, 1801)")</f>
        <v>Obscurella conica (Vallot, 1801)</v>
      </c>
      <c r="F18065" s="5" t="s">
        <v>22154</v>
      </c>
      <c r="O18065" s="7" t="str">
        <f>HYPERLINK("#Liste_rouge!A"&amp;_xlfn.XMATCH("LC",Liste_rouge!A:A,2,1),"LC")</f>
        <v>LC</v>
      </c>
      <c r="P18065" s="7" t="str">
        <f>HYPERLINK("#Liste_rouge!A"&amp;_xlfn.XMATCH("LC",Liste_rouge!A:A,2,1),"LC")</f>
        <v>LC</v>
      </c>
      <c r="Q18065" s="7" t="str">
        <f>HYPERLINK("#Liste_rouge!A"&amp;_xlfn.XMATCH("LC",Liste_rouge!A:A,2,1),"LC")</f>
        <v>LC</v>
      </c>
      <c r="AH18065" s="4" t="str">
        <f>HYPERLINK("#Statut_biogéographique!A"&amp;_xlfn.XMATCH("E",Statut_biogéographique!A:A,2,1),"E")</f>
        <v>E</v>
      </c>
      <c r="AM18065" s="4" t="s">
        <v>375</v>
      </c>
      <c r="AN18065" s="4" t="s">
        <v>375</v>
      </c>
      <c r="AO18065" s="4" t="s">
        <v>375</v>
      </c>
      <c r="AP18065" s="4" t="s">
        <v>376</v>
      </c>
      <c r="AR18065" s="4" t="s">
        <v>377</v>
      </c>
    </row>
    <row r="18066" spans="1:44">
      <c r="A18066" s="4" t="s">
        <v>10753</v>
      </c>
      <c r="B18066" s="4">
        <v>785665</v>
      </c>
      <c r="D18066" s="5" t="s">
        <v>22155</v>
      </c>
      <c r="E18066" s="6" t="str">
        <f>HYPERLINK("https://inpn.mnhn.fr/espece/cd_nom/785665","Peribalus strictus (Fabricius, 1803)")</f>
        <v>Peribalus strictus (Fabricius, 1803)</v>
      </c>
      <c r="AH18066" s="4" t="str">
        <f>HYPERLINK("#Statut_biogéographique!A"&amp;_xlfn.XMATCH("P",Statut_biogéographique!A:A,2,1),"P")</f>
        <v>P</v>
      </c>
      <c r="AP18066" s="4" t="s">
        <v>376</v>
      </c>
      <c r="AR18066" s="4" t="s">
        <v>377</v>
      </c>
    </row>
    <row r="18067" spans="1:44">
      <c r="A18067" s="4" t="s">
        <v>10753</v>
      </c>
      <c r="B18067" s="4">
        <v>785666</v>
      </c>
      <c r="D18067" s="5" t="s">
        <v>22156</v>
      </c>
      <c r="E18067" s="6" t="str">
        <f>HYPERLINK("https://inpn.mnhn.fr/espece/cd_nom/785666","Peribalus strictus vernalis (Wolff, 1804)")</f>
        <v>Peribalus strictus vernalis (Wolff, 1804)</v>
      </c>
      <c r="AH18067" s="4" t="str">
        <f>HYPERLINK("#Statut_biogéographique!A"&amp;_xlfn.XMATCH("P",Statut_biogéographique!A:A,2,1),"P")</f>
        <v>P</v>
      </c>
      <c r="AP18067" s="4" t="s">
        <v>376</v>
      </c>
      <c r="AR18067" s="4" t="s">
        <v>377</v>
      </c>
    </row>
    <row r="18068" spans="1:44" ht="30">
      <c r="A18068" s="4" t="s">
        <v>10753</v>
      </c>
      <c r="B18068" s="4">
        <v>785891</v>
      </c>
      <c r="D18068" s="5" t="s">
        <v>22157</v>
      </c>
      <c r="E18068" s="6" t="str">
        <f>HYPERLINK("https://inpn.mnhn.fr/espece/cd_nom/785891","Cryopega bajaria (Denis &amp; Schiffermüller, 1775)")</f>
        <v>Cryopega bajaria (Denis &amp; Schiffermüller, 1775)</v>
      </c>
      <c r="F18068" s="5" t="s">
        <v>22158</v>
      </c>
      <c r="AH18068" s="4" t="str">
        <f>HYPERLINK("#Statut_biogéographique!A"&amp;_xlfn.XMATCH("P",Statut_biogéographique!A:A,2,1),"P")</f>
        <v>P</v>
      </c>
      <c r="AP18068" s="4" t="s">
        <v>376</v>
      </c>
      <c r="AR18068" s="4" t="s">
        <v>377</v>
      </c>
    </row>
    <row r="18069" spans="1:44">
      <c r="A18069" s="4" t="s">
        <v>10753</v>
      </c>
      <c r="B18069" s="4">
        <v>7870</v>
      </c>
      <c r="D18069" s="5" t="s">
        <v>22159</v>
      </c>
      <c r="E18069" s="6" t="str">
        <f>HYPERLINK("https://inpn.mnhn.fr/espece/cd_nom/7870","Potosia fieberi (Kraatz, 1880)")</f>
        <v>Potosia fieberi (Kraatz, 1880)</v>
      </c>
      <c r="P18069" s="7" t="str">
        <f>HYPERLINK("#Liste_rouge!A"&amp;_xlfn.XMATCH("NT",Liste_rouge!A:A,2,1),"NT")</f>
        <v>NT</v>
      </c>
      <c r="AH18069" s="4" t="str">
        <f>HYPERLINK("#Statut_biogéographique!A"&amp;_xlfn.XMATCH("P",Statut_biogéographique!A:A,2,1),"P")</f>
        <v>P</v>
      </c>
      <c r="AP18069" s="4" t="s">
        <v>376</v>
      </c>
      <c r="AR18069" s="4" t="s">
        <v>377</v>
      </c>
    </row>
    <row r="18070" spans="1:44">
      <c r="A18070" s="4" t="s">
        <v>10753</v>
      </c>
      <c r="B18070" s="4">
        <v>78848</v>
      </c>
      <c r="D18070" s="5" t="s">
        <v>22160</v>
      </c>
      <c r="E18070" s="6" t="str">
        <f>HYPERLINK("https://inpn.mnhn.fr/espece/cd_nom/78848","Ptilocolepus granulatus (Pictet, 1834)")</f>
        <v>Ptilocolepus granulatus (Pictet, 1834)</v>
      </c>
      <c r="AH18070" s="4" t="str">
        <f>HYPERLINK("#Statut_biogéographique!A"&amp;_xlfn.XMATCH("P",Statut_biogéographique!A:A,2,1),"P")</f>
        <v>P</v>
      </c>
      <c r="AP18070" s="4" t="s">
        <v>376</v>
      </c>
      <c r="AR18070" s="4" t="s">
        <v>377</v>
      </c>
    </row>
    <row r="18071" spans="1:44">
      <c r="A18071" s="4" t="s">
        <v>10753</v>
      </c>
      <c r="B18071" s="4">
        <v>78861</v>
      </c>
      <c r="D18071" s="5" t="s">
        <v>22161</v>
      </c>
      <c r="E18071" s="6" t="str">
        <f>HYPERLINK("https://inpn.mnhn.fr/espece/cd_nom/78861","Agraylea multipunctata Curtis, 1834")</f>
        <v>Agraylea multipunctata Curtis, 1834</v>
      </c>
      <c r="AH18071" s="4" t="str">
        <f>HYPERLINK("#Statut_biogéographique!A"&amp;_xlfn.XMATCH("P",Statut_biogéographique!A:A,2,1),"P")</f>
        <v>P</v>
      </c>
      <c r="AP18071" s="4" t="s">
        <v>376</v>
      </c>
      <c r="AR18071" s="4" t="s">
        <v>377</v>
      </c>
    </row>
    <row r="18072" spans="1:44">
      <c r="A18072" s="4" t="s">
        <v>10753</v>
      </c>
      <c r="B18072" s="4">
        <v>78862</v>
      </c>
      <c r="D18072" s="5" t="s">
        <v>22162</v>
      </c>
      <c r="E18072" s="6" t="str">
        <f>HYPERLINK("https://inpn.mnhn.fr/espece/cd_nom/78862","Agraylea sexmaculata Curtis, 1834")</f>
        <v>Agraylea sexmaculata Curtis, 1834</v>
      </c>
      <c r="AH18072" s="4" t="str">
        <f>HYPERLINK("#Statut_biogéographique!A"&amp;_xlfn.XMATCH("P",Statut_biogéographique!A:A,2,1),"P")</f>
        <v>P</v>
      </c>
      <c r="AP18072" s="4" t="s">
        <v>376</v>
      </c>
      <c r="AR18072" s="4" t="s">
        <v>377</v>
      </c>
    </row>
    <row r="18073" spans="1:44">
      <c r="A18073" s="4" t="s">
        <v>10753</v>
      </c>
      <c r="B18073" s="4">
        <v>78875</v>
      </c>
      <c r="D18073" s="5" t="s">
        <v>22163</v>
      </c>
      <c r="E18073" s="6" t="str">
        <f>HYPERLINK("https://inpn.mnhn.fr/espece/cd_nom/78875","Metalype fragilis (Pictet, 1834)")</f>
        <v>Metalype fragilis (Pictet, 1834)</v>
      </c>
      <c r="AH18073" s="4" t="str">
        <f>HYPERLINK("#Statut_biogéographique!A"&amp;_xlfn.XMATCH("P",Statut_biogéographique!A:A,2,1),"P")</f>
        <v>P</v>
      </c>
      <c r="AP18073" s="4" t="s">
        <v>376</v>
      </c>
      <c r="AR18073" s="4" t="s">
        <v>377</v>
      </c>
    </row>
    <row r="18074" spans="1:44" ht="30">
      <c r="A18074" s="4" t="s">
        <v>10753</v>
      </c>
      <c r="B18074" s="4">
        <v>78893</v>
      </c>
      <c r="D18074" s="5" t="s">
        <v>22164</v>
      </c>
      <c r="E18074" s="6" t="str">
        <f>HYPERLINK("https://inpn.mnhn.fr/espece/cd_nom/78893","Rhyacophila dorsalis (Curtis, 1834)")</f>
        <v>Rhyacophila dorsalis (Curtis, 1834)</v>
      </c>
      <c r="AH18074" s="4" t="str">
        <f>HYPERLINK("#Statut_biogéographique!A"&amp;_xlfn.XMATCH("P",Statut_biogéographique!A:A,2,1),"P")</f>
        <v>P</v>
      </c>
      <c r="AP18074" s="4" t="s">
        <v>376</v>
      </c>
      <c r="AR18074" s="4" t="s">
        <v>377</v>
      </c>
    </row>
    <row r="18075" spans="1:44">
      <c r="A18075" s="4" t="s">
        <v>10753</v>
      </c>
      <c r="B18075" s="4">
        <v>78905</v>
      </c>
      <c r="D18075" s="5">
        <v>78905</v>
      </c>
      <c r="E18075" s="6" t="str">
        <f>HYPERLINK("https://inpn.mnhn.fr/espece/cd_nom/78905","Rhyacophila praemorsa McLachlan, 1879")</f>
        <v>Rhyacophila praemorsa McLachlan, 1879</v>
      </c>
      <c r="AH18075" s="4" t="str">
        <f>HYPERLINK("#Statut_biogéographique!A"&amp;_xlfn.XMATCH("P",Statut_biogéographique!A:A,2,1),"P")</f>
        <v>P</v>
      </c>
      <c r="AP18075" s="4" t="s">
        <v>376</v>
      </c>
      <c r="AR18075" s="4" t="s">
        <v>377</v>
      </c>
    </row>
    <row r="18076" spans="1:44" ht="30">
      <c r="A18076" s="4" t="s">
        <v>10753</v>
      </c>
      <c r="B18076" s="4">
        <v>78910</v>
      </c>
      <c r="D18076" s="5" t="s">
        <v>22165</v>
      </c>
      <c r="E18076" s="6" t="str">
        <f>HYPERLINK("https://inpn.mnhn.fr/espece/cd_nom/78910","Rhyacophila tristis Pictet, 1834")</f>
        <v>Rhyacophila tristis Pictet, 1834</v>
      </c>
      <c r="AH18076" s="4" t="str">
        <f>HYPERLINK("#Statut_biogéographique!A"&amp;_xlfn.XMATCH("P",Statut_biogéographique!A:A,2,1),"P")</f>
        <v>P</v>
      </c>
      <c r="AP18076" s="4" t="s">
        <v>376</v>
      </c>
      <c r="AR18076" s="4" t="s">
        <v>377</v>
      </c>
    </row>
    <row r="18077" spans="1:44">
      <c r="A18077" s="4" t="s">
        <v>10753</v>
      </c>
      <c r="B18077" s="4">
        <v>78911</v>
      </c>
      <c r="D18077" s="5" t="s">
        <v>22166</v>
      </c>
      <c r="E18077" s="6" t="str">
        <f>HYPERLINK("https://inpn.mnhn.fr/espece/cd_nom/78911","Rhyacophila vulgaris Pictet, 1834")</f>
        <v>Rhyacophila vulgaris Pictet, 1834</v>
      </c>
      <c r="AH18077" s="4" t="str">
        <f>HYPERLINK("#Statut_biogéographique!A"&amp;_xlfn.XMATCH("P",Statut_biogéographique!A:A,2,1),"P")</f>
        <v>P</v>
      </c>
      <c r="AP18077" s="4" t="s">
        <v>376</v>
      </c>
      <c r="AR18077" s="4" t="s">
        <v>377</v>
      </c>
    </row>
    <row r="18078" spans="1:44">
      <c r="A18078" s="4" t="s">
        <v>10753</v>
      </c>
      <c r="B18078" s="4">
        <v>78915</v>
      </c>
      <c r="D18078" s="5" t="s">
        <v>22167</v>
      </c>
      <c r="E18078" s="6" t="str">
        <f>HYPERLINK("https://inpn.mnhn.fr/espece/cd_nom/78915","Agapetus fuscipes Curtis, 1834")</f>
        <v>Agapetus fuscipes Curtis, 1834</v>
      </c>
      <c r="AH18078" s="4" t="str">
        <f>HYPERLINK("#Statut_biogéographique!A"&amp;_xlfn.XMATCH("P",Statut_biogéographique!A:A,2,1),"P")</f>
        <v>P</v>
      </c>
      <c r="AP18078" s="4" t="s">
        <v>376</v>
      </c>
      <c r="AR18078" s="4" t="s">
        <v>377</v>
      </c>
    </row>
    <row r="18079" spans="1:44">
      <c r="A18079" s="4" t="s">
        <v>10753</v>
      </c>
      <c r="B18079" s="4">
        <v>78918</v>
      </c>
      <c r="D18079" s="5">
        <v>78918</v>
      </c>
      <c r="E18079" s="6" t="str">
        <f>HYPERLINK("https://inpn.mnhn.fr/espece/cd_nom/78918","Agapetus delicatulus McLachlan, 1884")</f>
        <v>Agapetus delicatulus McLachlan, 1884</v>
      </c>
      <c r="AH18079" s="4" t="str">
        <f>HYPERLINK("#Statut_biogéographique!A"&amp;_xlfn.XMATCH("P",Statut_biogéographique!A:A,2,1),"P")</f>
        <v>P</v>
      </c>
      <c r="AP18079" s="4" t="s">
        <v>376</v>
      </c>
      <c r="AR18079" s="4" t="s">
        <v>377</v>
      </c>
    </row>
    <row r="18080" spans="1:44">
      <c r="A18080" s="4" t="s">
        <v>10753</v>
      </c>
      <c r="B18080" s="4">
        <v>78934</v>
      </c>
      <c r="D18080" s="5" t="s">
        <v>22168</v>
      </c>
      <c r="E18080" s="6" t="str">
        <f>HYPERLINK("https://inpn.mnhn.fr/espece/cd_nom/78934","Hydroptila sparsa Curtis, 1834")</f>
        <v>Hydroptila sparsa Curtis, 1834</v>
      </c>
      <c r="AH18080" s="4" t="str">
        <f>HYPERLINK("#Statut_biogéographique!A"&amp;_xlfn.XMATCH("P",Statut_biogéographique!A:A,2,1),"P")</f>
        <v>P</v>
      </c>
      <c r="AP18080" s="4" t="s">
        <v>376</v>
      </c>
      <c r="AR18080" s="4" t="s">
        <v>377</v>
      </c>
    </row>
    <row r="18081" spans="1:44">
      <c r="A18081" s="4" t="s">
        <v>10753</v>
      </c>
      <c r="B18081" s="4">
        <v>78937</v>
      </c>
      <c r="D18081" s="5">
        <v>78937</v>
      </c>
      <c r="E18081" s="6" t="str">
        <f>HYPERLINK("https://inpn.mnhn.fr/espece/cd_nom/78937","Hydroptila vectis Curtis, 1834")</f>
        <v>Hydroptila vectis Curtis, 1834</v>
      </c>
      <c r="AH18081" s="4" t="str">
        <f>HYPERLINK("#Statut_biogéographique!A"&amp;_xlfn.XMATCH("P",Statut_biogéographique!A:A,2,1),"P")</f>
        <v>P</v>
      </c>
      <c r="AP18081" s="4" t="s">
        <v>376</v>
      </c>
      <c r="AR18081" s="4" t="s">
        <v>377</v>
      </c>
    </row>
    <row r="18082" spans="1:44" ht="30">
      <c r="A18082" s="4" t="s">
        <v>10753</v>
      </c>
      <c r="B18082" s="4">
        <v>789478</v>
      </c>
      <c r="D18082" s="5" t="s">
        <v>22169</v>
      </c>
      <c r="E18082" s="6" t="str">
        <f>HYPERLINK("https://inpn.mnhn.fr/espece/cd_nom/789478","Acrobasis tumidana (Denis &amp; Schiffermüller, 1775)")</f>
        <v>Acrobasis tumidana (Denis &amp; Schiffermüller, 1775)</v>
      </c>
      <c r="F18082" s="5" t="s">
        <v>22170</v>
      </c>
      <c r="AH18082" s="4" t="str">
        <f>HYPERLINK("#Statut_biogéographique!A"&amp;_xlfn.XMATCH("P",Statut_biogéographique!A:A,2,1),"P")</f>
        <v>P</v>
      </c>
      <c r="AP18082" s="4" t="s">
        <v>376</v>
      </c>
      <c r="AR18082" s="4" t="s">
        <v>377</v>
      </c>
    </row>
    <row r="18083" spans="1:44">
      <c r="A18083" s="4" t="s">
        <v>10753</v>
      </c>
      <c r="B18083" s="4">
        <v>789479</v>
      </c>
      <c r="D18083" s="5" t="s">
        <v>22171</v>
      </c>
      <c r="E18083" s="6" t="str">
        <f>HYPERLINK("https://inpn.mnhn.fr/espece/cd_nom/789479","Acrobasis repandana (Fabricius, 1798)")</f>
        <v>Acrobasis repandana (Fabricius, 1798)</v>
      </c>
      <c r="F18083" s="5" t="s">
        <v>22172</v>
      </c>
      <c r="AH18083" s="4" t="str">
        <f>HYPERLINK("#Statut_biogéographique!A"&amp;_xlfn.XMATCH("P",Statut_biogéographique!A:A,2,1),"P")</f>
        <v>P</v>
      </c>
      <c r="AP18083" s="4" t="s">
        <v>376</v>
      </c>
      <c r="AR18083" s="4" t="s">
        <v>377</v>
      </c>
    </row>
    <row r="18084" spans="1:44">
      <c r="A18084" s="4" t="s">
        <v>10753</v>
      </c>
      <c r="B18084" s="4">
        <v>78949</v>
      </c>
      <c r="D18084" s="5" t="s">
        <v>22173</v>
      </c>
      <c r="E18084" s="6" t="str">
        <f>HYPERLINK("https://inpn.mnhn.fr/espece/cd_nom/78949","Philopotamus montanus (Donovan, 1813)")</f>
        <v>Philopotamus montanus (Donovan, 1813)</v>
      </c>
      <c r="AH18084" s="4" t="str">
        <f>HYPERLINK("#Statut_biogéographique!A"&amp;_xlfn.XMATCH("P",Statut_biogéographique!A:A,2,1),"P")</f>
        <v>P</v>
      </c>
      <c r="AP18084" s="4" t="s">
        <v>376</v>
      </c>
      <c r="AR18084" s="4" t="s">
        <v>377</v>
      </c>
    </row>
    <row r="18085" spans="1:44" ht="30">
      <c r="A18085" s="4" t="s">
        <v>10753</v>
      </c>
      <c r="B18085" s="4">
        <v>78953</v>
      </c>
      <c r="D18085" s="5" t="s">
        <v>22174</v>
      </c>
      <c r="E18085" s="6" t="str">
        <f>HYPERLINK("https://inpn.mnhn.fr/espece/cd_nom/78953","Wormaldia occipitalis (Pictet, 1834)")</f>
        <v>Wormaldia occipitalis (Pictet, 1834)</v>
      </c>
      <c r="AH18085" s="4" t="str">
        <f>HYPERLINK("#Statut_biogéographique!A"&amp;_xlfn.XMATCH("P",Statut_biogéographique!A:A,2,1),"P")</f>
        <v>P</v>
      </c>
      <c r="AP18085" s="4" t="s">
        <v>376</v>
      </c>
      <c r="AR18085" s="4" t="s">
        <v>377</v>
      </c>
    </row>
    <row r="18086" spans="1:44">
      <c r="A18086" s="4" t="s">
        <v>10753</v>
      </c>
      <c r="B18086" s="4">
        <v>78961</v>
      </c>
      <c r="D18086" s="5" t="s">
        <v>22175</v>
      </c>
      <c r="E18086" s="6" t="str">
        <f>HYPERLINK("https://inpn.mnhn.fr/espece/cd_nom/78961","Cyrnus flavidus McLachlan, 1864")</f>
        <v>Cyrnus flavidus McLachlan, 1864</v>
      </c>
      <c r="AH18086" s="4" t="str">
        <f>HYPERLINK("#Statut_biogéographique!A"&amp;_xlfn.XMATCH("P",Statut_biogéographique!A:A,2,1),"P")</f>
        <v>P</v>
      </c>
      <c r="AP18086" s="4" t="s">
        <v>376</v>
      </c>
      <c r="AR18086" s="4" t="s">
        <v>377</v>
      </c>
    </row>
    <row r="18087" spans="1:44">
      <c r="A18087" s="4" t="s">
        <v>10753</v>
      </c>
      <c r="B18087" s="4">
        <v>78963</v>
      </c>
      <c r="D18087" s="5" t="s">
        <v>22176</v>
      </c>
      <c r="E18087" s="6" t="str">
        <f>HYPERLINK("https://inpn.mnhn.fr/espece/cd_nom/78963","Cyrnus trimaculatus (Curtis, 1834)")</f>
        <v>Cyrnus trimaculatus (Curtis, 1834)</v>
      </c>
      <c r="AH18087" s="4" t="str">
        <f>HYPERLINK("#Statut_biogéographique!A"&amp;_xlfn.XMATCH("P",Statut_biogéographique!A:A,2,1),"P")</f>
        <v>P</v>
      </c>
      <c r="AP18087" s="4" t="s">
        <v>376</v>
      </c>
      <c r="AR18087" s="4" t="s">
        <v>377</v>
      </c>
    </row>
    <row r="18088" spans="1:44">
      <c r="A18088" s="4" t="s">
        <v>10753</v>
      </c>
      <c r="B18088" s="4">
        <v>78966</v>
      </c>
      <c r="D18088" s="5" t="s">
        <v>22177</v>
      </c>
      <c r="E18088" s="6" t="str">
        <f>HYPERLINK("https://inpn.mnhn.fr/espece/cd_nom/78966","Holocentropus dubius (Rambur, 1842)")</f>
        <v>Holocentropus dubius (Rambur, 1842)</v>
      </c>
      <c r="AH18088" s="4" t="str">
        <f>HYPERLINK("#Statut_biogéographique!A"&amp;_xlfn.XMATCH("P",Statut_biogéographique!A:A,2,1),"P")</f>
        <v>P</v>
      </c>
      <c r="AP18088" s="4" t="s">
        <v>376</v>
      </c>
      <c r="AR18088" s="4" t="s">
        <v>377</v>
      </c>
    </row>
    <row r="18089" spans="1:44">
      <c r="A18089" s="4" t="s">
        <v>10753</v>
      </c>
      <c r="B18089" s="4">
        <v>78967</v>
      </c>
      <c r="D18089" s="5" t="s">
        <v>22178</v>
      </c>
      <c r="E18089" s="6" t="str">
        <f>HYPERLINK("https://inpn.mnhn.fr/espece/cd_nom/78967","Holocentropus picicornis (Stephens, 1836)")</f>
        <v>Holocentropus picicornis (Stephens, 1836)</v>
      </c>
      <c r="AH18089" s="4" t="str">
        <f>HYPERLINK("#Statut_biogéographique!A"&amp;_xlfn.XMATCH("P",Statut_biogéographique!A:A,2,1),"P")</f>
        <v>P</v>
      </c>
      <c r="AP18089" s="4" t="s">
        <v>376</v>
      </c>
      <c r="AR18089" s="4" t="s">
        <v>377</v>
      </c>
    </row>
    <row r="18090" spans="1:44">
      <c r="A18090" s="4" t="s">
        <v>10753</v>
      </c>
      <c r="B18090" s="4">
        <v>78968</v>
      </c>
      <c r="D18090" s="5" t="s">
        <v>22179</v>
      </c>
      <c r="E18090" s="6" t="str">
        <f>HYPERLINK("https://inpn.mnhn.fr/espece/cd_nom/78968","Holocentropus stagnalis (Albarda, 1874)")</f>
        <v>Holocentropus stagnalis (Albarda, 1874)</v>
      </c>
      <c r="AH18090" s="4" t="str">
        <f>HYPERLINK("#Statut_biogéographique!A"&amp;_xlfn.XMATCH("P",Statut_biogéographique!A:A,2,1),"P")</f>
        <v>P</v>
      </c>
      <c r="AP18090" s="4" t="s">
        <v>376</v>
      </c>
      <c r="AR18090" s="4" t="s">
        <v>377</v>
      </c>
    </row>
    <row r="18091" spans="1:44">
      <c r="A18091" s="4" t="s">
        <v>10753</v>
      </c>
      <c r="B18091" s="4">
        <v>78973</v>
      </c>
      <c r="D18091" s="5" t="s">
        <v>22180</v>
      </c>
      <c r="E18091" s="6" t="str">
        <f>HYPERLINK("https://inpn.mnhn.fr/espece/cd_nom/78973","Plectrocnemia conspersa (Curtis, 1834)")</f>
        <v>Plectrocnemia conspersa (Curtis, 1834)</v>
      </c>
      <c r="AH18091" s="4" t="str">
        <f>HYPERLINK("#Statut_biogéographique!A"&amp;_xlfn.XMATCH("P",Statut_biogéographique!A:A,2,1),"P")</f>
        <v>P</v>
      </c>
      <c r="AP18091" s="4" t="s">
        <v>376</v>
      </c>
      <c r="AR18091" s="4" t="s">
        <v>377</v>
      </c>
    </row>
    <row r="18092" spans="1:44">
      <c r="A18092" s="4" t="s">
        <v>10753</v>
      </c>
      <c r="B18092" s="4">
        <v>78975</v>
      </c>
      <c r="D18092" s="5">
        <v>78975</v>
      </c>
      <c r="E18092" s="6" t="str">
        <f>HYPERLINK("https://inpn.mnhn.fr/espece/cd_nom/78975","Plectrocnemia geniculata McLachlan, 1871")</f>
        <v>Plectrocnemia geniculata McLachlan, 1871</v>
      </c>
      <c r="AH18092" s="4" t="str">
        <f>HYPERLINK("#Statut_biogéographique!A"&amp;_xlfn.XMATCH("P",Statut_biogéographique!A:A,2,1),"P")</f>
        <v>P</v>
      </c>
      <c r="AP18092" s="4" t="s">
        <v>376</v>
      </c>
      <c r="AR18092" s="4" t="s">
        <v>377</v>
      </c>
    </row>
    <row r="18093" spans="1:44" ht="45">
      <c r="A18093" s="4" t="s">
        <v>10753</v>
      </c>
      <c r="B18093" s="4">
        <v>78978</v>
      </c>
      <c r="D18093" s="5" t="s">
        <v>22181</v>
      </c>
      <c r="E18093" s="6" t="str">
        <f>HYPERLINK("https://inpn.mnhn.fr/espece/cd_nom/78978","Polycentropus flavomaculatus (Pictet, 1834)")</f>
        <v>Polycentropus flavomaculatus (Pictet, 1834)</v>
      </c>
      <c r="AH18093" s="4" t="str">
        <f>HYPERLINK("#Statut_biogéographique!A"&amp;_xlfn.XMATCH("P",Statut_biogéographique!A:A,2,1),"P")</f>
        <v>P</v>
      </c>
      <c r="AP18093" s="4" t="s">
        <v>376</v>
      </c>
      <c r="AR18093" s="4" t="s">
        <v>377</v>
      </c>
    </row>
    <row r="18094" spans="1:44" ht="45">
      <c r="A18094" s="4" t="s">
        <v>10753</v>
      </c>
      <c r="B18094" s="4">
        <v>78984</v>
      </c>
      <c r="D18094" s="5" t="s">
        <v>22182</v>
      </c>
      <c r="E18094" s="6" t="str">
        <f>HYPERLINK("https://inpn.mnhn.fr/espece/cd_nom/78984","Psychomyia pusilla (Fabricius, 1781)")</f>
        <v>Psychomyia pusilla (Fabricius, 1781)</v>
      </c>
      <c r="AH18094" s="4" t="str">
        <f>HYPERLINK("#Statut_biogéographique!A"&amp;_xlfn.XMATCH("P",Statut_biogéographique!A:A,2,1),"P")</f>
        <v>P</v>
      </c>
      <c r="AP18094" s="4" t="s">
        <v>376</v>
      </c>
      <c r="AR18094" s="4" t="s">
        <v>377</v>
      </c>
    </row>
    <row r="18095" spans="1:44">
      <c r="A18095" s="4" t="s">
        <v>10753</v>
      </c>
      <c r="B18095" s="4">
        <v>78987</v>
      </c>
      <c r="D18095" s="5" t="s">
        <v>22183</v>
      </c>
      <c r="E18095" s="6" t="str">
        <f>HYPERLINK("https://inpn.mnhn.fr/espece/cd_nom/78987","Ecnomus tenellus (Rambur, 1842)")</f>
        <v>Ecnomus tenellus (Rambur, 1842)</v>
      </c>
      <c r="AH18095" s="4" t="str">
        <f>HYPERLINK("#Statut_biogéographique!A"&amp;_xlfn.XMATCH("P",Statut_biogéographique!A:A,2,1),"P")</f>
        <v>P</v>
      </c>
      <c r="AP18095" s="4" t="s">
        <v>376</v>
      </c>
      <c r="AR18095" s="4" t="s">
        <v>377</v>
      </c>
    </row>
    <row r="18096" spans="1:44" ht="30">
      <c r="A18096" s="4" t="s">
        <v>10753</v>
      </c>
      <c r="B18096" s="4">
        <v>78991</v>
      </c>
      <c r="D18096" s="5" t="s">
        <v>22184</v>
      </c>
      <c r="E18096" s="6" t="str">
        <f>HYPERLINK("https://inpn.mnhn.fr/espece/cd_nom/78991","Tinodes dives (Pictet, 1834)")</f>
        <v>Tinodes dives (Pictet, 1834)</v>
      </c>
      <c r="AH18096" s="4" t="str">
        <f>HYPERLINK("#Statut_biogéographique!A"&amp;_xlfn.XMATCH("P",Statut_biogéographique!A:A,2,1),"P")</f>
        <v>P</v>
      </c>
      <c r="AP18096" s="4" t="s">
        <v>376</v>
      </c>
      <c r="AR18096" s="4" t="s">
        <v>377</v>
      </c>
    </row>
    <row r="18097" spans="1:44" ht="45">
      <c r="A18097" s="4" t="s">
        <v>10753</v>
      </c>
      <c r="B18097" s="4">
        <v>78998</v>
      </c>
      <c r="D18097" s="5" t="s">
        <v>22185</v>
      </c>
      <c r="E18097" s="6" t="str">
        <f>HYPERLINK("https://inpn.mnhn.fr/espece/cd_nom/78998","Tinodes waeneri (Linnaeus, 1758)")</f>
        <v>Tinodes waeneri (Linnaeus, 1758)</v>
      </c>
      <c r="AH18097" s="4" t="str">
        <f>HYPERLINK("#Statut_biogéographique!A"&amp;_xlfn.XMATCH("P",Statut_biogéographique!A:A,2,1),"P")</f>
        <v>P</v>
      </c>
      <c r="AP18097" s="4" t="s">
        <v>376</v>
      </c>
      <c r="AR18097" s="4" t="s">
        <v>377</v>
      </c>
    </row>
    <row r="18098" spans="1:44" ht="30">
      <c r="A18098" s="4" t="s">
        <v>10753</v>
      </c>
      <c r="B18098" s="4">
        <v>790</v>
      </c>
      <c r="D18098" s="5" t="s">
        <v>22186</v>
      </c>
      <c r="E18098" s="6" t="str">
        <f>HYPERLINK("https://inpn.mnhn.fr/espece/cd_nom/790","Erpobdella octoculata (Linnaeus, 1758)")</f>
        <v>Erpobdella octoculata (Linnaeus, 1758)</v>
      </c>
      <c r="AH18098" s="4" t="str">
        <f>HYPERLINK("#Statut_biogéographique!A"&amp;_xlfn.XMATCH("P",Statut_biogéographique!A:A,2,1),"P")</f>
        <v>P</v>
      </c>
      <c r="AP18098" s="4" t="s">
        <v>376</v>
      </c>
      <c r="AR18098" s="4" t="s">
        <v>377</v>
      </c>
    </row>
    <row r="18099" spans="1:44" ht="30">
      <c r="A18099" s="4" t="s">
        <v>10753</v>
      </c>
      <c r="B18099" s="4">
        <v>79010</v>
      </c>
      <c r="D18099" s="5" t="s">
        <v>22187</v>
      </c>
      <c r="E18099" s="6" t="str">
        <f>HYPERLINK("https://inpn.mnhn.fr/espece/cd_nom/79010","Hydropsyche instabilis (Curtis, 1834)")</f>
        <v>Hydropsyche instabilis (Curtis, 1834)</v>
      </c>
      <c r="AH18099" s="4" t="str">
        <f>HYPERLINK("#Statut_biogéographique!A"&amp;_xlfn.XMATCH("P",Statut_biogéographique!A:A,2,1),"P")</f>
        <v>P</v>
      </c>
      <c r="AP18099" s="4" t="s">
        <v>376</v>
      </c>
      <c r="AR18099" s="4" t="s">
        <v>377</v>
      </c>
    </row>
    <row r="18100" spans="1:44" ht="45">
      <c r="A18100" s="4" t="s">
        <v>10753</v>
      </c>
      <c r="B18100" s="4">
        <v>79012</v>
      </c>
      <c r="D18100" s="5" t="s">
        <v>22188</v>
      </c>
      <c r="E18100" s="6" t="str">
        <f>HYPERLINK("https://inpn.mnhn.fr/espece/cd_nom/79012","Hydropsyche pellucidula (Curtis, 1834)")</f>
        <v>Hydropsyche pellucidula (Curtis, 1834)</v>
      </c>
      <c r="AH18100" s="4" t="str">
        <f>HYPERLINK("#Statut_biogéographique!A"&amp;_xlfn.XMATCH("P",Statut_biogéographique!A:A,2,1),"P")</f>
        <v>P</v>
      </c>
      <c r="AP18100" s="4" t="s">
        <v>376</v>
      </c>
      <c r="AR18100" s="4" t="s">
        <v>377</v>
      </c>
    </row>
    <row r="18101" spans="1:44">
      <c r="A18101" s="4" t="s">
        <v>10753</v>
      </c>
      <c r="B18101" s="4">
        <v>79013</v>
      </c>
      <c r="D18101" s="5" t="s">
        <v>22189</v>
      </c>
      <c r="E18101" s="6" t="str">
        <f>HYPERLINK("https://inpn.mnhn.fr/espece/cd_nom/79013","Hydropsyche saxonica McLachlan, 1884")</f>
        <v>Hydropsyche saxonica McLachlan, 1884</v>
      </c>
      <c r="AH18101" s="4" t="str">
        <f>HYPERLINK("#Statut_biogéographique!A"&amp;_xlfn.XMATCH("P",Statut_biogéographique!A:A,2,1),"P")</f>
        <v>P</v>
      </c>
      <c r="AP18101" s="4" t="s">
        <v>376</v>
      </c>
      <c r="AR18101" s="4" t="s">
        <v>377</v>
      </c>
    </row>
    <row r="18102" spans="1:44">
      <c r="A18102" s="4" t="s">
        <v>10753</v>
      </c>
      <c r="B18102" s="4">
        <v>79015</v>
      </c>
      <c r="D18102" s="5">
        <v>79015</v>
      </c>
      <c r="E18102" s="6" t="str">
        <f>HYPERLINK("https://inpn.mnhn.fr/espece/cd_nom/79015","Hydropsyche siltalai Doehler, 1963")</f>
        <v>Hydropsyche siltalai Doehler, 1963</v>
      </c>
      <c r="AH18102" s="4" t="str">
        <f>HYPERLINK("#Statut_biogéographique!A"&amp;_xlfn.XMATCH("P",Statut_biogéographique!A:A,2,1),"P")</f>
        <v>P</v>
      </c>
      <c r="AP18102" s="4" t="s">
        <v>376</v>
      </c>
      <c r="AR18102" s="4" t="s">
        <v>377</v>
      </c>
    </row>
    <row r="18103" spans="1:44">
      <c r="A18103" s="4" t="s">
        <v>10753</v>
      </c>
      <c r="B18103" s="4">
        <v>79024</v>
      </c>
      <c r="D18103" s="5" t="s">
        <v>22190</v>
      </c>
      <c r="E18103" s="6" t="str">
        <f>HYPERLINK("https://inpn.mnhn.fr/espece/cd_nom/79024","Agrypnia pagetana Curtis, 1835")</f>
        <v>Agrypnia pagetana Curtis, 1835</v>
      </c>
      <c r="AH18103" s="4" t="str">
        <f>HYPERLINK("#Statut_biogéographique!A"&amp;_xlfn.XMATCH("P",Statut_biogéographique!A:A,2,1),"P")</f>
        <v>P</v>
      </c>
      <c r="AP18103" s="4" t="s">
        <v>376</v>
      </c>
      <c r="AR18103" s="4" t="s">
        <v>377</v>
      </c>
    </row>
    <row r="18104" spans="1:44">
      <c r="A18104" s="4" t="s">
        <v>10753</v>
      </c>
      <c r="B18104" s="4">
        <v>79031</v>
      </c>
      <c r="D18104" s="5" t="s">
        <v>22191</v>
      </c>
      <c r="E18104" s="6" t="str">
        <f>HYPERLINK("https://inpn.mnhn.fr/espece/cd_nom/79031","Phryganea grandis Linnaeus, 1758")</f>
        <v>Phryganea grandis Linnaeus, 1758</v>
      </c>
      <c r="F18104" s="5" t="s">
        <v>22192</v>
      </c>
      <c r="AH18104" s="4" t="str">
        <f>HYPERLINK("#Statut_biogéographique!A"&amp;_xlfn.XMATCH("P",Statut_biogéographique!A:A,2,1),"P")</f>
        <v>P</v>
      </c>
      <c r="AP18104" s="4" t="s">
        <v>376</v>
      </c>
      <c r="AR18104" s="4" t="s">
        <v>377</v>
      </c>
    </row>
    <row r="18105" spans="1:44">
      <c r="A18105" s="4" t="s">
        <v>10753</v>
      </c>
      <c r="B18105" s="4">
        <v>79038</v>
      </c>
      <c r="D18105" s="5" t="s">
        <v>22193</v>
      </c>
      <c r="E18105" s="6" t="str">
        <f>HYPERLINK("https://inpn.mnhn.fr/espece/cd_nom/79038","Molanna angustata Curtis, 1834")</f>
        <v>Molanna angustata Curtis, 1834</v>
      </c>
      <c r="AH18105" s="4" t="str">
        <f>HYPERLINK("#Statut_biogéographique!A"&amp;_xlfn.XMATCH("P",Statut_biogéographique!A:A,2,1),"P")</f>
        <v>P</v>
      </c>
      <c r="AP18105" s="4" t="s">
        <v>376</v>
      </c>
      <c r="AR18105" s="4" t="s">
        <v>377</v>
      </c>
    </row>
    <row r="18106" spans="1:44" ht="30">
      <c r="A18106" s="4" t="s">
        <v>10753</v>
      </c>
      <c r="B18106" s="4">
        <v>79041</v>
      </c>
      <c r="D18106" s="5" t="s">
        <v>22194</v>
      </c>
      <c r="E18106" s="6" t="str">
        <f>HYPERLINK("https://inpn.mnhn.fr/espece/cd_nom/79041","Odontocerum albicorne (Scopoli, 1763)")</f>
        <v>Odontocerum albicorne (Scopoli, 1763)</v>
      </c>
      <c r="AH18106" s="4" t="str">
        <f>HYPERLINK("#Statut_biogéographique!A"&amp;_xlfn.XMATCH("P",Statut_biogéographique!A:A,2,1),"P")</f>
        <v>P</v>
      </c>
      <c r="AP18106" s="4" t="s">
        <v>376</v>
      </c>
      <c r="AR18106" s="4" t="s">
        <v>377</v>
      </c>
    </row>
    <row r="18107" spans="1:44" ht="30">
      <c r="A18107" s="4" t="s">
        <v>10753</v>
      </c>
      <c r="B18107" s="4">
        <v>79045</v>
      </c>
      <c r="D18107" s="5" t="s">
        <v>22195</v>
      </c>
      <c r="E18107" s="6" t="str">
        <f>HYPERLINK("https://inpn.mnhn.fr/espece/cd_nom/79045","Mystacides longicornis (Linnaeus, 1758)")</f>
        <v>Mystacides longicornis (Linnaeus, 1758)</v>
      </c>
      <c r="AH18107" s="4" t="str">
        <f>HYPERLINK("#Statut_biogéographique!A"&amp;_xlfn.XMATCH("P",Statut_biogéographique!A:A,2,1),"P")</f>
        <v>P</v>
      </c>
      <c r="AP18107" s="4" t="s">
        <v>376</v>
      </c>
      <c r="AR18107" s="4" t="s">
        <v>377</v>
      </c>
    </row>
    <row r="18108" spans="1:44">
      <c r="A18108" s="4" t="s">
        <v>10753</v>
      </c>
      <c r="B18108" s="4">
        <v>79049</v>
      </c>
      <c r="D18108" s="5" t="s">
        <v>22196</v>
      </c>
      <c r="E18108" s="6" t="str">
        <f>HYPERLINK("https://inpn.mnhn.fr/espece/cd_nom/79049","Oecetis lacustris (Pictet, 1834)")</f>
        <v>Oecetis lacustris (Pictet, 1834)</v>
      </c>
      <c r="AH18108" s="4" t="str">
        <f>HYPERLINK("#Statut_biogéographique!A"&amp;_xlfn.XMATCH("P",Statut_biogéographique!A:A,2,1),"P")</f>
        <v>P</v>
      </c>
      <c r="AP18108" s="4" t="s">
        <v>376</v>
      </c>
      <c r="AR18108" s="4" t="s">
        <v>377</v>
      </c>
    </row>
    <row r="18109" spans="1:44">
      <c r="A18109" s="4" t="s">
        <v>10753</v>
      </c>
      <c r="B18109" s="4">
        <v>79053</v>
      </c>
      <c r="D18109" s="5" t="s">
        <v>22197</v>
      </c>
      <c r="E18109" s="6" t="str">
        <f>HYPERLINK("https://inpn.mnhn.fr/espece/cd_nom/79053","Oecetis testacea (Curtis, 1834)")</f>
        <v>Oecetis testacea (Curtis, 1834)</v>
      </c>
      <c r="AH18109" s="4" t="str">
        <f>HYPERLINK("#Statut_biogéographique!A"&amp;_xlfn.XMATCH("P",Statut_biogéographique!A:A,2,1),"P")</f>
        <v>P</v>
      </c>
      <c r="AP18109" s="4" t="s">
        <v>376</v>
      </c>
      <c r="AR18109" s="4" t="s">
        <v>377</v>
      </c>
    </row>
    <row r="18110" spans="1:44">
      <c r="A18110" s="4" t="s">
        <v>10753</v>
      </c>
      <c r="B18110" s="4">
        <v>79056</v>
      </c>
      <c r="D18110" s="5">
        <v>79056</v>
      </c>
      <c r="E18110" s="6" t="str">
        <f>HYPERLINK("https://inpn.mnhn.fr/espece/cd_nom/79056","Setodes argentipunctellus McLachlan, 1877")</f>
        <v>Setodes argentipunctellus McLachlan, 1877</v>
      </c>
      <c r="AH18110" s="4" t="str">
        <f>HYPERLINK("#Statut_biogéographique!A"&amp;_xlfn.XMATCH("P",Statut_biogéographique!A:A,2,1),"P")</f>
        <v>P</v>
      </c>
      <c r="AP18110" s="4" t="s">
        <v>376</v>
      </c>
      <c r="AR18110" s="4" t="s">
        <v>377</v>
      </c>
    </row>
    <row r="18111" spans="1:44">
      <c r="A18111" s="4" t="s">
        <v>10753</v>
      </c>
      <c r="B18111" s="4">
        <v>79061</v>
      </c>
      <c r="D18111" s="5" t="s">
        <v>22198</v>
      </c>
      <c r="E18111" s="6" t="str">
        <f>HYPERLINK("https://inpn.mnhn.fr/espece/cd_nom/79061","Allogamus auricollis (Pictet, 1834)")</f>
        <v>Allogamus auricollis (Pictet, 1834)</v>
      </c>
      <c r="AH18111" s="4" t="str">
        <f>HYPERLINK("#Statut_biogéographique!A"&amp;_xlfn.XMATCH("P",Statut_biogéographique!A:A,2,1),"P")</f>
        <v>P</v>
      </c>
      <c r="AP18111" s="4" t="s">
        <v>376</v>
      </c>
      <c r="AR18111" s="4" t="s">
        <v>377</v>
      </c>
    </row>
    <row r="18112" spans="1:44">
      <c r="A18112" s="4" t="s">
        <v>10753</v>
      </c>
      <c r="B18112" s="4">
        <v>79067</v>
      </c>
      <c r="D18112" s="5" t="s">
        <v>22199</v>
      </c>
      <c r="E18112" s="6" t="str">
        <f>HYPERLINK("https://inpn.mnhn.fr/espece/cd_nom/79067","Allotrichia pallicornis (Eaton, 1873)")</f>
        <v>Allotrichia pallicornis (Eaton, 1873)</v>
      </c>
      <c r="AH18112" s="4" t="str">
        <f>HYPERLINK("#Statut_biogéographique!A"&amp;_xlfn.XMATCH("P",Statut_biogéographique!A:A,2,1),"P")</f>
        <v>P</v>
      </c>
      <c r="AP18112" s="4" t="s">
        <v>376</v>
      </c>
      <c r="AR18112" s="4" t="s">
        <v>377</v>
      </c>
    </row>
    <row r="18113" spans="1:44">
      <c r="A18113" s="4" t="s">
        <v>10753</v>
      </c>
      <c r="B18113" s="4">
        <v>79069</v>
      </c>
      <c r="D18113" s="5" t="s">
        <v>22200</v>
      </c>
      <c r="E18113" s="6" t="str">
        <f>HYPERLINK("https://inpn.mnhn.fr/espece/cd_nom/79069","Anabolia brevipennis (Curtis, 1834)")</f>
        <v>Anabolia brevipennis (Curtis, 1834)</v>
      </c>
      <c r="AH18113" s="4" t="str">
        <f>HYPERLINK("#Statut_biogéographique!A"&amp;_xlfn.XMATCH("P",Statut_biogéographique!A:A,2,1),"P")</f>
        <v>P</v>
      </c>
      <c r="AP18113" s="4" t="s">
        <v>376</v>
      </c>
      <c r="AR18113" s="4" t="s">
        <v>377</v>
      </c>
    </row>
    <row r="18114" spans="1:44" ht="30">
      <c r="A18114" s="4" t="s">
        <v>10753</v>
      </c>
      <c r="B18114" s="4">
        <v>79072</v>
      </c>
      <c r="D18114" s="5" t="s">
        <v>22201</v>
      </c>
      <c r="E18114" s="6" t="str">
        <f>HYPERLINK("https://inpn.mnhn.fr/espece/cd_nom/79072","Anabolia nervosa (Curtis, 1834)")</f>
        <v>Anabolia nervosa (Curtis, 1834)</v>
      </c>
      <c r="AH18114" s="4" t="str">
        <f>HYPERLINK("#Statut_biogéographique!A"&amp;_xlfn.XMATCH("P",Statut_biogéographique!A:A,2,1),"P")</f>
        <v>P</v>
      </c>
      <c r="AP18114" s="4" t="s">
        <v>376</v>
      </c>
      <c r="AR18114" s="4" t="s">
        <v>377</v>
      </c>
    </row>
    <row r="18115" spans="1:44">
      <c r="A18115" s="4" t="s">
        <v>10753</v>
      </c>
      <c r="B18115" s="4">
        <v>79074</v>
      </c>
      <c r="D18115" s="5" t="s">
        <v>22202</v>
      </c>
      <c r="E18115" s="6" t="str">
        <f>HYPERLINK("https://inpn.mnhn.fr/espece/cd_nom/79074","Athripsodes albifrons (Linnaeus, 1758)")</f>
        <v>Athripsodes albifrons (Linnaeus, 1758)</v>
      </c>
      <c r="AH18115" s="4" t="str">
        <f>HYPERLINK("#Statut_biogéographique!A"&amp;_xlfn.XMATCH("P",Statut_biogéographique!A:A,2,1),"P")</f>
        <v>P</v>
      </c>
      <c r="AP18115" s="4" t="s">
        <v>376</v>
      </c>
      <c r="AR18115" s="4" t="s">
        <v>377</v>
      </c>
    </row>
    <row r="18116" spans="1:44">
      <c r="A18116" s="4" t="s">
        <v>10753</v>
      </c>
      <c r="B18116" s="4">
        <v>79077</v>
      </c>
      <c r="D18116" s="5" t="s">
        <v>22203</v>
      </c>
      <c r="E18116" s="6" t="str">
        <f>HYPERLINK("https://inpn.mnhn.fr/espece/cd_nom/79077","Athripsodes aterrimus (Stephens, 1836)")</f>
        <v>Athripsodes aterrimus (Stephens, 1836)</v>
      </c>
      <c r="AH18116" s="4" t="str">
        <f>HYPERLINK("#Statut_biogéographique!A"&amp;_xlfn.XMATCH("P",Statut_biogéographique!A:A,2,1),"P")</f>
        <v>P</v>
      </c>
      <c r="AP18116" s="4" t="s">
        <v>376</v>
      </c>
      <c r="AR18116" s="4" t="s">
        <v>377</v>
      </c>
    </row>
    <row r="18117" spans="1:44" ht="30">
      <c r="A18117" s="4" t="s">
        <v>10753</v>
      </c>
      <c r="B18117" s="4">
        <v>79078</v>
      </c>
      <c r="D18117" s="5" t="s">
        <v>22204</v>
      </c>
      <c r="E18117" s="6" t="str">
        <f>HYPERLINK("https://inpn.mnhn.fr/espece/cd_nom/79078","Athripsodes bilineatus (Linnaeus, 1758)")</f>
        <v>Athripsodes bilineatus (Linnaeus, 1758)</v>
      </c>
      <c r="AH18117" s="4" t="str">
        <f>HYPERLINK("#Statut_biogéographique!A"&amp;_xlfn.XMATCH("P",Statut_biogéographique!A:A,2,1),"P")</f>
        <v>P</v>
      </c>
      <c r="AP18117" s="4" t="s">
        <v>376</v>
      </c>
      <c r="AR18117" s="4" t="s">
        <v>377</v>
      </c>
    </row>
    <row r="18118" spans="1:44">
      <c r="A18118" s="4" t="s">
        <v>10753</v>
      </c>
      <c r="B18118" s="4">
        <v>79079</v>
      </c>
      <c r="D18118" s="5" t="s">
        <v>22205</v>
      </c>
      <c r="E18118" s="6" t="str">
        <f>HYPERLINK("https://inpn.mnhn.fr/espece/cd_nom/79079","Athripsodes cinereus (Curtis, 1834)")</f>
        <v>Athripsodes cinereus (Curtis, 1834)</v>
      </c>
      <c r="AH18118" s="4" t="str">
        <f>HYPERLINK("#Statut_biogéographique!A"&amp;_xlfn.XMATCH("P",Statut_biogéographique!A:A,2,1),"P")</f>
        <v>P</v>
      </c>
      <c r="AP18118" s="4" t="s">
        <v>376</v>
      </c>
      <c r="AR18118" s="4" t="s">
        <v>377</v>
      </c>
    </row>
    <row r="18119" spans="1:44">
      <c r="A18119" s="4" t="s">
        <v>10753</v>
      </c>
      <c r="B18119" s="4">
        <v>790847</v>
      </c>
      <c r="D18119" s="5" t="s">
        <v>22206</v>
      </c>
      <c r="E18119" s="6" t="str">
        <f>HYPERLINK("https://inpn.mnhn.fr/espece/cd_nom/790847","Borboropora kraatzii Fuss, 1862")</f>
        <v>Borboropora kraatzii Fuss, 1862</v>
      </c>
      <c r="AH18119" s="4" t="str">
        <f>HYPERLINK("#Statut_biogéographique!A"&amp;_xlfn.XMATCH("P",Statut_biogéographique!A:A,2,1),"P")</f>
        <v>P</v>
      </c>
      <c r="AP18119" s="4" t="s">
        <v>376</v>
      </c>
      <c r="AR18119" s="4" t="s">
        <v>377</v>
      </c>
    </row>
    <row r="18120" spans="1:44">
      <c r="A18120" s="4" t="s">
        <v>10753</v>
      </c>
      <c r="B18120" s="4">
        <v>790858</v>
      </c>
      <c r="D18120" s="5" t="s">
        <v>22207</v>
      </c>
      <c r="E18120" s="6" t="str">
        <f>HYPERLINK("https://inpn.mnhn.fr/espece/cd_nom/790858","Dermestes frischii Kugelann, 1792")</f>
        <v>Dermestes frischii Kugelann, 1792</v>
      </c>
      <c r="AH18120" s="4" t="str">
        <f>HYPERLINK("#Statut_biogéographique!A"&amp;_xlfn.XMATCH("C",Statut_biogéographique!A:A,2,1),"C")</f>
        <v>C</v>
      </c>
      <c r="AP18120" s="4" t="s">
        <v>376</v>
      </c>
      <c r="AR18120" s="4" t="s">
        <v>377</v>
      </c>
    </row>
    <row r="18121" spans="1:44">
      <c r="A18121" s="4" t="s">
        <v>10753</v>
      </c>
      <c r="B18121" s="4">
        <v>79086</v>
      </c>
      <c r="D18121" s="5" t="s">
        <v>22208</v>
      </c>
      <c r="E18121" s="6" t="str">
        <f>HYPERLINK("https://inpn.mnhn.fr/espece/cd_nom/79086","Chaetopterygopsis maclachlani Stein, 1874")</f>
        <v>Chaetopterygopsis maclachlani Stein, 1874</v>
      </c>
      <c r="AH18121" s="4" t="str">
        <f>HYPERLINK("#Statut_biogéographique!A"&amp;_xlfn.XMATCH("P",Statut_biogéographique!A:A,2,1),"P")</f>
        <v>P</v>
      </c>
      <c r="AP18121" s="4" t="s">
        <v>376</v>
      </c>
      <c r="AR18121" s="4" t="s">
        <v>377</v>
      </c>
    </row>
    <row r="18122" spans="1:44">
      <c r="A18122" s="4" t="s">
        <v>10753</v>
      </c>
      <c r="B18122" s="4">
        <v>790866</v>
      </c>
      <c r="D18122" s="5" t="s">
        <v>22209</v>
      </c>
      <c r="E18122" s="6" t="str">
        <f>HYPERLINK("https://inpn.mnhn.fr/espece/cd_nom/790866","Corticarina curta (Wollaston, 1854)")</f>
        <v>Corticarina curta (Wollaston, 1854)</v>
      </c>
      <c r="AH18122" s="4" t="str">
        <f>HYPERLINK("#Statut_biogéographique!A"&amp;_xlfn.XMATCH("P",Statut_biogéographique!A:A,2,1),"P")</f>
        <v>P</v>
      </c>
      <c r="AP18122" s="4" t="s">
        <v>376</v>
      </c>
      <c r="AR18122" s="4" t="s">
        <v>377</v>
      </c>
    </row>
    <row r="18123" spans="1:44">
      <c r="A18123" s="4" t="s">
        <v>10753</v>
      </c>
      <c r="B18123" s="4">
        <v>79089</v>
      </c>
      <c r="D18123" s="5" t="s">
        <v>22210</v>
      </c>
      <c r="E18123" s="6" t="str">
        <f>HYPERLINK("https://inpn.mnhn.fr/espece/cd_nom/79089","Chaetopteryx villosa (Fabricius, 1798)")</f>
        <v>Chaetopteryx villosa (Fabricius, 1798)</v>
      </c>
      <c r="AH18123" s="4" t="str">
        <f>HYPERLINK("#Statut_biogéographique!A"&amp;_xlfn.XMATCH("P",Statut_biogéographique!A:A,2,1),"P")</f>
        <v>P</v>
      </c>
      <c r="AP18123" s="4" t="s">
        <v>376</v>
      </c>
      <c r="AR18123" s="4" t="s">
        <v>377</v>
      </c>
    </row>
    <row r="18124" spans="1:44">
      <c r="A18124" s="4" t="s">
        <v>10753</v>
      </c>
      <c r="B18124" s="4">
        <v>79092</v>
      </c>
      <c r="D18124" s="5" t="s">
        <v>22211</v>
      </c>
      <c r="E18124" s="6" t="str">
        <f>HYPERLINK("https://inpn.mnhn.fr/espece/cd_nom/79092","Drusus annulatus (Stephens, 1837)")</f>
        <v>Drusus annulatus (Stephens, 1837)</v>
      </c>
      <c r="AH18124" s="4" t="str">
        <f>HYPERLINK("#Statut_biogéographique!A"&amp;_xlfn.XMATCH("P",Statut_biogéographique!A:A,2,1),"P")</f>
        <v>P</v>
      </c>
      <c r="AP18124" s="4" t="s">
        <v>376</v>
      </c>
      <c r="AR18124" s="4" t="s">
        <v>377</v>
      </c>
    </row>
    <row r="18125" spans="1:44">
      <c r="A18125" s="4" t="s">
        <v>10753</v>
      </c>
      <c r="B18125" s="4">
        <v>79095</v>
      </c>
      <c r="D18125" s="5" t="s">
        <v>22212</v>
      </c>
      <c r="E18125" s="6" t="str">
        <f>HYPERLINK("https://inpn.mnhn.fr/espece/cd_nom/79095","Drusus mixtus (Pictet, 1834)")</f>
        <v>Drusus mixtus (Pictet, 1834)</v>
      </c>
      <c r="AH18125" s="4" t="str">
        <f>HYPERLINK("#Statut_biogéographique!A"&amp;_xlfn.XMATCH("S",Statut_biogéographique!A:A,2,1),"S")</f>
        <v>S</v>
      </c>
      <c r="AP18125" s="4" t="s">
        <v>376</v>
      </c>
      <c r="AR18125" s="4" t="s">
        <v>377</v>
      </c>
    </row>
    <row r="18126" spans="1:44" ht="30">
      <c r="A18126" s="4" t="s">
        <v>10753</v>
      </c>
      <c r="B18126" s="4">
        <v>79103</v>
      </c>
      <c r="D18126" s="5" t="s">
        <v>22213</v>
      </c>
      <c r="E18126" s="6" t="str">
        <f>HYPERLINK("https://inpn.mnhn.fr/espece/cd_nom/79103","Grammotaulius submaculatus (Rambur, 1842)")</f>
        <v>Grammotaulius submaculatus (Rambur, 1842)</v>
      </c>
      <c r="AH18126" s="4" t="str">
        <f>HYPERLINK("#Statut_biogéographique!A"&amp;_xlfn.XMATCH("P",Statut_biogéographique!A:A,2,1),"P")</f>
        <v>P</v>
      </c>
      <c r="AP18126" s="4" t="s">
        <v>376</v>
      </c>
      <c r="AR18126" s="4" t="s">
        <v>377</v>
      </c>
    </row>
    <row r="18127" spans="1:44">
      <c r="A18127" s="4" t="s">
        <v>10753</v>
      </c>
      <c r="B18127" s="4">
        <v>79106</v>
      </c>
      <c r="D18127" s="5" t="s">
        <v>22214</v>
      </c>
      <c r="E18127" s="6" t="str">
        <f>HYPERLINK("https://inpn.mnhn.fr/espece/cd_nom/79106","Halesus radiatus (Curtis, 1834)")</f>
        <v>Halesus radiatus (Curtis, 1834)</v>
      </c>
      <c r="AH18127" s="4" t="str">
        <f>HYPERLINK("#Statut_biogéographique!A"&amp;_xlfn.XMATCH("P",Statut_biogéographique!A:A,2,1),"P")</f>
        <v>P</v>
      </c>
      <c r="AP18127" s="4" t="s">
        <v>376</v>
      </c>
      <c r="AR18127" s="4" t="s">
        <v>377</v>
      </c>
    </row>
    <row r="18128" spans="1:44">
      <c r="A18128" s="4" t="s">
        <v>10753</v>
      </c>
      <c r="B18128" s="4">
        <v>79116</v>
      </c>
      <c r="D18128" s="5" t="s">
        <v>22215</v>
      </c>
      <c r="E18128" s="6" t="str">
        <f>HYPERLINK("https://inpn.mnhn.fr/espece/cd_nom/79116","Limnephilus borealis (Zetterstedt, 1840)")</f>
        <v>Limnephilus borealis (Zetterstedt, 1840)</v>
      </c>
      <c r="AH18128" s="4" t="str">
        <f>HYPERLINK("#Statut_biogéographique!A"&amp;_xlfn.XMATCH("P",Statut_biogéographique!A:A,2,1),"P")</f>
        <v>P</v>
      </c>
      <c r="AP18128" s="4" t="s">
        <v>376</v>
      </c>
      <c r="AR18128" s="4" t="s">
        <v>377</v>
      </c>
    </row>
    <row r="18129" spans="1:44" ht="30">
      <c r="A18129" s="4" t="s">
        <v>10753</v>
      </c>
      <c r="B18129" s="4">
        <v>79117</v>
      </c>
      <c r="D18129" s="5" t="s">
        <v>22216</v>
      </c>
      <c r="E18129" s="6" t="str">
        <f>HYPERLINK("https://inpn.mnhn.fr/espece/cd_nom/79117","Limnephilus lunatus Curtis, 1834")</f>
        <v>Limnephilus lunatus Curtis, 1834</v>
      </c>
      <c r="AH18129" s="4" t="str">
        <f>HYPERLINK("#Statut_biogéographique!A"&amp;_xlfn.XMATCH("P",Statut_biogéographique!A:A,2,1),"P")</f>
        <v>P</v>
      </c>
      <c r="AP18129" s="4" t="s">
        <v>376</v>
      </c>
      <c r="AR18129" s="4" t="s">
        <v>377</v>
      </c>
    </row>
    <row r="18130" spans="1:44" ht="30">
      <c r="A18130" s="4" t="s">
        <v>10753</v>
      </c>
      <c r="B18130" s="4">
        <v>79118</v>
      </c>
      <c r="D18130" s="5" t="s">
        <v>22217</v>
      </c>
      <c r="E18130" s="6" t="str">
        <f>HYPERLINK("https://inpn.mnhn.fr/espece/cd_nom/79118","Limnephilus marmoratus Curtis, 1834")</f>
        <v>Limnephilus marmoratus Curtis, 1834</v>
      </c>
      <c r="AH18130" s="4" t="str">
        <f>HYPERLINK("#Statut_biogéographique!A"&amp;_xlfn.XMATCH("P",Statut_biogéographique!A:A,2,1),"P")</f>
        <v>P</v>
      </c>
      <c r="AP18130" s="4" t="s">
        <v>376</v>
      </c>
      <c r="AR18130" s="4" t="s">
        <v>377</v>
      </c>
    </row>
    <row r="18131" spans="1:44" ht="30">
      <c r="A18131" s="4" t="s">
        <v>10753</v>
      </c>
      <c r="B18131" s="4">
        <v>79119</v>
      </c>
      <c r="D18131" s="5" t="s">
        <v>22218</v>
      </c>
      <c r="E18131" s="6" t="str">
        <f>HYPERLINK("https://inpn.mnhn.fr/espece/cd_nom/79119","Limnephilus rhombicus (Linnaeus, 1758)")</f>
        <v>Limnephilus rhombicus (Linnaeus, 1758)</v>
      </c>
      <c r="AH18131" s="4" t="str">
        <f>HYPERLINK("#Statut_biogéographique!A"&amp;_xlfn.XMATCH("P",Statut_biogéographique!A:A,2,1),"P")</f>
        <v>P</v>
      </c>
      <c r="AP18131" s="4" t="s">
        <v>376</v>
      </c>
      <c r="AR18131" s="4" t="s">
        <v>377</v>
      </c>
    </row>
    <row r="18132" spans="1:44">
      <c r="A18132" s="4" t="s">
        <v>10753</v>
      </c>
      <c r="B18132" s="4">
        <v>79120</v>
      </c>
      <c r="D18132" s="5" t="s">
        <v>22219</v>
      </c>
      <c r="E18132" s="6" t="str">
        <f>HYPERLINK("https://inpn.mnhn.fr/espece/cd_nom/79120","Limnephilus subcentralis (Brauer, 1857)")</f>
        <v>Limnephilus subcentralis (Brauer, 1857)</v>
      </c>
      <c r="AH18132" s="4" t="str">
        <f>HYPERLINK("#Statut_biogéographique!A"&amp;_xlfn.XMATCH("P",Statut_biogéographique!A:A,2,1),"P")</f>
        <v>P</v>
      </c>
      <c r="AP18132" s="4" t="s">
        <v>376</v>
      </c>
      <c r="AR18132" s="4" t="s">
        <v>377</v>
      </c>
    </row>
    <row r="18133" spans="1:44" ht="30">
      <c r="A18133" s="4" t="s">
        <v>10753</v>
      </c>
      <c r="B18133" s="4">
        <v>79122</v>
      </c>
      <c r="D18133" s="5" t="s">
        <v>22220</v>
      </c>
      <c r="E18133" s="6" t="str">
        <f>HYPERLINK("https://inpn.mnhn.fr/espece/cd_nom/79122","Limnephilus auricula Curtis, 1834")</f>
        <v>Limnephilus auricula Curtis, 1834</v>
      </c>
      <c r="AH18133" s="4" t="str">
        <f>HYPERLINK("#Statut_biogéographique!A"&amp;_xlfn.XMATCH("P",Statut_biogéographique!A:A,2,1),"P")</f>
        <v>P</v>
      </c>
      <c r="AP18133" s="4" t="s">
        <v>376</v>
      </c>
      <c r="AR18133" s="4" t="s">
        <v>377</v>
      </c>
    </row>
    <row r="18134" spans="1:44" ht="45">
      <c r="A18134" s="4" t="s">
        <v>10753</v>
      </c>
      <c r="B18134" s="4">
        <v>79124</v>
      </c>
      <c r="D18134" s="5" t="s">
        <v>22221</v>
      </c>
      <c r="E18134" s="6" t="str">
        <f>HYPERLINK("https://inpn.mnhn.fr/espece/cd_nom/79124","Limnephilus centralis Curtis, 1834")</f>
        <v>Limnephilus centralis Curtis, 1834</v>
      </c>
      <c r="AH18134" s="4" t="str">
        <f>HYPERLINK("#Statut_biogéographique!A"&amp;_xlfn.XMATCH("P",Statut_biogéographique!A:A,2,1),"P")</f>
        <v>P</v>
      </c>
      <c r="AP18134" s="4" t="s">
        <v>376</v>
      </c>
      <c r="AR18134" s="4" t="s">
        <v>377</v>
      </c>
    </row>
    <row r="18135" spans="1:44">
      <c r="A18135" s="4" t="s">
        <v>10753</v>
      </c>
      <c r="B18135" s="4">
        <v>79125</v>
      </c>
      <c r="D18135" s="5" t="s">
        <v>22222</v>
      </c>
      <c r="E18135" s="6" t="str">
        <f>HYPERLINK("https://inpn.mnhn.fr/espece/cd_nom/79125","Limnephilus coenosus Curtis, 1834")</f>
        <v>Limnephilus coenosus Curtis, 1834</v>
      </c>
      <c r="AH18135" s="4" t="str">
        <f>HYPERLINK("#Statut_biogéographique!A"&amp;_xlfn.XMATCH("P",Statut_biogéographique!A:A,2,1),"P")</f>
        <v>P</v>
      </c>
      <c r="AP18135" s="4" t="s">
        <v>376</v>
      </c>
      <c r="AR18135" s="4" t="s">
        <v>377</v>
      </c>
    </row>
    <row r="18136" spans="1:44">
      <c r="A18136" s="4" t="s">
        <v>10753</v>
      </c>
      <c r="B18136" s="4">
        <v>79128</v>
      </c>
      <c r="D18136" s="5">
        <v>79128</v>
      </c>
      <c r="E18136" s="6" t="str">
        <f>HYPERLINK("https://inpn.mnhn.fr/espece/cd_nom/79128","Limnephilus extricatus McLachlan, 1865")</f>
        <v>Limnephilus extricatus McLachlan, 1865</v>
      </c>
      <c r="AH18136" s="4" t="str">
        <f>HYPERLINK("#Statut_biogéographique!A"&amp;_xlfn.XMATCH("P",Statut_biogéographique!A:A,2,1),"P")</f>
        <v>P</v>
      </c>
      <c r="AP18136" s="4" t="s">
        <v>376</v>
      </c>
      <c r="AR18136" s="4" t="s">
        <v>377</v>
      </c>
    </row>
    <row r="18137" spans="1:44" ht="30">
      <c r="A18137" s="4" t="s">
        <v>10753</v>
      </c>
      <c r="B18137" s="4">
        <v>79130</v>
      </c>
      <c r="D18137" s="5" t="s">
        <v>22223</v>
      </c>
      <c r="E18137" s="6" t="str">
        <f>HYPERLINK("https://inpn.mnhn.fr/espece/cd_nom/79130","Limnephilus flavicornis (Fabricius, 1787)")</f>
        <v>Limnephilus flavicornis (Fabricius, 1787)</v>
      </c>
      <c r="AH18137" s="4" t="str">
        <f>HYPERLINK("#Statut_biogéographique!A"&amp;_xlfn.XMATCH("P",Statut_biogéographique!A:A,2,1),"P")</f>
        <v>P</v>
      </c>
      <c r="AP18137" s="4" t="s">
        <v>376</v>
      </c>
      <c r="AR18137" s="4" t="s">
        <v>377</v>
      </c>
    </row>
    <row r="18138" spans="1:44" ht="30">
      <c r="A18138" s="4" t="s">
        <v>10753</v>
      </c>
      <c r="B18138" s="4">
        <v>79131</v>
      </c>
      <c r="D18138" s="5" t="s">
        <v>22224</v>
      </c>
      <c r="E18138" s="6" t="str">
        <f>HYPERLINK("https://inpn.mnhn.fr/espece/cd_nom/79131","Limnephilus griseus (Linnaeus, 1758)")</f>
        <v>Limnephilus griseus (Linnaeus, 1758)</v>
      </c>
      <c r="AH18138" s="4" t="str">
        <f>HYPERLINK("#Statut_biogéographique!A"&amp;_xlfn.XMATCH("P",Statut_biogéographique!A:A,2,1),"P")</f>
        <v>P</v>
      </c>
      <c r="AP18138" s="4" t="s">
        <v>376</v>
      </c>
      <c r="AR18138" s="4" t="s">
        <v>377</v>
      </c>
    </row>
    <row r="18139" spans="1:44" ht="45">
      <c r="A18139" s="4" t="s">
        <v>10753</v>
      </c>
      <c r="B18139" s="4">
        <v>79137</v>
      </c>
      <c r="D18139" s="5" t="s">
        <v>22225</v>
      </c>
      <c r="E18139" s="6" t="str">
        <f>HYPERLINK("https://inpn.mnhn.fr/espece/cd_nom/79137","Limnephilus sparsus Curtis, 1834")</f>
        <v>Limnephilus sparsus Curtis, 1834</v>
      </c>
      <c r="AH18139" s="4" t="str">
        <f>HYPERLINK("#Statut_biogéographique!A"&amp;_xlfn.XMATCH("P",Statut_biogéographique!A:A,2,1),"P")</f>
        <v>P</v>
      </c>
      <c r="AP18139" s="4" t="s">
        <v>376</v>
      </c>
      <c r="AR18139" s="4" t="s">
        <v>377</v>
      </c>
    </row>
    <row r="18140" spans="1:44">
      <c r="A18140" s="4" t="s">
        <v>10753</v>
      </c>
      <c r="B18140" s="4">
        <v>79138</v>
      </c>
      <c r="D18140" s="5" t="s">
        <v>22226</v>
      </c>
      <c r="E18140" s="6" t="str">
        <f>HYPERLINK("https://inpn.mnhn.fr/espece/cd_nom/79138","Limnephilus stigma Curtis, 1834")</f>
        <v>Limnephilus stigma Curtis, 1834</v>
      </c>
      <c r="AH18140" s="4" t="str">
        <f>HYPERLINK("#Statut_biogéographique!A"&amp;_xlfn.XMATCH("P",Statut_biogéographique!A:A,2,1),"P")</f>
        <v>P</v>
      </c>
      <c r="AP18140" s="4" t="s">
        <v>376</v>
      </c>
      <c r="AR18140" s="4" t="s">
        <v>377</v>
      </c>
    </row>
    <row r="18141" spans="1:44" ht="30">
      <c r="A18141" s="4" t="s">
        <v>10753</v>
      </c>
      <c r="B18141" s="4">
        <v>79139</v>
      </c>
      <c r="D18141" s="5" t="s">
        <v>22227</v>
      </c>
      <c r="E18141" s="6" t="str">
        <f>HYPERLINK("https://inpn.mnhn.fr/espece/cd_nom/79139","Limnephilus vittatus (Fabricius, 1798)")</f>
        <v>Limnephilus vittatus (Fabricius, 1798)</v>
      </c>
      <c r="AH18141" s="4" t="str">
        <f>HYPERLINK("#Statut_biogéographique!A"&amp;_xlfn.XMATCH("P",Statut_biogéographique!A:A,2,1),"P")</f>
        <v>P</v>
      </c>
      <c r="AP18141" s="4" t="s">
        <v>376</v>
      </c>
      <c r="AR18141" s="4" t="s">
        <v>377</v>
      </c>
    </row>
    <row r="18142" spans="1:44">
      <c r="A18142" s="4" t="s">
        <v>10753</v>
      </c>
      <c r="B18142" s="4">
        <v>79141</v>
      </c>
      <c r="D18142" s="5" t="s">
        <v>22228</v>
      </c>
      <c r="E18142" s="6" t="str">
        <f>HYPERLINK("https://inpn.mnhn.fr/espece/cd_nom/79141","Melampophylax mucoreus (Hagen, 1861)")</f>
        <v>Melampophylax mucoreus (Hagen, 1861)</v>
      </c>
      <c r="AH18142" s="4" t="str">
        <f>HYPERLINK("#Statut_biogéographique!A"&amp;_xlfn.XMATCH("P",Statut_biogéographique!A:A,2,1),"P")</f>
        <v>P</v>
      </c>
      <c r="AP18142" s="4" t="s">
        <v>376</v>
      </c>
      <c r="AR18142" s="4" t="s">
        <v>377</v>
      </c>
    </row>
    <row r="18143" spans="1:44">
      <c r="A18143" s="4" t="s">
        <v>10753</v>
      </c>
      <c r="B18143" s="4">
        <v>79150</v>
      </c>
      <c r="D18143" s="5" t="s">
        <v>22229</v>
      </c>
      <c r="E18143" s="6" t="str">
        <f>HYPERLINK("https://inpn.mnhn.fr/espece/cd_nom/79150","Potamophylax cingulatus (Stephens, 1837)")</f>
        <v>Potamophylax cingulatus (Stephens, 1837)</v>
      </c>
      <c r="AH18143" s="4" t="str">
        <f>HYPERLINK("#Statut_biogéographique!A"&amp;_xlfn.XMATCH("P",Statut_biogéographique!A:A,2,1),"P")</f>
        <v>P</v>
      </c>
      <c r="AP18143" s="4" t="s">
        <v>376</v>
      </c>
      <c r="AR18143" s="4" t="s">
        <v>377</v>
      </c>
    </row>
    <row r="18144" spans="1:44" ht="30">
      <c r="A18144" s="4" t="s">
        <v>10753</v>
      </c>
      <c r="B18144" s="4">
        <v>79151</v>
      </c>
      <c r="D18144" s="5" t="s">
        <v>22230</v>
      </c>
      <c r="E18144" s="6" t="str">
        <f>HYPERLINK("https://inpn.mnhn.fr/espece/cd_nom/79151","Potamophylax latipennis (Curtis, 1834)")</f>
        <v>Potamophylax latipennis (Curtis, 1834)</v>
      </c>
      <c r="AH18144" s="4" t="str">
        <f>HYPERLINK("#Statut_biogéographique!A"&amp;_xlfn.XMATCH("P",Statut_biogéographique!A:A,2,1),"P")</f>
        <v>P</v>
      </c>
      <c r="AP18144" s="4" t="s">
        <v>376</v>
      </c>
      <c r="AR18144" s="4" t="s">
        <v>377</v>
      </c>
    </row>
    <row r="18145" spans="1:44" ht="30">
      <c r="A18145" s="4" t="s">
        <v>10753</v>
      </c>
      <c r="B18145" s="4">
        <v>791562</v>
      </c>
      <c r="D18145" s="5" t="s">
        <v>22231</v>
      </c>
      <c r="E18145" s="6" t="str">
        <f>HYPERLINK("https://inpn.mnhn.fr/espece/cd_nom/791562","Scymnus schmidti Fürsch, 1958")</f>
        <v>Scymnus schmidti Fürsch, 1958</v>
      </c>
      <c r="AH18145" s="4" t="str">
        <f>HYPERLINK("#Statut_biogéographique!A"&amp;_xlfn.XMATCH("P",Statut_biogéographique!A:A,2,1),"P")</f>
        <v>P</v>
      </c>
      <c r="AP18145" s="4" t="s">
        <v>376</v>
      </c>
      <c r="AR18145" s="4" t="s">
        <v>377</v>
      </c>
    </row>
    <row r="18146" spans="1:44">
      <c r="A18146" s="4" t="s">
        <v>10753</v>
      </c>
      <c r="B18146" s="4">
        <v>791564</v>
      </c>
      <c r="D18146" s="5" t="s">
        <v>22232</v>
      </c>
      <c r="E18146" s="6" t="str">
        <f>HYPERLINK("https://inpn.mnhn.fr/espece/cd_nom/791564","Stethorus pusillus (Herbst, 1797)")</f>
        <v>Stethorus pusillus (Herbst, 1797)</v>
      </c>
      <c r="AH18146" s="4" t="str">
        <f>HYPERLINK("#Statut_biogéographique!A"&amp;_xlfn.XMATCH("P",Statut_biogéographique!A:A,2,1),"P")</f>
        <v>P</v>
      </c>
      <c r="AP18146" s="4" t="s">
        <v>376</v>
      </c>
      <c r="AR18146" s="4" t="s">
        <v>377</v>
      </c>
    </row>
    <row r="18147" spans="1:44">
      <c r="A18147" s="4" t="s">
        <v>10753</v>
      </c>
      <c r="B18147" s="4">
        <v>791568</v>
      </c>
      <c r="D18147" s="5" t="s">
        <v>22233</v>
      </c>
      <c r="E18147" s="6" t="str">
        <f>HYPERLINK("https://inpn.mnhn.fr/espece/cd_nom/791568","Parexochomus nigromaculatus (Goeze, 1777)")</f>
        <v>Parexochomus nigromaculatus (Goeze, 1777)</v>
      </c>
      <c r="AH18147" s="4" t="str">
        <f>HYPERLINK("#Statut_biogéographique!A"&amp;_xlfn.XMATCH("P",Statut_biogéographique!A:A,2,1),"P")</f>
        <v>P</v>
      </c>
      <c r="AP18147" s="4" t="s">
        <v>376</v>
      </c>
      <c r="AR18147" s="4" t="s">
        <v>377</v>
      </c>
    </row>
    <row r="18148" spans="1:44" ht="30">
      <c r="A18148" s="4" t="s">
        <v>10753</v>
      </c>
      <c r="B18148" s="4">
        <v>791574</v>
      </c>
      <c r="D18148" s="5" t="s">
        <v>22234</v>
      </c>
      <c r="E18148" s="6" t="str">
        <f>HYPERLINK("https://inpn.mnhn.fr/espece/cd_nom/791574","Ceratomegilla undecimnotata (D.H. Schneider, 1792)")</f>
        <v>Ceratomegilla undecimnotata (D.H. Schneider, 1792)</v>
      </c>
      <c r="AH18148" s="4" t="str">
        <f>HYPERLINK("#Statut_biogéographique!A"&amp;_xlfn.XMATCH("P",Statut_biogéographique!A:A,2,1),"P")</f>
        <v>P</v>
      </c>
      <c r="AP18148" s="4" t="s">
        <v>376</v>
      </c>
      <c r="AR18148" s="4" t="s">
        <v>377</v>
      </c>
    </row>
    <row r="18149" spans="1:44">
      <c r="A18149" s="4" t="s">
        <v>10753</v>
      </c>
      <c r="B18149" s="4">
        <v>791597</v>
      </c>
      <c r="D18149" s="5">
        <v>791597</v>
      </c>
      <c r="E18149" s="6" t="str">
        <f>HYPERLINK("https://inpn.mnhn.fr/espece/cd_nom/791597","Cambarincola gracilis Robinson, 1954")</f>
        <v>Cambarincola gracilis Robinson, 1954</v>
      </c>
      <c r="AH18149" s="4" t="str">
        <f>HYPERLINK("#Statut_biogéographique!A"&amp;_xlfn.XMATCH("I",Statut_biogéographique!A:A,2,1),"I")</f>
        <v>I</v>
      </c>
      <c r="AP18149" s="4" t="s">
        <v>376</v>
      </c>
      <c r="AR18149" s="4" t="s">
        <v>377</v>
      </c>
    </row>
    <row r="18150" spans="1:44">
      <c r="A18150" s="4" t="s">
        <v>10753</v>
      </c>
      <c r="B18150" s="4">
        <v>791598</v>
      </c>
      <c r="D18150" s="5" t="s">
        <v>22235</v>
      </c>
      <c r="E18150" s="6" t="str">
        <f>HYPERLINK("https://inpn.mnhn.fr/espece/cd_nom/791598","Cambarincola okadai Yamaguchi, 1933")</f>
        <v>Cambarincola okadai Yamaguchi, 1933</v>
      </c>
      <c r="AH18150" s="4" t="str">
        <f>HYPERLINK("#Statut_biogéographique!A"&amp;_xlfn.XMATCH("I",Statut_biogéographique!A:A,2,1),"I")</f>
        <v>I</v>
      </c>
      <c r="AP18150" s="4" t="s">
        <v>376</v>
      </c>
      <c r="AR18150" s="4" t="s">
        <v>377</v>
      </c>
    </row>
    <row r="18151" spans="1:44" ht="45">
      <c r="A18151" s="4" t="s">
        <v>10753</v>
      </c>
      <c r="B18151" s="4">
        <v>79162</v>
      </c>
      <c r="D18151" s="5" t="s">
        <v>22236</v>
      </c>
      <c r="E18151" s="6" t="str">
        <f>HYPERLINK("https://inpn.mnhn.fr/espece/cd_nom/79162","Beraea pullata (Curtis, 1834)")</f>
        <v>Beraea pullata (Curtis, 1834)</v>
      </c>
      <c r="AH18151" s="4" t="str">
        <f>HYPERLINK("#Statut_biogéographique!A"&amp;_xlfn.XMATCH("P",Statut_biogéographique!A:A,2,1),"P")</f>
        <v>P</v>
      </c>
      <c r="AP18151" s="4" t="s">
        <v>376</v>
      </c>
      <c r="AR18151" s="4" t="s">
        <v>377</v>
      </c>
    </row>
    <row r="18152" spans="1:44" ht="30">
      <c r="A18152" s="4" t="s">
        <v>10753</v>
      </c>
      <c r="B18152" s="4">
        <v>791636</v>
      </c>
      <c r="D18152" s="5" t="s">
        <v>22237</v>
      </c>
      <c r="E18152" s="6" t="str">
        <f>HYPERLINK("https://inpn.mnhn.fr/espece/cd_nom/791636","Anania crocealis (Hübner, 1796)")</f>
        <v>Anania crocealis (Hübner, 1796)</v>
      </c>
      <c r="F18152" s="5" t="s">
        <v>22238</v>
      </c>
      <c r="AH18152" s="4" t="str">
        <f>HYPERLINK("#Statut_biogéographique!A"&amp;_xlfn.XMATCH("P",Statut_biogéographique!A:A,2,1),"P")</f>
        <v>P</v>
      </c>
      <c r="AP18152" s="4" t="s">
        <v>376</v>
      </c>
      <c r="AR18152" s="4" t="s">
        <v>377</v>
      </c>
    </row>
    <row r="18153" spans="1:44" ht="30">
      <c r="A18153" s="4" t="s">
        <v>10753</v>
      </c>
      <c r="B18153" s="4">
        <v>791639</v>
      </c>
      <c r="D18153" s="5" t="s">
        <v>22239</v>
      </c>
      <c r="E18153" s="6" t="str">
        <f>HYPERLINK("https://inpn.mnhn.fr/espece/cd_nom/791639","Anania hortulata (Linnaeus, 1758)")</f>
        <v>Anania hortulata (Linnaeus, 1758)</v>
      </c>
      <c r="F18153" s="5" t="s">
        <v>22240</v>
      </c>
      <c r="AH18153" s="4" t="str">
        <f>HYPERLINK("#Statut_biogéographique!A"&amp;_xlfn.XMATCH("P",Statut_biogéographique!A:A,2,1),"P")</f>
        <v>P</v>
      </c>
      <c r="AP18153" s="4" t="s">
        <v>376</v>
      </c>
      <c r="AR18153" s="4" t="s">
        <v>377</v>
      </c>
    </row>
    <row r="18154" spans="1:44">
      <c r="A18154" s="4" t="s">
        <v>10753</v>
      </c>
      <c r="B18154" s="4">
        <v>791640</v>
      </c>
      <c r="D18154" s="5" t="s">
        <v>22241</v>
      </c>
      <c r="E18154" s="6" t="str">
        <f>HYPERLINK("https://inpn.mnhn.fr/espece/cd_nom/791640","Anania fuscalis (Denis &amp; Schiffermüller, 1775)")</f>
        <v>Anania fuscalis (Denis &amp; Schiffermüller, 1775)</v>
      </c>
      <c r="F18154" s="5" t="s">
        <v>22242</v>
      </c>
      <c r="AH18154" s="4" t="str">
        <f>HYPERLINK("#Statut_biogéographique!A"&amp;_xlfn.XMATCH("P",Statut_biogéographique!A:A,2,1),"P")</f>
        <v>P</v>
      </c>
      <c r="AP18154" s="4" t="s">
        <v>376</v>
      </c>
      <c r="AR18154" s="4" t="s">
        <v>377</v>
      </c>
    </row>
    <row r="18155" spans="1:44" ht="30">
      <c r="A18155" s="4" t="s">
        <v>10753</v>
      </c>
      <c r="B18155" s="4">
        <v>791641</v>
      </c>
      <c r="D18155" s="5" t="s">
        <v>22243</v>
      </c>
      <c r="E18155" s="6" t="str">
        <f>HYPERLINK("https://inpn.mnhn.fr/espece/cd_nom/791641","Anania lancealis (Denis &amp; Schiffermüller, 1775)")</f>
        <v>Anania lancealis (Denis &amp; Schiffermüller, 1775)</v>
      </c>
      <c r="F18155" s="5" t="s">
        <v>22244</v>
      </c>
      <c r="AH18155" s="4" t="str">
        <f>HYPERLINK("#Statut_biogéographique!A"&amp;_xlfn.XMATCH("P",Statut_biogéographique!A:A,2,1),"P")</f>
        <v>P</v>
      </c>
      <c r="AP18155" s="4" t="s">
        <v>376</v>
      </c>
      <c r="AR18155" s="4" t="s">
        <v>377</v>
      </c>
    </row>
    <row r="18156" spans="1:44">
      <c r="A18156" s="4" t="s">
        <v>10753</v>
      </c>
      <c r="B18156" s="4">
        <v>791643</v>
      </c>
      <c r="D18156" s="5" t="s">
        <v>22245</v>
      </c>
      <c r="E18156" s="6" t="str">
        <f>HYPERLINK("https://inpn.mnhn.fr/espece/cd_nom/791643","Anania perlucidalis (Hübner, 1809)")</f>
        <v>Anania perlucidalis (Hübner, 1809)</v>
      </c>
      <c r="F18156" s="5" t="s">
        <v>22246</v>
      </c>
      <c r="AH18156" s="4" t="str">
        <f>HYPERLINK("#Statut_biogéographique!A"&amp;_xlfn.XMATCH("P",Statut_biogéographique!A:A,2,1),"P")</f>
        <v>P</v>
      </c>
      <c r="AP18156" s="4" t="s">
        <v>376</v>
      </c>
      <c r="AR18156" s="4" t="s">
        <v>377</v>
      </c>
    </row>
    <row r="18157" spans="1:44">
      <c r="A18157" s="4" t="s">
        <v>10753</v>
      </c>
      <c r="B18157" s="4">
        <v>791649</v>
      </c>
      <c r="D18157" s="5" t="s">
        <v>22247</v>
      </c>
      <c r="E18157" s="6" t="str">
        <f>HYPERLINK("https://inpn.mnhn.fr/espece/cd_nom/791649","Branchiobdella hexadonta Gruber, 1883")</f>
        <v>Branchiobdella hexadonta Gruber, 1883</v>
      </c>
      <c r="AH18157" s="4" t="str">
        <f>HYPERLINK("#Statut_biogéographique!A"&amp;_xlfn.XMATCH("P",Statut_biogéographique!A:A,2,1),"P")</f>
        <v>P</v>
      </c>
      <c r="AP18157" s="4" t="s">
        <v>376</v>
      </c>
      <c r="AR18157" s="4" t="s">
        <v>377</v>
      </c>
    </row>
    <row r="18158" spans="1:44" ht="60">
      <c r="A18158" s="4" t="s">
        <v>10753</v>
      </c>
      <c r="B18158" s="4">
        <v>791663</v>
      </c>
      <c r="D18158" s="5" t="s">
        <v>22248</v>
      </c>
      <c r="E18158" s="6" t="str">
        <f>HYPERLINK("https://inpn.mnhn.fr/espece/cd_nom/791663","Branchiobdella pentadonta Whitman, 1882")</f>
        <v>Branchiobdella pentadonta Whitman, 1882</v>
      </c>
      <c r="AH18158" s="4" t="str">
        <f>HYPERLINK("#Statut_biogéographique!A"&amp;_xlfn.XMATCH("P",Statut_biogéographique!A:A,2,1),"P")</f>
        <v>P</v>
      </c>
      <c r="AP18158" s="4" t="s">
        <v>376</v>
      </c>
      <c r="AR18158" s="4" t="s">
        <v>377</v>
      </c>
    </row>
    <row r="18159" spans="1:44" ht="30">
      <c r="A18159" s="4" t="s">
        <v>10753</v>
      </c>
      <c r="B18159" s="4">
        <v>79167</v>
      </c>
      <c r="D18159" s="5" t="s">
        <v>22249</v>
      </c>
      <c r="E18159" s="6" t="str">
        <f>HYPERLINK("https://inpn.mnhn.fr/espece/cd_nom/79167","Goera pilosa (Fabricius, 1775)")</f>
        <v>Goera pilosa (Fabricius, 1775)</v>
      </c>
      <c r="AH18159" s="4" t="str">
        <f>HYPERLINK("#Statut_biogéographique!A"&amp;_xlfn.XMATCH("P",Statut_biogéographique!A:A,2,1),"P")</f>
        <v>P</v>
      </c>
      <c r="AP18159" s="4" t="s">
        <v>376</v>
      </c>
      <c r="AR18159" s="4" t="s">
        <v>377</v>
      </c>
    </row>
    <row r="18160" spans="1:44">
      <c r="A18160" s="4" t="s">
        <v>10753</v>
      </c>
      <c r="B18160" s="4">
        <v>79169</v>
      </c>
      <c r="D18160" s="5" t="s">
        <v>22250</v>
      </c>
      <c r="E18160" s="6" t="str">
        <f>HYPERLINK("https://inpn.mnhn.fr/espece/cd_nom/79169","Notidobia ciliaris (Linnaeus, 1761)")</f>
        <v>Notidobia ciliaris (Linnaeus, 1761)</v>
      </c>
      <c r="AH18160" s="4" t="str">
        <f>HYPERLINK("#Statut_biogéographique!A"&amp;_xlfn.XMATCH("P",Statut_biogéographique!A:A,2,1),"P")</f>
        <v>P</v>
      </c>
      <c r="AP18160" s="4" t="s">
        <v>376</v>
      </c>
      <c r="AR18160" s="4" t="s">
        <v>377</v>
      </c>
    </row>
    <row r="18161" spans="1:44" ht="45">
      <c r="A18161" s="4" t="s">
        <v>10753</v>
      </c>
      <c r="B18161" s="4">
        <v>79173</v>
      </c>
      <c r="D18161" s="5" t="s">
        <v>22251</v>
      </c>
      <c r="E18161" s="6" t="str">
        <f>HYPERLINK("https://inpn.mnhn.fr/espece/cd_nom/79173","Sericostoma personatum (Kirby &amp; Spence, 1826)")</f>
        <v>Sericostoma personatum (Kirby &amp; Spence, 1826)</v>
      </c>
      <c r="AH18161" s="4" t="str">
        <f>HYPERLINK("#Statut_biogéographique!A"&amp;_xlfn.XMATCH("P",Statut_biogéographique!A:A,2,1),"P")</f>
        <v>P</v>
      </c>
      <c r="AP18161" s="4" t="s">
        <v>376</v>
      </c>
      <c r="AR18161" s="4" t="s">
        <v>377</v>
      </c>
    </row>
    <row r="18162" spans="1:44">
      <c r="A18162" s="4" t="s">
        <v>10753</v>
      </c>
      <c r="B18162" s="4">
        <v>791746</v>
      </c>
      <c r="D18162" s="5" t="s">
        <v>22252</v>
      </c>
      <c r="E18162" s="6" t="str">
        <f>HYPERLINK("https://inpn.mnhn.fr/espece/cd_nom/791746","Iberina montana (Blackwall, 1841)")</f>
        <v>Iberina montana (Blackwall, 1841)</v>
      </c>
      <c r="Q18162" s="7" t="str">
        <f>HYPERLINK("#Liste_rouge!A"&amp;_xlfn.XMATCH("LC",Liste_rouge!A:A,2,1),"LC")</f>
        <v>LC</v>
      </c>
      <c r="AH18162" s="4" t="str">
        <f>HYPERLINK("#Statut_biogéographique!A"&amp;_xlfn.XMATCH("P",Statut_biogéographique!A:A,2,1),"P")</f>
        <v>P</v>
      </c>
      <c r="AP18162" s="4" t="s">
        <v>376</v>
      </c>
      <c r="AR18162" s="4" t="s">
        <v>377</v>
      </c>
    </row>
    <row r="18163" spans="1:44">
      <c r="A18163" s="4" t="s">
        <v>10753</v>
      </c>
      <c r="B18163" s="4">
        <v>791749</v>
      </c>
      <c r="D18163" s="5" t="s">
        <v>22253</v>
      </c>
      <c r="E18163" s="6" t="str">
        <f>HYPERLINK("https://inpn.mnhn.fr/espece/cd_nom/791749","Iberina candida (Simon, 1875)")</f>
        <v>Iberina candida (Simon, 1875)</v>
      </c>
      <c r="Q18163" s="7" t="str">
        <f>HYPERLINK("#Liste_rouge!A"&amp;_xlfn.XMATCH("LC",Liste_rouge!A:A,2,1),"LC")</f>
        <v>LC</v>
      </c>
      <c r="AH18163" s="4" t="str">
        <f>HYPERLINK("#Statut_biogéographique!A"&amp;_xlfn.XMATCH("P",Statut_biogéographique!A:A,2,1),"P")</f>
        <v>P</v>
      </c>
      <c r="AP18163" s="4" t="s">
        <v>376</v>
      </c>
      <c r="AR18163" s="4" t="s">
        <v>377</v>
      </c>
    </row>
    <row r="18164" spans="1:44">
      <c r="A18164" s="4" t="s">
        <v>10753</v>
      </c>
      <c r="B18164" s="4">
        <v>79175</v>
      </c>
      <c r="D18164" s="5" t="s">
        <v>22254</v>
      </c>
      <c r="E18164" s="6" t="str">
        <f>HYPERLINK("https://inpn.mnhn.fr/espece/cd_nom/79175","Silo nigricornis (Pictet, 1834)")</f>
        <v>Silo nigricornis (Pictet, 1834)</v>
      </c>
      <c r="AH18164" s="4" t="str">
        <f>HYPERLINK("#Statut_biogéographique!A"&amp;_xlfn.XMATCH("P",Statut_biogéographique!A:A,2,1),"P")</f>
        <v>P</v>
      </c>
      <c r="AP18164" s="4" t="s">
        <v>376</v>
      </c>
      <c r="AR18164" s="4" t="s">
        <v>377</v>
      </c>
    </row>
    <row r="18165" spans="1:44" ht="30">
      <c r="A18165" s="4" t="s">
        <v>10753</v>
      </c>
      <c r="B18165" s="4">
        <v>79181</v>
      </c>
      <c r="D18165" s="5" t="s">
        <v>22255</v>
      </c>
      <c r="E18165" s="6" t="str">
        <f>HYPERLINK("https://inpn.mnhn.fr/espece/cd_nom/79181","Ecclisopteryx guttulata (Pictet, 1834)")</f>
        <v>Ecclisopteryx guttulata (Pictet, 1834)</v>
      </c>
      <c r="AH18165" s="4" t="str">
        <f>HYPERLINK("#Statut_biogéographique!A"&amp;_xlfn.XMATCH("P",Statut_biogéographique!A:A,2,1),"P")</f>
        <v>P</v>
      </c>
      <c r="AP18165" s="4" t="s">
        <v>376</v>
      </c>
      <c r="AR18165" s="4" t="s">
        <v>377</v>
      </c>
    </row>
    <row r="18166" spans="1:44" ht="30">
      <c r="A18166" s="4" t="s">
        <v>10753</v>
      </c>
      <c r="B18166" s="4">
        <v>791826</v>
      </c>
      <c r="D18166" s="5" t="s">
        <v>22256</v>
      </c>
      <c r="E18166" s="6" t="str">
        <f>HYPERLINK("https://inpn.mnhn.fr/espece/cd_nom/791826","Phylloecus niger (M. Harris, 1779)")</f>
        <v>Phylloecus niger (M. Harris, 1779)</v>
      </c>
      <c r="AH18166" s="4" t="str">
        <f>HYPERLINK("#Statut_biogéographique!A"&amp;_xlfn.XMATCH("P",Statut_biogéographique!A:A,2,1),"P")</f>
        <v>P</v>
      </c>
      <c r="AP18166" s="4" t="s">
        <v>376</v>
      </c>
      <c r="AR18166" s="4" t="s">
        <v>377</v>
      </c>
    </row>
    <row r="18167" spans="1:44" ht="30">
      <c r="A18167" s="4" t="s">
        <v>10753</v>
      </c>
      <c r="B18167" s="4">
        <v>791827</v>
      </c>
      <c r="D18167" s="5" t="s">
        <v>22257</v>
      </c>
      <c r="E18167" s="6" t="str">
        <f>HYPERLINK("https://inpn.mnhn.fr/espece/cd_nom/791827","Phylloecus xanthostoma (Eversmann, 1847)")</f>
        <v>Phylloecus xanthostoma (Eversmann, 1847)</v>
      </c>
      <c r="AH18167" s="4" t="str">
        <f>HYPERLINK("#Statut_biogéographique!A"&amp;_xlfn.XMATCH("P",Statut_biogéographique!A:A,2,1),"P")</f>
        <v>P</v>
      </c>
      <c r="AP18167" s="4" t="s">
        <v>376</v>
      </c>
      <c r="AR18167" s="4" t="s">
        <v>377</v>
      </c>
    </row>
    <row r="18168" spans="1:44">
      <c r="A18168" s="4" t="s">
        <v>10753</v>
      </c>
      <c r="B18168" s="4">
        <v>79185</v>
      </c>
      <c r="D18168" s="5" t="s">
        <v>22258</v>
      </c>
      <c r="E18168" s="6" t="str">
        <f>HYPERLINK("https://inpn.mnhn.fr/espece/cd_nom/79185","Crunoecia irrorata (Curtis, 1834)")</f>
        <v>Crunoecia irrorata (Curtis, 1834)</v>
      </c>
      <c r="AH18168" s="4" t="str">
        <f>HYPERLINK("#Statut_biogéographique!A"&amp;_xlfn.XMATCH("P",Statut_biogéographique!A:A,2,1),"P")</f>
        <v>P</v>
      </c>
      <c r="AP18168" s="4" t="s">
        <v>376</v>
      </c>
      <c r="AR18168" s="4" t="s">
        <v>377</v>
      </c>
    </row>
    <row r="18169" spans="1:44" ht="30">
      <c r="A18169" s="4" t="s">
        <v>10753</v>
      </c>
      <c r="B18169" s="4">
        <v>79187</v>
      </c>
      <c r="D18169" s="5" t="s">
        <v>22259</v>
      </c>
      <c r="E18169" s="6" t="str">
        <f>HYPERLINK("https://inpn.mnhn.fr/espece/cd_nom/79187","Cheumatopsyche lepida (Pictet, 1834)")</f>
        <v>Cheumatopsyche lepida (Pictet, 1834)</v>
      </c>
      <c r="AH18169" s="4" t="str">
        <f>HYPERLINK("#Statut_biogéographique!A"&amp;_xlfn.XMATCH("P",Statut_biogéographique!A:A,2,1),"P")</f>
        <v>P</v>
      </c>
      <c r="AP18169" s="4" t="s">
        <v>376</v>
      </c>
      <c r="AR18169" s="4" t="s">
        <v>377</v>
      </c>
    </row>
    <row r="18170" spans="1:44" ht="30">
      <c r="A18170" s="4" t="s">
        <v>10753</v>
      </c>
      <c r="B18170" s="4">
        <v>79189</v>
      </c>
      <c r="D18170" s="5" t="s">
        <v>22260</v>
      </c>
      <c r="E18170" s="6" t="str">
        <f>HYPERLINK("https://inpn.mnhn.fr/espece/cd_nom/79189","Adicella filicornis (Pictet, 1834)")</f>
        <v>Adicella filicornis (Pictet, 1834)</v>
      </c>
      <c r="AH18170" s="4" t="str">
        <f>HYPERLINK("#Statut_biogéographique!A"&amp;_xlfn.XMATCH("P",Statut_biogéographique!A:A,2,1),"P")</f>
        <v>P</v>
      </c>
      <c r="AP18170" s="4" t="s">
        <v>376</v>
      </c>
      <c r="AR18170" s="4" t="s">
        <v>377</v>
      </c>
    </row>
    <row r="18171" spans="1:44">
      <c r="A18171" s="4" t="s">
        <v>10753</v>
      </c>
      <c r="B18171" s="4">
        <v>79190</v>
      </c>
      <c r="D18171" s="5" t="s">
        <v>22261</v>
      </c>
      <c r="E18171" s="6" t="str">
        <f>HYPERLINK("https://inpn.mnhn.fr/espece/cd_nom/79190","Adicella reducta (McLachlan, 1865)")</f>
        <v>Adicella reducta (McLachlan, 1865)</v>
      </c>
      <c r="AH18171" s="4" t="str">
        <f>HYPERLINK("#Statut_biogéographique!A"&amp;_xlfn.XMATCH("P",Statut_biogéographique!A:A,2,1),"P")</f>
        <v>P</v>
      </c>
      <c r="AP18171" s="4" t="s">
        <v>376</v>
      </c>
      <c r="AR18171" s="4" t="s">
        <v>377</v>
      </c>
    </row>
    <row r="18172" spans="1:44">
      <c r="A18172" s="4" t="s">
        <v>10753</v>
      </c>
      <c r="B18172" s="4">
        <v>791931</v>
      </c>
      <c r="D18172" s="5" t="s">
        <v>22262</v>
      </c>
      <c r="E18172" s="6" t="str">
        <f>HYPERLINK("https://inpn.mnhn.fr/espece/cd_nom/791931","Euura bridgmanii (Cameron, 1883)")</f>
        <v>Euura bridgmanii (Cameron, 1883)</v>
      </c>
      <c r="AH18172" s="4" t="str">
        <f>HYPERLINK("#Statut_biogéographique!A"&amp;_xlfn.XMATCH("P",Statut_biogéographique!A:A,2,1),"P")</f>
        <v>P</v>
      </c>
      <c r="AP18172" s="4" t="s">
        <v>376</v>
      </c>
      <c r="AR18172" s="4" t="s">
        <v>377</v>
      </c>
    </row>
    <row r="18173" spans="1:44" ht="30">
      <c r="A18173" s="4" t="s">
        <v>10753</v>
      </c>
      <c r="B18173" s="4">
        <v>791939</v>
      </c>
      <c r="D18173" s="5" t="s">
        <v>22263</v>
      </c>
      <c r="E18173" s="6" t="str">
        <f>HYPERLINK("https://inpn.mnhn.fr/espece/cd_nom/791939","Euura proxima (Audinet-Serville, 1823)")</f>
        <v>Euura proxima (Audinet-Serville, 1823)</v>
      </c>
      <c r="AH18173" s="4" t="str">
        <f>HYPERLINK("#Statut_biogéographique!A"&amp;_xlfn.XMATCH("P",Statut_biogéographique!A:A,2,1),"P")</f>
        <v>P</v>
      </c>
      <c r="AP18173" s="4" t="s">
        <v>376</v>
      </c>
      <c r="AR18173" s="4" t="s">
        <v>377</v>
      </c>
    </row>
    <row r="18174" spans="1:44" ht="45">
      <c r="A18174" s="4" t="s">
        <v>10753</v>
      </c>
      <c r="B18174" s="4">
        <v>791944</v>
      </c>
      <c r="D18174" s="5" t="s">
        <v>22264</v>
      </c>
      <c r="E18174" s="6" t="str">
        <f>HYPERLINK("https://inpn.mnhn.fr/espece/cd_nom/791944","Euura viminalis (Linnaeus, 1758)")</f>
        <v>Euura viminalis (Linnaeus, 1758)</v>
      </c>
      <c r="AH18174" s="4" t="str">
        <f>HYPERLINK("#Statut_biogéographique!A"&amp;_xlfn.XMATCH("P",Statut_biogéographique!A:A,2,1),"P")</f>
        <v>P</v>
      </c>
      <c r="AP18174" s="4" t="s">
        <v>376</v>
      </c>
      <c r="AR18174" s="4" t="s">
        <v>377</v>
      </c>
    </row>
    <row r="18175" spans="1:44">
      <c r="A18175" s="4" t="s">
        <v>10753</v>
      </c>
      <c r="B18175" s="4">
        <v>79202</v>
      </c>
      <c r="D18175" s="5" t="s">
        <v>22265</v>
      </c>
      <c r="E18175" s="6" t="str">
        <f>HYPERLINK("https://inpn.mnhn.fr/espece/cd_nom/79202","Lepismachilis targionii (Grassi, 1887)")</f>
        <v>Lepismachilis targionii (Grassi, 1887)</v>
      </c>
      <c r="AH18175" s="4" t="str">
        <f>HYPERLINK("#Statut_biogéographique!A"&amp;_xlfn.XMATCH("P",Statut_biogéographique!A:A,2,1),"P")</f>
        <v>P</v>
      </c>
      <c r="AP18175" s="4" t="s">
        <v>376</v>
      </c>
      <c r="AR18175" s="4" t="s">
        <v>377</v>
      </c>
    </row>
    <row r="18176" spans="1:44" ht="30">
      <c r="A18176" s="4" t="s">
        <v>10753</v>
      </c>
      <c r="B18176" s="4">
        <v>79227</v>
      </c>
      <c r="D18176" s="5" t="s">
        <v>22266</v>
      </c>
      <c r="E18176" s="6" t="str">
        <f>HYPERLINK("https://inpn.mnhn.fr/espece/cd_nom/79227","Lepisma saccharina Linnaeus, 1758")</f>
        <v>Lepisma saccharina Linnaeus, 1758</v>
      </c>
      <c r="F18176" s="5" t="s">
        <v>22267</v>
      </c>
      <c r="AH18176" s="4" t="str">
        <f>HYPERLINK("#Statut_biogéographique!A"&amp;_xlfn.XMATCH("P",Statut_biogéographique!A:A,2,1),"P")</f>
        <v>P</v>
      </c>
      <c r="AP18176" s="4" t="s">
        <v>376</v>
      </c>
      <c r="AR18176" s="4" t="s">
        <v>377</v>
      </c>
    </row>
    <row r="18177" spans="1:44">
      <c r="A18177" s="4" t="s">
        <v>10753</v>
      </c>
      <c r="B18177" s="4">
        <v>79239</v>
      </c>
      <c r="D18177" s="5" t="s">
        <v>22268</v>
      </c>
      <c r="E18177" s="6" t="str">
        <f>HYPERLINK("https://inpn.mnhn.fr/espece/cd_nom/79239","Atelura formicaria Heyden, 1855")</f>
        <v>Atelura formicaria Heyden, 1855</v>
      </c>
      <c r="AH18177" s="4" t="str">
        <f>HYPERLINK("#Statut_biogéographique!A"&amp;_xlfn.XMATCH("P",Statut_biogéographique!A:A,2,1),"P")</f>
        <v>P</v>
      </c>
      <c r="AP18177" s="4" t="s">
        <v>376</v>
      </c>
      <c r="AR18177" s="4" t="s">
        <v>377</v>
      </c>
    </row>
    <row r="18178" spans="1:44">
      <c r="A18178" s="4" t="s">
        <v>10753</v>
      </c>
      <c r="B18178" s="4">
        <v>792580</v>
      </c>
      <c r="D18178" s="5" t="s">
        <v>22269</v>
      </c>
      <c r="E18178" s="6" t="str">
        <f>HYPERLINK("https://inpn.mnhn.fr/espece/cd_nom/792580","Onthophagus medius (Kugelann, 1792)")</f>
        <v>Onthophagus medius (Kugelann, 1792)</v>
      </c>
      <c r="AH18178" s="4" t="str">
        <f>HYPERLINK("#Statut_biogéographique!A"&amp;_xlfn.XMATCH("P",Statut_biogéographique!A:A,2,1),"P")</f>
        <v>P</v>
      </c>
      <c r="AP18178" s="4" t="s">
        <v>376</v>
      </c>
      <c r="AR18178" s="4" t="s">
        <v>377</v>
      </c>
    </row>
    <row r="18179" spans="1:44" ht="30">
      <c r="A18179" s="4" t="s">
        <v>10753</v>
      </c>
      <c r="B18179" s="4">
        <v>792589</v>
      </c>
      <c r="D18179" s="5" t="s">
        <v>22270</v>
      </c>
      <c r="E18179" s="6" t="str">
        <f>HYPERLINK("https://inpn.mnhn.fr/espece/cd_nom/792589","Drilus flavescens (Geoffroy in Fourcroy, 1785)")</f>
        <v>Drilus flavescens (Geoffroy in Fourcroy, 1785)</v>
      </c>
      <c r="F18179" s="5" t="s">
        <v>22271</v>
      </c>
      <c r="AH18179" s="4" t="str">
        <f>HYPERLINK("#Statut_biogéographique!A"&amp;_xlfn.XMATCH("P",Statut_biogéographique!A:A,2,1),"P")</f>
        <v>P</v>
      </c>
      <c r="AP18179" s="4" t="s">
        <v>376</v>
      </c>
      <c r="AR18179" s="4" t="s">
        <v>377</v>
      </c>
    </row>
    <row r="18180" spans="1:44">
      <c r="A18180" s="4" t="s">
        <v>10753</v>
      </c>
      <c r="B18180" s="4">
        <v>792696</v>
      </c>
      <c r="D18180" s="5" t="s">
        <v>22272</v>
      </c>
      <c r="E18180" s="6" t="str">
        <f>HYPERLINK("https://inpn.mnhn.fr/espece/cd_nom/792696","Diplocoelus fagi (Chevrolat, 1837)")</f>
        <v>Diplocoelus fagi (Chevrolat, 1837)</v>
      </c>
      <c r="AH18180" s="4" t="str">
        <f>HYPERLINK("#Statut_biogéographique!A"&amp;_xlfn.XMATCH("P",Statut_biogéographique!A:A,2,1),"P")</f>
        <v>P</v>
      </c>
      <c r="AP18180" s="4" t="s">
        <v>376</v>
      </c>
      <c r="AR18180" s="4" t="s">
        <v>377</v>
      </c>
    </row>
    <row r="18181" spans="1:44">
      <c r="A18181" s="4" t="s">
        <v>10753</v>
      </c>
      <c r="B18181" s="4">
        <v>792855</v>
      </c>
      <c r="D18181" s="5" t="s">
        <v>22273</v>
      </c>
      <c r="E18181" s="6" t="str">
        <f>HYPERLINK("https://inpn.mnhn.fr/espece/cd_nom/792855","Cis castaneus (Herbst, 1793)")</f>
        <v>Cis castaneus (Herbst, 1793)</v>
      </c>
      <c r="AH18181" s="4" t="str">
        <f>HYPERLINK("#Statut_biogéographique!A"&amp;_xlfn.XMATCH("P",Statut_biogéographique!A:A,2,1),"P")</f>
        <v>P</v>
      </c>
      <c r="AP18181" s="4" t="s">
        <v>376</v>
      </c>
      <c r="AR18181" s="4" t="s">
        <v>377</v>
      </c>
    </row>
    <row r="18182" spans="1:44">
      <c r="A18182" s="4" t="s">
        <v>10753</v>
      </c>
      <c r="B18182" s="4">
        <v>792889</v>
      </c>
      <c r="D18182" s="5" t="s">
        <v>22274</v>
      </c>
      <c r="E18182" s="6" t="str">
        <f>HYPERLINK("https://inpn.mnhn.fr/espece/cd_nom/792889","Mantura mathewsii (Curtis, 1833)")</f>
        <v>Mantura mathewsii (Curtis, 1833)</v>
      </c>
      <c r="AH18182" s="4" t="str">
        <f>HYPERLINK("#Statut_biogéographique!A"&amp;_xlfn.XMATCH("P",Statut_biogéographique!A:A,2,1),"P")</f>
        <v>P</v>
      </c>
      <c r="AP18182" s="4" t="s">
        <v>376</v>
      </c>
      <c r="AR18182" s="4" t="s">
        <v>377</v>
      </c>
    </row>
    <row r="18183" spans="1:44" ht="30">
      <c r="A18183" s="4" t="s">
        <v>10753</v>
      </c>
      <c r="B18183" s="4">
        <v>792890</v>
      </c>
      <c r="D18183" s="5" t="s">
        <v>22275</v>
      </c>
      <c r="E18183" s="6" t="str">
        <f>HYPERLINK("https://inpn.mnhn.fr/espece/cd_nom/792890","Phyllotreta striolata (Illiger, 1803)")</f>
        <v>Phyllotreta striolata (Illiger, 1803)</v>
      </c>
      <c r="AH18183" s="4" t="str">
        <f>HYPERLINK("#Statut_biogéographique!A"&amp;_xlfn.XMATCH("P",Statut_biogéographique!A:A,2,1),"P")</f>
        <v>P</v>
      </c>
      <c r="AP18183" s="4" t="s">
        <v>376</v>
      </c>
      <c r="AR18183" s="4" t="s">
        <v>377</v>
      </c>
    </row>
    <row r="18184" spans="1:44">
      <c r="A18184" s="4" t="s">
        <v>10753</v>
      </c>
      <c r="B18184" s="4">
        <v>792965</v>
      </c>
      <c r="D18184" s="5" t="s">
        <v>22276</v>
      </c>
      <c r="E18184" s="6" t="str">
        <f>HYPERLINK("https://inpn.mnhn.fr/espece/cd_nom/792965","Cryphalus asperatus (Gyllenhal, 1813)")</f>
        <v>Cryphalus asperatus (Gyllenhal, 1813)</v>
      </c>
      <c r="AH18184" s="4" t="str">
        <f>HYPERLINK("#Statut_biogéographique!A"&amp;_xlfn.XMATCH("P",Statut_biogéographique!A:A,2,1),"P")</f>
        <v>P</v>
      </c>
      <c r="AP18184" s="4" t="s">
        <v>376</v>
      </c>
      <c r="AR18184" s="4" t="s">
        <v>377</v>
      </c>
    </row>
    <row r="18185" spans="1:44">
      <c r="A18185" s="4" t="s">
        <v>10753</v>
      </c>
      <c r="B18185" s="4">
        <v>794220</v>
      </c>
      <c r="D18185" s="5" t="s">
        <v>22277</v>
      </c>
      <c r="E18185" s="6" t="str">
        <f>HYPERLINK("https://inpn.mnhn.fr/espece/cd_nom/794220","Hydroporus figuratus (Gyllenhal, 1826)")</f>
        <v>Hydroporus figuratus (Gyllenhal, 1826)</v>
      </c>
      <c r="AH18185" s="4" t="str">
        <f>HYPERLINK("#Statut_biogéographique!A"&amp;_xlfn.XMATCH("P",Statut_biogéographique!A:A,2,1),"P")</f>
        <v>P</v>
      </c>
      <c r="AP18185" s="4" t="s">
        <v>376</v>
      </c>
      <c r="AR18185" s="4" t="s">
        <v>377</v>
      </c>
    </row>
    <row r="18186" spans="1:44">
      <c r="A18186" s="4" t="s">
        <v>10753</v>
      </c>
      <c r="B18186" s="4">
        <v>794227</v>
      </c>
      <c r="D18186" s="5" t="s">
        <v>22278</v>
      </c>
      <c r="E18186" s="6" t="str">
        <f>HYPERLINK("https://inpn.mnhn.fr/espece/cd_nom/794227","Dyschirius aeneus (Dejean, 1825)")</f>
        <v>Dyschirius aeneus (Dejean, 1825)</v>
      </c>
      <c r="AH18186" s="4" t="str">
        <f>HYPERLINK("#Statut_biogéographique!A"&amp;_xlfn.XMATCH("P",Statut_biogéographique!A:A,2,1),"P")</f>
        <v>P</v>
      </c>
      <c r="AP18186" s="4" t="s">
        <v>376</v>
      </c>
      <c r="AR18186" s="4" t="s">
        <v>377</v>
      </c>
    </row>
    <row r="18187" spans="1:44">
      <c r="A18187" s="4" t="s">
        <v>10753</v>
      </c>
      <c r="B18187" s="4">
        <v>794231</v>
      </c>
      <c r="D18187" s="5" t="s">
        <v>22279</v>
      </c>
      <c r="E18187" s="6" t="str">
        <f>HYPERLINK("https://inpn.mnhn.fr/espece/cd_nom/794231","Dyschirius laeviusculus Putzeys, 1846")</f>
        <v>Dyschirius laeviusculus Putzeys, 1846</v>
      </c>
      <c r="AH18187" s="4" t="str">
        <f>HYPERLINK("#Statut_biogéographique!A"&amp;_xlfn.XMATCH("P",Statut_biogéographique!A:A,2,1),"P")</f>
        <v>P</v>
      </c>
      <c r="AP18187" s="4" t="s">
        <v>376</v>
      </c>
      <c r="AR18187" s="4" t="s">
        <v>377</v>
      </c>
    </row>
    <row r="18188" spans="1:44">
      <c r="A18188" s="4" t="s">
        <v>10753</v>
      </c>
      <c r="B18188" s="4">
        <v>794242</v>
      </c>
      <c r="D18188" s="5" t="s">
        <v>22280</v>
      </c>
      <c r="E18188" s="6" t="str">
        <f>HYPERLINK("https://inpn.mnhn.fr/espece/cd_nom/794242","Bembidion lunatum (Duftschmid, 1812)")</f>
        <v>Bembidion lunatum (Duftschmid, 1812)</v>
      </c>
      <c r="AH18188" s="4" t="str">
        <f>HYPERLINK("#Statut_biogéographique!A"&amp;_xlfn.XMATCH("P",Statut_biogéographique!A:A,2,1),"P")</f>
        <v>P</v>
      </c>
      <c r="AP18188" s="4" t="s">
        <v>376</v>
      </c>
      <c r="AR18188" s="4" t="s">
        <v>377</v>
      </c>
    </row>
    <row r="18189" spans="1:44">
      <c r="A18189" s="4" t="s">
        <v>10753</v>
      </c>
      <c r="B18189" s="4">
        <v>794244</v>
      </c>
      <c r="D18189" s="5" t="s">
        <v>22281</v>
      </c>
      <c r="E18189" s="6" t="str">
        <f>HYPERLINK("https://inpn.mnhn.fr/espece/cd_nom/794244","Bembidion complanatum Heer, 1837")</f>
        <v>Bembidion complanatum Heer, 1837</v>
      </c>
      <c r="AH18189" s="4" t="str">
        <f>HYPERLINK("#Statut_biogéographique!A"&amp;_xlfn.XMATCH("P",Statut_biogéographique!A:A,2,1),"P")</f>
        <v>P</v>
      </c>
      <c r="AP18189" s="4" t="s">
        <v>376</v>
      </c>
      <c r="AR18189" s="4" t="s">
        <v>377</v>
      </c>
    </row>
    <row r="18190" spans="1:44">
      <c r="A18190" s="4" t="s">
        <v>10753</v>
      </c>
      <c r="B18190" s="4">
        <v>794255</v>
      </c>
      <c r="D18190" s="5" t="s">
        <v>22282</v>
      </c>
      <c r="E18190" s="6" t="str">
        <f>HYPERLINK("https://inpn.mnhn.fr/espece/cd_nom/794255","Bembidion azurescens Dalla Torre, 1877")</f>
        <v>Bembidion azurescens Dalla Torre, 1877</v>
      </c>
      <c r="AH18190" s="4" t="str">
        <f>HYPERLINK("#Statut_biogéographique!A"&amp;_xlfn.XMATCH("P",Statut_biogéographique!A:A,2,1),"P")</f>
        <v>P</v>
      </c>
      <c r="AP18190" s="4" t="s">
        <v>376</v>
      </c>
      <c r="AR18190" s="4" t="s">
        <v>377</v>
      </c>
    </row>
    <row r="18191" spans="1:44">
      <c r="A18191" s="4" t="s">
        <v>10753</v>
      </c>
      <c r="B18191" s="4">
        <v>794259</v>
      </c>
      <c r="D18191" s="5" t="s">
        <v>22283</v>
      </c>
      <c r="E18191" s="6" t="str">
        <f>HYPERLINK("https://inpn.mnhn.fr/espece/cd_nom/794259","Bembidion fluviatile Dejean, 1831")</f>
        <v>Bembidion fluviatile Dejean, 1831</v>
      </c>
      <c r="AH18191" s="4" t="str">
        <f>HYPERLINK("#Statut_biogéographique!A"&amp;_xlfn.XMATCH("P",Statut_biogéographique!A:A,2,1),"P")</f>
        <v>P</v>
      </c>
      <c r="AP18191" s="4" t="s">
        <v>376</v>
      </c>
      <c r="AR18191" s="4" t="s">
        <v>377</v>
      </c>
    </row>
    <row r="18192" spans="1:44">
      <c r="A18192" s="4" t="s">
        <v>10753</v>
      </c>
      <c r="B18192" s="4">
        <v>794263</v>
      </c>
      <c r="D18192" s="5" t="s">
        <v>22284</v>
      </c>
      <c r="E18192" s="6" t="str">
        <f>HYPERLINK("https://inpn.mnhn.fr/espece/cd_nom/794263","Bembidion testaceum (Duftschmid, 1812)")</f>
        <v>Bembidion testaceum (Duftschmid, 1812)</v>
      </c>
      <c r="AH18192" s="4" t="str">
        <f>HYPERLINK("#Statut_biogéographique!A"&amp;_xlfn.XMATCH("P",Statut_biogéographique!A:A,2,1),"P")</f>
        <v>P</v>
      </c>
      <c r="AP18192" s="4" t="s">
        <v>376</v>
      </c>
      <c r="AR18192" s="4" t="s">
        <v>377</v>
      </c>
    </row>
    <row r="18193" spans="1:44">
      <c r="A18193" s="4" t="s">
        <v>10753</v>
      </c>
      <c r="B18193" s="4">
        <v>794269</v>
      </c>
      <c r="D18193" s="5" t="s">
        <v>22285</v>
      </c>
      <c r="E18193" s="6" t="str">
        <f>HYPERLINK("https://inpn.mnhn.fr/espece/cd_nom/794269","Bembidion obliquum Sturm, 1825")</f>
        <v>Bembidion obliquum Sturm, 1825</v>
      </c>
      <c r="AH18193" s="4" t="str">
        <f>HYPERLINK("#Statut_biogéographique!A"&amp;_xlfn.XMATCH("P",Statut_biogéographique!A:A,2,1),"P")</f>
        <v>P</v>
      </c>
      <c r="AP18193" s="4" t="s">
        <v>376</v>
      </c>
      <c r="AR18193" s="4" t="s">
        <v>377</v>
      </c>
    </row>
    <row r="18194" spans="1:44">
      <c r="A18194" s="4" t="s">
        <v>10753</v>
      </c>
      <c r="B18194" s="4">
        <v>794271</v>
      </c>
      <c r="D18194" s="5" t="s">
        <v>22286</v>
      </c>
      <c r="E18194" s="6" t="str">
        <f>HYPERLINK("https://inpn.mnhn.fr/espece/cd_nom/794271","Bembidion varium (Olivier, 1795)")</f>
        <v>Bembidion varium (Olivier, 1795)</v>
      </c>
      <c r="AH18194" s="4" t="str">
        <f>HYPERLINK("#Statut_biogéographique!A"&amp;_xlfn.XMATCH("P",Statut_biogéographique!A:A,2,1),"P")</f>
        <v>P</v>
      </c>
      <c r="AP18194" s="4" t="s">
        <v>376</v>
      </c>
      <c r="AR18194" s="4" t="s">
        <v>377</v>
      </c>
    </row>
    <row r="18195" spans="1:44">
      <c r="A18195" s="4" t="s">
        <v>10753</v>
      </c>
      <c r="B18195" s="4">
        <v>794277</v>
      </c>
      <c r="D18195" s="5" t="s">
        <v>22287</v>
      </c>
      <c r="E18195" s="6" t="str">
        <f>HYPERLINK("https://inpn.mnhn.fr/espece/cd_nom/794277","Bembidion striatum (Fabricius, 1792)")</f>
        <v>Bembidion striatum (Fabricius, 1792)</v>
      </c>
      <c r="AH18195" s="4" t="str">
        <f>HYPERLINK("#Statut_biogéographique!A"&amp;_xlfn.XMATCH("P",Statut_biogéographique!A:A,2,1),"P")</f>
        <v>P</v>
      </c>
      <c r="AP18195" s="4" t="s">
        <v>376</v>
      </c>
      <c r="AR18195" s="4" t="s">
        <v>377</v>
      </c>
    </row>
    <row r="18196" spans="1:44" ht="30">
      <c r="A18196" s="4" t="s">
        <v>10753</v>
      </c>
      <c r="B18196" s="4">
        <v>794280</v>
      </c>
      <c r="D18196" s="5" t="s">
        <v>22288</v>
      </c>
      <c r="E18196" s="6" t="str">
        <f>HYPERLINK("https://inpn.mnhn.fr/espece/cd_nom/794280","Bembidion deletum Audinet-Serville, 1821")</f>
        <v>Bembidion deletum Audinet-Serville, 1821</v>
      </c>
      <c r="AH18196" s="4" t="str">
        <f>HYPERLINK("#Statut_biogéographique!A"&amp;_xlfn.XMATCH("P",Statut_biogéographique!A:A,2,1),"P")</f>
        <v>P</v>
      </c>
      <c r="AP18196" s="4" t="s">
        <v>376</v>
      </c>
      <c r="AR18196" s="4" t="s">
        <v>377</v>
      </c>
    </row>
    <row r="18197" spans="1:44">
      <c r="A18197" s="4" t="s">
        <v>10753</v>
      </c>
      <c r="B18197" s="4">
        <v>794284</v>
      </c>
      <c r="D18197" s="5" t="s">
        <v>22289</v>
      </c>
      <c r="E18197" s="6" t="str">
        <f>HYPERLINK("https://inpn.mnhn.fr/espece/cd_nom/794284","Bembidion latinum Netolitzky, 1911")</f>
        <v>Bembidion latinum Netolitzky, 1911</v>
      </c>
      <c r="AH18197" s="4" t="str">
        <f>HYPERLINK("#Statut_biogéographique!A"&amp;_xlfn.XMATCH("P",Statut_biogéographique!A:A,2,1),"P")</f>
        <v>P</v>
      </c>
      <c r="AP18197" s="4" t="s">
        <v>376</v>
      </c>
      <c r="AR18197" s="4" t="s">
        <v>377</v>
      </c>
    </row>
    <row r="18198" spans="1:44" ht="30">
      <c r="A18198" s="4" t="s">
        <v>10753</v>
      </c>
      <c r="B18198" s="4">
        <v>794285</v>
      </c>
      <c r="D18198" s="5" t="s">
        <v>22290</v>
      </c>
      <c r="E18198" s="6" t="str">
        <f>HYPERLINK("https://inpn.mnhn.fr/espece/cd_nom/794285","Bembidion milleri Jacquelin du Val, 1852")</f>
        <v>Bembidion milleri Jacquelin du Val, 1852</v>
      </c>
      <c r="AH18198" s="4" t="str">
        <f>HYPERLINK("#Statut_biogéographique!A"&amp;_xlfn.XMATCH("P",Statut_biogéographique!A:A,2,1),"P")</f>
        <v>P</v>
      </c>
      <c r="AP18198" s="4" t="s">
        <v>376</v>
      </c>
      <c r="AR18198" s="4" t="s">
        <v>377</v>
      </c>
    </row>
    <row r="18199" spans="1:44">
      <c r="A18199" s="4" t="s">
        <v>10753</v>
      </c>
      <c r="B18199" s="4">
        <v>794286</v>
      </c>
      <c r="D18199" s="5" t="s">
        <v>22291</v>
      </c>
      <c r="E18199" s="6" t="str">
        <f>HYPERLINK("https://inpn.mnhn.fr/espece/cd_nom/794286","Bembidion monticola Sturm, 1825")</f>
        <v>Bembidion monticola Sturm, 1825</v>
      </c>
      <c r="AH18199" s="4" t="str">
        <f>HYPERLINK("#Statut_biogéographique!A"&amp;_xlfn.XMATCH("P",Statut_biogéographique!A:A,2,1),"P")</f>
        <v>P</v>
      </c>
      <c r="AP18199" s="4" t="s">
        <v>376</v>
      </c>
      <c r="AR18199" s="4" t="s">
        <v>377</v>
      </c>
    </row>
    <row r="18200" spans="1:44">
      <c r="A18200" s="4" t="s">
        <v>10753</v>
      </c>
      <c r="B18200" s="4">
        <v>794287</v>
      </c>
      <c r="D18200" s="5" t="s">
        <v>22292</v>
      </c>
      <c r="E18200" s="6" t="str">
        <f>HYPERLINK("https://inpn.mnhn.fr/espece/cd_nom/794287","Bembidion andreae (Fabricius, 1787)")</f>
        <v>Bembidion andreae (Fabricius, 1787)</v>
      </c>
      <c r="AH18200" s="4" t="str">
        <f>HYPERLINK("#Statut_biogéographique!A"&amp;_xlfn.XMATCH("P",Statut_biogéographique!A:A,2,1),"P")</f>
        <v>P</v>
      </c>
      <c r="AP18200" s="4" t="s">
        <v>376</v>
      </c>
      <c r="AR18200" s="4" t="s">
        <v>377</v>
      </c>
    </row>
    <row r="18201" spans="1:44">
      <c r="A18201" s="4" t="s">
        <v>10753</v>
      </c>
      <c r="B18201" s="4">
        <v>794293</v>
      </c>
      <c r="D18201" s="5" t="s">
        <v>22293</v>
      </c>
      <c r="E18201" s="6" t="str">
        <f>HYPERLINK("https://inpn.mnhn.fr/espece/cd_nom/794293","Bembidion biguttatum (Fabricius, 1779)")</f>
        <v>Bembidion biguttatum (Fabricius, 1779)</v>
      </c>
      <c r="AH18201" s="4" t="str">
        <f>HYPERLINK("#Statut_biogéographique!A"&amp;_xlfn.XMATCH("P",Statut_biogéographique!A:A,2,1),"P")</f>
        <v>P</v>
      </c>
      <c r="AP18201" s="4" t="s">
        <v>376</v>
      </c>
      <c r="AR18201" s="4" t="s">
        <v>377</v>
      </c>
    </row>
    <row r="18202" spans="1:44">
      <c r="A18202" s="4" t="s">
        <v>10753</v>
      </c>
      <c r="B18202" s="4">
        <v>794294</v>
      </c>
      <c r="D18202" s="5" t="s">
        <v>22294</v>
      </c>
      <c r="E18202" s="6" t="str">
        <f>HYPERLINK("https://inpn.mnhn.fr/espece/cd_nom/794294","Bembidion guttula (Fabricius, 1792)")</f>
        <v>Bembidion guttula (Fabricius, 1792)</v>
      </c>
      <c r="AH18202" s="4" t="str">
        <f>HYPERLINK("#Statut_biogéographique!A"&amp;_xlfn.XMATCH("P",Statut_biogéographique!A:A,2,1),"P")</f>
        <v>P</v>
      </c>
      <c r="AP18202" s="4" t="s">
        <v>376</v>
      </c>
      <c r="AR18202" s="4" t="s">
        <v>377</v>
      </c>
    </row>
    <row r="18203" spans="1:44">
      <c r="A18203" s="4" t="s">
        <v>10753</v>
      </c>
      <c r="B18203" s="4">
        <v>794295</v>
      </c>
      <c r="D18203" s="5" t="s">
        <v>22295</v>
      </c>
      <c r="E18203" s="6" t="str">
        <f>HYPERLINK("https://inpn.mnhn.fr/espece/cd_nom/794295","Bembidion iricolor Bedel, 1879")</f>
        <v>Bembidion iricolor Bedel, 1879</v>
      </c>
      <c r="AH18203" s="4" t="str">
        <f>HYPERLINK("#Statut_biogéographique!A"&amp;_xlfn.XMATCH("P",Statut_biogéographique!A:A,2,1),"P")</f>
        <v>P</v>
      </c>
      <c r="AP18203" s="4" t="s">
        <v>376</v>
      </c>
      <c r="AR18203" s="4" t="s">
        <v>377</v>
      </c>
    </row>
    <row r="18204" spans="1:44">
      <c r="A18204" s="4" t="s">
        <v>10753</v>
      </c>
      <c r="B18204" s="4">
        <v>794296</v>
      </c>
      <c r="D18204" s="5" t="s">
        <v>22296</v>
      </c>
      <c r="E18204" s="6" t="str">
        <f>HYPERLINK("https://inpn.mnhn.fr/espece/cd_nom/794296","Bembidion lunulatum (Geoffroy, 1785)")</f>
        <v>Bembidion lunulatum (Geoffroy, 1785)</v>
      </c>
      <c r="F18204" s="5" t="s">
        <v>22297</v>
      </c>
      <c r="AH18204" s="4" t="str">
        <f>HYPERLINK("#Statut_biogéographique!A"&amp;_xlfn.XMATCH("P",Statut_biogéographique!A:A,2,1),"P")</f>
        <v>P</v>
      </c>
      <c r="AP18204" s="4" t="s">
        <v>376</v>
      </c>
      <c r="AR18204" s="4" t="s">
        <v>377</v>
      </c>
    </row>
    <row r="18205" spans="1:44">
      <c r="A18205" s="4" t="s">
        <v>10753</v>
      </c>
      <c r="B18205" s="4">
        <v>794297</v>
      </c>
      <c r="D18205" s="5" t="s">
        <v>22298</v>
      </c>
      <c r="E18205" s="6" t="str">
        <f>HYPERLINK("https://inpn.mnhn.fr/espece/cd_nom/794297","Bembidion mannerheimii Sahlberg, 1827")</f>
        <v>Bembidion mannerheimii Sahlberg, 1827</v>
      </c>
      <c r="AH18205" s="4" t="str">
        <f>HYPERLINK("#Statut_biogéographique!A"&amp;_xlfn.XMATCH("P",Statut_biogéographique!A:A,2,1),"P")</f>
        <v>P</v>
      </c>
      <c r="AP18205" s="4" t="s">
        <v>376</v>
      </c>
      <c r="AR18205" s="4" t="s">
        <v>377</v>
      </c>
    </row>
    <row r="18206" spans="1:44">
      <c r="A18206" s="4" t="s">
        <v>10753</v>
      </c>
      <c r="B18206" s="4">
        <v>794299</v>
      </c>
      <c r="D18206" s="5" t="s">
        <v>22299</v>
      </c>
      <c r="E18206" s="6" t="str">
        <f>HYPERLINK("https://inpn.mnhn.fr/espece/cd_nom/794299","Bembidion prasinum (Duftschmid, 1812)")</f>
        <v>Bembidion prasinum (Duftschmid, 1812)</v>
      </c>
      <c r="AH18206" s="4" t="str">
        <f>HYPERLINK("#Statut_biogéographique!A"&amp;_xlfn.XMATCH("P",Statut_biogéographique!A:A,2,1),"P")</f>
        <v>P</v>
      </c>
      <c r="AP18206" s="4" t="s">
        <v>376</v>
      </c>
      <c r="AR18206" s="4" t="s">
        <v>377</v>
      </c>
    </row>
    <row r="18207" spans="1:44">
      <c r="A18207" s="4" t="s">
        <v>10753</v>
      </c>
      <c r="B18207" s="4">
        <v>794300</v>
      </c>
      <c r="D18207" s="5" t="s">
        <v>22300</v>
      </c>
      <c r="E18207" s="6" t="str">
        <f>HYPERLINK("https://inpn.mnhn.fr/espece/cd_nom/794300","Bembidion gilvipes Sturm, 1825")</f>
        <v>Bembidion gilvipes Sturm, 1825</v>
      </c>
      <c r="AH18207" s="4" t="str">
        <f>HYPERLINK("#Statut_biogéographique!A"&amp;_xlfn.XMATCH("P",Statut_biogéographique!A:A,2,1),"P")</f>
        <v>P</v>
      </c>
      <c r="AP18207" s="4" t="s">
        <v>376</v>
      </c>
      <c r="AR18207" s="4" t="s">
        <v>377</v>
      </c>
    </row>
    <row r="18208" spans="1:44">
      <c r="A18208" s="4" t="s">
        <v>10753</v>
      </c>
      <c r="B18208" s="4">
        <v>794306</v>
      </c>
      <c r="D18208" s="5" t="s">
        <v>22301</v>
      </c>
      <c r="E18208" s="6" t="str">
        <f>HYPERLINK("https://inpn.mnhn.fr/espece/cd_nom/794306","Bembidion doris (Panzer, 1796)")</f>
        <v>Bembidion doris (Panzer, 1796)</v>
      </c>
      <c r="AH18208" s="4" t="str">
        <f>HYPERLINK("#Statut_biogéographique!A"&amp;_xlfn.XMATCH("P",Statut_biogéographique!A:A,2,1),"P")</f>
        <v>P</v>
      </c>
      <c r="AP18208" s="4" t="s">
        <v>376</v>
      </c>
      <c r="AR18208" s="4" t="s">
        <v>377</v>
      </c>
    </row>
    <row r="18209" spans="1:44">
      <c r="A18209" s="4" t="s">
        <v>10753</v>
      </c>
      <c r="B18209" s="4">
        <v>794307</v>
      </c>
      <c r="D18209" s="5" t="s">
        <v>22302</v>
      </c>
      <c r="E18209" s="6" t="str">
        <f>HYPERLINK("https://inpn.mnhn.fr/espece/cd_nom/794307","Bembidion articulatum (Panzer, 1795)")</f>
        <v>Bembidion articulatum (Panzer, 1795)</v>
      </c>
      <c r="AH18209" s="4" t="str">
        <f>HYPERLINK("#Statut_biogéographique!A"&amp;_xlfn.XMATCH("P",Statut_biogéographique!A:A,2,1),"P")</f>
        <v>P</v>
      </c>
      <c r="AP18209" s="4" t="s">
        <v>376</v>
      </c>
      <c r="AR18209" s="4" t="s">
        <v>377</v>
      </c>
    </row>
    <row r="18210" spans="1:44">
      <c r="A18210" s="4" t="s">
        <v>10753</v>
      </c>
      <c r="B18210" s="4">
        <v>794309</v>
      </c>
      <c r="D18210" s="5" t="s">
        <v>22303</v>
      </c>
      <c r="E18210" s="6" t="str">
        <f>HYPERLINK("https://inpn.mnhn.fr/espece/cd_nom/794309","Bembidion octomaculatum (Goeze, 1777)")</f>
        <v>Bembidion octomaculatum (Goeze, 1777)</v>
      </c>
      <c r="AH18210" s="4" t="str">
        <f>HYPERLINK("#Statut_biogéographique!A"&amp;_xlfn.XMATCH("P",Statut_biogéographique!A:A,2,1),"P")</f>
        <v>P</v>
      </c>
      <c r="AP18210" s="4" t="s">
        <v>376</v>
      </c>
      <c r="AR18210" s="4" t="s">
        <v>377</v>
      </c>
    </row>
    <row r="18211" spans="1:44">
      <c r="A18211" s="4" t="s">
        <v>10753</v>
      </c>
      <c r="B18211" s="4">
        <v>794323</v>
      </c>
      <c r="D18211" s="5" t="s">
        <v>22304</v>
      </c>
      <c r="E18211" s="6" t="str">
        <f>HYPERLINK("https://inpn.mnhn.fr/espece/cd_nom/794323","Trechus secalis (Paykull, 1790)")</f>
        <v>Trechus secalis (Paykull, 1790)</v>
      </c>
      <c r="AH18211" s="4" t="str">
        <f>HYPERLINK("#Statut_biogéographique!A"&amp;_xlfn.XMATCH("P",Statut_biogéographique!A:A,2,1),"P")</f>
        <v>P</v>
      </c>
      <c r="AP18211" s="4" t="s">
        <v>376</v>
      </c>
      <c r="AR18211" s="4" t="s">
        <v>377</v>
      </c>
    </row>
    <row r="18212" spans="1:44">
      <c r="A18212" s="4" t="s">
        <v>10753</v>
      </c>
      <c r="B18212" s="4">
        <v>794346</v>
      </c>
      <c r="D18212" s="5" t="s">
        <v>22305</v>
      </c>
      <c r="E18212" s="6" t="str">
        <f>HYPERLINK("https://inpn.mnhn.fr/espece/cd_nom/794346","Lebia chlorocephala (Hoffmann, 1803)")</f>
        <v>Lebia chlorocephala (Hoffmann, 1803)</v>
      </c>
      <c r="F18212" s="5" t="s">
        <v>22306</v>
      </c>
      <c r="AH18212" s="4" t="str">
        <f>HYPERLINK("#Statut_biogéographique!A"&amp;_xlfn.XMATCH("P",Statut_biogéographique!A:A,2,1),"P")</f>
        <v>P</v>
      </c>
      <c r="AP18212" s="4" t="s">
        <v>376</v>
      </c>
      <c r="AR18212" s="4" t="s">
        <v>377</v>
      </c>
    </row>
    <row r="18213" spans="1:44" ht="30">
      <c r="A18213" s="4" t="s">
        <v>10753</v>
      </c>
      <c r="B18213" s="4">
        <v>794363</v>
      </c>
      <c r="D18213" s="5" t="s">
        <v>22307</v>
      </c>
      <c r="E18213" s="6" t="str">
        <f>HYPERLINK("https://inpn.mnhn.fr/espece/cd_nom/794363","Enicocerus exsculptus (Germar, 1823)")</f>
        <v>Enicocerus exsculptus (Germar, 1823)</v>
      </c>
      <c r="AH18213" s="4" t="str">
        <f>HYPERLINK("#Statut_biogéographique!A"&amp;_xlfn.XMATCH("P",Statut_biogéographique!A:A,2,1),"P")</f>
        <v>P</v>
      </c>
      <c r="AP18213" s="4" t="s">
        <v>376</v>
      </c>
      <c r="AR18213" s="4" t="s">
        <v>377</v>
      </c>
    </row>
    <row r="18214" spans="1:44">
      <c r="A18214" s="4" t="s">
        <v>10753</v>
      </c>
      <c r="B18214" s="4">
        <v>794364</v>
      </c>
      <c r="D18214" s="5" t="s">
        <v>22308</v>
      </c>
      <c r="E18214" s="6" t="str">
        <f>HYPERLINK("https://inpn.mnhn.fr/espece/cd_nom/794364","Enicocerus gibbosus (Germar, 1823)")</f>
        <v>Enicocerus gibbosus (Germar, 1823)</v>
      </c>
      <c r="AH18214" s="4" t="str">
        <f>HYPERLINK("#Statut_biogéographique!A"&amp;_xlfn.XMATCH("P",Statut_biogéographique!A:A,2,1),"P")</f>
        <v>P</v>
      </c>
      <c r="AP18214" s="4" t="s">
        <v>376</v>
      </c>
      <c r="AR18214" s="4" t="s">
        <v>377</v>
      </c>
    </row>
    <row r="18215" spans="1:44" ht="30">
      <c r="A18215" s="4" t="s">
        <v>10753</v>
      </c>
      <c r="B18215" s="4">
        <v>794395</v>
      </c>
      <c r="D18215" s="5" t="s">
        <v>22309</v>
      </c>
      <c r="E18215" s="6" t="str">
        <f>HYPERLINK("https://inpn.mnhn.fr/espece/cd_nom/794395","Leiodes calcarata (Erichson, 1845)")</f>
        <v>Leiodes calcarata (Erichson, 1845)</v>
      </c>
      <c r="AH18215" s="4" t="str">
        <f>HYPERLINK("#Statut_biogéographique!A"&amp;_xlfn.XMATCH("P",Statut_biogéographique!A:A,2,1),"P")</f>
        <v>P</v>
      </c>
      <c r="AP18215" s="4" t="s">
        <v>376</v>
      </c>
      <c r="AR18215" s="4" t="s">
        <v>377</v>
      </c>
    </row>
    <row r="18216" spans="1:44">
      <c r="A18216" s="4" t="s">
        <v>10753</v>
      </c>
      <c r="B18216" s="4">
        <v>794409</v>
      </c>
      <c r="D18216" s="5" t="s">
        <v>22310</v>
      </c>
      <c r="E18216" s="6" t="str">
        <f>HYPERLINK("https://inpn.mnhn.fr/espece/cd_nom/794409","Neuraphes rubicundus (Schaum, 1841)")</f>
        <v>Neuraphes rubicundus (Schaum, 1841)</v>
      </c>
      <c r="AH18216" s="4" t="str">
        <f>HYPERLINK("#Statut_biogéographique!A"&amp;_xlfn.XMATCH("P",Statut_biogéographique!A:A,2,1),"P")</f>
        <v>P</v>
      </c>
      <c r="AP18216" s="4" t="s">
        <v>376</v>
      </c>
      <c r="AR18216" s="4" t="s">
        <v>377</v>
      </c>
    </row>
    <row r="18217" spans="1:44" ht="30">
      <c r="A18217" s="4" t="s">
        <v>10753</v>
      </c>
      <c r="B18217" s="4">
        <v>794421</v>
      </c>
      <c r="D18217" s="5" t="s">
        <v>22311</v>
      </c>
      <c r="E18217" s="6" t="str">
        <f>HYPERLINK("https://inpn.mnhn.fr/espece/cd_nom/794421","Dropephylla ioptera (Stephens, 1834)")</f>
        <v>Dropephylla ioptera (Stephens, 1834)</v>
      </c>
      <c r="AH18217" s="4" t="str">
        <f>HYPERLINK("#Statut_biogéographique!A"&amp;_xlfn.XMATCH("P",Statut_biogéographique!A:A,2,1),"P")</f>
        <v>P</v>
      </c>
      <c r="AP18217" s="4" t="s">
        <v>376</v>
      </c>
      <c r="AR18217" s="4" t="s">
        <v>377</v>
      </c>
    </row>
    <row r="18218" spans="1:44">
      <c r="A18218" s="4" t="s">
        <v>10753</v>
      </c>
      <c r="B18218" s="4">
        <v>794450</v>
      </c>
      <c r="D18218" s="5" t="s">
        <v>22312</v>
      </c>
      <c r="E18218" s="6" t="str">
        <f>HYPERLINK("https://inpn.mnhn.fr/espece/cd_nom/794450","Acrotona parens (Mulsant &amp; Rey, 1852)")</f>
        <v>Acrotona parens (Mulsant &amp; Rey, 1852)</v>
      </c>
      <c r="AH18218" s="4" t="str">
        <f>HYPERLINK("#Statut_biogéographique!A"&amp;_xlfn.XMATCH("P",Statut_biogéographique!A:A,2,1),"P")</f>
        <v>P</v>
      </c>
      <c r="AP18218" s="4" t="s">
        <v>376</v>
      </c>
      <c r="AR18218" s="4" t="s">
        <v>377</v>
      </c>
    </row>
    <row r="18219" spans="1:44">
      <c r="A18219" s="4" t="s">
        <v>10753</v>
      </c>
      <c r="B18219" s="4">
        <v>794509</v>
      </c>
      <c r="D18219" s="5" t="s">
        <v>22313</v>
      </c>
      <c r="E18219" s="6" t="str">
        <f>HYPERLINK("https://inpn.mnhn.fr/espece/cd_nom/794509","Pella limbata (Paykull, 1789)")</f>
        <v>Pella limbata (Paykull, 1789)</v>
      </c>
      <c r="AH18219" s="4" t="str">
        <f>HYPERLINK("#Statut_biogéographique!A"&amp;_xlfn.XMATCH("P",Statut_biogéographique!A:A,2,1),"P")</f>
        <v>P</v>
      </c>
      <c r="AP18219" s="4" t="s">
        <v>376</v>
      </c>
      <c r="AR18219" s="4" t="s">
        <v>377</v>
      </c>
    </row>
    <row r="18220" spans="1:44">
      <c r="A18220" s="4" t="s">
        <v>10753</v>
      </c>
      <c r="B18220" s="4">
        <v>794534</v>
      </c>
      <c r="D18220" s="5">
        <v>794534</v>
      </c>
      <c r="E18220" s="6" t="str">
        <f>HYPERLINK("https://inpn.mnhn.fr/espece/cd_nom/794534","Placusa incompleta Sjöberg, 1934")</f>
        <v>Placusa incompleta Sjöberg, 1934</v>
      </c>
      <c r="AH18220" s="4" t="str">
        <f>HYPERLINK("#Statut_biogéographique!A"&amp;_xlfn.XMATCH("P",Statut_biogéographique!A:A,2,1),"P")</f>
        <v>P</v>
      </c>
      <c r="AP18220" s="4" t="s">
        <v>376</v>
      </c>
      <c r="AR18220" s="4" t="s">
        <v>377</v>
      </c>
    </row>
    <row r="18221" spans="1:44">
      <c r="A18221" s="4" t="s">
        <v>10753</v>
      </c>
      <c r="B18221" s="4">
        <v>794545</v>
      </c>
      <c r="D18221" s="5" t="s">
        <v>22314</v>
      </c>
      <c r="E18221" s="6" t="str">
        <f>HYPERLINK("https://inpn.mnhn.fr/espece/cd_nom/794545","Edaphus lederi Eppelsheim, 1878")</f>
        <v>Edaphus lederi Eppelsheim, 1878</v>
      </c>
      <c r="AH18221" s="4" t="str">
        <f>HYPERLINK("#Statut_biogéographique!A"&amp;_xlfn.XMATCH("P",Statut_biogéographique!A:A,2,1),"P")</f>
        <v>P</v>
      </c>
      <c r="AP18221" s="4" t="s">
        <v>376</v>
      </c>
      <c r="AR18221" s="4" t="s">
        <v>377</v>
      </c>
    </row>
    <row r="18222" spans="1:44">
      <c r="A18222" s="4" t="s">
        <v>10753</v>
      </c>
      <c r="B18222" s="4">
        <v>794558</v>
      </c>
      <c r="D18222" s="5" t="s">
        <v>22315</v>
      </c>
      <c r="E18222" s="6" t="str">
        <f>HYPERLINK("https://inpn.mnhn.fr/espece/cd_nom/794558","Quedius dilatatus (Fabricius, 1787)")</f>
        <v>Quedius dilatatus (Fabricius, 1787)</v>
      </c>
      <c r="F18222" s="5" t="s">
        <v>22316</v>
      </c>
      <c r="AH18222" s="4" t="str">
        <f>HYPERLINK("#Statut_biogéographique!A"&amp;_xlfn.XMATCH("P",Statut_biogéographique!A:A,2,1),"P")</f>
        <v>P</v>
      </c>
      <c r="AP18222" s="4" t="s">
        <v>376</v>
      </c>
      <c r="AR18222" s="4" t="s">
        <v>377</v>
      </c>
    </row>
    <row r="18223" spans="1:44" ht="30">
      <c r="A18223" s="4" t="s">
        <v>10753</v>
      </c>
      <c r="B18223" s="4">
        <v>794574</v>
      </c>
      <c r="D18223" s="5" t="s">
        <v>22317</v>
      </c>
      <c r="E18223" s="6" t="str">
        <f>HYPERLINK("https://inpn.mnhn.fr/espece/cd_nom/794574","Planolinoides borealis (Gyllenhal, 1827)")</f>
        <v>Planolinoides borealis (Gyllenhal, 1827)</v>
      </c>
      <c r="AH18223" s="4" t="str">
        <f>HYPERLINK("#Statut_biogéographique!A"&amp;_xlfn.XMATCH("P",Statut_biogéographique!A:A,2,1),"P")</f>
        <v>P</v>
      </c>
      <c r="AP18223" s="4" t="s">
        <v>376</v>
      </c>
      <c r="AR18223" s="4" t="s">
        <v>377</v>
      </c>
    </row>
    <row r="18224" spans="1:44" ht="45">
      <c r="A18224" s="4" t="s">
        <v>10753</v>
      </c>
      <c r="B18224" s="4">
        <v>794578</v>
      </c>
      <c r="D18224" s="5" t="s">
        <v>22318</v>
      </c>
      <c r="E18224" s="6" t="str">
        <f>HYPERLINK("https://inpn.mnhn.fr/espece/cd_nom/794578","Hyperisus plumbeum (Illiger, 1801)")</f>
        <v>Hyperisus plumbeum (Illiger, 1801)</v>
      </c>
      <c r="F18224" s="5" t="s">
        <v>22319</v>
      </c>
      <c r="AH18224" s="4" t="str">
        <f>HYPERLINK("#Statut_biogéographique!A"&amp;_xlfn.XMATCH("P",Statut_biogéographique!A:A,2,1),"P")</f>
        <v>P</v>
      </c>
      <c r="AP18224" s="4" t="s">
        <v>376</v>
      </c>
      <c r="AR18224" s="4" t="s">
        <v>377</v>
      </c>
    </row>
    <row r="18225" spans="1:44" ht="30">
      <c r="A18225" s="4" t="s">
        <v>10753</v>
      </c>
      <c r="B18225" s="4">
        <v>794580</v>
      </c>
      <c r="D18225" s="5" t="s">
        <v>22320</v>
      </c>
      <c r="E18225" s="6" t="str">
        <f>HYPERLINK("https://inpn.mnhn.fr/espece/cd_nom/794580","Cetonischema speciosissima (Scopoli, 1786)")</f>
        <v>Cetonischema speciosissima (Scopoli, 1786)</v>
      </c>
      <c r="F18225" s="5" t="s">
        <v>22321</v>
      </c>
      <c r="P18225" s="7" t="str">
        <f>HYPERLINK("#Liste_rouge!A"&amp;_xlfn.XMATCH("NT",Liste_rouge!A:A,2,1),"NT")</f>
        <v>NT</v>
      </c>
      <c r="AE18225" s="4" t="str">
        <f>HYPERLINK("#SCAP!A"&amp;_xlfn.XMATCH("A",SCAP!A:A,2,1),"A")</f>
        <v>A</v>
      </c>
      <c r="AH18225" s="4" t="str">
        <f>HYPERLINK("#Statut_biogéographique!A"&amp;_xlfn.XMATCH("P",Statut_biogéographique!A:A,2,1),"P")</f>
        <v>P</v>
      </c>
      <c r="AP18225" s="4" t="s">
        <v>376</v>
      </c>
      <c r="AR18225" s="4" t="s">
        <v>377</v>
      </c>
    </row>
    <row r="18226" spans="1:44">
      <c r="A18226" s="4" t="s">
        <v>10753</v>
      </c>
      <c r="B18226" s="4">
        <v>794583</v>
      </c>
      <c r="D18226" s="5" t="s">
        <v>22322</v>
      </c>
      <c r="E18226" s="6" t="str">
        <f>HYPERLINK("https://inpn.mnhn.fr/espece/cd_nom/794583","Contacyphon coarctatus (Paykull, 1799)")</f>
        <v>Contacyphon coarctatus (Paykull, 1799)</v>
      </c>
      <c r="AH18226" s="4" t="str">
        <f>HYPERLINK("#Statut_biogéographique!A"&amp;_xlfn.XMATCH("P",Statut_biogéographique!A:A,2,1),"P")</f>
        <v>P</v>
      </c>
      <c r="AP18226" s="4" t="s">
        <v>376</v>
      </c>
      <c r="AR18226" s="4" t="s">
        <v>377</v>
      </c>
    </row>
    <row r="18227" spans="1:44" ht="30">
      <c r="A18227" s="4" t="s">
        <v>10753</v>
      </c>
      <c r="B18227" s="4">
        <v>794588</v>
      </c>
      <c r="D18227" s="5" t="s">
        <v>22323</v>
      </c>
      <c r="E18227" s="6" t="str">
        <f>HYPERLINK("https://inpn.mnhn.fr/espece/cd_nom/794588","Contacyphon kongsbergensis (Munster, 1924)")</f>
        <v>Contacyphon kongsbergensis (Munster, 1924)</v>
      </c>
      <c r="AH18227" s="4" t="str">
        <f>HYPERLINK("#Statut_biogéographique!A"&amp;_xlfn.XMATCH("P",Statut_biogéographique!A:A,2,1),"P")</f>
        <v>P</v>
      </c>
      <c r="AP18227" s="4" t="s">
        <v>376</v>
      </c>
      <c r="AR18227" s="4" t="s">
        <v>377</v>
      </c>
    </row>
    <row r="18228" spans="1:44">
      <c r="A18228" s="4" t="s">
        <v>10753</v>
      </c>
      <c r="B18228" s="4">
        <v>794589</v>
      </c>
      <c r="D18228" s="5" t="s">
        <v>22324</v>
      </c>
      <c r="E18228" s="6" t="str">
        <f>HYPERLINK("https://inpn.mnhn.fr/espece/cd_nom/794589","Contacyphon laevipennis Tournier, 1868")</f>
        <v>Contacyphon laevipennis Tournier, 1868</v>
      </c>
      <c r="AH18228" s="4" t="str">
        <f>HYPERLINK("#Statut_biogéographique!A"&amp;_xlfn.XMATCH("P",Statut_biogéographique!A:A,2,1),"P")</f>
        <v>P</v>
      </c>
      <c r="AP18228" s="4" t="s">
        <v>376</v>
      </c>
      <c r="AR18228" s="4" t="s">
        <v>377</v>
      </c>
    </row>
    <row r="18229" spans="1:44">
      <c r="A18229" s="4" t="s">
        <v>10753</v>
      </c>
      <c r="B18229" s="4">
        <v>794590</v>
      </c>
      <c r="D18229" s="5" t="s">
        <v>22325</v>
      </c>
      <c r="E18229" s="6" t="str">
        <f>HYPERLINK("https://inpn.mnhn.fr/espece/cd_nom/794590","Contacyphon padi (Linnaeus, 1758)")</f>
        <v>Contacyphon padi (Linnaeus, 1758)</v>
      </c>
      <c r="AH18229" s="4" t="str">
        <f>HYPERLINK("#Statut_biogéographique!A"&amp;_xlfn.XMATCH("P",Statut_biogéographique!A:A,2,1),"P")</f>
        <v>P</v>
      </c>
      <c r="AP18229" s="4" t="s">
        <v>376</v>
      </c>
      <c r="AR18229" s="4" t="s">
        <v>377</v>
      </c>
    </row>
    <row r="18230" spans="1:44">
      <c r="A18230" s="4" t="s">
        <v>10753</v>
      </c>
      <c r="B18230" s="4">
        <v>794592</v>
      </c>
      <c r="D18230" s="5" t="s">
        <v>22326</v>
      </c>
      <c r="E18230" s="6" t="str">
        <f>HYPERLINK("https://inpn.mnhn.fr/espece/cd_nom/794592","Contacyphon palustris (C.G. Thomson, 1855)")</f>
        <v>Contacyphon palustris (C.G. Thomson, 1855)</v>
      </c>
      <c r="AH18230" s="4" t="str">
        <f>HYPERLINK("#Statut_biogéographique!A"&amp;_xlfn.XMATCH("P",Statut_biogéographique!A:A,2,1),"P")</f>
        <v>P</v>
      </c>
      <c r="AP18230" s="4" t="s">
        <v>376</v>
      </c>
      <c r="AR18230" s="4" t="s">
        <v>377</v>
      </c>
    </row>
    <row r="18231" spans="1:44">
      <c r="A18231" s="4" t="s">
        <v>10753</v>
      </c>
      <c r="B18231" s="4">
        <v>794594</v>
      </c>
      <c r="D18231" s="5" t="s">
        <v>22327</v>
      </c>
      <c r="E18231" s="6" t="str">
        <f>HYPERLINK("https://inpn.mnhn.fr/espece/cd_nom/794594","Contacyphon pubescens (Fabricius, 1792)")</f>
        <v>Contacyphon pubescens (Fabricius, 1792)</v>
      </c>
      <c r="AH18231" s="4" t="str">
        <f>HYPERLINK("#Statut_biogéographique!A"&amp;_xlfn.XMATCH("P",Statut_biogéographique!A:A,2,1),"P")</f>
        <v>P</v>
      </c>
      <c r="AP18231" s="4" t="s">
        <v>376</v>
      </c>
      <c r="AR18231" s="4" t="s">
        <v>377</v>
      </c>
    </row>
    <row r="18232" spans="1:44">
      <c r="A18232" s="4" t="s">
        <v>10753</v>
      </c>
      <c r="B18232" s="4">
        <v>794595</v>
      </c>
      <c r="D18232" s="5" t="s">
        <v>22328</v>
      </c>
      <c r="E18232" s="6" t="str">
        <f>HYPERLINK("https://inpn.mnhn.fr/espece/cd_nom/794595","Contacyphon putonii (Ch. Brisout, 1863)")</f>
        <v>Contacyphon putonii (Ch. Brisout, 1863)</v>
      </c>
      <c r="AH18232" s="4" t="str">
        <f>HYPERLINK("#Statut_biogéographique!A"&amp;_xlfn.XMATCH("P",Statut_biogéographique!A:A,2,1),"P")</f>
        <v>P</v>
      </c>
      <c r="AP18232" s="4" t="s">
        <v>376</v>
      </c>
      <c r="AR18232" s="4" t="s">
        <v>377</v>
      </c>
    </row>
    <row r="18233" spans="1:44">
      <c r="A18233" s="4" t="s">
        <v>10753</v>
      </c>
      <c r="B18233" s="4">
        <v>794596</v>
      </c>
      <c r="D18233" s="5" t="s">
        <v>22329</v>
      </c>
      <c r="E18233" s="6" t="str">
        <f>HYPERLINK("https://inpn.mnhn.fr/espece/cd_nom/794596","Contacyphon ruficeps (Tournier, 1868)")</f>
        <v>Contacyphon ruficeps (Tournier, 1868)</v>
      </c>
      <c r="AH18233" s="4" t="str">
        <f>HYPERLINK("#Statut_biogéographique!A"&amp;_xlfn.XMATCH("P",Statut_biogéographique!A:A,2,1),"P")</f>
        <v>P</v>
      </c>
      <c r="AP18233" s="4" t="s">
        <v>376</v>
      </c>
      <c r="AR18233" s="4" t="s">
        <v>377</v>
      </c>
    </row>
    <row r="18234" spans="1:44">
      <c r="A18234" s="4" t="s">
        <v>10753</v>
      </c>
      <c r="B18234" s="4">
        <v>794599</v>
      </c>
      <c r="D18234" s="5" t="s">
        <v>22330</v>
      </c>
      <c r="E18234" s="6" t="str">
        <f>HYPERLINK("https://inpn.mnhn.fr/espece/cd_nom/794599","Contacyphon variabilis (Thunberg, 1787)")</f>
        <v>Contacyphon variabilis (Thunberg, 1787)</v>
      </c>
      <c r="AH18234" s="4" t="str">
        <f>HYPERLINK("#Statut_biogéographique!A"&amp;_xlfn.XMATCH("P",Statut_biogéographique!A:A,2,1),"P")</f>
        <v>P</v>
      </c>
      <c r="AP18234" s="4" t="s">
        <v>376</v>
      </c>
      <c r="AR18234" s="4" t="s">
        <v>377</v>
      </c>
    </row>
    <row r="18235" spans="1:44">
      <c r="A18235" s="4" t="s">
        <v>10753</v>
      </c>
      <c r="B18235" s="4">
        <v>794604</v>
      </c>
      <c r="D18235" s="5" t="s">
        <v>22331</v>
      </c>
      <c r="E18235" s="6" t="str">
        <f>HYPERLINK("https://inpn.mnhn.fr/espece/cd_nom/794604","Odeles marginata (Fabricius, 1798)")</f>
        <v>Odeles marginata (Fabricius, 1798)</v>
      </c>
      <c r="AH18235" s="4" t="str">
        <f>HYPERLINK("#Statut_biogéographique!A"&amp;_xlfn.XMATCH("P",Statut_biogéographique!A:A,2,1),"P")</f>
        <v>P</v>
      </c>
      <c r="AP18235" s="4" t="s">
        <v>376</v>
      </c>
      <c r="AR18235" s="4" t="s">
        <v>377</v>
      </c>
    </row>
    <row r="18236" spans="1:44" ht="45">
      <c r="A18236" s="4" t="s">
        <v>10753</v>
      </c>
      <c r="B18236" s="4">
        <v>794609</v>
      </c>
      <c r="D18236" s="5" t="s">
        <v>22332</v>
      </c>
      <c r="E18236" s="6" t="str">
        <f>HYPERLINK("https://inpn.mnhn.fr/espece/cd_nom/794609","Coraebus fasciatus (Villers, 1789)")</f>
        <v>Coraebus fasciatus (Villers, 1789)</v>
      </c>
      <c r="F18236" s="5" t="s">
        <v>22333</v>
      </c>
      <c r="AH18236" s="4" t="str">
        <f>HYPERLINK("#Statut_biogéographique!A"&amp;_xlfn.XMATCH("P",Statut_biogéographique!A:A,2,1),"P")</f>
        <v>P</v>
      </c>
      <c r="AP18236" s="4" t="s">
        <v>376</v>
      </c>
      <c r="AR18236" s="4" t="s">
        <v>377</v>
      </c>
    </row>
    <row r="18237" spans="1:44">
      <c r="A18237" s="4" t="s">
        <v>10753</v>
      </c>
      <c r="B18237" s="4">
        <v>794610</v>
      </c>
      <c r="D18237" s="5" t="s">
        <v>22334</v>
      </c>
      <c r="E18237" s="6" t="str">
        <f>HYPERLINK("https://inpn.mnhn.fr/espece/cd_nom/794610","Habroloma nanum (Paykull, 1799)")</f>
        <v>Habroloma nanum (Paykull, 1799)</v>
      </c>
      <c r="AH18237" s="4" t="str">
        <f>HYPERLINK("#Statut_biogéographique!A"&amp;_xlfn.XMATCH("P",Statut_biogéographique!A:A,2,1),"P")</f>
        <v>P</v>
      </c>
      <c r="AP18237" s="4" t="s">
        <v>376</v>
      </c>
      <c r="AR18237" s="4" t="s">
        <v>377</v>
      </c>
    </row>
    <row r="18238" spans="1:44">
      <c r="A18238" s="4" t="s">
        <v>10753</v>
      </c>
      <c r="B18238" s="4">
        <v>794616</v>
      </c>
      <c r="D18238" s="5" t="s">
        <v>22335</v>
      </c>
      <c r="E18238" s="6" t="str">
        <f>HYPERLINK("https://inpn.mnhn.fr/espece/cd_nom/794616","Sericus sulcipennis Buysson, 1893")</f>
        <v>Sericus sulcipennis Buysson, 1893</v>
      </c>
      <c r="AH18238" s="4" t="str">
        <f>HYPERLINK("#Statut_biogéographique!A"&amp;_xlfn.XMATCH("P",Statut_biogéographique!A:A,2,1),"P")</f>
        <v>P</v>
      </c>
      <c r="AP18238" s="4" t="s">
        <v>376</v>
      </c>
      <c r="AR18238" s="4" t="s">
        <v>377</v>
      </c>
    </row>
    <row r="18239" spans="1:44">
      <c r="A18239" s="4" t="s">
        <v>10753</v>
      </c>
      <c r="B18239" s="4">
        <v>794625</v>
      </c>
      <c r="D18239" s="5" t="s">
        <v>22336</v>
      </c>
      <c r="E18239" s="6" t="str">
        <f>HYPERLINK("https://inpn.mnhn.fr/espece/cd_nom/794625","Erotides cosnardi (Chevrolat, 1831)")</f>
        <v>Erotides cosnardi (Chevrolat, 1831)</v>
      </c>
      <c r="F18239" s="5" t="s">
        <v>22337</v>
      </c>
      <c r="AH18239" s="4" t="str">
        <f>HYPERLINK("#Statut_biogéographique!A"&amp;_xlfn.XMATCH("P",Statut_biogéographique!A:A,2,1),"P")</f>
        <v>P</v>
      </c>
      <c r="AP18239" s="4" t="s">
        <v>376</v>
      </c>
      <c r="AR18239" s="4" t="s">
        <v>377</v>
      </c>
    </row>
    <row r="18240" spans="1:44" ht="30">
      <c r="A18240" s="4" t="s">
        <v>10753</v>
      </c>
      <c r="B18240" s="4">
        <v>794634</v>
      </c>
      <c r="D18240" s="5" t="s">
        <v>22338</v>
      </c>
      <c r="E18240" s="6" t="str">
        <f>HYPERLINK("https://inpn.mnhn.fr/espece/cd_nom/794634","Hemicoelus canaliculatus (C.G. Thomson, 1863)")</f>
        <v>Hemicoelus canaliculatus (C.G. Thomson, 1863)</v>
      </c>
      <c r="AH18240" s="4" t="str">
        <f>HYPERLINK("#Statut_biogéographique!A"&amp;_xlfn.XMATCH("P",Statut_biogéographique!A:A,2,1),"P")</f>
        <v>P</v>
      </c>
      <c r="AP18240" s="4" t="s">
        <v>376</v>
      </c>
      <c r="AR18240" s="4" t="s">
        <v>377</v>
      </c>
    </row>
    <row r="18241" spans="1:44">
      <c r="A18241" s="4" t="s">
        <v>10753</v>
      </c>
      <c r="B18241" s="4">
        <v>794648</v>
      </c>
      <c r="D18241" s="5" t="s">
        <v>22339</v>
      </c>
      <c r="E18241" s="6" t="str">
        <f>HYPERLINK("https://inpn.mnhn.fr/espece/cd_nom/794648","Acanthogethes solidus (Kugelann, 1794)")</f>
        <v>Acanthogethes solidus (Kugelann, 1794)</v>
      </c>
      <c r="AH18241" s="4" t="str">
        <f>HYPERLINK("#Statut_biogéographique!A"&amp;_xlfn.XMATCH("P",Statut_biogéographique!A:A,2,1),"P")</f>
        <v>P</v>
      </c>
      <c r="AP18241" s="4" t="s">
        <v>376</v>
      </c>
      <c r="AR18241" s="4" t="s">
        <v>377</v>
      </c>
    </row>
    <row r="18242" spans="1:44">
      <c r="A18242" s="4" t="s">
        <v>10753</v>
      </c>
      <c r="B18242" s="4">
        <v>794650</v>
      </c>
      <c r="D18242" s="5" t="s">
        <v>22340</v>
      </c>
      <c r="E18242" s="6" t="str">
        <f>HYPERLINK("https://inpn.mnhn.fr/espece/cd_nom/794650","Afrogethes tristis (Sturm, 1845)")</f>
        <v>Afrogethes tristis (Sturm, 1845)</v>
      </c>
      <c r="AH18242" s="4" t="str">
        <f>HYPERLINK("#Statut_biogéographique!A"&amp;_xlfn.XMATCH("P",Statut_biogéographique!A:A,2,1),"P")</f>
        <v>P</v>
      </c>
      <c r="AP18242" s="4" t="s">
        <v>376</v>
      </c>
      <c r="AR18242" s="4" t="s">
        <v>377</v>
      </c>
    </row>
    <row r="18243" spans="1:44">
      <c r="A18243" s="4" t="s">
        <v>10753</v>
      </c>
      <c r="B18243" s="4">
        <v>794653</v>
      </c>
      <c r="D18243" s="5" t="s">
        <v>22341</v>
      </c>
      <c r="E18243" s="6" t="str">
        <f>HYPERLINK("https://inpn.mnhn.fr/espece/cd_nom/794653","Astylogethes subrugosus (Gyllenhal, 1808)")</f>
        <v>Astylogethes subrugosus (Gyllenhal, 1808)</v>
      </c>
      <c r="AH18243" s="4" t="str">
        <f>HYPERLINK("#Statut_biogéographique!A"&amp;_xlfn.XMATCH("P",Statut_biogéographique!A:A,2,1),"P")</f>
        <v>P</v>
      </c>
      <c r="AP18243" s="4" t="s">
        <v>376</v>
      </c>
      <c r="AR18243" s="4" t="s">
        <v>377</v>
      </c>
    </row>
    <row r="18244" spans="1:44" ht="30">
      <c r="A18244" s="4" t="s">
        <v>10753</v>
      </c>
      <c r="B18244" s="4">
        <v>794655</v>
      </c>
      <c r="D18244" s="5" t="s">
        <v>22342</v>
      </c>
      <c r="E18244" s="6" t="str">
        <f>HYPERLINK("https://inpn.mnhn.fr/espece/cd_nom/794655","Brassicogethes aeneus (Fabricius, 1775)")</f>
        <v>Brassicogethes aeneus (Fabricius, 1775)</v>
      </c>
      <c r="AH18244" s="4" t="str">
        <f>HYPERLINK("#Statut_biogéographique!A"&amp;_xlfn.XMATCH("P",Statut_biogéographique!A:A,2,1),"P")</f>
        <v>P</v>
      </c>
      <c r="AP18244" s="4" t="s">
        <v>376</v>
      </c>
      <c r="AR18244" s="4" t="s">
        <v>377</v>
      </c>
    </row>
    <row r="18245" spans="1:44">
      <c r="A18245" s="4" t="s">
        <v>10753</v>
      </c>
      <c r="B18245" s="4">
        <v>794658</v>
      </c>
      <c r="D18245" s="5" t="s">
        <v>22343</v>
      </c>
      <c r="E18245" s="6" t="str">
        <f>HYPERLINK("https://inpn.mnhn.fr/espece/cd_nom/794658","Brassicogethes coracinus (Sturm, 1845)")</f>
        <v>Brassicogethes coracinus (Sturm, 1845)</v>
      </c>
      <c r="AH18245" s="4" t="str">
        <f>HYPERLINK("#Statut_biogéographique!A"&amp;_xlfn.XMATCH("P",Statut_biogéographique!A:A,2,1),"P")</f>
        <v>P</v>
      </c>
      <c r="AP18245" s="4" t="s">
        <v>376</v>
      </c>
      <c r="AR18245" s="4" t="s">
        <v>377</v>
      </c>
    </row>
    <row r="18246" spans="1:44" ht="30">
      <c r="A18246" s="4" t="s">
        <v>10753</v>
      </c>
      <c r="B18246" s="4">
        <v>794661</v>
      </c>
      <c r="D18246" s="5" t="s">
        <v>22344</v>
      </c>
      <c r="E18246" s="6" t="str">
        <f>HYPERLINK("https://inpn.mnhn.fr/espece/cd_nom/794661","Brassicogethes fulvipes (C. Brisout de Barneville, 1863)")</f>
        <v>Brassicogethes fulvipes (C. Brisout de Barneville, 1863)</v>
      </c>
      <c r="AH18246" s="4" t="str">
        <f>HYPERLINK("#Statut_biogéographique!A"&amp;_xlfn.XMATCH("P",Statut_biogéographique!A:A,2,1),"P")</f>
        <v>P</v>
      </c>
      <c r="AP18246" s="4" t="s">
        <v>376</v>
      </c>
      <c r="AR18246" s="4" t="s">
        <v>377</v>
      </c>
    </row>
    <row r="18247" spans="1:44" ht="30">
      <c r="A18247" s="4" t="s">
        <v>10753</v>
      </c>
      <c r="B18247" s="4">
        <v>794668</v>
      </c>
      <c r="D18247" s="5" t="s">
        <v>22345</v>
      </c>
      <c r="E18247" s="6" t="str">
        <f>HYPERLINK("https://inpn.mnhn.fr/espece/cd_nom/794668","Brassicogethes viridescens (Fabricius, 1787)")</f>
        <v>Brassicogethes viridescens (Fabricius, 1787)</v>
      </c>
      <c r="AH18247" s="4" t="str">
        <f>HYPERLINK("#Statut_biogéographique!A"&amp;_xlfn.XMATCH("P",Statut_biogéographique!A:A,2,1),"P")</f>
        <v>P</v>
      </c>
      <c r="AP18247" s="4" t="s">
        <v>376</v>
      </c>
      <c r="AR18247" s="4" t="s">
        <v>377</v>
      </c>
    </row>
    <row r="18248" spans="1:44">
      <c r="A18248" s="4" t="s">
        <v>10753</v>
      </c>
      <c r="B18248" s="4">
        <v>794671</v>
      </c>
      <c r="D18248" s="5" t="s">
        <v>22346</v>
      </c>
      <c r="E18248" s="6" t="str">
        <f>HYPERLINK("https://inpn.mnhn.fr/espece/cd_nom/794671","Fabogethes brachialis (Erichson, 1845)")</f>
        <v>Fabogethes brachialis (Erichson, 1845)</v>
      </c>
      <c r="AH18248" s="4" t="str">
        <f>HYPERLINK("#Statut_biogéographique!A"&amp;_xlfn.XMATCH("P",Statut_biogéographique!A:A,2,1),"P")</f>
        <v>P</v>
      </c>
      <c r="AP18248" s="4" t="s">
        <v>376</v>
      </c>
      <c r="AR18248" s="4" t="s">
        <v>377</v>
      </c>
    </row>
    <row r="18249" spans="1:44" ht="30">
      <c r="A18249" s="4" t="s">
        <v>10753</v>
      </c>
      <c r="B18249" s="4">
        <v>794672</v>
      </c>
      <c r="D18249" s="5" t="s">
        <v>22347</v>
      </c>
      <c r="E18249" s="6" t="str">
        <f>HYPERLINK("https://inpn.mnhn.fr/espece/cd_nom/794672","Fabogethes nigrescens (Stephens, 1830)")</f>
        <v>Fabogethes nigrescens (Stephens, 1830)</v>
      </c>
      <c r="AH18249" s="4" t="str">
        <f>HYPERLINK("#Statut_biogéographique!A"&amp;_xlfn.XMATCH("P",Statut_biogéographique!A:A,2,1),"P")</f>
        <v>P</v>
      </c>
      <c r="AP18249" s="4" t="s">
        <v>376</v>
      </c>
      <c r="AR18249" s="4" t="s">
        <v>377</v>
      </c>
    </row>
    <row r="18250" spans="1:44">
      <c r="A18250" s="4" t="s">
        <v>10753</v>
      </c>
      <c r="B18250" s="4">
        <v>794682</v>
      </c>
      <c r="D18250" s="5" t="s">
        <v>22348</v>
      </c>
      <c r="E18250" s="6" t="str">
        <f>HYPERLINK("https://inpn.mnhn.fr/espece/cd_nom/794682","Lamiogethes brunnicornis (Sturm, 1845)")</f>
        <v>Lamiogethes brunnicornis (Sturm, 1845)</v>
      </c>
      <c r="AH18250" s="4" t="str">
        <f>HYPERLINK("#Statut_biogéographique!A"&amp;_xlfn.XMATCH("P",Statut_biogéographique!A:A,2,1),"P")</f>
        <v>P</v>
      </c>
      <c r="AP18250" s="4" t="s">
        <v>376</v>
      </c>
      <c r="AR18250" s="4" t="s">
        <v>377</v>
      </c>
    </row>
    <row r="18251" spans="1:44">
      <c r="A18251" s="4" t="s">
        <v>10753</v>
      </c>
      <c r="B18251" s="4">
        <v>794688</v>
      </c>
      <c r="D18251" s="5" t="s">
        <v>22349</v>
      </c>
      <c r="E18251" s="6" t="str">
        <f>HYPERLINK("https://inpn.mnhn.fr/espece/cd_nom/794688","Lamiogethes morosus (Erichson, 1845)")</f>
        <v>Lamiogethes morosus (Erichson, 1845)</v>
      </c>
      <c r="AH18251" s="4" t="str">
        <f>HYPERLINK("#Statut_biogéographique!A"&amp;_xlfn.XMATCH("P",Statut_biogéographique!A:A,2,1),"P")</f>
        <v>P</v>
      </c>
      <c r="AP18251" s="4" t="s">
        <v>376</v>
      </c>
      <c r="AR18251" s="4" t="s">
        <v>377</v>
      </c>
    </row>
    <row r="18252" spans="1:44" ht="30">
      <c r="A18252" s="4" t="s">
        <v>10753</v>
      </c>
      <c r="B18252" s="4">
        <v>794690</v>
      </c>
      <c r="D18252" s="5" t="s">
        <v>22350</v>
      </c>
      <c r="E18252" s="6" t="str">
        <f>HYPERLINK("https://inpn.mnhn.fr/espece/cd_nom/794690","Lamiogethes pedicularius (Gyllenhal, 1808)")</f>
        <v>Lamiogethes pedicularius (Gyllenhal, 1808)</v>
      </c>
      <c r="AH18252" s="4" t="str">
        <f>HYPERLINK("#Statut_biogéographique!A"&amp;_xlfn.XMATCH("P",Statut_biogéographique!A:A,2,1),"P")</f>
        <v>P</v>
      </c>
      <c r="AP18252" s="4" t="s">
        <v>376</v>
      </c>
      <c r="AR18252" s="4" t="s">
        <v>377</v>
      </c>
    </row>
    <row r="18253" spans="1:44" ht="30">
      <c r="A18253" s="4" t="s">
        <v>10753</v>
      </c>
      <c r="B18253" s="4">
        <v>794692</v>
      </c>
      <c r="D18253" s="5" t="s">
        <v>22351</v>
      </c>
      <c r="E18253" s="6" t="str">
        <f>HYPERLINK("https://inpn.mnhn.fr/espece/cd_nom/794692","Lamiogethes serripes (Gyllenhal, 1827)")</f>
        <v>Lamiogethes serripes (Gyllenhal, 1827)</v>
      </c>
      <c r="AH18253" s="4" t="str">
        <f>HYPERLINK("#Statut_biogéographique!A"&amp;_xlfn.XMATCH("P",Statut_biogéographique!A:A,2,1),"P")</f>
        <v>P</v>
      </c>
      <c r="AP18253" s="4" t="s">
        <v>376</v>
      </c>
      <c r="AR18253" s="4" t="s">
        <v>377</v>
      </c>
    </row>
    <row r="18254" spans="1:44">
      <c r="A18254" s="4" t="s">
        <v>10753</v>
      </c>
      <c r="B18254" s="4">
        <v>794703</v>
      </c>
      <c r="D18254" s="5" t="s">
        <v>22352</v>
      </c>
      <c r="E18254" s="6" t="str">
        <f>HYPERLINK("https://inpn.mnhn.fr/espece/cd_nom/794703","Sagittogethes obscurus (Erichson, 1845)")</f>
        <v>Sagittogethes obscurus (Erichson, 1845)</v>
      </c>
      <c r="AH18254" s="4" t="str">
        <f>HYPERLINK("#Statut_biogéographique!A"&amp;_xlfn.XMATCH("P",Statut_biogéographique!A:A,2,1),"P")</f>
        <v>P</v>
      </c>
      <c r="AP18254" s="4" t="s">
        <v>376</v>
      </c>
      <c r="AR18254" s="4" t="s">
        <v>377</v>
      </c>
    </row>
    <row r="18255" spans="1:44">
      <c r="A18255" s="4" t="s">
        <v>10753</v>
      </c>
      <c r="B18255" s="4">
        <v>794705</v>
      </c>
      <c r="D18255" s="5" t="s">
        <v>22353</v>
      </c>
      <c r="E18255" s="6" t="str">
        <f>HYPERLINK("https://inpn.mnhn.fr/espece/cd_nom/794705","Sagittogethes umbrosus (Sturm, 1845)")</f>
        <v>Sagittogethes umbrosus (Sturm, 1845)</v>
      </c>
      <c r="AH18255" s="4" t="str">
        <f>HYPERLINK("#Statut_biogéographique!A"&amp;_xlfn.XMATCH("P",Statut_biogéographique!A:A,2,1),"P")</f>
        <v>P</v>
      </c>
      <c r="AP18255" s="4" t="s">
        <v>376</v>
      </c>
      <c r="AR18255" s="4" t="s">
        <v>377</v>
      </c>
    </row>
    <row r="18256" spans="1:44">
      <c r="A18256" s="4" t="s">
        <v>10753</v>
      </c>
      <c r="B18256" s="4">
        <v>794706</v>
      </c>
      <c r="D18256" s="5" t="s">
        <v>22354</v>
      </c>
      <c r="E18256" s="6" t="str">
        <f>HYPERLINK("https://inpn.mnhn.fr/espece/cd_nom/794706","Stachygethes assimilis (Sturm, 1845)")</f>
        <v>Stachygethes assimilis (Sturm, 1845)</v>
      </c>
      <c r="AH18256" s="4" t="str">
        <f>HYPERLINK("#Statut_biogéographique!A"&amp;_xlfn.XMATCH("P",Statut_biogéographique!A:A,2,1),"P")</f>
        <v>P</v>
      </c>
      <c r="AP18256" s="4" t="s">
        <v>376</v>
      </c>
      <c r="AR18256" s="4" t="s">
        <v>377</v>
      </c>
    </row>
    <row r="18257" spans="1:44" ht="30">
      <c r="A18257" s="4" t="s">
        <v>10753</v>
      </c>
      <c r="B18257" s="4">
        <v>794712</v>
      </c>
      <c r="D18257" s="5" t="s">
        <v>22355</v>
      </c>
      <c r="E18257" s="6" t="str">
        <f>HYPERLINK("https://inpn.mnhn.fr/espece/cd_nom/794712","Thymogethes acicularis (C. Brisout de Barneville, 1863)")</f>
        <v>Thymogethes acicularis (C. Brisout de Barneville, 1863)</v>
      </c>
      <c r="AH18257" s="4" t="str">
        <f>HYPERLINK("#Statut_biogéographique!A"&amp;_xlfn.XMATCH("P",Statut_biogéographique!A:A,2,1),"P")</f>
        <v>P</v>
      </c>
      <c r="AP18257" s="4" t="s">
        <v>376</v>
      </c>
      <c r="AR18257" s="4" t="s">
        <v>377</v>
      </c>
    </row>
    <row r="18258" spans="1:44">
      <c r="A18258" s="4" t="s">
        <v>10753</v>
      </c>
      <c r="B18258" s="4">
        <v>794713</v>
      </c>
      <c r="D18258" s="5" t="s">
        <v>22356</v>
      </c>
      <c r="E18258" s="6" t="str">
        <f>HYPERLINK("https://inpn.mnhn.fr/espece/cd_nom/794713","Thymogethes egenus (Erichson, 1845)")</f>
        <v>Thymogethes egenus (Erichson, 1845)</v>
      </c>
      <c r="AH18258" s="4" t="str">
        <f>HYPERLINK("#Statut_biogéographique!A"&amp;_xlfn.XMATCH("P",Statut_biogéographique!A:A,2,1),"P")</f>
        <v>P</v>
      </c>
      <c r="AP18258" s="4" t="s">
        <v>376</v>
      </c>
      <c r="AR18258" s="4" t="s">
        <v>377</v>
      </c>
    </row>
    <row r="18259" spans="1:44">
      <c r="A18259" s="4" t="s">
        <v>10753</v>
      </c>
      <c r="B18259" s="4">
        <v>794716</v>
      </c>
      <c r="D18259" s="5" t="s">
        <v>22357</v>
      </c>
      <c r="E18259" s="6" t="str">
        <f>HYPERLINK("https://inpn.mnhn.fr/espece/cd_nom/794716","Thymogethes gagathinus (Erichson, 1845)")</f>
        <v>Thymogethes gagathinus (Erichson, 1845)</v>
      </c>
      <c r="AH18259" s="4" t="str">
        <f>HYPERLINK("#Statut_biogéographique!A"&amp;_xlfn.XMATCH("P",Statut_biogéographique!A:A,2,1),"P")</f>
        <v>P</v>
      </c>
      <c r="AP18259" s="4" t="s">
        <v>376</v>
      </c>
      <c r="AR18259" s="4" t="s">
        <v>377</v>
      </c>
    </row>
    <row r="18260" spans="1:44">
      <c r="A18260" s="4" t="s">
        <v>10753</v>
      </c>
      <c r="B18260" s="4">
        <v>794726</v>
      </c>
      <c r="D18260" s="5" t="s">
        <v>22358</v>
      </c>
      <c r="E18260" s="6" t="str">
        <f>HYPERLINK("https://inpn.mnhn.fr/espece/cd_nom/794726","Rhizophagus fenestralis (Linnaeus, 1758)")</f>
        <v>Rhizophagus fenestralis (Linnaeus, 1758)</v>
      </c>
      <c r="AH18260" s="4" t="str">
        <f>HYPERLINK("#Statut_biogéographique!A"&amp;_xlfn.XMATCH("P",Statut_biogéographique!A:A,2,1),"P")</f>
        <v>P</v>
      </c>
      <c r="AP18260" s="4" t="s">
        <v>376</v>
      </c>
      <c r="AR18260" s="4" t="s">
        <v>377</v>
      </c>
    </row>
    <row r="18261" spans="1:44">
      <c r="A18261" s="4" t="s">
        <v>10753</v>
      </c>
      <c r="B18261" s="4">
        <v>794727</v>
      </c>
      <c r="D18261" s="5" t="s">
        <v>22359</v>
      </c>
      <c r="E18261" s="6" t="str">
        <f>HYPERLINK("https://inpn.mnhn.fr/espece/cd_nom/794727","Leptophloeus alternans (Erichson, 1846)")</f>
        <v>Leptophloeus alternans (Erichson, 1846)</v>
      </c>
      <c r="AH18261" s="4" t="str">
        <f>HYPERLINK("#Statut_biogéographique!A"&amp;_xlfn.XMATCH("P",Statut_biogéographique!A:A,2,1),"P")</f>
        <v>P</v>
      </c>
      <c r="AP18261" s="4" t="s">
        <v>376</v>
      </c>
      <c r="AR18261" s="4" t="s">
        <v>377</v>
      </c>
    </row>
    <row r="18262" spans="1:44">
      <c r="A18262" s="4" t="s">
        <v>10753</v>
      </c>
      <c r="B18262" s="4">
        <v>794728</v>
      </c>
      <c r="D18262" s="5" t="s">
        <v>22360</v>
      </c>
      <c r="E18262" s="6" t="str">
        <f>HYPERLINK("https://inpn.mnhn.fr/espece/cd_nom/794728","Leptophloeus clematidis Erichson, 1846")</f>
        <v>Leptophloeus clematidis Erichson, 1846</v>
      </c>
      <c r="AH18262" s="4" t="str">
        <f>HYPERLINK("#Statut_biogéographique!A"&amp;_xlfn.XMATCH("P",Statut_biogéographique!A:A,2,1),"P")</f>
        <v>P</v>
      </c>
      <c r="AP18262" s="4" t="s">
        <v>376</v>
      </c>
      <c r="AR18262" s="4" t="s">
        <v>377</v>
      </c>
    </row>
    <row r="18263" spans="1:44">
      <c r="A18263" s="4" t="s">
        <v>10753</v>
      </c>
      <c r="B18263" s="4">
        <v>794732</v>
      </c>
      <c r="D18263" s="5">
        <v>794732</v>
      </c>
      <c r="E18263" s="6" t="str">
        <f>HYPERLINK("https://inpn.mnhn.fr/espece/cd_nom/794732","Antherophagus similis Curtis, 1835")</f>
        <v>Antherophagus similis Curtis, 1835</v>
      </c>
      <c r="AH18263" s="4" t="str">
        <f>HYPERLINK("#Statut_biogéographique!A"&amp;_xlfn.XMATCH("P",Statut_biogéographique!A:A,2,1),"P")</f>
        <v>P</v>
      </c>
      <c r="AP18263" s="4" t="s">
        <v>376</v>
      </c>
      <c r="AR18263" s="4" t="s">
        <v>377</v>
      </c>
    </row>
    <row r="18264" spans="1:44">
      <c r="A18264" s="4" t="s">
        <v>10753</v>
      </c>
      <c r="B18264" s="4">
        <v>794752</v>
      </c>
      <c r="D18264" s="5" t="s">
        <v>22361</v>
      </c>
      <c r="E18264" s="6" t="str">
        <f>HYPERLINK("https://inpn.mnhn.fr/espece/cd_nom/794752","Arthrolips fasciata (Erichson, 1842)")</f>
        <v>Arthrolips fasciata (Erichson, 1842)</v>
      </c>
      <c r="AH18264" s="4" t="str">
        <f>HYPERLINK("#Statut_biogéographique!A"&amp;_xlfn.XMATCH("I",Statut_biogéographique!A:A,2,1),"I")</f>
        <v>I</v>
      </c>
      <c r="AP18264" s="4" t="s">
        <v>376</v>
      </c>
      <c r="AR18264" s="4" t="s">
        <v>377</v>
      </c>
    </row>
    <row r="18265" spans="1:44" ht="30">
      <c r="A18265" s="4" t="s">
        <v>10753</v>
      </c>
      <c r="B18265" s="4">
        <v>794757</v>
      </c>
      <c r="D18265" s="5" t="s">
        <v>22362</v>
      </c>
      <c r="E18265" s="6" t="str">
        <f>HYPERLINK("https://inpn.mnhn.fr/espece/cd_nom/794757","Corticarina minuta (Fabricius, 1792)")</f>
        <v>Corticarina minuta (Fabricius, 1792)</v>
      </c>
      <c r="AH18265" s="4" t="str">
        <f>HYPERLINK("#Statut_biogéographique!A"&amp;_xlfn.XMATCH("P",Statut_biogéographique!A:A,2,1),"P")</f>
        <v>P</v>
      </c>
      <c r="AP18265" s="4" t="s">
        <v>376</v>
      </c>
      <c r="AR18265" s="4" t="s">
        <v>377</v>
      </c>
    </row>
    <row r="18266" spans="1:44">
      <c r="A18266" s="4" t="s">
        <v>10753</v>
      </c>
      <c r="B18266" s="4">
        <v>794759</v>
      </c>
      <c r="D18266" s="5" t="s">
        <v>22363</v>
      </c>
      <c r="E18266" s="6" t="str">
        <f>HYPERLINK("https://inpn.mnhn.fr/espece/cd_nom/794759","Cis festivus (Panzer, 1793)")</f>
        <v>Cis festivus (Panzer, 1793)</v>
      </c>
      <c r="AH18266" s="4" t="str">
        <f>HYPERLINK("#Statut_biogéographique!A"&amp;_xlfn.XMATCH("P",Statut_biogéographique!A:A,2,1),"P")</f>
        <v>P</v>
      </c>
      <c r="AP18266" s="4" t="s">
        <v>376</v>
      </c>
      <c r="AR18266" s="4" t="s">
        <v>377</v>
      </c>
    </row>
    <row r="18267" spans="1:44">
      <c r="A18267" s="4" t="s">
        <v>10753</v>
      </c>
      <c r="B18267" s="4">
        <v>794761</v>
      </c>
      <c r="D18267" s="5">
        <v>794761</v>
      </c>
      <c r="E18267" s="6" t="str">
        <f>HYPERLINK("https://inpn.mnhn.fr/espece/cd_nom/794761","Cis submicans Abeille de Perrin, 1874")</f>
        <v>Cis submicans Abeille de Perrin, 1874</v>
      </c>
      <c r="AH18267" s="4" t="str">
        <f>HYPERLINK("#Statut_biogéographique!A"&amp;_xlfn.XMATCH("P",Statut_biogéographique!A:A,2,1),"P")</f>
        <v>P</v>
      </c>
      <c r="AP18267" s="4" t="s">
        <v>376</v>
      </c>
      <c r="AR18267" s="4" t="s">
        <v>377</v>
      </c>
    </row>
    <row r="18268" spans="1:44">
      <c r="A18268" s="4" t="s">
        <v>10753</v>
      </c>
      <c r="B18268" s="4">
        <v>794762</v>
      </c>
      <c r="D18268" s="5" t="s">
        <v>22364</v>
      </c>
      <c r="E18268" s="6" t="str">
        <f>HYPERLINK("https://inpn.mnhn.fr/espece/cd_nom/794762","Cis vestitus Mellié, 1848")</f>
        <v>Cis vestitus Mellié, 1848</v>
      </c>
      <c r="AH18268" s="4" t="str">
        <f>HYPERLINK("#Statut_biogéographique!A"&amp;_xlfn.XMATCH("P",Statut_biogéographique!A:A,2,1),"P")</f>
        <v>P</v>
      </c>
      <c r="AP18268" s="4" t="s">
        <v>376</v>
      </c>
      <c r="AR18268" s="4" t="s">
        <v>377</v>
      </c>
    </row>
    <row r="18269" spans="1:44" ht="30">
      <c r="A18269" s="4" t="s">
        <v>10753</v>
      </c>
      <c r="B18269" s="4">
        <v>794763</v>
      </c>
      <c r="D18269" s="5" t="s">
        <v>22365</v>
      </c>
      <c r="E18269" s="6" t="str">
        <f>HYPERLINK("https://inpn.mnhn.fr/espece/cd_nom/794763","Cis villosulus (Marsham, 1802)")</f>
        <v>Cis villosulus (Marsham, 1802)</v>
      </c>
      <c r="AH18269" s="4" t="str">
        <f>HYPERLINK("#Statut_biogéographique!A"&amp;_xlfn.XMATCH("P",Statut_biogéographique!A:A,2,1),"P")</f>
        <v>P</v>
      </c>
      <c r="AP18269" s="4" t="s">
        <v>376</v>
      </c>
      <c r="AR18269" s="4" t="s">
        <v>377</v>
      </c>
    </row>
    <row r="18270" spans="1:44">
      <c r="A18270" s="4" t="s">
        <v>10753</v>
      </c>
      <c r="B18270" s="4">
        <v>794766</v>
      </c>
      <c r="D18270" s="5" t="s">
        <v>22366</v>
      </c>
      <c r="E18270" s="6" t="str">
        <f>HYPERLINK("https://inpn.mnhn.fr/espece/cd_nom/794766","Sulcacis nitidus (Fabricius, 1792)")</f>
        <v>Sulcacis nitidus (Fabricius, 1792)</v>
      </c>
      <c r="AH18270" s="4" t="str">
        <f>HYPERLINK("#Statut_biogéographique!A"&amp;_xlfn.XMATCH("P",Statut_biogéographique!A:A,2,1),"P")</f>
        <v>P</v>
      </c>
      <c r="AP18270" s="4" t="s">
        <v>376</v>
      </c>
      <c r="AR18270" s="4" t="s">
        <v>377</v>
      </c>
    </row>
    <row r="18271" spans="1:44">
      <c r="A18271" s="4" t="s">
        <v>10753</v>
      </c>
      <c r="B18271" s="4">
        <v>794771</v>
      </c>
      <c r="D18271" s="5" t="s">
        <v>22367</v>
      </c>
      <c r="E18271" s="6" t="str">
        <f>HYPERLINK("https://inpn.mnhn.fr/espece/cd_nom/794771","Mycetochara maura (Fabricius, 1792)")</f>
        <v>Mycetochara maura (Fabricius, 1792)</v>
      </c>
      <c r="P18271" s="7" t="str">
        <f>HYPERLINK("#Liste_rouge!A"&amp;_xlfn.XMATCH("LC",Liste_rouge!A:A,2,1),"LC")</f>
        <v>LC</v>
      </c>
      <c r="AH18271" s="4" t="str">
        <f>HYPERLINK("#Statut_biogéographique!A"&amp;_xlfn.XMATCH("P",Statut_biogéographique!A:A,2,1),"P")</f>
        <v>P</v>
      </c>
      <c r="AP18271" s="4" t="s">
        <v>376</v>
      </c>
      <c r="AR18271" s="4" t="s">
        <v>377</v>
      </c>
    </row>
    <row r="18272" spans="1:44">
      <c r="A18272" s="4" t="s">
        <v>10753</v>
      </c>
      <c r="B18272" s="4">
        <v>794796</v>
      </c>
      <c r="D18272" s="5" t="s">
        <v>22368</v>
      </c>
      <c r="E18272" s="6" t="str">
        <f>HYPERLINK("https://inpn.mnhn.fr/espece/cd_nom/794796","Hirticollis hispidus (Rossi, 1792)")</f>
        <v>Hirticollis hispidus (Rossi, 1792)</v>
      </c>
      <c r="AH18272" s="4" t="str">
        <f>HYPERLINK("#Statut_biogéographique!A"&amp;_xlfn.XMATCH("P",Statut_biogéographique!A:A,2,1),"P")</f>
        <v>P</v>
      </c>
      <c r="AP18272" s="4" t="s">
        <v>376</v>
      </c>
      <c r="AR18272" s="4" t="s">
        <v>377</v>
      </c>
    </row>
    <row r="18273" spans="1:44">
      <c r="A18273" s="4" t="s">
        <v>10753</v>
      </c>
      <c r="B18273" s="4">
        <v>794808</v>
      </c>
      <c r="D18273" s="5" t="s">
        <v>22369</v>
      </c>
      <c r="E18273" s="6" t="str">
        <f>HYPERLINK("https://inpn.mnhn.fr/espece/cd_nom/794808","Stictoleptura fulva (De Geer, 1775)")</f>
        <v>Stictoleptura fulva (De Geer, 1775)</v>
      </c>
      <c r="F18273" s="5" t="s">
        <v>22370</v>
      </c>
      <c r="P18273" s="7" t="str">
        <f>HYPERLINK("#Liste_rouge!A"&amp;_xlfn.XMATCH("LC",Liste_rouge!A:A,2,1),"LC")</f>
        <v>LC</v>
      </c>
      <c r="AH18273" s="4" t="str">
        <f>HYPERLINK("#Statut_biogéographique!A"&amp;_xlfn.XMATCH("P",Statut_biogéographique!A:A,2,1),"P")</f>
        <v>P</v>
      </c>
      <c r="AP18273" s="4" t="s">
        <v>376</v>
      </c>
      <c r="AR18273" s="4" t="s">
        <v>377</v>
      </c>
    </row>
    <row r="18274" spans="1:44">
      <c r="A18274" s="4" t="s">
        <v>10753</v>
      </c>
      <c r="B18274" s="4">
        <v>794809</v>
      </c>
      <c r="D18274" s="5" t="s">
        <v>22371</v>
      </c>
      <c r="E18274" s="6" t="str">
        <f>HYPERLINK("https://inpn.mnhn.fr/espece/cd_nom/794809","Stictoleptura hybrida (Rey, 1885)")</f>
        <v>Stictoleptura hybrida (Rey, 1885)</v>
      </c>
      <c r="O18274" s="7" t="str">
        <f>HYPERLINK("#Liste_rouge!A"&amp;_xlfn.XMATCH("LC",Liste_rouge!A:A,2,1),"LC")</f>
        <v>LC</v>
      </c>
      <c r="P18274" s="7" t="str">
        <f>HYPERLINK("#Liste_rouge!A"&amp;_xlfn.XMATCH("LC",Liste_rouge!A:A,2,1),"LC")</f>
        <v>LC</v>
      </c>
      <c r="AH18274" s="4" t="str">
        <f>HYPERLINK("#Statut_biogéographique!A"&amp;_xlfn.XMATCH("P",Statut_biogéographique!A:A,2,1),"P")</f>
        <v>P</v>
      </c>
      <c r="AP18274" s="4" t="s">
        <v>376</v>
      </c>
      <c r="AR18274" s="4" t="s">
        <v>377</v>
      </c>
    </row>
    <row r="18275" spans="1:44">
      <c r="A18275" s="4" t="s">
        <v>10753</v>
      </c>
      <c r="B18275" s="4">
        <v>794810</v>
      </c>
      <c r="D18275" s="5" t="s">
        <v>22372</v>
      </c>
      <c r="E18275" s="6" t="str">
        <f>HYPERLINK("https://inpn.mnhn.fr/espece/cd_nom/794810","Stictoleptura maculicornis (De Geer, 1775)")</f>
        <v>Stictoleptura maculicornis (De Geer, 1775)</v>
      </c>
      <c r="P18275" s="7" t="str">
        <f>HYPERLINK("#Liste_rouge!A"&amp;_xlfn.XMATCH("LC",Liste_rouge!A:A,2,1),"LC")</f>
        <v>LC</v>
      </c>
      <c r="AH18275" s="4" t="str">
        <f>HYPERLINK("#Statut_biogéographique!A"&amp;_xlfn.XMATCH("P",Statut_biogéographique!A:A,2,1),"P")</f>
        <v>P</v>
      </c>
      <c r="AP18275" s="4" t="s">
        <v>376</v>
      </c>
      <c r="AR18275" s="4" t="s">
        <v>377</v>
      </c>
    </row>
    <row r="18276" spans="1:44">
      <c r="A18276" s="4" t="s">
        <v>10753</v>
      </c>
      <c r="B18276" s="4">
        <v>794814</v>
      </c>
      <c r="D18276" s="5" t="s">
        <v>22373</v>
      </c>
      <c r="E18276" s="6" t="str">
        <f>HYPERLINK("https://inpn.mnhn.fr/espece/cd_nom/794814","Phytoecia rubropunctata (Goeze, 1777)")</f>
        <v>Phytoecia rubropunctata (Goeze, 1777)</v>
      </c>
      <c r="AH18276" s="4" t="str">
        <f>HYPERLINK("#Statut_biogéographique!A"&amp;_xlfn.XMATCH("P",Statut_biogéographique!A:A,2,1),"P")</f>
        <v>P</v>
      </c>
      <c r="AP18276" s="4" t="s">
        <v>376</v>
      </c>
      <c r="AR18276" s="4" t="s">
        <v>377</v>
      </c>
    </row>
    <row r="18277" spans="1:44">
      <c r="A18277" s="4" t="s">
        <v>10753</v>
      </c>
      <c r="B18277" s="4">
        <v>794821</v>
      </c>
      <c r="D18277" s="5" t="s">
        <v>22374</v>
      </c>
      <c r="E18277" s="6" t="str">
        <f>HYPERLINK("https://inpn.mnhn.fr/espece/cd_nom/794821","Bruchidius villosus (Fabricius, 1792)")</f>
        <v>Bruchidius villosus (Fabricius, 1792)</v>
      </c>
      <c r="AH18277" s="4" t="str">
        <f>HYPERLINK("#Statut_biogéographique!A"&amp;_xlfn.XMATCH("P",Statut_biogéographique!A:A,2,1),"P")</f>
        <v>P</v>
      </c>
      <c r="AP18277" s="4" t="s">
        <v>376</v>
      </c>
      <c r="AR18277" s="4" t="s">
        <v>377</v>
      </c>
    </row>
    <row r="18278" spans="1:44">
      <c r="A18278" s="4" t="s">
        <v>10753</v>
      </c>
      <c r="B18278" s="4">
        <v>794827</v>
      </c>
      <c r="D18278" s="5" t="s">
        <v>22375</v>
      </c>
      <c r="E18278" s="6" t="str">
        <f>HYPERLINK("https://inpn.mnhn.fr/espece/cd_nom/794827","Prasocuris glabra (Herbst, 1783)")</f>
        <v>Prasocuris glabra (Herbst, 1783)</v>
      </c>
      <c r="AH18278" s="4" t="str">
        <f>HYPERLINK("#Statut_biogéographique!A"&amp;_xlfn.XMATCH("P",Statut_biogéographique!A:A,2,1),"P")</f>
        <v>P</v>
      </c>
      <c r="AP18278" s="4" t="s">
        <v>376</v>
      </c>
      <c r="AR18278" s="4" t="s">
        <v>377</v>
      </c>
    </row>
    <row r="18279" spans="1:44" ht="30">
      <c r="A18279" s="4" t="s">
        <v>10753</v>
      </c>
      <c r="B18279" s="4">
        <v>794855</v>
      </c>
      <c r="D18279" s="5" t="s">
        <v>22376</v>
      </c>
      <c r="E18279" s="6" t="str">
        <f>HYPERLINK("https://inpn.mnhn.fr/espece/cd_nom/794855","Neocoenorrhinus minutus (Herbst, 1797)")</f>
        <v>Neocoenorrhinus minutus (Herbst, 1797)</v>
      </c>
      <c r="AH18279" s="4" t="str">
        <f>HYPERLINK("#Statut_biogéographique!A"&amp;_xlfn.XMATCH("P",Statut_biogéographique!A:A,2,1),"P")</f>
        <v>P</v>
      </c>
      <c r="AP18279" s="4" t="s">
        <v>376</v>
      </c>
      <c r="AR18279" s="4" t="s">
        <v>377</v>
      </c>
    </row>
    <row r="18280" spans="1:44" ht="30">
      <c r="A18280" s="4" t="s">
        <v>10753</v>
      </c>
      <c r="B18280" s="4">
        <v>794856</v>
      </c>
      <c r="D18280" s="5" t="s">
        <v>22377</v>
      </c>
      <c r="E18280" s="6" t="str">
        <f>HYPERLINK("https://inpn.mnhn.fr/espece/cd_nom/794856","Dorytomus rubrirostris (Gravenhorst, 1807)")</f>
        <v>Dorytomus rubrirostris (Gravenhorst, 1807)</v>
      </c>
      <c r="AH18280" s="4" t="str">
        <f>HYPERLINK("#Statut_biogéographique!A"&amp;_xlfn.XMATCH("P",Statut_biogéographique!A:A,2,1),"P")</f>
        <v>P</v>
      </c>
      <c r="AP18280" s="4" t="s">
        <v>376</v>
      </c>
      <c r="AR18280" s="4" t="s">
        <v>377</v>
      </c>
    </row>
    <row r="18281" spans="1:44">
      <c r="A18281" s="4" t="s">
        <v>10753</v>
      </c>
      <c r="B18281" s="4">
        <v>794858</v>
      </c>
      <c r="D18281" s="5" t="s">
        <v>22378</v>
      </c>
      <c r="E18281" s="6" t="str">
        <f>HYPERLINK("https://inpn.mnhn.fr/espece/cd_nom/794858","Chrysochus asclepiadeus (Pallas, 1773)")</f>
        <v>Chrysochus asclepiadeus (Pallas, 1773)</v>
      </c>
      <c r="F18281" s="5" t="s">
        <v>22379</v>
      </c>
      <c r="AH18281" s="4" t="str">
        <f>HYPERLINK("#Statut_biogéographique!A"&amp;_xlfn.XMATCH("P",Statut_biogéographique!A:A,2,1),"P")</f>
        <v>P</v>
      </c>
      <c r="AP18281" s="4" t="s">
        <v>376</v>
      </c>
      <c r="AR18281" s="4" t="s">
        <v>377</v>
      </c>
    </row>
    <row r="18282" spans="1:44" ht="30">
      <c r="A18282" s="4" t="s">
        <v>10753</v>
      </c>
      <c r="B18282" s="4">
        <v>794859</v>
      </c>
      <c r="D18282" s="5" t="s">
        <v>22380</v>
      </c>
      <c r="E18282" s="6" t="str">
        <f>HYPERLINK("https://inpn.mnhn.fr/espece/cd_nom/794859","Pseudeuparius sepicola (Fabricius, 1792)")</f>
        <v>Pseudeuparius sepicola (Fabricius, 1792)</v>
      </c>
      <c r="AH18282" s="4" t="str">
        <f>HYPERLINK("#Statut_biogéographique!A"&amp;_xlfn.XMATCH("P",Statut_biogéographique!A:A,2,1),"P")</f>
        <v>P</v>
      </c>
      <c r="AP18282" s="4" t="s">
        <v>376</v>
      </c>
      <c r="AR18282" s="4" t="s">
        <v>377</v>
      </c>
    </row>
    <row r="18283" spans="1:44">
      <c r="A18283" s="4" t="s">
        <v>10753</v>
      </c>
      <c r="B18283" s="4">
        <v>794865</v>
      </c>
      <c r="D18283" s="5" t="s">
        <v>22381</v>
      </c>
      <c r="E18283" s="6" t="str">
        <f>HYPERLINK("https://inpn.mnhn.fr/espece/cd_nom/794865","Caenorhinus mannerheimii (Hummel, 1823)")</f>
        <v>Caenorhinus mannerheimii (Hummel, 1823)</v>
      </c>
      <c r="AH18283" s="4" t="str">
        <f>HYPERLINK("#Statut_biogéographique!A"&amp;_xlfn.XMATCH("P",Statut_biogéographique!A:A,2,1),"P")</f>
        <v>P</v>
      </c>
      <c r="AP18283" s="4" t="s">
        <v>376</v>
      </c>
      <c r="AR18283" s="4" t="s">
        <v>377</v>
      </c>
    </row>
    <row r="18284" spans="1:44">
      <c r="A18284" s="4" t="s">
        <v>10753</v>
      </c>
      <c r="B18284" s="4">
        <v>794867</v>
      </c>
      <c r="D18284" s="5" t="s">
        <v>22382</v>
      </c>
      <c r="E18284" s="6" t="str">
        <f>HYPERLINK("https://inpn.mnhn.fr/espece/cd_nom/794867","Temnocerus coeruleus (Fabricius, 1798)")</f>
        <v>Temnocerus coeruleus (Fabricius, 1798)</v>
      </c>
      <c r="AH18284" s="4" t="str">
        <f>HYPERLINK("#Statut_biogéographique!A"&amp;_xlfn.XMATCH("P",Statut_biogéographique!A:A,2,1),"P")</f>
        <v>P</v>
      </c>
      <c r="AP18284" s="4" t="s">
        <v>376</v>
      </c>
      <c r="AR18284" s="4" t="s">
        <v>377</v>
      </c>
    </row>
    <row r="18285" spans="1:44" ht="45">
      <c r="A18285" s="4" t="s">
        <v>10753</v>
      </c>
      <c r="B18285" s="4">
        <v>794878</v>
      </c>
      <c r="D18285" s="5" t="s">
        <v>22383</v>
      </c>
      <c r="E18285" s="6" t="str">
        <f>HYPERLINK("https://inpn.mnhn.fr/espece/cd_nom/794878","Hylesinus varius (Fabricius, 1775)")</f>
        <v>Hylesinus varius (Fabricius, 1775)</v>
      </c>
      <c r="AH18285" s="4" t="str">
        <f>HYPERLINK("#Statut_biogéographique!A"&amp;_xlfn.XMATCH("P",Statut_biogéographique!A:A,2,1),"P")</f>
        <v>P</v>
      </c>
      <c r="AP18285" s="4" t="s">
        <v>376</v>
      </c>
      <c r="AR18285" s="4" t="s">
        <v>377</v>
      </c>
    </row>
    <row r="18286" spans="1:44">
      <c r="A18286" s="4" t="s">
        <v>10753</v>
      </c>
      <c r="B18286" s="4">
        <v>794879</v>
      </c>
      <c r="D18286" s="5" t="s">
        <v>22384</v>
      </c>
      <c r="E18286" s="6" t="str">
        <f>HYPERLINK("https://inpn.mnhn.fr/espece/cd_nom/794879","Kissophagus vicinus (Comolli, 1837)")</f>
        <v>Kissophagus vicinus (Comolli, 1837)</v>
      </c>
      <c r="AH18286" s="4" t="str">
        <f>HYPERLINK("#Statut_biogéographique!A"&amp;_xlfn.XMATCH("P",Statut_biogéographique!A:A,2,1),"P")</f>
        <v>P</v>
      </c>
      <c r="AP18286" s="4" t="s">
        <v>376</v>
      </c>
      <c r="AR18286" s="4" t="s">
        <v>377</v>
      </c>
    </row>
    <row r="18287" spans="1:44" ht="30">
      <c r="A18287" s="4" t="s">
        <v>10753</v>
      </c>
      <c r="B18287" s="4">
        <v>794881</v>
      </c>
      <c r="D18287" s="5" t="s">
        <v>22385</v>
      </c>
      <c r="E18287" s="6" t="str">
        <f>HYPERLINK("https://inpn.mnhn.fr/espece/cd_nom/794881","Trypophloeus binodulus (Ratzeburg, 1837)")</f>
        <v>Trypophloeus binodulus (Ratzeburg, 1837)</v>
      </c>
      <c r="AH18287" s="4" t="str">
        <f>HYPERLINK("#Statut_biogéographique!A"&amp;_xlfn.XMATCH("P",Statut_biogéographique!A:A,2,1),"P")</f>
        <v>P</v>
      </c>
      <c r="AP18287" s="4" t="s">
        <v>376</v>
      </c>
      <c r="AR18287" s="4" t="s">
        <v>377</v>
      </c>
    </row>
    <row r="18288" spans="1:44">
      <c r="A18288" s="4" t="s">
        <v>10753</v>
      </c>
      <c r="B18288" s="4">
        <v>794891</v>
      </c>
      <c r="D18288" s="5" t="s">
        <v>22386</v>
      </c>
      <c r="E18288" s="6" t="str">
        <f>HYPERLINK("https://inpn.mnhn.fr/espece/cd_nom/794891","Mecinus barbarus Gyllenhal, 1838")</f>
        <v>Mecinus barbarus Gyllenhal, 1838</v>
      </c>
      <c r="AH18288" s="4" t="str">
        <f>HYPERLINK("#Statut_biogéographique!A"&amp;_xlfn.XMATCH("P",Statut_biogéographique!A:A,2,1),"P")</f>
        <v>P</v>
      </c>
      <c r="AP18288" s="4" t="s">
        <v>376</v>
      </c>
      <c r="AR18288" s="4" t="s">
        <v>377</v>
      </c>
    </row>
    <row r="18289" spans="1:44" ht="30">
      <c r="A18289" s="4" t="s">
        <v>10753</v>
      </c>
      <c r="B18289" s="4">
        <v>794896</v>
      </c>
      <c r="D18289" s="5" t="s">
        <v>22387</v>
      </c>
      <c r="E18289" s="6" t="str">
        <f>HYPERLINK("https://inpn.mnhn.fr/espece/cd_nom/794896","Orchestes hortorum (Fabricius, 1792)")</f>
        <v>Orchestes hortorum (Fabricius, 1792)</v>
      </c>
      <c r="AH18289" s="4" t="str">
        <f>HYPERLINK("#Statut_biogéographique!A"&amp;_xlfn.XMATCH("P",Statut_biogéographique!A:A,2,1),"P")</f>
        <v>P</v>
      </c>
      <c r="AP18289" s="4" t="s">
        <v>376</v>
      </c>
      <c r="AR18289" s="4" t="s">
        <v>377</v>
      </c>
    </row>
    <row r="18290" spans="1:44">
      <c r="A18290" s="4" t="s">
        <v>10753</v>
      </c>
      <c r="B18290" s="4">
        <v>794909</v>
      </c>
      <c r="D18290" s="5" t="s">
        <v>22388</v>
      </c>
      <c r="E18290" s="6" t="str">
        <f>HYPERLINK("https://inpn.mnhn.fr/espece/cd_nom/794909","Kyklioacalles aubei (Boheman, 1837)")</f>
        <v>Kyklioacalles aubei (Boheman, 1837)</v>
      </c>
      <c r="AH18290" s="4" t="str">
        <f>HYPERLINK("#Statut_biogéographique!A"&amp;_xlfn.XMATCH("P",Statut_biogéographique!A:A,2,1),"P")</f>
        <v>P</v>
      </c>
      <c r="AP18290" s="4" t="s">
        <v>376</v>
      </c>
      <c r="AR18290" s="4" t="s">
        <v>377</v>
      </c>
    </row>
    <row r="18291" spans="1:44" ht="30">
      <c r="A18291" s="4" t="s">
        <v>10753</v>
      </c>
      <c r="B18291" s="4">
        <v>794911</v>
      </c>
      <c r="D18291" s="5" t="s">
        <v>22389</v>
      </c>
      <c r="E18291" s="6" t="str">
        <f>HYPERLINK("https://inpn.mnhn.fr/espece/cd_nom/794911","Kyklioacalles pyrenaeus (Boheman, 1844)")</f>
        <v>Kyklioacalles pyrenaeus (Boheman, 1844)</v>
      </c>
      <c r="AH18291" s="4" t="str">
        <f>HYPERLINK("#Statut_biogéographique!A"&amp;_xlfn.XMATCH("P",Statut_biogéographique!A:A,2,1),"P")</f>
        <v>P</v>
      </c>
      <c r="AP18291" s="4" t="s">
        <v>376</v>
      </c>
      <c r="AR18291" s="4" t="s">
        <v>377</v>
      </c>
    </row>
    <row r="18292" spans="1:44">
      <c r="A18292" s="4" t="s">
        <v>10753</v>
      </c>
      <c r="B18292" s="4">
        <v>794913</v>
      </c>
      <c r="D18292" s="5" t="s">
        <v>22390</v>
      </c>
      <c r="E18292" s="6" t="str">
        <f>HYPERLINK("https://inpn.mnhn.fr/espece/cd_nom/794913","Palaeoacalles roboris (Curtis, 1834)")</f>
        <v>Palaeoacalles roboris (Curtis, 1834)</v>
      </c>
      <c r="AH18292" s="4" t="str">
        <f>HYPERLINK("#Statut_biogéographique!A"&amp;_xlfn.XMATCH("P",Statut_biogéographique!A:A,2,1),"P")</f>
        <v>P</v>
      </c>
      <c r="AP18292" s="4" t="s">
        <v>376</v>
      </c>
      <c r="AR18292" s="4" t="s">
        <v>377</v>
      </c>
    </row>
    <row r="18293" spans="1:44">
      <c r="A18293" s="4" t="s">
        <v>10753</v>
      </c>
      <c r="B18293" s="4">
        <v>794919</v>
      </c>
      <c r="D18293" s="5" t="s">
        <v>22391</v>
      </c>
      <c r="E18293" s="6" t="str">
        <f>HYPERLINK("https://inpn.mnhn.fr/espece/cd_nom/794919","Baromiamima concinna (Boheman, 1834)")</f>
        <v>Baromiamima concinna (Boheman, 1834)</v>
      </c>
      <c r="AH18293" s="4" t="str">
        <f>HYPERLINK("#Statut_biogéographique!A"&amp;_xlfn.XMATCH("P",Statut_biogéographique!A:A,2,1),"P")</f>
        <v>P</v>
      </c>
      <c r="AP18293" s="4" t="s">
        <v>376</v>
      </c>
      <c r="AR18293" s="4" t="s">
        <v>377</v>
      </c>
    </row>
    <row r="18294" spans="1:44">
      <c r="A18294" s="4" t="s">
        <v>10753</v>
      </c>
      <c r="B18294" s="4">
        <v>794959</v>
      </c>
      <c r="D18294" s="5" t="s">
        <v>22392</v>
      </c>
      <c r="E18294" s="6" t="str">
        <f>HYPERLINK("https://inpn.mnhn.fr/espece/cd_nom/794959","Exomias montanus (Chevrolat, 1863)")</f>
        <v>Exomias montanus (Chevrolat, 1863)</v>
      </c>
      <c r="AH18294" s="4" t="str">
        <f>HYPERLINK("#Statut_biogéographique!A"&amp;_xlfn.XMATCH("P",Statut_biogéographique!A:A,2,1),"P")</f>
        <v>P</v>
      </c>
      <c r="AP18294" s="4" t="s">
        <v>376</v>
      </c>
      <c r="AR18294" s="4" t="s">
        <v>377</v>
      </c>
    </row>
    <row r="18295" spans="1:44">
      <c r="A18295" s="4" t="s">
        <v>10753</v>
      </c>
      <c r="B18295" s="4">
        <v>794964</v>
      </c>
      <c r="D18295" s="5" t="s">
        <v>22393</v>
      </c>
      <c r="E18295" s="6" t="str">
        <f>HYPERLINK("https://inpn.mnhn.fr/espece/cd_nom/794964","Andrion regensteinense (Herbst, 1797)")</f>
        <v>Andrion regensteinense (Herbst, 1797)</v>
      </c>
      <c r="AH18295" s="4" t="str">
        <f>HYPERLINK("#Statut_biogéographique!A"&amp;_xlfn.XMATCH("P",Statut_biogéographique!A:A,2,1),"P")</f>
        <v>P</v>
      </c>
      <c r="AP18295" s="4" t="s">
        <v>376</v>
      </c>
      <c r="AR18295" s="4" t="s">
        <v>377</v>
      </c>
    </row>
    <row r="18296" spans="1:44">
      <c r="A18296" s="4" t="s">
        <v>10753</v>
      </c>
      <c r="B18296" s="4">
        <v>794974</v>
      </c>
      <c r="D18296" s="5" t="s">
        <v>22394</v>
      </c>
      <c r="E18296" s="6" t="str">
        <f>HYPERLINK("https://inpn.mnhn.fr/espece/cd_nom/794974","Polydrusus planifrons Gyllenhal, 1834")</f>
        <v>Polydrusus planifrons Gyllenhal, 1834</v>
      </c>
      <c r="AH18296" s="4" t="str">
        <f>HYPERLINK("#Statut_biogéographique!A"&amp;_xlfn.XMATCH("P",Statut_biogéographique!A:A,2,1),"P")</f>
        <v>P</v>
      </c>
      <c r="AP18296" s="4" t="s">
        <v>376</v>
      </c>
      <c r="AR18296" s="4" t="s">
        <v>377</v>
      </c>
    </row>
    <row r="18297" spans="1:44" ht="45">
      <c r="A18297" s="4" t="s">
        <v>10753</v>
      </c>
      <c r="B18297" s="4">
        <v>794992</v>
      </c>
      <c r="D18297" s="5" t="s">
        <v>22395</v>
      </c>
      <c r="E18297" s="6" t="str">
        <f>HYPERLINK("https://inpn.mnhn.fr/espece/cd_nom/794992","Brachypera zoilus (Scopoli, 1763)")</f>
        <v>Brachypera zoilus (Scopoli, 1763)</v>
      </c>
      <c r="F18297" s="5" t="s">
        <v>22396</v>
      </c>
      <c r="AH18297" s="4" t="str">
        <f>HYPERLINK("#Statut_biogéographique!A"&amp;_xlfn.XMATCH("P",Statut_biogéographique!A:A,2,1),"P")</f>
        <v>P</v>
      </c>
      <c r="AP18297" s="4" t="s">
        <v>376</v>
      </c>
      <c r="AR18297" s="4" t="s">
        <v>377</v>
      </c>
    </row>
    <row r="18298" spans="1:44">
      <c r="A18298" s="4" t="s">
        <v>10753</v>
      </c>
      <c r="B18298" s="4">
        <v>795215</v>
      </c>
      <c r="D18298" s="5" t="s">
        <v>22397</v>
      </c>
      <c r="E18298" s="6" t="str">
        <f>HYPERLINK("https://inpn.mnhn.fr/espece/cd_nom/795215","Bembidion clarkii (Dawson, 1849)")</f>
        <v>Bembidion clarkii (Dawson, 1849)</v>
      </c>
      <c r="AH18298" s="4" t="str">
        <f>HYPERLINK("#Statut_biogéographique!A"&amp;_xlfn.XMATCH("P",Statut_biogéographique!A:A,2,1),"P")</f>
        <v>P</v>
      </c>
      <c r="AP18298" s="4" t="s">
        <v>376</v>
      </c>
      <c r="AR18298" s="4" t="s">
        <v>377</v>
      </c>
    </row>
    <row r="18299" spans="1:44">
      <c r="A18299" s="4" t="s">
        <v>10753</v>
      </c>
      <c r="B18299" s="4">
        <v>795217</v>
      </c>
      <c r="D18299" s="5" t="s">
        <v>22398</v>
      </c>
      <c r="E18299" s="6" t="str">
        <f>HYPERLINK("https://inpn.mnhn.fr/espece/cd_nom/795217","Bembidion decorum (Zenker in Panzer, 1800)")</f>
        <v>Bembidion decorum (Zenker in Panzer, 1800)</v>
      </c>
      <c r="AH18299" s="4" t="str">
        <f>HYPERLINK("#Statut_biogéographique!A"&amp;_xlfn.XMATCH("P",Statut_biogéographique!A:A,2,1),"P")</f>
        <v>P</v>
      </c>
      <c r="AP18299" s="4" t="s">
        <v>376</v>
      </c>
      <c r="AR18299" s="4" t="s">
        <v>377</v>
      </c>
    </row>
    <row r="18300" spans="1:44">
      <c r="A18300" s="4" t="s">
        <v>10753</v>
      </c>
      <c r="B18300" s="4">
        <v>795218</v>
      </c>
      <c r="D18300" s="5" t="s">
        <v>22399</v>
      </c>
      <c r="E18300" s="6" t="str">
        <f>HYPERLINK("https://inpn.mnhn.fr/espece/cd_nom/795218","Bembidion femoratum Sturm, 1825")</f>
        <v>Bembidion femoratum Sturm, 1825</v>
      </c>
      <c r="AH18300" s="4" t="str">
        <f>HYPERLINK("#Statut_biogéographique!A"&amp;_xlfn.XMATCH("P",Statut_biogéographique!A:A,2,1),"P")</f>
        <v>P</v>
      </c>
      <c r="AP18300" s="4" t="s">
        <v>376</v>
      </c>
      <c r="AR18300" s="4" t="s">
        <v>377</v>
      </c>
    </row>
    <row r="18301" spans="1:44" ht="30">
      <c r="A18301" s="4" t="s">
        <v>10753</v>
      </c>
      <c r="B18301" s="4">
        <v>795224</v>
      </c>
      <c r="D18301" s="5" t="s">
        <v>22400</v>
      </c>
      <c r="E18301" s="6" t="str">
        <f>HYPERLINK("https://inpn.mnhn.fr/espece/cd_nom/795224","Platysoma elongatum (Thunberg, 1787)")</f>
        <v>Platysoma elongatum (Thunberg, 1787)</v>
      </c>
      <c r="AH18301" s="4" t="str">
        <f>HYPERLINK("#Statut_biogéographique!A"&amp;_xlfn.XMATCH("P",Statut_biogéographique!A:A,2,1),"P")</f>
        <v>P</v>
      </c>
      <c r="AP18301" s="4" t="s">
        <v>376</v>
      </c>
      <c r="AR18301" s="4" t="s">
        <v>377</v>
      </c>
    </row>
    <row r="18302" spans="1:44">
      <c r="A18302" s="4" t="s">
        <v>10753</v>
      </c>
      <c r="B18302" s="4">
        <v>795226</v>
      </c>
      <c r="D18302" s="5" t="s">
        <v>22401</v>
      </c>
      <c r="E18302" s="6" t="str">
        <f>HYPERLINK("https://inpn.mnhn.fr/espece/cd_nom/795226","Neuraphes plicicollis (Reitter, 1880)")</f>
        <v>Neuraphes plicicollis (Reitter, 1880)</v>
      </c>
      <c r="AH18302" s="4" t="str">
        <f>HYPERLINK("#Statut_biogéographique!A"&amp;_xlfn.XMATCH("P",Statut_biogéographique!A:A,2,1),"P")</f>
        <v>P</v>
      </c>
      <c r="AP18302" s="4" t="s">
        <v>376</v>
      </c>
      <c r="AR18302" s="4" t="s">
        <v>377</v>
      </c>
    </row>
    <row r="18303" spans="1:44">
      <c r="A18303" s="4" t="s">
        <v>10753</v>
      </c>
      <c r="B18303" s="4">
        <v>795231</v>
      </c>
      <c r="D18303" s="5" t="s">
        <v>22402</v>
      </c>
      <c r="E18303" s="6" t="str">
        <f>HYPERLINK("https://inpn.mnhn.fr/espece/cd_nom/795231","Bodiloides ictericus (Laicharting, 1781)")</f>
        <v>Bodiloides ictericus (Laicharting, 1781)</v>
      </c>
      <c r="AH18303" s="4" t="str">
        <f>HYPERLINK("#Statut_biogéographique!A"&amp;_xlfn.XMATCH("P",Statut_biogéographique!A:A,2,1),"P")</f>
        <v>P</v>
      </c>
      <c r="AP18303" s="4" t="s">
        <v>376</v>
      </c>
      <c r="AR18303" s="4" t="s">
        <v>377</v>
      </c>
    </row>
    <row r="18304" spans="1:44">
      <c r="A18304" s="4" t="s">
        <v>10753</v>
      </c>
      <c r="B18304" s="4">
        <v>795232</v>
      </c>
      <c r="D18304" s="5" t="s">
        <v>22403</v>
      </c>
      <c r="E18304" s="6" t="str">
        <f>HYPERLINK("https://inpn.mnhn.fr/espece/cd_nom/795232","Liocola marmorata (Fabricius, 1792)")</f>
        <v>Liocola marmorata (Fabricius, 1792)</v>
      </c>
      <c r="F18304" s="5" t="s">
        <v>22404</v>
      </c>
      <c r="P18304" s="7" t="str">
        <f>HYPERLINK("#Liste_rouge!A"&amp;_xlfn.XMATCH("LC",Liste_rouge!A:A,2,1),"LC")</f>
        <v>LC</v>
      </c>
      <c r="AH18304" s="4" t="str">
        <f>HYPERLINK("#Statut_biogéographique!A"&amp;_xlfn.XMATCH("P",Statut_biogéographique!A:A,2,1),"P")</f>
        <v>P</v>
      </c>
      <c r="AP18304" s="4" t="s">
        <v>376</v>
      </c>
      <c r="AR18304" s="4" t="s">
        <v>377</v>
      </c>
    </row>
    <row r="18305" spans="1:44">
      <c r="A18305" s="4" t="s">
        <v>10753</v>
      </c>
      <c r="B18305" s="4">
        <v>795233</v>
      </c>
      <c r="D18305" s="5" t="s">
        <v>22405</v>
      </c>
      <c r="E18305" s="6" t="str">
        <f>HYPERLINK("https://inpn.mnhn.fr/espece/cd_nom/795233","Contacyphon ochraceus (Stephens, 1830)")</f>
        <v>Contacyphon ochraceus (Stephens, 1830)</v>
      </c>
      <c r="AH18305" s="4" t="str">
        <f>HYPERLINK("#Statut_biogéographique!A"&amp;_xlfn.XMATCH("P",Statut_biogéographique!A:A,2,1),"P")</f>
        <v>P</v>
      </c>
      <c r="AP18305" s="4" t="s">
        <v>376</v>
      </c>
      <c r="AR18305" s="4" t="s">
        <v>377</v>
      </c>
    </row>
    <row r="18306" spans="1:44">
      <c r="A18306" s="4" t="s">
        <v>10753</v>
      </c>
      <c r="B18306" s="4">
        <v>795237</v>
      </c>
      <c r="D18306" s="5" t="s">
        <v>22406</v>
      </c>
      <c r="E18306" s="6" t="str">
        <f>HYPERLINK("https://inpn.mnhn.fr/espece/cd_nom/795237","Lamprodila rutilans (Fabricius, 1777)")</f>
        <v>Lamprodila rutilans (Fabricius, 1777)</v>
      </c>
      <c r="AH18306" s="4" t="str">
        <f>HYPERLINK("#Statut_biogéographique!A"&amp;_xlfn.XMATCH("P",Statut_biogéographique!A:A,2,1),"P")</f>
        <v>P</v>
      </c>
      <c r="AP18306" s="4" t="s">
        <v>376</v>
      </c>
      <c r="AR18306" s="4" t="s">
        <v>377</v>
      </c>
    </row>
    <row r="18307" spans="1:44">
      <c r="A18307" s="4" t="s">
        <v>10753</v>
      </c>
      <c r="B18307" s="4">
        <v>795245</v>
      </c>
      <c r="D18307" s="5" t="s">
        <v>22407</v>
      </c>
      <c r="E18307" s="6" t="str">
        <f>HYPERLINK("https://inpn.mnhn.fr/espece/cd_nom/795245","Chrysomela tremula Fabricius, 1787")</f>
        <v>Chrysomela tremula Fabricius, 1787</v>
      </c>
      <c r="F18307" s="5" t="s">
        <v>22408</v>
      </c>
      <c r="AH18307" s="4" t="str">
        <f>HYPERLINK("#Statut_biogéographique!A"&amp;_xlfn.XMATCH("P",Statut_biogéographique!A:A,2,1),"P")</f>
        <v>P</v>
      </c>
      <c r="AP18307" s="4" t="s">
        <v>376</v>
      </c>
      <c r="AR18307" s="4" t="s">
        <v>377</v>
      </c>
    </row>
    <row r="18308" spans="1:44">
      <c r="A18308" s="4" t="s">
        <v>10753</v>
      </c>
      <c r="B18308" s="4">
        <v>795246</v>
      </c>
      <c r="D18308" s="5" t="s">
        <v>22409</v>
      </c>
      <c r="E18308" s="6" t="str">
        <f>HYPERLINK("https://inpn.mnhn.fr/espece/cd_nom/795246","Prasocuris marginella (Linnaeus, 1758)")</f>
        <v>Prasocuris marginella (Linnaeus, 1758)</v>
      </c>
      <c r="AH18308" s="4" t="str">
        <f>HYPERLINK("#Statut_biogéographique!A"&amp;_xlfn.XMATCH("P",Statut_biogéographique!A:A,2,1),"P")</f>
        <v>P</v>
      </c>
      <c r="AP18308" s="4" t="s">
        <v>376</v>
      </c>
      <c r="AR18308" s="4" t="s">
        <v>377</v>
      </c>
    </row>
    <row r="18309" spans="1:44" ht="30">
      <c r="A18309" s="4" t="s">
        <v>10753</v>
      </c>
      <c r="B18309" s="4">
        <v>795248</v>
      </c>
      <c r="D18309" s="5" t="s">
        <v>22410</v>
      </c>
      <c r="E18309" s="6" t="str">
        <f>HYPERLINK("https://inpn.mnhn.fr/espece/cd_nom/795248","Involvulus caeruleus (De Geer, 1775)")</f>
        <v>Involvulus caeruleus (De Geer, 1775)</v>
      </c>
      <c r="AH18309" s="4" t="str">
        <f>HYPERLINK("#Statut_biogéographique!A"&amp;_xlfn.XMATCH("P",Statut_biogéographique!A:A,2,1),"P")</f>
        <v>P</v>
      </c>
      <c r="AP18309" s="4" t="s">
        <v>376</v>
      </c>
      <c r="AR18309" s="4" t="s">
        <v>377</v>
      </c>
    </row>
    <row r="18310" spans="1:44">
      <c r="A18310" s="4" t="s">
        <v>10753</v>
      </c>
      <c r="B18310" s="4">
        <v>795250</v>
      </c>
      <c r="D18310" s="5" t="s">
        <v>22411</v>
      </c>
      <c r="E18310" s="6" t="str">
        <f>HYPERLINK("https://inpn.mnhn.fr/espece/cd_nom/795250","Sitona obsoletus (Gmelin, 1790)")</f>
        <v>Sitona obsoletus (Gmelin, 1790)</v>
      </c>
      <c r="AH18310" s="4" t="str">
        <f>HYPERLINK("#Statut_biogéographique!A"&amp;_xlfn.XMATCH("P",Statut_biogéographique!A:A,2,1),"P")</f>
        <v>P</v>
      </c>
      <c r="AP18310" s="4" t="s">
        <v>376</v>
      </c>
      <c r="AR18310" s="4" t="s">
        <v>377</v>
      </c>
    </row>
    <row r="18311" spans="1:44">
      <c r="A18311" s="4" t="s">
        <v>10753</v>
      </c>
      <c r="B18311" s="4">
        <v>795253</v>
      </c>
      <c r="D18311" s="5" t="s">
        <v>22412</v>
      </c>
      <c r="E18311" s="6" t="str">
        <f>HYPERLINK("https://inpn.mnhn.fr/espece/cd_nom/795253","Exomias pellucidus (Boheman, 1834)")</f>
        <v>Exomias pellucidus (Boheman, 1834)</v>
      </c>
      <c r="AH18311" s="4" t="str">
        <f>HYPERLINK("#Statut_biogéographique!A"&amp;_xlfn.XMATCH("P",Statut_biogéographique!A:A,2,1),"P")</f>
        <v>P</v>
      </c>
      <c r="AP18311" s="4" t="s">
        <v>376</v>
      </c>
      <c r="AR18311" s="4" t="s">
        <v>377</v>
      </c>
    </row>
    <row r="18312" spans="1:44" ht="30">
      <c r="A18312" s="4" t="s">
        <v>10753</v>
      </c>
      <c r="B18312" s="4">
        <v>795299</v>
      </c>
      <c r="D18312" s="5">
        <v>795299</v>
      </c>
      <c r="E18312" s="6" t="str">
        <f>HYPERLINK("https://inpn.mnhn.fr/espece/cd_nom/795299","Hygrotus impressopunctatus impressopunctatus (Schaller, 1783)")</f>
        <v>Hygrotus impressopunctatus impressopunctatus (Schaller, 1783)</v>
      </c>
      <c r="AH18312" s="4" t="str">
        <f>HYPERLINK("#Statut_biogéographique!A"&amp;_xlfn.XMATCH("P",Statut_biogéographique!A:A,2,1),"P")</f>
        <v>P</v>
      </c>
      <c r="AP18312" s="4" t="s">
        <v>376</v>
      </c>
      <c r="AR18312" s="4" t="s">
        <v>377</v>
      </c>
    </row>
    <row r="18313" spans="1:44" ht="30">
      <c r="A18313" s="4" t="s">
        <v>10753</v>
      </c>
      <c r="B18313" s="4">
        <v>795432</v>
      </c>
      <c r="D18313" s="5">
        <v>795432</v>
      </c>
      <c r="E18313" s="6" t="str">
        <f>HYPERLINK("https://inpn.mnhn.fr/espece/cd_nom/795432","Cymindis coadunata aubei Tournier de Tournefort, 1868")</f>
        <v>Cymindis coadunata aubei Tournier de Tournefort, 1868</v>
      </c>
      <c r="AH18313" s="4" t="str">
        <f>HYPERLINK("#Statut_biogéographique!A"&amp;_xlfn.XMATCH("P",Statut_biogéographique!A:A,2,1),"P")</f>
        <v>P</v>
      </c>
      <c r="AP18313" s="4" t="s">
        <v>376</v>
      </c>
      <c r="AR18313" s="4" t="s">
        <v>377</v>
      </c>
    </row>
    <row r="18314" spans="1:44">
      <c r="A18314" s="4" t="s">
        <v>10753</v>
      </c>
      <c r="B18314" s="4">
        <v>795439</v>
      </c>
      <c r="D18314" s="5" t="s">
        <v>22413</v>
      </c>
      <c r="E18314" s="6" t="str">
        <f>HYPERLINK("https://inpn.mnhn.fr/espece/cd_nom/795439","Poecilus sericeus desbrochersi Jeannel, 1942")</f>
        <v>Poecilus sericeus desbrochersi Jeannel, 1942</v>
      </c>
      <c r="AH18314" s="4" t="str">
        <f>HYPERLINK("#Statut_biogéographique!A"&amp;_xlfn.XMATCH("P",Statut_biogéographique!A:A,2,1),"P")</f>
        <v>P</v>
      </c>
      <c r="AP18314" s="4" t="s">
        <v>376</v>
      </c>
      <c r="AR18314" s="4" t="s">
        <v>377</v>
      </c>
    </row>
    <row r="18315" spans="1:44" ht="45">
      <c r="A18315" s="4" t="s">
        <v>10753</v>
      </c>
      <c r="B18315" s="4">
        <v>795452</v>
      </c>
      <c r="D18315" s="5" t="s">
        <v>22414</v>
      </c>
      <c r="E18315" s="6" t="str">
        <f>HYPERLINK("https://inpn.mnhn.fr/espece/cd_nom/795452","Calathus fuscipes punctipennis Germar, 1823")</f>
        <v>Calathus fuscipes punctipennis Germar, 1823</v>
      </c>
      <c r="AH18315" s="4" t="str">
        <f>HYPERLINK("#Statut_biogéographique!A"&amp;_xlfn.XMATCH("P",Statut_biogéographique!A:A,2,1),"P")</f>
        <v>P</v>
      </c>
      <c r="AP18315" s="4" t="s">
        <v>376</v>
      </c>
      <c r="AR18315" s="4" t="s">
        <v>377</v>
      </c>
    </row>
    <row r="18316" spans="1:44" ht="30">
      <c r="A18316" s="4" t="s">
        <v>10753</v>
      </c>
      <c r="B18316" s="4">
        <v>795538</v>
      </c>
      <c r="D18316" s="5" t="s">
        <v>22415</v>
      </c>
      <c r="E18316" s="6" t="str">
        <f>HYPERLINK("https://inpn.mnhn.fr/espece/cd_nom/795538","Liocola marmorata marmorata (Fabricius, 1792)")</f>
        <v>Liocola marmorata marmorata (Fabricius, 1792)</v>
      </c>
      <c r="AH18316" s="4" t="str">
        <f>HYPERLINK("#Statut_biogéographique!A"&amp;_xlfn.XMATCH("P",Statut_biogéographique!A:A,2,1),"P")</f>
        <v>P</v>
      </c>
      <c r="AP18316" s="4" t="s">
        <v>376</v>
      </c>
      <c r="AR18316" s="4" t="s">
        <v>377</v>
      </c>
    </row>
    <row r="18317" spans="1:44">
      <c r="A18317" s="4" t="s">
        <v>10753</v>
      </c>
      <c r="B18317" s="4">
        <v>795564</v>
      </c>
      <c r="D18317" s="5" t="s">
        <v>22416</v>
      </c>
      <c r="E18317" s="6" t="str">
        <f>HYPERLINK("https://inpn.mnhn.fr/espece/cd_nom/795564","Lamprodila decipiens decipiens (Gebler, 1847)")</f>
        <v>Lamprodila decipiens decipiens (Gebler, 1847)</v>
      </c>
      <c r="AH18317" s="4" t="str">
        <f>HYPERLINK("#Statut_biogéographique!A"&amp;_xlfn.XMATCH("P",Statut_biogéographique!A:A,2,1),"P")</f>
        <v>P</v>
      </c>
      <c r="AP18317" s="4" t="s">
        <v>376</v>
      </c>
      <c r="AR18317" s="4" t="s">
        <v>377</v>
      </c>
    </row>
    <row r="18318" spans="1:44" ht="30">
      <c r="A18318" s="4" t="s">
        <v>10753</v>
      </c>
      <c r="B18318" s="4">
        <v>795611</v>
      </c>
      <c r="D18318" s="5" t="s">
        <v>22417</v>
      </c>
      <c r="E18318" s="6" t="str">
        <f>HYPERLINK("https://inpn.mnhn.fr/espece/cd_nom/795611","Scymnus suffrianioides apetzoides Capra &amp; Fürsch, 1967")</f>
        <v>Scymnus suffrianioides apetzoides Capra &amp; Fürsch, 1967</v>
      </c>
      <c r="AH18318" s="4" t="str">
        <f>HYPERLINK("#Statut_biogéographique!A"&amp;_xlfn.XMATCH("P",Statut_biogéographique!A:A,2,1),"P")</f>
        <v>P</v>
      </c>
      <c r="AP18318" s="4" t="s">
        <v>376</v>
      </c>
      <c r="AR18318" s="4" t="s">
        <v>377</v>
      </c>
    </row>
    <row r="18319" spans="1:44">
      <c r="A18319" s="4" t="s">
        <v>10753</v>
      </c>
      <c r="B18319" s="4">
        <v>795758</v>
      </c>
      <c r="D18319" s="5" t="s">
        <v>22418</v>
      </c>
      <c r="E18319" s="6" t="str">
        <f>HYPERLINK("https://inpn.mnhn.fr/espece/cd_nom/795758","Sitona obsoletus obsoletus (Gmelin, 1790)")</f>
        <v>Sitona obsoletus obsoletus (Gmelin, 1790)</v>
      </c>
      <c r="AH18319" s="4" t="str">
        <f>HYPERLINK("#Statut_biogéographique!A"&amp;_xlfn.XMATCH("P",Statut_biogéographique!A:A,2,1),"P")</f>
        <v>P</v>
      </c>
      <c r="AP18319" s="4" t="s">
        <v>376</v>
      </c>
      <c r="AR18319" s="4" t="s">
        <v>377</v>
      </c>
    </row>
    <row r="18320" spans="1:44" ht="30">
      <c r="A18320" s="4" t="s">
        <v>10753</v>
      </c>
      <c r="B18320" s="4">
        <v>795776</v>
      </c>
      <c r="D18320" s="5" t="s">
        <v>22419</v>
      </c>
      <c r="E18320" s="6" t="str">
        <f>HYPERLINK("https://inpn.mnhn.fr/espece/cd_nom/795776","Exomias pellucidus pellucidus (Boheman, 1834)")</f>
        <v>Exomias pellucidus pellucidus (Boheman, 1834)</v>
      </c>
      <c r="AH18320" s="4" t="str">
        <f>HYPERLINK("#Statut_biogéographique!A"&amp;_xlfn.XMATCH("P",Statut_biogéographique!A:A,2,1),"P")</f>
        <v>P</v>
      </c>
      <c r="AP18320" s="4" t="s">
        <v>376</v>
      </c>
      <c r="AR18320" s="4" t="s">
        <v>377</v>
      </c>
    </row>
    <row r="18321" spans="1:44">
      <c r="A18321" s="4" t="s">
        <v>10753</v>
      </c>
      <c r="B18321" s="4">
        <v>796715</v>
      </c>
      <c r="D18321" s="5" t="s">
        <v>22420</v>
      </c>
      <c r="E18321" s="6" t="str">
        <f>HYPERLINK("https://inpn.mnhn.fr/espece/cd_nom/796715","Triodontella bucculenta (Baraud, 1962)")</f>
        <v>Triodontella bucculenta (Baraud, 1962)</v>
      </c>
      <c r="AH18321" s="4" t="str">
        <f>HYPERLINK("#Statut_biogéographique!A"&amp;_xlfn.XMATCH("P",Statut_biogéographique!A:A,2,1),"P")</f>
        <v>P</v>
      </c>
      <c r="AP18321" s="4" t="s">
        <v>376</v>
      </c>
      <c r="AR18321" s="4" t="s">
        <v>377</v>
      </c>
    </row>
    <row r="18322" spans="1:44" ht="45">
      <c r="A18322" s="4" t="s">
        <v>10753</v>
      </c>
      <c r="B18322" s="4">
        <v>796719</v>
      </c>
      <c r="D18322" s="5" t="s">
        <v>22421</v>
      </c>
      <c r="E18322" s="6" t="str">
        <f>HYPERLINK("https://inpn.mnhn.fr/espece/cd_nom/796719","Leiodes badia (Sturm, 1807)")</f>
        <v>Leiodes badia (Sturm, 1807)</v>
      </c>
      <c r="AH18322" s="4" t="str">
        <f>HYPERLINK("#Statut_biogéographique!A"&amp;_xlfn.XMATCH("P",Statut_biogéographique!A:A,2,1),"P")</f>
        <v>P</v>
      </c>
      <c r="AP18322" s="4" t="s">
        <v>376</v>
      </c>
      <c r="AR18322" s="4" t="s">
        <v>377</v>
      </c>
    </row>
    <row r="18323" spans="1:44">
      <c r="A18323" s="4" t="s">
        <v>10753</v>
      </c>
      <c r="B18323" s="4">
        <v>796721</v>
      </c>
      <c r="D18323" s="5" t="s">
        <v>22422</v>
      </c>
      <c r="E18323" s="6" t="str">
        <f>HYPERLINK("https://inpn.mnhn.fr/espece/cd_nom/796721","Leiodes cinnamomea (Panzer, 1793)")</f>
        <v>Leiodes cinnamomea (Panzer, 1793)</v>
      </c>
      <c r="AH18323" s="4" t="str">
        <f>HYPERLINK("#Statut_biogéographique!A"&amp;_xlfn.XMATCH("P",Statut_biogéographique!A:A,2,1),"P")</f>
        <v>P</v>
      </c>
      <c r="AP18323" s="4" t="s">
        <v>376</v>
      </c>
      <c r="AR18323" s="4" t="s">
        <v>377</v>
      </c>
    </row>
    <row r="18324" spans="1:44">
      <c r="A18324" s="4" t="s">
        <v>10753</v>
      </c>
      <c r="B18324" s="4">
        <v>796748</v>
      </c>
      <c r="D18324" s="5" t="s">
        <v>22423</v>
      </c>
      <c r="E18324" s="6" t="str">
        <f>HYPERLINK("https://inpn.mnhn.fr/espece/cd_nom/796748","Actenicerus sjaelandicus (O.F. Müller, 1764)")</f>
        <v>Actenicerus sjaelandicus (O.F. Müller, 1764)</v>
      </c>
      <c r="F18324" s="5" t="s">
        <v>22424</v>
      </c>
      <c r="AH18324" s="4" t="str">
        <f>HYPERLINK("#Statut_biogéographique!A"&amp;_xlfn.XMATCH("P",Statut_biogéographique!A:A,2,1),"P")</f>
        <v>P</v>
      </c>
      <c r="AP18324" s="4" t="s">
        <v>376</v>
      </c>
      <c r="AR18324" s="4" t="s">
        <v>377</v>
      </c>
    </row>
    <row r="18325" spans="1:44">
      <c r="A18325" s="4" t="s">
        <v>10753</v>
      </c>
      <c r="B18325" s="4">
        <v>797171</v>
      </c>
      <c r="D18325" s="5" t="s">
        <v>22425</v>
      </c>
      <c r="E18325" s="6" t="str">
        <f>HYPERLINK("https://inpn.mnhn.fr/espece/cd_nom/797171","Uleiota planatus (Linnaeus, 1761)")</f>
        <v>Uleiota planatus (Linnaeus, 1761)</v>
      </c>
      <c r="F18325" s="5" t="s">
        <v>22426</v>
      </c>
      <c r="AH18325" s="4" t="str">
        <f>HYPERLINK("#Statut_biogéographique!A"&amp;_xlfn.XMATCH("P",Statut_biogéographique!A:A,2,1),"P")</f>
        <v>P</v>
      </c>
      <c r="AP18325" s="4" t="s">
        <v>376</v>
      </c>
      <c r="AR18325" s="4" t="s">
        <v>377</v>
      </c>
    </row>
    <row r="18326" spans="1:44">
      <c r="A18326" s="4" t="s">
        <v>10753</v>
      </c>
      <c r="B18326" s="4">
        <v>7983</v>
      </c>
      <c r="D18326" s="5" t="s">
        <v>22427</v>
      </c>
      <c r="E18326" s="6" t="str">
        <f>HYPERLINK("https://inpn.mnhn.fr/espece/cd_nom/7983","Graptodytes bilineatus (Sturm, 1835)")</f>
        <v>Graptodytes bilineatus (Sturm, 1835)</v>
      </c>
      <c r="AH18326" s="4" t="str">
        <f>HYPERLINK("#Statut_biogéographique!A"&amp;_xlfn.XMATCH("P",Statut_biogéographique!A:A,2,1),"P")</f>
        <v>P</v>
      </c>
      <c r="AP18326" s="4" t="s">
        <v>376</v>
      </c>
      <c r="AR18326" s="4" t="s">
        <v>377</v>
      </c>
    </row>
    <row r="18327" spans="1:44">
      <c r="A18327" s="4" t="s">
        <v>10753</v>
      </c>
      <c r="B18327" s="4">
        <v>799</v>
      </c>
      <c r="D18327" s="5" t="s">
        <v>22428</v>
      </c>
      <c r="E18327" s="6" t="str">
        <f>HYPERLINK("https://inpn.mnhn.fr/espece/cd_nom/799","Floronia bucculenta (Clerck, 1758)")</f>
        <v>Floronia bucculenta (Clerck, 1758)</v>
      </c>
      <c r="Q18327" s="7" t="str">
        <f>HYPERLINK("#Liste_rouge!A"&amp;_xlfn.XMATCH("LC",Liste_rouge!A:A,2,1),"LC")</f>
        <v>LC</v>
      </c>
      <c r="AH18327" s="4" t="str">
        <f>HYPERLINK("#Statut_biogéographique!A"&amp;_xlfn.XMATCH("P",Statut_biogéographique!A:A,2,1),"P")</f>
        <v>P</v>
      </c>
      <c r="AP18327" s="4" t="s">
        <v>376</v>
      </c>
      <c r="AR18327" s="4" t="s">
        <v>377</v>
      </c>
    </row>
    <row r="18328" spans="1:44">
      <c r="A18328" s="4" t="s">
        <v>10753</v>
      </c>
      <c r="B18328" s="4">
        <v>803</v>
      </c>
      <c r="D18328" s="5">
        <v>803</v>
      </c>
      <c r="E18328" s="6" t="str">
        <f>HYPERLINK("https://inpn.mnhn.fr/espece/cd_nom/803","Maso gallicus Simon, 1894")</f>
        <v>Maso gallicus Simon, 1894</v>
      </c>
      <c r="Q18328" s="7" t="str">
        <f>HYPERLINK("#Liste_rouge!A"&amp;_xlfn.XMATCH("LC",Liste_rouge!A:A,2,1),"LC")</f>
        <v>LC</v>
      </c>
      <c r="AH18328" s="4" t="str">
        <f>HYPERLINK("#Statut_biogéographique!A"&amp;_xlfn.XMATCH("P",Statut_biogéographique!A:A,2,1),"P")</f>
        <v>P</v>
      </c>
      <c r="AP18328" s="4" t="s">
        <v>376</v>
      </c>
      <c r="AR18328" s="4" t="s">
        <v>377</v>
      </c>
    </row>
    <row r="18329" spans="1:44" ht="30">
      <c r="A18329" s="4" t="s">
        <v>10753</v>
      </c>
      <c r="B18329" s="4">
        <v>803859</v>
      </c>
      <c r="D18329" s="5" t="s">
        <v>22429</v>
      </c>
      <c r="E18329" s="6" t="str">
        <f>HYPERLINK("https://inpn.mnhn.fr/espece/cd_nom/803859","Lamprodila festiva (Linnaeus, 1767)")</f>
        <v>Lamprodila festiva (Linnaeus, 1767)</v>
      </c>
      <c r="F18329" s="5" t="s">
        <v>22430</v>
      </c>
      <c r="AH18329" s="4" t="str">
        <f>HYPERLINK("#Statut_biogéographique!A"&amp;_xlfn.XMATCH("P",Statut_biogéographique!A:A,2,1),"P")</f>
        <v>P</v>
      </c>
      <c r="AP18329" s="4" t="s">
        <v>376</v>
      </c>
      <c r="AR18329" s="4" t="s">
        <v>377</v>
      </c>
    </row>
    <row r="18330" spans="1:44">
      <c r="A18330" s="4" t="s">
        <v>10753</v>
      </c>
      <c r="B18330" s="4">
        <v>803862</v>
      </c>
      <c r="D18330" s="5" t="s">
        <v>22431</v>
      </c>
      <c r="E18330" s="6" t="str">
        <f>HYPERLINK("https://inpn.mnhn.fr/espece/cd_nom/803862","Exomias araneiformis (Schrank, 1781)")</f>
        <v>Exomias araneiformis (Schrank, 1781)</v>
      </c>
      <c r="AH18330" s="4" t="str">
        <f>HYPERLINK("#Statut_biogéographique!A"&amp;_xlfn.XMATCH("P",Statut_biogéographique!A:A,2,1),"P")</f>
        <v>P</v>
      </c>
      <c r="AP18330" s="4" t="s">
        <v>376</v>
      </c>
      <c r="AR18330" s="4" t="s">
        <v>377</v>
      </c>
    </row>
    <row r="18331" spans="1:44">
      <c r="A18331" s="4" t="s">
        <v>10753</v>
      </c>
      <c r="B18331" s="4">
        <v>805</v>
      </c>
      <c r="D18331" s="5" t="s">
        <v>22432</v>
      </c>
      <c r="E18331" s="6" t="str">
        <f>HYPERLINK("https://inpn.mnhn.fr/espece/cd_nom/805","Nigma flavescens (Walckenaer, 1830)")</f>
        <v>Nigma flavescens (Walckenaer, 1830)</v>
      </c>
      <c r="Q18331" s="7" t="str">
        <f>HYPERLINK("#Liste_rouge!A"&amp;_xlfn.XMATCH("LC",Liste_rouge!A:A,2,1),"LC")</f>
        <v>LC</v>
      </c>
      <c r="AH18331" s="4" t="str">
        <f>HYPERLINK("#Statut_biogéographique!A"&amp;_xlfn.XMATCH("P",Statut_biogéographique!A:A,2,1),"P")</f>
        <v>P</v>
      </c>
      <c r="AP18331" s="4" t="s">
        <v>376</v>
      </c>
      <c r="AR18331" s="4" t="s">
        <v>377</v>
      </c>
    </row>
    <row r="18332" spans="1:44">
      <c r="A18332" s="4" t="s">
        <v>10753</v>
      </c>
      <c r="B18332" s="4">
        <v>806845</v>
      </c>
      <c r="D18332" s="5" t="s">
        <v>22433</v>
      </c>
      <c r="E18332" s="6" t="str">
        <f>HYPERLINK("https://inpn.mnhn.fr/espece/cd_nom/806845","Brigittea civica (Lucas, 1850)")</f>
        <v>Brigittea civica (Lucas, 1850)</v>
      </c>
      <c r="Q18332" s="7" t="str">
        <f>HYPERLINK("#Liste_rouge!A"&amp;_xlfn.XMATCH("LC",Liste_rouge!A:A,2,1),"LC")</f>
        <v>LC</v>
      </c>
      <c r="AH18332" s="4" t="str">
        <f>HYPERLINK("#Statut_biogéographique!A"&amp;_xlfn.XMATCH("P",Statut_biogéographique!A:A,2,1),"P")</f>
        <v>P</v>
      </c>
      <c r="AP18332" s="4" t="s">
        <v>376</v>
      </c>
      <c r="AR18332" s="4" t="s">
        <v>377</v>
      </c>
    </row>
    <row r="18333" spans="1:44">
      <c r="A18333" s="4" t="s">
        <v>10753</v>
      </c>
      <c r="B18333" s="4">
        <v>806872</v>
      </c>
      <c r="D18333" s="5" t="s">
        <v>22434</v>
      </c>
      <c r="E18333" s="6" t="str">
        <f>HYPERLINK("https://inpn.mnhn.fr/espece/cd_nom/806872","Brigittea latens (Fabricius, 1775)")</f>
        <v>Brigittea latens (Fabricius, 1775)</v>
      </c>
      <c r="F18333" s="5" t="s">
        <v>22435</v>
      </c>
      <c r="Q18333" s="7" t="str">
        <f>HYPERLINK("#Liste_rouge!A"&amp;_xlfn.XMATCH("LC",Liste_rouge!A:A,2,1),"LC")</f>
        <v>LC</v>
      </c>
      <c r="AH18333" s="4" t="str">
        <f>HYPERLINK("#Statut_biogéographique!A"&amp;_xlfn.XMATCH("P",Statut_biogéographique!A:A,2,1),"P")</f>
        <v>P</v>
      </c>
      <c r="AP18333" s="4" t="s">
        <v>376</v>
      </c>
      <c r="AR18333" s="4" t="s">
        <v>377</v>
      </c>
    </row>
    <row r="18334" spans="1:44">
      <c r="A18334" s="4" t="s">
        <v>10753</v>
      </c>
      <c r="B18334" s="4">
        <v>806878</v>
      </c>
      <c r="D18334" s="5" t="s">
        <v>22436</v>
      </c>
      <c r="E18334" s="6" t="str">
        <f>HYPERLINK("https://inpn.mnhn.fr/espece/cd_nom/806878","Agyneta affinis (Kulczyński, 1898)")</f>
        <v>Agyneta affinis (Kulczyński, 1898)</v>
      </c>
      <c r="Q18334" s="7" t="str">
        <f>HYPERLINK("#Liste_rouge!A"&amp;_xlfn.XMATCH("LC",Liste_rouge!A:A,2,1),"LC")</f>
        <v>LC</v>
      </c>
      <c r="AH18334" s="4" t="str">
        <f>HYPERLINK("#Statut_biogéographique!A"&amp;_xlfn.XMATCH("P",Statut_biogéographique!A:A,2,1),"P")</f>
        <v>P</v>
      </c>
      <c r="AP18334" s="4" t="s">
        <v>376</v>
      </c>
      <c r="AR18334" s="4" t="s">
        <v>377</v>
      </c>
    </row>
    <row r="18335" spans="1:44">
      <c r="A18335" s="4" t="s">
        <v>10753</v>
      </c>
      <c r="B18335" s="4">
        <v>806883</v>
      </c>
      <c r="D18335" s="5" t="s">
        <v>22437</v>
      </c>
      <c r="E18335" s="6" t="str">
        <f>HYPERLINK("https://inpn.mnhn.fr/espece/cd_nom/806883","Agyneta mollis (O. Pickard-Cambridge, 1871)")</f>
        <v>Agyneta mollis (O. Pickard-Cambridge, 1871)</v>
      </c>
      <c r="Q18335" s="7" t="str">
        <f>HYPERLINK("#Liste_rouge!A"&amp;_xlfn.XMATCH("LC",Liste_rouge!A:A,2,1),"LC")</f>
        <v>LC</v>
      </c>
      <c r="AH18335" s="4" t="str">
        <f>HYPERLINK("#Statut_biogéographique!A"&amp;_xlfn.XMATCH("P",Statut_biogéographique!A:A,2,1),"P")</f>
        <v>P</v>
      </c>
      <c r="AP18335" s="4" t="s">
        <v>376</v>
      </c>
      <c r="AR18335" s="4" t="s">
        <v>377</v>
      </c>
    </row>
    <row r="18336" spans="1:44" ht="30">
      <c r="A18336" s="4" t="s">
        <v>10753</v>
      </c>
      <c r="B18336" s="4">
        <v>806888</v>
      </c>
      <c r="D18336" s="5" t="s">
        <v>22438</v>
      </c>
      <c r="E18336" s="6" t="str">
        <f>HYPERLINK("https://inpn.mnhn.fr/espece/cd_nom/806888","Agyneta rurestris (C. L. Koch, 1836)")</f>
        <v>Agyneta rurestris (C. L. Koch, 1836)</v>
      </c>
      <c r="Q18336" s="7" t="str">
        <f>HYPERLINK("#Liste_rouge!A"&amp;_xlfn.XMATCH("LC",Liste_rouge!A:A,2,1),"LC")</f>
        <v>LC</v>
      </c>
      <c r="AH18336" s="4" t="str">
        <f>HYPERLINK("#Statut_biogéographique!A"&amp;_xlfn.XMATCH("P",Statut_biogéographique!A:A,2,1),"P")</f>
        <v>P</v>
      </c>
      <c r="AP18336" s="4" t="s">
        <v>376</v>
      </c>
      <c r="AR18336" s="4" t="s">
        <v>377</v>
      </c>
    </row>
    <row r="18337" spans="1:44">
      <c r="A18337" s="4" t="s">
        <v>10753</v>
      </c>
      <c r="B18337" s="4">
        <v>806889</v>
      </c>
      <c r="D18337" s="5" t="s">
        <v>22439</v>
      </c>
      <c r="E18337" s="6" t="str">
        <f>HYPERLINK("https://inpn.mnhn.fr/espece/cd_nom/806889","Agyneta saxatilis (Blackwall, 1844)")</f>
        <v>Agyneta saxatilis (Blackwall, 1844)</v>
      </c>
      <c r="Q18337" s="7" t="str">
        <f>HYPERLINK("#Liste_rouge!A"&amp;_xlfn.XMATCH("LC",Liste_rouge!A:A,2,1),"LC")</f>
        <v>LC</v>
      </c>
      <c r="AH18337" s="4" t="str">
        <f>HYPERLINK("#Statut_biogéographique!A"&amp;_xlfn.XMATCH("P",Statut_biogéographique!A:A,2,1),"P")</f>
        <v>P</v>
      </c>
      <c r="AP18337" s="4" t="s">
        <v>376</v>
      </c>
      <c r="AR18337" s="4" t="s">
        <v>377</v>
      </c>
    </row>
    <row r="18338" spans="1:44">
      <c r="A18338" s="4" t="s">
        <v>10753</v>
      </c>
      <c r="B18338" s="4">
        <v>806894</v>
      </c>
      <c r="D18338" s="5" t="s">
        <v>22440</v>
      </c>
      <c r="E18338" s="6" t="str">
        <f>HYPERLINK("https://inpn.mnhn.fr/espece/cd_nom/806894","Piratula hygrophila (Thorell, 1872)")</f>
        <v>Piratula hygrophila (Thorell, 1872)</v>
      </c>
      <c r="Q18338" s="7" t="str">
        <f>HYPERLINK("#Liste_rouge!A"&amp;_xlfn.XMATCH("LC",Liste_rouge!A:A,2,1),"LC")</f>
        <v>LC</v>
      </c>
      <c r="AH18338" s="4" t="str">
        <f>HYPERLINK("#Statut_biogéographique!A"&amp;_xlfn.XMATCH("P",Statut_biogéographique!A:A,2,1),"P")</f>
        <v>P</v>
      </c>
      <c r="AP18338" s="4" t="s">
        <v>376</v>
      </c>
      <c r="AR18338" s="4" t="s">
        <v>377</v>
      </c>
    </row>
    <row r="18339" spans="1:44">
      <c r="A18339" s="4" t="s">
        <v>10753</v>
      </c>
      <c r="B18339" s="4">
        <v>806895</v>
      </c>
      <c r="D18339" s="5" t="s">
        <v>22441</v>
      </c>
      <c r="E18339" s="6" t="str">
        <f>HYPERLINK("https://inpn.mnhn.fr/espece/cd_nom/806895","Piratula knorri (Scopoli, 1763)")</f>
        <v>Piratula knorri (Scopoli, 1763)</v>
      </c>
      <c r="Q18339" s="7" t="str">
        <f>HYPERLINK("#Liste_rouge!A"&amp;_xlfn.XMATCH("DD",Liste_rouge!A:A,2,1),"DD")</f>
        <v>DD</v>
      </c>
      <c r="AH18339" s="4" t="str">
        <f>HYPERLINK("#Statut_biogéographique!A"&amp;_xlfn.XMATCH("P",Statut_biogéographique!A:A,2,1),"P")</f>
        <v>P</v>
      </c>
      <c r="AP18339" s="4" t="s">
        <v>376</v>
      </c>
      <c r="AR18339" s="4" t="s">
        <v>377</v>
      </c>
    </row>
    <row r="18340" spans="1:44">
      <c r="A18340" s="4" t="s">
        <v>10753</v>
      </c>
      <c r="B18340" s="4">
        <v>806896</v>
      </c>
      <c r="D18340" s="5" t="s">
        <v>22442</v>
      </c>
      <c r="E18340" s="6" t="str">
        <f>HYPERLINK("https://inpn.mnhn.fr/espece/cd_nom/806896","Piratula latitans (Blackwall, 1841)")</f>
        <v>Piratula latitans (Blackwall, 1841)</v>
      </c>
      <c r="Q18340" s="7" t="str">
        <f>HYPERLINK("#Liste_rouge!A"&amp;_xlfn.XMATCH("LC",Liste_rouge!A:A,2,1),"LC")</f>
        <v>LC</v>
      </c>
      <c r="AH18340" s="4" t="str">
        <f>HYPERLINK("#Statut_biogéographique!A"&amp;_xlfn.XMATCH("P",Statut_biogéographique!A:A,2,1),"P")</f>
        <v>P</v>
      </c>
      <c r="AP18340" s="4" t="s">
        <v>376</v>
      </c>
      <c r="AR18340" s="4" t="s">
        <v>377</v>
      </c>
    </row>
    <row r="18341" spans="1:44">
      <c r="A18341" s="4" t="s">
        <v>10753</v>
      </c>
      <c r="B18341" s="4">
        <v>806899</v>
      </c>
      <c r="D18341" s="5" t="s">
        <v>22443</v>
      </c>
      <c r="E18341" s="6" t="str">
        <f>HYPERLINK("https://inpn.mnhn.fr/espece/cd_nom/806899","Microdipoena jobi (Kraus, 1967)")</f>
        <v>Microdipoena jobi (Kraus, 1967)</v>
      </c>
      <c r="Q18341" s="7" t="str">
        <f>HYPERLINK("#Liste_rouge!A"&amp;_xlfn.XMATCH("LC",Liste_rouge!A:A,2,1),"LC")</f>
        <v>LC</v>
      </c>
      <c r="AH18341" s="4" t="str">
        <f>HYPERLINK("#Statut_biogéographique!A"&amp;_xlfn.XMATCH("P",Statut_biogéographique!A:A,2,1),"P")</f>
        <v>P</v>
      </c>
      <c r="AP18341" s="4" t="s">
        <v>376</v>
      </c>
      <c r="AR18341" s="4" t="s">
        <v>377</v>
      </c>
    </row>
    <row r="18342" spans="1:44">
      <c r="A18342" s="4" t="s">
        <v>10753</v>
      </c>
      <c r="B18342" s="4">
        <v>806905</v>
      </c>
      <c r="D18342" s="5" t="s">
        <v>22444</v>
      </c>
      <c r="E18342" s="6" t="str">
        <f>HYPERLINK("https://inpn.mnhn.fr/espece/cd_nom/806905","Pulchellodromus ruficapillus (Simon, 1885)")</f>
        <v>Pulchellodromus ruficapillus (Simon, 1885)</v>
      </c>
      <c r="Q18342" s="7" t="str">
        <f>HYPERLINK("#Liste_rouge!A"&amp;_xlfn.XMATCH("LC",Liste_rouge!A:A,2,1),"LC")</f>
        <v>LC</v>
      </c>
      <c r="AH18342" s="4" t="str">
        <f>HYPERLINK("#Statut_biogéographique!A"&amp;_xlfn.XMATCH("P",Statut_biogéographique!A:A,2,1),"P")</f>
        <v>P</v>
      </c>
      <c r="AP18342" s="4" t="s">
        <v>376</v>
      </c>
      <c r="AR18342" s="4" t="s">
        <v>377</v>
      </c>
    </row>
    <row r="18343" spans="1:44" ht="30">
      <c r="A18343" s="4" t="s">
        <v>10753</v>
      </c>
      <c r="B18343" s="4">
        <v>808200</v>
      </c>
      <c r="D18343" s="5" t="s">
        <v>22445</v>
      </c>
      <c r="E18343" s="6" t="str">
        <f>HYPERLINK("https://inpn.mnhn.fr/espece/cd_nom/808200","Pyrausta despicata koenigiana (O.F. Müller, 1764)")</f>
        <v>Pyrausta despicata koenigiana (O.F. Müller, 1764)</v>
      </c>
      <c r="AH18343" s="4" t="str">
        <f>HYPERLINK("#Statut_biogéographique!A"&amp;_xlfn.XMATCH("P",Statut_biogéographique!A:A,2,1),"P")</f>
        <v>P</v>
      </c>
      <c r="AP18343" s="4" t="s">
        <v>376</v>
      </c>
      <c r="AR18343" s="4" t="s">
        <v>377</v>
      </c>
    </row>
    <row r="18344" spans="1:44">
      <c r="A18344" s="4" t="s">
        <v>10753</v>
      </c>
      <c r="B18344" s="4">
        <v>808464</v>
      </c>
      <c r="D18344" s="5" t="s">
        <v>22446</v>
      </c>
      <c r="E18344" s="6" t="str">
        <f>HYPERLINK("https://inpn.mnhn.fr/espece/cd_nom/808464","Hylaeus dilatatus (Kirby, 1802)")</f>
        <v>Hylaeus dilatatus (Kirby, 1802)</v>
      </c>
      <c r="P18344" s="7" t="str">
        <f>HYPERLINK("#Liste_rouge!A"&amp;_xlfn.XMATCH("LC",Liste_rouge!A:A,2,1),"LC")</f>
        <v>LC</v>
      </c>
      <c r="AH18344" s="4" t="str">
        <f>HYPERLINK("#Statut_biogéographique!A"&amp;_xlfn.XMATCH("P",Statut_biogéographique!A:A,2,1),"P")</f>
        <v>P</v>
      </c>
      <c r="AP18344" s="4" t="s">
        <v>376</v>
      </c>
      <c r="AR18344" s="4" t="s">
        <v>377</v>
      </c>
    </row>
    <row r="18345" spans="1:44" ht="30">
      <c r="A18345" s="4" t="s">
        <v>10753</v>
      </c>
      <c r="B18345" s="4">
        <v>808468</v>
      </c>
      <c r="D18345" s="5" t="s">
        <v>22447</v>
      </c>
      <c r="E18345" s="6" t="str">
        <f>HYPERLINK("https://inpn.mnhn.fr/espece/cd_nom/808468","Pseudoanthidium nanum (Mocsáry, 1881)")</f>
        <v>Pseudoanthidium nanum (Mocsáry, 1881)</v>
      </c>
      <c r="P18345" s="7" t="str">
        <f>HYPERLINK("#Liste_rouge!A"&amp;_xlfn.XMATCH("LC",Liste_rouge!A:A,2,1),"LC")</f>
        <v>LC</v>
      </c>
      <c r="AH18345" s="4" t="str">
        <f>HYPERLINK("#Statut_biogéographique!A"&amp;_xlfn.XMATCH("P",Statut_biogéographique!A:A,2,1),"P")</f>
        <v>P</v>
      </c>
      <c r="AP18345" s="4" t="s">
        <v>376</v>
      </c>
      <c r="AR18345" s="4" t="s">
        <v>377</v>
      </c>
    </row>
    <row r="18346" spans="1:44">
      <c r="A18346" s="4" t="s">
        <v>10753</v>
      </c>
      <c r="B18346" s="4">
        <v>808690</v>
      </c>
      <c r="D18346" s="5" t="s">
        <v>22448</v>
      </c>
      <c r="E18346" s="6" t="str">
        <f>HYPERLINK("https://inpn.mnhn.fr/espece/cd_nom/808690","Haplophthalmus mengii (Zaddach, 1844)")</f>
        <v>Haplophthalmus mengii (Zaddach, 1844)</v>
      </c>
      <c r="AH18346" s="4" t="str">
        <f>HYPERLINK("#Statut_biogéographique!A"&amp;_xlfn.XMATCH("P",Statut_biogéographique!A:A,2,1),"P")</f>
        <v>P</v>
      </c>
      <c r="AP18346" s="4" t="s">
        <v>376</v>
      </c>
      <c r="AR18346" s="4" t="s">
        <v>377</v>
      </c>
    </row>
    <row r="18347" spans="1:44">
      <c r="A18347" s="4" t="s">
        <v>10753</v>
      </c>
      <c r="B18347" s="4">
        <v>809849</v>
      </c>
      <c r="D18347" s="5">
        <v>809849</v>
      </c>
      <c r="E18347" s="6" t="str">
        <f>HYPERLINK("https://inpn.mnhn.fr/espece/cd_nom/809849","Sisyra bureschi Rausch &amp; Weißmair, 2007")</f>
        <v>Sisyra bureschi Rausch &amp; Weißmair, 2007</v>
      </c>
      <c r="AH18347" s="4" t="str">
        <f>HYPERLINK("#Statut_biogéographique!A"&amp;_xlfn.XMATCH("P",Statut_biogéographique!A:A,2,1),"P")</f>
        <v>P</v>
      </c>
      <c r="AP18347" s="4" t="s">
        <v>376</v>
      </c>
      <c r="AR18347" s="4" t="s">
        <v>377</v>
      </c>
    </row>
    <row r="18348" spans="1:44" ht="30">
      <c r="A18348" s="4" t="s">
        <v>10753</v>
      </c>
      <c r="B18348" s="4">
        <v>810102</v>
      </c>
      <c r="D18348" s="5" t="s">
        <v>22449</v>
      </c>
      <c r="E18348" s="6" t="str">
        <f>HYPERLINK("https://inpn.mnhn.fr/espece/cd_nom/810102","Cirrhia icteritia (Hufnagel, 1766)")</f>
        <v>Cirrhia icteritia (Hufnagel, 1766)</v>
      </c>
      <c r="F18348" s="5" t="s">
        <v>22450</v>
      </c>
      <c r="AH18348" s="4" t="str">
        <f>HYPERLINK("#Statut_biogéographique!A"&amp;_xlfn.XMATCH("P",Statut_biogéographique!A:A,2,1),"P")</f>
        <v>P</v>
      </c>
      <c r="AP18348" s="4" t="s">
        <v>376</v>
      </c>
      <c r="AR18348" s="4" t="s">
        <v>377</v>
      </c>
    </row>
    <row r="18349" spans="1:44">
      <c r="A18349" s="4" t="s">
        <v>10753</v>
      </c>
      <c r="B18349" s="4">
        <v>810103</v>
      </c>
      <c r="D18349" s="5" t="s">
        <v>22451</v>
      </c>
      <c r="E18349" s="6" t="str">
        <f>HYPERLINK("https://inpn.mnhn.fr/espece/cd_nom/810103","Cirrhia gilvago (Denis &amp; Schiffermüller, 1775)")</f>
        <v>Cirrhia gilvago (Denis &amp; Schiffermüller, 1775)</v>
      </c>
      <c r="F18349" s="5" t="s">
        <v>22452</v>
      </c>
      <c r="AH18349" s="4" t="str">
        <f>HYPERLINK("#Statut_biogéographique!A"&amp;_xlfn.XMATCH("P",Statut_biogéographique!A:A,2,1),"P")</f>
        <v>P</v>
      </c>
      <c r="AP18349" s="4" t="s">
        <v>376</v>
      </c>
      <c r="AR18349" s="4" t="s">
        <v>377</v>
      </c>
    </row>
    <row r="18350" spans="1:44">
      <c r="A18350" s="4" t="s">
        <v>10753</v>
      </c>
      <c r="B18350" s="4">
        <v>812086</v>
      </c>
      <c r="D18350" s="5" t="s">
        <v>22453</v>
      </c>
      <c r="E18350" s="6" t="str">
        <f>HYPERLINK("https://inpn.mnhn.fr/espece/cd_nom/812086","Macularia sylvatica (Draparnaud, 1801)")</f>
        <v>Macularia sylvatica (Draparnaud, 1801)</v>
      </c>
      <c r="F18350" s="5" t="s">
        <v>22454</v>
      </c>
      <c r="O18350" s="7" t="str">
        <f>HYPERLINK("#Liste_rouge!A"&amp;_xlfn.XMATCH("LC",Liste_rouge!A:A,2,1),"LC")</f>
        <v>LC</v>
      </c>
      <c r="P18350" s="7" t="str">
        <f>HYPERLINK("#Liste_rouge!A"&amp;_xlfn.XMATCH("LC",Liste_rouge!A:A,2,1),"LC")</f>
        <v>LC</v>
      </c>
      <c r="Q18350" s="7" t="str">
        <f>HYPERLINK("#Liste_rouge!A"&amp;_xlfn.XMATCH("LC",Liste_rouge!A:A,2,1),"LC")</f>
        <v>LC</v>
      </c>
      <c r="AH18350" s="4" t="str">
        <f>HYPERLINK("#Statut_biogéographique!A"&amp;_xlfn.XMATCH("P",Statut_biogéographique!A:A,2,1),"P")</f>
        <v>P</v>
      </c>
      <c r="AM18350" s="4" t="s">
        <v>375</v>
      </c>
      <c r="AN18350" s="4" t="s">
        <v>375</v>
      </c>
      <c r="AO18350" s="4" t="s">
        <v>375</v>
      </c>
      <c r="AP18350" s="4" t="s">
        <v>376</v>
      </c>
      <c r="AR18350" s="4" t="s">
        <v>377</v>
      </c>
    </row>
    <row r="18351" spans="1:44">
      <c r="A18351" s="4" t="s">
        <v>10753</v>
      </c>
      <c r="B18351" s="4">
        <v>812237</v>
      </c>
      <c r="D18351" s="5" t="s">
        <v>22455</v>
      </c>
      <c r="E18351" s="6" t="str">
        <f>HYPERLINK("https://inpn.mnhn.fr/espece/cd_nom/812237","Agrilus graminis Kiesenwetter, 1857")</f>
        <v>Agrilus graminis Kiesenwetter, 1857</v>
      </c>
      <c r="AH18351" s="4" t="str">
        <f>HYPERLINK("#Statut_biogéographique!A"&amp;_xlfn.XMATCH("P",Statut_biogéographique!A:A,2,1),"P")</f>
        <v>P</v>
      </c>
      <c r="AP18351" s="4" t="s">
        <v>376</v>
      </c>
      <c r="AR18351" s="4" t="s">
        <v>377</v>
      </c>
    </row>
    <row r="18352" spans="1:44">
      <c r="A18352" s="4" t="s">
        <v>10753</v>
      </c>
      <c r="B18352" s="4">
        <v>813609</v>
      </c>
      <c r="D18352" s="5" t="s">
        <v>22456</v>
      </c>
      <c r="E18352" s="6" t="str">
        <f>HYPERLINK("https://inpn.mnhn.fr/espece/cd_nom/813609","Acrobasis fallouella (Ragonot, 1871)")</f>
        <v>Acrobasis fallouella (Ragonot, 1871)</v>
      </c>
      <c r="F18352" s="5" t="s">
        <v>22457</v>
      </c>
      <c r="AH18352" s="4" t="str">
        <f>HYPERLINK("#Statut_biogéographique!A"&amp;_xlfn.XMATCH("P",Statut_biogéographique!A:A,2,1),"P")</f>
        <v>P</v>
      </c>
      <c r="AP18352" s="4" t="s">
        <v>376</v>
      </c>
      <c r="AR18352" s="4" t="s">
        <v>377</v>
      </c>
    </row>
    <row r="18353" spans="1:44" ht="30">
      <c r="A18353" s="4" t="s">
        <v>10753</v>
      </c>
      <c r="B18353" s="4">
        <v>813610</v>
      </c>
      <c r="D18353" s="5" t="s">
        <v>22458</v>
      </c>
      <c r="E18353" s="6" t="str">
        <f>HYPERLINK("https://inpn.mnhn.fr/espece/cd_nom/813610","Acrobasis legatea (Haworth, 1811)")</f>
        <v>Acrobasis legatea (Haworth, 1811)</v>
      </c>
      <c r="F18353" s="5" t="s">
        <v>22459</v>
      </c>
      <c r="AH18353" s="4" t="str">
        <f>HYPERLINK("#Statut_biogéographique!A"&amp;_xlfn.XMATCH("P",Statut_biogéographique!A:A,2,1),"P")</f>
        <v>P</v>
      </c>
      <c r="AP18353" s="4" t="s">
        <v>376</v>
      </c>
      <c r="AR18353" s="4" t="s">
        <v>377</v>
      </c>
    </row>
    <row r="18354" spans="1:44">
      <c r="A18354" s="4" t="s">
        <v>10753</v>
      </c>
      <c r="B18354" s="4">
        <v>813611</v>
      </c>
      <c r="D18354" s="5" t="s">
        <v>22460</v>
      </c>
      <c r="E18354" s="6" t="str">
        <f>HYPERLINK("https://inpn.mnhn.fr/espece/cd_nom/813611","Acrobasis suavella (Zincken, 1818)")</f>
        <v>Acrobasis suavella (Zincken, 1818)</v>
      </c>
      <c r="F18354" s="5" t="s">
        <v>22461</v>
      </c>
      <c r="AH18354" s="4" t="str">
        <f>HYPERLINK("#Statut_biogéographique!A"&amp;_xlfn.XMATCH("P",Statut_biogéographique!A:A,2,1),"P")</f>
        <v>P</v>
      </c>
      <c r="AP18354" s="4" t="s">
        <v>376</v>
      </c>
      <c r="AR18354" s="4" t="s">
        <v>377</v>
      </c>
    </row>
    <row r="18355" spans="1:44" ht="30">
      <c r="A18355" s="4" t="s">
        <v>10753</v>
      </c>
      <c r="B18355" s="4">
        <v>813863</v>
      </c>
      <c r="D18355" s="5" t="s">
        <v>22462</v>
      </c>
      <c r="E18355" s="6" t="str">
        <f>HYPERLINK("https://inpn.mnhn.fr/espece/cd_nom/813863","Hypochalcia bruandella (Guenée, 1845)")</f>
        <v>Hypochalcia bruandella (Guenée, 1845)</v>
      </c>
      <c r="F18355" s="5" t="s">
        <v>22463</v>
      </c>
      <c r="AH18355" s="4" t="str">
        <f>HYPERLINK("#Statut_biogéographique!A"&amp;_xlfn.XMATCH("P",Statut_biogéographique!A:A,2,1),"P")</f>
        <v>P</v>
      </c>
      <c r="AP18355" s="4" t="s">
        <v>376</v>
      </c>
      <c r="AR18355" s="4" t="s">
        <v>377</v>
      </c>
    </row>
    <row r="18356" spans="1:44">
      <c r="A18356" s="4" t="s">
        <v>10753</v>
      </c>
      <c r="B18356" s="4">
        <v>813867</v>
      </c>
      <c r="D18356" s="5" t="s">
        <v>22464</v>
      </c>
      <c r="E18356" s="6" t="str">
        <f>HYPERLINK("https://inpn.mnhn.fr/espece/cd_nom/813867","Hypsopygia glaucinalis (Linnaeus, 1758)")</f>
        <v>Hypsopygia glaucinalis (Linnaeus, 1758)</v>
      </c>
      <c r="F18356" s="5" t="s">
        <v>22465</v>
      </c>
      <c r="AH18356" s="4" t="str">
        <f>HYPERLINK("#Statut_biogéographique!A"&amp;_xlfn.XMATCH("P",Statut_biogéographique!A:A,2,1),"P")</f>
        <v>P</v>
      </c>
      <c r="AP18356" s="4" t="s">
        <v>376</v>
      </c>
      <c r="AR18356" s="4" t="s">
        <v>377</v>
      </c>
    </row>
    <row r="18357" spans="1:44">
      <c r="A18357" s="4" t="s">
        <v>10753</v>
      </c>
      <c r="B18357" s="4">
        <v>813871</v>
      </c>
      <c r="D18357" s="5" t="s">
        <v>22466</v>
      </c>
      <c r="E18357" s="6" t="str">
        <f>HYPERLINK("https://inpn.mnhn.fr/espece/cd_nom/813871","Aphomia gularis (Zeller, 1877)")</f>
        <v>Aphomia gularis (Zeller, 1877)</v>
      </c>
      <c r="F18357" s="5" t="s">
        <v>22467</v>
      </c>
      <c r="AH18357" s="4" t="str">
        <f>HYPERLINK("#Statut_biogéographique!A"&amp;_xlfn.XMATCH("I",Statut_biogéographique!A:A,2,1),"I")</f>
        <v>I</v>
      </c>
      <c r="AP18357" s="4" t="s">
        <v>376</v>
      </c>
      <c r="AR18357" s="4" t="s">
        <v>377</v>
      </c>
    </row>
    <row r="18358" spans="1:44">
      <c r="A18358" s="4" t="s">
        <v>10753</v>
      </c>
      <c r="B18358" s="4">
        <v>813873</v>
      </c>
      <c r="D18358" s="5" t="s">
        <v>22468</v>
      </c>
      <c r="E18358" s="6" t="str">
        <f>HYPERLINK("https://inpn.mnhn.fr/espece/cd_nom/813873","Rhodophaea formosa (Haworth, 1811)")</f>
        <v>Rhodophaea formosa (Haworth, 1811)</v>
      </c>
      <c r="F18358" s="5" t="s">
        <v>22469</v>
      </c>
      <c r="AH18358" s="4" t="str">
        <f>HYPERLINK("#Statut_biogéographique!A"&amp;_xlfn.XMATCH("P",Statut_biogéographique!A:A,2,1),"P")</f>
        <v>P</v>
      </c>
      <c r="AP18358" s="4" t="s">
        <v>376</v>
      </c>
      <c r="AR18358" s="4" t="s">
        <v>377</v>
      </c>
    </row>
    <row r="18359" spans="1:44" ht="45">
      <c r="A18359" s="4" t="s">
        <v>10753</v>
      </c>
      <c r="B18359" s="4">
        <v>813877</v>
      </c>
      <c r="D18359" s="5" t="s">
        <v>22470</v>
      </c>
      <c r="E18359" s="6" t="str">
        <f>HYPERLINK("https://inpn.mnhn.fr/espece/cd_nom/813877","Delplanqueia dilutella (Denis &amp; Schiffermüller, 1775)")</f>
        <v>Delplanqueia dilutella (Denis &amp; Schiffermüller, 1775)</v>
      </c>
      <c r="AH18359" s="4" t="str">
        <f>HYPERLINK("#Statut_biogéographique!A"&amp;_xlfn.XMATCH("P",Statut_biogéographique!A:A,2,1),"P")</f>
        <v>P</v>
      </c>
      <c r="AP18359" s="4" t="s">
        <v>376</v>
      </c>
      <c r="AR18359" s="4" t="s">
        <v>377</v>
      </c>
    </row>
    <row r="18360" spans="1:44" ht="30">
      <c r="A18360" s="4" t="s">
        <v>10753</v>
      </c>
      <c r="B18360" s="4">
        <v>814246</v>
      </c>
      <c r="D18360" s="5" t="s">
        <v>22471</v>
      </c>
      <c r="E18360" s="6" t="str">
        <f>HYPERLINK("https://inpn.mnhn.fr/espece/cd_nom/814246","Agriphila paleatella (Zeller, 1847)")</f>
        <v>Agriphila paleatella (Zeller, 1847)</v>
      </c>
      <c r="F18360" s="5" t="s">
        <v>22472</v>
      </c>
      <c r="AH18360" s="4" t="str">
        <f>HYPERLINK("#Statut_biogéographique!A"&amp;_xlfn.XMATCH("P",Statut_biogéographique!A:A,2,1),"P")</f>
        <v>P</v>
      </c>
      <c r="AP18360" s="4" t="s">
        <v>376</v>
      </c>
      <c r="AR18360" s="4" t="s">
        <v>377</v>
      </c>
    </row>
    <row r="18361" spans="1:44">
      <c r="A18361" s="4" t="s">
        <v>10753</v>
      </c>
      <c r="B18361" s="4">
        <v>814375</v>
      </c>
      <c r="D18361" s="5" t="s">
        <v>22473</v>
      </c>
      <c r="E18361" s="6" t="str">
        <f>HYPERLINK("https://inpn.mnhn.fr/espece/cd_nom/814375","Neotelphusa sequax (Haworth, 1828)")</f>
        <v>Neotelphusa sequax (Haworth, 1828)</v>
      </c>
      <c r="AH18361" s="4" t="str">
        <f>HYPERLINK("#Statut_biogéographique!A"&amp;_xlfn.XMATCH("P",Statut_biogéographique!A:A,2,1),"P")</f>
        <v>P</v>
      </c>
      <c r="AP18361" s="4" t="s">
        <v>376</v>
      </c>
      <c r="AR18361" s="4" t="s">
        <v>377</v>
      </c>
    </row>
    <row r="18362" spans="1:44">
      <c r="A18362" s="4" t="s">
        <v>10753</v>
      </c>
      <c r="B18362" s="4">
        <v>814734</v>
      </c>
      <c r="D18362" s="5">
        <v>814734</v>
      </c>
      <c r="E18362" s="6" t="str">
        <f>HYPERLINK("https://inpn.mnhn.fr/espece/cd_nom/814734","Andrena flavilabris Schenck, 1874")</f>
        <v>Andrena flavilabris Schenck, 1874</v>
      </c>
      <c r="P18362" s="7" t="str">
        <f>HYPERLINK("#Liste_rouge!A"&amp;_xlfn.XMATCH("DD",Liste_rouge!A:A,2,1),"DD")</f>
        <v>DD</v>
      </c>
      <c r="AH18362" s="4" t="str">
        <f>HYPERLINK("#Statut_biogéographique!A"&amp;_xlfn.XMATCH("P",Statut_biogéographique!A:A,2,1),"P")</f>
        <v>P</v>
      </c>
      <c r="AP18362" s="4" t="s">
        <v>376</v>
      </c>
      <c r="AR18362" s="4" t="s">
        <v>377</v>
      </c>
    </row>
    <row r="18363" spans="1:44">
      <c r="A18363" s="4" t="s">
        <v>10753</v>
      </c>
      <c r="B18363" s="4">
        <v>814747</v>
      </c>
      <c r="D18363" s="5" t="s">
        <v>22474</v>
      </c>
      <c r="E18363" s="6" t="str">
        <f>HYPERLINK("https://inpn.mnhn.fr/espece/cd_nom/814747","Eucera chrysopyga Pérez, 1880")</f>
        <v>Eucera chrysopyga Pérez, 1880</v>
      </c>
      <c r="F18363" s="5" t="s">
        <v>22475</v>
      </c>
      <c r="P18363" s="7" t="str">
        <f>HYPERLINK("#Liste_rouge!A"&amp;_xlfn.XMATCH("LC",Liste_rouge!A:A,2,1),"LC")</f>
        <v>LC</v>
      </c>
      <c r="AH18363" s="4" t="str">
        <f>HYPERLINK("#Statut_biogéographique!A"&amp;_xlfn.XMATCH("P",Statut_biogéographique!A:A,2,1),"P")</f>
        <v>P</v>
      </c>
      <c r="AP18363" s="4" t="s">
        <v>376</v>
      </c>
      <c r="AR18363" s="4" t="s">
        <v>377</v>
      </c>
    </row>
    <row r="18364" spans="1:44">
      <c r="A18364" s="4" t="s">
        <v>10753</v>
      </c>
      <c r="B18364" s="4">
        <v>814874</v>
      </c>
      <c r="D18364" s="5" t="s">
        <v>22476</v>
      </c>
      <c r="E18364" s="6" t="str">
        <f>HYPERLINK("https://inpn.mnhn.fr/espece/cd_nom/814874","Megachile pyrenaica Lepeletier, 1841")</f>
        <v>Megachile pyrenaica Lepeletier, 1841</v>
      </c>
      <c r="P18364" s="7" t="str">
        <f>HYPERLINK("#Liste_rouge!A"&amp;_xlfn.XMATCH("DD",Liste_rouge!A:A,2,1),"DD")</f>
        <v>DD</v>
      </c>
      <c r="AH18364" s="4" t="str">
        <f>HYPERLINK("#Statut_biogéographique!A"&amp;_xlfn.XMATCH("P",Statut_biogéographique!A:A,2,1),"P")</f>
        <v>P</v>
      </c>
      <c r="AP18364" s="4" t="s">
        <v>376</v>
      </c>
      <c r="AR18364" s="4" t="s">
        <v>377</v>
      </c>
    </row>
    <row r="18365" spans="1:44">
      <c r="A18365" s="4" t="s">
        <v>10753</v>
      </c>
      <c r="B18365" s="4">
        <v>815051</v>
      </c>
      <c r="D18365" s="5" t="s">
        <v>22477</v>
      </c>
      <c r="E18365" s="6" t="str">
        <f>HYPERLINK("https://inpn.mnhn.fr/espece/cd_nom/815051","Colobopsis truncata (Spinola, 1808)")</f>
        <v>Colobopsis truncata (Spinola, 1808)</v>
      </c>
      <c r="AH18365" s="4" t="str">
        <f>HYPERLINK("#Statut_biogéographique!A"&amp;_xlfn.XMATCH("P",Statut_biogéographique!A:A,2,1),"P")</f>
        <v>P</v>
      </c>
      <c r="AP18365" s="4" t="s">
        <v>376</v>
      </c>
      <c r="AR18365" s="4" t="s">
        <v>377</v>
      </c>
    </row>
    <row r="18366" spans="1:44">
      <c r="A18366" s="4" t="s">
        <v>10753</v>
      </c>
      <c r="B18366" s="4">
        <v>815150</v>
      </c>
      <c r="D18366" s="5" t="s">
        <v>22478</v>
      </c>
      <c r="E18366" s="6" t="str">
        <f>HYPERLINK("https://inpn.mnhn.fr/espece/cd_nom/815150","Sphecodes schenckii Hagens, 1882")</f>
        <v>Sphecodes schenckii Hagens, 1882</v>
      </c>
      <c r="P18366" s="7" t="str">
        <f>HYPERLINK("#Liste_rouge!A"&amp;_xlfn.XMATCH("NT",Liste_rouge!A:A,2,1),"NT")</f>
        <v>NT</v>
      </c>
      <c r="AH18366" s="4" t="str">
        <f>HYPERLINK("#Statut_biogéographique!A"&amp;_xlfn.XMATCH("P",Statut_biogéographique!A:A,2,1),"P")</f>
        <v>P</v>
      </c>
      <c r="AP18366" s="4" t="s">
        <v>376</v>
      </c>
      <c r="AR18366" s="4" t="s">
        <v>377</v>
      </c>
    </row>
    <row r="18367" spans="1:44">
      <c r="A18367" s="4" t="s">
        <v>10753</v>
      </c>
      <c r="B18367" s="4">
        <v>815151</v>
      </c>
      <c r="D18367" s="5" t="s">
        <v>22479</v>
      </c>
      <c r="E18367" s="6" t="str">
        <f>HYPERLINK("https://inpn.mnhn.fr/espece/cd_nom/815151","Andrena nigroaenea (Kirby, 1802)")</f>
        <v>Andrena nigroaenea (Kirby, 1802)</v>
      </c>
      <c r="P18367" s="7" t="str">
        <f>HYPERLINK("#Liste_rouge!A"&amp;_xlfn.XMATCH("LC",Liste_rouge!A:A,2,1),"LC")</f>
        <v>LC</v>
      </c>
      <c r="AH18367" s="4" t="str">
        <f>HYPERLINK("#Statut_biogéographique!A"&amp;_xlfn.XMATCH("P",Statut_biogéographique!A:A,2,1),"P")</f>
        <v>P</v>
      </c>
      <c r="AP18367" s="4" t="s">
        <v>376</v>
      </c>
      <c r="AR18367" s="4" t="s">
        <v>377</v>
      </c>
    </row>
    <row r="18368" spans="1:44">
      <c r="A18368" s="4" t="s">
        <v>10753</v>
      </c>
      <c r="B18368" s="4">
        <v>815156</v>
      </c>
      <c r="D18368" s="5" t="s">
        <v>22480</v>
      </c>
      <c r="E18368" s="6" t="str">
        <f>HYPERLINK("https://inpn.mnhn.fr/espece/cd_nom/815156","Lasioglossum xanthopus (Kirby, 1802)")</f>
        <v>Lasioglossum xanthopus (Kirby, 1802)</v>
      </c>
      <c r="P18368" s="7" t="str">
        <f>HYPERLINK("#Liste_rouge!A"&amp;_xlfn.XMATCH("NT",Liste_rouge!A:A,2,1),"NT")</f>
        <v>NT</v>
      </c>
      <c r="AH18368" s="4" t="str">
        <f>HYPERLINK("#Statut_biogéographique!A"&amp;_xlfn.XMATCH("P",Statut_biogéographique!A:A,2,1),"P")</f>
        <v>P</v>
      </c>
      <c r="AP18368" s="4" t="s">
        <v>376</v>
      </c>
      <c r="AR18368" s="4" t="s">
        <v>377</v>
      </c>
    </row>
    <row r="18369" spans="1:44">
      <c r="A18369" s="4" t="s">
        <v>10753</v>
      </c>
      <c r="B18369" s="4">
        <v>815229</v>
      </c>
      <c r="D18369" s="5" t="s">
        <v>22481</v>
      </c>
      <c r="E18369" s="6" t="str">
        <f>HYPERLINK("https://inpn.mnhn.fr/espece/cd_nom/815229","Trachusa byssina (Panzer, 1798)")</f>
        <v>Trachusa byssina (Panzer, 1798)</v>
      </c>
      <c r="P18369" s="7" t="str">
        <f>HYPERLINK("#Liste_rouge!A"&amp;_xlfn.XMATCH("LC",Liste_rouge!A:A,2,1),"LC")</f>
        <v>LC</v>
      </c>
      <c r="AH18369" s="4" t="str">
        <f>HYPERLINK("#Statut_biogéographique!A"&amp;_xlfn.XMATCH("P",Statut_biogéographique!A:A,2,1),"P")</f>
        <v>P</v>
      </c>
      <c r="AP18369" s="4" t="s">
        <v>376</v>
      </c>
      <c r="AR18369" s="4" t="s">
        <v>377</v>
      </c>
    </row>
    <row r="18370" spans="1:44">
      <c r="A18370" s="4" t="s">
        <v>10753</v>
      </c>
      <c r="B18370" s="4">
        <v>816345</v>
      </c>
      <c r="D18370" s="5">
        <v>816345</v>
      </c>
      <c r="E18370" s="6" t="str">
        <f>HYPERLINK("https://inpn.mnhn.fr/espece/cd_nom/816345","Leuctra dalmoni Vinçon &amp; Murányi, 2007")</f>
        <v>Leuctra dalmoni Vinçon &amp; Murányi, 2007</v>
      </c>
      <c r="AH18370" s="4" t="str">
        <f>HYPERLINK("#Statut_biogéographique!A"&amp;_xlfn.XMATCH("P",Statut_biogéographique!A:A,2,1),"P")</f>
        <v>P</v>
      </c>
      <c r="AP18370" s="4" t="s">
        <v>376</v>
      </c>
      <c r="AR18370" s="4" t="s">
        <v>377</v>
      </c>
    </row>
    <row r="18371" spans="1:44" ht="30">
      <c r="A18371" s="4" t="s">
        <v>10753</v>
      </c>
      <c r="B18371" s="4">
        <v>816347</v>
      </c>
      <c r="D18371" s="5">
        <v>816347</v>
      </c>
      <c r="E18371" s="6" t="str">
        <f>HYPERLINK("https://inpn.mnhn.fr/espece/cd_nom/816347","Zwicknia westermanni Boumans &amp; Murányi, 2014")</f>
        <v>Zwicknia westermanni Boumans &amp; Murányi, 2014</v>
      </c>
      <c r="AH18371" s="4" t="str">
        <f>HYPERLINK("#Statut_biogéographique!A"&amp;_xlfn.XMATCH("P",Statut_biogéographique!A:A,2,1),"P")</f>
        <v>P</v>
      </c>
      <c r="AP18371" s="4" t="s">
        <v>376</v>
      </c>
      <c r="AR18371" s="4" t="s">
        <v>377</v>
      </c>
    </row>
    <row r="18372" spans="1:44">
      <c r="A18372" s="4" t="s">
        <v>10753</v>
      </c>
      <c r="B18372" s="4">
        <v>816426</v>
      </c>
      <c r="D18372" s="5">
        <v>816426</v>
      </c>
      <c r="E18372" s="6" t="str">
        <f>HYPERLINK("https://inpn.mnhn.fr/espece/cd_nom/816426","Catoptria conchella bourgognei Leraut, 2001")</f>
        <v>Catoptria conchella bourgognei Leraut, 2001</v>
      </c>
      <c r="AH18372" s="4" t="str">
        <f>HYPERLINK("#Statut_biogéographique!A"&amp;_xlfn.XMATCH("S",Statut_biogéographique!A:A,2,1),"S")</f>
        <v>S</v>
      </c>
      <c r="AP18372" s="4" t="s">
        <v>376</v>
      </c>
      <c r="AR18372" s="4" t="s">
        <v>377</v>
      </c>
    </row>
    <row r="18373" spans="1:44">
      <c r="A18373" s="4" t="s">
        <v>10753</v>
      </c>
      <c r="B18373" s="4">
        <v>816756</v>
      </c>
      <c r="D18373" s="5" t="s">
        <v>22482</v>
      </c>
      <c r="E18373" s="6" t="str">
        <f>HYPERLINK("https://inpn.mnhn.fr/espece/cd_nom/816756","Osmia bicornis (Linnaeus, 1758)")</f>
        <v>Osmia bicornis (Linnaeus, 1758)</v>
      </c>
      <c r="F18373" s="5" t="s">
        <v>22483</v>
      </c>
      <c r="P18373" s="7" t="str">
        <f>HYPERLINK("#Liste_rouge!A"&amp;_xlfn.XMATCH("LC",Liste_rouge!A:A,2,1),"LC")</f>
        <v>LC</v>
      </c>
      <c r="AH18373" s="4" t="str">
        <f>HYPERLINK("#Statut_biogéographique!A"&amp;_xlfn.XMATCH("P",Statut_biogéographique!A:A,2,1),"P")</f>
        <v>P</v>
      </c>
      <c r="AP18373" s="4" t="s">
        <v>376</v>
      </c>
      <c r="AR18373" s="4" t="s">
        <v>377</v>
      </c>
    </row>
    <row r="18374" spans="1:44">
      <c r="A18374" s="4" t="s">
        <v>10753</v>
      </c>
      <c r="B18374" s="4">
        <v>816832</v>
      </c>
      <c r="D18374" s="5" t="s">
        <v>22484</v>
      </c>
      <c r="E18374" s="6" t="str">
        <f>HYPERLINK("https://inpn.mnhn.fr/espece/cd_nom/816832","Lasioglossum fratellus (Pérez, 1903)")</f>
        <v>Lasioglossum fratellus (Pérez, 1903)</v>
      </c>
      <c r="P18374" s="7" t="str">
        <f>HYPERLINK("#Liste_rouge!A"&amp;_xlfn.XMATCH("LC",Liste_rouge!A:A,2,1),"LC")</f>
        <v>LC</v>
      </c>
      <c r="AH18374" s="4" t="str">
        <f>HYPERLINK("#Statut_biogéographique!A"&amp;_xlfn.XMATCH("P",Statut_biogéographique!A:A,2,1),"P")</f>
        <v>P</v>
      </c>
      <c r="AP18374" s="4" t="s">
        <v>376</v>
      </c>
      <c r="AR18374" s="4" t="s">
        <v>377</v>
      </c>
    </row>
    <row r="18375" spans="1:44">
      <c r="A18375" s="4" t="s">
        <v>10753</v>
      </c>
      <c r="B18375" s="4">
        <v>816935</v>
      </c>
      <c r="D18375" s="5">
        <v>816935</v>
      </c>
      <c r="E18375" s="6" t="str">
        <f>HYPERLINK("https://inpn.mnhn.fr/espece/cd_nom/816935","Xylota caeruleiventris Zetterstedt, 1838")</f>
        <v>Xylota caeruleiventris Zetterstedt, 1838</v>
      </c>
      <c r="P18375" s="7" t="str">
        <f>HYPERLINK("#Liste_rouge!A"&amp;_xlfn.XMATCH("LC",Liste_rouge!A:A,2,1),"LC")</f>
        <v>LC</v>
      </c>
      <c r="AH18375" s="4" t="str">
        <f>HYPERLINK("#Statut_biogéographique!A"&amp;_xlfn.XMATCH("P",Statut_biogéographique!A:A,2,1),"P")</f>
        <v>P</v>
      </c>
      <c r="AP18375" s="4" t="s">
        <v>376</v>
      </c>
      <c r="AR18375" s="4" t="s">
        <v>377</v>
      </c>
    </row>
    <row r="18376" spans="1:44" ht="30">
      <c r="A18376" s="4" t="s">
        <v>10753</v>
      </c>
      <c r="B18376" s="4">
        <v>817191</v>
      </c>
      <c r="D18376" s="5" t="s">
        <v>22485</v>
      </c>
      <c r="E18376" s="6" t="str">
        <f>HYPERLINK("https://inpn.mnhn.fr/espece/cd_nom/817191","Emphytus cinctus (Linnaeus, 1758)")</f>
        <v>Emphytus cinctus (Linnaeus, 1758)</v>
      </c>
      <c r="F18376" s="5" t="s">
        <v>22486</v>
      </c>
      <c r="AH18376" s="4" t="str">
        <f>HYPERLINK("#Statut_biogéographique!A"&amp;_xlfn.XMATCH("P",Statut_biogéographique!A:A,2,1),"P")</f>
        <v>P</v>
      </c>
      <c r="AP18376" s="4" t="s">
        <v>376</v>
      </c>
      <c r="AR18376" s="4" t="s">
        <v>377</v>
      </c>
    </row>
    <row r="18377" spans="1:44" ht="30">
      <c r="A18377" s="4" t="s">
        <v>10753</v>
      </c>
      <c r="B18377" s="4">
        <v>817193</v>
      </c>
      <c r="D18377" s="5" t="s">
        <v>22487</v>
      </c>
      <c r="E18377" s="6" t="str">
        <f>HYPERLINK("https://inpn.mnhn.fr/espece/cd_nom/817193","Emphytus cingulatus (Scopoli, 1763)")</f>
        <v>Emphytus cingulatus (Scopoli, 1763)</v>
      </c>
      <c r="AH18377" s="4" t="str">
        <f>HYPERLINK("#Statut_biogéographique!A"&amp;_xlfn.XMATCH("P",Statut_biogéographique!A:A,2,1),"P")</f>
        <v>P</v>
      </c>
      <c r="AP18377" s="4" t="s">
        <v>376</v>
      </c>
      <c r="AR18377" s="4" t="s">
        <v>377</v>
      </c>
    </row>
    <row r="18378" spans="1:44" ht="45">
      <c r="A18378" s="4" t="s">
        <v>10753</v>
      </c>
      <c r="B18378" s="4">
        <v>817194</v>
      </c>
      <c r="D18378" s="5" t="s">
        <v>22488</v>
      </c>
      <c r="E18378" s="6" t="str">
        <f>HYPERLINK("https://inpn.mnhn.fr/espece/cd_nom/817194","Emphytus laticinctus (Audinet-Serville, 1823)")</f>
        <v>Emphytus laticinctus (Audinet-Serville, 1823)</v>
      </c>
      <c r="AH18378" s="4" t="str">
        <f>HYPERLINK("#Statut_biogéographique!A"&amp;_xlfn.XMATCH("P",Statut_biogéographique!A:A,2,1),"P")</f>
        <v>P</v>
      </c>
      <c r="AP18378" s="4" t="s">
        <v>376</v>
      </c>
      <c r="AR18378" s="4" t="s">
        <v>377</v>
      </c>
    </row>
    <row r="18379" spans="1:44">
      <c r="A18379" s="4" t="s">
        <v>10753</v>
      </c>
      <c r="B18379" s="4">
        <v>817195</v>
      </c>
      <c r="D18379" s="5" t="s">
        <v>22489</v>
      </c>
      <c r="E18379" s="6" t="str">
        <f>HYPERLINK("https://inpn.mnhn.fr/espece/cd_nom/817195","Emphytus melanarius (Klug, 1818)")</f>
        <v>Emphytus melanarius (Klug, 1818)</v>
      </c>
      <c r="AH18379" s="4" t="str">
        <f>HYPERLINK("#Statut_biogéographique!A"&amp;_xlfn.XMATCH("P",Statut_biogéographique!A:A,2,1),"P")</f>
        <v>P</v>
      </c>
      <c r="AP18379" s="4" t="s">
        <v>376</v>
      </c>
      <c r="AR18379" s="4" t="s">
        <v>377</v>
      </c>
    </row>
    <row r="18380" spans="1:44">
      <c r="A18380" s="4" t="s">
        <v>10753</v>
      </c>
      <c r="B18380" s="4">
        <v>817196</v>
      </c>
      <c r="D18380" s="5" t="s">
        <v>22490</v>
      </c>
      <c r="E18380" s="6" t="str">
        <f>HYPERLINK("https://inpn.mnhn.fr/espece/cd_nom/817196","Emphytus rufocinctus (Retzius, 1783)")</f>
        <v>Emphytus rufocinctus (Retzius, 1783)</v>
      </c>
      <c r="AH18380" s="4" t="str">
        <f>HYPERLINK("#Statut_biogéographique!A"&amp;_xlfn.XMATCH("P",Statut_biogéographique!A:A,2,1),"P")</f>
        <v>P</v>
      </c>
      <c r="AP18380" s="4" t="s">
        <v>376</v>
      </c>
      <c r="AR18380" s="4" t="s">
        <v>377</v>
      </c>
    </row>
    <row r="18381" spans="1:44" ht="30">
      <c r="A18381" s="4" t="s">
        <v>10753</v>
      </c>
      <c r="B18381" s="4">
        <v>817197</v>
      </c>
      <c r="D18381" s="5" t="s">
        <v>22491</v>
      </c>
      <c r="E18381" s="6" t="str">
        <f>HYPERLINK("https://inpn.mnhn.fr/espece/cd_nom/817197","Emphytus truncatus (Klug, 1818)")</f>
        <v>Emphytus truncatus (Klug, 1818)</v>
      </c>
      <c r="AH18381" s="4" t="str">
        <f>HYPERLINK("#Statut_biogéographique!A"&amp;_xlfn.XMATCH("P",Statut_biogéographique!A:A,2,1),"P")</f>
        <v>P</v>
      </c>
      <c r="AP18381" s="4" t="s">
        <v>376</v>
      </c>
      <c r="AR18381" s="4" t="s">
        <v>377</v>
      </c>
    </row>
    <row r="18382" spans="1:44" ht="60">
      <c r="A18382" s="4" t="s">
        <v>10753</v>
      </c>
      <c r="B18382" s="4">
        <v>817198</v>
      </c>
      <c r="D18382" s="5" t="s">
        <v>22492</v>
      </c>
      <c r="E18382" s="6" t="str">
        <f>HYPERLINK("https://inpn.mnhn.fr/espece/cd_nom/817198","Priophorus compressicornis (Fabricius, 1804)")</f>
        <v>Priophorus compressicornis (Fabricius, 1804)</v>
      </c>
      <c r="AH18382" s="4" t="str">
        <f>HYPERLINK("#Statut_biogéographique!A"&amp;_xlfn.XMATCH("P",Statut_biogéographique!A:A,2,1),"P")</f>
        <v>P</v>
      </c>
      <c r="AP18382" s="4" t="s">
        <v>376</v>
      </c>
      <c r="AR18382" s="4" t="s">
        <v>377</v>
      </c>
    </row>
    <row r="18383" spans="1:44" ht="30">
      <c r="A18383" s="4" t="s">
        <v>10753</v>
      </c>
      <c r="B18383" s="4">
        <v>817222</v>
      </c>
      <c r="D18383" s="5" t="s">
        <v>22493</v>
      </c>
      <c r="E18383" s="6" t="str">
        <f>HYPERLINK("https://inpn.mnhn.fr/espece/cd_nom/817222","Euura vicina (Audinet-Serville, 1823)")</f>
        <v>Euura vicina (Audinet-Serville, 1823)</v>
      </c>
      <c r="AH18383" s="4" t="str">
        <f>HYPERLINK("#Statut_biogéographique!A"&amp;_xlfn.XMATCH("P",Statut_biogéographique!A:A,2,1),"P")</f>
        <v>P</v>
      </c>
      <c r="AP18383" s="4" t="s">
        <v>376</v>
      </c>
      <c r="AR18383" s="4" t="s">
        <v>377</v>
      </c>
    </row>
    <row r="18384" spans="1:44" ht="60">
      <c r="A18384" s="4" t="s">
        <v>10753</v>
      </c>
      <c r="B18384" s="4">
        <v>817223</v>
      </c>
      <c r="D18384" s="5" t="s">
        <v>22494</v>
      </c>
      <c r="E18384" s="6" t="str">
        <f>HYPERLINK("https://inpn.mnhn.fr/espece/cd_nom/817223","Euura ribesii (Scopoli, 1763)")</f>
        <v>Euura ribesii (Scopoli, 1763)</v>
      </c>
      <c r="F18384" s="5" t="s">
        <v>22495</v>
      </c>
      <c r="AH18384" s="4" t="str">
        <f>HYPERLINK("#Statut_biogéographique!A"&amp;_xlfn.XMATCH("P",Statut_biogéographique!A:A,2,1),"P")</f>
        <v>P</v>
      </c>
      <c r="AP18384" s="4" t="s">
        <v>376</v>
      </c>
      <c r="AR18384" s="4" t="s">
        <v>377</v>
      </c>
    </row>
    <row r="18385" spans="1:44" ht="30">
      <c r="A18385" s="4" t="s">
        <v>10753</v>
      </c>
      <c r="B18385" s="4">
        <v>817234</v>
      </c>
      <c r="D18385" s="5" t="s">
        <v>22496</v>
      </c>
      <c r="E18385" s="6" t="str">
        <f>HYPERLINK("https://inpn.mnhn.fr/espece/cd_nom/817234","Nematus septentrionalis (Linnaeus, 1758)")</f>
        <v>Nematus septentrionalis (Linnaeus, 1758)</v>
      </c>
      <c r="AH18385" s="4" t="str">
        <f>HYPERLINK("#Statut_biogéographique!A"&amp;_xlfn.XMATCH("P",Statut_biogéographique!A:A,2,1),"P")</f>
        <v>P</v>
      </c>
      <c r="AP18385" s="4" t="s">
        <v>376</v>
      </c>
      <c r="AR18385" s="4" t="s">
        <v>377</v>
      </c>
    </row>
    <row r="18386" spans="1:44">
      <c r="A18386" s="4" t="s">
        <v>10753</v>
      </c>
      <c r="B18386" s="4">
        <v>817240</v>
      </c>
      <c r="D18386" s="5" t="s">
        <v>22497</v>
      </c>
      <c r="E18386" s="6" t="str">
        <f>HYPERLINK("https://inpn.mnhn.fr/espece/cd_nom/817240","Cytisogaster genistae (Benson, 1947)")</f>
        <v>Cytisogaster genistae (Benson, 1947)</v>
      </c>
      <c r="AH18386" s="4" t="str">
        <f>HYPERLINK("#Statut_biogéographique!A"&amp;_xlfn.XMATCH("P",Statut_biogéographique!A:A,2,1),"P")</f>
        <v>P</v>
      </c>
      <c r="AP18386" s="4" t="s">
        <v>376</v>
      </c>
      <c r="AR18386" s="4" t="s">
        <v>377</v>
      </c>
    </row>
    <row r="18387" spans="1:44" ht="30">
      <c r="A18387" s="4" t="s">
        <v>10753</v>
      </c>
      <c r="B18387" s="4">
        <v>817243</v>
      </c>
      <c r="D18387" s="5" t="s">
        <v>22498</v>
      </c>
      <c r="E18387" s="6" t="str">
        <f>HYPERLINK("https://inpn.mnhn.fr/espece/cd_nom/817243","Zonuledo amoena (Gravenhorst, 1807)")</f>
        <v>Zonuledo amoena (Gravenhorst, 1807)</v>
      </c>
      <c r="AH18387" s="4" t="str">
        <f>HYPERLINK("#Statut_biogéographique!A"&amp;_xlfn.XMATCH("P",Statut_biogéographique!A:A,2,1),"P")</f>
        <v>P</v>
      </c>
      <c r="AP18387" s="4" t="s">
        <v>376</v>
      </c>
      <c r="AR18387" s="4" t="s">
        <v>377</v>
      </c>
    </row>
    <row r="18388" spans="1:44" ht="30">
      <c r="A18388" s="4" t="s">
        <v>10753</v>
      </c>
      <c r="B18388" s="4">
        <v>817246</v>
      </c>
      <c r="D18388" s="5" t="s">
        <v>22499</v>
      </c>
      <c r="E18388" s="6" t="str">
        <f>HYPERLINK("https://inpn.mnhn.fr/espece/cd_nom/817246","Euura caeruleocarpa (Hartig, 1837)")</f>
        <v>Euura caeruleocarpa (Hartig, 1837)</v>
      </c>
      <c r="AH18388" s="4" t="str">
        <f>HYPERLINK("#Statut_biogéographique!A"&amp;_xlfn.XMATCH("P",Statut_biogéographique!A:A,2,1),"P")</f>
        <v>P</v>
      </c>
      <c r="AP18388" s="4" t="s">
        <v>376</v>
      </c>
      <c r="AR18388" s="4" t="s">
        <v>377</v>
      </c>
    </row>
    <row r="18389" spans="1:44" ht="30">
      <c r="A18389" s="4" t="s">
        <v>10753</v>
      </c>
      <c r="B18389" s="4">
        <v>817249</v>
      </c>
      <c r="D18389" s="5" t="s">
        <v>22500</v>
      </c>
      <c r="E18389" s="6" t="str">
        <f>HYPERLINK("https://inpn.mnhn.fr/espece/cd_nom/817249","Janus cynosbati (Linnaeus, 1758)")</f>
        <v>Janus cynosbati (Linnaeus, 1758)</v>
      </c>
      <c r="F18389" s="5" t="s">
        <v>22501</v>
      </c>
      <c r="AH18389" s="4" t="str">
        <f>HYPERLINK("#Statut_biogéographique!A"&amp;_xlfn.XMATCH("P",Statut_biogéographique!A:A,2,1),"P")</f>
        <v>P</v>
      </c>
      <c r="AP18389" s="4" t="s">
        <v>376</v>
      </c>
      <c r="AR18389" s="4" t="s">
        <v>377</v>
      </c>
    </row>
    <row r="18390" spans="1:44">
      <c r="A18390" s="4" t="s">
        <v>10753</v>
      </c>
      <c r="B18390" s="4">
        <v>817251</v>
      </c>
      <c r="D18390" s="5" t="s">
        <v>22502</v>
      </c>
      <c r="E18390" s="6" t="str">
        <f>HYPERLINK("https://inpn.mnhn.fr/espece/cd_nom/817251","Elinora koehleri (Klug, 1817)")</f>
        <v>Elinora koehleri (Klug, 1817)</v>
      </c>
      <c r="AH18390" s="4" t="str">
        <f>HYPERLINK("#Statut_biogéographique!A"&amp;_xlfn.XMATCH("P",Statut_biogéographique!A:A,2,1),"P")</f>
        <v>P</v>
      </c>
      <c r="AP18390" s="4" t="s">
        <v>376</v>
      </c>
      <c r="AR18390" s="4" t="s">
        <v>377</v>
      </c>
    </row>
    <row r="18391" spans="1:44">
      <c r="A18391" s="4" t="s">
        <v>10753</v>
      </c>
      <c r="B18391" s="4">
        <v>817255</v>
      </c>
      <c r="D18391" s="5" t="s">
        <v>22503</v>
      </c>
      <c r="E18391" s="6" t="str">
        <f>HYPERLINK("https://inpn.mnhn.fr/espece/cd_nom/817255","Pristiphora insularis Rohwer, 1910")</f>
        <v>Pristiphora insularis Rohwer, 1910</v>
      </c>
      <c r="AH18391" s="4" t="str">
        <f>HYPERLINK("#Statut_biogéographique!A"&amp;_xlfn.XMATCH("P",Statut_biogéographique!A:A,2,1),"P")</f>
        <v>P</v>
      </c>
      <c r="AP18391" s="4" t="s">
        <v>376</v>
      </c>
      <c r="AR18391" s="4" t="s">
        <v>377</v>
      </c>
    </row>
    <row r="18392" spans="1:44" ht="45">
      <c r="A18392" s="4" t="s">
        <v>10753</v>
      </c>
      <c r="B18392" s="4">
        <v>817259</v>
      </c>
      <c r="D18392" s="5" t="s">
        <v>22504</v>
      </c>
      <c r="E18392" s="6" t="str">
        <f>HYPERLINK("https://inpn.mnhn.fr/espece/cd_nom/817259","Euura bergmanni (Dahlbom, 1835)")</f>
        <v>Euura bergmanni (Dahlbom, 1835)</v>
      </c>
      <c r="AH18392" s="4" t="str">
        <f>HYPERLINK("#Statut_biogéographique!A"&amp;_xlfn.XMATCH("P",Statut_biogéographique!A:A,2,1),"P")</f>
        <v>P</v>
      </c>
      <c r="AP18392" s="4" t="s">
        <v>376</v>
      </c>
      <c r="AR18392" s="4" t="s">
        <v>377</v>
      </c>
    </row>
    <row r="18393" spans="1:44" ht="30">
      <c r="A18393" s="4" t="s">
        <v>10753</v>
      </c>
      <c r="B18393" s="4">
        <v>817281</v>
      </c>
      <c r="D18393" s="5" t="s">
        <v>22505</v>
      </c>
      <c r="E18393" s="6" t="str">
        <f>HYPERLINK("https://inpn.mnhn.fr/espece/cd_nom/817281","Euura pavida (Audinet-Serville, 1823)")</f>
        <v>Euura pavida (Audinet-Serville, 1823)</v>
      </c>
      <c r="AH18393" s="4" t="str">
        <f>HYPERLINK("#Statut_biogéographique!A"&amp;_xlfn.XMATCH("P",Statut_biogéographique!A:A,2,1),"P")</f>
        <v>P</v>
      </c>
      <c r="AP18393" s="4" t="s">
        <v>376</v>
      </c>
      <c r="AR18393" s="4" t="s">
        <v>377</v>
      </c>
    </row>
    <row r="18394" spans="1:44">
      <c r="A18394" s="4" t="s">
        <v>10753</v>
      </c>
      <c r="B18394" s="4">
        <v>817283</v>
      </c>
      <c r="D18394" s="5" t="s">
        <v>22506</v>
      </c>
      <c r="E18394" s="6" t="str">
        <f>HYPERLINK("https://inpn.mnhn.fr/espece/cd_nom/817283","Euura putoni (Konow, 1903)")</f>
        <v>Euura putoni (Konow, 1903)</v>
      </c>
      <c r="AH18394" s="4" t="str">
        <f>HYPERLINK("#Statut_biogéographique!A"&amp;_xlfn.XMATCH("P",Statut_biogéographique!A:A,2,1),"P")</f>
        <v>P</v>
      </c>
      <c r="AP18394" s="4" t="s">
        <v>376</v>
      </c>
      <c r="AR18394" s="4" t="s">
        <v>377</v>
      </c>
    </row>
    <row r="18395" spans="1:44" ht="90">
      <c r="A18395" s="4" t="s">
        <v>10753</v>
      </c>
      <c r="B18395" s="4">
        <v>817294</v>
      </c>
      <c r="D18395" s="5" t="s">
        <v>22507</v>
      </c>
      <c r="E18395" s="6" t="str">
        <f>HYPERLINK("https://inpn.mnhn.fr/espece/cd_nom/817294","Euura clitellata (Audinet-Serville, 1823)")</f>
        <v>Euura clitellata (Audinet-Serville, 1823)</v>
      </c>
      <c r="AH18395" s="4" t="str">
        <f>HYPERLINK("#Statut_biogéographique!A"&amp;_xlfn.XMATCH("P",Statut_biogéographique!A:A,2,1),"P")</f>
        <v>P</v>
      </c>
      <c r="AP18395" s="4" t="s">
        <v>376</v>
      </c>
      <c r="AR18395" s="4" t="s">
        <v>377</v>
      </c>
    </row>
    <row r="18396" spans="1:44" ht="45">
      <c r="A18396" s="4" t="s">
        <v>10753</v>
      </c>
      <c r="B18396" s="4">
        <v>817296</v>
      </c>
      <c r="D18396" s="5" t="s">
        <v>22508</v>
      </c>
      <c r="E18396" s="6" t="str">
        <f>HYPERLINK("https://inpn.mnhn.fr/espece/cd_nom/817296","Euura vaga (Fabricius, 1781)")</f>
        <v>Euura vaga (Fabricius, 1781)</v>
      </c>
      <c r="AH18396" s="4" t="str">
        <f>HYPERLINK("#Statut_biogéographique!A"&amp;_xlfn.XMATCH("P",Statut_biogéographique!A:A,2,1),"P")</f>
        <v>P</v>
      </c>
      <c r="AP18396" s="4" t="s">
        <v>376</v>
      </c>
      <c r="AR18396" s="4" t="s">
        <v>377</v>
      </c>
    </row>
    <row r="18397" spans="1:44" ht="30">
      <c r="A18397" s="4" t="s">
        <v>10753</v>
      </c>
      <c r="B18397" s="4">
        <v>817300</v>
      </c>
      <c r="D18397" s="5" t="s">
        <v>22509</v>
      </c>
      <c r="E18397" s="6" t="str">
        <f>HYPERLINK("https://inpn.mnhn.fr/espece/cd_nom/817300","Nematus alniastri (Scharfenberg, 1805)")</f>
        <v>Nematus alniastri (Scharfenberg, 1805)</v>
      </c>
      <c r="AH18397" s="4" t="str">
        <f>HYPERLINK("#Statut_biogéographique!A"&amp;_xlfn.XMATCH("P",Statut_biogéographique!A:A,2,1),"P")</f>
        <v>P</v>
      </c>
      <c r="AP18397" s="4" t="s">
        <v>376</v>
      </c>
      <c r="AR18397" s="4" t="s">
        <v>377</v>
      </c>
    </row>
    <row r="18398" spans="1:44">
      <c r="A18398" s="4" t="s">
        <v>10753</v>
      </c>
      <c r="B18398" s="4">
        <v>817308</v>
      </c>
      <c r="D18398" s="5" t="s">
        <v>22510</v>
      </c>
      <c r="E18398" s="6" t="str">
        <f>HYPERLINK("https://inpn.mnhn.fr/espece/cd_nom/817308","Macrophyopsis nebulosum (André, 1881)")</f>
        <v>Macrophyopsis nebulosum (André, 1881)</v>
      </c>
      <c r="AH18398" s="4" t="str">
        <f>HYPERLINK("#Statut_biogéographique!A"&amp;_xlfn.XMATCH("P",Statut_biogéographique!A:A,2,1),"P")</f>
        <v>P</v>
      </c>
      <c r="AP18398" s="4" t="s">
        <v>376</v>
      </c>
      <c r="AR18398" s="4" t="s">
        <v>377</v>
      </c>
    </row>
    <row r="18399" spans="1:44">
      <c r="A18399" s="4" t="s">
        <v>10753</v>
      </c>
      <c r="B18399" s="4">
        <v>817311</v>
      </c>
      <c r="D18399" s="5" t="s">
        <v>22511</v>
      </c>
      <c r="E18399" s="6" t="str">
        <f>HYPERLINK("https://inpn.mnhn.fr/espece/cd_nom/817311","Priophorus pilicornis (Curtis, 1833)")</f>
        <v>Priophorus pilicornis (Curtis, 1833)</v>
      </c>
      <c r="AH18399" s="4" t="str">
        <f>HYPERLINK("#Statut_biogéographique!A"&amp;_xlfn.XMATCH("P",Statut_biogéographique!A:A,2,1),"P")</f>
        <v>P</v>
      </c>
      <c r="AP18399" s="4" t="s">
        <v>376</v>
      </c>
      <c r="AR18399" s="4" t="s">
        <v>377</v>
      </c>
    </row>
    <row r="18400" spans="1:44" ht="30">
      <c r="A18400" s="4" t="s">
        <v>10753</v>
      </c>
      <c r="B18400" s="4">
        <v>817313</v>
      </c>
      <c r="D18400" s="5" t="s">
        <v>22512</v>
      </c>
      <c r="E18400" s="6" t="str">
        <f>HYPERLINK("https://inpn.mnhn.fr/espece/cd_nom/817313","Euura myosotidis (Fabricius, 1804)")</f>
        <v>Euura myosotidis (Fabricius, 1804)</v>
      </c>
      <c r="AH18400" s="4" t="str">
        <f>HYPERLINK("#Statut_biogéographique!A"&amp;_xlfn.XMATCH("P",Statut_biogéographique!A:A,2,1),"P")</f>
        <v>P</v>
      </c>
      <c r="AP18400" s="4" t="s">
        <v>376</v>
      </c>
      <c r="AR18400" s="4" t="s">
        <v>377</v>
      </c>
    </row>
    <row r="18401" spans="1:44">
      <c r="A18401" s="4" t="s">
        <v>10753</v>
      </c>
      <c r="B18401" s="4">
        <v>817320</v>
      </c>
      <c r="D18401" s="5" t="s">
        <v>22513</v>
      </c>
      <c r="E18401" s="6" t="str">
        <f>HYPERLINK("https://inpn.mnhn.fr/espece/cd_nom/817320","Nematus latipes Villaret, 1832")</f>
        <v>Nematus latipes Villaret, 1832</v>
      </c>
      <c r="AH18401" s="4" t="str">
        <f>HYPERLINK("#Statut_biogéographique!A"&amp;_xlfn.XMATCH("P",Statut_biogéographique!A:A,2,1),"P")</f>
        <v>P</v>
      </c>
      <c r="AP18401" s="4" t="s">
        <v>376</v>
      </c>
      <c r="AR18401" s="4" t="s">
        <v>377</v>
      </c>
    </row>
    <row r="18402" spans="1:44">
      <c r="A18402" s="4" t="s">
        <v>10753</v>
      </c>
      <c r="B18402" s="4">
        <v>817323</v>
      </c>
      <c r="D18402" s="5" t="s">
        <v>22514</v>
      </c>
      <c r="E18402" s="6" t="str">
        <f>HYPERLINK("https://inpn.mnhn.fr/espece/cd_nom/817323","Euura scutellata (Hartig, 1837)")</f>
        <v>Euura scutellata (Hartig, 1837)</v>
      </c>
      <c r="AH18402" s="4" t="str">
        <f>HYPERLINK("#Statut_biogéographique!A"&amp;_xlfn.XMATCH("P",Statut_biogéographique!A:A,2,1),"P")</f>
        <v>P</v>
      </c>
      <c r="AP18402" s="4" t="s">
        <v>376</v>
      </c>
      <c r="AR18402" s="4" t="s">
        <v>377</v>
      </c>
    </row>
    <row r="18403" spans="1:44" ht="30">
      <c r="A18403" s="4" t="s">
        <v>10753</v>
      </c>
      <c r="B18403" s="4">
        <v>817330</v>
      </c>
      <c r="D18403" s="5" t="s">
        <v>22515</v>
      </c>
      <c r="E18403" s="6" t="str">
        <f>HYPERLINK("https://inpn.mnhn.fr/espece/cd_nom/817330","Euura leucosticta (Hartig, 1837)")</f>
        <v>Euura leucosticta (Hartig, 1837)</v>
      </c>
      <c r="AH18403" s="4" t="str">
        <f>HYPERLINK("#Statut_biogéographique!A"&amp;_xlfn.XMATCH("P",Statut_biogéographique!A:A,2,1),"P")</f>
        <v>P</v>
      </c>
      <c r="AP18403" s="4" t="s">
        <v>376</v>
      </c>
      <c r="AR18403" s="4" t="s">
        <v>377</v>
      </c>
    </row>
    <row r="18404" spans="1:44">
      <c r="A18404" s="4" t="s">
        <v>10753</v>
      </c>
      <c r="B18404" s="4">
        <v>820173</v>
      </c>
      <c r="D18404" s="5" t="s">
        <v>22516</v>
      </c>
      <c r="E18404" s="6" t="str">
        <f>HYPERLINK("https://inpn.mnhn.fr/espece/cd_nom/820173","Brachygaster minutus (Olivier, 1792)")</f>
        <v>Brachygaster minutus (Olivier, 1792)</v>
      </c>
      <c r="AH18404" s="4" t="str">
        <f>HYPERLINK("#Statut_biogéographique!A"&amp;_xlfn.XMATCH("P",Statut_biogéographique!A:A,2,1),"P")</f>
        <v>P</v>
      </c>
      <c r="AP18404" s="4" t="s">
        <v>376</v>
      </c>
      <c r="AR18404" s="4" t="s">
        <v>377</v>
      </c>
    </row>
    <row r="18405" spans="1:44" ht="45">
      <c r="A18405" s="4" t="s">
        <v>10753</v>
      </c>
      <c r="B18405" s="4">
        <v>820680</v>
      </c>
      <c r="D18405" s="5" t="s">
        <v>22517</v>
      </c>
      <c r="E18405" s="6" t="str">
        <f>HYPERLINK("https://inpn.mnhn.fr/espece/cd_nom/820680","Speyeria aglaja (Linnaeus, 1758)")</f>
        <v>Speyeria aglaja (Linnaeus, 1758)</v>
      </c>
      <c r="F18405" s="5" t="s">
        <v>22518</v>
      </c>
      <c r="P18405" s="7" t="str">
        <f>HYPERLINK("#Liste_rouge!A"&amp;_xlfn.XMATCH("LC",Liste_rouge!A:A,2,1),"LC")</f>
        <v>LC</v>
      </c>
      <c r="Q18405" s="7" t="str">
        <f>HYPERLINK("#Liste_rouge!A"&amp;_xlfn.XMATCH("LC",Liste_rouge!A:A,2,1),"LC")</f>
        <v>LC</v>
      </c>
      <c r="T18405" s="7" t="str">
        <f>HYPERLINK("#Liste_rouge!A"&amp;_xlfn.XMATCH("NT",Liste_rouge!A:A,2,1),"NT")</f>
        <v>NT</v>
      </c>
      <c r="U18405" s="4" t="str">
        <f>HYPERLINK("#Critères_liste_rouge!A$1","pr. B2b(iii)")</f>
        <v>pr. B2b(iii)</v>
      </c>
      <c r="V18405" s="7" t="str">
        <f>HYPERLINK("#Liste_rouge!A"&amp;_xlfn.XMATCH("LC",Liste_rouge!A:A,2,1),"LC")</f>
        <v>LC</v>
      </c>
      <c r="X18405" s="5" t="s">
        <v>398</v>
      </c>
      <c r="AH18405" s="4" t="str">
        <f>HYPERLINK("#Statut_biogéographique!A"&amp;_xlfn.XMATCH("P",Statut_biogéographique!A:A,2,1),"P")</f>
        <v>P</v>
      </c>
      <c r="AM18405" s="4" t="s">
        <v>375</v>
      </c>
      <c r="AN18405" s="4" t="s">
        <v>375</v>
      </c>
      <c r="AO18405" s="4" t="s">
        <v>375</v>
      </c>
      <c r="AP18405" s="4" t="s">
        <v>376</v>
      </c>
      <c r="AR18405" s="4" t="s">
        <v>377</v>
      </c>
    </row>
    <row r="18406" spans="1:44">
      <c r="A18406" s="4" t="s">
        <v>10753</v>
      </c>
      <c r="B18406" s="4">
        <v>820698</v>
      </c>
      <c r="D18406" s="5" t="s">
        <v>22519</v>
      </c>
      <c r="E18406" s="6" t="str">
        <f>HYPERLINK("https://inpn.mnhn.fr/espece/cd_nom/820698","Lebia cyanocephala (Linnaeus, 1758)")</f>
        <v>Lebia cyanocephala (Linnaeus, 1758)</v>
      </c>
      <c r="F18406" s="5" t="s">
        <v>22520</v>
      </c>
      <c r="AH18406" s="4" t="str">
        <f>HYPERLINK("#Statut_biogéographique!A"&amp;_xlfn.XMATCH("P",Statut_biogéographique!A:A,2,1),"P")</f>
        <v>P</v>
      </c>
      <c r="AP18406" s="4" t="s">
        <v>376</v>
      </c>
      <c r="AR18406" s="4" t="s">
        <v>377</v>
      </c>
    </row>
    <row r="18407" spans="1:44" ht="30">
      <c r="A18407" s="4" t="s">
        <v>10753</v>
      </c>
      <c r="B18407" s="4">
        <v>821336</v>
      </c>
      <c r="D18407" s="5" t="s">
        <v>22521</v>
      </c>
      <c r="E18407" s="6" t="str">
        <f>HYPERLINK("https://inpn.mnhn.fr/espece/cd_nom/821336","Phyllonorycter cerasicolella (Herrich-Schäffer, 1855)")</f>
        <v>Phyllonorycter cerasicolella (Herrich-Schäffer, 1855)</v>
      </c>
      <c r="AH18407" s="4" t="str">
        <f>HYPERLINK("#Statut_biogéographique!A"&amp;_xlfn.XMATCH("P",Statut_biogéographique!A:A,2,1),"P")</f>
        <v>P</v>
      </c>
      <c r="AP18407" s="4" t="s">
        <v>376</v>
      </c>
      <c r="AR18407" s="4" t="s">
        <v>377</v>
      </c>
    </row>
    <row r="18408" spans="1:44">
      <c r="A18408" s="4" t="s">
        <v>10753</v>
      </c>
      <c r="B18408" s="4">
        <v>822424</v>
      </c>
      <c r="D18408" s="5" t="s">
        <v>22522</v>
      </c>
      <c r="E18408" s="6" t="str">
        <f>HYPERLINK("https://inpn.mnhn.fr/espece/cd_nom/822424","Coleophora amethystinella Ragonot, 1885")</f>
        <v>Coleophora amethystinella Ragonot, 1885</v>
      </c>
      <c r="AH18408" s="4" t="str">
        <f>HYPERLINK("#Statut_biogéographique!A"&amp;_xlfn.XMATCH("P",Statut_biogéographique!A:A,2,1),"P")</f>
        <v>P</v>
      </c>
      <c r="AP18408" s="4" t="s">
        <v>376</v>
      </c>
      <c r="AR18408" s="4" t="s">
        <v>377</v>
      </c>
    </row>
    <row r="18409" spans="1:44" ht="30">
      <c r="A18409" s="4" t="s">
        <v>10753</v>
      </c>
      <c r="B18409" s="4">
        <v>822895</v>
      </c>
      <c r="D18409" s="5" t="s">
        <v>22523</v>
      </c>
      <c r="E18409" s="6" t="str">
        <f>HYPERLINK("https://inpn.mnhn.fr/espece/cd_nom/822895","Lasionhada proxima (Hübner, 1809)")</f>
        <v>Lasionhada proxima (Hübner, 1809)</v>
      </c>
      <c r="F18409" s="5" t="s">
        <v>22524</v>
      </c>
      <c r="AH18409" s="4" t="str">
        <f>HYPERLINK("#Statut_biogéographique!A"&amp;_xlfn.XMATCH("P",Statut_biogéographique!A:A,2,1),"P")</f>
        <v>P</v>
      </c>
      <c r="AP18409" s="4" t="s">
        <v>376</v>
      </c>
      <c r="AR18409" s="4" t="s">
        <v>377</v>
      </c>
    </row>
    <row r="18410" spans="1:44">
      <c r="A18410" s="4" t="s">
        <v>10753</v>
      </c>
      <c r="B18410" s="4">
        <v>8237</v>
      </c>
      <c r="D18410" s="5" t="s">
        <v>22525</v>
      </c>
      <c r="E18410" s="6" t="str">
        <f>HYPERLINK("https://inpn.mnhn.fr/espece/cd_nom/8237","Syntomus truncatellus (Linnaeus, 1761)")</f>
        <v>Syntomus truncatellus (Linnaeus, 1761)</v>
      </c>
      <c r="AH18410" s="4" t="str">
        <f>HYPERLINK("#Statut_biogéographique!A"&amp;_xlfn.XMATCH("P",Statut_biogéographique!A:A,2,1),"P")</f>
        <v>P</v>
      </c>
      <c r="AP18410" s="4" t="s">
        <v>376</v>
      </c>
      <c r="AR18410" s="4" t="s">
        <v>377</v>
      </c>
    </row>
    <row r="18411" spans="1:44">
      <c r="A18411" s="4" t="s">
        <v>10753</v>
      </c>
      <c r="B18411" s="4">
        <v>823888</v>
      </c>
      <c r="D18411" s="5" t="s">
        <v>22526</v>
      </c>
      <c r="E18411" s="6" t="str">
        <f>HYPERLINK("https://inpn.mnhn.fr/espece/cd_nom/823888","Labiobaetis tricolor (Tshernova, 1928)")</f>
        <v>Labiobaetis tricolor (Tshernova, 1928)</v>
      </c>
      <c r="Q18411" s="7" t="str">
        <f>HYPERLINK("#Liste_rouge!A"&amp;_xlfn.XMATCH("NT",Liste_rouge!A:A,2,1),"NT")</f>
        <v>NT</v>
      </c>
      <c r="AH18411" s="4" t="str">
        <f>HYPERLINK("#Statut_biogéographique!A"&amp;_xlfn.XMATCH("P",Statut_biogéographique!A:A,2,1),"P")</f>
        <v>P</v>
      </c>
      <c r="AP18411" s="4" t="s">
        <v>376</v>
      </c>
      <c r="AR18411" s="4" t="s">
        <v>377</v>
      </c>
    </row>
    <row r="18412" spans="1:44" ht="30">
      <c r="A18412" s="4" t="s">
        <v>10753</v>
      </c>
      <c r="B18412" s="4">
        <v>8239</v>
      </c>
      <c r="D18412" s="5" t="s">
        <v>22527</v>
      </c>
      <c r="E18412" s="6" t="str">
        <f>HYPERLINK("https://inpn.mnhn.fr/espece/cd_nom/8239","Syntomus foveatus (Geoffroy in Fourcroy, 1785)")</f>
        <v>Syntomus foveatus (Geoffroy in Fourcroy, 1785)</v>
      </c>
      <c r="AH18412" s="4" t="str">
        <f>HYPERLINK("#Statut_biogéographique!A"&amp;_xlfn.XMATCH("P",Statut_biogéographique!A:A,2,1),"P")</f>
        <v>P</v>
      </c>
      <c r="AP18412" s="4" t="s">
        <v>376</v>
      </c>
      <c r="AR18412" s="4" t="s">
        <v>377</v>
      </c>
    </row>
    <row r="18413" spans="1:44">
      <c r="A18413" s="4" t="s">
        <v>10753</v>
      </c>
      <c r="B18413" s="4">
        <v>824323</v>
      </c>
      <c r="D18413" s="5" t="s">
        <v>22528</v>
      </c>
      <c r="E18413" s="6" t="str">
        <f>HYPERLINK("https://inpn.mnhn.fr/espece/cd_nom/824323","Zwicknia bifrons (Newman, 1838)")</f>
        <v>Zwicknia bifrons (Newman, 1838)</v>
      </c>
      <c r="AH18413" s="4" t="str">
        <f>HYPERLINK("#Statut_biogéographique!A"&amp;_xlfn.XMATCH("P",Statut_biogéographique!A:A,2,1),"P")</f>
        <v>P</v>
      </c>
      <c r="AP18413" s="4" t="s">
        <v>376</v>
      </c>
      <c r="AR18413" s="4" t="s">
        <v>377</v>
      </c>
    </row>
    <row r="18414" spans="1:44" ht="30">
      <c r="A18414" s="4" t="s">
        <v>10753</v>
      </c>
      <c r="B18414" s="4">
        <v>824325</v>
      </c>
      <c r="D18414" s="5">
        <v>824325</v>
      </c>
      <c r="E18414" s="6" t="str">
        <f>HYPERLINK("https://inpn.mnhn.fr/espece/cd_nom/824325","Zwicknia rupprechti Murányi, Orci &amp; Gamboa, 2014")</f>
        <v>Zwicknia rupprechti Murányi, Orci &amp; Gamboa, 2014</v>
      </c>
      <c r="AH18414" s="4" t="str">
        <f>HYPERLINK("#Statut_biogéographique!A"&amp;_xlfn.XMATCH("P",Statut_biogéographique!A:A,2,1),"P")</f>
        <v>P</v>
      </c>
      <c r="AP18414" s="4" t="s">
        <v>376</v>
      </c>
      <c r="AR18414" s="4" t="s">
        <v>377</v>
      </c>
    </row>
    <row r="18415" spans="1:44">
      <c r="A18415" s="4" t="s">
        <v>10753</v>
      </c>
      <c r="B18415" s="4">
        <v>825</v>
      </c>
      <c r="D18415" s="5" t="s">
        <v>22529</v>
      </c>
      <c r="E18415" s="6" t="str">
        <f>HYPERLINK("https://inpn.mnhn.fr/espece/cd_nom/825","Odiellus spinosus (Bosc, 1792)")</f>
        <v>Odiellus spinosus (Bosc, 1792)</v>
      </c>
      <c r="AH18415" s="4" t="str">
        <f>HYPERLINK("#Statut_biogéographique!A"&amp;_xlfn.XMATCH("P",Statut_biogéographique!A:A,2,1),"P")</f>
        <v>P</v>
      </c>
      <c r="AP18415" s="4" t="s">
        <v>376</v>
      </c>
      <c r="AR18415" s="4" t="s">
        <v>377</v>
      </c>
    </row>
    <row r="18416" spans="1:44">
      <c r="A18416" s="4" t="s">
        <v>10753</v>
      </c>
      <c r="B18416" s="4">
        <v>8253</v>
      </c>
      <c r="D18416" s="5" t="s">
        <v>22530</v>
      </c>
      <c r="E18416" s="6" t="str">
        <f>HYPERLINK("https://inpn.mnhn.fr/espece/cd_nom/8253","Trichotichnus laevicollis (Duftschmid, 1812)")</f>
        <v>Trichotichnus laevicollis (Duftschmid, 1812)</v>
      </c>
      <c r="AH18416" s="4" t="str">
        <f>HYPERLINK("#Statut_biogéographique!A"&amp;_xlfn.XMATCH("P",Statut_biogéographique!A:A,2,1),"P")</f>
        <v>P</v>
      </c>
      <c r="AP18416" s="4" t="s">
        <v>376</v>
      </c>
      <c r="AR18416" s="4" t="s">
        <v>377</v>
      </c>
    </row>
    <row r="18417" spans="1:44">
      <c r="A18417" s="4" t="s">
        <v>10753</v>
      </c>
      <c r="B18417" s="4">
        <v>8254</v>
      </c>
      <c r="D18417" s="5" t="s">
        <v>22531</v>
      </c>
      <c r="E18417" s="6" t="str">
        <f>HYPERLINK("https://inpn.mnhn.fr/espece/cd_nom/8254","Trichotichnus nitens (Heer, 1837)")</f>
        <v>Trichotichnus nitens (Heer, 1837)</v>
      </c>
      <c r="AH18417" s="4" t="str">
        <f>HYPERLINK("#Statut_biogéographique!A"&amp;_xlfn.XMATCH("P",Statut_biogéographique!A:A,2,1),"P")</f>
        <v>P</v>
      </c>
      <c r="AP18417" s="4" t="s">
        <v>376</v>
      </c>
      <c r="AR18417" s="4" t="s">
        <v>377</v>
      </c>
    </row>
    <row r="18418" spans="1:44" ht="30">
      <c r="A18418" s="4" t="s">
        <v>10753</v>
      </c>
      <c r="B18418" s="4">
        <v>826521</v>
      </c>
      <c r="D18418" s="5" t="s">
        <v>22532</v>
      </c>
      <c r="E18418" s="6" t="str">
        <f>HYPERLINK("https://inpn.mnhn.fr/espece/cd_nom/826521","Perigune narbonea (Linnaeus, 1767)")</f>
        <v>Perigune narbonea (Linnaeus, 1767)</v>
      </c>
      <c r="F18418" s="5" t="s">
        <v>22533</v>
      </c>
      <c r="AH18418" s="4" t="str">
        <f>HYPERLINK("#Statut_biogéographique!A"&amp;_xlfn.XMATCH("P",Statut_biogéographique!A:A,2,1),"P")</f>
        <v>P</v>
      </c>
      <c r="AP18418" s="4" t="s">
        <v>376</v>
      </c>
      <c r="AR18418" s="4" t="s">
        <v>377</v>
      </c>
    </row>
    <row r="18419" spans="1:44" ht="30">
      <c r="A18419" s="4" t="s">
        <v>10753</v>
      </c>
      <c r="B18419" s="4">
        <v>826544</v>
      </c>
      <c r="D18419" s="5" t="s">
        <v>22534</v>
      </c>
      <c r="E18419" s="6" t="str">
        <f>HYPERLINK("https://inpn.mnhn.fr/espece/cd_nom/826544","Coleophora anatipennella (Hübner, 1796)")</f>
        <v>Coleophora anatipennella (Hübner, 1796)</v>
      </c>
      <c r="AH18419" s="4" t="str">
        <f>HYPERLINK("#Statut_biogéographique!A"&amp;_xlfn.XMATCH("P",Statut_biogéographique!A:A,2,1),"P")</f>
        <v>P</v>
      </c>
      <c r="AP18419" s="4" t="s">
        <v>376</v>
      </c>
      <c r="AR18419" s="4" t="s">
        <v>377</v>
      </c>
    </row>
    <row r="18420" spans="1:44" ht="30">
      <c r="A18420" s="4" t="s">
        <v>10753</v>
      </c>
      <c r="B18420" s="4">
        <v>827153</v>
      </c>
      <c r="D18420" s="5" t="s">
        <v>22535</v>
      </c>
      <c r="E18420" s="6" t="str">
        <f>HYPERLINK("https://inpn.mnhn.fr/espece/cd_nom/827153","Ectocyclops affinis (G.O. Sars, 1863)")</f>
        <v>Ectocyclops affinis (G.O. Sars, 1863)</v>
      </c>
      <c r="Q18420" s="7" t="str">
        <f>HYPERLINK("#Liste_rouge!A"&amp;_xlfn.XMATCH("LC",Liste_rouge!A:A,2,1),"LC")</f>
        <v>LC</v>
      </c>
      <c r="AH18420" s="4" t="str">
        <f>HYPERLINK("#Statut_biogéographique!A"&amp;_xlfn.XMATCH("P",Statut_biogéographique!A:A,2,1),"P")</f>
        <v>P</v>
      </c>
      <c r="AP18420" s="4" t="s">
        <v>376</v>
      </c>
      <c r="AR18420" s="4" t="s">
        <v>377</v>
      </c>
    </row>
    <row r="18421" spans="1:44">
      <c r="A18421" s="4" t="s">
        <v>10753</v>
      </c>
      <c r="B18421" s="4">
        <v>8275</v>
      </c>
      <c r="D18421" s="5">
        <v>8275</v>
      </c>
      <c r="E18421" s="6" t="str">
        <f>HYPERLINK("https://inpn.mnhn.fr/espece/cd_nom/8275","Phloeocharis subtilissima Mannerheim, 1830")</f>
        <v>Phloeocharis subtilissima Mannerheim, 1830</v>
      </c>
      <c r="AH18421" s="4" t="str">
        <f>HYPERLINK("#Statut_biogéographique!A"&amp;_xlfn.XMATCH("P",Statut_biogéographique!A:A,2,1),"P")</f>
        <v>P</v>
      </c>
      <c r="AP18421" s="4" t="s">
        <v>376</v>
      </c>
      <c r="AR18421" s="4" t="s">
        <v>377</v>
      </c>
    </row>
    <row r="18422" spans="1:44">
      <c r="A18422" s="4" t="s">
        <v>10753</v>
      </c>
      <c r="B18422" s="4">
        <v>827683</v>
      </c>
      <c r="D18422" s="5" t="s">
        <v>22536</v>
      </c>
      <c r="E18422" s="6" t="str">
        <f>HYPERLINK("https://inpn.mnhn.fr/espece/cd_nom/827683","Pseudotiphia villosa (Fabricius, 1793)")</f>
        <v>Pseudotiphia villosa (Fabricius, 1793)</v>
      </c>
      <c r="AH18422" s="4" t="str">
        <f>HYPERLINK("#Statut_biogéographique!A"&amp;_xlfn.XMATCH("P",Statut_biogéographique!A:A,2,1),"P")</f>
        <v>P</v>
      </c>
      <c r="AP18422" s="4" t="s">
        <v>376</v>
      </c>
      <c r="AR18422" s="4" t="s">
        <v>377</v>
      </c>
    </row>
    <row r="18423" spans="1:44">
      <c r="A18423" s="4" t="s">
        <v>10753</v>
      </c>
      <c r="B18423" s="4">
        <v>827684</v>
      </c>
      <c r="D18423" s="5" t="s">
        <v>22537</v>
      </c>
      <c r="E18423" s="6" t="str">
        <f>HYPERLINK("https://inpn.mnhn.fr/espece/cd_nom/827684","Methocha articulata (Latreille, 1792)")</f>
        <v>Methocha articulata (Latreille, 1792)</v>
      </c>
      <c r="AH18423" s="4" t="str">
        <f>HYPERLINK("#Statut_biogéographique!A"&amp;_xlfn.XMATCH("P",Statut_biogéographique!A:A,2,1),"P")</f>
        <v>P</v>
      </c>
      <c r="AP18423" s="4" t="s">
        <v>376</v>
      </c>
      <c r="AR18423" s="4" t="s">
        <v>377</v>
      </c>
    </row>
    <row r="18424" spans="1:44" ht="30">
      <c r="A18424" s="4" t="s">
        <v>10753</v>
      </c>
      <c r="B18424" s="4">
        <v>8282</v>
      </c>
      <c r="D18424" s="5" t="s">
        <v>22538</v>
      </c>
      <c r="E18424" s="6" t="str">
        <f>HYPERLINK("https://inpn.mnhn.fr/espece/cd_nom/8282","Platycerus caraboides (Linnaeus, 1758)")</f>
        <v>Platycerus caraboides (Linnaeus, 1758)</v>
      </c>
      <c r="F18424" s="5" t="s">
        <v>22539</v>
      </c>
      <c r="P18424" s="7" t="str">
        <f>HYPERLINK("#Liste_rouge!A"&amp;_xlfn.XMATCH("LC",Liste_rouge!A:A,2,1),"LC")</f>
        <v>LC</v>
      </c>
      <c r="AH18424" s="4" t="str">
        <f>HYPERLINK("#Statut_biogéographique!A"&amp;_xlfn.XMATCH("P",Statut_biogéographique!A:A,2,1),"P")</f>
        <v>P</v>
      </c>
      <c r="AP18424" s="4" t="s">
        <v>376</v>
      </c>
      <c r="AR18424" s="4" t="s">
        <v>377</v>
      </c>
    </row>
    <row r="18425" spans="1:44">
      <c r="A18425" s="4" t="s">
        <v>10753</v>
      </c>
      <c r="B18425" s="4">
        <v>8286</v>
      </c>
      <c r="D18425" s="5" t="s">
        <v>22540</v>
      </c>
      <c r="E18425" s="6" t="str">
        <f>HYPERLINK("https://inpn.mnhn.fr/espece/cd_nom/8286","Gastrophysa viridula (De Geer, 1775)")</f>
        <v>Gastrophysa viridula (De Geer, 1775)</v>
      </c>
      <c r="F18425" s="5" t="s">
        <v>22541</v>
      </c>
      <c r="AH18425" s="4" t="str">
        <f>HYPERLINK("#Statut_biogéographique!A"&amp;_xlfn.XMATCH("P",Statut_biogéographique!A:A,2,1),"P")</f>
        <v>P</v>
      </c>
      <c r="AP18425" s="4" t="s">
        <v>376</v>
      </c>
      <c r="AR18425" s="4" t="s">
        <v>377</v>
      </c>
    </row>
    <row r="18426" spans="1:44">
      <c r="A18426" s="4" t="s">
        <v>10753</v>
      </c>
      <c r="B18426" s="4">
        <v>8288</v>
      </c>
      <c r="D18426" s="5" t="s">
        <v>22542</v>
      </c>
      <c r="E18426" s="6" t="str">
        <f>HYPERLINK("https://inpn.mnhn.fr/espece/cd_nom/8288","Gonioctena pallida (Linnaeus, 1758)")</f>
        <v>Gonioctena pallida (Linnaeus, 1758)</v>
      </c>
      <c r="AH18426" s="4" t="str">
        <f>HYPERLINK("#Statut_biogéographique!A"&amp;_xlfn.XMATCH("P",Statut_biogéographique!A:A,2,1),"P")</f>
        <v>P</v>
      </c>
      <c r="AP18426" s="4" t="s">
        <v>376</v>
      </c>
      <c r="AR18426" s="4" t="s">
        <v>377</v>
      </c>
    </row>
    <row r="18427" spans="1:44">
      <c r="A18427" s="4" t="s">
        <v>10753</v>
      </c>
      <c r="B18427" s="4">
        <v>829</v>
      </c>
      <c r="D18427" s="5" t="s">
        <v>22543</v>
      </c>
      <c r="E18427" s="6" t="str">
        <f>HYPERLINK("https://inpn.mnhn.fr/espece/cd_nom/829","Oligolophus tridens (C.L.Koch, 1836)")</f>
        <v>Oligolophus tridens (C.L.Koch, 1836)</v>
      </c>
      <c r="AH18427" s="4" t="str">
        <f>HYPERLINK("#Statut_biogéographique!A"&amp;_xlfn.XMATCH("P",Statut_biogéographique!A:A,2,1),"P")</f>
        <v>P</v>
      </c>
      <c r="AP18427" s="4" t="s">
        <v>376</v>
      </c>
      <c r="AR18427" s="4" t="s">
        <v>377</v>
      </c>
    </row>
    <row r="18428" spans="1:44">
      <c r="A18428" s="4" t="s">
        <v>10753</v>
      </c>
      <c r="B18428" s="4">
        <v>8290</v>
      </c>
      <c r="D18428" s="5" t="s">
        <v>22544</v>
      </c>
      <c r="E18428" s="6" t="str">
        <f>HYPERLINK("https://inpn.mnhn.fr/espece/cd_nom/8290","Leptinotarsa decemlineata (Say, 1824)")</f>
        <v>Leptinotarsa decemlineata (Say, 1824)</v>
      </c>
      <c r="F18428" s="5" t="s">
        <v>22545</v>
      </c>
      <c r="AH18428" s="4" t="str">
        <f>HYPERLINK("#Statut_biogéographique!A"&amp;_xlfn.XMATCH("I",Statut_biogéographique!A:A,2,1),"I")</f>
        <v>I</v>
      </c>
      <c r="AP18428" s="4" t="s">
        <v>376</v>
      </c>
      <c r="AR18428" s="4" t="s">
        <v>377</v>
      </c>
    </row>
    <row r="18429" spans="1:44">
      <c r="A18429" s="4" t="s">
        <v>10753</v>
      </c>
      <c r="B18429" s="4">
        <v>829898</v>
      </c>
      <c r="D18429" s="5" t="s">
        <v>22546</v>
      </c>
      <c r="E18429" s="6" t="str">
        <f>HYPERLINK("https://inpn.mnhn.fr/espece/cd_nom/829898","Euphydryas beckeri (Lederer, 1853)")</f>
        <v>Euphydryas beckeri (Lederer, 1853)</v>
      </c>
      <c r="I18429" s="4" t="str">
        <f>HYPERLINK("#Réglementation!A"&amp;_xlfn.XMATCH("IBE2",Réglementation!A:A,2,1),"IBE2")</f>
        <v>IBE2</v>
      </c>
      <c r="K18429" s="4" t="str">
        <f>HYPERLINK("#Réglementation!A"&amp;_xlfn.XMATCH("CDH2",Réglementation!A:A,2,1),"CDH2")</f>
        <v>CDH2</v>
      </c>
      <c r="L18429" s="4" t="str">
        <f>HYPERLINK("#Réglementation!A"&amp;_xlfn.XMATCH("NI3",Réglementation!A:A,2,1),"NI3")</f>
        <v>NI3</v>
      </c>
      <c r="AH18429" s="4" t="str">
        <f>HYPERLINK("#Statut_biogéographique!A"&amp;_xlfn.XMATCH("P",Statut_biogéographique!A:A,2,1),"P")</f>
        <v>P</v>
      </c>
      <c r="AP18429" s="4" t="s">
        <v>376</v>
      </c>
      <c r="AR18429" s="4" t="s">
        <v>377</v>
      </c>
    </row>
    <row r="18430" spans="1:44">
      <c r="A18430" s="4" t="s">
        <v>10753</v>
      </c>
      <c r="B18430" s="4">
        <v>8304</v>
      </c>
      <c r="D18430" s="5" t="s">
        <v>22547</v>
      </c>
      <c r="E18430" s="6" t="str">
        <f>HYPERLINK("https://inpn.mnhn.fr/espece/cd_nom/8304","Bruchus atomarius (Linnaeus, 1761)")</f>
        <v>Bruchus atomarius (Linnaeus, 1761)</v>
      </c>
      <c r="AH18430" s="4" t="str">
        <f>HYPERLINK("#Statut_biogéographique!A"&amp;_xlfn.XMATCH("P",Statut_biogéographique!A:A,2,1),"P")</f>
        <v>P</v>
      </c>
      <c r="AP18430" s="4" t="s">
        <v>376</v>
      </c>
      <c r="AR18430" s="4" t="s">
        <v>377</v>
      </c>
    </row>
    <row r="18431" spans="1:44">
      <c r="A18431" s="4" t="s">
        <v>10753</v>
      </c>
      <c r="B18431" s="4">
        <v>8308</v>
      </c>
      <c r="D18431" s="5" t="s">
        <v>22548</v>
      </c>
      <c r="E18431" s="6" t="str">
        <f>HYPERLINK("https://inpn.mnhn.fr/espece/cd_nom/8308","Bruchus rufipes Herbst, 1783")</f>
        <v>Bruchus rufipes Herbst, 1783</v>
      </c>
      <c r="AH18431" s="4" t="str">
        <f>HYPERLINK("#Statut_biogéographique!A"&amp;_xlfn.XMATCH("P",Statut_biogéographique!A:A,2,1),"P")</f>
        <v>P</v>
      </c>
      <c r="AP18431" s="4" t="s">
        <v>376</v>
      </c>
      <c r="AR18431" s="4" t="s">
        <v>377</v>
      </c>
    </row>
    <row r="18432" spans="1:44">
      <c r="A18432" s="4" t="s">
        <v>10753</v>
      </c>
      <c r="B18432" s="4">
        <v>8321</v>
      </c>
      <c r="D18432" s="5" t="s">
        <v>22549</v>
      </c>
      <c r="E18432" s="6" t="str">
        <f>HYPERLINK("https://inpn.mnhn.fr/espece/cd_nom/8321","Cicindela campestris Linnaeus, 1758")</f>
        <v>Cicindela campestris Linnaeus, 1758</v>
      </c>
      <c r="F18432" s="5" t="s">
        <v>22550</v>
      </c>
      <c r="AH18432" s="4" t="str">
        <f>HYPERLINK("#Statut_biogéographique!A"&amp;_xlfn.XMATCH("P",Statut_biogéographique!A:A,2,1),"P")</f>
        <v>P</v>
      </c>
      <c r="AP18432" s="4" t="s">
        <v>376</v>
      </c>
      <c r="AR18432" s="4" t="s">
        <v>377</v>
      </c>
    </row>
    <row r="18433" spans="1:44">
      <c r="A18433" s="4" t="s">
        <v>10753</v>
      </c>
      <c r="B18433" s="4">
        <v>8326</v>
      </c>
      <c r="D18433" s="5" t="s">
        <v>22551</v>
      </c>
      <c r="E18433" s="6" t="str">
        <f>HYPERLINK("https://inpn.mnhn.fr/espece/cd_nom/8326","Cicindela hybrida Linnaeus, 1758")</f>
        <v>Cicindela hybrida Linnaeus, 1758</v>
      </c>
      <c r="F18433" s="5" t="s">
        <v>22552</v>
      </c>
      <c r="AH18433" s="4" t="str">
        <f>HYPERLINK("#Statut_biogéographique!A"&amp;_xlfn.XMATCH("P",Statut_biogéographique!A:A,2,1),"P")</f>
        <v>P</v>
      </c>
      <c r="AP18433" s="4" t="s">
        <v>376</v>
      </c>
      <c r="AR18433" s="4" t="s">
        <v>377</v>
      </c>
    </row>
    <row r="18434" spans="1:44">
      <c r="A18434" s="4" t="s">
        <v>10753</v>
      </c>
      <c r="B18434" s="4">
        <v>834</v>
      </c>
      <c r="D18434" s="5" t="s">
        <v>22553</v>
      </c>
      <c r="E18434" s="6" t="str">
        <f>HYPERLINK("https://inpn.mnhn.fr/espece/cd_nom/834","Phalangium opilio Linnaeus, 1758")</f>
        <v>Phalangium opilio Linnaeus, 1758</v>
      </c>
      <c r="AH18434" s="4" t="str">
        <f>HYPERLINK("#Statut_biogéographique!A"&amp;_xlfn.XMATCH("P",Statut_biogéographique!A:A,2,1),"P")</f>
        <v>P</v>
      </c>
      <c r="AP18434" s="4" t="s">
        <v>376</v>
      </c>
      <c r="AR18434" s="4" t="s">
        <v>377</v>
      </c>
    </row>
    <row r="18435" spans="1:44" ht="30">
      <c r="A18435" s="4" t="s">
        <v>10753</v>
      </c>
      <c r="B18435" s="4">
        <v>834047</v>
      </c>
      <c r="D18435" s="5" t="s">
        <v>22554</v>
      </c>
      <c r="E18435" s="6" t="str">
        <f>HYPERLINK("https://inpn.mnhn.fr/espece/cd_nom/834047","Zwicknia ledoarei Reding, Launay, Ruffoni, Vinçon &amp; Boumans, 2016")</f>
        <v>Zwicknia ledoarei Reding, Launay, Ruffoni, Vinçon &amp; Boumans, 2016</v>
      </c>
      <c r="AH18435" s="4" t="str">
        <f>HYPERLINK("#Statut_biogéographique!A"&amp;_xlfn.XMATCH("P",Statut_biogéographique!A:A,2,1),"P")</f>
        <v>P</v>
      </c>
      <c r="AP18435" s="4" t="s">
        <v>376</v>
      </c>
      <c r="AR18435" s="4" t="s">
        <v>377</v>
      </c>
    </row>
    <row r="18436" spans="1:44">
      <c r="A18436" s="4" t="s">
        <v>10753</v>
      </c>
      <c r="B18436" s="4">
        <v>8341</v>
      </c>
      <c r="D18436" s="5" t="s">
        <v>22555</v>
      </c>
      <c r="E18436" s="6" t="str">
        <f>HYPERLINK("https://inpn.mnhn.fr/espece/cd_nom/8341","Omophron limbatum (Fabricius, 1777)")</f>
        <v>Omophron limbatum (Fabricius, 1777)</v>
      </c>
      <c r="F18436" s="5" t="s">
        <v>22556</v>
      </c>
      <c r="AH18436" s="4" t="str">
        <f>HYPERLINK("#Statut_biogéographique!A"&amp;_xlfn.XMATCH("P",Statut_biogéographique!A:A,2,1),"P")</f>
        <v>P</v>
      </c>
      <c r="AP18436" s="4" t="s">
        <v>376</v>
      </c>
      <c r="AR18436" s="4" t="s">
        <v>377</v>
      </c>
    </row>
    <row r="18437" spans="1:44">
      <c r="A18437" s="4" t="s">
        <v>10753</v>
      </c>
      <c r="B18437" s="4">
        <v>8343</v>
      </c>
      <c r="D18437" s="5" t="s">
        <v>22557</v>
      </c>
      <c r="E18437" s="6" t="str">
        <f>HYPERLINK("https://inpn.mnhn.fr/espece/cd_nom/8343","Calosoma inquisitor (Linnaeus, 1758)")</f>
        <v>Calosoma inquisitor (Linnaeus, 1758)</v>
      </c>
      <c r="F18437" s="5" t="s">
        <v>22558</v>
      </c>
      <c r="AH18437" s="4" t="str">
        <f>HYPERLINK("#Statut_biogéographique!A"&amp;_xlfn.XMATCH("P",Statut_biogéographique!A:A,2,1),"P")</f>
        <v>P</v>
      </c>
      <c r="AP18437" s="4" t="s">
        <v>376</v>
      </c>
      <c r="AR18437" s="4" t="s">
        <v>377</v>
      </c>
    </row>
    <row r="18438" spans="1:44">
      <c r="A18438" s="4" t="s">
        <v>10753</v>
      </c>
      <c r="B18438" s="4">
        <v>8344</v>
      </c>
      <c r="D18438" s="5" t="s">
        <v>22559</v>
      </c>
      <c r="E18438" s="6" t="str">
        <f>HYPERLINK("https://inpn.mnhn.fr/espece/cd_nom/8344","Calosoma sycophanta (Linnaeus, 1758)")</f>
        <v>Calosoma sycophanta (Linnaeus, 1758)</v>
      </c>
      <c r="F18438" s="5" t="s">
        <v>22560</v>
      </c>
      <c r="AH18438" s="4" t="str">
        <f>HYPERLINK("#Statut_biogéographique!A"&amp;_xlfn.XMATCH("P",Statut_biogéographique!A:A,2,1),"P")</f>
        <v>P</v>
      </c>
      <c r="AP18438" s="4" t="s">
        <v>376</v>
      </c>
      <c r="AR18438" s="4" t="s">
        <v>377</v>
      </c>
    </row>
    <row r="18439" spans="1:44">
      <c r="A18439" s="4" t="s">
        <v>10753</v>
      </c>
      <c r="B18439" s="4">
        <v>8347</v>
      </c>
      <c r="D18439" s="5" t="s">
        <v>22561</v>
      </c>
      <c r="E18439" s="6" t="str">
        <f>HYPERLINK("https://inpn.mnhn.fr/espece/cd_nom/8347","Cychrus attenuatus (Fabricius, 1792)")</f>
        <v>Cychrus attenuatus (Fabricius, 1792)</v>
      </c>
      <c r="F18439" s="5" t="s">
        <v>22562</v>
      </c>
      <c r="AH18439" s="4" t="str">
        <f>HYPERLINK("#Statut_biogéographique!A"&amp;_xlfn.XMATCH("P",Statut_biogéographique!A:A,2,1),"P")</f>
        <v>P</v>
      </c>
      <c r="AP18439" s="4" t="s">
        <v>376</v>
      </c>
      <c r="AR18439" s="4" t="s">
        <v>377</v>
      </c>
    </row>
    <row r="18440" spans="1:44">
      <c r="A18440" s="4" t="s">
        <v>10753</v>
      </c>
      <c r="B18440" s="4">
        <v>8348</v>
      </c>
      <c r="D18440" s="5" t="s">
        <v>22563</v>
      </c>
      <c r="E18440" s="6" t="str">
        <f>HYPERLINK("https://inpn.mnhn.fr/espece/cd_nom/8348","Cychrus caraboides (Linnaeus, 1758)")</f>
        <v>Cychrus caraboides (Linnaeus, 1758)</v>
      </c>
      <c r="F18440" s="5" t="s">
        <v>22564</v>
      </c>
      <c r="AH18440" s="4" t="str">
        <f>HYPERLINK("#Statut_biogéographique!A"&amp;_xlfn.XMATCH("P",Statut_biogéographique!A:A,2,1),"P")</f>
        <v>P</v>
      </c>
      <c r="AP18440" s="4" t="s">
        <v>376</v>
      </c>
      <c r="AR18440" s="4" t="s">
        <v>377</v>
      </c>
    </row>
    <row r="18441" spans="1:44">
      <c r="A18441" s="4" t="s">
        <v>10753</v>
      </c>
      <c r="B18441" s="4">
        <v>8356</v>
      </c>
      <c r="D18441" s="5" t="s">
        <v>22565</v>
      </c>
      <c r="E18441" s="6" t="str">
        <f>HYPERLINK("https://inpn.mnhn.fr/espece/cd_nom/8356","Carabus arvensis Herbst, 1784")</f>
        <v>Carabus arvensis Herbst, 1784</v>
      </c>
      <c r="AH18441" s="4" t="str">
        <f>HYPERLINK("#Statut_biogéographique!A"&amp;_xlfn.XMATCH("P",Statut_biogéographique!A:A,2,1),"P")</f>
        <v>P</v>
      </c>
      <c r="AP18441" s="4" t="s">
        <v>376</v>
      </c>
      <c r="AR18441" s="4" t="s">
        <v>377</v>
      </c>
    </row>
    <row r="18442" spans="1:44">
      <c r="A18442" s="4" t="s">
        <v>10753</v>
      </c>
      <c r="B18442" s="4">
        <v>8358</v>
      </c>
      <c r="D18442" s="5" t="s">
        <v>22566</v>
      </c>
      <c r="E18442" s="6" t="str">
        <f>HYPERLINK("https://inpn.mnhn.fr/espece/cd_nom/8358","Carabus auratus Linnaeus, 1761")</f>
        <v>Carabus auratus Linnaeus, 1761</v>
      </c>
      <c r="F18442" s="5" t="s">
        <v>22567</v>
      </c>
      <c r="AH18442" s="4" t="str">
        <f>HYPERLINK("#Statut_biogéographique!A"&amp;_xlfn.XMATCH("P",Statut_biogéographique!A:A,2,1),"P")</f>
        <v>P</v>
      </c>
      <c r="AP18442" s="4" t="s">
        <v>376</v>
      </c>
      <c r="AR18442" s="4" t="s">
        <v>377</v>
      </c>
    </row>
    <row r="18443" spans="1:44" ht="30">
      <c r="A18443" s="4" t="s">
        <v>10753</v>
      </c>
      <c r="B18443" s="4">
        <v>836043</v>
      </c>
      <c r="D18443" s="5" t="s">
        <v>22568</v>
      </c>
      <c r="E18443" s="6" t="str">
        <f>HYPERLINK("https://inpn.mnhn.fr/espece/cd_nom/836043","Eratophyes amasiella (Herrich-Schäffer, 1854)")</f>
        <v>Eratophyes amasiella (Herrich-Schäffer, 1854)</v>
      </c>
      <c r="AH18443" s="4" t="str">
        <f>HYPERLINK("#Statut_biogéographique!A"&amp;_xlfn.XMATCH("I",Statut_biogéographique!A:A,2,1),"I")</f>
        <v>I</v>
      </c>
      <c r="AP18443" s="4" t="s">
        <v>376</v>
      </c>
      <c r="AR18443" s="4" t="s">
        <v>377</v>
      </c>
    </row>
    <row r="18444" spans="1:44" ht="30">
      <c r="A18444" s="4" t="s">
        <v>10753</v>
      </c>
      <c r="B18444" s="4">
        <v>836055</v>
      </c>
      <c r="D18444" s="5" t="s">
        <v>22569</v>
      </c>
      <c r="E18444" s="6" t="str">
        <f>HYPERLINK("https://inpn.mnhn.fr/espece/cd_nom/836055","Centromerus brevipalpus (Menge, 1866)")</f>
        <v>Centromerus brevipalpus (Menge, 1866)</v>
      </c>
      <c r="Q18444" s="7" t="str">
        <f>HYPERLINK("#Liste_rouge!A"&amp;_xlfn.XMATCH("LC",Liste_rouge!A:A,2,1),"LC")</f>
        <v>LC</v>
      </c>
      <c r="AH18444" s="4" t="str">
        <f>HYPERLINK("#Statut_biogéographique!A"&amp;_xlfn.XMATCH("P",Statut_biogéographique!A:A,2,1),"P")</f>
        <v>P</v>
      </c>
      <c r="AP18444" s="4" t="s">
        <v>376</v>
      </c>
      <c r="AR18444" s="4" t="s">
        <v>377</v>
      </c>
    </row>
    <row r="18445" spans="1:44">
      <c r="A18445" s="4" t="s">
        <v>10753</v>
      </c>
      <c r="B18445" s="4">
        <v>836060</v>
      </c>
      <c r="D18445" s="5" t="s">
        <v>22570</v>
      </c>
      <c r="E18445" s="6" t="str">
        <f>HYPERLINK("https://inpn.mnhn.fr/espece/cd_nom/836060","Lasaeola coracina (C.L. Koch, 1837)")</f>
        <v>Lasaeola coracina (C.L. Koch, 1837)</v>
      </c>
      <c r="Q18445" s="7" t="str">
        <f>HYPERLINK("#Liste_rouge!A"&amp;_xlfn.XMATCH("LC",Liste_rouge!A:A,2,1),"LC")</f>
        <v>LC</v>
      </c>
      <c r="AH18445" s="4" t="str">
        <f>HYPERLINK("#Statut_biogéographique!A"&amp;_xlfn.XMATCH("P",Statut_biogéographique!A:A,2,1),"P")</f>
        <v>P</v>
      </c>
      <c r="AP18445" s="4" t="s">
        <v>376</v>
      </c>
      <c r="AR18445" s="4" t="s">
        <v>377</v>
      </c>
    </row>
    <row r="18446" spans="1:44" ht="30">
      <c r="A18446" s="4" t="s">
        <v>10753</v>
      </c>
      <c r="B18446" s="4">
        <v>836763</v>
      </c>
      <c r="D18446" s="5" t="s">
        <v>22571</v>
      </c>
      <c r="E18446" s="6" t="str">
        <f>HYPERLINK("https://inpn.mnhn.fr/espece/cd_nom/836763","Alcis deversata (Staudinger, 1892)")</f>
        <v>Alcis deversata (Staudinger, 1892)</v>
      </c>
      <c r="F18446" s="5" t="s">
        <v>22572</v>
      </c>
      <c r="AH18446" s="4" t="str">
        <f>HYPERLINK("#Statut_biogéographique!A"&amp;_xlfn.XMATCH("P",Statut_biogéographique!A:A,2,1),"P")</f>
        <v>P</v>
      </c>
      <c r="AP18446" s="4" t="s">
        <v>376</v>
      </c>
      <c r="AR18446" s="4" t="s">
        <v>377</v>
      </c>
    </row>
    <row r="18447" spans="1:44" ht="30">
      <c r="A18447" s="4" t="s">
        <v>10753</v>
      </c>
      <c r="B18447" s="4">
        <v>8369</v>
      </c>
      <c r="D18447" s="5" t="s">
        <v>22573</v>
      </c>
      <c r="E18447" s="6" t="str">
        <f>HYPERLINK("https://inpn.mnhn.fr/espece/cd_nom/8369","Carabus auronitens Fabricius, 1792")</f>
        <v>Carabus auronitens Fabricius, 1792</v>
      </c>
      <c r="F18447" s="5" t="s">
        <v>22574</v>
      </c>
      <c r="AH18447" s="4" t="str">
        <f>HYPERLINK("#Statut_biogéographique!A"&amp;_xlfn.XMATCH("P",Statut_biogéographique!A:A,2,1),"P")</f>
        <v>P</v>
      </c>
      <c r="AP18447" s="4" t="s">
        <v>376</v>
      </c>
      <c r="AR18447" s="4" t="s">
        <v>377</v>
      </c>
    </row>
    <row r="18448" spans="1:44">
      <c r="A18448" s="4" t="s">
        <v>10753</v>
      </c>
      <c r="B18448" s="4">
        <v>837294</v>
      </c>
      <c r="D18448" s="5">
        <v>837294</v>
      </c>
      <c r="E18448" s="6" t="str">
        <f>HYPERLINK("https://inpn.mnhn.fr/espece/cd_nom/837294","Aelia rostrata rostrata Boheman, 1852")</f>
        <v>Aelia rostrata rostrata Boheman, 1852</v>
      </c>
      <c r="AH18448" s="4" t="str">
        <f>HYPERLINK("#Statut_biogéographique!A"&amp;_xlfn.XMATCH("P",Statut_biogéographique!A:A,2,1),"P")</f>
        <v>P</v>
      </c>
      <c r="AP18448" s="4" t="s">
        <v>376</v>
      </c>
      <c r="AR18448" s="4" t="s">
        <v>377</v>
      </c>
    </row>
    <row r="18449" spans="1:44">
      <c r="A18449" s="4" t="s">
        <v>10753</v>
      </c>
      <c r="B18449" s="4">
        <v>837497</v>
      </c>
      <c r="D18449" s="5" t="s">
        <v>22575</v>
      </c>
      <c r="E18449" s="6" t="str">
        <f>HYPERLINK("https://inpn.mnhn.fr/espece/cd_nom/837497","Pristiphora subopaca Lindqvist, 1955")</f>
        <v>Pristiphora subopaca Lindqvist, 1955</v>
      </c>
      <c r="AH18449" s="4" t="str">
        <f>HYPERLINK("#Statut_biogéographique!A"&amp;_xlfn.XMATCH("P",Statut_biogéographique!A:A,2,1),"P")</f>
        <v>P</v>
      </c>
      <c r="AP18449" s="4" t="s">
        <v>376</v>
      </c>
      <c r="AR18449" s="4" t="s">
        <v>377</v>
      </c>
    </row>
    <row r="18450" spans="1:44">
      <c r="A18450" s="4" t="s">
        <v>10753</v>
      </c>
      <c r="B18450" s="4">
        <v>837717</v>
      </c>
      <c r="D18450" s="5" t="s">
        <v>22576</v>
      </c>
      <c r="E18450" s="6" t="str">
        <f>HYPERLINK("https://inpn.mnhn.fr/espece/cd_nom/837717","Flavalona costata (Sars, 1862)")</f>
        <v>Flavalona costata (Sars, 1862)</v>
      </c>
      <c r="Q18450" s="7" t="str">
        <f>HYPERLINK("#Liste_rouge!A"&amp;_xlfn.XMATCH("LC",Liste_rouge!A:A,2,1),"LC")</f>
        <v>LC</v>
      </c>
      <c r="AH18450" s="4" t="str">
        <f>HYPERLINK("#Statut_biogéographique!A"&amp;_xlfn.XMATCH("P",Statut_biogéographique!A:A,2,1),"P")</f>
        <v>P</v>
      </c>
      <c r="AP18450" s="4" t="s">
        <v>376</v>
      </c>
      <c r="AR18450" s="4" t="s">
        <v>377</v>
      </c>
    </row>
    <row r="18451" spans="1:44">
      <c r="A18451" s="4" t="s">
        <v>10753</v>
      </c>
      <c r="B18451" s="4">
        <v>837805</v>
      </c>
      <c r="D18451" s="5" t="s">
        <v>22577</v>
      </c>
      <c r="E18451" s="6" t="str">
        <f>HYPERLINK("https://inpn.mnhn.fr/espece/cd_nom/837805","Bourletiella hortensis (Fitch, 1863)")</f>
        <v>Bourletiella hortensis (Fitch, 1863)</v>
      </c>
      <c r="AH18451" s="4" t="str">
        <f>HYPERLINK("#Statut_biogéographique!A"&amp;_xlfn.XMATCH("P",Statut_biogéographique!A:A,2,1),"P")</f>
        <v>P</v>
      </c>
      <c r="AP18451" s="4" t="s">
        <v>376</v>
      </c>
      <c r="AR18451" s="4" t="s">
        <v>377</v>
      </c>
    </row>
    <row r="18452" spans="1:44">
      <c r="A18452" s="4" t="s">
        <v>10753</v>
      </c>
      <c r="B18452" s="4">
        <v>837838</v>
      </c>
      <c r="D18452" s="5" t="s">
        <v>22578</v>
      </c>
      <c r="E18452" s="6" t="str">
        <f>HYPERLINK("https://inpn.mnhn.fr/espece/cd_nom/837838","Tessellana tessellata (Charpentier, 1825)")</f>
        <v>Tessellana tessellata (Charpentier, 1825)</v>
      </c>
      <c r="F18452" s="5" t="s">
        <v>22579</v>
      </c>
      <c r="P18452" s="7" t="str">
        <f>HYPERLINK("#Liste_rouge!A"&amp;_xlfn.XMATCH("LC",Liste_rouge!A:A,2,1),"LC")</f>
        <v>LC</v>
      </c>
      <c r="V18452" s="7" t="str">
        <f>HYPERLINK("#Liste_rouge!A"&amp;_xlfn.XMATCH("LC",Liste_rouge!A:A,2,1),"LC")</f>
        <v>LC</v>
      </c>
      <c r="X18452" s="5" t="s">
        <v>398</v>
      </c>
      <c r="AH18452" s="4" t="str">
        <f>HYPERLINK("#Statut_biogéographique!A"&amp;_xlfn.XMATCH("P",Statut_biogéographique!A:A,2,1),"P")</f>
        <v>P</v>
      </c>
      <c r="AM18452" s="4" t="s">
        <v>375</v>
      </c>
      <c r="AN18452" s="4" t="s">
        <v>375</v>
      </c>
      <c r="AO18452" s="4" t="s">
        <v>375</v>
      </c>
      <c r="AP18452" s="4" t="s">
        <v>376</v>
      </c>
      <c r="AR18452" s="4" t="s">
        <v>377</v>
      </c>
    </row>
    <row r="18453" spans="1:44" ht="30">
      <c r="A18453" s="4" t="s">
        <v>10753</v>
      </c>
      <c r="B18453" s="4">
        <v>837839</v>
      </c>
      <c r="D18453" s="5" t="s">
        <v>22580</v>
      </c>
      <c r="E18453" s="6" t="str">
        <f>HYPERLINK("https://inpn.mnhn.fr/espece/cd_nom/837839","Tessellana tessellata tessellata (Charpentier, 1825)")</f>
        <v>Tessellana tessellata tessellata (Charpentier, 1825)</v>
      </c>
      <c r="AH18453" s="4" t="str">
        <f>HYPERLINK("#Statut_biogéographique!A"&amp;_xlfn.XMATCH("P",Statut_biogéographique!A:A,2,1),"P")</f>
        <v>P</v>
      </c>
      <c r="AP18453" s="4" t="s">
        <v>376</v>
      </c>
      <c r="AR18453" s="4" t="s">
        <v>377</v>
      </c>
    </row>
    <row r="18454" spans="1:44">
      <c r="A18454" s="4" t="s">
        <v>10753</v>
      </c>
      <c r="B18454" s="4">
        <v>837848</v>
      </c>
      <c r="D18454" s="5" t="s">
        <v>22581</v>
      </c>
      <c r="E18454" s="6" t="str">
        <f>HYPERLINK("https://inpn.mnhn.fr/espece/cd_nom/837848","Ephippiger diurnus cunii Bolívar, 1877")</f>
        <v>Ephippiger diurnus cunii Bolívar, 1877</v>
      </c>
      <c r="F18454" s="5" t="s">
        <v>22582</v>
      </c>
      <c r="AH18454" s="4" t="str">
        <f>HYPERLINK("#Statut_biogéographique!A"&amp;_xlfn.XMATCH("P",Statut_biogéographique!A:A,2,1),"P")</f>
        <v>P</v>
      </c>
      <c r="AP18454" s="4" t="s">
        <v>376</v>
      </c>
      <c r="AR18454" s="4" t="s">
        <v>377</v>
      </c>
    </row>
    <row r="18455" spans="1:44" ht="30">
      <c r="A18455" s="4" t="s">
        <v>10753</v>
      </c>
      <c r="B18455" s="4">
        <v>837865</v>
      </c>
      <c r="D18455" s="5" t="s">
        <v>22583</v>
      </c>
      <c r="E18455" s="6" t="str">
        <f>HYPERLINK("https://inpn.mnhn.fr/espece/cd_nom/837865","Locusta cinerascens (Fabricius, 1781)")</f>
        <v>Locusta cinerascens (Fabricius, 1781)</v>
      </c>
      <c r="F18455" s="5" t="s">
        <v>22584</v>
      </c>
      <c r="AH18455" s="4" t="str">
        <f>HYPERLINK("#Statut_biogéographique!A"&amp;_xlfn.XMATCH("P",Statut_biogéographique!A:A,2,1),"P")</f>
        <v>P</v>
      </c>
      <c r="AP18455" s="4" t="s">
        <v>376</v>
      </c>
      <c r="AR18455" s="4" t="s">
        <v>377</v>
      </c>
    </row>
    <row r="18456" spans="1:44" ht="30">
      <c r="A18456" s="4" t="s">
        <v>10753</v>
      </c>
      <c r="B18456" s="4">
        <v>837869</v>
      </c>
      <c r="D18456" s="5" t="s">
        <v>22585</v>
      </c>
      <c r="E18456" s="6" t="str">
        <f>HYPERLINK("https://inpn.mnhn.fr/espece/cd_nom/837869","Pseudochorthippus parallelus (Zetterstedt, 1821)")</f>
        <v>Pseudochorthippus parallelus (Zetterstedt, 1821)</v>
      </c>
      <c r="F18456" s="5" t="s">
        <v>22586</v>
      </c>
      <c r="P18456" s="7" t="str">
        <f>HYPERLINK("#Liste_rouge!A"&amp;_xlfn.XMATCH("LC",Liste_rouge!A:A,2,1),"LC")</f>
        <v>LC</v>
      </c>
      <c r="V18456" s="7" t="str">
        <f>HYPERLINK("#Liste_rouge!A"&amp;_xlfn.XMATCH("LC",Liste_rouge!A:A,2,1),"LC")</f>
        <v>LC</v>
      </c>
      <c r="AH18456" s="4" t="str">
        <f>HYPERLINK("#Statut_biogéographique!A"&amp;_xlfn.XMATCH("P",Statut_biogéographique!A:A,2,1),"P")</f>
        <v>P</v>
      </c>
      <c r="AM18456" s="4" t="s">
        <v>375</v>
      </c>
      <c r="AN18456" s="4" t="s">
        <v>375</v>
      </c>
      <c r="AO18456" s="4" t="s">
        <v>375</v>
      </c>
      <c r="AP18456" s="4" t="s">
        <v>376</v>
      </c>
      <c r="AR18456" s="4" t="s">
        <v>377</v>
      </c>
    </row>
    <row r="18457" spans="1:44" ht="30">
      <c r="A18457" s="4" t="s">
        <v>10753</v>
      </c>
      <c r="B18457" s="4">
        <v>837870</v>
      </c>
      <c r="D18457" s="5" t="s">
        <v>22587</v>
      </c>
      <c r="E18457" s="6" t="str">
        <f>HYPERLINK("https://inpn.mnhn.fr/espece/cd_nom/837870","Pseudochorthippus parallelus parallelus (Zetterstedt, 1821)")</f>
        <v>Pseudochorthippus parallelus parallelus (Zetterstedt, 1821)</v>
      </c>
      <c r="F18457" s="5" t="s">
        <v>22588</v>
      </c>
      <c r="AH18457" s="4" t="str">
        <f>HYPERLINK("#Statut_biogéographique!A"&amp;_xlfn.XMATCH("P",Statut_biogéographique!A:A,2,1),"P")</f>
        <v>P</v>
      </c>
      <c r="AP18457" s="4" t="s">
        <v>376</v>
      </c>
      <c r="AR18457" s="4" t="s">
        <v>377</v>
      </c>
    </row>
    <row r="18458" spans="1:44">
      <c r="A18458" s="4" t="s">
        <v>10753</v>
      </c>
      <c r="B18458" s="4">
        <v>8379</v>
      </c>
      <c r="D18458" s="5">
        <v>8379</v>
      </c>
      <c r="E18458" s="6" t="str">
        <f>HYPERLINK("https://inpn.mnhn.fr/espece/cd_nom/8379","Carabus cancellatus Illiger, 1798")</f>
        <v>Carabus cancellatus Illiger, 1798</v>
      </c>
      <c r="F18458" s="5" t="s">
        <v>22589</v>
      </c>
      <c r="AH18458" s="4" t="str">
        <f>HYPERLINK("#Statut_biogéographique!A"&amp;_xlfn.XMATCH("P",Statut_biogéographique!A:A,2,1),"P")</f>
        <v>P</v>
      </c>
      <c r="AP18458" s="4" t="s">
        <v>376</v>
      </c>
      <c r="AR18458" s="4" t="s">
        <v>377</v>
      </c>
    </row>
    <row r="18459" spans="1:44" ht="45">
      <c r="A18459" s="4" t="s">
        <v>10753</v>
      </c>
      <c r="B18459" s="4">
        <v>837913</v>
      </c>
      <c r="D18459" s="5" t="s">
        <v>22590</v>
      </c>
      <c r="E18459" s="6" t="str">
        <f>HYPERLINK("https://inpn.mnhn.fr/espece/cd_nom/837913","Pseudochorthippus montanus (Charpentier, 1825)")</f>
        <v>Pseudochorthippus montanus (Charpentier, 1825)</v>
      </c>
      <c r="F18459" s="5" t="s">
        <v>22591</v>
      </c>
      <c r="P18459" s="7" t="str">
        <f>HYPERLINK("#Liste_rouge!A"&amp;_xlfn.XMATCH("LC",Liste_rouge!A:A,2,1),"LC")</f>
        <v>LC</v>
      </c>
      <c r="V18459" s="7" t="str">
        <f>HYPERLINK("#Liste_rouge!A"&amp;_xlfn.XMATCH("NT",Liste_rouge!A:A,2,1),"NT")</f>
        <v>NT</v>
      </c>
      <c r="W18459" s="4" t="str">
        <f>HYPERLINK("#Critères_liste_rouge!A$1","pr.A3c")</f>
        <v>pr.A3c</v>
      </c>
      <c r="X18459" s="5" t="s">
        <v>12755</v>
      </c>
      <c r="Y18459" s="5" t="s">
        <v>12756</v>
      </c>
      <c r="AE18459" s="4" t="str">
        <f>HYPERLINK("#SCAP!A"&amp;_xlfn.XMATCH("A",SCAP!A:A,2,1),"A")</f>
        <v>A</v>
      </c>
      <c r="AH18459" s="4" t="str">
        <f>HYPERLINK("#Statut_biogéographique!A"&amp;_xlfn.XMATCH("P",Statut_biogéographique!A:A,2,1),"P")</f>
        <v>P</v>
      </c>
      <c r="AM18459" s="4" t="s">
        <v>375</v>
      </c>
      <c r="AN18459" s="4" t="s">
        <v>375</v>
      </c>
      <c r="AO18459" s="4" t="s">
        <v>375</v>
      </c>
      <c r="AP18459" s="4" t="s">
        <v>376</v>
      </c>
      <c r="AR18459" s="4" t="s">
        <v>377</v>
      </c>
    </row>
    <row r="18460" spans="1:44">
      <c r="A18460" s="4" t="s">
        <v>10753</v>
      </c>
      <c r="B18460" s="4">
        <v>8381</v>
      </c>
      <c r="D18460" s="5" t="s">
        <v>22592</v>
      </c>
      <c r="E18460" s="6" t="str">
        <f>HYPERLINK("https://inpn.mnhn.fr/espece/cd_nom/8381","Carabus convexus Fabricius, 1775")</f>
        <v>Carabus convexus Fabricius, 1775</v>
      </c>
      <c r="F18460" s="5" t="s">
        <v>22593</v>
      </c>
      <c r="AH18460" s="4" t="str">
        <f>HYPERLINK("#Statut_biogéographique!A"&amp;_xlfn.XMATCH("P",Statut_biogéographique!A:A,2,1),"P")</f>
        <v>P</v>
      </c>
      <c r="AP18460" s="4" t="s">
        <v>376</v>
      </c>
      <c r="AR18460" s="4" t="s">
        <v>377</v>
      </c>
    </row>
    <row r="18461" spans="1:44">
      <c r="A18461" s="4" t="s">
        <v>10753</v>
      </c>
      <c r="B18461" s="4">
        <v>8386</v>
      </c>
      <c r="D18461" s="5">
        <v>8386</v>
      </c>
      <c r="E18461" s="6" t="str">
        <f>HYPERLINK("https://inpn.mnhn.fr/espece/cd_nom/8386","Carabus granulatus Linnaeus, 1758")</f>
        <v>Carabus granulatus Linnaeus, 1758</v>
      </c>
      <c r="F18461" s="5" t="s">
        <v>22594</v>
      </c>
      <c r="AH18461" s="4" t="str">
        <f>HYPERLINK("#Statut_biogéographique!A"&amp;_xlfn.XMATCH("P",Statut_biogéographique!A:A,2,1),"P")</f>
        <v>P</v>
      </c>
      <c r="AP18461" s="4" t="s">
        <v>376</v>
      </c>
      <c r="AR18461" s="4" t="s">
        <v>377</v>
      </c>
    </row>
    <row r="18462" spans="1:44">
      <c r="A18462" s="4" t="s">
        <v>10753</v>
      </c>
      <c r="B18462" s="4">
        <v>838618</v>
      </c>
      <c r="D18462" s="5" t="s">
        <v>22595</v>
      </c>
      <c r="E18462" s="6" t="str">
        <f>HYPERLINK("https://inpn.mnhn.fr/espece/cd_nom/838618","Fomoria septembrella (Stainton, 1849)")</f>
        <v>Fomoria septembrella (Stainton, 1849)</v>
      </c>
      <c r="AH18462" s="4" t="str">
        <f>HYPERLINK("#Statut_biogéographique!A"&amp;_xlfn.XMATCH("P",Statut_biogéographique!A:A,2,1),"P")</f>
        <v>P</v>
      </c>
      <c r="AP18462" s="4" t="s">
        <v>376</v>
      </c>
      <c r="AR18462" s="4" t="s">
        <v>377</v>
      </c>
    </row>
    <row r="18463" spans="1:44">
      <c r="A18463" s="4" t="s">
        <v>10753</v>
      </c>
      <c r="B18463" s="4">
        <v>839091</v>
      </c>
      <c r="D18463" s="5" t="s">
        <v>22596</v>
      </c>
      <c r="E18463" s="6" t="str">
        <f>HYPERLINK("https://inpn.mnhn.fr/espece/cd_nom/839091","Seladonia subaurata (Rossi, 1792)")</f>
        <v>Seladonia subaurata (Rossi, 1792)</v>
      </c>
      <c r="P18463" s="7" t="str">
        <f>HYPERLINK("#Liste_rouge!A"&amp;_xlfn.XMATCH("LC",Liste_rouge!A:A,2,1),"LC")</f>
        <v>LC</v>
      </c>
      <c r="AH18463" s="4" t="str">
        <f>HYPERLINK("#Statut_biogéographique!A"&amp;_xlfn.XMATCH("P",Statut_biogéographique!A:A,2,1),"P")</f>
        <v>P</v>
      </c>
      <c r="AP18463" s="4" t="s">
        <v>376</v>
      </c>
      <c r="AR18463" s="4" t="s">
        <v>377</v>
      </c>
    </row>
    <row r="18464" spans="1:44" ht="45">
      <c r="A18464" s="4" t="s">
        <v>10753</v>
      </c>
      <c r="B18464" s="4">
        <v>8395</v>
      </c>
      <c r="D18464" s="5" t="s">
        <v>22597</v>
      </c>
      <c r="E18464" s="6" t="str">
        <f>HYPERLINK("https://inpn.mnhn.fr/espece/cd_nom/8395","Carabus intricatus Linnaeus, 1761")</f>
        <v>Carabus intricatus Linnaeus, 1761</v>
      </c>
      <c r="F18464" s="5" t="s">
        <v>22598</v>
      </c>
      <c r="AH18464" s="4" t="str">
        <f>HYPERLINK("#Statut_biogéographique!A"&amp;_xlfn.XMATCH("P",Statut_biogéographique!A:A,2,1),"P")</f>
        <v>P</v>
      </c>
      <c r="AP18464" s="4" t="s">
        <v>376</v>
      </c>
      <c r="AR18464" s="4" t="s">
        <v>377</v>
      </c>
    </row>
    <row r="18465" spans="1:44">
      <c r="A18465" s="4" t="s">
        <v>10753</v>
      </c>
      <c r="B18465" s="4">
        <v>839648</v>
      </c>
      <c r="D18465" s="5" t="s">
        <v>22599</v>
      </c>
      <c r="E18465" s="6" t="str">
        <f>HYPERLINK("https://inpn.mnhn.fr/espece/cd_nom/839648","Scythris subcinctella (Bruand, 1851)")</f>
        <v>Scythris subcinctella (Bruand, 1851)</v>
      </c>
      <c r="AH18465" s="4" t="str">
        <f>HYPERLINK("#Statut_biogéographique!A"&amp;_xlfn.XMATCH("P",Statut_biogéographique!A:A,2,1),"P")</f>
        <v>P</v>
      </c>
      <c r="AP18465" s="4" t="s">
        <v>376</v>
      </c>
      <c r="AR18465" s="4" t="s">
        <v>377</v>
      </c>
    </row>
    <row r="18466" spans="1:44">
      <c r="A18466" s="4" t="s">
        <v>10753</v>
      </c>
      <c r="B18466" s="4">
        <v>8402</v>
      </c>
      <c r="D18466" s="5" t="s">
        <v>22600</v>
      </c>
      <c r="E18466" s="6" t="str">
        <f>HYPERLINK("https://inpn.mnhn.fr/espece/cd_nom/8402","Carabus monilis Fabricius, 1792")</f>
        <v>Carabus monilis Fabricius, 1792</v>
      </c>
      <c r="F18466" s="5" t="s">
        <v>22601</v>
      </c>
      <c r="AH18466" s="4" t="str">
        <f>HYPERLINK("#Statut_biogéographique!A"&amp;_xlfn.XMATCH("P",Statut_biogéographique!A:A,2,1),"P")</f>
        <v>P</v>
      </c>
      <c r="AP18466" s="4" t="s">
        <v>376</v>
      </c>
      <c r="AR18466" s="4" t="s">
        <v>377</v>
      </c>
    </row>
    <row r="18467" spans="1:44">
      <c r="A18467" s="4" t="s">
        <v>10753</v>
      </c>
      <c r="B18467" s="4">
        <v>840938</v>
      </c>
      <c r="D18467" s="5" t="s">
        <v>22602</v>
      </c>
      <c r="E18467" s="6" t="str">
        <f>HYPERLINK("https://inpn.mnhn.fr/espece/cd_nom/840938","Arctia aulica (Linnaeus, 1758)")</f>
        <v>Arctia aulica (Linnaeus, 1758)</v>
      </c>
      <c r="F18467" s="5" t="s">
        <v>22603</v>
      </c>
      <c r="AH18467" s="4" t="str">
        <f>HYPERLINK("#Statut_biogéographique!A"&amp;_xlfn.XMATCH("D",Statut_biogéographique!A:A,2,1),"D")</f>
        <v>D</v>
      </c>
      <c r="AP18467" s="4" t="s">
        <v>376</v>
      </c>
      <c r="AR18467" s="4" t="s">
        <v>377</v>
      </c>
    </row>
    <row r="18468" spans="1:44">
      <c r="A18468" s="4" t="s">
        <v>10753</v>
      </c>
      <c r="B18468" s="4">
        <v>840947</v>
      </c>
      <c r="D18468" s="5" t="s">
        <v>22604</v>
      </c>
      <c r="E18468" s="6" t="str">
        <f>HYPERLINK("https://inpn.mnhn.fr/espece/cd_nom/840947","Arctia plantaginis (Linnaeus, 1758)")</f>
        <v>Arctia plantaginis (Linnaeus, 1758)</v>
      </c>
      <c r="F18468" s="5" t="s">
        <v>22605</v>
      </c>
      <c r="AH18468" s="4" t="str">
        <f>HYPERLINK("#Statut_biogéographique!A"&amp;_xlfn.XMATCH("P",Statut_biogéographique!A:A,2,1),"P")</f>
        <v>P</v>
      </c>
      <c r="AP18468" s="4" t="s">
        <v>376</v>
      </c>
      <c r="AR18468" s="4" t="s">
        <v>377</v>
      </c>
    </row>
    <row r="18469" spans="1:44">
      <c r="A18469" s="4" t="s">
        <v>10753</v>
      </c>
      <c r="B18469" s="4">
        <v>840949</v>
      </c>
      <c r="D18469" s="5" t="s">
        <v>22606</v>
      </c>
      <c r="E18469" s="6" t="str">
        <f>HYPERLINK("https://inpn.mnhn.fr/espece/cd_nom/840949","Arctia matronula (Linnaeus, 1758)")</f>
        <v>Arctia matronula (Linnaeus, 1758)</v>
      </c>
      <c r="F18469" s="5" t="s">
        <v>22607</v>
      </c>
      <c r="L18469" s="4" t="str">
        <f>HYPERLINK("#Réglementation!A"&amp;_xlfn.XMATCH("NI3",Réglementation!A:A,2,1),"NI3")</f>
        <v>NI3</v>
      </c>
      <c r="AC18469" s="4" t="s">
        <v>11319</v>
      </c>
      <c r="AH18469" s="4" t="str">
        <f>HYPERLINK("#Statut_biogéographique!A"&amp;_xlfn.XMATCH("P",Statut_biogéographique!A:A,2,1),"P")</f>
        <v>P</v>
      </c>
      <c r="AP18469" s="4" t="s">
        <v>376</v>
      </c>
      <c r="AR18469" s="4" t="s">
        <v>377</v>
      </c>
    </row>
    <row r="18470" spans="1:44">
      <c r="A18470" s="4" t="s">
        <v>10753</v>
      </c>
      <c r="B18470" s="4">
        <v>8410</v>
      </c>
      <c r="D18470" s="5" t="s">
        <v>22608</v>
      </c>
      <c r="E18470" s="6" t="str">
        <f>HYPERLINK("https://inpn.mnhn.fr/espece/cd_nom/8410","Carabus nemoralis O.F. Müller, 1764")</f>
        <v>Carabus nemoralis O.F. Müller, 1764</v>
      </c>
      <c r="F18470" s="5" t="s">
        <v>22609</v>
      </c>
      <c r="AH18470" s="4" t="str">
        <f>HYPERLINK("#Statut_biogéographique!A"&amp;_xlfn.XMATCH("P",Statut_biogéographique!A:A,2,1),"P")</f>
        <v>P</v>
      </c>
      <c r="AP18470" s="4" t="s">
        <v>376</v>
      </c>
      <c r="AR18470" s="4" t="s">
        <v>377</v>
      </c>
    </row>
    <row r="18471" spans="1:44">
      <c r="A18471" s="4" t="s">
        <v>10753</v>
      </c>
      <c r="B18471" s="4">
        <v>8428</v>
      </c>
      <c r="D18471" s="5" t="s">
        <v>22610</v>
      </c>
      <c r="E18471" s="6" t="str">
        <f>HYPERLINK("https://inpn.mnhn.fr/espece/cd_nom/8428","Carabus problematicus Herbst, 1786")</f>
        <v>Carabus problematicus Herbst, 1786</v>
      </c>
      <c r="F18471" s="5" t="s">
        <v>22611</v>
      </c>
      <c r="AH18471" s="4" t="str">
        <f>HYPERLINK("#Statut_biogéographique!A"&amp;_xlfn.XMATCH("P",Statut_biogéographique!A:A,2,1),"P")</f>
        <v>P</v>
      </c>
      <c r="AP18471" s="4" t="s">
        <v>376</v>
      </c>
      <c r="AR18471" s="4" t="s">
        <v>377</v>
      </c>
    </row>
    <row r="18472" spans="1:44">
      <c r="A18472" s="4" t="s">
        <v>10753</v>
      </c>
      <c r="B18472" s="4">
        <v>8439</v>
      </c>
      <c r="D18472" s="5">
        <v>8439</v>
      </c>
      <c r="E18472" s="6" t="str">
        <f>HYPERLINK("https://inpn.mnhn.fr/espece/cd_nom/8439","Carabus violaceus Linnaeus, 1758")</f>
        <v>Carabus violaceus Linnaeus, 1758</v>
      </c>
      <c r="F18472" s="5" t="s">
        <v>22612</v>
      </c>
      <c r="AH18472" s="4" t="str">
        <f>HYPERLINK("#Statut_biogéographique!A"&amp;_xlfn.XMATCH("P",Statut_biogéographique!A:A,2,1),"P")</f>
        <v>P</v>
      </c>
      <c r="AP18472" s="4" t="s">
        <v>376</v>
      </c>
      <c r="AR18472" s="4" t="s">
        <v>377</v>
      </c>
    </row>
    <row r="18473" spans="1:44" ht="30">
      <c r="A18473" s="4" t="s">
        <v>10753</v>
      </c>
      <c r="B18473" s="4">
        <v>843956</v>
      </c>
      <c r="D18473" s="5" t="s">
        <v>22613</v>
      </c>
      <c r="E18473" s="6" t="str">
        <f>HYPERLINK("https://inpn.mnhn.fr/espece/cd_nom/843956","Promalactis procerella (Denis &amp; Schiffermüller, 1775)")</f>
        <v>Promalactis procerella (Denis &amp; Schiffermüller, 1775)</v>
      </c>
      <c r="AH18473" s="4" t="str">
        <f>HYPERLINK("#Statut_biogéographique!A"&amp;_xlfn.XMATCH("P",Statut_biogéographique!A:A,2,1),"P")</f>
        <v>P</v>
      </c>
      <c r="AP18473" s="4" t="s">
        <v>376</v>
      </c>
      <c r="AR18473" s="4" t="s">
        <v>377</v>
      </c>
    </row>
    <row r="18474" spans="1:44" ht="60">
      <c r="A18474" s="4" t="s">
        <v>10753</v>
      </c>
      <c r="B18474" s="4">
        <v>8441</v>
      </c>
      <c r="D18474" s="5" t="s">
        <v>22614</v>
      </c>
      <c r="E18474" s="6" t="str">
        <f>HYPERLINK("https://inpn.mnhn.fr/espece/cd_nom/8441","Carabus violaceus purpurascens Fabricius, 1787")</f>
        <v>Carabus violaceus purpurascens Fabricius, 1787</v>
      </c>
      <c r="F18474" s="5" t="s">
        <v>22615</v>
      </c>
      <c r="AH18474" s="4" t="str">
        <f>HYPERLINK("#Statut_biogéographique!A"&amp;_xlfn.XMATCH("P",Statut_biogéographique!A:A,2,1),"P")</f>
        <v>P</v>
      </c>
      <c r="AP18474" s="4" t="s">
        <v>376</v>
      </c>
      <c r="AR18474" s="4" t="s">
        <v>377</v>
      </c>
    </row>
    <row r="18475" spans="1:44">
      <c r="A18475" s="4" t="s">
        <v>10753</v>
      </c>
      <c r="B18475" s="4">
        <v>8447</v>
      </c>
      <c r="D18475" s="5" t="s">
        <v>22616</v>
      </c>
      <c r="E18475" s="6" t="str">
        <f>HYPERLINK("https://inpn.mnhn.fr/espece/cd_nom/8447","Carabus coriaceus Linnaeus, 1758")</f>
        <v>Carabus coriaceus Linnaeus, 1758</v>
      </c>
      <c r="F18475" s="5" t="s">
        <v>22617</v>
      </c>
      <c r="AH18475" s="4" t="str">
        <f>HYPERLINK("#Statut_biogéographique!A"&amp;_xlfn.XMATCH("P",Statut_biogéographique!A:A,2,1),"P")</f>
        <v>P</v>
      </c>
      <c r="AP18475" s="4" t="s">
        <v>376</v>
      </c>
      <c r="AR18475" s="4" t="s">
        <v>377</v>
      </c>
    </row>
    <row r="18476" spans="1:44">
      <c r="A18476" s="4" t="s">
        <v>10753</v>
      </c>
      <c r="B18476" s="4">
        <v>845156</v>
      </c>
      <c r="D18476" s="5" t="s">
        <v>22618</v>
      </c>
      <c r="E18476" s="6" t="str">
        <f>HYPERLINK("https://inpn.mnhn.fr/espece/cd_nom/845156","Philhygra elongatula (Gravenhorst, 1802)")</f>
        <v>Philhygra elongatula (Gravenhorst, 1802)</v>
      </c>
      <c r="AH18476" s="4" t="str">
        <f>HYPERLINK("#Statut_biogéographique!A"&amp;_xlfn.XMATCH("P",Statut_biogéographique!A:A,2,1),"P")</f>
        <v>P</v>
      </c>
      <c r="AP18476" s="4" t="s">
        <v>376</v>
      </c>
      <c r="AR18476" s="4" t="s">
        <v>377</v>
      </c>
    </row>
    <row r="18477" spans="1:44">
      <c r="A18477" s="4" t="s">
        <v>10753</v>
      </c>
      <c r="B18477" s="4">
        <v>845425</v>
      </c>
      <c r="D18477" s="5">
        <v>845425</v>
      </c>
      <c r="E18477" s="6" t="str">
        <f>HYPERLINK("https://inpn.mnhn.fr/espece/cd_nom/845425","Nysson distinguendus Chevrier, 1867")</f>
        <v>Nysson distinguendus Chevrier, 1867</v>
      </c>
      <c r="AH18477" s="4" t="str">
        <f>HYPERLINK("#Statut_biogéographique!A"&amp;_xlfn.XMATCH("P",Statut_biogéographique!A:A,2,1),"P")</f>
        <v>P</v>
      </c>
      <c r="AP18477" s="4" t="s">
        <v>376</v>
      </c>
      <c r="AR18477" s="4" t="s">
        <v>377</v>
      </c>
    </row>
    <row r="18478" spans="1:44">
      <c r="A18478" s="4" t="s">
        <v>10753</v>
      </c>
      <c r="B18478" s="4">
        <v>8459</v>
      </c>
      <c r="D18478" s="5">
        <v>8459</v>
      </c>
      <c r="E18478" s="6" t="str">
        <f>HYPERLINK("https://inpn.mnhn.fr/espece/cd_nom/8459","Carabus splendens Olivier, 1790")</f>
        <v>Carabus splendens Olivier, 1790</v>
      </c>
      <c r="F18478" s="5" t="s">
        <v>22619</v>
      </c>
      <c r="AH18478" s="4" t="str">
        <f>HYPERLINK("#Statut_biogéographique!A"&amp;_xlfn.XMATCH("P",Statut_biogéographique!A:A,2,1),"P")</f>
        <v>P</v>
      </c>
      <c r="AP18478" s="4" t="s">
        <v>376</v>
      </c>
      <c r="AR18478" s="4" t="s">
        <v>377</v>
      </c>
    </row>
    <row r="18479" spans="1:44" ht="30">
      <c r="A18479" s="4" t="s">
        <v>10753</v>
      </c>
      <c r="B18479" s="4">
        <v>847283</v>
      </c>
      <c r="D18479" s="5" t="s">
        <v>22620</v>
      </c>
      <c r="E18479" s="6" t="str">
        <f>HYPERLINK("https://inpn.mnhn.fr/espece/cd_nom/847283","Hessemilimax kotulae (Westerlund, 1883)")</f>
        <v>Hessemilimax kotulae (Westerlund, 1883)</v>
      </c>
      <c r="F18479" s="5" t="s">
        <v>22621</v>
      </c>
      <c r="O18479" s="7" t="str">
        <f>HYPERLINK("#Liste_rouge!A"&amp;_xlfn.XMATCH("LC",Liste_rouge!A:A,2,1),"LC")</f>
        <v>LC</v>
      </c>
      <c r="P18479" s="7" t="str">
        <f>HYPERLINK("#Liste_rouge!A"&amp;_xlfn.XMATCH("LC",Liste_rouge!A:A,2,1),"LC")</f>
        <v>LC</v>
      </c>
      <c r="Q18479" s="7" t="str">
        <f>HYPERLINK("#Liste_rouge!A"&amp;_xlfn.XMATCH("NT",Liste_rouge!A:A,2,1),"NT")</f>
        <v>NT</v>
      </c>
      <c r="AH18479" s="4" t="str">
        <f>HYPERLINK("#Statut_biogéographique!A"&amp;_xlfn.XMATCH("P",Statut_biogéographique!A:A,2,1),"P")</f>
        <v>P</v>
      </c>
      <c r="AM18479" s="4" t="s">
        <v>375</v>
      </c>
      <c r="AN18479" s="4" t="s">
        <v>375</v>
      </c>
      <c r="AO18479" s="4" t="s">
        <v>375</v>
      </c>
      <c r="AP18479" s="4" t="s">
        <v>376</v>
      </c>
      <c r="AR18479" s="4" t="s">
        <v>377</v>
      </c>
    </row>
    <row r="18480" spans="1:44" ht="30">
      <c r="A18480" s="4" t="s">
        <v>10753</v>
      </c>
      <c r="B18480" s="4">
        <v>847309</v>
      </c>
      <c r="D18480" s="5" t="s">
        <v>22622</v>
      </c>
      <c r="E18480" s="6" t="str">
        <f>HYPERLINK("https://inpn.mnhn.fr/espece/cd_nom/847309","Ferrissia californica (Rowell, 1863)")</f>
        <v>Ferrissia californica (Rowell, 1863)</v>
      </c>
      <c r="F18480" s="5" t="s">
        <v>22623</v>
      </c>
      <c r="O18480" s="7" t="str">
        <f>HYPERLINK("#Liste_rouge!A"&amp;_xlfn.XMATCH("LC",Liste_rouge!A:A,2,1),"LC")</f>
        <v>LC</v>
      </c>
      <c r="Q18480" s="7" t="str">
        <f>HYPERLINK("#Liste_rouge!A"&amp;_xlfn.XMATCH("NA",Liste_rouge!A:A,2,1),"NA")</f>
        <v>NA</v>
      </c>
      <c r="AH18480" s="4" t="str">
        <f>HYPERLINK("#Statut_biogéographique!A"&amp;_xlfn.XMATCH("I",Statut_biogéographique!A:A,2,1),"I")</f>
        <v>I</v>
      </c>
      <c r="AM18480" s="4" t="s">
        <v>375</v>
      </c>
      <c r="AN18480" s="4" t="s">
        <v>375</v>
      </c>
      <c r="AO18480" s="4" t="s">
        <v>375</v>
      </c>
      <c r="AP18480" s="4" t="s">
        <v>376</v>
      </c>
      <c r="AR18480" s="4" t="s">
        <v>377</v>
      </c>
    </row>
    <row r="18481" spans="1:44">
      <c r="A18481" s="4" t="s">
        <v>10753</v>
      </c>
      <c r="B18481" s="4">
        <v>847553</v>
      </c>
      <c r="D18481" s="5" t="s">
        <v>22624</v>
      </c>
      <c r="E18481" s="6" t="str">
        <f>HYPERLINK("https://inpn.mnhn.fr/espece/cd_nom/847553","Melanostoma mellarium (Meigen, 1822)")</f>
        <v>Melanostoma mellarium (Meigen, 1822)</v>
      </c>
      <c r="O18481" s="7" t="str">
        <f>HYPERLINK("#Liste_rouge!A"&amp;_xlfn.XMATCH("LC",Liste_rouge!A:A,2,1),"LC")</f>
        <v>LC</v>
      </c>
      <c r="P18481" s="7" t="str">
        <f>HYPERLINK("#Liste_rouge!A"&amp;_xlfn.XMATCH("LC",Liste_rouge!A:A,2,1),"LC")</f>
        <v>LC</v>
      </c>
      <c r="AH18481" s="4" t="str">
        <f>HYPERLINK("#Statut_biogéographique!A"&amp;_xlfn.XMATCH("P",Statut_biogéographique!A:A,2,1),"P")</f>
        <v>P</v>
      </c>
      <c r="AP18481" s="4" t="s">
        <v>376</v>
      </c>
      <c r="AR18481" s="4" t="s">
        <v>377</v>
      </c>
    </row>
    <row r="18482" spans="1:44" ht="30">
      <c r="A18482" s="4" t="s">
        <v>10753</v>
      </c>
      <c r="B18482" s="4">
        <v>848230</v>
      </c>
      <c r="D18482" s="5" t="s">
        <v>22625</v>
      </c>
      <c r="E18482" s="6" t="str">
        <f>HYPERLINK("https://inpn.mnhn.fr/espece/cd_nom/848230","Azana flavohalterata Strobl in Czeny &amp; Strobl, 1909")</f>
        <v>Azana flavohalterata Strobl in Czeny &amp; Strobl, 1909</v>
      </c>
      <c r="AH18482" s="4" t="str">
        <f>HYPERLINK("#Statut_biogéographique!A"&amp;_xlfn.XMATCH("P",Statut_biogéographique!A:A,2,1),"P")</f>
        <v>P</v>
      </c>
      <c r="AP18482" s="4" t="s">
        <v>376</v>
      </c>
      <c r="AR18482" s="4" t="s">
        <v>377</v>
      </c>
    </row>
    <row r="18483" spans="1:44" ht="30">
      <c r="A18483" s="4" t="s">
        <v>10753</v>
      </c>
      <c r="B18483" s="4">
        <v>848356</v>
      </c>
      <c r="D18483" s="5" t="s">
        <v>22626</v>
      </c>
      <c r="E18483" s="6" t="str">
        <f>HYPERLINK("https://inpn.mnhn.fr/espece/cd_nom/848356","Eusphecia melanocephala (Dalman, 1816)")</f>
        <v>Eusphecia melanocephala (Dalman, 1816)</v>
      </c>
      <c r="F18483" s="5" t="s">
        <v>22627</v>
      </c>
      <c r="AH18483" s="4" t="str">
        <f>HYPERLINK("#Statut_biogéographique!A"&amp;_xlfn.XMATCH("P",Statut_biogéographique!A:A,2,1),"P")</f>
        <v>P</v>
      </c>
      <c r="AP18483" s="4" t="s">
        <v>376</v>
      </c>
      <c r="AR18483" s="4" t="s">
        <v>377</v>
      </c>
    </row>
    <row r="18484" spans="1:44">
      <c r="A18484" s="4" t="s">
        <v>10753</v>
      </c>
      <c r="B18484" s="4">
        <v>848677</v>
      </c>
      <c r="D18484" s="5">
        <v>848677</v>
      </c>
      <c r="E18484" s="6" t="str">
        <f>HYPERLINK("https://inpn.mnhn.fr/espece/cd_nom/848677","Cecidophyes nudus Nalepa, 1891")</f>
        <v>Cecidophyes nudus Nalepa, 1891</v>
      </c>
      <c r="AH18484" s="4" t="str">
        <f>HYPERLINK("#Statut_biogéographique!A"&amp;_xlfn.XMATCH("P",Statut_biogéographique!A:A,2,1),"P")</f>
        <v>P</v>
      </c>
      <c r="AP18484" s="4" t="s">
        <v>376</v>
      </c>
      <c r="AR18484" s="4" t="s">
        <v>377</v>
      </c>
    </row>
    <row r="18485" spans="1:44">
      <c r="A18485" s="4" t="s">
        <v>10753</v>
      </c>
      <c r="B18485" s="4">
        <v>848742</v>
      </c>
      <c r="D18485" s="5" t="s">
        <v>22628</v>
      </c>
      <c r="E18485" s="6" t="str">
        <f>HYPERLINK("https://inpn.mnhn.fr/espece/cd_nom/848742","Dasineura excavans (Kieffer, 1909)")</f>
        <v>Dasineura excavans (Kieffer, 1909)</v>
      </c>
      <c r="AH18485" s="4" t="str">
        <f>HYPERLINK("#Statut_biogéographique!A"&amp;_xlfn.XMATCH("P",Statut_biogéographique!A:A,2,1),"P")</f>
        <v>P</v>
      </c>
      <c r="AP18485" s="4" t="s">
        <v>376</v>
      </c>
      <c r="AR18485" s="4" t="s">
        <v>377</v>
      </c>
    </row>
    <row r="18486" spans="1:44" ht="30">
      <c r="A18486" s="4" t="s">
        <v>10753</v>
      </c>
      <c r="B18486" s="4">
        <v>849501</v>
      </c>
      <c r="D18486" s="5">
        <v>849501</v>
      </c>
      <c r="E18486" s="6" t="str">
        <f>HYPERLINK("https://inpn.mnhn.fr/espece/cd_nom/849501","Anarsia innoxiella Gregerson &amp; Karsholt, 2017")</f>
        <v>Anarsia innoxiella Gregerson &amp; Karsholt, 2017</v>
      </c>
      <c r="AH18486" s="4" t="str">
        <f>HYPERLINK("#Statut_biogéographique!A"&amp;_xlfn.XMATCH("P",Statut_biogéographique!A:A,2,1),"P")</f>
        <v>P</v>
      </c>
      <c r="AP18486" s="4" t="s">
        <v>376</v>
      </c>
      <c r="AR18486" s="4" t="s">
        <v>377</v>
      </c>
    </row>
    <row r="18487" spans="1:44">
      <c r="A18487" s="4" t="s">
        <v>10753</v>
      </c>
      <c r="B18487" s="4">
        <v>8496</v>
      </c>
      <c r="D18487" s="5" t="s">
        <v>22629</v>
      </c>
      <c r="E18487" s="6" t="str">
        <f>HYPERLINK("https://inpn.mnhn.fr/espece/cd_nom/8496","Leistus ferrugineus (Linnaeus, 1758)")</f>
        <v>Leistus ferrugineus (Linnaeus, 1758)</v>
      </c>
      <c r="AH18487" s="4" t="str">
        <f>HYPERLINK("#Statut_biogéographique!A"&amp;_xlfn.XMATCH("P",Statut_biogéographique!A:A,2,1),"P")</f>
        <v>P</v>
      </c>
      <c r="AP18487" s="4" t="s">
        <v>376</v>
      </c>
      <c r="AR18487" s="4" t="s">
        <v>377</v>
      </c>
    </row>
    <row r="18488" spans="1:44">
      <c r="A18488" s="4" t="s">
        <v>10753</v>
      </c>
      <c r="B18488" s="4">
        <v>8497</v>
      </c>
      <c r="D18488" s="5">
        <v>8497</v>
      </c>
      <c r="E18488" s="6" t="str">
        <f>HYPERLINK("https://inpn.mnhn.fr/espece/cd_nom/8497","Leistus fulvibarbis Dejean, 1826")</f>
        <v>Leistus fulvibarbis Dejean, 1826</v>
      </c>
      <c r="AH18488" s="4" t="str">
        <f>HYPERLINK("#Statut_biogéographique!A"&amp;_xlfn.XMATCH("P",Statut_biogéographique!A:A,2,1),"P")</f>
        <v>P</v>
      </c>
      <c r="AP18488" s="4" t="s">
        <v>376</v>
      </c>
      <c r="AR18488" s="4" t="s">
        <v>377</v>
      </c>
    </row>
    <row r="18489" spans="1:44">
      <c r="A18489" s="4" t="s">
        <v>10753</v>
      </c>
      <c r="B18489" s="4">
        <v>850</v>
      </c>
      <c r="D18489" s="5" t="s">
        <v>22630</v>
      </c>
      <c r="E18489" s="6" t="str">
        <f>HYPERLINK("https://inpn.mnhn.fr/espece/cd_nom/850","Larinioides patagiatus (Clerck, 1758)")</f>
        <v>Larinioides patagiatus (Clerck, 1758)</v>
      </c>
      <c r="Q18489" s="7" t="str">
        <f>HYPERLINK("#Liste_rouge!A"&amp;_xlfn.XMATCH("LC",Liste_rouge!A:A,2,1),"LC")</f>
        <v>LC</v>
      </c>
      <c r="AH18489" s="4" t="str">
        <f>HYPERLINK("#Statut_biogéographique!A"&amp;_xlfn.XMATCH("P",Statut_biogéographique!A:A,2,1),"P")</f>
        <v>P</v>
      </c>
      <c r="AP18489" s="4" t="s">
        <v>376</v>
      </c>
      <c r="AR18489" s="4" t="s">
        <v>377</v>
      </c>
    </row>
    <row r="18490" spans="1:44">
      <c r="A18490" s="4" t="s">
        <v>10753</v>
      </c>
      <c r="B18490" s="4">
        <v>8500</v>
      </c>
      <c r="D18490" s="5">
        <v>8500</v>
      </c>
      <c r="E18490" s="6" t="str">
        <f>HYPERLINK("https://inpn.mnhn.fr/espece/cd_nom/8500","Leistus piceus Frölich, 1799")</f>
        <v>Leistus piceus Frölich, 1799</v>
      </c>
      <c r="AH18490" s="4" t="str">
        <f>HYPERLINK("#Statut_biogéographique!A"&amp;_xlfn.XMATCH("P",Statut_biogéographique!A:A,2,1),"P")</f>
        <v>P</v>
      </c>
      <c r="AP18490" s="4" t="s">
        <v>376</v>
      </c>
      <c r="AR18490" s="4" t="s">
        <v>377</v>
      </c>
    </row>
    <row r="18491" spans="1:44">
      <c r="A18491" s="4" t="s">
        <v>10753</v>
      </c>
      <c r="B18491" s="4">
        <v>850155</v>
      </c>
      <c r="D18491" s="5" t="s">
        <v>22631</v>
      </c>
      <c r="E18491" s="6" t="str">
        <f>HYPERLINK("https://inpn.mnhn.fr/espece/cd_nom/850155","Seladonia confusa (Smith, 1853)")</f>
        <v>Seladonia confusa (Smith, 1853)</v>
      </c>
      <c r="P18491" s="7" t="str">
        <f>HYPERLINK("#Liste_rouge!A"&amp;_xlfn.XMATCH("LC",Liste_rouge!A:A,2,1),"LC")</f>
        <v>LC</v>
      </c>
      <c r="AH18491" s="4" t="str">
        <f>HYPERLINK("#Statut_biogéographique!A"&amp;_xlfn.XMATCH("P",Statut_biogéographique!A:A,2,1),"P")</f>
        <v>P</v>
      </c>
      <c r="AP18491" s="4" t="s">
        <v>376</v>
      </c>
      <c r="AR18491" s="4" t="s">
        <v>377</v>
      </c>
    </row>
    <row r="18492" spans="1:44">
      <c r="A18492" s="4" t="s">
        <v>10753</v>
      </c>
      <c r="B18492" s="4">
        <v>850163</v>
      </c>
      <c r="D18492" s="5" t="s">
        <v>22632</v>
      </c>
      <c r="E18492" s="6" t="str">
        <f>HYPERLINK("https://inpn.mnhn.fr/espece/cd_nom/850163","Seladonia smaragdula (Vachal, 1895)")</f>
        <v>Seladonia smaragdula (Vachal, 1895)</v>
      </c>
      <c r="P18492" s="7" t="str">
        <f>HYPERLINK("#Liste_rouge!A"&amp;_xlfn.XMATCH("LC",Liste_rouge!A:A,2,1),"LC")</f>
        <v>LC</v>
      </c>
      <c r="AH18492" s="4" t="str">
        <f>HYPERLINK("#Statut_biogéographique!A"&amp;_xlfn.XMATCH("P",Statut_biogéographique!A:A,2,1),"P")</f>
        <v>P</v>
      </c>
      <c r="AP18492" s="4" t="s">
        <v>376</v>
      </c>
      <c r="AR18492" s="4" t="s">
        <v>377</v>
      </c>
    </row>
    <row r="18493" spans="1:44">
      <c r="A18493" s="4" t="s">
        <v>10753</v>
      </c>
      <c r="B18493" s="4">
        <v>850177</v>
      </c>
      <c r="D18493" s="5" t="s">
        <v>22633</v>
      </c>
      <c r="E18493" s="6" t="str">
        <f>HYPERLINK("https://inpn.mnhn.fr/espece/cd_nom/850177","Seladonia tumulorum (Linnaeus, 1758)")</f>
        <v>Seladonia tumulorum (Linnaeus, 1758)</v>
      </c>
      <c r="P18493" s="7" t="str">
        <f>HYPERLINK("#Liste_rouge!A"&amp;_xlfn.XMATCH("LC",Liste_rouge!A:A,2,1),"LC")</f>
        <v>LC</v>
      </c>
      <c r="AH18493" s="4" t="str">
        <f>HYPERLINK("#Statut_biogéographique!A"&amp;_xlfn.XMATCH("P",Statut_biogéographique!A:A,2,1),"P")</f>
        <v>P</v>
      </c>
      <c r="AP18493" s="4" t="s">
        <v>376</v>
      </c>
      <c r="AR18493" s="4" t="s">
        <v>377</v>
      </c>
    </row>
    <row r="18494" spans="1:44">
      <c r="A18494" s="4" t="s">
        <v>10753</v>
      </c>
      <c r="B18494" s="4">
        <v>850197</v>
      </c>
      <c r="D18494" s="5" t="s">
        <v>22634</v>
      </c>
      <c r="E18494" s="6" t="str">
        <f>HYPERLINK("https://inpn.mnhn.fr/espece/cd_nom/850197","Dioxys cinctus (Jurine, 1807)")</f>
        <v>Dioxys cinctus (Jurine, 1807)</v>
      </c>
      <c r="P18494" s="7" t="str">
        <f>HYPERLINK("#Liste_rouge!A"&amp;_xlfn.XMATCH("LC",Liste_rouge!A:A,2,1),"LC")</f>
        <v>LC</v>
      </c>
      <c r="AH18494" s="4" t="str">
        <f>HYPERLINK("#Statut_biogéographique!A"&amp;_xlfn.XMATCH("P",Statut_biogéographique!A:A,2,1),"P")</f>
        <v>P</v>
      </c>
      <c r="AP18494" s="4" t="s">
        <v>376</v>
      </c>
      <c r="AR18494" s="4" t="s">
        <v>377</v>
      </c>
    </row>
    <row r="18495" spans="1:44">
      <c r="A18495" s="4" t="s">
        <v>10753</v>
      </c>
      <c r="B18495" s="4">
        <v>8502</v>
      </c>
      <c r="D18495" s="5" t="s">
        <v>22635</v>
      </c>
      <c r="E18495" s="6" t="str">
        <f>HYPERLINK("https://inpn.mnhn.fr/espece/cd_nom/8502","Leistus rufomarginatus (Duftschmid, 1812)")</f>
        <v>Leistus rufomarginatus (Duftschmid, 1812)</v>
      </c>
      <c r="AH18495" s="4" t="str">
        <f>HYPERLINK("#Statut_biogéographique!A"&amp;_xlfn.XMATCH("P",Statut_biogéographique!A:A,2,1),"P")</f>
        <v>P</v>
      </c>
      <c r="AP18495" s="4" t="s">
        <v>376</v>
      </c>
      <c r="AR18495" s="4" t="s">
        <v>377</v>
      </c>
    </row>
    <row r="18496" spans="1:44">
      <c r="A18496" s="4" t="s">
        <v>10753</v>
      </c>
      <c r="B18496" s="4">
        <v>8503</v>
      </c>
      <c r="D18496" s="5" t="s">
        <v>22636</v>
      </c>
      <c r="E18496" s="6" t="str">
        <f>HYPERLINK("https://inpn.mnhn.fr/espece/cd_nom/8503","Leistus spinibarbis (Fabricius, 1775)")</f>
        <v>Leistus spinibarbis (Fabricius, 1775)</v>
      </c>
      <c r="AH18496" s="4" t="str">
        <f>HYPERLINK("#Statut_biogéographique!A"&amp;_xlfn.XMATCH("P",Statut_biogéographique!A:A,2,1),"P")</f>
        <v>P</v>
      </c>
      <c r="AP18496" s="4" t="s">
        <v>376</v>
      </c>
      <c r="AR18496" s="4" t="s">
        <v>377</v>
      </c>
    </row>
    <row r="18497" spans="1:44" ht="45">
      <c r="A18497" s="4" t="s">
        <v>10753</v>
      </c>
      <c r="B18497" s="4">
        <v>8506</v>
      </c>
      <c r="D18497" s="5" t="s">
        <v>22637</v>
      </c>
      <c r="E18497" s="6" t="str">
        <f>HYPERLINK("https://inpn.mnhn.fr/espece/cd_nom/8506","Nebria brevicollis (Fabricius, 1792)")</f>
        <v>Nebria brevicollis (Fabricius, 1792)</v>
      </c>
      <c r="F18497" s="5" t="s">
        <v>22638</v>
      </c>
      <c r="AH18497" s="4" t="str">
        <f>HYPERLINK("#Statut_biogéographique!A"&amp;_xlfn.XMATCH("P",Statut_biogéographique!A:A,2,1),"P")</f>
        <v>P</v>
      </c>
      <c r="AP18497" s="4" t="s">
        <v>376</v>
      </c>
      <c r="AR18497" s="4" t="s">
        <v>377</v>
      </c>
    </row>
    <row r="18498" spans="1:44">
      <c r="A18498" s="4" t="s">
        <v>10753</v>
      </c>
      <c r="B18498" s="4">
        <v>8515</v>
      </c>
      <c r="D18498" s="5" t="s">
        <v>22639</v>
      </c>
      <c r="E18498" s="6" t="str">
        <f>HYPERLINK("https://inpn.mnhn.fr/espece/cd_nom/8515","Nebria picicornis (Fabricius, 1801)")</f>
        <v>Nebria picicornis (Fabricius, 1801)</v>
      </c>
      <c r="AH18498" s="4" t="str">
        <f>HYPERLINK("#Statut_biogéographique!A"&amp;_xlfn.XMATCH("P",Statut_biogéographique!A:A,2,1),"P")</f>
        <v>P</v>
      </c>
      <c r="AP18498" s="4" t="s">
        <v>376</v>
      </c>
      <c r="AR18498" s="4" t="s">
        <v>377</v>
      </c>
    </row>
    <row r="18499" spans="1:44">
      <c r="A18499" s="4" t="s">
        <v>10753</v>
      </c>
      <c r="B18499" s="4">
        <v>8520</v>
      </c>
      <c r="D18499" s="5" t="s">
        <v>22640</v>
      </c>
      <c r="E18499" s="6" t="str">
        <f>HYPERLINK("https://inpn.mnhn.fr/espece/cd_nom/8520","Nebria salina Fairmaire &amp; Laboulbène, 1854")</f>
        <v>Nebria salina Fairmaire &amp; Laboulbène, 1854</v>
      </c>
      <c r="AH18499" s="4" t="str">
        <f>HYPERLINK("#Statut_biogéographique!A"&amp;_xlfn.XMATCH("P",Statut_biogéographique!A:A,2,1),"P")</f>
        <v>P</v>
      </c>
      <c r="AP18499" s="4" t="s">
        <v>376</v>
      </c>
      <c r="AR18499" s="4" t="s">
        <v>377</v>
      </c>
    </row>
    <row r="18500" spans="1:44">
      <c r="A18500" s="4" t="s">
        <v>10753</v>
      </c>
      <c r="B18500" s="4">
        <v>852086</v>
      </c>
      <c r="D18500" s="5">
        <v>852086</v>
      </c>
      <c r="E18500" s="6" t="str">
        <f>HYPERLINK("https://inpn.mnhn.fr/espece/cd_nom/852086","Rhyacophila aurata Brauer, 1857")</f>
        <v>Rhyacophila aurata Brauer, 1857</v>
      </c>
      <c r="AH18500" s="4" t="str">
        <f>HYPERLINK("#Statut_biogéographique!A"&amp;_xlfn.XMATCH("P",Statut_biogéographique!A:A,2,1),"P")</f>
        <v>P</v>
      </c>
      <c r="AP18500" s="4" t="s">
        <v>376</v>
      </c>
      <c r="AR18500" s="4" t="s">
        <v>377</v>
      </c>
    </row>
    <row r="18501" spans="1:44">
      <c r="A18501" s="4" t="s">
        <v>10753</v>
      </c>
      <c r="B18501" s="4">
        <v>8525</v>
      </c>
      <c r="D18501" s="5" t="s">
        <v>22641</v>
      </c>
      <c r="E18501" s="6" t="str">
        <f>HYPERLINK("https://inpn.mnhn.fr/espece/cd_nom/8525","Notiophilus aquaticus (Linnaeus, 1758)")</f>
        <v>Notiophilus aquaticus (Linnaeus, 1758)</v>
      </c>
      <c r="AH18501" s="4" t="str">
        <f>HYPERLINK("#Statut_biogéographique!A"&amp;_xlfn.XMATCH("P",Statut_biogéographique!A:A,2,1),"P")</f>
        <v>P</v>
      </c>
      <c r="AP18501" s="4" t="s">
        <v>376</v>
      </c>
      <c r="AR18501" s="4" t="s">
        <v>377</v>
      </c>
    </row>
    <row r="18502" spans="1:44">
      <c r="A18502" s="4" t="s">
        <v>10753</v>
      </c>
      <c r="B18502" s="4">
        <v>8526</v>
      </c>
      <c r="D18502" s="5" t="s">
        <v>22642</v>
      </c>
      <c r="E18502" s="6" t="str">
        <f>HYPERLINK("https://inpn.mnhn.fr/espece/cd_nom/8526","Notiophilus biguttatus (Fabricius, 1779)")</f>
        <v>Notiophilus biguttatus (Fabricius, 1779)</v>
      </c>
      <c r="AH18502" s="4" t="str">
        <f>HYPERLINK("#Statut_biogéographique!A"&amp;_xlfn.XMATCH("P",Statut_biogéographique!A:A,2,1),"P")</f>
        <v>P</v>
      </c>
      <c r="AP18502" s="4" t="s">
        <v>376</v>
      </c>
      <c r="AR18502" s="4" t="s">
        <v>377</v>
      </c>
    </row>
    <row r="18503" spans="1:44">
      <c r="A18503" s="4" t="s">
        <v>10753</v>
      </c>
      <c r="B18503" s="4">
        <v>8528</v>
      </c>
      <c r="D18503" s="5" t="s">
        <v>22643</v>
      </c>
      <c r="E18503" s="6" t="str">
        <f>HYPERLINK("https://inpn.mnhn.fr/espece/cd_nom/8528","Notiophilus palustris (Duftschmid, 1812)")</f>
        <v>Notiophilus palustris (Duftschmid, 1812)</v>
      </c>
      <c r="AH18503" s="4" t="str">
        <f>HYPERLINK("#Statut_biogéographique!A"&amp;_xlfn.XMATCH("P",Statut_biogéographique!A:A,2,1),"P")</f>
        <v>P</v>
      </c>
      <c r="AP18503" s="4" t="s">
        <v>376</v>
      </c>
      <c r="AR18503" s="4" t="s">
        <v>377</v>
      </c>
    </row>
    <row r="18504" spans="1:44">
      <c r="A18504" s="4" t="s">
        <v>10753</v>
      </c>
      <c r="B18504" s="4">
        <v>8531</v>
      </c>
      <c r="D18504" s="5" t="s">
        <v>22644</v>
      </c>
      <c r="E18504" s="6" t="str">
        <f>HYPERLINK("https://inpn.mnhn.fr/espece/cd_nom/8531","Notiophilus quadripunctatus Dejean, 1826")</f>
        <v>Notiophilus quadripunctatus Dejean, 1826</v>
      </c>
      <c r="AH18504" s="4" t="str">
        <f>HYPERLINK("#Statut_biogéographique!A"&amp;_xlfn.XMATCH("P",Statut_biogéographique!A:A,2,1),"P")</f>
        <v>P</v>
      </c>
      <c r="AP18504" s="4" t="s">
        <v>376</v>
      </c>
      <c r="AR18504" s="4" t="s">
        <v>377</v>
      </c>
    </row>
    <row r="18505" spans="1:44" ht="30">
      <c r="A18505" s="4" t="s">
        <v>10753</v>
      </c>
      <c r="B18505" s="4">
        <v>853111</v>
      </c>
      <c r="D18505" s="5" t="s">
        <v>22645</v>
      </c>
      <c r="E18505" s="6" t="str">
        <f>HYPERLINK("https://inpn.mnhn.fr/espece/cd_nom/853111","Pristiphora nigricans (Eversmann, 1847)")</f>
        <v>Pristiphora nigricans (Eversmann, 1847)</v>
      </c>
      <c r="AH18505" s="4" t="str">
        <f>HYPERLINK("#Statut_biogéographique!A"&amp;_xlfn.XMATCH("P",Statut_biogéographique!A:A,2,1),"P")</f>
        <v>P</v>
      </c>
      <c r="AP18505" s="4" t="s">
        <v>376</v>
      </c>
      <c r="AR18505" s="4" t="s">
        <v>377</v>
      </c>
    </row>
    <row r="18506" spans="1:44">
      <c r="A18506" s="4" t="s">
        <v>10753</v>
      </c>
      <c r="B18506" s="4">
        <v>8532</v>
      </c>
      <c r="D18506" s="5">
        <v>8532</v>
      </c>
      <c r="E18506" s="6" t="str">
        <f>HYPERLINK("https://inpn.mnhn.fr/espece/cd_nom/8532","Notiophilus rufipes Curtis, 1829")</f>
        <v>Notiophilus rufipes Curtis, 1829</v>
      </c>
      <c r="AH18506" s="4" t="str">
        <f>HYPERLINK("#Statut_biogéographique!A"&amp;_xlfn.XMATCH("P",Statut_biogéographique!A:A,2,1),"P")</f>
        <v>P</v>
      </c>
      <c r="AP18506" s="4" t="s">
        <v>376</v>
      </c>
      <c r="AR18506" s="4" t="s">
        <v>377</v>
      </c>
    </row>
    <row r="18507" spans="1:44" ht="30">
      <c r="A18507" s="4" t="s">
        <v>10753</v>
      </c>
      <c r="B18507" s="4">
        <v>8533</v>
      </c>
      <c r="D18507" s="5">
        <v>8533</v>
      </c>
      <c r="E18507" s="6" t="str">
        <f>HYPERLINK("https://inpn.mnhn.fr/espece/cd_nom/8533","Notiophilus substriatus G.R. Waterhouse, 1833")</f>
        <v>Notiophilus substriatus G.R. Waterhouse, 1833</v>
      </c>
      <c r="AH18507" s="4" t="str">
        <f>HYPERLINK("#Statut_biogéographique!A"&amp;_xlfn.XMATCH("P",Statut_biogéographique!A:A,2,1),"P")</f>
        <v>P</v>
      </c>
      <c r="AP18507" s="4" t="s">
        <v>376</v>
      </c>
      <c r="AR18507" s="4" t="s">
        <v>377</v>
      </c>
    </row>
    <row r="18508" spans="1:44">
      <c r="A18508" s="4" t="s">
        <v>10753</v>
      </c>
      <c r="B18508" s="4">
        <v>853408</v>
      </c>
      <c r="D18508" s="5">
        <v>853408</v>
      </c>
      <c r="E18508" s="6" t="str">
        <f>HYPERLINK("https://inpn.mnhn.fr/espece/cd_nom/853408","Myopa tessellatipennis Motschulsky, 1859")</f>
        <v>Myopa tessellatipennis Motschulsky, 1859</v>
      </c>
      <c r="AH18508" s="4" t="str">
        <f>HYPERLINK("#Statut_biogéographique!A"&amp;_xlfn.XMATCH("P",Statut_biogéographique!A:A,2,1),"P")</f>
        <v>P</v>
      </c>
      <c r="AP18508" s="4" t="s">
        <v>376</v>
      </c>
      <c r="AR18508" s="4" t="s">
        <v>377</v>
      </c>
    </row>
    <row r="18509" spans="1:44">
      <c r="A18509" s="4" t="s">
        <v>10753</v>
      </c>
      <c r="B18509" s="4">
        <v>853409</v>
      </c>
      <c r="D18509" s="5" t="s">
        <v>22646</v>
      </c>
      <c r="E18509" s="6" t="str">
        <f>HYPERLINK("https://inpn.mnhn.fr/espece/cd_nom/853409","Thecophora cinerascens (Meigen, 1804)")</f>
        <v>Thecophora cinerascens (Meigen, 1804)</v>
      </c>
      <c r="AH18509" s="4" t="str">
        <f>HYPERLINK("#Statut_biogéographique!A"&amp;_xlfn.XMATCH("P",Statut_biogéographique!A:A,2,1),"P")</f>
        <v>P</v>
      </c>
      <c r="AP18509" s="4" t="s">
        <v>376</v>
      </c>
      <c r="AR18509" s="4" t="s">
        <v>377</v>
      </c>
    </row>
    <row r="18510" spans="1:44">
      <c r="A18510" s="4" t="s">
        <v>10753</v>
      </c>
      <c r="B18510" s="4">
        <v>853434</v>
      </c>
      <c r="D18510" s="5" t="s">
        <v>22647</v>
      </c>
      <c r="E18510" s="6" t="str">
        <f>HYPERLINK("https://inpn.mnhn.fr/espece/cd_nom/853434","Chilo phragmitellus (Hübner, 1810)")</f>
        <v>Chilo phragmitellus (Hübner, 1810)</v>
      </c>
      <c r="F18510" s="5" t="s">
        <v>22648</v>
      </c>
      <c r="AH18510" s="4" t="str">
        <f>HYPERLINK("#Statut_biogéographique!A"&amp;_xlfn.XMATCH("P",Statut_biogéographique!A:A,2,1),"P")</f>
        <v>P</v>
      </c>
      <c r="AP18510" s="4" t="s">
        <v>376</v>
      </c>
      <c r="AR18510" s="4" t="s">
        <v>377</v>
      </c>
    </row>
    <row r="18511" spans="1:44">
      <c r="A18511" s="4" t="s">
        <v>10753</v>
      </c>
      <c r="B18511" s="4">
        <v>8535</v>
      </c>
      <c r="D18511" s="5">
        <v>8535</v>
      </c>
      <c r="E18511" s="6" t="str">
        <f>HYPERLINK("https://inpn.mnhn.fr/espece/cd_nom/8535","Elaphrus aureus P. Müller, 1821")</f>
        <v>Elaphrus aureus P. Müller, 1821</v>
      </c>
      <c r="AH18511" s="4" t="str">
        <f>HYPERLINK("#Statut_biogéographique!A"&amp;_xlfn.XMATCH("P",Statut_biogéographique!A:A,2,1),"P")</f>
        <v>P</v>
      </c>
      <c r="AP18511" s="4" t="s">
        <v>376</v>
      </c>
      <c r="AR18511" s="4" t="s">
        <v>377</v>
      </c>
    </row>
    <row r="18512" spans="1:44">
      <c r="A18512" s="4" t="s">
        <v>10753</v>
      </c>
      <c r="B18512" s="4">
        <v>8536</v>
      </c>
      <c r="D18512" s="5">
        <v>8536</v>
      </c>
      <c r="E18512" s="6" t="str">
        <f>HYPERLINK("https://inpn.mnhn.fr/espece/cd_nom/8536","Elaphrus cupreus Duftschmid, 1812")</f>
        <v>Elaphrus cupreus Duftschmid, 1812</v>
      </c>
      <c r="F18512" s="5" t="s">
        <v>22649</v>
      </c>
      <c r="AH18512" s="4" t="str">
        <f>HYPERLINK("#Statut_biogéographique!A"&amp;_xlfn.XMATCH("P",Statut_biogéographique!A:A,2,1),"P")</f>
        <v>P</v>
      </c>
      <c r="AP18512" s="4" t="s">
        <v>376</v>
      </c>
      <c r="AR18512" s="4" t="s">
        <v>377</v>
      </c>
    </row>
    <row r="18513" spans="1:44">
      <c r="A18513" s="4" t="s">
        <v>10753</v>
      </c>
      <c r="B18513" s="4">
        <v>8537</v>
      </c>
      <c r="D18513" s="5" t="s">
        <v>22650</v>
      </c>
      <c r="E18513" s="6" t="str">
        <f>HYPERLINK("https://inpn.mnhn.fr/espece/cd_nom/8537","Elaphrus riparius (Linnaeus, 1758)")</f>
        <v>Elaphrus riparius (Linnaeus, 1758)</v>
      </c>
      <c r="F18513" s="5" t="s">
        <v>22651</v>
      </c>
      <c r="AH18513" s="4" t="str">
        <f>HYPERLINK("#Statut_biogéographique!A"&amp;_xlfn.XMATCH("P",Statut_biogéographique!A:A,2,1),"P")</f>
        <v>P</v>
      </c>
      <c r="AP18513" s="4" t="s">
        <v>376</v>
      </c>
      <c r="AR18513" s="4" t="s">
        <v>377</v>
      </c>
    </row>
    <row r="18514" spans="1:44">
      <c r="A18514" s="4" t="s">
        <v>10753</v>
      </c>
      <c r="B18514" s="4">
        <v>8538</v>
      </c>
      <c r="D18514" s="5">
        <v>8538</v>
      </c>
      <c r="E18514" s="6" t="str">
        <f>HYPERLINK("https://inpn.mnhn.fr/espece/cd_nom/8538","Elaphrus uliginosus Fabricius, 1792")</f>
        <v>Elaphrus uliginosus Fabricius, 1792</v>
      </c>
      <c r="F18514" s="5" t="s">
        <v>22652</v>
      </c>
      <c r="AH18514" s="4" t="str">
        <f>HYPERLINK("#Statut_biogéographique!A"&amp;_xlfn.XMATCH("P",Statut_biogéographique!A:A,2,1),"P")</f>
        <v>P</v>
      </c>
      <c r="AP18514" s="4" t="s">
        <v>376</v>
      </c>
      <c r="AR18514" s="4" t="s">
        <v>377</v>
      </c>
    </row>
    <row r="18515" spans="1:44">
      <c r="A18515" s="4" t="s">
        <v>10753</v>
      </c>
      <c r="B18515" s="4">
        <v>853999</v>
      </c>
      <c r="D18515" s="5" t="s">
        <v>22653</v>
      </c>
      <c r="E18515" s="6" t="str">
        <f>HYPERLINK("https://inpn.mnhn.fr/espece/cd_nom/853999","Faxonius limosus (Rafinesque, 1817)")</f>
        <v>Faxonius limosus (Rafinesque, 1817)</v>
      </c>
      <c r="F18515" s="5" t="s">
        <v>22654</v>
      </c>
      <c r="O18515" s="7" t="str">
        <f>HYPERLINK("#Liste_rouge!A"&amp;_xlfn.XMATCH("LC",Liste_rouge!A:A,2,1),"LC")</f>
        <v>LC</v>
      </c>
      <c r="Q18515" s="7" t="str">
        <f>HYPERLINK("#Liste_rouge!A"&amp;_xlfn.XMATCH("NA",Liste_rouge!A:A,2,1),"NA")</f>
        <v>NA</v>
      </c>
      <c r="T18515" s="7" t="str">
        <f>HYPERLINK("#Liste_rouge!A"&amp;_xlfn.XMATCH("NA",Liste_rouge!A:A,2,1),"NA")</f>
        <v>NA</v>
      </c>
      <c r="AH18515" s="4" t="str">
        <f>HYPERLINK("#Statut_biogéographique!A"&amp;_xlfn.XMATCH("J",Statut_biogéographique!A:A,2,1),"J")</f>
        <v>J</v>
      </c>
      <c r="AL18515" s="5" t="str">
        <f>HYPERLINK("#Réglementation!A"&amp;_xlfn.XMATCH("FRnoEEEA2",Réglementation!A:A,2,1),"FRnoEEEA2 - EEEUE")</f>
        <v>FRnoEEEA2 - EEEUE</v>
      </c>
      <c r="AM18515" s="4" t="s">
        <v>375</v>
      </c>
      <c r="AN18515" s="4" t="s">
        <v>375</v>
      </c>
      <c r="AO18515" s="4" t="s">
        <v>375</v>
      </c>
      <c r="AP18515" s="4" t="s">
        <v>376</v>
      </c>
      <c r="AR18515" s="4" t="s">
        <v>377</v>
      </c>
    </row>
    <row r="18516" spans="1:44">
      <c r="A18516" s="4" t="s">
        <v>10753</v>
      </c>
      <c r="B18516" s="4">
        <v>8540</v>
      </c>
      <c r="D18516" s="5" t="s">
        <v>22655</v>
      </c>
      <c r="E18516" s="6" t="str">
        <f>HYPERLINK("https://inpn.mnhn.fr/espece/cd_nom/8540","Loricera pilicornis (Fabricius, 1775)")</f>
        <v>Loricera pilicornis (Fabricius, 1775)</v>
      </c>
      <c r="F18516" s="5" t="s">
        <v>22656</v>
      </c>
      <c r="AH18516" s="4" t="str">
        <f>HYPERLINK("#Statut_biogéographique!A"&amp;_xlfn.XMATCH("P",Statut_biogéographique!A:A,2,1),"P")</f>
        <v>P</v>
      </c>
      <c r="AP18516" s="4" t="s">
        <v>376</v>
      </c>
      <c r="AR18516" s="4" t="s">
        <v>377</v>
      </c>
    </row>
    <row r="18517" spans="1:44">
      <c r="A18517" s="4" t="s">
        <v>10753</v>
      </c>
      <c r="B18517" s="4">
        <v>854085</v>
      </c>
      <c r="D18517" s="5" t="s">
        <v>22657</v>
      </c>
      <c r="E18517" s="6" t="str">
        <f>HYPERLINK("https://inpn.mnhn.fr/espece/cd_nom/854085","Dasineura rosae (Bremi, 1847)")</f>
        <v>Dasineura rosae (Bremi, 1847)</v>
      </c>
      <c r="AH18517" s="4" t="str">
        <f>HYPERLINK("#Statut_biogéographique!A"&amp;_xlfn.XMATCH("P",Statut_biogéographique!A:A,2,1),"P")</f>
        <v>P</v>
      </c>
      <c r="AP18517" s="4" t="s">
        <v>376</v>
      </c>
      <c r="AR18517" s="4" t="s">
        <v>377</v>
      </c>
    </row>
    <row r="18518" spans="1:44">
      <c r="A18518" s="4" t="s">
        <v>10753</v>
      </c>
      <c r="B18518" s="4">
        <v>8548</v>
      </c>
      <c r="D18518" s="5" t="s">
        <v>22658</v>
      </c>
      <c r="E18518" s="6" t="str">
        <f>HYPERLINK("https://inpn.mnhn.fr/espece/cd_nom/8548","Clivina fossor (Linnaeus, 1758)")</f>
        <v>Clivina fossor (Linnaeus, 1758)</v>
      </c>
      <c r="AH18518" s="4" t="str">
        <f>HYPERLINK("#Statut_biogéographique!A"&amp;_xlfn.XMATCH("P",Statut_biogéographique!A:A,2,1),"P")</f>
        <v>P</v>
      </c>
      <c r="AP18518" s="4" t="s">
        <v>376</v>
      </c>
      <c r="AR18518" s="4" t="s">
        <v>377</v>
      </c>
    </row>
    <row r="18519" spans="1:44">
      <c r="A18519" s="4" t="s">
        <v>10753</v>
      </c>
      <c r="B18519" s="4">
        <v>8549</v>
      </c>
      <c r="D18519" s="5" t="s">
        <v>22659</v>
      </c>
      <c r="E18519" s="6" t="str">
        <f>HYPERLINK("https://inpn.mnhn.fr/espece/cd_nom/8549","Clivina collaris (Herbst, 1784)")</f>
        <v>Clivina collaris (Herbst, 1784)</v>
      </c>
      <c r="AH18519" s="4" t="str">
        <f>HYPERLINK("#Statut_biogéographique!A"&amp;_xlfn.XMATCH("P",Statut_biogéographique!A:A,2,1),"P")</f>
        <v>P</v>
      </c>
      <c r="AP18519" s="4" t="s">
        <v>376</v>
      </c>
      <c r="AR18519" s="4" t="s">
        <v>377</v>
      </c>
    </row>
    <row r="18520" spans="1:44">
      <c r="A18520" s="4" t="s">
        <v>10753</v>
      </c>
      <c r="B18520" s="4">
        <v>8556</v>
      </c>
      <c r="D18520" s="5" t="s">
        <v>22660</v>
      </c>
      <c r="E18520" s="6" t="str">
        <f>HYPERLINK("https://inpn.mnhn.fr/espece/cd_nom/8556","Dyschirius cylindricus (Dejean, 1825)")</f>
        <v>Dyschirius cylindricus (Dejean, 1825)</v>
      </c>
      <c r="AH18520" s="4" t="str">
        <f>HYPERLINK("#Statut_biogéographique!A"&amp;_xlfn.XMATCH("P",Statut_biogéographique!A:A,2,1),"P")</f>
        <v>P</v>
      </c>
      <c r="AP18520" s="4" t="s">
        <v>376</v>
      </c>
      <c r="AR18520" s="4" t="s">
        <v>377</v>
      </c>
    </row>
    <row r="18521" spans="1:44">
      <c r="A18521" s="4" t="s">
        <v>10753</v>
      </c>
      <c r="B18521" s="4">
        <v>8558</v>
      </c>
      <c r="D18521" s="5" t="s">
        <v>22661</v>
      </c>
      <c r="E18521" s="6" t="str">
        <f>HYPERLINK("https://inpn.mnhn.fr/espece/cd_nom/8558","Dyschirius globosus (Herbst, 1784)")</f>
        <v>Dyschirius globosus (Herbst, 1784)</v>
      </c>
      <c r="AH18521" s="4" t="str">
        <f>HYPERLINK("#Statut_biogéographique!A"&amp;_xlfn.XMATCH("P",Statut_biogéographique!A:A,2,1),"P")</f>
        <v>P</v>
      </c>
      <c r="AP18521" s="4" t="s">
        <v>376</v>
      </c>
      <c r="AR18521" s="4" t="s">
        <v>377</v>
      </c>
    </row>
    <row r="18522" spans="1:44">
      <c r="A18522" s="4" t="s">
        <v>10753</v>
      </c>
      <c r="B18522" s="4">
        <v>8575</v>
      </c>
      <c r="D18522" s="5" t="s">
        <v>22662</v>
      </c>
      <c r="E18522" s="6" t="str">
        <f>HYPERLINK("https://inpn.mnhn.fr/espece/cd_nom/8575","Broscus cephalotes (Linnaeus, 1758)")</f>
        <v>Broscus cephalotes (Linnaeus, 1758)</v>
      </c>
      <c r="AH18522" s="4" t="str">
        <f>HYPERLINK("#Statut_biogéographique!A"&amp;_xlfn.XMATCH("P",Statut_biogéographique!A:A,2,1),"P")</f>
        <v>P</v>
      </c>
      <c r="AP18522" s="4" t="s">
        <v>376</v>
      </c>
      <c r="AR18522" s="4" t="s">
        <v>377</v>
      </c>
    </row>
    <row r="18523" spans="1:44">
      <c r="A18523" s="4" t="s">
        <v>10753</v>
      </c>
      <c r="B18523" s="4">
        <v>8585</v>
      </c>
      <c r="D18523" s="5" t="s">
        <v>22663</v>
      </c>
      <c r="E18523" s="6" t="str">
        <f>HYPERLINK("https://inpn.mnhn.fr/espece/cd_nom/8585","Asaphidion flavipes (Linnaeus, 1761)")</f>
        <v>Asaphidion flavipes (Linnaeus, 1761)</v>
      </c>
      <c r="AH18523" s="4" t="str">
        <f>HYPERLINK("#Statut_biogéographique!A"&amp;_xlfn.XMATCH("P",Statut_biogéographique!A:A,2,1),"P")</f>
        <v>P</v>
      </c>
      <c r="AP18523" s="4" t="s">
        <v>376</v>
      </c>
      <c r="AR18523" s="4" t="s">
        <v>377</v>
      </c>
    </row>
    <row r="18524" spans="1:44">
      <c r="A18524" s="4" t="s">
        <v>10753</v>
      </c>
      <c r="B18524" s="4">
        <v>8598</v>
      </c>
      <c r="D18524" s="5" t="s">
        <v>22664</v>
      </c>
      <c r="E18524" s="6" t="str">
        <f>HYPERLINK("https://inpn.mnhn.fr/espece/cd_nom/8598","Bembidion assimile Gyllenhal, 1810")</f>
        <v>Bembidion assimile Gyllenhal, 1810</v>
      </c>
      <c r="AH18524" s="4" t="str">
        <f>HYPERLINK("#Statut_biogéographique!A"&amp;_xlfn.XMATCH("P",Statut_biogéographique!A:A,2,1),"P")</f>
        <v>P</v>
      </c>
      <c r="AP18524" s="4" t="s">
        <v>376</v>
      </c>
      <c r="AR18524" s="4" t="s">
        <v>377</v>
      </c>
    </row>
    <row r="18525" spans="1:44">
      <c r="A18525" s="4" t="s">
        <v>10753</v>
      </c>
      <c r="B18525" s="4">
        <v>8614</v>
      </c>
      <c r="D18525" s="5" t="s">
        <v>22665</v>
      </c>
      <c r="E18525" s="6" t="str">
        <f>HYPERLINK("https://inpn.mnhn.fr/espece/cd_nom/8614","Bembidion punctulatum Drapiez, 1820")</f>
        <v>Bembidion punctulatum Drapiez, 1820</v>
      </c>
      <c r="F18525" s="5" t="s">
        <v>22666</v>
      </c>
      <c r="AH18525" s="4" t="str">
        <f>HYPERLINK("#Statut_biogéographique!A"&amp;_xlfn.XMATCH("P",Statut_biogéographique!A:A,2,1),"P")</f>
        <v>P</v>
      </c>
      <c r="AP18525" s="4" t="s">
        <v>376</v>
      </c>
      <c r="AR18525" s="4" t="s">
        <v>377</v>
      </c>
    </row>
    <row r="18526" spans="1:44" ht="30">
      <c r="A18526" s="4" t="s">
        <v>10753</v>
      </c>
      <c r="B18526" s="4">
        <v>8617</v>
      </c>
      <c r="D18526" s="5" t="s">
        <v>22667</v>
      </c>
      <c r="E18526" s="6" t="str">
        <f>HYPERLINK("https://inpn.mnhn.fr/espece/cd_nom/8617","Bembidion quadrimaculatum (Linnaeus, 1761)")</f>
        <v>Bembidion quadrimaculatum (Linnaeus, 1761)</v>
      </c>
      <c r="AH18526" s="4" t="str">
        <f>HYPERLINK("#Statut_biogéographique!A"&amp;_xlfn.XMATCH("P",Statut_biogéographique!A:A,2,1),"P")</f>
        <v>P</v>
      </c>
      <c r="AP18526" s="4" t="s">
        <v>376</v>
      </c>
      <c r="AR18526" s="4" t="s">
        <v>377</v>
      </c>
    </row>
    <row r="18527" spans="1:44">
      <c r="A18527" s="4" t="s">
        <v>10753</v>
      </c>
      <c r="B18527" s="4">
        <v>8619</v>
      </c>
      <c r="D18527" s="5" t="s">
        <v>22668</v>
      </c>
      <c r="E18527" s="6" t="str">
        <f>HYPERLINK("https://inpn.mnhn.fr/espece/cd_nom/8619","Bembidion dentellum (Thunberg, 1787)")</f>
        <v>Bembidion dentellum (Thunberg, 1787)</v>
      </c>
      <c r="AH18527" s="4" t="str">
        <f>HYPERLINK("#Statut_biogéographique!A"&amp;_xlfn.XMATCH("P",Statut_biogéographique!A:A,2,1),"P")</f>
        <v>P</v>
      </c>
      <c r="AP18527" s="4" t="s">
        <v>376</v>
      </c>
      <c r="AR18527" s="4" t="s">
        <v>377</v>
      </c>
    </row>
    <row r="18528" spans="1:44" ht="30">
      <c r="A18528" s="4" t="s">
        <v>10753</v>
      </c>
      <c r="B18528" s="4">
        <v>8627</v>
      </c>
      <c r="D18528" s="5">
        <v>8627</v>
      </c>
      <c r="E18528" s="6" t="str">
        <f>HYPERLINK("https://inpn.mnhn.fr/espece/cd_nom/8627","Bembidion quadripustulatum Audinet-Serville, 1821")</f>
        <v>Bembidion quadripustulatum Audinet-Serville, 1821</v>
      </c>
      <c r="AH18528" s="4" t="str">
        <f>HYPERLINK("#Statut_biogéographique!A"&amp;_xlfn.XMATCH("P",Statut_biogéographique!A:A,2,1),"P")</f>
        <v>P</v>
      </c>
      <c r="AP18528" s="4" t="s">
        <v>376</v>
      </c>
      <c r="AR18528" s="4" t="s">
        <v>377</v>
      </c>
    </row>
    <row r="18529" spans="1:44">
      <c r="A18529" s="4" t="s">
        <v>10753</v>
      </c>
      <c r="B18529" s="4">
        <v>8628</v>
      </c>
      <c r="D18529" s="5" t="s">
        <v>22669</v>
      </c>
      <c r="E18529" s="6" t="str">
        <f>HYPERLINK("https://inpn.mnhn.fr/espece/cd_nom/8628","Bembidion properans (Stephens, 1828)")</f>
        <v>Bembidion properans (Stephens, 1828)</v>
      </c>
      <c r="AH18529" s="4" t="str">
        <f>HYPERLINK("#Statut_biogéographique!A"&amp;_xlfn.XMATCH("P",Statut_biogéographique!A:A,2,1),"P")</f>
        <v>P</v>
      </c>
      <c r="AP18529" s="4" t="s">
        <v>376</v>
      </c>
      <c r="AR18529" s="4" t="s">
        <v>377</v>
      </c>
    </row>
    <row r="18530" spans="1:44">
      <c r="A18530" s="4" t="s">
        <v>10753</v>
      </c>
      <c r="B18530" s="4">
        <v>8632</v>
      </c>
      <c r="D18530" s="5" t="s">
        <v>22670</v>
      </c>
      <c r="E18530" s="6" t="str">
        <f>HYPERLINK("https://inpn.mnhn.fr/espece/cd_nom/8632","Bembidion lampros (Herbst, 1784)")</f>
        <v>Bembidion lampros (Herbst, 1784)</v>
      </c>
      <c r="AH18530" s="4" t="str">
        <f>HYPERLINK("#Statut_biogéographique!A"&amp;_xlfn.XMATCH("P",Statut_biogéographique!A:A,2,1),"P")</f>
        <v>P</v>
      </c>
      <c r="AP18530" s="4" t="s">
        <v>376</v>
      </c>
      <c r="AR18530" s="4" t="s">
        <v>377</v>
      </c>
    </row>
    <row r="18531" spans="1:44">
      <c r="A18531" s="4" t="s">
        <v>10753</v>
      </c>
      <c r="B18531" s="4">
        <v>8639</v>
      </c>
      <c r="D18531" s="5" t="s">
        <v>22671</v>
      </c>
      <c r="E18531" s="6" t="str">
        <f>HYPERLINK("https://inpn.mnhn.fr/espece/cd_nom/8639","Bembidion obtusum Audinet-Serville, 1821")</f>
        <v>Bembidion obtusum Audinet-Serville, 1821</v>
      </c>
      <c r="AH18531" s="4" t="str">
        <f>HYPERLINK("#Statut_biogéographique!A"&amp;_xlfn.XMATCH("P",Statut_biogéographique!A:A,2,1),"P")</f>
        <v>P</v>
      </c>
      <c r="AP18531" s="4" t="s">
        <v>376</v>
      </c>
      <c r="AR18531" s="4" t="s">
        <v>377</v>
      </c>
    </row>
    <row r="18532" spans="1:44">
      <c r="A18532" s="4" t="s">
        <v>10753</v>
      </c>
      <c r="B18532" s="4">
        <v>8667</v>
      </c>
      <c r="D18532" s="5" t="s">
        <v>22672</v>
      </c>
      <c r="E18532" s="6" t="str">
        <f>HYPERLINK("https://inpn.mnhn.fr/espece/cd_nom/8667","Ocys harpaloides (Audinet-Serville, 1821)")</f>
        <v>Ocys harpaloides (Audinet-Serville, 1821)</v>
      </c>
      <c r="AH18532" s="4" t="str">
        <f>HYPERLINK("#Statut_biogéographique!A"&amp;_xlfn.XMATCH("P",Statut_biogéographique!A:A,2,1),"P")</f>
        <v>P</v>
      </c>
      <c r="AP18532" s="4" t="s">
        <v>376</v>
      </c>
      <c r="AR18532" s="4" t="s">
        <v>377</v>
      </c>
    </row>
    <row r="18533" spans="1:44">
      <c r="A18533" s="4" t="s">
        <v>10753</v>
      </c>
      <c r="B18533" s="4">
        <v>8700</v>
      </c>
      <c r="D18533" s="5" t="s">
        <v>22673</v>
      </c>
      <c r="E18533" s="6" t="str">
        <f>HYPERLINK("https://inpn.mnhn.fr/espece/cd_nom/8700","Tachys bistriatus (Duftschmid, 1812)")</f>
        <v>Tachys bistriatus (Duftschmid, 1812)</v>
      </c>
      <c r="AH18533" s="4" t="str">
        <f>HYPERLINK("#Statut_biogéographique!A"&amp;_xlfn.XMATCH("P",Statut_biogéographique!A:A,2,1),"P")</f>
        <v>P</v>
      </c>
      <c r="AP18533" s="4" t="s">
        <v>376</v>
      </c>
      <c r="AR18533" s="4" t="s">
        <v>377</v>
      </c>
    </row>
    <row r="18534" spans="1:44">
      <c r="A18534" s="4" t="s">
        <v>10753</v>
      </c>
      <c r="B18534" s="4">
        <v>8712</v>
      </c>
      <c r="D18534" s="5" t="s">
        <v>22674</v>
      </c>
      <c r="E18534" s="6" t="str">
        <f>HYPERLINK("https://inpn.mnhn.fr/espece/cd_nom/8712","Tachyta nana (Gyllenhal, 1810)")</f>
        <v>Tachyta nana (Gyllenhal, 1810)</v>
      </c>
      <c r="AH18534" s="4" t="str">
        <f>HYPERLINK("#Statut_biogéographique!A"&amp;_xlfn.XMATCH("P",Statut_biogéographique!A:A,2,1),"P")</f>
        <v>P</v>
      </c>
      <c r="AP18534" s="4" t="s">
        <v>376</v>
      </c>
      <c r="AR18534" s="4" t="s">
        <v>377</v>
      </c>
    </row>
    <row r="18535" spans="1:44">
      <c r="A18535" s="4" t="s">
        <v>10753</v>
      </c>
      <c r="B18535" s="4">
        <v>8719</v>
      </c>
      <c r="D18535" s="5" t="s">
        <v>22675</v>
      </c>
      <c r="E18535" s="6" t="str">
        <f>HYPERLINK("https://inpn.mnhn.fr/espece/cd_nom/8719","Perileptus areolatus (Creutzer, 1799)")</f>
        <v>Perileptus areolatus (Creutzer, 1799)</v>
      </c>
      <c r="AH18535" s="4" t="str">
        <f>HYPERLINK("#Statut_biogéographique!A"&amp;_xlfn.XMATCH("P",Statut_biogéographique!A:A,2,1),"P")</f>
        <v>P</v>
      </c>
      <c r="AP18535" s="4" t="s">
        <v>376</v>
      </c>
      <c r="AR18535" s="4" t="s">
        <v>377</v>
      </c>
    </row>
    <row r="18536" spans="1:44">
      <c r="A18536" s="4" t="s">
        <v>10753</v>
      </c>
      <c r="B18536" s="4">
        <v>8728</v>
      </c>
      <c r="D18536" s="5">
        <v>8728</v>
      </c>
      <c r="E18536" s="6" t="str">
        <f>HYPERLINK("https://inpn.mnhn.fr/espece/cd_nom/8728","Trechus obtusus Erichson, 1837")</f>
        <v>Trechus obtusus Erichson, 1837</v>
      </c>
      <c r="AH18536" s="4" t="str">
        <f>HYPERLINK("#Statut_biogéographique!A"&amp;_xlfn.XMATCH("P",Statut_biogéographique!A:A,2,1),"P")</f>
        <v>P</v>
      </c>
      <c r="AP18536" s="4" t="s">
        <v>376</v>
      </c>
      <c r="AR18536" s="4" t="s">
        <v>377</v>
      </c>
    </row>
    <row r="18537" spans="1:44">
      <c r="A18537" s="4" t="s">
        <v>10753</v>
      </c>
      <c r="B18537" s="4">
        <v>8729</v>
      </c>
      <c r="D18537" s="5" t="s">
        <v>22676</v>
      </c>
      <c r="E18537" s="6" t="str">
        <f>HYPERLINK("https://inpn.mnhn.fr/espece/cd_nom/8729","Trechus quadristriatus (Schrank, 1781)")</f>
        <v>Trechus quadristriatus (Schrank, 1781)</v>
      </c>
      <c r="AH18537" s="4" t="str">
        <f>HYPERLINK("#Statut_biogéographique!A"&amp;_xlfn.XMATCH("P",Statut_biogéographique!A:A,2,1),"P")</f>
        <v>P</v>
      </c>
      <c r="AP18537" s="4" t="s">
        <v>376</v>
      </c>
      <c r="AR18537" s="4" t="s">
        <v>377</v>
      </c>
    </row>
    <row r="18538" spans="1:44">
      <c r="A18538" s="4" t="s">
        <v>10753</v>
      </c>
      <c r="B18538" s="4">
        <v>8756</v>
      </c>
      <c r="D18538" s="5" t="s">
        <v>22677</v>
      </c>
      <c r="E18538" s="6" t="str">
        <f>HYPERLINK("https://inpn.mnhn.fr/espece/cd_nom/8756","Aphaenops loubensi Jeannel, 1953")</f>
        <v>Aphaenops loubensi Jeannel, 1953</v>
      </c>
      <c r="F18538" s="5" t="s">
        <v>22678</v>
      </c>
      <c r="L18538" s="4" t="str">
        <f>HYPERLINK("#Réglementation!A"&amp;_xlfn.XMATCH("NI3",Réglementation!A:A,2,1),"NI3")</f>
        <v>NI3</v>
      </c>
      <c r="AH18538" s="4" t="str">
        <f>HYPERLINK("#Statut_biogéographique!A"&amp;_xlfn.XMATCH("P",Statut_biogéographique!A:A,2,1),"P")</f>
        <v>P</v>
      </c>
      <c r="AP18538" s="4" t="s">
        <v>376</v>
      </c>
      <c r="AR18538" s="4" t="s">
        <v>377</v>
      </c>
    </row>
    <row r="18539" spans="1:44">
      <c r="A18539" s="4" t="s">
        <v>10753</v>
      </c>
      <c r="B18539" s="4">
        <v>8763</v>
      </c>
      <c r="D18539" s="5" t="s">
        <v>22679</v>
      </c>
      <c r="E18539" s="6" t="str">
        <f>HYPERLINK("https://inpn.mnhn.fr/espece/cd_nom/8763","Pogonus littoralis (Duftschmid, 1812)")</f>
        <v>Pogonus littoralis (Duftschmid, 1812)</v>
      </c>
      <c r="AH18539" s="4" t="str">
        <f>HYPERLINK("#Statut_biogéographique!A"&amp;_xlfn.XMATCH("P",Statut_biogéographique!A:A,2,1),"P")</f>
        <v>P</v>
      </c>
      <c r="AP18539" s="4" t="s">
        <v>376</v>
      </c>
      <c r="AR18539" s="4" t="s">
        <v>377</v>
      </c>
    </row>
    <row r="18540" spans="1:44">
      <c r="A18540" s="4" t="s">
        <v>10753</v>
      </c>
      <c r="B18540" s="4">
        <v>8782</v>
      </c>
      <c r="D18540" s="5" t="s">
        <v>22680</v>
      </c>
      <c r="E18540" s="6" t="str">
        <f>HYPERLINK("https://inpn.mnhn.fr/espece/cd_nom/8782","Calathus fuscipes (Goeze, 1777)")</f>
        <v>Calathus fuscipes (Goeze, 1777)</v>
      </c>
      <c r="AH18540" s="4" t="str">
        <f>HYPERLINK("#Statut_biogéographique!A"&amp;_xlfn.XMATCH("P",Statut_biogéographique!A:A,2,1),"P")</f>
        <v>P</v>
      </c>
      <c r="AP18540" s="4" t="s">
        <v>376</v>
      </c>
      <c r="AR18540" s="4" t="s">
        <v>377</v>
      </c>
    </row>
    <row r="18541" spans="1:44" ht="30">
      <c r="A18541" s="4" t="s">
        <v>10753</v>
      </c>
      <c r="B18541" s="4">
        <v>8784</v>
      </c>
      <c r="D18541" s="5" t="s">
        <v>22681</v>
      </c>
      <c r="E18541" s="6" t="str">
        <f>HYPERLINK("https://inpn.mnhn.fr/espece/cd_nom/8784","Calathus melanocephalus (Linnaeus, 1758)")</f>
        <v>Calathus melanocephalus (Linnaeus, 1758)</v>
      </c>
      <c r="AH18541" s="4" t="str">
        <f>HYPERLINK("#Statut_biogéographique!A"&amp;_xlfn.XMATCH("P",Statut_biogéographique!A:A,2,1),"P")</f>
        <v>P</v>
      </c>
      <c r="AP18541" s="4" t="s">
        <v>376</v>
      </c>
      <c r="AR18541" s="4" t="s">
        <v>377</v>
      </c>
    </row>
    <row r="18542" spans="1:44">
      <c r="A18542" s="4" t="s">
        <v>10753</v>
      </c>
      <c r="B18542" s="4">
        <v>8816</v>
      </c>
      <c r="D18542" s="5" t="s">
        <v>22682</v>
      </c>
      <c r="E18542" s="6" t="str">
        <f>HYPERLINK("https://inpn.mnhn.fr/espece/cd_nom/8816","Agonum lugens (Duftschmid, 1812)")</f>
        <v>Agonum lugens (Duftschmid, 1812)</v>
      </c>
      <c r="AH18542" s="4" t="str">
        <f>HYPERLINK("#Statut_biogéographique!A"&amp;_xlfn.XMATCH("P",Statut_biogéographique!A:A,2,1),"P")</f>
        <v>P</v>
      </c>
      <c r="AP18542" s="4" t="s">
        <v>376</v>
      </c>
      <c r="AR18542" s="4" t="s">
        <v>377</v>
      </c>
    </row>
    <row r="18543" spans="1:44">
      <c r="A18543" s="4" t="s">
        <v>10753</v>
      </c>
      <c r="B18543" s="4">
        <v>8817</v>
      </c>
      <c r="D18543" s="5" t="s">
        <v>22683</v>
      </c>
      <c r="E18543" s="6" t="str">
        <f>HYPERLINK("https://inpn.mnhn.fr/espece/cd_nom/8817","Agonum marginatum (Linnaeus, 1758)")</f>
        <v>Agonum marginatum (Linnaeus, 1758)</v>
      </c>
      <c r="F18543" s="5" t="s">
        <v>22684</v>
      </c>
      <c r="AH18543" s="4" t="str">
        <f>HYPERLINK("#Statut_biogéographique!A"&amp;_xlfn.XMATCH("P",Statut_biogéographique!A:A,2,1),"P")</f>
        <v>P</v>
      </c>
      <c r="AP18543" s="4" t="s">
        <v>376</v>
      </c>
      <c r="AR18543" s="4" t="s">
        <v>377</v>
      </c>
    </row>
    <row r="18544" spans="1:44">
      <c r="A18544" s="4" t="s">
        <v>10753</v>
      </c>
      <c r="B18544" s="4">
        <v>8819</v>
      </c>
      <c r="D18544" s="5" t="s">
        <v>22685</v>
      </c>
      <c r="E18544" s="6" t="str">
        <f>HYPERLINK("https://inpn.mnhn.fr/espece/cd_nom/8819","Agonum muelleri (Herbst, 1784)")</f>
        <v>Agonum muelleri (Herbst, 1784)</v>
      </c>
      <c r="AH18544" s="4" t="str">
        <f>HYPERLINK("#Statut_biogéographique!A"&amp;_xlfn.XMATCH("P",Statut_biogéographique!A:A,2,1),"P")</f>
        <v>P</v>
      </c>
      <c r="AP18544" s="4" t="s">
        <v>376</v>
      </c>
      <c r="AR18544" s="4" t="s">
        <v>377</v>
      </c>
    </row>
    <row r="18545" spans="1:44">
      <c r="A18545" s="4" t="s">
        <v>10753</v>
      </c>
      <c r="B18545" s="4">
        <v>8820</v>
      </c>
      <c r="D18545" s="5" t="s">
        <v>22686</v>
      </c>
      <c r="E18545" s="6" t="str">
        <f>HYPERLINK("https://inpn.mnhn.fr/espece/cd_nom/8820","Agonum nigrum Dejean, 1828")</f>
        <v>Agonum nigrum Dejean, 1828</v>
      </c>
      <c r="AH18545" s="4" t="str">
        <f>HYPERLINK("#Statut_biogéographique!A"&amp;_xlfn.XMATCH("P",Statut_biogéographique!A:A,2,1),"P")</f>
        <v>P</v>
      </c>
      <c r="AP18545" s="4" t="s">
        <v>376</v>
      </c>
      <c r="AR18545" s="4" t="s">
        <v>377</v>
      </c>
    </row>
    <row r="18546" spans="1:44">
      <c r="A18546" s="4" t="s">
        <v>10753</v>
      </c>
      <c r="B18546" s="4">
        <v>8822</v>
      </c>
      <c r="D18546" s="5" t="s">
        <v>22687</v>
      </c>
      <c r="E18546" s="6" t="str">
        <f>HYPERLINK("https://inpn.mnhn.fr/espece/cd_nom/8822","Agonum sexpunctatum (Linnaeus, 1758)")</f>
        <v>Agonum sexpunctatum (Linnaeus, 1758)</v>
      </c>
      <c r="F18546" s="5" t="s">
        <v>22688</v>
      </c>
      <c r="AH18546" s="4" t="str">
        <f>HYPERLINK("#Statut_biogéographique!A"&amp;_xlfn.XMATCH("P",Statut_biogéographique!A:A,2,1),"P")</f>
        <v>P</v>
      </c>
      <c r="AP18546" s="4" t="s">
        <v>376</v>
      </c>
      <c r="AR18546" s="4" t="s">
        <v>377</v>
      </c>
    </row>
    <row r="18547" spans="1:44">
      <c r="A18547" s="4" t="s">
        <v>10753</v>
      </c>
      <c r="B18547" s="4">
        <v>8823</v>
      </c>
      <c r="D18547" s="5" t="s">
        <v>22689</v>
      </c>
      <c r="E18547" s="6" t="str">
        <f>HYPERLINK("https://inpn.mnhn.fr/espece/cd_nom/8823","Agonum thoreyi Dejean, 1828")</f>
        <v>Agonum thoreyi Dejean, 1828</v>
      </c>
      <c r="AH18547" s="4" t="str">
        <f>HYPERLINK("#Statut_biogéographique!A"&amp;_xlfn.XMATCH("P",Statut_biogéographique!A:A,2,1),"P")</f>
        <v>P</v>
      </c>
      <c r="AP18547" s="4" t="s">
        <v>376</v>
      </c>
      <c r="AR18547" s="4" t="s">
        <v>377</v>
      </c>
    </row>
    <row r="18548" spans="1:44">
      <c r="A18548" s="4" t="s">
        <v>10753</v>
      </c>
      <c r="B18548" s="4">
        <v>8824</v>
      </c>
      <c r="D18548" s="5" t="s">
        <v>22690</v>
      </c>
      <c r="E18548" s="6" t="str">
        <f>HYPERLINK("https://inpn.mnhn.fr/espece/cd_nom/8824","Agonum versutum Sturm, 1824")</f>
        <v>Agonum versutum Sturm, 1824</v>
      </c>
      <c r="AH18548" s="4" t="str">
        <f>HYPERLINK("#Statut_biogéographique!A"&amp;_xlfn.XMATCH("P",Statut_biogéographique!A:A,2,1),"P")</f>
        <v>P</v>
      </c>
      <c r="AP18548" s="4" t="s">
        <v>376</v>
      </c>
      <c r="AR18548" s="4" t="s">
        <v>377</v>
      </c>
    </row>
    <row r="18549" spans="1:44">
      <c r="A18549" s="4" t="s">
        <v>10753</v>
      </c>
      <c r="B18549" s="4">
        <v>8825</v>
      </c>
      <c r="D18549" s="5" t="s">
        <v>22691</v>
      </c>
      <c r="E18549" s="6" t="str">
        <f>HYPERLINK("https://inpn.mnhn.fr/espece/cd_nom/8825","Agonum viduum (Panzer, 1796)")</f>
        <v>Agonum viduum (Panzer, 1796)</v>
      </c>
      <c r="AH18549" s="4" t="str">
        <f>HYPERLINK("#Statut_biogéographique!A"&amp;_xlfn.XMATCH("P",Statut_biogéographique!A:A,2,1),"P")</f>
        <v>P</v>
      </c>
      <c r="AP18549" s="4" t="s">
        <v>376</v>
      </c>
      <c r="AR18549" s="4" t="s">
        <v>377</v>
      </c>
    </row>
    <row r="18550" spans="1:44" ht="30">
      <c r="A18550" s="4" t="s">
        <v>10753</v>
      </c>
      <c r="B18550" s="4">
        <v>8826</v>
      </c>
      <c r="D18550" s="5" t="s">
        <v>22692</v>
      </c>
      <c r="E18550" s="6" t="str">
        <f>HYPERLINK("https://inpn.mnhn.fr/espece/cd_nom/8826","Agonum viridicupreum (Goeze, 1777)")</f>
        <v>Agonum viridicupreum (Goeze, 1777)</v>
      </c>
      <c r="F18550" s="5" t="s">
        <v>22693</v>
      </c>
      <c r="AH18550" s="4" t="str">
        <f>HYPERLINK("#Statut_biogéographique!A"&amp;_xlfn.XMATCH("P",Statut_biogéographique!A:A,2,1),"P")</f>
        <v>P</v>
      </c>
      <c r="AP18550" s="4" t="s">
        <v>376</v>
      </c>
      <c r="AR18550" s="4" t="s">
        <v>377</v>
      </c>
    </row>
    <row r="18551" spans="1:44" ht="30">
      <c r="A18551" s="4" t="s">
        <v>10753</v>
      </c>
      <c r="B18551" s="4">
        <v>8838</v>
      </c>
      <c r="D18551" s="5" t="s">
        <v>22694</v>
      </c>
      <c r="E18551" s="6" t="str">
        <f>HYPERLINK("https://inpn.mnhn.fr/espece/cd_nom/8838","Platynus assimilis (Paykull, 1790)")</f>
        <v>Platynus assimilis (Paykull, 1790)</v>
      </c>
      <c r="AH18551" s="4" t="str">
        <f>HYPERLINK("#Statut_biogéographique!A"&amp;_xlfn.XMATCH("P",Statut_biogéographique!A:A,2,1),"P")</f>
        <v>P</v>
      </c>
      <c r="AP18551" s="4" t="s">
        <v>376</v>
      </c>
      <c r="AR18551" s="4" t="s">
        <v>377</v>
      </c>
    </row>
    <row r="18552" spans="1:44">
      <c r="A18552" s="4" t="s">
        <v>10753</v>
      </c>
      <c r="B18552" s="4">
        <v>883879</v>
      </c>
      <c r="D18552" s="5" t="s">
        <v>22695</v>
      </c>
      <c r="E18552" s="6" t="str">
        <f>HYPERLINK("https://inpn.mnhn.fr/espece/cd_nom/883879","Lasioglossum monstrificum (Morawitz, 1891)")</f>
        <v>Lasioglossum monstrificum (Morawitz, 1891)</v>
      </c>
      <c r="O18552" s="7" t="str">
        <f>HYPERLINK("#Liste_rouge!A"&amp;_xlfn.XMATCH("NT",Liste_rouge!A:A,2,1),"NT")</f>
        <v>NT</v>
      </c>
      <c r="P18552" s="7" t="str">
        <f>HYPERLINK("#Liste_rouge!A"&amp;_xlfn.XMATCH("NT",Liste_rouge!A:A,2,1),"NT")</f>
        <v>NT</v>
      </c>
      <c r="AH18552" s="4" t="str">
        <f>HYPERLINK("#Statut_biogéographique!A"&amp;_xlfn.XMATCH("P",Statut_biogéographique!A:A,2,1),"P")</f>
        <v>P</v>
      </c>
      <c r="AP18552" s="4" t="s">
        <v>376</v>
      </c>
      <c r="AR18552" s="4" t="s">
        <v>377</v>
      </c>
    </row>
    <row r="18553" spans="1:44" ht="30">
      <c r="A18553" s="4" t="s">
        <v>10753</v>
      </c>
      <c r="B18553" s="4">
        <v>884490</v>
      </c>
      <c r="D18553" s="5" t="s">
        <v>22696</v>
      </c>
      <c r="E18553" s="6" t="str">
        <f>HYPERLINK("https://inpn.mnhn.fr/espece/cd_nom/884490","Orchestes iota (Fabricius, 1787)")</f>
        <v>Orchestes iota (Fabricius, 1787)</v>
      </c>
      <c r="AH18553" s="4" t="str">
        <f>HYPERLINK("#Statut_biogéographique!A"&amp;_xlfn.XMATCH("P",Statut_biogéographique!A:A,2,1),"P")</f>
        <v>P</v>
      </c>
      <c r="AP18553" s="4" t="s">
        <v>376</v>
      </c>
      <c r="AR18553" s="4" t="s">
        <v>377</v>
      </c>
    </row>
    <row r="18554" spans="1:44">
      <c r="A18554" s="4" t="s">
        <v>10753</v>
      </c>
      <c r="B18554" s="4">
        <v>884524</v>
      </c>
      <c r="D18554" s="5" t="s">
        <v>22697</v>
      </c>
      <c r="E18554" s="6" t="str">
        <f>HYPERLINK("https://inpn.mnhn.fr/espece/cd_nom/884524","Stenaphorura denisi Bagnall, 1935")</f>
        <v>Stenaphorura denisi Bagnall, 1935</v>
      </c>
      <c r="AH18554" s="4" t="str">
        <f>HYPERLINK("#Statut_biogéographique!A"&amp;_xlfn.XMATCH("P",Statut_biogéographique!A:A,2,1),"P")</f>
        <v>P</v>
      </c>
      <c r="AP18554" s="4" t="s">
        <v>376</v>
      </c>
      <c r="AR18554" s="4" t="s">
        <v>377</v>
      </c>
    </row>
    <row r="18555" spans="1:44">
      <c r="A18555" s="4" t="s">
        <v>10753</v>
      </c>
      <c r="B18555" s="4">
        <v>8847</v>
      </c>
      <c r="D18555" s="5">
        <v>8847</v>
      </c>
      <c r="E18555" s="6" t="str">
        <f>HYPERLINK("https://inpn.mnhn.fr/espece/cd_nom/8847","Stenus guttula P. Müller, 1821")</f>
        <v>Stenus guttula P. Müller, 1821</v>
      </c>
      <c r="AH18555" s="4" t="str">
        <f>HYPERLINK("#Statut_biogéographique!A"&amp;_xlfn.XMATCH("P",Statut_biogéographique!A:A,2,1),"P")</f>
        <v>P</v>
      </c>
      <c r="AP18555" s="4" t="s">
        <v>376</v>
      </c>
      <c r="AR18555" s="4" t="s">
        <v>377</v>
      </c>
    </row>
    <row r="18556" spans="1:44">
      <c r="A18556" s="4" t="s">
        <v>10753</v>
      </c>
      <c r="B18556" s="4">
        <v>8849</v>
      </c>
      <c r="D18556" s="5">
        <v>8849</v>
      </c>
      <c r="E18556" s="6" t="str">
        <f>HYPERLINK("https://inpn.mnhn.fr/espece/cd_nom/8849","Stenus impressus Germar, 1823")</f>
        <v>Stenus impressus Germar, 1823</v>
      </c>
      <c r="AH18556" s="4" t="str">
        <f>HYPERLINK("#Statut_biogéographique!A"&amp;_xlfn.XMATCH("P",Statut_biogéographique!A:A,2,1),"P")</f>
        <v>P</v>
      </c>
      <c r="AP18556" s="4" t="s">
        <v>376</v>
      </c>
      <c r="AR18556" s="4" t="s">
        <v>377</v>
      </c>
    </row>
    <row r="18557" spans="1:44">
      <c r="A18557" s="4" t="s">
        <v>10753</v>
      </c>
      <c r="B18557" s="4">
        <v>8850</v>
      </c>
      <c r="D18557" s="5">
        <v>8850</v>
      </c>
      <c r="E18557" s="6" t="str">
        <f>HYPERLINK("https://inpn.mnhn.fr/espece/cd_nom/8850","Stenus incanus Erichson, 1839")</f>
        <v>Stenus incanus Erichson, 1839</v>
      </c>
      <c r="AH18557" s="4" t="str">
        <f>HYPERLINK("#Statut_biogéographique!A"&amp;_xlfn.XMATCH("P",Statut_biogéographique!A:A,2,1),"P")</f>
        <v>P</v>
      </c>
      <c r="AP18557" s="4" t="s">
        <v>376</v>
      </c>
      <c r="AR18557" s="4" t="s">
        <v>377</v>
      </c>
    </row>
    <row r="18558" spans="1:44" ht="45">
      <c r="A18558" s="4" t="s">
        <v>10753</v>
      </c>
      <c r="B18558" s="4">
        <v>885038</v>
      </c>
      <c r="D18558" s="5" t="s">
        <v>22698</v>
      </c>
      <c r="E18558" s="6" t="str">
        <f>HYPERLINK("https://inpn.mnhn.fr/espece/cd_nom/885038","Xeroplexa intersecta (Poiret, 1801)")</f>
        <v>Xeroplexa intersecta (Poiret, 1801)</v>
      </c>
      <c r="F18558" s="5" t="s">
        <v>22699</v>
      </c>
      <c r="O18558" s="7" t="str">
        <f>HYPERLINK("#Liste_rouge!A"&amp;_xlfn.XMATCH("LC",Liste_rouge!A:A,2,1),"LC")</f>
        <v>LC</v>
      </c>
      <c r="P18558" s="7" t="str">
        <f>HYPERLINK("#Liste_rouge!A"&amp;_xlfn.XMATCH("LC",Liste_rouge!A:A,2,1),"LC")</f>
        <v>LC</v>
      </c>
      <c r="Q18558" s="7" t="str">
        <f>HYPERLINK("#Liste_rouge!A"&amp;_xlfn.XMATCH("LC",Liste_rouge!A:A,2,1),"LC")</f>
        <v>LC</v>
      </c>
      <c r="AH18558" s="4" t="str">
        <f>HYPERLINK("#Statut_biogéographique!A"&amp;_xlfn.XMATCH("P",Statut_biogéographique!A:A,2,1),"P")</f>
        <v>P</v>
      </c>
      <c r="AM18558" s="4" t="s">
        <v>375</v>
      </c>
      <c r="AN18558" s="4" t="s">
        <v>375</v>
      </c>
      <c r="AO18558" s="4" t="s">
        <v>375</v>
      </c>
      <c r="AP18558" s="4" t="s">
        <v>376</v>
      </c>
      <c r="AR18558" s="4" t="s">
        <v>377</v>
      </c>
    </row>
    <row r="18559" spans="1:44">
      <c r="A18559" s="4" t="s">
        <v>10753</v>
      </c>
      <c r="B18559" s="4">
        <v>8856</v>
      </c>
      <c r="D18559" s="5">
        <v>8856</v>
      </c>
      <c r="E18559" s="6" t="str">
        <f>HYPERLINK("https://inpn.mnhn.fr/espece/cd_nom/8856","Stenus nanus Stephens, 1833")</f>
        <v>Stenus nanus Stephens, 1833</v>
      </c>
      <c r="AH18559" s="4" t="str">
        <f>HYPERLINK("#Statut_biogéographique!A"&amp;_xlfn.XMATCH("P",Statut_biogéographique!A:A,2,1),"P")</f>
        <v>P</v>
      </c>
      <c r="AP18559" s="4" t="s">
        <v>376</v>
      </c>
      <c r="AR18559" s="4" t="s">
        <v>377</v>
      </c>
    </row>
    <row r="18560" spans="1:44">
      <c r="A18560" s="4" t="s">
        <v>10753</v>
      </c>
      <c r="B18560" s="4">
        <v>885674</v>
      </c>
      <c r="D18560" s="5" t="s">
        <v>22700</v>
      </c>
      <c r="E18560" s="6" t="str">
        <f>HYPERLINK("https://inpn.mnhn.fr/espece/cd_nom/885674","Edentiella edentula (Draparnaud, 1805)")</f>
        <v>Edentiella edentula (Draparnaud, 1805)</v>
      </c>
      <c r="F18560" s="5" t="s">
        <v>22701</v>
      </c>
      <c r="O18560" s="7" t="str">
        <f>HYPERLINK("#Liste_rouge!A"&amp;_xlfn.XMATCH("LC",Liste_rouge!A:A,2,1),"LC")</f>
        <v>LC</v>
      </c>
      <c r="P18560" s="7" t="str">
        <f>HYPERLINK("#Liste_rouge!A"&amp;_xlfn.XMATCH("LC",Liste_rouge!A:A,2,1),"LC")</f>
        <v>LC</v>
      </c>
      <c r="Q18560" s="7" t="str">
        <f>HYPERLINK("#Liste_rouge!A"&amp;_xlfn.XMATCH("LC",Liste_rouge!A:A,2,1),"LC")</f>
        <v>LC</v>
      </c>
      <c r="AH18560" s="4" t="str">
        <f>HYPERLINK("#Statut_biogéographique!A"&amp;_xlfn.XMATCH("P",Statut_biogéographique!A:A,2,1),"P")</f>
        <v>P</v>
      </c>
      <c r="AM18560" s="4" t="s">
        <v>375</v>
      </c>
      <c r="AN18560" s="4" t="s">
        <v>375</v>
      </c>
      <c r="AO18560" s="4" t="s">
        <v>375</v>
      </c>
      <c r="AP18560" s="4" t="s">
        <v>376</v>
      </c>
      <c r="AR18560" s="4" t="s">
        <v>377</v>
      </c>
    </row>
    <row r="18561" spans="1:44" ht="30">
      <c r="A18561" s="4" t="s">
        <v>10753</v>
      </c>
      <c r="B18561" s="4">
        <v>885685</v>
      </c>
      <c r="D18561" s="5" t="s">
        <v>22702</v>
      </c>
      <c r="E18561" s="6" t="str">
        <f>HYPERLINK("https://inpn.mnhn.fr/espece/cd_nom/885685","Edentiella edentula edentula (Draparnaud, 1805)")</f>
        <v>Edentiella edentula edentula (Draparnaud, 1805)</v>
      </c>
      <c r="F18561" s="5" t="s">
        <v>22701</v>
      </c>
      <c r="AH18561" s="4" t="str">
        <f>HYPERLINK("#Statut_biogéographique!A"&amp;_xlfn.XMATCH("P",Statut_biogéographique!A:A,2,1),"P")</f>
        <v>P</v>
      </c>
      <c r="AP18561" s="4" t="s">
        <v>376</v>
      </c>
      <c r="AR18561" s="4" t="s">
        <v>377</v>
      </c>
    </row>
    <row r="18562" spans="1:44">
      <c r="A18562" s="4" t="s">
        <v>10753</v>
      </c>
      <c r="B18562" s="4">
        <v>8857</v>
      </c>
      <c r="D18562" s="5">
        <v>8857</v>
      </c>
      <c r="E18562" s="6" t="str">
        <f>HYPERLINK("https://inpn.mnhn.fr/espece/cd_nom/8857","Stenus nitidiusculus Stephens, 1833")</f>
        <v>Stenus nitidiusculus Stephens, 1833</v>
      </c>
      <c r="AH18562" s="4" t="str">
        <f>HYPERLINK("#Statut_biogéographique!A"&amp;_xlfn.XMATCH("P",Statut_biogéographique!A:A,2,1),"P")</f>
        <v>P</v>
      </c>
      <c r="AP18562" s="4" t="s">
        <v>376</v>
      </c>
      <c r="AR18562" s="4" t="s">
        <v>377</v>
      </c>
    </row>
    <row r="18563" spans="1:44">
      <c r="A18563" s="4" t="s">
        <v>10753</v>
      </c>
      <c r="B18563" s="4">
        <v>885760</v>
      </c>
      <c r="D18563" s="5" t="s">
        <v>22703</v>
      </c>
      <c r="E18563" s="6" t="str">
        <f>HYPERLINK("https://inpn.mnhn.fr/espece/cd_nom/885760","Edentiella edentula helvetica (Poliński, 1929)")</f>
        <v>Edentiella edentula helvetica (Poliński, 1929)</v>
      </c>
      <c r="F18563" s="5" t="s">
        <v>22704</v>
      </c>
      <c r="AH18563" s="4" t="str">
        <f>HYPERLINK("#Statut_biogéographique!A"&amp;_xlfn.XMATCH("P",Statut_biogéographique!A:A,2,1),"P")</f>
        <v>P</v>
      </c>
      <c r="AP18563" s="4" t="s">
        <v>376</v>
      </c>
      <c r="AR18563" s="4" t="s">
        <v>377</v>
      </c>
    </row>
    <row r="18564" spans="1:44">
      <c r="A18564" s="4" t="s">
        <v>10753</v>
      </c>
      <c r="B18564" s="4">
        <v>8858</v>
      </c>
      <c r="D18564" s="5">
        <v>8858</v>
      </c>
      <c r="E18564" s="6" t="str">
        <f>HYPERLINK("https://inpn.mnhn.fr/espece/cd_nom/8858","Stenus niveus Fauvel, 1865")</f>
        <v>Stenus niveus Fauvel, 1865</v>
      </c>
      <c r="AH18564" s="4" t="str">
        <f>HYPERLINK("#Statut_biogéographique!A"&amp;_xlfn.XMATCH("P",Statut_biogéographique!A:A,2,1),"P")</f>
        <v>P</v>
      </c>
      <c r="AP18564" s="4" t="s">
        <v>376</v>
      </c>
      <c r="AR18564" s="4" t="s">
        <v>377</v>
      </c>
    </row>
    <row r="18565" spans="1:44">
      <c r="A18565" s="4" t="s">
        <v>10753</v>
      </c>
      <c r="B18565" s="4">
        <v>8859</v>
      </c>
      <c r="D18565" s="5">
        <v>8859</v>
      </c>
      <c r="E18565" s="6" t="str">
        <f>HYPERLINK("https://inpn.mnhn.fr/espece/cd_nom/8859","Stenus providus Erichson, 1839")</f>
        <v>Stenus providus Erichson, 1839</v>
      </c>
      <c r="AH18565" s="4" t="str">
        <f>HYPERLINK("#Statut_biogéographique!A"&amp;_xlfn.XMATCH("P",Statut_biogéographique!A:A,2,1),"P")</f>
        <v>P</v>
      </c>
      <c r="AP18565" s="4" t="s">
        <v>376</v>
      </c>
      <c r="AR18565" s="4" t="s">
        <v>377</v>
      </c>
    </row>
    <row r="18566" spans="1:44">
      <c r="A18566" s="4" t="s">
        <v>10753</v>
      </c>
      <c r="B18566" s="4">
        <v>885913</v>
      </c>
      <c r="D18566" s="5" t="s">
        <v>22705</v>
      </c>
      <c r="E18566" s="6" t="str">
        <f>HYPERLINK("https://inpn.mnhn.fr/espece/cd_nom/885913","Nartus grapii (Gyllenhal, 1808)")</f>
        <v>Nartus grapii (Gyllenhal, 1808)</v>
      </c>
      <c r="AH18566" s="4" t="str">
        <f>HYPERLINK("#Statut_biogéographique!A"&amp;_xlfn.XMATCH("P",Statut_biogéographique!A:A,2,1),"P")</f>
        <v>P</v>
      </c>
      <c r="AP18566" s="4" t="s">
        <v>376</v>
      </c>
      <c r="AR18566" s="4" t="s">
        <v>377</v>
      </c>
    </row>
    <row r="18567" spans="1:44">
      <c r="A18567" s="4" t="s">
        <v>10753</v>
      </c>
      <c r="B18567" s="4">
        <v>885916</v>
      </c>
      <c r="D18567" s="5" t="s">
        <v>22706</v>
      </c>
      <c r="E18567" s="6" t="str">
        <f>HYPERLINK("https://inpn.mnhn.fr/espece/cd_nom/885916","Clemnius decoratus (Gyllenhal, 1810)")</f>
        <v>Clemnius decoratus (Gyllenhal, 1810)</v>
      </c>
      <c r="AH18567" s="4" t="str">
        <f>HYPERLINK("#Statut_biogéographique!A"&amp;_xlfn.XMATCH("P",Statut_biogéographique!A:A,2,1),"P")</f>
        <v>P</v>
      </c>
      <c r="AP18567" s="4" t="s">
        <v>376</v>
      </c>
      <c r="AR18567" s="4" t="s">
        <v>377</v>
      </c>
    </row>
    <row r="18568" spans="1:44">
      <c r="A18568" s="4" t="s">
        <v>10753</v>
      </c>
      <c r="B18568" s="4">
        <v>886</v>
      </c>
      <c r="D18568" s="5">
        <v>886</v>
      </c>
      <c r="E18568" s="6" t="str">
        <f>HYPERLINK("https://inpn.mnhn.fr/espece/cd_nom/886","Atypus affinis Eichwald, 1830")</f>
        <v>Atypus affinis Eichwald, 1830</v>
      </c>
      <c r="F18568" s="5" t="s">
        <v>22707</v>
      </c>
      <c r="Q18568" s="7" t="str">
        <f>HYPERLINK("#Liste_rouge!A"&amp;_xlfn.XMATCH("LC",Liste_rouge!A:A,2,1),"LC")</f>
        <v>LC</v>
      </c>
      <c r="AH18568" s="4" t="str">
        <f>HYPERLINK("#Statut_biogéographique!A"&amp;_xlfn.XMATCH("P",Statut_biogéographique!A:A,2,1),"P")</f>
        <v>P</v>
      </c>
      <c r="AP18568" s="4" t="s">
        <v>376</v>
      </c>
      <c r="AR18568" s="4" t="s">
        <v>377</v>
      </c>
    </row>
    <row r="18569" spans="1:44">
      <c r="A18569" s="4" t="s">
        <v>10753</v>
      </c>
      <c r="B18569" s="4">
        <v>8860</v>
      </c>
      <c r="D18569" s="5">
        <v>8860</v>
      </c>
      <c r="E18569" s="6" t="str">
        <f>HYPERLINK("https://inpn.mnhn.fr/espece/cd_nom/8860","Stenus pubescens Stephens, 1833")</f>
        <v>Stenus pubescens Stephens, 1833</v>
      </c>
      <c r="AH18569" s="4" t="str">
        <f>HYPERLINK("#Statut_biogéographique!A"&amp;_xlfn.XMATCH("P",Statut_biogéographique!A:A,2,1),"P")</f>
        <v>P</v>
      </c>
      <c r="AP18569" s="4" t="s">
        <v>376</v>
      </c>
      <c r="AR18569" s="4" t="s">
        <v>377</v>
      </c>
    </row>
    <row r="18570" spans="1:44">
      <c r="A18570" s="4" t="s">
        <v>10753</v>
      </c>
      <c r="B18570" s="4">
        <v>886036</v>
      </c>
      <c r="D18570" s="5">
        <v>886036</v>
      </c>
      <c r="E18570" s="6" t="str">
        <f>HYPERLINK("https://inpn.mnhn.fr/espece/cd_nom/886036","Potamophylax horgos Coppa &amp; Oláh, 2013")</f>
        <v>Potamophylax horgos Coppa &amp; Oláh, 2013</v>
      </c>
      <c r="AH18570" s="4" t="str">
        <f>HYPERLINK("#Statut_biogéographique!A"&amp;_xlfn.XMATCH("P",Statut_biogéographique!A:A,2,1),"P")</f>
        <v>P</v>
      </c>
      <c r="AP18570" s="4" t="s">
        <v>376</v>
      </c>
      <c r="AR18570" s="4" t="s">
        <v>377</v>
      </c>
    </row>
    <row r="18571" spans="1:44">
      <c r="A18571" s="4" t="s">
        <v>10753</v>
      </c>
      <c r="B18571" s="4">
        <v>8864</v>
      </c>
      <c r="D18571" s="5">
        <v>8864</v>
      </c>
      <c r="E18571" s="6" t="str">
        <f>HYPERLINK("https://inpn.mnhn.fr/espece/cd_nom/8864","Stenus subaeneus Erichson, 1840")</f>
        <v>Stenus subaeneus Erichson, 1840</v>
      </c>
      <c r="AH18571" s="4" t="str">
        <f>HYPERLINK("#Statut_biogéographique!A"&amp;_xlfn.XMATCH("P",Statut_biogéographique!A:A,2,1),"P")</f>
        <v>P</v>
      </c>
      <c r="AP18571" s="4" t="s">
        <v>376</v>
      </c>
      <c r="AR18571" s="4" t="s">
        <v>377</v>
      </c>
    </row>
    <row r="18572" spans="1:44">
      <c r="A18572" s="4" t="s">
        <v>10753</v>
      </c>
      <c r="B18572" s="4">
        <v>8866</v>
      </c>
      <c r="D18572" s="5">
        <v>8866</v>
      </c>
      <c r="E18572" s="6" t="str">
        <f>HYPERLINK("https://inpn.mnhn.fr/espece/cd_nom/8866","Stenus tarsalis Ljungh, 1810")</f>
        <v>Stenus tarsalis Ljungh, 1810</v>
      </c>
      <c r="AH18572" s="4" t="str">
        <f>HYPERLINK("#Statut_biogéographique!A"&amp;_xlfn.XMATCH("P",Statut_biogéographique!A:A,2,1),"P")</f>
        <v>P</v>
      </c>
      <c r="AP18572" s="4" t="s">
        <v>376</v>
      </c>
      <c r="AR18572" s="4" t="s">
        <v>377</v>
      </c>
    </row>
    <row r="18573" spans="1:44">
      <c r="A18573" s="4" t="s">
        <v>10753</v>
      </c>
      <c r="B18573" s="4">
        <v>8867</v>
      </c>
      <c r="D18573" s="5" t="s">
        <v>22708</v>
      </c>
      <c r="E18573" s="6" t="str">
        <f>HYPERLINK("https://inpn.mnhn.fr/espece/cd_nom/8867","Stenus solutus Erichson, 1840")</f>
        <v>Stenus solutus Erichson, 1840</v>
      </c>
      <c r="AH18573" s="4" t="str">
        <f>HYPERLINK("#Statut_biogéographique!A"&amp;_xlfn.XMATCH("P",Statut_biogéographique!A:A,2,1),"P")</f>
        <v>P</v>
      </c>
      <c r="AP18573" s="4" t="s">
        <v>376</v>
      </c>
      <c r="AR18573" s="4" t="s">
        <v>377</v>
      </c>
    </row>
    <row r="18574" spans="1:44">
      <c r="A18574" s="4" t="s">
        <v>10753</v>
      </c>
      <c r="B18574" s="4">
        <v>887</v>
      </c>
      <c r="D18574" s="5" t="s">
        <v>22709</v>
      </c>
      <c r="E18574" s="6" t="str">
        <f>HYPERLINK("https://inpn.mnhn.fr/espece/cd_nom/887","Atypus piceus (Sulzer, 1776)")</f>
        <v>Atypus piceus (Sulzer, 1776)</v>
      </c>
      <c r="Q18574" s="7" t="str">
        <f>HYPERLINK("#Liste_rouge!A"&amp;_xlfn.XMATCH("LC",Liste_rouge!A:A,2,1),"LC")</f>
        <v>LC</v>
      </c>
      <c r="AH18574" s="4" t="str">
        <f>HYPERLINK("#Statut_biogéographique!A"&amp;_xlfn.XMATCH("P",Statut_biogéographique!A:A,2,1),"P")</f>
        <v>P</v>
      </c>
      <c r="AP18574" s="4" t="s">
        <v>376</v>
      </c>
      <c r="AR18574" s="4" t="s">
        <v>377</v>
      </c>
    </row>
    <row r="18575" spans="1:44">
      <c r="A18575" s="4" t="s">
        <v>10753</v>
      </c>
      <c r="B18575" s="4">
        <v>8871</v>
      </c>
      <c r="D18575" s="5" t="s">
        <v>22710</v>
      </c>
      <c r="E18575" s="6" t="str">
        <f>HYPERLINK("https://inpn.mnhn.fr/espece/cd_nom/8871","Oxyporus rufus (Linnaeus, 1758)")</f>
        <v>Oxyporus rufus (Linnaeus, 1758)</v>
      </c>
      <c r="F18575" s="5" t="s">
        <v>22711</v>
      </c>
      <c r="AH18575" s="4" t="str">
        <f>HYPERLINK("#Statut_biogéographique!A"&amp;_xlfn.XMATCH("P",Statut_biogéographique!A:A,2,1),"P")</f>
        <v>P</v>
      </c>
      <c r="AP18575" s="4" t="s">
        <v>376</v>
      </c>
      <c r="AR18575" s="4" t="s">
        <v>377</v>
      </c>
    </row>
    <row r="18576" spans="1:44">
      <c r="A18576" s="4" t="s">
        <v>10753</v>
      </c>
      <c r="B18576" s="4">
        <v>887318</v>
      </c>
      <c r="D18576" s="5" t="s">
        <v>22712</v>
      </c>
      <c r="E18576" s="6" t="str">
        <f>HYPERLINK("https://inpn.mnhn.fr/espece/cd_nom/887318","Anchoscelis pistacinoides (d'Aubuisson, 1867)")</f>
        <v>Anchoscelis pistacinoides (d'Aubuisson, 1867)</v>
      </c>
      <c r="F18576" s="5" t="s">
        <v>22713</v>
      </c>
      <c r="AH18576" s="4" t="str">
        <f>HYPERLINK("#Statut_biogéographique!A"&amp;_xlfn.XMATCH("P",Statut_biogéographique!A:A,2,1),"P")</f>
        <v>P</v>
      </c>
      <c r="AP18576" s="4" t="s">
        <v>376</v>
      </c>
      <c r="AR18576" s="4" t="s">
        <v>377</v>
      </c>
    </row>
    <row r="18577" spans="1:44" ht="30">
      <c r="A18577" s="4" t="s">
        <v>10753</v>
      </c>
      <c r="B18577" s="4">
        <v>887320</v>
      </c>
      <c r="D18577" s="5" t="s">
        <v>22714</v>
      </c>
      <c r="E18577" s="6" t="str">
        <f>HYPERLINK("https://inpn.mnhn.fr/espece/cd_nom/887320","Anchoscelis nitida (Denis &amp; Schiffermüller, 1775)")</f>
        <v>Anchoscelis nitida (Denis &amp; Schiffermüller, 1775)</v>
      </c>
      <c r="F18577" s="5" t="s">
        <v>22715</v>
      </c>
      <c r="AH18577" s="4" t="str">
        <f>HYPERLINK("#Statut_biogéographique!A"&amp;_xlfn.XMATCH("P",Statut_biogéographique!A:A,2,1),"P")</f>
        <v>P</v>
      </c>
      <c r="AP18577" s="4" t="s">
        <v>376</v>
      </c>
      <c r="AR18577" s="4" t="s">
        <v>377</v>
      </c>
    </row>
    <row r="18578" spans="1:44">
      <c r="A18578" s="4" t="s">
        <v>10753</v>
      </c>
      <c r="B18578" s="4">
        <v>887323</v>
      </c>
      <c r="D18578" s="5" t="s">
        <v>22716</v>
      </c>
      <c r="E18578" s="6" t="str">
        <f>HYPERLINK("https://inpn.mnhn.fr/espece/cd_nom/887323","Anchoscelis litura (Linnaeus, 1761)")</f>
        <v>Anchoscelis litura (Linnaeus, 1761)</v>
      </c>
      <c r="F18578" s="5" t="s">
        <v>22717</v>
      </c>
      <c r="AH18578" s="4" t="str">
        <f>HYPERLINK("#Statut_biogéographique!A"&amp;_xlfn.XMATCH("P",Statut_biogéographique!A:A,2,1),"P")</f>
        <v>P</v>
      </c>
      <c r="AP18578" s="4" t="s">
        <v>376</v>
      </c>
      <c r="AR18578" s="4" t="s">
        <v>377</v>
      </c>
    </row>
    <row r="18579" spans="1:44" ht="30">
      <c r="A18579" s="4" t="s">
        <v>10753</v>
      </c>
      <c r="B18579" s="4">
        <v>887329</v>
      </c>
      <c r="D18579" s="5" t="s">
        <v>22718</v>
      </c>
      <c r="E18579" s="6" t="str">
        <f>HYPERLINK("https://inpn.mnhn.fr/espece/cd_nom/887329","Anchoscelis helvola (Linnaeus, 1758)")</f>
        <v>Anchoscelis helvola (Linnaeus, 1758)</v>
      </c>
      <c r="F18579" s="5" t="s">
        <v>22719</v>
      </c>
      <c r="AH18579" s="4" t="str">
        <f>HYPERLINK("#Statut_biogéographique!A"&amp;_xlfn.XMATCH("P",Statut_biogéographique!A:A,2,1),"P")</f>
        <v>P</v>
      </c>
      <c r="AP18579" s="4" t="s">
        <v>376</v>
      </c>
      <c r="AR18579" s="4" t="s">
        <v>377</v>
      </c>
    </row>
    <row r="18580" spans="1:44">
      <c r="A18580" s="4" t="s">
        <v>10753</v>
      </c>
      <c r="B18580" s="4">
        <v>887334</v>
      </c>
      <c r="D18580" s="5" t="s">
        <v>22720</v>
      </c>
      <c r="E18580" s="6" t="str">
        <f>HYPERLINK("https://inpn.mnhn.fr/espece/cd_nom/887334","Leptologia blidaensis (Stertz, 1915)")</f>
        <v>Leptologia blidaensis (Stertz, 1915)</v>
      </c>
      <c r="F18580" s="5" t="s">
        <v>22721</v>
      </c>
      <c r="AH18580" s="4" t="str">
        <f>HYPERLINK("#Statut_biogéographique!A"&amp;_xlfn.XMATCH("P",Statut_biogéographique!A:A,2,1),"P")</f>
        <v>P</v>
      </c>
      <c r="AP18580" s="4" t="s">
        <v>376</v>
      </c>
      <c r="AR18580" s="4" t="s">
        <v>377</v>
      </c>
    </row>
    <row r="18581" spans="1:44">
      <c r="A18581" s="4" t="s">
        <v>10753</v>
      </c>
      <c r="B18581" s="4">
        <v>887336</v>
      </c>
      <c r="D18581" s="5" t="s">
        <v>22722</v>
      </c>
      <c r="E18581" s="6" t="str">
        <f>HYPERLINK("https://inpn.mnhn.fr/espece/cd_nom/887336","Leptologia lota (Clerck, 1759)")</f>
        <v>Leptologia lota (Clerck, 1759)</v>
      </c>
      <c r="F18581" s="5" t="s">
        <v>22723</v>
      </c>
      <c r="AH18581" s="4" t="str">
        <f>HYPERLINK("#Statut_biogéographique!A"&amp;_xlfn.XMATCH("P",Statut_biogéographique!A:A,2,1),"P")</f>
        <v>P</v>
      </c>
      <c r="AP18581" s="4" t="s">
        <v>376</v>
      </c>
      <c r="AR18581" s="4" t="s">
        <v>377</v>
      </c>
    </row>
    <row r="18582" spans="1:44">
      <c r="A18582" s="4" t="s">
        <v>10753</v>
      </c>
      <c r="B18582" s="4">
        <v>887340</v>
      </c>
      <c r="D18582" s="5" t="s">
        <v>22724</v>
      </c>
      <c r="E18582" s="6" t="str">
        <f>HYPERLINK("https://inpn.mnhn.fr/espece/cd_nom/887340","Leptologia macilenta (Hübner, 1809)")</f>
        <v>Leptologia macilenta (Hübner, 1809)</v>
      </c>
      <c r="F18582" s="5" t="s">
        <v>22725</v>
      </c>
      <c r="AH18582" s="4" t="str">
        <f>HYPERLINK("#Statut_biogéographique!A"&amp;_xlfn.XMATCH("P",Statut_biogéographique!A:A,2,1),"P")</f>
        <v>P</v>
      </c>
      <c r="AP18582" s="4" t="s">
        <v>376</v>
      </c>
      <c r="AR18582" s="4" t="s">
        <v>377</v>
      </c>
    </row>
    <row r="18583" spans="1:44">
      <c r="A18583" s="4" t="s">
        <v>10753</v>
      </c>
      <c r="B18583" s="4">
        <v>887343</v>
      </c>
      <c r="D18583" s="5" t="s">
        <v>22726</v>
      </c>
      <c r="E18583" s="6" t="str">
        <f>HYPERLINK("https://inpn.mnhn.fr/espece/cd_nom/887343","Sunira circellaris (Hufnagel, 1766)")</f>
        <v>Sunira circellaris (Hufnagel, 1766)</v>
      </c>
      <c r="F18583" s="5" t="s">
        <v>22727</v>
      </c>
      <c r="AH18583" s="4" t="str">
        <f>HYPERLINK("#Statut_biogéographique!A"&amp;_xlfn.XMATCH("P",Statut_biogéographique!A:A,2,1),"P")</f>
        <v>P</v>
      </c>
      <c r="AP18583" s="4" t="s">
        <v>376</v>
      </c>
      <c r="AR18583" s="4" t="s">
        <v>377</v>
      </c>
    </row>
    <row r="18584" spans="1:44" ht="30">
      <c r="A18584" s="4" t="s">
        <v>10753</v>
      </c>
      <c r="B18584" s="4">
        <v>887346</v>
      </c>
      <c r="D18584" s="5" t="s">
        <v>22728</v>
      </c>
      <c r="E18584" s="6" t="str">
        <f>HYPERLINK("https://inpn.mnhn.fr/espece/cd_nom/887346","Anchoscelis humilis (Denis &amp; Schiffermüller, 1775)")</f>
        <v>Anchoscelis humilis (Denis &amp; Schiffermüller, 1775)</v>
      </c>
      <c r="F18584" s="5" t="s">
        <v>22729</v>
      </c>
      <c r="AH18584" s="4" t="str">
        <f>HYPERLINK("#Statut_biogéographique!A"&amp;_xlfn.XMATCH("P",Statut_biogéographique!A:A,2,1),"P")</f>
        <v>P</v>
      </c>
      <c r="AP18584" s="4" t="s">
        <v>376</v>
      </c>
      <c r="AR18584" s="4" t="s">
        <v>377</v>
      </c>
    </row>
    <row r="18585" spans="1:44">
      <c r="A18585" s="4" t="s">
        <v>10753</v>
      </c>
      <c r="B18585" s="4">
        <v>887348</v>
      </c>
      <c r="D18585" s="5" t="s">
        <v>22730</v>
      </c>
      <c r="E18585" s="6" t="str">
        <f>HYPERLINK("https://inpn.mnhn.fr/espece/cd_nom/887348","Propenistra laevis (Hübner, 1803)")</f>
        <v>Propenistra laevis (Hübner, 1803)</v>
      </c>
      <c r="F18585" s="5" t="s">
        <v>22731</v>
      </c>
      <c r="AH18585" s="4" t="str">
        <f>HYPERLINK("#Statut_biogéographique!A"&amp;_xlfn.XMATCH("P",Statut_biogéographique!A:A,2,1),"P")</f>
        <v>P</v>
      </c>
      <c r="AP18585" s="4" t="s">
        <v>376</v>
      </c>
      <c r="AR18585" s="4" t="s">
        <v>377</v>
      </c>
    </row>
    <row r="18586" spans="1:44">
      <c r="A18586" s="4" t="s">
        <v>10753</v>
      </c>
      <c r="B18586" s="4">
        <v>888464</v>
      </c>
      <c r="D18586" s="5" t="s">
        <v>22732</v>
      </c>
      <c r="E18586" s="6" t="str">
        <f>HYPERLINK("https://inpn.mnhn.fr/espece/cd_nom/888464","Similicloeon simile (Eaton, 1870)")</f>
        <v>Similicloeon simile (Eaton, 1870)</v>
      </c>
      <c r="Q18586" s="7" t="str">
        <f>HYPERLINK("#Liste_rouge!A"&amp;_xlfn.XMATCH("LC",Liste_rouge!A:A,2,1),"LC")</f>
        <v>LC</v>
      </c>
      <c r="AH18586" s="4" t="str">
        <f>HYPERLINK("#Statut_biogéographique!A"&amp;_xlfn.XMATCH("P",Statut_biogéographique!A:A,2,1),"P")</f>
        <v>P</v>
      </c>
      <c r="AP18586" s="4" t="s">
        <v>376</v>
      </c>
      <c r="AR18586" s="4" t="s">
        <v>377</v>
      </c>
    </row>
    <row r="18587" spans="1:44" ht="30">
      <c r="A18587" s="4" t="s">
        <v>10753</v>
      </c>
      <c r="B18587" s="4">
        <v>8936</v>
      </c>
      <c r="D18587" s="5" t="s">
        <v>22733</v>
      </c>
      <c r="E18587" s="6" t="str">
        <f>HYPERLINK("https://inpn.mnhn.fr/espece/cd_nom/8936","Berosus affinis Brullé, 1835")</f>
        <v>Berosus affinis Brullé, 1835</v>
      </c>
      <c r="AH18587" s="4" t="str">
        <f>HYPERLINK("#Statut_biogéographique!A"&amp;_xlfn.XMATCH("P",Statut_biogéographique!A:A,2,1),"P")</f>
        <v>P</v>
      </c>
      <c r="AP18587" s="4" t="s">
        <v>376</v>
      </c>
      <c r="AR18587" s="4" t="s">
        <v>377</v>
      </c>
    </row>
    <row r="18588" spans="1:44">
      <c r="A18588" s="4" t="s">
        <v>10753</v>
      </c>
      <c r="B18588" s="4">
        <v>893770</v>
      </c>
      <c r="D18588" s="5" t="s">
        <v>22734</v>
      </c>
      <c r="E18588" s="6" t="str">
        <f>HYPERLINK("https://inpn.mnhn.fr/espece/cd_nom/893770","Polistes albellus Giordani Soika, 1976")</f>
        <v>Polistes albellus Giordani Soika, 1976</v>
      </c>
      <c r="AH18588" s="4" t="str">
        <f>HYPERLINK("#Statut_biogéographique!A"&amp;_xlfn.XMATCH("P",Statut_biogéographique!A:A,2,1),"P")</f>
        <v>P</v>
      </c>
      <c r="AP18588" s="4" t="s">
        <v>376</v>
      </c>
      <c r="AR18588" s="4" t="s">
        <v>377</v>
      </c>
    </row>
    <row r="18589" spans="1:44">
      <c r="A18589" s="4" t="s">
        <v>10753</v>
      </c>
      <c r="B18589" s="4">
        <v>894335</v>
      </c>
      <c r="D18589" s="5" t="s">
        <v>22735</v>
      </c>
      <c r="E18589" s="6" t="str">
        <f>HYPERLINK("https://inpn.mnhn.fr/espece/cd_nom/894335","Faxonius virilis (Hagen, 1870)")</f>
        <v>Faxonius virilis (Hagen, 1870)</v>
      </c>
      <c r="F18589" s="5" t="s">
        <v>22736</v>
      </c>
      <c r="O18589" s="7" t="str">
        <f>HYPERLINK("#Liste_rouge!A"&amp;_xlfn.XMATCH("LC",Liste_rouge!A:A,2,1),"LC")</f>
        <v>LC</v>
      </c>
      <c r="AH18589" s="4" t="str">
        <f>HYPERLINK("#Statut_biogéographique!A"&amp;_xlfn.XMATCH("I",Statut_biogéographique!A:A,2,1),"I")</f>
        <v>I</v>
      </c>
      <c r="AL18589" s="5" t="str">
        <f>HYPERLINK("#Réglementation!A"&amp;_xlfn.XMATCH("FRnoEEEA2",Réglementation!A:A,2,1),"FRnoEEEA2 - EEEUE")</f>
        <v>FRnoEEEA2 - EEEUE</v>
      </c>
      <c r="AP18589" s="4" t="s">
        <v>376</v>
      </c>
      <c r="AR18589" s="4" t="s">
        <v>377</v>
      </c>
    </row>
    <row r="18590" spans="1:44" ht="30">
      <c r="A18590" s="4" t="s">
        <v>10753</v>
      </c>
      <c r="B18590" s="4">
        <v>8944</v>
      </c>
      <c r="D18590" s="5" t="s">
        <v>22737</v>
      </c>
      <c r="E18590" s="6" t="str">
        <f>HYPERLINK("https://inpn.mnhn.fr/espece/cd_nom/8944","Hydrophilus piceus (Linnaeus, 1758)")</f>
        <v>Hydrophilus piceus (Linnaeus, 1758)</v>
      </c>
      <c r="F18590" s="5" t="s">
        <v>22738</v>
      </c>
      <c r="AH18590" s="4" t="str">
        <f>HYPERLINK("#Statut_biogéographique!A"&amp;_xlfn.XMATCH("P",Statut_biogéographique!A:A,2,1),"P")</f>
        <v>P</v>
      </c>
      <c r="AP18590" s="4" t="s">
        <v>376</v>
      </c>
      <c r="AR18590" s="4" t="s">
        <v>377</v>
      </c>
    </row>
    <row r="18591" spans="1:44">
      <c r="A18591" s="4" t="s">
        <v>10753</v>
      </c>
      <c r="B18591" s="4">
        <v>8946</v>
      </c>
      <c r="D18591" s="5" t="s">
        <v>22739</v>
      </c>
      <c r="E18591" s="6" t="str">
        <f>HYPERLINK("https://inpn.mnhn.fr/espece/cd_nom/8946","Limnoxenus niger (Gmelin, 1790)")</f>
        <v>Limnoxenus niger (Gmelin, 1790)</v>
      </c>
      <c r="AH18591" s="4" t="str">
        <f>HYPERLINK("#Statut_biogéographique!A"&amp;_xlfn.XMATCH("P",Statut_biogéographique!A:A,2,1),"P")</f>
        <v>P</v>
      </c>
      <c r="AP18591" s="4" t="s">
        <v>376</v>
      </c>
      <c r="AR18591" s="4" t="s">
        <v>377</v>
      </c>
    </row>
    <row r="18592" spans="1:44" ht="60">
      <c r="A18592" s="4" t="s">
        <v>10753</v>
      </c>
      <c r="B18592" s="4">
        <v>8949</v>
      </c>
      <c r="D18592" s="5" t="s">
        <v>22740</v>
      </c>
      <c r="E18592" s="6" t="str">
        <f>HYPERLINK("https://inpn.mnhn.fr/espece/cd_nom/8949","Hydrobius fuscipes (Linnaeus, 1758)")</f>
        <v>Hydrobius fuscipes (Linnaeus, 1758)</v>
      </c>
      <c r="F18592" s="5" t="s">
        <v>22741</v>
      </c>
      <c r="AH18592" s="4" t="str">
        <f>HYPERLINK("#Statut_biogéographique!A"&amp;_xlfn.XMATCH("P",Statut_biogéographique!A:A,2,1),"P")</f>
        <v>P</v>
      </c>
      <c r="AP18592" s="4" t="s">
        <v>376</v>
      </c>
      <c r="AR18592" s="4" t="s">
        <v>377</v>
      </c>
    </row>
    <row r="18593" spans="1:44" ht="30">
      <c r="A18593" s="4" t="s">
        <v>10753</v>
      </c>
      <c r="B18593" s="4">
        <v>8952</v>
      </c>
      <c r="D18593" s="5" t="s">
        <v>22742</v>
      </c>
      <c r="E18593" s="6" t="str">
        <f>HYPERLINK("https://inpn.mnhn.fr/espece/cd_nom/8952","Anacaena lutescens (Stephens, 1829)")</f>
        <v>Anacaena lutescens (Stephens, 1829)</v>
      </c>
      <c r="AH18593" s="4" t="str">
        <f>HYPERLINK("#Statut_biogéographique!A"&amp;_xlfn.XMATCH("P",Statut_biogéographique!A:A,2,1),"P")</f>
        <v>P</v>
      </c>
      <c r="AP18593" s="4" t="s">
        <v>376</v>
      </c>
      <c r="AR18593" s="4" t="s">
        <v>377</v>
      </c>
    </row>
    <row r="18594" spans="1:44" ht="30">
      <c r="A18594" s="4" t="s">
        <v>10753</v>
      </c>
      <c r="B18594" s="4">
        <v>8953</v>
      </c>
      <c r="D18594" s="5" t="s">
        <v>22743</v>
      </c>
      <c r="E18594" s="6" t="str">
        <f>HYPERLINK("https://inpn.mnhn.fr/espece/cd_nom/8953","Anacaena limbata (Fabricius, 1792)")</f>
        <v>Anacaena limbata (Fabricius, 1792)</v>
      </c>
      <c r="AH18594" s="4" t="str">
        <f>HYPERLINK("#Statut_biogéographique!A"&amp;_xlfn.XMATCH("P",Statut_biogéographique!A:A,2,1),"P")</f>
        <v>P</v>
      </c>
      <c r="AP18594" s="4" t="s">
        <v>376</v>
      </c>
      <c r="AR18594" s="4" t="s">
        <v>377</v>
      </c>
    </row>
    <row r="18595" spans="1:44">
      <c r="A18595" s="4" t="s">
        <v>10753</v>
      </c>
      <c r="B18595" s="4">
        <v>895360</v>
      </c>
      <c r="D18595" s="5">
        <v>895360</v>
      </c>
      <c r="E18595" s="6" t="str">
        <f>HYPERLINK("https://inpn.mnhn.fr/espece/cd_nom/895360","Brachyopa obscura Thompson &amp; Torp, 1982")</f>
        <v>Brachyopa obscura Thompson &amp; Torp, 1982</v>
      </c>
      <c r="O18595" s="7" t="str">
        <f>HYPERLINK("#Liste_rouge!A"&amp;_xlfn.XMATCH("LC",Liste_rouge!A:A,2,1),"LC")</f>
        <v>LC</v>
      </c>
      <c r="P18595" s="7" t="str">
        <f>HYPERLINK("#Liste_rouge!A"&amp;_xlfn.XMATCH("LC",Liste_rouge!A:A,2,1),"LC")</f>
        <v>LC</v>
      </c>
      <c r="AH18595" s="4" t="str">
        <f>HYPERLINK("#Statut_biogéographique!A"&amp;_xlfn.XMATCH("P",Statut_biogéographique!A:A,2,1),"P")</f>
        <v>P</v>
      </c>
      <c r="AP18595" s="4" t="s">
        <v>376</v>
      </c>
      <c r="AR18595" s="4" t="s">
        <v>377</v>
      </c>
    </row>
    <row r="18596" spans="1:44" ht="30">
      <c r="A18596" s="4" t="s">
        <v>10753</v>
      </c>
      <c r="B18596" s="4">
        <v>8961</v>
      </c>
      <c r="D18596" s="5" t="s">
        <v>22744</v>
      </c>
      <c r="E18596" s="6" t="str">
        <f>HYPERLINK("https://inpn.mnhn.fr/espece/cd_nom/8961","Cymbiodyta marginella (Fabricius, 1792)")</f>
        <v>Cymbiodyta marginella (Fabricius, 1792)</v>
      </c>
      <c r="AH18596" s="4" t="str">
        <f>HYPERLINK("#Statut_biogéographique!A"&amp;_xlfn.XMATCH("P",Statut_biogéographique!A:A,2,1),"P")</f>
        <v>P</v>
      </c>
      <c r="AP18596" s="4" t="s">
        <v>376</v>
      </c>
      <c r="AR18596" s="4" t="s">
        <v>377</v>
      </c>
    </row>
    <row r="18597" spans="1:44">
      <c r="A18597" s="4" t="s">
        <v>10753</v>
      </c>
      <c r="B18597" s="4">
        <v>8963</v>
      </c>
      <c r="D18597" s="5">
        <v>8963</v>
      </c>
      <c r="E18597" s="6" t="str">
        <f>HYPERLINK("https://inpn.mnhn.fr/espece/cd_nom/8963","Helochares punctatus Sharp, 1869")</f>
        <v>Helochares punctatus Sharp, 1869</v>
      </c>
      <c r="AH18597" s="4" t="str">
        <f>HYPERLINK("#Statut_biogéographique!A"&amp;_xlfn.XMATCH("P",Statut_biogéographique!A:A,2,1),"P")</f>
        <v>P</v>
      </c>
      <c r="AP18597" s="4" t="s">
        <v>376</v>
      </c>
      <c r="AR18597" s="4" t="s">
        <v>377</v>
      </c>
    </row>
    <row r="18598" spans="1:44">
      <c r="A18598" s="4" t="s">
        <v>10753</v>
      </c>
      <c r="B18598" s="4">
        <v>8967</v>
      </c>
      <c r="D18598" s="5" t="s">
        <v>22745</v>
      </c>
      <c r="E18598" s="6" t="str">
        <f>HYPERLINK("https://inpn.mnhn.fr/espece/cd_nom/8967","Laccobius atratus Rottenberg, 1874")</f>
        <v>Laccobius atratus Rottenberg, 1874</v>
      </c>
      <c r="AH18598" s="4" t="str">
        <f>HYPERLINK("#Statut_biogéographique!A"&amp;_xlfn.XMATCH("P",Statut_biogéographique!A:A,2,1),"P")</f>
        <v>P</v>
      </c>
      <c r="AP18598" s="4" t="s">
        <v>376</v>
      </c>
      <c r="AR18598" s="4" t="s">
        <v>377</v>
      </c>
    </row>
    <row r="18599" spans="1:44" ht="30">
      <c r="A18599" s="4" t="s">
        <v>10753</v>
      </c>
      <c r="B18599" s="4">
        <v>897025</v>
      </c>
      <c r="D18599" s="5" t="s">
        <v>22746</v>
      </c>
      <c r="E18599" s="6" t="str">
        <f>HYPERLINK("https://inpn.mnhn.fr/espece/cd_nom/897025","Ephestia woodiella Richards &amp; Thomson, 1932")</f>
        <v>Ephestia woodiella Richards &amp; Thomson, 1932</v>
      </c>
      <c r="F18599" s="5" t="s">
        <v>22747</v>
      </c>
      <c r="AH18599" s="4" t="str">
        <f>HYPERLINK("#Statut_biogéographique!A"&amp;_xlfn.XMATCH("P",Statut_biogéographique!A:A,2,1),"P")</f>
        <v>P</v>
      </c>
      <c r="AP18599" s="4" t="s">
        <v>376</v>
      </c>
      <c r="AR18599" s="4" t="s">
        <v>377</v>
      </c>
    </row>
    <row r="18600" spans="1:44">
      <c r="A18600" s="4" t="s">
        <v>10753</v>
      </c>
      <c r="B18600" s="4">
        <v>8972</v>
      </c>
      <c r="D18600" s="5">
        <v>8972</v>
      </c>
      <c r="E18600" s="6" t="str">
        <f>HYPERLINK("https://inpn.mnhn.fr/espece/cd_nom/8972","Laccobius sinuatus Motschulsky, 1849")</f>
        <v>Laccobius sinuatus Motschulsky, 1849</v>
      </c>
      <c r="AH18600" s="4" t="str">
        <f>HYPERLINK("#Statut_biogéographique!A"&amp;_xlfn.XMATCH("P",Statut_biogéographique!A:A,2,1),"P")</f>
        <v>P</v>
      </c>
      <c r="AP18600" s="4" t="s">
        <v>376</v>
      </c>
      <c r="AR18600" s="4" t="s">
        <v>377</v>
      </c>
    </row>
    <row r="18601" spans="1:44">
      <c r="A18601" s="4" t="s">
        <v>10753</v>
      </c>
      <c r="B18601" s="4">
        <v>897449</v>
      </c>
      <c r="D18601" s="5" t="s">
        <v>22748</v>
      </c>
      <c r="E18601" s="6" t="str">
        <f>HYPERLINK("https://inpn.mnhn.fr/espece/cd_nom/897449","Pygmarrhopalites principalis (Stach, 1945)")</f>
        <v>Pygmarrhopalites principalis (Stach, 1945)</v>
      </c>
      <c r="AH18601" s="4" t="str">
        <f>HYPERLINK("#Statut_biogéographique!A"&amp;_xlfn.XMATCH("P",Statut_biogéographique!A:A,2,1),"P")</f>
        <v>P</v>
      </c>
      <c r="AP18601" s="4" t="s">
        <v>376</v>
      </c>
      <c r="AR18601" s="4" t="s">
        <v>377</v>
      </c>
    </row>
    <row r="18602" spans="1:44" ht="45">
      <c r="A18602" s="4" t="s">
        <v>10753</v>
      </c>
      <c r="B18602" s="4">
        <v>8977</v>
      </c>
      <c r="D18602" s="5" t="s">
        <v>22749</v>
      </c>
      <c r="E18602" s="6" t="str">
        <f>HYPERLINK("https://inpn.mnhn.fr/espece/cd_nom/8977","Coelostoma orbiculare (Fabricius, 1775)")</f>
        <v>Coelostoma orbiculare (Fabricius, 1775)</v>
      </c>
      <c r="AH18602" s="4" t="str">
        <f>HYPERLINK("#Statut_biogéographique!A"&amp;_xlfn.XMATCH("P",Statut_biogéographique!A:A,2,1),"P")</f>
        <v>P</v>
      </c>
      <c r="AP18602" s="4" t="s">
        <v>376</v>
      </c>
      <c r="AR18602" s="4" t="s">
        <v>377</v>
      </c>
    </row>
    <row r="18603" spans="1:44">
      <c r="A18603" s="4" t="s">
        <v>10753</v>
      </c>
      <c r="B18603" s="4">
        <v>8981</v>
      </c>
      <c r="D18603" s="5" t="s">
        <v>22750</v>
      </c>
      <c r="E18603" s="6" t="str">
        <f>HYPERLINK("https://inpn.mnhn.fr/espece/cd_nom/8981","Cercyon obsoletus (Gyllenhal, 1808)")</f>
        <v>Cercyon obsoletus (Gyllenhal, 1808)</v>
      </c>
      <c r="AH18603" s="4" t="str">
        <f>HYPERLINK("#Statut_biogéographique!A"&amp;_xlfn.XMATCH("P",Statut_biogéographique!A:A,2,1),"P")</f>
        <v>P</v>
      </c>
      <c r="AP18603" s="4" t="s">
        <v>376</v>
      </c>
      <c r="AR18603" s="4" t="s">
        <v>377</v>
      </c>
    </row>
    <row r="18604" spans="1:44" ht="60">
      <c r="A18604" s="4" t="s">
        <v>10753</v>
      </c>
      <c r="B18604" s="4">
        <v>8982</v>
      </c>
      <c r="D18604" s="5" t="s">
        <v>22751</v>
      </c>
      <c r="E18604" s="6" t="str">
        <f>HYPERLINK("https://inpn.mnhn.fr/espece/cd_nom/8982","Cercyon haemorrhoidalis (Fabricius, 1775)")</f>
        <v>Cercyon haemorrhoidalis (Fabricius, 1775)</v>
      </c>
      <c r="AH18604" s="4" t="str">
        <f>HYPERLINK("#Statut_biogéographique!A"&amp;_xlfn.XMATCH("P",Statut_biogéographique!A:A,2,1),"P")</f>
        <v>P</v>
      </c>
      <c r="AP18604" s="4" t="s">
        <v>376</v>
      </c>
      <c r="AR18604" s="4" t="s">
        <v>377</v>
      </c>
    </row>
    <row r="18605" spans="1:44">
      <c r="A18605" s="4" t="s">
        <v>10753</v>
      </c>
      <c r="B18605" s="4">
        <v>8983</v>
      </c>
      <c r="D18605" s="5" t="s">
        <v>22752</v>
      </c>
      <c r="E18605" s="6" t="str">
        <f>HYPERLINK("https://inpn.mnhn.fr/espece/cd_nom/8983","Cercyon melanocephalus (Linnaeus, 1758)")</f>
        <v>Cercyon melanocephalus (Linnaeus, 1758)</v>
      </c>
      <c r="AH18605" s="4" t="str">
        <f>HYPERLINK("#Statut_biogéographique!A"&amp;_xlfn.XMATCH("P",Statut_biogéographique!A:A,2,1),"P")</f>
        <v>P</v>
      </c>
      <c r="AP18605" s="4" t="s">
        <v>376</v>
      </c>
      <c r="AR18605" s="4" t="s">
        <v>377</v>
      </c>
    </row>
    <row r="18606" spans="1:44">
      <c r="A18606" s="4" t="s">
        <v>10753</v>
      </c>
      <c r="B18606" s="4">
        <v>8984</v>
      </c>
      <c r="D18606" s="5" t="s">
        <v>22753</v>
      </c>
      <c r="E18606" s="6" t="str">
        <f>HYPERLINK("https://inpn.mnhn.fr/espece/cd_nom/8984","Cercyon convexiusculus Stephens, 1829")</f>
        <v>Cercyon convexiusculus Stephens, 1829</v>
      </c>
      <c r="AH18606" s="4" t="str">
        <f>HYPERLINK("#Statut_biogéographique!A"&amp;_xlfn.XMATCH("P",Statut_biogéographique!A:A,2,1),"P")</f>
        <v>P</v>
      </c>
      <c r="AP18606" s="4" t="s">
        <v>376</v>
      </c>
      <c r="AR18606" s="4" t="s">
        <v>377</v>
      </c>
    </row>
    <row r="18607" spans="1:44">
      <c r="A18607" s="4" t="s">
        <v>10753</v>
      </c>
      <c r="B18607" s="4">
        <v>898791</v>
      </c>
      <c r="D18607" s="5" t="s">
        <v>22754</v>
      </c>
      <c r="E18607" s="6" t="str">
        <f>HYPERLINK("https://inpn.mnhn.fr/espece/cd_nom/898791","Frutioidia bisignata (Mulsant &amp; Rey, 1855)")</f>
        <v>Frutioidia bisignata (Mulsant &amp; Rey, 1855)</v>
      </c>
      <c r="AH18607" s="4" t="str">
        <f>HYPERLINK("#Statut_biogéographique!A"&amp;_xlfn.XMATCH("P",Statut_biogéographique!A:A,2,1),"P")</f>
        <v>P</v>
      </c>
      <c r="AP18607" s="4" t="s">
        <v>376</v>
      </c>
      <c r="AR18607" s="4" t="s">
        <v>377</v>
      </c>
    </row>
    <row r="18608" spans="1:44">
      <c r="A18608" s="4" t="s">
        <v>10753</v>
      </c>
      <c r="B18608" s="4">
        <v>899</v>
      </c>
      <c r="D18608" s="5" t="s">
        <v>22755</v>
      </c>
      <c r="E18608" s="6" t="str">
        <f>HYPERLINK("https://inpn.mnhn.fr/espece/cd_nom/899","Araneus sturmi (Hahn, 1831)")</f>
        <v>Araneus sturmi (Hahn, 1831)</v>
      </c>
      <c r="Q18608" s="7" t="str">
        <f>HYPERLINK("#Liste_rouge!A"&amp;_xlfn.XMATCH("LC",Liste_rouge!A:A,2,1),"LC")</f>
        <v>LC</v>
      </c>
      <c r="AH18608" s="4" t="str">
        <f>HYPERLINK("#Statut_biogéographique!A"&amp;_xlfn.XMATCH("P",Statut_biogéographique!A:A,2,1),"P")</f>
        <v>P</v>
      </c>
      <c r="AP18608" s="4" t="s">
        <v>376</v>
      </c>
      <c r="AR18608" s="4" t="s">
        <v>377</v>
      </c>
    </row>
    <row r="18609" spans="1:44" ht="30">
      <c r="A18609" s="4" t="s">
        <v>10753</v>
      </c>
      <c r="B18609" s="4">
        <v>899012</v>
      </c>
      <c r="D18609" s="5" t="s">
        <v>22756</v>
      </c>
      <c r="E18609" s="6" t="str">
        <f>HYPERLINK("https://inpn.mnhn.fr/espece/cd_nom/899012","Herina nigrina (Meigen, 1826)")</f>
        <v>Herina nigrina (Meigen, 1826)</v>
      </c>
      <c r="AH18609" s="4" t="str">
        <f>HYPERLINK("#Statut_biogéographique!A"&amp;_xlfn.XMATCH("P",Statut_biogéographique!A:A,2,1),"P")</f>
        <v>P</v>
      </c>
      <c r="AP18609" s="4" t="s">
        <v>376</v>
      </c>
      <c r="AR18609" s="4" t="s">
        <v>377</v>
      </c>
    </row>
    <row r="18610" spans="1:44">
      <c r="A18610" s="4" t="s">
        <v>10753</v>
      </c>
      <c r="B18610" s="4">
        <v>899720</v>
      </c>
      <c r="D18610" s="5" t="s">
        <v>22757</v>
      </c>
      <c r="E18610" s="6" t="str">
        <f>HYPERLINK("https://inpn.mnhn.fr/espece/cd_nom/899720","Pseudomalus auratus (Linnaeus, 1758)")</f>
        <v>Pseudomalus auratus (Linnaeus, 1758)</v>
      </c>
      <c r="AH18610" s="4" t="str">
        <f>HYPERLINK("#Statut_biogéographique!A"&amp;_xlfn.XMATCH("P",Statut_biogéographique!A:A,2,1),"P")</f>
        <v>P</v>
      </c>
      <c r="AP18610" s="4" t="s">
        <v>376</v>
      </c>
      <c r="AR18610" s="4" t="s">
        <v>377</v>
      </c>
    </row>
    <row r="18611" spans="1:44">
      <c r="A18611" s="4" t="s">
        <v>10753</v>
      </c>
      <c r="B18611" s="4">
        <v>899803</v>
      </c>
      <c r="D18611" s="5" t="s">
        <v>22758</v>
      </c>
      <c r="E18611" s="6" t="str">
        <f>HYPERLINK("https://inpn.mnhn.fr/espece/cd_nom/899803","Peregriana peregra (O.F. Müller, 1774)")</f>
        <v>Peregriana peregra (O.F. Müller, 1774)</v>
      </c>
      <c r="Q18611" s="7" t="str">
        <f>HYPERLINK("#Liste_rouge!A"&amp;_xlfn.XMATCH("DD",Liste_rouge!A:A,2,1),"DD")</f>
        <v>DD</v>
      </c>
      <c r="AH18611" s="4" t="str">
        <f>HYPERLINK("#Statut_biogéographique!A"&amp;_xlfn.XMATCH("P",Statut_biogéographique!A:A,2,1),"P")</f>
        <v>P</v>
      </c>
      <c r="AP18611" s="4" t="s">
        <v>376</v>
      </c>
      <c r="AR18611" s="4" t="s">
        <v>377</v>
      </c>
    </row>
    <row r="18612" spans="1:44">
      <c r="A18612" s="4" t="s">
        <v>10753</v>
      </c>
      <c r="B18612" s="4">
        <v>9010</v>
      </c>
      <c r="D18612" s="5" t="s">
        <v>22759</v>
      </c>
      <c r="E18612" s="6" t="str">
        <f>HYPERLINK("https://inpn.mnhn.fr/espece/cd_nom/9010","Carpophilus hemipterus (Linnaeus, 1758)")</f>
        <v>Carpophilus hemipterus (Linnaeus, 1758)</v>
      </c>
      <c r="AH18612" s="4" t="str">
        <f>HYPERLINK("#Statut_biogéographique!A"&amp;_xlfn.XMATCH("I",Statut_biogéographique!A:A,2,1),"I")</f>
        <v>I</v>
      </c>
      <c r="AP18612" s="4" t="s">
        <v>376</v>
      </c>
      <c r="AR18612" s="4" t="s">
        <v>377</v>
      </c>
    </row>
    <row r="18613" spans="1:44">
      <c r="A18613" s="4" t="s">
        <v>10753</v>
      </c>
      <c r="B18613" s="4">
        <v>9012</v>
      </c>
      <c r="D18613" s="5" t="s">
        <v>22760</v>
      </c>
      <c r="E18613" s="6" t="str">
        <f>HYPERLINK("https://inpn.mnhn.fr/espece/cd_nom/9012","Meligethes denticulatus (Heer, 1841)")</f>
        <v>Meligethes denticulatus (Heer, 1841)</v>
      </c>
      <c r="AH18613" s="4" t="str">
        <f>HYPERLINK("#Statut_biogéographique!A"&amp;_xlfn.XMATCH("P",Statut_biogéographique!A:A,2,1),"P")</f>
        <v>P</v>
      </c>
      <c r="AP18613" s="4" t="s">
        <v>376</v>
      </c>
      <c r="AR18613" s="4" t="s">
        <v>377</v>
      </c>
    </row>
    <row r="18614" spans="1:44">
      <c r="A18614" s="4" t="s">
        <v>10753</v>
      </c>
      <c r="B18614" s="4">
        <v>901427</v>
      </c>
      <c r="D18614" s="5" t="s">
        <v>22761</v>
      </c>
      <c r="E18614" s="6" t="str">
        <f>HYPERLINK("https://inpn.mnhn.fr/espece/cd_nom/901427","Peregriana labiata (Rossmässler, 1835)")</f>
        <v>Peregriana labiata (Rossmässler, 1835)</v>
      </c>
      <c r="F18614" s="5" t="s">
        <v>22762</v>
      </c>
      <c r="P18614" s="7" t="str">
        <f>HYPERLINK("#Liste_rouge!A"&amp;_xlfn.XMATCH("LC",Liste_rouge!A:A,2,1),"LC")</f>
        <v>LC</v>
      </c>
      <c r="Q18614" s="7" t="str">
        <f>HYPERLINK("#Liste_rouge!A"&amp;_xlfn.XMATCH("DD",Liste_rouge!A:A,2,1),"DD")</f>
        <v>DD</v>
      </c>
      <c r="AH18614" s="4" t="str">
        <f>HYPERLINK("#Statut_biogéographique!A"&amp;_xlfn.XMATCH("P",Statut_biogéographique!A:A,2,1),"P")</f>
        <v>P</v>
      </c>
      <c r="AM18614" s="4" t="s">
        <v>375</v>
      </c>
      <c r="AN18614" s="4" t="s">
        <v>375</v>
      </c>
      <c r="AO18614" s="4" t="s">
        <v>375</v>
      </c>
      <c r="AP18614" s="4" t="s">
        <v>376</v>
      </c>
      <c r="AR18614" s="4" t="s">
        <v>377</v>
      </c>
    </row>
    <row r="18615" spans="1:44" ht="30">
      <c r="A18615" s="4" t="s">
        <v>10753</v>
      </c>
      <c r="B18615" s="4">
        <v>901432</v>
      </c>
      <c r="D18615" s="5" t="s">
        <v>22763</v>
      </c>
      <c r="E18615" s="6" t="str">
        <f>HYPERLINK("https://inpn.mnhn.fr/espece/cd_nom/901432","Ampullaceana balthica (Linnaeus, 1758)")</f>
        <v>Ampullaceana balthica (Linnaeus, 1758)</v>
      </c>
      <c r="F18615" s="5" t="s">
        <v>22764</v>
      </c>
      <c r="O18615" s="7" t="str">
        <f>HYPERLINK("#Liste_rouge!A"&amp;_xlfn.XMATCH("LC",Liste_rouge!A:A,2,1),"LC")</f>
        <v>LC</v>
      </c>
      <c r="P18615" s="7" t="str">
        <f>HYPERLINK("#Liste_rouge!A"&amp;_xlfn.XMATCH("LC",Liste_rouge!A:A,2,1),"LC")</f>
        <v>LC</v>
      </c>
      <c r="Q18615" s="7" t="str">
        <f>HYPERLINK("#Liste_rouge!A"&amp;_xlfn.XMATCH("LC",Liste_rouge!A:A,2,1),"LC")</f>
        <v>LC</v>
      </c>
      <c r="AH18615" s="4" t="str">
        <f>HYPERLINK("#Statut_biogéographique!A"&amp;_xlfn.XMATCH("P",Statut_biogéographique!A:A,2,1),"P")</f>
        <v>P</v>
      </c>
      <c r="AM18615" s="4" t="s">
        <v>375</v>
      </c>
      <c r="AN18615" s="4" t="s">
        <v>375</v>
      </c>
      <c r="AO18615" s="4" t="s">
        <v>375</v>
      </c>
      <c r="AP18615" s="4" t="s">
        <v>376</v>
      </c>
      <c r="AR18615" s="4" t="s">
        <v>377</v>
      </c>
    </row>
    <row r="18616" spans="1:44">
      <c r="A18616" s="4" t="s">
        <v>10753</v>
      </c>
      <c r="B18616" s="4">
        <v>9026</v>
      </c>
      <c r="D18616" s="5" t="s">
        <v>22765</v>
      </c>
      <c r="E18616" s="6" t="str">
        <f>HYPERLINK("https://inpn.mnhn.fr/espece/cd_nom/9026","Nitidula carnaria (Schaller, 1783)")</f>
        <v>Nitidula carnaria (Schaller, 1783)</v>
      </c>
      <c r="AH18616" s="4" t="str">
        <f>HYPERLINK("#Statut_biogéographique!A"&amp;_xlfn.XMATCH("P",Statut_biogéographique!A:A,2,1),"P")</f>
        <v>P</v>
      </c>
      <c r="AP18616" s="4" t="s">
        <v>376</v>
      </c>
      <c r="AR18616" s="4" t="s">
        <v>377</v>
      </c>
    </row>
    <row r="18617" spans="1:44">
      <c r="A18617" s="4" t="s">
        <v>10753</v>
      </c>
      <c r="B18617" s="4">
        <v>9028</v>
      </c>
      <c r="D18617" s="5" t="s">
        <v>22766</v>
      </c>
      <c r="E18617" s="6" t="str">
        <f>HYPERLINK("https://inpn.mnhn.fr/espece/cd_nom/9028","Nitidula rufipes (Linnaeus, 1767)")</f>
        <v>Nitidula rufipes (Linnaeus, 1767)</v>
      </c>
      <c r="AH18617" s="4" t="str">
        <f>HYPERLINK("#Statut_biogéographique!A"&amp;_xlfn.XMATCH("P",Statut_biogéographique!A:A,2,1),"P")</f>
        <v>P</v>
      </c>
      <c r="AP18617" s="4" t="s">
        <v>376</v>
      </c>
      <c r="AR18617" s="4" t="s">
        <v>377</v>
      </c>
    </row>
    <row r="18618" spans="1:44" ht="30">
      <c r="A18618" s="4" t="s">
        <v>10753</v>
      </c>
      <c r="B18618" s="4">
        <v>902932</v>
      </c>
      <c r="D18618" s="5" t="s">
        <v>22767</v>
      </c>
      <c r="E18618" s="6" t="str">
        <f>HYPERLINK("https://inpn.mnhn.fr/espece/cd_nom/902932","Sittisax saxicola (C. L. Koch, 1846)")</f>
        <v>Sittisax saxicola (C. L. Koch, 1846)</v>
      </c>
      <c r="Q18618" s="7" t="str">
        <f>HYPERLINK("#Liste_rouge!A"&amp;_xlfn.XMATCH("DD",Liste_rouge!A:A,2,1),"DD")</f>
        <v>DD</v>
      </c>
      <c r="AH18618" s="4" t="str">
        <f>HYPERLINK("#Statut_biogéographique!A"&amp;_xlfn.XMATCH("P",Statut_biogéographique!A:A,2,1),"P")</f>
        <v>P</v>
      </c>
      <c r="AP18618" s="4" t="s">
        <v>376</v>
      </c>
      <c r="AR18618" s="4" t="s">
        <v>377</v>
      </c>
    </row>
    <row r="18619" spans="1:44" ht="30">
      <c r="A18619" s="4" t="s">
        <v>10753</v>
      </c>
      <c r="B18619" s="4">
        <v>902997</v>
      </c>
      <c r="D18619" s="5" t="s">
        <v>22768</v>
      </c>
      <c r="E18619" s="6" t="str">
        <f>HYPERLINK("https://inpn.mnhn.fr/espece/cd_nom/902997","Agnoea flavifrontella (Denis &amp; Schiffermüller, 1775)")</f>
        <v>Agnoea flavifrontella (Denis &amp; Schiffermüller, 1775)</v>
      </c>
      <c r="AH18619" s="4" t="str">
        <f>HYPERLINK("#Statut_biogéographique!A"&amp;_xlfn.XMATCH("P",Statut_biogéographique!A:A,2,1),"P")</f>
        <v>P</v>
      </c>
      <c r="AP18619" s="4" t="s">
        <v>376</v>
      </c>
      <c r="AR18619" s="4" t="s">
        <v>377</v>
      </c>
    </row>
    <row r="18620" spans="1:44">
      <c r="A18620" s="4" t="s">
        <v>10753</v>
      </c>
      <c r="B18620" s="4">
        <v>903</v>
      </c>
      <c r="D18620" s="5" t="s">
        <v>22769</v>
      </c>
      <c r="E18620" s="6" t="str">
        <f>HYPERLINK("https://inpn.mnhn.fr/espece/cd_nom/903","Ero aphana (Walckenaer, 1802)")</f>
        <v>Ero aphana (Walckenaer, 1802)</v>
      </c>
      <c r="F18620" s="5" t="s">
        <v>22770</v>
      </c>
      <c r="Q18620" s="7" t="str">
        <f>HYPERLINK("#Liste_rouge!A"&amp;_xlfn.XMATCH("LC",Liste_rouge!A:A,2,1),"LC")</f>
        <v>LC</v>
      </c>
      <c r="AH18620" s="4" t="str">
        <f>HYPERLINK("#Statut_biogéographique!A"&amp;_xlfn.XMATCH("P",Statut_biogéographique!A:A,2,1),"P")</f>
        <v>P</v>
      </c>
      <c r="AP18620" s="4" t="s">
        <v>376</v>
      </c>
      <c r="AR18620" s="4" t="s">
        <v>377</v>
      </c>
    </row>
    <row r="18621" spans="1:44">
      <c r="A18621" s="4" t="s">
        <v>10753</v>
      </c>
      <c r="B18621" s="4">
        <v>9030</v>
      </c>
      <c r="D18621" s="5" t="s">
        <v>22771</v>
      </c>
      <c r="E18621" s="6" t="str">
        <f>HYPERLINK("https://inpn.mnhn.fr/espece/cd_nom/9030","Cychramus luteus (Fabricius, 1787)")</f>
        <v>Cychramus luteus (Fabricius, 1787)</v>
      </c>
      <c r="AH18621" s="4" t="str">
        <f>HYPERLINK("#Statut_biogéographique!A"&amp;_xlfn.XMATCH("P",Statut_biogéographique!A:A,2,1),"P")</f>
        <v>P</v>
      </c>
      <c r="AP18621" s="4" t="s">
        <v>376</v>
      </c>
      <c r="AR18621" s="4" t="s">
        <v>377</v>
      </c>
    </row>
    <row r="18622" spans="1:44">
      <c r="A18622" s="4" t="s">
        <v>10753</v>
      </c>
      <c r="B18622" s="4">
        <v>9038</v>
      </c>
      <c r="D18622" s="5" t="s">
        <v>22772</v>
      </c>
      <c r="E18622" s="6" t="str">
        <f>HYPERLINK("https://inpn.mnhn.fr/espece/cd_nom/9038","Rhizophagus bipustulatus (Fabricius, 1792)")</f>
        <v>Rhizophagus bipustulatus (Fabricius, 1792)</v>
      </c>
      <c r="AH18622" s="4" t="str">
        <f>HYPERLINK("#Statut_biogéographique!A"&amp;_xlfn.XMATCH("P",Statut_biogéographique!A:A,2,1),"P")</f>
        <v>P</v>
      </c>
      <c r="AP18622" s="4" t="s">
        <v>376</v>
      </c>
      <c r="AR18622" s="4" t="s">
        <v>377</v>
      </c>
    </row>
    <row r="18623" spans="1:44">
      <c r="A18623" s="4" t="s">
        <v>10753</v>
      </c>
      <c r="B18623" s="4">
        <v>904</v>
      </c>
      <c r="D18623" s="5" t="s">
        <v>22773</v>
      </c>
      <c r="E18623" s="6" t="str">
        <f>HYPERLINK("https://inpn.mnhn.fr/espece/cd_nom/904","Ero tuberculata (De Geer, 1778)")</f>
        <v>Ero tuberculata (De Geer, 1778)</v>
      </c>
      <c r="Q18623" s="7" t="str">
        <f>HYPERLINK("#Liste_rouge!A"&amp;_xlfn.XMATCH("LC",Liste_rouge!A:A,2,1),"LC")</f>
        <v>LC</v>
      </c>
      <c r="AH18623" s="4" t="str">
        <f>HYPERLINK("#Statut_biogéographique!A"&amp;_xlfn.XMATCH("P",Statut_biogéographique!A:A,2,1),"P")</f>
        <v>P</v>
      </c>
      <c r="AP18623" s="4" t="s">
        <v>376</v>
      </c>
      <c r="AR18623" s="4" t="s">
        <v>377</v>
      </c>
    </row>
    <row r="18624" spans="1:44">
      <c r="A18624" s="4" t="s">
        <v>10753</v>
      </c>
      <c r="B18624" s="4">
        <v>9045</v>
      </c>
      <c r="D18624" s="5" t="s">
        <v>22774</v>
      </c>
      <c r="E18624" s="6" t="str">
        <f>HYPERLINK("https://inpn.mnhn.fr/espece/cd_nom/9045","Silvanus unidentatus (Olivier, 1790)")</f>
        <v>Silvanus unidentatus (Olivier, 1790)</v>
      </c>
      <c r="AH18624" s="4" t="str">
        <f>HYPERLINK("#Statut_biogéographique!A"&amp;_xlfn.XMATCH("P",Statut_biogéographique!A:A,2,1),"P")</f>
        <v>P</v>
      </c>
      <c r="AP18624" s="4" t="s">
        <v>376</v>
      </c>
      <c r="AR18624" s="4" t="s">
        <v>377</v>
      </c>
    </row>
    <row r="18625" spans="1:44">
      <c r="A18625" s="4" t="s">
        <v>10753</v>
      </c>
      <c r="B18625" s="4">
        <v>9057</v>
      </c>
      <c r="D18625" s="5" t="s">
        <v>22775</v>
      </c>
      <c r="E18625" s="6" t="str">
        <f>HYPERLINK("https://inpn.mnhn.fr/espece/cd_nom/9057","Laemophloeus monilis (Fabricius, 1787)")</f>
        <v>Laemophloeus monilis (Fabricius, 1787)</v>
      </c>
      <c r="AH18625" s="4" t="str">
        <f>HYPERLINK("#Statut_biogéographique!A"&amp;_xlfn.XMATCH("P",Statut_biogéographique!A:A,2,1),"P")</f>
        <v>P</v>
      </c>
      <c r="AP18625" s="4" t="s">
        <v>376</v>
      </c>
      <c r="AR18625" s="4" t="s">
        <v>377</v>
      </c>
    </row>
    <row r="18626" spans="1:44">
      <c r="A18626" s="4" t="s">
        <v>10753</v>
      </c>
      <c r="B18626" s="4">
        <v>906427</v>
      </c>
      <c r="D18626" s="5" t="s">
        <v>22776</v>
      </c>
      <c r="E18626" s="6" t="str">
        <f>HYPERLINK("https://inpn.mnhn.fr/espece/cd_nom/906427","Piratula uliginosa (Thorell, 1856)")</f>
        <v>Piratula uliginosa (Thorell, 1856)</v>
      </c>
      <c r="Q18626" s="7" t="str">
        <f>HYPERLINK("#Liste_rouge!A"&amp;_xlfn.XMATCH("LC",Liste_rouge!A:A,2,1),"LC")</f>
        <v>LC</v>
      </c>
      <c r="AE18626" s="4" t="str">
        <f>HYPERLINK("#SCAP!A"&amp;_xlfn.XMATCH("1-",SCAP!A:A,2,1),"1-")</f>
        <v>1-</v>
      </c>
      <c r="AG18626" s="4" t="str">
        <f>HYPERLINK("#SCAP!A"&amp;_xlfn.XMATCH("1-",SCAP!A:A,2,1),"1-")</f>
        <v>1-</v>
      </c>
      <c r="AH18626" s="4" t="str">
        <f>HYPERLINK("#Statut_biogéographique!A"&amp;_xlfn.XMATCH("P",Statut_biogéographique!A:A,2,1),"P")</f>
        <v>P</v>
      </c>
      <c r="AP18626" s="4" t="s">
        <v>376</v>
      </c>
      <c r="AR18626" s="4" t="s">
        <v>377</v>
      </c>
    </row>
    <row r="18627" spans="1:44">
      <c r="A18627" s="4" t="s">
        <v>10753</v>
      </c>
      <c r="B18627" s="4">
        <v>906463</v>
      </c>
      <c r="D18627" s="5" t="s">
        <v>22777</v>
      </c>
      <c r="E18627" s="6" t="str">
        <f>HYPERLINK("https://inpn.mnhn.fr/espece/cd_nom/906463","Eratigena saeva (Blackwall, 1844)")</f>
        <v>Eratigena saeva (Blackwall, 1844)</v>
      </c>
      <c r="Q18627" s="7" t="str">
        <f>HYPERLINK("#Liste_rouge!A"&amp;_xlfn.XMATCH("LC",Liste_rouge!A:A,2,1),"LC")</f>
        <v>LC</v>
      </c>
      <c r="AH18627" s="4" t="str">
        <f>HYPERLINK("#Statut_biogéographique!A"&amp;_xlfn.XMATCH("P",Statut_biogéographique!A:A,2,1),"P")</f>
        <v>P</v>
      </c>
      <c r="AP18627" s="4" t="s">
        <v>376</v>
      </c>
      <c r="AR18627" s="4" t="s">
        <v>377</v>
      </c>
    </row>
    <row r="18628" spans="1:44">
      <c r="A18628" s="4" t="s">
        <v>10753</v>
      </c>
      <c r="B18628" s="4">
        <v>9066</v>
      </c>
      <c r="D18628" s="5" t="s">
        <v>22778</v>
      </c>
      <c r="E18628" s="6" t="str">
        <f>HYPERLINK("https://inpn.mnhn.fr/espece/cd_nom/9066","Stomis pumicatus (Panzer, 1796)")</f>
        <v>Stomis pumicatus (Panzer, 1796)</v>
      </c>
      <c r="AH18628" s="4" t="str">
        <f>HYPERLINK("#Statut_biogéographique!A"&amp;_xlfn.XMATCH("P",Statut_biogéographique!A:A,2,1),"P")</f>
        <v>P</v>
      </c>
      <c r="AP18628" s="4" t="s">
        <v>376</v>
      </c>
      <c r="AR18628" s="4" t="s">
        <v>377</v>
      </c>
    </row>
    <row r="18629" spans="1:44">
      <c r="A18629" s="4" t="s">
        <v>10753</v>
      </c>
      <c r="B18629" s="4">
        <v>9078</v>
      </c>
      <c r="D18629" s="5" t="s">
        <v>22779</v>
      </c>
      <c r="E18629" s="6" t="str">
        <f>HYPERLINK("https://inpn.mnhn.fr/espece/cd_nom/9078","Pterostichus cristatus (L. Dufour, 1820)")</f>
        <v>Pterostichus cristatus (L. Dufour, 1820)</v>
      </c>
      <c r="AH18629" s="4" t="str">
        <f>HYPERLINK("#Statut_biogéographique!A"&amp;_xlfn.XMATCH("P",Statut_biogéographique!A:A,2,1),"P")</f>
        <v>P</v>
      </c>
      <c r="AP18629" s="4" t="s">
        <v>376</v>
      </c>
      <c r="AR18629" s="4" t="s">
        <v>377</v>
      </c>
    </row>
    <row r="18630" spans="1:44">
      <c r="A18630" s="4" t="s">
        <v>10753</v>
      </c>
      <c r="B18630" s="4">
        <v>9085</v>
      </c>
      <c r="D18630" s="5" t="s">
        <v>22780</v>
      </c>
      <c r="E18630" s="6" t="str">
        <f>HYPERLINK("https://inpn.mnhn.fr/espece/cd_nom/9085","Pterostichus diligens (Sturm, 1824)")</f>
        <v>Pterostichus diligens (Sturm, 1824)</v>
      </c>
      <c r="AH18630" s="4" t="str">
        <f>HYPERLINK("#Statut_biogéographique!A"&amp;_xlfn.XMATCH("P",Statut_biogéographique!A:A,2,1),"P")</f>
        <v>P</v>
      </c>
      <c r="AP18630" s="4" t="s">
        <v>376</v>
      </c>
      <c r="AR18630" s="4" t="s">
        <v>377</v>
      </c>
    </row>
    <row r="18631" spans="1:44">
      <c r="A18631" s="4" t="s">
        <v>10753</v>
      </c>
      <c r="B18631" s="4">
        <v>9089</v>
      </c>
      <c r="D18631" s="5" t="s">
        <v>22781</v>
      </c>
      <c r="E18631" s="6" t="str">
        <f>HYPERLINK("https://inpn.mnhn.fr/espece/cd_nom/9089","Pterostichus minor (Gyllenhal, 1827)")</f>
        <v>Pterostichus minor (Gyllenhal, 1827)</v>
      </c>
      <c r="AH18631" s="4" t="str">
        <f>HYPERLINK("#Statut_biogéographique!A"&amp;_xlfn.XMATCH("P",Statut_biogéographique!A:A,2,1),"P")</f>
        <v>P</v>
      </c>
      <c r="AP18631" s="4" t="s">
        <v>376</v>
      </c>
      <c r="AR18631" s="4" t="s">
        <v>377</v>
      </c>
    </row>
    <row r="18632" spans="1:44">
      <c r="A18632" s="4" t="s">
        <v>10753</v>
      </c>
      <c r="B18632" s="4">
        <v>909202</v>
      </c>
      <c r="D18632" s="5" t="s">
        <v>22782</v>
      </c>
      <c r="E18632" s="6" t="str">
        <f>HYPERLINK("https://inpn.mnhn.fr/espece/cd_nom/909202","Ornithomya fringillina (Curtis, 1836)")</f>
        <v>Ornithomya fringillina (Curtis, 1836)</v>
      </c>
      <c r="AH18632" s="4" t="str">
        <f>HYPERLINK("#Statut_biogéographique!A"&amp;_xlfn.XMATCH("P",Statut_biogéographique!A:A,2,1),"P")</f>
        <v>P</v>
      </c>
      <c r="AP18632" s="4" t="s">
        <v>376</v>
      </c>
      <c r="AR18632" s="4" t="s">
        <v>377</v>
      </c>
    </row>
    <row r="18633" spans="1:44">
      <c r="A18633" s="4" t="s">
        <v>10753</v>
      </c>
      <c r="B18633" s="4">
        <v>909669</v>
      </c>
      <c r="D18633" s="5" t="s">
        <v>22783</v>
      </c>
      <c r="E18633" s="6" t="str">
        <f>HYPERLINK("https://inpn.mnhn.fr/espece/cd_nom/909669","Rocetelion humerale (Zetterstedt, 1850)")</f>
        <v>Rocetelion humerale (Zetterstedt, 1850)</v>
      </c>
      <c r="AH18633" s="4" t="str">
        <f>HYPERLINK("#Statut_biogéographique!A"&amp;_xlfn.XMATCH("P",Statut_biogéographique!A:A,2,1),"P")</f>
        <v>P</v>
      </c>
      <c r="AP18633" s="4" t="s">
        <v>376</v>
      </c>
      <c r="AR18633" s="4" t="s">
        <v>377</v>
      </c>
    </row>
    <row r="18634" spans="1:44">
      <c r="A18634" s="4" t="s">
        <v>10753</v>
      </c>
      <c r="B18634" s="4">
        <v>909692</v>
      </c>
      <c r="D18634" s="5">
        <v>909692</v>
      </c>
      <c r="E18634" s="6" t="str">
        <f>HYPERLINK("https://inpn.mnhn.fr/espece/cd_nom/909692","Ditomyia macroptera Winnertz, 1852")</f>
        <v>Ditomyia macroptera Winnertz, 1852</v>
      </c>
      <c r="AH18634" s="4" t="str">
        <f>HYPERLINK("#Statut_biogéographique!A"&amp;_xlfn.XMATCH("P",Statut_biogéographique!A:A,2,1),"P")</f>
        <v>P</v>
      </c>
      <c r="AP18634" s="4" t="s">
        <v>376</v>
      </c>
      <c r="AR18634" s="4" t="s">
        <v>377</v>
      </c>
    </row>
    <row r="18635" spans="1:44">
      <c r="A18635" s="4" t="s">
        <v>10753</v>
      </c>
      <c r="B18635" s="4">
        <v>909724</v>
      </c>
      <c r="D18635" s="5">
        <v>909724</v>
      </c>
      <c r="E18635" s="6" t="str">
        <f>HYPERLINK("https://inpn.mnhn.fr/espece/cd_nom/909724","Allodia protenta Laštovka &amp; Matile, 1974")</f>
        <v>Allodia protenta Laštovka &amp; Matile, 1974</v>
      </c>
      <c r="AH18635" s="4" t="str">
        <f>HYPERLINK("#Statut_biogéographique!A"&amp;_xlfn.XMATCH("P",Statut_biogéographique!A:A,2,1),"P")</f>
        <v>P</v>
      </c>
      <c r="AP18635" s="4" t="s">
        <v>376</v>
      </c>
      <c r="AR18635" s="4" t="s">
        <v>377</v>
      </c>
    </row>
    <row r="18636" spans="1:44">
      <c r="A18636" s="4" t="s">
        <v>10753</v>
      </c>
      <c r="B18636" s="4">
        <v>909726</v>
      </c>
      <c r="D18636" s="5">
        <v>909726</v>
      </c>
      <c r="E18636" s="6" t="str">
        <f>HYPERLINK("https://inpn.mnhn.fr/espece/cd_nom/909726","Allodia zaitzevi Kurina, 1998")</f>
        <v>Allodia zaitzevi Kurina, 1998</v>
      </c>
      <c r="AH18636" s="4" t="str">
        <f>HYPERLINK("#Statut_biogéographique!A"&amp;_xlfn.XMATCH("P",Statut_biogéographique!A:A,2,1),"P")</f>
        <v>P</v>
      </c>
      <c r="AP18636" s="4" t="s">
        <v>376</v>
      </c>
      <c r="AR18636" s="4" t="s">
        <v>377</v>
      </c>
    </row>
    <row r="18637" spans="1:44">
      <c r="A18637" s="4" t="s">
        <v>10753</v>
      </c>
      <c r="B18637" s="4">
        <v>909730</v>
      </c>
      <c r="D18637" s="5">
        <v>909730</v>
      </c>
      <c r="E18637" s="6" t="str">
        <f>HYPERLINK("https://inpn.mnhn.fr/espece/cd_nom/909730","Hendelia beckeri Czerny, 1903")</f>
        <v>Hendelia beckeri Czerny, 1903</v>
      </c>
      <c r="AH18637" s="4" t="str">
        <f>HYPERLINK("#Statut_biogéographique!A"&amp;_xlfn.XMATCH("P",Statut_biogéographique!A:A,2,1),"P")</f>
        <v>P</v>
      </c>
      <c r="AP18637" s="4" t="s">
        <v>376</v>
      </c>
      <c r="AR18637" s="4" t="s">
        <v>377</v>
      </c>
    </row>
    <row r="18638" spans="1:44">
      <c r="A18638" s="4" t="s">
        <v>10753</v>
      </c>
      <c r="B18638" s="4">
        <v>909731</v>
      </c>
      <c r="D18638" s="5">
        <v>909731</v>
      </c>
      <c r="E18638" s="6" t="str">
        <f>HYPERLINK("https://inpn.mnhn.fr/espece/cd_nom/909731","Lonchaea affinis Malloch, 1920")</f>
        <v>Lonchaea affinis Malloch, 1920</v>
      </c>
      <c r="AH18638" s="4" t="str">
        <f>HYPERLINK("#Statut_biogéographique!A"&amp;_xlfn.XMATCH("P",Statut_biogéographique!A:A,2,1),"P")</f>
        <v>P</v>
      </c>
      <c r="AP18638" s="4" t="s">
        <v>376</v>
      </c>
      <c r="AR18638" s="4" t="s">
        <v>377</v>
      </c>
    </row>
    <row r="18639" spans="1:44">
      <c r="A18639" s="4" t="s">
        <v>10753</v>
      </c>
      <c r="B18639" s="4">
        <v>909732</v>
      </c>
      <c r="D18639" s="5">
        <v>909732</v>
      </c>
      <c r="E18639" s="6" t="str">
        <f>HYPERLINK("https://inpn.mnhn.fr/espece/cd_nom/909732","Lonchaea corusca Czerny, 1934")</f>
        <v>Lonchaea corusca Czerny, 1934</v>
      </c>
      <c r="AH18639" s="4" t="str">
        <f>HYPERLINK("#Statut_biogéographique!A"&amp;_xlfn.XMATCH("P",Statut_biogéographique!A:A,2,1),"P")</f>
        <v>P</v>
      </c>
      <c r="AP18639" s="4" t="s">
        <v>376</v>
      </c>
      <c r="AR18639" s="4" t="s">
        <v>377</v>
      </c>
    </row>
    <row r="18640" spans="1:44">
      <c r="A18640" s="4" t="s">
        <v>10753</v>
      </c>
      <c r="B18640" s="4">
        <v>909734</v>
      </c>
      <c r="D18640" s="5">
        <v>909734</v>
      </c>
      <c r="E18640" s="6" t="str">
        <f>HYPERLINK("https://inpn.mnhn.fr/espece/cd_nom/909734","Lonchaea deutschi Zetterstedt, 1837")</f>
        <v>Lonchaea deutschi Zetterstedt, 1837</v>
      </c>
      <c r="AH18640" s="4" t="str">
        <f>HYPERLINK("#Statut_biogéographique!A"&amp;_xlfn.XMATCH("P",Statut_biogéographique!A:A,2,1),"P")</f>
        <v>P</v>
      </c>
      <c r="AP18640" s="4" t="s">
        <v>376</v>
      </c>
      <c r="AR18640" s="4" t="s">
        <v>377</v>
      </c>
    </row>
    <row r="18641" spans="1:44">
      <c r="A18641" s="4" t="s">
        <v>10753</v>
      </c>
      <c r="B18641" s="4">
        <v>909736</v>
      </c>
      <c r="D18641" s="5">
        <v>909736</v>
      </c>
      <c r="E18641" s="6" t="str">
        <f>HYPERLINK("https://inpn.mnhn.fr/espece/cd_nom/909736","Lonchaea postica Collin, 1953")</f>
        <v>Lonchaea postica Collin, 1953</v>
      </c>
      <c r="AH18641" s="4" t="str">
        <f>HYPERLINK("#Statut_biogéographique!A"&amp;_xlfn.XMATCH("P",Statut_biogéographique!A:A,2,1),"P")</f>
        <v>P</v>
      </c>
      <c r="AP18641" s="4" t="s">
        <v>376</v>
      </c>
      <c r="AR18641" s="4" t="s">
        <v>377</v>
      </c>
    </row>
    <row r="18642" spans="1:44">
      <c r="A18642" s="4" t="s">
        <v>10753</v>
      </c>
      <c r="B18642" s="4">
        <v>909742</v>
      </c>
      <c r="D18642" s="5" t="s">
        <v>22784</v>
      </c>
      <c r="E18642" s="6" t="str">
        <f>HYPERLINK("https://inpn.mnhn.fr/espece/cd_nom/909742","Azana anomala (Stæger, 1840)")</f>
        <v>Azana anomala (Stæger, 1840)</v>
      </c>
      <c r="AH18642" s="4" t="str">
        <f>HYPERLINK("#Statut_biogéographique!A"&amp;_xlfn.XMATCH("P",Statut_biogéographique!A:A,2,1),"P")</f>
        <v>P</v>
      </c>
      <c r="AP18642" s="4" t="s">
        <v>376</v>
      </c>
      <c r="AR18642" s="4" t="s">
        <v>377</v>
      </c>
    </row>
    <row r="18643" spans="1:44">
      <c r="A18643" s="4" t="s">
        <v>10753</v>
      </c>
      <c r="B18643" s="4">
        <v>909744</v>
      </c>
      <c r="D18643" s="5">
        <v>909744</v>
      </c>
      <c r="E18643" s="6" t="str">
        <f>HYPERLINK("https://inpn.mnhn.fr/espece/cd_nom/909744","Boletina pallidula Edwards, 1925")</f>
        <v>Boletina pallidula Edwards, 1925</v>
      </c>
      <c r="AH18643" s="4" t="str">
        <f>HYPERLINK("#Statut_biogéographique!A"&amp;_xlfn.XMATCH("P",Statut_biogéographique!A:A,2,1),"P")</f>
        <v>P</v>
      </c>
      <c r="AP18643" s="4" t="s">
        <v>376</v>
      </c>
      <c r="AR18643" s="4" t="s">
        <v>377</v>
      </c>
    </row>
    <row r="18644" spans="1:44">
      <c r="A18644" s="4" t="s">
        <v>10753</v>
      </c>
      <c r="B18644" s="4">
        <v>909745</v>
      </c>
      <c r="D18644" s="5">
        <v>909745</v>
      </c>
      <c r="E18644" s="6" t="str">
        <f>HYPERLINK("https://inpn.mnhn.fr/espece/cd_nom/909745","Boletina trispinosa Edwards, 1913")</f>
        <v>Boletina trispinosa Edwards, 1913</v>
      </c>
      <c r="AH18644" s="4" t="str">
        <f>HYPERLINK("#Statut_biogéographique!A"&amp;_xlfn.XMATCH("P",Statut_biogéographique!A:A,2,1),"P")</f>
        <v>P</v>
      </c>
      <c r="AP18644" s="4" t="s">
        <v>376</v>
      </c>
      <c r="AR18644" s="4" t="s">
        <v>377</v>
      </c>
    </row>
    <row r="18645" spans="1:44">
      <c r="A18645" s="4" t="s">
        <v>10753</v>
      </c>
      <c r="B18645" s="4">
        <v>909752</v>
      </c>
      <c r="D18645" s="5" t="s">
        <v>22785</v>
      </c>
      <c r="E18645" s="6" t="str">
        <f>HYPERLINK("https://inpn.mnhn.fr/espece/cd_nom/909752","Brevicornu fennicum (Landrock, 1927)")</f>
        <v>Brevicornu fennicum (Landrock, 1927)</v>
      </c>
      <c r="AH18645" s="4" t="str">
        <f>HYPERLINK("#Statut_biogéographique!A"&amp;_xlfn.XMATCH("P",Statut_biogéographique!A:A,2,1),"P")</f>
        <v>P</v>
      </c>
      <c r="AP18645" s="4" t="s">
        <v>376</v>
      </c>
      <c r="AR18645" s="4" t="s">
        <v>377</v>
      </c>
    </row>
    <row r="18646" spans="1:44" ht="30">
      <c r="A18646" s="4" t="s">
        <v>10753</v>
      </c>
      <c r="B18646" s="4">
        <v>909755</v>
      </c>
      <c r="D18646" s="5">
        <v>909755</v>
      </c>
      <c r="E18646" s="6" t="str">
        <f>HYPERLINK("https://inpn.mnhn.fr/espece/cd_nom/909755","Exechiopsis sagittata Laštovka &amp; Matile, 1974")</f>
        <v>Exechiopsis sagittata Laštovka &amp; Matile, 1974</v>
      </c>
      <c r="AH18646" s="4" t="str">
        <f>HYPERLINK("#Statut_biogéographique!A"&amp;_xlfn.XMATCH("P",Statut_biogéographique!A:A,2,1),"P")</f>
        <v>P</v>
      </c>
      <c r="AP18646" s="4" t="s">
        <v>376</v>
      </c>
      <c r="AR18646" s="4" t="s">
        <v>377</v>
      </c>
    </row>
    <row r="18647" spans="1:44">
      <c r="A18647" s="4" t="s">
        <v>10753</v>
      </c>
      <c r="B18647" s="4">
        <v>909756</v>
      </c>
      <c r="D18647" s="5">
        <v>909756</v>
      </c>
      <c r="E18647" s="6" t="str">
        <f>HYPERLINK("https://inpn.mnhn.fr/espece/cd_nom/909756","Mycetophila hetschkoi Landrock, 1918")</f>
        <v>Mycetophila hetschkoi Landrock, 1918</v>
      </c>
      <c r="AH18647" s="4" t="str">
        <f>HYPERLINK("#Statut_biogéographique!A"&amp;_xlfn.XMATCH("P",Statut_biogéographique!A:A,2,1),"P")</f>
        <v>P</v>
      </c>
      <c r="AP18647" s="4" t="s">
        <v>376</v>
      </c>
      <c r="AR18647" s="4" t="s">
        <v>377</v>
      </c>
    </row>
    <row r="18648" spans="1:44">
      <c r="A18648" s="4" t="s">
        <v>10753</v>
      </c>
      <c r="B18648" s="4">
        <v>909757</v>
      </c>
      <c r="D18648" s="5">
        <v>909757</v>
      </c>
      <c r="E18648" s="6" t="str">
        <f>HYPERLINK("https://inpn.mnhn.fr/espece/cd_nom/909757","Mycetophila subsigillata Zaitzev, 1999")</f>
        <v>Mycetophila subsigillata Zaitzev, 1999</v>
      </c>
      <c r="AH18648" s="4" t="str">
        <f>HYPERLINK("#Statut_biogéographique!A"&amp;_xlfn.XMATCH("P",Statut_biogéographique!A:A,2,1),"P")</f>
        <v>P</v>
      </c>
      <c r="AP18648" s="4" t="s">
        <v>376</v>
      </c>
      <c r="AR18648" s="4" t="s">
        <v>377</v>
      </c>
    </row>
    <row r="18649" spans="1:44">
      <c r="A18649" s="4" t="s">
        <v>10753</v>
      </c>
      <c r="B18649" s="4">
        <v>909759</v>
      </c>
      <c r="D18649" s="5">
        <v>909759</v>
      </c>
      <c r="E18649" s="6" t="str">
        <f>HYPERLINK("https://inpn.mnhn.fr/espece/cd_nom/909759","Mycomya collini Edwards, 1941")</f>
        <v>Mycomya collini Edwards, 1941</v>
      </c>
      <c r="AH18649" s="4" t="str">
        <f>HYPERLINK("#Statut_biogéographique!A"&amp;_xlfn.XMATCH("P",Statut_biogéographique!A:A,2,1),"P")</f>
        <v>P</v>
      </c>
      <c r="AP18649" s="4" t="s">
        <v>376</v>
      </c>
      <c r="AR18649" s="4" t="s">
        <v>377</v>
      </c>
    </row>
    <row r="18650" spans="1:44">
      <c r="A18650" s="4" t="s">
        <v>10753</v>
      </c>
      <c r="B18650" s="4">
        <v>909760</v>
      </c>
      <c r="D18650" s="5">
        <v>909760</v>
      </c>
      <c r="E18650" s="6" t="str">
        <f>HYPERLINK("https://inpn.mnhn.fr/espece/cd_nom/909760","Sceptonia fumipes Edwards, 1925")</f>
        <v>Sceptonia fumipes Edwards, 1925</v>
      </c>
      <c r="AH18650" s="4" t="str">
        <f>HYPERLINK("#Statut_biogéographique!A"&amp;_xlfn.XMATCH("P",Statut_biogéographique!A:A,2,1),"P")</f>
        <v>P</v>
      </c>
      <c r="AP18650" s="4" t="s">
        <v>376</v>
      </c>
      <c r="AR18650" s="4" t="s">
        <v>377</v>
      </c>
    </row>
    <row r="18651" spans="1:44">
      <c r="A18651" s="4" t="s">
        <v>10753</v>
      </c>
      <c r="B18651" s="4">
        <v>909761</v>
      </c>
      <c r="D18651" s="5" t="s">
        <v>22786</v>
      </c>
      <c r="E18651" s="6" t="str">
        <f>HYPERLINK("https://inpn.mnhn.fr/espece/cd_nom/909761","Trichonta atricauda (Zetterstedt, 1852)")</f>
        <v>Trichonta atricauda (Zetterstedt, 1852)</v>
      </c>
      <c r="AH18651" s="4" t="str">
        <f>HYPERLINK("#Statut_biogéographique!A"&amp;_xlfn.XMATCH("P",Statut_biogéographique!A:A,2,1),"P")</f>
        <v>P</v>
      </c>
      <c r="AP18651" s="4" t="s">
        <v>376</v>
      </c>
      <c r="AR18651" s="4" t="s">
        <v>377</v>
      </c>
    </row>
    <row r="18652" spans="1:44">
      <c r="A18652" s="4" t="s">
        <v>10753</v>
      </c>
      <c r="B18652" s="4">
        <v>909765</v>
      </c>
      <c r="D18652" s="5">
        <v>909765</v>
      </c>
      <c r="E18652" s="6" t="str">
        <f>HYPERLINK("https://inpn.mnhn.fr/espece/cd_nom/909765","Dorylomorpha platystylis Albrecht, 1979")</f>
        <v>Dorylomorpha platystylis Albrecht, 1979</v>
      </c>
      <c r="AH18652" s="4" t="str">
        <f>HYPERLINK("#Statut_biogéographique!A"&amp;_xlfn.XMATCH("P",Statut_biogéographique!A:A,2,1),"P")</f>
        <v>P</v>
      </c>
      <c r="AP18652" s="4" t="s">
        <v>376</v>
      </c>
      <c r="AR18652" s="4" t="s">
        <v>377</v>
      </c>
    </row>
    <row r="18653" spans="1:44">
      <c r="A18653" s="4" t="s">
        <v>10753</v>
      </c>
      <c r="B18653" s="4">
        <v>909767</v>
      </c>
      <c r="D18653" s="5" t="s">
        <v>22787</v>
      </c>
      <c r="E18653" s="6" t="str">
        <f>HYPERLINK("https://inpn.mnhn.fr/espece/cd_nom/909767","Pseudopomyza atrimana (Meigen, 1830)")</f>
        <v>Pseudopomyza atrimana (Meigen, 1830)</v>
      </c>
      <c r="AH18653" s="4" t="str">
        <f>HYPERLINK("#Statut_biogéographique!A"&amp;_xlfn.XMATCH("P",Statut_biogéographique!A:A,2,1),"P")</f>
        <v>P</v>
      </c>
      <c r="AP18653" s="4" t="s">
        <v>376</v>
      </c>
      <c r="AR18653" s="4" t="s">
        <v>377</v>
      </c>
    </row>
    <row r="18654" spans="1:44">
      <c r="A18654" s="4" t="s">
        <v>10753</v>
      </c>
      <c r="B18654" s="4">
        <v>909771</v>
      </c>
      <c r="D18654" s="5">
        <v>909771</v>
      </c>
      <c r="E18654" s="6" t="str">
        <f>HYPERLINK("https://inpn.mnhn.fr/espece/cd_nom/909771","Threticus negrobovi Vaillant, 1972")</f>
        <v>Threticus negrobovi Vaillant, 1972</v>
      </c>
      <c r="AH18654" s="4" t="str">
        <f>HYPERLINK("#Statut_biogéographique!A"&amp;_xlfn.XMATCH("P",Statut_biogéographique!A:A,2,1),"P")</f>
        <v>P</v>
      </c>
      <c r="AP18654" s="4" t="s">
        <v>376</v>
      </c>
      <c r="AR18654" s="4" t="s">
        <v>377</v>
      </c>
    </row>
    <row r="18655" spans="1:44">
      <c r="A18655" s="4" t="s">
        <v>10753</v>
      </c>
      <c r="B18655" s="4">
        <v>909772</v>
      </c>
      <c r="D18655" s="5">
        <v>909772</v>
      </c>
      <c r="E18655" s="6" t="str">
        <f>HYPERLINK("https://inpn.mnhn.fr/espece/cd_nom/909772","Tetanocera montana Day, 1881")</f>
        <v>Tetanocera montana Day, 1881</v>
      </c>
      <c r="AH18655" s="4" t="str">
        <f>HYPERLINK("#Statut_biogéographique!A"&amp;_xlfn.XMATCH("P",Statut_biogéographique!A:A,2,1),"P")</f>
        <v>P</v>
      </c>
      <c r="AP18655" s="4" t="s">
        <v>376</v>
      </c>
      <c r="AR18655" s="4" t="s">
        <v>377</v>
      </c>
    </row>
    <row r="18656" spans="1:44">
      <c r="A18656" s="4" t="s">
        <v>10753</v>
      </c>
      <c r="B18656" s="4">
        <v>909776</v>
      </c>
      <c r="D18656" s="5">
        <v>909776</v>
      </c>
      <c r="E18656" s="6" t="str">
        <f>HYPERLINK("https://inpn.mnhn.fr/espece/cd_nom/909776","Tabanus tinctus Walker, 1850")</f>
        <v>Tabanus tinctus Walker, 1850</v>
      </c>
      <c r="AH18656" s="4" t="str">
        <f>HYPERLINK("#Statut_biogéographique!A"&amp;_xlfn.XMATCH("P",Statut_biogéographique!A:A,2,1),"P")</f>
        <v>P</v>
      </c>
      <c r="AP18656" s="4" t="s">
        <v>376</v>
      </c>
      <c r="AR18656" s="4" t="s">
        <v>377</v>
      </c>
    </row>
    <row r="18657" spans="1:44" ht="30">
      <c r="A18657" s="4" t="s">
        <v>10753</v>
      </c>
      <c r="B18657" s="4">
        <v>909798</v>
      </c>
      <c r="D18657" s="5" t="s">
        <v>22788</v>
      </c>
      <c r="E18657" s="6" t="str">
        <f>HYPERLINK("https://inpn.mnhn.fr/espece/cd_nom/909798","Boletina bidenticulata Sasakawa &amp; Kimura, 1974")</f>
        <v>Boletina bidenticulata Sasakawa &amp; Kimura, 1974</v>
      </c>
      <c r="AH18657" s="4" t="str">
        <f>HYPERLINK("#Statut_biogéographique!A"&amp;_xlfn.XMATCH("P",Statut_biogéographique!A:A,2,1),"P")</f>
        <v>P</v>
      </c>
      <c r="AP18657" s="4" t="s">
        <v>376</v>
      </c>
      <c r="AR18657" s="4" t="s">
        <v>377</v>
      </c>
    </row>
    <row r="18658" spans="1:44">
      <c r="A18658" s="4" t="s">
        <v>10753</v>
      </c>
      <c r="B18658" s="4">
        <v>9099</v>
      </c>
      <c r="D18658" s="5" t="s">
        <v>22789</v>
      </c>
      <c r="E18658" s="6" t="str">
        <f>HYPERLINK("https://inpn.mnhn.fr/espece/cd_nom/9099","Pterostichus melas (Creutzer, 1799)")</f>
        <v>Pterostichus melas (Creutzer, 1799)</v>
      </c>
      <c r="AH18658" s="4" t="str">
        <f>HYPERLINK("#Statut_biogéographique!A"&amp;_xlfn.XMATCH("P",Statut_biogéographique!A:A,2,1),"P")</f>
        <v>P</v>
      </c>
      <c r="AP18658" s="4" t="s">
        <v>376</v>
      </c>
      <c r="AR18658" s="4" t="s">
        <v>377</v>
      </c>
    </row>
    <row r="18659" spans="1:44" ht="30">
      <c r="A18659" s="4" t="s">
        <v>10753</v>
      </c>
      <c r="B18659" s="4">
        <v>9100</v>
      </c>
      <c r="D18659" s="5" t="s">
        <v>22790</v>
      </c>
      <c r="E18659" s="6" t="str">
        <f>HYPERLINK("https://inpn.mnhn.fr/espece/cd_nom/9100","Pterostichus oblongopunctatus (Fabricius, 1787)")</f>
        <v>Pterostichus oblongopunctatus (Fabricius, 1787)</v>
      </c>
      <c r="AH18659" s="4" t="str">
        <f>HYPERLINK("#Statut_biogéographique!A"&amp;_xlfn.XMATCH("P",Statut_biogéographique!A:A,2,1),"P")</f>
        <v>P</v>
      </c>
      <c r="AP18659" s="4" t="s">
        <v>376</v>
      </c>
      <c r="AR18659" s="4" t="s">
        <v>377</v>
      </c>
    </row>
    <row r="18660" spans="1:44" ht="30">
      <c r="A18660" s="4" t="s">
        <v>10753</v>
      </c>
      <c r="B18660" s="4">
        <v>9103</v>
      </c>
      <c r="D18660" s="5" t="s">
        <v>22791</v>
      </c>
      <c r="E18660" s="6" t="str">
        <f>HYPERLINK("https://inpn.mnhn.fr/espece/cd_nom/9103","Pterostichus strenuus (Panzer, 1796)")</f>
        <v>Pterostichus strenuus (Panzer, 1796)</v>
      </c>
      <c r="AH18660" s="4" t="str">
        <f>HYPERLINK("#Statut_biogéographique!A"&amp;_xlfn.XMATCH("P",Statut_biogéographique!A:A,2,1),"P")</f>
        <v>P</v>
      </c>
      <c r="AP18660" s="4" t="s">
        <v>376</v>
      </c>
      <c r="AR18660" s="4" t="s">
        <v>377</v>
      </c>
    </row>
    <row r="18661" spans="1:44">
      <c r="A18661" s="4" t="s">
        <v>10753</v>
      </c>
      <c r="B18661" s="4">
        <v>910380</v>
      </c>
      <c r="D18661" s="5" t="s">
        <v>22792</v>
      </c>
      <c r="E18661" s="6" t="str">
        <f>HYPERLINK("https://inpn.mnhn.fr/espece/cd_nom/910380","Melanostoma certum Haarto &amp; Ståhls, 2014")</f>
        <v>Melanostoma certum Haarto &amp; Ståhls, 2014</v>
      </c>
      <c r="O18661" s="7" t="str">
        <f>HYPERLINK("#Liste_rouge!A"&amp;_xlfn.XMATCH("LC",Liste_rouge!A:A,2,1),"LC")</f>
        <v>LC</v>
      </c>
      <c r="P18661" s="7" t="str">
        <f>HYPERLINK("#Liste_rouge!A"&amp;_xlfn.XMATCH("LC",Liste_rouge!A:A,2,1),"LC")</f>
        <v>LC</v>
      </c>
      <c r="AH18661" s="4" t="str">
        <f>HYPERLINK("#Statut_biogéographique!A"&amp;_xlfn.XMATCH("P",Statut_biogéographique!A:A,2,1),"P")</f>
        <v>P</v>
      </c>
      <c r="AP18661" s="4" t="s">
        <v>376</v>
      </c>
      <c r="AR18661" s="4" t="s">
        <v>377</v>
      </c>
    </row>
    <row r="18662" spans="1:44" ht="45">
      <c r="A18662" s="4" t="s">
        <v>10753</v>
      </c>
      <c r="B18662" s="4">
        <v>912179</v>
      </c>
      <c r="D18662" s="5" t="s">
        <v>22793</v>
      </c>
      <c r="E18662" s="6" t="str">
        <f>HYPERLINK("https://inpn.mnhn.fr/espece/cd_nom/912179","Backeljaia gigaxii (L. Pfeiffer, 1847)")</f>
        <v>Backeljaia gigaxii (L. Pfeiffer, 1847)</v>
      </c>
      <c r="F18662" s="5" t="s">
        <v>22794</v>
      </c>
      <c r="O18662" s="7" t="str">
        <f>HYPERLINK("#Liste_rouge!A"&amp;_xlfn.XMATCH("LC",Liste_rouge!A:A,2,1),"LC")</f>
        <v>LC</v>
      </c>
      <c r="P18662" s="7" t="str">
        <f>HYPERLINK("#Liste_rouge!A"&amp;_xlfn.XMATCH("LC",Liste_rouge!A:A,2,1),"LC")</f>
        <v>LC</v>
      </c>
      <c r="Q18662" s="7" t="str">
        <f>HYPERLINK("#Liste_rouge!A"&amp;_xlfn.XMATCH("DD",Liste_rouge!A:A,2,1),"DD")</f>
        <v>DD</v>
      </c>
      <c r="AH18662" s="4" t="str">
        <f>HYPERLINK("#Statut_biogéographique!A"&amp;_xlfn.XMATCH("P",Statut_biogéographique!A:A,2,1),"P")</f>
        <v>P</v>
      </c>
      <c r="AM18662" s="4" t="s">
        <v>375</v>
      </c>
      <c r="AN18662" s="4" t="s">
        <v>375</v>
      </c>
      <c r="AO18662" s="4" t="s">
        <v>375</v>
      </c>
      <c r="AP18662" s="4" t="s">
        <v>376</v>
      </c>
      <c r="AR18662" s="4" t="s">
        <v>377</v>
      </c>
    </row>
    <row r="18663" spans="1:44">
      <c r="A18663" s="4" t="s">
        <v>10753</v>
      </c>
      <c r="B18663" s="4">
        <v>9136</v>
      </c>
      <c r="D18663" s="5" t="s">
        <v>22795</v>
      </c>
      <c r="E18663" s="6" t="str">
        <f>HYPERLINK("https://inpn.mnhn.fr/espece/cd_nom/9136","Pterostichus vernalis (Panzer, 1796)")</f>
        <v>Pterostichus vernalis (Panzer, 1796)</v>
      </c>
      <c r="AH18663" s="4" t="str">
        <f>HYPERLINK("#Statut_biogéographique!A"&amp;_xlfn.XMATCH("P",Statut_biogéographique!A:A,2,1),"P")</f>
        <v>P</v>
      </c>
      <c r="AP18663" s="4" t="s">
        <v>376</v>
      </c>
      <c r="AR18663" s="4" t="s">
        <v>377</v>
      </c>
    </row>
    <row r="18664" spans="1:44">
      <c r="A18664" s="4" t="s">
        <v>10753</v>
      </c>
      <c r="B18664" s="4">
        <v>913804</v>
      </c>
      <c r="D18664" s="5" t="s">
        <v>22796</v>
      </c>
      <c r="E18664" s="6" t="str">
        <f>HYPERLINK("https://inpn.mnhn.fr/espece/cd_nom/913804","Gomphocerippus biguttulus (Linnaeus, 1758)")</f>
        <v>Gomphocerippus biguttulus (Linnaeus, 1758)</v>
      </c>
      <c r="F18664" s="5" t="s">
        <v>22797</v>
      </c>
      <c r="P18664" s="7" t="str">
        <f>HYPERLINK("#Liste_rouge!A"&amp;_xlfn.XMATCH("LC",Liste_rouge!A:A,2,1),"LC")</f>
        <v>LC</v>
      </c>
      <c r="V18664" s="7" t="str">
        <f>HYPERLINK("#Liste_rouge!A"&amp;_xlfn.XMATCH("LC",Liste_rouge!A:A,2,1),"LC")</f>
        <v>LC</v>
      </c>
      <c r="AH18664" s="4" t="str">
        <f>HYPERLINK("#Statut_biogéographique!A"&amp;_xlfn.XMATCH("P",Statut_biogéographique!A:A,2,1),"P")</f>
        <v>P</v>
      </c>
      <c r="AM18664" s="4" t="s">
        <v>375</v>
      </c>
      <c r="AN18664" s="4" t="s">
        <v>375</v>
      </c>
      <c r="AO18664" s="4" t="s">
        <v>375</v>
      </c>
      <c r="AP18664" s="4" t="s">
        <v>376</v>
      </c>
      <c r="AR18664" s="4" t="s">
        <v>377</v>
      </c>
    </row>
    <row r="18665" spans="1:44">
      <c r="A18665" s="4" t="s">
        <v>10753</v>
      </c>
      <c r="B18665" s="4">
        <v>914</v>
      </c>
      <c r="D18665" s="5" t="s">
        <v>22798</v>
      </c>
      <c r="E18665" s="6" t="str">
        <f>HYPERLINK("https://inpn.mnhn.fr/espece/cd_nom/914","Tmarus piger (Walckenaer, 1802)")</f>
        <v>Tmarus piger (Walckenaer, 1802)</v>
      </c>
      <c r="F18665" s="5" t="s">
        <v>22799</v>
      </c>
      <c r="Q18665" s="7" t="str">
        <f>HYPERLINK("#Liste_rouge!A"&amp;_xlfn.XMATCH("LC",Liste_rouge!A:A,2,1),"LC")</f>
        <v>LC</v>
      </c>
      <c r="AH18665" s="4" t="str">
        <f>HYPERLINK("#Statut_biogéographique!A"&amp;_xlfn.XMATCH("P",Statut_biogéographique!A:A,2,1),"P")</f>
        <v>P</v>
      </c>
      <c r="AP18665" s="4" t="s">
        <v>376</v>
      </c>
      <c r="AR18665" s="4" t="s">
        <v>377</v>
      </c>
    </row>
    <row r="18666" spans="1:44" ht="30">
      <c r="A18666" s="4" t="s">
        <v>10753</v>
      </c>
      <c r="B18666" s="4">
        <v>9141</v>
      </c>
      <c r="D18666" s="5" t="s">
        <v>22800</v>
      </c>
      <c r="E18666" s="6" t="str">
        <f>HYPERLINK("https://inpn.mnhn.fr/espece/cd_nom/9141","Pterostichus gracilis (Dejean, 1828)")</f>
        <v>Pterostichus gracilis (Dejean, 1828)</v>
      </c>
      <c r="AH18666" s="4" t="str">
        <f>HYPERLINK("#Statut_biogéographique!A"&amp;_xlfn.XMATCH("P",Statut_biogéographique!A:A,2,1),"P")</f>
        <v>P</v>
      </c>
      <c r="AP18666" s="4" t="s">
        <v>376</v>
      </c>
      <c r="AR18666" s="4" t="s">
        <v>377</v>
      </c>
    </row>
    <row r="18667" spans="1:44">
      <c r="A18667" s="4" t="s">
        <v>10753</v>
      </c>
      <c r="B18667" s="4">
        <v>915</v>
      </c>
      <c r="D18667" s="5" t="s">
        <v>22801</v>
      </c>
      <c r="E18667" s="6" t="str">
        <f>HYPERLINK("https://inpn.mnhn.fr/espece/cd_nom/915","Tmarus piochardi (Simon, 1866)")</f>
        <v>Tmarus piochardi (Simon, 1866)</v>
      </c>
      <c r="Q18667" s="7" t="str">
        <f>HYPERLINK("#Liste_rouge!A"&amp;_xlfn.XMATCH("VU",Liste_rouge!A:A,2,1),"VU")</f>
        <v>VU</v>
      </c>
      <c r="AH18667" s="4" t="str">
        <f>HYPERLINK("#Statut_biogéographique!A"&amp;_xlfn.XMATCH("P",Statut_biogéographique!A:A,2,1),"P")</f>
        <v>P</v>
      </c>
      <c r="AP18667" s="4" t="s">
        <v>376</v>
      </c>
      <c r="AR18667" s="4" t="s">
        <v>377</v>
      </c>
    </row>
    <row r="18668" spans="1:44">
      <c r="A18668" s="4" t="s">
        <v>10753</v>
      </c>
      <c r="B18668" s="4">
        <v>9157</v>
      </c>
      <c r="D18668" s="5" t="s">
        <v>22802</v>
      </c>
      <c r="E18668" s="6" t="str">
        <f>HYPERLINK("https://inpn.mnhn.fr/espece/cd_nom/9157","Abax ovalis (Duftschmid, 1812)")</f>
        <v>Abax ovalis (Duftschmid, 1812)</v>
      </c>
      <c r="F18668" s="5" t="s">
        <v>22803</v>
      </c>
      <c r="AH18668" s="4" t="str">
        <f>HYPERLINK("#Statut_biogéographique!A"&amp;_xlfn.XMATCH("P",Statut_biogéographique!A:A,2,1),"P")</f>
        <v>P</v>
      </c>
      <c r="AP18668" s="4" t="s">
        <v>376</v>
      </c>
      <c r="AR18668" s="4" t="s">
        <v>377</v>
      </c>
    </row>
    <row r="18669" spans="1:44">
      <c r="A18669" s="4" t="s">
        <v>10753</v>
      </c>
      <c r="B18669" s="4">
        <v>9158</v>
      </c>
      <c r="D18669" s="5" t="s">
        <v>22804</v>
      </c>
      <c r="E18669" s="6" t="str">
        <f>HYPERLINK("https://inpn.mnhn.fr/espece/cd_nom/9158","Abax parallelus (Duftschmid, 1812)")</f>
        <v>Abax parallelus (Duftschmid, 1812)</v>
      </c>
      <c r="F18669" s="5" t="s">
        <v>22805</v>
      </c>
      <c r="AH18669" s="4" t="str">
        <f>HYPERLINK("#Statut_biogéographique!A"&amp;_xlfn.XMATCH("P",Statut_biogéographique!A:A,2,1),"P")</f>
        <v>P</v>
      </c>
      <c r="AP18669" s="4" t="s">
        <v>376</v>
      </c>
      <c r="AR18669" s="4" t="s">
        <v>377</v>
      </c>
    </row>
    <row r="18670" spans="1:44">
      <c r="A18670" s="4" t="s">
        <v>10753</v>
      </c>
      <c r="B18670" s="4">
        <v>9165</v>
      </c>
      <c r="D18670" s="5" t="s">
        <v>22806</v>
      </c>
      <c r="E18670" s="6" t="str">
        <f>HYPERLINK("https://inpn.mnhn.fr/espece/cd_nom/9165","Molops piceus (Panzer, 1793)")</f>
        <v>Molops piceus (Panzer, 1793)</v>
      </c>
      <c r="F18670" s="5" t="s">
        <v>22807</v>
      </c>
      <c r="AH18670" s="4" t="str">
        <f>HYPERLINK("#Statut_biogéographique!A"&amp;_xlfn.XMATCH("P",Statut_biogéographique!A:A,2,1),"P")</f>
        <v>P</v>
      </c>
      <c r="AP18670" s="4" t="s">
        <v>376</v>
      </c>
      <c r="AR18670" s="4" t="s">
        <v>377</v>
      </c>
    </row>
    <row r="18671" spans="1:44">
      <c r="A18671" s="4" t="s">
        <v>10753</v>
      </c>
      <c r="B18671" s="4">
        <v>9169</v>
      </c>
      <c r="D18671" s="5">
        <v>9169</v>
      </c>
      <c r="E18671" s="6" t="str">
        <f>HYPERLINK("https://inpn.mnhn.fr/espece/cd_nom/9169","Cymindis coadunata Dejean, 1825")</f>
        <v>Cymindis coadunata Dejean, 1825</v>
      </c>
      <c r="AH18671" s="4" t="str">
        <f>HYPERLINK("#Statut_biogéographique!A"&amp;_xlfn.XMATCH("P",Statut_biogéographique!A:A,2,1),"P")</f>
        <v>P</v>
      </c>
      <c r="AP18671" s="4" t="s">
        <v>376</v>
      </c>
      <c r="AR18671" s="4" t="s">
        <v>377</v>
      </c>
    </row>
    <row r="18672" spans="1:44" ht="30">
      <c r="A18672" s="4" t="s">
        <v>10753</v>
      </c>
      <c r="B18672" s="4">
        <v>917</v>
      </c>
      <c r="D18672" s="5" t="s">
        <v>22808</v>
      </c>
      <c r="E18672" s="6" t="str">
        <f>HYPERLINK("https://inpn.mnhn.fr/espece/cd_nom/917","Tmarus staintoni (O. Pickard-Cambridge, 1873)")</f>
        <v>Tmarus staintoni (O. Pickard-Cambridge, 1873)</v>
      </c>
      <c r="Q18672" s="7" t="str">
        <f>HYPERLINK("#Liste_rouge!A"&amp;_xlfn.XMATCH("LC",Liste_rouge!A:A,2,1),"LC")</f>
        <v>LC</v>
      </c>
      <c r="AH18672" s="4" t="str">
        <f>HYPERLINK("#Statut_biogéographique!A"&amp;_xlfn.XMATCH("P",Statut_biogéographique!A:A,2,1),"P")</f>
        <v>P</v>
      </c>
      <c r="AP18672" s="4" t="s">
        <v>376</v>
      </c>
      <c r="AR18672" s="4" t="s">
        <v>377</v>
      </c>
    </row>
    <row r="18673" spans="1:44" ht="30">
      <c r="A18673" s="4" t="s">
        <v>10753</v>
      </c>
      <c r="B18673" s="4">
        <v>9170</v>
      </c>
      <c r="D18673" s="5" t="s">
        <v>22809</v>
      </c>
      <c r="E18673" s="6" t="str">
        <f>HYPERLINK("https://inpn.mnhn.fr/espece/cd_nom/9170","Cymindis humeralis (Geoffroy in Fourcroy, 1785)")</f>
        <v>Cymindis humeralis (Geoffroy in Fourcroy, 1785)</v>
      </c>
      <c r="F18673" s="5" t="s">
        <v>22810</v>
      </c>
      <c r="AH18673" s="4" t="str">
        <f>HYPERLINK("#Statut_biogéographique!A"&amp;_xlfn.XMATCH("P",Statut_biogéographique!A:A,2,1),"P")</f>
        <v>P</v>
      </c>
      <c r="AP18673" s="4" t="s">
        <v>376</v>
      </c>
      <c r="AR18673" s="4" t="s">
        <v>377</v>
      </c>
    </row>
    <row r="18674" spans="1:44">
      <c r="A18674" s="4" t="s">
        <v>10753</v>
      </c>
      <c r="B18674" s="4">
        <v>918133</v>
      </c>
      <c r="D18674" s="5" t="s">
        <v>22811</v>
      </c>
      <c r="E18674" s="6" t="str">
        <f>HYPERLINK("https://inpn.mnhn.fr/espece/cd_nom/918133","Patania ruralis (Scopoli, 1763)")</f>
        <v>Patania ruralis (Scopoli, 1763)</v>
      </c>
      <c r="F18674" s="5" t="s">
        <v>22812</v>
      </c>
      <c r="AH18674" s="4" t="str">
        <f>HYPERLINK("#Statut_biogéographique!A"&amp;_xlfn.XMATCH("P",Statut_biogéographique!A:A,2,1),"P")</f>
        <v>P</v>
      </c>
      <c r="AP18674" s="4" t="s">
        <v>376</v>
      </c>
      <c r="AR18674" s="4" t="s">
        <v>377</v>
      </c>
    </row>
    <row r="18675" spans="1:44">
      <c r="A18675" s="4" t="s">
        <v>10753</v>
      </c>
      <c r="B18675" s="4">
        <v>918166</v>
      </c>
      <c r="D18675" s="5" t="s">
        <v>22813</v>
      </c>
      <c r="E18675" s="6" t="str">
        <f>HYPERLINK("https://inpn.mnhn.fr/espece/cd_nom/918166","Loxostege fascialis (Hübner, 1796)")</f>
        <v>Loxostege fascialis (Hübner, 1796)</v>
      </c>
      <c r="F18675" s="5" t="s">
        <v>22814</v>
      </c>
      <c r="AH18675" s="4" t="str">
        <f>HYPERLINK("#Statut_biogéographique!A"&amp;_xlfn.XMATCH("P",Statut_biogéographique!A:A,2,1),"P")</f>
        <v>P</v>
      </c>
      <c r="AP18675" s="4" t="s">
        <v>376</v>
      </c>
      <c r="AR18675" s="4" t="s">
        <v>377</v>
      </c>
    </row>
    <row r="18676" spans="1:44">
      <c r="A18676" s="4" t="s">
        <v>10753</v>
      </c>
      <c r="B18676" s="4">
        <v>918585</v>
      </c>
      <c r="D18676" s="5" t="s">
        <v>22815</v>
      </c>
      <c r="E18676" s="6" t="str">
        <f>HYPERLINK("https://inpn.mnhn.fr/espece/cd_nom/918585","Oinophila v-flavum (Haworth, 1828)")</f>
        <v>Oinophila v-flavum (Haworth, 1828)</v>
      </c>
      <c r="AH18676" s="4" t="str">
        <f>HYPERLINK("#Statut_biogéographique!A"&amp;_xlfn.XMATCH("P",Statut_biogéographique!A:A,2,1),"P")</f>
        <v>P</v>
      </c>
      <c r="AP18676" s="4" t="s">
        <v>376</v>
      </c>
      <c r="AR18676" s="4" t="s">
        <v>377</v>
      </c>
    </row>
    <row r="18677" spans="1:44">
      <c r="A18677" s="4" t="s">
        <v>10753</v>
      </c>
      <c r="B18677" s="4">
        <v>918877</v>
      </c>
      <c r="D18677" s="5" t="s">
        <v>22816</v>
      </c>
      <c r="E18677" s="6" t="str">
        <f>HYPERLINK("https://inpn.mnhn.fr/espece/cd_nom/918877","Olethreutes umbrosana (Freyer, 1842)")</f>
        <v>Olethreutes umbrosana (Freyer, 1842)</v>
      </c>
      <c r="AH18677" s="4" t="str">
        <f>HYPERLINK("#Statut_biogéographique!A"&amp;_xlfn.XMATCH("P",Statut_biogéographique!A:A,2,1),"P")</f>
        <v>P</v>
      </c>
      <c r="AP18677" s="4" t="s">
        <v>376</v>
      </c>
      <c r="AR18677" s="4" t="s">
        <v>377</v>
      </c>
    </row>
    <row r="18678" spans="1:44">
      <c r="A18678" s="4" t="s">
        <v>10753</v>
      </c>
      <c r="B18678" s="4">
        <v>918878</v>
      </c>
      <c r="D18678" s="5" t="s">
        <v>22817</v>
      </c>
      <c r="E18678" s="6" t="str">
        <f>HYPERLINK("https://inpn.mnhn.fr/espece/cd_nom/918878","Olethreutes palustrana (Lienig &amp; Zeller, 1846)")</f>
        <v>Olethreutes palustrana (Lienig &amp; Zeller, 1846)</v>
      </c>
      <c r="AH18678" s="4" t="str">
        <f>HYPERLINK("#Statut_biogéographique!A"&amp;_xlfn.XMATCH("P",Statut_biogéographique!A:A,2,1),"P")</f>
        <v>P</v>
      </c>
      <c r="AP18678" s="4" t="s">
        <v>376</v>
      </c>
      <c r="AR18678" s="4" t="s">
        <v>377</v>
      </c>
    </row>
    <row r="18679" spans="1:44">
      <c r="A18679" s="4" t="s">
        <v>10753</v>
      </c>
      <c r="B18679" s="4">
        <v>918880</v>
      </c>
      <c r="D18679" s="5" t="s">
        <v>22818</v>
      </c>
      <c r="E18679" s="6" t="str">
        <f>HYPERLINK("https://inpn.mnhn.fr/espece/cd_nom/918880","Argyroploce bipunctana (Fabricius, 1794)")</f>
        <v>Argyroploce bipunctana (Fabricius, 1794)</v>
      </c>
      <c r="AH18679" s="4" t="str">
        <f>HYPERLINK("#Statut_biogéographique!A"&amp;_xlfn.XMATCH("P",Statut_biogéographique!A:A,2,1),"P")</f>
        <v>P</v>
      </c>
      <c r="AP18679" s="4" t="s">
        <v>376</v>
      </c>
      <c r="AR18679" s="4" t="s">
        <v>377</v>
      </c>
    </row>
    <row r="18680" spans="1:44" ht="30">
      <c r="A18680" s="4" t="s">
        <v>10753</v>
      </c>
      <c r="B18680" s="4">
        <v>918881</v>
      </c>
      <c r="D18680" s="5" t="s">
        <v>22819</v>
      </c>
      <c r="E18680" s="6" t="str">
        <f>HYPERLINK("https://inpn.mnhn.fr/espece/cd_nom/918881","Olethreutes helveticana (Duponchel, 1845)")</f>
        <v>Olethreutes helveticana (Duponchel, 1845)</v>
      </c>
      <c r="AH18680" s="4" t="str">
        <f>HYPERLINK("#Statut_biogéographique!A"&amp;_xlfn.XMATCH("P",Statut_biogéographique!A:A,2,1),"P")</f>
        <v>P</v>
      </c>
      <c r="AP18680" s="4" t="s">
        <v>376</v>
      </c>
      <c r="AR18680" s="4" t="s">
        <v>377</v>
      </c>
    </row>
    <row r="18681" spans="1:44">
      <c r="A18681" s="4" t="s">
        <v>10753</v>
      </c>
      <c r="B18681" s="4">
        <v>918882</v>
      </c>
      <c r="D18681" s="5" t="s">
        <v>22820</v>
      </c>
      <c r="E18681" s="6" t="str">
        <f>HYPERLINK("https://inpn.mnhn.fr/espece/cd_nom/918882","Olethreutes metallicana (Hübner, 1799)")</f>
        <v>Olethreutes metallicana (Hübner, 1799)</v>
      </c>
      <c r="AH18681" s="4" t="str">
        <f>HYPERLINK("#Statut_biogéographique!A"&amp;_xlfn.XMATCH("P",Statut_biogéographique!A:A,2,1),"P")</f>
        <v>P</v>
      </c>
      <c r="AP18681" s="4" t="s">
        <v>376</v>
      </c>
      <c r="AR18681" s="4" t="s">
        <v>377</v>
      </c>
    </row>
    <row r="18682" spans="1:44" ht="30">
      <c r="A18682" s="4" t="s">
        <v>10753</v>
      </c>
      <c r="B18682" s="4">
        <v>918883</v>
      </c>
      <c r="D18682" s="5" t="s">
        <v>22821</v>
      </c>
      <c r="E18682" s="6" t="str">
        <f>HYPERLINK("https://inpn.mnhn.fr/espece/cd_nom/918883","Olethreutes micana (Denis &amp; Schiffermüller, 1775)")</f>
        <v>Olethreutes micana (Denis &amp; Schiffermüller, 1775)</v>
      </c>
      <c r="AH18682" s="4" t="str">
        <f>HYPERLINK("#Statut_biogéographique!A"&amp;_xlfn.XMATCH("P",Statut_biogéographique!A:A,2,1),"P")</f>
        <v>P</v>
      </c>
      <c r="AP18682" s="4" t="s">
        <v>376</v>
      </c>
      <c r="AR18682" s="4" t="s">
        <v>377</v>
      </c>
    </row>
    <row r="18683" spans="1:44">
      <c r="A18683" s="4" t="s">
        <v>10753</v>
      </c>
      <c r="B18683" s="4">
        <v>918885</v>
      </c>
      <c r="D18683" s="5" t="s">
        <v>22822</v>
      </c>
      <c r="E18683" s="6" t="str">
        <f>HYPERLINK("https://inpn.mnhn.fr/espece/cd_nom/918885","Olethreutes schulziana (Fabricius, 1777)")</f>
        <v>Olethreutes schulziana (Fabricius, 1777)</v>
      </c>
      <c r="AH18683" s="4" t="str">
        <f>HYPERLINK("#Statut_biogéographique!A"&amp;_xlfn.XMATCH("P",Statut_biogéographique!A:A,2,1),"P")</f>
        <v>P</v>
      </c>
      <c r="AP18683" s="4" t="s">
        <v>376</v>
      </c>
      <c r="AR18683" s="4" t="s">
        <v>377</v>
      </c>
    </row>
    <row r="18684" spans="1:44">
      <c r="A18684" s="4" t="s">
        <v>10753</v>
      </c>
      <c r="B18684" s="4">
        <v>918887</v>
      </c>
      <c r="D18684" s="5" t="s">
        <v>22823</v>
      </c>
      <c r="E18684" s="6" t="str">
        <f>HYPERLINK("https://inpn.mnhn.fr/espece/cd_nom/918887","Olethreutes stibiana (Guenée, 1845)")</f>
        <v>Olethreutes stibiana (Guenée, 1845)</v>
      </c>
      <c r="AH18684" s="4" t="str">
        <f>HYPERLINK("#Statut_biogéographique!A"&amp;_xlfn.XMATCH("P",Statut_biogéographique!A:A,2,1),"P")</f>
        <v>P</v>
      </c>
      <c r="AP18684" s="4" t="s">
        <v>376</v>
      </c>
      <c r="AR18684" s="4" t="s">
        <v>377</v>
      </c>
    </row>
    <row r="18685" spans="1:44" ht="30">
      <c r="A18685" s="4" t="s">
        <v>10753</v>
      </c>
      <c r="B18685" s="4">
        <v>9192</v>
      </c>
      <c r="D18685" s="5" t="s">
        <v>22824</v>
      </c>
      <c r="E18685" s="6" t="str">
        <f>HYPERLINK("https://inpn.mnhn.fr/espece/cd_nom/9192","Amara aenea (De Geer, 1774)")</f>
        <v>Amara aenea (De Geer, 1774)</v>
      </c>
      <c r="F18685" s="5" t="s">
        <v>22825</v>
      </c>
      <c r="AH18685" s="4" t="str">
        <f>HYPERLINK("#Statut_biogéographique!A"&amp;_xlfn.XMATCH("P",Statut_biogéographique!A:A,2,1),"P")</f>
        <v>P</v>
      </c>
      <c r="AP18685" s="4" t="s">
        <v>376</v>
      </c>
      <c r="AR18685" s="4" t="s">
        <v>377</v>
      </c>
    </row>
    <row r="18686" spans="1:44" ht="30">
      <c r="A18686" s="4" t="s">
        <v>10753</v>
      </c>
      <c r="B18686" s="4">
        <v>9193</v>
      </c>
      <c r="D18686" s="5" t="s">
        <v>22826</v>
      </c>
      <c r="E18686" s="6" t="str">
        <f>HYPERLINK("https://inpn.mnhn.fr/espece/cd_nom/9193","Amara communis (Panzer, 1796)")</f>
        <v>Amara communis (Panzer, 1796)</v>
      </c>
      <c r="AH18686" s="4" t="str">
        <f>HYPERLINK("#Statut_biogéographique!A"&amp;_xlfn.XMATCH("P",Statut_biogéographique!A:A,2,1),"P")</f>
        <v>P</v>
      </c>
      <c r="AP18686" s="4" t="s">
        <v>376</v>
      </c>
      <c r="AR18686" s="4" t="s">
        <v>377</v>
      </c>
    </row>
    <row r="18687" spans="1:44">
      <c r="A18687" s="4" t="s">
        <v>10753</v>
      </c>
      <c r="B18687" s="4">
        <v>9194</v>
      </c>
      <c r="D18687" s="5" t="s">
        <v>22827</v>
      </c>
      <c r="E18687" s="6" t="str">
        <f>HYPERLINK("https://inpn.mnhn.fr/espece/cd_nom/9194","Amara consularis (Duftschmid, 1812)")</f>
        <v>Amara consularis (Duftschmid, 1812)</v>
      </c>
      <c r="AH18687" s="4" t="str">
        <f>HYPERLINK("#Statut_biogéographique!A"&amp;_xlfn.XMATCH("P",Statut_biogéographique!A:A,2,1),"P")</f>
        <v>P</v>
      </c>
      <c r="AP18687" s="4" t="s">
        <v>376</v>
      </c>
      <c r="AR18687" s="4" t="s">
        <v>377</v>
      </c>
    </row>
    <row r="18688" spans="1:44">
      <c r="A18688" s="4" t="s">
        <v>10753</v>
      </c>
      <c r="B18688" s="4">
        <v>9197</v>
      </c>
      <c r="D18688" s="5" t="s">
        <v>22828</v>
      </c>
      <c r="E18688" s="6" t="str">
        <f>HYPERLINK("https://inpn.mnhn.fr/espece/cd_nom/9197","Amara apricaria (Paykull, 1790)")</f>
        <v>Amara apricaria (Paykull, 1790)</v>
      </c>
      <c r="AH18688" s="4" t="str">
        <f>HYPERLINK("#Statut_biogéographique!A"&amp;_xlfn.XMATCH("P",Statut_biogéographique!A:A,2,1),"P")</f>
        <v>P</v>
      </c>
      <c r="AP18688" s="4" t="s">
        <v>376</v>
      </c>
      <c r="AR18688" s="4" t="s">
        <v>377</v>
      </c>
    </row>
    <row r="18689" spans="1:44">
      <c r="A18689" s="4" t="s">
        <v>10753</v>
      </c>
      <c r="B18689" s="4">
        <v>9200</v>
      </c>
      <c r="D18689" s="5" t="s">
        <v>22829</v>
      </c>
      <c r="E18689" s="6" t="str">
        <f>HYPERLINK("https://inpn.mnhn.fr/espece/cd_nom/9200","Amara convexior Stephens, 1828")</f>
        <v>Amara convexior Stephens, 1828</v>
      </c>
      <c r="AH18689" s="4" t="str">
        <f>HYPERLINK("#Statut_biogéographique!A"&amp;_xlfn.XMATCH("P",Statut_biogéographique!A:A,2,1),"P")</f>
        <v>P</v>
      </c>
      <c r="AP18689" s="4" t="s">
        <v>376</v>
      </c>
      <c r="AR18689" s="4" t="s">
        <v>377</v>
      </c>
    </row>
    <row r="18690" spans="1:44">
      <c r="A18690" s="4" t="s">
        <v>10753</v>
      </c>
      <c r="B18690" s="4">
        <v>9201</v>
      </c>
      <c r="D18690" s="5" t="s">
        <v>22830</v>
      </c>
      <c r="E18690" s="6" t="str">
        <f>HYPERLINK("https://inpn.mnhn.fr/espece/cd_nom/9201","Amara curta Dejean, 1828")</f>
        <v>Amara curta Dejean, 1828</v>
      </c>
      <c r="AH18690" s="4" t="str">
        <f>HYPERLINK("#Statut_biogéographique!A"&amp;_xlfn.XMATCH("P",Statut_biogéographique!A:A,2,1),"P")</f>
        <v>P</v>
      </c>
      <c r="AP18690" s="4" t="s">
        <v>376</v>
      </c>
      <c r="AR18690" s="4" t="s">
        <v>377</v>
      </c>
    </row>
    <row r="18691" spans="1:44">
      <c r="A18691" s="4" t="s">
        <v>10753</v>
      </c>
      <c r="B18691" s="4">
        <v>920126</v>
      </c>
      <c r="D18691" s="5" t="s">
        <v>22831</v>
      </c>
      <c r="E18691" s="6" t="str">
        <f>HYPERLINK("https://inpn.mnhn.fr/espece/cd_nom/920126","Nuctenea silvicultrix (C.L. Koch, 1835)")</f>
        <v>Nuctenea silvicultrix (C.L. Koch, 1835)</v>
      </c>
      <c r="Q18691" s="7" t="str">
        <f>HYPERLINK("#Liste_rouge!A"&amp;_xlfn.XMATCH("DD",Liste_rouge!A:A,2,1),"DD")</f>
        <v>DD</v>
      </c>
      <c r="AH18691" s="4" t="str">
        <f>HYPERLINK("#Statut_biogéographique!A"&amp;_xlfn.XMATCH("P",Statut_biogéographique!A:A,2,1),"P")</f>
        <v>P</v>
      </c>
      <c r="AP18691" s="4" t="s">
        <v>376</v>
      </c>
      <c r="AR18691" s="4" t="s">
        <v>377</v>
      </c>
    </row>
    <row r="18692" spans="1:44">
      <c r="A18692" s="4" t="s">
        <v>10753</v>
      </c>
      <c r="B18692" s="4">
        <v>920131</v>
      </c>
      <c r="D18692" s="5" t="s">
        <v>22832</v>
      </c>
      <c r="E18692" s="6" t="str">
        <f>HYPERLINK("https://inpn.mnhn.fr/espece/cd_nom/920131","Nusoncus nasutus (Schenkel, 1925)")</f>
        <v>Nusoncus nasutus (Schenkel, 1925)</v>
      </c>
      <c r="Q18692" s="7" t="str">
        <f>HYPERLINK("#Liste_rouge!A"&amp;_xlfn.XMATCH("DD",Liste_rouge!A:A,2,1),"DD")</f>
        <v>DD</v>
      </c>
      <c r="AH18692" s="4" t="str">
        <f>HYPERLINK("#Statut_biogéographique!A"&amp;_xlfn.XMATCH("P",Statut_biogéographique!A:A,2,1),"P")</f>
        <v>P</v>
      </c>
      <c r="AP18692" s="4" t="s">
        <v>376</v>
      </c>
      <c r="AR18692" s="4" t="s">
        <v>377</v>
      </c>
    </row>
    <row r="18693" spans="1:44">
      <c r="A18693" s="4" t="s">
        <v>10753</v>
      </c>
      <c r="B18693" s="4">
        <v>9203</v>
      </c>
      <c r="D18693" s="5" t="s">
        <v>22833</v>
      </c>
      <c r="E18693" s="6" t="str">
        <f>HYPERLINK("https://inpn.mnhn.fr/espece/cd_nom/9203","Amara eurynota (Panzer, 1796)")</f>
        <v>Amara eurynota (Panzer, 1796)</v>
      </c>
      <c r="AH18693" s="4" t="str">
        <f>HYPERLINK("#Statut_biogéographique!A"&amp;_xlfn.XMATCH("P",Statut_biogéographique!A:A,2,1),"P")</f>
        <v>P</v>
      </c>
      <c r="AP18693" s="4" t="s">
        <v>376</v>
      </c>
      <c r="AR18693" s="4" t="s">
        <v>377</v>
      </c>
    </row>
    <row r="18694" spans="1:44">
      <c r="A18694" s="4" t="s">
        <v>10753</v>
      </c>
      <c r="B18694" s="4">
        <v>920382</v>
      </c>
      <c r="D18694" s="5" t="s">
        <v>22834</v>
      </c>
      <c r="E18694" s="6" t="str">
        <f>HYPERLINK("https://inpn.mnhn.fr/espece/cd_nom/920382","Pelidnoptera leptiformis (Schiner, 1864)")</f>
        <v>Pelidnoptera leptiformis (Schiner, 1864)</v>
      </c>
      <c r="AH18694" s="4" t="str">
        <f>HYPERLINK("#Statut_biogéographique!A"&amp;_xlfn.XMATCH("P",Statut_biogéographique!A:A,2,1),"P")</f>
        <v>P</v>
      </c>
      <c r="AP18694" s="4" t="s">
        <v>376</v>
      </c>
      <c r="AR18694" s="4" t="s">
        <v>377</v>
      </c>
    </row>
    <row r="18695" spans="1:44" ht="30">
      <c r="A18695" s="4" t="s">
        <v>10753</v>
      </c>
      <c r="B18695" s="4">
        <v>920399</v>
      </c>
      <c r="D18695" s="5" t="s">
        <v>22835</v>
      </c>
      <c r="E18695" s="6" t="str">
        <f>HYPERLINK("https://inpn.mnhn.fr/espece/cd_nom/920399","Bythiospeum haeussleri (Clessin, 1890)")</f>
        <v>Bythiospeum haeussleri (Clessin, 1890)</v>
      </c>
      <c r="F18695" s="5" t="s">
        <v>22836</v>
      </c>
      <c r="O18695" s="7" t="str">
        <f>HYPERLINK("#Liste_rouge!A"&amp;_xlfn.XMATCH("LC",Liste_rouge!A:A,2,1),"LC (cd_nom 162787) - NT (cd_nom 920402)")</f>
        <v>LC (cd_nom 162787) - NT (cd_nom 920402)</v>
      </c>
      <c r="P18695" s="7" t="str">
        <f>HYPERLINK("#Liste_rouge!A"&amp;_xlfn.XMATCH("LC",Liste_rouge!A:A,2,1),"LC (cd_nom 162787) - NT (cd_nom 920402)")</f>
        <v>LC (cd_nom 162787) - NT (cd_nom 920402)</v>
      </c>
      <c r="Q18695" s="7" t="str">
        <f>HYPERLINK("#Liste_rouge!A"&amp;_xlfn.XMATCH("LC",Liste_rouge!A:A,2,1),"LC")</f>
        <v>LC</v>
      </c>
      <c r="AH18695" s="4" t="str">
        <f>HYPERLINK("#Statut_biogéographique!A"&amp;_xlfn.XMATCH("P",Statut_biogéographique!A:A,2,1),"P")</f>
        <v>P</v>
      </c>
      <c r="AM18695" s="4" t="s">
        <v>375</v>
      </c>
      <c r="AN18695" s="4" t="s">
        <v>375</v>
      </c>
      <c r="AO18695" s="4" t="s">
        <v>375</v>
      </c>
      <c r="AP18695" s="4" t="s">
        <v>376</v>
      </c>
      <c r="AR18695" s="4" t="s">
        <v>377</v>
      </c>
    </row>
    <row r="18696" spans="1:44">
      <c r="A18696" s="4" t="s">
        <v>10753</v>
      </c>
      <c r="B18696" s="4">
        <v>9204</v>
      </c>
      <c r="D18696" s="5" t="s">
        <v>22837</v>
      </c>
      <c r="E18696" s="6" t="str">
        <f>HYPERLINK("https://inpn.mnhn.fr/espece/cd_nom/9204","Amara familiaris (Duftschmid, 1812)")</f>
        <v>Amara familiaris (Duftschmid, 1812)</v>
      </c>
      <c r="AH18696" s="4" t="str">
        <f>HYPERLINK("#Statut_biogéographique!A"&amp;_xlfn.XMATCH("P",Statut_biogéographique!A:A,2,1),"P")</f>
        <v>P</v>
      </c>
      <c r="AP18696" s="4" t="s">
        <v>376</v>
      </c>
      <c r="AR18696" s="4" t="s">
        <v>377</v>
      </c>
    </row>
    <row r="18697" spans="1:44">
      <c r="A18697" s="4" t="s">
        <v>10753</v>
      </c>
      <c r="B18697" s="4">
        <v>9206</v>
      </c>
      <c r="D18697" s="5" t="s">
        <v>22838</v>
      </c>
      <c r="E18697" s="6" t="str">
        <f>HYPERLINK("https://inpn.mnhn.fr/espece/cd_nom/9206","Amara fulvipes (Audinet-Serville, 1821)")</f>
        <v>Amara fulvipes (Audinet-Serville, 1821)</v>
      </c>
      <c r="AH18697" s="4" t="str">
        <f>HYPERLINK("#Statut_biogéographique!A"&amp;_xlfn.XMATCH("P",Statut_biogéographique!A:A,2,1),"P")</f>
        <v>P</v>
      </c>
      <c r="AP18697" s="4" t="s">
        <v>376</v>
      </c>
      <c r="AR18697" s="4" t="s">
        <v>377</v>
      </c>
    </row>
    <row r="18698" spans="1:44">
      <c r="A18698" s="4" t="s">
        <v>10753</v>
      </c>
      <c r="B18698" s="4">
        <v>9207</v>
      </c>
      <c r="D18698" s="5" t="s">
        <v>22839</v>
      </c>
      <c r="E18698" s="6" t="str">
        <f>HYPERLINK("https://inpn.mnhn.fr/espece/cd_nom/9207","Amara kulti Fassati, 1947")</f>
        <v>Amara kulti Fassati, 1947</v>
      </c>
      <c r="AH18698" s="4" t="str">
        <f>HYPERLINK("#Statut_biogéographique!A"&amp;_xlfn.XMATCH("P",Statut_biogéographique!A:A,2,1),"P")</f>
        <v>P</v>
      </c>
      <c r="AP18698" s="4" t="s">
        <v>376</v>
      </c>
      <c r="AR18698" s="4" t="s">
        <v>377</v>
      </c>
    </row>
    <row r="18699" spans="1:44">
      <c r="A18699" s="4" t="s">
        <v>10753</v>
      </c>
      <c r="B18699" s="4">
        <v>9208</v>
      </c>
      <c r="D18699" s="5" t="s">
        <v>22840</v>
      </c>
      <c r="E18699" s="6" t="str">
        <f>HYPERLINK("https://inpn.mnhn.fr/espece/cd_nom/9208","Amara lucida (Duftschmid, 1812)")</f>
        <v>Amara lucida (Duftschmid, 1812)</v>
      </c>
      <c r="AH18699" s="4" t="str">
        <f>HYPERLINK("#Statut_biogéographique!A"&amp;_xlfn.XMATCH("P",Statut_biogéographique!A:A,2,1),"P")</f>
        <v>P</v>
      </c>
      <c r="AP18699" s="4" t="s">
        <v>376</v>
      </c>
      <c r="AR18699" s="4" t="s">
        <v>377</v>
      </c>
    </row>
    <row r="18700" spans="1:44">
      <c r="A18700" s="4" t="s">
        <v>10753</v>
      </c>
      <c r="B18700" s="4">
        <v>9212</v>
      </c>
      <c r="D18700" s="5" t="s">
        <v>22841</v>
      </c>
      <c r="E18700" s="6" t="str">
        <f>HYPERLINK("https://inpn.mnhn.fr/espece/cd_nom/9212","Amara lunicollis Schiødte, 1837")</f>
        <v>Amara lunicollis Schiødte, 1837</v>
      </c>
      <c r="AH18700" s="4" t="str">
        <f>HYPERLINK("#Statut_biogéographique!A"&amp;_xlfn.XMATCH("P",Statut_biogéographique!A:A,2,1),"P")</f>
        <v>P</v>
      </c>
      <c r="AP18700" s="4" t="s">
        <v>376</v>
      </c>
      <c r="AR18700" s="4" t="s">
        <v>377</v>
      </c>
    </row>
    <row r="18701" spans="1:44">
      <c r="A18701" s="4" t="s">
        <v>10753</v>
      </c>
      <c r="B18701" s="4">
        <v>9214</v>
      </c>
      <c r="D18701" s="5">
        <v>9214</v>
      </c>
      <c r="E18701" s="6" t="str">
        <f>HYPERLINK("https://inpn.mnhn.fr/espece/cd_nom/9214","Amara montivaga Sturm, 1825")</f>
        <v>Amara montivaga Sturm, 1825</v>
      </c>
      <c r="AH18701" s="4" t="str">
        <f>HYPERLINK("#Statut_biogéographique!A"&amp;_xlfn.XMATCH("P",Statut_biogéographique!A:A,2,1),"P")</f>
        <v>P</v>
      </c>
      <c r="AP18701" s="4" t="s">
        <v>376</v>
      </c>
      <c r="AR18701" s="4" t="s">
        <v>377</v>
      </c>
    </row>
    <row r="18702" spans="1:44">
      <c r="A18702" s="4" t="s">
        <v>10753</v>
      </c>
      <c r="B18702" s="4">
        <v>9215</v>
      </c>
      <c r="D18702" s="5" t="s">
        <v>22842</v>
      </c>
      <c r="E18702" s="6" t="str">
        <f>HYPERLINK("https://inpn.mnhn.fr/espece/cd_nom/9215","Amara nitida Sturm, 1825")</f>
        <v>Amara nitida Sturm, 1825</v>
      </c>
      <c r="AH18702" s="4" t="str">
        <f>HYPERLINK("#Statut_biogéographique!A"&amp;_xlfn.XMATCH("P",Statut_biogéographique!A:A,2,1),"P")</f>
        <v>P</v>
      </c>
      <c r="AP18702" s="4" t="s">
        <v>376</v>
      </c>
      <c r="AR18702" s="4" t="s">
        <v>377</v>
      </c>
    </row>
    <row r="18703" spans="1:44">
      <c r="A18703" s="4" t="s">
        <v>10753</v>
      </c>
      <c r="B18703" s="4">
        <v>9217</v>
      </c>
      <c r="D18703" s="5" t="s">
        <v>22843</v>
      </c>
      <c r="E18703" s="6" t="str">
        <f>HYPERLINK("https://inpn.mnhn.fr/espece/cd_nom/9217","Amara ovata (Fabricius, 1792)")</f>
        <v>Amara ovata (Fabricius, 1792)</v>
      </c>
      <c r="AH18703" s="4" t="str">
        <f>HYPERLINK("#Statut_biogéographique!A"&amp;_xlfn.XMATCH("P",Statut_biogéographique!A:A,2,1),"P")</f>
        <v>P</v>
      </c>
      <c r="AP18703" s="4" t="s">
        <v>376</v>
      </c>
      <c r="AR18703" s="4" t="s">
        <v>377</v>
      </c>
    </row>
    <row r="18704" spans="1:44">
      <c r="A18704" s="4" t="s">
        <v>10753</v>
      </c>
      <c r="B18704" s="4">
        <v>9218</v>
      </c>
      <c r="D18704" s="5" t="s">
        <v>22844</v>
      </c>
      <c r="E18704" s="6" t="str">
        <f>HYPERLINK("https://inpn.mnhn.fr/espece/cd_nom/9218","Amara plebeja (Gyllenhal, 1810)")</f>
        <v>Amara plebeja (Gyllenhal, 1810)</v>
      </c>
      <c r="AH18704" s="4" t="str">
        <f>HYPERLINK("#Statut_biogéographique!A"&amp;_xlfn.XMATCH("P",Statut_biogéographique!A:A,2,1),"P")</f>
        <v>P</v>
      </c>
      <c r="AP18704" s="4" t="s">
        <v>376</v>
      </c>
      <c r="AR18704" s="4" t="s">
        <v>377</v>
      </c>
    </row>
    <row r="18705" spans="1:44">
      <c r="A18705" s="4" t="s">
        <v>10753</v>
      </c>
      <c r="B18705" s="4">
        <v>922041</v>
      </c>
      <c r="D18705" s="5">
        <v>922041</v>
      </c>
      <c r="E18705" s="6" t="str">
        <f>HYPERLINK("https://inpn.mnhn.fr/espece/cd_nom/922041","Trichonta paraterminalis Zaitzev, 1999")</f>
        <v>Trichonta paraterminalis Zaitzev, 1999</v>
      </c>
      <c r="AH18705" s="4" t="str">
        <f>HYPERLINK("#Statut_biogéographique!A"&amp;_xlfn.XMATCH("P",Statut_biogéographique!A:A,2,1),"P")</f>
        <v>P</v>
      </c>
      <c r="AP18705" s="4" t="s">
        <v>376</v>
      </c>
      <c r="AR18705" s="4" t="s">
        <v>377</v>
      </c>
    </row>
    <row r="18706" spans="1:44">
      <c r="A18706" s="4" t="s">
        <v>10753</v>
      </c>
      <c r="B18706" s="4">
        <v>922116</v>
      </c>
      <c r="D18706" s="5">
        <v>922116</v>
      </c>
      <c r="E18706" s="6" t="str">
        <f>HYPERLINK("https://inpn.mnhn.fr/espece/cd_nom/922116","Bradysia normalis Frey, 1948")</f>
        <v>Bradysia normalis Frey, 1948</v>
      </c>
      <c r="AH18706" s="4" t="str">
        <f>HYPERLINK("#Statut_biogéographique!A"&amp;_xlfn.XMATCH("P",Statut_biogéographique!A:A,2,1),"P")</f>
        <v>P</v>
      </c>
      <c r="AP18706" s="4" t="s">
        <v>376</v>
      </c>
      <c r="AR18706" s="4" t="s">
        <v>377</v>
      </c>
    </row>
    <row r="18707" spans="1:44">
      <c r="A18707" s="4" t="s">
        <v>10753</v>
      </c>
      <c r="B18707" s="4">
        <v>922180</v>
      </c>
      <c r="D18707" s="5" t="s">
        <v>22845</v>
      </c>
      <c r="E18707" s="6" t="str">
        <f>HYPERLINK("https://inpn.mnhn.fr/espece/cd_nom/922180","Corynoptera flavicauda (Zetterstedt, 1855)")</f>
        <v>Corynoptera flavicauda (Zetterstedt, 1855)</v>
      </c>
      <c r="AH18707" s="4" t="str">
        <f>HYPERLINK("#Statut_biogéographique!A"&amp;_xlfn.XMATCH("P",Statut_biogéographique!A:A,2,1),"P")</f>
        <v>P</v>
      </c>
      <c r="AP18707" s="4" t="s">
        <v>376</v>
      </c>
      <c r="AR18707" s="4" t="s">
        <v>377</v>
      </c>
    </row>
    <row r="18708" spans="1:44" ht="30">
      <c r="A18708" s="4" t="s">
        <v>10753</v>
      </c>
      <c r="B18708" s="4">
        <v>922197</v>
      </c>
      <c r="D18708" s="5">
        <v>922197</v>
      </c>
      <c r="E18708" s="6" t="str">
        <f>HYPERLINK("https://inpn.mnhn.fr/espece/cd_nom/922197","Corynoptera tumidula Hippa, Vilkamaa &amp; Heller, 2010")</f>
        <v>Corynoptera tumidula Hippa, Vilkamaa &amp; Heller, 2010</v>
      </c>
      <c r="AH18708" s="4" t="str">
        <f>HYPERLINK("#Statut_biogéographique!A"&amp;_xlfn.XMATCH("P",Statut_biogéographique!A:A,2,1),"P")</f>
        <v>P</v>
      </c>
      <c r="AP18708" s="4" t="s">
        <v>376</v>
      </c>
      <c r="AR18708" s="4" t="s">
        <v>377</v>
      </c>
    </row>
    <row r="18709" spans="1:44">
      <c r="A18709" s="4" t="s">
        <v>10753</v>
      </c>
      <c r="B18709" s="4">
        <v>922206</v>
      </c>
      <c r="D18709" s="5" t="s">
        <v>22846</v>
      </c>
      <c r="E18709" s="6" t="str">
        <f>HYPERLINK("https://inpn.mnhn.fr/espece/cd_nom/922206","Cratyna colei (Freeman, 1990)")</f>
        <v>Cratyna colei (Freeman, 1990)</v>
      </c>
      <c r="AH18709" s="4" t="str">
        <f>HYPERLINK("#Statut_biogéographique!A"&amp;_xlfn.XMATCH("P",Statut_biogéographique!A:A,2,1),"P")</f>
        <v>P</v>
      </c>
      <c r="AP18709" s="4" t="s">
        <v>376</v>
      </c>
      <c r="AR18709" s="4" t="s">
        <v>377</v>
      </c>
    </row>
    <row r="18710" spans="1:44">
      <c r="A18710" s="4" t="s">
        <v>10753</v>
      </c>
      <c r="B18710" s="4">
        <v>922264</v>
      </c>
      <c r="D18710" s="5" t="s">
        <v>22847</v>
      </c>
      <c r="E18710" s="6" t="str">
        <f>HYPERLINK("https://inpn.mnhn.fr/espece/cd_nom/922264","Phytosciara porrecta (Lengersdorf, 1929)")</f>
        <v>Phytosciara porrecta (Lengersdorf, 1929)</v>
      </c>
      <c r="AH18710" s="4" t="str">
        <f>HYPERLINK("#Statut_biogéographique!A"&amp;_xlfn.XMATCH("P",Statut_biogéographique!A:A,2,1),"P")</f>
        <v>P</v>
      </c>
      <c r="AP18710" s="4" t="s">
        <v>376</v>
      </c>
      <c r="AR18710" s="4" t="s">
        <v>377</v>
      </c>
    </row>
    <row r="18711" spans="1:44">
      <c r="A18711" s="4" t="s">
        <v>10753</v>
      </c>
      <c r="B18711" s="4">
        <v>922291</v>
      </c>
      <c r="D18711" s="5" t="s">
        <v>22848</v>
      </c>
      <c r="E18711" s="6" t="str">
        <f>HYPERLINK("https://inpn.mnhn.fr/espece/cd_nom/922291","Sciara lackschewitzi (Lengersdorf, 1934)")</f>
        <v>Sciara lackschewitzi (Lengersdorf, 1934)</v>
      </c>
      <c r="AH18711" s="4" t="str">
        <f>HYPERLINK("#Statut_biogéographique!A"&amp;_xlfn.XMATCH("P",Statut_biogéographique!A:A,2,1),"P")</f>
        <v>P</v>
      </c>
      <c r="AP18711" s="4" t="s">
        <v>376</v>
      </c>
      <c r="AR18711" s="4" t="s">
        <v>377</v>
      </c>
    </row>
    <row r="18712" spans="1:44">
      <c r="A18712" s="4" t="s">
        <v>10753</v>
      </c>
      <c r="B18712" s="4">
        <v>922299</v>
      </c>
      <c r="D18712" s="5">
        <v>922299</v>
      </c>
      <c r="E18712" s="6" t="str">
        <f>HYPERLINK("https://inpn.mnhn.fr/espece/cd_nom/922299","Scythropochroa radialis Lengersdorf, 1926")</f>
        <v>Scythropochroa radialis Lengersdorf, 1926</v>
      </c>
      <c r="AH18712" s="4" t="str">
        <f>HYPERLINK("#Statut_biogéographique!A"&amp;_xlfn.XMATCH("P",Statut_biogéographique!A:A,2,1),"P")</f>
        <v>P</v>
      </c>
      <c r="AP18712" s="4" t="s">
        <v>376</v>
      </c>
      <c r="AR18712" s="4" t="s">
        <v>377</v>
      </c>
    </row>
    <row r="18713" spans="1:44">
      <c r="A18713" s="4" t="s">
        <v>10753</v>
      </c>
      <c r="B18713" s="4">
        <v>9223</v>
      </c>
      <c r="D18713" s="5">
        <v>9223</v>
      </c>
      <c r="E18713" s="6" t="str">
        <f>HYPERLINK("https://inpn.mnhn.fr/espece/cd_nom/9223","Amara rufipes Dejean, 1828")</f>
        <v>Amara rufipes Dejean, 1828</v>
      </c>
      <c r="AH18713" s="4" t="str">
        <f>HYPERLINK("#Statut_biogéographique!A"&amp;_xlfn.XMATCH("P",Statut_biogéographique!A:A,2,1),"P")</f>
        <v>P</v>
      </c>
      <c r="AP18713" s="4" t="s">
        <v>376</v>
      </c>
      <c r="AR18713" s="4" t="s">
        <v>377</v>
      </c>
    </row>
    <row r="18714" spans="1:44">
      <c r="A18714" s="4" t="s">
        <v>10753</v>
      </c>
      <c r="B18714" s="4">
        <v>922301</v>
      </c>
      <c r="D18714" s="5">
        <v>922301</v>
      </c>
      <c r="E18714" s="6" t="str">
        <f>HYPERLINK("https://inpn.mnhn.fr/espece/cd_nom/922301","Trichosia acrotricha Tuomikoski, 1960")</f>
        <v>Trichosia acrotricha Tuomikoski, 1960</v>
      </c>
      <c r="AH18714" s="4" t="str">
        <f>HYPERLINK("#Statut_biogéographique!A"&amp;_xlfn.XMATCH("P",Statut_biogéographique!A:A,2,1),"P")</f>
        <v>P</v>
      </c>
      <c r="AP18714" s="4" t="s">
        <v>376</v>
      </c>
      <c r="AR18714" s="4" t="s">
        <v>377</v>
      </c>
    </row>
    <row r="18715" spans="1:44">
      <c r="A18715" s="4" t="s">
        <v>10753</v>
      </c>
      <c r="B18715" s="4">
        <v>922302</v>
      </c>
      <c r="D18715" s="5">
        <v>922302</v>
      </c>
      <c r="E18715" s="6" t="str">
        <f>HYPERLINK("https://inpn.mnhn.fr/espece/cd_nom/922302","Trichosia edwardsi Lengersdorf, 1930")</f>
        <v>Trichosia edwardsi Lengersdorf, 1930</v>
      </c>
      <c r="AH18715" s="4" t="str">
        <f>HYPERLINK("#Statut_biogéographique!A"&amp;_xlfn.XMATCH("P",Statut_biogéographique!A:A,2,1),"P")</f>
        <v>P</v>
      </c>
      <c r="AP18715" s="4" t="s">
        <v>376</v>
      </c>
      <c r="AR18715" s="4" t="s">
        <v>377</v>
      </c>
    </row>
    <row r="18716" spans="1:44" ht="30">
      <c r="A18716" s="4" t="s">
        <v>10753</v>
      </c>
      <c r="B18716" s="4">
        <v>922314</v>
      </c>
      <c r="D18716" s="5">
        <v>922314</v>
      </c>
      <c r="E18716" s="6" t="str">
        <f>HYPERLINK("https://inpn.mnhn.fr/espece/cd_nom/922314","Cephalops grandimembranus De Meyer, 1989")</f>
        <v>Cephalops grandimembranus De Meyer, 1989</v>
      </c>
      <c r="AH18716" s="4" t="str">
        <f>HYPERLINK("#Statut_biogéographique!A"&amp;_xlfn.XMATCH("P",Statut_biogéographique!A:A,2,1),"P")</f>
        <v>P</v>
      </c>
      <c r="AP18716" s="4" t="s">
        <v>376</v>
      </c>
      <c r="AR18716" s="4" t="s">
        <v>377</v>
      </c>
    </row>
    <row r="18717" spans="1:44">
      <c r="A18717" s="4" t="s">
        <v>10753</v>
      </c>
      <c r="B18717" s="4">
        <v>922585</v>
      </c>
      <c r="D18717" s="5">
        <v>922585</v>
      </c>
      <c r="E18717" s="6" t="str">
        <f>HYPERLINK("https://inpn.mnhn.fr/espece/cd_nom/922585","Dorylomorpha fennica Albrecht, 1979")</f>
        <v>Dorylomorpha fennica Albrecht, 1979</v>
      </c>
      <c r="AH18717" s="4" t="str">
        <f>HYPERLINK("#Statut_biogéographique!A"&amp;_xlfn.XMATCH("P",Statut_biogéographique!A:A,2,1),"P")</f>
        <v>P</v>
      </c>
      <c r="AP18717" s="4" t="s">
        <v>376</v>
      </c>
      <c r="AR18717" s="4" t="s">
        <v>377</v>
      </c>
    </row>
    <row r="18718" spans="1:44" ht="30">
      <c r="A18718" s="4" t="s">
        <v>10753</v>
      </c>
      <c r="B18718" s="4">
        <v>922587</v>
      </c>
      <c r="D18718" s="5" t="s">
        <v>22849</v>
      </c>
      <c r="E18718" s="6" t="str">
        <f>HYPERLINK("https://inpn.mnhn.fr/espece/cd_nom/922587","Dorylomorpha haemorrhoidalis (Zetterstedt, 1838)")</f>
        <v>Dorylomorpha haemorrhoidalis (Zetterstedt, 1838)</v>
      </c>
      <c r="AH18718" s="4" t="str">
        <f>HYPERLINK("#Statut_biogéographique!A"&amp;_xlfn.XMATCH("P",Statut_biogéographique!A:A,2,1),"P")</f>
        <v>P</v>
      </c>
      <c r="AP18718" s="4" t="s">
        <v>376</v>
      </c>
      <c r="AR18718" s="4" t="s">
        <v>377</v>
      </c>
    </row>
    <row r="18719" spans="1:44">
      <c r="A18719" s="4" t="s">
        <v>10753</v>
      </c>
      <c r="B18719" s="4">
        <v>922594</v>
      </c>
      <c r="D18719" s="5" t="s">
        <v>22850</v>
      </c>
      <c r="E18719" s="6" t="str">
        <f>HYPERLINK("https://inpn.mnhn.fr/espece/cd_nom/922594","Dorylomorpha occidens (Hardy, 1939)")</f>
        <v>Dorylomorpha occidens (Hardy, 1939)</v>
      </c>
      <c r="AH18719" s="4" t="str">
        <f>HYPERLINK("#Statut_biogéographique!A"&amp;_xlfn.XMATCH("P",Statut_biogéographique!A:A,2,1),"P")</f>
        <v>P</v>
      </c>
      <c r="AP18719" s="4" t="s">
        <v>376</v>
      </c>
      <c r="AR18719" s="4" t="s">
        <v>377</v>
      </c>
    </row>
    <row r="18720" spans="1:44">
      <c r="A18720" s="4" t="s">
        <v>10753</v>
      </c>
      <c r="B18720" s="4">
        <v>922598</v>
      </c>
      <c r="D18720" s="5">
        <v>922598</v>
      </c>
      <c r="E18720" s="6" t="str">
        <f>HYPERLINK("https://inpn.mnhn.fr/espece/cd_nom/922598","Dorylomorpha praetermissa Albrecht, 1979")</f>
        <v>Dorylomorpha praetermissa Albrecht, 1979</v>
      </c>
      <c r="AH18720" s="4" t="str">
        <f>HYPERLINK("#Statut_biogéographique!A"&amp;_xlfn.XMATCH("P",Statut_biogéographique!A:A,2,1),"P")</f>
        <v>P</v>
      </c>
      <c r="AP18720" s="4" t="s">
        <v>376</v>
      </c>
      <c r="AR18720" s="4" t="s">
        <v>377</v>
      </c>
    </row>
    <row r="18721" spans="1:44">
      <c r="A18721" s="4" t="s">
        <v>10753</v>
      </c>
      <c r="B18721" s="4">
        <v>922599</v>
      </c>
      <c r="D18721" s="5" t="s">
        <v>22851</v>
      </c>
      <c r="E18721" s="6" t="str">
        <f>HYPERLINK("https://inpn.mnhn.fr/espece/cd_nom/922599","Dorylomorpha xanthocera (Kowarz, 1887)")</f>
        <v>Dorylomorpha xanthocera (Kowarz, 1887)</v>
      </c>
      <c r="AH18721" s="4" t="str">
        <f>HYPERLINK("#Statut_biogéographique!A"&amp;_xlfn.XMATCH("P",Statut_biogéographique!A:A,2,1),"P")</f>
        <v>P</v>
      </c>
      <c r="AP18721" s="4" t="s">
        <v>376</v>
      </c>
      <c r="AR18721" s="4" t="s">
        <v>377</v>
      </c>
    </row>
    <row r="18722" spans="1:44">
      <c r="A18722" s="4" t="s">
        <v>10753</v>
      </c>
      <c r="B18722" s="4">
        <v>922649</v>
      </c>
      <c r="D18722" s="5" t="s">
        <v>22852</v>
      </c>
      <c r="E18722" s="6" t="str">
        <f>HYPERLINK("https://inpn.mnhn.fr/espece/cd_nom/922649","Earomyia crystallophila (Becker, 1895)")</f>
        <v>Earomyia crystallophila (Becker, 1895)</v>
      </c>
      <c r="AH18722" s="4" t="str">
        <f>HYPERLINK("#Statut_biogéographique!A"&amp;_xlfn.XMATCH("P",Statut_biogéographique!A:A,2,1),"P")</f>
        <v>P</v>
      </c>
      <c r="AP18722" s="4" t="s">
        <v>376</v>
      </c>
      <c r="AR18722" s="4" t="s">
        <v>377</v>
      </c>
    </row>
    <row r="18723" spans="1:44">
      <c r="A18723" s="4" t="s">
        <v>10753</v>
      </c>
      <c r="B18723" s="4">
        <v>922652</v>
      </c>
      <c r="D18723" s="5">
        <v>922652</v>
      </c>
      <c r="E18723" s="6" t="str">
        <f>HYPERLINK("https://inpn.mnhn.fr/espece/cd_nom/922652","Earomyia lonchaeoides Zetterstedt, 1848")</f>
        <v>Earomyia lonchaeoides Zetterstedt, 1848</v>
      </c>
      <c r="AH18723" s="4" t="str">
        <f>HYPERLINK("#Statut_biogéographique!A"&amp;_xlfn.XMATCH("P",Statut_biogéographique!A:A,2,1),"P")</f>
        <v>P</v>
      </c>
      <c r="AP18723" s="4" t="s">
        <v>376</v>
      </c>
      <c r="AR18723" s="4" t="s">
        <v>377</v>
      </c>
    </row>
    <row r="18724" spans="1:44">
      <c r="A18724" s="4" t="s">
        <v>10753</v>
      </c>
      <c r="B18724" s="4">
        <v>922653</v>
      </c>
      <c r="D18724" s="5">
        <v>922653</v>
      </c>
      <c r="E18724" s="6" t="str">
        <f>HYPERLINK("https://inpn.mnhn.fr/espece/cd_nom/922653","Earomyia schistopyga Collin, 1953")</f>
        <v>Earomyia schistopyga Collin, 1953</v>
      </c>
      <c r="AH18724" s="4" t="str">
        <f>HYPERLINK("#Statut_biogéographique!A"&amp;_xlfn.XMATCH("P",Statut_biogéographique!A:A,2,1),"P")</f>
        <v>P</v>
      </c>
      <c r="AP18724" s="4" t="s">
        <v>376</v>
      </c>
      <c r="AR18724" s="4" t="s">
        <v>377</v>
      </c>
    </row>
    <row r="18725" spans="1:44">
      <c r="A18725" s="4" t="s">
        <v>10753</v>
      </c>
      <c r="B18725" s="4">
        <v>922654</v>
      </c>
      <c r="D18725" s="5" t="s">
        <v>22853</v>
      </c>
      <c r="E18725" s="6" t="str">
        <f>HYPERLINK("https://inpn.mnhn.fr/espece/cd_nom/922654","Earomyia viridana (Meigen, 1826)")</f>
        <v>Earomyia viridana (Meigen, 1826)</v>
      </c>
      <c r="AH18725" s="4" t="str">
        <f>HYPERLINK("#Statut_biogéographique!A"&amp;_xlfn.XMATCH("P",Statut_biogéographique!A:A,2,1),"P")</f>
        <v>P</v>
      </c>
      <c r="AP18725" s="4" t="s">
        <v>376</v>
      </c>
      <c r="AR18725" s="4" t="s">
        <v>377</v>
      </c>
    </row>
    <row r="18726" spans="1:44">
      <c r="A18726" s="4" t="s">
        <v>10753</v>
      </c>
      <c r="B18726" s="4">
        <v>922656</v>
      </c>
      <c r="D18726" s="5">
        <v>922656</v>
      </c>
      <c r="E18726" s="6" t="str">
        <f>HYPERLINK("https://inpn.mnhn.fr/espece/cd_nom/922656","Earomyia virilis Collin, 1953")</f>
        <v>Earomyia virilis Collin, 1953</v>
      </c>
      <c r="AH18726" s="4" t="str">
        <f>HYPERLINK("#Statut_biogéographique!A"&amp;_xlfn.XMATCH("P",Statut_biogéographique!A:A,2,1),"P")</f>
        <v>P</v>
      </c>
      <c r="AP18726" s="4" t="s">
        <v>376</v>
      </c>
      <c r="AR18726" s="4" t="s">
        <v>377</v>
      </c>
    </row>
    <row r="18727" spans="1:44">
      <c r="A18727" s="4" t="s">
        <v>10753</v>
      </c>
      <c r="B18727" s="4">
        <v>922663</v>
      </c>
      <c r="D18727" s="5">
        <v>922663</v>
      </c>
      <c r="E18727" s="6" t="str">
        <f>HYPERLINK("https://inpn.mnhn.fr/espece/cd_nom/922663","Lonchaea obscuritarsis Collin, 1953")</f>
        <v>Lonchaea obscuritarsis Collin, 1953</v>
      </c>
      <c r="AH18727" s="4" t="str">
        <f>HYPERLINK("#Statut_biogéographique!A"&amp;_xlfn.XMATCH("P",Statut_biogéographique!A:A,2,1),"P")</f>
        <v>P</v>
      </c>
      <c r="AP18727" s="4" t="s">
        <v>376</v>
      </c>
      <c r="AR18727" s="4" t="s">
        <v>377</v>
      </c>
    </row>
    <row r="18728" spans="1:44">
      <c r="A18728" s="4" t="s">
        <v>10753</v>
      </c>
      <c r="B18728" s="4">
        <v>922665</v>
      </c>
      <c r="D18728" s="5">
        <v>922665</v>
      </c>
      <c r="E18728" s="6" t="str">
        <f>HYPERLINK("https://inpn.mnhn.fr/espece/cd_nom/922665","Lonchaea ultima Collin, 1953")</f>
        <v>Lonchaea ultima Collin, 1953</v>
      </c>
      <c r="AH18728" s="4" t="str">
        <f>HYPERLINK("#Statut_biogéographique!A"&amp;_xlfn.XMATCH("P",Statut_biogéographique!A:A,2,1),"P")</f>
        <v>P</v>
      </c>
      <c r="AP18728" s="4" t="s">
        <v>376</v>
      </c>
      <c r="AR18728" s="4" t="s">
        <v>377</v>
      </c>
    </row>
    <row r="18729" spans="1:44">
      <c r="A18729" s="4" t="s">
        <v>10753</v>
      </c>
      <c r="B18729" s="4">
        <v>922666</v>
      </c>
      <c r="D18729" s="5">
        <v>922666</v>
      </c>
      <c r="E18729" s="6" t="str">
        <f>HYPERLINK("https://inpn.mnhn.fr/espece/cd_nom/922666","Lonchaea zetterstedti Becker, 1902")</f>
        <v>Lonchaea zetterstedti Becker, 1902</v>
      </c>
      <c r="AH18729" s="4" t="str">
        <f>HYPERLINK("#Statut_biogéographique!A"&amp;_xlfn.XMATCH("P",Statut_biogéographique!A:A,2,1),"P")</f>
        <v>P</v>
      </c>
      <c r="AP18729" s="4" t="s">
        <v>376</v>
      </c>
      <c r="AR18729" s="4" t="s">
        <v>377</v>
      </c>
    </row>
    <row r="18730" spans="1:44">
      <c r="A18730" s="4" t="s">
        <v>10753</v>
      </c>
      <c r="B18730" s="4">
        <v>922667</v>
      </c>
      <c r="D18730" s="5" t="s">
        <v>22854</v>
      </c>
      <c r="E18730" s="6" t="str">
        <f>HYPERLINK("https://inpn.mnhn.fr/espece/cd_nom/922667","Protearomyia nigra (Meigen, 1826)")</f>
        <v>Protearomyia nigra (Meigen, 1826)</v>
      </c>
      <c r="AH18730" s="4" t="str">
        <f>HYPERLINK("#Statut_biogéographique!A"&amp;_xlfn.XMATCH("P",Statut_biogéographique!A:A,2,1),"P")</f>
        <v>P</v>
      </c>
      <c r="AP18730" s="4" t="s">
        <v>376</v>
      </c>
      <c r="AR18730" s="4" t="s">
        <v>377</v>
      </c>
    </row>
    <row r="18731" spans="1:44">
      <c r="A18731" s="4" t="s">
        <v>10753</v>
      </c>
      <c r="B18731" s="4">
        <v>9231</v>
      </c>
      <c r="D18731" s="5" t="s">
        <v>22855</v>
      </c>
      <c r="E18731" s="6" t="str">
        <f>HYPERLINK("https://inpn.mnhn.fr/espece/cd_nom/9231","Amara similata (Gyllenhal, 1810)")</f>
        <v>Amara similata (Gyllenhal, 1810)</v>
      </c>
      <c r="AH18731" s="4" t="str">
        <f>HYPERLINK("#Statut_biogéographique!A"&amp;_xlfn.XMATCH("P",Statut_biogéographique!A:A,2,1),"P")</f>
        <v>P</v>
      </c>
      <c r="AP18731" s="4" t="s">
        <v>376</v>
      </c>
      <c r="AR18731" s="4" t="s">
        <v>377</v>
      </c>
    </row>
    <row r="18732" spans="1:44">
      <c r="A18732" s="4" t="s">
        <v>10753</v>
      </c>
      <c r="B18732" s="4">
        <v>9233</v>
      </c>
      <c r="D18732" s="5" t="s">
        <v>22856</v>
      </c>
      <c r="E18732" s="6" t="str">
        <f>HYPERLINK("https://inpn.mnhn.fr/espece/cd_nom/9233","Odacantha melanura (Linnaeus, 1767)")</f>
        <v>Odacantha melanura (Linnaeus, 1767)</v>
      </c>
      <c r="F18732" s="5" t="s">
        <v>22857</v>
      </c>
      <c r="AH18732" s="4" t="str">
        <f>HYPERLINK("#Statut_biogéographique!A"&amp;_xlfn.XMATCH("P",Statut_biogéographique!A:A,2,1),"P")</f>
        <v>P</v>
      </c>
      <c r="AP18732" s="4" t="s">
        <v>376</v>
      </c>
      <c r="AR18732" s="4" t="s">
        <v>377</v>
      </c>
    </row>
    <row r="18733" spans="1:44">
      <c r="A18733" s="4" t="s">
        <v>10753</v>
      </c>
      <c r="B18733" s="4">
        <v>923544</v>
      </c>
      <c r="D18733" s="5" t="s">
        <v>22858</v>
      </c>
      <c r="E18733" s="6" t="str">
        <f>HYPERLINK("https://inpn.mnhn.fr/espece/cd_nom/923544","Nectoporus sanmarkii (C.R. Sahlberg, 1826)")</f>
        <v>Nectoporus sanmarkii (C.R. Sahlberg, 1826)</v>
      </c>
      <c r="AH18733" s="4" t="str">
        <f>HYPERLINK("#Statut_biogéographique!A"&amp;_xlfn.XMATCH("P",Statut_biogéographique!A:A,2,1),"P")</f>
        <v>P</v>
      </c>
      <c r="AP18733" s="4" t="s">
        <v>376</v>
      </c>
      <c r="AR18733" s="4" t="s">
        <v>377</v>
      </c>
    </row>
    <row r="18734" spans="1:44">
      <c r="A18734" s="4" t="s">
        <v>10753</v>
      </c>
      <c r="B18734" s="4">
        <v>9237</v>
      </c>
      <c r="D18734" s="5" t="s">
        <v>22859</v>
      </c>
      <c r="E18734" s="6" t="str">
        <f>HYPERLINK("https://inpn.mnhn.fr/espece/cd_nom/9237","Drypta dentata (Rossi, 1790)")</f>
        <v>Drypta dentata (Rossi, 1790)</v>
      </c>
      <c r="F18734" s="5" t="s">
        <v>22860</v>
      </c>
      <c r="AH18734" s="4" t="str">
        <f>HYPERLINK("#Statut_biogéographique!A"&amp;_xlfn.XMATCH("P",Statut_biogéographique!A:A,2,1),"P")</f>
        <v>P</v>
      </c>
      <c r="AP18734" s="4" t="s">
        <v>376</v>
      </c>
      <c r="AR18734" s="4" t="s">
        <v>377</v>
      </c>
    </row>
    <row r="18735" spans="1:44">
      <c r="A18735" s="4" t="s">
        <v>10753</v>
      </c>
      <c r="B18735" s="4">
        <v>924</v>
      </c>
      <c r="D18735" s="5" t="s">
        <v>22861</v>
      </c>
      <c r="E18735" s="6" t="str">
        <f>HYPERLINK("https://inpn.mnhn.fr/espece/cd_nom/924","Aulonia albimana (Walckenaer, 1805)")</f>
        <v>Aulonia albimana (Walckenaer, 1805)</v>
      </c>
      <c r="F18735" s="5" t="s">
        <v>22862</v>
      </c>
      <c r="Q18735" s="7" t="str">
        <f>HYPERLINK("#Liste_rouge!A"&amp;_xlfn.XMATCH("LC",Liste_rouge!A:A,2,1),"LC")</f>
        <v>LC</v>
      </c>
      <c r="AH18735" s="4" t="str">
        <f>HYPERLINK("#Statut_biogéographique!A"&amp;_xlfn.XMATCH("P",Statut_biogéographique!A:A,2,1),"P")</f>
        <v>P</v>
      </c>
      <c r="AP18735" s="4" t="s">
        <v>376</v>
      </c>
      <c r="AR18735" s="4" t="s">
        <v>377</v>
      </c>
    </row>
    <row r="18736" spans="1:44" ht="30">
      <c r="A18736" s="4" t="s">
        <v>10753</v>
      </c>
      <c r="B18736" s="4">
        <v>924569</v>
      </c>
      <c r="D18736" s="5" t="s">
        <v>22863</v>
      </c>
      <c r="E18736" s="6" t="str">
        <f>HYPERLINK("https://inpn.mnhn.fr/espece/cd_nom/924569","Clausilia corynodes saxatilis (W. Hartmann, 1843)")</f>
        <v>Clausilia corynodes saxatilis (W. Hartmann, 1843)</v>
      </c>
      <c r="F18736" s="5" t="s">
        <v>22864</v>
      </c>
      <c r="AH18736" s="4" t="str">
        <f>HYPERLINK("#Statut_biogéographique!A"&amp;_xlfn.XMATCH("P",Statut_biogéographique!A:A,2,1),"P")</f>
        <v>P</v>
      </c>
      <c r="AP18736" s="4" t="s">
        <v>376</v>
      </c>
      <c r="AR18736" s="4" t="s">
        <v>377</v>
      </c>
    </row>
    <row r="18737" spans="1:44">
      <c r="A18737" s="4" t="s">
        <v>10753</v>
      </c>
      <c r="B18737" s="4">
        <v>925195</v>
      </c>
      <c r="D18737" s="5" t="s">
        <v>22865</v>
      </c>
      <c r="E18737" s="6" t="str">
        <f>HYPERLINK("https://inpn.mnhn.fr/espece/cd_nom/925195","Sciara hebes (Loew, 1870)")</f>
        <v>Sciara hebes (Loew, 1870)</v>
      </c>
      <c r="AH18737" s="4" t="str">
        <f>HYPERLINK("#Statut_biogéographique!A"&amp;_xlfn.XMATCH("P",Statut_biogéographique!A:A,2,1),"P")</f>
        <v>P</v>
      </c>
      <c r="AP18737" s="4" t="s">
        <v>376</v>
      </c>
      <c r="AR18737" s="4" t="s">
        <v>377</v>
      </c>
    </row>
    <row r="18738" spans="1:44">
      <c r="A18738" s="4" t="s">
        <v>10753</v>
      </c>
      <c r="B18738" s="4">
        <v>925258</v>
      </c>
      <c r="D18738" s="5">
        <v>925258</v>
      </c>
      <c r="E18738" s="6" t="str">
        <f>HYPERLINK("https://inpn.mnhn.fr/espece/cd_nom/925258","Trichosia hypertricha Menzel &amp; Mohrig, 1997")</f>
        <v>Trichosia hypertricha Menzel &amp; Mohrig, 1997</v>
      </c>
      <c r="AH18738" s="4" t="str">
        <f>HYPERLINK("#Statut_biogéographique!A"&amp;_xlfn.XMATCH("P",Statut_biogéographique!A:A,2,1),"P")</f>
        <v>P</v>
      </c>
      <c r="AP18738" s="4" t="s">
        <v>376</v>
      </c>
      <c r="AR18738" s="4" t="s">
        <v>377</v>
      </c>
    </row>
    <row r="18739" spans="1:44">
      <c r="A18739" s="4" t="s">
        <v>10753</v>
      </c>
      <c r="B18739" s="4">
        <v>925282</v>
      </c>
      <c r="D18739" s="5">
        <v>925282</v>
      </c>
      <c r="E18739" s="6" t="str">
        <f>HYPERLINK("https://inpn.mnhn.fr/espece/cd_nom/925282","Eudorylas angustimembranus Kozánek, 1991")</f>
        <v>Eudorylas angustimembranus Kozánek, 1991</v>
      </c>
      <c r="AH18739" s="4" t="str">
        <f>HYPERLINK("#Statut_biogéographique!A"&amp;_xlfn.XMATCH("P",Statut_biogéographique!A:A,2,1),"P")</f>
        <v>P</v>
      </c>
      <c r="AP18739" s="4" t="s">
        <v>376</v>
      </c>
      <c r="AR18739" s="4" t="s">
        <v>377</v>
      </c>
    </row>
    <row r="18740" spans="1:44">
      <c r="A18740" s="4" t="s">
        <v>10753</v>
      </c>
      <c r="B18740" s="4">
        <v>925335</v>
      </c>
      <c r="D18740" s="5" t="s">
        <v>22866</v>
      </c>
      <c r="E18740" s="6" t="str">
        <f>HYPERLINK("https://inpn.mnhn.fr/espece/cd_nom/925335","Silba fumosa (Egger, 1862)")</f>
        <v>Silba fumosa (Egger, 1862)</v>
      </c>
      <c r="AH18740" s="4" t="str">
        <f>HYPERLINK("#Statut_biogéographique!A"&amp;_xlfn.XMATCH("P",Statut_biogéographique!A:A,2,1),"P")</f>
        <v>P</v>
      </c>
      <c r="AP18740" s="4" t="s">
        <v>376</v>
      </c>
      <c r="AR18740" s="4" t="s">
        <v>377</v>
      </c>
    </row>
    <row r="18741" spans="1:44">
      <c r="A18741" s="4" t="s">
        <v>10753</v>
      </c>
      <c r="B18741" s="4">
        <v>925835</v>
      </c>
      <c r="D18741" s="5">
        <v>925835</v>
      </c>
      <c r="E18741" s="6" t="str">
        <f>HYPERLINK("https://inpn.mnhn.fr/espece/cd_nom/925835","Procladius simplicistylus Freeman, 1948")</f>
        <v>Procladius simplicistylus Freeman, 1948</v>
      </c>
      <c r="AH18741" s="4" t="str">
        <f>HYPERLINK("#Statut_biogéographique!A"&amp;_xlfn.XMATCH("P",Statut_biogéographique!A:A,2,1),"P")</f>
        <v>P</v>
      </c>
      <c r="AP18741" s="4" t="s">
        <v>376</v>
      </c>
      <c r="AR18741" s="4" t="s">
        <v>377</v>
      </c>
    </row>
    <row r="18742" spans="1:44">
      <c r="A18742" s="4" t="s">
        <v>10753</v>
      </c>
      <c r="B18742" s="4">
        <v>9259</v>
      </c>
      <c r="D18742" s="5" t="s">
        <v>22867</v>
      </c>
      <c r="E18742" s="6" t="str">
        <f>HYPERLINK("https://inpn.mnhn.fr/espece/cd_nom/9259","Ophonus diffinis (Dejean, 1829)")</f>
        <v>Ophonus diffinis (Dejean, 1829)</v>
      </c>
      <c r="AH18742" s="4" t="str">
        <f>HYPERLINK("#Statut_biogéographique!A"&amp;_xlfn.XMATCH("P",Statut_biogéographique!A:A,2,1),"P")</f>
        <v>P</v>
      </c>
      <c r="AP18742" s="4" t="s">
        <v>376</v>
      </c>
      <c r="AR18742" s="4" t="s">
        <v>377</v>
      </c>
    </row>
    <row r="18743" spans="1:44">
      <c r="A18743" s="4" t="s">
        <v>10753</v>
      </c>
      <c r="B18743" s="4">
        <v>9261</v>
      </c>
      <c r="D18743" s="5" t="s">
        <v>22868</v>
      </c>
      <c r="E18743" s="6" t="str">
        <f>HYPERLINK("https://inpn.mnhn.fr/espece/cd_nom/9261","Ophonus rupicola (Sturm, 1818)")</f>
        <v>Ophonus rupicola (Sturm, 1818)</v>
      </c>
      <c r="AH18743" s="4" t="str">
        <f>HYPERLINK("#Statut_biogéographique!A"&amp;_xlfn.XMATCH("P",Statut_biogéographique!A:A,2,1),"P")</f>
        <v>P</v>
      </c>
      <c r="AP18743" s="4" t="s">
        <v>376</v>
      </c>
      <c r="AR18743" s="4" t="s">
        <v>377</v>
      </c>
    </row>
    <row r="18744" spans="1:44">
      <c r="A18744" s="4" t="s">
        <v>10753</v>
      </c>
      <c r="B18744" s="4">
        <v>926298</v>
      </c>
      <c r="D18744" s="5" t="s">
        <v>22869</v>
      </c>
      <c r="E18744" s="6" t="str">
        <f>HYPERLINK("https://inpn.mnhn.fr/espece/cd_nom/926298","Chrysis ruddii Shuckard, 1837")</f>
        <v>Chrysis ruddii Shuckard, 1837</v>
      </c>
      <c r="AH18744" s="4" t="str">
        <f>HYPERLINK("#Statut_biogéographique!A"&amp;_xlfn.XMATCH("P",Statut_biogéographique!A:A,2,1),"P")</f>
        <v>P</v>
      </c>
      <c r="AP18744" s="4" t="s">
        <v>376</v>
      </c>
      <c r="AR18744" s="4" t="s">
        <v>377</v>
      </c>
    </row>
    <row r="18745" spans="1:44">
      <c r="A18745" s="4" t="s">
        <v>10753</v>
      </c>
      <c r="B18745" s="4">
        <v>9266</v>
      </c>
      <c r="D18745" s="5" t="s">
        <v>22870</v>
      </c>
      <c r="E18745" s="6" t="str">
        <f>HYPERLINK("https://inpn.mnhn.fr/espece/cd_nom/9266","Ophonus cordatus (Duftschmid, 1812)")</f>
        <v>Ophonus cordatus (Duftschmid, 1812)</v>
      </c>
      <c r="F18745" s="5" t="s">
        <v>22871</v>
      </c>
      <c r="AH18745" s="4" t="str">
        <f>HYPERLINK("#Statut_biogéographique!A"&amp;_xlfn.XMATCH("P",Statut_biogéographique!A:A,2,1),"P")</f>
        <v>P</v>
      </c>
      <c r="AP18745" s="4" t="s">
        <v>376</v>
      </c>
      <c r="AR18745" s="4" t="s">
        <v>377</v>
      </c>
    </row>
    <row r="18746" spans="1:44">
      <c r="A18746" s="4" t="s">
        <v>10753</v>
      </c>
      <c r="B18746" s="4">
        <v>926773</v>
      </c>
      <c r="D18746" s="5" t="s">
        <v>22872</v>
      </c>
      <c r="E18746" s="6" t="str">
        <f>HYPERLINK("https://inpn.mnhn.fr/espece/cd_nom/926773","Macrosaccus robiniella (Clemens, 1860)")</f>
        <v>Macrosaccus robiniella (Clemens, 1860)</v>
      </c>
      <c r="AH18746" s="4" t="str">
        <f>HYPERLINK("#Statut_biogéographique!A"&amp;_xlfn.XMATCH("I",Statut_biogéographique!A:A,2,1),"I")</f>
        <v>I</v>
      </c>
      <c r="AP18746" s="4" t="s">
        <v>376</v>
      </c>
      <c r="AR18746" s="4" t="s">
        <v>377</v>
      </c>
    </row>
    <row r="18747" spans="1:44">
      <c r="A18747" s="4" t="s">
        <v>10753</v>
      </c>
      <c r="B18747" s="4">
        <v>927411</v>
      </c>
      <c r="D18747" s="5" t="s">
        <v>22873</v>
      </c>
      <c r="E18747" s="6" t="str">
        <f>HYPERLINK("https://inpn.mnhn.fr/espece/cd_nom/927411","Praomyia leachii (Curtis, 1824)")</f>
        <v>Praomyia leachii (Curtis, 1824)</v>
      </c>
      <c r="AH18747" s="4" t="str">
        <f>HYPERLINK("#Statut_biogéographique!A"&amp;_xlfn.XMATCH("P",Statut_biogéographique!A:A,2,1),"P")</f>
        <v>P</v>
      </c>
      <c r="AP18747" s="4" t="s">
        <v>376</v>
      </c>
      <c r="AR18747" s="4" t="s">
        <v>377</v>
      </c>
    </row>
    <row r="18748" spans="1:44" ht="30">
      <c r="A18748" s="4" t="s">
        <v>10753</v>
      </c>
      <c r="B18748" s="4">
        <v>9275</v>
      </c>
      <c r="D18748" s="5" t="s">
        <v>22874</v>
      </c>
      <c r="E18748" s="6" t="str">
        <f>HYPERLINK("https://inpn.mnhn.fr/espece/cd_nom/9275","Gynandromorphus etruscus (Quensel in Schönherr, 1806)")</f>
        <v>Gynandromorphus etruscus (Quensel in Schönherr, 1806)</v>
      </c>
      <c r="AH18748" s="4" t="str">
        <f>HYPERLINK("#Statut_biogéographique!A"&amp;_xlfn.XMATCH("P",Statut_biogéographique!A:A,2,1),"P")</f>
        <v>P</v>
      </c>
      <c r="AP18748" s="4" t="s">
        <v>376</v>
      </c>
      <c r="AR18748" s="4" t="s">
        <v>377</v>
      </c>
    </row>
    <row r="18749" spans="1:44">
      <c r="A18749" s="4" t="s">
        <v>10753</v>
      </c>
      <c r="B18749" s="4">
        <v>9277</v>
      </c>
      <c r="D18749" s="5" t="s">
        <v>22875</v>
      </c>
      <c r="E18749" s="6" t="str">
        <f>HYPERLINK("https://inpn.mnhn.fr/espece/cd_nom/9277","Brachinus crepitans (Linnaeus, 1758)")</f>
        <v>Brachinus crepitans (Linnaeus, 1758)</v>
      </c>
      <c r="AH18749" s="4" t="str">
        <f>HYPERLINK("#Statut_biogéographique!A"&amp;_xlfn.XMATCH("P",Statut_biogéographique!A:A,2,1),"P")</f>
        <v>P</v>
      </c>
      <c r="AP18749" s="4" t="s">
        <v>376</v>
      </c>
      <c r="AR18749" s="4" t="s">
        <v>377</v>
      </c>
    </row>
    <row r="18750" spans="1:44">
      <c r="A18750" s="4" t="s">
        <v>10753</v>
      </c>
      <c r="B18750" s="4">
        <v>9278</v>
      </c>
      <c r="D18750" s="5" t="s">
        <v>22876</v>
      </c>
      <c r="E18750" s="6" t="str">
        <f>HYPERLINK("https://inpn.mnhn.fr/espece/cd_nom/9278","Brachinus explodens Duftschmid, 1812")</f>
        <v>Brachinus explodens Duftschmid, 1812</v>
      </c>
      <c r="AH18750" s="4" t="str">
        <f>HYPERLINK("#Statut_biogéographique!A"&amp;_xlfn.XMATCH("P",Statut_biogéographique!A:A,2,1),"P")</f>
        <v>P</v>
      </c>
      <c r="AP18750" s="4" t="s">
        <v>376</v>
      </c>
      <c r="AR18750" s="4" t="s">
        <v>377</v>
      </c>
    </row>
    <row r="18751" spans="1:44">
      <c r="A18751" s="4" t="s">
        <v>10753</v>
      </c>
      <c r="B18751" s="4">
        <v>9279</v>
      </c>
      <c r="D18751" s="5" t="s">
        <v>22877</v>
      </c>
      <c r="E18751" s="6" t="str">
        <f>HYPERLINK("https://inpn.mnhn.fr/espece/cd_nom/9279","Brachinus immaculicornis Dejean, 1826")</f>
        <v>Brachinus immaculicornis Dejean, 1826</v>
      </c>
      <c r="AH18751" s="4" t="str">
        <f>HYPERLINK("#Statut_biogéographique!A"&amp;_xlfn.XMATCH("P",Statut_biogéographique!A:A,2,1),"P")</f>
        <v>P</v>
      </c>
      <c r="AP18751" s="4" t="s">
        <v>376</v>
      </c>
      <c r="AR18751" s="4" t="s">
        <v>377</v>
      </c>
    </row>
    <row r="18752" spans="1:44">
      <c r="A18752" s="4" t="s">
        <v>10753</v>
      </c>
      <c r="B18752" s="4">
        <v>9280</v>
      </c>
      <c r="D18752" s="5" t="s">
        <v>22878</v>
      </c>
      <c r="E18752" s="6" t="str">
        <f>HYPERLINK("https://inpn.mnhn.fr/espece/cd_nom/9280","Brachinus psophia Audinet-Serville, 1821")</f>
        <v>Brachinus psophia Audinet-Serville, 1821</v>
      </c>
      <c r="AH18752" s="4" t="str">
        <f>HYPERLINK("#Statut_biogéographique!A"&amp;_xlfn.XMATCH("P",Statut_biogéographique!A:A,2,1),"P")</f>
        <v>P</v>
      </c>
      <c r="AP18752" s="4" t="s">
        <v>376</v>
      </c>
      <c r="AR18752" s="4" t="s">
        <v>377</v>
      </c>
    </row>
    <row r="18753" spans="1:44">
      <c r="A18753" s="4" t="s">
        <v>10753</v>
      </c>
      <c r="B18753" s="4">
        <v>928312</v>
      </c>
      <c r="D18753" s="5" t="s">
        <v>22879</v>
      </c>
      <c r="E18753" s="6" t="str">
        <f>HYPERLINK("https://inpn.mnhn.fr/espece/cd_nom/928312","Porrhoclubiona leucaspis (Simon, 1932)")</f>
        <v>Porrhoclubiona leucaspis (Simon, 1932)</v>
      </c>
      <c r="Q18753" s="7" t="str">
        <f>HYPERLINK("#Liste_rouge!A"&amp;_xlfn.XMATCH("LC",Liste_rouge!A:A,2,1),"LC")</f>
        <v>LC</v>
      </c>
      <c r="AH18753" s="4" t="str">
        <f>HYPERLINK("#Statut_biogéographique!A"&amp;_xlfn.XMATCH("P",Statut_biogéographique!A:A,2,1),"P")</f>
        <v>P</v>
      </c>
      <c r="AP18753" s="4" t="s">
        <v>376</v>
      </c>
      <c r="AR18753" s="4" t="s">
        <v>377</v>
      </c>
    </row>
    <row r="18754" spans="1:44">
      <c r="A18754" s="4" t="s">
        <v>10753</v>
      </c>
      <c r="B18754" s="4">
        <v>928313</v>
      </c>
      <c r="D18754" s="5" t="s">
        <v>22880</v>
      </c>
      <c r="E18754" s="6" t="str">
        <f>HYPERLINK("https://inpn.mnhn.fr/espece/cd_nom/928313","Porrhoclubiona vegeta (Simon, 1918)")</f>
        <v>Porrhoclubiona vegeta (Simon, 1918)</v>
      </c>
      <c r="Q18754" s="7" t="str">
        <f>HYPERLINK("#Liste_rouge!A"&amp;_xlfn.XMATCH("DD",Liste_rouge!A:A,2,1),"DD")</f>
        <v>DD</v>
      </c>
      <c r="AH18754" s="4" t="str">
        <f>HYPERLINK("#Statut_biogéographique!A"&amp;_xlfn.XMATCH("P",Statut_biogéographique!A:A,2,1),"P")</f>
        <v>P</v>
      </c>
      <c r="AP18754" s="4" t="s">
        <v>376</v>
      </c>
      <c r="AR18754" s="4" t="s">
        <v>377</v>
      </c>
    </row>
    <row r="18755" spans="1:44">
      <c r="A18755" s="4" t="s">
        <v>10753</v>
      </c>
      <c r="B18755" s="4">
        <v>928325</v>
      </c>
      <c r="D18755" s="5" t="s">
        <v>22881</v>
      </c>
      <c r="E18755" s="6" t="str">
        <f>HYPERLINK("https://inpn.mnhn.fr/espece/cd_nom/928325","Bassaniodes robustus (Hahn, 1832)")</f>
        <v>Bassaniodes robustus (Hahn, 1832)</v>
      </c>
      <c r="Q18755" s="7" t="str">
        <f>HYPERLINK("#Liste_rouge!A"&amp;_xlfn.XMATCH("LC",Liste_rouge!A:A,2,1),"LC")</f>
        <v>LC</v>
      </c>
      <c r="AH18755" s="4" t="str">
        <f>HYPERLINK("#Statut_biogéographique!A"&amp;_xlfn.XMATCH("P",Statut_biogéographique!A:A,2,1),"P")</f>
        <v>P</v>
      </c>
      <c r="AP18755" s="4" t="s">
        <v>376</v>
      </c>
      <c r="AR18755" s="4" t="s">
        <v>377</v>
      </c>
    </row>
    <row r="18756" spans="1:44" ht="30">
      <c r="A18756" s="4" t="s">
        <v>10753</v>
      </c>
      <c r="B18756" s="4">
        <v>9285</v>
      </c>
      <c r="D18756" s="5" t="s">
        <v>22882</v>
      </c>
      <c r="E18756" s="6" t="str">
        <f>HYPERLINK("https://inpn.mnhn.fr/espece/cd_nom/9285","Brachinus sclopeta (Fabricius, 1792)")</f>
        <v>Brachinus sclopeta (Fabricius, 1792)</v>
      </c>
      <c r="F18756" s="5" t="s">
        <v>22883</v>
      </c>
      <c r="AH18756" s="4" t="str">
        <f>HYPERLINK("#Statut_biogéographique!A"&amp;_xlfn.XMATCH("P",Statut_biogéographique!A:A,2,1),"P")</f>
        <v>P</v>
      </c>
      <c r="AP18756" s="4" t="s">
        <v>376</v>
      </c>
      <c r="AR18756" s="4" t="s">
        <v>377</v>
      </c>
    </row>
    <row r="18757" spans="1:44">
      <c r="A18757" s="4" t="s">
        <v>10753</v>
      </c>
      <c r="B18757" s="4">
        <v>9287</v>
      </c>
      <c r="D18757" s="5" t="s">
        <v>22884</v>
      </c>
      <c r="E18757" s="6" t="str">
        <f>HYPERLINK("https://inpn.mnhn.fr/espece/cd_nom/9287","Diachromus germanus (Linnaeus, 1758)")</f>
        <v>Diachromus germanus (Linnaeus, 1758)</v>
      </c>
      <c r="F18757" s="5" t="s">
        <v>22885</v>
      </c>
      <c r="AH18757" s="4" t="str">
        <f>HYPERLINK("#Statut_biogéographique!A"&amp;_xlfn.XMATCH("P",Statut_biogéographique!A:A,2,1),"P")</f>
        <v>P</v>
      </c>
      <c r="AP18757" s="4" t="s">
        <v>376</v>
      </c>
      <c r="AR18757" s="4" t="s">
        <v>377</v>
      </c>
    </row>
    <row r="18758" spans="1:44">
      <c r="A18758" s="4" t="s">
        <v>10753</v>
      </c>
      <c r="B18758" s="4">
        <v>9291</v>
      </c>
      <c r="D18758" s="5" t="s">
        <v>22886</v>
      </c>
      <c r="E18758" s="6" t="str">
        <f>HYPERLINK("https://inpn.mnhn.fr/espece/cd_nom/9291","Anisodactylus binotatus (Fabricius, 1787)")</f>
        <v>Anisodactylus binotatus (Fabricius, 1787)</v>
      </c>
      <c r="AH18758" s="4" t="str">
        <f>HYPERLINK("#Statut_biogéographique!A"&amp;_xlfn.XMATCH("P",Statut_biogéographique!A:A,2,1),"P")</f>
        <v>P</v>
      </c>
      <c r="AP18758" s="4" t="s">
        <v>376</v>
      </c>
      <c r="AR18758" s="4" t="s">
        <v>377</v>
      </c>
    </row>
    <row r="18759" spans="1:44">
      <c r="A18759" s="4" t="s">
        <v>10753</v>
      </c>
      <c r="B18759" s="4">
        <v>929244</v>
      </c>
      <c r="D18759" s="5" t="s">
        <v>22887</v>
      </c>
      <c r="E18759" s="6" t="str">
        <f>HYPERLINK("https://inpn.mnhn.fr/espece/cd_nom/929244","Phyllonorycter klemannella (Fabricius, 1781)")</f>
        <v>Phyllonorycter klemannella (Fabricius, 1781)</v>
      </c>
      <c r="AH18759" s="4" t="str">
        <f>HYPERLINK("#Statut_biogéographique!A"&amp;_xlfn.XMATCH("P",Statut_biogéographique!A:A,2,1),"P")</f>
        <v>P</v>
      </c>
      <c r="AP18759" s="4" t="s">
        <v>376</v>
      </c>
      <c r="AR18759" s="4" t="s">
        <v>377</v>
      </c>
    </row>
    <row r="18760" spans="1:44" ht="30">
      <c r="A18760" s="4" t="s">
        <v>10753</v>
      </c>
      <c r="B18760" s="4">
        <v>9293</v>
      </c>
      <c r="D18760" s="5" t="s">
        <v>22888</v>
      </c>
      <c r="E18760" s="6" t="str">
        <f>HYPERLINK("https://inpn.mnhn.fr/espece/cd_nom/9293","Anisodactylus nemorivagus (Duftschmid, 1812)")</f>
        <v>Anisodactylus nemorivagus (Duftschmid, 1812)</v>
      </c>
      <c r="AH18760" s="4" t="str">
        <f>HYPERLINK("#Statut_biogéographique!A"&amp;_xlfn.XMATCH("P",Statut_biogéographique!A:A,2,1),"P")</f>
        <v>P</v>
      </c>
      <c r="AP18760" s="4" t="s">
        <v>376</v>
      </c>
      <c r="AR18760" s="4" t="s">
        <v>377</v>
      </c>
    </row>
    <row r="18761" spans="1:44" ht="30">
      <c r="A18761" s="4" t="s">
        <v>10753</v>
      </c>
      <c r="B18761" s="4">
        <v>929405</v>
      </c>
      <c r="D18761" s="5" t="s">
        <v>22889</v>
      </c>
      <c r="E18761" s="6" t="str">
        <f>HYPERLINK("https://inpn.mnhn.fr/espece/cd_nom/929405","Aproaerema cinctella (Clerck, 1759)")</f>
        <v>Aproaerema cinctella (Clerck, 1759)</v>
      </c>
      <c r="AH18761" s="4" t="str">
        <f>HYPERLINK("#Statut_biogéographique!A"&amp;_xlfn.XMATCH("P",Statut_biogéographique!A:A,2,1),"P")</f>
        <v>P</v>
      </c>
      <c r="AP18761" s="4" t="s">
        <v>376</v>
      </c>
      <c r="AR18761" s="4" t="s">
        <v>377</v>
      </c>
    </row>
    <row r="18762" spans="1:44">
      <c r="A18762" s="4" t="s">
        <v>10753</v>
      </c>
      <c r="B18762" s="4">
        <v>929408</v>
      </c>
      <c r="D18762" s="5" t="s">
        <v>22890</v>
      </c>
      <c r="E18762" s="6" t="str">
        <f>HYPERLINK("https://inpn.mnhn.fr/espece/cd_nom/929408","Aproaerema coronillella (Treitschke, 1833)")</f>
        <v>Aproaerema coronillella (Treitschke, 1833)</v>
      </c>
      <c r="AH18762" s="4" t="str">
        <f>HYPERLINK("#Statut_biogéographique!A"&amp;_xlfn.XMATCH("P",Statut_biogéographique!A:A,2,1),"P")</f>
        <v>P</v>
      </c>
      <c r="AP18762" s="4" t="s">
        <v>376</v>
      </c>
      <c r="AR18762" s="4" t="s">
        <v>377</v>
      </c>
    </row>
    <row r="18763" spans="1:44">
      <c r="A18763" s="4" t="s">
        <v>10753</v>
      </c>
      <c r="B18763" s="4">
        <v>929417</v>
      </c>
      <c r="D18763" s="5" t="s">
        <v>22891</v>
      </c>
      <c r="E18763" s="6" t="str">
        <f>HYPERLINK("https://inpn.mnhn.fr/espece/cd_nom/929417","Aproaerema patruella (Mann, 1857)")</f>
        <v>Aproaerema patruella (Mann, 1857)</v>
      </c>
      <c r="AH18763" s="4" t="str">
        <f>HYPERLINK("#Statut_biogéographique!A"&amp;_xlfn.XMATCH("P",Statut_biogéographique!A:A,2,1),"P")</f>
        <v>P</v>
      </c>
      <c r="AP18763" s="4" t="s">
        <v>376</v>
      </c>
      <c r="AR18763" s="4" t="s">
        <v>377</v>
      </c>
    </row>
    <row r="18764" spans="1:44">
      <c r="A18764" s="4" t="s">
        <v>10753</v>
      </c>
      <c r="B18764" s="4">
        <v>929418</v>
      </c>
      <c r="D18764" s="5" t="s">
        <v>22892</v>
      </c>
      <c r="E18764" s="6" t="str">
        <f>HYPERLINK("https://inpn.mnhn.fr/espece/cd_nom/929418","Aproaerema sangiella (Stainton, 1863)")</f>
        <v>Aproaerema sangiella (Stainton, 1863)</v>
      </c>
      <c r="AH18764" s="4" t="str">
        <f>HYPERLINK("#Statut_biogéographique!A"&amp;_xlfn.XMATCH("P",Statut_biogéographique!A:A,2,1),"P")</f>
        <v>P</v>
      </c>
      <c r="AP18764" s="4" t="s">
        <v>376</v>
      </c>
      <c r="AR18764" s="4" t="s">
        <v>377</v>
      </c>
    </row>
    <row r="18765" spans="1:44">
      <c r="A18765" s="4" t="s">
        <v>10753</v>
      </c>
      <c r="B18765" s="4">
        <v>929420</v>
      </c>
      <c r="D18765" s="5" t="s">
        <v>22893</v>
      </c>
      <c r="E18765" s="6" t="str">
        <f>HYPERLINK("https://inpn.mnhn.fr/espece/cd_nom/929420","Aproaerema taeniolella (Zeller, 1839)")</f>
        <v>Aproaerema taeniolella (Zeller, 1839)</v>
      </c>
      <c r="AH18765" s="4" t="str">
        <f>HYPERLINK("#Statut_biogéographique!A"&amp;_xlfn.XMATCH("P",Statut_biogéographique!A:A,2,1),"P")</f>
        <v>P</v>
      </c>
      <c r="AP18765" s="4" t="s">
        <v>376</v>
      </c>
      <c r="AR18765" s="4" t="s">
        <v>377</v>
      </c>
    </row>
    <row r="18766" spans="1:44">
      <c r="A18766" s="4" t="s">
        <v>10753</v>
      </c>
      <c r="B18766" s="4">
        <v>929477</v>
      </c>
      <c r="D18766" s="5" t="s">
        <v>22894</v>
      </c>
      <c r="E18766" s="6" t="str">
        <f>HYPERLINK("https://inpn.mnhn.fr/espece/cd_nom/929477","Ambrosiophilus atratus (Eichhoff, 1875)")</f>
        <v>Ambrosiophilus atratus (Eichhoff, 1875)</v>
      </c>
      <c r="AH18766" s="4" t="str">
        <f>HYPERLINK("#Statut_biogéographique!A"&amp;_xlfn.XMATCH("I",Statut_biogéographique!A:A,2,1),"I")</f>
        <v>I</v>
      </c>
      <c r="AP18766" s="4" t="s">
        <v>376</v>
      </c>
      <c r="AR18766" s="4" t="s">
        <v>377</v>
      </c>
    </row>
    <row r="18767" spans="1:44">
      <c r="A18767" s="4" t="s">
        <v>10753</v>
      </c>
      <c r="B18767" s="4">
        <v>9298</v>
      </c>
      <c r="D18767" s="5" t="s">
        <v>22895</v>
      </c>
      <c r="E18767" s="6" t="str">
        <f>HYPERLINK("https://inpn.mnhn.fr/espece/cd_nom/9298","Harpalus anxius (Duftschmid, 1812)")</f>
        <v>Harpalus anxius (Duftschmid, 1812)</v>
      </c>
      <c r="AH18767" s="4" t="str">
        <f>HYPERLINK("#Statut_biogéographique!A"&amp;_xlfn.XMATCH("P",Statut_biogéographique!A:A,2,1),"P")</f>
        <v>P</v>
      </c>
      <c r="AP18767" s="4" t="s">
        <v>376</v>
      </c>
      <c r="AR18767" s="4" t="s">
        <v>377</v>
      </c>
    </row>
    <row r="18768" spans="1:44">
      <c r="A18768" s="4" t="s">
        <v>10753</v>
      </c>
      <c r="B18768" s="4">
        <v>9299</v>
      </c>
      <c r="D18768" s="5" t="s">
        <v>22896</v>
      </c>
      <c r="E18768" s="6" t="str">
        <f>HYPERLINK("https://inpn.mnhn.fr/espece/cd_nom/9299","Harpalus atratus Latreille, 1804")</f>
        <v>Harpalus atratus Latreille, 1804</v>
      </c>
      <c r="AH18768" s="4" t="str">
        <f>HYPERLINK("#Statut_biogéographique!A"&amp;_xlfn.XMATCH("P",Statut_biogéographique!A:A,2,1),"P")</f>
        <v>P</v>
      </c>
      <c r="AP18768" s="4" t="s">
        <v>376</v>
      </c>
      <c r="AR18768" s="4" t="s">
        <v>377</v>
      </c>
    </row>
    <row r="18769" spans="1:44">
      <c r="A18769" s="4" t="s">
        <v>10753</v>
      </c>
      <c r="B18769" s="4">
        <v>9300</v>
      </c>
      <c r="D18769" s="5" t="s">
        <v>22897</v>
      </c>
      <c r="E18769" s="6" t="str">
        <f>HYPERLINK("https://inpn.mnhn.fr/espece/cd_nom/9300","Harpalus attenuatus Stephens, 1828")</f>
        <v>Harpalus attenuatus Stephens, 1828</v>
      </c>
      <c r="AH18769" s="4" t="str">
        <f>HYPERLINK("#Statut_biogéographique!A"&amp;_xlfn.XMATCH("P",Statut_biogéographique!A:A,2,1),"P")</f>
        <v>P</v>
      </c>
      <c r="AP18769" s="4" t="s">
        <v>376</v>
      </c>
      <c r="AR18769" s="4" t="s">
        <v>377</v>
      </c>
    </row>
    <row r="18770" spans="1:44">
      <c r="A18770" s="4" t="s">
        <v>10753</v>
      </c>
      <c r="B18770" s="4">
        <v>9301</v>
      </c>
      <c r="D18770" s="5" t="s">
        <v>22898</v>
      </c>
      <c r="E18770" s="6" t="str">
        <f>HYPERLINK("https://inpn.mnhn.fr/espece/cd_nom/9301","Harpalus autumnalis (Duftschmid, 1812)")</f>
        <v>Harpalus autumnalis (Duftschmid, 1812)</v>
      </c>
      <c r="AH18770" s="4" t="str">
        <f>HYPERLINK("#Statut_biogéographique!A"&amp;_xlfn.XMATCH("P",Statut_biogéographique!A:A,2,1),"P")</f>
        <v>P</v>
      </c>
      <c r="AP18770" s="4" t="s">
        <v>376</v>
      </c>
      <c r="AR18770" s="4" t="s">
        <v>377</v>
      </c>
    </row>
    <row r="18771" spans="1:44" ht="30">
      <c r="A18771" s="4" t="s">
        <v>10753</v>
      </c>
      <c r="B18771" s="4">
        <v>930261</v>
      </c>
      <c r="D18771" s="5" t="s">
        <v>22899</v>
      </c>
      <c r="E18771" s="6" t="str">
        <f>HYPERLINK("https://inpn.mnhn.fr/espece/cd_nom/930261","Chrysocramboides craterellus (Scopoli, 1763)")</f>
        <v>Chrysocramboides craterellus (Scopoli, 1763)</v>
      </c>
      <c r="F18771" s="5" t="s">
        <v>22900</v>
      </c>
      <c r="AH18771" s="4" t="str">
        <f>HYPERLINK("#Statut_biogéographique!A"&amp;_xlfn.XMATCH("P",Statut_biogéographique!A:A,2,1),"P")</f>
        <v>P</v>
      </c>
      <c r="AP18771" s="4" t="s">
        <v>376</v>
      </c>
      <c r="AR18771" s="4" t="s">
        <v>377</v>
      </c>
    </row>
    <row r="18772" spans="1:44">
      <c r="A18772" s="4" t="s">
        <v>10753</v>
      </c>
      <c r="B18772" s="4">
        <v>9304</v>
      </c>
      <c r="D18772" s="5" t="s">
        <v>22901</v>
      </c>
      <c r="E18772" s="6" t="str">
        <f>HYPERLINK("https://inpn.mnhn.fr/espece/cd_nom/9304","Harpalus dimidiatus (Rossi, 1790)")</f>
        <v>Harpalus dimidiatus (Rossi, 1790)</v>
      </c>
      <c r="AH18772" s="4" t="str">
        <f>HYPERLINK("#Statut_biogéographique!A"&amp;_xlfn.XMATCH("P",Statut_biogéographique!A:A,2,1),"P")</f>
        <v>P</v>
      </c>
      <c r="AP18772" s="4" t="s">
        <v>376</v>
      </c>
      <c r="AR18772" s="4" t="s">
        <v>377</v>
      </c>
    </row>
    <row r="18773" spans="1:44">
      <c r="A18773" s="4" t="s">
        <v>10753</v>
      </c>
      <c r="B18773" s="4">
        <v>9306</v>
      </c>
      <c r="D18773" s="5" t="s">
        <v>22902</v>
      </c>
      <c r="E18773" s="6" t="str">
        <f>HYPERLINK("https://inpn.mnhn.fr/espece/cd_nom/9306","Harpalus distinguendus (Duftschmid, 1812)")</f>
        <v>Harpalus distinguendus (Duftschmid, 1812)</v>
      </c>
      <c r="AH18773" s="4" t="str">
        <f>HYPERLINK("#Statut_biogéographique!A"&amp;_xlfn.XMATCH("P",Statut_biogéographique!A:A,2,1),"P")</f>
        <v>P</v>
      </c>
      <c r="AP18773" s="4" t="s">
        <v>376</v>
      </c>
      <c r="AR18773" s="4" t="s">
        <v>377</v>
      </c>
    </row>
    <row r="18774" spans="1:44" ht="30">
      <c r="A18774" s="4" t="s">
        <v>10753</v>
      </c>
      <c r="B18774" s="4">
        <v>9307</v>
      </c>
      <c r="D18774" s="5" t="s">
        <v>22903</v>
      </c>
      <c r="E18774" s="6" t="str">
        <f>HYPERLINK("https://inpn.mnhn.fr/espece/cd_nom/9307","Harpalus flavescens (Piller &amp; Mitterpacher, 1783)")</f>
        <v>Harpalus flavescens (Piller &amp; Mitterpacher, 1783)</v>
      </c>
      <c r="AH18774" s="4" t="str">
        <f>HYPERLINK("#Statut_biogéographique!A"&amp;_xlfn.XMATCH("P",Statut_biogéographique!A:A,2,1),"P")</f>
        <v>P</v>
      </c>
      <c r="AP18774" s="4" t="s">
        <v>376</v>
      </c>
      <c r="AR18774" s="4" t="s">
        <v>377</v>
      </c>
    </row>
    <row r="18775" spans="1:44" ht="30">
      <c r="A18775" s="4" t="s">
        <v>10753</v>
      </c>
      <c r="B18775" s="4">
        <v>9309</v>
      </c>
      <c r="D18775" s="5" t="s">
        <v>22904</v>
      </c>
      <c r="E18775" s="6" t="str">
        <f>HYPERLINK("https://inpn.mnhn.fr/espece/cd_nom/9309","Harpalus honestus (Duftschmid, 1812)")</f>
        <v>Harpalus honestus (Duftschmid, 1812)</v>
      </c>
      <c r="AH18775" s="4" t="str">
        <f>HYPERLINK("#Statut_biogéographique!A"&amp;_xlfn.XMATCH("P",Statut_biogéographique!A:A,2,1),"P")</f>
        <v>P</v>
      </c>
      <c r="AP18775" s="4" t="s">
        <v>376</v>
      </c>
      <c r="AR18775" s="4" t="s">
        <v>377</v>
      </c>
    </row>
    <row r="18776" spans="1:44">
      <c r="A18776" s="4" t="s">
        <v>10753</v>
      </c>
      <c r="B18776" s="4">
        <v>931</v>
      </c>
      <c r="D18776" s="5" t="s">
        <v>22905</v>
      </c>
      <c r="E18776" s="6" t="str">
        <f>HYPERLINK("https://inpn.mnhn.fr/espece/cd_nom/931","Pirata piraticus (Clerck, 1758)")</f>
        <v>Pirata piraticus (Clerck, 1758)</v>
      </c>
      <c r="F18776" s="5" t="s">
        <v>22906</v>
      </c>
      <c r="Q18776" s="7" t="str">
        <f>HYPERLINK("#Liste_rouge!A"&amp;_xlfn.XMATCH("LC",Liste_rouge!A:A,2,1),"LC")</f>
        <v>LC</v>
      </c>
      <c r="AH18776" s="4" t="str">
        <f>HYPERLINK("#Statut_biogéographique!A"&amp;_xlfn.XMATCH("P",Statut_biogéographique!A:A,2,1),"P")</f>
        <v>P</v>
      </c>
      <c r="AP18776" s="4" t="s">
        <v>376</v>
      </c>
      <c r="AR18776" s="4" t="s">
        <v>377</v>
      </c>
    </row>
    <row r="18777" spans="1:44" ht="30">
      <c r="A18777" s="4" t="s">
        <v>10753</v>
      </c>
      <c r="B18777" s="4">
        <v>9310</v>
      </c>
      <c r="D18777" s="5" t="s">
        <v>22907</v>
      </c>
      <c r="E18777" s="6" t="str">
        <f>HYPERLINK("https://inpn.mnhn.fr/espece/cd_nom/9310","Harpalus serripes (Quensel in Schönherr, 1806)")</f>
        <v>Harpalus serripes (Quensel in Schönherr, 1806)</v>
      </c>
      <c r="F18777" s="5" t="s">
        <v>22908</v>
      </c>
      <c r="AH18777" s="4" t="str">
        <f>HYPERLINK("#Statut_biogéographique!A"&amp;_xlfn.XMATCH("P",Statut_biogéographique!A:A,2,1),"P")</f>
        <v>P</v>
      </c>
      <c r="AP18777" s="4" t="s">
        <v>376</v>
      </c>
      <c r="AR18777" s="4" t="s">
        <v>377</v>
      </c>
    </row>
    <row r="18778" spans="1:44">
      <c r="A18778" s="4" t="s">
        <v>10753</v>
      </c>
      <c r="B18778" s="4">
        <v>931026</v>
      </c>
      <c r="D18778" s="5" t="s">
        <v>22909</v>
      </c>
      <c r="E18778" s="6" t="str">
        <f>HYPERLINK("https://inpn.mnhn.fr/espece/cd_nom/931026","Psodos alpinata (Scopoli, 1763)")</f>
        <v>Psodos alpinata (Scopoli, 1763)</v>
      </c>
      <c r="F18778" s="5" t="s">
        <v>22910</v>
      </c>
      <c r="AH18778" s="4" t="str">
        <f>HYPERLINK("#Statut_biogéographique!A"&amp;_xlfn.XMATCH("P",Statut_biogéographique!A:A,2,1),"P")</f>
        <v>P</v>
      </c>
      <c r="AP18778" s="4" t="s">
        <v>376</v>
      </c>
      <c r="AR18778" s="4" t="s">
        <v>377</v>
      </c>
    </row>
    <row r="18779" spans="1:44">
      <c r="A18779" s="4" t="s">
        <v>10753</v>
      </c>
      <c r="B18779" s="4">
        <v>9311</v>
      </c>
      <c r="D18779" s="5" t="s">
        <v>22911</v>
      </c>
      <c r="E18779" s="6" t="str">
        <f>HYPERLINK("https://inpn.mnhn.fr/espece/cd_nom/9311","Harpalus latus (Linnaeus, 1758)")</f>
        <v>Harpalus latus (Linnaeus, 1758)</v>
      </c>
      <c r="AH18779" s="4" t="str">
        <f>HYPERLINK("#Statut_biogéographique!A"&amp;_xlfn.XMATCH("P",Statut_biogéographique!A:A,2,1),"P")</f>
        <v>P</v>
      </c>
      <c r="AP18779" s="4" t="s">
        <v>376</v>
      </c>
      <c r="AR18779" s="4" t="s">
        <v>377</v>
      </c>
    </row>
    <row r="18780" spans="1:44">
      <c r="A18780" s="4" t="s">
        <v>10753</v>
      </c>
      <c r="B18780" s="4">
        <v>9312</v>
      </c>
      <c r="D18780" s="5" t="s">
        <v>22912</v>
      </c>
      <c r="E18780" s="6" t="str">
        <f>HYPERLINK("https://inpn.mnhn.fr/espece/cd_nom/9312","Harpalus servus (Duftschmid, 1812)")</f>
        <v>Harpalus servus (Duftschmid, 1812)</v>
      </c>
      <c r="AH18780" s="4" t="str">
        <f>HYPERLINK("#Statut_biogéographique!A"&amp;_xlfn.XMATCH("P",Statut_biogéographique!A:A,2,1),"P")</f>
        <v>P</v>
      </c>
      <c r="AP18780" s="4" t="s">
        <v>376</v>
      </c>
      <c r="AR18780" s="4" t="s">
        <v>377</v>
      </c>
    </row>
    <row r="18781" spans="1:44">
      <c r="A18781" s="4" t="s">
        <v>10753</v>
      </c>
      <c r="B18781" s="4">
        <v>931202</v>
      </c>
      <c r="D18781" s="5" t="s">
        <v>22913</v>
      </c>
      <c r="E18781" s="6" t="str">
        <f>HYPERLINK("https://inpn.mnhn.fr/espece/cd_nom/931202","Acronicta albovenosa (Goeze, 1781)")</f>
        <v>Acronicta albovenosa (Goeze, 1781)</v>
      </c>
      <c r="F18781" s="5" t="s">
        <v>22914</v>
      </c>
      <c r="AH18781" s="4" t="str">
        <f>HYPERLINK("#Statut_biogéographique!A"&amp;_xlfn.XMATCH("P",Statut_biogéographique!A:A,2,1),"P")</f>
        <v>P</v>
      </c>
      <c r="AP18781" s="4" t="s">
        <v>376</v>
      </c>
      <c r="AR18781" s="4" t="s">
        <v>377</v>
      </c>
    </row>
    <row r="18782" spans="1:44" ht="30">
      <c r="A18782" s="4" t="s">
        <v>10753</v>
      </c>
      <c r="B18782" s="4">
        <v>931373</v>
      </c>
      <c r="D18782" s="5" t="s">
        <v>22915</v>
      </c>
      <c r="E18782" s="6" t="str">
        <f>HYPERLINK("https://inpn.mnhn.fr/espece/cd_nom/931373","Yezognophos dilucidaria (Denis &amp; Schiffermüller, 1775)")</f>
        <v>Yezognophos dilucidaria (Denis &amp; Schiffermüller, 1775)</v>
      </c>
      <c r="F18782" s="5" t="s">
        <v>22916</v>
      </c>
      <c r="AH18782" s="4" t="str">
        <f>HYPERLINK("#Statut_biogéographique!A"&amp;_xlfn.XMATCH("P",Statut_biogéographique!A:A,2,1),"P")</f>
        <v>P</v>
      </c>
      <c r="AP18782" s="4" t="s">
        <v>376</v>
      </c>
      <c r="AR18782" s="4" t="s">
        <v>377</v>
      </c>
    </row>
    <row r="18783" spans="1:44">
      <c r="A18783" s="4" t="s">
        <v>10753</v>
      </c>
      <c r="B18783" s="4">
        <v>931375</v>
      </c>
      <c r="D18783" s="5" t="s">
        <v>22917</v>
      </c>
      <c r="E18783" s="6" t="str">
        <f>HYPERLINK("https://inpn.mnhn.fr/espece/cd_nom/931375","Yezognophos vittaria (Thunberg, 1788)")</f>
        <v>Yezognophos vittaria (Thunberg, 1788)</v>
      </c>
      <c r="F18783" s="5" t="s">
        <v>22918</v>
      </c>
      <c r="AH18783" s="4" t="str">
        <f>HYPERLINK("#Statut_biogéographique!A"&amp;_xlfn.XMATCH("P",Statut_biogéographique!A:A,2,1),"P")</f>
        <v>P</v>
      </c>
      <c r="AP18783" s="4" t="s">
        <v>376</v>
      </c>
      <c r="AR18783" s="4" t="s">
        <v>377</v>
      </c>
    </row>
    <row r="18784" spans="1:44" ht="30">
      <c r="A18784" s="4" t="s">
        <v>10753</v>
      </c>
      <c r="B18784" s="4">
        <v>931376</v>
      </c>
      <c r="D18784" s="5" t="s">
        <v>22919</v>
      </c>
      <c r="E18784" s="6" t="str">
        <f>HYPERLINK("https://inpn.mnhn.fr/espece/cd_nom/931376","Yezognophos serotinaria (Denis &amp; Schiffermüller, 1775)")</f>
        <v>Yezognophos serotinaria (Denis &amp; Schiffermüller, 1775)</v>
      </c>
      <c r="F18784" s="5" t="s">
        <v>22920</v>
      </c>
      <c r="AH18784" s="4" t="str">
        <f>HYPERLINK("#Statut_biogéographique!A"&amp;_xlfn.XMATCH("P",Statut_biogéographique!A:A,2,1),"P")</f>
        <v>P</v>
      </c>
      <c r="AP18784" s="4" t="s">
        <v>376</v>
      </c>
      <c r="AR18784" s="4" t="s">
        <v>377</v>
      </c>
    </row>
    <row r="18785" spans="1:44" ht="30">
      <c r="A18785" s="4" t="s">
        <v>10753</v>
      </c>
      <c r="B18785" s="4">
        <v>931413</v>
      </c>
      <c r="D18785" s="5" t="s">
        <v>22921</v>
      </c>
      <c r="E18785" s="6" t="str">
        <f>HYPERLINK("https://inpn.mnhn.fr/espece/cd_nom/931413","Fissipunctia ypsillon (Denis &amp; Schiffermüller, 1775)")</f>
        <v>Fissipunctia ypsillon (Denis &amp; Schiffermüller, 1775)</v>
      </c>
      <c r="AH18785" s="4" t="str">
        <f>HYPERLINK("#Statut_biogéographique!A"&amp;_xlfn.XMATCH("P",Statut_biogéographique!A:A,2,1),"P")</f>
        <v>P</v>
      </c>
      <c r="AP18785" s="4" t="s">
        <v>376</v>
      </c>
      <c r="AR18785" s="4" t="s">
        <v>377</v>
      </c>
    </row>
    <row r="18786" spans="1:44">
      <c r="A18786" s="4" t="s">
        <v>10753</v>
      </c>
      <c r="B18786" s="4">
        <v>9316</v>
      </c>
      <c r="D18786" s="5" t="s">
        <v>22922</v>
      </c>
      <c r="E18786" s="6" t="str">
        <f>HYPERLINK("https://inpn.mnhn.fr/espece/cd_nom/9316","Harpalus tardus (Panzer, 1797)")</f>
        <v>Harpalus tardus (Panzer, 1797)</v>
      </c>
      <c r="AH18786" s="4" t="str">
        <f>HYPERLINK("#Statut_biogéographique!A"&amp;_xlfn.XMATCH("P",Statut_biogéographique!A:A,2,1),"P")</f>
        <v>P</v>
      </c>
      <c r="AP18786" s="4" t="s">
        <v>376</v>
      </c>
      <c r="AR18786" s="4" t="s">
        <v>377</v>
      </c>
    </row>
    <row r="18787" spans="1:44">
      <c r="A18787" s="4" t="s">
        <v>10753</v>
      </c>
      <c r="B18787" s="4">
        <v>9317</v>
      </c>
      <c r="D18787" s="5" t="s">
        <v>22923</v>
      </c>
      <c r="E18787" s="6" t="str">
        <f>HYPERLINK("https://inpn.mnhn.fr/espece/cd_nom/9317","Harpalus modestus Dejean, 1829")</f>
        <v>Harpalus modestus Dejean, 1829</v>
      </c>
      <c r="AH18787" s="4" t="str">
        <f>HYPERLINK("#Statut_biogéographique!A"&amp;_xlfn.XMATCH("P",Statut_biogéographique!A:A,2,1),"P")</f>
        <v>P</v>
      </c>
      <c r="AP18787" s="4" t="s">
        <v>376</v>
      </c>
      <c r="AR18787" s="4" t="s">
        <v>377</v>
      </c>
    </row>
    <row r="18788" spans="1:44">
      <c r="A18788" s="4" t="s">
        <v>10753</v>
      </c>
      <c r="B18788" s="4">
        <v>9320</v>
      </c>
      <c r="D18788" s="5">
        <v>9320</v>
      </c>
      <c r="E18788" s="6" t="str">
        <f>HYPERLINK("https://inpn.mnhn.fr/espece/cd_nom/9320","Harpalus oblitus Dejean, 1829")</f>
        <v>Harpalus oblitus Dejean, 1829</v>
      </c>
      <c r="AH18788" s="4" t="str">
        <f>HYPERLINK("#Statut_biogéographique!A"&amp;_xlfn.XMATCH("P",Statut_biogéographique!A:A,2,1),"P")</f>
        <v>P</v>
      </c>
      <c r="AP18788" s="4" t="s">
        <v>376</v>
      </c>
      <c r="AR18788" s="4" t="s">
        <v>377</v>
      </c>
    </row>
    <row r="18789" spans="1:44">
      <c r="A18789" s="4" t="s">
        <v>10753</v>
      </c>
      <c r="B18789" s="4">
        <v>9327</v>
      </c>
      <c r="D18789" s="5" t="s">
        <v>22924</v>
      </c>
      <c r="E18789" s="6" t="str">
        <f>HYPERLINK("https://inpn.mnhn.fr/espece/cd_nom/9327","Harpalus rubripes (Duftschmid, 1812)")</f>
        <v>Harpalus rubripes (Duftschmid, 1812)</v>
      </c>
      <c r="AH18789" s="4" t="str">
        <f>HYPERLINK("#Statut_biogéographique!A"&amp;_xlfn.XMATCH("P",Statut_biogéographique!A:A,2,1),"P")</f>
        <v>P</v>
      </c>
      <c r="AP18789" s="4" t="s">
        <v>376</v>
      </c>
      <c r="AR18789" s="4" t="s">
        <v>377</v>
      </c>
    </row>
    <row r="18790" spans="1:44">
      <c r="A18790" s="4" t="s">
        <v>10753</v>
      </c>
      <c r="B18790" s="4">
        <v>9335</v>
      </c>
      <c r="D18790" s="5" t="s">
        <v>22925</v>
      </c>
      <c r="E18790" s="6" t="str">
        <f>HYPERLINK("https://inpn.mnhn.fr/espece/cd_nom/9335","Stenolophus mixtus (Herbst, 1784)")</f>
        <v>Stenolophus mixtus (Herbst, 1784)</v>
      </c>
      <c r="AH18790" s="4" t="str">
        <f>HYPERLINK("#Statut_biogéographique!A"&amp;_xlfn.XMATCH("P",Statut_biogéographique!A:A,2,1),"P")</f>
        <v>P</v>
      </c>
      <c r="AP18790" s="4" t="s">
        <v>376</v>
      </c>
      <c r="AR18790" s="4" t="s">
        <v>377</v>
      </c>
    </row>
    <row r="18791" spans="1:44">
      <c r="A18791" s="4" t="s">
        <v>10753</v>
      </c>
      <c r="B18791" s="4">
        <v>9337</v>
      </c>
      <c r="D18791" s="5">
        <v>9337</v>
      </c>
      <c r="E18791" s="6" t="str">
        <f>HYPERLINK("https://inpn.mnhn.fr/espece/cd_nom/9337","Stenolophus skrimshiranus Stephens, 1828")</f>
        <v>Stenolophus skrimshiranus Stephens, 1828</v>
      </c>
      <c r="AH18791" s="4" t="str">
        <f>HYPERLINK("#Statut_biogéographique!A"&amp;_xlfn.XMATCH("P",Statut_biogéographique!A:A,2,1),"P")</f>
        <v>P</v>
      </c>
      <c r="AP18791" s="4" t="s">
        <v>376</v>
      </c>
      <c r="AR18791" s="4" t="s">
        <v>377</v>
      </c>
    </row>
    <row r="18792" spans="1:44">
      <c r="A18792" s="4" t="s">
        <v>10753</v>
      </c>
      <c r="B18792" s="4">
        <v>9338</v>
      </c>
      <c r="D18792" s="5" t="s">
        <v>22926</v>
      </c>
      <c r="E18792" s="6" t="str">
        <f>HYPERLINK("https://inpn.mnhn.fr/espece/cd_nom/9338","Stenolophus teutonus (Schrank, 1781)")</f>
        <v>Stenolophus teutonus (Schrank, 1781)</v>
      </c>
      <c r="AH18792" s="4" t="str">
        <f>HYPERLINK("#Statut_biogéographique!A"&amp;_xlfn.XMATCH("P",Statut_biogéographique!A:A,2,1),"P")</f>
        <v>P</v>
      </c>
      <c r="AP18792" s="4" t="s">
        <v>376</v>
      </c>
      <c r="AR18792" s="4" t="s">
        <v>377</v>
      </c>
    </row>
    <row r="18793" spans="1:44" ht="30">
      <c r="A18793" s="4" t="s">
        <v>10753</v>
      </c>
      <c r="B18793" s="4">
        <v>9342</v>
      </c>
      <c r="D18793" s="5" t="s">
        <v>22927</v>
      </c>
      <c r="E18793" s="6" t="str">
        <f>HYPERLINK("https://inpn.mnhn.fr/espece/cd_nom/9342","Bradycellus harpalinus (Audinet-Serville, 1821)")</f>
        <v>Bradycellus harpalinus (Audinet-Serville, 1821)</v>
      </c>
      <c r="AH18793" s="4" t="str">
        <f>HYPERLINK("#Statut_biogéographique!A"&amp;_xlfn.XMATCH("P",Statut_biogéographique!A:A,2,1),"P")</f>
        <v>P</v>
      </c>
      <c r="AP18793" s="4" t="s">
        <v>376</v>
      </c>
      <c r="AR18793" s="4" t="s">
        <v>377</v>
      </c>
    </row>
    <row r="18794" spans="1:44">
      <c r="A18794" s="4" t="s">
        <v>10753</v>
      </c>
      <c r="B18794" s="4">
        <v>9343</v>
      </c>
      <c r="D18794" s="5" t="s">
        <v>22928</v>
      </c>
      <c r="E18794" s="6" t="str">
        <f>HYPERLINK("https://inpn.mnhn.fr/espece/cd_nom/9343","Bradycellus verbasci (Duftschmid, 1812)")</f>
        <v>Bradycellus verbasci (Duftschmid, 1812)</v>
      </c>
      <c r="AH18794" s="4" t="str">
        <f>HYPERLINK("#Statut_biogéographique!A"&amp;_xlfn.XMATCH("P",Statut_biogéographique!A:A,2,1),"P")</f>
        <v>P</v>
      </c>
      <c r="AP18794" s="4" t="s">
        <v>376</v>
      </c>
      <c r="AR18794" s="4" t="s">
        <v>377</v>
      </c>
    </row>
    <row r="18795" spans="1:44">
      <c r="A18795" s="4" t="s">
        <v>10753</v>
      </c>
      <c r="B18795" s="4">
        <v>9346</v>
      </c>
      <c r="D18795" s="5" t="s">
        <v>22929</v>
      </c>
      <c r="E18795" s="6" t="str">
        <f>HYPERLINK("https://inpn.mnhn.fr/espece/cd_nom/9346","Acupalpus brunnipes (Sturm, 1825)")</f>
        <v>Acupalpus brunnipes (Sturm, 1825)</v>
      </c>
      <c r="AH18795" s="4" t="str">
        <f>HYPERLINK("#Statut_biogéographique!A"&amp;_xlfn.XMATCH("P",Statut_biogéographique!A:A,2,1),"P")</f>
        <v>P</v>
      </c>
      <c r="AP18795" s="4" t="s">
        <v>376</v>
      </c>
      <c r="AR18795" s="4" t="s">
        <v>377</v>
      </c>
    </row>
    <row r="18796" spans="1:44">
      <c r="A18796" s="4" t="s">
        <v>10753</v>
      </c>
      <c r="B18796" s="4">
        <v>934712</v>
      </c>
      <c r="D18796" s="5" t="s">
        <v>22930</v>
      </c>
      <c r="E18796" s="6" t="str">
        <f>HYPERLINK("https://inpn.mnhn.fr/espece/cd_nom/934712","Cryptocephalus ianthinus Germar, 1823")</f>
        <v>Cryptocephalus ianthinus Germar, 1823</v>
      </c>
      <c r="AH18796" s="4" t="str">
        <f>HYPERLINK("#Statut_biogéographique!A"&amp;_xlfn.XMATCH("P",Statut_biogéographique!A:A,2,1),"P")</f>
        <v>P</v>
      </c>
      <c r="AP18796" s="4" t="s">
        <v>376</v>
      </c>
      <c r="AR18796" s="4" t="s">
        <v>377</v>
      </c>
    </row>
    <row r="18797" spans="1:44">
      <c r="A18797" s="4" t="s">
        <v>10753</v>
      </c>
      <c r="B18797" s="4">
        <v>9348</v>
      </c>
      <c r="D18797" s="5" t="s">
        <v>22931</v>
      </c>
      <c r="E18797" s="6" t="str">
        <f>HYPERLINK("https://inpn.mnhn.fr/espece/cd_nom/9348","Acupalpus dubius Schilsky, 1888")</f>
        <v>Acupalpus dubius Schilsky, 1888</v>
      </c>
      <c r="AH18797" s="4" t="str">
        <f>HYPERLINK("#Statut_biogéographique!A"&amp;_xlfn.XMATCH("P",Statut_biogéographique!A:A,2,1),"P")</f>
        <v>P</v>
      </c>
      <c r="AP18797" s="4" t="s">
        <v>376</v>
      </c>
      <c r="AR18797" s="4" t="s">
        <v>377</v>
      </c>
    </row>
    <row r="18798" spans="1:44">
      <c r="A18798" s="4" t="s">
        <v>10753</v>
      </c>
      <c r="B18798" s="4">
        <v>9351</v>
      </c>
      <c r="D18798" s="5" t="s">
        <v>22932</v>
      </c>
      <c r="E18798" s="6" t="str">
        <f>HYPERLINK("https://inpn.mnhn.fr/espece/cd_nom/9351","Acupalpus flavicollis (Sturm, 1825)")</f>
        <v>Acupalpus flavicollis (Sturm, 1825)</v>
      </c>
      <c r="AH18798" s="4" t="str">
        <f>HYPERLINK("#Statut_biogéographique!A"&amp;_xlfn.XMATCH("P",Statut_biogéographique!A:A,2,1),"P")</f>
        <v>P</v>
      </c>
      <c r="AP18798" s="4" t="s">
        <v>376</v>
      </c>
      <c r="AR18798" s="4" t="s">
        <v>377</v>
      </c>
    </row>
    <row r="18799" spans="1:44">
      <c r="A18799" s="4" t="s">
        <v>10753</v>
      </c>
      <c r="B18799" s="4">
        <v>9352</v>
      </c>
      <c r="D18799" s="5" t="s">
        <v>22933</v>
      </c>
      <c r="E18799" s="6" t="str">
        <f>HYPERLINK("https://inpn.mnhn.fr/espece/cd_nom/9352","Acupalpus maculatus (Schaum, 1860)")</f>
        <v>Acupalpus maculatus (Schaum, 1860)</v>
      </c>
      <c r="AH18799" s="4" t="str">
        <f>HYPERLINK("#Statut_biogéographique!A"&amp;_xlfn.XMATCH("P",Statut_biogéographique!A:A,2,1),"P")</f>
        <v>P</v>
      </c>
      <c r="AP18799" s="4" t="s">
        <v>376</v>
      </c>
      <c r="AR18799" s="4" t="s">
        <v>377</v>
      </c>
    </row>
    <row r="18800" spans="1:44">
      <c r="A18800" s="4" t="s">
        <v>10753</v>
      </c>
      <c r="B18800" s="4">
        <v>9353</v>
      </c>
      <c r="D18800" s="5" t="s">
        <v>22934</v>
      </c>
      <c r="E18800" s="6" t="str">
        <f>HYPERLINK("https://inpn.mnhn.fr/espece/cd_nom/9353","Acupalpus meridianus (Linnaeus, 1761)")</f>
        <v>Acupalpus meridianus (Linnaeus, 1761)</v>
      </c>
      <c r="AH18800" s="4" t="str">
        <f>HYPERLINK("#Statut_biogéographique!A"&amp;_xlfn.XMATCH("P",Statut_biogéographique!A:A,2,1),"P")</f>
        <v>P</v>
      </c>
      <c r="AP18800" s="4" t="s">
        <v>376</v>
      </c>
      <c r="AR18800" s="4" t="s">
        <v>377</v>
      </c>
    </row>
    <row r="18801" spans="1:44">
      <c r="A18801" s="4" t="s">
        <v>10753</v>
      </c>
      <c r="B18801" s="4">
        <v>935414</v>
      </c>
      <c r="D18801" s="5" t="s">
        <v>22935</v>
      </c>
      <c r="E18801" s="6" t="str">
        <f>HYPERLINK("https://inpn.mnhn.fr/espece/cd_nom/935414","Stenophylax lateralis (Stephens, 1837)")</f>
        <v>Stenophylax lateralis (Stephens, 1837)</v>
      </c>
      <c r="AH18801" s="4" t="str">
        <f>HYPERLINK("#Statut_biogéographique!A"&amp;_xlfn.XMATCH("P",Statut_biogéographique!A:A,2,1),"P")</f>
        <v>P</v>
      </c>
      <c r="AP18801" s="4" t="s">
        <v>376</v>
      </c>
      <c r="AR18801" s="4" t="s">
        <v>377</v>
      </c>
    </row>
    <row r="18802" spans="1:44">
      <c r="A18802" s="4" t="s">
        <v>10753</v>
      </c>
      <c r="B18802" s="4">
        <v>935419</v>
      </c>
      <c r="D18802" s="5" t="s">
        <v>22936</v>
      </c>
      <c r="E18802" s="6" t="str">
        <f>HYPERLINK("https://inpn.mnhn.fr/espece/cd_nom/935419","Stenophylax nycterobius (McLachlan, 1875)")</f>
        <v>Stenophylax nycterobius (McLachlan, 1875)</v>
      </c>
      <c r="AH18802" s="4" t="str">
        <f>HYPERLINK("#Statut_biogéographique!A"&amp;_xlfn.XMATCH("P",Statut_biogéographique!A:A,2,1),"P")</f>
        <v>P</v>
      </c>
      <c r="AP18802" s="4" t="s">
        <v>376</v>
      </c>
      <c r="AR18802" s="4" t="s">
        <v>377</v>
      </c>
    </row>
    <row r="18803" spans="1:44">
      <c r="A18803" s="4" t="s">
        <v>10753</v>
      </c>
      <c r="B18803" s="4">
        <v>935420</v>
      </c>
      <c r="D18803" s="5" t="s">
        <v>22937</v>
      </c>
      <c r="E18803" s="6" t="str">
        <f>HYPERLINK("https://inpn.mnhn.fr/espece/cd_nom/935420","Stenophylax sequax (McLachlan, 1875)")</f>
        <v>Stenophylax sequax (McLachlan, 1875)</v>
      </c>
      <c r="AH18803" s="4" t="str">
        <f>HYPERLINK("#Statut_biogéographique!A"&amp;_xlfn.XMATCH("P",Statut_biogéographique!A:A,2,1),"P")</f>
        <v>P</v>
      </c>
      <c r="AP18803" s="4" t="s">
        <v>376</v>
      </c>
      <c r="AR18803" s="4" t="s">
        <v>377</v>
      </c>
    </row>
    <row r="18804" spans="1:44">
      <c r="A18804" s="4" t="s">
        <v>10753</v>
      </c>
      <c r="B18804" s="4">
        <v>935421</v>
      </c>
      <c r="D18804" s="5" t="s">
        <v>22938</v>
      </c>
      <c r="E18804" s="6" t="str">
        <f>HYPERLINK("https://inpn.mnhn.fr/espece/cd_nom/935421","Stenophylax testaceus (Gmelin, 1790)")</f>
        <v>Stenophylax testaceus (Gmelin, 1790)</v>
      </c>
      <c r="AH18804" s="4" t="str">
        <f>HYPERLINK("#Statut_biogéographique!A"&amp;_xlfn.XMATCH("P",Statut_biogéographique!A:A,2,1),"P")</f>
        <v>P</v>
      </c>
      <c r="AP18804" s="4" t="s">
        <v>376</v>
      </c>
      <c r="AR18804" s="4" t="s">
        <v>377</v>
      </c>
    </row>
    <row r="18805" spans="1:44">
      <c r="A18805" s="4" t="s">
        <v>10753</v>
      </c>
      <c r="B18805" s="4">
        <v>9357</v>
      </c>
      <c r="D18805" s="5" t="s">
        <v>22939</v>
      </c>
      <c r="E18805" s="6" t="str">
        <f>HYPERLINK("https://inpn.mnhn.fr/espece/cd_nom/9357","Amblystomus niger (Heer, 1841)")</f>
        <v>Amblystomus niger (Heer, 1841)</v>
      </c>
      <c r="AH18805" s="4" t="str">
        <f>HYPERLINK("#Statut_biogéographique!A"&amp;_xlfn.XMATCH("P",Statut_biogéographique!A:A,2,1),"P")</f>
        <v>P</v>
      </c>
      <c r="AP18805" s="4" t="s">
        <v>376</v>
      </c>
      <c r="AR18805" s="4" t="s">
        <v>377</v>
      </c>
    </row>
    <row r="18806" spans="1:44">
      <c r="A18806" s="4" t="s">
        <v>10753</v>
      </c>
      <c r="B18806" s="4">
        <v>9360</v>
      </c>
      <c r="D18806" s="5" t="s">
        <v>22940</v>
      </c>
      <c r="E18806" s="6" t="str">
        <f>HYPERLINK("https://inpn.mnhn.fr/espece/cd_nom/9360","Badister meridionalis Puel, 1925")</f>
        <v>Badister meridionalis Puel, 1925</v>
      </c>
      <c r="AH18806" s="4" t="str">
        <f>HYPERLINK("#Statut_biogéographique!A"&amp;_xlfn.XMATCH("P",Statut_biogéographique!A:A,2,1),"P")</f>
        <v>P</v>
      </c>
      <c r="AP18806" s="4" t="s">
        <v>376</v>
      </c>
      <c r="AR18806" s="4" t="s">
        <v>377</v>
      </c>
    </row>
    <row r="18807" spans="1:44">
      <c r="A18807" s="4" t="s">
        <v>10753</v>
      </c>
      <c r="B18807" s="4">
        <v>9361</v>
      </c>
      <c r="D18807" s="5" t="s">
        <v>22941</v>
      </c>
      <c r="E18807" s="6" t="str">
        <f>HYPERLINK("https://inpn.mnhn.fr/espece/cd_nom/9361","Badister peltatus (Panzer, 1796)")</f>
        <v>Badister peltatus (Panzer, 1796)</v>
      </c>
      <c r="AH18807" s="4" t="str">
        <f>HYPERLINK("#Statut_biogéographique!A"&amp;_xlfn.XMATCH("P",Statut_biogéographique!A:A,2,1),"P")</f>
        <v>P</v>
      </c>
      <c r="AP18807" s="4" t="s">
        <v>376</v>
      </c>
      <c r="AR18807" s="4" t="s">
        <v>377</v>
      </c>
    </row>
    <row r="18808" spans="1:44">
      <c r="A18808" s="4" t="s">
        <v>10753</v>
      </c>
      <c r="B18808" s="4">
        <v>9365</v>
      </c>
      <c r="D18808" s="5" t="s">
        <v>22942</v>
      </c>
      <c r="E18808" s="6" t="str">
        <f>HYPERLINK("https://inpn.mnhn.fr/espece/cd_nom/9365","Licinus hoffmannseggi (Panzer, 1797)")</f>
        <v>Licinus hoffmannseggi (Panzer, 1797)</v>
      </c>
      <c r="AH18808" s="4" t="str">
        <f>HYPERLINK("#Statut_biogéographique!A"&amp;_xlfn.XMATCH("P",Statut_biogéographique!A:A,2,1),"P")</f>
        <v>P</v>
      </c>
      <c r="AP18808" s="4" t="s">
        <v>376</v>
      </c>
      <c r="AR18808" s="4" t="s">
        <v>377</v>
      </c>
    </row>
    <row r="18809" spans="1:44">
      <c r="A18809" s="4" t="s">
        <v>10753</v>
      </c>
      <c r="B18809" s="4">
        <v>9367</v>
      </c>
      <c r="D18809" s="5">
        <v>9367</v>
      </c>
      <c r="E18809" s="6" t="str">
        <f>HYPERLINK("https://inpn.mnhn.fr/espece/cd_nom/9367","Licinus planicollis Fauvel, 1888")</f>
        <v>Licinus planicollis Fauvel, 1888</v>
      </c>
      <c r="AH18809" s="4" t="str">
        <f>HYPERLINK("#Statut_biogéographique!A"&amp;_xlfn.XMATCH("P",Statut_biogéographique!A:A,2,1),"P")</f>
        <v>P</v>
      </c>
      <c r="AP18809" s="4" t="s">
        <v>376</v>
      </c>
      <c r="AR18809" s="4" t="s">
        <v>377</v>
      </c>
    </row>
    <row r="18810" spans="1:44" ht="30">
      <c r="A18810" s="4" t="s">
        <v>10753</v>
      </c>
      <c r="B18810" s="4">
        <v>9371</v>
      </c>
      <c r="D18810" s="5" t="s">
        <v>22943</v>
      </c>
      <c r="E18810" s="6" t="str">
        <f>HYPERLINK("https://inpn.mnhn.fr/espece/cd_nom/9371","Oodes helopioides (Fabricius, 1792)")</f>
        <v>Oodes helopioides (Fabricius, 1792)</v>
      </c>
      <c r="AH18810" s="4" t="str">
        <f>HYPERLINK("#Statut_biogéographique!A"&amp;_xlfn.XMATCH("P",Statut_biogéographique!A:A,2,1),"P")</f>
        <v>P</v>
      </c>
      <c r="AP18810" s="4" t="s">
        <v>376</v>
      </c>
      <c r="AR18810" s="4" t="s">
        <v>377</v>
      </c>
    </row>
    <row r="18811" spans="1:44">
      <c r="A18811" s="4" t="s">
        <v>10753</v>
      </c>
      <c r="B18811" s="4">
        <v>937109</v>
      </c>
      <c r="D18811" s="5" t="s">
        <v>22944</v>
      </c>
      <c r="E18811" s="6" t="str">
        <f>HYPERLINK("https://inpn.mnhn.fr/espece/cd_nom/937109","Homoeosoma nimbellum (Duponchel, 1837)")</f>
        <v>Homoeosoma nimbellum (Duponchel, 1837)</v>
      </c>
      <c r="F18811" s="5" t="s">
        <v>22945</v>
      </c>
      <c r="AH18811" s="4" t="str">
        <f>HYPERLINK("#Statut_biogéographique!A"&amp;_xlfn.XMATCH("P",Statut_biogéographique!A:A,2,1),"P")</f>
        <v>P</v>
      </c>
      <c r="AP18811" s="4" t="s">
        <v>376</v>
      </c>
      <c r="AR18811" s="4" t="s">
        <v>377</v>
      </c>
    </row>
    <row r="18812" spans="1:44" ht="30">
      <c r="A18812" s="4" t="s">
        <v>10753</v>
      </c>
      <c r="B18812" s="4">
        <v>937893</v>
      </c>
      <c r="D18812" s="5" t="s">
        <v>22946</v>
      </c>
      <c r="E18812" s="6" t="str">
        <f>HYPERLINK("https://inpn.mnhn.fr/espece/cd_nom/937893","Stagonomus venustissimus (Schrank, 1776)")</f>
        <v>Stagonomus venustissimus (Schrank, 1776)</v>
      </c>
      <c r="AH18812" s="4" t="str">
        <f>HYPERLINK("#Statut_biogéographique!A"&amp;_xlfn.XMATCH("P",Statut_biogéographique!A:A,2,1),"P")</f>
        <v>P</v>
      </c>
      <c r="AP18812" s="4" t="s">
        <v>376</v>
      </c>
      <c r="AR18812" s="4" t="s">
        <v>377</v>
      </c>
    </row>
    <row r="18813" spans="1:44">
      <c r="A18813" s="4" t="s">
        <v>10753</v>
      </c>
      <c r="B18813" s="4">
        <v>9380</v>
      </c>
      <c r="D18813" s="5" t="s">
        <v>22947</v>
      </c>
      <c r="E18813" s="6" t="str">
        <f>HYPERLINK("https://inpn.mnhn.fr/espece/cd_nom/9380","Chlaenius nigricornis (Fabricius, 1787)")</f>
        <v>Chlaenius nigricornis (Fabricius, 1787)</v>
      </c>
      <c r="F18813" s="5" t="s">
        <v>22948</v>
      </c>
      <c r="AH18813" s="4" t="str">
        <f>HYPERLINK("#Statut_biogéographique!A"&amp;_xlfn.XMATCH("P",Statut_biogéographique!A:A,2,1),"P")</f>
        <v>P</v>
      </c>
      <c r="AP18813" s="4" t="s">
        <v>376</v>
      </c>
      <c r="AR18813" s="4" t="s">
        <v>377</v>
      </c>
    </row>
    <row r="18814" spans="1:44" ht="30">
      <c r="A18814" s="4" t="s">
        <v>10753</v>
      </c>
      <c r="B18814" s="4">
        <v>938016</v>
      </c>
      <c r="D18814" s="5" t="s">
        <v>22949</v>
      </c>
      <c r="E18814" s="6" t="str">
        <f>HYPERLINK("https://inpn.mnhn.fr/espece/cd_nom/938016","Gorytes albidulus (Lepeletier de Saint Fargeau, 1832)")</f>
        <v>Gorytes albidulus (Lepeletier de Saint Fargeau, 1832)</v>
      </c>
      <c r="AH18814" s="4" t="str">
        <f>HYPERLINK("#Statut_biogéographique!A"&amp;_xlfn.XMATCH("P",Statut_biogéographique!A:A,2,1),"P")</f>
        <v>P</v>
      </c>
      <c r="AP18814" s="4" t="s">
        <v>376</v>
      </c>
      <c r="AR18814" s="4" t="s">
        <v>377</v>
      </c>
    </row>
    <row r="18815" spans="1:44" ht="30">
      <c r="A18815" s="4" t="s">
        <v>10753</v>
      </c>
      <c r="B18815" s="4">
        <v>9382</v>
      </c>
      <c r="D18815" s="5" t="s">
        <v>22950</v>
      </c>
      <c r="E18815" s="6" t="str">
        <f>HYPERLINK("https://inpn.mnhn.fr/espece/cd_nom/9382","Chlaenius nitidulus (Schrank, 1781)")</f>
        <v>Chlaenius nitidulus (Schrank, 1781)</v>
      </c>
      <c r="AH18815" s="4" t="str">
        <f>HYPERLINK("#Statut_biogéographique!A"&amp;_xlfn.XMATCH("P",Statut_biogéographique!A:A,2,1),"P")</f>
        <v>P</v>
      </c>
      <c r="AP18815" s="4" t="s">
        <v>376</v>
      </c>
      <c r="AR18815" s="4" t="s">
        <v>377</v>
      </c>
    </row>
    <row r="18816" spans="1:44">
      <c r="A18816" s="4" t="s">
        <v>10753</v>
      </c>
      <c r="B18816" s="4">
        <v>9384</v>
      </c>
      <c r="D18816" s="5" t="s">
        <v>22951</v>
      </c>
      <c r="E18816" s="6" t="str">
        <f>HYPERLINK("https://inpn.mnhn.fr/espece/cd_nom/9384","Chlaenius spoliatus (P. Rossi, 1792)")</f>
        <v>Chlaenius spoliatus (P. Rossi, 1792)</v>
      </c>
      <c r="AH18816" s="4" t="str">
        <f>HYPERLINK("#Statut_biogéographique!A"&amp;_xlfn.XMATCH("P",Statut_biogéographique!A:A,2,1),"P")</f>
        <v>P</v>
      </c>
      <c r="AP18816" s="4" t="s">
        <v>376</v>
      </c>
      <c r="AR18816" s="4" t="s">
        <v>377</v>
      </c>
    </row>
    <row r="18817" spans="1:44">
      <c r="A18817" s="4" t="s">
        <v>10753</v>
      </c>
      <c r="B18817" s="4">
        <v>9385</v>
      </c>
      <c r="D18817" s="5" t="s">
        <v>22952</v>
      </c>
      <c r="E18817" s="6" t="str">
        <f>HYPERLINK("https://inpn.mnhn.fr/espece/cd_nom/9385","Chlaenius olivieri Crotch, 1871")</f>
        <v>Chlaenius olivieri Crotch, 1871</v>
      </c>
      <c r="F18817" s="5" t="s">
        <v>22953</v>
      </c>
      <c r="AH18817" s="4" t="str">
        <f>HYPERLINK("#Statut_biogéographique!A"&amp;_xlfn.XMATCH("P",Statut_biogéographique!A:A,2,1),"P")</f>
        <v>P</v>
      </c>
      <c r="AP18817" s="4" t="s">
        <v>376</v>
      </c>
      <c r="AR18817" s="4" t="s">
        <v>377</v>
      </c>
    </row>
    <row r="18818" spans="1:44">
      <c r="A18818" s="4" t="s">
        <v>10753</v>
      </c>
      <c r="B18818" s="4">
        <v>9388</v>
      </c>
      <c r="D18818" s="5" t="s">
        <v>22954</v>
      </c>
      <c r="E18818" s="6" t="str">
        <f>HYPERLINK("https://inpn.mnhn.fr/espece/cd_nom/9388","Chlaenius tristis (Schaller, 1783)")</f>
        <v>Chlaenius tristis (Schaller, 1783)</v>
      </c>
      <c r="F18818" s="5" t="s">
        <v>22955</v>
      </c>
      <c r="AH18818" s="4" t="str">
        <f>HYPERLINK("#Statut_biogéographique!A"&amp;_xlfn.XMATCH("P",Statut_biogéographique!A:A,2,1),"P")</f>
        <v>P</v>
      </c>
      <c r="AP18818" s="4" t="s">
        <v>376</v>
      </c>
      <c r="AR18818" s="4" t="s">
        <v>377</v>
      </c>
    </row>
    <row r="18819" spans="1:44">
      <c r="A18819" s="4" t="s">
        <v>10753</v>
      </c>
      <c r="B18819" s="4">
        <v>9389</v>
      </c>
      <c r="D18819" s="5" t="s">
        <v>22956</v>
      </c>
      <c r="E18819" s="6" t="str">
        <f>HYPERLINK("https://inpn.mnhn.fr/espece/cd_nom/9389","Chlaenius vestitus (Paykull, 1790)")</f>
        <v>Chlaenius vestitus (Paykull, 1790)</v>
      </c>
      <c r="F18819" s="5" t="s">
        <v>22957</v>
      </c>
      <c r="AH18819" s="4" t="str">
        <f>HYPERLINK("#Statut_biogéographique!A"&amp;_xlfn.XMATCH("P",Statut_biogéographique!A:A,2,1),"P")</f>
        <v>P</v>
      </c>
      <c r="AP18819" s="4" t="s">
        <v>376</v>
      </c>
      <c r="AR18819" s="4" t="s">
        <v>377</v>
      </c>
    </row>
    <row r="18820" spans="1:44">
      <c r="A18820" s="4" t="s">
        <v>10753</v>
      </c>
      <c r="B18820" s="4">
        <v>939150</v>
      </c>
      <c r="D18820" s="5">
        <v>939150</v>
      </c>
      <c r="E18820" s="6" t="str">
        <f>HYPERLINK("https://inpn.mnhn.fr/espece/cd_nom/939150","Pemphredon clypealis Thomson, 1870")</f>
        <v>Pemphredon clypealis Thomson, 1870</v>
      </c>
      <c r="AH18820" s="4" t="str">
        <f>HYPERLINK("#Statut_biogéographique!A"&amp;_xlfn.XMATCH("P",Statut_biogéographique!A:A,2,1),"P")</f>
        <v>P</v>
      </c>
      <c r="AP18820" s="4" t="s">
        <v>376</v>
      </c>
      <c r="AR18820" s="4" t="s">
        <v>377</v>
      </c>
    </row>
    <row r="18821" spans="1:44">
      <c r="A18821" s="4" t="s">
        <v>10753</v>
      </c>
      <c r="B18821" s="4">
        <v>939151</v>
      </c>
      <c r="D18821" s="5" t="s">
        <v>22958</v>
      </c>
      <c r="E18821" s="6" t="str">
        <f>HYPERLINK("https://inpn.mnhn.fr/espece/cd_nom/939151","Pemphredon enslini (Wagner, 1932)")</f>
        <v>Pemphredon enslini (Wagner, 1932)</v>
      </c>
      <c r="AH18821" s="4" t="str">
        <f>HYPERLINK("#Statut_biogéographique!A"&amp;_xlfn.XMATCH("P",Statut_biogéographique!A:A,2,1),"P")</f>
        <v>P</v>
      </c>
      <c r="AP18821" s="4" t="s">
        <v>376</v>
      </c>
      <c r="AR18821" s="4" t="s">
        <v>377</v>
      </c>
    </row>
    <row r="18822" spans="1:44">
      <c r="A18822" s="4" t="s">
        <v>10753</v>
      </c>
      <c r="B18822" s="4">
        <v>939154</v>
      </c>
      <c r="D18822" s="5" t="s">
        <v>22959</v>
      </c>
      <c r="E18822" s="6" t="str">
        <f>HYPERLINK("https://inpn.mnhn.fr/espece/cd_nom/939154","Pemphredon fabricii (M. Müller, 1911)")</f>
        <v>Pemphredon fabricii (M. Müller, 1911)</v>
      </c>
      <c r="AH18822" s="4" t="str">
        <f>HYPERLINK("#Statut_biogéographique!A"&amp;_xlfn.XMATCH("P",Statut_biogéographique!A:A,2,1),"P")</f>
        <v>P</v>
      </c>
      <c r="AP18822" s="4" t="s">
        <v>376</v>
      </c>
      <c r="AR18822" s="4" t="s">
        <v>377</v>
      </c>
    </row>
    <row r="18823" spans="1:44">
      <c r="A18823" s="4" t="s">
        <v>10753</v>
      </c>
      <c r="B18823" s="4">
        <v>939171</v>
      </c>
      <c r="D18823" s="5">
        <v>939171</v>
      </c>
      <c r="E18823" s="6" t="str">
        <f>HYPERLINK("https://inpn.mnhn.fr/espece/cd_nom/939171","Mimesa lutaria (Fabricius, 1787)")</f>
        <v>Mimesa lutaria (Fabricius, 1787)</v>
      </c>
      <c r="AH18823" s="4" t="str">
        <f>HYPERLINK("#Statut_biogéographique!A"&amp;_xlfn.XMATCH("P",Statut_biogéographique!A:A,2,1),"P")</f>
        <v>P</v>
      </c>
      <c r="AP18823" s="4" t="s">
        <v>376</v>
      </c>
      <c r="AR18823" s="4" t="s">
        <v>377</v>
      </c>
    </row>
    <row r="18824" spans="1:44">
      <c r="A18824" s="4" t="s">
        <v>10753</v>
      </c>
      <c r="B18824" s="4">
        <v>939174</v>
      </c>
      <c r="D18824" s="5" t="s">
        <v>22960</v>
      </c>
      <c r="E18824" s="6" t="str">
        <f>HYPERLINK("https://inpn.mnhn.fr/espece/cd_nom/939174","Psenulus chevrieri (Tournier, 1889)")</f>
        <v>Psenulus chevrieri (Tournier, 1889)</v>
      </c>
      <c r="AH18824" s="4" t="str">
        <f>HYPERLINK("#Statut_biogéographique!A"&amp;_xlfn.XMATCH("P",Statut_biogéographique!A:A,2,1),"P")</f>
        <v>P</v>
      </c>
      <c r="AP18824" s="4" t="s">
        <v>376</v>
      </c>
      <c r="AR18824" s="4" t="s">
        <v>377</v>
      </c>
    </row>
    <row r="18825" spans="1:44">
      <c r="A18825" s="4" t="s">
        <v>10753</v>
      </c>
      <c r="B18825" s="4">
        <v>9392</v>
      </c>
      <c r="D18825" s="5" t="s">
        <v>22961</v>
      </c>
      <c r="E18825" s="6" t="str">
        <f>HYPERLINK("https://inpn.mnhn.fr/espece/cd_nom/9392","Chlaenius velutinus (Duftschmid, 1812)")</f>
        <v>Chlaenius velutinus (Duftschmid, 1812)</v>
      </c>
      <c r="AH18825" s="4" t="str">
        <f>HYPERLINK("#Statut_biogéographique!A"&amp;_xlfn.XMATCH("P",Statut_biogéographique!A:A,2,1),"P")</f>
        <v>P</v>
      </c>
      <c r="AP18825" s="4" t="s">
        <v>376</v>
      </c>
      <c r="AR18825" s="4" t="s">
        <v>377</v>
      </c>
    </row>
    <row r="18826" spans="1:44">
      <c r="A18826" s="4" t="s">
        <v>10753</v>
      </c>
      <c r="B18826" s="4">
        <v>9397</v>
      </c>
      <c r="D18826" s="5" t="s">
        <v>22962</v>
      </c>
      <c r="E18826" s="6" t="str">
        <f>HYPERLINK("https://inpn.mnhn.fr/espece/cd_nom/9397","Callistus lunatus (Fabricius, 1775)")</f>
        <v>Callistus lunatus (Fabricius, 1775)</v>
      </c>
      <c r="F18826" s="5" t="s">
        <v>22963</v>
      </c>
      <c r="AH18826" s="4" t="str">
        <f>HYPERLINK("#Statut_biogéographique!A"&amp;_xlfn.XMATCH("P",Statut_biogéographique!A:A,2,1),"P")</f>
        <v>P</v>
      </c>
      <c r="AP18826" s="4" t="s">
        <v>376</v>
      </c>
      <c r="AR18826" s="4" t="s">
        <v>377</v>
      </c>
    </row>
    <row r="18827" spans="1:44" ht="30">
      <c r="A18827" s="4" t="s">
        <v>10753</v>
      </c>
      <c r="B18827" s="4">
        <v>939795</v>
      </c>
      <c r="D18827" s="5" t="s">
        <v>22964</v>
      </c>
      <c r="E18827" s="6" t="str">
        <f>HYPERLINK("https://inpn.mnhn.fr/espece/cd_nom/939795","Arctia testudinaria (Geoffroy in Fourcroy, 1785)")</f>
        <v>Arctia testudinaria (Geoffroy in Fourcroy, 1785)</v>
      </c>
      <c r="F18827" s="5" t="s">
        <v>22965</v>
      </c>
      <c r="AH18827" s="4" t="str">
        <f>HYPERLINK("#Statut_biogéographique!A"&amp;_xlfn.XMATCH("P",Statut_biogéographique!A:A,2,1),"P")</f>
        <v>P</v>
      </c>
      <c r="AP18827" s="4" t="s">
        <v>376</v>
      </c>
      <c r="AR18827" s="4" t="s">
        <v>377</v>
      </c>
    </row>
    <row r="18828" spans="1:44">
      <c r="A18828" s="4" t="s">
        <v>10753</v>
      </c>
      <c r="B18828" s="4">
        <v>940</v>
      </c>
      <c r="D18828" s="5" t="s">
        <v>22966</v>
      </c>
      <c r="E18828" s="6" t="str">
        <f>HYPERLINK("https://inpn.mnhn.fr/espece/cd_nom/940","Myrmarachne formicaria (De Geer, 1778)")</f>
        <v>Myrmarachne formicaria (De Geer, 1778)</v>
      </c>
      <c r="F18828" s="5" t="s">
        <v>22967</v>
      </c>
      <c r="Q18828" s="7" t="str">
        <f>HYPERLINK("#Liste_rouge!A"&amp;_xlfn.XMATCH("LC",Liste_rouge!A:A,2,1),"LC")</f>
        <v>LC</v>
      </c>
      <c r="AH18828" s="4" t="str">
        <f>HYPERLINK("#Statut_biogéographique!A"&amp;_xlfn.XMATCH("P",Statut_biogéographique!A:A,2,1),"P")</f>
        <v>P</v>
      </c>
      <c r="AP18828" s="4" t="s">
        <v>376</v>
      </c>
      <c r="AR18828" s="4" t="s">
        <v>377</v>
      </c>
    </row>
    <row r="18829" spans="1:44">
      <c r="A18829" s="4" t="s">
        <v>10753</v>
      </c>
      <c r="B18829" s="4">
        <v>9406</v>
      </c>
      <c r="D18829" s="5" t="s">
        <v>22968</v>
      </c>
      <c r="E18829" s="6" t="str">
        <f>HYPERLINK("https://inpn.mnhn.fr/espece/cd_nom/9406","Lebia marginata (Geoffroy in Fourcroy, 1785)")</f>
        <v>Lebia marginata (Geoffroy in Fourcroy, 1785)</v>
      </c>
      <c r="F18829" s="5" t="s">
        <v>22969</v>
      </c>
      <c r="AH18829" s="4" t="str">
        <f>HYPERLINK("#Statut_biogéographique!A"&amp;_xlfn.XMATCH("P",Statut_biogéographique!A:A,2,1),"P")</f>
        <v>P</v>
      </c>
      <c r="AP18829" s="4" t="s">
        <v>376</v>
      </c>
      <c r="AR18829" s="4" t="s">
        <v>377</v>
      </c>
    </row>
    <row r="18830" spans="1:44" ht="30">
      <c r="A18830" s="4" t="s">
        <v>10753</v>
      </c>
      <c r="B18830" s="4">
        <v>9409</v>
      </c>
      <c r="D18830" s="5" t="s">
        <v>22970</v>
      </c>
      <c r="E18830" s="6" t="str">
        <f>HYPERLINK("https://inpn.mnhn.fr/espece/cd_nom/9409","Lebia scapularis (Geoffroy in Fourcroy, 1785)")</f>
        <v>Lebia scapularis (Geoffroy in Fourcroy, 1785)</v>
      </c>
      <c r="AH18830" s="4" t="str">
        <f>HYPERLINK("#Statut_biogéographique!A"&amp;_xlfn.XMATCH("P",Statut_biogéographique!A:A,2,1),"P")</f>
        <v>P</v>
      </c>
      <c r="AP18830" s="4" t="s">
        <v>376</v>
      </c>
      <c r="AR18830" s="4" t="s">
        <v>377</v>
      </c>
    </row>
    <row r="18831" spans="1:44">
      <c r="A18831" s="4" t="s">
        <v>10753</v>
      </c>
      <c r="B18831" s="4">
        <v>9419</v>
      </c>
      <c r="D18831" s="5" t="s">
        <v>22971</v>
      </c>
      <c r="E18831" s="6" t="str">
        <f>HYPERLINK("https://inpn.mnhn.fr/espece/cd_nom/9419","Microlestes minutulus (Goeze, 1777)")</f>
        <v>Microlestes minutulus (Goeze, 1777)</v>
      </c>
      <c r="AH18831" s="4" t="str">
        <f>HYPERLINK("#Statut_biogéographique!A"&amp;_xlfn.XMATCH("P",Statut_biogéographique!A:A,2,1),"P")</f>
        <v>P</v>
      </c>
      <c r="AP18831" s="4" t="s">
        <v>376</v>
      </c>
      <c r="AR18831" s="4" t="s">
        <v>377</v>
      </c>
    </row>
    <row r="18832" spans="1:44">
      <c r="A18832" s="4" t="s">
        <v>10753</v>
      </c>
      <c r="B18832" s="4">
        <v>9423</v>
      </c>
      <c r="D18832" s="5" t="s">
        <v>22972</v>
      </c>
      <c r="E18832" s="6" t="str">
        <f>HYPERLINK("https://inpn.mnhn.fr/espece/cd_nom/9423","Dromius agilis (Fabricius, 1787)")</f>
        <v>Dromius agilis (Fabricius, 1787)</v>
      </c>
      <c r="AH18832" s="4" t="str">
        <f>HYPERLINK("#Statut_biogéographique!A"&amp;_xlfn.XMATCH("P",Statut_biogéographique!A:A,2,1),"P")</f>
        <v>P</v>
      </c>
      <c r="AP18832" s="4" t="s">
        <v>376</v>
      </c>
      <c r="AR18832" s="4" t="s">
        <v>377</v>
      </c>
    </row>
    <row r="18833" spans="1:44">
      <c r="A18833" s="4" t="s">
        <v>10753</v>
      </c>
      <c r="B18833" s="4">
        <v>9425</v>
      </c>
      <c r="D18833" s="5">
        <v>9425</v>
      </c>
      <c r="E18833" s="6" t="str">
        <f>HYPERLINK("https://inpn.mnhn.fr/espece/cd_nom/9425","Dromius angustus Brullé, 1834")</f>
        <v>Dromius angustus Brullé, 1834</v>
      </c>
      <c r="AH18833" s="4" t="str">
        <f>HYPERLINK("#Statut_biogéographique!A"&amp;_xlfn.XMATCH("P",Statut_biogéographique!A:A,2,1),"P")</f>
        <v>P</v>
      </c>
      <c r="AP18833" s="4" t="s">
        <v>376</v>
      </c>
      <c r="AR18833" s="4" t="s">
        <v>377</v>
      </c>
    </row>
    <row r="18834" spans="1:44">
      <c r="A18834" s="4" t="s">
        <v>10753</v>
      </c>
      <c r="B18834" s="4">
        <v>9426</v>
      </c>
      <c r="D18834" s="5" t="s">
        <v>22973</v>
      </c>
      <c r="E18834" s="6" t="str">
        <f>HYPERLINK("https://inpn.mnhn.fr/espece/cd_nom/9426","Dromius fenestratus (Fabricius, 1794)")</f>
        <v>Dromius fenestratus (Fabricius, 1794)</v>
      </c>
      <c r="AH18834" s="4" t="str">
        <f>HYPERLINK("#Statut_biogéographique!A"&amp;_xlfn.XMATCH("P",Statut_biogéographique!A:A,2,1),"P")</f>
        <v>P</v>
      </c>
      <c r="AP18834" s="4" t="s">
        <v>376</v>
      </c>
      <c r="AR18834" s="4" t="s">
        <v>377</v>
      </c>
    </row>
    <row r="18835" spans="1:44">
      <c r="A18835" s="4" t="s">
        <v>10753</v>
      </c>
      <c r="B18835" s="4">
        <v>9435</v>
      </c>
      <c r="D18835" s="5" t="s">
        <v>22974</v>
      </c>
      <c r="E18835" s="6" t="str">
        <f>HYPERLINK("https://inpn.mnhn.fr/espece/cd_nom/9435","Demetrias atricapillus (Linnaeus, 1758)")</f>
        <v>Demetrias atricapillus (Linnaeus, 1758)</v>
      </c>
      <c r="AH18835" s="4" t="str">
        <f>HYPERLINK("#Statut_biogéographique!A"&amp;_xlfn.XMATCH("P",Statut_biogéographique!A:A,2,1),"P")</f>
        <v>P</v>
      </c>
      <c r="AP18835" s="4" t="s">
        <v>376</v>
      </c>
      <c r="AR18835" s="4" t="s">
        <v>377</v>
      </c>
    </row>
    <row r="18836" spans="1:44">
      <c r="A18836" s="4" t="s">
        <v>10753</v>
      </c>
      <c r="B18836" s="4">
        <v>9436</v>
      </c>
      <c r="D18836" s="5" t="s">
        <v>22975</v>
      </c>
      <c r="E18836" s="6" t="str">
        <f>HYPERLINK("https://inpn.mnhn.fr/espece/cd_nom/9436","Demetrias imperialis (Germar, 1823)")</f>
        <v>Demetrias imperialis (Germar, 1823)</v>
      </c>
      <c r="AH18836" s="4" t="str">
        <f>HYPERLINK("#Statut_biogéographique!A"&amp;_xlfn.XMATCH("P",Statut_biogéographique!A:A,2,1),"P")</f>
        <v>P</v>
      </c>
      <c r="AP18836" s="4" t="s">
        <v>376</v>
      </c>
      <c r="AR18836" s="4" t="s">
        <v>377</v>
      </c>
    </row>
    <row r="18837" spans="1:44">
      <c r="A18837" s="4" t="s">
        <v>10753</v>
      </c>
      <c r="B18837" s="4">
        <v>943799</v>
      </c>
      <c r="D18837" s="5" t="s">
        <v>22976</v>
      </c>
      <c r="E18837" s="6" t="str">
        <f>HYPERLINK("https://inpn.mnhn.fr/espece/cd_nom/943799","Nola infantula Kitt, 1926")</f>
        <v>Nola infantula Kitt, 1926</v>
      </c>
      <c r="AH18837" s="4" t="str">
        <f>HYPERLINK("#Statut_biogéographique!A"&amp;_xlfn.XMATCH("P",Statut_biogéographique!A:A,2,1),"P")</f>
        <v>P</v>
      </c>
      <c r="AP18837" s="4" t="s">
        <v>376</v>
      </c>
      <c r="AR18837" s="4" t="s">
        <v>377</v>
      </c>
    </row>
    <row r="18838" spans="1:44">
      <c r="A18838" s="4" t="s">
        <v>10753</v>
      </c>
      <c r="B18838" s="4">
        <v>9438</v>
      </c>
      <c r="D18838" s="5" t="s">
        <v>22977</v>
      </c>
      <c r="E18838" s="6" t="str">
        <f>HYPERLINK("https://inpn.mnhn.fr/espece/cd_nom/9438","Acilius canaliculatus (Nicolai, 1822)")</f>
        <v>Acilius canaliculatus (Nicolai, 1822)</v>
      </c>
      <c r="AH18838" s="4" t="str">
        <f>HYPERLINK("#Statut_biogéographique!A"&amp;_xlfn.XMATCH("P",Statut_biogéographique!A:A,2,1),"P")</f>
        <v>P</v>
      </c>
      <c r="AP18838" s="4" t="s">
        <v>376</v>
      </c>
      <c r="AR18838" s="4" t="s">
        <v>377</v>
      </c>
    </row>
    <row r="18839" spans="1:44">
      <c r="A18839" s="4" t="s">
        <v>10753</v>
      </c>
      <c r="B18839" s="4">
        <v>9439</v>
      </c>
      <c r="D18839" s="5" t="s">
        <v>22978</v>
      </c>
      <c r="E18839" s="6" t="str">
        <f>HYPERLINK("https://inpn.mnhn.fr/espece/cd_nom/9439","Acilius sulcatus (Linnaeus, 1758)")</f>
        <v>Acilius sulcatus (Linnaeus, 1758)</v>
      </c>
      <c r="AH18839" s="4" t="str">
        <f>HYPERLINK("#Statut_biogéographique!A"&amp;_xlfn.XMATCH("P",Statut_biogéographique!A:A,2,1),"P")</f>
        <v>P</v>
      </c>
      <c r="AP18839" s="4" t="s">
        <v>376</v>
      </c>
      <c r="AR18839" s="4" t="s">
        <v>377</v>
      </c>
    </row>
    <row r="18840" spans="1:44">
      <c r="A18840" s="4" t="s">
        <v>10753</v>
      </c>
      <c r="B18840" s="4">
        <v>944140</v>
      </c>
      <c r="D18840" s="5" t="s">
        <v>22979</v>
      </c>
      <c r="E18840" s="6" t="str">
        <f>HYPERLINK("https://inpn.mnhn.fr/espece/cd_nom/944140","Euleia rotundiventris Fallén, 1814")</f>
        <v>Euleia rotundiventris Fallén, 1814</v>
      </c>
      <c r="AH18840" s="4" t="str">
        <f>HYPERLINK("#Statut_biogéographique!A"&amp;_xlfn.XMATCH("P",Statut_biogéographique!A:A,2,1),"P")</f>
        <v>P</v>
      </c>
      <c r="AP18840" s="4" t="s">
        <v>376</v>
      </c>
      <c r="AR18840" s="4" t="s">
        <v>377</v>
      </c>
    </row>
    <row r="18841" spans="1:44">
      <c r="A18841" s="4" t="s">
        <v>10753</v>
      </c>
      <c r="B18841" s="4">
        <v>9442</v>
      </c>
      <c r="D18841" s="5" t="s">
        <v>22980</v>
      </c>
      <c r="E18841" s="6" t="str">
        <f>HYPERLINK("https://inpn.mnhn.fr/espece/cd_nom/9442","Haliplus confinis Stephens, 1828")</f>
        <v>Haliplus confinis Stephens, 1828</v>
      </c>
      <c r="AH18841" s="4" t="str">
        <f>HYPERLINK("#Statut_biogéographique!A"&amp;_xlfn.XMATCH("P",Statut_biogéographique!A:A,2,1),"P")</f>
        <v>P</v>
      </c>
      <c r="AP18841" s="4" t="s">
        <v>376</v>
      </c>
      <c r="AR18841" s="4" t="s">
        <v>377</v>
      </c>
    </row>
    <row r="18842" spans="1:44">
      <c r="A18842" s="4" t="s">
        <v>10753</v>
      </c>
      <c r="B18842" s="4">
        <v>9443</v>
      </c>
      <c r="D18842" s="5">
        <v>9443</v>
      </c>
      <c r="E18842" s="6" t="str">
        <f>HYPERLINK("https://inpn.mnhn.fr/espece/cd_nom/9443","Haliplus flavicollis Sturm, 1834")</f>
        <v>Haliplus flavicollis Sturm, 1834</v>
      </c>
      <c r="AH18842" s="4" t="str">
        <f>HYPERLINK("#Statut_biogéographique!A"&amp;_xlfn.XMATCH("P",Statut_biogéographique!A:A,2,1),"P")</f>
        <v>P</v>
      </c>
      <c r="AP18842" s="4" t="s">
        <v>376</v>
      </c>
      <c r="AR18842" s="4" t="s">
        <v>377</v>
      </c>
    </row>
    <row r="18843" spans="1:44" ht="30">
      <c r="A18843" s="4" t="s">
        <v>10753</v>
      </c>
      <c r="B18843" s="4">
        <v>9444</v>
      </c>
      <c r="D18843" s="5" t="s">
        <v>22981</v>
      </c>
      <c r="E18843" s="6" t="str">
        <f>HYPERLINK("https://inpn.mnhn.fr/espece/cd_nom/9444","Haliplus fulvus (Fabricius, 1801)")</f>
        <v>Haliplus fulvus (Fabricius, 1801)</v>
      </c>
      <c r="AH18843" s="4" t="str">
        <f>HYPERLINK("#Statut_biogéographique!A"&amp;_xlfn.XMATCH("P",Statut_biogéographique!A:A,2,1),"P")</f>
        <v>P</v>
      </c>
      <c r="AP18843" s="4" t="s">
        <v>376</v>
      </c>
      <c r="AR18843" s="4" t="s">
        <v>377</v>
      </c>
    </row>
    <row r="18844" spans="1:44">
      <c r="A18844" s="4" t="s">
        <v>10753</v>
      </c>
      <c r="B18844" s="4">
        <v>9445</v>
      </c>
      <c r="D18844" s="5" t="s">
        <v>22982</v>
      </c>
      <c r="E18844" s="6" t="str">
        <f>HYPERLINK("https://inpn.mnhn.fr/espece/cd_nom/9445","Haliplus heydeni Wehncke, 1875")</f>
        <v>Haliplus heydeni Wehncke, 1875</v>
      </c>
      <c r="AH18844" s="4" t="str">
        <f>HYPERLINK("#Statut_biogéographique!A"&amp;_xlfn.XMATCH("P",Statut_biogéographique!A:A,2,1),"P")</f>
        <v>P</v>
      </c>
      <c r="AP18844" s="4" t="s">
        <v>376</v>
      </c>
      <c r="AR18844" s="4" t="s">
        <v>377</v>
      </c>
    </row>
    <row r="18845" spans="1:44">
      <c r="A18845" s="4" t="s">
        <v>10753</v>
      </c>
      <c r="B18845" s="4">
        <v>9446</v>
      </c>
      <c r="D18845" s="5" t="s">
        <v>22983</v>
      </c>
      <c r="E18845" s="6" t="str">
        <f>HYPERLINK("https://inpn.mnhn.fr/espece/cd_nom/9446","Haliplus lineatocollis (Marsham, 1802)")</f>
        <v>Haliplus lineatocollis (Marsham, 1802)</v>
      </c>
      <c r="AH18845" s="4" t="str">
        <f>HYPERLINK("#Statut_biogéographique!A"&amp;_xlfn.XMATCH("P",Statut_biogéographique!A:A,2,1),"P")</f>
        <v>P</v>
      </c>
      <c r="AP18845" s="4" t="s">
        <v>376</v>
      </c>
      <c r="AR18845" s="4" t="s">
        <v>377</v>
      </c>
    </row>
    <row r="18846" spans="1:44">
      <c r="A18846" s="4" t="s">
        <v>10753</v>
      </c>
      <c r="B18846" s="4">
        <v>9447</v>
      </c>
      <c r="D18846" s="5" t="s">
        <v>22984</v>
      </c>
      <c r="E18846" s="6" t="str">
        <f>HYPERLINK("https://inpn.mnhn.fr/espece/cd_nom/9447","Haliplus obliquus (Fabricius, 1787)")</f>
        <v>Haliplus obliquus (Fabricius, 1787)</v>
      </c>
      <c r="AH18846" s="4" t="str">
        <f>HYPERLINK("#Statut_biogéographique!A"&amp;_xlfn.XMATCH("P",Statut_biogéographique!A:A,2,1),"P")</f>
        <v>P</v>
      </c>
      <c r="AP18846" s="4" t="s">
        <v>376</v>
      </c>
      <c r="AR18846" s="4" t="s">
        <v>377</v>
      </c>
    </row>
    <row r="18847" spans="1:44">
      <c r="A18847" s="4" t="s">
        <v>10753</v>
      </c>
      <c r="B18847" s="4">
        <v>9448</v>
      </c>
      <c r="D18847" s="5" t="s">
        <v>22985</v>
      </c>
      <c r="E18847" s="6" t="str">
        <f>HYPERLINK("https://inpn.mnhn.fr/espece/cd_nom/9448","Haliplus variegatus Sturm, 1834")</f>
        <v>Haliplus variegatus Sturm, 1834</v>
      </c>
      <c r="AH18847" s="4" t="str">
        <f>HYPERLINK("#Statut_biogéographique!A"&amp;_xlfn.XMATCH("P",Statut_biogéographique!A:A,2,1),"P")</f>
        <v>P</v>
      </c>
      <c r="AP18847" s="4" t="s">
        <v>376</v>
      </c>
      <c r="AR18847" s="4" t="s">
        <v>377</v>
      </c>
    </row>
    <row r="18848" spans="1:44">
      <c r="A18848" s="4" t="s">
        <v>10753</v>
      </c>
      <c r="B18848" s="4">
        <v>9450</v>
      </c>
      <c r="D18848" s="5" t="s">
        <v>22986</v>
      </c>
      <c r="E18848" s="6" t="str">
        <f>HYPERLINK("https://inpn.mnhn.fr/espece/cd_nom/9450","Haliplus ruficollis (De Geer, 1774)")</f>
        <v>Haliplus ruficollis (De Geer, 1774)</v>
      </c>
      <c r="AH18848" s="4" t="str">
        <f>HYPERLINK("#Statut_biogéographique!A"&amp;_xlfn.XMATCH("P",Statut_biogéographique!A:A,2,1),"P")</f>
        <v>P</v>
      </c>
      <c r="AP18848" s="4" t="s">
        <v>376</v>
      </c>
      <c r="AR18848" s="4" t="s">
        <v>377</v>
      </c>
    </row>
    <row r="18849" spans="1:44">
      <c r="A18849" s="4" t="s">
        <v>10753</v>
      </c>
      <c r="B18849" s="4">
        <v>946860</v>
      </c>
      <c r="D18849" s="5" t="s">
        <v>22987</v>
      </c>
      <c r="E18849" s="6" t="str">
        <f>HYPERLINK("https://inpn.mnhn.fr/espece/cd_nom/946860","Oxypteryx unicolorella (Duponchel, 1844)")</f>
        <v>Oxypteryx unicolorella (Duponchel, 1844)</v>
      </c>
      <c r="AH18849" s="4" t="str">
        <f>HYPERLINK("#Statut_biogéographique!A"&amp;_xlfn.XMATCH("P",Statut_biogéographique!A:A,2,1),"P")</f>
        <v>P</v>
      </c>
      <c r="AP18849" s="4" t="s">
        <v>376</v>
      </c>
      <c r="AR18849" s="4" t="s">
        <v>377</v>
      </c>
    </row>
    <row r="18850" spans="1:44" ht="30">
      <c r="A18850" s="4" t="s">
        <v>10753</v>
      </c>
      <c r="B18850" s="4">
        <v>946886</v>
      </c>
      <c r="D18850" s="5" t="s">
        <v>22988</v>
      </c>
      <c r="E18850" s="6" t="str">
        <f>HYPERLINK("https://inpn.mnhn.fr/espece/cd_nom/946886","Oxypteryx atrella (Denis &amp; Schiffermüller, 1775)")</f>
        <v>Oxypteryx atrella (Denis &amp; Schiffermüller, 1775)</v>
      </c>
      <c r="AH18850" s="4" t="str">
        <f>HYPERLINK("#Statut_biogéographique!A"&amp;_xlfn.XMATCH("P",Statut_biogéographique!A:A,2,1),"P")</f>
        <v>P</v>
      </c>
      <c r="AP18850" s="4" t="s">
        <v>376</v>
      </c>
      <c r="AR18850" s="4" t="s">
        <v>377</v>
      </c>
    </row>
    <row r="18851" spans="1:44">
      <c r="A18851" s="4" t="s">
        <v>10753</v>
      </c>
      <c r="B18851" s="4">
        <v>9469</v>
      </c>
      <c r="D18851" s="5" t="s">
        <v>22989</v>
      </c>
      <c r="E18851" s="6" t="str">
        <f>HYPERLINK("https://inpn.mnhn.fr/espece/cd_nom/9469","Hygrotus inaequalis (Fabricius, 1777)")</f>
        <v>Hygrotus inaequalis (Fabricius, 1777)</v>
      </c>
      <c r="AH18851" s="4" t="str">
        <f>HYPERLINK("#Statut_biogéographique!A"&amp;_xlfn.XMATCH("P",Statut_biogéographique!A:A,2,1),"P")</f>
        <v>P</v>
      </c>
      <c r="AP18851" s="4" t="s">
        <v>376</v>
      </c>
      <c r="AR18851" s="4" t="s">
        <v>377</v>
      </c>
    </row>
    <row r="18852" spans="1:44">
      <c r="A18852" s="4" t="s">
        <v>10753</v>
      </c>
      <c r="B18852" s="4">
        <v>9475</v>
      </c>
      <c r="D18852" s="5" t="s">
        <v>22990</v>
      </c>
      <c r="E18852" s="6" t="str">
        <f>HYPERLINK("https://inpn.mnhn.fr/espece/cd_nom/9475","Bidessus minutissimus (Germar, 1823)")</f>
        <v>Bidessus minutissimus (Germar, 1823)</v>
      </c>
      <c r="AH18852" s="4" t="str">
        <f>HYPERLINK("#Statut_biogéographique!A"&amp;_xlfn.XMATCH("P",Statut_biogéographique!A:A,2,1),"P")</f>
        <v>P</v>
      </c>
      <c r="AP18852" s="4" t="s">
        <v>376</v>
      </c>
      <c r="AR18852" s="4" t="s">
        <v>377</v>
      </c>
    </row>
    <row r="18853" spans="1:44">
      <c r="A18853" s="4" t="s">
        <v>10753</v>
      </c>
      <c r="B18853" s="4">
        <v>9478</v>
      </c>
      <c r="D18853" s="5" t="s">
        <v>22991</v>
      </c>
      <c r="E18853" s="6" t="str">
        <f>HYPERLINK("https://inpn.mnhn.fr/espece/cd_nom/9478","Bidessus unistriatus (Goeze, 1777)")</f>
        <v>Bidessus unistriatus (Goeze, 1777)</v>
      </c>
      <c r="AH18853" s="4" t="str">
        <f>HYPERLINK("#Statut_biogéographique!A"&amp;_xlfn.XMATCH("P",Statut_biogéographique!A:A,2,1),"P")</f>
        <v>P</v>
      </c>
      <c r="AP18853" s="4" t="s">
        <v>376</v>
      </c>
      <c r="AR18853" s="4" t="s">
        <v>377</v>
      </c>
    </row>
    <row r="18854" spans="1:44">
      <c r="A18854" s="4" t="s">
        <v>10753</v>
      </c>
      <c r="B18854" s="4">
        <v>9487</v>
      </c>
      <c r="D18854" s="5">
        <v>9487</v>
      </c>
      <c r="E18854" s="6" t="str">
        <f>HYPERLINK("https://inpn.mnhn.fr/espece/cd_nom/9487","Hydroporus angustatus Sturm, 1835")</f>
        <v>Hydroporus angustatus Sturm, 1835</v>
      </c>
      <c r="AH18854" s="4" t="str">
        <f>HYPERLINK("#Statut_biogéographique!A"&amp;_xlfn.XMATCH("P",Statut_biogéographique!A:A,2,1),"P")</f>
        <v>P</v>
      </c>
      <c r="AP18854" s="4" t="s">
        <v>376</v>
      </c>
      <c r="AR18854" s="4" t="s">
        <v>377</v>
      </c>
    </row>
    <row r="18855" spans="1:44" ht="30">
      <c r="A18855" s="4" t="s">
        <v>10753</v>
      </c>
      <c r="B18855" s="4">
        <v>9489</v>
      </c>
      <c r="D18855" s="5" t="s">
        <v>22992</v>
      </c>
      <c r="E18855" s="6" t="str">
        <f>HYPERLINK("https://inpn.mnhn.fr/espece/cd_nom/9489","Hydroporus erythrocephalus (Linnaeus, 1758)")</f>
        <v>Hydroporus erythrocephalus (Linnaeus, 1758)</v>
      </c>
      <c r="AH18855" s="4" t="str">
        <f>HYPERLINK("#Statut_biogéographique!A"&amp;_xlfn.XMATCH("P",Statut_biogéographique!A:A,2,1),"P")</f>
        <v>P</v>
      </c>
      <c r="AP18855" s="4" t="s">
        <v>376</v>
      </c>
      <c r="AR18855" s="4" t="s">
        <v>377</v>
      </c>
    </row>
    <row r="18856" spans="1:44">
      <c r="A18856" s="4" t="s">
        <v>10753</v>
      </c>
      <c r="B18856" s="4">
        <v>9490</v>
      </c>
      <c r="D18856" s="5">
        <v>9490</v>
      </c>
      <c r="E18856" s="6" t="str">
        <f>HYPERLINK("https://inpn.mnhn.fr/espece/cd_nom/9490","Hydroporus incognitus Sharp, 1869")</f>
        <v>Hydroporus incognitus Sharp, 1869</v>
      </c>
      <c r="AH18856" s="4" t="str">
        <f>HYPERLINK("#Statut_biogéographique!A"&amp;_xlfn.XMATCH("P",Statut_biogéographique!A:A,2,1),"P")</f>
        <v>P</v>
      </c>
      <c r="AP18856" s="4" t="s">
        <v>376</v>
      </c>
      <c r="AR18856" s="4" t="s">
        <v>377</v>
      </c>
    </row>
    <row r="18857" spans="1:44">
      <c r="A18857" s="4" t="s">
        <v>10753</v>
      </c>
      <c r="B18857" s="4">
        <v>9491</v>
      </c>
      <c r="D18857" s="5" t="s">
        <v>22993</v>
      </c>
      <c r="E18857" s="6" t="str">
        <f>HYPERLINK("https://inpn.mnhn.fr/espece/cd_nom/9491","Hydroporus marginatus (Duftschmid, 1805)")</f>
        <v>Hydroporus marginatus (Duftschmid, 1805)</v>
      </c>
      <c r="AH18857" s="4" t="str">
        <f>HYPERLINK("#Statut_biogéographique!A"&amp;_xlfn.XMATCH("P",Statut_biogéographique!A:A,2,1),"P")</f>
        <v>P</v>
      </c>
      <c r="AP18857" s="4" t="s">
        <v>376</v>
      </c>
      <c r="AR18857" s="4" t="s">
        <v>377</v>
      </c>
    </row>
    <row r="18858" spans="1:44">
      <c r="A18858" s="4" t="s">
        <v>10753</v>
      </c>
      <c r="B18858" s="4">
        <v>9492</v>
      </c>
      <c r="D18858" s="5">
        <v>9492</v>
      </c>
      <c r="E18858" s="6" t="str">
        <f>HYPERLINK("https://inpn.mnhn.fr/espece/cd_nom/9492","Hydroporus melanarius Sturm, 1835")</f>
        <v>Hydroporus melanarius Sturm, 1835</v>
      </c>
      <c r="AH18858" s="4" t="str">
        <f>HYPERLINK("#Statut_biogéographique!A"&amp;_xlfn.XMATCH("P",Statut_biogéographique!A:A,2,1),"P")</f>
        <v>P</v>
      </c>
      <c r="AP18858" s="4" t="s">
        <v>376</v>
      </c>
      <c r="AR18858" s="4" t="s">
        <v>377</v>
      </c>
    </row>
    <row r="18859" spans="1:44">
      <c r="A18859" s="4" t="s">
        <v>10753</v>
      </c>
      <c r="B18859" s="4">
        <v>9493</v>
      </c>
      <c r="D18859" s="5" t="s">
        <v>22994</v>
      </c>
      <c r="E18859" s="6" t="str">
        <f>HYPERLINK("https://inpn.mnhn.fr/espece/cd_nom/9493","Hydroporus memnonius Nicolai, 1822")</f>
        <v>Hydroporus memnonius Nicolai, 1822</v>
      </c>
      <c r="AH18859" s="4" t="str">
        <f>HYPERLINK("#Statut_biogéographique!A"&amp;_xlfn.XMATCH("P",Statut_biogéographique!A:A,2,1),"P")</f>
        <v>P</v>
      </c>
      <c r="AP18859" s="4" t="s">
        <v>376</v>
      </c>
      <c r="AR18859" s="4" t="s">
        <v>377</v>
      </c>
    </row>
    <row r="18860" spans="1:44">
      <c r="A18860" s="4" t="s">
        <v>10753</v>
      </c>
      <c r="B18860" s="4">
        <v>9497</v>
      </c>
      <c r="D18860" s="5">
        <v>9497</v>
      </c>
      <c r="E18860" s="6" t="str">
        <f>HYPERLINK("https://inpn.mnhn.fr/espece/cd_nom/9497","Hydroporus neglectus Schaum, 1845")</f>
        <v>Hydroporus neglectus Schaum, 1845</v>
      </c>
      <c r="AH18860" s="4" t="str">
        <f>HYPERLINK("#Statut_biogéographique!A"&amp;_xlfn.XMATCH("P",Statut_biogéographique!A:A,2,1),"P")</f>
        <v>P</v>
      </c>
      <c r="AP18860" s="4" t="s">
        <v>376</v>
      </c>
      <c r="AR18860" s="4" t="s">
        <v>377</v>
      </c>
    </row>
    <row r="18861" spans="1:44">
      <c r="A18861" s="4" t="s">
        <v>10753</v>
      </c>
      <c r="B18861" s="4">
        <v>9498</v>
      </c>
      <c r="D18861" s="5">
        <v>9498</v>
      </c>
      <c r="E18861" s="6" t="str">
        <f>HYPERLINK("https://inpn.mnhn.fr/espece/cd_nom/9498","Hydroporus obscurus Sturm, 1835")</f>
        <v>Hydroporus obscurus Sturm, 1835</v>
      </c>
      <c r="AH18861" s="4" t="str">
        <f>HYPERLINK("#Statut_biogéographique!A"&amp;_xlfn.XMATCH("P",Statut_biogéographique!A:A,2,1),"P")</f>
        <v>P</v>
      </c>
      <c r="AP18861" s="4" t="s">
        <v>376</v>
      </c>
      <c r="AR18861" s="4" t="s">
        <v>377</v>
      </c>
    </row>
    <row r="18862" spans="1:44">
      <c r="A18862" s="4" t="s">
        <v>10753</v>
      </c>
      <c r="B18862" s="4">
        <v>9499</v>
      </c>
      <c r="D18862" s="5" t="s">
        <v>22995</v>
      </c>
      <c r="E18862" s="6" t="str">
        <f>HYPERLINK("https://inpn.mnhn.fr/espece/cd_nom/9499","Hydroporus palustris (Linnaeus, 1761)")</f>
        <v>Hydroporus palustris (Linnaeus, 1761)</v>
      </c>
      <c r="F18862" s="5" t="s">
        <v>22996</v>
      </c>
      <c r="AH18862" s="4" t="str">
        <f>HYPERLINK("#Statut_biogéographique!A"&amp;_xlfn.XMATCH("P",Statut_biogéographique!A:A,2,1),"P")</f>
        <v>P</v>
      </c>
      <c r="AP18862" s="4" t="s">
        <v>376</v>
      </c>
      <c r="AR18862" s="4" t="s">
        <v>377</v>
      </c>
    </row>
    <row r="18863" spans="1:44" ht="30">
      <c r="A18863" s="4" t="s">
        <v>10753</v>
      </c>
      <c r="B18863" s="4">
        <v>949925</v>
      </c>
      <c r="D18863" s="5" t="s">
        <v>22997</v>
      </c>
      <c r="E18863" s="6" t="str">
        <f>HYPERLINK("https://inpn.mnhn.fr/espece/cd_nom/949925","Psychoda alternata Say, 1824")</f>
        <v>Psychoda alternata Say, 1824</v>
      </c>
      <c r="AH18863" s="4" t="str">
        <f>HYPERLINK("#Statut_biogéographique!A"&amp;_xlfn.XMATCH("P",Statut_biogéographique!A:A,2,1),"P")</f>
        <v>P</v>
      </c>
      <c r="AP18863" s="4" t="s">
        <v>376</v>
      </c>
      <c r="AR18863" s="4" t="s">
        <v>377</v>
      </c>
    </row>
    <row r="18864" spans="1:44">
      <c r="A18864" s="4" t="s">
        <v>10753</v>
      </c>
      <c r="B18864" s="4">
        <v>9501</v>
      </c>
      <c r="D18864" s="5" t="s">
        <v>22998</v>
      </c>
      <c r="E18864" s="6" t="str">
        <f>HYPERLINK("https://inpn.mnhn.fr/espece/cd_nom/9501","Hydroporus planus (Fabricius, 1781)")</f>
        <v>Hydroporus planus (Fabricius, 1781)</v>
      </c>
      <c r="AH18864" s="4" t="str">
        <f>HYPERLINK("#Statut_biogéographique!A"&amp;_xlfn.XMATCH("P",Statut_biogéographique!A:A,2,1),"P")</f>
        <v>P</v>
      </c>
      <c r="AP18864" s="4" t="s">
        <v>376</v>
      </c>
      <c r="AR18864" s="4" t="s">
        <v>377</v>
      </c>
    </row>
    <row r="18865" spans="1:44">
      <c r="A18865" s="4" t="s">
        <v>10753</v>
      </c>
      <c r="B18865" s="4">
        <v>9502</v>
      </c>
      <c r="D18865" s="5" t="s">
        <v>22999</v>
      </c>
      <c r="E18865" s="6" t="str">
        <f>HYPERLINK("https://inpn.mnhn.fr/espece/cd_nom/9502","Hydroporus pubescens (Gyllenhal, 1808)")</f>
        <v>Hydroporus pubescens (Gyllenhal, 1808)</v>
      </c>
      <c r="AH18865" s="4" t="str">
        <f>HYPERLINK("#Statut_biogéographique!A"&amp;_xlfn.XMATCH("P",Statut_biogéographique!A:A,2,1),"P")</f>
        <v>P</v>
      </c>
      <c r="AP18865" s="4" t="s">
        <v>376</v>
      </c>
      <c r="AR18865" s="4" t="s">
        <v>377</v>
      </c>
    </row>
    <row r="18866" spans="1:44">
      <c r="A18866" s="4" t="s">
        <v>10753</v>
      </c>
      <c r="B18866" s="4">
        <v>9505</v>
      </c>
      <c r="D18866" s="5" t="s">
        <v>23000</v>
      </c>
      <c r="E18866" s="6" t="str">
        <f>HYPERLINK("https://inpn.mnhn.fr/espece/cd_nom/9505","Hydroporus tristis (Paykull, 1798)")</f>
        <v>Hydroporus tristis (Paykull, 1798)</v>
      </c>
      <c r="AH18866" s="4" t="str">
        <f>HYPERLINK("#Statut_biogéographique!A"&amp;_xlfn.XMATCH("P",Statut_biogéographique!A:A,2,1),"P")</f>
        <v>P</v>
      </c>
      <c r="AP18866" s="4" t="s">
        <v>376</v>
      </c>
      <c r="AR18866" s="4" t="s">
        <v>377</v>
      </c>
    </row>
    <row r="18867" spans="1:44">
      <c r="A18867" s="4" t="s">
        <v>10753</v>
      </c>
      <c r="B18867" s="4">
        <v>9506</v>
      </c>
      <c r="D18867" s="5" t="s">
        <v>23001</v>
      </c>
      <c r="E18867" s="6" t="str">
        <f>HYPERLINK("https://inpn.mnhn.fr/espece/cd_nom/9506","Hydroporus umbrosus (Gyllenhal, 1808)")</f>
        <v>Hydroporus umbrosus (Gyllenhal, 1808)</v>
      </c>
      <c r="AH18867" s="4" t="str">
        <f>HYPERLINK("#Statut_biogéographique!A"&amp;_xlfn.XMATCH("P",Statut_biogéographique!A:A,2,1),"P")</f>
        <v>P</v>
      </c>
      <c r="AP18867" s="4" t="s">
        <v>376</v>
      </c>
      <c r="AR18867" s="4" t="s">
        <v>377</v>
      </c>
    </row>
    <row r="18868" spans="1:44">
      <c r="A18868" s="4" t="s">
        <v>10753</v>
      </c>
      <c r="B18868" s="4">
        <v>9512</v>
      </c>
      <c r="D18868" s="5" t="s">
        <v>23002</v>
      </c>
      <c r="E18868" s="6" t="str">
        <f>HYPERLINK("https://inpn.mnhn.fr/espece/cd_nom/9512","Deronectes latus (Stephens, 1829)")</f>
        <v>Deronectes latus (Stephens, 1829)</v>
      </c>
      <c r="AH18868" s="4" t="str">
        <f>HYPERLINK("#Statut_biogéographique!A"&amp;_xlfn.XMATCH("P",Statut_biogéographique!A:A,2,1),"P")</f>
        <v>P</v>
      </c>
      <c r="AP18868" s="4" t="s">
        <v>376</v>
      </c>
      <c r="AR18868" s="4" t="s">
        <v>377</v>
      </c>
    </row>
    <row r="18869" spans="1:44">
      <c r="A18869" s="4" t="s">
        <v>10753</v>
      </c>
      <c r="B18869" s="4">
        <v>9515</v>
      </c>
      <c r="D18869" s="5" t="s">
        <v>23003</v>
      </c>
      <c r="E18869" s="6" t="str">
        <f>HYPERLINK("https://inpn.mnhn.fr/espece/cd_nom/9515","Noterus clavicornis (De Geer, 1774)")</f>
        <v>Noterus clavicornis (De Geer, 1774)</v>
      </c>
      <c r="AH18869" s="4" t="str">
        <f>HYPERLINK("#Statut_biogéographique!A"&amp;_xlfn.XMATCH("P",Statut_biogéographique!A:A,2,1),"P")</f>
        <v>P</v>
      </c>
      <c r="AP18869" s="4" t="s">
        <v>376</v>
      </c>
      <c r="AR18869" s="4" t="s">
        <v>377</v>
      </c>
    </row>
    <row r="18870" spans="1:44">
      <c r="A18870" s="4" t="s">
        <v>10753</v>
      </c>
      <c r="B18870" s="4">
        <v>9519</v>
      </c>
      <c r="D18870" s="5" t="s">
        <v>23004</v>
      </c>
      <c r="E18870" s="6" t="str">
        <f>HYPERLINK("https://inpn.mnhn.fr/espece/cd_nom/9519","Laccophilus hyalinus (De Geer, 1774)")</f>
        <v>Laccophilus hyalinus (De Geer, 1774)</v>
      </c>
      <c r="AH18870" s="4" t="str">
        <f>HYPERLINK("#Statut_biogéographique!A"&amp;_xlfn.XMATCH("P",Statut_biogéographique!A:A,2,1),"P")</f>
        <v>P</v>
      </c>
      <c r="AP18870" s="4" t="s">
        <v>376</v>
      </c>
      <c r="AR18870" s="4" t="s">
        <v>377</v>
      </c>
    </row>
    <row r="18871" spans="1:44">
      <c r="A18871" s="4" t="s">
        <v>10753</v>
      </c>
      <c r="B18871" s="4">
        <v>9520</v>
      </c>
      <c r="D18871" s="5" t="s">
        <v>23005</v>
      </c>
      <c r="E18871" s="6" t="str">
        <f>HYPERLINK("https://inpn.mnhn.fr/espece/cd_nom/9520","Laccophilus minutus (Linnaeus, 1758)")</f>
        <v>Laccophilus minutus (Linnaeus, 1758)</v>
      </c>
      <c r="AH18871" s="4" t="str">
        <f>HYPERLINK("#Statut_biogéographique!A"&amp;_xlfn.XMATCH("P",Statut_biogéographique!A:A,2,1),"P")</f>
        <v>P</v>
      </c>
      <c r="AP18871" s="4" t="s">
        <v>376</v>
      </c>
      <c r="AR18871" s="4" t="s">
        <v>377</v>
      </c>
    </row>
    <row r="18872" spans="1:44">
      <c r="A18872" s="4" t="s">
        <v>10753</v>
      </c>
      <c r="B18872" s="4">
        <v>9524</v>
      </c>
      <c r="D18872" s="5" t="s">
        <v>23006</v>
      </c>
      <c r="E18872" s="6" t="str">
        <f>HYPERLINK("https://inpn.mnhn.fr/espece/cd_nom/9524","Agabus bipustulatus (Linnaeus, 1767)")</f>
        <v>Agabus bipustulatus (Linnaeus, 1767)</v>
      </c>
      <c r="AH18872" s="4" t="str">
        <f>HYPERLINK("#Statut_biogéographique!A"&amp;_xlfn.XMATCH("P",Statut_biogéographique!A:A,2,1),"P")</f>
        <v>P</v>
      </c>
      <c r="AP18872" s="4" t="s">
        <v>376</v>
      </c>
      <c r="AR18872" s="4" t="s">
        <v>377</v>
      </c>
    </row>
    <row r="18873" spans="1:44">
      <c r="A18873" s="4" t="s">
        <v>10753</v>
      </c>
      <c r="B18873" s="4">
        <v>9526</v>
      </c>
      <c r="D18873" s="5" t="s">
        <v>23007</v>
      </c>
      <c r="E18873" s="6" t="str">
        <f>HYPERLINK("https://inpn.mnhn.fr/espece/cd_nom/9526","Agabus congener (Thunberg, 1794)")</f>
        <v>Agabus congener (Thunberg, 1794)</v>
      </c>
      <c r="AH18873" s="4" t="str">
        <f>HYPERLINK("#Statut_biogéographique!A"&amp;_xlfn.XMATCH("P",Statut_biogéographique!A:A,2,1),"P")</f>
        <v>P</v>
      </c>
      <c r="AP18873" s="4" t="s">
        <v>376</v>
      </c>
      <c r="AR18873" s="4" t="s">
        <v>377</v>
      </c>
    </row>
    <row r="18874" spans="1:44">
      <c r="A18874" s="4" t="s">
        <v>10753</v>
      </c>
      <c r="B18874" s="4">
        <v>9528</v>
      </c>
      <c r="D18874" s="5" t="s">
        <v>23008</v>
      </c>
      <c r="E18874" s="6" t="str">
        <f>HYPERLINK("https://inpn.mnhn.fr/espece/cd_nom/9528","Agabus didymus (Olivier, 1795)")</f>
        <v>Agabus didymus (Olivier, 1795)</v>
      </c>
      <c r="AH18874" s="4" t="str">
        <f>HYPERLINK("#Statut_biogéographique!A"&amp;_xlfn.XMATCH("P",Statut_biogéographique!A:A,2,1),"P")</f>
        <v>P</v>
      </c>
      <c r="AP18874" s="4" t="s">
        <v>376</v>
      </c>
      <c r="AR18874" s="4" t="s">
        <v>377</v>
      </c>
    </row>
    <row r="18875" spans="1:44">
      <c r="A18875" s="4" t="s">
        <v>10753</v>
      </c>
      <c r="B18875" s="4">
        <v>9529</v>
      </c>
      <c r="D18875" s="5" t="s">
        <v>23009</v>
      </c>
      <c r="E18875" s="6" t="str">
        <f>HYPERLINK("https://inpn.mnhn.fr/espece/cd_nom/9529","Agabus labiatus (Brahm, 1790)")</f>
        <v>Agabus labiatus (Brahm, 1790)</v>
      </c>
      <c r="AH18875" s="4" t="str">
        <f>HYPERLINK("#Statut_biogéographique!A"&amp;_xlfn.XMATCH("P",Statut_biogéographique!A:A,2,1),"P")</f>
        <v>P</v>
      </c>
      <c r="AP18875" s="4" t="s">
        <v>376</v>
      </c>
      <c r="AR18875" s="4" t="s">
        <v>377</v>
      </c>
    </row>
    <row r="18876" spans="1:44">
      <c r="A18876" s="4" t="s">
        <v>10753</v>
      </c>
      <c r="B18876" s="4">
        <v>9530</v>
      </c>
      <c r="D18876" s="5">
        <v>9530</v>
      </c>
      <c r="E18876" s="6" t="str">
        <f>HYPERLINK("https://inpn.mnhn.fr/espece/cd_nom/9530","Agabus melanarius Aubé, 1837")</f>
        <v>Agabus melanarius Aubé, 1837</v>
      </c>
      <c r="AH18876" s="4" t="str">
        <f>HYPERLINK("#Statut_biogéographique!A"&amp;_xlfn.XMATCH("P",Statut_biogéographique!A:A,2,1),"P")</f>
        <v>P</v>
      </c>
      <c r="AP18876" s="4" t="s">
        <v>376</v>
      </c>
      <c r="AR18876" s="4" t="s">
        <v>377</v>
      </c>
    </row>
    <row r="18877" spans="1:44" ht="30">
      <c r="A18877" s="4" t="s">
        <v>10753</v>
      </c>
      <c r="B18877" s="4">
        <v>953002</v>
      </c>
      <c r="D18877" s="5" t="s">
        <v>23010</v>
      </c>
      <c r="E18877" s="6" t="str">
        <f>HYPERLINK("https://inpn.mnhn.fr/espece/cd_nom/953002","Euconulus fulvus fulvus (O.F. Müller, 1774)")</f>
        <v>Euconulus fulvus fulvus (O.F. Müller, 1774)</v>
      </c>
      <c r="F18877" s="5" t="s">
        <v>23011</v>
      </c>
      <c r="O18877" s="7" t="str">
        <f>HYPERLINK("#Liste_rouge!A"&amp;_xlfn.XMATCH("DD",Liste_rouge!A:A,2,1),"DD (cd_nom 163111) - LC (cd_nom 163109)")</f>
        <v>DD (cd_nom 163111) - LC (cd_nom 163109)</v>
      </c>
      <c r="P18877" s="7" t="str">
        <f>HYPERLINK("#Liste_rouge!A"&amp;_xlfn.XMATCH("DD",Liste_rouge!A:A,2,1),"DD (cd_nom 163111) - LC (cd_nom 163109)")</f>
        <v>DD (cd_nom 163111) - LC (cd_nom 163109)</v>
      </c>
      <c r="AH18877" s="4" t="str">
        <f>HYPERLINK("#Statut_biogéographique!A"&amp;_xlfn.XMATCH("P",Statut_biogéographique!A:A,2,1),"P")</f>
        <v>P</v>
      </c>
      <c r="AP18877" s="4" t="s">
        <v>376</v>
      </c>
      <c r="AR18877" s="4" t="s">
        <v>377</v>
      </c>
    </row>
    <row r="18878" spans="1:44">
      <c r="A18878" s="4" t="s">
        <v>10753</v>
      </c>
      <c r="B18878" s="4">
        <v>9532</v>
      </c>
      <c r="D18878" s="5" t="s">
        <v>23012</v>
      </c>
      <c r="E18878" s="6" t="str">
        <f>HYPERLINK("https://inpn.mnhn.fr/espece/cd_nom/9532","Agabus nebulosus (Forster, 1771)")</f>
        <v>Agabus nebulosus (Forster, 1771)</v>
      </c>
      <c r="AH18878" s="4" t="str">
        <f>HYPERLINK("#Statut_biogéographique!A"&amp;_xlfn.XMATCH("P",Statut_biogéographique!A:A,2,1),"P")</f>
        <v>P</v>
      </c>
      <c r="AP18878" s="4" t="s">
        <v>376</v>
      </c>
      <c r="AR18878" s="4" t="s">
        <v>377</v>
      </c>
    </row>
    <row r="18879" spans="1:44">
      <c r="A18879" s="4" t="s">
        <v>10753</v>
      </c>
      <c r="B18879" s="4">
        <v>9536</v>
      </c>
      <c r="D18879" s="5" t="s">
        <v>23013</v>
      </c>
      <c r="E18879" s="6" t="str">
        <f>HYPERLINK("https://inpn.mnhn.fr/espece/cd_nom/9536","Agabus striolatus (Gyllenhal, 1808)")</f>
        <v>Agabus striolatus (Gyllenhal, 1808)</v>
      </c>
      <c r="AH18879" s="4" t="str">
        <f>HYPERLINK("#Statut_biogéographique!A"&amp;_xlfn.XMATCH("P",Statut_biogéographique!A:A,2,1),"P")</f>
        <v>P</v>
      </c>
      <c r="AP18879" s="4" t="s">
        <v>376</v>
      </c>
      <c r="AR18879" s="4" t="s">
        <v>377</v>
      </c>
    </row>
    <row r="18880" spans="1:44">
      <c r="A18880" s="4" t="s">
        <v>10753</v>
      </c>
      <c r="B18880" s="4">
        <v>9538</v>
      </c>
      <c r="D18880" s="5" t="s">
        <v>23014</v>
      </c>
      <c r="E18880" s="6" t="str">
        <f>HYPERLINK("https://inpn.mnhn.fr/espece/cd_nom/9538","Agabus undulatus (Schrank, 1776)")</f>
        <v>Agabus undulatus (Schrank, 1776)</v>
      </c>
      <c r="AH18880" s="4" t="str">
        <f>HYPERLINK("#Statut_biogéographique!A"&amp;_xlfn.XMATCH("P",Statut_biogéographique!A:A,2,1),"P")</f>
        <v>P</v>
      </c>
      <c r="AP18880" s="4" t="s">
        <v>376</v>
      </c>
      <c r="AR18880" s="4" t="s">
        <v>377</v>
      </c>
    </row>
    <row r="18881" spans="1:44">
      <c r="A18881" s="4" t="s">
        <v>10753</v>
      </c>
      <c r="B18881" s="4">
        <v>9540</v>
      </c>
      <c r="D18881" s="5" t="s">
        <v>23015</v>
      </c>
      <c r="E18881" s="6" t="str">
        <f>HYPERLINK("https://inpn.mnhn.fr/espece/cd_nom/9540","Platambus maculatus (Linnaeus, 1758)")</f>
        <v>Platambus maculatus (Linnaeus, 1758)</v>
      </c>
      <c r="AH18881" s="4" t="str">
        <f>HYPERLINK("#Statut_biogéographique!A"&amp;_xlfn.XMATCH("P",Statut_biogéographique!A:A,2,1),"P")</f>
        <v>P</v>
      </c>
      <c r="AP18881" s="4" t="s">
        <v>376</v>
      </c>
      <c r="AR18881" s="4" t="s">
        <v>377</v>
      </c>
    </row>
    <row r="18882" spans="1:44" ht="30">
      <c r="A18882" s="4" t="s">
        <v>10753</v>
      </c>
      <c r="B18882" s="4">
        <v>954090</v>
      </c>
      <c r="D18882" s="5" t="s">
        <v>23016</v>
      </c>
      <c r="E18882" s="6" t="str">
        <f>HYPERLINK("https://inpn.mnhn.fr/espece/cd_nom/954090","Holopyga generosa (Förster, 1853)")</f>
        <v>Holopyga generosa (Förster, 1853)</v>
      </c>
      <c r="AH18882" s="4" t="str">
        <f>HYPERLINK("#Statut_biogéographique!A"&amp;_xlfn.XMATCH("P",Statut_biogéographique!A:A,2,1),"P")</f>
        <v>P</v>
      </c>
      <c r="AP18882" s="4" t="s">
        <v>376</v>
      </c>
      <c r="AR18882" s="4" t="s">
        <v>377</v>
      </c>
    </row>
    <row r="18883" spans="1:44">
      <c r="A18883" s="4" t="s">
        <v>10753</v>
      </c>
      <c r="B18883" s="4">
        <v>9542</v>
      </c>
      <c r="D18883" s="5">
        <v>9542</v>
      </c>
      <c r="E18883" s="6" t="str">
        <f>HYPERLINK("https://inpn.mnhn.fr/espece/cd_nom/9542","Ilybius aenescens C.G. Thomson, 1870")</f>
        <v>Ilybius aenescens C.G. Thomson, 1870</v>
      </c>
      <c r="AH18883" s="4" t="str">
        <f>HYPERLINK("#Statut_biogéographique!A"&amp;_xlfn.XMATCH("P",Statut_biogéographique!A:A,2,1),"P")</f>
        <v>P</v>
      </c>
      <c r="AP18883" s="4" t="s">
        <v>376</v>
      </c>
      <c r="AR18883" s="4" t="s">
        <v>377</v>
      </c>
    </row>
    <row r="18884" spans="1:44">
      <c r="A18884" s="4" t="s">
        <v>10753</v>
      </c>
      <c r="B18884" s="4">
        <v>9543</v>
      </c>
      <c r="D18884" s="5" t="s">
        <v>23017</v>
      </c>
      <c r="E18884" s="6" t="str">
        <f>HYPERLINK("https://inpn.mnhn.fr/espece/cd_nom/9543","Ilybius ater (De Geer, 1774)")</f>
        <v>Ilybius ater (De Geer, 1774)</v>
      </c>
      <c r="AH18884" s="4" t="str">
        <f>HYPERLINK("#Statut_biogéographique!A"&amp;_xlfn.XMATCH("P",Statut_biogéographique!A:A,2,1),"P")</f>
        <v>P</v>
      </c>
      <c r="AP18884" s="4" t="s">
        <v>376</v>
      </c>
      <c r="AR18884" s="4" t="s">
        <v>377</v>
      </c>
    </row>
    <row r="18885" spans="1:44">
      <c r="A18885" s="4" t="s">
        <v>10753</v>
      </c>
      <c r="B18885" s="4">
        <v>9544</v>
      </c>
      <c r="D18885" s="5" t="s">
        <v>23018</v>
      </c>
      <c r="E18885" s="6" t="str">
        <f>HYPERLINK("https://inpn.mnhn.fr/espece/cd_nom/9544","Ilybius fenestratus (Fabricius, 1781)")</f>
        <v>Ilybius fenestratus (Fabricius, 1781)</v>
      </c>
      <c r="AH18885" s="4" t="str">
        <f>HYPERLINK("#Statut_biogéographique!A"&amp;_xlfn.XMATCH("P",Statut_biogéographique!A:A,2,1),"P")</f>
        <v>P</v>
      </c>
      <c r="AP18885" s="4" t="s">
        <v>376</v>
      </c>
      <c r="AR18885" s="4" t="s">
        <v>377</v>
      </c>
    </row>
    <row r="18886" spans="1:44">
      <c r="A18886" s="4" t="s">
        <v>10753</v>
      </c>
      <c r="B18886" s="4">
        <v>9545</v>
      </c>
      <c r="D18886" s="5" t="s">
        <v>23019</v>
      </c>
      <c r="E18886" s="6" t="str">
        <f>HYPERLINK("https://inpn.mnhn.fr/espece/cd_nom/9545","Ilybius fuliginosus (Fabricius, 1792)")</f>
        <v>Ilybius fuliginosus (Fabricius, 1792)</v>
      </c>
      <c r="AH18886" s="4" t="str">
        <f>HYPERLINK("#Statut_biogéographique!A"&amp;_xlfn.XMATCH("P",Statut_biogéographique!A:A,2,1),"P")</f>
        <v>P</v>
      </c>
      <c r="AP18886" s="4" t="s">
        <v>376</v>
      </c>
      <c r="AR18886" s="4" t="s">
        <v>377</v>
      </c>
    </row>
    <row r="18887" spans="1:44">
      <c r="A18887" s="4" t="s">
        <v>10753</v>
      </c>
      <c r="B18887" s="4">
        <v>9546</v>
      </c>
      <c r="D18887" s="5" t="s">
        <v>23020</v>
      </c>
      <c r="E18887" s="6" t="str">
        <f>HYPERLINK("https://inpn.mnhn.fr/espece/cd_nom/9546","Ilybius quadriguttatus (Lacordaire, 1835)")</f>
        <v>Ilybius quadriguttatus (Lacordaire, 1835)</v>
      </c>
      <c r="AH18887" s="4" t="str">
        <f>HYPERLINK("#Statut_biogéographique!A"&amp;_xlfn.XMATCH("P",Statut_biogéographique!A:A,2,1),"P")</f>
        <v>P</v>
      </c>
      <c r="AP18887" s="4" t="s">
        <v>376</v>
      </c>
      <c r="AR18887" s="4" t="s">
        <v>377</v>
      </c>
    </row>
    <row r="18888" spans="1:44">
      <c r="A18888" s="4" t="s">
        <v>10753</v>
      </c>
      <c r="B18888" s="4">
        <v>9548</v>
      </c>
      <c r="D18888" s="5" t="s">
        <v>23021</v>
      </c>
      <c r="E18888" s="6" t="str">
        <f>HYPERLINK("https://inpn.mnhn.fr/espece/cd_nom/9548","Ilybius guttiger (Gyllenhal, 1808)")</f>
        <v>Ilybius guttiger (Gyllenhal, 1808)</v>
      </c>
      <c r="AH18888" s="4" t="str">
        <f>HYPERLINK("#Statut_biogéographique!A"&amp;_xlfn.XMATCH("P",Statut_biogéographique!A:A,2,1),"P")</f>
        <v>P</v>
      </c>
      <c r="AP18888" s="4" t="s">
        <v>376</v>
      </c>
      <c r="AR18888" s="4" t="s">
        <v>377</v>
      </c>
    </row>
    <row r="18889" spans="1:44" ht="30">
      <c r="A18889" s="4" t="s">
        <v>10753</v>
      </c>
      <c r="B18889" s="4">
        <v>9558</v>
      </c>
      <c r="D18889" s="5" t="s">
        <v>23022</v>
      </c>
      <c r="E18889" s="6" t="str">
        <f>HYPERLINK("https://inpn.mnhn.fr/espece/cd_nom/9558","Rhantus suturalis (W.S. MacLeay, 1825)")</f>
        <v>Rhantus suturalis (W.S. MacLeay, 1825)</v>
      </c>
      <c r="AH18889" s="4" t="str">
        <f>HYPERLINK("#Statut_biogéographique!A"&amp;_xlfn.XMATCH("P",Statut_biogéographique!A:A,2,1),"P")</f>
        <v>P</v>
      </c>
      <c r="AP18889" s="4" t="s">
        <v>376</v>
      </c>
      <c r="AR18889" s="4" t="s">
        <v>377</v>
      </c>
    </row>
    <row r="18890" spans="1:44">
      <c r="A18890" s="4" t="s">
        <v>10753</v>
      </c>
      <c r="B18890" s="4">
        <v>9560</v>
      </c>
      <c r="D18890" s="5" t="s">
        <v>23023</v>
      </c>
      <c r="E18890" s="6" t="str">
        <f>HYPERLINK("https://inpn.mnhn.fr/espece/cd_nom/9560","Hydaticus seminiger (De Geer, 1774)")</f>
        <v>Hydaticus seminiger (De Geer, 1774)</v>
      </c>
      <c r="AH18890" s="4" t="str">
        <f>HYPERLINK("#Statut_biogéographique!A"&amp;_xlfn.XMATCH("P",Statut_biogéographique!A:A,2,1),"P")</f>
        <v>P</v>
      </c>
      <c r="AP18890" s="4" t="s">
        <v>376</v>
      </c>
      <c r="AR18890" s="4" t="s">
        <v>377</v>
      </c>
    </row>
    <row r="18891" spans="1:44">
      <c r="A18891" s="4" t="s">
        <v>10753</v>
      </c>
      <c r="B18891" s="4">
        <v>9562</v>
      </c>
      <c r="D18891" s="5" t="s">
        <v>23024</v>
      </c>
      <c r="E18891" s="6" t="str">
        <f>HYPERLINK("https://inpn.mnhn.fr/espece/cd_nom/9562","Graphoderus bilineatus (de Geer, 1774)")</f>
        <v>Graphoderus bilineatus (de Geer, 1774)</v>
      </c>
      <c r="F18891" s="5" t="s">
        <v>23025</v>
      </c>
      <c r="I18891" s="4" t="str">
        <f>HYPERLINK("#Réglementation!A"&amp;_xlfn.XMATCH("IBE2",Réglementation!A:A,2,1),"IBE2")</f>
        <v>IBE2</v>
      </c>
      <c r="K18891" s="4" t="str">
        <f>HYPERLINK("#Réglementation!A"&amp;_xlfn.XMATCH("CDH2",Réglementation!A:A,2,1),"CDH2 - CDH4")</f>
        <v>CDH2 - CDH4</v>
      </c>
      <c r="L18891" s="4" t="str">
        <f>HYPERLINK("#Réglementation!A"&amp;_xlfn.XMATCH("NI2",Réglementation!A:A,2,1),"NI2")</f>
        <v>NI2</v>
      </c>
      <c r="O18891" s="7" t="str">
        <f>HYPERLINK("#Liste_rouge!A"&amp;_xlfn.XMATCH("VU",Liste_rouge!A:A,2,1),"VU")</f>
        <v>VU</v>
      </c>
      <c r="AE18891" s="4" t="str">
        <f>HYPERLINK("#SCAP!A"&amp;_xlfn.XMATCH("1+",SCAP!A:A,2,1),"1+")</f>
        <v>1+</v>
      </c>
      <c r="AH18891" s="4" t="str">
        <f>HYPERLINK("#Statut_biogéographique!A"&amp;_xlfn.XMATCH("P",Statut_biogéographique!A:A,2,1),"P")</f>
        <v>P</v>
      </c>
      <c r="AP18891" s="4" t="s">
        <v>376</v>
      </c>
      <c r="AR18891" s="4" t="s">
        <v>377</v>
      </c>
    </row>
    <row r="18892" spans="1:44">
      <c r="A18892" s="4" t="s">
        <v>10753</v>
      </c>
      <c r="B18892" s="4">
        <v>9563</v>
      </c>
      <c r="D18892" s="5" t="s">
        <v>23026</v>
      </c>
      <c r="E18892" s="6" t="str">
        <f>HYPERLINK("https://inpn.mnhn.fr/espece/cd_nom/9563","Graphoderus cinereus (Linnaeus, 1758)")</f>
        <v>Graphoderus cinereus (Linnaeus, 1758)</v>
      </c>
      <c r="AH18892" s="4" t="str">
        <f>HYPERLINK("#Statut_biogéographique!A"&amp;_xlfn.XMATCH("P",Statut_biogéographique!A:A,2,1),"P")</f>
        <v>P</v>
      </c>
      <c r="AP18892" s="4" t="s">
        <v>376</v>
      </c>
      <c r="AR18892" s="4" t="s">
        <v>377</v>
      </c>
    </row>
    <row r="18893" spans="1:44">
      <c r="A18893" s="4" t="s">
        <v>10753</v>
      </c>
      <c r="B18893" s="4">
        <v>956572</v>
      </c>
      <c r="D18893" s="5" t="s">
        <v>23027</v>
      </c>
      <c r="E18893" s="6" t="str">
        <f>HYPERLINK("https://inpn.mnhn.fr/espece/cd_nom/956572","Eidophelus caucasicus (Lindemann, 1876)")</f>
        <v>Eidophelus caucasicus (Lindemann, 1876)</v>
      </c>
      <c r="AH18893" s="4" t="str">
        <f>HYPERLINK("#Statut_biogéographique!A"&amp;_xlfn.XMATCH("P",Statut_biogéographique!A:A,2,1),"P")</f>
        <v>P</v>
      </c>
      <c r="AP18893" s="4" t="s">
        <v>376</v>
      </c>
      <c r="AR18893" s="4" t="s">
        <v>377</v>
      </c>
    </row>
    <row r="18894" spans="1:44">
      <c r="A18894" s="4" t="s">
        <v>10753</v>
      </c>
      <c r="B18894" s="4">
        <v>956573</v>
      </c>
      <c r="D18894" s="5" t="s">
        <v>23028</v>
      </c>
      <c r="E18894" s="6" t="str">
        <f>HYPERLINK("https://inpn.mnhn.fr/espece/cd_nom/956573","Eidophelus fagi (Fabricius, 1798)")</f>
        <v>Eidophelus fagi (Fabricius, 1798)</v>
      </c>
      <c r="AH18894" s="4" t="str">
        <f>HYPERLINK("#Statut_biogéographique!A"&amp;_xlfn.XMATCH("P",Statut_biogéographique!A:A,2,1),"P")</f>
        <v>P</v>
      </c>
      <c r="AP18894" s="4" t="s">
        <v>376</v>
      </c>
      <c r="AR18894" s="4" t="s">
        <v>377</v>
      </c>
    </row>
    <row r="18895" spans="1:44">
      <c r="A18895" s="4" t="s">
        <v>10753</v>
      </c>
      <c r="B18895" s="4">
        <v>9567</v>
      </c>
      <c r="D18895" s="5">
        <v>9567</v>
      </c>
      <c r="E18895" s="6" t="str">
        <f>HYPERLINK("https://inpn.mnhn.fr/espece/cd_nom/9567","Dytiscus circumflexus Fabricius, 1801")</f>
        <v>Dytiscus circumflexus Fabricius, 1801</v>
      </c>
      <c r="F18895" s="5" t="s">
        <v>23029</v>
      </c>
      <c r="AH18895" s="4" t="str">
        <f>HYPERLINK("#Statut_biogéographique!A"&amp;_xlfn.XMATCH("P",Statut_biogéographique!A:A,2,1),"P")</f>
        <v>P</v>
      </c>
      <c r="AP18895" s="4" t="s">
        <v>376</v>
      </c>
      <c r="AR18895" s="4" t="s">
        <v>377</v>
      </c>
    </row>
    <row r="18896" spans="1:44">
      <c r="A18896" s="4" t="s">
        <v>10753</v>
      </c>
      <c r="B18896" s="4">
        <v>9568</v>
      </c>
      <c r="D18896" s="5" t="s">
        <v>23030</v>
      </c>
      <c r="E18896" s="6" t="str">
        <f>HYPERLINK("https://inpn.mnhn.fr/espece/cd_nom/9568","Dytiscus dimidiatus Bergsträsser, 1778")</f>
        <v>Dytiscus dimidiatus Bergsträsser, 1778</v>
      </c>
      <c r="AH18896" s="4" t="str">
        <f>HYPERLINK("#Statut_biogéographique!A"&amp;_xlfn.XMATCH("P",Statut_biogéographique!A:A,2,1),"P")</f>
        <v>P</v>
      </c>
      <c r="AP18896" s="4" t="s">
        <v>376</v>
      </c>
      <c r="AR18896" s="4" t="s">
        <v>377</v>
      </c>
    </row>
    <row r="18897" spans="1:44" ht="60">
      <c r="A18897" s="4" t="s">
        <v>10753</v>
      </c>
      <c r="B18897" s="4">
        <v>956888</v>
      </c>
      <c r="D18897" s="5" t="s">
        <v>23031</v>
      </c>
      <c r="E18897" s="6" t="str">
        <f>HYPERLINK("https://inpn.mnhn.fr/espece/cd_nom/956888","Muschampia floccifera (Zeller, 1847)")</f>
        <v>Muschampia floccifera (Zeller, 1847)</v>
      </c>
      <c r="F18897" s="5" t="s">
        <v>23032</v>
      </c>
      <c r="P18897" s="7" t="str">
        <f>HYPERLINK("#Liste_rouge!A"&amp;_xlfn.XMATCH("NT",Liste_rouge!A:A,2,1),"NT")</f>
        <v>NT</v>
      </c>
      <c r="Q18897" s="7" t="str">
        <f>HYPERLINK("#Liste_rouge!A"&amp;_xlfn.XMATCH("LC",Liste_rouge!A:A,2,1),"LC")</f>
        <v>LC</v>
      </c>
      <c r="T18897" s="7" t="str">
        <f>HYPERLINK("#Liste_rouge!A"&amp;_xlfn.XMATCH("CR",Liste_rouge!A:A,2,1),"CR")</f>
        <v>CR</v>
      </c>
      <c r="U18897" s="4" t="str">
        <f>HYPERLINK("#Critères_liste_rouge!A$1","B(1+2)ab(i,ii,iii)")</f>
        <v>B(1+2)ab(i,ii,iii)</v>
      </c>
      <c r="V18897" s="7" t="str">
        <f>HYPERLINK("#Liste_rouge!A"&amp;_xlfn.XMATCH("EN",Liste_rouge!A:A,2,1),"EN")</f>
        <v>EN</v>
      </c>
      <c r="W18897" s="4" t="str">
        <f>HYPERLINK("#Critères_liste_rouge!A$1","B2ab(iii,iv)")</f>
        <v>B2ab(iii,iv)</v>
      </c>
      <c r="X18897" s="5" t="s">
        <v>374</v>
      </c>
      <c r="AH18897" s="4" t="str">
        <f>HYPERLINK("#Statut_biogéographique!A"&amp;_xlfn.XMATCH("P",Statut_biogéographique!A:A,2,1),"P")</f>
        <v>P</v>
      </c>
      <c r="AM18897" s="4" t="s">
        <v>375</v>
      </c>
      <c r="AN18897" s="4" t="s">
        <v>375</v>
      </c>
      <c r="AO18897" s="4" t="s">
        <v>375</v>
      </c>
      <c r="AP18897" s="4" t="s">
        <v>376</v>
      </c>
      <c r="AR18897" s="4" t="s">
        <v>377</v>
      </c>
    </row>
    <row r="18898" spans="1:44" ht="45">
      <c r="A18898" s="4" t="s">
        <v>10753</v>
      </c>
      <c r="B18898" s="4">
        <v>956889</v>
      </c>
      <c r="D18898" s="5" t="s">
        <v>23033</v>
      </c>
      <c r="E18898" s="6" t="str">
        <f>HYPERLINK("https://inpn.mnhn.fr/espece/cd_nom/956889","Muschampia lavatherae (Esper, 1783)")</f>
        <v>Muschampia lavatherae (Esper, 1783)</v>
      </c>
      <c r="F18898" s="5" t="s">
        <v>23034</v>
      </c>
      <c r="P18898" s="7" t="str">
        <f>HYPERLINK("#Liste_rouge!A"&amp;_xlfn.XMATCH("NT",Liste_rouge!A:A,2,1),"NT")</f>
        <v>NT</v>
      </c>
      <c r="Q18898" s="7" t="str">
        <f>HYPERLINK("#Liste_rouge!A"&amp;_xlfn.XMATCH("NT",Liste_rouge!A:A,2,1),"NT")</f>
        <v>NT</v>
      </c>
      <c r="T18898" s="7" t="str">
        <f>HYPERLINK("#Liste_rouge!A"&amp;_xlfn.XMATCH("RE",Liste_rouge!A:A,2,1),"RE")</f>
        <v>RE</v>
      </c>
      <c r="AH18898" s="4" t="str">
        <f>HYPERLINK("#Statut_biogéographique!A"&amp;_xlfn.XMATCH("P",Statut_biogéographique!A:A,2,1),"P")</f>
        <v>P</v>
      </c>
      <c r="AM18898" s="4" t="s">
        <v>375</v>
      </c>
      <c r="AN18898" s="4" t="s">
        <v>375</v>
      </c>
      <c r="AO18898" s="4" t="s">
        <v>375</v>
      </c>
      <c r="AP18898" s="4" t="s">
        <v>376</v>
      </c>
      <c r="AR18898" s="4" t="s">
        <v>377</v>
      </c>
    </row>
    <row r="18899" spans="1:44">
      <c r="A18899" s="4" t="s">
        <v>10753</v>
      </c>
      <c r="B18899" s="4">
        <v>9569</v>
      </c>
      <c r="D18899" s="5">
        <v>9569</v>
      </c>
      <c r="E18899" s="6" t="str">
        <f>HYPERLINK("https://inpn.mnhn.fr/espece/cd_nom/9569","Dytiscus latissimus Linnaeus, 1758")</f>
        <v>Dytiscus latissimus Linnaeus, 1758</v>
      </c>
      <c r="F18899" s="5" t="s">
        <v>23035</v>
      </c>
      <c r="I18899" s="4" t="str">
        <f>HYPERLINK("#Réglementation!A"&amp;_xlfn.XMATCH("IBE2",Réglementation!A:A,2,1),"IBE2")</f>
        <v>IBE2</v>
      </c>
      <c r="K18899" s="4" t="str">
        <f>HYPERLINK("#Réglementation!A"&amp;_xlfn.XMATCH("CDH2",Réglementation!A:A,2,1),"CDH2 - CDH4")</f>
        <v>CDH2 - CDH4</v>
      </c>
      <c r="L18899" s="4" t="str">
        <f>HYPERLINK("#Réglementation!A"&amp;_xlfn.XMATCH("NI2",Réglementation!A:A,2,1),"NI2")</f>
        <v>NI2</v>
      </c>
      <c r="AH18899" s="4" t="str">
        <f>HYPERLINK("#Statut_biogéographique!A"&amp;_xlfn.XMATCH("D",Statut_biogéographique!A:A,2,1),"D")</f>
        <v>D</v>
      </c>
      <c r="AP18899" s="4" t="s">
        <v>376</v>
      </c>
      <c r="AR18899" s="4" t="s">
        <v>377</v>
      </c>
    </row>
    <row r="18900" spans="1:44">
      <c r="A18900" s="4" t="s">
        <v>10753</v>
      </c>
      <c r="B18900" s="4">
        <v>9570</v>
      </c>
      <c r="D18900" s="5">
        <v>9570</v>
      </c>
      <c r="E18900" s="6" t="str">
        <f>HYPERLINK("https://inpn.mnhn.fr/espece/cd_nom/9570","Dytiscus marginalis Linnaeus, 1758")</f>
        <v>Dytiscus marginalis Linnaeus, 1758</v>
      </c>
      <c r="F18900" s="5" t="s">
        <v>23036</v>
      </c>
      <c r="AH18900" s="4" t="str">
        <f>HYPERLINK("#Statut_biogéographique!A"&amp;_xlfn.XMATCH("P",Statut_biogéographique!A:A,2,1),"P")</f>
        <v>P</v>
      </c>
      <c r="AP18900" s="4" t="s">
        <v>376</v>
      </c>
      <c r="AR18900" s="4" t="s">
        <v>377</v>
      </c>
    </row>
    <row r="18901" spans="1:44">
      <c r="A18901" s="4" t="s">
        <v>10753</v>
      </c>
      <c r="B18901" s="4">
        <v>9572</v>
      </c>
      <c r="D18901" s="5" t="s">
        <v>23037</v>
      </c>
      <c r="E18901" s="6" t="str">
        <f>HYPERLINK("https://inpn.mnhn.fr/espece/cd_nom/9572","Dytiscus semisulcatus O.F. Müller, 1776")</f>
        <v>Dytiscus semisulcatus O.F. Müller, 1776</v>
      </c>
      <c r="AH18901" s="4" t="str">
        <f>HYPERLINK("#Statut_biogéographique!A"&amp;_xlfn.XMATCH("P",Statut_biogéographique!A:A,2,1),"P")</f>
        <v>P</v>
      </c>
      <c r="AP18901" s="4" t="s">
        <v>376</v>
      </c>
      <c r="AR18901" s="4" t="s">
        <v>377</v>
      </c>
    </row>
    <row r="18902" spans="1:44">
      <c r="A18902" s="4" t="s">
        <v>10753</v>
      </c>
      <c r="B18902" s="4">
        <v>9581</v>
      </c>
      <c r="D18902" s="5">
        <v>9581</v>
      </c>
      <c r="E18902" s="6" t="str">
        <f>HYPERLINK("https://inpn.mnhn.fr/espece/cd_nom/9581","Gyrinus substriatus Stephens, 1828")</f>
        <v>Gyrinus substriatus Stephens, 1828</v>
      </c>
      <c r="AH18902" s="4" t="str">
        <f>HYPERLINK("#Statut_biogéographique!A"&amp;_xlfn.XMATCH("P",Statut_biogéographique!A:A,2,1),"P")</f>
        <v>P</v>
      </c>
      <c r="AP18902" s="4" t="s">
        <v>376</v>
      </c>
      <c r="AR18902" s="4" t="s">
        <v>377</v>
      </c>
    </row>
    <row r="18903" spans="1:44">
      <c r="A18903" s="4" t="s">
        <v>10753</v>
      </c>
      <c r="B18903" s="4">
        <v>9583</v>
      </c>
      <c r="D18903" s="5" t="s">
        <v>23038</v>
      </c>
      <c r="E18903" s="6" t="str">
        <f>HYPERLINK("https://inpn.mnhn.fr/espece/cd_nom/9583","Orectochilus villosus (O.F. Müller, 1776)")</f>
        <v>Orectochilus villosus (O.F. Müller, 1776)</v>
      </c>
      <c r="AH18903" s="4" t="str">
        <f>HYPERLINK("#Statut_biogéographique!A"&amp;_xlfn.XMATCH("P",Statut_biogéographique!A:A,2,1),"P")</f>
        <v>P</v>
      </c>
      <c r="AP18903" s="4" t="s">
        <v>376</v>
      </c>
      <c r="AR18903" s="4" t="s">
        <v>377</v>
      </c>
    </row>
    <row r="18904" spans="1:44">
      <c r="A18904" s="4" t="s">
        <v>10753</v>
      </c>
      <c r="B18904" s="4">
        <v>958631</v>
      </c>
      <c r="D18904" s="5" t="s">
        <v>23039</v>
      </c>
      <c r="E18904" s="6" t="str">
        <f>HYPERLINK("https://inpn.mnhn.fr/espece/cd_nom/958631","Planuncus vinzi (Maurel, 2012)")</f>
        <v>Planuncus vinzi (Maurel, 2012)</v>
      </c>
      <c r="AH18904" s="4" t="str">
        <f>HYPERLINK("#Statut_biogéographique!A"&amp;_xlfn.XMATCH("P",Statut_biogéographique!A:A,2,1),"P")</f>
        <v>P</v>
      </c>
      <c r="AP18904" s="4" t="s">
        <v>376</v>
      </c>
      <c r="AR18904" s="4" t="s">
        <v>377</v>
      </c>
    </row>
    <row r="18905" spans="1:44">
      <c r="A18905" s="4" t="s">
        <v>10753</v>
      </c>
      <c r="B18905" s="4">
        <v>9590</v>
      </c>
      <c r="D18905" s="5">
        <v>9590</v>
      </c>
      <c r="E18905" s="6" t="str">
        <f>HYPERLINK("https://inpn.mnhn.fr/espece/cd_nom/9590","Ocalea badia Erichson, 1837")</f>
        <v>Ocalea badia Erichson, 1837</v>
      </c>
      <c r="AH18905" s="4" t="str">
        <f>HYPERLINK("#Statut_biogéographique!A"&amp;_xlfn.XMATCH("P",Statut_biogéographique!A:A,2,1),"P")</f>
        <v>P</v>
      </c>
      <c r="AP18905" s="4" t="s">
        <v>376</v>
      </c>
      <c r="AR18905" s="4" t="s">
        <v>377</v>
      </c>
    </row>
    <row r="18906" spans="1:44">
      <c r="A18906" s="4" t="s">
        <v>10753</v>
      </c>
      <c r="B18906" s="4">
        <v>9591</v>
      </c>
      <c r="D18906" s="5" t="s">
        <v>23040</v>
      </c>
      <c r="E18906" s="6" t="str">
        <f>HYPERLINK("https://inpn.mnhn.fr/espece/cd_nom/9591","Ocalea picata (Stephens, 1832)")</f>
        <v>Ocalea picata (Stephens, 1832)</v>
      </c>
      <c r="AH18906" s="4" t="str">
        <f>HYPERLINK("#Statut_biogéographique!A"&amp;_xlfn.XMATCH("P",Statut_biogéographique!A:A,2,1),"P")</f>
        <v>P</v>
      </c>
      <c r="AP18906" s="4" t="s">
        <v>376</v>
      </c>
      <c r="AR18906" s="4" t="s">
        <v>377</v>
      </c>
    </row>
    <row r="18907" spans="1:44">
      <c r="A18907" s="4" t="s">
        <v>10753</v>
      </c>
      <c r="B18907" s="4">
        <v>959368</v>
      </c>
      <c r="D18907" s="5" t="s">
        <v>23041</v>
      </c>
      <c r="E18907" s="6" t="str">
        <f>HYPERLINK("https://inpn.mnhn.fr/espece/cd_nom/959368","Pachycerina seticornis (Fallén, 1820)")</f>
        <v>Pachycerina seticornis (Fallén, 1820)</v>
      </c>
      <c r="AH18907" s="4" t="str">
        <f>HYPERLINK("#Statut_biogéographique!A"&amp;_xlfn.XMATCH("P",Statut_biogéographique!A:A,2,1),"P")</f>
        <v>P</v>
      </c>
      <c r="AP18907" s="4" t="s">
        <v>376</v>
      </c>
      <c r="AR18907" s="4" t="s">
        <v>377</v>
      </c>
    </row>
    <row r="18908" spans="1:44">
      <c r="A18908" s="4" t="s">
        <v>10753</v>
      </c>
      <c r="B18908" s="4">
        <v>9599</v>
      </c>
      <c r="D18908" s="5" t="s">
        <v>23042</v>
      </c>
      <c r="E18908" s="6" t="str">
        <f>HYPERLINK("https://inpn.mnhn.fr/espece/cd_nom/9599","Phloeopora testacea (Mannerheim, 1830)")</f>
        <v>Phloeopora testacea (Mannerheim, 1830)</v>
      </c>
      <c r="AH18908" s="4" t="str">
        <f>HYPERLINK("#Statut_biogéographique!A"&amp;_xlfn.XMATCH("P",Statut_biogéographique!A:A,2,1),"P")</f>
        <v>P</v>
      </c>
      <c r="AP18908" s="4" t="s">
        <v>376</v>
      </c>
      <c r="AR18908" s="4" t="s">
        <v>377</v>
      </c>
    </row>
    <row r="18909" spans="1:44">
      <c r="A18909" s="4" t="s">
        <v>10753</v>
      </c>
      <c r="B18909" s="4">
        <v>960052</v>
      </c>
      <c r="D18909" s="5">
        <v>960052</v>
      </c>
      <c r="E18909" s="6" t="str">
        <f>HYPERLINK("https://inpn.mnhn.fr/espece/cd_nom/960052","Mormia satchelli (Jung, 1963)")</f>
        <v>Mormia satchelli (Jung, 1963)</v>
      </c>
      <c r="AH18909" s="4" t="str">
        <f>HYPERLINK("#Statut_biogéographique!A"&amp;_xlfn.XMATCH("P",Statut_biogéographique!A:A,2,1),"P")</f>
        <v>P</v>
      </c>
      <c r="AP18909" s="4" t="s">
        <v>376</v>
      </c>
      <c r="AR18909" s="4" t="s">
        <v>377</v>
      </c>
    </row>
    <row r="18910" spans="1:44">
      <c r="A18910" s="4" t="s">
        <v>10753</v>
      </c>
      <c r="B18910" s="4">
        <v>960054</v>
      </c>
      <c r="D18910" s="5">
        <v>960054</v>
      </c>
      <c r="E18910" s="6" t="str">
        <f>HYPERLINK("https://inpn.mnhn.fr/espece/cd_nom/960054","Beris strobli Dušek &amp; Rozkošný, 1968")</f>
        <v>Beris strobli Dušek &amp; Rozkošný, 1968</v>
      </c>
      <c r="AH18910" s="4" t="str">
        <f>HYPERLINK("#Statut_biogéographique!A"&amp;_xlfn.XMATCH("P",Statut_biogéographique!A:A,2,1),"P")</f>
        <v>P</v>
      </c>
      <c r="AP18910" s="4" t="s">
        <v>376</v>
      </c>
      <c r="AR18910" s="4" t="s">
        <v>377</v>
      </c>
    </row>
    <row r="18911" spans="1:44">
      <c r="A18911" s="4" t="s">
        <v>10753</v>
      </c>
      <c r="B18911" s="4">
        <v>960169</v>
      </c>
      <c r="D18911" s="5">
        <v>960169</v>
      </c>
      <c r="E18911" s="6" t="str">
        <f>HYPERLINK("https://inpn.mnhn.fr/espece/cd_nom/960169","Dolichopus falcatus Becker, 1917")</f>
        <v>Dolichopus falcatus Becker, 1917</v>
      </c>
      <c r="AH18911" s="4" t="str">
        <f>HYPERLINK("#Statut_biogéographique!A"&amp;_xlfn.XMATCH("P",Statut_biogéographique!A:A,2,1),"P")</f>
        <v>P</v>
      </c>
      <c r="AP18911" s="4" t="s">
        <v>376</v>
      </c>
      <c r="AR18911" s="4" t="s">
        <v>377</v>
      </c>
    </row>
    <row r="18912" spans="1:44">
      <c r="A18912" s="4" t="s">
        <v>10753</v>
      </c>
      <c r="B18912" s="4">
        <v>960222</v>
      </c>
      <c r="D18912" s="5" t="s">
        <v>23043</v>
      </c>
      <c r="E18912" s="6" t="str">
        <f>HYPERLINK("https://inpn.mnhn.fr/espece/cd_nom/960222","Chamaepsila atra (Meigen, 1826)")</f>
        <v>Chamaepsila atra (Meigen, 1826)</v>
      </c>
      <c r="AH18912" s="4" t="str">
        <f>HYPERLINK("#Statut_biogéographique!A"&amp;_xlfn.XMATCH("P",Statut_biogéographique!A:A,2,1),"P")</f>
        <v>P</v>
      </c>
      <c r="AP18912" s="4" t="s">
        <v>376</v>
      </c>
      <c r="AR18912" s="4" t="s">
        <v>377</v>
      </c>
    </row>
    <row r="18913" spans="1:44">
      <c r="A18913" s="4" t="s">
        <v>10753</v>
      </c>
      <c r="B18913" s="4">
        <v>960232</v>
      </c>
      <c r="D18913" s="5" t="s">
        <v>23044</v>
      </c>
      <c r="E18913" s="6" t="str">
        <f>HYPERLINK("https://inpn.mnhn.fr/espece/cd_nom/960232","Chamaepsila pallida (Fallén, 1820)")</f>
        <v>Chamaepsila pallida (Fallén, 1820)</v>
      </c>
      <c r="AH18913" s="4" t="str">
        <f>HYPERLINK("#Statut_biogéographique!A"&amp;_xlfn.XMATCH("P",Statut_biogéographique!A:A,2,1),"P")</f>
        <v>P</v>
      </c>
      <c r="AP18913" s="4" t="s">
        <v>376</v>
      </c>
      <c r="AR18913" s="4" t="s">
        <v>377</v>
      </c>
    </row>
    <row r="18914" spans="1:44">
      <c r="A18914" s="4" t="s">
        <v>10753</v>
      </c>
      <c r="B18914" s="4">
        <v>960244</v>
      </c>
      <c r="D18914" s="5" t="s">
        <v>23045</v>
      </c>
      <c r="E18914" s="6" t="str">
        <f>HYPERLINK("https://inpn.mnhn.fr/espece/cd_nom/960244","Chyliza leptogaster (Panzer, 1798)")</f>
        <v>Chyliza leptogaster (Panzer, 1798)</v>
      </c>
      <c r="AH18914" s="4" t="str">
        <f>HYPERLINK("#Statut_biogéographique!A"&amp;_xlfn.XMATCH("P",Statut_biogéographique!A:A,2,1),"P")</f>
        <v>P</v>
      </c>
      <c r="AP18914" s="4" t="s">
        <v>376</v>
      </c>
      <c r="AR18914" s="4" t="s">
        <v>377</v>
      </c>
    </row>
    <row r="18915" spans="1:44">
      <c r="A18915" s="4" t="s">
        <v>10753</v>
      </c>
      <c r="B18915" s="4">
        <v>960248</v>
      </c>
      <c r="D18915" s="5">
        <v>960248</v>
      </c>
      <c r="E18915" s="6" t="str">
        <f>HYPERLINK("https://inpn.mnhn.fr/espece/cd_nom/960248","Chyliza vittata Meigen, 1826")</f>
        <v>Chyliza vittata Meigen, 1826</v>
      </c>
      <c r="AH18915" s="4" t="str">
        <f>HYPERLINK("#Statut_biogéographique!A"&amp;_xlfn.XMATCH("P",Statut_biogéographique!A:A,2,1),"P")</f>
        <v>P</v>
      </c>
      <c r="AP18915" s="4" t="s">
        <v>376</v>
      </c>
      <c r="AR18915" s="4" t="s">
        <v>377</v>
      </c>
    </row>
    <row r="18916" spans="1:44">
      <c r="A18916" s="4" t="s">
        <v>10753</v>
      </c>
      <c r="B18916" s="4">
        <v>960251</v>
      </c>
      <c r="D18916" s="5" t="s">
        <v>23046</v>
      </c>
      <c r="E18916" s="6" t="str">
        <f>HYPERLINK("https://inpn.mnhn.fr/espece/cd_nom/960251","Psilosoma lefebvrei (Zetterstedt, 1835)")</f>
        <v>Psilosoma lefebvrei (Zetterstedt, 1835)</v>
      </c>
      <c r="AH18916" s="4" t="str">
        <f>HYPERLINK("#Statut_biogéographique!A"&amp;_xlfn.XMATCH("P",Statut_biogéographique!A:A,2,1),"P")</f>
        <v>P</v>
      </c>
      <c r="AP18916" s="4" t="s">
        <v>376</v>
      </c>
      <c r="AR18916" s="4" t="s">
        <v>377</v>
      </c>
    </row>
    <row r="18917" spans="1:44">
      <c r="A18917" s="4" t="s">
        <v>10753</v>
      </c>
      <c r="B18917" s="4">
        <v>960327</v>
      </c>
      <c r="D18917" s="5" t="s">
        <v>23047</v>
      </c>
      <c r="E18917" s="6" t="str">
        <f>HYPERLINK("https://inpn.mnhn.fr/espece/cd_nom/960327","Meiosimyza laeta (Zetterstedt, 1838)")</f>
        <v>Meiosimyza laeta (Zetterstedt, 1838)</v>
      </c>
      <c r="AH18917" s="4" t="str">
        <f>HYPERLINK("#Statut_biogéographique!A"&amp;_xlfn.XMATCH("P",Statut_biogéographique!A:A,2,1),"P")</f>
        <v>P</v>
      </c>
      <c r="AP18917" s="4" t="s">
        <v>376</v>
      </c>
      <c r="AR18917" s="4" t="s">
        <v>377</v>
      </c>
    </row>
    <row r="18918" spans="1:44">
      <c r="A18918" s="4" t="s">
        <v>10753</v>
      </c>
      <c r="B18918" s="4">
        <v>960329</v>
      </c>
      <c r="D18918" s="5" t="s">
        <v>23048</v>
      </c>
      <c r="E18918" s="6" t="str">
        <f>HYPERLINK("https://inpn.mnhn.fr/espece/cd_nom/960329","Meiosimyza subfasciata (Zetterstedt, 1838)")</f>
        <v>Meiosimyza subfasciata (Zetterstedt, 1838)</v>
      </c>
      <c r="AH18918" s="4" t="str">
        <f>HYPERLINK("#Statut_biogéographique!A"&amp;_xlfn.XMATCH("P",Statut_biogéographique!A:A,2,1),"P")</f>
        <v>P</v>
      </c>
      <c r="AP18918" s="4" t="s">
        <v>376</v>
      </c>
      <c r="AR18918" s="4" t="s">
        <v>377</v>
      </c>
    </row>
    <row r="18919" spans="1:44">
      <c r="A18919" s="4" t="s">
        <v>10753</v>
      </c>
      <c r="B18919" s="4">
        <v>960331</v>
      </c>
      <c r="D18919" s="5" t="s">
        <v>23049</v>
      </c>
      <c r="E18919" s="6" t="str">
        <f>HYPERLINK("https://inpn.mnhn.fr/espece/cd_nom/960331","Pseudolyciella stylata (Papp, 1978)")</f>
        <v>Pseudolyciella stylata (Papp, 1978)</v>
      </c>
      <c r="AH18919" s="4" t="str">
        <f>HYPERLINK("#Statut_biogéographique!A"&amp;_xlfn.XMATCH("P",Statut_biogéographique!A:A,2,1),"P")</f>
        <v>P</v>
      </c>
      <c r="AP18919" s="4" t="s">
        <v>376</v>
      </c>
      <c r="AR18919" s="4" t="s">
        <v>377</v>
      </c>
    </row>
    <row r="18920" spans="1:44">
      <c r="A18920" s="4" t="s">
        <v>10753</v>
      </c>
      <c r="B18920" s="4">
        <v>960335</v>
      </c>
      <c r="D18920" s="5">
        <v>960335</v>
      </c>
      <c r="E18920" s="6" t="str">
        <f>HYPERLINK("https://inpn.mnhn.fr/espece/cd_nom/960335","Chyliza nova Collin, 1944")</f>
        <v>Chyliza nova Collin, 1944</v>
      </c>
      <c r="AH18920" s="4" t="str">
        <f>HYPERLINK("#Statut_biogéographique!A"&amp;_xlfn.XMATCH("P",Statut_biogéographique!A:A,2,1),"P")</f>
        <v>P</v>
      </c>
      <c r="AP18920" s="4" t="s">
        <v>376</v>
      </c>
      <c r="AR18920" s="4" t="s">
        <v>377</v>
      </c>
    </row>
    <row r="18921" spans="1:44">
      <c r="A18921" s="4" t="s">
        <v>10753</v>
      </c>
      <c r="B18921" s="4">
        <v>9609</v>
      </c>
      <c r="D18921" s="5">
        <v>9609</v>
      </c>
      <c r="E18921" s="6" t="str">
        <f>HYPERLINK("https://inpn.mnhn.fr/espece/cd_nom/9609","Aleochara lanuginosa Gravenhorst, 1802")</f>
        <v>Aleochara lanuginosa Gravenhorst, 1802</v>
      </c>
      <c r="AH18921" s="4" t="str">
        <f>HYPERLINK("#Statut_biogéographique!A"&amp;_xlfn.XMATCH("P",Statut_biogéographique!A:A,2,1),"P")</f>
        <v>P</v>
      </c>
      <c r="AP18921" s="4" t="s">
        <v>376</v>
      </c>
      <c r="AR18921" s="4" t="s">
        <v>377</v>
      </c>
    </row>
    <row r="18922" spans="1:44">
      <c r="A18922" s="4" t="s">
        <v>10753</v>
      </c>
      <c r="B18922" s="4">
        <v>9610</v>
      </c>
      <c r="D18922" s="5">
        <v>9610</v>
      </c>
      <c r="E18922" s="6" t="str">
        <f>HYPERLINK("https://inpn.mnhn.fr/espece/cd_nom/9610","Aleochara lata Gravenhorst, 1802")</f>
        <v>Aleochara lata Gravenhorst, 1802</v>
      </c>
      <c r="AH18922" s="4" t="str">
        <f>HYPERLINK("#Statut_biogéographique!A"&amp;_xlfn.XMATCH("P",Statut_biogéographique!A:A,2,1),"P")</f>
        <v>P</v>
      </c>
      <c r="AP18922" s="4" t="s">
        <v>376</v>
      </c>
      <c r="AR18922" s="4" t="s">
        <v>377</v>
      </c>
    </row>
    <row r="18923" spans="1:44">
      <c r="A18923" s="4" t="s">
        <v>10753</v>
      </c>
      <c r="B18923" s="4">
        <v>9614</v>
      </c>
      <c r="D18923" s="5">
        <v>9614</v>
      </c>
      <c r="E18923" s="6" t="str">
        <f>HYPERLINK("https://inpn.mnhn.fr/espece/cd_nom/9614","Aleochara sparsa Heer, 1839")</f>
        <v>Aleochara sparsa Heer, 1839</v>
      </c>
      <c r="AH18923" s="4" t="str">
        <f>HYPERLINK("#Statut_biogéographique!A"&amp;_xlfn.XMATCH("P",Statut_biogéographique!A:A,2,1),"P")</f>
        <v>P</v>
      </c>
      <c r="AP18923" s="4" t="s">
        <v>376</v>
      </c>
      <c r="AR18923" s="4" t="s">
        <v>377</v>
      </c>
    </row>
    <row r="18924" spans="1:44" ht="30">
      <c r="A18924" s="4" t="s">
        <v>10753</v>
      </c>
      <c r="B18924" s="4">
        <v>961903</v>
      </c>
      <c r="D18924" s="5" t="s">
        <v>23050</v>
      </c>
      <c r="E18924" s="6" t="str">
        <f>HYPERLINK("https://inpn.mnhn.fr/espece/cd_nom/961903","Bryopsis muralis (Forster, 1771)")</f>
        <v>Bryopsis muralis (Forster, 1771)</v>
      </c>
      <c r="F18924" s="5" t="s">
        <v>23051</v>
      </c>
      <c r="AH18924" s="4" t="str">
        <f>HYPERLINK("#Statut_biogéographique!A"&amp;_xlfn.XMATCH("P",Statut_biogéographique!A:A,2,1),"P")</f>
        <v>P</v>
      </c>
      <c r="AP18924" s="4" t="s">
        <v>376</v>
      </c>
      <c r="AR18924" s="4" t="s">
        <v>377</v>
      </c>
    </row>
    <row r="18925" spans="1:44">
      <c r="A18925" s="4" t="s">
        <v>10753</v>
      </c>
      <c r="B18925" s="4">
        <v>962302</v>
      </c>
      <c r="D18925" s="5" t="s">
        <v>23052</v>
      </c>
      <c r="E18925" s="6" t="str">
        <f>HYPERLINK("https://inpn.mnhn.fr/espece/cd_nom/962302","Gomphocerippus armoricanus Defaut, 2015")</f>
        <v>Gomphocerippus armoricanus Defaut, 2015</v>
      </c>
      <c r="F18925" s="5" t="s">
        <v>23053</v>
      </c>
      <c r="AE18925" s="4" t="str">
        <f>HYPERLINK("#SCAP!A"&amp;_xlfn.XMATCH("A",SCAP!A:A,2,1),"A")</f>
        <v>A</v>
      </c>
      <c r="AH18925" s="4" t="str">
        <f>HYPERLINK("#Statut_biogéographique!A"&amp;_xlfn.XMATCH("S",Statut_biogéographique!A:A,2,1),"S")</f>
        <v>S</v>
      </c>
      <c r="AP18925" s="4" t="s">
        <v>376</v>
      </c>
      <c r="AR18925" s="4" t="s">
        <v>377</v>
      </c>
    </row>
    <row r="18926" spans="1:44" ht="30">
      <c r="A18926" s="4" t="s">
        <v>10753</v>
      </c>
      <c r="B18926" s="4">
        <v>963191</v>
      </c>
      <c r="D18926" s="5" t="s">
        <v>23054</v>
      </c>
      <c r="E18926" s="6" t="str">
        <f>HYPERLINK("https://inpn.mnhn.fr/espece/cd_nom/963191","Cryptorchestia garbinii Ruffo, Tarocco &amp; Latella, 2014")</f>
        <v>Cryptorchestia garbinii Ruffo, Tarocco &amp; Latella, 2014</v>
      </c>
      <c r="Q18926" s="7" t="str">
        <f>HYPERLINK("#Liste_rouge!A"&amp;_xlfn.XMATCH("LC",Liste_rouge!A:A,2,1),"LC")</f>
        <v>LC</v>
      </c>
      <c r="AH18926" s="4" t="str">
        <f>HYPERLINK("#Statut_biogéographique!A"&amp;_xlfn.XMATCH("P",Statut_biogéographique!A:A,2,1),"P")</f>
        <v>P</v>
      </c>
      <c r="AP18926" s="4" t="s">
        <v>376</v>
      </c>
      <c r="AR18926" s="4" t="s">
        <v>377</v>
      </c>
    </row>
    <row r="18927" spans="1:44">
      <c r="A18927" s="4" t="s">
        <v>10753</v>
      </c>
      <c r="B18927" s="4">
        <v>963297</v>
      </c>
      <c r="D18927" s="5" t="s">
        <v>23055</v>
      </c>
      <c r="E18927" s="6" t="str">
        <f>HYPERLINK("https://inpn.mnhn.fr/espece/cd_nom/963297","Drusus chauvinianus (Stein, 1874)")</f>
        <v>Drusus chauvinianus (Stein, 1874)</v>
      </c>
      <c r="AH18927" s="4" t="str">
        <f>HYPERLINK("#Statut_biogéographique!A"&amp;_xlfn.XMATCH("P",Statut_biogéographique!A:A,2,1),"P")</f>
        <v>P</v>
      </c>
      <c r="AP18927" s="4" t="s">
        <v>376</v>
      </c>
      <c r="AR18927" s="4" t="s">
        <v>377</v>
      </c>
    </row>
    <row r="18928" spans="1:44">
      <c r="A18928" s="4" t="s">
        <v>10753</v>
      </c>
      <c r="B18928" s="4">
        <v>963752</v>
      </c>
      <c r="D18928" s="5" t="s">
        <v>23056</v>
      </c>
      <c r="E18928" s="6" t="str">
        <f>HYPERLINK("https://inpn.mnhn.fr/espece/cd_nom/963752","Orsodacne humeralis Latreille, 1804")</f>
        <v>Orsodacne humeralis Latreille, 1804</v>
      </c>
      <c r="AH18928" s="4" t="str">
        <f>HYPERLINK("#Statut_biogéographique!A"&amp;_xlfn.XMATCH("P",Statut_biogéographique!A:A,2,1),"P")</f>
        <v>P</v>
      </c>
      <c r="AP18928" s="4" t="s">
        <v>376</v>
      </c>
      <c r="AR18928" s="4" t="s">
        <v>377</v>
      </c>
    </row>
    <row r="18929" spans="1:44" ht="30">
      <c r="A18929" s="4" t="s">
        <v>10753</v>
      </c>
      <c r="B18929" s="4">
        <v>964264</v>
      </c>
      <c r="D18929" s="5" t="s">
        <v>23057</v>
      </c>
      <c r="E18929" s="6" t="str">
        <f>HYPERLINK("https://inpn.mnhn.fr/espece/cd_nom/964264","Agonopterix alstroemeriana (Clerck, 1759)")</f>
        <v>Agonopterix alstroemeriana (Clerck, 1759)</v>
      </c>
      <c r="AH18929" s="4" t="str">
        <f>HYPERLINK("#Statut_biogéographique!A"&amp;_xlfn.XMATCH("P",Statut_biogéographique!A:A,2,1),"P")</f>
        <v>P</v>
      </c>
      <c r="AP18929" s="4" t="s">
        <v>376</v>
      </c>
      <c r="AR18929" s="4" t="s">
        <v>377</v>
      </c>
    </row>
    <row r="18930" spans="1:44">
      <c r="A18930" s="4" t="s">
        <v>10753</v>
      </c>
      <c r="B18930" s="4">
        <v>964501</v>
      </c>
      <c r="D18930" s="5" t="s">
        <v>23058</v>
      </c>
      <c r="E18930" s="6" t="str">
        <f>HYPERLINK("https://inpn.mnhn.fr/espece/cd_nom/964501","Dalotia coriaria (Kraatz, 1856)")</f>
        <v>Dalotia coriaria (Kraatz, 1856)</v>
      </c>
      <c r="AH18930" s="4" t="str">
        <f>HYPERLINK("#Statut_biogéographique!A"&amp;_xlfn.XMATCH("P",Statut_biogéographique!A:A,2,1),"P")</f>
        <v>P</v>
      </c>
      <c r="AP18930" s="4" t="s">
        <v>376</v>
      </c>
      <c r="AR18930" s="4" t="s">
        <v>377</v>
      </c>
    </row>
    <row r="18931" spans="1:44">
      <c r="A18931" s="4" t="s">
        <v>10753</v>
      </c>
      <c r="B18931" s="4">
        <v>964505</v>
      </c>
      <c r="D18931" s="5" t="s">
        <v>23059</v>
      </c>
      <c r="E18931" s="6" t="str">
        <f>HYPERLINK("https://inpn.mnhn.fr/espece/cd_nom/964505","Mocyta fungi (Gravenhorst, 1806)")</f>
        <v>Mocyta fungi (Gravenhorst, 1806)</v>
      </c>
      <c r="AH18931" s="4" t="str">
        <f>HYPERLINK("#Statut_biogéographique!A"&amp;_xlfn.XMATCH("P",Statut_biogéographique!A:A,2,1),"P")</f>
        <v>P</v>
      </c>
      <c r="AP18931" s="4" t="s">
        <v>376</v>
      </c>
      <c r="AR18931" s="4" t="s">
        <v>377</v>
      </c>
    </row>
    <row r="18932" spans="1:44">
      <c r="A18932" s="4" t="s">
        <v>10753</v>
      </c>
      <c r="B18932" s="4">
        <v>964509</v>
      </c>
      <c r="D18932" s="5" t="s">
        <v>23060</v>
      </c>
      <c r="E18932" s="6" t="str">
        <f>HYPERLINK("https://inpn.mnhn.fr/espece/cd_nom/964509","Mocyta negligens (Mulsant &amp; Rey, 1873)")</f>
        <v>Mocyta negligens (Mulsant &amp; Rey, 1873)</v>
      </c>
      <c r="AH18932" s="4" t="str">
        <f>HYPERLINK("#Statut_biogéographique!A"&amp;_xlfn.XMATCH("P",Statut_biogéographique!A:A,2,1),"P")</f>
        <v>P</v>
      </c>
      <c r="AP18932" s="4" t="s">
        <v>376</v>
      </c>
      <c r="AR18932" s="4" t="s">
        <v>377</v>
      </c>
    </row>
    <row r="18933" spans="1:44">
      <c r="A18933" s="4" t="s">
        <v>10753</v>
      </c>
      <c r="B18933" s="4">
        <v>964522</v>
      </c>
      <c r="D18933" s="5" t="s">
        <v>23061</v>
      </c>
      <c r="E18933" s="6" t="str">
        <f>HYPERLINK("https://inpn.mnhn.fr/espece/cd_nom/964522","Philhygra hygrotopora (Kraatz, 1856)")</f>
        <v>Philhygra hygrotopora (Kraatz, 1856)</v>
      </c>
      <c r="AH18933" s="4" t="str">
        <f>HYPERLINK("#Statut_biogéographique!A"&amp;_xlfn.XMATCH("P",Statut_biogéographique!A:A,2,1),"P")</f>
        <v>P</v>
      </c>
      <c r="AP18933" s="4" t="s">
        <v>376</v>
      </c>
      <c r="AR18933" s="4" t="s">
        <v>377</v>
      </c>
    </row>
    <row r="18934" spans="1:44">
      <c r="A18934" s="4" t="s">
        <v>10753</v>
      </c>
      <c r="B18934" s="4">
        <v>964526</v>
      </c>
      <c r="D18934" s="5" t="s">
        <v>23062</v>
      </c>
      <c r="E18934" s="6" t="str">
        <f>HYPERLINK("https://inpn.mnhn.fr/espece/cd_nom/964526","Philhygra palustris (Kiesenwetter, 1844)")</f>
        <v>Philhygra palustris (Kiesenwetter, 1844)</v>
      </c>
      <c r="AH18934" s="4" t="str">
        <f>HYPERLINK("#Statut_biogéographique!A"&amp;_xlfn.XMATCH("P",Statut_biogéographique!A:A,2,1),"P")</f>
        <v>P</v>
      </c>
      <c r="AP18934" s="4" t="s">
        <v>376</v>
      </c>
      <c r="AR18934" s="4" t="s">
        <v>377</v>
      </c>
    </row>
    <row r="18935" spans="1:44">
      <c r="A18935" s="4" t="s">
        <v>10753</v>
      </c>
      <c r="B18935" s="4">
        <v>964527</v>
      </c>
      <c r="D18935" s="5" t="s">
        <v>23063</v>
      </c>
      <c r="E18935" s="6" t="str">
        <f>HYPERLINK("https://inpn.mnhn.fr/espece/cd_nom/964527","Philhygra parca (Mulsant &amp; Rey, 1873)")</f>
        <v>Philhygra parca (Mulsant &amp; Rey, 1873)</v>
      </c>
      <c r="AH18935" s="4" t="str">
        <f>HYPERLINK("#Statut_biogéographique!A"&amp;_xlfn.XMATCH("P",Statut_biogéographique!A:A,2,1),"P")</f>
        <v>P</v>
      </c>
      <c r="AP18935" s="4" t="s">
        <v>376</v>
      </c>
      <c r="AR18935" s="4" t="s">
        <v>377</v>
      </c>
    </row>
    <row r="18936" spans="1:44">
      <c r="A18936" s="4" t="s">
        <v>10753</v>
      </c>
      <c r="B18936" s="4">
        <v>9671</v>
      </c>
      <c r="D18936" s="5" t="s">
        <v>23064</v>
      </c>
      <c r="E18936" s="6" t="str">
        <f>HYPERLINK("https://inpn.mnhn.fr/espece/cd_nom/9671","Atheta castanoptera (Mannerheim, 1830)")</f>
        <v>Atheta castanoptera (Mannerheim, 1830)</v>
      </c>
      <c r="AH18936" s="4" t="str">
        <f>HYPERLINK("#Statut_biogéographique!A"&amp;_xlfn.XMATCH("P",Statut_biogéographique!A:A,2,1),"P")</f>
        <v>P</v>
      </c>
      <c r="AP18936" s="4" t="s">
        <v>376</v>
      </c>
      <c r="AR18936" s="4" t="s">
        <v>377</v>
      </c>
    </row>
    <row r="18937" spans="1:44">
      <c r="A18937" s="4" t="s">
        <v>10753</v>
      </c>
      <c r="B18937" s="4">
        <v>967194</v>
      </c>
      <c r="D18937" s="5">
        <v>967194</v>
      </c>
      <c r="E18937" s="6" t="str">
        <f>HYPERLINK("https://inpn.mnhn.fr/espece/cd_nom/967194","Anthalia schoenherri Zetterstedt, 1838")</f>
        <v>Anthalia schoenherri Zetterstedt, 1838</v>
      </c>
      <c r="AH18937" s="4" t="str">
        <f>HYPERLINK("#Statut_biogéographique!A"&amp;_xlfn.XMATCH("P",Statut_biogéographique!A:A,2,1),"P")</f>
        <v>P</v>
      </c>
      <c r="AP18937" s="4" t="s">
        <v>376</v>
      </c>
      <c r="AR18937" s="4" t="s">
        <v>377</v>
      </c>
    </row>
    <row r="18938" spans="1:44">
      <c r="A18938" s="4" t="s">
        <v>10753</v>
      </c>
      <c r="B18938" s="4">
        <v>967199</v>
      </c>
      <c r="D18938" s="5">
        <v>967199</v>
      </c>
      <c r="E18938" s="6" t="str">
        <f>HYPERLINK("https://inpn.mnhn.fr/espece/cd_nom/967199","Argyra loewi Kowarz, 1879")</f>
        <v>Argyra loewi Kowarz, 1879</v>
      </c>
      <c r="AH18938" s="4" t="str">
        <f>HYPERLINK("#Statut_biogéographique!A"&amp;_xlfn.XMATCH("P",Statut_biogéographique!A:A,2,1),"P")</f>
        <v>P</v>
      </c>
      <c r="AP18938" s="4" t="s">
        <v>376</v>
      </c>
      <c r="AR18938" s="4" t="s">
        <v>377</v>
      </c>
    </row>
    <row r="18939" spans="1:44">
      <c r="A18939" s="4" t="s">
        <v>10753</v>
      </c>
      <c r="B18939" s="4">
        <v>9672</v>
      </c>
      <c r="D18939" s="5" t="s">
        <v>23065</v>
      </c>
      <c r="E18939" s="6" t="str">
        <f>HYPERLINK("https://inpn.mnhn.fr/espece/cd_nom/9672","Atheta crassicornis (Fabricius, 1792)")</f>
        <v>Atheta crassicornis (Fabricius, 1792)</v>
      </c>
      <c r="AH18939" s="4" t="str">
        <f>HYPERLINK("#Statut_biogéographique!A"&amp;_xlfn.XMATCH("P",Statut_biogéographique!A:A,2,1),"P")</f>
        <v>P</v>
      </c>
      <c r="AP18939" s="4" t="s">
        <v>376</v>
      </c>
      <c r="AR18939" s="4" t="s">
        <v>377</v>
      </c>
    </row>
    <row r="18940" spans="1:44">
      <c r="A18940" s="4" t="s">
        <v>10753</v>
      </c>
      <c r="B18940" s="4">
        <v>967201</v>
      </c>
      <c r="D18940" s="5" t="s">
        <v>23066</v>
      </c>
      <c r="E18940" s="6" t="str">
        <f>HYPERLINK("https://inpn.mnhn.fr/espece/cd_nom/967201","Atelestus pulicarius (Fallen, 1816)")</f>
        <v>Atelestus pulicarius (Fallen, 1816)</v>
      </c>
      <c r="AH18940" s="4" t="str">
        <f>HYPERLINK("#Statut_biogéographique!A"&amp;_xlfn.XMATCH("P",Statut_biogéographique!A:A,2,1),"P")</f>
        <v>P</v>
      </c>
      <c r="AP18940" s="4" t="s">
        <v>376</v>
      </c>
      <c r="AR18940" s="4" t="s">
        <v>377</v>
      </c>
    </row>
    <row r="18941" spans="1:44">
      <c r="A18941" s="4" t="s">
        <v>10753</v>
      </c>
      <c r="B18941" s="4">
        <v>967206</v>
      </c>
      <c r="D18941" s="5" t="s">
        <v>23067</v>
      </c>
      <c r="E18941" s="6" t="str">
        <f>HYPERLINK("https://inpn.mnhn.fr/espece/cd_nom/967206","Atylotus plebeius (Fallén, 1817)")</f>
        <v>Atylotus plebeius (Fallén, 1817)</v>
      </c>
      <c r="AH18941" s="4" t="str">
        <f>HYPERLINK("#Statut_biogéographique!A"&amp;_xlfn.XMATCH("P",Statut_biogéographique!A:A,2,1),"P")</f>
        <v>P</v>
      </c>
      <c r="AP18941" s="4" t="s">
        <v>376</v>
      </c>
      <c r="AR18941" s="4" t="s">
        <v>377</v>
      </c>
    </row>
    <row r="18942" spans="1:44">
      <c r="A18942" s="4" t="s">
        <v>10753</v>
      </c>
      <c r="B18942" s="4">
        <v>967215</v>
      </c>
      <c r="D18942" s="5">
        <v>967215</v>
      </c>
      <c r="E18942" s="6" t="str">
        <f>HYPERLINK("https://inpn.mnhn.fr/espece/cd_nom/967215","Bicellaria austriaca Tuomikoski, 1955")</f>
        <v>Bicellaria austriaca Tuomikoski, 1955</v>
      </c>
      <c r="AH18942" s="4" t="str">
        <f>HYPERLINK("#Statut_biogéographique!A"&amp;_xlfn.XMATCH("P",Statut_biogéographique!A:A,2,1),"P")</f>
        <v>P</v>
      </c>
      <c r="AP18942" s="4" t="s">
        <v>376</v>
      </c>
      <c r="AR18942" s="4" t="s">
        <v>377</v>
      </c>
    </row>
    <row r="18943" spans="1:44">
      <c r="A18943" s="4" t="s">
        <v>10753</v>
      </c>
      <c r="B18943" s="4">
        <v>967224</v>
      </c>
      <c r="D18943" s="5" t="s">
        <v>23068</v>
      </c>
      <c r="E18943" s="6" t="str">
        <f>HYPERLINK("https://inpn.mnhn.fr/espece/cd_nom/967224","Calliopum geniculatum (Fabricius, 1805)")</f>
        <v>Calliopum geniculatum (Fabricius, 1805)</v>
      </c>
      <c r="AH18943" s="4" t="str">
        <f>HYPERLINK("#Statut_biogéographique!A"&amp;_xlfn.XMATCH("P",Statut_biogéographique!A:A,2,1),"P")</f>
        <v>P</v>
      </c>
      <c r="AP18943" s="4" t="s">
        <v>376</v>
      </c>
      <c r="AR18943" s="4" t="s">
        <v>377</v>
      </c>
    </row>
    <row r="18944" spans="1:44">
      <c r="A18944" s="4" t="s">
        <v>10753</v>
      </c>
      <c r="B18944" s="4">
        <v>967226</v>
      </c>
      <c r="D18944" s="5" t="s">
        <v>23069</v>
      </c>
      <c r="E18944" s="6" t="str">
        <f>HYPERLINK("https://inpn.mnhn.fr/espece/cd_nom/967226","Calobata petronella (Linnaeus, 1761)")</f>
        <v>Calobata petronella (Linnaeus, 1761)</v>
      </c>
      <c r="AH18944" s="4" t="str">
        <f>HYPERLINK("#Statut_biogéographique!A"&amp;_xlfn.XMATCH("P",Statut_biogéographique!A:A,2,1),"P")</f>
        <v>P</v>
      </c>
      <c r="AP18944" s="4" t="s">
        <v>376</v>
      </c>
      <c r="AR18944" s="4" t="s">
        <v>377</v>
      </c>
    </row>
    <row r="18945" spans="1:44">
      <c r="A18945" s="4" t="s">
        <v>10753</v>
      </c>
      <c r="B18945" s="4">
        <v>967241</v>
      </c>
      <c r="D18945" s="5" t="s">
        <v>23070</v>
      </c>
      <c r="E18945" s="6" t="str">
        <f>HYPERLINK("https://inpn.mnhn.fr/espece/cd_nom/967241","Chamaepsila humeralis (Zetterstedt, 1847)")</f>
        <v>Chamaepsila humeralis (Zetterstedt, 1847)</v>
      </c>
      <c r="AH18945" s="4" t="str">
        <f>HYPERLINK("#Statut_biogéographique!A"&amp;_xlfn.XMATCH("P",Statut_biogéographique!A:A,2,1),"P")</f>
        <v>P</v>
      </c>
      <c r="AP18945" s="4" t="s">
        <v>376</v>
      </c>
      <c r="AR18945" s="4" t="s">
        <v>377</v>
      </c>
    </row>
    <row r="18946" spans="1:44">
      <c r="A18946" s="4" t="s">
        <v>10753</v>
      </c>
      <c r="B18946" s="4">
        <v>967244</v>
      </c>
      <c r="D18946" s="5" t="s">
        <v>23071</v>
      </c>
      <c r="E18946" s="6" t="str">
        <f>HYPERLINK("https://inpn.mnhn.fr/espece/cd_nom/967244","Chamaepsila limbatella (Zetterstedt, 1847)")</f>
        <v>Chamaepsila limbatella (Zetterstedt, 1847)</v>
      </c>
      <c r="AH18946" s="4" t="str">
        <f>HYPERLINK("#Statut_biogéographique!A"&amp;_xlfn.XMATCH("P",Statut_biogéographique!A:A,2,1),"P")</f>
        <v>P</v>
      </c>
      <c r="AP18946" s="4" t="s">
        <v>376</v>
      </c>
      <c r="AR18946" s="4" t="s">
        <v>377</v>
      </c>
    </row>
    <row r="18947" spans="1:44">
      <c r="A18947" s="4" t="s">
        <v>10753</v>
      </c>
      <c r="B18947" s="4">
        <v>967246</v>
      </c>
      <c r="D18947" s="5" t="s">
        <v>23072</v>
      </c>
      <c r="E18947" s="6" t="str">
        <f>HYPERLINK("https://inpn.mnhn.fr/espece/cd_nom/967246","Chamaepsila luteola (Collin, 1844)")</f>
        <v>Chamaepsila luteola (Collin, 1844)</v>
      </c>
      <c r="AH18947" s="4" t="str">
        <f>HYPERLINK("#Statut_biogéographique!A"&amp;_xlfn.XMATCH("P",Statut_biogéographique!A:A,2,1),"P")</f>
        <v>P</v>
      </c>
      <c r="AP18947" s="4" t="s">
        <v>376</v>
      </c>
      <c r="AR18947" s="4" t="s">
        <v>377</v>
      </c>
    </row>
    <row r="18948" spans="1:44">
      <c r="A18948" s="4" t="s">
        <v>10753</v>
      </c>
      <c r="B18948" s="4">
        <v>967251</v>
      </c>
      <c r="D18948" s="5" t="s">
        <v>23073</v>
      </c>
      <c r="E18948" s="6" t="str">
        <f>HYPERLINK("https://inpn.mnhn.fr/espece/cd_nom/967251","Chamaepsila obscuritarsis (Loew, 1856)")</f>
        <v>Chamaepsila obscuritarsis (Loew, 1856)</v>
      </c>
      <c r="AH18948" s="4" t="str">
        <f>HYPERLINK("#Statut_biogéographique!A"&amp;_xlfn.XMATCH("P",Statut_biogéographique!A:A,2,1),"P")</f>
        <v>P</v>
      </c>
      <c r="AP18948" s="4" t="s">
        <v>376</v>
      </c>
      <c r="AR18948" s="4" t="s">
        <v>377</v>
      </c>
    </row>
    <row r="18949" spans="1:44">
      <c r="A18949" s="4" t="s">
        <v>10753</v>
      </c>
      <c r="B18949" s="4">
        <v>967256</v>
      </c>
      <c r="D18949" s="5" t="s">
        <v>23074</v>
      </c>
      <c r="E18949" s="6" t="str">
        <f>HYPERLINK("https://inpn.mnhn.fr/espece/cd_nom/967256","Chelipoda albiseta (Zetterstedt, 1838)")</f>
        <v>Chelipoda albiseta (Zetterstedt, 1838)</v>
      </c>
      <c r="AH18949" s="4" t="str">
        <f>HYPERLINK("#Statut_biogéographique!A"&amp;_xlfn.XMATCH("P",Statut_biogéographique!A:A,2,1),"P")</f>
        <v>P</v>
      </c>
      <c r="AP18949" s="4" t="s">
        <v>376</v>
      </c>
      <c r="AR18949" s="4" t="s">
        <v>377</v>
      </c>
    </row>
    <row r="18950" spans="1:44">
      <c r="A18950" s="4" t="s">
        <v>10753</v>
      </c>
      <c r="B18950" s="4">
        <v>967258</v>
      </c>
      <c r="D18950" s="5" t="s">
        <v>23075</v>
      </c>
      <c r="E18950" s="6" t="str">
        <f>HYPERLINK("https://inpn.mnhn.fr/espece/cd_nom/967258","Chetostoma stackelbergi (Rohdendorf, 1955)")</f>
        <v>Chetostoma stackelbergi (Rohdendorf, 1955)</v>
      </c>
      <c r="AH18950" s="4" t="str">
        <f>HYPERLINK("#Statut_biogéographique!A"&amp;_xlfn.XMATCH("P",Statut_biogéographique!A:A,2,1),"P")</f>
        <v>P</v>
      </c>
      <c r="AP18950" s="4" t="s">
        <v>376</v>
      </c>
      <c r="AR18950" s="4" t="s">
        <v>377</v>
      </c>
    </row>
    <row r="18951" spans="1:44">
      <c r="A18951" s="4" t="s">
        <v>10753</v>
      </c>
      <c r="B18951" s="4">
        <v>967260</v>
      </c>
      <c r="D18951" s="5">
        <v>967260</v>
      </c>
      <c r="E18951" s="6" t="str">
        <f>HYPERLINK("https://inpn.mnhn.fr/espece/cd_nom/967260","Chiastocheta dentifera Hennig, 1953")</f>
        <v>Chiastocheta dentifera Hennig, 1953</v>
      </c>
      <c r="AH18951" s="4" t="str">
        <f>HYPERLINK("#Statut_biogéographique!A"&amp;_xlfn.XMATCH("P",Statut_biogéographique!A:A,2,1),"P")</f>
        <v>P</v>
      </c>
      <c r="AP18951" s="4" t="s">
        <v>376</v>
      </c>
      <c r="AR18951" s="4" t="s">
        <v>377</v>
      </c>
    </row>
    <row r="18952" spans="1:44">
      <c r="A18952" s="4" t="s">
        <v>10753</v>
      </c>
      <c r="B18952" s="4">
        <v>967262</v>
      </c>
      <c r="D18952" s="5" t="s">
        <v>23076</v>
      </c>
      <c r="E18952" s="6" t="str">
        <f>HYPERLINK("https://inpn.mnhn.fr/espece/cd_nom/967262","Chiastocheta inermella (Zetterstedt, 1838)")</f>
        <v>Chiastocheta inermella (Zetterstedt, 1838)</v>
      </c>
      <c r="AH18952" s="4" t="str">
        <f>HYPERLINK("#Statut_biogéographique!A"&amp;_xlfn.XMATCH("P",Statut_biogéographique!A:A,2,1),"P")</f>
        <v>P</v>
      </c>
      <c r="AP18952" s="4" t="s">
        <v>376</v>
      </c>
      <c r="AR18952" s="4" t="s">
        <v>377</v>
      </c>
    </row>
    <row r="18953" spans="1:44">
      <c r="A18953" s="4" t="s">
        <v>10753</v>
      </c>
      <c r="B18953" s="4">
        <v>967264</v>
      </c>
      <c r="D18953" s="5">
        <v>967264</v>
      </c>
      <c r="E18953" s="6" t="str">
        <f>HYPERLINK("https://inpn.mnhn.fr/espece/cd_nom/967264","Chiastocheta rotundiventris Hennig, 1953")</f>
        <v>Chiastocheta rotundiventris Hennig, 1953</v>
      </c>
      <c r="AH18953" s="4" t="str">
        <f>HYPERLINK("#Statut_biogéographique!A"&amp;_xlfn.XMATCH("P",Statut_biogéographique!A:A,2,1),"P")</f>
        <v>P</v>
      </c>
      <c r="AP18953" s="4" t="s">
        <v>376</v>
      </c>
      <c r="AR18953" s="4" t="s">
        <v>377</v>
      </c>
    </row>
    <row r="18954" spans="1:44">
      <c r="A18954" s="4" t="s">
        <v>10753</v>
      </c>
      <c r="B18954" s="4">
        <v>967265</v>
      </c>
      <c r="D18954" s="5">
        <v>967265</v>
      </c>
      <c r="E18954" s="6" t="str">
        <f>HYPERLINK("https://inpn.mnhn.fr/espece/cd_nom/967265","Chiastocheta setifera Hennig, 1953")</f>
        <v>Chiastocheta setifera Hennig, 1953</v>
      </c>
      <c r="AH18954" s="4" t="str">
        <f>HYPERLINK("#Statut_biogéographique!A"&amp;_xlfn.XMATCH("P",Statut_biogéographique!A:A,2,1),"P")</f>
        <v>P</v>
      </c>
      <c r="AP18954" s="4" t="s">
        <v>376</v>
      </c>
      <c r="AR18954" s="4" t="s">
        <v>377</v>
      </c>
    </row>
    <row r="18955" spans="1:44">
      <c r="A18955" s="4" t="s">
        <v>10753</v>
      </c>
      <c r="B18955" s="4">
        <v>967267</v>
      </c>
      <c r="D18955" s="5">
        <v>967267</v>
      </c>
      <c r="E18955" s="6" t="str">
        <f>HYPERLINK("https://inpn.mnhn.fr/espece/cd_nom/967267","Chlorops rossicus Smirov, 1955")</f>
        <v>Chlorops rossicus Smirov, 1955</v>
      </c>
      <c r="AH18955" s="4" t="str">
        <f>HYPERLINK("#Statut_biogéographique!A"&amp;_xlfn.XMATCH("P",Statut_biogéographique!A:A,2,1),"P")</f>
        <v>P</v>
      </c>
      <c r="AP18955" s="4" t="s">
        <v>376</v>
      </c>
      <c r="AR18955" s="4" t="s">
        <v>377</v>
      </c>
    </row>
    <row r="18956" spans="1:44">
      <c r="A18956" s="4" t="s">
        <v>10753</v>
      </c>
      <c r="B18956" s="4">
        <v>967268</v>
      </c>
      <c r="D18956" s="5" t="s">
        <v>23077</v>
      </c>
      <c r="E18956" s="6" t="str">
        <f>HYPERLINK("https://inpn.mnhn.fr/espece/cd_nom/967268","Choerades femoratus (Meigen, 1804)")</f>
        <v>Choerades femoratus (Meigen, 1804)</v>
      </c>
      <c r="AH18956" s="4" t="str">
        <f>HYPERLINK("#Statut_biogéographique!A"&amp;_xlfn.XMATCH("P",Statut_biogéographique!A:A,2,1),"P")</f>
        <v>P</v>
      </c>
      <c r="AP18956" s="4" t="s">
        <v>376</v>
      </c>
      <c r="AR18956" s="4" t="s">
        <v>377</v>
      </c>
    </row>
    <row r="18957" spans="1:44">
      <c r="A18957" s="4" t="s">
        <v>10753</v>
      </c>
      <c r="B18957" s="4">
        <v>967350</v>
      </c>
      <c r="D18957" s="5" t="s">
        <v>23078</v>
      </c>
      <c r="E18957" s="6" t="str">
        <f>HYPERLINK("https://inpn.mnhn.fr/espece/cd_nom/967350","Clytocerus dalii (Eaton, 1893)")</f>
        <v>Clytocerus dalii (Eaton, 1893)</v>
      </c>
      <c r="AH18957" s="4" t="str">
        <f>HYPERLINK("#Statut_biogéographique!A"&amp;_xlfn.XMATCH("P",Statut_biogéographique!A:A,2,1),"P")</f>
        <v>P</v>
      </c>
      <c r="AP18957" s="4" t="s">
        <v>376</v>
      </c>
      <c r="AR18957" s="4" t="s">
        <v>377</v>
      </c>
    </row>
    <row r="18958" spans="1:44">
      <c r="A18958" s="4" t="s">
        <v>10753</v>
      </c>
      <c r="B18958" s="4">
        <v>967352</v>
      </c>
      <c r="D18958" s="5" t="s">
        <v>23079</v>
      </c>
      <c r="E18958" s="6" t="str">
        <f>HYPERLINK("https://inpn.mnhn.fr/espece/cd_nom/967352","Cnodacophora sellata (Meigen, 1826)")</f>
        <v>Cnodacophora sellata (Meigen, 1826)</v>
      </c>
      <c r="AH18958" s="4" t="str">
        <f>HYPERLINK("#Statut_biogéographique!A"&amp;_xlfn.XMATCH("P",Statut_biogéographique!A:A,2,1),"P")</f>
        <v>P</v>
      </c>
      <c r="AP18958" s="4" t="s">
        <v>376</v>
      </c>
      <c r="AR18958" s="4" t="s">
        <v>377</v>
      </c>
    </row>
    <row r="18959" spans="1:44">
      <c r="A18959" s="4" t="s">
        <v>10753</v>
      </c>
      <c r="B18959" s="4">
        <v>967355</v>
      </c>
      <c r="D18959" s="5" t="s">
        <v>23080</v>
      </c>
      <c r="E18959" s="6" t="str">
        <f>HYPERLINK("https://inpn.mnhn.fr/espece/cd_nom/967355","Cnodacophora stylifera (Loew, 1870)")</f>
        <v>Cnodacophora stylifera (Loew, 1870)</v>
      </c>
      <c r="AH18959" s="4" t="str">
        <f>HYPERLINK("#Statut_biogéographique!A"&amp;_xlfn.XMATCH("P",Statut_biogéographique!A:A,2,1),"P")</f>
        <v>P</v>
      </c>
      <c r="AP18959" s="4" t="s">
        <v>376</v>
      </c>
      <c r="AR18959" s="4" t="s">
        <v>377</v>
      </c>
    </row>
    <row r="18960" spans="1:44">
      <c r="A18960" s="4" t="s">
        <v>10753</v>
      </c>
      <c r="B18960" s="4">
        <v>967357</v>
      </c>
      <c r="D18960" s="5" t="s">
        <v>23081</v>
      </c>
      <c r="E18960" s="6" t="str">
        <f>HYPERLINK("https://inpn.mnhn.fr/espece/cd_nom/967357","Coenosia infantula (Rondani, 1866)")</f>
        <v>Coenosia infantula (Rondani, 1866)</v>
      </c>
      <c r="AH18960" s="4" t="str">
        <f>HYPERLINK("#Statut_biogéographique!A"&amp;_xlfn.XMATCH("P",Statut_biogéographique!A:A,2,1),"P")</f>
        <v>P</v>
      </c>
      <c r="AP18960" s="4" t="s">
        <v>376</v>
      </c>
      <c r="AR18960" s="4" t="s">
        <v>377</v>
      </c>
    </row>
    <row r="18961" spans="1:44" ht="30">
      <c r="A18961" s="4" t="s">
        <v>10753</v>
      </c>
      <c r="B18961" s="4">
        <v>967366</v>
      </c>
      <c r="D18961" s="5">
        <v>967366</v>
      </c>
      <c r="E18961" s="6" t="str">
        <f>HYPERLINK("https://inpn.mnhn.fr/espece/cd_nom/967366","Corynoptera saetistyla Mohrig &amp; Krivosheina, 1985")</f>
        <v>Corynoptera saetistyla Mohrig &amp; Krivosheina, 1985</v>
      </c>
      <c r="AH18961" s="4" t="str">
        <f>HYPERLINK("#Statut_biogéographique!A"&amp;_xlfn.XMATCH("P",Statut_biogéographique!A:A,2,1),"P")</f>
        <v>P</v>
      </c>
      <c r="AP18961" s="4" t="s">
        <v>376</v>
      </c>
      <c r="AR18961" s="4" t="s">
        <v>377</v>
      </c>
    </row>
    <row r="18962" spans="1:44">
      <c r="A18962" s="4" t="s">
        <v>10753</v>
      </c>
      <c r="B18962" s="4">
        <v>967375</v>
      </c>
      <c r="D18962" s="5" t="s">
        <v>23082</v>
      </c>
      <c r="E18962" s="6" t="str">
        <f>HYPERLINK("https://inpn.mnhn.fr/espece/cd_nom/967375","Delia quadripila (Stein, 1916)")</f>
        <v>Delia quadripila (Stein, 1916)</v>
      </c>
      <c r="AH18962" s="4" t="str">
        <f>HYPERLINK("#Statut_biogéographique!A"&amp;_xlfn.XMATCH("P",Statut_biogéographique!A:A,2,1),"P")</f>
        <v>P</v>
      </c>
      <c r="AP18962" s="4" t="s">
        <v>376</v>
      </c>
      <c r="AR18962" s="4" t="s">
        <v>377</v>
      </c>
    </row>
    <row r="18963" spans="1:44">
      <c r="A18963" s="4" t="s">
        <v>10753</v>
      </c>
      <c r="B18963" s="4">
        <v>967384</v>
      </c>
      <c r="D18963" s="5" t="s">
        <v>23083</v>
      </c>
      <c r="E18963" s="6" t="str">
        <f>HYPERLINK("https://inpn.mnhn.fr/espece/cd_nom/967384","Delina nigrita (Fallen, 1819)")</f>
        <v>Delina nigrita (Fallen, 1819)</v>
      </c>
      <c r="AH18963" s="4" t="str">
        <f>HYPERLINK("#Statut_biogéographique!A"&amp;_xlfn.XMATCH("P",Statut_biogéographique!A:A,2,1),"P")</f>
        <v>P</v>
      </c>
      <c r="AP18963" s="4" t="s">
        <v>376</v>
      </c>
      <c r="AR18963" s="4" t="s">
        <v>377</v>
      </c>
    </row>
    <row r="18964" spans="1:44">
      <c r="A18964" s="4" t="s">
        <v>10753</v>
      </c>
      <c r="B18964" s="4">
        <v>967401</v>
      </c>
      <c r="D18964" s="5">
        <v>967401</v>
      </c>
      <c r="E18964" s="6" t="str">
        <f>HYPERLINK("https://inpn.mnhn.fr/espece/cd_nom/967401","Egle parvaeformis Schnabl, 1911")</f>
        <v>Egle parvaeformis Schnabl, 1911</v>
      </c>
      <c r="AH18964" s="4" t="str">
        <f>HYPERLINK("#Statut_biogéographique!A"&amp;_xlfn.XMATCH("P",Statut_biogéographique!A:A,2,1),"P")</f>
        <v>P</v>
      </c>
      <c r="AP18964" s="4" t="s">
        <v>376</v>
      </c>
      <c r="AR18964" s="4" t="s">
        <v>377</v>
      </c>
    </row>
    <row r="18965" spans="1:44">
      <c r="A18965" s="4" t="s">
        <v>10753</v>
      </c>
      <c r="B18965" s="4">
        <v>967404</v>
      </c>
      <c r="D18965" s="5">
        <v>967404</v>
      </c>
      <c r="E18965" s="6" t="str">
        <f>HYPERLINK("https://inpn.mnhn.fr/espece/cd_nom/967404","Empis acinerea Chvala, 1985")</f>
        <v>Empis acinerea Chvala, 1985</v>
      </c>
      <c r="AH18965" s="4" t="str">
        <f>HYPERLINK("#Statut_biogéographique!A"&amp;_xlfn.XMATCH("P",Statut_biogéographique!A:A,2,1),"P")</f>
        <v>P</v>
      </c>
      <c r="AP18965" s="4" t="s">
        <v>376</v>
      </c>
      <c r="AR18965" s="4" t="s">
        <v>377</v>
      </c>
    </row>
    <row r="18966" spans="1:44">
      <c r="A18966" s="4" t="s">
        <v>10753</v>
      </c>
      <c r="B18966" s="4">
        <v>967405</v>
      </c>
      <c r="D18966" s="5">
        <v>967405</v>
      </c>
      <c r="E18966" s="6" t="str">
        <f>HYPERLINK("https://inpn.mnhn.fr/espece/cd_nom/967405","Empis dimidiata Meigen, 1835")</f>
        <v>Empis dimidiata Meigen, 1835</v>
      </c>
      <c r="AH18966" s="4" t="str">
        <f>HYPERLINK("#Statut_biogéographique!A"&amp;_xlfn.XMATCH("P",Statut_biogéographique!A:A,2,1),"P")</f>
        <v>P</v>
      </c>
      <c r="AP18966" s="4" t="s">
        <v>376</v>
      </c>
      <c r="AR18966" s="4" t="s">
        <v>377</v>
      </c>
    </row>
    <row r="18967" spans="1:44">
      <c r="A18967" s="4" t="s">
        <v>10753</v>
      </c>
      <c r="B18967" s="4">
        <v>967408</v>
      </c>
      <c r="D18967" s="5">
        <v>967408</v>
      </c>
      <c r="E18967" s="6" t="str">
        <f>HYPERLINK("https://inpn.mnhn.fr/espece/cd_nom/967408","Empis laminata Collin, 1927")</f>
        <v>Empis laminata Collin, 1927</v>
      </c>
      <c r="AH18967" s="4" t="str">
        <f>HYPERLINK("#Statut_biogéographique!A"&amp;_xlfn.XMATCH("P",Statut_biogéographique!A:A,2,1),"P")</f>
        <v>P</v>
      </c>
      <c r="AP18967" s="4" t="s">
        <v>376</v>
      </c>
      <c r="AR18967" s="4" t="s">
        <v>377</v>
      </c>
    </row>
    <row r="18968" spans="1:44">
      <c r="A18968" s="4" t="s">
        <v>10753</v>
      </c>
      <c r="B18968" s="4">
        <v>967409</v>
      </c>
      <c r="D18968" s="5">
        <v>967409</v>
      </c>
      <c r="E18968" s="6" t="str">
        <f>HYPERLINK("https://inpn.mnhn.fr/espece/cd_nom/967409","Empis lepidopus Meigen, 1822")</f>
        <v>Empis lepidopus Meigen, 1822</v>
      </c>
      <c r="AH18968" s="4" t="str">
        <f>HYPERLINK("#Statut_biogéographique!A"&amp;_xlfn.XMATCH("P",Statut_biogéographique!A:A,2,1),"P")</f>
        <v>P</v>
      </c>
      <c r="AP18968" s="4" t="s">
        <v>376</v>
      </c>
      <c r="AR18968" s="4" t="s">
        <v>377</v>
      </c>
    </row>
    <row r="18969" spans="1:44">
      <c r="A18969" s="4" t="s">
        <v>10753</v>
      </c>
      <c r="B18969" s="4">
        <v>967411</v>
      </c>
      <c r="D18969" s="5">
        <v>967411</v>
      </c>
      <c r="E18969" s="6" t="str">
        <f>HYPERLINK("https://inpn.mnhn.fr/espece/cd_nom/967411","Empis levis Loew, 1873")</f>
        <v>Empis levis Loew, 1873</v>
      </c>
      <c r="AH18969" s="4" t="str">
        <f>HYPERLINK("#Statut_biogéographique!A"&amp;_xlfn.XMATCH("P",Statut_biogéographique!A:A,2,1),"P")</f>
        <v>P</v>
      </c>
      <c r="AP18969" s="4" t="s">
        <v>376</v>
      </c>
      <c r="AR18969" s="4" t="s">
        <v>377</v>
      </c>
    </row>
    <row r="18970" spans="1:44">
      <c r="A18970" s="4" t="s">
        <v>10753</v>
      </c>
      <c r="B18970" s="4">
        <v>967412</v>
      </c>
      <c r="D18970" s="5">
        <v>967412</v>
      </c>
      <c r="E18970" s="6" t="str">
        <f>HYPERLINK("https://inpn.mnhn.fr/espece/cd_nom/967412","Empis limata Collin, 1927")</f>
        <v>Empis limata Collin, 1927</v>
      </c>
      <c r="AH18970" s="4" t="str">
        <f>HYPERLINK("#Statut_biogéographique!A"&amp;_xlfn.XMATCH("P",Statut_biogéographique!A:A,2,1),"P")</f>
        <v>P</v>
      </c>
      <c r="AP18970" s="4" t="s">
        <v>376</v>
      </c>
      <c r="AR18970" s="4" t="s">
        <v>377</v>
      </c>
    </row>
    <row r="18971" spans="1:44">
      <c r="A18971" s="4" t="s">
        <v>10753</v>
      </c>
      <c r="B18971" s="4">
        <v>967414</v>
      </c>
      <c r="D18971" s="5">
        <v>967414</v>
      </c>
      <c r="E18971" s="6" t="str">
        <f>HYPERLINK("https://inpn.mnhn.fr/espece/cd_nom/967414","Empis lucida Zetterstedt, 1838")</f>
        <v>Empis lucida Zetterstedt, 1838</v>
      </c>
      <c r="AH18971" s="4" t="str">
        <f>HYPERLINK("#Statut_biogéographique!A"&amp;_xlfn.XMATCH("P",Statut_biogéographique!A:A,2,1),"P")</f>
        <v>P</v>
      </c>
      <c r="AP18971" s="4" t="s">
        <v>376</v>
      </c>
      <c r="AR18971" s="4" t="s">
        <v>377</v>
      </c>
    </row>
    <row r="18972" spans="1:44">
      <c r="A18972" s="4" t="s">
        <v>10753</v>
      </c>
      <c r="B18972" s="4">
        <v>967415</v>
      </c>
      <c r="D18972" s="5">
        <v>967415</v>
      </c>
      <c r="E18972" s="6" t="str">
        <f>HYPERLINK("https://inpn.mnhn.fr/espece/cd_nom/967415","Empis melanotricha Loew, 1873")</f>
        <v>Empis melanotricha Loew, 1873</v>
      </c>
      <c r="AH18972" s="4" t="str">
        <f>HYPERLINK("#Statut_biogéographique!A"&amp;_xlfn.XMATCH("P",Statut_biogéographique!A:A,2,1),"P")</f>
        <v>P</v>
      </c>
      <c r="AP18972" s="4" t="s">
        <v>376</v>
      </c>
      <c r="AR18972" s="4" t="s">
        <v>377</v>
      </c>
    </row>
    <row r="18973" spans="1:44">
      <c r="A18973" s="4" t="s">
        <v>10753</v>
      </c>
      <c r="B18973" s="4">
        <v>967416</v>
      </c>
      <c r="D18973" s="5">
        <v>967416</v>
      </c>
      <c r="E18973" s="6" t="str">
        <f>HYPERLINK("https://inpn.mnhn.fr/espece/cd_nom/967416","Empis plebeja Loew, 1873")</f>
        <v>Empis plebeja Loew, 1873</v>
      </c>
      <c r="AH18973" s="4" t="str">
        <f>HYPERLINK("#Statut_biogéographique!A"&amp;_xlfn.XMATCH("P",Statut_biogéographique!A:A,2,1),"P")</f>
        <v>P</v>
      </c>
      <c r="AP18973" s="4" t="s">
        <v>376</v>
      </c>
      <c r="AR18973" s="4" t="s">
        <v>377</v>
      </c>
    </row>
    <row r="18974" spans="1:44">
      <c r="A18974" s="4" t="s">
        <v>10753</v>
      </c>
      <c r="B18974" s="4">
        <v>967419</v>
      </c>
      <c r="D18974" s="5">
        <v>967419</v>
      </c>
      <c r="E18974" s="6" t="str">
        <f>HYPERLINK("https://inpn.mnhn.fr/espece/cd_nom/967419","Empis provencalis Chvála, 2011")</f>
        <v>Empis provencalis Chvála, 2011</v>
      </c>
      <c r="AH18974" s="4" t="str">
        <f>HYPERLINK("#Statut_biogéographique!A"&amp;_xlfn.XMATCH("P",Statut_biogéographique!A:A,2,1),"P")</f>
        <v>P</v>
      </c>
      <c r="AP18974" s="4" t="s">
        <v>376</v>
      </c>
      <c r="AR18974" s="4" t="s">
        <v>377</v>
      </c>
    </row>
    <row r="18975" spans="1:44">
      <c r="A18975" s="4" t="s">
        <v>10753</v>
      </c>
      <c r="B18975" s="4">
        <v>967420</v>
      </c>
      <c r="D18975" s="5">
        <v>967420</v>
      </c>
      <c r="E18975" s="6" t="str">
        <f>HYPERLINK("https://inpn.mnhn.fr/espece/cd_nom/967420","Empis pseudonuntia Syrovatka, 1991")</f>
        <v>Empis pseudonuntia Syrovatka, 1991</v>
      </c>
      <c r="AH18975" s="4" t="str">
        <f>HYPERLINK("#Statut_biogéographique!A"&amp;_xlfn.XMATCH("P",Statut_biogéographique!A:A,2,1),"P")</f>
        <v>P</v>
      </c>
      <c r="AP18975" s="4" t="s">
        <v>376</v>
      </c>
      <c r="AR18975" s="4" t="s">
        <v>377</v>
      </c>
    </row>
    <row r="18976" spans="1:44">
      <c r="A18976" s="4" t="s">
        <v>10753</v>
      </c>
      <c r="B18976" s="4">
        <v>967421</v>
      </c>
      <c r="D18976" s="5">
        <v>967421</v>
      </c>
      <c r="E18976" s="6" t="str">
        <f>HYPERLINK("https://inpn.mnhn.fr/espece/cd_nom/967421","Empis rohaceki Chvála, 1994")</f>
        <v>Empis rohaceki Chvála, 1994</v>
      </c>
      <c r="AH18976" s="4" t="str">
        <f>HYPERLINK("#Statut_biogéographique!A"&amp;_xlfn.XMATCH("P",Statut_biogéographique!A:A,2,1),"P")</f>
        <v>P</v>
      </c>
      <c r="AP18976" s="4" t="s">
        <v>376</v>
      </c>
      <c r="AR18976" s="4" t="s">
        <v>377</v>
      </c>
    </row>
    <row r="18977" spans="1:44">
      <c r="A18977" s="4" t="s">
        <v>10753</v>
      </c>
      <c r="B18977" s="4">
        <v>967422</v>
      </c>
      <c r="D18977" s="5">
        <v>967422</v>
      </c>
      <c r="E18977" s="6" t="str">
        <f>HYPERLINK("https://inpn.mnhn.fr/espece/cd_nom/967422","Empis rufiventris Meigen, 1838")</f>
        <v>Empis rufiventris Meigen, 1838</v>
      </c>
      <c r="AH18977" s="4" t="str">
        <f>HYPERLINK("#Statut_biogéographique!A"&amp;_xlfn.XMATCH("P",Statut_biogéographique!A:A,2,1),"P")</f>
        <v>P</v>
      </c>
      <c r="AP18977" s="4" t="s">
        <v>376</v>
      </c>
      <c r="AR18977" s="4" t="s">
        <v>377</v>
      </c>
    </row>
    <row r="18978" spans="1:44">
      <c r="A18978" s="4" t="s">
        <v>10753</v>
      </c>
      <c r="B18978" s="4">
        <v>967424</v>
      </c>
      <c r="D18978" s="5">
        <v>967424</v>
      </c>
      <c r="E18978" s="6" t="str">
        <f>HYPERLINK("https://inpn.mnhn.fr/espece/cd_nom/967424","Empis staegeri Collin, 1963")</f>
        <v>Empis staegeri Collin, 1963</v>
      </c>
      <c r="AH18978" s="4" t="str">
        <f>HYPERLINK("#Statut_biogéographique!A"&amp;_xlfn.XMATCH("P",Statut_biogéographique!A:A,2,1),"P")</f>
        <v>P</v>
      </c>
      <c r="AP18978" s="4" t="s">
        <v>376</v>
      </c>
      <c r="AR18978" s="4" t="s">
        <v>377</v>
      </c>
    </row>
    <row r="18979" spans="1:44">
      <c r="A18979" s="4" t="s">
        <v>10753</v>
      </c>
      <c r="B18979" s="4">
        <v>967429</v>
      </c>
      <c r="D18979" s="5" t="s">
        <v>23084</v>
      </c>
      <c r="E18979" s="6" t="str">
        <f>HYPERLINK("https://inpn.mnhn.fr/espece/cd_nom/967429","Euthyneura gyllenhali (Zetterstedt, 1838)")</f>
        <v>Euthyneura gyllenhali (Zetterstedt, 1838)</v>
      </c>
      <c r="AH18979" s="4" t="str">
        <f>HYPERLINK("#Statut_biogéographique!A"&amp;_xlfn.XMATCH("P",Statut_biogéographique!A:A,2,1),"P")</f>
        <v>P</v>
      </c>
      <c r="AP18979" s="4" t="s">
        <v>376</v>
      </c>
      <c r="AR18979" s="4" t="s">
        <v>377</v>
      </c>
    </row>
    <row r="18980" spans="1:44">
      <c r="A18980" s="4" t="s">
        <v>10753</v>
      </c>
      <c r="B18980" s="4">
        <v>967433</v>
      </c>
      <c r="D18980" s="5" t="s">
        <v>23085</v>
      </c>
      <c r="E18980" s="6" t="str">
        <f>HYPERLINK("https://inpn.mnhn.fr/espece/cd_nom/967433","Fannia metallipennis (Zetterstedt, 1838)")</f>
        <v>Fannia metallipennis (Zetterstedt, 1838)</v>
      </c>
      <c r="AH18980" s="4" t="str">
        <f>HYPERLINK("#Statut_biogéographique!A"&amp;_xlfn.XMATCH("P",Statut_biogéographique!A:A,2,1),"P")</f>
        <v>P</v>
      </c>
      <c r="AP18980" s="4" t="s">
        <v>376</v>
      </c>
      <c r="AR18980" s="4" t="s">
        <v>377</v>
      </c>
    </row>
    <row r="18981" spans="1:44">
      <c r="A18981" s="4" t="s">
        <v>10753</v>
      </c>
      <c r="B18981" s="4">
        <v>967440</v>
      </c>
      <c r="D18981" s="5" t="s">
        <v>23086</v>
      </c>
      <c r="E18981" s="6" t="str">
        <f>HYPERLINK("https://inpn.mnhn.fr/espece/cd_nom/967440","Gonatherus planiceps (Fallen, 1826)")</f>
        <v>Gonatherus planiceps (Fallen, 1826)</v>
      </c>
      <c r="AH18981" s="4" t="str">
        <f>HYPERLINK("#Statut_biogéographique!A"&amp;_xlfn.XMATCH("P",Statut_biogéographique!A:A,2,1),"P")</f>
        <v>P</v>
      </c>
      <c r="AP18981" s="4" t="s">
        <v>376</v>
      </c>
      <c r="AR18981" s="4" t="s">
        <v>377</v>
      </c>
    </row>
    <row r="18982" spans="1:44">
      <c r="A18982" s="4" t="s">
        <v>10753</v>
      </c>
      <c r="B18982" s="4">
        <v>967444</v>
      </c>
      <c r="D18982" s="5">
        <v>967444</v>
      </c>
      <c r="E18982" s="6" t="str">
        <f>HYPERLINK("https://inpn.mnhn.fr/espece/cd_nom/967444","Gymnomus czernyi Papp &amp; Woznica, 1993")</f>
        <v>Gymnomus czernyi Papp &amp; Woznica, 1993</v>
      </c>
      <c r="AH18982" s="4" t="str">
        <f>HYPERLINK("#Statut_biogéographique!A"&amp;_xlfn.XMATCH("P",Statut_biogéographique!A:A,2,1),"P")</f>
        <v>P</v>
      </c>
      <c r="AP18982" s="4" t="s">
        <v>376</v>
      </c>
      <c r="AR18982" s="4" t="s">
        <v>377</v>
      </c>
    </row>
    <row r="18983" spans="1:44">
      <c r="A18983" s="4" t="s">
        <v>10753</v>
      </c>
      <c r="B18983" s="4">
        <v>967446</v>
      </c>
      <c r="D18983" s="5" t="s">
        <v>23087</v>
      </c>
      <c r="E18983" s="6" t="str">
        <f>HYPERLINK("https://inpn.mnhn.fr/espece/cd_nom/967446","Haematopota ocelligera (Krober, 1922)")</f>
        <v>Haematopota ocelligera (Krober, 1922)</v>
      </c>
      <c r="AH18983" s="4" t="str">
        <f>HYPERLINK("#Statut_biogéographique!A"&amp;_xlfn.XMATCH("P",Statut_biogéographique!A:A,2,1),"P")</f>
        <v>P</v>
      </c>
      <c r="AP18983" s="4" t="s">
        <v>376</v>
      </c>
      <c r="AR18983" s="4" t="s">
        <v>377</v>
      </c>
    </row>
    <row r="18984" spans="1:44">
      <c r="A18984" s="4" t="s">
        <v>10753</v>
      </c>
      <c r="B18984" s="4">
        <v>967448</v>
      </c>
      <c r="D18984" s="5">
        <v>967448</v>
      </c>
      <c r="E18984" s="6" t="str">
        <f>HYPERLINK("https://inpn.mnhn.fr/espece/cd_nom/967448","Hemerodromia laudatoria Collin, 1927")</f>
        <v>Hemerodromia laudatoria Collin, 1927</v>
      </c>
      <c r="AH18984" s="4" t="str">
        <f>HYPERLINK("#Statut_biogéographique!A"&amp;_xlfn.XMATCH("P",Statut_biogéographique!A:A,2,1),"P")</f>
        <v>P</v>
      </c>
      <c r="AP18984" s="4" t="s">
        <v>376</v>
      </c>
      <c r="AR18984" s="4" t="s">
        <v>377</v>
      </c>
    </row>
    <row r="18985" spans="1:44">
      <c r="A18985" s="4" t="s">
        <v>10753</v>
      </c>
      <c r="B18985" s="4">
        <v>967450</v>
      </c>
      <c r="D18985" s="5">
        <v>967450</v>
      </c>
      <c r="E18985" s="6" t="str">
        <f>HYPERLINK("https://inpn.mnhn.fr/espece/cd_nom/967450","Hilara bistriata Zetterstedt, 1842")</f>
        <v>Hilara bistriata Zetterstedt, 1842</v>
      </c>
      <c r="AH18985" s="4" t="str">
        <f>HYPERLINK("#Statut_biogéographique!A"&amp;_xlfn.XMATCH("P",Statut_biogéographique!A:A,2,1),"P")</f>
        <v>P</v>
      </c>
      <c r="AP18985" s="4" t="s">
        <v>376</v>
      </c>
      <c r="AR18985" s="4" t="s">
        <v>377</v>
      </c>
    </row>
    <row r="18986" spans="1:44">
      <c r="A18986" s="4" t="s">
        <v>10753</v>
      </c>
      <c r="B18986" s="4">
        <v>9675</v>
      </c>
      <c r="D18986" s="5" t="s">
        <v>23088</v>
      </c>
      <c r="E18986" s="6" t="str">
        <f>HYPERLINK("https://inpn.mnhn.fr/espece/cd_nom/9675","Atheta dilaticornis (Kraatz, 1856)")</f>
        <v>Atheta dilaticornis (Kraatz, 1856)</v>
      </c>
      <c r="AH18986" s="4" t="str">
        <f>HYPERLINK("#Statut_biogéographique!A"&amp;_xlfn.XMATCH("P",Statut_biogéographique!A:A,2,1),"P")</f>
        <v>P</v>
      </c>
      <c r="AP18986" s="4" t="s">
        <v>376</v>
      </c>
      <c r="AR18986" s="4" t="s">
        <v>377</v>
      </c>
    </row>
    <row r="18987" spans="1:44">
      <c r="A18987" s="4" t="s">
        <v>10753</v>
      </c>
      <c r="B18987" s="4">
        <v>967531</v>
      </c>
      <c r="D18987" s="5">
        <v>967531</v>
      </c>
      <c r="E18987" s="6" t="str">
        <f>HYPERLINK("https://inpn.mnhn.fr/espece/cd_nom/967531","Melangyna pavlovskyi (Violovitsh, 1956)")</f>
        <v>Melangyna pavlovskyi (Violovitsh, 1956)</v>
      </c>
      <c r="AH18987" s="4" t="str">
        <f>HYPERLINK("#Statut_biogéographique!A"&amp;_xlfn.XMATCH("P",Statut_biogéographique!A:A,2,1),"P")</f>
        <v>P</v>
      </c>
      <c r="AP18987" s="4" t="s">
        <v>376</v>
      </c>
      <c r="AR18987" s="4" t="s">
        <v>377</v>
      </c>
    </row>
    <row r="18988" spans="1:44" ht="30">
      <c r="A18988" s="4" t="s">
        <v>10753</v>
      </c>
      <c r="B18988" s="4">
        <v>967656</v>
      </c>
      <c r="D18988" s="5" t="s">
        <v>23089</v>
      </c>
      <c r="E18988" s="6" t="str">
        <f>HYPERLINK("https://inpn.mnhn.fr/espece/cd_nom/967656","Deuteragenia bifasciata (Geoffroy, 1785)")</f>
        <v>Deuteragenia bifasciata (Geoffroy, 1785)</v>
      </c>
      <c r="F18988" s="5" t="s">
        <v>23090</v>
      </c>
      <c r="AH18988" s="4" t="str">
        <f>HYPERLINK("#Statut_biogéographique!A"&amp;_xlfn.XMATCH("P",Statut_biogéographique!A:A,2,1),"P")</f>
        <v>P</v>
      </c>
      <c r="AP18988" s="4" t="s">
        <v>376</v>
      </c>
      <c r="AR18988" s="4" t="s">
        <v>377</v>
      </c>
    </row>
    <row r="18989" spans="1:44">
      <c r="A18989" s="4" t="s">
        <v>10753</v>
      </c>
      <c r="B18989" s="4">
        <v>967660</v>
      </c>
      <c r="D18989" s="5">
        <v>967660</v>
      </c>
      <c r="E18989" s="6" t="str">
        <f>HYPERLINK("https://inpn.mnhn.fr/espece/cd_nom/967660","Hilara longivittata Zetterstedt, 1842")</f>
        <v>Hilara longivittata Zetterstedt, 1842</v>
      </c>
      <c r="AH18989" s="4" t="str">
        <f>HYPERLINK("#Statut_biogéographique!A"&amp;_xlfn.XMATCH("P",Statut_biogéographique!A:A,2,1),"P")</f>
        <v>P</v>
      </c>
      <c r="AP18989" s="4" t="s">
        <v>376</v>
      </c>
      <c r="AR18989" s="4" t="s">
        <v>377</v>
      </c>
    </row>
    <row r="18990" spans="1:44">
      <c r="A18990" s="4" t="s">
        <v>10753</v>
      </c>
      <c r="B18990" s="4">
        <v>967662</v>
      </c>
      <c r="D18990" s="5">
        <v>967662</v>
      </c>
      <c r="E18990" s="6" t="str">
        <f>HYPERLINK("https://inpn.mnhn.fr/espece/cd_nom/967662","Hilara quadrifasciata Chvála, 2002")</f>
        <v>Hilara quadrifasciata Chvála, 2002</v>
      </c>
      <c r="AH18990" s="4" t="str">
        <f>HYPERLINK("#Statut_biogéographique!A"&amp;_xlfn.XMATCH("P",Statut_biogéographique!A:A,2,1),"P")</f>
        <v>P</v>
      </c>
      <c r="AP18990" s="4" t="s">
        <v>376</v>
      </c>
      <c r="AR18990" s="4" t="s">
        <v>377</v>
      </c>
    </row>
    <row r="18991" spans="1:44">
      <c r="A18991" s="4" t="s">
        <v>10753</v>
      </c>
      <c r="B18991" s="4">
        <v>967663</v>
      </c>
      <c r="D18991" s="5">
        <v>967663</v>
      </c>
      <c r="E18991" s="6" t="str">
        <f>HYPERLINK("https://inpn.mnhn.fr/espece/cd_nom/967663","Hilara quadriseta Collin, 1927")</f>
        <v>Hilara quadriseta Collin, 1927</v>
      </c>
      <c r="AH18991" s="4" t="str">
        <f>HYPERLINK("#Statut_biogéographique!A"&amp;_xlfn.XMATCH("P",Statut_biogéographique!A:A,2,1),"P")</f>
        <v>P</v>
      </c>
      <c r="AP18991" s="4" t="s">
        <v>376</v>
      </c>
      <c r="AR18991" s="4" t="s">
        <v>377</v>
      </c>
    </row>
    <row r="18992" spans="1:44">
      <c r="A18992" s="4" t="s">
        <v>10753</v>
      </c>
      <c r="B18992" s="4">
        <v>967665</v>
      </c>
      <c r="D18992" s="5">
        <v>967665</v>
      </c>
      <c r="E18992" s="6" t="str">
        <f>HYPERLINK("https://inpn.mnhn.fr/espece/cd_nom/967665","Hilara recedens Walker, 1851")</f>
        <v>Hilara recedens Walker, 1851</v>
      </c>
      <c r="AH18992" s="4" t="str">
        <f>HYPERLINK("#Statut_biogéographique!A"&amp;_xlfn.XMATCH("P",Statut_biogéographique!A:A,2,1),"P")</f>
        <v>P</v>
      </c>
      <c r="AP18992" s="4" t="s">
        <v>376</v>
      </c>
      <c r="AR18992" s="4" t="s">
        <v>377</v>
      </c>
    </row>
    <row r="18993" spans="1:44">
      <c r="A18993" s="4" t="s">
        <v>10753</v>
      </c>
      <c r="B18993" s="4">
        <v>967678</v>
      </c>
      <c r="D18993" s="5">
        <v>967678</v>
      </c>
      <c r="E18993" s="6" t="str">
        <f>HYPERLINK("https://inpn.mnhn.fr/espece/cd_nom/967678","Leptopeza borealis Zetterstedt, 1842")</f>
        <v>Leptopeza borealis Zetterstedt, 1842</v>
      </c>
      <c r="AH18993" s="4" t="str">
        <f>HYPERLINK("#Statut_biogéographique!A"&amp;_xlfn.XMATCH("P",Statut_biogéographique!A:A,2,1),"P")</f>
        <v>P</v>
      </c>
      <c r="AP18993" s="4" t="s">
        <v>376</v>
      </c>
      <c r="AR18993" s="4" t="s">
        <v>377</v>
      </c>
    </row>
    <row r="18994" spans="1:44" ht="30">
      <c r="A18994" s="4" t="s">
        <v>10753</v>
      </c>
      <c r="B18994" s="4">
        <v>967680</v>
      </c>
      <c r="D18994" s="5" t="s">
        <v>23091</v>
      </c>
      <c r="E18994" s="6" t="str">
        <f>HYPERLINK("https://inpn.mnhn.fr/espece/cd_nom/967680","Deuteragenia subintermedia (Magretti, 1886)")</f>
        <v>Deuteragenia subintermedia (Magretti, 1886)</v>
      </c>
      <c r="AH18994" s="4" t="str">
        <f>HYPERLINK("#Statut_biogéographique!A"&amp;_xlfn.XMATCH("P",Statut_biogéographique!A:A,2,1),"P")</f>
        <v>P</v>
      </c>
      <c r="AP18994" s="4" t="s">
        <v>376</v>
      </c>
      <c r="AR18994" s="4" t="s">
        <v>377</v>
      </c>
    </row>
    <row r="18995" spans="1:44">
      <c r="A18995" s="4" t="s">
        <v>10753</v>
      </c>
      <c r="B18995" s="4">
        <v>967683</v>
      </c>
      <c r="D18995" s="5" t="s">
        <v>23092</v>
      </c>
      <c r="E18995" s="6" t="str">
        <f>HYPERLINK("https://inpn.mnhn.fr/espece/cd_nom/967683","Loxocera aristata (Panzer, 1801)")</f>
        <v>Loxocera aristata (Panzer, 1801)</v>
      </c>
      <c r="AH18995" s="4" t="str">
        <f>HYPERLINK("#Statut_biogéographique!A"&amp;_xlfn.XMATCH("P",Statut_biogéographique!A:A,2,1),"P")</f>
        <v>P</v>
      </c>
      <c r="AP18995" s="4" t="s">
        <v>376</v>
      </c>
      <c r="AR18995" s="4" t="s">
        <v>377</v>
      </c>
    </row>
    <row r="18996" spans="1:44">
      <c r="A18996" s="4" t="s">
        <v>10753</v>
      </c>
      <c r="B18996" s="4">
        <v>967685</v>
      </c>
      <c r="D18996" s="5">
        <v>967685</v>
      </c>
      <c r="E18996" s="6" t="str">
        <f>HYPERLINK("https://inpn.mnhn.fr/espece/cd_nom/967685","Loxocera sylvatica Meigen, 1826")</f>
        <v>Loxocera sylvatica Meigen, 1826</v>
      </c>
      <c r="AH18996" s="4" t="str">
        <f>HYPERLINK("#Statut_biogéographique!A"&amp;_xlfn.XMATCH("P",Statut_biogéographique!A:A,2,1),"P")</f>
        <v>P</v>
      </c>
      <c r="AP18996" s="4" t="s">
        <v>376</v>
      </c>
      <c r="AR18996" s="4" t="s">
        <v>377</v>
      </c>
    </row>
    <row r="18997" spans="1:44" ht="30">
      <c r="A18997" s="4" t="s">
        <v>10753</v>
      </c>
      <c r="B18997" s="4">
        <v>967688</v>
      </c>
      <c r="D18997" s="5" t="s">
        <v>23093</v>
      </c>
      <c r="E18997" s="6" t="str">
        <f>HYPERLINK("https://inpn.mnhn.fr/espece/cd_nom/967688","Deuteragenia variegata (Linnaeus, 1758)")</f>
        <v>Deuteragenia variegata (Linnaeus, 1758)</v>
      </c>
      <c r="AH18997" s="4" t="str">
        <f>HYPERLINK("#Statut_biogéographique!A"&amp;_xlfn.XMATCH("P",Statut_biogéographique!A:A,2,1),"P")</f>
        <v>P</v>
      </c>
      <c r="AP18997" s="4" t="s">
        <v>376</v>
      </c>
      <c r="AR18997" s="4" t="s">
        <v>377</v>
      </c>
    </row>
    <row r="18998" spans="1:44" ht="30">
      <c r="A18998" s="4" t="s">
        <v>10753</v>
      </c>
      <c r="B18998" s="4">
        <v>967690</v>
      </c>
      <c r="D18998" s="5">
        <v>967690</v>
      </c>
      <c r="E18998" s="6" t="str">
        <f>HYPERLINK("https://inpn.mnhn.fr/espece/cd_nom/967690","Medetera acanthura Negrobov &amp; Thuneberg, 1970")</f>
        <v>Medetera acanthura Negrobov &amp; Thuneberg, 1970</v>
      </c>
      <c r="AH18998" s="4" t="str">
        <f>HYPERLINK("#Statut_biogéographique!A"&amp;_xlfn.XMATCH("P",Statut_biogéographique!A:A,2,1),"P")</f>
        <v>P</v>
      </c>
      <c r="AP18998" s="4" t="s">
        <v>376</v>
      </c>
      <c r="AR18998" s="4" t="s">
        <v>377</v>
      </c>
    </row>
    <row r="18999" spans="1:44">
      <c r="A18999" s="4" t="s">
        <v>10753</v>
      </c>
      <c r="B18999" s="4">
        <v>967691</v>
      </c>
      <c r="D18999" s="5">
        <v>967691</v>
      </c>
      <c r="E18999" s="6" t="str">
        <f>HYPERLINK("https://inpn.mnhn.fr/espece/cd_nom/967691","Medetera dichrocera Kowarz, 1877")</f>
        <v>Medetera dichrocera Kowarz, 1877</v>
      </c>
      <c r="AH18999" s="4" t="str">
        <f>HYPERLINK("#Statut_biogéographique!A"&amp;_xlfn.XMATCH("P",Statut_biogéographique!A:A,2,1),"P")</f>
        <v>P</v>
      </c>
      <c r="AP18999" s="4" t="s">
        <v>376</v>
      </c>
      <c r="AR18999" s="4" t="s">
        <v>377</v>
      </c>
    </row>
    <row r="19000" spans="1:44">
      <c r="A19000" s="4" t="s">
        <v>10753</v>
      </c>
      <c r="B19000" s="4">
        <v>967692</v>
      </c>
      <c r="D19000" s="5">
        <v>967692</v>
      </c>
      <c r="E19000" s="6" t="str">
        <f>HYPERLINK("https://inpn.mnhn.fr/espece/cd_nom/967692","Medetera jugalis Collin, 1941")</f>
        <v>Medetera jugalis Collin, 1941</v>
      </c>
      <c r="AH19000" s="4" t="str">
        <f>HYPERLINK("#Statut_biogéographique!A"&amp;_xlfn.XMATCH("P",Statut_biogéographique!A:A,2,1),"P")</f>
        <v>P</v>
      </c>
      <c r="AP19000" s="4" t="s">
        <v>376</v>
      </c>
      <c r="AR19000" s="4" t="s">
        <v>377</v>
      </c>
    </row>
    <row r="19001" spans="1:44">
      <c r="A19001" s="4" t="s">
        <v>10753</v>
      </c>
      <c r="B19001" s="4">
        <v>967693</v>
      </c>
      <c r="D19001" s="5" t="s">
        <v>23094</v>
      </c>
      <c r="E19001" s="6" t="str">
        <f>HYPERLINK("https://inpn.mnhn.fr/espece/cd_nom/967693","Deuteragenia vechti (Day, 1979)")</f>
        <v>Deuteragenia vechti (Day, 1979)</v>
      </c>
      <c r="AH19001" s="4" t="str">
        <f>HYPERLINK("#Statut_biogéographique!A"&amp;_xlfn.XMATCH("P",Statut_biogéographique!A:A,2,1),"P")</f>
        <v>P</v>
      </c>
      <c r="AP19001" s="4" t="s">
        <v>376</v>
      </c>
      <c r="AR19001" s="4" t="s">
        <v>377</v>
      </c>
    </row>
    <row r="19002" spans="1:44">
      <c r="A19002" s="4" t="s">
        <v>10753</v>
      </c>
      <c r="B19002" s="4">
        <v>967694</v>
      </c>
      <c r="D19002" s="5">
        <v>967694</v>
      </c>
      <c r="E19002" s="6" t="str">
        <f>HYPERLINK("https://inpn.mnhn.fr/espece/cd_nom/967694","Medetera melancholica Lundbeck, 1912")</f>
        <v>Medetera melancholica Lundbeck, 1912</v>
      </c>
      <c r="AH19002" s="4" t="str">
        <f>HYPERLINK("#Statut_biogéographique!A"&amp;_xlfn.XMATCH("P",Statut_biogéographique!A:A,2,1),"P")</f>
        <v>P</v>
      </c>
      <c r="AP19002" s="4" t="s">
        <v>376</v>
      </c>
      <c r="AR19002" s="4" t="s">
        <v>377</v>
      </c>
    </row>
    <row r="19003" spans="1:44">
      <c r="A19003" s="4" t="s">
        <v>10753</v>
      </c>
      <c r="B19003" s="4">
        <v>967695</v>
      </c>
      <c r="D19003" s="5" t="s">
        <v>23095</v>
      </c>
      <c r="E19003" s="6" t="str">
        <f>HYPERLINK("https://inpn.mnhn.fr/espece/cd_nom/967695","Meiosimyza decempunctata (Fallen, 1820)")</f>
        <v>Meiosimyza decempunctata (Fallen, 1820)</v>
      </c>
      <c r="AH19003" s="4" t="str">
        <f>HYPERLINK("#Statut_biogéographique!A"&amp;_xlfn.XMATCH("P",Statut_biogéographique!A:A,2,1),"P")</f>
        <v>P</v>
      </c>
      <c r="AP19003" s="4" t="s">
        <v>376</v>
      </c>
      <c r="AR19003" s="4" t="s">
        <v>377</v>
      </c>
    </row>
    <row r="19004" spans="1:44">
      <c r="A19004" s="4" t="s">
        <v>10753</v>
      </c>
      <c r="B19004" s="4">
        <v>967697</v>
      </c>
      <c r="D19004" s="5" t="s">
        <v>23096</v>
      </c>
      <c r="E19004" s="6" t="str">
        <f>HYPERLINK("https://inpn.mnhn.fr/espece/cd_nom/967697","Meiosimyza illota (Loew, 1847)")</f>
        <v>Meiosimyza illota (Loew, 1847)</v>
      </c>
      <c r="AH19004" s="4" t="str">
        <f>HYPERLINK("#Statut_biogéographique!A"&amp;_xlfn.XMATCH("P",Statut_biogéographique!A:A,2,1),"P")</f>
        <v>P</v>
      </c>
      <c r="AP19004" s="4" t="s">
        <v>376</v>
      </c>
      <c r="AR19004" s="4" t="s">
        <v>377</v>
      </c>
    </row>
    <row r="19005" spans="1:44">
      <c r="A19005" s="4" t="s">
        <v>10753</v>
      </c>
      <c r="B19005" s="4">
        <v>967760</v>
      </c>
      <c r="D19005" s="5" t="s">
        <v>23097</v>
      </c>
      <c r="E19005" s="6" t="str">
        <f>HYPERLINK("https://inpn.mnhn.fr/espece/cd_nom/967760","Mormia andrenipes (Strobl, 1910)")</f>
        <v>Mormia andrenipes (Strobl, 1910)</v>
      </c>
      <c r="AH19005" s="4" t="str">
        <f>HYPERLINK("#Statut_biogéographique!A"&amp;_xlfn.XMATCH("P",Statut_biogéographique!A:A,2,1),"P")</f>
        <v>P</v>
      </c>
      <c r="AP19005" s="4" t="s">
        <v>376</v>
      </c>
      <c r="AR19005" s="4" t="s">
        <v>377</v>
      </c>
    </row>
    <row r="19006" spans="1:44">
      <c r="A19006" s="4" t="s">
        <v>10753</v>
      </c>
      <c r="B19006" s="4">
        <v>967767</v>
      </c>
      <c r="D19006" s="5" t="s">
        <v>23098</v>
      </c>
      <c r="E19006" s="6" t="str">
        <f>HYPERLINK("https://inpn.mnhn.fr/espece/cd_nom/967767","Nanna armillata (Zetterstedt, 1846)")</f>
        <v>Nanna armillata (Zetterstedt, 1846)</v>
      </c>
      <c r="AH19006" s="4" t="str">
        <f>HYPERLINK("#Statut_biogéographique!A"&amp;_xlfn.XMATCH("P",Statut_biogéographique!A:A,2,1),"P")</f>
        <v>P</v>
      </c>
      <c r="AP19006" s="4" t="s">
        <v>376</v>
      </c>
      <c r="AR19006" s="4" t="s">
        <v>377</v>
      </c>
    </row>
    <row r="19007" spans="1:44">
      <c r="A19007" s="4" t="s">
        <v>10753</v>
      </c>
      <c r="B19007" s="4">
        <v>967771</v>
      </c>
      <c r="D19007" s="5" t="s">
        <v>23099</v>
      </c>
      <c r="E19007" s="6" t="str">
        <f>HYPERLINK("https://inpn.mnhn.fr/espece/cd_nom/967771","Nanna inermis (Becker, 1894)")</f>
        <v>Nanna inermis (Becker, 1894)</v>
      </c>
      <c r="AH19007" s="4" t="str">
        <f>HYPERLINK("#Statut_biogéographique!A"&amp;_xlfn.XMATCH("P",Statut_biogéographique!A:A,2,1),"P")</f>
        <v>P</v>
      </c>
      <c r="AP19007" s="4" t="s">
        <v>376</v>
      </c>
      <c r="AR19007" s="4" t="s">
        <v>377</v>
      </c>
    </row>
    <row r="19008" spans="1:44">
      <c r="A19008" s="4" t="s">
        <v>10753</v>
      </c>
      <c r="B19008" s="4">
        <v>967773</v>
      </c>
      <c r="D19008" s="5" t="s">
        <v>23100</v>
      </c>
      <c r="E19008" s="6" t="str">
        <f>HYPERLINK("https://inpn.mnhn.fr/espece/cd_nom/967773","Neurigona abdominalis (Fallén, 1823)")</f>
        <v>Neurigona abdominalis (Fallén, 1823)</v>
      </c>
      <c r="AH19008" s="4" t="str">
        <f>HYPERLINK("#Statut_biogéographique!A"&amp;_xlfn.XMATCH("P",Statut_biogéographique!A:A,2,1),"P")</f>
        <v>P</v>
      </c>
      <c r="AP19008" s="4" t="s">
        <v>376</v>
      </c>
      <c r="AR19008" s="4" t="s">
        <v>377</v>
      </c>
    </row>
    <row r="19009" spans="1:44">
      <c r="A19009" s="4" t="s">
        <v>10753</v>
      </c>
      <c r="B19009" s="4">
        <v>967775</v>
      </c>
      <c r="D19009" s="5">
        <v>967775</v>
      </c>
      <c r="E19009" s="6" t="str">
        <f>HYPERLINK("https://inpn.mnhn.fr/espece/cd_nom/967775","Oedalea kowarzi Chvala, 1981")</f>
        <v>Oedalea kowarzi Chvala, 1981</v>
      </c>
      <c r="AH19009" s="4" t="str">
        <f>HYPERLINK("#Statut_biogéographique!A"&amp;_xlfn.XMATCH("P",Statut_biogéographique!A:A,2,1),"P")</f>
        <v>P</v>
      </c>
      <c r="AP19009" s="4" t="s">
        <v>376</v>
      </c>
      <c r="AR19009" s="4" t="s">
        <v>377</v>
      </c>
    </row>
    <row r="19010" spans="1:44">
      <c r="A19010" s="4" t="s">
        <v>10753</v>
      </c>
      <c r="B19010" s="4">
        <v>967776</v>
      </c>
      <c r="D19010" s="5">
        <v>967776</v>
      </c>
      <c r="E19010" s="6" t="str">
        <f>HYPERLINK("https://inpn.mnhn.fr/espece/cd_nom/967776","Oedalea ringdahli Chvala, 1983")</f>
        <v>Oedalea ringdahli Chvala, 1983</v>
      </c>
      <c r="AH19010" s="4" t="str">
        <f>HYPERLINK("#Statut_biogéographique!A"&amp;_xlfn.XMATCH("P",Statut_biogéographique!A:A,2,1),"P")</f>
        <v>P</v>
      </c>
      <c r="AP19010" s="4" t="s">
        <v>376</v>
      </c>
      <c r="AR19010" s="4" t="s">
        <v>377</v>
      </c>
    </row>
    <row r="19011" spans="1:44">
      <c r="A19011" s="4" t="s">
        <v>10753</v>
      </c>
      <c r="B19011" s="4">
        <v>967934</v>
      </c>
      <c r="D19011" s="5">
        <v>967934</v>
      </c>
      <c r="E19011" s="6" t="str">
        <f>HYPERLINK("https://inpn.mnhn.fr/espece/cd_nom/967934","Oscinella ventricosi Nartshuk, 1956")</f>
        <v>Oscinella ventricosi Nartshuk, 1956</v>
      </c>
      <c r="AH19011" s="4" t="str">
        <f>HYPERLINK("#Statut_biogéographique!A"&amp;_xlfn.XMATCH("P",Statut_biogéographique!A:A,2,1),"P")</f>
        <v>P</v>
      </c>
      <c r="AP19011" s="4" t="s">
        <v>376</v>
      </c>
      <c r="AR19011" s="4" t="s">
        <v>377</v>
      </c>
    </row>
    <row r="19012" spans="1:44">
      <c r="A19012" s="4" t="s">
        <v>10753</v>
      </c>
      <c r="B19012" s="4">
        <v>967937</v>
      </c>
      <c r="D19012" s="5">
        <v>967937</v>
      </c>
      <c r="E19012" s="6" t="str">
        <f>HYPERLINK("https://inpn.mnhn.fr/espece/cd_nom/967937","Palloptera bimaculata Strobl, 1910")</f>
        <v>Palloptera bimaculata Strobl, 1910</v>
      </c>
      <c r="AH19012" s="4" t="str">
        <f>HYPERLINK("#Statut_biogéographique!A"&amp;_xlfn.XMATCH("P",Statut_biogéographique!A:A,2,1),"P")</f>
        <v>P</v>
      </c>
      <c r="AP19012" s="4" t="s">
        <v>376</v>
      </c>
      <c r="AR19012" s="4" t="s">
        <v>377</v>
      </c>
    </row>
    <row r="19013" spans="1:44">
      <c r="A19013" s="4" t="s">
        <v>10753</v>
      </c>
      <c r="B19013" s="4">
        <v>967941</v>
      </c>
      <c r="D19013" s="5" t="s">
        <v>23101</v>
      </c>
      <c r="E19013" s="6" t="str">
        <f>HYPERLINK("https://inpn.mnhn.fr/espece/cd_nom/967941","Palloptera modesta (Meigen, 1830)")</f>
        <v>Palloptera modesta (Meigen, 1830)</v>
      </c>
      <c r="AH19013" s="4" t="str">
        <f>HYPERLINK("#Statut_biogéographique!A"&amp;_xlfn.XMATCH("P",Statut_biogéographique!A:A,2,1),"P")</f>
        <v>P</v>
      </c>
      <c r="AP19013" s="4" t="s">
        <v>376</v>
      </c>
      <c r="AR19013" s="4" t="s">
        <v>377</v>
      </c>
    </row>
    <row r="19014" spans="1:44">
      <c r="A19014" s="4" t="s">
        <v>10753</v>
      </c>
      <c r="B19014" s="4">
        <v>967942</v>
      </c>
      <c r="D19014" s="5">
        <v>967942</v>
      </c>
      <c r="E19014" s="6" t="str">
        <f>HYPERLINK("https://inpn.mnhn.fr/espece/cd_nom/967942","Pandivirilia caesia Meigen, 1835")</f>
        <v>Pandivirilia caesia Meigen, 1835</v>
      </c>
      <c r="AH19014" s="4" t="str">
        <f>HYPERLINK("#Statut_biogéographique!A"&amp;_xlfn.XMATCH("P",Statut_biogéographique!A:A,2,1),"P")</f>
        <v>P</v>
      </c>
      <c r="AP19014" s="4" t="s">
        <v>376</v>
      </c>
      <c r="AR19014" s="4" t="s">
        <v>377</v>
      </c>
    </row>
    <row r="19015" spans="1:44">
      <c r="A19015" s="4" t="s">
        <v>10753</v>
      </c>
      <c r="B19015" s="4">
        <v>967951</v>
      </c>
      <c r="D19015" s="5" t="s">
        <v>23102</v>
      </c>
      <c r="E19015" s="6" t="str">
        <f>HYPERLINK("https://inpn.mnhn.fr/espece/cd_nom/967951","Pegomya seitenstettensis (Strobl, 1880)")</f>
        <v>Pegomya seitenstettensis (Strobl, 1880)</v>
      </c>
      <c r="AH19015" s="4" t="str">
        <f>HYPERLINK("#Statut_biogéographique!A"&amp;_xlfn.XMATCH("P",Statut_biogéographique!A:A,2,1),"P")</f>
        <v>P</v>
      </c>
      <c r="AP19015" s="4" t="s">
        <v>376</v>
      </c>
      <c r="AR19015" s="4" t="s">
        <v>377</v>
      </c>
    </row>
    <row r="19016" spans="1:44">
      <c r="A19016" s="4" t="s">
        <v>10753</v>
      </c>
      <c r="B19016" s="4">
        <v>967959</v>
      </c>
      <c r="D19016" s="5">
        <v>967959</v>
      </c>
      <c r="E19016" s="6" t="str">
        <f>HYPERLINK("https://inpn.mnhn.fr/espece/cd_nom/967959","Pericoma rivularis Berden, 1954")</f>
        <v>Pericoma rivularis Berden, 1954</v>
      </c>
      <c r="AH19016" s="4" t="str">
        <f>HYPERLINK("#Statut_biogéographique!A"&amp;_xlfn.XMATCH("P",Statut_biogéographique!A:A,2,1),"P")</f>
        <v>P</v>
      </c>
      <c r="AP19016" s="4" t="s">
        <v>376</v>
      </c>
      <c r="AR19016" s="4" t="s">
        <v>377</v>
      </c>
    </row>
    <row r="19017" spans="1:44">
      <c r="A19017" s="4" t="s">
        <v>10753</v>
      </c>
      <c r="B19017" s="4">
        <v>967960</v>
      </c>
      <c r="D19017" s="5">
        <v>967960</v>
      </c>
      <c r="E19017" s="6" t="str">
        <f>HYPERLINK("https://inpn.mnhn.fr/espece/cd_nom/967960","Phorbia juncorum Ringdahl, 1959")</f>
        <v>Phorbia juncorum Ringdahl, 1959</v>
      </c>
      <c r="AH19017" s="4" t="str">
        <f>HYPERLINK("#Statut_biogéographique!A"&amp;_xlfn.XMATCH("P",Statut_biogéographique!A:A,2,1),"P")</f>
        <v>P</v>
      </c>
      <c r="AP19017" s="4" t="s">
        <v>376</v>
      </c>
      <c r="AR19017" s="4" t="s">
        <v>377</v>
      </c>
    </row>
    <row r="19018" spans="1:44">
      <c r="A19018" s="4" t="s">
        <v>10753</v>
      </c>
      <c r="B19018" s="4">
        <v>967961</v>
      </c>
      <c r="D19018" s="5">
        <v>967961</v>
      </c>
      <c r="E19018" s="6" t="str">
        <f>HYPERLINK("https://inpn.mnhn.fr/espece/cd_nom/967961","Pipunculus omissinervis Becker, 1889")</f>
        <v>Pipunculus omissinervis Becker, 1889</v>
      </c>
      <c r="AH19018" s="4" t="str">
        <f>HYPERLINK("#Statut_biogéographique!A"&amp;_xlfn.XMATCH("P",Statut_biogéographique!A:A,2,1),"P")</f>
        <v>P</v>
      </c>
      <c r="AP19018" s="4" t="s">
        <v>376</v>
      </c>
      <c r="AR19018" s="4" t="s">
        <v>377</v>
      </c>
    </row>
    <row r="19019" spans="1:44">
      <c r="A19019" s="4" t="s">
        <v>10753</v>
      </c>
      <c r="B19019" s="4">
        <v>967962</v>
      </c>
      <c r="D19019" s="5">
        <v>967962</v>
      </c>
      <c r="E19019" s="6" t="str">
        <f>HYPERLINK("https://inpn.mnhn.fr/espece/cd_nom/967962","Pipunculus violovitshi Kuznetzov, 1991")</f>
        <v>Pipunculus violovitshi Kuznetzov, 1991</v>
      </c>
      <c r="AH19019" s="4" t="str">
        <f>HYPERLINK("#Statut_biogéographique!A"&amp;_xlfn.XMATCH("P",Statut_biogéographique!A:A,2,1),"P")</f>
        <v>P</v>
      </c>
      <c r="AP19019" s="4" t="s">
        <v>376</v>
      </c>
      <c r="AR19019" s="4" t="s">
        <v>377</v>
      </c>
    </row>
    <row r="19020" spans="1:44">
      <c r="A19020" s="4" t="s">
        <v>10753</v>
      </c>
      <c r="B19020" s="4">
        <v>967963</v>
      </c>
      <c r="D19020" s="5" t="s">
        <v>23103</v>
      </c>
      <c r="E19020" s="6" t="str">
        <f>HYPERLINK("https://inpn.mnhn.fr/espece/cd_nom/967963","Platypalpus albocapillatus (Fallén, 1815)")</f>
        <v>Platypalpus albocapillatus (Fallén, 1815)</v>
      </c>
      <c r="AH19020" s="4" t="str">
        <f>HYPERLINK("#Statut_biogéographique!A"&amp;_xlfn.XMATCH("P",Statut_biogéographique!A:A,2,1),"P")</f>
        <v>P</v>
      </c>
      <c r="AP19020" s="4" t="s">
        <v>376</v>
      </c>
      <c r="AR19020" s="4" t="s">
        <v>377</v>
      </c>
    </row>
    <row r="19021" spans="1:44">
      <c r="A19021" s="4" t="s">
        <v>10753</v>
      </c>
      <c r="B19021" s="4">
        <v>967965</v>
      </c>
      <c r="D19021" s="5" t="s">
        <v>23104</v>
      </c>
      <c r="E19021" s="6" t="str">
        <f>HYPERLINK("https://inpn.mnhn.fr/espece/cd_nom/967965","Platypalpus brevicornis (Zetterstedt, 1842)")</f>
        <v>Platypalpus brevicornis (Zetterstedt, 1842)</v>
      </c>
      <c r="AH19021" s="4" t="str">
        <f>HYPERLINK("#Statut_biogéographique!A"&amp;_xlfn.XMATCH("P",Statut_biogéographique!A:A,2,1),"P")</f>
        <v>P</v>
      </c>
      <c r="AP19021" s="4" t="s">
        <v>376</v>
      </c>
      <c r="AR19021" s="4" t="s">
        <v>377</v>
      </c>
    </row>
    <row r="19022" spans="1:44">
      <c r="A19022" s="4" t="s">
        <v>10753</v>
      </c>
      <c r="B19022" s="4">
        <v>967973</v>
      </c>
      <c r="D19022" s="5" t="s">
        <v>23105</v>
      </c>
      <c r="E19022" s="6" t="str">
        <f>HYPERLINK("https://inpn.mnhn.fr/espece/cd_nom/967973","Platypalpus leucothrix (Strobl, 1910)")</f>
        <v>Platypalpus leucothrix (Strobl, 1910)</v>
      </c>
      <c r="AH19022" s="4" t="str">
        <f>HYPERLINK("#Statut_biogéographique!A"&amp;_xlfn.XMATCH("P",Statut_biogéographique!A:A,2,1),"P")</f>
        <v>P</v>
      </c>
      <c r="AP19022" s="4" t="s">
        <v>376</v>
      </c>
      <c r="AR19022" s="4" t="s">
        <v>377</v>
      </c>
    </row>
    <row r="19023" spans="1:44">
      <c r="A19023" s="4" t="s">
        <v>10753</v>
      </c>
      <c r="B19023" s="4">
        <v>967975</v>
      </c>
      <c r="D19023" s="5">
        <v>967975</v>
      </c>
      <c r="E19023" s="6" t="str">
        <f>HYPERLINK("https://inpn.mnhn.fr/espece/cd_nom/967975","Platypalpus luteipes Zusková, 1966")</f>
        <v>Platypalpus luteipes Zusková, 1966</v>
      </c>
      <c r="AH19023" s="4" t="str">
        <f>HYPERLINK("#Statut_biogéographique!A"&amp;_xlfn.XMATCH("P",Statut_biogéographique!A:A,2,1),"P")</f>
        <v>P</v>
      </c>
      <c r="AP19023" s="4" t="s">
        <v>376</v>
      </c>
      <c r="AR19023" s="4" t="s">
        <v>377</v>
      </c>
    </row>
    <row r="19024" spans="1:44">
      <c r="A19024" s="4" t="s">
        <v>10753</v>
      </c>
      <c r="B19024" s="4">
        <v>967976</v>
      </c>
      <c r="D19024" s="5" t="s">
        <v>23106</v>
      </c>
      <c r="E19024" s="6" t="str">
        <f>HYPERLINK("https://inpn.mnhn.fr/espece/cd_nom/967976","Platypalpus luteus (Meigen, 1804)")</f>
        <v>Platypalpus luteus (Meigen, 1804)</v>
      </c>
      <c r="AH19024" s="4" t="str">
        <f>HYPERLINK("#Statut_biogéographique!A"&amp;_xlfn.XMATCH("P",Statut_biogéographique!A:A,2,1),"P")</f>
        <v>P</v>
      </c>
      <c r="AP19024" s="4" t="s">
        <v>376</v>
      </c>
      <c r="AR19024" s="4" t="s">
        <v>377</v>
      </c>
    </row>
    <row r="19025" spans="1:44">
      <c r="A19025" s="4" t="s">
        <v>10753</v>
      </c>
      <c r="B19025" s="4">
        <v>967982</v>
      </c>
      <c r="D19025" s="5" t="s">
        <v>23107</v>
      </c>
      <c r="E19025" s="6" t="str">
        <f>HYPERLINK("https://inpn.mnhn.fr/espece/cd_nom/967982","Platypalpus niveiseta (Zetterstedt, 1842)")</f>
        <v>Platypalpus niveiseta (Zetterstedt, 1842)</v>
      </c>
      <c r="AH19025" s="4" t="str">
        <f>HYPERLINK("#Statut_biogéographique!A"&amp;_xlfn.XMATCH("P",Statut_biogéographique!A:A,2,1),"P")</f>
        <v>P</v>
      </c>
      <c r="AP19025" s="4" t="s">
        <v>376</v>
      </c>
      <c r="AR19025" s="4" t="s">
        <v>377</v>
      </c>
    </row>
    <row r="19026" spans="1:44">
      <c r="A19026" s="4" t="s">
        <v>10753</v>
      </c>
      <c r="B19026" s="4">
        <v>967985</v>
      </c>
      <c r="D19026" s="5">
        <v>967985</v>
      </c>
      <c r="E19026" s="6" t="str">
        <f>HYPERLINK("https://inpn.mnhn.fr/espece/cd_nom/967985","Platypalpus niveisetoides Chvala, 1973")</f>
        <v>Platypalpus niveisetoides Chvala, 1973</v>
      </c>
      <c r="AH19026" s="4" t="str">
        <f>HYPERLINK("#Statut_biogéographique!A"&amp;_xlfn.XMATCH("P",Statut_biogéographique!A:A,2,1),"P")</f>
        <v>P</v>
      </c>
      <c r="AP19026" s="4" t="s">
        <v>376</v>
      </c>
      <c r="AR19026" s="4" t="s">
        <v>377</v>
      </c>
    </row>
    <row r="19027" spans="1:44">
      <c r="A19027" s="4" t="s">
        <v>10753</v>
      </c>
      <c r="B19027" s="4">
        <v>967989</v>
      </c>
      <c r="D19027" s="5" t="s">
        <v>23108</v>
      </c>
      <c r="E19027" s="6" t="str">
        <f>HYPERLINK("https://inpn.mnhn.fr/espece/cd_nom/967989","Platypalpus tonsus (Collin, 1961)")</f>
        <v>Platypalpus tonsus (Collin, 1961)</v>
      </c>
      <c r="AH19027" s="4" t="str">
        <f>HYPERLINK("#Statut_biogéographique!A"&amp;_xlfn.XMATCH("P",Statut_biogéographique!A:A,2,1),"P")</f>
        <v>P</v>
      </c>
      <c r="AP19027" s="4" t="s">
        <v>376</v>
      </c>
      <c r="AR19027" s="4" t="s">
        <v>377</v>
      </c>
    </row>
    <row r="19028" spans="1:44" ht="30">
      <c r="A19028" s="4" t="s">
        <v>10753</v>
      </c>
      <c r="B19028" s="4">
        <v>967994</v>
      </c>
      <c r="D19028" s="5" t="s">
        <v>23109</v>
      </c>
      <c r="E19028" s="6" t="str">
        <f>HYPERLINK("https://inpn.mnhn.fr/espece/cd_nom/967994","Prooppia nigripalpis (Robineau-Desvoidy, 1847)")</f>
        <v>Prooppia nigripalpis (Robineau-Desvoidy, 1847)</v>
      </c>
      <c r="AH19028" s="4" t="str">
        <f>HYPERLINK("#Statut_biogéographique!A"&amp;_xlfn.XMATCH("P",Statut_biogéographique!A:A,2,1),"P")</f>
        <v>P</v>
      </c>
      <c r="AP19028" s="4" t="s">
        <v>376</v>
      </c>
      <c r="AR19028" s="4" t="s">
        <v>377</v>
      </c>
    </row>
    <row r="19029" spans="1:44">
      <c r="A19029" s="4" t="s">
        <v>10753</v>
      </c>
      <c r="B19029" s="4">
        <v>967995</v>
      </c>
      <c r="D19029" s="5" t="s">
        <v>23110</v>
      </c>
      <c r="E19029" s="6" t="str">
        <f>HYPERLINK("https://inpn.mnhn.fr/espece/cd_nom/967995","Prooppia strigifrons (Zetterstedt, 1838)")</f>
        <v>Prooppia strigifrons (Zetterstedt, 1838)</v>
      </c>
      <c r="AH19029" s="4" t="str">
        <f>HYPERLINK("#Statut_biogéographique!A"&amp;_xlfn.XMATCH("P",Statut_biogéographique!A:A,2,1),"P")</f>
        <v>P</v>
      </c>
      <c r="AP19029" s="4" t="s">
        <v>376</v>
      </c>
      <c r="AR19029" s="4" t="s">
        <v>377</v>
      </c>
    </row>
    <row r="19030" spans="1:44">
      <c r="A19030" s="4" t="s">
        <v>10753</v>
      </c>
      <c r="B19030" s="4">
        <v>9680</v>
      </c>
      <c r="D19030" s="5" t="s">
        <v>23111</v>
      </c>
      <c r="E19030" s="6" t="str">
        <f>HYPERLINK("https://inpn.mnhn.fr/espece/cd_nom/9680","Atheta gagatina (Baudi di Selve, 1848)")</f>
        <v>Atheta gagatina (Baudi di Selve, 1848)</v>
      </c>
      <c r="AH19030" s="4" t="str">
        <f>HYPERLINK("#Statut_biogéographique!A"&amp;_xlfn.XMATCH("P",Statut_biogéographique!A:A,2,1),"P")</f>
        <v>P</v>
      </c>
      <c r="AP19030" s="4" t="s">
        <v>376</v>
      </c>
      <c r="AR19030" s="4" t="s">
        <v>377</v>
      </c>
    </row>
    <row r="19031" spans="1:44">
      <c r="A19031" s="4" t="s">
        <v>10753</v>
      </c>
      <c r="B19031" s="4">
        <v>968010</v>
      </c>
      <c r="D19031" s="5" t="s">
        <v>23112</v>
      </c>
      <c r="E19031" s="6" t="str">
        <f>HYPERLINK("https://inpn.mnhn.fr/espece/cd_nom/968010","Meiosimyza pallidiventris (Fallén, 1820)")</f>
        <v>Meiosimyza pallidiventris (Fallén, 1820)</v>
      </c>
      <c r="AH19031" s="4" t="str">
        <f>HYPERLINK("#Statut_biogéographique!A"&amp;_xlfn.XMATCH("P",Statut_biogéographique!A:A,2,1),"P")</f>
        <v>P</v>
      </c>
      <c r="AP19031" s="4" t="s">
        <v>376</v>
      </c>
      <c r="AR19031" s="4" t="s">
        <v>377</v>
      </c>
    </row>
    <row r="19032" spans="1:44">
      <c r="A19032" s="4" t="s">
        <v>10753</v>
      </c>
      <c r="B19032" s="4">
        <v>968011</v>
      </c>
      <c r="D19032" s="5">
        <v>968011</v>
      </c>
      <c r="E19032" s="6" t="str">
        <f>HYPERLINK("https://inpn.mnhn.fr/espece/cd_nom/968011","Psila merdaria Collin, 1944")</f>
        <v>Psila merdaria Collin, 1944</v>
      </c>
      <c r="AH19032" s="4" t="str">
        <f>HYPERLINK("#Statut_biogéographique!A"&amp;_xlfn.XMATCH("P",Statut_biogéographique!A:A,2,1),"P")</f>
        <v>P</v>
      </c>
      <c r="AP19032" s="4" t="s">
        <v>376</v>
      </c>
      <c r="AR19032" s="4" t="s">
        <v>377</v>
      </c>
    </row>
    <row r="19033" spans="1:44">
      <c r="A19033" s="4" t="s">
        <v>10753</v>
      </c>
      <c r="B19033" s="4">
        <v>968012</v>
      </c>
      <c r="D19033" s="5">
        <v>968012</v>
      </c>
      <c r="E19033" s="6" t="str">
        <f>HYPERLINK("https://inpn.mnhn.fr/espece/cd_nom/968012","Ptiolina nigrina Wahlberg, 1854")</f>
        <v>Ptiolina nigrina Wahlberg, 1854</v>
      </c>
      <c r="AH19033" s="4" t="str">
        <f>HYPERLINK("#Statut_biogéographique!A"&amp;_xlfn.XMATCH("P",Statut_biogéographique!A:A,2,1),"P")</f>
        <v>P</v>
      </c>
      <c r="AP19033" s="4" t="s">
        <v>376</v>
      </c>
      <c r="AR19033" s="4" t="s">
        <v>377</v>
      </c>
    </row>
    <row r="19034" spans="1:44">
      <c r="A19034" s="4" t="s">
        <v>10753</v>
      </c>
      <c r="B19034" s="4">
        <v>968013</v>
      </c>
      <c r="D19034" s="5">
        <v>968013</v>
      </c>
      <c r="E19034" s="6" t="str">
        <f>HYPERLINK("https://inpn.mnhn.fr/espece/cd_nom/968013","Ptiolina nitida Wahlberg, 1854")</f>
        <v>Ptiolina nitida Wahlberg, 1854</v>
      </c>
      <c r="AH19034" s="4" t="str">
        <f>HYPERLINK("#Statut_biogéographique!A"&amp;_xlfn.XMATCH("P",Statut_biogéographique!A:A,2,1),"P")</f>
        <v>P</v>
      </c>
      <c r="AP19034" s="4" t="s">
        <v>376</v>
      </c>
      <c r="AR19034" s="4" t="s">
        <v>377</v>
      </c>
    </row>
    <row r="19035" spans="1:44">
      <c r="A19035" s="4" t="s">
        <v>10753</v>
      </c>
      <c r="B19035" s="4">
        <v>968014</v>
      </c>
      <c r="D19035" s="5">
        <v>968014</v>
      </c>
      <c r="E19035" s="6" t="str">
        <f>HYPERLINK("https://inpn.mnhn.fr/espece/cd_nom/968014","Ragas unica Walker, 1837")</f>
        <v>Ragas unica Walker, 1837</v>
      </c>
      <c r="AH19035" s="4" t="str">
        <f>HYPERLINK("#Statut_biogéographique!A"&amp;_xlfn.XMATCH("P",Statut_biogéographique!A:A,2,1),"P")</f>
        <v>P</v>
      </c>
      <c r="AP19035" s="4" t="s">
        <v>376</v>
      </c>
      <c r="AR19035" s="4" t="s">
        <v>377</v>
      </c>
    </row>
    <row r="19036" spans="1:44">
      <c r="A19036" s="4" t="s">
        <v>10753</v>
      </c>
      <c r="B19036" s="4">
        <v>968018</v>
      </c>
      <c r="D19036" s="5">
        <v>968018</v>
      </c>
      <c r="E19036" s="6" t="str">
        <f>HYPERLINK("https://inpn.mnhn.fr/espece/cd_nom/968018","Rhagio montanus Becker, 1921")</f>
        <v>Rhagio montanus Becker, 1921</v>
      </c>
      <c r="AH19036" s="4" t="str">
        <f>HYPERLINK("#Statut_biogéographique!A"&amp;_xlfn.XMATCH("P",Statut_biogéographique!A:A,2,1),"P")</f>
        <v>P</v>
      </c>
      <c r="AP19036" s="4" t="s">
        <v>376</v>
      </c>
      <c r="AR19036" s="4" t="s">
        <v>377</v>
      </c>
    </row>
    <row r="19037" spans="1:44">
      <c r="A19037" s="4" t="s">
        <v>10753</v>
      </c>
      <c r="B19037" s="4">
        <v>968019</v>
      </c>
      <c r="D19037" s="5">
        <v>968019</v>
      </c>
      <c r="E19037" s="6" t="str">
        <f>HYPERLINK("https://inpn.mnhn.fr/espece/cd_nom/968019","Rhamphomyia albidiventris Strobl, 1898")</f>
        <v>Rhamphomyia albidiventris Strobl, 1898</v>
      </c>
      <c r="AH19037" s="4" t="str">
        <f>HYPERLINK("#Statut_biogéographique!A"&amp;_xlfn.XMATCH("P",Statut_biogéographique!A:A,2,1),"P")</f>
        <v>P</v>
      </c>
      <c r="AP19037" s="4" t="s">
        <v>376</v>
      </c>
      <c r="AR19037" s="4" t="s">
        <v>377</v>
      </c>
    </row>
    <row r="19038" spans="1:44">
      <c r="A19038" s="4" t="s">
        <v>10753</v>
      </c>
      <c r="B19038" s="4">
        <v>968020</v>
      </c>
      <c r="D19038" s="5">
        <v>968020</v>
      </c>
      <c r="E19038" s="6" t="str">
        <f>HYPERLINK("https://inpn.mnhn.fr/espece/cd_nom/968020","Rhamphomyia claripennis Oldenberg, 1922")</f>
        <v>Rhamphomyia claripennis Oldenberg, 1922</v>
      </c>
      <c r="AH19038" s="4" t="str">
        <f>HYPERLINK("#Statut_biogéographique!A"&amp;_xlfn.XMATCH("P",Statut_biogéographique!A:A,2,1),"P")</f>
        <v>P</v>
      </c>
      <c r="AP19038" s="4" t="s">
        <v>376</v>
      </c>
      <c r="AR19038" s="4" t="s">
        <v>377</v>
      </c>
    </row>
    <row r="19039" spans="1:44">
      <c r="A19039" s="4" t="s">
        <v>10753</v>
      </c>
      <c r="B19039" s="4">
        <v>968022</v>
      </c>
      <c r="D19039" s="5">
        <v>968022</v>
      </c>
      <c r="E19039" s="6" t="str">
        <f>HYPERLINK("https://inpn.mnhn.fr/espece/cd_nom/968022","Rhamphomyia eupterota Loew, 1873")</f>
        <v>Rhamphomyia eupterota Loew, 1873</v>
      </c>
      <c r="AH19039" s="4" t="str">
        <f>HYPERLINK("#Statut_biogéographique!A"&amp;_xlfn.XMATCH("P",Statut_biogéographique!A:A,2,1),"P")</f>
        <v>P</v>
      </c>
      <c r="AP19039" s="4" t="s">
        <v>376</v>
      </c>
      <c r="AR19039" s="4" t="s">
        <v>377</v>
      </c>
    </row>
    <row r="19040" spans="1:44">
      <c r="A19040" s="4" t="s">
        <v>10753</v>
      </c>
      <c r="B19040" s="4">
        <v>968024</v>
      </c>
      <c r="D19040" s="5">
        <v>968024</v>
      </c>
      <c r="E19040" s="6" t="str">
        <f>HYPERLINK("https://inpn.mnhn.fr/espece/cd_nom/968024","Rhamphomyia nitidula Zetterstedt, 1842")</f>
        <v>Rhamphomyia nitidula Zetterstedt, 1842</v>
      </c>
      <c r="AH19040" s="4" t="str">
        <f>HYPERLINK("#Statut_biogéographique!A"&amp;_xlfn.XMATCH("P",Statut_biogéographique!A:A,2,1),"P")</f>
        <v>P</v>
      </c>
      <c r="AP19040" s="4" t="s">
        <v>376</v>
      </c>
      <c r="AR19040" s="4" t="s">
        <v>377</v>
      </c>
    </row>
    <row r="19041" spans="1:44">
      <c r="A19041" s="4" t="s">
        <v>10753</v>
      </c>
      <c r="B19041" s="4">
        <v>968025</v>
      </c>
      <c r="D19041" s="5">
        <v>968025</v>
      </c>
      <c r="E19041" s="6" t="str">
        <f>HYPERLINK("https://inpn.mnhn.fr/espece/cd_nom/968025","Rhamphomyia trilineata Zetterstedt, 1859")</f>
        <v>Rhamphomyia trilineata Zetterstedt, 1859</v>
      </c>
      <c r="AH19041" s="4" t="str">
        <f>HYPERLINK("#Statut_biogéographique!A"&amp;_xlfn.XMATCH("P",Statut_biogéographique!A:A,2,1),"P")</f>
        <v>P</v>
      </c>
      <c r="AP19041" s="4" t="s">
        <v>376</v>
      </c>
      <c r="AR19041" s="4" t="s">
        <v>377</v>
      </c>
    </row>
    <row r="19042" spans="1:44" ht="30">
      <c r="A19042" s="4" t="s">
        <v>10753</v>
      </c>
      <c r="B19042" s="4">
        <v>968032</v>
      </c>
      <c r="D19042" s="5">
        <v>968032</v>
      </c>
      <c r="E19042" s="6" t="str">
        <f>HYPERLINK("https://inpn.mnhn.fr/espece/cd_nom/968032","Sarcophaga slovaca Povolny &amp; Slameckova, 1967")</f>
        <v>Sarcophaga slovaca Povolny &amp; Slameckova, 1967</v>
      </c>
      <c r="AH19042" s="4" t="str">
        <f>HYPERLINK("#Statut_biogéographique!A"&amp;_xlfn.XMATCH("P",Statut_biogéographique!A:A,2,1),"P")</f>
        <v>P</v>
      </c>
      <c r="AP19042" s="4" t="s">
        <v>376</v>
      </c>
      <c r="AR19042" s="4" t="s">
        <v>377</v>
      </c>
    </row>
    <row r="19043" spans="1:44">
      <c r="A19043" s="4" t="s">
        <v>10753</v>
      </c>
      <c r="B19043" s="4">
        <v>968040</v>
      </c>
      <c r="D19043" s="5" t="s">
        <v>23113</v>
      </c>
      <c r="E19043" s="6" t="str">
        <f>HYPERLINK("https://inpn.mnhn.fr/espece/cd_nom/968040","Suillia oldenbergii (Czerny, 1904)")</f>
        <v>Suillia oldenbergii (Czerny, 1904)</v>
      </c>
      <c r="AH19043" s="4" t="str">
        <f>HYPERLINK("#Statut_biogéographique!A"&amp;_xlfn.XMATCH("P",Statut_biogéographique!A:A,2,1),"P")</f>
        <v>P</v>
      </c>
      <c r="AP19043" s="4" t="s">
        <v>376</v>
      </c>
      <c r="AR19043" s="4" t="s">
        <v>377</v>
      </c>
    </row>
    <row r="19044" spans="1:44">
      <c r="A19044" s="4" t="s">
        <v>10753</v>
      </c>
      <c r="B19044" s="4">
        <v>968044</v>
      </c>
      <c r="D19044" s="5" t="s">
        <v>23114</v>
      </c>
      <c r="E19044" s="6" t="str">
        <f>HYPERLINK("https://inpn.mnhn.fr/espece/cd_nom/968044","Symballophthalmus dissimilis (Fallén, 1815)")</f>
        <v>Symballophthalmus dissimilis (Fallén, 1815)</v>
      </c>
      <c r="AH19044" s="4" t="str">
        <f>HYPERLINK("#Statut_biogéographique!A"&amp;_xlfn.XMATCH("P",Statut_biogéographique!A:A,2,1),"P")</f>
        <v>P</v>
      </c>
      <c r="AP19044" s="4" t="s">
        <v>376</v>
      </c>
      <c r="AR19044" s="4" t="s">
        <v>377</v>
      </c>
    </row>
    <row r="19045" spans="1:44">
      <c r="A19045" s="4" t="s">
        <v>10753</v>
      </c>
      <c r="B19045" s="4">
        <v>968046</v>
      </c>
      <c r="D19045" s="5">
        <v>968046</v>
      </c>
      <c r="E19045" s="6" t="str">
        <f>HYPERLINK("https://inpn.mnhn.fr/espece/cd_nom/968046","Tachydromia terricola Zetterstedt, 1819")</f>
        <v>Tachydromia terricola Zetterstedt, 1819</v>
      </c>
      <c r="AH19045" s="4" t="str">
        <f>HYPERLINK("#Statut_biogéographique!A"&amp;_xlfn.XMATCH("P",Statut_biogéographique!A:A,2,1),"P")</f>
        <v>P</v>
      </c>
      <c r="AP19045" s="4" t="s">
        <v>376</v>
      </c>
      <c r="AR19045" s="4" t="s">
        <v>377</v>
      </c>
    </row>
    <row r="19046" spans="1:44">
      <c r="A19046" s="4" t="s">
        <v>10753</v>
      </c>
      <c r="B19046" s="4">
        <v>968049</v>
      </c>
      <c r="D19046" s="5">
        <v>968049</v>
      </c>
      <c r="E19046" s="6" t="str">
        <f>HYPERLINK("https://inpn.mnhn.fr/espece/cd_nom/968049","Tachypeza fennica Tuomikoski, 1932")</f>
        <v>Tachypeza fennica Tuomikoski, 1932</v>
      </c>
      <c r="AH19046" s="4" t="str">
        <f>HYPERLINK("#Statut_biogéographique!A"&amp;_xlfn.XMATCH("P",Statut_biogéographique!A:A,2,1),"P")</f>
        <v>P</v>
      </c>
      <c r="AP19046" s="4" t="s">
        <v>376</v>
      </c>
      <c r="AR19046" s="4" t="s">
        <v>377</v>
      </c>
    </row>
    <row r="19047" spans="1:44">
      <c r="A19047" s="4" t="s">
        <v>10753</v>
      </c>
      <c r="B19047" s="4">
        <v>968052</v>
      </c>
      <c r="D19047" s="5">
        <v>968052</v>
      </c>
      <c r="E19047" s="6" t="str">
        <f>HYPERLINK("https://inpn.mnhn.fr/espece/cd_nom/968052","Telmatoscopus ellisi Withers, 1987")</f>
        <v>Telmatoscopus ellisi Withers, 1987</v>
      </c>
      <c r="AH19047" s="4" t="str">
        <f>HYPERLINK("#Statut_biogéographique!A"&amp;_xlfn.XMATCH("P",Statut_biogéographique!A:A,2,1),"P")</f>
        <v>P</v>
      </c>
      <c r="AP19047" s="4" t="s">
        <v>376</v>
      </c>
      <c r="AR19047" s="4" t="s">
        <v>377</v>
      </c>
    </row>
    <row r="19048" spans="1:44" ht="30">
      <c r="A19048" s="4" t="s">
        <v>10753</v>
      </c>
      <c r="B19048" s="4">
        <v>968053</v>
      </c>
      <c r="D19048" s="5">
        <v>968053</v>
      </c>
      <c r="E19048" s="6" t="str">
        <f>HYPERLINK("https://inpn.mnhn.fr/espece/cd_nom/968053","Telmatoscopus pseudolongicornis (Wagner, 1975)")</f>
        <v>Telmatoscopus pseudolongicornis (Wagner, 1975)</v>
      </c>
      <c r="AH19048" s="4" t="str">
        <f>HYPERLINK("#Statut_biogéographique!A"&amp;_xlfn.XMATCH("P",Statut_biogéographique!A:A,2,1),"P")</f>
        <v>P</v>
      </c>
      <c r="AP19048" s="4" t="s">
        <v>376</v>
      </c>
      <c r="AR19048" s="4" t="s">
        <v>377</v>
      </c>
    </row>
    <row r="19049" spans="1:44">
      <c r="A19049" s="4" t="s">
        <v>10753</v>
      </c>
      <c r="B19049" s="4">
        <v>968055</v>
      </c>
      <c r="D19049" s="5">
        <v>968055</v>
      </c>
      <c r="E19049" s="6" t="str">
        <f>HYPERLINK("https://inpn.mnhn.fr/espece/cd_nom/968055","Thrypticus atomus Frey, 1915")</f>
        <v>Thrypticus atomus Frey, 1915</v>
      </c>
      <c r="AH19049" s="4" t="str">
        <f>HYPERLINK("#Statut_biogéographique!A"&amp;_xlfn.XMATCH("P",Statut_biogéographique!A:A,2,1),"P")</f>
        <v>P</v>
      </c>
      <c r="AP19049" s="4" t="s">
        <v>376</v>
      </c>
      <c r="AR19049" s="4" t="s">
        <v>377</v>
      </c>
    </row>
    <row r="19050" spans="1:44">
      <c r="A19050" s="4" t="s">
        <v>10753</v>
      </c>
      <c r="B19050" s="4">
        <v>968057</v>
      </c>
      <c r="D19050" s="5">
        <v>968057</v>
      </c>
      <c r="E19050" s="6" t="str">
        <f>HYPERLINK("https://inpn.mnhn.fr/espece/cd_nom/968057","Tomosvaryella rossica Kuznetzov, 1993")</f>
        <v>Tomosvaryella rossica Kuznetzov, 1993</v>
      </c>
      <c r="AH19050" s="4" t="str">
        <f>HYPERLINK("#Statut_biogéographique!A"&amp;_xlfn.XMATCH("P",Statut_biogéographique!A:A,2,1),"P")</f>
        <v>P</v>
      </c>
      <c r="AP19050" s="4" t="s">
        <v>376</v>
      </c>
      <c r="AR19050" s="4" t="s">
        <v>377</v>
      </c>
    </row>
    <row r="19051" spans="1:44">
      <c r="A19051" s="4" t="s">
        <v>10753</v>
      </c>
      <c r="B19051" s="4">
        <v>968058</v>
      </c>
      <c r="D19051" s="5" t="s">
        <v>23115</v>
      </c>
      <c r="E19051" s="6" t="str">
        <f>HYPERLINK("https://inpn.mnhn.fr/espece/cd_nom/968058","Toxoneura basimaculata (Czerny, 1934)")</f>
        <v>Toxoneura basimaculata (Czerny, 1934)</v>
      </c>
      <c r="AH19051" s="4" t="str">
        <f>HYPERLINK("#Statut_biogéographique!A"&amp;_xlfn.XMATCH("P",Statut_biogéographique!A:A,2,1),"P")</f>
        <v>P</v>
      </c>
      <c r="AP19051" s="4" t="s">
        <v>376</v>
      </c>
      <c r="AR19051" s="4" t="s">
        <v>377</v>
      </c>
    </row>
    <row r="19052" spans="1:44">
      <c r="A19052" s="4" t="s">
        <v>10753</v>
      </c>
      <c r="B19052" s="4">
        <v>968067</v>
      </c>
      <c r="D19052" s="5">
        <v>968067</v>
      </c>
      <c r="E19052" s="6" t="str">
        <f>HYPERLINK("https://inpn.mnhn.fr/espece/cd_nom/968067","Trichina opaca Loew, 1864")</f>
        <v>Trichina opaca Loew, 1864</v>
      </c>
      <c r="AH19052" s="4" t="str">
        <f>HYPERLINK("#Statut_biogéographique!A"&amp;_xlfn.XMATCH("P",Statut_biogéographique!A:A,2,1),"P")</f>
        <v>P</v>
      </c>
      <c r="AP19052" s="4" t="s">
        <v>376</v>
      </c>
      <c r="AR19052" s="4" t="s">
        <v>377</v>
      </c>
    </row>
    <row r="19053" spans="1:44">
      <c r="A19053" s="4" t="s">
        <v>10753</v>
      </c>
      <c r="B19053" s="4">
        <v>968068</v>
      </c>
      <c r="D19053" s="5" t="s">
        <v>23116</v>
      </c>
      <c r="E19053" s="6" t="str">
        <f>HYPERLINK("https://inpn.mnhn.fr/espece/cd_nom/968068","Trichina pallipes (Zetterstedt, 1838)")</f>
        <v>Trichina pallipes (Zetterstedt, 1838)</v>
      </c>
      <c r="AH19053" s="4" t="str">
        <f>HYPERLINK("#Statut_biogéographique!A"&amp;_xlfn.XMATCH("P",Statut_biogéographique!A:A,2,1),"P")</f>
        <v>P</v>
      </c>
      <c r="AP19053" s="4" t="s">
        <v>376</v>
      </c>
      <c r="AR19053" s="4" t="s">
        <v>377</v>
      </c>
    </row>
    <row r="19054" spans="1:44">
      <c r="A19054" s="4" t="s">
        <v>10753</v>
      </c>
      <c r="B19054" s="4">
        <v>968070</v>
      </c>
      <c r="D19054" s="5">
        <v>968070</v>
      </c>
      <c r="E19054" s="6" t="str">
        <f>HYPERLINK("https://inpn.mnhn.fr/espece/cd_nom/968070","Trichosia confusa Menzel &amp; Mmohrig, 1997")</f>
        <v>Trichosia confusa Menzel &amp; Mmohrig, 1997</v>
      </c>
      <c r="AH19054" s="4" t="str">
        <f>HYPERLINK("#Statut_biogéographique!A"&amp;_xlfn.XMATCH("P",Statut_biogéographique!A:A,2,1),"P")</f>
        <v>P</v>
      </c>
      <c r="AP19054" s="4" t="s">
        <v>376</v>
      </c>
      <c r="AR19054" s="4" t="s">
        <v>377</v>
      </c>
    </row>
    <row r="19055" spans="1:44">
      <c r="A19055" s="4" t="s">
        <v>10753</v>
      </c>
      <c r="B19055" s="4">
        <v>9684</v>
      </c>
      <c r="D19055" s="5" t="s">
        <v>23117</v>
      </c>
      <c r="E19055" s="6" t="str">
        <f>HYPERLINK("https://inpn.mnhn.fr/espece/cd_nom/9684","Atheta incognita (Sharp, 1869)")</f>
        <v>Atheta incognita (Sharp, 1869)</v>
      </c>
      <c r="AH19055" s="4" t="str">
        <f>HYPERLINK("#Statut_biogéographique!A"&amp;_xlfn.XMATCH("P",Statut_biogéographique!A:A,2,1),"P")</f>
        <v>P</v>
      </c>
      <c r="AP19055" s="4" t="s">
        <v>376</v>
      </c>
      <c r="AR19055" s="4" t="s">
        <v>377</v>
      </c>
    </row>
    <row r="19056" spans="1:44">
      <c r="A19056" s="4" t="s">
        <v>10753</v>
      </c>
      <c r="B19056" s="4">
        <v>9686</v>
      </c>
      <c r="D19056" s="5" t="s">
        <v>23118</v>
      </c>
      <c r="E19056" s="6" t="str">
        <f>HYPERLINK("https://inpn.mnhn.fr/espece/cd_nom/9686","Atheta laevana (Mulsant &amp; Rey, 1852)")</f>
        <v>Atheta laevana (Mulsant &amp; Rey, 1852)</v>
      </c>
      <c r="AH19056" s="4" t="str">
        <f>HYPERLINK("#Statut_biogéographique!A"&amp;_xlfn.XMATCH("P",Statut_biogéographique!A:A,2,1),"P")</f>
        <v>P</v>
      </c>
      <c r="AP19056" s="4" t="s">
        <v>376</v>
      </c>
      <c r="AR19056" s="4" t="s">
        <v>377</v>
      </c>
    </row>
    <row r="19057" spans="1:44">
      <c r="A19057" s="4" t="s">
        <v>10753</v>
      </c>
      <c r="B19057" s="4">
        <v>9688</v>
      </c>
      <c r="D19057" s="5" t="s">
        <v>23119</v>
      </c>
      <c r="E19057" s="6" t="str">
        <f>HYPERLINK("https://inpn.mnhn.fr/espece/cd_nom/9688","Atheta marcida (Erichson, 1837)")</f>
        <v>Atheta marcida (Erichson, 1837)</v>
      </c>
      <c r="AH19057" s="4" t="str">
        <f>HYPERLINK("#Statut_biogéographique!A"&amp;_xlfn.XMATCH("P",Statut_biogéographique!A:A,2,1),"P")</f>
        <v>P</v>
      </c>
      <c r="AP19057" s="4" t="s">
        <v>376</v>
      </c>
      <c r="AR19057" s="4" t="s">
        <v>377</v>
      </c>
    </row>
    <row r="19058" spans="1:44">
      <c r="A19058" s="4" t="s">
        <v>10753</v>
      </c>
      <c r="B19058" s="4">
        <v>9690</v>
      </c>
      <c r="D19058" s="5" t="s">
        <v>23120</v>
      </c>
      <c r="E19058" s="6" t="str">
        <f>HYPERLINK("https://inpn.mnhn.fr/espece/cd_nom/9690","Atheta myrmecobia (Kraatz, 1856)")</f>
        <v>Atheta myrmecobia (Kraatz, 1856)</v>
      </c>
      <c r="AH19058" s="4" t="str">
        <f>HYPERLINK("#Statut_biogéographique!A"&amp;_xlfn.XMATCH("P",Statut_biogéographique!A:A,2,1),"P")</f>
        <v>P</v>
      </c>
      <c r="AP19058" s="4" t="s">
        <v>376</v>
      </c>
      <c r="AR19058" s="4" t="s">
        <v>377</v>
      </c>
    </row>
    <row r="19059" spans="1:44">
      <c r="A19059" s="4" t="s">
        <v>10753</v>
      </c>
      <c r="B19059" s="4">
        <v>9691</v>
      </c>
      <c r="D19059" s="5" t="s">
        <v>23121</v>
      </c>
      <c r="E19059" s="6" t="str">
        <f>HYPERLINK("https://inpn.mnhn.fr/espece/cd_nom/9691","Atheta nigritula (Gravenhorst, 1802)")</f>
        <v>Atheta nigritula (Gravenhorst, 1802)</v>
      </c>
      <c r="AH19059" s="4" t="str">
        <f>HYPERLINK("#Statut_biogéographique!A"&amp;_xlfn.XMATCH("P",Statut_biogéographique!A:A,2,1),"P")</f>
        <v>P</v>
      </c>
      <c r="AP19059" s="4" t="s">
        <v>376</v>
      </c>
      <c r="AR19059" s="4" t="s">
        <v>377</v>
      </c>
    </row>
    <row r="19060" spans="1:44">
      <c r="A19060" s="4" t="s">
        <v>10753</v>
      </c>
      <c r="B19060" s="4">
        <v>969165</v>
      </c>
      <c r="D19060" s="5" t="s">
        <v>23122</v>
      </c>
      <c r="E19060" s="6" t="str">
        <f>HYPERLINK("https://inpn.mnhn.fr/espece/cd_nom/969165","Periscepsia spathulata (Fallén, 1820)")</f>
        <v>Periscepsia spathulata (Fallén, 1820)</v>
      </c>
      <c r="AH19060" s="4" t="str">
        <f>HYPERLINK("#Statut_biogéographique!A"&amp;_xlfn.XMATCH("P",Statut_biogéographique!A:A,2,1),"P")</f>
        <v>P</v>
      </c>
      <c r="AP19060" s="4" t="s">
        <v>376</v>
      </c>
      <c r="AR19060" s="4" t="s">
        <v>377</v>
      </c>
    </row>
    <row r="19061" spans="1:44" ht="30">
      <c r="A19061" s="4" t="s">
        <v>10753</v>
      </c>
      <c r="B19061" s="4">
        <v>969336</v>
      </c>
      <c r="D19061" s="5" t="s">
        <v>23123</v>
      </c>
      <c r="E19061" s="6" t="str">
        <f>HYPERLINK("https://inpn.mnhn.fr/espece/cd_nom/969336","Panzeria caesia (Fallén, 1810)")</f>
        <v>Panzeria caesia (Fallén, 1810)</v>
      </c>
      <c r="AH19061" s="4" t="str">
        <f>HYPERLINK("#Statut_biogéographique!A"&amp;_xlfn.XMATCH("P",Statut_biogéographique!A:A,2,1),"P")</f>
        <v>P</v>
      </c>
      <c r="AP19061" s="4" t="s">
        <v>376</v>
      </c>
      <c r="AR19061" s="4" t="s">
        <v>377</v>
      </c>
    </row>
    <row r="19062" spans="1:44" ht="45">
      <c r="A19062" s="4" t="s">
        <v>10753</v>
      </c>
      <c r="B19062" s="4">
        <v>969347</v>
      </c>
      <c r="D19062" s="5" t="s">
        <v>23124</v>
      </c>
      <c r="E19062" s="6" t="str">
        <f>HYPERLINK("https://inpn.mnhn.fr/espece/cd_nom/969347","Panzeria nemorum (Meigen, 1824)")</f>
        <v>Panzeria nemorum (Meigen, 1824)</v>
      </c>
      <c r="AH19062" s="4" t="str">
        <f>HYPERLINK("#Statut_biogéographique!A"&amp;_xlfn.XMATCH("P",Statut_biogéographique!A:A,2,1),"P")</f>
        <v>P</v>
      </c>
      <c r="AP19062" s="4" t="s">
        <v>376</v>
      </c>
      <c r="AR19062" s="4" t="s">
        <v>377</v>
      </c>
    </row>
    <row r="19063" spans="1:44">
      <c r="A19063" s="4" t="s">
        <v>10753</v>
      </c>
      <c r="B19063" s="4">
        <v>969489</v>
      </c>
      <c r="D19063" s="5" t="s">
        <v>23125</v>
      </c>
      <c r="E19063" s="6" t="str">
        <f>HYPERLINK("https://inpn.mnhn.fr/espece/cd_nom/969489","Micropselapha filiformis (Zetterstedt, 1846)")</f>
        <v>Micropselapha filiformis (Zetterstedt, 1846)</v>
      </c>
      <c r="AH19063" s="4" t="str">
        <f>HYPERLINK("#Statut_biogéographique!A"&amp;_xlfn.XMATCH("P",Statut_biogéographique!A:A,2,1),"P")</f>
        <v>P</v>
      </c>
      <c r="AP19063" s="4" t="s">
        <v>376</v>
      </c>
      <c r="AR19063" s="4" t="s">
        <v>377</v>
      </c>
    </row>
    <row r="19064" spans="1:44">
      <c r="A19064" s="4" t="s">
        <v>10753</v>
      </c>
      <c r="B19064" s="4">
        <v>969866</v>
      </c>
      <c r="D19064" s="5" t="s">
        <v>23126</v>
      </c>
      <c r="E19064" s="6" t="str">
        <f>HYPERLINK("https://inpn.mnhn.fr/espece/cd_nom/969866","Lathonura rectirostris (O.F. Müller, 1785)")</f>
        <v>Lathonura rectirostris (O.F. Müller, 1785)</v>
      </c>
      <c r="AH19064" s="4" t="str">
        <f>HYPERLINK("#Statut_biogéographique!A"&amp;_xlfn.XMATCH("P",Statut_biogéographique!A:A,2,1),"P")</f>
        <v>P</v>
      </c>
      <c r="AP19064" s="4" t="s">
        <v>376</v>
      </c>
      <c r="AR19064" s="4" t="s">
        <v>377</v>
      </c>
    </row>
    <row r="19065" spans="1:44">
      <c r="A19065" s="4" t="s">
        <v>10753</v>
      </c>
      <c r="B19065" s="4">
        <v>969926</v>
      </c>
      <c r="D19065" s="5" t="s">
        <v>23127</v>
      </c>
      <c r="E19065" s="6" t="str">
        <f>HYPERLINK("https://inpn.mnhn.fr/espece/cd_nom/969926","Faxonius juvenilis (Hagen, 1870)")</f>
        <v>Faxonius juvenilis (Hagen, 1870)</v>
      </c>
      <c r="O19065" s="7" t="str">
        <f>HYPERLINK("#Liste_rouge!A"&amp;_xlfn.XMATCH("LC",Liste_rouge!A:A,2,1),"LC")</f>
        <v>LC</v>
      </c>
      <c r="Q19065" s="7" t="str">
        <f>HYPERLINK("#Liste_rouge!A"&amp;_xlfn.XMATCH("NA",Liste_rouge!A:A,2,1),"NA")</f>
        <v>NA</v>
      </c>
      <c r="AH19065" s="4" t="str">
        <f>HYPERLINK("#Statut_biogéographique!A"&amp;_xlfn.XMATCH("I",Statut_biogéographique!A:A,2,1),"I")</f>
        <v>I</v>
      </c>
      <c r="AP19065" s="4" t="s">
        <v>376</v>
      </c>
      <c r="AR19065" s="4" t="s">
        <v>377</v>
      </c>
    </row>
    <row r="19066" spans="1:44">
      <c r="A19066" s="4" t="s">
        <v>10753</v>
      </c>
      <c r="B19066" s="4">
        <v>9700</v>
      </c>
      <c r="D19066" s="5" t="s">
        <v>23128</v>
      </c>
      <c r="E19066" s="6" t="str">
        <f>HYPERLINK("https://inpn.mnhn.fr/espece/cd_nom/9700","Atheta triangulum (Kraatz, 1856)")</f>
        <v>Atheta triangulum (Kraatz, 1856)</v>
      </c>
      <c r="AH19066" s="4" t="str">
        <f>HYPERLINK("#Statut_biogéographique!A"&amp;_xlfn.XMATCH("P",Statut_biogéographique!A:A,2,1),"P")</f>
        <v>P</v>
      </c>
      <c r="AP19066" s="4" t="s">
        <v>376</v>
      </c>
      <c r="AR19066" s="4" t="s">
        <v>377</v>
      </c>
    </row>
    <row r="19067" spans="1:44">
      <c r="A19067" s="4" t="s">
        <v>10753</v>
      </c>
      <c r="B19067" s="4">
        <v>9702</v>
      </c>
      <c r="D19067" s="5" t="s">
        <v>23129</v>
      </c>
      <c r="E19067" s="6" t="str">
        <f>HYPERLINK("https://inpn.mnhn.fr/espece/cd_nom/9702","Amischa analis (Gravenhorst, 1802)")</f>
        <v>Amischa analis (Gravenhorst, 1802)</v>
      </c>
      <c r="AH19067" s="4" t="str">
        <f>HYPERLINK("#Statut_biogéographique!A"&amp;_xlfn.XMATCH("P",Statut_biogéographique!A:A,2,1),"P")</f>
        <v>P</v>
      </c>
      <c r="AP19067" s="4" t="s">
        <v>376</v>
      </c>
      <c r="AR19067" s="4" t="s">
        <v>377</v>
      </c>
    </row>
    <row r="19068" spans="1:44">
      <c r="A19068" s="4" t="s">
        <v>10753</v>
      </c>
      <c r="B19068" s="4">
        <v>9714</v>
      </c>
      <c r="D19068" s="5" t="s">
        <v>23130</v>
      </c>
      <c r="E19068" s="6" t="str">
        <f>HYPERLINK("https://inpn.mnhn.fr/espece/cd_nom/9714","Autalia impressa (Olivier, 1795)")</f>
        <v>Autalia impressa (Olivier, 1795)</v>
      </c>
      <c r="AH19068" s="4" t="str">
        <f>HYPERLINK("#Statut_biogéographique!A"&amp;_xlfn.XMATCH("P",Statut_biogéographique!A:A,2,1),"P")</f>
        <v>P</v>
      </c>
      <c r="AP19068" s="4" t="s">
        <v>376</v>
      </c>
      <c r="AR19068" s="4" t="s">
        <v>377</v>
      </c>
    </row>
    <row r="19069" spans="1:44">
      <c r="A19069" s="4" t="s">
        <v>10753</v>
      </c>
      <c r="B19069" s="4">
        <v>9716</v>
      </c>
      <c r="D19069" s="5">
        <v>9716</v>
      </c>
      <c r="E19069" s="6" t="str">
        <f>HYPERLINK("https://inpn.mnhn.fr/espece/cd_nom/9716","Bolitochara bella Märkel, 1844")</f>
        <v>Bolitochara bella Märkel, 1844</v>
      </c>
      <c r="AH19069" s="4" t="str">
        <f>HYPERLINK("#Statut_biogéographique!A"&amp;_xlfn.XMATCH("P",Statut_biogéographique!A:A,2,1),"P")</f>
        <v>P</v>
      </c>
      <c r="AP19069" s="4" t="s">
        <v>376</v>
      </c>
      <c r="AR19069" s="4" t="s">
        <v>377</v>
      </c>
    </row>
    <row r="19070" spans="1:44">
      <c r="A19070" s="4" t="s">
        <v>10753</v>
      </c>
      <c r="B19070" s="4">
        <v>9717</v>
      </c>
      <c r="D19070" s="5" t="s">
        <v>23131</v>
      </c>
      <c r="E19070" s="6" t="str">
        <f>HYPERLINK("https://inpn.mnhn.fr/espece/cd_nom/9717","Bolitochara lucida (Gravenhorst, 1802)")</f>
        <v>Bolitochara lucida (Gravenhorst, 1802)</v>
      </c>
      <c r="AH19070" s="4" t="str">
        <f>HYPERLINK("#Statut_biogéographique!A"&amp;_xlfn.XMATCH("P",Statut_biogéographique!A:A,2,1),"P")</f>
        <v>P</v>
      </c>
      <c r="AP19070" s="4" t="s">
        <v>376</v>
      </c>
      <c r="AR19070" s="4" t="s">
        <v>377</v>
      </c>
    </row>
    <row r="19071" spans="1:44">
      <c r="A19071" s="4" t="s">
        <v>10753</v>
      </c>
      <c r="B19071" s="4">
        <v>971768</v>
      </c>
      <c r="D19071" s="5" t="s">
        <v>23132</v>
      </c>
      <c r="E19071" s="6" t="str">
        <f>HYPERLINK("https://inpn.mnhn.fr/espece/cd_nom/971768","Gomphocerippus vagans (Eversmann, 1848)")</f>
        <v>Gomphocerippus vagans (Eversmann, 1848)</v>
      </c>
      <c r="F19071" s="5" t="s">
        <v>23133</v>
      </c>
      <c r="P19071" s="7" t="str">
        <f>HYPERLINK("#Liste_rouge!A"&amp;_xlfn.XMATCH("LC",Liste_rouge!A:A,2,1),"LC")</f>
        <v>LC</v>
      </c>
      <c r="V19071" s="7" t="str">
        <f>HYPERLINK("#Liste_rouge!A"&amp;_xlfn.XMATCH("NT",Liste_rouge!A:A,2,1),"NT")</f>
        <v>NT</v>
      </c>
      <c r="W19071" s="4" t="str">
        <f>HYPERLINK("#Critères_liste_rouge!A$1","pr.A3c")</f>
        <v>pr.A3c</v>
      </c>
      <c r="X19071" s="5" t="s">
        <v>398</v>
      </c>
      <c r="AH19071" s="4" t="str">
        <f>HYPERLINK("#Statut_biogéographique!A"&amp;_xlfn.XMATCH("P",Statut_biogéographique!A:A,2,1),"P")</f>
        <v>P</v>
      </c>
      <c r="AM19071" s="4" t="s">
        <v>375</v>
      </c>
      <c r="AN19071" s="4" t="s">
        <v>375</v>
      </c>
      <c r="AO19071" s="4" t="s">
        <v>375</v>
      </c>
      <c r="AP19071" s="4" t="s">
        <v>376</v>
      </c>
      <c r="AR19071" s="4" t="s">
        <v>377</v>
      </c>
    </row>
    <row r="19072" spans="1:44">
      <c r="A19072" s="4" t="s">
        <v>10753</v>
      </c>
      <c r="B19072" s="4">
        <v>971791</v>
      </c>
      <c r="D19072" s="5" t="s">
        <v>23134</v>
      </c>
      <c r="E19072" s="6" t="str">
        <f>HYPERLINK("https://inpn.mnhn.fr/espece/cd_nom/971791","Gomphocerippus brunneus (Thunberg, 1815)")</f>
        <v>Gomphocerippus brunneus (Thunberg, 1815)</v>
      </c>
      <c r="F19072" s="5" t="s">
        <v>23135</v>
      </c>
      <c r="O19072" s="7" t="str">
        <f>HYPERLINK("#Liste_rouge!A"&amp;_xlfn.XMATCH("LC",Liste_rouge!A:A,2,1),"LC")</f>
        <v>LC</v>
      </c>
      <c r="P19072" s="7" t="str">
        <f>HYPERLINK("#Liste_rouge!A"&amp;_xlfn.XMATCH("LC",Liste_rouge!A:A,2,1),"LC")</f>
        <v>LC</v>
      </c>
      <c r="V19072" s="7" t="str">
        <f>HYPERLINK("#Liste_rouge!A"&amp;_xlfn.XMATCH("LC",Liste_rouge!A:A,2,1),"LC")</f>
        <v>LC</v>
      </c>
      <c r="AH19072" s="4" t="str">
        <f>HYPERLINK("#Statut_biogéographique!A"&amp;_xlfn.XMATCH("P",Statut_biogéographique!A:A,2,1),"P")</f>
        <v>P</v>
      </c>
      <c r="AM19072" s="4" t="s">
        <v>375</v>
      </c>
      <c r="AN19072" s="4" t="s">
        <v>375</v>
      </c>
      <c r="AO19072" s="4" t="s">
        <v>375</v>
      </c>
      <c r="AP19072" s="4" t="s">
        <v>376</v>
      </c>
      <c r="AR19072" s="4" t="s">
        <v>377</v>
      </c>
    </row>
    <row r="19073" spans="1:44" ht="30">
      <c r="A19073" s="4" t="s">
        <v>10753</v>
      </c>
      <c r="B19073" s="4">
        <v>971792</v>
      </c>
      <c r="D19073" s="5" t="s">
        <v>23136</v>
      </c>
      <c r="E19073" s="6" t="str">
        <f>HYPERLINK("https://inpn.mnhn.fr/espece/cd_nom/971792","Gomphocerippus brunneus brunneus (Thunberg, 1815)")</f>
        <v>Gomphocerippus brunneus brunneus (Thunberg, 1815)</v>
      </c>
      <c r="F19073" s="5" t="s">
        <v>23137</v>
      </c>
      <c r="AH19073" s="4" t="str">
        <f>HYPERLINK("#Statut_biogéographique!A"&amp;_xlfn.XMATCH("P",Statut_biogéographique!A:A,2,1),"P")</f>
        <v>P</v>
      </c>
      <c r="AP19073" s="4" t="s">
        <v>376</v>
      </c>
      <c r="AR19073" s="4" t="s">
        <v>377</v>
      </c>
    </row>
    <row r="19074" spans="1:44" ht="30">
      <c r="A19074" s="4" t="s">
        <v>10753</v>
      </c>
      <c r="B19074" s="4">
        <v>971798</v>
      </c>
      <c r="D19074" s="5" t="s">
        <v>23138</v>
      </c>
      <c r="E19074" s="6" t="str">
        <f>HYPERLINK("https://inpn.mnhn.fr/espece/cd_nom/971798","Gomphocerippus biguttulus biguttulus (Linnaeus, 1758)")</f>
        <v>Gomphocerippus biguttulus biguttulus (Linnaeus, 1758)</v>
      </c>
      <c r="F19074" s="5" t="s">
        <v>23139</v>
      </c>
      <c r="AH19074" s="4" t="str">
        <f>HYPERLINK("#Statut_biogéographique!A"&amp;_xlfn.XMATCH("P",Statut_biogéographique!A:A,2,1),"P")</f>
        <v>P</v>
      </c>
      <c r="AP19074" s="4" t="s">
        <v>376</v>
      </c>
      <c r="AR19074" s="4" t="s">
        <v>377</v>
      </c>
    </row>
    <row r="19075" spans="1:44">
      <c r="A19075" s="4" t="s">
        <v>10753</v>
      </c>
      <c r="B19075" s="4">
        <v>971800</v>
      </c>
      <c r="D19075" s="5" t="s">
        <v>23140</v>
      </c>
      <c r="E19075" s="6" t="str">
        <f>HYPERLINK("https://inpn.mnhn.fr/espece/cd_nom/971800","Gomphocerippus mollis (Charpentier, 1825)")</f>
        <v>Gomphocerippus mollis (Charpentier, 1825)</v>
      </c>
      <c r="F19075" s="5" t="s">
        <v>23141</v>
      </c>
      <c r="P19075" s="7" t="str">
        <f>HYPERLINK("#Liste_rouge!A"&amp;_xlfn.XMATCH("LC",Liste_rouge!A:A,2,1),"LC")</f>
        <v>LC</v>
      </c>
      <c r="V19075" s="7" t="str">
        <f>HYPERLINK("#Liste_rouge!A"&amp;_xlfn.XMATCH("LC",Liste_rouge!A:A,2,1),"LC")</f>
        <v>LC</v>
      </c>
      <c r="AH19075" s="4" t="str">
        <f>HYPERLINK("#Statut_biogéographique!A"&amp;_xlfn.XMATCH("P",Statut_biogéographique!A:A,2,1),"P")</f>
        <v>P</v>
      </c>
      <c r="AM19075" s="4" t="s">
        <v>375</v>
      </c>
      <c r="AN19075" s="4" t="s">
        <v>375</v>
      </c>
      <c r="AO19075" s="4" t="s">
        <v>375</v>
      </c>
      <c r="AP19075" s="4" t="s">
        <v>376</v>
      </c>
      <c r="AR19075" s="4" t="s">
        <v>377</v>
      </c>
    </row>
    <row r="19076" spans="1:44" ht="30">
      <c r="A19076" s="4" t="s">
        <v>10753</v>
      </c>
      <c r="B19076" s="4">
        <v>971801</v>
      </c>
      <c r="D19076" s="5" t="s">
        <v>23142</v>
      </c>
      <c r="E19076" s="6" t="str">
        <f>HYPERLINK("https://inpn.mnhn.fr/espece/cd_nom/971801","Gomphocerippus mollis mollis (Charpentier, 1825)")</f>
        <v>Gomphocerippus mollis mollis (Charpentier, 1825)</v>
      </c>
      <c r="F19076" s="5" t="s">
        <v>23143</v>
      </c>
      <c r="AH19076" s="4" t="str">
        <f>HYPERLINK("#Statut_biogéographique!A"&amp;_xlfn.XMATCH("P",Statut_biogéographique!A:A,2,1),"P")</f>
        <v>P</v>
      </c>
      <c r="AP19076" s="4" t="s">
        <v>376</v>
      </c>
      <c r="AR19076" s="4" t="s">
        <v>377</v>
      </c>
    </row>
    <row r="19077" spans="1:44">
      <c r="A19077" s="4" t="s">
        <v>10753</v>
      </c>
      <c r="B19077" s="4">
        <v>972970</v>
      </c>
      <c r="D19077" s="5" t="s">
        <v>23144</v>
      </c>
      <c r="E19077" s="6" t="str">
        <f>HYPERLINK("https://inpn.mnhn.fr/espece/cd_nom/972970","Coelichneumon biguttorius (Thunberg, 1789)")</f>
        <v>Coelichneumon biguttorius (Thunberg, 1789)</v>
      </c>
      <c r="AH19077" s="4" t="str">
        <f>HYPERLINK("#Statut_biogéographique!A"&amp;_xlfn.XMATCH("P",Statut_biogéographique!A:A,2,1),"P")</f>
        <v>P</v>
      </c>
      <c r="AP19077" s="4" t="s">
        <v>376</v>
      </c>
      <c r="AR19077" s="4" t="s">
        <v>377</v>
      </c>
    </row>
    <row r="19078" spans="1:44">
      <c r="A19078" s="4" t="s">
        <v>10753</v>
      </c>
      <c r="B19078" s="4">
        <v>9732</v>
      </c>
      <c r="D19078" s="5">
        <v>9732</v>
      </c>
      <c r="E19078" s="6" t="str">
        <f>HYPERLINK("https://inpn.mnhn.fr/espece/cd_nom/9732","Placusa complanata Erichson, 1839")</f>
        <v>Placusa complanata Erichson, 1839</v>
      </c>
      <c r="AH19078" s="4" t="str">
        <f>HYPERLINK("#Statut_biogéographique!A"&amp;_xlfn.XMATCH("P",Statut_biogéographique!A:A,2,1),"P")</f>
        <v>P</v>
      </c>
      <c r="AP19078" s="4" t="s">
        <v>376</v>
      </c>
      <c r="AR19078" s="4" t="s">
        <v>377</v>
      </c>
    </row>
    <row r="19079" spans="1:44" ht="30">
      <c r="A19079" s="4" t="s">
        <v>10753</v>
      </c>
      <c r="B19079" s="4">
        <v>973281</v>
      </c>
      <c r="D19079" s="5" t="s">
        <v>23145</v>
      </c>
      <c r="E19079" s="6" t="str">
        <f>HYPERLINK("https://inpn.mnhn.fr/espece/cd_nom/973281","Planuncus nicaeensis (Brisout de Barneville, 1852)")</f>
        <v>Planuncus nicaeensis (Brisout de Barneville, 1852)</v>
      </c>
      <c r="AH19079" s="4" t="str">
        <f>HYPERLINK("#Statut_biogéographique!A"&amp;_xlfn.XMATCH("E",Statut_biogéographique!A:A,2,1),"E")</f>
        <v>E</v>
      </c>
      <c r="AP19079" s="4" t="s">
        <v>376</v>
      </c>
      <c r="AR19079" s="4" t="s">
        <v>377</v>
      </c>
    </row>
    <row r="19080" spans="1:44">
      <c r="A19080" s="4" t="s">
        <v>10753</v>
      </c>
      <c r="B19080" s="4">
        <v>9733</v>
      </c>
      <c r="D19080" s="5" t="s">
        <v>23146</v>
      </c>
      <c r="E19080" s="6" t="str">
        <f>HYPERLINK("https://inpn.mnhn.fr/espece/cd_nom/9733","Placusa tachyporoides (Waltl, 1838)")</f>
        <v>Placusa tachyporoides (Waltl, 1838)</v>
      </c>
      <c r="AH19080" s="4" t="str">
        <f>HYPERLINK("#Statut_biogéographique!A"&amp;_xlfn.XMATCH("P",Statut_biogéographique!A:A,2,1),"P")</f>
        <v>P</v>
      </c>
      <c r="AP19080" s="4" t="s">
        <v>376</v>
      </c>
      <c r="AR19080" s="4" t="s">
        <v>377</v>
      </c>
    </row>
    <row r="19081" spans="1:44" ht="30">
      <c r="A19081" s="4" t="s">
        <v>10753</v>
      </c>
      <c r="B19081" s="4">
        <v>9740</v>
      </c>
      <c r="D19081" s="5" t="s">
        <v>23147</v>
      </c>
      <c r="E19081" s="6" t="str">
        <f>HYPERLINK("https://inpn.mnhn.fr/espece/cd_nom/9740","Myllaena brevicornis (A.[H.] Matthews, 1838)")</f>
        <v>Myllaena brevicornis (A.[H.] Matthews, 1838)</v>
      </c>
      <c r="AH19081" s="4" t="str">
        <f>HYPERLINK("#Statut_biogéographique!A"&amp;_xlfn.XMATCH("P",Statut_biogéographique!A:A,2,1),"P")</f>
        <v>P</v>
      </c>
      <c r="AP19081" s="4" t="s">
        <v>376</v>
      </c>
      <c r="AR19081" s="4" t="s">
        <v>377</v>
      </c>
    </row>
    <row r="19082" spans="1:44">
      <c r="A19082" s="4" t="s">
        <v>10753</v>
      </c>
      <c r="B19082" s="4">
        <v>9741</v>
      </c>
      <c r="D19082" s="5" t="s">
        <v>23148</v>
      </c>
      <c r="E19082" s="6" t="str">
        <f>HYPERLINK("https://inpn.mnhn.fr/espece/cd_nom/9741","Myllaena dubia (Gravenhorst, 1806)")</f>
        <v>Myllaena dubia (Gravenhorst, 1806)</v>
      </c>
      <c r="AH19082" s="4" t="str">
        <f>HYPERLINK("#Statut_biogéographique!A"&amp;_xlfn.XMATCH("P",Statut_biogéographique!A:A,2,1),"P")</f>
        <v>P</v>
      </c>
      <c r="AP19082" s="4" t="s">
        <v>376</v>
      </c>
      <c r="AR19082" s="4" t="s">
        <v>377</v>
      </c>
    </row>
    <row r="19083" spans="1:44">
      <c r="A19083" s="4" t="s">
        <v>10753</v>
      </c>
      <c r="B19083" s="4">
        <v>975010</v>
      </c>
      <c r="D19083" s="5" t="s">
        <v>23149</v>
      </c>
      <c r="E19083" s="6" t="str">
        <f>HYPERLINK("https://inpn.mnhn.fr/espece/cd_nom/975010","Priocnemis confusor Wahis, 2006")</f>
        <v>Priocnemis confusor Wahis, 2006</v>
      </c>
      <c r="AH19083" s="4" t="str">
        <f>HYPERLINK("#Statut_biogéographique!A"&amp;_xlfn.XMATCH("P",Statut_biogéographique!A:A,2,1),"P")</f>
        <v>P</v>
      </c>
      <c r="AP19083" s="4" t="s">
        <v>376</v>
      </c>
      <c r="AR19083" s="4" t="s">
        <v>377</v>
      </c>
    </row>
    <row r="19084" spans="1:44">
      <c r="A19084" s="4" t="s">
        <v>10753</v>
      </c>
      <c r="B19084" s="4">
        <v>9757</v>
      </c>
      <c r="D19084" s="5">
        <v>9757</v>
      </c>
      <c r="E19084" s="6" t="str">
        <f>HYPERLINK("https://inpn.mnhn.fr/espece/cd_nom/9757","Tachyporus atriceps Stephens, 1832")</f>
        <v>Tachyporus atriceps Stephens, 1832</v>
      </c>
      <c r="AH19084" s="4" t="str">
        <f>HYPERLINK("#Statut_biogéographique!A"&amp;_xlfn.XMATCH("P",Statut_biogéographique!A:A,2,1),"P")</f>
        <v>P</v>
      </c>
      <c r="AP19084" s="4" t="s">
        <v>376</v>
      </c>
      <c r="AR19084" s="4" t="s">
        <v>377</v>
      </c>
    </row>
    <row r="19085" spans="1:44">
      <c r="A19085" s="4" t="s">
        <v>10753</v>
      </c>
      <c r="B19085" s="4">
        <v>9758</v>
      </c>
      <c r="D19085" s="5" t="s">
        <v>23150</v>
      </c>
      <c r="E19085" s="6" t="str">
        <f>HYPERLINK("https://inpn.mnhn.fr/espece/cd_nom/9758","Tachyporus chrysomelinus (Linnaeus, 1758)")</f>
        <v>Tachyporus chrysomelinus (Linnaeus, 1758)</v>
      </c>
      <c r="AH19085" s="4" t="str">
        <f>HYPERLINK("#Statut_biogéographique!A"&amp;_xlfn.XMATCH("P",Statut_biogéographique!A:A,2,1),"P")</f>
        <v>P</v>
      </c>
      <c r="AP19085" s="4" t="s">
        <v>376</v>
      </c>
      <c r="AR19085" s="4" t="s">
        <v>377</v>
      </c>
    </row>
    <row r="19086" spans="1:44">
      <c r="A19086" s="4" t="s">
        <v>10753</v>
      </c>
      <c r="B19086" s="4">
        <v>9760</v>
      </c>
      <c r="D19086" s="5" t="s">
        <v>23151</v>
      </c>
      <c r="E19086" s="6" t="str">
        <f>HYPERLINK("https://inpn.mnhn.fr/espece/cd_nom/9760","Tachyporus hypnorum (Fabricius, 1775)")</f>
        <v>Tachyporus hypnorum (Fabricius, 1775)</v>
      </c>
      <c r="AH19086" s="4" t="str">
        <f>HYPERLINK("#Statut_biogéographique!A"&amp;_xlfn.XMATCH("P",Statut_biogéographique!A:A,2,1),"P")</f>
        <v>P</v>
      </c>
      <c r="AP19086" s="4" t="s">
        <v>376</v>
      </c>
      <c r="AR19086" s="4" t="s">
        <v>377</v>
      </c>
    </row>
    <row r="19087" spans="1:44">
      <c r="A19087" s="4" t="s">
        <v>10753</v>
      </c>
      <c r="B19087" s="4">
        <v>9761</v>
      </c>
      <c r="D19087" s="5" t="s">
        <v>23152</v>
      </c>
      <c r="E19087" s="6" t="str">
        <f>HYPERLINK("https://inpn.mnhn.fr/espece/cd_nom/9761","Tachyporus obtusus (Linnaeus, 1767)")</f>
        <v>Tachyporus obtusus (Linnaeus, 1767)</v>
      </c>
      <c r="AH19087" s="4" t="str">
        <f>HYPERLINK("#Statut_biogéographique!A"&amp;_xlfn.XMATCH("P",Statut_biogéographique!A:A,2,1),"P")</f>
        <v>P</v>
      </c>
      <c r="AP19087" s="4" t="s">
        <v>376</v>
      </c>
      <c r="AR19087" s="4" t="s">
        <v>377</v>
      </c>
    </row>
    <row r="19088" spans="1:44">
      <c r="A19088" s="4" t="s">
        <v>10753</v>
      </c>
      <c r="B19088" s="4">
        <v>9764</v>
      </c>
      <c r="D19088" s="5">
        <v>9764</v>
      </c>
      <c r="E19088" s="6" t="str">
        <f>HYPERLINK("https://inpn.mnhn.fr/espece/cd_nom/9764","Tachyporus solutus Erichson, 1839")</f>
        <v>Tachyporus solutus Erichson, 1839</v>
      </c>
      <c r="AH19088" s="4" t="str">
        <f>HYPERLINK("#Statut_biogéographique!A"&amp;_xlfn.XMATCH("P",Statut_biogéographique!A:A,2,1),"P")</f>
        <v>P</v>
      </c>
      <c r="AP19088" s="4" t="s">
        <v>376</v>
      </c>
      <c r="AR19088" s="4" t="s">
        <v>377</v>
      </c>
    </row>
    <row r="19089" spans="1:44" ht="30">
      <c r="A19089" s="4" t="s">
        <v>10753</v>
      </c>
      <c r="B19089" s="4">
        <v>976482</v>
      </c>
      <c r="D19089" s="5" t="s">
        <v>23153</v>
      </c>
      <c r="E19089" s="6" t="str">
        <f>HYPERLINK("https://inpn.mnhn.fr/espece/cd_nom/976482","Uncinus obductellus (Zeller, 1839)")</f>
        <v>Uncinus obductellus (Zeller, 1839)</v>
      </c>
      <c r="AH19089" s="4" t="str">
        <f>HYPERLINK("#Statut_biogéographique!A"&amp;_xlfn.XMATCH("P",Statut_biogéographique!A:A,2,1),"P")</f>
        <v>P</v>
      </c>
      <c r="AP19089" s="4" t="s">
        <v>376</v>
      </c>
      <c r="AR19089" s="4" t="s">
        <v>377</v>
      </c>
    </row>
    <row r="19090" spans="1:44">
      <c r="A19090" s="4" t="s">
        <v>10753</v>
      </c>
      <c r="B19090" s="4">
        <v>9768</v>
      </c>
      <c r="D19090" s="5">
        <v>9768</v>
      </c>
      <c r="E19090" s="6" t="str">
        <f>HYPERLINK("https://inpn.mnhn.fr/espece/cd_nom/9768","Tachinus humeralis Gravenhorst, 1802")</f>
        <v>Tachinus humeralis Gravenhorst, 1802</v>
      </c>
      <c r="AH19090" s="4" t="str">
        <f>HYPERLINK("#Statut_biogéographique!A"&amp;_xlfn.XMATCH("P",Statut_biogéographique!A:A,2,1),"P")</f>
        <v>P</v>
      </c>
      <c r="AP19090" s="4" t="s">
        <v>376</v>
      </c>
      <c r="AR19090" s="4" t="s">
        <v>377</v>
      </c>
    </row>
    <row r="19091" spans="1:44">
      <c r="A19091" s="4" t="s">
        <v>10753</v>
      </c>
      <c r="B19091" s="4">
        <v>9772</v>
      </c>
      <c r="D19091" s="5" t="s">
        <v>23154</v>
      </c>
      <c r="E19091" s="6" t="str">
        <f>HYPERLINK("https://inpn.mnhn.fr/espece/cd_nom/9772","Tachinus subterraneus (Linnaeus, 1758)")</f>
        <v>Tachinus subterraneus (Linnaeus, 1758)</v>
      </c>
      <c r="AH19091" s="4" t="str">
        <f>HYPERLINK("#Statut_biogéographique!A"&amp;_xlfn.XMATCH("P",Statut_biogéographique!A:A,2,1),"P")</f>
        <v>P</v>
      </c>
      <c r="AP19091" s="4" t="s">
        <v>376</v>
      </c>
      <c r="AR19091" s="4" t="s">
        <v>377</v>
      </c>
    </row>
    <row r="19092" spans="1:44">
      <c r="A19092" s="4" t="s">
        <v>10753</v>
      </c>
      <c r="B19092" s="4">
        <v>9783</v>
      </c>
      <c r="D19092" s="5">
        <v>9783</v>
      </c>
      <c r="E19092" s="6" t="str">
        <f>HYPERLINK("https://inpn.mnhn.fr/espece/cd_nom/9783","Mycetoporus longulus Mannerheim, 1830")</f>
        <v>Mycetoporus longulus Mannerheim, 1830</v>
      </c>
      <c r="AH19092" s="4" t="str">
        <f>HYPERLINK("#Statut_biogéographique!A"&amp;_xlfn.XMATCH("P",Statut_biogéographique!A:A,2,1),"P")</f>
        <v>P</v>
      </c>
      <c r="AP19092" s="4" t="s">
        <v>376</v>
      </c>
      <c r="AR19092" s="4" t="s">
        <v>377</v>
      </c>
    </row>
    <row r="19093" spans="1:44">
      <c r="A19093" s="4" t="s">
        <v>10753</v>
      </c>
      <c r="B19093" s="4">
        <v>980566</v>
      </c>
      <c r="D19093" s="5" t="s">
        <v>23155</v>
      </c>
      <c r="E19093" s="6" t="str">
        <f>HYPERLINK("https://inpn.mnhn.fr/espece/cd_nom/980566","Caryocolum blandellum (Douglas, 1852)")</f>
        <v>Caryocolum blandellum (Douglas, 1852)</v>
      </c>
      <c r="AH19093" s="4" t="str">
        <f>HYPERLINK("#Statut_biogéographique!A"&amp;_xlfn.XMATCH("P",Statut_biogéographique!A:A,2,1),"P")</f>
        <v>P</v>
      </c>
      <c r="AP19093" s="4" t="s">
        <v>376</v>
      </c>
      <c r="AR19093" s="4" t="s">
        <v>377</v>
      </c>
    </row>
    <row r="19094" spans="1:44">
      <c r="A19094" s="4" t="s">
        <v>10753</v>
      </c>
      <c r="B19094" s="4">
        <v>980577</v>
      </c>
      <c r="D19094" s="5" t="s">
        <v>23156</v>
      </c>
      <c r="E19094" s="6" t="str">
        <f>HYPERLINK("https://inpn.mnhn.fr/espece/cd_nom/980577","Caryocolum fraternellum (Douglas, 1851)")</f>
        <v>Caryocolum fraternellum (Douglas, 1851)</v>
      </c>
      <c r="AH19094" s="4" t="str">
        <f>HYPERLINK("#Statut_biogéographique!A"&amp;_xlfn.XMATCH("P",Statut_biogéographique!A:A,2,1),"P")</f>
        <v>P</v>
      </c>
      <c r="AP19094" s="4" t="s">
        <v>376</v>
      </c>
      <c r="AR19094" s="4" t="s">
        <v>377</v>
      </c>
    </row>
    <row r="19095" spans="1:44">
      <c r="A19095" s="4" t="s">
        <v>10753</v>
      </c>
      <c r="B19095" s="4">
        <v>980589</v>
      </c>
      <c r="D19095" s="5" t="s">
        <v>23157</v>
      </c>
      <c r="E19095" s="6" t="str">
        <f>HYPERLINK("https://inpn.mnhn.fr/espece/cd_nom/980589","Caryocolum vicinellum (Douglas, 1851)")</f>
        <v>Caryocolum vicinellum (Douglas, 1851)</v>
      </c>
      <c r="AH19095" s="4" t="str">
        <f>HYPERLINK("#Statut_biogéographique!A"&amp;_xlfn.XMATCH("P",Statut_biogéographique!A:A,2,1),"P")</f>
        <v>P</v>
      </c>
      <c r="AP19095" s="4" t="s">
        <v>376</v>
      </c>
      <c r="AR19095" s="4" t="s">
        <v>377</v>
      </c>
    </row>
    <row r="19096" spans="1:44" ht="30">
      <c r="A19096" s="4" t="s">
        <v>10753</v>
      </c>
      <c r="B19096" s="4">
        <v>9808</v>
      </c>
      <c r="D19096" s="5" t="s">
        <v>23158</v>
      </c>
      <c r="E19096" s="6" t="str">
        <f>HYPERLINK("https://inpn.mnhn.fr/espece/cd_nom/9808","Quedius fuliginosus (Gravenhorst, 1802)")</f>
        <v>Quedius fuliginosus (Gravenhorst, 1802)</v>
      </c>
      <c r="AH19096" s="4" t="str">
        <f>HYPERLINK("#Statut_biogéographique!A"&amp;_xlfn.XMATCH("P",Statut_biogéographique!A:A,2,1),"P")</f>
        <v>P</v>
      </c>
      <c r="AP19096" s="4" t="s">
        <v>376</v>
      </c>
      <c r="AR19096" s="4" t="s">
        <v>377</v>
      </c>
    </row>
    <row r="19097" spans="1:44">
      <c r="A19097" s="4" t="s">
        <v>10753</v>
      </c>
      <c r="B19097" s="4">
        <v>9813</v>
      </c>
      <c r="D19097" s="5" t="s">
        <v>23159</v>
      </c>
      <c r="E19097" s="6" t="str">
        <f>HYPERLINK("https://inpn.mnhn.fr/espece/cd_nom/9813","Quedius lateralis (Gravenhorst, 1802)")</f>
        <v>Quedius lateralis (Gravenhorst, 1802)</v>
      </c>
      <c r="AH19097" s="4" t="str">
        <f>HYPERLINK("#Statut_biogéographique!A"&amp;_xlfn.XMATCH("P",Statut_biogéographique!A:A,2,1),"P")</f>
        <v>P</v>
      </c>
      <c r="AP19097" s="4" t="s">
        <v>376</v>
      </c>
      <c r="AR19097" s="4" t="s">
        <v>377</v>
      </c>
    </row>
    <row r="19098" spans="1:44">
      <c r="A19098" s="4" t="s">
        <v>10753</v>
      </c>
      <c r="B19098" s="4">
        <v>9830</v>
      </c>
      <c r="D19098" s="5" t="s">
        <v>23160</v>
      </c>
      <c r="E19098" s="6" t="str">
        <f>HYPERLINK("https://inpn.mnhn.fr/espece/cd_nom/9830","Quedius semiaeneus Stephens, 1833")</f>
        <v>Quedius semiaeneus Stephens, 1833</v>
      </c>
      <c r="AH19098" s="4" t="str">
        <f>HYPERLINK("#Statut_biogéographique!A"&amp;_xlfn.XMATCH("P",Statut_biogéographique!A:A,2,1),"P")</f>
        <v>P</v>
      </c>
      <c r="AP19098" s="4" t="s">
        <v>376</v>
      </c>
      <c r="AR19098" s="4" t="s">
        <v>377</v>
      </c>
    </row>
    <row r="19099" spans="1:44" ht="30">
      <c r="A19099" s="4" t="s">
        <v>10753</v>
      </c>
      <c r="B19099" s="4">
        <v>983165</v>
      </c>
      <c r="D19099" s="5" t="s">
        <v>23161</v>
      </c>
      <c r="E19099" s="6" t="str">
        <f>HYPERLINK("https://inpn.mnhn.fr/espece/cd_nom/983165","Phyllonorycter ochreojunctella (KLIMESCH, 1942)")</f>
        <v>Phyllonorycter ochreojunctella (KLIMESCH, 1942)</v>
      </c>
      <c r="AH19099" s="4" t="str">
        <f>HYPERLINK("#Statut_biogéographique!A"&amp;_xlfn.XMATCH("P",Statut_biogéographique!A:A,2,1),"P")</f>
        <v>P</v>
      </c>
      <c r="AP19099" s="4" t="s">
        <v>376</v>
      </c>
      <c r="AR19099" s="4" t="s">
        <v>377</v>
      </c>
    </row>
    <row r="19100" spans="1:44">
      <c r="A19100" s="4" t="s">
        <v>10753</v>
      </c>
      <c r="B19100" s="4">
        <v>9832</v>
      </c>
      <c r="D19100" s="5" t="s">
        <v>23162</v>
      </c>
      <c r="E19100" s="6" t="str">
        <f>HYPERLINK("https://inpn.mnhn.fr/espece/cd_nom/9832","Quedius auricomus Kiesenwetter, 1850")</f>
        <v>Quedius auricomus Kiesenwetter, 1850</v>
      </c>
      <c r="AH19100" s="4" t="str">
        <f>HYPERLINK("#Statut_biogéographique!A"&amp;_xlfn.XMATCH("P",Statut_biogéographique!A:A,2,1),"P")</f>
        <v>P</v>
      </c>
      <c r="AP19100" s="4" t="s">
        <v>376</v>
      </c>
      <c r="AR19100" s="4" t="s">
        <v>377</v>
      </c>
    </row>
    <row r="19101" spans="1:44" ht="30">
      <c r="A19101" s="4" t="s">
        <v>10753</v>
      </c>
      <c r="B19101" s="4">
        <v>983235</v>
      </c>
      <c r="D19101" s="5" t="s">
        <v>23163</v>
      </c>
      <c r="E19101" s="6" t="str">
        <f>HYPERLINK("https://inpn.mnhn.fr/espece/cd_nom/983235","Cleptes striatipleuris Rosa, Forshage, Paukkunen &amp; Soon, 2015")</f>
        <v>Cleptes striatipleuris Rosa, Forshage, Paukkunen &amp; Soon, 2015</v>
      </c>
      <c r="AH19101" s="4" t="str">
        <f>HYPERLINK("#Statut_biogéographique!A"&amp;_xlfn.XMATCH("P",Statut_biogéographique!A:A,2,1),"P")</f>
        <v>P</v>
      </c>
      <c r="AP19101" s="4" t="s">
        <v>376</v>
      </c>
      <c r="AR19101" s="4" t="s">
        <v>377</v>
      </c>
    </row>
    <row r="19102" spans="1:44">
      <c r="A19102" s="4" t="s">
        <v>10753</v>
      </c>
      <c r="B19102" s="4">
        <v>983339</v>
      </c>
      <c r="D19102" s="5" t="s">
        <v>23164</v>
      </c>
      <c r="E19102" s="6" t="str">
        <f>HYPERLINK("https://inpn.mnhn.fr/espece/cd_nom/983339","Clusia tigrina (Fallen, 1820)")</f>
        <v>Clusia tigrina (Fallen, 1820)</v>
      </c>
      <c r="AH19102" s="4" t="str">
        <f>HYPERLINK("#Statut_biogéographique!A"&amp;_xlfn.XMATCH("P",Statut_biogéographique!A:A,2,1),"P")</f>
        <v>P</v>
      </c>
      <c r="AP19102" s="4" t="s">
        <v>376</v>
      </c>
      <c r="AR19102" s="4" t="s">
        <v>377</v>
      </c>
    </row>
    <row r="19103" spans="1:44" ht="30">
      <c r="A19103" s="4" t="s">
        <v>10753</v>
      </c>
      <c r="B19103" s="4">
        <v>983403</v>
      </c>
      <c r="D19103" s="5" t="s">
        <v>23165</v>
      </c>
      <c r="E19103" s="6" t="str">
        <f>HYPERLINK("https://inpn.mnhn.fr/espece/cd_nom/983403","Pontastacus leptodactylus (Eschscholtz, 1823)")</f>
        <v>Pontastacus leptodactylus (Eschscholtz, 1823)</v>
      </c>
      <c r="O19103" s="7" t="str">
        <f>HYPERLINK("#Liste_rouge!A"&amp;_xlfn.XMATCH("LC",Liste_rouge!A:A,2,1),"LC")</f>
        <v>LC</v>
      </c>
      <c r="Q19103" s="7" t="str">
        <f>HYPERLINK("#Liste_rouge!A"&amp;_xlfn.XMATCH("NA",Liste_rouge!A:A,2,1),"NA")</f>
        <v>NA</v>
      </c>
      <c r="T19103" s="7" t="str">
        <f>HYPERLINK("#Liste_rouge!A"&amp;_xlfn.XMATCH("NA",Liste_rouge!A:A,2,1),"NA")</f>
        <v>NA</v>
      </c>
      <c r="AH19103" s="4" t="str">
        <f>HYPERLINK("#Statut_biogéographique!A"&amp;_xlfn.XMATCH("P",Statut_biogéographique!A:A,2,1),"P")</f>
        <v>P</v>
      </c>
      <c r="AM19103" s="4" t="s">
        <v>375</v>
      </c>
      <c r="AN19103" s="4" t="s">
        <v>375</v>
      </c>
      <c r="AO19103" s="4" t="s">
        <v>375</v>
      </c>
      <c r="AP19103" s="4" t="s">
        <v>376</v>
      </c>
      <c r="AR19103" s="4" t="s">
        <v>377</v>
      </c>
    </row>
    <row r="19104" spans="1:44">
      <c r="A19104" s="4" t="s">
        <v>10753</v>
      </c>
      <c r="B19104" s="4">
        <v>9835</v>
      </c>
      <c r="D19104" s="5" t="s">
        <v>23166</v>
      </c>
      <c r="E19104" s="6" t="str">
        <f>HYPERLINK("https://inpn.mnhn.fr/espece/cd_nom/9835","Quedius boops (Gravenhorst, 1802)")</f>
        <v>Quedius boops (Gravenhorst, 1802)</v>
      </c>
      <c r="AH19104" s="4" t="str">
        <f>HYPERLINK("#Statut_biogéographique!A"&amp;_xlfn.XMATCH("P",Statut_biogéographique!A:A,2,1),"P")</f>
        <v>P</v>
      </c>
      <c r="AP19104" s="4" t="s">
        <v>376</v>
      </c>
      <c r="AR19104" s="4" t="s">
        <v>377</v>
      </c>
    </row>
    <row r="19105" spans="1:44">
      <c r="A19105" s="4" t="s">
        <v>10753</v>
      </c>
      <c r="B19105" s="4">
        <v>9837</v>
      </c>
      <c r="D19105" s="5" t="s">
        <v>23167</v>
      </c>
      <c r="E19105" s="6" t="str">
        <f>HYPERLINK("https://inpn.mnhn.fr/espece/cd_nom/9837","Quedius cinctus (Paykull, 1790)")</f>
        <v>Quedius cinctus (Paykull, 1790)</v>
      </c>
      <c r="AH19105" s="4" t="str">
        <f>HYPERLINK("#Statut_biogéographique!A"&amp;_xlfn.XMATCH("P",Statut_biogéographique!A:A,2,1),"P")</f>
        <v>P</v>
      </c>
      <c r="AP19105" s="4" t="s">
        <v>376</v>
      </c>
      <c r="AR19105" s="4" t="s">
        <v>377</v>
      </c>
    </row>
    <row r="19106" spans="1:44">
      <c r="A19106" s="4" t="s">
        <v>10753</v>
      </c>
      <c r="B19106" s="4">
        <v>984081</v>
      </c>
      <c r="D19106" s="5" t="s">
        <v>23168</v>
      </c>
      <c r="E19106" s="6" t="str">
        <f>HYPERLINK("https://inpn.mnhn.fr/espece/cd_nom/984081","Hedychrum niemelai Linsenmaier, 1959")</f>
        <v>Hedychrum niemelai Linsenmaier, 1959</v>
      </c>
      <c r="AH19106" s="4" t="str">
        <f>HYPERLINK("#Statut_biogéographique!A"&amp;_xlfn.XMATCH("P",Statut_biogéographique!A:A,2,1),"P")</f>
        <v>P</v>
      </c>
      <c r="AP19106" s="4" t="s">
        <v>376</v>
      </c>
      <c r="AR19106" s="4" t="s">
        <v>377</v>
      </c>
    </row>
    <row r="19107" spans="1:44">
      <c r="A19107" s="4" t="s">
        <v>10753</v>
      </c>
      <c r="B19107" s="4">
        <v>984197</v>
      </c>
      <c r="D19107" s="5" t="s">
        <v>23169</v>
      </c>
      <c r="E19107" s="6" t="str">
        <f>HYPERLINK("https://inpn.mnhn.fr/espece/cd_nom/984197","Pseudochrysis neglecta (Shuckard, 1837)")</f>
        <v>Pseudochrysis neglecta (Shuckard, 1837)</v>
      </c>
      <c r="AH19107" s="4" t="str">
        <f>HYPERLINK("#Statut_biogéographique!A"&amp;_xlfn.XMATCH("P",Statut_biogéographique!A:A,2,1),"P")</f>
        <v>P</v>
      </c>
      <c r="AP19107" s="4" t="s">
        <v>376</v>
      </c>
      <c r="AR19107" s="4" t="s">
        <v>377</v>
      </c>
    </row>
    <row r="19108" spans="1:44">
      <c r="A19108" s="4" t="s">
        <v>10753</v>
      </c>
      <c r="B19108" s="4">
        <v>9843</v>
      </c>
      <c r="D19108" s="5">
        <v>9843</v>
      </c>
      <c r="E19108" s="6" t="str">
        <f>HYPERLINK("https://inpn.mnhn.fr/espece/cd_nom/9843","Quedius unicolor Kiesenwetter, 1847")</f>
        <v>Quedius unicolor Kiesenwetter, 1847</v>
      </c>
      <c r="AH19108" s="4" t="str">
        <f>HYPERLINK("#Statut_biogéographique!A"&amp;_xlfn.XMATCH("P",Statut_biogéographique!A:A,2,1),"P")</f>
        <v>P</v>
      </c>
      <c r="AP19108" s="4" t="s">
        <v>376</v>
      </c>
      <c r="AR19108" s="4" t="s">
        <v>377</v>
      </c>
    </row>
    <row r="19109" spans="1:44" ht="30">
      <c r="A19109" s="4" t="s">
        <v>10753</v>
      </c>
      <c r="B19109" s="4">
        <v>9852</v>
      </c>
      <c r="D19109" s="5" t="s">
        <v>23170</v>
      </c>
      <c r="E19109" s="6" t="str">
        <f>HYPERLINK("https://inpn.mnhn.fr/espece/cd_nom/9852","Creophilus maxillosus (Linnaeus, 1758)")</f>
        <v>Creophilus maxillosus (Linnaeus, 1758)</v>
      </c>
      <c r="F19109" s="5" t="s">
        <v>23171</v>
      </c>
      <c r="AH19109" s="4" t="str">
        <f>HYPERLINK("#Statut_biogéographique!A"&amp;_xlfn.XMATCH("P",Statut_biogéographique!A:A,2,1),"P")</f>
        <v>P</v>
      </c>
      <c r="AP19109" s="4" t="s">
        <v>376</v>
      </c>
      <c r="AR19109" s="4" t="s">
        <v>377</v>
      </c>
    </row>
    <row r="19110" spans="1:44">
      <c r="A19110" s="4" t="s">
        <v>10753</v>
      </c>
      <c r="B19110" s="4">
        <v>9854</v>
      </c>
      <c r="D19110" s="5" t="s">
        <v>23172</v>
      </c>
      <c r="E19110" s="6" t="str">
        <f>HYPERLINK("https://inpn.mnhn.fr/espece/cd_nom/9854","Emus hirtus (Linnaeus, 1758)")</f>
        <v>Emus hirtus (Linnaeus, 1758)</v>
      </c>
      <c r="F19110" s="5" t="s">
        <v>23173</v>
      </c>
      <c r="AH19110" s="4" t="str">
        <f>HYPERLINK("#Statut_biogéographique!A"&amp;_xlfn.XMATCH("P",Statut_biogéographique!A:A,2,1),"P")</f>
        <v>P</v>
      </c>
      <c r="AP19110" s="4" t="s">
        <v>376</v>
      </c>
      <c r="AR19110" s="4" t="s">
        <v>377</v>
      </c>
    </row>
    <row r="19111" spans="1:44">
      <c r="A19111" s="4" t="s">
        <v>10753</v>
      </c>
      <c r="B19111" s="4">
        <v>9856</v>
      </c>
      <c r="D19111" s="5" t="s">
        <v>23174</v>
      </c>
      <c r="E19111" s="6" t="str">
        <f>HYPERLINK("https://inpn.mnhn.fr/espece/cd_nom/9856","Ontholestes murinus (Linnaeus, 1758)")</f>
        <v>Ontholestes murinus (Linnaeus, 1758)</v>
      </c>
      <c r="F19111" s="5" t="s">
        <v>23175</v>
      </c>
      <c r="AH19111" s="4" t="str">
        <f>HYPERLINK("#Statut_biogéographique!A"&amp;_xlfn.XMATCH("P",Statut_biogéographique!A:A,2,1),"P")</f>
        <v>P</v>
      </c>
      <c r="AP19111" s="4" t="s">
        <v>376</v>
      </c>
      <c r="AR19111" s="4" t="s">
        <v>377</v>
      </c>
    </row>
    <row r="19112" spans="1:44">
      <c r="A19112" s="4" t="s">
        <v>10753</v>
      </c>
      <c r="B19112" s="4">
        <v>986104</v>
      </c>
      <c r="D19112" s="5" t="s">
        <v>23176</v>
      </c>
      <c r="E19112" s="6" t="str">
        <f>HYPERLINK("https://inpn.mnhn.fr/espece/cd_nom/986104","Ecdyonurus alaini Bauernfeind, 2021")</f>
        <v>Ecdyonurus alaini Bauernfeind, 2021</v>
      </c>
      <c r="Q19112" s="7" t="str">
        <f>HYPERLINK("#Liste_rouge!A"&amp;_xlfn.XMATCH("DD",Liste_rouge!A:A,2,1),"DD")</f>
        <v>DD</v>
      </c>
      <c r="AH19112" s="4" t="str">
        <f>HYPERLINK("#Statut_biogéographique!A"&amp;_xlfn.XMATCH("P",Statut_biogéographique!A:A,2,1),"P")</f>
        <v>P</v>
      </c>
      <c r="AP19112" s="4" t="s">
        <v>376</v>
      </c>
      <c r="AR19112" s="4" t="s">
        <v>377</v>
      </c>
    </row>
    <row r="19113" spans="1:44" ht="30">
      <c r="A19113" s="4" t="s">
        <v>10753</v>
      </c>
      <c r="B19113" s="4">
        <v>9862</v>
      </c>
      <c r="D19113" s="5" t="s">
        <v>23177</v>
      </c>
      <c r="E19113" s="6" t="str">
        <f>HYPERLINK("https://inpn.mnhn.fr/espece/cd_nom/9862","Platydracus fulvipes (Scopoli, 1763)")</f>
        <v>Platydracus fulvipes (Scopoli, 1763)</v>
      </c>
      <c r="AH19113" s="4" t="str">
        <f>HYPERLINK("#Statut_biogéographique!A"&amp;_xlfn.XMATCH("P",Statut_biogéographique!A:A,2,1),"P")</f>
        <v>P</v>
      </c>
      <c r="AP19113" s="4" t="s">
        <v>376</v>
      </c>
      <c r="AR19113" s="4" t="s">
        <v>377</v>
      </c>
    </row>
    <row r="19114" spans="1:44">
      <c r="A19114" s="4" t="s">
        <v>10753</v>
      </c>
      <c r="B19114" s="4">
        <v>986205</v>
      </c>
      <c r="D19114" s="5" t="s">
        <v>23178</v>
      </c>
      <c r="E19114" s="6" t="str">
        <f>HYPERLINK("https://inpn.mnhn.fr/espece/cd_nom/986205","Chrysis subcoriacea Linsenmaier, 1959")</f>
        <v>Chrysis subcoriacea Linsenmaier, 1959</v>
      </c>
      <c r="AH19114" s="4" t="str">
        <f>HYPERLINK("#Statut_biogéographique!A"&amp;_xlfn.XMATCH("P",Statut_biogéographique!A:A,2,1),"P")</f>
        <v>P</v>
      </c>
      <c r="AP19114" s="4" t="s">
        <v>376</v>
      </c>
      <c r="AR19114" s="4" t="s">
        <v>377</v>
      </c>
    </row>
    <row r="19115" spans="1:44">
      <c r="A19115" s="4" t="s">
        <v>10753</v>
      </c>
      <c r="B19115" s="4">
        <v>986691</v>
      </c>
      <c r="D19115" s="5" t="s">
        <v>23179</v>
      </c>
      <c r="E19115" s="6" t="str">
        <f>HYPERLINK("https://inpn.mnhn.fr/espece/cd_nom/986691","Ptinus subpilosus Sturm, 1837")</f>
        <v>Ptinus subpilosus Sturm, 1837</v>
      </c>
      <c r="AH19115" s="4" t="str">
        <f>HYPERLINK("#Statut_biogéographique!A"&amp;_xlfn.XMATCH("P",Statut_biogéographique!A:A,2,1),"P")</f>
        <v>P</v>
      </c>
      <c r="AP19115" s="4" t="s">
        <v>376</v>
      </c>
      <c r="AR19115" s="4" t="s">
        <v>377</v>
      </c>
    </row>
    <row r="19116" spans="1:44">
      <c r="A19116" s="4" t="s">
        <v>10753</v>
      </c>
      <c r="B19116" s="4">
        <v>9869</v>
      </c>
      <c r="D19116" s="5" t="s">
        <v>23180</v>
      </c>
      <c r="E19116" s="6" t="str">
        <f>HYPERLINK("https://inpn.mnhn.fr/espece/cd_nom/9869","Platydracus chalcocephalus (Fabricius, 1801)")</f>
        <v>Platydracus chalcocephalus (Fabricius, 1801)</v>
      </c>
      <c r="AH19116" s="4" t="str">
        <f>HYPERLINK("#Statut_biogéographique!A"&amp;_xlfn.XMATCH("P",Statut_biogéographique!A:A,2,1),"P")</f>
        <v>P</v>
      </c>
      <c r="AP19116" s="4" t="s">
        <v>376</v>
      </c>
      <c r="AR19116" s="4" t="s">
        <v>377</v>
      </c>
    </row>
    <row r="19117" spans="1:44">
      <c r="A19117" s="4" t="s">
        <v>10753</v>
      </c>
      <c r="B19117" s="4">
        <v>9873</v>
      </c>
      <c r="D19117" s="5" t="s">
        <v>23181</v>
      </c>
      <c r="E19117" s="6" t="str">
        <f>HYPERLINK("https://inpn.mnhn.fr/espece/cd_nom/9873","Ocypus olens (O.F. Müller, 1764)")</f>
        <v>Ocypus olens (O.F. Müller, 1764)</v>
      </c>
      <c r="F19117" s="5" t="s">
        <v>23182</v>
      </c>
      <c r="AH19117" s="4" t="str">
        <f>HYPERLINK("#Statut_biogéographique!A"&amp;_xlfn.XMATCH("P",Statut_biogéographique!A:A,2,1),"P")</f>
        <v>P</v>
      </c>
      <c r="AP19117" s="4" t="s">
        <v>376</v>
      </c>
      <c r="AR19117" s="4" t="s">
        <v>377</v>
      </c>
    </row>
    <row r="19118" spans="1:44">
      <c r="A19118" s="4" t="s">
        <v>10753</v>
      </c>
      <c r="B19118" s="4">
        <v>9876</v>
      </c>
      <c r="D19118" s="5" t="s">
        <v>23183</v>
      </c>
      <c r="E19118" s="6" t="str">
        <f>HYPERLINK("https://inpn.mnhn.fr/espece/cd_nom/9876","Ocypus ophthalmicus (Scopoli, 1763)")</f>
        <v>Ocypus ophthalmicus (Scopoli, 1763)</v>
      </c>
      <c r="F19118" s="5" t="s">
        <v>23184</v>
      </c>
      <c r="AH19118" s="4" t="str">
        <f>HYPERLINK("#Statut_biogéographique!A"&amp;_xlfn.XMATCH("P",Statut_biogéographique!A:A,2,1),"P")</f>
        <v>P</v>
      </c>
      <c r="AP19118" s="4" t="s">
        <v>376</v>
      </c>
      <c r="AR19118" s="4" t="s">
        <v>377</v>
      </c>
    </row>
    <row r="19119" spans="1:44">
      <c r="A19119" s="4" t="s">
        <v>10753</v>
      </c>
      <c r="B19119" s="4">
        <v>987702</v>
      </c>
      <c r="D19119" s="5" t="s">
        <v>23185</v>
      </c>
      <c r="E19119" s="6" t="str">
        <f>HYPERLINK("https://inpn.mnhn.fr/espece/cd_nom/987702","Calyptostoma velutinum (O.F. Müller, 1776)")</f>
        <v>Calyptostoma velutinum (O.F. Müller, 1776)</v>
      </c>
      <c r="AH19119" s="4" t="str">
        <f>HYPERLINK("#Statut_biogéographique!A"&amp;_xlfn.XMATCH("P",Statut_biogéographique!A:A,2,1),"P")</f>
        <v>P</v>
      </c>
      <c r="AP19119" s="4" t="s">
        <v>376</v>
      </c>
      <c r="AR19119" s="4" t="s">
        <v>377</v>
      </c>
    </row>
    <row r="19120" spans="1:44">
      <c r="A19120" s="4" t="s">
        <v>10753</v>
      </c>
      <c r="B19120" s="4">
        <v>9886</v>
      </c>
      <c r="D19120" s="5">
        <v>9886</v>
      </c>
      <c r="E19120" s="6" t="str">
        <f>HYPERLINK("https://inpn.mnhn.fr/espece/cd_nom/9886","Staphylinus caesareus Cederhjelm, 1798")</f>
        <v>Staphylinus caesareus Cederhjelm, 1798</v>
      </c>
      <c r="AH19120" s="4" t="str">
        <f>HYPERLINK("#Statut_biogéographique!A"&amp;_xlfn.XMATCH("P",Statut_biogéographique!A:A,2,1),"P")</f>
        <v>P</v>
      </c>
      <c r="AP19120" s="4" t="s">
        <v>376</v>
      </c>
      <c r="AR19120" s="4" t="s">
        <v>377</v>
      </c>
    </row>
    <row r="19121" spans="1:44">
      <c r="A19121" s="4" t="s">
        <v>10753</v>
      </c>
      <c r="B19121" s="4">
        <v>9888</v>
      </c>
      <c r="D19121" s="5" t="s">
        <v>23186</v>
      </c>
      <c r="E19121" s="6" t="str">
        <f>HYPERLINK("https://inpn.mnhn.fr/espece/cd_nom/9888","Staphylinus erythropterus Linnaeus, 1758")</f>
        <v>Staphylinus erythropterus Linnaeus, 1758</v>
      </c>
      <c r="AH19121" s="4" t="str">
        <f>HYPERLINK("#Statut_biogéographique!A"&amp;_xlfn.XMATCH("P",Statut_biogéographique!A:A,2,1),"P")</f>
        <v>P</v>
      </c>
      <c r="AP19121" s="4" t="s">
        <v>376</v>
      </c>
      <c r="AR19121" s="4" t="s">
        <v>377</v>
      </c>
    </row>
    <row r="19122" spans="1:44" ht="30">
      <c r="A19122" s="4" t="s">
        <v>10753</v>
      </c>
      <c r="B19122" s="4">
        <v>989733</v>
      </c>
      <c r="D19122" s="5" t="s">
        <v>23187</v>
      </c>
      <c r="E19122" s="6" t="str">
        <f>HYPERLINK("https://inpn.mnhn.fr/espece/cd_nom/989733","Anaplectoides prasinus (Denis &amp; Schiffermüller, 1775)")</f>
        <v>Anaplectoides prasinus (Denis &amp; Schiffermüller, 1775)</v>
      </c>
      <c r="AH19122" s="4" t="str">
        <f>HYPERLINK("#Statut_biogéographique!A"&amp;_xlfn.XMATCH("P",Statut_biogéographique!A:A,2,1),"P")</f>
        <v>P</v>
      </c>
      <c r="AP19122" s="4" t="s">
        <v>376</v>
      </c>
      <c r="AR19122" s="4" t="s">
        <v>377</v>
      </c>
    </row>
    <row r="19123" spans="1:44" ht="45">
      <c r="A19123" s="4" t="s">
        <v>10753</v>
      </c>
      <c r="B19123" s="4">
        <v>9910</v>
      </c>
      <c r="D19123" s="5" t="s">
        <v>23188</v>
      </c>
      <c r="E19123" s="6" t="str">
        <f>HYPERLINK("https://inpn.mnhn.fr/espece/cd_nom/9910","Gabrius nigritulus (Gravenhorst, 1802)")</f>
        <v>Gabrius nigritulus (Gravenhorst, 1802)</v>
      </c>
      <c r="AH19123" s="4" t="str">
        <f>HYPERLINK("#Statut_biogéographique!A"&amp;_xlfn.XMATCH("P",Statut_biogéographique!A:A,2,1),"P")</f>
        <v>P</v>
      </c>
      <c r="AP19123" s="4" t="s">
        <v>376</v>
      </c>
      <c r="AR19123" s="4" t="s">
        <v>377</v>
      </c>
    </row>
    <row r="19124" spans="1:44" ht="45">
      <c r="A19124" s="4" t="s">
        <v>10753</v>
      </c>
      <c r="B19124" s="4">
        <v>9917</v>
      </c>
      <c r="D19124" s="5" t="s">
        <v>23189</v>
      </c>
      <c r="E19124" s="6" t="str">
        <f>HYPERLINK("https://inpn.mnhn.fr/espece/cd_nom/9917","Philonthus carbonarius (Gravenhorst, 1802)")</f>
        <v>Philonthus carbonarius (Gravenhorst, 1802)</v>
      </c>
      <c r="AH19124" s="4" t="str">
        <f>HYPERLINK("#Statut_biogéographique!A"&amp;_xlfn.XMATCH("P",Statut_biogéographique!A:A,2,1),"P")</f>
        <v>P</v>
      </c>
      <c r="AP19124" s="4" t="s">
        <v>376</v>
      </c>
      <c r="AR19124" s="4" t="s">
        <v>377</v>
      </c>
    </row>
    <row r="19125" spans="1:44">
      <c r="A19125" s="4" t="s">
        <v>10753</v>
      </c>
      <c r="B19125" s="4">
        <v>9921</v>
      </c>
      <c r="D19125" s="5" t="s">
        <v>23190</v>
      </c>
      <c r="E19125" s="6" t="str">
        <f>HYPERLINK("https://inpn.mnhn.fr/espece/cd_nom/9921","Philonthus cyanipennis (Fabricius, 1792)")</f>
        <v>Philonthus cyanipennis (Fabricius, 1792)</v>
      </c>
      <c r="AH19125" s="4" t="str">
        <f>HYPERLINK("#Statut_biogéographique!A"&amp;_xlfn.XMATCH("P",Statut_biogéographique!A:A,2,1),"P")</f>
        <v>P</v>
      </c>
      <c r="AP19125" s="4" t="s">
        <v>376</v>
      </c>
      <c r="AR19125" s="4" t="s">
        <v>377</v>
      </c>
    </row>
    <row r="19126" spans="1:44">
      <c r="A19126" s="4" t="s">
        <v>10753</v>
      </c>
      <c r="B19126" s="4">
        <v>9922</v>
      </c>
      <c r="D19126" s="5" t="s">
        <v>23191</v>
      </c>
      <c r="E19126" s="6" t="str">
        <f>HYPERLINK("https://inpn.mnhn.fr/espece/cd_nom/9922","Philonthus debilis (Gravenhorst, 1802)")</f>
        <v>Philonthus debilis (Gravenhorst, 1802)</v>
      </c>
      <c r="AH19126" s="4" t="str">
        <f>HYPERLINK("#Statut_biogéographique!A"&amp;_xlfn.XMATCH("P",Statut_biogéographique!A:A,2,1),"P")</f>
        <v>P</v>
      </c>
      <c r="AP19126" s="4" t="s">
        <v>376</v>
      </c>
      <c r="AR19126" s="4" t="s">
        <v>377</v>
      </c>
    </row>
    <row r="19127" spans="1:44">
      <c r="A19127" s="4" t="s">
        <v>10753</v>
      </c>
      <c r="B19127" s="4">
        <v>9923</v>
      </c>
      <c r="D19127" s="5" t="s">
        <v>23192</v>
      </c>
      <c r="E19127" s="6" t="str">
        <f>HYPERLINK("https://inpn.mnhn.fr/espece/cd_nom/9923","Philonthus decorus (Gravenhorst, 1802)")</f>
        <v>Philonthus decorus (Gravenhorst, 1802)</v>
      </c>
      <c r="AH19127" s="4" t="str">
        <f>HYPERLINK("#Statut_biogéographique!A"&amp;_xlfn.XMATCH("P",Statut_biogéographique!A:A,2,1),"P")</f>
        <v>P</v>
      </c>
      <c r="AP19127" s="4" t="s">
        <v>376</v>
      </c>
      <c r="AR19127" s="4" t="s">
        <v>377</v>
      </c>
    </row>
    <row r="19128" spans="1:44">
      <c r="A19128" s="4" t="s">
        <v>10753</v>
      </c>
      <c r="B19128" s="4">
        <v>9928</v>
      </c>
      <c r="D19128" s="5" t="s">
        <v>23193</v>
      </c>
      <c r="E19128" s="6" t="str">
        <f>HYPERLINK("https://inpn.mnhn.fr/espece/cd_nom/9928","Philonthus intermedius (Lacordaire, 1835)")</f>
        <v>Philonthus intermedius (Lacordaire, 1835)</v>
      </c>
      <c r="AH19128" s="4" t="str">
        <f>HYPERLINK("#Statut_biogéographique!A"&amp;_xlfn.XMATCH("P",Statut_biogéographique!A:A,2,1),"P")</f>
        <v>P</v>
      </c>
      <c r="AP19128" s="4" t="s">
        <v>376</v>
      </c>
      <c r="AR19128" s="4" t="s">
        <v>377</v>
      </c>
    </row>
    <row r="19129" spans="1:44">
      <c r="A19129" s="4" t="s">
        <v>10753</v>
      </c>
      <c r="B19129" s="4">
        <v>9931</v>
      </c>
      <c r="D19129" s="5" t="s">
        <v>23194</v>
      </c>
      <c r="E19129" s="6" t="str">
        <f>HYPERLINK("https://inpn.mnhn.fr/espece/cd_nom/9931","Philonthus laminatus (Creutzer, 1799)")</f>
        <v>Philonthus laminatus (Creutzer, 1799)</v>
      </c>
      <c r="AH19129" s="4" t="str">
        <f>HYPERLINK("#Statut_biogéographique!A"&amp;_xlfn.XMATCH("P",Statut_biogéographique!A:A,2,1),"P")</f>
        <v>P</v>
      </c>
      <c r="AP19129" s="4" t="s">
        <v>376</v>
      </c>
      <c r="AR19129" s="4" t="s">
        <v>377</v>
      </c>
    </row>
    <row r="19130" spans="1:44">
      <c r="A19130" s="4" t="s">
        <v>10753</v>
      </c>
      <c r="B19130" s="4">
        <v>9933</v>
      </c>
      <c r="D19130" s="5" t="s">
        <v>23195</v>
      </c>
      <c r="E19130" s="6" t="str">
        <f>HYPERLINK("https://inpn.mnhn.fr/espece/cd_nom/9933","Philonthus marginatus (O.F. Müller, 1764)")</f>
        <v>Philonthus marginatus (O.F. Müller, 1764)</v>
      </c>
      <c r="AH19130" s="4" t="str">
        <f>HYPERLINK("#Statut_biogéographique!A"&amp;_xlfn.XMATCH("P",Statut_biogéographique!A:A,2,1),"P")</f>
        <v>P</v>
      </c>
      <c r="AP19130" s="4" t="s">
        <v>376</v>
      </c>
      <c r="AR19130" s="4" t="s">
        <v>377</v>
      </c>
    </row>
    <row r="19131" spans="1:44">
      <c r="A19131" s="4" t="s">
        <v>10753</v>
      </c>
      <c r="B19131" s="4">
        <v>9934</v>
      </c>
      <c r="D19131" s="5" t="s">
        <v>23196</v>
      </c>
      <c r="E19131" s="6" t="str">
        <f>HYPERLINK("https://inpn.mnhn.fr/espece/cd_nom/9934","Philonthus montivagus Heer, 1839")</f>
        <v>Philonthus montivagus Heer, 1839</v>
      </c>
      <c r="AH19131" s="4" t="str">
        <f>HYPERLINK("#Statut_biogéographique!A"&amp;_xlfn.XMATCH("P",Statut_biogéographique!A:A,2,1),"P")</f>
        <v>P</v>
      </c>
      <c r="AP19131" s="4" t="s">
        <v>376</v>
      </c>
      <c r="AR19131" s="4" t="s">
        <v>377</v>
      </c>
    </row>
    <row r="19132" spans="1:44">
      <c r="A19132" s="4" t="s">
        <v>10753</v>
      </c>
      <c r="B19132" s="4">
        <v>993426</v>
      </c>
      <c r="D19132" s="5" t="s">
        <v>23197</v>
      </c>
      <c r="E19132" s="6" t="str">
        <f>HYPERLINK("https://inpn.mnhn.fr/espece/cd_nom/993426","Calliopum tuberculosum (Becker, 1895)")</f>
        <v>Calliopum tuberculosum (Becker, 1895)</v>
      </c>
      <c r="AH19132" s="4" t="str">
        <f>HYPERLINK("#Statut_biogéographique!A"&amp;_xlfn.XMATCH("P",Statut_biogéographique!A:A,2,1),"P")</f>
        <v>P</v>
      </c>
      <c r="AP19132" s="4" t="s">
        <v>376</v>
      </c>
      <c r="AR19132" s="4" t="s">
        <v>377</v>
      </c>
    </row>
    <row r="19133" spans="1:44">
      <c r="A19133" s="4" t="s">
        <v>10753</v>
      </c>
      <c r="B19133" s="4">
        <v>9935</v>
      </c>
      <c r="D19133" s="5" t="s">
        <v>23198</v>
      </c>
      <c r="E19133" s="6" t="str">
        <f>HYPERLINK("https://inpn.mnhn.fr/espece/cd_nom/9935","Philonthus nigrita (Gravenhorst, 1806)")</f>
        <v>Philonthus nigrita (Gravenhorst, 1806)</v>
      </c>
      <c r="AH19133" s="4" t="str">
        <f>HYPERLINK("#Statut_biogéographique!A"&amp;_xlfn.XMATCH("P",Statut_biogéographique!A:A,2,1),"P")</f>
        <v>P</v>
      </c>
      <c r="AP19133" s="4" t="s">
        <v>376</v>
      </c>
      <c r="AR19133" s="4" t="s">
        <v>377</v>
      </c>
    </row>
    <row r="19134" spans="1:44">
      <c r="A19134" s="4" t="s">
        <v>10753</v>
      </c>
      <c r="B19134" s="4">
        <v>9937</v>
      </c>
      <c r="D19134" s="5" t="s">
        <v>23199</v>
      </c>
      <c r="E19134" s="6" t="str">
        <f>HYPERLINK("https://inpn.mnhn.fr/espece/cd_nom/9937","Philonthus nitidus (Fabricius, 1787)")</f>
        <v>Philonthus nitidus (Fabricius, 1787)</v>
      </c>
      <c r="AH19134" s="4" t="str">
        <f>HYPERLINK("#Statut_biogéographique!A"&amp;_xlfn.XMATCH("P",Statut_biogéographique!A:A,2,1),"P")</f>
        <v>P</v>
      </c>
      <c r="AP19134" s="4" t="s">
        <v>376</v>
      </c>
      <c r="AR19134" s="4" t="s">
        <v>377</v>
      </c>
    </row>
    <row r="19135" spans="1:44">
      <c r="A19135" s="4" t="s">
        <v>10753</v>
      </c>
      <c r="B19135" s="4">
        <v>9940</v>
      </c>
      <c r="D19135" s="5" t="s">
        <v>23200</v>
      </c>
      <c r="E19135" s="6" t="str">
        <f>HYPERLINK("https://inpn.mnhn.fr/espece/cd_nom/9940","Philonthus politus (Linnaeus, 1758)")</f>
        <v>Philonthus politus (Linnaeus, 1758)</v>
      </c>
      <c r="AH19135" s="4" t="str">
        <f>HYPERLINK("#Statut_biogéographique!A"&amp;_xlfn.XMATCH("P",Statut_biogéographique!A:A,2,1),"P")</f>
        <v>P</v>
      </c>
      <c r="AP19135" s="4" t="s">
        <v>376</v>
      </c>
      <c r="AR19135" s="4" t="s">
        <v>377</v>
      </c>
    </row>
    <row r="19136" spans="1:44">
      <c r="A19136" s="4" t="s">
        <v>10753</v>
      </c>
      <c r="B19136" s="4">
        <v>9942</v>
      </c>
      <c r="D19136" s="5" t="s">
        <v>23201</v>
      </c>
      <c r="E19136" s="6" t="str">
        <f>HYPERLINK("https://inpn.mnhn.fr/espece/cd_nom/9942","Philonthus punctus (Gravenhorst, 1802)")</f>
        <v>Philonthus punctus (Gravenhorst, 1802)</v>
      </c>
      <c r="AH19136" s="4" t="str">
        <f>HYPERLINK("#Statut_biogéographique!A"&amp;_xlfn.XMATCH("P",Statut_biogéographique!A:A,2,1),"P")</f>
        <v>P</v>
      </c>
      <c r="AP19136" s="4" t="s">
        <v>376</v>
      </c>
      <c r="AR19136" s="4" t="s">
        <v>377</v>
      </c>
    </row>
    <row r="19137" spans="1:44">
      <c r="A19137" s="4" t="s">
        <v>10753</v>
      </c>
      <c r="B19137" s="4">
        <v>9943</v>
      </c>
      <c r="D19137" s="5" t="s">
        <v>23202</v>
      </c>
      <c r="E19137" s="6" t="str">
        <f>HYPERLINK("https://inpn.mnhn.fr/espece/cd_nom/9943","Philonthus quisquiliarius (Gyllenhal, 1810)")</f>
        <v>Philonthus quisquiliarius (Gyllenhal, 1810)</v>
      </c>
      <c r="AH19137" s="4" t="str">
        <f>HYPERLINK("#Statut_biogéographique!A"&amp;_xlfn.XMATCH("P",Statut_biogéographique!A:A,2,1),"P")</f>
        <v>P</v>
      </c>
      <c r="AP19137" s="4" t="s">
        <v>376</v>
      </c>
      <c r="AR19137" s="4" t="s">
        <v>377</v>
      </c>
    </row>
    <row r="19138" spans="1:44" ht="30">
      <c r="A19138" s="4" t="s">
        <v>10753</v>
      </c>
      <c r="B19138" s="4">
        <v>9946</v>
      </c>
      <c r="D19138" s="5" t="s">
        <v>23203</v>
      </c>
      <c r="E19138" s="6" t="str">
        <f>HYPERLINK("https://inpn.mnhn.fr/espece/cd_nom/9946","Philonthus sanguinolentus (Gravenhorst, 1802)")</f>
        <v>Philonthus sanguinolentus (Gravenhorst, 1802)</v>
      </c>
      <c r="AH19138" s="4" t="str">
        <f>HYPERLINK("#Statut_biogéographique!A"&amp;_xlfn.XMATCH("P",Statut_biogéographique!A:A,2,1),"P")</f>
        <v>P</v>
      </c>
      <c r="AP19138" s="4" t="s">
        <v>376</v>
      </c>
      <c r="AR19138" s="4" t="s">
        <v>377</v>
      </c>
    </row>
    <row r="19139" spans="1:44">
      <c r="A19139" s="4" t="s">
        <v>10753</v>
      </c>
      <c r="B19139" s="4">
        <v>9948</v>
      </c>
      <c r="D19139" s="5" t="s">
        <v>23204</v>
      </c>
      <c r="E19139" s="6" t="str">
        <f>HYPERLINK("https://inpn.mnhn.fr/espece/cd_nom/9948","Philonthus splendens (Fabricius, 1792)")</f>
        <v>Philonthus splendens (Fabricius, 1792)</v>
      </c>
      <c r="AH19139" s="4" t="str">
        <f>HYPERLINK("#Statut_biogéographique!A"&amp;_xlfn.XMATCH("P",Statut_biogéographique!A:A,2,1),"P")</f>
        <v>P</v>
      </c>
      <c r="AP19139" s="4" t="s">
        <v>376</v>
      </c>
      <c r="AR19139" s="4" t="s">
        <v>377</v>
      </c>
    </row>
    <row r="19140" spans="1:44" ht="30">
      <c r="A19140" s="4" t="s">
        <v>10753</v>
      </c>
      <c r="B19140" s="4">
        <v>994871</v>
      </c>
      <c r="D19140" s="5" t="s">
        <v>23205</v>
      </c>
      <c r="E19140" s="6" t="str">
        <f>HYPERLINK("https://inpn.mnhn.fr/espece/cd_nom/994871","Chelidura pyrenaica (Gené, 1832)")</f>
        <v>Chelidura pyrenaica (Gené, 1832)</v>
      </c>
      <c r="AH19140" s="4" t="str">
        <f>HYPERLINK("#Statut_biogéographique!A"&amp;_xlfn.XMATCH("S",Statut_biogéographique!A:A,2,1),"S")</f>
        <v>S</v>
      </c>
      <c r="AP19140" s="4" t="s">
        <v>376</v>
      </c>
      <c r="AR19140" s="4" t="s">
        <v>377</v>
      </c>
    </row>
    <row r="19141" spans="1:44" ht="45">
      <c r="A19141" s="4" t="s">
        <v>10753</v>
      </c>
      <c r="B19141" s="4">
        <v>9949</v>
      </c>
      <c r="D19141" s="5" t="s">
        <v>23206</v>
      </c>
      <c r="E19141" s="6" t="str">
        <f>HYPERLINK("https://inpn.mnhn.fr/espece/cd_nom/9949","Philonthus varians (Paykull, 1789)")</f>
        <v>Philonthus varians (Paykull, 1789)</v>
      </c>
      <c r="AH19141" s="4" t="str">
        <f>HYPERLINK("#Statut_biogéographique!A"&amp;_xlfn.XMATCH("P",Statut_biogéographique!A:A,2,1),"P")</f>
        <v>P</v>
      </c>
      <c r="AP19141" s="4" t="s">
        <v>376</v>
      </c>
      <c r="AR19141" s="4" t="s">
        <v>377</v>
      </c>
    </row>
    <row r="19142" spans="1:44" ht="30">
      <c r="A19142" s="4" t="s">
        <v>10753</v>
      </c>
      <c r="B19142" s="4">
        <v>9955</v>
      </c>
      <c r="D19142" s="5" t="s">
        <v>23207</v>
      </c>
      <c r="E19142" s="6" t="str">
        <f>HYPERLINK("https://inpn.mnhn.fr/espece/cd_nom/9955","Othius punctulatus (Goeze, 1777)")</f>
        <v>Othius punctulatus (Goeze, 1777)</v>
      </c>
      <c r="F19142" s="5" t="s">
        <v>23208</v>
      </c>
      <c r="AH19142" s="4" t="str">
        <f>HYPERLINK("#Statut_biogéographique!A"&amp;_xlfn.XMATCH("P",Statut_biogéographique!A:A,2,1),"P")</f>
        <v>P</v>
      </c>
      <c r="AP19142" s="4" t="s">
        <v>376</v>
      </c>
      <c r="AR19142" s="4" t="s">
        <v>377</v>
      </c>
    </row>
    <row r="19143" spans="1:44" ht="45">
      <c r="A19143" s="4" t="s">
        <v>10753</v>
      </c>
      <c r="B19143" s="4">
        <v>995814</v>
      </c>
      <c r="D19143" s="5" t="s">
        <v>23209</v>
      </c>
      <c r="E19143" s="6" t="str">
        <f>HYPERLINK("https://inpn.mnhn.fr/espece/cd_nom/995814","Eurosomides minor (Rossi, 1792)")</f>
        <v>Eurosomides minor (Rossi, 1792)</v>
      </c>
      <c r="AH19143" s="4" t="str">
        <f>HYPERLINK("#Statut_biogéographique!A"&amp;_xlfn.XMATCH("P",Statut_biogéographique!A:A,2,1),"P")</f>
        <v>P</v>
      </c>
      <c r="AP19143" s="4" t="s">
        <v>376</v>
      </c>
      <c r="AR19143" s="4" t="s">
        <v>377</v>
      </c>
    </row>
    <row r="19144" spans="1:44">
      <c r="A19144" s="4" t="s">
        <v>10753</v>
      </c>
      <c r="B19144" s="4">
        <v>9960</v>
      </c>
      <c r="D19144" s="5" t="s">
        <v>23210</v>
      </c>
      <c r="E19144" s="6" t="str">
        <f>HYPERLINK("https://inpn.mnhn.fr/espece/cd_nom/9960","Xantholinus distans Mulsant &amp; Rey, 1853")</f>
        <v>Xantholinus distans Mulsant &amp; Rey, 1853</v>
      </c>
      <c r="AH19144" s="4" t="str">
        <f>HYPERLINK("#Statut_biogéographique!A"&amp;_xlfn.XMATCH("P",Statut_biogéographique!A:A,2,1),"P")</f>
        <v>P</v>
      </c>
      <c r="AP19144" s="4" t="s">
        <v>376</v>
      </c>
      <c r="AR19144" s="4" t="s">
        <v>377</v>
      </c>
    </row>
    <row r="19145" spans="1:44">
      <c r="A19145" s="4" t="s">
        <v>10753</v>
      </c>
      <c r="B19145" s="4">
        <v>9963</v>
      </c>
      <c r="D19145" s="5" t="s">
        <v>23211</v>
      </c>
      <c r="E19145" s="6" t="str">
        <f>HYPERLINK("https://inpn.mnhn.fr/espece/cd_nom/9963","Xantholinus linearis (Olivier, 1795)")</f>
        <v>Xantholinus linearis (Olivier, 1795)</v>
      </c>
      <c r="AH19145" s="4" t="str">
        <f>HYPERLINK("#Statut_biogéographique!A"&amp;_xlfn.XMATCH("P",Statut_biogéographique!A:A,2,1),"P")</f>
        <v>P</v>
      </c>
      <c r="AP19145" s="4" t="s">
        <v>376</v>
      </c>
      <c r="AR19145" s="4" t="s">
        <v>377</v>
      </c>
    </row>
    <row r="19146" spans="1:44" ht="30">
      <c r="A19146" s="4" t="s">
        <v>10753</v>
      </c>
      <c r="B19146" s="4">
        <v>9965</v>
      </c>
      <c r="D19146" s="5" t="s">
        <v>23212</v>
      </c>
      <c r="E19146" s="6" t="str">
        <f>HYPERLINK("https://inpn.mnhn.fr/espece/cd_nom/9965","Xantholinus tricolor (Fabricius, 1787)")</f>
        <v>Xantholinus tricolor (Fabricius, 1787)</v>
      </c>
      <c r="AH19146" s="4" t="str">
        <f>HYPERLINK("#Statut_biogéographique!A"&amp;_xlfn.XMATCH("P",Statut_biogéographique!A:A,2,1),"P")</f>
        <v>P</v>
      </c>
      <c r="AP19146" s="4" t="s">
        <v>376</v>
      </c>
      <c r="AR19146" s="4" t="s">
        <v>377</v>
      </c>
    </row>
    <row r="19147" spans="1:44">
      <c r="A19147" s="4" t="s">
        <v>10753</v>
      </c>
      <c r="B19147" s="4">
        <v>9971</v>
      </c>
      <c r="D19147" s="5" t="s">
        <v>23213</v>
      </c>
      <c r="E19147" s="6" t="str">
        <f>HYPERLINK("https://inpn.mnhn.fr/espece/cd_nom/9971","Medon brunneus (Erichson, 1839)")</f>
        <v>Medon brunneus (Erichson, 1839)</v>
      </c>
      <c r="AH19147" s="4" t="str">
        <f>HYPERLINK("#Statut_biogéographique!A"&amp;_xlfn.XMATCH("P",Statut_biogéographique!A:A,2,1),"P")</f>
        <v>P</v>
      </c>
      <c r="AP19147" s="4" t="s">
        <v>376</v>
      </c>
      <c r="AR19147" s="4" t="s">
        <v>377</v>
      </c>
    </row>
    <row r="19148" spans="1:44">
      <c r="A19148" s="4" t="s">
        <v>10753</v>
      </c>
      <c r="B19148" s="4">
        <v>998486</v>
      </c>
      <c r="D19148" s="5" t="s">
        <v>23214</v>
      </c>
      <c r="E19148" s="6" t="str">
        <f>HYPERLINK("https://inpn.mnhn.fr/espece/cd_nom/998486","Heterarthrus fiora Liston, 2019")</f>
        <v>Heterarthrus fiora Liston, 2019</v>
      </c>
      <c r="AH19148" s="4" t="str">
        <f>HYPERLINK("#Statut_biogéographique!A"&amp;_xlfn.XMATCH("P",Statut_biogéographique!A:A,2,1),"P")</f>
        <v>P</v>
      </c>
      <c r="AP19148" s="4" t="s">
        <v>376</v>
      </c>
      <c r="AR19148" s="4" t="s">
        <v>377</v>
      </c>
    </row>
    <row r="19149" spans="1:44">
      <c r="A19149" s="4" t="s">
        <v>10753</v>
      </c>
      <c r="B19149" s="4">
        <v>999817</v>
      </c>
      <c r="D19149" s="5" t="s">
        <v>23215</v>
      </c>
      <c r="E19149" s="6" t="str">
        <f>HYPERLINK("https://inpn.mnhn.fr/espece/cd_nom/999817","Chrysopidia ciliata (Wesmael, 1841)")</f>
        <v>Chrysopidia ciliata (Wesmael, 1841)</v>
      </c>
      <c r="AH19149" s="4" t="str">
        <f>HYPERLINK("#Statut_biogéographique!A"&amp;_xlfn.XMATCH("P",Statut_biogéographique!A:A,2,1),"P")</f>
        <v>P</v>
      </c>
      <c r="AP19149" s="4" t="s">
        <v>376</v>
      </c>
      <c r="AR19149" s="4" t="s">
        <v>377</v>
      </c>
    </row>
    <row r="19150" spans="1:44">
      <c r="A19150" s="4" t="s">
        <v>132</v>
      </c>
      <c r="B19150" s="4">
        <v>199752</v>
      </c>
      <c r="D19150" s="5" t="s">
        <v>23216</v>
      </c>
      <c r="E19150" s="6" t="str">
        <f>HYPERLINK("https://inpn.mnhn.fr/espece/cd_nom/199752","Mustela furo Linnaeus, 1758")</f>
        <v>Mustela furo Linnaeus, 1758</v>
      </c>
      <c r="F19150" s="5" t="s">
        <v>23217</v>
      </c>
      <c r="AH19150" s="4" t="str">
        <f>HYPERLINK("#Statut_biogéographique!A"&amp;_xlfn.XMATCH("Y",Statut_biogéographique!A:A,2,1),"Y")</f>
        <v>Y</v>
      </c>
      <c r="AP19150" s="4" t="s">
        <v>376</v>
      </c>
      <c r="AR19150" s="4" t="s">
        <v>377</v>
      </c>
    </row>
    <row r="19151" spans="1:44" ht="30">
      <c r="A19151" s="4" t="s">
        <v>132</v>
      </c>
      <c r="B19151" s="4">
        <v>200118</v>
      </c>
      <c r="D19151" s="5" t="s">
        <v>23218</v>
      </c>
      <c r="E19151" s="6" t="str">
        <f>HYPERLINK("https://inpn.mnhn.fr/espece/cd_nom/200118","Myotis daubentonii (Kuhl, 1817)")</f>
        <v>Myotis daubentonii (Kuhl, 1817)</v>
      </c>
      <c r="F19151" s="5" t="s">
        <v>23219</v>
      </c>
      <c r="H19151" s="4" t="str">
        <f>HYPERLINK("#Réglementation!A"&amp;_xlfn.XMATCH("IBOEU",Réglementation!A:A,2,1),"IBOEU - IBO2")</f>
        <v>IBOEU - IBO2</v>
      </c>
      <c r="I19151" s="4" t="str">
        <f>HYPERLINK("#Réglementation!A"&amp;_xlfn.XMATCH("IBE2",Réglementation!A:A,2,1),"IBE2")</f>
        <v>IBE2</v>
      </c>
      <c r="K19151" s="4" t="str">
        <f>HYPERLINK("#Réglementation!A"&amp;_xlfn.XMATCH("CDH4",Réglementation!A:A,2,1),"CDH4")</f>
        <v>CDH4</v>
      </c>
      <c r="L19151" s="4" t="str">
        <f>HYPERLINK("#Réglementation!A"&amp;_xlfn.XMATCH("NM2",Réglementation!A:A,2,1),"NM2")</f>
        <v>NM2</v>
      </c>
      <c r="O19151" s="7" t="str">
        <f>HYPERLINK("#Liste_rouge!A"&amp;_xlfn.XMATCH("LC",Liste_rouge!A:A,2,1),"LC")</f>
        <v>LC</v>
      </c>
      <c r="Q19151" s="7" t="str">
        <f>HYPERLINK("#Liste_rouge!A"&amp;_xlfn.XMATCH("LC",Liste_rouge!A:A,2,1),"LC")</f>
        <v>LC</v>
      </c>
      <c r="T19151" s="7" t="str">
        <f>HYPERLINK("#Liste_rouge!A"&amp;_xlfn.XMATCH("LC",Liste_rouge!A:A,2,1),"LC")</f>
        <v>LC</v>
      </c>
      <c r="V19151" s="7" t="str">
        <f>HYPERLINK("#Liste_rouge!A"&amp;_xlfn.XMATCH("LC",Liste_rouge!A:A,2,1),"LC")</f>
        <v>LC</v>
      </c>
      <c r="X19151" s="5" t="s">
        <v>398</v>
      </c>
      <c r="Y19151" s="5" t="s">
        <v>23220</v>
      </c>
      <c r="AH19151" s="4" t="str">
        <f>HYPERLINK("#Statut_biogéographique!A"&amp;_xlfn.XMATCH("P",Statut_biogéographique!A:A,2,1),"P")</f>
        <v>P</v>
      </c>
      <c r="AI19151" s="8" t="s">
        <v>23221</v>
      </c>
      <c r="AJ19151" s="4" t="s">
        <v>23222</v>
      </c>
      <c r="AM19151" s="4" t="s">
        <v>375</v>
      </c>
      <c r="AN19151" s="4" t="s">
        <v>375</v>
      </c>
      <c r="AO19151" s="4" t="s">
        <v>375</v>
      </c>
      <c r="AP19151" s="4" t="s">
        <v>376</v>
      </c>
      <c r="AR19151" s="4" t="s">
        <v>377</v>
      </c>
    </row>
    <row r="19152" spans="1:44" ht="30">
      <c r="A19152" s="4" t="s">
        <v>132</v>
      </c>
      <c r="B19152" s="4">
        <v>60015</v>
      </c>
      <c r="D19152" s="5" t="s">
        <v>23223</v>
      </c>
      <c r="E19152" s="6" t="str">
        <f>HYPERLINK("https://inpn.mnhn.fr/espece/cd_nom/60015","Erinaceus europaeus Linnaeus, 1758")</f>
        <v>Erinaceus europaeus Linnaeus, 1758</v>
      </c>
      <c r="F19152" s="5" t="s">
        <v>23224</v>
      </c>
      <c r="I19152" s="4" t="str">
        <f>HYPERLINK("#Réglementation!A"&amp;_xlfn.XMATCH("IBE3",Réglementation!A:A,2,1),"IBE3")</f>
        <v>IBE3</v>
      </c>
      <c r="L19152" s="4" t="str">
        <f>HYPERLINK("#Réglementation!A"&amp;_xlfn.XMATCH("NM2",Réglementation!A:A,2,1),"NM2")</f>
        <v>NM2</v>
      </c>
      <c r="O19152" s="7" t="str">
        <f>HYPERLINK("#Liste_rouge!A"&amp;_xlfn.XMATCH("LC",Liste_rouge!A:A,2,1),"LC")</f>
        <v>LC</v>
      </c>
      <c r="P19152" s="7" t="str">
        <f>HYPERLINK("#Liste_rouge!A"&amp;_xlfn.XMATCH("LC",Liste_rouge!A:A,2,1),"LC")</f>
        <v>LC</v>
      </c>
      <c r="Q19152" s="7" t="str">
        <f>HYPERLINK("#Liste_rouge!A"&amp;_xlfn.XMATCH("LC",Liste_rouge!A:A,2,1),"LC")</f>
        <v>LC</v>
      </c>
      <c r="T19152" s="7" t="str">
        <f>HYPERLINK("#Liste_rouge!A"&amp;_xlfn.XMATCH("LC",Liste_rouge!A:A,2,1),"LC")</f>
        <v>LC</v>
      </c>
      <c r="V19152" s="7" t="str">
        <f>HYPERLINK("#Liste_rouge!A"&amp;_xlfn.XMATCH("LC",Liste_rouge!A:A,2,1),"LC")</f>
        <v>LC</v>
      </c>
      <c r="AH19152" s="4" t="str">
        <f>HYPERLINK("#Statut_biogéographique!A"&amp;_xlfn.XMATCH("P",Statut_biogéographique!A:A,2,1),"P")</f>
        <v>P</v>
      </c>
      <c r="AM19152" s="4" t="s">
        <v>375</v>
      </c>
      <c r="AN19152" s="4" t="s">
        <v>375</v>
      </c>
      <c r="AO19152" s="4" t="s">
        <v>375</v>
      </c>
      <c r="AP19152" s="4" t="s">
        <v>376</v>
      </c>
      <c r="AR19152" s="4" t="s">
        <v>377</v>
      </c>
    </row>
    <row r="19153" spans="1:44" ht="45">
      <c r="A19153" s="4" t="s">
        <v>132</v>
      </c>
      <c r="B19153" s="4">
        <v>60038</v>
      </c>
      <c r="D19153" s="5" t="s">
        <v>23225</v>
      </c>
      <c r="E19153" s="6" t="str">
        <f>HYPERLINK("https://inpn.mnhn.fr/espece/cd_nom/60038","Sorex minutus Linnaeus, 1766")</f>
        <v>Sorex minutus Linnaeus, 1766</v>
      </c>
      <c r="F19153" s="5" t="s">
        <v>23226</v>
      </c>
      <c r="I19153" s="4" t="str">
        <f>HYPERLINK("#Réglementation!A"&amp;_xlfn.XMATCH("IBE3",Réglementation!A:A,2,1),"IBE3")</f>
        <v>IBE3</v>
      </c>
      <c r="O19153" s="7" t="str">
        <f>HYPERLINK("#Liste_rouge!A"&amp;_xlfn.XMATCH("LC",Liste_rouge!A:A,2,1),"LC")</f>
        <v>LC</v>
      </c>
      <c r="P19153" s="7" t="str">
        <f>HYPERLINK("#Liste_rouge!A"&amp;_xlfn.XMATCH("LC",Liste_rouge!A:A,2,1),"LC")</f>
        <v>LC</v>
      </c>
      <c r="Q19153" s="7" t="str">
        <f>HYPERLINK("#Liste_rouge!A"&amp;_xlfn.XMATCH("LC",Liste_rouge!A:A,2,1),"LC")</f>
        <v>LC</v>
      </c>
      <c r="T19153" s="7" t="str">
        <f>HYPERLINK("#Liste_rouge!A"&amp;_xlfn.XMATCH("LC",Liste_rouge!A:A,2,1),"LC")</f>
        <v>LC</v>
      </c>
      <c r="V19153" s="7" t="str">
        <f>HYPERLINK("#Liste_rouge!A"&amp;_xlfn.XMATCH("LC",Liste_rouge!A:A,2,1),"LC")</f>
        <v>LC</v>
      </c>
      <c r="AH19153" s="4" t="str">
        <f>HYPERLINK("#Statut_biogéographique!A"&amp;_xlfn.XMATCH("P",Statut_biogéographique!A:A,2,1),"P")</f>
        <v>P</v>
      </c>
      <c r="AM19153" s="4" t="s">
        <v>375</v>
      </c>
      <c r="AN19153" s="4" t="s">
        <v>375</v>
      </c>
      <c r="AO19153" s="4" t="s">
        <v>375</v>
      </c>
      <c r="AP19153" s="4" t="s">
        <v>376</v>
      </c>
      <c r="AR19153" s="4" t="s">
        <v>377</v>
      </c>
    </row>
    <row r="19154" spans="1:44" ht="105">
      <c r="A19154" s="4" t="s">
        <v>132</v>
      </c>
      <c r="B19154" s="4">
        <v>60062</v>
      </c>
      <c r="D19154" s="5" t="s">
        <v>23227</v>
      </c>
      <c r="E19154" s="6" t="str">
        <f>HYPERLINK("https://inpn.mnhn.fr/espece/cd_nom/60062","Sorex araneus Linnaeus, 1758")</f>
        <v>Sorex araneus Linnaeus, 1758</v>
      </c>
      <c r="F19154" s="5" t="s">
        <v>23228</v>
      </c>
      <c r="I19154" s="4" t="str">
        <f>HYPERLINK("#Réglementation!A"&amp;_xlfn.XMATCH("IBE3",Réglementation!A:A,2,1),"IBE3")</f>
        <v>IBE3</v>
      </c>
      <c r="O19154" s="7" t="str">
        <f>HYPERLINK("#Liste_rouge!A"&amp;_xlfn.XMATCH("LC",Liste_rouge!A:A,2,1),"LC")</f>
        <v>LC</v>
      </c>
      <c r="P19154" s="7" t="str">
        <f>HYPERLINK("#Liste_rouge!A"&amp;_xlfn.XMATCH("LC",Liste_rouge!A:A,2,1),"LC")</f>
        <v>LC</v>
      </c>
      <c r="Q19154" s="7" t="str">
        <f>HYPERLINK("#Liste_rouge!A"&amp;_xlfn.XMATCH("DD",Liste_rouge!A:A,2,1),"DD")</f>
        <v>DD</v>
      </c>
      <c r="V19154" s="7" t="str">
        <f>HYPERLINK("#Liste_rouge!A"&amp;_xlfn.XMATCH("DD",Liste_rouge!A:A,2,1),"DD")</f>
        <v>DD</v>
      </c>
      <c r="AH19154" s="4" t="str">
        <f>HYPERLINK("#Statut_biogéographique!A"&amp;_xlfn.XMATCH("P",Statut_biogéographique!A:A,2,1),"P")</f>
        <v>P</v>
      </c>
      <c r="AM19154" s="4" t="s">
        <v>375</v>
      </c>
      <c r="AN19154" s="4" t="s">
        <v>375</v>
      </c>
      <c r="AO19154" s="4" t="s">
        <v>375</v>
      </c>
      <c r="AP19154" s="4" t="s">
        <v>376</v>
      </c>
      <c r="AR19154" s="4" t="s">
        <v>377</v>
      </c>
    </row>
    <row r="19155" spans="1:44">
      <c r="A19155" s="4" t="s">
        <v>132</v>
      </c>
      <c r="B19155" s="4">
        <v>60102</v>
      </c>
      <c r="D19155" s="5" t="s">
        <v>23229</v>
      </c>
      <c r="E19155" s="6" t="str">
        <f>HYPERLINK("https://inpn.mnhn.fr/espece/cd_nom/60102","Sorex coronatus Millet, 1828")</f>
        <v>Sorex coronatus Millet, 1828</v>
      </c>
      <c r="F19155" s="5" t="s">
        <v>23230</v>
      </c>
      <c r="I19155" s="4" t="str">
        <f>HYPERLINK("#Réglementation!A"&amp;_xlfn.XMATCH("IBE3",Réglementation!A:A,2,1),"IBE3")</f>
        <v>IBE3</v>
      </c>
      <c r="O19155" s="7" t="str">
        <f>HYPERLINK("#Liste_rouge!A"&amp;_xlfn.XMATCH("LC",Liste_rouge!A:A,2,1),"LC")</f>
        <v>LC</v>
      </c>
      <c r="P19155" s="7" t="str">
        <f>HYPERLINK("#Liste_rouge!A"&amp;_xlfn.XMATCH("LC",Liste_rouge!A:A,2,1),"LC")</f>
        <v>LC</v>
      </c>
      <c r="Q19155" s="7" t="str">
        <f>HYPERLINK("#Liste_rouge!A"&amp;_xlfn.XMATCH("LC",Liste_rouge!A:A,2,1),"LC")</f>
        <v>LC</v>
      </c>
      <c r="T19155" s="7" t="str">
        <f>HYPERLINK("#Liste_rouge!A"&amp;_xlfn.XMATCH("LC",Liste_rouge!A:A,2,1),"LC")</f>
        <v>LC</v>
      </c>
      <c r="V19155" s="7" t="str">
        <f>HYPERLINK("#Liste_rouge!A"&amp;_xlfn.XMATCH("LC",Liste_rouge!A:A,2,1),"LC")</f>
        <v>LC</v>
      </c>
      <c r="AH19155" s="4" t="str">
        <f>HYPERLINK("#Statut_biogéographique!A"&amp;_xlfn.XMATCH("P",Statut_biogéographique!A:A,2,1),"P")</f>
        <v>P</v>
      </c>
      <c r="AM19155" s="4" t="s">
        <v>375</v>
      </c>
      <c r="AN19155" s="4" t="s">
        <v>375</v>
      </c>
      <c r="AO19155" s="4" t="s">
        <v>375</v>
      </c>
      <c r="AP19155" s="4" t="s">
        <v>376</v>
      </c>
      <c r="AR19155" s="4" t="s">
        <v>377</v>
      </c>
    </row>
    <row r="19156" spans="1:44">
      <c r="A19156" s="4" t="s">
        <v>132</v>
      </c>
      <c r="B19156" s="4">
        <v>60106</v>
      </c>
      <c r="D19156" s="5">
        <v>60106</v>
      </c>
      <c r="E19156" s="6" t="str">
        <f>HYPERLINK("https://inpn.mnhn.fr/espece/cd_nom/60106","Sorex alpinus Schinz, 1837")</f>
        <v>Sorex alpinus Schinz, 1837</v>
      </c>
      <c r="F19156" s="5" t="s">
        <v>23231</v>
      </c>
      <c r="I19156" s="4" t="str">
        <f>HYPERLINK("#Réglementation!A"&amp;_xlfn.XMATCH("IBE3",Réglementation!A:A,2,1),"IBE3")</f>
        <v>IBE3</v>
      </c>
      <c r="O19156" s="7" t="str">
        <f>HYPERLINK("#Liste_rouge!A"&amp;_xlfn.XMATCH("NT",Liste_rouge!A:A,2,1),"NT")</f>
        <v>NT</v>
      </c>
      <c r="P19156" s="7" t="str">
        <f>HYPERLINK("#Liste_rouge!A"&amp;_xlfn.XMATCH("NT",Liste_rouge!A:A,2,1),"NT")</f>
        <v>NT</v>
      </c>
      <c r="Q19156" s="7" t="str">
        <f>HYPERLINK("#Liste_rouge!A"&amp;_xlfn.XMATCH("DD",Liste_rouge!A:A,2,1),"DD")</f>
        <v>DD</v>
      </c>
      <c r="V19156" s="7" t="str">
        <f>HYPERLINK("#Liste_rouge!A"&amp;_xlfn.XMATCH("NT",Liste_rouge!A:A,2,1),"NT")</f>
        <v>NT</v>
      </c>
      <c r="X19156" s="5" t="s">
        <v>374</v>
      </c>
      <c r="AH19156" s="4" t="str">
        <f>HYPERLINK("#Statut_biogéographique!A"&amp;_xlfn.XMATCH("P",Statut_biogéographique!A:A,2,1),"P")</f>
        <v>P</v>
      </c>
      <c r="AM19156" s="4" t="s">
        <v>375</v>
      </c>
      <c r="AN19156" s="4" t="s">
        <v>375</v>
      </c>
      <c r="AO19156" s="4" t="s">
        <v>375</v>
      </c>
      <c r="AP19156" s="4" t="s">
        <v>376</v>
      </c>
      <c r="AR19156" s="4" t="s">
        <v>377</v>
      </c>
    </row>
    <row r="19157" spans="1:44" ht="30">
      <c r="A19157" s="4" t="s">
        <v>132</v>
      </c>
      <c r="B19157" s="4">
        <v>60123</v>
      </c>
      <c r="D19157" s="5" t="s">
        <v>23232</v>
      </c>
      <c r="E19157" s="6" t="str">
        <f>HYPERLINK("https://inpn.mnhn.fr/espece/cd_nom/60123","Neomys milleri Mottaz, 1907")</f>
        <v>Neomys milleri Mottaz, 1907</v>
      </c>
      <c r="F19157" s="5" t="s">
        <v>23233</v>
      </c>
      <c r="I19157" s="4" t="str">
        <f>HYPERLINK("#Réglementation!A"&amp;_xlfn.XMATCH("IBE3",Réglementation!A:A,2,1),"IBE3")</f>
        <v>IBE3</v>
      </c>
      <c r="L19157" s="4" t="str">
        <f>HYPERLINK("#Réglementation!A"&amp;_xlfn.XMATCH("NM2",Réglementation!A:A,2,1),"NM2")</f>
        <v>NM2</v>
      </c>
      <c r="Q19157" s="7" t="str">
        <f>HYPERLINK("#Liste_rouge!A"&amp;_xlfn.XMATCH("LC",Liste_rouge!A:A,2,1),"LC")</f>
        <v>LC</v>
      </c>
      <c r="T19157" s="7" t="str">
        <f>HYPERLINK("#Liste_rouge!A"&amp;_xlfn.XMATCH("EN",Liste_rouge!A:A,2,1),"EN")</f>
        <v>EN</v>
      </c>
      <c r="U19157" s="4" t="str">
        <f>HYPERLINK("#Critères_liste_rouge!A$1","B(1+2)ab(i,ii,iii)")</f>
        <v>B(1+2)ab(i,ii,iii)</v>
      </c>
      <c r="V19157" s="7" t="str">
        <f>HYPERLINK("#Liste_rouge!A"&amp;_xlfn.XMATCH("EN",Liste_rouge!A:A,2,1),"EN")</f>
        <v>EN</v>
      </c>
      <c r="X19157" s="5" t="s">
        <v>374</v>
      </c>
      <c r="AH19157" s="4" t="str">
        <f>HYPERLINK("#Statut_biogéographique!A"&amp;_xlfn.XMATCH("P",Statut_biogéographique!A:A,2,1),"P")</f>
        <v>P</v>
      </c>
      <c r="AM19157" s="4" t="s">
        <v>375</v>
      </c>
      <c r="AN19157" s="4" t="s">
        <v>375</v>
      </c>
      <c r="AO19157" s="4" t="s">
        <v>375</v>
      </c>
      <c r="AP19157" s="4" t="s">
        <v>376</v>
      </c>
      <c r="AR19157" s="4" t="s">
        <v>377</v>
      </c>
    </row>
    <row r="19158" spans="1:44" ht="30">
      <c r="A19158" s="4" t="s">
        <v>132</v>
      </c>
      <c r="B19158" s="4">
        <v>60127</v>
      </c>
      <c r="D19158" s="5" t="s">
        <v>23234</v>
      </c>
      <c r="E19158" s="6" t="str">
        <f>HYPERLINK("https://inpn.mnhn.fr/espece/cd_nom/60127","Neomys fodiens (Pennant, 1771)")</f>
        <v>Neomys fodiens (Pennant, 1771)</v>
      </c>
      <c r="F19158" s="5" t="s">
        <v>23235</v>
      </c>
      <c r="I19158" s="4" t="str">
        <f>HYPERLINK("#Réglementation!A"&amp;_xlfn.XMATCH("IBE3",Réglementation!A:A,2,1),"IBE3")</f>
        <v>IBE3</v>
      </c>
      <c r="L19158" s="4" t="str">
        <f>HYPERLINK("#Réglementation!A"&amp;_xlfn.XMATCH("NM2",Réglementation!A:A,2,1),"NM2")</f>
        <v>NM2</v>
      </c>
      <c r="O19158" s="7" t="str">
        <f>HYPERLINK("#Liste_rouge!A"&amp;_xlfn.XMATCH("LC",Liste_rouge!A:A,2,1),"LC")</f>
        <v>LC</v>
      </c>
      <c r="P19158" s="7" t="str">
        <f>HYPERLINK("#Liste_rouge!A"&amp;_xlfn.XMATCH("LC",Liste_rouge!A:A,2,1),"LC")</f>
        <v>LC</v>
      </c>
      <c r="Q19158" s="7" t="str">
        <f>HYPERLINK("#Liste_rouge!A"&amp;_xlfn.XMATCH("LC",Liste_rouge!A:A,2,1),"LC")</f>
        <v>LC</v>
      </c>
      <c r="T19158" s="7" t="str">
        <f>HYPERLINK("#Liste_rouge!A"&amp;_xlfn.XMATCH("EN",Liste_rouge!A:A,2,1),"EN")</f>
        <v>EN</v>
      </c>
      <c r="U19158" s="4" t="str">
        <f>HYPERLINK("#Critères_liste_rouge!A$1","B2ab(ii,iii)")</f>
        <v>B2ab(ii,iii)</v>
      </c>
      <c r="V19158" s="7" t="str">
        <f>HYPERLINK("#Liste_rouge!A"&amp;_xlfn.XMATCH("NT",Liste_rouge!A:A,2,1),"NT")</f>
        <v>NT</v>
      </c>
      <c r="X19158" s="5" t="s">
        <v>374</v>
      </c>
      <c r="AH19158" s="4" t="str">
        <f>HYPERLINK("#Statut_biogéographique!A"&amp;_xlfn.XMATCH("P",Statut_biogéographique!A:A,2,1),"P")</f>
        <v>P</v>
      </c>
      <c r="AM19158" s="4" t="s">
        <v>375</v>
      </c>
      <c r="AN19158" s="4" t="s">
        <v>375</v>
      </c>
      <c r="AO19158" s="4" t="s">
        <v>375</v>
      </c>
      <c r="AP19158" s="4" t="s">
        <v>376</v>
      </c>
      <c r="AR19158" s="4" t="s">
        <v>377</v>
      </c>
    </row>
    <row r="19159" spans="1:44" ht="30">
      <c r="A19159" s="4" t="s">
        <v>132</v>
      </c>
      <c r="B19159" s="4">
        <v>60176</v>
      </c>
      <c r="D19159" s="5" t="s">
        <v>23236</v>
      </c>
      <c r="E19159" s="6" t="str">
        <f>HYPERLINK("https://inpn.mnhn.fr/espece/cd_nom/60176","Crocidura leucodon (Hermann, 1780)")</f>
        <v>Crocidura leucodon (Hermann, 1780)</v>
      </c>
      <c r="F19159" s="5" t="s">
        <v>23237</v>
      </c>
      <c r="I19159" s="4" t="str">
        <f>HYPERLINK("#Réglementation!A"&amp;_xlfn.XMATCH("IBE3",Réglementation!A:A,2,1),"IBE3")</f>
        <v>IBE3</v>
      </c>
      <c r="O19159" s="7" t="str">
        <f>HYPERLINK("#Liste_rouge!A"&amp;_xlfn.XMATCH("LC",Liste_rouge!A:A,2,1),"LC")</f>
        <v>LC</v>
      </c>
      <c r="P19159" s="7" t="str">
        <f>HYPERLINK("#Liste_rouge!A"&amp;_xlfn.XMATCH("LC",Liste_rouge!A:A,2,1),"LC")</f>
        <v>LC</v>
      </c>
      <c r="Q19159" s="7" t="str">
        <f>HYPERLINK("#Liste_rouge!A"&amp;_xlfn.XMATCH("NT",Liste_rouge!A:A,2,1),"NT")</f>
        <v>NT</v>
      </c>
      <c r="T19159" s="7" t="str">
        <f>HYPERLINK("#Liste_rouge!A"&amp;_xlfn.XMATCH("NT",Liste_rouge!A:A,2,1),"NT")</f>
        <v>NT</v>
      </c>
      <c r="U19159" s="4" t="str">
        <f>HYPERLINK("#Critères_liste_rouge!A$1","pr. B2b(ii)")</f>
        <v>pr. B2b(ii)</v>
      </c>
      <c r="V19159" s="7" t="str">
        <f>HYPERLINK("#Liste_rouge!A"&amp;_xlfn.XMATCH("DD",Liste_rouge!A:A,2,1),"DD")</f>
        <v>DD</v>
      </c>
      <c r="X19159" s="5" t="s">
        <v>374</v>
      </c>
      <c r="AH19159" s="4" t="str">
        <f>HYPERLINK("#Statut_biogéographique!A"&amp;_xlfn.XMATCH("P",Statut_biogéographique!A:A,2,1),"P")</f>
        <v>P</v>
      </c>
      <c r="AM19159" s="4" t="s">
        <v>375</v>
      </c>
      <c r="AN19159" s="4" t="s">
        <v>375</v>
      </c>
      <c r="AO19159" s="4" t="s">
        <v>375</v>
      </c>
      <c r="AP19159" s="4" t="s">
        <v>376</v>
      </c>
      <c r="AR19159" s="4" t="s">
        <v>377</v>
      </c>
    </row>
    <row r="19160" spans="1:44">
      <c r="A19160" s="4" t="s">
        <v>132</v>
      </c>
      <c r="B19160" s="4">
        <v>60205</v>
      </c>
      <c r="D19160" s="5" t="s">
        <v>23238</v>
      </c>
      <c r="E19160" s="6" t="str">
        <f>HYPERLINK("https://inpn.mnhn.fr/espece/cd_nom/60205","Crocidura russula (Hermann, 1780)")</f>
        <v>Crocidura russula (Hermann, 1780)</v>
      </c>
      <c r="F19160" s="5" t="s">
        <v>23239</v>
      </c>
      <c r="I19160" s="4" t="str">
        <f>HYPERLINK("#Réglementation!A"&amp;_xlfn.XMATCH("IBE3",Réglementation!A:A,2,1),"IBE3")</f>
        <v>IBE3</v>
      </c>
      <c r="O19160" s="7" t="str">
        <f>HYPERLINK("#Liste_rouge!A"&amp;_xlfn.XMATCH("LC",Liste_rouge!A:A,2,1),"LC")</f>
        <v>LC</v>
      </c>
      <c r="P19160" s="7" t="str">
        <f>HYPERLINK("#Liste_rouge!A"&amp;_xlfn.XMATCH("LC",Liste_rouge!A:A,2,1),"LC")</f>
        <v>LC</v>
      </c>
      <c r="Q19160" s="7" t="str">
        <f>HYPERLINK("#Liste_rouge!A"&amp;_xlfn.XMATCH("LC",Liste_rouge!A:A,2,1),"LC")</f>
        <v>LC</v>
      </c>
      <c r="T19160" s="7" t="str">
        <f>HYPERLINK("#Liste_rouge!A"&amp;_xlfn.XMATCH("LC",Liste_rouge!A:A,2,1),"LC")</f>
        <v>LC</v>
      </c>
      <c r="V19160" s="7" t="str">
        <f>HYPERLINK("#Liste_rouge!A"&amp;_xlfn.XMATCH("LC",Liste_rouge!A:A,2,1),"LC")</f>
        <v>LC</v>
      </c>
      <c r="AH19160" s="4" t="str">
        <f>HYPERLINK("#Statut_biogéographique!A"&amp;_xlfn.XMATCH("P",Statut_biogéographique!A:A,2,1),"P")</f>
        <v>P</v>
      </c>
      <c r="AM19160" s="4" t="s">
        <v>375</v>
      </c>
      <c r="AN19160" s="4" t="s">
        <v>375</v>
      </c>
      <c r="AO19160" s="4" t="s">
        <v>375</v>
      </c>
      <c r="AP19160" s="4" t="s">
        <v>376</v>
      </c>
      <c r="AR19160" s="4" t="s">
        <v>377</v>
      </c>
    </row>
    <row r="19161" spans="1:44" ht="60">
      <c r="A19161" s="4" t="s">
        <v>132</v>
      </c>
      <c r="B19161" s="4">
        <v>60249</v>
      </c>
      <c r="D19161" s="5" t="s">
        <v>23240</v>
      </c>
      <c r="E19161" s="6" t="str">
        <f>HYPERLINK("https://inpn.mnhn.fr/espece/cd_nom/60249","Talpa europaea Linnaeus, 1758")</f>
        <v>Talpa europaea Linnaeus, 1758</v>
      </c>
      <c r="F19161" s="5" t="s">
        <v>23241</v>
      </c>
      <c r="O19161" s="7" t="str">
        <f>HYPERLINK("#Liste_rouge!A"&amp;_xlfn.XMATCH("LC",Liste_rouge!A:A,2,1),"LC")</f>
        <v>LC</v>
      </c>
      <c r="P19161" s="7" t="str">
        <f>HYPERLINK("#Liste_rouge!A"&amp;_xlfn.XMATCH("LC",Liste_rouge!A:A,2,1),"LC")</f>
        <v>LC</v>
      </c>
      <c r="Q19161" s="7" t="str">
        <f>HYPERLINK("#Liste_rouge!A"&amp;_xlfn.XMATCH("LC",Liste_rouge!A:A,2,1),"LC")</f>
        <v>LC</v>
      </c>
      <c r="T19161" s="7" t="str">
        <f>HYPERLINK("#Liste_rouge!A"&amp;_xlfn.XMATCH("LC",Liste_rouge!A:A,2,1),"LC")</f>
        <v>LC</v>
      </c>
      <c r="V19161" s="7" t="str">
        <f>HYPERLINK("#Liste_rouge!A"&amp;_xlfn.XMATCH("LC",Liste_rouge!A:A,2,1),"LC")</f>
        <v>LC</v>
      </c>
      <c r="AH19161" s="4" t="str">
        <f>HYPERLINK("#Statut_biogéographique!A"&amp;_xlfn.XMATCH("P",Statut_biogéographique!A:A,2,1),"P")</f>
        <v>P</v>
      </c>
      <c r="AM19161" s="4" t="s">
        <v>375</v>
      </c>
      <c r="AN19161" s="4" t="s">
        <v>375</v>
      </c>
      <c r="AO19161" s="4" t="s">
        <v>375</v>
      </c>
      <c r="AP19161" s="4" t="s">
        <v>376</v>
      </c>
      <c r="AR19161" s="4" t="s">
        <v>377</v>
      </c>
    </row>
    <row r="19162" spans="1:44" ht="30">
      <c r="A19162" s="4" t="s">
        <v>132</v>
      </c>
      <c r="B19162" s="4">
        <v>60295</v>
      </c>
      <c r="D19162" s="5" t="s">
        <v>23242</v>
      </c>
      <c r="E19162" s="6" t="str">
        <f>HYPERLINK("https://inpn.mnhn.fr/espece/cd_nom/60295","Rhinolophus ferrumequinum (Schreber, 1774)")</f>
        <v>Rhinolophus ferrumequinum (Schreber, 1774)</v>
      </c>
      <c r="F19162" s="5" t="s">
        <v>23243</v>
      </c>
      <c r="H19162" s="4" t="str">
        <f>HYPERLINK("#Réglementation!A"&amp;_xlfn.XMATCH("IBOEU",Réglementation!A:A,2,1),"IBOEU - IBO2")</f>
        <v>IBOEU - IBO2</v>
      </c>
      <c r="I19162" s="4" t="str">
        <f>HYPERLINK("#Réglementation!A"&amp;_xlfn.XMATCH("IBE2",Réglementation!A:A,2,1),"IBE2")</f>
        <v>IBE2</v>
      </c>
      <c r="K19162" s="4" t="str">
        <f>HYPERLINK("#Réglementation!A"&amp;_xlfn.XMATCH("CDH2",Réglementation!A:A,2,1),"CDH2 - CDH4")</f>
        <v>CDH2 - CDH4</v>
      </c>
      <c r="L19162" s="4" t="str">
        <f>HYPERLINK("#Réglementation!A"&amp;_xlfn.XMATCH("NM2",Réglementation!A:A,2,1),"NM2")</f>
        <v>NM2</v>
      </c>
      <c r="O19162" s="7" t="str">
        <f>HYPERLINK("#Liste_rouge!A"&amp;_xlfn.XMATCH("LC",Liste_rouge!A:A,2,1),"LC")</f>
        <v>LC</v>
      </c>
      <c r="P19162" s="7" t="str">
        <f>HYPERLINK("#Liste_rouge!A"&amp;_xlfn.XMATCH("NT",Liste_rouge!A:A,2,1),"NT")</f>
        <v>NT</v>
      </c>
      <c r="Q19162" s="7" t="str">
        <f>HYPERLINK("#Liste_rouge!A"&amp;_xlfn.XMATCH("LC",Liste_rouge!A:A,2,1),"LC")</f>
        <v>LC</v>
      </c>
      <c r="T19162" s="7" t="str">
        <f>HYPERLINK("#Liste_rouge!A"&amp;_xlfn.XMATCH("EN",Liste_rouge!A:A,2,1),"EN")</f>
        <v>EN</v>
      </c>
      <c r="U19162" s="4" t="str">
        <f>HYPERLINK("#Critères_liste_rouge!A$1","C2a(i)")</f>
        <v>C2a(i)</v>
      </c>
      <c r="V19162" s="7" t="str">
        <f>HYPERLINK("#Liste_rouge!A"&amp;_xlfn.XMATCH("EN",Liste_rouge!A:A,2,1),"EN")</f>
        <v>EN</v>
      </c>
      <c r="X19162" s="5" t="s">
        <v>374</v>
      </c>
      <c r="AE19162" s="4" t="str">
        <f>HYPERLINK("#SCAP!A"&amp;_xlfn.XMATCH("2+",SCAP!A:A,2,1),"2+")</f>
        <v>2+</v>
      </c>
      <c r="AF19162" s="4" t="str">
        <f>HYPERLINK("#SCAP!A"&amp;_xlfn.XMATCH("2+",SCAP!A:A,2,1),"2+")</f>
        <v>2+</v>
      </c>
      <c r="AG19162" s="4" t="str">
        <f>HYPERLINK("#SCAP!A"&amp;_xlfn.XMATCH("2+",SCAP!A:A,2,1),"2+")</f>
        <v>2+</v>
      </c>
      <c r="AH19162" s="4" t="str">
        <f>HYPERLINK("#Statut_biogéographique!A"&amp;_xlfn.XMATCH("P",Statut_biogéographique!A:A,2,1),"P")</f>
        <v>P</v>
      </c>
      <c r="AI19162" s="8" t="s">
        <v>23244</v>
      </c>
      <c r="AJ19162" s="4" t="s">
        <v>23245</v>
      </c>
      <c r="AM19162" s="4" t="s">
        <v>375</v>
      </c>
      <c r="AN19162" s="4" t="s">
        <v>375</v>
      </c>
      <c r="AO19162" s="4" t="s">
        <v>375</v>
      </c>
      <c r="AP19162" s="4" t="s">
        <v>376</v>
      </c>
      <c r="AR19162" s="4" t="s">
        <v>377</v>
      </c>
    </row>
    <row r="19163" spans="1:44" ht="45">
      <c r="A19163" s="4" t="s">
        <v>132</v>
      </c>
      <c r="B19163" s="4">
        <v>60297</v>
      </c>
      <c r="D19163" s="5" t="s">
        <v>23246</v>
      </c>
      <c r="E19163" s="6" t="str">
        <f>HYPERLINK("https://inpn.mnhn.fr/espece/cd_nom/60297","Rhinolophus ferrumequinum ferrumequinum (Schreber, 1774)")</f>
        <v>Rhinolophus ferrumequinum ferrumequinum (Schreber, 1774)</v>
      </c>
      <c r="F19163" s="5" t="s">
        <v>23243</v>
      </c>
      <c r="H19163" s="4" t="str">
        <f>HYPERLINK("#Réglementation!A"&amp;_xlfn.XMATCH("IBOEU",Réglementation!A:A,2,1),"IBOEU - IBO2")</f>
        <v>IBOEU - IBO2</v>
      </c>
      <c r="I19163" s="4" t="str">
        <f>HYPERLINK("#Réglementation!A"&amp;_xlfn.XMATCH("IBE2",Réglementation!A:A,2,1),"IBE2")</f>
        <v>IBE2</v>
      </c>
      <c r="K19163" s="4" t="str">
        <f>HYPERLINK("#Réglementation!A"&amp;_xlfn.XMATCH("CDH2",Réglementation!A:A,2,1),"CDH2 - CDH4")</f>
        <v>CDH2 - CDH4</v>
      </c>
      <c r="L19163" s="4" t="str">
        <f>HYPERLINK("#Réglementation!A"&amp;_xlfn.XMATCH("NM2",Réglementation!A:A,2,1),"NM2")</f>
        <v>NM2</v>
      </c>
      <c r="AH19163" s="4" t="str">
        <f>HYPERLINK("#Statut_biogéographique!A"&amp;_xlfn.XMATCH("P",Statut_biogéographique!A:A,2,1),"P")</f>
        <v>P</v>
      </c>
      <c r="AP19163" s="4" t="s">
        <v>376</v>
      </c>
      <c r="AR19163" s="4" t="s">
        <v>377</v>
      </c>
    </row>
    <row r="19164" spans="1:44" ht="60">
      <c r="A19164" s="4" t="s">
        <v>132</v>
      </c>
      <c r="B19164" s="4">
        <v>60313</v>
      </c>
      <c r="D19164" s="5" t="s">
        <v>23247</v>
      </c>
      <c r="E19164" s="6" t="str">
        <f>HYPERLINK("https://inpn.mnhn.fr/espece/cd_nom/60313","Rhinolophus hipposideros (Borkhausen, 1797)")</f>
        <v>Rhinolophus hipposideros (Borkhausen, 1797)</v>
      </c>
      <c r="F19164" s="5" t="s">
        <v>23248</v>
      </c>
      <c r="H19164" s="4" t="str">
        <f>HYPERLINK("#Réglementation!A"&amp;_xlfn.XMATCH("IBOEU",Réglementation!A:A,2,1),"IBOEU - IBO2")</f>
        <v>IBOEU - IBO2</v>
      </c>
      <c r="I19164" s="4" t="str">
        <f>HYPERLINK("#Réglementation!A"&amp;_xlfn.XMATCH("IBE2",Réglementation!A:A,2,1),"IBE2")</f>
        <v>IBE2</v>
      </c>
      <c r="K19164" s="4" t="str">
        <f>HYPERLINK("#Réglementation!A"&amp;_xlfn.XMATCH("CDH2",Réglementation!A:A,2,1),"CDH2 - CDH4")</f>
        <v>CDH2 - CDH4</v>
      </c>
      <c r="L19164" s="4" t="str">
        <f>HYPERLINK("#Réglementation!A"&amp;_xlfn.XMATCH("NM2",Réglementation!A:A,2,1),"NM2")</f>
        <v>NM2</v>
      </c>
      <c r="O19164" s="7" t="str">
        <f>HYPERLINK("#Liste_rouge!A"&amp;_xlfn.XMATCH("LC",Liste_rouge!A:A,2,1),"LC")</f>
        <v>LC</v>
      </c>
      <c r="Q19164" s="7" t="str">
        <f>HYPERLINK("#Liste_rouge!A"&amp;_xlfn.XMATCH("LC",Liste_rouge!A:A,2,1),"LC")</f>
        <v>LC</v>
      </c>
      <c r="T19164" s="7" t="str">
        <f>HYPERLINK("#Liste_rouge!A"&amp;_xlfn.XMATCH("NT",Liste_rouge!A:A,2,1),"NT")</f>
        <v>NT</v>
      </c>
      <c r="U19164" s="4" t="str">
        <f>HYPERLINK("#Critères_liste_rouge!A$1","pr. B2b(i,iii), C2a(i)")</f>
        <v>pr. B2b(i,iii), C2a(i)</v>
      </c>
      <c r="V19164" s="7" t="str">
        <f>HYPERLINK("#Liste_rouge!A"&amp;_xlfn.XMATCH("VU",Liste_rouge!A:A,2,1),"VU")</f>
        <v>VU</v>
      </c>
      <c r="X19164" s="5" t="s">
        <v>374</v>
      </c>
      <c r="AE19164" s="4" t="str">
        <f>HYPERLINK("#SCAP!A"&amp;_xlfn.XMATCH("2+",SCAP!A:A,2,1),"2+")</f>
        <v>2+</v>
      </c>
      <c r="AF19164" s="4" t="str">
        <f>HYPERLINK("#SCAP!A"&amp;_xlfn.XMATCH("2+",SCAP!A:A,2,1),"2+")</f>
        <v>2+</v>
      </c>
      <c r="AG19164" s="4" t="str">
        <f>HYPERLINK("#SCAP!A"&amp;_xlfn.XMATCH("2+",SCAP!A:A,2,1),"2+")</f>
        <v>2+</v>
      </c>
      <c r="AH19164" s="4" t="str">
        <f>HYPERLINK("#Statut_biogéographique!A"&amp;_xlfn.XMATCH("P",Statut_biogéographique!A:A,2,1),"P")</f>
        <v>P</v>
      </c>
      <c r="AI19164" s="8" t="s">
        <v>23249</v>
      </c>
      <c r="AJ19164" s="4" t="s">
        <v>23245</v>
      </c>
      <c r="AM19164" s="4" t="s">
        <v>375</v>
      </c>
      <c r="AN19164" s="4" t="s">
        <v>375</v>
      </c>
      <c r="AO19164" s="4" t="s">
        <v>375</v>
      </c>
      <c r="AP19164" s="4" t="s">
        <v>376</v>
      </c>
      <c r="AR19164" s="4" t="s">
        <v>377</v>
      </c>
    </row>
    <row r="19165" spans="1:44">
      <c r="A19165" s="4" t="s">
        <v>132</v>
      </c>
      <c r="B19165" s="4">
        <v>60330</v>
      </c>
      <c r="D19165" s="5" t="s">
        <v>23250</v>
      </c>
      <c r="E19165" s="6" t="str">
        <f>HYPERLINK("https://inpn.mnhn.fr/espece/cd_nom/60330","Rhinolophus euryale Blasius, 1853")</f>
        <v>Rhinolophus euryale Blasius, 1853</v>
      </c>
      <c r="F19165" s="5" t="s">
        <v>23251</v>
      </c>
      <c r="H19165" s="4" t="str">
        <f>HYPERLINK("#Réglementation!A"&amp;_xlfn.XMATCH("IBOEU",Réglementation!A:A,2,1),"IBOEU - IBO2")</f>
        <v>IBOEU - IBO2</v>
      </c>
      <c r="I19165" s="4" t="str">
        <f>HYPERLINK("#Réglementation!A"&amp;_xlfn.XMATCH("IBE2",Réglementation!A:A,2,1),"IBE2")</f>
        <v>IBE2</v>
      </c>
      <c r="K19165" s="4" t="str">
        <f>HYPERLINK("#Réglementation!A"&amp;_xlfn.XMATCH("CDH2",Réglementation!A:A,2,1),"CDH2 - CDH4")</f>
        <v>CDH2 - CDH4</v>
      </c>
      <c r="L19165" s="4" t="str">
        <f>HYPERLINK("#Réglementation!A"&amp;_xlfn.XMATCH("NM2",Réglementation!A:A,2,1),"NM2")</f>
        <v>NM2</v>
      </c>
      <c r="O19165" s="7" t="str">
        <f>HYPERLINK("#Liste_rouge!A"&amp;_xlfn.XMATCH("NT",Liste_rouge!A:A,2,1),"NT")</f>
        <v>NT</v>
      </c>
      <c r="P19165" s="7" t="str">
        <f>HYPERLINK("#Liste_rouge!A"&amp;_xlfn.XMATCH("VU",Liste_rouge!A:A,2,1),"VU")</f>
        <v>VU</v>
      </c>
      <c r="Q19165" s="7" t="str">
        <f>HYPERLINK("#Liste_rouge!A"&amp;_xlfn.XMATCH("LC",Liste_rouge!A:A,2,1),"LC")</f>
        <v>LC</v>
      </c>
      <c r="T19165" s="7" t="str">
        <f>HYPERLINK("#Liste_rouge!A"&amp;_xlfn.XMATCH("CR",Liste_rouge!A:A,2,1),"CR")</f>
        <v>CR</v>
      </c>
      <c r="U19165" s="4" t="str">
        <f>HYPERLINK("#Critères_liste_rouge!A$1","A1ac+4ac B2a+b(i,ii,iii,iv,v) C2a(i)b D1")</f>
        <v>A1ac+4ac B2a+b(i,ii,iii,iv,v) C2a(i)b D1</v>
      </c>
      <c r="V19165" s="7" t="str">
        <f>HYPERLINK("#Liste_rouge!A"&amp;_xlfn.XMATCH("CR",Liste_rouge!A:A,2,1),"CR")</f>
        <v>CR</v>
      </c>
      <c r="X19165" s="5" t="s">
        <v>374</v>
      </c>
      <c r="AE19165" s="4" t="str">
        <f>HYPERLINK("#SCAP!A"&amp;_xlfn.XMATCH("1+",SCAP!A:A,2,1),"1+")</f>
        <v>1+</v>
      </c>
      <c r="AF19165" s="4" t="str">
        <f>HYPERLINK("#SCAP!A"&amp;_xlfn.XMATCH("1+",SCAP!A:A,2,1),"1+")</f>
        <v>1+</v>
      </c>
      <c r="AG19165" s="4" t="str">
        <f>HYPERLINK("#SCAP!A"&amp;_xlfn.XMATCH("2+",SCAP!A:A,2,1),"2+")</f>
        <v>2+</v>
      </c>
      <c r="AH19165" s="4" t="str">
        <f>HYPERLINK("#Statut_biogéographique!A"&amp;_xlfn.XMATCH("P",Statut_biogéographique!A:A,2,1),"P")</f>
        <v>P</v>
      </c>
      <c r="AI19165" s="8" t="s">
        <v>23252</v>
      </c>
      <c r="AJ19165" s="4" t="s">
        <v>23245</v>
      </c>
      <c r="AM19165" s="4" t="s">
        <v>375</v>
      </c>
      <c r="AN19165" s="4" t="s">
        <v>23253</v>
      </c>
      <c r="AO19165" s="4" t="s">
        <v>23253</v>
      </c>
      <c r="AP19165" s="4" t="s">
        <v>376</v>
      </c>
      <c r="AR19165" s="4" t="s">
        <v>377</v>
      </c>
    </row>
    <row r="19166" spans="1:44">
      <c r="A19166" s="4" t="s">
        <v>132</v>
      </c>
      <c r="B19166" s="4">
        <v>60345</v>
      </c>
      <c r="D19166" s="5" t="s">
        <v>23254</v>
      </c>
      <c r="E19166" s="6" t="str">
        <f>HYPERLINK("https://inpn.mnhn.fr/espece/cd_nom/60345","Barbastella barbastellus (Schreber, 1774)")</f>
        <v>Barbastella barbastellus (Schreber, 1774)</v>
      </c>
      <c r="F19166" s="5" t="s">
        <v>23255</v>
      </c>
      <c r="H19166" s="4" t="str">
        <f>HYPERLINK("#Réglementation!A"&amp;_xlfn.XMATCH("IBOEU",Réglementation!A:A,2,1),"IBOEU - IBO2")</f>
        <v>IBOEU - IBO2</v>
      </c>
      <c r="I19166" s="4" t="str">
        <f>HYPERLINK("#Réglementation!A"&amp;_xlfn.XMATCH("IBE2",Réglementation!A:A,2,1),"IBE2")</f>
        <v>IBE2</v>
      </c>
      <c r="K19166" s="4" t="str">
        <f>HYPERLINK("#Réglementation!A"&amp;_xlfn.XMATCH("CDH2",Réglementation!A:A,2,1),"CDH2 - CDH4")</f>
        <v>CDH2 - CDH4</v>
      </c>
      <c r="L19166" s="4" t="str">
        <f>HYPERLINK("#Réglementation!A"&amp;_xlfn.XMATCH("NM2",Réglementation!A:A,2,1),"NM2")</f>
        <v>NM2</v>
      </c>
      <c r="O19166" s="7" t="str">
        <f>HYPERLINK("#Liste_rouge!A"&amp;_xlfn.XMATCH("NT",Liste_rouge!A:A,2,1),"NT")</f>
        <v>NT</v>
      </c>
      <c r="P19166" s="7" t="str">
        <f>HYPERLINK("#Liste_rouge!A"&amp;_xlfn.XMATCH("VU",Liste_rouge!A:A,2,1),"VU")</f>
        <v>VU</v>
      </c>
      <c r="Q19166" s="7" t="str">
        <f>HYPERLINK("#Liste_rouge!A"&amp;_xlfn.XMATCH("LC",Liste_rouge!A:A,2,1),"LC")</f>
        <v>LC</v>
      </c>
      <c r="T19166" s="7" t="str">
        <f>HYPERLINK("#Liste_rouge!A"&amp;_xlfn.XMATCH("NT",Liste_rouge!A:A,2,1),"NT")</f>
        <v>NT</v>
      </c>
      <c r="U19166" s="4" t="str">
        <f>HYPERLINK("#Critères_liste_rouge!A$1","pr. B2b(iii,iv) C2a(i)")</f>
        <v>pr. B2b(iii,iv) C2a(i)</v>
      </c>
      <c r="V19166" s="7" t="str">
        <f>HYPERLINK("#Liste_rouge!A"&amp;_xlfn.XMATCH("NT",Liste_rouge!A:A,2,1),"NT")</f>
        <v>NT</v>
      </c>
      <c r="X19166" s="5" t="s">
        <v>374</v>
      </c>
      <c r="AH19166" s="4" t="str">
        <f>HYPERLINK("#Statut_biogéographique!A"&amp;_xlfn.XMATCH("P",Statut_biogéographique!A:A,2,1),"P")</f>
        <v>P</v>
      </c>
      <c r="AI19166" s="8" t="s">
        <v>23256</v>
      </c>
      <c r="AJ19166" s="4" t="s">
        <v>23222</v>
      </c>
      <c r="AM19166" s="4" t="s">
        <v>375</v>
      </c>
      <c r="AN19166" s="4" t="s">
        <v>375</v>
      </c>
      <c r="AO19166" s="4" t="s">
        <v>375</v>
      </c>
      <c r="AP19166" s="4" t="s">
        <v>376</v>
      </c>
      <c r="AR19166" s="4" t="s">
        <v>377</v>
      </c>
    </row>
    <row r="19167" spans="1:44" ht="45">
      <c r="A19167" s="4" t="s">
        <v>132</v>
      </c>
      <c r="B19167" s="4">
        <v>60360</v>
      </c>
      <c r="D19167" s="5" t="s">
        <v>23257</v>
      </c>
      <c r="E19167" s="6" t="str">
        <f>HYPERLINK("https://inpn.mnhn.fr/espece/cd_nom/60360","Eptesicus serotinus (Schreber, 1774)")</f>
        <v>Eptesicus serotinus (Schreber, 1774)</v>
      </c>
      <c r="F19167" s="5" t="s">
        <v>23258</v>
      </c>
      <c r="H19167" s="4" t="str">
        <f>HYPERLINK("#Réglementation!A"&amp;_xlfn.XMATCH("IBO2",Réglementation!A:A,2,1),"IBO2")</f>
        <v>IBO2</v>
      </c>
      <c r="I19167" s="4" t="str">
        <f>HYPERLINK("#Réglementation!A"&amp;_xlfn.XMATCH("IBE2",Réglementation!A:A,2,1),"IBE2")</f>
        <v>IBE2</v>
      </c>
      <c r="K19167" s="4" t="str">
        <f>HYPERLINK("#Réglementation!A"&amp;_xlfn.XMATCH("CDH4",Réglementation!A:A,2,1),"CDH4")</f>
        <v>CDH4</v>
      </c>
      <c r="L19167" s="4" t="str">
        <f>HYPERLINK("#Réglementation!A"&amp;_xlfn.XMATCH("NM2",Réglementation!A:A,2,1),"NM2")</f>
        <v>NM2</v>
      </c>
      <c r="O19167" s="7" t="str">
        <f>HYPERLINK("#Liste_rouge!A"&amp;_xlfn.XMATCH("LC",Liste_rouge!A:A,2,1),"LC")</f>
        <v>LC</v>
      </c>
      <c r="Q19167" s="7" t="str">
        <f>HYPERLINK("#Liste_rouge!A"&amp;_xlfn.XMATCH("NT",Liste_rouge!A:A,2,1),"NT")</f>
        <v>NT</v>
      </c>
      <c r="T19167" s="7" t="str">
        <f>HYPERLINK("#Liste_rouge!A"&amp;_xlfn.XMATCH("LC",Liste_rouge!A:A,2,1),"LC")</f>
        <v>LC</v>
      </c>
      <c r="V19167" s="7" t="str">
        <f>HYPERLINK("#Liste_rouge!A"&amp;_xlfn.XMATCH("LC",Liste_rouge!A:A,2,1),"LC")</f>
        <v>LC</v>
      </c>
      <c r="X19167" s="5" t="s">
        <v>398</v>
      </c>
      <c r="Y19167" s="5" t="s">
        <v>23259</v>
      </c>
      <c r="AH19167" s="4" t="str">
        <f>HYPERLINK("#Statut_biogéographique!A"&amp;_xlfn.XMATCH("P",Statut_biogéographique!A:A,2,1),"P")</f>
        <v>P</v>
      </c>
      <c r="AI19167" s="8" t="s">
        <v>23260</v>
      </c>
      <c r="AJ19167" s="4" t="s">
        <v>23245</v>
      </c>
      <c r="AM19167" s="4" t="s">
        <v>375</v>
      </c>
      <c r="AN19167" s="4" t="s">
        <v>375</v>
      </c>
      <c r="AO19167" s="4" t="s">
        <v>375</v>
      </c>
      <c r="AP19167" s="4" t="s">
        <v>376</v>
      </c>
      <c r="AR19167" s="4" t="s">
        <v>377</v>
      </c>
    </row>
    <row r="19168" spans="1:44" ht="30">
      <c r="A19168" s="4" t="s">
        <v>132</v>
      </c>
      <c r="B19168" s="4">
        <v>60383</v>
      </c>
      <c r="D19168" s="5" t="s">
        <v>23261</v>
      </c>
      <c r="E19168" s="6" t="str">
        <f>HYPERLINK("https://inpn.mnhn.fr/espece/cd_nom/60383","Myotis mystacinus (Kuhl, 1817)")</f>
        <v>Myotis mystacinus (Kuhl, 1817)</v>
      </c>
      <c r="F19168" s="5" t="s">
        <v>23262</v>
      </c>
      <c r="H19168" s="4" t="str">
        <f>HYPERLINK("#Réglementation!A"&amp;_xlfn.XMATCH("IBOEU",Réglementation!A:A,2,1),"IBOEU - IBO2")</f>
        <v>IBOEU - IBO2</v>
      </c>
      <c r="I19168" s="4" t="str">
        <f>HYPERLINK("#Réglementation!A"&amp;_xlfn.XMATCH("IBE2",Réglementation!A:A,2,1),"IBE2")</f>
        <v>IBE2</v>
      </c>
      <c r="K19168" s="4" t="str">
        <f>HYPERLINK("#Réglementation!A"&amp;_xlfn.XMATCH("CDH4",Réglementation!A:A,2,1),"CDH4")</f>
        <v>CDH4</v>
      </c>
      <c r="L19168" s="4" t="str">
        <f>HYPERLINK("#Réglementation!A"&amp;_xlfn.XMATCH("NM2",Réglementation!A:A,2,1),"NM2")</f>
        <v>NM2</v>
      </c>
      <c r="O19168" s="7" t="str">
        <f>HYPERLINK("#Liste_rouge!A"&amp;_xlfn.XMATCH("LC",Liste_rouge!A:A,2,1),"LC")</f>
        <v>LC</v>
      </c>
      <c r="P19168" s="7" t="str">
        <f>HYPERLINK("#Liste_rouge!A"&amp;_xlfn.XMATCH("LC",Liste_rouge!A:A,2,1),"LC")</f>
        <v>LC</v>
      </c>
      <c r="Q19168" s="7" t="str">
        <f>HYPERLINK("#Liste_rouge!A"&amp;_xlfn.XMATCH("LC",Liste_rouge!A:A,2,1),"LC")</f>
        <v>LC</v>
      </c>
      <c r="T19168" s="7" t="str">
        <f>HYPERLINK("#Liste_rouge!A"&amp;_xlfn.XMATCH("NT",Liste_rouge!A:A,2,1),"NT")</f>
        <v>NT</v>
      </c>
      <c r="U19168" s="4" t="str">
        <f>HYPERLINK("#Critères_liste_rouge!A$1","pr. B2b(iii,v), C2a(i)")</f>
        <v>pr. B2b(iii,v), C2a(i)</v>
      </c>
      <c r="V19168" s="7" t="str">
        <f>HYPERLINK("#Liste_rouge!A"&amp;_xlfn.XMATCH("LC",Liste_rouge!A:A,2,1),"LC")</f>
        <v>LC</v>
      </c>
      <c r="X19168" s="5" t="s">
        <v>398</v>
      </c>
      <c r="Y19168" s="5" t="s">
        <v>23220</v>
      </c>
      <c r="AH19168" s="4" t="str">
        <f>HYPERLINK("#Statut_biogéographique!A"&amp;_xlfn.XMATCH("P",Statut_biogéographique!A:A,2,1),"P")</f>
        <v>P</v>
      </c>
      <c r="AI19168" s="8" t="s">
        <v>23263</v>
      </c>
      <c r="AJ19168" s="4" t="s">
        <v>23222</v>
      </c>
      <c r="AM19168" s="4" t="s">
        <v>375</v>
      </c>
      <c r="AN19168" s="4" t="s">
        <v>375</v>
      </c>
      <c r="AO19168" s="4" t="s">
        <v>375</v>
      </c>
      <c r="AP19168" s="4" t="s">
        <v>376</v>
      </c>
      <c r="AR19168" s="4" t="s">
        <v>377</v>
      </c>
    </row>
    <row r="19169" spans="1:44" ht="30">
      <c r="A19169" s="4" t="s">
        <v>132</v>
      </c>
      <c r="B19169" s="4">
        <v>60400</v>
      </c>
      <c r="D19169" s="5" t="s">
        <v>23264</v>
      </c>
      <c r="E19169" s="6" t="str">
        <f>HYPERLINK("https://inpn.mnhn.fr/espece/cd_nom/60400","Myotis emarginatus (É. Geoffroy Saint-Hilaire, 1806)")</f>
        <v>Myotis emarginatus (É. Geoffroy Saint-Hilaire, 1806)</v>
      </c>
      <c r="F19169" s="5" t="s">
        <v>23265</v>
      </c>
      <c r="H19169" s="4" t="str">
        <f>HYPERLINK("#Réglementation!A"&amp;_xlfn.XMATCH("IBOEU",Réglementation!A:A,2,1),"IBOEU - IBO2")</f>
        <v>IBOEU - IBO2</v>
      </c>
      <c r="I19169" s="4" t="str">
        <f>HYPERLINK("#Réglementation!A"&amp;_xlfn.XMATCH("IBE2",Réglementation!A:A,2,1),"IBE2")</f>
        <v>IBE2</v>
      </c>
      <c r="K19169" s="4" t="str">
        <f>HYPERLINK("#Réglementation!A"&amp;_xlfn.XMATCH("CDH2",Réglementation!A:A,2,1),"CDH2 - CDH4")</f>
        <v>CDH2 - CDH4</v>
      </c>
      <c r="L19169" s="4" t="str">
        <f>HYPERLINK("#Réglementation!A"&amp;_xlfn.XMATCH("NM2",Réglementation!A:A,2,1),"NM2")</f>
        <v>NM2</v>
      </c>
      <c r="O19169" s="7" t="str">
        <f>HYPERLINK("#Liste_rouge!A"&amp;_xlfn.XMATCH("LC",Liste_rouge!A:A,2,1),"LC")</f>
        <v>LC</v>
      </c>
      <c r="P19169" s="7" t="str">
        <f>HYPERLINK("#Liste_rouge!A"&amp;_xlfn.XMATCH("LC",Liste_rouge!A:A,2,1),"LC")</f>
        <v>LC</v>
      </c>
      <c r="Q19169" s="7" t="str">
        <f>HYPERLINK("#Liste_rouge!A"&amp;_xlfn.XMATCH("LC",Liste_rouge!A:A,2,1),"LC")</f>
        <v>LC</v>
      </c>
      <c r="T19169" s="7" t="str">
        <f>HYPERLINK("#Liste_rouge!A"&amp;_xlfn.XMATCH("NT",Liste_rouge!A:A,2,1),"NT")</f>
        <v>NT</v>
      </c>
      <c r="U19169" s="4" t="str">
        <f>HYPERLINK("#Critères_liste_rouge!A$1","pr. B2b(iii,iv)")</f>
        <v>pr. B2b(iii,iv)</v>
      </c>
      <c r="V19169" s="7" t="str">
        <f>HYPERLINK("#Liste_rouge!A"&amp;_xlfn.XMATCH("VU",Liste_rouge!A:A,2,1),"VU")</f>
        <v>VU</v>
      </c>
      <c r="X19169" s="5" t="s">
        <v>374</v>
      </c>
      <c r="AH19169" s="4" t="str">
        <f>HYPERLINK("#Statut_biogéographique!A"&amp;_xlfn.XMATCH("P",Statut_biogéographique!A:A,2,1),"P")</f>
        <v>P</v>
      </c>
      <c r="AI19169" s="8" t="s">
        <v>23266</v>
      </c>
      <c r="AJ19169" s="4" t="s">
        <v>23222</v>
      </c>
      <c r="AM19169" s="4" t="s">
        <v>375</v>
      </c>
      <c r="AN19169" s="4" t="s">
        <v>375</v>
      </c>
      <c r="AO19169" s="4" t="s">
        <v>375</v>
      </c>
      <c r="AP19169" s="4" t="s">
        <v>376</v>
      </c>
      <c r="AR19169" s="4" t="s">
        <v>377</v>
      </c>
    </row>
    <row r="19170" spans="1:44">
      <c r="A19170" s="4" t="s">
        <v>132</v>
      </c>
      <c r="B19170" s="4">
        <v>60408</v>
      </c>
      <c r="D19170" s="5" t="s">
        <v>23267</v>
      </c>
      <c r="E19170" s="6" t="str">
        <f>HYPERLINK("https://inpn.mnhn.fr/espece/cd_nom/60408","Myotis nattereri (Kuhl, 1817)")</f>
        <v>Myotis nattereri (Kuhl, 1817)</v>
      </c>
      <c r="F19170" s="5" t="s">
        <v>23268</v>
      </c>
      <c r="H19170" s="4" t="str">
        <f>HYPERLINK("#Réglementation!A"&amp;_xlfn.XMATCH("IBOEU",Réglementation!A:A,2,1),"IBOEU - IBO2")</f>
        <v>IBOEU - IBO2</v>
      </c>
      <c r="I19170" s="4" t="str">
        <f>HYPERLINK("#Réglementation!A"&amp;_xlfn.XMATCH("IBE2",Réglementation!A:A,2,1),"IBE2")</f>
        <v>IBE2</v>
      </c>
      <c r="K19170" s="4" t="str">
        <f>HYPERLINK("#Réglementation!A"&amp;_xlfn.XMATCH("CDH4",Réglementation!A:A,2,1),"CDH4")</f>
        <v>CDH4</v>
      </c>
      <c r="L19170" s="4" t="str">
        <f>HYPERLINK("#Réglementation!A"&amp;_xlfn.XMATCH("NM2",Réglementation!A:A,2,1),"NM2")</f>
        <v>NM2</v>
      </c>
      <c r="O19170" s="7" t="str">
        <f>HYPERLINK("#Liste_rouge!A"&amp;_xlfn.XMATCH("LC",Liste_rouge!A:A,2,1),"LC")</f>
        <v>LC</v>
      </c>
      <c r="Q19170" s="7" t="str">
        <f>HYPERLINK("#Liste_rouge!A"&amp;_xlfn.XMATCH("LC",Liste_rouge!A:A,2,1),"LC")</f>
        <v>LC</v>
      </c>
      <c r="T19170" s="7" t="str">
        <f>HYPERLINK("#Liste_rouge!A"&amp;_xlfn.XMATCH("VU",Liste_rouge!A:A,2,1),"VU")</f>
        <v>VU</v>
      </c>
      <c r="U19170" s="4" t="str">
        <f>HYPERLINK("#Critères_liste_rouge!A$1","D1")</f>
        <v>D1</v>
      </c>
      <c r="V19170" s="7" t="str">
        <f>HYPERLINK("#Liste_rouge!A"&amp;_xlfn.XMATCH("VU",Liste_rouge!A:A,2,1),"VU")</f>
        <v>VU</v>
      </c>
      <c r="X19170" s="5" t="s">
        <v>374</v>
      </c>
      <c r="AH19170" s="4" t="str">
        <f>HYPERLINK("#Statut_biogéographique!A"&amp;_xlfn.XMATCH("P",Statut_biogéographique!A:A,2,1),"P")</f>
        <v>P</v>
      </c>
      <c r="AI19170" s="8" t="s">
        <v>23269</v>
      </c>
      <c r="AJ19170" s="4" t="s">
        <v>23222</v>
      </c>
      <c r="AM19170" s="4" t="s">
        <v>375</v>
      </c>
      <c r="AN19170" s="4" t="s">
        <v>375</v>
      </c>
      <c r="AO19170" s="4" t="s">
        <v>375</v>
      </c>
      <c r="AP19170" s="4" t="s">
        <v>376</v>
      </c>
      <c r="AR19170" s="4" t="s">
        <v>377</v>
      </c>
    </row>
    <row r="19171" spans="1:44" ht="30">
      <c r="A19171" s="4" t="s">
        <v>132</v>
      </c>
      <c r="B19171" s="4">
        <v>60418</v>
      </c>
      <c r="D19171" s="5" t="s">
        <v>23270</v>
      </c>
      <c r="E19171" s="6" t="str">
        <f>HYPERLINK("https://inpn.mnhn.fr/espece/cd_nom/60418","Myotis myotis (Borkhausen, 1797)")</f>
        <v>Myotis myotis (Borkhausen, 1797)</v>
      </c>
      <c r="F19171" s="5" t="s">
        <v>23271</v>
      </c>
      <c r="H19171" s="4" t="str">
        <f>HYPERLINK("#Réglementation!A"&amp;_xlfn.XMATCH("IBOEU",Réglementation!A:A,2,1),"IBOEU - IBO2")</f>
        <v>IBOEU - IBO2</v>
      </c>
      <c r="I19171" s="4" t="str">
        <f>HYPERLINK("#Réglementation!A"&amp;_xlfn.XMATCH("IBE2",Réglementation!A:A,2,1),"IBE2")</f>
        <v>IBE2</v>
      </c>
      <c r="K19171" s="4" t="str">
        <f>HYPERLINK("#Réglementation!A"&amp;_xlfn.XMATCH("CDH2",Réglementation!A:A,2,1),"CDH2 - CDH4")</f>
        <v>CDH2 - CDH4</v>
      </c>
      <c r="L19171" s="4" t="str">
        <f>HYPERLINK("#Réglementation!A"&amp;_xlfn.XMATCH("NM2",Réglementation!A:A,2,1),"NM2")</f>
        <v>NM2</v>
      </c>
      <c r="O19171" s="7" t="str">
        <f>HYPERLINK("#Liste_rouge!A"&amp;_xlfn.XMATCH("LC",Liste_rouge!A:A,2,1),"LC")</f>
        <v>LC</v>
      </c>
      <c r="P19171" s="7" t="str">
        <f>HYPERLINK("#Liste_rouge!A"&amp;_xlfn.XMATCH("LC",Liste_rouge!A:A,2,1),"LC")</f>
        <v>LC</v>
      </c>
      <c r="Q19171" s="7" t="str">
        <f>HYPERLINK("#Liste_rouge!A"&amp;_xlfn.XMATCH("LC",Liste_rouge!A:A,2,1),"LC")</f>
        <v>LC</v>
      </c>
      <c r="T19171" s="7" t="str">
        <f>HYPERLINK("#Liste_rouge!A"&amp;_xlfn.XMATCH("NT",Liste_rouge!A:A,2,1),"NT")</f>
        <v>NT</v>
      </c>
      <c r="U19171" s="4" t="str">
        <f>HYPERLINK("#Critères_liste_rouge!A$1","pr. B2b(iii,iv)")</f>
        <v>pr. B2b(iii,iv)</v>
      </c>
      <c r="V19171" s="7" t="str">
        <f>HYPERLINK("#Liste_rouge!A"&amp;_xlfn.XMATCH("VU",Liste_rouge!A:A,2,1),"VU")</f>
        <v>VU</v>
      </c>
      <c r="X19171" s="5" t="s">
        <v>374</v>
      </c>
      <c r="AH19171" s="4" t="str">
        <f>HYPERLINK("#Statut_biogéographique!A"&amp;_xlfn.XMATCH("P",Statut_biogéographique!A:A,2,1),"P")</f>
        <v>P</v>
      </c>
      <c r="AI19171" s="8" t="s">
        <v>23272</v>
      </c>
      <c r="AJ19171" s="4" t="s">
        <v>23222</v>
      </c>
      <c r="AM19171" s="4" t="s">
        <v>375</v>
      </c>
      <c r="AN19171" s="4" t="s">
        <v>375</v>
      </c>
      <c r="AO19171" s="4" t="s">
        <v>375</v>
      </c>
      <c r="AP19171" s="4" t="s">
        <v>376</v>
      </c>
      <c r="AR19171" s="4" t="s">
        <v>377</v>
      </c>
    </row>
    <row r="19172" spans="1:44">
      <c r="A19172" s="4" t="s">
        <v>132</v>
      </c>
      <c r="B19172" s="4">
        <v>60427</v>
      </c>
      <c r="D19172" s="5">
        <v>60427</v>
      </c>
      <c r="E19172" s="6" t="str">
        <f>HYPERLINK("https://inpn.mnhn.fr/espece/cd_nom/60427","Myotis blythii (Tomes, 1857)")</f>
        <v>Myotis blythii (Tomes, 1857)</v>
      </c>
      <c r="F19172" s="5" t="s">
        <v>23273</v>
      </c>
      <c r="H19172" s="4" t="str">
        <f>HYPERLINK("#Réglementation!A"&amp;_xlfn.XMATCH("IBOEU",Réglementation!A:A,2,1),"IBOEU - IBO2")</f>
        <v>IBOEU - IBO2</v>
      </c>
      <c r="I19172" s="4" t="str">
        <f>HYPERLINK("#Réglementation!A"&amp;_xlfn.XMATCH("IBE2",Réglementation!A:A,2,1),"IBE2")</f>
        <v>IBE2</v>
      </c>
      <c r="K19172" s="4" t="str">
        <f>HYPERLINK("#Réglementation!A"&amp;_xlfn.XMATCH("CDH2",Réglementation!A:A,2,1),"CDH2 - CDH4")</f>
        <v>CDH2 - CDH4</v>
      </c>
      <c r="L19172" s="4" t="str">
        <f>HYPERLINK("#Réglementation!A"&amp;_xlfn.XMATCH("NM2",Réglementation!A:A,2,1),"NM2")</f>
        <v>NM2</v>
      </c>
      <c r="O19172" s="7" t="str">
        <f>HYPERLINK("#Liste_rouge!A"&amp;_xlfn.XMATCH("LC",Liste_rouge!A:A,2,1),"LC")</f>
        <v>LC</v>
      </c>
      <c r="P19172" s="7" t="str">
        <f>HYPERLINK("#Liste_rouge!A"&amp;_xlfn.XMATCH("NT",Liste_rouge!A:A,2,1),"NT")</f>
        <v>NT</v>
      </c>
      <c r="Q19172" s="7" t="str">
        <f>HYPERLINK("#Liste_rouge!A"&amp;_xlfn.XMATCH("NT",Liste_rouge!A:A,2,1),"NT")</f>
        <v>NT</v>
      </c>
      <c r="V19172" s="7" t="str">
        <f>HYPERLINK("#Liste_rouge!A"&amp;_xlfn.XMATCH("CR",Liste_rouge!A:A,2,1),"CR")</f>
        <v>CR</v>
      </c>
      <c r="X19172" s="5" t="s">
        <v>374</v>
      </c>
      <c r="AE19172" s="4" t="str">
        <f>HYPERLINK("#SCAP!A"&amp;_xlfn.XMATCH("2+",SCAP!A:A,2,1),"2+")</f>
        <v>2+</v>
      </c>
      <c r="AG19172" s="4" t="str">
        <f>HYPERLINK("#SCAP!A"&amp;_xlfn.XMATCH("2+",SCAP!A:A,2,1),"2+")</f>
        <v>2+</v>
      </c>
      <c r="AH19172" s="4" t="str">
        <f>HYPERLINK("#Statut_biogéographique!A"&amp;_xlfn.XMATCH("P",Statut_biogéographique!A:A,2,1),"P")</f>
        <v>P</v>
      </c>
      <c r="AI19172" s="8" t="s">
        <v>23274</v>
      </c>
      <c r="AJ19172" s="4" t="s">
        <v>23245</v>
      </c>
      <c r="AM19172" s="4" t="s">
        <v>375</v>
      </c>
      <c r="AN19172" s="4" t="s">
        <v>23253</v>
      </c>
      <c r="AO19172" s="4" t="s">
        <v>23253</v>
      </c>
      <c r="AP19172" s="4" t="s">
        <v>376</v>
      </c>
      <c r="AR19172" s="4" t="s">
        <v>377</v>
      </c>
    </row>
    <row r="19173" spans="1:44">
      <c r="A19173" s="4" t="s">
        <v>132</v>
      </c>
      <c r="B19173" s="4">
        <v>60447</v>
      </c>
      <c r="D19173" s="5" t="s">
        <v>23275</v>
      </c>
      <c r="E19173" s="6" t="str">
        <f>HYPERLINK("https://inpn.mnhn.fr/espece/cd_nom/60447","Myotis dasycneme (Boie, 1825)")</f>
        <v>Myotis dasycneme (Boie, 1825)</v>
      </c>
      <c r="F19173" s="5" t="s">
        <v>23276</v>
      </c>
      <c r="H19173" s="4" t="str">
        <f>HYPERLINK("#Réglementation!A"&amp;_xlfn.XMATCH("IBOEU",Réglementation!A:A,2,1),"IBOEU - IBO2")</f>
        <v>IBOEU - IBO2</v>
      </c>
      <c r="I19173" s="4" t="str">
        <f>HYPERLINK("#Réglementation!A"&amp;_xlfn.XMATCH("IBE2",Réglementation!A:A,2,1),"IBE2")</f>
        <v>IBE2</v>
      </c>
      <c r="K19173" s="4" t="str">
        <f>HYPERLINK("#Réglementation!A"&amp;_xlfn.XMATCH("CDH2",Réglementation!A:A,2,1),"CDH2 - CDH4")</f>
        <v>CDH2 - CDH4</v>
      </c>
      <c r="L19173" s="4" t="str">
        <f>HYPERLINK("#Réglementation!A"&amp;_xlfn.XMATCH("NM2",Réglementation!A:A,2,1),"NM2 - NM")</f>
        <v>NM2 - NM</v>
      </c>
      <c r="O19173" s="7" t="str">
        <f>HYPERLINK("#Liste_rouge!A"&amp;_xlfn.XMATCH("NT",Liste_rouge!A:A,2,1),"NT")</f>
        <v>NT</v>
      </c>
      <c r="P19173" s="7" t="str">
        <f>HYPERLINK("#Liste_rouge!A"&amp;_xlfn.XMATCH("NT",Liste_rouge!A:A,2,1),"NT")</f>
        <v>NT</v>
      </c>
      <c r="Q19173" s="7" t="str">
        <f>HYPERLINK("#Liste_rouge!A"&amp;_xlfn.XMATCH("EN",Liste_rouge!A:A,2,1),"EN")</f>
        <v>EN</v>
      </c>
      <c r="AH19173" s="4" t="str">
        <f>HYPERLINK("#Statut_biogéographique!A"&amp;_xlfn.XMATCH("P",Statut_biogéographique!A:A,2,1),"P")</f>
        <v>P</v>
      </c>
      <c r="AI19173" s="8" t="s">
        <v>23277</v>
      </c>
      <c r="AJ19173" s="4" t="s">
        <v>23245</v>
      </c>
      <c r="AM19173" s="4" t="s">
        <v>375</v>
      </c>
      <c r="AN19173" s="4" t="s">
        <v>375</v>
      </c>
      <c r="AO19173" s="4" t="s">
        <v>375</v>
      </c>
      <c r="AP19173" s="4" t="s">
        <v>376</v>
      </c>
      <c r="AQ19173" s="4" t="s">
        <v>377</v>
      </c>
      <c r="AR19173" s="4" t="s">
        <v>377</v>
      </c>
    </row>
    <row r="19174" spans="1:44">
      <c r="A19174" s="4" t="s">
        <v>132</v>
      </c>
      <c r="B19174" s="4">
        <v>60461</v>
      </c>
      <c r="D19174" s="5" t="s">
        <v>23278</v>
      </c>
      <c r="E19174" s="6" t="str">
        <f>HYPERLINK("https://inpn.mnhn.fr/espece/cd_nom/60461","Nyctalus leisleri (Kuhl, 1817)")</f>
        <v>Nyctalus leisleri (Kuhl, 1817)</v>
      </c>
      <c r="F19174" s="5" t="s">
        <v>23279</v>
      </c>
      <c r="H19174" s="4" t="str">
        <f>HYPERLINK("#Réglementation!A"&amp;_xlfn.XMATCH("IBOEU",Réglementation!A:A,2,1),"IBOEU - IBO2")</f>
        <v>IBOEU - IBO2</v>
      </c>
      <c r="I19174" s="4" t="str">
        <f>HYPERLINK("#Réglementation!A"&amp;_xlfn.XMATCH("IBE2",Réglementation!A:A,2,1),"IBE2")</f>
        <v>IBE2</v>
      </c>
      <c r="K19174" s="4" t="str">
        <f>HYPERLINK("#Réglementation!A"&amp;_xlfn.XMATCH("CDH4",Réglementation!A:A,2,1),"CDH4")</f>
        <v>CDH4</v>
      </c>
      <c r="L19174" s="4" t="str">
        <f>HYPERLINK("#Réglementation!A"&amp;_xlfn.XMATCH("NM2",Réglementation!A:A,2,1),"NM2")</f>
        <v>NM2</v>
      </c>
      <c r="O19174" s="7" t="str">
        <f>HYPERLINK("#Liste_rouge!A"&amp;_xlfn.XMATCH("LC",Liste_rouge!A:A,2,1),"LC")</f>
        <v>LC</v>
      </c>
      <c r="P19174" s="7" t="str">
        <f>HYPERLINK("#Liste_rouge!A"&amp;_xlfn.XMATCH("LC",Liste_rouge!A:A,2,1),"LC")</f>
        <v>LC</v>
      </c>
      <c r="Q19174" s="7" t="str">
        <f>HYPERLINK("#Liste_rouge!A"&amp;_xlfn.XMATCH("NT",Liste_rouge!A:A,2,1),"NT")</f>
        <v>NT</v>
      </c>
      <c r="T19174" s="7" t="str">
        <f>HYPERLINK("#Liste_rouge!A"&amp;_xlfn.XMATCH("NT",Liste_rouge!A:A,2,1),"NT")</f>
        <v>NT</v>
      </c>
      <c r="U19174" s="4" t="str">
        <f>HYPERLINK("#Critères_liste_rouge!A$1","pr. B2ab(iii,iv) C2a(i)")</f>
        <v>pr. B2ab(iii,iv) C2a(i)</v>
      </c>
      <c r="V19174" s="7" t="str">
        <f>HYPERLINK("#Liste_rouge!A"&amp;_xlfn.XMATCH("LC",Liste_rouge!A:A,2,1),"LC")</f>
        <v>LC</v>
      </c>
      <c r="X19174" s="5" t="s">
        <v>398</v>
      </c>
      <c r="Y19174" s="5" t="s">
        <v>23220</v>
      </c>
      <c r="AH19174" s="4" t="str">
        <f>HYPERLINK("#Statut_biogéographique!A"&amp;_xlfn.XMATCH("P",Statut_biogéographique!A:A,2,1),"P")</f>
        <v>P</v>
      </c>
      <c r="AI19174" s="8" t="s">
        <v>23280</v>
      </c>
      <c r="AJ19174" s="4" t="s">
        <v>23245</v>
      </c>
      <c r="AM19174" s="4" t="s">
        <v>375</v>
      </c>
      <c r="AN19174" s="4" t="s">
        <v>375</v>
      </c>
      <c r="AO19174" s="4" t="s">
        <v>375</v>
      </c>
      <c r="AP19174" s="4" t="s">
        <v>376</v>
      </c>
      <c r="AR19174" s="4" t="s">
        <v>377</v>
      </c>
    </row>
    <row r="19175" spans="1:44" ht="30">
      <c r="A19175" s="4" t="s">
        <v>132</v>
      </c>
      <c r="B19175" s="4">
        <v>60468</v>
      </c>
      <c r="D19175" s="5" t="s">
        <v>23281</v>
      </c>
      <c r="E19175" s="6" t="str">
        <f>HYPERLINK("https://inpn.mnhn.fr/espece/cd_nom/60468","Nyctalus noctula (Schreber, 1774)")</f>
        <v>Nyctalus noctula (Schreber, 1774)</v>
      </c>
      <c r="F19175" s="5" t="s">
        <v>23282</v>
      </c>
      <c r="H19175" s="4" t="str">
        <f>HYPERLINK("#Réglementation!A"&amp;_xlfn.XMATCH("IBOEU",Réglementation!A:A,2,1),"IBOEU - IBO2")</f>
        <v>IBOEU - IBO2</v>
      </c>
      <c r="I19175" s="4" t="str">
        <f>HYPERLINK("#Réglementation!A"&amp;_xlfn.XMATCH("IBE2",Réglementation!A:A,2,1),"IBE2")</f>
        <v>IBE2</v>
      </c>
      <c r="K19175" s="4" t="str">
        <f>HYPERLINK("#Réglementation!A"&amp;_xlfn.XMATCH("CDH4",Réglementation!A:A,2,1),"CDH4")</f>
        <v>CDH4</v>
      </c>
      <c r="L19175" s="4" t="str">
        <f>HYPERLINK("#Réglementation!A"&amp;_xlfn.XMATCH("NM2",Réglementation!A:A,2,1),"NM2")</f>
        <v>NM2</v>
      </c>
      <c r="O19175" s="7" t="str">
        <f>HYPERLINK("#Liste_rouge!A"&amp;_xlfn.XMATCH("LC",Liste_rouge!A:A,2,1),"LC")</f>
        <v>LC</v>
      </c>
      <c r="P19175" s="7" t="str">
        <f>HYPERLINK("#Liste_rouge!A"&amp;_xlfn.XMATCH("LC",Liste_rouge!A:A,2,1),"LC")</f>
        <v>LC</v>
      </c>
      <c r="Q19175" s="7" t="str">
        <f>HYPERLINK("#Liste_rouge!A"&amp;_xlfn.XMATCH("VU",Liste_rouge!A:A,2,1),"VU")</f>
        <v>VU</v>
      </c>
      <c r="T19175" s="7" t="str">
        <f>HYPERLINK("#Liste_rouge!A"&amp;_xlfn.XMATCH("DD",Liste_rouge!A:A,2,1),"DD")</f>
        <v>DD</v>
      </c>
      <c r="V19175" s="7" t="str">
        <f>HYPERLINK("#Liste_rouge!A"&amp;_xlfn.XMATCH("LC",Liste_rouge!A:A,2,1),"LC")</f>
        <v>LC</v>
      </c>
      <c r="X19175" s="5" t="s">
        <v>374</v>
      </c>
      <c r="AH19175" s="4" t="str">
        <f>HYPERLINK("#Statut_biogéographique!A"&amp;_xlfn.XMATCH("P",Statut_biogéographique!A:A,2,1),"P")</f>
        <v>P</v>
      </c>
      <c r="AI19175" s="8" t="s">
        <v>23283</v>
      </c>
      <c r="AJ19175" s="4" t="s">
        <v>23245</v>
      </c>
      <c r="AM19175" s="4" t="s">
        <v>375</v>
      </c>
      <c r="AN19175" s="4" t="s">
        <v>375</v>
      </c>
      <c r="AO19175" s="4" t="s">
        <v>375</v>
      </c>
      <c r="AP19175" s="4" t="s">
        <v>389</v>
      </c>
      <c r="AR19175" s="4" t="s">
        <v>377</v>
      </c>
    </row>
    <row r="19176" spans="1:44" ht="30">
      <c r="A19176" s="4" t="s">
        <v>132</v>
      </c>
      <c r="B19176" s="4">
        <v>60479</v>
      </c>
      <c r="D19176" s="5" t="s">
        <v>23284</v>
      </c>
      <c r="E19176" s="6" t="str">
        <f>HYPERLINK("https://inpn.mnhn.fr/espece/cd_nom/60479","Pipistrellus pipistrellus (Schreber, 1774)")</f>
        <v>Pipistrellus pipistrellus (Schreber, 1774)</v>
      </c>
      <c r="F19176" s="5" t="s">
        <v>23285</v>
      </c>
      <c r="H19176" s="4" t="str">
        <f>HYPERLINK("#Réglementation!A"&amp;_xlfn.XMATCH("IBOEU",Réglementation!A:A,2,1),"IBOEU - IBO2")</f>
        <v>IBOEU - IBO2</v>
      </c>
      <c r="I19176" s="4" t="str">
        <f>HYPERLINK("#Réglementation!A"&amp;_xlfn.XMATCH("IBE3",Réglementation!A:A,2,1),"IBE3")</f>
        <v>IBE3</v>
      </c>
      <c r="K19176" s="4" t="str">
        <f>HYPERLINK("#Réglementation!A"&amp;_xlfn.XMATCH("CDH4",Réglementation!A:A,2,1),"CDH4")</f>
        <v>CDH4</v>
      </c>
      <c r="L19176" s="4" t="str">
        <f>HYPERLINK("#Réglementation!A"&amp;_xlfn.XMATCH("NM2",Réglementation!A:A,2,1),"NM2")</f>
        <v>NM2</v>
      </c>
      <c r="O19176" s="7" t="str">
        <f>HYPERLINK("#Liste_rouge!A"&amp;_xlfn.XMATCH("LC",Liste_rouge!A:A,2,1),"LC")</f>
        <v>LC</v>
      </c>
      <c r="Q19176" s="7" t="str">
        <f>HYPERLINK("#Liste_rouge!A"&amp;_xlfn.XMATCH("NT",Liste_rouge!A:A,2,1),"NT")</f>
        <v>NT</v>
      </c>
      <c r="T19176" s="7" t="str">
        <f>HYPERLINK("#Liste_rouge!A"&amp;_xlfn.XMATCH("LC",Liste_rouge!A:A,2,1),"LC")</f>
        <v>LC</v>
      </c>
      <c r="V19176" s="7" t="str">
        <f>HYPERLINK("#Liste_rouge!A"&amp;_xlfn.XMATCH("LC",Liste_rouge!A:A,2,1),"LC")</f>
        <v>LC</v>
      </c>
      <c r="X19176" s="5" t="s">
        <v>398</v>
      </c>
      <c r="Y19176" s="5" t="s">
        <v>23286</v>
      </c>
      <c r="AH19176" s="4" t="str">
        <f>HYPERLINK("#Statut_biogéographique!A"&amp;_xlfn.XMATCH("P",Statut_biogéographique!A:A,2,1),"P")</f>
        <v>P</v>
      </c>
      <c r="AI19176" s="8" t="s">
        <v>23287</v>
      </c>
      <c r="AJ19176" s="4" t="s">
        <v>23245</v>
      </c>
      <c r="AM19176" s="4" t="s">
        <v>375</v>
      </c>
      <c r="AN19176" s="4" t="s">
        <v>375</v>
      </c>
      <c r="AO19176" s="4" t="s">
        <v>375</v>
      </c>
      <c r="AP19176" s="4" t="s">
        <v>376</v>
      </c>
      <c r="AR19176" s="4" t="s">
        <v>377</v>
      </c>
    </row>
    <row r="19177" spans="1:44">
      <c r="A19177" s="4" t="s">
        <v>132</v>
      </c>
      <c r="B19177" s="4">
        <v>60489</v>
      </c>
      <c r="D19177" s="5" t="s">
        <v>23288</v>
      </c>
      <c r="E19177" s="6" t="str">
        <f>HYPERLINK("https://inpn.mnhn.fr/espece/cd_nom/60489","Pipistrellus pygmaeus (Leach, 1825)")</f>
        <v>Pipistrellus pygmaeus (Leach, 1825)</v>
      </c>
      <c r="F19177" s="5" t="s">
        <v>23289</v>
      </c>
      <c r="H19177" s="4" t="str">
        <f>HYPERLINK("#Réglementation!A"&amp;_xlfn.XMATCH("IBOEU",Réglementation!A:A,2,1),"IBOEU - IBO2")</f>
        <v>IBOEU - IBO2</v>
      </c>
      <c r="I19177" s="4" t="str">
        <f>HYPERLINK("#Réglementation!A"&amp;_xlfn.XMATCH("IBE2",Réglementation!A:A,2,1),"IBE2")</f>
        <v>IBE2</v>
      </c>
      <c r="K19177" s="4" t="str">
        <f>HYPERLINK("#Réglementation!A"&amp;_xlfn.XMATCH("CDH4",Réglementation!A:A,2,1),"CDH4")</f>
        <v>CDH4</v>
      </c>
      <c r="L19177" s="4" t="str">
        <f>HYPERLINK("#Réglementation!A"&amp;_xlfn.XMATCH("NM2",Réglementation!A:A,2,1),"NM2")</f>
        <v>NM2</v>
      </c>
      <c r="O19177" s="7" t="str">
        <f>HYPERLINK("#Liste_rouge!A"&amp;_xlfn.XMATCH("LC",Liste_rouge!A:A,2,1),"LC")</f>
        <v>LC</v>
      </c>
      <c r="P19177" s="7" t="str">
        <f>HYPERLINK("#Liste_rouge!A"&amp;_xlfn.XMATCH("LC",Liste_rouge!A:A,2,1),"LC")</f>
        <v>LC</v>
      </c>
      <c r="Q19177" s="7" t="str">
        <f>HYPERLINK("#Liste_rouge!A"&amp;_xlfn.XMATCH("LC",Liste_rouge!A:A,2,1),"LC")</f>
        <v>LC</v>
      </c>
      <c r="T19177" s="7" t="str">
        <f>HYPERLINK("#Liste_rouge!A"&amp;_xlfn.XMATCH("DD",Liste_rouge!A:A,2,1),"DD")</f>
        <v>DD</v>
      </c>
      <c r="V19177" s="7" t="str">
        <f>HYPERLINK("#Liste_rouge!A"&amp;_xlfn.XMATCH("DD",Liste_rouge!A:A,2,1),"DD")</f>
        <v>DD</v>
      </c>
      <c r="X19177" s="5" t="s">
        <v>398</v>
      </c>
      <c r="Y19177" s="5" t="s">
        <v>23259</v>
      </c>
      <c r="AH19177" s="4" t="str">
        <f>HYPERLINK("#Statut_biogéographique!A"&amp;_xlfn.XMATCH("P",Statut_biogéographique!A:A,2,1),"P")</f>
        <v>P</v>
      </c>
      <c r="AI19177" s="8" t="s">
        <v>23290</v>
      </c>
      <c r="AJ19177" s="4" t="s">
        <v>23291</v>
      </c>
      <c r="AM19177" s="4" t="s">
        <v>375</v>
      </c>
      <c r="AN19177" s="4" t="s">
        <v>375</v>
      </c>
      <c r="AO19177" s="4" t="s">
        <v>375</v>
      </c>
      <c r="AP19177" s="4" t="s">
        <v>376</v>
      </c>
      <c r="AR19177" s="4" t="s">
        <v>377</v>
      </c>
    </row>
    <row r="19178" spans="1:44" ht="30">
      <c r="A19178" s="4" t="s">
        <v>132</v>
      </c>
      <c r="B19178" s="4">
        <v>60490</v>
      </c>
      <c r="D19178" s="5" t="s">
        <v>23292</v>
      </c>
      <c r="E19178" s="6" t="str">
        <f>HYPERLINK("https://inpn.mnhn.fr/espece/cd_nom/60490","Pipistrellus nathusii (Keyserling &amp; Blasius, 1839)")</f>
        <v>Pipistrellus nathusii (Keyserling &amp; Blasius, 1839)</v>
      </c>
      <c r="F19178" s="5" t="s">
        <v>23293</v>
      </c>
      <c r="H19178" s="4" t="str">
        <f>HYPERLINK("#Réglementation!A"&amp;_xlfn.XMATCH("IBOEU",Réglementation!A:A,2,1),"IBOEU - IBO2")</f>
        <v>IBOEU - IBO2</v>
      </c>
      <c r="I19178" s="4" t="str">
        <f>HYPERLINK("#Réglementation!A"&amp;_xlfn.XMATCH("IBE2",Réglementation!A:A,2,1),"IBE2")</f>
        <v>IBE2</v>
      </c>
      <c r="K19178" s="4" t="str">
        <f>HYPERLINK("#Réglementation!A"&amp;_xlfn.XMATCH("CDH4",Réglementation!A:A,2,1),"CDH4")</f>
        <v>CDH4</v>
      </c>
      <c r="L19178" s="4" t="str">
        <f>HYPERLINK("#Réglementation!A"&amp;_xlfn.XMATCH("NM2",Réglementation!A:A,2,1),"NM2")</f>
        <v>NM2</v>
      </c>
      <c r="O19178" s="7" t="str">
        <f>HYPERLINK("#Liste_rouge!A"&amp;_xlfn.XMATCH("LC",Liste_rouge!A:A,2,1),"LC")</f>
        <v>LC</v>
      </c>
      <c r="P19178" s="7" t="str">
        <f>HYPERLINK("#Liste_rouge!A"&amp;_xlfn.XMATCH("LC",Liste_rouge!A:A,2,1),"LC")</f>
        <v>LC</v>
      </c>
      <c r="Q19178" s="7" t="str">
        <f>HYPERLINK("#Liste_rouge!A"&amp;_xlfn.XMATCH("NT",Liste_rouge!A:A,2,1),"NT")</f>
        <v>NT</v>
      </c>
      <c r="T19178" s="7" t="str">
        <f>HYPERLINK("#Liste_rouge!A"&amp;_xlfn.XMATCH("DD",Liste_rouge!A:A,2,1),"DD")</f>
        <v>DD</v>
      </c>
      <c r="V19178" s="7" t="str">
        <f>HYPERLINK("#Liste_rouge!A"&amp;_xlfn.XMATCH("NT",Liste_rouge!A:A,2,1),"NT")</f>
        <v>NT</v>
      </c>
      <c r="AH19178" s="4" t="str">
        <f>HYPERLINK("#Statut_biogéographique!A"&amp;_xlfn.XMATCH("P",Statut_biogéographique!A:A,2,1),"P")</f>
        <v>P</v>
      </c>
      <c r="AI19178" s="8" t="s">
        <v>23294</v>
      </c>
      <c r="AJ19178" s="4" t="s">
        <v>23245</v>
      </c>
      <c r="AM19178" s="4" t="s">
        <v>375</v>
      </c>
      <c r="AN19178" s="4" t="s">
        <v>375</v>
      </c>
      <c r="AO19178" s="4" t="s">
        <v>375</v>
      </c>
      <c r="AP19178" s="4" t="s">
        <v>376</v>
      </c>
      <c r="AR19178" s="4" t="s">
        <v>377</v>
      </c>
    </row>
    <row r="19179" spans="1:44" ht="45">
      <c r="A19179" s="4" t="s">
        <v>132</v>
      </c>
      <c r="B19179" s="4">
        <v>60506</v>
      </c>
      <c r="D19179" s="5" t="s">
        <v>23295</v>
      </c>
      <c r="E19179" s="6" t="str">
        <f>HYPERLINK("https://inpn.mnhn.fr/espece/cd_nom/60506","Hypsugo savii (Bonaparte, 1837)")</f>
        <v>Hypsugo savii (Bonaparte, 1837)</v>
      </c>
      <c r="F19179" s="5" t="s">
        <v>23296</v>
      </c>
      <c r="H19179" s="4" t="str">
        <f>HYPERLINK("#Réglementation!A"&amp;_xlfn.XMATCH("IBOEU",Réglementation!A:A,2,1),"IBOEU - IBO2")</f>
        <v>IBOEU - IBO2</v>
      </c>
      <c r="I19179" s="4" t="str">
        <f>HYPERLINK("#Réglementation!A"&amp;_xlfn.XMATCH("IBE2",Réglementation!A:A,2,1),"IBE2")</f>
        <v>IBE2</v>
      </c>
      <c r="K19179" s="4" t="str">
        <f>HYPERLINK("#Réglementation!A"&amp;_xlfn.XMATCH("CDH4",Réglementation!A:A,2,1),"CDH4")</f>
        <v>CDH4</v>
      </c>
      <c r="L19179" s="4" t="str">
        <f>HYPERLINK("#Réglementation!A"&amp;_xlfn.XMATCH("NM2",Réglementation!A:A,2,1),"NM2")</f>
        <v>NM2</v>
      </c>
      <c r="O19179" s="7" t="str">
        <f>HYPERLINK("#Liste_rouge!A"&amp;_xlfn.XMATCH("LC",Liste_rouge!A:A,2,1),"LC")</f>
        <v>LC</v>
      </c>
      <c r="P19179" s="7" t="str">
        <f>HYPERLINK("#Liste_rouge!A"&amp;_xlfn.XMATCH("LC",Liste_rouge!A:A,2,1),"LC")</f>
        <v>LC</v>
      </c>
      <c r="Q19179" s="7" t="str">
        <f>HYPERLINK("#Liste_rouge!A"&amp;_xlfn.XMATCH("LC",Liste_rouge!A:A,2,1),"LC")</f>
        <v>LC</v>
      </c>
      <c r="V19179" s="7" t="str">
        <f>HYPERLINK("#Liste_rouge!A"&amp;_xlfn.XMATCH("VU",Liste_rouge!A:A,2,1),"VU")</f>
        <v>VU</v>
      </c>
      <c r="X19179" s="5" t="s">
        <v>374</v>
      </c>
      <c r="AH19179" s="4" t="str">
        <f>HYPERLINK("#Statut_biogéographique!A"&amp;_xlfn.XMATCH("P",Statut_biogéographique!A:A,2,1),"P")</f>
        <v>P</v>
      </c>
      <c r="AI19179" s="8" t="s">
        <v>23297</v>
      </c>
      <c r="AJ19179" s="4" t="s">
        <v>23222</v>
      </c>
      <c r="AM19179" s="4" t="s">
        <v>375</v>
      </c>
      <c r="AN19179" s="4" t="s">
        <v>375</v>
      </c>
      <c r="AO19179" s="4" t="s">
        <v>375</v>
      </c>
      <c r="AP19179" s="4" t="s">
        <v>376</v>
      </c>
      <c r="AR19179" s="4" t="s">
        <v>377</v>
      </c>
    </row>
    <row r="19180" spans="1:44">
      <c r="A19180" s="4" t="s">
        <v>132</v>
      </c>
      <c r="B19180" s="4">
        <v>60518</v>
      </c>
      <c r="D19180" s="5" t="s">
        <v>23298</v>
      </c>
      <c r="E19180" s="6" t="str">
        <f>HYPERLINK("https://inpn.mnhn.fr/espece/cd_nom/60518","Plecotus auritus (Linnaeus, 1758)")</f>
        <v>Plecotus auritus (Linnaeus, 1758)</v>
      </c>
      <c r="F19180" s="5" t="s">
        <v>23299</v>
      </c>
      <c r="H19180" s="4" t="str">
        <f>HYPERLINK("#Réglementation!A"&amp;_xlfn.XMATCH("IBOEU",Réglementation!A:A,2,1),"IBOEU - IBO2")</f>
        <v>IBOEU - IBO2</v>
      </c>
      <c r="I19180" s="4" t="str">
        <f>HYPERLINK("#Réglementation!A"&amp;_xlfn.XMATCH("IBE2",Réglementation!A:A,2,1),"IBE2")</f>
        <v>IBE2</v>
      </c>
      <c r="K19180" s="4" t="str">
        <f>HYPERLINK("#Réglementation!A"&amp;_xlfn.XMATCH("CDH4",Réglementation!A:A,2,1),"CDH4")</f>
        <v>CDH4</v>
      </c>
      <c r="L19180" s="4" t="str">
        <f>HYPERLINK("#Réglementation!A"&amp;_xlfn.XMATCH("NM2",Réglementation!A:A,2,1),"NM2")</f>
        <v>NM2</v>
      </c>
      <c r="O19180" s="7" t="str">
        <f>HYPERLINK("#Liste_rouge!A"&amp;_xlfn.XMATCH("LC",Liste_rouge!A:A,2,1),"LC")</f>
        <v>LC</v>
      </c>
      <c r="Q19180" s="7" t="str">
        <f>HYPERLINK("#Liste_rouge!A"&amp;_xlfn.XMATCH("LC",Liste_rouge!A:A,2,1),"LC")</f>
        <v>LC</v>
      </c>
      <c r="T19180" s="7" t="str">
        <f>HYPERLINK("#Liste_rouge!A"&amp;_xlfn.XMATCH("DD",Liste_rouge!A:A,2,1),"DD")</f>
        <v>DD</v>
      </c>
      <c r="V19180" s="7" t="str">
        <f>HYPERLINK("#Liste_rouge!A"&amp;_xlfn.XMATCH("LC",Liste_rouge!A:A,2,1),"LC")</f>
        <v>LC</v>
      </c>
      <c r="AH19180" s="4" t="str">
        <f>HYPERLINK("#Statut_biogéographique!A"&amp;_xlfn.XMATCH("P",Statut_biogéographique!A:A,2,1),"P")</f>
        <v>P</v>
      </c>
      <c r="AI19180" s="8" t="s">
        <v>23300</v>
      </c>
      <c r="AJ19180" s="4" t="s">
        <v>23222</v>
      </c>
      <c r="AM19180" s="4" t="s">
        <v>375</v>
      </c>
      <c r="AN19180" s="4" t="s">
        <v>375</v>
      </c>
      <c r="AO19180" s="4" t="s">
        <v>375</v>
      </c>
      <c r="AP19180" s="4" t="s">
        <v>376</v>
      </c>
      <c r="AR19180" s="4" t="s">
        <v>377</v>
      </c>
    </row>
    <row r="19181" spans="1:44">
      <c r="A19181" s="4" t="s">
        <v>132</v>
      </c>
      <c r="B19181" s="4">
        <v>60527</v>
      </c>
      <c r="D19181" s="5" t="s">
        <v>23301</v>
      </c>
      <c r="E19181" s="6" t="str">
        <f>HYPERLINK("https://inpn.mnhn.fr/espece/cd_nom/60527","Plecotus austriacus (J. B. Fischer, 1829)")</f>
        <v>Plecotus austriacus (J. B. Fischer, 1829)</v>
      </c>
      <c r="F19181" s="5" t="s">
        <v>23302</v>
      </c>
      <c r="H19181" s="4" t="str">
        <f>HYPERLINK("#Réglementation!A"&amp;_xlfn.XMATCH("IBOEU",Réglementation!A:A,2,1),"IBOEU - IBO2")</f>
        <v>IBOEU - IBO2</v>
      </c>
      <c r="I19181" s="4" t="str">
        <f>HYPERLINK("#Réglementation!A"&amp;_xlfn.XMATCH("IBE2",Réglementation!A:A,2,1),"IBE2")</f>
        <v>IBE2</v>
      </c>
      <c r="K19181" s="4" t="str">
        <f>HYPERLINK("#Réglementation!A"&amp;_xlfn.XMATCH("CDH4",Réglementation!A:A,2,1),"CDH4")</f>
        <v>CDH4</v>
      </c>
      <c r="L19181" s="4" t="str">
        <f>HYPERLINK("#Réglementation!A"&amp;_xlfn.XMATCH("NM2",Réglementation!A:A,2,1),"NM2")</f>
        <v>NM2</v>
      </c>
      <c r="O19181" s="7" t="str">
        <f>HYPERLINK("#Liste_rouge!A"&amp;_xlfn.XMATCH("NT",Liste_rouge!A:A,2,1),"NT")</f>
        <v>NT</v>
      </c>
      <c r="P19181" s="7" t="str">
        <f>HYPERLINK("#Liste_rouge!A"&amp;_xlfn.XMATCH("NT",Liste_rouge!A:A,2,1),"NT")</f>
        <v>NT</v>
      </c>
      <c r="Q19181" s="7" t="str">
        <f>HYPERLINK("#Liste_rouge!A"&amp;_xlfn.XMATCH("LC",Liste_rouge!A:A,2,1),"LC")</f>
        <v>LC</v>
      </c>
      <c r="T19181" s="7" t="str">
        <f>HYPERLINK("#Liste_rouge!A"&amp;_xlfn.XMATCH("DD",Liste_rouge!A:A,2,1),"DD")</f>
        <v>DD</v>
      </c>
      <c r="V19181" s="7" t="str">
        <f>HYPERLINK("#Liste_rouge!A"&amp;_xlfn.XMATCH("LC",Liste_rouge!A:A,2,1),"LC")</f>
        <v>LC</v>
      </c>
      <c r="AH19181" s="4" t="str">
        <f>HYPERLINK("#Statut_biogéographique!A"&amp;_xlfn.XMATCH("P",Statut_biogéographique!A:A,2,1),"P")</f>
        <v>P</v>
      </c>
      <c r="AI19181" s="8" t="s">
        <v>23303</v>
      </c>
      <c r="AJ19181" s="4" t="s">
        <v>23222</v>
      </c>
      <c r="AM19181" s="4" t="s">
        <v>375</v>
      </c>
      <c r="AN19181" s="4" t="s">
        <v>375</v>
      </c>
      <c r="AO19181" s="4" t="s">
        <v>375</v>
      </c>
      <c r="AP19181" s="4" t="s">
        <v>376</v>
      </c>
      <c r="AR19181" s="4" t="s">
        <v>377</v>
      </c>
    </row>
    <row r="19182" spans="1:44" ht="30">
      <c r="A19182" s="4" t="s">
        <v>132</v>
      </c>
      <c r="B19182" s="4">
        <v>60537</v>
      </c>
      <c r="D19182" s="5" t="s">
        <v>23304</v>
      </c>
      <c r="E19182" s="6" t="str">
        <f>HYPERLINK("https://inpn.mnhn.fr/espece/cd_nom/60537","Vespertilio murinus Linnaeus, 1758")</f>
        <v>Vespertilio murinus Linnaeus, 1758</v>
      </c>
      <c r="F19182" s="5" t="s">
        <v>23305</v>
      </c>
      <c r="H19182" s="4" t="str">
        <f>HYPERLINK("#Réglementation!A"&amp;_xlfn.XMATCH("IBOEU",Réglementation!A:A,2,1),"IBOEU - IBO2")</f>
        <v>IBOEU - IBO2</v>
      </c>
      <c r="I19182" s="4" t="str">
        <f>HYPERLINK("#Réglementation!A"&amp;_xlfn.XMATCH("IBE2",Réglementation!A:A,2,1),"IBE2")</f>
        <v>IBE2</v>
      </c>
      <c r="K19182" s="4" t="str">
        <f>HYPERLINK("#Réglementation!A"&amp;_xlfn.XMATCH("CDH4",Réglementation!A:A,2,1),"CDH4")</f>
        <v>CDH4</v>
      </c>
      <c r="L19182" s="4" t="str">
        <f>HYPERLINK("#Réglementation!A"&amp;_xlfn.XMATCH("NM2",Réglementation!A:A,2,1),"NM2")</f>
        <v>NM2</v>
      </c>
      <c r="O19182" s="7" t="str">
        <f>HYPERLINK("#Liste_rouge!A"&amp;_xlfn.XMATCH("LC",Liste_rouge!A:A,2,1),"LC")</f>
        <v>LC</v>
      </c>
      <c r="P19182" s="7" t="str">
        <f>HYPERLINK("#Liste_rouge!A"&amp;_xlfn.XMATCH("LC",Liste_rouge!A:A,2,1),"LC")</f>
        <v>LC</v>
      </c>
      <c r="Q19182" s="7" t="str">
        <f>HYPERLINK("#Liste_rouge!A"&amp;_xlfn.XMATCH("DD",Liste_rouge!A:A,2,1),"DD")</f>
        <v>DD</v>
      </c>
      <c r="T19182" s="7" t="str">
        <f>HYPERLINK("#Liste_rouge!A"&amp;_xlfn.XMATCH("NA",Liste_rouge!A:A,2,1),"NA")</f>
        <v>NA</v>
      </c>
      <c r="V19182" s="7" t="str">
        <f>HYPERLINK("#Liste_rouge!A"&amp;_xlfn.XMATCH("LC",Liste_rouge!A:A,2,1),"LC")</f>
        <v>LC</v>
      </c>
      <c r="X19182" s="5" t="s">
        <v>374</v>
      </c>
      <c r="AH19182" s="4" t="str">
        <f>HYPERLINK("#Statut_biogéographique!A"&amp;_xlfn.XMATCH("P",Statut_biogéographique!A:A,2,1),"P")</f>
        <v>P</v>
      </c>
      <c r="AI19182" s="8" t="s">
        <v>23306</v>
      </c>
      <c r="AJ19182" s="4" t="s">
        <v>23222</v>
      </c>
      <c r="AM19182" s="4" t="s">
        <v>375</v>
      </c>
      <c r="AN19182" s="4" t="s">
        <v>375</v>
      </c>
      <c r="AO19182" s="4" t="s">
        <v>375</v>
      </c>
      <c r="AP19182" s="4" t="s">
        <v>376</v>
      </c>
      <c r="AR19182" s="4" t="s">
        <v>377</v>
      </c>
    </row>
    <row r="19183" spans="1:44" ht="30">
      <c r="A19183" s="4" t="s">
        <v>132</v>
      </c>
      <c r="B19183" s="4">
        <v>60557</v>
      </c>
      <c r="D19183" s="5" t="s">
        <v>23307</v>
      </c>
      <c r="E19183" s="6" t="str">
        <f>HYPERLINK("https://inpn.mnhn.fr/espece/cd_nom/60557","Tadarida teniotis (Rafinesque, 1814)")</f>
        <v>Tadarida teniotis (Rafinesque, 1814)</v>
      </c>
      <c r="F19183" s="5" t="s">
        <v>23308</v>
      </c>
      <c r="H19183" s="4" t="str">
        <f>HYPERLINK("#Réglementation!A"&amp;_xlfn.XMATCH("IBOEU",Réglementation!A:A,2,1),"IBOEU - IBO2")</f>
        <v>IBOEU - IBO2</v>
      </c>
      <c r="I19183" s="4" t="str">
        <f>HYPERLINK("#Réglementation!A"&amp;_xlfn.XMATCH("IBE2",Réglementation!A:A,2,1),"IBE2")</f>
        <v>IBE2</v>
      </c>
      <c r="K19183" s="4" t="str">
        <f>HYPERLINK("#Réglementation!A"&amp;_xlfn.XMATCH("CDH4",Réglementation!A:A,2,1),"CDH4")</f>
        <v>CDH4</v>
      </c>
      <c r="L19183" s="4" t="str">
        <f>HYPERLINK("#Réglementation!A"&amp;_xlfn.XMATCH("NM2",Réglementation!A:A,2,1),"NM2")</f>
        <v>NM2</v>
      </c>
      <c r="O19183" s="7" t="str">
        <f>HYPERLINK("#Liste_rouge!A"&amp;_xlfn.XMATCH("LC",Liste_rouge!A:A,2,1),"LC")</f>
        <v>LC</v>
      </c>
      <c r="P19183" s="7" t="str">
        <f>HYPERLINK("#Liste_rouge!A"&amp;_xlfn.XMATCH("LC",Liste_rouge!A:A,2,1),"LC")</f>
        <v>LC</v>
      </c>
      <c r="Q19183" s="7" t="str">
        <f>HYPERLINK("#Liste_rouge!A"&amp;_xlfn.XMATCH("NT",Liste_rouge!A:A,2,1),"NT")</f>
        <v>NT</v>
      </c>
      <c r="V19183" s="7" t="str">
        <f>HYPERLINK("#Liste_rouge!A"&amp;_xlfn.XMATCH("NT",Liste_rouge!A:A,2,1),"NT")</f>
        <v>NT</v>
      </c>
      <c r="X19183" s="5" t="s">
        <v>374</v>
      </c>
      <c r="AH19183" s="4" t="str">
        <f>HYPERLINK("#Statut_biogéographique!A"&amp;_xlfn.XMATCH("P",Statut_biogéographique!A:A,2,1),"P")</f>
        <v>P</v>
      </c>
      <c r="AI19183" s="8" t="s">
        <v>23309</v>
      </c>
      <c r="AJ19183" s="4" t="s">
        <v>23222</v>
      </c>
      <c r="AM19183" s="4" t="s">
        <v>375</v>
      </c>
      <c r="AN19183" s="4" t="s">
        <v>375</v>
      </c>
      <c r="AO19183" s="4" t="s">
        <v>375</v>
      </c>
      <c r="AP19183" s="4" t="s">
        <v>376</v>
      </c>
      <c r="AR19183" s="4" t="s">
        <v>377</v>
      </c>
    </row>
    <row r="19184" spans="1:44">
      <c r="A19184" s="4" t="s">
        <v>132</v>
      </c>
      <c r="B19184" s="4">
        <v>60577</v>
      </c>
      <c r="D19184" s="5">
        <v>60577</v>
      </c>
      <c r="E19184" s="6" t="str">
        <f>HYPERLINK("https://inpn.mnhn.fr/espece/cd_nom/60577","Canis lupus Linnaeus, 1758")</f>
        <v>Canis lupus Linnaeus, 1758</v>
      </c>
      <c r="F19184" s="5" t="s">
        <v>23310</v>
      </c>
      <c r="G19184" s="4" t="str">
        <f>HYPERLINK("#Réglementation!A"&amp;_xlfn.XMATCH("CCA",Réglementation!A:A,2,1),"CCA - CCB")</f>
        <v>CCA - CCB</v>
      </c>
      <c r="I19184" s="4" t="str">
        <f>HYPERLINK("#Réglementation!A"&amp;_xlfn.XMATCH("IBE2",Réglementation!A:A,2,1),"IBE2")</f>
        <v>IBE2</v>
      </c>
      <c r="K19184" s="4" t="str">
        <f>HYPERLINK("#Réglementation!A"&amp;_xlfn.XMATCH("CDH2",Réglementation!A:A,2,1),"CDH2 - CDH4")</f>
        <v>CDH2 - CDH4</v>
      </c>
      <c r="L19184" s="4" t="str">
        <f>HYPERLINK("#Réglementation!A"&amp;_xlfn.XMATCH("NM2",Réglementation!A:A,2,1),"NM2")</f>
        <v>NM2</v>
      </c>
      <c r="O19184" s="7" t="str">
        <f>HYPERLINK("#Liste_rouge!A"&amp;_xlfn.XMATCH("LC",Liste_rouge!A:A,2,1),"LC")</f>
        <v>LC</v>
      </c>
      <c r="P19184" s="7" t="str">
        <f>HYPERLINK("#Liste_rouge!A"&amp;_xlfn.XMATCH("LC",Liste_rouge!A:A,2,1),"LC")</f>
        <v>LC</v>
      </c>
      <c r="Q19184" s="7" t="str">
        <f>HYPERLINK("#Liste_rouge!A"&amp;_xlfn.XMATCH("VU",Liste_rouge!A:A,2,1),"VU")</f>
        <v>VU</v>
      </c>
      <c r="T19184" s="7" t="str">
        <f>HYPERLINK("#Liste_rouge!A"&amp;_xlfn.XMATCH("NA",Liste_rouge!A:A,2,1),"NA")</f>
        <v>NA</v>
      </c>
      <c r="V19184" s="7" t="str">
        <f>HYPERLINK("#Liste_rouge!A"&amp;_xlfn.XMATCH("RE",Liste_rouge!A:A,2,1),"RE")</f>
        <v>RE</v>
      </c>
      <c r="AH19184" s="4" t="str">
        <f>HYPERLINK("#Statut_biogéographique!A"&amp;_xlfn.XMATCH("P",Statut_biogéographique!A:A,2,1),"P")</f>
        <v>P</v>
      </c>
      <c r="AI19184" s="8" t="s">
        <v>23311</v>
      </c>
      <c r="AJ19184" s="4" t="s">
        <v>23312</v>
      </c>
      <c r="AL19184" s="5" t="str">
        <f>HYPERLINK("#Réglementation!A"&amp;_xlfn.XMATCH("UEintro",Réglementation!A:A,2,1),"UEintro")</f>
        <v>UEintro</v>
      </c>
      <c r="AM19184" s="4" t="s">
        <v>375</v>
      </c>
      <c r="AN19184" s="4" t="s">
        <v>382</v>
      </c>
      <c r="AO19184" s="4" t="s">
        <v>382</v>
      </c>
      <c r="AP19184" s="4" t="s">
        <v>376</v>
      </c>
      <c r="AR19184" s="4" t="s">
        <v>377</v>
      </c>
    </row>
    <row r="19185" spans="1:44">
      <c r="A19185" s="4" t="s">
        <v>132</v>
      </c>
      <c r="B19185" s="4">
        <v>60582</v>
      </c>
      <c r="D19185" s="5">
        <v>60582</v>
      </c>
      <c r="E19185" s="6" t="str">
        <f>HYPERLINK("https://inpn.mnhn.fr/espece/cd_nom/60582","Nyctereutes procyonoides (Gray, 1834)")</f>
        <v>Nyctereutes procyonoides (Gray, 1834)</v>
      </c>
      <c r="F19185" s="5" t="s">
        <v>23313</v>
      </c>
      <c r="O19185" s="7" t="str">
        <f>HYPERLINK("#Liste_rouge!A"&amp;_xlfn.XMATCH("LC",Liste_rouge!A:A,2,1),"LC")</f>
        <v>LC</v>
      </c>
      <c r="Q19185" s="7" t="str">
        <f>HYPERLINK("#Liste_rouge!A"&amp;_xlfn.XMATCH("NA",Liste_rouge!A:A,2,1),"NA")</f>
        <v>NA</v>
      </c>
      <c r="V19185" s="7" t="str">
        <f>HYPERLINK("#Liste_rouge!A"&amp;_xlfn.XMATCH("NE",Liste_rouge!A:A,2,1),"NE")</f>
        <v>NE</v>
      </c>
      <c r="AH19185" s="4" t="str">
        <f>HYPERLINK("#Statut_biogéographique!A"&amp;_xlfn.XMATCH("M",Statut_biogéographique!A:A,2,1),"M")</f>
        <v>M</v>
      </c>
      <c r="AK19185" s="4" t="str">
        <f>HYPERLINK("#Réglementation!A"&amp;_xlfn.XMATCH("Ngib_ch_1",Réglementation!A:A,2,1),"Ngib_ch_1")</f>
        <v>Ngib_ch_1</v>
      </c>
      <c r="AL19185" s="5" t="str">
        <f>HYPERLINK("#Réglementation!A"&amp;_xlfn.XMATCH("FRnoEEEA2",Réglementation!A:A,2,1),"FRnoEEEA2 - EEEUE")</f>
        <v>FRnoEEEA2 - EEEUE</v>
      </c>
      <c r="AM19185" s="4" t="s">
        <v>375</v>
      </c>
      <c r="AN19185" s="4" t="s">
        <v>375</v>
      </c>
      <c r="AO19185" s="4" t="s">
        <v>375</v>
      </c>
      <c r="AP19185" s="4" t="s">
        <v>376</v>
      </c>
      <c r="AR19185" s="4" t="s">
        <v>377</v>
      </c>
    </row>
    <row r="19186" spans="1:44">
      <c r="A19186" s="4" t="s">
        <v>132</v>
      </c>
      <c r="B19186" s="4">
        <v>60585</v>
      </c>
      <c r="D19186" s="5" t="s">
        <v>23314</v>
      </c>
      <c r="E19186" s="6" t="str">
        <f>HYPERLINK("https://inpn.mnhn.fr/espece/cd_nom/60585","Vulpes vulpes (Linnaeus, 1758)")</f>
        <v>Vulpes vulpes (Linnaeus, 1758)</v>
      </c>
      <c r="F19186" s="5" t="s">
        <v>23315</v>
      </c>
      <c r="O19186" s="7" t="str">
        <f>HYPERLINK("#Liste_rouge!A"&amp;_xlfn.XMATCH("LC",Liste_rouge!A:A,2,1),"LC")</f>
        <v>LC</v>
      </c>
      <c r="P19186" s="7" t="str">
        <f>HYPERLINK("#Liste_rouge!A"&amp;_xlfn.XMATCH("LC",Liste_rouge!A:A,2,1),"LC")</f>
        <v>LC</v>
      </c>
      <c r="Q19186" s="7" t="str">
        <f>HYPERLINK("#Liste_rouge!A"&amp;_xlfn.XMATCH("LC",Liste_rouge!A:A,2,1),"LC")</f>
        <v>LC</v>
      </c>
      <c r="T19186" s="7" t="str">
        <f>HYPERLINK("#Liste_rouge!A"&amp;_xlfn.XMATCH("LC",Liste_rouge!A:A,2,1),"LC")</f>
        <v>LC</v>
      </c>
      <c r="V19186" s="7" t="str">
        <f>HYPERLINK("#Liste_rouge!A"&amp;_xlfn.XMATCH("LC",Liste_rouge!A:A,2,1),"LC")</f>
        <v>LC</v>
      </c>
      <c r="AH19186" s="4" t="str">
        <f>HYPERLINK("#Statut_biogéographique!A"&amp;_xlfn.XMATCH("P",Statut_biogéographique!A:A,2,1),"P")</f>
        <v>P</v>
      </c>
      <c r="AK19186" s="4" t="str">
        <f>HYPERLINK("#Réglementation!A"&amp;_xlfn.XMATCH("Ngib_ch_1",Réglementation!A:A,2,1),"Ngib_ch_1")</f>
        <v>Ngib_ch_1</v>
      </c>
      <c r="AM19186" s="4" t="s">
        <v>375</v>
      </c>
      <c r="AN19186" s="4" t="s">
        <v>375</v>
      </c>
      <c r="AO19186" s="4" t="s">
        <v>375</v>
      </c>
      <c r="AP19186" s="4" t="s">
        <v>376</v>
      </c>
      <c r="AR19186" s="4" t="s">
        <v>377</v>
      </c>
    </row>
    <row r="19187" spans="1:44">
      <c r="A19187" s="4" t="s">
        <v>132</v>
      </c>
      <c r="B19187" s="4">
        <v>60595</v>
      </c>
      <c r="D19187" s="5" t="s">
        <v>23316</v>
      </c>
      <c r="E19187" s="6" t="str">
        <f>HYPERLINK("https://inpn.mnhn.fr/espece/cd_nom/60595","Felis catus Linnaeus, 1758")</f>
        <v>Felis catus Linnaeus, 1758</v>
      </c>
      <c r="F19187" s="5" t="s">
        <v>23317</v>
      </c>
      <c r="AH19187" s="4" t="str">
        <f>HYPERLINK("#Statut_biogéographique!A"&amp;_xlfn.XMATCH("M",Statut_biogéographique!A:A,2,1),"M")</f>
        <v>M</v>
      </c>
      <c r="AP19187" s="4" t="s">
        <v>376</v>
      </c>
      <c r="AR19187" s="4" t="s">
        <v>377</v>
      </c>
    </row>
    <row r="19188" spans="1:44">
      <c r="A19188" s="4" t="s">
        <v>132</v>
      </c>
      <c r="B19188" s="4">
        <v>60598</v>
      </c>
      <c r="D19188" s="5" t="s">
        <v>23318</v>
      </c>
      <c r="E19188" s="6" t="str">
        <f>HYPERLINK("https://inpn.mnhn.fr/espece/cd_nom/60598","Felis silvestris silvestris Schreber, 1775")</f>
        <v>Felis silvestris silvestris Schreber, 1775</v>
      </c>
      <c r="F19188" s="5" t="s">
        <v>23319</v>
      </c>
      <c r="G19188" s="4" t="str">
        <f>HYPERLINK("[#Réglementation!A"&amp;_xlfn.XMATCH("CCA",Réglementation!A:A,2,1),"CCA")</f>
        <v>CCA</v>
      </c>
      <c r="I19188" s="4" t="str">
        <f>HYPERLINK("#Réglementation!A"&amp;_xlfn.XMATCH("IBE2",Réglementation!A:A,2,1),"IBE2")</f>
        <v>IBE2</v>
      </c>
      <c r="K19188" s="4" t="str">
        <f>HYPERLINK("#Réglementation!A"&amp;_xlfn.XMATCH("CDH4",Réglementation!A:A,2,1),"CDH4")</f>
        <v>CDH4</v>
      </c>
      <c r="L19188" s="4" t="str">
        <f>HYPERLINK("#Réglementation!A"&amp;_xlfn.XMATCH("NM2",Réglementation!A:A,2,1),"NM2")</f>
        <v>NM2</v>
      </c>
      <c r="AH19188" s="4" t="str">
        <f>HYPERLINK("#Statut_biogéographique!A"&amp;_xlfn.XMATCH("P",Statut_biogéographique!A:A,2,1),"P")</f>
        <v>P</v>
      </c>
      <c r="AP19188" s="4" t="s">
        <v>376</v>
      </c>
      <c r="AR19188" s="4" t="s">
        <v>377</v>
      </c>
    </row>
    <row r="19189" spans="1:44">
      <c r="A19189" s="4" t="s">
        <v>132</v>
      </c>
      <c r="B19189" s="4">
        <v>60612</v>
      </c>
      <c r="D19189" s="5" t="s">
        <v>23320</v>
      </c>
      <c r="E19189" s="6" t="str">
        <f>HYPERLINK("https://inpn.mnhn.fr/espece/cd_nom/60612","Lynx lynx (Linnaeus, 1758)")</f>
        <v>Lynx lynx (Linnaeus, 1758)</v>
      </c>
      <c r="F19189" s="5" t="s">
        <v>23321</v>
      </c>
      <c r="G19189" s="4" t="str">
        <f>HYPERLINK("[#Réglementation!A"&amp;_xlfn.XMATCH("CCA",Réglementation!A:A,2,1),"CCA")</f>
        <v>CCA</v>
      </c>
      <c r="I19189" s="4" t="str">
        <f>HYPERLINK("#Réglementation!A"&amp;_xlfn.XMATCH("IBE3",Réglementation!A:A,2,1),"IBE3")</f>
        <v>IBE3</v>
      </c>
      <c r="K19189" s="4" t="str">
        <f>HYPERLINK("#Réglementation!A"&amp;_xlfn.XMATCH("CDH2",Réglementation!A:A,2,1),"CDH2 - CDH4")</f>
        <v>CDH2 - CDH4</v>
      </c>
      <c r="L19189" s="4" t="str">
        <f>HYPERLINK("#Réglementation!A"&amp;_xlfn.XMATCH("NM2",Réglementation!A:A,2,1),"NM2 - NM")</f>
        <v>NM2 - NM</v>
      </c>
      <c r="O19189" s="7" t="str">
        <f>HYPERLINK("#Liste_rouge!A"&amp;_xlfn.XMATCH("LC",Liste_rouge!A:A,2,1),"LC")</f>
        <v>LC</v>
      </c>
      <c r="P19189" s="7" t="str">
        <f>HYPERLINK("#Liste_rouge!A"&amp;_xlfn.XMATCH("LC",Liste_rouge!A:A,2,1),"LC")</f>
        <v>LC</v>
      </c>
      <c r="Q19189" s="7" t="str">
        <f>HYPERLINK("#Liste_rouge!A"&amp;_xlfn.XMATCH("EN",Liste_rouge!A:A,2,1),"EN")</f>
        <v>EN</v>
      </c>
      <c r="T19189" s="7" t="str">
        <f>HYPERLINK("#Liste_rouge!A"&amp;_xlfn.XMATCH("NA",Liste_rouge!A:A,2,1),"NA")</f>
        <v>NA</v>
      </c>
      <c r="V19189" s="7" t="str">
        <f>HYPERLINK("#Liste_rouge!A"&amp;_xlfn.XMATCH("VU",Liste_rouge!A:A,2,1),"VU")</f>
        <v>VU</v>
      </c>
      <c r="AE19189" s="4" t="str">
        <f>HYPERLINK("#SCAP!A"&amp;_xlfn.XMATCH("3",SCAP!A:A,2,1),"3")</f>
        <v>3</v>
      </c>
      <c r="AG19189" s="4" t="str">
        <f>HYPERLINK("#SCAP!A"&amp;_xlfn.XMATCH("3",SCAP!A:A,2,1),"3")</f>
        <v>3</v>
      </c>
      <c r="AH19189" s="4" t="str">
        <f>HYPERLINK("#Statut_biogéographique!A"&amp;_xlfn.XMATCH("P",Statut_biogéographique!A:A,2,1),"P")</f>
        <v>P</v>
      </c>
      <c r="AM19189" s="4" t="s">
        <v>375</v>
      </c>
      <c r="AN19189" s="4" t="s">
        <v>382</v>
      </c>
      <c r="AO19189" s="4" t="s">
        <v>382</v>
      </c>
      <c r="AP19189" s="4" t="s">
        <v>376</v>
      </c>
      <c r="AQ19189" s="4" t="s">
        <v>377</v>
      </c>
      <c r="AR19189" s="4" t="s">
        <v>377</v>
      </c>
    </row>
    <row r="19190" spans="1:44">
      <c r="A19190" s="4" t="s">
        <v>132</v>
      </c>
      <c r="B19190" s="4">
        <v>60630</v>
      </c>
      <c r="D19190" s="5" t="s">
        <v>23322</v>
      </c>
      <c r="E19190" s="6" t="str">
        <f>HYPERLINK("https://inpn.mnhn.fr/espece/cd_nom/60630","Lutra lutra (Linnaeus, 1758)")</f>
        <v>Lutra lutra (Linnaeus, 1758)</v>
      </c>
      <c r="F19190" s="5" t="s">
        <v>23323</v>
      </c>
      <c r="G19190" s="4" t="str">
        <f>HYPERLINK("[#Réglementation!A"&amp;_xlfn.XMATCH("CCA",Réglementation!A:A,2,1),"CCA")</f>
        <v>CCA</v>
      </c>
      <c r="I19190" s="4" t="str">
        <f>HYPERLINK("#Réglementation!A"&amp;_xlfn.XMATCH("IBE2",Réglementation!A:A,2,1),"IBE2")</f>
        <v>IBE2</v>
      </c>
      <c r="K19190" s="4" t="str">
        <f>HYPERLINK("#Réglementation!A"&amp;_xlfn.XMATCH("CDH2",Réglementation!A:A,2,1),"CDH2 - CDH4")</f>
        <v>CDH2 - CDH4</v>
      </c>
      <c r="L19190" s="4" t="str">
        <f>HYPERLINK("#Réglementation!A"&amp;_xlfn.XMATCH("NM2",Réglementation!A:A,2,1),"NM2 - NM")</f>
        <v>NM2 - NM</v>
      </c>
      <c r="O19190" s="7" t="str">
        <f>HYPERLINK("#Liste_rouge!A"&amp;_xlfn.XMATCH("NT",Liste_rouge!A:A,2,1),"NT")</f>
        <v>NT</v>
      </c>
      <c r="P19190" s="7" t="str">
        <f>HYPERLINK("#Liste_rouge!A"&amp;_xlfn.XMATCH("NT",Liste_rouge!A:A,2,1),"NT")</f>
        <v>NT</v>
      </c>
      <c r="Q19190" s="7" t="str">
        <f>HYPERLINK("#Liste_rouge!A"&amp;_xlfn.XMATCH("LC",Liste_rouge!A:A,2,1),"LC")</f>
        <v>LC</v>
      </c>
      <c r="T19190" s="7" t="str">
        <f>HYPERLINK("#Liste_rouge!A"&amp;_xlfn.XMATCH("EN",Liste_rouge!A:A,2,1),"EN")</f>
        <v>EN</v>
      </c>
      <c r="V19190" s="7" t="str">
        <f>HYPERLINK("#Liste_rouge!A"&amp;_xlfn.XMATCH("RE",Liste_rouge!A:A,2,1),"RE")</f>
        <v>RE</v>
      </c>
      <c r="X19190" s="5" t="s">
        <v>374</v>
      </c>
      <c r="AE19190" s="4" t="str">
        <f>HYPERLINK("#SCAP!A"&amp;_xlfn.XMATCH("2+",SCAP!A:A,2,1),"2+")</f>
        <v>2+</v>
      </c>
      <c r="AF19190" s="4" t="str">
        <f>HYPERLINK("#SCAP!A"&amp;_xlfn.XMATCH("3",SCAP!A:A,2,1),"3")</f>
        <v>3</v>
      </c>
      <c r="AH19190" s="4" t="str">
        <f>HYPERLINK("#Statut_biogéographique!A"&amp;_xlfn.XMATCH("P",Statut_biogéographique!A:A,2,1),"P")</f>
        <v>P</v>
      </c>
      <c r="AI19190" s="8" t="s">
        <v>23324</v>
      </c>
      <c r="AJ19190" s="4" t="s">
        <v>23325</v>
      </c>
      <c r="AM19190" s="4" t="s">
        <v>375</v>
      </c>
      <c r="AN19190" s="4" t="s">
        <v>382</v>
      </c>
      <c r="AO19190" s="4" t="s">
        <v>382</v>
      </c>
      <c r="AP19190" s="4" t="s">
        <v>376</v>
      </c>
      <c r="AQ19190" s="4" t="s">
        <v>377</v>
      </c>
      <c r="AR19190" s="4" t="s">
        <v>377</v>
      </c>
    </row>
    <row r="19191" spans="1:44" ht="45">
      <c r="A19191" s="4" t="s">
        <v>132</v>
      </c>
      <c r="B19191" s="4">
        <v>60636</v>
      </c>
      <c r="D19191" s="5" t="s">
        <v>23326</v>
      </c>
      <c r="E19191" s="6" t="str">
        <f>HYPERLINK("https://inpn.mnhn.fr/espece/cd_nom/60636","Meles meles (Linnaeus, 1758)")</f>
        <v>Meles meles (Linnaeus, 1758)</v>
      </c>
      <c r="F19191" s="5" t="s">
        <v>23327</v>
      </c>
      <c r="I19191" s="4" t="str">
        <f>HYPERLINK("#Réglementation!A"&amp;_xlfn.XMATCH("IBE3",Réglementation!A:A,2,1),"IBE3")</f>
        <v>IBE3</v>
      </c>
      <c r="O19191" s="7" t="str">
        <f>HYPERLINK("#Liste_rouge!A"&amp;_xlfn.XMATCH("LC",Liste_rouge!A:A,2,1),"LC")</f>
        <v>LC</v>
      </c>
      <c r="P19191" s="7" t="str">
        <f>HYPERLINK("#Liste_rouge!A"&amp;_xlfn.XMATCH("LC",Liste_rouge!A:A,2,1),"LC")</f>
        <v>LC</v>
      </c>
      <c r="Q19191" s="7" t="str">
        <f>HYPERLINK("#Liste_rouge!A"&amp;_xlfn.XMATCH("LC",Liste_rouge!A:A,2,1),"LC")</f>
        <v>LC</v>
      </c>
      <c r="T19191" s="7" t="str">
        <f>HYPERLINK("#Liste_rouge!A"&amp;_xlfn.XMATCH("LC",Liste_rouge!A:A,2,1),"LC")</f>
        <v>LC</v>
      </c>
      <c r="V19191" s="7" t="str">
        <f>HYPERLINK("#Liste_rouge!A"&amp;_xlfn.XMATCH("LC",Liste_rouge!A:A,2,1),"LC")</f>
        <v>LC</v>
      </c>
      <c r="AH19191" s="4" t="str">
        <f>HYPERLINK("#Statut_biogéographique!A"&amp;_xlfn.XMATCH("P",Statut_biogéographique!A:A,2,1),"P")</f>
        <v>P</v>
      </c>
      <c r="AK19191" s="4" t="str">
        <f>HYPERLINK("#Réglementation!A"&amp;_xlfn.XMATCH("Ngib_ch_1",Réglementation!A:A,2,1),"Ngib_ch_1")</f>
        <v>Ngib_ch_1</v>
      </c>
      <c r="AM19191" s="4" t="s">
        <v>375</v>
      </c>
      <c r="AN19191" s="4" t="s">
        <v>375</v>
      </c>
      <c r="AO19191" s="4" t="s">
        <v>375</v>
      </c>
      <c r="AP19191" s="4" t="s">
        <v>376</v>
      </c>
      <c r="AR19191" s="4" t="s">
        <v>377</v>
      </c>
    </row>
    <row r="19192" spans="1:44" ht="30">
      <c r="A19192" s="4" t="s">
        <v>132</v>
      </c>
      <c r="B19192" s="4">
        <v>60658</v>
      </c>
      <c r="D19192" s="5" t="s">
        <v>23328</v>
      </c>
      <c r="E19192" s="6" t="str">
        <f>HYPERLINK("https://inpn.mnhn.fr/espece/cd_nom/60658","Martes martes (Linnaeus, 1758)")</f>
        <v>Martes martes (Linnaeus, 1758)</v>
      </c>
      <c r="F19192" s="5" t="s">
        <v>23329</v>
      </c>
      <c r="I19192" s="4" t="str">
        <f>HYPERLINK("#Réglementation!A"&amp;_xlfn.XMATCH("IBE3",Réglementation!A:A,2,1),"IBE3")</f>
        <v>IBE3</v>
      </c>
      <c r="K19192" s="4" t="str">
        <f>HYPERLINK("#Réglementation!A"&amp;_xlfn.XMATCH("CDH5",Réglementation!A:A,2,1),"CDH5")</f>
        <v>CDH5</v>
      </c>
      <c r="O19192" s="7" t="str">
        <f>HYPERLINK("#Liste_rouge!A"&amp;_xlfn.XMATCH("LC",Liste_rouge!A:A,2,1),"LC")</f>
        <v>LC</v>
      </c>
      <c r="P19192" s="7" t="str">
        <f>HYPERLINK("#Liste_rouge!A"&amp;_xlfn.XMATCH("LC",Liste_rouge!A:A,2,1),"LC")</f>
        <v>LC</v>
      </c>
      <c r="Q19192" s="7" t="str">
        <f>HYPERLINK("#Liste_rouge!A"&amp;_xlfn.XMATCH("LC",Liste_rouge!A:A,2,1),"LC")</f>
        <v>LC</v>
      </c>
      <c r="T19192" s="7" t="str">
        <f>HYPERLINK("#Liste_rouge!A"&amp;_xlfn.XMATCH("LC",Liste_rouge!A:A,2,1),"LC")</f>
        <v>LC</v>
      </c>
      <c r="V19192" s="7" t="str">
        <f>HYPERLINK("#Liste_rouge!A"&amp;_xlfn.XMATCH("LC",Liste_rouge!A:A,2,1),"LC")</f>
        <v>LC</v>
      </c>
      <c r="AH19192" s="4" t="str">
        <f>HYPERLINK("#Statut_biogéographique!A"&amp;_xlfn.XMATCH("P",Statut_biogéographique!A:A,2,1),"P")</f>
        <v>P</v>
      </c>
      <c r="AK19192" s="4" t="str">
        <f>HYPERLINK("#Réglementation!A"&amp;_xlfn.XMATCH("Ngib_ch_1",Réglementation!A:A,2,1),"Ngib_ch_1")</f>
        <v>Ngib_ch_1</v>
      </c>
      <c r="AM19192" s="4" t="s">
        <v>375</v>
      </c>
      <c r="AN19192" s="4" t="s">
        <v>375</v>
      </c>
      <c r="AO19192" s="4" t="s">
        <v>375</v>
      </c>
      <c r="AP19192" s="4" t="s">
        <v>376</v>
      </c>
      <c r="AR19192" s="4" t="s">
        <v>377</v>
      </c>
    </row>
    <row r="19193" spans="1:44" ht="30">
      <c r="A19193" s="4" t="s">
        <v>132</v>
      </c>
      <c r="B19193" s="4">
        <v>60674</v>
      </c>
      <c r="D19193" s="5" t="s">
        <v>23330</v>
      </c>
      <c r="E19193" s="6" t="str">
        <f>HYPERLINK("https://inpn.mnhn.fr/espece/cd_nom/60674","Martes foina (Erxleben, 1777)")</f>
        <v>Martes foina (Erxleben, 1777)</v>
      </c>
      <c r="F19193" s="5" t="s">
        <v>23331</v>
      </c>
      <c r="I19193" s="4" t="str">
        <f>HYPERLINK("#Réglementation!A"&amp;_xlfn.XMATCH("IBE3",Réglementation!A:A,2,1),"IBE3")</f>
        <v>IBE3</v>
      </c>
      <c r="O19193" s="7" t="str">
        <f>HYPERLINK("#Liste_rouge!A"&amp;_xlfn.XMATCH("LC",Liste_rouge!A:A,2,1),"LC")</f>
        <v>LC</v>
      </c>
      <c r="P19193" s="7" t="str">
        <f>HYPERLINK("#Liste_rouge!A"&amp;_xlfn.XMATCH("LC",Liste_rouge!A:A,2,1),"LC")</f>
        <v>LC</v>
      </c>
      <c r="Q19193" s="7" t="str">
        <f>HYPERLINK("#Liste_rouge!A"&amp;_xlfn.XMATCH("LC",Liste_rouge!A:A,2,1),"LC")</f>
        <v>LC</v>
      </c>
      <c r="T19193" s="7" t="str">
        <f>HYPERLINK("#Liste_rouge!A"&amp;_xlfn.XMATCH("LC",Liste_rouge!A:A,2,1),"LC")</f>
        <v>LC</v>
      </c>
      <c r="V19193" s="7" t="str">
        <f>HYPERLINK("#Liste_rouge!A"&amp;_xlfn.XMATCH("LC",Liste_rouge!A:A,2,1),"LC")</f>
        <v>LC</v>
      </c>
      <c r="AH19193" s="4" t="str">
        <f>HYPERLINK("#Statut_biogéographique!A"&amp;_xlfn.XMATCH("P",Statut_biogéographique!A:A,2,1),"P")</f>
        <v>P</v>
      </c>
      <c r="AK19193" s="4" t="str">
        <f>HYPERLINK("#Réglementation!A"&amp;_xlfn.XMATCH("Ngib_ch_1",Réglementation!A:A,2,1),"Ngib_ch_1")</f>
        <v>Ngib_ch_1</v>
      </c>
      <c r="AM19193" s="4" t="s">
        <v>375</v>
      </c>
      <c r="AN19193" s="4" t="s">
        <v>375</v>
      </c>
      <c r="AO19193" s="4" t="s">
        <v>375</v>
      </c>
      <c r="AP19193" s="4" t="s">
        <v>376</v>
      </c>
      <c r="AR19193" s="4" t="s">
        <v>377</v>
      </c>
    </row>
    <row r="19194" spans="1:44">
      <c r="A19194" s="4" t="s">
        <v>132</v>
      </c>
      <c r="B19194" s="4">
        <v>60686</v>
      </c>
      <c r="D19194" s="5">
        <v>60686</v>
      </c>
      <c r="E19194" s="6" t="str">
        <f>HYPERLINK("https://inpn.mnhn.fr/espece/cd_nom/60686","Mustela erminea Linnaeus, 1758")</f>
        <v>Mustela erminea Linnaeus, 1758</v>
      </c>
      <c r="F19194" s="5" t="s">
        <v>23332</v>
      </c>
      <c r="I19194" s="4" t="str">
        <f>HYPERLINK("#Réglementation!A"&amp;_xlfn.XMATCH("IBE3",Réglementation!A:A,2,1),"IBE3")</f>
        <v>IBE3</v>
      </c>
      <c r="O19194" s="7" t="str">
        <f>HYPERLINK("#Liste_rouge!A"&amp;_xlfn.XMATCH("LC",Liste_rouge!A:A,2,1),"LC")</f>
        <v>LC</v>
      </c>
      <c r="P19194" s="7" t="str">
        <f>HYPERLINK("#Liste_rouge!A"&amp;_xlfn.XMATCH("LC",Liste_rouge!A:A,2,1),"LC")</f>
        <v>LC</v>
      </c>
      <c r="Q19194" s="7" t="str">
        <f>HYPERLINK("#Liste_rouge!A"&amp;_xlfn.XMATCH("LC",Liste_rouge!A:A,2,1),"LC")</f>
        <v>LC</v>
      </c>
      <c r="T19194" s="7" t="str">
        <f>HYPERLINK("#Liste_rouge!A"&amp;_xlfn.XMATCH("DD",Liste_rouge!A:A,2,1),"DD")</f>
        <v>DD</v>
      </c>
      <c r="V19194" s="7" t="str">
        <f>HYPERLINK("#Liste_rouge!A"&amp;_xlfn.XMATCH("LC",Liste_rouge!A:A,2,1),"LC")</f>
        <v>LC</v>
      </c>
      <c r="AH19194" s="4" t="str">
        <f>HYPERLINK("#Statut_biogéographique!A"&amp;_xlfn.XMATCH("P",Statut_biogéographique!A:A,2,1),"P")</f>
        <v>P</v>
      </c>
      <c r="AK19194" s="4" t="str">
        <f>HYPERLINK("#Réglementation!A"&amp;_xlfn.XMATCH("Ngib_ch_1",Réglementation!A:A,2,1),"Ngib_ch_1")</f>
        <v>Ngib_ch_1</v>
      </c>
      <c r="AM19194" s="4" t="s">
        <v>375</v>
      </c>
      <c r="AN19194" s="4" t="s">
        <v>375</v>
      </c>
      <c r="AO19194" s="4" t="s">
        <v>375</v>
      </c>
      <c r="AP19194" s="4" t="s">
        <v>376</v>
      </c>
      <c r="AR19194" s="4" t="s">
        <v>377</v>
      </c>
    </row>
    <row r="19195" spans="1:44" ht="30">
      <c r="A19195" s="4" t="s">
        <v>132</v>
      </c>
      <c r="B19195" s="4">
        <v>60704</v>
      </c>
      <c r="D19195" s="5" t="s">
        <v>23333</v>
      </c>
      <c r="E19195" s="6" t="str">
        <f>HYPERLINK("https://inpn.mnhn.fr/espece/cd_nom/60704","Mustela lutreola (Linnaeus, 1761)")</f>
        <v>Mustela lutreola (Linnaeus, 1761)</v>
      </c>
      <c r="F19195" s="5" t="s">
        <v>23334</v>
      </c>
      <c r="I19195" s="4" t="str">
        <f>HYPERLINK("#Réglementation!A"&amp;_xlfn.XMATCH("IBE2",Réglementation!A:A,2,1),"IBE2")</f>
        <v>IBE2</v>
      </c>
      <c r="K19195" s="4" t="str">
        <f>HYPERLINK("#Réglementation!A"&amp;_xlfn.XMATCH("CDH2",Réglementation!A:A,2,1),"CDH2 - CDH4")</f>
        <v>CDH2 - CDH4</v>
      </c>
      <c r="L19195" s="4" t="str">
        <f>HYPERLINK("#Réglementation!A"&amp;_xlfn.XMATCH("NM2",Réglementation!A:A,2,1),"NM2 - NM")</f>
        <v>NM2 - NM</v>
      </c>
      <c r="O19195" s="7" t="str">
        <f>HYPERLINK("#Liste_rouge!A"&amp;_xlfn.XMATCH("CR",Liste_rouge!A:A,2,1),"CR")</f>
        <v>CR</v>
      </c>
      <c r="P19195" s="7" t="str">
        <f>HYPERLINK("#Liste_rouge!A"&amp;_xlfn.XMATCH("CR",Liste_rouge!A:A,2,1),"CR")</f>
        <v>CR</v>
      </c>
      <c r="Q19195" s="7" t="str">
        <f>HYPERLINK("#Liste_rouge!A"&amp;_xlfn.XMATCH("CR",Liste_rouge!A:A,2,1),"CR")</f>
        <v>CR</v>
      </c>
      <c r="V19195" s="7" t="str">
        <f>HYPERLINK("#Liste_rouge!A"&amp;_xlfn.XMATCH("RE",Liste_rouge!A:A,2,1),"RE")</f>
        <v>RE</v>
      </c>
      <c r="AE19195" s="4" t="str">
        <f>HYPERLINK("#SCAP!A"&amp;_xlfn.XMATCH("2+",SCAP!A:A,2,1),"2+")</f>
        <v>2+</v>
      </c>
      <c r="AH19195" s="4" t="str">
        <f>HYPERLINK("#Statut_biogéographique!A"&amp;_xlfn.XMATCH("P",Statut_biogéographique!A:A,2,1),"P")</f>
        <v>P</v>
      </c>
      <c r="AI19195" s="8" t="s">
        <v>23335</v>
      </c>
      <c r="AJ19195" s="4" t="s">
        <v>23336</v>
      </c>
      <c r="AP19195" s="4" t="s">
        <v>376</v>
      </c>
      <c r="AQ19195" s="4" t="s">
        <v>377</v>
      </c>
      <c r="AR19195" s="4" t="s">
        <v>377</v>
      </c>
    </row>
    <row r="19196" spans="1:44" ht="45">
      <c r="A19196" s="4" t="s">
        <v>132</v>
      </c>
      <c r="B19196" s="4">
        <v>60716</v>
      </c>
      <c r="D19196" s="5" t="s">
        <v>23337</v>
      </c>
      <c r="E19196" s="6" t="str">
        <f>HYPERLINK("https://inpn.mnhn.fr/espece/cd_nom/60716","Mustela nivalis Linnaeus, 1766")</f>
        <v>Mustela nivalis Linnaeus, 1766</v>
      </c>
      <c r="F19196" s="5" t="s">
        <v>23338</v>
      </c>
      <c r="I19196" s="4" t="str">
        <f>HYPERLINK("#Réglementation!A"&amp;_xlfn.XMATCH("IBE3",Réglementation!A:A,2,1),"IBE3")</f>
        <v>IBE3</v>
      </c>
      <c r="P19196" s="7" t="str">
        <f>HYPERLINK("#Liste_rouge!A"&amp;_xlfn.XMATCH("LC",Liste_rouge!A:A,2,1),"LC")</f>
        <v>LC</v>
      </c>
      <c r="Q19196" s="7" t="str">
        <f>HYPERLINK("#Liste_rouge!A"&amp;_xlfn.XMATCH("LC",Liste_rouge!A:A,2,1),"LC")</f>
        <v>LC</v>
      </c>
      <c r="T19196" s="7" t="str">
        <f>HYPERLINK("#Liste_rouge!A"&amp;_xlfn.XMATCH("DD",Liste_rouge!A:A,2,1),"DD")</f>
        <v>DD</v>
      </c>
      <c r="V19196" s="7" t="str">
        <f>HYPERLINK("#Liste_rouge!A"&amp;_xlfn.XMATCH("NT",Liste_rouge!A:A,2,1),"NT")</f>
        <v>NT</v>
      </c>
      <c r="X19196" s="5" t="s">
        <v>374</v>
      </c>
      <c r="AH19196" s="4" t="str">
        <f>HYPERLINK("#Statut_biogéographique!A"&amp;_xlfn.XMATCH("P",Statut_biogéographique!A:A,2,1),"P")</f>
        <v>P</v>
      </c>
      <c r="AK19196" s="4" t="str">
        <f>HYPERLINK("#Réglementation!A"&amp;_xlfn.XMATCH("Ngib_ch_1",Réglementation!A:A,2,1),"Ngib_ch_1")</f>
        <v>Ngib_ch_1</v>
      </c>
      <c r="AM19196" s="4" t="s">
        <v>375</v>
      </c>
      <c r="AN19196" s="4" t="s">
        <v>375</v>
      </c>
      <c r="AO19196" s="4" t="s">
        <v>375</v>
      </c>
      <c r="AP19196" s="4" t="s">
        <v>376</v>
      </c>
      <c r="AR19196" s="4" t="s">
        <v>377</v>
      </c>
    </row>
    <row r="19197" spans="1:44" ht="45">
      <c r="A19197" s="4" t="s">
        <v>132</v>
      </c>
      <c r="B19197" s="4">
        <v>60731</v>
      </c>
      <c r="D19197" s="5" t="s">
        <v>23339</v>
      </c>
      <c r="E19197" s="6" t="str">
        <f>HYPERLINK("https://inpn.mnhn.fr/espece/cd_nom/60731","Mustela putorius Linnaeus, 1758")</f>
        <v>Mustela putorius Linnaeus, 1758</v>
      </c>
      <c r="F19197" s="5" t="s">
        <v>23340</v>
      </c>
      <c r="I19197" s="4" t="str">
        <f>HYPERLINK("#Réglementation!A"&amp;_xlfn.XMATCH("IBE3",Réglementation!A:A,2,1),"IBE3")</f>
        <v>IBE3</v>
      </c>
      <c r="K19197" s="4" t="str">
        <f>HYPERLINK("#Réglementation!A"&amp;_xlfn.XMATCH("CDH5",Réglementation!A:A,2,1),"CDH5")</f>
        <v>CDH5</v>
      </c>
      <c r="O19197" s="7" t="str">
        <f>HYPERLINK("#Liste_rouge!A"&amp;_xlfn.XMATCH("LC",Liste_rouge!A:A,2,1),"LC")</f>
        <v>LC</v>
      </c>
      <c r="P19197" s="7" t="str">
        <f>HYPERLINK("#Liste_rouge!A"&amp;_xlfn.XMATCH("LC",Liste_rouge!A:A,2,1),"LC")</f>
        <v>LC</v>
      </c>
      <c r="Q19197" s="7" t="str">
        <f>HYPERLINK("#Liste_rouge!A"&amp;_xlfn.XMATCH("NT",Liste_rouge!A:A,2,1),"NT")</f>
        <v>NT</v>
      </c>
      <c r="T19197" s="7" t="str">
        <f>HYPERLINK("#Liste_rouge!A"&amp;_xlfn.XMATCH("NT",Liste_rouge!A:A,2,1),"NT")</f>
        <v>NT</v>
      </c>
      <c r="U19197" s="4" t="str">
        <f>HYPERLINK("#Critères_liste_rouge!A$1","pr. B2ab(iii)")</f>
        <v>pr. B2ab(iii)</v>
      </c>
      <c r="V19197" s="7" t="str">
        <f>HYPERLINK("#Liste_rouge!A"&amp;_xlfn.XMATCH("NT",Liste_rouge!A:A,2,1),"NT")</f>
        <v>NT</v>
      </c>
      <c r="X19197" s="5" t="s">
        <v>374</v>
      </c>
      <c r="AH19197" s="4" t="str">
        <f>HYPERLINK("#Statut_biogéographique!A"&amp;_xlfn.XMATCH("P",Statut_biogéographique!A:A,2,1),"P")</f>
        <v>P</v>
      </c>
      <c r="AK19197" s="4" t="str">
        <f>HYPERLINK("#Réglementation!A"&amp;_xlfn.XMATCH("Ngib_ch_1",Réglementation!A:A,2,1),"Ngib_ch_1")</f>
        <v>Ngib_ch_1</v>
      </c>
      <c r="AM19197" s="4" t="s">
        <v>375</v>
      </c>
      <c r="AN19197" s="4" t="s">
        <v>375</v>
      </c>
      <c r="AO19197" s="4" t="s">
        <v>375</v>
      </c>
      <c r="AP19197" s="4" t="s">
        <v>376</v>
      </c>
      <c r="AR19197" s="4" t="s">
        <v>377</v>
      </c>
    </row>
    <row r="19198" spans="1:44">
      <c r="A19198" s="4" t="s">
        <v>132</v>
      </c>
      <c r="B19198" s="4">
        <v>60746</v>
      </c>
      <c r="D19198" s="5" t="s">
        <v>23341</v>
      </c>
      <c r="E19198" s="6" t="str">
        <f>HYPERLINK("https://inpn.mnhn.fr/espece/cd_nom/60746","Mustela vison Schreber, 1777")</f>
        <v>Mustela vison Schreber, 1777</v>
      </c>
      <c r="F19198" s="5" t="s">
        <v>23342</v>
      </c>
      <c r="O19198" s="7" t="str">
        <f>HYPERLINK("#Liste_rouge!A"&amp;_xlfn.XMATCH("LC",Liste_rouge!A:A,2,1),"LC")</f>
        <v>LC</v>
      </c>
      <c r="Q19198" s="7" t="str">
        <f>HYPERLINK("#Liste_rouge!A"&amp;_xlfn.XMATCH("NA",Liste_rouge!A:A,2,1),"NA")</f>
        <v>NA</v>
      </c>
      <c r="T19198" s="7" t="str">
        <f>HYPERLINK("#Liste_rouge!A"&amp;_xlfn.XMATCH("NA",Liste_rouge!A:A,2,1),"NA")</f>
        <v>NA</v>
      </c>
      <c r="V19198" s="7" t="str">
        <f>HYPERLINK("#Liste_rouge!A"&amp;_xlfn.XMATCH("NE",Liste_rouge!A:A,2,1),"NE")</f>
        <v>NE</v>
      </c>
      <c r="AH19198" s="4" t="str">
        <f>HYPERLINK("#Statut_biogéographique!A"&amp;_xlfn.XMATCH("I",Statut_biogéographique!A:A,2,1),"I")</f>
        <v>I</v>
      </c>
      <c r="AK19198" s="4" t="str">
        <f>HYPERLINK("#Réglementation!A"&amp;_xlfn.XMATCH("Ngib_ch_1",Réglementation!A:A,2,1),"Ngib_ch_1")</f>
        <v>Ngib_ch_1</v>
      </c>
      <c r="AL19198" s="5" t="str">
        <f>HYPERLINK("#Réglementation!A"&amp;_xlfn.XMATCH("FRnoEEEA",Réglementation!A:A,2,1),"FRnoEEEA")</f>
        <v>FRnoEEEA</v>
      </c>
      <c r="AM19198" s="4" t="s">
        <v>375</v>
      </c>
      <c r="AN19198" s="4" t="s">
        <v>375</v>
      </c>
      <c r="AO19198" s="4" t="s">
        <v>375</v>
      </c>
      <c r="AP19198" s="4" t="s">
        <v>376</v>
      </c>
      <c r="AR19198" s="4" t="s">
        <v>377</v>
      </c>
    </row>
    <row r="19199" spans="1:44" ht="30">
      <c r="A19199" s="4" t="s">
        <v>132</v>
      </c>
      <c r="B19199" s="4">
        <v>60811</v>
      </c>
      <c r="D19199" s="5" t="s">
        <v>23343</v>
      </c>
      <c r="E19199" s="6" t="str">
        <f>HYPERLINK("https://inpn.mnhn.fr/espece/cd_nom/60811","Phoca vitulina Linnaeus, 1758")</f>
        <v>Phoca vitulina Linnaeus, 1758</v>
      </c>
      <c r="F19199" s="5" t="s">
        <v>23344</v>
      </c>
      <c r="H19199" s="4" t="str">
        <f>HYPERLINK("#Réglementation!A"&amp;_xlfn.XMATCH("IBO2",Réglementation!A:A,2,1),"IBO2")</f>
        <v>IBO2</v>
      </c>
      <c r="I19199" s="4" t="str">
        <f>HYPERLINK("#Réglementation!A"&amp;_xlfn.XMATCH("IBE3",Réglementation!A:A,2,1),"IBE3")</f>
        <v>IBE3</v>
      </c>
      <c r="K19199" s="4" t="str">
        <f>HYPERLINK("#Réglementation!A"&amp;_xlfn.XMATCH("CDH2",Réglementation!A:A,2,1),"CDH2 - CDH5")</f>
        <v>CDH2 - CDH5</v>
      </c>
      <c r="L19199" s="4" t="str">
        <f>HYPERLINK("#Réglementation!A"&amp;_xlfn.XMATCH("NMAMmar3",Réglementation!A:A,2,1),"NMAMmar3 - NMAMmar5 - NM")</f>
        <v>NMAMmar3 - NMAMmar5 - NM</v>
      </c>
      <c r="O19199" s="7" t="str">
        <f>HYPERLINK("#Liste_rouge!A"&amp;_xlfn.XMATCH("LC",Liste_rouge!A:A,2,1),"LC")</f>
        <v>LC</v>
      </c>
      <c r="P19199" s="7" t="str">
        <f>HYPERLINK("#Liste_rouge!A"&amp;_xlfn.XMATCH("LC",Liste_rouge!A:A,2,1),"LC")</f>
        <v>LC</v>
      </c>
      <c r="Q19199" s="7" t="str">
        <f>HYPERLINK("#Liste_rouge!A"&amp;_xlfn.XMATCH("NT",Liste_rouge!A:A,2,1),"NT")</f>
        <v>NT</v>
      </c>
      <c r="T19199" s="7" t="str">
        <f>HYPERLINK("#Liste_rouge!A"&amp;_xlfn.XMATCH("NA",Liste_rouge!A:A,2,1),"NA")</f>
        <v>NA</v>
      </c>
      <c r="AE19199" s="4" t="str">
        <f>HYPERLINK("#SCAP!A"&amp;_xlfn.XMATCH("2+",SCAP!A:A,2,1),"2+")</f>
        <v>2+</v>
      </c>
      <c r="AH19199" s="4" t="str">
        <f>HYPERLINK("#Statut_biogéographique!A"&amp;_xlfn.XMATCH("P",Statut_biogéographique!A:A,2,1),"P")</f>
        <v>P</v>
      </c>
      <c r="AM19199" s="4" t="s">
        <v>375</v>
      </c>
      <c r="AN19199" s="4" t="s">
        <v>375</v>
      </c>
      <c r="AO19199" s="4" t="s">
        <v>375</v>
      </c>
      <c r="AP19199" s="4" t="s">
        <v>376</v>
      </c>
      <c r="AQ19199" s="4" t="s">
        <v>377</v>
      </c>
      <c r="AR19199" s="4" t="s">
        <v>377</v>
      </c>
    </row>
    <row r="19200" spans="1:44">
      <c r="A19200" s="4" t="s">
        <v>132</v>
      </c>
      <c r="B19200" s="4">
        <v>60822</v>
      </c>
      <c r="D19200" s="5" t="s">
        <v>23345</v>
      </c>
      <c r="E19200" s="6" t="str">
        <f>HYPERLINK("https://inpn.mnhn.fr/espece/cd_nom/60822","Procyon lotor (Linnaeus, 1758)")</f>
        <v>Procyon lotor (Linnaeus, 1758)</v>
      </c>
      <c r="F19200" s="5" t="s">
        <v>23346</v>
      </c>
      <c r="O19200" s="7" t="str">
        <f>HYPERLINK("#Liste_rouge!A"&amp;_xlfn.XMATCH("LC",Liste_rouge!A:A,2,1),"LC")</f>
        <v>LC</v>
      </c>
      <c r="Q19200" s="7" t="str">
        <f>HYPERLINK("#Liste_rouge!A"&amp;_xlfn.XMATCH("NA",Liste_rouge!A:A,2,1),"NA")</f>
        <v>NA</v>
      </c>
      <c r="T19200" s="7" t="str">
        <f>HYPERLINK("#Liste_rouge!A"&amp;_xlfn.XMATCH("NA",Liste_rouge!A:A,2,1),"NA")</f>
        <v>NA</v>
      </c>
      <c r="V19200" s="7" t="str">
        <f>HYPERLINK("#Liste_rouge!A"&amp;_xlfn.XMATCH("NE",Liste_rouge!A:A,2,1),"NE")</f>
        <v>NE</v>
      </c>
      <c r="AH19200" s="4" t="str">
        <f>HYPERLINK("#Statut_biogéographique!A"&amp;_xlfn.XMATCH("J",Statut_biogéographique!A:A,2,1),"J")</f>
        <v>J</v>
      </c>
      <c r="AK19200" s="4" t="str">
        <f>HYPERLINK("#Réglementation!A"&amp;_xlfn.XMATCH("Ngib_ch_1",Réglementation!A:A,2,1),"Ngib_ch_1")</f>
        <v>Ngib_ch_1</v>
      </c>
      <c r="AL19200" s="5" t="str">
        <f>HYPERLINK("#Réglementation!A"&amp;_xlfn.XMATCH("FRnoEEEA2",Réglementation!A:A,2,1),"FRnoEEEA2 - EEEUE")</f>
        <v>FRnoEEEA2 - EEEUE</v>
      </c>
      <c r="AM19200" s="4" t="s">
        <v>375</v>
      </c>
      <c r="AN19200" s="4" t="s">
        <v>375</v>
      </c>
      <c r="AO19200" s="4" t="s">
        <v>375</v>
      </c>
      <c r="AP19200" s="4" t="s">
        <v>376</v>
      </c>
      <c r="AR19200" s="4" t="s">
        <v>377</v>
      </c>
    </row>
    <row r="19201" spans="1:44">
      <c r="A19201" s="4" t="s">
        <v>132</v>
      </c>
      <c r="B19201" s="4">
        <v>60831</v>
      </c>
      <c r="D19201" s="5" t="s">
        <v>23347</v>
      </c>
      <c r="E19201" s="6" t="str">
        <f>HYPERLINK("https://inpn.mnhn.fr/espece/cd_nom/60831","Genetta genetta (Linnaeus, 1758)")</f>
        <v>Genetta genetta (Linnaeus, 1758)</v>
      </c>
      <c r="F19201" s="5" t="s">
        <v>23348</v>
      </c>
      <c r="I19201" s="4" t="str">
        <f>HYPERLINK("#Réglementation!A"&amp;_xlfn.XMATCH("IBE3",Réglementation!A:A,2,1),"IBE3")</f>
        <v>IBE3</v>
      </c>
      <c r="K19201" s="4" t="str">
        <f>HYPERLINK("#Réglementation!A"&amp;_xlfn.XMATCH("CDH5",Réglementation!A:A,2,1),"CDH5")</f>
        <v>CDH5</v>
      </c>
      <c r="L19201" s="4" t="str">
        <f>HYPERLINK("#Réglementation!A"&amp;_xlfn.XMATCH("NM2",Réglementation!A:A,2,1),"NM2")</f>
        <v>NM2</v>
      </c>
      <c r="O19201" s="7" t="str">
        <f>HYPERLINK("#Liste_rouge!A"&amp;_xlfn.XMATCH("LC",Liste_rouge!A:A,2,1),"LC")</f>
        <v>LC</v>
      </c>
      <c r="P19201" s="7" t="str">
        <f>HYPERLINK("#Liste_rouge!A"&amp;_xlfn.XMATCH("LC",Liste_rouge!A:A,2,1),"LC")</f>
        <v>LC</v>
      </c>
      <c r="Q19201" s="7" t="str">
        <f>HYPERLINK("#Liste_rouge!A"&amp;_xlfn.XMATCH("LC",Liste_rouge!A:A,2,1),"LC")</f>
        <v>LC</v>
      </c>
      <c r="T19201" s="7" t="str">
        <f>HYPERLINK("#Liste_rouge!A"&amp;_xlfn.XMATCH("DD",Liste_rouge!A:A,2,1),"DD")</f>
        <v>DD</v>
      </c>
      <c r="V19201" s="7" t="str">
        <f>HYPERLINK("#Liste_rouge!A"&amp;_xlfn.XMATCH("NE",Liste_rouge!A:A,2,1),"NE")</f>
        <v>NE</v>
      </c>
      <c r="AH19201" s="4" t="str">
        <f>HYPERLINK("#Statut_biogéographique!A"&amp;_xlfn.XMATCH("I",Statut_biogéographique!A:A,2,1),"I")</f>
        <v>I</v>
      </c>
      <c r="AM19201" s="4" t="s">
        <v>375</v>
      </c>
      <c r="AN19201" s="4" t="s">
        <v>375</v>
      </c>
      <c r="AO19201" s="4" t="s">
        <v>375</v>
      </c>
      <c r="AP19201" s="4" t="s">
        <v>376</v>
      </c>
      <c r="AR19201" s="4" t="s">
        <v>377</v>
      </c>
    </row>
    <row r="19202" spans="1:44" ht="30">
      <c r="A19202" s="4" t="s">
        <v>132</v>
      </c>
      <c r="B19202" s="4">
        <v>60981</v>
      </c>
      <c r="D19202" s="5" t="s">
        <v>23349</v>
      </c>
      <c r="E19202" s="6" t="str">
        <f>HYPERLINK("https://inpn.mnhn.fr/espece/cd_nom/60981","Sus scrofa Linnaeus, 1758")</f>
        <v>Sus scrofa Linnaeus, 1758</v>
      </c>
      <c r="F19202" s="5" t="s">
        <v>23350</v>
      </c>
      <c r="O19202" s="7" t="str">
        <f>HYPERLINK("#Liste_rouge!A"&amp;_xlfn.XMATCH("LC",Liste_rouge!A:A,2,1),"LC")</f>
        <v>LC</v>
      </c>
      <c r="P19202" s="7" t="str">
        <f>HYPERLINK("#Liste_rouge!A"&amp;_xlfn.XMATCH("LC",Liste_rouge!A:A,2,1),"LC")</f>
        <v>LC</v>
      </c>
      <c r="Q19202" s="7" t="str">
        <f>HYPERLINK("#Liste_rouge!A"&amp;_xlfn.XMATCH("LC",Liste_rouge!A:A,2,1),"LC")</f>
        <v>LC</v>
      </c>
      <c r="T19202" s="7" t="str">
        <f>HYPERLINK("#Liste_rouge!A"&amp;_xlfn.XMATCH("LC",Liste_rouge!A:A,2,1),"LC")</f>
        <v>LC</v>
      </c>
      <c r="V19202" s="7" t="str">
        <f>HYPERLINK("#Liste_rouge!A"&amp;_xlfn.XMATCH("LC",Liste_rouge!A:A,2,1),"LC")</f>
        <v>LC</v>
      </c>
      <c r="AH19202" s="4" t="str">
        <f>HYPERLINK("#Statut_biogéographique!A"&amp;_xlfn.XMATCH("P",Statut_biogéographique!A:A,2,1),"P")</f>
        <v>P</v>
      </c>
      <c r="AK19202" s="4" t="str">
        <f>HYPERLINK("#Réglementation!A"&amp;_xlfn.XMATCH("Ngib_ch_1",Réglementation!A:A,2,1),"Ngib_ch_1")</f>
        <v>Ngib_ch_1</v>
      </c>
      <c r="AM19202" s="4" t="s">
        <v>375</v>
      </c>
      <c r="AN19202" s="4" t="s">
        <v>375</v>
      </c>
      <c r="AO19202" s="4" t="s">
        <v>375</v>
      </c>
      <c r="AP19202" s="4" t="s">
        <v>376</v>
      </c>
      <c r="AR19202" s="4" t="s">
        <v>377</v>
      </c>
    </row>
    <row r="19203" spans="1:44" ht="60">
      <c r="A19203" s="4" t="s">
        <v>132</v>
      </c>
      <c r="B19203" s="4">
        <v>61000</v>
      </c>
      <c r="D19203" s="5" t="s">
        <v>23351</v>
      </c>
      <c r="E19203" s="6" t="str">
        <f>HYPERLINK("https://inpn.mnhn.fr/espece/cd_nom/61000","Cervus elaphus Linnaeus, 1758")</f>
        <v>Cervus elaphus Linnaeus, 1758</v>
      </c>
      <c r="F19203" s="5" t="s">
        <v>23352</v>
      </c>
      <c r="I19203" s="4" t="str">
        <f>HYPERLINK("#Réglementation!A"&amp;_xlfn.XMATCH("IBE3",Réglementation!A:A,2,1),"IBE3")</f>
        <v>IBE3</v>
      </c>
      <c r="Q19203" s="7" t="str">
        <f>HYPERLINK("#Liste_rouge!A"&amp;_xlfn.XMATCH("LC",Liste_rouge!A:A,2,1),"LC")</f>
        <v>LC</v>
      </c>
      <c r="T19203" s="7" t="str">
        <f>HYPERLINK("#Liste_rouge!A"&amp;_xlfn.XMATCH("LC",Liste_rouge!A:A,2,1),"LC")</f>
        <v>LC</v>
      </c>
      <c r="V19203" s="7" t="str">
        <f>HYPERLINK("#Liste_rouge!A"&amp;_xlfn.XMATCH("LC",Liste_rouge!A:A,2,1),"LC")</f>
        <v>LC</v>
      </c>
      <c r="AH19203" s="4" t="str">
        <f>HYPERLINK("#Statut_biogéographique!A"&amp;_xlfn.XMATCH("P",Statut_biogéographique!A:A,2,1),"P")</f>
        <v>P</v>
      </c>
      <c r="AK19203" s="4" t="str">
        <f>HYPERLINK("#Réglementation!A"&amp;_xlfn.XMATCH("Ngib_ch_1",Réglementation!A:A,2,1),"Ngib_ch_1")</f>
        <v>Ngib_ch_1</v>
      </c>
      <c r="AM19203" s="4" t="s">
        <v>375</v>
      </c>
      <c r="AN19203" s="4" t="s">
        <v>375</v>
      </c>
      <c r="AO19203" s="4" t="s">
        <v>382</v>
      </c>
      <c r="AP19203" s="4" t="s">
        <v>376</v>
      </c>
      <c r="AR19203" s="4" t="s">
        <v>377</v>
      </c>
    </row>
    <row r="19204" spans="1:44">
      <c r="A19204" s="4" t="s">
        <v>132</v>
      </c>
      <c r="B19204" s="4">
        <v>61025</v>
      </c>
      <c r="D19204" s="5">
        <v>61025</v>
      </c>
      <c r="E19204" s="6" t="str">
        <f>HYPERLINK("https://inpn.mnhn.fr/espece/cd_nom/61025","Cervus nippon Temminck, 1838")</f>
        <v>Cervus nippon Temminck, 1838</v>
      </c>
      <c r="F19204" s="5" t="s">
        <v>23353</v>
      </c>
      <c r="I19204" s="4" t="str">
        <f>HYPERLINK("#Réglementation!A"&amp;_xlfn.XMATCH("IBE3",Réglementation!A:A,2,1),"IBE3")</f>
        <v>IBE3</v>
      </c>
      <c r="O19204" s="7" t="str">
        <f>HYPERLINK("#Liste_rouge!A"&amp;_xlfn.XMATCH("LC",Liste_rouge!A:A,2,1),"LC")</f>
        <v>LC</v>
      </c>
      <c r="Q19204" s="7" t="str">
        <f>HYPERLINK("#Liste_rouge!A"&amp;_xlfn.XMATCH("NA",Liste_rouge!A:A,2,1),"NA")</f>
        <v>NA</v>
      </c>
      <c r="T19204" s="7" t="str">
        <f>HYPERLINK("#Liste_rouge!A"&amp;_xlfn.XMATCH("NA",Liste_rouge!A:A,2,1),"NA")</f>
        <v>NA</v>
      </c>
      <c r="V19204" s="7" t="str">
        <f>HYPERLINK("#Liste_rouge!A"&amp;_xlfn.XMATCH("NE",Liste_rouge!A:A,2,1),"NE")</f>
        <v>NE</v>
      </c>
      <c r="AH19204" s="4" t="str">
        <f>HYPERLINK("#Statut_biogéographique!A"&amp;_xlfn.XMATCH("I",Statut_biogéographique!A:A,2,1),"I")</f>
        <v>I</v>
      </c>
      <c r="AK19204" s="4" t="str">
        <f>HYPERLINK("#Réglementation!A"&amp;_xlfn.XMATCH("Ngib_ch_1",Réglementation!A:A,2,1),"Ngib_ch_1")</f>
        <v>Ngib_ch_1</v>
      </c>
      <c r="AL19204" s="5" t="str">
        <f>HYPERLINK("#Réglementation!A"&amp;_xlfn.XMATCH("FRnoEEEA",Réglementation!A:A,2,1),"FRnoEEEA")</f>
        <v>FRnoEEEA</v>
      </c>
      <c r="AM19204" s="4" t="s">
        <v>375</v>
      </c>
      <c r="AN19204" s="4" t="s">
        <v>375</v>
      </c>
      <c r="AO19204" s="4" t="s">
        <v>375</v>
      </c>
      <c r="AP19204" s="4" t="s">
        <v>376</v>
      </c>
      <c r="AR19204" s="4" t="s">
        <v>377</v>
      </c>
    </row>
    <row r="19205" spans="1:44" ht="30">
      <c r="A19205" s="4" t="s">
        <v>132</v>
      </c>
      <c r="B19205" s="4">
        <v>61028</v>
      </c>
      <c r="D19205" s="5" t="s">
        <v>23354</v>
      </c>
      <c r="E19205" s="6" t="str">
        <f>HYPERLINK("https://inpn.mnhn.fr/espece/cd_nom/61028","Dama dama (Linnaeus, 1758)")</f>
        <v>Dama dama (Linnaeus, 1758)</v>
      </c>
      <c r="F19205" s="5" t="s">
        <v>23355</v>
      </c>
      <c r="I19205" s="4" t="str">
        <f>HYPERLINK("#Réglementation!A"&amp;_xlfn.XMATCH("IBE3",Réglementation!A:A,2,1),"IBE3")</f>
        <v>IBE3</v>
      </c>
      <c r="O19205" s="7" t="str">
        <f>HYPERLINK("#Liste_rouge!A"&amp;_xlfn.XMATCH("LC",Liste_rouge!A:A,2,1),"LC")</f>
        <v>LC</v>
      </c>
      <c r="P19205" s="7" t="str">
        <f>HYPERLINK("#Liste_rouge!A"&amp;_xlfn.XMATCH("LC",Liste_rouge!A:A,2,1),"LC")</f>
        <v>LC</v>
      </c>
      <c r="Q19205" s="7" t="str">
        <f>HYPERLINK("#Liste_rouge!A"&amp;_xlfn.XMATCH("NA",Liste_rouge!A:A,2,1),"NA")</f>
        <v>NA</v>
      </c>
      <c r="T19205" s="7" t="str">
        <f>HYPERLINK("#Liste_rouge!A"&amp;_xlfn.XMATCH("NA",Liste_rouge!A:A,2,1),"NA")</f>
        <v>NA</v>
      </c>
      <c r="V19205" s="7" t="str">
        <f>HYPERLINK("#Liste_rouge!A"&amp;_xlfn.XMATCH("NE",Liste_rouge!A:A,2,1),"NE")</f>
        <v>NE</v>
      </c>
      <c r="AH19205" s="4" t="str">
        <f>HYPERLINK("#Statut_biogéographique!A"&amp;_xlfn.XMATCH("I",Statut_biogéographique!A:A,2,1),"I")</f>
        <v>I</v>
      </c>
      <c r="AK19205" s="4" t="str">
        <f>HYPERLINK("#Réglementation!A"&amp;_xlfn.XMATCH("Ngib_ch_1",Réglementation!A:A,2,1),"Ngib_ch_1")</f>
        <v>Ngib_ch_1</v>
      </c>
      <c r="AM19205" s="4" t="s">
        <v>375</v>
      </c>
      <c r="AN19205" s="4" t="s">
        <v>375</v>
      </c>
      <c r="AO19205" s="4" t="s">
        <v>375</v>
      </c>
      <c r="AP19205" s="4" t="s">
        <v>376</v>
      </c>
      <c r="AR19205" s="4" t="s">
        <v>377</v>
      </c>
    </row>
    <row r="19206" spans="1:44" ht="30">
      <c r="A19206" s="4" t="s">
        <v>132</v>
      </c>
      <c r="B19206" s="4">
        <v>61057</v>
      </c>
      <c r="D19206" s="5" t="s">
        <v>23356</v>
      </c>
      <c r="E19206" s="6" t="str">
        <f>HYPERLINK("https://inpn.mnhn.fr/espece/cd_nom/61057","Capreolus capreolus (Linnaeus, 1758)")</f>
        <v>Capreolus capreolus (Linnaeus, 1758)</v>
      </c>
      <c r="F19206" s="5" t="s">
        <v>23357</v>
      </c>
      <c r="I19206" s="4" t="str">
        <f>HYPERLINK("#Réglementation!A"&amp;_xlfn.XMATCH("IBE3",Réglementation!A:A,2,1),"IBE3")</f>
        <v>IBE3</v>
      </c>
      <c r="O19206" s="7" t="str">
        <f>HYPERLINK("#Liste_rouge!A"&amp;_xlfn.XMATCH("LC",Liste_rouge!A:A,2,1),"LC")</f>
        <v>LC</v>
      </c>
      <c r="P19206" s="7" t="str">
        <f>HYPERLINK("#Liste_rouge!A"&amp;_xlfn.XMATCH("LC",Liste_rouge!A:A,2,1),"LC")</f>
        <v>LC</v>
      </c>
      <c r="Q19206" s="7" t="str">
        <f>HYPERLINK("#Liste_rouge!A"&amp;_xlfn.XMATCH("LC",Liste_rouge!A:A,2,1),"LC")</f>
        <v>LC</v>
      </c>
      <c r="T19206" s="7" t="str">
        <f>HYPERLINK("#Liste_rouge!A"&amp;_xlfn.XMATCH("LC",Liste_rouge!A:A,2,1),"LC")</f>
        <v>LC</v>
      </c>
      <c r="V19206" s="7" t="str">
        <f>HYPERLINK("#Liste_rouge!A"&amp;_xlfn.XMATCH("LC",Liste_rouge!A:A,2,1),"LC")</f>
        <v>LC</v>
      </c>
      <c r="AH19206" s="4" t="str">
        <f>HYPERLINK("#Statut_biogéographique!A"&amp;_xlfn.XMATCH("P",Statut_biogéographique!A:A,2,1),"P")</f>
        <v>P</v>
      </c>
      <c r="AK19206" s="4" t="str">
        <f>HYPERLINK("#Réglementation!A"&amp;_xlfn.XMATCH("Ngib_ch_1",Réglementation!A:A,2,1),"Ngib_ch_1")</f>
        <v>Ngib_ch_1</v>
      </c>
      <c r="AM19206" s="4" t="s">
        <v>375</v>
      </c>
      <c r="AN19206" s="4" t="s">
        <v>375</v>
      </c>
      <c r="AO19206" s="4" t="s">
        <v>375</v>
      </c>
      <c r="AP19206" s="4" t="s">
        <v>376</v>
      </c>
      <c r="AR19206" s="4" t="s">
        <v>377</v>
      </c>
    </row>
    <row r="19207" spans="1:44">
      <c r="A19207" s="4" t="s">
        <v>132</v>
      </c>
      <c r="B19207" s="4">
        <v>61064</v>
      </c>
      <c r="D19207" s="5" t="s">
        <v>23358</v>
      </c>
      <c r="E19207" s="6" t="str">
        <f>HYPERLINK("https://inpn.mnhn.fr/espece/cd_nom/61064","Rangifer tarandus (Linnaeus, 1758)")</f>
        <v>Rangifer tarandus (Linnaeus, 1758)</v>
      </c>
      <c r="F19207" s="5" t="s">
        <v>23359</v>
      </c>
      <c r="I19207" s="4" t="str">
        <f>HYPERLINK("#Réglementation!A"&amp;_xlfn.XMATCH("IBE3",Réglementation!A:A,2,1),"IBE3")</f>
        <v>IBE3</v>
      </c>
      <c r="O19207" s="7" t="str">
        <f>HYPERLINK("#Liste_rouge!A"&amp;_xlfn.XMATCH("VU",Liste_rouge!A:A,2,1),"VU")</f>
        <v>VU</v>
      </c>
      <c r="P19207" s="7" t="str">
        <f>HYPERLINK("#Liste_rouge!A"&amp;_xlfn.XMATCH("LC",Liste_rouge!A:A,2,1),"LC")</f>
        <v>LC</v>
      </c>
      <c r="AH19207" s="4" t="str">
        <f>HYPERLINK("#Statut_biogéographique!A"&amp;_xlfn.XMATCH("W",Statut_biogéographique!A:A,2,1),"W")</f>
        <v>W</v>
      </c>
      <c r="AP19207" s="4" t="s">
        <v>376</v>
      </c>
      <c r="AR19207" s="4" t="s">
        <v>377</v>
      </c>
    </row>
    <row r="19208" spans="1:44">
      <c r="A19208" s="4" t="s">
        <v>132</v>
      </c>
      <c r="B19208" s="4">
        <v>61119</v>
      </c>
      <c r="D19208" s="5" t="s">
        <v>23360</v>
      </c>
      <c r="E19208" s="6" t="str">
        <f>HYPERLINK("https://inpn.mnhn.fr/espece/cd_nom/61119","Rupicapra rupicapra (Linnaeus, 1758)")</f>
        <v>Rupicapra rupicapra (Linnaeus, 1758)</v>
      </c>
      <c r="F19208" s="5" t="s">
        <v>23361</v>
      </c>
      <c r="I19208" s="4" t="str">
        <f>HYPERLINK("#Réglementation!A"&amp;_xlfn.XMATCH("IBE3",Réglementation!A:A,2,1),"IBE3")</f>
        <v>IBE3</v>
      </c>
      <c r="K19208" s="4" t="str">
        <f>HYPERLINK("#Réglementation!A"&amp;_xlfn.XMATCH("CDH5",Réglementation!A:A,2,1),"CDH5")</f>
        <v>CDH5</v>
      </c>
      <c r="O19208" s="7" t="str">
        <f>HYPERLINK("#Liste_rouge!A"&amp;_xlfn.XMATCH("LC",Liste_rouge!A:A,2,1),"LC")</f>
        <v>LC</v>
      </c>
      <c r="P19208" s="7" t="str">
        <f>HYPERLINK("#Liste_rouge!A"&amp;_xlfn.XMATCH("LC",Liste_rouge!A:A,2,1),"LC")</f>
        <v>LC</v>
      </c>
      <c r="Q19208" s="7" t="str">
        <f>HYPERLINK("#Liste_rouge!A"&amp;_xlfn.XMATCH("LC",Liste_rouge!A:A,2,1),"LC")</f>
        <v>LC</v>
      </c>
      <c r="T19208" s="7" t="str">
        <f>HYPERLINK("#Liste_rouge!A"&amp;_xlfn.XMATCH("NA",Liste_rouge!A:A,2,1),"NA")</f>
        <v>NA</v>
      </c>
      <c r="V19208" s="7" t="str">
        <f>HYPERLINK("#Liste_rouge!A"&amp;_xlfn.XMATCH("LC",Liste_rouge!A:A,2,1),"LC")</f>
        <v>LC</v>
      </c>
      <c r="AH19208" s="4" t="str">
        <f>HYPERLINK("#Statut_biogéographique!A"&amp;_xlfn.XMATCH("P",Statut_biogéographique!A:A,2,1),"P")</f>
        <v>P</v>
      </c>
      <c r="AK19208" s="4" t="str">
        <f>HYPERLINK("#Réglementation!A"&amp;_xlfn.XMATCH("Ngib_ch_1",Réglementation!A:A,2,1),"Ngib_ch_1")</f>
        <v>Ngib_ch_1</v>
      </c>
      <c r="AM19208" s="4" t="s">
        <v>375</v>
      </c>
      <c r="AN19208" s="4" t="s">
        <v>375</v>
      </c>
      <c r="AO19208" s="4" t="s">
        <v>375</v>
      </c>
      <c r="AP19208" s="4" t="s">
        <v>376</v>
      </c>
      <c r="AR19208" s="4" t="s">
        <v>377</v>
      </c>
    </row>
    <row r="19209" spans="1:44">
      <c r="A19209" s="4" t="s">
        <v>132</v>
      </c>
      <c r="B19209" s="4">
        <v>61143</v>
      </c>
      <c r="D19209" s="5" t="s">
        <v>23362</v>
      </c>
      <c r="E19209" s="6" t="str">
        <f>HYPERLINK("https://inpn.mnhn.fr/espece/cd_nom/61143","Marmota marmota (Linnaeus, 1758)")</f>
        <v>Marmota marmota (Linnaeus, 1758)</v>
      </c>
      <c r="F19209" s="5" t="s">
        <v>23363</v>
      </c>
      <c r="I19209" s="4" t="str">
        <f>HYPERLINK("#Réglementation!A"&amp;_xlfn.XMATCH("IBE3",Réglementation!A:A,2,1),"IBE3")</f>
        <v>IBE3</v>
      </c>
      <c r="O19209" s="7" t="str">
        <f>HYPERLINK("#Liste_rouge!A"&amp;_xlfn.XMATCH("LC",Liste_rouge!A:A,2,1),"LC")</f>
        <v>LC</v>
      </c>
      <c r="P19209" s="7" t="str">
        <f>HYPERLINK("#Liste_rouge!A"&amp;_xlfn.XMATCH("LC",Liste_rouge!A:A,2,1),"LC")</f>
        <v>LC</v>
      </c>
      <c r="Q19209" s="7" t="str">
        <f>HYPERLINK("#Liste_rouge!A"&amp;_xlfn.XMATCH("LC",Liste_rouge!A:A,2,1),"LC")</f>
        <v>LC</v>
      </c>
      <c r="V19209" s="7" t="str">
        <f>HYPERLINK("#Liste_rouge!A"&amp;_xlfn.XMATCH("NE",Liste_rouge!A:A,2,1),"NE")</f>
        <v>NE</v>
      </c>
      <c r="AE19209" s="4" t="str">
        <f>HYPERLINK("#SCAP!A"&amp;_xlfn.XMATCH("3",SCAP!A:A,2,1),"3")</f>
        <v>3</v>
      </c>
      <c r="AH19209" s="4" t="str">
        <f>HYPERLINK("#Statut_biogéographique!A"&amp;_xlfn.XMATCH("P",Statut_biogéographique!A:A,2,1),"P")</f>
        <v>P</v>
      </c>
      <c r="AK19209" s="4" t="str">
        <f>HYPERLINK("#Réglementation!A"&amp;_xlfn.XMATCH("Ngib_ch_1",Réglementation!A:A,2,1),"Ngib_ch_1")</f>
        <v>Ngib_ch_1</v>
      </c>
      <c r="AM19209" s="4" t="s">
        <v>375</v>
      </c>
      <c r="AN19209" s="4" t="s">
        <v>375</v>
      </c>
      <c r="AO19209" s="4" t="s">
        <v>375</v>
      </c>
      <c r="AP19209" s="4" t="s">
        <v>376</v>
      </c>
      <c r="AR19209" s="4" t="s">
        <v>377</v>
      </c>
    </row>
    <row r="19210" spans="1:44" ht="45">
      <c r="A19210" s="4" t="s">
        <v>132</v>
      </c>
      <c r="B19210" s="4">
        <v>61153</v>
      </c>
      <c r="D19210" s="5" t="s">
        <v>23364</v>
      </c>
      <c r="E19210" s="6" t="str">
        <f>HYPERLINK("https://inpn.mnhn.fr/espece/cd_nom/61153","Sciurus vulgaris Linnaeus, 1758")</f>
        <v>Sciurus vulgaris Linnaeus, 1758</v>
      </c>
      <c r="F19210" s="5" t="s">
        <v>23365</v>
      </c>
      <c r="I19210" s="4" t="str">
        <f>HYPERLINK("#Réglementation!A"&amp;_xlfn.XMATCH("IBE3",Réglementation!A:A,2,1),"IBE3")</f>
        <v>IBE3</v>
      </c>
      <c r="L19210" s="4" t="str">
        <f>HYPERLINK("#Réglementation!A"&amp;_xlfn.XMATCH("NM2",Réglementation!A:A,2,1),"NM2")</f>
        <v>NM2</v>
      </c>
      <c r="O19210" s="7" t="str">
        <f>HYPERLINK("#Liste_rouge!A"&amp;_xlfn.XMATCH("LC",Liste_rouge!A:A,2,1),"LC")</f>
        <v>LC</v>
      </c>
      <c r="P19210" s="7" t="str">
        <f>HYPERLINK("#Liste_rouge!A"&amp;_xlfn.XMATCH("LC",Liste_rouge!A:A,2,1),"LC")</f>
        <v>LC</v>
      </c>
      <c r="Q19210" s="7" t="str">
        <f>HYPERLINK("#Liste_rouge!A"&amp;_xlfn.XMATCH("LC",Liste_rouge!A:A,2,1),"LC")</f>
        <v>LC</v>
      </c>
      <c r="T19210" s="7" t="str">
        <f>HYPERLINK("#Liste_rouge!A"&amp;_xlfn.XMATCH("LC",Liste_rouge!A:A,2,1),"LC")</f>
        <v>LC</v>
      </c>
      <c r="V19210" s="7" t="str">
        <f>HYPERLINK("#Liste_rouge!A"&amp;_xlfn.XMATCH("LC",Liste_rouge!A:A,2,1),"LC")</f>
        <v>LC</v>
      </c>
      <c r="AH19210" s="4" t="str">
        <f>HYPERLINK("#Statut_biogéographique!A"&amp;_xlfn.XMATCH("P",Statut_biogéographique!A:A,2,1),"P")</f>
        <v>P</v>
      </c>
      <c r="AM19210" s="4" t="s">
        <v>375</v>
      </c>
      <c r="AN19210" s="4" t="s">
        <v>375</v>
      </c>
      <c r="AO19210" s="4" t="s">
        <v>375</v>
      </c>
      <c r="AP19210" s="4" t="s">
        <v>376</v>
      </c>
      <c r="AR19210" s="4" t="s">
        <v>377</v>
      </c>
    </row>
    <row r="19211" spans="1:44" ht="30">
      <c r="A19211" s="4" t="s">
        <v>132</v>
      </c>
      <c r="B19211" s="4">
        <v>61174</v>
      </c>
      <c r="D19211" s="5" t="s">
        <v>23366</v>
      </c>
      <c r="E19211" s="6" t="str">
        <f>HYPERLINK("https://inpn.mnhn.fr/espece/cd_nom/61174","Callosciurus erythraeus (Pallas, 1779)")</f>
        <v>Callosciurus erythraeus (Pallas, 1779)</v>
      </c>
      <c r="F19211" s="5" t="s">
        <v>23367</v>
      </c>
      <c r="O19211" s="7" t="str">
        <f>HYPERLINK("#Liste_rouge!A"&amp;_xlfn.XMATCH("LC",Liste_rouge!A:A,2,1),"LC")</f>
        <v>LC</v>
      </c>
      <c r="Q19211" s="7" t="str">
        <f>HYPERLINK("#Liste_rouge!A"&amp;_xlfn.XMATCH("NA",Liste_rouge!A:A,2,1),"NA")</f>
        <v>NA</v>
      </c>
      <c r="AH19211" s="4" t="str">
        <f>HYPERLINK("#Statut_biogéographique!A"&amp;_xlfn.XMATCH("J",Statut_biogéographique!A:A,2,1),"J")</f>
        <v>J</v>
      </c>
      <c r="AL19211" s="5" t="str">
        <f>HYPERLINK("#Réglementation!A"&amp;_xlfn.XMATCH("FRnoEEEA",Réglementation!A:A,2,1),"FRnoEEEA - FRnoEEEA2 - EEEUE")</f>
        <v>FRnoEEEA - FRnoEEEA2 - EEEUE</v>
      </c>
      <c r="AP19211" s="4" t="s">
        <v>376</v>
      </c>
      <c r="AR19211" s="4" t="s">
        <v>377</v>
      </c>
    </row>
    <row r="19212" spans="1:44" ht="45">
      <c r="A19212" s="4" t="s">
        <v>132</v>
      </c>
      <c r="B19212" s="4">
        <v>61212</v>
      </c>
      <c r="D19212" s="5" t="s">
        <v>23368</v>
      </c>
      <c r="E19212" s="6" t="str">
        <f>HYPERLINK("https://inpn.mnhn.fr/espece/cd_nom/61212","Castor fiber Linnaeus, 1758")</f>
        <v>Castor fiber Linnaeus, 1758</v>
      </c>
      <c r="F19212" s="5" t="s">
        <v>23369</v>
      </c>
      <c r="I19212" s="4" t="str">
        <f>HYPERLINK("#Réglementation!A"&amp;_xlfn.XMATCH("IBE3",Réglementation!A:A,2,1),"IBE3")</f>
        <v>IBE3</v>
      </c>
      <c r="K19212" s="4" t="str">
        <f>HYPERLINK("#Réglementation!A"&amp;_xlfn.XMATCH("CDH2",Réglementation!A:A,2,1),"CDH2 - CDH4")</f>
        <v>CDH2 - CDH4</v>
      </c>
      <c r="L19212" s="4" t="str">
        <f>HYPERLINK("#Réglementation!A"&amp;_xlfn.XMATCH("NM2",Réglementation!A:A,2,1),"NM2")</f>
        <v>NM2</v>
      </c>
      <c r="O19212" s="7" t="str">
        <f>HYPERLINK("#Liste_rouge!A"&amp;_xlfn.XMATCH("LC",Liste_rouge!A:A,2,1),"LC")</f>
        <v>LC</v>
      </c>
      <c r="P19212" s="7" t="str">
        <f>HYPERLINK("#Liste_rouge!A"&amp;_xlfn.XMATCH("LC",Liste_rouge!A:A,2,1),"LC")</f>
        <v>LC</v>
      </c>
      <c r="Q19212" s="7" t="str">
        <f>HYPERLINK("#Liste_rouge!A"&amp;_xlfn.XMATCH("LC",Liste_rouge!A:A,2,1),"LC")</f>
        <v>LC</v>
      </c>
      <c r="T19212" s="7" t="str">
        <f>HYPERLINK("#Liste_rouge!A"&amp;_xlfn.XMATCH("NT",Liste_rouge!A:A,2,1),"NT")</f>
        <v>NT</v>
      </c>
      <c r="U19212" s="4" t="str">
        <f>HYPERLINK("#Critères_liste_rouge!A$1","pr. B2b(iii)")</f>
        <v>pr. B2b(iii)</v>
      </c>
      <c r="V19212" s="7" t="str">
        <f>HYPERLINK("#Liste_rouge!A"&amp;_xlfn.XMATCH("VU",Liste_rouge!A:A,2,1),"VU")</f>
        <v>VU</v>
      </c>
      <c r="X19212" s="5" t="s">
        <v>374</v>
      </c>
      <c r="AE19212" s="4" t="str">
        <f>HYPERLINK("#SCAP!A"&amp;_xlfn.XMATCH("1+",SCAP!A:A,2,1),"1+")</f>
        <v>1+</v>
      </c>
      <c r="AF19212" s="4" t="str">
        <f>HYPERLINK("#SCAP!A"&amp;_xlfn.XMATCH("3",SCAP!A:A,2,1),"3")</f>
        <v>3</v>
      </c>
      <c r="AG19212" s="4" t="str">
        <f>HYPERLINK("#SCAP!A"&amp;_xlfn.XMATCH("2+",SCAP!A:A,2,1),"2+")</f>
        <v>2+</v>
      </c>
      <c r="AH19212" s="4" t="str">
        <f>HYPERLINK("#Statut_biogéographique!A"&amp;_xlfn.XMATCH("P",Statut_biogéographique!A:A,2,1),"P")</f>
        <v>P</v>
      </c>
      <c r="AM19212" s="4" t="s">
        <v>375</v>
      </c>
      <c r="AN19212" s="4" t="s">
        <v>375</v>
      </c>
      <c r="AO19212" s="4" t="s">
        <v>375</v>
      </c>
      <c r="AP19212" s="4" t="s">
        <v>376</v>
      </c>
      <c r="AR19212" s="4" t="s">
        <v>377</v>
      </c>
    </row>
    <row r="19213" spans="1:44">
      <c r="A19213" s="4" t="s">
        <v>132</v>
      </c>
      <c r="B19213" s="4">
        <v>61258</v>
      </c>
      <c r="D19213" s="5">
        <v>61258</v>
      </c>
      <c r="E19213" s="6" t="str">
        <f>HYPERLINK("https://inpn.mnhn.fr/espece/cd_nom/61258","Arvicola sapidus Miller, 1908")</f>
        <v>Arvicola sapidus Miller, 1908</v>
      </c>
      <c r="F19213" s="5" t="s">
        <v>23370</v>
      </c>
      <c r="L19213" s="4" t="str">
        <f>HYPERLINK("#Réglementation!A"&amp;_xlfn.XMATCH("NM2",Réglementation!A:A,2,1),"NM2")</f>
        <v>NM2</v>
      </c>
      <c r="O19213" s="7" t="str">
        <f>HYPERLINK("#Liste_rouge!A"&amp;_xlfn.XMATCH("VU",Liste_rouge!A:A,2,1),"VU")</f>
        <v>VU</v>
      </c>
      <c r="P19213" s="7" t="str">
        <f>HYPERLINK("#Liste_rouge!A"&amp;_xlfn.XMATCH("VU",Liste_rouge!A:A,2,1),"VU")</f>
        <v>VU</v>
      </c>
      <c r="Q19213" s="7" t="str">
        <f>HYPERLINK("#Liste_rouge!A"&amp;_xlfn.XMATCH("NT",Liste_rouge!A:A,2,1),"NT")</f>
        <v>NT</v>
      </c>
      <c r="T19213" s="7" t="str">
        <f>HYPERLINK("#Liste_rouge!A"&amp;_xlfn.XMATCH("NT",Liste_rouge!A:A,2,1),"NT")</f>
        <v>NT</v>
      </c>
      <c r="U19213" s="4" t="str">
        <f>HYPERLINK("#Critères_liste_rouge!A$1","pr. B(1+2)b(iii)")</f>
        <v>pr. B(1+2)b(iii)</v>
      </c>
      <c r="V19213" s="7" t="str">
        <f>HYPERLINK("#Liste_rouge!A"&amp;_xlfn.XMATCH("RE",Liste_rouge!A:A,2,1),"RE")</f>
        <v>RE</v>
      </c>
      <c r="X19213" s="5" t="s">
        <v>374</v>
      </c>
      <c r="AE19213" s="4" t="str">
        <f>HYPERLINK("#SCAP!A"&amp;_xlfn.XMATCH("1+",SCAP!A:A,2,1),"1+")</f>
        <v>1+</v>
      </c>
      <c r="AF19213" s="4" t="str">
        <f>HYPERLINK("#SCAP!A"&amp;_xlfn.XMATCH("1-",SCAP!A:A,2,1),"1-")</f>
        <v>1-</v>
      </c>
      <c r="AH19213" s="4" t="str">
        <f>HYPERLINK("#Statut_biogéographique!A"&amp;_xlfn.XMATCH("P",Statut_biogéographique!A:A,2,1),"P")</f>
        <v>P</v>
      </c>
      <c r="AM19213" s="4" t="s">
        <v>375</v>
      </c>
      <c r="AN19213" s="4" t="s">
        <v>375</v>
      </c>
      <c r="AO19213" s="4" t="s">
        <v>375</v>
      </c>
      <c r="AP19213" s="4" t="s">
        <v>376</v>
      </c>
      <c r="AR19213" s="4" t="s">
        <v>377</v>
      </c>
    </row>
    <row r="19214" spans="1:44" ht="60">
      <c r="A19214" s="4" t="s">
        <v>132</v>
      </c>
      <c r="B19214" s="4">
        <v>61281</v>
      </c>
      <c r="D19214" s="5" t="s">
        <v>23371</v>
      </c>
      <c r="E19214" s="6" t="str">
        <f>HYPERLINK("https://inpn.mnhn.fr/espece/cd_nom/61281","Arvicola amphibius (Linnaeus, 1758)")</f>
        <v>Arvicola amphibius (Linnaeus, 1758)</v>
      </c>
      <c r="F19214" s="5" t="s">
        <v>23372</v>
      </c>
      <c r="O19214" s="7" t="str">
        <f>HYPERLINK("#Liste_rouge!A"&amp;_xlfn.XMATCH("LC",Liste_rouge!A:A,2,1),"LC")</f>
        <v>LC</v>
      </c>
      <c r="P19214" s="7" t="str">
        <f>HYPERLINK("#Liste_rouge!A"&amp;_xlfn.XMATCH("LC",Liste_rouge!A:A,2,1),"LC")</f>
        <v>LC</v>
      </c>
      <c r="Q19214" s="7" t="str">
        <f>HYPERLINK("#Liste_rouge!A"&amp;_xlfn.XMATCH("NT",Liste_rouge!A:A,2,1),"NT (cd_nom 61260) - LC (cd_nom 61275)")</f>
        <v>NT (cd_nom 61260) - LC (cd_nom 61275)</v>
      </c>
      <c r="T19214" s="7" t="str">
        <f>HYPERLINK("#Liste_rouge!A"&amp;_xlfn.XMATCH("LC",Liste_rouge!A:A,2,1),"LC")</f>
        <v>LC</v>
      </c>
      <c r="V19214" s="7" t="str">
        <f>HYPERLINK("#Liste_rouge!A"&amp;_xlfn.XMATCH("LC",Liste_rouge!A:A,2,1),"LC")</f>
        <v>LC</v>
      </c>
      <c r="X19214" s="5" t="s">
        <v>374</v>
      </c>
      <c r="AE19214" s="4" t="str">
        <f>HYPERLINK("#SCAP!A"&amp;_xlfn.XMATCH("1-",SCAP!A:A,2,1),"1-")</f>
        <v>1-</v>
      </c>
      <c r="AH19214" s="4" t="str">
        <f>HYPERLINK("#Statut_biogéographique!A"&amp;_xlfn.XMATCH("P",Statut_biogéographique!A:A,2,1),"P")</f>
        <v>P</v>
      </c>
      <c r="AM19214" s="4" t="s">
        <v>375</v>
      </c>
      <c r="AN19214" s="4" t="s">
        <v>375</v>
      </c>
      <c r="AO19214" s="4" t="s">
        <v>375</v>
      </c>
      <c r="AP19214" s="4" t="s">
        <v>376</v>
      </c>
      <c r="AR19214" s="4" t="s">
        <v>377</v>
      </c>
    </row>
    <row r="19215" spans="1:44" ht="90">
      <c r="A19215" s="4" t="s">
        <v>132</v>
      </c>
      <c r="B19215" s="4">
        <v>61290</v>
      </c>
      <c r="D19215" s="5" t="s">
        <v>23373</v>
      </c>
      <c r="E19215" s="6" t="str">
        <f>HYPERLINK("https://inpn.mnhn.fr/espece/cd_nom/61290","Clethrionomys glareolus (Schreber, 1780)")</f>
        <v>Clethrionomys glareolus (Schreber, 1780)</v>
      </c>
      <c r="F19215" s="5" t="s">
        <v>23374</v>
      </c>
      <c r="O19215" s="7" t="str">
        <f>HYPERLINK("#Liste_rouge!A"&amp;_xlfn.XMATCH("LC",Liste_rouge!A:A,2,1),"LC")</f>
        <v>LC</v>
      </c>
      <c r="P19215" s="7" t="str">
        <f>HYPERLINK("#Liste_rouge!A"&amp;_xlfn.XMATCH("LC",Liste_rouge!A:A,2,1),"LC")</f>
        <v>LC</v>
      </c>
      <c r="Q19215" s="7" t="str">
        <f>HYPERLINK("#Liste_rouge!A"&amp;_xlfn.XMATCH("LC",Liste_rouge!A:A,2,1),"LC")</f>
        <v>LC</v>
      </c>
      <c r="T19215" s="7" t="str">
        <f>HYPERLINK("#Liste_rouge!A"&amp;_xlfn.XMATCH("LC",Liste_rouge!A:A,2,1),"LC")</f>
        <v>LC</v>
      </c>
      <c r="V19215" s="7" t="str">
        <f>HYPERLINK("#Liste_rouge!A"&amp;_xlfn.XMATCH("LC",Liste_rouge!A:A,2,1),"LC")</f>
        <v>LC</v>
      </c>
      <c r="AH19215" s="4" t="str">
        <f>HYPERLINK("#Statut_biogéographique!A"&amp;_xlfn.XMATCH("P",Statut_biogéographique!A:A,2,1),"P")</f>
        <v>P</v>
      </c>
      <c r="AM19215" s="4" t="s">
        <v>375</v>
      </c>
      <c r="AN19215" s="4" t="s">
        <v>375</v>
      </c>
      <c r="AO19215" s="4" t="s">
        <v>375</v>
      </c>
      <c r="AP19215" s="4" t="s">
        <v>376</v>
      </c>
      <c r="AR19215" s="4" t="s">
        <v>377</v>
      </c>
    </row>
    <row r="19216" spans="1:44" ht="60">
      <c r="A19216" s="4" t="s">
        <v>132</v>
      </c>
      <c r="B19216" s="4">
        <v>61357</v>
      </c>
      <c r="D19216" s="5" t="s">
        <v>23375</v>
      </c>
      <c r="E19216" s="6" t="str">
        <f>HYPERLINK("https://inpn.mnhn.fr/espece/cd_nom/61357","Microtus agrestis (Linnaeus, 1761)")</f>
        <v>Microtus agrestis (Linnaeus, 1761)</v>
      </c>
      <c r="F19216" s="5" t="s">
        <v>23376</v>
      </c>
      <c r="O19216" s="7" t="str">
        <f>HYPERLINK("#Liste_rouge!A"&amp;_xlfn.XMATCH("LC",Liste_rouge!A:A,2,1),"LC")</f>
        <v>LC</v>
      </c>
      <c r="P19216" s="7" t="str">
        <f>HYPERLINK("#Liste_rouge!A"&amp;_xlfn.XMATCH("LC",Liste_rouge!A:A,2,1),"LC")</f>
        <v>LC</v>
      </c>
      <c r="Q19216" s="7" t="str">
        <f>HYPERLINK("#Liste_rouge!A"&amp;_xlfn.XMATCH("LC",Liste_rouge!A:A,2,1),"LC")</f>
        <v>LC</v>
      </c>
      <c r="T19216" s="7" t="str">
        <f>HYPERLINK("#Liste_rouge!A"&amp;_xlfn.XMATCH("LC",Liste_rouge!A:A,2,1),"LC")</f>
        <v>LC</v>
      </c>
      <c r="V19216" s="7" t="str">
        <f>HYPERLINK("#Liste_rouge!A"&amp;_xlfn.XMATCH("LC",Liste_rouge!A:A,2,1),"LC")</f>
        <v>LC</v>
      </c>
      <c r="AH19216" s="4" t="str">
        <f>HYPERLINK("#Statut_biogéographique!A"&amp;_xlfn.XMATCH("P",Statut_biogéographique!A:A,2,1),"P")</f>
        <v>P</v>
      </c>
      <c r="AM19216" s="4" t="s">
        <v>375</v>
      </c>
      <c r="AN19216" s="4" t="s">
        <v>375</v>
      </c>
      <c r="AO19216" s="4" t="s">
        <v>375</v>
      </c>
      <c r="AP19216" s="4" t="s">
        <v>376</v>
      </c>
      <c r="AR19216" s="4" t="s">
        <v>377</v>
      </c>
    </row>
    <row r="19217" spans="1:44" ht="30">
      <c r="A19217" s="4" t="s">
        <v>132</v>
      </c>
      <c r="B19217" s="4">
        <v>61379</v>
      </c>
      <c r="D19217" s="5" t="s">
        <v>23377</v>
      </c>
      <c r="E19217" s="6" t="str">
        <f>HYPERLINK("https://inpn.mnhn.fr/espece/cd_nom/61379","Microtus arvalis (Pallas, 1778)")</f>
        <v>Microtus arvalis (Pallas, 1778)</v>
      </c>
      <c r="F19217" s="5" t="s">
        <v>23378</v>
      </c>
      <c r="O19217" s="7" t="str">
        <f>HYPERLINK("#Liste_rouge!A"&amp;_xlfn.XMATCH("LC",Liste_rouge!A:A,2,1),"LC")</f>
        <v>LC</v>
      </c>
      <c r="P19217" s="7" t="str">
        <f>HYPERLINK("#Liste_rouge!A"&amp;_xlfn.XMATCH("LC",Liste_rouge!A:A,2,1),"LC")</f>
        <v>LC</v>
      </c>
      <c r="Q19217" s="7" t="str">
        <f>HYPERLINK("#Liste_rouge!A"&amp;_xlfn.XMATCH("LC",Liste_rouge!A:A,2,1),"LC")</f>
        <v>LC</v>
      </c>
      <c r="T19217" s="7" t="str">
        <f>HYPERLINK("#Liste_rouge!A"&amp;_xlfn.XMATCH("LC",Liste_rouge!A:A,2,1),"LC")</f>
        <v>LC</v>
      </c>
      <c r="V19217" s="7" t="str">
        <f>HYPERLINK("#Liste_rouge!A"&amp;_xlfn.XMATCH("LC",Liste_rouge!A:A,2,1),"LC")</f>
        <v>LC</v>
      </c>
      <c r="AH19217" s="4" t="str">
        <f>HYPERLINK("#Statut_biogéographique!A"&amp;_xlfn.XMATCH("P",Statut_biogéographique!A:A,2,1),"P")</f>
        <v>P</v>
      </c>
      <c r="AM19217" s="4" t="s">
        <v>375</v>
      </c>
      <c r="AN19217" s="4" t="s">
        <v>375</v>
      </c>
      <c r="AO19217" s="4" t="s">
        <v>375</v>
      </c>
      <c r="AP19217" s="4" t="s">
        <v>376</v>
      </c>
      <c r="AR19217" s="4" t="s">
        <v>377</v>
      </c>
    </row>
    <row r="19218" spans="1:44" ht="30">
      <c r="A19218" s="4" t="s">
        <v>132</v>
      </c>
      <c r="B19218" s="4">
        <v>61392</v>
      </c>
      <c r="D19218" s="5" t="s">
        <v>23379</v>
      </c>
      <c r="E19218" s="6" t="str">
        <f>HYPERLINK("https://inpn.mnhn.fr/espece/cd_nom/61392","Microtus duodecimcostatus (de Sélys-Longchamps, 1839)")</f>
        <v>Microtus duodecimcostatus (de Sélys-Longchamps, 1839)</v>
      </c>
      <c r="F19218" s="5" t="s">
        <v>23380</v>
      </c>
      <c r="O19218" s="7" t="str">
        <f>HYPERLINK("#Liste_rouge!A"&amp;_xlfn.XMATCH("LC",Liste_rouge!A:A,2,1),"LC")</f>
        <v>LC</v>
      </c>
      <c r="P19218" s="7" t="str">
        <f>HYPERLINK("#Liste_rouge!A"&amp;_xlfn.XMATCH("LC",Liste_rouge!A:A,2,1),"LC")</f>
        <v>LC</v>
      </c>
      <c r="Q19218" s="7" t="str">
        <f>HYPERLINK("#Liste_rouge!A"&amp;_xlfn.XMATCH("LC",Liste_rouge!A:A,2,1),"LC")</f>
        <v>LC</v>
      </c>
      <c r="AH19218" s="4" t="str">
        <f>HYPERLINK("#Statut_biogéographique!A"&amp;_xlfn.XMATCH("P",Statut_biogéographique!A:A,2,1),"P")</f>
        <v>P</v>
      </c>
      <c r="AP19218" s="4" t="s">
        <v>376</v>
      </c>
      <c r="AR19218" s="4" t="s">
        <v>377</v>
      </c>
    </row>
    <row r="19219" spans="1:44" ht="30">
      <c r="A19219" s="4" t="s">
        <v>132</v>
      </c>
      <c r="B19219" s="4">
        <v>61402</v>
      </c>
      <c r="D19219" s="5" t="s">
        <v>23381</v>
      </c>
      <c r="E19219" s="6" t="str">
        <f>HYPERLINK("https://inpn.mnhn.fr/espece/cd_nom/61402","Microtus pyrenaicus (de Sélys-Longchamps, 1847)")</f>
        <v>Microtus pyrenaicus (de Sélys-Longchamps, 1847)</v>
      </c>
      <c r="F19219" s="5" t="s">
        <v>23382</v>
      </c>
      <c r="O19219" s="7" t="str">
        <f>HYPERLINK("#Liste_rouge!A"&amp;_xlfn.XMATCH("LC",Liste_rouge!A:A,2,1),"LC")</f>
        <v>LC</v>
      </c>
      <c r="P19219" s="7" t="str">
        <f>HYPERLINK("#Liste_rouge!A"&amp;_xlfn.XMATCH("LC",Liste_rouge!A:A,2,1),"LC")</f>
        <v>LC</v>
      </c>
      <c r="Q19219" s="7" t="str">
        <f>HYPERLINK("#Liste_rouge!A"&amp;_xlfn.XMATCH("LC",Liste_rouge!A:A,2,1),"LC")</f>
        <v>LC</v>
      </c>
      <c r="AH19219" s="4" t="str">
        <f>HYPERLINK("#Statut_biogéographique!A"&amp;_xlfn.XMATCH("P",Statut_biogéographique!A:A,2,1),"P")</f>
        <v>P</v>
      </c>
      <c r="AM19219" s="4" t="s">
        <v>375</v>
      </c>
      <c r="AN19219" s="4" t="s">
        <v>375</v>
      </c>
      <c r="AO19219" s="4" t="s">
        <v>375</v>
      </c>
      <c r="AP19219" s="4" t="s">
        <v>376</v>
      </c>
      <c r="AR19219" s="4" t="s">
        <v>377</v>
      </c>
    </row>
    <row r="19220" spans="1:44" ht="30">
      <c r="A19220" s="4" t="s">
        <v>132</v>
      </c>
      <c r="B19220" s="4">
        <v>61425</v>
      </c>
      <c r="D19220" s="5" t="s">
        <v>23383</v>
      </c>
      <c r="E19220" s="6" t="str">
        <f>HYPERLINK("https://inpn.mnhn.fr/espece/cd_nom/61425","Microtus subterraneus (de Sélys-Longchamps, 1836)")</f>
        <v>Microtus subterraneus (de Sélys-Longchamps, 1836)</v>
      </c>
      <c r="F19220" s="5" t="s">
        <v>23384</v>
      </c>
      <c r="O19220" s="7" t="str">
        <f>HYPERLINK("#Liste_rouge!A"&amp;_xlfn.XMATCH("LC",Liste_rouge!A:A,2,1),"LC")</f>
        <v>LC</v>
      </c>
      <c r="P19220" s="7" t="str">
        <f>HYPERLINK("#Liste_rouge!A"&amp;_xlfn.XMATCH("LC",Liste_rouge!A:A,2,1),"LC")</f>
        <v>LC</v>
      </c>
      <c r="Q19220" s="7" t="str">
        <f>HYPERLINK("#Liste_rouge!A"&amp;_xlfn.XMATCH("LC",Liste_rouge!A:A,2,1),"LC")</f>
        <v>LC</v>
      </c>
      <c r="T19220" s="7" t="str">
        <f>HYPERLINK("#Liste_rouge!A"&amp;_xlfn.XMATCH("NT",Liste_rouge!A:A,2,1),"NT")</f>
        <v>NT</v>
      </c>
      <c r="U19220" s="4" t="str">
        <f>HYPERLINK("#Critères_liste_rouge!A$1","pr. B2b(i, ii, iii)")</f>
        <v>pr. B2b(i, ii, iii)</v>
      </c>
      <c r="V19220" s="7" t="str">
        <f>HYPERLINK("#Liste_rouge!A"&amp;_xlfn.XMATCH("DD",Liste_rouge!A:A,2,1),"DD")</f>
        <v>DD</v>
      </c>
      <c r="X19220" s="5" t="s">
        <v>374</v>
      </c>
      <c r="AH19220" s="4" t="str">
        <f>HYPERLINK("#Statut_biogéographique!A"&amp;_xlfn.XMATCH("P",Statut_biogéographique!A:A,2,1),"P")</f>
        <v>P</v>
      </c>
      <c r="AM19220" s="4" t="s">
        <v>375</v>
      </c>
      <c r="AN19220" s="4" t="s">
        <v>375</v>
      </c>
      <c r="AO19220" s="4" t="s">
        <v>375</v>
      </c>
      <c r="AP19220" s="4" t="s">
        <v>376</v>
      </c>
      <c r="AR19220" s="4" t="s">
        <v>377</v>
      </c>
    </row>
    <row r="19221" spans="1:44">
      <c r="A19221" s="4" t="s">
        <v>132</v>
      </c>
      <c r="B19221" s="4">
        <v>61448</v>
      </c>
      <c r="D19221" s="5" t="s">
        <v>23385</v>
      </c>
      <c r="E19221" s="6" t="str">
        <f>HYPERLINK("https://inpn.mnhn.fr/espece/cd_nom/61448","Ondatra zibethicus (Linnaeus, 1766)")</f>
        <v>Ondatra zibethicus (Linnaeus, 1766)</v>
      </c>
      <c r="F19221" s="5" t="s">
        <v>23386</v>
      </c>
      <c r="O19221" s="7" t="str">
        <f>HYPERLINK("#Liste_rouge!A"&amp;_xlfn.XMATCH("LC",Liste_rouge!A:A,2,1),"LC")</f>
        <v>LC</v>
      </c>
      <c r="Q19221" s="7" t="str">
        <f>HYPERLINK("#Liste_rouge!A"&amp;_xlfn.XMATCH("NA",Liste_rouge!A:A,2,1),"NA")</f>
        <v>NA</v>
      </c>
      <c r="T19221" s="7" t="str">
        <f>HYPERLINK("#Liste_rouge!A"&amp;_xlfn.XMATCH("NA",Liste_rouge!A:A,2,1),"NA")</f>
        <v>NA</v>
      </c>
      <c r="V19221" s="7" t="s">
        <v>93</v>
      </c>
      <c r="AH19221" s="4" t="str">
        <f>HYPERLINK("#Statut_biogéographique!A"&amp;_xlfn.XMATCH("I",Statut_biogéographique!A:A,2,1),"I")</f>
        <v>I</v>
      </c>
      <c r="AK19221" s="4" t="str">
        <f>HYPERLINK("#Réglementation!A"&amp;_xlfn.XMATCH("Ngib_ch_1",Réglementation!A:A,2,1),"Ngib_ch_1")</f>
        <v>Ngib_ch_1</v>
      </c>
      <c r="AL19221" s="5" t="str">
        <f>HYPERLINK("#Réglementation!A"&amp;_xlfn.XMATCH("FRnoEEEA2",Réglementation!A:A,2,1),"FRnoEEEA2 - EEEUE")</f>
        <v>FRnoEEEA2 - EEEUE</v>
      </c>
      <c r="AM19221" s="4" t="s">
        <v>375</v>
      </c>
      <c r="AN19221" s="4" t="s">
        <v>375</v>
      </c>
      <c r="AO19221" s="4" t="s">
        <v>375</v>
      </c>
      <c r="AP19221" s="4" t="s">
        <v>376</v>
      </c>
      <c r="AR19221" s="4" t="s">
        <v>377</v>
      </c>
    </row>
    <row r="19222" spans="1:44">
      <c r="A19222" s="4" t="s">
        <v>132</v>
      </c>
      <c r="B19222" s="4">
        <v>61494</v>
      </c>
      <c r="D19222" s="5" t="s">
        <v>23387</v>
      </c>
      <c r="E19222" s="6" t="str">
        <f>HYPERLINK("https://inpn.mnhn.fr/espece/cd_nom/61494","Apodemus alpicola Heinrich, 1952")</f>
        <v>Apodemus alpicola Heinrich, 1952</v>
      </c>
      <c r="F19222" s="5" t="s">
        <v>23388</v>
      </c>
      <c r="O19222" s="7" t="str">
        <f>HYPERLINK("#Liste_rouge!A"&amp;_xlfn.XMATCH("LC",Liste_rouge!A:A,2,1),"LC")</f>
        <v>LC</v>
      </c>
      <c r="P19222" s="7" t="str">
        <f>HYPERLINK("#Liste_rouge!A"&amp;_xlfn.XMATCH("LC",Liste_rouge!A:A,2,1),"LC")</f>
        <v>LC</v>
      </c>
      <c r="Q19222" s="7" t="str">
        <f>HYPERLINK("#Liste_rouge!A"&amp;_xlfn.XMATCH("DD",Liste_rouge!A:A,2,1),"DD")</f>
        <v>DD</v>
      </c>
      <c r="AH19222" s="4" t="str">
        <f>HYPERLINK("#Statut_biogéographique!A"&amp;_xlfn.XMATCH("P",Statut_biogéographique!A:A,2,1),"P")</f>
        <v>P</v>
      </c>
      <c r="AP19222" s="4" t="s">
        <v>376</v>
      </c>
      <c r="AR19222" s="4" t="s">
        <v>377</v>
      </c>
    </row>
    <row r="19223" spans="1:44" ht="30">
      <c r="A19223" s="4" t="s">
        <v>132</v>
      </c>
      <c r="B19223" s="4">
        <v>61498</v>
      </c>
      <c r="D19223" s="5" t="s">
        <v>23389</v>
      </c>
      <c r="E19223" s="6" t="str">
        <f>HYPERLINK("https://inpn.mnhn.fr/espece/cd_nom/61498","Apodemus flavicollis (Melchior, 1834)")</f>
        <v>Apodemus flavicollis (Melchior, 1834)</v>
      </c>
      <c r="F19223" s="5" t="s">
        <v>23390</v>
      </c>
      <c r="O19223" s="7" t="str">
        <f>HYPERLINK("#Liste_rouge!A"&amp;_xlfn.XMATCH("LC",Liste_rouge!A:A,2,1),"LC")</f>
        <v>LC</v>
      </c>
      <c r="P19223" s="7" t="str">
        <f>HYPERLINK("#Liste_rouge!A"&amp;_xlfn.XMATCH("LC",Liste_rouge!A:A,2,1),"LC")</f>
        <v>LC</v>
      </c>
      <c r="Q19223" s="7" t="str">
        <f>HYPERLINK("#Liste_rouge!A"&amp;_xlfn.XMATCH("LC",Liste_rouge!A:A,2,1),"LC")</f>
        <v>LC</v>
      </c>
      <c r="T19223" s="7" t="str">
        <f>HYPERLINK("#Liste_rouge!A"&amp;_xlfn.XMATCH("LC",Liste_rouge!A:A,2,1),"LC")</f>
        <v>LC</v>
      </c>
      <c r="V19223" s="7" t="str">
        <f>HYPERLINK("#Liste_rouge!A"&amp;_xlfn.XMATCH("LC",Liste_rouge!A:A,2,1),"LC")</f>
        <v>LC</v>
      </c>
      <c r="AH19223" s="4" t="str">
        <f>HYPERLINK("#Statut_biogéographique!A"&amp;_xlfn.XMATCH("P",Statut_biogéographique!A:A,2,1),"P")</f>
        <v>P</v>
      </c>
      <c r="AM19223" s="4" t="s">
        <v>375</v>
      </c>
      <c r="AN19223" s="4" t="s">
        <v>375</v>
      </c>
      <c r="AO19223" s="4" t="s">
        <v>375</v>
      </c>
      <c r="AP19223" s="4" t="s">
        <v>376</v>
      </c>
      <c r="AR19223" s="4" t="s">
        <v>377</v>
      </c>
    </row>
    <row r="19224" spans="1:44" ht="75">
      <c r="A19224" s="4" t="s">
        <v>132</v>
      </c>
      <c r="B19224" s="4">
        <v>61510</v>
      </c>
      <c r="D19224" s="5" t="s">
        <v>23391</v>
      </c>
      <c r="E19224" s="6" t="str">
        <f>HYPERLINK("https://inpn.mnhn.fr/espece/cd_nom/61510","Apodemus sylvaticus (Linnaeus, 1758)")</f>
        <v>Apodemus sylvaticus (Linnaeus, 1758)</v>
      </c>
      <c r="F19224" s="5" t="s">
        <v>23392</v>
      </c>
      <c r="O19224" s="7" t="str">
        <f>HYPERLINK("#Liste_rouge!A"&amp;_xlfn.XMATCH("LC",Liste_rouge!A:A,2,1),"LC")</f>
        <v>LC</v>
      </c>
      <c r="P19224" s="7" t="str">
        <f>HYPERLINK("#Liste_rouge!A"&amp;_xlfn.XMATCH("LC",Liste_rouge!A:A,2,1),"LC")</f>
        <v>LC</v>
      </c>
      <c r="Q19224" s="7" t="str">
        <f>HYPERLINK("#Liste_rouge!A"&amp;_xlfn.XMATCH("LC",Liste_rouge!A:A,2,1),"LC")</f>
        <v>LC</v>
      </c>
      <c r="T19224" s="7" t="str">
        <f>HYPERLINK("#Liste_rouge!A"&amp;_xlfn.XMATCH("LC",Liste_rouge!A:A,2,1),"LC")</f>
        <v>LC</v>
      </c>
      <c r="V19224" s="7" t="str">
        <f>HYPERLINK("#Liste_rouge!A"&amp;_xlfn.XMATCH("LC",Liste_rouge!A:A,2,1),"LC")</f>
        <v>LC</v>
      </c>
      <c r="AH19224" s="4" t="str">
        <f>HYPERLINK("#Statut_biogéographique!A"&amp;_xlfn.XMATCH("P",Statut_biogéographique!A:A,2,1),"P")</f>
        <v>P</v>
      </c>
      <c r="AM19224" s="4" t="s">
        <v>375</v>
      </c>
      <c r="AN19224" s="4" t="s">
        <v>375</v>
      </c>
      <c r="AO19224" s="4" t="s">
        <v>375</v>
      </c>
      <c r="AP19224" s="4" t="s">
        <v>376</v>
      </c>
      <c r="AR19224" s="4" t="s">
        <v>377</v>
      </c>
    </row>
    <row r="19225" spans="1:44" ht="45">
      <c r="A19225" s="4" t="s">
        <v>132</v>
      </c>
      <c r="B19225" s="4">
        <v>61543</v>
      </c>
      <c r="D19225" s="5" t="s">
        <v>23393</v>
      </c>
      <c r="E19225" s="6" t="str">
        <f>HYPERLINK("https://inpn.mnhn.fr/espece/cd_nom/61543","Micromys minutus (Pallas, 1771)")</f>
        <v>Micromys minutus (Pallas, 1771)</v>
      </c>
      <c r="F19225" s="5" t="s">
        <v>23394</v>
      </c>
      <c r="O19225" s="7" t="str">
        <f>HYPERLINK("#Liste_rouge!A"&amp;_xlfn.XMATCH("LC",Liste_rouge!A:A,2,1),"LC")</f>
        <v>LC</v>
      </c>
      <c r="P19225" s="7" t="str">
        <f>HYPERLINK("#Liste_rouge!A"&amp;_xlfn.XMATCH("LC",Liste_rouge!A:A,2,1),"LC")</f>
        <v>LC</v>
      </c>
      <c r="Q19225" s="7" t="str">
        <f>HYPERLINK("#Liste_rouge!A"&amp;_xlfn.XMATCH("LC",Liste_rouge!A:A,2,1),"LC")</f>
        <v>LC</v>
      </c>
      <c r="T19225" s="7" t="str">
        <f>HYPERLINK("#Liste_rouge!A"&amp;_xlfn.XMATCH("NT",Liste_rouge!A:A,2,1),"NT")</f>
        <v>NT</v>
      </c>
      <c r="U19225" s="4" t="str">
        <f>HYPERLINK("#Critères_liste_rouge!A$1","pr. B2b(ii, iii)")</f>
        <v>pr. B2b(ii, iii)</v>
      </c>
      <c r="V19225" s="7" t="str">
        <f>HYPERLINK("#Liste_rouge!A"&amp;_xlfn.XMATCH("DD",Liste_rouge!A:A,2,1),"DD")</f>
        <v>DD</v>
      </c>
      <c r="X19225" s="5" t="s">
        <v>374</v>
      </c>
      <c r="AH19225" s="4" t="str">
        <f>HYPERLINK("#Statut_biogéographique!A"&amp;_xlfn.XMATCH("P",Statut_biogéographique!A:A,2,1),"P")</f>
        <v>P</v>
      </c>
      <c r="AM19225" s="4" t="s">
        <v>375</v>
      </c>
      <c r="AN19225" s="4" t="s">
        <v>375</v>
      </c>
      <c r="AO19225" s="4" t="s">
        <v>375</v>
      </c>
      <c r="AP19225" s="4" t="s">
        <v>376</v>
      </c>
      <c r="AR19225" s="4" t="s">
        <v>377</v>
      </c>
    </row>
    <row r="19226" spans="1:44">
      <c r="A19226" s="4" t="s">
        <v>132</v>
      </c>
      <c r="B19226" s="4">
        <v>61568</v>
      </c>
      <c r="D19226" s="5" t="s">
        <v>23395</v>
      </c>
      <c r="E19226" s="6" t="str">
        <f>HYPERLINK("https://inpn.mnhn.fr/espece/cd_nom/61568","Mus musculus Linnaeus, 1758")</f>
        <v>Mus musculus Linnaeus, 1758</v>
      </c>
      <c r="F19226" s="5" t="s">
        <v>23396</v>
      </c>
      <c r="O19226" s="7" t="str">
        <f>HYPERLINK("#Liste_rouge!A"&amp;_xlfn.XMATCH("LC",Liste_rouge!A:A,2,1),"LC")</f>
        <v>LC</v>
      </c>
      <c r="P19226" s="7" t="str">
        <f>HYPERLINK("#Liste_rouge!A"&amp;_xlfn.XMATCH("LC",Liste_rouge!A:A,2,1),"LC")</f>
        <v>LC</v>
      </c>
      <c r="Q19226" s="7" t="str">
        <f>HYPERLINK("#Liste_rouge!A"&amp;_xlfn.XMATCH("LC",Liste_rouge!A:A,2,1),"LC")</f>
        <v>LC</v>
      </c>
      <c r="T19226" s="7" t="str">
        <f>HYPERLINK("#Liste_rouge!A"&amp;_xlfn.XMATCH("LC",Liste_rouge!A:A,2,1),"LC")</f>
        <v>LC</v>
      </c>
      <c r="V19226" s="7" t="str">
        <f>HYPERLINK("#Liste_rouge!A"&amp;_xlfn.XMATCH("LC",Liste_rouge!A:A,2,1),"LC")</f>
        <v>LC</v>
      </c>
      <c r="AH19226" s="4" t="str">
        <f>HYPERLINK("#Statut_biogéographique!A"&amp;_xlfn.XMATCH("I",Statut_biogéographique!A:A,2,1),"I")</f>
        <v>I</v>
      </c>
      <c r="AM19226" s="4" t="s">
        <v>375</v>
      </c>
      <c r="AN19226" s="4" t="s">
        <v>375</v>
      </c>
      <c r="AO19226" s="4" t="s">
        <v>375</v>
      </c>
      <c r="AP19226" s="4" t="s">
        <v>376</v>
      </c>
      <c r="AR19226" s="4" t="s">
        <v>377</v>
      </c>
    </row>
    <row r="19227" spans="1:44">
      <c r="A19227" s="4" t="s">
        <v>132</v>
      </c>
      <c r="B19227" s="4">
        <v>61585</v>
      </c>
      <c r="D19227" s="5" t="s">
        <v>23397</v>
      </c>
      <c r="E19227" s="6" t="str">
        <f>HYPERLINK("https://inpn.mnhn.fr/espece/cd_nom/61585","Rattus norvegicus (Berkenhout, 1769)")</f>
        <v>Rattus norvegicus (Berkenhout, 1769)</v>
      </c>
      <c r="F19227" s="5" t="s">
        <v>23398</v>
      </c>
      <c r="O19227" s="7" t="str">
        <f>HYPERLINK("#Liste_rouge!A"&amp;_xlfn.XMATCH("LC",Liste_rouge!A:A,2,1),"LC")</f>
        <v>LC</v>
      </c>
      <c r="Q19227" s="7" t="str">
        <f>HYPERLINK("#Liste_rouge!A"&amp;_xlfn.XMATCH("NA",Liste_rouge!A:A,2,1),"NA")</f>
        <v>NA</v>
      </c>
      <c r="T19227" s="7" t="str">
        <f>HYPERLINK("#Liste_rouge!A"&amp;_xlfn.XMATCH("NA",Liste_rouge!A:A,2,1),"NA")</f>
        <v>NA</v>
      </c>
      <c r="V19227" s="7" t="str">
        <f>HYPERLINK("#Liste_rouge!A"&amp;_xlfn.XMATCH("LC",Liste_rouge!A:A,2,1),"LC")</f>
        <v>LC</v>
      </c>
      <c r="AH19227" s="4" t="str">
        <f>HYPERLINK("#Statut_biogéographique!A"&amp;_xlfn.XMATCH("I",Statut_biogéographique!A:A,2,1),"I")</f>
        <v>I</v>
      </c>
      <c r="AL19227" s="5" t="str">
        <f>HYPERLINK("#Réglementation!A"&amp;_xlfn.XMATCH("FRnoEEEA",Réglementation!A:A,2,1),"FRnoEEEA")</f>
        <v>FRnoEEEA</v>
      </c>
      <c r="AM19227" s="4" t="s">
        <v>375</v>
      </c>
      <c r="AN19227" s="4" t="s">
        <v>375</v>
      </c>
      <c r="AO19227" s="4" t="s">
        <v>375</v>
      </c>
      <c r="AP19227" s="4" t="s">
        <v>376</v>
      </c>
      <c r="AR19227" s="4" t="s">
        <v>377</v>
      </c>
    </row>
    <row r="19228" spans="1:44">
      <c r="A19228" s="4" t="s">
        <v>132</v>
      </c>
      <c r="B19228" s="4">
        <v>61587</v>
      </c>
      <c r="D19228" s="5" t="s">
        <v>23399</v>
      </c>
      <c r="E19228" s="6" t="str">
        <f>HYPERLINK("https://inpn.mnhn.fr/espece/cd_nom/61587","Rattus rattus (Linnaeus, 1758)")</f>
        <v>Rattus rattus (Linnaeus, 1758)</v>
      </c>
      <c r="F19228" s="5" t="s">
        <v>23400</v>
      </c>
      <c r="O19228" s="7" t="str">
        <f>HYPERLINK("#Liste_rouge!A"&amp;_xlfn.XMATCH("LC",Liste_rouge!A:A,2,1),"LC")</f>
        <v>LC</v>
      </c>
      <c r="P19228" s="7" t="str">
        <f>HYPERLINK("#Liste_rouge!A"&amp;_xlfn.XMATCH("LC",Liste_rouge!A:A,2,1),"LC")</f>
        <v>LC</v>
      </c>
      <c r="Q19228" s="7" t="str">
        <f>HYPERLINK("#Liste_rouge!A"&amp;_xlfn.XMATCH("LC",Liste_rouge!A:A,2,1),"LC")</f>
        <v>LC</v>
      </c>
      <c r="T19228" s="7" t="str">
        <f>HYPERLINK("#Liste_rouge!A"&amp;_xlfn.XMATCH("DD",Liste_rouge!A:A,2,1),"DD")</f>
        <v>DD</v>
      </c>
      <c r="V19228" s="7" t="str">
        <f>HYPERLINK("#Liste_rouge!A"&amp;_xlfn.XMATCH("NT",Liste_rouge!A:A,2,1),"NT")</f>
        <v>NT</v>
      </c>
      <c r="AH19228" s="4" t="str">
        <f>HYPERLINK("#Statut_biogéographique!A"&amp;_xlfn.XMATCH("I",Statut_biogéographique!A:A,2,1),"I")</f>
        <v>I</v>
      </c>
      <c r="AM19228" s="4" t="s">
        <v>375</v>
      </c>
      <c r="AN19228" s="4" t="s">
        <v>375</v>
      </c>
      <c r="AO19228" s="4" t="s">
        <v>375</v>
      </c>
      <c r="AP19228" s="4" t="s">
        <v>376</v>
      </c>
      <c r="AR19228" s="4" t="s">
        <v>377</v>
      </c>
    </row>
    <row r="19229" spans="1:44" ht="45">
      <c r="A19229" s="4" t="s">
        <v>132</v>
      </c>
      <c r="B19229" s="4">
        <v>61618</v>
      </c>
      <c r="D19229" s="5" t="s">
        <v>23401</v>
      </c>
      <c r="E19229" s="6" t="str">
        <f>HYPERLINK("https://inpn.mnhn.fr/espece/cd_nom/61618","Eliomys quercinus (Linnaeus, 1766)")</f>
        <v>Eliomys quercinus (Linnaeus, 1766)</v>
      </c>
      <c r="F19229" s="5" t="s">
        <v>23402</v>
      </c>
      <c r="I19229" s="4" t="str">
        <f>HYPERLINK("#Réglementation!A"&amp;_xlfn.XMATCH("IBE3",Réglementation!A:A,2,1),"IBE3")</f>
        <v>IBE3</v>
      </c>
      <c r="O19229" s="7" t="str">
        <f>HYPERLINK("#Liste_rouge!A"&amp;_xlfn.XMATCH("NT",Liste_rouge!A:A,2,1),"NT")</f>
        <v>NT</v>
      </c>
      <c r="P19229" s="7" t="str">
        <f>HYPERLINK("#Liste_rouge!A"&amp;_xlfn.XMATCH("NT",Liste_rouge!A:A,2,1),"NT")</f>
        <v>NT</v>
      </c>
      <c r="Q19229" s="7" t="str">
        <f>HYPERLINK("#Liste_rouge!A"&amp;_xlfn.XMATCH("LC",Liste_rouge!A:A,2,1),"LC")</f>
        <v>LC</v>
      </c>
      <c r="T19229" s="7" t="str">
        <f>HYPERLINK("#Liste_rouge!A"&amp;_xlfn.XMATCH("LC",Liste_rouge!A:A,2,1),"LC")</f>
        <v>LC</v>
      </c>
      <c r="V19229" s="7" t="str">
        <f>HYPERLINK("#Liste_rouge!A"&amp;_xlfn.XMATCH("NT",Liste_rouge!A:A,2,1),"NT")</f>
        <v>NT</v>
      </c>
      <c r="AH19229" s="4" t="str">
        <f>HYPERLINK("#Statut_biogéographique!A"&amp;_xlfn.XMATCH("P",Statut_biogéographique!A:A,2,1),"P")</f>
        <v>P</v>
      </c>
      <c r="AM19229" s="4" t="s">
        <v>375</v>
      </c>
      <c r="AN19229" s="4" t="s">
        <v>375</v>
      </c>
      <c r="AO19229" s="4" t="s">
        <v>375</v>
      </c>
      <c r="AP19229" s="4" t="s">
        <v>376</v>
      </c>
      <c r="AR19229" s="4" t="s">
        <v>377</v>
      </c>
    </row>
    <row r="19230" spans="1:44">
      <c r="A19230" s="4" t="s">
        <v>132</v>
      </c>
      <c r="B19230" s="4">
        <v>61636</v>
      </c>
      <c r="D19230" s="5" t="s">
        <v>23403</v>
      </c>
      <c r="E19230" s="6" t="str">
        <f>HYPERLINK("https://inpn.mnhn.fr/espece/cd_nom/61636","Muscardinus avellanarius (Linnaeus, 1758)")</f>
        <v>Muscardinus avellanarius (Linnaeus, 1758)</v>
      </c>
      <c r="F19230" s="5" t="s">
        <v>23404</v>
      </c>
      <c r="I19230" s="4" t="str">
        <f>HYPERLINK("#Réglementation!A"&amp;_xlfn.XMATCH("IBE3",Réglementation!A:A,2,1),"IBE3")</f>
        <v>IBE3</v>
      </c>
      <c r="K19230" s="4" t="str">
        <f>HYPERLINK("#Réglementation!A"&amp;_xlfn.XMATCH("CDH4",Réglementation!A:A,2,1),"CDH4")</f>
        <v>CDH4</v>
      </c>
      <c r="L19230" s="4" t="str">
        <f>HYPERLINK("#Réglementation!A"&amp;_xlfn.XMATCH("NM2",Réglementation!A:A,2,1),"NM2")</f>
        <v>NM2</v>
      </c>
      <c r="O19230" s="7" t="str">
        <f>HYPERLINK("#Liste_rouge!A"&amp;_xlfn.XMATCH("LC",Liste_rouge!A:A,2,1),"LC")</f>
        <v>LC</v>
      </c>
      <c r="P19230" s="7" t="str">
        <f>HYPERLINK("#Liste_rouge!A"&amp;_xlfn.XMATCH("LC",Liste_rouge!A:A,2,1),"LC")</f>
        <v>LC</v>
      </c>
      <c r="Q19230" s="7" t="str">
        <f>HYPERLINK("#Liste_rouge!A"&amp;_xlfn.XMATCH("LC",Liste_rouge!A:A,2,1),"LC")</f>
        <v>LC</v>
      </c>
      <c r="T19230" s="7" t="str">
        <f>HYPERLINK("#Liste_rouge!A"&amp;_xlfn.XMATCH("NT",Liste_rouge!A:A,2,1),"NT")</f>
        <v>NT</v>
      </c>
      <c r="U19230" s="4" t="str">
        <f>HYPERLINK("#Critères_liste_rouge!A$1","pr. B2b(i, ii)")</f>
        <v>pr. B2b(i, ii)</v>
      </c>
      <c r="V19230" s="7" t="str">
        <f>HYPERLINK("#Liste_rouge!A"&amp;_xlfn.XMATCH("DD",Liste_rouge!A:A,2,1),"DD")</f>
        <v>DD</v>
      </c>
      <c r="X19230" s="5" t="s">
        <v>374</v>
      </c>
      <c r="AH19230" s="4" t="str">
        <f>HYPERLINK("#Statut_biogéographique!A"&amp;_xlfn.XMATCH("P",Statut_biogéographique!A:A,2,1),"P")</f>
        <v>P</v>
      </c>
      <c r="AM19230" s="4" t="s">
        <v>375</v>
      </c>
      <c r="AN19230" s="4" t="s">
        <v>375</v>
      </c>
      <c r="AO19230" s="4" t="s">
        <v>375</v>
      </c>
      <c r="AP19230" s="4" t="s">
        <v>376</v>
      </c>
      <c r="AR19230" s="4" t="s">
        <v>377</v>
      </c>
    </row>
    <row r="19231" spans="1:44" ht="45">
      <c r="A19231" s="4" t="s">
        <v>132</v>
      </c>
      <c r="B19231" s="4">
        <v>61648</v>
      </c>
      <c r="D19231" s="5" t="s">
        <v>23405</v>
      </c>
      <c r="E19231" s="6" t="str">
        <f>HYPERLINK("https://inpn.mnhn.fr/espece/cd_nom/61648","Glis glis (Linnaeus, 1766)")</f>
        <v>Glis glis (Linnaeus, 1766)</v>
      </c>
      <c r="F19231" s="5" t="s">
        <v>23406</v>
      </c>
      <c r="I19231" s="4" t="str">
        <f>HYPERLINK("#Réglementation!A"&amp;_xlfn.XMATCH("IBE3",Réglementation!A:A,2,1),"IBE3")</f>
        <v>IBE3</v>
      </c>
      <c r="O19231" s="7" t="str">
        <f>HYPERLINK("#Liste_rouge!A"&amp;_xlfn.XMATCH("LC",Liste_rouge!A:A,2,1),"LC")</f>
        <v>LC</v>
      </c>
      <c r="P19231" s="7" t="str">
        <f>HYPERLINK("#Liste_rouge!A"&amp;_xlfn.XMATCH("LC",Liste_rouge!A:A,2,1),"LC")</f>
        <v>LC</v>
      </c>
      <c r="Q19231" s="7" t="str">
        <f>HYPERLINK("#Liste_rouge!A"&amp;_xlfn.XMATCH("LC",Liste_rouge!A:A,2,1),"LC")</f>
        <v>LC</v>
      </c>
      <c r="T19231" s="7" t="str">
        <f>HYPERLINK("#Liste_rouge!A"&amp;_xlfn.XMATCH("LC",Liste_rouge!A:A,2,1),"LC")</f>
        <v>LC</v>
      </c>
      <c r="V19231" s="7" t="str">
        <f>HYPERLINK("#Liste_rouge!A"&amp;_xlfn.XMATCH("LC",Liste_rouge!A:A,2,1),"LC")</f>
        <v>LC</v>
      </c>
      <c r="AH19231" s="4" t="str">
        <f>HYPERLINK("#Statut_biogéographique!A"&amp;_xlfn.XMATCH("P",Statut_biogéographique!A:A,2,1),"P")</f>
        <v>P</v>
      </c>
      <c r="AM19231" s="4" t="s">
        <v>375</v>
      </c>
      <c r="AN19231" s="4" t="s">
        <v>375</v>
      </c>
      <c r="AO19231" s="4" t="s">
        <v>375</v>
      </c>
      <c r="AP19231" s="4" t="s">
        <v>376</v>
      </c>
      <c r="AR19231" s="4" t="s">
        <v>377</v>
      </c>
    </row>
    <row r="19232" spans="1:44">
      <c r="A19232" s="4" t="s">
        <v>132</v>
      </c>
      <c r="B19232" s="4">
        <v>61667</v>
      </c>
      <c r="D19232" s="5" t="s">
        <v>23407</v>
      </c>
      <c r="E19232" s="6" t="str">
        <f>HYPERLINK("https://inpn.mnhn.fr/espece/cd_nom/61667","Myocastor coypus (Molina, 1782)")</f>
        <v>Myocastor coypus (Molina, 1782)</v>
      </c>
      <c r="F19232" s="5" t="s">
        <v>23408</v>
      </c>
      <c r="O19232" s="7" t="str">
        <f>HYPERLINK("#Liste_rouge!A"&amp;_xlfn.XMATCH("LC",Liste_rouge!A:A,2,1),"LC")</f>
        <v>LC</v>
      </c>
      <c r="Q19232" s="7" t="str">
        <f>HYPERLINK("#Liste_rouge!A"&amp;_xlfn.XMATCH("NA",Liste_rouge!A:A,2,1),"NA")</f>
        <v>NA</v>
      </c>
      <c r="T19232" s="7" t="str">
        <f>HYPERLINK("#Liste_rouge!A"&amp;_xlfn.XMATCH("NA",Liste_rouge!A:A,2,1),"NA")</f>
        <v>NA</v>
      </c>
      <c r="V19232" s="7" t="str">
        <f>HYPERLINK("#Liste_rouge!A"&amp;_xlfn.XMATCH("NE",Liste_rouge!A:A,2,1),"NE")</f>
        <v>NE</v>
      </c>
      <c r="AH19232" s="4" t="str">
        <f>HYPERLINK("#Statut_biogéographique!A"&amp;_xlfn.XMATCH("J",Statut_biogéographique!A:A,2,1),"J")</f>
        <v>J</v>
      </c>
      <c r="AK19232" s="4" t="str">
        <f>HYPERLINK("#Réglementation!A"&amp;_xlfn.XMATCH("Ngib_ch_1",Réglementation!A:A,2,1),"Ngib_ch_1")</f>
        <v>Ngib_ch_1</v>
      </c>
      <c r="AL19232" s="5" t="str">
        <f>HYPERLINK("#Réglementation!A"&amp;_xlfn.XMATCH("FRnoEEEA2",Réglementation!A:A,2,1),"FRnoEEEA2 - EEEUE")</f>
        <v>FRnoEEEA2 - EEEUE</v>
      </c>
      <c r="AM19232" s="4" t="s">
        <v>375</v>
      </c>
      <c r="AN19232" s="4" t="s">
        <v>375</v>
      </c>
      <c r="AO19232" s="4" t="s">
        <v>375</v>
      </c>
      <c r="AP19232" s="4" t="s">
        <v>376</v>
      </c>
      <c r="AR19232" s="4" t="s">
        <v>377</v>
      </c>
    </row>
    <row r="19233" spans="1:44" ht="45">
      <c r="A19233" s="4" t="s">
        <v>132</v>
      </c>
      <c r="B19233" s="4">
        <v>61678</v>
      </c>
      <c r="D19233" s="5" t="s">
        <v>23409</v>
      </c>
      <c r="E19233" s="6" t="str">
        <f>HYPERLINK("https://inpn.mnhn.fr/espece/cd_nom/61678","Lepus europaeus Pallas, 1778")</f>
        <v>Lepus europaeus Pallas, 1778</v>
      </c>
      <c r="F19233" s="5" t="s">
        <v>23410</v>
      </c>
      <c r="O19233" s="7" t="str">
        <f>HYPERLINK("#Liste_rouge!A"&amp;_xlfn.XMATCH("LC",Liste_rouge!A:A,2,1),"LC")</f>
        <v>LC</v>
      </c>
      <c r="P19233" s="7" t="str">
        <f>HYPERLINK("#Liste_rouge!A"&amp;_xlfn.XMATCH("LC",Liste_rouge!A:A,2,1),"LC")</f>
        <v>LC</v>
      </c>
      <c r="Q19233" s="7" t="str">
        <f>HYPERLINK("#Liste_rouge!A"&amp;_xlfn.XMATCH("LC",Liste_rouge!A:A,2,1),"LC")</f>
        <v>LC</v>
      </c>
      <c r="T19233" s="7" t="str">
        <f>HYPERLINK("#Liste_rouge!A"&amp;_xlfn.XMATCH("LC",Liste_rouge!A:A,2,1),"LC")</f>
        <v>LC</v>
      </c>
      <c r="V19233" s="7" t="str">
        <f>HYPERLINK("#Liste_rouge!A"&amp;_xlfn.XMATCH("LC",Liste_rouge!A:A,2,1),"LC")</f>
        <v>LC</v>
      </c>
      <c r="AH19233" s="4" t="str">
        <f>HYPERLINK("#Statut_biogéographique!A"&amp;_xlfn.XMATCH("P",Statut_biogéographique!A:A,2,1),"P")</f>
        <v>P</v>
      </c>
      <c r="AK19233" s="4" t="str">
        <f>HYPERLINK("#Réglementation!A"&amp;_xlfn.XMATCH("Ngib_ch_1",Réglementation!A:A,2,1),"Ngib_ch_1")</f>
        <v>Ngib_ch_1</v>
      </c>
      <c r="AM19233" s="4" t="s">
        <v>375</v>
      </c>
      <c r="AN19233" s="4" t="s">
        <v>375</v>
      </c>
      <c r="AO19233" s="4" t="s">
        <v>375</v>
      </c>
      <c r="AP19233" s="4" t="s">
        <v>376</v>
      </c>
      <c r="AR19233" s="4" t="s">
        <v>377</v>
      </c>
    </row>
    <row r="19234" spans="1:44">
      <c r="A19234" s="4" t="s">
        <v>132</v>
      </c>
      <c r="B19234" s="4">
        <v>61714</v>
      </c>
      <c r="D19234" s="5" t="s">
        <v>23411</v>
      </c>
      <c r="E19234" s="6" t="str">
        <f>HYPERLINK("https://inpn.mnhn.fr/espece/cd_nom/61714","Oryctolagus cuniculus (Linnaeus, 1758)")</f>
        <v>Oryctolagus cuniculus (Linnaeus, 1758)</v>
      </c>
      <c r="F19234" s="5" t="s">
        <v>23412</v>
      </c>
      <c r="O19234" s="7" t="str">
        <f>HYPERLINK("#Liste_rouge!A"&amp;_xlfn.XMATCH("EN",Liste_rouge!A:A,2,1),"EN")</f>
        <v>EN</v>
      </c>
      <c r="P19234" s="7" t="str">
        <f>HYPERLINK("#Liste_rouge!A"&amp;_xlfn.XMATCH("NT",Liste_rouge!A:A,2,1),"NT")</f>
        <v>NT</v>
      </c>
      <c r="Q19234" s="7" t="str">
        <f>HYPERLINK("#Liste_rouge!A"&amp;_xlfn.XMATCH("NT",Liste_rouge!A:A,2,1),"NT")</f>
        <v>NT</v>
      </c>
      <c r="T19234" s="7" t="str">
        <f>HYPERLINK("#Liste_rouge!A"&amp;_xlfn.XMATCH("NT",Liste_rouge!A:A,2,1),"NT")</f>
        <v>NT</v>
      </c>
      <c r="U19234" s="4" t="str">
        <f>HYPERLINK("#Critères_liste_rouge!A$1","pr. B2ab(iii)c(IV)")</f>
        <v>pr. B2ab(iii)c(IV)</v>
      </c>
      <c r="V19234" s="7" t="str">
        <f>HYPERLINK("#Liste_rouge!A"&amp;_xlfn.XMATCH("NE",Liste_rouge!A:A,2,1),"NE")</f>
        <v>NE</v>
      </c>
      <c r="AH19234" s="4" t="str">
        <f>HYPERLINK("#Statut_biogéographique!A"&amp;_xlfn.XMATCH("P",Statut_biogéographique!A:A,2,1),"P")</f>
        <v>P</v>
      </c>
      <c r="AK19234" s="4" t="str">
        <f>HYPERLINK("#Réglementation!A"&amp;_xlfn.XMATCH("Ngib_ch_1",Réglementation!A:A,2,1),"Ngib_ch_1")</f>
        <v>Ngib_ch_1</v>
      </c>
      <c r="AM19234" s="4" t="s">
        <v>375</v>
      </c>
      <c r="AN19234" s="4" t="s">
        <v>375</v>
      </c>
      <c r="AO19234" s="4" t="s">
        <v>375</v>
      </c>
      <c r="AP19234" s="4" t="s">
        <v>376</v>
      </c>
      <c r="AR19234" s="4" t="s">
        <v>377</v>
      </c>
    </row>
    <row r="19235" spans="1:44" ht="30">
      <c r="A19235" s="4" t="s">
        <v>132</v>
      </c>
      <c r="B19235" s="4">
        <v>699380</v>
      </c>
      <c r="D19235" s="5" t="s">
        <v>23413</v>
      </c>
      <c r="E19235" s="6" t="str">
        <f>HYPERLINK("https://inpn.mnhn.fr/espece/cd_nom/699380","Mus musculus domesticus Schwarz &amp; Schwarz, 1943")</f>
        <v>Mus musculus domesticus Schwarz &amp; Schwarz, 1943</v>
      </c>
      <c r="AH19235" s="4" t="str">
        <f>HYPERLINK("#Statut_biogéographique!A"&amp;_xlfn.XMATCH("I",Statut_biogéographique!A:A,2,1),"I")</f>
        <v>I</v>
      </c>
      <c r="AP19235" s="4" t="s">
        <v>376</v>
      </c>
      <c r="AR19235" s="4" t="s">
        <v>377</v>
      </c>
    </row>
    <row r="19236" spans="1:44">
      <c r="A19236" s="4" t="s">
        <v>132</v>
      </c>
      <c r="B19236" s="4">
        <v>79299</v>
      </c>
      <c r="D19236" s="5">
        <v>79299</v>
      </c>
      <c r="E19236" s="6" t="str">
        <f>HYPERLINK("https://inpn.mnhn.fr/espece/cd_nom/79299","Myotis alcathoe Helversen &amp; Heller, 2001")</f>
        <v>Myotis alcathoe Helversen &amp; Heller, 2001</v>
      </c>
      <c r="F19236" s="5" t="s">
        <v>23414</v>
      </c>
      <c r="H19236" s="4" t="str">
        <f>HYPERLINK("#Réglementation!A"&amp;_xlfn.XMATCH("IBO2",Réglementation!A:A,2,1),"IBO2")</f>
        <v>IBO2</v>
      </c>
      <c r="I19236" s="4" t="str">
        <f>HYPERLINK("#Réglementation!A"&amp;_xlfn.XMATCH("IBE2",Réglementation!A:A,2,1),"IBE2")</f>
        <v>IBE2</v>
      </c>
      <c r="K19236" s="4" t="str">
        <f>HYPERLINK("#Réglementation!A"&amp;_xlfn.XMATCH("CDH4",Réglementation!A:A,2,1),"CDH4")</f>
        <v>CDH4</v>
      </c>
      <c r="L19236" s="4" t="str">
        <f>HYPERLINK("#Réglementation!A"&amp;_xlfn.XMATCH("NM2",Réglementation!A:A,2,1),"NM2")</f>
        <v>NM2</v>
      </c>
      <c r="O19236" s="7" t="str">
        <f>HYPERLINK("#Liste_rouge!A"&amp;_xlfn.XMATCH("DD",Liste_rouge!A:A,2,1),"DD")</f>
        <v>DD</v>
      </c>
      <c r="P19236" s="7" t="str">
        <f>HYPERLINK("#Liste_rouge!A"&amp;_xlfn.XMATCH("DD",Liste_rouge!A:A,2,1),"DD")</f>
        <v>DD</v>
      </c>
      <c r="Q19236" s="7" t="str">
        <f>HYPERLINK("#Liste_rouge!A"&amp;_xlfn.XMATCH("LC",Liste_rouge!A:A,2,1),"LC")</f>
        <v>LC</v>
      </c>
      <c r="T19236" s="7" t="str">
        <f>HYPERLINK("#Liste_rouge!A"&amp;_xlfn.XMATCH("DD",Liste_rouge!A:A,2,1),"DD")</f>
        <v>DD</v>
      </c>
      <c r="V19236" s="7" t="str">
        <f>HYPERLINK("#Liste_rouge!A"&amp;_xlfn.XMATCH("VU",Liste_rouge!A:A,2,1),"VU")</f>
        <v>VU</v>
      </c>
      <c r="AH19236" s="4" t="str">
        <f>HYPERLINK("#Statut_biogéographique!A"&amp;_xlfn.XMATCH("P",Statut_biogéographique!A:A,2,1),"P")</f>
        <v>P</v>
      </c>
      <c r="AI19236" s="8" t="s">
        <v>23415</v>
      </c>
      <c r="AJ19236" s="4" t="s">
        <v>23222</v>
      </c>
      <c r="AM19236" s="4" t="s">
        <v>375</v>
      </c>
      <c r="AN19236" s="4" t="s">
        <v>375</v>
      </c>
      <c r="AO19236" s="4" t="s">
        <v>375</v>
      </c>
      <c r="AP19236" s="4" t="s">
        <v>376</v>
      </c>
      <c r="AR19236" s="4" t="s">
        <v>377</v>
      </c>
    </row>
    <row r="19237" spans="1:44">
      <c r="A19237" s="4" t="s">
        <v>132</v>
      </c>
      <c r="B19237" s="4">
        <v>79300</v>
      </c>
      <c r="D19237" s="5" t="s">
        <v>23416</v>
      </c>
      <c r="E19237" s="6" t="str">
        <f>HYPERLINK("https://inpn.mnhn.fr/espece/cd_nom/79300","Myotis brandtii (Eversmann, 1845)")</f>
        <v>Myotis brandtii (Eversmann, 1845)</v>
      </c>
      <c r="F19237" s="5" t="s">
        <v>23417</v>
      </c>
      <c r="H19237" s="4" t="str">
        <f>HYPERLINK("#Réglementation!A"&amp;_xlfn.XMATCH("IBOEU",Réglementation!A:A,2,1),"IBOEU - IBO2")</f>
        <v>IBOEU - IBO2</v>
      </c>
      <c r="I19237" s="4" t="str">
        <f>HYPERLINK("#Réglementation!A"&amp;_xlfn.XMATCH("IBE2",Réglementation!A:A,2,1),"IBE2")</f>
        <v>IBE2</v>
      </c>
      <c r="K19237" s="4" t="str">
        <f>HYPERLINK("#Réglementation!A"&amp;_xlfn.XMATCH("CDH4",Réglementation!A:A,2,1),"CDH4")</f>
        <v>CDH4</v>
      </c>
      <c r="L19237" s="4" t="str">
        <f>HYPERLINK("#Réglementation!A"&amp;_xlfn.XMATCH("NM2",Réglementation!A:A,2,1),"NM2")</f>
        <v>NM2</v>
      </c>
      <c r="O19237" s="7" t="str">
        <f>HYPERLINK("#Liste_rouge!A"&amp;_xlfn.XMATCH("LC",Liste_rouge!A:A,2,1),"LC")</f>
        <v>LC</v>
      </c>
      <c r="Q19237" s="7" t="str">
        <f>HYPERLINK("#Liste_rouge!A"&amp;_xlfn.XMATCH("LC",Liste_rouge!A:A,2,1),"LC")</f>
        <v>LC</v>
      </c>
      <c r="T19237" s="7" t="str">
        <f>HYPERLINK("#Liste_rouge!A"&amp;_xlfn.XMATCH("DD",Liste_rouge!A:A,2,1),"DD")</f>
        <v>DD</v>
      </c>
      <c r="V19237" s="7" t="str">
        <f>HYPERLINK("#Liste_rouge!A"&amp;_xlfn.XMATCH("VU",Liste_rouge!A:A,2,1),"VU")</f>
        <v>VU</v>
      </c>
      <c r="X19237" s="5" t="s">
        <v>374</v>
      </c>
      <c r="AH19237" s="4" t="str">
        <f>HYPERLINK("#Statut_biogéographique!A"&amp;_xlfn.XMATCH("P",Statut_biogéographique!A:A,2,1),"P")</f>
        <v>P</v>
      </c>
      <c r="AI19237" s="8" t="s">
        <v>23418</v>
      </c>
      <c r="AJ19237" s="4" t="s">
        <v>23222</v>
      </c>
      <c r="AM19237" s="4" t="s">
        <v>375</v>
      </c>
      <c r="AN19237" s="4" t="s">
        <v>375</v>
      </c>
      <c r="AO19237" s="4" t="s">
        <v>375</v>
      </c>
      <c r="AP19237" s="4" t="s">
        <v>376</v>
      </c>
      <c r="AR19237" s="4" t="s">
        <v>377</v>
      </c>
    </row>
    <row r="19238" spans="1:44">
      <c r="A19238" s="4" t="s">
        <v>132</v>
      </c>
      <c r="B19238" s="4">
        <v>79301</v>
      </c>
      <c r="D19238" s="5" t="s">
        <v>23419</v>
      </c>
      <c r="E19238" s="6" t="str">
        <f>HYPERLINK("https://inpn.mnhn.fr/espece/cd_nom/79301","Myotis bechsteinii (Kuhl, 1817)")</f>
        <v>Myotis bechsteinii (Kuhl, 1817)</v>
      </c>
      <c r="F19238" s="5" t="s">
        <v>23420</v>
      </c>
      <c r="H19238" s="4" t="str">
        <f>HYPERLINK("#Réglementation!A"&amp;_xlfn.XMATCH("IBO2",Réglementation!A:A,2,1),"IBO2")</f>
        <v>IBO2</v>
      </c>
      <c r="I19238" s="4" t="str">
        <f>HYPERLINK("#Réglementation!A"&amp;_xlfn.XMATCH("IBE2",Réglementation!A:A,2,1),"IBE2")</f>
        <v>IBE2</v>
      </c>
      <c r="K19238" s="4" t="str">
        <f>HYPERLINK("#Réglementation!A"&amp;_xlfn.XMATCH("CDH2",Réglementation!A:A,2,1),"CDH2 - CDH4")</f>
        <v>CDH2 - CDH4</v>
      </c>
      <c r="L19238" s="4" t="str">
        <f>HYPERLINK("#Réglementation!A"&amp;_xlfn.XMATCH("NM2",Réglementation!A:A,2,1),"NM2")</f>
        <v>NM2</v>
      </c>
      <c r="O19238" s="7" t="str">
        <f>HYPERLINK("#Liste_rouge!A"&amp;_xlfn.XMATCH("NT",Liste_rouge!A:A,2,1),"NT")</f>
        <v>NT</v>
      </c>
      <c r="P19238" s="7" t="str">
        <f>HYPERLINK("#Liste_rouge!A"&amp;_xlfn.XMATCH("VU",Liste_rouge!A:A,2,1),"VU")</f>
        <v>VU</v>
      </c>
      <c r="Q19238" s="7" t="str">
        <f>HYPERLINK("#Liste_rouge!A"&amp;_xlfn.XMATCH("NT",Liste_rouge!A:A,2,1),"NT")</f>
        <v>NT</v>
      </c>
      <c r="T19238" s="7" t="str">
        <f>HYPERLINK("#Liste_rouge!A"&amp;_xlfn.XMATCH("VU",Liste_rouge!A:A,2,1),"VU")</f>
        <v>VU</v>
      </c>
      <c r="U19238" s="4" t="str">
        <f>HYPERLINK("#Critères_liste_rouge!A$1","B2ab(iii,iv), pr. D1")</f>
        <v>B2ab(iii,iv), pr. D1</v>
      </c>
      <c r="V19238" s="7" t="str">
        <f>HYPERLINK("#Liste_rouge!A"&amp;_xlfn.XMATCH("VU",Liste_rouge!A:A,2,1),"VU")</f>
        <v>VU</v>
      </c>
      <c r="X19238" s="5" t="s">
        <v>374</v>
      </c>
      <c r="AE19238" s="4" t="str">
        <f>HYPERLINK("#SCAP!A"&amp;_xlfn.XMATCH("1+",SCAP!A:A,2,1),"1+")</f>
        <v>1+</v>
      </c>
      <c r="AF19238" s="4" t="str">
        <f>HYPERLINK("#SCAP!A"&amp;_xlfn.XMATCH("2-",SCAP!A:A,2,1),"2-")</f>
        <v>2-</v>
      </c>
      <c r="AG19238" s="4" t="str">
        <f>HYPERLINK("#SCAP!A"&amp;_xlfn.XMATCH("2+",SCAP!A:A,2,1),"2+")</f>
        <v>2+</v>
      </c>
      <c r="AH19238" s="4" t="str">
        <f>HYPERLINK("#Statut_biogéographique!A"&amp;_xlfn.XMATCH("P",Statut_biogéographique!A:A,2,1),"P")</f>
        <v>P</v>
      </c>
      <c r="AI19238" s="8" t="s">
        <v>23421</v>
      </c>
      <c r="AJ19238" s="4" t="s">
        <v>23245</v>
      </c>
      <c r="AM19238" s="4" t="s">
        <v>375</v>
      </c>
      <c r="AN19238" s="4" t="s">
        <v>375</v>
      </c>
      <c r="AO19238" s="4" t="s">
        <v>375</v>
      </c>
      <c r="AP19238" s="4" t="s">
        <v>376</v>
      </c>
      <c r="AR19238" s="4" t="s">
        <v>377</v>
      </c>
    </row>
    <row r="19239" spans="1:44">
      <c r="A19239" s="4" t="s">
        <v>132</v>
      </c>
      <c r="B19239" s="4">
        <v>79302</v>
      </c>
      <c r="D19239" s="5" t="s">
        <v>23422</v>
      </c>
      <c r="E19239" s="6" t="str">
        <f>HYPERLINK("https://inpn.mnhn.fr/espece/cd_nom/79302","Eptesicus nilssonii (Keyserling &amp; Blasius, 1839)")</f>
        <v>Eptesicus nilssonii (Keyserling &amp; Blasius, 1839)</v>
      </c>
      <c r="F19239" s="5" t="s">
        <v>23423</v>
      </c>
      <c r="H19239" s="4" t="str">
        <f>HYPERLINK("#Réglementation!A"&amp;_xlfn.XMATCH("IBOEU",Réglementation!A:A,2,1),"IBOEU - IBO2")</f>
        <v>IBOEU - IBO2</v>
      </c>
      <c r="I19239" s="4" t="str">
        <f>HYPERLINK("#Réglementation!A"&amp;_xlfn.XMATCH("IBE2",Réglementation!A:A,2,1),"IBE2")</f>
        <v>IBE2</v>
      </c>
      <c r="K19239" s="4" t="str">
        <f>HYPERLINK("#Réglementation!A"&amp;_xlfn.XMATCH("CDH4",Réglementation!A:A,2,1),"CDH4")</f>
        <v>CDH4</v>
      </c>
      <c r="L19239" s="4" t="str">
        <f>HYPERLINK("#Réglementation!A"&amp;_xlfn.XMATCH("NM2",Réglementation!A:A,2,1),"NM2")</f>
        <v>NM2</v>
      </c>
      <c r="O19239" s="7" t="str">
        <f>HYPERLINK("#Liste_rouge!A"&amp;_xlfn.XMATCH("LC",Liste_rouge!A:A,2,1),"LC")</f>
        <v>LC</v>
      </c>
      <c r="P19239" s="7" t="str">
        <f>HYPERLINK("#Liste_rouge!A"&amp;_xlfn.XMATCH("LC",Liste_rouge!A:A,2,1),"LC")</f>
        <v>LC</v>
      </c>
      <c r="Q19239" s="7" t="str">
        <f>HYPERLINK("#Liste_rouge!A"&amp;_xlfn.XMATCH("DD",Liste_rouge!A:A,2,1),"DD")</f>
        <v>DD</v>
      </c>
      <c r="V19239" s="7" t="str">
        <f>HYPERLINK("#Liste_rouge!A"&amp;_xlfn.XMATCH("LC",Liste_rouge!A:A,2,1),"LC")</f>
        <v>LC</v>
      </c>
      <c r="X19239" s="5" t="s">
        <v>374</v>
      </c>
      <c r="AH19239" s="4" t="str">
        <f>HYPERLINK("#Statut_biogéographique!A"&amp;_xlfn.XMATCH("P",Statut_biogéographique!A:A,2,1),"P")</f>
        <v>P</v>
      </c>
      <c r="AI19239" s="8" t="s">
        <v>23424</v>
      </c>
      <c r="AJ19239" s="4" t="s">
        <v>23245</v>
      </c>
      <c r="AM19239" s="4" t="s">
        <v>375</v>
      </c>
      <c r="AN19239" s="4" t="s">
        <v>375</v>
      </c>
      <c r="AO19239" s="4" t="s">
        <v>375</v>
      </c>
      <c r="AP19239" s="4" t="s">
        <v>376</v>
      </c>
      <c r="AR19239" s="4" t="s">
        <v>377</v>
      </c>
    </row>
    <row r="19240" spans="1:44" ht="30">
      <c r="A19240" s="4" t="s">
        <v>132</v>
      </c>
      <c r="B19240" s="4">
        <v>79303</v>
      </c>
      <c r="D19240" s="5" t="s">
        <v>23425</v>
      </c>
      <c r="E19240" s="6" t="str">
        <f>HYPERLINK("https://inpn.mnhn.fr/espece/cd_nom/79303","Pipistrellus kuhlii (Natterer in Kuhl, 1817)")</f>
        <v>Pipistrellus kuhlii (Natterer in Kuhl, 1817)</v>
      </c>
      <c r="F19240" s="5" t="s">
        <v>23426</v>
      </c>
      <c r="H19240" s="4" t="str">
        <f>HYPERLINK("#Réglementation!A"&amp;_xlfn.XMATCH("IBOEU",Réglementation!A:A,2,1),"IBOEU - IBO2")</f>
        <v>IBOEU - IBO2</v>
      </c>
      <c r="I19240" s="4" t="str">
        <f>HYPERLINK("#Réglementation!A"&amp;_xlfn.XMATCH("IBE2",Réglementation!A:A,2,1),"IBE2")</f>
        <v>IBE2</v>
      </c>
      <c r="K19240" s="4" t="str">
        <f>HYPERLINK("#Réglementation!A"&amp;_xlfn.XMATCH("CDH4",Réglementation!A:A,2,1),"CDH4")</f>
        <v>CDH4</v>
      </c>
      <c r="L19240" s="4" t="str">
        <f>HYPERLINK("#Réglementation!A"&amp;_xlfn.XMATCH("NM2",Réglementation!A:A,2,1),"NM2")</f>
        <v>NM2</v>
      </c>
      <c r="O19240" s="7" t="str">
        <f>HYPERLINK("#Liste_rouge!A"&amp;_xlfn.XMATCH("LC",Liste_rouge!A:A,2,1),"LC")</f>
        <v>LC</v>
      </c>
      <c r="P19240" s="7" t="str">
        <f>HYPERLINK("#Liste_rouge!A"&amp;_xlfn.XMATCH("LC",Liste_rouge!A:A,2,1),"LC")</f>
        <v>LC</v>
      </c>
      <c r="Q19240" s="7" t="str">
        <f>HYPERLINK("#Liste_rouge!A"&amp;_xlfn.XMATCH("LC",Liste_rouge!A:A,2,1),"LC")</f>
        <v>LC</v>
      </c>
      <c r="T19240" s="7" t="str">
        <f>HYPERLINK("#Liste_rouge!A"&amp;_xlfn.XMATCH("LC",Liste_rouge!A:A,2,1),"LC")</f>
        <v>LC</v>
      </c>
      <c r="V19240" s="7" t="str">
        <f>HYPERLINK("#Liste_rouge!A"&amp;_xlfn.XMATCH("LC",Liste_rouge!A:A,2,1),"LC")</f>
        <v>LC</v>
      </c>
      <c r="AH19240" s="4" t="str">
        <f>HYPERLINK("#Statut_biogéographique!A"&amp;_xlfn.XMATCH("P",Statut_biogéographique!A:A,2,1),"P")</f>
        <v>P</v>
      </c>
      <c r="AI19240" s="8" t="s">
        <v>23427</v>
      </c>
      <c r="AJ19240" s="4" t="s">
        <v>23222</v>
      </c>
      <c r="AM19240" s="4" t="s">
        <v>375</v>
      </c>
      <c r="AN19240" s="4" t="s">
        <v>375</v>
      </c>
      <c r="AO19240" s="4" t="s">
        <v>375</v>
      </c>
      <c r="AP19240" s="4" t="s">
        <v>376</v>
      </c>
      <c r="AR19240" s="4" t="s">
        <v>377</v>
      </c>
    </row>
    <row r="19241" spans="1:44" ht="30">
      <c r="A19241" s="4" t="s">
        <v>132</v>
      </c>
      <c r="B19241" s="4">
        <v>79305</v>
      </c>
      <c r="D19241" s="5" t="s">
        <v>23428</v>
      </c>
      <c r="E19241" s="6" t="str">
        <f>HYPERLINK("https://inpn.mnhn.fr/espece/cd_nom/79305","Miniopterus schreibersii (Natterer in Kuhl, 1817)")</f>
        <v>Miniopterus schreibersii (Natterer in Kuhl, 1817)</v>
      </c>
      <c r="F19241" s="5" t="s">
        <v>23429</v>
      </c>
      <c r="H19241" s="4" t="str">
        <f>HYPERLINK("#Réglementation!A"&amp;_xlfn.XMATCH("IBOEU",Réglementation!A:A,2,1),"IBOEU - IBO2")</f>
        <v>IBOEU - IBO2</v>
      </c>
      <c r="I19241" s="4" t="str">
        <f>HYPERLINK("#Réglementation!A"&amp;_xlfn.XMATCH("IBE2",Réglementation!A:A,2,1),"IBE2")</f>
        <v>IBE2</v>
      </c>
      <c r="K19241" s="4" t="str">
        <f>HYPERLINK("#Réglementation!A"&amp;_xlfn.XMATCH("CDH2",Réglementation!A:A,2,1),"CDH2 - CDH4")</f>
        <v>CDH2 - CDH4</v>
      </c>
      <c r="L19241" s="4" t="str">
        <f>HYPERLINK("#Réglementation!A"&amp;_xlfn.XMATCH("NM2",Réglementation!A:A,2,1),"NM2")</f>
        <v>NM2</v>
      </c>
      <c r="O19241" s="7" t="str">
        <f>HYPERLINK("#Liste_rouge!A"&amp;_xlfn.XMATCH("VU",Liste_rouge!A:A,2,1),"VU")</f>
        <v>VU</v>
      </c>
      <c r="Q19241" s="7" t="str">
        <f>HYPERLINK("#Liste_rouge!A"&amp;_xlfn.XMATCH("VU",Liste_rouge!A:A,2,1),"VU")</f>
        <v>VU</v>
      </c>
      <c r="T19241" s="7" t="str">
        <f>HYPERLINK("#Liste_rouge!A"&amp;_xlfn.XMATCH("RE",Liste_rouge!A:A,2,1),"RE (cd_nom 79305) - EN (cd_nom 79305)")</f>
        <v>RE (cd_nom 79305) - EN (cd_nom 79305)</v>
      </c>
      <c r="U19241" s="4" t="str">
        <f>HYPERLINK("#Critères_liste_rouge!A$1","C2b (cd_nom 79305)")</f>
        <v>C2b (cd_nom 79305)</v>
      </c>
      <c r="V19241" s="7" t="str">
        <f>HYPERLINK("#Liste_rouge!A"&amp;_xlfn.XMATCH("VU",Liste_rouge!A:A,2,1),"VU")</f>
        <v>VU</v>
      </c>
      <c r="AE19241" s="4" t="str">
        <f>HYPERLINK("#SCAP!A"&amp;_xlfn.XMATCH("1+",SCAP!A:A,2,1),"1+")</f>
        <v>1+</v>
      </c>
      <c r="AF19241" s="4" t="str">
        <f>HYPERLINK("#SCAP!A"&amp;_xlfn.XMATCH("1+",SCAP!A:A,2,1),"1+")</f>
        <v>1+</v>
      </c>
      <c r="AG19241" s="4" t="str">
        <f>HYPERLINK("#SCAP!A"&amp;_xlfn.XMATCH("2+",SCAP!A:A,2,1),"2+")</f>
        <v>2+</v>
      </c>
      <c r="AH19241" s="4" t="str">
        <f>HYPERLINK("#Statut_biogéographique!A"&amp;_xlfn.XMATCH("P",Statut_biogéographique!A:A,2,1),"P")</f>
        <v>P</v>
      </c>
      <c r="AI19241" s="8" t="s">
        <v>23430</v>
      </c>
      <c r="AJ19241" s="4" t="s">
        <v>23245</v>
      </c>
      <c r="AM19241" s="4" t="s">
        <v>375</v>
      </c>
      <c r="AN19241" s="4" t="s">
        <v>23253</v>
      </c>
      <c r="AO19241" s="4" t="s">
        <v>23253</v>
      </c>
      <c r="AP19241" s="4" t="s">
        <v>389</v>
      </c>
      <c r="AR19241" s="4" t="s">
        <v>377</v>
      </c>
    </row>
    <row r="19242" spans="1:44">
      <c r="A19242" s="4" t="s">
        <v>132</v>
      </c>
      <c r="B19242" s="4">
        <v>79306</v>
      </c>
      <c r="D19242" s="5" t="s">
        <v>23431</v>
      </c>
      <c r="E19242" s="6" t="str">
        <f>HYPERLINK("https://inpn.mnhn.fr/espece/cd_nom/79306","Felis silvestris Schreber, 1775")</f>
        <v>Felis silvestris Schreber, 1775</v>
      </c>
      <c r="F19242" s="5" t="s">
        <v>23432</v>
      </c>
      <c r="G19242" s="4" t="str">
        <f>HYPERLINK("[#Réglementation!A"&amp;_xlfn.XMATCH("CCA",Réglementation!A:A,2,1),"CCA")</f>
        <v>CCA</v>
      </c>
      <c r="I19242" s="4" t="str">
        <f>HYPERLINK("#Réglementation!A"&amp;_xlfn.XMATCH("IBE2",Réglementation!A:A,2,1),"IBE2")</f>
        <v>IBE2</v>
      </c>
      <c r="K19242" s="4" t="str">
        <f>HYPERLINK("#Réglementation!A"&amp;_xlfn.XMATCH("CDH4",Réglementation!A:A,2,1),"CDH4")</f>
        <v>CDH4</v>
      </c>
      <c r="L19242" s="4" t="str">
        <f>HYPERLINK("#Réglementation!A"&amp;_xlfn.XMATCH("NM2",Réglementation!A:A,2,1),"NM2")</f>
        <v>NM2</v>
      </c>
      <c r="O19242" s="7" t="str">
        <f>HYPERLINK("#Liste_rouge!A"&amp;_xlfn.XMATCH("LC",Liste_rouge!A:A,2,1),"LC")</f>
        <v>LC</v>
      </c>
      <c r="Q19242" s="7" t="str">
        <f>HYPERLINK("#Liste_rouge!A"&amp;_xlfn.XMATCH("LC",Liste_rouge!A:A,2,1),"LC")</f>
        <v>LC</v>
      </c>
      <c r="T19242" s="7" t="str">
        <f>HYPERLINK("#Liste_rouge!A"&amp;_xlfn.XMATCH("NT",Liste_rouge!A:A,2,1),"NT")</f>
        <v>NT</v>
      </c>
      <c r="U19242" s="4" t="str">
        <f>HYPERLINK("#Critères_liste_rouge!A$1","pr. B2b(ii, iii)")</f>
        <v>pr. B2b(ii, iii)</v>
      </c>
      <c r="V19242" s="7" t="str">
        <f>HYPERLINK("#Liste_rouge!A"&amp;_xlfn.XMATCH("LC",Liste_rouge!A:A,2,1),"LC")</f>
        <v>LC</v>
      </c>
      <c r="X19242" s="5" t="s">
        <v>374</v>
      </c>
      <c r="AH19242" s="4" t="str">
        <f>HYPERLINK("#Statut_biogéographique!A"&amp;_xlfn.XMATCH("P",Statut_biogéographique!A:A,2,1),"P")</f>
        <v>P</v>
      </c>
      <c r="AM19242" s="4" t="s">
        <v>375</v>
      </c>
      <c r="AN19242" s="4" t="s">
        <v>375</v>
      </c>
      <c r="AO19242" s="4" t="s">
        <v>375</v>
      </c>
      <c r="AP19242" s="4" t="s">
        <v>376</v>
      </c>
      <c r="AR19242" s="4" t="s">
        <v>377</v>
      </c>
    </row>
    <row r="19243" spans="1:44" ht="30">
      <c r="A19243" s="4" t="s">
        <v>132</v>
      </c>
      <c r="B19243" s="4">
        <v>867244</v>
      </c>
      <c r="D19243" s="5">
        <v>867244</v>
      </c>
      <c r="E19243" s="6" t="str">
        <f>HYPERLINK("https://inpn.mnhn.fr/espece/cd_nom/867244","Talpa aquitania Nicolas, Martinez-Vargas &amp; Hugot, 2017")</f>
        <v>Talpa aquitania Nicolas, Martinez-Vargas &amp; Hugot, 2017</v>
      </c>
      <c r="F19243" s="5" t="s">
        <v>23433</v>
      </c>
      <c r="Q19243" s="7" t="str">
        <f>HYPERLINK("#Liste_rouge!A"&amp;_xlfn.XMATCH("LC",Liste_rouge!A:A,2,1),"LC")</f>
        <v>LC</v>
      </c>
      <c r="AH19243" s="4" t="str">
        <f>HYPERLINK("#Statut_biogéographique!A"&amp;_xlfn.XMATCH("S",Statut_biogéographique!A:A,2,1),"S")</f>
        <v>S</v>
      </c>
      <c r="AP19243" s="4" t="s">
        <v>376</v>
      </c>
      <c r="AR19243" s="4" t="s">
        <v>377</v>
      </c>
    </row>
    <row r="19244" spans="1:44" ht="60">
      <c r="A19244" s="4" t="s">
        <v>132</v>
      </c>
      <c r="B19244" s="4">
        <v>899768</v>
      </c>
      <c r="D19244" s="5" t="s">
        <v>23434</v>
      </c>
      <c r="E19244" s="6" t="str">
        <f>HYPERLINK("https://inpn.mnhn.fr/espece/cd_nom/899768","Crocidura gueldenstaedtii (Pallas, 1811)")</f>
        <v>Crocidura gueldenstaedtii (Pallas, 1811)</v>
      </c>
      <c r="I19244" s="4" t="str">
        <f>HYPERLINK("#Réglementation!A"&amp;_xlfn.XMATCH("IBE2",Réglementation!A:A,2,1),"IBE2 - IBE3")</f>
        <v>IBE2 - IBE3</v>
      </c>
      <c r="Q19244" s="7" t="str">
        <f>HYPERLINK("#Liste_rouge!A"&amp;_xlfn.XMATCH("NT",Liste_rouge!A:A,2,1),"NT")</f>
        <v>NT</v>
      </c>
      <c r="AH19244" s="4" t="str">
        <f>HYPERLINK("#Statut_biogéographique!A"&amp;_xlfn.XMATCH("P",Statut_biogéographique!A:A,2,1),"P")</f>
        <v>P</v>
      </c>
      <c r="AP19244" s="4" t="s">
        <v>376</v>
      </c>
      <c r="AR19244" s="4" t="s">
        <v>377</v>
      </c>
    </row>
    <row r="19245" spans="1:44" ht="30">
      <c r="A19245" s="4" t="s">
        <v>132</v>
      </c>
      <c r="B19245" s="4">
        <v>912954</v>
      </c>
      <c r="D19245" s="5">
        <v>912954</v>
      </c>
      <c r="E19245" s="6" t="str">
        <f>HYPERLINK("https://inpn.mnhn.fr/espece/cd_nom/912954","Myotis crypticus Ruedi, Ibáñez, Salicini, Juste &amp; Puechmaille, 2019")</f>
        <v>Myotis crypticus Ruedi, Ibáñez, Salicini, Juste &amp; Puechmaille, 2019</v>
      </c>
      <c r="F19245" s="5" t="s">
        <v>23435</v>
      </c>
      <c r="H19245" s="4" t="str">
        <f>HYPERLINK("#Réglementation!A"&amp;_xlfn.XMATCH("IBO2",Réglementation!A:A,2,1),"IBO2")</f>
        <v>IBO2</v>
      </c>
      <c r="I19245" s="4" t="str">
        <f>HYPERLINK("#Réglementation!A"&amp;_xlfn.XMATCH("IBE2",Réglementation!A:A,2,1),"IBE2")</f>
        <v>IBE2</v>
      </c>
      <c r="K19245" s="4" t="str">
        <f>HYPERLINK("#Réglementation!A"&amp;_xlfn.XMATCH("CDH4",Réglementation!A:A,2,1),"CDH4")</f>
        <v>CDH4</v>
      </c>
      <c r="AH19245" s="4" t="str">
        <f>HYPERLINK("#Statut_biogéographique!A"&amp;_xlfn.XMATCH("P",Statut_biogéographique!A:A,2,1),"P")</f>
        <v>P</v>
      </c>
      <c r="AP19245" s="4" t="s">
        <v>376</v>
      </c>
      <c r="AR19245" s="4" t="s">
        <v>377</v>
      </c>
    </row>
    <row r="19246" spans="1:44">
      <c r="A19246" s="4" t="s">
        <v>117</v>
      </c>
      <c r="B19246" s="4">
        <v>1948</v>
      </c>
      <c r="D19246" s="5">
        <v>1948</v>
      </c>
      <c r="E19246" s="6" t="str">
        <f>HYPERLINK("https://inpn.mnhn.fr/espece/cd_nom/1948","Anas bahamensis Linnaeus, 1758")</f>
        <v>Anas bahamensis Linnaeus, 1758</v>
      </c>
      <c r="F19246" s="5" t="s">
        <v>23436</v>
      </c>
      <c r="H19246" s="4" t="str">
        <f>HYPERLINK("#Réglementation!A"&amp;_xlfn.XMATCH("IBO2",Réglementation!A:A,2,1),"IBO2")</f>
        <v>IBO2</v>
      </c>
      <c r="O19246" s="7" t="str">
        <f>HYPERLINK("#Liste_rouge!A"&amp;_xlfn.XMATCH("LC",Liste_rouge!A:A,2,1),"LC")</f>
        <v>LC</v>
      </c>
      <c r="AH19246" s="4" t="str">
        <f>HYPERLINK("#Statut_biogéographique!A"&amp;_xlfn.XMATCH("M",Statut_biogéographique!A:A,2,1),"M")</f>
        <v>M</v>
      </c>
      <c r="AP19246" s="4" t="s">
        <v>389</v>
      </c>
      <c r="AR19246" s="4" t="s">
        <v>377</v>
      </c>
    </row>
    <row r="19247" spans="1:44" ht="45">
      <c r="A19247" s="4" t="s">
        <v>117</v>
      </c>
      <c r="B19247" s="4">
        <v>1952</v>
      </c>
      <c r="D19247" s="5" t="s">
        <v>23437</v>
      </c>
      <c r="E19247" s="6" t="str">
        <f>HYPERLINK("https://inpn.mnhn.fr/espece/cd_nom/1952","Mareca penelope (Linnaeus, 1758)")</f>
        <v>Mareca penelope (Linnaeus, 1758)</v>
      </c>
      <c r="F19247" s="5" t="s">
        <v>23438</v>
      </c>
      <c r="G19247" s="4" t="str">
        <f>HYPERLINK("[#Réglementation!A"&amp;_xlfn.XMATCH("CCC",Réglementation!A:A,2,1),"CCC")</f>
        <v>CCC</v>
      </c>
      <c r="H19247" s="4" t="str">
        <f>HYPERLINK("#Réglementation!A"&amp;_xlfn.XMATCH("IBOAE",Réglementation!A:A,2,1),"IBOAE - IBO2")</f>
        <v>IBOAE - IBO2</v>
      </c>
      <c r="I19247" s="4" t="str">
        <f>HYPERLINK("#Réglementation!A"&amp;_xlfn.XMATCH("IBE3",Réglementation!A:A,2,1),"IBE3")</f>
        <v>IBE3</v>
      </c>
      <c r="J19247" s="4" t="str">
        <f>HYPERLINK("#Réglementation!A"&amp;_xlfn.XMATCH("CDO21",Réglementation!A:A,2,1),"CDO21 - CDO32")</f>
        <v>CDO21 - CDO32</v>
      </c>
      <c r="L19247" s="4" t="str">
        <f>HYPERLINK("#Réglementation!A"&amp;_xlfn.XMATCH("OC3",Réglementation!A:A,2,1),"OC3")</f>
        <v>OC3</v>
      </c>
      <c r="O19247" s="7" t="str">
        <f>HYPERLINK("#Liste_rouge!A"&amp;_xlfn.XMATCH("LC",Liste_rouge!A:A,2,1),"LC")</f>
        <v>LC</v>
      </c>
      <c r="P19247" s="7" t="str">
        <f>HYPERLINK("#Liste_rouge!A"&amp;_xlfn.XMATCH("LC",Liste_rouge!A:A,2,1),"LC")</f>
        <v>LC</v>
      </c>
      <c r="Q19247" s="7" t="str">
        <f>HYPERLINK("#Liste_rouge!A"&amp;_xlfn.XMATCH("NA",Liste_rouge!A:A,2,1),"NA")</f>
        <v>NA</v>
      </c>
      <c r="R19247" s="7" t="str">
        <f>HYPERLINK("#Liste_rouge!A"&amp;_xlfn.XMATCH("LC",Liste_rouge!A:A,2,1),"LC")</f>
        <v>LC</v>
      </c>
      <c r="S19247" s="7" t="str">
        <f>HYPERLINK("#Liste_rouge!A"&amp;_xlfn.XMATCH("NA",Liste_rouge!A:A,2,1),"NA")</f>
        <v>NA</v>
      </c>
      <c r="X19247" s="5" t="s">
        <v>23439</v>
      </c>
      <c r="Y19247" s="5" t="s">
        <v>23440</v>
      </c>
      <c r="AH19247" s="4" t="str">
        <f>HYPERLINK("#Statut_biogéographique!A"&amp;_xlfn.XMATCH("P",Statut_biogéographique!A:A,2,1),"P")</f>
        <v>P</v>
      </c>
      <c r="AK19247" s="4" t="str">
        <f>HYPERLINK("#Réglementation!A"&amp;_xlfn.XMATCH("Ngib_ch_1",Réglementation!A:A,2,1),"Ngib_ch_1")</f>
        <v>Ngib_ch_1</v>
      </c>
      <c r="AM19247" s="4" t="s">
        <v>375</v>
      </c>
      <c r="AN19247" s="4" t="s">
        <v>375</v>
      </c>
      <c r="AO19247" s="4" t="s">
        <v>375</v>
      </c>
      <c r="AP19247" s="4" t="s">
        <v>376</v>
      </c>
      <c r="AR19247" s="4" t="s">
        <v>377</v>
      </c>
    </row>
    <row r="19248" spans="1:44" ht="60">
      <c r="A19248" s="4" t="s">
        <v>117</v>
      </c>
      <c r="B19248" s="4">
        <v>1958</v>
      </c>
      <c r="D19248" s="5">
        <v>1958</v>
      </c>
      <c r="E19248" s="6" t="str">
        <f>HYPERLINK("https://inpn.mnhn.fr/espece/cd_nom/1958","Anas crecca Linnaeus, 1758")</f>
        <v>Anas crecca Linnaeus, 1758</v>
      </c>
      <c r="F19248" s="5" t="s">
        <v>23441</v>
      </c>
      <c r="G19248" s="4" t="str">
        <f>HYPERLINK("[#Réglementation!A"&amp;_xlfn.XMATCH("CCC",Réglementation!A:A,2,1),"CCC")</f>
        <v>CCC</v>
      </c>
      <c r="H19248" s="4" t="str">
        <f>HYPERLINK("#Réglementation!A"&amp;_xlfn.XMATCH("IBOAE",Réglementation!A:A,2,1),"IBOAE - IBO2")</f>
        <v>IBOAE - IBO2</v>
      </c>
      <c r="I19248" s="4" t="str">
        <f>HYPERLINK("#Réglementation!A"&amp;_xlfn.XMATCH("IBE3",Réglementation!A:A,2,1),"IBE3")</f>
        <v>IBE3</v>
      </c>
      <c r="J19248" s="4" t="str">
        <f>HYPERLINK("#Réglementation!A"&amp;_xlfn.XMATCH("CDO21",Réglementation!A:A,2,1),"CDO21 - CDO32")</f>
        <v>CDO21 - CDO32</v>
      </c>
      <c r="L19248" s="4" t="str">
        <f>HYPERLINK("#Réglementation!A"&amp;_xlfn.XMATCH("OC3",Réglementation!A:A,2,1),"OC3")</f>
        <v>OC3</v>
      </c>
      <c r="O19248" s="7" t="str">
        <f>HYPERLINK("#Liste_rouge!A"&amp;_xlfn.XMATCH("LC",Liste_rouge!A:A,2,1),"LC")</f>
        <v>LC</v>
      </c>
      <c r="P19248" s="7" t="str">
        <f>HYPERLINK("#Liste_rouge!A"&amp;_xlfn.XMATCH("LC",Liste_rouge!A:A,2,1),"LC")</f>
        <v>LC</v>
      </c>
      <c r="Q19248" s="7" t="str">
        <f>HYPERLINK("#Liste_rouge!A"&amp;_xlfn.XMATCH("VU",Liste_rouge!A:A,2,1),"VU")</f>
        <v>VU</v>
      </c>
      <c r="R19248" s="7" t="str">
        <f>HYPERLINK("#Liste_rouge!A"&amp;_xlfn.XMATCH("LC",Liste_rouge!A:A,2,1),"LC")</f>
        <v>LC</v>
      </c>
      <c r="S19248" s="7" t="str">
        <f>HYPERLINK("#Liste_rouge!A"&amp;_xlfn.XMATCH("NA",Liste_rouge!A:A,2,1),"NA")</f>
        <v>NA</v>
      </c>
      <c r="T19248" s="7" t="str">
        <f>HYPERLINK("#Liste_rouge!A"&amp;_xlfn.XMATCH("CR",Liste_rouge!A:A,2,1),"CR")</f>
        <v>CR</v>
      </c>
      <c r="U19248" s="4" t="str">
        <f>HYPERLINK("#Critères_liste_rouge!A$1","D1")</f>
        <v>D1</v>
      </c>
      <c r="V19248" s="7" t="str">
        <f>HYPERLINK("#Liste_rouge!A"&amp;_xlfn.XMATCH("CR",Liste_rouge!A:A,2,1),"CR")</f>
        <v>CR</v>
      </c>
      <c r="W19248" s="4" t="str">
        <f>HYPERLINK("#Critères_liste_rouge!A$1","D1")</f>
        <v>D1</v>
      </c>
      <c r="X19248" s="5" t="s">
        <v>23442</v>
      </c>
      <c r="Y19248" s="5" t="s">
        <v>23443</v>
      </c>
      <c r="AE19248" s="4" t="str">
        <f>HYPERLINK("#SCAP!A"&amp;_xlfn.XMATCH("1+",SCAP!A:A,2,1),"1+")</f>
        <v>1+</v>
      </c>
      <c r="AF19248" s="4" t="str">
        <f>HYPERLINK("#SCAP!A"&amp;_xlfn.XMATCH("2+",SCAP!A:A,2,1),"2+")</f>
        <v>2+</v>
      </c>
      <c r="AG19248" s="4" t="str">
        <f>HYPERLINK("#SCAP!A"&amp;_xlfn.XMATCH("2+",SCAP!A:A,2,1),"2+")</f>
        <v>2+</v>
      </c>
      <c r="AH19248" s="4" t="str">
        <f>HYPERLINK("#Statut_biogéographique!A"&amp;_xlfn.XMATCH("P",Statut_biogéographique!A:A,2,1),"P")</f>
        <v>P</v>
      </c>
      <c r="AK19248" s="4" t="str">
        <f>HYPERLINK("#Réglementation!A"&amp;_xlfn.XMATCH("Ngib_ch_1",Réglementation!A:A,2,1),"Ngib_ch_1")</f>
        <v>Ngib_ch_1</v>
      </c>
      <c r="AM19248" s="4" t="s">
        <v>375</v>
      </c>
      <c r="AN19248" s="4" t="s">
        <v>375</v>
      </c>
      <c r="AO19248" s="4" t="s">
        <v>375</v>
      </c>
      <c r="AP19248" s="4" t="s">
        <v>376</v>
      </c>
      <c r="AR19248" s="4" t="s">
        <v>377</v>
      </c>
    </row>
    <row r="19249" spans="1:44">
      <c r="A19249" s="4" t="s">
        <v>117</v>
      </c>
      <c r="B19249" s="4">
        <v>1966</v>
      </c>
      <c r="D19249" s="5" t="s">
        <v>23444</v>
      </c>
      <c r="E19249" s="6" t="str">
        <f>HYPERLINK("https://inpn.mnhn.fr/espece/cd_nom/1966","Anas platyrhynchos Linnaeus, 1758")</f>
        <v>Anas platyrhynchos Linnaeus, 1758</v>
      </c>
      <c r="F19249" s="5" t="s">
        <v>23445</v>
      </c>
      <c r="H19249" s="4" t="str">
        <f>HYPERLINK("#Réglementation!A"&amp;_xlfn.XMATCH("IBOAE",Réglementation!A:A,2,1),"IBOAE - IBO2")</f>
        <v>IBOAE - IBO2</v>
      </c>
      <c r="I19249" s="4" t="str">
        <f>HYPERLINK("#Réglementation!A"&amp;_xlfn.XMATCH("IBE3",Réglementation!A:A,2,1),"IBE3")</f>
        <v>IBE3</v>
      </c>
      <c r="J19249" s="4" t="str">
        <f>HYPERLINK("#Réglementation!A"&amp;_xlfn.XMATCH("CDO21",Réglementation!A:A,2,1),"CDO21 - CDO31")</f>
        <v>CDO21 - CDO31</v>
      </c>
      <c r="O19249" s="7" t="str">
        <f>HYPERLINK("#Liste_rouge!A"&amp;_xlfn.XMATCH("LC",Liste_rouge!A:A,2,1),"LC")</f>
        <v>LC</v>
      </c>
      <c r="P19249" s="7" t="str">
        <f>HYPERLINK("#Liste_rouge!A"&amp;_xlfn.XMATCH("LC",Liste_rouge!A:A,2,1),"LC")</f>
        <v>LC</v>
      </c>
      <c r="Q19249" s="7" t="str">
        <f>HYPERLINK("#Liste_rouge!A"&amp;_xlfn.XMATCH("LC",Liste_rouge!A:A,2,1),"LC")</f>
        <v>LC</v>
      </c>
      <c r="R19249" s="7" t="str">
        <f>HYPERLINK("#Liste_rouge!A"&amp;_xlfn.XMATCH("LC",Liste_rouge!A:A,2,1),"LC")</f>
        <v>LC</v>
      </c>
      <c r="S19249" s="7" t="str">
        <f>HYPERLINK("#Liste_rouge!A"&amp;_xlfn.XMATCH("NA",Liste_rouge!A:A,2,1),"NA")</f>
        <v>NA</v>
      </c>
      <c r="T19249" s="7" t="str">
        <f>HYPERLINK("#Liste_rouge!A"&amp;_xlfn.XMATCH("LC",Liste_rouge!A:A,2,1),"LC")</f>
        <v>LC</v>
      </c>
      <c r="V19249" s="7" t="str">
        <f>HYPERLINK("#Liste_rouge!A"&amp;_xlfn.XMATCH("LC",Liste_rouge!A:A,2,1),"LC")</f>
        <v>LC</v>
      </c>
      <c r="AH19249" s="4" t="str">
        <f>HYPERLINK("#Statut_biogéographique!A"&amp;_xlfn.XMATCH("P",Statut_biogéographique!A:A,2,1),"P")</f>
        <v>P</v>
      </c>
      <c r="AK19249" s="4" t="str">
        <f>HYPERLINK("#Réglementation!A"&amp;_xlfn.XMATCH("Ngib_ch_1",Réglementation!A:A,2,1),"Ngib_ch_1")</f>
        <v>Ngib_ch_1</v>
      </c>
      <c r="AM19249" s="4" t="s">
        <v>375</v>
      </c>
      <c r="AN19249" s="4" t="s">
        <v>375</v>
      </c>
      <c r="AO19249" s="4" t="s">
        <v>375</v>
      </c>
      <c r="AP19249" s="4" t="s">
        <v>376</v>
      </c>
      <c r="AR19249" s="4" t="s">
        <v>377</v>
      </c>
    </row>
    <row r="19250" spans="1:44" ht="60">
      <c r="A19250" s="4" t="s">
        <v>117</v>
      </c>
      <c r="B19250" s="4">
        <v>1972</v>
      </c>
      <c r="D19250" s="5" t="s">
        <v>23446</v>
      </c>
      <c r="E19250" s="6" t="str">
        <f>HYPERLINK("https://inpn.mnhn.fr/espece/cd_nom/1972","Spatula clypeata (Linnaeus, 1758)")</f>
        <v>Spatula clypeata (Linnaeus, 1758)</v>
      </c>
      <c r="F19250" s="5" t="s">
        <v>23447</v>
      </c>
      <c r="G19250" s="4" t="str">
        <f>HYPERLINK("[#Réglementation!A"&amp;_xlfn.XMATCH("CCC",Réglementation!A:A,2,1),"CCC")</f>
        <v>CCC</v>
      </c>
      <c r="H19250" s="4" t="str">
        <f>HYPERLINK("#Réglementation!A"&amp;_xlfn.XMATCH("IBOAE",Réglementation!A:A,2,1),"IBOAE - IBO2")</f>
        <v>IBOAE - IBO2</v>
      </c>
      <c r="I19250" s="4" t="str">
        <f>HYPERLINK("#Réglementation!A"&amp;_xlfn.XMATCH("IBE3",Réglementation!A:A,2,1),"IBE3")</f>
        <v>IBE3</v>
      </c>
      <c r="J19250" s="4" t="str">
        <f>HYPERLINK("#Réglementation!A"&amp;_xlfn.XMATCH("CDO21",Réglementation!A:A,2,1),"CDO21 - CDO32")</f>
        <v>CDO21 - CDO32</v>
      </c>
      <c r="L19250" s="4" t="str">
        <f>HYPERLINK("#Réglementation!A"&amp;_xlfn.XMATCH("OC3",Réglementation!A:A,2,1),"OC3")</f>
        <v>OC3</v>
      </c>
      <c r="O19250" s="7" t="str">
        <f>HYPERLINK("#Liste_rouge!A"&amp;_xlfn.XMATCH("LC",Liste_rouge!A:A,2,1),"LC")</f>
        <v>LC</v>
      </c>
      <c r="P19250" s="7" t="str">
        <f>HYPERLINK("#Liste_rouge!A"&amp;_xlfn.XMATCH("LC",Liste_rouge!A:A,2,1),"LC")</f>
        <v>LC</v>
      </c>
      <c r="Q19250" s="7" t="str">
        <f>HYPERLINK("#Liste_rouge!A"&amp;_xlfn.XMATCH("LC",Liste_rouge!A:A,2,1),"LC")</f>
        <v>LC</v>
      </c>
      <c r="R19250" s="7" t="str">
        <f>HYPERLINK("#Liste_rouge!A"&amp;_xlfn.XMATCH("LC",Liste_rouge!A:A,2,1),"LC")</f>
        <v>LC</v>
      </c>
      <c r="S19250" s="7" t="str">
        <f>HYPERLINK("#Liste_rouge!A"&amp;_xlfn.XMATCH("NA",Liste_rouge!A:A,2,1),"NA")</f>
        <v>NA</v>
      </c>
      <c r="T19250" s="7" t="str">
        <f>HYPERLINK("#Liste_rouge!A"&amp;_xlfn.XMATCH("CR",Liste_rouge!A:A,2,1),"CR")</f>
        <v>CR</v>
      </c>
      <c r="U19250" s="4" t="str">
        <f>HYPERLINK("#Critères_liste_rouge!A$1","D1")</f>
        <v>D1</v>
      </c>
      <c r="V19250" s="7" t="str">
        <f>HYPERLINK("#Liste_rouge!A"&amp;_xlfn.XMATCH("NA",Liste_rouge!A:A,2,1),"NA")</f>
        <v>NA</v>
      </c>
      <c r="W19250" s="4" t="str">
        <f>HYPERLINK("#Critères_liste_rouge!A$1","b1")</f>
        <v>b1</v>
      </c>
      <c r="X19250" s="5" t="s">
        <v>23442</v>
      </c>
      <c r="Y19250" s="5" t="s">
        <v>23448</v>
      </c>
      <c r="AH19250" s="4" t="str">
        <f>HYPERLINK("#Statut_biogéographique!A"&amp;_xlfn.XMATCH("P",Statut_biogéographique!A:A,2,1),"P")</f>
        <v>P</v>
      </c>
      <c r="AK19250" s="4" t="str">
        <f>HYPERLINK("#Réglementation!A"&amp;_xlfn.XMATCH("Ngib_ch_1",Réglementation!A:A,2,1),"Ngib_ch_1")</f>
        <v>Ngib_ch_1</v>
      </c>
      <c r="AM19250" s="4" t="s">
        <v>375</v>
      </c>
      <c r="AN19250" s="4" t="s">
        <v>375</v>
      </c>
      <c r="AO19250" s="4" t="s">
        <v>375</v>
      </c>
      <c r="AP19250" s="4" t="s">
        <v>376</v>
      </c>
      <c r="AR19250" s="4" t="s">
        <v>377</v>
      </c>
    </row>
    <row r="19251" spans="1:44" ht="30">
      <c r="A19251" s="4" t="s">
        <v>117</v>
      </c>
      <c r="B19251" s="4">
        <v>1973</v>
      </c>
      <c r="D19251" s="5">
        <v>1973</v>
      </c>
      <c r="E19251" s="6" t="str">
        <f>HYPERLINK("https://inpn.mnhn.fr/espece/cd_nom/1973","Anas acuta Linnaeus, 1758")</f>
        <v>Anas acuta Linnaeus, 1758</v>
      </c>
      <c r="F19251" s="5" t="s">
        <v>23449</v>
      </c>
      <c r="G19251" s="4" t="str">
        <f>HYPERLINK("[#Réglementation!A"&amp;_xlfn.XMATCH("CCC",Réglementation!A:A,2,1),"CCC")</f>
        <v>CCC</v>
      </c>
      <c r="H19251" s="4" t="str">
        <f>HYPERLINK("#Réglementation!A"&amp;_xlfn.XMATCH("IBOAE",Réglementation!A:A,2,1),"IBOAE - IBO2")</f>
        <v>IBOAE - IBO2</v>
      </c>
      <c r="I19251" s="4" t="str">
        <f>HYPERLINK("#Réglementation!A"&amp;_xlfn.XMATCH("IBE3",Réglementation!A:A,2,1),"IBE3")</f>
        <v>IBE3</v>
      </c>
      <c r="J19251" s="4" t="str">
        <f>HYPERLINK("#Réglementation!A"&amp;_xlfn.XMATCH("CDO21",Réglementation!A:A,2,1),"CDO21 - CDO32")</f>
        <v>CDO21 - CDO32</v>
      </c>
      <c r="L19251" s="4" t="str">
        <f>HYPERLINK("#Réglementation!A"&amp;_xlfn.XMATCH("OC3",Réglementation!A:A,2,1),"OC3")</f>
        <v>OC3</v>
      </c>
      <c r="O19251" s="7" t="str">
        <f>HYPERLINK("#Liste_rouge!A"&amp;_xlfn.XMATCH("LC",Liste_rouge!A:A,2,1),"LC")</f>
        <v>LC</v>
      </c>
      <c r="P19251" s="7" t="str">
        <f>HYPERLINK("#Liste_rouge!A"&amp;_xlfn.XMATCH("VU",Liste_rouge!A:A,2,1),"VU")</f>
        <v>VU</v>
      </c>
      <c r="Q19251" s="7" t="str">
        <f>HYPERLINK("#Liste_rouge!A"&amp;_xlfn.XMATCH("NA",Liste_rouge!A:A,2,1),"NA")</f>
        <v>NA</v>
      </c>
      <c r="R19251" s="7" t="str">
        <f>HYPERLINK("#Liste_rouge!A"&amp;_xlfn.XMATCH("LC",Liste_rouge!A:A,2,1),"LC")</f>
        <v>LC</v>
      </c>
      <c r="S19251" s="7" t="str">
        <f>HYPERLINK("#Liste_rouge!A"&amp;_xlfn.XMATCH("NA",Liste_rouge!A:A,2,1),"NA")</f>
        <v>NA</v>
      </c>
      <c r="X19251" s="5" t="s">
        <v>23439</v>
      </c>
      <c r="Y19251" s="5" t="s">
        <v>23450</v>
      </c>
      <c r="AH19251" s="4" t="str">
        <f>HYPERLINK("#Statut_biogéographique!A"&amp;_xlfn.XMATCH("P",Statut_biogéographique!A:A,2,1),"P")</f>
        <v>P</v>
      </c>
      <c r="AK19251" s="4" t="str">
        <f>HYPERLINK("#Réglementation!A"&amp;_xlfn.XMATCH("Ngib_ch_1",Réglementation!A:A,2,1),"Ngib_ch_1")</f>
        <v>Ngib_ch_1</v>
      </c>
      <c r="AM19251" s="4" t="s">
        <v>375</v>
      </c>
      <c r="AN19251" s="4" t="s">
        <v>375</v>
      </c>
      <c r="AO19251" s="4" t="s">
        <v>375</v>
      </c>
      <c r="AP19251" s="4" t="s">
        <v>376</v>
      </c>
      <c r="AR19251" s="4" t="s">
        <v>377</v>
      </c>
    </row>
    <row r="19252" spans="1:44" ht="30">
      <c r="A19252" s="4" t="s">
        <v>117</v>
      </c>
      <c r="B19252" s="4">
        <v>1980</v>
      </c>
      <c r="D19252" s="5" t="s">
        <v>23451</v>
      </c>
      <c r="E19252" s="6" t="str">
        <f>HYPERLINK("https://inpn.mnhn.fr/espece/cd_nom/1980","Marmaronetta angustirostris (Ménétries, 1832)")</f>
        <v>Marmaronetta angustirostris (Ménétries, 1832)</v>
      </c>
      <c r="F19252" s="5" t="s">
        <v>23452</v>
      </c>
      <c r="H19252" s="4" t="str">
        <f>HYPERLINK("#Réglementation!A"&amp;_xlfn.XMATCH("IBOAE",Réglementation!A:A,2,1),"IBOAE - IBO1 - IBO2")</f>
        <v>IBOAE - IBO1 - IBO2</v>
      </c>
      <c r="I19252" s="4" t="str">
        <f>HYPERLINK("#Réglementation!A"&amp;_xlfn.XMATCH("IBE2",Réglementation!A:A,2,1),"IBE2")</f>
        <v>IBE2</v>
      </c>
      <c r="J19252" s="4" t="str">
        <f>HYPERLINK("#Réglementation!A"&amp;_xlfn.XMATCH("CDO1",Réglementation!A:A,2,1),"CDO1")</f>
        <v>CDO1</v>
      </c>
      <c r="L19252" s="4" t="str">
        <f>HYPERLINK("#Réglementation!A"&amp;_xlfn.XMATCH("NO3",Réglementation!A:A,2,1),"NO3")</f>
        <v>NO3</v>
      </c>
      <c r="O19252" s="7" t="str">
        <f>HYPERLINK("#Liste_rouge!A"&amp;_xlfn.XMATCH("NT",Liste_rouge!A:A,2,1),"NT")</f>
        <v>NT</v>
      </c>
      <c r="P19252" s="7" t="str">
        <f>HYPERLINK("#Liste_rouge!A"&amp;_xlfn.XMATCH("VU",Liste_rouge!A:A,2,1),"VU")</f>
        <v>VU</v>
      </c>
      <c r="Q19252" s="7" t="str">
        <f>HYPERLINK("#Liste_rouge!A"&amp;_xlfn.XMATCH("RE",Liste_rouge!A:A,2,1),"RE")</f>
        <v>RE</v>
      </c>
      <c r="S19252" s="7" t="str">
        <f>HYPERLINK("#Liste_rouge!A"&amp;_xlfn.XMATCH("NA",Liste_rouge!A:A,2,1),"NA")</f>
        <v>NA</v>
      </c>
      <c r="AH19252" s="4" t="str">
        <f>HYPERLINK("#Statut_biogéographique!A"&amp;_xlfn.XMATCH("P",Statut_biogéographique!A:A,2,1),"P")</f>
        <v>P</v>
      </c>
      <c r="AP19252" s="4" t="s">
        <v>376</v>
      </c>
      <c r="AR19252" s="4" t="s">
        <v>377</v>
      </c>
    </row>
    <row r="19253" spans="1:44" ht="60">
      <c r="A19253" s="4" t="s">
        <v>117</v>
      </c>
      <c r="B19253" s="4">
        <v>1984</v>
      </c>
      <c r="D19253" s="5" t="s">
        <v>23453</v>
      </c>
      <c r="E19253" s="6" t="str">
        <f>HYPERLINK("https://inpn.mnhn.fr/espece/cd_nom/1984","Netta rufina (Pallas, 1773)")</f>
        <v>Netta rufina (Pallas, 1773)</v>
      </c>
      <c r="F19253" s="5" t="s">
        <v>23454</v>
      </c>
      <c r="H19253" s="4" t="str">
        <f>HYPERLINK("#Réglementation!A"&amp;_xlfn.XMATCH("IBOAE",Réglementation!A:A,2,1),"IBOAE - IBO2")</f>
        <v>IBOAE - IBO2</v>
      </c>
      <c r="I19253" s="4" t="str">
        <f>HYPERLINK("#Réglementation!A"&amp;_xlfn.XMATCH("IBE3",Réglementation!A:A,2,1),"IBE3")</f>
        <v>IBE3</v>
      </c>
      <c r="J19253" s="4" t="str">
        <f>HYPERLINK("#Réglementation!A"&amp;_xlfn.XMATCH("CDO22",Réglementation!A:A,2,1),"CDO22")</f>
        <v>CDO22</v>
      </c>
      <c r="L19253" s="4" t="str">
        <f>HYPERLINK("#Réglementation!A"&amp;_xlfn.XMATCH("OC3",Réglementation!A:A,2,1),"OC3")</f>
        <v>OC3</v>
      </c>
      <c r="O19253" s="7" t="str">
        <f>HYPERLINK("#Liste_rouge!A"&amp;_xlfn.XMATCH("LC",Liste_rouge!A:A,2,1),"LC")</f>
        <v>LC</v>
      </c>
      <c r="P19253" s="7" t="str">
        <f>HYPERLINK("#Liste_rouge!A"&amp;_xlfn.XMATCH("LC",Liste_rouge!A:A,2,1),"LC")</f>
        <v>LC</v>
      </c>
      <c r="Q19253" s="7" t="str">
        <f>HYPERLINK("#Liste_rouge!A"&amp;_xlfn.XMATCH("LC",Liste_rouge!A:A,2,1),"LC")</f>
        <v>LC</v>
      </c>
      <c r="R19253" s="7" t="str">
        <f>HYPERLINK("#Liste_rouge!A"&amp;_xlfn.XMATCH("LC",Liste_rouge!A:A,2,1),"LC")</f>
        <v>LC</v>
      </c>
      <c r="S19253" s="7" t="str">
        <f>HYPERLINK("#Liste_rouge!A"&amp;_xlfn.XMATCH("NA",Liste_rouge!A:A,2,1),"NA")</f>
        <v>NA</v>
      </c>
      <c r="T19253" s="7" t="str">
        <f>HYPERLINK("#Liste_rouge!A"&amp;_xlfn.XMATCH("VU",Liste_rouge!A:A,2,1),"VU")</f>
        <v>VU</v>
      </c>
      <c r="U19253" s="4" t="str">
        <f>HYPERLINK("#Critères_liste_rouge!A$1","D1 (EN -1)")</f>
        <v>D1 (EN -1)</v>
      </c>
      <c r="V19253" s="7" t="str">
        <f>HYPERLINK("#Liste_rouge!A"&amp;_xlfn.XMATCH("EN",Liste_rouge!A:A,2,1),"EN")</f>
        <v>EN</v>
      </c>
      <c r="W19253" s="4" t="str">
        <f>HYPERLINK("#Critères_liste_rouge!A$1","CR (D1) (-1)")</f>
        <v>CR (D1) (-1)</v>
      </c>
      <c r="X19253" s="5" t="s">
        <v>23442</v>
      </c>
      <c r="Y19253" s="5" t="s">
        <v>23455</v>
      </c>
      <c r="AH19253" s="4" t="str">
        <f>HYPERLINK("#Statut_biogéographique!A"&amp;_xlfn.XMATCH("P",Statut_biogéographique!A:A,2,1),"P")</f>
        <v>P</v>
      </c>
      <c r="AK19253" s="4" t="str">
        <f>HYPERLINK("#Réglementation!A"&amp;_xlfn.XMATCH("Ngib_ch_1",Réglementation!A:A,2,1),"Ngib_ch_1")</f>
        <v>Ngib_ch_1</v>
      </c>
      <c r="AM19253" s="4" t="s">
        <v>375</v>
      </c>
      <c r="AN19253" s="4" t="s">
        <v>375</v>
      </c>
      <c r="AO19253" s="4" t="s">
        <v>375</v>
      </c>
      <c r="AP19253" s="4" t="s">
        <v>376</v>
      </c>
      <c r="AR19253" s="4" t="s">
        <v>377</v>
      </c>
    </row>
    <row r="19254" spans="1:44" ht="30">
      <c r="A19254" s="4" t="s">
        <v>117</v>
      </c>
      <c r="B19254" s="4">
        <v>1988</v>
      </c>
      <c r="D19254" s="5" t="s">
        <v>23456</v>
      </c>
      <c r="E19254" s="6" t="str">
        <f>HYPERLINK("https://inpn.mnhn.fr/espece/cd_nom/1988","Aythya collaris (Donovan, 1809)")</f>
        <v>Aythya collaris (Donovan, 1809)</v>
      </c>
      <c r="F19254" s="5" t="s">
        <v>23457</v>
      </c>
      <c r="H19254" s="4" t="str">
        <f>HYPERLINK("#Réglementation!A"&amp;_xlfn.XMATCH("IBO2",Réglementation!A:A,2,1),"IBO2")</f>
        <v>IBO2</v>
      </c>
      <c r="I19254" s="4" t="str">
        <f>HYPERLINK("#Réglementation!A"&amp;_xlfn.XMATCH("IBE3",Réglementation!A:A,2,1),"IBE3")</f>
        <v>IBE3</v>
      </c>
      <c r="L19254" s="4" t="str">
        <f>HYPERLINK("#Réglementation!A"&amp;_xlfn.XMATCH("NO4",Réglementation!A:A,2,1),"NO4")</f>
        <v>NO4</v>
      </c>
      <c r="O19254" s="7" t="str">
        <f>HYPERLINK("#Liste_rouge!A"&amp;_xlfn.XMATCH("LC",Liste_rouge!A:A,2,1),"LC")</f>
        <v>LC</v>
      </c>
      <c r="R19254" s="7" t="str">
        <f>HYPERLINK("#Liste_rouge!A"&amp;_xlfn.XMATCH("NA",Liste_rouge!A:A,2,1),"NA")</f>
        <v>NA</v>
      </c>
      <c r="S19254" s="7" t="str">
        <f>HYPERLINK("#Liste_rouge!A"&amp;_xlfn.XMATCH("NA",Liste_rouge!A:A,2,1),"NA")</f>
        <v>NA</v>
      </c>
      <c r="AH19254" s="4" t="str">
        <f>HYPERLINK("#Statut_biogéographique!A"&amp;_xlfn.XMATCH("P",Statut_biogéographique!A:A,2,1),"P")</f>
        <v>P</v>
      </c>
      <c r="AM19254" s="4" t="s">
        <v>375</v>
      </c>
      <c r="AN19254" s="4" t="s">
        <v>375</v>
      </c>
      <c r="AO19254" s="4" t="s">
        <v>375</v>
      </c>
      <c r="AP19254" s="4" t="s">
        <v>376</v>
      </c>
      <c r="AR19254" s="4" t="s">
        <v>377</v>
      </c>
    </row>
    <row r="19255" spans="1:44" ht="60">
      <c r="A19255" s="4" t="s">
        <v>117</v>
      </c>
      <c r="B19255" s="4">
        <v>1991</v>
      </c>
      <c r="D19255" s="5" t="s">
        <v>23458</v>
      </c>
      <c r="E19255" s="6" t="str">
        <f>HYPERLINK("https://inpn.mnhn.fr/espece/cd_nom/1991","Aythya ferina (Linnaeus, 1758)")</f>
        <v>Aythya ferina (Linnaeus, 1758)</v>
      </c>
      <c r="F19255" s="5" t="s">
        <v>23459</v>
      </c>
      <c r="H19255" s="4" t="str">
        <f>HYPERLINK("#Réglementation!A"&amp;_xlfn.XMATCH("IBOAE",Réglementation!A:A,2,1),"IBOAE - IBO2")</f>
        <v>IBOAE - IBO2</v>
      </c>
      <c r="I19255" s="4" t="str">
        <f>HYPERLINK("#Réglementation!A"&amp;_xlfn.XMATCH("IBE3",Réglementation!A:A,2,1),"IBE3")</f>
        <v>IBE3</v>
      </c>
      <c r="J19255" s="4" t="str">
        <f>HYPERLINK("#Réglementation!A"&amp;_xlfn.XMATCH("CDO21",Réglementation!A:A,2,1),"CDO21 - CDO32")</f>
        <v>CDO21 - CDO32</v>
      </c>
      <c r="L19255" s="4" t="str">
        <f>HYPERLINK("#Réglementation!A"&amp;_xlfn.XMATCH("OC3",Réglementation!A:A,2,1),"OC3")</f>
        <v>OC3</v>
      </c>
      <c r="O19255" s="7" t="str">
        <f>HYPERLINK("#Liste_rouge!A"&amp;_xlfn.XMATCH("VU",Liste_rouge!A:A,2,1),"VU")</f>
        <v>VU</v>
      </c>
      <c r="P19255" s="7" t="str">
        <f>HYPERLINK("#Liste_rouge!A"&amp;_xlfn.XMATCH("VU",Liste_rouge!A:A,2,1),"VU")</f>
        <v>VU</v>
      </c>
      <c r="Q19255" s="7" t="str">
        <f>HYPERLINK("#Liste_rouge!A"&amp;_xlfn.XMATCH("VU",Liste_rouge!A:A,2,1),"VU")</f>
        <v>VU</v>
      </c>
      <c r="R19255" s="7" t="str">
        <f>HYPERLINK("#Liste_rouge!A"&amp;_xlfn.XMATCH("LC",Liste_rouge!A:A,2,1),"LC")</f>
        <v>LC</v>
      </c>
      <c r="S19255" s="7" t="str">
        <f>HYPERLINK("#Liste_rouge!A"&amp;_xlfn.XMATCH("NA",Liste_rouge!A:A,2,1),"NA")</f>
        <v>NA</v>
      </c>
      <c r="T19255" s="7" t="str">
        <f>HYPERLINK("#Liste_rouge!A"&amp;_xlfn.XMATCH("VU",Liste_rouge!A:A,2,1),"VU")</f>
        <v>VU</v>
      </c>
      <c r="U19255" s="4" t="str">
        <f>HYPERLINK("#Critères_liste_rouge!A$1","D1")</f>
        <v>D1</v>
      </c>
      <c r="V19255" s="7" t="str">
        <f>HYPERLINK("#Liste_rouge!A"&amp;_xlfn.XMATCH("EN",Liste_rouge!A:A,2,1),"EN")</f>
        <v>EN</v>
      </c>
      <c r="W19255" s="4" t="str">
        <f>HYPERLINK("#Critères_liste_rouge!A$1","D1")</f>
        <v>D1</v>
      </c>
      <c r="X19255" s="5" t="s">
        <v>23442</v>
      </c>
      <c r="Y19255" s="5" t="s">
        <v>23460</v>
      </c>
      <c r="AH19255" s="4" t="str">
        <f>HYPERLINK("#Statut_biogéographique!A"&amp;_xlfn.XMATCH("P",Statut_biogéographique!A:A,2,1),"P")</f>
        <v>P</v>
      </c>
      <c r="AK19255" s="4" t="str">
        <f>HYPERLINK("#Réglementation!A"&amp;_xlfn.XMATCH("Ngib_ch_1",Réglementation!A:A,2,1),"Ngib_ch_1")</f>
        <v>Ngib_ch_1</v>
      </c>
      <c r="AM19255" s="4" t="s">
        <v>375</v>
      </c>
      <c r="AN19255" s="4" t="s">
        <v>375</v>
      </c>
      <c r="AO19255" s="4" t="s">
        <v>375</v>
      </c>
      <c r="AP19255" s="4" t="s">
        <v>376</v>
      </c>
      <c r="AR19255" s="4" t="s">
        <v>377</v>
      </c>
    </row>
    <row r="19256" spans="1:44">
      <c r="A19256" s="4" t="s">
        <v>117</v>
      </c>
      <c r="B19256" s="4">
        <v>199294</v>
      </c>
      <c r="D19256" s="5" t="s">
        <v>23461</v>
      </c>
      <c r="E19256" s="6" t="str">
        <f>HYPERLINK("https://inpn.mnhn.fr/espece/cd_nom/199294","Bonasa bonasia (Linnaeus, 1758)")</f>
        <v>Bonasa bonasia (Linnaeus, 1758)</v>
      </c>
      <c r="F19256" s="5" t="s">
        <v>23462</v>
      </c>
      <c r="I19256" s="4" t="str">
        <f>HYPERLINK("#Réglementation!A"&amp;_xlfn.XMATCH("IBE3",Réglementation!A:A,2,1),"IBE3")</f>
        <v>IBE3</v>
      </c>
      <c r="J19256" s="4" t="str">
        <f>HYPERLINK("#Réglementation!A"&amp;_xlfn.XMATCH("CDO1",Réglementation!A:A,2,1),"CDO1 - CDO22")</f>
        <v>CDO1 - CDO22</v>
      </c>
      <c r="L19256" s="4" t="str">
        <f>HYPERLINK("#Réglementation!A"&amp;_xlfn.XMATCH("OC3",Réglementation!A:A,2,1),"OC3")</f>
        <v>OC3</v>
      </c>
      <c r="O19256" s="7" t="str">
        <f>HYPERLINK("#Liste_rouge!A"&amp;_xlfn.XMATCH("LC",Liste_rouge!A:A,2,1),"LC")</f>
        <v>LC</v>
      </c>
      <c r="P19256" s="7" t="str">
        <f>HYPERLINK("#Liste_rouge!A"&amp;_xlfn.XMATCH("LC",Liste_rouge!A:A,2,1),"LC")</f>
        <v>LC</v>
      </c>
      <c r="Q19256" s="7" t="str">
        <f>HYPERLINK("#Liste_rouge!A"&amp;_xlfn.XMATCH("NT",Liste_rouge!A:A,2,1),"NT")</f>
        <v>NT</v>
      </c>
      <c r="T19256" s="7" t="str">
        <f>HYPERLINK("#Liste_rouge!A"&amp;_xlfn.XMATCH("VU",Liste_rouge!A:A,2,1),"VU")</f>
        <v>VU</v>
      </c>
      <c r="V19256" s="7" t="str">
        <f>HYPERLINK("#Liste_rouge!A"&amp;_xlfn.XMATCH("VU",Liste_rouge!A:A,2,1),"VU")</f>
        <v>VU</v>
      </c>
      <c r="W19256" s="4" t="str">
        <f>HYPERLINK("#Critères_liste_rouge!A$1","A2c")</f>
        <v>A2c</v>
      </c>
      <c r="X19256" s="5" t="s">
        <v>374</v>
      </c>
      <c r="AE19256" s="4" t="str">
        <f>HYPERLINK("#SCAP!A"&amp;_xlfn.XMATCH("2+",SCAP!A:A,2,1),"2+")</f>
        <v>2+</v>
      </c>
      <c r="AG19256" s="4" t="str">
        <f>HYPERLINK("#SCAP!A"&amp;_xlfn.XMATCH("2+",SCAP!A:A,2,1),"2+")</f>
        <v>2+</v>
      </c>
      <c r="AH19256" s="4" t="str">
        <f>HYPERLINK("#Statut_biogéographique!A"&amp;_xlfn.XMATCH("P",Statut_biogéographique!A:A,2,1),"P")</f>
        <v>P</v>
      </c>
      <c r="AK19256" s="4" t="str">
        <f>HYPERLINK("#Réglementation!A"&amp;_xlfn.XMATCH("Ngib_ch_1",Réglementation!A:A,2,1),"Ngib_ch_1")</f>
        <v>Ngib_ch_1</v>
      </c>
      <c r="AM19256" s="4" t="s">
        <v>375</v>
      </c>
      <c r="AN19256" s="4" t="s">
        <v>375</v>
      </c>
      <c r="AO19256" s="4" t="s">
        <v>382</v>
      </c>
      <c r="AP19256" s="4" t="s">
        <v>376</v>
      </c>
      <c r="AR19256" s="4" t="s">
        <v>377</v>
      </c>
    </row>
    <row r="19257" spans="1:44" ht="30">
      <c r="A19257" s="4" t="s">
        <v>117</v>
      </c>
      <c r="B19257" s="4">
        <v>199305</v>
      </c>
      <c r="D19257" s="5" t="s">
        <v>23463</v>
      </c>
      <c r="E19257" s="6" t="str">
        <f>HYPERLINK("https://inpn.mnhn.fr/espece/cd_nom/199305","Aythya affinis (Eyton, 1838)")</f>
        <v>Aythya affinis (Eyton, 1838)</v>
      </c>
      <c r="F19257" s="5" t="s">
        <v>23464</v>
      </c>
      <c r="H19257" s="4" t="str">
        <f>HYPERLINK("#Réglementation!A"&amp;_xlfn.XMATCH("IBO2",Réglementation!A:A,2,1),"IBO2")</f>
        <v>IBO2</v>
      </c>
      <c r="I19257" s="4" t="str">
        <f>HYPERLINK("#Réglementation!A"&amp;_xlfn.XMATCH("IBE3",Réglementation!A:A,2,1),"IBE3")</f>
        <v>IBE3</v>
      </c>
      <c r="L19257" s="4" t="str">
        <f>HYPERLINK("#Réglementation!A"&amp;_xlfn.XMATCH("NO4",Réglementation!A:A,2,1),"NO4")</f>
        <v>NO4</v>
      </c>
      <c r="O19257" s="7" t="str">
        <f>HYPERLINK("#Liste_rouge!A"&amp;_xlfn.XMATCH("LC",Liste_rouge!A:A,2,1),"LC")</f>
        <v>LC</v>
      </c>
      <c r="S19257" s="7" t="str">
        <f>HYPERLINK("#Liste_rouge!A"&amp;_xlfn.XMATCH("NA",Liste_rouge!A:A,2,1),"NA")</f>
        <v>NA</v>
      </c>
      <c r="AH19257" s="4" t="str">
        <f>HYPERLINK("#Statut_biogéographique!A"&amp;_xlfn.XMATCH("B",Statut_biogéographique!A:A,2,1),"B")</f>
        <v>B</v>
      </c>
      <c r="AM19257" s="4" t="s">
        <v>375</v>
      </c>
      <c r="AN19257" s="4" t="s">
        <v>375</v>
      </c>
      <c r="AO19257" s="4" t="s">
        <v>375</v>
      </c>
      <c r="AP19257" s="4" t="s">
        <v>376</v>
      </c>
      <c r="AR19257" s="4" t="s">
        <v>377</v>
      </c>
    </row>
    <row r="19258" spans="1:44">
      <c r="A19258" s="4" t="s">
        <v>117</v>
      </c>
      <c r="B19258" s="4">
        <v>199310</v>
      </c>
      <c r="D19258" s="5" t="s">
        <v>23465</v>
      </c>
      <c r="E19258" s="6" t="str">
        <f>HYPERLINK("https://inpn.mnhn.fr/espece/cd_nom/199310","Bucephala albeola (Linnaeus, 1758)")</f>
        <v>Bucephala albeola (Linnaeus, 1758)</v>
      </c>
      <c r="F19258" s="5" t="s">
        <v>23466</v>
      </c>
      <c r="H19258" s="4" t="str">
        <f>HYPERLINK("#Réglementation!A"&amp;_xlfn.XMATCH("IBO2",Réglementation!A:A,2,1),"IBO2")</f>
        <v>IBO2</v>
      </c>
      <c r="I19258" s="4" t="str">
        <f>HYPERLINK("#Réglementation!A"&amp;_xlfn.XMATCH("IBE3",Réglementation!A:A,2,1),"IBE3")</f>
        <v>IBE3</v>
      </c>
      <c r="L19258" s="4" t="str">
        <f>HYPERLINK("#Réglementation!A"&amp;_xlfn.XMATCH("NO4",Réglementation!A:A,2,1),"NO4")</f>
        <v>NO4</v>
      </c>
      <c r="O19258" s="7" t="str">
        <f>HYPERLINK("#Liste_rouge!A"&amp;_xlfn.XMATCH("LC",Liste_rouge!A:A,2,1),"LC")</f>
        <v>LC</v>
      </c>
      <c r="S19258" s="7" t="str">
        <f>HYPERLINK("#Liste_rouge!A"&amp;_xlfn.XMATCH("NA",Liste_rouge!A:A,2,1),"NA")</f>
        <v>NA</v>
      </c>
      <c r="AH19258" s="4" t="str">
        <f>HYPERLINK("#Statut_biogéographique!A"&amp;_xlfn.XMATCH("B",Statut_biogéographique!A:A,2,1),"B")</f>
        <v>B</v>
      </c>
      <c r="AP19258" s="4" t="s">
        <v>376</v>
      </c>
      <c r="AR19258" s="4" t="s">
        <v>377</v>
      </c>
    </row>
    <row r="19259" spans="1:44">
      <c r="A19259" s="4" t="s">
        <v>117</v>
      </c>
      <c r="B19259" s="4">
        <v>199311</v>
      </c>
      <c r="D19259" s="5" t="s">
        <v>23467</v>
      </c>
      <c r="E19259" s="6" t="str">
        <f>HYPERLINK("https://inpn.mnhn.fr/espece/cd_nom/199311","Lophodytes cucullatus (Linnaeus, 1758)")</f>
        <v>Lophodytes cucullatus (Linnaeus, 1758)</v>
      </c>
      <c r="F19259" s="5" t="s">
        <v>23468</v>
      </c>
      <c r="H19259" s="4" t="str">
        <f>HYPERLINK("#Réglementation!A"&amp;_xlfn.XMATCH("IBO2",Réglementation!A:A,2,1),"IBO2")</f>
        <v>IBO2</v>
      </c>
      <c r="L19259" s="4" t="str">
        <f>HYPERLINK("#Réglementation!A"&amp;_xlfn.XMATCH("NO4",Réglementation!A:A,2,1),"NO4")</f>
        <v>NO4</v>
      </c>
      <c r="O19259" s="7" t="str">
        <f>HYPERLINK("#Liste_rouge!A"&amp;_xlfn.XMATCH("LC",Liste_rouge!A:A,2,1),"LC")</f>
        <v>LC</v>
      </c>
      <c r="AH19259" s="4" t="str">
        <f>HYPERLINK("#Statut_biogéographique!A"&amp;_xlfn.XMATCH("M",Statut_biogéographique!A:A,2,1),"M")</f>
        <v>M</v>
      </c>
      <c r="AP19259" s="4" t="s">
        <v>376</v>
      </c>
      <c r="AR19259" s="4" t="s">
        <v>377</v>
      </c>
    </row>
    <row r="19260" spans="1:44" ht="75">
      <c r="A19260" s="4" t="s">
        <v>117</v>
      </c>
      <c r="B19260" s="4">
        <v>199312</v>
      </c>
      <c r="D19260" s="5" t="s">
        <v>23469</v>
      </c>
      <c r="E19260" s="6" t="str">
        <f>HYPERLINK("https://inpn.mnhn.fr/espece/cd_nom/199312","Mergellus albellus (Linnaeus, 1758)")</f>
        <v>Mergellus albellus (Linnaeus, 1758)</v>
      </c>
      <c r="F19260" s="5" t="s">
        <v>23470</v>
      </c>
      <c r="H19260" s="4" t="str">
        <f>HYPERLINK("#Réglementation!A"&amp;_xlfn.XMATCH("IBOAE",Réglementation!A:A,2,1),"IBOAE - IBO2")</f>
        <v>IBOAE - IBO2</v>
      </c>
      <c r="I19260" s="4" t="str">
        <f>HYPERLINK("#Réglementation!A"&amp;_xlfn.XMATCH("IBE2",Réglementation!A:A,2,1),"IBE2")</f>
        <v>IBE2</v>
      </c>
      <c r="J19260" s="4" t="str">
        <f>HYPERLINK("#Réglementation!A"&amp;_xlfn.XMATCH("CDO1",Réglementation!A:A,2,1),"CDO1")</f>
        <v>CDO1</v>
      </c>
      <c r="L19260" s="4" t="str">
        <f>HYPERLINK("#Réglementation!A"&amp;_xlfn.XMATCH("NO3",Réglementation!A:A,2,1),"NO3")</f>
        <v>NO3</v>
      </c>
      <c r="O19260" s="7" t="str">
        <f>HYPERLINK("#Liste_rouge!A"&amp;_xlfn.XMATCH("LC",Liste_rouge!A:A,2,1),"LC")</f>
        <v>LC</v>
      </c>
      <c r="P19260" s="7" t="str">
        <f>HYPERLINK("#Liste_rouge!A"&amp;_xlfn.XMATCH("LC",Liste_rouge!A:A,2,1),"LC")</f>
        <v>LC</v>
      </c>
      <c r="R19260" s="7" t="str">
        <f>HYPERLINK("#Liste_rouge!A"&amp;_xlfn.XMATCH("VU",Liste_rouge!A:A,2,1),"VU")</f>
        <v>VU</v>
      </c>
      <c r="X19260" s="5" t="s">
        <v>23439</v>
      </c>
      <c r="Y19260" s="5" t="s">
        <v>23471</v>
      </c>
      <c r="AH19260" s="4" t="str">
        <f>HYPERLINK("#Statut_biogéographique!A"&amp;_xlfn.XMATCH("P",Statut_biogéographique!A:A,2,1),"P")</f>
        <v>P</v>
      </c>
      <c r="AM19260" s="4" t="s">
        <v>375</v>
      </c>
      <c r="AN19260" s="4" t="s">
        <v>375</v>
      </c>
      <c r="AO19260" s="4" t="s">
        <v>375</v>
      </c>
      <c r="AP19260" s="4" t="s">
        <v>376</v>
      </c>
      <c r="AR19260" s="4" t="s">
        <v>377</v>
      </c>
    </row>
    <row r="19261" spans="1:44">
      <c r="A19261" s="4" t="s">
        <v>117</v>
      </c>
      <c r="B19261" s="4">
        <v>199335</v>
      </c>
      <c r="D19261" s="5" t="s">
        <v>23472</v>
      </c>
      <c r="E19261" s="6" t="str">
        <f>HYPERLINK("https://inpn.mnhn.fr/espece/cd_nom/199335","Phoenicopterus roseus Pallas, 1811")</f>
        <v>Phoenicopterus roseus Pallas, 1811</v>
      </c>
      <c r="F19261" s="5" t="s">
        <v>23473</v>
      </c>
      <c r="G19261" s="4" t="str">
        <f>HYPERLINK("[#Réglementation!A"&amp;_xlfn.XMATCH("CCB",Réglementation!A:A,2,1),"CCB")</f>
        <v>CCB</v>
      </c>
      <c r="H19261" s="4" t="str">
        <f>HYPERLINK("#Réglementation!A"&amp;_xlfn.XMATCH("IBO2",Réglementation!A:A,2,1),"IBO2")</f>
        <v>IBO2</v>
      </c>
      <c r="I19261" s="4" t="str">
        <f>HYPERLINK("#Réglementation!A"&amp;_xlfn.XMATCH("IBE3",Réglementation!A:A,2,1),"IBE3")</f>
        <v>IBE3</v>
      </c>
      <c r="L19261" s="4" t="str">
        <f>HYPERLINK("#Réglementation!A"&amp;_xlfn.XMATCH("NO3",Réglementation!A:A,2,1),"NO3")</f>
        <v>NO3</v>
      </c>
      <c r="O19261" s="7" t="str">
        <f>HYPERLINK("#Liste_rouge!A"&amp;_xlfn.XMATCH("LC",Liste_rouge!A:A,2,1),"LC")</f>
        <v>LC</v>
      </c>
      <c r="P19261" s="7" t="str">
        <f>HYPERLINK("#Liste_rouge!A"&amp;_xlfn.XMATCH("LC",Liste_rouge!A:A,2,1),"LC")</f>
        <v>LC</v>
      </c>
      <c r="Q19261" s="7" t="str">
        <f>HYPERLINK("#Liste_rouge!A"&amp;_xlfn.XMATCH("VU",Liste_rouge!A:A,2,1),"VU")</f>
        <v>VU</v>
      </c>
      <c r="R19261" s="7" t="str">
        <f>HYPERLINK("#Liste_rouge!A"&amp;_xlfn.XMATCH("NA",Liste_rouge!A:A,2,1),"NA")</f>
        <v>NA</v>
      </c>
      <c r="AE19261" s="4" t="str">
        <f>HYPERLINK("#SCAP!A"&amp;_xlfn.XMATCH("1+",SCAP!A:A,2,1),"1+")</f>
        <v>1+</v>
      </c>
      <c r="AH19261" s="4" t="str">
        <f>HYPERLINK("#Statut_biogéographique!A"&amp;_xlfn.XMATCH("P",Statut_biogéographique!A:A,2,1),"P")</f>
        <v>P</v>
      </c>
      <c r="AM19261" s="4" t="s">
        <v>375</v>
      </c>
      <c r="AN19261" s="4" t="s">
        <v>375</v>
      </c>
      <c r="AO19261" s="4" t="s">
        <v>375</v>
      </c>
      <c r="AP19261" s="4" t="s">
        <v>389</v>
      </c>
      <c r="AR19261" s="4" t="s">
        <v>377</v>
      </c>
    </row>
    <row r="19262" spans="1:44">
      <c r="A19262" s="4" t="s">
        <v>117</v>
      </c>
      <c r="B19262" s="4">
        <v>199374</v>
      </c>
      <c r="D19262" s="5" t="s">
        <v>23474</v>
      </c>
      <c r="E19262" s="6" t="str">
        <f>HYPERLINK("https://inpn.mnhn.fr/espece/cd_nom/199374","Larus michahellis Naumann, 1840")</f>
        <v>Larus michahellis Naumann, 1840</v>
      </c>
      <c r="F19262" s="5" t="s">
        <v>23475</v>
      </c>
      <c r="I19262" s="4" t="str">
        <f>HYPERLINK("#Réglementation!A"&amp;_xlfn.XMATCH("IBE3",Réglementation!A:A,2,1),"IBE3")</f>
        <v>IBE3</v>
      </c>
      <c r="L19262" s="4" t="str">
        <f>HYPERLINK("#Réglementation!A"&amp;_xlfn.XMATCH("NO3",Réglementation!A:A,2,1),"NO3")</f>
        <v>NO3</v>
      </c>
      <c r="P19262" s="7" t="str">
        <f>HYPERLINK("#Liste_rouge!A"&amp;_xlfn.XMATCH("LC",Liste_rouge!A:A,2,1),"LC")</f>
        <v>LC</v>
      </c>
      <c r="Q19262" s="7" t="str">
        <f>HYPERLINK("#Liste_rouge!A"&amp;_xlfn.XMATCH("LC",Liste_rouge!A:A,2,1),"LC")</f>
        <v>LC</v>
      </c>
      <c r="R19262" s="7" t="str">
        <f>HYPERLINK("#Liste_rouge!A"&amp;_xlfn.XMATCH("NA",Liste_rouge!A:A,2,1),"NA")</f>
        <v>NA</v>
      </c>
      <c r="S19262" s="7" t="str">
        <f>HYPERLINK("#Liste_rouge!A"&amp;_xlfn.XMATCH("NA",Liste_rouge!A:A,2,1),"NA")</f>
        <v>NA</v>
      </c>
      <c r="T19262" s="7" t="str">
        <f>HYPERLINK("#Liste_rouge!A"&amp;_xlfn.XMATCH("EN",Liste_rouge!A:A,2,1),"EN")</f>
        <v>EN</v>
      </c>
      <c r="U19262" s="4" t="str">
        <f>HYPERLINK("#Critères_liste_rouge!A$1","D1 (CR -1)")</f>
        <v>D1 (CR -1)</v>
      </c>
      <c r="V19262" s="7" t="str">
        <f>HYPERLINK("#Liste_rouge!A"&amp;_xlfn.XMATCH("VU",Liste_rouge!A:A,2,1),"VU")</f>
        <v>VU</v>
      </c>
      <c r="W19262" s="4" t="str">
        <f>HYPERLINK("#Critères_liste_rouge!A$1","CR (D1) (-2)")</f>
        <v>CR (D1) (-2)</v>
      </c>
      <c r="X19262" s="5" t="s">
        <v>374</v>
      </c>
      <c r="AH19262" s="4" t="str">
        <f>HYPERLINK("#Statut_biogéographique!A"&amp;_xlfn.XMATCH("P",Statut_biogéographique!A:A,2,1),"P")</f>
        <v>P</v>
      </c>
      <c r="AM19262" s="4" t="s">
        <v>375</v>
      </c>
      <c r="AN19262" s="4" t="s">
        <v>375</v>
      </c>
      <c r="AO19262" s="4" t="s">
        <v>375</v>
      </c>
      <c r="AP19262" s="4" t="s">
        <v>376</v>
      </c>
      <c r="AR19262" s="4" t="s">
        <v>377</v>
      </c>
    </row>
    <row r="19263" spans="1:44">
      <c r="A19263" s="4" t="s">
        <v>117</v>
      </c>
      <c r="B19263" s="4">
        <v>199409</v>
      </c>
      <c r="D19263" s="5" t="s">
        <v>23476</v>
      </c>
      <c r="E19263" s="6" t="str">
        <f>HYPERLINK("https://inpn.mnhn.fr/espece/cd_nom/199409","Lanius meridionalis Temminck, 1820")</f>
        <v>Lanius meridionalis Temminck, 1820</v>
      </c>
      <c r="F19263" s="5" t="s">
        <v>23477</v>
      </c>
      <c r="I19263" s="4" t="str">
        <f>HYPERLINK("#Réglementation!A"&amp;_xlfn.XMATCH("IBE2",Réglementation!A:A,2,1),"IBE2")</f>
        <v>IBE2</v>
      </c>
      <c r="L19263" s="4" t="str">
        <f>HYPERLINK("#Réglementation!A"&amp;_xlfn.XMATCH("NO3",Réglementation!A:A,2,1),"NO3")</f>
        <v>NO3</v>
      </c>
      <c r="O19263" s="7" t="str">
        <f>HYPERLINK("#Liste_rouge!A"&amp;_xlfn.XMATCH("VU",Liste_rouge!A:A,2,1),"VU")</f>
        <v>VU</v>
      </c>
      <c r="P19263" s="7" t="str">
        <f>HYPERLINK("#Liste_rouge!A"&amp;_xlfn.XMATCH("VU",Liste_rouge!A:A,2,1),"VU")</f>
        <v>VU</v>
      </c>
      <c r="Q19263" s="7" t="str">
        <f>HYPERLINK("#Liste_rouge!A"&amp;_xlfn.XMATCH("EN",Liste_rouge!A:A,2,1),"EN")</f>
        <v>EN</v>
      </c>
      <c r="AE19263" s="4" t="str">
        <f>HYPERLINK("#SCAP!A"&amp;_xlfn.XMATCH("2+",SCAP!A:A,2,1),"2+")</f>
        <v>2+</v>
      </c>
      <c r="AH19263" s="4" t="str">
        <f>HYPERLINK("#Statut_biogéographique!A"&amp;_xlfn.XMATCH("P",Statut_biogéographique!A:A,2,1),"P")</f>
        <v>P</v>
      </c>
      <c r="AI19263" s="8" t="s">
        <v>23478</v>
      </c>
      <c r="AJ19263" s="4" t="s">
        <v>393</v>
      </c>
      <c r="AM19263" s="4" t="s">
        <v>375</v>
      </c>
      <c r="AN19263" s="4" t="s">
        <v>375</v>
      </c>
      <c r="AO19263" s="4" t="s">
        <v>375</v>
      </c>
      <c r="AP19263" s="4" t="s">
        <v>389</v>
      </c>
      <c r="AR19263" s="4" t="s">
        <v>377</v>
      </c>
    </row>
    <row r="19264" spans="1:44" ht="60">
      <c r="A19264" s="4" t="s">
        <v>117</v>
      </c>
      <c r="B19264" s="4">
        <v>199425</v>
      </c>
      <c r="D19264" s="5" t="s">
        <v>23479</v>
      </c>
      <c r="E19264" s="6" t="str">
        <f>HYPERLINK("https://inpn.mnhn.fr/espece/cd_nom/199425","Saxicola rubicola (Linnaeus, 1766)")</f>
        <v>Saxicola rubicola (Linnaeus, 1766)</v>
      </c>
      <c r="F19264" s="5" t="s">
        <v>23480</v>
      </c>
      <c r="H19264" s="4" t="str">
        <f>HYPERLINK("#Réglementation!A"&amp;_xlfn.XMATCH("IBO2",Réglementation!A:A,2,1),"IBO2")</f>
        <v>IBO2</v>
      </c>
      <c r="I19264" s="4" t="str">
        <f>HYPERLINK("#Réglementation!A"&amp;_xlfn.XMATCH("IBE2",Réglementation!A:A,2,1),"IBE2")</f>
        <v>IBE2</v>
      </c>
      <c r="L19264" s="4" t="str">
        <f>HYPERLINK("#Réglementation!A"&amp;_xlfn.XMATCH("NO3",Réglementation!A:A,2,1),"NO3")</f>
        <v>NO3</v>
      </c>
      <c r="O19264" s="7" t="str">
        <f>HYPERLINK("#Liste_rouge!A"&amp;_xlfn.XMATCH("LC",Liste_rouge!A:A,2,1),"LC")</f>
        <v>LC</v>
      </c>
      <c r="P19264" s="7" t="str">
        <f>HYPERLINK("#Liste_rouge!A"&amp;_xlfn.XMATCH("LC",Liste_rouge!A:A,2,1),"LC")</f>
        <v>LC</v>
      </c>
      <c r="Q19264" s="7" t="str">
        <f>HYPERLINK("#Liste_rouge!A"&amp;_xlfn.XMATCH("NT",Liste_rouge!A:A,2,1),"NT")</f>
        <v>NT</v>
      </c>
      <c r="R19264" s="7" t="str">
        <f>HYPERLINK("#Liste_rouge!A"&amp;_xlfn.XMATCH("NA",Liste_rouge!A:A,2,1),"NA")</f>
        <v>NA</v>
      </c>
      <c r="S19264" s="7" t="str">
        <f>HYPERLINK("#Liste_rouge!A"&amp;_xlfn.XMATCH("NA",Liste_rouge!A:A,2,1),"NA")</f>
        <v>NA</v>
      </c>
      <c r="T19264" s="7" t="str">
        <f>HYPERLINK("#Liste_rouge!A"&amp;_xlfn.XMATCH("LC",Liste_rouge!A:A,2,1),"LC")</f>
        <v>LC</v>
      </c>
      <c r="V19264" s="7" t="str">
        <f>HYPERLINK("#Liste_rouge!A"&amp;_xlfn.XMATCH("DD",Liste_rouge!A:A,2,1),"DD")</f>
        <v>DD</v>
      </c>
      <c r="X19264" s="5" t="s">
        <v>23439</v>
      </c>
      <c r="Y19264" s="5" t="s">
        <v>23481</v>
      </c>
      <c r="AH19264" s="4" t="str">
        <f>HYPERLINK("#Statut_biogéographique!A"&amp;_xlfn.XMATCH("P",Statut_biogéographique!A:A,2,1),"P")</f>
        <v>P</v>
      </c>
      <c r="AM19264" s="4" t="s">
        <v>375</v>
      </c>
      <c r="AN19264" s="4" t="s">
        <v>375</v>
      </c>
      <c r="AO19264" s="4" t="s">
        <v>375</v>
      </c>
      <c r="AP19264" s="4" t="s">
        <v>376</v>
      </c>
      <c r="AR19264" s="4" t="s">
        <v>377</v>
      </c>
    </row>
    <row r="19265" spans="1:44">
      <c r="A19265" s="4" t="s">
        <v>117</v>
      </c>
      <c r="B19265" s="4">
        <v>199428</v>
      </c>
      <c r="D19265" s="5" t="s">
        <v>23482</v>
      </c>
      <c r="E19265" s="6" t="str">
        <f>HYPERLINK("https://inpn.mnhn.fr/espece/cd_nom/199428","Oenanthe deserti (Temminck, 1825)")</f>
        <v>Oenanthe deserti (Temminck, 1825)</v>
      </c>
      <c r="F19265" s="5" t="s">
        <v>23483</v>
      </c>
      <c r="H19265" s="4" t="str">
        <f>HYPERLINK("#Réglementation!A"&amp;_xlfn.XMATCH("IBO2",Réglementation!A:A,2,1),"IBO2")</f>
        <v>IBO2</v>
      </c>
      <c r="I19265" s="4" t="str">
        <f>HYPERLINK("#Réglementation!A"&amp;_xlfn.XMATCH("IBE2",Réglementation!A:A,2,1),"IBE2")</f>
        <v>IBE2</v>
      </c>
      <c r="L19265" s="4" t="str">
        <f>HYPERLINK("#Réglementation!A"&amp;_xlfn.XMATCH("NO4",Réglementation!A:A,2,1),"NO4")</f>
        <v>NO4</v>
      </c>
      <c r="O19265" s="7" t="str">
        <f>HYPERLINK("#Liste_rouge!A"&amp;_xlfn.XMATCH("LC",Liste_rouge!A:A,2,1),"LC")</f>
        <v>LC</v>
      </c>
      <c r="P19265" s="7" t="str">
        <f>HYPERLINK("#Liste_rouge!A"&amp;_xlfn.XMATCH("NT",Liste_rouge!A:A,2,1),"NT")</f>
        <v>NT</v>
      </c>
      <c r="S19265" s="7" t="str">
        <f>HYPERLINK("#Liste_rouge!A"&amp;_xlfn.XMATCH("NA",Liste_rouge!A:A,2,1),"NA")</f>
        <v>NA</v>
      </c>
      <c r="AH19265" s="4" t="str">
        <f>HYPERLINK("#Statut_biogéographique!A"&amp;_xlfn.XMATCH("B",Statut_biogéographique!A:A,2,1),"B")</f>
        <v>B</v>
      </c>
      <c r="AM19265" s="4" t="s">
        <v>375</v>
      </c>
      <c r="AN19265" s="4" t="s">
        <v>375</v>
      </c>
      <c r="AO19265" s="4" t="s">
        <v>375</v>
      </c>
      <c r="AP19265" s="4" t="s">
        <v>376</v>
      </c>
      <c r="AR19265" s="4" t="s">
        <v>377</v>
      </c>
    </row>
    <row r="19266" spans="1:44">
      <c r="A19266" s="4" t="s">
        <v>117</v>
      </c>
      <c r="B19266" s="4">
        <v>199459</v>
      </c>
      <c r="D19266" s="5" t="s">
        <v>23484</v>
      </c>
      <c r="E19266" s="6" t="str">
        <f>HYPERLINK("https://inpn.mnhn.fr/espece/cd_nom/199459","Acrocephalus agricola (Jerdon, 1845)")</f>
        <v>Acrocephalus agricola (Jerdon, 1845)</v>
      </c>
      <c r="F19266" s="5" t="s">
        <v>23485</v>
      </c>
      <c r="I19266" s="4" t="str">
        <f>HYPERLINK("#Réglementation!A"&amp;_xlfn.XMATCH("IBE3",Réglementation!A:A,2,1),"IBE3")</f>
        <v>IBE3</v>
      </c>
      <c r="L19266" s="4" t="str">
        <f>HYPERLINK("#Réglementation!A"&amp;_xlfn.XMATCH("NO4",Réglementation!A:A,2,1),"NO4")</f>
        <v>NO4</v>
      </c>
      <c r="O19266" s="7" t="str">
        <f>HYPERLINK("#Liste_rouge!A"&amp;_xlfn.XMATCH("LC",Liste_rouge!A:A,2,1),"LC")</f>
        <v>LC</v>
      </c>
      <c r="P19266" s="7" t="str">
        <f>HYPERLINK("#Liste_rouge!A"&amp;_xlfn.XMATCH("LC",Liste_rouge!A:A,2,1),"LC")</f>
        <v>LC</v>
      </c>
      <c r="S19266" s="7" t="str">
        <f>HYPERLINK("#Liste_rouge!A"&amp;_xlfn.XMATCH("NA",Liste_rouge!A:A,2,1),"NA")</f>
        <v>NA</v>
      </c>
      <c r="AH19266" s="4" t="str">
        <f>HYPERLINK("#Statut_biogéographique!A"&amp;_xlfn.XMATCH("B",Statut_biogéographique!A:A,2,1),"B")</f>
        <v>B</v>
      </c>
      <c r="AP19266" s="4" t="s">
        <v>376</v>
      </c>
      <c r="AR19266" s="4" t="s">
        <v>377</v>
      </c>
    </row>
    <row r="19267" spans="1:44">
      <c r="A19267" s="4" t="s">
        <v>117</v>
      </c>
      <c r="B19267" s="4">
        <v>199473</v>
      </c>
      <c r="D19267" s="5" t="s">
        <v>23486</v>
      </c>
      <c r="E19267" s="6" t="str">
        <f>HYPERLINK("https://inpn.mnhn.fr/espece/cd_nom/199473","Phylloscopus humei (Brooks, 1878)")</f>
        <v>Phylloscopus humei (Brooks, 1878)</v>
      </c>
      <c r="F19267" s="5" t="s">
        <v>23487</v>
      </c>
      <c r="I19267" s="4" t="str">
        <f>HYPERLINK("#Réglementation!A"&amp;_xlfn.XMATCH("IBE3",Réglementation!A:A,2,1),"IBE3")</f>
        <v>IBE3</v>
      </c>
      <c r="L19267" s="4" t="str">
        <f>HYPERLINK("#Réglementation!A"&amp;_xlfn.XMATCH("NO4",Réglementation!A:A,2,1),"NO4")</f>
        <v>NO4</v>
      </c>
      <c r="O19267" s="7" t="str">
        <f>HYPERLINK("#Liste_rouge!A"&amp;_xlfn.XMATCH("LC",Liste_rouge!A:A,2,1),"LC")</f>
        <v>LC</v>
      </c>
      <c r="S19267" s="7" t="str">
        <f>HYPERLINK("#Liste_rouge!A"&amp;_xlfn.XMATCH("NA",Liste_rouge!A:A,2,1),"NA")</f>
        <v>NA</v>
      </c>
      <c r="AH19267" s="4" t="str">
        <f>HYPERLINK("#Statut_biogéographique!A"&amp;_xlfn.XMATCH("B",Statut_biogéographique!A:A,2,1),"B")</f>
        <v>B</v>
      </c>
      <c r="AP19267" s="4" t="s">
        <v>376</v>
      </c>
      <c r="AR19267" s="4" t="s">
        <v>377</v>
      </c>
    </row>
    <row r="19268" spans="1:44">
      <c r="A19268" s="4" t="s">
        <v>117</v>
      </c>
      <c r="B19268" s="4">
        <v>199477</v>
      </c>
      <c r="D19268" s="5" t="s">
        <v>23488</v>
      </c>
      <c r="E19268" s="6" t="str">
        <f>HYPERLINK("https://inpn.mnhn.fr/espece/cd_nom/199477","Phylloscopus ibericus Ticehurst, 1937")</f>
        <v>Phylloscopus ibericus Ticehurst, 1937</v>
      </c>
      <c r="F19268" s="5" t="s">
        <v>23489</v>
      </c>
      <c r="I19268" s="4" t="str">
        <f>HYPERLINK("#Réglementation!A"&amp;_xlfn.XMATCH("IBE3",Réglementation!A:A,2,1),"IBE3")</f>
        <v>IBE3</v>
      </c>
      <c r="L19268" s="4" t="str">
        <f>HYPERLINK("#Réglementation!A"&amp;_xlfn.XMATCH("NO3",Réglementation!A:A,2,1),"NO3")</f>
        <v>NO3</v>
      </c>
      <c r="O19268" s="7" t="str">
        <f>HYPERLINK("#Liste_rouge!A"&amp;_xlfn.XMATCH("LC",Liste_rouge!A:A,2,1),"LC")</f>
        <v>LC</v>
      </c>
      <c r="P19268" s="7" t="str">
        <f>HYPERLINK("#Liste_rouge!A"&amp;_xlfn.XMATCH("LC",Liste_rouge!A:A,2,1),"LC")</f>
        <v>LC</v>
      </c>
      <c r="Q19268" s="7" t="str">
        <f>HYPERLINK("#Liste_rouge!A"&amp;_xlfn.XMATCH("EN",Liste_rouge!A:A,2,1),"EN")</f>
        <v>EN</v>
      </c>
      <c r="S19268" s="7" t="str">
        <f>HYPERLINK("#Liste_rouge!A"&amp;_xlfn.XMATCH("NA",Liste_rouge!A:A,2,1),"NA")</f>
        <v>NA</v>
      </c>
      <c r="AH19268" s="4" t="str">
        <f>HYPERLINK("#Statut_biogéographique!A"&amp;_xlfn.XMATCH("P",Statut_biogéographique!A:A,2,1),"P")</f>
        <v>P</v>
      </c>
      <c r="AM19268" s="4" t="s">
        <v>375</v>
      </c>
      <c r="AN19268" s="4" t="s">
        <v>375</v>
      </c>
      <c r="AO19268" s="4" t="s">
        <v>375</v>
      </c>
      <c r="AP19268" s="4" t="s">
        <v>389</v>
      </c>
      <c r="AR19268" s="4" t="s">
        <v>377</v>
      </c>
    </row>
    <row r="19269" spans="1:44">
      <c r="A19269" s="4" t="s">
        <v>117</v>
      </c>
      <c r="B19269" s="4">
        <v>199494</v>
      </c>
      <c r="D19269" s="5" t="s">
        <v>23490</v>
      </c>
      <c r="E19269" s="6" t="str">
        <f>HYPERLINK("https://inpn.mnhn.fr/espece/cd_nom/199494","Passer italiae (Vieillot, 1817)")</f>
        <v>Passer italiae (Vieillot, 1817)</v>
      </c>
      <c r="F19269" s="5" t="s">
        <v>23491</v>
      </c>
      <c r="I19269" s="4" t="str">
        <f>HYPERLINK("#Réglementation!A"&amp;_xlfn.XMATCH("IBE3",Réglementation!A:A,2,1),"IBE3")</f>
        <v>IBE3</v>
      </c>
      <c r="O19269" s="7" t="str">
        <f>HYPERLINK("#Liste_rouge!A"&amp;_xlfn.XMATCH("VU",Liste_rouge!A:A,2,1),"VU")</f>
        <v>VU</v>
      </c>
      <c r="P19269" s="7" t="str">
        <f>HYPERLINK("#Liste_rouge!A"&amp;_xlfn.XMATCH("VU",Liste_rouge!A:A,2,1),"VU")</f>
        <v>VU</v>
      </c>
      <c r="Q19269" s="7" t="str">
        <f>HYPERLINK("#Liste_rouge!A"&amp;_xlfn.XMATCH("LC",Liste_rouge!A:A,2,1),"LC")</f>
        <v>LC</v>
      </c>
      <c r="AH19269" s="4" t="str">
        <f>HYPERLINK("#Statut_biogéographique!A"&amp;_xlfn.XMATCH("P",Statut_biogéographique!A:A,2,1),"P")</f>
        <v>P</v>
      </c>
      <c r="AP19269" s="4" t="s">
        <v>376</v>
      </c>
      <c r="AR19269" s="4" t="s">
        <v>377</v>
      </c>
    </row>
    <row r="19270" spans="1:44" ht="60">
      <c r="A19270" s="4" t="s">
        <v>117</v>
      </c>
      <c r="B19270" s="4">
        <v>1995</v>
      </c>
      <c r="D19270" s="5" t="s">
        <v>23492</v>
      </c>
      <c r="E19270" s="6" t="str">
        <f>HYPERLINK("https://inpn.mnhn.fr/espece/cd_nom/1995","Aythya nyroca (Güldenstädt, 1770)")</f>
        <v>Aythya nyroca (Güldenstädt, 1770)</v>
      </c>
      <c r="F19270" s="5" t="s">
        <v>23493</v>
      </c>
      <c r="G19270" s="4" t="str">
        <f>HYPERLINK("[#Réglementation!A"&amp;_xlfn.XMATCH("CCA",Réglementation!A:A,2,1),"CCA")</f>
        <v>CCA</v>
      </c>
      <c r="H19270" s="4" t="str">
        <f>HYPERLINK("#Réglementation!A"&amp;_xlfn.XMATCH("IBOAE",Réglementation!A:A,2,1),"IBOAE - IBO1 - IBO2")</f>
        <v>IBOAE - IBO1 - IBO2</v>
      </c>
      <c r="I19270" s="4" t="str">
        <f>HYPERLINK("#Réglementation!A"&amp;_xlfn.XMATCH("IBE3",Réglementation!A:A,2,1),"IBE3")</f>
        <v>IBE3</v>
      </c>
      <c r="J19270" s="4" t="str">
        <f>HYPERLINK("#Réglementation!A"&amp;_xlfn.XMATCH("CDO1",Réglementation!A:A,2,1),"CDO1")</f>
        <v>CDO1</v>
      </c>
      <c r="L19270" s="4" t="str">
        <f>HYPERLINK("#Réglementation!A"&amp;_xlfn.XMATCH("NO3",Réglementation!A:A,2,1),"NO3")</f>
        <v>NO3</v>
      </c>
      <c r="O19270" s="7" t="str">
        <f>HYPERLINK("#Liste_rouge!A"&amp;_xlfn.XMATCH("NT",Liste_rouge!A:A,2,1),"NT")</f>
        <v>NT</v>
      </c>
      <c r="P19270" s="7" t="str">
        <f>HYPERLINK("#Liste_rouge!A"&amp;_xlfn.XMATCH("LC",Liste_rouge!A:A,2,1),"LC")</f>
        <v>LC</v>
      </c>
      <c r="Q19270" s="7" t="str">
        <f>HYPERLINK("#Liste_rouge!A"&amp;_xlfn.XMATCH("NA",Liste_rouge!A:A,2,1),"NA")</f>
        <v>NA</v>
      </c>
      <c r="R19270" s="7" t="str">
        <f>HYPERLINK("#Liste_rouge!A"&amp;_xlfn.XMATCH("NA",Liste_rouge!A:A,2,1),"NA")</f>
        <v>NA</v>
      </c>
      <c r="S19270" s="7" t="str">
        <f>HYPERLINK("#Liste_rouge!A"&amp;_xlfn.XMATCH("NA",Liste_rouge!A:A,2,1),"NA")</f>
        <v>NA</v>
      </c>
      <c r="V19270" s="7" t="str">
        <f>HYPERLINK("#Liste_rouge!A"&amp;_xlfn.XMATCH("RE",Liste_rouge!A:A,2,1),"RE")</f>
        <v>RE</v>
      </c>
      <c r="X19270" s="5" t="s">
        <v>23442</v>
      </c>
      <c r="Y19270" s="5" t="s">
        <v>23494</v>
      </c>
      <c r="AH19270" s="4" t="str">
        <f>HYPERLINK("#Statut_biogéographique!A"&amp;_xlfn.XMATCH("P",Statut_biogéographique!A:A,2,1),"P")</f>
        <v>P</v>
      </c>
      <c r="AM19270" s="4" t="s">
        <v>375</v>
      </c>
      <c r="AN19270" s="4" t="s">
        <v>375</v>
      </c>
      <c r="AO19270" s="4" t="s">
        <v>375</v>
      </c>
      <c r="AP19270" s="4" t="s">
        <v>376</v>
      </c>
      <c r="AR19270" s="4" t="s">
        <v>377</v>
      </c>
    </row>
    <row r="19271" spans="1:44">
      <c r="A19271" s="4" t="s">
        <v>117</v>
      </c>
      <c r="B19271" s="4">
        <v>199519</v>
      </c>
      <c r="D19271" s="5" t="s">
        <v>23495</v>
      </c>
      <c r="E19271" s="6" t="str">
        <f>HYPERLINK("https://inpn.mnhn.fr/espece/cd_nom/199519","Zonotrichia albicollis (Gmelin, 1789)")</f>
        <v>Zonotrichia albicollis (Gmelin, 1789)</v>
      </c>
      <c r="F19271" s="5" t="s">
        <v>23496</v>
      </c>
      <c r="I19271" s="4" t="str">
        <f>HYPERLINK("#Réglementation!A"&amp;_xlfn.XMATCH("IBE3",Réglementation!A:A,2,1),"IBE3")</f>
        <v>IBE3</v>
      </c>
      <c r="L19271" s="4" t="str">
        <f>HYPERLINK("#Réglementation!A"&amp;_xlfn.XMATCH("NO4",Réglementation!A:A,2,1),"NO4")</f>
        <v>NO4</v>
      </c>
      <c r="O19271" s="7" t="str">
        <f>HYPERLINK("#Liste_rouge!A"&amp;_xlfn.XMATCH("LC",Liste_rouge!A:A,2,1),"LC")</f>
        <v>LC</v>
      </c>
      <c r="S19271" s="7" t="str">
        <f>HYPERLINK("#Liste_rouge!A"&amp;_xlfn.XMATCH("NA",Liste_rouge!A:A,2,1),"NA")</f>
        <v>NA</v>
      </c>
      <c r="AH19271" s="4" t="str">
        <f>HYPERLINK("#Statut_biogéographique!A"&amp;_xlfn.XMATCH("B",Statut_biogéographique!A:A,2,1),"B")</f>
        <v>B</v>
      </c>
      <c r="AP19271" s="4" t="s">
        <v>389</v>
      </c>
      <c r="AR19271" s="4" t="s">
        <v>377</v>
      </c>
    </row>
    <row r="19272" spans="1:44">
      <c r="A19272" s="4" t="s">
        <v>117</v>
      </c>
      <c r="B19272" s="4">
        <v>199522</v>
      </c>
      <c r="D19272" s="5" t="s">
        <v>23497</v>
      </c>
      <c r="E19272" s="6" t="str">
        <f>HYPERLINK("https://inpn.mnhn.fr/espece/cd_nom/199522","Emberiza leucocephalos S. G. Gmelin, 1771")</f>
        <v>Emberiza leucocephalos S. G. Gmelin, 1771</v>
      </c>
      <c r="F19272" s="5" t="s">
        <v>23498</v>
      </c>
      <c r="I19272" s="4" t="str">
        <f>HYPERLINK("#Réglementation!A"&amp;_xlfn.XMATCH("IBE2",Réglementation!A:A,2,1),"IBE2")</f>
        <v>IBE2</v>
      </c>
      <c r="L19272" s="4" t="str">
        <f>HYPERLINK("#Réglementation!A"&amp;_xlfn.XMATCH("NO4",Réglementation!A:A,2,1),"NO4")</f>
        <v>NO4</v>
      </c>
      <c r="O19272" s="7" t="str">
        <f>HYPERLINK("#Liste_rouge!A"&amp;_xlfn.XMATCH("LC",Liste_rouge!A:A,2,1),"LC")</f>
        <v>LC</v>
      </c>
      <c r="P19272" s="7" t="str">
        <f>HYPERLINK("#Liste_rouge!A"&amp;_xlfn.XMATCH("RE",Liste_rouge!A:A,2,1),"RE")</f>
        <v>RE</v>
      </c>
      <c r="S19272" s="7" t="str">
        <f>HYPERLINK("#Liste_rouge!A"&amp;_xlfn.XMATCH("NA",Liste_rouge!A:A,2,1),"NA")</f>
        <v>NA</v>
      </c>
      <c r="AH19272" s="4" t="str">
        <f>HYPERLINK("#Statut_biogéographique!A"&amp;_xlfn.XMATCH("B",Statut_biogéographique!A:A,2,1),"B")</f>
        <v>B</v>
      </c>
      <c r="AP19272" s="4" t="s">
        <v>376</v>
      </c>
      <c r="AR19272" s="4" t="s">
        <v>377</v>
      </c>
    </row>
    <row r="19273" spans="1:44">
      <c r="A19273" s="4" t="s">
        <v>117</v>
      </c>
      <c r="B19273" s="4">
        <v>199757</v>
      </c>
      <c r="D19273" s="5">
        <v>199757</v>
      </c>
      <c r="E19273" s="6" t="str">
        <f>HYPERLINK("https://inpn.mnhn.fr/espece/cd_nom/199757","Pavo cristatus Linnaeus, 1758")</f>
        <v>Pavo cristatus Linnaeus, 1758</v>
      </c>
      <c r="F19273" s="5" t="s">
        <v>23499</v>
      </c>
      <c r="O19273" s="7" t="str">
        <f>HYPERLINK("#Liste_rouge!A"&amp;_xlfn.XMATCH("LC",Liste_rouge!A:A,2,1),"LC")</f>
        <v>LC</v>
      </c>
      <c r="AH19273" s="4" t="str">
        <f>HYPERLINK("#Statut_biogéographique!A"&amp;_xlfn.XMATCH("M",Statut_biogéographique!A:A,2,1),"M")</f>
        <v>M</v>
      </c>
      <c r="AP19273" s="4" t="s">
        <v>376</v>
      </c>
      <c r="AR19273" s="4" t="s">
        <v>377</v>
      </c>
    </row>
    <row r="19274" spans="1:44" ht="60">
      <c r="A19274" s="4" t="s">
        <v>117</v>
      </c>
      <c r="B19274" s="4">
        <v>1998</v>
      </c>
      <c r="D19274" s="5" t="s">
        <v>23500</v>
      </c>
      <c r="E19274" s="6" t="str">
        <f>HYPERLINK("https://inpn.mnhn.fr/espece/cd_nom/1998","Aythya fuligula (Linnaeus, 1758)")</f>
        <v>Aythya fuligula (Linnaeus, 1758)</v>
      </c>
      <c r="F19274" s="5" t="s">
        <v>23501</v>
      </c>
      <c r="H19274" s="4" t="str">
        <f>HYPERLINK("#Réglementation!A"&amp;_xlfn.XMATCH("IBOAE",Réglementation!A:A,2,1),"IBOAE - IBO2")</f>
        <v>IBOAE - IBO2</v>
      </c>
      <c r="I19274" s="4" t="str">
        <f>HYPERLINK("#Réglementation!A"&amp;_xlfn.XMATCH("IBE3",Réglementation!A:A,2,1),"IBE3")</f>
        <v>IBE3</v>
      </c>
      <c r="J19274" s="4" t="str">
        <f>HYPERLINK("#Réglementation!A"&amp;_xlfn.XMATCH("CDO21",Réglementation!A:A,2,1),"CDO21 - CDO32")</f>
        <v>CDO21 - CDO32</v>
      </c>
      <c r="L19274" s="4" t="str">
        <f>HYPERLINK("#Réglementation!A"&amp;_xlfn.XMATCH("OC3",Réglementation!A:A,2,1),"OC3")</f>
        <v>OC3</v>
      </c>
      <c r="O19274" s="7" t="str">
        <f>HYPERLINK("#Liste_rouge!A"&amp;_xlfn.XMATCH("LC",Liste_rouge!A:A,2,1),"LC")</f>
        <v>LC</v>
      </c>
      <c r="P19274" s="7" t="str">
        <f>HYPERLINK("#Liste_rouge!A"&amp;_xlfn.XMATCH("NT",Liste_rouge!A:A,2,1),"NT")</f>
        <v>NT</v>
      </c>
      <c r="Q19274" s="7" t="str">
        <f>HYPERLINK("#Liste_rouge!A"&amp;_xlfn.XMATCH("LC",Liste_rouge!A:A,2,1),"LC")</f>
        <v>LC</v>
      </c>
      <c r="R19274" s="7" t="str">
        <f>HYPERLINK("#Liste_rouge!A"&amp;_xlfn.XMATCH("NT",Liste_rouge!A:A,2,1),"NT")</f>
        <v>NT</v>
      </c>
      <c r="T19274" s="7" t="str">
        <f>HYPERLINK("#Liste_rouge!A"&amp;_xlfn.XMATCH("VU",Liste_rouge!A:A,2,1),"VU")</f>
        <v>VU</v>
      </c>
      <c r="U19274" s="4" t="str">
        <f>HYPERLINK("#Critères_liste_rouge!A$1","D1 (EN -1)")</f>
        <v>D1 (EN -1)</v>
      </c>
      <c r="V19274" s="7" t="str">
        <f>HYPERLINK("#Liste_rouge!A"&amp;_xlfn.XMATCH("VU",Liste_rouge!A:A,2,1),"VU")</f>
        <v>VU</v>
      </c>
      <c r="W19274" s="4" t="str">
        <f>HYPERLINK("#Critères_liste_rouge!A$1","EN (D1) (-1)")</f>
        <v>EN (D1) (-1)</v>
      </c>
      <c r="X19274" s="5" t="s">
        <v>23442</v>
      </c>
      <c r="Y19274" s="5" t="s">
        <v>23502</v>
      </c>
      <c r="AH19274" s="4" t="str">
        <f>HYPERLINK("#Statut_biogéographique!A"&amp;_xlfn.XMATCH("P",Statut_biogéographique!A:A,2,1),"P")</f>
        <v>P</v>
      </c>
      <c r="AK19274" s="4" t="str">
        <f>HYPERLINK("#Réglementation!A"&amp;_xlfn.XMATCH("Ngib_ch_1",Réglementation!A:A,2,1),"Ngib_ch_1")</f>
        <v>Ngib_ch_1</v>
      </c>
      <c r="AM19274" s="4" t="s">
        <v>375</v>
      </c>
      <c r="AN19274" s="4" t="s">
        <v>375</v>
      </c>
      <c r="AO19274" s="4" t="s">
        <v>375</v>
      </c>
      <c r="AP19274" s="4" t="s">
        <v>376</v>
      </c>
      <c r="AR19274" s="4" t="s">
        <v>377</v>
      </c>
    </row>
    <row r="19275" spans="1:44">
      <c r="A19275" s="4" t="s">
        <v>117</v>
      </c>
      <c r="B19275" s="4">
        <v>2001</v>
      </c>
      <c r="D19275" s="5" t="s">
        <v>23503</v>
      </c>
      <c r="E19275" s="6" t="str">
        <f>HYPERLINK("https://inpn.mnhn.fr/espece/cd_nom/2001","Aythya marila (Linnaeus, 1761)")</f>
        <v>Aythya marila (Linnaeus, 1761)</v>
      </c>
      <c r="F19275" s="5" t="s">
        <v>23504</v>
      </c>
      <c r="H19275" s="4" t="str">
        <f>HYPERLINK("#Réglementation!A"&amp;_xlfn.XMATCH("IBOAE",Réglementation!A:A,2,1),"IBOAE - IBO2")</f>
        <v>IBOAE - IBO2</v>
      </c>
      <c r="I19275" s="4" t="str">
        <f>HYPERLINK("#Réglementation!A"&amp;_xlfn.XMATCH("IBE3",Réglementation!A:A,2,1),"IBE3")</f>
        <v>IBE3</v>
      </c>
      <c r="J19275" s="4" t="str">
        <f>HYPERLINK("#Réglementation!A"&amp;_xlfn.XMATCH("CDO22",Réglementation!A:A,2,1),"CDO22 - CDO32")</f>
        <v>CDO22 - CDO32</v>
      </c>
      <c r="L19275" s="4" t="str">
        <f>HYPERLINK("#Réglementation!A"&amp;_xlfn.XMATCH("OC3",Réglementation!A:A,2,1),"OC3")</f>
        <v>OC3</v>
      </c>
      <c r="O19275" s="7" t="str">
        <f>HYPERLINK("#Liste_rouge!A"&amp;_xlfn.XMATCH("LC",Liste_rouge!A:A,2,1),"LC")</f>
        <v>LC</v>
      </c>
      <c r="P19275" s="7" t="str">
        <f>HYPERLINK("#Liste_rouge!A"&amp;_xlfn.XMATCH("LC",Liste_rouge!A:A,2,1),"LC")</f>
        <v>LC</v>
      </c>
      <c r="R19275" s="7" t="str">
        <f>HYPERLINK("#Liste_rouge!A"&amp;_xlfn.XMATCH("NT",Liste_rouge!A:A,2,1),"NT")</f>
        <v>NT</v>
      </c>
      <c r="AH19275" s="4" t="str">
        <f>HYPERLINK("#Statut_biogéographique!A"&amp;_xlfn.XMATCH("P",Statut_biogéographique!A:A,2,1),"P")</f>
        <v>P</v>
      </c>
      <c r="AK19275" s="4" t="str">
        <f>HYPERLINK("#Réglementation!A"&amp;_xlfn.XMATCH("Ngib_ch_1",Réglementation!A:A,2,1),"Ngib_ch_1")</f>
        <v>Ngib_ch_1</v>
      </c>
      <c r="AM19275" s="4" t="s">
        <v>375</v>
      </c>
      <c r="AN19275" s="4" t="s">
        <v>375</v>
      </c>
      <c r="AO19275" s="4" t="s">
        <v>375</v>
      </c>
      <c r="AP19275" s="4" t="s">
        <v>376</v>
      </c>
      <c r="AR19275" s="4" t="s">
        <v>377</v>
      </c>
    </row>
    <row r="19276" spans="1:44">
      <c r="A19276" s="4" t="s">
        <v>117</v>
      </c>
      <c r="B19276" s="4">
        <v>2005</v>
      </c>
      <c r="D19276" s="5" t="s">
        <v>23505</v>
      </c>
      <c r="E19276" s="6" t="str">
        <f>HYPERLINK("https://inpn.mnhn.fr/espece/cd_nom/2005","Somateria mollissima (Linnaeus, 1758)")</f>
        <v>Somateria mollissima (Linnaeus, 1758)</v>
      </c>
      <c r="F19276" s="5" t="s">
        <v>23506</v>
      </c>
      <c r="H19276" s="4" t="str">
        <f>HYPERLINK("#Réglementation!A"&amp;_xlfn.XMATCH("IBOAE",Réglementation!A:A,2,1),"IBOAE - IBO2")</f>
        <v>IBOAE - IBO2</v>
      </c>
      <c r="I19276" s="4" t="str">
        <f>HYPERLINK("#Réglementation!A"&amp;_xlfn.XMATCH("IBE3",Réglementation!A:A,2,1),"IBE3")</f>
        <v>IBE3</v>
      </c>
      <c r="J19276" s="4" t="str">
        <f>HYPERLINK("#Réglementation!A"&amp;_xlfn.XMATCH("CDO22",Réglementation!A:A,2,1),"CDO22 - CDO32")</f>
        <v>CDO22 - CDO32</v>
      </c>
      <c r="L19276" s="4" t="str">
        <f>HYPERLINK("#Réglementation!A"&amp;_xlfn.XMATCH("OC3",Réglementation!A:A,2,1),"OC3")</f>
        <v>OC3</v>
      </c>
      <c r="O19276" s="7" t="str">
        <f>HYPERLINK("#Liste_rouge!A"&amp;_xlfn.XMATCH("NT",Liste_rouge!A:A,2,1),"NT")</f>
        <v>NT</v>
      </c>
      <c r="P19276" s="7" t="str">
        <f>HYPERLINK("#Liste_rouge!A"&amp;_xlfn.XMATCH("EN",Liste_rouge!A:A,2,1),"EN")</f>
        <v>EN</v>
      </c>
      <c r="Q19276" s="7" t="str">
        <f>HYPERLINK("#Liste_rouge!A"&amp;_xlfn.XMATCH("CR",Liste_rouge!A:A,2,1),"CR")</f>
        <v>CR</v>
      </c>
      <c r="R19276" s="7" t="str">
        <f>HYPERLINK("#Liste_rouge!A"&amp;_xlfn.XMATCH("NA",Liste_rouge!A:A,2,1),"NA")</f>
        <v>NA</v>
      </c>
      <c r="V19276" s="7" t="str">
        <f>HYPERLINK("#Liste_rouge!A"&amp;_xlfn.XMATCH("NA",Liste_rouge!A:A,2,1),"NA")</f>
        <v>NA</v>
      </c>
      <c r="W19276" s="4" t="str">
        <f>HYPERLINK("#Critères_liste_rouge!A$1","b2")</f>
        <v>b2</v>
      </c>
      <c r="AH19276" s="4" t="str">
        <f>HYPERLINK("#Statut_biogéographique!A"&amp;_xlfn.XMATCH("P",Statut_biogéographique!A:A,2,1),"P")</f>
        <v>P</v>
      </c>
      <c r="AK19276" s="4" t="str">
        <f>HYPERLINK("#Réglementation!A"&amp;_xlfn.XMATCH("Ngib_ch_1",Réglementation!A:A,2,1),"Ngib_ch_1")</f>
        <v>Ngib_ch_1</v>
      </c>
      <c r="AM19276" s="4" t="s">
        <v>375</v>
      </c>
      <c r="AN19276" s="4" t="s">
        <v>375</v>
      </c>
      <c r="AO19276" s="4" t="s">
        <v>375</v>
      </c>
      <c r="AP19276" s="4" t="s">
        <v>376</v>
      </c>
      <c r="AR19276" s="4" t="s">
        <v>377</v>
      </c>
    </row>
    <row r="19277" spans="1:44">
      <c r="A19277" s="4" t="s">
        <v>117</v>
      </c>
      <c r="B19277" s="4">
        <v>2398</v>
      </c>
      <c r="D19277" s="5" t="s">
        <v>23507</v>
      </c>
      <c r="E19277" s="6" t="str">
        <f>HYPERLINK("https://inpn.mnhn.fr/espece/cd_nom/2398","Dendrocygna bicolor (Vieillot, 1816)")</f>
        <v>Dendrocygna bicolor (Vieillot, 1816)</v>
      </c>
      <c r="F19277" s="5" t="s">
        <v>23508</v>
      </c>
      <c r="G19277" s="4" t="str">
        <f>HYPERLINK("[#Réglementation!A"&amp;_xlfn.XMATCH("CCC",Réglementation!A:A,2,1),"CCC")</f>
        <v>CCC</v>
      </c>
      <c r="H19277" s="4" t="str">
        <f>HYPERLINK("#Réglementation!A"&amp;_xlfn.XMATCH("IBOAE",Réglementation!A:A,2,1),"IBOAE - IBO2")</f>
        <v>IBOAE - IBO2</v>
      </c>
      <c r="L19277" s="4" t="str">
        <f>HYPERLINK("#Réglementation!A"&amp;_xlfn.XMATCH("NO4",Réglementation!A:A,2,1),"NO4")</f>
        <v>NO4</v>
      </c>
      <c r="O19277" s="7" t="str">
        <f>HYPERLINK("#Liste_rouge!A"&amp;_xlfn.XMATCH("LC",Liste_rouge!A:A,2,1),"LC")</f>
        <v>LC</v>
      </c>
      <c r="AH19277" s="4" t="str">
        <f>HYPERLINK("#Statut_biogéographique!A"&amp;_xlfn.XMATCH("M",Statut_biogéographique!A:A,2,1),"M")</f>
        <v>M</v>
      </c>
      <c r="AP19277" s="4" t="s">
        <v>389</v>
      </c>
      <c r="AR19277" s="4" t="s">
        <v>377</v>
      </c>
    </row>
    <row r="19278" spans="1:44">
      <c r="A19278" s="4" t="s">
        <v>117</v>
      </c>
      <c r="B19278" s="4">
        <v>2405</v>
      </c>
      <c r="D19278" s="5" t="s">
        <v>23509</v>
      </c>
      <c r="E19278" s="6" t="str">
        <f>HYPERLINK("https://inpn.mnhn.fr/espece/cd_nom/2405","Bucanetes githagineus (Lichtenstein, 1823)")</f>
        <v>Bucanetes githagineus (Lichtenstein, 1823)</v>
      </c>
      <c r="F19278" s="5" t="s">
        <v>23510</v>
      </c>
      <c r="I19278" s="4" t="str">
        <f>HYPERLINK("#Réglementation!A"&amp;_xlfn.XMATCH("IBE2",Réglementation!A:A,2,1),"IBE2")</f>
        <v>IBE2</v>
      </c>
      <c r="J19278" s="4" t="str">
        <f>HYPERLINK("#Réglementation!A"&amp;_xlfn.XMATCH("CDO1",Réglementation!A:A,2,1),"CDO1")</f>
        <v>CDO1</v>
      </c>
      <c r="L19278" s="4" t="str">
        <f>HYPERLINK("#Réglementation!A"&amp;_xlfn.XMATCH("NO4",Réglementation!A:A,2,1),"NO4")</f>
        <v>NO4</v>
      </c>
      <c r="O19278" s="7" t="str">
        <f>HYPERLINK("#Liste_rouge!A"&amp;_xlfn.XMATCH("LC",Liste_rouge!A:A,2,1),"LC")</f>
        <v>LC</v>
      </c>
      <c r="P19278" s="7" t="str">
        <f>HYPERLINK("#Liste_rouge!A"&amp;_xlfn.XMATCH("LC",Liste_rouge!A:A,2,1),"LC")</f>
        <v>LC</v>
      </c>
      <c r="S19278" s="7" t="str">
        <f>HYPERLINK("#Liste_rouge!A"&amp;_xlfn.XMATCH("NA",Liste_rouge!A:A,2,1),"NA")</f>
        <v>NA</v>
      </c>
      <c r="AH19278" s="4" t="str">
        <f>HYPERLINK("#Statut_biogéographique!A"&amp;_xlfn.XMATCH("B",Statut_biogéographique!A:A,2,1),"B")</f>
        <v>B</v>
      </c>
      <c r="AM19278" s="4" t="s">
        <v>375</v>
      </c>
      <c r="AN19278" s="4" t="s">
        <v>375</v>
      </c>
      <c r="AO19278" s="4" t="s">
        <v>375</v>
      </c>
      <c r="AP19278" s="4" t="s">
        <v>376</v>
      </c>
      <c r="AR19278" s="4" t="s">
        <v>377</v>
      </c>
    </row>
    <row r="19279" spans="1:44">
      <c r="A19279" s="4" t="s">
        <v>117</v>
      </c>
      <c r="B19279" s="4">
        <v>2411</v>
      </c>
      <c r="D19279" s="5" t="s">
        <v>23511</v>
      </c>
      <c r="E19279" s="6" t="str">
        <f>HYPERLINK("https://inpn.mnhn.fr/espece/cd_nom/2411","Gavia stellata (Pontoppidan, 1763)")</f>
        <v>Gavia stellata (Pontoppidan, 1763)</v>
      </c>
      <c r="F19279" s="5" t="s">
        <v>23512</v>
      </c>
      <c r="H19279" s="4" t="str">
        <f>HYPERLINK("#Réglementation!A"&amp;_xlfn.XMATCH("IBOAE",Réglementation!A:A,2,1),"IBOAE - IBO2")</f>
        <v>IBOAE - IBO2</v>
      </c>
      <c r="I19279" s="4" t="str">
        <f>HYPERLINK("#Réglementation!A"&amp;_xlfn.XMATCH("IBE2",Réglementation!A:A,2,1),"IBE2")</f>
        <v>IBE2</v>
      </c>
      <c r="J19279" s="4" t="str">
        <f>HYPERLINK("#Réglementation!A"&amp;_xlfn.XMATCH("CDO1",Réglementation!A:A,2,1),"CDO1")</f>
        <v>CDO1</v>
      </c>
      <c r="L19279" s="4" t="str">
        <f>HYPERLINK("#Réglementation!A"&amp;_xlfn.XMATCH("NO3",Réglementation!A:A,2,1),"NO3")</f>
        <v>NO3</v>
      </c>
      <c r="O19279" s="7" t="str">
        <f>HYPERLINK("#Liste_rouge!A"&amp;_xlfn.XMATCH("LC",Liste_rouge!A:A,2,1),"LC")</f>
        <v>LC</v>
      </c>
      <c r="P19279" s="7" t="str">
        <f>HYPERLINK("#Liste_rouge!A"&amp;_xlfn.XMATCH("LC",Liste_rouge!A:A,2,1),"LC")</f>
        <v>LC</v>
      </c>
      <c r="R19279" s="7" t="str">
        <f>HYPERLINK("#Liste_rouge!A"&amp;_xlfn.XMATCH("NA",Liste_rouge!A:A,2,1),"NA")</f>
        <v>NA</v>
      </c>
      <c r="S19279" s="7" t="str">
        <f>HYPERLINK("#Liste_rouge!A"&amp;_xlfn.XMATCH("DD",Liste_rouge!A:A,2,1),"DD")</f>
        <v>DD</v>
      </c>
      <c r="AH19279" s="4" t="str">
        <f>HYPERLINK("#Statut_biogéographique!A"&amp;_xlfn.XMATCH("P",Statut_biogéographique!A:A,2,1),"P")</f>
        <v>P</v>
      </c>
      <c r="AM19279" s="4" t="s">
        <v>375</v>
      </c>
      <c r="AN19279" s="4" t="s">
        <v>375</v>
      </c>
      <c r="AO19279" s="4" t="s">
        <v>375</v>
      </c>
      <c r="AP19279" s="4" t="s">
        <v>389</v>
      </c>
      <c r="AR19279" s="4" t="s">
        <v>377</v>
      </c>
    </row>
    <row r="19280" spans="1:44">
      <c r="A19280" s="4" t="s">
        <v>117</v>
      </c>
      <c r="B19280" s="4">
        <v>2419</v>
      </c>
      <c r="D19280" s="5" t="s">
        <v>23513</v>
      </c>
      <c r="E19280" s="6" t="str">
        <f>HYPERLINK("https://inpn.mnhn.fr/espece/cd_nom/2419","Hydrobates pelagicus (Linnaeus, 1758)")</f>
        <v>Hydrobates pelagicus (Linnaeus, 1758)</v>
      </c>
      <c r="F19280" s="5" t="s">
        <v>23514</v>
      </c>
      <c r="I19280" s="4" t="str">
        <f>HYPERLINK("#Réglementation!A"&amp;_xlfn.XMATCH("IBE2",Réglementation!A:A,2,1),"IBE2")</f>
        <v>IBE2</v>
      </c>
      <c r="J19280" s="4" t="str">
        <f>HYPERLINK("#Réglementation!A"&amp;_xlfn.XMATCH("CDO1",Réglementation!A:A,2,1),"CDO1")</f>
        <v>CDO1</v>
      </c>
      <c r="L19280" s="4" t="str">
        <f>HYPERLINK("#Réglementation!A"&amp;_xlfn.XMATCH("NO3",Réglementation!A:A,2,1),"NO3")</f>
        <v>NO3</v>
      </c>
      <c r="O19280" s="7" t="str">
        <f>HYPERLINK("#Liste_rouge!A"&amp;_xlfn.XMATCH("LC",Liste_rouge!A:A,2,1),"LC")</f>
        <v>LC</v>
      </c>
      <c r="P19280" s="7" t="str">
        <f>HYPERLINK("#Liste_rouge!A"&amp;_xlfn.XMATCH("LC",Liste_rouge!A:A,2,1),"LC")</f>
        <v>LC</v>
      </c>
      <c r="Q19280" s="7" t="str">
        <f>HYPERLINK("#Liste_rouge!A"&amp;_xlfn.XMATCH("VU",Liste_rouge!A:A,2,1),"VU")</f>
        <v>VU</v>
      </c>
      <c r="S19280" s="7" t="str">
        <f>HYPERLINK("#Liste_rouge!A"&amp;_xlfn.XMATCH("NA",Liste_rouge!A:A,2,1),"NA")</f>
        <v>NA</v>
      </c>
      <c r="AE19280" s="4" t="str">
        <f>HYPERLINK("#SCAP!A"&amp;_xlfn.XMATCH("3",SCAP!A:A,2,1),"3")</f>
        <v>3</v>
      </c>
      <c r="AH19280" s="4" t="str">
        <f>HYPERLINK("#Statut_biogéographique!A"&amp;_xlfn.XMATCH("P",Statut_biogéographique!A:A,2,1),"P")</f>
        <v>P</v>
      </c>
      <c r="AM19280" s="4" t="s">
        <v>375</v>
      </c>
      <c r="AN19280" s="4" t="s">
        <v>375</v>
      </c>
      <c r="AO19280" s="4" t="s">
        <v>375</v>
      </c>
      <c r="AP19280" s="4" t="s">
        <v>389</v>
      </c>
      <c r="AR19280" s="4" t="s">
        <v>377</v>
      </c>
    </row>
    <row r="19281" spans="1:44">
      <c r="A19281" s="4" t="s">
        <v>117</v>
      </c>
      <c r="B19281" s="4">
        <v>2437</v>
      </c>
      <c r="D19281" s="5" t="s">
        <v>23515</v>
      </c>
      <c r="E19281" s="6" t="str">
        <f>HYPERLINK("https://inpn.mnhn.fr/espece/cd_nom/2437","Morus bassanus (Linnaeus, 1758)")</f>
        <v>Morus bassanus (Linnaeus, 1758)</v>
      </c>
      <c r="F19281" s="5" t="s">
        <v>23516</v>
      </c>
      <c r="I19281" s="4" t="str">
        <f>HYPERLINK("#Réglementation!A"&amp;_xlfn.XMATCH("IBE3",Réglementation!A:A,2,1),"IBE3")</f>
        <v>IBE3</v>
      </c>
      <c r="L19281" s="4" t="str">
        <f>HYPERLINK("#Réglementation!A"&amp;_xlfn.XMATCH("NO3",Réglementation!A:A,2,1),"NO3")</f>
        <v>NO3</v>
      </c>
      <c r="O19281" s="7" t="str">
        <f>HYPERLINK("#Liste_rouge!A"&amp;_xlfn.XMATCH("LC",Liste_rouge!A:A,2,1),"LC")</f>
        <v>LC</v>
      </c>
      <c r="P19281" s="7" t="str">
        <f>HYPERLINK("#Liste_rouge!A"&amp;_xlfn.XMATCH("LC",Liste_rouge!A:A,2,1),"LC")</f>
        <v>LC</v>
      </c>
      <c r="Q19281" s="7" t="str">
        <f>HYPERLINK("#Liste_rouge!A"&amp;_xlfn.XMATCH("NT",Liste_rouge!A:A,2,1),"NT")</f>
        <v>NT</v>
      </c>
      <c r="S19281" s="7" t="str">
        <f>HYPERLINK("#Liste_rouge!A"&amp;_xlfn.XMATCH("NA",Liste_rouge!A:A,2,1),"NA")</f>
        <v>NA</v>
      </c>
      <c r="AH19281" s="4" t="str">
        <f>HYPERLINK("#Statut_biogéographique!A"&amp;_xlfn.XMATCH("P",Statut_biogéographique!A:A,2,1),"P")</f>
        <v>P</v>
      </c>
      <c r="AM19281" s="4" t="s">
        <v>375</v>
      </c>
      <c r="AN19281" s="4" t="s">
        <v>375</v>
      </c>
      <c r="AO19281" s="4" t="s">
        <v>375</v>
      </c>
      <c r="AP19281" s="4" t="s">
        <v>389</v>
      </c>
      <c r="AR19281" s="4" t="s">
        <v>377</v>
      </c>
    </row>
    <row r="19282" spans="1:44">
      <c r="A19282" s="4" t="s">
        <v>117</v>
      </c>
      <c r="B19282" s="4">
        <v>2440</v>
      </c>
      <c r="D19282" s="5" t="s">
        <v>23517</v>
      </c>
      <c r="E19282" s="6" t="str">
        <f>HYPERLINK("https://inpn.mnhn.fr/espece/cd_nom/2440","Phalacrocorax carbo (Linnaeus, 1758)")</f>
        <v>Phalacrocorax carbo (Linnaeus, 1758)</v>
      </c>
      <c r="F19282" s="5" t="s">
        <v>23518</v>
      </c>
      <c r="H19282" s="4" t="str">
        <f>HYPERLINK("#Réglementation!A"&amp;_xlfn.XMATCH("IBOAE",Réglementation!A:A,2,1),"IBOAE")</f>
        <v>IBOAE</v>
      </c>
      <c r="I19282" s="4" t="str">
        <f>HYPERLINK("#Réglementation!A"&amp;_xlfn.XMATCH("IBE3",Réglementation!A:A,2,1),"IBE3")</f>
        <v>IBE3</v>
      </c>
      <c r="L19282" s="4" t="str">
        <f>HYPERLINK("#Réglementation!A"&amp;_xlfn.XMATCH("NO3",Réglementation!A:A,2,1),"NO3")</f>
        <v>NO3</v>
      </c>
      <c r="O19282" s="7" t="str">
        <f>HYPERLINK("#Liste_rouge!A"&amp;_xlfn.XMATCH("LC",Liste_rouge!A:A,2,1),"LC")</f>
        <v>LC</v>
      </c>
      <c r="P19282" s="7" t="str">
        <f>HYPERLINK("#Liste_rouge!A"&amp;_xlfn.XMATCH("LC",Liste_rouge!A:A,2,1),"LC")</f>
        <v>LC</v>
      </c>
      <c r="Q19282" s="7" t="str">
        <f>HYPERLINK("#Liste_rouge!A"&amp;_xlfn.XMATCH("LC",Liste_rouge!A:A,2,1),"LC")</f>
        <v>LC</v>
      </c>
      <c r="R19282" s="7" t="str">
        <f>HYPERLINK("#Liste_rouge!A"&amp;_xlfn.XMATCH("LC",Liste_rouge!A:A,2,1),"LC")</f>
        <v>LC</v>
      </c>
      <c r="S19282" s="7" t="str">
        <f>HYPERLINK("#Liste_rouge!A"&amp;_xlfn.XMATCH("NA",Liste_rouge!A:A,2,1),"NA")</f>
        <v>NA</v>
      </c>
      <c r="T19282" s="7" t="str">
        <f>HYPERLINK("#Liste_rouge!A"&amp;_xlfn.XMATCH("VU",Liste_rouge!A:A,2,1),"VU")</f>
        <v>VU</v>
      </c>
      <c r="U19282" s="4" t="str">
        <f>HYPERLINK("#Critères_liste_rouge!A$1","D1")</f>
        <v>D1</v>
      </c>
      <c r="V19282" s="7" t="str">
        <f>HYPERLINK("#Liste_rouge!A"&amp;_xlfn.XMATCH("NA",Liste_rouge!A:A,2,1),"NA")</f>
        <v>NA</v>
      </c>
      <c r="W19282" s="4" t="str">
        <f>HYPERLINK("#Critères_liste_rouge!A$1","b2")</f>
        <v>b2</v>
      </c>
      <c r="X19282" s="5" t="s">
        <v>374</v>
      </c>
      <c r="AH19282" s="4" t="str">
        <f>HYPERLINK("#Statut_biogéographique!A"&amp;_xlfn.XMATCH("P",Statut_biogéographique!A:A,2,1),"P")</f>
        <v>P</v>
      </c>
      <c r="AM19282" s="4" t="s">
        <v>375</v>
      </c>
      <c r="AN19282" s="4" t="s">
        <v>382</v>
      </c>
      <c r="AO19282" s="4" t="s">
        <v>382</v>
      </c>
      <c r="AP19282" s="4" t="s">
        <v>389</v>
      </c>
      <c r="AR19282" s="4" t="s">
        <v>377</v>
      </c>
    </row>
    <row r="19283" spans="1:44">
      <c r="A19283" s="4" t="s">
        <v>117</v>
      </c>
      <c r="B19283" s="4">
        <v>2442</v>
      </c>
      <c r="D19283" s="5">
        <v>2442</v>
      </c>
      <c r="E19283" s="6" t="str">
        <f>HYPERLINK("https://inpn.mnhn.fr/espece/cd_nom/2442","Phalacrocorax carbo carbo (Linnaeus, 1758)")</f>
        <v>Phalacrocorax carbo carbo (Linnaeus, 1758)</v>
      </c>
      <c r="F19283" s="5" t="s">
        <v>23519</v>
      </c>
      <c r="H19283" s="4" t="str">
        <f>HYPERLINK("#Réglementation!A"&amp;_xlfn.XMATCH("IBOAE",Réglementation!A:A,2,1),"IBOAE")</f>
        <v>IBOAE</v>
      </c>
      <c r="I19283" s="4" t="str">
        <f>HYPERLINK("#Réglementation!A"&amp;_xlfn.XMATCH("IBE3",Réglementation!A:A,2,1),"IBE3")</f>
        <v>IBE3</v>
      </c>
      <c r="L19283" s="4" t="str">
        <f>HYPERLINK("#Réglementation!A"&amp;_xlfn.XMATCH("NO3",Réglementation!A:A,2,1),"NO3")</f>
        <v>NO3</v>
      </c>
      <c r="AH19283" s="4" t="str">
        <f>HYPERLINK("#Statut_biogéographique!A"&amp;_xlfn.XMATCH("P",Statut_biogéographique!A:A,2,1),"P")</f>
        <v>P</v>
      </c>
      <c r="AP19283" s="4" t="s">
        <v>389</v>
      </c>
      <c r="AR19283" s="4" t="s">
        <v>377</v>
      </c>
    </row>
    <row r="19284" spans="1:44" ht="30">
      <c r="A19284" s="4" t="s">
        <v>117</v>
      </c>
      <c r="B19284" s="4">
        <v>2446</v>
      </c>
      <c r="D19284" s="5" t="s">
        <v>23520</v>
      </c>
      <c r="E19284" s="6" t="str">
        <f>HYPERLINK("https://inpn.mnhn.fr/espece/cd_nom/2446","Phalacrocorax carbo sinensis (Staunton, 1796)")</f>
        <v>Phalacrocorax carbo sinensis (Staunton, 1796)</v>
      </c>
      <c r="F19284" s="5" t="s">
        <v>23521</v>
      </c>
      <c r="H19284" s="4" t="str">
        <f>HYPERLINK("#Réglementation!A"&amp;_xlfn.XMATCH("IBOAE",Réglementation!A:A,2,1),"IBOAE")</f>
        <v>IBOAE</v>
      </c>
      <c r="I19284" s="4" t="str">
        <f>HYPERLINK("#Réglementation!A"&amp;_xlfn.XMATCH("IBE3",Réglementation!A:A,2,1),"IBE3")</f>
        <v>IBE3</v>
      </c>
      <c r="L19284" s="4" t="str">
        <f>HYPERLINK("#Réglementation!A"&amp;_xlfn.XMATCH("NO3",Réglementation!A:A,2,1),"NO3")</f>
        <v>NO3</v>
      </c>
      <c r="AH19284" s="4" t="str">
        <f>HYPERLINK("#Statut_biogéographique!A"&amp;_xlfn.XMATCH("P",Statut_biogéographique!A:A,2,1),"P")</f>
        <v>P</v>
      </c>
      <c r="AP19284" s="4" t="s">
        <v>389</v>
      </c>
      <c r="AR19284" s="4" t="s">
        <v>377</v>
      </c>
    </row>
    <row r="19285" spans="1:44">
      <c r="A19285" s="4" t="s">
        <v>117</v>
      </c>
      <c r="B19285" s="4">
        <v>2447</v>
      </c>
      <c r="D19285" s="5" t="s">
        <v>23522</v>
      </c>
      <c r="E19285" s="6" t="str">
        <f>HYPERLINK("https://inpn.mnhn.fr/espece/cd_nom/2447","Phalacrocorax aristotelis (Linnaeus, 1761)")</f>
        <v>Phalacrocorax aristotelis (Linnaeus, 1761)</v>
      </c>
      <c r="F19285" s="5" t="s">
        <v>23523</v>
      </c>
      <c r="I19285" s="4" t="str">
        <f>HYPERLINK("#Réglementation!A"&amp;_xlfn.XMATCH("IBE2",Réglementation!A:A,2,1),"IBE2")</f>
        <v>IBE2</v>
      </c>
      <c r="L19285" s="4" t="str">
        <f>HYPERLINK("#Réglementation!A"&amp;_xlfn.XMATCH("NO3",Réglementation!A:A,2,1),"NO3")</f>
        <v>NO3</v>
      </c>
      <c r="Q19285" s="7" t="str">
        <f>HYPERLINK("#Liste_rouge!A"&amp;_xlfn.XMATCH("LC",Liste_rouge!A:A,2,1),"LC")</f>
        <v>LC</v>
      </c>
      <c r="R19285" s="7" t="str">
        <f>HYPERLINK("#Liste_rouge!A"&amp;_xlfn.XMATCH("NA",Liste_rouge!A:A,2,1),"NA")</f>
        <v>NA</v>
      </c>
      <c r="AH19285" s="4" t="str">
        <f>HYPERLINK("#Statut_biogéographique!A"&amp;_xlfn.XMATCH("P",Statut_biogéographique!A:A,2,1),"P")</f>
        <v>P</v>
      </c>
      <c r="AP19285" s="4" t="s">
        <v>376</v>
      </c>
      <c r="AR19285" s="4" t="s">
        <v>377</v>
      </c>
    </row>
    <row r="19286" spans="1:44">
      <c r="A19286" s="4" t="s">
        <v>117</v>
      </c>
      <c r="B19286" s="4">
        <v>2460</v>
      </c>
      <c r="D19286" s="5">
        <v>2460</v>
      </c>
      <c r="E19286" s="6" t="str">
        <f>HYPERLINK("https://inpn.mnhn.fr/espece/cd_nom/2460","Pelecanus onocrotalus Linnaeus, 1758")</f>
        <v>Pelecanus onocrotalus Linnaeus, 1758</v>
      </c>
      <c r="F19286" s="5" t="s">
        <v>23524</v>
      </c>
      <c r="H19286" s="4" t="str">
        <f>HYPERLINK("#Réglementation!A"&amp;_xlfn.XMATCH("IBOAE",Réglementation!A:A,2,1),"IBOAE - IBO1 - IBO2")</f>
        <v>IBOAE - IBO1 - IBO2</v>
      </c>
      <c r="I19286" s="4" t="str">
        <f>HYPERLINK("#Réglementation!A"&amp;_xlfn.XMATCH("IBE2",Réglementation!A:A,2,1),"IBE2")</f>
        <v>IBE2</v>
      </c>
      <c r="J19286" s="4" t="str">
        <f>HYPERLINK("#Réglementation!A"&amp;_xlfn.XMATCH("CDO1",Réglementation!A:A,2,1),"CDO1")</f>
        <v>CDO1</v>
      </c>
      <c r="L19286" s="4" t="str">
        <f>HYPERLINK("#Réglementation!A"&amp;_xlfn.XMATCH("NO4",Réglementation!A:A,2,1),"NO4")</f>
        <v>NO4</v>
      </c>
      <c r="O19286" s="7" t="str">
        <f>HYPERLINK("#Liste_rouge!A"&amp;_xlfn.XMATCH("LC",Liste_rouge!A:A,2,1),"LC")</f>
        <v>LC</v>
      </c>
      <c r="P19286" s="7" t="str">
        <f>HYPERLINK("#Liste_rouge!A"&amp;_xlfn.XMATCH("LC",Liste_rouge!A:A,2,1),"LC")</f>
        <v>LC</v>
      </c>
      <c r="S19286" s="7" t="str">
        <f>HYPERLINK("#Liste_rouge!A"&amp;_xlfn.XMATCH("NA",Liste_rouge!A:A,2,1),"NA")</f>
        <v>NA</v>
      </c>
      <c r="AH19286" s="4" t="str">
        <f>HYPERLINK("#Statut_biogéographique!A"&amp;_xlfn.XMATCH("P",Statut_biogéographique!A:A,2,1),"P")</f>
        <v>P</v>
      </c>
      <c r="AM19286" s="4" t="s">
        <v>375</v>
      </c>
      <c r="AN19286" s="4" t="s">
        <v>375</v>
      </c>
      <c r="AO19286" s="4" t="s">
        <v>375</v>
      </c>
      <c r="AP19286" s="4" t="s">
        <v>376</v>
      </c>
      <c r="AR19286" s="4" t="s">
        <v>377</v>
      </c>
    </row>
    <row r="19287" spans="1:44">
      <c r="A19287" s="4" t="s">
        <v>117</v>
      </c>
      <c r="B19287" s="4">
        <v>2462</v>
      </c>
      <c r="D19287" s="5">
        <v>2462</v>
      </c>
      <c r="E19287" s="6" t="str">
        <f>HYPERLINK("https://inpn.mnhn.fr/espece/cd_nom/2462","Pelecanus crispus Bruch, 1832")</f>
        <v>Pelecanus crispus Bruch, 1832</v>
      </c>
      <c r="F19287" s="5" t="s">
        <v>23525</v>
      </c>
      <c r="G19287" s="4" t="str">
        <f>HYPERLINK("[#Réglementation!A"&amp;_xlfn.XMATCH("CCA",Réglementation!A:A,2,1),"CCA")</f>
        <v>CCA</v>
      </c>
      <c r="H19287" s="4" t="str">
        <f>HYPERLINK("#Réglementation!A"&amp;_xlfn.XMATCH("IBOAE",Réglementation!A:A,2,1),"IBOAE - IBO1 - IBO2")</f>
        <v>IBOAE - IBO1 - IBO2</v>
      </c>
      <c r="I19287" s="4" t="str">
        <f>HYPERLINK("#Réglementation!A"&amp;_xlfn.XMATCH("IBE2",Réglementation!A:A,2,1),"IBE2")</f>
        <v>IBE2</v>
      </c>
      <c r="J19287" s="4" t="str">
        <f>HYPERLINK("#Réglementation!A"&amp;_xlfn.XMATCH("CDO1",Réglementation!A:A,2,1),"CDO1")</f>
        <v>CDO1</v>
      </c>
      <c r="L19287" s="4" t="str">
        <f>HYPERLINK("#Réglementation!A"&amp;_xlfn.XMATCH("NO4",Réglementation!A:A,2,1),"NO4")</f>
        <v>NO4</v>
      </c>
      <c r="O19287" s="7" t="str">
        <f>HYPERLINK("#Liste_rouge!A"&amp;_xlfn.XMATCH("NT",Liste_rouge!A:A,2,1),"NT")</f>
        <v>NT</v>
      </c>
      <c r="P19287" s="7" t="str">
        <f>HYPERLINK("#Liste_rouge!A"&amp;_xlfn.XMATCH("LC",Liste_rouge!A:A,2,1),"LC")</f>
        <v>LC</v>
      </c>
      <c r="AH19287" s="4" t="str">
        <f>HYPERLINK("#Statut_biogéographique!A"&amp;_xlfn.XMATCH("P",Statut_biogéographique!A:A,2,1),"P")</f>
        <v>P</v>
      </c>
      <c r="AM19287" s="4" t="s">
        <v>375</v>
      </c>
      <c r="AN19287" s="4" t="s">
        <v>375</v>
      </c>
      <c r="AO19287" s="4" t="s">
        <v>375</v>
      </c>
      <c r="AP19287" s="4" t="s">
        <v>376</v>
      </c>
      <c r="AR19287" s="4" t="s">
        <v>377</v>
      </c>
    </row>
    <row r="19288" spans="1:44">
      <c r="A19288" s="4" t="s">
        <v>117</v>
      </c>
      <c r="B19288" s="4">
        <v>2464</v>
      </c>
      <c r="D19288" s="5">
        <v>2464</v>
      </c>
      <c r="E19288" s="6" t="str">
        <f>HYPERLINK("https://inpn.mnhn.fr/espece/cd_nom/2464","Pelecanus rufescens Gmelin, 1789")</f>
        <v>Pelecanus rufescens Gmelin, 1789</v>
      </c>
      <c r="F19288" s="5" t="s">
        <v>23526</v>
      </c>
      <c r="I19288" s="4" t="str">
        <f>HYPERLINK("#Réglementation!A"&amp;_xlfn.XMATCH("IBE2",Réglementation!A:A,2,1),"IBE2")</f>
        <v>IBE2</v>
      </c>
      <c r="O19288" s="7" t="str">
        <f>HYPERLINK("#Liste_rouge!A"&amp;_xlfn.XMATCH("LC",Liste_rouge!A:A,2,1),"LC")</f>
        <v>LC</v>
      </c>
      <c r="AH19288" s="4" t="str">
        <f>HYPERLINK("#Statut_biogéographique!A"&amp;_xlfn.XMATCH("B",Statut_biogéographique!A:A,2,1),"B")</f>
        <v>B</v>
      </c>
      <c r="AP19288" s="4" t="s">
        <v>376</v>
      </c>
      <c r="AR19288" s="4" t="s">
        <v>377</v>
      </c>
    </row>
    <row r="19289" spans="1:44" ht="60">
      <c r="A19289" s="4" t="s">
        <v>117</v>
      </c>
      <c r="B19289" s="4">
        <v>2473</v>
      </c>
      <c r="D19289" s="5" t="s">
        <v>23527</v>
      </c>
      <c r="E19289" s="6" t="str">
        <f>HYPERLINK("https://inpn.mnhn.fr/espece/cd_nom/2473","Botaurus stellaris (Linnaeus, 1758)")</f>
        <v>Botaurus stellaris (Linnaeus, 1758)</v>
      </c>
      <c r="F19289" s="5" t="s">
        <v>23528</v>
      </c>
      <c r="H19289" s="4" t="str">
        <f>HYPERLINK("#Réglementation!A"&amp;_xlfn.XMATCH("IBOAE",Réglementation!A:A,2,1),"IBOAE - IBO2")</f>
        <v>IBOAE - IBO2</v>
      </c>
      <c r="I19289" s="4" t="str">
        <f>HYPERLINK("#Réglementation!A"&amp;_xlfn.XMATCH("IBE2",Réglementation!A:A,2,1),"IBE2")</f>
        <v>IBE2</v>
      </c>
      <c r="J19289" s="4" t="str">
        <f>HYPERLINK("#Réglementation!A"&amp;_xlfn.XMATCH("CDO1",Réglementation!A:A,2,1),"CDO1")</f>
        <v>CDO1</v>
      </c>
      <c r="L19289" s="4" t="str">
        <f>HYPERLINK("#Réglementation!A"&amp;_xlfn.XMATCH("NO3",Réglementation!A:A,2,1),"NO3")</f>
        <v>NO3</v>
      </c>
      <c r="O19289" s="7" t="str">
        <f>HYPERLINK("#Liste_rouge!A"&amp;_xlfn.XMATCH("LC",Liste_rouge!A:A,2,1),"LC")</f>
        <v>LC</v>
      </c>
      <c r="P19289" s="7" t="str">
        <f>HYPERLINK("#Liste_rouge!A"&amp;_xlfn.XMATCH("LC",Liste_rouge!A:A,2,1),"LC")</f>
        <v>LC</v>
      </c>
      <c r="Q19289" s="7" t="str">
        <f>HYPERLINK("#Liste_rouge!A"&amp;_xlfn.XMATCH("VU",Liste_rouge!A:A,2,1),"VU")</f>
        <v>VU</v>
      </c>
      <c r="R19289" s="7" t="str">
        <f>HYPERLINK("#Liste_rouge!A"&amp;_xlfn.XMATCH("NA",Liste_rouge!A:A,2,1),"NA")</f>
        <v>NA</v>
      </c>
      <c r="S19289" s="7" t="str">
        <f>HYPERLINK("#Liste_rouge!A"&amp;_xlfn.XMATCH("NA",Liste_rouge!A:A,2,1),"NA")</f>
        <v>NA</v>
      </c>
      <c r="T19289" s="7" t="str">
        <f>HYPERLINK("#Liste_rouge!A"&amp;_xlfn.XMATCH("RE",Liste_rouge!A:A,2,1),"RE")</f>
        <v>RE</v>
      </c>
      <c r="V19289" s="7" t="str">
        <f>HYPERLINK("#Liste_rouge!A"&amp;_xlfn.XMATCH("RE",Liste_rouge!A:A,2,1),"RE")</f>
        <v>RE</v>
      </c>
      <c r="X19289" s="5" t="s">
        <v>23442</v>
      </c>
      <c r="Y19289" s="5" t="s">
        <v>23494</v>
      </c>
      <c r="AE19289" s="4" t="str">
        <f>HYPERLINK("#SCAP!A"&amp;_xlfn.XMATCH("3",SCAP!A:A,2,1),"3")</f>
        <v>3</v>
      </c>
      <c r="AF19289" s="4" t="str">
        <f>HYPERLINK("#SCAP!A"&amp;_xlfn.XMATCH("3",SCAP!A:A,2,1),"3")</f>
        <v>3</v>
      </c>
      <c r="AH19289" s="4" t="str">
        <f>HYPERLINK("#Statut_biogéographique!A"&amp;_xlfn.XMATCH("P",Statut_biogéographique!A:A,2,1),"P")</f>
        <v>P</v>
      </c>
      <c r="AI19289" s="8" t="s">
        <v>23529</v>
      </c>
      <c r="AJ19289" s="4" t="s">
        <v>23530</v>
      </c>
      <c r="AM19289" s="4" t="s">
        <v>375</v>
      </c>
      <c r="AN19289" s="4" t="s">
        <v>375</v>
      </c>
      <c r="AO19289" s="4" t="s">
        <v>375</v>
      </c>
      <c r="AP19289" s="4" t="s">
        <v>389</v>
      </c>
      <c r="AR19289" s="4" t="s">
        <v>377</v>
      </c>
    </row>
    <row r="19290" spans="1:44">
      <c r="A19290" s="4" t="s">
        <v>117</v>
      </c>
      <c r="B19290" s="4">
        <v>2477</v>
      </c>
      <c r="D19290" s="5" t="s">
        <v>23531</v>
      </c>
      <c r="E19290" s="6" t="str">
        <f>HYPERLINK("https://inpn.mnhn.fr/espece/cd_nom/2477","Ixobrychus minutus (Linnaeus, 1766)")</f>
        <v>Ixobrychus minutus (Linnaeus, 1766)</v>
      </c>
      <c r="F19290" s="5" t="s">
        <v>23532</v>
      </c>
      <c r="H19290" s="4" t="str">
        <f>HYPERLINK("#Réglementation!A"&amp;_xlfn.XMATCH("IBOAE",Réglementation!A:A,2,1),"IBOAE - IBO2")</f>
        <v>IBOAE - IBO2</v>
      </c>
      <c r="I19290" s="4" t="str">
        <f>HYPERLINK("#Réglementation!A"&amp;_xlfn.XMATCH("IBE2",Réglementation!A:A,2,1),"IBE2")</f>
        <v>IBE2</v>
      </c>
      <c r="J19290" s="4" t="str">
        <f>HYPERLINK("#Réglementation!A"&amp;_xlfn.XMATCH("CDO1",Réglementation!A:A,2,1),"CDO1")</f>
        <v>CDO1</v>
      </c>
      <c r="L19290" s="4" t="str">
        <f>HYPERLINK("#Réglementation!A"&amp;_xlfn.XMATCH("NO3",Réglementation!A:A,2,1),"NO3 - NM")</f>
        <v>NO3 - NM</v>
      </c>
      <c r="O19290" s="7" t="str">
        <f>HYPERLINK("#Liste_rouge!A"&amp;_xlfn.XMATCH("LC",Liste_rouge!A:A,2,1),"LC")</f>
        <v>LC</v>
      </c>
      <c r="P19290" s="7" t="str">
        <f>HYPERLINK("#Liste_rouge!A"&amp;_xlfn.XMATCH("LC",Liste_rouge!A:A,2,1),"LC")</f>
        <v>LC</v>
      </c>
      <c r="Q19290" s="7" t="str">
        <f>HYPERLINK("#Liste_rouge!A"&amp;_xlfn.XMATCH("EN",Liste_rouge!A:A,2,1),"EN")</f>
        <v>EN</v>
      </c>
      <c r="S19290" s="7" t="str">
        <f>HYPERLINK("#Liste_rouge!A"&amp;_xlfn.XMATCH("NA",Liste_rouge!A:A,2,1),"NA")</f>
        <v>NA</v>
      </c>
      <c r="T19290" s="7" t="str">
        <f>HYPERLINK("#Liste_rouge!A"&amp;_xlfn.XMATCH("EN",Liste_rouge!A:A,2,1),"EN")</f>
        <v>EN</v>
      </c>
      <c r="U19290" s="4" t="str">
        <f>HYPERLINK("#Critères_liste_rouge!A$1","D1")</f>
        <v>D1</v>
      </c>
      <c r="V19290" s="7" t="str">
        <f>HYPERLINK("#Liste_rouge!A"&amp;_xlfn.XMATCH("CR",Liste_rouge!A:A,2,1),"CR")</f>
        <v>CR</v>
      </c>
      <c r="W19290" s="4" t="str">
        <f>HYPERLINK("#Critères_liste_rouge!A$1","D1")</f>
        <v>D1</v>
      </c>
      <c r="X19290" s="5" t="s">
        <v>374</v>
      </c>
      <c r="AE19290" s="4" t="str">
        <f>HYPERLINK("#SCAP!A"&amp;_xlfn.XMATCH("1-",SCAP!A:A,2,1),"1-")</f>
        <v>1-</v>
      </c>
      <c r="AF19290" s="4" t="str">
        <f>HYPERLINK("#SCAP!A"&amp;_xlfn.XMATCH("2+",SCAP!A:A,2,1),"2+")</f>
        <v>2+</v>
      </c>
      <c r="AG19290" s="4" t="str">
        <f>HYPERLINK("#SCAP!A"&amp;_xlfn.XMATCH("2+",SCAP!A:A,2,1),"2+")</f>
        <v>2+</v>
      </c>
      <c r="AH19290" s="4" t="str">
        <f>HYPERLINK("#Statut_biogéographique!A"&amp;_xlfn.XMATCH("P",Statut_biogéographique!A:A,2,1),"P")</f>
        <v>P</v>
      </c>
      <c r="AM19290" s="4" t="s">
        <v>375</v>
      </c>
      <c r="AN19290" s="4" t="s">
        <v>375</v>
      </c>
      <c r="AO19290" s="4" t="s">
        <v>375</v>
      </c>
      <c r="AP19290" s="4" t="s">
        <v>376</v>
      </c>
      <c r="AQ19290" s="4" t="s">
        <v>377</v>
      </c>
      <c r="AR19290" s="4" t="s">
        <v>377</v>
      </c>
    </row>
    <row r="19291" spans="1:44">
      <c r="A19291" s="4" t="s">
        <v>117</v>
      </c>
      <c r="B19291" s="4">
        <v>2481</v>
      </c>
      <c r="D19291" s="5" t="s">
        <v>23533</v>
      </c>
      <c r="E19291" s="6" t="str">
        <f>HYPERLINK("https://inpn.mnhn.fr/espece/cd_nom/2481","Nycticorax nycticorax (Linnaeus, 1758)")</f>
        <v>Nycticorax nycticorax (Linnaeus, 1758)</v>
      </c>
      <c r="F19291" s="5" t="s">
        <v>23534</v>
      </c>
      <c r="H19291" s="4" t="str">
        <f>HYPERLINK("#Réglementation!A"&amp;_xlfn.XMATCH("IBOAE",Réglementation!A:A,2,1),"IBOAE")</f>
        <v>IBOAE</v>
      </c>
      <c r="I19291" s="4" t="str">
        <f>HYPERLINK("#Réglementation!A"&amp;_xlfn.XMATCH("IBE2",Réglementation!A:A,2,1),"IBE2")</f>
        <v>IBE2</v>
      </c>
      <c r="J19291" s="4" t="str">
        <f>HYPERLINK("#Réglementation!A"&amp;_xlfn.XMATCH("CDO1",Réglementation!A:A,2,1),"CDO1")</f>
        <v>CDO1</v>
      </c>
      <c r="L19291" s="4" t="str">
        <f>HYPERLINK("#Réglementation!A"&amp;_xlfn.XMATCH("NO3",Réglementation!A:A,2,1),"NO3")</f>
        <v>NO3</v>
      </c>
      <c r="O19291" s="7" t="str">
        <f>HYPERLINK("#Liste_rouge!A"&amp;_xlfn.XMATCH("LC",Liste_rouge!A:A,2,1),"LC")</f>
        <v>LC</v>
      </c>
      <c r="P19291" s="7" t="str">
        <f>HYPERLINK("#Liste_rouge!A"&amp;_xlfn.XMATCH("LC",Liste_rouge!A:A,2,1),"LC")</f>
        <v>LC</v>
      </c>
      <c r="Q19291" s="7" t="str">
        <f>HYPERLINK("#Liste_rouge!A"&amp;_xlfn.XMATCH("NT",Liste_rouge!A:A,2,1),"NT")</f>
        <v>NT</v>
      </c>
      <c r="R19291" s="7" t="str">
        <f>HYPERLINK("#Liste_rouge!A"&amp;_xlfn.XMATCH("NA",Liste_rouge!A:A,2,1),"NA")</f>
        <v>NA</v>
      </c>
      <c r="T19291" s="7" t="str">
        <f>HYPERLINK("#Liste_rouge!A"&amp;_xlfn.XMATCH("VU",Liste_rouge!A:A,2,1),"VU")</f>
        <v>VU</v>
      </c>
      <c r="U19291" s="4" t="str">
        <f>HYPERLINK("#Critères_liste_rouge!A$1","D1")</f>
        <v>D1</v>
      </c>
      <c r="V19291" s="7" t="str">
        <f>HYPERLINK("#Liste_rouge!A"&amp;_xlfn.XMATCH("VU",Liste_rouge!A:A,2,1),"VU")</f>
        <v>VU</v>
      </c>
      <c r="W19291" s="4" t="str">
        <f>HYPERLINK("#Critères_liste_rouge!A$1","EN (D1) (-1)")</f>
        <v>EN (D1) (-1)</v>
      </c>
      <c r="X19291" s="5" t="s">
        <v>374</v>
      </c>
      <c r="AE19291" s="4" t="str">
        <f>HYPERLINK("#SCAP!A"&amp;_xlfn.XMATCH("1-",SCAP!A:A,2,1),"1-")</f>
        <v>1-</v>
      </c>
      <c r="AF19291" s="4" t="str">
        <f>HYPERLINK("#SCAP!A"&amp;_xlfn.XMATCH("2+",SCAP!A:A,2,1),"2+")</f>
        <v>2+</v>
      </c>
      <c r="AG19291" s="4" t="str">
        <f>HYPERLINK("#SCAP!A"&amp;_xlfn.XMATCH("2+",SCAP!A:A,2,1),"2+")</f>
        <v>2+</v>
      </c>
      <c r="AH19291" s="4" t="str">
        <f>HYPERLINK("#Statut_biogéographique!A"&amp;_xlfn.XMATCH("P",Statut_biogéographique!A:A,2,1),"P")</f>
        <v>P</v>
      </c>
      <c r="AM19291" s="4" t="s">
        <v>375</v>
      </c>
      <c r="AN19291" s="4" t="s">
        <v>375</v>
      </c>
      <c r="AO19291" s="4" t="s">
        <v>375</v>
      </c>
      <c r="AP19291" s="4" t="s">
        <v>389</v>
      </c>
      <c r="AR19291" s="4" t="s">
        <v>377</v>
      </c>
    </row>
    <row r="19292" spans="1:44">
      <c r="A19292" s="4" t="s">
        <v>117</v>
      </c>
      <c r="B19292" s="4">
        <v>2486</v>
      </c>
      <c r="D19292" s="5" t="s">
        <v>23535</v>
      </c>
      <c r="E19292" s="6" t="str">
        <f>HYPERLINK("https://inpn.mnhn.fr/espece/cd_nom/2486","Ardeola ralloides (Scopoli, 1769)")</f>
        <v>Ardeola ralloides (Scopoli, 1769)</v>
      </c>
      <c r="F19292" s="5" t="s">
        <v>23536</v>
      </c>
      <c r="H19292" s="4" t="str">
        <f>HYPERLINK("#Réglementation!A"&amp;_xlfn.XMATCH("IBOAE",Réglementation!A:A,2,1),"IBOAE")</f>
        <v>IBOAE</v>
      </c>
      <c r="I19292" s="4" t="str">
        <f>HYPERLINK("#Réglementation!A"&amp;_xlfn.XMATCH("IBE2",Réglementation!A:A,2,1),"IBE2")</f>
        <v>IBE2</v>
      </c>
      <c r="J19292" s="4" t="str">
        <f>HYPERLINK("#Réglementation!A"&amp;_xlfn.XMATCH("CDO1",Réglementation!A:A,2,1),"CDO1")</f>
        <v>CDO1</v>
      </c>
      <c r="L19292" s="4" t="str">
        <f>HYPERLINK("#Réglementation!A"&amp;_xlfn.XMATCH("NO3",Réglementation!A:A,2,1),"NO3")</f>
        <v>NO3</v>
      </c>
      <c r="O19292" s="7" t="str">
        <f>HYPERLINK("#Liste_rouge!A"&amp;_xlfn.XMATCH("LC",Liste_rouge!A:A,2,1),"LC")</f>
        <v>LC</v>
      </c>
      <c r="P19292" s="7" t="str">
        <f>HYPERLINK("#Liste_rouge!A"&amp;_xlfn.XMATCH("LC",Liste_rouge!A:A,2,1),"LC")</f>
        <v>LC</v>
      </c>
      <c r="Q19292" s="7" t="str">
        <f>HYPERLINK("#Liste_rouge!A"&amp;_xlfn.XMATCH("LC",Liste_rouge!A:A,2,1),"LC")</f>
        <v>LC</v>
      </c>
      <c r="T19292" s="7" t="str">
        <f>HYPERLINK("#Liste_rouge!A"&amp;_xlfn.XMATCH("NA",Liste_rouge!A:A,2,1),"NA")</f>
        <v>NA</v>
      </c>
      <c r="U19292" s="4" t="str">
        <f>HYPERLINK("#Critères_liste_rouge!A$1","b")</f>
        <v>b</v>
      </c>
      <c r="X19292" s="5" t="s">
        <v>374</v>
      </c>
      <c r="AE19292" s="4" t="str">
        <f>HYPERLINK("#SCAP!A"&amp;_xlfn.XMATCH("1-",SCAP!A:A,2,1),"1-")</f>
        <v>1-</v>
      </c>
      <c r="AH19292" s="4" t="str">
        <f>HYPERLINK("#Statut_biogéographique!A"&amp;_xlfn.XMATCH("P",Statut_biogéographique!A:A,2,1),"P")</f>
        <v>P</v>
      </c>
      <c r="AM19292" s="4" t="s">
        <v>375</v>
      </c>
      <c r="AN19292" s="4" t="s">
        <v>375</v>
      </c>
      <c r="AO19292" s="4" t="s">
        <v>375</v>
      </c>
      <c r="AP19292" s="4" t="s">
        <v>376</v>
      </c>
      <c r="AR19292" s="4" t="s">
        <v>377</v>
      </c>
    </row>
    <row r="19293" spans="1:44">
      <c r="A19293" s="4" t="s">
        <v>117</v>
      </c>
      <c r="B19293" s="4">
        <v>2489</v>
      </c>
      <c r="D19293" s="5" t="s">
        <v>23537</v>
      </c>
      <c r="E19293" s="6" t="str">
        <f>HYPERLINK("https://inpn.mnhn.fr/espece/cd_nom/2489","Bubulcus ibis (Linnaeus, 1758)")</f>
        <v>Bubulcus ibis (Linnaeus, 1758)</v>
      </c>
      <c r="F19293" s="5" t="s">
        <v>23538</v>
      </c>
      <c r="G19293" s="4" t="str">
        <f>HYPERLINK("[#Réglementation!A"&amp;_xlfn.XMATCH("CCA",Réglementation!A:A,2,1),"CCA")</f>
        <v>CCA</v>
      </c>
      <c r="H19293" s="4" t="str">
        <f>HYPERLINK("#Réglementation!A"&amp;_xlfn.XMATCH("IBOAE",Réglementation!A:A,2,1),"IBOAE")</f>
        <v>IBOAE</v>
      </c>
      <c r="I19293" s="4" t="str">
        <f>HYPERLINK("#Réglementation!A"&amp;_xlfn.XMATCH("IBE3",Réglementation!A:A,2,1),"IBE3")</f>
        <v>IBE3</v>
      </c>
      <c r="L19293" s="4" t="str">
        <f>HYPERLINK("#Réglementation!A"&amp;_xlfn.XMATCH("NO3",Réglementation!A:A,2,1),"NO3")</f>
        <v>NO3</v>
      </c>
      <c r="O19293" s="7" t="str">
        <f>HYPERLINK("#Liste_rouge!A"&amp;_xlfn.XMATCH("LC",Liste_rouge!A:A,2,1),"LC")</f>
        <v>LC</v>
      </c>
      <c r="P19293" s="7" t="str">
        <f>HYPERLINK("#Liste_rouge!A"&amp;_xlfn.XMATCH("LC",Liste_rouge!A:A,2,1),"LC")</f>
        <v>LC</v>
      </c>
      <c r="Q19293" s="7" t="str">
        <f>HYPERLINK("#Liste_rouge!A"&amp;_xlfn.XMATCH("LC",Liste_rouge!A:A,2,1),"LC")</f>
        <v>LC</v>
      </c>
      <c r="R19293" s="7" t="str">
        <f>HYPERLINK("#Liste_rouge!A"&amp;_xlfn.XMATCH("NA",Liste_rouge!A:A,2,1),"NA")</f>
        <v>NA</v>
      </c>
      <c r="T19293" s="7" t="str">
        <f>HYPERLINK("#Liste_rouge!A"&amp;_xlfn.XMATCH("VU",Liste_rouge!A:A,2,1),"VU")</f>
        <v>VU</v>
      </c>
      <c r="U19293" s="4" t="str">
        <f>HYPERLINK("#Critères_liste_rouge!A$1","D1 (EN -1)")</f>
        <v>D1 (EN -1)</v>
      </c>
      <c r="V19293" s="7" t="str">
        <f>HYPERLINK("#Liste_rouge!A"&amp;_xlfn.XMATCH("NA",Liste_rouge!A:A,2,1),"NA")</f>
        <v>NA</v>
      </c>
      <c r="W19293" s="4" t="str">
        <f>HYPERLINK("#Critères_liste_rouge!A$1","b2")</f>
        <v>b2</v>
      </c>
      <c r="X19293" s="5" t="s">
        <v>374</v>
      </c>
      <c r="AH19293" s="4" t="str">
        <f>HYPERLINK("#Statut_biogéographique!A"&amp;_xlfn.XMATCH("P",Statut_biogéographique!A:A,2,1),"P")</f>
        <v>P</v>
      </c>
      <c r="AM19293" s="4" t="s">
        <v>375</v>
      </c>
      <c r="AN19293" s="4" t="s">
        <v>375</v>
      </c>
      <c r="AO19293" s="4" t="s">
        <v>375</v>
      </c>
      <c r="AP19293" s="4" t="s">
        <v>389</v>
      </c>
      <c r="AR19293" s="4" t="s">
        <v>377</v>
      </c>
    </row>
    <row r="19294" spans="1:44">
      <c r="A19294" s="4" t="s">
        <v>117</v>
      </c>
      <c r="B19294" s="4">
        <v>2494</v>
      </c>
      <c r="D19294" s="5" t="s">
        <v>23539</v>
      </c>
      <c r="E19294" s="6" t="str">
        <f>HYPERLINK("https://inpn.mnhn.fr/espece/cd_nom/2494","Egretta gularis (Bosc, 1792)")</f>
        <v>Egretta gularis (Bosc, 1792)</v>
      </c>
      <c r="F19294" s="5" t="s">
        <v>23540</v>
      </c>
      <c r="I19294" s="4" t="str">
        <f>HYPERLINK("#Réglementation!A"&amp;_xlfn.XMATCH("IBE3",Réglementation!A:A,2,1),"IBE3")</f>
        <v>IBE3</v>
      </c>
      <c r="L19294" s="4" t="str">
        <f>HYPERLINK("#Réglementation!A"&amp;_xlfn.XMATCH("NO4",Réglementation!A:A,2,1),"NO4")</f>
        <v>NO4</v>
      </c>
      <c r="O19294" s="7" t="str">
        <f>HYPERLINK("#Liste_rouge!A"&amp;_xlfn.XMATCH("LC",Liste_rouge!A:A,2,1),"LC")</f>
        <v>LC</v>
      </c>
      <c r="S19294" s="7" t="str">
        <f>HYPERLINK("#Liste_rouge!A"&amp;_xlfn.XMATCH("NA",Liste_rouge!A:A,2,1),"NA")</f>
        <v>NA</v>
      </c>
      <c r="AH19294" s="4" t="str">
        <f>HYPERLINK("#Statut_biogéographique!A"&amp;_xlfn.XMATCH("B",Statut_biogéographique!A:A,2,1),"B")</f>
        <v>B</v>
      </c>
      <c r="AP19294" s="4" t="s">
        <v>376</v>
      </c>
      <c r="AR19294" s="4" t="s">
        <v>377</v>
      </c>
    </row>
    <row r="19295" spans="1:44">
      <c r="A19295" s="4" t="s">
        <v>117</v>
      </c>
      <c r="B19295" s="4">
        <v>2497</v>
      </c>
      <c r="D19295" s="5" t="s">
        <v>23541</v>
      </c>
      <c r="E19295" s="6" t="str">
        <f>HYPERLINK("https://inpn.mnhn.fr/espece/cd_nom/2497","Egretta garzetta (Linnaeus, 1766)")</f>
        <v>Egretta garzetta (Linnaeus, 1766)</v>
      </c>
      <c r="F19295" s="5" t="s">
        <v>23542</v>
      </c>
      <c r="G19295" s="4" t="str">
        <f>HYPERLINK("[#Réglementation!A"&amp;_xlfn.XMATCH("CCA",Réglementation!A:A,2,1),"CCA")</f>
        <v>CCA</v>
      </c>
      <c r="H19295" s="4" t="str">
        <f>HYPERLINK("#Réglementation!A"&amp;_xlfn.XMATCH("IBOAE",Réglementation!A:A,2,1),"IBOAE")</f>
        <v>IBOAE</v>
      </c>
      <c r="I19295" s="4" t="str">
        <f>HYPERLINK("#Réglementation!A"&amp;_xlfn.XMATCH("IBE2",Réglementation!A:A,2,1),"IBE2")</f>
        <v>IBE2</v>
      </c>
      <c r="J19295" s="4" t="str">
        <f>HYPERLINK("#Réglementation!A"&amp;_xlfn.XMATCH("CDO1",Réglementation!A:A,2,1),"CDO1")</f>
        <v>CDO1</v>
      </c>
      <c r="L19295" s="4" t="str">
        <f>HYPERLINK("#Réglementation!A"&amp;_xlfn.XMATCH("NO3",Réglementation!A:A,2,1),"NO3")</f>
        <v>NO3</v>
      </c>
      <c r="P19295" s="7" t="str">
        <f>HYPERLINK("#Liste_rouge!A"&amp;_xlfn.XMATCH("LC",Liste_rouge!A:A,2,1),"LC")</f>
        <v>LC</v>
      </c>
      <c r="Q19295" s="7" t="str">
        <f>HYPERLINK("#Liste_rouge!A"&amp;_xlfn.XMATCH("LC",Liste_rouge!A:A,2,1),"LC")</f>
        <v>LC</v>
      </c>
      <c r="R19295" s="7" t="str">
        <f>HYPERLINK("#Liste_rouge!A"&amp;_xlfn.XMATCH("NA",Liste_rouge!A:A,2,1),"NA")</f>
        <v>NA</v>
      </c>
      <c r="T19295" s="7" t="str">
        <f>HYPERLINK("#Liste_rouge!A"&amp;_xlfn.XMATCH("VU",Liste_rouge!A:A,2,1),"VU")</f>
        <v>VU</v>
      </c>
      <c r="U19295" s="4" t="str">
        <f>HYPERLINK("#Critères_liste_rouge!A$1","D1 (EN -1)")</f>
        <v>D1 (EN -1)</v>
      </c>
      <c r="V19295" s="7" t="str">
        <f>HYPERLINK("#Liste_rouge!A"&amp;_xlfn.XMATCH("VU",Liste_rouge!A:A,2,1),"VU")</f>
        <v>VU</v>
      </c>
      <c r="W19295" s="4" t="str">
        <f>HYPERLINK("#Critères_liste_rouge!A$1","EN (D1) (-1)")</f>
        <v>EN (D1) (-1)</v>
      </c>
      <c r="X19295" s="5" t="s">
        <v>374</v>
      </c>
      <c r="AH19295" s="4" t="str">
        <f>HYPERLINK("#Statut_biogéographique!A"&amp;_xlfn.XMATCH("P",Statut_biogéographique!A:A,2,1),"P")</f>
        <v>P</v>
      </c>
      <c r="AM19295" s="4" t="s">
        <v>375</v>
      </c>
      <c r="AN19295" s="4" t="s">
        <v>375</v>
      </c>
      <c r="AO19295" s="4" t="s">
        <v>375</v>
      </c>
      <c r="AP19295" s="4" t="s">
        <v>376</v>
      </c>
      <c r="AR19295" s="4" t="s">
        <v>377</v>
      </c>
    </row>
    <row r="19296" spans="1:44" ht="75">
      <c r="A19296" s="4" t="s">
        <v>117</v>
      </c>
      <c r="B19296" s="4">
        <v>2504</v>
      </c>
      <c r="D19296" s="5" t="s">
        <v>23543</v>
      </c>
      <c r="E19296" s="6" t="str">
        <f>HYPERLINK("https://inpn.mnhn.fr/espece/cd_nom/2504","Ardea alba Linnaeus, 1758")</f>
        <v>Ardea alba Linnaeus, 1758</v>
      </c>
      <c r="F19296" s="5" t="s">
        <v>23544</v>
      </c>
      <c r="G19296" s="4" t="str">
        <f>HYPERLINK("[#Réglementation!A"&amp;_xlfn.XMATCH("CCA",Réglementation!A:A,2,1),"CCA")</f>
        <v>CCA</v>
      </c>
      <c r="H19296" s="4" t="str">
        <f>HYPERLINK("#Réglementation!A"&amp;_xlfn.XMATCH("IBOAE",Réglementation!A:A,2,1),"IBOAE - IBO2")</f>
        <v>IBOAE - IBO2</v>
      </c>
      <c r="I19296" s="4" t="str">
        <f>HYPERLINK("#Réglementation!A"&amp;_xlfn.XMATCH("IBE2",Réglementation!A:A,2,1),"IBE2")</f>
        <v>IBE2</v>
      </c>
      <c r="J19296" s="4" t="str">
        <f>HYPERLINK("#Réglementation!A"&amp;_xlfn.XMATCH("CDO1",Réglementation!A:A,2,1),"CDO1")</f>
        <v>CDO1</v>
      </c>
      <c r="L19296" s="4" t="str">
        <f>HYPERLINK("#Réglementation!A"&amp;_xlfn.XMATCH("NO3",Réglementation!A:A,2,1),"NO3")</f>
        <v>NO3</v>
      </c>
      <c r="O19296" s="7" t="str">
        <f>HYPERLINK("#Liste_rouge!A"&amp;_xlfn.XMATCH("LC",Liste_rouge!A:A,2,1),"LC")</f>
        <v>LC</v>
      </c>
      <c r="P19296" s="7" t="str">
        <f>HYPERLINK("#Liste_rouge!A"&amp;_xlfn.XMATCH("LC",Liste_rouge!A:A,2,1),"LC")</f>
        <v>LC</v>
      </c>
      <c r="Q19296" s="7" t="str">
        <f>HYPERLINK("#Liste_rouge!A"&amp;_xlfn.XMATCH("NT",Liste_rouge!A:A,2,1),"NT")</f>
        <v>NT</v>
      </c>
      <c r="R19296" s="7" t="str">
        <f>HYPERLINK("#Liste_rouge!A"&amp;_xlfn.XMATCH("LC",Liste_rouge!A:A,2,1),"LC")</f>
        <v>LC</v>
      </c>
      <c r="V19296" s="7" t="str">
        <f>HYPERLINK("#Liste_rouge!A"&amp;_xlfn.XMATCH("NA",Liste_rouge!A:A,2,1),"NA")</f>
        <v>NA</v>
      </c>
      <c r="W19296" s="4" t="str">
        <f>HYPERLINK("#Critères_liste_rouge!A$1","b2")</f>
        <v>b2</v>
      </c>
      <c r="X19296" s="5" t="s">
        <v>23439</v>
      </c>
      <c r="Y19296" s="5" t="s">
        <v>23545</v>
      </c>
      <c r="AH19296" s="4" t="str">
        <f>HYPERLINK("#Statut_biogéographique!A"&amp;_xlfn.XMATCH("P",Statut_biogéographique!A:A,2,1),"P")</f>
        <v>P</v>
      </c>
      <c r="AM19296" s="4" t="s">
        <v>375</v>
      </c>
      <c r="AN19296" s="4" t="s">
        <v>375</v>
      </c>
      <c r="AO19296" s="4" t="s">
        <v>375</v>
      </c>
      <c r="AP19296" s="4" t="s">
        <v>389</v>
      </c>
      <c r="AR19296" s="4" t="s">
        <v>377</v>
      </c>
    </row>
    <row r="19297" spans="1:44">
      <c r="A19297" s="4" t="s">
        <v>117</v>
      </c>
      <c r="B19297" s="4">
        <v>2506</v>
      </c>
      <c r="D19297" s="5">
        <v>2506</v>
      </c>
      <c r="E19297" s="6" t="str">
        <f>HYPERLINK("https://inpn.mnhn.fr/espece/cd_nom/2506","Ardea cinerea Linnaeus, 1758")</f>
        <v>Ardea cinerea Linnaeus, 1758</v>
      </c>
      <c r="F19297" s="5" t="s">
        <v>23546</v>
      </c>
      <c r="H19297" s="4" t="str">
        <f>HYPERLINK("#Réglementation!A"&amp;_xlfn.XMATCH("IBOAE",Réglementation!A:A,2,1),"IBOAE")</f>
        <v>IBOAE</v>
      </c>
      <c r="I19297" s="4" t="str">
        <f>HYPERLINK("#Réglementation!A"&amp;_xlfn.XMATCH("IBE3",Réglementation!A:A,2,1),"IBE3")</f>
        <v>IBE3</v>
      </c>
      <c r="L19297" s="4" t="str">
        <f>HYPERLINK("#Réglementation!A"&amp;_xlfn.XMATCH("NO3",Réglementation!A:A,2,1),"NO3")</f>
        <v>NO3</v>
      </c>
      <c r="O19297" s="7" t="str">
        <f>HYPERLINK("#Liste_rouge!A"&amp;_xlfn.XMATCH("LC",Liste_rouge!A:A,2,1),"LC")</f>
        <v>LC</v>
      </c>
      <c r="P19297" s="7" t="str">
        <f>HYPERLINK("#Liste_rouge!A"&amp;_xlfn.XMATCH("LC",Liste_rouge!A:A,2,1),"LC")</f>
        <v>LC</v>
      </c>
      <c r="Q19297" s="7" t="str">
        <f>HYPERLINK("#Liste_rouge!A"&amp;_xlfn.XMATCH("LC",Liste_rouge!A:A,2,1),"LC")</f>
        <v>LC</v>
      </c>
      <c r="R19297" s="7" t="str">
        <f>HYPERLINK("#Liste_rouge!A"&amp;_xlfn.XMATCH("NA",Liste_rouge!A:A,2,1),"NA")</f>
        <v>NA</v>
      </c>
      <c r="S19297" s="7" t="str">
        <f>HYPERLINK("#Liste_rouge!A"&amp;_xlfn.XMATCH("NA",Liste_rouge!A:A,2,1),"NA")</f>
        <v>NA</v>
      </c>
      <c r="T19297" s="7" t="str">
        <f>HYPERLINK("#Liste_rouge!A"&amp;_xlfn.XMATCH("LC",Liste_rouge!A:A,2,1),"LC")</f>
        <v>LC</v>
      </c>
      <c r="V19297" s="7" t="str">
        <f>HYPERLINK("#Liste_rouge!A"&amp;_xlfn.XMATCH("LC",Liste_rouge!A:A,2,1),"LC")</f>
        <v>LC</v>
      </c>
      <c r="AH19297" s="4" t="str">
        <f>HYPERLINK("#Statut_biogéographique!A"&amp;_xlfn.XMATCH("P",Statut_biogéographique!A:A,2,1),"P")</f>
        <v>P</v>
      </c>
      <c r="AM19297" s="4" t="s">
        <v>375</v>
      </c>
      <c r="AN19297" s="4" t="s">
        <v>375</v>
      </c>
      <c r="AO19297" s="4" t="s">
        <v>375</v>
      </c>
      <c r="AP19297" s="4" t="s">
        <v>376</v>
      </c>
      <c r="AR19297" s="4" t="s">
        <v>377</v>
      </c>
    </row>
    <row r="19298" spans="1:44">
      <c r="A19298" s="4" t="s">
        <v>117</v>
      </c>
      <c r="B19298" s="4">
        <v>2508</v>
      </c>
      <c r="D19298" s="5">
        <v>2508</v>
      </c>
      <c r="E19298" s="6" t="str">
        <f>HYPERLINK("https://inpn.mnhn.fr/espece/cd_nom/2508","Ardea purpurea Linnaeus, 1766")</f>
        <v>Ardea purpurea Linnaeus, 1766</v>
      </c>
      <c r="F19298" s="5" t="s">
        <v>23547</v>
      </c>
      <c r="H19298" s="4" t="str">
        <f>HYPERLINK("#Réglementation!A"&amp;_xlfn.XMATCH("IBOAE",Réglementation!A:A,2,1),"IBOAE - IBO2")</f>
        <v>IBOAE - IBO2</v>
      </c>
      <c r="I19298" s="4" t="str">
        <f>HYPERLINK("#Réglementation!A"&amp;_xlfn.XMATCH("IBE2",Réglementation!A:A,2,1),"IBE2")</f>
        <v>IBE2</v>
      </c>
      <c r="J19298" s="4" t="str">
        <f>HYPERLINK("#Réglementation!A"&amp;_xlfn.XMATCH("CDO1",Réglementation!A:A,2,1),"CDO1")</f>
        <v>CDO1</v>
      </c>
      <c r="L19298" s="4" t="str">
        <f>HYPERLINK("#Réglementation!A"&amp;_xlfn.XMATCH("NO3",Réglementation!A:A,2,1),"NO3")</f>
        <v>NO3</v>
      </c>
      <c r="O19298" s="7" t="str">
        <f>HYPERLINK("#Liste_rouge!A"&amp;_xlfn.XMATCH("LC",Liste_rouge!A:A,2,1),"LC")</f>
        <v>LC</v>
      </c>
      <c r="P19298" s="7" t="str">
        <f>HYPERLINK("#Liste_rouge!A"&amp;_xlfn.XMATCH("LC",Liste_rouge!A:A,2,1),"LC")</f>
        <v>LC</v>
      </c>
      <c r="Q19298" s="7" t="str">
        <f>HYPERLINK("#Liste_rouge!A"&amp;_xlfn.XMATCH("LC",Liste_rouge!A:A,2,1),"LC")</f>
        <v>LC</v>
      </c>
      <c r="T19298" s="7" t="str">
        <f>HYPERLINK("#Liste_rouge!A"&amp;_xlfn.XMATCH("EN",Liste_rouge!A:A,2,1),"EN")</f>
        <v>EN</v>
      </c>
      <c r="U19298" s="4" t="str">
        <f>HYPERLINK("#Critères_liste_rouge!A$1","D1")</f>
        <v>D1</v>
      </c>
      <c r="V19298" s="7" t="str">
        <f>HYPERLINK("#Liste_rouge!A"&amp;_xlfn.XMATCH("CR",Liste_rouge!A:A,2,1),"CR")</f>
        <v>CR</v>
      </c>
      <c r="W19298" s="4" t="str">
        <f>HYPERLINK("#Critères_liste_rouge!A$1","D1")</f>
        <v>D1</v>
      </c>
      <c r="X19298" s="5" t="s">
        <v>374</v>
      </c>
      <c r="AE19298" s="4" t="str">
        <f>HYPERLINK("#SCAP!A"&amp;_xlfn.XMATCH("1-",SCAP!A:A,2,1),"1-")</f>
        <v>1-</v>
      </c>
      <c r="AF19298" s="4" t="str">
        <f>HYPERLINK("#SCAP!A"&amp;_xlfn.XMATCH("1+",SCAP!A:A,2,1),"1+")</f>
        <v>1+</v>
      </c>
      <c r="AG19298" s="4" t="str">
        <f>HYPERLINK("#SCAP!A"&amp;_xlfn.XMATCH("2+",SCAP!A:A,2,1),"2+")</f>
        <v>2+</v>
      </c>
      <c r="AH19298" s="4" t="str">
        <f>HYPERLINK("#Statut_biogéographique!A"&amp;_xlfn.XMATCH("P",Statut_biogéographique!A:A,2,1),"P")</f>
        <v>P</v>
      </c>
      <c r="AM19298" s="4" t="s">
        <v>375</v>
      </c>
      <c r="AN19298" s="4" t="s">
        <v>375</v>
      </c>
      <c r="AO19298" s="4" t="s">
        <v>375</v>
      </c>
      <c r="AP19298" s="4" t="s">
        <v>376</v>
      </c>
      <c r="AR19298" s="4" t="s">
        <v>377</v>
      </c>
    </row>
    <row r="19299" spans="1:44" ht="60">
      <c r="A19299" s="4" t="s">
        <v>117</v>
      </c>
      <c r="B19299" s="4">
        <v>2514</v>
      </c>
      <c r="D19299" s="5" t="s">
        <v>23548</v>
      </c>
      <c r="E19299" s="6" t="str">
        <f>HYPERLINK("https://inpn.mnhn.fr/espece/cd_nom/2514","Ciconia nigra (Linnaeus, 1758)")</f>
        <v>Ciconia nigra (Linnaeus, 1758)</v>
      </c>
      <c r="F19299" s="5" t="s">
        <v>23549</v>
      </c>
      <c r="G19299" s="4" t="str">
        <f>HYPERLINK("[#Réglementation!A"&amp;_xlfn.XMATCH("CCA",Réglementation!A:A,2,1),"CCA")</f>
        <v>CCA</v>
      </c>
      <c r="H19299" s="4" t="str">
        <f>HYPERLINK("#Réglementation!A"&amp;_xlfn.XMATCH("IBOAE",Réglementation!A:A,2,1),"IBOAE - IBO2")</f>
        <v>IBOAE - IBO2</v>
      </c>
      <c r="I19299" s="4" t="str">
        <f>HYPERLINK("#Réglementation!A"&amp;_xlfn.XMATCH("IBE2",Réglementation!A:A,2,1),"IBE2")</f>
        <v>IBE2</v>
      </c>
      <c r="J19299" s="4" t="str">
        <f>HYPERLINK("#Réglementation!A"&amp;_xlfn.XMATCH("CDO1",Réglementation!A:A,2,1),"CDO1")</f>
        <v>CDO1</v>
      </c>
      <c r="L19299" s="4" t="str">
        <f>HYPERLINK("#Réglementation!A"&amp;_xlfn.XMATCH("NO3",Réglementation!A:A,2,1),"NO3")</f>
        <v>NO3</v>
      </c>
      <c r="O19299" s="7" t="str">
        <f>HYPERLINK("#Liste_rouge!A"&amp;_xlfn.XMATCH("LC",Liste_rouge!A:A,2,1),"LC")</f>
        <v>LC</v>
      </c>
      <c r="P19299" s="7" t="str">
        <f>HYPERLINK("#Liste_rouge!A"&amp;_xlfn.XMATCH("LC",Liste_rouge!A:A,2,1),"LC")</f>
        <v>LC</v>
      </c>
      <c r="Q19299" s="7" t="str">
        <f>HYPERLINK("#Liste_rouge!A"&amp;_xlfn.XMATCH("EN",Liste_rouge!A:A,2,1),"EN")</f>
        <v>EN</v>
      </c>
      <c r="R19299" s="7" t="str">
        <f>HYPERLINK("#Liste_rouge!A"&amp;_xlfn.XMATCH("NA",Liste_rouge!A:A,2,1),"NA")</f>
        <v>NA</v>
      </c>
      <c r="S19299" s="7" t="str">
        <f>HYPERLINK("#Liste_rouge!A"&amp;_xlfn.XMATCH("VU",Liste_rouge!A:A,2,1),"VU")</f>
        <v>VU</v>
      </c>
      <c r="T19299" s="7" t="str">
        <f>HYPERLINK("#Liste_rouge!A"&amp;_xlfn.XMATCH("EN",Liste_rouge!A:A,2,1),"EN")</f>
        <v>EN</v>
      </c>
      <c r="U19299" s="4" t="str">
        <f>HYPERLINK("#Critères_liste_rouge!A$1","D1 (CR -1)")</f>
        <v>D1 (CR -1)</v>
      </c>
      <c r="V19299" s="7" t="str">
        <f>HYPERLINK("#Liste_rouge!A"&amp;_xlfn.XMATCH("CR",Liste_rouge!A:A,2,1),"CR")</f>
        <v>CR</v>
      </c>
      <c r="W19299" s="4" t="str">
        <f>HYPERLINK("#Critères_liste_rouge!A$1","D1")</f>
        <v>D1</v>
      </c>
      <c r="X19299" s="5" t="s">
        <v>23442</v>
      </c>
      <c r="Y19299" s="5" t="s">
        <v>23550</v>
      </c>
      <c r="AD19299" s="4" t="s">
        <v>23551</v>
      </c>
      <c r="AE19299" s="4" t="str">
        <f>HYPERLINK("#SCAP!A"&amp;_xlfn.XMATCH("1+",SCAP!A:A,2,1),"1+")</f>
        <v>1+</v>
      </c>
      <c r="AF19299" s="4" t="str">
        <f>HYPERLINK("#SCAP!A"&amp;_xlfn.XMATCH("2+",SCAP!A:A,2,1),"2+")</f>
        <v>2+</v>
      </c>
      <c r="AG19299" s="4" t="str">
        <f>HYPERLINK("#SCAP!A"&amp;_xlfn.XMATCH("1-",SCAP!A:A,2,1),"1-")</f>
        <v>1-</v>
      </c>
      <c r="AH19299" s="4" t="str">
        <f>HYPERLINK("#Statut_biogéographique!A"&amp;_xlfn.XMATCH("P",Statut_biogéographique!A:A,2,1),"P")</f>
        <v>P</v>
      </c>
      <c r="AM19299" s="4" t="s">
        <v>375</v>
      </c>
      <c r="AN19299" s="4" t="s">
        <v>382</v>
      </c>
      <c r="AO19299" s="4" t="s">
        <v>382</v>
      </c>
      <c r="AP19299" s="4" t="s">
        <v>389</v>
      </c>
      <c r="AR19299" s="4" t="s">
        <v>377</v>
      </c>
    </row>
    <row r="19300" spans="1:44" ht="120">
      <c r="A19300" s="4" t="s">
        <v>117</v>
      </c>
      <c r="B19300" s="4">
        <v>2517</v>
      </c>
      <c r="D19300" s="5" t="s">
        <v>23552</v>
      </c>
      <c r="E19300" s="6" t="str">
        <f>HYPERLINK("https://inpn.mnhn.fr/espece/cd_nom/2517","Ciconia ciconia (Linnaeus, 1758)")</f>
        <v>Ciconia ciconia (Linnaeus, 1758)</v>
      </c>
      <c r="F19300" s="5" t="s">
        <v>23553</v>
      </c>
      <c r="H19300" s="4" t="str">
        <f>HYPERLINK("#Réglementation!A"&amp;_xlfn.XMATCH("IBOAE",Réglementation!A:A,2,1),"IBOAE - IBO2")</f>
        <v>IBOAE - IBO2</v>
      </c>
      <c r="I19300" s="4" t="str">
        <f>HYPERLINK("#Réglementation!A"&amp;_xlfn.XMATCH("IBE2",Réglementation!A:A,2,1),"IBE2")</f>
        <v>IBE2</v>
      </c>
      <c r="J19300" s="4" t="str">
        <f>HYPERLINK("#Réglementation!A"&amp;_xlfn.XMATCH("CDO1",Réglementation!A:A,2,1),"CDO1")</f>
        <v>CDO1</v>
      </c>
      <c r="L19300" s="4" t="str">
        <f>HYPERLINK("#Réglementation!A"&amp;_xlfn.XMATCH("NO3",Réglementation!A:A,2,1),"NO3")</f>
        <v>NO3</v>
      </c>
      <c r="O19300" s="7" t="str">
        <f>HYPERLINK("#Liste_rouge!A"&amp;_xlfn.XMATCH("LC",Liste_rouge!A:A,2,1),"LC")</f>
        <v>LC</v>
      </c>
      <c r="P19300" s="7" t="str">
        <f>HYPERLINK("#Liste_rouge!A"&amp;_xlfn.XMATCH("LC",Liste_rouge!A:A,2,1),"LC")</f>
        <v>LC</v>
      </c>
      <c r="Q19300" s="7" t="str">
        <f>HYPERLINK("#Liste_rouge!A"&amp;_xlfn.XMATCH("LC",Liste_rouge!A:A,2,1),"LC")</f>
        <v>LC</v>
      </c>
      <c r="R19300" s="7" t="str">
        <f>HYPERLINK("#Liste_rouge!A"&amp;_xlfn.XMATCH("NA",Liste_rouge!A:A,2,1),"NA")</f>
        <v>NA</v>
      </c>
      <c r="S19300" s="7" t="str">
        <f>HYPERLINK("#Liste_rouge!A"&amp;_xlfn.XMATCH("NA",Liste_rouge!A:A,2,1),"NA")</f>
        <v>NA</v>
      </c>
      <c r="T19300" s="7" t="str">
        <f>HYPERLINK("#Liste_rouge!A"&amp;_xlfn.XMATCH("NT",Liste_rouge!A:A,2,1),"NT")</f>
        <v>NT</v>
      </c>
      <c r="U19300" s="4" t="str">
        <f>HYPERLINK("#Critères_liste_rouge!A$1","D1 (EN -2)")</f>
        <v>D1 (EN -2)</v>
      </c>
      <c r="V19300" s="7" t="str">
        <f>HYPERLINK("#Liste_rouge!A"&amp;_xlfn.XMATCH("VU",Liste_rouge!A:A,2,1),"VU")</f>
        <v>VU</v>
      </c>
      <c r="W19300" s="4" t="str">
        <f>HYPERLINK("#Critères_liste_rouge!A$1","CR (D1) (-2)")</f>
        <v>CR (D1) (-2)</v>
      </c>
      <c r="X19300" s="5" t="s">
        <v>23439</v>
      </c>
      <c r="Y19300" s="5" t="s">
        <v>23554</v>
      </c>
      <c r="AH19300" s="4" t="str">
        <f>HYPERLINK("#Statut_biogéographique!A"&amp;_xlfn.XMATCH("P",Statut_biogéographique!A:A,2,1),"P")</f>
        <v>P</v>
      </c>
      <c r="AM19300" s="4" t="s">
        <v>375</v>
      </c>
      <c r="AN19300" s="4" t="s">
        <v>375</v>
      </c>
      <c r="AO19300" s="4" t="s">
        <v>375</v>
      </c>
      <c r="AP19300" s="4" t="s">
        <v>376</v>
      </c>
      <c r="AR19300" s="4" t="s">
        <v>377</v>
      </c>
    </row>
    <row r="19301" spans="1:44">
      <c r="A19301" s="4" t="s">
        <v>117</v>
      </c>
      <c r="B19301" s="4">
        <v>2522</v>
      </c>
      <c r="D19301" s="5" t="s">
        <v>23555</v>
      </c>
      <c r="E19301" s="6" t="str">
        <f>HYPERLINK("https://inpn.mnhn.fr/espece/cd_nom/2522","Plegadis falcinellus (Linnaeus, 1766)")</f>
        <v>Plegadis falcinellus (Linnaeus, 1766)</v>
      </c>
      <c r="F19301" s="5" t="s">
        <v>23556</v>
      </c>
      <c r="H19301" s="4" t="str">
        <f>HYPERLINK("#Réglementation!A"&amp;_xlfn.XMATCH("IBOAE",Réglementation!A:A,2,1),"IBOAE - IBO2")</f>
        <v>IBOAE - IBO2</v>
      </c>
      <c r="I19301" s="4" t="str">
        <f>HYPERLINK("#Réglementation!A"&amp;_xlfn.XMATCH("IBE2",Réglementation!A:A,2,1),"IBE2")</f>
        <v>IBE2</v>
      </c>
      <c r="J19301" s="4" t="str">
        <f>HYPERLINK("#Réglementation!A"&amp;_xlfn.XMATCH("CDO1",Réglementation!A:A,2,1),"CDO1")</f>
        <v>CDO1</v>
      </c>
      <c r="L19301" s="4" t="str">
        <f>HYPERLINK("#Réglementation!A"&amp;_xlfn.XMATCH("NO3",Réglementation!A:A,2,1),"NO3")</f>
        <v>NO3</v>
      </c>
      <c r="O19301" s="7" t="str">
        <f>HYPERLINK("#Liste_rouge!A"&amp;_xlfn.XMATCH("LC",Liste_rouge!A:A,2,1),"LC")</f>
        <v>LC</v>
      </c>
      <c r="P19301" s="7" t="str">
        <f>HYPERLINK("#Liste_rouge!A"&amp;_xlfn.XMATCH("LC",Liste_rouge!A:A,2,1),"LC")</f>
        <v>LC</v>
      </c>
      <c r="Q19301" s="7" t="str">
        <f>HYPERLINK("#Liste_rouge!A"&amp;_xlfn.XMATCH("NT",Liste_rouge!A:A,2,1),"NT")</f>
        <v>NT</v>
      </c>
      <c r="AE19301" s="4" t="str">
        <f>HYPERLINK("#SCAP!A"&amp;_xlfn.XMATCH("3",SCAP!A:A,2,1),"3")</f>
        <v>3</v>
      </c>
      <c r="AH19301" s="4" t="str">
        <f>HYPERLINK("#Statut_biogéographique!A"&amp;_xlfn.XMATCH("P",Statut_biogéographique!A:A,2,1),"P")</f>
        <v>P</v>
      </c>
      <c r="AM19301" s="4" t="s">
        <v>375</v>
      </c>
      <c r="AN19301" s="4" t="s">
        <v>375</v>
      </c>
      <c r="AO19301" s="4" t="s">
        <v>375</v>
      </c>
      <c r="AP19301" s="4" t="s">
        <v>389</v>
      </c>
      <c r="AR19301" s="4" t="s">
        <v>377</v>
      </c>
    </row>
    <row r="19302" spans="1:44">
      <c r="A19302" s="4" t="s">
        <v>117</v>
      </c>
      <c r="B19302" s="4">
        <v>2530</v>
      </c>
      <c r="D19302" s="5">
        <v>2530</v>
      </c>
      <c r="E19302" s="6" t="str">
        <f>HYPERLINK("https://inpn.mnhn.fr/espece/cd_nom/2530","Platalea leucorodia Linnaeus, 1758")</f>
        <v>Platalea leucorodia Linnaeus, 1758</v>
      </c>
      <c r="F19302" s="5" t="s">
        <v>23557</v>
      </c>
      <c r="G19302" s="4" t="str">
        <f>HYPERLINK("[#Réglementation!A"&amp;_xlfn.XMATCH("CCA",Réglementation!A:A,2,1),"CCA")</f>
        <v>CCA</v>
      </c>
      <c r="H19302" s="4" t="str">
        <f>HYPERLINK("#Réglementation!A"&amp;_xlfn.XMATCH("IBOAE",Réglementation!A:A,2,1),"IBOAE - IBO2")</f>
        <v>IBOAE - IBO2</v>
      </c>
      <c r="I19302" s="4" t="str">
        <f>HYPERLINK("#Réglementation!A"&amp;_xlfn.XMATCH("IBE2",Réglementation!A:A,2,1),"IBE2")</f>
        <v>IBE2</v>
      </c>
      <c r="J19302" s="4" t="str">
        <f>HYPERLINK("#Réglementation!A"&amp;_xlfn.XMATCH("CDO1",Réglementation!A:A,2,1),"CDO1")</f>
        <v>CDO1</v>
      </c>
      <c r="L19302" s="4" t="str">
        <f>HYPERLINK("#Réglementation!A"&amp;_xlfn.XMATCH("NO3",Réglementation!A:A,2,1),"NO3")</f>
        <v>NO3</v>
      </c>
      <c r="O19302" s="7" t="str">
        <f>HYPERLINK("#Liste_rouge!A"&amp;_xlfn.XMATCH("LC",Liste_rouge!A:A,2,1),"LC")</f>
        <v>LC</v>
      </c>
      <c r="P19302" s="7" t="str">
        <f>HYPERLINK("#Liste_rouge!A"&amp;_xlfn.XMATCH("LC",Liste_rouge!A:A,2,1),"LC")</f>
        <v>LC</v>
      </c>
      <c r="Q19302" s="7" t="str">
        <f>HYPERLINK("#Liste_rouge!A"&amp;_xlfn.XMATCH("NT",Liste_rouge!A:A,2,1),"NT")</f>
        <v>NT</v>
      </c>
      <c r="R19302" s="7" t="str">
        <f>HYPERLINK("#Liste_rouge!A"&amp;_xlfn.XMATCH("VU",Liste_rouge!A:A,2,1),"VU")</f>
        <v>VU</v>
      </c>
      <c r="S19302" s="7" t="str">
        <f>HYPERLINK("#Liste_rouge!A"&amp;_xlfn.XMATCH("NA",Liste_rouge!A:A,2,1),"NA")</f>
        <v>NA</v>
      </c>
      <c r="AE19302" s="4" t="str">
        <f>HYPERLINK("#SCAP!A"&amp;_xlfn.XMATCH("2+",SCAP!A:A,2,1),"2+")</f>
        <v>2+</v>
      </c>
      <c r="AH19302" s="4" t="str">
        <f>HYPERLINK("#Statut_biogéographique!A"&amp;_xlfn.XMATCH("P",Statut_biogéographique!A:A,2,1),"P")</f>
        <v>P</v>
      </c>
      <c r="AM19302" s="4" t="s">
        <v>375</v>
      </c>
      <c r="AN19302" s="4" t="s">
        <v>375</v>
      </c>
      <c r="AO19302" s="4" t="s">
        <v>375</v>
      </c>
      <c r="AP19302" s="4" t="s">
        <v>376</v>
      </c>
      <c r="AR19302" s="4" t="s">
        <v>377</v>
      </c>
    </row>
    <row r="19303" spans="1:44" ht="75">
      <c r="A19303" s="4" t="s">
        <v>117</v>
      </c>
      <c r="B19303" s="4">
        <v>2538</v>
      </c>
      <c r="D19303" s="5" t="s">
        <v>23558</v>
      </c>
      <c r="E19303" s="6" t="str">
        <f>HYPERLINK("https://inpn.mnhn.fr/espece/cd_nom/2538","Lymnocryptes minimus (Brünnich, 1764)")</f>
        <v>Lymnocryptes minimus (Brünnich, 1764)</v>
      </c>
      <c r="F19303" s="5" t="s">
        <v>23559</v>
      </c>
      <c r="H19303" s="4" t="str">
        <f>HYPERLINK("#Réglementation!A"&amp;_xlfn.XMATCH("IBOAE",Réglementation!A:A,2,1),"IBOAE - IBO2")</f>
        <v>IBOAE - IBO2</v>
      </c>
      <c r="I19303" s="4" t="str">
        <f>HYPERLINK("#Réglementation!A"&amp;_xlfn.XMATCH("IBE2",Réglementation!A:A,2,1),"IBE2")</f>
        <v>IBE2</v>
      </c>
      <c r="J19303" s="4" t="str">
        <f>HYPERLINK("#Réglementation!A"&amp;_xlfn.XMATCH("CDO21",Réglementation!A:A,2,1),"CDO21 - CDO32")</f>
        <v>CDO21 - CDO32</v>
      </c>
      <c r="L19303" s="4" t="str">
        <f>HYPERLINK("#Réglementation!A"&amp;_xlfn.XMATCH("OC3",Réglementation!A:A,2,1),"OC3")</f>
        <v>OC3</v>
      </c>
      <c r="O19303" s="7" t="str">
        <f>HYPERLINK("#Liste_rouge!A"&amp;_xlfn.XMATCH("LC",Liste_rouge!A:A,2,1),"LC")</f>
        <v>LC</v>
      </c>
      <c r="P19303" s="7" t="str">
        <f>HYPERLINK("#Liste_rouge!A"&amp;_xlfn.XMATCH("LC",Liste_rouge!A:A,2,1),"LC")</f>
        <v>LC</v>
      </c>
      <c r="R19303" s="7" t="str">
        <f>HYPERLINK("#Liste_rouge!A"&amp;_xlfn.XMATCH("DD",Liste_rouge!A:A,2,1),"DD")</f>
        <v>DD</v>
      </c>
      <c r="S19303" s="7" t="str">
        <f>HYPERLINK("#Liste_rouge!A"&amp;_xlfn.XMATCH("NA",Liste_rouge!A:A,2,1),"NA")</f>
        <v>NA</v>
      </c>
      <c r="X19303" s="5" t="s">
        <v>23439</v>
      </c>
      <c r="Y19303" s="5" t="s">
        <v>23560</v>
      </c>
      <c r="AH19303" s="4" t="str">
        <f>HYPERLINK("#Statut_biogéographique!A"&amp;_xlfn.XMATCH("P",Statut_biogéographique!A:A,2,1),"P")</f>
        <v>P</v>
      </c>
      <c r="AK19303" s="4" t="str">
        <f>HYPERLINK("#Réglementation!A"&amp;_xlfn.XMATCH("Ngib_ch_1",Réglementation!A:A,2,1),"Ngib_ch_1")</f>
        <v>Ngib_ch_1</v>
      </c>
      <c r="AM19303" s="4" t="s">
        <v>375</v>
      </c>
      <c r="AN19303" s="4" t="s">
        <v>375</v>
      </c>
      <c r="AO19303" s="4" t="s">
        <v>375</v>
      </c>
      <c r="AP19303" s="4" t="s">
        <v>376</v>
      </c>
      <c r="AR19303" s="4" t="s">
        <v>377</v>
      </c>
    </row>
    <row r="19304" spans="1:44" ht="60">
      <c r="A19304" s="4" t="s">
        <v>117</v>
      </c>
      <c r="B19304" s="4">
        <v>2543</v>
      </c>
      <c r="D19304" s="5" t="s">
        <v>23561</v>
      </c>
      <c r="E19304" s="6" t="str">
        <f>HYPERLINK("https://inpn.mnhn.fr/espece/cd_nom/2543","Gallinago gallinago (Linnaeus, 1758)")</f>
        <v>Gallinago gallinago (Linnaeus, 1758)</v>
      </c>
      <c r="F19304" s="5" t="s">
        <v>23562</v>
      </c>
      <c r="H19304" s="4" t="str">
        <f>HYPERLINK("#Réglementation!A"&amp;_xlfn.XMATCH("IBOAE",Réglementation!A:A,2,1),"IBOAE - IBO2")</f>
        <v>IBOAE - IBO2</v>
      </c>
      <c r="I19304" s="4" t="str">
        <f>HYPERLINK("#Réglementation!A"&amp;_xlfn.XMATCH("IBE2",Réglementation!A:A,2,1),"IBE2")</f>
        <v>IBE2</v>
      </c>
      <c r="J19304" s="4" t="str">
        <f>HYPERLINK("#Réglementation!A"&amp;_xlfn.XMATCH("CDO21",Réglementation!A:A,2,1),"CDO21 - CDO32")</f>
        <v>CDO21 - CDO32</v>
      </c>
      <c r="L19304" s="4" t="str">
        <f>HYPERLINK("#Réglementation!A"&amp;_xlfn.XMATCH("OC3",Réglementation!A:A,2,1),"OC3")</f>
        <v>OC3</v>
      </c>
      <c r="O19304" s="7" t="str">
        <f>HYPERLINK("#Liste_rouge!A"&amp;_xlfn.XMATCH("LC",Liste_rouge!A:A,2,1),"LC")</f>
        <v>LC</v>
      </c>
      <c r="P19304" s="7" t="str">
        <f>HYPERLINK("#Liste_rouge!A"&amp;_xlfn.XMATCH("VU",Liste_rouge!A:A,2,1),"VU")</f>
        <v>VU</v>
      </c>
      <c r="Q19304" s="7" t="str">
        <f>HYPERLINK("#Liste_rouge!A"&amp;_xlfn.XMATCH("CR",Liste_rouge!A:A,2,1),"CR")</f>
        <v>CR</v>
      </c>
      <c r="R19304" s="7" t="str">
        <f>HYPERLINK("#Liste_rouge!A"&amp;_xlfn.XMATCH("DD",Liste_rouge!A:A,2,1),"DD")</f>
        <v>DD</v>
      </c>
      <c r="S19304" s="7" t="str">
        <f>HYPERLINK("#Liste_rouge!A"&amp;_xlfn.XMATCH("NA",Liste_rouge!A:A,2,1),"NA")</f>
        <v>NA</v>
      </c>
      <c r="T19304" s="7" t="str">
        <f>HYPERLINK("#Liste_rouge!A"&amp;_xlfn.XMATCH("CR",Liste_rouge!A:A,2,1),"CR")</f>
        <v>CR</v>
      </c>
      <c r="U19304" s="4" t="str">
        <f>HYPERLINK("#Critères_liste_rouge!A$1","D1")</f>
        <v>D1</v>
      </c>
      <c r="V19304" s="7" t="str">
        <f>HYPERLINK("#Liste_rouge!A"&amp;_xlfn.XMATCH("CR",Liste_rouge!A:A,2,1),"CR")</f>
        <v>CR</v>
      </c>
      <c r="W19304" s="4" t="str">
        <f>HYPERLINK("#Critères_liste_rouge!A$1","D1")</f>
        <v>D1</v>
      </c>
      <c r="X19304" s="5" t="s">
        <v>23442</v>
      </c>
      <c r="Y19304" s="5" t="s">
        <v>23563</v>
      </c>
      <c r="AE19304" s="4" t="str">
        <f>HYPERLINK("#SCAP!A"&amp;_xlfn.XMATCH("1+",SCAP!A:A,2,1),"1+")</f>
        <v>1+</v>
      </c>
      <c r="AF19304" s="4" t="str">
        <f>HYPERLINK("#SCAP!A"&amp;_xlfn.XMATCH("1+",SCAP!A:A,2,1),"1+")</f>
        <v>1+</v>
      </c>
      <c r="AG19304" s="4" t="str">
        <f>HYPERLINK("#SCAP!A"&amp;_xlfn.XMATCH("3",SCAP!A:A,2,1),"3")</f>
        <v>3</v>
      </c>
      <c r="AH19304" s="4" t="str">
        <f>HYPERLINK("#Statut_biogéographique!A"&amp;_xlfn.XMATCH("P",Statut_biogéographique!A:A,2,1),"P")</f>
        <v>P</v>
      </c>
      <c r="AK19304" s="4" t="str">
        <f>HYPERLINK("#Réglementation!A"&amp;_xlfn.XMATCH("Ngib_ch_1",Réglementation!A:A,2,1),"Ngib_ch_1")</f>
        <v>Ngib_ch_1</v>
      </c>
      <c r="AM19304" s="4" t="s">
        <v>375</v>
      </c>
      <c r="AN19304" s="4" t="s">
        <v>375</v>
      </c>
      <c r="AO19304" s="4" t="s">
        <v>382</v>
      </c>
      <c r="AP19304" s="4" t="s">
        <v>376</v>
      </c>
      <c r="AR19304" s="4" t="s">
        <v>377</v>
      </c>
    </row>
    <row r="19305" spans="1:44">
      <c r="A19305" s="4" t="s">
        <v>117</v>
      </c>
      <c r="B19305" s="4">
        <v>2549</v>
      </c>
      <c r="D19305" s="5" t="s">
        <v>23564</v>
      </c>
      <c r="E19305" s="6" t="str">
        <f>HYPERLINK("https://inpn.mnhn.fr/espece/cd_nom/2549","Gallinago media (Latham, 1787)")</f>
        <v>Gallinago media (Latham, 1787)</v>
      </c>
      <c r="F19305" s="5" t="s">
        <v>23565</v>
      </c>
      <c r="H19305" s="4" t="str">
        <f>HYPERLINK("#Réglementation!A"&amp;_xlfn.XMATCH("IBOAE",Réglementation!A:A,2,1),"IBOAE - IBO2")</f>
        <v>IBOAE - IBO2</v>
      </c>
      <c r="I19305" s="4" t="str">
        <f>HYPERLINK("#Réglementation!A"&amp;_xlfn.XMATCH("IBE2",Réglementation!A:A,2,1),"IBE2")</f>
        <v>IBE2</v>
      </c>
      <c r="J19305" s="4" t="str">
        <f>HYPERLINK("#Réglementation!A"&amp;_xlfn.XMATCH("CDO1",Réglementation!A:A,2,1),"CDO1")</f>
        <v>CDO1</v>
      </c>
      <c r="L19305" s="4" t="str">
        <f>HYPERLINK("#Réglementation!A"&amp;_xlfn.XMATCH("NO4",Réglementation!A:A,2,1),"NO4")</f>
        <v>NO4</v>
      </c>
      <c r="O19305" s="7" t="str">
        <f>HYPERLINK("#Liste_rouge!A"&amp;_xlfn.XMATCH("NT",Liste_rouge!A:A,2,1),"NT")</f>
        <v>NT</v>
      </c>
      <c r="P19305" s="7" t="str">
        <f>HYPERLINK("#Liste_rouge!A"&amp;_xlfn.XMATCH("LC",Liste_rouge!A:A,2,1),"LC")</f>
        <v>LC</v>
      </c>
      <c r="S19305" s="7" t="str">
        <f>HYPERLINK("#Liste_rouge!A"&amp;_xlfn.XMATCH("NA",Liste_rouge!A:A,2,1),"NA")</f>
        <v>NA</v>
      </c>
      <c r="AH19305" s="4" t="str">
        <f>HYPERLINK("#Statut_biogéographique!A"&amp;_xlfn.XMATCH("P",Statut_biogéographique!A:A,2,1),"P")</f>
        <v>P</v>
      </c>
      <c r="AM19305" s="4" t="s">
        <v>375</v>
      </c>
      <c r="AN19305" s="4" t="s">
        <v>375</v>
      </c>
      <c r="AO19305" s="4" t="s">
        <v>375</v>
      </c>
      <c r="AP19305" s="4" t="s">
        <v>376</v>
      </c>
      <c r="AR19305" s="4" t="s">
        <v>377</v>
      </c>
    </row>
    <row r="19306" spans="1:44">
      <c r="A19306" s="4" t="s">
        <v>117</v>
      </c>
      <c r="B19306" s="4">
        <v>2554</v>
      </c>
      <c r="D19306" s="5" t="s">
        <v>23566</v>
      </c>
      <c r="E19306" s="6" t="str">
        <f>HYPERLINK("https://inpn.mnhn.fr/espece/cd_nom/2554","Limnodromus scolopaceus (Say, 1823)")</f>
        <v>Limnodromus scolopaceus (Say, 1823)</v>
      </c>
      <c r="F19306" s="5" t="s">
        <v>23567</v>
      </c>
      <c r="H19306" s="4" t="str">
        <f>HYPERLINK("#Réglementation!A"&amp;_xlfn.XMATCH("IBO2",Réglementation!A:A,2,1),"IBO2")</f>
        <v>IBO2</v>
      </c>
      <c r="I19306" s="4" t="str">
        <f>HYPERLINK("#Réglementation!A"&amp;_xlfn.XMATCH("IBE2",Réglementation!A:A,2,1),"IBE2")</f>
        <v>IBE2</v>
      </c>
      <c r="L19306" s="4" t="str">
        <f>HYPERLINK("#Réglementation!A"&amp;_xlfn.XMATCH("NO4",Réglementation!A:A,2,1),"NO4")</f>
        <v>NO4</v>
      </c>
      <c r="O19306" s="7" t="str">
        <f>HYPERLINK("#Liste_rouge!A"&amp;_xlfn.XMATCH("LC",Liste_rouge!A:A,2,1),"LC")</f>
        <v>LC</v>
      </c>
      <c r="S19306" s="7" t="str">
        <f>HYPERLINK("#Liste_rouge!A"&amp;_xlfn.XMATCH("NA",Liste_rouge!A:A,2,1),"NA")</f>
        <v>NA</v>
      </c>
      <c r="AH19306" s="4" t="str">
        <f>HYPERLINK("#Statut_biogéographique!A"&amp;_xlfn.XMATCH("B",Statut_biogéographique!A:A,2,1),"B")</f>
        <v>B</v>
      </c>
      <c r="AM19306" s="4" t="s">
        <v>375</v>
      </c>
      <c r="AN19306" s="4" t="s">
        <v>375</v>
      </c>
      <c r="AO19306" s="4" t="s">
        <v>375</v>
      </c>
      <c r="AP19306" s="4" t="s">
        <v>376</v>
      </c>
      <c r="AR19306" s="4" t="s">
        <v>377</v>
      </c>
    </row>
    <row r="19307" spans="1:44">
      <c r="A19307" s="4" t="s">
        <v>117</v>
      </c>
      <c r="B19307" s="4">
        <v>2559</v>
      </c>
      <c r="D19307" s="5" t="s">
        <v>23568</v>
      </c>
      <c r="E19307" s="6" t="str">
        <f>HYPERLINK("https://inpn.mnhn.fr/espece/cd_nom/2559","Scolopax rusticola Linnaeus, 1758")</f>
        <v>Scolopax rusticola Linnaeus, 1758</v>
      </c>
      <c r="F19307" s="5" t="s">
        <v>23569</v>
      </c>
      <c r="H19307" s="4" t="str">
        <f>HYPERLINK("#Réglementation!A"&amp;_xlfn.XMATCH("IBOAE",Réglementation!A:A,2,1),"IBOAE - IBO2")</f>
        <v>IBOAE - IBO2</v>
      </c>
      <c r="I19307" s="4" t="str">
        <f>HYPERLINK("#Réglementation!A"&amp;_xlfn.XMATCH("IBE2",Réglementation!A:A,2,1),"IBE2")</f>
        <v>IBE2</v>
      </c>
      <c r="J19307" s="4" t="str">
        <f>HYPERLINK("#Réglementation!A"&amp;_xlfn.XMATCH("CDO21",Réglementation!A:A,2,1),"CDO21 - CDO32")</f>
        <v>CDO21 - CDO32</v>
      </c>
      <c r="L19307" s="4" t="str">
        <f>HYPERLINK("#Réglementation!A"&amp;_xlfn.XMATCH("OC3",Réglementation!A:A,2,1),"OC3")</f>
        <v>OC3</v>
      </c>
      <c r="O19307" s="7" t="str">
        <f>HYPERLINK("#Liste_rouge!A"&amp;_xlfn.XMATCH("LC",Liste_rouge!A:A,2,1),"LC")</f>
        <v>LC</v>
      </c>
      <c r="P19307" s="7" t="str">
        <f>HYPERLINK("#Liste_rouge!A"&amp;_xlfn.XMATCH("LC",Liste_rouge!A:A,2,1),"LC")</f>
        <v>LC</v>
      </c>
      <c r="Q19307" s="7" t="str">
        <f>HYPERLINK("#Liste_rouge!A"&amp;_xlfn.XMATCH("LC",Liste_rouge!A:A,2,1),"LC")</f>
        <v>LC</v>
      </c>
      <c r="R19307" s="7" t="str">
        <f>HYPERLINK("#Liste_rouge!A"&amp;_xlfn.XMATCH("LC",Liste_rouge!A:A,2,1),"LC")</f>
        <v>LC</v>
      </c>
      <c r="S19307" s="7" t="str">
        <f>HYPERLINK("#Liste_rouge!A"&amp;_xlfn.XMATCH("NA",Liste_rouge!A:A,2,1),"NA")</f>
        <v>NA</v>
      </c>
      <c r="T19307" s="7" t="str">
        <f>HYPERLINK("#Liste_rouge!A"&amp;_xlfn.XMATCH("VU",Liste_rouge!A:A,2,1),"VU")</f>
        <v>VU</v>
      </c>
      <c r="U19307" s="4" t="str">
        <f>HYPERLINK("#Critères_liste_rouge!A$1","D1")</f>
        <v>D1</v>
      </c>
      <c r="V19307" s="7" t="str">
        <f>HYPERLINK("#Liste_rouge!A"&amp;_xlfn.XMATCH("DD",Liste_rouge!A:A,2,1),"DD")</f>
        <v>DD</v>
      </c>
      <c r="X19307" s="5" t="s">
        <v>374</v>
      </c>
      <c r="AH19307" s="4" t="str">
        <f>HYPERLINK("#Statut_biogéographique!A"&amp;_xlfn.XMATCH("P",Statut_biogéographique!A:A,2,1),"P")</f>
        <v>P</v>
      </c>
      <c r="AK19307" s="4" t="str">
        <f>HYPERLINK("#Réglementation!A"&amp;_xlfn.XMATCH("Ngib_ch_1",Réglementation!A:A,2,1),"Ngib_ch_1")</f>
        <v>Ngib_ch_1</v>
      </c>
      <c r="AM19307" s="4" t="s">
        <v>375</v>
      </c>
      <c r="AN19307" s="4" t="s">
        <v>375</v>
      </c>
      <c r="AO19307" s="4" t="s">
        <v>375</v>
      </c>
      <c r="AP19307" s="4" t="s">
        <v>376</v>
      </c>
      <c r="AR19307" s="4" t="s">
        <v>377</v>
      </c>
    </row>
    <row r="19308" spans="1:44" ht="60">
      <c r="A19308" s="4" t="s">
        <v>117</v>
      </c>
      <c r="B19308" s="4">
        <v>2563</v>
      </c>
      <c r="D19308" s="5" t="s">
        <v>23570</v>
      </c>
      <c r="E19308" s="6" t="str">
        <f>HYPERLINK("https://inpn.mnhn.fr/espece/cd_nom/2563","Limosa limosa (Linnaeus, 1758)")</f>
        <v>Limosa limosa (Linnaeus, 1758)</v>
      </c>
      <c r="F19308" s="5" t="s">
        <v>23571</v>
      </c>
      <c r="H19308" s="4" t="str">
        <f>HYPERLINK("#Réglementation!A"&amp;_xlfn.XMATCH("IBOAE",Réglementation!A:A,2,1),"IBOAE - IBO2")</f>
        <v>IBOAE - IBO2</v>
      </c>
      <c r="I19308" s="4" t="str">
        <f>HYPERLINK("#Réglementation!A"&amp;_xlfn.XMATCH("IBE2",Réglementation!A:A,2,1),"IBE2")</f>
        <v>IBE2</v>
      </c>
      <c r="J19308" s="4" t="str">
        <f>HYPERLINK("#Réglementation!A"&amp;_xlfn.XMATCH("CDO22",Réglementation!A:A,2,1),"CDO22")</f>
        <v>CDO22</v>
      </c>
      <c r="L19308" s="4" t="str">
        <f>HYPERLINK("#Réglementation!A"&amp;_xlfn.XMATCH("OC3",Réglementation!A:A,2,1),"OC3")</f>
        <v>OC3</v>
      </c>
      <c r="O19308" s="7" t="str">
        <f>HYPERLINK("#Liste_rouge!A"&amp;_xlfn.XMATCH("NT",Liste_rouge!A:A,2,1),"NT")</f>
        <v>NT</v>
      </c>
      <c r="P19308" s="7" t="str">
        <f>HYPERLINK("#Liste_rouge!A"&amp;_xlfn.XMATCH("NT",Liste_rouge!A:A,2,1),"NT")</f>
        <v>NT</v>
      </c>
      <c r="Q19308" s="7" t="str">
        <f>HYPERLINK("#Liste_rouge!A"&amp;_xlfn.XMATCH("VU",Liste_rouge!A:A,2,1),"VU")</f>
        <v>VU</v>
      </c>
      <c r="R19308" s="7" t="str">
        <f>HYPERLINK("#Liste_rouge!A"&amp;_xlfn.XMATCH("NT",Liste_rouge!A:A,2,1),"NT")</f>
        <v>NT</v>
      </c>
      <c r="S19308" s="7" t="str">
        <f>HYPERLINK("#Liste_rouge!A"&amp;_xlfn.XMATCH("VU",Liste_rouge!A:A,2,1),"VU")</f>
        <v>VU</v>
      </c>
      <c r="T19308" s="7" t="str">
        <f>HYPERLINK("#Liste_rouge!A"&amp;_xlfn.XMATCH("VU",Liste_rouge!A:A,2,1),"VU")</f>
        <v>VU</v>
      </c>
      <c r="X19308" s="5" t="s">
        <v>23439</v>
      </c>
      <c r="Y19308" s="5" t="s">
        <v>23572</v>
      </c>
      <c r="AE19308" s="4" t="str">
        <f>HYPERLINK("#SCAP!A"&amp;_xlfn.XMATCH("2+",SCAP!A:A,2,1),"2+")</f>
        <v>2+</v>
      </c>
      <c r="AH19308" s="4" t="str">
        <f>HYPERLINK("#Statut_biogéographique!A"&amp;_xlfn.XMATCH("P",Statut_biogéographique!A:A,2,1),"P")</f>
        <v>P</v>
      </c>
      <c r="AK19308" s="4" t="str">
        <f>HYPERLINK("#Réglementation!A"&amp;_xlfn.XMATCH("Ngib_ch_1",Réglementation!A:A,2,1),"Ngib_ch_1")</f>
        <v>Ngib_ch_1</v>
      </c>
      <c r="AM19308" s="4" t="s">
        <v>375</v>
      </c>
      <c r="AN19308" s="4" t="s">
        <v>375</v>
      </c>
      <c r="AO19308" s="4" t="s">
        <v>375</v>
      </c>
      <c r="AP19308" s="4" t="s">
        <v>376</v>
      </c>
      <c r="AR19308" s="4" t="s">
        <v>377</v>
      </c>
    </row>
    <row r="19309" spans="1:44">
      <c r="A19309" s="4" t="s">
        <v>117</v>
      </c>
      <c r="B19309" s="4">
        <v>2567</v>
      </c>
      <c r="D19309" s="5" t="s">
        <v>23573</v>
      </c>
      <c r="E19309" s="6" t="str">
        <f>HYPERLINK("https://inpn.mnhn.fr/espece/cd_nom/2567","Limosa limosa islandica Brehm, 1831")</f>
        <v>Limosa limosa islandica Brehm, 1831</v>
      </c>
      <c r="H19309" s="4" t="str">
        <f>HYPERLINK("#Réglementation!A"&amp;_xlfn.XMATCH("IBOAE",Réglementation!A:A,2,1),"IBOAE - IBO2")</f>
        <v>IBOAE - IBO2</v>
      </c>
      <c r="I19309" s="4" t="str">
        <f>HYPERLINK("#Réglementation!A"&amp;_xlfn.XMATCH("IBE2",Réglementation!A:A,2,1),"IBE2")</f>
        <v>IBE2</v>
      </c>
      <c r="J19309" s="4" t="str">
        <f>HYPERLINK("#Réglementation!A"&amp;_xlfn.XMATCH("CDO22",Réglementation!A:A,2,1),"CDO22")</f>
        <v>CDO22</v>
      </c>
      <c r="L19309" s="4" t="str">
        <f>HYPERLINK("#Réglementation!A"&amp;_xlfn.XMATCH("OC3",Réglementation!A:A,2,1),"OC3")</f>
        <v>OC3</v>
      </c>
      <c r="R19309" s="7" t="str">
        <f>HYPERLINK("#Liste_rouge!A"&amp;_xlfn.XMATCH("NT",Liste_rouge!A:A,2,1),"NT")</f>
        <v>NT</v>
      </c>
      <c r="AH19309" s="4" t="str">
        <f>HYPERLINK("#Statut_biogéographique!A"&amp;_xlfn.XMATCH("P",Statut_biogéographique!A:A,2,1),"P")</f>
        <v>P</v>
      </c>
      <c r="AK19309" s="4" t="str">
        <f>HYPERLINK("#Réglementation!A"&amp;_xlfn.XMATCH("Ngib_ch_1",Réglementation!A:A,2,1),"Ngib_ch_1")</f>
        <v>Ngib_ch_1</v>
      </c>
      <c r="AP19309" s="4" t="s">
        <v>376</v>
      </c>
      <c r="AR19309" s="4" t="s">
        <v>377</v>
      </c>
    </row>
    <row r="19310" spans="1:44">
      <c r="A19310" s="4" t="s">
        <v>117</v>
      </c>
      <c r="B19310" s="4">
        <v>2568</v>
      </c>
      <c r="D19310" s="5" t="s">
        <v>23574</v>
      </c>
      <c r="E19310" s="6" t="str">
        <f>HYPERLINK("https://inpn.mnhn.fr/espece/cd_nom/2568","Limosa lapponica (Linnaeus, 1758)")</f>
        <v>Limosa lapponica (Linnaeus, 1758)</v>
      </c>
      <c r="F19310" s="5" t="s">
        <v>23575</v>
      </c>
      <c r="H19310" s="4" t="str">
        <f>HYPERLINK("#Réglementation!A"&amp;_xlfn.XMATCH("IBOAE",Réglementation!A:A,2,1),"IBOAE - IBO2")</f>
        <v>IBOAE - IBO2</v>
      </c>
      <c r="I19310" s="4" t="str">
        <f>HYPERLINK("#Réglementation!A"&amp;_xlfn.XMATCH("IBE2",Réglementation!A:A,2,1),"IBE2")</f>
        <v>IBE2</v>
      </c>
      <c r="J19310" s="4" t="str">
        <f>HYPERLINK("#Réglementation!A"&amp;_xlfn.XMATCH("CDO1",Réglementation!A:A,2,1),"CDO1 - CDO22")</f>
        <v>CDO1 - CDO22</v>
      </c>
      <c r="L19310" s="4" t="str">
        <f>HYPERLINK("#Réglementation!A"&amp;_xlfn.XMATCH("OC3",Réglementation!A:A,2,1),"OC3")</f>
        <v>OC3</v>
      </c>
      <c r="O19310" s="7" t="str">
        <f>HYPERLINK("#Liste_rouge!A"&amp;_xlfn.XMATCH("NT",Liste_rouge!A:A,2,1),"NT")</f>
        <v>NT</v>
      </c>
      <c r="P19310" s="7" t="str">
        <f>HYPERLINK("#Liste_rouge!A"&amp;_xlfn.XMATCH("LC",Liste_rouge!A:A,2,1),"LC")</f>
        <v>LC</v>
      </c>
      <c r="R19310" s="7" t="str">
        <f>HYPERLINK("#Liste_rouge!A"&amp;_xlfn.XMATCH("LC",Liste_rouge!A:A,2,1),"LC")</f>
        <v>LC</v>
      </c>
      <c r="S19310" s="7" t="str">
        <f>HYPERLINK("#Liste_rouge!A"&amp;_xlfn.XMATCH("NA",Liste_rouge!A:A,2,1),"NA")</f>
        <v>NA</v>
      </c>
      <c r="AE19310" s="4" t="str">
        <f>HYPERLINK("#SCAP!A"&amp;_xlfn.XMATCH("2+",SCAP!A:A,2,1),"2+")</f>
        <v>2+</v>
      </c>
      <c r="AH19310" s="4" t="str">
        <f>HYPERLINK("#Statut_biogéographique!A"&amp;_xlfn.XMATCH("P",Statut_biogéographique!A:A,2,1),"P")</f>
        <v>P</v>
      </c>
      <c r="AK19310" s="4" t="str">
        <f>HYPERLINK("#Réglementation!A"&amp;_xlfn.XMATCH("Ngib_ch_1",Réglementation!A:A,2,1),"Ngib_ch_1")</f>
        <v>Ngib_ch_1</v>
      </c>
      <c r="AM19310" s="4" t="s">
        <v>375</v>
      </c>
      <c r="AN19310" s="4" t="s">
        <v>375</v>
      </c>
      <c r="AO19310" s="4" t="s">
        <v>375</v>
      </c>
      <c r="AP19310" s="4" t="s">
        <v>376</v>
      </c>
      <c r="AR19310" s="4" t="s">
        <v>377</v>
      </c>
    </row>
    <row r="19311" spans="1:44" ht="60">
      <c r="A19311" s="4" t="s">
        <v>117</v>
      </c>
      <c r="B19311" s="4">
        <v>2571</v>
      </c>
      <c r="D19311" s="5" t="s">
        <v>23576</v>
      </c>
      <c r="E19311" s="6" t="str">
        <f>HYPERLINK("https://inpn.mnhn.fr/espece/cd_nom/2571","Numenius phaeopus (Linnaeus, 1758)")</f>
        <v>Numenius phaeopus (Linnaeus, 1758)</v>
      </c>
      <c r="F19311" s="5" t="s">
        <v>23577</v>
      </c>
      <c r="H19311" s="4" t="str">
        <f>HYPERLINK("#Réglementation!A"&amp;_xlfn.XMATCH("IBOAE",Réglementation!A:A,2,1),"IBOAE - IBO2")</f>
        <v>IBOAE - IBO2</v>
      </c>
      <c r="I19311" s="4" t="str">
        <f>HYPERLINK("#Réglementation!A"&amp;_xlfn.XMATCH("IBE2",Réglementation!A:A,2,1),"IBE2")</f>
        <v>IBE2</v>
      </c>
      <c r="J19311" s="4" t="str">
        <f>HYPERLINK("#Réglementation!A"&amp;_xlfn.XMATCH("CDO22",Réglementation!A:A,2,1),"CDO22")</f>
        <v>CDO22</v>
      </c>
      <c r="L19311" s="4" t="str">
        <f>HYPERLINK("#Réglementation!A"&amp;_xlfn.XMATCH("OC3",Réglementation!A:A,2,1),"OC3")</f>
        <v>OC3</v>
      </c>
      <c r="O19311" s="7" t="str">
        <f>HYPERLINK("#Liste_rouge!A"&amp;_xlfn.XMATCH("LC",Liste_rouge!A:A,2,1),"LC")</f>
        <v>LC</v>
      </c>
      <c r="P19311" s="7" t="str">
        <f>HYPERLINK("#Liste_rouge!A"&amp;_xlfn.XMATCH("LC",Liste_rouge!A:A,2,1),"LC")</f>
        <v>LC</v>
      </c>
      <c r="R19311" s="7" t="str">
        <f>HYPERLINK("#Liste_rouge!A"&amp;_xlfn.XMATCH("NA",Liste_rouge!A:A,2,1),"NA")</f>
        <v>NA</v>
      </c>
      <c r="S19311" s="7" t="str">
        <f>HYPERLINK("#Liste_rouge!A"&amp;_xlfn.XMATCH("VU",Liste_rouge!A:A,2,1),"VU")</f>
        <v>VU</v>
      </c>
      <c r="X19311" s="5" t="s">
        <v>23439</v>
      </c>
      <c r="Y19311" s="5" t="s">
        <v>23572</v>
      </c>
      <c r="AH19311" s="4" t="str">
        <f>HYPERLINK("#Statut_biogéographique!A"&amp;_xlfn.XMATCH("P",Statut_biogéographique!A:A,2,1),"P")</f>
        <v>P</v>
      </c>
      <c r="AK19311" s="4" t="str">
        <f>HYPERLINK("#Réglementation!A"&amp;_xlfn.XMATCH("Ngib_ch_1",Réglementation!A:A,2,1),"Ngib_ch_1")</f>
        <v>Ngib_ch_1</v>
      </c>
      <c r="AM19311" s="4" t="s">
        <v>375</v>
      </c>
      <c r="AN19311" s="4" t="s">
        <v>375</v>
      </c>
      <c r="AO19311" s="4" t="s">
        <v>375</v>
      </c>
      <c r="AP19311" s="4" t="s">
        <v>389</v>
      </c>
      <c r="AR19311" s="4" t="s">
        <v>377</v>
      </c>
    </row>
    <row r="19312" spans="1:44">
      <c r="A19312" s="4" t="s">
        <v>117</v>
      </c>
      <c r="B19312" s="4">
        <v>2574</v>
      </c>
      <c r="D19312" s="5">
        <v>2574</v>
      </c>
      <c r="E19312" s="6" t="str">
        <f>HYPERLINK("https://inpn.mnhn.fr/espece/cd_nom/2574","Numenius tenuirostris Vieillot, 1817")</f>
        <v>Numenius tenuirostris Vieillot, 1817</v>
      </c>
      <c r="F19312" s="5" t="s">
        <v>23578</v>
      </c>
      <c r="G19312" s="4" t="str">
        <f>HYPERLINK("[#Réglementation!A"&amp;_xlfn.XMATCH("CCA",Réglementation!A:A,2,1),"CCA")</f>
        <v>CCA</v>
      </c>
      <c r="H19312" s="4" t="str">
        <f>HYPERLINK("#Réglementation!A"&amp;_xlfn.XMATCH("IBOAE",Réglementation!A:A,2,1),"IBOAE - IBO1 - IBO2 - IBOC")</f>
        <v>IBOAE - IBO1 - IBO2 - IBOC</v>
      </c>
      <c r="I19312" s="4" t="str">
        <f>HYPERLINK("#Réglementation!A"&amp;_xlfn.XMATCH("IBE2",Réglementation!A:A,2,1),"IBE2")</f>
        <v>IBE2</v>
      </c>
      <c r="J19312" s="4" t="str">
        <f>HYPERLINK("#Réglementation!A"&amp;_xlfn.XMATCH("CDO1",Réglementation!A:A,2,1),"CDO1")</f>
        <v>CDO1</v>
      </c>
      <c r="L19312" s="4" t="str">
        <f>HYPERLINK("#Réglementation!A"&amp;_xlfn.XMATCH("NO4",Réglementation!A:A,2,1),"NO4")</f>
        <v>NO4</v>
      </c>
      <c r="O19312" s="7" t="str">
        <f>HYPERLINK("#Liste_rouge!A"&amp;_xlfn.XMATCH("CR",Liste_rouge!A:A,2,1),"CR")</f>
        <v>CR</v>
      </c>
      <c r="P19312" s="7" t="str">
        <f>HYPERLINK("#Liste_rouge!A"&amp;_xlfn.XMATCH("CR",Liste_rouge!A:A,2,1),"CR")</f>
        <v>CR</v>
      </c>
      <c r="S19312" s="7" t="str">
        <f>HYPERLINK("#Liste_rouge!A"&amp;_xlfn.XMATCH("NA",Liste_rouge!A:A,2,1),"NA")</f>
        <v>NA</v>
      </c>
      <c r="AH19312" s="4" t="str">
        <f>HYPERLINK("#Statut_biogéographique!A"&amp;_xlfn.XMATCH("P",Statut_biogéographique!A:A,2,1),"P")</f>
        <v>P</v>
      </c>
      <c r="AP19312" s="4" t="s">
        <v>376</v>
      </c>
      <c r="AR19312" s="4" t="s">
        <v>377</v>
      </c>
    </row>
    <row r="19313" spans="1:44" ht="60">
      <c r="A19313" s="4" t="s">
        <v>117</v>
      </c>
      <c r="B19313" s="4">
        <v>2576</v>
      </c>
      <c r="D19313" s="5" t="s">
        <v>23579</v>
      </c>
      <c r="E19313" s="6" t="str">
        <f>HYPERLINK("https://inpn.mnhn.fr/espece/cd_nom/2576","Numenius arquata (Linnaeus, 1758)")</f>
        <v>Numenius arquata (Linnaeus, 1758)</v>
      </c>
      <c r="F19313" s="5" t="s">
        <v>23580</v>
      </c>
      <c r="H19313" s="4" t="str">
        <f>HYPERLINK("#Réglementation!A"&amp;_xlfn.XMATCH("IBOAE",Réglementation!A:A,2,1),"IBOAE - IBO2")</f>
        <v>IBOAE - IBO2</v>
      </c>
      <c r="I19313" s="4" t="str">
        <f>HYPERLINK("#Réglementation!A"&amp;_xlfn.XMATCH("IBE2",Réglementation!A:A,2,1),"IBE2")</f>
        <v>IBE2</v>
      </c>
      <c r="J19313" s="4" t="str">
        <f>HYPERLINK("#Réglementation!A"&amp;_xlfn.XMATCH("CDO22",Réglementation!A:A,2,1),"CDO22")</f>
        <v>CDO22</v>
      </c>
      <c r="L19313" s="4" t="str">
        <f>HYPERLINK("#Réglementation!A"&amp;_xlfn.XMATCH("OC3",Réglementation!A:A,2,1),"OC3")</f>
        <v>OC3</v>
      </c>
      <c r="O19313" s="7" t="str">
        <f>HYPERLINK("#Liste_rouge!A"&amp;_xlfn.XMATCH("NT",Liste_rouge!A:A,2,1),"NT")</f>
        <v>NT</v>
      </c>
      <c r="P19313" s="7" t="str">
        <f>HYPERLINK("#Liste_rouge!A"&amp;_xlfn.XMATCH("NT",Liste_rouge!A:A,2,1),"NT")</f>
        <v>NT</v>
      </c>
      <c r="Q19313" s="7" t="str">
        <f>HYPERLINK("#Liste_rouge!A"&amp;_xlfn.XMATCH("VU",Liste_rouge!A:A,2,1),"VU")</f>
        <v>VU</v>
      </c>
      <c r="R19313" s="7" t="str">
        <f>HYPERLINK("#Liste_rouge!A"&amp;_xlfn.XMATCH("LC",Liste_rouge!A:A,2,1),"LC")</f>
        <v>LC</v>
      </c>
      <c r="S19313" s="7" t="str">
        <f>HYPERLINK("#Liste_rouge!A"&amp;_xlfn.XMATCH("NA",Liste_rouge!A:A,2,1),"NA")</f>
        <v>NA</v>
      </c>
      <c r="T19313" s="7" t="str">
        <f>HYPERLINK("#Liste_rouge!A"&amp;_xlfn.XMATCH("VU",Liste_rouge!A:A,2,1),"VU")</f>
        <v>VU</v>
      </c>
      <c r="U19313" s="4" t="str">
        <f>HYPERLINK("#Critères_liste_rouge!A$1","D1")</f>
        <v>D1</v>
      </c>
      <c r="V19313" s="7" t="str">
        <f>HYPERLINK("#Liste_rouge!A"&amp;_xlfn.XMATCH("EN",Liste_rouge!A:A,2,1),"EN")</f>
        <v>EN</v>
      </c>
      <c r="W19313" s="4" t="str">
        <f>HYPERLINK("#Critères_liste_rouge!A$1","VU (D1) (+1)")</f>
        <v>VU (D1) (+1)</v>
      </c>
      <c r="X19313" s="5" t="s">
        <v>23442</v>
      </c>
      <c r="Y19313" s="5" t="s">
        <v>23572</v>
      </c>
      <c r="AE19313" s="4" t="str">
        <f>HYPERLINK("#SCAP!A"&amp;_xlfn.XMATCH("1+",SCAP!A:A,2,1),"1+")</f>
        <v>1+</v>
      </c>
      <c r="AF19313" s="4" t="str">
        <f>HYPERLINK("#SCAP!A"&amp;_xlfn.XMATCH("2+",SCAP!A:A,2,1),"2+")</f>
        <v>2+</v>
      </c>
      <c r="AG19313" s="4" t="str">
        <f>HYPERLINK("#SCAP!A"&amp;_xlfn.XMATCH("2+",SCAP!A:A,2,1),"2+")</f>
        <v>2+</v>
      </c>
      <c r="AH19313" s="4" t="str">
        <f>HYPERLINK("#Statut_biogéographique!A"&amp;_xlfn.XMATCH("P",Statut_biogéographique!A:A,2,1),"P")</f>
        <v>P</v>
      </c>
      <c r="AK19313" s="4" t="str">
        <f>HYPERLINK("#Réglementation!A"&amp;_xlfn.XMATCH("Ngib_ch_1",Réglementation!A:A,2,1),"Ngib_ch_1")</f>
        <v>Ngib_ch_1</v>
      </c>
      <c r="AM19313" s="4" t="s">
        <v>375</v>
      </c>
      <c r="AN19313" s="4" t="s">
        <v>375</v>
      </c>
      <c r="AO19313" s="4" t="s">
        <v>382</v>
      </c>
      <c r="AP19313" s="4" t="s">
        <v>376</v>
      </c>
      <c r="AR19313" s="4" t="s">
        <v>377</v>
      </c>
    </row>
    <row r="19314" spans="1:44" ht="30">
      <c r="A19314" s="4" t="s">
        <v>117</v>
      </c>
      <c r="B19314" s="4">
        <v>2584</v>
      </c>
      <c r="D19314" s="5" t="s">
        <v>23581</v>
      </c>
      <c r="E19314" s="6" t="str">
        <f>HYPERLINK("https://inpn.mnhn.fr/espece/cd_nom/2584","Tringa erythropus (Pallas, 1764)")</f>
        <v>Tringa erythropus (Pallas, 1764)</v>
      </c>
      <c r="F19314" s="5" t="s">
        <v>23582</v>
      </c>
      <c r="H19314" s="4" t="str">
        <f>HYPERLINK("#Réglementation!A"&amp;_xlfn.XMATCH("IBOAE",Réglementation!A:A,2,1),"IBOAE - IBO2")</f>
        <v>IBOAE - IBO2</v>
      </c>
      <c r="I19314" s="4" t="str">
        <f>HYPERLINK("#Réglementation!A"&amp;_xlfn.XMATCH("IBE2",Réglementation!A:A,2,1),"IBE2")</f>
        <v>IBE2</v>
      </c>
      <c r="J19314" s="4" t="str">
        <f>HYPERLINK("#Réglementation!A"&amp;_xlfn.XMATCH("CDO22",Réglementation!A:A,2,1),"CDO22")</f>
        <v>CDO22</v>
      </c>
      <c r="L19314" s="4" t="str">
        <f>HYPERLINK("#Réglementation!A"&amp;_xlfn.XMATCH("OC3",Réglementation!A:A,2,1),"OC3")</f>
        <v>OC3</v>
      </c>
      <c r="O19314" s="7" t="str">
        <f>HYPERLINK("#Liste_rouge!A"&amp;_xlfn.XMATCH("LC",Liste_rouge!A:A,2,1),"LC")</f>
        <v>LC</v>
      </c>
      <c r="P19314" s="7" t="str">
        <f>HYPERLINK("#Liste_rouge!A"&amp;_xlfn.XMATCH("LC",Liste_rouge!A:A,2,1),"LC")</f>
        <v>LC</v>
      </c>
      <c r="R19314" s="7" t="str">
        <f>HYPERLINK("#Liste_rouge!A"&amp;_xlfn.XMATCH("NA",Liste_rouge!A:A,2,1),"NA")</f>
        <v>NA</v>
      </c>
      <c r="S19314" s="7" t="str">
        <f>HYPERLINK("#Liste_rouge!A"&amp;_xlfn.XMATCH("DD",Liste_rouge!A:A,2,1),"DD")</f>
        <v>DD</v>
      </c>
      <c r="X19314" s="5" t="s">
        <v>23439</v>
      </c>
      <c r="Y19314" s="5" t="s">
        <v>23583</v>
      </c>
      <c r="AH19314" s="4" t="str">
        <f>HYPERLINK("#Statut_biogéographique!A"&amp;_xlfn.XMATCH("P",Statut_biogéographique!A:A,2,1),"P")</f>
        <v>P</v>
      </c>
      <c r="AK19314" s="4" t="str">
        <f>HYPERLINK("#Réglementation!A"&amp;_xlfn.XMATCH("Ngib_ch_1",Réglementation!A:A,2,1),"Ngib_ch_1")</f>
        <v>Ngib_ch_1</v>
      </c>
      <c r="AM19314" s="4" t="s">
        <v>375</v>
      </c>
      <c r="AN19314" s="4" t="s">
        <v>375</v>
      </c>
      <c r="AO19314" s="4" t="s">
        <v>375</v>
      </c>
      <c r="AP19314" s="4" t="s">
        <v>376</v>
      </c>
      <c r="AR19314" s="4" t="s">
        <v>377</v>
      </c>
    </row>
    <row r="19315" spans="1:44" ht="30">
      <c r="A19315" s="4" t="s">
        <v>117</v>
      </c>
      <c r="B19315" s="4">
        <v>2586</v>
      </c>
      <c r="D19315" s="5" t="s">
        <v>23584</v>
      </c>
      <c r="E19315" s="6" t="str">
        <f>HYPERLINK("https://inpn.mnhn.fr/espece/cd_nom/2586","Tringa totanus (Linnaeus, 1758)")</f>
        <v>Tringa totanus (Linnaeus, 1758)</v>
      </c>
      <c r="F19315" s="5" t="s">
        <v>23585</v>
      </c>
      <c r="H19315" s="4" t="str">
        <f>HYPERLINK("#Réglementation!A"&amp;_xlfn.XMATCH("IBOAE",Réglementation!A:A,2,1),"IBOAE - IBO2")</f>
        <v>IBOAE - IBO2</v>
      </c>
      <c r="I19315" s="4" t="str">
        <f>HYPERLINK("#Réglementation!A"&amp;_xlfn.XMATCH("IBE2",Réglementation!A:A,2,1),"IBE2")</f>
        <v>IBE2</v>
      </c>
      <c r="J19315" s="4" t="str">
        <f>HYPERLINK("#Réglementation!A"&amp;_xlfn.XMATCH("CDO22",Réglementation!A:A,2,1),"CDO22")</f>
        <v>CDO22</v>
      </c>
      <c r="L19315" s="4" t="str">
        <f>HYPERLINK("#Réglementation!A"&amp;_xlfn.XMATCH("OC3",Réglementation!A:A,2,1),"OC3")</f>
        <v>OC3</v>
      </c>
      <c r="O19315" s="7" t="str">
        <f>HYPERLINK("#Liste_rouge!A"&amp;_xlfn.XMATCH("LC",Liste_rouge!A:A,2,1),"LC")</f>
        <v>LC</v>
      </c>
      <c r="P19315" s="7" t="str">
        <f>HYPERLINK("#Liste_rouge!A"&amp;_xlfn.XMATCH("VU",Liste_rouge!A:A,2,1),"VU")</f>
        <v>VU</v>
      </c>
      <c r="Q19315" s="7" t="str">
        <f>HYPERLINK("#Liste_rouge!A"&amp;_xlfn.XMATCH("LC",Liste_rouge!A:A,2,1),"LC")</f>
        <v>LC</v>
      </c>
      <c r="R19315" s="7" t="str">
        <f>HYPERLINK("#Liste_rouge!A"&amp;_xlfn.XMATCH("NA",Liste_rouge!A:A,2,1),"NA")</f>
        <v>NA</v>
      </c>
      <c r="S19315" s="7" t="str">
        <f>HYPERLINK("#Liste_rouge!A"&amp;_xlfn.XMATCH("LC",Liste_rouge!A:A,2,1),"LC")</f>
        <v>LC</v>
      </c>
      <c r="T19315" s="7" t="str">
        <f>HYPERLINK("#Liste_rouge!A"&amp;_xlfn.XMATCH("LC",Liste_rouge!A:A,2,1),"LC")</f>
        <v>LC</v>
      </c>
      <c r="X19315" s="5" t="s">
        <v>23439</v>
      </c>
      <c r="Y19315" s="5" t="s">
        <v>23583</v>
      </c>
      <c r="AH19315" s="4" t="str">
        <f>HYPERLINK("#Statut_biogéographique!A"&amp;_xlfn.XMATCH("P",Statut_biogéographique!A:A,2,1),"P")</f>
        <v>P</v>
      </c>
      <c r="AK19315" s="4" t="str">
        <f>HYPERLINK("#Réglementation!A"&amp;_xlfn.XMATCH("Ngib_ch_1",Réglementation!A:A,2,1),"Ngib_ch_1")</f>
        <v>Ngib_ch_1</v>
      </c>
      <c r="AM19315" s="4" t="s">
        <v>375</v>
      </c>
      <c r="AN19315" s="4" t="s">
        <v>375</v>
      </c>
      <c r="AO19315" s="4" t="s">
        <v>375</v>
      </c>
      <c r="AP19315" s="4" t="s">
        <v>376</v>
      </c>
      <c r="AR19315" s="4" t="s">
        <v>377</v>
      </c>
    </row>
    <row r="19316" spans="1:44">
      <c r="A19316" s="4" t="s">
        <v>117</v>
      </c>
      <c r="B19316" s="4">
        <v>2590</v>
      </c>
      <c r="D19316" s="5">
        <v>2590</v>
      </c>
      <c r="E19316" s="6" t="str">
        <f>HYPERLINK("https://inpn.mnhn.fr/espece/cd_nom/2590","Tringa totanus totanus (Linnaeus, 1758)")</f>
        <v>Tringa totanus totanus (Linnaeus, 1758)</v>
      </c>
      <c r="H19316" s="4" t="str">
        <f>HYPERLINK("#Réglementation!A"&amp;_xlfn.XMATCH("IBOAE",Réglementation!A:A,2,1),"IBOAE - IBO2")</f>
        <v>IBOAE - IBO2</v>
      </c>
      <c r="I19316" s="4" t="str">
        <f>HYPERLINK("#Réglementation!A"&amp;_xlfn.XMATCH("IBE2",Réglementation!A:A,2,1),"IBE2")</f>
        <v>IBE2</v>
      </c>
      <c r="J19316" s="4" t="str">
        <f>HYPERLINK("#Réglementation!A"&amp;_xlfn.XMATCH("CDO22",Réglementation!A:A,2,1),"CDO22")</f>
        <v>CDO22</v>
      </c>
      <c r="L19316" s="4" t="str">
        <f>HYPERLINK("#Réglementation!A"&amp;_xlfn.XMATCH("OC3",Réglementation!A:A,2,1),"OC3")</f>
        <v>OC3</v>
      </c>
      <c r="AH19316" s="4" t="str">
        <f>HYPERLINK("#Statut_biogéographique!A"&amp;_xlfn.XMATCH("P",Statut_biogéographique!A:A,2,1),"P")</f>
        <v>P</v>
      </c>
      <c r="AK19316" s="4" t="str">
        <f>HYPERLINK("#Réglementation!A"&amp;_xlfn.XMATCH("Ngib_ch_1",Réglementation!A:A,2,1),"Ngib_ch_1")</f>
        <v>Ngib_ch_1</v>
      </c>
      <c r="AP19316" s="4" t="s">
        <v>376</v>
      </c>
      <c r="AR19316" s="4" t="s">
        <v>377</v>
      </c>
    </row>
    <row r="19317" spans="1:44">
      <c r="A19317" s="4" t="s">
        <v>117</v>
      </c>
      <c r="B19317" s="4">
        <v>2591</v>
      </c>
      <c r="D19317" s="5" t="s">
        <v>23586</v>
      </c>
      <c r="E19317" s="6" t="str">
        <f>HYPERLINK("https://inpn.mnhn.fr/espece/cd_nom/2591","Tringa stagnatilis (Bechstein, 1803)")</f>
        <v>Tringa stagnatilis (Bechstein, 1803)</v>
      </c>
      <c r="F19317" s="5" t="s">
        <v>23587</v>
      </c>
      <c r="H19317" s="4" t="str">
        <f>HYPERLINK("#Réglementation!A"&amp;_xlfn.XMATCH("IBOAE",Réglementation!A:A,2,1),"IBOAE - IBO2")</f>
        <v>IBOAE - IBO2</v>
      </c>
      <c r="I19317" s="4" t="str">
        <f>HYPERLINK("#Réglementation!A"&amp;_xlfn.XMATCH("IBE2",Réglementation!A:A,2,1),"IBE2")</f>
        <v>IBE2</v>
      </c>
      <c r="L19317" s="4" t="str">
        <f>HYPERLINK("#Réglementation!A"&amp;_xlfn.XMATCH("NO4",Réglementation!A:A,2,1),"NO4")</f>
        <v>NO4</v>
      </c>
      <c r="O19317" s="7" t="str">
        <f>HYPERLINK("#Liste_rouge!A"&amp;_xlfn.XMATCH("LC",Liste_rouge!A:A,2,1),"LC")</f>
        <v>LC</v>
      </c>
      <c r="P19317" s="7" t="str">
        <f>HYPERLINK("#Liste_rouge!A"&amp;_xlfn.XMATCH("LC",Liste_rouge!A:A,2,1),"LC")</f>
        <v>LC</v>
      </c>
      <c r="S19317" s="7" t="str">
        <f>HYPERLINK("#Liste_rouge!A"&amp;_xlfn.XMATCH("NA",Liste_rouge!A:A,2,1),"NA")</f>
        <v>NA</v>
      </c>
      <c r="AH19317" s="4" t="str">
        <f>HYPERLINK("#Statut_biogéographique!A"&amp;_xlfn.XMATCH("P",Statut_biogéographique!A:A,2,1),"P")</f>
        <v>P</v>
      </c>
      <c r="AM19317" s="4" t="s">
        <v>375</v>
      </c>
      <c r="AN19317" s="4" t="s">
        <v>375</v>
      </c>
      <c r="AO19317" s="4" t="s">
        <v>375</v>
      </c>
      <c r="AP19317" s="4" t="s">
        <v>376</v>
      </c>
      <c r="AR19317" s="4" t="s">
        <v>377</v>
      </c>
    </row>
    <row r="19318" spans="1:44" ht="30">
      <c r="A19318" s="4" t="s">
        <v>117</v>
      </c>
      <c r="B19318" s="4">
        <v>2594</v>
      </c>
      <c r="D19318" s="5" t="s">
        <v>23588</v>
      </c>
      <c r="E19318" s="6" t="str">
        <f>HYPERLINK("https://inpn.mnhn.fr/espece/cd_nom/2594","Tringa nebularia (Gunnerus, 1767)")</f>
        <v>Tringa nebularia (Gunnerus, 1767)</v>
      </c>
      <c r="F19318" s="5" t="s">
        <v>23589</v>
      </c>
      <c r="H19318" s="4" t="str">
        <f>HYPERLINK("#Réglementation!A"&amp;_xlfn.XMATCH("IBOAE",Réglementation!A:A,2,1),"IBOAE - IBO2")</f>
        <v>IBOAE - IBO2</v>
      </c>
      <c r="I19318" s="4" t="str">
        <f>HYPERLINK("#Réglementation!A"&amp;_xlfn.XMATCH("IBE2",Réglementation!A:A,2,1),"IBE2")</f>
        <v>IBE2</v>
      </c>
      <c r="J19318" s="4" t="str">
        <f>HYPERLINK("#Réglementation!A"&amp;_xlfn.XMATCH("CDO22",Réglementation!A:A,2,1),"CDO22")</f>
        <v>CDO22</v>
      </c>
      <c r="L19318" s="4" t="str">
        <f>HYPERLINK("#Réglementation!A"&amp;_xlfn.XMATCH("OC3",Réglementation!A:A,2,1),"OC3")</f>
        <v>OC3</v>
      </c>
      <c r="O19318" s="7" t="str">
        <f>HYPERLINK("#Liste_rouge!A"&amp;_xlfn.XMATCH("LC",Liste_rouge!A:A,2,1),"LC")</f>
        <v>LC</v>
      </c>
      <c r="P19318" s="7" t="str">
        <f>HYPERLINK("#Liste_rouge!A"&amp;_xlfn.XMATCH("LC",Liste_rouge!A:A,2,1),"LC")</f>
        <v>LC</v>
      </c>
      <c r="R19318" s="7" t="str">
        <f>HYPERLINK("#Liste_rouge!A"&amp;_xlfn.XMATCH("NA",Liste_rouge!A:A,2,1),"NA")</f>
        <v>NA</v>
      </c>
      <c r="S19318" s="7" t="str">
        <f>HYPERLINK("#Liste_rouge!A"&amp;_xlfn.XMATCH("LC",Liste_rouge!A:A,2,1),"LC")</f>
        <v>LC</v>
      </c>
      <c r="X19318" s="5" t="s">
        <v>23439</v>
      </c>
      <c r="Y19318" s="5" t="s">
        <v>23583</v>
      </c>
      <c r="AH19318" s="4" t="str">
        <f>HYPERLINK("#Statut_biogéographique!A"&amp;_xlfn.XMATCH("P",Statut_biogéographique!A:A,2,1),"P")</f>
        <v>P</v>
      </c>
      <c r="AK19318" s="4" t="str">
        <f>HYPERLINK("#Réglementation!A"&amp;_xlfn.XMATCH("Ngib_ch_1",Réglementation!A:A,2,1),"Ngib_ch_1")</f>
        <v>Ngib_ch_1</v>
      </c>
      <c r="AM19318" s="4" t="s">
        <v>375</v>
      </c>
      <c r="AN19318" s="4" t="s">
        <v>375</v>
      </c>
      <c r="AO19318" s="4" t="s">
        <v>375</v>
      </c>
      <c r="AP19318" s="4" t="s">
        <v>376</v>
      </c>
      <c r="AR19318" s="4" t="s">
        <v>377</v>
      </c>
    </row>
    <row r="19319" spans="1:44" ht="30">
      <c r="A19319" s="4" t="s">
        <v>117</v>
      </c>
      <c r="B19319" s="4">
        <v>2600</v>
      </c>
      <c r="D19319" s="5" t="s">
        <v>23590</v>
      </c>
      <c r="E19319" s="6" t="str">
        <f>HYPERLINK("https://inpn.mnhn.fr/espece/cd_nom/2600","Tringa flavipes (Gmelin, 1789)")</f>
        <v>Tringa flavipes (Gmelin, 1789)</v>
      </c>
      <c r="F19319" s="5" t="s">
        <v>23591</v>
      </c>
      <c r="H19319" s="4" t="str">
        <f>HYPERLINK("#Réglementation!A"&amp;_xlfn.XMATCH("IBO2",Réglementation!A:A,2,1),"IBO2")</f>
        <v>IBO2</v>
      </c>
      <c r="I19319" s="4" t="str">
        <f>HYPERLINK("#Réglementation!A"&amp;_xlfn.XMATCH("IBE2",Réglementation!A:A,2,1),"IBE2")</f>
        <v>IBE2</v>
      </c>
      <c r="L19319" s="4" t="str">
        <f>HYPERLINK("#Réglementation!A"&amp;_xlfn.XMATCH("NO4",Réglementation!A:A,2,1),"NO4")</f>
        <v>NO4</v>
      </c>
      <c r="O19319" s="7" t="str">
        <f>HYPERLINK("#Liste_rouge!A"&amp;_xlfn.XMATCH("LC",Liste_rouge!A:A,2,1),"LC")</f>
        <v>LC</v>
      </c>
      <c r="S19319" s="7" t="str">
        <f>HYPERLINK("#Liste_rouge!A"&amp;_xlfn.XMATCH("NA",Liste_rouge!A:A,2,1),"NA")</f>
        <v>NA</v>
      </c>
      <c r="AH19319" s="4" t="str">
        <f>HYPERLINK("#Statut_biogéographique!A"&amp;_xlfn.XMATCH("B",Statut_biogéographique!A:A,2,1),"B")</f>
        <v>B</v>
      </c>
      <c r="AM19319" s="4" t="s">
        <v>375</v>
      </c>
      <c r="AN19319" s="4" t="s">
        <v>375</v>
      </c>
      <c r="AO19319" s="4" t="s">
        <v>375</v>
      </c>
      <c r="AP19319" s="4" t="s">
        <v>389</v>
      </c>
      <c r="AR19319" s="4" t="s">
        <v>377</v>
      </c>
    </row>
    <row r="19320" spans="1:44" ht="30">
      <c r="A19320" s="4" t="s">
        <v>117</v>
      </c>
      <c r="B19320" s="4">
        <v>2603</v>
      </c>
      <c r="D19320" s="5">
        <v>2603</v>
      </c>
      <c r="E19320" s="6" t="str">
        <f>HYPERLINK("https://inpn.mnhn.fr/espece/cd_nom/2603","Tringa ochropus Linnaeus, 1758")</f>
        <v>Tringa ochropus Linnaeus, 1758</v>
      </c>
      <c r="F19320" s="5" t="s">
        <v>23592</v>
      </c>
      <c r="H19320" s="4" t="str">
        <f>HYPERLINK("#Réglementation!A"&amp;_xlfn.XMATCH("IBOAE",Réglementation!A:A,2,1),"IBOAE - IBO2")</f>
        <v>IBOAE - IBO2</v>
      </c>
      <c r="I19320" s="4" t="str">
        <f>HYPERLINK("#Réglementation!A"&amp;_xlfn.XMATCH("IBE2",Réglementation!A:A,2,1),"IBE2")</f>
        <v>IBE2</v>
      </c>
      <c r="L19320" s="4" t="str">
        <f>HYPERLINK("#Réglementation!A"&amp;_xlfn.XMATCH("NO3",Réglementation!A:A,2,1),"NO3")</f>
        <v>NO3</v>
      </c>
      <c r="O19320" s="7" t="str">
        <f>HYPERLINK("#Liste_rouge!A"&amp;_xlfn.XMATCH("LC",Liste_rouge!A:A,2,1),"LC")</f>
        <v>LC</v>
      </c>
      <c r="P19320" s="7" t="str">
        <f>HYPERLINK("#Liste_rouge!A"&amp;_xlfn.XMATCH("LC",Liste_rouge!A:A,2,1),"LC")</f>
        <v>LC</v>
      </c>
      <c r="R19320" s="7" t="str">
        <f>HYPERLINK("#Liste_rouge!A"&amp;_xlfn.XMATCH("NA",Liste_rouge!A:A,2,1),"NA")</f>
        <v>NA</v>
      </c>
      <c r="S19320" s="7" t="str">
        <f>HYPERLINK("#Liste_rouge!A"&amp;_xlfn.XMATCH("LC",Liste_rouge!A:A,2,1),"LC")</f>
        <v>LC</v>
      </c>
      <c r="X19320" s="5" t="s">
        <v>23439</v>
      </c>
      <c r="Y19320" s="5" t="s">
        <v>23593</v>
      </c>
      <c r="AH19320" s="4" t="str">
        <f>HYPERLINK("#Statut_biogéographique!A"&amp;_xlfn.XMATCH("P",Statut_biogéographique!A:A,2,1),"P")</f>
        <v>P</v>
      </c>
      <c r="AM19320" s="4" t="s">
        <v>375</v>
      </c>
      <c r="AN19320" s="4" t="s">
        <v>375</v>
      </c>
      <c r="AO19320" s="4" t="s">
        <v>375</v>
      </c>
      <c r="AP19320" s="4" t="s">
        <v>376</v>
      </c>
      <c r="AR19320" s="4" t="s">
        <v>377</v>
      </c>
    </row>
    <row r="19321" spans="1:44" ht="30">
      <c r="A19321" s="4" t="s">
        <v>117</v>
      </c>
      <c r="B19321" s="4">
        <v>2607</v>
      </c>
      <c r="D19321" s="5">
        <v>2607</v>
      </c>
      <c r="E19321" s="6" t="str">
        <f>HYPERLINK("https://inpn.mnhn.fr/espece/cd_nom/2607","Tringa glareola Linnaeus, 1758")</f>
        <v>Tringa glareola Linnaeus, 1758</v>
      </c>
      <c r="F19321" s="5" t="s">
        <v>23594</v>
      </c>
      <c r="H19321" s="4" t="str">
        <f>HYPERLINK("#Réglementation!A"&amp;_xlfn.XMATCH("IBOAE",Réglementation!A:A,2,1),"IBOAE - IBO2")</f>
        <v>IBOAE - IBO2</v>
      </c>
      <c r="I19321" s="4" t="str">
        <f>HYPERLINK("#Réglementation!A"&amp;_xlfn.XMATCH("IBE2",Réglementation!A:A,2,1),"IBE2")</f>
        <v>IBE2</v>
      </c>
      <c r="J19321" s="4" t="str">
        <f>HYPERLINK("#Réglementation!A"&amp;_xlfn.XMATCH("CDO1",Réglementation!A:A,2,1),"CDO1")</f>
        <v>CDO1</v>
      </c>
      <c r="L19321" s="4" t="str">
        <f>HYPERLINK("#Réglementation!A"&amp;_xlfn.XMATCH("NO3",Réglementation!A:A,2,1),"NO3")</f>
        <v>NO3</v>
      </c>
      <c r="O19321" s="7" t="str">
        <f>HYPERLINK("#Liste_rouge!A"&amp;_xlfn.XMATCH("LC",Liste_rouge!A:A,2,1),"LC")</f>
        <v>LC</v>
      </c>
      <c r="P19321" s="7" t="str">
        <f>HYPERLINK("#Liste_rouge!A"&amp;_xlfn.XMATCH("LC",Liste_rouge!A:A,2,1),"LC")</f>
        <v>LC</v>
      </c>
      <c r="S19321" s="7" t="str">
        <f>HYPERLINK("#Liste_rouge!A"&amp;_xlfn.XMATCH("LC",Liste_rouge!A:A,2,1),"LC")</f>
        <v>LC</v>
      </c>
      <c r="X19321" s="5" t="s">
        <v>23439</v>
      </c>
      <c r="Y19321" s="5" t="s">
        <v>23583</v>
      </c>
      <c r="AH19321" s="4" t="str">
        <f>HYPERLINK("#Statut_biogéographique!A"&amp;_xlfn.XMATCH("P",Statut_biogéographique!A:A,2,1),"P")</f>
        <v>P</v>
      </c>
      <c r="AM19321" s="4" t="s">
        <v>375</v>
      </c>
      <c r="AN19321" s="4" t="s">
        <v>375</v>
      </c>
      <c r="AO19321" s="4" t="s">
        <v>375</v>
      </c>
      <c r="AP19321" s="4" t="s">
        <v>376</v>
      </c>
      <c r="AR19321" s="4" t="s">
        <v>377</v>
      </c>
    </row>
    <row r="19322" spans="1:44" ht="30">
      <c r="A19322" s="4" t="s">
        <v>117</v>
      </c>
      <c r="B19322" s="4">
        <v>2610</v>
      </c>
      <c r="D19322" s="5" t="s">
        <v>23595</v>
      </c>
      <c r="E19322" s="6" t="str">
        <f>HYPERLINK("https://inpn.mnhn.fr/espece/cd_nom/2610","Xenus cinereus (Güldenstädt, 1775)")</f>
        <v>Xenus cinereus (Güldenstädt, 1775)</v>
      </c>
      <c r="F19322" s="5" t="s">
        <v>23596</v>
      </c>
      <c r="H19322" s="4" t="str">
        <f>HYPERLINK("#Réglementation!A"&amp;_xlfn.XMATCH("IBOAE",Réglementation!A:A,2,1),"IBOAE - IBO2")</f>
        <v>IBOAE - IBO2</v>
      </c>
      <c r="I19322" s="4" t="str">
        <f>HYPERLINK("#Réglementation!A"&amp;_xlfn.XMATCH("IBE2",Réglementation!A:A,2,1),"IBE2")</f>
        <v>IBE2</v>
      </c>
      <c r="J19322" s="4" t="str">
        <f>HYPERLINK("#Réglementation!A"&amp;_xlfn.XMATCH("CDO1",Réglementation!A:A,2,1),"CDO1")</f>
        <v>CDO1</v>
      </c>
      <c r="L19322" s="4" t="str">
        <f>HYPERLINK("#Réglementation!A"&amp;_xlfn.XMATCH("NO4",Réglementation!A:A,2,1),"NO4")</f>
        <v>NO4</v>
      </c>
      <c r="O19322" s="7" t="str">
        <f>HYPERLINK("#Liste_rouge!A"&amp;_xlfn.XMATCH("LC",Liste_rouge!A:A,2,1),"LC")</f>
        <v>LC</v>
      </c>
      <c r="P19322" s="7" t="str">
        <f>HYPERLINK("#Liste_rouge!A"&amp;_xlfn.XMATCH("LC",Liste_rouge!A:A,2,1),"LC")</f>
        <v>LC</v>
      </c>
      <c r="S19322" s="7" t="str">
        <f>HYPERLINK("#Liste_rouge!A"&amp;_xlfn.XMATCH("NA",Liste_rouge!A:A,2,1),"NA")</f>
        <v>NA</v>
      </c>
      <c r="AH19322" s="4" t="str">
        <f>HYPERLINK("#Statut_biogéographique!A"&amp;_xlfn.XMATCH("P",Statut_biogéographique!A:A,2,1),"P")</f>
        <v>P</v>
      </c>
      <c r="AM19322" s="4" t="s">
        <v>375</v>
      </c>
      <c r="AN19322" s="4" t="s">
        <v>375</v>
      </c>
      <c r="AO19322" s="4" t="s">
        <v>375</v>
      </c>
      <c r="AP19322" s="4" t="s">
        <v>376</v>
      </c>
      <c r="AR19322" s="4" t="s">
        <v>377</v>
      </c>
    </row>
    <row r="19323" spans="1:44">
      <c r="A19323" s="4" t="s">
        <v>117</v>
      </c>
      <c r="B19323" s="4">
        <v>2616</v>
      </c>
      <c r="D19323" s="5" t="s">
        <v>23597</v>
      </c>
      <c r="E19323" s="6" t="str">
        <f>HYPERLINK("https://inpn.mnhn.fr/espece/cd_nom/2616","Actitis hypoleucos (Linnaeus, 1758)")</f>
        <v>Actitis hypoleucos (Linnaeus, 1758)</v>
      </c>
      <c r="F19323" s="5" t="s">
        <v>23598</v>
      </c>
      <c r="H19323" s="4" t="str">
        <f>HYPERLINK("#Réglementation!A"&amp;_xlfn.XMATCH("IBOAE",Réglementation!A:A,2,1),"IBOAE - IBO2")</f>
        <v>IBOAE - IBO2</v>
      </c>
      <c r="I19323" s="4" t="str">
        <f>HYPERLINK("#Réglementation!A"&amp;_xlfn.XMATCH("IBE2",Réglementation!A:A,2,1),"IBE2")</f>
        <v>IBE2</v>
      </c>
      <c r="L19323" s="4" t="str">
        <f>HYPERLINK("#Réglementation!A"&amp;_xlfn.XMATCH("NO3",Réglementation!A:A,2,1),"NO3")</f>
        <v>NO3</v>
      </c>
      <c r="O19323" s="7" t="str">
        <f>HYPERLINK("#Liste_rouge!A"&amp;_xlfn.XMATCH("LC",Liste_rouge!A:A,2,1),"LC")</f>
        <v>LC</v>
      </c>
      <c r="P19323" s="7" t="str">
        <f>HYPERLINK("#Liste_rouge!A"&amp;_xlfn.XMATCH("LC",Liste_rouge!A:A,2,1),"LC")</f>
        <v>LC</v>
      </c>
      <c r="Q19323" s="7" t="str">
        <f>HYPERLINK("#Liste_rouge!A"&amp;_xlfn.XMATCH("NT",Liste_rouge!A:A,2,1),"NT")</f>
        <v>NT</v>
      </c>
      <c r="R19323" s="7" t="str">
        <f>HYPERLINK("#Liste_rouge!A"&amp;_xlfn.XMATCH("NA",Liste_rouge!A:A,2,1),"NA")</f>
        <v>NA</v>
      </c>
      <c r="S19323" s="7" t="str">
        <f>HYPERLINK("#Liste_rouge!A"&amp;_xlfn.XMATCH("DD",Liste_rouge!A:A,2,1),"DD")</f>
        <v>DD</v>
      </c>
      <c r="T19323" s="7" t="str">
        <f>HYPERLINK("#Liste_rouge!A"&amp;_xlfn.XMATCH("EN",Liste_rouge!A:A,2,1),"EN")</f>
        <v>EN</v>
      </c>
      <c r="U19323" s="4" t="str">
        <f>HYPERLINK("#Critères_liste_rouge!A$1","D1")</f>
        <v>D1</v>
      </c>
      <c r="V19323" s="7" t="str">
        <f>HYPERLINK("#Liste_rouge!A"&amp;_xlfn.XMATCH("CR",Liste_rouge!A:A,2,1),"CR")</f>
        <v>CR</v>
      </c>
      <c r="W19323" s="4" t="str">
        <f>HYPERLINK("#Critères_liste_rouge!A$1","D1")</f>
        <v>D1</v>
      </c>
      <c r="X19323" s="5" t="s">
        <v>374</v>
      </c>
      <c r="AH19323" s="4" t="str">
        <f>HYPERLINK("#Statut_biogéographique!A"&amp;_xlfn.XMATCH("P",Statut_biogéographique!A:A,2,1),"P")</f>
        <v>P</v>
      </c>
      <c r="AM19323" s="4" t="s">
        <v>375</v>
      </c>
      <c r="AN19323" s="4" t="s">
        <v>375</v>
      </c>
      <c r="AO19323" s="4" t="s">
        <v>375</v>
      </c>
      <c r="AP19323" s="4" t="s">
        <v>376</v>
      </c>
      <c r="AR19323" s="4" t="s">
        <v>377</v>
      </c>
    </row>
    <row r="19324" spans="1:44">
      <c r="A19324" s="4" t="s">
        <v>117</v>
      </c>
      <c r="B19324" s="4">
        <v>2623</v>
      </c>
      <c r="D19324" s="5" t="s">
        <v>23599</v>
      </c>
      <c r="E19324" s="6" t="str">
        <f>HYPERLINK("https://inpn.mnhn.fr/espece/cd_nom/2623","Buteo buteo (Linnaeus, 1758)")</f>
        <v>Buteo buteo (Linnaeus, 1758)</v>
      </c>
      <c r="F19324" s="5" t="s">
        <v>23600</v>
      </c>
      <c r="G19324" s="4" t="str">
        <f>HYPERLINK("[#Réglementation!A"&amp;_xlfn.XMATCH("CCA",Réglementation!A:A,2,1),"CCA")</f>
        <v>CCA</v>
      </c>
      <c r="H19324" s="4" t="str">
        <f>HYPERLINK("#Réglementation!A"&amp;_xlfn.XMATCH("IBO2",Réglementation!A:A,2,1),"IBO2")</f>
        <v>IBO2</v>
      </c>
      <c r="I19324" s="4" t="str">
        <f>HYPERLINK("#Réglementation!A"&amp;_xlfn.XMATCH("IBE3",Réglementation!A:A,2,1),"IBE3")</f>
        <v>IBE3</v>
      </c>
      <c r="L19324" s="4" t="str">
        <f>HYPERLINK("#Réglementation!A"&amp;_xlfn.XMATCH("NO3",Réglementation!A:A,2,1),"NO3")</f>
        <v>NO3</v>
      </c>
      <c r="P19324" s="7" t="str">
        <f>HYPERLINK("#Liste_rouge!A"&amp;_xlfn.XMATCH("LC",Liste_rouge!A:A,2,1),"LC")</f>
        <v>LC</v>
      </c>
      <c r="Q19324" s="7" t="str">
        <f>HYPERLINK("#Liste_rouge!A"&amp;_xlfn.XMATCH("LC",Liste_rouge!A:A,2,1),"LC")</f>
        <v>LC</v>
      </c>
      <c r="R19324" s="7" t="str">
        <f>HYPERLINK("#Liste_rouge!A"&amp;_xlfn.XMATCH("NA",Liste_rouge!A:A,2,1),"NA")</f>
        <v>NA</v>
      </c>
      <c r="S19324" s="7" t="str">
        <f>HYPERLINK("#Liste_rouge!A"&amp;_xlfn.XMATCH("NA",Liste_rouge!A:A,2,1),"NA")</f>
        <v>NA</v>
      </c>
      <c r="T19324" s="7" t="str">
        <f>HYPERLINK("#Liste_rouge!A"&amp;_xlfn.XMATCH("LC",Liste_rouge!A:A,2,1),"LC")</f>
        <v>LC</v>
      </c>
      <c r="V19324" s="7" t="str">
        <f>HYPERLINK("#Liste_rouge!A"&amp;_xlfn.XMATCH("LC",Liste_rouge!A:A,2,1),"LC")</f>
        <v>LC</v>
      </c>
      <c r="AH19324" s="4" t="str">
        <f>HYPERLINK("#Statut_biogéographique!A"&amp;_xlfn.XMATCH("P",Statut_biogéographique!A:A,2,1),"P")</f>
        <v>P</v>
      </c>
      <c r="AM19324" s="4" t="s">
        <v>375</v>
      </c>
      <c r="AN19324" s="4" t="s">
        <v>375</v>
      </c>
      <c r="AO19324" s="4" t="s">
        <v>375</v>
      </c>
      <c r="AP19324" s="4" t="s">
        <v>376</v>
      </c>
      <c r="AR19324" s="4" t="s">
        <v>377</v>
      </c>
    </row>
    <row r="19325" spans="1:44">
      <c r="A19325" s="4" t="s">
        <v>117</v>
      </c>
      <c r="B19325" s="4">
        <v>2627</v>
      </c>
      <c r="D19325" s="5" t="s">
        <v>23601</v>
      </c>
      <c r="E19325" s="6" t="str">
        <f>HYPERLINK("https://inpn.mnhn.fr/espece/cd_nom/2627","Buteo rufinus (Cretzschmar, 1827)")</f>
        <v>Buteo rufinus (Cretzschmar, 1827)</v>
      </c>
      <c r="F19325" s="5" t="s">
        <v>23602</v>
      </c>
      <c r="G19325" s="4" t="str">
        <f>HYPERLINK("[#Réglementation!A"&amp;_xlfn.XMATCH("CCA",Réglementation!A:A,2,1),"CCA")</f>
        <v>CCA</v>
      </c>
      <c r="H19325" s="4" t="str">
        <f>HYPERLINK("#Réglementation!A"&amp;_xlfn.XMATCH("IBO2",Réglementation!A:A,2,1),"IBO2")</f>
        <v>IBO2</v>
      </c>
      <c r="I19325" s="4" t="str">
        <f>HYPERLINK("#Réglementation!A"&amp;_xlfn.XMATCH("IBE3",Réglementation!A:A,2,1),"IBE3")</f>
        <v>IBE3</v>
      </c>
      <c r="J19325" s="4" t="str">
        <f>HYPERLINK("#Réglementation!A"&amp;_xlfn.XMATCH("CDO1",Réglementation!A:A,2,1),"CDO1")</f>
        <v>CDO1</v>
      </c>
      <c r="L19325" s="4" t="str">
        <f>HYPERLINK("#Réglementation!A"&amp;_xlfn.XMATCH("NO4",Réglementation!A:A,2,1),"NO4")</f>
        <v>NO4</v>
      </c>
      <c r="O19325" s="7" t="str">
        <f>HYPERLINK("#Liste_rouge!A"&amp;_xlfn.XMATCH("LC",Liste_rouge!A:A,2,1),"LC")</f>
        <v>LC</v>
      </c>
      <c r="P19325" s="7" t="str">
        <f>HYPERLINK("#Liste_rouge!A"&amp;_xlfn.XMATCH("LC",Liste_rouge!A:A,2,1),"LC")</f>
        <v>LC</v>
      </c>
      <c r="R19325" s="7" t="str">
        <f>HYPERLINK("#Liste_rouge!A"&amp;_xlfn.XMATCH("NA",Liste_rouge!A:A,2,1),"NA")</f>
        <v>NA</v>
      </c>
      <c r="AH19325" s="4" t="str">
        <f>HYPERLINK("#Statut_biogéographique!A"&amp;_xlfn.XMATCH("P",Statut_biogéographique!A:A,2,1),"P")</f>
        <v>P</v>
      </c>
      <c r="AM19325" s="4" t="s">
        <v>375</v>
      </c>
      <c r="AN19325" s="4" t="s">
        <v>375</v>
      </c>
      <c r="AO19325" s="4" t="s">
        <v>375</v>
      </c>
      <c r="AP19325" s="4" t="s">
        <v>376</v>
      </c>
      <c r="AR19325" s="4" t="s">
        <v>377</v>
      </c>
    </row>
    <row r="19326" spans="1:44" ht="60">
      <c r="A19326" s="4" t="s">
        <v>117</v>
      </c>
      <c r="B19326" s="4">
        <v>2630</v>
      </c>
      <c r="D19326" s="5" t="s">
        <v>23603</v>
      </c>
      <c r="E19326" s="6" t="str">
        <f>HYPERLINK("https://inpn.mnhn.fr/espece/cd_nom/2630","Buteo lagopus (Pontoppidan, 1763)")</f>
        <v>Buteo lagopus (Pontoppidan, 1763)</v>
      </c>
      <c r="F19326" s="5" t="s">
        <v>23604</v>
      </c>
      <c r="G19326" s="4" t="str">
        <f>HYPERLINK("[#Réglementation!A"&amp;_xlfn.XMATCH("CCA",Réglementation!A:A,2,1),"CCA")</f>
        <v>CCA</v>
      </c>
      <c r="H19326" s="4" t="str">
        <f>HYPERLINK("#Réglementation!A"&amp;_xlfn.XMATCH("IBO2",Réglementation!A:A,2,1),"IBO2")</f>
        <v>IBO2</v>
      </c>
      <c r="I19326" s="4" t="str">
        <f>HYPERLINK("#Réglementation!A"&amp;_xlfn.XMATCH("IBE3",Réglementation!A:A,2,1),"IBE3")</f>
        <v>IBE3</v>
      </c>
      <c r="L19326" s="4" t="str">
        <f>HYPERLINK("#Réglementation!A"&amp;_xlfn.XMATCH("NO3",Réglementation!A:A,2,1),"NO3")</f>
        <v>NO3</v>
      </c>
      <c r="O19326" s="7" t="str">
        <f>HYPERLINK("#Liste_rouge!A"&amp;_xlfn.XMATCH("LC",Liste_rouge!A:A,2,1),"LC")</f>
        <v>LC</v>
      </c>
      <c r="P19326" s="7" t="str">
        <f>HYPERLINK("#Liste_rouge!A"&amp;_xlfn.XMATCH("LC",Liste_rouge!A:A,2,1),"LC")</f>
        <v>LC</v>
      </c>
      <c r="R19326" s="7" t="str">
        <f>HYPERLINK("#Liste_rouge!A"&amp;_xlfn.XMATCH("NA",Liste_rouge!A:A,2,1),"NA")</f>
        <v>NA</v>
      </c>
      <c r="X19326" s="5" t="s">
        <v>23439</v>
      </c>
      <c r="Y19326" s="5" t="s">
        <v>23605</v>
      </c>
      <c r="AH19326" s="4" t="str">
        <f>HYPERLINK("#Statut_biogéographique!A"&amp;_xlfn.XMATCH("P",Statut_biogéographique!A:A,2,1),"P")</f>
        <v>P</v>
      </c>
      <c r="AM19326" s="4" t="s">
        <v>375</v>
      </c>
      <c r="AN19326" s="4" t="s">
        <v>375</v>
      </c>
      <c r="AO19326" s="4" t="s">
        <v>375</v>
      </c>
      <c r="AP19326" s="4" t="s">
        <v>389</v>
      </c>
      <c r="AR19326" s="4" t="s">
        <v>377</v>
      </c>
    </row>
    <row r="19327" spans="1:44">
      <c r="A19327" s="4" t="s">
        <v>117</v>
      </c>
      <c r="B19327" s="4">
        <v>2643</v>
      </c>
      <c r="D19327" s="5">
        <v>2643</v>
      </c>
      <c r="E19327" s="6" t="str">
        <f>HYPERLINK("https://inpn.mnhn.fr/espece/cd_nom/2643","Aquila heliaca Savigny, 1809")</f>
        <v>Aquila heliaca Savigny, 1809</v>
      </c>
      <c r="F19327" s="5" t="s">
        <v>23606</v>
      </c>
      <c r="G19327" s="4" t="str">
        <f>HYPERLINK("[#Réglementation!A"&amp;_xlfn.XMATCH("CCA",Réglementation!A:A,2,1),"CCA")</f>
        <v>CCA</v>
      </c>
      <c r="H19327" s="4" t="str">
        <f>HYPERLINK("#Réglementation!A"&amp;_xlfn.XMATCH("IBO1",Réglementation!A:A,2,1),"IBO1 - IBO2")</f>
        <v>IBO1 - IBO2</v>
      </c>
      <c r="I19327" s="4" t="str">
        <f>HYPERLINK("#Réglementation!A"&amp;_xlfn.XMATCH("IBE3",Réglementation!A:A,2,1),"IBE3")</f>
        <v>IBE3</v>
      </c>
      <c r="J19327" s="4" t="str">
        <f>HYPERLINK("#Réglementation!A"&amp;_xlfn.XMATCH("CDO1",Réglementation!A:A,2,1),"CDO1")</f>
        <v>CDO1</v>
      </c>
      <c r="L19327" s="4" t="str">
        <f>HYPERLINK("#Réglementation!A"&amp;_xlfn.XMATCH("NO4",Réglementation!A:A,2,1),"NO4")</f>
        <v>NO4</v>
      </c>
      <c r="O19327" s="7" t="str">
        <f>HYPERLINK("#Liste_rouge!A"&amp;_xlfn.XMATCH("VU",Liste_rouge!A:A,2,1),"VU")</f>
        <v>VU</v>
      </c>
      <c r="P19327" s="7" t="str">
        <f>HYPERLINK("#Liste_rouge!A"&amp;_xlfn.XMATCH("LC",Liste_rouge!A:A,2,1),"LC")</f>
        <v>LC</v>
      </c>
      <c r="S19327" s="7" t="str">
        <f>HYPERLINK("#Liste_rouge!A"&amp;_xlfn.XMATCH("NA",Liste_rouge!A:A,2,1),"NA")</f>
        <v>NA</v>
      </c>
      <c r="AH19327" s="4" t="str">
        <f>HYPERLINK("#Statut_biogéographique!A"&amp;_xlfn.XMATCH("B",Statut_biogéographique!A:A,2,1),"B")</f>
        <v>B</v>
      </c>
      <c r="AP19327" s="4" t="s">
        <v>376</v>
      </c>
      <c r="AR19327" s="4" t="s">
        <v>377</v>
      </c>
    </row>
    <row r="19328" spans="1:44">
      <c r="A19328" s="4" t="s">
        <v>117</v>
      </c>
      <c r="B19328" s="4">
        <v>2645</v>
      </c>
      <c r="D19328" s="5" t="s">
        <v>23607</v>
      </c>
      <c r="E19328" s="6" t="str">
        <f>HYPERLINK("https://inpn.mnhn.fr/espece/cd_nom/2645","Aquila chrysaetos (Linnaeus, 1758)")</f>
        <v>Aquila chrysaetos (Linnaeus, 1758)</v>
      </c>
      <c r="F19328" s="5" t="s">
        <v>23608</v>
      </c>
      <c r="G19328" s="4" t="str">
        <f>HYPERLINK("[#Réglementation!A"&amp;_xlfn.XMATCH("CCA",Réglementation!A:A,2,1),"CCA")</f>
        <v>CCA</v>
      </c>
      <c r="H19328" s="4" t="str">
        <f>HYPERLINK("#Réglementation!A"&amp;_xlfn.XMATCH("IBO2",Réglementation!A:A,2,1),"IBO2")</f>
        <v>IBO2</v>
      </c>
      <c r="I19328" s="4" t="str">
        <f>HYPERLINK("#Réglementation!A"&amp;_xlfn.XMATCH("IBE3",Réglementation!A:A,2,1),"IBE3")</f>
        <v>IBE3</v>
      </c>
      <c r="J19328" s="4" t="str">
        <f>HYPERLINK("#Réglementation!A"&amp;_xlfn.XMATCH("CDO1",Réglementation!A:A,2,1),"CDO1")</f>
        <v>CDO1</v>
      </c>
      <c r="L19328" s="4" t="str">
        <f>HYPERLINK("#Réglementation!A"&amp;_xlfn.XMATCH("NO3",Réglementation!A:A,2,1),"NO3")</f>
        <v>NO3</v>
      </c>
      <c r="O19328" s="7" t="str">
        <f>HYPERLINK("#Liste_rouge!A"&amp;_xlfn.XMATCH("LC",Liste_rouge!A:A,2,1),"LC")</f>
        <v>LC</v>
      </c>
      <c r="P19328" s="7" t="str">
        <f>HYPERLINK("#Liste_rouge!A"&amp;_xlfn.XMATCH("LC",Liste_rouge!A:A,2,1),"LC")</f>
        <v>LC</v>
      </c>
      <c r="Q19328" s="7" t="str">
        <f>HYPERLINK("#Liste_rouge!A"&amp;_xlfn.XMATCH("VU",Liste_rouge!A:A,2,1),"VU")</f>
        <v>VU</v>
      </c>
      <c r="V19328" s="7" t="str">
        <f>HYPERLINK("#Liste_rouge!A"&amp;_xlfn.XMATCH("CR",Liste_rouge!A:A,2,1),"CR")</f>
        <v>CR</v>
      </c>
      <c r="W19328" s="4" t="str">
        <f>HYPERLINK("#Critères_liste_rouge!A$1","D1")</f>
        <v>D1</v>
      </c>
      <c r="X19328" s="5" t="s">
        <v>374</v>
      </c>
      <c r="AD19328" s="4" t="s">
        <v>23551</v>
      </c>
      <c r="AE19328" s="4" t="str">
        <f>HYPERLINK("#SCAP!A"&amp;_xlfn.XMATCH("2+",SCAP!A:A,2,1),"2+")</f>
        <v>2+</v>
      </c>
      <c r="AG19328" s="4" t="str">
        <f>HYPERLINK("#SCAP!A"&amp;_xlfn.XMATCH("2+",SCAP!A:A,2,1),"2+")</f>
        <v>2+</v>
      </c>
      <c r="AH19328" s="4" t="str">
        <f>HYPERLINK("#Statut_biogéographique!A"&amp;_xlfn.XMATCH("P",Statut_biogéographique!A:A,2,1),"P")</f>
        <v>P</v>
      </c>
      <c r="AM19328" s="4" t="s">
        <v>382</v>
      </c>
      <c r="AN19328" s="4" t="s">
        <v>382</v>
      </c>
      <c r="AO19328" s="4" t="s">
        <v>382</v>
      </c>
      <c r="AP19328" s="4" t="s">
        <v>389</v>
      </c>
      <c r="AR19328" s="4" t="s">
        <v>377</v>
      </c>
    </row>
    <row r="19329" spans="1:44">
      <c r="A19329" s="4" t="s">
        <v>117</v>
      </c>
      <c r="B19329" s="4">
        <v>2651</v>
      </c>
      <c r="D19329" s="5" t="s">
        <v>23609</v>
      </c>
      <c r="E19329" s="6" t="str">
        <f>HYPERLINK("https://inpn.mnhn.fr/espece/cd_nom/2651","Hieraaetus pennatus (Gmelin, 1788)")</f>
        <v>Hieraaetus pennatus (Gmelin, 1788)</v>
      </c>
      <c r="F19329" s="5" t="s">
        <v>23610</v>
      </c>
      <c r="G19329" s="4" t="str">
        <f>HYPERLINK("[#Réglementation!A"&amp;_xlfn.XMATCH("CCA",Réglementation!A:A,2,1),"CCA")</f>
        <v>CCA</v>
      </c>
      <c r="H19329" s="4" t="str">
        <f>HYPERLINK("#Réglementation!A"&amp;_xlfn.XMATCH("IBO2",Réglementation!A:A,2,1),"IBO2")</f>
        <v>IBO2</v>
      </c>
      <c r="I19329" s="4" t="str">
        <f>HYPERLINK("#Réglementation!A"&amp;_xlfn.XMATCH("IBE3",Réglementation!A:A,2,1),"IBE3")</f>
        <v>IBE3</v>
      </c>
      <c r="J19329" s="4" t="str">
        <f>HYPERLINK("#Réglementation!A"&amp;_xlfn.XMATCH("CDO1",Réglementation!A:A,2,1),"CDO1")</f>
        <v>CDO1</v>
      </c>
      <c r="L19329" s="4" t="str">
        <f>HYPERLINK("#Réglementation!A"&amp;_xlfn.XMATCH("NO3",Réglementation!A:A,2,1),"NO3")</f>
        <v>NO3</v>
      </c>
      <c r="O19329" s="7" t="str">
        <f>HYPERLINK("#Liste_rouge!A"&amp;_xlfn.XMATCH("LC",Liste_rouge!A:A,2,1),"LC")</f>
        <v>LC</v>
      </c>
      <c r="P19329" s="7" t="str">
        <f>HYPERLINK("#Liste_rouge!A"&amp;_xlfn.XMATCH("LC",Liste_rouge!A:A,2,1),"LC")</f>
        <v>LC</v>
      </c>
      <c r="Q19329" s="7" t="str">
        <f>HYPERLINK("#Liste_rouge!A"&amp;_xlfn.XMATCH("NT",Liste_rouge!A:A,2,1),"NT")</f>
        <v>NT</v>
      </c>
      <c r="R19329" s="7" t="str">
        <f>HYPERLINK("#Liste_rouge!A"&amp;_xlfn.XMATCH("NA",Liste_rouge!A:A,2,1),"NA")</f>
        <v>NA</v>
      </c>
      <c r="T19329" s="7" t="str">
        <f>HYPERLINK("#Liste_rouge!A"&amp;_xlfn.XMATCH("EN",Liste_rouge!A:A,2,1),"EN")</f>
        <v>EN</v>
      </c>
      <c r="U19329" s="4" t="str">
        <f>HYPERLINK("#Critères_liste_rouge!A$1","D1")</f>
        <v>D1</v>
      </c>
      <c r="X19329" s="5" t="s">
        <v>374</v>
      </c>
      <c r="AE19329" s="4" t="str">
        <f>HYPERLINK("#SCAP!A"&amp;_xlfn.XMATCH("1+",SCAP!A:A,2,1),"1+")</f>
        <v>1+</v>
      </c>
      <c r="AF19329" s="4" t="str">
        <f>HYPERLINK("#SCAP!A"&amp;_xlfn.XMATCH("2+",SCAP!A:A,2,1),"2+")</f>
        <v>2+</v>
      </c>
      <c r="AH19329" s="4" t="str">
        <f>HYPERLINK("#Statut_biogéographique!A"&amp;_xlfn.XMATCH("P",Statut_biogéographique!A:A,2,1),"P")</f>
        <v>P</v>
      </c>
      <c r="AM19329" s="4" t="s">
        <v>375</v>
      </c>
      <c r="AN19329" s="4" t="s">
        <v>382</v>
      </c>
      <c r="AO19329" s="4" t="s">
        <v>382</v>
      </c>
      <c r="AP19329" s="4" t="s">
        <v>376</v>
      </c>
      <c r="AR19329" s="4" t="s">
        <v>377</v>
      </c>
    </row>
    <row r="19330" spans="1:44">
      <c r="A19330" s="4" t="s">
        <v>117</v>
      </c>
      <c r="B19330" s="4">
        <v>2657</v>
      </c>
      <c r="D19330" s="5" t="s">
        <v>23611</v>
      </c>
      <c r="E19330" s="6" t="str">
        <f>HYPERLINK("https://inpn.mnhn.fr/espece/cd_nom/2657","Aquila fasciata Vieillot, 1822")</f>
        <v>Aquila fasciata Vieillot, 1822</v>
      </c>
      <c r="F19330" s="5" t="s">
        <v>23612</v>
      </c>
      <c r="G19330" s="4" t="str">
        <f>HYPERLINK("[#Réglementation!A"&amp;_xlfn.XMATCH("CCA",Réglementation!A:A,2,1),"CCA")</f>
        <v>CCA</v>
      </c>
      <c r="H19330" s="4" t="str">
        <f>HYPERLINK("#Réglementation!A"&amp;_xlfn.XMATCH("IBO2",Réglementation!A:A,2,1),"IBO2")</f>
        <v>IBO2</v>
      </c>
      <c r="I19330" s="4" t="str">
        <f>HYPERLINK("#Réglementation!A"&amp;_xlfn.XMATCH("IBE3",Réglementation!A:A,2,1),"IBE3")</f>
        <v>IBE3</v>
      </c>
      <c r="J19330" s="4" t="str">
        <f>HYPERLINK("#Réglementation!A"&amp;_xlfn.XMATCH("CDO1",Réglementation!A:A,2,1),"CDO1")</f>
        <v>CDO1</v>
      </c>
      <c r="L19330" s="4" t="str">
        <f>HYPERLINK("#Réglementation!A"&amp;_xlfn.XMATCH("NO3",Réglementation!A:A,2,1),"NO3 - NM")</f>
        <v>NO3 - NM</v>
      </c>
      <c r="O19330" s="7" t="str">
        <f>HYPERLINK("#Liste_rouge!A"&amp;_xlfn.XMATCH("LC",Liste_rouge!A:A,2,1),"LC")</f>
        <v>LC</v>
      </c>
      <c r="P19330" s="7" t="str">
        <f>HYPERLINK("#Liste_rouge!A"&amp;_xlfn.XMATCH("LC",Liste_rouge!A:A,2,1),"LC")</f>
        <v>LC</v>
      </c>
      <c r="Q19330" s="7" t="str">
        <f>HYPERLINK("#Liste_rouge!A"&amp;_xlfn.XMATCH("EN",Liste_rouge!A:A,2,1),"EN")</f>
        <v>EN</v>
      </c>
      <c r="AE19330" s="4" t="str">
        <f>HYPERLINK("#SCAP!A"&amp;_xlfn.XMATCH("3",SCAP!A:A,2,1),"3")</f>
        <v>3</v>
      </c>
      <c r="AH19330" s="4" t="str">
        <f>HYPERLINK("#Statut_biogéographique!A"&amp;_xlfn.XMATCH("P",Statut_biogéographique!A:A,2,1),"P")</f>
        <v>P</v>
      </c>
      <c r="AI19330" s="8" t="s">
        <v>23613</v>
      </c>
      <c r="AJ19330" s="4" t="s">
        <v>23614</v>
      </c>
      <c r="AM19330" s="4" t="s">
        <v>375</v>
      </c>
      <c r="AN19330" s="4" t="s">
        <v>375</v>
      </c>
      <c r="AO19330" s="4" t="s">
        <v>375</v>
      </c>
      <c r="AP19330" s="4" t="s">
        <v>376</v>
      </c>
      <c r="AQ19330" s="4" t="s">
        <v>377</v>
      </c>
      <c r="AR19330" s="4" t="s">
        <v>377</v>
      </c>
    </row>
    <row r="19331" spans="1:44" ht="30">
      <c r="A19331" s="4" t="s">
        <v>117</v>
      </c>
      <c r="B19331" s="4">
        <v>2660</v>
      </c>
      <c r="D19331" s="5" t="s">
        <v>23615</v>
      </c>
      <c r="E19331" s="6" t="str">
        <f>HYPERLINK("https://inpn.mnhn.fr/espece/cd_nom/2660","Pandion haliaetus (Linnaeus, 1758)")</f>
        <v>Pandion haliaetus (Linnaeus, 1758)</v>
      </c>
      <c r="F19331" s="5" t="s">
        <v>23616</v>
      </c>
      <c r="G19331" s="4" t="str">
        <f>HYPERLINK("[#Réglementation!A"&amp;_xlfn.XMATCH("CCA",Réglementation!A:A,2,1),"CCA")</f>
        <v>CCA</v>
      </c>
      <c r="H19331" s="4" t="str">
        <f>HYPERLINK("#Réglementation!A"&amp;_xlfn.XMATCH("IBO2",Réglementation!A:A,2,1),"IBO2")</f>
        <v>IBO2</v>
      </c>
      <c r="I19331" s="4" t="str">
        <f>HYPERLINK("#Réglementation!A"&amp;_xlfn.XMATCH("IBE3",Réglementation!A:A,2,1),"IBE3")</f>
        <v>IBE3</v>
      </c>
      <c r="J19331" s="4" t="str">
        <f>HYPERLINK("#Réglementation!A"&amp;_xlfn.XMATCH("CDO1",Réglementation!A:A,2,1),"CDO1")</f>
        <v>CDO1</v>
      </c>
      <c r="L19331" s="4" t="str">
        <f>HYPERLINK("#Réglementation!A"&amp;_xlfn.XMATCH("NO3",Réglementation!A:A,2,1),"NO3")</f>
        <v>NO3</v>
      </c>
      <c r="O19331" s="7" t="str">
        <f>HYPERLINK("#Liste_rouge!A"&amp;_xlfn.XMATCH("LC",Liste_rouge!A:A,2,1),"LC")</f>
        <v>LC</v>
      </c>
      <c r="P19331" s="7" t="str">
        <f>HYPERLINK("#Liste_rouge!A"&amp;_xlfn.XMATCH("LC",Liste_rouge!A:A,2,1),"LC")</f>
        <v>LC</v>
      </c>
      <c r="Q19331" s="7" t="str">
        <f>HYPERLINK("#Liste_rouge!A"&amp;_xlfn.XMATCH("VU",Liste_rouge!A:A,2,1),"VU")</f>
        <v>VU</v>
      </c>
      <c r="R19331" s="7" t="str">
        <f>HYPERLINK("#Liste_rouge!A"&amp;_xlfn.XMATCH("NA",Liste_rouge!A:A,2,1),"NA")</f>
        <v>NA</v>
      </c>
      <c r="S19331" s="7" t="str">
        <f>HYPERLINK("#Liste_rouge!A"&amp;_xlfn.XMATCH("LC",Liste_rouge!A:A,2,1),"LC")</f>
        <v>LC</v>
      </c>
      <c r="T19331" s="7" t="str">
        <f>HYPERLINK("#Liste_rouge!A"&amp;_xlfn.XMATCH("NA",Liste_rouge!A:A,2,1),"NA")</f>
        <v>NA</v>
      </c>
      <c r="U19331" s="4" t="str">
        <f>HYPERLINK("#Critères_liste_rouge!A$1","b")</f>
        <v>b</v>
      </c>
      <c r="X19331" s="5" t="s">
        <v>23442</v>
      </c>
      <c r="Y19331" s="5" t="s">
        <v>23583</v>
      </c>
      <c r="AE19331" s="4" t="str">
        <f>HYPERLINK("#SCAP!A"&amp;_xlfn.XMATCH("1-",SCAP!A:A,2,1),"1-")</f>
        <v>1-</v>
      </c>
      <c r="AF19331" s="4" t="str">
        <f>HYPERLINK("#SCAP!A"&amp;_xlfn.XMATCH("NP",SCAP!A:A,2,1),"NP")</f>
        <v>NP</v>
      </c>
      <c r="AH19331" s="4" t="str">
        <f>HYPERLINK("#Statut_biogéographique!A"&amp;_xlfn.XMATCH("P",Statut_biogéographique!A:A,2,1),"P")</f>
        <v>P</v>
      </c>
      <c r="AI19331" s="8" t="s">
        <v>23617</v>
      </c>
      <c r="AJ19331" s="4" t="s">
        <v>23618</v>
      </c>
      <c r="AM19331" s="4" t="s">
        <v>382</v>
      </c>
      <c r="AN19331" s="4" t="s">
        <v>382</v>
      </c>
      <c r="AO19331" s="4" t="s">
        <v>382</v>
      </c>
      <c r="AP19331" s="4" t="s">
        <v>389</v>
      </c>
      <c r="AR19331" s="4" t="s">
        <v>377</v>
      </c>
    </row>
    <row r="19332" spans="1:44">
      <c r="A19332" s="4" t="s">
        <v>117</v>
      </c>
      <c r="B19332" s="4">
        <v>2666</v>
      </c>
      <c r="D19332" s="5" t="s">
        <v>23619</v>
      </c>
      <c r="E19332" s="6" t="str">
        <f>HYPERLINK("https://inpn.mnhn.fr/espece/cd_nom/2666","Falco naumanni Fleischer, 1818")</f>
        <v>Falco naumanni Fleischer, 1818</v>
      </c>
      <c r="F19332" s="5" t="s">
        <v>23620</v>
      </c>
      <c r="G19332" s="4" t="str">
        <f>HYPERLINK("[#Réglementation!A"&amp;_xlfn.XMATCH("CCA",Réglementation!A:A,2,1),"CCA")</f>
        <v>CCA</v>
      </c>
      <c r="H19332" s="4" t="str">
        <f>HYPERLINK("#Réglementation!A"&amp;_xlfn.XMATCH("IBO1",Réglementation!A:A,2,1),"IBO1 - IBO2")</f>
        <v>IBO1 - IBO2</v>
      </c>
      <c r="I19332" s="4" t="str">
        <f>HYPERLINK("#Réglementation!A"&amp;_xlfn.XMATCH("IBE2",Réglementation!A:A,2,1),"IBE2")</f>
        <v>IBE2</v>
      </c>
      <c r="J19332" s="4" t="str">
        <f>HYPERLINK("#Réglementation!A"&amp;_xlfn.XMATCH("CDO1",Réglementation!A:A,2,1),"CDO1")</f>
        <v>CDO1</v>
      </c>
      <c r="L19332" s="4" t="str">
        <f>HYPERLINK("#Réglementation!A"&amp;_xlfn.XMATCH("NO3",Réglementation!A:A,2,1),"NO3 - NM")</f>
        <v>NO3 - NM</v>
      </c>
      <c r="O19332" s="7" t="str">
        <f>HYPERLINK("#Liste_rouge!A"&amp;_xlfn.XMATCH("LC",Liste_rouge!A:A,2,1),"LC")</f>
        <v>LC</v>
      </c>
      <c r="P19332" s="7" t="str">
        <f>HYPERLINK("#Liste_rouge!A"&amp;_xlfn.XMATCH("LC",Liste_rouge!A:A,2,1),"LC")</f>
        <v>LC</v>
      </c>
      <c r="Q19332" s="7" t="str">
        <f>HYPERLINK("#Liste_rouge!A"&amp;_xlfn.XMATCH("VU",Liste_rouge!A:A,2,1),"VU")</f>
        <v>VU</v>
      </c>
      <c r="S19332" s="7" t="str">
        <f>HYPERLINK("#Liste_rouge!A"&amp;_xlfn.XMATCH("NA",Liste_rouge!A:A,2,1),"NA")</f>
        <v>NA</v>
      </c>
      <c r="AE19332" s="4" t="str">
        <f>HYPERLINK("#SCAP!A"&amp;_xlfn.XMATCH("3",SCAP!A:A,2,1),"3")</f>
        <v>3</v>
      </c>
      <c r="AH19332" s="4" t="str">
        <f>HYPERLINK("#Statut_biogéographique!A"&amp;_xlfn.XMATCH("P",Statut_biogéographique!A:A,2,1),"P")</f>
        <v>P</v>
      </c>
      <c r="AI19332" s="8" t="s">
        <v>23621</v>
      </c>
      <c r="AJ19332" s="4" t="s">
        <v>23622</v>
      </c>
      <c r="AP19332" s="4" t="s">
        <v>376</v>
      </c>
      <c r="AQ19332" s="4" t="s">
        <v>377</v>
      </c>
      <c r="AR19332" s="4" t="s">
        <v>377</v>
      </c>
    </row>
    <row r="19333" spans="1:44">
      <c r="A19333" s="4" t="s">
        <v>117</v>
      </c>
      <c r="B19333" s="4">
        <v>2669</v>
      </c>
      <c r="D19333" s="5" t="s">
        <v>23623</v>
      </c>
      <c r="E19333" s="6" t="str">
        <f>HYPERLINK("https://inpn.mnhn.fr/espece/cd_nom/2669","Falco tinnunculus Linnaeus, 1758")</f>
        <v>Falco tinnunculus Linnaeus, 1758</v>
      </c>
      <c r="F19333" s="5" t="s">
        <v>23624</v>
      </c>
      <c r="G19333" s="4" t="str">
        <f>HYPERLINK("[#Réglementation!A"&amp;_xlfn.XMATCH("CCA",Réglementation!A:A,2,1),"CCA")</f>
        <v>CCA</v>
      </c>
      <c r="H19333" s="4" t="str">
        <f>HYPERLINK("#Réglementation!A"&amp;_xlfn.XMATCH("IBO2",Réglementation!A:A,2,1),"IBO2")</f>
        <v>IBO2</v>
      </c>
      <c r="I19333" s="4" t="str">
        <f>HYPERLINK("#Réglementation!A"&amp;_xlfn.XMATCH("IBE2",Réglementation!A:A,2,1),"IBE2")</f>
        <v>IBE2</v>
      </c>
      <c r="L19333" s="4" t="str">
        <f>HYPERLINK("#Réglementation!A"&amp;_xlfn.XMATCH("NO3",Réglementation!A:A,2,1),"NO3")</f>
        <v>NO3</v>
      </c>
      <c r="O19333" s="7" t="str">
        <f>HYPERLINK("#Liste_rouge!A"&amp;_xlfn.XMATCH("LC",Liste_rouge!A:A,2,1),"LC")</f>
        <v>LC</v>
      </c>
      <c r="P19333" s="7" t="str">
        <f>HYPERLINK("#Liste_rouge!A"&amp;_xlfn.XMATCH("LC",Liste_rouge!A:A,2,1),"LC")</f>
        <v>LC</v>
      </c>
      <c r="Q19333" s="7" t="str">
        <f>HYPERLINK("#Liste_rouge!A"&amp;_xlfn.XMATCH("NT",Liste_rouge!A:A,2,1),"NT")</f>
        <v>NT</v>
      </c>
      <c r="R19333" s="7" t="str">
        <f>HYPERLINK("#Liste_rouge!A"&amp;_xlfn.XMATCH("NA",Liste_rouge!A:A,2,1),"NA")</f>
        <v>NA</v>
      </c>
      <c r="S19333" s="7" t="str">
        <f>HYPERLINK("#Liste_rouge!A"&amp;_xlfn.XMATCH("NA",Liste_rouge!A:A,2,1),"NA")</f>
        <v>NA</v>
      </c>
      <c r="T19333" s="7" t="str">
        <f>HYPERLINK("#Liste_rouge!A"&amp;_xlfn.XMATCH("LC",Liste_rouge!A:A,2,1),"LC")</f>
        <v>LC</v>
      </c>
      <c r="V19333" s="7" t="str">
        <f>HYPERLINK("#Liste_rouge!A"&amp;_xlfn.XMATCH("LC",Liste_rouge!A:A,2,1),"LC")</f>
        <v>LC</v>
      </c>
      <c r="AH19333" s="4" t="str">
        <f>HYPERLINK("#Statut_biogéographique!A"&amp;_xlfn.XMATCH("P",Statut_biogéographique!A:A,2,1),"P")</f>
        <v>P</v>
      </c>
      <c r="AM19333" s="4" t="s">
        <v>375</v>
      </c>
      <c r="AN19333" s="4" t="s">
        <v>375</v>
      </c>
      <c r="AO19333" s="4" t="s">
        <v>375</v>
      </c>
      <c r="AP19333" s="4" t="s">
        <v>376</v>
      </c>
      <c r="AR19333" s="4" t="s">
        <v>377</v>
      </c>
    </row>
    <row r="19334" spans="1:44">
      <c r="A19334" s="4" t="s">
        <v>117</v>
      </c>
      <c r="B19334" s="4">
        <v>2672</v>
      </c>
      <c r="D19334" s="5">
        <v>2672</v>
      </c>
      <c r="E19334" s="6" t="str">
        <f>HYPERLINK("https://inpn.mnhn.fr/espece/cd_nom/2672","Falco cherrug Gray, 1834")</f>
        <v>Falco cherrug Gray, 1834</v>
      </c>
      <c r="F19334" s="5" t="s">
        <v>23625</v>
      </c>
      <c r="G19334" s="4" t="str">
        <f>HYPERLINK("[#Réglementation!A"&amp;_xlfn.XMATCH("CCA",Réglementation!A:A,2,1),"CCA")</f>
        <v>CCA</v>
      </c>
      <c r="H19334" s="4" t="str">
        <f>HYPERLINK("#Réglementation!A"&amp;_xlfn.XMATCH("IBO1",Réglementation!A:A,2,1),"IBO1 - IBO2")</f>
        <v>IBO1 - IBO2</v>
      </c>
      <c r="I19334" s="4" t="str">
        <f>HYPERLINK("#Réglementation!A"&amp;_xlfn.XMATCH("IBE2",Réglementation!A:A,2,1),"IBE2")</f>
        <v>IBE2</v>
      </c>
      <c r="J19334" s="4" t="str">
        <f>HYPERLINK("#Réglementation!A"&amp;_xlfn.XMATCH("CDO1",Réglementation!A:A,2,1),"CDO1")</f>
        <v>CDO1</v>
      </c>
      <c r="L19334" s="4" t="str">
        <f>HYPERLINK("#Réglementation!A"&amp;_xlfn.XMATCH("NO4",Réglementation!A:A,2,1),"NO4")</f>
        <v>NO4</v>
      </c>
      <c r="O19334" s="7" t="str">
        <f>HYPERLINK("#Liste_rouge!A"&amp;_xlfn.XMATCH("EN",Liste_rouge!A:A,2,1),"EN")</f>
        <v>EN</v>
      </c>
      <c r="P19334" s="7" t="str">
        <f>HYPERLINK("#Liste_rouge!A"&amp;_xlfn.XMATCH("EN",Liste_rouge!A:A,2,1),"EN")</f>
        <v>EN</v>
      </c>
      <c r="S19334" s="7" t="str">
        <f>HYPERLINK("#Liste_rouge!A"&amp;_xlfn.XMATCH("NA",Liste_rouge!A:A,2,1),"NA")</f>
        <v>NA</v>
      </c>
      <c r="AH19334" s="4" t="str">
        <f>HYPERLINK("#Statut_biogéographique!A"&amp;_xlfn.XMATCH("P",Statut_biogéographique!A:A,2,1),"P")</f>
        <v>P</v>
      </c>
      <c r="AL19334" s="5" t="str">
        <f>HYPERLINK("#Réglementation!A"&amp;_xlfn.XMATCH("UEintro",Réglementation!A:A,2,1),"UEintro")</f>
        <v>UEintro</v>
      </c>
      <c r="AM19334" s="4" t="s">
        <v>375</v>
      </c>
      <c r="AN19334" s="4" t="s">
        <v>375</v>
      </c>
      <c r="AO19334" s="4" t="s">
        <v>375</v>
      </c>
      <c r="AP19334" s="4" t="s">
        <v>376</v>
      </c>
      <c r="AR19334" s="4" t="s">
        <v>377</v>
      </c>
    </row>
    <row r="19335" spans="1:44">
      <c r="A19335" s="4" t="s">
        <v>117</v>
      </c>
      <c r="B19335" s="4">
        <v>2674</v>
      </c>
      <c r="D19335" s="5">
        <v>2674</v>
      </c>
      <c r="E19335" s="6" t="str">
        <f>HYPERLINK("https://inpn.mnhn.fr/espece/cd_nom/2674","Falco vespertinus Linnaeus, 1766")</f>
        <v>Falco vespertinus Linnaeus, 1766</v>
      </c>
      <c r="F19335" s="5" t="s">
        <v>23626</v>
      </c>
      <c r="G19335" s="4" t="str">
        <f>HYPERLINK("[#Réglementation!A"&amp;_xlfn.XMATCH("CCA",Réglementation!A:A,2,1),"CCA")</f>
        <v>CCA</v>
      </c>
      <c r="H19335" s="4" t="str">
        <f>HYPERLINK("#Réglementation!A"&amp;_xlfn.XMATCH("IBO1",Réglementation!A:A,2,1),"IBO1 - IBO2")</f>
        <v>IBO1 - IBO2</v>
      </c>
      <c r="I19335" s="4" t="str">
        <f>HYPERLINK("#Réglementation!A"&amp;_xlfn.XMATCH("IBE2",Réglementation!A:A,2,1),"IBE2")</f>
        <v>IBE2</v>
      </c>
      <c r="J19335" s="4" t="str">
        <f>HYPERLINK("#Réglementation!A"&amp;_xlfn.XMATCH("CDO1",Réglementation!A:A,2,1),"CDO1")</f>
        <v>CDO1</v>
      </c>
      <c r="L19335" s="4" t="str">
        <f>HYPERLINK("#Réglementation!A"&amp;_xlfn.XMATCH("NO3",Réglementation!A:A,2,1),"NO3")</f>
        <v>NO3</v>
      </c>
      <c r="O19335" s="7" t="str">
        <f>HYPERLINK("#Liste_rouge!A"&amp;_xlfn.XMATCH("VU",Liste_rouge!A:A,2,1),"VU")</f>
        <v>VU</v>
      </c>
      <c r="P19335" s="7" t="str">
        <f>HYPERLINK("#Liste_rouge!A"&amp;_xlfn.XMATCH("VU",Liste_rouge!A:A,2,1),"VU")</f>
        <v>VU</v>
      </c>
      <c r="Q19335" s="7" t="str">
        <f>HYPERLINK("#Liste_rouge!A"&amp;_xlfn.XMATCH("NA",Liste_rouge!A:A,2,1),"NA")</f>
        <v>NA</v>
      </c>
      <c r="S19335" s="7" t="str">
        <f>HYPERLINK("#Liste_rouge!A"&amp;_xlfn.XMATCH("NA",Liste_rouge!A:A,2,1),"NA")</f>
        <v>NA</v>
      </c>
      <c r="AH19335" s="4" t="str">
        <f>HYPERLINK("#Statut_biogéographique!A"&amp;_xlfn.XMATCH("P",Statut_biogéographique!A:A,2,1),"P")</f>
        <v>P</v>
      </c>
      <c r="AM19335" s="4" t="s">
        <v>375</v>
      </c>
      <c r="AN19335" s="4" t="s">
        <v>375</v>
      </c>
      <c r="AO19335" s="4" t="s">
        <v>375</v>
      </c>
      <c r="AP19335" s="4" t="s">
        <v>376</v>
      </c>
      <c r="AR19335" s="4" t="s">
        <v>377</v>
      </c>
    </row>
    <row r="19336" spans="1:44" ht="60">
      <c r="A19336" s="4" t="s">
        <v>117</v>
      </c>
      <c r="B19336" s="4">
        <v>2676</v>
      </c>
      <c r="D19336" s="5" t="s">
        <v>23627</v>
      </c>
      <c r="E19336" s="6" t="str">
        <f>HYPERLINK("https://inpn.mnhn.fr/espece/cd_nom/2676","Falco columbarius Linnaeus, 1758")</f>
        <v>Falco columbarius Linnaeus, 1758</v>
      </c>
      <c r="F19336" s="5" t="s">
        <v>23628</v>
      </c>
      <c r="G19336" s="4" t="str">
        <f>HYPERLINK("[#Réglementation!A"&amp;_xlfn.XMATCH("CCA",Réglementation!A:A,2,1),"CCA")</f>
        <v>CCA</v>
      </c>
      <c r="H19336" s="4" t="str">
        <f>HYPERLINK("#Réglementation!A"&amp;_xlfn.XMATCH("IBO2",Réglementation!A:A,2,1),"IBO2")</f>
        <v>IBO2</v>
      </c>
      <c r="I19336" s="4" t="str">
        <f>HYPERLINK("#Réglementation!A"&amp;_xlfn.XMATCH("IBE2",Réglementation!A:A,2,1),"IBE2")</f>
        <v>IBE2</v>
      </c>
      <c r="J19336" s="4" t="str">
        <f>HYPERLINK("#Réglementation!A"&amp;_xlfn.XMATCH("CDO1",Réglementation!A:A,2,1),"CDO1")</f>
        <v>CDO1</v>
      </c>
      <c r="L19336" s="4" t="str">
        <f>HYPERLINK("#Réglementation!A"&amp;_xlfn.XMATCH("NO3",Réglementation!A:A,2,1),"NO3")</f>
        <v>NO3</v>
      </c>
      <c r="O19336" s="7" t="str">
        <f>HYPERLINK("#Liste_rouge!A"&amp;_xlfn.XMATCH("LC",Liste_rouge!A:A,2,1),"LC")</f>
        <v>LC</v>
      </c>
      <c r="P19336" s="7" t="str">
        <f>HYPERLINK("#Liste_rouge!A"&amp;_xlfn.XMATCH("VU",Liste_rouge!A:A,2,1),"VU")</f>
        <v>VU</v>
      </c>
      <c r="R19336" s="7" t="str">
        <f>HYPERLINK("#Liste_rouge!A"&amp;_xlfn.XMATCH("DD",Liste_rouge!A:A,2,1),"DD")</f>
        <v>DD</v>
      </c>
      <c r="S19336" s="7" t="str">
        <f>HYPERLINK("#Liste_rouge!A"&amp;_xlfn.XMATCH("NA",Liste_rouge!A:A,2,1),"NA")</f>
        <v>NA</v>
      </c>
      <c r="X19336" s="5" t="s">
        <v>23439</v>
      </c>
      <c r="Y19336" s="5" t="s">
        <v>23629</v>
      </c>
      <c r="AE19336" s="4" t="str">
        <f>HYPERLINK("#SCAP!A"&amp;_xlfn.XMATCH("1+",SCAP!A:A,2,1),"1+")</f>
        <v>1+</v>
      </c>
      <c r="AG19336" s="4" t="str">
        <f>HYPERLINK("#SCAP!A"&amp;_xlfn.XMATCH("1-",SCAP!A:A,2,1),"1-")</f>
        <v>1-</v>
      </c>
      <c r="AH19336" s="4" t="str">
        <f>HYPERLINK("#Statut_biogéographique!A"&amp;_xlfn.XMATCH("P",Statut_biogéographique!A:A,2,1),"P")</f>
        <v>P</v>
      </c>
      <c r="AM19336" s="4" t="s">
        <v>375</v>
      </c>
      <c r="AN19336" s="4" t="s">
        <v>375</v>
      </c>
      <c r="AO19336" s="4" t="s">
        <v>375</v>
      </c>
      <c r="AP19336" s="4" t="s">
        <v>389</v>
      </c>
      <c r="AR19336" s="4" t="s">
        <v>377</v>
      </c>
    </row>
    <row r="19337" spans="1:44">
      <c r="A19337" s="4" t="s">
        <v>117</v>
      </c>
      <c r="B19337" s="4">
        <v>2679</v>
      </c>
      <c r="D19337" s="5">
        <v>2679</v>
      </c>
      <c r="E19337" s="6" t="str">
        <f>HYPERLINK("https://inpn.mnhn.fr/espece/cd_nom/2679","Falco subbuteo Linnaeus, 1758")</f>
        <v>Falco subbuteo Linnaeus, 1758</v>
      </c>
      <c r="F19337" s="5" t="s">
        <v>23630</v>
      </c>
      <c r="G19337" s="4" t="str">
        <f>HYPERLINK("[#Réglementation!A"&amp;_xlfn.XMATCH("CCA",Réglementation!A:A,2,1),"CCA")</f>
        <v>CCA</v>
      </c>
      <c r="H19337" s="4" t="str">
        <f>HYPERLINK("#Réglementation!A"&amp;_xlfn.XMATCH("IBO2",Réglementation!A:A,2,1),"IBO2")</f>
        <v>IBO2</v>
      </c>
      <c r="I19337" s="4" t="str">
        <f>HYPERLINK("#Réglementation!A"&amp;_xlfn.XMATCH("IBE2",Réglementation!A:A,2,1),"IBE2")</f>
        <v>IBE2</v>
      </c>
      <c r="L19337" s="4" t="str">
        <f>HYPERLINK("#Réglementation!A"&amp;_xlfn.XMATCH("NO3",Réglementation!A:A,2,1),"NO3")</f>
        <v>NO3</v>
      </c>
      <c r="O19337" s="7" t="str">
        <f>HYPERLINK("#Liste_rouge!A"&amp;_xlfn.XMATCH("LC",Liste_rouge!A:A,2,1),"LC")</f>
        <v>LC</v>
      </c>
      <c r="P19337" s="7" t="str">
        <f>HYPERLINK("#Liste_rouge!A"&amp;_xlfn.XMATCH("LC",Liste_rouge!A:A,2,1),"LC")</f>
        <v>LC</v>
      </c>
      <c r="Q19337" s="7" t="str">
        <f>HYPERLINK("#Liste_rouge!A"&amp;_xlfn.XMATCH("LC",Liste_rouge!A:A,2,1),"LC")</f>
        <v>LC</v>
      </c>
      <c r="S19337" s="7" t="str">
        <f>HYPERLINK("#Liste_rouge!A"&amp;_xlfn.XMATCH("NA",Liste_rouge!A:A,2,1),"NA")</f>
        <v>NA</v>
      </c>
      <c r="T19337" s="7" t="str">
        <f>HYPERLINK("#Liste_rouge!A"&amp;_xlfn.XMATCH("LC",Liste_rouge!A:A,2,1),"LC")</f>
        <v>LC</v>
      </c>
      <c r="V19337" s="7" t="str">
        <f>HYPERLINK("#Liste_rouge!A"&amp;_xlfn.XMATCH("LC",Liste_rouge!A:A,2,1),"LC")</f>
        <v>LC</v>
      </c>
      <c r="W19337" s="4" t="str">
        <f>HYPERLINK("#Critères_liste_rouge!A$1","NT (pr. D1) (-1)")</f>
        <v>NT (pr. D1) (-1)</v>
      </c>
      <c r="AH19337" s="4" t="str">
        <f>HYPERLINK("#Statut_biogéographique!A"&amp;_xlfn.XMATCH("P",Statut_biogéographique!A:A,2,1),"P")</f>
        <v>P</v>
      </c>
      <c r="AM19337" s="4" t="s">
        <v>375</v>
      </c>
      <c r="AN19337" s="4" t="s">
        <v>375</v>
      </c>
      <c r="AO19337" s="4" t="s">
        <v>375</v>
      </c>
      <c r="AP19337" s="4" t="s">
        <v>376</v>
      </c>
      <c r="AR19337" s="4" t="s">
        <v>377</v>
      </c>
    </row>
    <row r="19338" spans="1:44">
      <c r="A19338" s="4" t="s">
        <v>117</v>
      </c>
      <c r="B19338" s="4">
        <v>2681</v>
      </c>
      <c r="D19338" s="5">
        <v>2681</v>
      </c>
      <c r="E19338" s="6" t="str">
        <f>HYPERLINK("https://inpn.mnhn.fr/espece/cd_nom/2681","Falco eleonorae Géné, 1839")</f>
        <v>Falco eleonorae Géné, 1839</v>
      </c>
      <c r="F19338" s="5" t="s">
        <v>23631</v>
      </c>
      <c r="G19338" s="4" t="str">
        <f>HYPERLINK("[#Réglementation!A"&amp;_xlfn.XMATCH("CCA",Réglementation!A:A,2,1),"CCA")</f>
        <v>CCA</v>
      </c>
      <c r="H19338" s="4" t="str">
        <f>HYPERLINK("#Réglementation!A"&amp;_xlfn.XMATCH("IBO2",Réglementation!A:A,2,1),"IBO2")</f>
        <v>IBO2</v>
      </c>
      <c r="I19338" s="4" t="str">
        <f>HYPERLINK("#Réglementation!A"&amp;_xlfn.XMATCH("IBE2",Réglementation!A:A,2,1),"IBE2")</f>
        <v>IBE2</v>
      </c>
      <c r="J19338" s="4" t="str">
        <f>HYPERLINK("#Réglementation!A"&amp;_xlfn.XMATCH("CDO1",Réglementation!A:A,2,1),"CDO1")</f>
        <v>CDO1</v>
      </c>
      <c r="L19338" s="4" t="str">
        <f>HYPERLINK("#Réglementation!A"&amp;_xlfn.XMATCH("NO3",Réglementation!A:A,2,1),"NO3")</f>
        <v>NO3</v>
      </c>
      <c r="O19338" s="7" t="str">
        <f>HYPERLINK("#Liste_rouge!A"&amp;_xlfn.XMATCH("LC",Liste_rouge!A:A,2,1),"LC")</f>
        <v>LC</v>
      </c>
      <c r="P19338" s="7" t="str">
        <f>HYPERLINK("#Liste_rouge!A"&amp;_xlfn.XMATCH("LC",Liste_rouge!A:A,2,1),"LC")</f>
        <v>LC</v>
      </c>
      <c r="S19338" s="7" t="str">
        <f>HYPERLINK("#Liste_rouge!A"&amp;_xlfn.XMATCH("NA",Liste_rouge!A:A,2,1),"NA")</f>
        <v>NA</v>
      </c>
      <c r="AH19338" s="4" t="str">
        <f>HYPERLINK("#Statut_biogéographique!A"&amp;_xlfn.XMATCH("P",Statut_biogéographique!A:A,2,1),"P")</f>
        <v>P</v>
      </c>
      <c r="AM19338" s="4" t="s">
        <v>375</v>
      </c>
      <c r="AN19338" s="4" t="s">
        <v>375</v>
      </c>
      <c r="AO19338" s="4" t="s">
        <v>375</v>
      </c>
      <c r="AP19338" s="4" t="s">
        <v>376</v>
      </c>
      <c r="AR19338" s="4" t="s">
        <v>377</v>
      </c>
    </row>
    <row r="19339" spans="1:44">
      <c r="A19339" s="4" t="s">
        <v>117</v>
      </c>
      <c r="B19339" s="4">
        <v>2683</v>
      </c>
      <c r="D19339" s="5" t="s">
        <v>23632</v>
      </c>
      <c r="E19339" s="6" t="str">
        <f>HYPERLINK("https://inpn.mnhn.fr/espece/cd_nom/2683","Falco biarmicus Temminck, 1825")</f>
        <v>Falco biarmicus Temminck, 1825</v>
      </c>
      <c r="F19339" s="5" t="s">
        <v>23633</v>
      </c>
      <c r="G19339" s="4" t="str">
        <f>HYPERLINK("[#Réglementation!A"&amp;_xlfn.XMATCH("CCA",Réglementation!A:A,2,1),"CCA")</f>
        <v>CCA</v>
      </c>
      <c r="H19339" s="4" t="str">
        <f>HYPERLINK("#Réglementation!A"&amp;_xlfn.XMATCH("IBO2",Réglementation!A:A,2,1),"IBO2")</f>
        <v>IBO2</v>
      </c>
      <c r="I19339" s="4" t="str">
        <f>HYPERLINK("#Réglementation!A"&amp;_xlfn.XMATCH("IBE2",Réglementation!A:A,2,1),"IBE2")</f>
        <v>IBE2</v>
      </c>
      <c r="J19339" s="4" t="str">
        <f>HYPERLINK("#Réglementation!A"&amp;_xlfn.XMATCH("CDO1",Réglementation!A:A,2,1),"CDO1")</f>
        <v>CDO1</v>
      </c>
      <c r="L19339" s="4" t="str">
        <f>HYPERLINK("#Réglementation!A"&amp;_xlfn.XMATCH("NO4",Réglementation!A:A,2,1),"NO4")</f>
        <v>NO4</v>
      </c>
      <c r="O19339" s="7" t="str">
        <f>HYPERLINK("#Liste_rouge!A"&amp;_xlfn.XMATCH("LC",Liste_rouge!A:A,2,1),"LC")</f>
        <v>LC</v>
      </c>
      <c r="P19339" s="7" t="str">
        <f>HYPERLINK("#Liste_rouge!A"&amp;_xlfn.XMATCH("EN",Liste_rouge!A:A,2,1),"EN")</f>
        <v>EN</v>
      </c>
      <c r="S19339" s="7" t="str">
        <f>HYPERLINK("#Liste_rouge!A"&amp;_xlfn.XMATCH("NA",Liste_rouge!A:A,2,1),"NA")</f>
        <v>NA</v>
      </c>
      <c r="AH19339" s="4" t="str">
        <f>HYPERLINK("#Statut_biogéographique!A"&amp;_xlfn.XMATCH("P",Statut_biogéographique!A:A,2,1),"P")</f>
        <v>P</v>
      </c>
      <c r="AM19339" s="4" t="s">
        <v>375</v>
      </c>
      <c r="AN19339" s="4" t="s">
        <v>375</v>
      </c>
      <c r="AO19339" s="4" t="s">
        <v>375</v>
      </c>
      <c r="AP19339" s="4" t="s">
        <v>376</v>
      </c>
      <c r="AR19339" s="4" t="s">
        <v>377</v>
      </c>
    </row>
    <row r="19340" spans="1:44">
      <c r="A19340" s="4" t="s">
        <v>117</v>
      </c>
      <c r="B19340" s="4">
        <v>2687</v>
      </c>
      <c r="D19340" s="5" t="s">
        <v>23634</v>
      </c>
      <c r="E19340" s="6" t="str">
        <f>HYPERLINK("https://inpn.mnhn.fr/espece/cd_nom/2687","Threskiornis aethiopicus (Latham, 1790)")</f>
        <v>Threskiornis aethiopicus (Latham, 1790)</v>
      </c>
      <c r="F19340" s="5" t="s">
        <v>23635</v>
      </c>
      <c r="G19340" s="4" t="str">
        <f>HYPERLINK("[#Réglementation!A"&amp;_xlfn.XMATCH("CCC",Réglementation!A:A,2,1),"CCC")</f>
        <v>CCC</v>
      </c>
      <c r="H19340" s="4" t="str">
        <f>HYPERLINK("#Réglementation!A"&amp;_xlfn.XMATCH("IBOAE",Réglementation!A:A,2,1),"IBOAE - IBO2")</f>
        <v>IBOAE - IBO2</v>
      </c>
      <c r="I19340" s="4" t="str">
        <f>HYPERLINK("#Réglementation!A"&amp;_xlfn.XMATCH("IBE2",Réglementation!A:A,2,1),"IBE2")</f>
        <v>IBE2</v>
      </c>
      <c r="O19340" s="7" t="str">
        <f>HYPERLINK("#Liste_rouge!A"&amp;_xlfn.XMATCH("LC",Liste_rouge!A:A,2,1),"LC")</f>
        <v>LC</v>
      </c>
      <c r="Q19340" s="7" t="str">
        <f>HYPERLINK("#Liste_rouge!A"&amp;_xlfn.XMATCH("NA",Liste_rouge!A:A,2,1),"NA")</f>
        <v>NA</v>
      </c>
      <c r="AH19340" s="4" t="str">
        <f>HYPERLINK("#Statut_biogéographique!A"&amp;_xlfn.XMATCH("J",Statut_biogéographique!A:A,2,1),"J")</f>
        <v>J</v>
      </c>
      <c r="AL19340" s="5" t="str">
        <f>HYPERLINK("#Réglementation!A"&amp;_xlfn.XMATCH("FRnoEEEA2",Réglementation!A:A,2,1),"FRnoEEEA2 - EEEUE")</f>
        <v>FRnoEEEA2 - EEEUE</v>
      </c>
      <c r="AM19340" s="4" t="s">
        <v>375</v>
      </c>
      <c r="AN19340" s="4" t="s">
        <v>375</v>
      </c>
      <c r="AO19340" s="4" t="s">
        <v>375</v>
      </c>
      <c r="AP19340" s="4" t="s">
        <v>376</v>
      </c>
      <c r="AR19340" s="4" t="s">
        <v>377</v>
      </c>
    </row>
    <row r="19341" spans="1:44">
      <c r="A19341" s="4" t="s">
        <v>117</v>
      </c>
      <c r="B19341" s="4">
        <v>2694</v>
      </c>
      <c r="D19341" s="5" t="s">
        <v>23636</v>
      </c>
      <c r="E19341" s="6" t="str">
        <f>HYPERLINK("https://inpn.mnhn.fr/espece/cd_nom/2694","Phoenicopterus ruber Linnaeus, 1758")</f>
        <v>Phoenicopterus ruber Linnaeus, 1758</v>
      </c>
      <c r="F19341" s="5" t="s">
        <v>23637</v>
      </c>
      <c r="H19341" s="4" t="str">
        <f>HYPERLINK("#Réglementation!A"&amp;_xlfn.XMATCH("IBOAE",Réglementation!A:A,2,1),"IBOAE - IBO2")</f>
        <v>IBOAE - IBO2</v>
      </c>
      <c r="O19341" s="7" t="str">
        <f>HYPERLINK("#Liste_rouge!A"&amp;_xlfn.XMATCH("LC",Liste_rouge!A:A,2,1),"LC")</f>
        <v>LC</v>
      </c>
      <c r="AH19341" s="4" t="str">
        <f>HYPERLINK("#Statut_biogéographique!A"&amp;_xlfn.XMATCH("Q",Statut_biogéographique!A:A,2,1),"Q")</f>
        <v>Q</v>
      </c>
      <c r="AP19341" s="4" t="s">
        <v>376</v>
      </c>
      <c r="AR19341" s="4" t="s">
        <v>377</v>
      </c>
    </row>
    <row r="19342" spans="1:44">
      <c r="A19342" s="4" t="s">
        <v>117</v>
      </c>
      <c r="B19342" s="4">
        <v>2702</v>
      </c>
      <c r="D19342" s="5" t="s">
        <v>23638</v>
      </c>
      <c r="E19342" s="6" t="str">
        <f>HYPERLINK("https://inpn.mnhn.fr/espece/cd_nom/2702","Cygnus atratus (Latham, 1790)")</f>
        <v>Cygnus atratus (Latham, 1790)</v>
      </c>
      <c r="F19342" s="5" t="s">
        <v>23639</v>
      </c>
      <c r="H19342" s="4" t="str">
        <f>HYPERLINK("#Réglementation!A"&amp;_xlfn.XMATCH("IBO2",Réglementation!A:A,2,1),"IBO2")</f>
        <v>IBO2</v>
      </c>
      <c r="I19342" s="4" t="str">
        <f>HYPERLINK("#Réglementation!A"&amp;_xlfn.XMATCH("IBE3",Réglementation!A:A,2,1),"IBE3")</f>
        <v>IBE3</v>
      </c>
      <c r="O19342" s="7" t="str">
        <f>HYPERLINK("#Liste_rouge!A"&amp;_xlfn.XMATCH("LC",Liste_rouge!A:A,2,1),"LC")</f>
        <v>LC</v>
      </c>
      <c r="AH19342" s="4" t="str">
        <f>HYPERLINK("#Statut_biogéographique!A"&amp;_xlfn.XMATCH("I",Statut_biogéographique!A:A,2,1),"I")</f>
        <v>I</v>
      </c>
      <c r="AM19342" s="4" t="s">
        <v>375</v>
      </c>
      <c r="AN19342" s="4" t="s">
        <v>375</v>
      </c>
      <c r="AO19342" s="4" t="s">
        <v>375</v>
      </c>
      <c r="AP19342" s="4" t="s">
        <v>376</v>
      </c>
      <c r="AR19342" s="4" t="s">
        <v>377</v>
      </c>
    </row>
    <row r="19343" spans="1:44">
      <c r="A19343" s="4" t="s">
        <v>117</v>
      </c>
      <c r="B19343" s="4">
        <v>2706</v>
      </c>
      <c r="D19343" s="5" t="s">
        <v>23640</v>
      </c>
      <c r="E19343" s="6" t="str">
        <f>HYPERLINK("https://inpn.mnhn.fr/espece/cd_nom/2706","Cygnus olor (Gmelin, 1789)")</f>
        <v>Cygnus olor (Gmelin, 1789)</v>
      </c>
      <c r="F19343" s="5" t="s">
        <v>23641</v>
      </c>
      <c r="H19343" s="4" t="str">
        <f>HYPERLINK("#Réglementation!A"&amp;_xlfn.XMATCH("IBOAE",Réglementation!A:A,2,1),"IBOAE - IBO2")</f>
        <v>IBOAE - IBO2</v>
      </c>
      <c r="I19343" s="4" t="str">
        <f>HYPERLINK("#Réglementation!A"&amp;_xlfn.XMATCH("IBE3",Réglementation!A:A,2,1),"IBE3")</f>
        <v>IBE3</v>
      </c>
      <c r="J19343" s="4" t="str">
        <f>HYPERLINK("#Réglementation!A"&amp;_xlfn.XMATCH("CDO22",Réglementation!A:A,2,1),"CDO22")</f>
        <v>CDO22</v>
      </c>
      <c r="L19343" s="4" t="str">
        <f>HYPERLINK("#Réglementation!A"&amp;_xlfn.XMATCH("NO3",Réglementation!A:A,2,1),"NO3")</f>
        <v>NO3</v>
      </c>
      <c r="O19343" s="7" t="str">
        <f>HYPERLINK("#Liste_rouge!A"&amp;_xlfn.XMATCH("LC",Liste_rouge!A:A,2,1),"LC")</f>
        <v>LC</v>
      </c>
      <c r="P19343" s="7" t="str">
        <f>HYPERLINK("#Liste_rouge!A"&amp;_xlfn.XMATCH("LC",Liste_rouge!A:A,2,1),"LC")</f>
        <v>LC</v>
      </c>
      <c r="Q19343" s="7" t="str">
        <f>HYPERLINK("#Liste_rouge!A"&amp;_xlfn.XMATCH("LC",Liste_rouge!A:A,2,1),"LC")</f>
        <v>LC</v>
      </c>
      <c r="R19343" s="7" t="str">
        <f>HYPERLINK("#Liste_rouge!A"&amp;_xlfn.XMATCH("NA",Liste_rouge!A:A,2,1),"NA")</f>
        <v>NA</v>
      </c>
      <c r="T19343" s="7" t="str">
        <f>HYPERLINK("#Liste_rouge!A"&amp;_xlfn.XMATCH("NA",Liste_rouge!A:A,2,1),"NA")</f>
        <v>NA</v>
      </c>
      <c r="U19343" s="4" t="str">
        <f>HYPERLINK("#Critères_liste_rouge!A$1","a")</f>
        <v>a</v>
      </c>
      <c r="V19343" s="7" t="str">
        <f>HYPERLINK("#Liste_rouge!A"&amp;_xlfn.XMATCH("NA",Liste_rouge!A:A,2,1),"NA")</f>
        <v>NA</v>
      </c>
      <c r="W19343" s="4" t="str">
        <f>HYPERLINK("#Critères_liste_rouge!A$1","a")</f>
        <v>a</v>
      </c>
      <c r="AH19343" s="4" t="str">
        <f>HYPERLINK("#Statut_biogéographique!A"&amp;_xlfn.XMATCH("P",Statut_biogéographique!A:A,2,1),"P")</f>
        <v>P</v>
      </c>
      <c r="AM19343" s="4" t="s">
        <v>375</v>
      </c>
      <c r="AN19343" s="4" t="s">
        <v>375</v>
      </c>
      <c r="AO19343" s="4" t="s">
        <v>375</v>
      </c>
      <c r="AP19343" s="4" t="s">
        <v>376</v>
      </c>
      <c r="AR19343" s="4" t="s">
        <v>377</v>
      </c>
    </row>
    <row r="19344" spans="1:44">
      <c r="A19344" s="4" t="s">
        <v>117</v>
      </c>
      <c r="B19344" s="4">
        <v>2709</v>
      </c>
      <c r="D19344" s="5" t="s">
        <v>23642</v>
      </c>
      <c r="E19344" s="6" t="str">
        <f>HYPERLINK("https://inpn.mnhn.fr/espece/cd_nom/2709","Cygnus columbianus (Ord, 1815)")</f>
        <v>Cygnus columbianus (Ord, 1815)</v>
      </c>
      <c r="F19344" s="5" t="s">
        <v>23643</v>
      </c>
      <c r="H19344" s="4" t="str">
        <f>HYPERLINK("#Réglementation!A"&amp;_xlfn.XMATCH("IBOAE",Réglementation!A:A,2,1),"IBOAE - IBO2")</f>
        <v>IBOAE - IBO2</v>
      </c>
      <c r="I19344" s="4" t="str">
        <f>HYPERLINK("#Réglementation!A"&amp;_xlfn.XMATCH("IBE3",Réglementation!A:A,2,1),"IBE3")</f>
        <v>IBE3</v>
      </c>
      <c r="O19344" s="7" t="str">
        <f>HYPERLINK("#Liste_rouge!A"&amp;_xlfn.XMATCH("LC",Liste_rouge!A:A,2,1),"LC")</f>
        <v>LC</v>
      </c>
      <c r="P19344" s="7" t="str">
        <f>HYPERLINK("#Liste_rouge!A"&amp;_xlfn.XMATCH("VU",Liste_rouge!A:A,2,1),"VU")</f>
        <v>VU</v>
      </c>
      <c r="R19344" s="7" t="str">
        <f>HYPERLINK("#Liste_rouge!A"&amp;_xlfn.XMATCH("EN",Liste_rouge!A:A,2,1),"EN")</f>
        <v>EN</v>
      </c>
      <c r="AH19344" s="4" t="str">
        <f>HYPERLINK("#Statut_biogéographique!A"&amp;_xlfn.XMATCH("P",Statut_biogéographique!A:A,2,1),"P")</f>
        <v>P</v>
      </c>
      <c r="AM19344" s="4" t="s">
        <v>375</v>
      </c>
      <c r="AN19344" s="4" t="s">
        <v>375</v>
      </c>
      <c r="AO19344" s="4" t="s">
        <v>375</v>
      </c>
      <c r="AP19344" s="4" t="s">
        <v>389</v>
      </c>
      <c r="AR19344" s="4" t="s">
        <v>377</v>
      </c>
    </row>
    <row r="19345" spans="1:44">
      <c r="A19345" s="4" t="s">
        <v>117</v>
      </c>
      <c r="B19345" s="4">
        <v>2714</v>
      </c>
      <c r="D19345" s="5" t="s">
        <v>23644</v>
      </c>
      <c r="E19345" s="6" t="str">
        <f>HYPERLINK("https://inpn.mnhn.fr/espece/cd_nom/2714","Cygnus columbianus bewickii Yarrell, 1830")</f>
        <v>Cygnus columbianus bewickii Yarrell, 1830</v>
      </c>
      <c r="F19345" s="5" t="s">
        <v>23643</v>
      </c>
      <c r="H19345" s="4" t="str">
        <f>HYPERLINK("#Réglementation!A"&amp;_xlfn.XMATCH("IBOAE",Réglementation!A:A,2,1),"IBOAE - IBO2")</f>
        <v>IBOAE - IBO2</v>
      </c>
      <c r="I19345" s="4" t="str">
        <f>HYPERLINK("#Réglementation!A"&amp;_xlfn.XMATCH("IBE3",Réglementation!A:A,2,1),"IBE3")</f>
        <v>IBE3</v>
      </c>
      <c r="J19345" s="4" t="str">
        <f>HYPERLINK("#Réglementation!A"&amp;_xlfn.XMATCH("CDO1",Réglementation!A:A,2,1),"CDO1")</f>
        <v>CDO1</v>
      </c>
      <c r="L19345" s="4" t="str">
        <f>HYPERLINK("#Réglementation!A"&amp;_xlfn.XMATCH("NO3",Réglementation!A:A,2,1),"NO3")</f>
        <v>NO3</v>
      </c>
      <c r="AH19345" s="4" t="str">
        <f>HYPERLINK("#Statut_biogéographique!A"&amp;_xlfn.XMATCH("P",Statut_biogéographique!A:A,2,1),"P")</f>
        <v>P</v>
      </c>
      <c r="AP19345" s="4" t="s">
        <v>389</v>
      </c>
      <c r="AR19345" s="4" t="s">
        <v>377</v>
      </c>
    </row>
    <row r="19346" spans="1:44">
      <c r="A19346" s="4" t="s">
        <v>117</v>
      </c>
      <c r="B19346" s="4">
        <v>2715</v>
      </c>
      <c r="D19346" s="5" t="s">
        <v>23645</v>
      </c>
      <c r="E19346" s="6" t="str">
        <f>HYPERLINK("https://inpn.mnhn.fr/espece/cd_nom/2715","Cygnus cygnus (Linnaeus, 1758)")</f>
        <v>Cygnus cygnus (Linnaeus, 1758)</v>
      </c>
      <c r="F19346" s="5" t="s">
        <v>23646</v>
      </c>
      <c r="H19346" s="4" t="str">
        <f>HYPERLINK("#Réglementation!A"&amp;_xlfn.XMATCH("IBOAE",Réglementation!A:A,2,1),"IBOAE - IBO2")</f>
        <v>IBOAE - IBO2</v>
      </c>
      <c r="I19346" s="4" t="str">
        <f>HYPERLINK("#Réglementation!A"&amp;_xlfn.XMATCH("IBE2",Réglementation!A:A,2,1),"IBE2")</f>
        <v>IBE2</v>
      </c>
      <c r="J19346" s="4" t="str">
        <f>HYPERLINK("#Réglementation!A"&amp;_xlfn.XMATCH("CDO1",Réglementation!A:A,2,1),"CDO1")</f>
        <v>CDO1</v>
      </c>
      <c r="L19346" s="4" t="str">
        <f>HYPERLINK("#Réglementation!A"&amp;_xlfn.XMATCH("NO3",Réglementation!A:A,2,1),"NO3")</f>
        <v>NO3</v>
      </c>
      <c r="O19346" s="7" t="str">
        <f>HYPERLINK("#Liste_rouge!A"&amp;_xlfn.XMATCH("LC",Liste_rouge!A:A,2,1),"LC")</f>
        <v>LC</v>
      </c>
      <c r="P19346" s="7" t="str">
        <f>HYPERLINK("#Liste_rouge!A"&amp;_xlfn.XMATCH("LC",Liste_rouge!A:A,2,1),"LC")</f>
        <v>LC</v>
      </c>
      <c r="Q19346" s="7" t="str">
        <f>HYPERLINK("#Liste_rouge!A"&amp;_xlfn.XMATCH("NA",Liste_rouge!A:A,2,1),"NA")</f>
        <v>NA</v>
      </c>
      <c r="R19346" s="7" t="str">
        <f>HYPERLINK("#Liste_rouge!A"&amp;_xlfn.XMATCH("NA",Liste_rouge!A:A,2,1),"NA")</f>
        <v>NA</v>
      </c>
      <c r="S19346" s="7" t="str">
        <f>HYPERLINK("#Liste_rouge!A"&amp;_xlfn.XMATCH("NA",Liste_rouge!A:A,2,1),"NA")</f>
        <v>NA</v>
      </c>
      <c r="AH19346" s="4" t="str">
        <f>HYPERLINK("#Statut_biogéographique!A"&amp;_xlfn.XMATCH("P",Statut_biogéographique!A:A,2,1),"P")</f>
        <v>P</v>
      </c>
      <c r="AM19346" s="4" t="s">
        <v>375</v>
      </c>
      <c r="AN19346" s="4" t="s">
        <v>375</v>
      </c>
      <c r="AO19346" s="4" t="s">
        <v>375</v>
      </c>
      <c r="AP19346" s="4" t="s">
        <v>376</v>
      </c>
      <c r="AR19346" s="4" t="s">
        <v>377</v>
      </c>
    </row>
    <row r="19347" spans="1:44" ht="75">
      <c r="A19347" s="4" t="s">
        <v>117</v>
      </c>
      <c r="B19347" s="4">
        <v>2720</v>
      </c>
      <c r="D19347" s="5" t="s">
        <v>23647</v>
      </c>
      <c r="E19347" s="6" t="str">
        <f>HYPERLINK("https://inpn.mnhn.fr/espece/cd_nom/2720","Anser fabalis (Latham, 1787)")</f>
        <v>Anser fabalis (Latham, 1787)</v>
      </c>
      <c r="F19347" s="5" t="s">
        <v>23648</v>
      </c>
      <c r="H19347" s="4" t="str">
        <f>HYPERLINK("#Réglementation!A"&amp;_xlfn.XMATCH("IBOAE",Réglementation!A:A,2,1),"IBOAE - IBO2")</f>
        <v>IBOAE - IBO2</v>
      </c>
      <c r="I19347" s="4" t="str">
        <f>HYPERLINK("#Réglementation!A"&amp;_xlfn.XMATCH("IBE3",Réglementation!A:A,2,1),"IBE3")</f>
        <v>IBE3</v>
      </c>
      <c r="J19347" s="4" t="str">
        <f>HYPERLINK("#Réglementation!A"&amp;_xlfn.XMATCH("CDO21",Réglementation!A:A,2,1),"CDO21")</f>
        <v>CDO21</v>
      </c>
      <c r="L19347" s="4" t="str">
        <f>HYPERLINK("#Réglementation!A"&amp;_xlfn.XMATCH("OC3",Réglementation!A:A,2,1),"OC3")</f>
        <v>OC3</v>
      </c>
      <c r="O19347" s="7" t="str">
        <f>HYPERLINK("#Liste_rouge!A"&amp;_xlfn.XMATCH("LC",Liste_rouge!A:A,2,1),"LC")</f>
        <v>LC</v>
      </c>
      <c r="P19347" s="7" t="str">
        <f>HYPERLINK("#Liste_rouge!A"&amp;_xlfn.XMATCH("LC",Liste_rouge!A:A,2,1),"LC")</f>
        <v>LC</v>
      </c>
      <c r="R19347" s="7" t="str">
        <f>HYPERLINK("#Liste_rouge!A"&amp;_xlfn.XMATCH("VU",Liste_rouge!A:A,2,1),"VU")</f>
        <v>VU</v>
      </c>
      <c r="S19347" s="7" t="str">
        <f>HYPERLINK("#Liste_rouge!A"&amp;_xlfn.XMATCH("NA",Liste_rouge!A:A,2,1),"NA")</f>
        <v>NA</v>
      </c>
      <c r="X19347" s="5" t="s">
        <v>23439</v>
      </c>
      <c r="Y19347" s="5" t="s">
        <v>23471</v>
      </c>
      <c r="AE19347" s="4" t="str">
        <f>HYPERLINK("#SCAP!A"&amp;_xlfn.XMATCH("1-",SCAP!A:A,2,1),"1-")</f>
        <v>1-</v>
      </c>
      <c r="AH19347" s="4" t="str">
        <f>HYPERLINK("#Statut_biogéographique!A"&amp;_xlfn.XMATCH("P",Statut_biogéographique!A:A,2,1),"P")</f>
        <v>P</v>
      </c>
      <c r="AK19347" s="4" t="str">
        <f>HYPERLINK("#Réglementation!A"&amp;_xlfn.XMATCH("Ngib_ch_1",Réglementation!A:A,2,1),"Ngib_ch_1")</f>
        <v>Ngib_ch_1</v>
      </c>
      <c r="AM19347" s="4" t="s">
        <v>375</v>
      </c>
      <c r="AN19347" s="4" t="s">
        <v>375</v>
      </c>
      <c r="AO19347" s="4" t="s">
        <v>375</v>
      </c>
      <c r="AP19347" s="4" t="s">
        <v>376</v>
      </c>
      <c r="AR19347" s="4" t="s">
        <v>377</v>
      </c>
    </row>
    <row r="19348" spans="1:44">
      <c r="A19348" s="4" t="s">
        <v>117</v>
      </c>
      <c r="B19348" s="4">
        <v>2724</v>
      </c>
      <c r="D19348" s="5" t="s">
        <v>23649</v>
      </c>
      <c r="E19348" s="6" t="str">
        <f>HYPERLINK("https://inpn.mnhn.fr/espece/cd_nom/2724","Anser fabalis rossicus Buturlin, 1933")</f>
        <v>Anser fabalis rossicus Buturlin, 1933</v>
      </c>
      <c r="H19348" s="4" t="str">
        <f>HYPERLINK("#Réglementation!A"&amp;_xlfn.XMATCH("IBOAE",Réglementation!A:A,2,1),"IBOAE - IBO2")</f>
        <v>IBOAE - IBO2</v>
      </c>
      <c r="I19348" s="4" t="str">
        <f>HYPERLINK("#Réglementation!A"&amp;_xlfn.XMATCH("IBE3",Réglementation!A:A,2,1),"IBE3")</f>
        <v>IBE3</v>
      </c>
      <c r="J19348" s="4" t="str">
        <f>HYPERLINK("#Réglementation!A"&amp;_xlfn.XMATCH("CDO21",Réglementation!A:A,2,1),"CDO21")</f>
        <v>CDO21</v>
      </c>
      <c r="L19348" s="4" t="str">
        <f>HYPERLINK("#Réglementation!A"&amp;_xlfn.XMATCH("OC3",Réglementation!A:A,2,1),"OC3")</f>
        <v>OC3</v>
      </c>
      <c r="R19348" s="7" t="str">
        <f>HYPERLINK("#Liste_rouge!A"&amp;_xlfn.XMATCH("VU",Liste_rouge!A:A,2,1),"VU")</f>
        <v>VU</v>
      </c>
      <c r="S19348" s="7" t="str">
        <f>HYPERLINK("#Liste_rouge!A"&amp;_xlfn.XMATCH("NA",Liste_rouge!A:A,2,1),"NA")</f>
        <v>NA</v>
      </c>
      <c r="AH19348" s="4" t="str">
        <f>HYPERLINK("#Statut_biogéographique!A"&amp;_xlfn.XMATCH("P",Statut_biogéographique!A:A,2,1),"P")</f>
        <v>P</v>
      </c>
      <c r="AK19348" s="4" t="str">
        <f>HYPERLINK("#Réglementation!A"&amp;_xlfn.XMATCH("Ngib_ch_1",Réglementation!A:A,2,1),"Ngib_ch_1")</f>
        <v>Ngib_ch_1</v>
      </c>
      <c r="AP19348" s="4" t="s">
        <v>376</v>
      </c>
      <c r="AR19348" s="4" t="s">
        <v>377</v>
      </c>
    </row>
    <row r="19349" spans="1:44">
      <c r="A19349" s="4" t="s">
        <v>117</v>
      </c>
      <c r="B19349" s="4">
        <v>2725</v>
      </c>
      <c r="D19349" s="5" t="s">
        <v>23650</v>
      </c>
      <c r="E19349" s="6" t="str">
        <f>HYPERLINK("https://inpn.mnhn.fr/espece/cd_nom/2725","Anser brachyrhynchus Baillon, 1834")</f>
        <v>Anser brachyrhynchus Baillon, 1834</v>
      </c>
      <c r="F19349" s="5" t="s">
        <v>23651</v>
      </c>
      <c r="H19349" s="4" t="str">
        <f>HYPERLINK("#Réglementation!A"&amp;_xlfn.XMATCH("IBOAE",Réglementation!A:A,2,1),"IBOAE - IBO2")</f>
        <v>IBOAE - IBO2</v>
      </c>
      <c r="I19349" s="4" t="str">
        <f>HYPERLINK("#Réglementation!A"&amp;_xlfn.XMATCH("IBE3",Réglementation!A:A,2,1),"IBE3")</f>
        <v>IBE3</v>
      </c>
      <c r="J19349" s="4" t="str">
        <f>HYPERLINK("#Réglementation!A"&amp;_xlfn.XMATCH("CDO22",Réglementation!A:A,2,1),"CDO22")</f>
        <v>CDO22</v>
      </c>
      <c r="L19349" s="4" t="str">
        <f>HYPERLINK("#Réglementation!A"&amp;_xlfn.XMATCH("NO4",Réglementation!A:A,2,1),"NO4")</f>
        <v>NO4</v>
      </c>
      <c r="O19349" s="7" t="str">
        <f>HYPERLINK("#Liste_rouge!A"&amp;_xlfn.XMATCH("LC",Liste_rouge!A:A,2,1),"LC")</f>
        <v>LC</v>
      </c>
      <c r="P19349" s="7" t="str">
        <f>HYPERLINK("#Liste_rouge!A"&amp;_xlfn.XMATCH("LC",Liste_rouge!A:A,2,1),"LC")</f>
        <v>LC</v>
      </c>
      <c r="R19349" s="7" t="str">
        <f>HYPERLINK("#Liste_rouge!A"&amp;_xlfn.XMATCH("NA",Liste_rouge!A:A,2,1),"NA")</f>
        <v>NA</v>
      </c>
      <c r="S19349" s="7" t="str">
        <f>HYPERLINK("#Liste_rouge!A"&amp;_xlfn.XMATCH("NA",Liste_rouge!A:A,2,1),"NA")</f>
        <v>NA</v>
      </c>
      <c r="AH19349" s="4" t="str">
        <f>HYPERLINK("#Statut_biogéographique!A"&amp;_xlfn.XMATCH("P",Statut_biogéographique!A:A,2,1),"P")</f>
        <v>P</v>
      </c>
      <c r="AM19349" s="4" t="s">
        <v>375</v>
      </c>
      <c r="AN19349" s="4" t="s">
        <v>375</v>
      </c>
      <c r="AO19349" s="4" t="s">
        <v>375</v>
      </c>
      <c r="AP19349" s="4" t="s">
        <v>376</v>
      </c>
      <c r="AR19349" s="4" t="s">
        <v>377</v>
      </c>
    </row>
    <row r="19350" spans="1:44">
      <c r="A19350" s="4" t="s">
        <v>117</v>
      </c>
      <c r="B19350" s="4">
        <v>2727</v>
      </c>
      <c r="D19350" s="5" t="s">
        <v>23652</v>
      </c>
      <c r="E19350" s="6" t="str">
        <f>HYPERLINK("https://inpn.mnhn.fr/espece/cd_nom/2727","Anser caerulescens (Linnaeus, 1758)")</f>
        <v>Anser caerulescens (Linnaeus, 1758)</v>
      </c>
      <c r="F19350" s="5" t="s">
        <v>23653</v>
      </c>
      <c r="H19350" s="4" t="str">
        <f>HYPERLINK("#Réglementation!A"&amp;_xlfn.XMATCH("IBO2",Réglementation!A:A,2,1),"IBO2")</f>
        <v>IBO2</v>
      </c>
      <c r="I19350" s="4" t="str">
        <f>HYPERLINK("#Réglementation!A"&amp;_xlfn.XMATCH("IBE3",Réglementation!A:A,2,1),"IBE3")</f>
        <v>IBE3</v>
      </c>
      <c r="L19350" s="4" t="str">
        <f>HYPERLINK("#Réglementation!A"&amp;_xlfn.XMATCH("NO4",Réglementation!A:A,2,1),"NO4")</f>
        <v>NO4</v>
      </c>
      <c r="O19350" s="7" t="str">
        <f>HYPERLINK("#Liste_rouge!A"&amp;_xlfn.XMATCH("LC",Liste_rouge!A:A,2,1),"LC")</f>
        <v>LC</v>
      </c>
      <c r="P19350" s="7" t="str">
        <f>HYPERLINK("#Liste_rouge!A"&amp;_xlfn.XMATCH("LC",Liste_rouge!A:A,2,1),"LC")</f>
        <v>LC</v>
      </c>
      <c r="S19350" s="7" t="str">
        <f>HYPERLINK("#Liste_rouge!A"&amp;_xlfn.XMATCH("NA",Liste_rouge!A:A,2,1),"NA")</f>
        <v>NA</v>
      </c>
      <c r="AH19350" s="4" t="str">
        <f>HYPERLINK("#Statut_biogéographique!A"&amp;_xlfn.XMATCH("B",Statut_biogéographique!A:A,2,1),"B")</f>
        <v>B</v>
      </c>
      <c r="AP19350" s="4" t="s">
        <v>376</v>
      </c>
      <c r="AR19350" s="4" t="s">
        <v>377</v>
      </c>
    </row>
    <row r="19351" spans="1:44">
      <c r="A19351" s="4" t="s">
        <v>117</v>
      </c>
      <c r="B19351" s="4">
        <v>2731</v>
      </c>
      <c r="D19351" s="5" t="s">
        <v>23654</v>
      </c>
      <c r="E19351" s="6" t="str">
        <f>HYPERLINK("https://inpn.mnhn.fr/espece/cd_nom/2731","Anser indicus (Latham, 1790)")</f>
        <v>Anser indicus (Latham, 1790)</v>
      </c>
      <c r="F19351" s="5" t="s">
        <v>23655</v>
      </c>
      <c r="H19351" s="4" t="str">
        <f>HYPERLINK("#Réglementation!A"&amp;_xlfn.XMATCH("IBO2",Réglementation!A:A,2,1),"IBO2")</f>
        <v>IBO2</v>
      </c>
      <c r="I19351" s="4" t="str">
        <f>HYPERLINK("#Réglementation!A"&amp;_xlfn.XMATCH("IBE3",Réglementation!A:A,2,1),"IBE3")</f>
        <v>IBE3</v>
      </c>
      <c r="O19351" s="7" t="str">
        <f>HYPERLINK("#Liste_rouge!A"&amp;_xlfn.XMATCH("LC",Liste_rouge!A:A,2,1),"LC")</f>
        <v>LC</v>
      </c>
      <c r="AH19351" s="4" t="str">
        <f>HYPERLINK("#Statut_biogéographique!A"&amp;_xlfn.XMATCH("I",Statut_biogéographique!A:A,2,1),"I")</f>
        <v>I</v>
      </c>
      <c r="AP19351" s="4" t="s">
        <v>376</v>
      </c>
      <c r="AR19351" s="4" t="s">
        <v>377</v>
      </c>
    </row>
    <row r="19352" spans="1:44" ht="75">
      <c r="A19352" s="4" t="s">
        <v>117</v>
      </c>
      <c r="B19352" s="4">
        <v>2734</v>
      </c>
      <c r="D19352" s="5" t="s">
        <v>23656</v>
      </c>
      <c r="E19352" s="6" t="str">
        <f>HYPERLINK("https://inpn.mnhn.fr/espece/cd_nom/2734","Anser albifrons (Scopoli, 1769)")</f>
        <v>Anser albifrons (Scopoli, 1769)</v>
      </c>
      <c r="F19352" s="5" t="s">
        <v>23657</v>
      </c>
      <c r="H19352" s="4" t="str">
        <f>HYPERLINK("#Réglementation!A"&amp;_xlfn.XMATCH("IBOAE",Réglementation!A:A,2,1),"IBOAE - IBO2")</f>
        <v>IBOAE - IBO2</v>
      </c>
      <c r="I19352" s="4" t="str">
        <f>HYPERLINK("#Réglementation!A"&amp;_xlfn.XMATCH("IBE3",Réglementation!A:A,2,1),"IBE3")</f>
        <v>IBE3</v>
      </c>
      <c r="J19352" s="4" t="str">
        <f>HYPERLINK("#Réglementation!A"&amp;_xlfn.XMATCH("CDO22",Réglementation!A:A,2,1),"CDO22")</f>
        <v>CDO22</v>
      </c>
      <c r="L19352" s="4" t="str">
        <f>HYPERLINK("#Réglementation!A"&amp;_xlfn.XMATCH("OC3",Réglementation!A:A,2,1),"OC3")</f>
        <v>OC3</v>
      </c>
      <c r="O19352" s="7" t="str">
        <f>HYPERLINK("#Liste_rouge!A"&amp;_xlfn.XMATCH("LC",Liste_rouge!A:A,2,1),"LC")</f>
        <v>LC</v>
      </c>
      <c r="P19352" s="7" t="str">
        <f>HYPERLINK("#Liste_rouge!A"&amp;_xlfn.XMATCH("LC",Liste_rouge!A:A,2,1),"LC")</f>
        <v>LC</v>
      </c>
      <c r="R19352" s="7" t="str">
        <f>HYPERLINK("#Liste_rouge!A"&amp;_xlfn.XMATCH("NA",Liste_rouge!A:A,2,1),"NA")</f>
        <v>NA</v>
      </c>
      <c r="X19352" s="5" t="s">
        <v>23439</v>
      </c>
      <c r="Y19352" s="5" t="s">
        <v>23471</v>
      </c>
      <c r="AE19352" s="4" t="str">
        <f>HYPERLINK("#SCAP!A"&amp;_xlfn.XMATCH("2+",SCAP!A:A,2,1),"2+")</f>
        <v>2+</v>
      </c>
      <c r="AH19352" s="4" t="str">
        <f>HYPERLINK("#Statut_biogéographique!A"&amp;_xlfn.XMATCH("P",Statut_biogéographique!A:A,2,1),"P")</f>
        <v>P</v>
      </c>
      <c r="AK19352" s="4" t="str">
        <f>HYPERLINK("#Réglementation!A"&amp;_xlfn.XMATCH("Ngib_ch_1",Réglementation!A:A,2,1),"Ngib_ch_1")</f>
        <v>Ngib_ch_1</v>
      </c>
      <c r="AM19352" s="4" t="s">
        <v>375</v>
      </c>
      <c r="AN19352" s="4" t="s">
        <v>375</v>
      </c>
      <c r="AO19352" s="4" t="s">
        <v>375</v>
      </c>
      <c r="AP19352" s="4" t="s">
        <v>376</v>
      </c>
      <c r="AR19352" s="4" t="s">
        <v>377</v>
      </c>
    </row>
    <row r="19353" spans="1:44">
      <c r="A19353" s="4" t="s">
        <v>117</v>
      </c>
      <c r="B19353" s="4">
        <v>2737</v>
      </c>
      <c r="D19353" s="5">
        <v>2737</v>
      </c>
      <c r="E19353" s="6" t="str">
        <f>HYPERLINK("https://inpn.mnhn.fr/espece/cd_nom/2737","Anser albifrons albifrons (Scopoli, 1769)")</f>
        <v>Anser albifrons albifrons (Scopoli, 1769)</v>
      </c>
      <c r="H19353" s="4" t="str">
        <f>HYPERLINK("#Réglementation!A"&amp;_xlfn.XMATCH("IBOAE",Réglementation!A:A,2,1),"IBOAE - IBO2")</f>
        <v>IBOAE - IBO2</v>
      </c>
      <c r="I19353" s="4" t="str">
        <f>HYPERLINK("#Réglementation!A"&amp;_xlfn.XMATCH("IBE3",Réglementation!A:A,2,1),"IBE3")</f>
        <v>IBE3</v>
      </c>
      <c r="J19353" s="4" t="str">
        <f>HYPERLINK("#Réglementation!A"&amp;_xlfn.XMATCH("CDO22",Réglementation!A:A,2,1),"CDO22 - CDO32")</f>
        <v>CDO22 - CDO32</v>
      </c>
      <c r="L19353" s="4" t="str">
        <f>HYPERLINK("#Réglementation!A"&amp;_xlfn.XMATCH("OC3",Réglementation!A:A,2,1),"OC3")</f>
        <v>OC3</v>
      </c>
      <c r="AH19353" s="4" t="str">
        <f>HYPERLINK("#Statut_biogéographique!A"&amp;_xlfn.XMATCH("P",Statut_biogéographique!A:A,2,1),"P")</f>
        <v>P</v>
      </c>
      <c r="AK19353" s="4" t="str">
        <f>HYPERLINK("#Réglementation!A"&amp;_xlfn.XMATCH("Ngib_ch_1",Réglementation!A:A,2,1),"Ngib_ch_1")</f>
        <v>Ngib_ch_1</v>
      </c>
      <c r="AP19353" s="4" t="s">
        <v>376</v>
      </c>
      <c r="AR19353" s="4" t="s">
        <v>377</v>
      </c>
    </row>
    <row r="19354" spans="1:44">
      <c r="A19354" s="4" t="s">
        <v>117</v>
      </c>
      <c r="B19354" s="4">
        <v>2739</v>
      </c>
      <c r="D19354" s="5" t="s">
        <v>23658</v>
      </c>
      <c r="E19354" s="6" t="str">
        <f>HYPERLINK("https://inpn.mnhn.fr/espece/cd_nom/2739","Anser erythropus (Linnaeus, 1758)")</f>
        <v>Anser erythropus (Linnaeus, 1758)</v>
      </c>
      <c r="F19354" s="5" t="s">
        <v>23659</v>
      </c>
      <c r="H19354" s="4" t="str">
        <f>HYPERLINK("#Réglementation!A"&amp;_xlfn.XMATCH("IBOAE",Réglementation!A:A,2,1),"IBOAE - IBO1 - IBO2")</f>
        <v>IBOAE - IBO1 - IBO2</v>
      </c>
      <c r="I19354" s="4" t="str">
        <f>HYPERLINK("#Réglementation!A"&amp;_xlfn.XMATCH("IBE2",Réglementation!A:A,2,1),"IBE2")</f>
        <v>IBE2</v>
      </c>
      <c r="J19354" s="4" t="str">
        <f>HYPERLINK("#Réglementation!A"&amp;_xlfn.XMATCH("CDO1",Réglementation!A:A,2,1),"CDO1")</f>
        <v>CDO1</v>
      </c>
      <c r="L19354" s="4" t="str">
        <f>HYPERLINK("#Réglementation!A"&amp;_xlfn.XMATCH("NO4",Réglementation!A:A,2,1),"NO4")</f>
        <v>NO4</v>
      </c>
      <c r="O19354" s="7" t="str">
        <f>HYPERLINK("#Liste_rouge!A"&amp;_xlfn.XMATCH("VU",Liste_rouge!A:A,2,1),"VU")</f>
        <v>VU</v>
      </c>
      <c r="P19354" s="7" t="str">
        <f>HYPERLINK("#Liste_rouge!A"&amp;_xlfn.XMATCH("VU",Liste_rouge!A:A,2,1),"VU")</f>
        <v>VU</v>
      </c>
      <c r="S19354" s="7" t="str">
        <f>HYPERLINK("#Liste_rouge!A"&amp;_xlfn.XMATCH("NA",Liste_rouge!A:A,2,1),"NA")</f>
        <v>NA</v>
      </c>
      <c r="AH19354" s="4" t="str">
        <f>HYPERLINK("#Statut_biogéographique!A"&amp;_xlfn.XMATCH("P",Statut_biogéographique!A:A,2,1),"P")</f>
        <v>P</v>
      </c>
      <c r="AP19354" s="4" t="s">
        <v>376</v>
      </c>
      <c r="AR19354" s="4" t="s">
        <v>377</v>
      </c>
    </row>
    <row r="19355" spans="1:44" ht="75">
      <c r="A19355" s="4" t="s">
        <v>117</v>
      </c>
      <c r="B19355" s="4">
        <v>2741</v>
      </c>
      <c r="D19355" s="5" t="s">
        <v>23660</v>
      </c>
      <c r="E19355" s="6" t="str">
        <f>HYPERLINK("https://inpn.mnhn.fr/espece/cd_nom/2741","Anser anser (Linnaeus, 1758)")</f>
        <v>Anser anser (Linnaeus, 1758)</v>
      </c>
      <c r="F19355" s="5" t="s">
        <v>23661</v>
      </c>
      <c r="H19355" s="4" t="str">
        <f>HYPERLINK("#Réglementation!A"&amp;_xlfn.XMATCH("IBOAE",Réglementation!A:A,2,1),"IBOAE - IBO2")</f>
        <v>IBOAE - IBO2</v>
      </c>
      <c r="I19355" s="4" t="str">
        <f>HYPERLINK("#Réglementation!A"&amp;_xlfn.XMATCH("IBE3",Réglementation!A:A,2,1),"IBE3")</f>
        <v>IBE3</v>
      </c>
      <c r="J19355" s="4" t="str">
        <f>HYPERLINK("#Réglementation!A"&amp;_xlfn.XMATCH("CDO21",Réglementation!A:A,2,1),"CDO21 - CDO32")</f>
        <v>CDO21 - CDO32</v>
      </c>
      <c r="L19355" s="4" t="str">
        <f>HYPERLINK("#Réglementation!A"&amp;_xlfn.XMATCH("OC3",Réglementation!A:A,2,1),"OC3")</f>
        <v>OC3</v>
      </c>
      <c r="O19355" s="7" t="str">
        <f>HYPERLINK("#Liste_rouge!A"&amp;_xlfn.XMATCH("LC",Liste_rouge!A:A,2,1),"LC")</f>
        <v>LC</v>
      </c>
      <c r="P19355" s="7" t="str">
        <f>HYPERLINK("#Liste_rouge!A"&amp;_xlfn.XMATCH("LC",Liste_rouge!A:A,2,1),"LC")</f>
        <v>LC</v>
      </c>
      <c r="Q19355" s="7" t="str">
        <f>HYPERLINK("#Liste_rouge!A"&amp;_xlfn.XMATCH("VU",Liste_rouge!A:A,2,1),"VU")</f>
        <v>VU</v>
      </c>
      <c r="R19355" s="7" t="str">
        <f>HYPERLINK("#Liste_rouge!A"&amp;_xlfn.XMATCH("LC",Liste_rouge!A:A,2,1),"LC")</f>
        <v>LC</v>
      </c>
      <c r="S19355" s="7" t="str">
        <f>HYPERLINK("#Liste_rouge!A"&amp;_xlfn.XMATCH("NA",Liste_rouge!A:A,2,1),"NA")</f>
        <v>NA</v>
      </c>
      <c r="T19355" s="7" t="str">
        <f>HYPERLINK("#Liste_rouge!A"&amp;_xlfn.XMATCH("NA",Liste_rouge!A:A,2,1),"NA")</f>
        <v>NA</v>
      </c>
      <c r="U19355" s="4" t="str">
        <f>HYPERLINK("#Critères_liste_rouge!A$1","b")</f>
        <v>b</v>
      </c>
      <c r="V19355" s="7" t="str">
        <f>HYPERLINK("#Liste_rouge!A"&amp;_xlfn.XMATCH("NA",Liste_rouge!A:A,2,1),"NA")</f>
        <v>NA</v>
      </c>
      <c r="W19355" s="4" t="str">
        <f>HYPERLINK("#Critères_liste_rouge!A$1","a")</f>
        <v>a</v>
      </c>
      <c r="X19355" s="5" t="s">
        <v>23442</v>
      </c>
      <c r="Y19355" s="5" t="s">
        <v>23662</v>
      </c>
      <c r="AE19355" s="4" t="str">
        <f>HYPERLINK("#SCAP!A"&amp;_xlfn.XMATCH("2+",SCAP!A:A,2,1),"2+")</f>
        <v>2+</v>
      </c>
      <c r="AH19355" s="4" t="str">
        <f>HYPERLINK("#Statut_biogéographique!A"&amp;_xlfn.XMATCH("P",Statut_biogéographique!A:A,2,1),"P")</f>
        <v>P</v>
      </c>
      <c r="AK19355" s="4" t="str">
        <f>HYPERLINK("#Réglementation!A"&amp;_xlfn.XMATCH("Ngib_ch_1",Réglementation!A:A,2,1),"Ngib_ch_1")</f>
        <v>Ngib_ch_1</v>
      </c>
      <c r="AM19355" s="4" t="s">
        <v>375</v>
      </c>
      <c r="AN19355" s="4" t="s">
        <v>375</v>
      </c>
      <c r="AO19355" s="4" t="s">
        <v>375</v>
      </c>
      <c r="AP19355" s="4" t="s">
        <v>376</v>
      </c>
      <c r="AR19355" s="4" t="s">
        <v>377</v>
      </c>
    </row>
    <row r="19356" spans="1:44">
      <c r="A19356" s="4" t="s">
        <v>117</v>
      </c>
      <c r="B19356" s="4">
        <v>2744</v>
      </c>
      <c r="D19356" s="5">
        <v>2744</v>
      </c>
      <c r="E19356" s="6" t="str">
        <f>HYPERLINK("https://inpn.mnhn.fr/espece/cd_nom/2744","Anser anser anser (Linnaeus, 1758)")</f>
        <v>Anser anser anser (Linnaeus, 1758)</v>
      </c>
      <c r="H19356" s="4" t="str">
        <f>HYPERLINK("#Réglementation!A"&amp;_xlfn.XMATCH("IBOAE",Réglementation!A:A,2,1),"IBOAE - IBO2")</f>
        <v>IBOAE - IBO2</v>
      </c>
      <c r="I19356" s="4" t="str">
        <f>HYPERLINK("#Réglementation!A"&amp;_xlfn.XMATCH("IBE3",Réglementation!A:A,2,1),"IBE3")</f>
        <v>IBE3</v>
      </c>
      <c r="J19356" s="4" t="str">
        <f>HYPERLINK("#Réglementation!A"&amp;_xlfn.XMATCH("CDO21",Réglementation!A:A,2,1),"CDO21 - CDO32")</f>
        <v>CDO21 - CDO32</v>
      </c>
      <c r="L19356" s="4" t="str">
        <f>HYPERLINK("#Réglementation!A"&amp;_xlfn.XMATCH("OC3",Réglementation!A:A,2,1),"OC3")</f>
        <v>OC3</v>
      </c>
      <c r="AH19356" s="4" t="str">
        <f>HYPERLINK("#Statut_biogéographique!A"&amp;_xlfn.XMATCH("P",Statut_biogéographique!A:A,2,1),"P")</f>
        <v>P</v>
      </c>
      <c r="AK19356" s="4" t="str">
        <f>HYPERLINK("#Réglementation!A"&amp;_xlfn.XMATCH("Ngib_ch_1",Réglementation!A:A,2,1),"Ngib_ch_1")</f>
        <v>Ngib_ch_1</v>
      </c>
      <c r="AP19356" s="4" t="s">
        <v>376</v>
      </c>
      <c r="AR19356" s="4" t="s">
        <v>377</v>
      </c>
    </row>
    <row r="19357" spans="1:44">
      <c r="A19357" s="4" t="s">
        <v>117</v>
      </c>
      <c r="B19357" s="4">
        <v>2747</v>
      </c>
      <c r="D19357" s="5" t="s">
        <v>23663</v>
      </c>
      <c r="E19357" s="6" t="str">
        <f>HYPERLINK("https://inpn.mnhn.fr/espece/cd_nom/2747","Branta canadensis (Linnaeus, 1758)")</f>
        <v>Branta canadensis (Linnaeus, 1758)</v>
      </c>
      <c r="F19357" s="5" t="s">
        <v>23664</v>
      </c>
      <c r="H19357" s="4" t="str">
        <f>HYPERLINK("#Réglementation!A"&amp;_xlfn.XMATCH("IBO2",Réglementation!A:A,2,1),"IBO2")</f>
        <v>IBO2</v>
      </c>
      <c r="I19357" s="4" t="str">
        <f>HYPERLINK("#Réglementation!A"&amp;_xlfn.XMATCH("IBE3",Réglementation!A:A,2,1),"IBE3")</f>
        <v>IBE3</v>
      </c>
      <c r="J19357" s="4" t="str">
        <f>HYPERLINK("#Réglementation!A"&amp;_xlfn.XMATCH("CDO21",Réglementation!A:A,2,1),"CDO21")</f>
        <v>CDO21</v>
      </c>
      <c r="O19357" s="7" t="str">
        <f>HYPERLINK("#Liste_rouge!A"&amp;_xlfn.XMATCH("LC",Liste_rouge!A:A,2,1),"LC")</f>
        <v>LC</v>
      </c>
      <c r="P19357" s="7" t="str">
        <f>HYPERLINK("#Liste_rouge!A"&amp;_xlfn.XMATCH("LC",Liste_rouge!A:A,2,1),"LC")</f>
        <v>LC</v>
      </c>
      <c r="Q19357" s="7" t="str">
        <f>HYPERLINK("#Liste_rouge!A"&amp;_xlfn.XMATCH("NA",Liste_rouge!A:A,2,1),"NA")</f>
        <v>NA</v>
      </c>
      <c r="R19357" s="7" t="str">
        <f>HYPERLINK("#Liste_rouge!A"&amp;_xlfn.XMATCH("NA",Liste_rouge!A:A,2,1),"NA")</f>
        <v>NA</v>
      </c>
      <c r="T19357" s="7" t="str">
        <f>HYPERLINK("#Liste_rouge!A"&amp;_xlfn.XMATCH("NA",Liste_rouge!A:A,2,1),"NA")</f>
        <v>NA</v>
      </c>
      <c r="U19357" s="4" t="str">
        <f>HYPERLINK("#Critères_liste_rouge!A$1","a")</f>
        <v>a</v>
      </c>
      <c r="V19357" s="7" t="str">
        <f>HYPERLINK("#Liste_rouge!A"&amp;_xlfn.XMATCH("NA",Liste_rouge!A:A,2,1),"NA")</f>
        <v>NA</v>
      </c>
      <c r="W19357" s="4" t="str">
        <f>HYPERLINK("#Critères_liste_rouge!A$1","a")</f>
        <v>a</v>
      </c>
      <c r="AH19357" s="4" t="str">
        <f>HYPERLINK("#Statut_biogéographique!A"&amp;_xlfn.XMATCH("I",Statut_biogéographique!A:A,2,1),"I")</f>
        <v>I</v>
      </c>
      <c r="AL19357" s="5" t="str">
        <f>HYPERLINK("#Réglementation!A"&amp;_xlfn.XMATCH("FRnoEEEA",Réglementation!A:A,2,1),"FRnoEEEA")</f>
        <v>FRnoEEEA</v>
      </c>
      <c r="AM19357" s="4" t="s">
        <v>375</v>
      </c>
      <c r="AN19357" s="4" t="s">
        <v>375</v>
      </c>
      <c r="AO19357" s="4" t="s">
        <v>375</v>
      </c>
      <c r="AP19357" s="4" t="s">
        <v>376</v>
      </c>
      <c r="AR19357" s="4" t="s">
        <v>377</v>
      </c>
    </row>
    <row r="19358" spans="1:44">
      <c r="A19358" s="4" t="s">
        <v>117</v>
      </c>
      <c r="B19358" s="4">
        <v>2750</v>
      </c>
      <c r="D19358" s="5" t="s">
        <v>23665</v>
      </c>
      <c r="E19358" s="6" t="str">
        <f>HYPERLINK("https://inpn.mnhn.fr/espece/cd_nom/2750","Branta leucopsis (Bechstein, 1803)")</f>
        <v>Branta leucopsis (Bechstein, 1803)</v>
      </c>
      <c r="F19358" s="5" t="s">
        <v>23666</v>
      </c>
      <c r="H19358" s="4" t="str">
        <f>HYPERLINK("#Réglementation!A"&amp;_xlfn.XMATCH("IBOAE",Réglementation!A:A,2,1),"IBOAE - IBO2")</f>
        <v>IBOAE - IBO2</v>
      </c>
      <c r="I19358" s="4" t="str">
        <f>HYPERLINK("#Réglementation!A"&amp;_xlfn.XMATCH("IBE2",Réglementation!A:A,2,1),"IBE2")</f>
        <v>IBE2</v>
      </c>
      <c r="J19358" s="4" t="str">
        <f>HYPERLINK("#Réglementation!A"&amp;_xlfn.XMATCH("CDO1",Réglementation!A:A,2,1),"CDO1")</f>
        <v>CDO1</v>
      </c>
      <c r="L19358" s="4" t="str">
        <f>HYPERLINK("#Réglementation!A"&amp;_xlfn.XMATCH("NO3",Réglementation!A:A,2,1),"NO3")</f>
        <v>NO3</v>
      </c>
      <c r="O19358" s="7" t="str">
        <f>HYPERLINK("#Liste_rouge!A"&amp;_xlfn.XMATCH("LC",Liste_rouge!A:A,2,1),"LC")</f>
        <v>LC</v>
      </c>
      <c r="P19358" s="7" t="str">
        <f>HYPERLINK("#Liste_rouge!A"&amp;_xlfn.XMATCH("LC",Liste_rouge!A:A,2,1),"LC")</f>
        <v>LC</v>
      </c>
      <c r="R19358" s="7" t="str">
        <f>HYPERLINK("#Liste_rouge!A"&amp;_xlfn.XMATCH("NA",Liste_rouge!A:A,2,1),"NA")</f>
        <v>NA</v>
      </c>
      <c r="S19358" s="7" t="str">
        <f>HYPERLINK("#Liste_rouge!A"&amp;_xlfn.XMATCH("NA",Liste_rouge!A:A,2,1),"NA")</f>
        <v>NA</v>
      </c>
      <c r="AH19358" s="4" t="str">
        <f>HYPERLINK("#Statut_biogéographique!A"&amp;_xlfn.XMATCH("P",Statut_biogéographique!A:A,2,1),"P")</f>
        <v>P</v>
      </c>
      <c r="AM19358" s="4" t="s">
        <v>375</v>
      </c>
      <c r="AN19358" s="4" t="s">
        <v>375</v>
      </c>
      <c r="AO19358" s="4" t="s">
        <v>375</v>
      </c>
      <c r="AP19358" s="4" t="s">
        <v>376</v>
      </c>
      <c r="AR19358" s="4" t="s">
        <v>377</v>
      </c>
    </row>
    <row r="19359" spans="1:44">
      <c r="A19359" s="4" t="s">
        <v>117</v>
      </c>
      <c r="B19359" s="4">
        <v>2753</v>
      </c>
      <c r="D19359" s="5" t="s">
        <v>23667</v>
      </c>
      <c r="E19359" s="6" t="str">
        <f>HYPERLINK("https://inpn.mnhn.fr/espece/cd_nom/2753","Branta ruficollis (Pallas, 1769)")</f>
        <v>Branta ruficollis (Pallas, 1769)</v>
      </c>
      <c r="F19359" s="5" t="s">
        <v>23668</v>
      </c>
      <c r="G19359" s="4" t="str">
        <f>HYPERLINK("[#Réglementation!A"&amp;_xlfn.XMATCH("CCA",Réglementation!A:A,2,1),"CCA")</f>
        <v>CCA</v>
      </c>
      <c r="H19359" s="4" t="str">
        <f>HYPERLINK("#Réglementation!A"&amp;_xlfn.XMATCH("IBOAE",Réglementation!A:A,2,1),"IBOAE - IBO1 - IBO2")</f>
        <v>IBOAE - IBO1 - IBO2</v>
      </c>
      <c r="I19359" s="4" t="str">
        <f>HYPERLINK("#Réglementation!A"&amp;_xlfn.XMATCH("IBE2",Réglementation!A:A,2,1),"IBE2")</f>
        <v>IBE2</v>
      </c>
      <c r="J19359" s="4" t="str">
        <f>HYPERLINK("#Réglementation!A"&amp;_xlfn.XMATCH("CDO1",Réglementation!A:A,2,1),"CDO1")</f>
        <v>CDO1</v>
      </c>
      <c r="L19359" s="4" t="str">
        <f>HYPERLINK("#Réglementation!A"&amp;_xlfn.XMATCH("NO4",Réglementation!A:A,2,1),"NO4")</f>
        <v>NO4</v>
      </c>
      <c r="O19359" s="7" t="str">
        <f>HYPERLINK("#Liste_rouge!A"&amp;_xlfn.XMATCH("VU",Liste_rouge!A:A,2,1),"VU")</f>
        <v>VU</v>
      </c>
      <c r="P19359" s="7" t="str">
        <f>HYPERLINK("#Liste_rouge!A"&amp;_xlfn.XMATCH("VU",Liste_rouge!A:A,2,1),"VU")</f>
        <v>VU</v>
      </c>
      <c r="S19359" s="7" t="str">
        <f>HYPERLINK("#Liste_rouge!A"&amp;_xlfn.XMATCH("NA",Liste_rouge!A:A,2,1),"NA")</f>
        <v>NA</v>
      </c>
      <c r="AH19359" s="4" t="str">
        <f>HYPERLINK("#Statut_biogéographique!A"&amp;_xlfn.XMATCH("P",Statut_biogéographique!A:A,2,1),"P")</f>
        <v>P</v>
      </c>
      <c r="AP19359" s="4" t="s">
        <v>376</v>
      </c>
      <c r="AR19359" s="4" t="s">
        <v>377</v>
      </c>
    </row>
    <row r="19360" spans="1:44">
      <c r="A19360" s="4" t="s">
        <v>117</v>
      </c>
      <c r="B19360" s="4">
        <v>2757</v>
      </c>
      <c r="D19360" s="5" t="s">
        <v>23669</v>
      </c>
      <c r="E19360" s="6" t="str">
        <f>HYPERLINK("https://inpn.mnhn.fr/espece/cd_nom/2757","Branta bernicla (Linnaeus, 1758)")</f>
        <v>Branta bernicla (Linnaeus, 1758)</v>
      </c>
      <c r="F19360" s="5" t="s">
        <v>23670</v>
      </c>
      <c r="H19360" s="4" t="str">
        <f>HYPERLINK("#Réglementation!A"&amp;_xlfn.XMATCH("IBOAE",Réglementation!A:A,2,1),"IBOAE - IBO2")</f>
        <v>IBOAE - IBO2</v>
      </c>
      <c r="I19360" s="4" t="str">
        <f>HYPERLINK("#Réglementation!A"&amp;_xlfn.XMATCH("IBE3",Réglementation!A:A,2,1),"IBE3")</f>
        <v>IBE3</v>
      </c>
      <c r="J19360" s="4" t="str">
        <f>HYPERLINK("#Réglementation!A"&amp;_xlfn.XMATCH("CDO22",Réglementation!A:A,2,1),"CDO22")</f>
        <v>CDO22</v>
      </c>
      <c r="L19360" s="4" t="str">
        <f>HYPERLINK("#Réglementation!A"&amp;_xlfn.XMATCH("NO3",Réglementation!A:A,2,1),"NO3")</f>
        <v>NO3</v>
      </c>
      <c r="O19360" s="7" t="str">
        <f>HYPERLINK("#Liste_rouge!A"&amp;_xlfn.XMATCH("LC",Liste_rouge!A:A,2,1),"LC")</f>
        <v>LC</v>
      </c>
      <c r="P19360" s="7" t="str">
        <f>HYPERLINK("#Liste_rouge!A"&amp;_xlfn.XMATCH("LC",Liste_rouge!A:A,2,1),"LC")</f>
        <v>LC</v>
      </c>
      <c r="R19360" s="7" t="str">
        <f>HYPERLINK("#Liste_rouge!A"&amp;_xlfn.XMATCH("LC",Liste_rouge!A:A,2,1),"LC")</f>
        <v>LC</v>
      </c>
      <c r="AH19360" s="4" t="str">
        <f>HYPERLINK("#Statut_biogéographique!A"&amp;_xlfn.XMATCH("P",Statut_biogéographique!A:A,2,1),"P")</f>
        <v>P</v>
      </c>
      <c r="AM19360" s="4" t="s">
        <v>375</v>
      </c>
      <c r="AN19360" s="4" t="s">
        <v>375</v>
      </c>
      <c r="AO19360" s="4" t="s">
        <v>375</v>
      </c>
      <c r="AP19360" s="4" t="s">
        <v>389</v>
      </c>
      <c r="AR19360" s="4" t="s">
        <v>377</v>
      </c>
    </row>
    <row r="19361" spans="1:44">
      <c r="A19361" s="4" t="s">
        <v>117</v>
      </c>
      <c r="B19361" s="4">
        <v>2760</v>
      </c>
      <c r="D19361" s="5">
        <v>2760</v>
      </c>
      <c r="E19361" s="6" t="str">
        <f>HYPERLINK("https://inpn.mnhn.fr/espece/cd_nom/2760","Branta bernicla bernicla (Linnaeus, 1758)")</f>
        <v>Branta bernicla bernicla (Linnaeus, 1758)</v>
      </c>
      <c r="F19361" s="5" t="s">
        <v>23671</v>
      </c>
      <c r="H19361" s="4" t="str">
        <f>HYPERLINK("#Réglementation!A"&amp;_xlfn.XMATCH("IBOAE",Réglementation!A:A,2,1),"IBOAE - IBO2")</f>
        <v>IBOAE - IBO2</v>
      </c>
      <c r="I19361" s="4" t="str">
        <f>HYPERLINK("#Réglementation!A"&amp;_xlfn.XMATCH("IBE3",Réglementation!A:A,2,1),"IBE3")</f>
        <v>IBE3</v>
      </c>
      <c r="J19361" s="4" t="str">
        <f>HYPERLINK("#Réglementation!A"&amp;_xlfn.XMATCH("CDO22",Réglementation!A:A,2,1),"CDO22")</f>
        <v>CDO22</v>
      </c>
      <c r="L19361" s="4" t="str">
        <f>HYPERLINK("#Réglementation!A"&amp;_xlfn.XMATCH("NO3",Réglementation!A:A,2,1),"NO3")</f>
        <v>NO3</v>
      </c>
      <c r="R19361" s="7" t="str">
        <f>HYPERLINK("#Liste_rouge!A"&amp;_xlfn.XMATCH("LC",Liste_rouge!A:A,2,1),"LC")</f>
        <v>LC</v>
      </c>
      <c r="AH19361" s="4" t="str">
        <f>HYPERLINK("#Statut_biogéographique!A"&amp;_xlfn.XMATCH("P",Statut_biogéographique!A:A,2,1),"P")</f>
        <v>P</v>
      </c>
      <c r="AP19361" s="4" t="s">
        <v>389</v>
      </c>
      <c r="AR19361" s="4" t="s">
        <v>377</v>
      </c>
    </row>
    <row r="19362" spans="1:44">
      <c r="A19362" s="4" t="s">
        <v>117</v>
      </c>
      <c r="B19362" s="4">
        <v>2767</v>
      </c>
      <c r="D19362" s="5" t="s">
        <v>23672</v>
      </c>
      <c r="E19362" s="6" t="str">
        <f>HYPERLINK("https://inpn.mnhn.fr/espece/cd_nom/2767","Tadorna tadorna (Linnaeus, 1758)")</f>
        <v>Tadorna tadorna (Linnaeus, 1758)</v>
      </c>
      <c r="F19362" s="5" t="s">
        <v>23673</v>
      </c>
      <c r="H19362" s="4" t="str">
        <f>HYPERLINK("#Réglementation!A"&amp;_xlfn.XMATCH("IBOAE",Réglementation!A:A,2,1),"IBOAE - IBO2")</f>
        <v>IBOAE - IBO2</v>
      </c>
      <c r="I19362" s="4" t="str">
        <f>HYPERLINK("#Réglementation!A"&amp;_xlfn.XMATCH("IBE2",Réglementation!A:A,2,1),"IBE2")</f>
        <v>IBE2</v>
      </c>
      <c r="L19362" s="4" t="str">
        <f>HYPERLINK("#Réglementation!A"&amp;_xlfn.XMATCH("NO3",Réglementation!A:A,2,1),"NO3")</f>
        <v>NO3</v>
      </c>
      <c r="O19362" s="7" t="str">
        <f>HYPERLINK("#Liste_rouge!A"&amp;_xlfn.XMATCH("LC",Liste_rouge!A:A,2,1),"LC")</f>
        <v>LC</v>
      </c>
      <c r="P19362" s="7" t="str">
        <f>HYPERLINK("#Liste_rouge!A"&amp;_xlfn.XMATCH("LC",Liste_rouge!A:A,2,1),"LC")</f>
        <v>LC</v>
      </c>
      <c r="Q19362" s="7" t="str">
        <f>HYPERLINK("#Liste_rouge!A"&amp;_xlfn.XMATCH("LC",Liste_rouge!A:A,2,1),"LC")</f>
        <v>LC</v>
      </c>
      <c r="R19362" s="7" t="str">
        <f>HYPERLINK("#Liste_rouge!A"&amp;_xlfn.XMATCH("LC",Liste_rouge!A:A,2,1),"LC")</f>
        <v>LC</v>
      </c>
      <c r="T19362" s="7" t="str">
        <f>HYPERLINK("#Liste_rouge!A"&amp;_xlfn.XMATCH("NA",Liste_rouge!A:A,2,1),"NA")</f>
        <v>NA</v>
      </c>
      <c r="U19362" s="4" t="str">
        <f>HYPERLINK("#Critères_liste_rouge!A$1","b")</f>
        <v>b</v>
      </c>
      <c r="AH19362" s="4" t="str">
        <f>HYPERLINK("#Statut_biogéographique!A"&amp;_xlfn.XMATCH("P",Statut_biogéographique!A:A,2,1),"P")</f>
        <v>P</v>
      </c>
      <c r="AM19362" s="4" t="s">
        <v>375</v>
      </c>
      <c r="AN19362" s="4" t="s">
        <v>375</v>
      </c>
      <c r="AO19362" s="4" t="s">
        <v>375</v>
      </c>
      <c r="AP19362" s="4" t="s">
        <v>376</v>
      </c>
      <c r="AR19362" s="4" t="s">
        <v>377</v>
      </c>
    </row>
    <row r="19363" spans="1:44">
      <c r="A19363" s="4" t="s">
        <v>117</v>
      </c>
      <c r="B19363" s="4">
        <v>2770</v>
      </c>
      <c r="D19363" s="5" t="s">
        <v>23674</v>
      </c>
      <c r="E19363" s="6" t="str">
        <f>HYPERLINK("https://inpn.mnhn.fr/espece/cd_nom/2770","Tadorna ferruginea (Pallas, 1764)")</f>
        <v>Tadorna ferruginea (Pallas, 1764)</v>
      </c>
      <c r="F19363" s="5" t="s">
        <v>23675</v>
      </c>
      <c r="H19363" s="4" t="str">
        <f>HYPERLINK("#Réglementation!A"&amp;_xlfn.XMATCH("IBOAE",Réglementation!A:A,2,1),"IBOAE - IBO2")</f>
        <v>IBOAE - IBO2</v>
      </c>
      <c r="I19363" s="4" t="str">
        <f>HYPERLINK("#Réglementation!A"&amp;_xlfn.XMATCH("IBE2",Réglementation!A:A,2,1),"IBE2")</f>
        <v>IBE2</v>
      </c>
      <c r="J19363" s="4" t="str">
        <f>HYPERLINK("#Réglementation!A"&amp;_xlfn.XMATCH("CDO1",Réglementation!A:A,2,1),"CDO1")</f>
        <v>CDO1</v>
      </c>
      <c r="L19363" s="4" t="str">
        <f>HYPERLINK("#Réglementation!A"&amp;_xlfn.XMATCH("NO4",Réglementation!A:A,2,1),"NO4")</f>
        <v>NO4</v>
      </c>
      <c r="O19363" s="7" t="str">
        <f>HYPERLINK("#Liste_rouge!A"&amp;_xlfn.XMATCH("LC",Liste_rouge!A:A,2,1),"LC")</f>
        <v>LC</v>
      </c>
      <c r="P19363" s="7" t="str">
        <f>HYPERLINK("#Liste_rouge!A"&amp;_xlfn.XMATCH("LC",Liste_rouge!A:A,2,1),"LC")</f>
        <v>LC</v>
      </c>
      <c r="Q19363" s="7" t="str">
        <f>HYPERLINK("#Liste_rouge!A"&amp;_xlfn.XMATCH("NA",Liste_rouge!A:A,2,1),"NA")</f>
        <v>NA</v>
      </c>
      <c r="V19363" s="7" t="str">
        <f>HYPERLINK("#Liste_rouge!A"&amp;_xlfn.XMATCH("NA",Liste_rouge!A:A,2,1),"NA")</f>
        <v>NA</v>
      </c>
      <c r="W19363" s="4" t="str">
        <f>HYPERLINK("#Critères_liste_rouge!A$1","a")</f>
        <v>a</v>
      </c>
      <c r="AH19363" s="4" t="str">
        <f>HYPERLINK("#Statut_biogéographique!A"&amp;_xlfn.XMATCH("P",Statut_biogéographique!A:A,2,1),"P")</f>
        <v>P</v>
      </c>
      <c r="AM19363" s="4" t="s">
        <v>375</v>
      </c>
      <c r="AN19363" s="4" t="s">
        <v>375</v>
      </c>
      <c r="AO19363" s="4" t="s">
        <v>375</v>
      </c>
      <c r="AP19363" s="4" t="s">
        <v>376</v>
      </c>
      <c r="AR19363" s="4" t="s">
        <v>377</v>
      </c>
    </row>
    <row r="19364" spans="1:44">
      <c r="A19364" s="4" t="s">
        <v>117</v>
      </c>
      <c r="B19364" s="4">
        <v>2775</v>
      </c>
      <c r="D19364" s="5" t="s">
        <v>23676</v>
      </c>
      <c r="E19364" s="6" t="str">
        <f>HYPERLINK("https://inpn.mnhn.fr/espece/cd_nom/2775","Aix sponsa (Linnaeus, 1758)")</f>
        <v>Aix sponsa (Linnaeus, 1758)</v>
      </c>
      <c r="F19364" s="5" t="s">
        <v>23677</v>
      </c>
      <c r="H19364" s="4" t="str">
        <f>HYPERLINK("#Réglementation!A"&amp;_xlfn.XMATCH("IBO2",Réglementation!A:A,2,1),"IBO2")</f>
        <v>IBO2</v>
      </c>
      <c r="I19364" s="4" t="str">
        <f>HYPERLINK("#Réglementation!A"&amp;_xlfn.XMATCH("IBE3",Réglementation!A:A,2,1),"IBE3")</f>
        <v>IBE3</v>
      </c>
      <c r="O19364" s="7" t="str">
        <f>HYPERLINK("#Liste_rouge!A"&amp;_xlfn.XMATCH("LC",Liste_rouge!A:A,2,1),"LC")</f>
        <v>LC</v>
      </c>
      <c r="AH19364" s="4" t="str">
        <f>HYPERLINK("#Statut_biogéographique!A"&amp;_xlfn.XMATCH("I",Statut_biogéographique!A:A,2,1),"I")</f>
        <v>I</v>
      </c>
      <c r="AP19364" s="4" t="s">
        <v>376</v>
      </c>
      <c r="AR19364" s="4" t="s">
        <v>377</v>
      </c>
    </row>
    <row r="19365" spans="1:44">
      <c r="A19365" s="4" t="s">
        <v>117</v>
      </c>
      <c r="B19365" s="4">
        <v>2776</v>
      </c>
      <c r="D19365" s="5" t="s">
        <v>23678</v>
      </c>
      <c r="E19365" s="6" t="str">
        <f>HYPERLINK("https://inpn.mnhn.fr/espece/cd_nom/2776","Aix galericulata (Linnaeus, 1758)")</f>
        <v>Aix galericulata (Linnaeus, 1758)</v>
      </c>
      <c r="F19365" s="5" t="s">
        <v>23679</v>
      </c>
      <c r="H19365" s="4" t="str">
        <f>HYPERLINK("#Réglementation!A"&amp;_xlfn.XMATCH("IBO2",Réglementation!A:A,2,1),"IBO2")</f>
        <v>IBO2</v>
      </c>
      <c r="I19365" s="4" t="str">
        <f>HYPERLINK("#Réglementation!A"&amp;_xlfn.XMATCH("IBE3",Réglementation!A:A,2,1),"IBE3")</f>
        <v>IBE3</v>
      </c>
      <c r="O19365" s="7" t="str">
        <f>HYPERLINK("#Liste_rouge!A"&amp;_xlfn.XMATCH("LC",Liste_rouge!A:A,2,1),"LC")</f>
        <v>LC</v>
      </c>
      <c r="Q19365" s="7" t="str">
        <f>HYPERLINK("#Liste_rouge!A"&amp;_xlfn.XMATCH("NA",Liste_rouge!A:A,2,1),"NA")</f>
        <v>NA</v>
      </c>
      <c r="T19365" s="7" t="str">
        <f>HYPERLINK("#Liste_rouge!A"&amp;_xlfn.XMATCH("NA",Liste_rouge!A:A,2,1),"NA")</f>
        <v>NA</v>
      </c>
      <c r="U19365" s="4" t="str">
        <f>HYPERLINK("#Critères_liste_rouge!A$1","a")</f>
        <v>a</v>
      </c>
      <c r="V19365" s="7" t="str">
        <f>HYPERLINK("#Liste_rouge!A"&amp;_xlfn.XMATCH("NA",Liste_rouge!A:A,2,1),"NA")</f>
        <v>NA</v>
      </c>
      <c r="W19365" s="4" t="str">
        <f>HYPERLINK("#Critères_liste_rouge!A$1","a")</f>
        <v>a</v>
      </c>
      <c r="AH19365" s="4" t="str">
        <f>HYPERLINK("#Statut_biogéographique!A"&amp;_xlfn.XMATCH("I",Statut_biogéographique!A:A,2,1),"I")</f>
        <v>I</v>
      </c>
      <c r="AM19365" s="4" t="s">
        <v>375</v>
      </c>
      <c r="AN19365" s="4" t="s">
        <v>375</v>
      </c>
      <c r="AO19365" s="4" t="s">
        <v>375</v>
      </c>
      <c r="AP19365" s="4" t="s">
        <v>376</v>
      </c>
      <c r="AR19365" s="4" t="s">
        <v>377</v>
      </c>
    </row>
    <row r="19366" spans="1:44">
      <c r="A19366" s="4" t="s">
        <v>117</v>
      </c>
      <c r="B19366" s="4">
        <v>2788</v>
      </c>
      <c r="D19366" s="5" t="s">
        <v>23680</v>
      </c>
      <c r="E19366" s="6" t="str">
        <f>HYPERLINK("https://inpn.mnhn.fr/espece/cd_nom/2788","Histrionicus histrionicus (Linnaeus, 1758)")</f>
        <v>Histrionicus histrionicus (Linnaeus, 1758)</v>
      </c>
      <c r="F19366" s="5" t="s">
        <v>23681</v>
      </c>
      <c r="H19366" s="4" t="str">
        <f>HYPERLINK("#Réglementation!A"&amp;_xlfn.XMATCH("IBO2",Réglementation!A:A,2,1),"IBO2")</f>
        <v>IBO2</v>
      </c>
      <c r="I19366" s="4" t="str">
        <f>HYPERLINK("#Réglementation!A"&amp;_xlfn.XMATCH("IBE2",Réglementation!A:A,2,1),"IBE2")</f>
        <v>IBE2</v>
      </c>
      <c r="L19366" s="4" t="str">
        <f>HYPERLINK("#Réglementation!A"&amp;_xlfn.XMATCH("NO4",Réglementation!A:A,2,1),"NO4")</f>
        <v>NO4</v>
      </c>
      <c r="O19366" s="7" t="str">
        <f>HYPERLINK("#Liste_rouge!A"&amp;_xlfn.XMATCH("LC",Liste_rouge!A:A,2,1),"LC")</f>
        <v>LC</v>
      </c>
      <c r="P19366" s="7" t="str">
        <f>HYPERLINK("#Liste_rouge!A"&amp;_xlfn.XMATCH("LC",Liste_rouge!A:A,2,1),"LC")</f>
        <v>LC</v>
      </c>
      <c r="AH19366" s="4" t="str">
        <f>HYPERLINK("#Statut_biogéographique!A"&amp;_xlfn.XMATCH("P",Statut_biogéographique!A:A,2,1),"P")</f>
        <v>P</v>
      </c>
      <c r="AP19366" s="4" t="s">
        <v>376</v>
      </c>
      <c r="AR19366" s="4" t="s">
        <v>377</v>
      </c>
    </row>
    <row r="19367" spans="1:44">
      <c r="A19367" s="4" t="s">
        <v>117</v>
      </c>
      <c r="B19367" s="4">
        <v>2790</v>
      </c>
      <c r="D19367" s="5" t="s">
        <v>23682</v>
      </c>
      <c r="E19367" s="6" t="str">
        <f>HYPERLINK("https://inpn.mnhn.fr/espece/cd_nom/2790","Clangula hyemalis (Linnaeus, 1758)")</f>
        <v>Clangula hyemalis (Linnaeus, 1758)</v>
      </c>
      <c r="F19367" s="5" t="s">
        <v>23683</v>
      </c>
      <c r="H19367" s="4" t="str">
        <f>HYPERLINK("#Réglementation!A"&amp;_xlfn.XMATCH("IBOAE",Réglementation!A:A,2,1),"IBOAE - IBO2")</f>
        <v>IBOAE - IBO2</v>
      </c>
      <c r="I19367" s="4" t="str">
        <f>HYPERLINK("#Réglementation!A"&amp;_xlfn.XMATCH("IBE3",Réglementation!A:A,2,1),"IBE3")</f>
        <v>IBE3</v>
      </c>
      <c r="J19367" s="4" t="str">
        <f>HYPERLINK("#Réglementation!A"&amp;_xlfn.XMATCH("CDO22",Réglementation!A:A,2,1),"CDO22")</f>
        <v>CDO22</v>
      </c>
      <c r="L19367" s="4" t="str">
        <f>HYPERLINK("#Réglementation!A"&amp;_xlfn.XMATCH("OC3",Réglementation!A:A,2,1),"OC3")</f>
        <v>OC3</v>
      </c>
      <c r="O19367" s="7" t="str">
        <f>HYPERLINK("#Liste_rouge!A"&amp;_xlfn.XMATCH("VU",Liste_rouge!A:A,2,1),"VU")</f>
        <v>VU</v>
      </c>
      <c r="P19367" s="7" t="str">
        <f>HYPERLINK("#Liste_rouge!A"&amp;_xlfn.XMATCH("LC",Liste_rouge!A:A,2,1),"LC")</f>
        <v>LC</v>
      </c>
      <c r="R19367" s="7" t="str">
        <f>HYPERLINK("#Liste_rouge!A"&amp;_xlfn.XMATCH("NA",Liste_rouge!A:A,2,1),"NA")</f>
        <v>NA</v>
      </c>
      <c r="S19367" s="7" t="str">
        <f>HYPERLINK("#Liste_rouge!A"&amp;_xlfn.XMATCH("NA",Liste_rouge!A:A,2,1),"NA")</f>
        <v>NA</v>
      </c>
      <c r="AH19367" s="4" t="str">
        <f>HYPERLINK("#Statut_biogéographique!A"&amp;_xlfn.XMATCH("P",Statut_biogéographique!A:A,2,1),"P")</f>
        <v>P</v>
      </c>
      <c r="AK19367" s="4" t="str">
        <f>HYPERLINK("#Réglementation!A"&amp;_xlfn.XMATCH("Ngib_ch_1",Réglementation!A:A,2,1),"Ngib_ch_1")</f>
        <v>Ngib_ch_1</v>
      </c>
      <c r="AM19367" s="4" t="s">
        <v>375</v>
      </c>
      <c r="AN19367" s="4" t="s">
        <v>375</v>
      </c>
      <c r="AO19367" s="4" t="s">
        <v>375</v>
      </c>
      <c r="AP19367" s="4" t="s">
        <v>376</v>
      </c>
      <c r="AR19367" s="4" t="s">
        <v>377</v>
      </c>
    </row>
    <row r="19368" spans="1:44">
      <c r="A19368" s="4" t="s">
        <v>117</v>
      </c>
      <c r="B19368" s="4">
        <v>2794</v>
      </c>
      <c r="D19368" s="5" t="s">
        <v>23684</v>
      </c>
      <c r="E19368" s="6" t="str">
        <f>HYPERLINK("https://inpn.mnhn.fr/espece/cd_nom/2794","Melanitta nigra (Linnaeus, 1758)")</f>
        <v>Melanitta nigra (Linnaeus, 1758)</v>
      </c>
      <c r="F19368" s="5" t="s">
        <v>23685</v>
      </c>
      <c r="H19368" s="4" t="str">
        <f>HYPERLINK("#Réglementation!A"&amp;_xlfn.XMATCH("IBOAE",Réglementation!A:A,2,1),"IBOAE - IBO2")</f>
        <v>IBOAE - IBO2</v>
      </c>
      <c r="I19368" s="4" t="str">
        <f>HYPERLINK("#Réglementation!A"&amp;_xlfn.XMATCH("IBE3",Réglementation!A:A,2,1),"IBE3")</f>
        <v>IBE3</v>
      </c>
      <c r="J19368" s="4" t="str">
        <f>HYPERLINK("#Réglementation!A"&amp;_xlfn.XMATCH("CDO22",Réglementation!A:A,2,1),"CDO22 - CDO32")</f>
        <v>CDO22 - CDO32</v>
      </c>
      <c r="L19368" s="4" t="str">
        <f>HYPERLINK("#Réglementation!A"&amp;_xlfn.XMATCH("OC3",Réglementation!A:A,2,1),"OC3")</f>
        <v>OC3</v>
      </c>
      <c r="O19368" s="7" t="str">
        <f>HYPERLINK("#Liste_rouge!A"&amp;_xlfn.XMATCH("LC",Liste_rouge!A:A,2,1),"LC")</f>
        <v>LC</v>
      </c>
      <c r="P19368" s="7" t="str">
        <f>HYPERLINK("#Liste_rouge!A"&amp;_xlfn.XMATCH("LC",Liste_rouge!A:A,2,1),"LC")</f>
        <v>LC</v>
      </c>
      <c r="R19368" s="7" t="str">
        <f>HYPERLINK("#Liste_rouge!A"&amp;_xlfn.XMATCH("LC",Liste_rouge!A:A,2,1),"LC")</f>
        <v>LC</v>
      </c>
      <c r="S19368" s="7" t="str">
        <f>HYPERLINK("#Liste_rouge!A"&amp;_xlfn.XMATCH("NA",Liste_rouge!A:A,2,1),"NA")</f>
        <v>NA</v>
      </c>
      <c r="AH19368" s="4" t="str">
        <f>HYPERLINK("#Statut_biogéographique!A"&amp;_xlfn.XMATCH("P",Statut_biogéographique!A:A,2,1),"P")</f>
        <v>P</v>
      </c>
      <c r="AK19368" s="4" t="str">
        <f>HYPERLINK("#Réglementation!A"&amp;_xlfn.XMATCH("Ngib_ch_1",Réglementation!A:A,2,1),"Ngib_ch_1")</f>
        <v>Ngib_ch_1</v>
      </c>
      <c r="AM19368" s="4" t="s">
        <v>375</v>
      </c>
      <c r="AN19368" s="4" t="s">
        <v>375</v>
      </c>
      <c r="AO19368" s="4" t="s">
        <v>375</v>
      </c>
      <c r="AP19368" s="4" t="s">
        <v>376</v>
      </c>
      <c r="AR19368" s="4" t="s">
        <v>377</v>
      </c>
    </row>
    <row r="19369" spans="1:44" ht="75">
      <c r="A19369" s="4" t="s">
        <v>117</v>
      </c>
      <c r="B19369" s="4">
        <v>2801</v>
      </c>
      <c r="D19369" s="5" t="s">
        <v>23686</v>
      </c>
      <c r="E19369" s="6" t="str">
        <f>HYPERLINK("https://inpn.mnhn.fr/espece/cd_nom/2801","Melanitta fusca (Linnaeus, 1758)")</f>
        <v>Melanitta fusca (Linnaeus, 1758)</v>
      </c>
      <c r="F19369" s="5" t="s">
        <v>23687</v>
      </c>
      <c r="H19369" s="4" t="str">
        <f>HYPERLINK("#Réglementation!A"&amp;_xlfn.XMATCH("IBOAE",Réglementation!A:A,2,1),"IBOAE - IBO2")</f>
        <v>IBOAE - IBO2</v>
      </c>
      <c r="I19369" s="4" t="str">
        <f>HYPERLINK("#Réglementation!A"&amp;_xlfn.XMATCH("IBE3",Réglementation!A:A,2,1),"IBE3")</f>
        <v>IBE3</v>
      </c>
      <c r="J19369" s="4" t="str">
        <f>HYPERLINK("#Réglementation!A"&amp;_xlfn.XMATCH("CDO22",Réglementation!A:A,2,1),"CDO22")</f>
        <v>CDO22</v>
      </c>
      <c r="L19369" s="4" t="str">
        <f>HYPERLINK("#Réglementation!A"&amp;_xlfn.XMATCH("OC3",Réglementation!A:A,2,1),"OC3")</f>
        <v>OC3</v>
      </c>
      <c r="O19369" s="7" t="str">
        <f>HYPERLINK("#Liste_rouge!A"&amp;_xlfn.XMATCH("VU",Liste_rouge!A:A,2,1),"VU")</f>
        <v>VU</v>
      </c>
      <c r="P19369" s="7" t="str">
        <f>HYPERLINK("#Liste_rouge!A"&amp;_xlfn.XMATCH("VU",Liste_rouge!A:A,2,1),"VU")</f>
        <v>VU</v>
      </c>
      <c r="R19369" s="7" t="str">
        <f>HYPERLINK("#Liste_rouge!A"&amp;_xlfn.XMATCH("EN",Liste_rouge!A:A,2,1),"EN")</f>
        <v>EN</v>
      </c>
      <c r="X19369" s="5" t="s">
        <v>23439</v>
      </c>
      <c r="Y19369" s="5" t="s">
        <v>23471</v>
      </c>
      <c r="AH19369" s="4" t="str">
        <f>HYPERLINK("#Statut_biogéographique!A"&amp;_xlfn.XMATCH("P",Statut_biogéographique!A:A,2,1),"P")</f>
        <v>P</v>
      </c>
      <c r="AK19369" s="4" t="str">
        <f>HYPERLINK("#Réglementation!A"&amp;_xlfn.XMATCH("Ngib_ch_1",Réglementation!A:A,2,1),"Ngib_ch_1")</f>
        <v>Ngib_ch_1</v>
      </c>
      <c r="AM19369" s="4" t="s">
        <v>375</v>
      </c>
      <c r="AN19369" s="4" t="s">
        <v>375</v>
      </c>
      <c r="AO19369" s="4" t="s">
        <v>375</v>
      </c>
      <c r="AP19369" s="4" t="s">
        <v>376</v>
      </c>
      <c r="AR19369" s="4" t="s">
        <v>377</v>
      </c>
    </row>
    <row r="19370" spans="1:44" ht="30">
      <c r="A19370" s="4" t="s">
        <v>117</v>
      </c>
      <c r="B19370" s="4">
        <v>2808</v>
      </c>
      <c r="D19370" s="5" t="s">
        <v>23688</v>
      </c>
      <c r="E19370" s="6" t="str">
        <f>HYPERLINK("https://inpn.mnhn.fr/espece/cd_nom/2808","Bucephala clangula (Linnaeus, 1758)")</f>
        <v>Bucephala clangula (Linnaeus, 1758)</v>
      </c>
      <c r="F19370" s="5" t="s">
        <v>23689</v>
      </c>
      <c r="H19370" s="4" t="str">
        <f>HYPERLINK("#Réglementation!A"&amp;_xlfn.XMATCH("IBOAE",Réglementation!A:A,2,1),"IBOAE - IBO2")</f>
        <v>IBOAE - IBO2</v>
      </c>
      <c r="I19370" s="4" t="str">
        <f>HYPERLINK("#Réglementation!A"&amp;_xlfn.XMATCH("IBE3",Réglementation!A:A,2,1),"IBE3")</f>
        <v>IBE3</v>
      </c>
      <c r="J19370" s="4" t="str">
        <f>HYPERLINK("#Réglementation!A"&amp;_xlfn.XMATCH("CDO22",Réglementation!A:A,2,1),"CDO22")</f>
        <v>CDO22</v>
      </c>
      <c r="L19370" s="4" t="str">
        <f>HYPERLINK("#Réglementation!A"&amp;_xlfn.XMATCH("OC3",Réglementation!A:A,2,1),"OC3")</f>
        <v>OC3</v>
      </c>
      <c r="O19370" s="7" t="str">
        <f>HYPERLINK("#Liste_rouge!A"&amp;_xlfn.XMATCH("LC",Liste_rouge!A:A,2,1),"LC")</f>
        <v>LC</v>
      </c>
      <c r="P19370" s="7" t="str">
        <f>HYPERLINK("#Liste_rouge!A"&amp;_xlfn.XMATCH("LC",Liste_rouge!A:A,2,1),"LC")</f>
        <v>LC</v>
      </c>
      <c r="Q19370" s="7" t="str">
        <f>HYPERLINK("#Liste_rouge!A"&amp;_xlfn.XMATCH("NA",Liste_rouge!A:A,2,1),"NA")</f>
        <v>NA</v>
      </c>
      <c r="R19370" s="7" t="str">
        <f>HYPERLINK("#Liste_rouge!A"&amp;_xlfn.XMATCH("NA",Liste_rouge!A:A,2,1),"NA")</f>
        <v>NA</v>
      </c>
      <c r="T19370" s="7" t="str">
        <f>HYPERLINK("#Liste_rouge!A"&amp;_xlfn.XMATCH("NA",Liste_rouge!A:A,2,1),"NA")</f>
        <v>NA</v>
      </c>
      <c r="U19370" s="4" t="str">
        <f>HYPERLINK("#Critères_liste_rouge!A$1","b")</f>
        <v>b</v>
      </c>
      <c r="X19370" s="5" t="s">
        <v>23442</v>
      </c>
      <c r="Y19370" s="5" t="s">
        <v>23450</v>
      </c>
      <c r="AH19370" s="4" t="str">
        <f>HYPERLINK("#Statut_biogéographique!A"&amp;_xlfn.XMATCH("P",Statut_biogéographique!A:A,2,1),"P")</f>
        <v>P</v>
      </c>
      <c r="AK19370" s="4" t="str">
        <f>HYPERLINK("#Réglementation!A"&amp;_xlfn.XMATCH("Ngib_ch_1",Réglementation!A:A,2,1),"Ngib_ch_1")</f>
        <v>Ngib_ch_1</v>
      </c>
      <c r="AM19370" s="4" t="s">
        <v>375</v>
      </c>
      <c r="AN19370" s="4" t="s">
        <v>375</v>
      </c>
      <c r="AO19370" s="4" t="s">
        <v>375</v>
      </c>
      <c r="AP19370" s="4" t="s">
        <v>376</v>
      </c>
      <c r="AR19370" s="4" t="s">
        <v>377</v>
      </c>
    </row>
    <row r="19371" spans="1:44">
      <c r="A19371" s="4" t="s">
        <v>117</v>
      </c>
      <c r="B19371" s="4">
        <v>2816</v>
      </c>
      <c r="D19371" s="5">
        <v>2816</v>
      </c>
      <c r="E19371" s="6" t="str">
        <f>HYPERLINK("https://inpn.mnhn.fr/espece/cd_nom/2816","Mergus serrator Linnaeus, 1758")</f>
        <v>Mergus serrator Linnaeus, 1758</v>
      </c>
      <c r="F19371" s="5" t="s">
        <v>23690</v>
      </c>
      <c r="H19371" s="4" t="str">
        <f>HYPERLINK("#Réglementation!A"&amp;_xlfn.XMATCH("IBOAE",Réglementation!A:A,2,1),"IBOAE - IBO2")</f>
        <v>IBOAE - IBO2</v>
      </c>
      <c r="I19371" s="4" t="str">
        <f>HYPERLINK("#Réglementation!A"&amp;_xlfn.XMATCH("IBE3",Réglementation!A:A,2,1),"IBE3")</f>
        <v>IBE3</v>
      </c>
      <c r="J19371" s="4" t="str">
        <f>HYPERLINK("#Réglementation!A"&amp;_xlfn.XMATCH("CDO22",Réglementation!A:A,2,1),"CDO22")</f>
        <v>CDO22</v>
      </c>
      <c r="L19371" s="4" t="str">
        <f>HYPERLINK("#Réglementation!A"&amp;_xlfn.XMATCH("NO3",Réglementation!A:A,2,1),"NO3")</f>
        <v>NO3</v>
      </c>
      <c r="O19371" s="7" t="str">
        <f>HYPERLINK("#Liste_rouge!A"&amp;_xlfn.XMATCH("LC",Liste_rouge!A:A,2,1),"LC")</f>
        <v>LC</v>
      </c>
      <c r="P19371" s="7" t="str">
        <f>HYPERLINK("#Liste_rouge!A"&amp;_xlfn.XMATCH("NT",Liste_rouge!A:A,2,1),"NT")</f>
        <v>NT</v>
      </c>
      <c r="Q19371" s="7" t="str">
        <f>HYPERLINK("#Liste_rouge!A"&amp;_xlfn.XMATCH("CR",Liste_rouge!A:A,2,1),"CR")</f>
        <v>CR</v>
      </c>
      <c r="R19371" s="7" t="str">
        <f>HYPERLINK("#Liste_rouge!A"&amp;_xlfn.XMATCH("LC",Liste_rouge!A:A,2,1),"LC")</f>
        <v>LC</v>
      </c>
      <c r="AE19371" s="4" t="str">
        <f>HYPERLINK("#SCAP!A"&amp;_xlfn.XMATCH("A",SCAP!A:A,2,1),"A")</f>
        <v>A</v>
      </c>
      <c r="AH19371" s="4" t="str">
        <f>HYPERLINK("#Statut_biogéographique!A"&amp;_xlfn.XMATCH("P",Statut_biogéographique!A:A,2,1),"P")</f>
        <v>P</v>
      </c>
      <c r="AM19371" s="4" t="s">
        <v>375</v>
      </c>
      <c r="AN19371" s="4" t="s">
        <v>375</v>
      </c>
      <c r="AO19371" s="4" t="s">
        <v>375</v>
      </c>
      <c r="AP19371" s="4" t="s">
        <v>389</v>
      </c>
      <c r="AR19371" s="4" t="s">
        <v>377</v>
      </c>
    </row>
    <row r="19372" spans="1:44">
      <c r="A19372" s="4" t="s">
        <v>117</v>
      </c>
      <c r="B19372" s="4">
        <v>2818</v>
      </c>
      <c r="D19372" s="5">
        <v>2818</v>
      </c>
      <c r="E19372" s="6" t="str">
        <f>HYPERLINK("https://inpn.mnhn.fr/espece/cd_nom/2818","Mergus merganser Linnaeus, 1758")</f>
        <v>Mergus merganser Linnaeus, 1758</v>
      </c>
      <c r="F19372" s="5" t="s">
        <v>23691</v>
      </c>
      <c r="H19372" s="4" t="str">
        <f>HYPERLINK("#Réglementation!A"&amp;_xlfn.XMATCH("IBOAE",Réglementation!A:A,2,1),"IBOAE - IBO2")</f>
        <v>IBOAE - IBO2</v>
      </c>
      <c r="I19372" s="4" t="str">
        <f>HYPERLINK("#Réglementation!A"&amp;_xlfn.XMATCH("IBE3",Réglementation!A:A,2,1),"IBE3")</f>
        <v>IBE3</v>
      </c>
      <c r="J19372" s="4" t="str">
        <f>HYPERLINK("#Réglementation!A"&amp;_xlfn.XMATCH("CDO22",Réglementation!A:A,2,1),"CDO22")</f>
        <v>CDO22</v>
      </c>
      <c r="L19372" s="4" t="str">
        <f>HYPERLINK("#Réglementation!A"&amp;_xlfn.XMATCH("NO3",Réglementation!A:A,2,1),"NO3")</f>
        <v>NO3</v>
      </c>
      <c r="O19372" s="7" t="str">
        <f>HYPERLINK("#Liste_rouge!A"&amp;_xlfn.XMATCH("LC",Liste_rouge!A:A,2,1),"LC")</f>
        <v>LC</v>
      </c>
      <c r="P19372" s="7" t="str">
        <f>HYPERLINK("#Liste_rouge!A"&amp;_xlfn.XMATCH("LC",Liste_rouge!A:A,2,1),"LC")</f>
        <v>LC</v>
      </c>
      <c r="Q19372" s="7" t="str">
        <f>HYPERLINK("#Liste_rouge!A"&amp;_xlfn.XMATCH("NT",Liste_rouge!A:A,2,1),"NT")</f>
        <v>NT</v>
      </c>
      <c r="R19372" s="7" t="str">
        <f>HYPERLINK("#Liste_rouge!A"&amp;_xlfn.XMATCH("LC",Liste_rouge!A:A,2,1),"LC")</f>
        <v>LC</v>
      </c>
      <c r="T19372" s="7" t="str">
        <f>HYPERLINK("#Liste_rouge!A"&amp;_xlfn.XMATCH("NA",Liste_rouge!A:A,2,1),"NA")</f>
        <v>NA</v>
      </c>
      <c r="U19372" s="4" t="str">
        <f>HYPERLINK("#Critères_liste_rouge!A$1","b")</f>
        <v>b</v>
      </c>
      <c r="V19372" s="7" t="str">
        <f>HYPERLINK("#Liste_rouge!A"&amp;_xlfn.XMATCH("NT",Liste_rouge!A:A,2,1),"NT")</f>
        <v>NT</v>
      </c>
      <c r="W19372" s="4" t="str">
        <f>HYPERLINK("#Critères_liste_rouge!A$1","VU (D1) (-1)")</f>
        <v>VU (D1) (-1)</v>
      </c>
      <c r="X19372" s="5" t="s">
        <v>374</v>
      </c>
      <c r="AH19372" s="4" t="str">
        <f>HYPERLINK("#Statut_biogéographique!A"&amp;_xlfn.XMATCH("P",Statut_biogéographique!A:A,2,1),"P")</f>
        <v>P</v>
      </c>
      <c r="AM19372" s="4" t="s">
        <v>375</v>
      </c>
      <c r="AN19372" s="4" t="s">
        <v>375</v>
      </c>
      <c r="AO19372" s="4" t="s">
        <v>375</v>
      </c>
      <c r="AP19372" s="4" t="s">
        <v>376</v>
      </c>
      <c r="AR19372" s="4" t="s">
        <v>377</v>
      </c>
    </row>
    <row r="19373" spans="1:44" ht="30">
      <c r="A19373" s="4" t="s">
        <v>117</v>
      </c>
      <c r="B19373" s="4">
        <v>2823</v>
      </c>
      <c r="D19373" s="5" t="s">
        <v>23692</v>
      </c>
      <c r="E19373" s="6" t="str">
        <f>HYPERLINK("https://inpn.mnhn.fr/espece/cd_nom/2823","Oxyura jamaicensis (Gmelin, 1789)")</f>
        <v>Oxyura jamaicensis (Gmelin, 1789)</v>
      </c>
      <c r="F19373" s="5" t="s">
        <v>23693</v>
      </c>
      <c r="G19373" s="4" t="str">
        <f>HYPERLINK("[#Réglementation!A"&amp;_xlfn.XMATCH("CCB",Réglementation!A:A,2,1),"CCB")</f>
        <v>CCB</v>
      </c>
      <c r="H19373" s="4" t="str">
        <f>HYPERLINK("#Réglementation!A"&amp;_xlfn.XMATCH("IBO2",Réglementation!A:A,2,1),"IBO2")</f>
        <v>IBO2</v>
      </c>
      <c r="I19373" s="4" t="str">
        <f>HYPERLINK("#Réglementation!A"&amp;_xlfn.XMATCH("IBE3",Réglementation!A:A,2,1),"IBE3")</f>
        <v>IBE3</v>
      </c>
      <c r="O19373" s="7" t="str">
        <f>HYPERLINK("#Liste_rouge!A"&amp;_xlfn.XMATCH("LC",Liste_rouge!A:A,2,1),"LC")</f>
        <v>LC</v>
      </c>
      <c r="Q19373" s="7" t="str">
        <f>HYPERLINK("#Liste_rouge!A"&amp;_xlfn.XMATCH("NA",Liste_rouge!A:A,2,1),"NA")</f>
        <v>NA</v>
      </c>
      <c r="AH19373" s="4" t="str">
        <f>HYPERLINK("#Statut_biogéographique!A"&amp;_xlfn.XMATCH("J",Statut_biogéographique!A:A,2,1),"J")</f>
        <v>J</v>
      </c>
      <c r="AL19373" s="5" t="str">
        <f>HYPERLINK("#Réglementation!A"&amp;_xlfn.XMATCH("FRnoEEEA2",Réglementation!A:A,2,1),"FRnoEEEA2 - UEintro - EEEUE")</f>
        <v>FRnoEEEA2 - UEintro - EEEUE</v>
      </c>
      <c r="AM19373" s="4" t="s">
        <v>375</v>
      </c>
      <c r="AN19373" s="4" t="s">
        <v>375</v>
      </c>
      <c r="AO19373" s="4" t="s">
        <v>375</v>
      </c>
      <c r="AP19373" s="4" t="s">
        <v>389</v>
      </c>
      <c r="AR19373" s="4" t="s">
        <v>377</v>
      </c>
    </row>
    <row r="19374" spans="1:44">
      <c r="A19374" s="4" t="s">
        <v>117</v>
      </c>
      <c r="B19374" s="4">
        <v>2826</v>
      </c>
      <c r="D19374" s="5" t="s">
        <v>23694</v>
      </c>
      <c r="E19374" s="6" t="str">
        <f>HYPERLINK("https://inpn.mnhn.fr/espece/cd_nom/2826","Oxyura leucocephala (Scopoli, 1769)")</f>
        <v>Oxyura leucocephala (Scopoli, 1769)</v>
      </c>
      <c r="F19374" s="5" t="s">
        <v>23695</v>
      </c>
      <c r="G19374" s="4" t="str">
        <f>HYPERLINK("[#Réglementation!A"&amp;_xlfn.XMATCH("CCA",Réglementation!A:A,2,1),"CCA")</f>
        <v>CCA</v>
      </c>
      <c r="H19374" s="4" t="str">
        <f>HYPERLINK("#Réglementation!A"&amp;_xlfn.XMATCH("IBOAE",Réglementation!A:A,2,1),"IBOAE - IBO1 - IBO2")</f>
        <v>IBOAE - IBO1 - IBO2</v>
      </c>
      <c r="I19374" s="4" t="str">
        <f>HYPERLINK("#Réglementation!A"&amp;_xlfn.XMATCH("IBE2",Réglementation!A:A,2,1),"IBE2")</f>
        <v>IBE2</v>
      </c>
      <c r="J19374" s="4" t="str">
        <f>HYPERLINK("#Réglementation!A"&amp;_xlfn.XMATCH("CDO1",Réglementation!A:A,2,1),"CDO1")</f>
        <v>CDO1</v>
      </c>
      <c r="L19374" s="4" t="str">
        <f>HYPERLINK("#Réglementation!A"&amp;_xlfn.XMATCH("NO3",Réglementation!A:A,2,1),"NO3 - NM")</f>
        <v>NO3 - NM</v>
      </c>
      <c r="O19374" s="7" t="str">
        <f>HYPERLINK("#Liste_rouge!A"&amp;_xlfn.XMATCH("EN",Liste_rouge!A:A,2,1),"EN")</f>
        <v>EN</v>
      </c>
      <c r="P19374" s="7" t="str">
        <f>HYPERLINK("#Liste_rouge!A"&amp;_xlfn.XMATCH("VU",Liste_rouge!A:A,2,1),"VU")</f>
        <v>VU</v>
      </c>
      <c r="Q19374" s="7" t="str">
        <f>HYPERLINK("#Liste_rouge!A"&amp;_xlfn.XMATCH("RE",Liste_rouge!A:A,2,1),"RE")</f>
        <v>RE</v>
      </c>
      <c r="S19374" s="7" t="str">
        <f>HYPERLINK("#Liste_rouge!A"&amp;_xlfn.XMATCH("NA",Liste_rouge!A:A,2,1),"NA")</f>
        <v>NA</v>
      </c>
      <c r="AH19374" s="4" t="str">
        <f>HYPERLINK("#Statut_biogéographique!A"&amp;_xlfn.XMATCH("P",Statut_biogéographique!A:A,2,1),"P")</f>
        <v>P</v>
      </c>
      <c r="AM19374" s="4" t="s">
        <v>375</v>
      </c>
      <c r="AN19374" s="4" t="s">
        <v>375</v>
      </c>
      <c r="AO19374" s="4" t="s">
        <v>375</v>
      </c>
      <c r="AP19374" s="4" t="s">
        <v>376</v>
      </c>
      <c r="AQ19374" s="4" t="s">
        <v>377</v>
      </c>
      <c r="AR19374" s="4" t="s">
        <v>377</v>
      </c>
    </row>
    <row r="19375" spans="1:44">
      <c r="A19375" s="4" t="s">
        <v>117</v>
      </c>
      <c r="B19375" s="4">
        <v>2832</v>
      </c>
      <c r="D19375" s="5" t="s">
        <v>23696</v>
      </c>
      <c r="E19375" s="6" t="str">
        <f>HYPERLINK("https://inpn.mnhn.fr/espece/cd_nom/2832","Pernis apivorus (Linnaeus, 1758)")</f>
        <v>Pernis apivorus (Linnaeus, 1758)</v>
      </c>
      <c r="F19375" s="5" t="s">
        <v>23697</v>
      </c>
      <c r="G19375" s="4" t="str">
        <f>HYPERLINK("[#Réglementation!A"&amp;_xlfn.XMATCH("CCA",Réglementation!A:A,2,1),"CCA")</f>
        <v>CCA</v>
      </c>
      <c r="H19375" s="4" t="str">
        <f>HYPERLINK("#Réglementation!A"&amp;_xlfn.XMATCH("IBO2",Réglementation!A:A,2,1),"IBO2")</f>
        <v>IBO2</v>
      </c>
      <c r="I19375" s="4" t="str">
        <f>HYPERLINK("#Réglementation!A"&amp;_xlfn.XMATCH("IBE3",Réglementation!A:A,2,1),"IBE3")</f>
        <v>IBE3</v>
      </c>
      <c r="J19375" s="4" t="str">
        <f>HYPERLINK("#Réglementation!A"&amp;_xlfn.XMATCH("CDO1",Réglementation!A:A,2,1),"CDO1")</f>
        <v>CDO1</v>
      </c>
      <c r="L19375" s="4" t="str">
        <f>HYPERLINK("#Réglementation!A"&amp;_xlfn.XMATCH("NO3",Réglementation!A:A,2,1),"NO3")</f>
        <v>NO3</v>
      </c>
      <c r="O19375" s="7" t="str">
        <f>HYPERLINK("#Liste_rouge!A"&amp;_xlfn.XMATCH("LC",Liste_rouge!A:A,2,1),"LC")</f>
        <v>LC</v>
      </c>
      <c r="P19375" s="7" t="str">
        <f>HYPERLINK("#Liste_rouge!A"&amp;_xlfn.XMATCH("LC",Liste_rouge!A:A,2,1),"LC")</f>
        <v>LC</v>
      </c>
      <c r="Q19375" s="7" t="str">
        <f>HYPERLINK("#Liste_rouge!A"&amp;_xlfn.XMATCH("LC",Liste_rouge!A:A,2,1),"LC")</f>
        <v>LC</v>
      </c>
      <c r="S19375" s="7" t="str">
        <f>HYPERLINK("#Liste_rouge!A"&amp;_xlfn.XMATCH("LC",Liste_rouge!A:A,2,1),"LC")</f>
        <v>LC</v>
      </c>
      <c r="T19375" s="7" t="str">
        <f>HYPERLINK("#Liste_rouge!A"&amp;_xlfn.XMATCH("LC",Liste_rouge!A:A,2,1),"LC")</f>
        <v>LC</v>
      </c>
      <c r="V19375" s="7" t="str">
        <f>HYPERLINK("#Liste_rouge!A"&amp;_xlfn.XMATCH("LC",Liste_rouge!A:A,2,1),"LC")</f>
        <v>LC</v>
      </c>
      <c r="AE19375" s="4" t="str">
        <f>HYPERLINK("#SCAP!A"&amp;_xlfn.XMATCH("1+",SCAP!A:A,2,1),"1+")</f>
        <v>1+</v>
      </c>
      <c r="AF19375" s="4" t="str">
        <f>HYPERLINK("#SCAP!A"&amp;_xlfn.XMATCH("2+",SCAP!A:A,2,1),"2+")</f>
        <v>2+</v>
      </c>
      <c r="AG19375" s="4" t="str">
        <f>HYPERLINK("#SCAP!A"&amp;_xlfn.XMATCH("2+",SCAP!A:A,2,1),"2+")</f>
        <v>2+</v>
      </c>
      <c r="AH19375" s="4" t="str">
        <f>HYPERLINK("#Statut_biogéographique!A"&amp;_xlfn.XMATCH("P",Statut_biogéographique!A:A,2,1),"P")</f>
        <v>P</v>
      </c>
      <c r="AM19375" s="4" t="s">
        <v>375</v>
      </c>
      <c r="AN19375" s="4" t="s">
        <v>375</v>
      </c>
      <c r="AO19375" s="4" t="s">
        <v>375</v>
      </c>
      <c r="AP19375" s="4" t="s">
        <v>376</v>
      </c>
      <c r="AR19375" s="4" t="s">
        <v>377</v>
      </c>
    </row>
    <row r="19376" spans="1:44">
      <c r="A19376" s="4" t="s">
        <v>117</v>
      </c>
      <c r="B19376" s="4">
        <v>2836</v>
      </c>
      <c r="D19376" s="5" t="s">
        <v>23698</v>
      </c>
      <c r="E19376" s="6" t="str">
        <f>HYPERLINK("https://inpn.mnhn.fr/espece/cd_nom/2836","Elanus caeruleus (Desfontaines, 1789)")</f>
        <v>Elanus caeruleus (Desfontaines, 1789)</v>
      </c>
      <c r="F19376" s="5" t="s">
        <v>23699</v>
      </c>
      <c r="G19376" s="4" t="str">
        <f>HYPERLINK("[#Réglementation!A"&amp;_xlfn.XMATCH("CCA",Réglementation!A:A,2,1),"CCA")</f>
        <v>CCA</v>
      </c>
      <c r="H19376" s="4" t="str">
        <f>HYPERLINK("#Réglementation!A"&amp;_xlfn.XMATCH("IBO2",Réglementation!A:A,2,1),"IBO2")</f>
        <v>IBO2</v>
      </c>
      <c r="I19376" s="4" t="str">
        <f>HYPERLINK("#Réglementation!A"&amp;_xlfn.XMATCH("IBE3",Réglementation!A:A,2,1),"IBE3")</f>
        <v>IBE3</v>
      </c>
      <c r="J19376" s="4" t="str">
        <f>HYPERLINK("#Réglementation!A"&amp;_xlfn.XMATCH("CDO1",Réglementation!A:A,2,1),"CDO1")</f>
        <v>CDO1</v>
      </c>
      <c r="L19376" s="4" t="str">
        <f>HYPERLINK("#Réglementation!A"&amp;_xlfn.XMATCH("NO3",Réglementation!A:A,2,1),"NO3")</f>
        <v>NO3</v>
      </c>
      <c r="O19376" s="7" t="str">
        <f>HYPERLINK("#Liste_rouge!A"&amp;_xlfn.XMATCH("LC",Liste_rouge!A:A,2,1),"LC")</f>
        <v>LC</v>
      </c>
      <c r="P19376" s="7" t="str">
        <f>HYPERLINK("#Liste_rouge!A"&amp;_xlfn.XMATCH("LC",Liste_rouge!A:A,2,1),"LC")</f>
        <v>LC</v>
      </c>
      <c r="Q19376" s="7" t="str">
        <f>HYPERLINK("#Liste_rouge!A"&amp;_xlfn.XMATCH("VU",Liste_rouge!A:A,2,1),"VU")</f>
        <v>VU</v>
      </c>
      <c r="S19376" s="7" t="str">
        <f>HYPERLINK("#Liste_rouge!A"&amp;_xlfn.XMATCH("NA",Liste_rouge!A:A,2,1),"NA")</f>
        <v>NA</v>
      </c>
      <c r="AH19376" s="4" t="str">
        <f>HYPERLINK("#Statut_biogéographique!A"&amp;_xlfn.XMATCH("P",Statut_biogéographique!A:A,2,1),"P")</f>
        <v>P</v>
      </c>
      <c r="AM19376" s="4" t="s">
        <v>375</v>
      </c>
      <c r="AN19376" s="4" t="s">
        <v>375</v>
      </c>
      <c r="AO19376" s="4" t="s">
        <v>375</v>
      </c>
      <c r="AP19376" s="4" t="s">
        <v>389</v>
      </c>
      <c r="AR19376" s="4" t="s">
        <v>377</v>
      </c>
    </row>
    <row r="19377" spans="1:44">
      <c r="A19377" s="4" t="s">
        <v>117</v>
      </c>
      <c r="B19377" s="4">
        <v>2840</v>
      </c>
      <c r="D19377" s="5" t="s">
        <v>23700</v>
      </c>
      <c r="E19377" s="6" t="str">
        <f>HYPERLINK("https://inpn.mnhn.fr/espece/cd_nom/2840","Milvus migrans (Boddaert, 1783)")</f>
        <v>Milvus migrans (Boddaert, 1783)</v>
      </c>
      <c r="F19377" s="5" t="s">
        <v>23701</v>
      </c>
      <c r="G19377" s="4" t="str">
        <f>HYPERLINK("[#Réglementation!A"&amp;_xlfn.XMATCH("CCA",Réglementation!A:A,2,1),"CCA")</f>
        <v>CCA</v>
      </c>
      <c r="H19377" s="4" t="str">
        <f>HYPERLINK("#Réglementation!A"&amp;_xlfn.XMATCH("IBO2",Réglementation!A:A,2,1),"IBO2")</f>
        <v>IBO2</v>
      </c>
      <c r="I19377" s="4" t="str">
        <f>HYPERLINK("#Réglementation!A"&amp;_xlfn.XMATCH("IBE3",Réglementation!A:A,2,1),"IBE3")</f>
        <v>IBE3</v>
      </c>
      <c r="J19377" s="4" t="str">
        <f>HYPERLINK("#Réglementation!A"&amp;_xlfn.XMATCH("CDO1",Réglementation!A:A,2,1),"CDO1")</f>
        <v>CDO1</v>
      </c>
      <c r="L19377" s="4" t="str">
        <f>HYPERLINK("#Réglementation!A"&amp;_xlfn.XMATCH("NO3",Réglementation!A:A,2,1),"NO3")</f>
        <v>NO3</v>
      </c>
      <c r="O19377" s="7" t="str">
        <f>HYPERLINK("#Liste_rouge!A"&amp;_xlfn.XMATCH("LC",Liste_rouge!A:A,2,1),"LC")</f>
        <v>LC</v>
      </c>
      <c r="P19377" s="7" t="str">
        <f>HYPERLINK("#Liste_rouge!A"&amp;_xlfn.XMATCH("LC",Liste_rouge!A:A,2,1),"LC")</f>
        <v>LC</v>
      </c>
      <c r="Q19377" s="7" t="str">
        <f>HYPERLINK("#Liste_rouge!A"&amp;_xlfn.XMATCH("LC",Liste_rouge!A:A,2,1),"LC")</f>
        <v>LC</v>
      </c>
      <c r="S19377" s="7" t="str">
        <f>HYPERLINK("#Liste_rouge!A"&amp;_xlfn.XMATCH("NA",Liste_rouge!A:A,2,1),"NA")</f>
        <v>NA</v>
      </c>
      <c r="T19377" s="7" t="str">
        <f>HYPERLINK("#Liste_rouge!A"&amp;_xlfn.XMATCH("LC",Liste_rouge!A:A,2,1),"LC")</f>
        <v>LC</v>
      </c>
      <c r="V19377" s="7" t="str">
        <f>HYPERLINK("#Liste_rouge!A"&amp;_xlfn.XMATCH("LC",Liste_rouge!A:A,2,1),"LC")</f>
        <v>LC</v>
      </c>
      <c r="AH19377" s="4" t="str">
        <f>HYPERLINK("#Statut_biogéographique!A"&amp;_xlfn.XMATCH("P",Statut_biogéographique!A:A,2,1),"P")</f>
        <v>P</v>
      </c>
      <c r="AM19377" s="4" t="s">
        <v>375</v>
      </c>
      <c r="AN19377" s="4" t="s">
        <v>375</v>
      </c>
      <c r="AO19377" s="4" t="s">
        <v>375</v>
      </c>
      <c r="AP19377" s="4" t="s">
        <v>376</v>
      </c>
      <c r="AR19377" s="4" t="s">
        <v>377</v>
      </c>
    </row>
    <row r="19378" spans="1:44" ht="60">
      <c r="A19378" s="4" t="s">
        <v>117</v>
      </c>
      <c r="B19378" s="4">
        <v>2844</v>
      </c>
      <c r="D19378" s="5" t="s">
        <v>23702</v>
      </c>
      <c r="E19378" s="6" t="str">
        <f>HYPERLINK("https://inpn.mnhn.fr/espece/cd_nom/2844","Milvus milvus (Linnaeus, 1758)")</f>
        <v>Milvus milvus (Linnaeus, 1758)</v>
      </c>
      <c r="F19378" s="5" t="s">
        <v>23703</v>
      </c>
      <c r="G19378" s="4" t="str">
        <f>HYPERLINK("[#Réglementation!A"&amp;_xlfn.XMATCH("CCA",Réglementation!A:A,2,1),"CCA")</f>
        <v>CCA</v>
      </c>
      <c r="H19378" s="4" t="str">
        <f>HYPERLINK("#Réglementation!A"&amp;_xlfn.XMATCH("IBO2",Réglementation!A:A,2,1),"IBO2")</f>
        <v>IBO2</v>
      </c>
      <c r="I19378" s="4" t="str">
        <f>HYPERLINK("#Réglementation!A"&amp;_xlfn.XMATCH("IBE3",Réglementation!A:A,2,1),"IBE3")</f>
        <v>IBE3</v>
      </c>
      <c r="J19378" s="4" t="str">
        <f>HYPERLINK("#Réglementation!A"&amp;_xlfn.XMATCH("CDO1",Réglementation!A:A,2,1),"CDO1")</f>
        <v>CDO1</v>
      </c>
      <c r="L19378" s="4" t="str">
        <f>HYPERLINK("#Réglementation!A"&amp;_xlfn.XMATCH("NO3",Réglementation!A:A,2,1),"NO3")</f>
        <v>NO3</v>
      </c>
      <c r="O19378" s="7" t="str">
        <f>HYPERLINK("#Liste_rouge!A"&amp;_xlfn.XMATCH("LC",Liste_rouge!A:A,2,1),"LC")</f>
        <v>LC</v>
      </c>
      <c r="P19378" s="7" t="str">
        <f>HYPERLINK("#Liste_rouge!A"&amp;_xlfn.XMATCH("LC",Liste_rouge!A:A,2,1),"LC")</f>
        <v>LC</v>
      </c>
      <c r="Q19378" s="7" t="str">
        <f>HYPERLINK("#Liste_rouge!A"&amp;_xlfn.XMATCH("VU",Liste_rouge!A:A,2,1),"VU")</f>
        <v>VU</v>
      </c>
      <c r="R19378" s="7" t="str">
        <f>HYPERLINK("#Liste_rouge!A"&amp;_xlfn.XMATCH("VU",Liste_rouge!A:A,2,1),"VU")</f>
        <v>VU</v>
      </c>
      <c r="S19378" s="7" t="str">
        <f>HYPERLINK("#Liste_rouge!A"&amp;_xlfn.XMATCH("NA",Liste_rouge!A:A,2,1),"NA")</f>
        <v>NA</v>
      </c>
      <c r="T19378" s="7" t="str">
        <f>HYPERLINK("#Liste_rouge!A"&amp;_xlfn.XMATCH("EN",Liste_rouge!A:A,2,1),"EN")</f>
        <v>EN</v>
      </c>
      <c r="U19378" s="4" t="str">
        <f>HYPERLINK("#Critères_liste_rouge!A$1","D1")</f>
        <v>D1</v>
      </c>
      <c r="V19378" s="7" t="str">
        <f>HYPERLINK("#Liste_rouge!A"&amp;_xlfn.XMATCH("VU",Liste_rouge!A:A,2,1),"VU")</f>
        <v>VU</v>
      </c>
      <c r="W19378" s="4" t="str">
        <f>HYPERLINK("#Critères_liste_rouge!A$1","D1")</f>
        <v>D1</v>
      </c>
      <c r="X19378" s="5" t="s">
        <v>23442</v>
      </c>
      <c r="Y19378" s="5" t="s">
        <v>23455</v>
      </c>
      <c r="AE19378" s="4" t="str">
        <f>HYPERLINK("#SCAP!A"&amp;_xlfn.XMATCH("2+",SCAP!A:A,2,1),"2+")</f>
        <v>2+</v>
      </c>
      <c r="AF19378" s="4" t="str">
        <f>HYPERLINK("#SCAP!A"&amp;_xlfn.XMATCH("2+",SCAP!A:A,2,1),"2+")</f>
        <v>2+</v>
      </c>
      <c r="AG19378" s="4" t="str">
        <f>HYPERLINK("#SCAP!A"&amp;_xlfn.XMATCH("2+",SCAP!A:A,2,1),"2+")</f>
        <v>2+</v>
      </c>
      <c r="AH19378" s="4" t="str">
        <f>HYPERLINK("#Statut_biogéographique!A"&amp;_xlfn.XMATCH("P",Statut_biogéographique!A:A,2,1),"P")</f>
        <v>P</v>
      </c>
      <c r="AI19378" s="8" t="s">
        <v>23704</v>
      </c>
      <c r="AJ19378" s="4" t="s">
        <v>23705</v>
      </c>
      <c r="AM19378" s="4" t="s">
        <v>375</v>
      </c>
      <c r="AN19378" s="4" t="s">
        <v>375</v>
      </c>
      <c r="AO19378" s="4" t="s">
        <v>375</v>
      </c>
      <c r="AP19378" s="4" t="s">
        <v>389</v>
      </c>
      <c r="AR19378" s="4" t="s">
        <v>377</v>
      </c>
    </row>
    <row r="19379" spans="1:44">
      <c r="A19379" s="4" t="s">
        <v>117</v>
      </c>
      <c r="B19379" s="4">
        <v>2848</v>
      </c>
      <c r="D19379" s="5" t="s">
        <v>23706</v>
      </c>
      <c r="E19379" s="6" t="str">
        <f>HYPERLINK("https://inpn.mnhn.fr/espece/cd_nom/2848","Haliaeetus albicilla (Linnaeus, 1758)")</f>
        <v>Haliaeetus albicilla (Linnaeus, 1758)</v>
      </c>
      <c r="F19379" s="5" t="s">
        <v>23707</v>
      </c>
      <c r="G19379" s="4" t="str">
        <f>HYPERLINK("[#Réglementation!A"&amp;_xlfn.XMATCH("CCA",Réglementation!A:A,2,1),"CCA")</f>
        <v>CCA</v>
      </c>
      <c r="H19379" s="4" t="str">
        <f>HYPERLINK("#Réglementation!A"&amp;_xlfn.XMATCH("IBO1",Réglementation!A:A,2,1),"IBO1 - IBO2")</f>
        <v>IBO1 - IBO2</v>
      </c>
      <c r="I19379" s="4" t="str">
        <f>HYPERLINK("#Réglementation!A"&amp;_xlfn.XMATCH("IBE3",Réglementation!A:A,2,1),"IBE3")</f>
        <v>IBE3</v>
      </c>
      <c r="J19379" s="4" t="str">
        <f>HYPERLINK("#Réglementation!A"&amp;_xlfn.XMATCH("CDO1",Réglementation!A:A,2,1),"CDO1")</f>
        <v>CDO1</v>
      </c>
      <c r="L19379" s="4" t="str">
        <f>HYPERLINK("#Réglementation!A"&amp;_xlfn.XMATCH("NO3",Réglementation!A:A,2,1),"NO3")</f>
        <v>NO3</v>
      </c>
      <c r="O19379" s="7" t="str">
        <f>HYPERLINK("#Liste_rouge!A"&amp;_xlfn.XMATCH("LC",Liste_rouge!A:A,2,1),"LC")</f>
        <v>LC</v>
      </c>
      <c r="P19379" s="7" t="str">
        <f>HYPERLINK("#Liste_rouge!A"&amp;_xlfn.XMATCH("LC",Liste_rouge!A:A,2,1),"LC")</f>
        <v>LC</v>
      </c>
      <c r="Q19379" s="7" t="str">
        <f>HYPERLINK("#Liste_rouge!A"&amp;_xlfn.XMATCH("CR",Liste_rouge!A:A,2,1),"CR")</f>
        <v>CR</v>
      </c>
      <c r="R19379" s="7" t="str">
        <f>HYPERLINK("#Liste_rouge!A"&amp;_xlfn.XMATCH("NA",Liste_rouge!A:A,2,1),"NA")</f>
        <v>NA</v>
      </c>
      <c r="AH19379" s="4" t="str">
        <f>HYPERLINK("#Statut_biogéographique!A"&amp;_xlfn.XMATCH("P",Statut_biogéographique!A:A,2,1),"P")</f>
        <v>P</v>
      </c>
      <c r="AM19379" s="4" t="s">
        <v>375</v>
      </c>
      <c r="AN19379" s="4" t="s">
        <v>375</v>
      </c>
      <c r="AO19379" s="4" t="s">
        <v>375</v>
      </c>
      <c r="AP19379" s="4" t="s">
        <v>389</v>
      </c>
      <c r="AR19379" s="4" t="s">
        <v>377</v>
      </c>
    </row>
    <row r="19380" spans="1:44">
      <c r="A19380" s="4" t="s">
        <v>117</v>
      </c>
      <c r="B19380" s="4">
        <v>2852</v>
      </c>
      <c r="D19380" s="5" t="s">
        <v>23708</v>
      </c>
      <c r="E19380" s="6" t="str">
        <f>HYPERLINK("https://inpn.mnhn.fr/espece/cd_nom/2852","Gypaetus barbatus (Linnaeus, 1758)")</f>
        <v>Gypaetus barbatus (Linnaeus, 1758)</v>
      </c>
      <c r="F19380" s="5" t="s">
        <v>23709</v>
      </c>
      <c r="G19380" s="4" t="str">
        <f>HYPERLINK("[#Réglementation!A"&amp;_xlfn.XMATCH("CCA",Réglementation!A:A,2,1),"CCA")</f>
        <v>CCA</v>
      </c>
      <c r="H19380" s="4" t="str">
        <f>HYPERLINK("#Réglementation!A"&amp;_xlfn.XMATCH("IBO2",Réglementation!A:A,2,1),"IBO2")</f>
        <v>IBO2</v>
      </c>
      <c r="I19380" s="4" t="str">
        <f>HYPERLINK("#Réglementation!A"&amp;_xlfn.XMATCH("IBE3",Réglementation!A:A,2,1),"IBE3")</f>
        <v>IBE3</v>
      </c>
      <c r="J19380" s="4" t="str">
        <f>HYPERLINK("#Réglementation!A"&amp;_xlfn.XMATCH("CDO1",Réglementation!A:A,2,1),"CDO1")</f>
        <v>CDO1</v>
      </c>
      <c r="L19380" s="4" t="str">
        <f>HYPERLINK("#Réglementation!A"&amp;_xlfn.XMATCH("gypaete1",Réglementation!A:A,2,1),"gypaete1 - NO3 - NM")</f>
        <v>gypaete1 - NO3 - NM</v>
      </c>
      <c r="O19380" s="7" t="str">
        <f>HYPERLINK("#Liste_rouge!A"&amp;_xlfn.XMATCH("NT",Liste_rouge!A:A,2,1),"NT")</f>
        <v>NT</v>
      </c>
      <c r="P19380" s="7" t="str">
        <f>HYPERLINK("#Liste_rouge!A"&amp;_xlfn.XMATCH("NT",Liste_rouge!A:A,2,1),"NT")</f>
        <v>NT</v>
      </c>
      <c r="Q19380" s="7" t="str">
        <f>HYPERLINK("#Liste_rouge!A"&amp;_xlfn.XMATCH("EN",Liste_rouge!A:A,2,1),"EN")</f>
        <v>EN</v>
      </c>
      <c r="AE19380" s="4" t="str">
        <f>HYPERLINK("#SCAP!A"&amp;_xlfn.XMATCH("2+",SCAP!A:A,2,1),"2+")</f>
        <v>2+</v>
      </c>
      <c r="AH19380" s="4" t="str">
        <f>HYPERLINK("#Statut_biogéographique!A"&amp;_xlfn.XMATCH("P",Statut_biogéographique!A:A,2,1),"P")</f>
        <v>P</v>
      </c>
      <c r="AI19380" s="8" t="s">
        <v>23710</v>
      </c>
      <c r="AJ19380" s="4" t="s">
        <v>23711</v>
      </c>
      <c r="AP19380" s="4" t="s">
        <v>376</v>
      </c>
      <c r="AQ19380" s="4" t="s">
        <v>377</v>
      </c>
      <c r="AR19380" s="4" t="s">
        <v>377</v>
      </c>
    </row>
    <row r="19381" spans="1:44">
      <c r="A19381" s="4" t="s">
        <v>117</v>
      </c>
      <c r="B19381" s="4">
        <v>2856</v>
      </c>
      <c r="D19381" s="5" t="s">
        <v>23712</v>
      </c>
      <c r="E19381" s="6" t="str">
        <f>HYPERLINK("https://inpn.mnhn.fr/espece/cd_nom/2856","Neophron percnopterus (Linnaeus, 1758)")</f>
        <v>Neophron percnopterus (Linnaeus, 1758)</v>
      </c>
      <c r="F19381" s="5" t="s">
        <v>23713</v>
      </c>
      <c r="G19381" s="4" t="str">
        <f>HYPERLINK("[#Réglementation!A"&amp;_xlfn.XMATCH("CCA",Réglementation!A:A,2,1),"CCA")</f>
        <v>CCA</v>
      </c>
      <c r="H19381" s="4" t="str">
        <f>HYPERLINK("#Réglementation!A"&amp;_xlfn.XMATCH("IBO1",Réglementation!A:A,2,1),"IBO1 - IBO2")</f>
        <v>IBO1 - IBO2</v>
      </c>
      <c r="I19381" s="4" t="str">
        <f>HYPERLINK("#Réglementation!A"&amp;_xlfn.XMATCH("IBE3",Réglementation!A:A,2,1),"IBE3")</f>
        <v>IBE3</v>
      </c>
      <c r="J19381" s="4" t="str">
        <f>HYPERLINK("#Réglementation!A"&amp;_xlfn.XMATCH("CDO1",Réglementation!A:A,2,1),"CDO1")</f>
        <v>CDO1</v>
      </c>
      <c r="L19381" s="4" t="str">
        <f>HYPERLINK("#Réglementation!A"&amp;_xlfn.XMATCH("NO3",Réglementation!A:A,2,1),"NO3")</f>
        <v>NO3</v>
      </c>
      <c r="O19381" s="7" t="str">
        <f>HYPERLINK("#Liste_rouge!A"&amp;_xlfn.XMATCH("EN",Liste_rouge!A:A,2,1),"EN")</f>
        <v>EN</v>
      </c>
      <c r="P19381" s="7" t="str">
        <f>HYPERLINK("#Liste_rouge!A"&amp;_xlfn.XMATCH("VU",Liste_rouge!A:A,2,1),"VU")</f>
        <v>VU</v>
      </c>
      <c r="Q19381" s="7" t="str">
        <f>HYPERLINK("#Liste_rouge!A"&amp;_xlfn.XMATCH("EN",Liste_rouge!A:A,2,1),"EN")</f>
        <v>EN</v>
      </c>
      <c r="AE19381" s="4" t="str">
        <f>HYPERLINK("#SCAP!A"&amp;_xlfn.XMATCH("2+",SCAP!A:A,2,1),"2+")</f>
        <v>2+</v>
      </c>
      <c r="AH19381" s="4" t="str">
        <f>HYPERLINK("#Statut_biogéographique!A"&amp;_xlfn.XMATCH("P",Statut_biogéographique!A:A,2,1),"P")</f>
        <v>P</v>
      </c>
      <c r="AI19381" s="8" t="s">
        <v>23714</v>
      </c>
      <c r="AJ19381" s="4" t="s">
        <v>23715</v>
      </c>
      <c r="AM19381" s="4" t="s">
        <v>375</v>
      </c>
      <c r="AN19381" s="4" t="s">
        <v>375</v>
      </c>
      <c r="AO19381" s="4" t="s">
        <v>375</v>
      </c>
      <c r="AP19381" s="4" t="s">
        <v>389</v>
      </c>
      <c r="AR19381" s="4" t="s">
        <v>377</v>
      </c>
    </row>
    <row r="19382" spans="1:44">
      <c r="A19382" s="4" t="s">
        <v>117</v>
      </c>
      <c r="B19382" s="4">
        <v>2860</v>
      </c>
      <c r="D19382" s="5" t="s">
        <v>23716</v>
      </c>
      <c r="E19382" s="6" t="str">
        <f>HYPERLINK("https://inpn.mnhn.fr/espece/cd_nom/2860","Gyps fulvus (Hablizl, 1783)")</f>
        <v>Gyps fulvus (Hablizl, 1783)</v>
      </c>
      <c r="F19382" s="5" t="s">
        <v>23717</v>
      </c>
      <c r="G19382" s="4" t="str">
        <f>HYPERLINK("[#Réglementation!A"&amp;_xlfn.XMATCH("CCA",Réglementation!A:A,2,1),"CCA")</f>
        <v>CCA</v>
      </c>
      <c r="H19382" s="4" t="str">
        <f>HYPERLINK("#Réglementation!A"&amp;_xlfn.XMATCH("IBO2",Réglementation!A:A,2,1),"IBO2")</f>
        <v>IBO2</v>
      </c>
      <c r="I19382" s="4" t="str">
        <f>HYPERLINK("#Réglementation!A"&amp;_xlfn.XMATCH("IBE3",Réglementation!A:A,2,1),"IBE3")</f>
        <v>IBE3</v>
      </c>
      <c r="J19382" s="4" t="str">
        <f>HYPERLINK("#Réglementation!A"&amp;_xlfn.XMATCH("CDO1",Réglementation!A:A,2,1),"CDO1")</f>
        <v>CDO1</v>
      </c>
      <c r="L19382" s="4" t="str">
        <f>HYPERLINK("#Réglementation!A"&amp;_xlfn.XMATCH("NO3",Réglementation!A:A,2,1),"NO3")</f>
        <v>NO3</v>
      </c>
      <c r="O19382" s="7" t="str">
        <f>HYPERLINK("#Liste_rouge!A"&amp;_xlfn.XMATCH("LC",Liste_rouge!A:A,2,1),"LC")</f>
        <v>LC</v>
      </c>
      <c r="P19382" s="7" t="str">
        <f>HYPERLINK("#Liste_rouge!A"&amp;_xlfn.XMATCH("LC",Liste_rouge!A:A,2,1),"LC")</f>
        <v>LC</v>
      </c>
      <c r="Q19382" s="7" t="str">
        <f>HYPERLINK("#Liste_rouge!A"&amp;_xlfn.XMATCH("LC",Liste_rouge!A:A,2,1),"LC")</f>
        <v>LC</v>
      </c>
      <c r="AH19382" s="4" t="str">
        <f>HYPERLINK("#Statut_biogéographique!A"&amp;_xlfn.XMATCH("P",Statut_biogéographique!A:A,2,1),"P")</f>
        <v>P</v>
      </c>
      <c r="AI19382" s="8" t="s">
        <v>23718</v>
      </c>
      <c r="AJ19382" s="4" t="s">
        <v>23719</v>
      </c>
      <c r="AM19382" s="4" t="s">
        <v>375</v>
      </c>
      <c r="AN19382" s="4" t="s">
        <v>375</v>
      </c>
      <c r="AO19382" s="4" t="s">
        <v>375</v>
      </c>
      <c r="AP19382" s="4" t="s">
        <v>376</v>
      </c>
      <c r="AR19382" s="4" t="s">
        <v>377</v>
      </c>
    </row>
    <row r="19383" spans="1:44">
      <c r="A19383" s="4" t="s">
        <v>117</v>
      </c>
      <c r="B19383" s="4">
        <v>2864</v>
      </c>
      <c r="D19383" s="5" t="s">
        <v>23720</v>
      </c>
      <c r="E19383" s="6" t="str">
        <f>HYPERLINK("https://inpn.mnhn.fr/espece/cd_nom/2864","Torgos tracheliotus (J. R. Forster, 1791)")</f>
        <v>Torgos tracheliotus (J. R. Forster, 1791)</v>
      </c>
      <c r="F19383" s="5" t="s">
        <v>23721</v>
      </c>
      <c r="H19383" s="4" t="str">
        <f>HYPERLINK("#Réglementation!A"&amp;_xlfn.XMATCH("IBO1",Réglementation!A:A,2,1),"IBO1 - IBO2")</f>
        <v>IBO1 - IBO2</v>
      </c>
      <c r="I19383" s="4" t="str">
        <f>HYPERLINK("#Réglementation!A"&amp;_xlfn.XMATCH("IBE3",Réglementation!A:A,2,1),"IBE3")</f>
        <v>IBE3</v>
      </c>
      <c r="O19383" s="7" t="str">
        <f>HYPERLINK("#Liste_rouge!A"&amp;_xlfn.XMATCH("EN",Liste_rouge!A:A,2,1),"EN")</f>
        <v>EN</v>
      </c>
      <c r="S19383" s="7" t="str">
        <f>HYPERLINK("#Liste_rouge!A"&amp;_xlfn.XMATCH("NA",Liste_rouge!A:A,2,1),"NA")</f>
        <v>NA</v>
      </c>
      <c r="AH19383" s="4" t="str">
        <f>HYPERLINK("#Statut_biogéographique!A"&amp;_xlfn.XMATCH("B",Statut_biogéographique!A:A,2,1),"B")</f>
        <v>B</v>
      </c>
      <c r="AL19383" s="5" t="str">
        <f>HYPERLINK("#Réglementation!A"&amp;_xlfn.XMATCH("UEintro",Réglementation!A:A,2,1),"UEintro")</f>
        <v>UEintro</v>
      </c>
      <c r="AP19383" s="4" t="s">
        <v>376</v>
      </c>
      <c r="AR19383" s="4" t="s">
        <v>377</v>
      </c>
    </row>
    <row r="19384" spans="1:44">
      <c r="A19384" s="4" t="s">
        <v>117</v>
      </c>
      <c r="B19384" s="4">
        <v>2869</v>
      </c>
      <c r="D19384" s="5" t="s">
        <v>23722</v>
      </c>
      <c r="E19384" s="6" t="str">
        <f>HYPERLINK("https://inpn.mnhn.fr/espece/cd_nom/2869","Aegypius monachus (Linnaeus, 1766)")</f>
        <v>Aegypius monachus (Linnaeus, 1766)</v>
      </c>
      <c r="F19384" s="5" t="s">
        <v>23723</v>
      </c>
      <c r="G19384" s="4" t="str">
        <f>HYPERLINK("[#Réglementation!A"&amp;_xlfn.XMATCH("CCA",Réglementation!A:A,2,1),"CCA")</f>
        <v>CCA</v>
      </c>
      <c r="H19384" s="4" t="str">
        <f>HYPERLINK("#Réglementation!A"&amp;_xlfn.XMATCH("IBO2",Réglementation!A:A,2,1),"IBO2")</f>
        <v>IBO2</v>
      </c>
      <c r="I19384" s="4" t="str">
        <f>HYPERLINK("#Réglementation!A"&amp;_xlfn.XMATCH("IBE3",Réglementation!A:A,2,1),"IBE3")</f>
        <v>IBE3</v>
      </c>
      <c r="J19384" s="4" t="str">
        <f>HYPERLINK("#Réglementation!A"&amp;_xlfn.XMATCH("CDO1",Réglementation!A:A,2,1),"CDO1")</f>
        <v>CDO1</v>
      </c>
      <c r="L19384" s="4" t="str">
        <f>HYPERLINK("#Réglementation!A"&amp;_xlfn.XMATCH("NO3",Réglementation!A:A,2,1),"NO3 - NM")</f>
        <v>NO3 - NM</v>
      </c>
      <c r="O19384" s="7" t="str">
        <f>HYPERLINK("#Liste_rouge!A"&amp;_xlfn.XMATCH("NT",Liste_rouge!A:A,2,1),"NT")</f>
        <v>NT</v>
      </c>
      <c r="P19384" s="7" t="str">
        <f>HYPERLINK("#Liste_rouge!A"&amp;_xlfn.XMATCH("LC",Liste_rouge!A:A,2,1),"LC")</f>
        <v>LC</v>
      </c>
      <c r="Q19384" s="7" t="str">
        <f>HYPERLINK("#Liste_rouge!A"&amp;_xlfn.XMATCH("EN",Liste_rouge!A:A,2,1),"EN")</f>
        <v>EN</v>
      </c>
      <c r="S19384" s="7" t="str">
        <f>HYPERLINK("#Liste_rouge!A"&amp;_xlfn.XMATCH("NA",Liste_rouge!A:A,2,1),"NA")</f>
        <v>NA</v>
      </c>
      <c r="AH19384" s="4" t="str">
        <f>HYPERLINK("#Statut_biogéographique!A"&amp;_xlfn.XMATCH("P",Statut_biogéographique!A:A,2,1),"P")</f>
        <v>P</v>
      </c>
      <c r="AI19384" s="8" t="s">
        <v>23724</v>
      </c>
      <c r="AJ19384" s="4" t="s">
        <v>23725</v>
      </c>
      <c r="AM19384" s="4" t="s">
        <v>375</v>
      </c>
      <c r="AN19384" s="4" t="s">
        <v>375</v>
      </c>
      <c r="AO19384" s="4" t="s">
        <v>375</v>
      </c>
      <c r="AP19384" s="4" t="s">
        <v>376</v>
      </c>
      <c r="AQ19384" s="4" t="s">
        <v>377</v>
      </c>
      <c r="AR19384" s="4" t="s">
        <v>377</v>
      </c>
    </row>
    <row r="19385" spans="1:44">
      <c r="A19385" s="4" t="s">
        <v>117</v>
      </c>
      <c r="B19385" s="4">
        <v>2873</v>
      </c>
      <c r="D19385" s="5" t="s">
        <v>23726</v>
      </c>
      <c r="E19385" s="6" t="str">
        <f>HYPERLINK("https://inpn.mnhn.fr/espece/cd_nom/2873","Circaetus gallicus (Gmelin, 1788)")</f>
        <v>Circaetus gallicus (Gmelin, 1788)</v>
      </c>
      <c r="F19385" s="5" t="s">
        <v>23727</v>
      </c>
      <c r="G19385" s="4" t="str">
        <f>HYPERLINK("[#Réglementation!A"&amp;_xlfn.XMATCH("CCA",Réglementation!A:A,2,1),"CCA")</f>
        <v>CCA</v>
      </c>
      <c r="H19385" s="4" t="str">
        <f>HYPERLINK("#Réglementation!A"&amp;_xlfn.XMATCH("IBO2",Réglementation!A:A,2,1),"IBO2")</f>
        <v>IBO2</v>
      </c>
      <c r="I19385" s="4" t="str">
        <f>HYPERLINK("#Réglementation!A"&amp;_xlfn.XMATCH("IBE3",Réglementation!A:A,2,1),"IBE3")</f>
        <v>IBE3</v>
      </c>
      <c r="J19385" s="4" t="str">
        <f>HYPERLINK("#Réglementation!A"&amp;_xlfn.XMATCH("CDO1",Réglementation!A:A,2,1),"CDO1")</f>
        <v>CDO1</v>
      </c>
      <c r="L19385" s="4" t="str">
        <f>HYPERLINK("#Réglementation!A"&amp;_xlfn.XMATCH("NO3",Réglementation!A:A,2,1),"NO3")</f>
        <v>NO3</v>
      </c>
      <c r="O19385" s="7" t="str">
        <f>HYPERLINK("#Liste_rouge!A"&amp;_xlfn.XMATCH("LC",Liste_rouge!A:A,2,1),"LC")</f>
        <v>LC</v>
      </c>
      <c r="P19385" s="7" t="str">
        <f>HYPERLINK("#Liste_rouge!A"&amp;_xlfn.XMATCH("LC",Liste_rouge!A:A,2,1),"LC")</f>
        <v>LC</v>
      </c>
      <c r="Q19385" s="7" t="str">
        <f>HYPERLINK("#Liste_rouge!A"&amp;_xlfn.XMATCH("LC",Liste_rouge!A:A,2,1),"LC")</f>
        <v>LC</v>
      </c>
      <c r="S19385" s="7" t="str">
        <f>HYPERLINK("#Liste_rouge!A"&amp;_xlfn.XMATCH("NA",Liste_rouge!A:A,2,1),"NA")</f>
        <v>NA</v>
      </c>
      <c r="T19385" s="7" t="str">
        <f>HYPERLINK("#Liste_rouge!A"&amp;_xlfn.XMATCH("EN",Liste_rouge!A:A,2,1),"EN")</f>
        <v>EN</v>
      </c>
      <c r="U19385" s="4" t="str">
        <f>HYPERLINK("#Critères_liste_rouge!A$1","D1")</f>
        <v>D1</v>
      </c>
      <c r="V19385" s="7" t="str">
        <f>HYPERLINK("#Liste_rouge!A"&amp;_xlfn.XMATCH("EN",Liste_rouge!A:A,2,1),"EN")</f>
        <v>EN</v>
      </c>
      <c r="W19385" s="4" t="str">
        <f>HYPERLINK("#Critères_liste_rouge!A$1","CR (D1) (-1)")</f>
        <v>CR (D1) (-1)</v>
      </c>
      <c r="X19385" s="5" t="s">
        <v>374</v>
      </c>
      <c r="AD19385" s="4" t="s">
        <v>23551</v>
      </c>
      <c r="AE19385" s="4" t="str">
        <f>HYPERLINK("#SCAP!A"&amp;_xlfn.XMATCH("1-",SCAP!A:A,2,1),"1-")</f>
        <v>1-</v>
      </c>
      <c r="AF19385" s="4" t="str">
        <f>HYPERLINK("#SCAP!A"&amp;_xlfn.XMATCH("2+",SCAP!A:A,2,1),"2+")</f>
        <v>2+</v>
      </c>
      <c r="AG19385" s="4" t="str">
        <f>HYPERLINK("#SCAP!A"&amp;_xlfn.XMATCH("1+",SCAP!A:A,2,1),"1+")</f>
        <v>1+</v>
      </c>
      <c r="AH19385" s="4" t="str">
        <f>HYPERLINK("#Statut_biogéographique!A"&amp;_xlfn.XMATCH("P",Statut_biogéographique!A:A,2,1),"P")</f>
        <v>P</v>
      </c>
      <c r="AM19385" s="4" t="s">
        <v>375</v>
      </c>
      <c r="AN19385" s="4" t="s">
        <v>375</v>
      </c>
      <c r="AO19385" s="4" t="s">
        <v>375</v>
      </c>
      <c r="AP19385" s="4" t="s">
        <v>376</v>
      </c>
      <c r="AR19385" s="4" t="s">
        <v>377</v>
      </c>
    </row>
    <row r="19386" spans="1:44">
      <c r="A19386" s="4" t="s">
        <v>117</v>
      </c>
      <c r="B19386" s="4">
        <v>2878</v>
      </c>
      <c r="D19386" s="5" t="s">
        <v>23728</v>
      </c>
      <c r="E19386" s="6" t="str">
        <f>HYPERLINK("https://inpn.mnhn.fr/espece/cd_nom/2878","Circus aeruginosus (Linnaeus, 1758)")</f>
        <v>Circus aeruginosus (Linnaeus, 1758)</v>
      </c>
      <c r="F19386" s="5" t="s">
        <v>23729</v>
      </c>
      <c r="G19386" s="4" t="str">
        <f>HYPERLINK("[#Réglementation!A"&amp;_xlfn.XMATCH("CCA",Réglementation!A:A,2,1),"CCA")</f>
        <v>CCA</v>
      </c>
      <c r="H19386" s="4" t="str">
        <f>HYPERLINK("#Réglementation!A"&amp;_xlfn.XMATCH("IBO2",Réglementation!A:A,2,1),"IBO2")</f>
        <v>IBO2</v>
      </c>
      <c r="I19386" s="4" t="str">
        <f>HYPERLINK("#Réglementation!A"&amp;_xlfn.XMATCH("IBE3",Réglementation!A:A,2,1),"IBE3")</f>
        <v>IBE3</v>
      </c>
      <c r="J19386" s="4" t="str">
        <f>HYPERLINK("#Réglementation!A"&amp;_xlfn.XMATCH("CDO1",Réglementation!A:A,2,1),"CDO1")</f>
        <v>CDO1</v>
      </c>
      <c r="L19386" s="4" t="str">
        <f>HYPERLINK("#Réglementation!A"&amp;_xlfn.XMATCH("NO3",Réglementation!A:A,2,1),"NO3")</f>
        <v>NO3</v>
      </c>
      <c r="O19386" s="7" t="str">
        <f>HYPERLINK("#Liste_rouge!A"&amp;_xlfn.XMATCH("LC",Liste_rouge!A:A,2,1),"LC")</f>
        <v>LC</v>
      </c>
      <c r="P19386" s="7" t="str">
        <f>HYPERLINK("#Liste_rouge!A"&amp;_xlfn.XMATCH("LC",Liste_rouge!A:A,2,1),"LC")</f>
        <v>LC</v>
      </c>
      <c r="Q19386" s="7" t="str">
        <f>HYPERLINK("#Liste_rouge!A"&amp;_xlfn.XMATCH("NT",Liste_rouge!A:A,2,1),"NT")</f>
        <v>NT</v>
      </c>
      <c r="R19386" s="7" t="str">
        <f>HYPERLINK("#Liste_rouge!A"&amp;_xlfn.XMATCH("NA",Liste_rouge!A:A,2,1),"NA")</f>
        <v>NA</v>
      </c>
      <c r="S19386" s="7" t="str">
        <f>HYPERLINK("#Liste_rouge!A"&amp;_xlfn.XMATCH("NA",Liste_rouge!A:A,2,1),"NA")</f>
        <v>NA</v>
      </c>
      <c r="T19386" s="7" t="str">
        <f>HYPERLINK("#Liste_rouge!A"&amp;_xlfn.XMATCH("CR",Liste_rouge!A:A,2,1),"CR")</f>
        <v>CR</v>
      </c>
      <c r="U19386" s="4" t="str">
        <f>HYPERLINK("#Critères_liste_rouge!A$1","D1")</f>
        <v>D1</v>
      </c>
      <c r="V19386" s="7" t="str">
        <f>HYPERLINK("#Liste_rouge!A"&amp;_xlfn.XMATCH("CR",Liste_rouge!A:A,2,1),"CR")</f>
        <v>CR</v>
      </c>
      <c r="W19386" s="4" t="str">
        <f>HYPERLINK("#Critères_liste_rouge!A$1","D1")</f>
        <v>D1</v>
      </c>
      <c r="X19386" s="5" t="s">
        <v>374</v>
      </c>
      <c r="AE19386" s="4" t="str">
        <f>HYPERLINK("#SCAP!A"&amp;_xlfn.XMATCH("2+",SCAP!A:A,2,1),"2+")</f>
        <v>2+</v>
      </c>
      <c r="AF19386" s="4" t="str">
        <f>HYPERLINK("#SCAP!A"&amp;_xlfn.XMATCH("2+",SCAP!A:A,2,1),"2+")</f>
        <v>2+</v>
      </c>
      <c r="AG19386" s="4" t="str">
        <f>HYPERLINK("#SCAP!A"&amp;_xlfn.XMATCH("3",SCAP!A:A,2,1),"3")</f>
        <v>3</v>
      </c>
      <c r="AH19386" s="4" t="str">
        <f>HYPERLINK("#Statut_biogéographique!A"&amp;_xlfn.XMATCH("P",Statut_biogéographique!A:A,2,1),"P")</f>
        <v>P</v>
      </c>
      <c r="AM19386" s="4" t="s">
        <v>375</v>
      </c>
      <c r="AN19386" s="4" t="s">
        <v>375</v>
      </c>
      <c r="AO19386" s="4" t="s">
        <v>375</v>
      </c>
      <c r="AP19386" s="4" t="s">
        <v>376</v>
      </c>
      <c r="AR19386" s="4" t="s">
        <v>377</v>
      </c>
    </row>
    <row r="19387" spans="1:44" ht="60">
      <c r="A19387" s="4" t="s">
        <v>117</v>
      </c>
      <c r="B19387" s="4">
        <v>2881</v>
      </c>
      <c r="D19387" s="5" t="s">
        <v>23730</v>
      </c>
      <c r="E19387" s="6" t="str">
        <f>HYPERLINK("https://inpn.mnhn.fr/espece/cd_nom/2881","Circus cyaneus (Linnaeus, 1766)")</f>
        <v>Circus cyaneus (Linnaeus, 1766)</v>
      </c>
      <c r="F19387" s="5" t="s">
        <v>23731</v>
      </c>
      <c r="G19387" s="4" t="str">
        <f>HYPERLINK("[#Réglementation!A"&amp;_xlfn.XMATCH("CCA",Réglementation!A:A,2,1),"CCA")</f>
        <v>CCA</v>
      </c>
      <c r="H19387" s="4" t="str">
        <f>HYPERLINK("#Réglementation!A"&amp;_xlfn.XMATCH("IBO2",Réglementation!A:A,2,1),"IBO2")</f>
        <v>IBO2</v>
      </c>
      <c r="I19387" s="4" t="str">
        <f>HYPERLINK("#Réglementation!A"&amp;_xlfn.XMATCH("IBE3",Réglementation!A:A,2,1),"IBE3")</f>
        <v>IBE3</v>
      </c>
      <c r="J19387" s="4" t="str">
        <f>HYPERLINK("#Réglementation!A"&amp;_xlfn.XMATCH("CDO1",Réglementation!A:A,2,1),"CDO1")</f>
        <v>CDO1</v>
      </c>
      <c r="L19387" s="4" t="str">
        <f>HYPERLINK("#Réglementation!A"&amp;_xlfn.XMATCH("NO3",Réglementation!A:A,2,1),"NO3")</f>
        <v>NO3</v>
      </c>
      <c r="O19387" s="7" t="str">
        <f>HYPERLINK("#Liste_rouge!A"&amp;_xlfn.XMATCH("LC",Liste_rouge!A:A,2,1),"LC")</f>
        <v>LC</v>
      </c>
      <c r="P19387" s="7" t="str">
        <f>HYPERLINK("#Liste_rouge!A"&amp;_xlfn.XMATCH("LC",Liste_rouge!A:A,2,1),"LC")</f>
        <v>LC</v>
      </c>
      <c r="Q19387" s="7" t="str">
        <f>HYPERLINK("#Liste_rouge!A"&amp;_xlfn.XMATCH("LC",Liste_rouge!A:A,2,1),"LC")</f>
        <v>LC</v>
      </c>
      <c r="R19387" s="7" t="str">
        <f>HYPERLINK("#Liste_rouge!A"&amp;_xlfn.XMATCH("NA",Liste_rouge!A:A,2,1),"NA")</f>
        <v>NA</v>
      </c>
      <c r="S19387" s="7" t="str">
        <f>HYPERLINK("#Liste_rouge!A"&amp;_xlfn.XMATCH("NA",Liste_rouge!A:A,2,1),"NA")</f>
        <v>NA</v>
      </c>
      <c r="T19387" s="7" t="str">
        <f>HYPERLINK("#Liste_rouge!A"&amp;_xlfn.XMATCH("VU",Liste_rouge!A:A,2,1),"VU")</f>
        <v>VU</v>
      </c>
      <c r="U19387" s="4" t="str">
        <f>HYPERLINK("#Critères_liste_rouge!A$1","D1")</f>
        <v>D1</v>
      </c>
      <c r="V19387" s="7" t="str">
        <f>HYPERLINK("#Liste_rouge!A"&amp;_xlfn.XMATCH("CR",Liste_rouge!A:A,2,1),"CR")</f>
        <v>CR</v>
      </c>
      <c r="W19387" s="4" t="str">
        <f>HYPERLINK("#Critères_liste_rouge!A$1","D1")</f>
        <v>D1</v>
      </c>
      <c r="X19387" s="5" t="s">
        <v>23442</v>
      </c>
      <c r="Y19387" s="5" t="s">
        <v>23732</v>
      </c>
      <c r="AE19387" s="4" t="str">
        <f>HYPERLINK("#SCAP!A"&amp;_xlfn.XMATCH("1+",SCAP!A:A,2,1),"1+")</f>
        <v>1+</v>
      </c>
      <c r="AF19387" s="4" t="str">
        <f>HYPERLINK("#SCAP!A"&amp;_xlfn.XMATCH("2+",SCAP!A:A,2,1),"2+")</f>
        <v>2+</v>
      </c>
      <c r="AG19387" s="4" t="str">
        <f>HYPERLINK("#SCAP!A"&amp;_xlfn.XMATCH("2+",SCAP!A:A,2,1),"2+")</f>
        <v>2+</v>
      </c>
      <c r="AH19387" s="4" t="str">
        <f>HYPERLINK("#Statut_biogéographique!A"&amp;_xlfn.XMATCH("P",Statut_biogéographique!A:A,2,1),"P")</f>
        <v>P</v>
      </c>
      <c r="AM19387" s="4" t="s">
        <v>375</v>
      </c>
      <c r="AN19387" s="4" t="s">
        <v>375</v>
      </c>
      <c r="AO19387" s="4" t="s">
        <v>375</v>
      </c>
      <c r="AP19387" s="4" t="s">
        <v>389</v>
      </c>
      <c r="AR19387" s="4" t="s">
        <v>377</v>
      </c>
    </row>
    <row r="19388" spans="1:44">
      <c r="A19388" s="4" t="s">
        <v>117</v>
      </c>
      <c r="B19388" s="4">
        <v>2884</v>
      </c>
      <c r="D19388" s="5" t="s">
        <v>23733</v>
      </c>
      <c r="E19388" s="6" t="str">
        <f>HYPERLINK("https://inpn.mnhn.fr/espece/cd_nom/2884","Circus macrourus (S. G. Gmelin, 1771)")</f>
        <v>Circus macrourus (S. G. Gmelin, 1771)</v>
      </c>
      <c r="F19388" s="5" t="s">
        <v>23734</v>
      </c>
      <c r="G19388" s="4" t="str">
        <f>HYPERLINK("[#Réglementation!A"&amp;_xlfn.XMATCH("CCA",Réglementation!A:A,2,1),"CCA")</f>
        <v>CCA</v>
      </c>
      <c r="H19388" s="4" t="str">
        <f>HYPERLINK("#Réglementation!A"&amp;_xlfn.XMATCH("IBO2",Réglementation!A:A,2,1),"IBO2")</f>
        <v>IBO2</v>
      </c>
      <c r="I19388" s="4" t="str">
        <f>HYPERLINK("#Réglementation!A"&amp;_xlfn.XMATCH("IBE3",Réglementation!A:A,2,1),"IBE3")</f>
        <v>IBE3</v>
      </c>
      <c r="J19388" s="4" t="str">
        <f>HYPERLINK("#Réglementation!A"&amp;_xlfn.XMATCH("CDO1",Réglementation!A:A,2,1),"CDO1")</f>
        <v>CDO1</v>
      </c>
      <c r="L19388" s="4" t="str">
        <f>HYPERLINK("#Réglementation!A"&amp;_xlfn.XMATCH("NO4",Réglementation!A:A,2,1),"NO4")</f>
        <v>NO4</v>
      </c>
      <c r="O19388" s="7" t="str">
        <f>HYPERLINK("#Liste_rouge!A"&amp;_xlfn.XMATCH("NT",Liste_rouge!A:A,2,1),"NT")</f>
        <v>NT</v>
      </c>
      <c r="P19388" s="7" t="str">
        <f>HYPERLINK("#Liste_rouge!A"&amp;_xlfn.XMATCH("LC",Liste_rouge!A:A,2,1),"LC")</f>
        <v>LC</v>
      </c>
      <c r="S19388" s="7" t="str">
        <f>HYPERLINK("#Liste_rouge!A"&amp;_xlfn.XMATCH("NA",Liste_rouge!A:A,2,1),"NA")</f>
        <v>NA</v>
      </c>
      <c r="AH19388" s="4" t="str">
        <f>HYPERLINK("#Statut_biogéographique!A"&amp;_xlfn.XMATCH("B",Statut_biogéographique!A:A,2,1),"B")</f>
        <v>B</v>
      </c>
      <c r="AM19388" s="4" t="s">
        <v>375</v>
      </c>
      <c r="AN19388" s="4" t="s">
        <v>375</v>
      </c>
      <c r="AO19388" s="4" t="s">
        <v>375</v>
      </c>
      <c r="AP19388" s="4" t="s">
        <v>376</v>
      </c>
      <c r="AR19388" s="4" t="s">
        <v>377</v>
      </c>
    </row>
    <row r="19389" spans="1:44">
      <c r="A19389" s="4" t="s">
        <v>117</v>
      </c>
      <c r="B19389" s="4">
        <v>2887</v>
      </c>
      <c r="D19389" s="5" t="s">
        <v>23735</v>
      </c>
      <c r="E19389" s="6" t="str">
        <f>HYPERLINK("https://inpn.mnhn.fr/espece/cd_nom/2887","Circus pygargus (Linnaeus, 1758)")</f>
        <v>Circus pygargus (Linnaeus, 1758)</v>
      </c>
      <c r="F19389" s="5" t="s">
        <v>23736</v>
      </c>
      <c r="G19389" s="4" t="str">
        <f>HYPERLINK("[#Réglementation!A"&amp;_xlfn.XMATCH("CCA",Réglementation!A:A,2,1),"CCA")</f>
        <v>CCA</v>
      </c>
      <c r="H19389" s="4" t="str">
        <f>HYPERLINK("#Réglementation!A"&amp;_xlfn.XMATCH("IBO2",Réglementation!A:A,2,1),"IBO2")</f>
        <v>IBO2</v>
      </c>
      <c r="I19389" s="4" t="str">
        <f>HYPERLINK("#Réglementation!A"&amp;_xlfn.XMATCH("IBE3",Réglementation!A:A,2,1),"IBE3")</f>
        <v>IBE3</v>
      </c>
      <c r="J19389" s="4" t="str">
        <f>HYPERLINK("#Réglementation!A"&amp;_xlfn.XMATCH("CDO1",Réglementation!A:A,2,1),"CDO1")</f>
        <v>CDO1</v>
      </c>
      <c r="L19389" s="4" t="str">
        <f>HYPERLINK("#Réglementation!A"&amp;_xlfn.XMATCH("NO3",Réglementation!A:A,2,1),"NO3")</f>
        <v>NO3</v>
      </c>
      <c r="O19389" s="7" t="str">
        <f>HYPERLINK("#Liste_rouge!A"&amp;_xlfn.XMATCH("LC",Liste_rouge!A:A,2,1),"LC")</f>
        <v>LC</v>
      </c>
      <c r="P19389" s="7" t="str">
        <f>HYPERLINK("#Liste_rouge!A"&amp;_xlfn.XMATCH("LC",Liste_rouge!A:A,2,1),"LC")</f>
        <v>LC</v>
      </c>
      <c r="Q19389" s="7" t="str">
        <f>HYPERLINK("#Liste_rouge!A"&amp;_xlfn.XMATCH("NT",Liste_rouge!A:A,2,1),"NT")</f>
        <v>NT</v>
      </c>
      <c r="S19389" s="7" t="str">
        <f>HYPERLINK("#Liste_rouge!A"&amp;_xlfn.XMATCH("NA",Liste_rouge!A:A,2,1),"NA")</f>
        <v>NA</v>
      </c>
      <c r="T19389" s="7" t="str">
        <f>HYPERLINK("#Liste_rouge!A"&amp;_xlfn.XMATCH("EN",Liste_rouge!A:A,2,1),"EN")</f>
        <v>EN</v>
      </c>
      <c r="U19389" s="4" t="str">
        <f>HYPERLINK("#Critères_liste_rouge!A$1","D1 (VU +1)")</f>
        <v>D1 (VU +1)</v>
      </c>
      <c r="V19389" s="7" t="str">
        <f>HYPERLINK("#Liste_rouge!A"&amp;_xlfn.XMATCH("CR",Liste_rouge!A:A,2,1),"CR")</f>
        <v>CR</v>
      </c>
      <c r="W19389" s="4" t="str">
        <f>HYPERLINK("#Critères_liste_rouge!A$1","D1")</f>
        <v>D1</v>
      </c>
      <c r="X19389" s="5" t="s">
        <v>374</v>
      </c>
      <c r="AE19389" s="4" t="str">
        <f>HYPERLINK("#SCAP!A"&amp;_xlfn.XMATCH("1+",SCAP!A:A,2,1),"1+")</f>
        <v>1+</v>
      </c>
      <c r="AF19389" s="4" t="str">
        <f>HYPERLINK("#SCAP!A"&amp;_xlfn.XMATCH("2+",SCAP!A:A,2,1),"2+")</f>
        <v>2+</v>
      </c>
      <c r="AG19389" s="4" t="str">
        <f>HYPERLINK("#SCAP!A"&amp;_xlfn.XMATCH("2+",SCAP!A:A,2,1),"2+")</f>
        <v>2+</v>
      </c>
      <c r="AH19389" s="4" t="str">
        <f>HYPERLINK("#Statut_biogéographique!A"&amp;_xlfn.XMATCH("P",Statut_biogéographique!A:A,2,1),"P")</f>
        <v>P</v>
      </c>
      <c r="AM19389" s="4" t="s">
        <v>375</v>
      </c>
      <c r="AN19389" s="4" t="s">
        <v>375</v>
      </c>
      <c r="AO19389" s="4" t="s">
        <v>375</v>
      </c>
      <c r="AP19389" s="4" t="s">
        <v>376</v>
      </c>
      <c r="AR19389" s="4" t="s">
        <v>377</v>
      </c>
    </row>
    <row r="19390" spans="1:44">
      <c r="A19390" s="4" t="s">
        <v>117</v>
      </c>
      <c r="B19390" s="4">
        <v>2891</v>
      </c>
      <c r="D19390" s="5" t="s">
        <v>23737</v>
      </c>
      <c r="E19390" s="6" t="str">
        <f>HYPERLINK("https://inpn.mnhn.fr/espece/cd_nom/2891","Accipiter gentilis (Linnaeus, 1758)")</f>
        <v>Accipiter gentilis (Linnaeus, 1758)</v>
      </c>
      <c r="F19390" s="5" t="s">
        <v>23738</v>
      </c>
      <c r="G19390" s="4" t="str">
        <f>HYPERLINK("[#Réglementation!A"&amp;_xlfn.XMATCH("CCA",Réglementation!A:A,2,1),"CCA")</f>
        <v>CCA</v>
      </c>
      <c r="H19390" s="4" t="str">
        <f>HYPERLINK("#Réglementation!A"&amp;_xlfn.XMATCH("IBO2",Réglementation!A:A,2,1),"IBO2")</f>
        <v>IBO2</v>
      </c>
      <c r="I19390" s="4" t="str">
        <f>HYPERLINK("#Réglementation!A"&amp;_xlfn.XMATCH("IBE3",Réglementation!A:A,2,1),"IBE3")</f>
        <v>IBE3</v>
      </c>
      <c r="L19390" s="4" t="str">
        <f>HYPERLINK("#Réglementation!A"&amp;_xlfn.XMATCH("NO3",Réglementation!A:A,2,1),"NO3 - NO6")</f>
        <v>NO3 - NO6</v>
      </c>
      <c r="O19390" s="7" t="str">
        <f>HYPERLINK("#Liste_rouge!A"&amp;_xlfn.XMATCH("LC",Liste_rouge!A:A,2,1),"LC")</f>
        <v>LC</v>
      </c>
      <c r="P19390" s="7" t="str">
        <f>HYPERLINK("#Liste_rouge!A"&amp;_xlfn.XMATCH("LC",Liste_rouge!A:A,2,1),"LC")</f>
        <v>LC</v>
      </c>
      <c r="Q19390" s="7" t="str">
        <f>HYPERLINK("#Liste_rouge!A"&amp;_xlfn.XMATCH("LC",Liste_rouge!A:A,2,1),"LC")</f>
        <v>LC</v>
      </c>
      <c r="R19390" s="7" t="str">
        <f>HYPERLINK("#Liste_rouge!A"&amp;_xlfn.XMATCH("NA",Liste_rouge!A:A,2,1),"NA")</f>
        <v>NA</v>
      </c>
      <c r="S19390" s="7" t="str">
        <f>HYPERLINK("#Liste_rouge!A"&amp;_xlfn.XMATCH("NA",Liste_rouge!A:A,2,1),"NA")</f>
        <v>NA</v>
      </c>
      <c r="T19390" s="7" t="str">
        <f>HYPERLINK("#Liste_rouge!A"&amp;_xlfn.XMATCH("LC",Liste_rouge!A:A,2,1),"LC")</f>
        <v>LC</v>
      </c>
      <c r="V19390" s="7" t="str">
        <f>HYPERLINK("#Liste_rouge!A"&amp;_xlfn.XMATCH("DD",Liste_rouge!A:A,2,1),"DD")</f>
        <v>DD</v>
      </c>
      <c r="AH19390" s="4" t="str">
        <f>HYPERLINK("#Statut_biogéographique!A"&amp;_xlfn.XMATCH("P",Statut_biogéographique!A:A,2,1),"P")</f>
        <v>P</v>
      </c>
      <c r="AI19390" s="8" t="s">
        <v>23739</v>
      </c>
      <c r="AJ19390" s="4" t="s">
        <v>23740</v>
      </c>
      <c r="AM19390" s="4" t="s">
        <v>375</v>
      </c>
      <c r="AN19390" s="4" t="s">
        <v>375</v>
      </c>
      <c r="AO19390" s="4" t="s">
        <v>375</v>
      </c>
      <c r="AP19390" s="4" t="s">
        <v>389</v>
      </c>
      <c r="AR19390" s="4" t="s">
        <v>377</v>
      </c>
    </row>
    <row r="19391" spans="1:44">
      <c r="A19391" s="4" t="s">
        <v>117</v>
      </c>
      <c r="B19391" s="4">
        <v>2895</v>
      </c>
      <c r="D19391" s="5" t="s">
        <v>23741</v>
      </c>
      <c r="E19391" s="6" t="str">
        <f>HYPERLINK("https://inpn.mnhn.fr/espece/cd_nom/2895","Accipiter nisus (Linnaeus, 1758)")</f>
        <v>Accipiter nisus (Linnaeus, 1758)</v>
      </c>
      <c r="F19391" s="5" t="s">
        <v>23742</v>
      </c>
      <c r="G19391" s="4" t="str">
        <f>HYPERLINK("[#Réglementation!A"&amp;_xlfn.XMATCH("CCA",Réglementation!A:A,2,1),"CCA")</f>
        <v>CCA</v>
      </c>
      <c r="H19391" s="4" t="str">
        <f>HYPERLINK("#Réglementation!A"&amp;_xlfn.XMATCH("IBO2",Réglementation!A:A,2,1),"IBO2")</f>
        <v>IBO2</v>
      </c>
      <c r="I19391" s="4" t="str">
        <f>HYPERLINK("#Réglementation!A"&amp;_xlfn.XMATCH("IBE3",Réglementation!A:A,2,1),"IBE3")</f>
        <v>IBE3</v>
      </c>
      <c r="L19391" s="4" t="str">
        <f>HYPERLINK("#Réglementation!A"&amp;_xlfn.XMATCH("NO3",Réglementation!A:A,2,1),"NO3 - NO6")</f>
        <v>NO3 - NO6</v>
      </c>
      <c r="O19391" s="7" t="str">
        <f>HYPERLINK("#Liste_rouge!A"&amp;_xlfn.XMATCH("LC",Liste_rouge!A:A,2,1),"LC")</f>
        <v>LC</v>
      </c>
      <c r="P19391" s="7" t="str">
        <f>HYPERLINK("#Liste_rouge!A"&amp;_xlfn.XMATCH("LC",Liste_rouge!A:A,2,1),"LC")</f>
        <v>LC</v>
      </c>
      <c r="Q19391" s="7" t="str">
        <f>HYPERLINK("#Liste_rouge!A"&amp;_xlfn.XMATCH("LC",Liste_rouge!A:A,2,1),"LC")</f>
        <v>LC</v>
      </c>
      <c r="R19391" s="7" t="str">
        <f>HYPERLINK("#Liste_rouge!A"&amp;_xlfn.XMATCH("NA",Liste_rouge!A:A,2,1),"NA")</f>
        <v>NA</v>
      </c>
      <c r="S19391" s="7" t="str">
        <f>HYPERLINK("#Liste_rouge!A"&amp;_xlfn.XMATCH("NA",Liste_rouge!A:A,2,1),"NA")</f>
        <v>NA</v>
      </c>
      <c r="T19391" s="7" t="str">
        <f>HYPERLINK("#Liste_rouge!A"&amp;_xlfn.XMATCH("LC",Liste_rouge!A:A,2,1),"LC")</f>
        <v>LC</v>
      </c>
      <c r="V19391" s="7" t="str">
        <f>HYPERLINK("#Liste_rouge!A"&amp;_xlfn.XMATCH("LC",Liste_rouge!A:A,2,1),"LC")</f>
        <v>LC</v>
      </c>
      <c r="AH19391" s="4" t="str">
        <f>HYPERLINK("#Statut_biogéographique!A"&amp;_xlfn.XMATCH("P",Statut_biogéographique!A:A,2,1),"P")</f>
        <v>P</v>
      </c>
      <c r="AM19391" s="4" t="s">
        <v>375</v>
      </c>
      <c r="AN19391" s="4" t="s">
        <v>375</v>
      </c>
      <c r="AO19391" s="4" t="s">
        <v>375</v>
      </c>
      <c r="AP19391" s="4" t="s">
        <v>376</v>
      </c>
      <c r="AR19391" s="4" t="s">
        <v>377</v>
      </c>
    </row>
    <row r="19392" spans="1:44" ht="60">
      <c r="A19392" s="4" t="s">
        <v>117</v>
      </c>
      <c r="B19392" s="4">
        <v>2901</v>
      </c>
      <c r="D19392" s="5" t="s">
        <v>23743</v>
      </c>
      <c r="E19392" s="6" t="str">
        <f>HYPERLINK("https://inpn.mnhn.fr/espece/cd_nom/2901","Calidris ferruginea (Pontoppidan, 1763)")</f>
        <v>Calidris ferruginea (Pontoppidan, 1763)</v>
      </c>
      <c r="F19392" s="5" t="s">
        <v>23744</v>
      </c>
      <c r="H19392" s="4" t="str">
        <f>HYPERLINK("#Réglementation!A"&amp;_xlfn.XMATCH("IBOAE",Réglementation!A:A,2,1),"IBOAE - IBO2")</f>
        <v>IBOAE - IBO2</v>
      </c>
      <c r="I19392" s="4" t="str">
        <f>HYPERLINK("#Réglementation!A"&amp;_xlfn.XMATCH("IBE2",Réglementation!A:A,2,1),"IBE2")</f>
        <v>IBE2</v>
      </c>
      <c r="L19392" s="4" t="str">
        <f>HYPERLINK("#Réglementation!A"&amp;_xlfn.XMATCH("NO3",Réglementation!A:A,2,1),"NO3")</f>
        <v>NO3</v>
      </c>
      <c r="O19392" s="7" t="str">
        <f>HYPERLINK("#Liste_rouge!A"&amp;_xlfn.XMATCH("NT",Liste_rouge!A:A,2,1),"NT")</f>
        <v>NT</v>
      </c>
      <c r="P19392" s="7" t="str">
        <f>HYPERLINK("#Liste_rouge!A"&amp;_xlfn.XMATCH("VU",Liste_rouge!A:A,2,1),"VU")</f>
        <v>VU</v>
      </c>
      <c r="S19392" s="7" t="str">
        <f>HYPERLINK("#Liste_rouge!A"&amp;_xlfn.XMATCH("LC",Liste_rouge!A:A,2,1),"LC")</f>
        <v>LC</v>
      </c>
      <c r="X19392" s="5" t="s">
        <v>23439</v>
      </c>
      <c r="Y19392" s="5" t="s">
        <v>23572</v>
      </c>
      <c r="AH19392" s="4" t="str">
        <f>HYPERLINK("#Statut_biogéographique!A"&amp;_xlfn.XMATCH("P",Statut_biogéographique!A:A,2,1),"P")</f>
        <v>P</v>
      </c>
      <c r="AM19392" s="4" t="s">
        <v>375</v>
      </c>
      <c r="AN19392" s="4" t="s">
        <v>375</v>
      </c>
      <c r="AO19392" s="4" t="s">
        <v>375</v>
      </c>
      <c r="AP19392" s="4" t="s">
        <v>389</v>
      </c>
      <c r="AR19392" s="4" t="s">
        <v>377</v>
      </c>
    </row>
    <row r="19393" spans="1:44">
      <c r="A19393" s="4" t="s">
        <v>117</v>
      </c>
      <c r="B19393" s="4">
        <v>2906</v>
      </c>
      <c r="D19393" s="5" t="s">
        <v>23745</v>
      </c>
      <c r="E19393" s="6" t="str">
        <f>HYPERLINK("https://inpn.mnhn.fr/espece/cd_nom/2906","Calidris maritima (Brünnich, 1764)")</f>
        <v>Calidris maritima (Brünnich, 1764)</v>
      </c>
      <c r="F19393" s="5" t="s">
        <v>23746</v>
      </c>
      <c r="H19393" s="4" t="str">
        <f>HYPERLINK("#Réglementation!A"&amp;_xlfn.XMATCH("IBOAE",Réglementation!A:A,2,1),"IBOAE - IBO2")</f>
        <v>IBOAE - IBO2</v>
      </c>
      <c r="I19393" s="4" t="str">
        <f>HYPERLINK("#Réglementation!A"&amp;_xlfn.XMATCH("IBE2",Réglementation!A:A,2,1),"IBE2")</f>
        <v>IBE2</v>
      </c>
      <c r="L19393" s="4" t="str">
        <f>HYPERLINK("#Réglementation!A"&amp;_xlfn.XMATCH("NO3",Réglementation!A:A,2,1),"NO3")</f>
        <v>NO3</v>
      </c>
      <c r="O19393" s="7" t="str">
        <f>HYPERLINK("#Liste_rouge!A"&amp;_xlfn.XMATCH("LC",Liste_rouge!A:A,2,1),"LC")</f>
        <v>LC</v>
      </c>
      <c r="P19393" s="7" t="str">
        <f>HYPERLINK("#Liste_rouge!A"&amp;_xlfn.XMATCH("LC",Liste_rouge!A:A,2,1),"LC")</f>
        <v>LC</v>
      </c>
      <c r="R19393" s="7" t="str">
        <f>HYPERLINK("#Liste_rouge!A"&amp;_xlfn.XMATCH("NA",Liste_rouge!A:A,2,1),"NA")</f>
        <v>NA</v>
      </c>
      <c r="S19393" s="7" t="str">
        <f>HYPERLINK("#Liste_rouge!A"&amp;_xlfn.XMATCH("NA",Liste_rouge!A:A,2,1),"NA")</f>
        <v>NA</v>
      </c>
      <c r="AH19393" s="4" t="str">
        <f>HYPERLINK("#Statut_biogéographique!A"&amp;_xlfn.XMATCH("P",Statut_biogéographique!A:A,2,1),"P")</f>
        <v>P</v>
      </c>
      <c r="AP19393" s="4" t="s">
        <v>389</v>
      </c>
      <c r="AR19393" s="4" t="s">
        <v>377</v>
      </c>
    </row>
    <row r="19394" spans="1:44" ht="30">
      <c r="A19394" s="4" t="s">
        <v>117</v>
      </c>
      <c r="B19394" s="4">
        <v>2911</v>
      </c>
      <c r="D19394" s="5" t="s">
        <v>23747</v>
      </c>
      <c r="E19394" s="6" t="str">
        <f>HYPERLINK("https://inpn.mnhn.fr/espece/cd_nom/2911","Calidris alpina (Linnaeus, 1758)")</f>
        <v>Calidris alpina (Linnaeus, 1758)</v>
      </c>
      <c r="F19394" s="5" t="s">
        <v>23748</v>
      </c>
      <c r="H19394" s="4" t="str">
        <f>HYPERLINK("#Réglementation!A"&amp;_xlfn.XMATCH("IBOAE",Réglementation!A:A,2,1),"IBOAE - IBO2")</f>
        <v>IBOAE - IBO2</v>
      </c>
      <c r="I19394" s="4" t="str">
        <f>HYPERLINK("#Réglementation!A"&amp;_xlfn.XMATCH("IBE2",Réglementation!A:A,2,1),"IBE2")</f>
        <v>IBE2</v>
      </c>
      <c r="L19394" s="4" t="str">
        <f>HYPERLINK("#Réglementation!A"&amp;_xlfn.XMATCH("NO3",Réglementation!A:A,2,1),"NO3")</f>
        <v>NO3</v>
      </c>
      <c r="O19394" s="7" t="str">
        <f>HYPERLINK("#Liste_rouge!A"&amp;_xlfn.XMATCH("LC",Liste_rouge!A:A,2,1),"LC")</f>
        <v>LC</v>
      </c>
      <c r="P19394" s="7" t="str">
        <f>HYPERLINK("#Liste_rouge!A"&amp;_xlfn.XMATCH("LC",Liste_rouge!A:A,2,1),"LC")</f>
        <v>LC</v>
      </c>
      <c r="R19394" s="7" t="str">
        <f>HYPERLINK("#Liste_rouge!A"&amp;_xlfn.XMATCH("LC",Liste_rouge!A:A,2,1),"LC")</f>
        <v>LC</v>
      </c>
      <c r="S19394" s="7" t="str">
        <f>HYPERLINK("#Liste_rouge!A"&amp;_xlfn.XMATCH("NA",Liste_rouge!A:A,2,1),"NA")</f>
        <v>NA</v>
      </c>
      <c r="X19394" s="5" t="s">
        <v>23439</v>
      </c>
      <c r="Y19394" s="5" t="s">
        <v>23583</v>
      </c>
      <c r="AH19394" s="4" t="str">
        <f>HYPERLINK("#Statut_biogéographique!A"&amp;_xlfn.XMATCH("P",Statut_biogéographique!A:A,2,1),"P")</f>
        <v>P</v>
      </c>
      <c r="AM19394" s="4" t="s">
        <v>375</v>
      </c>
      <c r="AN19394" s="4" t="s">
        <v>375</v>
      </c>
      <c r="AO19394" s="4" t="s">
        <v>375</v>
      </c>
      <c r="AP19394" s="4" t="s">
        <v>389</v>
      </c>
      <c r="AR19394" s="4" t="s">
        <v>377</v>
      </c>
    </row>
    <row r="19395" spans="1:44">
      <c r="A19395" s="4" t="s">
        <v>117</v>
      </c>
      <c r="B19395" s="4">
        <v>2929</v>
      </c>
      <c r="D19395" s="5" t="s">
        <v>23749</v>
      </c>
      <c r="E19395" s="6" t="str">
        <f>HYPERLINK("https://inpn.mnhn.fr/espece/cd_nom/2929","Calidris subruficollis (Vieillot, 1819)")</f>
        <v>Calidris subruficollis (Vieillot, 1819)</v>
      </c>
      <c r="F19395" s="5" t="s">
        <v>23750</v>
      </c>
      <c r="H19395" s="4" t="str">
        <f>HYPERLINK("#Réglementation!A"&amp;_xlfn.XMATCH("IBO1",Réglementation!A:A,2,1),"IBO1 - IBO2")</f>
        <v>IBO1 - IBO2</v>
      </c>
      <c r="I19395" s="4" t="str">
        <f>HYPERLINK("#Réglementation!A"&amp;_xlfn.XMATCH("IBE2",Réglementation!A:A,2,1),"IBE2")</f>
        <v>IBE2</v>
      </c>
      <c r="L19395" s="4" t="str">
        <f>HYPERLINK("#Réglementation!A"&amp;_xlfn.XMATCH("NO4",Réglementation!A:A,2,1),"NO4")</f>
        <v>NO4</v>
      </c>
      <c r="O19395" s="7" t="str">
        <f>HYPERLINK("#Liste_rouge!A"&amp;_xlfn.XMATCH("NT",Liste_rouge!A:A,2,1),"NT")</f>
        <v>NT</v>
      </c>
      <c r="S19395" s="7" t="str">
        <f>HYPERLINK("#Liste_rouge!A"&amp;_xlfn.XMATCH("NA",Liste_rouge!A:A,2,1),"NA")</f>
        <v>NA</v>
      </c>
      <c r="AH19395" s="4" t="str">
        <f>HYPERLINK("#Statut_biogéographique!A"&amp;_xlfn.XMATCH("B",Statut_biogéographique!A:A,2,1),"B")</f>
        <v>B</v>
      </c>
      <c r="AM19395" s="4" t="s">
        <v>375</v>
      </c>
      <c r="AN19395" s="4" t="s">
        <v>375</v>
      </c>
      <c r="AO19395" s="4" t="s">
        <v>375</v>
      </c>
      <c r="AP19395" s="4" t="s">
        <v>389</v>
      </c>
      <c r="AR19395" s="4" t="s">
        <v>377</v>
      </c>
    </row>
    <row r="19396" spans="1:44">
      <c r="A19396" s="4" t="s">
        <v>117</v>
      </c>
      <c r="B19396" s="4">
        <v>2931</v>
      </c>
      <c r="D19396" s="5" t="s">
        <v>23751</v>
      </c>
      <c r="E19396" s="6" t="str">
        <f>HYPERLINK("https://inpn.mnhn.fr/espece/cd_nom/2931","Falco rusticolus Linnaeus, 1758")</f>
        <v>Falco rusticolus Linnaeus, 1758</v>
      </c>
      <c r="F19396" s="5" t="s">
        <v>23752</v>
      </c>
      <c r="G19396" s="4" t="str">
        <f>HYPERLINK("[#Réglementation!A"&amp;_xlfn.XMATCH("CCA",Réglementation!A:A,2,1),"CCA")</f>
        <v>CCA</v>
      </c>
      <c r="H19396" s="4" t="str">
        <f>HYPERLINK("#Réglementation!A"&amp;_xlfn.XMATCH("IBO2",Réglementation!A:A,2,1),"IBO2")</f>
        <v>IBO2</v>
      </c>
      <c r="I19396" s="4" t="str">
        <f>HYPERLINK("#Réglementation!A"&amp;_xlfn.XMATCH("IBE2",Réglementation!A:A,2,1),"IBE2")</f>
        <v>IBE2</v>
      </c>
      <c r="J19396" s="4" t="str">
        <f>HYPERLINK("#Réglementation!A"&amp;_xlfn.XMATCH("CDO1",Réglementation!A:A,2,1),"CDO1")</f>
        <v>CDO1</v>
      </c>
      <c r="L19396" s="4" t="str">
        <f>HYPERLINK("#Réglementation!A"&amp;_xlfn.XMATCH("NO4",Réglementation!A:A,2,1),"NO4")</f>
        <v>NO4</v>
      </c>
      <c r="O19396" s="7" t="str">
        <f>HYPERLINK("#Liste_rouge!A"&amp;_xlfn.XMATCH("LC",Liste_rouge!A:A,2,1),"LC")</f>
        <v>LC</v>
      </c>
      <c r="P19396" s="7" t="str">
        <f>HYPERLINK("#Liste_rouge!A"&amp;_xlfn.XMATCH("LC",Liste_rouge!A:A,2,1),"LC")</f>
        <v>LC</v>
      </c>
      <c r="S19396" s="7" t="str">
        <f>HYPERLINK("#Liste_rouge!A"&amp;_xlfn.XMATCH("NA",Liste_rouge!A:A,2,1),"NA")</f>
        <v>NA</v>
      </c>
      <c r="AH19396" s="4" t="str">
        <f>HYPERLINK("#Statut_biogéographique!A"&amp;_xlfn.XMATCH("P",Statut_biogéographique!A:A,2,1),"P")</f>
        <v>P</v>
      </c>
      <c r="AP19396" s="4" t="s">
        <v>389</v>
      </c>
      <c r="AR19396" s="4" t="s">
        <v>377</v>
      </c>
    </row>
    <row r="19397" spans="1:44" ht="60">
      <c r="A19397" s="4" t="s">
        <v>117</v>
      </c>
      <c r="B19397" s="4">
        <v>2938</v>
      </c>
      <c r="D19397" s="5" t="s">
        <v>23753</v>
      </c>
      <c r="E19397" s="6" t="str">
        <f>HYPERLINK("https://inpn.mnhn.fr/espece/cd_nom/2938","Falco peregrinus Tunstall, 1771")</f>
        <v>Falco peregrinus Tunstall, 1771</v>
      </c>
      <c r="F19397" s="5" t="s">
        <v>23754</v>
      </c>
      <c r="G19397" s="4" t="str">
        <f>HYPERLINK("[#Réglementation!A"&amp;_xlfn.XMATCH("CCA",Réglementation!A:A,2,1),"CCA")</f>
        <v>CCA</v>
      </c>
      <c r="H19397" s="4" t="str">
        <f>HYPERLINK("#Réglementation!A"&amp;_xlfn.XMATCH("IBO2",Réglementation!A:A,2,1),"IBO2")</f>
        <v>IBO2</v>
      </c>
      <c r="I19397" s="4" t="str">
        <f>HYPERLINK("#Réglementation!A"&amp;_xlfn.XMATCH("IBE2",Réglementation!A:A,2,1),"IBE2")</f>
        <v>IBE2</v>
      </c>
      <c r="J19397" s="4" t="str">
        <f>HYPERLINK("#Réglementation!A"&amp;_xlfn.XMATCH("CDO1",Réglementation!A:A,2,1),"CDO1")</f>
        <v>CDO1</v>
      </c>
      <c r="L19397" s="4" t="str">
        <f>HYPERLINK("#Réglementation!A"&amp;_xlfn.XMATCH("NO3",Réglementation!A:A,2,1),"NO3")</f>
        <v>NO3</v>
      </c>
      <c r="O19397" s="7" t="str">
        <f>HYPERLINK("#Liste_rouge!A"&amp;_xlfn.XMATCH("LC",Liste_rouge!A:A,2,1),"LC")</f>
        <v>LC</v>
      </c>
      <c r="P19397" s="7" t="str">
        <f>HYPERLINK("#Liste_rouge!A"&amp;_xlfn.XMATCH("LC",Liste_rouge!A:A,2,1),"LC")</f>
        <v>LC</v>
      </c>
      <c r="Q19397" s="7" t="str">
        <f>HYPERLINK("#Liste_rouge!A"&amp;_xlfn.XMATCH("LC",Liste_rouge!A:A,2,1),"LC")</f>
        <v>LC</v>
      </c>
      <c r="R19397" s="7" t="str">
        <f>HYPERLINK("#Liste_rouge!A"&amp;_xlfn.XMATCH("NA",Liste_rouge!A:A,2,1),"NA")</f>
        <v>NA</v>
      </c>
      <c r="S19397" s="7" t="str">
        <f>HYPERLINK("#Liste_rouge!A"&amp;_xlfn.XMATCH("NA",Liste_rouge!A:A,2,1),"NA")</f>
        <v>NA</v>
      </c>
      <c r="T19397" s="7" t="str">
        <f>HYPERLINK("#Liste_rouge!A"&amp;_xlfn.XMATCH("EN",Liste_rouge!A:A,2,1),"EN")</f>
        <v>EN</v>
      </c>
      <c r="U19397" s="4" t="str">
        <f>HYPERLINK("#Critères_liste_rouge!A$1","D1")</f>
        <v>D1</v>
      </c>
      <c r="V19397" s="7" t="str">
        <f>HYPERLINK("#Liste_rouge!A"&amp;_xlfn.XMATCH("VU",Liste_rouge!A:A,2,1),"VU")</f>
        <v>VU</v>
      </c>
      <c r="W19397" s="4" t="str">
        <f>HYPERLINK("#Critères_liste_rouge!A$1","EN (D1) (-1)")</f>
        <v>EN (D1) (-1)</v>
      </c>
      <c r="X19397" s="5" t="s">
        <v>23442</v>
      </c>
      <c r="Y19397" s="5" t="s">
        <v>23629</v>
      </c>
      <c r="AE19397" s="4" t="str">
        <f>HYPERLINK("#SCAP!A"&amp;_xlfn.XMATCH("1-",SCAP!A:A,2,1),"1-")</f>
        <v>1-</v>
      </c>
      <c r="AF19397" s="4" t="str">
        <f>HYPERLINK("#SCAP!A"&amp;_xlfn.XMATCH("3",SCAP!A:A,2,1),"3")</f>
        <v>3</v>
      </c>
      <c r="AG19397" s="4" t="str">
        <f>HYPERLINK("#SCAP!A"&amp;_xlfn.XMATCH("3",SCAP!A:A,2,1),"3")</f>
        <v>3</v>
      </c>
      <c r="AH19397" s="4" t="str">
        <f>HYPERLINK("#Statut_biogéographique!A"&amp;_xlfn.XMATCH("P",Statut_biogéographique!A:A,2,1),"P")</f>
        <v>P</v>
      </c>
      <c r="AM19397" s="4" t="s">
        <v>375</v>
      </c>
      <c r="AN19397" s="4" t="s">
        <v>382</v>
      </c>
      <c r="AO19397" s="4" t="s">
        <v>382</v>
      </c>
      <c r="AP19397" s="4" t="s">
        <v>389</v>
      </c>
      <c r="AR19397" s="4" t="s">
        <v>377</v>
      </c>
    </row>
    <row r="19398" spans="1:44">
      <c r="A19398" s="4" t="s">
        <v>117</v>
      </c>
      <c r="B19398" s="4">
        <v>2964</v>
      </c>
      <c r="D19398" s="5">
        <v>2964</v>
      </c>
      <c r="E19398" s="6" t="str">
        <f>HYPERLINK("https://inpn.mnhn.fr/espece/cd_nom/2964","Tetrao urogallus Linnaeus, 1758")</f>
        <v>Tetrao urogallus Linnaeus, 1758</v>
      </c>
      <c r="F19398" s="5" t="s">
        <v>23755</v>
      </c>
      <c r="I19398" s="4" t="str">
        <f>HYPERLINK("#Réglementation!A"&amp;_xlfn.XMATCH("IBE3",Réglementation!A:A,2,1),"IBE3")</f>
        <v>IBE3</v>
      </c>
      <c r="J19398" s="4" t="str">
        <f>HYPERLINK("#Réglementation!A"&amp;_xlfn.XMATCH("CDO1",Réglementation!A:A,2,1),"CDO1 - CDO22 - CDO32")</f>
        <v>CDO1 - CDO22 - CDO32</v>
      </c>
      <c r="L19398" s="4" t="str">
        <f>HYPERLINK("#Réglementation!A"&amp;_xlfn.XMATCH("NO3",Réglementation!A:A,2,1),"NO3 - OC2 - OC3")</f>
        <v>NO3 - OC2 - OC3</v>
      </c>
      <c r="O19398" s="7" t="str">
        <f>HYPERLINK("#Liste_rouge!A"&amp;_xlfn.XMATCH("LC",Liste_rouge!A:A,2,1),"LC")</f>
        <v>LC</v>
      </c>
      <c r="P19398" s="7" t="str">
        <f>HYPERLINK("#Liste_rouge!A"&amp;_xlfn.XMATCH("LC",Liste_rouge!A:A,2,1),"LC")</f>
        <v>LC</v>
      </c>
      <c r="Q19398" s="7" t="str">
        <f>HYPERLINK("#Liste_rouge!A"&amp;_xlfn.XMATCH("VU",Liste_rouge!A:A,2,1),"VU")</f>
        <v>VU</v>
      </c>
      <c r="V19398" s="7" t="str">
        <f>HYPERLINK("#Liste_rouge!A"&amp;_xlfn.XMATCH("CR",Liste_rouge!A:A,2,1),"CR")</f>
        <v>CR</v>
      </c>
      <c r="W19398" s="4" t="str">
        <f>HYPERLINK("#Critères_liste_rouge!A$1","C1")</f>
        <v>C1</v>
      </c>
      <c r="X19398" s="5" t="s">
        <v>374</v>
      </c>
      <c r="AE19398" s="4" t="str">
        <f>HYPERLINK("#SCAP!A"&amp;_xlfn.XMATCH("1+",SCAP!A:A,2,1),"1+")</f>
        <v>1+</v>
      </c>
      <c r="AG19398" s="4" t="str">
        <f>HYPERLINK("#SCAP!A"&amp;_xlfn.XMATCH("2+",SCAP!A:A,2,1),"2+")</f>
        <v>2+</v>
      </c>
      <c r="AH19398" s="4" t="str">
        <f>HYPERLINK("#Statut_biogéographique!A"&amp;_xlfn.XMATCH("P",Statut_biogéographique!A:A,2,1),"P")</f>
        <v>P</v>
      </c>
      <c r="AI19398" s="8" t="s">
        <v>23756</v>
      </c>
      <c r="AJ19398" s="4" t="s">
        <v>23757</v>
      </c>
      <c r="AM19398" s="4" t="s">
        <v>382</v>
      </c>
      <c r="AN19398" s="4" t="s">
        <v>382</v>
      </c>
      <c r="AO19398" s="4" t="s">
        <v>382</v>
      </c>
      <c r="AP19398" s="4" t="s">
        <v>376</v>
      </c>
      <c r="AR19398" s="4" t="s">
        <v>377</v>
      </c>
    </row>
    <row r="19399" spans="1:44">
      <c r="A19399" s="4" t="s">
        <v>117</v>
      </c>
      <c r="B19399" s="4">
        <v>2971</v>
      </c>
      <c r="D19399" s="5" t="s">
        <v>23758</v>
      </c>
      <c r="E19399" s="6" t="str">
        <f>HYPERLINK("https://inpn.mnhn.fr/espece/cd_nom/2971","Alectoris graeca (Meisner, 1804)")</f>
        <v>Alectoris graeca (Meisner, 1804)</v>
      </c>
      <c r="F19399" s="5" t="s">
        <v>23759</v>
      </c>
      <c r="I19399" s="4" t="str">
        <f>HYPERLINK("#Réglementation!A"&amp;_xlfn.XMATCH("IBE3",Réglementation!A:A,2,1),"IBE3")</f>
        <v>IBE3</v>
      </c>
      <c r="J19399" s="4" t="str">
        <f>HYPERLINK("#Réglementation!A"&amp;_xlfn.XMATCH("CDO1",Réglementation!A:A,2,1),"CDO1 - CDO21")</f>
        <v>CDO1 - CDO21</v>
      </c>
      <c r="L19399" s="4" t="str">
        <f>HYPERLINK("#Réglementation!A"&amp;_xlfn.XMATCH("OC3",Réglementation!A:A,2,1),"OC3")</f>
        <v>OC3</v>
      </c>
      <c r="O19399" s="7" t="str">
        <f>HYPERLINK("#Liste_rouge!A"&amp;_xlfn.XMATCH("NT",Liste_rouge!A:A,2,1),"NT")</f>
        <v>NT</v>
      </c>
      <c r="P19399" s="7" t="str">
        <f>HYPERLINK("#Liste_rouge!A"&amp;_xlfn.XMATCH("NT",Liste_rouge!A:A,2,1),"NT")</f>
        <v>NT</v>
      </c>
      <c r="Q19399" s="7" t="str">
        <f>HYPERLINK("#Liste_rouge!A"&amp;_xlfn.XMATCH("NT",Liste_rouge!A:A,2,1),"NT")</f>
        <v>NT</v>
      </c>
      <c r="AE19399" s="4" t="str">
        <f>HYPERLINK("#SCAP!A"&amp;_xlfn.XMATCH("3",SCAP!A:A,2,1),"3")</f>
        <v>3</v>
      </c>
      <c r="AH19399" s="4" t="str">
        <f>HYPERLINK("#Statut_biogéographique!A"&amp;_xlfn.XMATCH("P",Statut_biogéographique!A:A,2,1),"P")</f>
        <v>P</v>
      </c>
      <c r="AK19399" s="4" t="str">
        <f>HYPERLINK("#Réglementation!A"&amp;_xlfn.XMATCH("Ngib_ch_1",Réglementation!A:A,2,1),"Ngib_ch_1")</f>
        <v>Ngib_ch_1</v>
      </c>
      <c r="AP19399" s="4" t="s">
        <v>376</v>
      </c>
      <c r="AR19399" s="4" t="s">
        <v>377</v>
      </c>
    </row>
    <row r="19400" spans="1:44" ht="45">
      <c r="A19400" s="4" t="s">
        <v>117</v>
      </c>
      <c r="B19400" s="4">
        <v>2975</v>
      </c>
      <c r="D19400" s="5" t="s">
        <v>23760</v>
      </c>
      <c r="E19400" s="6" t="str">
        <f>HYPERLINK("https://inpn.mnhn.fr/espece/cd_nom/2975","Alectoris rufa (Linnaeus, 1758)")</f>
        <v>Alectoris rufa (Linnaeus, 1758)</v>
      </c>
      <c r="F19400" s="5" t="s">
        <v>23761</v>
      </c>
      <c r="I19400" s="4" t="str">
        <f>HYPERLINK("#Réglementation!A"&amp;_xlfn.XMATCH("IBE3",Réglementation!A:A,2,1),"IBE3")</f>
        <v>IBE3</v>
      </c>
      <c r="J19400" s="4" t="str">
        <f>HYPERLINK("#Réglementation!A"&amp;_xlfn.XMATCH("CDO21",Réglementation!A:A,2,1),"CDO21 - CDO31")</f>
        <v>CDO21 - CDO31</v>
      </c>
      <c r="O19400" s="7" t="str">
        <f>HYPERLINK("#Liste_rouge!A"&amp;_xlfn.XMATCH("NT",Liste_rouge!A:A,2,1),"NT")</f>
        <v>NT</v>
      </c>
      <c r="P19400" s="7" t="str">
        <f>HYPERLINK("#Liste_rouge!A"&amp;_xlfn.XMATCH("NT",Liste_rouge!A:A,2,1),"NT")</f>
        <v>NT</v>
      </c>
      <c r="Q19400" s="7" t="str">
        <f>HYPERLINK("#Liste_rouge!A"&amp;_xlfn.XMATCH("LC",Liste_rouge!A:A,2,1),"LC")</f>
        <v>LC</v>
      </c>
      <c r="T19400" s="7" t="str">
        <f>HYPERLINK("#Liste_rouge!A"&amp;_xlfn.XMATCH("DD",Liste_rouge!A:A,2,1),"DD")</f>
        <v>DD</v>
      </c>
      <c r="V19400" s="7" t="str">
        <f>HYPERLINK("#Liste_rouge!A"&amp;_xlfn.XMATCH("RE",Liste_rouge!A:A,2,1),"RE")</f>
        <v>RE</v>
      </c>
      <c r="X19400" s="5" t="s">
        <v>23439</v>
      </c>
      <c r="Y19400" s="5" t="s">
        <v>23762</v>
      </c>
      <c r="AH19400" s="4" t="str">
        <f>HYPERLINK("#Statut_biogéographique!A"&amp;_xlfn.XMATCH("P",Statut_biogéographique!A:A,2,1),"P")</f>
        <v>P</v>
      </c>
      <c r="AK19400" s="4" t="str">
        <f>HYPERLINK("#Réglementation!A"&amp;_xlfn.XMATCH("Ngib_ch_1",Réglementation!A:A,2,1),"Ngib_ch_1")</f>
        <v>Ngib_ch_1</v>
      </c>
      <c r="AM19400" s="4" t="s">
        <v>375</v>
      </c>
      <c r="AN19400" s="4" t="s">
        <v>375</v>
      </c>
      <c r="AO19400" s="4" t="s">
        <v>375</v>
      </c>
      <c r="AP19400" s="4" t="s">
        <v>376</v>
      </c>
      <c r="AR19400" s="4" t="s">
        <v>377</v>
      </c>
    </row>
    <row r="19401" spans="1:44">
      <c r="A19401" s="4" t="s">
        <v>117</v>
      </c>
      <c r="B19401" s="4">
        <v>2981</v>
      </c>
      <c r="D19401" s="5" t="s">
        <v>23763</v>
      </c>
      <c r="E19401" s="6" t="str">
        <f>HYPERLINK("https://inpn.mnhn.fr/espece/cd_nom/2981","Alectoris chukar (J. E. Gray, 1830)")</f>
        <v>Alectoris chukar (J. E. Gray, 1830)</v>
      </c>
      <c r="F19401" s="5" t="s">
        <v>23764</v>
      </c>
      <c r="I19401" s="4" t="str">
        <f>HYPERLINK("#Réglementation!A"&amp;_xlfn.XMATCH("IBE3",Réglementation!A:A,2,1),"IBE3")</f>
        <v>IBE3</v>
      </c>
      <c r="J19401" s="4" t="str">
        <f>HYPERLINK("#Réglementation!A"&amp;_xlfn.XMATCH("CDO22",Réglementation!A:A,2,1),"CDO22")</f>
        <v>CDO22</v>
      </c>
      <c r="L19401" s="4" t="str">
        <f>HYPERLINK("#Réglementation!A"&amp;_xlfn.XMATCH("OC4",Réglementation!A:A,2,1),"OC4")</f>
        <v>OC4</v>
      </c>
      <c r="O19401" s="7" t="str">
        <f>HYPERLINK("#Liste_rouge!A"&amp;_xlfn.XMATCH("LC",Liste_rouge!A:A,2,1),"LC")</f>
        <v>LC</v>
      </c>
      <c r="P19401" s="7" t="str">
        <f>HYPERLINK("#Liste_rouge!A"&amp;_xlfn.XMATCH("LC",Liste_rouge!A:A,2,1),"LC")</f>
        <v>LC</v>
      </c>
      <c r="AH19401" s="4" t="str">
        <f>HYPERLINK("#Statut_biogéographique!A"&amp;_xlfn.XMATCH("I",Statut_biogéographique!A:A,2,1),"I")</f>
        <v>I</v>
      </c>
      <c r="AP19401" s="4" t="s">
        <v>376</v>
      </c>
      <c r="AR19401" s="4" t="s">
        <v>377</v>
      </c>
    </row>
    <row r="19402" spans="1:44" ht="45">
      <c r="A19402" s="4" t="s">
        <v>117</v>
      </c>
      <c r="B19402" s="4">
        <v>2989</v>
      </c>
      <c r="D19402" s="5" t="s">
        <v>23765</v>
      </c>
      <c r="E19402" s="6" t="str">
        <f>HYPERLINK("https://inpn.mnhn.fr/espece/cd_nom/2989","Perdix perdix (Linnaeus, 1758)")</f>
        <v>Perdix perdix (Linnaeus, 1758)</v>
      </c>
      <c r="F19402" s="5" t="s">
        <v>23766</v>
      </c>
      <c r="I19402" s="4" t="str">
        <f>HYPERLINK("#Réglementation!A"&amp;_xlfn.XMATCH("IBE3",Réglementation!A:A,2,1),"IBE3")</f>
        <v>IBE3</v>
      </c>
      <c r="J19402" s="4" t="str">
        <f>HYPERLINK("#Réglementation!A"&amp;_xlfn.XMATCH("CDO21",Réglementation!A:A,2,1),"CDO21 - CDO31")</f>
        <v>CDO21 - CDO31</v>
      </c>
      <c r="O19402" s="7" t="str">
        <f>HYPERLINK("#Liste_rouge!A"&amp;_xlfn.XMATCH("LC",Liste_rouge!A:A,2,1),"LC")</f>
        <v>LC</v>
      </c>
      <c r="P19402" s="7" t="str">
        <f>HYPERLINK("#Liste_rouge!A"&amp;_xlfn.XMATCH("LC",Liste_rouge!A:A,2,1),"LC")</f>
        <v>LC</v>
      </c>
      <c r="Q19402" s="7" t="str">
        <f>HYPERLINK("#Liste_rouge!A"&amp;_xlfn.XMATCH("LC",Liste_rouge!A:A,2,1),"LC")</f>
        <v>LC</v>
      </c>
      <c r="T19402" s="7" t="str">
        <f>HYPERLINK("#Liste_rouge!A"&amp;_xlfn.XMATCH("DD",Liste_rouge!A:A,2,1),"DD")</f>
        <v>DD</v>
      </c>
      <c r="V19402" s="7" t="str">
        <f>HYPERLINK("#Liste_rouge!A"&amp;_xlfn.XMATCH("CR",Liste_rouge!A:A,2,1),"CR")</f>
        <v>CR</v>
      </c>
      <c r="W19402" s="4" t="str">
        <f>HYPERLINK("#Critères_liste_rouge!A$1","D1")</f>
        <v>D1</v>
      </c>
      <c r="X19402" s="5" t="s">
        <v>23439</v>
      </c>
      <c r="Y19402" s="5" t="s">
        <v>23762</v>
      </c>
      <c r="AH19402" s="4" t="str">
        <f>HYPERLINK("#Statut_biogéographique!A"&amp;_xlfn.XMATCH("P",Statut_biogéographique!A:A,2,1),"P")</f>
        <v>P</v>
      </c>
      <c r="AK19402" s="4" t="str">
        <f>HYPERLINK("#Réglementation!A"&amp;_xlfn.XMATCH("Ngib_ch_1",Réglementation!A:A,2,1),"Ngib_ch_1")</f>
        <v>Ngib_ch_1</v>
      </c>
      <c r="AM19402" s="4" t="s">
        <v>375</v>
      </c>
      <c r="AN19402" s="4" t="s">
        <v>375</v>
      </c>
      <c r="AO19402" s="4" t="s">
        <v>375</v>
      </c>
      <c r="AP19402" s="4" t="s">
        <v>376</v>
      </c>
      <c r="AR19402" s="4" t="s">
        <v>377</v>
      </c>
    </row>
    <row r="19403" spans="1:44" ht="45">
      <c r="A19403" s="4" t="s">
        <v>117</v>
      </c>
      <c r="B19403" s="4">
        <v>2996</v>
      </c>
      <c r="D19403" s="5" t="s">
        <v>23767</v>
      </c>
      <c r="E19403" s="6" t="str">
        <f>HYPERLINK("https://inpn.mnhn.fr/espece/cd_nom/2996","Coturnix coturnix (Linnaeus, 1758)")</f>
        <v>Coturnix coturnix (Linnaeus, 1758)</v>
      </c>
      <c r="F19403" s="5" t="s">
        <v>23768</v>
      </c>
      <c r="H19403" s="4" t="str">
        <f>HYPERLINK("#Réglementation!A"&amp;_xlfn.XMATCH("IBO2",Réglementation!A:A,2,1),"IBO2")</f>
        <v>IBO2</v>
      </c>
      <c r="I19403" s="4" t="str">
        <f>HYPERLINK("#Réglementation!A"&amp;_xlfn.XMATCH("IBE3",Réglementation!A:A,2,1),"IBE3")</f>
        <v>IBE3</v>
      </c>
      <c r="J19403" s="4" t="str">
        <f>HYPERLINK("#Réglementation!A"&amp;_xlfn.XMATCH("CDO22",Réglementation!A:A,2,1),"CDO22")</f>
        <v>CDO22</v>
      </c>
      <c r="L19403" s="4" t="str">
        <f>HYPERLINK("#Réglementation!A"&amp;_xlfn.XMATCH("OC3",Réglementation!A:A,2,1),"OC3")</f>
        <v>OC3</v>
      </c>
      <c r="O19403" s="7" t="str">
        <f>HYPERLINK("#Liste_rouge!A"&amp;_xlfn.XMATCH("LC",Liste_rouge!A:A,2,1),"LC")</f>
        <v>LC</v>
      </c>
      <c r="P19403" s="7" t="str">
        <f>HYPERLINK("#Liste_rouge!A"&amp;_xlfn.XMATCH("NT",Liste_rouge!A:A,2,1),"NT")</f>
        <v>NT</v>
      </c>
      <c r="Q19403" s="7" t="str">
        <f>HYPERLINK("#Liste_rouge!A"&amp;_xlfn.XMATCH("LC",Liste_rouge!A:A,2,1),"LC")</f>
        <v>LC</v>
      </c>
      <c r="S19403" s="7" t="str">
        <f>HYPERLINK("#Liste_rouge!A"&amp;_xlfn.XMATCH("NA",Liste_rouge!A:A,2,1),"NA")</f>
        <v>NA</v>
      </c>
      <c r="T19403" s="7" t="str">
        <f>HYPERLINK("#Liste_rouge!A"&amp;_xlfn.XMATCH("DD",Liste_rouge!A:A,2,1),"DD")</f>
        <v>DD</v>
      </c>
      <c r="V19403" s="7" t="str">
        <f>HYPERLINK("#Liste_rouge!A"&amp;_xlfn.XMATCH("VU",Liste_rouge!A:A,2,1),"VU")</f>
        <v>VU</v>
      </c>
      <c r="W19403" s="4" t="str">
        <f>HYPERLINK("#Critères_liste_rouge!A$1","A2b")</f>
        <v>A2b</v>
      </c>
      <c r="X19403" s="5" t="s">
        <v>23439</v>
      </c>
      <c r="Y19403" s="5" t="s">
        <v>23762</v>
      </c>
      <c r="AH19403" s="4" t="str">
        <f>HYPERLINK("#Statut_biogéographique!A"&amp;_xlfn.XMATCH("P",Statut_biogéographique!A:A,2,1),"P")</f>
        <v>P</v>
      </c>
      <c r="AK19403" s="4" t="str">
        <f>HYPERLINK("#Réglementation!A"&amp;_xlfn.XMATCH("Ngib_ch_1",Réglementation!A:A,2,1),"Ngib_ch_1")</f>
        <v>Ngib_ch_1</v>
      </c>
      <c r="AM19403" s="4" t="s">
        <v>375</v>
      </c>
      <c r="AN19403" s="4" t="s">
        <v>375</v>
      </c>
      <c r="AO19403" s="4" t="s">
        <v>375</v>
      </c>
      <c r="AP19403" s="4" t="s">
        <v>376</v>
      </c>
      <c r="AR19403" s="4" t="s">
        <v>377</v>
      </c>
    </row>
    <row r="19404" spans="1:44">
      <c r="A19404" s="4" t="s">
        <v>117</v>
      </c>
      <c r="B19404" s="4">
        <v>3000</v>
      </c>
      <c r="D19404" s="5" t="s">
        <v>23769</v>
      </c>
      <c r="E19404" s="6" t="str">
        <f>HYPERLINK("https://inpn.mnhn.fr/espece/cd_nom/3000","Syrmaticus reevesii (J. E. Gray, 1829)")</f>
        <v>Syrmaticus reevesii (J. E. Gray, 1829)</v>
      </c>
      <c r="F19404" s="5" t="s">
        <v>23770</v>
      </c>
      <c r="G19404" s="4" t="str">
        <f>HYPERLINK("[#Réglementation!A"&amp;_xlfn.XMATCH("CCD",Réglementation!A:A,2,1),"CCD")</f>
        <v>CCD</v>
      </c>
      <c r="I19404" s="4" t="str">
        <f>HYPERLINK("#Réglementation!A"&amp;_xlfn.XMATCH("IBE3",Réglementation!A:A,2,1),"IBE3")</f>
        <v>IBE3</v>
      </c>
      <c r="O19404" s="7" t="str">
        <f>HYPERLINK("#Liste_rouge!A"&amp;_xlfn.XMATCH("VU",Liste_rouge!A:A,2,1),"VU")</f>
        <v>VU</v>
      </c>
      <c r="Q19404" s="7" t="str">
        <f>HYPERLINK("#Liste_rouge!A"&amp;_xlfn.XMATCH("NA",Liste_rouge!A:A,2,1),"NA")</f>
        <v>NA</v>
      </c>
      <c r="V19404" s="7" t="str">
        <f>HYPERLINK("#Liste_rouge!A"&amp;_xlfn.XMATCH("NA",Liste_rouge!A:A,2,1),"NA")</f>
        <v>NA</v>
      </c>
      <c r="W19404" s="4" t="str">
        <f>HYPERLINK("#Critères_liste_rouge!A$1","a")</f>
        <v>a</v>
      </c>
      <c r="AH19404" s="4" t="str">
        <f>HYPERLINK("#Statut_biogéographique!A"&amp;_xlfn.XMATCH("I",Statut_biogéographique!A:A,2,1),"I")</f>
        <v>I</v>
      </c>
      <c r="AP19404" s="4" t="s">
        <v>376</v>
      </c>
      <c r="AR19404" s="4" t="s">
        <v>377</v>
      </c>
    </row>
    <row r="19405" spans="1:44">
      <c r="A19405" s="4" t="s">
        <v>117</v>
      </c>
      <c r="B19405" s="4">
        <v>3003</v>
      </c>
      <c r="D19405" s="5">
        <v>3003</v>
      </c>
      <c r="E19405" s="6" t="str">
        <f>HYPERLINK("https://inpn.mnhn.fr/espece/cd_nom/3003","Phasianus colchicus Linnaeus, 1758")</f>
        <v>Phasianus colchicus Linnaeus, 1758</v>
      </c>
      <c r="F19405" s="5" t="s">
        <v>23771</v>
      </c>
      <c r="I19405" s="4" t="str">
        <f>HYPERLINK("#Réglementation!A"&amp;_xlfn.XMATCH("IBE3",Réglementation!A:A,2,1),"IBE3")</f>
        <v>IBE3</v>
      </c>
      <c r="J19405" s="4" t="str">
        <f>HYPERLINK("#Réglementation!A"&amp;_xlfn.XMATCH("CDO21",Réglementation!A:A,2,1),"CDO21 - CDO31")</f>
        <v>CDO21 - CDO31</v>
      </c>
      <c r="O19405" s="7" t="str">
        <f>HYPERLINK("#Liste_rouge!A"&amp;_xlfn.XMATCH("LC",Liste_rouge!A:A,2,1),"LC")</f>
        <v>LC</v>
      </c>
      <c r="P19405" s="7" t="str">
        <f>HYPERLINK("#Liste_rouge!A"&amp;_xlfn.XMATCH("LC",Liste_rouge!A:A,2,1),"LC")</f>
        <v>LC</v>
      </c>
      <c r="Q19405" s="7" t="str">
        <f>HYPERLINK("#Liste_rouge!A"&amp;_xlfn.XMATCH("LC",Liste_rouge!A:A,2,1),"LC")</f>
        <v>LC</v>
      </c>
      <c r="T19405" s="7" t="str">
        <f>HYPERLINK("#Liste_rouge!A"&amp;_xlfn.XMATCH("LC",Liste_rouge!A:A,2,1),"LC")</f>
        <v>LC</v>
      </c>
      <c r="V19405" s="7" t="str">
        <f>HYPERLINK("#Liste_rouge!A"&amp;_xlfn.XMATCH("NA",Liste_rouge!A:A,2,1),"NA")</f>
        <v>NA</v>
      </c>
      <c r="W19405" s="4" t="str">
        <f>HYPERLINK("#Critères_liste_rouge!A$1","a")</f>
        <v>a</v>
      </c>
      <c r="AH19405" s="4" t="str">
        <f>HYPERLINK("#Statut_biogéographique!A"&amp;_xlfn.XMATCH("I",Statut_biogéographique!A:A,2,1),"I")</f>
        <v>I</v>
      </c>
      <c r="AM19405" s="4" t="s">
        <v>375</v>
      </c>
      <c r="AN19405" s="4" t="s">
        <v>375</v>
      </c>
      <c r="AO19405" s="4" t="s">
        <v>375</v>
      </c>
      <c r="AP19405" s="4" t="s">
        <v>376</v>
      </c>
      <c r="AR19405" s="4" t="s">
        <v>377</v>
      </c>
    </row>
    <row r="19406" spans="1:44">
      <c r="A19406" s="4" t="s">
        <v>117</v>
      </c>
      <c r="B19406" s="4">
        <v>3010</v>
      </c>
      <c r="D19406" s="5" t="s">
        <v>23772</v>
      </c>
      <c r="E19406" s="6" t="str">
        <f>HYPERLINK("https://inpn.mnhn.fr/espece/cd_nom/3010","Chrysolophus pictus (Linnaeus, 1758)")</f>
        <v>Chrysolophus pictus (Linnaeus, 1758)</v>
      </c>
      <c r="F19406" s="5" t="s">
        <v>23773</v>
      </c>
      <c r="O19406" s="7" t="str">
        <f>HYPERLINK("#Liste_rouge!A"&amp;_xlfn.XMATCH("LC",Liste_rouge!A:A,2,1),"LC")</f>
        <v>LC</v>
      </c>
      <c r="AH19406" s="4" t="str">
        <f>HYPERLINK("#Statut_biogéographique!A"&amp;_xlfn.XMATCH("Q",Statut_biogéographique!A:A,2,1),"Q")</f>
        <v>Q</v>
      </c>
      <c r="AP19406" s="4" t="s">
        <v>376</v>
      </c>
      <c r="AR19406" s="4" t="s">
        <v>377</v>
      </c>
    </row>
    <row r="19407" spans="1:44">
      <c r="A19407" s="4" t="s">
        <v>117</v>
      </c>
      <c r="B19407" s="4">
        <v>3014</v>
      </c>
      <c r="D19407" s="5" t="s">
        <v>23774</v>
      </c>
      <c r="E19407" s="6" t="str">
        <f>HYPERLINK("https://inpn.mnhn.fr/espece/cd_nom/3014","Callipepla californica (Shaw, 1798)")</f>
        <v>Callipepla californica (Shaw, 1798)</v>
      </c>
      <c r="F19407" s="5" t="s">
        <v>23775</v>
      </c>
      <c r="I19407" s="4" t="str">
        <f>HYPERLINK("#Réglementation!A"&amp;_xlfn.XMATCH("IBE3",Réglementation!A:A,2,1),"IBE3")</f>
        <v>IBE3</v>
      </c>
      <c r="O19407" s="7" t="str">
        <f>HYPERLINK("#Liste_rouge!A"&amp;_xlfn.XMATCH("LC",Liste_rouge!A:A,2,1),"LC")</f>
        <v>LC</v>
      </c>
      <c r="Q19407" s="7" t="str">
        <f>HYPERLINK("#Liste_rouge!A"&amp;_xlfn.XMATCH("NA",Liste_rouge!A:A,2,1),"NA")</f>
        <v>NA</v>
      </c>
      <c r="AH19407" s="4" t="str">
        <f>HYPERLINK("#Statut_biogéographique!A"&amp;_xlfn.XMATCH("I",Statut_biogéographique!A:A,2,1),"I")</f>
        <v>I</v>
      </c>
      <c r="AP19407" s="4" t="s">
        <v>376</v>
      </c>
      <c r="AR19407" s="4" t="s">
        <v>377</v>
      </c>
    </row>
    <row r="19408" spans="1:44">
      <c r="A19408" s="4" t="s">
        <v>117</v>
      </c>
      <c r="B19408" s="4">
        <v>3017</v>
      </c>
      <c r="D19408" s="5" t="s">
        <v>23776</v>
      </c>
      <c r="E19408" s="6" t="str">
        <f>HYPERLINK("https://inpn.mnhn.fr/espece/cd_nom/3017","Colinus virginianus (Linnaeus, 1758)")</f>
        <v>Colinus virginianus (Linnaeus, 1758)</v>
      </c>
      <c r="F19408" s="5" t="s">
        <v>23777</v>
      </c>
      <c r="I19408" s="4" t="str">
        <f>HYPERLINK("#Réglementation!A"&amp;_xlfn.XMATCH("IBE3",Réglementation!A:A,2,1),"IBE3")</f>
        <v>IBE3</v>
      </c>
      <c r="O19408" s="7" t="str">
        <f>HYPERLINK("#Liste_rouge!A"&amp;_xlfn.XMATCH("NT",Liste_rouge!A:A,2,1),"NT")</f>
        <v>NT</v>
      </c>
      <c r="Q19408" s="7" t="str">
        <f>HYPERLINK("#Liste_rouge!A"&amp;_xlfn.XMATCH("NA",Liste_rouge!A:A,2,1),"NA")</f>
        <v>NA</v>
      </c>
      <c r="AH19408" s="4" t="str">
        <f>HYPERLINK("#Statut_biogéographique!A"&amp;_xlfn.XMATCH("I",Statut_biogéographique!A:A,2,1),"I")</f>
        <v>I</v>
      </c>
      <c r="AP19408" s="4" t="s">
        <v>376</v>
      </c>
      <c r="AR19408" s="4" t="s">
        <v>377</v>
      </c>
    </row>
    <row r="19409" spans="1:44">
      <c r="A19409" s="4" t="s">
        <v>117</v>
      </c>
      <c r="B19409" s="4">
        <v>3021</v>
      </c>
      <c r="D19409" s="5" t="s">
        <v>23778</v>
      </c>
      <c r="E19409" s="6" t="str">
        <f>HYPERLINK("https://inpn.mnhn.fr/espece/cd_nom/3021","Numida meleagris (Linnaeus, 1758)")</f>
        <v>Numida meleagris (Linnaeus, 1758)</v>
      </c>
      <c r="F19409" s="5" t="s">
        <v>23779</v>
      </c>
      <c r="I19409" s="4" t="str">
        <f>HYPERLINK("#Réglementation!A"&amp;_xlfn.XMATCH("IBE3",Réglementation!A:A,2,1),"IBE3")</f>
        <v>IBE3</v>
      </c>
      <c r="O19409" s="7" t="str">
        <f>HYPERLINK("#Liste_rouge!A"&amp;_xlfn.XMATCH("LC",Liste_rouge!A:A,2,1),"LC")</f>
        <v>LC</v>
      </c>
      <c r="AH19409" s="4" t="str">
        <f>HYPERLINK("#Statut_biogéographique!A"&amp;_xlfn.XMATCH("W",Statut_biogéographique!A:A,2,1),"W")</f>
        <v>W</v>
      </c>
      <c r="AP19409" s="4" t="s">
        <v>376</v>
      </c>
      <c r="AR19409" s="4" t="s">
        <v>377</v>
      </c>
    </row>
    <row r="19410" spans="1:44" ht="30">
      <c r="A19410" s="4" t="s">
        <v>117</v>
      </c>
      <c r="B19410" s="4">
        <v>3036</v>
      </c>
      <c r="D19410" s="5">
        <v>3036</v>
      </c>
      <c r="E19410" s="6" t="str">
        <f>HYPERLINK("https://inpn.mnhn.fr/espece/cd_nom/3036","Rallus aquaticus Linnaeus, 1758")</f>
        <v>Rallus aquaticus Linnaeus, 1758</v>
      </c>
      <c r="F19410" s="5" t="s">
        <v>23780</v>
      </c>
      <c r="H19410" s="4" t="str">
        <f>HYPERLINK("#Réglementation!A"&amp;_xlfn.XMATCH("IBOAE",Réglementation!A:A,2,1),"IBOAE")</f>
        <v>IBOAE</v>
      </c>
      <c r="I19410" s="4" t="str">
        <f>HYPERLINK("#Réglementation!A"&amp;_xlfn.XMATCH("IBE3",Réglementation!A:A,2,1),"IBE3")</f>
        <v>IBE3</v>
      </c>
      <c r="J19410" s="4" t="str">
        <f>HYPERLINK("#Réglementation!A"&amp;_xlfn.XMATCH("CDO22",Réglementation!A:A,2,1),"CDO22")</f>
        <v>CDO22</v>
      </c>
      <c r="L19410" s="4" t="str">
        <f>HYPERLINK("#Réglementation!A"&amp;_xlfn.XMATCH("OC3",Réglementation!A:A,2,1),"OC3")</f>
        <v>OC3</v>
      </c>
      <c r="O19410" s="7" t="str">
        <f>HYPERLINK("#Liste_rouge!A"&amp;_xlfn.XMATCH("LC",Liste_rouge!A:A,2,1),"LC")</f>
        <v>LC</v>
      </c>
      <c r="P19410" s="7" t="str">
        <f>HYPERLINK("#Liste_rouge!A"&amp;_xlfn.XMATCH("LC",Liste_rouge!A:A,2,1),"LC")</f>
        <v>LC</v>
      </c>
      <c r="Q19410" s="7" t="str">
        <f>HYPERLINK("#Liste_rouge!A"&amp;_xlfn.XMATCH("NT",Liste_rouge!A:A,2,1),"NT")</f>
        <v>NT</v>
      </c>
      <c r="R19410" s="7" t="str">
        <f>HYPERLINK("#Liste_rouge!A"&amp;_xlfn.XMATCH("NA",Liste_rouge!A:A,2,1),"NA")</f>
        <v>NA</v>
      </c>
      <c r="S19410" s="7" t="str">
        <f>HYPERLINK("#Liste_rouge!A"&amp;_xlfn.XMATCH("NA",Liste_rouge!A:A,2,1),"NA")</f>
        <v>NA</v>
      </c>
      <c r="T19410" s="7" t="str">
        <f>HYPERLINK("#Liste_rouge!A"&amp;_xlfn.XMATCH("DD",Liste_rouge!A:A,2,1),"DD")</f>
        <v>DD</v>
      </c>
      <c r="V19410" s="7" t="str">
        <f>HYPERLINK("#Liste_rouge!A"&amp;_xlfn.XMATCH("NT",Liste_rouge!A:A,2,1),"NT")</f>
        <v>NT</v>
      </c>
      <c r="W19410" s="4" t="str">
        <f>HYPERLINK("#Critères_liste_rouge!A$1","VU (D1) (-1)")</f>
        <v>VU (D1) (-1)</v>
      </c>
      <c r="X19410" s="5" t="s">
        <v>23442</v>
      </c>
      <c r="Y19410" s="5" t="s">
        <v>23781</v>
      </c>
      <c r="AH19410" s="4" t="str">
        <f>HYPERLINK("#Statut_biogéographique!A"&amp;_xlfn.XMATCH("P",Statut_biogéographique!A:A,2,1),"P")</f>
        <v>P</v>
      </c>
      <c r="AK19410" s="4" t="str">
        <f>HYPERLINK("#Réglementation!A"&amp;_xlfn.XMATCH("Ngib_ch_1",Réglementation!A:A,2,1),"Ngib_ch_1")</f>
        <v>Ngib_ch_1</v>
      </c>
      <c r="AM19410" s="4" t="s">
        <v>375</v>
      </c>
      <c r="AN19410" s="4" t="s">
        <v>375</v>
      </c>
      <c r="AO19410" s="4" t="s">
        <v>375</v>
      </c>
      <c r="AP19410" s="4" t="s">
        <v>376</v>
      </c>
      <c r="AR19410" s="4" t="s">
        <v>377</v>
      </c>
    </row>
    <row r="19411" spans="1:44" ht="60">
      <c r="A19411" s="4" t="s">
        <v>117</v>
      </c>
      <c r="B19411" s="4">
        <v>3039</v>
      </c>
      <c r="D19411" s="5" t="s">
        <v>23782</v>
      </c>
      <c r="E19411" s="6" t="str">
        <f>HYPERLINK("https://inpn.mnhn.fr/espece/cd_nom/3039","Porzana porzana (Linnaeus, 1766)")</f>
        <v>Porzana porzana (Linnaeus, 1766)</v>
      </c>
      <c r="F19411" s="5" t="s">
        <v>23783</v>
      </c>
      <c r="H19411" s="4" t="str">
        <f>HYPERLINK("#Réglementation!A"&amp;_xlfn.XMATCH("IBOAE",Réglementation!A:A,2,1),"IBOAE - IBO2")</f>
        <v>IBOAE - IBO2</v>
      </c>
      <c r="I19411" s="4" t="str">
        <f>HYPERLINK("#Réglementation!A"&amp;_xlfn.XMATCH("IBE2",Réglementation!A:A,2,1),"IBE2")</f>
        <v>IBE2</v>
      </c>
      <c r="J19411" s="4" t="str">
        <f>HYPERLINK("#Réglementation!A"&amp;_xlfn.XMATCH("CDO1",Réglementation!A:A,2,1),"CDO1")</f>
        <v>CDO1</v>
      </c>
      <c r="L19411" s="4" t="str">
        <f>HYPERLINK("#Réglementation!A"&amp;_xlfn.XMATCH("NO3",Réglementation!A:A,2,1),"NO3")</f>
        <v>NO3</v>
      </c>
      <c r="O19411" s="7" t="str">
        <f>HYPERLINK("#Liste_rouge!A"&amp;_xlfn.XMATCH("LC",Liste_rouge!A:A,2,1),"LC")</f>
        <v>LC</v>
      </c>
      <c r="P19411" s="7" t="str">
        <f>HYPERLINK("#Liste_rouge!A"&amp;_xlfn.XMATCH("LC",Liste_rouge!A:A,2,1),"LC")</f>
        <v>LC</v>
      </c>
      <c r="Q19411" s="7" t="str">
        <f>HYPERLINK("#Liste_rouge!A"&amp;_xlfn.XMATCH("VU",Liste_rouge!A:A,2,1),"VU")</f>
        <v>VU</v>
      </c>
      <c r="R19411" s="7" t="str">
        <f>HYPERLINK("#Liste_rouge!A"&amp;_xlfn.XMATCH("NA",Liste_rouge!A:A,2,1),"NA")</f>
        <v>NA</v>
      </c>
      <c r="S19411" s="7" t="str">
        <f>HYPERLINK("#Liste_rouge!A"&amp;_xlfn.XMATCH("NA",Liste_rouge!A:A,2,1),"NA")</f>
        <v>NA</v>
      </c>
      <c r="T19411" s="7" t="str">
        <f>HYPERLINK("#Liste_rouge!A"&amp;_xlfn.XMATCH("NA",Liste_rouge!A:A,2,1),"NA")</f>
        <v>NA</v>
      </c>
      <c r="U19411" s="4" t="str">
        <f>HYPERLINK("#Critères_liste_rouge!A$1","b")</f>
        <v>b</v>
      </c>
      <c r="V19411" s="7" t="str">
        <f>HYPERLINK("#Liste_rouge!A"&amp;_xlfn.XMATCH("CR",Liste_rouge!A:A,2,1),"CR")</f>
        <v>CR</v>
      </c>
      <c r="W19411" s="4" t="str">
        <f>HYPERLINK("#Critères_liste_rouge!A$1","D1")</f>
        <v>D1</v>
      </c>
      <c r="X19411" s="5" t="s">
        <v>23442</v>
      </c>
      <c r="Y19411" s="5" t="s">
        <v>23572</v>
      </c>
      <c r="AE19411" s="4" t="str">
        <f>HYPERLINK("#SCAP!A"&amp;_xlfn.XMATCH("1-",SCAP!A:A,2,1),"1-")</f>
        <v>1-</v>
      </c>
      <c r="AG19411" s="4" t="str">
        <f>HYPERLINK("#SCAP!A"&amp;_xlfn.XMATCH("2+",SCAP!A:A,2,1),"2+")</f>
        <v>2+</v>
      </c>
      <c r="AH19411" s="4" t="str">
        <f>HYPERLINK("#Statut_biogéographique!A"&amp;_xlfn.XMATCH("P",Statut_biogéographique!A:A,2,1),"P")</f>
        <v>P</v>
      </c>
      <c r="AM19411" s="4" t="s">
        <v>375</v>
      </c>
      <c r="AN19411" s="4" t="s">
        <v>375</v>
      </c>
      <c r="AO19411" s="4" t="s">
        <v>382</v>
      </c>
      <c r="AP19411" s="4" t="s">
        <v>389</v>
      </c>
      <c r="AR19411" s="4" t="s">
        <v>377</v>
      </c>
    </row>
    <row r="19412" spans="1:44">
      <c r="A19412" s="4" t="s">
        <v>117</v>
      </c>
      <c r="B19412" s="4">
        <v>3053</v>
      </c>
      <c r="D19412" s="5" t="s">
        <v>23784</v>
      </c>
      <c r="E19412" s="6" t="str">
        <f>HYPERLINK("https://inpn.mnhn.fr/espece/cd_nom/3053","Crex crex (Linnaeus, 1758)")</f>
        <v>Crex crex (Linnaeus, 1758)</v>
      </c>
      <c r="F19412" s="5" t="s">
        <v>23785</v>
      </c>
      <c r="H19412" s="4" t="str">
        <f>HYPERLINK("#Réglementation!A"&amp;_xlfn.XMATCH("IBOAE",Réglementation!A:A,2,1),"IBOAE - IBO2")</f>
        <v>IBOAE - IBO2</v>
      </c>
      <c r="I19412" s="4" t="str">
        <f>HYPERLINK("#Réglementation!A"&amp;_xlfn.XMATCH("IBE2",Réglementation!A:A,2,1),"IBE2")</f>
        <v>IBE2</v>
      </c>
      <c r="J19412" s="4" t="str">
        <f>HYPERLINK("#Réglementation!A"&amp;_xlfn.XMATCH("CDO1",Réglementation!A:A,2,1),"CDO1")</f>
        <v>CDO1</v>
      </c>
      <c r="L19412" s="4" t="str">
        <f>HYPERLINK("#Réglementation!A"&amp;_xlfn.XMATCH("NO3",Réglementation!A:A,2,1),"NO3 - NM")</f>
        <v>NO3 - NM</v>
      </c>
      <c r="O19412" s="7" t="str">
        <f>HYPERLINK("#Liste_rouge!A"&amp;_xlfn.XMATCH("LC",Liste_rouge!A:A,2,1),"LC")</f>
        <v>LC</v>
      </c>
      <c r="P19412" s="7" t="str">
        <f>HYPERLINK("#Liste_rouge!A"&amp;_xlfn.XMATCH("LC",Liste_rouge!A:A,2,1),"LC")</f>
        <v>LC</v>
      </c>
      <c r="Q19412" s="7" t="str">
        <f>HYPERLINK("#Liste_rouge!A"&amp;_xlfn.XMATCH("EN",Liste_rouge!A:A,2,1),"EN")</f>
        <v>EN</v>
      </c>
      <c r="S19412" s="7" t="str">
        <f>HYPERLINK("#Liste_rouge!A"&amp;_xlfn.XMATCH("NA",Liste_rouge!A:A,2,1),"NA")</f>
        <v>NA</v>
      </c>
      <c r="T19412" s="7" t="str">
        <f>HYPERLINK("#Liste_rouge!A"&amp;_xlfn.XMATCH("CR",Liste_rouge!A:A,2,1),"CR")</f>
        <v>CR</v>
      </c>
      <c r="U19412" s="4" t="str">
        <f>HYPERLINK("#Critères_liste_rouge!A$1","D1")</f>
        <v>D1</v>
      </c>
      <c r="V19412" s="7" t="str">
        <f>HYPERLINK("#Liste_rouge!A"&amp;_xlfn.XMATCH("CR",Liste_rouge!A:A,2,1),"CR")</f>
        <v>CR</v>
      </c>
      <c r="W19412" s="4" t="str">
        <f>HYPERLINK("#Critères_liste_rouge!A$1","D1")</f>
        <v>D1</v>
      </c>
      <c r="X19412" s="5" t="s">
        <v>374</v>
      </c>
      <c r="AE19412" s="4" t="str">
        <f>HYPERLINK("#SCAP!A"&amp;_xlfn.XMATCH("2+",SCAP!A:A,2,1),"2+")</f>
        <v>2+</v>
      </c>
      <c r="AF19412" s="4" t="str">
        <f>HYPERLINK("#SCAP!A"&amp;_xlfn.XMATCH("2+",SCAP!A:A,2,1),"2+")</f>
        <v>2+</v>
      </c>
      <c r="AG19412" s="4" t="str">
        <f>HYPERLINK("#SCAP!A"&amp;_xlfn.XMATCH("2+",SCAP!A:A,2,1),"2+")</f>
        <v>2+</v>
      </c>
      <c r="AH19412" s="4" t="str">
        <f>HYPERLINK("#Statut_biogéographique!A"&amp;_xlfn.XMATCH("P",Statut_biogéographique!A:A,2,1),"P")</f>
        <v>P</v>
      </c>
      <c r="AI19412" s="8" t="s">
        <v>23786</v>
      </c>
      <c r="AJ19412" s="4" t="s">
        <v>23787</v>
      </c>
      <c r="AM19412" s="4" t="s">
        <v>375</v>
      </c>
      <c r="AN19412" s="4" t="s">
        <v>375</v>
      </c>
      <c r="AO19412" s="4" t="s">
        <v>382</v>
      </c>
      <c r="AP19412" s="4" t="s">
        <v>376</v>
      </c>
      <c r="AQ19412" s="4" t="s">
        <v>377</v>
      </c>
      <c r="AR19412" s="4" t="s">
        <v>377</v>
      </c>
    </row>
    <row r="19413" spans="1:44">
      <c r="A19413" s="4" t="s">
        <v>117</v>
      </c>
      <c r="B19413" s="4">
        <v>3059</v>
      </c>
      <c r="D19413" s="5" t="s">
        <v>23788</v>
      </c>
      <c r="E19413" s="6" t="str">
        <f>HYPERLINK("https://inpn.mnhn.fr/espece/cd_nom/3059","Gallinula chloropus (Linnaeus, 1758)")</f>
        <v>Gallinula chloropus (Linnaeus, 1758)</v>
      </c>
      <c r="F19413" s="5" t="s">
        <v>23789</v>
      </c>
      <c r="H19413" s="4" t="str">
        <f>HYPERLINK("#Réglementation!A"&amp;_xlfn.XMATCH("IBOAE",Réglementation!A:A,2,1),"IBOAE")</f>
        <v>IBOAE</v>
      </c>
      <c r="I19413" s="4" t="str">
        <f>HYPERLINK("#Réglementation!A"&amp;_xlfn.XMATCH("IBE3",Réglementation!A:A,2,1),"IBE3")</f>
        <v>IBE3</v>
      </c>
      <c r="J19413" s="4" t="str">
        <f>HYPERLINK("#Réglementation!A"&amp;_xlfn.XMATCH("CDO22",Réglementation!A:A,2,1),"CDO22")</f>
        <v>CDO22</v>
      </c>
      <c r="L19413" s="4" t="str">
        <f>HYPERLINK("#Réglementation!A"&amp;_xlfn.XMATCH("OC3",Réglementation!A:A,2,1),"OC3")</f>
        <v>OC3</v>
      </c>
      <c r="P19413" s="7" t="str">
        <f>HYPERLINK("#Liste_rouge!A"&amp;_xlfn.XMATCH("LC",Liste_rouge!A:A,2,1),"LC")</f>
        <v>LC</v>
      </c>
      <c r="Q19413" s="7" t="str">
        <f>HYPERLINK("#Liste_rouge!A"&amp;_xlfn.XMATCH("LC",Liste_rouge!A:A,2,1),"LC")</f>
        <v>LC</v>
      </c>
      <c r="R19413" s="7" t="str">
        <f>HYPERLINK("#Liste_rouge!A"&amp;_xlfn.XMATCH("NA",Liste_rouge!A:A,2,1),"NA")</f>
        <v>NA</v>
      </c>
      <c r="S19413" s="7" t="str">
        <f>HYPERLINK("#Liste_rouge!A"&amp;_xlfn.XMATCH("NA",Liste_rouge!A:A,2,1),"NA")</f>
        <v>NA</v>
      </c>
      <c r="T19413" s="7" t="str">
        <f>HYPERLINK("#Liste_rouge!A"&amp;_xlfn.XMATCH("LC",Liste_rouge!A:A,2,1),"LC")</f>
        <v>LC</v>
      </c>
      <c r="V19413" s="7" t="str">
        <f>HYPERLINK("#Liste_rouge!A"&amp;_xlfn.XMATCH("LC",Liste_rouge!A:A,2,1),"LC")</f>
        <v>LC</v>
      </c>
      <c r="AH19413" s="4" t="str">
        <f>HYPERLINK("#Statut_biogéographique!A"&amp;_xlfn.XMATCH("P",Statut_biogéographique!A:A,2,1),"P")</f>
        <v>P</v>
      </c>
      <c r="AK19413" s="4" t="str">
        <f>HYPERLINK("#Réglementation!A"&amp;_xlfn.XMATCH("Ngib_ch_1",Réglementation!A:A,2,1),"Ngib_ch_1")</f>
        <v>Ngib_ch_1</v>
      </c>
      <c r="AM19413" s="4" t="s">
        <v>375</v>
      </c>
      <c r="AN19413" s="4" t="s">
        <v>375</v>
      </c>
      <c r="AO19413" s="4" t="s">
        <v>375</v>
      </c>
      <c r="AP19413" s="4" t="s">
        <v>376</v>
      </c>
      <c r="AR19413" s="4" t="s">
        <v>377</v>
      </c>
    </row>
    <row r="19414" spans="1:44" ht="30">
      <c r="A19414" s="4" t="s">
        <v>117</v>
      </c>
      <c r="B19414" s="4">
        <v>3067</v>
      </c>
      <c r="D19414" s="5" t="s">
        <v>23790</v>
      </c>
      <c r="E19414" s="6" t="str">
        <f>HYPERLINK("https://inpn.mnhn.fr/espece/cd_nom/3067","Porphyrio porphyrio (Linnaeus, 1758)")</f>
        <v>Porphyrio porphyrio (Linnaeus, 1758)</v>
      </c>
      <c r="F19414" s="5" t="s">
        <v>23791</v>
      </c>
      <c r="I19414" s="4" t="str">
        <f>HYPERLINK("#Réglementation!A"&amp;_xlfn.XMATCH("IBE2",Réglementation!A:A,2,1),"IBE2")</f>
        <v>IBE2</v>
      </c>
      <c r="J19414" s="4" t="str">
        <f>HYPERLINK("#Réglementation!A"&amp;_xlfn.XMATCH("CDO1",Réglementation!A:A,2,1),"CDO1")</f>
        <v>CDO1</v>
      </c>
      <c r="L19414" s="4" t="str">
        <f>HYPERLINK("#Réglementation!A"&amp;_xlfn.XMATCH("NO3",Réglementation!A:A,2,1),"NO3")</f>
        <v>NO3</v>
      </c>
      <c r="O19414" s="7" t="str">
        <f>HYPERLINK("#Liste_rouge!A"&amp;_xlfn.XMATCH("LC",Liste_rouge!A:A,2,1),"LC")</f>
        <v>LC</v>
      </c>
      <c r="P19414" s="7" t="str">
        <f>HYPERLINK("#Liste_rouge!A"&amp;_xlfn.XMATCH("LC",Liste_rouge!A:A,2,1),"LC")</f>
        <v>LC</v>
      </c>
      <c r="Q19414" s="7" t="str">
        <f>HYPERLINK("#Liste_rouge!A"&amp;_xlfn.XMATCH("VU",Liste_rouge!A:A,2,1),"VU")</f>
        <v>VU</v>
      </c>
      <c r="AH19414" s="4" t="str">
        <f>HYPERLINK("#Statut_biogéographique!A"&amp;_xlfn.XMATCH("P",Statut_biogéographique!A:A,2,1),"P")</f>
        <v>P</v>
      </c>
      <c r="AM19414" s="4" t="s">
        <v>375</v>
      </c>
      <c r="AN19414" s="4" t="s">
        <v>375</v>
      </c>
      <c r="AO19414" s="4" t="s">
        <v>375</v>
      </c>
      <c r="AP19414" s="4" t="s">
        <v>389</v>
      </c>
      <c r="AR19414" s="4" t="s">
        <v>377</v>
      </c>
    </row>
    <row r="19415" spans="1:44">
      <c r="A19415" s="4" t="s">
        <v>117</v>
      </c>
      <c r="B19415" s="4">
        <v>3070</v>
      </c>
      <c r="D19415" s="5" t="s">
        <v>23792</v>
      </c>
      <c r="E19415" s="6" t="str">
        <f>HYPERLINK("https://inpn.mnhn.fr/espece/cd_nom/3070","Fulica atra Linnaeus, 1758")</f>
        <v>Fulica atra Linnaeus, 1758</v>
      </c>
      <c r="F19415" s="5" t="s">
        <v>23793</v>
      </c>
      <c r="H19415" s="4" t="str">
        <f>HYPERLINK("#Réglementation!A"&amp;_xlfn.XMATCH("IBOAE",Réglementation!A:A,2,1),"IBOAE - IBO2")</f>
        <v>IBOAE - IBO2</v>
      </c>
      <c r="I19415" s="4" t="str">
        <f>HYPERLINK("#Réglementation!A"&amp;_xlfn.XMATCH("IBE3",Réglementation!A:A,2,1),"IBE3")</f>
        <v>IBE3</v>
      </c>
      <c r="J19415" s="4" t="str">
        <f>HYPERLINK("#Réglementation!A"&amp;_xlfn.XMATCH("CDO21",Réglementation!A:A,2,1),"CDO21 - CDO32")</f>
        <v>CDO21 - CDO32</v>
      </c>
      <c r="L19415" s="4" t="str">
        <f>HYPERLINK("#Réglementation!A"&amp;_xlfn.XMATCH("OC3",Réglementation!A:A,2,1),"OC3")</f>
        <v>OC3</v>
      </c>
      <c r="O19415" s="7" t="str">
        <f>HYPERLINK("#Liste_rouge!A"&amp;_xlfn.XMATCH("LC",Liste_rouge!A:A,2,1),"LC")</f>
        <v>LC</v>
      </c>
      <c r="P19415" s="7" t="str">
        <f>HYPERLINK("#Liste_rouge!A"&amp;_xlfn.XMATCH("NT",Liste_rouge!A:A,2,1),"NT")</f>
        <v>NT</v>
      </c>
      <c r="Q19415" s="7" t="str">
        <f>HYPERLINK("#Liste_rouge!A"&amp;_xlfn.XMATCH("LC",Liste_rouge!A:A,2,1),"LC")</f>
        <v>LC</v>
      </c>
      <c r="R19415" s="7" t="str">
        <f>HYPERLINK("#Liste_rouge!A"&amp;_xlfn.XMATCH("NA",Liste_rouge!A:A,2,1),"NA")</f>
        <v>NA</v>
      </c>
      <c r="S19415" s="7" t="str">
        <f>HYPERLINK("#Liste_rouge!A"&amp;_xlfn.XMATCH("NA",Liste_rouge!A:A,2,1),"NA")</f>
        <v>NA</v>
      </c>
      <c r="T19415" s="7" t="str">
        <f>HYPERLINK("#Liste_rouge!A"&amp;_xlfn.XMATCH("LC",Liste_rouge!A:A,2,1),"LC")</f>
        <v>LC</v>
      </c>
      <c r="V19415" s="7" t="str">
        <f>HYPERLINK("#Liste_rouge!A"&amp;_xlfn.XMATCH("LC",Liste_rouge!A:A,2,1),"LC")</f>
        <v>LC</v>
      </c>
      <c r="AH19415" s="4" t="str">
        <f>HYPERLINK("#Statut_biogéographique!A"&amp;_xlfn.XMATCH("P",Statut_biogéographique!A:A,2,1),"P")</f>
        <v>P</v>
      </c>
      <c r="AK19415" s="4" t="str">
        <f>HYPERLINK("#Réglementation!A"&amp;_xlfn.XMATCH("Ngib_ch_1",Réglementation!A:A,2,1),"Ngib_ch_1")</f>
        <v>Ngib_ch_1</v>
      </c>
      <c r="AM19415" s="4" t="s">
        <v>375</v>
      </c>
      <c r="AN19415" s="4" t="s">
        <v>375</v>
      </c>
      <c r="AO19415" s="4" t="s">
        <v>375</v>
      </c>
      <c r="AP19415" s="4" t="s">
        <v>376</v>
      </c>
      <c r="AR19415" s="4" t="s">
        <v>377</v>
      </c>
    </row>
    <row r="19416" spans="1:44" ht="45">
      <c r="A19416" s="4" t="s">
        <v>117</v>
      </c>
      <c r="B19416" s="4">
        <v>3076</v>
      </c>
      <c r="D19416" s="5" t="s">
        <v>23794</v>
      </c>
      <c r="E19416" s="6" t="str">
        <f>HYPERLINK("https://inpn.mnhn.fr/espece/cd_nom/3076","Grus grus (Linnaeus, 1758)")</f>
        <v>Grus grus (Linnaeus, 1758)</v>
      </c>
      <c r="F19416" s="5" t="s">
        <v>23795</v>
      </c>
      <c r="G19416" s="4" t="str">
        <f>HYPERLINK("[#Réglementation!A"&amp;_xlfn.XMATCH("CCA",Réglementation!A:A,2,1),"CCA")</f>
        <v>CCA</v>
      </c>
      <c r="H19416" s="4" t="str">
        <f>HYPERLINK("#Réglementation!A"&amp;_xlfn.XMATCH("IBOAE",Réglementation!A:A,2,1),"IBOAE - IBO2")</f>
        <v>IBOAE - IBO2</v>
      </c>
      <c r="I19416" s="4" t="str">
        <f>HYPERLINK("#Réglementation!A"&amp;_xlfn.XMATCH("IBE2",Réglementation!A:A,2,1),"IBE2")</f>
        <v>IBE2</v>
      </c>
      <c r="J19416" s="4" t="str">
        <f>HYPERLINK("#Réglementation!A"&amp;_xlfn.XMATCH("CDO1",Réglementation!A:A,2,1),"CDO1")</f>
        <v>CDO1</v>
      </c>
      <c r="L19416" s="4" t="str">
        <f>HYPERLINK("#Réglementation!A"&amp;_xlfn.XMATCH("NO3",Réglementation!A:A,2,1),"NO3")</f>
        <v>NO3</v>
      </c>
      <c r="O19416" s="7" t="str">
        <f>HYPERLINK("#Liste_rouge!A"&amp;_xlfn.XMATCH("LC",Liste_rouge!A:A,2,1),"LC")</f>
        <v>LC</v>
      </c>
      <c r="P19416" s="7" t="str">
        <f>HYPERLINK("#Liste_rouge!A"&amp;_xlfn.XMATCH("LC",Liste_rouge!A:A,2,1),"LC")</f>
        <v>LC</v>
      </c>
      <c r="Q19416" s="7" t="str">
        <f>HYPERLINK("#Liste_rouge!A"&amp;_xlfn.XMATCH("CR",Liste_rouge!A:A,2,1),"CR")</f>
        <v>CR</v>
      </c>
      <c r="R19416" s="7" t="str">
        <f>HYPERLINK("#Liste_rouge!A"&amp;_xlfn.XMATCH("NT",Liste_rouge!A:A,2,1),"NT")</f>
        <v>NT</v>
      </c>
      <c r="S19416" s="7" t="str">
        <f>HYPERLINK("#Liste_rouge!A"&amp;_xlfn.XMATCH("NA",Liste_rouge!A:A,2,1),"NA")</f>
        <v>NA</v>
      </c>
      <c r="X19416" s="5" t="s">
        <v>23439</v>
      </c>
      <c r="Y19416" s="5" t="s">
        <v>23796</v>
      </c>
      <c r="AE19416" s="4" t="str">
        <f>HYPERLINK("#SCAP!A"&amp;_xlfn.XMATCH("2+",SCAP!A:A,2,1),"2+")</f>
        <v>2+</v>
      </c>
      <c r="AH19416" s="4" t="str">
        <f>HYPERLINK("#Statut_biogéographique!A"&amp;_xlfn.XMATCH("P",Statut_biogéographique!A:A,2,1),"P")</f>
        <v>P</v>
      </c>
      <c r="AM19416" s="4" t="s">
        <v>375</v>
      </c>
      <c r="AN19416" s="4" t="s">
        <v>375</v>
      </c>
      <c r="AO19416" s="4" t="s">
        <v>375</v>
      </c>
      <c r="AP19416" s="4" t="s">
        <v>389</v>
      </c>
      <c r="AR19416" s="4" t="s">
        <v>377</v>
      </c>
    </row>
    <row r="19417" spans="1:44">
      <c r="A19417" s="4" t="s">
        <v>117</v>
      </c>
      <c r="B19417" s="4">
        <v>3081</v>
      </c>
      <c r="D19417" s="5" t="s">
        <v>23797</v>
      </c>
      <c r="E19417" s="6" t="str">
        <f>HYPERLINK("https://inpn.mnhn.fr/espece/cd_nom/3081","Anthropoides virgo (Linnaeus, 1758)")</f>
        <v>Anthropoides virgo (Linnaeus, 1758)</v>
      </c>
      <c r="F19417" s="5" t="s">
        <v>23798</v>
      </c>
      <c r="G19417" s="4" t="str">
        <f>HYPERLINK("[#Réglementation!A"&amp;_xlfn.XMATCH("CCB",Réglementation!A:A,2,1),"CCB")</f>
        <v>CCB</v>
      </c>
      <c r="H19417" s="4" t="str">
        <f>HYPERLINK("#Réglementation!A"&amp;_xlfn.XMATCH("IBOAE",Réglementation!A:A,2,1),"IBOAE")</f>
        <v>IBOAE</v>
      </c>
      <c r="I19417" s="4" t="str">
        <f>HYPERLINK("#Réglementation!A"&amp;_xlfn.XMATCH("IBE2",Réglementation!A:A,2,1),"IBE2")</f>
        <v>IBE2</v>
      </c>
      <c r="L19417" s="4" t="str">
        <f>HYPERLINK("#Réglementation!A"&amp;_xlfn.XMATCH("NO4",Réglementation!A:A,2,1),"NO4")</f>
        <v>NO4</v>
      </c>
      <c r="O19417" s="7" t="str">
        <f>HYPERLINK("#Liste_rouge!A"&amp;_xlfn.XMATCH("LC",Liste_rouge!A:A,2,1),"LC")</f>
        <v>LC</v>
      </c>
      <c r="P19417" s="7" t="str">
        <f>HYPERLINK("#Liste_rouge!A"&amp;_xlfn.XMATCH("EN",Liste_rouge!A:A,2,1),"EN")</f>
        <v>EN</v>
      </c>
      <c r="AH19417" s="4" t="str">
        <f>HYPERLINK("#Statut_biogéographique!A"&amp;_xlfn.XMATCH("B",Statut_biogéographique!A:A,2,1),"B")</f>
        <v>B</v>
      </c>
      <c r="AP19417" s="4" t="s">
        <v>376</v>
      </c>
      <c r="AR19417" s="4" t="s">
        <v>377</v>
      </c>
    </row>
    <row r="19418" spans="1:44">
      <c r="A19418" s="4" t="s">
        <v>117</v>
      </c>
      <c r="B19418" s="4">
        <v>3089</v>
      </c>
      <c r="D19418" s="5" t="s">
        <v>23799</v>
      </c>
      <c r="E19418" s="6" t="str">
        <f>HYPERLINK("https://inpn.mnhn.fr/espece/cd_nom/3089","Tetrax tetrax (Linnaeus, 1758)")</f>
        <v>Tetrax tetrax (Linnaeus, 1758)</v>
      </c>
      <c r="F19418" s="5" t="s">
        <v>23800</v>
      </c>
      <c r="G19418" s="4" t="str">
        <f>HYPERLINK("[#Réglementation!A"&amp;_xlfn.XMATCH("CCA",Réglementation!A:A,2,1),"CCA")</f>
        <v>CCA</v>
      </c>
      <c r="I19418" s="4" t="str">
        <f>HYPERLINK("#Réglementation!A"&amp;_xlfn.XMATCH("IBE2",Réglementation!A:A,2,1),"IBE2")</f>
        <v>IBE2</v>
      </c>
      <c r="J19418" s="4" t="str">
        <f>HYPERLINK("#Réglementation!A"&amp;_xlfn.XMATCH("CDO1",Réglementation!A:A,2,1),"CDO1")</f>
        <v>CDO1</v>
      </c>
      <c r="L19418" s="4" t="str">
        <f>HYPERLINK("#Réglementation!A"&amp;_xlfn.XMATCH("NO3",Réglementation!A:A,2,1),"NO3 - NM")</f>
        <v>NO3 - NM</v>
      </c>
      <c r="O19418" s="7" t="str">
        <f>HYPERLINK("#Liste_rouge!A"&amp;_xlfn.XMATCH("NT",Liste_rouge!A:A,2,1),"NT")</f>
        <v>NT</v>
      </c>
      <c r="P19418" s="7" t="str">
        <f>HYPERLINK("#Liste_rouge!A"&amp;_xlfn.XMATCH("VU",Liste_rouge!A:A,2,1),"VU")</f>
        <v>VU</v>
      </c>
      <c r="Q19418" s="7" t="str">
        <f>HYPERLINK("#Liste_rouge!A"&amp;_xlfn.XMATCH("EN",Liste_rouge!A:A,2,1),"EN")</f>
        <v>EN</v>
      </c>
      <c r="R19418" s="7" t="str">
        <f>HYPERLINK("#Liste_rouge!A"&amp;_xlfn.XMATCH("NA",Liste_rouge!A:A,2,1),"NA")</f>
        <v>NA</v>
      </c>
      <c r="T19418" s="7" t="str">
        <f>HYPERLINK("#Liste_rouge!A"&amp;_xlfn.XMATCH("CR",Liste_rouge!A:A,2,1),"CR")</f>
        <v>CR</v>
      </c>
      <c r="U19418" s="4" t="str">
        <f>HYPERLINK("#Critères_liste_rouge!A$1","D1")</f>
        <v>D1</v>
      </c>
      <c r="V19418" s="7" t="str">
        <f>HYPERLINK("#Liste_rouge!A"&amp;_xlfn.XMATCH("RE",Liste_rouge!A:A,2,1),"RE")</f>
        <v>RE</v>
      </c>
      <c r="X19418" s="5" t="s">
        <v>374</v>
      </c>
      <c r="AE19418" s="4" t="str">
        <f>HYPERLINK("#SCAP!A"&amp;_xlfn.XMATCH("A",SCAP!A:A,2,1),"A")</f>
        <v>A</v>
      </c>
      <c r="AH19418" s="4" t="str">
        <f>HYPERLINK("#Statut_biogéographique!A"&amp;_xlfn.XMATCH("P",Statut_biogéographique!A:A,2,1),"P")</f>
        <v>P</v>
      </c>
      <c r="AI19418" s="8" t="s">
        <v>23801</v>
      </c>
      <c r="AJ19418" s="4" t="s">
        <v>23802</v>
      </c>
      <c r="AM19418" s="4" t="s">
        <v>375</v>
      </c>
      <c r="AN19418" s="4" t="s">
        <v>375</v>
      </c>
      <c r="AO19418" s="4" t="s">
        <v>375</v>
      </c>
      <c r="AP19418" s="4" t="s">
        <v>376</v>
      </c>
      <c r="AQ19418" s="4" t="s">
        <v>377</v>
      </c>
      <c r="AR19418" s="4" t="s">
        <v>377</v>
      </c>
    </row>
    <row r="19419" spans="1:44">
      <c r="A19419" s="4" t="s">
        <v>117</v>
      </c>
      <c r="B19419" s="4">
        <v>3101</v>
      </c>
      <c r="D19419" s="5">
        <v>3101</v>
      </c>
      <c r="E19419" s="6" t="str">
        <f>HYPERLINK("https://inpn.mnhn.fr/espece/cd_nom/3101","Otis tarda Linnaeus, 1758")</f>
        <v>Otis tarda Linnaeus, 1758</v>
      </c>
      <c r="F19419" s="5" t="s">
        <v>23803</v>
      </c>
      <c r="G19419" s="4" t="str">
        <f>HYPERLINK("[#Réglementation!A"&amp;_xlfn.XMATCH("CCA",Réglementation!A:A,2,1),"CCA")</f>
        <v>CCA</v>
      </c>
      <c r="H19419" s="4" t="str">
        <f>HYPERLINK("#Réglementation!A"&amp;_xlfn.XMATCH("IBO1",Réglementation!A:A,2,1),"IBO1 - IBO2")</f>
        <v>IBO1 - IBO2</v>
      </c>
      <c r="I19419" s="4" t="str">
        <f>HYPERLINK("#Réglementation!A"&amp;_xlfn.XMATCH("IBE2",Réglementation!A:A,2,1),"IBE2")</f>
        <v>IBE2</v>
      </c>
      <c r="J19419" s="4" t="str">
        <f>HYPERLINK("#Réglementation!A"&amp;_xlfn.XMATCH("CDO1",Réglementation!A:A,2,1),"CDO1")</f>
        <v>CDO1</v>
      </c>
      <c r="L19419" s="4" t="str">
        <f>HYPERLINK("#Réglementation!A"&amp;_xlfn.XMATCH("NO3",Réglementation!A:A,2,1),"NO3")</f>
        <v>NO3</v>
      </c>
      <c r="O19419" s="7" t="str">
        <f>HYPERLINK("#Liste_rouge!A"&amp;_xlfn.XMATCH("VU",Liste_rouge!A:A,2,1),"VU")</f>
        <v>VU</v>
      </c>
      <c r="P19419" s="7" t="str">
        <f>HYPERLINK("#Liste_rouge!A"&amp;_xlfn.XMATCH("LC",Liste_rouge!A:A,2,1),"LC")</f>
        <v>LC</v>
      </c>
      <c r="Q19419" s="7" t="str">
        <f>HYPERLINK("#Liste_rouge!A"&amp;_xlfn.XMATCH("RE",Liste_rouge!A:A,2,1),"RE")</f>
        <v>RE</v>
      </c>
      <c r="S19419" s="7" t="str">
        <f>HYPERLINK("#Liste_rouge!A"&amp;_xlfn.XMATCH("NA",Liste_rouge!A:A,2,1),"NA")</f>
        <v>NA</v>
      </c>
      <c r="AH19419" s="4" t="str">
        <f>HYPERLINK("#Statut_biogéographique!A"&amp;_xlfn.XMATCH("B",Statut_biogéographique!A:A,2,1),"B")</f>
        <v>B</v>
      </c>
      <c r="AM19419" s="4" t="s">
        <v>375</v>
      </c>
      <c r="AN19419" s="4" t="s">
        <v>375</v>
      </c>
      <c r="AO19419" s="4" t="s">
        <v>375</v>
      </c>
      <c r="AP19419" s="4" t="s">
        <v>376</v>
      </c>
      <c r="AR19419" s="4" t="s">
        <v>377</v>
      </c>
    </row>
    <row r="19420" spans="1:44">
      <c r="A19420" s="4" t="s">
        <v>117</v>
      </c>
      <c r="B19420" s="4">
        <v>3106</v>
      </c>
      <c r="D19420" s="5" t="s">
        <v>23804</v>
      </c>
      <c r="E19420" s="6" t="str">
        <f>HYPERLINK("https://inpn.mnhn.fr/espece/cd_nom/3106","Haematopus ostralegus Linnaeus, 1758")</f>
        <v>Haematopus ostralegus Linnaeus, 1758</v>
      </c>
      <c r="F19420" s="5" t="s">
        <v>23805</v>
      </c>
      <c r="H19420" s="4" t="str">
        <f>HYPERLINK("#Réglementation!A"&amp;_xlfn.XMATCH("IBOAE",Réglementation!A:A,2,1),"IBOAE")</f>
        <v>IBOAE</v>
      </c>
      <c r="I19420" s="4" t="str">
        <f>HYPERLINK("#Réglementation!A"&amp;_xlfn.XMATCH("IBE3",Réglementation!A:A,2,1),"IBE3")</f>
        <v>IBE3</v>
      </c>
      <c r="J19420" s="4" t="str">
        <f>HYPERLINK("#Réglementation!A"&amp;_xlfn.XMATCH("CDO22",Réglementation!A:A,2,1),"CDO22")</f>
        <v>CDO22</v>
      </c>
      <c r="L19420" s="4" t="str">
        <f>HYPERLINK("#Réglementation!A"&amp;_xlfn.XMATCH("OC3",Réglementation!A:A,2,1),"OC3")</f>
        <v>OC3</v>
      </c>
      <c r="O19420" s="7" t="str">
        <f>HYPERLINK("#Liste_rouge!A"&amp;_xlfn.XMATCH("NT",Liste_rouge!A:A,2,1),"NT")</f>
        <v>NT</v>
      </c>
      <c r="P19420" s="7" t="str">
        <f>HYPERLINK("#Liste_rouge!A"&amp;_xlfn.XMATCH("VU",Liste_rouge!A:A,2,1),"VU")</f>
        <v>VU</v>
      </c>
      <c r="Q19420" s="7" t="str">
        <f>HYPERLINK("#Liste_rouge!A"&amp;_xlfn.XMATCH("LC",Liste_rouge!A:A,2,1),"LC")</f>
        <v>LC</v>
      </c>
      <c r="R19420" s="7" t="str">
        <f>HYPERLINK("#Liste_rouge!A"&amp;_xlfn.XMATCH("LC",Liste_rouge!A:A,2,1),"LC")</f>
        <v>LC</v>
      </c>
      <c r="AH19420" s="4" t="str">
        <f>HYPERLINK("#Statut_biogéographique!A"&amp;_xlfn.XMATCH("P",Statut_biogéographique!A:A,2,1),"P")</f>
        <v>P</v>
      </c>
      <c r="AK19420" s="4" t="str">
        <f>HYPERLINK("#Réglementation!A"&amp;_xlfn.XMATCH("Ngib_ch_1",Réglementation!A:A,2,1),"Ngib_ch_1")</f>
        <v>Ngib_ch_1</v>
      </c>
      <c r="AM19420" s="4" t="s">
        <v>375</v>
      </c>
      <c r="AN19420" s="4" t="s">
        <v>375</v>
      </c>
      <c r="AO19420" s="4" t="s">
        <v>375</v>
      </c>
      <c r="AP19420" s="4" t="s">
        <v>376</v>
      </c>
      <c r="AR19420" s="4" t="s">
        <v>377</v>
      </c>
    </row>
    <row r="19421" spans="1:44" ht="60">
      <c r="A19421" s="4" t="s">
        <v>117</v>
      </c>
      <c r="B19421" s="4">
        <v>3112</v>
      </c>
      <c r="D19421" s="5" t="s">
        <v>23806</v>
      </c>
      <c r="E19421" s="6" t="str">
        <f>HYPERLINK("https://inpn.mnhn.fr/espece/cd_nom/3112","Himantopus himantopus (Linnaeus, 1758)")</f>
        <v>Himantopus himantopus (Linnaeus, 1758)</v>
      </c>
      <c r="F19421" s="5" t="s">
        <v>23807</v>
      </c>
      <c r="H19421" s="4" t="str">
        <f>HYPERLINK("#Réglementation!A"&amp;_xlfn.XMATCH("IBOAE",Réglementation!A:A,2,1),"IBOAE - IBO2")</f>
        <v>IBOAE - IBO2</v>
      </c>
      <c r="I19421" s="4" t="str">
        <f>HYPERLINK("#Réglementation!A"&amp;_xlfn.XMATCH("IBE2",Réglementation!A:A,2,1),"IBE2")</f>
        <v>IBE2</v>
      </c>
      <c r="J19421" s="4" t="str">
        <f>HYPERLINK("#Réglementation!A"&amp;_xlfn.XMATCH("CDO1",Réglementation!A:A,2,1),"CDO1")</f>
        <v>CDO1</v>
      </c>
      <c r="L19421" s="4" t="str">
        <f>HYPERLINK("#Réglementation!A"&amp;_xlfn.XMATCH("NO3",Réglementation!A:A,2,1),"NO3")</f>
        <v>NO3</v>
      </c>
      <c r="O19421" s="7" t="str">
        <f>HYPERLINK("#Liste_rouge!A"&amp;_xlfn.XMATCH("LC",Liste_rouge!A:A,2,1),"LC")</f>
        <v>LC</v>
      </c>
      <c r="P19421" s="7" t="str">
        <f>HYPERLINK("#Liste_rouge!A"&amp;_xlfn.XMATCH("LC",Liste_rouge!A:A,2,1),"LC")</f>
        <v>LC</v>
      </c>
      <c r="Q19421" s="7" t="str">
        <f>HYPERLINK("#Liste_rouge!A"&amp;_xlfn.XMATCH("LC",Liste_rouge!A:A,2,1),"LC")</f>
        <v>LC</v>
      </c>
      <c r="T19421" s="7" t="str">
        <f>HYPERLINK("#Liste_rouge!A"&amp;_xlfn.XMATCH("NA",Liste_rouge!A:A,2,1),"NA")</f>
        <v>NA</v>
      </c>
      <c r="U19421" s="4" t="str">
        <f>HYPERLINK("#Critères_liste_rouge!A$1","b")</f>
        <v>b</v>
      </c>
      <c r="V19421" s="7" t="str">
        <f>HYPERLINK("#Liste_rouge!A"&amp;_xlfn.XMATCH("NA",Liste_rouge!A:A,2,1),"NA")</f>
        <v>NA</v>
      </c>
      <c r="W19421" s="4" t="str">
        <f>HYPERLINK("#Critères_liste_rouge!A$1","b1")</f>
        <v>b1</v>
      </c>
      <c r="X19421" s="5" t="s">
        <v>23442</v>
      </c>
      <c r="Y19421" s="5" t="s">
        <v>23572</v>
      </c>
      <c r="AE19421" s="4" t="str">
        <f>HYPERLINK("#SCAP!A"&amp;_xlfn.XMATCH("3",SCAP!A:A,2,1),"3")</f>
        <v>3</v>
      </c>
      <c r="AF19421" s="4" t="str">
        <f>HYPERLINK("#SCAP!A"&amp;_xlfn.XMATCH("1+",SCAP!A:A,2,1),"1+")</f>
        <v>1+</v>
      </c>
      <c r="AH19421" s="4" t="str">
        <f>HYPERLINK("#Statut_biogéographique!A"&amp;_xlfn.XMATCH("P",Statut_biogéographique!A:A,2,1),"P")</f>
        <v>P</v>
      </c>
      <c r="AM19421" s="4" t="s">
        <v>375</v>
      </c>
      <c r="AN19421" s="4" t="s">
        <v>375</v>
      </c>
      <c r="AO19421" s="4" t="s">
        <v>375</v>
      </c>
      <c r="AP19421" s="4" t="s">
        <v>389</v>
      </c>
      <c r="AR19421" s="4" t="s">
        <v>377</v>
      </c>
    </row>
    <row r="19422" spans="1:44">
      <c r="A19422" s="4" t="s">
        <v>117</v>
      </c>
      <c r="B19422" s="4">
        <v>3116</v>
      </c>
      <c r="D19422" s="5">
        <v>3116</v>
      </c>
      <c r="E19422" s="6" t="str">
        <f>HYPERLINK("https://inpn.mnhn.fr/espece/cd_nom/3116","Recurvirostra avosetta Linnaeus, 1758")</f>
        <v>Recurvirostra avosetta Linnaeus, 1758</v>
      </c>
      <c r="F19422" s="5" t="s">
        <v>23808</v>
      </c>
      <c r="H19422" s="4" t="str">
        <f>HYPERLINK("#Réglementation!A"&amp;_xlfn.XMATCH("IBOAE",Réglementation!A:A,2,1),"IBOAE - IBO2")</f>
        <v>IBOAE - IBO2</v>
      </c>
      <c r="I19422" s="4" t="str">
        <f>HYPERLINK("#Réglementation!A"&amp;_xlfn.XMATCH("IBE2",Réglementation!A:A,2,1),"IBE2")</f>
        <v>IBE2</v>
      </c>
      <c r="J19422" s="4" t="str">
        <f>HYPERLINK("#Réglementation!A"&amp;_xlfn.XMATCH("CDO1",Réglementation!A:A,2,1),"CDO1")</f>
        <v>CDO1</v>
      </c>
      <c r="L19422" s="4" t="str">
        <f>HYPERLINK("#Réglementation!A"&amp;_xlfn.XMATCH("NO3",Réglementation!A:A,2,1),"NO3")</f>
        <v>NO3</v>
      </c>
      <c r="O19422" s="7" t="str">
        <f>HYPERLINK("#Liste_rouge!A"&amp;_xlfn.XMATCH("LC",Liste_rouge!A:A,2,1),"LC")</f>
        <v>LC</v>
      </c>
      <c r="P19422" s="7" t="str">
        <f>HYPERLINK("#Liste_rouge!A"&amp;_xlfn.XMATCH("LC",Liste_rouge!A:A,2,1),"LC")</f>
        <v>LC</v>
      </c>
      <c r="Q19422" s="7" t="str">
        <f>HYPERLINK("#Liste_rouge!A"&amp;_xlfn.XMATCH("LC",Liste_rouge!A:A,2,1),"LC")</f>
        <v>LC</v>
      </c>
      <c r="R19422" s="7" t="str">
        <f>HYPERLINK("#Liste_rouge!A"&amp;_xlfn.XMATCH("LC",Liste_rouge!A:A,2,1),"LC")</f>
        <v>LC</v>
      </c>
      <c r="S19422" s="7" t="str">
        <f>HYPERLINK("#Liste_rouge!A"&amp;_xlfn.XMATCH("NA",Liste_rouge!A:A,2,1),"NA")</f>
        <v>NA</v>
      </c>
      <c r="AE19422" s="4" t="str">
        <f>HYPERLINK("#SCAP!A"&amp;_xlfn.XMATCH("3",SCAP!A:A,2,1),"3")</f>
        <v>3</v>
      </c>
      <c r="AH19422" s="4" t="str">
        <f>HYPERLINK("#Statut_biogéographique!A"&amp;_xlfn.XMATCH("P",Statut_biogéographique!A:A,2,1),"P")</f>
        <v>P</v>
      </c>
      <c r="AM19422" s="4" t="s">
        <v>375</v>
      </c>
      <c r="AN19422" s="4" t="s">
        <v>375</v>
      </c>
      <c r="AO19422" s="4" t="s">
        <v>375</v>
      </c>
      <c r="AP19422" s="4" t="s">
        <v>376</v>
      </c>
      <c r="AR19422" s="4" t="s">
        <v>377</v>
      </c>
    </row>
    <row r="19423" spans="1:44" ht="75">
      <c r="A19423" s="4" t="s">
        <v>117</v>
      </c>
      <c r="B19423" s="4">
        <v>3120</v>
      </c>
      <c r="D19423" s="5" t="s">
        <v>23809</v>
      </c>
      <c r="E19423" s="6" t="str">
        <f>HYPERLINK("https://inpn.mnhn.fr/espece/cd_nom/3120","Burhinus oedicnemus (Linnaeus, 1758)")</f>
        <v>Burhinus oedicnemus (Linnaeus, 1758)</v>
      </c>
      <c r="F19423" s="5" t="s">
        <v>23810</v>
      </c>
      <c r="H19423" s="4" t="str">
        <f>HYPERLINK("#Réglementation!A"&amp;_xlfn.XMATCH("IBO2",Réglementation!A:A,2,1),"IBO2")</f>
        <v>IBO2</v>
      </c>
      <c r="I19423" s="4" t="str">
        <f>HYPERLINK("#Réglementation!A"&amp;_xlfn.XMATCH("IBE2",Réglementation!A:A,2,1),"IBE2")</f>
        <v>IBE2</v>
      </c>
      <c r="J19423" s="4" t="str">
        <f>HYPERLINK("#Réglementation!A"&amp;_xlfn.XMATCH("CDO1",Réglementation!A:A,2,1),"CDO1")</f>
        <v>CDO1</v>
      </c>
      <c r="L19423" s="4" t="str">
        <f>HYPERLINK("#Réglementation!A"&amp;_xlfn.XMATCH("NO3",Réglementation!A:A,2,1),"NO3")</f>
        <v>NO3</v>
      </c>
      <c r="O19423" s="7" t="str">
        <f>HYPERLINK("#Liste_rouge!A"&amp;_xlfn.XMATCH("LC",Liste_rouge!A:A,2,1),"LC")</f>
        <v>LC</v>
      </c>
      <c r="P19423" s="7" t="str">
        <f>HYPERLINK("#Liste_rouge!A"&amp;_xlfn.XMATCH("LC",Liste_rouge!A:A,2,1),"LC")</f>
        <v>LC</v>
      </c>
      <c r="Q19423" s="7" t="str">
        <f>HYPERLINK("#Liste_rouge!A"&amp;_xlfn.XMATCH("LC",Liste_rouge!A:A,2,1),"LC")</f>
        <v>LC</v>
      </c>
      <c r="R19423" s="7" t="str">
        <f>HYPERLINK("#Liste_rouge!A"&amp;_xlfn.XMATCH("NA",Liste_rouge!A:A,2,1),"NA")</f>
        <v>NA</v>
      </c>
      <c r="S19423" s="7" t="str">
        <f>HYPERLINK("#Liste_rouge!A"&amp;_xlfn.XMATCH("NA",Liste_rouge!A:A,2,1),"NA")</f>
        <v>NA</v>
      </c>
      <c r="T19423" s="7" t="str">
        <f>HYPERLINK("#Liste_rouge!A"&amp;_xlfn.XMATCH("VU",Liste_rouge!A:A,2,1),"VU")</f>
        <v>VU</v>
      </c>
      <c r="U19423" s="4" t="str">
        <f>HYPERLINK("#Critères_liste_rouge!A$1","D1")</f>
        <v>D1</v>
      </c>
      <c r="V19423" s="7" t="str">
        <f>HYPERLINK("#Liste_rouge!A"&amp;_xlfn.XMATCH("CR",Liste_rouge!A:A,2,1),"CR")</f>
        <v>CR</v>
      </c>
      <c r="W19423" s="4" t="str">
        <f>HYPERLINK("#Critères_liste_rouge!A$1","D1")</f>
        <v>D1</v>
      </c>
      <c r="X19423" s="5" t="s">
        <v>23442</v>
      </c>
      <c r="Y19423" s="5" t="s">
        <v>23662</v>
      </c>
      <c r="AE19423" s="4" t="str">
        <f>HYPERLINK("#SCAP!A"&amp;_xlfn.XMATCH("1+",SCAP!A:A,2,1),"1+")</f>
        <v>1+</v>
      </c>
      <c r="AF19423" s="4" t="str">
        <f>HYPERLINK("#SCAP!A"&amp;_xlfn.XMATCH("2+",SCAP!A:A,2,1),"2+")</f>
        <v>2+</v>
      </c>
      <c r="AG19423" s="4" t="str">
        <f>HYPERLINK("#SCAP!A"&amp;_xlfn.XMATCH("2+",SCAP!A:A,2,1),"2+")</f>
        <v>2+</v>
      </c>
      <c r="AH19423" s="4" t="str">
        <f>HYPERLINK("#Statut_biogéographique!A"&amp;_xlfn.XMATCH("P",Statut_biogéographique!A:A,2,1),"P")</f>
        <v>P</v>
      </c>
      <c r="AM19423" s="4" t="s">
        <v>375</v>
      </c>
      <c r="AN19423" s="4" t="s">
        <v>375</v>
      </c>
      <c r="AO19423" s="4" t="s">
        <v>375</v>
      </c>
      <c r="AP19423" s="4" t="s">
        <v>376</v>
      </c>
      <c r="AR19423" s="4" t="s">
        <v>377</v>
      </c>
    </row>
    <row r="19424" spans="1:44">
      <c r="A19424" s="4" t="s">
        <v>117</v>
      </c>
      <c r="B19424" s="4">
        <v>3125</v>
      </c>
      <c r="D19424" s="5" t="s">
        <v>23811</v>
      </c>
      <c r="E19424" s="6" t="str">
        <f>HYPERLINK("https://inpn.mnhn.fr/espece/cd_nom/3125","Cursorius cursor (Latham, 1787)")</f>
        <v>Cursorius cursor (Latham, 1787)</v>
      </c>
      <c r="F19424" s="5" t="s">
        <v>23812</v>
      </c>
      <c r="I19424" s="4" t="str">
        <f>HYPERLINK("#Réglementation!A"&amp;_xlfn.XMATCH("IBE2",Réglementation!A:A,2,1),"IBE2")</f>
        <v>IBE2</v>
      </c>
      <c r="J19424" s="4" t="str">
        <f>HYPERLINK("#Réglementation!A"&amp;_xlfn.XMATCH("CDO1",Réglementation!A:A,2,1),"CDO1")</f>
        <v>CDO1</v>
      </c>
      <c r="L19424" s="4" t="str">
        <f>HYPERLINK("#Réglementation!A"&amp;_xlfn.XMATCH("NO4",Réglementation!A:A,2,1),"NO4")</f>
        <v>NO4</v>
      </c>
      <c r="O19424" s="7" t="str">
        <f>HYPERLINK("#Liste_rouge!A"&amp;_xlfn.XMATCH("LC",Liste_rouge!A:A,2,1),"LC")</f>
        <v>LC</v>
      </c>
      <c r="P19424" s="7" t="str">
        <f>HYPERLINK("#Liste_rouge!A"&amp;_xlfn.XMATCH("NT",Liste_rouge!A:A,2,1),"NT")</f>
        <v>NT</v>
      </c>
      <c r="S19424" s="7" t="str">
        <f>HYPERLINK("#Liste_rouge!A"&amp;_xlfn.XMATCH("NA",Liste_rouge!A:A,2,1),"NA")</f>
        <v>NA</v>
      </c>
      <c r="AH19424" s="4" t="str">
        <f>HYPERLINK("#Statut_biogéographique!A"&amp;_xlfn.XMATCH("B",Statut_biogéographique!A:A,2,1),"B")</f>
        <v>B</v>
      </c>
      <c r="AP19424" s="4" t="s">
        <v>376</v>
      </c>
      <c r="AR19424" s="4" t="s">
        <v>377</v>
      </c>
    </row>
    <row r="19425" spans="1:44">
      <c r="A19425" s="4" t="s">
        <v>117</v>
      </c>
      <c r="B19425" s="4">
        <v>3129</v>
      </c>
      <c r="D19425" s="5" t="s">
        <v>23813</v>
      </c>
      <c r="E19425" s="6" t="str">
        <f>HYPERLINK("https://inpn.mnhn.fr/espece/cd_nom/3129","Glareola pratincola (Linnaeus, 1766)")</f>
        <v>Glareola pratincola (Linnaeus, 1766)</v>
      </c>
      <c r="F19425" s="5" t="s">
        <v>23814</v>
      </c>
      <c r="H19425" s="4" t="str">
        <f>HYPERLINK("#Réglementation!A"&amp;_xlfn.XMATCH("IBOAE",Réglementation!A:A,2,1),"IBOAE - IBO2")</f>
        <v>IBOAE - IBO2</v>
      </c>
      <c r="I19425" s="4" t="str">
        <f>HYPERLINK("#Réglementation!A"&amp;_xlfn.XMATCH("IBE2",Réglementation!A:A,2,1),"IBE2")</f>
        <v>IBE2</v>
      </c>
      <c r="J19425" s="4" t="str">
        <f>HYPERLINK("#Réglementation!A"&amp;_xlfn.XMATCH("CDO1",Réglementation!A:A,2,1),"CDO1")</f>
        <v>CDO1</v>
      </c>
      <c r="L19425" s="4" t="str">
        <f>HYPERLINK("#Réglementation!A"&amp;_xlfn.XMATCH("NO3",Réglementation!A:A,2,1),"NO3 - NM")</f>
        <v>NO3 - NM</v>
      </c>
      <c r="O19425" s="7" t="str">
        <f>HYPERLINK("#Liste_rouge!A"&amp;_xlfn.XMATCH("LC",Liste_rouge!A:A,2,1),"LC")</f>
        <v>LC</v>
      </c>
      <c r="P19425" s="7" t="str">
        <f>HYPERLINK("#Liste_rouge!A"&amp;_xlfn.XMATCH("LC",Liste_rouge!A:A,2,1),"LC")</f>
        <v>LC</v>
      </c>
      <c r="Q19425" s="7" t="str">
        <f>HYPERLINK("#Liste_rouge!A"&amp;_xlfn.XMATCH("EN",Liste_rouge!A:A,2,1),"EN")</f>
        <v>EN</v>
      </c>
      <c r="AE19425" s="4" t="str">
        <f>HYPERLINK("#SCAP!A"&amp;_xlfn.XMATCH("3",SCAP!A:A,2,1),"3")</f>
        <v>3</v>
      </c>
      <c r="AH19425" s="4" t="str">
        <f>HYPERLINK("#Statut_biogéographique!A"&amp;_xlfn.XMATCH("P",Statut_biogéographique!A:A,2,1),"P")</f>
        <v>P</v>
      </c>
      <c r="AM19425" s="4" t="s">
        <v>375</v>
      </c>
      <c r="AN19425" s="4" t="s">
        <v>375</v>
      </c>
      <c r="AO19425" s="4" t="s">
        <v>375</v>
      </c>
      <c r="AP19425" s="4" t="s">
        <v>376</v>
      </c>
      <c r="AQ19425" s="4" t="s">
        <v>377</v>
      </c>
      <c r="AR19425" s="4" t="s">
        <v>377</v>
      </c>
    </row>
    <row r="19426" spans="1:44">
      <c r="A19426" s="4" t="s">
        <v>117</v>
      </c>
      <c r="B19426" s="4">
        <v>3136</v>
      </c>
      <c r="D19426" s="5" t="s">
        <v>23815</v>
      </c>
      <c r="E19426" s="6" t="str">
        <f>HYPERLINK("https://inpn.mnhn.fr/espece/cd_nom/3136","Charadrius dubius Scopoli, 1786")</f>
        <v>Charadrius dubius Scopoli, 1786</v>
      </c>
      <c r="F19426" s="5" t="s">
        <v>23816</v>
      </c>
      <c r="H19426" s="4" t="str">
        <f>HYPERLINK("#Réglementation!A"&amp;_xlfn.XMATCH("IBOAE",Réglementation!A:A,2,1),"IBOAE - IBO2")</f>
        <v>IBOAE - IBO2</v>
      </c>
      <c r="I19426" s="4" t="str">
        <f>HYPERLINK("#Réglementation!A"&amp;_xlfn.XMATCH("IBE2",Réglementation!A:A,2,1),"IBE2")</f>
        <v>IBE2</v>
      </c>
      <c r="L19426" s="4" t="str">
        <f>HYPERLINK("#Réglementation!A"&amp;_xlfn.XMATCH("NO3",Réglementation!A:A,2,1),"NO3")</f>
        <v>NO3</v>
      </c>
      <c r="O19426" s="7" t="str">
        <f>HYPERLINK("#Liste_rouge!A"&amp;_xlfn.XMATCH("LC",Liste_rouge!A:A,2,1),"LC")</f>
        <v>LC</v>
      </c>
      <c r="P19426" s="7" t="str">
        <f>HYPERLINK("#Liste_rouge!A"&amp;_xlfn.XMATCH("LC",Liste_rouge!A:A,2,1),"LC")</f>
        <v>LC</v>
      </c>
      <c r="Q19426" s="7" t="str">
        <f>HYPERLINK("#Liste_rouge!A"&amp;_xlfn.XMATCH("LC",Liste_rouge!A:A,2,1),"LC")</f>
        <v>LC</v>
      </c>
      <c r="S19426" s="7" t="str">
        <f>HYPERLINK("#Liste_rouge!A"&amp;_xlfn.XMATCH("NA",Liste_rouge!A:A,2,1),"NA")</f>
        <v>NA</v>
      </c>
      <c r="T19426" s="7" t="str">
        <f>HYPERLINK("#Liste_rouge!A"&amp;_xlfn.XMATCH("NT",Liste_rouge!A:A,2,1),"NT")</f>
        <v>NT</v>
      </c>
      <c r="U19426" s="4" t="str">
        <f>HYPERLINK("#Critères_liste_rouge!A$1","pr. D1")</f>
        <v>pr. D1</v>
      </c>
      <c r="V19426" s="7" t="str">
        <f>HYPERLINK("#Liste_rouge!A"&amp;_xlfn.XMATCH("EN",Liste_rouge!A:A,2,1),"EN")</f>
        <v>EN</v>
      </c>
      <c r="W19426" s="4" t="str">
        <f>HYPERLINK("#Critères_liste_rouge!A$1","A2a D1")</f>
        <v>A2a D1</v>
      </c>
      <c r="X19426" s="5" t="s">
        <v>374</v>
      </c>
      <c r="AH19426" s="4" t="str">
        <f>HYPERLINK("#Statut_biogéographique!A"&amp;_xlfn.XMATCH("P",Statut_biogéographique!A:A,2,1),"P")</f>
        <v>P</v>
      </c>
      <c r="AM19426" s="4" t="s">
        <v>375</v>
      </c>
      <c r="AN19426" s="4" t="s">
        <v>375</v>
      </c>
      <c r="AO19426" s="4" t="s">
        <v>375</v>
      </c>
      <c r="AP19426" s="4" t="s">
        <v>376</v>
      </c>
      <c r="AR19426" s="4" t="s">
        <v>377</v>
      </c>
    </row>
    <row r="19427" spans="1:44" ht="30">
      <c r="A19427" s="4" t="s">
        <v>117</v>
      </c>
      <c r="B19427" s="4">
        <v>3140</v>
      </c>
      <c r="D19427" s="5">
        <v>3140</v>
      </c>
      <c r="E19427" s="6" t="str">
        <f>HYPERLINK("https://inpn.mnhn.fr/espece/cd_nom/3140","Charadrius hiaticula Linnaeus, 1758")</f>
        <v>Charadrius hiaticula Linnaeus, 1758</v>
      </c>
      <c r="F19427" s="5" t="s">
        <v>23817</v>
      </c>
      <c r="H19427" s="4" t="str">
        <f>HYPERLINK("#Réglementation!A"&amp;_xlfn.XMATCH("IBOAE",Réglementation!A:A,2,1),"IBOAE - IBO2")</f>
        <v>IBOAE - IBO2</v>
      </c>
      <c r="I19427" s="4" t="str">
        <f>HYPERLINK("#Réglementation!A"&amp;_xlfn.XMATCH("IBE2",Réglementation!A:A,2,1),"IBE2")</f>
        <v>IBE2</v>
      </c>
      <c r="L19427" s="4" t="str">
        <f>HYPERLINK("#Réglementation!A"&amp;_xlfn.XMATCH("NO3",Réglementation!A:A,2,1),"NO3")</f>
        <v>NO3</v>
      </c>
      <c r="O19427" s="7" t="str">
        <f>HYPERLINK("#Liste_rouge!A"&amp;_xlfn.XMATCH("LC",Liste_rouge!A:A,2,1),"LC")</f>
        <v>LC</v>
      </c>
      <c r="P19427" s="7" t="str">
        <f>HYPERLINK("#Liste_rouge!A"&amp;_xlfn.XMATCH("LC",Liste_rouge!A:A,2,1),"LC")</f>
        <v>LC</v>
      </c>
      <c r="Q19427" s="7" t="str">
        <f>HYPERLINK("#Liste_rouge!A"&amp;_xlfn.XMATCH("VU",Liste_rouge!A:A,2,1),"VU")</f>
        <v>VU</v>
      </c>
      <c r="R19427" s="7" t="str">
        <f>HYPERLINK("#Liste_rouge!A"&amp;_xlfn.XMATCH("LC",Liste_rouge!A:A,2,1),"LC")</f>
        <v>LC</v>
      </c>
      <c r="S19427" s="7" t="str">
        <f>HYPERLINK("#Liste_rouge!A"&amp;_xlfn.XMATCH("NA",Liste_rouge!A:A,2,1),"NA")</f>
        <v>NA</v>
      </c>
      <c r="X19427" s="5" t="s">
        <v>23439</v>
      </c>
      <c r="Y19427" s="5" t="s">
        <v>23583</v>
      </c>
      <c r="AH19427" s="4" t="str">
        <f>HYPERLINK("#Statut_biogéographique!A"&amp;_xlfn.XMATCH("P",Statut_biogéographique!A:A,2,1),"P")</f>
        <v>P</v>
      </c>
      <c r="AM19427" s="4" t="s">
        <v>375</v>
      </c>
      <c r="AN19427" s="4" t="s">
        <v>375</v>
      </c>
      <c r="AO19427" s="4" t="s">
        <v>375</v>
      </c>
      <c r="AP19427" s="4" t="s">
        <v>389</v>
      </c>
      <c r="AR19427" s="4" t="s">
        <v>377</v>
      </c>
    </row>
    <row r="19428" spans="1:44" ht="30">
      <c r="A19428" s="4" t="s">
        <v>117</v>
      </c>
      <c r="B19428" s="4">
        <v>3142</v>
      </c>
      <c r="D19428" s="5">
        <v>3142</v>
      </c>
      <c r="E19428" s="6" t="str">
        <f>HYPERLINK("https://inpn.mnhn.fr/espece/cd_nom/3142","Charadrius alexandrinus Linnaeus, 1758")</f>
        <v>Charadrius alexandrinus Linnaeus, 1758</v>
      </c>
      <c r="F19428" s="5" t="s">
        <v>23818</v>
      </c>
      <c r="H19428" s="4" t="str">
        <f>HYPERLINK("#Réglementation!A"&amp;_xlfn.XMATCH("IBOAE",Réglementation!A:A,2,1),"IBOAE - IBO2")</f>
        <v>IBOAE - IBO2</v>
      </c>
      <c r="I19428" s="4" t="str">
        <f>HYPERLINK("#Réglementation!A"&amp;_xlfn.XMATCH("IBE2",Réglementation!A:A,2,1),"IBE2")</f>
        <v>IBE2</v>
      </c>
      <c r="J19428" s="4" t="str">
        <f>HYPERLINK("#Réglementation!A"&amp;_xlfn.XMATCH("CDO1",Réglementation!A:A,2,1),"CDO1")</f>
        <v>CDO1</v>
      </c>
      <c r="L19428" s="4" t="str">
        <f>HYPERLINK("#Réglementation!A"&amp;_xlfn.XMATCH("NO3",Réglementation!A:A,2,1),"NO3")</f>
        <v>NO3</v>
      </c>
      <c r="O19428" s="7" t="str">
        <f>HYPERLINK("#Liste_rouge!A"&amp;_xlfn.XMATCH("LC",Liste_rouge!A:A,2,1),"LC")</f>
        <v>LC</v>
      </c>
      <c r="P19428" s="7" t="str">
        <f>HYPERLINK("#Liste_rouge!A"&amp;_xlfn.XMATCH("LC",Liste_rouge!A:A,2,1),"LC")</f>
        <v>LC</v>
      </c>
      <c r="Q19428" s="7" t="str">
        <f>HYPERLINK("#Liste_rouge!A"&amp;_xlfn.XMATCH("VU",Liste_rouge!A:A,2,1),"VU")</f>
        <v>VU</v>
      </c>
      <c r="R19428" s="7" t="str">
        <f>HYPERLINK("#Liste_rouge!A"&amp;_xlfn.XMATCH("NA",Liste_rouge!A:A,2,1),"NA")</f>
        <v>NA</v>
      </c>
      <c r="S19428" s="7" t="str">
        <f>HYPERLINK("#Liste_rouge!A"&amp;_xlfn.XMATCH("NA",Liste_rouge!A:A,2,1),"NA")</f>
        <v>NA</v>
      </c>
      <c r="AE19428" s="4" t="str">
        <f>HYPERLINK("#SCAP!A"&amp;_xlfn.XMATCH("2+",SCAP!A:A,2,1),"2+")</f>
        <v>2+</v>
      </c>
      <c r="AH19428" s="4" t="str">
        <f>HYPERLINK("#Statut_biogéographique!A"&amp;_xlfn.XMATCH("P",Statut_biogéographique!A:A,2,1),"P")</f>
        <v>P</v>
      </c>
      <c r="AM19428" s="4" t="s">
        <v>375</v>
      </c>
      <c r="AN19428" s="4" t="s">
        <v>375</v>
      </c>
      <c r="AO19428" s="4" t="s">
        <v>375</v>
      </c>
      <c r="AP19428" s="4" t="s">
        <v>389</v>
      </c>
      <c r="AR19428" s="4" t="s">
        <v>377</v>
      </c>
    </row>
    <row r="19429" spans="1:44" ht="60">
      <c r="A19429" s="4" t="s">
        <v>117</v>
      </c>
      <c r="B19429" s="4">
        <v>3153</v>
      </c>
      <c r="D19429" s="5" t="s">
        <v>23819</v>
      </c>
      <c r="E19429" s="6" t="str">
        <f>HYPERLINK("https://inpn.mnhn.fr/espece/cd_nom/3153","Eudromias morinellus (Linnaeus, 1758)")</f>
        <v>Eudromias morinellus (Linnaeus, 1758)</v>
      </c>
      <c r="F19429" s="5" t="s">
        <v>23820</v>
      </c>
      <c r="H19429" s="4" t="str">
        <f>HYPERLINK("#Réglementation!A"&amp;_xlfn.XMATCH("IBOAE",Réglementation!A:A,2,1),"IBOAE - IBO2")</f>
        <v>IBOAE - IBO2</v>
      </c>
      <c r="I19429" s="4" t="str">
        <f>HYPERLINK("#Réglementation!A"&amp;_xlfn.XMATCH("IBE2",Réglementation!A:A,2,1),"IBE2")</f>
        <v>IBE2</v>
      </c>
      <c r="J19429" s="4" t="str">
        <f>HYPERLINK("#Réglementation!A"&amp;_xlfn.XMATCH("CDO1",Réglementation!A:A,2,1),"CDO1")</f>
        <v>CDO1</v>
      </c>
      <c r="L19429" s="4" t="str">
        <f>HYPERLINK("#Réglementation!A"&amp;_xlfn.XMATCH("NO3",Réglementation!A:A,2,1),"NO3")</f>
        <v>NO3</v>
      </c>
      <c r="O19429" s="7" t="str">
        <f>HYPERLINK("#Liste_rouge!A"&amp;_xlfn.XMATCH("LC",Liste_rouge!A:A,2,1),"LC")</f>
        <v>LC</v>
      </c>
      <c r="P19429" s="7" t="str">
        <f>HYPERLINK("#Liste_rouge!A"&amp;_xlfn.XMATCH("LC",Liste_rouge!A:A,2,1),"LC")</f>
        <v>LC</v>
      </c>
      <c r="Q19429" s="7" t="str">
        <f>HYPERLINK("#Liste_rouge!A"&amp;_xlfn.XMATCH("RE",Liste_rouge!A:A,2,1),"RE")</f>
        <v>RE</v>
      </c>
      <c r="S19429" s="7" t="str">
        <f>HYPERLINK("#Liste_rouge!A"&amp;_xlfn.XMATCH("NT",Liste_rouge!A:A,2,1),"NT")</f>
        <v>NT</v>
      </c>
      <c r="X19429" s="5" t="s">
        <v>23439</v>
      </c>
      <c r="Y19429" s="5" t="s">
        <v>23572</v>
      </c>
      <c r="AH19429" s="4" t="str">
        <f>HYPERLINK("#Statut_biogéographique!A"&amp;_xlfn.XMATCH("P",Statut_biogéographique!A:A,2,1),"P")</f>
        <v>P</v>
      </c>
      <c r="AM19429" s="4" t="s">
        <v>375</v>
      </c>
      <c r="AN19429" s="4" t="s">
        <v>375</v>
      </c>
      <c r="AO19429" s="4" t="s">
        <v>375</v>
      </c>
      <c r="AP19429" s="4" t="s">
        <v>376</v>
      </c>
      <c r="AR19429" s="4" t="s">
        <v>377</v>
      </c>
    </row>
    <row r="19430" spans="1:44">
      <c r="A19430" s="4" t="s">
        <v>117</v>
      </c>
      <c r="B19430" s="4">
        <v>3158</v>
      </c>
      <c r="D19430" s="5" t="s">
        <v>23821</v>
      </c>
      <c r="E19430" s="6" t="str">
        <f>HYPERLINK("https://inpn.mnhn.fr/espece/cd_nom/3158","Pluvialis dominica (Statius Müller, 1776)")</f>
        <v>Pluvialis dominica (Statius Müller, 1776)</v>
      </c>
      <c r="F19430" s="5" t="s">
        <v>23822</v>
      </c>
      <c r="H19430" s="4" t="str">
        <f>HYPERLINK("#Réglementation!A"&amp;_xlfn.XMATCH("IBO2",Réglementation!A:A,2,1),"IBO2")</f>
        <v>IBO2</v>
      </c>
      <c r="I19430" s="4" t="str">
        <f>HYPERLINK("#Réglementation!A"&amp;_xlfn.XMATCH("IBE3",Réglementation!A:A,2,1),"IBE3")</f>
        <v>IBE3</v>
      </c>
      <c r="L19430" s="4" t="str">
        <f>HYPERLINK("#Réglementation!A"&amp;_xlfn.XMATCH("NO4",Réglementation!A:A,2,1),"NO4")</f>
        <v>NO4</v>
      </c>
      <c r="O19430" s="7" t="str">
        <f>HYPERLINK("#Liste_rouge!A"&amp;_xlfn.XMATCH("LC",Liste_rouge!A:A,2,1),"LC")</f>
        <v>LC</v>
      </c>
      <c r="S19430" s="7" t="str">
        <f>HYPERLINK("#Liste_rouge!A"&amp;_xlfn.XMATCH("NA",Liste_rouge!A:A,2,1),"NA")</f>
        <v>NA</v>
      </c>
      <c r="AH19430" s="4" t="str">
        <f>HYPERLINK("#Statut_biogéographique!A"&amp;_xlfn.XMATCH("B",Statut_biogéographique!A:A,2,1),"B")</f>
        <v>B</v>
      </c>
      <c r="AM19430" s="4" t="s">
        <v>375</v>
      </c>
      <c r="AN19430" s="4" t="s">
        <v>375</v>
      </c>
      <c r="AO19430" s="4" t="s">
        <v>375</v>
      </c>
      <c r="AP19430" s="4" t="s">
        <v>376</v>
      </c>
      <c r="AR19430" s="4" t="s">
        <v>377</v>
      </c>
    </row>
    <row r="19431" spans="1:44" ht="45">
      <c r="A19431" s="4" t="s">
        <v>117</v>
      </c>
      <c r="B19431" s="4">
        <v>3161</v>
      </c>
      <c r="D19431" s="5" t="s">
        <v>23823</v>
      </c>
      <c r="E19431" s="6" t="str">
        <f>HYPERLINK("https://inpn.mnhn.fr/espece/cd_nom/3161","Pluvialis apricaria (Linnaeus, 1758)")</f>
        <v>Pluvialis apricaria (Linnaeus, 1758)</v>
      </c>
      <c r="F19431" s="5" t="s">
        <v>23824</v>
      </c>
      <c r="H19431" s="4" t="str">
        <f>HYPERLINK("#Réglementation!A"&amp;_xlfn.XMATCH("IBOAE",Réglementation!A:A,2,1),"IBOAE - IBO2")</f>
        <v>IBOAE - IBO2</v>
      </c>
      <c r="I19431" s="4" t="str">
        <f>HYPERLINK("#Réglementation!A"&amp;_xlfn.XMATCH("IBE3",Réglementation!A:A,2,1),"IBE3")</f>
        <v>IBE3</v>
      </c>
      <c r="J19431" s="4" t="str">
        <f>HYPERLINK("#Réglementation!A"&amp;_xlfn.XMATCH("CDO1",Réglementation!A:A,2,1),"CDO1 - CDO22 - CDO32")</f>
        <v>CDO1 - CDO22 - CDO32</v>
      </c>
      <c r="L19431" s="4" t="str">
        <f>HYPERLINK("#Réglementation!A"&amp;_xlfn.XMATCH("OC3",Réglementation!A:A,2,1),"OC3")</f>
        <v>OC3</v>
      </c>
      <c r="O19431" s="7" t="str">
        <f>HYPERLINK("#Liste_rouge!A"&amp;_xlfn.XMATCH("LC",Liste_rouge!A:A,2,1),"LC")</f>
        <v>LC</v>
      </c>
      <c r="P19431" s="7" t="str">
        <f>HYPERLINK("#Liste_rouge!A"&amp;_xlfn.XMATCH("LC",Liste_rouge!A:A,2,1),"LC")</f>
        <v>LC</v>
      </c>
      <c r="R19431" s="7" t="str">
        <f>HYPERLINK("#Liste_rouge!A"&amp;_xlfn.XMATCH("LC",Liste_rouge!A:A,2,1),"LC")</f>
        <v>LC</v>
      </c>
      <c r="X19431" s="5" t="s">
        <v>23439</v>
      </c>
      <c r="Y19431" s="5" t="s">
        <v>23825</v>
      </c>
      <c r="AH19431" s="4" t="str">
        <f>HYPERLINK("#Statut_biogéographique!A"&amp;_xlfn.XMATCH("P",Statut_biogéographique!A:A,2,1),"P")</f>
        <v>P</v>
      </c>
      <c r="AK19431" s="4" t="str">
        <f>HYPERLINK("#Réglementation!A"&amp;_xlfn.XMATCH("Ngib_ch_1",Réglementation!A:A,2,1),"Ngib_ch_1")</f>
        <v>Ngib_ch_1</v>
      </c>
      <c r="AM19431" s="4" t="s">
        <v>375</v>
      </c>
      <c r="AN19431" s="4" t="s">
        <v>375</v>
      </c>
      <c r="AO19431" s="4" t="s">
        <v>375</v>
      </c>
      <c r="AP19431" s="4" t="s">
        <v>376</v>
      </c>
      <c r="AR19431" s="4" t="s">
        <v>377</v>
      </c>
    </row>
    <row r="19432" spans="1:44">
      <c r="A19432" s="4" t="s">
        <v>117</v>
      </c>
      <c r="B19432" s="4">
        <v>3165</v>
      </c>
      <c r="D19432" s="5" t="s">
        <v>23826</v>
      </c>
      <c r="E19432" s="6" t="str">
        <f>HYPERLINK("https://inpn.mnhn.fr/espece/cd_nom/3165","Pluvialis squatarola (Linnaeus, 1758)")</f>
        <v>Pluvialis squatarola (Linnaeus, 1758)</v>
      </c>
      <c r="F19432" s="5" t="s">
        <v>23827</v>
      </c>
      <c r="H19432" s="4" t="str">
        <f>HYPERLINK("#Réglementation!A"&amp;_xlfn.XMATCH("IBOAE",Réglementation!A:A,2,1),"IBOAE - IBO2")</f>
        <v>IBOAE - IBO2</v>
      </c>
      <c r="I19432" s="4" t="str">
        <f>HYPERLINK("#Réglementation!A"&amp;_xlfn.XMATCH("IBE3",Réglementation!A:A,2,1),"IBE3")</f>
        <v>IBE3</v>
      </c>
      <c r="J19432" s="4" t="str">
        <f>HYPERLINK("#Réglementation!A"&amp;_xlfn.XMATCH("CDO22",Réglementation!A:A,2,1),"CDO22")</f>
        <v>CDO22</v>
      </c>
      <c r="L19432" s="4" t="str">
        <f>HYPERLINK("#Réglementation!A"&amp;_xlfn.XMATCH("OC3",Réglementation!A:A,2,1),"OC3")</f>
        <v>OC3</v>
      </c>
      <c r="O19432" s="7" t="str">
        <f>HYPERLINK("#Liste_rouge!A"&amp;_xlfn.XMATCH("LC",Liste_rouge!A:A,2,1),"LC")</f>
        <v>LC</v>
      </c>
      <c r="P19432" s="7" t="str">
        <f>HYPERLINK("#Liste_rouge!A"&amp;_xlfn.XMATCH("LC",Liste_rouge!A:A,2,1),"LC")</f>
        <v>LC</v>
      </c>
      <c r="R19432" s="7" t="str">
        <f>HYPERLINK("#Liste_rouge!A"&amp;_xlfn.XMATCH("LC",Liste_rouge!A:A,2,1),"LC")</f>
        <v>LC</v>
      </c>
      <c r="S19432" s="7" t="str">
        <f>HYPERLINK("#Liste_rouge!A"&amp;_xlfn.XMATCH("NA",Liste_rouge!A:A,2,1),"NA")</f>
        <v>NA</v>
      </c>
      <c r="AH19432" s="4" t="str">
        <f>HYPERLINK("#Statut_biogéographique!A"&amp;_xlfn.XMATCH("P",Statut_biogéographique!A:A,2,1),"P")</f>
        <v>P</v>
      </c>
      <c r="AK19432" s="4" t="str">
        <f>HYPERLINK("#Réglementation!A"&amp;_xlfn.XMATCH("Ngib_ch_1",Réglementation!A:A,2,1),"Ngib_ch_1")</f>
        <v>Ngib_ch_1</v>
      </c>
      <c r="AM19432" s="4" t="s">
        <v>375</v>
      </c>
      <c r="AN19432" s="4" t="s">
        <v>375</v>
      </c>
      <c r="AO19432" s="4" t="s">
        <v>375</v>
      </c>
      <c r="AP19432" s="4" t="s">
        <v>376</v>
      </c>
      <c r="AR19432" s="4" t="s">
        <v>377</v>
      </c>
    </row>
    <row r="19433" spans="1:44">
      <c r="A19433" s="4" t="s">
        <v>117</v>
      </c>
      <c r="B19433" s="4">
        <v>3170</v>
      </c>
      <c r="D19433" s="5" t="s">
        <v>23828</v>
      </c>
      <c r="E19433" s="6" t="str">
        <f>HYPERLINK("https://inpn.mnhn.fr/espece/cd_nom/3170","Pluvialis fulva (Gmelin, 1789)")</f>
        <v>Pluvialis fulva (Gmelin, 1789)</v>
      </c>
      <c r="F19433" s="5" t="s">
        <v>23829</v>
      </c>
      <c r="H19433" s="4" t="str">
        <f>HYPERLINK("#Réglementation!A"&amp;_xlfn.XMATCH("IBOAE",Réglementation!A:A,2,1),"IBOAE - IBO2")</f>
        <v>IBOAE - IBO2</v>
      </c>
      <c r="I19433" s="4" t="str">
        <f>HYPERLINK("#Réglementation!A"&amp;_xlfn.XMATCH("IBE3",Réglementation!A:A,2,1),"IBE3")</f>
        <v>IBE3</v>
      </c>
      <c r="L19433" s="4" t="str">
        <f>HYPERLINK("#Réglementation!A"&amp;_xlfn.XMATCH("NO4",Réglementation!A:A,2,1),"NO4")</f>
        <v>NO4</v>
      </c>
      <c r="O19433" s="7" t="str">
        <f>HYPERLINK("#Liste_rouge!A"&amp;_xlfn.XMATCH("LC",Liste_rouge!A:A,2,1),"LC")</f>
        <v>LC</v>
      </c>
      <c r="S19433" s="7" t="str">
        <f>HYPERLINK("#Liste_rouge!A"&amp;_xlfn.XMATCH("NA",Liste_rouge!A:A,2,1),"NA")</f>
        <v>NA</v>
      </c>
      <c r="AH19433" s="4" t="str">
        <f>HYPERLINK("#Statut_biogéographique!A"&amp;_xlfn.XMATCH("B",Statut_biogéographique!A:A,2,1),"B")</f>
        <v>B</v>
      </c>
      <c r="AM19433" s="4" t="s">
        <v>375</v>
      </c>
      <c r="AN19433" s="4" t="s">
        <v>375</v>
      </c>
      <c r="AO19433" s="4" t="s">
        <v>375</v>
      </c>
      <c r="AP19433" s="4" t="s">
        <v>376</v>
      </c>
      <c r="AR19433" s="4" t="s">
        <v>377</v>
      </c>
    </row>
    <row r="19434" spans="1:44">
      <c r="A19434" s="4" t="s">
        <v>117</v>
      </c>
      <c r="B19434" s="4">
        <v>3181</v>
      </c>
      <c r="D19434" s="5" t="s">
        <v>23830</v>
      </c>
      <c r="E19434" s="6" t="str">
        <f>HYPERLINK("https://inpn.mnhn.fr/espece/cd_nom/3181","Vanellus gregarius (Pallas, 1771)")</f>
        <v>Vanellus gregarius (Pallas, 1771)</v>
      </c>
      <c r="F19434" s="5" t="s">
        <v>23831</v>
      </c>
      <c r="H19434" s="4" t="str">
        <f>HYPERLINK("#Réglementation!A"&amp;_xlfn.XMATCH("IBOAE",Réglementation!A:A,2,1),"IBOAE - IBO1 - IBO2")</f>
        <v>IBOAE - IBO1 - IBO2</v>
      </c>
      <c r="I19434" s="4" t="str">
        <f>HYPERLINK("#Réglementation!A"&amp;_xlfn.XMATCH("IBE3",Réglementation!A:A,2,1),"IBE3")</f>
        <v>IBE3</v>
      </c>
      <c r="L19434" s="4" t="str">
        <f>HYPERLINK("#Réglementation!A"&amp;_xlfn.XMATCH("NO4",Réglementation!A:A,2,1),"NO4")</f>
        <v>NO4</v>
      </c>
      <c r="O19434" s="7" t="str">
        <f>HYPERLINK("#Liste_rouge!A"&amp;_xlfn.XMATCH("CR",Liste_rouge!A:A,2,1),"CR")</f>
        <v>CR</v>
      </c>
      <c r="P19434" s="7" t="str">
        <f>HYPERLINK("#Liste_rouge!A"&amp;_xlfn.XMATCH("CR",Liste_rouge!A:A,2,1),"CR")</f>
        <v>CR</v>
      </c>
      <c r="S19434" s="7" t="str">
        <f>HYPERLINK("#Liste_rouge!A"&amp;_xlfn.XMATCH("NA",Liste_rouge!A:A,2,1),"NA")</f>
        <v>NA</v>
      </c>
      <c r="AH19434" s="4" t="str">
        <f>HYPERLINK("#Statut_biogéographique!A"&amp;_xlfn.XMATCH("P",Statut_biogéographique!A:A,2,1),"P")</f>
        <v>P</v>
      </c>
      <c r="AM19434" s="4" t="s">
        <v>375</v>
      </c>
      <c r="AN19434" s="4" t="s">
        <v>375</v>
      </c>
      <c r="AO19434" s="4" t="s">
        <v>375</v>
      </c>
      <c r="AP19434" s="4" t="s">
        <v>376</v>
      </c>
      <c r="AR19434" s="4" t="s">
        <v>377</v>
      </c>
    </row>
    <row r="19435" spans="1:44" ht="60">
      <c r="A19435" s="4" t="s">
        <v>117</v>
      </c>
      <c r="B19435" s="4">
        <v>3187</v>
      </c>
      <c r="D19435" s="5" t="s">
        <v>23832</v>
      </c>
      <c r="E19435" s="6" t="str">
        <f>HYPERLINK("https://inpn.mnhn.fr/espece/cd_nom/3187","Vanellus vanellus (Linnaeus, 1758)")</f>
        <v>Vanellus vanellus (Linnaeus, 1758)</v>
      </c>
      <c r="F19435" s="5" t="s">
        <v>23833</v>
      </c>
      <c r="H19435" s="4" t="str">
        <f>HYPERLINK("#Réglementation!A"&amp;_xlfn.XMATCH("IBOAE",Réglementation!A:A,2,1),"IBOAE - IBO2")</f>
        <v>IBOAE - IBO2</v>
      </c>
      <c r="I19435" s="4" t="str">
        <f>HYPERLINK("#Réglementation!A"&amp;_xlfn.XMATCH("IBE3",Réglementation!A:A,2,1),"IBE3")</f>
        <v>IBE3</v>
      </c>
      <c r="J19435" s="4" t="str">
        <f>HYPERLINK("#Réglementation!A"&amp;_xlfn.XMATCH("CDO22",Réglementation!A:A,2,1),"CDO22")</f>
        <v>CDO22</v>
      </c>
      <c r="L19435" s="4" t="str">
        <f>HYPERLINK("#Réglementation!A"&amp;_xlfn.XMATCH("OC3",Réglementation!A:A,2,1),"OC3")</f>
        <v>OC3</v>
      </c>
      <c r="O19435" s="7" t="str">
        <f>HYPERLINK("#Liste_rouge!A"&amp;_xlfn.XMATCH("NT",Liste_rouge!A:A,2,1),"NT")</f>
        <v>NT</v>
      </c>
      <c r="P19435" s="7" t="str">
        <f>HYPERLINK("#Liste_rouge!A"&amp;_xlfn.XMATCH("VU",Liste_rouge!A:A,2,1),"VU")</f>
        <v>VU</v>
      </c>
      <c r="Q19435" s="7" t="str">
        <f>HYPERLINK("#Liste_rouge!A"&amp;_xlfn.XMATCH("NT",Liste_rouge!A:A,2,1),"NT")</f>
        <v>NT</v>
      </c>
      <c r="R19435" s="7" t="str">
        <f>HYPERLINK("#Liste_rouge!A"&amp;_xlfn.XMATCH("LC",Liste_rouge!A:A,2,1),"LC")</f>
        <v>LC</v>
      </c>
      <c r="S19435" s="7" t="str">
        <f>HYPERLINK("#Liste_rouge!A"&amp;_xlfn.XMATCH("NA",Liste_rouge!A:A,2,1),"NA")</f>
        <v>NA</v>
      </c>
      <c r="T19435" s="7" t="str">
        <f>HYPERLINK("#Liste_rouge!A"&amp;_xlfn.XMATCH("EN",Liste_rouge!A:A,2,1),"EN")</f>
        <v>EN</v>
      </c>
      <c r="U19435" s="4" t="str">
        <f>HYPERLINK("#Critères_liste_rouge!A$1","A2a")</f>
        <v>A2a</v>
      </c>
      <c r="V19435" s="7" t="str">
        <f>HYPERLINK("#Liste_rouge!A"&amp;_xlfn.XMATCH("EN",Liste_rouge!A:A,2,1),"EN")</f>
        <v>EN</v>
      </c>
      <c r="W19435" s="4" t="str">
        <f>HYPERLINK("#Critères_liste_rouge!A$1","A2a D1")</f>
        <v>A2a D1</v>
      </c>
      <c r="X19435" s="5" t="s">
        <v>23442</v>
      </c>
      <c r="Y19435" s="5" t="s">
        <v>23834</v>
      </c>
      <c r="AH19435" s="4" t="str">
        <f>HYPERLINK("#Statut_biogéographique!A"&amp;_xlfn.XMATCH("P",Statut_biogéographique!A:A,2,1),"P")</f>
        <v>P</v>
      </c>
      <c r="AK19435" s="4" t="str">
        <f>HYPERLINK("#Réglementation!A"&amp;_xlfn.XMATCH("Ngib_ch_1",Réglementation!A:A,2,1),"Ngib_ch_1")</f>
        <v>Ngib_ch_1</v>
      </c>
      <c r="AM19435" s="4" t="s">
        <v>375</v>
      </c>
      <c r="AN19435" s="4" t="s">
        <v>375</v>
      </c>
      <c r="AO19435" s="4" t="s">
        <v>375</v>
      </c>
      <c r="AP19435" s="4" t="s">
        <v>376</v>
      </c>
      <c r="AR19435" s="4" t="s">
        <v>377</v>
      </c>
    </row>
    <row r="19436" spans="1:44">
      <c r="A19436" s="4" t="s">
        <v>117</v>
      </c>
      <c r="B19436" s="4">
        <v>3192</v>
      </c>
      <c r="D19436" s="5" t="s">
        <v>23835</v>
      </c>
      <c r="E19436" s="6" t="str">
        <f>HYPERLINK("https://inpn.mnhn.fr/espece/cd_nom/3192","Calidris canutus (Linnaeus, 1758)")</f>
        <v>Calidris canutus (Linnaeus, 1758)</v>
      </c>
      <c r="F19436" s="5" t="s">
        <v>23836</v>
      </c>
      <c r="H19436" s="4" t="str">
        <f>HYPERLINK("#Réglementation!A"&amp;_xlfn.XMATCH("IBOAE",Réglementation!A:A,2,1),"IBOAE - IBO2")</f>
        <v>IBOAE - IBO2</v>
      </c>
      <c r="I19436" s="4" t="str">
        <f>HYPERLINK("#Réglementation!A"&amp;_xlfn.XMATCH("IBE2",Réglementation!A:A,2,1),"IBE2")</f>
        <v>IBE2</v>
      </c>
      <c r="J19436" s="4" t="str">
        <f>HYPERLINK("#Réglementation!A"&amp;_xlfn.XMATCH("CDO22",Réglementation!A:A,2,1),"CDO22")</f>
        <v>CDO22</v>
      </c>
      <c r="L19436" s="4" t="str">
        <f>HYPERLINK("#Réglementation!A"&amp;_xlfn.XMATCH("OC3",Réglementation!A:A,2,1),"OC3")</f>
        <v>OC3</v>
      </c>
      <c r="O19436" s="7" t="str">
        <f>HYPERLINK("#Liste_rouge!A"&amp;_xlfn.XMATCH("NT",Liste_rouge!A:A,2,1),"NT")</f>
        <v>NT</v>
      </c>
      <c r="P19436" s="7" t="str">
        <f>HYPERLINK("#Liste_rouge!A"&amp;_xlfn.XMATCH("LC",Liste_rouge!A:A,2,1),"LC")</f>
        <v>LC</v>
      </c>
      <c r="R19436" s="7" t="str">
        <f>HYPERLINK("#Liste_rouge!A"&amp;_xlfn.XMATCH("NT",Liste_rouge!A:A,2,1),"NT")</f>
        <v>NT</v>
      </c>
      <c r="S19436" s="7" t="str">
        <f>HYPERLINK("#Liste_rouge!A"&amp;_xlfn.XMATCH("DD",Liste_rouge!A:A,2,1),"DD")</f>
        <v>DD</v>
      </c>
      <c r="AH19436" s="4" t="str">
        <f>HYPERLINK("#Statut_biogéographique!A"&amp;_xlfn.XMATCH("P",Statut_biogéographique!A:A,2,1),"P")</f>
        <v>P</v>
      </c>
      <c r="AK19436" s="4" t="str">
        <f>HYPERLINK("#Réglementation!A"&amp;_xlfn.XMATCH("Ngib_ch_1",Réglementation!A:A,2,1),"Ngib_ch_1")</f>
        <v>Ngib_ch_1</v>
      </c>
      <c r="AM19436" s="4" t="s">
        <v>375</v>
      </c>
      <c r="AN19436" s="4" t="s">
        <v>375</v>
      </c>
      <c r="AO19436" s="4" t="s">
        <v>375</v>
      </c>
      <c r="AP19436" s="4" t="s">
        <v>389</v>
      </c>
      <c r="AR19436" s="4" t="s">
        <v>377</v>
      </c>
    </row>
    <row r="19437" spans="1:44">
      <c r="A19437" s="4" t="s">
        <v>117</v>
      </c>
      <c r="B19437" s="4">
        <v>3195</v>
      </c>
      <c r="D19437" s="5" t="s">
        <v>23837</v>
      </c>
      <c r="E19437" s="6" t="str">
        <f>HYPERLINK("https://inpn.mnhn.fr/espece/cd_nom/3195","Calidris alba (Pallas, 1764)")</f>
        <v>Calidris alba (Pallas, 1764)</v>
      </c>
      <c r="F19437" s="5" t="s">
        <v>23838</v>
      </c>
      <c r="H19437" s="4" t="str">
        <f>HYPERLINK("#Réglementation!A"&amp;_xlfn.XMATCH("IBOAE",Réglementation!A:A,2,1),"IBOAE - IBO2")</f>
        <v>IBOAE - IBO2</v>
      </c>
      <c r="I19437" s="4" t="str">
        <f>HYPERLINK("#Réglementation!A"&amp;_xlfn.XMATCH("IBE2",Réglementation!A:A,2,1),"IBE2")</f>
        <v>IBE2</v>
      </c>
      <c r="L19437" s="4" t="str">
        <f>HYPERLINK("#Réglementation!A"&amp;_xlfn.XMATCH("NO3",Réglementation!A:A,2,1),"NO3")</f>
        <v>NO3</v>
      </c>
      <c r="O19437" s="7" t="str">
        <f>HYPERLINK("#Liste_rouge!A"&amp;_xlfn.XMATCH("LC",Liste_rouge!A:A,2,1),"LC")</f>
        <v>LC</v>
      </c>
      <c r="P19437" s="7" t="str">
        <f>HYPERLINK("#Liste_rouge!A"&amp;_xlfn.XMATCH("LC",Liste_rouge!A:A,2,1),"LC")</f>
        <v>LC</v>
      </c>
      <c r="R19437" s="7" t="str">
        <f>HYPERLINK("#Liste_rouge!A"&amp;_xlfn.XMATCH("LC",Liste_rouge!A:A,2,1),"LC")</f>
        <v>LC</v>
      </c>
      <c r="S19437" s="7" t="str">
        <f>HYPERLINK("#Liste_rouge!A"&amp;_xlfn.XMATCH("NA",Liste_rouge!A:A,2,1),"NA")</f>
        <v>NA</v>
      </c>
      <c r="AH19437" s="4" t="str">
        <f>HYPERLINK("#Statut_biogéographique!A"&amp;_xlfn.XMATCH("P",Statut_biogéographique!A:A,2,1),"P")</f>
        <v>P</v>
      </c>
      <c r="AM19437" s="4" t="s">
        <v>375</v>
      </c>
      <c r="AN19437" s="4" t="s">
        <v>375</v>
      </c>
      <c r="AO19437" s="4" t="s">
        <v>375</v>
      </c>
      <c r="AP19437" s="4" t="s">
        <v>389</v>
      </c>
      <c r="AR19437" s="4" t="s">
        <v>377</v>
      </c>
    </row>
    <row r="19438" spans="1:44" ht="60">
      <c r="A19438" s="4" t="s">
        <v>117</v>
      </c>
      <c r="B19438" s="4">
        <v>3206</v>
      </c>
      <c r="D19438" s="5" t="s">
        <v>23839</v>
      </c>
      <c r="E19438" s="6" t="str">
        <f>HYPERLINK("https://inpn.mnhn.fr/espece/cd_nom/3206","Calidris minuta (Leisler, 1812)")</f>
        <v>Calidris minuta (Leisler, 1812)</v>
      </c>
      <c r="F19438" s="5" t="s">
        <v>23840</v>
      </c>
      <c r="H19438" s="4" t="str">
        <f>HYPERLINK("#Réglementation!A"&amp;_xlfn.XMATCH("IBOAE",Réglementation!A:A,2,1),"IBOAE - IBO2")</f>
        <v>IBOAE - IBO2</v>
      </c>
      <c r="I19438" s="4" t="str">
        <f>HYPERLINK("#Réglementation!A"&amp;_xlfn.XMATCH("IBE2",Réglementation!A:A,2,1),"IBE2")</f>
        <v>IBE2</v>
      </c>
      <c r="L19438" s="4" t="str">
        <f>HYPERLINK("#Réglementation!A"&amp;_xlfn.XMATCH("NO3",Réglementation!A:A,2,1),"NO3")</f>
        <v>NO3</v>
      </c>
      <c r="O19438" s="7" t="str">
        <f>HYPERLINK("#Liste_rouge!A"&amp;_xlfn.XMATCH("LC",Liste_rouge!A:A,2,1),"LC")</f>
        <v>LC</v>
      </c>
      <c r="P19438" s="7" t="str">
        <f>HYPERLINK("#Liste_rouge!A"&amp;_xlfn.XMATCH("LC",Liste_rouge!A:A,2,1),"LC")</f>
        <v>LC</v>
      </c>
      <c r="R19438" s="7" t="str">
        <f>HYPERLINK("#Liste_rouge!A"&amp;_xlfn.XMATCH("NA",Liste_rouge!A:A,2,1),"NA")</f>
        <v>NA</v>
      </c>
      <c r="S19438" s="7" t="str">
        <f>HYPERLINK("#Liste_rouge!A"&amp;_xlfn.XMATCH("LC",Liste_rouge!A:A,2,1),"LC")</f>
        <v>LC</v>
      </c>
      <c r="X19438" s="5" t="s">
        <v>23439</v>
      </c>
      <c r="Y19438" s="5" t="s">
        <v>23841</v>
      </c>
      <c r="AH19438" s="4" t="str">
        <f>HYPERLINK("#Statut_biogéographique!A"&amp;_xlfn.XMATCH("P",Statut_biogéographique!A:A,2,1),"P")</f>
        <v>P</v>
      </c>
      <c r="AM19438" s="4" t="s">
        <v>375</v>
      </c>
      <c r="AN19438" s="4" t="s">
        <v>375</v>
      </c>
      <c r="AO19438" s="4" t="s">
        <v>375</v>
      </c>
      <c r="AP19438" s="4" t="s">
        <v>376</v>
      </c>
      <c r="AR19438" s="4" t="s">
        <v>377</v>
      </c>
    </row>
    <row r="19439" spans="1:44" ht="60">
      <c r="A19439" s="4" t="s">
        <v>117</v>
      </c>
      <c r="B19439" s="4">
        <v>3210</v>
      </c>
      <c r="D19439" s="5" t="s">
        <v>23842</v>
      </c>
      <c r="E19439" s="6" t="str">
        <f>HYPERLINK("https://inpn.mnhn.fr/espece/cd_nom/3210","Calidris temminckii (Leisler, 1812)")</f>
        <v>Calidris temminckii (Leisler, 1812)</v>
      </c>
      <c r="F19439" s="5" t="s">
        <v>23843</v>
      </c>
      <c r="H19439" s="4" t="str">
        <f>HYPERLINK("#Réglementation!A"&amp;_xlfn.XMATCH("IBOAE",Réglementation!A:A,2,1),"IBOAE - IBO2")</f>
        <v>IBOAE - IBO2</v>
      </c>
      <c r="I19439" s="4" t="str">
        <f>HYPERLINK("#Réglementation!A"&amp;_xlfn.XMATCH("IBE2",Réglementation!A:A,2,1),"IBE2")</f>
        <v>IBE2</v>
      </c>
      <c r="L19439" s="4" t="str">
        <f>HYPERLINK("#Réglementation!A"&amp;_xlfn.XMATCH("NO3",Réglementation!A:A,2,1),"NO3")</f>
        <v>NO3</v>
      </c>
      <c r="O19439" s="7" t="str">
        <f>HYPERLINK("#Liste_rouge!A"&amp;_xlfn.XMATCH("LC",Liste_rouge!A:A,2,1),"LC")</f>
        <v>LC</v>
      </c>
      <c r="P19439" s="7" t="str">
        <f>HYPERLINK("#Liste_rouge!A"&amp;_xlfn.XMATCH("LC",Liste_rouge!A:A,2,1),"LC")</f>
        <v>LC</v>
      </c>
      <c r="S19439" s="7" t="str">
        <f>HYPERLINK("#Liste_rouge!A"&amp;_xlfn.XMATCH("NA",Liste_rouge!A:A,2,1),"NA")</f>
        <v>NA</v>
      </c>
      <c r="X19439" s="5" t="s">
        <v>23439</v>
      </c>
      <c r="Y19439" s="5" t="s">
        <v>23572</v>
      </c>
      <c r="AH19439" s="4" t="str">
        <f>HYPERLINK("#Statut_biogéographique!A"&amp;_xlfn.XMATCH("P",Statut_biogéographique!A:A,2,1),"P")</f>
        <v>P</v>
      </c>
      <c r="AM19439" s="4" t="s">
        <v>375</v>
      </c>
      <c r="AN19439" s="4" t="s">
        <v>375</v>
      </c>
      <c r="AO19439" s="4" t="s">
        <v>375</v>
      </c>
      <c r="AP19439" s="4" t="s">
        <v>376</v>
      </c>
      <c r="AR19439" s="4" t="s">
        <v>377</v>
      </c>
    </row>
    <row r="19440" spans="1:44" ht="30">
      <c r="A19440" s="4" t="s">
        <v>117</v>
      </c>
      <c r="B19440" s="4">
        <v>3226</v>
      </c>
      <c r="D19440" s="5" t="s">
        <v>23844</v>
      </c>
      <c r="E19440" s="6" t="str">
        <f>HYPERLINK("https://inpn.mnhn.fr/espece/cd_nom/3226","Calidris melanotos (Vieillot, 1819)")</f>
        <v>Calidris melanotos (Vieillot, 1819)</v>
      </c>
      <c r="F19440" s="5" t="s">
        <v>23845</v>
      </c>
      <c r="H19440" s="4" t="str">
        <f>HYPERLINK("#Réglementation!A"&amp;_xlfn.XMATCH("IBO2",Réglementation!A:A,2,1),"IBO2")</f>
        <v>IBO2</v>
      </c>
      <c r="I19440" s="4" t="str">
        <f>HYPERLINK("#Réglementation!A"&amp;_xlfn.XMATCH("IBE2",Réglementation!A:A,2,1),"IBE2")</f>
        <v>IBE2</v>
      </c>
      <c r="L19440" s="4" t="str">
        <f>HYPERLINK("#Réglementation!A"&amp;_xlfn.XMATCH("NO4",Réglementation!A:A,2,1),"NO4")</f>
        <v>NO4</v>
      </c>
      <c r="O19440" s="7" t="str">
        <f>HYPERLINK("#Liste_rouge!A"&amp;_xlfn.XMATCH("LC",Liste_rouge!A:A,2,1),"LC")</f>
        <v>LC</v>
      </c>
      <c r="S19440" s="7" t="str">
        <f>HYPERLINK("#Liste_rouge!A"&amp;_xlfn.XMATCH("NA",Liste_rouge!A:A,2,1),"NA")</f>
        <v>NA</v>
      </c>
      <c r="AH19440" s="4" t="str">
        <f>HYPERLINK("#Statut_biogéographique!A"&amp;_xlfn.XMATCH("B",Statut_biogéographique!A:A,2,1),"B")</f>
        <v>B</v>
      </c>
      <c r="AM19440" s="4" t="s">
        <v>375</v>
      </c>
      <c r="AN19440" s="4" t="s">
        <v>375</v>
      </c>
      <c r="AO19440" s="4" t="s">
        <v>375</v>
      </c>
      <c r="AP19440" s="4" t="s">
        <v>389</v>
      </c>
      <c r="AR19440" s="4" t="s">
        <v>377</v>
      </c>
    </row>
    <row r="19441" spans="1:44">
      <c r="A19441" s="4" t="s">
        <v>117</v>
      </c>
      <c r="B19441" s="4">
        <v>3231</v>
      </c>
      <c r="D19441" s="5" t="s">
        <v>23846</v>
      </c>
      <c r="E19441" s="6" t="str">
        <f>HYPERLINK("https://inpn.mnhn.fr/espece/cd_nom/3231","Calidris acuminata (Horsfield, 1821)")</f>
        <v>Calidris acuminata (Horsfield, 1821)</v>
      </c>
      <c r="F19441" s="5" t="s">
        <v>23847</v>
      </c>
      <c r="H19441" s="4" t="str">
        <f>HYPERLINK("#Réglementation!A"&amp;_xlfn.XMATCH("IBO2",Réglementation!A:A,2,1),"IBO2")</f>
        <v>IBO2</v>
      </c>
      <c r="I19441" s="4" t="str">
        <f>HYPERLINK("#Réglementation!A"&amp;_xlfn.XMATCH("IBE2",Réglementation!A:A,2,1),"IBE2")</f>
        <v>IBE2</v>
      </c>
      <c r="L19441" s="4" t="str">
        <f>HYPERLINK("#Réglementation!A"&amp;_xlfn.XMATCH("NO4",Réglementation!A:A,2,1),"NO4")</f>
        <v>NO4</v>
      </c>
      <c r="O19441" s="7" t="str">
        <f>HYPERLINK("#Liste_rouge!A"&amp;_xlfn.XMATCH("VU",Liste_rouge!A:A,2,1),"VU")</f>
        <v>VU</v>
      </c>
      <c r="S19441" s="7" t="str">
        <f>HYPERLINK("#Liste_rouge!A"&amp;_xlfn.XMATCH("NA",Liste_rouge!A:A,2,1),"NA")</f>
        <v>NA</v>
      </c>
      <c r="AH19441" s="4" t="str">
        <f>HYPERLINK("#Statut_biogéographique!A"&amp;_xlfn.XMATCH("B",Statut_biogéographique!A:A,2,1),"B")</f>
        <v>B</v>
      </c>
      <c r="AM19441" s="4" t="s">
        <v>375</v>
      </c>
      <c r="AN19441" s="4" t="s">
        <v>375</v>
      </c>
      <c r="AO19441" s="4" t="s">
        <v>375</v>
      </c>
      <c r="AP19441" s="4" t="s">
        <v>376</v>
      </c>
      <c r="AR19441" s="4" t="s">
        <v>377</v>
      </c>
    </row>
    <row r="19442" spans="1:44">
      <c r="A19442" s="4" t="s">
        <v>117</v>
      </c>
      <c r="B19442" s="4">
        <v>3239</v>
      </c>
      <c r="D19442" s="5" t="s">
        <v>23848</v>
      </c>
      <c r="E19442" s="6" t="str">
        <f>HYPERLINK("https://inpn.mnhn.fr/espece/cd_nom/3239","Arenaria interpres (Linnaeus, 1758)")</f>
        <v>Arenaria interpres (Linnaeus, 1758)</v>
      </c>
      <c r="F19442" s="5" t="s">
        <v>23849</v>
      </c>
      <c r="H19442" s="4" t="str">
        <f>HYPERLINK("#Réglementation!A"&amp;_xlfn.XMATCH("IBOAE",Réglementation!A:A,2,1),"IBOAE - IBO2")</f>
        <v>IBOAE - IBO2</v>
      </c>
      <c r="I19442" s="4" t="str">
        <f>HYPERLINK("#Réglementation!A"&amp;_xlfn.XMATCH("IBE2",Réglementation!A:A,2,1),"IBE2")</f>
        <v>IBE2</v>
      </c>
      <c r="L19442" s="4" t="str">
        <f>HYPERLINK("#Réglementation!A"&amp;_xlfn.XMATCH("NO3",Réglementation!A:A,2,1),"NO3")</f>
        <v>NO3</v>
      </c>
      <c r="O19442" s="7" t="str">
        <f>HYPERLINK("#Liste_rouge!A"&amp;_xlfn.XMATCH("LC",Liste_rouge!A:A,2,1),"LC")</f>
        <v>LC</v>
      </c>
      <c r="P19442" s="7" t="str">
        <f>HYPERLINK("#Liste_rouge!A"&amp;_xlfn.XMATCH("LC",Liste_rouge!A:A,2,1),"LC")</f>
        <v>LC</v>
      </c>
      <c r="R19442" s="7" t="str">
        <f>HYPERLINK("#Liste_rouge!A"&amp;_xlfn.XMATCH("LC",Liste_rouge!A:A,2,1),"LC")</f>
        <v>LC</v>
      </c>
      <c r="S19442" s="7" t="str">
        <f>HYPERLINK("#Liste_rouge!A"&amp;_xlfn.XMATCH("NA",Liste_rouge!A:A,2,1),"NA")</f>
        <v>NA</v>
      </c>
      <c r="AH19442" s="4" t="str">
        <f>HYPERLINK("#Statut_biogéographique!A"&amp;_xlfn.XMATCH("P",Statut_biogéographique!A:A,2,1),"P")</f>
        <v>P</v>
      </c>
      <c r="AM19442" s="4" t="s">
        <v>375</v>
      </c>
      <c r="AN19442" s="4" t="s">
        <v>375</v>
      </c>
      <c r="AO19442" s="4" t="s">
        <v>375</v>
      </c>
      <c r="AP19442" s="4" t="s">
        <v>389</v>
      </c>
      <c r="AR19442" s="4" t="s">
        <v>377</v>
      </c>
    </row>
    <row r="19443" spans="1:44">
      <c r="A19443" s="4" t="s">
        <v>117</v>
      </c>
      <c r="B19443" s="4">
        <v>3243</v>
      </c>
      <c r="D19443" s="5" t="s">
        <v>23850</v>
      </c>
      <c r="E19443" s="6" t="str">
        <f>HYPERLINK("https://inpn.mnhn.fr/espece/cd_nom/3243","Phalaropus lobatus (Linnaeus, 1758)")</f>
        <v>Phalaropus lobatus (Linnaeus, 1758)</v>
      </c>
      <c r="F19443" s="5" t="s">
        <v>23851</v>
      </c>
      <c r="H19443" s="4" t="str">
        <f>HYPERLINK("#Réglementation!A"&amp;_xlfn.XMATCH("IBOAE",Réglementation!A:A,2,1),"IBOAE - IBO2")</f>
        <v>IBOAE - IBO2</v>
      </c>
      <c r="I19443" s="4" t="str">
        <f>HYPERLINK("#Réglementation!A"&amp;_xlfn.XMATCH("IBE2",Réglementation!A:A,2,1),"IBE2")</f>
        <v>IBE2</v>
      </c>
      <c r="J19443" s="4" t="str">
        <f>HYPERLINK("#Réglementation!A"&amp;_xlfn.XMATCH("CDO1",Réglementation!A:A,2,1),"CDO1")</f>
        <v>CDO1</v>
      </c>
      <c r="L19443" s="4" t="str">
        <f>HYPERLINK("#Réglementation!A"&amp;_xlfn.XMATCH("NO3",Réglementation!A:A,2,1),"NO3")</f>
        <v>NO3</v>
      </c>
      <c r="O19443" s="7" t="str">
        <f>HYPERLINK("#Liste_rouge!A"&amp;_xlfn.XMATCH("LC",Liste_rouge!A:A,2,1),"LC")</f>
        <v>LC</v>
      </c>
      <c r="P19443" s="7" t="str">
        <f>HYPERLINK("#Liste_rouge!A"&amp;_xlfn.XMATCH("LC",Liste_rouge!A:A,2,1),"LC")</f>
        <v>LC</v>
      </c>
      <c r="S19443" s="7" t="str">
        <f>HYPERLINK("#Liste_rouge!A"&amp;_xlfn.XMATCH("NA",Liste_rouge!A:A,2,1),"NA")</f>
        <v>NA</v>
      </c>
      <c r="AH19443" s="4" t="str">
        <f>HYPERLINK("#Statut_biogéographique!A"&amp;_xlfn.XMATCH("P",Statut_biogéographique!A:A,2,1),"P")</f>
        <v>P</v>
      </c>
      <c r="AM19443" s="4" t="s">
        <v>375</v>
      </c>
      <c r="AN19443" s="4" t="s">
        <v>375</v>
      </c>
      <c r="AO19443" s="4" t="s">
        <v>375</v>
      </c>
      <c r="AP19443" s="4" t="s">
        <v>389</v>
      </c>
      <c r="AR19443" s="4" t="s">
        <v>377</v>
      </c>
    </row>
    <row r="19444" spans="1:44">
      <c r="A19444" s="4" t="s">
        <v>117</v>
      </c>
      <c r="B19444" s="4">
        <v>3250</v>
      </c>
      <c r="D19444" s="5" t="s">
        <v>23852</v>
      </c>
      <c r="E19444" s="6" t="str">
        <f>HYPERLINK("https://inpn.mnhn.fr/espece/cd_nom/3250","Phalaropus fulicarius (Linnaeus, 1758)")</f>
        <v>Phalaropus fulicarius (Linnaeus, 1758)</v>
      </c>
      <c r="F19444" s="5" t="s">
        <v>23853</v>
      </c>
      <c r="H19444" s="4" t="str">
        <f>HYPERLINK("#Réglementation!A"&amp;_xlfn.XMATCH("IBOAE",Réglementation!A:A,2,1),"IBOAE - IBO2")</f>
        <v>IBOAE - IBO2</v>
      </c>
      <c r="I19444" s="4" t="str">
        <f>HYPERLINK("#Réglementation!A"&amp;_xlfn.XMATCH("IBE2",Réglementation!A:A,2,1),"IBE2")</f>
        <v>IBE2</v>
      </c>
      <c r="L19444" s="4" t="str">
        <f>HYPERLINK("#Réglementation!A"&amp;_xlfn.XMATCH("NO4",Réglementation!A:A,2,1),"NO4")</f>
        <v>NO4</v>
      </c>
      <c r="O19444" s="7" t="str">
        <f>HYPERLINK("#Liste_rouge!A"&amp;_xlfn.XMATCH("LC",Liste_rouge!A:A,2,1),"LC")</f>
        <v>LC</v>
      </c>
      <c r="P19444" s="7" t="str">
        <f>HYPERLINK("#Liste_rouge!A"&amp;_xlfn.XMATCH("LC",Liste_rouge!A:A,2,1),"LC")</f>
        <v>LC</v>
      </c>
      <c r="S19444" s="7" t="str">
        <f>HYPERLINK("#Liste_rouge!A"&amp;_xlfn.XMATCH("NA",Liste_rouge!A:A,2,1),"NA")</f>
        <v>NA</v>
      </c>
      <c r="AH19444" s="4" t="str">
        <f>HYPERLINK("#Statut_biogéographique!A"&amp;_xlfn.XMATCH("P",Statut_biogéographique!A:A,2,1),"P")</f>
        <v>P</v>
      </c>
      <c r="AM19444" s="4" t="s">
        <v>375</v>
      </c>
      <c r="AN19444" s="4" t="s">
        <v>375</v>
      </c>
      <c r="AO19444" s="4" t="s">
        <v>375</v>
      </c>
      <c r="AP19444" s="4" t="s">
        <v>389</v>
      </c>
      <c r="AR19444" s="4" t="s">
        <v>377</v>
      </c>
    </row>
    <row r="19445" spans="1:44">
      <c r="A19445" s="4" t="s">
        <v>117</v>
      </c>
      <c r="B19445" s="4">
        <v>3255</v>
      </c>
      <c r="D19445" s="5" t="s">
        <v>23854</v>
      </c>
      <c r="E19445" s="6" t="str">
        <f>HYPERLINK("https://inpn.mnhn.fr/espece/cd_nom/3255","Stercorarius pomarinus (Temminck, 1815)")</f>
        <v>Stercorarius pomarinus (Temminck, 1815)</v>
      </c>
      <c r="F19445" s="5" t="s">
        <v>23855</v>
      </c>
      <c r="I19445" s="4" t="str">
        <f>HYPERLINK("#Réglementation!A"&amp;_xlfn.XMATCH("IBE3",Réglementation!A:A,2,1),"IBE3")</f>
        <v>IBE3</v>
      </c>
      <c r="L19445" s="4" t="str">
        <f>HYPERLINK("#Réglementation!A"&amp;_xlfn.XMATCH("NO4",Réglementation!A:A,2,1),"NO4")</f>
        <v>NO4</v>
      </c>
      <c r="O19445" s="7" t="str">
        <f>HYPERLINK("#Liste_rouge!A"&amp;_xlfn.XMATCH("LC",Liste_rouge!A:A,2,1),"LC")</f>
        <v>LC</v>
      </c>
      <c r="P19445" s="7" t="str">
        <f>HYPERLINK("#Liste_rouge!A"&amp;_xlfn.XMATCH("LC",Liste_rouge!A:A,2,1),"LC")</f>
        <v>LC</v>
      </c>
      <c r="R19445" s="7" t="str">
        <f>HYPERLINK("#Liste_rouge!A"&amp;_xlfn.XMATCH("NA",Liste_rouge!A:A,2,1),"NA")</f>
        <v>NA</v>
      </c>
      <c r="S19445" s="7" t="str">
        <f>HYPERLINK("#Liste_rouge!A"&amp;_xlfn.XMATCH("LC",Liste_rouge!A:A,2,1),"LC")</f>
        <v>LC</v>
      </c>
      <c r="AH19445" s="4" t="str">
        <f>HYPERLINK("#Statut_biogéographique!A"&amp;_xlfn.XMATCH("P",Statut_biogéographique!A:A,2,1),"P")</f>
        <v>P</v>
      </c>
      <c r="AM19445" s="4" t="s">
        <v>375</v>
      </c>
      <c r="AN19445" s="4" t="s">
        <v>375</v>
      </c>
      <c r="AO19445" s="4" t="s">
        <v>375</v>
      </c>
      <c r="AP19445" s="4" t="s">
        <v>389</v>
      </c>
      <c r="AR19445" s="4" t="s">
        <v>377</v>
      </c>
    </row>
    <row r="19446" spans="1:44">
      <c r="A19446" s="4" t="s">
        <v>117</v>
      </c>
      <c r="B19446" s="4">
        <v>3258</v>
      </c>
      <c r="D19446" s="5" t="s">
        <v>23856</v>
      </c>
      <c r="E19446" s="6" t="str">
        <f>HYPERLINK("https://inpn.mnhn.fr/espece/cd_nom/3258","Stercorarius parasiticus (Linnaeus, 1758)")</f>
        <v>Stercorarius parasiticus (Linnaeus, 1758)</v>
      </c>
      <c r="F19446" s="5" t="s">
        <v>23857</v>
      </c>
      <c r="I19446" s="4" t="str">
        <f>HYPERLINK("#Réglementation!A"&amp;_xlfn.XMATCH("IBE3",Réglementation!A:A,2,1),"IBE3")</f>
        <v>IBE3</v>
      </c>
      <c r="L19446" s="4" t="str">
        <f>HYPERLINK("#Réglementation!A"&amp;_xlfn.XMATCH("NO4",Réglementation!A:A,2,1),"NO4")</f>
        <v>NO4</v>
      </c>
      <c r="O19446" s="7" t="str">
        <f>HYPERLINK("#Liste_rouge!A"&amp;_xlfn.XMATCH("LC",Liste_rouge!A:A,2,1),"LC")</f>
        <v>LC</v>
      </c>
      <c r="P19446" s="7" t="str">
        <f>HYPERLINK("#Liste_rouge!A"&amp;_xlfn.XMATCH("EN",Liste_rouge!A:A,2,1),"EN")</f>
        <v>EN</v>
      </c>
      <c r="R19446" s="7" t="str">
        <f>HYPERLINK("#Liste_rouge!A"&amp;_xlfn.XMATCH("NA",Liste_rouge!A:A,2,1),"NA")</f>
        <v>NA</v>
      </c>
      <c r="S19446" s="7" t="str">
        <f>HYPERLINK("#Liste_rouge!A"&amp;_xlfn.XMATCH("LC",Liste_rouge!A:A,2,1),"LC")</f>
        <v>LC</v>
      </c>
      <c r="AH19446" s="4" t="str">
        <f>HYPERLINK("#Statut_biogéographique!A"&amp;_xlfn.XMATCH("P",Statut_biogéographique!A:A,2,1),"P")</f>
        <v>P</v>
      </c>
      <c r="AM19446" s="4" t="s">
        <v>375</v>
      </c>
      <c r="AN19446" s="4" t="s">
        <v>375</v>
      </c>
      <c r="AO19446" s="4" t="s">
        <v>375</v>
      </c>
      <c r="AP19446" s="4" t="s">
        <v>389</v>
      </c>
      <c r="AR19446" s="4" t="s">
        <v>377</v>
      </c>
    </row>
    <row r="19447" spans="1:44">
      <c r="A19447" s="4" t="s">
        <v>117</v>
      </c>
      <c r="B19447" s="4">
        <v>3261</v>
      </c>
      <c r="D19447" s="5">
        <v>3261</v>
      </c>
      <c r="E19447" s="6" t="str">
        <f>HYPERLINK("https://inpn.mnhn.fr/espece/cd_nom/3261","Stercorarius longicaudus Vieillot, 1819")</f>
        <v>Stercorarius longicaudus Vieillot, 1819</v>
      </c>
      <c r="F19447" s="5" t="s">
        <v>23858</v>
      </c>
      <c r="I19447" s="4" t="str">
        <f>HYPERLINK("#Réglementation!A"&amp;_xlfn.XMATCH("IBE3",Réglementation!A:A,2,1),"IBE3")</f>
        <v>IBE3</v>
      </c>
      <c r="L19447" s="4" t="str">
        <f>HYPERLINK("#Réglementation!A"&amp;_xlfn.XMATCH("NO4",Réglementation!A:A,2,1),"NO4")</f>
        <v>NO4</v>
      </c>
      <c r="O19447" s="7" t="str">
        <f>HYPERLINK("#Liste_rouge!A"&amp;_xlfn.XMATCH("LC",Liste_rouge!A:A,2,1),"LC")</f>
        <v>LC</v>
      </c>
      <c r="P19447" s="7" t="str">
        <f>HYPERLINK("#Liste_rouge!A"&amp;_xlfn.XMATCH("LC",Liste_rouge!A:A,2,1),"LC")</f>
        <v>LC</v>
      </c>
      <c r="S19447" s="7" t="str">
        <f>HYPERLINK("#Liste_rouge!A"&amp;_xlfn.XMATCH("VU",Liste_rouge!A:A,2,1),"VU")</f>
        <v>VU</v>
      </c>
      <c r="AH19447" s="4" t="str">
        <f>HYPERLINK("#Statut_biogéographique!A"&amp;_xlfn.XMATCH("P",Statut_biogéographique!A:A,2,1),"P")</f>
        <v>P</v>
      </c>
      <c r="AM19447" s="4" t="s">
        <v>375</v>
      </c>
      <c r="AN19447" s="4" t="s">
        <v>375</v>
      </c>
      <c r="AO19447" s="4" t="s">
        <v>375</v>
      </c>
      <c r="AP19447" s="4" t="s">
        <v>389</v>
      </c>
      <c r="AR19447" s="4" t="s">
        <v>377</v>
      </c>
    </row>
    <row r="19448" spans="1:44">
      <c r="A19448" s="4" t="s">
        <v>117</v>
      </c>
      <c r="B19448" s="4">
        <v>3263</v>
      </c>
      <c r="D19448" s="5" t="s">
        <v>23859</v>
      </c>
      <c r="E19448" s="6" t="str">
        <f>HYPERLINK("https://inpn.mnhn.fr/espece/cd_nom/3263","Stercorarius skua (Brünnich, 1764)")</f>
        <v>Stercorarius skua (Brünnich, 1764)</v>
      </c>
      <c r="F19448" s="5" t="s">
        <v>23860</v>
      </c>
      <c r="I19448" s="4" t="str">
        <f>HYPERLINK("#Réglementation!A"&amp;_xlfn.XMATCH("IBE3",Réglementation!A:A,2,1),"IBE3")</f>
        <v>IBE3</v>
      </c>
      <c r="L19448" s="4" t="str">
        <f>HYPERLINK("#Réglementation!A"&amp;_xlfn.XMATCH("NO4",Réglementation!A:A,2,1),"NO4")</f>
        <v>NO4</v>
      </c>
      <c r="O19448" s="7" t="str">
        <f>HYPERLINK("#Liste_rouge!A"&amp;_xlfn.XMATCH("LC",Liste_rouge!A:A,2,1),"LC")</f>
        <v>LC</v>
      </c>
      <c r="P19448" s="7" t="str">
        <f>HYPERLINK("#Liste_rouge!A"&amp;_xlfn.XMATCH("LC",Liste_rouge!A:A,2,1),"LC")</f>
        <v>LC</v>
      </c>
      <c r="R19448" s="7" t="str">
        <f>HYPERLINK("#Liste_rouge!A"&amp;_xlfn.XMATCH("NA",Liste_rouge!A:A,2,1),"NA")</f>
        <v>NA</v>
      </c>
      <c r="S19448" s="7" t="str">
        <f>HYPERLINK("#Liste_rouge!A"&amp;_xlfn.XMATCH("LC",Liste_rouge!A:A,2,1),"LC")</f>
        <v>LC</v>
      </c>
      <c r="AH19448" s="4" t="str">
        <f>HYPERLINK("#Statut_biogéographique!A"&amp;_xlfn.XMATCH("P",Statut_biogéographique!A:A,2,1),"P")</f>
        <v>P</v>
      </c>
      <c r="AM19448" s="4" t="s">
        <v>375</v>
      </c>
      <c r="AN19448" s="4" t="s">
        <v>375</v>
      </c>
      <c r="AO19448" s="4" t="s">
        <v>375</v>
      </c>
      <c r="AP19448" s="4" t="s">
        <v>389</v>
      </c>
      <c r="AR19448" s="4" t="s">
        <v>377</v>
      </c>
    </row>
    <row r="19449" spans="1:44">
      <c r="A19449" s="4" t="s">
        <v>117</v>
      </c>
      <c r="B19449" s="4">
        <v>3278</v>
      </c>
      <c r="D19449" s="5">
        <v>3278</v>
      </c>
      <c r="E19449" s="6" t="str">
        <f>HYPERLINK("https://inpn.mnhn.fr/espece/cd_nom/3278","Larus delawarensis Ord, 1815")</f>
        <v>Larus delawarensis Ord, 1815</v>
      </c>
      <c r="F19449" s="5" t="s">
        <v>23861</v>
      </c>
      <c r="I19449" s="4" t="str">
        <f>HYPERLINK("#Réglementation!A"&amp;_xlfn.XMATCH("IBE3",Réglementation!A:A,2,1),"IBE3")</f>
        <v>IBE3</v>
      </c>
      <c r="L19449" s="4" t="str">
        <f>HYPERLINK("#Réglementation!A"&amp;_xlfn.XMATCH("NO4",Réglementation!A:A,2,1),"NO4")</f>
        <v>NO4</v>
      </c>
      <c r="O19449" s="7" t="str">
        <f>HYPERLINK("#Liste_rouge!A"&amp;_xlfn.XMATCH("LC",Liste_rouge!A:A,2,1),"LC")</f>
        <v>LC</v>
      </c>
      <c r="S19449" s="7" t="str">
        <f>HYPERLINK("#Liste_rouge!A"&amp;_xlfn.XMATCH("NA",Liste_rouge!A:A,2,1),"NA")</f>
        <v>NA</v>
      </c>
      <c r="AH19449" s="4" t="str">
        <f>HYPERLINK("#Statut_biogéographique!A"&amp;_xlfn.XMATCH("B",Statut_biogéographique!A:A,2,1),"B")</f>
        <v>B</v>
      </c>
      <c r="AP19449" s="4" t="s">
        <v>389</v>
      </c>
      <c r="AR19449" s="4" t="s">
        <v>377</v>
      </c>
    </row>
    <row r="19450" spans="1:44" ht="60">
      <c r="A19450" s="4" t="s">
        <v>117</v>
      </c>
      <c r="B19450" s="4">
        <v>3289</v>
      </c>
      <c r="D19450" s="5" t="s">
        <v>23862</v>
      </c>
      <c r="E19450" s="6" t="str">
        <f>HYPERLINK("https://inpn.mnhn.fr/espece/cd_nom/3289","Larus cachinnans Pallas, 1811")</f>
        <v>Larus cachinnans Pallas, 1811</v>
      </c>
      <c r="F19450" s="5" t="s">
        <v>23863</v>
      </c>
      <c r="H19450" s="4" t="str">
        <f>HYPERLINK("#Réglementation!A"&amp;_xlfn.XMATCH("IBOAE",Réglementation!A:A,2,1),"IBOAE")</f>
        <v>IBOAE</v>
      </c>
      <c r="I19450" s="4" t="str">
        <f>HYPERLINK("#Réglementation!A"&amp;_xlfn.XMATCH("IBE3",Réglementation!A:A,2,1),"IBE3")</f>
        <v>IBE3</v>
      </c>
      <c r="J19450" s="4" t="str">
        <f>HYPERLINK("#Réglementation!A"&amp;_xlfn.XMATCH("CDO22",Réglementation!A:A,2,1),"CDO22")</f>
        <v>CDO22</v>
      </c>
      <c r="L19450" s="4" t="str">
        <f>HYPERLINK("#Réglementation!A"&amp;_xlfn.XMATCH("NO4",Réglementation!A:A,2,1),"NO4")</f>
        <v>NO4</v>
      </c>
      <c r="O19450" s="7" t="str">
        <f>HYPERLINK("#Liste_rouge!A"&amp;_xlfn.XMATCH("LC",Liste_rouge!A:A,2,1),"LC")</f>
        <v>LC</v>
      </c>
      <c r="P19450" s="7" t="str">
        <f>HYPERLINK("#Liste_rouge!A"&amp;_xlfn.XMATCH("LC",Liste_rouge!A:A,2,1),"LC")</f>
        <v>LC</v>
      </c>
      <c r="R19450" s="7" t="str">
        <f>HYPERLINK("#Liste_rouge!A"&amp;_xlfn.XMATCH("NA",Liste_rouge!A:A,2,1),"NA")</f>
        <v>NA</v>
      </c>
      <c r="X19450" s="5" t="s">
        <v>23439</v>
      </c>
      <c r="Y19450" s="5" t="s">
        <v>23629</v>
      </c>
      <c r="AH19450" s="4" t="str">
        <f>HYPERLINK("#Statut_biogéographique!A"&amp;_xlfn.XMATCH("P",Statut_biogéographique!A:A,2,1),"P")</f>
        <v>P</v>
      </c>
      <c r="AM19450" s="4" t="s">
        <v>375</v>
      </c>
      <c r="AN19450" s="4" t="s">
        <v>375</v>
      </c>
      <c r="AO19450" s="4" t="s">
        <v>375</v>
      </c>
      <c r="AP19450" s="4" t="s">
        <v>376</v>
      </c>
      <c r="AR19450" s="4" t="s">
        <v>377</v>
      </c>
    </row>
    <row r="19451" spans="1:44" ht="60">
      <c r="A19451" s="4" t="s">
        <v>117</v>
      </c>
      <c r="B19451" s="4">
        <v>3293</v>
      </c>
      <c r="D19451" s="5" t="s">
        <v>23864</v>
      </c>
      <c r="E19451" s="6" t="str">
        <f>HYPERLINK("https://inpn.mnhn.fr/espece/cd_nom/3293","Larus canus Linnaeus, 1758")</f>
        <v>Larus canus Linnaeus, 1758</v>
      </c>
      <c r="F19451" s="5" t="s">
        <v>23865</v>
      </c>
      <c r="H19451" s="4" t="str">
        <f>HYPERLINK("#Réglementation!A"&amp;_xlfn.XMATCH("IBOAE",Réglementation!A:A,2,1),"IBOAE")</f>
        <v>IBOAE</v>
      </c>
      <c r="I19451" s="4" t="str">
        <f>HYPERLINK("#Réglementation!A"&amp;_xlfn.XMATCH("IBE3",Réglementation!A:A,2,1),"IBE3")</f>
        <v>IBE3</v>
      </c>
      <c r="J19451" s="4" t="str">
        <f>HYPERLINK("#Réglementation!A"&amp;_xlfn.XMATCH("CDO22",Réglementation!A:A,2,1),"CDO22")</f>
        <v>CDO22</v>
      </c>
      <c r="L19451" s="4" t="str">
        <f>HYPERLINK("#Réglementation!A"&amp;_xlfn.XMATCH("NO3",Réglementation!A:A,2,1),"NO3")</f>
        <v>NO3</v>
      </c>
      <c r="O19451" s="7" t="str">
        <f>HYPERLINK("#Liste_rouge!A"&amp;_xlfn.XMATCH("LC",Liste_rouge!A:A,2,1),"LC")</f>
        <v>LC</v>
      </c>
      <c r="P19451" s="7" t="str">
        <f>HYPERLINK("#Liste_rouge!A"&amp;_xlfn.XMATCH("LC",Liste_rouge!A:A,2,1),"LC")</f>
        <v>LC</v>
      </c>
      <c r="Q19451" s="7" t="str">
        <f>HYPERLINK("#Liste_rouge!A"&amp;_xlfn.XMATCH("EN",Liste_rouge!A:A,2,1),"EN")</f>
        <v>EN</v>
      </c>
      <c r="R19451" s="7" t="str">
        <f>HYPERLINK("#Liste_rouge!A"&amp;_xlfn.XMATCH("LC",Liste_rouge!A:A,2,1),"LC")</f>
        <v>LC</v>
      </c>
      <c r="X19451" s="5" t="s">
        <v>23439</v>
      </c>
      <c r="Y19451" s="5" t="s">
        <v>23629</v>
      </c>
      <c r="AH19451" s="4" t="str">
        <f>HYPERLINK("#Statut_biogéographique!A"&amp;_xlfn.XMATCH("P",Statut_biogéographique!A:A,2,1),"P")</f>
        <v>P</v>
      </c>
      <c r="AM19451" s="4" t="s">
        <v>375</v>
      </c>
      <c r="AN19451" s="4" t="s">
        <v>375</v>
      </c>
      <c r="AO19451" s="4" t="s">
        <v>375</v>
      </c>
      <c r="AP19451" s="4" t="s">
        <v>389</v>
      </c>
      <c r="AR19451" s="4" t="s">
        <v>377</v>
      </c>
    </row>
    <row r="19452" spans="1:44">
      <c r="A19452" s="4" t="s">
        <v>117</v>
      </c>
      <c r="B19452" s="4">
        <v>3297</v>
      </c>
      <c r="D19452" s="5">
        <v>3297</v>
      </c>
      <c r="E19452" s="6" t="str">
        <f>HYPERLINK("https://inpn.mnhn.fr/espece/cd_nom/3297","Larus fuscus Linnaeus, 1758")</f>
        <v>Larus fuscus Linnaeus, 1758</v>
      </c>
      <c r="F19452" s="5" t="s">
        <v>23866</v>
      </c>
      <c r="H19452" s="4" t="str">
        <f>HYPERLINK("#Réglementation!A"&amp;_xlfn.XMATCH("IBOAE",Réglementation!A:A,2,1),"IBOAE")</f>
        <v>IBOAE</v>
      </c>
      <c r="J19452" s="4" t="str">
        <f>HYPERLINK("#Réglementation!A"&amp;_xlfn.XMATCH("CDO22",Réglementation!A:A,2,1),"CDO22")</f>
        <v>CDO22</v>
      </c>
      <c r="L19452" s="4" t="str">
        <f>HYPERLINK("#Réglementation!A"&amp;_xlfn.XMATCH("NO3",Réglementation!A:A,2,1),"NO3")</f>
        <v>NO3</v>
      </c>
      <c r="O19452" s="7" t="str">
        <f>HYPERLINK("#Liste_rouge!A"&amp;_xlfn.XMATCH("LC",Liste_rouge!A:A,2,1),"LC")</f>
        <v>LC</v>
      </c>
      <c r="P19452" s="7" t="str">
        <f>HYPERLINK("#Liste_rouge!A"&amp;_xlfn.XMATCH("LC",Liste_rouge!A:A,2,1),"LC")</f>
        <v>LC</v>
      </c>
      <c r="Q19452" s="7" t="str">
        <f>HYPERLINK("#Liste_rouge!A"&amp;_xlfn.XMATCH("LC",Liste_rouge!A:A,2,1),"LC")</f>
        <v>LC</v>
      </c>
      <c r="R19452" s="7" t="str">
        <f>HYPERLINK("#Liste_rouge!A"&amp;_xlfn.XMATCH("LC",Liste_rouge!A:A,2,1),"LC")</f>
        <v>LC</v>
      </c>
      <c r="S19452" s="7" t="str">
        <f>HYPERLINK("#Liste_rouge!A"&amp;_xlfn.XMATCH("NA",Liste_rouge!A:A,2,1),"NA")</f>
        <v>NA</v>
      </c>
      <c r="AH19452" s="4" t="str">
        <f>HYPERLINK("#Statut_biogéographique!A"&amp;_xlfn.XMATCH("P",Statut_biogéographique!A:A,2,1),"P")</f>
        <v>P</v>
      </c>
      <c r="AP19452" s="4" t="s">
        <v>376</v>
      </c>
      <c r="AR19452" s="4" t="s">
        <v>377</v>
      </c>
    </row>
    <row r="19453" spans="1:44">
      <c r="A19453" s="4" t="s">
        <v>117</v>
      </c>
      <c r="B19453" s="4">
        <v>3300</v>
      </c>
      <c r="D19453" s="5" t="s">
        <v>23867</v>
      </c>
      <c r="E19453" s="6" t="str">
        <f>HYPERLINK("https://inpn.mnhn.fr/espece/cd_nom/3300","Larus fuscus graellsii Brehm, 1857")</f>
        <v>Larus fuscus graellsii Brehm, 1857</v>
      </c>
      <c r="F19453" s="5" t="s">
        <v>23866</v>
      </c>
      <c r="H19453" s="4" t="str">
        <f>HYPERLINK("#Réglementation!A"&amp;_xlfn.XMATCH("IBOAE",Réglementation!A:A,2,1),"IBOAE")</f>
        <v>IBOAE</v>
      </c>
      <c r="J19453" s="4" t="str">
        <f>HYPERLINK("#Réglementation!A"&amp;_xlfn.XMATCH("CDO22",Réglementation!A:A,2,1),"CDO22")</f>
        <v>CDO22</v>
      </c>
      <c r="L19453" s="4" t="str">
        <f>HYPERLINK("#Réglementation!A"&amp;_xlfn.XMATCH("NO3",Réglementation!A:A,2,1),"NO3")</f>
        <v>NO3</v>
      </c>
      <c r="AH19453" s="4" t="str">
        <f>HYPERLINK("#Statut_biogéographique!A"&amp;_xlfn.XMATCH("P",Statut_biogéographique!A:A,2,1),"P")</f>
        <v>P</v>
      </c>
      <c r="AM19453" s="4" t="s">
        <v>375</v>
      </c>
      <c r="AN19453" s="4" t="s">
        <v>375</v>
      </c>
      <c r="AO19453" s="4" t="s">
        <v>375</v>
      </c>
      <c r="AP19453" s="4" t="s">
        <v>376</v>
      </c>
      <c r="AR19453" s="4" t="s">
        <v>377</v>
      </c>
    </row>
    <row r="19454" spans="1:44">
      <c r="A19454" s="4" t="s">
        <v>117</v>
      </c>
      <c r="B19454" s="4">
        <v>3301</v>
      </c>
      <c r="D19454" s="5">
        <v>3301</v>
      </c>
      <c r="E19454" s="6" t="str">
        <f>HYPERLINK("https://inpn.mnhn.fr/espece/cd_nom/3301","Larus fuscus intermedius Schioler, 1922")</f>
        <v>Larus fuscus intermedius Schioler, 1922</v>
      </c>
      <c r="H19454" s="4" t="str">
        <f>HYPERLINK("#Réglementation!A"&amp;_xlfn.XMATCH("IBOAE",Réglementation!A:A,2,1),"IBOAE")</f>
        <v>IBOAE</v>
      </c>
      <c r="J19454" s="4" t="str">
        <f>HYPERLINK("#Réglementation!A"&amp;_xlfn.XMATCH("CDO22",Réglementation!A:A,2,1),"CDO22")</f>
        <v>CDO22</v>
      </c>
      <c r="L19454" s="4" t="str">
        <f>HYPERLINK("#Réglementation!A"&amp;_xlfn.XMATCH("NO3",Réglementation!A:A,2,1),"NO3")</f>
        <v>NO3</v>
      </c>
      <c r="AH19454" s="4" t="str">
        <f>HYPERLINK("#Statut_biogéographique!A"&amp;_xlfn.XMATCH("P",Statut_biogéographique!A:A,2,1),"P")</f>
        <v>P</v>
      </c>
      <c r="AP19454" s="4" t="s">
        <v>376</v>
      </c>
      <c r="AR19454" s="4" t="s">
        <v>377</v>
      </c>
    </row>
    <row r="19455" spans="1:44">
      <c r="A19455" s="4" t="s">
        <v>117</v>
      </c>
      <c r="B19455" s="4">
        <v>3302</v>
      </c>
      <c r="D19455" s="5">
        <v>3302</v>
      </c>
      <c r="E19455" s="6" t="str">
        <f>HYPERLINK("https://inpn.mnhn.fr/espece/cd_nom/3302","Larus argentatus Pontoppidan, 1763")</f>
        <v>Larus argentatus Pontoppidan, 1763</v>
      </c>
      <c r="F19455" s="5" t="s">
        <v>23868</v>
      </c>
      <c r="H19455" s="4" t="str">
        <f>HYPERLINK("#Réglementation!A"&amp;_xlfn.XMATCH("IBOAE",Réglementation!A:A,2,1),"IBOAE")</f>
        <v>IBOAE</v>
      </c>
      <c r="J19455" s="4" t="str">
        <f>HYPERLINK("#Réglementation!A"&amp;_xlfn.XMATCH("CDO22",Réglementation!A:A,2,1),"CDO22")</f>
        <v>CDO22</v>
      </c>
      <c r="L19455" s="4" t="str">
        <f>HYPERLINK("#Réglementation!A"&amp;_xlfn.XMATCH("NO3",Réglementation!A:A,2,1),"NO3")</f>
        <v>NO3</v>
      </c>
      <c r="P19455" s="7" t="str">
        <f>HYPERLINK("#Liste_rouge!A"&amp;_xlfn.XMATCH("LC",Liste_rouge!A:A,2,1),"LC")</f>
        <v>LC</v>
      </c>
      <c r="Q19455" s="7" t="str">
        <f>HYPERLINK("#Liste_rouge!A"&amp;_xlfn.XMATCH("NT",Liste_rouge!A:A,2,1),"NT")</f>
        <v>NT</v>
      </c>
      <c r="R19455" s="7" t="str">
        <f>HYPERLINK("#Liste_rouge!A"&amp;_xlfn.XMATCH("NA",Liste_rouge!A:A,2,1),"NA")</f>
        <v>NA</v>
      </c>
      <c r="AH19455" s="4" t="str">
        <f>HYPERLINK("#Statut_biogéographique!A"&amp;_xlfn.XMATCH("P",Statut_biogéographique!A:A,2,1),"P")</f>
        <v>P</v>
      </c>
      <c r="AM19455" s="4" t="s">
        <v>375</v>
      </c>
      <c r="AN19455" s="4" t="s">
        <v>375</v>
      </c>
      <c r="AO19455" s="4" t="s">
        <v>375</v>
      </c>
      <c r="AP19455" s="4" t="s">
        <v>389</v>
      </c>
      <c r="AR19455" s="4" t="s">
        <v>377</v>
      </c>
    </row>
    <row r="19456" spans="1:44">
      <c r="A19456" s="4" t="s">
        <v>117</v>
      </c>
      <c r="B19456" s="4">
        <v>3307</v>
      </c>
      <c r="D19456" s="5">
        <v>3307</v>
      </c>
      <c r="E19456" s="6" t="str">
        <f>HYPERLINK("https://inpn.mnhn.fr/espece/cd_nom/3307","Larus glaucoides Meyer, 1822")</f>
        <v>Larus glaucoides Meyer, 1822</v>
      </c>
      <c r="F19456" s="5" t="s">
        <v>23869</v>
      </c>
      <c r="H19456" s="4" t="str">
        <f>HYPERLINK("#Réglementation!A"&amp;_xlfn.XMATCH("IBOAE",Réglementation!A:A,2,1),"IBOAE")</f>
        <v>IBOAE</v>
      </c>
      <c r="I19456" s="4" t="str">
        <f>HYPERLINK("#Réglementation!A"&amp;_xlfn.XMATCH("IBE3",Réglementation!A:A,2,1),"IBE3")</f>
        <v>IBE3</v>
      </c>
      <c r="L19456" s="4" t="str">
        <f>HYPERLINK("#Réglementation!A"&amp;_xlfn.XMATCH("NO4",Réglementation!A:A,2,1),"NO4")</f>
        <v>NO4</v>
      </c>
      <c r="O19456" s="7" t="str">
        <f>HYPERLINK("#Liste_rouge!A"&amp;_xlfn.XMATCH("LC",Liste_rouge!A:A,2,1),"LC")</f>
        <v>LC</v>
      </c>
      <c r="P19456" s="7" t="str">
        <f>HYPERLINK("#Liste_rouge!A"&amp;_xlfn.XMATCH("LC",Liste_rouge!A:A,2,1),"LC")</f>
        <v>LC</v>
      </c>
      <c r="S19456" s="7" t="str">
        <f>HYPERLINK("#Liste_rouge!A"&amp;_xlfn.XMATCH("NA",Liste_rouge!A:A,2,1),"NA")</f>
        <v>NA</v>
      </c>
      <c r="AH19456" s="4" t="str">
        <f>HYPERLINK("#Statut_biogéographique!A"&amp;_xlfn.XMATCH("B",Statut_biogéographique!A:A,2,1),"B")</f>
        <v>B</v>
      </c>
      <c r="AM19456" s="4" t="s">
        <v>375</v>
      </c>
      <c r="AN19456" s="4" t="s">
        <v>375</v>
      </c>
      <c r="AO19456" s="4" t="s">
        <v>375</v>
      </c>
      <c r="AP19456" s="4" t="s">
        <v>389</v>
      </c>
      <c r="AR19456" s="4" t="s">
        <v>377</v>
      </c>
    </row>
    <row r="19457" spans="1:44">
      <c r="A19457" s="4" t="s">
        <v>117</v>
      </c>
      <c r="B19457" s="4">
        <v>3309</v>
      </c>
      <c r="D19457" s="5">
        <v>3309</v>
      </c>
      <c r="E19457" s="6" t="str">
        <f>HYPERLINK("https://inpn.mnhn.fr/espece/cd_nom/3309","Larus hyperboreus Gunnerus, 1767")</f>
        <v>Larus hyperboreus Gunnerus, 1767</v>
      </c>
      <c r="F19457" s="5" t="s">
        <v>23870</v>
      </c>
      <c r="H19457" s="4" t="str">
        <f>HYPERLINK("#Réglementation!A"&amp;_xlfn.XMATCH("IBOAE",Réglementation!A:A,2,1),"IBOAE")</f>
        <v>IBOAE</v>
      </c>
      <c r="I19457" s="4" t="str">
        <f>HYPERLINK("#Réglementation!A"&amp;_xlfn.XMATCH("IBE3",Réglementation!A:A,2,1),"IBE3")</f>
        <v>IBE3</v>
      </c>
      <c r="L19457" s="4" t="str">
        <f>HYPERLINK("#Réglementation!A"&amp;_xlfn.XMATCH("NO4",Réglementation!A:A,2,1),"NO4")</f>
        <v>NO4</v>
      </c>
      <c r="O19457" s="7" t="str">
        <f>HYPERLINK("#Liste_rouge!A"&amp;_xlfn.XMATCH("LC",Liste_rouge!A:A,2,1),"LC")</f>
        <v>LC</v>
      </c>
      <c r="P19457" s="7" t="str">
        <f>HYPERLINK("#Liste_rouge!A"&amp;_xlfn.XMATCH("LC",Liste_rouge!A:A,2,1),"LC")</f>
        <v>LC</v>
      </c>
      <c r="R19457" s="7" t="str">
        <f>HYPERLINK("#Liste_rouge!A"&amp;_xlfn.XMATCH("NA",Liste_rouge!A:A,2,1),"NA")</f>
        <v>NA</v>
      </c>
      <c r="AH19457" s="4" t="str">
        <f>HYPERLINK("#Statut_biogéographique!A"&amp;_xlfn.XMATCH("P",Statut_biogéographique!A:A,2,1),"P")</f>
        <v>P</v>
      </c>
      <c r="AP19457" s="4" t="s">
        <v>389</v>
      </c>
      <c r="AR19457" s="4" t="s">
        <v>377</v>
      </c>
    </row>
    <row r="19458" spans="1:44">
      <c r="A19458" s="4" t="s">
        <v>117</v>
      </c>
      <c r="B19458" s="4">
        <v>3311</v>
      </c>
      <c r="D19458" s="5">
        <v>3311</v>
      </c>
      <c r="E19458" s="6" t="str">
        <f>HYPERLINK("https://inpn.mnhn.fr/espece/cd_nom/3311","Larus marinus Linnaeus, 1758")</f>
        <v>Larus marinus Linnaeus, 1758</v>
      </c>
      <c r="F19458" s="5" t="s">
        <v>23871</v>
      </c>
      <c r="H19458" s="4" t="str">
        <f>HYPERLINK("#Réglementation!A"&amp;_xlfn.XMATCH("IBOAE",Réglementation!A:A,2,1),"IBOAE")</f>
        <v>IBOAE</v>
      </c>
      <c r="J19458" s="4" t="str">
        <f>HYPERLINK("#Réglementation!A"&amp;_xlfn.XMATCH("CDO22",Réglementation!A:A,2,1),"CDO22")</f>
        <v>CDO22</v>
      </c>
      <c r="L19458" s="4" t="str">
        <f>HYPERLINK("#Réglementation!A"&amp;_xlfn.XMATCH("NO3",Réglementation!A:A,2,1),"NO3")</f>
        <v>NO3</v>
      </c>
      <c r="O19458" s="7" t="str">
        <f>HYPERLINK("#Liste_rouge!A"&amp;_xlfn.XMATCH("LC",Liste_rouge!A:A,2,1),"LC")</f>
        <v>LC</v>
      </c>
      <c r="P19458" s="7" t="str">
        <f>HYPERLINK("#Liste_rouge!A"&amp;_xlfn.XMATCH("LC",Liste_rouge!A:A,2,1),"LC")</f>
        <v>LC</v>
      </c>
      <c r="Q19458" s="7" t="str">
        <f>HYPERLINK("#Liste_rouge!A"&amp;_xlfn.XMATCH("LC",Liste_rouge!A:A,2,1),"LC")</f>
        <v>LC</v>
      </c>
      <c r="R19458" s="7" t="str">
        <f>HYPERLINK("#Liste_rouge!A"&amp;_xlfn.XMATCH("NA",Liste_rouge!A:A,2,1),"NA")</f>
        <v>NA</v>
      </c>
      <c r="S19458" s="7" t="str">
        <f>HYPERLINK("#Liste_rouge!A"&amp;_xlfn.XMATCH("NA",Liste_rouge!A:A,2,1),"NA")</f>
        <v>NA</v>
      </c>
      <c r="AH19458" s="4" t="str">
        <f>HYPERLINK("#Statut_biogéographique!A"&amp;_xlfn.XMATCH("P",Statut_biogéographique!A:A,2,1),"P")</f>
        <v>P</v>
      </c>
      <c r="AM19458" s="4" t="s">
        <v>375</v>
      </c>
      <c r="AN19458" s="4" t="s">
        <v>375</v>
      </c>
      <c r="AO19458" s="4" t="s">
        <v>375</v>
      </c>
      <c r="AP19458" s="4" t="s">
        <v>389</v>
      </c>
      <c r="AR19458" s="4" t="s">
        <v>377</v>
      </c>
    </row>
    <row r="19459" spans="1:44">
      <c r="A19459" s="4" t="s">
        <v>117</v>
      </c>
      <c r="B19459" s="4">
        <v>3318</v>
      </c>
      <c r="D19459" s="5" t="s">
        <v>23872</v>
      </c>
      <c r="E19459" s="6" t="str">
        <f>HYPERLINK("https://inpn.mnhn.fr/espece/cd_nom/3318","Rissa tridactyla (Linnaeus, 1758)")</f>
        <v>Rissa tridactyla (Linnaeus, 1758)</v>
      </c>
      <c r="F19459" s="5" t="s">
        <v>23873</v>
      </c>
      <c r="I19459" s="4" t="str">
        <f>HYPERLINK("#Réglementation!A"&amp;_xlfn.XMATCH("IBE3",Réglementation!A:A,2,1),"IBE3")</f>
        <v>IBE3</v>
      </c>
      <c r="L19459" s="4" t="str">
        <f>HYPERLINK("#Réglementation!A"&amp;_xlfn.XMATCH("NO3",Réglementation!A:A,2,1),"NO3")</f>
        <v>NO3</v>
      </c>
      <c r="O19459" s="7" t="str">
        <f>HYPERLINK("#Liste_rouge!A"&amp;_xlfn.XMATCH("VU",Liste_rouge!A:A,2,1),"VU")</f>
        <v>VU</v>
      </c>
      <c r="P19459" s="7" t="str">
        <f>HYPERLINK("#Liste_rouge!A"&amp;_xlfn.XMATCH("VU",Liste_rouge!A:A,2,1),"VU")</f>
        <v>VU</v>
      </c>
      <c r="Q19459" s="7" t="str">
        <f>HYPERLINK("#Liste_rouge!A"&amp;_xlfn.XMATCH("VU",Liste_rouge!A:A,2,1),"VU")</f>
        <v>VU</v>
      </c>
      <c r="R19459" s="7" t="str">
        <f>HYPERLINK("#Liste_rouge!A"&amp;_xlfn.XMATCH("NA",Liste_rouge!A:A,2,1),"NA")</f>
        <v>NA</v>
      </c>
      <c r="S19459" s="7" t="str">
        <f>HYPERLINK("#Liste_rouge!A"&amp;_xlfn.XMATCH("DD",Liste_rouge!A:A,2,1),"DD")</f>
        <v>DD</v>
      </c>
      <c r="AE19459" s="4" t="str">
        <f>HYPERLINK("#SCAP!A"&amp;_xlfn.XMATCH("1-",SCAP!A:A,2,1),"1-")</f>
        <v>1-</v>
      </c>
      <c r="AH19459" s="4" t="str">
        <f>HYPERLINK("#Statut_biogéographique!A"&amp;_xlfn.XMATCH("P",Statut_biogéographique!A:A,2,1),"P")</f>
        <v>P</v>
      </c>
      <c r="AM19459" s="4" t="s">
        <v>375</v>
      </c>
      <c r="AN19459" s="4" t="s">
        <v>375</v>
      </c>
      <c r="AO19459" s="4" t="s">
        <v>375</v>
      </c>
      <c r="AP19459" s="4" t="s">
        <v>389</v>
      </c>
      <c r="AR19459" s="4" t="s">
        <v>377</v>
      </c>
    </row>
    <row r="19460" spans="1:44" ht="30">
      <c r="A19460" s="4" t="s">
        <v>117</v>
      </c>
      <c r="B19460" s="4">
        <v>3322</v>
      </c>
      <c r="D19460" s="5" t="s">
        <v>23874</v>
      </c>
      <c r="E19460" s="6" t="str">
        <f>HYPERLINK("https://inpn.mnhn.fr/espece/cd_nom/3322","Pagophila eburnea (Phipps, 1774)")</f>
        <v>Pagophila eburnea (Phipps, 1774)</v>
      </c>
      <c r="F19460" s="5" t="s">
        <v>23875</v>
      </c>
      <c r="I19460" s="4" t="str">
        <f>HYPERLINK("#Réglementation!A"&amp;_xlfn.XMATCH("IBE2",Réglementation!A:A,2,1),"IBE2")</f>
        <v>IBE2</v>
      </c>
      <c r="L19460" s="4" t="str">
        <f>HYPERLINK("#Réglementation!A"&amp;_xlfn.XMATCH("NO4",Réglementation!A:A,2,1),"NO4")</f>
        <v>NO4</v>
      </c>
      <c r="O19460" s="7" t="str">
        <f>HYPERLINK("#Liste_rouge!A"&amp;_xlfn.XMATCH("NT",Liste_rouge!A:A,2,1),"NT")</f>
        <v>NT</v>
      </c>
      <c r="P19460" s="7" t="str">
        <f>HYPERLINK("#Liste_rouge!A"&amp;_xlfn.XMATCH("VU",Liste_rouge!A:A,2,1),"VU")</f>
        <v>VU</v>
      </c>
      <c r="S19460" s="7" t="str">
        <f>HYPERLINK("#Liste_rouge!A"&amp;_xlfn.XMATCH("NA",Liste_rouge!A:A,2,1),"NA")</f>
        <v>NA</v>
      </c>
      <c r="AH19460" s="4" t="str">
        <f>HYPERLINK("#Statut_biogéographique!A"&amp;_xlfn.XMATCH("P",Statut_biogéographique!A:A,2,1),"P")</f>
        <v>P</v>
      </c>
      <c r="AP19460" s="4" t="s">
        <v>389</v>
      </c>
      <c r="AR19460" s="4" t="s">
        <v>377</v>
      </c>
    </row>
    <row r="19461" spans="1:44">
      <c r="A19461" s="4" t="s">
        <v>117</v>
      </c>
      <c r="B19461" s="4">
        <v>3332</v>
      </c>
      <c r="D19461" s="5" t="s">
        <v>23876</v>
      </c>
      <c r="E19461" s="6" t="str">
        <f>HYPERLINK("https://inpn.mnhn.fr/espece/cd_nom/3332","Gelochelidon nilotica (Gmelin, 1789)")</f>
        <v>Gelochelidon nilotica (Gmelin, 1789)</v>
      </c>
      <c r="F19461" s="5" t="s">
        <v>23877</v>
      </c>
      <c r="H19461" s="4" t="str">
        <f>HYPERLINK("#Réglementation!A"&amp;_xlfn.XMATCH("IBOAE",Réglementation!A:A,2,1),"IBOAE - IBO2")</f>
        <v>IBOAE - IBO2</v>
      </c>
      <c r="I19461" s="4" t="str">
        <f>HYPERLINK("#Réglementation!A"&amp;_xlfn.XMATCH("IBE2",Réglementation!A:A,2,1),"IBE2")</f>
        <v>IBE2</v>
      </c>
      <c r="J19461" s="4" t="str">
        <f>HYPERLINK("#Réglementation!A"&amp;_xlfn.XMATCH("CDO1",Réglementation!A:A,2,1),"CDO1")</f>
        <v>CDO1</v>
      </c>
      <c r="L19461" s="4" t="str">
        <f>HYPERLINK("#Réglementation!A"&amp;_xlfn.XMATCH("NO3",Réglementation!A:A,2,1),"NO3")</f>
        <v>NO3</v>
      </c>
      <c r="P19461" s="7" t="str">
        <f>HYPERLINK("#Liste_rouge!A"&amp;_xlfn.XMATCH("LC",Liste_rouge!A:A,2,1),"LC")</f>
        <v>LC</v>
      </c>
      <c r="Q19461" s="7" t="str">
        <f>HYPERLINK("#Liste_rouge!A"&amp;_xlfn.XMATCH("VU",Liste_rouge!A:A,2,1),"VU")</f>
        <v>VU</v>
      </c>
      <c r="S19461" s="7" t="str">
        <f>HYPERLINK("#Liste_rouge!A"&amp;_xlfn.XMATCH("NA",Liste_rouge!A:A,2,1),"NA")</f>
        <v>NA</v>
      </c>
      <c r="AE19461" s="4" t="str">
        <f>HYPERLINK("#SCAP!A"&amp;_xlfn.XMATCH("2+",SCAP!A:A,2,1),"2+")</f>
        <v>2+</v>
      </c>
      <c r="AH19461" s="4" t="str">
        <f>HYPERLINK("#Statut_biogéographique!A"&amp;_xlfn.XMATCH("P",Statut_biogéographique!A:A,2,1),"P")</f>
        <v>P</v>
      </c>
      <c r="AM19461" s="4" t="s">
        <v>375</v>
      </c>
      <c r="AN19461" s="4" t="s">
        <v>375</v>
      </c>
      <c r="AO19461" s="4" t="s">
        <v>375</v>
      </c>
      <c r="AP19461" s="4" t="s">
        <v>389</v>
      </c>
      <c r="AR19461" s="4" t="s">
        <v>377</v>
      </c>
    </row>
    <row r="19462" spans="1:44">
      <c r="A19462" s="4" t="s">
        <v>117</v>
      </c>
      <c r="B19462" s="4">
        <v>3336</v>
      </c>
      <c r="D19462" s="5" t="s">
        <v>23878</v>
      </c>
      <c r="E19462" s="6" t="str">
        <f>HYPERLINK("https://inpn.mnhn.fr/espece/cd_nom/3336","Hydroprogne caspia (Pallas, 1770)")</f>
        <v>Hydroprogne caspia (Pallas, 1770)</v>
      </c>
      <c r="F19462" s="5" t="s">
        <v>23879</v>
      </c>
      <c r="H19462" s="4" t="str">
        <f>HYPERLINK("#Réglementation!A"&amp;_xlfn.XMATCH("IBOAE",Réglementation!A:A,2,1),"IBOAE - IBO2")</f>
        <v>IBOAE - IBO2</v>
      </c>
      <c r="I19462" s="4" t="str">
        <f>HYPERLINK("#Réglementation!A"&amp;_xlfn.XMATCH("IBE2",Réglementation!A:A,2,1),"IBE2")</f>
        <v>IBE2</v>
      </c>
      <c r="J19462" s="4" t="str">
        <f>HYPERLINK("#Réglementation!A"&amp;_xlfn.XMATCH("CDO1",Réglementation!A:A,2,1),"CDO1")</f>
        <v>CDO1</v>
      </c>
      <c r="L19462" s="4" t="str">
        <f>HYPERLINK("#Réglementation!A"&amp;_xlfn.XMATCH("NO3",Réglementation!A:A,2,1),"NO3")</f>
        <v>NO3</v>
      </c>
      <c r="O19462" s="7" t="str">
        <f>HYPERLINK("#Liste_rouge!A"&amp;_xlfn.XMATCH("LC",Liste_rouge!A:A,2,1),"LC")</f>
        <v>LC</v>
      </c>
      <c r="P19462" s="7" t="str">
        <f>HYPERLINK("#Liste_rouge!A"&amp;_xlfn.XMATCH("LC",Liste_rouge!A:A,2,1),"LC")</f>
        <v>LC</v>
      </c>
      <c r="S19462" s="7" t="str">
        <f>HYPERLINK("#Liste_rouge!A"&amp;_xlfn.XMATCH("NT",Liste_rouge!A:A,2,1),"NT")</f>
        <v>NT</v>
      </c>
      <c r="AH19462" s="4" t="str">
        <f>HYPERLINK("#Statut_biogéographique!A"&amp;_xlfn.XMATCH("P",Statut_biogéographique!A:A,2,1),"P")</f>
        <v>P</v>
      </c>
      <c r="AM19462" s="4" t="s">
        <v>375</v>
      </c>
      <c r="AN19462" s="4" t="s">
        <v>375</v>
      </c>
      <c r="AO19462" s="4" t="s">
        <v>375</v>
      </c>
      <c r="AP19462" s="4" t="s">
        <v>389</v>
      </c>
      <c r="AR19462" s="4" t="s">
        <v>377</v>
      </c>
    </row>
    <row r="19463" spans="1:44">
      <c r="A19463" s="4" t="s">
        <v>117</v>
      </c>
      <c r="B19463" s="4">
        <v>3343</v>
      </c>
      <c r="D19463" s="5">
        <v>3343</v>
      </c>
      <c r="E19463" s="6" t="str">
        <f>HYPERLINK("https://inpn.mnhn.fr/espece/cd_nom/3343","Sterna hirundo Linnaeus, 1758")</f>
        <v>Sterna hirundo Linnaeus, 1758</v>
      </c>
      <c r="F19463" s="5" t="s">
        <v>23880</v>
      </c>
      <c r="H19463" s="4" t="str">
        <f>HYPERLINK("#Réglementation!A"&amp;_xlfn.XMATCH("IBOAE",Réglementation!A:A,2,1),"IBOAE - IBO2")</f>
        <v>IBOAE - IBO2</v>
      </c>
      <c r="I19463" s="4" t="str">
        <f>HYPERLINK("#Réglementation!A"&amp;_xlfn.XMATCH("IBE2",Réglementation!A:A,2,1),"IBE2")</f>
        <v>IBE2</v>
      </c>
      <c r="J19463" s="4" t="str">
        <f>HYPERLINK("#Réglementation!A"&amp;_xlfn.XMATCH("CDO1",Réglementation!A:A,2,1),"CDO1")</f>
        <v>CDO1</v>
      </c>
      <c r="L19463" s="4" t="str">
        <f>HYPERLINK("#Réglementation!A"&amp;_xlfn.XMATCH("NO3",Réglementation!A:A,2,1),"NO3")</f>
        <v>NO3</v>
      </c>
      <c r="O19463" s="7" t="str">
        <f>HYPERLINK("#Liste_rouge!A"&amp;_xlfn.XMATCH("LC",Liste_rouge!A:A,2,1),"LC")</f>
        <v>LC</v>
      </c>
      <c r="P19463" s="7" t="str">
        <f>HYPERLINK("#Liste_rouge!A"&amp;_xlfn.XMATCH("LC",Liste_rouge!A:A,2,1),"LC")</f>
        <v>LC</v>
      </c>
      <c r="Q19463" s="7" t="str">
        <f>HYPERLINK("#Liste_rouge!A"&amp;_xlfn.XMATCH("LC",Liste_rouge!A:A,2,1),"LC")</f>
        <v>LC</v>
      </c>
      <c r="R19463" s="7" t="str">
        <f>HYPERLINK("#Liste_rouge!A"&amp;_xlfn.XMATCH("NA",Liste_rouge!A:A,2,1),"NA")</f>
        <v>NA</v>
      </c>
      <c r="S19463" s="7" t="str">
        <f>HYPERLINK("#Liste_rouge!A"&amp;_xlfn.XMATCH("LC",Liste_rouge!A:A,2,1),"LC")</f>
        <v>LC</v>
      </c>
      <c r="T19463" s="7" t="str">
        <f>HYPERLINK("#Liste_rouge!A"&amp;_xlfn.XMATCH("VU",Liste_rouge!A:A,2,1),"VU")</f>
        <v>VU</v>
      </c>
      <c r="U19463" s="4" t="str">
        <f>HYPERLINK("#Critères_liste_rouge!A$1","D1")</f>
        <v>D1</v>
      </c>
      <c r="V19463" s="7" t="str">
        <f>HYPERLINK("#Liste_rouge!A"&amp;_xlfn.XMATCH("CR",Liste_rouge!A:A,2,1),"CR")</f>
        <v>CR</v>
      </c>
      <c r="W19463" s="4" t="str">
        <f>HYPERLINK("#Critères_liste_rouge!A$1","D1")</f>
        <v>D1</v>
      </c>
      <c r="X19463" s="5" t="s">
        <v>374</v>
      </c>
      <c r="AE19463" s="4" t="str">
        <f>HYPERLINK("#SCAP!A"&amp;_xlfn.XMATCH("3",SCAP!A:A,2,1),"3")</f>
        <v>3</v>
      </c>
      <c r="AF19463" s="4" t="str">
        <f>HYPERLINK("#SCAP!A"&amp;_xlfn.XMATCH("2+",SCAP!A:A,2,1),"2+")</f>
        <v>2+</v>
      </c>
      <c r="AG19463" s="4" t="str">
        <f>HYPERLINK("#SCAP!A"&amp;_xlfn.XMATCH("2+",SCAP!A:A,2,1),"2+")</f>
        <v>2+</v>
      </c>
      <c r="AH19463" s="4" t="str">
        <f>HYPERLINK("#Statut_biogéographique!A"&amp;_xlfn.XMATCH("P",Statut_biogéographique!A:A,2,1),"P")</f>
        <v>P</v>
      </c>
      <c r="AM19463" s="4" t="s">
        <v>375</v>
      </c>
      <c r="AN19463" s="4" t="s">
        <v>375</v>
      </c>
      <c r="AO19463" s="4" t="s">
        <v>375</v>
      </c>
      <c r="AP19463" s="4" t="s">
        <v>389</v>
      </c>
      <c r="AR19463" s="4" t="s">
        <v>377</v>
      </c>
    </row>
    <row r="19464" spans="1:44">
      <c r="A19464" s="4" t="s">
        <v>117</v>
      </c>
      <c r="B19464" s="4">
        <v>3345</v>
      </c>
      <c r="D19464" s="5" t="s">
        <v>23881</v>
      </c>
      <c r="E19464" s="6" t="str">
        <f>HYPERLINK("https://inpn.mnhn.fr/espece/cd_nom/3345","Sterna paradisaea Pontoppidan, 1763")</f>
        <v>Sterna paradisaea Pontoppidan, 1763</v>
      </c>
      <c r="F19464" s="5" t="s">
        <v>23882</v>
      </c>
      <c r="H19464" s="4" t="str">
        <f>HYPERLINK("#Réglementation!A"&amp;_xlfn.XMATCH("IBOAE",Réglementation!A:A,2,1),"IBOAE - IBO2")</f>
        <v>IBOAE - IBO2</v>
      </c>
      <c r="I19464" s="4" t="str">
        <f>HYPERLINK("#Réglementation!A"&amp;_xlfn.XMATCH("IBE2",Réglementation!A:A,2,1),"IBE2")</f>
        <v>IBE2</v>
      </c>
      <c r="J19464" s="4" t="str">
        <f>HYPERLINK("#Réglementation!A"&amp;_xlfn.XMATCH("CDO1",Réglementation!A:A,2,1),"CDO1")</f>
        <v>CDO1</v>
      </c>
      <c r="L19464" s="4" t="str">
        <f>HYPERLINK("#Réglementation!A"&amp;_xlfn.XMATCH("NO3",Réglementation!A:A,2,1),"NO3")</f>
        <v>NO3</v>
      </c>
      <c r="O19464" s="7" t="str">
        <f>HYPERLINK("#Liste_rouge!A"&amp;_xlfn.XMATCH("LC",Liste_rouge!A:A,2,1),"LC")</f>
        <v>LC</v>
      </c>
      <c r="P19464" s="7" t="str">
        <f>HYPERLINK("#Liste_rouge!A"&amp;_xlfn.XMATCH("LC",Liste_rouge!A:A,2,1),"LC")</f>
        <v>LC</v>
      </c>
      <c r="Q19464" s="7" t="str">
        <f>HYPERLINK("#Liste_rouge!A"&amp;_xlfn.XMATCH("CR",Liste_rouge!A:A,2,1),"CR")</f>
        <v>CR</v>
      </c>
      <c r="S19464" s="7" t="str">
        <f>HYPERLINK("#Liste_rouge!A"&amp;_xlfn.XMATCH("LC",Liste_rouge!A:A,2,1),"LC")</f>
        <v>LC</v>
      </c>
      <c r="AH19464" s="4" t="str">
        <f>HYPERLINK("#Statut_biogéographique!A"&amp;_xlfn.XMATCH("P",Statut_biogéographique!A:A,2,1),"P")</f>
        <v>P</v>
      </c>
      <c r="AM19464" s="4" t="s">
        <v>375</v>
      </c>
      <c r="AN19464" s="4" t="s">
        <v>375</v>
      </c>
      <c r="AO19464" s="4" t="s">
        <v>375</v>
      </c>
      <c r="AP19464" s="4" t="s">
        <v>389</v>
      </c>
      <c r="AR19464" s="4" t="s">
        <v>377</v>
      </c>
    </row>
    <row r="19465" spans="1:44">
      <c r="A19465" s="4" t="s">
        <v>117</v>
      </c>
      <c r="B19465" s="4">
        <v>3352</v>
      </c>
      <c r="D19465" s="5" t="s">
        <v>23883</v>
      </c>
      <c r="E19465" s="6" t="str">
        <f>HYPERLINK("https://inpn.mnhn.fr/espece/cd_nom/3352","Sternula albifrons (Pallas, 1764)")</f>
        <v>Sternula albifrons (Pallas, 1764)</v>
      </c>
      <c r="F19465" s="5" t="s">
        <v>23884</v>
      </c>
      <c r="H19465" s="4" t="str">
        <f>HYPERLINK("#Réglementation!A"&amp;_xlfn.XMATCH("IBOAE",Réglementation!A:A,2,1),"IBOAE - IBO2")</f>
        <v>IBOAE - IBO2</v>
      </c>
      <c r="I19465" s="4" t="str">
        <f>HYPERLINK("#Réglementation!A"&amp;_xlfn.XMATCH("IBE2",Réglementation!A:A,2,1),"IBE2")</f>
        <v>IBE2</v>
      </c>
      <c r="J19465" s="4" t="str">
        <f>HYPERLINK("#Réglementation!A"&amp;_xlfn.XMATCH("CDO1",Réglementation!A:A,2,1),"CDO1")</f>
        <v>CDO1</v>
      </c>
      <c r="L19465" s="4" t="str">
        <f>HYPERLINK("#Réglementation!A"&amp;_xlfn.XMATCH("NO3",Réglementation!A:A,2,1),"NO3")</f>
        <v>NO3</v>
      </c>
      <c r="O19465" s="7" t="str">
        <f>HYPERLINK("#Liste_rouge!A"&amp;_xlfn.XMATCH("LC",Liste_rouge!A:A,2,1),"LC")</f>
        <v>LC</v>
      </c>
      <c r="P19465" s="7" t="str">
        <f>HYPERLINK("#Liste_rouge!A"&amp;_xlfn.XMATCH("LC",Liste_rouge!A:A,2,1),"LC")</f>
        <v>LC</v>
      </c>
      <c r="Q19465" s="7" t="str">
        <f>HYPERLINK("#Liste_rouge!A"&amp;_xlfn.XMATCH("LC",Liste_rouge!A:A,2,1),"LC")</f>
        <v>LC</v>
      </c>
      <c r="S19465" s="7" t="str">
        <f>HYPERLINK("#Liste_rouge!A"&amp;_xlfn.XMATCH("LC",Liste_rouge!A:A,2,1),"LC")</f>
        <v>LC</v>
      </c>
      <c r="T19465" s="7" t="str">
        <f>HYPERLINK("#Liste_rouge!A"&amp;_xlfn.XMATCH("EN",Liste_rouge!A:A,2,1),"EN")</f>
        <v>EN</v>
      </c>
      <c r="U19465" s="4" t="str">
        <f>HYPERLINK("#Critères_liste_rouge!A$1","D1")</f>
        <v>D1</v>
      </c>
      <c r="X19465" s="5" t="s">
        <v>374</v>
      </c>
      <c r="AE19465" s="4" t="str">
        <f>HYPERLINK("#SCAP!A"&amp;_xlfn.XMATCH("1+",SCAP!A:A,2,1),"1+")</f>
        <v>1+</v>
      </c>
      <c r="AF19465" s="4" t="str">
        <f>HYPERLINK("#SCAP!A"&amp;_xlfn.XMATCH("3",SCAP!A:A,2,1),"3")</f>
        <v>3</v>
      </c>
      <c r="AH19465" s="4" t="str">
        <f>HYPERLINK("#Statut_biogéographique!A"&amp;_xlfn.XMATCH("P",Statut_biogéographique!A:A,2,1),"P")</f>
        <v>P</v>
      </c>
      <c r="AM19465" s="4" t="s">
        <v>375</v>
      </c>
      <c r="AN19465" s="4" t="s">
        <v>375</v>
      </c>
      <c r="AO19465" s="4" t="s">
        <v>375</v>
      </c>
      <c r="AP19465" s="4" t="s">
        <v>376</v>
      </c>
      <c r="AR19465" s="4" t="s">
        <v>377</v>
      </c>
    </row>
    <row r="19466" spans="1:44">
      <c r="A19466" s="4" t="s">
        <v>117</v>
      </c>
      <c r="B19466" s="4">
        <v>3359</v>
      </c>
      <c r="D19466" s="5" t="s">
        <v>23885</v>
      </c>
      <c r="E19466" s="6" t="str">
        <f>HYPERLINK("https://inpn.mnhn.fr/espece/cd_nom/3359","Thalasseus bengalensis (Lesson, 1831)")</f>
        <v>Thalasseus bengalensis (Lesson, 1831)</v>
      </c>
      <c r="F19466" s="5" t="s">
        <v>23886</v>
      </c>
      <c r="H19466" s="4" t="str">
        <f>HYPERLINK("#Réglementation!A"&amp;_xlfn.XMATCH("IBOAE",Réglementation!A:A,2,1),"IBOAE - IBO2")</f>
        <v>IBOAE - IBO2</v>
      </c>
      <c r="I19466" s="4" t="str">
        <f>HYPERLINK("#Réglementation!A"&amp;_xlfn.XMATCH("IBE3",Réglementation!A:A,2,1),"IBE3")</f>
        <v>IBE3</v>
      </c>
      <c r="L19466" s="4" t="str">
        <f>HYPERLINK("#Réglementation!A"&amp;_xlfn.XMATCH("NO4",Réglementation!A:A,2,1),"NO4")</f>
        <v>NO4</v>
      </c>
      <c r="O19466" s="7" t="str">
        <f>HYPERLINK("#Liste_rouge!A"&amp;_xlfn.XMATCH("LC",Liste_rouge!A:A,2,1),"LC")</f>
        <v>LC</v>
      </c>
      <c r="S19466" s="7" t="str">
        <f>HYPERLINK("#Liste_rouge!A"&amp;_xlfn.XMATCH("NA",Liste_rouge!A:A,2,1),"NA")</f>
        <v>NA</v>
      </c>
      <c r="AH19466" s="4" t="str">
        <f>HYPERLINK("#Statut_biogéographique!A"&amp;_xlfn.XMATCH("B",Statut_biogéographique!A:A,2,1),"B")</f>
        <v>B</v>
      </c>
      <c r="AP19466" s="4" t="s">
        <v>376</v>
      </c>
      <c r="AR19466" s="4" t="s">
        <v>377</v>
      </c>
    </row>
    <row r="19467" spans="1:44">
      <c r="A19467" s="4" t="s">
        <v>117</v>
      </c>
      <c r="B19467" s="4">
        <v>3362</v>
      </c>
      <c r="D19467" s="5" t="s">
        <v>23887</v>
      </c>
      <c r="E19467" s="6" t="str">
        <f>HYPERLINK("https://inpn.mnhn.fr/espece/cd_nom/3362","Thalasseus sandvicensis (Latham, 1787)")</f>
        <v>Thalasseus sandvicensis (Latham, 1787)</v>
      </c>
      <c r="F19467" s="5" t="s">
        <v>23888</v>
      </c>
      <c r="H19467" s="4" t="str">
        <f>HYPERLINK("#Réglementation!A"&amp;_xlfn.XMATCH("IBOAE",Réglementation!A:A,2,1),"IBOAE - IBO2")</f>
        <v>IBOAE - IBO2</v>
      </c>
      <c r="I19467" s="4" t="str">
        <f>HYPERLINK("#Réglementation!A"&amp;_xlfn.XMATCH("IBE2",Réglementation!A:A,2,1),"IBE2")</f>
        <v>IBE2</v>
      </c>
      <c r="J19467" s="4" t="str">
        <f>HYPERLINK("#Réglementation!A"&amp;_xlfn.XMATCH("CDO1",Réglementation!A:A,2,1),"CDO1")</f>
        <v>CDO1</v>
      </c>
      <c r="L19467" s="4" t="str">
        <f>HYPERLINK("#Réglementation!A"&amp;_xlfn.XMATCH("NO3",Réglementation!A:A,2,1),"NO3")</f>
        <v>NO3</v>
      </c>
      <c r="O19467" s="7" t="str">
        <f>HYPERLINK("#Liste_rouge!A"&amp;_xlfn.XMATCH("LC",Liste_rouge!A:A,2,1),"LC")</f>
        <v>LC</v>
      </c>
      <c r="P19467" s="7" t="str">
        <f>HYPERLINK("#Liste_rouge!A"&amp;_xlfn.XMATCH("LC",Liste_rouge!A:A,2,1),"LC")</f>
        <v>LC</v>
      </c>
      <c r="Q19467" s="7" t="str">
        <f>HYPERLINK("#Liste_rouge!A"&amp;_xlfn.XMATCH("NT",Liste_rouge!A:A,2,1),"NT")</f>
        <v>NT</v>
      </c>
      <c r="R19467" s="7" t="str">
        <f>HYPERLINK("#Liste_rouge!A"&amp;_xlfn.XMATCH("NA",Liste_rouge!A:A,2,1),"NA")</f>
        <v>NA</v>
      </c>
      <c r="S19467" s="7" t="str">
        <f>HYPERLINK("#Liste_rouge!A"&amp;_xlfn.XMATCH("LC",Liste_rouge!A:A,2,1),"LC")</f>
        <v>LC</v>
      </c>
      <c r="AE19467" s="4" t="str">
        <f>HYPERLINK("#SCAP!A"&amp;_xlfn.XMATCH("3",SCAP!A:A,2,1),"3")</f>
        <v>3</v>
      </c>
      <c r="AH19467" s="4" t="str">
        <f>HYPERLINK("#Statut_biogéographique!A"&amp;_xlfn.XMATCH("P",Statut_biogéographique!A:A,2,1),"P")</f>
        <v>P</v>
      </c>
      <c r="AM19467" s="4" t="s">
        <v>375</v>
      </c>
      <c r="AN19467" s="4" t="s">
        <v>375</v>
      </c>
      <c r="AO19467" s="4" t="s">
        <v>375</v>
      </c>
      <c r="AP19467" s="4" t="s">
        <v>376</v>
      </c>
      <c r="AR19467" s="4" t="s">
        <v>377</v>
      </c>
    </row>
    <row r="19468" spans="1:44">
      <c r="A19468" s="4" t="s">
        <v>117</v>
      </c>
      <c r="B19468" s="4">
        <v>3364</v>
      </c>
      <c r="D19468" s="5">
        <v>3364</v>
      </c>
      <c r="E19468" s="6" t="str">
        <f>HYPERLINK("https://inpn.mnhn.fr/espece/cd_nom/3364","Sterna dougallii Montagu, 1813")</f>
        <v>Sterna dougallii Montagu, 1813</v>
      </c>
      <c r="F19468" s="5" t="s">
        <v>23889</v>
      </c>
      <c r="H19468" s="4" t="str">
        <f>HYPERLINK("#Réglementation!A"&amp;_xlfn.XMATCH("IBOAE",Réglementation!A:A,2,1),"IBOAE - IBO2")</f>
        <v>IBOAE - IBO2</v>
      </c>
      <c r="I19468" s="4" t="str">
        <f>HYPERLINK("#Réglementation!A"&amp;_xlfn.XMATCH("IBE2",Réglementation!A:A,2,1),"IBE2")</f>
        <v>IBE2</v>
      </c>
      <c r="J19468" s="4" t="str">
        <f>HYPERLINK("#Réglementation!A"&amp;_xlfn.XMATCH("CDO1",Réglementation!A:A,2,1),"CDO1")</f>
        <v>CDO1</v>
      </c>
      <c r="L19468" s="4" t="str">
        <f>HYPERLINK("#Réglementation!A"&amp;_xlfn.XMATCH("NO3",Réglementation!A:A,2,1),"NO3 - NM")</f>
        <v>NO3 - NM</v>
      </c>
      <c r="O19468" s="7" t="str">
        <f>HYPERLINK("#Liste_rouge!A"&amp;_xlfn.XMATCH("LC",Liste_rouge!A:A,2,1),"LC")</f>
        <v>LC</v>
      </c>
      <c r="P19468" s="7" t="str">
        <f>HYPERLINK("#Liste_rouge!A"&amp;_xlfn.XMATCH("LC",Liste_rouge!A:A,2,1),"LC")</f>
        <v>LC</v>
      </c>
      <c r="Q19468" s="7" t="str">
        <f>HYPERLINK("#Liste_rouge!A"&amp;_xlfn.XMATCH("CR",Liste_rouge!A:A,2,1),"CR")</f>
        <v>CR</v>
      </c>
      <c r="S19468" s="7" t="str">
        <f>HYPERLINK("#Liste_rouge!A"&amp;_xlfn.XMATCH("NT",Liste_rouge!A:A,2,1),"NT")</f>
        <v>NT</v>
      </c>
      <c r="AE19468" s="4" t="str">
        <f>HYPERLINK("#SCAP!A"&amp;_xlfn.XMATCH("3",SCAP!A:A,2,1),"3")</f>
        <v>3</v>
      </c>
      <c r="AH19468" s="4" t="str">
        <f>HYPERLINK("#Statut_biogéographique!A"&amp;_xlfn.XMATCH("P",Statut_biogéographique!A:A,2,1),"P")</f>
        <v>P</v>
      </c>
      <c r="AP19468" s="4" t="s">
        <v>376</v>
      </c>
      <c r="AQ19468" s="4" t="s">
        <v>377</v>
      </c>
      <c r="AR19468" s="4" t="s">
        <v>377</v>
      </c>
    </row>
    <row r="19469" spans="1:44">
      <c r="A19469" s="4" t="s">
        <v>117</v>
      </c>
      <c r="B19469" s="4">
        <v>3371</v>
      </c>
      <c r="D19469" s="5" t="s">
        <v>23890</v>
      </c>
      <c r="E19469" s="6" t="str">
        <f>HYPERLINK("https://inpn.mnhn.fr/espece/cd_nom/3371","Chlidonias niger (Linnaeus, 1758)")</f>
        <v>Chlidonias niger (Linnaeus, 1758)</v>
      </c>
      <c r="F19469" s="5" t="s">
        <v>23891</v>
      </c>
      <c r="H19469" s="4" t="str">
        <f>HYPERLINK("#Réglementation!A"&amp;_xlfn.XMATCH("IBOAE",Réglementation!A:A,2,1),"IBOAE - IBO2")</f>
        <v>IBOAE - IBO2</v>
      </c>
      <c r="I19469" s="4" t="str">
        <f>HYPERLINK("#Réglementation!A"&amp;_xlfn.XMATCH("IBE2",Réglementation!A:A,2,1),"IBE2")</f>
        <v>IBE2</v>
      </c>
      <c r="J19469" s="4" t="str">
        <f>HYPERLINK("#Réglementation!A"&amp;_xlfn.XMATCH("CDO1",Réglementation!A:A,2,1),"CDO1")</f>
        <v>CDO1</v>
      </c>
      <c r="L19469" s="4" t="str">
        <f>HYPERLINK("#Réglementation!A"&amp;_xlfn.XMATCH("NO3",Réglementation!A:A,2,1),"NO3")</f>
        <v>NO3</v>
      </c>
      <c r="O19469" s="7" t="str">
        <f>HYPERLINK("#Liste_rouge!A"&amp;_xlfn.XMATCH("LC",Liste_rouge!A:A,2,1),"LC")</f>
        <v>LC</v>
      </c>
      <c r="P19469" s="7" t="str">
        <f>HYPERLINK("#Liste_rouge!A"&amp;_xlfn.XMATCH("LC",Liste_rouge!A:A,2,1),"LC")</f>
        <v>LC</v>
      </c>
      <c r="Q19469" s="7" t="str">
        <f>HYPERLINK("#Liste_rouge!A"&amp;_xlfn.XMATCH("EN",Liste_rouge!A:A,2,1),"EN")</f>
        <v>EN</v>
      </c>
      <c r="S19469" s="7" t="str">
        <f>HYPERLINK("#Liste_rouge!A"&amp;_xlfn.XMATCH("DD",Liste_rouge!A:A,2,1),"DD")</f>
        <v>DD</v>
      </c>
      <c r="T19469" s="7" t="str">
        <f>HYPERLINK("#Liste_rouge!A"&amp;_xlfn.XMATCH("VU",Liste_rouge!A:A,2,1),"VU")</f>
        <v>VU</v>
      </c>
      <c r="AE19469" s="4" t="str">
        <f>HYPERLINK("#SCAP!A"&amp;_xlfn.XMATCH("3",SCAP!A:A,2,1),"3")</f>
        <v>3</v>
      </c>
      <c r="AH19469" s="4" t="str">
        <f>HYPERLINK("#Statut_biogéographique!A"&amp;_xlfn.XMATCH("P",Statut_biogéographique!A:A,2,1),"P")</f>
        <v>P</v>
      </c>
      <c r="AM19469" s="4" t="s">
        <v>375</v>
      </c>
      <c r="AN19469" s="4" t="s">
        <v>375</v>
      </c>
      <c r="AO19469" s="4" t="s">
        <v>375</v>
      </c>
      <c r="AP19469" s="4" t="s">
        <v>389</v>
      </c>
      <c r="AR19469" s="4" t="s">
        <v>377</v>
      </c>
    </row>
    <row r="19470" spans="1:44">
      <c r="A19470" s="4" t="s">
        <v>117</v>
      </c>
      <c r="B19470" s="4">
        <v>3374</v>
      </c>
      <c r="D19470" s="5" t="s">
        <v>23892</v>
      </c>
      <c r="E19470" s="6" t="str">
        <f>HYPERLINK("https://inpn.mnhn.fr/espece/cd_nom/3374","Chlidonias leucopterus (Temminck, 1815)")</f>
        <v>Chlidonias leucopterus (Temminck, 1815)</v>
      </c>
      <c r="F19470" s="5" t="s">
        <v>23893</v>
      </c>
      <c r="H19470" s="4" t="str">
        <f>HYPERLINK("#Réglementation!A"&amp;_xlfn.XMATCH("IBOAE",Réglementation!A:A,2,1),"IBOAE - IBO2")</f>
        <v>IBOAE - IBO2</v>
      </c>
      <c r="I19470" s="4" t="str">
        <f>HYPERLINK("#Réglementation!A"&amp;_xlfn.XMATCH("IBE2",Réglementation!A:A,2,1),"IBE2")</f>
        <v>IBE2</v>
      </c>
      <c r="L19470" s="4" t="str">
        <f>HYPERLINK("#Réglementation!A"&amp;_xlfn.XMATCH("NO4",Réglementation!A:A,2,1),"NO4")</f>
        <v>NO4</v>
      </c>
      <c r="O19470" s="7" t="str">
        <f>HYPERLINK("#Liste_rouge!A"&amp;_xlfn.XMATCH("LC",Liste_rouge!A:A,2,1),"LC")</f>
        <v>LC</v>
      </c>
      <c r="P19470" s="7" t="str">
        <f>HYPERLINK("#Liste_rouge!A"&amp;_xlfn.XMATCH("LC",Liste_rouge!A:A,2,1),"LC")</f>
        <v>LC</v>
      </c>
      <c r="Q19470" s="7" t="str">
        <f>HYPERLINK("#Liste_rouge!A"&amp;_xlfn.XMATCH("NA",Liste_rouge!A:A,2,1),"NA")</f>
        <v>NA</v>
      </c>
      <c r="S19470" s="7" t="str">
        <f>HYPERLINK("#Liste_rouge!A"&amp;_xlfn.XMATCH("NA",Liste_rouge!A:A,2,1),"NA")</f>
        <v>NA</v>
      </c>
      <c r="AH19470" s="4" t="str">
        <f>HYPERLINK("#Statut_biogéographique!A"&amp;_xlfn.XMATCH("P",Statut_biogéographique!A:A,2,1),"P")</f>
        <v>P</v>
      </c>
      <c r="AM19470" s="4" t="s">
        <v>375</v>
      </c>
      <c r="AN19470" s="4" t="s">
        <v>375</v>
      </c>
      <c r="AO19470" s="4" t="s">
        <v>375</v>
      </c>
      <c r="AP19470" s="4" t="s">
        <v>376</v>
      </c>
      <c r="AR19470" s="4" t="s">
        <v>377</v>
      </c>
    </row>
    <row r="19471" spans="1:44">
      <c r="A19471" s="4" t="s">
        <v>117</v>
      </c>
      <c r="B19471" s="4">
        <v>3402</v>
      </c>
      <c r="D19471" s="5" t="s">
        <v>23894</v>
      </c>
      <c r="E19471" s="6" t="str">
        <f>HYPERLINK("https://inpn.mnhn.fr/espece/cd_nom/3402","Fratercula arctica (Linnaeus, 1758)")</f>
        <v>Fratercula arctica (Linnaeus, 1758)</v>
      </c>
      <c r="F19471" s="5" t="s">
        <v>23895</v>
      </c>
      <c r="I19471" s="4" t="str">
        <f>HYPERLINK("#Réglementation!A"&amp;_xlfn.XMATCH("IBE3",Réglementation!A:A,2,1),"IBE3")</f>
        <v>IBE3</v>
      </c>
      <c r="L19471" s="4" t="str">
        <f>HYPERLINK("#Réglementation!A"&amp;_xlfn.XMATCH("NO3",Réglementation!A:A,2,1),"NO3 - NM")</f>
        <v>NO3 - NM</v>
      </c>
      <c r="O19471" s="7" t="str">
        <f>HYPERLINK("#Liste_rouge!A"&amp;_xlfn.XMATCH("VU",Liste_rouge!A:A,2,1),"VU")</f>
        <v>VU</v>
      </c>
      <c r="P19471" s="7" t="str">
        <f>HYPERLINK("#Liste_rouge!A"&amp;_xlfn.XMATCH("EN",Liste_rouge!A:A,2,1),"EN")</f>
        <v>EN</v>
      </c>
      <c r="Q19471" s="7" t="str">
        <f>HYPERLINK("#Liste_rouge!A"&amp;_xlfn.XMATCH("CR",Liste_rouge!A:A,2,1),"CR")</f>
        <v>CR</v>
      </c>
      <c r="R19471" s="7" t="str">
        <f>HYPERLINK("#Liste_rouge!A"&amp;_xlfn.XMATCH("NA",Liste_rouge!A:A,2,1),"NA")</f>
        <v>NA</v>
      </c>
      <c r="AE19471" s="4" t="str">
        <f>HYPERLINK("#SCAP!A"&amp;_xlfn.XMATCH("2+",SCAP!A:A,2,1),"2+")</f>
        <v>2+</v>
      </c>
      <c r="AH19471" s="4" t="str">
        <f>HYPERLINK("#Statut_biogéographique!A"&amp;_xlfn.XMATCH("P",Statut_biogéographique!A:A,2,1),"P")</f>
        <v>P</v>
      </c>
      <c r="AP19471" s="4" t="s">
        <v>376</v>
      </c>
      <c r="AQ19471" s="4" t="s">
        <v>377</v>
      </c>
      <c r="AR19471" s="4" t="s">
        <v>377</v>
      </c>
    </row>
    <row r="19472" spans="1:44">
      <c r="A19472" s="4" t="s">
        <v>117</v>
      </c>
      <c r="B19472" s="4">
        <v>3420</v>
      </c>
      <c r="D19472" s="5">
        <v>3420</v>
      </c>
      <c r="E19472" s="6" t="str">
        <f>HYPERLINK("https://inpn.mnhn.fr/espece/cd_nom/3420","Columba livia Gmelin, 1789")</f>
        <v>Columba livia Gmelin, 1789</v>
      </c>
      <c r="F19472" s="5" t="s">
        <v>23896</v>
      </c>
      <c r="G19472" s="4" t="str">
        <f>HYPERLINK("[#Réglementation!A"&amp;_xlfn.XMATCH("CCA",Réglementation!A:A,2,1),"CCA")</f>
        <v>CCA</v>
      </c>
      <c r="I19472" s="4" t="str">
        <f>HYPERLINK("#Réglementation!A"&amp;_xlfn.XMATCH("IBE3",Réglementation!A:A,2,1),"IBE3")</f>
        <v>IBE3</v>
      </c>
      <c r="J19472" s="4" t="str">
        <f>HYPERLINK("#Réglementation!A"&amp;_xlfn.XMATCH("CDO21",Réglementation!A:A,2,1),"CDO21")</f>
        <v>CDO21</v>
      </c>
      <c r="L19472" s="4" t="str">
        <f>HYPERLINK("#Réglementation!A"&amp;_xlfn.XMATCH("OC3",Réglementation!A:A,2,1),"OC3")</f>
        <v>OC3</v>
      </c>
      <c r="O19472" s="7" t="str">
        <f>HYPERLINK("#Liste_rouge!A"&amp;_xlfn.XMATCH("LC",Liste_rouge!A:A,2,1),"LC")</f>
        <v>LC</v>
      </c>
      <c r="P19472" s="7" t="str">
        <f>HYPERLINK("#Liste_rouge!A"&amp;_xlfn.XMATCH("LC",Liste_rouge!A:A,2,1),"LC")</f>
        <v>LC</v>
      </c>
      <c r="Q19472" s="7" t="str">
        <f>HYPERLINK("#Liste_rouge!A"&amp;_xlfn.XMATCH("DD",Liste_rouge!A:A,2,1),"DD")</f>
        <v>DD</v>
      </c>
      <c r="AE19472" s="4" t="str">
        <f>HYPERLINK("#SCAP!A"&amp;_xlfn.XMATCH("2+",SCAP!A:A,2,1),"2+")</f>
        <v>2+</v>
      </c>
      <c r="AH19472" s="4" t="str">
        <f>HYPERLINK("#Statut_biogéographique!A"&amp;_xlfn.XMATCH("P",Statut_biogéographique!A:A,2,1),"P")</f>
        <v>P</v>
      </c>
      <c r="AK19472" s="4" t="str">
        <f>HYPERLINK("#Réglementation!A"&amp;_xlfn.XMATCH("Ngib_ch_1",Réglementation!A:A,2,1),"Ngib_ch_1")</f>
        <v>Ngib_ch_1</v>
      </c>
      <c r="AM19472" s="4" t="s">
        <v>375</v>
      </c>
      <c r="AN19472" s="4" t="s">
        <v>375</v>
      </c>
      <c r="AO19472" s="4" t="s">
        <v>375</v>
      </c>
      <c r="AP19472" s="4" t="s">
        <v>389</v>
      </c>
      <c r="AR19472" s="4" t="s">
        <v>377</v>
      </c>
    </row>
    <row r="19473" spans="1:44" ht="60">
      <c r="A19473" s="4" t="s">
        <v>117</v>
      </c>
      <c r="B19473" s="4">
        <v>3422</v>
      </c>
      <c r="D19473" s="5">
        <v>3422</v>
      </c>
      <c r="E19473" s="6" t="str">
        <f>HYPERLINK("https://inpn.mnhn.fr/espece/cd_nom/3422","Columba oenas Linnaeus, 1758")</f>
        <v>Columba oenas Linnaeus, 1758</v>
      </c>
      <c r="F19473" s="5" t="s">
        <v>23897</v>
      </c>
      <c r="I19473" s="4" t="str">
        <f>HYPERLINK("#Réglementation!A"&amp;_xlfn.XMATCH("IBE3",Réglementation!A:A,2,1),"IBE3")</f>
        <v>IBE3</v>
      </c>
      <c r="J19473" s="4" t="str">
        <f>HYPERLINK("#Réglementation!A"&amp;_xlfn.XMATCH("CDO22",Réglementation!A:A,2,1),"CDO22")</f>
        <v>CDO22</v>
      </c>
      <c r="L19473" s="4" t="str">
        <f>HYPERLINK("#Réglementation!A"&amp;_xlfn.XMATCH("OC3",Réglementation!A:A,2,1),"OC3")</f>
        <v>OC3</v>
      </c>
      <c r="O19473" s="7" t="str">
        <f>HYPERLINK("#Liste_rouge!A"&amp;_xlfn.XMATCH("LC",Liste_rouge!A:A,2,1),"LC")</f>
        <v>LC</v>
      </c>
      <c r="P19473" s="7" t="str">
        <f>HYPERLINK("#Liste_rouge!A"&amp;_xlfn.XMATCH("LC",Liste_rouge!A:A,2,1),"LC")</f>
        <v>LC</v>
      </c>
      <c r="Q19473" s="7" t="str">
        <f>HYPERLINK("#Liste_rouge!A"&amp;_xlfn.XMATCH("LC",Liste_rouge!A:A,2,1),"LC")</f>
        <v>LC</v>
      </c>
      <c r="R19473" s="7" t="str">
        <f>HYPERLINK("#Liste_rouge!A"&amp;_xlfn.XMATCH("NA",Liste_rouge!A:A,2,1),"NA")</f>
        <v>NA</v>
      </c>
      <c r="S19473" s="7" t="str">
        <f>HYPERLINK("#Liste_rouge!A"&amp;_xlfn.XMATCH("NA",Liste_rouge!A:A,2,1),"NA")</f>
        <v>NA</v>
      </c>
      <c r="T19473" s="7" t="str">
        <f>HYPERLINK("#Liste_rouge!A"&amp;_xlfn.XMATCH("DD",Liste_rouge!A:A,2,1),"DD")</f>
        <v>DD</v>
      </c>
      <c r="V19473" s="7" t="str">
        <f>HYPERLINK("#Liste_rouge!A"&amp;_xlfn.XMATCH("DD",Liste_rouge!A:A,2,1),"DD")</f>
        <v>DD</v>
      </c>
      <c r="X19473" s="5" t="s">
        <v>23439</v>
      </c>
      <c r="Y19473" s="5" t="s">
        <v>23481</v>
      </c>
      <c r="AH19473" s="4" t="str">
        <f>HYPERLINK("#Statut_biogéographique!A"&amp;_xlfn.XMATCH("P",Statut_biogéographique!A:A,2,1),"P")</f>
        <v>P</v>
      </c>
      <c r="AK19473" s="4" t="str">
        <f>HYPERLINK("#Réglementation!A"&amp;_xlfn.XMATCH("Ngib_ch_1",Réglementation!A:A,2,1),"Ngib_ch_1")</f>
        <v>Ngib_ch_1</v>
      </c>
      <c r="AM19473" s="4" t="s">
        <v>375</v>
      </c>
      <c r="AN19473" s="4" t="s">
        <v>375</v>
      </c>
      <c r="AO19473" s="4" t="s">
        <v>375</v>
      </c>
      <c r="AP19473" s="4" t="s">
        <v>376</v>
      </c>
      <c r="AR19473" s="4" t="s">
        <v>377</v>
      </c>
    </row>
    <row r="19474" spans="1:44">
      <c r="A19474" s="4" t="s">
        <v>117</v>
      </c>
      <c r="B19474" s="4">
        <v>3424</v>
      </c>
      <c r="D19474" s="5">
        <v>3424</v>
      </c>
      <c r="E19474" s="6" t="str">
        <f>HYPERLINK("https://inpn.mnhn.fr/espece/cd_nom/3424","Columba palumbus Linnaeus, 1758")</f>
        <v>Columba palumbus Linnaeus, 1758</v>
      </c>
      <c r="F19474" s="5" t="s">
        <v>23898</v>
      </c>
      <c r="J19474" s="4" t="str">
        <f>HYPERLINK("#Réglementation!A"&amp;_xlfn.XMATCH("CDO21",Réglementation!A:A,2,1),"CDO21 - CDO31")</f>
        <v>CDO21 - CDO31</v>
      </c>
      <c r="O19474" s="7" t="str">
        <f>HYPERLINK("#Liste_rouge!A"&amp;_xlfn.XMATCH("LC",Liste_rouge!A:A,2,1),"LC")</f>
        <v>LC</v>
      </c>
      <c r="P19474" s="7" t="str">
        <f>HYPERLINK("#Liste_rouge!A"&amp;_xlfn.XMATCH("LC",Liste_rouge!A:A,2,1),"LC")</f>
        <v>LC</v>
      </c>
      <c r="Q19474" s="7" t="str">
        <f>HYPERLINK("#Liste_rouge!A"&amp;_xlfn.XMATCH("LC",Liste_rouge!A:A,2,1),"LC")</f>
        <v>LC</v>
      </c>
      <c r="R19474" s="7" t="str">
        <f>HYPERLINK("#Liste_rouge!A"&amp;_xlfn.XMATCH("LC",Liste_rouge!A:A,2,1),"LC")</f>
        <v>LC</v>
      </c>
      <c r="S19474" s="7" t="str">
        <f>HYPERLINK("#Liste_rouge!A"&amp;_xlfn.XMATCH("NA",Liste_rouge!A:A,2,1),"NA")</f>
        <v>NA</v>
      </c>
      <c r="T19474" s="7" t="str">
        <f>HYPERLINK("#Liste_rouge!A"&amp;_xlfn.XMATCH("LC",Liste_rouge!A:A,2,1),"LC")</f>
        <v>LC</v>
      </c>
      <c r="V19474" s="7" t="str">
        <f>HYPERLINK("#Liste_rouge!A"&amp;_xlfn.XMATCH("LC",Liste_rouge!A:A,2,1),"LC")</f>
        <v>LC</v>
      </c>
      <c r="AH19474" s="4" t="str">
        <f>HYPERLINK("#Statut_biogéographique!A"&amp;_xlfn.XMATCH("P",Statut_biogéographique!A:A,2,1),"P")</f>
        <v>P</v>
      </c>
      <c r="AK19474" s="4" t="str">
        <f>HYPERLINK("#Réglementation!A"&amp;_xlfn.XMATCH("Ngib_ch_1",Réglementation!A:A,2,1),"Ngib_ch_1")</f>
        <v>Ngib_ch_1</v>
      </c>
      <c r="AM19474" s="4" t="s">
        <v>375</v>
      </c>
      <c r="AN19474" s="4" t="s">
        <v>375</v>
      </c>
      <c r="AO19474" s="4" t="s">
        <v>375</v>
      </c>
      <c r="AP19474" s="4" t="s">
        <v>376</v>
      </c>
      <c r="AR19474" s="4" t="s">
        <v>377</v>
      </c>
    </row>
    <row r="19475" spans="1:44">
      <c r="A19475" s="4" t="s">
        <v>117</v>
      </c>
      <c r="B19475" s="4">
        <v>3429</v>
      </c>
      <c r="D19475" s="5" t="s">
        <v>23899</v>
      </c>
      <c r="E19475" s="6" t="str">
        <f>HYPERLINK("https://inpn.mnhn.fr/espece/cd_nom/3429","Streptopelia decaocto (Frivaldszky, 1838)")</f>
        <v>Streptopelia decaocto (Frivaldszky, 1838)</v>
      </c>
      <c r="F19475" s="5" t="s">
        <v>23900</v>
      </c>
      <c r="I19475" s="4" t="str">
        <f>HYPERLINK("#Réglementation!A"&amp;_xlfn.XMATCH("IBE3",Réglementation!A:A,2,1),"IBE3")</f>
        <v>IBE3</v>
      </c>
      <c r="J19475" s="4" t="str">
        <f>HYPERLINK("#Réglementation!A"&amp;_xlfn.XMATCH("CDO22",Réglementation!A:A,2,1),"CDO22")</f>
        <v>CDO22</v>
      </c>
      <c r="L19475" s="4" t="str">
        <f>HYPERLINK("#Réglementation!A"&amp;_xlfn.XMATCH("OC3",Réglementation!A:A,2,1),"OC3")</f>
        <v>OC3</v>
      </c>
      <c r="O19475" s="7" t="str">
        <f>HYPERLINK("#Liste_rouge!A"&amp;_xlfn.XMATCH("LC",Liste_rouge!A:A,2,1),"LC")</f>
        <v>LC</v>
      </c>
      <c r="P19475" s="7" t="str">
        <f>HYPERLINK("#Liste_rouge!A"&amp;_xlfn.XMATCH("LC",Liste_rouge!A:A,2,1),"LC")</f>
        <v>LC</v>
      </c>
      <c r="Q19475" s="7" t="str">
        <f>HYPERLINK("#Liste_rouge!A"&amp;_xlfn.XMATCH("LC",Liste_rouge!A:A,2,1),"LC")</f>
        <v>LC</v>
      </c>
      <c r="S19475" s="7" t="str">
        <f>HYPERLINK("#Liste_rouge!A"&amp;_xlfn.XMATCH("NA",Liste_rouge!A:A,2,1),"NA")</f>
        <v>NA</v>
      </c>
      <c r="T19475" s="7" t="str">
        <f>HYPERLINK("#Liste_rouge!A"&amp;_xlfn.XMATCH("LC",Liste_rouge!A:A,2,1),"LC")</f>
        <v>LC</v>
      </c>
      <c r="V19475" s="7" t="str">
        <f>HYPERLINK("#Liste_rouge!A"&amp;_xlfn.XMATCH("LC",Liste_rouge!A:A,2,1),"LC")</f>
        <v>LC</v>
      </c>
      <c r="AH19475" s="4" t="str">
        <f>HYPERLINK("#Statut_biogéographique!A"&amp;_xlfn.XMATCH("P",Statut_biogéographique!A:A,2,1),"P")</f>
        <v>P</v>
      </c>
      <c r="AK19475" s="4" t="str">
        <f>HYPERLINK("#Réglementation!A"&amp;_xlfn.XMATCH("Ngib_ch_1",Réglementation!A:A,2,1),"Ngib_ch_1")</f>
        <v>Ngib_ch_1</v>
      </c>
      <c r="AM19475" s="4" t="s">
        <v>375</v>
      </c>
      <c r="AN19475" s="4" t="s">
        <v>375</v>
      </c>
      <c r="AO19475" s="4" t="s">
        <v>375</v>
      </c>
      <c r="AP19475" s="4" t="s">
        <v>376</v>
      </c>
      <c r="AR19475" s="4" t="s">
        <v>377</v>
      </c>
    </row>
    <row r="19476" spans="1:44">
      <c r="A19476" s="4" t="s">
        <v>117</v>
      </c>
      <c r="B19476" s="4">
        <v>3432</v>
      </c>
      <c r="D19476" s="5" t="s">
        <v>23901</v>
      </c>
      <c r="E19476" s="6" t="str">
        <f>HYPERLINK("https://inpn.mnhn.fr/espece/cd_nom/3432","Streptopelia roseogrisea (Sundevall, 1857)")</f>
        <v>Streptopelia roseogrisea (Sundevall, 1857)</v>
      </c>
      <c r="F19476" s="5" t="s">
        <v>23902</v>
      </c>
      <c r="O19476" s="7" t="str">
        <f>HYPERLINK("#Liste_rouge!A"&amp;_xlfn.XMATCH("LC",Liste_rouge!A:A,2,1),"LC")</f>
        <v>LC</v>
      </c>
      <c r="AH19476" s="4" t="str">
        <f>HYPERLINK("#Statut_biogéographique!A"&amp;_xlfn.XMATCH("M",Statut_biogéographique!A:A,2,1),"M")</f>
        <v>M</v>
      </c>
      <c r="AP19476" s="4" t="s">
        <v>376</v>
      </c>
      <c r="AR19476" s="4" t="s">
        <v>377</v>
      </c>
    </row>
    <row r="19477" spans="1:44" ht="60">
      <c r="A19477" s="4" t="s">
        <v>117</v>
      </c>
      <c r="B19477" s="4">
        <v>3439</v>
      </c>
      <c r="D19477" s="5" t="s">
        <v>23903</v>
      </c>
      <c r="E19477" s="6" t="str">
        <f>HYPERLINK("https://inpn.mnhn.fr/espece/cd_nom/3439","Streptopelia turtur (Linnaeus, 1758)")</f>
        <v>Streptopelia turtur (Linnaeus, 1758)</v>
      </c>
      <c r="F19477" s="5" t="s">
        <v>23904</v>
      </c>
      <c r="G19477" s="4" t="str">
        <f>HYPERLINK("[#Réglementation!A"&amp;_xlfn.XMATCH("CCA",Réglementation!A:A,2,1),"CCA")</f>
        <v>CCA</v>
      </c>
      <c r="H19477" s="4" t="str">
        <f>HYPERLINK("#Réglementation!A"&amp;_xlfn.XMATCH("IBO2",Réglementation!A:A,2,1),"IBO2")</f>
        <v>IBO2</v>
      </c>
      <c r="I19477" s="4" t="str">
        <f>HYPERLINK("#Réglementation!A"&amp;_xlfn.XMATCH("IBE3",Réglementation!A:A,2,1),"IBE3")</f>
        <v>IBE3</v>
      </c>
      <c r="J19477" s="4" t="str">
        <f>HYPERLINK("#Réglementation!A"&amp;_xlfn.XMATCH("CDO22",Réglementation!A:A,2,1),"CDO22")</f>
        <v>CDO22</v>
      </c>
      <c r="L19477" s="4" t="str">
        <f>HYPERLINK("#Réglementation!A"&amp;_xlfn.XMATCH("OC3",Réglementation!A:A,2,1),"OC3")</f>
        <v>OC3</v>
      </c>
      <c r="O19477" s="7" t="str">
        <f>HYPERLINK("#Liste_rouge!A"&amp;_xlfn.XMATCH("VU",Liste_rouge!A:A,2,1),"VU")</f>
        <v>VU</v>
      </c>
      <c r="P19477" s="7" t="str">
        <f>HYPERLINK("#Liste_rouge!A"&amp;_xlfn.XMATCH("VU",Liste_rouge!A:A,2,1),"VU")</f>
        <v>VU</v>
      </c>
      <c r="Q19477" s="7" t="str">
        <f>HYPERLINK("#Liste_rouge!A"&amp;_xlfn.XMATCH("VU",Liste_rouge!A:A,2,1),"VU")</f>
        <v>VU</v>
      </c>
      <c r="S19477" s="7" t="str">
        <f>HYPERLINK("#Liste_rouge!A"&amp;_xlfn.XMATCH("NA",Liste_rouge!A:A,2,1),"NA")</f>
        <v>NA</v>
      </c>
      <c r="T19477" s="7" t="str">
        <f>HYPERLINK("#Liste_rouge!A"&amp;_xlfn.XMATCH("VU",Liste_rouge!A:A,2,1),"VU")</f>
        <v>VU</v>
      </c>
      <c r="U19477" s="4" t="str">
        <f>HYPERLINK("#Critères_liste_rouge!A$1","A2b")</f>
        <v>A2b</v>
      </c>
      <c r="V19477" s="7" t="str">
        <f>HYPERLINK("#Liste_rouge!A"&amp;_xlfn.XMATCH("VU",Liste_rouge!A:A,2,1),"VU")</f>
        <v>VU</v>
      </c>
      <c r="W19477" s="4" t="str">
        <f>HYPERLINK("#Critères_liste_rouge!A$1","A2b")</f>
        <v>A2b</v>
      </c>
      <c r="X19477" s="5" t="s">
        <v>23439</v>
      </c>
      <c r="Y19477" s="5" t="s">
        <v>23481</v>
      </c>
      <c r="AH19477" s="4" t="str">
        <f>HYPERLINK("#Statut_biogéographique!A"&amp;_xlfn.XMATCH("P",Statut_biogéographique!A:A,2,1),"P")</f>
        <v>P</v>
      </c>
      <c r="AK19477" s="4" t="str">
        <f>HYPERLINK("#Réglementation!A"&amp;_xlfn.XMATCH("Ngib_ch_1",Réglementation!A:A,2,1),"Ngib_ch_1")</f>
        <v>Ngib_ch_1</v>
      </c>
      <c r="AM19477" s="4" t="s">
        <v>375</v>
      </c>
      <c r="AN19477" s="4" t="s">
        <v>375</v>
      </c>
      <c r="AO19477" s="4" t="s">
        <v>375</v>
      </c>
      <c r="AP19477" s="4" t="s">
        <v>376</v>
      </c>
      <c r="AR19477" s="4" t="s">
        <v>377</v>
      </c>
    </row>
    <row r="19478" spans="1:44">
      <c r="A19478" s="4" t="s">
        <v>117</v>
      </c>
      <c r="B19478" s="4">
        <v>3448</v>
      </c>
      <c r="D19478" s="5" t="s">
        <v>23905</v>
      </c>
      <c r="E19478" s="6" t="str">
        <f>HYPERLINK("https://inpn.mnhn.fr/espece/cd_nom/3448","Psittacula krameri (Scopoli, 1769)")</f>
        <v>Psittacula krameri (Scopoli, 1769)</v>
      </c>
      <c r="F19478" s="5" t="s">
        <v>23906</v>
      </c>
      <c r="G19478" s="4" t="str">
        <f>HYPERLINK("[#Réglementation!A"&amp;_xlfn.XMATCH("CCC",Réglementation!A:A,2,1),"CCC")</f>
        <v>CCC</v>
      </c>
      <c r="I19478" s="4" t="str">
        <f>HYPERLINK("#Réglementation!A"&amp;_xlfn.XMATCH("IBE3",Réglementation!A:A,2,1),"IBE3")</f>
        <v>IBE3</v>
      </c>
      <c r="Q19478" s="7" t="str">
        <f>HYPERLINK("#Liste_rouge!A"&amp;_xlfn.XMATCH("NA",Liste_rouge!A:A,2,1),"NA")</f>
        <v>NA</v>
      </c>
      <c r="AH19478" s="4" t="str">
        <f>HYPERLINK("#Statut_biogéographique!A"&amp;_xlfn.XMATCH("I",Statut_biogéographique!A:A,2,1),"I")</f>
        <v>I</v>
      </c>
      <c r="AL19478" s="5" t="str">
        <f>HYPERLINK("#Réglementation!A"&amp;_xlfn.XMATCH("FRnoEEEA",Réglementation!A:A,2,1),"FRnoEEEA")</f>
        <v>FRnoEEEA</v>
      </c>
      <c r="AM19478" s="4" t="s">
        <v>375</v>
      </c>
      <c r="AN19478" s="4" t="s">
        <v>375</v>
      </c>
      <c r="AO19478" s="4" t="s">
        <v>375</v>
      </c>
      <c r="AP19478" s="4" t="s">
        <v>376</v>
      </c>
      <c r="AR19478" s="4" t="s">
        <v>377</v>
      </c>
    </row>
    <row r="19479" spans="1:44">
      <c r="A19479" s="4" t="s">
        <v>117</v>
      </c>
      <c r="B19479" s="4">
        <v>3461</v>
      </c>
      <c r="D19479" s="5" t="s">
        <v>23907</v>
      </c>
      <c r="E19479" s="6" t="str">
        <f>HYPERLINK("https://inpn.mnhn.fr/espece/cd_nom/3461","Clamator glandarius (Linnaeus, 1758)")</f>
        <v>Clamator glandarius (Linnaeus, 1758)</v>
      </c>
      <c r="F19479" s="5" t="s">
        <v>23908</v>
      </c>
      <c r="I19479" s="4" t="str">
        <f>HYPERLINK("#Réglementation!A"&amp;_xlfn.XMATCH("IBE2",Réglementation!A:A,2,1),"IBE2")</f>
        <v>IBE2</v>
      </c>
      <c r="L19479" s="4" t="str">
        <f>HYPERLINK("#Réglementation!A"&amp;_xlfn.XMATCH("NO3",Réglementation!A:A,2,1),"NO3")</f>
        <v>NO3</v>
      </c>
      <c r="O19479" s="7" t="str">
        <f>HYPERLINK("#Liste_rouge!A"&amp;_xlfn.XMATCH("LC",Liste_rouge!A:A,2,1),"LC")</f>
        <v>LC</v>
      </c>
      <c r="P19479" s="7" t="str">
        <f>HYPERLINK("#Liste_rouge!A"&amp;_xlfn.XMATCH("VU",Liste_rouge!A:A,2,1),"VU")</f>
        <v>VU</v>
      </c>
      <c r="Q19479" s="7" t="str">
        <f>HYPERLINK("#Liste_rouge!A"&amp;_xlfn.XMATCH("LC",Liste_rouge!A:A,2,1),"LC")</f>
        <v>LC</v>
      </c>
      <c r="AH19479" s="4" t="str">
        <f>HYPERLINK("#Statut_biogéographique!A"&amp;_xlfn.XMATCH("P",Statut_biogéographique!A:A,2,1),"P")</f>
        <v>P</v>
      </c>
      <c r="AM19479" s="4" t="s">
        <v>375</v>
      </c>
      <c r="AN19479" s="4" t="s">
        <v>375</v>
      </c>
      <c r="AO19479" s="4" t="s">
        <v>375</v>
      </c>
      <c r="AP19479" s="4" t="s">
        <v>376</v>
      </c>
      <c r="AR19479" s="4" t="s">
        <v>377</v>
      </c>
    </row>
    <row r="19480" spans="1:44">
      <c r="A19480" s="4" t="s">
        <v>117</v>
      </c>
      <c r="B19480" s="4">
        <v>3465</v>
      </c>
      <c r="D19480" s="5" t="s">
        <v>23909</v>
      </c>
      <c r="E19480" s="6" t="str">
        <f>HYPERLINK("https://inpn.mnhn.fr/espece/cd_nom/3465","Cuculus canorus Linnaeus, 1758")</f>
        <v>Cuculus canorus Linnaeus, 1758</v>
      </c>
      <c r="F19480" s="5" t="s">
        <v>23910</v>
      </c>
      <c r="I19480" s="4" t="str">
        <f>HYPERLINK("#Réglementation!A"&amp;_xlfn.XMATCH("IBE3",Réglementation!A:A,2,1),"IBE3")</f>
        <v>IBE3</v>
      </c>
      <c r="L19480" s="4" t="str">
        <f>HYPERLINK("#Réglementation!A"&amp;_xlfn.XMATCH("NO3",Réglementation!A:A,2,1),"NO3")</f>
        <v>NO3</v>
      </c>
      <c r="O19480" s="7" t="str">
        <f>HYPERLINK("#Liste_rouge!A"&amp;_xlfn.XMATCH("LC",Liste_rouge!A:A,2,1),"LC")</f>
        <v>LC</v>
      </c>
      <c r="P19480" s="7" t="str">
        <f>HYPERLINK("#Liste_rouge!A"&amp;_xlfn.XMATCH("LC",Liste_rouge!A:A,2,1),"LC")</f>
        <v>LC</v>
      </c>
      <c r="Q19480" s="7" t="str">
        <f>HYPERLINK("#Liste_rouge!A"&amp;_xlfn.XMATCH("LC",Liste_rouge!A:A,2,1),"LC")</f>
        <v>LC</v>
      </c>
      <c r="S19480" s="7" t="str">
        <f>HYPERLINK("#Liste_rouge!A"&amp;_xlfn.XMATCH("DD",Liste_rouge!A:A,2,1),"DD")</f>
        <v>DD</v>
      </c>
      <c r="T19480" s="7" t="str">
        <f>HYPERLINK("#Liste_rouge!A"&amp;_xlfn.XMATCH("LC",Liste_rouge!A:A,2,1),"LC")</f>
        <v>LC</v>
      </c>
      <c r="V19480" s="7" t="str">
        <f>HYPERLINK("#Liste_rouge!A"&amp;_xlfn.XMATCH("LC",Liste_rouge!A:A,2,1),"LC")</f>
        <v>LC</v>
      </c>
      <c r="AH19480" s="4" t="str">
        <f>HYPERLINK("#Statut_biogéographique!A"&amp;_xlfn.XMATCH("P",Statut_biogéographique!A:A,2,1),"P")</f>
        <v>P</v>
      </c>
      <c r="AM19480" s="4" t="s">
        <v>375</v>
      </c>
      <c r="AN19480" s="4" t="s">
        <v>375</v>
      </c>
      <c r="AO19480" s="4" t="s">
        <v>375</v>
      </c>
      <c r="AP19480" s="4" t="s">
        <v>376</v>
      </c>
      <c r="AR19480" s="4" t="s">
        <v>377</v>
      </c>
    </row>
    <row r="19481" spans="1:44" ht="45">
      <c r="A19481" s="4" t="s">
        <v>117</v>
      </c>
      <c r="B19481" s="4">
        <v>3482</v>
      </c>
      <c r="D19481" s="5" t="s">
        <v>23911</v>
      </c>
      <c r="E19481" s="6" t="str">
        <f>HYPERLINK("https://inpn.mnhn.fr/espece/cd_nom/3482","Tyto alba (Scopoli, 1769)")</f>
        <v>Tyto alba (Scopoli, 1769)</v>
      </c>
      <c r="F19481" s="5" t="s">
        <v>23912</v>
      </c>
      <c r="G19481" s="4" t="str">
        <f>HYPERLINK("[#Réglementation!A"&amp;_xlfn.XMATCH("CCA",Réglementation!A:A,2,1),"CCA")</f>
        <v>CCA</v>
      </c>
      <c r="I19481" s="4" t="str">
        <f>HYPERLINK("#Réglementation!A"&amp;_xlfn.XMATCH("IBE2",Réglementation!A:A,2,1),"IBE2")</f>
        <v>IBE2</v>
      </c>
      <c r="L19481" s="4" t="str">
        <f>HYPERLINK("#Réglementation!A"&amp;_xlfn.XMATCH("NO3",Réglementation!A:A,2,1),"NO3")</f>
        <v>NO3</v>
      </c>
      <c r="O19481" s="7" t="str">
        <f>HYPERLINK("#Liste_rouge!A"&amp;_xlfn.XMATCH("LC",Liste_rouge!A:A,2,1),"LC")</f>
        <v>LC</v>
      </c>
      <c r="P19481" s="7" t="str">
        <f>HYPERLINK("#Liste_rouge!A"&amp;_xlfn.XMATCH("LC",Liste_rouge!A:A,2,1),"LC")</f>
        <v>LC</v>
      </c>
      <c r="Q19481" s="7" t="str">
        <f>HYPERLINK("#Liste_rouge!A"&amp;_xlfn.XMATCH("LC",Liste_rouge!A:A,2,1),"LC")</f>
        <v>LC</v>
      </c>
      <c r="T19481" s="7" t="str">
        <f>HYPERLINK("#Liste_rouge!A"&amp;_xlfn.XMATCH("NT",Liste_rouge!A:A,2,1),"NT")</f>
        <v>NT</v>
      </c>
      <c r="U19481" s="4" t="str">
        <f>HYPERLINK("#Critères_liste_rouge!A$1","pr. C1")</f>
        <v>pr. C1</v>
      </c>
      <c r="V19481" s="7" t="str">
        <f>HYPERLINK("#Liste_rouge!A"&amp;_xlfn.XMATCH("NT",Liste_rouge!A:A,2,1),"NT")</f>
        <v>NT</v>
      </c>
      <c r="W19481" s="4" t="str">
        <f>HYPERLINK("#Critères_liste_rouge!A$1","pr. C1")</f>
        <v>pr. C1</v>
      </c>
      <c r="X19481" s="5" t="s">
        <v>23439</v>
      </c>
      <c r="Y19481" s="5" t="s">
        <v>23762</v>
      </c>
      <c r="AH19481" s="4" t="str">
        <f>HYPERLINK("#Statut_biogéographique!A"&amp;_xlfn.XMATCH("P",Statut_biogéographique!A:A,2,1),"P")</f>
        <v>P</v>
      </c>
      <c r="AM19481" s="4" t="s">
        <v>375</v>
      </c>
      <c r="AN19481" s="4" t="s">
        <v>375</v>
      </c>
      <c r="AO19481" s="4" t="s">
        <v>375</v>
      </c>
      <c r="AP19481" s="4" t="s">
        <v>376</v>
      </c>
      <c r="AR19481" s="4" t="s">
        <v>377</v>
      </c>
    </row>
    <row r="19482" spans="1:44">
      <c r="A19482" s="4" t="s">
        <v>117</v>
      </c>
      <c r="B19482" s="4">
        <v>3489</v>
      </c>
      <c r="D19482" s="5" t="s">
        <v>23913</v>
      </c>
      <c r="E19482" s="6" t="str">
        <f>HYPERLINK("https://inpn.mnhn.fr/espece/cd_nom/3489","Otus scops (Linnaeus, 1758)")</f>
        <v>Otus scops (Linnaeus, 1758)</v>
      </c>
      <c r="F19482" s="5" t="s">
        <v>23914</v>
      </c>
      <c r="G19482" s="4" t="str">
        <f>HYPERLINK("[#Réglementation!A"&amp;_xlfn.XMATCH("CCA",Réglementation!A:A,2,1),"CCA")</f>
        <v>CCA</v>
      </c>
      <c r="I19482" s="4" t="str">
        <f>HYPERLINK("#Réglementation!A"&amp;_xlfn.XMATCH("IBE2",Réglementation!A:A,2,1),"IBE2")</f>
        <v>IBE2</v>
      </c>
      <c r="L19482" s="4" t="str">
        <f>HYPERLINK("#Réglementation!A"&amp;_xlfn.XMATCH("NO3",Réglementation!A:A,2,1),"NO3")</f>
        <v>NO3</v>
      </c>
      <c r="O19482" s="7" t="str">
        <f>HYPERLINK("#Liste_rouge!A"&amp;_xlfn.XMATCH("LC",Liste_rouge!A:A,2,1),"LC")</f>
        <v>LC</v>
      </c>
      <c r="P19482" s="7" t="str">
        <f>HYPERLINK("#Liste_rouge!A"&amp;_xlfn.XMATCH("LC",Liste_rouge!A:A,2,1),"LC")</f>
        <v>LC</v>
      </c>
      <c r="Q19482" s="7" t="str">
        <f>HYPERLINK("#Liste_rouge!A"&amp;_xlfn.XMATCH("LC",Liste_rouge!A:A,2,1),"LC")</f>
        <v>LC</v>
      </c>
      <c r="T19482" s="7" t="str">
        <f>HYPERLINK("#Liste_rouge!A"&amp;_xlfn.XMATCH("EN",Liste_rouge!A:A,2,1),"EN")</f>
        <v>EN</v>
      </c>
      <c r="U19482" s="4" t="str">
        <f>HYPERLINK("#Critères_liste_rouge!A$1","D1")</f>
        <v>D1</v>
      </c>
      <c r="V19482" s="7" t="str">
        <f>HYPERLINK("#Liste_rouge!A"&amp;_xlfn.XMATCH("CR",Liste_rouge!A:A,2,1),"CR")</f>
        <v>CR</v>
      </c>
      <c r="W19482" s="4" t="str">
        <f>HYPERLINK("#Critères_liste_rouge!A$1","D1")</f>
        <v>D1</v>
      </c>
      <c r="X19482" s="5" t="s">
        <v>374</v>
      </c>
      <c r="AH19482" s="4" t="str">
        <f>HYPERLINK("#Statut_biogéographique!A"&amp;_xlfn.XMATCH("P",Statut_biogéographique!A:A,2,1),"P")</f>
        <v>P</v>
      </c>
      <c r="AM19482" s="4" t="s">
        <v>375</v>
      </c>
      <c r="AN19482" s="4" t="s">
        <v>375</v>
      </c>
      <c r="AO19482" s="4" t="s">
        <v>375</v>
      </c>
      <c r="AP19482" s="4" t="s">
        <v>376</v>
      </c>
      <c r="AR19482" s="4" t="s">
        <v>377</v>
      </c>
    </row>
    <row r="19483" spans="1:44">
      <c r="A19483" s="4" t="s">
        <v>117</v>
      </c>
      <c r="B19483" s="4">
        <v>3493</v>
      </c>
      <c r="D19483" s="5" t="s">
        <v>23915</v>
      </c>
      <c r="E19483" s="6" t="str">
        <f>HYPERLINK("https://inpn.mnhn.fr/espece/cd_nom/3493","Bubo bubo (Linnaeus, 1758)")</f>
        <v>Bubo bubo (Linnaeus, 1758)</v>
      </c>
      <c r="F19483" s="5" t="s">
        <v>23916</v>
      </c>
      <c r="G19483" s="4" t="str">
        <f>HYPERLINK("[#Réglementation!A"&amp;_xlfn.XMATCH("CCA",Réglementation!A:A,2,1),"CCA")</f>
        <v>CCA</v>
      </c>
      <c r="I19483" s="4" t="str">
        <f>HYPERLINK("#Réglementation!A"&amp;_xlfn.XMATCH("IBE2",Réglementation!A:A,2,1),"IBE2")</f>
        <v>IBE2</v>
      </c>
      <c r="J19483" s="4" t="str">
        <f>HYPERLINK("#Réglementation!A"&amp;_xlfn.XMATCH("CDO1",Réglementation!A:A,2,1),"CDO1")</f>
        <v>CDO1</v>
      </c>
      <c r="L19483" s="4" t="str">
        <f>HYPERLINK("#Réglementation!A"&amp;_xlfn.XMATCH("NO3",Réglementation!A:A,2,1),"NO3")</f>
        <v>NO3</v>
      </c>
      <c r="O19483" s="7" t="str">
        <f>HYPERLINK("#Liste_rouge!A"&amp;_xlfn.XMATCH("LC",Liste_rouge!A:A,2,1),"LC")</f>
        <v>LC</v>
      </c>
      <c r="P19483" s="7" t="str">
        <f>HYPERLINK("#Liste_rouge!A"&amp;_xlfn.XMATCH("LC",Liste_rouge!A:A,2,1),"LC")</f>
        <v>LC</v>
      </c>
      <c r="Q19483" s="7" t="str">
        <f>HYPERLINK("#Liste_rouge!A"&amp;_xlfn.XMATCH("LC",Liste_rouge!A:A,2,1),"LC")</f>
        <v>LC</v>
      </c>
      <c r="T19483" s="7" t="str">
        <f>HYPERLINK("#Liste_rouge!A"&amp;_xlfn.XMATCH("NT",Liste_rouge!A:A,2,1),"NT")</f>
        <v>NT</v>
      </c>
      <c r="U19483" s="4" t="str">
        <f>HYPERLINK("#Critères_liste_rouge!A$1","D1 (EN -2)")</f>
        <v>D1 (EN -2)</v>
      </c>
      <c r="V19483" s="7" t="str">
        <f>HYPERLINK("#Liste_rouge!A"&amp;_xlfn.XMATCH("VU",Liste_rouge!A:A,2,1),"VU")</f>
        <v>VU</v>
      </c>
      <c r="W19483" s="4" t="str">
        <f>HYPERLINK("#Critères_liste_rouge!A$1","EN (D1) (-1)")</f>
        <v>EN (D1) (-1)</v>
      </c>
      <c r="X19483" s="5" t="s">
        <v>374</v>
      </c>
      <c r="AE19483" s="4" t="str">
        <f>HYPERLINK("#SCAP!A"&amp;_xlfn.XMATCH("2+",SCAP!A:A,2,1),"2+")</f>
        <v>2+</v>
      </c>
      <c r="AF19483" s="4" t="str">
        <f>HYPERLINK("#SCAP!A"&amp;_xlfn.XMATCH("NP",SCAP!A:A,2,1),"NP")</f>
        <v>NP</v>
      </c>
      <c r="AG19483" s="4" t="str">
        <f>HYPERLINK("#SCAP!A"&amp;_xlfn.XMATCH("2+",SCAP!A:A,2,1),"2+")</f>
        <v>2+</v>
      </c>
      <c r="AH19483" s="4" t="str">
        <f>HYPERLINK("#Statut_biogéographique!A"&amp;_xlfn.XMATCH("P",Statut_biogéographique!A:A,2,1),"P")</f>
        <v>P</v>
      </c>
      <c r="AM19483" s="4" t="s">
        <v>375</v>
      </c>
      <c r="AN19483" s="4" t="s">
        <v>382</v>
      </c>
      <c r="AO19483" s="4" t="s">
        <v>382</v>
      </c>
      <c r="AP19483" s="4" t="s">
        <v>376</v>
      </c>
      <c r="AR19483" s="4" t="s">
        <v>377</v>
      </c>
    </row>
    <row r="19484" spans="1:44" ht="30">
      <c r="A19484" s="4" t="s">
        <v>117</v>
      </c>
      <c r="B19484" s="4">
        <v>3507</v>
      </c>
      <c r="D19484" s="5" t="s">
        <v>23917</v>
      </c>
      <c r="E19484" s="6" t="str">
        <f>HYPERLINK("https://inpn.mnhn.fr/espece/cd_nom/3507","Glaucidium passerinum (Linnaeus, 1758)")</f>
        <v>Glaucidium passerinum (Linnaeus, 1758)</v>
      </c>
      <c r="F19484" s="5" t="s">
        <v>23918</v>
      </c>
      <c r="G19484" s="4" t="str">
        <f>HYPERLINK("[#Réglementation!A"&amp;_xlfn.XMATCH("CCA",Réglementation!A:A,2,1),"CCA")</f>
        <v>CCA</v>
      </c>
      <c r="I19484" s="4" t="str">
        <f>HYPERLINK("#Réglementation!A"&amp;_xlfn.XMATCH("IBE2",Réglementation!A:A,2,1),"IBE2")</f>
        <v>IBE2</v>
      </c>
      <c r="J19484" s="4" t="str">
        <f>HYPERLINK("#Réglementation!A"&amp;_xlfn.XMATCH("CDO1",Réglementation!A:A,2,1),"CDO1")</f>
        <v>CDO1</v>
      </c>
      <c r="L19484" s="4" t="str">
        <f>HYPERLINK("#Réglementation!A"&amp;_xlfn.XMATCH("NO3",Réglementation!A:A,2,1),"NO3")</f>
        <v>NO3</v>
      </c>
      <c r="O19484" s="7" t="str">
        <f>HYPERLINK("#Liste_rouge!A"&amp;_xlfn.XMATCH("LC",Liste_rouge!A:A,2,1),"LC")</f>
        <v>LC</v>
      </c>
      <c r="P19484" s="7" t="str">
        <f>HYPERLINK("#Liste_rouge!A"&amp;_xlfn.XMATCH("LC",Liste_rouge!A:A,2,1),"LC")</f>
        <v>LC</v>
      </c>
      <c r="Q19484" s="7" t="str">
        <f>HYPERLINK("#Liste_rouge!A"&amp;_xlfn.XMATCH("NT",Liste_rouge!A:A,2,1),"NT")</f>
        <v>NT</v>
      </c>
      <c r="T19484" s="7" t="str">
        <f>HYPERLINK("#Liste_rouge!A"&amp;_xlfn.XMATCH("NA",Liste_rouge!A:A,2,1),"NA")</f>
        <v>NA</v>
      </c>
      <c r="U19484" s="4" t="str">
        <f>HYPERLINK("#Critères_liste_rouge!A$1","b")</f>
        <v>b</v>
      </c>
      <c r="V19484" s="7" t="str">
        <f>HYPERLINK("#Liste_rouge!A"&amp;_xlfn.XMATCH("VU",Liste_rouge!A:A,2,1),"VU")</f>
        <v>VU</v>
      </c>
      <c r="W19484" s="4" t="str">
        <f>HYPERLINK("#Critères_liste_rouge!A$1","D1")</f>
        <v>D1</v>
      </c>
      <c r="X19484" s="5" t="s">
        <v>374</v>
      </c>
      <c r="AE19484" s="4" t="str">
        <f>HYPERLINK("#SCAP!A"&amp;_xlfn.XMATCH("1+",SCAP!A:A,2,1),"1+")</f>
        <v>1+</v>
      </c>
      <c r="AG19484" s="4" t="str">
        <f>HYPERLINK("#SCAP!A"&amp;_xlfn.XMATCH("2+",SCAP!A:A,2,1),"2+")</f>
        <v>2+</v>
      </c>
      <c r="AH19484" s="4" t="str">
        <f>HYPERLINK("#Statut_biogéographique!A"&amp;_xlfn.XMATCH("P",Statut_biogéographique!A:A,2,1),"P")</f>
        <v>P</v>
      </c>
      <c r="AM19484" s="4" t="s">
        <v>375</v>
      </c>
      <c r="AN19484" s="4" t="s">
        <v>375</v>
      </c>
      <c r="AO19484" s="4" t="s">
        <v>382</v>
      </c>
      <c r="AP19484" s="4" t="s">
        <v>376</v>
      </c>
      <c r="AR19484" s="4" t="s">
        <v>377</v>
      </c>
    </row>
    <row r="19485" spans="1:44" ht="45">
      <c r="A19485" s="4" t="s">
        <v>117</v>
      </c>
      <c r="B19485" s="4">
        <v>3511</v>
      </c>
      <c r="D19485" s="5" t="s">
        <v>23919</v>
      </c>
      <c r="E19485" s="6" t="str">
        <f>HYPERLINK("https://inpn.mnhn.fr/espece/cd_nom/3511","Athene noctua (Scopoli, 1769)")</f>
        <v>Athene noctua (Scopoli, 1769)</v>
      </c>
      <c r="F19485" s="5" t="s">
        <v>23920</v>
      </c>
      <c r="G19485" s="4" t="str">
        <f>HYPERLINK("[#Réglementation!A"&amp;_xlfn.XMATCH("CCA",Réglementation!A:A,2,1),"CCA")</f>
        <v>CCA</v>
      </c>
      <c r="I19485" s="4" t="str">
        <f>HYPERLINK("#Réglementation!A"&amp;_xlfn.XMATCH("IBE2",Réglementation!A:A,2,1),"IBE2")</f>
        <v>IBE2</v>
      </c>
      <c r="L19485" s="4" t="str">
        <f>HYPERLINK("#Réglementation!A"&amp;_xlfn.XMATCH("NO3",Réglementation!A:A,2,1),"NO3")</f>
        <v>NO3</v>
      </c>
      <c r="O19485" s="7" t="str">
        <f>HYPERLINK("#Liste_rouge!A"&amp;_xlfn.XMATCH("LC",Liste_rouge!A:A,2,1),"LC")</f>
        <v>LC</v>
      </c>
      <c r="P19485" s="7" t="str">
        <f>HYPERLINK("#Liste_rouge!A"&amp;_xlfn.XMATCH("LC",Liste_rouge!A:A,2,1),"LC")</f>
        <v>LC</v>
      </c>
      <c r="Q19485" s="7" t="str">
        <f>HYPERLINK("#Liste_rouge!A"&amp;_xlfn.XMATCH("LC",Liste_rouge!A:A,2,1),"LC")</f>
        <v>LC</v>
      </c>
      <c r="T19485" s="7" t="str">
        <f>HYPERLINK("#Liste_rouge!A"&amp;_xlfn.XMATCH("LC",Liste_rouge!A:A,2,1),"LC")</f>
        <v>LC</v>
      </c>
      <c r="V19485" s="7" t="str">
        <f>HYPERLINK("#Liste_rouge!A"&amp;_xlfn.XMATCH("VU",Liste_rouge!A:A,2,1),"VU")</f>
        <v>VU</v>
      </c>
      <c r="W19485" s="4" t="str">
        <f>HYPERLINK("#Critères_liste_rouge!A$1","D1")</f>
        <v>D1</v>
      </c>
      <c r="X19485" s="5" t="s">
        <v>23439</v>
      </c>
      <c r="Y19485" s="5" t="s">
        <v>23762</v>
      </c>
      <c r="AH19485" s="4" t="str">
        <f>HYPERLINK("#Statut_biogéographique!A"&amp;_xlfn.XMATCH("P",Statut_biogéographique!A:A,2,1),"P")</f>
        <v>P</v>
      </c>
      <c r="AI19485" s="8" t="s">
        <v>23921</v>
      </c>
      <c r="AJ19485" s="4" t="s">
        <v>23922</v>
      </c>
      <c r="AM19485" s="4" t="s">
        <v>375</v>
      </c>
      <c r="AN19485" s="4" t="s">
        <v>375</v>
      </c>
      <c r="AO19485" s="4" t="s">
        <v>375</v>
      </c>
      <c r="AP19485" s="4" t="s">
        <v>376</v>
      </c>
      <c r="AR19485" s="4" t="s">
        <v>377</v>
      </c>
    </row>
    <row r="19486" spans="1:44">
      <c r="A19486" s="4" t="s">
        <v>117</v>
      </c>
      <c r="B19486" s="4">
        <v>3518</v>
      </c>
      <c r="D19486" s="5">
        <v>3518</v>
      </c>
      <c r="E19486" s="6" t="str">
        <f>HYPERLINK("https://inpn.mnhn.fr/espece/cd_nom/3518","Strix aluco Linnaeus, 1758")</f>
        <v>Strix aluco Linnaeus, 1758</v>
      </c>
      <c r="F19486" s="5" t="s">
        <v>23923</v>
      </c>
      <c r="G19486" s="4" t="str">
        <f>HYPERLINK("[#Réglementation!A"&amp;_xlfn.XMATCH("CCA",Réglementation!A:A,2,1),"CCA")</f>
        <v>CCA</v>
      </c>
      <c r="I19486" s="4" t="str">
        <f>HYPERLINK("#Réglementation!A"&amp;_xlfn.XMATCH("IBE2",Réglementation!A:A,2,1),"IBE2")</f>
        <v>IBE2</v>
      </c>
      <c r="L19486" s="4" t="str">
        <f>HYPERLINK("#Réglementation!A"&amp;_xlfn.XMATCH("NO3",Réglementation!A:A,2,1),"NO3")</f>
        <v>NO3</v>
      </c>
      <c r="O19486" s="7" t="str">
        <f>HYPERLINK("#Liste_rouge!A"&amp;_xlfn.XMATCH("LC",Liste_rouge!A:A,2,1),"LC")</f>
        <v>LC</v>
      </c>
      <c r="P19486" s="7" t="str">
        <f>HYPERLINK("#Liste_rouge!A"&amp;_xlfn.XMATCH("LC",Liste_rouge!A:A,2,1),"LC")</f>
        <v>LC</v>
      </c>
      <c r="Q19486" s="7" t="str">
        <f>HYPERLINK("#Liste_rouge!A"&amp;_xlfn.XMATCH("LC",Liste_rouge!A:A,2,1),"LC")</f>
        <v>LC</v>
      </c>
      <c r="R19486" s="7" t="str">
        <f>HYPERLINK("#Liste_rouge!A"&amp;_xlfn.XMATCH("NA",Liste_rouge!A:A,2,1),"NA")</f>
        <v>NA</v>
      </c>
      <c r="T19486" s="7" t="str">
        <f>HYPERLINK("#Liste_rouge!A"&amp;_xlfn.XMATCH("LC",Liste_rouge!A:A,2,1),"LC")</f>
        <v>LC</v>
      </c>
      <c r="V19486" s="7" t="str">
        <f>HYPERLINK("#Liste_rouge!A"&amp;_xlfn.XMATCH("LC",Liste_rouge!A:A,2,1),"LC")</f>
        <v>LC</v>
      </c>
      <c r="AH19486" s="4" t="str">
        <f>HYPERLINK("#Statut_biogéographique!A"&amp;_xlfn.XMATCH("P",Statut_biogéographique!A:A,2,1),"P")</f>
        <v>P</v>
      </c>
      <c r="AM19486" s="4" t="s">
        <v>375</v>
      </c>
      <c r="AN19486" s="4" t="s">
        <v>375</v>
      </c>
      <c r="AO19486" s="4" t="s">
        <v>375</v>
      </c>
      <c r="AP19486" s="4" t="s">
        <v>376</v>
      </c>
      <c r="AR19486" s="4" t="s">
        <v>377</v>
      </c>
    </row>
    <row r="19487" spans="1:44">
      <c r="A19487" s="4" t="s">
        <v>117</v>
      </c>
      <c r="B19487" s="4">
        <v>3522</v>
      </c>
      <c r="D19487" s="5" t="s">
        <v>23924</v>
      </c>
      <c r="E19487" s="6" t="str">
        <f>HYPERLINK("https://inpn.mnhn.fr/espece/cd_nom/3522","Asio otus (Linnaeus, 1758)")</f>
        <v>Asio otus (Linnaeus, 1758)</v>
      </c>
      <c r="F19487" s="5" t="s">
        <v>23925</v>
      </c>
      <c r="G19487" s="4" t="str">
        <f>HYPERLINK("[#Réglementation!A"&amp;_xlfn.XMATCH("CCA",Réglementation!A:A,2,1),"CCA")</f>
        <v>CCA</v>
      </c>
      <c r="I19487" s="4" t="str">
        <f>HYPERLINK("#Réglementation!A"&amp;_xlfn.XMATCH("IBE2",Réglementation!A:A,2,1),"IBE2")</f>
        <v>IBE2</v>
      </c>
      <c r="L19487" s="4" t="str">
        <f>HYPERLINK("#Réglementation!A"&amp;_xlfn.XMATCH("NO3",Réglementation!A:A,2,1),"NO3")</f>
        <v>NO3</v>
      </c>
      <c r="O19487" s="7" t="str">
        <f>HYPERLINK("#Liste_rouge!A"&amp;_xlfn.XMATCH("LC",Liste_rouge!A:A,2,1),"LC")</f>
        <v>LC</v>
      </c>
      <c r="P19487" s="7" t="str">
        <f>HYPERLINK("#Liste_rouge!A"&amp;_xlfn.XMATCH("LC",Liste_rouge!A:A,2,1),"LC")</f>
        <v>LC</v>
      </c>
      <c r="Q19487" s="7" t="str">
        <f>HYPERLINK("#Liste_rouge!A"&amp;_xlfn.XMATCH("LC",Liste_rouge!A:A,2,1),"LC")</f>
        <v>LC</v>
      </c>
      <c r="R19487" s="7" t="str">
        <f>HYPERLINK("#Liste_rouge!A"&amp;_xlfn.XMATCH("NA",Liste_rouge!A:A,2,1),"NA")</f>
        <v>NA</v>
      </c>
      <c r="S19487" s="7" t="str">
        <f>HYPERLINK("#Liste_rouge!A"&amp;_xlfn.XMATCH("NA",Liste_rouge!A:A,2,1),"NA")</f>
        <v>NA</v>
      </c>
      <c r="T19487" s="7" t="str">
        <f>HYPERLINK("#Liste_rouge!A"&amp;_xlfn.XMATCH("LC",Liste_rouge!A:A,2,1),"LC")</f>
        <v>LC</v>
      </c>
      <c r="V19487" s="7" t="str">
        <f>HYPERLINK("#Liste_rouge!A"&amp;_xlfn.XMATCH("LC",Liste_rouge!A:A,2,1),"LC")</f>
        <v>LC</v>
      </c>
      <c r="AH19487" s="4" t="str">
        <f>HYPERLINK("#Statut_biogéographique!A"&amp;_xlfn.XMATCH("P",Statut_biogéographique!A:A,2,1),"P")</f>
        <v>P</v>
      </c>
      <c r="AM19487" s="4" t="s">
        <v>375</v>
      </c>
      <c r="AN19487" s="4" t="s">
        <v>375</v>
      </c>
      <c r="AO19487" s="4" t="s">
        <v>375</v>
      </c>
      <c r="AP19487" s="4" t="s">
        <v>389</v>
      </c>
      <c r="AR19487" s="4" t="s">
        <v>377</v>
      </c>
    </row>
    <row r="19488" spans="1:44" ht="75">
      <c r="A19488" s="4" t="s">
        <v>117</v>
      </c>
      <c r="B19488" s="4">
        <v>3525</v>
      </c>
      <c r="D19488" s="5" t="s">
        <v>23926</v>
      </c>
      <c r="E19488" s="6" t="str">
        <f>HYPERLINK("https://inpn.mnhn.fr/espece/cd_nom/3525","Asio flammeus (Pontoppidan, 1763)")</f>
        <v>Asio flammeus (Pontoppidan, 1763)</v>
      </c>
      <c r="F19488" s="5" t="s">
        <v>23927</v>
      </c>
      <c r="G19488" s="4" t="str">
        <f>HYPERLINK("[#Réglementation!A"&amp;_xlfn.XMATCH("CCA",Réglementation!A:A,2,1),"CCA")</f>
        <v>CCA</v>
      </c>
      <c r="I19488" s="4" t="str">
        <f>HYPERLINK("#Réglementation!A"&amp;_xlfn.XMATCH("IBE2",Réglementation!A:A,2,1),"IBE2")</f>
        <v>IBE2</v>
      </c>
      <c r="J19488" s="4" t="str">
        <f>HYPERLINK("#Réglementation!A"&amp;_xlfn.XMATCH("CDO1",Réglementation!A:A,2,1),"CDO1")</f>
        <v>CDO1</v>
      </c>
      <c r="L19488" s="4" t="str">
        <f>HYPERLINK("#Réglementation!A"&amp;_xlfn.XMATCH("NO3",Réglementation!A:A,2,1),"NO3")</f>
        <v>NO3</v>
      </c>
      <c r="O19488" s="7" t="str">
        <f>HYPERLINK("#Liste_rouge!A"&amp;_xlfn.XMATCH("LC",Liste_rouge!A:A,2,1),"LC")</f>
        <v>LC</v>
      </c>
      <c r="P19488" s="7" t="str">
        <f>HYPERLINK("#Liste_rouge!A"&amp;_xlfn.XMATCH("LC",Liste_rouge!A:A,2,1),"LC")</f>
        <v>LC</v>
      </c>
      <c r="Q19488" s="7" t="str">
        <f>HYPERLINK("#Liste_rouge!A"&amp;_xlfn.XMATCH("VU",Liste_rouge!A:A,2,1),"VU")</f>
        <v>VU</v>
      </c>
      <c r="R19488" s="7" t="str">
        <f>HYPERLINK("#Liste_rouge!A"&amp;_xlfn.XMATCH("NA",Liste_rouge!A:A,2,1),"NA")</f>
        <v>NA</v>
      </c>
      <c r="S19488" s="7" t="str">
        <f>HYPERLINK("#Liste_rouge!A"&amp;_xlfn.XMATCH("NA",Liste_rouge!A:A,2,1),"NA")</f>
        <v>NA</v>
      </c>
      <c r="T19488" s="7" t="str">
        <f>HYPERLINK("#Liste_rouge!A"&amp;_xlfn.XMATCH("NA",Liste_rouge!A:A,2,1),"NA")</f>
        <v>NA</v>
      </c>
      <c r="U19488" s="4" t="str">
        <f>HYPERLINK("#Critères_liste_rouge!A$1","b")</f>
        <v>b</v>
      </c>
      <c r="V19488" s="7" t="str">
        <f>HYPERLINK("#Liste_rouge!A"&amp;_xlfn.XMATCH("NA",Liste_rouge!A:A,2,1),"NA")</f>
        <v>NA</v>
      </c>
      <c r="W19488" s="4" t="str">
        <f>HYPERLINK("#Critères_liste_rouge!A$1","b1")</f>
        <v>b1</v>
      </c>
      <c r="X19488" s="5" t="s">
        <v>23442</v>
      </c>
      <c r="Y19488" s="5" t="s">
        <v>23471</v>
      </c>
      <c r="AH19488" s="4" t="str">
        <f>HYPERLINK("#Statut_biogéographique!A"&amp;_xlfn.XMATCH("P",Statut_biogéographique!A:A,2,1),"P")</f>
        <v>P</v>
      </c>
      <c r="AM19488" s="4" t="s">
        <v>375</v>
      </c>
      <c r="AN19488" s="4" t="s">
        <v>375</v>
      </c>
      <c r="AO19488" s="4" t="s">
        <v>375</v>
      </c>
      <c r="AP19488" s="4" t="s">
        <v>389</v>
      </c>
      <c r="AR19488" s="4" t="s">
        <v>377</v>
      </c>
    </row>
    <row r="19489" spans="1:44" ht="30">
      <c r="A19489" s="4" t="s">
        <v>117</v>
      </c>
      <c r="B19489" s="4">
        <v>3533</v>
      </c>
      <c r="D19489" s="5" t="s">
        <v>23928</v>
      </c>
      <c r="E19489" s="6" t="str">
        <f>HYPERLINK("https://inpn.mnhn.fr/espece/cd_nom/3533","Aegolius funereus (Linnaeus, 1758)")</f>
        <v>Aegolius funereus (Linnaeus, 1758)</v>
      </c>
      <c r="F19489" s="5" t="s">
        <v>23929</v>
      </c>
      <c r="G19489" s="4" t="str">
        <f>HYPERLINK("[#Réglementation!A"&amp;_xlfn.XMATCH("CCA",Réglementation!A:A,2,1),"CCA")</f>
        <v>CCA</v>
      </c>
      <c r="I19489" s="4" t="str">
        <f>HYPERLINK("#Réglementation!A"&amp;_xlfn.XMATCH("IBE2",Réglementation!A:A,2,1),"IBE2")</f>
        <v>IBE2</v>
      </c>
      <c r="J19489" s="4" t="str">
        <f>HYPERLINK("#Réglementation!A"&amp;_xlfn.XMATCH("CDO1",Réglementation!A:A,2,1),"CDO1")</f>
        <v>CDO1</v>
      </c>
      <c r="L19489" s="4" t="str">
        <f>HYPERLINK("#Réglementation!A"&amp;_xlfn.XMATCH("NO3",Réglementation!A:A,2,1),"NO3")</f>
        <v>NO3</v>
      </c>
      <c r="O19489" s="7" t="str">
        <f>HYPERLINK("#Liste_rouge!A"&amp;_xlfn.XMATCH("LC",Liste_rouge!A:A,2,1),"LC")</f>
        <v>LC</v>
      </c>
      <c r="P19489" s="7" t="str">
        <f>HYPERLINK("#Liste_rouge!A"&amp;_xlfn.XMATCH("LC",Liste_rouge!A:A,2,1),"LC")</f>
        <v>LC</v>
      </c>
      <c r="Q19489" s="7" t="str">
        <f>HYPERLINK("#Liste_rouge!A"&amp;_xlfn.XMATCH("LC",Liste_rouge!A:A,2,1),"LC")</f>
        <v>LC</v>
      </c>
      <c r="T19489" s="7" t="str">
        <f>HYPERLINK("#Liste_rouge!A"&amp;_xlfn.XMATCH("CR",Liste_rouge!A:A,2,1),"CR")</f>
        <v>CR</v>
      </c>
      <c r="U19489" s="4" t="str">
        <f>HYPERLINK("#Critères_liste_rouge!A$1","D1")</f>
        <v>D1</v>
      </c>
      <c r="V19489" s="7" t="str">
        <f>HYPERLINK("#Liste_rouge!A"&amp;_xlfn.XMATCH("VU",Liste_rouge!A:A,2,1),"VU")</f>
        <v>VU</v>
      </c>
      <c r="W19489" s="4" t="str">
        <f>HYPERLINK("#Critères_liste_rouge!A$1","D1")</f>
        <v>D1</v>
      </c>
      <c r="X19489" s="5" t="s">
        <v>374</v>
      </c>
      <c r="AE19489" s="4" t="str">
        <f>HYPERLINK("#SCAP!A"&amp;_xlfn.XMATCH("1+",SCAP!A:A,2,1),"1+")</f>
        <v>1+</v>
      </c>
      <c r="AF19489" s="4" t="str">
        <f>HYPERLINK("#SCAP!A"&amp;_xlfn.XMATCH("1+",SCAP!A:A,2,1),"1+")</f>
        <v>1+</v>
      </c>
      <c r="AG19489" s="4" t="str">
        <f>HYPERLINK("#SCAP!A"&amp;_xlfn.XMATCH("2+",SCAP!A:A,2,1),"2+")</f>
        <v>2+</v>
      </c>
      <c r="AH19489" s="4" t="str">
        <f>HYPERLINK("#Statut_biogéographique!A"&amp;_xlfn.XMATCH("P",Statut_biogéographique!A:A,2,1),"P")</f>
        <v>P</v>
      </c>
      <c r="AM19489" s="4" t="s">
        <v>375</v>
      </c>
      <c r="AN19489" s="4" t="s">
        <v>375</v>
      </c>
      <c r="AO19489" s="4" t="s">
        <v>382</v>
      </c>
      <c r="AP19489" s="4" t="s">
        <v>389</v>
      </c>
      <c r="AR19489" s="4" t="s">
        <v>377</v>
      </c>
    </row>
    <row r="19490" spans="1:44">
      <c r="A19490" s="4" t="s">
        <v>117</v>
      </c>
      <c r="B19490" s="4">
        <v>3540</v>
      </c>
      <c r="D19490" s="5" t="s">
        <v>23930</v>
      </c>
      <c r="E19490" s="6" t="str">
        <f>HYPERLINK("https://inpn.mnhn.fr/espece/cd_nom/3540","Caprimulgus europaeus Linnaeus, 1758")</f>
        <v>Caprimulgus europaeus Linnaeus, 1758</v>
      </c>
      <c r="F19490" s="5" t="s">
        <v>23931</v>
      </c>
      <c r="I19490" s="4" t="str">
        <f>HYPERLINK("#Réglementation!A"&amp;_xlfn.XMATCH("IBE2",Réglementation!A:A,2,1),"IBE2")</f>
        <v>IBE2</v>
      </c>
      <c r="J19490" s="4" t="str">
        <f>HYPERLINK("#Réglementation!A"&amp;_xlfn.XMATCH("CDO1",Réglementation!A:A,2,1),"CDO1")</f>
        <v>CDO1</v>
      </c>
      <c r="L19490" s="4" t="str">
        <f>HYPERLINK("#Réglementation!A"&amp;_xlfn.XMATCH("NO3",Réglementation!A:A,2,1),"NO3")</f>
        <v>NO3</v>
      </c>
      <c r="O19490" s="7" t="str">
        <f>HYPERLINK("#Liste_rouge!A"&amp;_xlfn.XMATCH("LC",Liste_rouge!A:A,2,1),"LC")</f>
        <v>LC</v>
      </c>
      <c r="P19490" s="7" t="str">
        <f>HYPERLINK("#Liste_rouge!A"&amp;_xlfn.XMATCH("LC",Liste_rouge!A:A,2,1),"LC")</f>
        <v>LC</v>
      </c>
      <c r="Q19490" s="7" t="str">
        <f>HYPERLINK("#Liste_rouge!A"&amp;_xlfn.XMATCH("LC",Liste_rouge!A:A,2,1),"LC")</f>
        <v>LC</v>
      </c>
      <c r="S19490" s="7" t="str">
        <f>HYPERLINK("#Liste_rouge!A"&amp;_xlfn.XMATCH("NA",Liste_rouge!A:A,2,1),"NA")</f>
        <v>NA</v>
      </c>
      <c r="T19490" s="7" t="str">
        <f>HYPERLINK("#Liste_rouge!A"&amp;_xlfn.XMATCH("LC",Liste_rouge!A:A,2,1),"LC")</f>
        <v>LC</v>
      </c>
      <c r="V19490" s="7" t="str">
        <f>HYPERLINK("#Liste_rouge!A"&amp;_xlfn.XMATCH("VU",Liste_rouge!A:A,2,1),"VU")</f>
        <v>VU</v>
      </c>
      <c r="W19490" s="4" t="str">
        <f>HYPERLINK("#Critères_liste_rouge!A$1","D1")</f>
        <v>D1</v>
      </c>
      <c r="X19490" s="5" t="s">
        <v>374</v>
      </c>
      <c r="AH19490" s="4" t="str">
        <f>HYPERLINK("#Statut_biogéographique!A"&amp;_xlfn.XMATCH("P",Statut_biogéographique!A:A,2,1),"P")</f>
        <v>P</v>
      </c>
      <c r="AM19490" s="4" t="s">
        <v>375</v>
      </c>
      <c r="AN19490" s="4" t="s">
        <v>375</v>
      </c>
      <c r="AO19490" s="4" t="s">
        <v>375</v>
      </c>
      <c r="AP19490" s="4" t="s">
        <v>376</v>
      </c>
      <c r="AR19490" s="4" t="s">
        <v>377</v>
      </c>
    </row>
    <row r="19491" spans="1:44">
      <c r="A19491" s="4" t="s">
        <v>117</v>
      </c>
      <c r="B19491" s="4">
        <v>3551</v>
      </c>
      <c r="D19491" s="5" t="s">
        <v>23932</v>
      </c>
      <c r="E19491" s="6" t="str">
        <f>HYPERLINK("https://inpn.mnhn.fr/espece/cd_nom/3551","Apus apus (Linnaeus, 1758)")</f>
        <v>Apus apus (Linnaeus, 1758)</v>
      </c>
      <c r="F19491" s="5" t="s">
        <v>23933</v>
      </c>
      <c r="I19491" s="4" t="str">
        <f>HYPERLINK("#Réglementation!A"&amp;_xlfn.XMATCH("IBE3",Réglementation!A:A,2,1),"IBE3")</f>
        <v>IBE3</v>
      </c>
      <c r="L19491" s="4" t="str">
        <f>HYPERLINK("#Réglementation!A"&amp;_xlfn.XMATCH("NO3",Réglementation!A:A,2,1),"NO3")</f>
        <v>NO3</v>
      </c>
      <c r="O19491" s="7" t="str">
        <f>HYPERLINK("#Liste_rouge!A"&amp;_xlfn.XMATCH("LC",Liste_rouge!A:A,2,1),"LC")</f>
        <v>LC</v>
      </c>
      <c r="P19491" s="7" t="str">
        <f>HYPERLINK("#Liste_rouge!A"&amp;_xlfn.XMATCH("NT",Liste_rouge!A:A,2,1),"NT")</f>
        <v>NT</v>
      </c>
      <c r="Q19491" s="7" t="str">
        <f>HYPERLINK("#Liste_rouge!A"&amp;_xlfn.XMATCH("NT",Liste_rouge!A:A,2,1),"NT")</f>
        <v>NT</v>
      </c>
      <c r="S19491" s="7" t="str">
        <f>HYPERLINK("#Liste_rouge!A"&amp;_xlfn.XMATCH("DD",Liste_rouge!A:A,2,1),"DD")</f>
        <v>DD</v>
      </c>
      <c r="T19491" s="7" t="str">
        <f>HYPERLINK("#Liste_rouge!A"&amp;_xlfn.XMATCH("DD",Liste_rouge!A:A,2,1),"DD")</f>
        <v>DD</v>
      </c>
      <c r="V19491" s="7" t="str">
        <f>HYPERLINK("#Liste_rouge!A"&amp;_xlfn.XMATCH("DD",Liste_rouge!A:A,2,1),"DD")</f>
        <v>DD</v>
      </c>
      <c r="AH19491" s="4" t="str">
        <f>HYPERLINK("#Statut_biogéographique!A"&amp;_xlfn.XMATCH("P",Statut_biogéographique!A:A,2,1),"P")</f>
        <v>P</v>
      </c>
      <c r="AM19491" s="4" t="s">
        <v>375</v>
      </c>
      <c r="AN19491" s="4" t="s">
        <v>375</v>
      </c>
      <c r="AO19491" s="4" t="s">
        <v>375</v>
      </c>
      <c r="AP19491" s="4" t="s">
        <v>376</v>
      </c>
      <c r="AR19491" s="4" t="s">
        <v>377</v>
      </c>
    </row>
    <row r="19492" spans="1:44">
      <c r="A19492" s="4" t="s">
        <v>117</v>
      </c>
      <c r="B19492" s="4">
        <v>3555</v>
      </c>
      <c r="D19492" s="5" t="s">
        <v>23934</v>
      </c>
      <c r="E19492" s="6" t="str">
        <f>HYPERLINK("https://inpn.mnhn.fr/espece/cd_nom/3555","Apus pallidus (Shelley, 1870)")</f>
        <v>Apus pallidus (Shelley, 1870)</v>
      </c>
      <c r="F19492" s="5" t="s">
        <v>23935</v>
      </c>
      <c r="I19492" s="4" t="str">
        <f>HYPERLINK("#Réglementation!A"&amp;_xlfn.XMATCH("IBE2",Réglementation!A:A,2,1),"IBE2")</f>
        <v>IBE2</v>
      </c>
      <c r="L19492" s="4" t="str">
        <f>HYPERLINK("#Réglementation!A"&amp;_xlfn.XMATCH("NO3",Réglementation!A:A,2,1),"NO3")</f>
        <v>NO3</v>
      </c>
      <c r="O19492" s="7" t="str">
        <f>HYPERLINK("#Liste_rouge!A"&amp;_xlfn.XMATCH("LC",Liste_rouge!A:A,2,1),"LC")</f>
        <v>LC</v>
      </c>
      <c r="P19492" s="7" t="str">
        <f>HYPERLINK("#Liste_rouge!A"&amp;_xlfn.XMATCH("LC",Liste_rouge!A:A,2,1),"LC")</f>
        <v>LC</v>
      </c>
      <c r="Q19492" s="7" t="str">
        <f>HYPERLINK("#Liste_rouge!A"&amp;_xlfn.XMATCH("LC",Liste_rouge!A:A,2,1),"LC")</f>
        <v>LC</v>
      </c>
      <c r="AH19492" s="4" t="str">
        <f>HYPERLINK("#Statut_biogéographique!A"&amp;_xlfn.XMATCH("P",Statut_biogéographique!A:A,2,1),"P")</f>
        <v>P</v>
      </c>
      <c r="AM19492" s="4" t="s">
        <v>375</v>
      </c>
      <c r="AN19492" s="4" t="s">
        <v>375</v>
      </c>
      <c r="AO19492" s="4" t="s">
        <v>375</v>
      </c>
      <c r="AP19492" s="4" t="s">
        <v>376</v>
      </c>
      <c r="AR19492" s="4" t="s">
        <v>377</v>
      </c>
    </row>
    <row r="19493" spans="1:44">
      <c r="A19493" s="4" t="s">
        <v>117</v>
      </c>
      <c r="B19493" s="4">
        <v>3561</v>
      </c>
      <c r="D19493" s="5" t="s">
        <v>23936</v>
      </c>
      <c r="E19493" s="6" t="str">
        <f>HYPERLINK("https://inpn.mnhn.fr/espece/cd_nom/3561","Tachymarptis melba (Linnaeus, 1758)")</f>
        <v>Tachymarptis melba (Linnaeus, 1758)</v>
      </c>
      <c r="F19493" s="5" t="s">
        <v>23937</v>
      </c>
      <c r="I19493" s="4" t="str">
        <f>HYPERLINK("#Réglementation!A"&amp;_xlfn.XMATCH("IBE2",Réglementation!A:A,2,1),"IBE2")</f>
        <v>IBE2</v>
      </c>
      <c r="L19493" s="4" t="str">
        <f>HYPERLINK("#Réglementation!A"&amp;_xlfn.XMATCH("NO3",Réglementation!A:A,2,1),"NO3")</f>
        <v>NO3</v>
      </c>
      <c r="O19493" s="7" t="str">
        <f>HYPERLINK("#Liste_rouge!A"&amp;_xlfn.XMATCH("LC",Liste_rouge!A:A,2,1),"LC")</f>
        <v>LC</v>
      </c>
      <c r="P19493" s="7" t="str">
        <f>HYPERLINK("#Liste_rouge!A"&amp;_xlfn.XMATCH("LC",Liste_rouge!A:A,2,1),"LC")</f>
        <v>LC</v>
      </c>
      <c r="Q19493" s="7" t="str">
        <f>HYPERLINK("#Liste_rouge!A"&amp;_xlfn.XMATCH("LC",Liste_rouge!A:A,2,1),"LC")</f>
        <v>LC</v>
      </c>
      <c r="T19493" s="7" t="str">
        <f>HYPERLINK("#Liste_rouge!A"&amp;_xlfn.XMATCH("EN",Liste_rouge!A:A,2,1),"EN")</f>
        <v>EN</v>
      </c>
      <c r="U19493" s="4" t="str">
        <f>HYPERLINK("#Critères_liste_rouge!A$1","D1 (CR -1)")</f>
        <v>D1 (CR -1)</v>
      </c>
      <c r="V19493" s="7" t="str">
        <f>HYPERLINK("#Liste_rouge!A"&amp;_xlfn.XMATCH("VU",Liste_rouge!A:A,2,1),"VU")</f>
        <v>VU</v>
      </c>
      <c r="W19493" s="4" t="str">
        <f>HYPERLINK("#Critères_liste_rouge!A$1","EN (D1) (-1)")</f>
        <v>EN (D1) (-1)</v>
      </c>
      <c r="X19493" s="5" t="s">
        <v>374</v>
      </c>
      <c r="AH19493" s="4" t="str">
        <f>HYPERLINK("#Statut_biogéographique!A"&amp;_xlfn.XMATCH("P",Statut_biogéographique!A:A,2,1),"P")</f>
        <v>P</v>
      </c>
      <c r="AM19493" s="4" t="s">
        <v>375</v>
      </c>
      <c r="AN19493" s="4" t="s">
        <v>375</v>
      </c>
      <c r="AO19493" s="4" t="s">
        <v>375</v>
      </c>
      <c r="AP19493" s="4" t="s">
        <v>376</v>
      </c>
      <c r="AR19493" s="4" t="s">
        <v>377</v>
      </c>
    </row>
    <row r="19494" spans="1:44">
      <c r="A19494" s="4" t="s">
        <v>117</v>
      </c>
      <c r="B19494" s="4">
        <v>3571</v>
      </c>
      <c r="D19494" s="5" t="s">
        <v>23938</v>
      </c>
      <c r="E19494" s="6" t="str">
        <f>HYPERLINK("https://inpn.mnhn.fr/espece/cd_nom/3571","Alcedo atthis (Linnaeus, 1758)")</f>
        <v>Alcedo atthis (Linnaeus, 1758)</v>
      </c>
      <c r="F19494" s="5" t="s">
        <v>23939</v>
      </c>
      <c r="I19494" s="4" t="str">
        <f>HYPERLINK("#Réglementation!A"&amp;_xlfn.XMATCH("IBE2",Réglementation!A:A,2,1),"IBE2")</f>
        <v>IBE2</v>
      </c>
      <c r="J19494" s="4" t="str">
        <f>HYPERLINK("#Réglementation!A"&amp;_xlfn.XMATCH("CDO1",Réglementation!A:A,2,1),"CDO1")</f>
        <v>CDO1</v>
      </c>
      <c r="L19494" s="4" t="str">
        <f>HYPERLINK("#Réglementation!A"&amp;_xlfn.XMATCH("NO3",Réglementation!A:A,2,1),"NO3")</f>
        <v>NO3</v>
      </c>
      <c r="O19494" s="7" t="str">
        <f>HYPERLINK("#Liste_rouge!A"&amp;_xlfn.XMATCH("LC",Liste_rouge!A:A,2,1),"LC")</f>
        <v>LC</v>
      </c>
      <c r="P19494" s="7" t="str">
        <f>HYPERLINK("#Liste_rouge!A"&amp;_xlfn.XMATCH("LC",Liste_rouge!A:A,2,1),"LC")</f>
        <v>LC</v>
      </c>
      <c r="Q19494" s="7" t="str">
        <f>HYPERLINK("#Liste_rouge!A"&amp;_xlfn.XMATCH("VU",Liste_rouge!A:A,2,1),"VU")</f>
        <v>VU</v>
      </c>
      <c r="R19494" s="7" t="str">
        <f>HYPERLINK("#Liste_rouge!A"&amp;_xlfn.XMATCH("NA",Liste_rouge!A:A,2,1),"NA")</f>
        <v>NA</v>
      </c>
      <c r="T19494" s="7" t="str">
        <f>HYPERLINK("#Liste_rouge!A"&amp;_xlfn.XMATCH("DD",Liste_rouge!A:A,2,1),"DD")</f>
        <v>DD</v>
      </c>
      <c r="V19494" s="7" t="str">
        <f>HYPERLINK("#Liste_rouge!A"&amp;_xlfn.XMATCH("NT",Liste_rouge!A:A,2,1),"NT")</f>
        <v>NT</v>
      </c>
      <c r="W19494" s="4" t="str">
        <f>HYPERLINK("#Critères_liste_rouge!A$1","pr. D1")</f>
        <v>pr. D1</v>
      </c>
      <c r="X19494" s="5" t="s">
        <v>374</v>
      </c>
      <c r="AH19494" s="4" t="str">
        <f>HYPERLINK("#Statut_biogéographique!A"&amp;_xlfn.XMATCH("P",Statut_biogéographique!A:A,2,1),"P")</f>
        <v>P</v>
      </c>
      <c r="AM19494" s="4" t="s">
        <v>375</v>
      </c>
      <c r="AN19494" s="4" t="s">
        <v>375</v>
      </c>
      <c r="AO19494" s="4" t="s">
        <v>375</v>
      </c>
      <c r="AP19494" s="4" t="s">
        <v>376</v>
      </c>
      <c r="AR19494" s="4" t="s">
        <v>377</v>
      </c>
    </row>
    <row r="19495" spans="1:44" ht="30">
      <c r="A19495" s="4" t="s">
        <v>117</v>
      </c>
      <c r="B19495" s="4">
        <v>3582</v>
      </c>
      <c r="D19495" s="5">
        <v>3582</v>
      </c>
      <c r="E19495" s="6" t="str">
        <f>HYPERLINK("https://inpn.mnhn.fr/espece/cd_nom/3582","Merops apiaster Linnaeus, 1758")</f>
        <v>Merops apiaster Linnaeus, 1758</v>
      </c>
      <c r="F19495" s="5" t="s">
        <v>23940</v>
      </c>
      <c r="H19495" s="4" t="str">
        <f>HYPERLINK("#Réglementation!A"&amp;_xlfn.XMATCH("IBO2",Réglementation!A:A,2,1),"IBO2")</f>
        <v>IBO2</v>
      </c>
      <c r="I19495" s="4" t="str">
        <f>HYPERLINK("#Réglementation!A"&amp;_xlfn.XMATCH("IBE2",Réglementation!A:A,2,1),"IBE2")</f>
        <v>IBE2</v>
      </c>
      <c r="L19495" s="4" t="str">
        <f>HYPERLINK("#Réglementation!A"&amp;_xlfn.XMATCH("NO3",Réglementation!A:A,2,1),"NO3")</f>
        <v>NO3</v>
      </c>
      <c r="O19495" s="7" t="str">
        <f>HYPERLINK("#Liste_rouge!A"&amp;_xlfn.XMATCH("LC",Liste_rouge!A:A,2,1),"LC")</f>
        <v>LC</v>
      </c>
      <c r="P19495" s="7" t="str">
        <f>HYPERLINK("#Liste_rouge!A"&amp;_xlfn.XMATCH("LC",Liste_rouge!A:A,2,1),"LC")</f>
        <v>LC</v>
      </c>
      <c r="Q19495" s="7" t="str">
        <f>HYPERLINK("#Liste_rouge!A"&amp;_xlfn.XMATCH("LC",Liste_rouge!A:A,2,1),"LC")</f>
        <v>LC</v>
      </c>
      <c r="S19495" s="7" t="str">
        <f>HYPERLINK("#Liste_rouge!A"&amp;_xlfn.XMATCH("NA",Liste_rouge!A:A,2,1),"NA")</f>
        <v>NA</v>
      </c>
      <c r="T19495" s="7" t="str">
        <f>HYPERLINK("#Liste_rouge!A"&amp;_xlfn.XMATCH("LC",Liste_rouge!A:A,2,1),"LC")</f>
        <v>LC</v>
      </c>
      <c r="V19495" s="7" t="str">
        <f>HYPERLINK("#Liste_rouge!A"&amp;_xlfn.XMATCH("NT",Liste_rouge!A:A,2,1),"NT")</f>
        <v>NT</v>
      </c>
      <c r="W19495" s="4" t="str">
        <f>HYPERLINK("#Critères_liste_rouge!A$1","VU (D1) (-1)")</f>
        <v>VU (D1) (-1)</v>
      </c>
      <c r="X19495" s="5" t="s">
        <v>23439</v>
      </c>
      <c r="Y19495" s="5" t="s">
        <v>23941</v>
      </c>
      <c r="AH19495" s="4" t="str">
        <f>HYPERLINK("#Statut_biogéographique!A"&amp;_xlfn.XMATCH("P",Statut_biogéographique!A:A,2,1),"P")</f>
        <v>P</v>
      </c>
      <c r="AM19495" s="4" t="s">
        <v>375</v>
      </c>
      <c r="AN19495" s="4" t="s">
        <v>375</v>
      </c>
      <c r="AO19495" s="4" t="s">
        <v>375</v>
      </c>
      <c r="AP19495" s="4" t="s">
        <v>376</v>
      </c>
      <c r="AR19495" s="4" t="s">
        <v>377</v>
      </c>
    </row>
    <row r="19496" spans="1:44">
      <c r="A19496" s="4" t="s">
        <v>117</v>
      </c>
      <c r="B19496" s="4">
        <v>3586</v>
      </c>
      <c r="D19496" s="5">
        <v>3586</v>
      </c>
      <c r="E19496" s="6" t="str">
        <f>HYPERLINK("https://inpn.mnhn.fr/espece/cd_nom/3586","Coracias garrulus Linnaeus, 1758")</f>
        <v>Coracias garrulus Linnaeus, 1758</v>
      </c>
      <c r="F19496" s="5" t="s">
        <v>23942</v>
      </c>
      <c r="H19496" s="4" t="str">
        <f>HYPERLINK("#Réglementation!A"&amp;_xlfn.XMATCH("IBO2",Réglementation!A:A,2,1),"IBO2")</f>
        <v>IBO2</v>
      </c>
      <c r="I19496" s="4" t="str">
        <f>HYPERLINK("#Réglementation!A"&amp;_xlfn.XMATCH("IBE2",Réglementation!A:A,2,1),"IBE2")</f>
        <v>IBE2</v>
      </c>
      <c r="J19496" s="4" t="str">
        <f>HYPERLINK("#Réglementation!A"&amp;_xlfn.XMATCH("CDO1",Réglementation!A:A,2,1),"CDO1")</f>
        <v>CDO1</v>
      </c>
      <c r="L19496" s="4" t="str">
        <f>HYPERLINK("#Réglementation!A"&amp;_xlfn.XMATCH("NO3",Réglementation!A:A,2,1),"NO3")</f>
        <v>NO3</v>
      </c>
      <c r="O19496" s="7" t="str">
        <f>HYPERLINK("#Liste_rouge!A"&amp;_xlfn.XMATCH("LC",Liste_rouge!A:A,2,1),"LC")</f>
        <v>LC</v>
      </c>
      <c r="P19496" s="7" t="str">
        <f>HYPERLINK("#Liste_rouge!A"&amp;_xlfn.XMATCH("LC",Liste_rouge!A:A,2,1),"LC")</f>
        <v>LC</v>
      </c>
      <c r="Q19496" s="7" t="str">
        <f>HYPERLINK("#Liste_rouge!A"&amp;_xlfn.XMATCH("NT",Liste_rouge!A:A,2,1),"NT")</f>
        <v>NT</v>
      </c>
      <c r="S19496" s="7" t="str">
        <f>HYPERLINK("#Liste_rouge!A"&amp;_xlfn.XMATCH("NA",Liste_rouge!A:A,2,1),"NA")</f>
        <v>NA</v>
      </c>
      <c r="AE19496" s="4" t="str">
        <f>HYPERLINK("#SCAP!A"&amp;_xlfn.XMATCH("2+",SCAP!A:A,2,1),"2+")</f>
        <v>2+</v>
      </c>
      <c r="AH19496" s="4" t="str">
        <f>HYPERLINK("#Statut_biogéographique!A"&amp;_xlfn.XMATCH("P",Statut_biogéographique!A:A,2,1),"P")</f>
        <v>P</v>
      </c>
      <c r="AM19496" s="4" t="s">
        <v>375</v>
      </c>
      <c r="AN19496" s="4" t="s">
        <v>375</v>
      </c>
      <c r="AO19496" s="4" t="s">
        <v>375</v>
      </c>
      <c r="AP19496" s="4" t="s">
        <v>376</v>
      </c>
      <c r="AR19496" s="4" t="s">
        <v>377</v>
      </c>
    </row>
    <row r="19497" spans="1:44" ht="30">
      <c r="A19497" s="4" t="s">
        <v>117</v>
      </c>
      <c r="B19497" s="4">
        <v>3590</v>
      </c>
      <c r="D19497" s="5">
        <v>3590</v>
      </c>
      <c r="E19497" s="6" t="str">
        <f>HYPERLINK("https://inpn.mnhn.fr/espece/cd_nom/3590","Upupa epops Linnaeus, 1758")</f>
        <v>Upupa epops Linnaeus, 1758</v>
      </c>
      <c r="F19497" s="5" t="s">
        <v>23943</v>
      </c>
      <c r="I19497" s="4" t="str">
        <f>HYPERLINK("#Réglementation!A"&amp;_xlfn.XMATCH("IBE3",Réglementation!A:A,2,1),"IBE3")</f>
        <v>IBE3</v>
      </c>
      <c r="L19497" s="4" t="str">
        <f>HYPERLINK("#Réglementation!A"&amp;_xlfn.XMATCH("NO3",Réglementation!A:A,2,1),"NO3")</f>
        <v>NO3</v>
      </c>
      <c r="O19497" s="7" t="str">
        <f>HYPERLINK("#Liste_rouge!A"&amp;_xlfn.XMATCH("LC",Liste_rouge!A:A,2,1),"LC")</f>
        <v>LC</v>
      </c>
      <c r="P19497" s="7" t="str">
        <f>HYPERLINK("#Liste_rouge!A"&amp;_xlfn.XMATCH("LC",Liste_rouge!A:A,2,1),"LC")</f>
        <v>LC</v>
      </c>
      <c r="Q19497" s="7" t="str">
        <f>HYPERLINK("#Liste_rouge!A"&amp;_xlfn.XMATCH("LC",Liste_rouge!A:A,2,1),"LC")</f>
        <v>LC</v>
      </c>
      <c r="R19497" s="7" t="str">
        <f>HYPERLINK("#Liste_rouge!A"&amp;_xlfn.XMATCH("NA",Liste_rouge!A:A,2,1),"NA")</f>
        <v>NA</v>
      </c>
      <c r="T19497" s="7" t="str">
        <f>HYPERLINK("#Liste_rouge!A"&amp;_xlfn.XMATCH("LC",Liste_rouge!A:A,2,1),"LC")</f>
        <v>LC</v>
      </c>
      <c r="V19497" s="7" t="str">
        <f>HYPERLINK("#Liste_rouge!A"&amp;_xlfn.XMATCH("VU",Liste_rouge!A:A,2,1),"VU")</f>
        <v>VU</v>
      </c>
      <c r="W19497" s="4" t="str">
        <f>HYPERLINK("#Critères_liste_rouge!A$1","D1")</f>
        <v>D1</v>
      </c>
      <c r="X19497" s="5" t="s">
        <v>23439</v>
      </c>
      <c r="Y19497" s="5" t="s">
        <v>23944</v>
      </c>
      <c r="AH19497" s="4" t="str">
        <f>HYPERLINK("#Statut_biogéographique!A"&amp;_xlfn.XMATCH("P",Statut_biogéographique!A:A,2,1),"P")</f>
        <v>P</v>
      </c>
      <c r="AM19497" s="4" t="s">
        <v>375</v>
      </c>
      <c r="AN19497" s="4" t="s">
        <v>375</v>
      </c>
      <c r="AO19497" s="4" t="s">
        <v>375</v>
      </c>
      <c r="AP19497" s="4" t="s">
        <v>376</v>
      </c>
      <c r="AR19497" s="4" t="s">
        <v>377</v>
      </c>
    </row>
    <row r="19498" spans="1:44" ht="60">
      <c r="A19498" s="4" t="s">
        <v>117</v>
      </c>
      <c r="B19498" s="4">
        <v>3595</v>
      </c>
      <c r="D19498" s="5" t="s">
        <v>23945</v>
      </c>
      <c r="E19498" s="6" t="str">
        <f>HYPERLINK("https://inpn.mnhn.fr/espece/cd_nom/3595","Jynx torquilla Linnaeus, 1758")</f>
        <v>Jynx torquilla Linnaeus, 1758</v>
      </c>
      <c r="F19498" s="5" t="s">
        <v>23946</v>
      </c>
      <c r="I19498" s="4" t="str">
        <f>HYPERLINK("#Réglementation!A"&amp;_xlfn.XMATCH("IBE2",Réglementation!A:A,2,1),"IBE2")</f>
        <v>IBE2</v>
      </c>
      <c r="L19498" s="4" t="str">
        <f>HYPERLINK("#Réglementation!A"&amp;_xlfn.XMATCH("NO3",Réglementation!A:A,2,1),"NO3")</f>
        <v>NO3</v>
      </c>
      <c r="O19498" s="7" t="str">
        <f>HYPERLINK("#Liste_rouge!A"&amp;_xlfn.XMATCH("LC",Liste_rouge!A:A,2,1),"LC")</f>
        <v>LC</v>
      </c>
      <c r="P19498" s="7" t="str">
        <f>HYPERLINK("#Liste_rouge!A"&amp;_xlfn.XMATCH("LC",Liste_rouge!A:A,2,1),"LC")</f>
        <v>LC</v>
      </c>
      <c r="Q19498" s="7" t="str">
        <f>HYPERLINK("#Liste_rouge!A"&amp;_xlfn.XMATCH("LC",Liste_rouge!A:A,2,1),"LC")</f>
        <v>LC</v>
      </c>
      <c r="R19498" s="7" t="str">
        <f>HYPERLINK("#Liste_rouge!A"&amp;_xlfn.XMATCH("NA",Liste_rouge!A:A,2,1),"NA")</f>
        <v>NA</v>
      </c>
      <c r="S19498" s="7" t="str">
        <f>HYPERLINK("#Liste_rouge!A"&amp;_xlfn.XMATCH("NA",Liste_rouge!A:A,2,1),"NA")</f>
        <v>NA</v>
      </c>
      <c r="T19498" s="7" t="str">
        <f>HYPERLINK("#Liste_rouge!A"&amp;_xlfn.XMATCH("DD",Liste_rouge!A:A,2,1),"DD")</f>
        <v>DD</v>
      </c>
      <c r="V19498" s="7" t="str">
        <f>HYPERLINK("#Liste_rouge!A"&amp;_xlfn.XMATCH("VU",Liste_rouge!A:A,2,1),"VU")</f>
        <v>VU</v>
      </c>
      <c r="W19498" s="4" t="str">
        <f>HYPERLINK("#Critères_liste_rouge!A$1","A2b")</f>
        <v>A2b</v>
      </c>
      <c r="X19498" s="5" t="s">
        <v>23439</v>
      </c>
      <c r="Y19498" s="5" t="s">
        <v>23481</v>
      </c>
      <c r="AH19498" s="4" t="str">
        <f>HYPERLINK("#Statut_biogéographique!A"&amp;_xlfn.XMATCH("P",Statut_biogéographique!A:A,2,1),"P")</f>
        <v>P</v>
      </c>
      <c r="AM19498" s="4" t="s">
        <v>375</v>
      </c>
      <c r="AN19498" s="4" t="s">
        <v>375</v>
      </c>
      <c r="AO19498" s="4" t="s">
        <v>375</v>
      </c>
      <c r="AP19498" s="4" t="s">
        <v>376</v>
      </c>
      <c r="AR19498" s="4" t="s">
        <v>377</v>
      </c>
    </row>
    <row r="19499" spans="1:44">
      <c r="A19499" s="4" t="s">
        <v>117</v>
      </c>
      <c r="B19499" s="4">
        <v>3601</v>
      </c>
      <c r="D19499" s="5">
        <v>3601</v>
      </c>
      <c r="E19499" s="6" t="str">
        <f>HYPERLINK("https://inpn.mnhn.fr/espece/cd_nom/3601","Picus canus Gmelin, 1788")</f>
        <v>Picus canus Gmelin, 1788</v>
      </c>
      <c r="F19499" s="5" t="s">
        <v>23947</v>
      </c>
      <c r="I19499" s="4" t="str">
        <f>HYPERLINK("#Réglementation!A"&amp;_xlfn.XMATCH("IBE2",Réglementation!A:A,2,1),"IBE2")</f>
        <v>IBE2</v>
      </c>
      <c r="J19499" s="4" t="str">
        <f>HYPERLINK("#Réglementation!A"&amp;_xlfn.XMATCH("CDO1",Réglementation!A:A,2,1),"CDO1")</f>
        <v>CDO1</v>
      </c>
      <c r="L19499" s="4" t="str">
        <f>HYPERLINK("#Réglementation!A"&amp;_xlfn.XMATCH("NO3",Réglementation!A:A,2,1),"NO3")</f>
        <v>NO3</v>
      </c>
      <c r="O19499" s="7" t="str">
        <f>HYPERLINK("#Liste_rouge!A"&amp;_xlfn.XMATCH("LC",Liste_rouge!A:A,2,1),"LC")</f>
        <v>LC</v>
      </c>
      <c r="P19499" s="7" t="str">
        <f>HYPERLINK("#Liste_rouge!A"&amp;_xlfn.XMATCH("LC",Liste_rouge!A:A,2,1),"LC")</f>
        <v>LC</v>
      </c>
      <c r="Q19499" s="7" t="str">
        <f>HYPERLINK("#Liste_rouge!A"&amp;_xlfn.XMATCH("EN",Liste_rouge!A:A,2,1),"EN")</f>
        <v>EN</v>
      </c>
      <c r="T19499" s="7" t="str">
        <f>HYPERLINK("#Liste_rouge!A"&amp;_xlfn.XMATCH("NT",Liste_rouge!A:A,2,1),"NT")</f>
        <v>NT</v>
      </c>
      <c r="U19499" s="4" t="str">
        <f>HYPERLINK("#Critères_liste_rouge!A$1","pr. C1")</f>
        <v>pr. C1</v>
      </c>
      <c r="V19499" s="7" t="str">
        <f>HYPERLINK("#Liste_rouge!A"&amp;_xlfn.XMATCH("VU",Liste_rouge!A:A,2,1),"VU")</f>
        <v>VU</v>
      </c>
      <c r="W19499" s="4" t="str">
        <f>HYPERLINK("#Critères_liste_rouge!A$1","D1")</f>
        <v>D1</v>
      </c>
      <c r="X19499" s="5" t="s">
        <v>374</v>
      </c>
      <c r="AE19499" s="4" t="str">
        <f>HYPERLINK("#SCAP!A"&amp;_xlfn.XMATCH("1+",SCAP!A:A,2,1),"1+")</f>
        <v>1+</v>
      </c>
      <c r="AF19499" s="4" t="str">
        <f>HYPERLINK("#SCAP!A"&amp;_xlfn.XMATCH("1+",SCAP!A:A,2,1),"1+")</f>
        <v>1+</v>
      </c>
      <c r="AG19499" s="4" t="str">
        <f>HYPERLINK("#SCAP!A"&amp;_xlfn.XMATCH("3",SCAP!A:A,2,1),"3")</f>
        <v>3</v>
      </c>
      <c r="AH19499" s="4" t="str">
        <f>HYPERLINK("#Statut_biogéographique!A"&amp;_xlfn.XMATCH("P",Statut_biogéographique!A:A,2,1),"P")</f>
        <v>P</v>
      </c>
      <c r="AM19499" s="4" t="s">
        <v>375</v>
      </c>
      <c r="AN19499" s="4" t="s">
        <v>375</v>
      </c>
      <c r="AO19499" s="4" t="s">
        <v>375</v>
      </c>
      <c r="AP19499" s="4" t="s">
        <v>389</v>
      </c>
      <c r="AR19499" s="4" t="s">
        <v>377</v>
      </c>
    </row>
    <row r="19500" spans="1:44">
      <c r="A19500" s="4" t="s">
        <v>117</v>
      </c>
      <c r="B19500" s="4">
        <v>3603</v>
      </c>
      <c r="D19500" s="5">
        <v>3603</v>
      </c>
      <c r="E19500" s="6" t="str">
        <f>HYPERLINK("https://inpn.mnhn.fr/espece/cd_nom/3603","Picus viridis Linnaeus, 1758")</f>
        <v>Picus viridis Linnaeus, 1758</v>
      </c>
      <c r="F19500" s="5" t="s">
        <v>23948</v>
      </c>
      <c r="I19500" s="4" t="str">
        <f>HYPERLINK("#Réglementation!A"&amp;_xlfn.XMATCH("IBE2",Réglementation!A:A,2,1),"IBE2")</f>
        <v>IBE2</v>
      </c>
      <c r="L19500" s="4" t="str">
        <f>HYPERLINK("#Réglementation!A"&amp;_xlfn.XMATCH("NO3",Réglementation!A:A,2,1),"NO3")</f>
        <v>NO3</v>
      </c>
      <c r="O19500" s="7" t="str">
        <f>HYPERLINK("#Liste_rouge!A"&amp;_xlfn.XMATCH("LC",Liste_rouge!A:A,2,1),"LC")</f>
        <v>LC</v>
      </c>
      <c r="P19500" s="7" t="str">
        <f>HYPERLINK("#Liste_rouge!A"&amp;_xlfn.XMATCH("LC",Liste_rouge!A:A,2,1),"LC")</f>
        <v>LC</v>
      </c>
      <c r="Q19500" s="7" t="str">
        <f>HYPERLINK("#Liste_rouge!A"&amp;_xlfn.XMATCH("LC",Liste_rouge!A:A,2,1),"LC")</f>
        <v>LC</v>
      </c>
      <c r="T19500" s="7" t="str">
        <f>HYPERLINK("#Liste_rouge!A"&amp;_xlfn.XMATCH("LC",Liste_rouge!A:A,2,1),"LC")</f>
        <v>LC</v>
      </c>
      <c r="V19500" s="7" t="str">
        <f>HYPERLINK("#Liste_rouge!A"&amp;_xlfn.XMATCH("LC",Liste_rouge!A:A,2,1),"LC")</f>
        <v>LC</v>
      </c>
      <c r="AH19500" s="4" t="str">
        <f>HYPERLINK("#Statut_biogéographique!A"&amp;_xlfn.XMATCH("P",Statut_biogéographique!A:A,2,1),"P")</f>
        <v>P</v>
      </c>
      <c r="AM19500" s="4" t="s">
        <v>375</v>
      </c>
      <c r="AN19500" s="4" t="s">
        <v>375</v>
      </c>
      <c r="AO19500" s="4" t="s">
        <v>375</v>
      </c>
      <c r="AP19500" s="4" t="s">
        <v>376</v>
      </c>
      <c r="AR19500" s="4" t="s">
        <v>377</v>
      </c>
    </row>
    <row r="19501" spans="1:44" ht="30">
      <c r="A19501" s="4" t="s">
        <v>117</v>
      </c>
      <c r="B19501" s="4">
        <v>3608</v>
      </c>
      <c r="D19501" s="5" t="s">
        <v>23949</v>
      </c>
      <c r="E19501" s="6" t="str">
        <f>HYPERLINK("https://inpn.mnhn.fr/espece/cd_nom/3608","Dryocopus martius (Linnaeus, 1758)")</f>
        <v>Dryocopus martius (Linnaeus, 1758)</v>
      </c>
      <c r="F19501" s="5" t="s">
        <v>23950</v>
      </c>
      <c r="I19501" s="4" t="str">
        <f>HYPERLINK("#Réglementation!A"&amp;_xlfn.XMATCH("IBE2",Réglementation!A:A,2,1),"IBE2")</f>
        <v>IBE2</v>
      </c>
      <c r="J19501" s="4" t="str">
        <f>HYPERLINK("#Réglementation!A"&amp;_xlfn.XMATCH("CDO1",Réglementation!A:A,2,1),"CDO1")</f>
        <v>CDO1</v>
      </c>
      <c r="L19501" s="4" t="str">
        <f>HYPERLINK("#Réglementation!A"&amp;_xlfn.XMATCH("NO3",Réglementation!A:A,2,1),"NO3")</f>
        <v>NO3</v>
      </c>
      <c r="O19501" s="7" t="str">
        <f>HYPERLINK("#Liste_rouge!A"&amp;_xlfn.XMATCH("LC",Liste_rouge!A:A,2,1),"LC")</f>
        <v>LC</v>
      </c>
      <c r="P19501" s="7" t="str">
        <f>HYPERLINK("#Liste_rouge!A"&amp;_xlfn.XMATCH("LC",Liste_rouge!A:A,2,1),"LC")</f>
        <v>LC</v>
      </c>
      <c r="Q19501" s="7" t="str">
        <f>HYPERLINK("#Liste_rouge!A"&amp;_xlfn.XMATCH("LC",Liste_rouge!A:A,2,1),"LC")</f>
        <v>LC</v>
      </c>
      <c r="T19501" s="7" t="str">
        <f>HYPERLINK("#Liste_rouge!A"&amp;_xlfn.XMATCH("LC",Liste_rouge!A:A,2,1),"LC")</f>
        <v>LC</v>
      </c>
      <c r="V19501" s="7" t="str">
        <f>HYPERLINK("#Liste_rouge!A"&amp;_xlfn.XMATCH("LC",Liste_rouge!A:A,2,1),"LC")</f>
        <v>LC</v>
      </c>
      <c r="X19501" s="5" t="s">
        <v>23439</v>
      </c>
      <c r="Y19501" s="5" t="s">
        <v>23951</v>
      </c>
      <c r="AH19501" s="4" t="str">
        <f>HYPERLINK("#Statut_biogéographique!A"&amp;_xlfn.XMATCH("P",Statut_biogéographique!A:A,2,1),"P")</f>
        <v>P</v>
      </c>
      <c r="AM19501" s="4" t="s">
        <v>375</v>
      </c>
      <c r="AN19501" s="4" t="s">
        <v>375</v>
      </c>
      <c r="AO19501" s="4" t="s">
        <v>375</v>
      </c>
      <c r="AP19501" s="4" t="s">
        <v>376</v>
      </c>
      <c r="AR19501" s="4" t="s">
        <v>377</v>
      </c>
    </row>
    <row r="19502" spans="1:44">
      <c r="A19502" s="4" t="s">
        <v>117</v>
      </c>
      <c r="B19502" s="4">
        <v>3611</v>
      </c>
      <c r="D19502" s="5" t="s">
        <v>23952</v>
      </c>
      <c r="E19502" s="6" t="str">
        <f>HYPERLINK("https://inpn.mnhn.fr/espece/cd_nom/3611","Dendrocopos major (Linnaeus, 1758)")</f>
        <v>Dendrocopos major (Linnaeus, 1758)</v>
      </c>
      <c r="F19502" s="5" t="s">
        <v>23953</v>
      </c>
      <c r="I19502" s="4" t="str">
        <f>HYPERLINK("#Réglementation!A"&amp;_xlfn.XMATCH("IBE2",Réglementation!A:A,2,1),"IBE2")</f>
        <v>IBE2</v>
      </c>
      <c r="L19502" s="4" t="str">
        <f>HYPERLINK("#Réglementation!A"&amp;_xlfn.XMATCH("NO3",Réglementation!A:A,2,1),"NO3")</f>
        <v>NO3</v>
      </c>
      <c r="O19502" s="7" t="str">
        <f>HYPERLINK("#Liste_rouge!A"&amp;_xlfn.XMATCH("LC",Liste_rouge!A:A,2,1),"LC")</f>
        <v>LC</v>
      </c>
      <c r="P19502" s="7" t="str">
        <f>HYPERLINK("#Liste_rouge!A"&amp;_xlfn.XMATCH("LC",Liste_rouge!A:A,2,1),"LC")</f>
        <v>LC</v>
      </c>
      <c r="Q19502" s="7" t="str">
        <f>HYPERLINK("#Liste_rouge!A"&amp;_xlfn.XMATCH("LC",Liste_rouge!A:A,2,1),"LC")</f>
        <v>LC</v>
      </c>
      <c r="R19502" s="7" t="str">
        <f>HYPERLINK("#Liste_rouge!A"&amp;_xlfn.XMATCH("NA",Liste_rouge!A:A,2,1),"NA")</f>
        <v>NA</v>
      </c>
      <c r="T19502" s="7" t="str">
        <f>HYPERLINK("#Liste_rouge!A"&amp;_xlfn.XMATCH("LC",Liste_rouge!A:A,2,1),"LC")</f>
        <v>LC</v>
      </c>
      <c r="V19502" s="7" t="str">
        <f>HYPERLINK("#Liste_rouge!A"&amp;_xlfn.XMATCH("LC",Liste_rouge!A:A,2,1),"LC")</f>
        <v>LC</v>
      </c>
      <c r="AH19502" s="4" t="str">
        <f>HYPERLINK("#Statut_biogéographique!A"&amp;_xlfn.XMATCH("P",Statut_biogéographique!A:A,2,1),"P")</f>
        <v>P</v>
      </c>
      <c r="AM19502" s="4" t="s">
        <v>375</v>
      </c>
      <c r="AN19502" s="4" t="s">
        <v>375</v>
      </c>
      <c r="AO19502" s="4" t="s">
        <v>375</v>
      </c>
      <c r="AP19502" s="4" t="s">
        <v>376</v>
      </c>
      <c r="AR19502" s="4" t="s">
        <v>377</v>
      </c>
    </row>
    <row r="19503" spans="1:44" ht="30">
      <c r="A19503" s="4" t="s">
        <v>117</v>
      </c>
      <c r="B19503" s="4">
        <v>3619</v>
      </c>
      <c r="D19503" s="5" t="s">
        <v>23954</v>
      </c>
      <c r="E19503" s="6" t="str">
        <f>HYPERLINK("https://inpn.mnhn.fr/espece/cd_nom/3619","Dendrocopos medius (Linnaeus, 1758)")</f>
        <v>Dendrocopos medius (Linnaeus, 1758)</v>
      </c>
      <c r="F19503" s="5" t="s">
        <v>23955</v>
      </c>
      <c r="I19503" s="4" t="str">
        <f>HYPERLINK("#Réglementation!A"&amp;_xlfn.XMATCH("IBE2",Réglementation!A:A,2,1),"IBE2")</f>
        <v>IBE2</v>
      </c>
      <c r="J19503" s="4" t="str">
        <f>HYPERLINK("#Réglementation!A"&amp;_xlfn.XMATCH("CDO1",Réglementation!A:A,2,1),"CDO1")</f>
        <v>CDO1</v>
      </c>
      <c r="L19503" s="4" t="str">
        <f>HYPERLINK("#Réglementation!A"&amp;_xlfn.XMATCH("NO3",Réglementation!A:A,2,1),"NO3")</f>
        <v>NO3</v>
      </c>
      <c r="O19503" s="7" t="str">
        <f>HYPERLINK("#Liste_rouge!A"&amp;_xlfn.XMATCH("LC",Liste_rouge!A:A,2,1),"LC")</f>
        <v>LC</v>
      </c>
      <c r="P19503" s="7" t="str">
        <f>HYPERLINK("#Liste_rouge!A"&amp;_xlfn.XMATCH("LC",Liste_rouge!A:A,2,1),"LC")</f>
        <v>LC</v>
      </c>
      <c r="Q19503" s="7" t="str">
        <f>HYPERLINK("#Liste_rouge!A"&amp;_xlfn.XMATCH("LC",Liste_rouge!A:A,2,1),"LC")</f>
        <v>LC</v>
      </c>
      <c r="T19503" s="7" t="str">
        <f>HYPERLINK("#Liste_rouge!A"&amp;_xlfn.XMATCH("LC",Liste_rouge!A:A,2,1),"LC")</f>
        <v>LC</v>
      </c>
      <c r="V19503" s="7" t="str">
        <f>HYPERLINK("#Liste_rouge!A"&amp;_xlfn.XMATCH("LC",Liste_rouge!A:A,2,1),"LC")</f>
        <v>LC</v>
      </c>
      <c r="X19503" s="5" t="s">
        <v>23439</v>
      </c>
      <c r="Y19503" s="5" t="s">
        <v>23951</v>
      </c>
      <c r="AE19503" s="4" t="str">
        <f>HYPERLINK("#SCAP!A"&amp;_xlfn.XMATCH("1+",SCAP!A:A,2,1),"1+")</f>
        <v>1+</v>
      </c>
      <c r="AF19503" s="4" t="str">
        <f>HYPERLINK("#SCAP!A"&amp;_xlfn.XMATCH("2+",SCAP!A:A,2,1),"2+")</f>
        <v>2+</v>
      </c>
      <c r="AG19503" s="4" t="str">
        <f>HYPERLINK("#SCAP!A"&amp;_xlfn.XMATCH("3",SCAP!A:A,2,1),"3")</f>
        <v>3</v>
      </c>
      <c r="AH19503" s="4" t="str">
        <f>HYPERLINK("#Statut_biogéographique!A"&amp;_xlfn.XMATCH("P",Statut_biogéographique!A:A,2,1),"P")</f>
        <v>P</v>
      </c>
      <c r="AM19503" s="4" t="s">
        <v>375</v>
      </c>
      <c r="AN19503" s="4" t="s">
        <v>375</v>
      </c>
      <c r="AO19503" s="4" t="s">
        <v>375</v>
      </c>
      <c r="AP19503" s="4" t="s">
        <v>376</v>
      </c>
      <c r="AR19503" s="4" t="s">
        <v>377</v>
      </c>
    </row>
    <row r="19504" spans="1:44">
      <c r="A19504" s="4" t="s">
        <v>117</v>
      </c>
      <c r="B19504" s="4">
        <v>3625</v>
      </c>
      <c r="D19504" s="5" t="s">
        <v>23956</v>
      </c>
      <c r="E19504" s="6" t="str">
        <f>HYPERLINK("https://inpn.mnhn.fr/espece/cd_nom/3625","Dendrocopos leucotos (Bechstein, 1803)")</f>
        <v>Dendrocopos leucotos (Bechstein, 1803)</v>
      </c>
      <c r="F19504" s="5" t="s">
        <v>23957</v>
      </c>
      <c r="I19504" s="4" t="str">
        <f>HYPERLINK("#Réglementation!A"&amp;_xlfn.XMATCH("IBE2",Réglementation!A:A,2,1),"IBE2")</f>
        <v>IBE2</v>
      </c>
      <c r="J19504" s="4" t="str">
        <f>HYPERLINK("#Réglementation!A"&amp;_xlfn.XMATCH("CDO1",Réglementation!A:A,2,1),"CDO1")</f>
        <v>CDO1</v>
      </c>
      <c r="L19504" s="4" t="str">
        <f>HYPERLINK("#Réglementation!A"&amp;_xlfn.XMATCH("NO3",Réglementation!A:A,2,1),"NO3")</f>
        <v>NO3</v>
      </c>
      <c r="O19504" s="7" t="str">
        <f>HYPERLINK("#Liste_rouge!A"&amp;_xlfn.XMATCH("LC",Liste_rouge!A:A,2,1),"LC")</f>
        <v>LC</v>
      </c>
      <c r="P19504" s="7" t="str">
        <f>HYPERLINK("#Liste_rouge!A"&amp;_xlfn.XMATCH("LC",Liste_rouge!A:A,2,1),"LC")</f>
        <v>LC</v>
      </c>
      <c r="Q19504" s="7" t="str">
        <f>HYPERLINK("#Liste_rouge!A"&amp;_xlfn.XMATCH("VU",Liste_rouge!A:A,2,1),"VU")</f>
        <v>VU</v>
      </c>
      <c r="AE19504" s="4" t="str">
        <f>HYPERLINK("#SCAP!A"&amp;_xlfn.XMATCH("2+",SCAP!A:A,2,1),"2+")</f>
        <v>2+</v>
      </c>
      <c r="AH19504" s="4" t="str">
        <f>HYPERLINK("#Statut_biogéographique!A"&amp;_xlfn.XMATCH("P",Statut_biogéographique!A:A,2,1),"P")</f>
        <v>P</v>
      </c>
      <c r="AM19504" s="4" t="s">
        <v>375</v>
      </c>
      <c r="AN19504" s="4" t="s">
        <v>375</v>
      </c>
      <c r="AO19504" s="4" t="s">
        <v>375</v>
      </c>
      <c r="AP19504" s="4" t="s">
        <v>389</v>
      </c>
      <c r="AR19504" s="4" t="s">
        <v>377</v>
      </c>
    </row>
    <row r="19505" spans="1:44" ht="60">
      <c r="A19505" s="4" t="s">
        <v>117</v>
      </c>
      <c r="B19505" s="4">
        <v>3630</v>
      </c>
      <c r="D19505" s="5" t="s">
        <v>23958</v>
      </c>
      <c r="E19505" s="6" t="str">
        <f>HYPERLINK("https://inpn.mnhn.fr/espece/cd_nom/3630","Dendrocopos minor (Linnaeus, 1758)")</f>
        <v>Dendrocopos minor (Linnaeus, 1758)</v>
      </c>
      <c r="F19505" s="5" t="s">
        <v>23959</v>
      </c>
      <c r="I19505" s="4" t="str">
        <f>HYPERLINK("#Réglementation!A"&amp;_xlfn.XMATCH("IBE2",Réglementation!A:A,2,1),"IBE2")</f>
        <v>IBE2</v>
      </c>
      <c r="L19505" s="4" t="str">
        <f>HYPERLINK("#Réglementation!A"&amp;_xlfn.XMATCH("NO3",Réglementation!A:A,2,1),"NO3")</f>
        <v>NO3</v>
      </c>
      <c r="O19505" s="7" t="str">
        <f>HYPERLINK("#Liste_rouge!A"&amp;_xlfn.XMATCH("LC",Liste_rouge!A:A,2,1),"LC")</f>
        <v>LC</v>
      </c>
      <c r="P19505" s="7" t="str">
        <f>HYPERLINK("#Liste_rouge!A"&amp;_xlfn.XMATCH("LC",Liste_rouge!A:A,2,1),"LC")</f>
        <v>LC</v>
      </c>
      <c r="Q19505" s="7" t="str">
        <f>HYPERLINK("#Liste_rouge!A"&amp;_xlfn.XMATCH("VU",Liste_rouge!A:A,2,1),"VU")</f>
        <v>VU</v>
      </c>
      <c r="T19505" s="7" t="str">
        <f>HYPERLINK("#Liste_rouge!A"&amp;_xlfn.XMATCH("LC",Liste_rouge!A:A,2,1),"LC")</f>
        <v>LC</v>
      </c>
      <c r="V19505" s="7" t="str">
        <f>HYPERLINK("#Liste_rouge!A"&amp;_xlfn.XMATCH("DD",Liste_rouge!A:A,2,1),"DD")</f>
        <v>DD</v>
      </c>
      <c r="X19505" s="5" t="s">
        <v>23439</v>
      </c>
      <c r="Y19505" s="5" t="s">
        <v>23481</v>
      </c>
      <c r="AH19505" s="4" t="str">
        <f>HYPERLINK("#Statut_biogéographique!A"&amp;_xlfn.XMATCH("P",Statut_biogéographique!A:A,2,1),"P")</f>
        <v>P</v>
      </c>
      <c r="AM19505" s="4" t="s">
        <v>375</v>
      </c>
      <c r="AN19505" s="4" t="s">
        <v>375</v>
      </c>
      <c r="AO19505" s="4" t="s">
        <v>375</v>
      </c>
      <c r="AP19505" s="4" t="s">
        <v>376</v>
      </c>
      <c r="AR19505" s="4" t="s">
        <v>377</v>
      </c>
    </row>
    <row r="19506" spans="1:44">
      <c r="A19506" s="4" t="s">
        <v>117</v>
      </c>
      <c r="B19506" s="4">
        <v>3638</v>
      </c>
      <c r="D19506" s="5" t="s">
        <v>23960</v>
      </c>
      <c r="E19506" s="6" t="str">
        <f>HYPERLINK("https://inpn.mnhn.fr/espece/cd_nom/3638","Picoides tridactylus (Linnaeus, 1758)")</f>
        <v>Picoides tridactylus (Linnaeus, 1758)</v>
      </c>
      <c r="F19506" s="5" t="s">
        <v>23961</v>
      </c>
      <c r="I19506" s="4" t="str">
        <f>HYPERLINK("#Réglementation!A"&amp;_xlfn.XMATCH("IBE2",Réglementation!A:A,2,1),"IBE2")</f>
        <v>IBE2</v>
      </c>
      <c r="J19506" s="4" t="str">
        <f>HYPERLINK("#Réglementation!A"&amp;_xlfn.XMATCH("CDO1",Réglementation!A:A,2,1),"CDO1")</f>
        <v>CDO1</v>
      </c>
      <c r="L19506" s="4" t="str">
        <f>HYPERLINK("#Réglementation!A"&amp;_xlfn.XMATCH("NO3",Réglementation!A:A,2,1),"NO3")</f>
        <v>NO3</v>
      </c>
      <c r="O19506" s="7" t="str">
        <f>HYPERLINK("#Liste_rouge!A"&amp;_xlfn.XMATCH("LC",Liste_rouge!A:A,2,1),"LC")</f>
        <v>LC</v>
      </c>
      <c r="P19506" s="7" t="str">
        <f>HYPERLINK("#Liste_rouge!A"&amp;_xlfn.XMATCH("LC",Liste_rouge!A:A,2,1),"LC")</f>
        <v>LC</v>
      </c>
      <c r="Q19506" s="7" t="str">
        <f>HYPERLINK("#Liste_rouge!A"&amp;_xlfn.XMATCH("CR",Liste_rouge!A:A,2,1),"CR")</f>
        <v>CR</v>
      </c>
      <c r="V19506" s="7" t="str">
        <f>HYPERLINK("#Liste_rouge!A"&amp;_xlfn.XMATCH("CR",Liste_rouge!A:A,2,1),"CR")</f>
        <v>CR</v>
      </c>
      <c r="W19506" s="4" t="str">
        <f>HYPERLINK("#Critères_liste_rouge!A$1","D1")</f>
        <v>D1</v>
      </c>
      <c r="X19506" s="5" t="s">
        <v>374</v>
      </c>
      <c r="AE19506" s="4" t="str">
        <f>HYPERLINK("#SCAP!A"&amp;_xlfn.XMATCH("2+",SCAP!A:A,2,1),"2+")</f>
        <v>2+</v>
      </c>
      <c r="AG19506" s="4" t="str">
        <f>HYPERLINK("#SCAP!A"&amp;_xlfn.XMATCH("2+",SCAP!A:A,2,1),"2+")</f>
        <v>2+</v>
      </c>
      <c r="AH19506" s="4" t="str">
        <f>HYPERLINK("#Statut_biogéographique!A"&amp;_xlfn.XMATCH("P",Statut_biogéographique!A:A,2,1),"P")</f>
        <v>P</v>
      </c>
      <c r="AM19506" s="4" t="s">
        <v>375</v>
      </c>
      <c r="AN19506" s="4" t="s">
        <v>382</v>
      </c>
      <c r="AO19506" s="4" t="s">
        <v>382</v>
      </c>
      <c r="AP19506" s="4" t="s">
        <v>389</v>
      </c>
      <c r="AR19506" s="4" t="s">
        <v>377</v>
      </c>
    </row>
    <row r="19507" spans="1:44">
      <c r="A19507" s="4" t="s">
        <v>117</v>
      </c>
      <c r="B19507" s="4">
        <v>364251</v>
      </c>
      <c r="D19507" s="5" t="s">
        <v>23962</v>
      </c>
      <c r="E19507" s="6" t="str">
        <f>HYPERLINK("https://inpn.mnhn.fr/espece/cd_nom/364251","Xema sabini (Sabine, 1819)")</f>
        <v>Xema sabini (Sabine, 1819)</v>
      </c>
      <c r="F19507" s="5" t="s">
        <v>23963</v>
      </c>
      <c r="H19507" s="4" t="str">
        <f>HYPERLINK("#Réglementation!A"&amp;_xlfn.XMATCH("IBOAE",Réglementation!A:A,2,1),"IBOAE")</f>
        <v>IBOAE</v>
      </c>
      <c r="I19507" s="4" t="str">
        <f>HYPERLINK("#Réglementation!A"&amp;_xlfn.XMATCH("IBE2",Réglementation!A:A,2,1),"IBE2")</f>
        <v>IBE2</v>
      </c>
      <c r="L19507" s="4" t="str">
        <f>HYPERLINK("#Réglementation!A"&amp;_xlfn.XMATCH("NO4",Réglementation!A:A,2,1),"NO4")</f>
        <v>NO4</v>
      </c>
      <c r="O19507" s="7" t="str">
        <f>HYPERLINK("#Liste_rouge!A"&amp;_xlfn.XMATCH("LC",Liste_rouge!A:A,2,1),"LC")</f>
        <v>LC</v>
      </c>
      <c r="P19507" s="7" t="str">
        <f>HYPERLINK("#Liste_rouge!A"&amp;_xlfn.XMATCH("LC",Liste_rouge!A:A,2,1),"LC")</f>
        <v>LC</v>
      </c>
      <c r="S19507" s="7" t="str">
        <f>HYPERLINK("#Liste_rouge!A"&amp;_xlfn.XMATCH("NA",Liste_rouge!A:A,2,1),"NA")</f>
        <v>NA</v>
      </c>
      <c r="AH19507" s="4" t="str">
        <f>HYPERLINK("#Statut_biogéographique!A"&amp;_xlfn.XMATCH("P",Statut_biogéographique!A:A,2,1),"P")</f>
        <v>P</v>
      </c>
      <c r="AM19507" s="4" t="s">
        <v>375</v>
      </c>
      <c r="AN19507" s="4" t="s">
        <v>375</v>
      </c>
      <c r="AO19507" s="4" t="s">
        <v>375</v>
      </c>
      <c r="AP19507" s="4" t="s">
        <v>376</v>
      </c>
      <c r="AR19507" s="4" t="s">
        <v>377</v>
      </c>
    </row>
    <row r="19508" spans="1:44">
      <c r="A19508" s="4" t="s">
        <v>117</v>
      </c>
      <c r="B19508" s="4">
        <v>3644</v>
      </c>
      <c r="D19508" s="5" t="s">
        <v>23964</v>
      </c>
      <c r="E19508" s="6" t="str">
        <f>HYPERLINK("https://inpn.mnhn.fr/espece/cd_nom/3644","Melanocorypha calandra (Linnaeus, 1766)")</f>
        <v>Melanocorypha calandra (Linnaeus, 1766)</v>
      </c>
      <c r="F19508" s="5" t="s">
        <v>23965</v>
      </c>
      <c r="I19508" s="4" t="str">
        <f>HYPERLINK("#Réglementation!A"&amp;_xlfn.XMATCH("IBE2",Réglementation!A:A,2,1),"IBE2")</f>
        <v>IBE2</v>
      </c>
      <c r="J19508" s="4" t="str">
        <f>HYPERLINK("#Réglementation!A"&amp;_xlfn.XMATCH("CDO1",Réglementation!A:A,2,1),"CDO1")</f>
        <v>CDO1</v>
      </c>
      <c r="L19508" s="4" t="str">
        <f>HYPERLINK("#Réglementation!A"&amp;_xlfn.XMATCH("NO3",Réglementation!A:A,2,1),"NO3 - NM")</f>
        <v>NO3 - NM</v>
      </c>
      <c r="O19508" s="7" t="str">
        <f>HYPERLINK("#Liste_rouge!A"&amp;_xlfn.XMATCH("LC",Liste_rouge!A:A,2,1),"LC")</f>
        <v>LC</v>
      </c>
      <c r="P19508" s="7" t="str">
        <f>HYPERLINK("#Liste_rouge!A"&amp;_xlfn.XMATCH("LC",Liste_rouge!A:A,2,1),"LC")</f>
        <v>LC</v>
      </c>
      <c r="Q19508" s="7" t="str">
        <f>HYPERLINK("#Liste_rouge!A"&amp;_xlfn.XMATCH("EN",Liste_rouge!A:A,2,1),"EN")</f>
        <v>EN</v>
      </c>
      <c r="AE19508" s="4" t="str">
        <f>HYPERLINK("#SCAP!A"&amp;_xlfn.XMATCH("1-",SCAP!A:A,2,1),"1-")</f>
        <v>1-</v>
      </c>
      <c r="AH19508" s="4" t="str">
        <f>HYPERLINK("#Statut_biogéographique!A"&amp;_xlfn.XMATCH("P",Statut_biogéographique!A:A,2,1),"P")</f>
        <v>P</v>
      </c>
      <c r="AI19508" s="8" t="s">
        <v>23966</v>
      </c>
      <c r="AJ19508" s="4" t="s">
        <v>23967</v>
      </c>
      <c r="AM19508" s="4" t="s">
        <v>375</v>
      </c>
      <c r="AN19508" s="4" t="s">
        <v>375</v>
      </c>
      <c r="AO19508" s="4" t="s">
        <v>375</v>
      </c>
      <c r="AP19508" s="4" t="s">
        <v>376</v>
      </c>
      <c r="AQ19508" s="4" t="s">
        <v>377</v>
      </c>
      <c r="AR19508" s="4" t="s">
        <v>377</v>
      </c>
    </row>
    <row r="19509" spans="1:44">
      <c r="A19509" s="4" t="s">
        <v>117</v>
      </c>
      <c r="B19509" s="4">
        <v>3649</v>
      </c>
      <c r="D19509" s="5" t="s">
        <v>23968</v>
      </c>
      <c r="E19509" s="6" t="str">
        <f>HYPERLINK("https://inpn.mnhn.fr/espece/cd_nom/3649","Calandrella brachydactyla (Leisler, 1814)")</f>
        <v>Calandrella brachydactyla (Leisler, 1814)</v>
      </c>
      <c r="F19509" s="5" t="s">
        <v>23969</v>
      </c>
      <c r="I19509" s="4" t="str">
        <f>HYPERLINK("#Réglementation!A"&amp;_xlfn.XMATCH("IBE2",Réglementation!A:A,2,1),"IBE2")</f>
        <v>IBE2</v>
      </c>
      <c r="J19509" s="4" t="str">
        <f>HYPERLINK("#Réglementation!A"&amp;_xlfn.XMATCH("CDO1",Réglementation!A:A,2,1),"CDO1")</f>
        <v>CDO1</v>
      </c>
      <c r="L19509" s="4" t="str">
        <f>HYPERLINK("#Réglementation!A"&amp;_xlfn.XMATCH("NO3",Réglementation!A:A,2,1),"NO3")</f>
        <v>NO3</v>
      </c>
      <c r="O19509" s="7" t="str">
        <f>HYPERLINK("#Liste_rouge!A"&amp;_xlfn.XMATCH("LC",Liste_rouge!A:A,2,1),"LC")</f>
        <v>LC</v>
      </c>
      <c r="P19509" s="7" t="str">
        <f>HYPERLINK("#Liste_rouge!A"&amp;_xlfn.XMATCH("LC",Liste_rouge!A:A,2,1),"LC")</f>
        <v>LC</v>
      </c>
      <c r="Q19509" s="7" t="str">
        <f>HYPERLINK("#Liste_rouge!A"&amp;_xlfn.XMATCH("EN",Liste_rouge!A:A,2,1),"EN")</f>
        <v>EN</v>
      </c>
      <c r="T19509" s="7" t="str">
        <f>HYPERLINK("#Liste_rouge!A"&amp;_xlfn.XMATCH("NT",Liste_rouge!A:A,2,1),"NT")</f>
        <v>NT</v>
      </c>
      <c r="AE19509" s="4" t="str">
        <f>HYPERLINK("#SCAP!A"&amp;_xlfn.XMATCH("A",SCAP!A:A,2,1),"A")</f>
        <v>A</v>
      </c>
      <c r="AH19509" s="4" t="str">
        <f>HYPERLINK("#Statut_biogéographique!A"&amp;_xlfn.XMATCH("P",Statut_biogéographique!A:A,2,1),"P")</f>
        <v>P</v>
      </c>
      <c r="AM19509" s="4" t="s">
        <v>375</v>
      </c>
      <c r="AN19509" s="4" t="s">
        <v>375</v>
      </c>
      <c r="AO19509" s="4" t="s">
        <v>375</v>
      </c>
      <c r="AP19509" s="4" t="s">
        <v>389</v>
      </c>
      <c r="AR19509" s="4" t="s">
        <v>377</v>
      </c>
    </row>
    <row r="19510" spans="1:44">
      <c r="A19510" s="4" t="s">
        <v>117</v>
      </c>
      <c r="B19510" s="4">
        <v>3656</v>
      </c>
      <c r="D19510" s="5" t="s">
        <v>23970</v>
      </c>
      <c r="E19510" s="6" t="str">
        <f>HYPERLINK("https://inpn.mnhn.fr/espece/cd_nom/3656","Galerida cristata (Linnaeus, 1758)")</f>
        <v>Galerida cristata (Linnaeus, 1758)</v>
      </c>
      <c r="F19510" s="5" t="s">
        <v>23971</v>
      </c>
      <c r="I19510" s="4" t="str">
        <f>HYPERLINK("#Réglementation!A"&amp;_xlfn.XMATCH("IBE3",Réglementation!A:A,2,1),"IBE3")</f>
        <v>IBE3</v>
      </c>
      <c r="L19510" s="4" t="str">
        <f>HYPERLINK("#Réglementation!A"&amp;_xlfn.XMATCH("NO3",Réglementation!A:A,2,1),"NO3")</f>
        <v>NO3</v>
      </c>
      <c r="O19510" s="7" t="str">
        <f>HYPERLINK("#Liste_rouge!A"&amp;_xlfn.XMATCH("LC",Liste_rouge!A:A,2,1),"LC")</f>
        <v>LC</v>
      </c>
      <c r="P19510" s="7" t="str">
        <f>HYPERLINK("#Liste_rouge!A"&amp;_xlfn.XMATCH("LC",Liste_rouge!A:A,2,1),"LC")</f>
        <v>LC</v>
      </c>
      <c r="Q19510" s="7" t="str">
        <f>HYPERLINK("#Liste_rouge!A"&amp;_xlfn.XMATCH("LC",Liste_rouge!A:A,2,1),"LC")</f>
        <v>LC</v>
      </c>
      <c r="T19510" s="7" t="str">
        <f>HYPERLINK("#Liste_rouge!A"&amp;_xlfn.XMATCH("CR",Liste_rouge!A:A,2,1),"CR")</f>
        <v>CR</v>
      </c>
      <c r="U19510" s="4" t="str">
        <f>HYPERLINK("#Critères_liste_rouge!A$1","D1")</f>
        <v>D1</v>
      </c>
      <c r="V19510" s="7" t="str">
        <f>HYPERLINK("#Liste_rouge!A"&amp;_xlfn.XMATCH("RE",Liste_rouge!A:A,2,1),"RE")</f>
        <v>RE</v>
      </c>
      <c r="X19510" s="5" t="s">
        <v>374</v>
      </c>
      <c r="AH19510" s="4" t="str">
        <f>HYPERLINK("#Statut_biogéographique!A"&amp;_xlfn.XMATCH("P",Statut_biogéographique!A:A,2,1),"P")</f>
        <v>P</v>
      </c>
      <c r="AM19510" s="4" t="s">
        <v>375</v>
      </c>
      <c r="AN19510" s="4" t="s">
        <v>375</v>
      </c>
      <c r="AO19510" s="4" t="s">
        <v>375</v>
      </c>
      <c r="AP19510" s="4" t="s">
        <v>376</v>
      </c>
      <c r="AR19510" s="4" t="s">
        <v>377</v>
      </c>
    </row>
    <row r="19511" spans="1:44">
      <c r="A19511" s="4" t="s">
        <v>117</v>
      </c>
      <c r="B19511" s="4">
        <v>3666</v>
      </c>
      <c r="D19511" s="5" t="s">
        <v>23972</v>
      </c>
      <c r="E19511" s="6" t="str">
        <f>HYPERLINK("https://inpn.mnhn.fr/espece/cd_nom/3666","Chersophilus duponti (Vieillot, 1820)")</f>
        <v>Chersophilus duponti (Vieillot, 1820)</v>
      </c>
      <c r="F19511" s="5" t="s">
        <v>23973</v>
      </c>
      <c r="I19511" s="4" t="str">
        <f>HYPERLINK("#Réglementation!A"&amp;_xlfn.XMATCH("IBE2",Réglementation!A:A,2,1),"IBE2")</f>
        <v>IBE2</v>
      </c>
      <c r="J19511" s="4" t="str">
        <f>HYPERLINK("#Réglementation!A"&amp;_xlfn.XMATCH("CDO1",Réglementation!A:A,2,1),"CDO1")</f>
        <v>CDO1</v>
      </c>
      <c r="L19511" s="4" t="str">
        <f>HYPERLINK("#Réglementation!A"&amp;_xlfn.XMATCH("NO4",Réglementation!A:A,2,1),"NO4")</f>
        <v>NO4</v>
      </c>
      <c r="O19511" s="7" t="str">
        <f>HYPERLINK("#Liste_rouge!A"&amp;_xlfn.XMATCH("VU",Liste_rouge!A:A,2,1),"VU")</f>
        <v>VU</v>
      </c>
      <c r="P19511" s="7" t="str">
        <f>HYPERLINK("#Liste_rouge!A"&amp;_xlfn.XMATCH("VU",Liste_rouge!A:A,2,1),"VU")</f>
        <v>VU</v>
      </c>
      <c r="S19511" s="7" t="str">
        <f>HYPERLINK("#Liste_rouge!A"&amp;_xlfn.XMATCH("NA",Liste_rouge!A:A,2,1),"NA")</f>
        <v>NA</v>
      </c>
      <c r="AH19511" s="4" t="str">
        <f>HYPERLINK("#Statut_biogéographique!A"&amp;_xlfn.XMATCH("B",Statut_biogéographique!A:A,2,1),"B")</f>
        <v>B</v>
      </c>
      <c r="AP19511" s="4" t="s">
        <v>376</v>
      </c>
      <c r="AR19511" s="4" t="s">
        <v>377</v>
      </c>
    </row>
    <row r="19512" spans="1:44" ht="30">
      <c r="A19512" s="4" t="s">
        <v>117</v>
      </c>
      <c r="B19512" s="4">
        <v>3670</v>
      </c>
      <c r="D19512" s="5" t="s">
        <v>23974</v>
      </c>
      <c r="E19512" s="6" t="str">
        <f>HYPERLINK("https://inpn.mnhn.fr/espece/cd_nom/3670","Lullula arborea (Linnaeus, 1758)")</f>
        <v>Lullula arborea (Linnaeus, 1758)</v>
      </c>
      <c r="F19512" s="5" t="s">
        <v>23975</v>
      </c>
      <c r="I19512" s="4" t="str">
        <f>HYPERLINK("#Réglementation!A"&amp;_xlfn.XMATCH("IBE3",Réglementation!A:A,2,1),"IBE3")</f>
        <v>IBE3</v>
      </c>
      <c r="J19512" s="4" t="str">
        <f>HYPERLINK("#Réglementation!A"&amp;_xlfn.XMATCH("CDO1",Réglementation!A:A,2,1),"CDO1")</f>
        <v>CDO1</v>
      </c>
      <c r="L19512" s="4" t="str">
        <f>HYPERLINK("#Réglementation!A"&amp;_xlfn.XMATCH("NO3",Réglementation!A:A,2,1),"NO3")</f>
        <v>NO3</v>
      </c>
      <c r="O19512" s="7" t="str">
        <f>HYPERLINK("#Liste_rouge!A"&amp;_xlfn.XMATCH("LC",Liste_rouge!A:A,2,1),"LC")</f>
        <v>LC</v>
      </c>
      <c r="P19512" s="7" t="str">
        <f>HYPERLINK("#Liste_rouge!A"&amp;_xlfn.XMATCH("LC",Liste_rouge!A:A,2,1),"LC")</f>
        <v>LC</v>
      </c>
      <c r="Q19512" s="7" t="str">
        <f>HYPERLINK("#Liste_rouge!A"&amp;_xlfn.XMATCH("LC",Liste_rouge!A:A,2,1),"LC")</f>
        <v>LC</v>
      </c>
      <c r="R19512" s="7" t="str">
        <f>HYPERLINK("#Liste_rouge!A"&amp;_xlfn.XMATCH("NA",Liste_rouge!A:A,2,1),"NA")</f>
        <v>NA</v>
      </c>
      <c r="T19512" s="7" t="str">
        <f>HYPERLINK("#Liste_rouge!A"&amp;_xlfn.XMATCH("VU",Liste_rouge!A:A,2,1),"VU")</f>
        <v>VU</v>
      </c>
      <c r="U19512" s="4" t="str">
        <f>HYPERLINK("#Critères_liste_rouge!A$1","A2b")</f>
        <v>A2b</v>
      </c>
      <c r="V19512" s="7" t="str">
        <f>HYPERLINK("#Liste_rouge!A"&amp;_xlfn.XMATCH("NT",Liste_rouge!A:A,2,1),"NT")</f>
        <v>NT</v>
      </c>
      <c r="W19512" s="4" t="str">
        <f>HYPERLINK("#Critères_liste_rouge!A$1","VU (D1) (-1)")</f>
        <v>VU (D1) (-1)</v>
      </c>
      <c r="X19512" s="5" t="s">
        <v>23439</v>
      </c>
      <c r="Y19512" s="5" t="s">
        <v>23944</v>
      </c>
      <c r="AH19512" s="4" t="str">
        <f>HYPERLINK("#Statut_biogéographique!A"&amp;_xlfn.XMATCH("P",Statut_biogéographique!A:A,2,1),"P")</f>
        <v>P</v>
      </c>
      <c r="AM19512" s="4" t="s">
        <v>375</v>
      </c>
      <c r="AN19512" s="4" t="s">
        <v>375</v>
      </c>
      <c r="AO19512" s="4" t="s">
        <v>375</v>
      </c>
      <c r="AP19512" s="4" t="s">
        <v>376</v>
      </c>
      <c r="AR19512" s="4" t="s">
        <v>377</v>
      </c>
    </row>
    <row r="19513" spans="1:44">
      <c r="A19513" s="4" t="s">
        <v>117</v>
      </c>
      <c r="B19513" s="4">
        <v>3676</v>
      </c>
      <c r="D19513" s="5" t="s">
        <v>23976</v>
      </c>
      <c r="E19513" s="6" t="str">
        <f>HYPERLINK("https://inpn.mnhn.fr/espece/cd_nom/3676","Alauda arvensis Linnaeus, 1758")</f>
        <v>Alauda arvensis Linnaeus, 1758</v>
      </c>
      <c r="F19513" s="5" t="s">
        <v>23977</v>
      </c>
      <c r="I19513" s="4" t="str">
        <f>HYPERLINK("#Réglementation!A"&amp;_xlfn.XMATCH("IBE3",Réglementation!A:A,2,1),"IBE3")</f>
        <v>IBE3</v>
      </c>
      <c r="J19513" s="4" t="str">
        <f>HYPERLINK("#Réglementation!A"&amp;_xlfn.XMATCH("CDO22",Réglementation!A:A,2,1),"CDO22")</f>
        <v>CDO22</v>
      </c>
      <c r="L19513" s="4" t="str">
        <f>HYPERLINK("#Réglementation!A"&amp;_xlfn.XMATCH("OC3",Réglementation!A:A,2,1),"OC3")</f>
        <v>OC3</v>
      </c>
      <c r="O19513" s="7" t="str">
        <f>HYPERLINK("#Liste_rouge!A"&amp;_xlfn.XMATCH("LC",Liste_rouge!A:A,2,1),"LC")</f>
        <v>LC</v>
      </c>
      <c r="P19513" s="7" t="str">
        <f>HYPERLINK("#Liste_rouge!A"&amp;_xlfn.XMATCH("LC",Liste_rouge!A:A,2,1),"LC")</f>
        <v>LC</v>
      </c>
      <c r="Q19513" s="7" t="str">
        <f>HYPERLINK("#Liste_rouge!A"&amp;_xlfn.XMATCH("NT",Liste_rouge!A:A,2,1),"NT")</f>
        <v>NT</v>
      </c>
      <c r="R19513" s="7" t="str">
        <f>HYPERLINK("#Liste_rouge!A"&amp;_xlfn.XMATCH("LC",Liste_rouge!A:A,2,1),"LC")</f>
        <v>LC</v>
      </c>
      <c r="S19513" s="7" t="str">
        <f>HYPERLINK("#Liste_rouge!A"&amp;_xlfn.XMATCH("NA",Liste_rouge!A:A,2,1),"NA")</f>
        <v>NA</v>
      </c>
      <c r="T19513" s="7" t="str">
        <f>HYPERLINK("#Liste_rouge!A"&amp;_xlfn.XMATCH("NT",Liste_rouge!A:A,2,1),"NT")</f>
        <v>NT</v>
      </c>
      <c r="U19513" s="4" t="str">
        <f>HYPERLINK("#Critères_liste_rouge!A$1","pr. A2b")</f>
        <v>pr. A2b</v>
      </c>
      <c r="V19513" s="7" t="str">
        <f>HYPERLINK("#Liste_rouge!A"&amp;_xlfn.XMATCH("LC",Liste_rouge!A:A,2,1),"LC")</f>
        <v>LC</v>
      </c>
      <c r="AH19513" s="4" t="str">
        <f>HYPERLINK("#Statut_biogéographique!A"&amp;_xlfn.XMATCH("P",Statut_biogéographique!A:A,2,1),"P")</f>
        <v>P</v>
      </c>
      <c r="AK19513" s="4" t="str">
        <f>HYPERLINK("#Réglementation!A"&amp;_xlfn.XMATCH("Ngib_ch_1",Réglementation!A:A,2,1),"Ngib_ch_1")</f>
        <v>Ngib_ch_1</v>
      </c>
      <c r="AM19513" s="4" t="s">
        <v>375</v>
      </c>
      <c r="AN19513" s="4" t="s">
        <v>375</v>
      </c>
      <c r="AO19513" s="4" t="s">
        <v>375</v>
      </c>
      <c r="AP19513" s="4" t="s">
        <v>376</v>
      </c>
      <c r="AR19513" s="4" t="s">
        <v>377</v>
      </c>
    </row>
    <row r="19514" spans="1:44" ht="30">
      <c r="A19514" s="4" t="s">
        <v>117</v>
      </c>
      <c r="B19514" s="4">
        <v>3681</v>
      </c>
      <c r="D19514" s="5" t="s">
        <v>23978</v>
      </c>
      <c r="E19514" s="6" t="str">
        <f>HYPERLINK("https://inpn.mnhn.fr/espece/cd_nom/3681","Eremophila alpestris (Linnaeus, 1758)")</f>
        <v>Eremophila alpestris (Linnaeus, 1758)</v>
      </c>
      <c r="F19514" s="5" t="s">
        <v>23979</v>
      </c>
      <c r="I19514" s="4" t="str">
        <f>HYPERLINK("#Réglementation!A"&amp;_xlfn.XMATCH("IBE2",Réglementation!A:A,2,1),"IBE2")</f>
        <v>IBE2</v>
      </c>
      <c r="L19514" s="4" t="str">
        <f>HYPERLINK("#Réglementation!A"&amp;_xlfn.XMATCH("NO3",Réglementation!A:A,2,1),"NO3")</f>
        <v>NO3</v>
      </c>
      <c r="O19514" s="7" t="str">
        <f>HYPERLINK("#Liste_rouge!A"&amp;_xlfn.XMATCH("LC",Liste_rouge!A:A,2,1),"LC")</f>
        <v>LC</v>
      </c>
      <c r="P19514" s="7" t="str">
        <f>HYPERLINK("#Liste_rouge!A"&amp;_xlfn.XMATCH("LC",Liste_rouge!A:A,2,1),"LC")</f>
        <v>LC</v>
      </c>
      <c r="R19514" s="7" t="str">
        <f>HYPERLINK("#Liste_rouge!A"&amp;_xlfn.XMATCH("NA",Liste_rouge!A:A,2,1),"NA")</f>
        <v>NA</v>
      </c>
      <c r="AH19514" s="4" t="str">
        <f>HYPERLINK("#Statut_biogéographique!A"&amp;_xlfn.XMATCH("P",Statut_biogéographique!A:A,2,1),"P")</f>
        <v>P</v>
      </c>
      <c r="AM19514" s="4" t="s">
        <v>375</v>
      </c>
      <c r="AN19514" s="4" t="s">
        <v>375</v>
      </c>
      <c r="AO19514" s="4" t="s">
        <v>375</v>
      </c>
      <c r="AP19514" s="4" t="s">
        <v>389</v>
      </c>
      <c r="AR19514" s="4" t="s">
        <v>377</v>
      </c>
    </row>
    <row r="19515" spans="1:44">
      <c r="A19515" s="4" t="s">
        <v>117</v>
      </c>
      <c r="B19515" s="4">
        <v>3688</v>
      </c>
      <c r="D19515" s="5" t="s">
        <v>23980</v>
      </c>
      <c r="E19515" s="6" t="str">
        <f>HYPERLINK("https://inpn.mnhn.fr/espece/cd_nom/3688","Riparia riparia (Linnaeus, 1758)")</f>
        <v>Riparia riparia (Linnaeus, 1758)</v>
      </c>
      <c r="F19515" s="5" t="s">
        <v>23981</v>
      </c>
      <c r="I19515" s="4" t="str">
        <f>HYPERLINK("#Réglementation!A"&amp;_xlfn.XMATCH("IBE2",Réglementation!A:A,2,1),"IBE2")</f>
        <v>IBE2</v>
      </c>
      <c r="L19515" s="4" t="str">
        <f>HYPERLINK("#Réglementation!A"&amp;_xlfn.XMATCH("NO3",Réglementation!A:A,2,1),"NO3")</f>
        <v>NO3</v>
      </c>
      <c r="O19515" s="7" t="str">
        <f>HYPERLINK("#Liste_rouge!A"&amp;_xlfn.XMATCH("LC",Liste_rouge!A:A,2,1),"LC")</f>
        <v>LC</v>
      </c>
      <c r="P19515" s="7" t="str">
        <f>HYPERLINK("#Liste_rouge!A"&amp;_xlfn.XMATCH("LC",Liste_rouge!A:A,2,1),"LC")</f>
        <v>LC</v>
      </c>
      <c r="Q19515" s="7" t="str">
        <f>HYPERLINK("#Liste_rouge!A"&amp;_xlfn.XMATCH("LC",Liste_rouge!A:A,2,1),"LC")</f>
        <v>LC</v>
      </c>
      <c r="S19515" s="7" t="str">
        <f>HYPERLINK("#Liste_rouge!A"&amp;_xlfn.XMATCH("DD",Liste_rouge!A:A,2,1),"DD")</f>
        <v>DD</v>
      </c>
      <c r="T19515" s="7" t="str">
        <f>HYPERLINK("#Liste_rouge!A"&amp;_xlfn.XMATCH("LC",Liste_rouge!A:A,2,1),"LC")</f>
        <v>LC</v>
      </c>
      <c r="V19515" s="7" t="str">
        <f>HYPERLINK("#Liste_rouge!A"&amp;_xlfn.XMATCH("EN",Liste_rouge!A:A,2,1),"EN")</f>
        <v>EN</v>
      </c>
      <c r="W19515" s="4" t="str">
        <f>HYPERLINK("#Critères_liste_rouge!A$1","C2b")</f>
        <v>C2b</v>
      </c>
      <c r="X19515" s="5" t="s">
        <v>374</v>
      </c>
      <c r="AH19515" s="4" t="str">
        <f>HYPERLINK("#Statut_biogéographique!A"&amp;_xlfn.XMATCH("P",Statut_biogéographique!A:A,2,1),"P")</f>
        <v>P</v>
      </c>
      <c r="AM19515" s="4" t="s">
        <v>375</v>
      </c>
      <c r="AN19515" s="4" t="s">
        <v>375</v>
      </c>
      <c r="AO19515" s="4" t="s">
        <v>375</v>
      </c>
      <c r="AP19515" s="4" t="s">
        <v>389</v>
      </c>
      <c r="AR19515" s="4" t="s">
        <v>377</v>
      </c>
    </row>
    <row r="19516" spans="1:44">
      <c r="A19516" s="4" t="s">
        <v>117</v>
      </c>
      <c r="B19516" s="4">
        <v>3692</v>
      </c>
      <c r="D19516" s="5" t="s">
        <v>23982</v>
      </c>
      <c r="E19516" s="6" t="str">
        <f>HYPERLINK("https://inpn.mnhn.fr/espece/cd_nom/3692","Ptyonoprogne rupestris (Scopoli, 1769)")</f>
        <v>Ptyonoprogne rupestris (Scopoli, 1769)</v>
      </c>
      <c r="F19516" s="5" t="s">
        <v>23983</v>
      </c>
      <c r="I19516" s="4" t="str">
        <f>HYPERLINK("#Réglementation!A"&amp;_xlfn.XMATCH("IBE2",Réglementation!A:A,2,1),"IBE2")</f>
        <v>IBE2</v>
      </c>
      <c r="L19516" s="4" t="str">
        <f>HYPERLINK("#Réglementation!A"&amp;_xlfn.XMATCH("NO3",Réglementation!A:A,2,1),"NO3")</f>
        <v>NO3</v>
      </c>
      <c r="O19516" s="7" t="str">
        <f>HYPERLINK("#Liste_rouge!A"&amp;_xlfn.XMATCH("LC",Liste_rouge!A:A,2,1),"LC")</f>
        <v>LC</v>
      </c>
      <c r="P19516" s="7" t="str">
        <f>HYPERLINK("#Liste_rouge!A"&amp;_xlfn.XMATCH("LC",Liste_rouge!A:A,2,1),"LC")</f>
        <v>LC</v>
      </c>
      <c r="Q19516" s="7" t="str">
        <f>HYPERLINK("#Liste_rouge!A"&amp;_xlfn.XMATCH("LC",Liste_rouge!A:A,2,1),"LC")</f>
        <v>LC</v>
      </c>
      <c r="S19516" s="7" t="str">
        <f>HYPERLINK("#Liste_rouge!A"&amp;_xlfn.XMATCH("NA",Liste_rouge!A:A,2,1),"NA")</f>
        <v>NA</v>
      </c>
      <c r="T19516" s="7" t="str">
        <f>HYPERLINK("#Liste_rouge!A"&amp;_xlfn.XMATCH("EN",Liste_rouge!A:A,2,1),"EN")</f>
        <v>EN</v>
      </c>
      <c r="U19516" s="4" t="str">
        <f>HYPERLINK("#Critères_liste_rouge!A$1","D1 (CR -1)")</f>
        <v>D1 (CR -1)</v>
      </c>
      <c r="V19516" s="7" t="str">
        <f>HYPERLINK("#Liste_rouge!A"&amp;_xlfn.XMATCH("LC",Liste_rouge!A:A,2,1),"LC")</f>
        <v>LC</v>
      </c>
      <c r="W19516" s="4" t="str">
        <f>HYPERLINK("#Critères_liste_rouge!A$1","VU (D1) (-2)")</f>
        <v>VU (D1) (-2)</v>
      </c>
      <c r="X19516" s="5" t="s">
        <v>374</v>
      </c>
      <c r="AH19516" s="4" t="str">
        <f>HYPERLINK("#Statut_biogéographique!A"&amp;_xlfn.XMATCH("P",Statut_biogéographique!A:A,2,1),"P")</f>
        <v>P</v>
      </c>
      <c r="AM19516" s="4" t="s">
        <v>375</v>
      </c>
      <c r="AN19516" s="4" t="s">
        <v>375</v>
      </c>
      <c r="AO19516" s="4" t="s">
        <v>375</v>
      </c>
      <c r="AP19516" s="4" t="s">
        <v>376</v>
      </c>
      <c r="AR19516" s="4" t="s">
        <v>377</v>
      </c>
    </row>
    <row r="19517" spans="1:44" ht="30">
      <c r="A19517" s="4" t="s">
        <v>117</v>
      </c>
      <c r="B19517" s="4">
        <v>3696</v>
      </c>
      <c r="D19517" s="5" t="s">
        <v>23984</v>
      </c>
      <c r="E19517" s="6" t="str">
        <f>HYPERLINK("https://inpn.mnhn.fr/espece/cd_nom/3696","Hirundo rustica Linnaeus, 1758")</f>
        <v>Hirundo rustica Linnaeus, 1758</v>
      </c>
      <c r="F19517" s="5" t="s">
        <v>23985</v>
      </c>
      <c r="I19517" s="4" t="str">
        <f>HYPERLINK("#Réglementation!A"&amp;_xlfn.XMATCH("IBE2",Réglementation!A:A,2,1),"IBE2")</f>
        <v>IBE2</v>
      </c>
      <c r="L19517" s="4" t="str">
        <f>HYPERLINK("#Réglementation!A"&amp;_xlfn.XMATCH("NO3",Réglementation!A:A,2,1),"NO3")</f>
        <v>NO3</v>
      </c>
      <c r="O19517" s="7" t="str">
        <f>HYPERLINK("#Liste_rouge!A"&amp;_xlfn.XMATCH("LC",Liste_rouge!A:A,2,1),"LC")</f>
        <v>LC</v>
      </c>
      <c r="P19517" s="7" t="str">
        <f>HYPERLINK("#Liste_rouge!A"&amp;_xlfn.XMATCH("LC",Liste_rouge!A:A,2,1),"LC")</f>
        <v>LC</v>
      </c>
      <c r="Q19517" s="7" t="str">
        <f>HYPERLINK("#Liste_rouge!A"&amp;_xlfn.XMATCH("NT",Liste_rouge!A:A,2,1),"NT")</f>
        <v>NT</v>
      </c>
      <c r="S19517" s="7" t="str">
        <f>HYPERLINK("#Liste_rouge!A"&amp;_xlfn.XMATCH("DD",Liste_rouge!A:A,2,1),"DD")</f>
        <v>DD</v>
      </c>
      <c r="T19517" s="7" t="str">
        <f>HYPERLINK("#Liste_rouge!A"&amp;_xlfn.XMATCH("VU",Liste_rouge!A:A,2,1),"VU")</f>
        <v>VU</v>
      </c>
      <c r="U19517" s="4" t="str">
        <f>HYPERLINK("#Critères_liste_rouge!A$1","A2b")</f>
        <v>A2b</v>
      </c>
      <c r="V19517" s="7" t="str">
        <f>HYPERLINK("#Liste_rouge!A"&amp;_xlfn.XMATCH("NT",Liste_rouge!A:A,2,1),"NT")</f>
        <v>NT</v>
      </c>
      <c r="W19517" s="4" t="str">
        <f>HYPERLINK("#Critères_liste_rouge!A$1","pr. A2b")</f>
        <v>pr. A2b</v>
      </c>
      <c r="X19517" s="5" t="s">
        <v>23439</v>
      </c>
      <c r="Y19517" s="5" t="s">
        <v>23944</v>
      </c>
      <c r="AH19517" s="4" t="str">
        <f>HYPERLINK("#Statut_biogéographique!A"&amp;_xlfn.XMATCH("P",Statut_biogéographique!A:A,2,1),"P")</f>
        <v>P</v>
      </c>
      <c r="AM19517" s="4" t="s">
        <v>375</v>
      </c>
      <c r="AN19517" s="4" t="s">
        <v>375</v>
      </c>
      <c r="AO19517" s="4" t="s">
        <v>375</v>
      </c>
      <c r="AP19517" s="4" t="s">
        <v>389</v>
      </c>
      <c r="AR19517" s="4" t="s">
        <v>377</v>
      </c>
    </row>
    <row r="19518" spans="1:44">
      <c r="A19518" s="4" t="s">
        <v>117</v>
      </c>
      <c r="B19518" s="4">
        <v>3701</v>
      </c>
      <c r="D19518" s="5" t="s">
        <v>23986</v>
      </c>
      <c r="E19518" s="6" t="str">
        <f>HYPERLINK("https://inpn.mnhn.fr/espece/cd_nom/3701","Cecropis daurica (Laxmann, 1769)")</f>
        <v>Cecropis daurica (Laxmann, 1769)</v>
      </c>
      <c r="F19518" s="5" t="s">
        <v>23987</v>
      </c>
      <c r="I19518" s="4" t="str">
        <f>HYPERLINK("#Réglementation!A"&amp;_xlfn.XMATCH("IBE2",Réglementation!A:A,2,1),"IBE2")</f>
        <v>IBE2</v>
      </c>
      <c r="L19518" s="4" t="str">
        <f>HYPERLINK("#Réglementation!A"&amp;_xlfn.XMATCH("NO3",Réglementation!A:A,2,1),"NO3")</f>
        <v>NO3</v>
      </c>
      <c r="P19518" s="7" t="str">
        <f>HYPERLINK("#Liste_rouge!A"&amp;_xlfn.XMATCH("LC",Liste_rouge!A:A,2,1),"LC")</f>
        <v>LC</v>
      </c>
      <c r="Q19518" s="7" t="str">
        <f>HYPERLINK("#Liste_rouge!A"&amp;_xlfn.XMATCH("VU",Liste_rouge!A:A,2,1),"VU")</f>
        <v>VU</v>
      </c>
      <c r="S19518" s="7" t="str">
        <f>HYPERLINK("#Liste_rouge!A"&amp;_xlfn.XMATCH("NA",Liste_rouge!A:A,2,1),"NA")</f>
        <v>NA</v>
      </c>
      <c r="AH19518" s="4" t="str">
        <f>HYPERLINK("#Statut_biogéographique!A"&amp;_xlfn.XMATCH("P",Statut_biogéographique!A:A,2,1),"P")</f>
        <v>P</v>
      </c>
      <c r="AM19518" s="4" t="s">
        <v>375</v>
      </c>
      <c r="AN19518" s="4" t="s">
        <v>375</v>
      </c>
      <c r="AO19518" s="4" t="s">
        <v>375</v>
      </c>
      <c r="AP19518" s="4" t="s">
        <v>389</v>
      </c>
      <c r="AR19518" s="4" t="s">
        <v>377</v>
      </c>
    </row>
    <row r="19519" spans="1:44">
      <c r="A19519" s="4" t="s">
        <v>117</v>
      </c>
      <c r="B19519" s="4">
        <v>3709</v>
      </c>
      <c r="D19519" s="5" t="s">
        <v>23988</v>
      </c>
      <c r="E19519" s="6" t="str">
        <f>HYPERLINK("https://inpn.mnhn.fr/espece/cd_nom/3709","Anthus richardi Vieillot, 1818")</f>
        <v>Anthus richardi Vieillot, 1818</v>
      </c>
      <c r="F19519" s="5" t="s">
        <v>23989</v>
      </c>
      <c r="I19519" s="4" t="str">
        <f>HYPERLINK("#Réglementation!A"&amp;_xlfn.XMATCH("IBE2",Réglementation!A:A,2,1),"IBE2")</f>
        <v>IBE2</v>
      </c>
      <c r="L19519" s="4" t="str">
        <f>HYPERLINK("#Réglementation!A"&amp;_xlfn.XMATCH("NO4",Réglementation!A:A,2,1),"NO4")</f>
        <v>NO4</v>
      </c>
      <c r="O19519" s="7" t="str">
        <f>HYPERLINK("#Liste_rouge!A"&amp;_xlfn.XMATCH("LC",Liste_rouge!A:A,2,1),"LC")</f>
        <v>LC</v>
      </c>
      <c r="S19519" s="7" t="str">
        <f>HYPERLINK("#Liste_rouge!A"&amp;_xlfn.XMATCH("NA",Liste_rouge!A:A,2,1),"NA")</f>
        <v>NA</v>
      </c>
      <c r="AH19519" s="4" t="str">
        <f>HYPERLINK("#Statut_biogéographique!A"&amp;_xlfn.XMATCH("P",Statut_biogéographique!A:A,2,1),"P")</f>
        <v>P</v>
      </c>
      <c r="AM19519" s="4" t="s">
        <v>375</v>
      </c>
      <c r="AN19519" s="4" t="s">
        <v>375</v>
      </c>
      <c r="AO19519" s="4" t="s">
        <v>375</v>
      </c>
      <c r="AP19519" s="4" t="s">
        <v>376</v>
      </c>
      <c r="AR19519" s="4" t="s">
        <v>377</v>
      </c>
    </row>
    <row r="19520" spans="1:44">
      <c r="A19520" s="4" t="s">
        <v>117</v>
      </c>
      <c r="B19520" s="4">
        <v>3713</v>
      </c>
      <c r="D19520" s="5" t="s">
        <v>23990</v>
      </c>
      <c r="E19520" s="6" t="str">
        <f>HYPERLINK("https://inpn.mnhn.fr/espece/cd_nom/3713","Anthus campestris (Linnaeus, 1758)")</f>
        <v>Anthus campestris (Linnaeus, 1758)</v>
      </c>
      <c r="F19520" s="5" t="s">
        <v>23991</v>
      </c>
      <c r="I19520" s="4" t="str">
        <f>HYPERLINK("#Réglementation!A"&amp;_xlfn.XMATCH("IBE2",Réglementation!A:A,2,1),"IBE2")</f>
        <v>IBE2</v>
      </c>
      <c r="J19520" s="4" t="str">
        <f>HYPERLINK("#Réglementation!A"&amp;_xlfn.XMATCH("CDO1",Réglementation!A:A,2,1),"CDO1")</f>
        <v>CDO1</v>
      </c>
      <c r="L19520" s="4" t="str">
        <f>HYPERLINK("#Réglementation!A"&amp;_xlfn.XMATCH("NO3",Réglementation!A:A,2,1),"NO3")</f>
        <v>NO3</v>
      </c>
      <c r="O19520" s="7" t="str">
        <f>HYPERLINK("#Liste_rouge!A"&amp;_xlfn.XMATCH("LC",Liste_rouge!A:A,2,1),"LC")</f>
        <v>LC</v>
      </c>
      <c r="P19520" s="7" t="str">
        <f>HYPERLINK("#Liste_rouge!A"&amp;_xlfn.XMATCH("LC",Liste_rouge!A:A,2,1),"LC")</f>
        <v>LC</v>
      </c>
      <c r="Q19520" s="7" t="str">
        <f>HYPERLINK("#Liste_rouge!A"&amp;_xlfn.XMATCH("LC",Liste_rouge!A:A,2,1),"LC")</f>
        <v>LC</v>
      </c>
      <c r="S19520" s="7" t="str">
        <f>HYPERLINK("#Liste_rouge!A"&amp;_xlfn.XMATCH("NA",Liste_rouge!A:A,2,1),"NA")</f>
        <v>NA</v>
      </c>
      <c r="T19520" s="7" t="str">
        <f>HYPERLINK("#Liste_rouge!A"&amp;_xlfn.XMATCH("LC",Liste_rouge!A:A,2,1),"LC")</f>
        <v>LC</v>
      </c>
      <c r="AH19520" s="4" t="str">
        <f>HYPERLINK("#Statut_biogéographique!A"&amp;_xlfn.XMATCH("P",Statut_biogéographique!A:A,2,1),"P")</f>
        <v>P</v>
      </c>
      <c r="AM19520" s="4" t="s">
        <v>375</v>
      </c>
      <c r="AN19520" s="4" t="s">
        <v>375</v>
      </c>
      <c r="AO19520" s="4" t="s">
        <v>375</v>
      </c>
      <c r="AP19520" s="4" t="s">
        <v>376</v>
      </c>
      <c r="AR19520" s="4" t="s">
        <v>377</v>
      </c>
    </row>
    <row r="19521" spans="1:44">
      <c r="A19521" s="4" t="s">
        <v>117</v>
      </c>
      <c r="B19521" s="4">
        <v>3716</v>
      </c>
      <c r="D19521" s="5" t="s">
        <v>23992</v>
      </c>
      <c r="E19521" s="6" t="str">
        <f>HYPERLINK("https://inpn.mnhn.fr/espece/cd_nom/3716","Anthus petrosus (Montagu, 1798)")</f>
        <v>Anthus petrosus (Montagu, 1798)</v>
      </c>
      <c r="F19521" s="5" t="s">
        <v>23993</v>
      </c>
      <c r="I19521" s="4" t="str">
        <f>HYPERLINK("#Réglementation!A"&amp;_xlfn.XMATCH("IBE2",Réglementation!A:A,2,1),"IBE2")</f>
        <v>IBE2</v>
      </c>
      <c r="L19521" s="4" t="str">
        <f>HYPERLINK("#Réglementation!A"&amp;_xlfn.XMATCH("NO3",Réglementation!A:A,2,1),"NO3")</f>
        <v>NO3</v>
      </c>
      <c r="O19521" s="7" t="str">
        <f>HYPERLINK("#Liste_rouge!A"&amp;_xlfn.XMATCH("LC",Liste_rouge!A:A,2,1),"LC")</f>
        <v>LC</v>
      </c>
      <c r="P19521" s="7" t="str">
        <f>HYPERLINK("#Liste_rouge!A"&amp;_xlfn.XMATCH("LC",Liste_rouge!A:A,2,1),"LC")</f>
        <v>LC</v>
      </c>
      <c r="Q19521" s="7" t="str">
        <f>HYPERLINK("#Liste_rouge!A"&amp;_xlfn.XMATCH("NT",Liste_rouge!A:A,2,1),"NT")</f>
        <v>NT</v>
      </c>
      <c r="R19521" s="7" t="str">
        <f>HYPERLINK("#Liste_rouge!A"&amp;_xlfn.XMATCH("NA",Liste_rouge!A:A,2,1),"NA")</f>
        <v>NA</v>
      </c>
      <c r="S19521" s="7" t="str">
        <f>HYPERLINK("#Liste_rouge!A"&amp;_xlfn.XMATCH("NA",Liste_rouge!A:A,2,1),"NA")</f>
        <v>NA</v>
      </c>
      <c r="AH19521" s="4" t="str">
        <f>HYPERLINK("#Statut_biogéographique!A"&amp;_xlfn.XMATCH("P",Statut_biogéographique!A:A,2,1),"P")</f>
        <v>P</v>
      </c>
      <c r="AM19521" s="4" t="s">
        <v>375</v>
      </c>
      <c r="AN19521" s="4" t="s">
        <v>375</v>
      </c>
      <c r="AO19521" s="4" t="s">
        <v>375</v>
      </c>
      <c r="AP19521" s="4" t="s">
        <v>376</v>
      </c>
      <c r="AR19521" s="4" t="s">
        <v>377</v>
      </c>
    </row>
    <row r="19522" spans="1:44" ht="60">
      <c r="A19522" s="4" t="s">
        <v>117</v>
      </c>
      <c r="B19522" s="4">
        <v>3723</v>
      </c>
      <c r="D19522" s="5" t="s">
        <v>23994</v>
      </c>
      <c r="E19522" s="6" t="str">
        <f>HYPERLINK("https://inpn.mnhn.fr/espece/cd_nom/3723","Anthus trivialis (Linnaeus, 1758)")</f>
        <v>Anthus trivialis (Linnaeus, 1758)</v>
      </c>
      <c r="F19522" s="5" t="s">
        <v>23995</v>
      </c>
      <c r="I19522" s="4" t="str">
        <f>HYPERLINK("#Réglementation!A"&amp;_xlfn.XMATCH("IBE2",Réglementation!A:A,2,1),"IBE2")</f>
        <v>IBE2</v>
      </c>
      <c r="L19522" s="4" t="str">
        <f>HYPERLINK("#Réglementation!A"&amp;_xlfn.XMATCH("NO3",Réglementation!A:A,2,1),"NO3")</f>
        <v>NO3</v>
      </c>
      <c r="O19522" s="7" t="str">
        <f>HYPERLINK("#Liste_rouge!A"&amp;_xlfn.XMATCH("LC",Liste_rouge!A:A,2,1),"LC")</f>
        <v>LC</v>
      </c>
      <c r="P19522" s="7" t="str">
        <f>HYPERLINK("#Liste_rouge!A"&amp;_xlfn.XMATCH("LC",Liste_rouge!A:A,2,1),"LC")</f>
        <v>LC</v>
      </c>
      <c r="Q19522" s="7" t="str">
        <f>HYPERLINK("#Liste_rouge!A"&amp;_xlfn.XMATCH("LC",Liste_rouge!A:A,2,1),"LC")</f>
        <v>LC</v>
      </c>
      <c r="S19522" s="7" t="str">
        <f>HYPERLINK("#Liste_rouge!A"&amp;_xlfn.XMATCH("DD",Liste_rouge!A:A,2,1),"DD")</f>
        <v>DD</v>
      </c>
      <c r="T19522" s="7" t="str">
        <f>HYPERLINK("#Liste_rouge!A"&amp;_xlfn.XMATCH("LC",Liste_rouge!A:A,2,1),"LC")</f>
        <v>LC</v>
      </c>
      <c r="V19522" s="7" t="str">
        <f>HYPERLINK("#Liste_rouge!A"&amp;_xlfn.XMATCH("VU",Liste_rouge!A:A,2,1),"VU")</f>
        <v>VU</v>
      </c>
      <c r="W19522" s="4" t="str">
        <f>HYPERLINK("#Critères_liste_rouge!A$1","A2b")</f>
        <v>A2b</v>
      </c>
      <c r="X19522" s="5" t="s">
        <v>23439</v>
      </c>
      <c r="Y19522" s="5" t="s">
        <v>23481</v>
      </c>
      <c r="AH19522" s="4" t="str">
        <f>HYPERLINK("#Statut_biogéographique!A"&amp;_xlfn.XMATCH("P",Statut_biogéographique!A:A,2,1),"P")</f>
        <v>P</v>
      </c>
      <c r="AM19522" s="4" t="s">
        <v>375</v>
      </c>
      <c r="AN19522" s="4" t="s">
        <v>375</v>
      </c>
      <c r="AO19522" s="4" t="s">
        <v>375</v>
      </c>
      <c r="AP19522" s="4" t="s">
        <v>376</v>
      </c>
      <c r="AR19522" s="4" t="s">
        <v>377</v>
      </c>
    </row>
    <row r="19523" spans="1:44">
      <c r="A19523" s="4" t="s">
        <v>117</v>
      </c>
      <c r="B19523" s="4">
        <v>3726</v>
      </c>
      <c r="D19523" s="5" t="s">
        <v>23996</v>
      </c>
      <c r="E19523" s="6" t="str">
        <f>HYPERLINK("https://inpn.mnhn.fr/espece/cd_nom/3726","Anthus pratensis (Linnaeus, 1758)")</f>
        <v>Anthus pratensis (Linnaeus, 1758)</v>
      </c>
      <c r="F19523" s="5" t="s">
        <v>23997</v>
      </c>
      <c r="I19523" s="4" t="str">
        <f>HYPERLINK("#Réglementation!A"&amp;_xlfn.XMATCH("IBE2",Réglementation!A:A,2,1),"IBE2")</f>
        <v>IBE2</v>
      </c>
      <c r="L19523" s="4" t="str">
        <f>HYPERLINK("#Réglementation!A"&amp;_xlfn.XMATCH("NO3",Réglementation!A:A,2,1),"NO3")</f>
        <v>NO3</v>
      </c>
      <c r="O19523" s="7" t="str">
        <f>HYPERLINK("#Liste_rouge!A"&amp;_xlfn.XMATCH("LC",Liste_rouge!A:A,2,1),"LC")</f>
        <v>LC</v>
      </c>
      <c r="P19523" s="7" t="str">
        <f>HYPERLINK("#Liste_rouge!A"&amp;_xlfn.XMATCH("LC",Liste_rouge!A:A,2,1),"LC")</f>
        <v>LC</v>
      </c>
      <c r="Q19523" s="7" t="str">
        <f>HYPERLINK("#Liste_rouge!A"&amp;_xlfn.XMATCH("VU",Liste_rouge!A:A,2,1),"VU")</f>
        <v>VU</v>
      </c>
      <c r="R19523" s="7" t="str">
        <f>HYPERLINK("#Liste_rouge!A"&amp;_xlfn.XMATCH("DD",Liste_rouge!A:A,2,1),"DD")</f>
        <v>DD</v>
      </c>
      <c r="S19523" s="7" t="str">
        <f>HYPERLINK("#Liste_rouge!A"&amp;_xlfn.XMATCH("NA",Liste_rouge!A:A,2,1),"NA")</f>
        <v>NA</v>
      </c>
      <c r="T19523" s="7" t="str">
        <f>HYPERLINK("#Liste_rouge!A"&amp;_xlfn.XMATCH("VU",Liste_rouge!A:A,2,1),"VU")</f>
        <v>VU</v>
      </c>
      <c r="U19523" s="4" t="str">
        <f>HYPERLINK("#Critères_liste_rouge!A$1","D1")</f>
        <v>D1</v>
      </c>
      <c r="V19523" s="7" t="str">
        <f>HYPERLINK("#Liste_rouge!A"&amp;_xlfn.XMATCH("EN",Liste_rouge!A:A,2,1),"EN")</f>
        <v>EN</v>
      </c>
      <c r="W19523" s="4" t="str">
        <f>HYPERLINK("#Critères_liste_rouge!A$1","C1+2a(ii)")</f>
        <v>C1+2a(ii)</v>
      </c>
      <c r="X19523" s="5" t="s">
        <v>374</v>
      </c>
      <c r="AH19523" s="4" t="str">
        <f>HYPERLINK("#Statut_biogéographique!A"&amp;_xlfn.XMATCH("P",Statut_biogéographique!A:A,2,1),"P")</f>
        <v>P</v>
      </c>
      <c r="AM19523" s="4" t="s">
        <v>375</v>
      </c>
      <c r="AN19523" s="4" t="s">
        <v>375</v>
      </c>
      <c r="AO19523" s="4" t="s">
        <v>375</v>
      </c>
      <c r="AP19523" s="4" t="s">
        <v>376</v>
      </c>
      <c r="AR19523" s="4" t="s">
        <v>377</v>
      </c>
    </row>
    <row r="19524" spans="1:44">
      <c r="A19524" s="4" t="s">
        <v>117</v>
      </c>
      <c r="B19524" s="4">
        <v>3729</v>
      </c>
      <c r="D19524" s="5" t="s">
        <v>23998</v>
      </c>
      <c r="E19524" s="6" t="str">
        <f>HYPERLINK("https://inpn.mnhn.fr/espece/cd_nom/3729","Anthus cervinus (Pallas, 1811)")</f>
        <v>Anthus cervinus (Pallas, 1811)</v>
      </c>
      <c r="F19524" s="5" t="s">
        <v>23999</v>
      </c>
      <c r="I19524" s="4" t="str">
        <f>HYPERLINK("#Réglementation!A"&amp;_xlfn.XMATCH("IBE2",Réglementation!A:A,2,1),"IBE2")</f>
        <v>IBE2</v>
      </c>
      <c r="L19524" s="4" t="str">
        <f>HYPERLINK("#Réglementation!A"&amp;_xlfn.XMATCH("NO4",Réglementation!A:A,2,1),"NO4")</f>
        <v>NO4</v>
      </c>
      <c r="O19524" s="7" t="str">
        <f>HYPERLINK("#Liste_rouge!A"&amp;_xlfn.XMATCH("LC",Liste_rouge!A:A,2,1),"LC")</f>
        <v>LC</v>
      </c>
      <c r="P19524" s="7" t="str">
        <f>HYPERLINK("#Liste_rouge!A"&amp;_xlfn.XMATCH("LC",Liste_rouge!A:A,2,1),"LC")</f>
        <v>LC</v>
      </c>
      <c r="S19524" s="7" t="str">
        <f>HYPERLINK("#Liste_rouge!A"&amp;_xlfn.XMATCH("NA",Liste_rouge!A:A,2,1),"NA")</f>
        <v>NA</v>
      </c>
      <c r="AH19524" s="4" t="str">
        <f>HYPERLINK("#Statut_biogéographique!A"&amp;_xlfn.XMATCH("P",Statut_biogéographique!A:A,2,1),"P")</f>
        <v>P</v>
      </c>
      <c r="AM19524" s="4" t="s">
        <v>375</v>
      </c>
      <c r="AN19524" s="4" t="s">
        <v>375</v>
      </c>
      <c r="AO19524" s="4" t="s">
        <v>375</v>
      </c>
      <c r="AP19524" s="4" t="s">
        <v>376</v>
      </c>
      <c r="AR19524" s="4" t="s">
        <v>377</v>
      </c>
    </row>
    <row r="19525" spans="1:44">
      <c r="A19525" s="4" t="s">
        <v>117</v>
      </c>
      <c r="B19525" s="4">
        <v>3733</v>
      </c>
      <c r="D19525" s="5" t="s">
        <v>24000</v>
      </c>
      <c r="E19525" s="6" t="str">
        <f>HYPERLINK("https://inpn.mnhn.fr/espece/cd_nom/3733","Anthus spinoletta (Linnaeus, 1758)")</f>
        <v>Anthus spinoletta (Linnaeus, 1758)</v>
      </c>
      <c r="F19525" s="5" t="s">
        <v>24001</v>
      </c>
      <c r="I19525" s="4" t="str">
        <f>HYPERLINK("#Réglementation!A"&amp;_xlfn.XMATCH("IBE2",Réglementation!A:A,2,1),"IBE2")</f>
        <v>IBE2</v>
      </c>
      <c r="L19525" s="4" t="str">
        <f>HYPERLINK("#Réglementation!A"&amp;_xlfn.XMATCH("NO3",Réglementation!A:A,2,1),"NO3")</f>
        <v>NO3</v>
      </c>
      <c r="O19525" s="7" t="str">
        <f>HYPERLINK("#Liste_rouge!A"&amp;_xlfn.XMATCH("LC",Liste_rouge!A:A,2,1),"LC")</f>
        <v>LC</v>
      </c>
      <c r="P19525" s="7" t="str">
        <f>HYPERLINK("#Liste_rouge!A"&amp;_xlfn.XMATCH("LC",Liste_rouge!A:A,2,1),"LC")</f>
        <v>LC</v>
      </c>
      <c r="Q19525" s="7" t="str">
        <f>HYPERLINK("#Liste_rouge!A"&amp;_xlfn.XMATCH("LC",Liste_rouge!A:A,2,1),"LC")</f>
        <v>LC</v>
      </c>
      <c r="R19525" s="7" t="str">
        <f>HYPERLINK("#Liste_rouge!A"&amp;_xlfn.XMATCH("NA",Liste_rouge!A:A,2,1),"NA")</f>
        <v>NA</v>
      </c>
      <c r="S19525" s="7" t="str">
        <f>HYPERLINK("#Liste_rouge!A"&amp;_xlfn.XMATCH("NA",Liste_rouge!A:A,2,1),"NA")</f>
        <v>NA</v>
      </c>
      <c r="V19525" s="7" t="str">
        <f>HYPERLINK("#Liste_rouge!A"&amp;_xlfn.XMATCH("CR",Liste_rouge!A:A,2,1),"CR")</f>
        <v>CR</v>
      </c>
      <c r="W19525" s="4" t="str">
        <f>HYPERLINK("#Critères_liste_rouge!A$1","D1")</f>
        <v>D1</v>
      </c>
      <c r="X19525" s="5" t="s">
        <v>374</v>
      </c>
      <c r="AH19525" s="4" t="str">
        <f>HYPERLINK("#Statut_biogéographique!A"&amp;_xlfn.XMATCH("P",Statut_biogéographique!A:A,2,1),"P")</f>
        <v>P</v>
      </c>
      <c r="AM19525" s="4" t="s">
        <v>375</v>
      </c>
      <c r="AN19525" s="4" t="s">
        <v>375</v>
      </c>
      <c r="AO19525" s="4" t="s">
        <v>375</v>
      </c>
      <c r="AP19525" s="4" t="s">
        <v>376</v>
      </c>
      <c r="AR19525" s="4" t="s">
        <v>377</v>
      </c>
    </row>
    <row r="19526" spans="1:44">
      <c r="A19526" s="4" t="s">
        <v>117</v>
      </c>
      <c r="B19526" s="4">
        <v>3741</v>
      </c>
      <c r="D19526" s="5" t="s">
        <v>24002</v>
      </c>
      <c r="E19526" s="6" t="str">
        <f>HYPERLINK("https://inpn.mnhn.fr/espece/cd_nom/3741","Motacilla flava Linnaeus, 1758")</f>
        <v>Motacilla flava Linnaeus, 1758</v>
      </c>
      <c r="F19526" s="5" t="s">
        <v>24003</v>
      </c>
      <c r="I19526" s="4" t="str">
        <f>HYPERLINK("#Réglementation!A"&amp;_xlfn.XMATCH("IBE2",Réglementation!A:A,2,1),"IBE2")</f>
        <v>IBE2</v>
      </c>
      <c r="L19526" s="4" t="str">
        <f>HYPERLINK("#Réglementation!A"&amp;_xlfn.XMATCH("NO3",Réglementation!A:A,2,1),"NO3")</f>
        <v>NO3</v>
      </c>
      <c r="O19526" s="7" t="str">
        <f>HYPERLINK("#Liste_rouge!A"&amp;_xlfn.XMATCH("LC",Liste_rouge!A:A,2,1),"LC")</f>
        <v>LC</v>
      </c>
      <c r="P19526" s="7" t="str">
        <f>HYPERLINK("#Liste_rouge!A"&amp;_xlfn.XMATCH("LC",Liste_rouge!A:A,2,1),"LC")</f>
        <v>LC</v>
      </c>
      <c r="Q19526" s="7" t="str">
        <f>HYPERLINK("#Liste_rouge!A"&amp;_xlfn.XMATCH("LC",Liste_rouge!A:A,2,1),"LC")</f>
        <v>LC</v>
      </c>
      <c r="S19526" s="7" t="str">
        <f>HYPERLINK("#Liste_rouge!A"&amp;_xlfn.XMATCH("DD",Liste_rouge!A:A,2,1),"DD")</f>
        <v>DD</v>
      </c>
      <c r="T19526" s="7" t="str">
        <f>HYPERLINK("#Liste_rouge!A"&amp;_xlfn.XMATCH("LC",Liste_rouge!A:A,2,1),"LC")</f>
        <v>LC</v>
      </c>
      <c r="V19526" s="7" t="str">
        <f>HYPERLINK("#Liste_rouge!A"&amp;_xlfn.XMATCH("LC",Liste_rouge!A:A,2,1),"LC")</f>
        <v>LC</v>
      </c>
      <c r="AH19526" s="4" t="str">
        <f>HYPERLINK("#Statut_biogéographique!A"&amp;_xlfn.XMATCH("P",Statut_biogéographique!A:A,2,1),"P")</f>
        <v>P</v>
      </c>
      <c r="AM19526" s="4" t="s">
        <v>375</v>
      </c>
      <c r="AN19526" s="4" t="s">
        <v>375</v>
      </c>
      <c r="AO19526" s="4" t="s">
        <v>375</v>
      </c>
      <c r="AP19526" s="4" t="s">
        <v>376</v>
      </c>
      <c r="AR19526" s="4" t="s">
        <v>377</v>
      </c>
    </row>
    <row r="19527" spans="1:44">
      <c r="A19527" s="4" t="s">
        <v>117</v>
      </c>
      <c r="B19527" s="4">
        <v>3744</v>
      </c>
      <c r="D19527" s="5">
        <v>3744</v>
      </c>
      <c r="E19527" s="6" t="str">
        <f>HYPERLINK("https://inpn.mnhn.fr/espece/cd_nom/3744","Motacilla flava flava Linnaeus, 1758")</f>
        <v>Motacilla flava flava Linnaeus, 1758</v>
      </c>
      <c r="I19527" s="4" t="str">
        <f>HYPERLINK("#Réglementation!A"&amp;_xlfn.XMATCH("IBE2",Réglementation!A:A,2,1),"IBE2")</f>
        <v>IBE2</v>
      </c>
      <c r="L19527" s="4" t="str">
        <f>HYPERLINK("#Réglementation!A"&amp;_xlfn.XMATCH("NO3",Réglementation!A:A,2,1),"NO3")</f>
        <v>NO3</v>
      </c>
      <c r="AH19527" s="4" t="str">
        <f>HYPERLINK("#Statut_biogéographique!A"&amp;_xlfn.XMATCH("P",Statut_biogéographique!A:A,2,1),"P")</f>
        <v>P</v>
      </c>
      <c r="AP19527" s="4" t="s">
        <v>376</v>
      </c>
      <c r="AR19527" s="4" t="s">
        <v>377</v>
      </c>
    </row>
    <row r="19528" spans="1:44">
      <c r="A19528" s="4" t="s">
        <v>117</v>
      </c>
      <c r="B19528" s="4">
        <v>3745</v>
      </c>
      <c r="D19528" s="5" t="s">
        <v>24004</v>
      </c>
      <c r="E19528" s="6" t="str">
        <f>HYPERLINK("https://inpn.mnhn.fr/espece/cd_nom/3745","Motacilla flava flavissima (Blyth, 1834)")</f>
        <v>Motacilla flava flavissima (Blyth, 1834)</v>
      </c>
      <c r="F19528" s="5" t="s">
        <v>24005</v>
      </c>
      <c r="I19528" s="4" t="str">
        <f>HYPERLINK("#Réglementation!A"&amp;_xlfn.XMATCH("IBE2",Réglementation!A:A,2,1),"IBE2")</f>
        <v>IBE2</v>
      </c>
      <c r="L19528" s="4" t="str">
        <f>HYPERLINK("#Réglementation!A"&amp;_xlfn.XMATCH("NO3",Réglementation!A:A,2,1),"NO3")</f>
        <v>NO3</v>
      </c>
      <c r="AH19528" s="4" t="str">
        <f>HYPERLINK("#Statut_biogéographique!A"&amp;_xlfn.XMATCH("P",Statut_biogéographique!A:A,2,1),"P")</f>
        <v>P</v>
      </c>
      <c r="AP19528" s="4" t="s">
        <v>376</v>
      </c>
      <c r="AR19528" s="4" t="s">
        <v>377</v>
      </c>
    </row>
    <row r="19529" spans="1:44">
      <c r="A19529" s="4" t="s">
        <v>117</v>
      </c>
      <c r="B19529" s="4">
        <v>3748</v>
      </c>
      <c r="D19529" s="5" t="s">
        <v>24006</v>
      </c>
      <c r="E19529" s="6" t="str">
        <f>HYPERLINK("https://inpn.mnhn.fr/espece/cd_nom/3748","Motacilla flava cinereocapilla Savi, 1831")</f>
        <v>Motacilla flava cinereocapilla Savi, 1831</v>
      </c>
      <c r="F19529" s="5" t="s">
        <v>24007</v>
      </c>
      <c r="I19529" s="4" t="str">
        <f>HYPERLINK("#Réglementation!A"&amp;_xlfn.XMATCH("IBE2",Réglementation!A:A,2,1),"IBE2")</f>
        <v>IBE2</v>
      </c>
      <c r="L19529" s="4" t="str">
        <f>HYPERLINK("#Réglementation!A"&amp;_xlfn.XMATCH("NO3",Réglementation!A:A,2,1),"NO3")</f>
        <v>NO3</v>
      </c>
      <c r="AH19529" s="4" t="str">
        <f>HYPERLINK("#Statut_biogéographique!A"&amp;_xlfn.XMATCH("P",Statut_biogéographique!A:A,2,1),"P")</f>
        <v>P</v>
      </c>
      <c r="AP19529" s="4" t="s">
        <v>376</v>
      </c>
      <c r="AR19529" s="4" t="s">
        <v>377</v>
      </c>
    </row>
    <row r="19530" spans="1:44">
      <c r="A19530" s="4" t="s">
        <v>117</v>
      </c>
      <c r="B19530" s="4">
        <v>3751</v>
      </c>
      <c r="D19530" s="5" t="s">
        <v>24008</v>
      </c>
      <c r="E19530" s="6" t="str">
        <f>HYPERLINK("https://inpn.mnhn.fr/espece/cd_nom/3751","Motacilla flava thunbergi Billeberg, 1829")</f>
        <v>Motacilla flava thunbergi Billeberg, 1829</v>
      </c>
      <c r="F19530" s="5" t="s">
        <v>24009</v>
      </c>
      <c r="I19530" s="4" t="str">
        <f>HYPERLINK("#Réglementation!A"&amp;_xlfn.XMATCH("IBE2",Réglementation!A:A,2,1),"IBE2")</f>
        <v>IBE2</v>
      </c>
      <c r="L19530" s="4" t="str">
        <f>HYPERLINK("#Réglementation!A"&amp;_xlfn.XMATCH("NO3",Réglementation!A:A,2,1),"NO3")</f>
        <v>NO3</v>
      </c>
      <c r="AH19530" s="4" t="str">
        <f>HYPERLINK("#Statut_biogéographique!A"&amp;_xlfn.XMATCH("P",Statut_biogéographique!A:A,2,1),"P")</f>
        <v>P</v>
      </c>
      <c r="AP19530" s="4" t="s">
        <v>376</v>
      </c>
      <c r="AR19530" s="4" t="s">
        <v>377</v>
      </c>
    </row>
    <row r="19531" spans="1:44">
      <c r="A19531" s="4" t="s">
        <v>117</v>
      </c>
      <c r="B19531" s="4">
        <v>3752</v>
      </c>
      <c r="D19531" s="5" t="s">
        <v>24010</v>
      </c>
      <c r="E19531" s="6" t="str">
        <f>HYPERLINK("https://inpn.mnhn.fr/espece/cd_nom/3752","Motacilla flava feldegg Michahelles, 1830")</f>
        <v>Motacilla flava feldegg Michahelles, 1830</v>
      </c>
      <c r="F19531" s="5" t="s">
        <v>24011</v>
      </c>
      <c r="I19531" s="4" t="str">
        <f>HYPERLINK("#Réglementation!A"&amp;_xlfn.XMATCH("IBE2",Réglementation!A:A,2,1),"IBE2")</f>
        <v>IBE2</v>
      </c>
      <c r="L19531" s="4" t="str">
        <f>HYPERLINK("#Réglementation!A"&amp;_xlfn.XMATCH("NO3",Réglementation!A:A,2,1),"NO3")</f>
        <v>NO3</v>
      </c>
      <c r="AH19531" s="4" t="str">
        <f>HYPERLINK("#Statut_biogéographique!A"&amp;_xlfn.XMATCH("P",Statut_biogéographique!A:A,2,1),"P")</f>
        <v>P</v>
      </c>
      <c r="AP19531" s="4" t="s">
        <v>376</v>
      </c>
      <c r="AR19531" s="4" t="s">
        <v>377</v>
      </c>
    </row>
    <row r="19532" spans="1:44">
      <c r="A19532" s="4" t="s">
        <v>117</v>
      </c>
      <c r="B19532" s="4">
        <v>3755</v>
      </c>
      <c r="D19532" s="5" t="s">
        <v>24012</v>
      </c>
      <c r="E19532" s="6" t="str">
        <f>HYPERLINK("https://inpn.mnhn.fr/espece/cd_nom/3755","Motacilla cinerea Tunstall, 1771")</f>
        <v>Motacilla cinerea Tunstall, 1771</v>
      </c>
      <c r="F19532" s="5" t="s">
        <v>24013</v>
      </c>
      <c r="I19532" s="4" t="str">
        <f>HYPERLINK("#Réglementation!A"&amp;_xlfn.XMATCH("IBE2",Réglementation!A:A,2,1),"IBE2")</f>
        <v>IBE2</v>
      </c>
      <c r="L19532" s="4" t="str">
        <f>HYPERLINK("#Réglementation!A"&amp;_xlfn.XMATCH("NO3",Réglementation!A:A,2,1),"NO3")</f>
        <v>NO3</v>
      </c>
      <c r="O19532" s="7" t="str">
        <f>HYPERLINK("#Liste_rouge!A"&amp;_xlfn.XMATCH("LC",Liste_rouge!A:A,2,1),"LC")</f>
        <v>LC</v>
      </c>
      <c r="P19532" s="7" t="str">
        <f>HYPERLINK("#Liste_rouge!A"&amp;_xlfn.XMATCH("LC",Liste_rouge!A:A,2,1),"LC")</f>
        <v>LC</v>
      </c>
      <c r="Q19532" s="7" t="str">
        <f>HYPERLINK("#Liste_rouge!A"&amp;_xlfn.XMATCH("LC",Liste_rouge!A:A,2,1),"LC")</f>
        <v>LC</v>
      </c>
      <c r="R19532" s="7" t="str">
        <f>HYPERLINK("#Liste_rouge!A"&amp;_xlfn.XMATCH("NA",Liste_rouge!A:A,2,1),"NA")</f>
        <v>NA</v>
      </c>
      <c r="T19532" s="7" t="str">
        <f>HYPERLINK("#Liste_rouge!A"&amp;_xlfn.XMATCH("LC",Liste_rouge!A:A,2,1),"LC")</f>
        <v>LC</v>
      </c>
      <c r="V19532" s="7" t="str">
        <f>HYPERLINK("#Liste_rouge!A"&amp;_xlfn.XMATCH("LC",Liste_rouge!A:A,2,1),"LC")</f>
        <v>LC</v>
      </c>
      <c r="AH19532" s="4" t="str">
        <f>HYPERLINK("#Statut_biogéographique!A"&amp;_xlfn.XMATCH("P",Statut_biogéographique!A:A,2,1),"P")</f>
        <v>P</v>
      </c>
      <c r="AM19532" s="4" t="s">
        <v>375</v>
      </c>
      <c r="AN19532" s="4" t="s">
        <v>375</v>
      </c>
      <c r="AO19532" s="4" t="s">
        <v>375</v>
      </c>
      <c r="AP19532" s="4" t="s">
        <v>376</v>
      </c>
      <c r="AR19532" s="4" t="s">
        <v>377</v>
      </c>
    </row>
    <row r="19533" spans="1:44">
      <c r="A19533" s="4" t="s">
        <v>117</v>
      </c>
      <c r="B19533" s="4">
        <v>3764</v>
      </c>
      <c r="D19533" s="5" t="s">
        <v>24014</v>
      </c>
      <c r="E19533" s="6" t="str">
        <f>HYPERLINK("https://inpn.mnhn.fr/espece/cd_nom/3764","Parus major Linnaeus, 1758")</f>
        <v>Parus major Linnaeus, 1758</v>
      </c>
      <c r="F19533" s="5" t="s">
        <v>24015</v>
      </c>
      <c r="I19533" s="4" t="str">
        <f>HYPERLINK("#Réglementation!A"&amp;_xlfn.XMATCH("IBE2",Réglementation!A:A,2,1),"IBE2")</f>
        <v>IBE2</v>
      </c>
      <c r="L19533" s="4" t="str">
        <f>HYPERLINK("#Réglementation!A"&amp;_xlfn.XMATCH("NO3",Réglementation!A:A,2,1),"NO3")</f>
        <v>NO3</v>
      </c>
      <c r="O19533" s="7" t="str">
        <f>HYPERLINK("#Liste_rouge!A"&amp;_xlfn.XMATCH("LC",Liste_rouge!A:A,2,1),"LC")</f>
        <v>LC</v>
      </c>
      <c r="P19533" s="7" t="str">
        <f>HYPERLINK("#Liste_rouge!A"&amp;_xlfn.XMATCH("LC",Liste_rouge!A:A,2,1),"LC")</f>
        <v>LC</v>
      </c>
      <c r="Q19533" s="7" t="str">
        <f>HYPERLINK("#Liste_rouge!A"&amp;_xlfn.XMATCH("LC",Liste_rouge!A:A,2,1),"LC")</f>
        <v>LC</v>
      </c>
      <c r="R19533" s="7" t="str">
        <f>HYPERLINK("#Liste_rouge!A"&amp;_xlfn.XMATCH("NA",Liste_rouge!A:A,2,1),"NA")</f>
        <v>NA</v>
      </c>
      <c r="S19533" s="7" t="str">
        <f>HYPERLINK("#Liste_rouge!A"&amp;_xlfn.XMATCH("NA",Liste_rouge!A:A,2,1),"NA")</f>
        <v>NA</v>
      </c>
      <c r="T19533" s="7" t="str">
        <f>HYPERLINK("#Liste_rouge!A"&amp;_xlfn.XMATCH("LC",Liste_rouge!A:A,2,1),"LC")</f>
        <v>LC</v>
      </c>
      <c r="V19533" s="7" t="str">
        <f>HYPERLINK("#Liste_rouge!A"&amp;_xlfn.XMATCH("LC",Liste_rouge!A:A,2,1),"LC")</f>
        <v>LC</v>
      </c>
      <c r="AH19533" s="4" t="str">
        <f>HYPERLINK("#Statut_biogéographique!A"&amp;_xlfn.XMATCH("P",Statut_biogéographique!A:A,2,1),"P")</f>
        <v>P</v>
      </c>
      <c r="AM19533" s="4" t="s">
        <v>375</v>
      </c>
      <c r="AN19533" s="4" t="s">
        <v>375</v>
      </c>
      <c r="AO19533" s="4" t="s">
        <v>375</v>
      </c>
      <c r="AP19533" s="4" t="s">
        <v>376</v>
      </c>
      <c r="AR19533" s="4" t="s">
        <v>377</v>
      </c>
    </row>
    <row r="19534" spans="1:44">
      <c r="A19534" s="4" t="s">
        <v>117</v>
      </c>
      <c r="B19534" s="4">
        <v>3774</v>
      </c>
      <c r="D19534" s="5" t="s">
        <v>24016</v>
      </c>
      <c r="E19534" s="6" t="str">
        <f>HYPERLINK("https://inpn.mnhn.fr/espece/cd_nom/3774","Sitta europaea Linnaeus, 1758")</f>
        <v>Sitta europaea Linnaeus, 1758</v>
      </c>
      <c r="F19534" s="5" t="s">
        <v>24017</v>
      </c>
      <c r="I19534" s="4" t="str">
        <f>HYPERLINK("#Réglementation!A"&amp;_xlfn.XMATCH("IBE2",Réglementation!A:A,2,1),"IBE2")</f>
        <v>IBE2</v>
      </c>
      <c r="L19534" s="4" t="str">
        <f>HYPERLINK("#Réglementation!A"&amp;_xlfn.XMATCH("NO3",Réglementation!A:A,2,1),"NO3")</f>
        <v>NO3</v>
      </c>
      <c r="O19534" s="7" t="str">
        <f>HYPERLINK("#Liste_rouge!A"&amp;_xlfn.XMATCH("LC",Liste_rouge!A:A,2,1),"LC")</f>
        <v>LC</v>
      </c>
      <c r="P19534" s="7" t="str">
        <f>HYPERLINK("#Liste_rouge!A"&amp;_xlfn.XMATCH("LC",Liste_rouge!A:A,2,1),"LC")</f>
        <v>LC</v>
      </c>
      <c r="Q19534" s="7" t="str">
        <f>HYPERLINK("#Liste_rouge!A"&amp;_xlfn.XMATCH("LC",Liste_rouge!A:A,2,1),"LC")</f>
        <v>LC</v>
      </c>
      <c r="T19534" s="7" t="str">
        <f>HYPERLINK("#Liste_rouge!A"&amp;_xlfn.XMATCH("LC",Liste_rouge!A:A,2,1),"LC")</f>
        <v>LC</v>
      </c>
      <c r="V19534" s="7" t="str">
        <f>HYPERLINK("#Liste_rouge!A"&amp;_xlfn.XMATCH("LC",Liste_rouge!A:A,2,1),"LC")</f>
        <v>LC</v>
      </c>
      <c r="AH19534" s="4" t="str">
        <f>HYPERLINK("#Statut_biogéographique!A"&amp;_xlfn.XMATCH("P",Statut_biogéographique!A:A,2,1),"P")</f>
        <v>P</v>
      </c>
      <c r="AM19534" s="4" t="s">
        <v>375</v>
      </c>
      <c r="AN19534" s="4" t="s">
        <v>375</v>
      </c>
      <c r="AO19534" s="4" t="s">
        <v>375</v>
      </c>
      <c r="AP19534" s="4" t="s">
        <v>376</v>
      </c>
      <c r="AR19534" s="4" t="s">
        <v>377</v>
      </c>
    </row>
    <row r="19535" spans="1:44" ht="30">
      <c r="A19535" s="4" t="s">
        <v>117</v>
      </c>
      <c r="B19535" s="4">
        <v>3780</v>
      </c>
      <c r="D19535" s="5" t="s">
        <v>24018</v>
      </c>
      <c r="E19535" s="6" t="str">
        <f>HYPERLINK("https://inpn.mnhn.fr/espece/cd_nom/3780","Tichodroma muraria (Linnaeus, 1766)")</f>
        <v>Tichodroma muraria (Linnaeus, 1766)</v>
      </c>
      <c r="F19535" s="5" t="s">
        <v>24019</v>
      </c>
      <c r="I19535" s="4" t="str">
        <f>HYPERLINK("#Réglementation!A"&amp;_xlfn.XMATCH("IBE2",Réglementation!A:A,2,1),"IBE2")</f>
        <v>IBE2</v>
      </c>
      <c r="L19535" s="4" t="str">
        <f>HYPERLINK("#Réglementation!A"&amp;_xlfn.XMATCH("NO3",Réglementation!A:A,2,1),"NO3")</f>
        <v>NO3</v>
      </c>
      <c r="O19535" s="7" t="str">
        <f>HYPERLINK("#Liste_rouge!A"&amp;_xlfn.XMATCH("LC",Liste_rouge!A:A,2,1),"LC")</f>
        <v>LC</v>
      </c>
      <c r="P19535" s="7" t="str">
        <f>HYPERLINK("#Liste_rouge!A"&amp;_xlfn.XMATCH("LC",Liste_rouge!A:A,2,1),"LC")</f>
        <v>LC</v>
      </c>
      <c r="Q19535" s="7" t="str">
        <f>HYPERLINK("#Liste_rouge!A"&amp;_xlfn.XMATCH("NT",Liste_rouge!A:A,2,1),"NT")</f>
        <v>NT</v>
      </c>
      <c r="V19535" s="7" t="str">
        <f>HYPERLINK("#Liste_rouge!A"&amp;_xlfn.XMATCH("CR",Liste_rouge!A:A,2,1),"CR")</f>
        <v>CR</v>
      </c>
      <c r="W19535" s="4" t="str">
        <f>HYPERLINK("#Critères_liste_rouge!A$1","D1")</f>
        <v>D1</v>
      </c>
      <c r="X19535" s="5" t="s">
        <v>23442</v>
      </c>
      <c r="Y19535" s="5" t="s">
        <v>23781</v>
      </c>
      <c r="AH19535" s="4" t="str">
        <f>HYPERLINK("#Statut_biogéographique!A"&amp;_xlfn.XMATCH("P",Statut_biogéographique!A:A,2,1),"P")</f>
        <v>P</v>
      </c>
      <c r="AM19535" s="4" t="s">
        <v>375</v>
      </c>
      <c r="AN19535" s="4" t="s">
        <v>375</v>
      </c>
      <c r="AO19535" s="4" t="s">
        <v>375</v>
      </c>
      <c r="AP19535" s="4" t="s">
        <v>376</v>
      </c>
      <c r="AR19535" s="4" t="s">
        <v>377</v>
      </c>
    </row>
    <row r="19536" spans="1:44">
      <c r="A19536" s="4" t="s">
        <v>117</v>
      </c>
      <c r="B19536" s="4">
        <v>3784</v>
      </c>
      <c r="D19536" s="5" t="s">
        <v>24020</v>
      </c>
      <c r="E19536" s="6" t="str">
        <f>HYPERLINK("https://inpn.mnhn.fr/espece/cd_nom/3784","Certhia familiaris Linnaeus, 1758")</f>
        <v>Certhia familiaris Linnaeus, 1758</v>
      </c>
      <c r="F19536" s="5" t="s">
        <v>24021</v>
      </c>
      <c r="I19536" s="4" t="str">
        <f>HYPERLINK("#Réglementation!A"&amp;_xlfn.XMATCH("IBE3",Réglementation!A:A,2,1),"IBE3")</f>
        <v>IBE3</v>
      </c>
      <c r="L19536" s="4" t="str">
        <f>HYPERLINK("#Réglementation!A"&amp;_xlfn.XMATCH("NO3",Réglementation!A:A,2,1),"NO3")</f>
        <v>NO3</v>
      </c>
      <c r="O19536" s="7" t="str">
        <f>HYPERLINK("#Liste_rouge!A"&amp;_xlfn.XMATCH("LC",Liste_rouge!A:A,2,1),"LC")</f>
        <v>LC</v>
      </c>
      <c r="P19536" s="7" t="str">
        <f>HYPERLINK("#Liste_rouge!A"&amp;_xlfn.XMATCH("LC",Liste_rouge!A:A,2,1),"LC")</f>
        <v>LC</v>
      </c>
      <c r="Q19536" s="7" t="str">
        <f>HYPERLINK("#Liste_rouge!A"&amp;_xlfn.XMATCH("LC",Liste_rouge!A:A,2,1),"LC")</f>
        <v>LC</v>
      </c>
      <c r="S19536" s="7" t="str">
        <f>HYPERLINK("#Liste_rouge!A"&amp;_xlfn.XMATCH("NA",Liste_rouge!A:A,2,1),"NA")</f>
        <v>NA</v>
      </c>
      <c r="T19536" s="7" t="str">
        <f>HYPERLINK("#Liste_rouge!A"&amp;_xlfn.XMATCH("NA",Liste_rouge!A:A,2,1),"NA")</f>
        <v>NA</v>
      </c>
      <c r="U19536" s="4" t="str">
        <f>HYPERLINK("#Critères_liste_rouge!A$1","b")</f>
        <v>b</v>
      </c>
      <c r="V19536" s="7" t="str">
        <f>HYPERLINK("#Liste_rouge!A"&amp;_xlfn.XMATCH("LC",Liste_rouge!A:A,2,1),"LC")</f>
        <v>LC</v>
      </c>
      <c r="X19536" s="5" t="s">
        <v>374</v>
      </c>
      <c r="AH19536" s="4" t="str">
        <f>HYPERLINK("#Statut_biogéographique!A"&amp;_xlfn.XMATCH("P",Statut_biogéographique!A:A,2,1),"P")</f>
        <v>P</v>
      </c>
      <c r="AM19536" s="4" t="s">
        <v>375</v>
      </c>
      <c r="AN19536" s="4" t="s">
        <v>375</v>
      </c>
      <c r="AO19536" s="4" t="s">
        <v>375</v>
      </c>
      <c r="AP19536" s="4" t="s">
        <v>376</v>
      </c>
      <c r="AR19536" s="4" t="s">
        <v>377</v>
      </c>
    </row>
    <row r="19537" spans="1:44">
      <c r="A19537" s="4" t="s">
        <v>117</v>
      </c>
      <c r="B19537" s="4">
        <v>3791</v>
      </c>
      <c r="D19537" s="5" t="s">
        <v>24022</v>
      </c>
      <c r="E19537" s="6" t="str">
        <f>HYPERLINK("https://inpn.mnhn.fr/espece/cd_nom/3791","Certhia brachydactyla C.L. Brehm, 1820")</f>
        <v>Certhia brachydactyla C.L. Brehm, 1820</v>
      </c>
      <c r="F19537" s="5" t="s">
        <v>24023</v>
      </c>
      <c r="I19537" s="4" t="str">
        <f>HYPERLINK("#Réglementation!A"&amp;_xlfn.XMATCH("IBE3",Réglementation!A:A,2,1),"IBE3")</f>
        <v>IBE3</v>
      </c>
      <c r="L19537" s="4" t="str">
        <f>HYPERLINK("#Réglementation!A"&amp;_xlfn.XMATCH("NO3",Réglementation!A:A,2,1),"NO3")</f>
        <v>NO3</v>
      </c>
      <c r="O19537" s="7" t="str">
        <f>HYPERLINK("#Liste_rouge!A"&amp;_xlfn.XMATCH("LC",Liste_rouge!A:A,2,1),"LC")</f>
        <v>LC</v>
      </c>
      <c r="P19537" s="7" t="str">
        <f>HYPERLINK("#Liste_rouge!A"&amp;_xlfn.XMATCH("LC",Liste_rouge!A:A,2,1),"LC")</f>
        <v>LC</v>
      </c>
      <c r="Q19537" s="7" t="str">
        <f>HYPERLINK("#Liste_rouge!A"&amp;_xlfn.XMATCH("LC",Liste_rouge!A:A,2,1),"LC")</f>
        <v>LC</v>
      </c>
      <c r="T19537" s="7" t="str">
        <f>HYPERLINK("#Liste_rouge!A"&amp;_xlfn.XMATCH("LC",Liste_rouge!A:A,2,1),"LC")</f>
        <v>LC</v>
      </c>
      <c r="V19537" s="7" t="str">
        <f>HYPERLINK("#Liste_rouge!A"&amp;_xlfn.XMATCH("LC",Liste_rouge!A:A,2,1),"LC")</f>
        <v>LC</v>
      </c>
      <c r="AH19537" s="4" t="str">
        <f>HYPERLINK("#Statut_biogéographique!A"&amp;_xlfn.XMATCH("P",Statut_biogéographique!A:A,2,1),"P")</f>
        <v>P</v>
      </c>
      <c r="AM19537" s="4" t="s">
        <v>375</v>
      </c>
      <c r="AN19537" s="4" t="s">
        <v>375</v>
      </c>
      <c r="AO19537" s="4" t="s">
        <v>375</v>
      </c>
      <c r="AP19537" s="4" t="s">
        <v>376</v>
      </c>
      <c r="AR19537" s="4" t="s">
        <v>377</v>
      </c>
    </row>
    <row r="19538" spans="1:44" ht="30">
      <c r="A19538" s="4" t="s">
        <v>117</v>
      </c>
      <c r="B19538" s="4">
        <v>3798</v>
      </c>
      <c r="D19538" s="5" t="s">
        <v>24024</v>
      </c>
      <c r="E19538" s="6" t="str">
        <f>HYPERLINK("https://inpn.mnhn.fr/espece/cd_nom/3798","Remiz pendulinus (Linnaeus, 1758)")</f>
        <v>Remiz pendulinus (Linnaeus, 1758)</v>
      </c>
      <c r="F19538" s="5" t="s">
        <v>24025</v>
      </c>
      <c r="I19538" s="4" t="str">
        <f>HYPERLINK("#Réglementation!A"&amp;_xlfn.XMATCH("IBE3",Réglementation!A:A,2,1),"IBE3")</f>
        <v>IBE3</v>
      </c>
      <c r="L19538" s="4" t="str">
        <f>HYPERLINK("#Réglementation!A"&amp;_xlfn.XMATCH("NO3",Réglementation!A:A,2,1),"NO3")</f>
        <v>NO3</v>
      </c>
      <c r="O19538" s="7" t="str">
        <f>HYPERLINK("#Liste_rouge!A"&amp;_xlfn.XMATCH("LC",Liste_rouge!A:A,2,1),"LC")</f>
        <v>LC</v>
      </c>
      <c r="P19538" s="7" t="str">
        <f>HYPERLINK("#Liste_rouge!A"&amp;_xlfn.XMATCH("LC",Liste_rouge!A:A,2,1),"LC")</f>
        <v>LC</v>
      </c>
      <c r="Q19538" s="7" t="str">
        <f>HYPERLINK("#Liste_rouge!A"&amp;_xlfn.XMATCH("CR",Liste_rouge!A:A,2,1),"CR")</f>
        <v>CR</v>
      </c>
      <c r="S19538" s="7" t="str">
        <f>HYPERLINK("#Liste_rouge!A"&amp;_xlfn.XMATCH("DD",Liste_rouge!A:A,2,1),"DD")</f>
        <v>DD</v>
      </c>
      <c r="T19538" s="7" t="str">
        <f>HYPERLINK("#Liste_rouge!A"&amp;_xlfn.XMATCH("NA",Liste_rouge!A:A,2,1),"NA")</f>
        <v>NA</v>
      </c>
      <c r="U19538" s="4" t="str">
        <f>HYPERLINK("#Critères_liste_rouge!A$1","b")</f>
        <v>b</v>
      </c>
      <c r="V19538" s="7" t="str">
        <f>HYPERLINK("#Liste_rouge!A"&amp;_xlfn.XMATCH("NA",Liste_rouge!A:A,2,1),"NA")</f>
        <v>NA</v>
      </c>
      <c r="W19538" s="4" t="str">
        <f>HYPERLINK("#Critères_liste_rouge!A$1","b1")</f>
        <v>b1</v>
      </c>
      <c r="X19538" s="5" t="s">
        <v>23442</v>
      </c>
      <c r="Y19538" s="5" t="s">
        <v>24026</v>
      </c>
      <c r="AH19538" s="4" t="str">
        <f>HYPERLINK("#Statut_biogéographique!A"&amp;_xlfn.XMATCH("P",Statut_biogéographique!A:A,2,1),"P")</f>
        <v>P</v>
      </c>
      <c r="AM19538" s="4" t="s">
        <v>375</v>
      </c>
      <c r="AN19538" s="4" t="s">
        <v>375</v>
      </c>
      <c r="AO19538" s="4" t="s">
        <v>375</v>
      </c>
      <c r="AP19538" s="4" t="s">
        <v>389</v>
      </c>
      <c r="AR19538" s="4" t="s">
        <v>377</v>
      </c>
    </row>
    <row r="19539" spans="1:44" ht="60">
      <c r="A19539" s="4" t="s">
        <v>117</v>
      </c>
      <c r="B19539" s="4">
        <v>3803</v>
      </c>
      <c r="D19539" s="5" t="s">
        <v>24027</v>
      </c>
      <c r="E19539" s="6" t="str">
        <f>HYPERLINK("https://inpn.mnhn.fr/espece/cd_nom/3803","Oriolus oriolus (Linnaeus, 1758)")</f>
        <v>Oriolus oriolus (Linnaeus, 1758)</v>
      </c>
      <c r="F19539" s="5" t="s">
        <v>24028</v>
      </c>
      <c r="I19539" s="4" t="str">
        <f>HYPERLINK("#Réglementation!A"&amp;_xlfn.XMATCH("IBE2",Réglementation!A:A,2,1),"IBE2")</f>
        <v>IBE2</v>
      </c>
      <c r="L19539" s="4" t="str">
        <f>HYPERLINK("#Réglementation!A"&amp;_xlfn.XMATCH("NO3",Réglementation!A:A,2,1),"NO3")</f>
        <v>NO3</v>
      </c>
      <c r="O19539" s="7" t="str">
        <f>HYPERLINK("#Liste_rouge!A"&amp;_xlfn.XMATCH("LC",Liste_rouge!A:A,2,1),"LC")</f>
        <v>LC</v>
      </c>
      <c r="P19539" s="7" t="str">
        <f>HYPERLINK("#Liste_rouge!A"&amp;_xlfn.XMATCH("LC",Liste_rouge!A:A,2,1),"LC")</f>
        <v>LC</v>
      </c>
      <c r="Q19539" s="7" t="str">
        <f>HYPERLINK("#Liste_rouge!A"&amp;_xlfn.XMATCH("LC",Liste_rouge!A:A,2,1),"LC")</f>
        <v>LC</v>
      </c>
      <c r="S19539" s="7" t="str">
        <f>HYPERLINK("#Liste_rouge!A"&amp;_xlfn.XMATCH("NA",Liste_rouge!A:A,2,1),"NA")</f>
        <v>NA</v>
      </c>
      <c r="T19539" s="7" t="str">
        <f>HYPERLINK("#Liste_rouge!A"&amp;_xlfn.XMATCH("LC",Liste_rouge!A:A,2,1),"LC")</f>
        <v>LC</v>
      </c>
      <c r="V19539" s="7" t="str">
        <f>HYPERLINK("#Liste_rouge!A"&amp;_xlfn.XMATCH("VU",Liste_rouge!A:A,2,1),"VU")</f>
        <v>VU</v>
      </c>
      <c r="W19539" s="4" t="str">
        <f>HYPERLINK("#Critères_liste_rouge!A$1","A2b")</f>
        <v>A2b</v>
      </c>
      <c r="X19539" s="5" t="s">
        <v>23439</v>
      </c>
      <c r="Y19539" s="5" t="s">
        <v>23481</v>
      </c>
      <c r="AH19539" s="4" t="str">
        <f>HYPERLINK("#Statut_biogéographique!A"&amp;_xlfn.XMATCH("P",Statut_biogéographique!A:A,2,1),"P")</f>
        <v>P</v>
      </c>
      <c r="AM19539" s="4" t="s">
        <v>375</v>
      </c>
      <c r="AN19539" s="4" t="s">
        <v>375</v>
      </c>
      <c r="AO19539" s="4" t="s">
        <v>375</v>
      </c>
      <c r="AP19539" s="4" t="s">
        <v>376</v>
      </c>
      <c r="AR19539" s="4" t="s">
        <v>377</v>
      </c>
    </row>
    <row r="19540" spans="1:44" ht="30">
      <c r="A19540" s="4" t="s">
        <v>117</v>
      </c>
      <c r="B19540" s="4">
        <v>3807</v>
      </c>
      <c r="D19540" s="5" t="s">
        <v>24029</v>
      </c>
      <c r="E19540" s="6" t="str">
        <f>HYPERLINK("https://inpn.mnhn.fr/espece/cd_nom/3807","Lanius collurio Linnaeus, 1758")</f>
        <v>Lanius collurio Linnaeus, 1758</v>
      </c>
      <c r="F19540" s="5" t="s">
        <v>24030</v>
      </c>
      <c r="I19540" s="4" t="str">
        <f>HYPERLINK("#Réglementation!A"&amp;_xlfn.XMATCH("IBE2",Réglementation!A:A,2,1),"IBE2")</f>
        <v>IBE2</v>
      </c>
      <c r="J19540" s="4" t="str">
        <f>HYPERLINK("#Réglementation!A"&amp;_xlfn.XMATCH("CDO1",Réglementation!A:A,2,1),"CDO1")</f>
        <v>CDO1</v>
      </c>
      <c r="L19540" s="4" t="str">
        <f>HYPERLINK("#Réglementation!A"&amp;_xlfn.XMATCH("NO3",Réglementation!A:A,2,1),"NO3")</f>
        <v>NO3</v>
      </c>
      <c r="O19540" s="7" t="str">
        <f>HYPERLINK("#Liste_rouge!A"&amp;_xlfn.XMATCH("LC",Liste_rouge!A:A,2,1),"LC")</f>
        <v>LC</v>
      </c>
      <c r="P19540" s="7" t="str">
        <f>HYPERLINK("#Liste_rouge!A"&amp;_xlfn.XMATCH("LC",Liste_rouge!A:A,2,1),"LC")</f>
        <v>LC</v>
      </c>
      <c r="Q19540" s="7" t="str">
        <f>HYPERLINK("#Liste_rouge!A"&amp;_xlfn.XMATCH("NT",Liste_rouge!A:A,2,1),"NT")</f>
        <v>NT</v>
      </c>
      <c r="R19540" s="7" t="str">
        <f>HYPERLINK("#Liste_rouge!A"&amp;_xlfn.XMATCH("NA",Liste_rouge!A:A,2,1),"NA")</f>
        <v>NA</v>
      </c>
      <c r="S19540" s="7" t="str">
        <f>HYPERLINK("#Liste_rouge!A"&amp;_xlfn.XMATCH("NA",Liste_rouge!A:A,2,1),"NA")</f>
        <v>NA</v>
      </c>
      <c r="T19540" s="7" t="str">
        <f>HYPERLINK("#Liste_rouge!A"&amp;_xlfn.XMATCH("LC",Liste_rouge!A:A,2,1),"LC")</f>
        <v>LC</v>
      </c>
      <c r="V19540" s="7" t="str">
        <f>HYPERLINK("#Liste_rouge!A"&amp;_xlfn.XMATCH("VU",Liste_rouge!A:A,2,1),"VU")</f>
        <v>VU</v>
      </c>
      <c r="W19540" s="4" t="str">
        <f>HYPERLINK("#Critères_liste_rouge!A$1","A2b")</f>
        <v>A2b</v>
      </c>
      <c r="X19540" s="5" t="s">
        <v>23439</v>
      </c>
      <c r="Y19540" s="5" t="s">
        <v>23944</v>
      </c>
      <c r="AH19540" s="4" t="str">
        <f>HYPERLINK("#Statut_biogéographique!A"&amp;_xlfn.XMATCH("P",Statut_biogéographique!A:A,2,1),"P")</f>
        <v>P</v>
      </c>
      <c r="AM19540" s="4" t="s">
        <v>375</v>
      </c>
      <c r="AN19540" s="4" t="s">
        <v>375</v>
      </c>
      <c r="AO19540" s="4" t="s">
        <v>375</v>
      </c>
      <c r="AP19540" s="4" t="s">
        <v>376</v>
      </c>
      <c r="AR19540" s="4" t="s">
        <v>377</v>
      </c>
    </row>
    <row r="19541" spans="1:44">
      <c r="A19541" s="4" t="s">
        <v>117</v>
      </c>
      <c r="B19541" s="4">
        <v>3811</v>
      </c>
      <c r="D19541" s="5">
        <v>3811</v>
      </c>
      <c r="E19541" s="6" t="str">
        <f>HYPERLINK("https://inpn.mnhn.fr/espece/cd_nom/3811","Lanius minor Gmelin, 1788")</f>
        <v>Lanius minor Gmelin, 1788</v>
      </c>
      <c r="F19541" s="5" t="s">
        <v>24031</v>
      </c>
      <c r="H19541" s="4" t="str">
        <f>HYPERLINK("#Réglementation!A"&amp;_xlfn.XMATCH("IBO2",Réglementation!A:A,2,1),"IBO2")</f>
        <v>IBO2</v>
      </c>
      <c r="I19541" s="4" t="str">
        <f>HYPERLINK("#Réglementation!A"&amp;_xlfn.XMATCH("IBE2",Réglementation!A:A,2,1),"IBE2")</f>
        <v>IBE2</v>
      </c>
      <c r="J19541" s="4" t="str">
        <f>HYPERLINK("#Réglementation!A"&amp;_xlfn.XMATCH("CDO1",Réglementation!A:A,2,1),"CDO1")</f>
        <v>CDO1</v>
      </c>
      <c r="L19541" s="4" t="str">
        <f>HYPERLINK("#Réglementation!A"&amp;_xlfn.XMATCH("NO3",Réglementation!A:A,2,1),"NO3 - NM")</f>
        <v>NO3 - NM</v>
      </c>
      <c r="O19541" s="7" t="str">
        <f>HYPERLINK("#Liste_rouge!A"&amp;_xlfn.XMATCH("LC",Liste_rouge!A:A,2,1),"LC")</f>
        <v>LC</v>
      </c>
      <c r="P19541" s="7" t="str">
        <f>HYPERLINK("#Liste_rouge!A"&amp;_xlfn.XMATCH("LC",Liste_rouge!A:A,2,1),"LC")</f>
        <v>LC</v>
      </c>
      <c r="Q19541" s="7" t="str">
        <f>HYPERLINK("#Liste_rouge!A"&amp;_xlfn.XMATCH("CR",Liste_rouge!A:A,2,1),"CR")</f>
        <v>CR</v>
      </c>
      <c r="S19541" s="7" t="str">
        <f>HYPERLINK("#Liste_rouge!A"&amp;_xlfn.XMATCH("NA",Liste_rouge!A:A,2,1),"NA")</f>
        <v>NA</v>
      </c>
      <c r="T19541" s="7" t="str">
        <f>HYPERLINK("#Liste_rouge!A"&amp;_xlfn.XMATCH("CR",Liste_rouge!A:A,2,1),"CR")</f>
        <v>CR</v>
      </c>
      <c r="V19541" s="7" t="str">
        <f>HYPERLINK("#Liste_rouge!A"&amp;_xlfn.XMATCH("RE",Liste_rouge!A:A,2,1),"RE")</f>
        <v>RE</v>
      </c>
      <c r="AE19541" s="4" t="str">
        <f>HYPERLINK("#SCAP!A"&amp;_xlfn.XMATCH("2+",SCAP!A:A,2,1),"2+")</f>
        <v>2+</v>
      </c>
      <c r="AH19541" s="4" t="str">
        <f>HYPERLINK("#Statut_biogéographique!A"&amp;_xlfn.XMATCH("P",Statut_biogéographique!A:A,2,1),"P")</f>
        <v>P</v>
      </c>
      <c r="AI19541" s="8" t="s">
        <v>24032</v>
      </c>
      <c r="AJ19541" s="4" t="s">
        <v>393</v>
      </c>
      <c r="AM19541" s="4" t="s">
        <v>375</v>
      </c>
      <c r="AN19541" s="4" t="s">
        <v>375</v>
      </c>
      <c r="AO19541" s="4" t="s">
        <v>375</v>
      </c>
      <c r="AP19541" s="4" t="s">
        <v>376</v>
      </c>
      <c r="AQ19541" s="4" t="s">
        <v>377</v>
      </c>
      <c r="AR19541" s="4" t="s">
        <v>377</v>
      </c>
    </row>
    <row r="19542" spans="1:44" ht="60">
      <c r="A19542" s="4" t="s">
        <v>117</v>
      </c>
      <c r="B19542" s="4">
        <v>3814</v>
      </c>
      <c r="D19542" s="5" t="s">
        <v>24033</v>
      </c>
      <c r="E19542" s="6" t="str">
        <f>HYPERLINK("https://inpn.mnhn.fr/espece/cd_nom/3814","Lanius excubitor Linnaeus, 1758")</f>
        <v>Lanius excubitor Linnaeus, 1758</v>
      </c>
      <c r="F19542" s="5" t="s">
        <v>24034</v>
      </c>
      <c r="H19542" s="4" t="str">
        <f>HYPERLINK("#Réglementation!A"&amp;_xlfn.XMATCH("IBO2",Réglementation!A:A,2,1),"IBO2")</f>
        <v>IBO2</v>
      </c>
      <c r="I19542" s="4" t="str">
        <f>HYPERLINK("#Réglementation!A"&amp;_xlfn.XMATCH("IBE2",Réglementation!A:A,2,1),"IBE2")</f>
        <v>IBE2</v>
      </c>
      <c r="L19542" s="4" t="str">
        <f>HYPERLINK("#Réglementation!A"&amp;_xlfn.XMATCH("NO3",Réglementation!A:A,2,1),"NO3")</f>
        <v>NO3</v>
      </c>
      <c r="O19542" s="7" t="str">
        <f>HYPERLINK("#Liste_rouge!A"&amp;_xlfn.XMATCH("LC",Liste_rouge!A:A,2,1),"LC")</f>
        <v>LC</v>
      </c>
      <c r="P19542" s="7" t="str">
        <f>HYPERLINK("#Liste_rouge!A"&amp;_xlfn.XMATCH("LC",Liste_rouge!A:A,2,1),"LC")</f>
        <v>LC</v>
      </c>
      <c r="Q19542" s="7" t="str">
        <f>HYPERLINK("#Liste_rouge!A"&amp;_xlfn.XMATCH("EN",Liste_rouge!A:A,2,1),"EN")</f>
        <v>EN</v>
      </c>
      <c r="R19542" s="7" t="str">
        <f>HYPERLINK("#Liste_rouge!A"&amp;_xlfn.XMATCH("NA",Liste_rouge!A:A,2,1),"NA")</f>
        <v>NA</v>
      </c>
      <c r="T19542" s="7" t="str">
        <f>HYPERLINK("#Liste_rouge!A"&amp;_xlfn.XMATCH("RE",Liste_rouge!A:A,2,1),"RE")</f>
        <v>RE</v>
      </c>
      <c r="V19542" s="7" t="str">
        <f>HYPERLINK("#Liste_rouge!A"&amp;_xlfn.XMATCH("CR",Liste_rouge!A:A,2,1),"CR")</f>
        <v>CR</v>
      </c>
      <c r="W19542" s="4" t="str">
        <f>HYPERLINK("#Critères_liste_rouge!A$1","D1")</f>
        <v>D1</v>
      </c>
      <c r="X19542" s="5" t="s">
        <v>23442</v>
      </c>
      <c r="Y19542" s="5" t="s">
        <v>24035</v>
      </c>
      <c r="AE19542" s="4" t="str">
        <f>HYPERLINK("#SCAP!A"&amp;_xlfn.XMATCH("1-",SCAP!A:A,2,1),"1-")</f>
        <v>1-</v>
      </c>
      <c r="AF19542" s="4" t="str">
        <f>HYPERLINK("#SCAP!A"&amp;_xlfn.XMATCH("2+",SCAP!A:A,2,1),"2+")</f>
        <v>2+</v>
      </c>
      <c r="AG19542" s="4" t="str">
        <f>HYPERLINK("#SCAP!A"&amp;_xlfn.XMATCH("2+",SCAP!A:A,2,1),"2+")</f>
        <v>2+</v>
      </c>
      <c r="AH19542" s="4" t="str">
        <f>HYPERLINK("#Statut_biogéographique!A"&amp;_xlfn.XMATCH("P",Statut_biogéographique!A:A,2,1),"P")</f>
        <v>P</v>
      </c>
      <c r="AI19542" s="8" t="s">
        <v>24036</v>
      </c>
      <c r="AJ19542" s="4" t="s">
        <v>393</v>
      </c>
      <c r="AM19542" s="4" t="s">
        <v>375</v>
      </c>
      <c r="AN19542" s="4" t="s">
        <v>375</v>
      </c>
      <c r="AO19542" s="4" t="s">
        <v>382</v>
      </c>
      <c r="AP19542" s="4" t="s">
        <v>389</v>
      </c>
      <c r="AR19542" s="4" t="s">
        <v>377</v>
      </c>
    </row>
    <row r="19543" spans="1:44">
      <c r="A19543" s="4" t="s">
        <v>117</v>
      </c>
      <c r="B19543" s="4">
        <v>3941</v>
      </c>
      <c r="D19543" s="5">
        <v>3941</v>
      </c>
      <c r="E19543" s="6" t="str">
        <f>HYPERLINK("https://inpn.mnhn.fr/espece/cd_nom/3941","Motacilla alba Linnaeus, 1758")</f>
        <v>Motacilla alba Linnaeus, 1758</v>
      </c>
      <c r="F19543" s="5" t="s">
        <v>24037</v>
      </c>
      <c r="I19543" s="4" t="str">
        <f>HYPERLINK("#Réglementation!A"&amp;_xlfn.XMATCH("IBE2",Réglementation!A:A,2,1),"IBE2")</f>
        <v>IBE2</v>
      </c>
      <c r="L19543" s="4" t="str">
        <f>HYPERLINK("#Réglementation!A"&amp;_xlfn.XMATCH("NO3",Réglementation!A:A,2,1),"NO3")</f>
        <v>NO3</v>
      </c>
      <c r="O19543" s="7" t="str">
        <f>HYPERLINK("#Liste_rouge!A"&amp;_xlfn.XMATCH("LC",Liste_rouge!A:A,2,1),"LC")</f>
        <v>LC</v>
      </c>
      <c r="P19543" s="7" t="str">
        <f>HYPERLINK("#Liste_rouge!A"&amp;_xlfn.XMATCH("LC",Liste_rouge!A:A,2,1),"LC")</f>
        <v>LC</v>
      </c>
      <c r="Q19543" s="7" t="str">
        <f>HYPERLINK("#Liste_rouge!A"&amp;_xlfn.XMATCH("LC",Liste_rouge!A:A,2,1),"LC")</f>
        <v>LC</v>
      </c>
      <c r="R19543" s="7" t="str">
        <f>HYPERLINK("#Liste_rouge!A"&amp;_xlfn.XMATCH("NA",Liste_rouge!A:A,2,1),"NA")</f>
        <v>NA</v>
      </c>
      <c r="T19543" s="7" t="str">
        <f>HYPERLINK("#Liste_rouge!A"&amp;_xlfn.XMATCH("LC",Liste_rouge!A:A,2,1),"LC")</f>
        <v>LC</v>
      </c>
      <c r="V19543" s="7" t="str">
        <f>HYPERLINK("#Liste_rouge!A"&amp;_xlfn.XMATCH("LC",Liste_rouge!A:A,2,1),"LC")</f>
        <v>LC</v>
      </c>
      <c r="AH19543" s="4" t="str">
        <f>HYPERLINK("#Statut_biogéographique!A"&amp;_xlfn.XMATCH("P",Statut_biogéographique!A:A,2,1),"P")</f>
        <v>P</v>
      </c>
      <c r="AM19543" s="4" t="s">
        <v>375</v>
      </c>
      <c r="AN19543" s="4" t="s">
        <v>375</v>
      </c>
      <c r="AO19543" s="4" t="s">
        <v>375</v>
      </c>
      <c r="AP19543" s="4" t="s">
        <v>376</v>
      </c>
      <c r="AR19543" s="4" t="s">
        <v>377</v>
      </c>
    </row>
    <row r="19544" spans="1:44">
      <c r="A19544" s="4" t="s">
        <v>117</v>
      </c>
      <c r="B19544" s="4">
        <v>3943</v>
      </c>
      <c r="D19544" s="5">
        <v>3943</v>
      </c>
      <c r="E19544" s="6" t="str">
        <f>HYPERLINK("https://inpn.mnhn.fr/espece/cd_nom/3943","Motacilla alba alba Linnaeus, 1758")</f>
        <v>Motacilla alba alba Linnaeus, 1758</v>
      </c>
      <c r="F19544" s="5" t="s">
        <v>24037</v>
      </c>
      <c r="I19544" s="4" t="str">
        <f>HYPERLINK("#Réglementation!A"&amp;_xlfn.XMATCH("IBE2",Réglementation!A:A,2,1),"IBE2")</f>
        <v>IBE2</v>
      </c>
      <c r="L19544" s="4" t="str">
        <f>HYPERLINK("#Réglementation!A"&amp;_xlfn.XMATCH("NO3",Réglementation!A:A,2,1),"NO3")</f>
        <v>NO3</v>
      </c>
      <c r="AH19544" s="4" t="str">
        <f>HYPERLINK("#Statut_biogéographique!A"&amp;_xlfn.XMATCH("P",Statut_biogéographique!A:A,2,1),"P")</f>
        <v>P</v>
      </c>
      <c r="AP19544" s="4" t="s">
        <v>376</v>
      </c>
      <c r="AR19544" s="4" t="s">
        <v>377</v>
      </c>
    </row>
    <row r="19545" spans="1:44">
      <c r="A19545" s="4" t="s">
        <v>117</v>
      </c>
      <c r="B19545" s="4">
        <v>3945</v>
      </c>
      <c r="D19545" s="5" t="s">
        <v>24038</v>
      </c>
      <c r="E19545" s="6" t="str">
        <f>HYPERLINK("https://inpn.mnhn.fr/espece/cd_nom/3945","Motacilla alba yarrellii Gould, 1837")</f>
        <v>Motacilla alba yarrellii Gould, 1837</v>
      </c>
      <c r="I19545" s="4" t="str">
        <f>HYPERLINK("#Réglementation!A"&amp;_xlfn.XMATCH("IBE2",Réglementation!A:A,2,1),"IBE2")</f>
        <v>IBE2</v>
      </c>
      <c r="L19545" s="4" t="str">
        <f>HYPERLINK("#Réglementation!A"&amp;_xlfn.XMATCH("NO3",Réglementation!A:A,2,1),"NO3")</f>
        <v>NO3</v>
      </c>
      <c r="AH19545" s="4" t="str">
        <f>HYPERLINK("#Statut_biogéographique!A"&amp;_xlfn.XMATCH("P",Statut_biogéographique!A:A,2,1),"P")</f>
        <v>P</v>
      </c>
      <c r="AP19545" s="4" t="s">
        <v>376</v>
      </c>
      <c r="AR19545" s="4" t="s">
        <v>377</v>
      </c>
    </row>
    <row r="19546" spans="1:44">
      <c r="A19546" s="4" t="s">
        <v>117</v>
      </c>
      <c r="B19546" s="4">
        <v>3953</v>
      </c>
      <c r="D19546" s="5" t="s">
        <v>24039</v>
      </c>
      <c r="E19546" s="6" t="str">
        <f>HYPERLINK("https://inpn.mnhn.fr/espece/cd_nom/3953","Bombycilla garrulus (Linnaeus, 1758)")</f>
        <v>Bombycilla garrulus (Linnaeus, 1758)</v>
      </c>
      <c r="F19546" s="5" t="s">
        <v>24040</v>
      </c>
      <c r="I19546" s="4" t="str">
        <f>HYPERLINK("#Réglementation!A"&amp;_xlfn.XMATCH("IBE2",Réglementation!A:A,2,1),"IBE2")</f>
        <v>IBE2</v>
      </c>
      <c r="L19546" s="4" t="str">
        <f>HYPERLINK("#Réglementation!A"&amp;_xlfn.XMATCH("NO4",Réglementation!A:A,2,1),"NO4")</f>
        <v>NO4</v>
      </c>
      <c r="O19546" s="7" t="str">
        <f>HYPERLINK("#Liste_rouge!A"&amp;_xlfn.XMATCH("LC",Liste_rouge!A:A,2,1),"LC")</f>
        <v>LC</v>
      </c>
      <c r="P19546" s="7" t="str">
        <f>HYPERLINK("#Liste_rouge!A"&amp;_xlfn.XMATCH("LC",Liste_rouge!A:A,2,1),"LC")</f>
        <v>LC</v>
      </c>
      <c r="S19546" s="7" t="str">
        <f>HYPERLINK("#Liste_rouge!A"&amp;_xlfn.XMATCH("NA",Liste_rouge!A:A,2,1),"NA")</f>
        <v>NA</v>
      </c>
      <c r="AH19546" s="4" t="str">
        <f>HYPERLINK("#Statut_biogéographique!A"&amp;_xlfn.XMATCH("P",Statut_biogéographique!A:A,2,1),"P")</f>
        <v>P</v>
      </c>
      <c r="AM19546" s="4" t="s">
        <v>375</v>
      </c>
      <c r="AN19546" s="4" t="s">
        <v>375</v>
      </c>
      <c r="AO19546" s="4" t="s">
        <v>375</v>
      </c>
      <c r="AP19546" s="4" t="s">
        <v>376</v>
      </c>
      <c r="AR19546" s="4" t="s">
        <v>377</v>
      </c>
    </row>
    <row r="19547" spans="1:44" ht="30">
      <c r="A19547" s="4" t="s">
        <v>117</v>
      </c>
      <c r="B19547" s="4">
        <v>3958</v>
      </c>
      <c r="D19547" s="5" t="s">
        <v>24041</v>
      </c>
      <c r="E19547" s="6" t="str">
        <f>HYPERLINK("https://inpn.mnhn.fr/espece/cd_nom/3958","Cinclus cinclus (Linnaeus, 1758)")</f>
        <v>Cinclus cinclus (Linnaeus, 1758)</v>
      </c>
      <c r="F19547" s="5" t="s">
        <v>24042</v>
      </c>
      <c r="I19547" s="4" t="str">
        <f>HYPERLINK("#Réglementation!A"&amp;_xlfn.XMATCH("IBE2",Réglementation!A:A,2,1),"IBE2")</f>
        <v>IBE2</v>
      </c>
      <c r="L19547" s="4" t="str">
        <f>HYPERLINK("#Réglementation!A"&amp;_xlfn.XMATCH("NO3",Réglementation!A:A,2,1),"NO3")</f>
        <v>NO3</v>
      </c>
      <c r="O19547" s="7" t="str">
        <f>HYPERLINK("#Liste_rouge!A"&amp;_xlfn.XMATCH("LC",Liste_rouge!A:A,2,1),"LC")</f>
        <v>LC</v>
      </c>
      <c r="P19547" s="7" t="str">
        <f>HYPERLINK("#Liste_rouge!A"&amp;_xlfn.XMATCH("LC",Liste_rouge!A:A,2,1),"LC")</f>
        <v>LC</v>
      </c>
      <c r="Q19547" s="7" t="str">
        <f>HYPERLINK("#Liste_rouge!A"&amp;_xlfn.XMATCH("LC",Liste_rouge!A:A,2,1),"LC")</f>
        <v>LC</v>
      </c>
      <c r="T19547" s="7" t="str">
        <f>HYPERLINK("#Liste_rouge!A"&amp;_xlfn.XMATCH("LC",Liste_rouge!A:A,2,1),"LC")</f>
        <v>LC</v>
      </c>
      <c r="V19547" s="7" t="str">
        <f>HYPERLINK("#Liste_rouge!A"&amp;_xlfn.XMATCH("LC",Liste_rouge!A:A,2,1),"LC")</f>
        <v>LC</v>
      </c>
      <c r="X19547" s="5" t="s">
        <v>23439</v>
      </c>
      <c r="Y19547" s="5" t="s">
        <v>24043</v>
      </c>
      <c r="AH19547" s="4" t="str">
        <f>HYPERLINK("#Statut_biogéographique!A"&amp;_xlfn.XMATCH("P",Statut_biogéographique!A:A,2,1),"P")</f>
        <v>P</v>
      </c>
      <c r="AM19547" s="4" t="s">
        <v>375</v>
      </c>
      <c r="AN19547" s="4" t="s">
        <v>375</v>
      </c>
      <c r="AO19547" s="4" t="s">
        <v>375</v>
      </c>
      <c r="AP19547" s="4" t="s">
        <v>376</v>
      </c>
      <c r="AR19547" s="4" t="s">
        <v>377</v>
      </c>
    </row>
    <row r="19548" spans="1:44">
      <c r="A19548" s="4" t="s">
        <v>117</v>
      </c>
      <c r="B19548" s="4">
        <v>3967</v>
      </c>
      <c r="D19548" s="5" t="s">
        <v>24044</v>
      </c>
      <c r="E19548" s="6" t="str">
        <f>HYPERLINK("https://inpn.mnhn.fr/espece/cd_nom/3967","Troglodytes troglodytes (Linnaeus, 1758)")</f>
        <v>Troglodytes troglodytes (Linnaeus, 1758)</v>
      </c>
      <c r="F19548" s="5" t="s">
        <v>24045</v>
      </c>
      <c r="I19548" s="4" t="str">
        <f>HYPERLINK("#Réglementation!A"&amp;_xlfn.XMATCH("IBE2",Réglementation!A:A,2,1),"IBE2")</f>
        <v>IBE2</v>
      </c>
      <c r="L19548" s="4" t="str">
        <f>HYPERLINK("#Réglementation!A"&amp;_xlfn.XMATCH("NO3",Réglementation!A:A,2,1),"NO3")</f>
        <v>NO3</v>
      </c>
      <c r="O19548" s="7" t="str">
        <f>HYPERLINK("#Liste_rouge!A"&amp;_xlfn.XMATCH("LC",Liste_rouge!A:A,2,1),"LC")</f>
        <v>LC</v>
      </c>
      <c r="P19548" s="7" t="str">
        <f>HYPERLINK("#Liste_rouge!A"&amp;_xlfn.XMATCH("LC",Liste_rouge!A:A,2,1),"LC")</f>
        <v>LC</v>
      </c>
      <c r="Q19548" s="7" t="str">
        <f>HYPERLINK("#Liste_rouge!A"&amp;_xlfn.XMATCH("LC",Liste_rouge!A:A,2,1),"LC")</f>
        <v>LC</v>
      </c>
      <c r="R19548" s="7" t="str">
        <f>HYPERLINK("#Liste_rouge!A"&amp;_xlfn.XMATCH("NA",Liste_rouge!A:A,2,1),"NA")</f>
        <v>NA</v>
      </c>
      <c r="T19548" s="7" t="str">
        <f>HYPERLINK("#Liste_rouge!A"&amp;_xlfn.XMATCH("LC",Liste_rouge!A:A,2,1),"LC")</f>
        <v>LC</v>
      </c>
      <c r="V19548" s="7" t="str">
        <f>HYPERLINK("#Liste_rouge!A"&amp;_xlfn.XMATCH("LC",Liste_rouge!A:A,2,1),"LC")</f>
        <v>LC</v>
      </c>
      <c r="AH19548" s="4" t="str">
        <f>HYPERLINK("#Statut_biogéographique!A"&amp;_xlfn.XMATCH("P",Statut_biogéographique!A:A,2,1),"P")</f>
        <v>P</v>
      </c>
      <c r="AM19548" s="4" t="s">
        <v>375</v>
      </c>
      <c r="AN19548" s="4" t="s">
        <v>375</v>
      </c>
      <c r="AO19548" s="4" t="s">
        <v>375</v>
      </c>
      <c r="AP19548" s="4" t="s">
        <v>389</v>
      </c>
      <c r="AR19548" s="4" t="s">
        <v>377</v>
      </c>
    </row>
    <row r="19549" spans="1:44">
      <c r="A19549" s="4" t="s">
        <v>117</v>
      </c>
      <c r="B19549" s="4">
        <v>3978</v>
      </c>
      <c r="D19549" s="5" t="s">
        <v>24046</v>
      </c>
      <c r="E19549" s="6" t="str">
        <f>HYPERLINK("https://inpn.mnhn.fr/espece/cd_nom/3978","Prunella modularis (Linnaeus, 1758)")</f>
        <v>Prunella modularis (Linnaeus, 1758)</v>
      </c>
      <c r="F19549" s="5" t="s">
        <v>24047</v>
      </c>
      <c r="I19549" s="4" t="str">
        <f>HYPERLINK("#Réglementation!A"&amp;_xlfn.XMATCH("IBE2",Réglementation!A:A,2,1),"IBE2")</f>
        <v>IBE2</v>
      </c>
      <c r="L19549" s="4" t="str">
        <f>HYPERLINK("#Réglementation!A"&amp;_xlfn.XMATCH("NO3",Réglementation!A:A,2,1),"NO3")</f>
        <v>NO3</v>
      </c>
      <c r="O19549" s="7" t="str">
        <f>HYPERLINK("#Liste_rouge!A"&amp;_xlfn.XMATCH("LC",Liste_rouge!A:A,2,1),"LC")</f>
        <v>LC</v>
      </c>
      <c r="P19549" s="7" t="str">
        <f>HYPERLINK("#Liste_rouge!A"&amp;_xlfn.XMATCH("LC",Liste_rouge!A:A,2,1),"LC")</f>
        <v>LC</v>
      </c>
      <c r="Q19549" s="7" t="str">
        <f>HYPERLINK("#Liste_rouge!A"&amp;_xlfn.XMATCH("LC",Liste_rouge!A:A,2,1),"LC")</f>
        <v>LC</v>
      </c>
      <c r="R19549" s="7" t="str">
        <f>HYPERLINK("#Liste_rouge!A"&amp;_xlfn.XMATCH("NA",Liste_rouge!A:A,2,1),"NA")</f>
        <v>NA</v>
      </c>
      <c r="T19549" s="7" t="str">
        <f>HYPERLINK("#Liste_rouge!A"&amp;_xlfn.XMATCH("LC",Liste_rouge!A:A,2,1),"LC")</f>
        <v>LC</v>
      </c>
      <c r="V19549" s="7" t="str">
        <f>HYPERLINK("#Liste_rouge!A"&amp;_xlfn.XMATCH("NT",Liste_rouge!A:A,2,1),"NT")</f>
        <v>NT</v>
      </c>
      <c r="W19549" s="4" t="str">
        <f>HYPERLINK("#Critères_liste_rouge!A$1","VU (A2b) (-1)")</f>
        <v>VU (A2b) (-1)</v>
      </c>
      <c r="AH19549" s="4" t="str">
        <f>HYPERLINK("#Statut_biogéographique!A"&amp;_xlfn.XMATCH("P",Statut_biogéographique!A:A,2,1),"P")</f>
        <v>P</v>
      </c>
      <c r="AM19549" s="4" t="s">
        <v>375</v>
      </c>
      <c r="AN19549" s="4" t="s">
        <v>375</v>
      </c>
      <c r="AO19549" s="4" t="s">
        <v>375</v>
      </c>
      <c r="AP19549" s="4" t="s">
        <v>376</v>
      </c>
      <c r="AR19549" s="4" t="s">
        <v>377</v>
      </c>
    </row>
    <row r="19550" spans="1:44">
      <c r="A19550" s="4" t="s">
        <v>117</v>
      </c>
      <c r="B19550" s="4">
        <v>3984</v>
      </c>
      <c r="D19550" s="5" t="s">
        <v>24048</v>
      </c>
      <c r="E19550" s="6" t="str">
        <f>HYPERLINK("https://inpn.mnhn.fr/espece/cd_nom/3984","Prunella collaris (Scopoli, 1769)")</f>
        <v>Prunella collaris (Scopoli, 1769)</v>
      </c>
      <c r="F19550" s="5" t="s">
        <v>24049</v>
      </c>
      <c r="I19550" s="4" t="str">
        <f>HYPERLINK("#Réglementation!A"&amp;_xlfn.XMATCH("IBE2",Réglementation!A:A,2,1),"IBE2")</f>
        <v>IBE2</v>
      </c>
      <c r="L19550" s="4" t="str">
        <f>HYPERLINK("#Réglementation!A"&amp;_xlfn.XMATCH("NO3",Réglementation!A:A,2,1),"NO3")</f>
        <v>NO3</v>
      </c>
      <c r="O19550" s="7" t="str">
        <f>HYPERLINK("#Liste_rouge!A"&amp;_xlfn.XMATCH("LC",Liste_rouge!A:A,2,1),"LC")</f>
        <v>LC</v>
      </c>
      <c r="P19550" s="7" t="str">
        <f>HYPERLINK("#Liste_rouge!A"&amp;_xlfn.XMATCH("LC",Liste_rouge!A:A,2,1),"LC")</f>
        <v>LC</v>
      </c>
      <c r="Q19550" s="7" t="str">
        <f>HYPERLINK("#Liste_rouge!A"&amp;_xlfn.XMATCH("LC",Liste_rouge!A:A,2,1),"LC")</f>
        <v>LC</v>
      </c>
      <c r="AH19550" s="4" t="str">
        <f>HYPERLINK("#Statut_biogéographique!A"&amp;_xlfn.XMATCH("P",Statut_biogéographique!A:A,2,1),"P")</f>
        <v>P</v>
      </c>
      <c r="AM19550" s="4" t="s">
        <v>375</v>
      </c>
      <c r="AN19550" s="4" t="s">
        <v>375</v>
      </c>
      <c r="AO19550" s="4" t="s">
        <v>375</v>
      </c>
      <c r="AP19550" s="4" t="s">
        <v>376</v>
      </c>
      <c r="AR19550" s="4" t="s">
        <v>377</v>
      </c>
    </row>
    <row r="19551" spans="1:44" ht="30">
      <c r="A19551" s="4" t="s">
        <v>117</v>
      </c>
      <c r="B19551" s="4">
        <v>4001</v>
      </c>
      <c r="D19551" s="5" t="s">
        <v>24050</v>
      </c>
      <c r="E19551" s="6" t="str">
        <f>HYPERLINK("https://inpn.mnhn.fr/espece/cd_nom/4001","Erithacus rubecula (Linnaeus, 1758)")</f>
        <v>Erithacus rubecula (Linnaeus, 1758)</v>
      </c>
      <c r="F19551" s="5" t="s">
        <v>24051</v>
      </c>
      <c r="H19551" s="4" t="str">
        <f>HYPERLINK("#Réglementation!A"&amp;_xlfn.XMATCH("IBO2",Réglementation!A:A,2,1),"IBO2")</f>
        <v>IBO2</v>
      </c>
      <c r="I19551" s="4" t="str">
        <f>HYPERLINK("#Réglementation!A"&amp;_xlfn.XMATCH("IBE2",Réglementation!A:A,2,1),"IBE2")</f>
        <v>IBE2</v>
      </c>
      <c r="L19551" s="4" t="str">
        <f>HYPERLINK("#Réglementation!A"&amp;_xlfn.XMATCH("NO3",Réglementation!A:A,2,1),"NO3")</f>
        <v>NO3</v>
      </c>
      <c r="O19551" s="7" t="str">
        <f>HYPERLINK("#Liste_rouge!A"&amp;_xlfn.XMATCH("LC",Liste_rouge!A:A,2,1),"LC")</f>
        <v>LC</v>
      </c>
      <c r="P19551" s="7" t="str">
        <f>HYPERLINK("#Liste_rouge!A"&amp;_xlfn.XMATCH("LC",Liste_rouge!A:A,2,1),"LC")</f>
        <v>LC</v>
      </c>
      <c r="Q19551" s="7" t="str">
        <f>HYPERLINK("#Liste_rouge!A"&amp;_xlfn.XMATCH("LC",Liste_rouge!A:A,2,1),"LC")</f>
        <v>LC</v>
      </c>
      <c r="R19551" s="7" t="str">
        <f>HYPERLINK("#Liste_rouge!A"&amp;_xlfn.XMATCH("NA",Liste_rouge!A:A,2,1),"NA")</f>
        <v>NA</v>
      </c>
      <c r="S19551" s="7" t="str">
        <f>HYPERLINK("#Liste_rouge!A"&amp;_xlfn.XMATCH("NA",Liste_rouge!A:A,2,1),"NA")</f>
        <v>NA</v>
      </c>
      <c r="T19551" s="7" t="str">
        <f>HYPERLINK("#Liste_rouge!A"&amp;_xlfn.XMATCH("DD",Liste_rouge!A:A,2,1),"DD")</f>
        <v>DD</v>
      </c>
      <c r="V19551" s="7" t="str">
        <f>HYPERLINK("#Liste_rouge!A"&amp;_xlfn.XMATCH("LC",Liste_rouge!A:A,2,1),"LC")</f>
        <v>LC</v>
      </c>
      <c r="AH19551" s="4" t="str">
        <f>HYPERLINK("#Statut_biogéographique!A"&amp;_xlfn.XMATCH("P",Statut_biogéographique!A:A,2,1),"P")</f>
        <v>P</v>
      </c>
      <c r="AM19551" s="4" t="s">
        <v>375</v>
      </c>
      <c r="AN19551" s="4" t="s">
        <v>375</v>
      </c>
      <c r="AO19551" s="4" t="s">
        <v>375</v>
      </c>
      <c r="AP19551" s="4" t="s">
        <v>376</v>
      </c>
      <c r="AR19551" s="4" t="s">
        <v>377</v>
      </c>
    </row>
    <row r="19552" spans="1:44">
      <c r="A19552" s="4" t="s">
        <v>117</v>
      </c>
      <c r="B19552" s="4">
        <v>4013</v>
      </c>
      <c r="D19552" s="5" t="s">
        <v>24052</v>
      </c>
      <c r="E19552" s="6" t="str">
        <f>HYPERLINK("https://inpn.mnhn.fr/espece/cd_nom/4013","Luscinia megarhynchos C. L. Brehm, 1831")</f>
        <v>Luscinia megarhynchos C. L. Brehm, 1831</v>
      </c>
      <c r="F19552" s="5" t="s">
        <v>24053</v>
      </c>
      <c r="H19552" s="4" t="str">
        <f>HYPERLINK("#Réglementation!A"&amp;_xlfn.XMATCH("IBO2",Réglementation!A:A,2,1),"IBO2")</f>
        <v>IBO2</v>
      </c>
      <c r="I19552" s="4" t="str">
        <f>HYPERLINK("#Réglementation!A"&amp;_xlfn.XMATCH("IBE2",Réglementation!A:A,2,1),"IBE2")</f>
        <v>IBE2</v>
      </c>
      <c r="L19552" s="4" t="str">
        <f>HYPERLINK("#Réglementation!A"&amp;_xlfn.XMATCH("NO3",Réglementation!A:A,2,1),"NO3")</f>
        <v>NO3</v>
      </c>
      <c r="O19552" s="7" t="str">
        <f>HYPERLINK("#Liste_rouge!A"&amp;_xlfn.XMATCH("LC",Liste_rouge!A:A,2,1),"LC")</f>
        <v>LC</v>
      </c>
      <c r="P19552" s="7" t="str">
        <f>HYPERLINK("#Liste_rouge!A"&amp;_xlfn.XMATCH("LC",Liste_rouge!A:A,2,1),"LC")</f>
        <v>LC</v>
      </c>
      <c r="Q19552" s="7" t="str">
        <f>HYPERLINK("#Liste_rouge!A"&amp;_xlfn.XMATCH("LC",Liste_rouge!A:A,2,1),"LC")</f>
        <v>LC</v>
      </c>
      <c r="S19552" s="7" t="str">
        <f>HYPERLINK("#Liste_rouge!A"&amp;_xlfn.XMATCH("NA",Liste_rouge!A:A,2,1),"NA")</f>
        <v>NA</v>
      </c>
      <c r="T19552" s="7" t="str">
        <f>HYPERLINK("#Liste_rouge!A"&amp;_xlfn.XMATCH("LC",Liste_rouge!A:A,2,1),"LC")</f>
        <v>LC</v>
      </c>
      <c r="V19552" s="7" t="str">
        <f>HYPERLINK("#Liste_rouge!A"&amp;_xlfn.XMATCH("LC",Liste_rouge!A:A,2,1),"LC")</f>
        <v>LC</v>
      </c>
      <c r="AH19552" s="4" t="str">
        <f>HYPERLINK("#Statut_biogéographique!A"&amp;_xlfn.XMATCH("P",Statut_biogéographique!A:A,2,1),"P")</f>
        <v>P</v>
      </c>
      <c r="AM19552" s="4" t="s">
        <v>375</v>
      </c>
      <c r="AN19552" s="4" t="s">
        <v>375</v>
      </c>
      <c r="AO19552" s="4" t="s">
        <v>375</v>
      </c>
      <c r="AP19552" s="4" t="s">
        <v>376</v>
      </c>
      <c r="AR19552" s="4" t="s">
        <v>377</v>
      </c>
    </row>
    <row r="19553" spans="1:44">
      <c r="A19553" s="4" t="s">
        <v>117</v>
      </c>
      <c r="B19553" s="4">
        <v>4023</v>
      </c>
      <c r="D19553" s="5" t="s">
        <v>24054</v>
      </c>
      <c r="E19553" s="6" t="str">
        <f>HYPERLINK("https://inpn.mnhn.fr/espece/cd_nom/4023","Luscinia svecica (Linnaeus, 1758)")</f>
        <v>Luscinia svecica (Linnaeus, 1758)</v>
      </c>
      <c r="F19553" s="5" t="s">
        <v>24055</v>
      </c>
      <c r="H19553" s="4" t="str">
        <f>HYPERLINK("#Réglementation!A"&amp;_xlfn.XMATCH("IBO2",Réglementation!A:A,2,1),"IBO2")</f>
        <v>IBO2</v>
      </c>
      <c r="I19553" s="4" t="str">
        <f>HYPERLINK("#Réglementation!A"&amp;_xlfn.XMATCH("IBE2",Réglementation!A:A,2,1),"IBE2")</f>
        <v>IBE2</v>
      </c>
      <c r="J19553" s="4" t="str">
        <f>HYPERLINK("#Réglementation!A"&amp;_xlfn.XMATCH("CDO1",Réglementation!A:A,2,1),"CDO1")</f>
        <v>CDO1</v>
      </c>
      <c r="L19553" s="4" t="str">
        <f>HYPERLINK("#Réglementation!A"&amp;_xlfn.XMATCH("NO3",Réglementation!A:A,2,1),"NO3")</f>
        <v>NO3</v>
      </c>
      <c r="O19553" s="7" t="str">
        <f>HYPERLINK("#Liste_rouge!A"&amp;_xlfn.XMATCH("LC",Liste_rouge!A:A,2,1),"LC")</f>
        <v>LC</v>
      </c>
      <c r="P19553" s="7" t="str">
        <f>HYPERLINK("#Liste_rouge!A"&amp;_xlfn.XMATCH("LC",Liste_rouge!A:A,2,1),"LC")</f>
        <v>LC</v>
      </c>
      <c r="Q19553" s="7" t="str">
        <f>HYPERLINK("#Liste_rouge!A"&amp;_xlfn.XMATCH("LC",Liste_rouge!A:A,2,1),"LC")</f>
        <v>LC</v>
      </c>
      <c r="S19553" s="7" t="str">
        <f>HYPERLINK("#Liste_rouge!A"&amp;_xlfn.XMATCH("NA",Liste_rouge!A:A,2,1),"NA")</f>
        <v>NA</v>
      </c>
      <c r="T19553" s="7" t="str">
        <f>HYPERLINK("#Liste_rouge!A"&amp;_xlfn.XMATCH("CR",Liste_rouge!A:A,2,1),"CR")</f>
        <v>CR</v>
      </c>
      <c r="U19553" s="4" t="str">
        <f>HYPERLINK("#Critères_liste_rouge!A$1","D1")</f>
        <v>D1</v>
      </c>
      <c r="V19553" s="7" t="str">
        <f>HYPERLINK("#Liste_rouge!A"&amp;_xlfn.XMATCH("EN",Liste_rouge!A:A,2,1),"EN")</f>
        <v>EN</v>
      </c>
      <c r="W19553" s="4" t="str">
        <f>HYPERLINK("#Critères_liste_rouge!A$1","D1")</f>
        <v>D1</v>
      </c>
      <c r="X19553" s="5" t="s">
        <v>374</v>
      </c>
      <c r="AH19553" s="4" t="str">
        <f>HYPERLINK("#Statut_biogéographique!A"&amp;_xlfn.XMATCH("P",Statut_biogéographique!A:A,2,1),"P")</f>
        <v>P</v>
      </c>
      <c r="AM19553" s="4" t="s">
        <v>375</v>
      </c>
      <c r="AN19553" s="4" t="s">
        <v>375</v>
      </c>
      <c r="AO19553" s="4" t="s">
        <v>375</v>
      </c>
      <c r="AP19553" s="4" t="s">
        <v>376</v>
      </c>
      <c r="AR19553" s="4" t="s">
        <v>377</v>
      </c>
    </row>
    <row r="19554" spans="1:44">
      <c r="A19554" s="4" t="s">
        <v>117</v>
      </c>
      <c r="B19554" s="4">
        <v>4026</v>
      </c>
      <c r="D19554" s="5">
        <v>4026</v>
      </c>
      <c r="E19554" s="6" t="str">
        <f>HYPERLINK("https://inpn.mnhn.fr/espece/cd_nom/4026","Luscinia svecica svecica (Linnaeus, 1758)")</f>
        <v>Luscinia svecica svecica (Linnaeus, 1758)</v>
      </c>
      <c r="H19554" s="4" t="str">
        <f>HYPERLINK("#Réglementation!A"&amp;_xlfn.XMATCH("IBO2",Réglementation!A:A,2,1),"IBO2")</f>
        <v>IBO2</v>
      </c>
      <c r="I19554" s="4" t="str">
        <f>HYPERLINK("#Réglementation!A"&amp;_xlfn.XMATCH("IBE2",Réglementation!A:A,2,1),"IBE2")</f>
        <v>IBE2</v>
      </c>
      <c r="J19554" s="4" t="str">
        <f>HYPERLINK("#Réglementation!A"&amp;_xlfn.XMATCH("CDO1",Réglementation!A:A,2,1),"CDO1")</f>
        <v>CDO1</v>
      </c>
      <c r="L19554" s="4" t="str">
        <f>HYPERLINK("#Réglementation!A"&amp;_xlfn.XMATCH("NO3",Réglementation!A:A,2,1),"NO3")</f>
        <v>NO3</v>
      </c>
      <c r="AH19554" s="4" t="str">
        <f>HYPERLINK("#Statut_biogéographique!A"&amp;_xlfn.XMATCH("P",Statut_biogéographique!A:A,2,1),"P")</f>
        <v>P</v>
      </c>
      <c r="AP19554" s="4" t="s">
        <v>376</v>
      </c>
      <c r="AR19554" s="4" t="s">
        <v>377</v>
      </c>
    </row>
    <row r="19555" spans="1:44">
      <c r="A19555" s="4" t="s">
        <v>117</v>
      </c>
      <c r="B19555" s="4">
        <v>4027</v>
      </c>
      <c r="D19555" s="5" t="s">
        <v>24056</v>
      </c>
      <c r="E19555" s="6" t="str">
        <f>HYPERLINK("https://inpn.mnhn.fr/espece/cd_nom/4027","Luscinia svecica cyanecula (Wolf, 1810)")</f>
        <v>Luscinia svecica cyanecula (Wolf, 1810)</v>
      </c>
      <c r="F19555" s="5" t="s">
        <v>24057</v>
      </c>
      <c r="H19555" s="4" t="str">
        <f>HYPERLINK("#Réglementation!A"&amp;_xlfn.XMATCH("IBO2",Réglementation!A:A,2,1),"IBO2")</f>
        <v>IBO2</v>
      </c>
      <c r="I19555" s="4" t="str">
        <f>HYPERLINK("#Réglementation!A"&amp;_xlfn.XMATCH("IBE2",Réglementation!A:A,2,1),"IBE2")</f>
        <v>IBE2</v>
      </c>
      <c r="J19555" s="4" t="str">
        <f>HYPERLINK("#Réglementation!A"&amp;_xlfn.XMATCH("CDO1",Réglementation!A:A,2,1),"CDO1")</f>
        <v>CDO1</v>
      </c>
      <c r="L19555" s="4" t="str">
        <f>HYPERLINK("#Réglementation!A"&amp;_xlfn.XMATCH("NO3",Réglementation!A:A,2,1),"NO3")</f>
        <v>NO3</v>
      </c>
      <c r="AH19555" s="4" t="str">
        <f>HYPERLINK("#Statut_biogéographique!A"&amp;_xlfn.XMATCH("P",Statut_biogéographique!A:A,2,1),"P")</f>
        <v>P</v>
      </c>
      <c r="AP19555" s="4" t="s">
        <v>376</v>
      </c>
      <c r="AR19555" s="4" t="s">
        <v>377</v>
      </c>
    </row>
    <row r="19556" spans="1:44">
      <c r="A19556" s="4" t="s">
        <v>117</v>
      </c>
      <c r="B19556" s="4">
        <v>4030</v>
      </c>
      <c r="D19556" s="5" t="s">
        <v>24058</v>
      </c>
      <c r="E19556" s="6" t="str">
        <f>HYPERLINK("https://inpn.mnhn.fr/espece/cd_nom/4030","Tarsiger cyanurus (Pallas, 1773)")</f>
        <v>Tarsiger cyanurus (Pallas, 1773)</v>
      </c>
      <c r="F19556" s="5" t="s">
        <v>24059</v>
      </c>
      <c r="H19556" s="4" t="str">
        <f>HYPERLINK("#Réglementation!A"&amp;_xlfn.XMATCH("IBO2",Réglementation!A:A,2,1),"IBO2")</f>
        <v>IBO2</v>
      </c>
      <c r="I19556" s="4" t="str">
        <f>HYPERLINK("#Réglementation!A"&amp;_xlfn.XMATCH("IBE2",Réglementation!A:A,2,1),"IBE2")</f>
        <v>IBE2</v>
      </c>
      <c r="O19556" s="7" t="str">
        <f>HYPERLINK("#Liste_rouge!A"&amp;_xlfn.XMATCH("LC",Liste_rouge!A:A,2,1),"LC")</f>
        <v>LC</v>
      </c>
      <c r="P19556" s="7" t="str">
        <f>HYPERLINK("#Liste_rouge!A"&amp;_xlfn.XMATCH("LC",Liste_rouge!A:A,2,1),"LC")</f>
        <v>LC</v>
      </c>
      <c r="S19556" s="7" t="str">
        <f>HYPERLINK("#Liste_rouge!A"&amp;_xlfn.XMATCH("NA",Liste_rouge!A:A,2,1),"NA")</f>
        <v>NA</v>
      </c>
      <c r="AH19556" s="4" t="str">
        <f>HYPERLINK("#Statut_biogéographique!A"&amp;_xlfn.XMATCH("P",Statut_biogéographique!A:A,2,1),"P")</f>
        <v>P</v>
      </c>
      <c r="AP19556" s="4" t="s">
        <v>376</v>
      </c>
      <c r="AR19556" s="4" t="s">
        <v>377</v>
      </c>
    </row>
    <row r="19557" spans="1:44">
      <c r="A19557" s="4" t="s">
        <v>117</v>
      </c>
      <c r="B19557" s="4">
        <v>4035</v>
      </c>
      <c r="D19557" s="5" t="s">
        <v>24060</v>
      </c>
      <c r="E19557" s="6" t="str">
        <f>HYPERLINK("https://inpn.mnhn.fr/espece/cd_nom/4035","Phoenicurus ochruros (S. G. Gmelin, 1774)")</f>
        <v>Phoenicurus ochruros (S. G. Gmelin, 1774)</v>
      </c>
      <c r="F19557" s="5" t="s">
        <v>24061</v>
      </c>
      <c r="H19557" s="4" t="str">
        <f>HYPERLINK("#Réglementation!A"&amp;_xlfn.XMATCH("IBO2",Réglementation!A:A,2,1),"IBO2")</f>
        <v>IBO2</v>
      </c>
      <c r="I19557" s="4" t="str">
        <f>HYPERLINK("#Réglementation!A"&amp;_xlfn.XMATCH("IBE2",Réglementation!A:A,2,1),"IBE2")</f>
        <v>IBE2</v>
      </c>
      <c r="L19557" s="4" t="str">
        <f>HYPERLINK("#Réglementation!A"&amp;_xlfn.XMATCH("NO3",Réglementation!A:A,2,1),"NO3")</f>
        <v>NO3</v>
      </c>
      <c r="O19557" s="7" t="str">
        <f>HYPERLINK("#Liste_rouge!A"&amp;_xlfn.XMATCH("LC",Liste_rouge!A:A,2,1),"LC")</f>
        <v>LC</v>
      </c>
      <c r="P19557" s="7" t="str">
        <f>HYPERLINK("#Liste_rouge!A"&amp;_xlfn.XMATCH("LC",Liste_rouge!A:A,2,1),"LC")</f>
        <v>LC</v>
      </c>
      <c r="Q19557" s="7" t="str">
        <f>HYPERLINK("#Liste_rouge!A"&amp;_xlfn.XMATCH("LC",Liste_rouge!A:A,2,1),"LC")</f>
        <v>LC</v>
      </c>
      <c r="R19557" s="7" t="str">
        <f>HYPERLINK("#Liste_rouge!A"&amp;_xlfn.XMATCH("NA",Liste_rouge!A:A,2,1),"NA")</f>
        <v>NA</v>
      </c>
      <c r="S19557" s="7" t="str">
        <f>HYPERLINK("#Liste_rouge!A"&amp;_xlfn.XMATCH("NA",Liste_rouge!A:A,2,1),"NA")</f>
        <v>NA</v>
      </c>
      <c r="T19557" s="7" t="str">
        <f>HYPERLINK("#Liste_rouge!A"&amp;_xlfn.XMATCH("LC",Liste_rouge!A:A,2,1),"LC")</f>
        <v>LC</v>
      </c>
      <c r="V19557" s="7" t="str">
        <f>HYPERLINK("#Liste_rouge!A"&amp;_xlfn.XMATCH("LC",Liste_rouge!A:A,2,1),"LC")</f>
        <v>LC</v>
      </c>
      <c r="AH19557" s="4" t="str">
        <f>HYPERLINK("#Statut_biogéographique!A"&amp;_xlfn.XMATCH("P",Statut_biogéographique!A:A,2,1),"P")</f>
        <v>P</v>
      </c>
      <c r="AM19557" s="4" t="s">
        <v>375</v>
      </c>
      <c r="AN19557" s="4" t="s">
        <v>375</v>
      </c>
      <c r="AO19557" s="4" t="s">
        <v>375</v>
      </c>
      <c r="AP19557" s="4" t="s">
        <v>376</v>
      </c>
      <c r="AR19557" s="4" t="s">
        <v>377</v>
      </c>
    </row>
    <row r="19558" spans="1:44">
      <c r="A19558" s="4" t="s">
        <v>117</v>
      </c>
      <c r="B19558" s="4">
        <v>4040</v>
      </c>
      <c r="D19558" s="5" t="s">
        <v>24062</v>
      </c>
      <c r="E19558" s="6" t="str">
        <f>HYPERLINK("https://inpn.mnhn.fr/espece/cd_nom/4040","Phoenicurus phoenicurus (Linnaeus, 1758)")</f>
        <v>Phoenicurus phoenicurus (Linnaeus, 1758)</v>
      </c>
      <c r="F19558" s="5" t="s">
        <v>24063</v>
      </c>
      <c r="H19558" s="4" t="str">
        <f>HYPERLINK("#Réglementation!A"&amp;_xlfn.XMATCH("IBO2",Réglementation!A:A,2,1),"IBO2")</f>
        <v>IBO2</v>
      </c>
      <c r="I19558" s="4" t="str">
        <f>HYPERLINK("#Réglementation!A"&amp;_xlfn.XMATCH("IBE2",Réglementation!A:A,2,1),"IBE2")</f>
        <v>IBE2</v>
      </c>
      <c r="L19558" s="4" t="str">
        <f>HYPERLINK("#Réglementation!A"&amp;_xlfn.XMATCH("NO3",Réglementation!A:A,2,1),"NO3")</f>
        <v>NO3</v>
      </c>
      <c r="O19558" s="7" t="str">
        <f>HYPERLINK("#Liste_rouge!A"&amp;_xlfn.XMATCH("LC",Liste_rouge!A:A,2,1),"LC")</f>
        <v>LC</v>
      </c>
      <c r="P19558" s="7" t="str">
        <f>HYPERLINK("#Liste_rouge!A"&amp;_xlfn.XMATCH("LC",Liste_rouge!A:A,2,1),"LC")</f>
        <v>LC</v>
      </c>
      <c r="Q19558" s="7" t="str">
        <f>HYPERLINK("#Liste_rouge!A"&amp;_xlfn.XMATCH("LC",Liste_rouge!A:A,2,1),"LC")</f>
        <v>LC</v>
      </c>
      <c r="S19558" s="7" t="str">
        <f>HYPERLINK("#Liste_rouge!A"&amp;_xlfn.XMATCH("NA",Liste_rouge!A:A,2,1),"NA")</f>
        <v>NA</v>
      </c>
      <c r="T19558" s="7" t="str">
        <f>HYPERLINK("#Liste_rouge!A"&amp;_xlfn.XMATCH("LC",Liste_rouge!A:A,2,1),"LC")</f>
        <v>LC</v>
      </c>
      <c r="V19558" s="7" t="str">
        <f>HYPERLINK("#Liste_rouge!A"&amp;_xlfn.XMATCH("LC",Liste_rouge!A:A,2,1),"LC")</f>
        <v>LC</v>
      </c>
      <c r="AH19558" s="4" t="str">
        <f>HYPERLINK("#Statut_biogéographique!A"&amp;_xlfn.XMATCH("P",Statut_biogéographique!A:A,2,1),"P")</f>
        <v>P</v>
      </c>
      <c r="AM19558" s="4" t="s">
        <v>375</v>
      </c>
      <c r="AN19558" s="4" t="s">
        <v>375</v>
      </c>
      <c r="AO19558" s="4" t="s">
        <v>375</v>
      </c>
      <c r="AP19558" s="4" t="s">
        <v>376</v>
      </c>
      <c r="AR19558" s="4" t="s">
        <v>377</v>
      </c>
    </row>
    <row r="19559" spans="1:44">
      <c r="A19559" s="4" t="s">
        <v>117</v>
      </c>
      <c r="B19559" s="4">
        <v>4049</v>
      </c>
      <c r="D19559" s="5" t="s">
        <v>24064</v>
      </c>
      <c r="E19559" s="6" t="str">
        <f>HYPERLINK("https://inpn.mnhn.fr/espece/cd_nom/4049","Saxicola rubetra (Linnaeus, 1758)")</f>
        <v>Saxicola rubetra (Linnaeus, 1758)</v>
      </c>
      <c r="F19559" s="5" t="s">
        <v>24065</v>
      </c>
      <c r="H19559" s="4" t="str">
        <f>HYPERLINK("#Réglementation!A"&amp;_xlfn.XMATCH("IBO2",Réglementation!A:A,2,1),"IBO2")</f>
        <v>IBO2</v>
      </c>
      <c r="I19559" s="4" t="str">
        <f>HYPERLINK("#Réglementation!A"&amp;_xlfn.XMATCH("IBE2",Réglementation!A:A,2,1),"IBE2")</f>
        <v>IBE2</v>
      </c>
      <c r="L19559" s="4" t="str">
        <f>HYPERLINK("#Réglementation!A"&amp;_xlfn.XMATCH("NO3",Réglementation!A:A,2,1),"NO3")</f>
        <v>NO3</v>
      </c>
      <c r="O19559" s="7" t="str">
        <f>HYPERLINK("#Liste_rouge!A"&amp;_xlfn.XMATCH("LC",Liste_rouge!A:A,2,1),"LC")</f>
        <v>LC</v>
      </c>
      <c r="P19559" s="7" t="str">
        <f>HYPERLINK("#Liste_rouge!A"&amp;_xlfn.XMATCH("LC",Liste_rouge!A:A,2,1),"LC")</f>
        <v>LC</v>
      </c>
      <c r="Q19559" s="7" t="str">
        <f>HYPERLINK("#Liste_rouge!A"&amp;_xlfn.XMATCH("VU",Liste_rouge!A:A,2,1),"VU")</f>
        <v>VU</v>
      </c>
      <c r="S19559" s="7" t="str">
        <f>HYPERLINK("#Liste_rouge!A"&amp;_xlfn.XMATCH("DD",Liste_rouge!A:A,2,1),"DD")</f>
        <v>DD</v>
      </c>
      <c r="T19559" s="7" t="str">
        <f>HYPERLINK("#Liste_rouge!A"&amp;_xlfn.XMATCH("VU",Liste_rouge!A:A,2,1),"VU")</f>
        <v>VU</v>
      </c>
      <c r="U19559" s="4" t="str">
        <f>HYPERLINK("#Critères_liste_rouge!A$1","B2abiii")</f>
        <v>B2abiii</v>
      </c>
      <c r="V19559" s="7" t="str">
        <f>HYPERLINK("#Liste_rouge!A"&amp;_xlfn.XMATCH("VU",Liste_rouge!A:A,2,1),"VU")</f>
        <v>VU</v>
      </c>
      <c r="W19559" s="4" t="str">
        <f>HYPERLINK("#Critères_liste_rouge!A$1","A2b C1")</f>
        <v>A2b C1</v>
      </c>
      <c r="X19559" s="5" t="s">
        <v>374</v>
      </c>
      <c r="AE19559" s="4" t="str">
        <f>HYPERLINK("#SCAP!A"&amp;_xlfn.XMATCH("A",SCAP!A:A,2,1),"A")</f>
        <v>A</v>
      </c>
      <c r="AF19559" s="4" t="str">
        <f>HYPERLINK("#SCAP!A"&amp;_xlfn.XMATCH("A",SCAP!A:A,2,1),"A")</f>
        <v>A</v>
      </c>
      <c r="AH19559" s="4" t="str">
        <f>HYPERLINK("#Statut_biogéographique!A"&amp;_xlfn.XMATCH("P",Statut_biogéographique!A:A,2,1),"P")</f>
        <v>P</v>
      </c>
      <c r="AM19559" s="4" t="s">
        <v>375</v>
      </c>
      <c r="AN19559" s="4" t="s">
        <v>375</v>
      </c>
      <c r="AO19559" s="4" t="s">
        <v>375</v>
      </c>
      <c r="AP19559" s="4" t="s">
        <v>389</v>
      </c>
      <c r="AR19559" s="4" t="s">
        <v>377</v>
      </c>
    </row>
    <row r="19560" spans="1:44">
      <c r="A19560" s="4" t="s">
        <v>117</v>
      </c>
      <c r="B19560" s="4">
        <v>4062</v>
      </c>
      <c r="D19560" s="5" t="s">
        <v>24066</v>
      </c>
      <c r="E19560" s="6" t="str">
        <f>HYPERLINK("https://inpn.mnhn.fr/espece/cd_nom/4062","Oenanthe isabellina (Temminck, 1829)")</f>
        <v>Oenanthe isabellina (Temminck, 1829)</v>
      </c>
      <c r="F19560" s="5" t="s">
        <v>24067</v>
      </c>
      <c r="H19560" s="4" t="str">
        <f>HYPERLINK("#Réglementation!A"&amp;_xlfn.XMATCH("IBO2",Réglementation!A:A,2,1),"IBO2")</f>
        <v>IBO2</v>
      </c>
      <c r="I19560" s="4" t="str">
        <f>HYPERLINK("#Réglementation!A"&amp;_xlfn.XMATCH("IBE2",Réglementation!A:A,2,1),"IBE2")</f>
        <v>IBE2</v>
      </c>
      <c r="L19560" s="4" t="str">
        <f>HYPERLINK("#Réglementation!A"&amp;_xlfn.XMATCH("NO4",Réglementation!A:A,2,1),"NO4")</f>
        <v>NO4</v>
      </c>
      <c r="O19560" s="7" t="str">
        <f>HYPERLINK("#Liste_rouge!A"&amp;_xlfn.XMATCH("LC",Liste_rouge!A:A,2,1),"LC")</f>
        <v>LC</v>
      </c>
      <c r="P19560" s="7" t="str">
        <f>HYPERLINK("#Liste_rouge!A"&amp;_xlfn.XMATCH("LC",Liste_rouge!A:A,2,1),"LC")</f>
        <v>LC</v>
      </c>
      <c r="S19560" s="7" t="str">
        <f>HYPERLINK("#Liste_rouge!A"&amp;_xlfn.XMATCH("NA",Liste_rouge!A:A,2,1),"NA")</f>
        <v>NA</v>
      </c>
      <c r="AH19560" s="4" t="str">
        <f>HYPERLINK("#Statut_biogéographique!A"&amp;_xlfn.XMATCH("B",Statut_biogéographique!A:A,2,1),"B")</f>
        <v>B</v>
      </c>
      <c r="AP19560" s="4" t="s">
        <v>376</v>
      </c>
      <c r="AR19560" s="4" t="s">
        <v>377</v>
      </c>
    </row>
    <row r="19561" spans="1:44">
      <c r="A19561" s="4" t="s">
        <v>117</v>
      </c>
      <c r="B19561" s="4">
        <v>4064</v>
      </c>
      <c r="D19561" s="5" t="s">
        <v>24068</v>
      </c>
      <c r="E19561" s="6" t="str">
        <f>HYPERLINK("https://inpn.mnhn.fr/espece/cd_nom/4064","Oenanthe oenanthe (Linnaeus, 1758)")</f>
        <v>Oenanthe oenanthe (Linnaeus, 1758)</v>
      </c>
      <c r="F19561" s="5" t="s">
        <v>24069</v>
      </c>
      <c r="H19561" s="4" t="str">
        <f>HYPERLINK("#Réglementation!A"&amp;_xlfn.XMATCH("IBO2",Réglementation!A:A,2,1),"IBO2")</f>
        <v>IBO2</v>
      </c>
      <c r="I19561" s="4" t="str">
        <f>HYPERLINK("#Réglementation!A"&amp;_xlfn.XMATCH("IBE2",Réglementation!A:A,2,1),"IBE2")</f>
        <v>IBE2</v>
      </c>
      <c r="L19561" s="4" t="str">
        <f>HYPERLINK("#Réglementation!A"&amp;_xlfn.XMATCH("NO3",Réglementation!A:A,2,1),"NO3")</f>
        <v>NO3</v>
      </c>
      <c r="O19561" s="7" t="str">
        <f>HYPERLINK("#Liste_rouge!A"&amp;_xlfn.XMATCH("LC",Liste_rouge!A:A,2,1),"LC")</f>
        <v>LC</v>
      </c>
      <c r="P19561" s="7" t="str">
        <f>HYPERLINK("#Liste_rouge!A"&amp;_xlfn.XMATCH("LC",Liste_rouge!A:A,2,1),"LC")</f>
        <v>LC</v>
      </c>
      <c r="Q19561" s="7" t="str">
        <f>HYPERLINK("#Liste_rouge!A"&amp;_xlfn.XMATCH("NT",Liste_rouge!A:A,2,1),"NT")</f>
        <v>NT</v>
      </c>
      <c r="S19561" s="7" t="str">
        <f>HYPERLINK("#Liste_rouge!A"&amp;_xlfn.XMATCH("DD",Liste_rouge!A:A,2,1),"DD")</f>
        <v>DD</v>
      </c>
      <c r="T19561" s="7" t="str">
        <f>HYPERLINK("#Liste_rouge!A"&amp;_xlfn.XMATCH("NT",Liste_rouge!A:A,2,1),"NT")</f>
        <v>NT</v>
      </c>
      <c r="V19561" s="7" t="str">
        <f>HYPERLINK("#Liste_rouge!A"&amp;_xlfn.XMATCH("CR",Liste_rouge!A:A,2,1),"CR")</f>
        <v>CR</v>
      </c>
      <c r="W19561" s="4" t="str">
        <f>HYPERLINK("#Critères_liste_rouge!A$1","D1")</f>
        <v>D1</v>
      </c>
      <c r="X19561" s="5" t="s">
        <v>374</v>
      </c>
      <c r="AH19561" s="4" t="str">
        <f>HYPERLINK("#Statut_biogéographique!A"&amp;_xlfn.XMATCH("P",Statut_biogéographique!A:A,2,1),"P")</f>
        <v>P</v>
      </c>
      <c r="AM19561" s="4" t="s">
        <v>375</v>
      </c>
      <c r="AN19561" s="4" t="s">
        <v>375</v>
      </c>
      <c r="AO19561" s="4" t="s">
        <v>375</v>
      </c>
      <c r="AP19561" s="4" t="s">
        <v>389</v>
      </c>
      <c r="AR19561" s="4" t="s">
        <v>377</v>
      </c>
    </row>
    <row r="19562" spans="1:44" ht="30">
      <c r="A19562" s="4" t="s">
        <v>117</v>
      </c>
      <c r="B19562" s="4">
        <v>4068</v>
      </c>
      <c r="D19562" s="5" t="s">
        <v>24070</v>
      </c>
      <c r="E19562" s="6" t="str">
        <f>HYPERLINK("https://inpn.mnhn.fr/espece/cd_nom/4068","Oenanthe oenanthe leucorhoa (Gmelin, 1789)")</f>
        <v>Oenanthe oenanthe leucorhoa (Gmelin, 1789)</v>
      </c>
      <c r="H19562" s="4" t="str">
        <f>HYPERLINK("#Réglementation!A"&amp;_xlfn.XMATCH("IBO2",Réglementation!A:A,2,1),"IBO2")</f>
        <v>IBO2</v>
      </c>
      <c r="I19562" s="4" t="str">
        <f>HYPERLINK("#Réglementation!A"&amp;_xlfn.XMATCH("IBE2",Réglementation!A:A,2,1),"IBE2")</f>
        <v>IBE2</v>
      </c>
      <c r="L19562" s="4" t="str">
        <f>HYPERLINK("#Réglementation!A"&amp;_xlfn.XMATCH("NO3",Réglementation!A:A,2,1),"NO3")</f>
        <v>NO3</v>
      </c>
      <c r="AH19562" s="4" t="str">
        <f>HYPERLINK("#Statut_biogéographique!A"&amp;_xlfn.XMATCH("P",Statut_biogéographique!A:A,2,1),"P")</f>
        <v>P</v>
      </c>
      <c r="AP19562" s="4" t="s">
        <v>389</v>
      </c>
      <c r="AR19562" s="4" t="s">
        <v>377</v>
      </c>
    </row>
    <row r="19563" spans="1:44">
      <c r="A19563" s="4" t="s">
        <v>117</v>
      </c>
      <c r="B19563" s="4">
        <v>4074</v>
      </c>
      <c r="D19563" s="5" t="s">
        <v>24071</v>
      </c>
      <c r="E19563" s="6" t="str">
        <f>HYPERLINK("https://inpn.mnhn.fr/espece/cd_nom/4074","Oenanthe hispanica (Linnaeus, 1758)")</f>
        <v>Oenanthe hispanica (Linnaeus, 1758)</v>
      </c>
      <c r="F19563" s="5" t="s">
        <v>24072</v>
      </c>
      <c r="H19563" s="4" t="str">
        <f>HYPERLINK("#Réglementation!A"&amp;_xlfn.XMATCH("IBO2",Réglementation!A:A,2,1),"IBO2")</f>
        <v>IBO2</v>
      </c>
      <c r="I19563" s="4" t="str">
        <f>HYPERLINK("#Réglementation!A"&amp;_xlfn.XMATCH("IBE2",Réglementation!A:A,2,1),"IBE2")</f>
        <v>IBE2</v>
      </c>
      <c r="L19563" s="4" t="str">
        <f>HYPERLINK("#Réglementation!A"&amp;_xlfn.XMATCH("NO3",Réglementation!A:A,2,1),"NO3")</f>
        <v>NO3</v>
      </c>
      <c r="O19563" s="7" t="str">
        <f>HYPERLINK("#Liste_rouge!A"&amp;_xlfn.XMATCH("LC",Liste_rouge!A:A,2,1),"LC")</f>
        <v>LC</v>
      </c>
      <c r="P19563" s="7" t="str">
        <f>HYPERLINK("#Liste_rouge!A"&amp;_xlfn.XMATCH("LC",Liste_rouge!A:A,2,1),"LC")</f>
        <v>LC</v>
      </c>
      <c r="Q19563" s="7" t="str">
        <f>HYPERLINK("#Liste_rouge!A"&amp;_xlfn.XMATCH("EN",Liste_rouge!A:A,2,1),"EN")</f>
        <v>EN</v>
      </c>
      <c r="S19563" s="7" t="str">
        <f>HYPERLINK("#Liste_rouge!A"&amp;_xlfn.XMATCH("NA",Liste_rouge!A:A,2,1),"NA")</f>
        <v>NA</v>
      </c>
      <c r="AE19563" s="4" t="str">
        <f>HYPERLINK("#SCAP!A"&amp;_xlfn.XMATCH("A",SCAP!A:A,2,1),"A")</f>
        <v>A</v>
      </c>
      <c r="AH19563" s="4" t="str">
        <f>HYPERLINK("#Statut_biogéographique!A"&amp;_xlfn.XMATCH("P",Statut_biogéographique!A:A,2,1),"P")</f>
        <v>P</v>
      </c>
      <c r="AM19563" s="4" t="s">
        <v>375</v>
      </c>
      <c r="AN19563" s="4" t="s">
        <v>375</v>
      </c>
      <c r="AO19563" s="4" t="s">
        <v>375</v>
      </c>
      <c r="AP19563" s="4" t="s">
        <v>389</v>
      </c>
      <c r="AR19563" s="4" t="s">
        <v>377</v>
      </c>
    </row>
    <row r="19564" spans="1:44">
      <c r="A19564" s="4" t="s">
        <v>117</v>
      </c>
      <c r="B19564" s="4">
        <v>4084</v>
      </c>
      <c r="D19564" s="5" t="s">
        <v>24073</v>
      </c>
      <c r="E19564" s="6" t="str">
        <f>HYPERLINK("https://inpn.mnhn.fr/espece/cd_nom/4084","Monticola saxatilis (Linnaeus, 1766)")</f>
        <v>Monticola saxatilis (Linnaeus, 1766)</v>
      </c>
      <c r="F19564" s="5" t="s">
        <v>24074</v>
      </c>
      <c r="H19564" s="4" t="str">
        <f>HYPERLINK("#Réglementation!A"&amp;_xlfn.XMATCH("IBO2",Réglementation!A:A,2,1),"IBO2")</f>
        <v>IBO2</v>
      </c>
      <c r="I19564" s="4" t="str">
        <f>HYPERLINK("#Réglementation!A"&amp;_xlfn.XMATCH("IBE2",Réglementation!A:A,2,1),"IBE2")</f>
        <v>IBE2</v>
      </c>
      <c r="L19564" s="4" t="str">
        <f>HYPERLINK("#Réglementation!A"&amp;_xlfn.XMATCH("NO3",Réglementation!A:A,2,1),"NO3")</f>
        <v>NO3</v>
      </c>
      <c r="O19564" s="7" t="str">
        <f>HYPERLINK("#Liste_rouge!A"&amp;_xlfn.XMATCH("LC",Liste_rouge!A:A,2,1),"LC")</f>
        <v>LC</v>
      </c>
      <c r="P19564" s="7" t="str">
        <f>HYPERLINK("#Liste_rouge!A"&amp;_xlfn.XMATCH("LC",Liste_rouge!A:A,2,1),"LC")</f>
        <v>LC</v>
      </c>
      <c r="Q19564" s="7" t="str">
        <f>HYPERLINK("#Liste_rouge!A"&amp;_xlfn.XMATCH("NT",Liste_rouge!A:A,2,1),"NT")</f>
        <v>NT</v>
      </c>
      <c r="S19564" s="7" t="str">
        <f>HYPERLINK("#Liste_rouge!A"&amp;_xlfn.XMATCH("NA",Liste_rouge!A:A,2,1),"NA")</f>
        <v>NA</v>
      </c>
      <c r="T19564" s="7" t="str">
        <f>HYPERLINK("#Liste_rouge!A"&amp;_xlfn.XMATCH("LC",Liste_rouge!A:A,2,1),"LC")</f>
        <v>LC</v>
      </c>
      <c r="V19564" s="7" t="str">
        <f>HYPERLINK("#Liste_rouge!A"&amp;_xlfn.XMATCH("RE",Liste_rouge!A:A,2,1),"RE")</f>
        <v>RE</v>
      </c>
      <c r="AH19564" s="4" t="str">
        <f>HYPERLINK("#Statut_biogéographique!A"&amp;_xlfn.XMATCH("P",Statut_biogéographique!A:A,2,1),"P")</f>
        <v>P</v>
      </c>
      <c r="AM19564" s="4" t="s">
        <v>375</v>
      </c>
      <c r="AN19564" s="4" t="s">
        <v>375</v>
      </c>
      <c r="AO19564" s="4" t="s">
        <v>375</v>
      </c>
      <c r="AP19564" s="4" t="s">
        <v>376</v>
      </c>
      <c r="AR19564" s="4" t="s">
        <v>377</v>
      </c>
    </row>
    <row r="19565" spans="1:44">
      <c r="A19565" s="4" t="s">
        <v>117</v>
      </c>
      <c r="B19565" s="4">
        <v>4087</v>
      </c>
      <c r="D19565" s="5" t="s">
        <v>24075</v>
      </c>
      <c r="E19565" s="6" t="str">
        <f>HYPERLINK("https://inpn.mnhn.fr/espece/cd_nom/4087","Monticola solitarius (Linnaeus, 1758)")</f>
        <v>Monticola solitarius (Linnaeus, 1758)</v>
      </c>
      <c r="F19565" s="5" t="s">
        <v>24076</v>
      </c>
      <c r="H19565" s="4" t="str">
        <f>HYPERLINK("#Réglementation!A"&amp;_xlfn.XMATCH("IBO2",Réglementation!A:A,2,1),"IBO2")</f>
        <v>IBO2</v>
      </c>
      <c r="I19565" s="4" t="str">
        <f>HYPERLINK("#Réglementation!A"&amp;_xlfn.XMATCH("IBE2",Réglementation!A:A,2,1),"IBE2")</f>
        <v>IBE2</v>
      </c>
      <c r="L19565" s="4" t="str">
        <f>HYPERLINK("#Réglementation!A"&amp;_xlfn.XMATCH("NO3",Réglementation!A:A,2,1),"NO3")</f>
        <v>NO3</v>
      </c>
      <c r="O19565" s="7" t="str">
        <f>HYPERLINK("#Liste_rouge!A"&amp;_xlfn.XMATCH("LC",Liste_rouge!A:A,2,1),"LC")</f>
        <v>LC</v>
      </c>
      <c r="P19565" s="7" t="str">
        <f>HYPERLINK("#Liste_rouge!A"&amp;_xlfn.XMATCH("LC",Liste_rouge!A:A,2,1),"LC")</f>
        <v>LC</v>
      </c>
      <c r="Q19565" s="7" t="str">
        <f>HYPERLINK("#Liste_rouge!A"&amp;_xlfn.XMATCH("LC",Liste_rouge!A:A,2,1),"LC")</f>
        <v>LC</v>
      </c>
      <c r="V19565" s="7" t="str">
        <f>HYPERLINK("#Liste_rouge!A"&amp;_xlfn.XMATCH("RE",Liste_rouge!A:A,2,1),"RE")</f>
        <v>RE</v>
      </c>
      <c r="AH19565" s="4" t="str">
        <f>HYPERLINK("#Statut_biogéographique!A"&amp;_xlfn.XMATCH("P",Statut_biogéographique!A:A,2,1),"P")</f>
        <v>P</v>
      </c>
      <c r="AP19565" s="4" t="s">
        <v>376</v>
      </c>
      <c r="AR19565" s="4" t="s">
        <v>377</v>
      </c>
    </row>
    <row r="19566" spans="1:44">
      <c r="A19566" s="4" t="s">
        <v>117</v>
      </c>
      <c r="B19566" s="4">
        <v>4112</v>
      </c>
      <c r="D19566" s="5" t="s">
        <v>24077</v>
      </c>
      <c r="E19566" s="6" t="str">
        <f>HYPERLINK("https://inpn.mnhn.fr/espece/cd_nom/4112","Turdus torquatus Linnaeus, 1758")</f>
        <v>Turdus torquatus Linnaeus, 1758</v>
      </c>
      <c r="F19566" s="5" t="s">
        <v>24078</v>
      </c>
      <c r="I19566" s="4" t="str">
        <f>HYPERLINK("#Réglementation!A"&amp;_xlfn.XMATCH("IBE2",Réglementation!A:A,2,1),"IBE2")</f>
        <v>IBE2</v>
      </c>
      <c r="L19566" s="4" t="str">
        <f>HYPERLINK("#Réglementation!A"&amp;_xlfn.XMATCH("NO3",Réglementation!A:A,2,1),"NO3")</f>
        <v>NO3</v>
      </c>
      <c r="O19566" s="7" t="str">
        <f>HYPERLINK("#Liste_rouge!A"&amp;_xlfn.XMATCH("LC",Liste_rouge!A:A,2,1),"LC")</f>
        <v>LC</v>
      </c>
      <c r="P19566" s="7" t="str">
        <f>HYPERLINK("#Liste_rouge!A"&amp;_xlfn.XMATCH("LC",Liste_rouge!A:A,2,1),"LC")</f>
        <v>LC</v>
      </c>
      <c r="Q19566" s="7" t="str">
        <f>HYPERLINK("#Liste_rouge!A"&amp;_xlfn.XMATCH("LC",Liste_rouge!A:A,2,1),"LC")</f>
        <v>LC</v>
      </c>
      <c r="S19566" s="7" t="str">
        <f>HYPERLINK("#Liste_rouge!A"&amp;_xlfn.XMATCH("DD",Liste_rouge!A:A,2,1),"DD")</f>
        <v>DD</v>
      </c>
      <c r="V19566" s="7" t="str">
        <f>HYPERLINK("#Liste_rouge!A"&amp;_xlfn.XMATCH("EN",Liste_rouge!A:A,2,1),"EN")</f>
        <v>EN</v>
      </c>
      <c r="W19566" s="4" t="str">
        <f>HYPERLINK("#Critères_liste_rouge!A$1","C1")</f>
        <v>C1</v>
      </c>
      <c r="X19566" s="5" t="s">
        <v>374</v>
      </c>
      <c r="AH19566" s="4" t="str">
        <f>HYPERLINK("#Statut_biogéographique!A"&amp;_xlfn.XMATCH("P",Statut_biogéographique!A:A,2,1),"P")</f>
        <v>P</v>
      </c>
      <c r="AM19566" s="4" t="s">
        <v>375</v>
      </c>
      <c r="AN19566" s="4" t="s">
        <v>375</v>
      </c>
      <c r="AO19566" s="4" t="s">
        <v>375</v>
      </c>
      <c r="AP19566" s="4" t="s">
        <v>376</v>
      </c>
      <c r="AR19566" s="4" t="s">
        <v>377</v>
      </c>
    </row>
    <row r="19567" spans="1:44">
      <c r="A19567" s="4" t="s">
        <v>117</v>
      </c>
      <c r="B19567" s="4">
        <v>4114</v>
      </c>
      <c r="D19567" s="5" t="s">
        <v>24079</v>
      </c>
      <c r="E19567" s="6" t="str">
        <f>HYPERLINK("https://inpn.mnhn.fr/espece/cd_nom/4114","Turdus torquatus alpestris (Brehm, 1831)")</f>
        <v>Turdus torquatus alpestris (Brehm, 1831)</v>
      </c>
      <c r="I19567" s="4" t="str">
        <f>HYPERLINK("#Réglementation!A"&amp;_xlfn.XMATCH("IBE2",Réglementation!A:A,2,1),"IBE2")</f>
        <v>IBE2</v>
      </c>
      <c r="L19567" s="4" t="str">
        <f>HYPERLINK("#Réglementation!A"&amp;_xlfn.XMATCH("NO3",Réglementation!A:A,2,1),"NO3")</f>
        <v>NO3</v>
      </c>
      <c r="AH19567" s="4" t="str">
        <f>HYPERLINK("#Statut_biogéographique!A"&amp;_xlfn.XMATCH("P",Statut_biogéographique!A:A,2,1),"P")</f>
        <v>P</v>
      </c>
      <c r="AP19567" s="4" t="s">
        <v>376</v>
      </c>
      <c r="AR19567" s="4" t="s">
        <v>377</v>
      </c>
    </row>
    <row r="19568" spans="1:44">
      <c r="A19568" s="4" t="s">
        <v>117</v>
      </c>
      <c r="B19568" s="4">
        <v>4116</v>
      </c>
      <c r="D19568" s="5">
        <v>4116</v>
      </c>
      <c r="E19568" s="6" t="str">
        <f>HYPERLINK("https://inpn.mnhn.fr/espece/cd_nom/4116","Turdus torquatus torquatus Linnaeus, 1758")</f>
        <v>Turdus torquatus torquatus Linnaeus, 1758</v>
      </c>
      <c r="I19568" s="4" t="str">
        <f>HYPERLINK("#Réglementation!A"&amp;_xlfn.XMATCH("IBE2",Réglementation!A:A,2,1),"IBE2")</f>
        <v>IBE2</v>
      </c>
      <c r="L19568" s="4" t="str">
        <f>HYPERLINK("#Réglementation!A"&amp;_xlfn.XMATCH("NO3",Réglementation!A:A,2,1),"NO3")</f>
        <v>NO3</v>
      </c>
      <c r="AH19568" s="4" t="str">
        <f>HYPERLINK("#Statut_biogéographique!A"&amp;_xlfn.XMATCH("P",Statut_biogéographique!A:A,2,1),"P")</f>
        <v>P</v>
      </c>
      <c r="AP19568" s="4" t="s">
        <v>376</v>
      </c>
      <c r="AR19568" s="4" t="s">
        <v>377</v>
      </c>
    </row>
    <row r="19569" spans="1:44">
      <c r="A19569" s="4" t="s">
        <v>117</v>
      </c>
      <c r="B19569" s="4">
        <v>4117</v>
      </c>
      <c r="D19569" s="5">
        <v>4117</v>
      </c>
      <c r="E19569" s="6" t="str">
        <f>HYPERLINK("https://inpn.mnhn.fr/espece/cd_nom/4117","Turdus merula Linnaeus, 1758")</f>
        <v>Turdus merula Linnaeus, 1758</v>
      </c>
      <c r="F19569" s="5" t="s">
        <v>24080</v>
      </c>
      <c r="I19569" s="4" t="str">
        <f>HYPERLINK("#Réglementation!A"&amp;_xlfn.XMATCH("IBE3",Réglementation!A:A,2,1),"IBE3")</f>
        <v>IBE3</v>
      </c>
      <c r="J19569" s="4" t="str">
        <f>HYPERLINK("#Réglementation!A"&amp;_xlfn.XMATCH("CDO22",Réglementation!A:A,2,1),"CDO22")</f>
        <v>CDO22</v>
      </c>
      <c r="L19569" s="4" t="str">
        <f>HYPERLINK("#Réglementation!A"&amp;_xlfn.XMATCH("OC3",Réglementation!A:A,2,1),"OC3")</f>
        <v>OC3</v>
      </c>
      <c r="O19569" s="7" t="str">
        <f>HYPERLINK("#Liste_rouge!A"&amp;_xlfn.XMATCH("LC",Liste_rouge!A:A,2,1),"LC")</f>
        <v>LC</v>
      </c>
      <c r="P19569" s="7" t="str">
        <f>HYPERLINK("#Liste_rouge!A"&amp;_xlfn.XMATCH("LC",Liste_rouge!A:A,2,1),"LC")</f>
        <v>LC</v>
      </c>
      <c r="Q19569" s="7" t="str">
        <f>HYPERLINK("#Liste_rouge!A"&amp;_xlfn.XMATCH("LC",Liste_rouge!A:A,2,1),"LC")</f>
        <v>LC</v>
      </c>
      <c r="R19569" s="7" t="str">
        <f>HYPERLINK("#Liste_rouge!A"&amp;_xlfn.XMATCH("NA",Liste_rouge!A:A,2,1),"NA")</f>
        <v>NA</v>
      </c>
      <c r="S19569" s="7" t="str">
        <f>HYPERLINK("#Liste_rouge!A"&amp;_xlfn.XMATCH("NA",Liste_rouge!A:A,2,1),"NA")</f>
        <v>NA</v>
      </c>
      <c r="T19569" s="7" t="str">
        <f>HYPERLINK("#Liste_rouge!A"&amp;_xlfn.XMATCH("LC",Liste_rouge!A:A,2,1),"LC")</f>
        <v>LC</v>
      </c>
      <c r="V19569" s="7" t="str">
        <f>HYPERLINK("#Liste_rouge!A"&amp;_xlfn.XMATCH("LC",Liste_rouge!A:A,2,1),"LC")</f>
        <v>LC</v>
      </c>
      <c r="AH19569" s="4" t="str">
        <f>HYPERLINK("#Statut_biogéographique!A"&amp;_xlfn.XMATCH("P",Statut_biogéographique!A:A,2,1),"P")</f>
        <v>P</v>
      </c>
      <c r="AK19569" s="4" t="str">
        <f>HYPERLINK("#Réglementation!A"&amp;_xlfn.XMATCH("Ngib_ch_1",Réglementation!A:A,2,1),"Ngib_ch_1")</f>
        <v>Ngib_ch_1</v>
      </c>
      <c r="AM19569" s="4" t="s">
        <v>375</v>
      </c>
      <c r="AN19569" s="4" t="s">
        <v>375</v>
      </c>
      <c r="AO19569" s="4" t="s">
        <v>375</v>
      </c>
      <c r="AP19569" s="4" t="s">
        <v>376</v>
      </c>
      <c r="AR19569" s="4" t="s">
        <v>377</v>
      </c>
    </row>
    <row r="19570" spans="1:44">
      <c r="A19570" s="4" t="s">
        <v>117</v>
      </c>
      <c r="B19570" s="4">
        <v>4119</v>
      </c>
      <c r="D19570" s="5">
        <v>4119</v>
      </c>
      <c r="E19570" s="6" t="str">
        <f>HYPERLINK("https://inpn.mnhn.fr/espece/cd_nom/4119","Turdus obscurus Gmelin, 1789")</f>
        <v>Turdus obscurus Gmelin, 1789</v>
      </c>
      <c r="F19570" s="5" t="s">
        <v>24081</v>
      </c>
      <c r="I19570" s="4" t="str">
        <f>HYPERLINK("#Réglementation!A"&amp;_xlfn.XMATCH("IBE3",Réglementation!A:A,2,1),"IBE3")</f>
        <v>IBE3</v>
      </c>
      <c r="L19570" s="4" t="str">
        <f>HYPERLINK("#Réglementation!A"&amp;_xlfn.XMATCH("NO4",Réglementation!A:A,2,1),"NO4")</f>
        <v>NO4</v>
      </c>
      <c r="O19570" s="7" t="str">
        <f>HYPERLINK("#Liste_rouge!A"&amp;_xlfn.XMATCH("LC",Liste_rouge!A:A,2,1),"LC")</f>
        <v>LC</v>
      </c>
      <c r="S19570" s="7" t="str">
        <f>HYPERLINK("#Liste_rouge!A"&amp;_xlfn.XMATCH("NA",Liste_rouge!A:A,2,1),"NA")</f>
        <v>NA</v>
      </c>
      <c r="AH19570" s="4" t="str">
        <f>HYPERLINK("#Statut_biogéographique!A"&amp;_xlfn.XMATCH("B",Statut_biogéographique!A:A,2,1),"B")</f>
        <v>B</v>
      </c>
      <c r="AM19570" s="4" t="s">
        <v>375</v>
      </c>
      <c r="AN19570" s="4" t="s">
        <v>375</v>
      </c>
      <c r="AO19570" s="4" t="s">
        <v>375</v>
      </c>
      <c r="AP19570" s="4" t="s">
        <v>376</v>
      </c>
      <c r="AR19570" s="4" t="s">
        <v>377</v>
      </c>
    </row>
    <row r="19571" spans="1:44" ht="30">
      <c r="A19571" s="4" t="s">
        <v>117</v>
      </c>
      <c r="B19571" s="4">
        <v>4121</v>
      </c>
      <c r="D19571" s="5">
        <v>4121</v>
      </c>
      <c r="E19571" s="6" t="str">
        <f>HYPERLINK("https://inpn.mnhn.fr/espece/cd_nom/4121","Turdus ruficollis Pallas, 1776")</f>
        <v>Turdus ruficollis Pallas, 1776</v>
      </c>
      <c r="F19571" s="5" t="s">
        <v>24082</v>
      </c>
      <c r="I19571" s="4" t="str">
        <f>HYPERLINK("#Réglementation!A"&amp;_xlfn.XMATCH("IBE3",Réglementation!A:A,2,1),"IBE3")</f>
        <v>IBE3</v>
      </c>
      <c r="L19571" s="4" t="str">
        <f>HYPERLINK("#Réglementation!A"&amp;_xlfn.XMATCH("NO4",Réglementation!A:A,2,1),"NO4")</f>
        <v>NO4</v>
      </c>
      <c r="O19571" s="7" t="str">
        <f>HYPERLINK("#Liste_rouge!A"&amp;_xlfn.XMATCH("LC",Liste_rouge!A:A,2,1),"LC")</f>
        <v>LC</v>
      </c>
      <c r="S19571" s="7" t="str">
        <f>HYPERLINK("#Liste_rouge!A"&amp;_xlfn.XMATCH("NA",Liste_rouge!A:A,2,1),"NA")</f>
        <v>NA</v>
      </c>
      <c r="AH19571" s="4" t="str">
        <f>HYPERLINK("#Statut_biogéographique!A"&amp;_xlfn.XMATCH("P",Statut_biogéographique!A:A,2,1),"P")</f>
        <v>P</v>
      </c>
      <c r="AP19571" s="4" t="s">
        <v>376</v>
      </c>
      <c r="AR19571" s="4" t="s">
        <v>377</v>
      </c>
    </row>
    <row r="19572" spans="1:44">
      <c r="A19572" s="4" t="s">
        <v>117</v>
      </c>
      <c r="B19572" s="4">
        <v>4127</v>
      </c>
      <c r="D19572" s="5">
        <v>4127</v>
      </c>
      <c r="E19572" s="6" t="str">
        <f>HYPERLINK("https://inpn.mnhn.fr/espece/cd_nom/4127","Turdus pilaris Linnaeus, 1758")</f>
        <v>Turdus pilaris Linnaeus, 1758</v>
      </c>
      <c r="F19572" s="5" t="s">
        <v>24083</v>
      </c>
      <c r="I19572" s="4" t="str">
        <f>HYPERLINK("#Réglementation!A"&amp;_xlfn.XMATCH("IBE3",Réglementation!A:A,2,1),"IBE3")</f>
        <v>IBE3</v>
      </c>
      <c r="J19572" s="4" t="str">
        <f>HYPERLINK("#Réglementation!A"&amp;_xlfn.XMATCH("CDO22",Réglementation!A:A,2,1),"CDO22")</f>
        <v>CDO22</v>
      </c>
      <c r="L19572" s="4" t="str">
        <f>HYPERLINK("#Réglementation!A"&amp;_xlfn.XMATCH("OC3",Réglementation!A:A,2,1),"OC3")</f>
        <v>OC3</v>
      </c>
      <c r="O19572" s="7" t="str">
        <f>HYPERLINK("#Liste_rouge!A"&amp;_xlfn.XMATCH("LC",Liste_rouge!A:A,2,1),"LC")</f>
        <v>LC</v>
      </c>
      <c r="P19572" s="7" t="str">
        <f>HYPERLINK("#Liste_rouge!A"&amp;_xlfn.XMATCH("LC",Liste_rouge!A:A,2,1),"LC")</f>
        <v>LC</v>
      </c>
      <c r="Q19572" s="7" t="str">
        <f>HYPERLINK("#Liste_rouge!A"&amp;_xlfn.XMATCH("LC",Liste_rouge!A:A,2,1),"LC")</f>
        <v>LC</v>
      </c>
      <c r="R19572" s="7" t="str">
        <f>HYPERLINK("#Liste_rouge!A"&amp;_xlfn.XMATCH("LC",Liste_rouge!A:A,2,1),"LC")</f>
        <v>LC</v>
      </c>
      <c r="T19572" s="7" t="str">
        <f>HYPERLINK("#Liste_rouge!A"&amp;_xlfn.XMATCH("EN",Liste_rouge!A:A,2,1),"EN")</f>
        <v>EN</v>
      </c>
      <c r="U19572" s="4" t="str">
        <f>HYPERLINK("#Critères_liste_rouge!A$1","A2b")</f>
        <v>A2b</v>
      </c>
      <c r="V19572" s="7" t="str">
        <f>HYPERLINK("#Liste_rouge!A"&amp;_xlfn.XMATCH("DD",Liste_rouge!A:A,2,1),"DD")</f>
        <v>DD</v>
      </c>
      <c r="X19572" s="5" t="s">
        <v>374</v>
      </c>
      <c r="AH19572" s="4" t="str">
        <f>HYPERLINK("#Statut_biogéographique!A"&amp;_xlfn.XMATCH("P",Statut_biogéographique!A:A,2,1),"P")</f>
        <v>P</v>
      </c>
      <c r="AK19572" s="4" t="str">
        <f>HYPERLINK("#Réglementation!A"&amp;_xlfn.XMATCH("Ngib_ch_1",Réglementation!A:A,2,1),"Ngib_ch_1")</f>
        <v>Ngib_ch_1</v>
      </c>
      <c r="AM19572" s="4" t="s">
        <v>375</v>
      </c>
      <c r="AN19572" s="4" t="s">
        <v>375</v>
      </c>
      <c r="AO19572" s="4" t="s">
        <v>375</v>
      </c>
      <c r="AP19572" s="4" t="s">
        <v>376</v>
      </c>
      <c r="AR19572" s="4" t="s">
        <v>377</v>
      </c>
    </row>
    <row r="19573" spans="1:44">
      <c r="A19573" s="4" t="s">
        <v>117</v>
      </c>
      <c r="B19573" s="4">
        <v>4129</v>
      </c>
      <c r="D19573" s="5" t="s">
        <v>24084</v>
      </c>
      <c r="E19573" s="6" t="str">
        <f>HYPERLINK("https://inpn.mnhn.fr/espece/cd_nom/4129","Turdus philomelos C. L. Brehm, 1831")</f>
        <v>Turdus philomelos C. L. Brehm, 1831</v>
      </c>
      <c r="F19573" s="5" t="s">
        <v>24085</v>
      </c>
      <c r="I19573" s="4" t="str">
        <f>HYPERLINK("#Réglementation!A"&amp;_xlfn.XMATCH("IBE3",Réglementation!A:A,2,1),"IBE3")</f>
        <v>IBE3</v>
      </c>
      <c r="J19573" s="4" t="str">
        <f>HYPERLINK("#Réglementation!A"&amp;_xlfn.XMATCH("CDO22",Réglementation!A:A,2,1),"CDO22")</f>
        <v>CDO22</v>
      </c>
      <c r="L19573" s="4" t="str">
        <f>HYPERLINK("#Réglementation!A"&amp;_xlfn.XMATCH("OC3",Réglementation!A:A,2,1),"OC3")</f>
        <v>OC3</v>
      </c>
      <c r="O19573" s="7" t="str">
        <f>HYPERLINK("#Liste_rouge!A"&amp;_xlfn.XMATCH("LC",Liste_rouge!A:A,2,1),"LC")</f>
        <v>LC</v>
      </c>
      <c r="P19573" s="7" t="str">
        <f>HYPERLINK("#Liste_rouge!A"&amp;_xlfn.XMATCH("LC",Liste_rouge!A:A,2,1),"LC")</f>
        <v>LC</v>
      </c>
      <c r="Q19573" s="7" t="str">
        <f>HYPERLINK("#Liste_rouge!A"&amp;_xlfn.XMATCH("LC",Liste_rouge!A:A,2,1),"LC")</f>
        <v>LC</v>
      </c>
      <c r="R19573" s="7" t="str">
        <f>HYPERLINK("#Liste_rouge!A"&amp;_xlfn.XMATCH("NA",Liste_rouge!A:A,2,1),"NA")</f>
        <v>NA</v>
      </c>
      <c r="S19573" s="7" t="str">
        <f>HYPERLINK("#Liste_rouge!A"&amp;_xlfn.XMATCH("NA",Liste_rouge!A:A,2,1),"NA")</f>
        <v>NA</v>
      </c>
      <c r="T19573" s="7" t="str">
        <f>HYPERLINK("#Liste_rouge!A"&amp;_xlfn.XMATCH("LC",Liste_rouge!A:A,2,1),"LC")</f>
        <v>LC</v>
      </c>
      <c r="V19573" s="7" t="str">
        <f>HYPERLINK("#Liste_rouge!A"&amp;_xlfn.XMATCH("LC",Liste_rouge!A:A,2,1),"LC")</f>
        <v>LC</v>
      </c>
      <c r="AH19573" s="4" t="str">
        <f>HYPERLINK("#Statut_biogéographique!A"&amp;_xlfn.XMATCH("P",Statut_biogéographique!A:A,2,1),"P")</f>
        <v>P</v>
      </c>
      <c r="AK19573" s="4" t="str">
        <f>HYPERLINK("#Réglementation!A"&amp;_xlfn.XMATCH("Ngib_ch_1",Réglementation!A:A,2,1),"Ngib_ch_1")</f>
        <v>Ngib_ch_1</v>
      </c>
      <c r="AM19573" s="4" t="s">
        <v>375</v>
      </c>
      <c r="AN19573" s="4" t="s">
        <v>375</v>
      </c>
      <c r="AO19573" s="4" t="s">
        <v>375</v>
      </c>
      <c r="AP19573" s="4" t="s">
        <v>376</v>
      </c>
      <c r="AR19573" s="4" t="s">
        <v>377</v>
      </c>
    </row>
    <row r="19574" spans="1:44">
      <c r="A19574" s="4" t="s">
        <v>117</v>
      </c>
      <c r="B19574" s="4">
        <v>4134</v>
      </c>
      <c r="D19574" s="5" t="s">
        <v>24086</v>
      </c>
      <c r="E19574" s="6" t="str">
        <f>HYPERLINK("https://inpn.mnhn.fr/espece/cd_nom/4134","Turdus atrogularis Jarocki, 1819")</f>
        <v>Turdus atrogularis Jarocki, 1819</v>
      </c>
      <c r="F19574" s="5" t="s">
        <v>24087</v>
      </c>
      <c r="I19574" s="4" t="str">
        <f>HYPERLINK("#Réglementation!A"&amp;_xlfn.XMATCH("IBE3",Réglementation!A:A,2,1),"IBE3")</f>
        <v>IBE3</v>
      </c>
      <c r="L19574" s="4" t="str">
        <f>HYPERLINK("#Réglementation!A"&amp;_xlfn.XMATCH("NO4",Réglementation!A:A,2,1),"NO4")</f>
        <v>NO4</v>
      </c>
      <c r="O19574" s="7" t="str">
        <f>HYPERLINK("#Liste_rouge!A"&amp;_xlfn.XMATCH("LC",Liste_rouge!A:A,2,1),"LC")</f>
        <v>LC</v>
      </c>
      <c r="P19574" s="7" t="str">
        <f>HYPERLINK("#Liste_rouge!A"&amp;_xlfn.XMATCH("LC",Liste_rouge!A:A,2,1),"LC")</f>
        <v>LC</v>
      </c>
      <c r="S19574" s="7" t="str">
        <f>HYPERLINK("#Liste_rouge!A"&amp;_xlfn.XMATCH("NA",Liste_rouge!A:A,2,1),"NA")</f>
        <v>NA</v>
      </c>
      <c r="AH19574" s="4" t="str">
        <f>HYPERLINK("#Statut_biogéographique!A"&amp;_xlfn.XMATCH("P",Statut_biogéographique!A:A,2,1),"P")</f>
        <v>P</v>
      </c>
      <c r="AM19574" s="4" t="s">
        <v>375</v>
      </c>
      <c r="AN19574" s="4" t="s">
        <v>375</v>
      </c>
      <c r="AO19574" s="4" t="s">
        <v>375</v>
      </c>
      <c r="AP19574" s="4" t="s">
        <v>376</v>
      </c>
      <c r="AR19574" s="4" t="s">
        <v>377</v>
      </c>
    </row>
    <row r="19575" spans="1:44">
      <c r="A19575" s="4" t="s">
        <v>117</v>
      </c>
      <c r="B19575" s="4">
        <v>4137</v>
      </c>
      <c r="D19575" s="5" t="s">
        <v>24088</v>
      </c>
      <c r="E19575" s="6" t="str">
        <f>HYPERLINK("https://inpn.mnhn.fr/espece/cd_nom/4137","Turdus iliacus Linnaeus, 1766")</f>
        <v>Turdus iliacus Linnaeus, 1766</v>
      </c>
      <c r="F19575" s="5" t="s">
        <v>24089</v>
      </c>
      <c r="I19575" s="4" t="str">
        <f>HYPERLINK("#Réglementation!A"&amp;_xlfn.XMATCH("IBE3",Réglementation!A:A,2,1),"IBE3")</f>
        <v>IBE3</v>
      </c>
      <c r="J19575" s="4" t="str">
        <f>HYPERLINK("#Réglementation!A"&amp;_xlfn.XMATCH("CDO22",Réglementation!A:A,2,1),"CDO22")</f>
        <v>CDO22</v>
      </c>
      <c r="L19575" s="4" t="str">
        <f>HYPERLINK("#Réglementation!A"&amp;_xlfn.XMATCH("OC3",Réglementation!A:A,2,1),"OC3")</f>
        <v>OC3</v>
      </c>
      <c r="O19575" s="7" t="str">
        <f>HYPERLINK("#Liste_rouge!A"&amp;_xlfn.XMATCH("NT",Liste_rouge!A:A,2,1),"NT")</f>
        <v>NT</v>
      </c>
      <c r="P19575" s="7" t="str">
        <f>HYPERLINK("#Liste_rouge!A"&amp;_xlfn.XMATCH("LC",Liste_rouge!A:A,2,1),"LC")</f>
        <v>LC</v>
      </c>
      <c r="R19575" s="7" t="str">
        <f>HYPERLINK("#Liste_rouge!A"&amp;_xlfn.XMATCH("LC",Liste_rouge!A:A,2,1),"LC")</f>
        <v>LC</v>
      </c>
      <c r="S19575" s="7" t="str">
        <f>HYPERLINK("#Liste_rouge!A"&amp;_xlfn.XMATCH("NA",Liste_rouge!A:A,2,1),"NA")</f>
        <v>NA</v>
      </c>
      <c r="AH19575" s="4" t="str">
        <f>HYPERLINK("#Statut_biogéographique!A"&amp;_xlfn.XMATCH("P",Statut_biogéographique!A:A,2,1),"P")</f>
        <v>P</v>
      </c>
      <c r="AK19575" s="4" t="str">
        <f>HYPERLINK("#Réglementation!A"&amp;_xlfn.XMATCH("Ngib_ch_1",Réglementation!A:A,2,1),"Ngib_ch_1")</f>
        <v>Ngib_ch_1</v>
      </c>
      <c r="AM19575" s="4" t="s">
        <v>375</v>
      </c>
      <c r="AN19575" s="4" t="s">
        <v>375</v>
      </c>
      <c r="AO19575" s="4" t="s">
        <v>375</v>
      </c>
      <c r="AP19575" s="4" t="s">
        <v>376</v>
      </c>
      <c r="AR19575" s="4" t="s">
        <v>377</v>
      </c>
    </row>
    <row r="19576" spans="1:44">
      <c r="A19576" s="4" t="s">
        <v>117</v>
      </c>
      <c r="B19576" s="4">
        <v>4142</v>
      </c>
      <c r="D19576" s="5" t="s">
        <v>24090</v>
      </c>
      <c r="E19576" s="6" t="str">
        <f>HYPERLINK("https://inpn.mnhn.fr/espece/cd_nom/4142","Turdus viscivorus Linnaeus, 1758")</f>
        <v>Turdus viscivorus Linnaeus, 1758</v>
      </c>
      <c r="F19576" s="5" t="s">
        <v>24091</v>
      </c>
      <c r="I19576" s="4" t="str">
        <f>HYPERLINK("#Réglementation!A"&amp;_xlfn.XMATCH("IBE3",Réglementation!A:A,2,1),"IBE3")</f>
        <v>IBE3</v>
      </c>
      <c r="J19576" s="4" t="str">
        <f>HYPERLINK("#Réglementation!A"&amp;_xlfn.XMATCH("CDO22",Réglementation!A:A,2,1),"CDO22")</f>
        <v>CDO22</v>
      </c>
      <c r="L19576" s="4" t="str">
        <f>HYPERLINK("#Réglementation!A"&amp;_xlfn.XMATCH("OC3",Réglementation!A:A,2,1),"OC3")</f>
        <v>OC3</v>
      </c>
      <c r="O19576" s="7" t="str">
        <f>HYPERLINK("#Liste_rouge!A"&amp;_xlfn.XMATCH("LC",Liste_rouge!A:A,2,1),"LC")</f>
        <v>LC</v>
      </c>
      <c r="P19576" s="7" t="str">
        <f>HYPERLINK("#Liste_rouge!A"&amp;_xlfn.XMATCH("LC",Liste_rouge!A:A,2,1),"LC")</f>
        <v>LC</v>
      </c>
      <c r="Q19576" s="7" t="str">
        <f>HYPERLINK("#Liste_rouge!A"&amp;_xlfn.XMATCH("LC",Liste_rouge!A:A,2,1),"LC")</f>
        <v>LC</v>
      </c>
      <c r="R19576" s="7" t="str">
        <f>HYPERLINK("#Liste_rouge!A"&amp;_xlfn.XMATCH("NA",Liste_rouge!A:A,2,1),"NA")</f>
        <v>NA</v>
      </c>
      <c r="S19576" s="7" t="str">
        <f>HYPERLINK("#Liste_rouge!A"&amp;_xlfn.XMATCH("NA",Liste_rouge!A:A,2,1),"NA")</f>
        <v>NA</v>
      </c>
      <c r="T19576" s="7" t="str">
        <f>HYPERLINK("#Liste_rouge!A"&amp;_xlfn.XMATCH("LC",Liste_rouge!A:A,2,1),"LC")</f>
        <v>LC</v>
      </c>
      <c r="V19576" s="7" t="str">
        <f>HYPERLINK("#Liste_rouge!A"&amp;_xlfn.XMATCH("LC",Liste_rouge!A:A,2,1),"LC")</f>
        <v>LC</v>
      </c>
      <c r="AH19576" s="4" t="str">
        <f>HYPERLINK("#Statut_biogéographique!A"&amp;_xlfn.XMATCH("P",Statut_biogéographique!A:A,2,1),"P")</f>
        <v>P</v>
      </c>
      <c r="AK19576" s="4" t="str">
        <f>HYPERLINK("#Réglementation!A"&amp;_xlfn.XMATCH("Ngib_ch_1",Réglementation!A:A,2,1),"Ngib_ch_1")</f>
        <v>Ngib_ch_1</v>
      </c>
      <c r="AM19576" s="4" t="s">
        <v>375</v>
      </c>
      <c r="AN19576" s="4" t="s">
        <v>375</v>
      </c>
      <c r="AO19576" s="4" t="s">
        <v>375</v>
      </c>
      <c r="AP19576" s="4" t="s">
        <v>376</v>
      </c>
      <c r="AR19576" s="4" t="s">
        <v>377</v>
      </c>
    </row>
    <row r="19577" spans="1:44">
      <c r="A19577" s="4" t="s">
        <v>117</v>
      </c>
      <c r="B19577" s="4">
        <v>4151</v>
      </c>
      <c r="D19577" s="5" t="s">
        <v>24092</v>
      </c>
      <c r="E19577" s="6" t="str">
        <f>HYPERLINK("https://inpn.mnhn.fr/espece/cd_nom/4151","Cettia cetti (Temminck, 1820)")</f>
        <v>Cettia cetti (Temminck, 1820)</v>
      </c>
      <c r="F19577" s="5" t="s">
        <v>24093</v>
      </c>
      <c r="I19577" s="4" t="str">
        <f>HYPERLINK("#Réglementation!A"&amp;_xlfn.XMATCH("IBE3",Réglementation!A:A,2,1),"IBE3")</f>
        <v>IBE3</v>
      </c>
      <c r="L19577" s="4" t="str">
        <f>HYPERLINK("#Réglementation!A"&amp;_xlfn.XMATCH("NO3",Réglementation!A:A,2,1),"NO3")</f>
        <v>NO3</v>
      </c>
      <c r="O19577" s="7" t="str">
        <f>HYPERLINK("#Liste_rouge!A"&amp;_xlfn.XMATCH("LC",Liste_rouge!A:A,2,1),"LC")</f>
        <v>LC</v>
      </c>
      <c r="P19577" s="7" t="str">
        <f>HYPERLINK("#Liste_rouge!A"&amp;_xlfn.XMATCH("LC",Liste_rouge!A:A,2,1),"LC")</f>
        <v>LC</v>
      </c>
      <c r="Q19577" s="7" t="str">
        <f>HYPERLINK("#Liste_rouge!A"&amp;_xlfn.XMATCH("NT",Liste_rouge!A:A,2,1),"NT")</f>
        <v>NT</v>
      </c>
      <c r="T19577" s="7" t="str">
        <f>HYPERLINK("#Liste_rouge!A"&amp;_xlfn.XMATCH("NA",Liste_rouge!A:A,2,1),"NA")</f>
        <v>NA</v>
      </c>
      <c r="U19577" s="4" t="str">
        <f>HYPERLINK("#Critères_liste_rouge!A$1","b")</f>
        <v>b</v>
      </c>
      <c r="V19577" s="7" t="str">
        <f>HYPERLINK("#Liste_rouge!A"&amp;_xlfn.XMATCH("RE",Liste_rouge!A:A,2,1),"RE")</f>
        <v>RE</v>
      </c>
      <c r="X19577" s="5" t="s">
        <v>374</v>
      </c>
      <c r="AH19577" s="4" t="str">
        <f>HYPERLINK("#Statut_biogéographique!A"&amp;_xlfn.XMATCH("P",Statut_biogéographique!A:A,2,1),"P")</f>
        <v>P</v>
      </c>
      <c r="AM19577" s="4" t="s">
        <v>375</v>
      </c>
      <c r="AN19577" s="4" t="s">
        <v>375</v>
      </c>
      <c r="AO19577" s="4" t="s">
        <v>375</v>
      </c>
      <c r="AP19577" s="4" t="s">
        <v>376</v>
      </c>
      <c r="AR19577" s="4" t="s">
        <v>377</v>
      </c>
    </row>
    <row r="19578" spans="1:44">
      <c r="A19578" s="4" t="s">
        <v>117</v>
      </c>
      <c r="B19578" s="4">
        <v>4155</v>
      </c>
      <c r="D19578" s="5" t="s">
        <v>24094</v>
      </c>
      <c r="E19578" s="6" t="str">
        <f>HYPERLINK("https://inpn.mnhn.fr/espece/cd_nom/4155","Cisticola juncidis (Rafinesque, 1810)")</f>
        <v>Cisticola juncidis (Rafinesque, 1810)</v>
      </c>
      <c r="F19578" s="5" t="s">
        <v>24095</v>
      </c>
      <c r="I19578" s="4" t="str">
        <f>HYPERLINK("#Réglementation!A"&amp;_xlfn.XMATCH("IBE3",Réglementation!A:A,2,1),"IBE3")</f>
        <v>IBE3</v>
      </c>
      <c r="L19578" s="4" t="str">
        <f>HYPERLINK("#Réglementation!A"&amp;_xlfn.XMATCH("NO3",Réglementation!A:A,2,1),"NO3")</f>
        <v>NO3</v>
      </c>
      <c r="O19578" s="7" t="str">
        <f>HYPERLINK("#Liste_rouge!A"&amp;_xlfn.XMATCH("LC",Liste_rouge!A:A,2,1),"LC")</f>
        <v>LC</v>
      </c>
      <c r="P19578" s="7" t="str">
        <f>HYPERLINK("#Liste_rouge!A"&amp;_xlfn.XMATCH("LC",Liste_rouge!A:A,2,1),"LC")</f>
        <v>LC</v>
      </c>
      <c r="Q19578" s="7" t="str">
        <f>HYPERLINK("#Liste_rouge!A"&amp;_xlfn.XMATCH("VU",Liste_rouge!A:A,2,1),"VU")</f>
        <v>VU</v>
      </c>
      <c r="T19578" s="7" t="str">
        <f>HYPERLINK("#Liste_rouge!A"&amp;_xlfn.XMATCH("LC",Liste_rouge!A:A,2,1),"LC")</f>
        <v>LC</v>
      </c>
      <c r="V19578" s="7" t="str">
        <f>HYPERLINK("#Liste_rouge!A"&amp;_xlfn.XMATCH("NA",Liste_rouge!A:A,2,1),"NA")</f>
        <v>NA</v>
      </c>
      <c r="W19578" s="4" t="str">
        <f>HYPERLINK("#Critères_liste_rouge!A$1","b1")</f>
        <v>b1</v>
      </c>
      <c r="X19578" s="5" t="s">
        <v>374</v>
      </c>
      <c r="AH19578" s="4" t="str">
        <f>HYPERLINK("#Statut_biogéographique!A"&amp;_xlfn.XMATCH("P",Statut_biogéographique!A:A,2,1),"P")</f>
        <v>P</v>
      </c>
      <c r="AM19578" s="4" t="s">
        <v>375</v>
      </c>
      <c r="AN19578" s="4" t="s">
        <v>375</v>
      </c>
      <c r="AO19578" s="4" t="s">
        <v>375</v>
      </c>
      <c r="AP19578" s="4" t="s">
        <v>376</v>
      </c>
      <c r="AR19578" s="4" t="s">
        <v>377</v>
      </c>
    </row>
    <row r="19579" spans="1:44">
      <c r="A19579" s="4" t="s">
        <v>117</v>
      </c>
      <c r="B19579" s="4">
        <v>4167</v>
      </c>
      <c r="D19579" s="5" t="s">
        <v>24096</v>
      </c>
      <c r="E19579" s="6" t="str">
        <f>HYPERLINK("https://inpn.mnhn.fr/espece/cd_nom/4167","Locustella naevia (Boddaert, 1783)")</f>
        <v>Locustella naevia (Boddaert, 1783)</v>
      </c>
      <c r="F19579" s="5" t="s">
        <v>24097</v>
      </c>
      <c r="I19579" s="4" t="str">
        <f>HYPERLINK("#Réglementation!A"&amp;_xlfn.XMATCH("IBE3",Réglementation!A:A,2,1),"IBE3")</f>
        <v>IBE3</v>
      </c>
      <c r="L19579" s="4" t="str">
        <f>HYPERLINK("#Réglementation!A"&amp;_xlfn.XMATCH("NO3",Réglementation!A:A,2,1),"NO3")</f>
        <v>NO3</v>
      </c>
      <c r="O19579" s="7" t="str">
        <f>HYPERLINK("#Liste_rouge!A"&amp;_xlfn.XMATCH("LC",Liste_rouge!A:A,2,1),"LC")</f>
        <v>LC</v>
      </c>
      <c r="P19579" s="7" t="str">
        <f>HYPERLINK("#Liste_rouge!A"&amp;_xlfn.XMATCH("LC",Liste_rouge!A:A,2,1),"LC")</f>
        <v>LC</v>
      </c>
      <c r="Q19579" s="7" t="str">
        <f>HYPERLINK("#Liste_rouge!A"&amp;_xlfn.XMATCH("NT",Liste_rouge!A:A,2,1),"NT")</f>
        <v>NT</v>
      </c>
      <c r="S19579" s="7" t="str">
        <f>HYPERLINK("#Liste_rouge!A"&amp;_xlfn.XMATCH("NA",Liste_rouge!A:A,2,1),"NA")</f>
        <v>NA</v>
      </c>
      <c r="T19579" s="7" t="str">
        <f>HYPERLINK("#Liste_rouge!A"&amp;_xlfn.XMATCH("DD",Liste_rouge!A:A,2,1),"DD")</f>
        <v>DD</v>
      </c>
      <c r="V19579" s="7" t="str">
        <f>HYPERLINK("#Liste_rouge!A"&amp;_xlfn.XMATCH("VU",Liste_rouge!A:A,2,1),"VU")</f>
        <v>VU</v>
      </c>
      <c r="W19579" s="4" t="str">
        <f>HYPERLINK("#Critères_liste_rouge!A$1","A2b")</f>
        <v>A2b</v>
      </c>
      <c r="X19579" s="5" t="s">
        <v>374</v>
      </c>
      <c r="AH19579" s="4" t="str">
        <f>HYPERLINK("#Statut_biogéographique!A"&amp;_xlfn.XMATCH("P",Statut_biogéographique!A:A,2,1),"P")</f>
        <v>P</v>
      </c>
      <c r="AM19579" s="4" t="s">
        <v>375</v>
      </c>
      <c r="AN19579" s="4" t="s">
        <v>375</v>
      </c>
      <c r="AO19579" s="4" t="s">
        <v>375</v>
      </c>
      <c r="AP19579" s="4" t="s">
        <v>376</v>
      </c>
      <c r="AR19579" s="4" t="s">
        <v>377</v>
      </c>
    </row>
    <row r="19580" spans="1:44">
      <c r="A19580" s="4" t="s">
        <v>117</v>
      </c>
      <c r="B19580" s="4">
        <v>4170</v>
      </c>
      <c r="D19580" s="5" t="s">
        <v>24098</v>
      </c>
      <c r="E19580" s="6" t="str">
        <f>HYPERLINK("https://inpn.mnhn.fr/espece/cd_nom/4170","Locustella fluviatilis (Wolf, 1810)")</f>
        <v>Locustella fluviatilis (Wolf, 1810)</v>
      </c>
      <c r="F19580" s="5" t="s">
        <v>24099</v>
      </c>
      <c r="I19580" s="4" t="str">
        <f>HYPERLINK("#Réglementation!A"&amp;_xlfn.XMATCH("IBE3",Réglementation!A:A,2,1),"IBE3")</f>
        <v>IBE3</v>
      </c>
      <c r="L19580" s="4" t="str">
        <f>HYPERLINK("#Réglementation!A"&amp;_xlfn.XMATCH("NO4",Réglementation!A:A,2,1),"NO4")</f>
        <v>NO4</v>
      </c>
      <c r="O19580" s="7" t="str">
        <f>HYPERLINK("#Liste_rouge!A"&amp;_xlfn.XMATCH("LC",Liste_rouge!A:A,2,1),"LC")</f>
        <v>LC</v>
      </c>
      <c r="P19580" s="7" t="str">
        <f>HYPERLINK("#Liste_rouge!A"&amp;_xlfn.XMATCH("LC",Liste_rouge!A:A,2,1),"LC")</f>
        <v>LC</v>
      </c>
      <c r="S19580" s="7" t="str">
        <f>HYPERLINK("#Liste_rouge!A"&amp;_xlfn.XMATCH("NA",Liste_rouge!A:A,2,1),"NA")</f>
        <v>NA</v>
      </c>
      <c r="AH19580" s="4" t="str">
        <f>HYPERLINK("#Statut_biogéographique!A"&amp;_xlfn.XMATCH("B",Statut_biogéographique!A:A,2,1),"B")</f>
        <v>B</v>
      </c>
      <c r="AM19580" s="4" t="s">
        <v>375</v>
      </c>
      <c r="AN19580" s="4" t="s">
        <v>375</v>
      </c>
      <c r="AO19580" s="4" t="s">
        <v>375</v>
      </c>
      <c r="AP19580" s="4" t="s">
        <v>376</v>
      </c>
      <c r="AR19580" s="4" t="s">
        <v>377</v>
      </c>
    </row>
    <row r="19581" spans="1:44">
      <c r="A19581" s="4" t="s">
        <v>117</v>
      </c>
      <c r="B19581" s="4">
        <v>4172</v>
      </c>
      <c r="D19581" s="5" t="s">
        <v>24100</v>
      </c>
      <c r="E19581" s="6" t="str">
        <f>HYPERLINK("https://inpn.mnhn.fr/espece/cd_nom/4172","Locustella luscinioides (Savi, 1824)")</f>
        <v>Locustella luscinioides (Savi, 1824)</v>
      </c>
      <c r="F19581" s="5" t="s">
        <v>24101</v>
      </c>
      <c r="I19581" s="4" t="str">
        <f>HYPERLINK("#Réglementation!A"&amp;_xlfn.XMATCH("IBE3",Réglementation!A:A,2,1),"IBE3")</f>
        <v>IBE3</v>
      </c>
      <c r="L19581" s="4" t="str">
        <f>HYPERLINK("#Réglementation!A"&amp;_xlfn.XMATCH("NO3",Réglementation!A:A,2,1),"NO3")</f>
        <v>NO3</v>
      </c>
      <c r="O19581" s="7" t="str">
        <f>HYPERLINK("#Liste_rouge!A"&amp;_xlfn.XMATCH("LC",Liste_rouge!A:A,2,1),"LC")</f>
        <v>LC</v>
      </c>
      <c r="P19581" s="7" t="str">
        <f>HYPERLINK("#Liste_rouge!A"&amp;_xlfn.XMATCH("LC",Liste_rouge!A:A,2,1),"LC")</f>
        <v>LC</v>
      </c>
      <c r="Q19581" s="7" t="str">
        <f>HYPERLINK("#Liste_rouge!A"&amp;_xlfn.XMATCH("EN",Liste_rouge!A:A,2,1),"EN")</f>
        <v>EN</v>
      </c>
      <c r="S19581" s="7" t="str">
        <f>HYPERLINK("#Liste_rouge!A"&amp;_xlfn.XMATCH("NA",Liste_rouge!A:A,2,1),"NA")</f>
        <v>NA</v>
      </c>
      <c r="T19581" s="7" t="str">
        <f>HYPERLINK("#Liste_rouge!A"&amp;_xlfn.XMATCH("EN",Liste_rouge!A:A,2,1),"EN")</f>
        <v>EN</v>
      </c>
      <c r="V19581" s="7" t="str">
        <f>HYPERLINK("#Liste_rouge!A"&amp;_xlfn.XMATCH("CR",Liste_rouge!A:A,2,1),"CR")</f>
        <v>CR</v>
      </c>
      <c r="W19581" s="4" t="str">
        <f>HYPERLINK("#Critères_liste_rouge!A$1","D1")</f>
        <v>D1</v>
      </c>
      <c r="X19581" s="5" t="s">
        <v>374</v>
      </c>
      <c r="AE19581" s="4" t="str">
        <f>HYPERLINK("#SCAP!A"&amp;_xlfn.XMATCH("1-",SCAP!A:A,2,1),"1-")</f>
        <v>1-</v>
      </c>
      <c r="AF19581" s="4" t="str">
        <f>HYPERLINK("#SCAP!A"&amp;_xlfn.XMATCH("1-",SCAP!A:A,2,1),"1-")</f>
        <v>1-</v>
      </c>
      <c r="AG19581" s="4" t="str">
        <f>HYPERLINK("#SCAP!A"&amp;_xlfn.XMATCH("1-",SCAP!A:A,2,1),"1-")</f>
        <v>1-</v>
      </c>
      <c r="AH19581" s="4" t="str">
        <f>HYPERLINK("#Statut_biogéographique!A"&amp;_xlfn.XMATCH("P",Statut_biogéographique!A:A,2,1),"P")</f>
        <v>P</v>
      </c>
      <c r="AM19581" s="4" t="s">
        <v>375</v>
      </c>
      <c r="AN19581" s="4" t="s">
        <v>375</v>
      </c>
      <c r="AO19581" s="4" t="s">
        <v>375</v>
      </c>
      <c r="AP19581" s="4" t="s">
        <v>389</v>
      </c>
      <c r="AR19581" s="4" t="s">
        <v>377</v>
      </c>
    </row>
    <row r="19582" spans="1:44" ht="30">
      <c r="A19582" s="4" t="s">
        <v>117</v>
      </c>
      <c r="B19582" s="4">
        <v>4180</v>
      </c>
      <c r="D19582" s="5" t="s">
        <v>24102</v>
      </c>
      <c r="E19582" s="6" t="str">
        <f>HYPERLINK("https://inpn.mnhn.fr/espece/cd_nom/4180","Acrocephalus melanopogon (Temminck, 1823)")</f>
        <v>Acrocephalus melanopogon (Temminck, 1823)</v>
      </c>
      <c r="F19582" s="5" t="s">
        <v>24103</v>
      </c>
      <c r="I19582" s="4" t="str">
        <f>HYPERLINK("#Réglementation!A"&amp;_xlfn.XMATCH("IBE3",Réglementation!A:A,2,1),"IBE3")</f>
        <v>IBE3</v>
      </c>
      <c r="J19582" s="4" t="str">
        <f>HYPERLINK("#Réglementation!A"&amp;_xlfn.XMATCH("CDO1",Réglementation!A:A,2,1),"CDO1")</f>
        <v>CDO1</v>
      </c>
      <c r="L19582" s="4" t="str">
        <f>HYPERLINK("#Réglementation!A"&amp;_xlfn.XMATCH("NO3",Réglementation!A:A,2,1),"NO3")</f>
        <v>NO3</v>
      </c>
      <c r="O19582" s="7" t="str">
        <f>HYPERLINK("#Liste_rouge!A"&amp;_xlfn.XMATCH("LC",Liste_rouge!A:A,2,1),"LC")</f>
        <v>LC</v>
      </c>
      <c r="P19582" s="7" t="str">
        <f>HYPERLINK("#Liste_rouge!A"&amp;_xlfn.XMATCH("LC",Liste_rouge!A:A,2,1),"LC")</f>
        <v>LC</v>
      </c>
      <c r="Q19582" s="7" t="str">
        <f>HYPERLINK("#Liste_rouge!A"&amp;_xlfn.XMATCH("EN",Liste_rouge!A:A,2,1),"EN")</f>
        <v>EN</v>
      </c>
      <c r="AE19582" s="4" t="str">
        <f>HYPERLINK("#SCAP!A"&amp;_xlfn.XMATCH("2+",SCAP!A:A,2,1),"2+")</f>
        <v>2+</v>
      </c>
      <c r="AH19582" s="4" t="str">
        <f>HYPERLINK("#Statut_biogéographique!A"&amp;_xlfn.XMATCH("P",Statut_biogéographique!A:A,2,1),"P")</f>
        <v>P</v>
      </c>
      <c r="AM19582" s="4" t="s">
        <v>375</v>
      </c>
      <c r="AN19582" s="4" t="s">
        <v>375</v>
      </c>
      <c r="AO19582" s="4" t="s">
        <v>375</v>
      </c>
      <c r="AP19582" s="4" t="s">
        <v>389</v>
      </c>
      <c r="AR19582" s="4" t="s">
        <v>377</v>
      </c>
    </row>
    <row r="19583" spans="1:44">
      <c r="A19583" s="4" t="s">
        <v>117</v>
      </c>
      <c r="B19583" s="4">
        <v>4184</v>
      </c>
      <c r="D19583" s="5" t="s">
        <v>24104</v>
      </c>
      <c r="E19583" s="6" t="str">
        <f>HYPERLINK("https://inpn.mnhn.fr/espece/cd_nom/4184","Acrocephalus paludicola (Vieillot, 1817)")</f>
        <v>Acrocephalus paludicola (Vieillot, 1817)</v>
      </c>
      <c r="F19583" s="5" t="s">
        <v>24105</v>
      </c>
      <c r="H19583" s="4" t="str">
        <f>HYPERLINK("#Réglementation!A"&amp;_xlfn.XMATCH("IBO1",Réglementation!A:A,2,1),"IBO1 - IBOAW")</f>
        <v>IBO1 - IBOAW</v>
      </c>
      <c r="I19583" s="4" t="str">
        <f>HYPERLINK("#Réglementation!A"&amp;_xlfn.XMATCH("IBE3",Réglementation!A:A,2,1),"IBE3")</f>
        <v>IBE3</v>
      </c>
      <c r="J19583" s="4" t="str">
        <f>HYPERLINK("#Réglementation!A"&amp;_xlfn.XMATCH("CDO1",Réglementation!A:A,2,1),"CDO1")</f>
        <v>CDO1</v>
      </c>
      <c r="L19583" s="4" t="str">
        <f>HYPERLINK("#Réglementation!A"&amp;_xlfn.XMATCH("NO3",Réglementation!A:A,2,1),"NO3 - NM")</f>
        <v>NO3 - NM</v>
      </c>
      <c r="O19583" s="7" t="str">
        <f>HYPERLINK("#Liste_rouge!A"&amp;_xlfn.XMATCH("VU",Liste_rouge!A:A,2,1),"VU")</f>
        <v>VU</v>
      </c>
      <c r="P19583" s="7" t="str">
        <f>HYPERLINK("#Liste_rouge!A"&amp;_xlfn.XMATCH("VU",Liste_rouge!A:A,2,1),"VU")</f>
        <v>VU</v>
      </c>
      <c r="S19583" s="7" t="str">
        <f>HYPERLINK("#Liste_rouge!A"&amp;_xlfn.XMATCH("VU",Liste_rouge!A:A,2,1),"VU")</f>
        <v>VU</v>
      </c>
      <c r="AE19583" s="4" t="str">
        <f>HYPERLINK("#SCAP!A"&amp;_xlfn.XMATCH("2+",SCAP!A:A,2,1),"2+")</f>
        <v>2+</v>
      </c>
      <c r="AH19583" s="4" t="str">
        <f>HYPERLINK("#Statut_biogéographique!A"&amp;_xlfn.XMATCH("P",Statut_biogéographique!A:A,2,1),"P")</f>
        <v>P</v>
      </c>
      <c r="AI19583" s="8" t="s">
        <v>24106</v>
      </c>
      <c r="AJ19583" s="4" t="s">
        <v>24107</v>
      </c>
      <c r="AM19583" s="4" t="s">
        <v>375</v>
      </c>
      <c r="AN19583" s="4" t="s">
        <v>375</v>
      </c>
      <c r="AO19583" s="4" t="s">
        <v>375</v>
      </c>
      <c r="AP19583" s="4" t="s">
        <v>376</v>
      </c>
      <c r="AQ19583" s="4" t="s">
        <v>377</v>
      </c>
      <c r="AR19583" s="4" t="s">
        <v>377</v>
      </c>
    </row>
    <row r="19584" spans="1:44" ht="30">
      <c r="A19584" s="4" t="s">
        <v>117</v>
      </c>
      <c r="B19584" s="4">
        <v>4187</v>
      </c>
      <c r="D19584" s="5" t="s">
        <v>24108</v>
      </c>
      <c r="E19584" s="6" t="str">
        <f>HYPERLINK("https://inpn.mnhn.fr/espece/cd_nom/4187","Acrocephalus schoenobaenus (Linnaeus, 1758)")</f>
        <v>Acrocephalus schoenobaenus (Linnaeus, 1758)</v>
      </c>
      <c r="F19584" s="5" t="s">
        <v>24109</v>
      </c>
      <c r="I19584" s="4" t="str">
        <f>HYPERLINK("#Réglementation!A"&amp;_xlfn.XMATCH("IBE3",Réglementation!A:A,2,1),"IBE3")</f>
        <v>IBE3</v>
      </c>
      <c r="L19584" s="4" t="str">
        <f>HYPERLINK("#Réglementation!A"&amp;_xlfn.XMATCH("NO3",Réglementation!A:A,2,1),"NO3")</f>
        <v>NO3</v>
      </c>
      <c r="O19584" s="7" t="str">
        <f>HYPERLINK("#Liste_rouge!A"&amp;_xlfn.XMATCH("LC",Liste_rouge!A:A,2,1),"LC")</f>
        <v>LC</v>
      </c>
      <c r="P19584" s="7" t="str">
        <f>HYPERLINK("#Liste_rouge!A"&amp;_xlfn.XMATCH("LC",Liste_rouge!A:A,2,1),"LC")</f>
        <v>LC</v>
      </c>
      <c r="Q19584" s="7" t="str">
        <f>HYPERLINK("#Liste_rouge!A"&amp;_xlfn.XMATCH("LC",Liste_rouge!A:A,2,1),"LC")</f>
        <v>LC</v>
      </c>
      <c r="S19584" s="7" t="str">
        <f>HYPERLINK("#Liste_rouge!A"&amp;_xlfn.XMATCH("DD",Liste_rouge!A:A,2,1),"DD")</f>
        <v>DD</v>
      </c>
      <c r="T19584" s="7" t="str">
        <f>HYPERLINK("#Liste_rouge!A"&amp;_xlfn.XMATCH("EN",Liste_rouge!A:A,2,1),"EN")</f>
        <v>EN</v>
      </c>
      <c r="U19584" s="4" t="str">
        <f>HYPERLINK("#Critères_liste_rouge!A$1","D1")</f>
        <v>D1</v>
      </c>
      <c r="V19584" s="7" t="str">
        <f>HYPERLINK("#Liste_rouge!A"&amp;_xlfn.XMATCH("EN",Liste_rouge!A:A,2,1),"EN")</f>
        <v>EN</v>
      </c>
      <c r="W19584" s="4" t="str">
        <f>HYPERLINK("#Critères_liste_rouge!A$1","D1")</f>
        <v>D1</v>
      </c>
      <c r="X19584" s="5" t="s">
        <v>374</v>
      </c>
      <c r="AH19584" s="4" t="str">
        <f>HYPERLINK("#Statut_biogéographique!A"&amp;_xlfn.XMATCH("P",Statut_biogéographique!A:A,2,1),"P")</f>
        <v>P</v>
      </c>
      <c r="AM19584" s="4" t="s">
        <v>375</v>
      </c>
      <c r="AN19584" s="4" t="s">
        <v>375</v>
      </c>
      <c r="AO19584" s="4" t="s">
        <v>375</v>
      </c>
      <c r="AP19584" s="4" t="s">
        <v>376</v>
      </c>
      <c r="AR19584" s="4" t="s">
        <v>377</v>
      </c>
    </row>
    <row r="19585" spans="1:44">
      <c r="A19585" s="4" t="s">
        <v>117</v>
      </c>
      <c r="B19585" s="4">
        <v>4190</v>
      </c>
      <c r="D19585" s="5">
        <v>4190</v>
      </c>
      <c r="E19585" s="6" t="str">
        <f>HYPERLINK("https://inpn.mnhn.fr/espece/cd_nom/4190","Acrocephalus dumetorum Blyth, 1849")</f>
        <v>Acrocephalus dumetorum Blyth, 1849</v>
      </c>
      <c r="F19585" s="5" t="s">
        <v>24110</v>
      </c>
      <c r="I19585" s="4" t="str">
        <f>HYPERLINK("#Réglementation!A"&amp;_xlfn.XMATCH("IBE3",Réglementation!A:A,2,1),"IBE3")</f>
        <v>IBE3</v>
      </c>
      <c r="L19585" s="4" t="str">
        <f>HYPERLINK("#Réglementation!A"&amp;_xlfn.XMATCH("NO4",Réglementation!A:A,2,1),"NO4")</f>
        <v>NO4</v>
      </c>
      <c r="O19585" s="7" t="str">
        <f>HYPERLINK("#Liste_rouge!A"&amp;_xlfn.XMATCH("LC",Liste_rouge!A:A,2,1),"LC")</f>
        <v>LC</v>
      </c>
      <c r="P19585" s="7" t="str">
        <f>HYPERLINK("#Liste_rouge!A"&amp;_xlfn.XMATCH("LC",Liste_rouge!A:A,2,1),"LC")</f>
        <v>LC</v>
      </c>
      <c r="S19585" s="7" t="str">
        <f>HYPERLINK("#Liste_rouge!A"&amp;_xlfn.XMATCH("NA",Liste_rouge!A:A,2,1),"NA")</f>
        <v>NA</v>
      </c>
      <c r="AH19585" s="4" t="str">
        <f>HYPERLINK("#Statut_biogéographique!A"&amp;_xlfn.XMATCH("B",Statut_biogéographique!A:A,2,1),"B")</f>
        <v>B</v>
      </c>
      <c r="AM19585" s="4" t="s">
        <v>375</v>
      </c>
      <c r="AN19585" s="4" t="s">
        <v>375</v>
      </c>
      <c r="AO19585" s="4" t="s">
        <v>375</v>
      </c>
      <c r="AP19585" s="4" t="s">
        <v>376</v>
      </c>
      <c r="AR19585" s="4" t="s">
        <v>377</v>
      </c>
    </row>
    <row r="19586" spans="1:44">
      <c r="A19586" s="4" t="s">
        <v>117</v>
      </c>
      <c r="B19586" s="4">
        <v>4192</v>
      </c>
      <c r="D19586" s="5" t="s">
        <v>24111</v>
      </c>
      <c r="E19586" s="6" t="str">
        <f>HYPERLINK("https://inpn.mnhn.fr/espece/cd_nom/4192","Acrocephalus palustris (Bechstein, 1798)")</f>
        <v>Acrocephalus palustris (Bechstein, 1798)</v>
      </c>
      <c r="F19586" s="5" t="s">
        <v>24112</v>
      </c>
      <c r="I19586" s="4" t="str">
        <f>HYPERLINK("#Réglementation!A"&amp;_xlfn.XMATCH("IBE3",Réglementation!A:A,2,1),"IBE3")</f>
        <v>IBE3</v>
      </c>
      <c r="L19586" s="4" t="str">
        <f>HYPERLINK("#Réglementation!A"&amp;_xlfn.XMATCH("NO3",Réglementation!A:A,2,1),"NO3")</f>
        <v>NO3</v>
      </c>
      <c r="O19586" s="7" t="str">
        <f>HYPERLINK("#Liste_rouge!A"&amp;_xlfn.XMATCH("LC",Liste_rouge!A:A,2,1),"LC")</f>
        <v>LC</v>
      </c>
      <c r="P19586" s="7" t="str">
        <f>HYPERLINK("#Liste_rouge!A"&amp;_xlfn.XMATCH("LC",Liste_rouge!A:A,2,1),"LC")</f>
        <v>LC</v>
      </c>
      <c r="Q19586" s="7" t="str">
        <f>HYPERLINK("#Liste_rouge!A"&amp;_xlfn.XMATCH("LC",Liste_rouge!A:A,2,1),"LC")</f>
        <v>LC</v>
      </c>
      <c r="S19586" s="7" t="str">
        <f>HYPERLINK("#Liste_rouge!A"&amp;_xlfn.XMATCH("NA",Liste_rouge!A:A,2,1),"NA")</f>
        <v>NA</v>
      </c>
      <c r="T19586" s="7" t="str">
        <f>HYPERLINK("#Liste_rouge!A"&amp;_xlfn.XMATCH("CR",Liste_rouge!A:A,2,1),"CR")</f>
        <v>CR</v>
      </c>
      <c r="U19586" s="4" t="str">
        <f>HYPERLINK("#Critères_liste_rouge!A$1","D1")</f>
        <v>D1</v>
      </c>
      <c r="V19586" s="7" t="str">
        <f>HYPERLINK("#Liste_rouge!A"&amp;_xlfn.XMATCH("LC",Liste_rouge!A:A,2,1),"LC")</f>
        <v>LC</v>
      </c>
      <c r="X19586" s="5" t="s">
        <v>374</v>
      </c>
      <c r="AH19586" s="4" t="str">
        <f>HYPERLINK("#Statut_biogéographique!A"&amp;_xlfn.XMATCH("P",Statut_biogéographique!A:A,2,1),"P")</f>
        <v>P</v>
      </c>
      <c r="AM19586" s="4" t="s">
        <v>375</v>
      </c>
      <c r="AN19586" s="4" t="s">
        <v>375</v>
      </c>
      <c r="AO19586" s="4" t="s">
        <v>375</v>
      </c>
      <c r="AP19586" s="4" t="s">
        <v>376</v>
      </c>
      <c r="AR19586" s="4" t="s">
        <v>377</v>
      </c>
    </row>
    <row r="19587" spans="1:44">
      <c r="A19587" s="4" t="s">
        <v>117</v>
      </c>
      <c r="B19587" s="4">
        <v>4195</v>
      </c>
      <c r="D19587" s="5" t="s">
        <v>24113</v>
      </c>
      <c r="E19587" s="6" t="str">
        <f>HYPERLINK("https://inpn.mnhn.fr/espece/cd_nom/4195","Acrocephalus scirpaceus (Hermann, 1804)")</f>
        <v>Acrocephalus scirpaceus (Hermann, 1804)</v>
      </c>
      <c r="F19587" s="5" t="s">
        <v>24114</v>
      </c>
      <c r="I19587" s="4" t="str">
        <f>HYPERLINK("#Réglementation!A"&amp;_xlfn.XMATCH("IBE3",Réglementation!A:A,2,1),"IBE3")</f>
        <v>IBE3</v>
      </c>
      <c r="L19587" s="4" t="str">
        <f>HYPERLINK("#Réglementation!A"&amp;_xlfn.XMATCH("NO3",Réglementation!A:A,2,1),"NO3")</f>
        <v>NO3</v>
      </c>
      <c r="O19587" s="7" t="str">
        <f>HYPERLINK("#Liste_rouge!A"&amp;_xlfn.XMATCH("LC",Liste_rouge!A:A,2,1),"LC")</f>
        <v>LC</v>
      </c>
      <c r="P19587" s="7" t="str">
        <f>HYPERLINK("#Liste_rouge!A"&amp;_xlfn.XMATCH("LC",Liste_rouge!A:A,2,1),"LC")</f>
        <v>LC</v>
      </c>
      <c r="Q19587" s="7" t="str">
        <f>HYPERLINK("#Liste_rouge!A"&amp;_xlfn.XMATCH("LC",Liste_rouge!A:A,2,1),"LC")</f>
        <v>LC</v>
      </c>
      <c r="S19587" s="7" t="str">
        <f>HYPERLINK("#Liste_rouge!A"&amp;_xlfn.XMATCH("NA",Liste_rouge!A:A,2,1),"NA")</f>
        <v>NA</v>
      </c>
      <c r="T19587" s="7" t="str">
        <f>HYPERLINK("#Liste_rouge!A"&amp;_xlfn.XMATCH("LC",Liste_rouge!A:A,2,1),"LC")</f>
        <v>LC</v>
      </c>
      <c r="V19587" s="7" t="str">
        <f>HYPERLINK("#Liste_rouge!A"&amp;_xlfn.XMATCH("LC",Liste_rouge!A:A,2,1),"LC")</f>
        <v>LC</v>
      </c>
      <c r="AH19587" s="4" t="str">
        <f>HYPERLINK("#Statut_biogéographique!A"&amp;_xlfn.XMATCH("P",Statut_biogéographique!A:A,2,1),"P")</f>
        <v>P</v>
      </c>
      <c r="AM19587" s="4" t="s">
        <v>375</v>
      </c>
      <c r="AN19587" s="4" t="s">
        <v>375</v>
      </c>
      <c r="AO19587" s="4" t="s">
        <v>375</v>
      </c>
      <c r="AP19587" s="4" t="s">
        <v>376</v>
      </c>
      <c r="AR19587" s="4" t="s">
        <v>377</v>
      </c>
    </row>
    <row r="19588" spans="1:44">
      <c r="A19588" s="4" t="s">
        <v>117</v>
      </c>
      <c r="B19588" s="4">
        <v>4198</v>
      </c>
      <c r="D19588" s="5" t="s">
        <v>24115</v>
      </c>
      <c r="E19588" s="6" t="str">
        <f>HYPERLINK("https://inpn.mnhn.fr/espece/cd_nom/4198","Acrocephalus arundinaceus (Linnaeus, 1758)")</f>
        <v>Acrocephalus arundinaceus (Linnaeus, 1758)</v>
      </c>
      <c r="F19588" s="5" t="s">
        <v>24116</v>
      </c>
      <c r="I19588" s="4" t="str">
        <f>HYPERLINK("#Réglementation!A"&amp;_xlfn.XMATCH("IBE3",Réglementation!A:A,2,1),"IBE3")</f>
        <v>IBE3</v>
      </c>
      <c r="L19588" s="4" t="str">
        <f>HYPERLINK("#Réglementation!A"&amp;_xlfn.XMATCH("NO3",Réglementation!A:A,2,1),"NO3")</f>
        <v>NO3</v>
      </c>
      <c r="O19588" s="7" t="str">
        <f>HYPERLINK("#Liste_rouge!A"&amp;_xlfn.XMATCH("LC",Liste_rouge!A:A,2,1),"LC")</f>
        <v>LC</v>
      </c>
      <c r="P19588" s="7" t="str">
        <f>HYPERLINK("#Liste_rouge!A"&amp;_xlfn.XMATCH("LC",Liste_rouge!A:A,2,1),"LC")</f>
        <v>LC</v>
      </c>
      <c r="Q19588" s="7" t="str">
        <f>HYPERLINK("#Liste_rouge!A"&amp;_xlfn.XMATCH("VU",Liste_rouge!A:A,2,1),"VU")</f>
        <v>VU</v>
      </c>
      <c r="S19588" s="7" t="str">
        <f>HYPERLINK("#Liste_rouge!A"&amp;_xlfn.XMATCH("NA",Liste_rouge!A:A,2,1),"NA")</f>
        <v>NA</v>
      </c>
      <c r="T19588" s="7" t="str">
        <f>HYPERLINK("#Liste_rouge!A"&amp;_xlfn.XMATCH("VU",Liste_rouge!A:A,2,1),"VU")</f>
        <v>VU</v>
      </c>
      <c r="U19588" s="4" t="str">
        <f>HYPERLINK("#Critères_liste_rouge!A$1","D1")</f>
        <v>D1</v>
      </c>
      <c r="V19588" s="7" t="str">
        <f>HYPERLINK("#Liste_rouge!A"&amp;_xlfn.XMATCH("EN",Liste_rouge!A:A,2,1),"EN")</f>
        <v>EN</v>
      </c>
      <c r="W19588" s="4" t="str">
        <f>HYPERLINK("#Critères_liste_rouge!A$1","D1")</f>
        <v>D1</v>
      </c>
      <c r="X19588" s="5" t="s">
        <v>374</v>
      </c>
      <c r="AH19588" s="4" t="str">
        <f>HYPERLINK("#Statut_biogéographique!A"&amp;_xlfn.XMATCH("P",Statut_biogéographique!A:A,2,1),"P")</f>
        <v>P</v>
      </c>
      <c r="AM19588" s="4" t="s">
        <v>375</v>
      </c>
      <c r="AN19588" s="4" t="s">
        <v>375</v>
      </c>
      <c r="AO19588" s="4" t="s">
        <v>375</v>
      </c>
      <c r="AP19588" s="4" t="s">
        <v>389</v>
      </c>
      <c r="AR19588" s="4" t="s">
        <v>377</v>
      </c>
    </row>
    <row r="19589" spans="1:44">
      <c r="A19589" s="4" t="s">
        <v>117</v>
      </c>
      <c r="B19589" s="4">
        <v>4212</v>
      </c>
      <c r="D19589" s="5" t="s">
        <v>24117</v>
      </c>
      <c r="E19589" s="6" t="str">
        <f>HYPERLINK("https://inpn.mnhn.fr/espece/cd_nom/4212","Hippolais icterina (Vieillot, 1817)")</f>
        <v>Hippolais icterina (Vieillot, 1817)</v>
      </c>
      <c r="F19589" s="5" t="s">
        <v>24118</v>
      </c>
      <c r="I19589" s="4" t="str">
        <f>HYPERLINK("#Réglementation!A"&amp;_xlfn.XMATCH("IBE3",Réglementation!A:A,2,1),"IBE3")</f>
        <v>IBE3</v>
      </c>
      <c r="L19589" s="4" t="str">
        <f>HYPERLINK("#Réglementation!A"&amp;_xlfn.XMATCH("NO3",Réglementation!A:A,2,1),"NO3")</f>
        <v>NO3</v>
      </c>
      <c r="O19589" s="7" t="str">
        <f>HYPERLINK("#Liste_rouge!A"&amp;_xlfn.XMATCH("LC",Liste_rouge!A:A,2,1),"LC")</f>
        <v>LC</v>
      </c>
      <c r="P19589" s="7" t="str">
        <f>HYPERLINK("#Liste_rouge!A"&amp;_xlfn.XMATCH("LC",Liste_rouge!A:A,2,1),"LC")</f>
        <v>LC</v>
      </c>
      <c r="Q19589" s="7" t="str">
        <f>HYPERLINK("#Liste_rouge!A"&amp;_xlfn.XMATCH("VU",Liste_rouge!A:A,2,1),"VU")</f>
        <v>VU</v>
      </c>
      <c r="S19589" s="7" t="str">
        <f>HYPERLINK("#Liste_rouge!A"&amp;_xlfn.XMATCH("NA",Liste_rouge!A:A,2,1),"NA")</f>
        <v>NA</v>
      </c>
      <c r="T19589" s="7" t="str">
        <f>HYPERLINK("#Liste_rouge!A"&amp;_xlfn.XMATCH("VU",Liste_rouge!A:A,2,1),"VU")</f>
        <v>VU</v>
      </c>
      <c r="V19589" s="7" t="str">
        <f>HYPERLINK("#Liste_rouge!A"&amp;_xlfn.XMATCH("EN",Liste_rouge!A:A,2,1),"EN")</f>
        <v>EN</v>
      </c>
      <c r="W19589" s="4" t="str">
        <f>HYPERLINK("#Critères_liste_rouge!A$1","D1")</f>
        <v>D1</v>
      </c>
      <c r="X19589" s="5" t="s">
        <v>374</v>
      </c>
      <c r="AH19589" s="4" t="str">
        <f>HYPERLINK("#Statut_biogéographique!A"&amp;_xlfn.XMATCH("P",Statut_biogéographique!A:A,2,1),"P")</f>
        <v>P</v>
      </c>
      <c r="AM19589" s="4" t="s">
        <v>375</v>
      </c>
      <c r="AN19589" s="4" t="s">
        <v>375</v>
      </c>
      <c r="AO19589" s="4" t="s">
        <v>375</v>
      </c>
      <c r="AP19589" s="4" t="s">
        <v>389</v>
      </c>
      <c r="AR19589" s="4" t="s">
        <v>377</v>
      </c>
    </row>
    <row r="19590" spans="1:44">
      <c r="A19590" s="4" t="s">
        <v>117</v>
      </c>
      <c r="B19590" s="4">
        <v>4215</v>
      </c>
      <c r="D19590" s="5" t="s">
        <v>24119</v>
      </c>
      <c r="E19590" s="6" t="str">
        <f>HYPERLINK("https://inpn.mnhn.fr/espece/cd_nom/4215","Hippolais polyglotta (Vieillot, 1817)")</f>
        <v>Hippolais polyglotta (Vieillot, 1817)</v>
      </c>
      <c r="F19590" s="5" t="s">
        <v>24120</v>
      </c>
      <c r="I19590" s="4" t="str">
        <f>HYPERLINK("#Réglementation!A"&amp;_xlfn.XMATCH("IBE3",Réglementation!A:A,2,1),"IBE3")</f>
        <v>IBE3</v>
      </c>
      <c r="L19590" s="4" t="str">
        <f>HYPERLINK("#Réglementation!A"&amp;_xlfn.XMATCH("NO3",Réglementation!A:A,2,1),"NO3")</f>
        <v>NO3</v>
      </c>
      <c r="O19590" s="7" t="str">
        <f>HYPERLINK("#Liste_rouge!A"&amp;_xlfn.XMATCH("LC",Liste_rouge!A:A,2,1),"LC")</f>
        <v>LC</v>
      </c>
      <c r="P19590" s="7" t="str">
        <f>HYPERLINK("#Liste_rouge!A"&amp;_xlfn.XMATCH("LC",Liste_rouge!A:A,2,1),"LC")</f>
        <v>LC</v>
      </c>
      <c r="Q19590" s="7" t="str">
        <f>HYPERLINK("#Liste_rouge!A"&amp;_xlfn.XMATCH("LC",Liste_rouge!A:A,2,1),"LC")</f>
        <v>LC</v>
      </c>
      <c r="S19590" s="7" t="str">
        <f>HYPERLINK("#Liste_rouge!A"&amp;_xlfn.XMATCH("NA",Liste_rouge!A:A,2,1),"NA")</f>
        <v>NA</v>
      </c>
      <c r="T19590" s="7" t="str">
        <f>HYPERLINK("#Liste_rouge!A"&amp;_xlfn.XMATCH("LC",Liste_rouge!A:A,2,1),"LC")</f>
        <v>LC</v>
      </c>
      <c r="V19590" s="7" t="str">
        <f>HYPERLINK("#Liste_rouge!A"&amp;_xlfn.XMATCH("LC",Liste_rouge!A:A,2,1),"LC")</f>
        <v>LC</v>
      </c>
      <c r="AH19590" s="4" t="str">
        <f>HYPERLINK("#Statut_biogéographique!A"&amp;_xlfn.XMATCH("P",Statut_biogéographique!A:A,2,1),"P")</f>
        <v>P</v>
      </c>
      <c r="AM19590" s="4" t="s">
        <v>375</v>
      </c>
      <c r="AN19590" s="4" t="s">
        <v>375</v>
      </c>
      <c r="AO19590" s="4" t="s">
        <v>375</v>
      </c>
      <c r="AP19590" s="4" t="s">
        <v>376</v>
      </c>
      <c r="AR19590" s="4" t="s">
        <v>377</v>
      </c>
    </row>
    <row r="19591" spans="1:44">
      <c r="A19591" s="4" t="s">
        <v>117</v>
      </c>
      <c r="B19591" s="4">
        <v>4219</v>
      </c>
      <c r="D19591" s="5" t="s">
        <v>24121</v>
      </c>
      <c r="E19591" s="6" t="str">
        <f>HYPERLINK("https://inpn.mnhn.fr/espece/cd_nom/4219","Sylvia sarda Temminck, 1820")</f>
        <v>Sylvia sarda Temminck, 1820</v>
      </c>
      <c r="F19591" s="5" t="s">
        <v>24122</v>
      </c>
      <c r="I19591" s="4" t="str">
        <f>HYPERLINK("#Réglementation!A"&amp;_xlfn.XMATCH("IBE2",Réglementation!A:A,2,1),"IBE2")</f>
        <v>IBE2</v>
      </c>
      <c r="J19591" s="4" t="str">
        <f>HYPERLINK("#Réglementation!A"&amp;_xlfn.XMATCH("CDO1",Réglementation!A:A,2,1),"CDO1")</f>
        <v>CDO1</v>
      </c>
      <c r="L19591" s="4" t="str">
        <f>HYPERLINK("#Réglementation!A"&amp;_xlfn.XMATCH("NO3",Réglementation!A:A,2,1),"NO3")</f>
        <v>NO3</v>
      </c>
      <c r="O19591" s="7" t="str">
        <f>HYPERLINK("#Liste_rouge!A"&amp;_xlfn.XMATCH("LC",Liste_rouge!A:A,2,1),"LC")</f>
        <v>LC</v>
      </c>
      <c r="P19591" s="7" t="str">
        <f>HYPERLINK("#Liste_rouge!A"&amp;_xlfn.XMATCH("LC",Liste_rouge!A:A,2,1),"LC")</f>
        <v>LC</v>
      </c>
      <c r="Q19591" s="7" t="str">
        <f>HYPERLINK("#Liste_rouge!A"&amp;_xlfn.XMATCH("LC",Liste_rouge!A:A,2,1),"LC")</f>
        <v>LC</v>
      </c>
      <c r="S19591" s="7" t="str">
        <f>HYPERLINK("#Liste_rouge!A"&amp;_xlfn.XMATCH("NA",Liste_rouge!A:A,2,1),"NA")</f>
        <v>NA</v>
      </c>
      <c r="AE19591" s="4" t="str">
        <f>HYPERLINK("#SCAP!A"&amp;_xlfn.XMATCH("2+",SCAP!A:A,2,1),"2+")</f>
        <v>2+</v>
      </c>
      <c r="AH19591" s="4" t="str">
        <f>HYPERLINK("#Statut_biogéographique!A"&amp;_xlfn.XMATCH("P",Statut_biogéographique!A:A,2,1),"P")</f>
        <v>P</v>
      </c>
      <c r="AM19591" s="4" t="s">
        <v>375</v>
      </c>
      <c r="AN19591" s="4" t="s">
        <v>375</v>
      </c>
      <c r="AO19591" s="4" t="s">
        <v>375</v>
      </c>
      <c r="AP19591" s="4" t="s">
        <v>376</v>
      </c>
      <c r="AR19591" s="4" t="s">
        <v>377</v>
      </c>
    </row>
    <row r="19592" spans="1:44">
      <c r="A19592" s="4" t="s">
        <v>117</v>
      </c>
      <c r="B19592" s="4">
        <v>4221</v>
      </c>
      <c r="D19592" s="5" t="s">
        <v>24123</v>
      </c>
      <c r="E19592" s="6" t="str">
        <f>HYPERLINK("https://inpn.mnhn.fr/espece/cd_nom/4221","Sylvia undata (Boddaert, 1783)")</f>
        <v>Sylvia undata (Boddaert, 1783)</v>
      </c>
      <c r="F19592" s="5" t="s">
        <v>24124</v>
      </c>
      <c r="I19592" s="4" t="str">
        <f>HYPERLINK("#Réglementation!A"&amp;_xlfn.XMATCH("IBE2",Réglementation!A:A,2,1),"IBE2")</f>
        <v>IBE2</v>
      </c>
      <c r="J19592" s="4" t="str">
        <f>HYPERLINK("#Réglementation!A"&amp;_xlfn.XMATCH("CDO1",Réglementation!A:A,2,1),"CDO1")</f>
        <v>CDO1</v>
      </c>
      <c r="L19592" s="4" t="str">
        <f>HYPERLINK("#Réglementation!A"&amp;_xlfn.XMATCH("NO3",Réglementation!A:A,2,1),"NO3")</f>
        <v>NO3</v>
      </c>
      <c r="O19592" s="7" t="str">
        <f>HYPERLINK("#Liste_rouge!A"&amp;_xlfn.XMATCH("NT",Liste_rouge!A:A,2,1),"NT")</f>
        <v>NT</v>
      </c>
      <c r="P19592" s="7" t="str">
        <f>HYPERLINK("#Liste_rouge!A"&amp;_xlfn.XMATCH("NT",Liste_rouge!A:A,2,1),"NT")</f>
        <v>NT</v>
      </c>
      <c r="Q19592" s="7" t="str">
        <f>HYPERLINK("#Liste_rouge!A"&amp;_xlfn.XMATCH("EN",Liste_rouge!A:A,2,1),"EN")</f>
        <v>EN</v>
      </c>
      <c r="AE19592" s="4" t="str">
        <f>HYPERLINK("#SCAP!A"&amp;_xlfn.XMATCH("1+",SCAP!A:A,2,1),"1+")</f>
        <v>1+</v>
      </c>
      <c r="AH19592" s="4" t="str">
        <f>HYPERLINK("#Statut_biogéographique!A"&amp;_xlfn.XMATCH("P",Statut_biogéographique!A:A,2,1),"P")</f>
        <v>P</v>
      </c>
      <c r="AM19592" s="4" t="s">
        <v>375</v>
      </c>
      <c r="AN19592" s="4" t="s">
        <v>375</v>
      </c>
      <c r="AO19592" s="4" t="s">
        <v>375</v>
      </c>
      <c r="AP19592" s="4" t="s">
        <v>389</v>
      </c>
      <c r="AR19592" s="4" t="s">
        <v>377</v>
      </c>
    </row>
    <row r="19593" spans="1:44">
      <c r="A19593" s="4" t="s">
        <v>117</v>
      </c>
      <c r="B19593" s="4">
        <v>4227</v>
      </c>
      <c r="D19593" s="5" t="s">
        <v>24125</v>
      </c>
      <c r="E19593" s="6" t="str">
        <f>HYPERLINK("https://inpn.mnhn.fr/espece/cd_nom/4227","Sylvia conspicillata Temminck, 1820")</f>
        <v>Sylvia conspicillata Temminck, 1820</v>
      </c>
      <c r="F19593" s="5" t="s">
        <v>24126</v>
      </c>
      <c r="I19593" s="4" t="str">
        <f>HYPERLINK("#Réglementation!A"&amp;_xlfn.XMATCH("IBE2",Réglementation!A:A,2,1),"IBE2")</f>
        <v>IBE2</v>
      </c>
      <c r="L19593" s="4" t="str">
        <f>HYPERLINK("#Réglementation!A"&amp;_xlfn.XMATCH("NO3",Réglementation!A:A,2,1),"NO3")</f>
        <v>NO3</v>
      </c>
      <c r="O19593" s="7" t="str">
        <f>HYPERLINK("#Liste_rouge!A"&amp;_xlfn.XMATCH("LC",Liste_rouge!A:A,2,1),"LC")</f>
        <v>LC</v>
      </c>
      <c r="P19593" s="7" t="str">
        <f>HYPERLINK("#Liste_rouge!A"&amp;_xlfn.XMATCH("LC",Liste_rouge!A:A,2,1),"LC")</f>
        <v>LC</v>
      </c>
      <c r="Q19593" s="7" t="str">
        <f>HYPERLINK("#Liste_rouge!A"&amp;_xlfn.XMATCH("EN",Liste_rouge!A:A,2,1),"EN")</f>
        <v>EN</v>
      </c>
      <c r="AE19593" s="4" t="str">
        <f>HYPERLINK("#SCAP!A"&amp;_xlfn.XMATCH("1+",SCAP!A:A,2,1),"1+")</f>
        <v>1+</v>
      </c>
      <c r="AH19593" s="4" t="str">
        <f>HYPERLINK("#Statut_biogéographique!A"&amp;_xlfn.XMATCH("P",Statut_biogéographique!A:A,2,1),"P")</f>
        <v>P</v>
      </c>
      <c r="AP19593" s="4" t="s">
        <v>389</v>
      </c>
      <c r="AR19593" s="4" t="s">
        <v>377</v>
      </c>
    </row>
    <row r="19594" spans="1:44" ht="30">
      <c r="A19594" s="4" t="s">
        <v>117</v>
      </c>
      <c r="B19594" s="4">
        <v>4229</v>
      </c>
      <c r="D19594" s="5" t="s">
        <v>24127</v>
      </c>
      <c r="E19594" s="6" t="str">
        <f>HYPERLINK("https://inpn.mnhn.fr/espece/cd_nom/4229","Sylvia cantillans (Pallas, 1764)")</f>
        <v>Sylvia cantillans (Pallas, 1764)</v>
      </c>
      <c r="F19594" s="5" t="s">
        <v>24128</v>
      </c>
      <c r="I19594" s="4" t="str">
        <f>HYPERLINK("#Réglementation!A"&amp;_xlfn.XMATCH("IBE2",Réglementation!A:A,2,1),"IBE2")</f>
        <v>IBE2</v>
      </c>
      <c r="L19594" s="4" t="str">
        <f>HYPERLINK("#Réglementation!A"&amp;_xlfn.XMATCH("NO3",Réglementation!A:A,2,1),"NO3")</f>
        <v>NO3</v>
      </c>
      <c r="O19594" s="7" t="str">
        <f>HYPERLINK("#Liste_rouge!A"&amp;_xlfn.XMATCH("LC",Liste_rouge!A:A,2,1),"LC")</f>
        <v>LC</v>
      </c>
      <c r="P19594" s="7" t="str">
        <f>HYPERLINK("#Liste_rouge!A"&amp;_xlfn.XMATCH("LC",Liste_rouge!A:A,2,1),"LC")</f>
        <v>LC</v>
      </c>
      <c r="Q19594" s="7" t="str">
        <f>HYPERLINK("#Liste_rouge!A"&amp;_xlfn.XMATCH("LC",Liste_rouge!A:A,2,1),"LC")</f>
        <v>LC</v>
      </c>
      <c r="T19594" s="7" t="str">
        <f>HYPERLINK("#Liste_rouge!A"&amp;_xlfn.XMATCH("NA",Liste_rouge!A:A,2,1),"NA")</f>
        <v>NA</v>
      </c>
      <c r="U19594" s="4" t="str">
        <f>HYPERLINK("#Critères_liste_rouge!A$1","b")</f>
        <v>b</v>
      </c>
      <c r="AH19594" s="4" t="str">
        <f>HYPERLINK("#Statut_biogéographique!A"&amp;_xlfn.XMATCH("P",Statut_biogéographique!A:A,2,1),"P")</f>
        <v>P</v>
      </c>
      <c r="AM19594" s="4" t="s">
        <v>375</v>
      </c>
      <c r="AN19594" s="4" t="s">
        <v>375</v>
      </c>
      <c r="AO19594" s="4" t="s">
        <v>375</v>
      </c>
      <c r="AP19594" s="4" t="s">
        <v>376</v>
      </c>
      <c r="AR19594" s="4" t="s">
        <v>377</v>
      </c>
    </row>
    <row r="19595" spans="1:44">
      <c r="A19595" s="4" t="s">
        <v>117</v>
      </c>
      <c r="B19595" s="4">
        <v>4232</v>
      </c>
      <c r="D19595" s="5" t="s">
        <v>24129</v>
      </c>
      <c r="E19595" s="6" t="str">
        <f>HYPERLINK("https://inpn.mnhn.fr/espece/cd_nom/4232","Sylvia melanocephala (Gmelin, 1789)")</f>
        <v>Sylvia melanocephala (Gmelin, 1789)</v>
      </c>
      <c r="F19595" s="5" t="s">
        <v>24130</v>
      </c>
      <c r="I19595" s="4" t="str">
        <f>HYPERLINK("#Réglementation!A"&amp;_xlfn.XMATCH("IBE2",Réglementation!A:A,2,1),"IBE2")</f>
        <v>IBE2</v>
      </c>
      <c r="L19595" s="4" t="str">
        <f>HYPERLINK("#Réglementation!A"&amp;_xlfn.XMATCH("NO3",Réglementation!A:A,2,1),"NO3")</f>
        <v>NO3</v>
      </c>
      <c r="O19595" s="7" t="str">
        <f>HYPERLINK("#Liste_rouge!A"&amp;_xlfn.XMATCH("LC",Liste_rouge!A:A,2,1),"LC")</f>
        <v>LC</v>
      </c>
      <c r="P19595" s="7" t="str">
        <f>HYPERLINK("#Liste_rouge!A"&amp;_xlfn.XMATCH("LC",Liste_rouge!A:A,2,1),"LC")</f>
        <v>LC</v>
      </c>
      <c r="Q19595" s="7" t="str">
        <f>HYPERLINK("#Liste_rouge!A"&amp;_xlfn.XMATCH("NT",Liste_rouge!A:A,2,1),"NT")</f>
        <v>NT</v>
      </c>
      <c r="T19595" s="7" t="str">
        <f>HYPERLINK("#Liste_rouge!A"&amp;_xlfn.XMATCH("CR",Liste_rouge!A:A,2,1),"CR")</f>
        <v>CR</v>
      </c>
      <c r="U19595" s="4" t="str">
        <f>HYPERLINK("#Critères_liste_rouge!A$1","D1")</f>
        <v>D1</v>
      </c>
      <c r="X19595" s="5" t="s">
        <v>374</v>
      </c>
      <c r="AH19595" s="4" t="str">
        <f>HYPERLINK("#Statut_biogéographique!A"&amp;_xlfn.XMATCH("P",Statut_biogéographique!A:A,2,1),"P")</f>
        <v>P</v>
      </c>
      <c r="AM19595" s="4" t="s">
        <v>375</v>
      </c>
      <c r="AN19595" s="4" t="s">
        <v>375</v>
      </c>
      <c r="AO19595" s="4" t="s">
        <v>375</v>
      </c>
      <c r="AP19595" s="4" t="s">
        <v>376</v>
      </c>
      <c r="AR19595" s="4" t="s">
        <v>377</v>
      </c>
    </row>
    <row r="19596" spans="1:44">
      <c r="A19596" s="4" t="s">
        <v>117</v>
      </c>
      <c r="B19596" s="4">
        <v>4242</v>
      </c>
      <c r="D19596" s="5" t="s">
        <v>24131</v>
      </c>
      <c r="E19596" s="6" t="str">
        <f>HYPERLINK("https://inpn.mnhn.fr/espece/cd_nom/4242","Sylvia hortensis (Gmelin, 1789)")</f>
        <v>Sylvia hortensis (Gmelin, 1789)</v>
      </c>
      <c r="F19596" s="5" t="s">
        <v>24132</v>
      </c>
      <c r="I19596" s="4" t="str">
        <f>HYPERLINK("#Réglementation!A"&amp;_xlfn.XMATCH("IBE2",Réglementation!A:A,2,1),"IBE2")</f>
        <v>IBE2</v>
      </c>
      <c r="L19596" s="4" t="str">
        <f>HYPERLINK("#Réglementation!A"&amp;_xlfn.XMATCH("NO3",Réglementation!A:A,2,1),"NO3")</f>
        <v>NO3</v>
      </c>
      <c r="O19596" s="7" t="str">
        <f>HYPERLINK("#Liste_rouge!A"&amp;_xlfn.XMATCH("LC",Liste_rouge!A:A,2,1),"LC")</f>
        <v>LC</v>
      </c>
      <c r="P19596" s="7" t="str">
        <f>HYPERLINK("#Liste_rouge!A"&amp;_xlfn.XMATCH("LC",Liste_rouge!A:A,2,1),"LC")</f>
        <v>LC</v>
      </c>
      <c r="Q19596" s="7" t="str">
        <f>HYPERLINK("#Liste_rouge!A"&amp;_xlfn.XMATCH("LC",Liste_rouge!A:A,2,1),"LC")</f>
        <v>LC</v>
      </c>
      <c r="T19596" s="7" t="str">
        <f>HYPERLINK("#Liste_rouge!A"&amp;_xlfn.XMATCH("CR",Liste_rouge!A:A,2,1),"CR")</f>
        <v>CR</v>
      </c>
      <c r="U19596" s="4" t="str">
        <f>HYPERLINK("#Critères_liste_rouge!A$1","D1")</f>
        <v>D1</v>
      </c>
      <c r="V19596" s="7" t="str">
        <f>HYPERLINK("#Liste_rouge!A"&amp;_xlfn.XMATCH("RE",Liste_rouge!A:A,2,1),"RE")</f>
        <v>RE</v>
      </c>
      <c r="X19596" s="5" t="s">
        <v>374</v>
      </c>
      <c r="AH19596" s="4" t="str">
        <f>HYPERLINK("#Statut_biogéographique!A"&amp;_xlfn.XMATCH("P",Statut_biogéographique!A:A,2,1),"P")</f>
        <v>P</v>
      </c>
      <c r="AM19596" s="4" t="s">
        <v>375</v>
      </c>
      <c r="AN19596" s="4" t="s">
        <v>375</v>
      </c>
      <c r="AO19596" s="4" t="s">
        <v>375</v>
      </c>
      <c r="AP19596" s="4" t="s">
        <v>376</v>
      </c>
      <c r="AR19596" s="4" t="s">
        <v>377</v>
      </c>
    </row>
    <row r="19597" spans="1:44">
      <c r="A19597" s="4" t="s">
        <v>117</v>
      </c>
      <c r="B19597" s="4">
        <v>4245</v>
      </c>
      <c r="D19597" s="5" t="s">
        <v>24133</v>
      </c>
      <c r="E19597" s="6" t="str">
        <f>HYPERLINK("https://inpn.mnhn.fr/espece/cd_nom/4245","Sylvia nisoria (Bechstein, 1792)")</f>
        <v>Sylvia nisoria (Bechstein, 1792)</v>
      </c>
      <c r="F19597" s="5" t="s">
        <v>24134</v>
      </c>
      <c r="I19597" s="4" t="str">
        <f>HYPERLINK("#Réglementation!A"&amp;_xlfn.XMATCH("IBE2",Réglementation!A:A,2,1),"IBE2")</f>
        <v>IBE2</v>
      </c>
      <c r="J19597" s="4" t="str">
        <f>HYPERLINK("#Réglementation!A"&amp;_xlfn.XMATCH("CDO1",Réglementation!A:A,2,1),"CDO1")</f>
        <v>CDO1</v>
      </c>
      <c r="L19597" s="4" t="str">
        <f>HYPERLINK("#Réglementation!A"&amp;_xlfn.XMATCH("NO4",Réglementation!A:A,2,1),"NO4")</f>
        <v>NO4</v>
      </c>
      <c r="S19597" s="7" t="str">
        <f>HYPERLINK("#Liste_rouge!A"&amp;_xlfn.XMATCH("NA",Liste_rouge!A:A,2,1),"NA")</f>
        <v>NA</v>
      </c>
      <c r="AH19597" s="4" t="str">
        <f>HYPERLINK("#Statut_biogéographique!A"&amp;_xlfn.XMATCH("B",Statut_biogéographique!A:A,2,1),"B")</f>
        <v>B</v>
      </c>
      <c r="AM19597" s="4" t="s">
        <v>375</v>
      </c>
      <c r="AN19597" s="4" t="s">
        <v>375</v>
      </c>
      <c r="AO19597" s="4" t="s">
        <v>375</v>
      </c>
      <c r="AP19597" s="4" t="s">
        <v>376</v>
      </c>
      <c r="AR19597" s="4" t="s">
        <v>377</v>
      </c>
    </row>
    <row r="19598" spans="1:44" ht="45">
      <c r="A19598" s="4" t="s">
        <v>117</v>
      </c>
      <c r="B19598" s="4">
        <v>4247</v>
      </c>
      <c r="D19598" s="5" t="s">
        <v>24135</v>
      </c>
      <c r="E19598" s="6" t="str">
        <f>HYPERLINK("https://inpn.mnhn.fr/espece/cd_nom/4247","Sylvia curruca (Linnaeus, 1758)")</f>
        <v>Sylvia curruca (Linnaeus, 1758)</v>
      </c>
      <c r="F19598" s="5" t="s">
        <v>24136</v>
      </c>
      <c r="I19598" s="4" t="str">
        <f>HYPERLINK("#Réglementation!A"&amp;_xlfn.XMATCH("IBE2",Réglementation!A:A,2,1),"IBE2")</f>
        <v>IBE2</v>
      </c>
      <c r="L19598" s="4" t="str">
        <f>HYPERLINK("#Réglementation!A"&amp;_xlfn.XMATCH("NO3",Réglementation!A:A,2,1),"NO3")</f>
        <v>NO3</v>
      </c>
      <c r="Q19598" s="7" t="str">
        <f>HYPERLINK("#Liste_rouge!A"&amp;_xlfn.XMATCH("LC",Liste_rouge!A:A,2,1),"LC")</f>
        <v>LC</v>
      </c>
      <c r="S19598" s="7" t="str">
        <f>HYPERLINK("#Liste_rouge!A"&amp;_xlfn.XMATCH("NA",Liste_rouge!A:A,2,1),"NA")</f>
        <v>NA</v>
      </c>
      <c r="T19598" s="7" t="str">
        <f>HYPERLINK("#Liste_rouge!A"&amp;_xlfn.XMATCH("DD",Liste_rouge!A:A,2,1),"DD")</f>
        <v>DD</v>
      </c>
      <c r="V19598" s="7" t="str">
        <f>HYPERLINK("#Liste_rouge!A"&amp;_xlfn.XMATCH("LC",Liste_rouge!A:A,2,1),"LC")</f>
        <v>LC</v>
      </c>
      <c r="X19598" s="5" t="s">
        <v>23439</v>
      </c>
      <c r="Y19598" s="5" t="s">
        <v>23762</v>
      </c>
      <c r="AH19598" s="4" t="str">
        <f>HYPERLINK("#Statut_biogéographique!A"&amp;_xlfn.XMATCH("P",Statut_biogéographique!A:A,2,1),"P")</f>
        <v>P</v>
      </c>
      <c r="AM19598" s="4" t="s">
        <v>375</v>
      </c>
      <c r="AN19598" s="4" t="s">
        <v>375</v>
      </c>
      <c r="AO19598" s="4" t="s">
        <v>375</v>
      </c>
      <c r="AP19598" s="4" t="s">
        <v>376</v>
      </c>
      <c r="AR19598" s="4" t="s">
        <v>377</v>
      </c>
    </row>
    <row r="19599" spans="1:44">
      <c r="A19599" s="4" t="s">
        <v>117</v>
      </c>
      <c r="B19599" s="4">
        <v>4252</v>
      </c>
      <c r="D19599" s="5" t="s">
        <v>24137</v>
      </c>
      <c r="E19599" s="6" t="str">
        <f>HYPERLINK("https://inpn.mnhn.fr/espece/cd_nom/4252","Sylvia communis Latham, 1787")</f>
        <v>Sylvia communis Latham, 1787</v>
      </c>
      <c r="F19599" s="5" t="s">
        <v>24138</v>
      </c>
      <c r="I19599" s="4" t="str">
        <f>HYPERLINK("#Réglementation!A"&amp;_xlfn.XMATCH("IBE2",Réglementation!A:A,2,1),"IBE2")</f>
        <v>IBE2</v>
      </c>
      <c r="L19599" s="4" t="str">
        <f>HYPERLINK("#Réglementation!A"&amp;_xlfn.XMATCH("NO3",Réglementation!A:A,2,1),"NO3")</f>
        <v>NO3</v>
      </c>
      <c r="O19599" s="7" t="str">
        <f>HYPERLINK("#Liste_rouge!A"&amp;_xlfn.XMATCH("LC",Liste_rouge!A:A,2,1),"LC")</f>
        <v>LC</v>
      </c>
      <c r="P19599" s="7" t="str">
        <f>HYPERLINK("#Liste_rouge!A"&amp;_xlfn.XMATCH("LC",Liste_rouge!A:A,2,1),"LC")</f>
        <v>LC</v>
      </c>
      <c r="Q19599" s="7" t="str">
        <f>HYPERLINK("#Liste_rouge!A"&amp;_xlfn.XMATCH("LC",Liste_rouge!A:A,2,1),"LC")</f>
        <v>LC</v>
      </c>
      <c r="S19599" s="7" t="str">
        <f>HYPERLINK("#Liste_rouge!A"&amp;_xlfn.XMATCH("DD",Liste_rouge!A:A,2,1),"DD")</f>
        <v>DD</v>
      </c>
      <c r="T19599" s="7" t="str">
        <f>HYPERLINK("#Liste_rouge!A"&amp;_xlfn.XMATCH("LC",Liste_rouge!A:A,2,1),"LC")</f>
        <v>LC</v>
      </c>
      <c r="V19599" s="7" t="str">
        <f>HYPERLINK("#Liste_rouge!A"&amp;_xlfn.XMATCH("LC",Liste_rouge!A:A,2,1),"LC")</f>
        <v>LC</v>
      </c>
      <c r="AH19599" s="4" t="str">
        <f>HYPERLINK("#Statut_biogéographique!A"&amp;_xlfn.XMATCH("P",Statut_biogéographique!A:A,2,1),"P")</f>
        <v>P</v>
      </c>
      <c r="AM19599" s="4" t="s">
        <v>375</v>
      </c>
      <c r="AN19599" s="4" t="s">
        <v>375</v>
      </c>
      <c r="AO19599" s="4" t="s">
        <v>375</v>
      </c>
      <c r="AP19599" s="4" t="s">
        <v>376</v>
      </c>
      <c r="AR19599" s="4" t="s">
        <v>377</v>
      </c>
    </row>
    <row r="19600" spans="1:44" ht="30">
      <c r="A19600" s="4" t="s">
        <v>117</v>
      </c>
      <c r="B19600" s="4">
        <v>4254</v>
      </c>
      <c r="D19600" s="5" t="s">
        <v>24139</v>
      </c>
      <c r="E19600" s="6" t="str">
        <f>HYPERLINK("https://inpn.mnhn.fr/espece/cd_nom/4254","Sylvia borin (Boddaert, 1783)")</f>
        <v>Sylvia borin (Boddaert, 1783)</v>
      </c>
      <c r="F19600" s="5" t="s">
        <v>24140</v>
      </c>
      <c r="I19600" s="4" t="str">
        <f>HYPERLINK("#Réglementation!A"&amp;_xlfn.XMATCH("IBE2",Réglementation!A:A,2,1),"IBE2")</f>
        <v>IBE2</v>
      </c>
      <c r="L19600" s="4" t="str">
        <f>HYPERLINK("#Réglementation!A"&amp;_xlfn.XMATCH("NO3",Réglementation!A:A,2,1),"NO3")</f>
        <v>NO3</v>
      </c>
      <c r="O19600" s="7" t="str">
        <f>HYPERLINK("#Liste_rouge!A"&amp;_xlfn.XMATCH("LC",Liste_rouge!A:A,2,1),"LC")</f>
        <v>LC</v>
      </c>
      <c r="P19600" s="7" t="str">
        <f>HYPERLINK("#Liste_rouge!A"&amp;_xlfn.XMATCH("LC",Liste_rouge!A:A,2,1),"LC")</f>
        <v>LC</v>
      </c>
      <c r="Q19600" s="7" t="str">
        <f>HYPERLINK("#Liste_rouge!A"&amp;_xlfn.XMATCH("NT",Liste_rouge!A:A,2,1),"NT")</f>
        <v>NT</v>
      </c>
      <c r="S19600" s="7" t="str">
        <f>HYPERLINK("#Liste_rouge!A"&amp;_xlfn.XMATCH("DD",Liste_rouge!A:A,2,1),"DD")</f>
        <v>DD</v>
      </c>
      <c r="T19600" s="7" t="str">
        <f>HYPERLINK("#Liste_rouge!A"&amp;_xlfn.XMATCH("NT",Liste_rouge!A:A,2,1),"NT")</f>
        <v>NT</v>
      </c>
      <c r="U19600" s="4" t="str">
        <f>HYPERLINK("#Critères_liste_rouge!A$1","A2b")</f>
        <v>A2b</v>
      </c>
      <c r="V19600" s="7" t="str">
        <f>HYPERLINK("#Liste_rouge!A"&amp;_xlfn.XMATCH("LC",Liste_rouge!A:A,2,1),"LC")</f>
        <v>LC</v>
      </c>
      <c r="X19600" s="5" t="s">
        <v>23439</v>
      </c>
      <c r="Y19600" s="5" t="s">
        <v>23951</v>
      </c>
      <c r="AH19600" s="4" t="str">
        <f>HYPERLINK("#Statut_biogéographique!A"&amp;_xlfn.XMATCH("P",Statut_biogéographique!A:A,2,1),"P")</f>
        <v>P</v>
      </c>
      <c r="AM19600" s="4" t="s">
        <v>375</v>
      </c>
      <c r="AN19600" s="4" t="s">
        <v>375</v>
      </c>
      <c r="AO19600" s="4" t="s">
        <v>375</v>
      </c>
      <c r="AP19600" s="4" t="s">
        <v>376</v>
      </c>
      <c r="AR19600" s="4" t="s">
        <v>377</v>
      </c>
    </row>
    <row r="19601" spans="1:44">
      <c r="A19601" s="4" t="s">
        <v>117</v>
      </c>
      <c r="B19601" s="4">
        <v>4257</v>
      </c>
      <c r="D19601" s="5" t="s">
        <v>24141</v>
      </c>
      <c r="E19601" s="6" t="str">
        <f>HYPERLINK("https://inpn.mnhn.fr/espece/cd_nom/4257","Sylvia atricapilla (Linnaeus, 1758)")</f>
        <v>Sylvia atricapilla (Linnaeus, 1758)</v>
      </c>
      <c r="F19601" s="5" t="s">
        <v>24142</v>
      </c>
      <c r="I19601" s="4" t="str">
        <f>HYPERLINK("#Réglementation!A"&amp;_xlfn.XMATCH("IBE2",Réglementation!A:A,2,1),"IBE2")</f>
        <v>IBE2</v>
      </c>
      <c r="L19601" s="4" t="str">
        <f>HYPERLINK("#Réglementation!A"&amp;_xlfn.XMATCH("NO3",Réglementation!A:A,2,1),"NO3")</f>
        <v>NO3</v>
      </c>
      <c r="O19601" s="7" t="str">
        <f>HYPERLINK("#Liste_rouge!A"&amp;_xlfn.XMATCH("LC",Liste_rouge!A:A,2,1),"LC")</f>
        <v>LC</v>
      </c>
      <c r="P19601" s="7" t="str">
        <f>HYPERLINK("#Liste_rouge!A"&amp;_xlfn.XMATCH("LC",Liste_rouge!A:A,2,1),"LC")</f>
        <v>LC</v>
      </c>
      <c r="Q19601" s="7" t="str">
        <f>HYPERLINK("#Liste_rouge!A"&amp;_xlfn.XMATCH("LC",Liste_rouge!A:A,2,1),"LC")</f>
        <v>LC</v>
      </c>
      <c r="R19601" s="7" t="str">
        <f>HYPERLINK("#Liste_rouge!A"&amp;_xlfn.XMATCH("NA",Liste_rouge!A:A,2,1),"NA")</f>
        <v>NA</v>
      </c>
      <c r="S19601" s="7" t="str">
        <f>HYPERLINK("#Liste_rouge!A"&amp;_xlfn.XMATCH("NA",Liste_rouge!A:A,2,1),"NA")</f>
        <v>NA</v>
      </c>
      <c r="T19601" s="7" t="str">
        <f>HYPERLINK("#Liste_rouge!A"&amp;_xlfn.XMATCH("LC",Liste_rouge!A:A,2,1),"LC")</f>
        <v>LC</v>
      </c>
      <c r="V19601" s="7" t="str">
        <f>HYPERLINK("#Liste_rouge!A"&amp;_xlfn.XMATCH("LC",Liste_rouge!A:A,2,1),"LC")</f>
        <v>LC</v>
      </c>
      <c r="AH19601" s="4" t="str">
        <f>HYPERLINK("#Statut_biogéographique!A"&amp;_xlfn.XMATCH("P",Statut_biogéographique!A:A,2,1),"P")</f>
        <v>P</v>
      </c>
      <c r="AM19601" s="4" t="s">
        <v>375</v>
      </c>
      <c r="AN19601" s="4" t="s">
        <v>375</v>
      </c>
      <c r="AO19601" s="4" t="s">
        <v>375</v>
      </c>
      <c r="AP19601" s="4" t="s">
        <v>376</v>
      </c>
      <c r="AR19601" s="4" t="s">
        <v>377</v>
      </c>
    </row>
    <row r="19602" spans="1:44" ht="30">
      <c r="A19602" s="4" t="s">
        <v>117</v>
      </c>
      <c r="B19602" s="4">
        <v>4267</v>
      </c>
      <c r="D19602" s="5" t="s">
        <v>24143</v>
      </c>
      <c r="E19602" s="6" t="str">
        <f>HYPERLINK("https://inpn.mnhn.fr/espece/cd_nom/4267","Phylloscopus proregulus (Pallas, 1811)")</f>
        <v>Phylloscopus proregulus (Pallas, 1811)</v>
      </c>
      <c r="F19602" s="5" t="s">
        <v>24144</v>
      </c>
      <c r="I19602" s="4" t="str">
        <f>HYPERLINK("#Réglementation!A"&amp;_xlfn.XMATCH("IBE3",Réglementation!A:A,2,1),"IBE3")</f>
        <v>IBE3</v>
      </c>
      <c r="L19602" s="4" t="str">
        <f>HYPERLINK("#Réglementation!A"&amp;_xlfn.XMATCH("NO4",Réglementation!A:A,2,1),"NO4")</f>
        <v>NO4</v>
      </c>
      <c r="O19602" s="7" t="str">
        <f>HYPERLINK("#Liste_rouge!A"&amp;_xlfn.XMATCH("LC",Liste_rouge!A:A,2,1),"LC")</f>
        <v>LC</v>
      </c>
      <c r="S19602" s="7" t="str">
        <f>HYPERLINK("#Liste_rouge!A"&amp;_xlfn.XMATCH("NA",Liste_rouge!A:A,2,1),"NA")</f>
        <v>NA</v>
      </c>
      <c r="AH19602" s="4" t="str">
        <f>HYPERLINK("#Statut_biogéographique!A"&amp;_xlfn.XMATCH("B",Statut_biogéographique!A:A,2,1),"B")</f>
        <v>B</v>
      </c>
      <c r="AM19602" s="4" t="s">
        <v>375</v>
      </c>
      <c r="AN19602" s="4" t="s">
        <v>375</v>
      </c>
      <c r="AO19602" s="4" t="s">
        <v>375</v>
      </c>
      <c r="AP19602" s="4" t="s">
        <v>376</v>
      </c>
      <c r="AR19602" s="4" t="s">
        <v>377</v>
      </c>
    </row>
    <row r="19603" spans="1:44">
      <c r="A19603" s="4" t="s">
        <v>117</v>
      </c>
      <c r="B19603" s="4">
        <v>4269</v>
      </c>
      <c r="D19603" s="5" t="s">
        <v>24145</v>
      </c>
      <c r="E19603" s="6" t="str">
        <f>HYPERLINK("https://inpn.mnhn.fr/espece/cd_nom/4269","Phylloscopus bonelli (Vieillot, 1819)")</f>
        <v>Phylloscopus bonelli (Vieillot, 1819)</v>
      </c>
      <c r="F19603" s="5" t="s">
        <v>24146</v>
      </c>
      <c r="I19603" s="4" t="str">
        <f>HYPERLINK("#Réglementation!A"&amp;_xlfn.XMATCH("IBE3",Réglementation!A:A,2,1),"IBE3")</f>
        <v>IBE3</v>
      </c>
      <c r="L19603" s="4" t="str">
        <f>HYPERLINK("#Réglementation!A"&amp;_xlfn.XMATCH("NO3",Réglementation!A:A,2,1),"NO3")</f>
        <v>NO3</v>
      </c>
      <c r="O19603" s="7" t="str">
        <f>HYPERLINK("#Liste_rouge!A"&amp;_xlfn.XMATCH("LC",Liste_rouge!A:A,2,1),"LC")</f>
        <v>LC</v>
      </c>
      <c r="P19603" s="7" t="str">
        <f>HYPERLINK("#Liste_rouge!A"&amp;_xlfn.XMATCH("LC",Liste_rouge!A:A,2,1),"LC")</f>
        <v>LC</v>
      </c>
      <c r="Q19603" s="7" t="str">
        <f>HYPERLINK("#Liste_rouge!A"&amp;_xlfn.XMATCH("LC",Liste_rouge!A:A,2,1),"LC")</f>
        <v>LC</v>
      </c>
      <c r="S19603" s="7" t="str">
        <f>HYPERLINK("#Liste_rouge!A"&amp;_xlfn.XMATCH("NA",Liste_rouge!A:A,2,1),"NA")</f>
        <v>NA</v>
      </c>
      <c r="T19603" s="7" t="str">
        <f>HYPERLINK("#Liste_rouge!A"&amp;_xlfn.XMATCH("VU",Liste_rouge!A:A,2,1),"VU")</f>
        <v>VU</v>
      </c>
      <c r="U19603" s="4" t="str">
        <f>HYPERLINK("#Critères_liste_rouge!A$1","D1")</f>
        <v>D1</v>
      </c>
      <c r="V19603" s="7" t="str">
        <f>HYPERLINK("#Liste_rouge!A"&amp;_xlfn.XMATCH("LC",Liste_rouge!A:A,2,1),"LC")</f>
        <v>LC</v>
      </c>
      <c r="X19603" s="5" t="s">
        <v>374</v>
      </c>
      <c r="AH19603" s="4" t="str">
        <f>HYPERLINK("#Statut_biogéographique!A"&amp;_xlfn.XMATCH("P",Statut_biogéographique!A:A,2,1),"P")</f>
        <v>P</v>
      </c>
      <c r="AM19603" s="4" t="s">
        <v>375</v>
      </c>
      <c r="AN19603" s="4" t="s">
        <v>375</v>
      </c>
      <c r="AO19603" s="4" t="s">
        <v>375</v>
      </c>
      <c r="AP19603" s="4" t="s">
        <v>376</v>
      </c>
      <c r="AR19603" s="4" t="s">
        <v>377</v>
      </c>
    </row>
    <row r="19604" spans="1:44" ht="30">
      <c r="A19604" s="4" t="s">
        <v>117</v>
      </c>
      <c r="B19604" s="4">
        <v>4272</v>
      </c>
      <c r="D19604" s="5" t="s">
        <v>24147</v>
      </c>
      <c r="E19604" s="6" t="str">
        <f>HYPERLINK("https://inpn.mnhn.fr/espece/cd_nom/4272","Phylloscopus sibilatrix (Bechstein, 1793)")</f>
        <v>Phylloscopus sibilatrix (Bechstein, 1793)</v>
      </c>
      <c r="F19604" s="5" t="s">
        <v>24148</v>
      </c>
      <c r="I19604" s="4" t="str">
        <f>HYPERLINK("#Réglementation!A"&amp;_xlfn.XMATCH("IBE3",Réglementation!A:A,2,1),"IBE3")</f>
        <v>IBE3</v>
      </c>
      <c r="L19604" s="4" t="str">
        <f>HYPERLINK("#Réglementation!A"&amp;_xlfn.XMATCH("NO3",Réglementation!A:A,2,1),"NO3")</f>
        <v>NO3</v>
      </c>
      <c r="O19604" s="7" t="str">
        <f>HYPERLINK("#Liste_rouge!A"&amp;_xlfn.XMATCH("LC",Liste_rouge!A:A,2,1),"LC")</f>
        <v>LC</v>
      </c>
      <c r="P19604" s="7" t="str">
        <f>HYPERLINK("#Liste_rouge!A"&amp;_xlfn.XMATCH("LC",Liste_rouge!A:A,2,1),"LC")</f>
        <v>LC</v>
      </c>
      <c r="Q19604" s="7" t="str">
        <f>HYPERLINK("#Liste_rouge!A"&amp;_xlfn.XMATCH("NT",Liste_rouge!A:A,2,1),"NT")</f>
        <v>NT</v>
      </c>
      <c r="S19604" s="7" t="str">
        <f>HYPERLINK("#Liste_rouge!A"&amp;_xlfn.XMATCH("NA",Liste_rouge!A:A,2,1),"NA")</f>
        <v>NA</v>
      </c>
      <c r="T19604" s="7" t="str">
        <f>HYPERLINK("#Liste_rouge!A"&amp;_xlfn.XMATCH("DD",Liste_rouge!A:A,2,1),"DD")</f>
        <v>DD</v>
      </c>
      <c r="V19604" s="7" t="str">
        <f>HYPERLINK("#Liste_rouge!A"&amp;_xlfn.XMATCH("DD",Liste_rouge!A:A,2,1),"DD")</f>
        <v>DD</v>
      </c>
      <c r="X19604" s="5" t="s">
        <v>23439</v>
      </c>
      <c r="Y19604" s="5" t="s">
        <v>23951</v>
      </c>
      <c r="AH19604" s="4" t="str">
        <f>HYPERLINK("#Statut_biogéographique!A"&amp;_xlfn.XMATCH("P",Statut_biogéographique!A:A,2,1),"P")</f>
        <v>P</v>
      </c>
      <c r="AM19604" s="4" t="s">
        <v>375</v>
      </c>
      <c r="AN19604" s="4" t="s">
        <v>375</v>
      </c>
      <c r="AO19604" s="4" t="s">
        <v>375</v>
      </c>
      <c r="AP19604" s="4" t="s">
        <v>376</v>
      </c>
      <c r="AR19604" s="4" t="s">
        <v>377</v>
      </c>
    </row>
    <row r="19605" spans="1:44">
      <c r="A19605" s="4" t="s">
        <v>117</v>
      </c>
      <c r="B19605" s="4">
        <v>4275</v>
      </c>
      <c r="D19605" s="5" t="s">
        <v>24149</v>
      </c>
      <c r="E19605" s="6" t="str">
        <f>HYPERLINK("https://inpn.mnhn.fr/espece/cd_nom/4275","Phylloscopus trochiloides (Sundevall, 1837)")</f>
        <v>Phylloscopus trochiloides (Sundevall, 1837)</v>
      </c>
      <c r="F19605" s="5" t="s">
        <v>24150</v>
      </c>
      <c r="I19605" s="4" t="str">
        <f>HYPERLINK("#Réglementation!A"&amp;_xlfn.XMATCH("IBE3",Réglementation!A:A,2,1),"IBE3")</f>
        <v>IBE3</v>
      </c>
      <c r="L19605" s="4" t="str">
        <f>HYPERLINK("#Réglementation!A"&amp;_xlfn.XMATCH("NO4",Réglementation!A:A,2,1),"NO4")</f>
        <v>NO4</v>
      </c>
      <c r="O19605" s="7" t="str">
        <f>HYPERLINK("#Liste_rouge!A"&amp;_xlfn.XMATCH("LC",Liste_rouge!A:A,2,1),"LC")</f>
        <v>LC</v>
      </c>
      <c r="P19605" s="7" t="str">
        <f>HYPERLINK("#Liste_rouge!A"&amp;_xlfn.XMATCH("LC",Liste_rouge!A:A,2,1),"LC")</f>
        <v>LC</v>
      </c>
      <c r="S19605" s="7" t="str">
        <f>HYPERLINK("#Liste_rouge!A"&amp;_xlfn.XMATCH("NA",Liste_rouge!A:A,2,1),"NA")</f>
        <v>NA</v>
      </c>
      <c r="AH19605" s="4" t="str">
        <f>HYPERLINK("#Statut_biogéographique!A"&amp;_xlfn.XMATCH("P",Statut_biogéographique!A:A,2,1),"P")</f>
        <v>P</v>
      </c>
      <c r="AM19605" s="4" t="s">
        <v>375</v>
      </c>
      <c r="AN19605" s="4" t="s">
        <v>375</v>
      </c>
      <c r="AO19605" s="4" t="s">
        <v>375</v>
      </c>
      <c r="AP19605" s="4" t="s">
        <v>376</v>
      </c>
      <c r="AR19605" s="4" t="s">
        <v>377</v>
      </c>
    </row>
    <row r="19606" spans="1:44">
      <c r="A19606" s="4" t="s">
        <v>117</v>
      </c>
      <c r="B19606" s="4">
        <v>4280</v>
      </c>
      <c r="D19606" s="5" t="s">
        <v>24151</v>
      </c>
      <c r="E19606" s="6" t="str">
        <f>HYPERLINK("https://inpn.mnhn.fr/espece/cd_nom/4280","Phylloscopus collybita (Vieillot, 1817)")</f>
        <v>Phylloscopus collybita (Vieillot, 1817)</v>
      </c>
      <c r="F19606" s="5" t="s">
        <v>24152</v>
      </c>
      <c r="I19606" s="4" t="str">
        <f>HYPERLINK("#Réglementation!A"&amp;_xlfn.XMATCH("IBE3",Réglementation!A:A,2,1),"IBE3")</f>
        <v>IBE3</v>
      </c>
      <c r="L19606" s="4" t="str">
        <f>HYPERLINK("#Réglementation!A"&amp;_xlfn.XMATCH("NO3",Réglementation!A:A,2,1),"NO3")</f>
        <v>NO3</v>
      </c>
      <c r="O19606" s="7" t="str">
        <f>HYPERLINK("#Liste_rouge!A"&amp;_xlfn.XMATCH("LC",Liste_rouge!A:A,2,1),"LC")</f>
        <v>LC</v>
      </c>
      <c r="P19606" s="7" t="str">
        <f>HYPERLINK("#Liste_rouge!A"&amp;_xlfn.XMATCH("LC",Liste_rouge!A:A,2,1),"LC")</f>
        <v>LC</v>
      </c>
      <c r="Q19606" s="7" t="str">
        <f>HYPERLINK("#Liste_rouge!A"&amp;_xlfn.XMATCH("LC",Liste_rouge!A:A,2,1),"LC")</f>
        <v>LC</v>
      </c>
      <c r="R19606" s="7" t="str">
        <f>HYPERLINK("#Liste_rouge!A"&amp;_xlfn.XMATCH("NA",Liste_rouge!A:A,2,1),"NA")</f>
        <v>NA</v>
      </c>
      <c r="S19606" s="7" t="str">
        <f>HYPERLINK("#Liste_rouge!A"&amp;_xlfn.XMATCH("NA",Liste_rouge!A:A,2,1),"NA")</f>
        <v>NA</v>
      </c>
      <c r="T19606" s="7" t="str">
        <f>HYPERLINK("#Liste_rouge!A"&amp;_xlfn.XMATCH("LC",Liste_rouge!A:A,2,1),"LC")</f>
        <v>LC</v>
      </c>
      <c r="V19606" s="7" t="str">
        <f>HYPERLINK("#Liste_rouge!A"&amp;_xlfn.XMATCH("LC",Liste_rouge!A:A,2,1),"LC")</f>
        <v>LC</v>
      </c>
      <c r="AH19606" s="4" t="str">
        <f>HYPERLINK("#Statut_biogéographique!A"&amp;_xlfn.XMATCH("P",Statut_biogéographique!A:A,2,1),"P")</f>
        <v>P</v>
      </c>
      <c r="AM19606" s="4" t="s">
        <v>375</v>
      </c>
      <c r="AN19606" s="4" t="s">
        <v>375</v>
      </c>
      <c r="AO19606" s="4" t="s">
        <v>375</v>
      </c>
      <c r="AP19606" s="4" t="s">
        <v>376</v>
      </c>
      <c r="AR19606" s="4" t="s">
        <v>377</v>
      </c>
    </row>
    <row r="19607" spans="1:44">
      <c r="A19607" s="4" t="s">
        <v>117</v>
      </c>
      <c r="B19607" s="4">
        <v>4285</v>
      </c>
      <c r="D19607" s="5">
        <v>4285</v>
      </c>
      <c r="E19607" s="6" t="str">
        <f>HYPERLINK("https://inpn.mnhn.fr/espece/cd_nom/4285","Phylloscopus collybita collyba (Vieillot, 1817)")</f>
        <v>Phylloscopus collybita collyba (Vieillot, 1817)</v>
      </c>
      <c r="I19607" s="4" t="str">
        <f>HYPERLINK("#Réglementation!A"&amp;_xlfn.XMATCH("IBE3",Réglementation!A:A,2,1),"IBE3")</f>
        <v>IBE3</v>
      </c>
      <c r="L19607" s="4" t="str">
        <f>HYPERLINK("#Réglementation!A"&amp;_xlfn.XMATCH("NO3",Réglementation!A:A,2,1),"NO3")</f>
        <v>NO3</v>
      </c>
      <c r="AH19607" s="4" t="str">
        <f>HYPERLINK("#Statut_biogéographique!A"&amp;_xlfn.XMATCH("P",Statut_biogéographique!A:A,2,1),"P")</f>
        <v>P</v>
      </c>
      <c r="AP19607" s="4" t="s">
        <v>376</v>
      </c>
      <c r="AR19607" s="4" t="s">
        <v>377</v>
      </c>
    </row>
    <row r="19608" spans="1:44">
      <c r="A19608" s="4" t="s">
        <v>117</v>
      </c>
      <c r="B19608" s="4">
        <v>4288</v>
      </c>
      <c r="D19608" s="5" t="s">
        <v>24153</v>
      </c>
      <c r="E19608" s="6" t="str">
        <f>HYPERLINK("https://inpn.mnhn.fr/espece/cd_nom/4288","Phylloscopus collybita tristis Blyth, 1843")</f>
        <v>Phylloscopus collybita tristis Blyth, 1843</v>
      </c>
      <c r="F19608" s="5" t="s">
        <v>24154</v>
      </c>
      <c r="I19608" s="4" t="str">
        <f>HYPERLINK("#Réglementation!A"&amp;_xlfn.XMATCH("IBE3",Réglementation!A:A,2,1),"IBE3")</f>
        <v>IBE3</v>
      </c>
      <c r="L19608" s="4" t="str">
        <f>HYPERLINK("#Réglementation!A"&amp;_xlfn.XMATCH("NO3",Réglementation!A:A,2,1),"NO3")</f>
        <v>NO3</v>
      </c>
      <c r="O19608" s="7" t="str">
        <f>HYPERLINK("#Liste_rouge!A"&amp;_xlfn.XMATCH("LC",Liste_rouge!A:A,2,1),"LC")</f>
        <v>LC</v>
      </c>
      <c r="AH19608" s="4" t="str">
        <f>HYPERLINK("#Statut_biogéographique!A"&amp;_xlfn.XMATCH("P",Statut_biogéographique!A:A,2,1),"P")</f>
        <v>P</v>
      </c>
      <c r="AP19608" s="4" t="s">
        <v>376</v>
      </c>
      <c r="AR19608" s="4" t="s">
        <v>377</v>
      </c>
    </row>
    <row r="19609" spans="1:44" ht="60">
      <c r="A19609" s="4" t="s">
        <v>117</v>
      </c>
      <c r="B19609" s="4">
        <v>4289</v>
      </c>
      <c r="D19609" s="5" t="s">
        <v>24155</v>
      </c>
      <c r="E19609" s="6" t="str">
        <f>HYPERLINK("https://inpn.mnhn.fr/espece/cd_nom/4289","Phylloscopus trochilus (Linnaeus, 1758)")</f>
        <v>Phylloscopus trochilus (Linnaeus, 1758)</v>
      </c>
      <c r="F19609" s="5" t="s">
        <v>24156</v>
      </c>
      <c r="I19609" s="4" t="str">
        <f>HYPERLINK("#Réglementation!A"&amp;_xlfn.XMATCH("IBE3",Réglementation!A:A,2,1),"IBE3")</f>
        <v>IBE3</v>
      </c>
      <c r="L19609" s="4" t="str">
        <f>HYPERLINK("#Réglementation!A"&amp;_xlfn.XMATCH("NO3",Réglementation!A:A,2,1),"NO3")</f>
        <v>NO3</v>
      </c>
      <c r="O19609" s="7" t="str">
        <f>HYPERLINK("#Liste_rouge!A"&amp;_xlfn.XMATCH("LC",Liste_rouge!A:A,2,1),"LC")</f>
        <v>LC</v>
      </c>
      <c r="P19609" s="7" t="str">
        <f>HYPERLINK("#Liste_rouge!A"&amp;_xlfn.XMATCH("LC",Liste_rouge!A:A,2,1),"LC")</f>
        <v>LC</v>
      </c>
      <c r="Q19609" s="7" t="str">
        <f>HYPERLINK("#Liste_rouge!A"&amp;_xlfn.XMATCH("NT",Liste_rouge!A:A,2,1),"NT")</f>
        <v>NT</v>
      </c>
      <c r="S19609" s="7" t="str">
        <f>HYPERLINK("#Liste_rouge!A"&amp;_xlfn.XMATCH("DD",Liste_rouge!A:A,2,1),"DD")</f>
        <v>DD</v>
      </c>
      <c r="T19609" s="7" t="str">
        <f>HYPERLINK("#Liste_rouge!A"&amp;_xlfn.XMATCH("NT",Liste_rouge!A:A,2,1),"NT")</f>
        <v>NT</v>
      </c>
      <c r="U19609" s="4" t="str">
        <f>HYPERLINK("#Critères_liste_rouge!A$1","pr. A2b")</f>
        <v>pr. A2b</v>
      </c>
      <c r="V19609" s="7" t="str">
        <f>HYPERLINK("#Liste_rouge!A"&amp;_xlfn.XMATCH("DD",Liste_rouge!A:A,2,1),"DD")</f>
        <v>DD</v>
      </c>
      <c r="X19609" s="5" t="s">
        <v>23439</v>
      </c>
      <c r="Y19609" s="5" t="s">
        <v>23481</v>
      </c>
      <c r="AH19609" s="4" t="str">
        <f>HYPERLINK("#Statut_biogéographique!A"&amp;_xlfn.XMATCH("P",Statut_biogéographique!A:A,2,1),"P")</f>
        <v>P</v>
      </c>
      <c r="AM19609" s="4" t="s">
        <v>375</v>
      </c>
      <c r="AN19609" s="4" t="s">
        <v>375</v>
      </c>
      <c r="AO19609" s="4" t="s">
        <v>375</v>
      </c>
      <c r="AP19609" s="4" t="s">
        <v>376</v>
      </c>
      <c r="AR19609" s="4" t="s">
        <v>377</v>
      </c>
    </row>
    <row r="19610" spans="1:44">
      <c r="A19610" s="4" t="s">
        <v>117</v>
      </c>
      <c r="B19610" s="4">
        <v>4297</v>
      </c>
      <c r="D19610" s="5" t="s">
        <v>24157</v>
      </c>
      <c r="E19610" s="6" t="str">
        <f>HYPERLINK("https://inpn.mnhn.fr/espece/cd_nom/4297","Phylloscopus inornatus (Blyth, 1842)")</f>
        <v>Phylloscopus inornatus (Blyth, 1842)</v>
      </c>
      <c r="F19610" s="5" t="s">
        <v>24158</v>
      </c>
      <c r="I19610" s="4" t="str">
        <f>HYPERLINK("#Réglementation!A"&amp;_xlfn.XMATCH("IBE3",Réglementation!A:A,2,1),"IBE3")</f>
        <v>IBE3</v>
      </c>
      <c r="L19610" s="4" t="str">
        <f>HYPERLINK("#Réglementation!A"&amp;_xlfn.XMATCH("NO4",Réglementation!A:A,2,1),"NO4")</f>
        <v>NO4</v>
      </c>
      <c r="O19610" s="7" t="str">
        <f>HYPERLINK("#Liste_rouge!A"&amp;_xlfn.XMATCH("LC",Liste_rouge!A:A,2,1),"LC")</f>
        <v>LC</v>
      </c>
      <c r="P19610" s="7" t="str">
        <f>HYPERLINK("#Liste_rouge!A"&amp;_xlfn.XMATCH("LC",Liste_rouge!A:A,2,1),"LC")</f>
        <v>LC</v>
      </c>
      <c r="S19610" s="7" t="str">
        <f>HYPERLINK("#Liste_rouge!A"&amp;_xlfn.XMATCH("NA",Liste_rouge!A:A,2,1),"NA")</f>
        <v>NA</v>
      </c>
      <c r="AH19610" s="4" t="str">
        <f>HYPERLINK("#Statut_biogéographique!A"&amp;_xlfn.XMATCH("P",Statut_biogéographique!A:A,2,1),"P")</f>
        <v>P</v>
      </c>
      <c r="AM19610" s="4" t="s">
        <v>375</v>
      </c>
      <c r="AN19610" s="4" t="s">
        <v>375</v>
      </c>
      <c r="AO19610" s="4" t="s">
        <v>375</v>
      </c>
      <c r="AP19610" s="4" t="s">
        <v>376</v>
      </c>
      <c r="AR19610" s="4" t="s">
        <v>377</v>
      </c>
    </row>
    <row r="19611" spans="1:44" ht="30">
      <c r="A19611" s="4" t="s">
        <v>117</v>
      </c>
      <c r="B19611" s="4">
        <v>4308</v>
      </c>
      <c r="D19611" s="5" t="s">
        <v>24159</v>
      </c>
      <c r="E19611" s="6" t="str">
        <f>HYPERLINK("https://inpn.mnhn.fr/espece/cd_nom/4308","Regulus regulus (Linnaeus, 1758)")</f>
        <v>Regulus regulus (Linnaeus, 1758)</v>
      </c>
      <c r="F19611" s="5" t="s">
        <v>24160</v>
      </c>
      <c r="I19611" s="4" t="str">
        <f>HYPERLINK("#Réglementation!A"&amp;_xlfn.XMATCH("IBE2",Réglementation!A:A,2,1),"IBE2")</f>
        <v>IBE2</v>
      </c>
      <c r="L19611" s="4" t="str">
        <f>HYPERLINK("#Réglementation!A"&amp;_xlfn.XMATCH("NO3",Réglementation!A:A,2,1),"NO3")</f>
        <v>NO3</v>
      </c>
      <c r="O19611" s="7" t="str">
        <f>HYPERLINK("#Liste_rouge!A"&amp;_xlfn.XMATCH("LC",Liste_rouge!A:A,2,1),"LC")</f>
        <v>LC</v>
      </c>
      <c r="P19611" s="7" t="str">
        <f>HYPERLINK("#Liste_rouge!A"&amp;_xlfn.XMATCH("LC",Liste_rouge!A:A,2,1),"LC")</f>
        <v>LC</v>
      </c>
      <c r="Q19611" s="7" t="str">
        <f>HYPERLINK("#Liste_rouge!A"&amp;_xlfn.XMATCH("NT",Liste_rouge!A:A,2,1),"NT")</f>
        <v>NT</v>
      </c>
      <c r="R19611" s="7" t="str">
        <f>HYPERLINK("#Liste_rouge!A"&amp;_xlfn.XMATCH("NA",Liste_rouge!A:A,2,1),"NA")</f>
        <v>NA</v>
      </c>
      <c r="S19611" s="7" t="str">
        <f>HYPERLINK("#Liste_rouge!A"&amp;_xlfn.XMATCH("NA",Liste_rouge!A:A,2,1),"NA")</f>
        <v>NA</v>
      </c>
      <c r="T19611" s="7" t="str">
        <f>HYPERLINK("#Liste_rouge!A"&amp;_xlfn.XMATCH("LC",Liste_rouge!A:A,2,1),"LC")</f>
        <v>LC</v>
      </c>
      <c r="V19611" s="7" t="str">
        <f>HYPERLINK("#Liste_rouge!A"&amp;_xlfn.XMATCH("NT",Liste_rouge!A:A,2,1),"NT")</f>
        <v>NT</v>
      </c>
      <c r="W19611" s="4" t="str">
        <f>HYPERLINK("#Critères_liste_rouge!A$1","VU (A2b) (-1)")</f>
        <v>VU (A2b) (-1)</v>
      </c>
      <c r="X19611" s="5" t="s">
        <v>23439</v>
      </c>
      <c r="Y19611" s="5" t="s">
        <v>23951</v>
      </c>
      <c r="AH19611" s="4" t="str">
        <f>HYPERLINK("#Statut_biogéographique!A"&amp;_xlfn.XMATCH("P",Statut_biogéographique!A:A,2,1),"P")</f>
        <v>P</v>
      </c>
      <c r="AM19611" s="4" t="s">
        <v>375</v>
      </c>
      <c r="AN19611" s="4" t="s">
        <v>375</v>
      </c>
      <c r="AO19611" s="4" t="s">
        <v>375</v>
      </c>
      <c r="AP19611" s="4" t="s">
        <v>376</v>
      </c>
      <c r="AR19611" s="4" t="s">
        <v>377</v>
      </c>
    </row>
    <row r="19612" spans="1:44" ht="60">
      <c r="A19612" s="4" t="s">
        <v>117</v>
      </c>
      <c r="B19612" s="4">
        <v>4319</v>
      </c>
      <c r="D19612" s="5" t="s">
        <v>24161</v>
      </c>
      <c r="E19612" s="6" t="str">
        <f>HYPERLINK("https://inpn.mnhn.fr/espece/cd_nom/4319","Muscicapa striata (Pallas, 1764)")</f>
        <v>Muscicapa striata (Pallas, 1764)</v>
      </c>
      <c r="F19612" s="5" t="s">
        <v>24162</v>
      </c>
      <c r="H19612" s="4" t="str">
        <f>HYPERLINK("#Réglementation!A"&amp;_xlfn.XMATCH("IBO2",Réglementation!A:A,2,1),"IBO2")</f>
        <v>IBO2</v>
      </c>
      <c r="I19612" s="4" t="str">
        <f>HYPERLINK("#Réglementation!A"&amp;_xlfn.XMATCH("IBE2",Réglementation!A:A,2,1),"IBE2")</f>
        <v>IBE2</v>
      </c>
      <c r="L19612" s="4" t="str">
        <f>HYPERLINK("#Réglementation!A"&amp;_xlfn.XMATCH("NO3",Réglementation!A:A,2,1),"NO3")</f>
        <v>NO3</v>
      </c>
      <c r="O19612" s="7" t="str">
        <f>HYPERLINK("#Liste_rouge!A"&amp;_xlfn.XMATCH("LC",Liste_rouge!A:A,2,1),"LC")</f>
        <v>LC</v>
      </c>
      <c r="P19612" s="7" t="str">
        <f>HYPERLINK("#Liste_rouge!A"&amp;_xlfn.XMATCH("LC",Liste_rouge!A:A,2,1),"LC")</f>
        <v>LC</v>
      </c>
      <c r="Q19612" s="7" t="str">
        <f>HYPERLINK("#Liste_rouge!A"&amp;_xlfn.XMATCH("NT",Liste_rouge!A:A,2,1),"NT")</f>
        <v>NT</v>
      </c>
      <c r="S19612" s="7" t="str">
        <f>HYPERLINK("#Liste_rouge!A"&amp;_xlfn.XMATCH("DD",Liste_rouge!A:A,2,1),"DD")</f>
        <v>DD</v>
      </c>
      <c r="T19612" s="7" t="str">
        <f>HYPERLINK("#Liste_rouge!A"&amp;_xlfn.XMATCH("DD",Liste_rouge!A:A,2,1),"DD")</f>
        <v>DD</v>
      </c>
      <c r="V19612" s="7" t="str">
        <f>HYPERLINK("#Liste_rouge!A"&amp;_xlfn.XMATCH("DD",Liste_rouge!A:A,2,1),"DD")</f>
        <v>DD</v>
      </c>
      <c r="X19612" s="5" t="s">
        <v>23439</v>
      </c>
      <c r="Y19612" s="5" t="s">
        <v>23481</v>
      </c>
      <c r="AH19612" s="4" t="str">
        <f>HYPERLINK("#Statut_biogéographique!A"&amp;_xlfn.XMATCH("P",Statut_biogéographique!A:A,2,1),"P")</f>
        <v>P</v>
      </c>
      <c r="AM19612" s="4" t="s">
        <v>375</v>
      </c>
      <c r="AN19612" s="4" t="s">
        <v>375</v>
      </c>
      <c r="AO19612" s="4" t="s">
        <v>375</v>
      </c>
      <c r="AP19612" s="4" t="s">
        <v>376</v>
      </c>
      <c r="AR19612" s="4" t="s">
        <v>377</v>
      </c>
    </row>
    <row r="19613" spans="1:44">
      <c r="A19613" s="4" t="s">
        <v>117</v>
      </c>
      <c r="B19613" s="4">
        <v>4324</v>
      </c>
      <c r="D19613" s="5" t="s">
        <v>24163</v>
      </c>
      <c r="E19613" s="6" t="str">
        <f>HYPERLINK("https://inpn.mnhn.fr/espece/cd_nom/4324","Ficedula parva (Bechstein, 1792)")</f>
        <v>Ficedula parva (Bechstein, 1792)</v>
      </c>
      <c r="F19613" s="5" t="s">
        <v>24164</v>
      </c>
      <c r="H19613" s="4" t="str">
        <f>HYPERLINK("#Réglementation!A"&amp;_xlfn.XMATCH("IBO2",Réglementation!A:A,2,1),"IBO2")</f>
        <v>IBO2</v>
      </c>
      <c r="I19613" s="4" t="str">
        <f>HYPERLINK("#Réglementation!A"&amp;_xlfn.XMATCH("IBE2",Réglementation!A:A,2,1),"IBE2")</f>
        <v>IBE2</v>
      </c>
      <c r="J19613" s="4" t="str">
        <f>HYPERLINK("#Réglementation!A"&amp;_xlfn.XMATCH("CDO1",Réglementation!A:A,2,1),"CDO1")</f>
        <v>CDO1</v>
      </c>
      <c r="L19613" s="4" t="str">
        <f>HYPERLINK("#Réglementation!A"&amp;_xlfn.XMATCH("NO4",Réglementation!A:A,2,1),"NO4")</f>
        <v>NO4</v>
      </c>
      <c r="O19613" s="7" t="str">
        <f>HYPERLINK("#Liste_rouge!A"&amp;_xlfn.XMATCH("LC",Liste_rouge!A:A,2,1),"LC")</f>
        <v>LC</v>
      </c>
      <c r="P19613" s="7" t="str">
        <f>HYPERLINK("#Liste_rouge!A"&amp;_xlfn.XMATCH("LC",Liste_rouge!A:A,2,1),"LC")</f>
        <v>LC</v>
      </c>
      <c r="S19613" s="7" t="str">
        <f>HYPERLINK("#Liste_rouge!A"&amp;_xlfn.XMATCH("NA",Liste_rouge!A:A,2,1),"NA")</f>
        <v>NA</v>
      </c>
      <c r="AH19613" s="4" t="str">
        <f>HYPERLINK("#Statut_biogéographique!A"&amp;_xlfn.XMATCH("P",Statut_biogéographique!A:A,2,1),"P")</f>
        <v>P</v>
      </c>
      <c r="AM19613" s="4" t="s">
        <v>375</v>
      </c>
      <c r="AN19613" s="4" t="s">
        <v>375</v>
      </c>
      <c r="AO19613" s="4" t="s">
        <v>375</v>
      </c>
      <c r="AP19613" s="4" t="s">
        <v>376</v>
      </c>
      <c r="AR19613" s="4" t="s">
        <v>377</v>
      </c>
    </row>
    <row r="19614" spans="1:44">
      <c r="A19614" s="4" t="s">
        <v>117</v>
      </c>
      <c r="B19614" s="4">
        <v>4327</v>
      </c>
      <c r="D19614" s="5" t="s">
        <v>24165</v>
      </c>
      <c r="E19614" s="6" t="str">
        <f>HYPERLINK("https://inpn.mnhn.fr/espece/cd_nom/4327","Ficedula albicollis (Temminck, 1815)")</f>
        <v>Ficedula albicollis (Temminck, 1815)</v>
      </c>
      <c r="F19614" s="5" t="s">
        <v>24166</v>
      </c>
      <c r="H19614" s="4" t="str">
        <f>HYPERLINK("#Réglementation!A"&amp;_xlfn.XMATCH("IBO2",Réglementation!A:A,2,1),"IBO2")</f>
        <v>IBO2</v>
      </c>
      <c r="I19614" s="4" t="str">
        <f>HYPERLINK("#Réglementation!A"&amp;_xlfn.XMATCH("IBE2",Réglementation!A:A,2,1),"IBE2")</f>
        <v>IBE2</v>
      </c>
      <c r="J19614" s="4" t="str">
        <f>HYPERLINK("#Réglementation!A"&amp;_xlfn.XMATCH("CDO1",Réglementation!A:A,2,1),"CDO1")</f>
        <v>CDO1</v>
      </c>
      <c r="L19614" s="4" t="str">
        <f>HYPERLINK("#Réglementation!A"&amp;_xlfn.XMATCH("NO3",Réglementation!A:A,2,1),"NO3")</f>
        <v>NO3</v>
      </c>
      <c r="O19614" s="7" t="str">
        <f>HYPERLINK("#Liste_rouge!A"&amp;_xlfn.XMATCH("LC",Liste_rouge!A:A,2,1),"LC")</f>
        <v>LC</v>
      </c>
      <c r="P19614" s="7" t="str">
        <f>HYPERLINK("#Liste_rouge!A"&amp;_xlfn.XMATCH("LC",Liste_rouge!A:A,2,1),"LC")</f>
        <v>LC</v>
      </c>
      <c r="Q19614" s="7" t="str">
        <f>HYPERLINK("#Liste_rouge!A"&amp;_xlfn.XMATCH("NT",Liste_rouge!A:A,2,1),"NT")</f>
        <v>NT</v>
      </c>
      <c r="V19614" s="7" t="str">
        <f>HYPERLINK("#Liste_rouge!A"&amp;_xlfn.XMATCH("VU",Liste_rouge!A:A,2,1),"VU")</f>
        <v>VU</v>
      </c>
      <c r="W19614" s="4" t="str">
        <f>HYPERLINK("#Critères_liste_rouge!A$1","D1")</f>
        <v>D1</v>
      </c>
      <c r="X19614" s="5" t="s">
        <v>374</v>
      </c>
      <c r="AE19614" s="4" t="str">
        <f>HYPERLINK("#SCAP!A"&amp;_xlfn.XMATCH("1-",SCAP!A:A,2,1),"1-")</f>
        <v>1-</v>
      </c>
      <c r="AG19614" s="4" t="str">
        <f>HYPERLINK("#SCAP!A"&amp;_xlfn.XMATCH("2+",SCAP!A:A,2,1),"2+")</f>
        <v>2+</v>
      </c>
      <c r="AH19614" s="4" t="str">
        <f>HYPERLINK("#Statut_biogéographique!A"&amp;_xlfn.XMATCH("P",Statut_biogéographique!A:A,2,1),"P")</f>
        <v>P</v>
      </c>
      <c r="AM19614" s="4" t="s">
        <v>375</v>
      </c>
      <c r="AN19614" s="4" t="s">
        <v>375</v>
      </c>
      <c r="AO19614" s="4" t="s">
        <v>375</v>
      </c>
      <c r="AP19614" s="4" t="s">
        <v>376</v>
      </c>
      <c r="AR19614" s="4" t="s">
        <v>377</v>
      </c>
    </row>
    <row r="19615" spans="1:44">
      <c r="A19615" s="4" t="s">
        <v>117</v>
      </c>
      <c r="B19615" s="4">
        <v>4330</v>
      </c>
      <c r="D19615" s="5" t="s">
        <v>24167</v>
      </c>
      <c r="E19615" s="6" t="str">
        <f>HYPERLINK("https://inpn.mnhn.fr/espece/cd_nom/4330","Ficedula hypoleuca (Pallas, 1764)")</f>
        <v>Ficedula hypoleuca (Pallas, 1764)</v>
      </c>
      <c r="F19615" s="5" t="s">
        <v>24168</v>
      </c>
      <c r="H19615" s="4" t="str">
        <f>HYPERLINK("#Réglementation!A"&amp;_xlfn.XMATCH("IBO2",Réglementation!A:A,2,1),"IBO2")</f>
        <v>IBO2</v>
      </c>
      <c r="I19615" s="4" t="str">
        <f>HYPERLINK("#Réglementation!A"&amp;_xlfn.XMATCH("IBE2",Réglementation!A:A,2,1),"IBE2")</f>
        <v>IBE2</v>
      </c>
      <c r="L19615" s="4" t="str">
        <f>HYPERLINK("#Réglementation!A"&amp;_xlfn.XMATCH("NO3",Réglementation!A:A,2,1),"NO3")</f>
        <v>NO3</v>
      </c>
      <c r="O19615" s="7" t="str">
        <f>HYPERLINK("#Liste_rouge!A"&amp;_xlfn.XMATCH("LC",Liste_rouge!A:A,2,1),"LC")</f>
        <v>LC</v>
      </c>
      <c r="P19615" s="7" t="str">
        <f>HYPERLINK("#Liste_rouge!A"&amp;_xlfn.XMATCH("LC",Liste_rouge!A:A,2,1),"LC")</f>
        <v>LC</v>
      </c>
      <c r="Q19615" s="7" t="str">
        <f>HYPERLINK("#Liste_rouge!A"&amp;_xlfn.XMATCH("VU",Liste_rouge!A:A,2,1),"VU")</f>
        <v>VU</v>
      </c>
      <c r="S19615" s="7" t="str">
        <f>HYPERLINK("#Liste_rouge!A"&amp;_xlfn.XMATCH("DD",Liste_rouge!A:A,2,1),"DD")</f>
        <v>DD</v>
      </c>
      <c r="T19615" s="7" t="str">
        <f>HYPERLINK("#Liste_rouge!A"&amp;_xlfn.XMATCH("NA",Liste_rouge!A:A,2,1),"NA")</f>
        <v>NA</v>
      </c>
      <c r="U19615" s="4" t="str">
        <f>HYPERLINK("#Critères_liste_rouge!A$1","b")</f>
        <v>b</v>
      </c>
      <c r="V19615" s="7" t="str">
        <f>HYPERLINK("#Liste_rouge!A"&amp;_xlfn.XMATCH("NA",Liste_rouge!A:A,2,1),"NA")</f>
        <v>NA</v>
      </c>
      <c r="W19615" s="4" t="str">
        <f>HYPERLINK("#Critères_liste_rouge!A$1","b1")</f>
        <v>b1</v>
      </c>
      <c r="X19615" s="5" t="s">
        <v>374</v>
      </c>
      <c r="AH19615" s="4" t="str">
        <f>HYPERLINK("#Statut_biogéographique!A"&amp;_xlfn.XMATCH("P",Statut_biogéographique!A:A,2,1),"P")</f>
        <v>P</v>
      </c>
      <c r="AM19615" s="4" t="s">
        <v>375</v>
      </c>
      <c r="AN19615" s="4" t="s">
        <v>375</v>
      </c>
      <c r="AO19615" s="4" t="s">
        <v>375</v>
      </c>
      <c r="AP19615" s="4" t="s">
        <v>376</v>
      </c>
      <c r="AR19615" s="4" t="s">
        <v>377</v>
      </c>
    </row>
    <row r="19616" spans="1:44" ht="30">
      <c r="A19616" s="4" t="s">
        <v>117</v>
      </c>
      <c r="B19616" s="4">
        <v>4338</v>
      </c>
      <c r="D19616" s="5" t="s">
        <v>24169</v>
      </c>
      <c r="E19616" s="6" t="str">
        <f>HYPERLINK("https://inpn.mnhn.fr/espece/cd_nom/4338","Panurus biarmicus (Linnaeus, 1758)")</f>
        <v>Panurus biarmicus (Linnaeus, 1758)</v>
      </c>
      <c r="F19616" s="5" t="s">
        <v>24170</v>
      </c>
      <c r="I19616" s="4" t="str">
        <f>HYPERLINK("#Réglementation!A"&amp;_xlfn.XMATCH("IBE2",Réglementation!A:A,2,1),"IBE2")</f>
        <v>IBE2</v>
      </c>
      <c r="L19616" s="4" t="str">
        <f>HYPERLINK("#Réglementation!A"&amp;_xlfn.XMATCH("NO3",Réglementation!A:A,2,1),"NO3")</f>
        <v>NO3</v>
      </c>
      <c r="O19616" s="7" t="str">
        <f>HYPERLINK("#Liste_rouge!A"&amp;_xlfn.XMATCH("LC",Liste_rouge!A:A,2,1),"LC")</f>
        <v>LC</v>
      </c>
      <c r="P19616" s="7" t="str">
        <f>HYPERLINK("#Liste_rouge!A"&amp;_xlfn.XMATCH("LC",Liste_rouge!A:A,2,1),"LC")</f>
        <v>LC</v>
      </c>
      <c r="Q19616" s="7" t="str">
        <f>HYPERLINK("#Liste_rouge!A"&amp;_xlfn.XMATCH("LC",Liste_rouge!A:A,2,1),"LC")</f>
        <v>LC</v>
      </c>
      <c r="AH19616" s="4" t="str">
        <f>HYPERLINK("#Statut_biogéographique!A"&amp;_xlfn.XMATCH("P",Statut_biogéographique!A:A,2,1),"P")</f>
        <v>P</v>
      </c>
      <c r="AM19616" s="4" t="s">
        <v>375</v>
      </c>
      <c r="AN19616" s="4" t="s">
        <v>375</v>
      </c>
      <c r="AO19616" s="4" t="s">
        <v>375</v>
      </c>
      <c r="AP19616" s="4" t="s">
        <v>376</v>
      </c>
      <c r="AR19616" s="4" t="s">
        <v>377</v>
      </c>
    </row>
    <row r="19617" spans="1:44" ht="30">
      <c r="A19617" s="4" t="s">
        <v>117</v>
      </c>
      <c r="B19617" s="4">
        <v>4342</v>
      </c>
      <c r="D19617" s="5" t="s">
        <v>24171</v>
      </c>
      <c r="E19617" s="6" t="str">
        <f>HYPERLINK("https://inpn.mnhn.fr/espece/cd_nom/4342","Aegithalos caudatus (Linnaeus, 1758)")</f>
        <v>Aegithalos caudatus (Linnaeus, 1758)</v>
      </c>
      <c r="F19617" s="5" t="s">
        <v>24172</v>
      </c>
      <c r="I19617" s="4" t="str">
        <f>HYPERLINK("#Réglementation!A"&amp;_xlfn.XMATCH("IBE3",Réglementation!A:A,2,1),"IBE3")</f>
        <v>IBE3</v>
      </c>
      <c r="L19617" s="4" t="str">
        <f>HYPERLINK("#Réglementation!A"&amp;_xlfn.XMATCH("NO3",Réglementation!A:A,2,1),"NO3")</f>
        <v>NO3</v>
      </c>
      <c r="O19617" s="7" t="str">
        <f>HYPERLINK("#Liste_rouge!A"&amp;_xlfn.XMATCH("LC",Liste_rouge!A:A,2,1),"LC")</f>
        <v>LC</v>
      </c>
      <c r="P19617" s="7" t="str">
        <f>HYPERLINK("#Liste_rouge!A"&amp;_xlfn.XMATCH("LC",Liste_rouge!A:A,2,1),"LC")</f>
        <v>LC</v>
      </c>
      <c r="Q19617" s="7" t="str">
        <f>HYPERLINK("#Liste_rouge!A"&amp;_xlfn.XMATCH("LC",Liste_rouge!A:A,2,1),"LC")</f>
        <v>LC</v>
      </c>
      <c r="S19617" s="7" t="str">
        <f>HYPERLINK("#Liste_rouge!A"&amp;_xlfn.XMATCH("NA",Liste_rouge!A:A,2,1),"NA")</f>
        <v>NA</v>
      </c>
      <c r="T19617" s="7" t="str">
        <f>HYPERLINK("#Liste_rouge!A"&amp;_xlfn.XMATCH("NT",Liste_rouge!A:A,2,1),"NT")</f>
        <v>NT</v>
      </c>
      <c r="U19617" s="4" t="str">
        <f>HYPERLINK("#Critères_liste_rouge!A$1","A2b")</f>
        <v>A2b</v>
      </c>
      <c r="V19617" s="7" t="str">
        <f>HYPERLINK("#Liste_rouge!A"&amp;_xlfn.XMATCH("LC",Liste_rouge!A:A,2,1),"LC")</f>
        <v>LC</v>
      </c>
      <c r="AH19617" s="4" t="str">
        <f>HYPERLINK("#Statut_biogéographique!A"&amp;_xlfn.XMATCH("P",Statut_biogéographique!A:A,2,1),"P")</f>
        <v>P</v>
      </c>
      <c r="AM19617" s="4" t="s">
        <v>375</v>
      </c>
      <c r="AN19617" s="4" t="s">
        <v>375</v>
      </c>
      <c r="AO19617" s="4" t="s">
        <v>375</v>
      </c>
      <c r="AP19617" s="4" t="s">
        <v>376</v>
      </c>
      <c r="AR19617" s="4" t="s">
        <v>377</v>
      </c>
    </row>
    <row r="19618" spans="1:44">
      <c r="A19618" s="4" t="s">
        <v>117</v>
      </c>
      <c r="B19618" s="4">
        <v>441709</v>
      </c>
      <c r="D19618" s="5" t="s">
        <v>24173</v>
      </c>
      <c r="E19618" s="6" t="str">
        <f>HYPERLINK("https://inpn.mnhn.fr/espece/cd_nom/441709","Cairina moschata (Linnaeus, 1758)")</f>
        <v>Cairina moschata (Linnaeus, 1758)</v>
      </c>
      <c r="F19618" s="5" t="s">
        <v>24174</v>
      </c>
      <c r="H19618" s="4" t="str">
        <f>HYPERLINK("#Réglementation!A"&amp;_xlfn.XMATCH("IBO2",Réglementation!A:A,2,1),"IBO2")</f>
        <v>IBO2</v>
      </c>
      <c r="O19618" s="7" t="str">
        <f>HYPERLINK("#Liste_rouge!A"&amp;_xlfn.XMATCH("LC",Liste_rouge!A:A,2,1),"LC")</f>
        <v>LC</v>
      </c>
      <c r="AH19618" s="4" t="str">
        <f>HYPERLINK("#Statut_biogéographique!A"&amp;_xlfn.XMATCH("M",Statut_biogéographique!A:A,2,1),"M")</f>
        <v>M</v>
      </c>
      <c r="AP19618" s="4" t="s">
        <v>376</v>
      </c>
      <c r="AR19618" s="4" t="s">
        <v>377</v>
      </c>
    </row>
    <row r="19619" spans="1:44">
      <c r="A19619" s="4" t="s">
        <v>117</v>
      </c>
      <c r="B19619" s="4">
        <v>441900</v>
      </c>
      <c r="D19619" s="5" t="s">
        <v>24175</v>
      </c>
      <c r="E19619" s="6" t="str">
        <f>HYPERLINK("https://inpn.mnhn.fr/espece/cd_nom/441900","Eudocimus ruber (Linnaeus, 1758)")</f>
        <v>Eudocimus ruber (Linnaeus, 1758)</v>
      </c>
      <c r="F19619" s="5" t="s">
        <v>24176</v>
      </c>
      <c r="O19619" s="7" t="str">
        <f>HYPERLINK("#Liste_rouge!A"&amp;_xlfn.XMATCH("LC",Liste_rouge!A:A,2,1),"LC")</f>
        <v>LC</v>
      </c>
      <c r="AP19619" s="4" t="s">
        <v>376</v>
      </c>
      <c r="AR19619" s="4" t="s">
        <v>377</v>
      </c>
    </row>
    <row r="19620" spans="1:44">
      <c r="A19620" s="4" t="s">
        <v>117</v>
      </c>
      <c r="B19620" s="4">
        <v>442064</v>
      </c>
      <c r="D19620" s="5" t="s">
        <v>24177</v>
      </c>
      <c r="E19620" s="6" t="str">
        <f>HYPERLINK("https://inpn.mnhn.fr/espece/cd_nom/442064","Melopsittacus undulatus (Shaw, 1805)")</f>
        <v>Melopsittacus undulatus (Shaw, 1805)</v>
      </c>
      <c r="F19620" s="5" t="s">
        <v>24178</v>
      </c>
      <c r="O19620" s="7" t="str">
        <f>HYPERLINK("#Liste_rouge!A"&amp;_xlfn.XMATCH("LC",Liste_rouge!A:A,2,1),"LC")</f>
        <v>LC</v>
      </c>
      <c r="AH19620" s="4" t="str">
        <f>HYPERLINK("#Statut_biogéographique!A"&amp;_xlfn.XMATCH("M",Statut_biogéographique!A:A,2,1),"M")</f>
        <v>M</v>
      </c>
      <c r="AP19620" s="4" t="s">
        <v>376</v>
      </c>
      <c r="AR19620" s="4" t="s">
        <v>377</v>
      </c>
    </row>
    <row r="19621" spans="1:44">
      <c r="A19621" s="4" t="s">
        <v>117</v>
      </c>
      <c r="B19621" s="4">
        <v>4460</v>
      </c>
      <c r="D19621" s="5">
        <v>4460</v>
      </c>
      <c r="E19621" s="6" t="str">
        <f>HYPERLINK("https://inpn.mnhn.fr/espece/cd_nom/4460","Lanius senator Linnaeus, 1758")</f>
        <v>Lanius senator Linnaeus, 1758</v>
      </c>
      <c r="F19621" s="5" t="s">
        <v>24179</v>
      </c>
      <c r="I19621" s="4" t="str">
        <f>HYPERLINK("#Réglementation!A"&amp;_xlfn.XMATCH("IBE2",Réglementation!A:A,2,1),"IBE2")</f>
        <v>IBE2</v>
      </c>
      <c r="L19621" s="4" t="str">
        <f>HYPERLINK("#Réglementation!A"&amp;_xlfn.XMATCH("NO3",Réglementation!A:A,2,1),"NO3")</f>
        <v>NO3</v>
      </c>
      <c r="O19621" s="7" t="str">
        <f>HYPERLINK("#Liste_rouge!A"&amp;_xlfn.XMATCH("NT",Liste_rouge!A:A,2,1),"NT")</f>
        <v>NT</v>
      </c>
      <c r="P19621" s="7" t="str">
        <f>HYPERLINK("#Liste_rouge!A"&amp;_xlfn.XMATCH("NT",Liste_rouge!A:A,2,1),"NT")</f>
        <v>NT</v>
      </c>
      <c r="Q19621" s="7" t="str">
        <f>HYPERLINK("#Liste_rouge!A"&amp;_xlfn.XMATCH("VU",Liste_rouge!A:A,2,1),"VU")</f>
        <v>VU</v>
      </c>
      <c r="S19621" s="7" t="str">
        <f>HYPERLINK("#Liste_rouge!A"&amp;_xlfn.XMATCH("NA",Liste_rouge!A:A,2,1),"NA")</f>
        <v>NA</v>
      </c>
      <c r="T19621" s="7" t="str">
        <f>HYPERLINK("#Liste_rouge!A"&amp;_xlfn.XMATCH("NT",Liste_rouge!A:A,2,1),"NT")</f>
        <v>NT</v>
      </c>
      <c r="U19621" s="4" t="str">
        <f>HYPERLINK("#Critères_liste_rouge!A$1","pr. C1")</f>
        <v>pr. C1</v>
      </c>
      <c r="V19621" s="7" t="str">
        <f>HYPERLINK("#Liste_rouge!A"&amp;_xlfn.XMATCH("CR",Liste_rouge!A:A,2,1),"CR")</f>
        <v>CR</v>
      </c>
      <c r="W19621" s="4" t="str">
        <f>HYPERLINK("#Critères_liste_rouge!A$1","D1")</f>
        <v>D1</v>
      </c>
      <c r="X19621" s="5" t="s">
        <v>374</v>
      </c>
      <c r="AH19621" s="4" t="str">
        <f>HYPERLINK("#Statut_biogéographique!A"&amp;_xlfn.XMATCH("P",Statut_biogéographique!A:A,2,1),"P")</f>
        <v>P</v>
      </c>
      <c r="AI19621" s="8" t="s">
        <v>24180</v>
      </c>
      <c r="AJ19621" s="4" t="s">
        <v>393</v>
      </c>
      <c r="AM19621" s="4" t="s">
        <v>375</v>
      </c>
      <c r="AN19621" s="4" t="s">
        <v>375</v>
      </c>
      <c r="AO19621" s="4" t="s">
        <v>375</v>
      </c>
      <c r="AP19621" s="4" t="s">
        <v>389</v>
      </c>
      <c r="AR19621" s="4" t="s">
        <v>377</v>
      </c>
    </row>
    <row r="19622" spans="1:44">
      <c r="A19622" s="4" t="s">
        <v>117</v>
      </c>
      <c r="B19622" s="4">
        <v>4466</v>
      </c>
      <c r="D19622" s="5" t="s">
        <v>24181</v>
      </c>
      <c r="E19622" s="6" t="str">
        <f>HYPERLINK("https://inpn.mnhn.fr/espece/cd_nom/4466","Garrulus glandarius (Linnaeus, 1758)")</f>
        <v>Garrulus glandarius (Linnaeus, 1758)</v>
      </c>
      <c r="F19622" s="5" t="s">
        <v>24182</v>
      </c>
      <c r="J19622" s="4" t="str">
        <f>HYPERLINK("#Réglementation!A"&amp;_xlfn.XMATCH("CDO22",Réglementation!A:A,2,1),"CDO22")</f>
        <v>CDO22</v>
      </c>
      <c r="O19622" s="7" t="str">
        <f>HYPERLINK("#Liste_rouge!A"&amp;_xlfn.XMATCH("LC",Liste_rouge!A:A,2,1),"LC")</f>
        <v>LC</v>
      </c>
      <c r="P19622" s="7" t="str">
        <f>HYPERLINK("#Liste_rouge!A"&amp;_xlfn.XMATCH("LC",Liste_rouge!A:A,2,1),"LC")</f>
        <v>LC</v>
      </c>
      <c r="Q19622" s="7" t="str">
        <f>HYPERLINK("#Liste_rouge!A"&amp;_xlfn.XMATCH("LC",Liste_rouge!A:A,2,1),"LC")</f>
        <v>LC</v>
      </c>
      <c r="R19622" s="7" t="str">
        <f>HYPERLINK("#Liste_rouge!A"&amp;_xlfn.XMATCH("NA",Liste_rouge!A:A,2,1),"NA")</f>
        <v>NA</v>
      </c>
      <c r="T19622" s="7" t="str">
        <f>HYPERLINK("#Liste_rouge!A"&amp;_xlfn.XMATCH("LC",Liste_rouge!A:A,2,1),"LC")</f>
        <v>LC</v>
      </c>
      <c r="V19622" s="7" t="str">
        <f>HYPERLINK("#Liste_rouge!A"&amp;_xlfn.XMATCH("LC",Liste_rouge!A:A,2,1),"LC")</f>
        <v>LC</v>
      </c>
      <c r="AH19622" s="4" t="str">
        <f>HYPERLINK("#Statut_biogéographique!A"&amp;_xlfn.XMATCH("P",Statut_biogéographique!A:A,2,1),"P")</f>
        <v>P</v>
      </c>
      <c r="AM19622" s="4" t="s">
        <v>375</v>
      </c>
      <c r="AN19622" s="4" t="s">
        <v>375</v>
      </c>
      <c r="AO19622" s="4" t="s">
        <v>375</v>
      </c>
      <c r="AP19622" s="4" t="s">
        <v>376</v>
      </c>
      <c r="AR19622" s="4" t="s">
        <v>377</v>
      </c>
    </row>
    <row r="19623" spans="1:44" ht="30">
      <c r="A19623" s="4" t="s">
        <v>117</v>
      </c>
      <c r="B19623" s="4">
        <v>4474</v>
      </c>
      <c r="D19623" s="5" t="s">
        <v>24183</v>
      </c>
      <c r="E19623" s="6" t="str">
        <f>HYPERLINK("https://inpn.mnhn.fr/espece/cd_nom/4474","Pica pica (Linnaeus, 1758)")</f>
        <v>Pica pica (Linnaeus, 1758)</v>
      </c>
      <c r="F19623" s="5" t="s">
        <v>24184</v>
      </c>
      <c r="J19623" s="4" t="str">
        <f>HYPERLINK("#Réglementation!A"&amp;_xlfn.XMATCH("CDO22",Réglementation!A:A,2,1),"CDO22")</f>
        <v>CDO22</v>
      </c>
      <c r="O19623" s="7" t="str">
        <f>HYPERLINK("#Liste_rouge!A"&amp;_xlfn.XMATCH("LC",Liste_rouge!A:A,2,1),"LC")</f>
        <v>LC</v>
      </c>
      <c r="P19623" s="7" t="str">
        <f>HYPERLINK("#Liste_rouge!A"&amp;_xlfn.XMATCH("LC",Liste_rouge!A:A,2,1),"LC")</f>
        <v>LC</v>
      </c>
      <c r="Q19623" s="7" t="str">
        <f>HYPERLINK("#Liste_rouge!A"&amp;_xlfn.XMATCH("LC",Liste_rouge!A:A,2,1),"LC")</f>
        <v>LC</v>
      </c>
      <c r="T19623" s="7" t="str">
        <f>HYPERLINK("#Liste_rouge!A"&amp;_xlfn.XMATCH("LC",Liste_rouge!A:A,2,1),"LC")</f>
        <v>LC</v>
      </c>
      <c r="V19623" s="7" t="str">
        <f>HYPERLINK("#Liste_rouge!A"&amp;_xlfn.XMATCH("LC",Liste_rouge!A:A,2,1),"LC")</f>
        <v>LC</v>
      </c>
      <c r="AH19623" s="4" t="str">
        <f>HYPERLINK("#Statut_biogéographique!A"&amp;_xlfn.XMATCH("P",Statut_biogéographique!A:A,2,1),"P")</f>
        <v>P</v>
      </c>
      <c r="AM19623" s="4" t="s">
        <v>375</v>
      </c>
      <c r="AN19623" s="4" t="s">
        <v>375</v>
      </c>
      <c r="AO19623" s="4" t="s">
        <v>375</v>
      </c>
      <c r="AP19623" s="4" t="s">
        <v>376</v>
      </c>
      <c r="AR19623" s="4" t="s">
        <v>377</v>
      </c>
    </row>
    <row r="19624" spans="1:44" ht="30">
      <c r="A19624" s="4" t="s">
        <v>117</v>
      </c>
      <c r="B19624" s="4">
        <v>4480</v>
      </c>
      <c r="D19624" s="5" t="s">
        <v>24185</v>
      </c>
      <c r="E19624" s="6" t="str">
        <f>HYPERLINK("https://inpn.mnhn.fr/espece/cd_nom/4480","Nucifraga caryocatactes (Linnaeus, 1758)")</f>
        <v>Nucifraga caryocatactes (Linnaeus, 1758)</v>
      </c>
      <c r="F19624" s="5" t="s">
        <v>24186</v>
      </c>
      <c r="I19624" s="4" t="str">
        <f>HYPERLINK("#Réglementation!A"&amp;_xlfn.XMATCH("IBE2",Réglementation!A:A,2,1),"IBE2")</f>
        <v>IBE2</v>
      </c>
      <c r="L19624" s="4" t="str">
        <f>HYPERLINK("#Réglementation!A"&amp;_xlfn.XMATCH("NO3",Réglementation!A:A,2,1),"NO3")</f>
        <v>NO3</v>
      </c>
      <c r="O19624" s="7" t="str">
        <f>HYPERLINK("#Liste_rouge!A"&amp;_xlfn.XMATCH("LC",Liste_rouge!A:A,2,1),"LC")</f>
        <v>LC</v>
      </c>
      <c r="P19624" s="7" t="str">
        <f>HYPERLINK("#Liste_rouge!A"&amp;_xlfn.XMATCH("LC",Liste_rouge!A:A,2,1),"LC")</f>
        <v>LC</v>
      </c>
      <c r="Q19624" s="7" t="str">
        <f>HYPERLINK("#Liste_rouge!A"&amp;_xlfn.XMATCH("LC",Liste_rouge!A:A,2,1),"LC")</f>
        <v>LC</v>
      </c>
      <c r="S19624" s="7" t="str">
        <f>HYPERLINK("#Liste_rouge!A"&amp;_xlfn.XMATCH("NA",Liste_rouge!A:A,2,1),"NA")</f>
        <v>NA</v>
      </c>
      <c r="T19624" s="7" t="str">
        <f>HYPERLINK("#Liste_rouge!A"&amp;_xlfn.XMATCH("CR",Liste_rouge!A:A,2,1),"CR")</f>
        <v>CR</v>
      </c>
      <c r="U19624" s="4" t="str">
        <f>HYPERLINK("#Critères_liste_rouge!A$1","D1")</f>
        <v>D1</v>
      </c>
      <c r="V19624" s="7" t="str">
        <f>HYPERLINK("#Liste_rouge!A"&amp;_xlfn.XMATCH("LC",Liste_rouge!A:A,2,1),"LC")</f>
        <v>LC</v>
      </c>
      <c r="X19624" s="5" t="s">
        <v>23439</v>
      </c>
      <c r="Y19624" s="5" t="s">
        <v>24187</v>
      </c>
      <c r="AH19624" s="4" t="str">
        <f>HYPERLINK("#Statut_biogéographique!A"&amp;_xlfn.XMATCH("P",Statut_biogéographique!A:A,2,1),"P")</f>
        <v>P</v>
      </c>
      <c r="AM19624" s="4" t="s">
        <v>375</v>
      </c>
      <c r="AN19624" s="4" t="s">
        <v>375</v>
      </c>
      <c r="AO19624" s="4" t="s">
        <v>375</v>
      </c>
      <c r="AP19624" s="4" t="s">
        <v>376</v>
      </c>
      <c r="AR19624" s="4" t="s">
        <v>377</v>
      </c>
    </row>
    <row r="19625" spans="1:44">
      <c r="A19625" s="4" t="s">
        <v>117</v>
      </c>
      <c r="B19625" s="4">
        <v>4485</v>
      </c>
      <c r="D19625" s="5" t="s">
        <v>24188</v>
      </c>
      <c r="E19625" s="6" t="str">
        <f>HYPERLINK("https://inpn.mnhn.fr/espece/cd_nom/4485","Pyrrhocorax graculus (Linnaeus, 1766)")</f>
        <v>Pyrrhocorax graculus (Linnaeus, 1766)</v>
      </c>
      <c r="F19625" s="5" t="s">
        <v>24189</v>
      </c>
      <c r="I19625" s="4" t="str">
        <f>HYPERLINK("#Réglementation!A"&amp;_xlfn.XMATCH("IBE2",Réglementation!A:A,2,1),"IBE2")</f>
        <v>IBE2</v>
      </c>
      <c r="L19625" s="4" t="str">
        <f>HYPERLINK("#Réglementation!A"&amp;_xlfn.XMATCH("NO3",Réglementation!A:A,2,1),"NO3")</f>
        <v>NO3</v>
      </c>
      <c r="O19625" s="7" t="str">
        <f>HYPERLINK("#Liste_rouge!A"&amp;_xlfn.XMATCH("LC",Liste_rouge!A:A,2,1),"LC")</f>
        <v>LC</v>
      </c>
      <c r="P19625" s="7" t="str">
        <f>HYPERLINK("#Liste_rouge!A"&amp;_xlfn.XMATCH("LC",Liste_rouge!A:A,2,1),"LC")</f>
        <v>LC</v>
      </c>
      <c r="Q19625" s="7" t="str">
        <f>HYPERLINK("#Liste_rouge!A"&amp;_xlfn.XMATCH("LC",Liste_rouge!A:A,2,1),"LC")</f>
        <v>LC</v>
      </c>
      <c r="AH19625" s="4" t="str">
        <f>HYPERLINK("#Statut_biogéographique!A"&amp;_xlfn.XMATCH("P",Statut_biogéographique!A:A,2,1),"P")</f>
        <v>P</v>
      </c>
      <c r="AP19625" s="4" t="s">
        <v>376</v>
      </c>
      <c r="AR19625" s="4" t="s">
        <v>377</v>
      </c>
    </row>
    <row r="19626" spans="1:44">
      <c r="A19626" s="4" t="s">
        <v>117</v>
      </c>
      <c r="B19626" s="4">
        <v>4488</v>
      </c>
      <c r="D19626" s="5" t="s">
        <v>24190</v>
      </c>
      <c r="E19626" s="6" t="str">
        <f>HYPERLINK("https://inpn.mnhn.fr/espece/cd_nom/4488","Pyrrhocorax pyrrhocorax (Linnaeus, 1758)")</f>
        <v>Pyrrhocorax pyrrhocorax (Linnaeus, 1758)</v>
      </c>
      <c r="F19626" s="5" t="s">
        <v>24191</v>
      </c>
      <c r="I19626" s="4" t="str">
        <f>HYPERLINK("#Réglementation!A"&amp;_xlfn.XMATCH("IBE2",Réglementation!A:A,2,1),"IBE2")</f>
        <v>IBE2</v>
      </c>
      <c r="J19626" s="4" t="str">
        <f>HYPERLINK("#Réglementation!A"&amp;_xlfn.XMATCH("CDO1",Réglementation!A:A,2,1),"CDO1")</f>
        <v>CDO1</v>
      </c>
      <c r="L19626" s="4" t="str">
        <f>HYPERLINK("#Réglementation!A"&amp;_xlfn.XMATCH("NO3",Réglementation!A:A,2,1),"NO3")</f>
        <v>NO3</v>
      </c>
      <c r="O19626" s="7" t="str">
        <f>HYPERLINK("#Liste_rouge!A"&amp;_xlfn.XMATCH("LC",Liste_rouge!A:A,2,1),"LC")</f>
        <v>LC</v>
      </c>
      <c r="P19626" s="7" t="str">
        <f>HYPERLINK("#Liste_rouge!A"&amp;_xlfn.XMATCH("LC",Liste_rouge!A:A,2,1),"LC")</f>
        <v>LC</v>
      </c>
      <c r="Q19626" s="7" t="str">
        <f>HYPERLINK("#Liste_rouge!A"&amp;_xlfn.XMATCH("LC",Liste_rouge!A:A,2,1),"LC")</f>
        <v>LC</v>
      </c>
      <c r="AE19626" s="4" t="str">
        <f>HYPERLINK("#SCAP!A"&amp;_xlfn.XMATCH("2+",SCAP!A:A,2,1),"2+")</f>
        <v>2+</v>
      </c>
      <c r="AH19626" s="4" t="str">
        <f>HYPERLINK("#Statut_biogéographique!A"&amp;_xlfn.XMATCH("P",Statut_biogéographique!A:A,2,1),"P")</f>
        <v>P</v>
      </c>
      <c r="AM19626" s="4" t="s">
        <v>375</v>
      </c>
      <c r="AN19626" s="4" t="s">
        <v>375</v>
      </c>
      <c r="AO19626" s="4" t="s">
        <v>375</v>
      </c>
      <c r="AP19626" s="4" t="s">
        <v>376</v>
      </c>
      <c r="AR19626" s="4" t="s">
        <v>377</v>
      </c>
    </row>
    <row r="19627" spans="1:44">
      <c r="A19627" s="4" t="s">
        <v>117</v>
      </c>
      <c r="B19627" s="4">
        <v>4494</v>
      </c>
      <c r="D19627" s="5" t="s">
        <v>24192</v>
      </c>
      <c r="E19627" s="6" t="str">
        <f>HYPERLINK("https://inpn.mnhn.fr/espece/cd_nom/4494","Corvus monedula Linnaeus, 1758")</f>
        <v>Corvus monedula Linnaeus, 1758</v>
      </c>
      <c r="F19627" s="5" t="s">
        <v>24193</v>
      </c>
      <c r="J19627" s="4" t="str">
        <f>HYPERLINK("#Réglementation!A"&amp;_xlfn.XMATCH("CDO22",Réglementation!A:A,2,1),"CDO22")</f>
        <v>CDO22</v>
      </c>
      <c r="L19627" s="4" t="str">
        <f>HYPERLINK("#Réglementation!A"&amp;_xlfn.XMATCH("NO3",Réglementation!A:A,2,1),"NO3")</f>
        <v>NO3</v>
      </c>
      <c r="O19627" s="7" t="str">
        <f>HYPERLINK("#Liste_rouge!A"&amp;_xlfn.XMATCH("LC",Liste_rouge!A:A,2,1),"LC")</f>
        <v>LC</v>
      </c>
      <c r="P19627" s="7" t="str">
        <f>HYPERLINK("#Liste_rouge!A"&amp;_xlfn.XMATCH("LC",Liste_rouge!A:A,2,1),"LC")</f>
        <v>LC</v>
      </c>
      <c r="Q19627" s="7" t="str">
        <f>HYPERLINK("#Liste_rouge!A"&amp;_xlfn.XMATCH("LC",Liste_rouge!A:A,2,1),"LC")</f>
        <v>LC</v>
      </c>
      <c r="R19627" s="7" t="str">
        <f>HYPERLINK("#Liste_rouge!A"&amp;_xlfn.XMATCH("NA",Liste_rouge!A:A,2,1),"NA")</f>
        <v>NA</v>
      </c>
      <c r="T19627" s="7" t="str">
        <f>HYPERLINK("#Liste_rouge!A"&amp;_xlfn.XMATCH("LC",Liste_rouge!A:A,2,1),"LC")</f>
        <v>LC</v>
      </c>
      <c r="V19627" s="7" t="str">
        <f>HYPERLINK("#Liste_rouge!A"&amp;_xlfn.XMATCH("LC",Liste_rouge!A:A,2,1),"LC")</f>
        <v>LC</v>
      </c>
      <c r="AH19627" s="4" t="str">
        <f>HYPERLINK("#Statut_biogéographique!A"&amp;_xlfn.XMATCH("P",Statut_biogéographique!A:A,2,1),"P")</f>
        <v>P</v>
      </c>
      <c r="AM19627" s="4" t="s">
        <v>375</v>
      </c>
      <c r="AN19627" s="4" t="s">
        <v>375</v>
      </c>
      <c r="AO19627" s="4" t="s">
        <v>375</v>
      </c>
      <c r="AP19627" s="4" t="s">
        <v>389</v>
      </c>
      <c r="AR19627" s="4" t="s">
        <v>377</v>
      </c>
    </row>
    <row r="19628" spans="1:44">
      <c r="A19628" s="4" t="s">
        <v>117</v>
      </c>
      <c r="B19628" s="4">
        <v>4497</v>
      </c>
      <c r="D19628" s="5">
        <v>4497</v>
      </c>
      <c r="E19628" s="6" t="str">
        <f>HYPERLINK("https://inpn.mnhn.fr/espece/cd_nom/4497","Corvus monedula monedula Linnaeus, 1758")</f>
        <v>Corvus monedula monedula Linnaeus, 1758</v>
      </c>
      <c r="F19628" s="5" t="s">
        <v>24193</v>
      </c>
      <c r="J19628" s="4" t="str">
        <f>HYPERLINK("#Réglementation!A"&amp;_xlfn.XMATCH("CDO22",Réglementation!A:A,2,1),"CDO22")</f>
        <v>CDO22</v>
      </c>
      <c r="L19628" s="4" t="str">
        <f>HYPERLINK("#Réglementation!A"&amp;_xlfn.XMATCH("NO3",Réglementation!A:A,2,1),"NO3")</f>
        <v>NO3</v>
      </c>
      <c r="AH19628" s="4" t="str">
        <f>HYPERLINK("#Statut_biogéographique!A"&amp;_xlfn.XMATCH("P",Statut_biogéographique!A:A,2,1),"P")</f>
        <v>P</v>
      </c>
      <c r="AP19628" s="4" t="s">
        <v>389</v>
      </c>
      <c r="AR19628" s="4" t="s">
        <v>377</v>
      </c>
    </row>
    <row r="19629" spans="1:44" ht="30">
      <c r="A19629" s="4" t="s">
        <v>117</v>
      </c>
      <c r="B19629" s="4">
        <v>4498</v>
      </c>
      <c r="D19629" s="5" t="s">
        <v>24194</v>
      </c>
      <c r="E19629" s="6" t="str">
        <f>HYPERLINK("https://inpn.mnhn.fr/espece/cd_nom/4498","Corvus monedula soemmeringii (Fischer, 1811)")</f>
        <v>Corvus monedula soemmeringii (Fischer, 1811)</v>
      </c>
      <c r="F19629" s="5" t="s">
        <v>24195</v>
      </c>
      <c r="J19629" s="4" t="str">
        <f>HYPERLINK("#Réglementation!A"&amp;_xlfn.XMATCH("CDO22",Réglementation!A:A,2,1),"CDO22")</f>
        <v>CDO22</v>
      </c>
      <c r="L19629" s="4" t="str">
        <f>HYPERLINK("#Réglementation!A"&amp;_xlfn.XMATCH("NO3",Réglementation!A:A,2,1),"NO3")</f>
        <v>NO3</v>
      </c>
      <c r="AH19629" s="4" t="str">
        <f>HYPERLINK("#Statut_biogéographique!A"&amp;_xlfn.XMATCH("P",Statut_biogéographique!A:A,2,1),"P")</f>
        <v>P</v>
      </c>
      <c r="AP19629" s="4" t="s">
        <v>389</v>
      </c>
      <c r="AR19629" s="4" t="s">
        <v>377</v>
      </c>
    </row>
    <row r="19630" spans="1:44" ht="30">
      <c r="A19630" s="4" t="s">
        <v>117</v>
      </c>
      <c r="B19630" s="4">
        <v>4499</v>
      </c>
      <c r="D19630" s="5" t="s">
        <v>24196</v>
      </c>
      <c r="E19630" s="6" t="str">
        <f>HYPERLINK("https://inpn.mnhn.fr/espece/cd_nom/4499","Corvus monedula spermologus (Vieillot, 1821)")</f>
        <v>Corvus monedula spermologus (Vieillot, 1821)</v>
      </c>
      <c r="J19630" s="4" t="str">
        <f>HYPERLINK("#Réglementation!A"&amp;_xlfn.XMATCH("CDO22",Réglementation!A:A,2,1),"CDO22")</f>
        <v>CDO22</v>
      </c>
      <c r="L19630" s="4" t="str">
        <f>HYPERLINK("#Réglementation!A"&amp;_xlfn.XMATCH("NO3",Réglementation!A:A,2,1),"NO3")</f>
        <v>NO3</v>
      </c>
      <c r="AH19630" s="4" t="str">
        <f>HYPERLINK("#Statut_biogéographique!A"&amp;_xlfn.XMATCH("P",Statut_biogéographique!A:A,2,1),"P")</f>
        <v>P</v>
      </c>
      <c r="AP19630" s="4" t="s">
        <v>389</v>
      </c>
      <c r="AR19630" s="4" t="s">
        <v>377</v>
      </c>
    </row>
    <row r="19631" spans="1:44">
      <c r="A19631" s="4" t="s">
        <v>117</v>
      </c>
      <c r="B19631" s="4">
        <v>4501</v>
      </c>
      <c r="D19631" s="5">
        <v>4501</v>
      </c>
      <c r="E19631" s="6" t="str">
        <f>HYPERLINK("https://inpn.mnhn.fr/espece/cd_nom/4501","Corvus frugilegus Linnaeus, 1758")</f>
        <v>Corvus frugilegus Linnaeus, 1758</v>
      </c>
      <c r="F19631" s="5" t="s">
        <v>24197</v>
      </c>
      <c r="J19631" s="4" t="str">
        <f>HYPERLINK("#Réglementation!A"&amp;_xlfn.XMATCH("CDO22",Réglementation!A:A,2,1),"CDO22")</f>
        <v>CDO22</v>
      </c>
      <c r="O19631" s="7" t="str">
        <f>HYPERLINK("#Liste_rouge!A"&amp;_xlfn.XMATCH("LC",Liste_rouge!A:A,2,1),"LC")</f>
        <v>LC</v>
      </c>
      <c r="P19631" s="7" t="str">
        <f>HYPERLINK("#Liste_rouge!A"&amp;_xlfn.XMATCH("VU",Liste_rouge!A:A,2,1),"VU")</f>
        <v>VU</v>
      </c>
      <c r="Q19631" s="7" t="str">
        <f>HYPERLINK("#Liste_rouge!A"&amp;_xlfn.XMATCH("LC",Liste_rouge!A:A,2,1),"LC")</f>
        <v>LC</v>
      </c>
      <c r="R19631" s="7" t="str">
        <f>HYPERLINK("#Liste_rouge!A"&amp;_xlfn.XMATCH("LC",Liste_rouge!A:A,2,1),"LC")</f>
        <v>LC</v>
      </c>
      <c r="T19631" s="7" t="str">
        <f>HYPERLINK("#Liste_rouge!A"&amp;_xlfn.XMATCH("LC",Liste_rouge!A:A,2,1),"LC")</f>
        <v>LC</v>
      </c>
      <c r="V19631" s="7" t="str">
        <f>HYPERLINK("#Liste_rouge!A"&amp;_xlfn.XMATCH("LC",Liste_rouge!A:A,2,1),"LC")</f>
        <v>LC</v>
      </c>
      <c r="AH19631" s="4" t="str">
        <f>HYPERLINK("#Statut_biogéographique!A"&amp;_xlfn.XMATCH("P",Statut_biogéographique!A:A,2,1),"P")</f>
        <v>P</v>
      </c>
      <c r="AM19631" s="4" t="s">
        <v>375</v>
      </c>
      <c r="AN19631" s="4" t="s">
        <v>375</v>
      </c>
      <c r="AO19631" s="4" t="s">
        <v>375</v>
      </c>
      <c r="AP19631" s="4" t="s">
        <v>376</v>
      </c>
      <c r="AR19631" s="4" t="s">
        <v>377</v>
      </c>
    </row>
    <row r="19632" spans="1:44">
      <c r="A19632" s="4" t="s">
        <v>117</v>
      </c>
      <c r="B19632" s="4">
        <v>4503</v>
      </c>
      <c r="D19632" s="5">
        <v>4503</v>
      </c>
      <c r="E19632" s="6" t="str">
        <f>HYPERLINK("https://inpn.mnhn.fr/espece/cd_nom/4503","Corvus corone Linnaeus, 1758")</f>
        <v>Corvus corone Linnaeus, 1758</v>
      </c>
      <c r="F19632" s="5" t="s">
        <v>24198</v>
      </c>
      <c r="I19632" s="4" t="str">
        <f>HYPERLINK("#Réglementation!A"&amp;_xlfn.XMATCH("IBE3",Réglementation!A:A,2,1),"IBE3")</f>
        <v>IBE3</v>
      </c>
      <c r="J19632" s="4" t="str">
        <f>HYPERLINK("#Réglementation!A"&amp;_xlfn.XMATCH("CDO22",Réglementation!A:A,2,1),"CDO22")</f>
        <v>CDO22</v>
      </c>
      <c r="O19632" s="7" t="str">
        <f>HYPERLINK("#Liste_rouge!A"&amp;_xlfn.XMATCH("LC",Liste_rouge!A:A,2,1),"LC")</f>
        <v>LC</v>
      </c>
      <c r="P19632" s="7" t="str">
        <f>HYPERLINK("#Liste_rouge!A"&amp;_xlfn.XMATCH("LC",Liste_rouge!A:A,2,1),"LC")</f>
        <v>LC</v>
      </c>
      <c r="Q19632" s="7" t="str">
        <f>HYPERLINK("#Liste_rouge!A"&amp;_xlfn.XMATCH("LC",Liste_rouge!A:A,2,1),"LC")</f>
        <v>LC</v>
      </c>
      <c r="R19632" s="7" t="str">
        <f>HYPERLINK("#Liste_rouge!A"&amp;_xlfn.XMATCH("NA",Liste_rouge!A:A,2,1),"NA")</f>
        <v>NA</v>
      </c>
      <c r="T19632" s="7" t="str">
        <f>HYPERLINK("#Liste_rouge!A"&amp;_xlfn.XMATCH("LC",Liste_rouge!A:A,2,1),"LC")</f>
        <v>LC</v>
      </c>
      <c r="V19632" s="7" t="str">
        <f>HYPERLINK("#Liste_rouge!A"&amp;_xlfn.XMATCH("LC",Liste_rouge!A:A,2,1),"LC")</f>
        <v>LC</v>
      </c>
      <c r="AH19632" s="4" t="str">
        <f>HYPERLINK("#Statut_biogéographique!A"&amp;_xlfn.XMATCH("P",Statut_biogéographique!A:A,2,1),"P")</f>
        <v>P</v>
      </c>
      <c r="AM19632" s="4" t="s">
        <v>375</v>
      </c>
      <c r="AN19632" s="4" t="s">
        <v>375</v>
      </c>
      <c r="AO19632" s="4" t="s">
        <v>375</v>
      </c>
      <c r="AP19632" s="4" t="s">
        <v>376</v>
      </c>
      <c r="AR19632" s="4" t="s">
        <v>377</v>
      </c>
    </row>
    <row r="19633" spans="1:44">
      <c r="A19633" s="4" t="s">
        <v>117</v>
      </c>
      <c r="B19633" s="4">
        <v>4505</v>
      </c>
      <c r="D19633" s="5" t="s">
        <v>24199</v>
      </c>
      <c r="E19633" s="6" t="str">
        <f>HYPERLINK("https://inpn.mnhn.fr/espece/cd_nom/4505","Corvus corone cornix Linnaeus, 1758")</f>
        <v>Corvus corone cornix Linnaeus, 1758</v>
      </c>
      <c r="F19633" s="5" t="s">
        <v>24200</v>
      </c>
      <c r="J19633" s="4" t="str">
        <f>HYPERLINK("#Réglementation!A"&amp;_xlfn.XMATCH("CDO22",Réglementation!A:A,2,1),"CDO22")</f>
        <v>CDO22</v>
      </c>
      <c r="L19633" s="4" t="str">
        <f>HYPERLINK("#Réglementation!A"&amp;_xlfn.XMATCH("NO3",Réglementation!A:A,2,1),"NO3")</f>
        <v>NO3</v>
      </c>
      <c r="R19633" s="7" t="str">
        <f>HYPERLINK("#Liste_rouge!A"&amp;_xlfn.XMATCH("NA",Liste_rouge!A:A,2,1),"NA")</f>
        <v>NA</v>
      </c>
      <c r="V19633" s="7" t="str">
        <f>HYPERLINK("#Liste_rouge!A"&amp;_xlfn.XMATCH("NA",Liste_rouge!A:A,2,1),"NA")</f>
        <v>NA</v>
      </c>
      <c r="W19633" s="4" t="str">
        <f>HYPERLINK("#Critères_liste_rouge!A$1","b1")</f>
        <v>b1</v>
      </c>
      <c r="AH19633" s="4" t="str">
        <f>HYPERLINK("#Statut_biogéographique!A"&amp;_xlfn.XMATCH("B",Statut_biogéographique!A:A,2,1),"B")</f>
        <v>B</v>
      </c>
      <c r="AM19633" s="4" t="s">
        <v>375</v>
      </c>
      <c r="AN19633" s="4" t="s">
        <v>375</v>
      </c>
      <c r="AO19633" s="4" t="s">
        <v>375</v>
      </c>
      <c r="AP19633" s="4" t="s">
        <v>376</v>
      </c>
      <c r="AR19633" s="4" t="s">
        <v>377</v>
      </c>
    </row>
    <row r="19634" spans="1:44" ht="60">
      <c r="A19634" s="4" t="s">
        <v>117</v>
      </c>
      <c r="B19634" s="4">
        <v>4510</v>
      </c>
      <c r="D19634" s="5" t="s">
        <v>24201</v>
      </c>
      <c r="E19634" s="6" t="str">
        <f>HYPERLINK("https://inpn.mnhn.fr/espece/cd_nom/4510","Corvus corax Linnaeus, 1758")</f>
        <v>Corvus corax Linnaeus, 1758</v>
      </c>
      <c r="F19634" s="5" t="s">
        <v>24202</v>
      </c>
      <c r="I19634" s="4" t="str">
        <f>HYPERLINK("#Réglementation!A"&amp;_xlfn.XMATCH("IBE3",Réglementation!A:A,2,1),"IBE3")</f>
        <v>IBE3</v>
      </c>
      <c r="L19634" s="4" t="str">
        <f>HYPERLINK("#Réglementation!A"&amp;_xlfn.XMATCH("NO3",Réglementation!A:A,2,1),"NO3")</f>
        <v>NO3</v>
      </c>
      <c r="O19634" s="7" t="str">
        <f>HYPERLINK("#Liste_rouge!A"&amp;_xlfn.XMATCH("LC",Liste_rouge!A:A,2,1),"LC")</f>
        <v>LC</v>
      </c>
      <c r="P19634" s="7" t="str">
        <f>HYPERLINK("#Liste_rouge!A"&amp;_xlfn.XMATCH("LC",Liste_rouge!A:A,2,1),"LC")</f>
        <v>LC</v>
      </c>
      <c r="Q19634" s="7" t="str">
        <f>HYPERLINK("#Liste_rouge!A"&amp;_xlfn.XMATCH("LC",Liste_rouge!A:A,2,1),"LC")</f>
        <v>LC</v>
      </c>
      <c r="T19634" s="7" t="str">
        <f>HYPERLINK("#Liste_rouge!A"&amp;_xlfn.XMATCH("NA",Liste_rouge!A:A,2,1),"NA")</f>
        <v>NA</v>
      </c>
      <c r="U19634" s="4" t="str">
        <f>HYPERLINK("#Critères_liste_rouge!A$1","b")</f>
        <v>b</v>
      </c>
      <c r="V19634" s="7" t="str">
        <f>HYPERLINK("#Liste_rouge!A"&amp;_xlfn.XMATCH("NT",Liste_rouge!A:A,2,1),"NT")</f>
        <v>NT</v>
      </c>
      <c r="W19634" s="4" t="str">
        <f>HYPERLINK("#Critères_liste_rouge!A$1","VU (D1) (-1)")</f>
        <v>VU (D1) (-1)</v>
      </c>
      <c r="X19634" s="5" t="s">
        <v>23442</v>
      </c>
      <c r="Y19634" s="5" t="s">
        <v>24203</v>
      </c>
      <c r="AH19634" s="4" t="str">
        <f>HYPERLINK("#Statut_biogéographique!A"&amp;_xlfn.XMATCH("P",Statut_biogéographique!A:A,2,1),"P")</f>
        <v>P</v>
      </c>
      <c r="AM19634" s="4" t="s">
        <v>375</v>
      </c>
      <c r="AN19634" s="4" t="s">
        <v>375</v>
      </c>
      <c r="AO19634" s="4" t="s">
        <v>375</v>
      </c>
      <c r="AP19634" s="4" t="s">
        <v>376</v>
      </c>
      <c r="AR19634" s="4" t="s">
        <v>377</v>
      </c>
    </row>
    <row r="19635" spans="1:44">
      <c r="A19635" s="4" t="s">
        <v>117</v>
      </c>
      <c r="B19635" s="4">
        <v>4516</v>
      </c>
      <c r="D19635" s="5">
        <v>4516</v>
      </c>
      <c r="E19635" s="6" t="str">
        <f>HYPERLINK("https://inpn.mnhn.fr/espece/cd_nom/4516","Sturnus vulgaris Linnaeus, 1758")</f>
        <v>Sturnus vulgaris Linnaeus, 1758</v>
      </c>
      <c r="F19635" s="5" t="s">
        <v>24204</v>
      </c>
      <c r="J19635" s="4" t="str">
        <f>HYPERLINK("#Réglementation!A"&amp;_xlfn.XMATCH("CDO22",Réglementation!A:A,2,1),"CDO22")</f>
        <v>CDO22</v>
      </c>
      <c r="O19635" s="7" t="str">
        <f>HYPERLINK("#Liste_rouge!A"&amp;_xlfn.XMATCH("LC",Liste_rouge!A:A,2,1),"LC")</f>
        <v>LC</v>
      </c>
      <c r="P19635" s="7" t="str">
        <f>HYPERLINK("#Liste_rouge!A"&amp;_xlfn.XMATCH("LC",Liste_rouge!A:A,2,1),"LC")</f>
        <v>LC</v>
      </c>
      <c r="Q19635" s="7" t="str">
        <f>HYPERLINK("#Liste_rouge!A"&amp;_xlfn.XMATCH("LC",Liste_rouge!A:A,2,1),"LC")</f>
        <v>LC</v>
      </c>
      <c r="R19635" s="7" t="str">
        <f>HYPERLINK("#Liste_rouge!A"&amp;_xlfn.XMATCH("LC",Liste_rouge!A:A,2,1),"LC")</f>
        <v>LC</v>
      </c>
      <c r="S19635" s="7" t="str">
        <f>HYPERLINK("#Liste_rouge!A"&amp;_xlfn.XMATCH("NA",Liste_rouge!A:A,2,1),"NA")</f>
        <v>NA</v>
      </c>
      <c r="T19635" s="7" t="str">
        <f>HYPERLINK("#Liste_rouge!A"&amp;_xlfn.XMATCH("LC",Liste_rouge!A:A,2,1),"LC")</f>
        <v>LC</v>
      </c>
      <c r="V19635" s="7" t="str">
        <f>HYPERLINK("#Liste_rouge!A"&amp;_xlfn.XMATCH("LC",Liste_rouge!A:A,2,1),"LC")</f>
        <v>LC</v>
      </c>
      <c r="AH19635" s="4" t="str">
        <f>HYPERLINK("#Statut_biogéographique!A"&amp;_xlfn.XMATCH("P",Statut_biogéographique!A:A,2,1),"P")</f>
        <v>P</v>
      </c>
      <c r="AK19635" s="4" t="str">
        <f>HYPERLINK("#Réglementation!A"&amp;_xlfn.XMATCH("Ngib_ch_1",Réglementation!A:A,2,1),"Ngib_ch_1")</f>
        <v>Ngib_ch_1</v>
      </c>
      <c r="AM19635" s="4" t="s">
        <v>375</v>
      </c>
      <c r="AN19635" s="4" t="s">
        <v>375</v>
      </c>
      <c r="AO19635" s="4" t="s">
        <v>375</v>
      </c>
      <c r="AP19635" s="4" t="s">
        <v>376</v>
      </c>
      <c r="AR19635" s="4" t="s">
        <v>377</v>
      </c>
    </row>
    <row r="19636" spans="1:44">
      <c r="A19636" s="4" t="s">
        <v>117</v>
      </c>
      <c r="B19636" s="4">
        <v>4518</v>
      </c>
      <c r="D19636" s="5">
        <v>4518</v>
      </c>
      <c r="E19636" s="6" t="str">
        <f>HYPERLINK("https://inpn.mnhn.fr/espece/cd_nom/4518","Sturnus unicolor Temminck, 1820")</f>
        <v>Sturnus unicolor Temminck, 1820</v>
      </c>
      <c r="F19636" s="5" t="s">
        <v>24205</v>
      </c>
      <c r="I19636" s="4" t="str">
        <f>HYPERLINK("#Réglementation!A"&amp;_xlfn.XMATCH("IBE2",Réglementation!A:A,2,1),"IBE2")</f>
        <v>IBE2</v>
      </c>
      <c r="L19636" s="4" t="str">
        <f>HYPERLINK("#Réglementation!A"&amp;_xlfn.XMATCH("NO3",Réglementation!A:A,2,1),"NO3")</f>
        <v>NO3</v>
      </c>
      <c r="O19636" s="7" t="str">
        <f>HYPERLINK("#Liste_rouge!A"&amp;_xlfn.XMATCH("LC",Liste_rouge!A:A,2,1),"LC")</f>
        <v>LC</v>
      </c>
      <c r="P19636" s="7" t="str">
        <f>HYPERLINK("#Liste_rouge!A"&amp;_xlfn.XMATCH("LC",Liste_rouge!A:A,2,1),"LC")</f>
        <v>LC</v>
      </c>
      <c r="Q19636" s="7" t="str">
        <f>HYPERLINK("#Liste_rouge!A"&amp;_xlfn.XMATCH("LC",Liste_rouge!A:A,2,1),"LC")</f>
        <v>LC</v>
      </c>
      <c r="AH19636" s="4" t="str">
        <f>HYPERLINK("#Statut_biogéographique!A"&amp;_xlfn.XMATCH("P",Statut_biogéographique!A:A,2,1),"P")</f>
        <v>P</v>
      </c>
      <c r="AP19636" s="4" t="s">
        <v>376</v>
      </c>
      <c r="AR19636" s="4" t="s">
        <v>377</v>
      </c>
    </row>
    <row r="19637" spans="1:44">
      <c r="A19637" s="4" t="s">
        <v>117</v>
      </c>
      <c r="B19637" s="4">
        <v>4522</v>
      </c>
      <c r="D19637" s="5" t="s">
        <v>24206</v>
      </c>
      <c r="E19637" s="6" t="str">
        <f>HYPERLINK("https://inpn.mnhn.fr/espece/cd_nom/4522","Pastor roseus (Linnaeus, 1758)")</f>
        <v>Pastor roseus (Linnaeus, 1758)</v>
      </c>
      <c r="F19637" s="5" t="s">
        <v>24207</v>
      </c>
      <c r="I19637" s="4" t="str">
        <f>HYPERLINK("#Réglementation!A"&amp;_xlfn.XMATCH("IBE2",Réglementation!A:A,2,1),"IBE2")</f>
        <v>IBE2</v>
      </c>
      <c r="L19637" s="4" t="str">
        <f>HYPERLINK("#Réglementation!A"&amp;_xlfn.XMATCH("NO4",Réglementation!A:A,2,1),"NO4")</f>
        <v>NO4</v>
      </c>
      <c r="O19637" s="7" t="str">
        <f>HYPERLINK("#Liste_rouge!A"&amp;_xlfn.XMATCH("LC",Liste_rouge!A:A,2,1),"LC")</f>
        <v>LC</v>
      </c>
      <c r="P19637" s="7" t="str">
        <f>HYPERLINK("#Liste_rouge!A"&amp;_xlfn.XMATCH("LC",Liste_rouge!A:A,2,1),"LC")</f>
        <v>LC</v>
      </c>
      <c r="S19637" s="7" t="str">
        <f>HYPERLINK("#Liste_rouge!A"&amp;_xlfn.XMATCH("NA",Liste_rouge!A:A,2,1),"NA")</f>
        <v>NA</v>
      </c>
      <c r="AH19637" s="4" t="str">
        <f>HYPERLINK("#Statut_biogéographique!A"&amp;_xlfn.XMATCH("B",Statut_biogéographique!A:A,2,1),"B")</f>
        <v>B</v>
      </c>
      <c r="AP19637" s="4" t="s">
        <v>376</v>
      </c>
      <c r="AR19637" s="4" t="s">
        <v>377</v>
      </c>
    </row>
    <row r="19638" spans="1:44">
      <c r="A19638" s="4" t="s">
        <v>117</v>
      </c>
      <c r="B19638" s="4">
        <v>4525</v>
      </c>
      <c r="D19638" s="5" t="s">
        <v>24208</v>
      </c>
      <c r="E19638" s="6" t="str">
        <f>HYPERLINK("https://inpn.mnhn.fr/espece/cd_nom/4525","Passer domesticus (Linnaeus, 1758)")</f>
        <v>Passer domesticus (Linnaeus, 1758)</v>
      </c>
      <c r="F19638" s="5" t="s">
        <v>24209</v>
      </c>
      <c r="L19638" s="4" t="str">
        <f>HYPERLINK("#Réglementation!A"&amp;_xlfn.XMATCH("NO3",Réglementation!A:A,2,1),"NO3")</f>
        <v>NO3</v>
      </c>
      <c r="O19638" s="7" t="str">
        <f>HYPERLINK("#Liste_rouge!A"&amp;_xlfn.XMATCH("LC",Liste_rouge!A:A,2,1),"LC")</f>
        <v>LC</v>
      </c>
      <c r="P19638" s="7" t="str">
        <f>HYPERLINK("#Liste_rouge!A"&amp;_xlfn.XMATCH("LC",Liste_rouge!A:A,2,1),"LC")</f>
        <v>LC</v>
      </c>
      <c r="Q19638" s="7" t="str">
        <f>HYPERLINK("#Liste_rouge!A"&amp;_xlfn.XMATCH("LC",Liste_rouge!A:A,2,1),"LC")</f>
        <v>LC</v>
      </c>
      <c r="S19638" s="7" t="str">
        <f>HYPERLINK("#Liste_rouge!A"&amp;_xlfn.XMATCH("NA",Liste_rouge!A:A,2,1),"NA")</f>
        <v>NA</v>
      </c>
      <c r="T19638" s="7" t="str">
        <f>HYPERLINK("#Liste_rouge!A"&amp;_xlfn.XMATCH("LC",Liste_rouge!A:A,2,1),"LC")</f>
        <v>LC</v>
      </c>
      <c r="V19638" s="7" t="str">
        <f>HYPERLINK("#Liste_rouge!A"&amp;_xlfn.XMATCH("LC",Liste_rouge!A:A,2,1),"LC")</f>
        <v>LC</v>
      </c>
      <c r="AH19638" s="4" t="str">
        <f>HYPERLINK("#Statut_biogéographique!A"&amp;_xlfn.XMATCH("P",Statut_biogéographique!A:A,2,1),"P")</f>
        <v>P</v>
      </c>
      <c r="AM19638" s="4" t="s">
        <v>375</v>
      </c>
      <c r="AN19638" s="4" t="s">
        <v>375</v>
      </c>
      <c r="AO19638" s="4" t="s">
        <v>375</v>
      </c>
      <c r="AP19638" s="4" t="s">
        <v>376</v>
      </c>
      <c r="AR19638" s="4" t="s">
        <v>377</v>
      </c>
    </row>
    <row r="19639" spans="1:44">
      <c r="A19639" s="4" t="s">
        <v>117</v>
      </c>
      <c r="B19639" s="4">
        <v>4532</v>
      </c>
      <c r="D19639" s="5" t="s">
        <v>24210</v>
      </c>
      <c r="E19639" s="6" t="str">
        <f>HYPERLINK("https://inpn.mnhn.fr/espece/cd_nom/4532","Passer montanus (Linnaeus, 1758)")</f>
        <v>Passer montanus (Linnaeus, 1758)</v>
      </c>
      <c r="F19639" s="5" t="s">
        <v>24211</v>
      </c>
      <c r="I19639" s="4" t="str">
        <f>HYPERLINK("#Réglementation!A"&amp;_xlfn.XMATCH("IBE3",Réglementation!A:A,2,1),"IBE3")</f>
        <v>IBE3</v>
      </c>
      <c r="L19639" s="4" t="str">
        <f>HYPERLINK("#Réglementation!A"&amp;_xlfn.XMATCH("NO3",Réglementation!A:A,2,1),"NO3")</f>
        <v>NO3</v>
      </c>
      <c r="O19639" s="7" t="str">
        <f>HYPERLINK("#Liste_rouge!A"&amp;_xlfn.XMATCH("LC",Liste_rouge!A:A,2,1),"LC")</f>
        <v>LC</v>
      </c>
      <c r="P19639" s="7" t="str">
        <f>HYPERLINK("#Liste_rouge!A"&amp;_xlfn.XMATCH("LC",Liste_rouge!A:A,2,1),"LC")</f>
        <v>LC</v>
      </c>
      <c r="Q19639" s="7" t="str">
        <f>HYPERLINK("#Liste_rouge!A"&amp;_xlfn.XMATCH("EN",Liste_rouge!A:A,2,1),"EN")</f>
        <v>EN</v>
      </c>
      <c r="T19639" s="7" t="str">
        <f>HYPERLINK("#Liste_rouge!A"&amp;_xlfn.XMATCH("EN",Liste_rouge!A:A,2,1),"EN")</f>
        <v>EN</v>
      </c>
      <c r="U19639" s="4" t="str">
        <f>HYPERLINK("#Critères_liste_rouge!A$1","A2b")</f>
        <v>A2b</v>
      </c>
      <c r="V19639" s="7" t="str">
        <f>HYPERLINK("#Liste_rouge!A"&amp;_xlfn.XMATCH("EN",Liste_rouge!A:A,2,1),"EN")</f>
        <v>EN</v>
      </c>
      <c r="W19639" s="4" t="str">
        <f>HYPERLINK("#Critères_liste_rouge!A$1","A2b")</f>
        <v>A2b</v>
      </c>
      <c r="X19639" s="5" t="s">
        <v>374</v>
      </c>
      <c r="AH19639" s="4" t="str">
        <f>HYPERLINK("#Statut_biogéographique!A"&amp;_xlfn.XMATCH("P",Statut_biogéographique!A:A,2,1),"P")</f>
        <v>P</v>
      </c>
      <c r="AM19639" s="4" t="s">
        <v>375</v>
      </c>
      <c r="AN19639" s="4" t="s">
        <v>375</v>
      </c>
      <c r="AO19639" s="4" t="s">
        <v>375</v>
      </c>
      <c r="AP19639" s="4" t="s">
        <v>389</v>
      </c>
      <c r="AR19639" s="4" t="s">
        <v>377</v>
      </c>
    </row>
    <row r="19640" spans="1:44">
      <c r="A19640" s="4" t="s">
        <v>117</v>
      </c>
      <c r="B19640" s="4">
        <v>4537</v>
      </c>
      <c r="D19640" s="5" t="s">
        <v>24212</v>
      </c>
      <c r="E19640" s="6" t="str">
        <f>HYPERLINK("https://inpn.mnhn.fr/espece/cd_nom/4537","Montifringilla nivalis (Linnaeus, 1766)")</f>
        <v>Montifringilla nivalis (Linnaeus, 1766)</v>
      </c>
      <c r="F19640" s="5" t="s">
        <v>24213</v>
      </c>
      <c r="I19640" s="4" t="str">
        <f>HYPERLINK("#Réglementation!A"&amp;_xlfn.XMATCH("IBE2",Réglementation!A:A,2,1),"IBE2")</f>
        <v>IBE2</v>
      </c>
      <c r="L19640" s="4" t="str">
        <f>HYPERLINK("#Réglementation!A"&amp;_xlfn.XMATCH("NO3",Réglementation!A:A,2,1),"NO3")</f>
        <v>NO3</v>
      </c>
      <c r="O19640" s="7" t="str">
        <f>HYPERLINK("#Liste_rouge!A"&amp;_xlfn.XMATCH("LC",Liste_rouge!A:A,2,1),"LC")</f>
        <v>LC</v>
      </c>
      <c r="P19640" s="7" t="str">
        <f>HYPERLINK("#Liste_rouge!A"&amp;_xlfn.XMATCH("LC",Liste_rouge!A:A,2,1),"LC")</f>
        <v>LC</v>
      </c>
      <c r="Q19640" s="7" t="str">
        <f>HYPERLINK("#Liste_rouge!A"&amp;_xlfn.XMATCH("LC",Liste_rouge!A:A,2,1),"LC")</f>
        <v>LC</v>
      </c>
      <c r="AH19640" s="4" t="str">
        <f>HYPERLINK("#Statut_biogéographique!A"&amp;_xlfn.XMATCH("P",Statut_biogéographique!A:A,2,1),"P")</f>
        <v>P</v>
      </c>
      <c r="AM19640" s="4" t="s">
        <v>375</v>
      </c>
      <c r="AN19640" s="4" t="s">
        <v>375</v>
      </c>
      <c r="AO19640" s="4" t="s">
        <v>375</v>
      </c>
      <c r="AP19640" s="4" t="s">
        <v>376</v>
      </c>
      <c r="AR19640" s="4" t="s">
        <v>377</v>
      </c>
    </row>
    <row r="19641" spans="1:44">
      <c r="A19641" s="4" t="s">
        <v>117</v>
      </c>
      <c r="B19641" s="4">
        <v>4540</v>
      </c>
      <c r="D19641" s="5" t="s">
        <v>24214</v>
      </c>
      <c r="E19641" s="6" t="str">
        <f>HYPERLINK("https://inpn.mnhn.fr/espece/cd_nom/4540","Petronia petronia (Linnaeus, 1766)")</f>
        <v>Petronia petronia (Linnaeus, 1766)</v>
      </c>
      <c r="F19641" s="5" t="s">
        <v>24215</v>
      </c>
      <c r="I19641" s="4" t="str">
        <f>HYPERLINK("#Réglementation!A"&amp;_xlfn.XMATCH("IBE2",Réglementation!A:A,2,1),"IBE2")</f>
        <v>IBE2</v>
      </c>
      <c r="L19641" s="4" t="str">
        <f>HYPERLINK("#Réglementation!A"&amp;_xlfn.XMATCH("NO3",Réglementation!A:A,2,1),"NO3")</f>
        <v>NO3</v>
      </c>
      <c r="O19641" s="7" t="str">
        <f>HYPERLINK("#Liste_rouge!A"&amp;_xlfn.XMATCH("LC",Liste_rouge!A:A,2,1),"LC")</f>
        <v>LC</v>
      </c>
      <c r="P19641" s="7" t="str">
        <f>HYPERLINK("#Liste_rouge!A"&amp;_xlfn.XMATCH("LC",Liste_rouge!A:A,2,1),"LC")</f>
        <v>LC</v>
      </c>
      <c r="Q19641" s="7" t="str">
        <f>HYPERLINK("#Liste_rouge!A"&amp;_xlfn.XMATCH("LC",Liste_rouge!A:A,2,1),"LC")</f>
        <v>LC</v>
      </c>
      <c r="T19641" s="7" t="str">
        <f>HYPERLINK("#Liste_rouge!A"&amp;_xlfn.XMATCH("LC",Liste_rouge!A:A,2,1),"LC")</f>
        <v>LC</v>
      </c>
      <c r="AH19641" s="4" t="str">
        <f>HYPERLINK("#Statut_biogéographique!A"&amp;_xlfn.XMATCH("P",Statut_biogéographique!A:A,2,1),"P")</f>
        <v>P</v>
      </c>
      <c r="AP19641" s="4" t="s">
        <v>376</v>
      </c>
      <c r="AR19641" s="4" t="s">
        <v>377</v>
      </c>
    </row>
    <row r="19642" spans="1:44">
      <c r="A19642" s="4" t="s">
        <v>117</v>
      </c>
      <c r="B19642" s="4">
        <v>4564</v>
      </c>
      <c r="D19642" s="5" t="s">
        <v>24216</v>
      </c>
      <c r="E19642" s="6" t="str">
        <f>HYPERLINK("https://inpn.mnhn.fr/espece/cd_nom/4564","Fringilla coelebs Linnaeus, 1758")</f>
        <v>Fringilla coelebs Linnaeus, 1758</v>
      </c>
      <c r="F19642" s="5" t="s">
        <v>24217</v>
      </c>
      <c r="I19642" s="4" t="str">
        <f>HYPERLINK("#Réglementation!A"&amp;_xlfn.XMATCH("IBE3",Réglementation!A:A,2,1),"IBE3")</f>
        <v>IBE3</v>
      </c>
      <c r="L19642" s="4" t="str">
        <f>HYPERLINK("#Réglementation!A"&amp;_xlfn.XMATCH("NO3",Réglementation!A:A,2,1),"NO3")</f>
        <v>NO3</v>
      </c>
      <c r="O19642" s="7" t="str">
        <f>HYPERLINK("#Liste_rouge!A"&amp;_xlfn.XMATCH("LC",Liste_rouge!A:A,2,1),"LC")</f>
        <v>LC</v>
      </c>
      <c r="P19642" s="7" t="str">
        <f>HYPERLINK("#Liste_rouge!A"&amp;_xlfn.XMATCH("LC",Liste_rouge!A:A,2,1),"LC")</f>
        <v>LC</v>
      </c>
      <c r="Q19642" s="7" t="str">
        <f>HYPERLINK("#Liste_rouge!A"&amp;_xlfn.XMATCH("LC",Liste_rouge!A:A,2,1),"LC")</f>
        <v>LC</v>
      </c>
      <c r="R19642" s="7" t="str">
        <f>HYPERLINK("#Liste_rouge!A"&amp;_xlfn.XMATCH("NA",Liste_rouge!A:A,2,1),"NA")</f>
        <v>NA</v>
      </c>
      <c r="S19642" s="7" t="str">
        <f>HYPERLINK("#Liste_rouge!A"&amp;_xlfn.XMATCH("NA",Liste_rouge!A:A,2,1),"NA")</f>
        <v>NA</v>
      </c>
      <c r="T19642" s="7" t="str">
        <f>HYPERLINK("#Liste_rouge!A"&amp;_xlfn.XMATCH("LC",Liste_rouge!A:A,2,1),"LC")</f>
        <v>LC</v>
      </c>
      <c r="V19642" s="7" t="str">
        <f>HYPERLINK("#Liste_rouge!A"&amp;_xlfn.XMATCH("LC",Liste_rouge!A:A,2,1),"LC")</f>
        <v>LC</v>
      </c>
      <c r="AH19642" s="4" t="str">
        <f>HYPERLINK("#Statut_biogéographique!A"&amp;_xlfn.XMATCH("P",Statut_biogéographique!A:A,2,1),"P")</f>
        <v>P</v>
      </c>
      <c r="AM19642" s="4" t="s">
        <v>375</v>
      </c>
      <c r="AN19642" s="4" t="s">
        <v>375</v>
      </c>
      <c r="AO19642" s="4" t="s">
        <v>375</v>
      </c>
      <c r="AP19642" s="4" t="s">
        <v>376</v>
      </c>
      <c r="AR19642" s="4" t="s">
        <v>377</v>
      </c>
    </row>
    <row r="19643" spans="1:44">
      <c r="A19643" s="4" t="s">
        <v>117</v>
      </c>
      <c r="B19643" s="4">
        <v>4568</v>
      </c>
      <c r="D19643" s="5">
        <v>4568</v>
      </c>
      <c r="E19643" s="6" t="str">
        <f>HYPERLINK("https://inpn.mnhn.fr/espece/cd_nom/4568","Fringilla montifringilla Linnaeus, 1758")</f>
        <v>Fringilla montifringilla Linnaeus, 1758</v>
      </c>
      <c r="F19643" s="5" t="s">
        <v>24218</v>
      </c>
      <c r="I19643" s="4" t="str">
        <f>HYPERLINK("#Réglementation!A"&amp;_xlfn.XMATCH("IBE3",Réglementation!A:A,2,1),"IBE3")</f>
        <v>IBE3</v>
      </c>
      <c r="L19643" s="4" t="str">
        <f>HYPERLINK("#Réglementation!A"&amp;_xlfn.XMATCH("NO3",Réglementation!A:A,2,1),"NO3")</f>
        <v>NO3</v>
      </c>
      <c r="O19643" s="7" t="str">
        <f>HYPERLINK("#Liste_rouge!A"&amp;_xlfn.XMATCH("LC",Liste_rouge!A:A,2,1),"LC")</f>
        <v>LC</v>
      </c>
      <c r="P19643" s="7" t="str">
        <f>HYPERLINK("#Liste_rouge!A"&amp;_xlfn.XMATCH("LC",Liste_rouge!A:A,2,1),"LC")</f>
        <v>LC</v>
      </c>
      <c r="R19643" s="7" t="str">
        <f>HYPERLINK("#Liste_rouge!A"&amp;_xlfn.XMATCH("DD",Liste_rouge!A:A,2,1),"DD")</f>
        <v>DD</v>
      </c>
      <c r="S19643" s="7" t="str">
        <f>HYPERLINK("#Liste_rouge!A"&amp;_xlfn.XMATCH("NA",Liste_rouge!A:A,2,1),"NA")</f>
        <v>NA</v>
      </c>
      <c r="AH19643" s="4" t="str">
        <f>HYPERLINK("#Statut_biogéographique!A"&amp;_xlfn.XMATCH("P",Statut_biogéographique!A:A,2,1),"P")</f>
        <v>P</v>
      </c>
      <c r="AM19643" s="4" t="s">
        <v>375</v>
      </c>
      <c r="AN19643" s="4" t="s">
        <v>375</v>
      </c>
      <c r="AO19643" s="4" t="s">
        <v>375</v>
      </c>
      <c r="AP19643" s="4" t="s">
        <v>376</v>
      </c>
      <c r="AR19643" s="4" t="s">
        <v>377</v>
      </c>
    </row>
    <row r="19644" spans="1:44" ht="30">
      <c r="A19644" s="4" t="s">
        <v>117</v>
      </c>
      <c r="B19644" s="4">
        <v>4571</v>
      </c>
      <c r="D19644" s="5" t="s">
        <v>24219</v>
      </c>
      <c r="E19644" s="6" t="str">
        <f>HYPERLINK("https://inpn.mnhn.fr/espece/cd_nom/4571","Serinus serinus (Linnaeus, 1766)")</f>
        <v>Serinus serinus (Linnaeus, 1766)</v>
      </c>
      <c r="F19644" s="5" t="s">
        <v>24220</v>
      </c>
      <c r="I19644" s="4" t="str">
        <f>HYPERLINK("#Réglementation!A"&amp;_xlfn.XMATCH("IBE2",Réglementation!A:A,2,1),"IBE2")</f>
        <v>IBE2</v>
      </c>
      <c r="L19644" s="4" t="str">
        <f>HYPERLINK("#Réglementation!A"&amp;_xlfn.XMATCH("NO3",Réglementation!A:A,2,1),"NO3")</f>
        <v>NO3</v>
      </c>
      <c r="O19644" s="7" t="str">
        <f>HYPERLINK("#Liste_rouge!A"&amp;_xlfn.XMATCH("LC",Liste_rouge!A:A,2,1),"LC")</f>
        <v>LC</v>
      </c>
      <c r="P19644" s="7" t="str">
        <f>HYPERLINK("#Liste_rouge!A"&amp;_xlfn.XMATCH("LC",Liste_rouge!A:A,2,1),"LC")</f>
        <v>LC</v>
      </c>
      <c r="Q19644" s="7" t="str">
        <f>HYPERLINK("#Liste_rouge!A"&amp;_xlfn.XMATCH("VU",Liste_rouge!A:A,2,1),"VU")</f>
        <v>VU</v>
      </c>
      <c r="S19644" s="7" t="str">
        <f>HYPERLINK("#Liste_rouge!A"&amp;_xlfn.XMATCH("NA",Liste_rouge!A:A,2,1),"NA")</f>
        <v>NA</v>
      </c>
      <c r="T19644" s="7" t="str">
        <f>HYPERLINK("#Liste_rouge!A"&amp;_xlfn.XMATCH("DD",Liste_rouge!A:A,2,1),"DD")</f>
        <v>DD</v>
      </c>
      <c r="V19644" s="7" t="str">
        <f>HYPERLINK("#Liste_rouge!A"&amp;_xlfn.XMATCH("EN",Liste_rouge!A:A,2,1),"EN")</f>
        <v>EN</v>
      </c>
      <c r="W19644" s="4" t="str">
        <f>HYPERLINK("#Critères_liste_rouge!A$1","A2b")</f>
        <v>A2b</v>
      </c>
      <c r="X19644" s="5" t="s">
        <v>23439</v>
      </c>
      <c r="Y19644" s="5" t="s">
        <v>23944</v>
      </c>
      <c r="AH19644" s="4" t="str">
        <f>HYPERLINK("#Statut_biogéographique!A"&amp;_xlfn.XMATCH("P",Statut_biogéographique!A:A,2,1),"P")</f>
        <v>P</v>
      </c>
      <c r="AM19644" s="4" t="s">
        <v>375</v>
      </c>
      <c r="AN19644" s="4" t="s">
        <v>375</v>
      </c>
      <c r="AO19644" s="4" t="s">
        <v>375</v>
      </c>
      <c r="AP19644" s="4" t="s">
        <v>376</v>
      </c>
      <c r="AR19644" s="4" t="s">
        <v>377</v>
      </c>
    </row>
    <row r="19645" spans="1:44" ht="60">
      <c r="A19645" s="4" t="s">
        <v>117</v>
      </c>
      <c r="B19645" s="4">
        <v>4576</v>
      </c>
      <c r="D19645" s="5" t="s">
        <v>24221</v>
      </c>
      <c r="E19645" s="6" t="str">
        <f>HYPERLINK("https://inpn.mnhn.fr/espece/cd_nom/4576","Carduelis citrinella (Pallas, 1764)")</f>
        <v>Carduelis citrinella (Pallas, 1764)</v>
      </c>
      <c r="F19645" s="5" t="s">
        <v>24222</v>
      </c>
      <c r="I19645" s="4" t="str">
        <f>HYPERLINK("#Réglementation!A"&amp;_xlfn.XMATCH("IBE2",Réglementation!A:A,2,1),"IBE2")</f>
        <v>IBE2</v>
      </c>
      <c r="L19645" s="4" t="str">
        <f>HYPERLINK("#Réglementation!A"&amp;_xlfn.XMATCH("NO3",Réglementation!A:A,2,1),"NO3")</f>
        <v>NO3</v>
      </c>
      <c r="O19645" s="7" t="str">
        <f>HYPERLINK("#Liste_rouge!A"&amp;_xlfn.XMATCH("LC",Liste_rouge!A:A,2,1),"LC")</f>
        <v>LC</v>
      </c>
      <c r="P19645" s="7" t="str">
        <f>HYPERLINK("#Liste_rouge!A"&amp;_xlfn.XMATCH("LC",Liste_rouge!A:A,2,1),"LC")</f>
        <v>LC</v>
      </c>
      <c r="Q19645" s="7" t="str">
        <f>HYPERLINK("#Liste_rouge!A"&amp;_xlfn.XMATCH("NT",Liste_rouge!A:A,2,1),"NT")</f>
        <v>NT</v>
      </c>
      <c r="V19645" s="7" t="str">
        <f>HYPERLINK("#Liste_rouge!A"&amp;_xlfn.XMATCH("CR",Liste_rouge!A:A,2,1),"CR")</f>
        <v>CR</v>
      </c>
      <c r="W19645" s="4" t="str">
        <f>HYPERLINK("#Critères_liste_rouge!A$1","D1")</f>
        <v>D1</v>
      </c>
      <c r="X19645" s="5" t="s">
        <v>23442</v>
      </c>
      <c r="Y19645" s="5" t="s">
        <v>23629</v>
      </c>
      <c r="AH19645" s="4" t="str">
        <f>HYPERLINK("#Statut_biogéographique!A"&amp;_xlfn.XMATCH("P",Statut_biogéographique!A:A,2,1),"P")</f>
        <v>P</v>
      </c>
      <c r="AM19645" s="4" t="s">
        <v>375</v>
      </c>
      <c r="AN19645" s="4" t="s">
        <v>375</v>
      </c>
      <c r="AO19645" s="4" t="s">
        <v>375</v>
      </c>
      <c r="AP19645" s="4" t="s">
        <v>376</v>
      </c>
      <c r="AR19645" s="4" t="s">
        <v>377</v>
      </c>
    </row>
    <row r="19646" spans="1:44" ht="60">
      <c r="A19646" s="4" t="s">
        <v>117</v>
      </c>
      <c r="B19646" s="4">
        <v>4582</v>
      </c>
      <c r="D19646" s="5" t="s">
        <v>24223</v>
      </c>
      <c r="E19646" s="6" t="str">
        <f>HYPERLINK("https://inpn.mnhn.fr/espece/cd_nom/4582","Chloris chloris (Linnaeus, 1758)")</f>
        <v>Chloris chloris (Linnaeus, 1758)</v>
      </c>
      <c r="F19646" s="5" t="s">
        <v>24224</v>
      </c>
      <c r="I19646" s="4" t="str">
        <f>HYPERLINK("#Réglementation!A"&amp;_xlfn.XMATCH("IBE2",Réglementation!A:A,2,1),"IBE2")</f>
        <v>IBE2</v>
      </c>
      <c r="L19646" s="4" t="str">
        <f>HYPERLINK("#Réglementation!A"&amp;_xlfn.XMATCH("NO3",Réglementation!A:A,2,1),"NO3")</f>
        <v>NO3</v>
      </c>
      <c r="O19646" s="7" t="str">
        <f>HYPERLINK("#Liste_rouge!A"&amp;_xlfn.XMATCH("LC",Liste_rouge!A:A,2,1),"LC")</f>
        <v>LC</v>
      </c>
      <c r="P19646" s="7" t="str">
        <f>HYPERLINK("#Liste_rouge!A"&amp;_xlfn.XMATCH("LC",Liste_rouge!A:A,2,1),"LC")</f>
        <v>LC</v>
      </c>
      <c r="Q19646" s="7" t="str">
        <f>HYPERLINK("#Liste_rouge!A"&amp;_xlfn.XMATCH("VU",Liste_rouge!A:A,2,1),"VU")</f>
        <v>VU</v>
      </c>
      <c r="R19646" s="7" t="str">
        <f>HYPERLINK("#Liste_rouge!A"&amp;_xlfn.XMATCH("NA",Liste_rouge!A:A,2,1),"NA")</f>
        <v>NA</v>
      </c>
      <c r="S19646" s="7" t="str">
        <f>HYPERLINK("#Liste_rouge!A"&amp;_xlfn.XMATCH("NA",Liste_rouge!A:A,2,1),"NA")</f>
        <v>NA</v>
      </c>
      <c r="T19646" s="7" t="str">
        <f>HYPERLINK("#Liste_rouge!A"&amp;_xlfn.XMATCH("LC",Liste_rouge!A:A,2,1),"LC")</f>
        <v>LC</v>
      </c>
      <c r="V19646" s="7" t="str">
        <f>HYPERLINK("#Liste_rouge!A"&amp;_xlfn.XMATCH("LC",Liste_rouge!A:A,2,1),"LC")</f>
        <v>LC</v>
      </c>
      <c r="X19646" s="5" t="s">
        <v>23439</v>
      </c>
      <c r="Y19646" s="5" t="s">
        <v>23481</v>
      </c>
      <c r="AH19646" s="4" t="str">
        <f>HYPERLINK("#Statut_biogéographique!A"&amp;_xlfn.XMATCH("P",Statut_biogéographique!A:A,2,1),"P")</f>
        <v>P</v>
      </c>
      <c r="AM19646" s="4" t="s">
        <v>375</v>
      </c>
      <c r="AN19646" s="4" t="s">
        <v>375</v>
      </c>
      <c r="AO19646" s="4" t="s">
        <v>375</v>
      </c>
      <c r="AP19646" s="4" t="s">
        <v>376</v>
      </c>
      <c r="AR19646" s="4" t="s">
        <v>377</v>
      </c>
    </row>
    <row r="19647" spans="1:44" ht="30">
      <c r="A19647" s="4" t="s">
        <v>117</v>
      </c>
      <c r="B19647" s="4">
        <v>4583</v>
      </c>
      <c r="D19647" s="5" t="s">
        <v>24225</v>
      </c>
      <c r="E19647" s="6" t="str">
        <f>HYPERLINK("https://inpn.mnhn.fr/espece/cd_nom/4583","Carduelis carduelis (Linnaeus, 1758)")</f>
        <v>Carduelis carduelis (Linnaeus, 1758)</v>
      </c>
      <c r="F19647" s="5" t="s">
        <v>24226</v>
      </c>
      <c r="I19647" s="4" t="str">
        <f>HYPERLINK("#Réglementation!A"&amp;_xlfn.XMATCH("IBE2",Réglementation!A:A,2,1),"IBE2")</f>
        <v>IBE2</v>
      </c>
      <c r="L19647" s="4" t="str">
        <f>HYPERLINK("#Réglementation!A"&amp;_xlfn.XMATCH("NO3",Réglementation!A:A,2,1),"NO3")</f>
        <v>NO3</v>
      </c>
      <c r="O19647" s="7" t="str">
        <f>HYPERLINK("#Liste_rouge!A"&amp;_xlfn.XMATCH("LC",Liste_rouge!A:A,2,1),"LC")</f>
        <v>LC</v>
      </c>
      <c r="P19647" s="7" t="str">
        <f>HYPERLINK("#Liste_rouge!A"&amp;_xlfn.XMATCH("LC",Liste_rouge!A:A,2,1),"LC")</f>
        <v>LC</v>
      </c>
      <c r="Q19647" s="7" t="str">
        <f>HYPERLINK("#Liste_rouge!A"&amp;_xlfn.XMATCH("VU",Liste_rouge!A:A,2,1),"VU")</f>
        <v>VU</v>
      </c>
      <c r="R19647" s="7" t="str">
        <f>HYPERLINK("#Liste_rouge!A"&amp;_xlfn.XMATCH("NA",Liste_rouge!A:A,2,1),"NA")</f>
        <v>NA</v>
      </c>
      <c r="S19647" s="7" t="str">
        <f>HYPERLINK("#Liste_rouge!A"&amp;_xlfn.XMATCH("NA",Liste_rouge!A:A,2,1),"NA")</f>
        <v>NA</v>
      </c>
      <c r="T19647" s="7" t="str">
        <f>HYPERLINK("#Liste_rouge!A"&amp;_xlfn.XMATCH("VU",Liste_rouge!A:A,2,1),"VU")</f>
        <v>VU</v>
      </c>
      <c r="U19647" s="4" t="str">
        <f>HYPERLINK("#Critères_liste_rouge!A$1","A2b")</f>
        <v>A2b</v>
      </c>
      <c r="V19647" s="7" t="str">
        <f>HYPERLINK("#Liste_rouge!A"&amp;_xlfn.XMATCH("VU",Liste_rouge!A:A,2,1),"VU")</f>
        <v>VU</v>
      </c>
      <c r="W19647" s="4" t="str">
        <f>HYPERLINK("#Critères_liste_rouge!A$1","A2b")</f>
        <v>A2b</v>
      </c>
      <c r="X19647" s="5" t="s">
        <v>23439</v>
      </c>
      <c r="Y19647" s="5" t="s">
        <v>23944</v>
      </c>
      <c r="AH19647" s="4" t="str">
        <f>HYPERLINK("#Statut_biogéographique!A"&amp;_xlfn.XMATCH("P",Statut_biogéographique!A:A,2,1),"P")</f>
        <v>P</v>
      </c>
      <c r="AM19647" s="4" t="s">
        <v>375</v>
      </c>
      <c r="AN19647" s="4" t="s">
        <v>375</v>
      </c>
      <c r="AO19647" s="4" t="s">
        <v>375</v>
      </c>
      <c r="AP19647" s="4" t="s">
        <v>376</v>
      </c>
      <c r="AR19647" s="4" t="s">
        <v>377</v>
      </c>
    </row>
    <row r="19648" spans="1:44">
      <c r="A19648" s="4" t="s">
        <v>117</v>
      </c>
      <c r="B19648" s="4">
        <v>459460</v>
      </c>
      <c r="D19648" s="5" t="s">
        <v>24227</v>
      </c>
      <c r="E19648" s="6" t="str">
        <f>HYPERLINK("https://inpn.mnhn.fr/espece/cd_nom/459460","Actitis macularius (Linnaeus, 1766)")</f>
        <v>Actitis macularius (Linnaeus, 1766)</v>
      </c>
      <c r="F19648" s="5" t="s">
        <v>24228</v>
      </c>
      <c r="H19648" s="4" t="str">
        <f>HYPERLINK("#Réglementation!A"&amp;_xlfn.XMATCH("IBO2",Réglementation!A:A,2,1),"IBO2")</f>
        <v>IBO2</v>
      </c>
      <c r="I19648" s="4" t="str">
        <f>HYPERLINK("#Réglementation!A"&amp;_xlfn.XMATCH("IBE2",Réglementation!A:A,2,1),"IBE2")</f>
        <v>IBE2</v>
      </c>
      <c r="L19648" s="4" t="str">
        <f>HYPERLINK("#Réglementation!A"&amp;_xlfn.XMATCH("NO4",Réglementation!A:A,2,1),"NO4")</f>
        <v>NO4</v>
      </c>
      <c r="O19648" s="7" t="str">
        <f>HYPERLINK("#Liste_rouge!A"&amp;_xlfn.XMATCH("LC",Liste_rouge!A:A,2,1),"LC")</f>
        <v>LC</v>
      </c>
      <c r="S19648" s="7" t="str">
        <f>HYPERLINK("#Liste_rouge!A"&amp;_xlfn.XMATCH("NA",Liste_rouge!A:A,2,1),"NA")</f>
        <v>NA</v>
      </c>
      <c r="AH19648" s="4" t="str">
        <f>HYPERLINK("#Statut_biogéographique!A"&amp;_xlfn.XMATCH("B",Statut_biogéographique!A:A,2,1),"B")</f>
        <v>B</v>
      </c>
      <c r="AM19648" s="4" t="s">
        <v>375</v>
      </c>
      <c r="AN19648" s="4" t="s">
        <v>375</v>
      </c>
      <c r="AO19648" s="4" t="s">
        <v>375</v>
      </c>
      <c r="AP19648" s="4" t="s">
        <v>389</v>
      </c>
      <c r="AR19648" s="4" t="s">
        <v>377</v>
      </c>
    </row>
    <row r="19649" spans="1:44">
      <c r="A19649" s="4" t="s">
        <v>117</v>
      </c>
      <c r="B19649" s="4">
        <v>459478</v>
      </c>
      <c r="D19649" s="5" t="s">
        <v>24229</v>
      </c>
      <c r="E19649" s="6" t="str">
        <f>HYPERLINK("https://inpn.mnhn.fr/espece/cd_nom/459478","Delichon urbicum (Linnaeus, 1758)")</f>
        <v>Delichon urbicum (Linnaeus, 1758)</v>
      </c>
      <c r="F19649" s="5" t="s">
        <v>24230</v>
      </c>
      <c r="I19649" s="4" t="str">
        <f>HYPERLINK("#Réglementation!A"&amp;_xlfn.XMATCH("IBE2",Réglementation!A:A,2,1),"IBE2")</f>
        <v>IBE2</v>
      </c>
      <c r="L19649" s="4" t="str">
        <f>HYPERLINK("#Réglementation!A"&amp;_xlfn.XMATCH("NO3",Réglementation!A:A,2,1),"NO3")</f>
        <v>NO3</v>
      </c>
      <c r="O19649" s="7" t="str">
        <f>HYPERLINK("#Liste_rouge!A"&amp;_xlfn.XMATCH("LC",Liste_rouge!A:A,2,1),"LC")</f>
        <v>LC</v>
      </c>
      <c r="P19649" s="7" t="str">
        <f>HYPERLINK("#Liste_rouge!A"&amp;_xlfn.XMATCH("LC",Liste_rouge!A:A,2,1),"LC")</f>
        <v>LC</v>
      </c>
      <c r="Q19649" s="7" t="str">
        <f>HYPERLINK("#Liste_rouge!A"&amp;_xlfn.XMATCH("NT",Liste_rouge!A:A,2,1),"NT")</f>
        <v>NT</v>
      </c>
      <c r="S19649" s="7" t="str">
        <f>HYPERLINK("#Liste_rouge!A"&amp;_xlfn.XMATCH("DD",Liste_rouge!A:A,2,1),"DD")</f>
        <v>DD</v>
      </c>
      <c r="T19649" s="7" t="str">
        <f>HYPERLINK("#Liste_rouge!A"&amp;_xlfn.XMATCH("NT",Liste_rouge!A:A,2,1),"NT")</f>
        <v>NT</v>
      </c>
      <c r="U19649" s="4" t="str">
        <f>HYPERLINK("#Critères_liste_rouge!A$1","pr. A2a")</f>
        <v>pr. A2a</v>
      </c>
      <c r="V19649" s="7" t="str">
        <f>HYPERLINK("#Liste_rouge!A"&amp;_xlfn.XMATCH("NT",Liste_rouge!A:A,2,1),"NT")</f>
        <v>NT</v>
      </c>
      <c r="W19649" s="4" t="str">
        <f>HYPERLINK("#Critères_liste_rouge!A$1","pr. A2a")</f>
        <v>pr. A2a</v>
      </c>
      <c r="AH19649" s="4" t="str">
        <f>HYPERLINK("#Statut_biogéographique!A"&amp;_xlfn.XMATCH("P",Statut_biogéographique!A:A,2,1),"P")</f>
        <v>P</v>
      </c>
      <c r="AM19649" s="4" t="s">
        <v>375</v>
      </c>
      <c r="AN19649" s="4" t="s">
        <v>375</v>
      </c>
      <c r="AO19649" s="4" t="s">
        <v>375</v>
      </c>
      <c r="AP19649" s="4" t="s">
        <v>376</v>
      </c>
      <c r="AR19649" s="4" t="s">
        <v>377</v>
      </c>
    </row>
    <row r="19650" spans="1:44">
      <c r="A19650" s="4" t="s">
        <v>117</v>
      </c>
      <c r="B19650" s="4">
        <v>459626</v>
      </c>
      <c r="D19650" s="5" t="s">
        <v>24231</v>
      </c>
      <c r="E19650" s="6" t="str">
        <f>HYPERLINK("https://inpn.mnhn.fr/espece/cd_nom/459626","Alopochen aegyptiaca (Linnaeus, 1766)")</f>
        <v>Alopochen aegyptiaca (Linnaeus, 1766)</v>
      </c>
      <c r="F19650" s="5" t="s">
        <v>24232</v>
      </c>
      <c r="G19650" s="4" t="str">
        <f>HYPERLINK("[#Réglementation!A"&amp;_xlfn.XMATCH("CCC",Réglementation!A:A,2,1),"CCC")</f>
        <v>CCC</v>
      </c>
      <c r="H19650" s="4" t="str">
        <f>HYPERLINK("#Réglementation!A"&amp;_xlfn.XMATCH("IBOAE",Réglementation!A:A,2,1),"IBOAE - IBO2")</f>
        <v>IBOAE - IBO2</v>
      </c>
      <c r="I19650" s="4" t="str">
        <f>HYPERLINK("#Réglementation!A"&amp;_xlfn.XMATCH("IBE3",Réglementation!A:A,2,1),"IBE3")</f>
        <v>IBE3</v>
      </c>
      <c r="O19650" s="7" t="str">
        <f>HYPERLINK("#Liste_rouge!A"&amp;_xlfn.XMATCH("LC",Liste_rouge!A:A,2,1),"LC")</f>
        <v>LC</v>
      </c>
      <c r="Q19650" s="7" t="str">
        <f>HYPERLINK("#Liste_rouge!A"&amp;_xlfn.XMATCH("NA",Liste_rouge!A:A,2,1),"NA")</f>
        <v>NA</v>
      </c>
      <c r="T19650" s="7" t="str">
        <f>HYPERLINK("#Liste_rouge!A"&amp;_xlfn.XMATCH("NA",Liste_rouge!A:A,2,1),"NA")</f>
        <v>NA</v>
      </c>
      <c r="U19650" s="4" t="str">
        <f>HYPERLINK("#Critères_liste_rouge!A$1","a")</f>
        <v>a</v>
      </c>
      <c r="V19650" s="7" t="str">
        <f>HYPERLINK("#Liste_rouge!A"&amp;_xlfn.XMATCH("NA",Liste_rouge!A:A,2,1),"NA")</f>
        <v>NA</v>
      </c>
      <c r="W19650" s="4" t="str">
        <f>HYPERLINK("#Critères_liste_rouge!A$1","a")</f>
        <v>a</v>
      </c>
      <c r="AH19650" s="4" t="str">
        <f>HYPERLINK("#Statut_biogéographique!A"&amp;_xlfn.XMATCH("I",Statut_biogéographique!A:A,2,1),"I")</f>
        <v>I</v>
      </c>
      <c r="AL19650" s="5" t="str">
        <f>HYPERLINK("#Réglementation!A"&amp;_xlfn.XMATCH("FRnoEEEA2",Réglementation!A:A,2,1),"FRnoEEEA2 - EEEUE")</f>
        <v>FRnoEEEA2 - EEEUE</v>
      </c>
      <c r="AM19650" s="4" t="s">
        <v>375</v>
      </c>
      <c r="AN19650" s="4" t="s">
        <v>375</v>
      </c>
      <c r="AO19650" s="4" t="s">
        <v>375</v>
      </c>
      <c r="AP19650" s="4" t="s">
        <v>376</v>
      </c>
      <c r="AR19650" s="4" t="s">
        <v>377</v>
      </c>
    </row>
    <row r="19651" spans="1:44">
      <c r="A19651" s="4" t="s">
        <v>117</v>
      </c>
      <c r="B19651" s="4">
        <v>459627</v>
      </c>
      <c r="D19651" s="5" t="s">
        <v>24233</v>
      </c>
      <c r="E19651" s="6" t="str">
        <f>HYPERLINK("https://inpn.mnhn.fr/espece/cd_nom/459627","Chlidonias hybrida (Pallas, 1811)")</f>
        <v>Chlidonias hybrida (Pallas, 1811)</v>
      </c>
      <c r="F19651" s="5" t="s">
        <v>24234</v>
      </c>
      <c r="H19651" s="4" t="str">
        <f>HYPERLINK("#Réglementation!A"&amp;_xlfn.XMATCH("IBOAE",Réglementation!A:A,2,1),"IBOAE")</f>
        <v>IBOAE</v>
      </c>
      <c r="I19651" s="4" t="str">
        <f>HYPERLINK("#Réglementation!A"&amp;_xlfn.XMATCH("IBE2",Réglementation!A:A,2,1),"IBE2")</f>
        <v>IBE2</v>
      </c>
      <c r="J19651" s="4" t="str">
        <f>HYPERLINK("#Réglementation!A"&amp;_xlfn.XMATCH("CDO1",Réglementation!A:A,2,1),"CDO1")</f>
        <v>CDO1</v>
      </c>
      <c r="L19651" s="4" t="str">
        <f>HYPERLINK("#Réglementation!A"&amp;_xlfn.XMATCH("NO3",Réglementation!A:A,2,1),"NO3")</f>
        <v>NO3</v>
      </c>
      <c r="O19651" s="7" t="str">
        <f>HYPERLINK("#Liste_rouge!A"&amp;_xlfn.XMATCH("LC",Liste_rouge!A:A,2,1),"LC")</f>
        <v>LC</v>
      </c>
      <c r="P19651" s="7" t="str">
        <f>HYPERLINK("#Liste_rouge!A"&amp;_xlfn.XMATCH("LC",Liste_rouge!A:A,2,1),"LC")</f>
        <v>LC</v>
      </c>
      <c r="Q19651" s="7" t="str">
        <f>HYPERLINK("#Liste_rouge!A"&amp;_xlfn.XMATCH("VU",Liste_rouge!A:A,2,1),"VU")</f>
        <v>VU</v>
      </c>
      <c r="S19651" s="7" t="str">
        <f>HYPERLINK("#Liste_rouge!A"&amp;_xlfn.XMATCH("NA",Liste_rouge!A:A,2,1),"NA")</f>
        <v>NA</v>
      </c>
      <c r="T19651" s="7" t="str">
        <f>HYPERLINK("#Liste_rouge!A"&amp;_xlfn.XMATCH("NT",Liste_rouge!A:A,2,1),"NT")</f>
        <v>NT</v>
      </c>
      <c r="AE19651" s="4" t="str">
        <f>HYPERLINK("#SCAP!A"&amp;_xlfn.XMATCH("1-",SCAP!A:A,2,1),"1-")</f>
        <v>1-</v>
      </c>
      <c r="AH19651" s="4" t="str">
        <f>HYPERLINK("#Statut_biogéographique!A"&amp;_xlfn.XMATCH("P",Statut_biogéographique!A:A,2,1),"P")</f>
        <v>P</v>
      </c>
      <c r="AM19651" s="4" t="s">
        <v>375</v>
      </c>
      <c r="AN19651" s="4" t="s">
        <v>375</v>
      </c>
      <c r="AO19651" s="4" t="s">
        <v>375</v>
      </c>
      <c r="AP19651" s="4" t="s">
        <v>389</v>
      </c>
      <c r="AR19651" s="4" t="s">
        <v>377</v>
      </c>
    </row>
    <row r="19652" spans="1:44">
      <c r="A19652" s="4" t="s">
        <v>117</v>
      </c>
      <c r="B19652" s="4">
        <v>459629</v>
      </c>
      <c r="D19652" s="5" t="s">
        <v>24235</v>
      </c>
      <c r="E19652" s="6" t="str">
        <f>HYPERLINK("https://inpn.mnhn.fr/espece/cd_nom/459629","Lagopus muta (Montin, 1776)")</f>
        <v>Lagopus muta (Montin, 1776)</v>
      </c>
      <c r="F19652" s="5" t="s">
        <v>24236</v>
      </c>
      <c r="I19652" s="4" t="str">
        <f>HYPERLINK("#Réglementation!A"&amp;_xlfn.XMATCH("IBE3",Réglementation!A:A,2,1),"IBE3")</f>
        <v>IBE3</v>
      </c>
      <c r="J19652" s="4" t="str">
        <f>HYPERLINK("#Réglementation!A"&amp;_xlfn.XMATCH("CDO21",Réglementation!A:A,2,1),"CDO21 - CDO32")</f>
        <v>CDO21 - CDO32</v>
      </c>
      <c r="L19652" s="4" t="str">
        <f>HYPERLINK("#Réglementation!A"&amp;_xlfn.XMATCH("OC3",Réglementation!A:A,2,1),"OC3")</f>
        <v>OC3</v>
      </c>
      <c r="O19652" s="7" t="str">
        <f>HYPERLINK("#Liste_rouge!A"&amp;_xlfn.XMATCH("LC",Liste_rouge!A:A,2,1),"LC")</f>
        <v>LC</v>
      </c>
      <c r="P19652" s="7" t="str">
        <f>HYPERLINK("#Liste_rouge!A"&amp;_xlfn.XMATCH("LC",Liste_rouge!A:A,2,1),"LC")</f>
        <v>LC</v>
      </c>
      <c r="Q19652" s="7" t="str">
        <f>HYPERLINK("#Liste_rouge!A"&amp;_xlfn.XMATCH("NT",Liste_rouge!A:A,2,1),"NT")</f>
        <v>NT</v>
      </c>
      <c r="AH19652" s="4" t="str">
        <f>HYPERLINK("#Statut_biogéographique!A"&amp;_xlfn.XMATCH("P",Statut_biogéographique!A:A,2,1),"P")</f>
        <v>P</v>
      </c>
      <c r="AK19652" s="4" t="str">
        <f>HYPERLINK("#Réglementation!A"&amp;_xlfn.XMATCH("Ngib_ch_1",Réglementation!A:A,2,1),"Ngib_ch_1")</f>
        <v>Ngib_ch_1</v>
      </c>
      <c r="AP19652" s="4" t="s">
        <v>376</v>
      </c>
      <c r="AR19652" s="4" t="s">
        <v>377</v>
      </c>
    </row>
    <row r="19653" spans="1:44" ht="30">
      <c r="A19653" s="4" t="s">
        <v>117</v>
      </c>
      <c r="B19653" s="4">
        <v>459630</v>
      </c>
      <c r="D19653" s="5" t="s">
        <v>24237</v>
      </c>
      <c r="E19653" s="6" t="str">
        <f>HYPERLINK("https://inpn.mnhn.fr/espece/cd_nom/459630","Lanius isabellinus Hemprich &amp; Ehrenberg, 1833")</f>
        <v>Lanius isabellinus Hemprich &amp; Ehrenberg, 1833</v>
      </c>
      <c r="F19653" s="5" t="s">
        <v>24238</v>
      </c>
      <c r="I19653" s="4" t="str">
        <f>HYPERLINK("#Réglementation!A"&amp;_xlfn.XMATCH("IBE2",Réglementation!A:A,2,1),"IBE2")</f>
        <v>IBE2</v>
      </c>
      <c r="L19653" s="4" t="str">
        <f>HYPERLINK("#Réglementation!A"&amp;_xlfn.XMATCH("NO4",Réglementation!A:A,2,1),"NO4")</f>
        <v>NO4</v>
      </c>
      <c r="O19653" s="7" t="str">
        <f>HYPERLINK("#Liste_rouge!A"&amp;_xlfn.XMATCH("LC",Liste_rouge!A:A,2,1),"LC")</f>
        <v>LC</v>
      </c>
      <c r="S19653" s="7" t="str">
        <f>HYPERLINK("#Liste_rouge!A"&amp;_xlfn.XMATCH("NA",Liste_rouge!A:A,2,1),"NA")</f>
        <v>NA</v>
      </c>
      <c r="AH19653" s="4" t="str">
        <f>HYPERLINK("#Statut_biogéographique!A"&amp;_xlfn.XMATCH("B",Statut_biogéographique!A:A,2,1),"B")</f>
        <v>B</v>
      </c>
      <c r="AM19653" s="4" t="s">
        <v>375</v>
      </c>
      <c r="AN19653" s="4" t="s">
        <v>375</v>
      </c>
      <c r="AO19653" s="4" t="s">
        <v>375</v>
      </c>
      <c r="AP19653" s="4" t="s">
        <v>376</v>
      </c>
      <c r="AR19653" s="4" t="s">
        <v>377</v>
      </c>
    </row>
    <row r="19654" spans="1:44">
      <c r="A19654" s="4" t="s">
        <v>117</v>
      </c>
      <c r="B19654" s="4">
        <v>459638</v>
      </c>
      <c r="D19654" s="5" t="s">
        <v>24239</v>
      </c>
      <c r="E19654" s="6" t="str">
        <f>HYPERLINK("https://inpn.mnhn.fr/espece/cd_nom/459638","Regulus ignicapilla (Temminck, 1820)")</f>
        <v>Regulus ignicapilla (Temminck, 1820)</v>
      </c>
      <c r="F19654" s="5" t="s">
        <v>24240</v>
      </c>
      <c r="I19654" s="4" t="str">
        <f>HYPERLINK("#Réglementation!A"&amp;_xlfn.XMATCH("IBE2",Réglementation!A:A,2,1),"IBE2")</f>
        <v>IBE2</v>
      </c>
      <c r="L19654" s="4" t="str">
        <f>HYPERLINK("#Réglementation!A"&amp;_xlfn.XMATCH("NO3",Réglementation!A:A,2,1),"NO3")</f>
        <v>NO3</v>
      </c>
      <c r="O19654" s="7" t="str">
        <f>HYPERLINK("#Liste_rouge!A"&amp;_xlfn.XMATCH("LC",Liste_rouge!A:A,2,1),"LC")</f>
        <v>LC</v>
      </c>
      <c r="P19654" s="7" t="str">
        <f>HYPERLINK("#Liste_rouge!A"&amp;_xlfn.XMATCH("LC",Liste_rouge!A:A,2,1),"LC")</f>
        <v>LC</v>
      </c>
      <c r="Q19654" s="7" t="str">
        <f>HYPERLINK("#Liste_rouge!A"&amp;_xlfn.XMATCH("LC",Liste_rouge!A:A,2,1),"LC")</f>
        <v>LC</v>
      </c>
      <c r="R19654" s="7" t="str">
        <f>HYPERLINK("#Liste_rouge!A"&amp;_xlfn.XMATCH("NA",Liste_rouge!A:A,2,1),"NA")</f>
        <v>NA</v>
      </c>
      <c r="S19654" s="7" t="str">
        <f>HYPERLINK("#Liste_rouge!A"&amp;_xlfn.XMATCH("NA",Liste_rouge!A:A,2,1),"NA")</f>
        <v>NA</v>
      </c>
      <c r="T19654" s="7" t="str">
        <f>HYPERLINK("#Liste_rouge!A"&amp;_xlfn.XMATCH("LC",Liste_rouge!A:A,2,1),"LC")</f>
        <v>LC</v>
      </c>
      <c r="V19654" s="7" t="str">
        <f>HYPERLINK("#Liste_rouge!A"&amp;_xlfn.XMATCH("LC",Liste_rouge!A:A,2,1),"LC")</f>
        <v>LC</v>
      </c>
      <c r="W19654" s="4" t="str">
        <f>HYPERLINK("#Critères_liste_rouge!A$1","NT (pr. A2b) (-1)")</f>
        <v>NT (pr. A2b) (-1)</v>
      </c>
      <c r="AH19654" s="4" t="str">
        <f>HYPERLINK("#Statut_biogéographique!A"&amp;_xlfn.XMATCH("P",Statut_biogéographique!A:A,2,1),"P")</f>
        <v>P</v>
      </c>
      <c r="AM19654" s="4" t="s">
        <v>375</v>
      </c>
      <c r="AN19654" s="4" t="s">
        <v>375</v>
      </c>
      <c r="AO19654" s="4" t="s">
        <v>375</v>
      </c>
      <c r="AP19654" s="4" t="s">
        <v>376</v>
      </c>
      <c r="AR19654" s="4" t="s">
        <v>377</v>
      </c>
    </row>
    <row r="19655" spans="1:44">
      <c r="A19655" s="4" t="s">
        <v>117</v>
      </c>
      <c r="B19655" s="4">
        <v>4597</v>
      </c>
      <c r="D19655" s="5" t="s">
        <v>24241</v>
      </c>
      <c r="E19655" s="6" t="str">
        <f>HYPERLINK("https://inpn.mnhn.fr/espece/cd_nom/4597","Acanthis flammea (Linnaeus, 1758)")</f>
        <v>Acanthis flammea (Linnaeus, 1758)</v>
      </c>
      <c r="F19655" s="5" t="s">
        <v>24242</v>
      </c>
      <c r="I19655" s="4" t="str">
        <f>HYPERLINK("#Réglementation!A"&amp;_xlfn.XMATCH("IBE2",Réglementation!A:A,2,1),"IBE2")</f>
        <v>IBE2</v>
      </c>
      <c r="L19655" s="4" t="str">
        <f>HYPERLINK("#Réglementation!A"&amp;_xlfn.XMATCH("NO3",Réglementation!A:A,2,1),"NO3")</f>
        <v>NO3</v>
      </c>
      <c r="O19655" s="7" t="str">
        <f>HYPERLINK("#Liste_rouge!A"&amp;_xlfn.XMATCH("LC",Liste_rouge!A:A,2,1),"LC")</f>
        <v>LC</v>
      </c>
      <c r="P19655" s="7" t="str">
        <f>HYPERLINK("#Liste_rouge!A"&amp;_xlfn.XMATCH("LC",Liste_rouge!A:A,2,1),"LC")</f>
        <v>LC</v>
      </c>
      <c r="Q19655" s="7" t="str">
        <f>HYPERLINK("#Liste_rouge!A"&amp;_xlfn.XMATCH("VU",Liste_rouge!A:A,2,1),"VU")</f>
        <v>VU</v>
      </c>
      <c r="R19655" s="7" t="str">
        <f>HYPERLINK("#Liste_rouge!A"&amp;_xlfn.XMATCH("NA",Liste_rouge!A:A,2,1),"NA")</f>
        <v>NA</v>
      </c>
      <c r="S19655" s="7" t="str">
        <f>HYPERLINK("#Liste_rouge!A"&amp;_xlfn.XMATCH("NA",Liste_rouge!A:A,2,1),"NA")</f>
        <v>NA</v>
      </c>
      <c r="AH19655" s="4" t="str">
        <f>HYPERLINK("#Statut_biogéographique!A"&amp;_xlfn.XMATCH("P",Statut_biogéographique!A:A,2,1),"P")</f>
        <v>P</v>
      </c>
      <c r="AM19655" s="4" t="s">
        <v>375</v>
      </c>
      <c r="AN19655" s="4" t="s">
        <v>375</v>
      </c>
      <c r="AO19655" s="4" t="s">
        <v>375</v>
      </c>
      <c r="AP19655" s="4" t="s">
        <v>389</v>
      </c>
      <c r="AR19655" s="4" t="s">
        <v>377</v>
      </c>
    </row>
    <row r="19656" spans="1:44" ht="30">
      <c r="A19656" s="4" t="s">
        <v>117</v>
      </c>
      <c r="B19656" s="4">
        <v>4603</v>
      </c>
      <c r="D19656" s="5" t="s">
        <v>24243</v>
      </c>
      <c r="E19656" s="6" t="str">
        <f>HYPERLINK("https://inpn.mnhn.fr/espece/cd_nom/4603","Loxia curvirostra Linnaeus, 1758")</f>
        <v>Loxia curvirostra Linnaeus, 1758</v>
      </c>
      <c r="F19656" s="5" t="s">
        <v>24244</v>
      </c>
      <c r="I19656" s="4" t="str">
        <f>HYPERLINK("#Réglementation!A"&amp;_xlfn.XMATCH("IBE2",Réglementation!A:A,2,1),"IBE2")</f>
        <v>IBE2</v>
      </c>
      <c r="L19656" s="4" t="str">
        <f>HYPERLINK("#Réglementation!A"&amp;_xlfn.XMATCH("NO3",Réglementation!A:A,2,1),"NO3")</f>
        <v>NO3</v>
      </c>
      <c r="O19656" s="7" t="str">
        <f>HYPERLINK("#Liste_rouge!A"&amp;_xlfn.XMATCH("LC",Liste_rouge!A:A,2,1),"LC")</f>
        <v>LC</v>
      </c>
      <c r="P19656" s="7" t="str">
        <f>HYPERLINK("#Liste_rouge!A"&amp;_xlfn.XMATCH("LC",Liste_rouge!A:A,2,1),"LC")</f>
        <v>LC</v>
      </c>
      <c r="Q19656" s="7" t="str">
        <f>HYPERLINK("#Liste_rouge!A"&amp;_xlfn.XMATCH("LC",Liste_rouge!A:A,2,1),"LC")</f>
        <v>LC</v>
      </c>
      <c r="S19656" s="7" t="str">
        <f>HYPERLINK("#Liste_rouge!A"&amp;_xlfn.XMATCH("NA",Liste_rouge!A:A,2,1),"NA")</f>
        <v>NA</v>
      </c>
      <c r="T19656" s="7" t="str">
        <f>HYPERLINK("#Liste_rouge!A"&amp;_xlfn.XMATCH("VU",Liste_rouge!A:A,2,1),"VU")</f>
        <v>VU</v>
      </c>
      <c r="U19656" s="4" t="str">
        <f>HYPERLINK("#Critères_liste_rouge!A$1","D1")</f>
        <v>D1</v>
      </c>
      <c r="V19656" s="7" t="str">
        <f>HYPERLINK("#Liste_rouge!A"&amp;_xlfn.XMATCH("LC",Liste_rouge!A:A,2,1),"LC")</f>
        <v>LC</v>
      </c>
      <c r="X19656" s="5" t="s">
        <v>23439</v>
      </c>
      <c r="Y19656" s="5" t="s">
        <v>23951</v>
      </c>
      <c r="AH19656" s="4" t="str">
        <f>HYPERLINK("#Statut_biogéographique!A"&amp;_xlfn.XMATCH("P",Statut_biogéographique!A:A,2,1),"P")</f>
        <v>P</v>
      </c>
      <c r="AM19656" s="4" t="s">
        <v>375</v>
      </c>
      <c r="AN19656" s="4" t="s">
        <v>375</v>
      </c>
      <c r="AO19656" s="4" t="s">
        <v>375</v>
      </c>
      <c r="AP19656" s="4" t="s">
        <v>389</v>
      </c>
      <c r="AR19656" s="4" t="s">
        <v>377</v>
      </c>
    </row>
    <row r="19657" spans="1:44">
      <c r="A19657" s="4" t="s">
        <v>117</v>
      </c>
      <c r="B19657" s="4">
        <v>4607</v>
      </c>
      <c r="D19657" s="5">
        <v>4607</v>
      </c>
      <c r="E19657" s="6" t="str">
        <f>HYPERLINK("https://inpn.mnhn.fr/espece/cd_nom/4607","Loxia pytyopsittacus Borkhausen, 1793")</f>
        <v>Loxia pytyopsittacus Borkhausen, 1793</v>
      </c>
      <c r="F19657" s="5" t="s">
        <v>24245</v>
      </c>
      <c r="I19657" s="4" t="str">
        <f>HYPERLINK("#Réglementation!A"&amp;_xlfn.XMATCH("IBE2",Réglementation!A:A,2,1),"IBE2")</f>
        <v>IBE2</v>
      </c>
      <c r="L19657" s="4" t="str">
        <f>HYPERLINK("#Réglementation!A"&amp;_xlfn.XMATCH("NO4",Réglementation!A:A,2,1),"NO4")</f>
        <v>NO4</v>
      </c>
      <c r="O19657" s="7" t="str">
        <f>HYPERLINK("#Liste_rouge!A"&amp;_xlfn.XMATCH("LC",Liste_rouge!A:A,2,1),"LC")</f>
        <v>LC</v>
      </c>
      <c r="P19657" s="7" t="str">
        <f>HYPERLINK("#Liste_rouge!A"&amp;_xlfn.XMATCH("LC",Liste_rouge!A:A,2,1),"LC")</f>
        <v>LC</v>
      </c>
      <c r="S19657" s="7" t="str">
        <f>HYPERLINK("#Liste_rouge!A"&amp;_xlfn.XMATCH("NA",Liste_rouge!A:A,2,1),"NA")</f>
        <v>NA</v>
      </c>
      <c r="AH19657" s="4" t="str">
        <f>HYPERLINK("#Statut_biogéographique!A"&amp;_xlfn.XMATCH("B",Statut_biogéographique!A:A,2,1),"B")</f>
        <v>B</v>
      </c>
      <c r="AM19657" s="4" t="s">
        <v>375</v>
      </c>
      <c r="AN19657" s="4" t="s">
        <v>375</v>
      </c>
      <c r="AO19657" s="4" t="s">
        <v>375</v>
      </c>
      <c r="AP19657" s="4" t="s">
        <v>376</v>
      </c>
      <c r="AR19657" s="4" t="s">
        <v>377</v>
      </c>
    </row>
    <row r="19658" spans="1:44">
      <c r="A19658" s="4" t="s">
        <v>117</v>
      </c>
      <c r="B19658" s="4">
        <v>4609</v>
      </c>
      <c r="D19658" s="5" t="s">
        <v>24246</v>
      </c>
      <c r="E19658" s="6" t="str">
        <f>HYPERLINK("https://inpn.mnhn.fr/espece/cd_nom/4609","Loxia leucoptera Gmelin, 1789")</f>
        <v>Loxia leucoptera Gmelin, 1789</v>
      </c>
      <c r="F19658" s="5" t="s">
        <v>24247</v>
      </c>
      <c r="I19658" s="4" t="str">
        <f>HYPERLINK("#Réglementation!A"&amp;_xlfn.XMATCH("IBE2",Réglementation!A:A,2,1),"IBE2")</f>
        <v>IBE2</v>
      </c>
      <c r="L19658" s="4" t="str">
        <f>HYPERLINK("#Réglementation!A"&amp;_xlfn.XMATCH("NO4",Réglementation!A:A,2,1),"NO4")</f>
        <v>NO4</v>
      </c>
      <c r="O19658" s="7" t="str">
        <f>HYPERLINK("#Liste_rouge!A"&amp;_xlfn.XMATCH("LC",Liste_rouge!A:A,2,1),"LC")</f>
        <v>LC</v>
      </c>
      <c r="P19658" s="7" t="str">
        <f>HYPERLINK("#Liste_rouge!A"&amp;_xlfn.XMATCH("LC",Liste_rouge!A:A,2,1),"LC")</f>
        <v>LC</v>
      </c>
      <c r="S19658" s="7" t="str">
        <f>HYPERLINK("#Liste_rouge!A"&amp;_xlfn.XMATCH("NA",Liste_rouge!A:A,2,1),"NA")</f>
        <v>NA</v>
      </c>
      <c r="AH19658" s="4" t="str">
        <f>HYPERLINK("#Statut_biogéographique!A"&amp;_xlfn.XMATCH("B",Statut_biogéographique!A:A,2,1),"B")</f>
        <v>B</v>
      </c>
      <c r="AM19658" s="4" t="s">
        <v>375</v>
      </c>
      <c r="AN19658" s="4" t="s">
        <v>375</v>
      </c>
      <c r="AO19658" s="4" t="s">
        <v>375</v>
      </c>
      <c r="AP19658" s="4" t="s">
        <v>389</v>
      </c>
      <c r="AR19658" s="4" t="s">
        <v>377</v>
      </c>
    </row>
    <row r="19659" spans="1:44">
      <c r="A19659" s="4" t="s">
        <v>117</v>
      </c>
      <c r="B19659" s="4">
        <v>4616</v>
      </c>
      <c r="D19659" s="5" t="s">
        <v>24248</v>
      </c>
      <c r="E19659" s="6" t="str">
        <f>HYPERLINK("https://inpn.mnhn.fr/espece/cd_nom/4616","Carpodacus erythrinus (Pallas, 1770)")</f>
        <v>Carpodacus erythrinus (Pallas, 1770)</v>
      </c>
      <c r="F19659" s="5" t="s">
        <v>24249</v>
      </c>
      <c r="I19659" s="4" t="str">
        <f>HYPERLINK("#Réglementation!A"&amp;_xlfn.XMATCH("IBE2",Réglementation!A:A,2,1),"IBE2")</f>
        <v>IBE2</v>
      </c>
      <c r="L19659" s="4" t="str">
        <f>HYPERLINK("#Réglementation!A"&amp;_xlfn.XMATCH("NO3",Réglementation!A:A,2,1),"NO3")</f>
        <v>NO3</v>
      </c>
      <c r="O19659" s="7" t="str">
        <f>HYPERLINK("#Liste_rouge!A"&amp;_xlfn.XMATCH("LC",Liste_rouge!A:A,2,1),"LC")</f>
        <v>LC</v>
      </c>
      <c r="P19659" s="7" t="str">
        <f>HYPERLINK("#Liste_rouge!A"&amp;_xlfn.XMATCH("LC",Liste_rouge!A:A,2,1),"LC")</f>
        <v>LC</v>
      </c>
      <c r="Q19659" s="7" t="str">
        <f>HYPERLINK("#Liste_rouge!A"&amp;_xlfn.XMATCH("DD",Liste_rouge!A:A,2,1),"DD")</f>
        <v>DD</v>
      </c>
      <c r="S19659" s="7" t="str">
        <f>HYPERLINK("#Liste_rouge!A"&amp;_xlfn.XMATCH("NA",Liste_rouge!A:A,2,1),"NA")</f>
        <v>NA</v>
      </c>
      <c r="X19659" s="5" t="s">
        <v>374</v>
      </c>
      <c r="AH19659" s="4" t="str">
        <f>HYPERLINK("#Statut_biogéographique!A"&amp;_xlfn.XMATCH("P",Statut_biogéographique!A:A,2,1),"P")</f>
        <v>P</v>
      </c>
      <c r="AM19659" s="4" t="s">
        <v>375</v>
      </c>
      <c r="AN19659" s="4" t="s">
        <v>375</v>
      </c>
      <c r="AO19659" s="4" t="s">
        <v>375</v>
      </c>
      <c r="AP19659" s="4" t="s">
        <v>376</v>
      </c>
      <c r="AR19659" s="4" t="s">
        <v>377</v>
      </c>
    </row>
    <row r="19660" spans="1:44" ht="30">
      <c r="A19660" s="4" t="s">
        <v>117</v>
      </c>
      <c r="B19660" s="4">
        <v>4619</v>
      </c>
      <c r="D19660" s="5" t="s">
        <v>24250</v>
      </c>
      <c r="E19660" s="6" t="str">
        <f>HYPERLINK("https://inpn.mnhn.fr/espece/cd_nom/4619","Pyrrhula pyrrhula (Linnaeus, 1758)")</f>
        <v>Pyrrhula pyrrhula (Linnaeus, 1758)</v>
      </c>
      <c r="F19660" s="5" t="s">
        <v>24251</v>
      </c>
      <c r="I19660" s="4" t="str">
        <f>HYPERLINK("#Réglementation!A"&amp;_xlfn.XMATCH("IBE3",Réglementation!A:A,2,1),"IBE3")</f>
        <v>IBE3</v>
      </c>
      <c r="L19660" s="4" t="str">
        <f>HYPERLINK("#Réglementation!A"&amp;_xlfn.XMATCH("NO3",Réglementation!A:A,2,1),"NO3")</f>
        <v>NO3</v>
      </c>
      <c r="O19660" s="7" t="str">
        <f>HYPERLINK("#Liste_rouge!A"&amp;_xlfn.XMATCH("LC",Liste_rouge!A:A,2,1),"LC")</f>
        <v>LC</v>
      </c>
      <c r="P19660" s="7" t="str">
        <f>HYPERLINK("#Liste_rouge!A"&amp;_xlfn.XMATCH("LC",Liste_rouge!A:A,2,1),"LC")</f>
        <v>LC</v>
      </c>
      <c r="Q19660" s="7" t="str">
        <f>HYPERLINK("#Liste_rouge!A"&amp;_xlfn.XMATCH("VU",Liste_rouge!A:A,2,1),"VU")</f>
        <v>VU</v>
      </c>
      <c r="R19660" s="7" t="str">
        <f>HYPERLINK("#Liste_rouge!A"&amp;_xlfn.XMATCH("NA",Liste_rouge!A:A,2,1),"NA")</f>
        <v>NA</v>
      </c>
      <c r="T19660" s="7" t="str">
        <f>HYPERLINK("#Liste_rouge!A"&amp;_xlfn.XMATCH("DD",Liste_rouge!A:A,2,1),"DD")</f>
        <v>DD</v>
      </c>
      <c r="V19660" s="7" t="str">
        <f>HYPERLINK("#Liste_rouge!A"&amp;_xlfn.XMATCH("DD",Liste_rouge!A:A,2,1),"DD")</f>
        <v>DD</v>
      </c>
      <c r="X19660" s="5" t="s">
        <v>23439</v>
      </c>
      <c r="Y19660" s="5" t="s">
        <v>23951</v>
      </c>
      <c r="AH19660" s="4" t="str">
        <f>HYPERLINK("#Statut_biogéographique!A"&amp;_xlfn.XMATCH("P",Statut_biogéographique!A:A,2,1),"P")</f>
        <v>P</v>
      </c>
      <c r="AM19660" s="4" t="s">
        <v>375</v>
      </c>
      <c r="AN19660" s="4" t="s">
        <v>375</v>
      </c>
      <c r="AO19660" s="4" t="s">
        <v>375</v>
      </c>
      <c r="AP19660" s="4" t="s">
        <v>376</v>
      </c>
      <c r="AR19660" s="4" t="s">
        <v>377</v>
      </c>
    </row>
    <row r="19661" spans="1:44">
      <c r="A19661" s="4" t="s">
        <v>117</v>
      </c>
      <c r="B19661" s="4">
        <v>4621</v>
      </c>
      <c r="D19661" s="5">
        <v>4621</v>
      </c>
      <c r="E19661" s="6" t="str">
        <f>HYPERLINK("https://inpn.mnhn.fr/espece/cd_nom/4621","Pyrrhula pyrrhula pyrrhula (Linnaeus, 1758)")</f>
        <v>Pyrrhula pyrrhula pyrrhula (Linnaeus, 1758)</v>
      </c>
      <c r="I19661" s="4" t="str">
        <f>HYPERLINK("#Réglementation!A"&amp;_xlfn.XMATCH("IBE3",Réglementation!A:A,2,1),"IBE3")</f>
        <v>IBE3</v>
      </c>
      <c r="L19661" s="4" t="str">
        <f>HYPERLINK("#Réglementation!A"&amp;_xlfn.XMATCH("NO3",Réglementation!A:A,2,1),"NO3")</f>
        <v>NO3</v>
      </c>
      <c r="AH19661" s="4" t="str">
        <f>HYPERLINK("#Statut_biogéographique!A"&amp;_xlfn.XMATCH("P",Statut_biogéographique!A:A,2,1),"P")</f>
        <v>P</v>
      </c>
      <c r="AP19661" s="4" t="s">
        <v>376</v>
      </c>
      <c r="AR19661" s="4" t="s">
        <v>377</v>
      </c>
    </row>
    <row r="19662" spans="1:44" ht="30">
      <c r="A19662" s="4" t="s">
        <v>117</v>
      </c>
      <c r="B19662" s="4">
        <v>4625</v>
      </c>
      <c r="D19662" s="5" t="s">
        <v>24252</v>
      </c>
      <c r="E19662" s="6" t="str">
        <f>HYPERLINK("https://inpn.mnhn.fr/espece/cd_nom/4625","Coccothraustes coccothraustes (Linnaeus, 1758)")</f>
        <v>Coccothraustes coccothraustes (Linnaeus, 1758)</v>
      </c>
      <c r="F19662" s="5" t="s">
        <v>24253</v>
      </c>
      <c r="I19662" s="4" t="str">
        <f>HYPERLINK("#Réglementation!A"&amp;_xlfn.XMATCH("IBE2",Réglementation!A:A,2,1),"IBE2")</f>
        <v>IBE2</v>
      </c>
      <c r="L19662" s="4" t="str">
        <f>HYPERLINK("#Réglementation!A"&amp;_xlfn.XMATCH("NO3",Réglementation!A:A,2,1),"NO3")</f>
        <v>NO3</v>
      </c>
      <c r="O19662" s="7" t="str">
        <f>HYPERLINK("#Liste_rouge!A"&amp;_xlfn.XMATCH("LC",Liste_rouge!A:A,2,1),"LC")</f>
        <v>LC</v>
      </c>
      <c r="P19662" s="7" t="str">
        <f>HYPERLINK("#Liste_rouge!A"&amp;_xlfn.XMATCH("LC",Liste_rouge!A:A,2,1),"LC")</f>
        <v>LC</v>
      </c>
      <c r="Q19662" s="7" t="str">
        <f>HYPERLINK("#Liste_rouge!A"&amp;_xlfn.XMATCH("LC",Liste_rouge!A:A,2,1),"LC")</f>
        <v>LC</v>
      </c>
      <c r="R19662" s="7" t="str">
        <f>HYPERLINK("#Liste_rouge!A"&amp;_xlfn.XMATCH("NA",Liste_rouge!A:A,2,1),"NA")</f>
        <v>NA</v>
      </c>
      <c r="T19662" s="7" t="str">
        <f>HYPERLINK("#Liste_rouge!A"&amp;_xlfn.XMATCH("LC",Liste_rouge!A:A,2,1),"LC")</f>
        <v>LC</v>
      </c>
      <c r="V19662" s="7" t="str">
        <f>HYPERLINK("#Liste_rouge!A"&amp;_xlfn.XMATCH("LC",Liste_rouge!A:A,2,1),"LC")</f>
        <v>LC</v>
      </c>
      <c r="AH19662" s="4" t="str">
        <f>HYPERLINK("#Statut_biogéographique!A"&amp;_xlfn.XMATCH("P",Statut_biogéographique!A:A,2,1),"P")</f>
        <v>P</v>
      </c>
      <c r="AM19662" s="4" t="s">
        <v>375</v>
      </c>
      <c r="AN19662" s="4" t="s">
        <v>375</v>
      </c>
      <c r="AO19662" s="4" t="s">
        <v>375</v>
      </c>
      <c r="AP19662" s="4" t="s">
        <v>376</v>
      </c>
      <c r="AR19662" s="4" t="s">
        <v>377</v>
      </c>
    </row>
    <row r="19663" spans="1:44">
      <c r="A19663" s="4" t="s">
        <v>117</v>
      </c>
      <c r="B19663" s="4">
        <v>4644</v>
      </c>
      <c r="D19663" s="5" t="s">
        <v>24254</v>
      </c>
      <c r="E19663" s="6" t="str">
        <f>HYPERLINK("https://inpn.mnhn.fr/espece/cd_nom/4644","Calcarius lapponicus (Linnaeus, 1758)")</f>
        <v>Calcarius lapponicus (Linnaeus, 1758)</v>
      </c>
      <c r="F19663" s="5" t="s">
        <v>24255</v>
      </c>
      <c r="I19663" s="4" t="str">
        <f>HYPERLINK("#Réglementation!A"&amp;_xlfn.XMATCH("IBE2",Réglementation!A:A,2,1),"IBE2")</f>
        <v>IBE2</v>
      </c>
      <c r="L19663" s="4" t="str">
        <f>HYPERLINK("#Réglementation!A"&amp;_xlfn.XMATCH("NO3",Réglementation!A:A,2,1),"NO3")</f>
        <v>NO3</v>
      </c>
      <c r="O19663" s="7" t="str">
        <f>HYPERLINK("#Liste_rouge!A"&amp;_xlfn.XMATCH("LC",Liste_rouge!A:A,2,1),"LC")</f>
        <v>LC</v>
      </c>
      <c r="P19663" s="7" t="str">
        <f>HYPERLINK("#Liste_rouge!A"&amp;_xlfn.XMATCH("LC",Liste_rouge!A:A,2,1),"LC")</f>
        <v>LC</v>
      </c>
      <c r="R19663" s="7" t="str">
        <f>HYPERLINK("#Liste_rouge!A"&amp;_xlfn.XMATCH("NA",Liste_rouge!A:A,2,1),"NA")</f>
        <v>NA</v>
      </c>
      <c r="S19663" s="7" t="str">
        <f>HYPERLINK("#Liste_rouge!A"&amp;_xlfn.XMATCH("NA",Liste_rouge!A:A,2,1),"NA")</f>
        <v>NA</v>
      </c>
      <c r="AH19663" s="4" t="str">
        <f>HYPERLINK("#Statut_biogéographique!A"&amp;_xlfn.XMATCH("P",Statut_biogéographique!A:A,2,1),"P")</f>
        <v>P</v>
      </c>
      <c r="AM19663" s="4" t="s">
        <v>375</v>
      </c>
      <c r="AN19663" s="4" t="s">
        <v>375</v>
      </c>
      <c r="AO19663" s="4" t="s">
        <v>375</v>
      </c>
      <c r="AP19663" s="4" t="s">
        <v>376</v>
      </c>
      <c r="AR19663" s="4" t="s">
        <v>377</v>
      </c>
    </row>
    <row r="19664" spans="1:44">
      <c r="A19664" s="4" t="s">
        <v>117</v>
      </c>
      <c r="B19664" s="4">
        <v>4649</v>
      </c>
      <c r="D19664" s="5" t="s">
        <v>24256</v>
      </c>
      <c r="E19664" s="6" t="str">
        <f>HYPERLINK("https://inpn.mnhn.fr/espece/cd_nom/4649","Plectrophenax nivalis (Linnaeus, 1758)")</f>
        <v>Plectrophenax nivalis (Linnaeus, 1758)</v>
      </c>
      <c r="F19664" s="5" t="s">
        <v>24257</v>
      </c>
      <c r="I19664" s="4" t="str">
        <f>HYPERLINK("#Réglementation!A"&amp;_xlfn.XMATCH("IBE2",Réglementation!A:A,2,1),"IBE2")</f>
        <v>IBE2</v>
      </c>
      <c r="L19664" s="4" t="str">
        <f>HYPERLINK("#Réglementation!A"&amp;_xlfn.XMATCH("NO3",Réglementation!A:A,2,1),"NO3")</f>
        <v>NO3</v>
      </c>
      <c r="O19664" s="7" t="str">
        <f>HYPERLINK("#Liste_rouge!A"&amp;_xlfn.XMATCH("LC",Liste_rouge!A:A,2,1),"LC")</f>
        <v>LC</v>
      </c>
      <c r="P19664" s="7" t="str">
        <f>HYPERLINK("#Liste_rouge!A"&amp;_xlfn.XMATCH("LC",Liste_rouge!A:A,2,1),"LC")</f>
        <v>LC</v>
      </c>
      <c r="R19664" s="7" t="str">
        <f>HYPERLINK("#Liste_rouge!A"&amp;_xlfn.XMATCH("NA",Liste_rouge!A:A,2,1),"NA")</f>
        <v>NA</v>
      </c>
      <c r="S19664" s="7" t="str">
        <f>HYPERLINK("#Liste_rouge!A"&amp;_xlfn.XMATCH("NA",Liste_rouge!A:A,2,1),"NA")</f>
        <v>NA</v>
      </c>
      <c r="AH19664" s="4" t="str">
        <f>HYPERLINK("#Statut_biogéographique!A"&amp;_xlfn.XMATCH("P",Statut_biogéographique!A:A,2,1),"P")</f>
        <v>P</v>
      </c>
      <c r="AM19664" s="4" t="s">
        <v>375</v>
      </c>
      <c r="AN19664" s="4" t="s">
        <v>375</v>
      </c>
      <c r="AO19664" s="4" t="s">
        <v>375</v>
      </c>
      <c r="AP19664" s="4" t="s">
        <v>389</v>
      </c>
      <c r="AR19664" s="4" t="s">
        <v>377</v>
      </c>
    </row>
    <row r="19665" spans="1:44">
      <c r="A19665" s="4" t="s">
        <v>117</v>
      </c>
      <c r="B19665" s="4">
        <v>4654</v>
      </c>
      <c r="D19665" s="5" t="s">
        <v>24258</v>
      </c>
      <c r="E19665" s="6" t="str">
        <f>HYPERLINK("https://inpn.mnhn.fr/espece/cd_nom/4654","Emberiza bruniceps Brandt, 1841")</f>
        <v>Emberiza bruniceps Brandt, 1841</v>
      </c>
      <c r="F19665" s="5" t="s">
        <v>24259</v>
      </c>
      <c r="I19665" s="4" t="str">
        <f>HYPERLINK("#Réglementation!A"&amp;_xlfn.XMATCH("IBE3",Réglementation!A:A,2,1),"IBE3")</f>
        <v>IBE3</v>
      </c>
      <c r="L19665" s="4" t="str">
        <f>HYPERLINK("#Réglementation!A"&amp;_xlfn.XMATCH("NO4",Réglementation!A:A,2,1),"NO4")</f>
        <v>NO4</v>
      </c>
      <c r="O19665" s="7" t="str">
        <f>HYPERLINK("#Liste_rouge!A"&amp;_xlfn.XMATCH("LC",Liste_rouge!A:A,2,1),"LC")</f>
        <v>LC</v>
      </c>
      <c r="P19665" s="7" t="str">
        <f>HYPERLINK("#Liste_rouge!A"&amp;_xlfn.XMATCH("LC",Liste_rouge!A:A,2,1),"LC")</f>
        <v>LC</v>
      </c>
      <c r="S19665" s="7" t="str">
        <f>HYPERLINK("#Liste_rouge!A"&amp;_xlfn.XMATCH("NA",Liste_rouge!A:A,2,1),"NA")</f>
        <v>NA</v>
      </c>
      <c r="AH19665" s="4" t="str">
        <f>HYPERLINK("#Statut_biogéographique!A"&amp;_xlfn.XMATCH("B",Statut_biogéographique!A:A,2,1),"B")</f>
        <v>B</v>
      </c>
      <c r="AP19665" s="4" t="s">
        <v>376</v>
      </c>
      <c r="AR19665" s="4" t="s">
        <v>377</v>
      </c>
    </row>
    <row r="19666" spans="1:44" ht="60">
      <c r="A19666" s="4" t="s">
        <v>117</v>
      </c>
      <c r="B19666" s="4">
        <v>4657</v>
      </c>
      <c r="D19666" s="5">
        <v>4657</v>
      </c>
      <c r="E19666" s="6" t="str">
        <f>HYPERLINK("https://inpn.mnhn.fr/espece/cd_nom/4657","Emberiza citrinella Linnaeus, 1758")</f>
        <v>Emberiza citrinella Linnaeus, 1758</v>
      </c>
      <c r="F19666" s="5" t="s">
        <v>24260</v>
      </c>
      <c r="I19666" s="4" t="str">
        <f>HYPERLINK("#Réglementation!A"&amp;_xlfn.XMATCH("IBE2",Réglementation!A:A,2,1),"IBE2")</f>
        <v>IBE2</v>
      </c>
      <c r="L19666" s="4" t="str">
        <f>HYPERLINK("#Réglementation!A"&amp;_xlfn.XMATCH("NO3",Réglementation!A:A,2,1),"NO3")</f>
        <v>NO3</v>
      </c>
      <c r="O19666" s="7" t="str">
        <f>HYPERLINK("#Liste_rouge!A"&amp;_xlfn.XMATCH("LC",Liste_rouge!A:A,2,1),"LC")</f>
        <v>LC</v>
      </c>
      <c r="P19666" s="7" t="str">
        <f>HYPERLINK("#Liste_rouge!A"&amp;_xlfn.XMATCH("LC",Liste_rouge!A:A,2,1),"LC")</f>
        <v>LC</v>
      </c>
      <c r="Q19666" s="7" t="str">
        <f>HYPERLINK("#Liste_rouge!A"&amp;_xlfn.XMATCH("VU",Liste_rouge!A:A,2,1),"VU")</f>
        <v>VU</v>
      </c>
      <c r="R19666" s="7" t="str">
        <f>HYPERLINK("#Liste_rouge!A"&amp;_xlfn.XMATCH("NA",Liste_rouge!A:A,2,1),"NA")</f>
        <v>NA</v>
      </c>
      <c r="S19666" s="7" t="str">
        <f>HYPERLINK("#Liste_rouge!A"&amp;_xlfn.XMATCH("NA",Liste_rouge!A:A,2,1),"NA")</f>
        <v>NA</v>
      </c>
      <c r="T19666" s="7" t="str">
        <f>HYPERLINK("#Liste_rouge!A"&amp;_xlfn.XMATCH("VU",Liste_rouge!A:A,2,1),"VU")</f>
        <v>VU</v>
      </c>
      <c r="U19666" s="4" t="str">
        <f>HYPERLINK("#Critères_liste_rouge!A$1","A2b")</f>
        <v>A2b</v>
      </c>
      <c r="V19666" s="7" t="str">
        <f>HYPERLINK("#Liste_rouge!A"&amp;_xlfn.XMATCH("NT",Liste_rouge!A:A,2,1),"NT")</f>
        <v>NT</v>
      </c>
      <c r="W19666" s="4" t="str">
        <f>HYPERLINK("#Critères_liste_rouge!A$1","pr. A2b")</f>
        <v>pr. A2b</v>
      </c>
      <c r="X19666" s="5" t="s">
        <v>23439</v>
      </c>
      <c r="Y19666" s="5" t="s">
        <v>23481</v>
      </c>
      <c r="AH19666" s="4" t="str">
        <f>HYPERLINK("#Statut_biogéographique!A"&amp;_xlfn.XMATCH("P",Statut_biogéographique!A:A,2,1),"P")</f>
        <v>P</v>
      </c>
      <c r="AM19666" s="4" t="s">
        <v>375</v>
      </c>
      <c r="AN19666" s="4" t="s">
        <v>375</v>
      </c>
      <c r="AO19666" s="4" t="s">
        <v>375</v>
      </c>
      <c r="AP19666" s="4" t="s">
        <v>376</v>
      </c>
      <c r="AR19666" s="4" t="s">
        <v>377</v>
      </c>
    </row>
    <row r="19667" spans="1:44">
      <c r="A19667" s="4" t="s">
        <v>117</v>
      </c>
      <c r="B19667" s="4">
        <v>4659</v>
      </c>
      <c r="D19667" s="5" t="s">
        <v>24261</v>
      </c>
      <c r="E19667" s="6" t="str">
        <f>HYPERLINK("https://inpn.mnhn.fr/espece/cd_nom/4659","Emberiza cirlus Linnaeus, 1766")</f>
        <v>Emberiza cirlus Linnaeus, 1766</v>
      </c>
      <c r="F19667" s="5" t="s">
        <v>24262</v>
      </c>
      <c r="I19667" s="4" t="str">
        <f>HYPERLINK("#Réglementation!A"&amp;_xlfn.XMATCH("IBE2",Réglementation!A:A,2,1),"IBE2")</f>
        <v>IBE2</v>
      </c>
      <c r="L19667" s="4" t="str">
        <f>HYPERLINK("#Réglementation!A"&amp;_xlfn.XMATCH("NO3",Réglementation!A:A,2,1),"NO3")</f>
        <v>NO3</v>
      </c>
      <c r="O19667" s="7" t="str">
        <f>HYPERLINK("#Liste_rouge!A"&amp;_xlfn.XMATCH("LC",Liste_rouge!A:A,2,1),"LC")</f>
        <v>LC</v>
      </c>
      <c r="P19667" s="7" t="str">
        <f>HYPERLINK("#Liste_rouge!A"&amp;_xlfn.XMATCH("LC",Liste_rouge!A:A,2,1),"LC")</f>
        <v>LC</v>
      </c>
      <c r="Q19667" s="7" t="str">
        <f>HYPERLINK("#Liste_rouge!A"&amp;_xlfn.XMATCH("LC",Liste_rouge!A:A,2,1),"LC")</f>
        <v>LC</v>
      </c>
      <c r="S19667" s="7" t="str">
        <f>HYPERLINK("#Liste_rouge!A"&amp;_xlfn.XMATCH("NA",Liste_rouge!A:A,2,1),"NA")</f>
        <v>NA</v>
      </c>
      <c r="T19667" s="7" t="str">
        <f>HYPERLINK("#Liste_rouge!A"&amp;_xlfn.XMATCH("LC",Liste_rouge!A:A,2,1),"LC")</f>
        <v>LC</v>
      </c>
      <c r="V19667" s="7" t="str">
        <f>HYPERLINK("#Liste_rouge!A"&amp;_xlfn.XMATCH("LC",Liste_rouge!A:A,2,1),"LC")</f>
        <v>LC</v>
      </c>
      <c r="AH19667" s="4" t="str">
        <f>HYPERLINK("#Statut_biogéographique!A"&amp;_xlfn.XMATCH("P",Statut_biogéographique!A:A,2,1),"P")</f>
        <v>P</v>
      </c>
      <c r="AM19667" s="4" t="s">
        <v>375</v>
      </c>
      <c r="AN19667" s="4" t="s">
        <v>375</v>
      </c>
      <c r="AO19667" s="4" t="s">
        <v>375</v>
      </c>
      <c r="AP19667" s="4" t="s">
        <v>376</v>
      </c>
      <c r="AR19667" s="4" t="s">
        <v>377</v>
      </c>
    </row>
    <row r="19668" spans="1:44" ht="60">
      <c r="A19668" s="4" t="s">
        <v>117</v>
      </c>
      <c r="B19668" s="4">
        <v>4663</v>
      </c>
      <c r="D19668" s="5">
        <v>4663</v>
      </c>
      <c r="E19668" s="6" t="str">
        <f>HYPERLINK("https://inpn.mnhn.fr/espece/cd_nom/4663","Emberiza cia Linnaeus, 1766")</f>
        <v>Emberiza cia Linnaeus, 1766</v>
      </c>
      <c r="F19668" s="5" t="s">
        <v>24263</v>
      </c>
      <c r="I19668" s="4" t="str">
        <f>HYPERLINK("#Réglementation!A"&amp;_xlfn.XMATCH("IBE2",Réglementation!A:A,2,1),"IBE2")</f>
        <v>IBE2</v>
      </c>
      <c r="L19668" s="4" t="str">
        <f>HYPERLINK("#Réglementation!A"&amp;_xlfn.XMATCH("NO3",Réglementation!A:A,2,1),"NO3")</f>
        <v>NO3</v>
      </c>
      <c r="O19668" s="7" t="str">
        <f>HYPERLINK("#Liste_rouge!A"&amp;_xlfn.XMATCH("LC",Liste_rouge!A:A,2,1),"LC")</f>
        <v>LC</v>
      </c>
      <c r="P19668" s="7" t="str">
        <f>HYPERLINK("#Liste_rouge!A"&amp;_xlfn.XMATCH("LC",Liste_rouge!A:A,2,1),"LC")</f>
        <v>LC</v>
      </c>
      <c r="Q19668" s="7" t="str">
        <f>HYPERLINK("#Liste_rouge!A"&amp;_xlfn.XMATCH("LC",Liste_rouge!A:A,2,1),"LC")</f>
        <v>LC</v>
      </c>
      <c r="T19668" s="7" t="str">
        <f>HYPERLINK("#Liste_rouge!A"&amp;_xlfn.XMATCH("NA",Liste_rouge!A:A,2,1),"NA")</f>
        <v>NA</v>
      </c>
      <c r="U19668" s="4" t="str">
        <f>HYPERLINK("#Critères_liste_rouge!A$1","b")</f>
        <v>b</v>
      </c>
      <c r="V19668" s="7" t="str">
        <f>HYPERLINK("#Liste_rouge!A"&amp;_xlfn.XMATCH("CR",Liste_rouge!A:A,2,1),"CR")</f>
        <v>CR</v>
      </c>
      <c r="W19668" s="4" t="str">
        <f>HYPERLINK("#Critères_liste_rouge!A$1","D1")</f>
        <v>D1</v>
      </c>
      <c r="X19668" s="5" t="s">
        <v>23442</v>
      </c>
      <c r="Y19668" s="5" t="s">
        <v>23605</v>
      </c>
      <c r="AH19668" s="4" t="str">
        <f>HYPERLINK("#Statut_biogéographique!A"&amp;_xlfn.XMATCH("P",Statut_biogéographique!A:A,2,1),"P")</f>
        <v>P</v>
      </c>
      <c r="AM19668" s="4" t="s">
        <v>375</v>
      </c>
      <c r="AN19668" s="4" t="s">
        <v>375</v>
      </c>
      <c r="AO19668" s="4" t="s">
        <v>375</v>
      </c>
      <c r="AP19668" s="4" t="s">
        <v>376</v>
      </c>
      <c r="AR19668" s="4" t="s">
        <v>377</v>
      </c>
    </row>
    <row r="19669" spans="1:44">
      <c r="A19669" s="4" t="s">
        <v>117</v>
      </c>
      <c r="B19669" s="4">
        <v>4665</v>
      </c>
      <c r="D19669" s="5">
        <v>4665</v>
      </c>
      <c r="E19669" s="6" t="str">
        <f>HYPERLINK("https://inpn.mnhn.fr/espece/cd_nom/4665","Emberiza hortulana Linnaeus, 1758")</f>
        <v>Emberiza hortulana Linnaeus, 1758</v>
      </c>
      <c r="F19669" s="5" t="s">
        <v>24264</v>
      </c>
      <c r="I19669" s="4" t="str">
        <f>HYPERLINK("#Réglementation!A"&amp;_xlfn.XMATCH("IBE3",Réglementation!A:A,2,1),"IBE3")</f>
        <v>IBE3</v>
      </c>
      <c r="J19669" s="4" t="str">
        <f>HYPERLINK("#Réglementation!A"&amp;_xlfn.XMATCH("CDO1",Réglementation!A:A,2,1),"CDO1")</f>
        <v>CDO1</v>
      </c>
      <c r="L19669" s="4" t="str">
        <f>HYPERLINK("#Réglementation!A"&amp;_xlfn.XMATCH("NO3",Réglementation!A:A,2,1),"NO3")</f>
        <v>NO3</v>
      </c>
      <c r="O19669" s="7" t="str">
        <f>HYPERLINK("#Liste_rouge!A"&amp;_xlfn.XMATCH("LC",Liste_rouge!A:A,2,1),"LC")</f>
        <v>LC</v>
      </c>
      <c r="P19669" s="7" t="str">
        <f>HYPERLINK("#Liste_rouge!A"&amp;_xlfn.XMATCH("LC",Liste_rouge!A:A,2,1),"LC")</f>
        <v>LC</v>
      </c>
      <c r="Q19669" s="7" t="str">
        <f>HYPERLINK("#Liste_rouge!A"&amp;_xlfn.XMATCH("EN",Liste_rouge!A:A,2,1),"EN")</f>
        <v>EN</v>
      </c>
      <c r="S19669" s="7" t="str">
        <f>HYPERLINK("#Liste_rouge!A"&amp;_xlfn.XMATCH("EN",Liste_rouge!A:A,2,1),"EN")</f>
        <v>EN</v>
      </c>
      <c r="T19669" s="7" t="str">
        <f>HYPERLINK("#Liste_rouge!A"&amp;_xlfn.XMATCH("CR",Liste_rouge!A:A,2,1),"CR")</f>
        <v>CR</v>
      </c>
      <c r="U19669" s="4" t="str">
        <f>HYPERLINK("#Critères_liste_rouge!A$1","D1")</f>
        <v>D1</v>
      </c>
      <c r="V19669" s="7" t="str">
        <f>HYPERLINK("#Liste_rouge!A"&amp;_xlfn.XMATCH("RE",Liste_rouge!A:A,2,1),"RE")</f>
        <v>RE</v>
      </c>
      <c r="X19669" s="5" t="s">
        <v>374</v>
      </c>
      <c r="AE19669" s="4" t="str">
        <f>HYPERLINK("#SCAP!A"&amp;_xlfn.XMATCH("2+",SCAP!A:A,2,1),"2+")</f>
        <v>2+</v>
      </c>
      <c r="AF19669" s="4" t="str">
        <f>HYPERLINK("#SCAP!A"&amp;_xlfn.XMATCH("1+",SCAP!A:A,2,1),"1+")</f>
        <v>1+</v>
      </c>
      <c r="AH19669" s="4" t="str">
        <f>HYPERLINK("#Statut_biogéographique!A"&amp;_xlfn.XMATCH("P",Statut_biogéographique!A:A,2,1),"P")</f>
        <v>P</v>
      </c>
      <c r="AM19669" s="4" t="s">
        <v>375</v>
      </c>
      <c r="AN19669" s="4" t="s">
        <v>375</v>
      </c>
      <c r="AO19669" s="4" t="s">
        <v>375</v>
      </c>
      <c r="AP19669" s="4" t="s">
        <v>389</v>
      </c>
      <c r="AR19669" s="4" t="s">
        <v>377</v>
      </c>
    </row>
    <row r="19670" spans="1:44">
      <c r="A19670" s="4" t="s">
        <v>117</v>
      </c>
      <c r="B19670" s="4">
        <v>4667</v>
      </c>
      <c r="D19670" s="5" t="s">
        <v>24265</v>
      </c>
      <c r="E19670" s="6" t="str">
        <f>HYPERLINK("https://inpn.mnhn.fr/espece/cd_nom/4667","Emberiza pusilla Pallas, 1776")</f>
        <v>Emberiza pusilla Pallas, 1776</v>
      </c>
      <c r="F19670" s="5" t="s">
        <v>24266</v>
      </c>
      <c r="I19670" s="4" t="str">
        <f>HYPERLINK("#Réglementation!A"&amp;_xlfn.XMATCH("IBE2",Réglementation!A:A,2,1),"IBE2")</f>
        <v>IBE2</v>
      </c>
      <c r="L19670" s="4" t="str">
        <f>HYPERLINK("#Réglementation!A"&amp;_xlfn.XMATCH("NO4",Réglementation!A:A,2,1),"NO4")</f>
        <v>NO4</v>
      </c>
      <c r="O19670" s="7" t="str">
        <f>HYPERLINK("#Liste_rouge!A"&amp;_xlfn.XMATCH("LC",Liste_rouge!A:A,2,1),"LC")</f>
        <v>LC</v>
      </c>
      <c r="P19670" s="7" t="str">
        <f>HYPERLINK("#Liste_rouge!A"&amp;_xlfn.XMATCH("LC",Liste_rouge!A:A,2,1),"LC")</f>
        <v>LC</v>
      </c>
      <c r="S19670" s="7" t="str">
        <f>HYPERLINK("#Liste_rouge!A"&amp;_xlfn.XMATCH("NA",Liste_rouge!A:A,2,1),"NA")</f>
        <v>NA</v>
      </c>
      <c r="AH19670" s="4" t="str">
        <f>HYPERLINK("#Statut_biogéographique!A"&amp;_xlfn.XMATCH("B",Statut_biogéographique!A:A,2,1),"B")</f>
        <v>B</v>
      </c>
      <c r="AM19670" s="4" t="s">
        <v>375</v>
      </c>
      <c r="AN19670" s="4" t="s">
        <v>375</v>
      </c>
      <c r="AO19670" s="4" t="s">
        <v>375</v>
      </c>
      <c r="AP19670" s="4" t="s">
        <v>376</v>
      </c>
      <c r="AR19670" s="4" t="s">
        <v>377</v>
      </c>
    </row>
    <row r="19671" spans="1:44" ht="60">
      <c r="A19671" s="4" t="s">
        <v>117</v>
      </c>
      <c r="B19671" s="4">
        <v>4669</v>
      </c>
      <c r="D19671" s="5" t="s">
        <v>24267</v>
      </c>
      <c r="E19671" s="6" t="str">
        <f>HYPERLINK("https://inpn.mnhn.fr/espece/cd_nom/4669","Emberiza schoeniclus (Linnaeus, 1758)")</f>
        <v>Emberiza schoeniclus (Linnaeus, 1758)</v>
      </c>
      <c r="F19671" s="5" t="s">
        <v>24268</v>
      </c>
      <c r="I19671" s="4" t="str">
        <f>HYPERLINK("#Réglementation!A"&amp;_xlfn.XMATCH("IBE2",Réglementation!A:A,2,1),"IBE2")</f>
        <v>IBE2</v>
      </c>
      <c r="L19671" s="4" t="str">
        <f>HYPERLINK("#Réglementation!A"&amp;_xlfn.XMATCH("NO3",Réglementation!A:A,2,1),"NO3")</f>
        <v>NO3</v>
      </c>
      <c r="O19671" s="7" t="str">
        <f>HYPERLINK("#Liste_rouge!A"&amp;_xlfn.XMATCH("LC",Liste_rouge!A:A,2,1),"LC")</f>
        <v>LC</v>
      </c>
      <c r="P19671" s="7" t="str">
        <f>HYPERLINK("#Liste_rouge!A"&amp;_xlfn.XMATCH("LC",Liste_rouge!A:A,2,1),"LC")</f>
        <v>LC</v>
      </c>
      <c r="Q19671" s="7" t="str">
        <f>HYPERLINK("#Liste_rouge!A"&amp;_xlfn.XMATCH("EN",Liste_rouge!A:A,2,1),"EN")</f>
        <v>EN</v>
      </c>
      <c r="S19671" s="7" t="str">
        <f>HYPERLINK("#Liste_rouge!A"&amp;_xlfn.XMATCH("NA",Liste_rouge!A:A,2,1),"NA")</f>
        <v>NA</v>
      </c>
      <c r="T19671" s="7" t="str">
        <f>HYPERLINK("#Liste_rouge!A"&amp;_xlfn.XMATCH("VU",Liste_rouge!A:A,2,1),"VU")</f>
        <v>VU</v>
      </c>
      <c r="U19671" s="4" t="str">
        <f>HYPERLINK("#Critères_liste_rouge!A$1","A2b")</f>
        <v>A2b</v>
      </c>
      <c r="V19671" s="7" t="str">
        <f>HYPERLINK("#Liste_rouge!A"&amp;_xlfn.XMATCH("DD",Liste_rouge!A:A,2,1),"DD")</f>
        <v>DD</v>
      </c>
      <c r="X19671" s="5" t="s">
        <v>23442</v>
      </c>
      <c r="Y19671" s="5" t="s">
        <v>24269</v>
      </c>
      <c r="AH19671" s="4" t="str">
        <f>HYPERLINK("#Statut_biogéographique!A"&amp;_xlfn.XMATCH("P",Statut_biogéographique!A:A,2,1),"P")</f>
        <v>P</v>
      </c>
      <c r="AM19671" s="4" t="s">
        <v>375</v>
      </c>
      <c r="AN19671" s="4" t="s">
        <v>375</v>
      </c>
      <c r="AO19671" s="4" t="s">
        <v>375</v>
      </c>
      <c r="AP19671" s="4" t="s">
        <v>389</v>
      </c>
      <c r="AR19671" s="4" t="s">
        <v>377</v>
      </c>
    </row>
    <row r="19672" spans="1:44">
      <c r="A19672" s="4" t="s">
        <v>117</v>
      </c>
      <c r="B19672" s="4">
        <v>4676</v>
      </c>
      <c r="D19672" s="5">
        <v>4676</v>
      </c>
      <c r="E19672" s="6" t="str">
        <f>HYPERLINK("https://inpn.mnhn.fr/espece/cd_nom/4676","Emberiza rustica Pallas, 1776")</f>
        <v>Emberiza rustica Pallas, 1776</v>
      </c>
      <c r="F19672" s="5" t="s">
        <v>24270</v>
      </c>
      <c r="I19672" s="4" t="str">
        <f>HYPERLINK("#Réglementation!A"&amp;_xlfn.XMATCH("IBE2",Réglementation!A:A,2,1),"IBE2")</f>
        <v>IBE2</v>
      </c>
      <c r="L19672" s="4" t="str">
        <f>HYPERLINK("#Réglementation!A"&amp;_xlfn.XMATCH("NO4",Réglementation!A:A,2,1),"NO4")</f>
        <v>NO4</v>
      </c>
      <c r="O19672" s="7" t="str">
        <f>HYPERLINK("#Liste_rouge!A"&amp;_xlfn.XMATCH("VU",Liste_rouge!A:A,2,1),"VU")</f>
        <v>VU</v>
      </c>
      <c r="P19672" s="7" t="str">
        <f>HYPERLINK("#Liste_rouge!A"&amp;_xlfn.XMATCH("LC",Liste_rouge!A:A,2,1),"LC")</f>
        <v>LC</v>
      </c>
      <c r="S19672" s="7" t="str">
        <f>HYPERLINK("#Liste_rouge!A"&amp;_xlfn.XMATCH("NA",Liste_rouge!A:A,2,1),"NA")</f>
        <v>NA</v>
      </c>
      <c r="AH19672" s="4" t="str">
        <f>HYPERLINK("#Statut_biogéographique!A"&amp;_xlfn.XMATCH("B",Statut_biogéographique!A:A,2,1),"B")</f>
        <v>B</v>
      </c>
      <c r="AM19672" s="4" t="s">
        <v>375</v>
      </c>
      <c r="AN19672" s="4" t="s">
        <v>375</v>
      </c>
      <c r="AO19672" s="4" t="s">
        <v>375</v>
      </c>
      <c r="AP19672" s="4" t="s">
        <v>376</v>
      </c>
      <c r="AR19672" s="4" t="s">
        <v>377</v>
      </c>
    </row>
    <row r="19673" spans="1:44">
      <c r="A19673" s="4" t="s">
        <v>117</v>
      </c>
      <c r="B19673" s="4">
        <v>4678</v>
      </c>
      <c r="D19673" s="5">
        <v>4678</v>
      </c>
      <c r="E19673" s="6" t="str">
        <f>HYPERLINK("https://inpn.mnhn.fr/espece/cd_nom/4678","Emberiza aureola Pallas, 1773")</f>
        <v>Emberiza aureola Pallas, 1773</v>
      </c>
      <c r="F19673" s="5" t="s">
        <v>24271</v>
      </c>
      <c r="H19673" s="4" t="str">
        <f>HYPERLINK("#Réglementation!A"&amp;_xlfn.XMATCH("IBO1",Réglementation!A:A,2,1),"IBO1")</f>
        <v>IBO1</v>
      </c>
      <c r="I19673" s="4" t="str">
        <f>HYPERLINK("#Réglementation!A"&amp;_xlfn.XMATCH("IBE2",Réglementation!A:A,2,1),"IBE2")</f>
        <v>IBE2</v>
      </c>
      <c r="L19673" s="4" t="str">
        <f>HYPERLINK("#Réglementation!A"&amp;_xlfn.XMATCH("NO4",Réglementation!A:A,2,1),"NO4")</f>
        <v>NO4</v>
      </c>
      <c r="O19673" s="7" t="str">
        <f>HYPERLINK("#Liste_rouge!A"&amp;_xlfn.XMATCH("CR",Liste_rouge!A:A,2,1),"CR")</f>
        <v>CR</v>
      </c>
      <c r="P19673" s="7" t="str">
        <f>HYPERLINK("#Liste_rouge!A"&amp;_xlfn.XMATCH("CR",Liste_rouge!A:A,2,1),"CR")</f>
        <v>CR</v>
      </c>
      <c r="S19673" s="7" t="str">
        <f>HYPERLINK("#Liste_rouge!A"&amp;_xlfn.XMATCH("NA",Liste_rouge!A:A,2,1),"NA")</f>
        <v>NA</v>
      </c>
      <c r="AH19673" s="4" t="str">
        <f>HYPERLINK("#Statut_biogéographique!A"&amp;_xlfn.XMATCH("B",Statut_biogéographique!A:A,2,1),"B")</f>
        <v>B</v>
      </c>
      <c r="AP19673" s="4" t="s">
        <v>376</v>
      </c>
      <c r="AR19673" s="4" t="s">
        <v>377</v>
      </c>
    </row>
    <row r="19674" spans="1:44">
      <c r="A19674" s="4" t="s">
        <v>117</v>
      </c>
      <c r="B19674" s="4">
        <v>4680</v>
      </c>
      <c r="D19674" s="5" t="s">
        <v>24272</v>
      </c>
      <c r="E19674" s="6" t="str">
        <f>HYPERLINK("https://inpn.mnhn.fr/espece/cd_nom/4680","Emberiza melanocephala Scopoli, 1769")</f>
        <v>Emberiza melanocephala Scopoli, 1769</v>
      </c>
      <c r="F19674" s="5" t="s">
        <v>24273</v>
      </c>
      <c r="I19674" s="4" t="str">
        <f>HYPERLINK("#Réglementation!A"&amp;_xlfn.XMATCH("IBE2",Réglementation!A:A,2,1),"IBE2")</f>
        <v>IBE2</v>
      </c>
      <c r="L19674" s="4" t="str">
        <f>HYPERLINK("#Réglementation!A"&amp;_xlfn.XMATCH("NO3",Réglementation!A:A,2,1),"NO3")</f>
        <v>NO3</v>
      </c>
      <c r="O19674" s="7" t="str">
        <f>HYPERLINK("#Liste_rouge!A"&amp;_xlfn.XMATCH("LC",Liste_rouge!A:A,2,1),"LC")</f>
        <v>LC</v>
      </c>
      <c r="P19674" s="7" t="str">
        <f>HYPERLINK("#Liste_rouge!A"&amp;_xlfn.XMATCH("LC",Liste_rouge!A:A,2,1),"LC")</f>
        <v>LC</v>
      </c>
      <c r="Q19674" s="7" t="str">
        <f>HYPERLINK("#Liste_rouge!A"&amp;_xlfn.XMATCH("NA",Liste_rouge!A:A,2,1),"NA")</f>
        <v>NA</v>
      </c>
      <c r="S19674" s="7" t="str">
        <f>HYPERLINK("#Liste_rouge!A"&amp;_xlfn.XMATCH("NA",Liste_rouge!A:A,2,1),"NA")</f>
        <v>NA</v>
      </c>
      <c r="AH19674" s="4" t="str">
        <f>HYPERLINK("#Statut_biogéographique!A"&amp;_xlfn.XMATCH("B",Statut_biogéographique!A:A,2,1),"B")</f>
        <v>B</v>
      </c>
      <c r="AM19674" s="4" t="s">
        <v>375</v>
      </c>
      <c r="AN19674" s="4" t="s">
        <v>375</v>
      </c>
      <c r="AO19674" s="4" t="s">
        <v>375</v>
      </c>
      <c r="AP19674" s="4" t="s">
        <v>376</v>
      </c>
      <c r="AR19674" s="4" t="s">
        <v>377</v>
      </c>
    </row>
    <row r="19675" spans="1:44" ht="30">
      <c r="A19675" s="4" t="s">
        <v>117</v>
      </c>
      <c r="B19675" s="4">
        <v>4686</v>
      </c>
      <c r="D19675" s="5" t="s">
        <v>24274</v>
      </c>
      <c r="E19675" s="6" t="str">
        <f>HYPERLINK("https://inpn.mnhn.fr/espece/cd_nom/4686","Emberiza calandra Linnaeus, 1758")</f>
        <v>Emberiza calandra Linnaeus, 1758</v>
      </c>
      <c r="F19675" s="5" t="s">
        <v>24275</v>
      </c>
      <c r="I19675" s="4" t="str">
        <f>HYPERLINK("#Réglementation!A"&amp;_xlfn.XMATCH("IBE3",Réglementation!A:A,2,1),"IBE3")</f>
        <v>IBE3</v>
      </c>
      <c r="L19675" s="4" t="str">
        <f>HYPERLINK("#Réglementation!A"&amp;_xlfn.XMATCH("NO3",Réglementation!A:A,2,1),"NO3")</f>
        <v>NO3</v>
      </c>
      <c r="O19675" s="7" t="str">
        <f>HYPERLINK("#Liste_rouge!A"&amp;_xlfn.XMATCH("LC",Liste_rouge!A:A,2,1),"LC")</f>
        <v>LC</v>
      </c>
      <c r="P19675" s="7" t="str">
        <f>HYPERLINK("#Liste_rouge!A"&amp;_xlfn.XMATCH("LC",Liste_rouge!A:A,2,1),"LC")</f>
        <v>LC</v>
      </c>
      <c r="Q19675" s="7" t="str">
        <f>HYPERLINK("#Liste_rouge!A"&amp;_xlfn.XMATCH("LC",Liste_rouge!A:A,2,1),"LC")</f>
        <v>LC</v>
      </c>
      <c r="T19675" s="7" t="str">
        <f>HYPERLINK("#Liste_rouge!A"&amp;_xlfn.XMATCH("LC",Liste_rouge!A:A,2,1),"LC")</f>
        <v>LC</v>
      </c>
      <c r="V19675" s="7" t="str">
        <f>HYPERLINK("#Liste_rouge!A"&amp;_xlfn.XMATCH("VU",Liste_rouge!A:A,2,1),"VU")</f>
        <v>VU</v>
      </c>
      <c r="W19675" s="4" t="str">
        <f>HYPERLINK("#Critères_liste_rouge!A$1","EN (A2b) (-1)")</f>
        <v>EN (A2b) (-1)</v>
      </c>
      <c r="X19675" s="5" t="s">
        <v>23439</v>
      </c>
      <c r="Y19675" s="5" t="s">
        <v>23944</v>
      </c>
      <c r="AH19675" s="4" t="str">
        <f>HYPERLINK("#Statut_biogéographique!A"&amp;_xlfn.XMATCH("P",Statut_biogéographique!A:A,2,1),"P")</f>
        <v>P</v>
      </c>
      <c r="AM19675" s="4" t="s">
        <v>375</v>
      </c>
      <c r="AN19675" s="4" t="s">
        <v>375</v>
      </c>
      <c r="AO19675" s="4" t="s">
        <v>375</v>
      </c>
      <c r="AP19675" s="4" t="s">
        <v>376</v>
      </c>
      <c r="AR19675" s="4" t="s">
        <v>377</v>
      </c>
    </row>
    <row r="19676" spans="1:44" ht="60">
      <c r="A19676" s="4" t="s">
        <v>117</v>
      </c>
      <c r="B19676" s="4">
        <v>530157</v>
      </c>
      <c r="D19676" s="5" t="s">
        <v>24276</v>
      </c>
      <c r="E19676" s="6" t="str">
        <f>HYPERLINK("https://inpn.mnhn.fr/espece/cd_nom/530157","Chroicocephalus ridibundus (Linnaeus, 1766)")</f>
        <v>Chroicocephalus ridibundus (Linnaeus, 1766)</v>
      </c>
      <c r="F19676" s="5" t="s">
        <v>24277</v>
      </c>
      <c r="H19676" s="4" t="str">
        <f>HYPERLINK("#Réglementation!A"&amp;_xlfn.XMATCH("IBOAE",Réglementation!A:A,2,1),"IBOAE")</f>
        <v>IBOAE</v>
      </c>
      <c r="I19676" s="4" t="str">
        <f>HYPERLINK("#Réglementation!A"&amp;_xlfn.XMATCH("IBE3",Réglementation!A:A,2,1),"IBE3")</f>
        <v>IBE3</v>
      </c>
      <c r="J19676" s="4" t="str">
        <f>HYPERLINK("#Réglementation!A"&amp;_xlfn.XMATCH("CDO22",Réglementation!A:A,2,1),"CDO22")</f>
        <v>CDO22</v>
      </c>
      <c r="L19676" s="4" t="str">
        <f>HYPERLINK("#Réglementation!A"&amp;_xlfn.XMATCH("NO3",Réglementation!A:A,2,1),"NO3")</f>
        <v>NO3</v>
      </c>
      <c r="O19676" s="7" t="str">
        <f>HYPERLINK("#Liste_rouge!A"&amp;_xlfn.XMATCH("LC",Liste_rouge!A:A,2,1),"LC")</f>
        <v>LC</v>
      </c>
      <c r="P19676" s="7" t="str">
        <f>HYPERLINK("#Liste_rouge!A"&amp;_xlfn.XMATCH("LC",Liste_rouge!A:A,2,1),"LC")</f>
        <v>LC</v>
      </c>
      <c r="Q19676" s="7" t="str">
        <f>HYPERLINK("#Liste_rouge!A"&amp;_xlfn.XMATCH("NT",Liste_rouge!A:A,2,1),"NT")</f>
        <v>NT</v>
      </c>
      <c r="R19676" s="7" t="str">
        <f>HYPERLINK("#Liste_rouge!A"&amp;_xlfn.XMATCH("LC",Liste_rouge!A:A,2,1),"LC")</f>
        <v>LC</v>
      </c>
      <c r="S19676" s="7" t="str">
        <f>HYPERLINK("#Liste_rouge!A"&amp;_xlfn.XMATCH("NA",Liste_rouge!A:A,2,1),"NA")</f>
        <v>NA</v>
      </c>
      <c r="T19676" s="7" t="str">
        <f>HYPERLINK("#Liste_rouge!A"&amp;_xlfn.XMATCH("EN",Liste_rouge!A:A,2,1),"EN")</f>
        <v>EN</v>
      </c>
      <c r="U19676" s="4" t="str">
        <f>HYPERLINK("#Critères_liste_rouge!A$1","D1")</f>
        <v>D1</v>
      </c>
      <c r="V19676" s="7" t="str">
        <f>HYPERLINK("#Liste_rouge!A"&amp;_xlfn.XMATCH("NA",Liste_rouge!A:A,2,1),"NA")</f>
        <v>NA</v>
      </c>
      <c r="W19676" s="4" t="str">
        <f>HYPERLINK("#Critères_liste_rouge!A$1","b1")</f>
        <v>b1</v>
      </c>
      <c r="X19676" s="5" t="s">
        <v>23442</v>
      </c>
      <c r="Y19676" s="5" t="s">
        <v>24278</v>
      </c>
      <c r="AH19676" s="4" t="str">
        <f>HYPERLINK("#Statut_biogéographique!A"&amp;_xlfn.XMATCH("P",Statut_biogéographique!A:A,2,1),"P")</f>
        <v>P</v>
      </c>
      <c r="AM19676" s="4" t="s">
        <v>375</v>
      </c>
      <c r="AN19676" s="4" t="s">
        <v>375</v>
      </c>
      <c r="AO19676" s="4" t="s">
        <v>375</v>
      </c>
      <c r="AP19676" s="4" t="s">
        <v>389</v>
      </c>
      <c r="AR19676" s="4" t="s">
        <v>377</v>
      </c>
    </row>
    <row r="19677" spans="1:44">
      <c r="A19677" s="4" t="s">
        <v>117</v>
      </c>
      <c r="B19677" s="4">
        <v>534642</v>
      </c>
      <c r="D19677" s="5">
        <v>534642</v>
      </c>
      <c r="E19677" s="6" t="str">
        <f>HYPERLINK("https://inpn.mnhn.fr/espece/cd_nom/534642","Agapornis fischeri Reichenow, 1887")</f>
        <v>Agapornis fischeri Reichenow, 1887</v>
      </c>
      <c r="F19677" s="5" t="s">
        <v>24279</v>
      </c>
      <c r="G19677" s="4" t="str">
        <f>HYPERLINK("[#Réglementation!A"&amp;_xlfn.XMATCH("CCB",Réglementation!A:A,2,1),"CCB")</f>
        <v>CCB</v>
      </c>
      <c r="I19677" s="4" t="str">
        <f>HYPERLINK("#Réglementation!A"&amp;_xlfn.XMATCH("IBE3",Réglementation!A:A,2,1),"IBE3")</f>
        <v>IBE3</v>
      </c>
      <c r="O19677" s="7" t="str">
        <f>HYPERLINK("#Liste_rouge!A"&amp;_xlfn.XMATCH("NT",Liste_rouge!A:A,2,1),"NT")</f>
        <v>NT</v>
      </c>
      <c r="AH19677" s="4" t="str">
        <f>HYPERLINK("#Statut_biogéographique!A"&amp;_xlfn.XMATCH("I",Statut_biogéographique!A:A,2,1),"I")</f>
        <v>I</v>
      </c>
      <c r="AL19677" s="5" t="str">
        <f>HYPERLINK("#Réglementation!A"&amp;_xlfn.XMATCH("UEintro",Réglementation!A:A,2,1),"UEintro")</f>
        <v>UEintro</v>
      </c>
      <c r="AP19677" s="4" t="s">
        <v>376</v>
      </c>
      <c r="AR19677" s="4" t="s">
        <v>377</v>
      </c>
    </row>
    <row r="19678" spans="1:44">
      <c r="A19678" s="4" t="s">
        <v>117</v>
      </c>
      <c r="B19678" s="4">
        <v>534662</v>
      </c>
      <c r="D19678" s="5" t="s">
        <v>24280</v>
      </c>
      <c r="E19678" s="6" t="str">
        <f>HYPERLINK("https://inpn.mnhn.fr/espece/cd_nom/534662","Chroicocephalus genei (Brême, 1839)")</f>
        <v>Chroicocephalus genei (Brême, 1839)</v>
      </c>
      <c r="F19678" s="5" t="s">
        <v>24281</v>
      </c>
      <c r="H19678" s="4" t="str">
        <f>HYPERLINK("#Réglementation!A"&amp;_xlfn.XMATCH("IBOAE",Réglementation!A:A,2,1),"IBOAE - IBO2")</f>
        <v>IBOAE - IBO2</v>
      </c>
      <c r="I19678" s="4" t="str">
        <f>HYPERLINK("#Réglementation!A"&amp;_xlfn.XMATCH("IBE2",Réglementation!A:A,2,1),"IBE2")</f>
        <v>IBE2</v>
      </c>
      <c r="J19678" s="4" t="str">
        <f>HYPERLINK("#Réglementation!A"&amp;_xlfn.XMATCH("CDO1",Réglementation!A:A,2,1),"CDO1")</f>
        <v>CDO1</v>
      </c>
      <c r="L19678" s="4" t="str">
        <f>HYPERLINK("#Réglementation!A"&amp;_xlfn.XMATCH("NO3",Réglementation!A:A,2,1),"NO3")</f>
        <v>NO3</v>
      </c>
      <c r="O19678" s="7" t="str">
        <f>HYPERLINK("#Liste_rouge!A"&amp;_xlfn.XMATCH("LC",Liste_rouge!A:A,2,1),"LC")</f>
        <v>LC</v>
      </c>
      <c r="P19678" s="7" t="str">
        <f>HYPERLINK("#Liste_rouge!A"&amp;_xlfn.XMATCH("VU",Liste_rouge!A:A,2,1),"VU")</f>
        <v>VU</v>
      </c>
      <c r="Q19678" s="7" t="str">
        <f>HYPERLINK("#Liste_rouge!A"&amp;_xlfn.XMATCH("VU",Liste_rouge!A:A,2,1),"VU")</f>
        <v>VU</v>
      </c>
      <c r="R19678" s="7" t="str">
        <f>HYPERLINK("#Liste_rouge!A"&amp;_xlfn.XMATCH("NA",Liste_rouge!A:A,2,1),"NA")</f>
        <v>NA</v>
      </c>
      <c r="AE19678" s="4" t="str">
        <f>HYPERLINK("#SCAP!A"&amp;_xlfn.XMATCH("2+",SCAP!A:A,2,1),"2+")</f>
        <v>2+</v>
      </c>
      <c r="AH19678" s="4" t="str">
        <f>HYPERLINK("#Statut_biogéographique!A"&amp;_xlfn.XMATCH("P",Statut_biogéographique!A:A,2,1),"P")</f>
        <v>P</v>
      </c>
      <c r="AM19678" s="4" t="s">
        <v>375</v>
      </c>
      <c r="AN19678" s="4" t="s">
        <v>375</v>
      </c>
      <c r="AO19678" s="4" t="s">
        <v>375</v>
      </c>
      <c r="AP19678" s="4" t="s">
        <v>389</v>
      </c>
      <c r="AR19678" s="4" t="s">
        <v>377</v>
      </c>
    </row>
    <row r="19679" spans="1:44">
      <c r="A19679" s="4" t="s">
        <v>117</v>
      </c>
      <c r="B19679" s="4">
        <v>534742</v>
      </c>
      <c r="D19679" s="5" t="s">
        <v>24282</v>
      </c>
      <c r="E19679" s="6" t="str">
        <f>HYPERLINK("https://inpn.mnhn.fr/espece/cd_nom/534742","Cyanistes caeruleus (Linnaeus, 1758)")</f>
        <v>Cyanistes caeruleus (Linnaeus, 1758)</v>
      </c>
      <c r="F19679" s="5" t="s">
        <v>24283</v>
      </c>
      <c r="I19679" s="4" t="str">
        <f>HYPERLINK("#Réglementation!A"&amp;_xlfn.XMATCH("IBE2",Réglementation!A:A,2,1),"IBE2")</f>
        <v>IBE2</v>
      </c>
      <c r="L19679" s="4" t="str">
        <f>HYPERLINK("#Réglementation!A"&amp;_xlfn.XMATCH("NO3",Réglementation!A:A,2,1),"NO3")</f>
        <v>NO3</v>
      </c>
      <c r="O19679" s="7" t="str">
        <f>HYPERLINK("#Liste_rouge!A"&amp;_xlfn.XMATCH("LC",Liste_rouge!A:A,2,1),"LC")</f>
        <v>LC</v>
      </c>
      <c r="P19679" s="7" t="str">
        <f>HYPERLINK("#Liste_rouge!A"&amp;_xlfn.XMATCH("LC",Liste_rouge!A:A,2,1),"LC")</f>
        <v>LC</v>
      </c>
      <c r="Q19679" s="7" t="str">
        <f>HYPERLINK("#Liste_rouge!A"&amp;_xlfn.XMATCH("LC",Liste_rouge!A:A,2,1),"LC")</f>
        <v>LC</v>
      </c>
      <c r="S19679" s="7" t="str">
        <f>HYPERLINK("#Liste_rouge!A"&amp;_xlfn.XMATCH("NA",Liste_rouge!A:A,2,1),"NA")</f>
        <v>NA</v>
      </c>
      <c r="T19679" s="7" t="str">
        <f>HYPERLINK("#Liste_rouge!A"&amp;_xlfn.XMATCH("LC",Liste_rouge!A:A,2,1),"LC")</f>
        <v>LC</v>
      </c>
      <c r="V19679" s="7" t="str">
        <f>HYPERLINK("#Liste_rouge!A"&amp;_xlfn.XMATCH("LC",Liste_rouge!A:A,2,1),"LC")</f>
        <v>LC</v>
      </c>
      <c r="AH19679" s="4" t="str">
        <f>HYPERLINK("#Statut_biogéographique!A"&amp;_xlfn.XMATCH("P",Statut_biogéographique!A:A,2,1),"P")</f>
        <v>P</v>
      </c>
      <c r="AM19679" s="4" t="s">
        <v>375</v>
      </c>
      <c r="AN19679" s="4" t="s">
        <v>375</v>
      </c>
      <c r="AO19679" s="4" t="s">
        <v>375</v>
      </c>
      <c r="AP19679" s="4" t="s">
        <v>376</v>
      </c>
      <c r="AR19679" s="4" t="s">
        <v>377</v>
      </c>
    </row>
    <row r="19680" spans="1:44">
      <c r="A19680" s="4" t="s">
        <v>117</v>
      </c>
      <c r="B19680" s="4">
        <v>534743</v>
      </c>
      <c r="D19680" s="5" t="s">
        <v>24284</v>
      </c>
      <c r="E19680" s="6" t="str">
        <f>HYPERLINK("https://inpn.mnhn.fr/espece/cd_nom/534743","Cyanistes cyanus (Pallas, 1770)")</f>
        <v>Cyanistes cyanus (Pallas, 1770)</v>
      </c>
      <c r="F19680" s="5" t="s">
        <v>24285</v>
      </c>
      <c r="I19680" s="4" t="str">
        <f>HYPERLINK("#Réglementation!A"&amp;_xlfn.XMATCH("IBE2",Réglementation!A:A,2,1),"IBE2")</f>
        <v>IBE2</v>
      </c>
      <c r="L19680" s="4" t="str">
        <f>HYPERLINK("#Réglementation!A"&amp;_xlfn.XMATCH("NO4",Réglementation!A:A,2,1),"NO4")</f>
        <v>NO4</v>
      </c>
      <c r="O19680" s="7" t="str">
        <f>HYPERLINK("#Liste_rouge!A"&amp;_xlfn.XMATCH("LC",Liste_rouge!A:A,2,1),"LC")</f>
        <v>LC</v>
      </c>
      <c r="P19680" s="7" t="str">
        <f>HYPERLINK("#Liste_rouge!A"&amp;_xlfn.XMATCH("NT",Liste_rouge!A:A,2,1),"NT")</f>
        <v>NT</v>
      </c>
      <c r="S19680" s="7" t="str">
        <f>HYPERLINK("#Liste_rouge!A"&amp;_xlfn.XMATCH("NA",Liste_rouge!A:A,2,1),"NA")</f>
        <v>NA</v>
      </c>
      <c r="AH19680" s="4" t="str">
        <f>HYPERLINK("#Statut_biogéographique!A"&amp;_xlfn.XMATCH("P",Statut_biogéographique!A:A,2,1),"P")</f>
        <v>P</v>
      </c>
      <c r="AP19680" s="4" t="s">
        <v>376</v>
      </c>
      <c r="AR19680" s="4" t="s">
        <v>377</v>
      </c>
    </row>
    <row r="19681" spans="1:44">
      <c r="A19681" s="4" t="s">
        <v>117</v>
      </c>
      <c r="B19681" s="4">
        <v>534748</v>
      </c>
      <c r="D19681" s="5" t="s">
        <v>24286</v>
      </c>
      <c r="E19681" s="6" t="str">
        <f>HYPERLINK("https://inpn.mnhn.fr/espece/cd_nom/534748","Hydrocoloeus minutus (Pallas, 1776)")</f>
        <v>Hydrocoloeus minutus (Pallas, 1776)</v>
      </c>
      <c r="F19681" s="5" t="s">
        <v>24287</v>
      </c>
      <c r="H19681" s="4" t="str">
        <f>HYPERLINK("#Réglementation!A"&amp;_xlfn.XMATCH("IBOAE",Réglementation!A:A,2,1),"IBOAE")</f>
        <v>IBOAE</v>
      </c>
      <c r="I19681" s="4" t="str">
        <f>HYPERLINK("#Réglementation!A"&amp;_xlfn.XMATCH("IBE2",Réglementation!A:A,2,1),"IBE2")</f>
        <v>IBE2</v>
      </c>
      <c r="J19681" s="4" t="str">
        <f>HYPERLINK("#Réglementation!A"&amp;_xlfn.XMATCH("CDO1",Réglementation!A:A,2,1),"CDO1")</f>
        <v>CDO1</v>
      </c>
      <c r="L19681" s="4" t="str">
        <f>HYPERLINK("#Réglementation!A"&amp;_xlfn.XMATCH("NO3",Réglementation!A:A,2,1),"NO3")</f>
        <v>NO3</v>
      </c>
      <c r="O19681" s="7" t="str">
        <f>HYPERLINK("#Liste_rouge!A"&amp;_xlfn.XMATCH("LC",Liste_rouge!A:A,2,1),"LC")</f>
        <v>LC</v>
      </c>
      <c r="P19681" s="7" t="str">
        <f>HYPERLINK("#Liste_rouge!A"&amp;_xlfn.XMATCH("LC",Liste_rouge!A:A,2,1),"LC")</f>
        <v>LC</v>
      </c>
      <c r="Q19681" s="7" t="str">
        <f>HYPERLINK("#Liste_rouge!A"&amp;_xlfn.XMATCH("NA",Liste_rouge!A:A,2,1),"NA")</f>
        <v>NA</v>
      </c>
      <c r="R19681" s="7" t="str">
        <f>HYPERLINK("#Liste_rouge!A"&amp;_xlfn.XMATCH("LC",Liste_rouge!A:A,2,1),"LC")</f>
        <v>LC</v>
      </c>
      <c r="S19681" s="7" t="str">
        <f>HYPERLINK("#Liste_rouge!A"&amp;_xlfn.XMATCH("NA",Liste_rouge!A:A,2,1),"NA")</f>
        <v>NA</v>
      </c>
      <c r="AH19681" s="4" t="str">
        <f>HYPERLINK("#Statut_biogéographique!A"&amp;_xlfn.XMATCH("P",Statut_biogéographique!A:A,2,1),"P")</f>
        <v>P</v>
      </c>
      <c r="AM19681" s="4" t="s">
        <v>375</v>
      </c>
      <c r="AN19681" s="4" t="s">
        <v>375</v>
      </c>
      <c r="AO19681" s="4" t="s">
        <v>375</v>
      </c>
      <c r="AP19681" s="4" t="s">
        <v>389</v>
      </c>
      <c r="AR19681" s="4" t="s">
        <v>377</v>
      </c>
    </row>
    <row r="19682" spans="1:44">
      <c r="A19682" s="4" t="s">
        <v>117</v>
      </c>
      <c r="B19682" s="4">
        <v>534750</v>
      </c>
      <c r="D19682" s="5" t="s">
        <v>24288</v>
      </c>
      <c r="E19682" s="6" t="str">
        <f>HYPERLINK("https://inpn.mnhn.fr/espece/cd_nom/534750","Lophophanes cristatus (Linnaeus, 1758)")</f>
        <v>Lophophanes cristatus (Linnaeus, 1758)</v>
      </c>
      <c r="F19682" s="5" t="s">
        <v>24289</v>
      </c>
      <c r="I19682" s="4" t="str">
        <f>HYPERLINK("#Réglementation!A"&amp;_xlfn.XMATCH("IBE2",Réglementation!A:A,2,1),"IBE2")</f>
        <v>IBE2</v>
      </c>
      <c r="L19682" s="4" t="str">
        <f>HYPERLINK("#Réglementation!A"&amp;_xlfn.XMATCH("NO3",Réglementation!A:A,2,1),"NO3")</f>
        <v>NO3</v>
      </c>
      <c r="O19682" s="7" t="str">
        <f>HYPERLINK("#Liste_rouge!A"&amp;_xlfn.XMATCH("LC",Liste_rouge!A:A,2,1),"LC")</f>
        <v>LC</v>
      </c>
      <c r="P19682" s="7" t="str">
        <f>HYPERLINK("#Liste_rouge!A"&amp;_xlfn.XMATCH("LC",Liste_rouge!A:A,2,1),"LC")</f>
        <v>LC</v>
      </c>
      <c r="Q19682" s="7" t="str">
        <f>HYPERLINK("#Liste_rouge!A"&amp;_xlfn.XMATCH("LC",Liste_rouge!A:A,2,1),"LC")</f>
        <v>LC</v>
      </c>
      <c r="T19682" s="7" t="str">
        <f>HYPERLINK("#Liste_rouge!A"&amp;_xlfn.XMATCH("LC",Liste_rouge!A:A,2,1),"LC")</f>
        <v>LC</v>
      </c>
      <c r="V19682" s="7" t="str">
        <f>HYPERLINK("#Liste_rouge!A"&amp;_xlfn.XMATCH("LC",Liste_rouge!A:A,2,1),"LC")</f>
        <v>LC</v>
      </c>
      <c r="AH19682" s="4" t="str">
        <f>HYPERLINK("#Statut_biogéographique!A"&amp;_xlfn.XMATCH("P",Statut_biogéographique!A:A,2,1),"P")</f>
        <v>P</v>
      </c>
      <c r="AM19682" s="4" t="s">
        <v>375</v>
      </c>
      <c r="AN19682" s="4" t="s">
        <v>375</v>
      </c>
      <c r="AO19682" s="4" t="s">
        <v>375</v>
      </c>
      <c r="AP19682" s="4" t="s">
        <v>376</v>
      </c>
      <c r="AR19682" s="4" t="s">
        <v>377</v>
      </c>
    </row>
    <row r="19683" spans="1:44" ht="30">
      <c r="A19683" s="4" t="s">
        <v>117</v>
      </c>
      <c r="B19683" s="4">
        <v>534751</v>
      </c>
      <c r="D19683" s="5" t="s">
        <v>24290</v>
      </c>
      <c r="E19683" s="6" t="str">
        <f>HYPERLINK("https://inpn.mnhn.fr/espece/cd_nom/534751","Periparus ater (Linnaeus, 1758)")</f>
        <v>Periparus ater (Linnaeus, 1758)</v>
      </c>
      <c r="F19683" s="5" t="s">
        <v>24291</v>
      </c>
      <c r="I19683" s="4" t="str">
        <f>HYPERLINK("#Réglementation!A"&amp;_xlfn.XMATCH("IBE2",Réglementation!A:A,2,1),"IBE2")</f>
        <v>IBE2</v>
      </c>
      <c r="L19683" s="4" t="str">
        <f>HYPERLINK("#Réglementation!A"&amp;_xlfn.XMATCH("NO3",Réglementation!A:A,2,1),"NO3")</f>
        <v>NO3</v>
      </c>
      <c r="O19683" s="7" t="str">
        <f>HYPERLINK("#Liste_rouge!A"&amp;_xlfn.XMATCH("LC",Liste_rouge!A:A,2,1),"LC")</f>
        <v>LC</v>
      </c>
      <c r="P19683" s="7" t="str">
        <f>HYPERLINK("#Liste_rouge!A"&amp;_xlfn.XMATCH("LC",Liste_rouge!A:A,2,1),"LC")</f>
        <v>LC</v>
      </c>
      <c r="Q19683" s="7" t="str">
        <f>HYPERLINK("#Liste_rouge!A"&amp;_xlfn.XMATCH("LC",Liste_rouge!A:A,2,1),"LC")</f>
        <v>LC</v>
      </c>
      <c r="R19683" s="7" t="str">
        <f>HYPERLINK("#Liste_rouge!A"&amp;_xlfn.XMATCH("NA",Liste_rouge!A:A,2,1),"NA")</f>
        <v>NA</v>
      </c>
      <c r="S19683" s="7" t="str">
        <f>HYPERLINK("#Liste_rouge!A"&amp;_xlfn.XMATCH("NA",Liste_rouge!A:A,2,1),"NA")</f>
        <v>NA</v>
      </c>
      <c r="T19683" s="7" t="str">
        <f>HYPERLINK("#Liste_rouge!A"&amp;_xlfn.XMATCH("DD",Liste_rouge!A:A,2,1),"DD")</f>
        <v>DD</v>
      </c>
      <c r="V19683" s="7" t="str">
        <f>HYPERLINK("#Liste_rouge!A"&amp;_xlfn.XMATCH("LC",Liste_rouge!A:A,2,1),"LC")</f>
        <v>LC</v>
      </c>
      <c r="W19683" s="4" t="str">
        <f>HYPERLINK("#Critères_liste_rouge!A$1","NT (pr. A2b) (-1)")</f>
        <v>NT (pr. A2b) (-1)</v>
      </c>
      <c r="X19683" s="5" t="s">
        <v>23439</v>
      </c>
      <c r="Y19683" s="5" t="s">
        <v>23951</v>
      </c>
      <c r="AH19683" s="4" t="str">
        <f>HYPERLINK("#Statut_biogéographique!A"&amp;_xlfn.XMATCH("P",Statut_biogéographique!A:A,2,1),"P")</f>
        <v>P</v>
      </c>
      <c r="AM19683" s="4" t="s">
        <v>375</v>
      </c>
      <c r="AN19683" s="4" t="s">
        <v>375</v>
      </c>
      <c r="AO19683" s="4" t="s">
        <v>375</v>
      </c>
      <c r="AP19683" s="4" t="s">
        <v>376</v>
      </c>
      <c r="AR19683" s="4" t="s">
        <v>377</v>
      </c>
    </row>
    <row r="19684" spans="1:44" ht="30">
      <c r="A19684" s="4" t="s">
        <v>117</v>
      </c>
      <c r="B19684" s="4">
        <v>534752</v>
      </c>
      <c r="D19684" s="5" t="s">
        <v>24292</v>
      </c>
      <c r="E19684" s="6" t="str">
        <f>HYPERLINK("https://inpn.mnhn.fr/espece/cd_nom/534752","Poecile montanus (Conrad von Baldenstein, 1827)")</f>
        <v>Poecile montanus (Conrad von Baldenstein, 1827)</v>
      </c>
      <c r="F19684" s="5" t="s">
        <v>24293</v>
      </c>
      <c r="I19684" s="4" t="str">
        <f>HYPERLINK("#Réglementation!A"&amp;_xlfn.XMATCH("IBE2",Réglementation!A:A,2,1),"IBE2")</f>
        <v>IBE2</v>
      </c>
      <c r="L19684" s="4" t="str">
        <f>HYPERLINK("#Réglementation!A"&amp;_xlfn.XMATCH("NO3",Réglementation!A:A,2,1),"NO3")</f>
        <v>NO3</v>
      </c>
      <c r="O19684" s="7" t="str">
        <f>HYPERLINK("#Liste_rouge!A"&amp;_xlfn.XMATCH("LC",Liste_rouge!A:A,2,1),"LC")</f>
        <v>LC</v>
      </c>
      <c r="P19684" s="7" t="str">
        <f>HYPERLINK("#Liste_rouge!A"&amp;_xlfn.XMATCH("LC",Liste_rouge!A:A,2,1),"LC")</f>
        <v>LC</v>
      </c>
      <c r="Q19684" s="7" t="str">
        <f>HYPERLINK("#Liste_rouge!A"&amp;_xlfn.XMATCH("VU",Liste_rouge!A:A,2,1),"VU")</f>
        <v>VU</v>
      </c>
      <c r="T19684" s="7" t="str">
        <f>HYPERLINK("#Liste_rouge!A"&amp;_xlfn.XMATCH("VU",Liste_rouge!A:A,2,1),"VU")</f>
        <v>VU</v>
      </c>
      <c r="U19684" s="4" t="str">
        <f>HYPERLINK("#Critères_liste_rouge!A$1","C1")</f>
        <v>C1</v>
      </c>
      <c r="V19684" s="7" t="str">
        <f>HYPERLINK("#Liste_rouge!A"&amp;_xlfn.XMATCH("DD",Liste_rouge!A:A,2,1),"DD")</f>
        <v>DD</v>
      </c>
      <c r="X19684" s="5" t="s">
        <v>374</v>
      </c>
      <c r="AH19684" s="4" t="str">
        <f>HYPERLINK("#Statut_biogéographique!A"&amp;_xlfn.XMATCH("P",Statut_biogéographique!A:A,2,1),"P")</f>
        <v>P</v>
      </c>
      <c r="AM19684" s="4" t="s">
        <v>375</v>
      </c>
      <c r="AN19684" s="4" t="s">
        <v>375</v>
      </c>
      <c r="AO19684" s="4" t="s">
        <v>375</v>
      </c>
      <c r="AP19684" s="4" t="s">
        <v>376</v>
      </c>
      <c r="AR19684" s="4" t="s">
        <v>377</v>
      </c>
    </row>
    <row r="19685" spans="1:44">
      <c r="A19685" s="4" t="s">
        <v>117</v>
      </c>
      <c r="B19685" s="4">
        <v>534753</v>
      </c>
      <c r="D19685" s="5" t="s">
        <v>24294</v>
      </c>
      <c r="E19685" s="6" t="str">
        <f>HYPERLINK("https://inpn.mnhn.fr/espece/cd_nom/534753","Poecile palustris (Linnaeus, 1758)")</f>
        <v>Poecile palustris (Linnaeus, 1758)</v>
      </c>
      <c r="F19685" s="5" t="s">
        <v>24295</v>
      </c>
      <c r="I19685" s="4" t="str">
        <f>HYPERLINK("#Réglementation!A"&amp;_xlfn.XMATCH("IBE2",Réglementation!A:A,2,1),"IBE2")</f>
        <v>IBE2</v>
      </c>
      <c r="L19685" s="4" t="str">
        <f>HYPERLINK("#Réglementation!A"&amp;_xlfn.XMATCH("NO3",Réglementation!A:A,2,1),"NO3")</f>
        <v>NO3</v>
      </c>
      <c r="O19685" s="7" t="str">
        <f>HYPERLINK("#Liste_rouge!A"&amp;_xlfn.XMATCH("LC",Liste_rouge!A:A,2,1),"LC")</f>
        <v>LC</v>
      </c>
      <c r="P19685" s="7" t="str">
        <f>HYPERLINK("#Liste_rouge!A"&amp;_xlfn.XMATCH("LC",Liste_rouge!A:A,2,1),"LC")</f>
        <v>LC</v>
      </c>
      <c r="Q19685" s="7" t="str">
        <f>HYPERLINK("#Liste_rouge!A"&amp;_xlfn.XMATCH("LC",Liste_rouge!A:A,2,1),"LC")</f>
        <v>LC</v>
      </c>
      <c r="T19685" s="7" t="str">
        <f>HYPERLINK("#Liste_rouge!A"&amp;_xlfn.XMATCH("LC",Liste_rouge!A:A,2,1),"LC")</f>
        <v>LC</v>
      </c>
      <c r="V19685" s="7" t="str">
        <f>HYPERLINK("#Liste_rouge!A"&amp;_xlfn.XMATCH("LC",Liste_rouge!A:A,2,1),"LC")</f>
        <v>LC</v>
      </c>
      <c r="AH19685" s="4" t="str">
        <f>HYPERLINK("#Statut_biogéographique!A"&amp;_xlfn.XMATCH("P",Statut_biogéographique!A:A,2,1),"P")</f>
        <v>P</v>
      </c>
      <c r="AM19685" s="4" t="s">
        <v>375</v>
      </c>
      <c r="AN19685" s="4" t="s">
        <v>375</v>
      </c>
      <c r="AO19685" s="4" t="s">
        <v>375</v>
      </c>
      <c r="AP19685" s="4" t="s">
        <v>376</v>
      </c>
      <c r="AR19685" s="4" t="s">
        <v>377</v>
      </c>
    </row>
    <row r="19686" spans="1:44">
      <c r="A19686" s="4" t="s">
        <v>117</v>
      </c>
      <c r="B19686" s="4">
        <v>626275</v>
      </c>
      <c r="D19686" s="5" t="s">
        <v>24296</v>
      </c>
      <c r="E19686" s="6" t="str">
        <f>HYPERLINK("https://inpn.mnhn.fr/espece/cd_nom/626275","Glareola nordmanni Fischer, 1842")</f>
        <v>Glareola nordmanni Fischer, 1842</v>
      </c>
      <c r="F19686" s="5" t="s">
        <v>24297</v>
      </c>
      <c r="H19686" s="4" t="str">
        <f>HYPERLINK("#Réglementation!A"&amp;_xlfn.XMATCH("IBOAE",Réglementation!A:A,2,1),"IBOAE - IBO2")</f>
        <v>IBOAE - IBO2</v>
      </c>
      <c r="I19686" s="4" t="str">
        <f>HYPERLINK("#Réglementation!A"&amp;_xlfn.XMATCH("IBE2",Réglementation!A:A,2,1),"IBE2")</f>
        <v>IBE2</v>
      </c>
      <c r="L19686" s="4" t="str">
        <f>HYPERLINK("#Réglementation!A"&amp;_xlfn.XMATCH("NO4",Réglementation!A:A,2,1),"NO4")</f>
        <v>NO4</v>
      </c>
      <c r="O19686" s="7" t="str">
        <f>HYPERLINK("#Liste_rouge!A"&amp;_xlfn.XMATCH("NT",Liste_rouge!A:A,2,1),"NT")</f>
        <v>NT</v>
      </c>
      <c r="P19686" s="7" t="str">
        <f>HYPERLINK("#Liste_rouge!A"&amp;_xlfn.XMATCH("LC",Liste_rouge!A:A,2,1),"LC")</f>
        <v>LC</v>
      </c>
      <c r="S19686" s="7" t="str">
        <f>HYPERLINK("#Liste_rouge!A"&amp;_xlfn.XMATCH("NA",Liste_rouge!A:A,2,1),"NA")</f>
        <v>NA</v>
      </c>
      <c r="AH19686" s="4" t="str">
        <f>HYPERLINK("#Statut_biogéographique!A"&amp;_xlfn.XMATCH("P",Statut_biogéographique!A:A,2,1),"P")</f>
        <v>P</v>
      </c>
      <c r="AM19686" s="4" t="s">
        <v>375</v>
      </c>
      <c r="AN19686" s="4" t="s">
        <v>375</v>
      </c>
      <c r="AO19686" s="4" t="s">
        <v>375</v>
      </c>
      <c r="AP19686" s="4" t="s">
        <v>376</v>
      </c>
      <c r="AR19686" s="4" t="s">
        <v>377</v>
      </c>
    </row>
    <row r="19687" spans="1:44">
      <c r="A19687" s="4" t="s">
        <v>117</v>
      </c>
      <c r="B19687" s="4">
        <v>627332</v>
      </c>
      <c r="D19687" s="5" t="s">
        <v>24298</v>
      </c>
      <c r="E19687" s="6" t="str">
        <f>HYPERLINK("https://inpn.mnhn.fr/espece/cd_nom/627332","Leucophaeus atricilla (Linnaeus, 1758)")</f>
        <v>Leucophaeus atricilla (Linnaeus, 1758)</v>
      </c>
      <c r="F19687" s="5" t="s">
        <v>24299</v>
      </c>
      <c r="I19687" s="4" t="str">
        <f>HYPERLINK("#Réglementation!A"&amp;_xlfn.XMATCH("IBE3",Réglementation!A:A,2,1),"IBE3")</f>
        <v>IBE3</v>
      </c>
      <c r="L19687" s="4" t="str">
        <f>HYPERLINK("#Réglementation!A"&amp;_xlfn.XMATCH("NO4",Réglementation!A:A,2,1),"NO4")</f>
        <v>NO4</v>
      </c>
      <c r="O19687" s="7" t="str">
        <f>HYPERLINK("#Liste_rouge!A"&amp;_xlfn.XMATCH("LC",Liste_rouge!A:A,2,1),"LC")</f>
        <v>LC</v>
      </c>
      <c r="S19687" s="7" t="str">
        <f>HYPERLINK("#Liste_rouge!A"&amp;_xlfn.XMATCH("NA",Liste_rouge!A:A,2,1),"NA")</f>
        <v>NA</v>
      </c>
      <c r="AH19687" s="4" t="str">
        <f>HYPERLINK("#Statut_biogéographique!A"&amp;_xlfn.XMATCH("B",Statut_biogéographique!A:A,2,1),"B")</f>
        <v>B</v>
      </c>
      <c r="AM19687" s="4" t="s">
        <v>375</v>
      </c>
      <c r="AN19687" s="4" t="s">
        <v>375</v>
      </c>
      <c r="AO19687" s="4" t="s">
        <v>375</v>
      </c>
      <c r="AP19687" s="4" t="s">
        <v>389</v>
      </c>
      <c r="AR19687" s="4" t="s">
        <v>377</v>
      </c>
    </row>
    <row r="19688" spans="1:44">
      <c r="A19688" s="4" t="s">
        <v>117</v>
      </c>
      <c r="B19688" s="4">
        <v>627743</v>
      </c>
      <c r="D19688" s="5" t="s">
        <v>24300</v>
      </c>
      <c r="E19688" s="6" t="str">
        <f>HYPERLINK("https://inpn.mnhn.fr/espece/cd_nom/627743","Ichthyaetus audouinii (Payraudeau, 1826)")</f>
        <v>Ichthyaetus audouinii (Payraudeau, 1826)</v>
      </c>
      <c r="F19688" s="5" t="s">
        <v>24301</v>
      </c>
      <c r="H19688" s="4" t="str">
        <f>HYPERLINK("#Réglementation!A"&amp;_xlfn.XMATCH("IBOAE",Réglementation!A:A,2,1),"IBOAE - IBO1 - IBO2")</f>
        <v>IBOAE - IBO1 - IBO2</v>
      </c>
      <c r="I19688" s="4" t="str">
        <f>HYPERLINK("#Réglementation!A"&amp;_xlfn.XMATCH("IBE2",Réglementation!A:A,2,1),"IBE2")</f>
        <v>IBE2</v>
      </c>
      <c r="J19688" s="4" t="str">
        <f>HYPERLINK("#Réglementation!A"&amp;_xlfn.XMATCH("CDO1",Réglementation!A:A,2,1),"CDO1")</f>
        <v>CDO1</v>
      </c>
      <c r="L19688" s="4" t="str">
        <f>HYPERLINK("#Réglementation!A"&amp;_xlfn.XMATCH("NO3",Réglementation!A:A,2,1),"NO3 - NM")</f>
        <v>NO3 - NM</v>
      </c>
      <c r="O19688" s="7" t="str">
        <f>HYPERLINK("#Liste_rouge!A"&amp;_xlfn.XMATCH("VU",Liste_rouge!A:A,2,1),"VU")</f>
        <v>VU</v>
      </c>
      <c r="P19688" s="7" t="str">
        <f>HYPERLINK("#Liste_rouge!A"&amp;_xlfn.XMATCH("VU",Liste_rouge!A:A,2,1),"VU")</f>
        <v>VU</v>
      </c>
      <c r="Q19688" s="7" t="str">
        <f>HYPERLINK("#Liste_rouge!A"&amp;_xlfn.XMATCH("EN",Liste_rouge!A:A,2,1),"EN")</f>
        <v>EN</v>
      </c>
      <c r="S19688" s="7" t="str">
        <f>HYPERLINK("#Liste_rouge!A"&amp;_xlfn.XMATCH("NA",Liste_rouge!A:A,2,1),"NA")</f>
        <v>NA</v>
      </c>
      <c r="AE19688" s="4" t="str">
        <f>HYPERLINK("#SCAP!A"&amp;_xlfn.XMATCH("2+",SCAP!A:A,2,1),"2+")</f>
        <v>2+</v>
      </c>
      <c r="AH19688" s="4" t="str">
        <f>HYPERLINK("#Statut_biogéographique!A"&amp;_xlfn.XMATCH("P",Statut_biogéographique!A:A,2,1),"P")</f>
        <v>P</v>
      </c>
      <c r="AI19688" s="8" t="s">
        <v>24302</v>
      </c>
      <c r="AJ19688" s="4" t="s">
        <v>24303</v>
      </c>
      <c r="AP19688" s="4" t="s">
        <v>376</v>
      </c>
      <c r="AQ19688" s="4" t="s">
        <v>377</v>
      </c>
      <c r="AR19688" s="4" t="s">
        <v>377</v>
      </c>
    </row>
    <row r="19689" spans="1:44" ht="30">
      <c r="A19689" s="4" t="s">
        <v>117</v>
      </c>
      <c r="B19689" s="4">
        <v>627745</v>
      </c>
      <c r="D19689" s="5" t="s">
        <v>24304</v>
      </c>
      <c r="E19689" s="6" t="str">
        <f>HYPERLINK("https://inpn.mnhn.fr/espece/cd_nom/627745","Ichthyaetus melanocephalus (Temminck, 1820)")</f>
        <v>Ichthyaetus melanocephalus (Temminck, 1820)</v>
      </c>
      <c r="F19689" s="5" t="s">
        <v>24305</v>
      </c>
      <c r="H19689" s="4" t="str">
        <f>HYPERLINK("#Réglementation!A"&amp;_xlfn.XMATCH("IBOAE",Réglementation!A:A,2,1),"IBOAE - IBO2")</f>
        <v>IBOAE - IBO2</v>
      </c>
      <c r="I19689" s="4" t="str">
        <f>HYPERLINK("#Réglementation!A"&amp;_xlfn.XMATCH("IBE2",Réglementation!A:A,2,1),"IBE2")</f>
        <v>IBE2</v>
      </c>
      <c r="J19689" s="4" t="str">
        <f>HYPERLINK("#Réglementation!A"&amp;_xlfn.XMATCH("CDO1",Réglementation!A:A,2,1),"CDO1")</f>
        <v>CDO1</v>
      </c>
      <c r="L19689" s="4" t="str">
        <f>HYPERLINK("#Réglementation!A"&amp;_xlfn.XMATCH("NO3",Réglementation!A:A,2,1),"NO3")</f>
        <v>NO3</v>
      </c>
      <c r="O19689" s="7" t="str">
        <f>HYPERLINK("#Liste_rouge!A"&amp;_xlfn.XMATCH("LC",Liste_rouge!A:A,2,1),"LC")</f>
        <v>LC</v>
      </c>
      <c r="P19689" s="7" t="str">
        <f>HYPERLINK("#Liste_rouge!A"&amp;_xlfn.XMATCH("LC",Liste_rouge!A:A,2,1),"LC")</f>
        <v>LC</v>
      </c>
      <c r="Q19689" s="7" t="str">
        <f>HYPERLINK("#Liste_rouge!A"&amp;_xlfn.XMATCH("LC",Liste_rouge!A:A,2,1),"LC")</f>
        <v>LC</v>
      </c>
      <c r="R19689" s="7" t="str">
        <f>HYPERLINK("#Liste_rouge!A"&amp;_xlfn.XMATCH("NA",Liste_rouge!A:A,2,1),"NA")</f>
        <v>NA</v>
      </c>
      <c r="S19689" s="7" t="str">
        <f>HYPERLINK("#Liste_rouge!A"&amp;_xlfn.XMATCH("NA",Liste_rouge!A:A,2,1),"NA")</f>
        <v>NA</v>
      </c>
      <c r="T19689" s="7" t="str">
        <f>HYPERLINK("#Liste_rouge!A"&amp;_xlfn.XMATCH("NA",Liste_rouge!A:A,2,1),"NA")</f>
        <v>NA</v>
      </c>
      <c r="U19689" s="4" t="str">
        <f>HYPERLINK("#Critères_liste_rouge!A$1","b")</f>
        <v>b</v>
      </c>
      <c r="X19689" s="5" t="s">
        <v>374</v>
      </c>
      <c r="AH19689" s="4" t="str">
        <f>HYPERLINK("#Statut_biogéographique!A"&amp;_xlfn.XMATCH("P",Statut_biogéographique!A:A,2,1),"P")</f>
        <v>P</v>
      </c>
      <c r="AM19689" s="4" t="s">
        <v>375</v>
      </c>
      <c r="AN19689" s="4" t="s">
        <v>375</v>
      </c>
      <c r="AO19689" s="4" t="s">
        <v>375</v>
      </c>
      <c r="AP19689" s="4" t="s">
        <v>376</v>
      </c>
      <c r="AR19689" s="4" t="s">
        <v>377</v>
      </c>
    </row>
    <row r="19690" spans="1:44">
      <c r="A19690" s="4" t="s">
        <v>117</v>
      </c>
      <c r="B19690" s="4">
        <v>714610</v>
      </c>
      <c r="D19690" s="5" t="s">
        <v>24306</v>
      </c>
      <c r="E19690" s="6" t="str">
        <f>HYPERLINK("https://inpn.mnhn.fr/espece/cd_nom/714610","Nymphicus hollandicus (Kerr, 1792)")</f>
        <v>Nymphicus hollandicus (Kerr, 1792)</v>
      </c>
      <c r="F19690" s="5" t="s">
        <v>24307</v>
      </c>
      <c r="O19690" s="7" t="str">
        <f>HYPERLINK("#Liste_rouge!A"&amp;_xlfn.XMATCH("LC",Liste_rouge!A:A,2,1),"LC")</f>
        <v>LC</v>
      </c>
      <c r="AH19690" s="4" t="str">
        <f>HYPERLINK("#Statut_biogéographique!A"&amp;_xlfn.XMATCH("M",Statut_biogéographique!A:A,2,1),"M")</f>
        <v>M</v>
      </c>
      <c r="AP19690" s="4" t="s">
        <v>376</v>
      </c>
      <c r="AR19690" s="4" t="s">
        <v>377</v>
      </c>
    </row>
    <row r="19691" spans="1:44">
      <c r="A19691" s="4" t="s">
        <v>117</v>
      </c>
      <c r="B19691" s="4">
        <v>781713</v>
      </c>
      <c r="D19691" s="5">
        <v>781713</v>
      </c>
      <c r="E19691" s="6" t="str">
        <f>HYPERLINK("https://inpn.mnhn.fr/espece/cd_nom/781713","Falco peregrinus peregrinus Tunstall, 1771")</f>
        <v>Falco peregrinus peregrinus Tunstall, 1771</v>
      </c>
      <c r="G19691" s="4" t="str">
        <f>HYPERLINK("[#Réglementation!A"&amp;_xlfn.XMATCH("CCA",Réglementation!A:A,2,1),"CCA")</f>
        <v>CCA</v>
      </c>
      <c r="H19691" s="4" t="str">
        <f>HYPERLINK("#Réglementation!A"&amp;_xlfn.XMATCH("IBO2",Réglementation!A:A,2,1),"IBO2")</f>
        <v>IBO2</v>
      </c>
      <c r="I19691" s="4" t="str">
        <f>HYPERLINK("#Réglementation!A"&amp;_xlfn.XMATCH("IBE2",Réglementation!A:A,2,1),"IBE2")</f>
        <v>IBE2</v>
      </c>
      <c r="J19691" s="4" t="str">
        <f>HYPERLINK("#Réglementation!A"&amp;_xlfn.XMATCH("CDO1",Réglementation!A:A,2,1),"CDO1")</f>
        <v>CDO1</v>
      </c>
      <c r="L19691" s="4" t="str">
        <f>HYPERLINK("#Réglementation!A"&amp;_xlfn.XMATCH("NO3",Réglementation!A:A,2,1),"NO3")</f>
        <v>NO3</v>
      </c>
      <c r="AH19691" s="4" t="str">
        <f>HYPERLINK("#Statut_biogéographique!A"&amp;_xlfn.XMATCH("P",Statut_biogéographique!A:A,2,1),"P")</f>
        <v>P</v>
      </c>
      <c r="AP19691" s="4" t="s">
        <v>389</v>
      </c>
      <c r="AR19691" s="4" t="s">
        <v>377</v>
      </c>
    </row>
    <row r="19692" spans="1:44">
      <c r="A19692" s="4" t="s">
        <v>117</v>
      </c>
      <c r="B19692" s="4">
        <v>790986</v>
      </c>
      <c r="D19692" s="5" t="s">
        <v>24308</v>
      </c>
      <c r="E19692" s="6" t="str">
        <f>HYPERLINK("https://inpn.mnhn.fr/espece/cd_nom/790986","Hydrobates leucorhous (Vieillot, 1818)")</f>
        <v>Hydrobates leucorhous (Vieillot, 1818)</v>
      </c>
      <c r="F19692" s="5" t="s">
        <v>24309</v>
      </c>
      <c r="I19692" s="4" t="str">
        <f>HYPERLINK("#Réglementation!A"&amp;_xlfn.XMATCH("IBE2",Réglementation!A:A,2,1),"IBE2")</f>
        <v>IBE2</v>
      </c>
      <c r="J19692" s="4" t="str">
        <f>HYPERLINK("#Réglementation!A"&amp;_xlfn.XMATCH("CDO1",Réglementation!A:A,2,1),"CDO1")</f>
        <v>CDO1</v>
      </c>
      <c r="L19692" s="4" t="str">
        <f>HYPERLINK("#Réglementation!A"&amp;_xlfn.XMATCH("NO3",Réglementation!A:A,2,1),"NO3")</f>
        <v>NO3</v>
      </c>
      <c r="O19692" s="7" t="str">
        <f>HYPERLINK("#Liste_rouge!A"&amp;_xlfn.XMATCH("VU",Liste_rouge!A:A,2,1),"VU")</f>
        <v>VU</v>
      </c>
      <c r="P19692" s="7" t="str">
        <f>HYPERLINK("#Liste_rouge!A"&amp;_xlfn.XMATCH("NT",Liste_rouge!A:A,2,1),"NT")</f>
        <v>NT</v>
      </c>
      <c r="S19692" s="7" t="str">
        <f>HYPERLINK("#Liste_rouge!A"&amp;_xlfn.XMATCH("NA",Liste_rouge!A:A,2,1),"NA")</f>
        <v>NA</v>
      </c>
      <c r="AH19692" s="4" t="str">
        <f>HYPERLINK("#Statut_biogéographique!A"&amp;_xlfn.XMATCH("P",Statut_biogéographique!A:A,2,1),"P")</f>
        <v>P</v>
      </c>
      <c r="AP19692" s="4" t="s">
        <v>389</v>
      </c>
      <c r="AR19692" s="4" t="s">
        <v>377</v>
      </c>
    </row>
    <row r="19693" spans="1:44">
      <c r="A19693" s="4" t="s">
        <v>117</v>
      </c>
      <c r="B19693" s="4">
        <v>813757</v>
      </c>
      <c r="D19693" s="5" t="s">
        <v>24310</v>
      </c>
      <c r="E19693" s="6" t="str">
        <f>HYPERLINK("https://inpn.mnhn.fr/espece/cd_nom/813757","Callonetta leucophrys (Vieillot, 1816)")</f>
        <v>Callonetta leucophrys (Vieillot, 1816)</v>
      </c>
      <c r="F19693" s="5" t="s">
        <v>24311</v>
      </c>
      <c r="H19693" s="4" t="str">
        <f>HYPERLINK("#Réglementation!A"&amp;_xlfn.XMATCH("IBO2",Réglementation!A:A,2,1),"IBO2")</f>
        <v>IBO2</v>
      </c>
      <c r="O19693" s="7" t="str">
        <f>HYPERLINK("#Liste_rouge!A"&amp;_xlfn.XMATCH("LC",Liste_rouge!A:A,2,1),"LC")</f>
        <v>LC</v>
      </c>
      <c r="AH19693" s="4" t="str">
        <f>HYPERLINK("#Statut_biogéographique!A"&amp;_xlfn.XMATCH("M",Statut_biogéographique!A:A,2,1),"M")</f>
        <v>M</v>
      </c>
      <c r="AP19693" s="4" t="s">
        <v>376</v>
      </c>
      <c r="AR19693" s="4" t="s">
        <v>377</v>
      </c>
    </row>
    <row r="19694" spans="1:44">
      <c r="A19694" s="4" t="s">
        <v>117</v>
      </c>
      <c r="B19694" s="4">
        <v>813759</v>
      </c>
      <c r="D19694" s="5" t="s">
        <v>24312</v>
      </c>
      <c r="E19694" s="6" t="str">
        <f>HYPERLINK("https://inpn.mnhn.fr/espece/cd_nom/813759","Netta peposaca (Vieillot, 1816)")</f>
        <v>Netta peposaca (Vieillot, 1816)</v>
      </c>
      <c r="F19694" s="5" t="s">
        <v>24313</v>
      </c>
      <c r="H19694" s="4" t="str">
        <f>HYPERLINK("#Réglementation!A"&amp;_xlfn.XMATCH("IBO2",Réglementation!A:A,2,1),"IBO2")</f>
        <v>IBO2</v>
      </c>
      <c r="O19694" s="7" t="str">
        <f>HYPERLINK("#Liste_rouge!A"&amp;_xlfn.XMATCH("LC",Liste_rouge!A:A,2,1),"LC")</f>
        <v>LC</v>
      </c>
      <c r="AH19694" s="4" t="str">
        <f>HYPERLINK("#Statut_biogéographique!A"&amp;_xlfn.XMATCH("M",Statut_biogéographique!A:A,2,1),"M")</f>
        <v>M</v>
      </c>
      <c r="AP19694" s="4" t="s">
        <v>376</v>
      </c>
      <c r="AR19694" s="4" t="s">
        <v>377</v>
      </c>
    </row>
    <row r="19695" spans="1:44" ht="30">
      <c r="A19695" s="4" t="s">
        <v>117</v>
      </c>
      <c r="B19695" s="4">
        <v>814245</v>
      </c>
      <c r="D19695" s="5" t="s">
        <v>24314</v>
      </c>
      <c r="E19695" s="6" t="str">
        <f>HYPERLINK("https://inpn.mnhn.fr/espece/cd_nom/814245","Calidris pugnax (Linnaeus, 1758)")</f>
        <v>Calidris pugnax (Linnaeus, 1758)</v>
      </c>
      <c r="F19695" s="5" t="s">
        <v>24315</v>
      </c>
      <c r="H19695" s="4" t="str">
        <f>HYPERLINK("#Réglementation!A"&amp;_xlfn.XMATCH("IBOAE",Réglementation!A:A,2,1),"IBOAE - IBO2")</f>
        <v>IBOAE - IBO2</v>
      </c>
      <c r="I19695" s="4" t="str">
        <f>HYPERLINK("#Réglementation!A"&amp;_xlfn.XMATCH("IBE2",Réglementation!A:A,2,1),"IBE2")</f>
        <v>IBE2</v>
      </c>
      <c r="J19695" s="4" t="str">
        <f>HYPERLINK("#Réglementation!A"&amp;_xlfn.XMATCH("CDO1",Réglementation!A:A,2,1),"CDO1 - CDO22")</f>
        <v>CDO1 - CDO22</v>
      </c>
      <c r="L19695" s="4" t="str">
        <f>HYPERLINK("#Réglementation!A"&amp;_xlfn.XMATCH("OC3",Réglementation!A:A,2,1),"OC3")</f>
        <v>OC3</v>
      </c>
      <c r="O19695" s="7" t="str">
        <f>HYPERLINK("#Liste_rouge!A"&amp;_xlfn.XMATCH("LC",Liste_rouge!A:A,2,1),"LC")</f>
        <v>LC</v>
      </c>
      <c r="P19695" s="7" t="str">
        <f>HYPERLINK("#Liste_rouge!A"&amp;_xlfn.XMATCH("NT",Liste_rouge!A:A,2,1),"NT")</f>
        <v>NT</v>
      </c>
      <c r="Q19695" s="7" t="str">
        <f>HYPERLINK("#Liste_rouge!A"&amp;_xlfn.XMATCH("NA",Liste_rouge!A:A,2,1),"NA")</f>
        <v>NA</v>
      </c>
      <c r="R19695" s="7" t="str">
        <f>HYPERLINK("#Liste_rouge!A"&amp;_xlfn.XMATCH("NA",Liste_rouge!A:A,2,1),"NA")</f>
        <v>NA</v>
      </c>
      <c r="S19695" s="7" t="str">
        <f>HYPERLINK("#Liste_rouge!A"&amp;_xlfn.XMATCH("NT",Liste_rouge!A:A,2,1),"NT")</f>
        <v>NT</v>
      </c>
      <c r="X19695" s="5" t="s">
        <v>23439</v>
      </c>
      <c r="Y19695" s="5" t="s">
        <v>23583</v>
      </c>
      <c r="AE19695" s="4" t="str">
        <f>HYPERLINK("#SCAP!A"&amp;_xlfn.XMATCH("1-",SCAP!A:A,2,1),"1-")</f>
        <v>1-</v>
      </c>
      <c r="AH19695" s="4" t="str">
        <f>HYPERLINK("#Statut_biogéographique!A"&amp;_xlfn.XMATCH("P",Statut_biogéographique!A:A,2,1),"P")</f>
        <v>P</v>
      </c>
      <c r="AK19695" s="4" t="str">
        <f>HYPERLINK("#Réglementation!A"&amp;_xlfn.XMATCH("Ngib_ch_1",Réglementation!A:A,2,1),"Ngib_ch_1")</f>
        <v>Ngib_ch_1</v>
      </c>
      <c r="AM19695" s="4" t="s">
        <v>375</v>
      </c>
      <c r="AN19695" s="4" t="s">
        <v>375</v>
      </c>
      <c r="AO19695" s="4" t="s">
        <v>375</v>
      </c>
      <c r="AP19695" s="4" t="s">
        <v>376</v>
      </c>
      <c r="AR19695" s="4" t="s">
        <v>377</v>
      </c>
    </row>
    <row r="19696" spans="1:44">
      <c r="A19696" s="4" t="s">
        <v>117</v>
      </c>
      <c r="B19696" s="4">
        <v>828816</v>
      </c>
      <c r="D19696" s="5" t="s">
        <v>24316</v>
      </c>
      <c r="E19696" s="6" t="str">
        <f>HYPERLINK("https://inpn.mnhn.fr/espece/cd_nom/828816","Calidris falcinellus (Pontoppidan, 1763)")</f>
        <v>Calidris falcinellus (Pontoppidan, 1763)</v>
      </c>
      <c r="F19696" s="5" t="s">
        <v>24317</v>
      </c>
      <c r="H19696" s="4" t="str">
        <f>HYPERLINK("#Réglementation!A"&amp;_xlfn.XMATCH("IBOAE",Réglementation!A:A,2,1),"IBOAE - IBO2")</f>
        <v>IBOAE - IBO2</v>
      </c>
      <c r="I19696" s="4" t="str">
        <f>HYPERLINK("#Réglementation!A"&amp;_xlfn.XMATCH("IBE2",Réglementation!A:A,2,1),"IBE2")</f>
        <v>IBE2</v>
      </c>
      <c r="L19696" s="4" t="str">
        <f>HYPERLINK("#Réglementation!A"&amp;_xlfn.XMATCH("NO4",Réglementation!A:A,2,1),"NO4")</f>
        <v>NO4</v>
      </c>
      <c r="O19696" s="7" t="str">
        <f>HYPERLINK("#Liste_rouge!A"&amp;_xlfn.XMATCH("LC",Liste_rouge!A:A,2,1),"LC")</f>
        <v>LC</v>
      </c>
      <c r="P19696" s="7" t="str">
        <f>HYPERLINK("#Liste_rouge!A"&amp;_xlfn.XMATCH("VU",Liste_rouge!A:A,2,1),"VU")</f>
        <v>VU</v>
      </c>
      <c r="S19696" s="7" t="str">
        <f>HYPERLINK("#Liste_rouge!A"&amp;_xlfn.XMATCH("NA",Liste_rouge!A:A,2,1),"NA")</f>
        <v>NA</v>
      </c>
      <c r="AH19696" s="4" t="str">
        <f>HYPERLINK("#Statut_biogéographique!A"&amp;_xlfn.XMATCH("P",Statut_biogéographique!A:A,2,1),"P")</f>
        <v>P</v>
      </c>
      <c r="AM19696" s="4" t="s">
        <v>375</v>
      </c>
      <c r="AN19696" s="4" t="s">
        <v>375</v>
      </c>
      <c r="AO19696" s="4" t="s">
        <v>375</v>
      </c>
      <c r="AP19696" s="4" t="s">
        <v>376</v>
      </c>
      <c r="AR19696" s="4" t="s">
        <v>377</v>
      </c>
    </row>
    <row r="19697" spans="1:44" ht="60">
      <c r="A19697" s="4" t="s">
        <v>117</v>
      </c>
      <c r="B19697" s="4">
        <v>836203</v>
      </c>
      <c r="D19697" s="5" t="s">
        <v>24318</v>
      </c>
      <c r="E19697" s="6" t="str">
        <f>HYPERLINK("https://inpn.mnhn.fr/espece/cd_nom/836203","Mareca strepera (Linnaeus, 1758)")</f>
        <v>Mareca strepera (Linnaeus, 1758)</v>
      </c>
      <c r="F19697" s="5" t="s">
        <v>24319</v>
      </c>
      <c r="H19697" s="4" t="str">
        <f>HYPERLINK("#Réglementation!A"&amp;_xlfn.XMATCH("IBOAE",Réglementation!A:A,2,1),"IBOAE - IBO2")</f>
        <v>IBOAE - IBO2</v>
      </c>
      <c r="I19697" s="4" t="str">
        <f>HYPERLINK("#Réglementation!A"&amp;_xlfn.XMATCH("IBE3",Réglementation!A:A,2,1),"IBE3")</f>
        <v>IBE3</v>
      </c>
      <c r="J19697" s="4" t="str">
        <f>HYPERLINK("#Réglementation!A"&amp;_xlfn.XMATCH("CDO21",Réglementation!A:A,2,1),"CDO21")</f>
        <v>CDO21</v>
      </c>
      <c r="L19697" s="4" t="str">
        <f>HYPERLINK("#Réglementation!A"&amp;_xlfn.XMATCH("OC3",Réglementation!A:A,2,1),"OC3")</f>
        <v>OC3</v>
      </c>
      <c r="O19697" s="7" t="str">
        <f>HYPERLINK("#Liste_rouge!A"&amp;_xlfn.XMATCH("LC",Liste_rouge!A:A,2,1),"LC")</f>
        <v>LC</v>
      </c>
      <c r="P19697" s="7" t="str">
        <f>HYPERLINK("#Liste_rouge!A"&amp;_xlfn.XMATCH("LC",Liste_rouge!A:A,2,1),"LC")</f>
        <v>LC</v>
      </c>
      <c r="Q19697" s="7" t="str">
        <f>HYPERLINK("#Liste_rouge!A"&amp;_xlfn.XMATCH("LC",Liste_rouge!A:A,2,1),"LC")</f>
        <v>LC</v>
      </c>
      <c r="R19697" s="7" t="str">
        <f>HYPERLINK("#Liste_rouge!A"&amp;_xlfn.XMATCH("LC",Liste_rouge!A:A,2,1),"LC")</f>
        <v>LC</v>
      </c>
      <c r="S19697" s="7" t="str">
        <f>HYPERLINK("#Liste_rouge!A"&amp;_xlfn.XMATCH("NA",Liste_rouge!A:A,2,1),"NA")</f>
        <v>NA</v>
      </c>
      <c r="T19697" s="7" t="str">
        <f>HYPERLINK("#Liste_rouge!A"&amp;_xlfn.XMATCH("EN",Liste_rouge!A:A,2,1),"EN")</f>
        <v>EN</v>
      </c>
      <c r="U19697" s="4" t="str">
        <f>HYPERLINK("#Critères_liste_rouge!A$1","D1 (CR -1)")</f>
        <v>D1 (CR -1)</v>
      </c>
      <c r="V19697" s="7" t="str">
        <f>HYPERLINK("#Liste_rouge!A"&amp;_xlfn.XMATCH("EN",Liste_rouge!A:A,2,1),"EN")</f>
        <v>EN</v>
      </c>
      <c r="W19697" s="4" t="str">
        <f>HYPERLINK("#Critères_liste_rouge!A$1","CR (D1) (-1)")</f>
        <v>CR (D1) (-1)</v>
      </c>
      <c r="X19697" s="5" t="s">
        <v>23442</v>
      </c>
      <c r="Y19697" s="5" t="s">
        <v>24320</v>
      </c>
      <c r="AH19697" s="4" t="str">
        <f>HYPERLINK("#Statut_biogéographique!A"&amp;_xlfn.XMATCH("P",Statut_biogéographique!A:A,2,1),"P")</f>
        <v>P</v>
      </c>
      <c r="AK19697" s="4" t="str">
        <f>HYPERLINK("#Réglementation!A"&amp;_xlfn.XMATCH("Ngib_ch_1",Réglementation!A:A,2,1),"Ngib_ch_1")</f>
        <v>Ngib_ch_1</v>
      </c>
      <c r="AM19697" s="4" t="s">
        <v>375</v>
      </c>
      <c r="AN19697" s="4" t="s">
        <v>375</v>
      </c>
      <c r="AO19697" s="4" t="s">
        <v>375</v>
      </c>
      <c r="AP19697" s="4" t="s">
        <v>376</v>
      </c>
      <c r="AR19697" s="4" t="s">
        <v>377</v>
      </c>
    </row>
    <row r="19698" spans="1:44" ht="30">
      <c r="A19698" s="4" t="s">
        <v>117</v>
      </c>
      <c r="B19698" s="4">
        <v>836222</v>
      </c>
      <c r="D19698" s="5" t="s">
        <v>24321</v>
      </c>
      <c r="E19698" s="6" t="str">
        <f>HYPERLINK("https://inpn.mnhn.fr/espece/cd_nom/836222","Spatula querquedula (Linnaeus, 1758)")</f>
        <v>Spatula querquedula (Linnaeus, 1758)</v>
      </c>
      <c r="F19698" s="5" t="s">
        <v>24322</v>
      </c>
      <c r="G19698" s="4" t="str">
        <f>HYPERLINK("[#Réglementation!A"&amp;_xlfn.XMATCH("CCA",Réglementation!A:A,2,1),"CCA")</f>
        <v>CCA</v>
      </c>
      <c r="H19698" s="4" t="str">
        <f>HYPERLINK("#Réglementation!A"&amp;_xlfn.XMATCH("IBOAE",Réglementation!A:A,2,1),"IBOAE - IBO2")</f>
        <v>IBOAE - IBO2</v>
      </c>
      <c r="I19698" s="4" t="str">
        <f>HYPERLINK("#Réglementation!A"&amp;_xlfn.XMATCH("IBE3",Réglementation!A:A,2,1),"IBE3")</f>
        <v>IBE3</v>
      </c>
      <c r="J19698" s="4" t="str">
        <f>HYPERLINK("#Réglementation!A"&amp;_xlfn.XMATCH("CDO21",Réglementation!A:A,2,1),"CDO21")</f>
        <v>CDO21</v>
      </c>
      <c r="L19698" s="4" t="str">
        <f>HYPERLINK("#Réglementation!A"&amp;_xlfn.XMATCH("OC3",Réglementation!A:A,2,1),"OC3")</f>
        <v>OC3</v>
      </c>
      <c r="O19698" s="7" t="str">
        <f>HYPERLINK("#Liste_rouge!A"&amp;_xlfn.XMATCH("LC",Liste_rouge!A:A,2,1),"LC")</f>
        <v>LC</v>
      </c>
      <c r="P19698" s="7" t="str">
        <f>HYPERLINK("#Liste_rouge!A"&amp;_xlfn.XMATCH("LC",Liste_rouge!A:A,2,1),"LC")</f>
        <v>LC</v>
      </c>
      <c r="Q19698" s="7" t="str">
        <f>HYPERLINK("#Liste_rouge!A"&amp;_xlfn.XMATCH("VU",Liste_rouge!A:A,2,1),"VU")</f>
        <v>VU</v>
      </c>
      <c r="S19698" s="7" t="str">
        <f>HYPERLINK("#Liste_rouge!A"&amp;_xlfn.XMATCH("NT",Liste_rouge!A:A,2,1),"NT")</f>
        <v>NT</v>
      </c>
      <c r="T19698" s="7" t="str">
        <f>HYPERLINK("#Liste_rouge!A"&amp;_xlfn.XMATCH("CR",Liste_rouge!A:A,2,1),"CR")</f>
        <v>CR</v>
      </c>
      <c r="U19698" s="4" t="str">
        <f>HYPERLINK("#Critères_liste_rouge!A$1","D1")</f>
        <v>D1</v>
      </c>
      <c r="V19698" s="7" t="str">
        <f>HYPERLINK("#Liste_rouge!A"&amp;_xlfn.XMATCH("CR",Liste_rouge!A:A,2,1),"CR")</f>
        <v>CR</v>
      </c>
      <c r="W19698" s="4" t="str">
        <f>HYPERLINK("#Critères_liste_rouge!A$1","D1")</f>
        <v>D1</v>
      </c>
      <c r="X19698" s="5" t="s">
        <v>23442</v>
      </c>
      <c r="Y19698" s="5" t="s">
        <v>24026</v>
      </c>
      <c r="AE19698" s="4" t="str">
        <f>HYPERLINK("#SCAP!A"&amp;_xlfn.XMATCH("1-",SCAP!A:A,2,1),"1-")</f>
        <v>1-</v>
      </c>
      <c r="AF19698" s="4" t="str">
        <f>HYPERLINK("#SCAP!A"&amp;_xlfn.XMATCH("2-",SCAP!A:A,2,1),"2-")</f>
        <v>2-</v>
      </c>
      <c r="AG19698" s="4" t="str">
        <f>HYPERLINK("#SCAP!A"&amp;_xlfn.XMATCH("1+",SCAP!A:A,2,1),"1+")</f>
        <v>1+</v>
      </c>
      <c r="AH19698" s="4" t="str">
        <f>HYPERLINK("#Statut_biogéographique!A"&amp;_xlfn.XMATCH("P",Statut_biogéographique!A:A,2,1),"P")</f>
        <v>P</v>
      </c>
      <c r="AK19698" s="4" t="str">
        <f>HYPERLINK("#Réglementation!A"&amp;_xlfn.XMATCH("Ngib_ch_1",Réglementation!A:A,2,1),"Ngib_ch_1")</f>
        <v>Ngib_ch_1</v>
      </c>
      <c r="AM19698" s="4" t="s">
        <v>375</v>
      </c>
      <c r="AN19698" s="4" t="s">
        <v>375</v>
      </c>
      <c r="AO19698" s="4" t="s">
        <v>375</v>
      </c>
      <c r="AP19698" s="4" t="s">
        <v>376</v>
      </c>
      <c r="AR19698" s="4" t="s">
        <v>377</v>
      </c>
    </row>
    <row r="19699" spans="1:44">
      <c r="A19699" s="4" t="s">
        <v>117</v>
      </c>
      <c r="B19699" s="4">
        <v>836223</v>
      </c>
      <c r="D19699" s="5" t="s">
        <v>24323</v>
      </c>
      <c r="E19699" s="6" t="str">
        <f>HYPERLINK("https://inpn.mnhn.fr/espece/cd_nom/836223","Spatula discors (Linnaeus, 1766)")</f>
        <v>Spatula discors (Linnaeus, 1766)</v>
      </c>
      <c r="F19699" s="5" t="s">
        <v>24324</v>
      </c>
      <c r="H19699" s="4" t="str">
        <f>HYPERLINK("#Réglementation!A"&amp;_xlfn.XMATCH("IBO2",Réglementation!A:A,2,1),"IBO2")</f>
        <v>IBO2</v>
      </c>
      <c r="I19699" s="4" t="str">
        <f>HYPERLINK("#Réglementation!A"&amp;_xlfn.XMATCH("IBE3",Réglementation!A:A,2,1),"IBE3")</f>
        <v>IBE3</v>
      </c>
      <c r="L19699" s="4" t="str">
        <f>HYPERLINK("#Réglementation!A"&amp;_xlfn.XMATCH("NO4",Réglementation!A:A,2,1),"NO4")</f>
        <v>NO4</v>
      </c>
      <c r="O19699" s="7" t="str">
        <f>HYPERLINK("#Liste_rouge!A"&amp;_xlfn.XMATCH("LC",Liste_rouge!A:A,2,1),"LC")</f>
        <v>LC</v>
      </c>
      <c r="S19699" s="7" t="str">
        <f>HYPERLINK("#Liste_rouge!A"&amp;_xlfn.XMATCH("NA",Liste_rouge!A:A,2,1),"NA")</f>
        <v>NA</v>
      </c>
      <c r="AH19699" s="4" t="str">
        <f>HYPERLINK("#Statut_biogéographique!A"&amp;_xlfn.XMATCH("I",Statut_biogéographique!A:A,2,1),"I")</f>
        <v>I</v>
      </c>
      <c r="AP19699" s="4" t="s">
        <v>376</v>
      </c>
      <c r="AR19699" s="4" t="s">
        <v>377</v>
      </c>
    </row>
    <row r="19700" spans="1:44">
      <c r="A19700" s="4" t="s">
        <v>117</v>
      </c>
      <c r="B19700" s="4">
        <v>836245</v>
      </c>
      <c r="D19700" s="5" t="s">
        <v>24325</v>
      </c>
      <c r="E19700" s="6" t="str">
        <f>HYPERLINK("https://inpn.mnhn.fr/espece/cd_nom/836245","Zapornia parva (Scopoli, 1769)")</f>
        <v>Zapornia parva (Scopoli, 1769)</v>
      </c>
      <c r="F19700" s="5" t="s">
        <v>24326</v>
      </c>
      <c r="H19700" s="4" t="str">
        <f>HYPERLINK("#Réglementation!A"&amp;_xlfn.XMATCH("IBOAE",Réglementation!A:A,2,1),"IBOAE - IBO2")</f>
        <v>IBOAE - IBO2</v>
      </c>
      <c r="I19700" s="4" t="str">
        <f>HYPERLINK("#Réglementation!A"&amp;_xlfn.XMATCH("IBE2",Réglementation!A:A,2,1),"IBE2")</f>
        <v>IBE2</v>
      </c>
      <c r="J19700" s="4" t="str">
        <f>HYPERLINK("#Réglementation!A"&amp;_xlfn.XMATCH("CDO1",Réglementation!A:A,2,1),"CDO1")</f>
        <v>CDO1</v>
      </c>
      <c r="L19700" s="4" t="str">
        <f>HYPERLINK("#Réglementation!A"&amp;_xlfn.XMATCH("NO3",Réglementation!A:A,2,1),"NO3")</f>
        <v>NO3</v>
      </c>
      <c r="O19700" s="7" t="str">
        <f>HYPERLINK("#Liste_rouge!A"&amp;_xlfn.XMATCH("LC",Liste_rouge!A:A,2,1),"LC")</f>
        <v>LC</v>
      </c>
      <c r="P19700" s="7" t="str">
        <f>HYPERLINK("#Liste_rouge!A"&amp;_xlfn.XMATCH("LC",Liste_rouge!A:A,2,1),"LC")</f>
        <v>LC</v>
      </c>
      <c r="Q19700" s="7" t="str">
        <f>HYPERLINK("#Liste_rouge!A"&amp;_xlfn.XMATCH("CR",Liste_rouge!A:A,2,1),"CR")</f>
        <v>CR</v>
      </c>
      <c r="S19700" s="7" t="str">
        <f>HYPERLINK("#Liste_rouge!A"&amp;_xlfn.XMATCH("NA",Liste_rouge!A:A,2,1),"NA")</f>
        <v>NA</v>
      </c>
      <c r="T19700" s="7" t="str">
        <f>HYPERLINK("#Liste_rouge!A"&amp;_xlfn.XMATCH("CR",Liste_rouge!A:A,2,1),"CR")</f>
        <v>CR</v>
      </c>
      <c r="V19700" s="7" t="str">
        <f>HYPERLINK("#Liste_rouge!A"&amp;_xlfn.XMATCH("RE",Liste_rouge!A:A,2,1),"RE")</f>
        <v>RE</v>
      </c>
      <c r="X19700" s="5" t="s">
        <v>374</v>
      </c>
      <c r="AE19700" s="4" t="str">
        <f>HYPERLINK("#SCAP!A"&amp;_xlfn.XMATCH("1-",SCAP!A:A,2,1),"1-")</f>
        <v>1-</v>
      </c>
      <c r="AG19700" s="4" t="str">
        <f>HYPERLINK("#SCAP!A"&amp;_xlfn.XMATCH("1-",SCAP!A:A,2,1),"1-")</f>
        <v>1-</v>
      </c>
      <c r="AH19700" s="4" t="str">
        <f>HYPERLINK("#Statut_biogéographique!A"&amp;_xlfn.XMATCH("P",Statut_biogéographique!A:A,2,1),"P")</f>
        <v>P</v>
      </c>
      <c r="AM19700" s="4" t="s">
        <v>375</v>
      </c>
      <c r="AN19700" s="4" t="s">
        <v>375</v>
      </c>
      <c r="AO19700" s="4" t="s">
        <v>382</v>
      </c>
      <c r="AP19700" s="4" t="s">
        <v>389</v>
      </c>
      <c r="AR19700" s="4" t="s">
        <v>377</v>
      </c>
    </row>
    <row r="19701" spans="1:44">
      <c r="A19701" s="4" t="s">
        <v>117</v>
      </c>
      <c r="B19701" s="4">
        <v>836246</v>
      </c>
      <c r="D19701" s="5" t="s">
        <v>24327</v>
      </c>
      <c r="E19701" s="6" t="str">
        <f>HYPERLINK("https://inpn.mnhn.fr/espece/cd_nom/836246","Zapornia pusilla (Pallas, 1776)")</f>
        <v>Zapornia pusilla (Pallas, 1776)</v>
      </c>
      <c r="F19701" s="5" t="s">
        <v>24328</v>
      </c>
      <c r="H19701" s="4" t="str">
        <f>HYPERLINK("#Réglementation!A"&amp;_xlfn.XMATCH("IBOAE",Réglementation!A:A,2,1),"IBOAE - IBO2")</f>
        <v>IBOAE - IBO2</v>
      </c>
      <c r="I19701" s="4" t="str">
        <f>HYPERLINK("#Réglementation!A"&amp;_xlfn.XMATCH("IBE2",Réglementation!A:A,2,1),"IBE2")</f>
        <v>IBE2</v>
      </c>
      <c r="J19701" s="4" t="str">
        <f>HYPERLINK("#Réglementation!A"&amp;_xlfn.XMATCH("CDO1",Réglementation!A:A,2,1),"CDO1")</f>
        <v>CDO1</v>
      </c>
      <c r="L19701" s="4" t="str">
        <f>HYPERLINK("#Réglementation!A"&amp;_xlfn.XMATCH("NO3",Réglementation!A:A,2,1),"NO3")</f>
        <v>NO3</v>
      </c>
      <c r="O19701" s="7" t="str">
        <f>HYPERLINK("#Liste_rouge!A"&amp;_xlfn.XMATCH("LC",Liste_rouge!A:A,2,1),"LC")</f>
        <v>LC</v>
      </c>
      <c r="P19701" s="7" t="str">
        <f>HYPERLINK("#Liste_rouge!A"&amp;_xlfn.XMATCH("LC",Liste_rouge!A:A,2,1),"LC")</f>
        <v>LC</v>
      </c>
      <c r="Q19701" s="7" t="str">
        <f>HYPERLINK("#Liste_rouge!A"&amp;_xlfn.XMATCH("CR",Liste_rouge!A:A,2,1),"CR")</f>
        <v>CR</v>
      </c>
      <c r="S19701" s="7" t="str">
        <f>HYPERLINK("#Liste_rouge!A"&amp;_xlfn.XMATCH("NA",Liste_rouge!A:A,2,1),"NA")</f>
        <v>NA</v>
      </c>
      <c r="T19701" s="7" t="str">
        <f>HYPERLINK("#Liste_rouge!A"&amp;_xlfn.XMATCH("NA",Liste_rouge!A:A,2,1),"NA")</f>
        <v>NA</v>
      </c>
      <c r="U19701" s="4" t="str">
        <f>HYPERLINK("#Critères_liste_rouge!A$1","b")</f>
        <v>b</v>
      </c>
      <c r="V19701" s="7" t="str">
        <f>HYPERLINK("#Liste_rouge!A"&amp;_xlfn.XMATCH("NA",Liste_rouge!A:A,2,1),"NA")</f>
        <v>NA</v>
      </c>
      <c r="W19701" s="4" t="str">
        <f>HYPERLINK("#Critères_liste_rouge!A$1","b1")</f>
        <v>b1</v>
      </c>
      <c r="X19701" s="5" t="s">
        <v>374</v>
      </c>
      <c r="AH19701" s="4" t="str">
        <f>HYPERLINK("#Statut_biogéographique!A"&amp;_xlfn.XMATCH("P",Statut_biogéographique!A:A,2,1),"P")</f>
        <v>P</v>
      </c>
      <c r="AM19701" s="4" t="s">
        <v>375</v>
      </c>
      <c r="AN19701" s="4" t="s">
        <v>375</v>
      </c>
      <c r="AO19701" s="4" t="s">
        <v>382</v>
      </c>
      <c r="AP19701" s="4" t="s">
        <v>389</v>
      </c>
      <c r="AR19701" s="4" t="s">
        <v>377</v>
      </c>
    </row>
    <row r="19702" spans="1:44">
      <c r="A19702" s="4" t="s">
        <v>117</v>
      </c>
      <c r="B19702" s="4">
        <v>836345</v>
      </c>
      <c r="D19702" s="5" t="s">
        <v>24329</v>
      </c>
      <c r="E19702" s="6" t="str">
        <f>HYPERLINK("https://inpn.mnhn.fr/espece/cd_nom/836345","Clanga pomarina (C. L. Brehm, 1831)")</f>
        <v>Clanga pomarina (C. L. Brehm, 1831)</v>
      </c>
      <c r="F19702" s="5" t="s">
        <v>24330</v>
      </c>
      <c r="G19702" s="4" t="str">
        <f>HYPERLINK("[#Réglementation!A"&amp;_xlfn.XMATCH("CCA",Réglementation!A:A,2,1),"CCA")</f>
        <v>CCA</v>
      </c>
      <c r="H19702" s="4" t="str">
        <f>HYPERLINK("#Réglementation!A"&amp;_xlfn.XMATCH("IBO2",Réglementation!A:A,2,1),"IBO2")</f>
        <v>IBO2</v>
      </c>
      <c r="I19702" s="4" t="str">
        <f>HYPERLINK("#Réglementation!A"&amp;_xlfn.XMATCH("IBE3",Réglementation!A:A,2,1),"IBE3")</f>
        <v>IBE3</v>
      </c>
      <c r="J19702" s="4" t="str">
        <f>HYPERLINK("#Réglementation!A"&amp;_xlfn.XMATCH("CDO1",Réglementation!A:A,2,1),"CDO1")</f>
        <v>CDO1</v>
      </c>
      <c r="L19702" s="4" t="str">
        <f>HYPERLINK("#Réglementation!A"&amp;_xlfn.XMATCH("NO3",Réglementation!A:A,2,1),"NO3")</f>
        <v>NO3</v>
      </c>
      <c r="O19702" s="7" t="str">
        <f>HYPERLINK("#Liste_rouge!A"&amp;_xlfn.XMATCH("LC",Liste_rouge!A:A,2,1),"LC")</f>
        <v>LC</v>
      </c>
      <c r="P19702" s="7" t="str">
        <f>HYPERLINK("#Liste_rouge!A"&amp;_xlfn.XMATCH("LC",Liste_rouge!A:A,2,1),"LC")</f>
        <v>LC</v>
      </c>
      <c r="Q19702" s="7" t="str">
        <f>HYPERLINK("#Liste_rouge!A"&amp;_xlfn.XMATCH("NA",Liste_rouge!A:A,2,1),"NA")</f>
        <v>NA</v>
      </c>
      <c r="S19702" s="7" t="str">
        <f>HYPERLINK("#Liste_rouge!A"&amp;_xlfn.XMATCH("NA",Liste_rouge!A:A,2,1),"NA")</f>
        <v>NA</v>
      </c>
      <c r="T19702" s="7" t="str">
        <f>HYPERLINK("#Liste_rouge!A"&amp;_xlfn.XMATCH("NA",Liste_rouge!A:A,2,1),"NA")</f>
        <v>NA</v>
      </c>
      <c r="U19702" s="4" t="str">
        <f>HYPERLINK("#Critères_liste_rouge!A$1","b")</f>
        <v>b</v>
      </c>
      <c r="V19702" s="7" t="str">
        <f>HYPERLINK("#Liste_rouge!A"&amp;_xlfn.XMATCH("CR",Liste_rouge!A:A,2,1),"CR")</f>
        <v>CR</v>
      </c>
      <c r="W19702" s="4" t="str">
        <f>HYPERLINK("#Critères_liste_rouge!A$1","D1")</f>
        <v>D1</v>
      </c>
      <c r="X19702" s="5" t="s">
        <v>374</v>
      </c>
      <c r="AD19702" s="4" t="s">
        <v>23551</v>
      </c>
      <c r="AH19702" s="4" t="str">
        <f>HYPERLINK("#Statut_biogéographique!A"&amp;_xlfn.XMATCH("P",Statut_biogéographique!A:A,2,1),"P")</f>
        <v>P</v>
      </c>
      <c r="AM19702" s="4" t="s">
        <v>382</v>
      </c>
      <c r="AN19702" s="4" t="s">
        <v>382</v>
      </c>
      <c r="AO19702" s="4" t="s">
        <v>382</v>
      </c>
      <c r="AP19702" s="4" t="s">
        <v>376</v>
      </c>
      <c r="AR19702" s="4" t="s">
        <v>377</v>
      </c>
    </row>
    <row r="19703" spans="1:44">
      <c r="A19703" s="4" t="s">
        <v>117</v>
      </c>
      <c r="B19703" s="4">
        <v>836346</v>
      </c>
      <c r="D19703" s="5" t="s">
        <v>24331</v>
      </c>
      <c r="E19703" s="6" t="str">
        <f>HYPERLINK("https://inpn.mnhn.fr/espece/cd_nom/836346","Clanga clanga (Pallas, 1811)")</f>
        <v>Clanga clanga (Pallas, 1811)</v>
      </c>
      <c r="F19703" s="5" t="s">
        <v>24332</v>
      </c>
      <c r="G19703" s="4" t="str">
        <f>HYPERLINK("[#Réglementation!A"&amp;_xlfn.XMATCH("CCA",Réglementation!A:A,2,1),"CCA")</f>
        <v>CCA</v>
      </c>
      <c r="H19703" s="4" t="str">
        <f>HYPERLINK("#Réglementation!A"&amp;_xlfn.XMATCH("IBO1",Réglementation!A:A,2,1),"IBO1 - IBO2")</f>
        <v>IBO1 - IBO2</v>
      </c>
      <c r="I19703" s="4" t="str">
        <f>HYPERLINK("#Réglementation!A"&amp;_xlfn.XMATCH("IBE3",Réglementation!A:A,2,1),"IBE3")</f>
        <v>IBE3</v>
      </c>
      <c r="J19703" s="4" t="str">
        <f>HYPERLINK("#Réglementation!A"&amp;_xlfn.XMATCH("CDO1",Réglementation!A:A,2,1),"CDO1")</f>
        <v>CDO1</v>
      </c>
      <c r="L19703" s="4" t="str">
        <f>HYPERLINK("#Réglementation!A"&amp;_xlfn.XMATCH("NO3",Réglementation!A:A,2,1),"NO3")</f>
        <v>NO3</v>
      </c>
      <c r="O19703" s="7" t="str">
        <f>HYPERLINK("#Liste_rouge!A"&amp;_xlfn.XMATCH("VU",Liste_rouge!A:A,2,1),"VU")</f>
        <v>VU</v>
      </c>
      <c r="P19703" s="7" t="str">
        <f>HYPERLINK("#Liste_rouge!A"&amp;_xlfn.XMATCH("VU",Liste_rouge!A:A,2,1),"VU")</f>
        <v>VU</v>
      </c>
      <c r="S19703" s="7" t="str">
        <f>HYPERLINK("#Liste_rouge!A"&amp;_xlfn.XMATCH("NA",Liste_rouge!A:A,2,1),"NA")</f>
        <v>NA</v>
      </c>
      <c r="AH19703" s="4" t="str">
        <f>HYPERLINK("#Statut_biogéographique!A"&amp;_xlfn.XMATCH("P",Statut_biogéographique!A:A,2,1),"P")</f>
        <v>P</v>
      </c>
      <c r="AM19703" s="4" t="s">
        <v>375</v>
      </c>
      <c r="AN19703" s="4" t="s">
        <v>375</v>
      </c>
      <c r="AO19703" s="4" t="s">
        <v>375</v>
      </c>
      <c r="AP19703" s="4" t="s">
        <v>376</v>
      </c>
      <c r="AR19703" s="4" t="s">
        <v>377</v>
      </c>
    </row>
    <row r="19704" spans="1:44">
      <c r="A19704" s="4" t="s">
        <v>117</v>
      </c>
      <c r="B19704" s="4">
        <v>886224</v>
      </c>
      <c r="D19704" s="5" t="s">
        <v>24333</v>
      </c>
      <c r="E19704" s="6" t="str">
        <f>HYPERLINK("https://inpn.mnhn.fr/espece/cd_nom/886224","Sylvia cantillans albistriata (Brehm, 1855)")</f>
        <v>Sylvia cantillans albistriata (Brehm, 1855)</v>
      </c>
      <c r="F19704" s="5" t="s">
        <v>24334</v>
      </c>
      <c r="I19704" s="4" t="str">
        <f>HYPERLINK("#Réglementation!A"&amp;_xlfn.XMATCH("IBE2",Réglementation!A:A,2,1),"IBE2")</f>
        <v>IBE2</v>
      </c>
      <c r="L19704" s="4" t="str">
        <f>HYPERLINK("#Réglementation!A"&amp;_xlfn.XMATCH("NO3",Réglementation!A:A,2,1),"NO3")</f>
        <v>NO3</v>
      </c>
      <c r="AH19704" s="4" t="str">
        <f>HYPERLINK("#Statut_biogéographique!A"&amp;_xlfn.XMATCH("B",Statut_biogéographique!A:A,2,1),"B")</f>
        <v>B</v>
      </c>
      <c r="AP19704" s="4" t="s">
        <v>376</v>
      </c>
      <c r="AR19704" s="4" t="s">
        <v>377</v>
      </c>
    </row>
    <row r="19705" spans="1:44">
      <c r="A19705" s="4" t="s">
        <v>117</v>
      </c>
      <c r="B19705" s="4">
        <v>886230</v>
      </c>
      <c r="D19705" s="5" t="s">
        <v>24335</v>
      </c>
      <c r="E19705" s="6" t="str">
        <f>HYPERLINK("https://inpn.mnhn.fr/espece/cd_nom/886230","Acanthis flammea cabaret (Muller, 1776)")</f>
        <v>Acanthis flammea cabaret (Muller, 1776)</v>
      </c>
      <c r="F19705" s="5" t="s">
        <v>24336</v>
      </c>
      <c r="I19705" s="4" t="str">
        <f>HYPERLINK("#Réglementation!A"&amp;_xlfn.XMATCH("IBE2",Réglementation!A:A,2,1),"IBE2")</f>
        <v>IBE2</v>
      </c>
      <c r="L19705" s="4" t="str">
        <f>HYPERLINK("#Réglementation!A"&amp;_xlfn.XMATCH("NO3",Réglementation!A:A,2,1),"NO3")</f>
        <v>NO3</v>
      </c>
      <c r="X19705" s="5" t="s">
        <v>374</v>
      </c>
      <c r="AH19705" s="4" t="str">
        <f>HYPERLINK("#Statut_biogéographique!A"&amp;_xlfn.XMATCH("P",Statut_biogéographique!A:A,2,1),"P")</f>
        <v>P</v>
      </c>
      <c r="AM19705" s="4" t="s">
        <v>375</v>
      </c>
      <c r="AN19705" s="4" t="s">
        <v>375</v>
      </c>
      <c r="AO19705" s="4" t="s">
        <v>375</v>
      </c>
      <c r="AP19705" s="4" t="s">
        <v>389</v>
      </c>
      <c r="AR19705" s="4" t="s">
        <v>377</v>
      </c>
    </row>
    <row r="19706" spans="1:44">
      <c r="A19706" s="4" t="s">
        <v>117</v>
      </c>
      <c r="B19706" s="4">
        <v>886232</v>
      </c>
      <c r="D19706" s="5" t="s">
        <v>24337</v>
      </c>
      <c r="E19706" s="6" t="str">
        <f>HYPERLINK("https://inpn.mnhn.fr/espece/cd_nom/886232","Acanthis flammea flammea (Linnaeus, 1758)")</f>
        <v>Acanthis flammea flammea (Linnaeus, 1758)</v>
      </c>
      <c r="F19706" s="5" t="s">
        <v>24338</v>
      </c>
      <c r="I19706" s="4" t="str">
        <f>HYPERLINK("#Réglementation!A"&amp;_xlfn.XMATCH("IBE2",Réglementation!A:A,2,1),"IBE2")</f>
        <v>IBE2</v>
      </c>
      <c r="L19706" s="4" t="str">
        <f>HYPERLINK("#Réglementation!A"&amp;_xlfn.XMATCH("NO3",Réglementation!A:A,2,1),"NO3")</f>
        <v>NO3</v>
      </c>
      <c r="AH19706" s="4" t="str">
        <f>HYPERLINK("#Statut_biogéographique!A"&amp;_xlfn.XMATCH("P",Statut_biogéographique!A:A,2,1),"P")</f>
        <v>P</v>
      </c>
      <c r="AP19706" s="4" t="s">
        <v>389</v>
      </c>
      <c r="AR19706" s="4" t="s">
        <v>377</v>
      </c>
    </row>
    <row r="19707" spans="1:44">
      <c r="A19707" s="4" t="s">
        <v>117</v>
      </c>
      <c r="B19707" s="4">
        <v>886233</v>
      </c>
      <c r="D19707" s="5" t="s">
        <v>24339</v>
      </c>
      <c r="E19707" s="6" t="str">
        <f>HYPERLINK("https://inpn.mnhn.fr/espece/cd_nom/886233","Acanthis hornemanni (Holboell, 1843)")</f>
        <v>Acanthis hornemanni (Holboell, 1843)</v>
      </c>
      <c r="F19707" s="5" t="s">
        <v>24340</v>
      </c>
      <c r="I19707" s="4" t="str">
        <f>HYPERLINK("#Réglementation!A"&amp;_xlfn.XMATCH("IBE2",Réglementation!A:A,2,1),"IBE2")</f>
        <v>IBE2</v>
      </c>
      <c r="L19707" s="4" t="str">
        <f>HYPERLINK("#Réglementation!A"&amp;_xlfn.XMATCH("NO4",Réglementation!A:A,2,1),"NO4")</f>
        <v>NO4</v>
      </c>
      <c r="S19707" s="7" t="str">
        <f>HYPERLINK("#Liste_rouge!A"&amp;_xlfn.XMATCH("NA",Liste_rouge!A:A,2,1),"NA")</f>
        <v>NA</v>
      </c>
      <c r="AH19707" s="4" t="str">
        <f>HYPERLINK("#Statut_biogéographique!A"&amp;_xlfn.XMATCH("B",Statut_biogéographique!A:A,2,1),"B")</f>
        <v>B</v>
      </c>
      <c r="AM19707" s="4" t="s">
        <v>375</v>
      </c>
      <c r="AN19707" s="4" t="s">
        <v>375</v>
      </c>
      <c r="AO19707" s="4" t="s">
        <v>375</v>
      </c>
      <c r="AP19707" s="4" t="s">
        <v>389</v>
      </c>
      <c r="AR19707" s="4" t="s">
        <v>377</v>
      </c>
    </row>
    <row r="19708" spans="1:44">
      <c r="A19708" s="4" t="s">
        <v>117</v>
      </c>
      <c r="B19708" s="4">
        <v>889042</v>
      </c>
      <c r="D19708" s="5" t="s">
        <v>24341</v>
      </c>
      <c r="E19708" s="6" t="str">
        <f>HYPERLINK("https://inpn.mnhn.fr/espece/cd_nom/889042","Linaria flavirostris (Linnaeus, 1758)")</f>
        <v>Linaria flavirostris (Linnaeus, 1758)</v>
      </c>
      <c r="F19708" s="5" t="s">
        <v>24342</v>
      </c>
      <c r="I19708" s="4" t="str">
        <f>HYPERLINK("#Réglementation!A"&amp;_xlfn.XMATCH("IBE2",Réglementation!A:A,2,1),"IBE2")</f>
        <v>IBE2</v>
      </c>
      <c r="L19708" s="4" t="str">
        <f>HYPERLINK("#Réglementation!A"&amp;_xlfn.XMATCH("NO3",Réglementation!A:A,2,1),"NO3")</f>
        <v>NO3</v>
      </c>
      <c r="O19708" s="7" t="str">
        <f>HYPERLINK("#Liste_rouge!A"&amp;_xlfn.XMATCH("LC",Liste_rouge!A:A,2,1),"LC")</f>
        <v>LC</v>
      </c>
      <c r="P19708" s="7" t="str">
        <f>HYPERLINK("#Liste_rouge!A"&amp;_xlfn.XMATCH("LC",Liste_rouge!A:A,2,1),"LC")</f>
        <v>LC</v>
      </c>
      <c r="R19708" s="7" t="str">
        <f>HYPERLINK("#Liste_rouge!A"&amp;_xlfn.XMATCH("NA",Liste_rouge!A:A,2,1),"NA")</f>
        <v>NA</v>
      </c>
      <c r="AH19708" s="4" t="str">
        <f>HYPERLINK("#Statut_biogéographique!A"&amp;_xlfn.XMATCH("P",Statut_biogéographique!A:A,2,1),"P")</f>
        <v>P</v>
      </c>
      <c r="AM19708" s="4" t="s">
        <v>375</v>
      </c>
      <c r="AN19708" s="4" t="s">
        <v>375</v>
      </c>
      <c r="AO19708" s="4" t="s">
        <v>375</v>
      </c>
      <c r="AP19708" s="4" t="s">
        <v>376</v>
      </c>
      <c r="AR19708" s="4" t="s">
        <v>377</v>
      </c>
    </row>
    <row r="19709" spans="1:44" ht="60">
      <c r="A19709" s="4" t="s">
        <v>117</v>
      </c>
      <c r="B19709" s="4">
        <v>889047</v>
      </c>
      <c r="D19709" s="5" t="s">
        <v>24343</v>
      </c>
      <c r="E19709" s="6" t="str">
        <f>HYPERLINK("https://inpn.mnhn.fr/espece/cd_nom/889047","Linaria cannabina (Linnaeus, 1758)")</f>
        <v>Linaria cannabina (Linnaeus, 1758)</v>
      </c>
      <c r="F19709" s="5" t="s">
        <v>24344</v>
      </c>
      <c r="I19709" s="4" t="str">
        <f>HYPERLINK("#Réglementation!A"&amp;_xlfn.XMATCH("IBE2",Réglementation!A:A,2,1),"IBE2")</f>
        <v>IBE2</v>
      </c>
      <c r="L19709" s="4" t="str">
        <f>HYPERLINK("#Réglementation!A"&amp;_xlfn.XMATCH("NO3",Réglementation!A:A,2,1),"NO3")</f>
        <v>NO3</v>
      </c>
      <c r="O19709" s="7" t="str">
        <f>HYPERLINK("#Liste_rouge!A"&amp;_xlfn.XMATCH("LC",Liste_rouge!A:A,2,1),"LC")</f>
        <v>LC</v>
      </c>
      <c r="P19709" s="7" t="str">
        <f>HYPERLINK("#Liste_rouge!A"&amp;_xlfn.XMATCH("LC",Liste_rouge!A:A,2,1),"LC")</f>
        <v>LC</v>
      </c>
      <c r="Q19709" s="7" t="str">
        <f>HYPERLINK("#Liste_rouge!A"&amp;_xlfn.XMATCH("VU",Liste_rouge!A:A,2,1),"VU")</f>
        <v>VU</v>
      </c>
      <c r="R19709" s="7" t="str">
        <f>HYPERLINK("#Liste_rouge!A"&amp;_xlfn.XMATCH("NA",Liste_rouge!A:A,2,1),"NA")</f>
        <v>NA</v>
      </c>
      <c r="S19709" s="7" t="str">
        <f>HYPERLINK("#Liste_rouge!A"&amp;_xlfn.XMATCH("NA",Liste_rouge!A:A,2,1),"NA")</f>
        <v>NA</v>
      </c>
      <c r="T19709" s="7" t="str">
        <f>HYPERLINK("#Liste_rouge!A"&amp;_xlfn.XMATCH("LC",Liste_rouge!A:A,2,1),"LC")</f>
        <v>LC</v>
      </c>
      <c r="V19709" s="7" t="str">
        <f>HYPERLINK("#Liste_rouge!A"&amp;_xlfn.XMATCH("VU",Liste_rouge!A:A,2,1),"VU")</f>
        <v>VU</v>
      </c>
      <c r="W19709" s="4" t="str">
        <f>HYPERLINK("#Critères_liste_rouge!A$1","A2b")</f>
        <v>A2b</v>
      </c>
      <c r="X19709" s="5" t="s">
        <v>23439</v>
      </c>
      <c r="Y19709" s="5" t="s">
        <v>23481</v>
      </c>
      <c r="AH19709" s="4" t="str">
        <f>HYPERLINK("#Statut_biogéographique!A"&amp;_xlfn.XMATCH("P",Statut_biogéographique!A:A,2,1),"P")</f>
        <v>P</v>
      </c>
      <c r="AM19709" s="4" t="s">
        <v>375</v>
      </c>
      <c r="AN19709" s="4" t="s">
        <v>375</v>
      </c>
      <c r="AO19709" s="4" t="s">
        <v>375</v>
      </c>
      <c r="AP19709" s="4" t="s">
        <v>376</v>
      </c>
      <c r="AR19709" s="4" t="s">
        <v>377</v>
      </c>
    </row>
    <row r="19710" spans="1:44">
      <c r="A19710" s="4" t="s">
        <v>117</v>
      </c>
      <c r="B19710" s="4">
        <v>889056</v>
      </c>
      <c r="D19710" s="5" t="s">
        <v>24345</v>
      </c>
      <c r="E19710" s="6" t="str">
        <f>HYPERLINK("https://inpn.mnhn.fr/espece/cd_nom/889056","Spinus spinus (Linnaeus, 1758)")</f>
        <v>Spinus spinus (Linnaeus, 1758)</v>
      </c>
      <c r="F19710" s="5" t="s">
        <v>24346</v>
      </c>
      <c r="I19710" s="4" t="str">
        <f>HYPERLINK("#Réglementation!A"&amp;_xlfn.XMATCH("IBE2",Réglementation!A:A,2,1),"IBE2")</f>
        <v>IBE2</v>
      </c>
      <c r="L19710" s="4" t="str">
        <f>HYPERLINK("#Réglementation!A"&amp;_xlfn.XMATCH("NO3",Réglementation!A:A,2,1),"NO3")</f>
        <v>NO3</v>
      </c>
      <c r="O19710" s="7" t="str">
        <f>HYPERLINK("#Liste_rouge!A"&amp;_xlfn.XMATCH("LC",Liste_rouge!A:A,2,1),"LC")</f>
        <v>LC</v>
      </c>
      <c r="P19710" s="7" t="str">
        <f>HYPERLINK("#Liste_rouge!A"&amp;_xlfn.XMATCH("LC",Liste_rouge!A:A,2,1),"LC")</f>
        <v>LC</v>
      </c>
      <c r="Q19710" s="7" t="str">
        <f>HYPERLINK("#Liste_rouge!A"&amp;_xlfn.XMATCH("LC",Liste_rouge!A:A,2,1),"LC")</f>
        <v>LC</v>
      </c>
      <c r="R19710" s="7" t="str">
        <f>HYPERLINK("#Liste_rouge!A"&amp;_xlfn.XMATCH("DD",Liste_rouge!A:A,2,1),"DD")</f>
        <v>DD</v>
      </c>
      <c r="S19710" s="7" t="str">
        <f>HYPERLINK("#Liste_rouge!A"&amp;_xlfn.XMATCH("NA",Liste_rouge!A:A,2,1),"NA")</f>
        <v>NA</v>
      </c>
      <c r="T19710" s="7" t="str">
        <f>HYPERLINK("#Liste_rouge!A"&amp;_xlfn.XMATCH("NA",Liste_rouge!A:A,2,1),"NA")</f>
        <v>NA</v>
      </c>
      <c r="U19710" s="4" t="str">
        <f>HYPERLINK("#Critères_liste_rouge!A$1","b")</f>
        <v>b</v>
      </c>
      <c r="V19710" s="7" t="str">
        <f>HYPERLINK("#Liste_rouge!A"&amp;_xlfn.XMATCH("NT",Liste_rouge!A:A,2,1),"NT")</f>
        <v>NT</v>
      </c>
      <c r="W19710" s="4" t="str">
        <f>HYPERLINK("#Critères_liste_rouge!A$1","VU (D1) (-1)")</f>
        <v>VU (D1) (-1)</v>
      </c>
      <c r="X19710" s="5" t="s">
        <v>374</v>
      </c>
      <c r="AH19710" s="4" t="str">
        <f>HYPERLINK("#Statut_biogéographique!A"&amp;_xlfn.XMATCH("P",Statut_biogéographique!A:A,2,1),"P")</f>
        <v>P</v>
      </c>
      <c r="AM19710" s="4" t="s">
        <v>375</v>
      </c>
      <c r="AN19710" s="4" t="s">
        <v>375</v>
      </c>
      <c r="AO19710" s="4" t="s">
        <v>375</v>
      </c>
      <c r="AP19710" s="4" t="s">
        <v>376</v>
      </c>
      <c r="AR19710" s="4" t="s">
        <v>377</v>
      </c>
    </row>
    <row r="19711" spans="1:44">
      <c r="A19711" s="4" t="s">
        <v>117</v>
      </c>
      <c r="B19711" s="4">
        <v>895998</v>
      </c>
      <c r="D19711" s="5" t="s">
        <v>24347</v>
      </c>
      <c r="E19711" s="6" t="str">
        <f>HYPERLINK("https://inpn.mnhn.fr/espece/cd_nom/895998","Microcarbo pygmaeus (Pallas, 1773)")</f>
        <v>Microcarbo pygmaeus (Pallas, 1773)</v>
      </c>
      <c r="F19711" s="5" t="s">
        <v>24348</v>
      </c>
      <c r="H19711" s="4" t="str">
        <f>HYPERLINK("#Réglementation!A"&amp;_xlfn.XMATCH("IBOAE",Réglementation!A:A,2,1),"IBOAE - IBO2")</f>
        <v>IBOAE - IBO2</v>
      </c>
      <c r="I19711" s="4" t="str">
        <f>HYPERLINK("#Réglementation!A"&amp;_xlfn.XMATCH("IBE2",Réglementation!A:A,2,1),"IBE2")</f>
        <v>IBE2</v>
      </c>
      <c r="J19711" s="4" t="str">
        <f>HYPERLINK("#Réglementation!A"&amp;_xlfn.XMATCH("CDO1",Réglementation!A:A,2,1),"CDO1")</f>
        <v>CDO1</v>
      </c>
      <c r="L19711" s="4" t="str">
        <f>HYPERLINK("#Réglementation!A"&amp;_xlfn.XMATCH("NO4",Réglementation!A:A,2,1),"NO4")</f>
        <v>NO4</v>
      </c>
      <c r="O19711" s="7" t="str">
        <f>HYPERLINK("#Liste_rouge!A"&amp;_xlfn.XMATCH("LC",Liste_rouge!A:A,2,1),"LC")</f>
        <v>LC</v>
      </c>
      <c r="P19711" s="7" t="str">
        <f>HYPERLINK("#Liste_rouge!A"&amp;_xlfn.XMATCH("LC",Liste_rouge!A:A,2,1),"LC")</f>
        <v>LC</v>
      </c>
      <c r="S19711" s="7" t="str">
        <f>HYPERLINK("#Liste_rouge!A"&amp;_xlfn.XMATCH("NA",Liste_rouge!A:A,2,1),"NA")</f>
        <v>NA</v>
      </c>
      <c r="AH19711" s="4" t="str">
        <f>HYPERLINK("#Statut_biogéographique!A"&amp;_xlfn.XMATCH("B",Statut_biogéographique!A:A,2,1),"B")</f>
        <v>B</v>
      </c>
      <c r="AP19711" s="4" t="s">
        <v>376</v>
      </c>
      <c r="AR19711" s="4" t="s">
        <v>377</v>
      </c>
    </row>
    <row r="19712" spans="1:44">
      <c r="A19712" s="4" t="s">
        <v>117</v>
      </c>
      <c r="B19712" s="4">
        <v>956</v>
      </c>
      <c r="D19712" s="5" t="s">
        <v>24349</v>
      </c>
      <c r="E19712" s="6" t="str">
        <f>HYPERLINK("https://inpn.mnhn.fr/espece/cd_nom/956","Gavia arctica (Linnaeus, 1758)")</f>
        <v>Gavia arctica (Linnaeus, 1758)</v>
      </c>
      <c r="F19712" s="5" t="s">
        <v>24350</v>
      </c>
      <c r="H19712" s="4" t="str">
        <f>HYPERLINK("#Réglementation!A"&amp;_xlfn.XMATCH("IBOAE",Réglementation!A:A,2,1),"IBOAE - IBO2")</f>
        <v>IBOAE - IBO2</v>
      </c>
      <c r="I19712" s="4" t="str">
        <f>HYPERLINK("#Réglementation!A"&amp;_xlfn.XMATCH("IBE2",Réglementation!A:A,2,1),"IBE2")</f>
        <v>IBE2</v>
      </c>
      <c r="J19712" s="4" t="str">
        <f>HYPERLINK("#Réglementation!A"&amp;_xlfn.XMATCH("CDO1",Réglementation!A:A,2,1),"CDO1")</f>
        <v>CDO1</v>
      </c>
      <c r="L19712" s="4" t="str">
        <f>HYPERLINK("#Réglementation!A"&amp;_xlfn.XMATCH("NO3",Réglementation!A:A,2,1),"NO3")</f>
        <v>NO3</v>
      </c>
      <c r="O19712" s="7" t="str">
        <f>HYPERLINK("#Liste_rouge!A"&amp;_xlfn.XMATCH("LC",Liste_rouge!A:A,2,1),"LC")</f>
        <v>LC</v>
      </c>
      <c r="P19712" s="7" t="str">
        <f>HYPERLINK("#Liste_rouge!A"&amp;_xlfn.XMATCH("LC",Liste_rouge!A:A,2,1),"LC")</f>
        <v>LC</v>
      </c>
      <c r="R19712" s="7" t="str">
        <f>HYPERLINK("#Liste_rouge!A"&amp;_xlfn.XMATCH("NA",Liste_rouge!A:A,2,1),"NA")</f>
        <v>NA</v>
      </c>
      <c r="S19712" s="7" t="str">
        <f>HYPERLINK("#Liste_rouge!A"&amp;_xlfn.XMATCH("DD",Liste_rouge!A:A,2,1),"DD")</f>
        <v>DD</v>
      </c>
      <c r="AH19712" s="4" t="str">
        <f>HYPERLINK("#Statut_biogéographique!A"&amp;_xlfn.XMATCH("P",Statut_biogéographique!A:A,2,1),"P")</f>
        <v>P</v>
      </c>
      <c r="AM19712" s="4" t="s">
        <v>375</v>
      </c>
      <c r="AN19712" s="4" t="s">
        <v>375</v>
      </c>
      <c r="AO19712" s="4" t="s">
        <v>375</v>
      </c>
      <c r="AP19712" s="4" t="s">
        <v>376</v>
      </c>
      <c r="AR19712" s="4" t="s">
        <v>377</v>
      </c>
    </row>
    <row r="19713" spans="1:44">
      <c r="A19713" s="4" t="s">
        <v>117</v>
      </c>
      <c r="B19713" s="4">
        <v>959</v>
      </c>
      <c r="D19713" s="5" t="s">
        <v>24351</v>
      </c>
      <c r="E19713" s="6" t="str">
        <f>HYPERLINK("https://inpn.mnhn.fr/espece/cd_nom/959","Gavia immer (Brünnich, 1764)")</f>
        <v>Gavia immer (Brünnich, 1764)</v>
      </c>
      <c r="F19713" s="5" t="s">
        <v>24352</v>
      </c>
      <c r="H19713" s="4" t="str">
        <f>HYPERLINK("#Réglementation!A"&amp;_xlfn.XMATCH("IBOAE",Réglementation!A:A,2,1),"IBOAE - IBO2")</f>
        <v>IBOAE - IBO2</v>
      </c>
      <c r="I19713" s="4" t="str">
        <f>HYPERLINK("#Réglementation!A"&amp;_xlfn.XMATCH("IBE2",Réglementation!A:A,2,1),"IBE2")</f>
        <v>IBE2</v>
      </c>
      <c r="J19713" s="4" t="str">
        <f>HYPERLINK("#Réglementation!A"&amp;_xlfn.XMATCH("CDO1",Réglementation!A:A,2,1),"CDO1")</f>
        <v>CDO1</v>
      </c>
      <c r="L19713" s="4" t="str">
        <f>HYPERLINK("#Réglementation!A"&amp;_xlfn.XMATCH("NO3",Réglementation!A:A,2,1),"NO3")</f>
        <v>NO3</v>
      </c>
      <c r="O19713" s="7" t="str">
        <f>HYPERLINK("#Liste_rouge!A"&amp;_xlfn.XMATCH("LC",Liste_rouge!A:A,2,1),"LC")</f>
        <v>LC</v>
      </c>
      <c r="P19713" s="7" t="str">
        <f>HYPERLINK("#Liste_rouge!A"&amp;_xlfn.XMATCH("LC",Liste_rouge!A:A,2,1),"LC")</f>
        <v>LC</v>
      </c>
      <c r="R19713" s="7" t="str">
        <f>HYPERLINK("#Liste_rouge!A"&amp;_xlfn.XMATCH("VU",Liste_rouge!A:A,2,1),"VU")</f>
        <v>VU</v>
      </c>
      <c r="AH19713" s="4" t="str">
        <f>HYPERLINK("#Statut_biogéographique!A"&amp;_xlfn.XMATCH("P",Statut_biogéographique!A:A,2,1),"P")</f>
        <v>P</v>
      </c>
      <c r="AM19713" s="4" t="s">
        <v>375</v>
      </c>
      <c r="AN19713" s="4" t="s">
        <v>375</v>
      </c>
      <c r="AO19713" s="4" t="s">
        <v>375</v>
      </c>
      <c r="AP19713" s="4" t="s">
        <v>389</v>
      </c>
      <c r="AR19713" s="4" t="s">
        <v>377</v>
      </c>
    </row>
    <row r="19714" spans="1:44" ht="60">
      <c r="A19714" s="4" t="s">
        <v>117</v>
      </c>
      <c r="B19714" s="4">
        <v>965</v>
      </c>
      <c r="D19714" s="5" t="s">
        <v>24353</v>
      </c>
      <c r="E19714" s="6" t="str">
        <f>HYPERLINK("https://inpn.mnhn.fr/espece/cd_nom/965","Podiceps cristatus (Linnaeus, 1758)")</f>
        <v>Podiceps cristatus (Linnaeus, 1758)</v>
      </c>
      <c r="F19714" s="5" t="s">
        <v>24354</v>
      </c>
      <c r="H19714" s="4" t="str">
        <f>HYPERLINK("#Réglementation!A"&amp;_xlfn.XMATCH("IBOAE",Réglementation!A:A,2,1),"IBOAE")</f>
        <v>IBOAE</v>
      </c>
      <c r="I19714" s="4" t="str">
        <f>HYPERLINK("#Réglementation!A"&amp;_xlfn.XMATCH("IBE3",Réglementation!A:A,2,1),"IBE3")</f>
        <v>IBE3</v>
      </c>
      <c r="L19714" s="4" t="str">
        <f>HYPERLINK("#Réglementation!A"&amp;_xlfn.XMATCH("NO3",Réglementation!A:A,2,1),"NO3")</f>
        <v>NO3</v>
      </c>
      <c r="O19714" s="7" t="str">
        <f>HYPERLINK("#Liste_rouge!A"&amp;_xlfn.XMATCH("LC",Liste_rouge!A:A,2,1),"LC")</f>
        <v>LC</v>
      </c>
      <c r="P19714" s="7" t="str">
        <f>HYPERLINK("#Liste_rouge!A"&amp;_xlfn.XMATCH("LC",Liste_rouge!A:A,2,1),"LC")</f>
        <v>LC</v>
      </c>
      <c r="Q19714" s="7" t="str">
        <f>HYPERLINK("#Liste_rouge!A"&amp;_xlfn.XMATCH("LC",Liste_rouge!A:A,2,1),"LC")</f>
        <v>LC</v>
      </c>
      <c r="R19714" s="7" t="str">
        <f>HYPERLINK("#Liste_rouge!A"&amp;_xlfn.XMATCH("NA",Liste_rouge!A:A,2,1),"NA")</f>
        <v>NA</v>
      </c>
      <c r="T19714" s="7" t="str">
        <f>HYPERLINK("#Liste_rouge!A"&amp;_xlfn.XMATCH("LC",Liste_rouge!A:A,2,1),"LC")</f>
        <v>LC</v>
      </c>
      <c r="V19714" s="7" t="str">
        <f>HYPERLINK("#Liste_rouge!A"&amp;_xlfn.XMATCH("LC",Liste_rouge!A:A,2,1),"LC")</f>
        <v>LC</v>
      </c>
      <c r="X19714" s="5" t="s">
        <v>23439</v>
      </c>
      <c r="Y19714" s="5" t="s">
        <v>24355</v>
      </c>
      <c r="AH19714" s="4" t="str">
        <f>HYPERLINK("#Statut_biogéographique!A"&amp;_xlfn.XMATCH("P",Statut_biogéographique!A:A,2,1),"P")</f>
        <v>P</v>
      </c>
      <c r="AM19714" s="4" t="s">
        <v>375</v>
      </c>
      <c r="AN19714" s="4" t="s">
        <v>375</v>
      </c>
      <c r="AO19714" s="4" t="s">
        <v>375</v>
      </c>
      <c r="AP19714" s="4" t="s">
        <v>376</v>
      </c>
      <c r="AR19714" s="4" t="s">
        <v>377</v>
      </c>
    </row>
    <row r="19715" spans="1:44">
      <c r="A19715" s="4" t="s">
        <v>117</v>
      </c>
      <c r="B19715" s="4">
        <v>968</v>
      </c>
      <c r="D19715" s="5" t="s">
        <v>24356</v>
      </c>
      <c r="E19715" s="6" t="str">
        <f>HYPERLINK("https://inpn.mnhn.fr/espece/cd_nom/968","Podiceps grisegena (Boddaert, 1783)")</f>
        <v>Podiceps grisegena (Boddaert, 1783)</v>
      </c>
      <c r="F19715" s="5" t="s">
        <v>24357</v>
      </c>
      <c r="H19715" s="4" t="str">
        <f>HYPERLINK("#Réglementation!A"&amp;_xlfn.XMATCH("IBOAE",Réglementation!A:A,2,1),"IBOAE - IBO2")</f>
        <v>IBOAE - IBO2</v>
      </c>
      <c r="I19715" s="4" t="str">
        <f>HYPERLINK("#Réglementation!A"&amp;_xlfn.XMATCH("IBE2",Réglementation!A:A,2,1),"IBE2")</f>
        <v>IBE2</v>
      </c>
      <c r="L19715" s="4" t="str">
        <f>HYPERLINK("#Réglementation!A"&amp;_xlfn.XMATCH("NO3",Réglementation!A:A,2,1),"NO3")</f>
        <v>NO3</v>
      </c>
      <c r="O19715" s="7" t="str">
        <f>HYPERLINK("#Liste_rouge!A"&amp;_xlfn.XMATCH("LC",Liste_rouge!A:A,2,1),"LC")</f>
        <v>LC</v>
      </c>
      <c r="P19715" s="7" t="str">
        <f>HYPERLINK("#Liste_rouge!A"&amp;_xlfn.XMATCH("VU",Liste_rouge!A:A,2,1),"VU")</f>
        <v>VU</v>
      </c>
      <c r="Q19715" s="7" t="str">
        <f>HYPERLINK("#Liste_rouge!A"&amp;_xlfn.XMATCH("CR",Liste_rouge!A:A,2,1),"CR")</f>
        <v>CR</v>
      </c>
      <c r="R19715" s="7" t="str">
        <f>HYPERLINK("#Liste_rouge!A"&amp;_xlfn.XMATCH("NA",Liste_rouge!A:A,2,1),"NA")</f>
        <v>NA</v>
      </c>
      <c r="T19715" s="7" t="str">
        <f>HYPERLINK("#Liste_rouge!A"&amp;_xlfn.XMATCH("NA",Liste_rouge!A:A,2,1),"NA")</f>
        <v>NA</v>
      </c>
      <c r="U19715" s="4" t="str">
        <f>HYPERLINK("#Critères_liste_rouge!A$1","b")</f>
        <v>b</v>
      </c>
      <c r="AH19715" s="4" t="str">
        <f>HYPERLINK("#Statut_biogéographique!A"&amp;_xlfn.XMATCH("P",Statut_biogéographique!A:A,2,1),"P")</f>
        <v>P</v>
      </c>
      <c r="AM19715" s="4" t="s">
        <v>375</v>
      </c>
      <c r="AN19715" s="4" t="s">
        <v>375</v>
      </c>
      <c r="AO19715" s="4" t="s">
        <v>375</v>
      </c>
      <c r="AP19715" s="4" t="s">
        <v>389</v>
      </c>
      <c r="AR19715" s="4" t="s">
        <v>377</v>
      </c>
    </row>
    <row r="19716" spans="1:44">
      <c r="A19716" s="4" t="s">
        <v>117</v>
      </c>
      <c r="B19716" s="4">
        <v>971</v>
      </c>
      <c r="D19716" s="5" t="s">
        <v>24358</v>
      </c>
      <c r="E19716" s="6" t="str">
        <f>HYPERLINK("https://inpn.mnhn.fr/espece/cd_nom/971","Podiceps auritus (Linnaeus, 1758)")</f>
        <v>Podiceps auritus (Linnaeus, 1758)</v>
      </c>
      <c r="F19716" s="5" t="s">
        <v>24359</v>
      </c>
      <c r="H19716" s="4" t="str">
        <f>HYPERLINK("#Réglementation!A"&amp;_xlfn.XMATCH("IBOAE",Réglementation!A:A,2,1),"IBOAE - IBO2")</f>
        <v>IBOAE - IBO2</v>
      </c>
      <c r="I19716" s="4" t="str">
        <f>HYPERLINK("#Réglementation!A"&amp;_xlfn.XMATCH("IBE2",Réglementation!A:A,2,1),"IBE2")</f>
        <v>IBE2</v>
      </c>
      <c r="J19716" s="4" t="str">
        <f>HYPERLINK("#Réglementation!A"&amp;_xlfn.XMATCH("CDO1",Réglementation!A:A,2,1),"CDO1")</f>
        <v>CDO1</v>
      </c>
      <c r="L19716" s="4" t="str">
        <f>HYPERLINK("#Réglementation!A"&amp;_xlfn.XMATCH("NO3",Réglementation!A:A,2,1),"NO3")</f>
        <v>NO3</v>
      </c>
      <c r="O19716" s="7" t="str">
        <f>HYPERLINK("#Liste_rouge!A"&amp;_xlfn.XMATCH("VU",Liste_rouge!A:A,2,1),"VU")</f>
        <v>VU</v>
      </c>
      <c r="P19716" s="7" t="str">
        <f>HYPERLINK("#Liste_rouge!A"&amp;_xlfn.XMATCH("NT",Liste_rouge!A:A,2,1),"NT")</f>
        <v>NT</v>
      </c>
      <c r="R19716" s="7" t="str">
        <f>HYPERLINK("#Liste_rouge!A"&amp;_xlfn.XMATCH("VU",Liste_rouge!A:A,2,1),"VU")</f>
        <v>VU</v>
      </c>
      <c r="AH19716" s="4" t="str">
        <f>HYPERLINK("#Statut_biogéographique!A"&amp;_xlfn.XMATCH("P",Statut_biogéographique!A:A,2,1),"P")</f>
        <v>P</v>
      </c>
      <c r="AM19716" s="4" t="s">
        <v>375</v>
      </c>
      <c r="AN19716" s="4" t="s">
        <v>375</v>
      </c>
      <c r="AO19716" s="4" t="s">
        <v>375</v>
      </c>
      <c r="AP19716" s="4" t="s">
        <v>389</v>
      </c>
      <c r="AR19716" s="4" t="s">
        <v>377</v>
      </c>
    </row>
    <row r="19717" spans="1:44">
      <c r="A19717" s="4" t="s">
        <v>117</v>
      </c>
      <c r="B19717" s="4">
        <v>974</v>
      </c>
      <c r="D19717" s="5" t="s">
        <v>24360</v>
      </c>
      <c r="E19717" s="6" t="str">
        <f>HYPERLINK("https://inpn.mnhn.fr/espece/cd_nom/974","Podiceps nigricollis Brehm, 1831")</f>
        <v>Podiceps nigricollis Brehm, 1831</v>
      </c>
      <c r="F19717" s="5" t="s">
        <v>24361</v>
      </c>
      <c r="H19717" s="4" t="str">
        <f>HYPERLINK("#Réglementation!A"&amp;_xlfn.XMATCH("IBOAE",Réglementation!A:A,2,1),"IBOAE")</f>
        <v>IBOAE</v>
      </c>
      <c r="I19717" s="4" t="str">
        <f>HYPERLINK("#Réglementation!A"&amp;_xlfn.XMATCH("IBE3",Réglementation!A:A,2,1),"IBE3")</f>
        <v>IBE3</v>
      </c>
      <c r="L19717" s="4" t="str">
        <f>HYPERLINK("#Réglementation!A"&amp;_xlfn.XMATCH("NO3",Réglementation!A:A,2,1),"NO3")</f>
        <v>NO3</v>
      </c>
      <c r="O19717" s="7" t="str">
        <f>HYPERLINK("#Liste_rouge!A"&amp;_xlfn.XMATCH("LC",Liste_rouge!A:A,2,1),"LC")</f>
        <v>LC</v>
      </c>
      <c r="P19717" s="7" t="str">
        <f>HYPERLINK("#Liste_rouge!A"&amp;_xlfn.XMATCH("VU",Liste_rouge!A:A,2,1),"VU")</f>
        <v>VU</v>
      </c>
      <c r="Q19717" s="7" t="str">
        <f>HYPERLINK("#Liste_rouge!A"&amp;_xlfn.XMATCH("LC",Liste_rouge!A:A,2,1),"LC")</f>
        <v>LC</v>
      </c>
      <c r="R19717" s="7" t="str">
        <f>HYPERLINK("#Liste_rouge!A"&amp;_xlfn.XMATCH("LC",Liste_rouge!A:A,2,1),"LC")</f>
        <v>LC</v>
      </c>
      <c r="T19717" s="7" t="str">
        <f>HYPERLINK("#Liste_rouge!A"&amp;_xlfn.XMATCH("NA",Liste_rouge!A:A,2,1),"NA")</f>
        <v>NA</v>
      </c>
      <c r="U19717" s="4" t="str">
        <f>HYPERLINK("#Critères_liste_rouge!A$1","b")</f>
        <v>b</v>
      </c>
      <c r="V19717" s="7" t="str">
        <f>HYPERLINK("#Liste_rouge!A"&amp;_xlfn.XMATCH("CR",Liste_rouge!A:A,2,1),"CR")</f>
        <v>CR</v>
      </c>
      <c r="W19717" s="4" t="str">
        <f>HYPERLINK("#Critères_liste_rouge!A$1","D1")</f>
        <v>D1</v>
      </c>
      <c r="X19717" s="5" t="s">
        <v>374</v>
      </c>
      <c r="AH19717" s="4" t="str">
        <f>HYPERLINK("#Statut_biogéographique!A"&amp;_xlfn.XMATCH("P",Statut_biogéographique!A:A,2,1),"P")</f>
        <v>P</v>
      </c>
      <c r="AM19717" s="4" t="s">
        <v>375</v>
      </c>
      <c r="AN19717" s="4" t="s">
        <v>375</v>
      </c>
      <c r="AO19717" s="4" t="s">
        <v>375</v>
      </c>
      <c r="AP19717" s="4" t="s">
        <v>376</v>
      </c>
      <c r="AR19717" s="4" t="s">
        <v>377</v>
      </c>
    </row>
    <row r="19718" spans="1:44">
      <c r="A19718" s="4" t="s">
        <v>117</v>
      </c>
      <c r="B19718" s="4">
        <v>977</v>
      </c>
      <c r="D19718" s="5" t="s">
        <v>24362</v>
      </c>
      <c r="E19718" s="6" t="str">
        <f>HYPERLINK("https://inpn.mnhn.fr/espece/cd_nom/977","Tachybaptus ruficollis (Pallas, 1764)")</f>
        <v>Tachybaptus ruficollis (Pallas, 1764)</v>
      </c>
      <c r="F19718" s="5" t="s">
        <v>24363</v>
      </c>
      <c r="H19718" s="4" t="str">
        <f>HYPERLINK("#Réglementation!A"&amp;_xlfn.XMATCH("IBOAE",Réglementation!A:A,2,1),"IBOAE")</f>
        <v>IBOAE</v>
      </c>
      <c r="I19718" s="4" t="str">
        <f>HYPERLINK("#Réglementation!A"&amp;_xlfn.XMATCH("IBE2",Réglementation!A:A,2,1),"IBE2")</f>
        <v>IBE2</v>
      </c>
      <c r="L19718" s="4" t="str">
        <f>HYPERLINK("#Réglementation!A"&amp;_xlfn.XMATCH("NO3",Réglementation!A:A,2,1),"NO3")</f>
        <v>NO3</v>
      </c>
      <c r="O19718" s="7" t="str">
        <f>HYPERLINK("#Liste_rouge!A"&amp;_xlfn.XMATCH("LC",Liste_rouge!A:A,2,1),"LC")</f>
        <v>LC</v>
      </c>
      <c r="P19718" s="7" t="str">
        <f>HYPERLINK("#Liste_rouge!A"&amp;_xlfn.XMATCH("LC",Liste_rouge!A:A,2,1),"LC")</f>
        <v>LC</v>
      </c>
      <c r="Q19718" s="7" t="str">
        <f>HYPERLINK("#Liste_rouge!A"&amp;_xlfn.XMATCH("LC",Liste_rouge!A:A,2,1),"LC")</f>
        <v>LC</v>
      </c>
      <c r="R19718" s="7" t="str">
        <f>HYPERLINK("#Liste_rouge!A"&amp;_xlfn.XMATCH("NA",Liste_rouge!A:A,2,1),"NA")</f>
        <v>NA</v>
      </c>
      <c r="T19718" s="7" t="str">
        <f>HYPERLINK("#Liste_rouge!A"&amp;_xlfn.XMATCH("LC",Liste_rouge!A:A,2,1),"LC")</f>
        <v>LC</v>
      </c>
      <c r="V19718" s="7" t="str">
        <f>HYPERLINK("#Liste_rouge!A"&amp;_xlfn.XMATCH("LC",Liste_rouge!A:A,2,1),"LC")</f>
        <v>LC</v>
      </c>
      <c r="AH19718" s="4" t="str">
        <f>HYPERLINK("#Statut_biogéographique!A"&amp;_xlfn.XMATCH("P",Statut_biogéographique!A:A,2,1),"P")</f>
        <v>P</v>
      </c>
      <c r="AM19718" s="4" t="s">
        <v>375</v>
      </c>
      <c r="AN19718" s="4" t="s">
        <v>375</v>
      </c>
      <c r="AO19718" s="4" t="s">
        <v>375</v>
      </c>
      <c r="AP19718" s="4" t="s">
        <v>389</v>
      </c>
      <c r="AR19718" s="4" t="s">
        <v>377</v>
      </c>
    </row>
    <row r="19719" spans="1:44" ht="30">
      <c r="A19719" s="4" t="s">
        <v>24364</v>
      </c>
      <c r="B19719" s="4">
        <v>100024</v>
      </c>
      <c r="D19719" s="5">
        <v>100024</v>
      </c>
      <c r="E19719" s="6" t="str">
        <f>HYPERLINK("https://inpn.mnhn.fr/espece/cd_nom/100024","Geranium argenteum L., 1756")</f>
        <v>Geranium argenteum L., 1756</v>
      </c>
      <c r="F19719" s="5" t="s">
        <v>24365</v>
      </c>
      <c r="L19719" s="4" t="str">
        <f>HYPERLINK("#Réglementation!A"&amp;_xlfn.XMATCH("NV1",Réglementation!A:A,2,1),"NV1")</f>
        <v>NV1</v>
      </c>
      <c r="Q19719" s="7" t="str">
        <f>HYPERLINK("#Liste_rouge!A"&amp;_xlfn.XMATCH("NT",Liste_rouge!A:A,2,1),"NT")</f>
        <v>NT</v>
      </c>
      <c r="T19719" s="7" t="str">
        <f>HYPERLINK("#Liste_rouge!A"&amp;_xlfn.XMATCH("NA",Liste_rouge!A:A,2,1),"NA")</f>
        <v>NA</v>
      </c>
      <c r="AE19719" s="4" t="str">
        <f>HYPERLINK("#SCAP!A"&amp;_xlfn.XMATCH("A",SCAP!A:A,2,1),"A")</f>
        <v>A</v>
      </c>
      <c r="AH19719" s="4" t="str">
        <f>HYPERLINK("#Statut_biogéographique!A"&amp;_xlfn.XMATCH("P",Statut_biogéographique!A:A,2,1),"P")</f>
        <v>P</v>
      </c>
      <c r="AP19719" s="4" t="s">
        <v>376</v>
      </c>
      <c r="AR19719" s="4" t="s">
        <v>377</v>
      </c>
    </row>
    <row r="19720" spans="1:44">
      <c r="A19720" s="4" t="s">
        <v>24364</v>
      </c>
      <c r="B19720" s="4">
        <v>100033</v>
      </c>
      <c r="D19720" s="5" t="s">
        <v>24366</v>
      </c>
      <c r="E19720" s="6" t="str">
        <f>HYPERLINK("https://inpn.mnhn.fr/espece/cd_nom/100033","Geranium bohemicum L., 1756")</f>
        <v>Geranium bohemicum L., 1756</v>
      </c>
      <c r="F19720" s="5" t="s">
        <v>24367</v>
      </c>
      <c r="Q19720" s="7" t="str">
        <f>HYPERLINK("#Liste_rouge!A"&amp;_xlfn.XMATCH("EN",Liste_rouge!A:A,2,1),"EN")</f>
        <v>EN</v>
      </c>
      <c r="AH19720" s="4" t="str">
        <f>HYPERLINK("#Statut_biogéographique!A"&amp;_xlfn.XMATCH("P",Statut_biogéographique!A:A,2,1),"P")</f>
        <v>P</v>
      </c>
      <c r="AP19720" s="4" t="s">
        <v>389</v>
      </c>
      <c r="AR19720" s="4" t="s">
        <v>377</v>
      </c>
    </row>
    <row r="19721" spans="1:44" ht="30">
      <c r="A19721" s="4" t="s">
        <v>24364</v>
      </c>
      <c r="B19721" s="4">
        <v>100045</v>
      </c>
      <c r="D19721" s="5" t="s">
        <v>24368</v>
      </c>
      <c r="E19721" s="6" t="str">
        <f>HYPERLINK("https://inpn.mnhn.fr/espece/cd_nom/100045","Geranium columbinum L., 1753")</f>
        <v>Geranium columbinum L., 1753</v>
      </c>
      <c r="F19721" s="5" t="s">
        <v>24369</v>
      </c>
      <c r="Q19721" s="7" t="str">
        <f>HYPERLINK("#Liste_rouge!A"&amp;_xlfn.XMATCH("LC",Liste_rouge!A:A,2,1),"LC")</f>
        <v>LC</v>
      </c>
      <c r="T19721" s="7" t="str">
        <f>HYPERLINK("#Liste_rouge!A"&amp;_xlfn.XMATCH("LC",Liste_rouge!A:A,2,1),"LC")</f>
        <v>LC</v>
      </c>
      <c r="V19721" s="7" t="str">
        <f>HYPERLINK("#Liste_rouge!A"&amp;_xlfn.XMATCH("LC",Liste_rouge!A:A,2,1),"LC")</f>
        <v>LC</v>
      </c>
      <c r="AH19721" s="4" t="str">
        <f>HYPERLINK("#Statut_biogéographique!A"&amp;_xlfn.XMATCH("P",Statut_biogéographique!A:A,2,1),"P")</f>
        <v>P</v>
      </c>
      <c r="AM19721" s="4" t="s">
        <v>375</v>
      </c>
      <c r="AN19721" s="4" t="s">
        <v>375</v>
      </c>
      <c r="AO19721" s="4" t="s">
        <v>375</v>
      </c>
      <c r="AP19721" s="4" t="s">
        <v>376</v>
      </c>
      <c r="AR19721" s="4" t="s">
        <v>377</v>
      </c>
    </row>
    <row r="19722" spans="1:44" ht="30">
      <c r="A19722" s="4" t="s">
        <v>24364</v>
      </c>
      <c r="B19722" s="4">
        <v>100052</v>
      </c>
      <c r="D19722" s="5" t="s">
        <v>24370</v>
      </c>
      <c r="E19722" s="6" t="str">
        <f>HYPERLINK("https://inpn.mnhn.fr/espece/cd_nom/100052","Geranium dissectum L., 1755")</f>
        <v>Geranium dissectum L., 1755</v>
      </c>
      <c r="F19722" s="5" t="s">
        <v>24371</v>
      </c>
      <c r="Q19722" s="7" t="str">
        <f>HYPERLINK("#Liste_rouge!A"&amp;_xlfn.XMATCH("LC",Liste_rouge!A:A,2,1),"LC")</f>
        <v>LC</v>
      </c>
      <c r="T19722" s="7" t="str">
        <f>HYPERLINK("#Liste_rouge!A"&amp;_xlfn.XMATCH("LC",Liste_rouge!A:A,2,1),"LC")</f>
        <v>LC</v>
      </c>
      <c r="V19722" s="7" t="str">
        <f>HYPERLINK("#Liste_rouge!A"&amp;_xlfn.XMATCH("LC",Liste_rouge!A:A,2,1),"LC")</f>
        <v>LC</v>
      </c>
      <c r="AH19722" s="4" t="str">
        <f>HYPERLINK("#Statut_biogéographique!A"&amp;_xlfn.XMATCH("P",Statut_biogéographique!A:A,2,1),"P")</f>
        <v>P</v>
      </c>
      <c r="AM19722" s="4" t="s">
        <v>375</v>
      </c>
      <c r="AN19722" s="4" t="s">
        <v>375</v>
      </c>
      <c r="AO19722" s="4" t="s">
        <v>375</v>
      </c>
      <c r="AP19722" s="4" t="s">
        <v>376</v>
      </c>
      <c r="AR19722" s="4" t="s">
        <v>377</v>
      </c>
    </row>
    <row r="19723" spans="1:44" ht="30">
      <c r="A19723" s="4" t="s">
        <v>24364</v>
      </c>
      <c r="B19723" s="4">
        <v>1000533</v>
      </c>
      <c r="D19723" s="5" t="s">
        <v>24372</v>
      </c>
      <c r="E19723" s="6" t="str">
        <f>HYPERLINK("https://inpn.mnhn.fr/espece/cd_nom/1000533","Sabulina tenuifolia subsp. laxa (Jord.) Garraud &amp; J.-M.Tison, 2021")</f>
        <v>Sabulina tenuifolia subsp. laxa (Jord.) Garraud &amp; J.-M.Tison, 2021</v>
      </c>
      <c r="F19723" s="5" t="s">
        <v>24373</v>
      </c>
      <c r="Q19723" s="7" t="str">
        <f>HYPERLINK("#Liste_rouge!A"&amp;_xlfn.XMATCH("LC",Liste_rouge!A:A,2,1),"LC")</f>
        <v>LC</v>
      </c>
      <c r="T19723" s="7" t="str">
        <f>HYPERLINK("#Liste_rouge!A"&amp;_xlfn.XMATCH("NE",Liste_rouge!A:A,2,1),"NE")</f>
        <v>NE</v>
      </c>
      <c r="AH19723" s="4" t="str">
        <f>HYPERLINK("#Statut_biogéographique!A"&amp;_xlfn.XMATCH("P",Statut_biogéographique!A:A,2,1),"P")</f>
        <v>P</v>
      </c>
      <c r="AM19723" s="4" t="s">
        <v>375</v>
      </c>
      <c r="AN19723" s="4" t="s">
        <v>375</v>
      </c>
      <c r="AO19723" s="4" t="s">
        <v>375</v>
      </c>
      <c r="AP19723" s="4" t="s">
        <v>376</v>
      </c>
      <c r="AR19723" s="4" t="s">
        <v>377</v>
      </c>
    </row>
    <row r="19724" spans="1:44" ht="30">
      <c r="A19724" s="4" t="s">
        <v>24364</v>
      </c>
      <c r="B19724" s="4">
        <v>1000573</v>
      </c>
      <c r="D19724" s="5" t="s">
        <v>24374</v>
      </c>
      <c r="E19724" s="6" t="str">
        <f>HYPERLINK("https://inpn.mnhn.fr/espece/cd_nom/1000573","Sabulina verna subsp. verna (L.) Rchb., 1832")</f>
        <v>Sabulina verna subsp. verna (L.) Rchb., 1832</v>
      </c>
      <c r="F19724" s="5" t="s">
        <v>24375</v>
      </c>
      <c r="T19724" s="7" t="str">
        <f>HYPERLINK("#Liste_rouge!A"&amp;_xlfn.XMATCH("NA",Liste_rouge!A:A,2,1),"NA")</f>
        <v>NA</v>
      </c>
      <c r="AH19724" s="4" t="str">
        <f>HYPERLINK("#Statut_biogéographique!A"&amp;_xlfn.XMATCH("P",Statut_biogéographique!A:A,2,1),"P")</f>
        <v>P</v>
      </c>
      <c r="AP19724" s="4" t="s">
        <v>376</v>
      </c>
      <c r="AR19724" s="4" t="s">
        <v>377</v>
      </c>
    </row>
    <row r="19725" spans="1:44">
      <c r="A19725" s="4" t="s">
        <v>24364</v>
      </c>
      <c r="B19725" s="4">
        <v>100059</v>
      </c>
      <c r="D19725" s="5" t="s">
        <v>24376</v>
      </c>
      <c r="E19725" s="6" t="str">
        <f>HYPERLINK("https://inpn.mnhn.fr/espece/cd_nom/100059","Geranium endressii J.Gay, 1832")</f>
        <v>Geranium endressii J.Gay, 1832</v>
      </c>
      <c r="F19725" s="5" t="s">
        <v>24377</v>
      </c>
      <c r="L19725" s="4" t="str">
        <f>HYPERLINK("#Réglementation!A"&amp;_xlfn.XMATCH("NV1",Réglementation!A:A,2,1),"NV1")</f>
        <v>NV1</v>
      </c>
      <c r="Q19725" s="7" t="str">
        <f>HYPERLINK("#Liste_rouge!A"&amp;_xlfn.XMATCH("VU",Liste_rouge!A:A,2,1),"VU")</f>
        <v>VU</v>
      </c>
      <c r="T19725" s="7" t="str">
        <f>HYPERLINK("#Liste_rouge!A"&amp;_xlfn.XMATCH("NA",Liste_rouge!A:A,2,1),"NA")</f>
        <v>NA</v>
      </c>
      <c r="AH19725" s="4" t="str">
        <f>HYPERLINK("#Statut_biogéographique!A"&amp;_xlfn.XMATCH("E",Statut_biogéographique!A:A,2,1),"E")</f>
        <v>E</v>
      </c>
      <c r="AP19725" s="4" t="s">
        <v>389</v>
      </c>
      <c r="AR19725" s="4" t="s">
        <v>377</v>
      </c>
    </row>
    <row r="19726" spans="1:44" ht="30">
      <c r="A19726" s="4" t="s">
        <v>24364</v>
      </c>
      <c r="B19726" s="4">
        <v>1000842</v>
      </c>
      <c r="D19726" s="5" t="s">
        <v>24378</v>
      </c>
      <c r="E19726" s="6" t="str">
        <f>HYPERLINK("https://inpn.mnhn.fr/espece/cd_nom/1000842","Dianthus superbus var. superbus L., 1753")</f>
        <v>Dianthus superbus var. superbus L., 1753</v>
      </c>
      <c r="F19726" s="5" t="s">
        <v>24379</v>
      </c>
      <c r="L19726" s="4" t="str">
        <f>HYPERLINK("#Réglementation!A"&amp;_xlfn.XMATCH("NV2",Réglementation!A:A,2,1),"NV2 - NV3")</f>
        <v>NV2 - NV3</v>
      </c>
      <c r="N19726" s="4" t="str">
        <f>HYPERLINK("#Réglementation!A"&amp;_xlfn.XMATCH("V39P1",Réglementation!A:A,2,1),"V39P1")</f>
        <v>V39P1</v>
      </c>
      <c r="AH19726" s="4" t="str">
        <f>HYPERLINK("#Statut_biogéographique!A"&amp;_xlfn.XMATCH("P",Statut_biogéographique!A:A,2,1),"P")</f>
        <v>P</v>
      </c>
      <c r="AK19726" s="4" t="str">
        <f>HYPERLINK("#Réglementation!A"&amp;_xlfn.XMATCH("V39P6",Réglementation!A:A,2,1),"V39P6")</f>
        <v>V39P6</v>
      </c>
      <c r="AM19726" s="4" t="s">
        <v>375</v>
      </c>
      <c r="AN19726" s="4" t="s">
        <v>375</v>
      </c>
      <c r="AO19726" s="4" t="s">
        <v>375</v>
      </c>
      <c r="AP19726" s="4" t="s">
        <v>376</v>
      </c>
      <c r="AR19726" s="4" t="s">
        <v>377</v>
      </c>
    </row>
    <row r="19727" spans="1:44">
      <c r="A19727" s="4" t="s">
        <v>24364</v>
      </c>
      <c r="B19727" s="4">
        <v>100085</v>
      </c>
      <c r="D19727" s="5" t="s">
        <v>24380</v>
      </c>
      <c r="E19727" s="6" t="str">
        <f>HYPERLINK("https://inpn.mnhn.fr/espece/cd_nom/100085","Geranium lucidum L., 1753")</f>
        <v>Geranium lucidum L., 1753</v>
      </c>
      <c r="F19727" s="5" t="s">
        <v>24381</v>
      </c>
      <c r="Q19727" s="7" t="str">
        <f>HYPERLINK("#Liste_rouge!A"&amp;_xlfn.XMATCH("LC",Liste_rouge!A:A,2,1),"LC")</f>
        <v>LC</v>
      </c>
      <c r="T19727" s="7" t="str">
        <f>HYPERLINK("#Liste_rouge!A"&amp;_xlfn.XMATCH("VU",Liste_rouge!A:A,2,1),"VU")</f>
        <v>VU</v>
      </c>
      <c r="U19727" s="4" t="str">
        <f>HYPERLINK("#Critères_liste_rouge!A$1","C2a(i) D2")</f>
        <v>C2a(i) D2</v>
      </c>
      <c r="V19727" s="7" t="str">
        <f>HYPERLINK("#Liste_rouge!A"&amp;_xlfn.XMATCH("LC",Liste_rouge!A:A,2,1),"LC")</f>
        <v>LC</v>
      </c>
      <c r="AB19727" s="4" t="s">
        <v>24382</v>
      </c>
      <c r="AH19727" s="4" t="str">
        <f>HYPERLINK("#Statut_biogéographique!A"&amp;_xlfn.XMATCH("P",Statut_biogéographique!A:A,2,1),"P")</f>
        <v>P</v>
      </c>
      <c r="AM19727" s="4" t="s">
        <v>375</v>
      </c>
      <c r="AN19727" s="4" t="s">
        <v>375</v>
      </c>
      <c r="AO19727" s="4" t="s">
        <v>375</v>
      </c>
      <c r="AP19727" s="4" t="s">
        <v>376</v>
      </c>
      <c r="AR19727" s="4" t="s">
        <v>377</v>
      </c>
    </row>
    <row r="19728" spans="1:44" ht="30">
      <c r="A19728" s="4" t="s">
        <v>24364</v>
      </c>
      <c r="B19728" s="4">
        <v>100087</v>
      </c>
      <c r="D19728" s="5" t="s">
        <v>24383</v>
      </c>
      <c r="E19728" s="6" t="str">
        <f>HYPERLINK("https://inpn.mnhn.fr/espece/cd_nom/100087","Geranium macrorrhizum L., 1753")</f>
        <v>Geranium macrorrhizum L., 1753</v>
      </c>
      <c r="F19728" s="5" t="s">
        <v>24384</v>
      </c>
      <c r="Q19728" s="7" t="str">
        <f>HYPERLINK("#Liste_rouge!A"&amp;_xlfn.XMATCH("LC",Liste_rouge!A:A,2,1),"LC")</f>
        <v>LC</v>
      </c>
      <c r="T19728" s="7" t="str">
        <f>HYPERLINK("#Liste_rouge!A"&amp;_xlfn.XMATCH("NA",Liste_rouge!A:A,2,1),"NA")</f>
        <v>NA</v>
      </c>
      <c r="AH19728" s="4" t="str">
        <f>HYPERLINK("#Statut_biogéographique!A"&amp;_xlfn.XMATCH("P",Statut_biogéographique!A:A,2,1),"P")</f>
        <v>P</v>
      </c>
      <c r="AP19728" s="4" t="s">
        <v>376</v>
      </c>
      <c r="AR19728" s="4" t="s">
        <v>377</v>
      </c>
    </row>
    <row r="19729" spans="1:44" ht="30">
      <c r="A19729" s="4" t="s">
        <v>24364</v>
      </c>
      <c r="B19729" s="4">
        <v>100104</v>
      </c>
      <c r="D19729" s="5" t="s">
        <v>24385</v>
      </c>
      <c r="E19729" s="6" t="str">
        <f>HYPERLINK("https://inpn.mnhn.fr/espece/cd_nom/100104","Geranium molle L., 1753")</f>
        <v>Geranium molle L., 1753</v>
      </c>
      <c r="F19729" s="5" t="s">
        <v>24386</v>
      </c>
      <c r="Q19729" s="7" t="str">
        <f>HYPERLINK("#Liste_rouge!A"&amp;_xlfn.XMATCH("LC",Liste_rouge!A:A,2,1),"LC")</f>
        <v>LC</v>
      </c>
      <c r="T19729" s="7" t="str">
        <f>HYPERLINK("#Liste_rouge!A"&amp;_xlfn.XMATCH("LC",Liste_rouge!A:A,2,1),"LC")</f>
        <v>LC</v>
      </c>
      <c r="V19729" s="7" t="str">
        <f>HYPERLINK("#Liste_rouge!A"&amp;_xlfn.XMATCH("LC",Liste_rouge!A:A,2,1),"LC")</f>
        <v>LC</v>
      </c>
      <c r="AH19729" s="4" t="str">
        <f>HYPERLINK("#Statut_biogéographique!A"&amp;_xlfn.XMATCH("P",Statut_biogéographique!A:A,2,1),"P")</f>
        <v>P</v>
      </c>
      <c r="AM19729" s="4" t="s">
        <v>375</v>
      </c>
      <c r="AN19729" s="4" t="s">
        <v>375</v>
      </c>
      <c r="AO19729" s="4" t="s">
        <v>375</v>
      </c>
      <c r="AP19729" s="4" t="s">
        <v>376</v>
      </c>
      <c r="AR19729" s="4" t="s">
        <v>377</v>
      </c>
    </row>
    <row r="19730" spans="1:44">
      <c r="A19730" s="4" t="s">
        <v>24364</v>
      </c>
      <c r="B19730" s="4">
        <v>100109</v>
      </c>
      <c r="D19730" s="5" t="s">
        <v>24387</v>
      </c>
      <c r="E19730" s="6" t="str">
        <f>HYPERLINK("https://inpn.mnhn.fr/espece/cd_nom/100109","Geranium nodosum L., 1753")</f>
        <v>Geranium nodosum L., 1753</v>
      </c>
      <c r="F19730" s="5" t="s">
        <v>24388</v>
      </c>
      <c r="M19730" s="4" t="str">
        <f>HYPERLINK("#Réglementation!A"&amp;_xlfn.XMATCH("RV43",Réglementation!A:A,2,1),"RV43")</f>
        <v>RV43</v>
      </c>
      <c r="Q19730" s="7" t="str">
        <f>HYPERLINK("#Liste_rouge!A"&amp;_xlfn.XMATCH("LC",Liste_rouge!A:A,2,1),"LC")</f>
        <v>LC</v>
      </c>
      <c r="T19730" s="7" t="str">
        <f>HYPERLINK("#Liste_rouge!A"&amp;_xlfn.XMATCH("CR",Liste_rouge!A:A,2,1),"CR")</f>
        <v>CR</v>
      </c>
      <c r="U19730" s="4" t="str">
        <f>HYPERLINK("#Critères_liste_rouge!A$1","B1 B2ab(iv)")</f>
        <v>B1 B2ab(iv)</v>
      </c>
      <c r="V19730" s="7" t="str">
        <f>HYPERLINK("#Liste_rouge!A"&amp;_xlfn.XMATCH("NT",Liste_rouge!A:A,2,1),"NT")</f>
        <v>NT</v>
      </c>
      <c r="W19730" s="4" t="str">
        <f>HYPERLINK("#Critères_liste_rouge!A$1","pr.D2")</f>
        <v>pr.D2</v>
      </c>
      <c r="X19730" s="5" t="s">
        <v>374</v>
      </c>
      <c r="AB19730" s="4" t="s">
        <v>93</v>
      </c>
      <c r="AH19730" s="4" t="str">
        <f>HYPERLINK("#Statut_biogéographique!A"&amp;_xlfn.XMATCH("P",Statut_biogéographique!A:A,2,1),"P")</f>
        <v>P</v>
      </c>
      <c r="AM19730" s="4" t="s">
        <v>375</v>
      </c>
      <c r="AN19730" s="4" t="s">
        <v>375</v>
      </c>
      <c r="AO19730" s="4" t="s">
        <v>375</v>
      </c>
      <c r="AP19730" s="4" t="s">
        <v>376</v>
      </c>
      <c r="AR19730" s="4" t="s">
        <v>377</v>
      </c>
    </row>
    <row r="19731" spans="1:44">
      <c r="A19731" s="4" t="s">
        <v>24364</v>
      </c>
      <c r="B19731" s="4">
        <v>100114</v>
      </c>
      <c r="D19731" s="5" t="s">
        <v>24389</v>
      </c>
      <c r="E19731" s="6" t="str">
        <f>HYPERLINK("https://inpn.mnhn.fr/espece/cd_nom/100114","Geranium palustre L., 1756")</f>
        <v>Geranium palustre L., 1756</v>
      </c>
      <c r="F19731" s="5" t="s">
        <v>24390</v>
      </c>
      <c r="M19731" s="4" t="str">
        <f>HYPERLINK("#Réglementation!A"&amp;_xlfn.XMATCH("RV43",Réglementation!A:A,2,1),"RV43")</f>
        <v>RV43</v>
      </c>
      <c r="Q19731" s="7" t="str">
        <f>HYPERLINK("#Liste_rouge!A"&amp;_xlfn.XMATCH("NT",Liste_rouge!A:A,2,1),"NT")</f>
        <v>NT</v>
      </c>
      <c r="V19731" s="7" t="str">
        <f>HYPERLINK("#Liste_rouge!A"&amp;_xlfn.XMATCH("NT",Liste_rouge!A:A,2,1),"NT")</f>
        <v>NT</v>
      </c>
      <c r="W19731" s="4" t="str">
        <f>HYPERLINK("#Critères_liste_rouge!A$1","pr. B2b(iii)")</f>
        <v>pr. B2b(iii)</v>
      </c>
      <c r="X19731" s="5" t="s">
        <v>374</v>
      </c>
      <c r="AB19731" s="4" t="s">
        <v>93</v>
      </c>
      <c r="AH19731" s="4" t="str">
        <f>HYPERLINK("#Statut_biogéographique!A"&amp;_xlfn.XMATCH("P",Statut_biogéographique!A:A,2,1),"P")</f>
        <v>P</v>
      </c>
      <c r="AM19731" s="4" t="s">
        <v>375</v>
      </c>
      <c r="AN19731" s="4" t="s">
        <v>375</v>
      </c>
      <c r="AO19731" s="4" t="s">
        <v>375</v>
      </c>
      <c r="AP19731" s="4" t="s">
        <v>376</v>
      </c>
      <c r="AR19731" s="4" t="s">
        <v>377</v>
      </c>
    </row>
    <row r="19732" spans="1:44" ht="45">
      <c r="A19732" s="4" t="s">
        <v>24364</v>
      </c>
      <c r="B19732" s="4">
        <v>100120</v>
      </c>
      <c r="D19732" s="5" t="s">
        <v>24391</v>
      </c>
      <c r="E19732" s="6" t="str">
        <f>HYPERLINK("https://inpn.mnhn.fr/espece/cd_nom/100120","Geranium phaeum L., 1753")</f>
        <v>Geranium phaeum L., 1753</v>
      </c>
      <c r="F19732" s="5" t="s">
        <v>24392</v>
      </c>
      <c r="Q19732" s="7" t="str">
        <f>HYPERLINK("#Liste_rouge!A"&amp;_xlfn.XMATCH("LC",Liste_rouge!A:A,2,1),"LC")</f>
        <v>LC</v>
      </c>
      <c r="T19732" s="7" t="str">
        <f>HYPERLINK("#Liste_rouge!A"&amp;_xlfn.XMATCH("NA",Liste_rouge!A:A,2,1),"NA")</f>
        <v>NA</v>
      </c>
      <c r="AH19732" s="4" t="str">
        <f>HYPERLINK("#Statut_biogéographique!A"&amp;_xlfn.XMATCH("P",Statut_biogéographique!A:A,2,1),"P")</f>
        <v>P</v>
      </c>
      <c r="AP19732" s="4" t="s">
        <v>376</v>
      </c>
      <c r="AR19732" s="4" t="s">
        <v>377</v>
      </c>
    </row>
    <row r="19733" spans="1:44" ht="30">
      <c r="A19733" s="4" t="s">
        <v>24364</v>
      </c>
      <c r="B19733" s="4">
        <v>100128</v>
      </c>
      <c r="D19733" s="5" t="s">
        <v>24393</v>
      </c>
      <c r="E19733" s="6" t="str">
        <f>HYPERLINK("https://inpn.mnhn.fr/espece/cd_nom/100128","Geranium pratense L., 1753")</f>
        <v>Geranium pratense L., 1753</v>
      </c>
      <c r="F19733" s="5" t="s">
        <v>24394</v>
      </c>
      <c r="Q19733" s="7" t="str">
        <f>HYPERLINK("#Liste_rouge!A"&amp;_xlfn.XMATCH("LC",Liste_rouge!A:A,2,1),"LC")</f>
        <v>LC</v>
      </c>
      <c r="T19733" s="7" t="str">
        <f>HYPERLINK("#Liste_rouge!A"&amp;_xlfn.XMATCH("NA",Liste_rouge!A:A,2,1),"NA")</f>
        <v>NA</v>
      </c>
      <c r="V19733" s="7" t="str">
        <f>HYPERLINK("#Liste_rouge!A"&amp;_xlfn.XMATCH("LC",Liste_rouge!A:A,2,1),"LC")</f>
        <v>LC</v>
      </c>
      <c r="AH19733" s="4" t="str">
        <f>HYPERLINK("#Statut_biogéographique!A"&amp;_xlfn.XMATCH("P",Statut_biogéographique!A:A,2,1),"P")</f>
        <v>P</v>
      </c>
      <c r="AM19733" s="4" t="s">
        <v>375</v>
      </c>
      <c r="AN19733" s="4" t="s">
        <v>375</v>
      </c>
      <c r="AO19733" s="4" t="s">
        <v>375</v>
      </c>
      <c r="AP19733" s="4" t="s">
        <v>376</v>
      </c>
      <c r="AR19733" s="4" t="s">
        <v>377</v>
      </c>
    </row>
    <row r="19734" spans="1:44" ht="75">
      <c r="A19734" s="4" t="s">
        <v>24364</v>
      </c>
      <c r="B19734" s="4">
        <v>100132</v>
      </c>
      <c r="D19734" s="5" t="s">
        <v>24395</v>
      </c>
      <c r="E19734" s="6" t="str">
        <f>HYPERLINK("https://inpn.mnhn.fr/espece/cd_nom/100132","Geranium purpureum Vill., 1786")</f>
        <v>Geranium purpureum Vill., 1786</v>
      </c>
      <c r="F19734" s="5" t="s">
        <v>24396</v>
      </c>
      <c r="Q19734" s="7" t="str">
        <f>HYPERLINK("#Liste_rouge!A"&amp;_xlfn.XMATCH("LC",Liste_rouge!A:A,2,1),"LC")</f>
        <v>LC</v>
      </c>
      <c r="T19734" s="7" t="str">
        <f>HYPERLINK("#Liste_rouge!A"&amp;_xlfn.XMATCH("EN",Liste_rouge!A:A,2,1),"EN")</f>
        <v>EN</v>
      </c>
      <c r="U19734" s="4" t="str">
        <f>HYPERLINK("#Critères_liste_rouge!A$1","D1")</f>
        <v>D1</v>
      </c>
      <c r="AB19734" s="4" t="s">
        <v>24397</v>
      </c>
      <c r="AH19734" s="4" t="str">
        <f>HYPERLINK("#Statut_biogéographique!A"&amp;_xlfn.XMATCH("P",Statut_biogéographique!A:A,2,1),"P")</f>
        <v>P</v>
      </c>
      <c r="AM19734" s="4" t="s">
        <v>375</v>
      </c>
      <c r="AN19734" s="4" t="s">
        <v>375</v>
      </c>
      <c r="AO19734" s="4" t="s">
        <v>375</v>
      </c>
      <c r="AP19734" s="4" t="s">
        <v>376</v>
      </c>
      <c r="AR19734" s="4" t="s">
        <v>377</v>
      </c>
    </row>
    <row r="19735" spans="1:44" ht="45">
      <c r="A19735" s="4" t="s">
        <v>24364</v>
      </c>
      <c r="B19735" s="4">
        <v>100133</v>
      </c>
      <c r="D19735" s="5" t="s">
        <v>24398</v>
      </c>
      <c r="E19735" s="6" t="str">
        <f>HYPERLINK("https://inpn.mnhn.fr/espece/cd_nom/100133","Geranium pusillum L., 1759")</f>
        <v>Geranium pusillum L., 1759</v>
      </c>
      <c r="F19735" s="5" t="s">
        <v>24399</v>
      </c>
      <c r="Q19735" s="7" t="str">
        <f>HYPERLINK("#Liste_rouge!A"&amp;_xlfn.XMATCH("LC",Liste_rouge!A:A,2,1),"LC")</f>
        <v>LC</v>
      </c>
      <c r="T19735" s="7" t="str">
        <f>HYPERLINK("#Liste_rouge!A"&amp;_xlfn.XMATCH("LC",Liste_rouge!A:A,2,1),"LC")</f>
        <v>LC</v>
      </c>
      <c r="V19735" s="7" t="str">
        <f>HYPERLINK("#Liste_rouge!A"&amp;_xlfn.XMATCH("LC",Liste_rouge!A:A,2,1),"LC")</f>
        <v>LC</v>
      </c>
      <c r="AH19735" s="4" t="str">
        <f>HYPERLINK("#Statut_biogéographique!A"&amp;_xlfn.XMATCH("P",Statut_biogéographique!A:A,2,1),"P")</f>
        <v>P</v>
      </c>
      <c r="AM19735" s="4" t="s">
        <v>375</v>
      </c>
      <c r="AN19735" s="4" t="s">
        <v>375</v>
      </c>
      <c r="AO19735" s="4" t="s">
        <v>375</v>
      </c>
      <c r="AP19735" s="4" t="s">
        <v>376</v>
      </c>
      <c r="AR19735" s="4" t="s">
        <v>377</v>
      </c>
    </row>
    <row r="19736" spans="1:44" ht="30">
      <c r="A19736" s="4" t="s">
        <v>24364</v>
      </c>
      <c r="B19736" s="4">
        <v>100136</v>
      </c>
      <c r="D19736" s="5">
        <v>100136</v>
      </c>
      <c r="E19736" s="6" t="str">
        <f>HYPERLINK("https://inpn.mnhn.fr/espece/cd_nom/100136","Geranium pyrenaicum Burm.f., 1759 [nom. et typ. cons.]")</f>
        <v>Geranium pyrenaicum Burm.f., 1759 [nom. et typ. cons.]</v>
      </c>
      <c r="F19736" s="5" t="s">
        <v>24400</v>
      </c>
      <c r="Q19736" s="7" t="str">
        <f>HYPERLINK("#Liste_rouge!A"&amp;_xlfn.XMATCH("LC",Liste_rouge!A:A,2,1),"LC")</f>
        <v>LC</v>
      </c>
      <c r="T19736" s="7" t="str">
        <f>HYPERLINK("#Liste_rouge!A"&amp;_xlfn.XMATCH("LC",Liste_rouge!A:A,2,1),"LC")</f>
        <v>LC</v>
      </c>
      <c r="V19736" s="7" t="str">
        <f>HYPERLINK("#Liste_rouge!A"&amp;_xlfn.XMATCH("LC",Liste_rouge!A:A,2,1),"LC")</f>
        <v>LC</v>
      </c>
      <c r="AH19736" s="4" t="str">
        <f>HYPERLINK("#Statut_biogéographique!A"&amp;_xlfn.XMATCH("P",Statut_biogéographique!A:A,2,1),"P")</f>
        <v>P</v>
      </c>
      <c r="AM19736" s="4" t="s">
        <v>375</v>
      </c>
      <c r="AN19736" s="4" t="s">
        <v>375</v>
      </c>
      <c r="AO19736" s="4" t="s">
        <v>375</v>
      </c>
      <c r="AP19736" s="4" t="s">
        <v>376</v>
      </c>
      <c r="AR19736" s="4" t="s">
        <v>377</v>
      </c>
    </row>
    <row r="19737" spans="1:44" ht="30">
      <c r="A19737" s="4" t="s">
        <v>24364</v>
      </c>
      <c r="B19737" s="4">
        <v>100142</v>
      </c>
      <c r="D19737" s="5" t="s">
        <v>24401</v>
      </c>
      <c r="E19737" s="6" t="str">
        <f>HYPERLINK("https://inpn.mnhn.fr/espece/cd_nom/100142","Geranium robertianum L., 1753")</f>
        <v>Geranium robertianum L., 1753</v>
      </c>
      <c r="F19737" s="5" t="s">
        <v>24402</v>
      </c>
      <c r="Q19737" s="7" t="str">
        <f>HYPERLINK("#Liste_rouge!A"&amp;_xlfn.XMATCH("LC",Liste_rouge!A:A,2,1),"LC")</f>
        <v>LC</v>
      </c>
      <c r="T19737" s="7" t="str">
        <f>HYPERLINK("#Liste_rouge!A"&amp;_xlfn.XMATCH("LC",Liste_rouge!A:A,2,1),"LC")</f>
        <v>LC</v>
      </c>
      <c r="V19737" s="7" t="str">
        <f>HYPERLINK("#Liste_rouge!A"&amp;_xlfn.XMATCH("LC",Liste_rouge!A:A,2,1),"LC")</f>
        <v>LC</v>
      </c>
      <c r="AH19737" s="4" t="str">
        <f>HYPERLINK("#Statut_biogéographique!A"&amp;_xlfn.XMATCH("P",Statut_biogéographique!A:A,2,1),"P")</f>
        <v>P</v>
      </c>
      <c r="AM19737" s="4" t="s">
        <v>375</v>
      </c>
      <c r="AN19737" s="4" t="s">
        <v>375</v>
      </c>
      <c r="AO19737" s="4" t="s">
        <v>375</v>
      </c>
      <c r="AP19737" s="4" t="s">
        <v>376</v>
      </c>
      <c r="AR19737" s="4" t="s">
        <v>377</v>
      </c>
    </row>
    <row r="19738" spans="1:44" ht="30">
      <c r="A19738" s="4" t="s">
        <v>24364</v>
      </c>
      <c r="B19738" s="4">
        <v>100144</v>
      </c>
      <c r="D19738" s="5" t="s">
        <v>24403</v>
      </c>
      <c r="E19738" s="6" t="str">
        <f>HYPERLINK("https://inpn.mnhn.fr/espece/cd_nom/100144","Geranium rotundifolium L., 1753")</f>
        <v>Geranium rotundifolium L., 1753</v>
      </c>
      <c r="F19738" s="5" t="s">
        <v>24404</v>
      </c>
      <c r="Q19738" s="7" t="str">
        <f>HYPERLINK("#Liste_rouge!A"&amp;_xlfn.XMATCH("LC",Liste_rouge!A:A,2,1),"LC")</f>
        <v>LC</v>
      </c>
      <c r="T19738" s="7" t="str">
        <f>HYPERLINK("#Liste_rouge!A"&amp;_xlfn.XMATCH("LC",Liste_rouge!A:A,2,1),"LC")</f>
        <v>LC</v>
      </c>
      <c r="V19738" s="7" t="str">
        <f>HYPERLINK("#Liste_rouge!A"&amp;_xlfn.XMATCH("LC",Liste_rouge!A:A,2,1),"LC")</f>
        <v>LC</v>
      </c>
      <c r="AH19738" s="4" t="str">
        <f>HYPERLINK("#Statut_biogéographique!A"&amp;_xlfn.XMATCH("P",Statut_biogéographique!A:A,2,1),"P")</f>
        <v>P</v>
      </c>
      <c r="AM19738" s="4" t="s">
        <v>375</v>
      </c>
      <c r="AN19738" s="4" t="s">
        <v>375</v>
      </c>
      <c r="AO19738" s="4" t="s">
        <v>375</v>
      </c>
      <c r="AP19738" s="4" t="s">
        <v>376</v>
      </c>
      <c r="AR19738" s="4" t="s">
        <v>377</v>
      </c>
    </row>
    <row r="19739" spans="1:44" ht="30">
      <c r="A19739" s="4" t="s">
        <v>24364</v>
      </c>
      <c r="B19739" s="4">
        <v>100149</v>
      </c>
      <c r="D19739" s="5" t="s">
        <v>24405</v>
      </c>
      <c r="E19739" s="6" t="str">
        <f>HYPERLINK("https://inpn.mnhn.fr/espece/cd_nom/100149","Geranium sanguineum L., 1753")</f>
        <v>Geranium sanguineum L., 1753</v>
      </c>
      <c r="F19739" s="5" t="s">
        <v>24406</v>
      </c>
      <c r="P19739" s="7" t="str">
        <f>HYPERLINK("#Liste_rouge!A"&amp;_xlfn.XMATCH("LC",Liste_rouge!A:A,2,1),"LC")</f>
        <v>LC</v>
      </c>
      <c r="Q19739" s="7" t="str">
        <f>HYPERLINK("#Liste_rouge!A"&amp;_xlfn.XMATCH("LC",Liste_rouge!A:A,2,1),"LC")</f>
        <v>LC</v>
      </c>
      <c r="T19739" s="7" t="str">
        <f>HYPERLINK("#Liste_rouge!A"&amp;_xlfn.XMATCH("LC",Liste_rouge!A:A,2,1),"LC")</f>
        <v>LC</v>
      </c>
      <c r="V19739" s="7" t="str">
        <f>HYPERLINK("#Liste_rouge!A"&amp;_xlfn.XMATCH("LC",Liste_rouge!A:A,2,1),"LC")</f>
        <v>LC</v>
      </c>
      <c r="AB19739" s="4" t="s">
        <v>24407</v>
      </c>
      <c r="AH19739" s="4" t="str">
        <f>HYPERLINK("#Statut_biogéographique!A"&amp;_xlfn.XMATCH("P",Statut_biogéographique!A:A,2,1),"P")</f>
        <v>P</v>
      </c>
      <c r="AM19739" s="4" t="s">
        <v>375</v>
      </c>
      <c r="AN19739" s="4" t="s">
        <v>375</v>
      </c>
      <c r="AO19739" s="4" t="s">
        <v>375</v>
      </c>
      <c r="AP19739" s="4" t="s">
        <v>376</v>
      </c>
      <c r="AR19739" s="4" t="s">
        <v>377</v>
      </c>
    </row>
    <row r="19740" spans="1:44" ht="45">
      <c r="A19740" s="4" t="s">
        <v>24364</v>
      </c>
      <c r="B19740" s="4">
        <v>100160</v>
      </c>
      <c r="D19740" s="5" t="s">
        <v>24408</v>
      </c>
      <c r="E19740" s="6" t="str">
        <f>HYPERLINK("https://inpn.mnhn.fr/espece/cd_nom/100160","Geranium sylvaticum L., 1753")</f>
        <v>Geranium sylvaticum L., 1753</v>
      </c>
      <c r="F19740" s="5" t="s">
        <v>24409</v>
      </c>
      <c r="Q19740" s="7" t="str">
        <f>HYPERLINK("#Liste_rouge!A"&amp;_xlfn.XMATCH("LC",Liste_rouge!A:A,2,1),"LC")</f>
        <v>LC</v>
      </c>
      <c r="T19740" s="7" t="str">
        <f>HYPERLINK("#Liste_rouge!A"&amp;_xlfn.XMATCH("NA",Liste_rouge!A:A,2,1),"NA")</f>
        <v>NA</v>
      </c>
      <c r="V19740" s="7" t="str">
        <f>HYPERLINK("#Liste_rouge!A"&amp;_xlfn.XMATCH("LC",Liste_rouge!A:A,2,1),"LC")</f>
        <v>LC</v>
      </c>
      <c r="AB19740" s="4" t="s">
        <v>24410</v>
      </c>
      <c r="AH19740" s="4" t="str">
        <f>HYPERLINK("#Statut_biogéographique!A"&amp;_xlfn.XMATCH("P",Statut_biogéographique!A:A,2,1),"P")</f>
        <v>P</v>
      </c>
      <c r="AM19740" s="4" t="s">
        <v>375</v>
      </c>
      <c r="AN19740" s="4" t="s">
        <v>375</v>
      </c>
      <c r="AO19740" s="4" t="s">
        <v>375</v>
      </c>
      <c r="AP19740" s="4" t="s">
        <v>376</v>
      </c>
      <c r="AR19740" s="4" t="s">
        <v>377</v>
      </c>
    </row>
    <row r="19741" spans="1:44">
      <c r="A19741" s="4" t="s">
        <v>24364</v>
      </c>
      <c r="B19741" s="4">
        <v>100181</v>
      </c>
      <c r="D19741" s="5">
        <v>100181</v>
      </c>
      <c r="E19741" s="6" t="str">
        <f>HYPERLINK("https://inpn.mnhn.fr/espece/cd_nom/100181","Geranium x oxonianum Yeo, 1985")</f>
        <v>Geranium x oxonianum Yeo, 1985</v>
      </c>
      <c r="F19741" s="5" t="s">
        <v>24411</v>
      </c>
      <c r="T19741" s="7" t="str">
        <f>HYPERLINK("#Liste_rouge!A"&amp;_xlfn.XMATCH("NA",Liste_rouge!A:A,2,1),"NA")</f>
        <v>NA</v>
      </c>
      <c r="AH19741" s="4" t="str">
        <f>HYPERLINK("#Statut_biogéographique!A"&amp;_xlfn.XMATCH("I",Statut_biogéographique!A:A,2,1),"I")</f>
        <v>I</v>
      </c>
      <c r="AP19741" s="4" t="s">
        <v>376</v>
      </c>
      <c r="AR19741" s="4" t="s">
        <v>377</v>
      </c>
    </row>
    <row r="19742" spans="1:44" ht="30">
      <c r="A19742" s="4" t="s">
        <v>24364</v>
      </c>
      <c r="B19742" s="4">
        <v>1001990</v>
      </c>
      <c r="D19742" s="5" t="s">
        <v>24412</v>
      </c>
      <c r="E19742" s="6" t="str">
        <f>HYPERLINK("https://inpn.mnhn.fr/espece/cd_nom/1001990","Sabulina tenuifolia subsp. tenuifolia (L.) Rchb., 1832")</f>
        <v>Sabulina tenuifolia subsp. tenuifolia (L.) Rchb., 1832</v>
      </c>
      <c r="F19742" s="5" t="s">
        <v>24413</v>
      </c>
      <c r="Q19742" s="7" t="str">
        <f>HYPERLINK("#Liste_rouge!A"&amp;_xlfn.XMATCH("LC",Liste_rouge!A:A,2,1),"LC")</f>
        <v>LC</v>
      </c>
      <c r="T19742" s="7" t="str">
        <f>HYPERLINK("#Liste_rouge!A"&amp;_xlfn.XMATCH("LC",Liste_rouge!A:A,2,1),"LC")</f>
        <v>LC</v>
      </c>
      <c r="AH19742" s="4" t="str">
        <f>HYPERLINK("#Statut_biogéographique!A"&amp;_xlfn.XMATCH("P",Statut_biogéographique!A:A,2,1),"P")</f>
        <v>P</v>
      </c>
      <c r="AP19742" s="4" t="s">
        <v>376</v>
      </c>
      <c r="AR19742" s="4" t="s">
        <v>377</v>
      </c>
    </row>
    <row r="19743" spans="1:44" ht="45">
      <c r="A19743" s="4" t="s">
        <v>24364</v>
      </c>
      <c r="B19743" s="4">
        <v>1001991</v>
      </c>
      <c r="D19743" s="5" t="s">
        <v>24414</v>
      </c>
      <c r="E19743" s="6" t="str">
        <f>HYPERLINK("https://inpn.mnhn.fr/espece/cd_nom/1001991","Sabulina tenuifolia subsp. hybrida (Vill.) Dillenb., 2016")</f>
        <v>Sabulina tenuifolia subsp. hybrida (Vill.) Dillenb., 2016</v>
      </c>
      <c r="F19743" s="5" t="s">
        <v>24415</v>
      </c>
      <c r="Q19743" s="7" t="str">
        <f>HYPERLINK("#Liste_rouge!A"&amp;_xlfn.XMATCH("LC",Liste_rouge!A:A,2,1),"LC")</f>
        <v>LC</v>
      </c>
      <c r="T19743" s="7" t="str">
        <f>HYPERLINK("#Liste_rouge!A"&amp;_xlfn.XMATCH("NE",Liste_rouge!A:A,2,1),"NE")</f>
        <v>NE</v>
      </c>
      <c r="AH19743" s="4" t="str">
        <f>HYPERLINK("#Statut_biogéographique!A"&amp;_xlfn.XMATCH("P",Statut_biogéographique!A:A,2,1),"P")</f>
        <v>P</v>
      </c>
      <c r="AM19743" s="4" t="s">
        <v>375</v>
      </c>
      <c r="AN19743" s="4" t="s">
        <v>375</v>
      </c>
      <c r="AO19743" s="4" t="s">
        <v>375</v>
      </c>
      <c r="AP19743" s="4" t="s">
        <v>376</v>
      </c>
      <c r="AR19743" s="4" t="s">
        <v>377</v>
      </c>
    </row>
    <row r="19744" spans="1:44" ht="30">
      <c r="A19744" s="4" t="s">
        <v>24364</v>
      </c>
      <c r="B19744" s="4">
        <v>100215</v>
      </c>
      <c r="D19744" s="5" t="s">
        <v>24416</v>
      </c>
      <c r="E19744" s="6" t="str">
        <f>HYPERLINK("https://inpn.mnhn.fr/espece/cd_nom/100215","Geum rivale L., 1753")</f>
        <v>Geum rivale L., 1753</v>
      </c>
      <c r="F19744" s="5" t="s">
        <v>24417</v>
      </c>
      <c r="Q19744" s="7" t="str">
        <f>HYPERLINK("#Liste_rouge!A"&amp;_xlfn.XMATCH("LC",Liste_rouge!A:A,2,1),"LC")</f>
        <v>LC</v>
      </c>
      <c r="T19744" s="7" t="str">
        <f>HYPERLINK("#Liste_rouge!A"&amp;_xlfn.XMATCH("VU",Liste_rouge!A:A,2,1),"VU")</f>
        <v>VU</v>
      </c>
      <c r="U19744" s="4" t="str">
        <f>HYPERLINK("#Critères_liste_rouge!A$1","D1")</f>
        <v>D1</v>
      </c>
      <c r="V19744" s="7" t="str">
        <f>HYPERLINK("#Liste_rouge!A"&amp;_xlfn.XMATCH("LC",Liste_rouge!A:A,2,1),"LC")</f>
        <v>LC</v>
      </c>
      <c r="AB19744" s="4" t="s">
        <v>24418</v>
      </c>
      <c r="AH19744" s="4" t="str">
        <f>HYPERLINK("#Statut_biogéographique!A"&amp;_xlfn.XMATCH("P",Statut_biogéographique!A:A,2,1),"P")</f>
        <v>P</v>
      </c>
      <c r="AM19744" s="4" t="s">
        <v>375</v>
      </c>
      <c r="AN19744" s="4" t="s">
        <v>375</v>
      </c>
      <c r="AO19744" s="4" t="s">
        <v>375</v>
      </c>
      <c r="AP19744" s="4" t="s">
        <v>376</v>
      </c>
      <c r="AR19744" s="4" t="s">
        <v>377</v>
      </c>
    </row>
    <row r="19745" spans="1:44" ht="45">
      <c r="A19745" s="4" t="s">
        <v>24364</v>
      </c>
      <c r="B19745" s="4">
        <v>100225</v>
      </c>
      <c r="D19745" s="5" t="s">
        <v>24419</v>
      </c>
      <c r="E19745" s="6" t="str">
        <f>HYPERLINK("https://inpn.mnhn.fr/espece/cd_nom/100225","Geum urbanum L., 1753")</f>
        <v>Geum urbanum L., 1753</v>
      </c>
      <c r="F19745" s="5" t="s">
        <v>24420</v>
      </c>
      <c r="P19745" s="7" t="str">
        <f>HYPERLINK("#Liste_rouge!A"&amp;_xlfn.XMATCH("LC",Liste_rouge!A:A,2,1),"LC")</f>
        <v>LC</v>
      </c>
      <c r="Q19745" s="7" t="str">
        <f>HYPERLINK("#Liste_rouge!A"&amp;_xlfn.XMATCH("LC",Liste_rouge!A:A,2,1),"LC")</f>
        <v>LC</v>
      </c>
      <c r="T19745" s="7" t="str">
        <f>HYPERLINK("#Liste_rouge!A"&amp;_xlfn.XMATCH("LC",Liste_rouge!A:A,2,1),"LC")</f>
        <v>LC</v>
      </c>
      <c r="V19745" s="7" t="str">
        <f>HYPERLINK("#Liste_rouge!A"&amp;_xlfn.XMATCH("LC",Liste_rouge!A:A,2,1),"LC")</f>
        <v>LC</v>
      </c>
      <c r="AH19745" s="4" t="str">
        <f>HYPERLINK("#Statut_biogéographique!A"&amp;_xlfn.XMATCH("P",Statut_biogéographique!A:A,2,1),"P")</f>
        <v>P</v>
      </c>
      <c r="AM19745" s="4" t="s">
        <v>375</v>
      </c>
      <c r="AN19745" s="4" t="s">
        <v>375</v>
      </c>
      <c r="AO19745" s="4" t="s">
        <v>375</v>
      </c>
      <c r="AP19745" s="4" t="s">
        <v>376</v>
      </c>
      <c r="AR19745" s="4" t="s">
        <v>377</v>
      </c>
    </row>
    <row r="19746" spans="1:44">
      <c r="A19746" s="4" t="s">
        <v>24364</v>
      </c>
      <c r="B19746" s="4">
        <v>100230</v>
      </c>
      <c r="D19746" s="5" t="s">
        <v>24421</v>
      </c>
      <c r="E19746" s="6" t="str">
        <f>HYPERLINK("https://inpn.mnhn.fr/espece/cd_nom/100230","Geum x intermedium Ehrh., 1791")</f>
        <v>Geum x intermedium Ehrh., 1791</v>
      </c>
      <c r="F19746" s="5" t="s">
        <v>24422</v>
      </c>
      <c r="T19746" s="7" t="str">
        <f>HYPERLINK("#Liste_rouge!A"&amp;_xlfn.XMATCH("NE",Liste_rouge!A:A,2,1),"NE")</f>
        <v>NE</v>
      </c>
      <c r="AH19746" s="4" t="str">
        <f>HYPERLINK("#Statut_biogéographique!A"&amp;_xlfn.XMATCH("P",Statut_biogéographique!A:A,2,1),"P")</f>
        <v>P</v>
      </c>
      <c r="AP19746" s="4" t="s">
        <v>376</v>
      </c>
      <c r="AR19746" s="4" t="s">
        <v>377</v>
      </c>
    </row>
    <row r="19747" spans="1:44" ht="30">
      <c r="A19747" s="4" t="s">
        <v>24364</v>
      </c>
      <c r="B19747" s="4">
        <v>100236</v>
      </c>
      <c r="D19747" s="5" t="s">
        <v>24423</v>
      </c>
      <c r="E19747" s="6" t="str">
        <f>HYPERLINK("https://inpn.mnhn.fr/espece/cd_nom/100236","Geum x sudeticum Tausch, 1823")</f>
        <v>Geum x sudeticum Tausch, 1823</v>
      </c>
      <c r="F19747" s="5" t="s">
        <v>24424</v>
      </c>
      <c r="AH19747" s="4" t="str">
        <f>HYPERLINK("#Statut_biogéographique!A"&amp;_xlfn.XMATCH("P",Statut_biogéographique!A:A,2,1),"P")</f>
        <v>P</v>
      </c>
      <c r="AP19747" s="4" t="s">
        <v>376</v>
      </c>
      <c r="AR19747" s="4" t="s">
        <v>377</v>
      </c>
    </row>
    <row r="19748" spans="1:44">
      <c r="A19748" s="4" t="s">
        <v>24364</v>
      </c>
      <c r="B19748" s="4">
        <v>1002564</v>
      </c>
      <c r="D19748" s="5" t="s">
        <v>24425</v>
      </c>
      <c r="E19748" s="6" t="str">
        <f>HYPERLINK("https://inpn.mnhn.fr/espece/cd_nom/1002564","Linaria supina var. maritima (DC.) Duby, 1828")</f>
        <v>Linaria supina var. maritima (DC.) Duby, 1828</v>
      </c>
      <c r="F19748" s="5" t="s">
        <v>24426</v>
      </c>
      <c r="T19748" s="7" t="str">
        <f>HYPERLINK("#Liste_rouge!A"&amp;_xlfn.XMATCH("NA",Liste_rouge!A:A,2,1),"NA")</f>
        <v>NA</v>
      </c>
      <c r="AH19748" s="4" t="str">
        <f>HYPERLINK("#Statut_biogéographique!A"&amp;_xlfn.XMATCH("P",Statut_biogéographique!A:A,2,1),"P")</f>
        <v>P</v>
      </c>
      <c r="AP19748" s="4" t="s">
        <v>376</v>
      </c>
      <c r="AR19748" s="4" t="s">
        <v>377</v>
      </c>
    </row>
    <row r="19749" spans="1:44">
      <c r="A19749" s="4" t="s">
        <v>24364</v>
      </c>
      <c r="B19749" s="4">
        <v>100278</v>
      </c>
      <c r="D19749" s="5" t="s">
        <v>24427</v>
      </c>
      <c r="E19749" s="6" t="str">
        <f>HYPERLINK("https://inpn.mnhn.fr/espece/cd_nom/100278","Gladiolus palustris Gaudin, 1828")</f>
        <v>Gladiolus palustris Gaudin, 1828</v>
      </c>
      <c r="F19749" s="5" t="s">
        <v>24428</v>
      </c>
      <c r="K19749" s="4" t="str">
        <f>HYPERLINK("#Réglementation!A"&amp;_xlfn.XMATCH("CDH2",Réglementation!A:A,2,1),"CDH2 - CDH4")</f>
        <v>CDH2 - CDH4</v>
      </c>
      <c r="L19749" s="4" t="str">
        <f>HYPERLINK("#Réglementation!A"&amp;_xlfn.XMATCH("NV1",Réglementation!A:A,2,1),"NV1")</f>
        <v>NV1</v>
      </c>
      <c r="O19749" s="7" t="str">
        <f>HYPERLINK("#Liste_rouge!A"&amp;_xlfn.XMATCH("DD",Liste_rouge!A:A,2,1),"DD")</f>
        <v>DD</v>
      </c>
      <c r="P19749" s="7" t="str">
        <f>HYPERLINK("#Liste_rouge!A"&amp;_xlfn.XMATCH("DD",Liste_rouge!A:A,2,1),"DD")</f>
        <v>DD</v>
      </c>
      <c r="Q19749" s="7" t="str">
        <f>HYPERLINK("#Liste_rouge!A"&amp;_xlfn.XMATCH("VU",Liste_rouge!A:A,2,1),"VU")</f>
        <v>VU</v>
      </c>
      <c r="V19749" s="7" t="str">
        <f>HYPERLINK("#Liste_rouge!A"&amp;_xlfn.XMATCH("VU",Liste_rouge!A:A,2,1),"VU")</f>
        <v>VU</v>
      </c>
      <c r="W19749" s="4" t="str">
        <f>HYPERLINK("#Critères_liste_rouge!A$1","D2")</f>
        <v>D2</v>
      </c>
      <c r="X19749" s="5" t="s">
        <v>374</v>
      </c>
      <c r="AB19749" s="4" t="s">
        <v>93</v>
      </c>
      <c r="AD19749" s="4" t="s">
        <v>11319</v>
      </c>
      <c r="AE19749" s="4" t="str">
        <f>HYPERLINK("#SCAP!A"&amp;_xlfn.XMATCH("1+",SCAP!A:A,2,1),"1+")</f>
        <v>1+</v>
      </c>
      <c r="AG19749" s="4" t="str">
        <f>HYPERLINK("#SCAP!A"&amp;_xlfn.XMATCH("1+",SCAP!A:A,2,1),"1+")</f>
        <v>1+</v>
      </c>
      <c r="AH19749" s="4" t="str">
        <f>HYPERLINK("#Statut_biogéographique!A"&amp;_xlfn.XMATCH("P",Statut_biogéographique!A:A,2,1),"P")</f>
        <v>P</v>
      </c>
      <c r="AM19749" s="4" t="s">
        <v>375</v>
      </c>
      <c r="AN19749" s="4" t="s">
        <v>375</v>
      </c>
      <c r="AO19749" s="4" t="s">
        <v>375</v>
      </c>
      <c r="AP19749" s="4" t="s">
        <v>389</v>
      </c>
      <c r="AR19749" s="4" t="s">
        <v>377</v>
      </c>
    </row>
    <row r="19750" spans="1:44" ht="60">
      <c r="A19750" s="4" t="s">
        <v>24364</v>
      </c>
      <c r="B19750" s="4">
        <v>100288</v>
      </c>
      <c r="D19750" s="5" t="s">
        <v>24429</v>
      </c>
      <c r="E19750" s="6" t="str">
        <f>HYPERLINK("https://inpn.mnhn.fr/espece/cd_nom/100288","Glaucium corniculatum (L.) Rudolph, 1781")</f>
        <v>Glaucium corniculatum (L.) Rudolph, 1781</v>
      </c>
      <c r="F19750" s="5" t="s">
        <v>24430</v>
      </c>
      <c r="Q19750" s="7" t="str">
        <f>HYPERLINK("#Liste_rouge!A"&amp;_xlfn.XMATCH("NT",Liste_rouge!A:A,2,1),"NT")</f>
        <v>NT</v>
      </c>
      <c r="T19750" s="7" t="str">
        <f>HYPERLINK("#Liste_rouge!A"&amp;_xlfn.XMATCH("NA",Liste_rouge!A:A,2,1),"NA")</f>
        <v>NA</v>
      </c>
      <c r="AE19750" s="4" t="str">
        <f>HYPERLINK("#SCAP!A"&amp;_xlfn.XMATCH("A",SCAP!A:A,2,1),"A")</f>
        <v>A</v>
      </c>
      <c r="AH19750" s="4" t="str">
        <f>HYPERLINK("#Statut_biogéographique!A"&amp;_xlfn.XMATCH("P",Statut_biogéographique!A:A,2,1),"P")</f>
        <v>P</v>
      </c>
      <c r="AI19750" s="8" t="s">
        <v>24431</v>
      </c>
      <c r="AJ19750" s="4" t="s">
        <v>12248</v>
      </c>
      <c r="AP19750" s="4" t="s">
        <v>376</v>
      </c>
      <c r="AR19750" s="4" t="s">
        <v>377</v>
      </c>
    </row>
    <row r="19751" spans="1:44" ht="30">
      <c r="A19751" s="4" t="s">
        <v>24364</v>
      </c>
      <c r="B19751" s="4">
        <v>100289</v>
      </c>
      <c r="D19751" s="5" t="s">
        <v>24432</v>
      </c>
      <c r="E19751" s="6" t="str">
        <f>HYPERLINK("https://inpn.mnhn.fr/espece/cd_nom/100289","Glaucium flavum Crantz, 1763")</f>
        <v>Glaucium flavum Crantz, 1763</v>
      </c>
      <c r="F19751" s="5" t="s">
        <v>24433</v>
      </c>
      <c r="P19751" s="7" t="str">
        <f>HYPERLINK("#Liste_rouge!A"&amp;_xlfn.XMATCH("LC",Liste_rouge!A:A,2,1),"LC")</f>
        <v>LC</v>
      </c>
      <c r="Q19751" s="7" t="str">
        <f>HYPERLINK("#Liste_rouge!A"&amp;_xlfn.XMATCH("LC",Liste_rouge!A:A,2,1),"LC")</f>
        <v>LC</v>
      </c>
      <c r="T19751" s="7" t="str">
        <f>HYPERLINK("#Liste_rouge!A"&amp;_xlfn.XMATCH("NA",Liste_rouge!A:A,2,1),"NA")</f>
        <v>NA</v>
      </c>
      <c r="V19751" s="7" t="str">
        <f>HYPERLINK("#Liste_rouge!A"&amp;_xlfn.XMATCH("RE",Liste_rouge!A:A,2,1),"RE")</f>
        <v>RE</v>
      </c>
      <c r="AH19751" s="4" t="str">
        <f>HYPERLINK("#Statut_biogéographique!A"&amp;_xlfn.XMATCH("P",Statut_biogéographique!A:A,2,1),"P")</f>
        <v>P</v>
      </c>
      <c r="AM19751" s="4" t="s">
        <v>375</v>
      </c>
      <c r="AN19751" s="4" t="s">
        <v>375</v>
      </c>
      <c r="AO19751" s="4" t="s">
        <v>375</v>
      </c>
      <c r="AP19751" s="4" t="s">
        <v>376</v>
      </c>
      <c r="AR19751" s="4" t="s">
        <v>377</v>
      </c>
    </row>
    <row r="19752" spans="1:44" ht="30">
      <c r="A19752" s="4" t="s">
        <v>24364</v>
      </c>
      <c r="B19752" s="4">
        <v>100304</v>
      </c>
      <c r="D19752" s="5" t="s">
        <v>24434</v>
      </c>
      <c r="E19752" s="6" t="str">
        <f>HYPERLINK("https://inpn.mnhn.fr/espece/cd_nom/100304","Glebionis segetum (L.) Fourr., 1869")</f>
        <v>Glebionis segetum (L.) Fourr., 1869</v>
      </c>
      <c r="F19752" s="5" t="s">
        <v>24435</v>
      </c>
      <c r="Q19752" s="7" t="str">
        <f>HYPERLINK("#Liste_rouge!A"&amp;_xlfn.XMATCH("LC",Liste_rouge!A:A,2,1),"LC")</f>
        <v>LC</v>
      </c>
      <c r="T19752" s="7" t="str">
        <f>HYPERLINK("#Liste_rouge!A"&amp;_xlfn.XMATCH("CR",Liste_rouge!A:A,2,1),"CR")</f>
        <v>CR</v>
      </c>
      <c r="U19752" s="4" t="str">
        <f>HYPERLINK("#Critères_liste_rouge!A$1","B2ab(ii,iii,iv)c(iii,iv)")</f>
        <v>B2ab(ii,iii,iv)c(iii,iv)</v>
      </c>
      <c r="V19752" s="7" t="str">
        <f>HYPERLINK("#Liste_rouge!A"&amp;_xlfn.XMATCH("RE",Liste_rouge!A:A,2,1),"RE")</f>
        <v>RE</v>
      </c>
      <c r="X19752" s="5" t="s">
        <v>374</v>
      </c>
      <c r="AB19752" s="4" t="s">
        <v>93</v>
      </c>
      <c r="AH19752" s="4" t="str">
        <f>HYPERLINK("#Statut_biogéographique!A"&amp;_xlfn.XMATCH("P",Statut_biogéographique!A:A,2,1),"P")</f>
        <v>P</v>
      </c>
      <c r="AI19752" s="8" t="s">
        <v>24436</v>
      </c>
      <c r="AJ19752" s="4" t="s">
        <v>12248</v>
      </c>
      <c r="AM19752" s="4" t="s">
        <v>375</v>
      </c>
      <c r="AN19752" s="4" t="s">
        <v>375</v>
      </c>
      <c r="AO19752" s="4" t="s">
        <v>375</v>
      </c>
      <c r="AP19752" s="4" t="s">
        <v>376</v>
      </c>
      <c r="AR19752" s="4" t="s">
        <v>377</v>
      </c>
    </row>
    <row r="19753" spans="1:44" ht="75">
      <c r="A19753" s="4" t="s">
        <v>24364</v>
      </c>
      <c r="B19753" s="4">
        <v>100310</v>
      </c>
      <c r="D19753" s="5" t="s">
        <v>24437</v>
      </c>
      <c r="E19753" s="6" t="str">
        <f>HYPERLINK("https://inpn.mnhn.fr/espece/cd_nom/100310","Glechoma hederacea L., 1753")</f>
        <v>Glechoma hederacea L., 1753</v>
      </c>
      <c r="F19753" s="5" t="s">
        <v>24438</v>
      </c>
      <c r="P19753" s="7" t="str">
        <f>HYPERLINK("#Liste_rouge!A"&amp;_xlfn.XMATCH("LC",Liste_rouge!A:A,2,1),"LC")</f>
        <v>LC</v>
      </c>
      <c r="Q19753" s="7" t="str">
        <f>HYPERLINK("#Liste_rouge!A"&amp;_xlfn.XMATCH("LC",Liste_rouge!A:A,2,1),"LC")</f>
        <v>LC</v>
      </c>
      <c r="T19753" s="7" t="str">
        <f>HYPERLINK("#Liste_rouge!A"&amp;_xlfn.XMATCH("LC",Liste_rouge!A:A,2,1),"LC")</f>
        <v>LC</v>
      </c>
      <c r="V19753" s="7" t="str">
        <f>HYPERLINK("#Liste_rouge!A"&amp;_xlfn.XMATCH("LC",Liste_rouge!A:A,2,1),"LC")</f>
        <v>LC</v>
      </c>
      <c r="AH19753" s="4" t="str">
        <f>HYPERLINK("#Statut_biogéographique!A"&amp;_xlfn.XMATCH("P",Statut_biogéographique!A:A,2,1),"P")</f>
        <v>P</v>
      </c>
      <c r="AM19753" s="4" t="s">
        <v>375</v>
      </c>
      <c r="AN19753" s="4" t="s">
        <v>375</v>
      </c>
      <c r="AO19753" s="4" t="s">
        <v>375</v>
      </c>
      <c r="AP19753" s="4" t="s">
        <v>376</v>
      </c>
      <c r="AR19753" s="4" t="s">
        <v>377</v>
      </c>
    </row>
    <row r="19754" spans="1:44" ht="30">
      <c r="A19754" s="4" t="s">
        <v>24364</v>
      </c>
      <c r="B19754" s="4">
        <v>100313</v>
      </c>
      <c r="D19754" s="5" t="s">
        <v>24439</v>
      </c>
      <c r="E19754" s="6" t="str">
        <f>HYPERLINK("https://inpn.mnhn.fr/espece/cd_nom/100313","Glechoma hirsuta Waldst. &amp; Kit., 1805")</f>
        <v>Glechoma hirsuta Waldst. &amp; Kit., 1805</v>
      </c>
      <c r="F19754" s="5" t="s">
        <v>24440</v>
      </c>
      <c r="O19754" s="7" t="str">
        <f>HYPERLINK("#Liste_rouge!A"&amp;_xlfn.XMATCH("DD",Liste_rouge!A:A,2,1),"DD")</f>
        <v>DD</v>
      </c>
      <c r="P19754" s="7" t="str">
        <f>HYPERLINK("#Liste_rouge!A"&amp;_xlfn.XMATCH("DD",Liste_rouge!A:A,2,1),"DD")</f>
        <v>DD</v>
      </c>
      <c r="AH19754" s="4" t="str">
        <f>HYPERLINK("#Statut_biogéographique!A"&amp;_xlfn.XMATCH("Q",Statut_biogéographique!A:A,2,1),"Q")</f>
        <v>Q</v>
      </c>
      <c r="AP19754" s="4" t="s">
        <v>376</v>
      </c>
      <c r="AR19754" s="4" t="s">
        <v>377</v>
      </c>
    </row>
    <row r="19755" spans="1:44" ht="45">
      <c r="A19755" s="4" t="s">
        <v>24364</v>
      </c>
      <c r="B19755" s="4">
        <v>100330</v>
      </c>
      <c r="D19755" s="5" t="s">
        <v>24441</v>
      </c>
      <c r="E19755" s="6" t="str">
        <f>HYPERLINK("https://inpn.mnhn.fr/espece/cd_nom/100330","Gleditsia triacanthos L., 1753")</f>
        <v>Gleditsia triacanthos L., 1753</v>
      </c>
      <c r="F19755" s="5" t="s">
        <v>24442</v>
      </c>
      <c r="Q19755" s="7" t="str">
        <f>HYPERLINK("#Liste_rouge!A"&amp;_xlfn.XMATCH("NA",Liste_rouge!A:A,2,1),"NA")</f>
        <v>NA</v>
      </c>
      <c r="T19755" s="7" t="str">
        <f>HYPERLINK("#Liste_rouge!A"&amp;_xlfn.XMATCH("NA",Liste_rouge!A:A,2,1),"NA")</f>
        <v>NA</v>
      </c>
      <c r="AH19755" s="4" t="str">
        <f>HYPERLINK("#Statut_biogéographique!A"&amp;_xlfn.XMATCH("I",Statut_biogéographique!A:A,2,1),"I")</f>
        <v>I</v>
      </c>
      <c r="AP19755" s="4" t="s">
        <v>376</v>
      </c>
      <c r="AR19755" s="4" t="s">
        <v>377</v>
      </c>
    </row>
    <row r="19756" spans="1:44" ht="45">
      <c r="A19756" s="4" t="s">
        <v>24364</v>
      </c>
      <c r="B19756" s="4">
        <v>100338</v>
      </c>
      <c r="D19756" s="5" t="s">
        <v>24443</v>
      </c>
      <c r="E19756" s="6" t="str">
        <f>HYPERLINK("https://inpn.mnhn.fr/espece/cd_nom/100338","Globularia bisnagarica L., 1753")</f>
        <v>Globularia bisnagarica L., 1753</v>
      </c>
      <c r="F19756" s="5" t="s">
        <v>24444</v>
      </c>
      <c r="Q19756" s="7" t="str">
        <f>HYPERLINK("#Liste_rouge!A"&amp;_xlfn.XMATCH("LC",Liste_rouge!A:A,2,1),"LC")</f>
        <v>LC</v>
      </c>
      <c r="T19756" s="7" t="str">
        <f>HYPERLINK("#Liste_rouge!A"&amp;_xlfn.XMATCH("LC",Liste_rouge!A:A,2,1),"LC")</f>
        <v>LC</v>
      </c>
      <c r="V19756" s="7" t="str">
        <f>HYPERLINK("#Liste_rouge!A"&amp;_xlfn.XMATCH("LC",Liste_rouge!A:A,2,1),"LC")</f>
        <v>LC</v>
      </c>
      <c r="AH19756" s="4" t="str">
        <f>HYPERLINK("#Statut_biogéographique!A"&amp;_xlfn.XMATCH("P",Statut_biogéographique!A:A,2,1),"P")</f>
        <v>P</v>
      </c>
      <c r="AM19756" s="4" t="s">
        <v>375</v>
      </c>
      <c r="AN19756" s="4" t="s">
        <v>375</v>
      </c>
      <c r="AO19756" s="4" t="s">
        <v>375</v>
      </c>
      <c r="AP19756" s="4" t="s">
        <v>376</v>
      </c>
      <c r="AR19756" s="4" t="s">
        <v>377</v>
      </c>
    </row>
    <row r="19757" spans="1:44" ht="30">
      <c r="A19757" s="4" t="s">
        <v>24364</v>
      </c>
      <c r="B19757" s="4">
        <v>100340</v>
      </c>
      <c r="D19757" s="5" t="s">
        <v>24445</v>
      </c>
      <c r="E19757" s="6" t="str">
        <f>HYPERLINK("https://inpn.mnhn.fr/espece/cd_nom/100340","Globularia cordifolia L., 1753")</f>
        <v>Globularia cordifolia L., 1753</v>
      </c>
      <c r="F19757" s="5" t="s">
        <v>24446</v>
      </c>
      <c r="P19757" s="7" t="str">
        <f>HYPERLINK("#Liste_rouge!A"&amp;_xlfn.XMATCH("LC",Liste_rouge!A:A,2,1),"LC")</f>
        <v>LC</v>
      </c>
      <c r="Q19757" s="7" t="str">
        <f>HYPERLINK("#Liste_rouge!A"&amp;_xlfn.XMATCH("LC",Liste_rouge!A:A,2,1),"LC")</f>
        <v>LC</v>
      </c>
      <c r="T19757" s="7" t="str">
        <f>HYPERLINK("#Liste_rouge!A"&amp;_xlfn.XMATCH("NA",Liste_rouge!A:A,2,1),"NA")</f>
        <v>NA</v>
      </c>
      <c r="V19757" s="7" t="str">
        <f>HYPERLINK("#Liste_rouge!A"&amp;_xlfn.XMATCH("LC",Liste_rouge!A:A,2,1),"LC")</f>
        <v>LC</v>
      </c>
      <c r="AB19757" s="4" t="s">
        <v>24447</v>
      </c>
      <c r="AH19757" s="4" t="str">
        <f>HYPERLINK("#Statut_biogéographique!A"&amp;_xlfn.XMATCH("P",Statut_biogéographique!A:A,2,1),"P")</f>
        <v>P</v>
      </c>
      <c r="AM19757" s="4" t="s">
        <v>375</v>
      </c>
      <c r="AN19757" s="4" t="s">
        <v>375</v>
      </c>
      <c r="AO19757" s="4" t="s">
        <v>375</v>
      </c>
      <c r="AP19757" s="4" t="s">
        <v>376</v>
      </c>
      <c r="AR19757" s="4" t="s">
        <v>377</v>
      </c>
    </row>
    <row r="19758" spans="1:44" ht="30">
      <c r="A19758" s="4" t="s">
        <v>24364</v>
      </c>
      <c r="B19758" s="4">
        <v>1003758</v>
      </c>
      <c r="D19758" s="5" t="s">
        <v>24448</v>
      </c>
      <c r="E19758" s="6" t="str">
        <f>HYPERLINK("https://inpn.mnhn.fr/espece/cd_nom/1003758","Veronica triloba (Opiz) Opiz, 1826")</f>
        <v>Veronica triloba (Opiz) Opiz, 1826</v>
      </c>
      <c r="F19758" s="5" t="s">
        <v>24449</v>
      </c>
      <c r="Q19758" s="7" t="str">
        <f>HYPERLINK("#Liste_rouge!A"&amp;_xlfn.XMATCH("LC",Liste_rouge!A:A,2,1),"LC")</f>
        <v>LC</v>
      </c>
      <c r="T19758" s="7" t="str">
        <f>HYPERLINK("#Liste_rouge!A"&amp;_xlfn.XMATCH("NA",Liste_rouge!A:A,2,1),"NA")</f>
        <v>NA</v>
      </c>
      <c r="AH19758" s="4" t="str">
        <f>HYPERLINK("#Statut_biogéographique!A"&amp;_xlfn.XMATCH("P",Statut_biogéographique!A:A,2,1),"P")</f>
        <v>P</v>
      </c>
      <c r="AP19758" s="4" t="s">
        <v>376</v>
      </c>
      <c r="AR19758" s="4" t="s">
        <v>377</v>
      </c>
    </row>
    <row r="19759" spans="1:44" ht="45">
      <c r="A19759" s="4" t="s">
        <v>24364</v>
      </c>
      <c r="B19759" s="4">
        <v>100382</v>
      </c>
      <c r="D19759" s="5" t="s">
        <v>24450</v>
      </c>
      <c r="E19759" s="6" t="str">
        <f>HYPERLINK("https://inpn.mnhn.fr/espece/cd_nom/100382","Glyceria declinata Bréb., 1859")</f>
        <v>Glyceria declinata Bréb., 1859</v>
      </c>
      <c r="F19759" s="5" t="s">
        <v>24451</v>
      </c>
      <c r="P19759" s="7" t="str">
        <f>HYPERLINK("#Liste_rouge!A"&amp;_xlfn.XMATCH("LC",Liste_rouge!A:A,2,1),"LC")</f>
        <v>LC</v>
      </c>
      <c r="Q19759" s="7" t="str">
        <f>HYPERLINK("#Liste_rouge!A"&amp;_xlfn.XMATCH("LC",Liste_rouge!A:A,2,1),"LC")</f>
        <v>LC</v>
      </c>
      <c r="T19759" s="7" t="str">
        <f>HYPERLINK("#Liste_rouge!A"&amp;_xlfn.XMATCH("LC",Liste_rouge!A:A,2,1),"LC")</f>
        <v>LC</v>
      </c>
      <c r="V19759" s="7" t="str">
        <f>HYPERLINK("#Liste_rouge!A"&amp;_xlfn.XMATCH("LC",Liste_rouge!A:A,2,1),"LC")</f>
        <v>LC</v>
      </c>
      <c r="AH19759" s="4" t="str">
        <f>HYPERLINK("#Statut_biogéographique!A"&amp;_xlfn.XMATCH("P",Statut_biogéographique!A:A,2,1),"P")</f>
        <v>P</v>
      </c>
      <c r="AM19759" s="4" t="s">
        <v>375</v>
      </c>
      <c r="AN19759" s="4" t="s">
        <v>375</v>
      </c>
      <c r="AO19759" s="4" t="s">
        <v>375</v>
      </c>
      <c r="AP19759" s="4" t="s">
        <v>376</v>
      </c>
      <c r="AR19759" s="4" t="s">
        <v>377</v>
      </c>
    </row>
    <row r="19760" spans="1:44" ht="45">
      <c r="A19760" s="4" t="s">
        <v>24364</v>
      </c>
      <c r="B19760" s="4">
        <v>100387</v>
      </c>
      <c r="D19760" s="5" t="s">
        <v>24452</v>
      </c>
      <c r="E19760" s="6" t="str">
        <f>HYPERLINK("https://inpn.mnhn.fr/espece/cd_nom/100387","Glyceria fluitans (L.) R.Br., 1810")</f>
        <v>Glyceria fluitans (L.) R.Br., 1810</v>
      </c>
      <c r="F19760" s="5" t="s">
        <v>24453</v>
      </c>
      <c r="O19760" s="7" t="str">
        <f>HYPERLINK("#Liste_rouge!A"&amp;_xlfn.XMATCH("LC",Liste_rouge!A:A,2,1),"LC")</f>
        <v>LC</v>
      </c>
      <c r="P19760" s="7" t="str">
        <f>HYPERLINK("#Liste_rouge!A"&amp;_xlfn.XMATCH("LC",Liste_rouge!A:A,2,1),"LC")</f>
        <v>LC</v>
      </c>
      <c r="Q19760" s="7" t="str">
        <f>HYPERLINK("#Liste_rouge!A"&amp;_xlfn.XMATCH("LC",Liste_rouge!A:A,2,1),"LC")</f>
        <v>LC</v>
      </c>
      <c r="T19760" s="7" t="str">
        <f>HYPERLINK("#Liste_rouge!A"&amp;_xlfn.XMATCH("LC",Liste_rouge!A:A,2,1),"LC")</f>
        <v>LC</v>
      </c>
      <c r="V19760" s="7" t="str">
        <f>HYPERLINK("#Liste_rouge!A"&amp;_xlfn.XMATCH("LC",Liste_rouge!A:A,2,1),"LC")</f>
        <v>LC</v>
      </c>
      <c r="AH19760" s="4" t="str">
        <f>HYPERLINK("#Statut_biogéographique!A"&amp;_xlfn.XMATCH("P",Statut_biogéographique!A:A,2,1),"P")</f>
        <v>P</v>
      </c>
      <c r="AM19760" s="4" t="s">
        <v>375</v>
      </c>
      <c r="AN19760" s="4" t="s">
        <v>375</v>
      </c>
      <c r="AO19760" s="4" t="s">
        <v>375</v>
      </c>
      <c r="AP19760" s="4" t="s">
        <v>376</v>
      </c>
      <c r="AR19760" s="4" t="s">
        <v>377</v>
      </c>
    </row>
    <row r="19761" spans="1:44" ht="75">
      <c r="A19761" s="4" t="s">
        <v>24364</v>
      </c>
      <c r="B19761" s="4">
        <v>100394</v>
      </c>
      <c r="D19761" s="5" t="s">
        <v>24454</v>
      </c>
      <c r="E19761" s="6" t="str">
        <f>HYPERLINK("https://inpn.mnhn.fr/espece/cd_nom/100394","Glyceria maxima (Hartm.) Holmb., 1919")</f>
        <v>Glyceria maxima (Hartm.) Holmb., 1919</v>
      </c>
      <c r="F19761" s="5" t="s">
        <v>24455</v>
      </c>
      <c r="O19761" s="7" t="str">
        <f>HYPERLINK("#Liste_rouge!A"&amp;_xlfn.XMATCH("LC",Liste_rouge!A:A,2,1),"LC")</f>
        <v>LC</v>
      </c>
      <c r="P19761" s="7" t="str">
        <f>HYPERLINK("#Liste_rouge!A"&amp;_xlfn.XMATCH("LC",Liste_rouge!A:A,2,1),"LC")</f>
        <v>LC</v>
      </c>
      <c r="Q19761" s="7" t="str">
        <f>HYPERLINK("#Liste_rouge!A"&amp;_xlfn.XMATCH("LC",Liste_rouge!A:A,2,1),"LC")</f>
        <v>LC</v>
      </c>
      <c r="T19761" s="7" t="str">
        <f>HYPERLINK("#Liste_rouge!A"&amp;_xlfn.XMATCH("LC",Liste_rouge!A:A,2,1),"LC")</f>
        <v>LC</v>
      </c>
      <c r="V19761" s="7" t="str">
        <f>HYPERLINK("#Liste_rouge!A"&amp;_xlfn.XMATCH("LC",Liste_rouge!A:A,2,1),"LC")</f>
        <v>LC</v>
      </c>
      <c r="AH19761" s="4" t="str">
        <f>HYPERLINK("#Statut_biogéographique!A"&amp;_xlfn.XMATCH("P",Statut_biogéographique!A:A,2,1),"P")</f>
        <v>P</v>
      </c>
      <c r="AM19761" s="4" t="s">
        <v>375</v>
      </c>
      <c r="AN19761" s="4" t="s">
        <v>375</v>
      </c>
      <c r="AO19761" s="4" t="s">
        <v>375</v>
      </c>
      <c r="AP19761" s="4" t="s">
        <v>376</v>
      </c>
      <c r="AR19761" s="4" t="s">
        <v>377</v>
      </c>
    </row>
    <row r="19762" spans="1:44" ht="60">
      <c r="A19762" s="4" t="s">
        <v>24364</v>
      </c>
      <c r="B19762" s="4">
        <v>100398</v>
      </c>
      <c r="D19762" s="5" t="s">
        <v>24456</v>
      </c>
      <c r="E19762" s="6" t="str">
        <f>HYPERLINK("https://inpn.mnhn.fr/espece/cd_nom/100398","Glyceria notata Chevall., 1827")</f>
        <v>Glyceria notata Chevall., 1827</v>
      </c>
      <c r="F19762" s="5" t="s">
        <v>24457</v>
      </c>
      <c r="O19762" s="7" t="str">
        <f>HYPERLINK("#Liste_rouge!A"&amp;_xlfn.XMATCH("LC",Liste_rouge!A:A,2,1),"LC")</f>
        <v>LC</v>
      </c>
      <c r="P19762" s="7" t="str">
        <f>HYPERLINK("#Liste_rouge!A"&amp;_xlfn.XMATCH("LC",Liste_rouge!A:A,2,1),"LC")</f>
        <v>LC</v>
      </c>
      <c r="Q19762" s="7" t="str">
        <f>HYPERLINK("#Liste_rouge!A"&amp;_xlfn.XMATCH("LC",Liste_rouge!A:A,2,1),"LC")</f>
        <v>LC</v>
      </c>
      <c r="T19762" s="7" t="str">
        <f>HYPERLINK("#Liste_rouge!A"&amp;_xlfn.XMATCH("LC",Liste_rouge!A:A,2,1),"LC")</f>
        <v>LC</v>
      </c>
      <c r="V19762" s="7" t="str">
        <f>HYPERLINK("#Liste_rouge!A"&amp;_xlfn.XMATCH("LC",Liste_rouge!A:A,2,1),"LC")</f>
        <v>LC</v>
      </c>
      <c r="AH19762" s="4" t="str">
        <f>HYPERLINK("#Statut_biogéographique!A"&amp;_xlfn.XMATCH("P",Statut_biogéographique!A:A,2,1),"P")</f>
        <v>P</v>
      </c>
      <c r="AM19762" s="4" t="s">
        <v>375</v>
      </c>
      <c r="AN19762" s="4" t="s">
        <v>375</v>
      </c>
      <c r="AO19762" s="4" t="s">
        <v>375</v>
      </c>
      <c r="AP19762" s="4" t="s">
        <v>376</v>
      </c>
      <c r="AR19762" s="4" t="s">
        <v>377</v>
      </c>
    </row>
    <row r="19763" spans="1:44" ht="45">
      <c r="A19763" s="4" t="s">
        <v>24364</v>
      </c>
      <c r="B19763" s="4">
        <v>100422</v>
      </c>
      <c r="D19763" s="5" t="s">
        <v>24458</v>
      </c>
      <c r="E19763" s="6" t="str">
        <f>HYPERLINK("https://inpn.mnhn.fr/espece/cd_nom/100422","Glycine max (L.) Merr., 1917")</f>
        <v>Glycine max (L.) Merr., 1917</v>
      </c>
      <c r="F19763" s="5" t="s">
        <v>24459</v>
      </c>
      <c r="Q19763" s="7" t="str">
        <f>HYPERLINK("#Liste_rouge!A"&amp;_xlfn.XMATCH("NA",Liste_rouge!A:A,2,1),"NA")</f>
        <v>NA</v>
      </c>
      <c r="T19763" s="7" t="str">
        <f>HYPERLINK("#Liste_rouge!A"&amp;_xlfn.XMATCH("NA",Liste_rouge!A:A,2,1),"NA")</f>
        <v>NA</v>
      </c>
      <c r="AH19763" s="4" t="str">
        <f>HYPERLINK("#Statut_biogéographique!A"&amp;_xlfn.XMATCH("M",Statut_biogéographique!A:A,2,1),"M")</f>
        <v>M</v>
      </c>
      <c r="AP19763" s="4" t="s">
        <v>376</v>
      </c>
      <c r="AR19763" s="4" t="s">
        <v>377</v>
      </c>
    </row>
    <row r="19764" spans="1:44" ht="60">
      <c r="A19764" s="4" t="s">
        <v>24364</v>
      </c>
      <c r="B19764" s="4">
        <v>100519</v>
      </c>
      <c r="D19764" s="5" t="s">
        <v>24460</v>
      </c>
      <c r="E19764" s="6" t="str">
        <f>HYPERLINK("https://inpn.mnhn.fr/espece/cd_nom/100519","Gnaphalium uliginosum L., 1753")</f>
        <v>Gnaphalium uliginosum L., 1753</v>
      </c>
      <c r="F19764" s="5" t="s">
        <v>24461</v>
      </c>
      <c r="Q19764" s="7" t="str">
        <f>HYPERLINK("#Liste_rouge!A"&amp;_xlfn.XMATCH("LC",Liste_rouge!A:A,2,1),"LC")</f>
        <v>LC</v>
      </c>
      <c r="T19764" s="7" t="str">
        <f>HYPERLINK("#Liste_rouge!A"&amp;_xlfn.XMATCH("LC",Liste_rouge!A:A,2,1),"LC")</f>
        <v>LC</v>
      </c>
      <c r="V19764" s="7" t="str">
        <f>HYPERLINK("#Liste_rouge!A"&amp;_xlfn.XMATCH("LC",Liste_rouge!A:A,2,1),"LC")</f>
        <v>LC</v>
      </c>
      <c r="AH19764" s="4" t="str">
        <f>HYPERLINK("#Statut_biogéographique!A"&amp;_xlfn.XMATCH("P",Statut_biogéographique!A:A,2,1),"P")</f>
        <v>P</v>
      </c>
      <c r="AM19764" s="4" t="s">
        <v>375</v>
      </c>
      <c r="AN19764" s="4" t="s">
        <v>375</v>
      </c>
      <c r="AO19764" s="4" t="s">
        <v>375</v>
      </c>
      <c r="AP19764" s="4" t="s">
        <v>376</v>
      </c>
      <c r="AR19764" s="4" t="s">
        <v>377</v>
      </c>
    </row>
    <row r="19765" spans="1:44" ht="60">
      <c r="A19765" s="4" t="s">
        <v>24364</v>
      </c>
      <c r="B19765" s="4">
        <v>100551</v>
      </c>
      <c r="D19765" s="5" t="s">
        <v>24462</v>
      </c>
      <c r="E19765" s="6" t="str">
        <f>HYPERLINK("https://inpn.mnhn.fr/espece/cd_nom/100551","Goodyera repens (L.) R.Br., 1813")</f>
        <v>Goodyera repens (L.) R.Br., 1813</v>
      </c>
      <c r="F19765" s="5" t="s">
        <v>24463</v>
      </c>
      <c r="G19765" s="4" t="str">
        <f>HYPERLINK("[#Réglementation!A"&amp;_xlfn.XMATCH("CCB",Réglementation!A:A,2,1),"CCB")</f>
        <v>CCB</v>
      </c>
      <c r="P19765" s="7" t="str">
        <f>HYPERLINK("#Liste_rouge!A"&amp;_xlfn.XMATCH("LC",Liste_rouge!A:A,2,1),"LC")</f>
        <v>LC</v>
      </c>
      <c r="Q19765" s="7" t="str">
        <f>HYPERLINK("#Liste_rouge!A"&amp;_xlfn.XMATCH("LC",Liste_rouge!A:A,2,1),"LC")</f>
        <v>LC</v>
      </c>
      <c r="T19765" s="7" t="str">
        <f>HYPERLINK("#Liste_rouge!A"&amp;_xlfn.XMATCH("NA",Liste_rouge!A:A,2,1),"NA")</f>
        <v>NA</v>
      </c>
      <c r="V19765" s="7" t="str">
        <f>HYPERLINK("#Liste_rouge!A"&amp;_xlfn.XMATCH("DD",Liste_rouge!A:A,2,1),"DD")</f>
        <v>DD</v>
      </c>
      <c r="AB19765" s="4" t="s">
        <v>24464</v>
      </c>
      <c r="AH19765" s="4" t="str">
        <f>HYPERLINK("#Statut_biogéographique!A"&amp;_xlfn.XMATCH("P",Statut_biogéographique!A:A,2,1),"P")</f>
        <v>P</v>
      </c>
      <c r="AM19765" s="4" t="s">
        <v>375</v>
      </c>
      <c r="AN19765" s="4" t="s">
        <v>375</v>
      </c>
      <c r="AO19765" s="4" t="s">
        <v>375</v>
      </c>
      <c r="AP19765" s="4" t="s">
        <v>376</v>
      </c>
      <c r="AR19765" s="4" t="s">
        <v>377</v>
      </c>
    </row>
    <row r="19766" spans="1:44">
      <c r="A19766" s="4" t="s">
        <v>24364</v>
      </c>
      <c r="B19766" s="4">
        <v>100576</v>
      </c>
      <c r="D19766" s="5" t="s">
        <v>24465</v>
      </c>
      <c r="E19766" s="6" t="str">
        <f>HYPERLINK("https://inpn.mnhn.fr/espece/cd_nom/100576","Gratiola officinalis L., 1753")</f>
        <v>Gratiola officinalis L., 1753</v>
      </c>
      <c r="F19766" s="5" t="s">
        <v>24466</v>
      </c>
      <c r="L19766" s="4" t="str">
        <f>HYPERLINK("#Réglementation!A"&amp;_xlfn.XMATCH("NV2",Réglementation!A:A,2,1),"NV2 - NV3")</f>
        <v>NV2 - NV3</v>
      </c>
      <c r="O19766" s="7" t="str">
        <f>HYPERLINK("#Liste_rouge!A"&amp;_xlfn.XMATCH("LC",Liste_rouge!A:A,2,1),"LC")</f>
        <v>LC</v>
      </c>
      <c r="P19766" s="7" t="str">
        <f>HYPERLINK("#Liste_rouge!A"&amp;_xlfn.XMATCH("LC",Liste_rouge!A:A,2,1),"LC")</f>
        <v>LC</v>
      </c>
      <c r="Q19766" s="7" t="str">
        <f>HYPERLINK("#Liste_rouge!A"&amp;_xlfn.XMATCH("LC",Liste_rouge!A:A,2,1),"LC")</f>
        <v>LC</v>
      </c>
      <c r="T19766" s="7" t="str">
        <f>HYPERLINK("#Liste_rouge!A"&amp;_xlfn.XMATCH("LC",Liste_rouge!A:A,2,1),"LC")</f>
        <v>LC</v>
      </c>
      <c r="V19766" s="7" t="str">
        <f>HYPERLINK("#Liste_rouge!A"&amp;_xlfn.XMATCH("NT",Liste_rouge!A:A,2,1),"NT")</f>
        <v>NT</v>
      </c>
      <c r="W19766" s="4" t="str">
        <f>HYPERLINK("#Critères_liste_rouge!A$1","pr. A3c B2b(iii,iv)")</f>
        <v>pr. A3c B2b(iii,iv)</v>
      </c>
      <c r="X19766" s="5" t="s">
        <v>374</v>
      </c>
      <c r="AB19766" s="4" t="s">
        <v>93</v>
      </c>
      <c r="AH19766" s="4" t="str">
        <f>HYPERLINK("#Statut_biogéographique!A"&amp;_xlfn.XMATCH("P",Statut_biogéographique!A:A,2,1),"P")</f>
        <v>P</v>
      </c>
      <c r="AM19766" s="4" t="s">
        <v>375</v>
      </c>
      <c r="AN19766" s="4" t="s">
        <v>375</v>
      </c>
      <c r="AO19766" s="4" t="s">
        <v>375</v>
      </c>
      <c r="AP19766" s="4" t="s">
        <v>376</v>
      </c>
      <c r="AR19766" s="4" t="s">
        <v>377</v>
      </c>
    </row>
    <row r="19767" spans="1:44" ht="60">
      <c r="A19767" s="4" t="s">
        <v>24364</v>
      </c>
      <c r="B19767" s="4">
        <v>100584</v>
      </c>
      <c r="D19767" s="5" t="s">
        <v>24467</v>
      </c>
      <c r="E19767" s="6" t="str">
        <f>HYPERLINK("https://inpn.mnhn.fr/espece/cd_nom/100584","Groenlandia densa (L.) Fourr., 1869")</f>
        <v>Groenlandia densa (L.) Fourr., 1869</v>
      </c>
      <c r="F19767" s="5" t="s">
        <v>24468</v>
      </c>
      <c r="O19767" s="7" t="str">
        <f>HYPERLINK("#Liste_rouge!A"&amp;_xlfn.XMATCH("LC",Liste_rouge!A:A,2,1),"LC")</f>
        <v>LC</v>
      </c>
      <c r="P19767" s="7" t="str">
        <f>HYPERLINK("#Liste_rouge!A"&amp;_xlfn.XMATCH("LC",Liste_rouge!A:A,2,1),"LC")</f>
        <v>LC</v>
      </c>
      <c r="Q19767" s="7" t="str">
        <f>HYPERLINK("#Liste_rouge!A"&amp;_xlfn.XMATCH("LC",Liste_rouge!A:A,2,1),"LC")</f>
        <v>LC</v>
      </c>
      <c r="T19767" s="7" t="str">
        <f>HYPERLINK("#Liste_rouge!A"&amp;_xlfn.XMATCH("LC",Liste_rouge!A:A,2,1),"LC")</f>
        <v>LC</v>
      </c>
      <c r="V19767" s="7" t="str">
        <f>HYPERLINK("#Liste_rouge!A"&amp;_xlfn.XMATCH("LC",Liste_rouge!A:A,2,1),"LC")</f>
        <v>LC</v>
      </c>
      <c r="AH19767" s="4" t="str">
        <f>HYPERLINK("#Statut_biogéographique!A"&amp;_xlfn.XMATCH("P",Statut_biogéographique!A:A,2,1),"P")</f>
        <v>P</v>
      </c>
      <c r="AM19767" s="4" t="s">
        <v>375</v>
      </c>
      <c r="AN19767" s="4" t="s">
        <v>375</v>
      </c>
      <c r="AO19767" s="4" t="s">
        <v>375</v>
      </c>
      <c r="AP19767" s="4" t="s">
        <v>376</v>
      </c>
      <c r="AR19767" s="4" t="s">
        <v>377</v>
      </c>
    </row>
    <row r="19768" spans="1:44" ht="30">
      <c r="A19768" s="4" t="s">
        <v>24364</v>
      </c>
      <c r="B19768" s="4">
        <v>100596</v>
      </c>
      <c r="D19768" s="5" t="s">
        <v>24469</v>
      </c>
      <c r="E19768" s="6" t="str">
        <f>HYPERLINK("https://inpn.mnhn.fr/espece/cd_nom/100596","Guizotia abyssinica (L.f.) Cass., 1829")</f>
        <v>Guizotia abyssinica (L.f.) Cass., 1829</v>
      </c>
      <c r="F19768" s="5" t="s">
        <v>24470</v>
      </c>
      <c r="Q19768" s="7" t="str">
        <f>HYPERLINK("#Liste_rouge!A"&amp;_xlfn.XMATCH("NA",Liste_rouge!A:A,2,1),"NA")</f>
        <v>NA</v>
      </c>
      <c r="T19768" s="7" t="str">
        <f>HYPERLINK("#Liste_rouge!A"&amp;_xlfn.XMATCH("NA",Liste_rouge!A:A,2,1),"NA")</f>
        <v>NA</v>
      </c>
      <c r="AH19768" s="4" t="str">
        <f>HYPERLINK("#Statut_biogéographique!A"&amp;_xlfn.XMATCH("M",Statut_biogéographique!A:A,2,1),"M")</f>
        <v>M</v>
      </c>
      <c r="AP19768" s="4" t="s">
        <v>376</v>
      </c>
      <c r="AR19768" s="4" t="s">
        <v>377</v>
      </c>
    </row>
    <row r="19769" spans="1:44" ht="30">
      <c r="A19769" s="4" t="s">
        <v>24364</v>
      </c>
      <c r="B19769" s="4">
        <v>100600</v>
      </c>
      <c r="D19769" s="5" t="s">
        <v>24471</v>
      </c>
      <c r="E19769" s="6" t="str">
        <f>HYPERLINK("https://inpn.mnhn.fr/espece/cd_nom/100600","Gunnera manicata Linden &amp; André, 1873")</f>
        <v>Gunnera manicata Linden &amp; André, 1873</v>
      </c>
      <c r="F19769" s="5" t="s">
        <v>24472</v>
      </c>
      <c r="AH19769" s="4" t="str">
        <f>HYPERLINK("#Statut_biogéographique!A"&amp;_xlfn.XMATCH("M",Statut_biogéographique!A:A,2,1),"M")</f>
        <v>M</v>
      </c>
      <c r="AP19769" s="4" t="s">
        <v>376</v>
      </c>
      <c r="AR19769" s="4" t="s">
        <v>377</v>
      </c>
    </row>
    <row r="19770" spans="1:44">
      <c r="A19770" s="4" t="s">
        <v>24364</v>
      </c>
      <c r="B19770" s="4">
        <v>1006011</v>
      </c>
      <c r="D19770" s="5" t="s">
        <v>24473</v>
      </c>
      <c r="E19770" s="6" t="str">
        <f>HYPERLINK("https://inpn.mnhn.fr/espece/cd_nom/1006011","Drosera x eloisiana T.S.Bailey, 2015")</f>
        <v>Drosera x eloisiana T.S.Bailey, 2015</v>
      </c>
      <c r="AH19770" s="4" t="str">
        <f>HYPERLINK("#Statut_biogéographique!A"&amp;_xlfn.XMATCH("D",Statut_biogéographique!A:A,2,1),"D")</f>
        <v>D</v>
      </c>
      <c r="AP19770" s="4" t="s">
        <v>376</v>
      </c>
      <c r="AR19770" s="4" t="s">
        <v>377</v>
      </c>
    </row>
    <row r="19771" spans="1:44" ht="75">
      <c r="A19771" s="4" t="s">
        <v>24364</v>
      </c>
      <c r="B19771" s="4">
        <v>100607</v>
      </c>
      <c r="D19771" s="5" t="s">
        <v>24474</v>
      </c>
      <c r="E19771" s="6" t="str">
        <f>HYPERLINK("https://inpn.mnhn.fr/espece/cd_nom/100607","Gymnadenia conopsea (L.) R.Br., 1813")</f>
        <v>Gymnadenia conopsea (L.) R.Br., 1813</v>
      </c>
      <c r="F19771" s="5" t="s">
        <v>24475</v>
      </c>
      <c r="G19771" s="4" t="str">
        <f>HYPERLINK("[#Réglementation!A"&amp;_xlfn.XMATCH("CCB",Réglementation!A:A,2,1),"CCB")</f>
        <v>CCB</v>
      </c>
      <c r="P19771" s="7" t="str">
        <f>HYPERLINK("#Liste_rouge!A"&amp;_xlfn.XMATCH("LC",Liste_rouge!A:A,2,1),"LC")</f>
        <v>LC</v>
      </c>
      <c r="Q19771" s="7" t="str">
        <f>HYPERLINK("#Liste_rouge!A"&amp;_xlfn.XMATCH("LC",Liste_rouge!A:A,2,1),"LC")</f>
        <v>LC</v>
      </c>
      <c r="T19771" s="7" t="str">
        <f>HYPERLINK("#Liste_rouge!A"&amp;_xlfn.XMATCH("LC",Liste_rouge!A:A,2,1),"LC")</f>
        <v>LC</v>
      </c>
      <c r="V19771" s="7" t="str">
        <f>HYPERLINK("#Liste_rouge!A"&amp;_xlfn.XMATCH("LC",Liste_rouge!A:A,2,1),"LC")</f>
        <v>LC</v>
      </c>
      <c r="AH19771" s="4" t="str">
        <f>HYPERLINK("#Statut_biogéographique!A"&amp;_xlfn.XMATCH("P",Statut_biogéographique!A:A,2,1),"P")</f>
        <v>P</v>
      </c>
      <c r="AM19771" s="4" t="s">
        <v>375</v>
      </c>
      <c r="AN19771" s="4" t="s">
        <v>375</v>
      </c>
      <c r="AO19771" s="4" t="s">
        <v>375</v>
      </c>
      <c r="AP19771" s="4" t="s">
        <v>376</v>
      </c>
      <c r="AR19771" s="4" t="s">
        <v>377</v>
      </c>
    </row>
    <row r="19772" spans="1:44" ht="30">
      <c r="A19772" s="4" t="s">
        <v>24364</v>
      </c>
      <c r="B19772" s="4">
        <v>100608</v>
      </c>
      <c r="D19772" s="5" t="s">
        <v>24476</v>
      </c>
      <c r="E19772" s="6" t="str">
        <f>HYPERLINK("https://inpn.mnhn.fr/espece/cd_nom/100608","Gymnadenia densiflora (Wahlenb.) A.Dietr., 1839")</f>
        <v>Gymnadenia densiflora (Wahlenb.) A.Dietr., 1839</v>
      </c>
      <c r="F19772" s="5" t="s">
        <v>24477</v>
      </c>
      <c r="G19772" s="4" t="str">
        <f>HYPERLINK("[#Réglementation!A"&amp;_xlfn.XMATCH("CCB",Réglementation!A:A,2,1),"CCB")</f>
        <v>CCB</v>
      </c>
      <c r="Q19772" s="7" t="str">
        <f>HYPERLINK("#Liste_rouge!A"&amp;_xlfn.XMATCH("DD",Liste_rouge!A:A,2,1),"DD")</f>
        <v>DD</v>
      </c>
      <c r="T19772" s="7" t="str">
        <f>HYPERLINK("#Liste_rouge!A"&amp;_xlfn.XMATCH("NE",Liste_rouge!A:A,2,1),"NE")</f>
        <v>NE</v>
      </c>
      <c r="V19772" s="7" t="str">
        <f>HYPERLINK("#Liste_rouge!A"&amp;_xlfn.XMATCH("DD",Liste_rouge!A:A,2,1),"DD")</f>
        <v>DD</v>
      </c>
      <c r="X19772" s="5" t="s">
        <v>374</v>
      </c>
      <c r="AB19772" s="4" t="s">
        <v>93</v>
      </c>
      <c r="AH19772" s="4" t="str">
        <f>HYPERLINK("#Statut_biogéographique!A"&amp;_xlfn.XMATCH("P",Statut_biogéographique!A:A,2,1),"P")</f>
        <v>P</v>
      </c>
      <c r="AM19772" s="4" t="s">
        <v>375</v>
      </c>
      <c r="AN19772" s="4" t="s">
        <v>375</v>
      </c>
      <c r="AO19772" s="4" t="s">
        <v>375</v>
      </c>
      <c r="AP19772" s="4" t="s">
        <v>376</v>
      </c>
      <c r="AR19772" s="4" t="s">
        <v>377</v>
      </c>
    </row>
    <row r="19773" spans="1:44" ht="30">
      <c r="A19773" s="4" t="s">
        <v>24364</v>
      </c>
      <c r="B19773" s="4">
        <v>100613</v>
      </c>
      <c r="D19773" s="5" t="s">
        <v>24478</v>
      </c>
      <c r="E19773" s="6" t="str">
        <f>HYPERLINK("https://inpn.mnhn.fr/espece/cd_nom/100613","Gymnadenia nigra (L.) Rchb.f., 1856")</f>
        <v>Gymnadenia nigra (L.) Rchb.f., 1856</v>
      </c>
      <c r="F19773" s="5" t="s">
        <v>24479</v>
      </c>
      <c r="G19773" s="4" t="str">
        <f>HYPERLINK("[#Réglementation!A"&amp;_xlfn.XMATCH("CCB",Réglementation!A:A,2,1),"CCB")</f>
        <v>CCB</v>
      </c>
      <c r="M19773" s="4" t="str">
        <f>HYPERLINK("#Réglementation!A"&amp;_xlfn.XMATCH("RV43",Réglementation!A:A,2,1),"RV43")</f>
        <v>RV43</v>
      </c>
      <c r="P19773" s="7" t="str">
        <f>HYPERLINK("#Liste_rouge!A"&amp;_xlfn.XMATCH("LC",Liste_rouge!A:A,2,1),"LC")</f>
        <v>LC</v>
      </c>
      <c r="Q19773" s="7" t="str">
        <f>HYPERLINK("#Liste_rouge!A"&amp;_xlfn.XMATCH("LC",Liste_rouge!A:A,2,1),"LC")</f>
        <v>LC</v>
      </c>
      <c r="V19773" s="7" t="str">
        <f>HYPERLINK("#Liste_rouge!A"&amp;_xlfn.XMATCH("NT",Liste_rouge!A:A,2,1),"NT")</f>
        <v>NT</v>
      </c>
      <c r="W19773" s="4" t="str">
        <f>HYPERLINK("#Critères_liste_rouge!A$1","pr. B2b(ii,iii)")</f>
        <v>pr. B2b(ii,iii)</v>
      </c>
      <c r="X19773" s="5" t="s">
        <v>374</v>
      </c>
      <c r="AB19773" s="4" t="s">
        <v>93</v>
      </c>
      <c r="AH19773" s="4" t="str">
        <f>HYPERLINK("#Statut_biogéographique!A"&amp;_xlfn.XMATCH("P",Statut_biogéographique!A:A,2,1),"P")</f>
        <v>P</v>
      </c>
      <c r="AL19773" s="5" t="str">
        <f>HYPERLINK("#Réglementation!A"&amp;_xlfn.XMATCH("UEintro",Réglementation!A:A,2,1),"UEintro")</f>
        <v>UEintro</v>
      </c>
      <c r="AM19773" s="4" t="s">
        <v>375</v>
      </c>
      <c r="AN19773" s="4" t="s">
        <v>375</v>
      </c>
      <c r="AO19773" s="4" t="s">
        <v>375</v>
      </c>
      <c r="AP19773" s="4" t="s">
        <v>376</v>
      </c>
      <c r="AR19773" s="4" t="s">
        <v>377</v>
      </c>
    </row>
    <row r="19774" spans="1:44" ht="45">
      <c r="A19774" s="4" t="s">
        <v>24364</v>
      </c>
      <c r="B19774" s="4">
        <v>100614</v>
      </c>
      <c r="D19774" s="5" t="s">
        <v>24480</v>
      </c>
      <c r="E19774" s="6" t="str">
        <f>HYPERLINK("https://inpn.mnhn.fr/espece/cd_nom/100614","Gymnadenia odoratissima (L.) Rich., 1817")</f>
        <v>Gymnadenia odoratissima (L.) Rich., 1817</v>
      </c>
      <c r="F19774" s="5" t="s">
        <v>24481</v>
      </c>
      <c r="G19774" s="4" t="str">
        <f>HYPERLINK("[#Réglementation!A"&amp;_xlfn.XMATCH("CCB",Réglementation!A:A,2,1),"CCB")</f>
        <v>CCB</v>
      </c>
      <c r="M19774" s="4" t="str">
        <f>HYPERLINK("#Réglementation!A"&amp;_xlfn.XMATCH("RV43",Réglementation!A:A,2,1),"RV43")</f>
        <v>RV43</v>
      </c>
      <c r="O19774" s="7" t="str">
        <f>HYPERLINK("#Liste_rouge!A"&amp;_xlfn.XMATCH("LC",Liste_rouge!A:A,2,1),"LC")</f>
        <v>LC</v>
      </c>
      <c r="P19774" s="7" t="str">
        <f>HYPERLINK("#Liste_rouge!A"&amp;_xlfn.XMATCH("LC",Liste_rouge!A:A,2,1),"LC")</f>
        <v>LC</v>
      </c>
      <c r="Q19774" s="7" t="str">
        <f>HYPERLINK("#Liste_rouge!A"&amp;_xlfn.XMATCH("VU",Liste_rouge!A:A,2,1),"VU")</f>
        <v>VU</v>
      </c>
      <c r="T19774" s="7" t="str">
        <f>HYPERLINK("#Liste_rouge!A"&amp;_xlfn.XMATCH("EN",Liste_rouge!A:A,2,1),"EN")</f>
        <v>EN</v>
      </c>
      <c r="U19774" s="4" t="str">
        <f>HYPERLINK("#Critères_liste_rouge!A$1","B2ab(ii,iii,iv)")</f>
        <v>B2ab(ii,iii,iv)</v>
      </c>
      <c r="V19774" s="7" t="str">
        <f>HYPERLINK("#Liste_rouge!A"&amp;_xlfn.XMATCH("NT",Liste_rouge!A:A,2,1),"NT")</f>
        <v>NT</v>
      </c>
      <c r="W19774" s="4" t="str">
        <f>HYPERLINK("#Critères_liste_rouge!A$1","pr. B2b(iii,iv)")</f>
        <v>pr. B2b(iii,iv)</v>
      </c>
      <c r="X19774" s="5" t="s">
        <v>374</v>
      </c>
      <c r="AB19774" s="4" t="s">
        <v>93</v>
      </c>
      <c r="AH19774" s="4" t="str">
        <f>HYPERLINK("#Statut_biogéographique!A"&amp;_xlfn.XMATCH("P",Statut_biogéographique!A:A,2,1),"P")</f>
        <v>P</v>
      </c>
      <c r="AM19774" s="4" t="s">
        <v>375</v>
      </c>
      <c r="AN19774" s="4" t="s">
        <v>375</v>
      </c>
      <c r="AO19774" s="4" t="s">
        <v>375</v>
      </c>
      <c r="AP19774" s="4" t="s">
        <v>389</v>
      </c>
      <c r="AR19774" s="4" t="s">
        <v>377</v>
      </c>
    </row>
    <row r="19775" spans="1:44">
      <c r="A19775" s="4" t="s">
        <v>24364</v>
      </c>
      <c r="B19775" s="4">
        <v>100628</v>
      </c>
      <c r="D19775" s="5" t="s">
        <v>24482</v>
      </c>
      <c r="E19775" s="6" t="str">
        <f>HYPERLINK("https://inpn.mnhn.fr/espece/cd_nom/100628","Gymnadenia x intermedia Peterm., 1841")</f>
        <v>Gymnadenia x intermedia Peterm., 1841</v>
      </c>
      <c r="F19775" s="5" t="s">
        <v>24483</v>
      </c>
      <c r="G19775" s="4" t="str">
        <f>HYPERLINK("[#Réglementation!A"&amp;_xlfn.XMATCH("CCB",Réglementation!A:A,2,1),"CCB")</f>
        <v>CCB</v>
      </c>
      <c r="AH19775" s="4" t="str">
        <f>HYPERLINK("#Statut_biogéographique!A"&amp;_xlfn.XMATCH("P",Statut_biogéographique!A:A,2,1),"P")</f>
        <v>P</v>
      </c>
      <c r="AP19775" s="4" t="s">
        <v>376</v>
      </c>
      <c r="AR19775" s="4" t="s">
        <v>377</v>
      </c>
    </row>
    <row r="19776" spans="1:44" ht="90">
      <c r="A19776" s="4" t="s">
        <v>24364</v>
      </c>
      <c r="B19776" s="4">
        <v>100636</v>
      </c>
      <c r="D19776" s="5" t="s">
        <v>24484</v>
      </c>
      <c r="E19776" s="6" t="str">
        <f>HYPERLINK("https://inpn.mnhn.fr/espece/cd_nom/100636","Gymnocarpium dryopteris (L.) Newman, 1851")</f>
        <v>Gymnocarpium dryopteris (L.) Newman, 1851</v>
      </c>
      <c r="F19776" s="5" t="s">
        <v>24485</v>
      </c>
      <c r="P19776" s="7" t="str">
        <f>HYPERLINK("#Liste_rouge!A"&amp;_xlfn.XMATCH("LC",Liste_rouge!A:A,2,1),"LC")</f>
        <v>LC</v>
      </c>
      <c r="Q19776" s="7" t="str">
        <f>HYPERLINK("#Liste_rouge!A"&amp;_xlfn.XMATCH("LC",Liste_rouge!A:A,2,1),"LC")</f>
        <v>LC</v>
      </c>
      <c r="T19776" s="7" t="str">
        <f>HYPERLINK("#Liste_rouge!A"&amp;_xlfn.XMATCH("CR",Liste_rouge!A:A,2,1),"CR")</f>
        <v>CR</v>
      </c>
      <c r="U19776" s="4" t="str">
        <f>HYPERLINK("#Critères_liste_rouge!A$1","C2a(i)")</f>
        <v>C2a(i)</v>
      </c>
      <c r="V19776" s="7" t="str">
        <f>HYPERLINK("#Liste_rouge!A"&amp;_xlfn.XMATCH("LC",Liste_rouge!A:A,2,1),"LC")</f>
        <v>LC</v>
      </c>
      <c r="AB19776" s="4" t="s">
        <v>24486</v>
      </c>
      <c r="AH19776" s="4" t="str">
        <f>HYPERLINK("#Statut_biogéographique!A"&amp;_xlfn.XMATCH("P",Statut_biogéographique!A:A,2,1),"P")</f>
        <v>P</v>
      </c>
      <c r="AM19776" s="4" t="s">
        <v>375</v>
      </c>
      <c r="AN19776" s="4" t="s">
        <v>375</v>
      </c>
      <c r="AO19776" s="4" t="s">
        <v>375</v>
      </c>
      <c r="AP19776" s="4" t="s">
        <v>376</v>
      </c>
      <c r="AR19776" s="4" t="s">
        <v>377</v>
      </c>
    </row>
    <row r="19777" spans="1:44" ht="75">
      <c r="A19777" s="4" t="s">
        <v>24364</v>
      </c>
      <c r="B19777" s="4">
        <v>100640</v>
      </c>
      <c r="D19777" s="5" t="s">
        <v>24487</v>
      </c>
      <c r="E19777" s="6" t="str">
        <f>HYPERLINK("https://inpn.mnhn.fr/espece/cd_nom/100640","Gymnocarpium robertianum (Hoffm.) Newman, 1851")</f>
        <v>Gymnocarpium robertianum (Hoffm.) Newman, 1851</v>
      </c>
      <c r="F19777" s="5" t="s">
        <v>24488</v>
      </c>
      <c r="P19777" s="7" t="str">
        <f>HYPERLINK("#Liste_rouge!A"&amp;_xlfn.XMATCH("LC",Liste_rouge!A:A,2,1),"LC")</f>
        <v>LC</v>
      </c>
      <c r="Q19777" s="7" t="str">
        <f>HYPERLINK("#Liste_rouge!A"&amp;_xlfn.XMATCH("LC",Liste_rouge!A:A,2,1),"LC")</f>
        <v>LC</v>
      </c>
      <c r="T19777" s="7" t="str">
        <f>HYPERLINK("#Liste_rouge!A"&amp;_xlfn.XMATCH("EN",Liste_rouge!A:A,2,1),"EN")</f>
        <v>EN</v>
      </c>
      <c r="U19777" s="4" t="str">
        <f>HYPERLINK("#Critères_liste_rouge!A$1","A2ac")</f>
        <v>A2ac</v>
      </c>
      <c r="V19777" s="7" t="str">
        <f>HYPERLINK("#Liste_rouge!A"&amp;_xlfn.XMATCH("LC",Liste_rouge!A:A,2,1),"LC")</f>
        <v>LC</v>
      </c>
      <c r="AB19777" s="4" t="s">
        <v>24489</v>
      </c>
      <c r="AH19777" s="4" t="str">
        <f>HYPERLINK("#Statut_biogéographique!A"&amp;_xlfn.XMATCH("P",Statut_biogéographique!A:A,2,1),"P")</f>
        <v>P</v>
      </c>
      <c r="AM19777" s="4" t="s">
        <v>375</v>
      </c>
      <c r="AN19777" s="4" t="s">
        <v>375</v>
      </c>
      <c r="AO19777" s="4" t="s">
        <v>375</v>
      </c>
      <c r="AP19777" s="4" t="s">
        <v>376</v>
      </c>
      <c r="AR19777" s="4" t="s">
        <v>377</v>
      </c>
    </row>
    <row r="19778" spans="1:44" ht="30">
      <c r="A19778" s="4" t="s">
        <v>24364</v>
      </c>
      <c r="B19778" s="4">
        <v>1006489</v>
      </c>
      <c r="D19778" s="5" t="s">
        <v>24490</v>
      </c>
      <c r="E19778" s="6" t="str">
        <f>HYPERLINK("https://inpn.mnhn.fr/espece/cd_nom/1006489","Ellerbeckia sol (Ehrenberg) Crawford &amp; Sims, 2006")</f>
        <v>Ellerbeckia sol (Ehrenberg) Crawford &amp; Sims, 2006</v>
      </c>
      <c r="AP19778" s="4" t="s">
        <v>376</v>
      </c>
      <c r="AR19778" s="4" t="s">
        <v>377</v>
      </c>
    </row>
    <row r="19779" spans="1:44" ht="45">
      <c r="A19779" s="4" t="s">
        <v>24364</v>
      </c>
      <c r="B19779" s="4">
        <v>100686</v>
      </c>
      <c r="D19779" s="5" t="s">
        <v>24491</v>
      </c>
      <c r="E19779" s="6" t="str">
        <f>HYPERLINK("https://inpn.mnhn.fr/espece/cd_nom/100686","Gypsophila repens L., 1753")</f>
        <v>Gypsophila repens L., 1753</v>
      </c>
      <c r="F19779" s="5" t="s">
        <v>24492</v>
      </c>
      <c r="Q19779" s="7" t="str">
        <f>HYPERLINK("#Liste_rouge!A"&amp;_xlfn.XMATCH("LC",Liste_rouge!A:A,2,1),"LC")</f>
        <v>LC</v>
      </c>
      <c r="AH19779" s="4" t="str">
        <f>HYPERLINK("#Statut_biogéographique!A"&amp;_xlfn.XMATCH("P",Statut_biogéographique!A:A,2,1),"P")</f>
        <v>P</v>
      </c>
      <c r="AP19779" s="4" t="s">
        <v>376</v>
      </c>
      <c r="AR19779" s="4" t="s">
        <v>377</v>
      </c>
    </row>
    <row r="19780" spans="1:44" ht="90">
      <c r="A19780" s="4" t="s">
        <v>24364</v>
      </c>
      <c r="B19780" s="4">
        <v>100694</v>
      </c>
      <c r="D19780" s="5" t="s">
        <v>24493</v>
      </c>
      <c r="E19780" s="6" t="str">
        <f>HYPERLINK("https://inpn.mnhn.fr/espece/cd_nom/100694","Gypsophila vaccaria (L.) Sm., 1809")</f>
        <v>Gypsophila vaccaria (L.) Sm., 1809</v>
      </c>
      <c r="F19780" s="5" t="s">
        <v>24494</v>
      </c>
      <c r="Q19780" s="7" t="str">
        <f>HYPERLINK("#Liste_rouge!A"&amp;_xlfn.XMATCH("NT",Liste_rouge!A:A,2,1),"NT")</f>
        <v>NT</v>
      </c>
      <c r="T19780" s="7" t="str">
        <f>HYPERLINK("#Liste_rouge!A"&amp;_xlfn.XMATCH("DD",Liste_rouge!A:A,2,1),"DD (cd_nom 152321) - CR (cd_nom 128330)")</f>
        <v>DD (cd_nom 152321) - CR (cd_nom 128330)</v>
      </c>
      <c r="AB19780" s="4" t="s">
        <v>24495</v>
      </c>
      <c r="AH19780" s="4" t="str">
        <f>HYPERLINK("#Statut_biogéographique!A"&amp;_xlfn.XMATCH("P",Statut_biogéographique!A:A,2,1),"P")</f>
        <v>P</v>
      </c>
      <c r="AI19780" s="8" t="s">
        <v>24496</v>
      </c>
      <c r="AJ19780" s="4" t="s">
        <v>12248</v>
      </c>
      <c r="AM19780" s="4" t="s">
        <v>375</v>
      </c>
      <c r="AN19780" s="4" t="s">
        <v>375</v>
      </c>
      <c r="AO19780" s="4" t="s">
        <v>375</v>
      </c>
      <c r="AP19780" s="4" t="s">
        <v>376</v>
      </c>
      <c r="AR19780" s="4" t="s">
        <v>377</v>
      </c>
    </row>
    <row r="19781" spans="1:44" ht="60">
      <c r="A19781" s="4" t="s">
        <v>24364</v>
      </c>
      <c r="B19781" s="4">
        <v>100787</v>
      </c>
      <c r="D19781" s="5" t="s">
        <v>24497</v>
      </c>
      <c r="E19781" s="6" t="str">
        <f>HYPERLINK("https://inpn.mnhn.fr/espece/cd_nom/100787","Hedera helix L., 1753")</f>
        <v>Hedera helix L., 1753</v>
      </c>
      <c r="F19781" s="5" t="s">
        <v>24498</v>
      </c>
      <c r="P19781" s="7" t="str">
        <f>HYPERLINK("#Liste_rouge!A"&amp;_xlfn.XMATCH("LC",Liste_rouge!A:A,2,1),"LC")</f>
        <v>LC</v>
      </c>
      <c r="Q19781" s="7" t="str">
        <f>HYPERLINK("#Liste_rouge!A"&amp;_xlfn.XMATCH("LC",Liste_rouge!A:A,2,1),"LC")</f>
        <v>LC</v>
      </c>
      <c r="T19781" s="7" t="str">
        <f>HYPERLINK("#Liste_rouge!A"&amp;_xlfn.XMATCH("LC",Liste_rouge!A:A,2,1),"LC (cd_nom 100787) - DD (cd_nom 135147)")</f>
        <v>LC (cd_nom 100787) - DD (cd_nom 135147)</v>
      </c>
      <c r="V19781" s="7" t="str">
        <f>HYPERLINK("#Liste_rouge!A"&amp;_xlfn.XMATCH("LC",Liste_rouge!A:A,2,1),"LC")</f>
        <v>LC</v>
      </c>
      <c r="AH19781" s="4" t="str">
        <f>HYPERLINK("#Statut_biogéographique!A"&amp;_xlfn.XMATCH("P",Statut_biogéographique!A:A,2,1),"P")</f>
        <v>P</v>
      </c>
      <c r="AM19781" s="4" t="s">
        <v>375</v>
      </c>
      <c r="AN19781" s="4" t="s">
        <v>375</v>
      </c>
      <c r="AO19781" s="4" t="s">
        <v>375</v>
      </c>
      <c r="AP19781" s="4" t="s">
        <v>376</v>
      </c>
      <c r="AR19781" s="4" t="s">
        <v>377</v>
      </c>
    </row>
    <row r="19782" spans="1:44" ht="30">
      <c r="A19782" s="4" t="s">
        <v>24364</v>
      </c>
      <c r="B19782" s="4">
        <v>100896</v>
      </c>
      <c r="D19782" s="5" t="s">
        <v>24499</v>
      </c>
      <c r="E19782" s="6" t="str">
        <f>HYPERLINK("https://inpn.mnhn.fr/espece/cd_nom/100896","Helianthemum apenninum (L.) Mill., 1768")</f>
        <v>Helianthemum apenninum (L.) Mill., 1768</v>
      </c>
      <c r="F19782" s="5" t="s">
        <v>24500</v>
      </c>
      <c r="M19782" s="4" t="str">
        <f>HYPERLINK("#Réglementation!A"&amp;_xlfn.XMATCH("RV43",Réglementation!A:A,2,1),"RV43")</f>
        <v>RV43</v>
      </c>
      <c r="Q19782" s="7" t="str">
        <f>HYPERLINK("#Liste_rouge!A"&amp;_xlfn.XMATCH("LC",Liste_rouge!A:A,2,1),"LC")</f>
        <v>LC</v>
      </c>
      <c r="T19782" s="7" t="str">
        <f>HYPERLINK("#Liste_rouge!A"&amp;_xlfn.XMATCH("LC",Liste_rouge!A:A,2,1),"LC")</f>
        <v>LC</v>
      </c>
      <c r="V19782" s="7" t="str">
        <f>HYPERLINK("#Liste_rouge!A"&amp;_xlfn.XMATCH("VU",Liste_rouge!A:A,2,1),"VU")</f>
        <v>VU</v>
      </c>
      <c r="W19782" s="4" t="str">
        <f>HYPERLINK("#Critères_liste_rouge!A$1","B2ab(iii)")</f>
        <v>B2ab(iii)</v>
      </c>
      <c r="AB19782" s="4" t="s">
        <v>24501</v>
      </c>
      <c r="AH19782" s="4" t="str">
        <f>HYPERLINK("#Statut_biogéographique!A"&amp;_xlfn.XMATCH("P",Statut_biogéographique!A:A,2,1),"P")</f>
        <v>P</v>
      </c>
      <c r="AM19782" s="4" t="s">
        <v>375</v>
      </c>
      <c r="AN19782" s="4" t="s">
        <v>375</v>
      </c>
      <c r="AO19782" s="4" t="s">
        <v>375</v>
      </c>
      <c r="AP19782" s="4" t="s">
        <v>376</v>
      </c>
      <c r="AR19782" s="4" t="s">
        <v>377</v>
      </c>
    </row>
    <row r="19783" spans="1:44">
      <c r="A19783" s="4" t="s">
        <v>24364</v>
      </c>
      <c r="B19783" s="4">
        <v>1009081</v>
      </c>
      <c r="D19783" s="5" t="s">
        <v>24502</v>
      </c>
      <c r="E19783" s="6" t="str">
        <f>HYPERLINK("https://inpn.mnhn.fr/espece/cd_nom/1009081","Euphorbia tommasiniana Bertol., 1842")</f>
        <v>Euphorbia tommasiniana Bertol., 1842</v>
      </c>
      <c r="F19783" s="5" t="s">
        <v>24503</v>
      </c>
      <c r="AH19783" s="4" t="str">
        <f>HYPERLINK("#Statut_biogéographique!A"&amp;_xlfn.XMATCH("Q",Statut_biogéographique!A:A,2,1),"Q")</f>
        <v>Q</v>
      </c>
      <c r="AP19783" s="4" t="s">
        <v>376</v>
      </c>
      <c r="AR19783" s="4" t="s">
        <v>377</v>
      </c>
    </row>
    <row r="19784" spans="1:44" ht="240">
      <c r="A19784" s="4" t="s">
        <v>24364</v>
      </c>
      <c r="B19784" s="4">
        <v>100956</v>
      </c>
      <c r="D19784" s="5" t="s">
        <v>24504</v>
      </c>
      <c r="E19784" s="6" t="str">
        <f>HYPERLINK("https://inpn.mnhn.fr/espece/cd_nom/100956","Helianthemum nummularium (L.) Mill., 1768")</f>
        <v>Helianthemum nummularium (L.) Mill., 1768</v>
      </c>
      <c r="F19784" s="5" t="s">
        <v>24505</v>
      </c>
      <c r="Q19784" s="7" t="str">
        <f>HYPERLINK("#Liste_rouge!A"&amp;_xlfn.XMATCH("LC",Liste_rouge!A:A,2,1),"LC")</f>
        <v>LC</v>
      </c>
      <c r="T19784" s="7" t="str">
        <f>HYPERLINK("#Liste_rouge!A"&amp;_xlfn.XMATCH("LC",Liste_rouge!A:A,2,1),"LC (cd_nom 100956) - DD (cd_nom 135215)")</f>
        <v>LC (cd_nom 100956) - DD (cd_nom 135215)</v>
      </c>
      <c r="V19784" s="7" t="str">
        <f>HYPERLINK("#Liste_rouge!A"&amp;_xlfn.XMATCH("LC",Liste_rouge!A:A,2,1),"LC")</f>
        <v>LC</v>
      </c>
      <c r="AH19784" s="4" t="str">
        <f>HYPERLINK("#Statut_biogéographique!A"&amp;_xlfn.XMATCH("P",Statut_biogéographique!A:A,2,1),"P")</f>
        <v>P</v>
      </c>
      <c r="AM19784" s="4" t="s">
        <v>375</v>
      </c>
      <c r="AN19784" s="4" t="s">
        <v>375</v>
      </c>
      <c r="AO19784" s="4" t="s">
        <v>375</v>
      </c>
      <c r="AP19784" s="4" t="s">
        <v>376</v>
      </c>
      <c r="AR19784" s="4" t="s">
        <v>377</v>
      </c>
    </row>
    <row r="19785" spans="1:44" ht="30">
      <c r="A19785" s="4" t="s">
        <v>24364</v>
      </c>
      <c r="B19785" s="4">
        <v>101026</v>
      </c>
      <c r="D19785" s="5" t="s">
        <v>24506</v>
      </c>
      <c r="E19785" s="6" t="str">
        <f>HYPERLINK("https://inpn.mnhn.fr/espece/cd_nom/101026","Helianthemum x sulphureum Willd. ex Schltdl., 1813")</f>
        <v>Helianthemum x sulphureum Willd. ex Schltdl., 1813</v>
      </c>
      <c r="F19785" s="5" t="s">
        <v>24507</v>
      </c>
      <c r="T19785" s="7" t="str">
        <f>HYPERLINK("#Liste_rouge!A"&amp;_xlfn.XMATCH("DD",Liste_rouge!A:A,2,1),"DD")</f>
        <v>DD</v>
      </c>
      <c r="AH19785" s="4" t="str">
        <f>HYPERLINK("#Statut_biogéographique!A"&amp;_xlfn.XMATCH("P",Statut_biogéographique!A:A,2,1),"P")</f>
        <v>P</v>
      </c>
      <c r="AP19785" s="4" t="s">
        <v>376</v>
      </c>
      <c r="AR19785" s="4" t="s">
        <v>377</v>
      </c>
    </row>
    <row r="19786" spans="1:44" ht="60">
      <c r="A19786" s="4" t="s">
        <v>24364</v>
      </c>
      <c r="B19786" s="4">
        <v>101027</v>
      </c>
      <c r="D19786" s="5" t="s">
        <v>24508</v>
      </c>
      <c r="E19786" s="6" t="str">
        <f>HYPERLINK("https://inpn.mnhn.fr/espece/cd_nom/101027","Helianthus annuus L., 1753")</f>
        <v>Helianthus annuus L., 1753</v>
      </c>
      <c r="F19786" s="5" t="s">
        <v>24509</v>
      </c>
      <c r="O19786" s="7" t="str">
        <f>HYPERLINK("#Liste_rouge!A"&amp;_xlfn.XMATCH("LC",Liste_rouge!A:A,2,1),"LC")</f>
        <v>LC</v>
      </c>
      <c r="Q19786" s="7" t="str">
        <f>HYPERLINK("#Liste_rouge!A"&amp;_xlfn.XMATCH("NA",Liste_rouge!A:A,2,1),"NA")</f>
        <v>NA</v>
      </c>
      <c r="T19786" s="7" t="str">
        <f>HYPERLINK("#Liste_rouge!A"&amp;_xlfn.XMATCH("NA",Liste_rouge!A:A,2,1),"NA")</f>
        <v>NA</v>
      </c>
      <c r="AH19786" s="4" t="str">
        <f>HYPERLINK("#Statut_biogéographique!A"&amp;_xlfn.XMATCH("M",Statut_biogéographique!A:A,2,1),"M")</f>
        <v>M</v>
      </c>
      <c r="AP19786" s="4" t="s">
        <v>376</v>
      </c>
      <c r="AR19786" s="4" t="s">
        <v>377</v>
      </c>
    </row>
    <row r="19787" spans="1:44" ht="30">
      <c r="A19787" s="4" t="s">
        <v>24364</v>
      </c>
      <c r="B19787" s="4">
        <v>101046</v>
      </c>
      <c r="D19787" s="5" t="s">
        <v>24510</v>
      </c>
      <c r="E19787" s="6" t="str">
        <f>HYPERLINK("https://inpn.mnhn.fr/espece/cd_nom/101046","Helianthus pauciflorus Nutt., 1818")</f>
        <v>Helianthus pauciflorus Nutt., 1818</v>
      </c>
      <c r="F19787" s="5" t="s">
        <v>24511</v>
      </c>
      <c r="O19787" s="7" t="str">
        <f>HYPERLINK("#Liste_rouge!A"&amp;_xlfn.XMATCH("LC",Liste_rouge!A:A,2,1),"LC")</f>
        <v>LC</v>
      </c>
      <c r="Q19787" s="7" t="str">
        <f>HYPERLINK("#Liste_rouge!A"&amp;_xlfn.XMATCH("NA",Liste_rouge!A:A,2,1),"NA")</f>
        <v>NA</v>
      </c>
      <c r="T19787" s="7" t="str">
        <f>HYPERLINK("#Liste_rouge!A"&amp;_xlfn.XMATCH("NA",Liste_rouge!A:A,2,1),"NA")</f>
        <v>NA</v>
      </c>
      <c r="AH19787" s="4" t="str">
        <f>HYPERLINK("#Statut_biogéographique!A"&amp;_xlfn.XMATCH("M",Statut_biogéographique!A:A,2,1),"M")</f>
        <v>M</v>
      </c>
      <c r="AP19787" s="4" t="s">
        <v>376</v>
      </c>
      <c r="AR19787" s="4" t="s">
        <v>377</v>
      </c>
    </row>
    <row r="19788" spans="1:44" ht="30">
      <c r="A19788" s="4" t="s">
        <v>24364</v>
      </c>
      <c r="B19788" s="4">
        <v>101055</v>
      </c>
      <c r="D19788" s="5" t="s">
        <v>24512</v>
      </c>
      <c r="E19788" s="6" t="str">
        <f>HYPERLINK("https://inpn.mnhn.fr/espece/cd_nom/101055","Helianthus tuberosus L., 1753")</f>
        <v>Helianthus tuberosus L., 1753</v>
      </c>
      <c r="F19788" s="5" t="s">
        <v>24513</v>
      </c>
      <c r="O19788" s="7" t="str">
        <f>HYPERLINK("#Liste_rouge!A"&amp;_xlfn.XMATCH("LC",Liste_rouge!A:A,2,1),"LC")</f>
        <v>LC</v>
      </c>
      <c r="Q19788" s="7" t="str">
        <f>HYPERLINK("#Liste_rouge!A"&amp;_xlfn.XMATCH("NA",Liste_rouge!A:A,2,1),"NA")</f>
        <v>NA</v>
      </c>
      <c r="T19788" s="7" t="str">
        <f>HYPERLINK("#Liste_rouge!A"&amp;_xlfn.XMATCH("NA",Liste_rouge!A:A,2,1),"NA")</f>
        <v>NA</v>
      </c>
      <c r="AH19788" s="4" t="str">
        <f>HYPERLINK("#Statut_biogéographique!A"&amp;_xlfn.XMATCH("J",Statut_biogéographique!A:A,2,1),"J")</f>
        <v>J</v>
      </c>
      <c r="AM19788" s="4" t="s">
        <v>375</v>
      </c>
      <c r="AN19788" s="4" t="s">
        <v>375</v>
      </c>
      <c r="AO19788" s="4" t="s">
        <v>375</v>
      </c>
      <c r="AP19788" s="4" t="s">
        <v>376</v>
      </c>
      <c r="AR19788" s="4" t="s">
        <v>377</v>
      </c>
    </row>
    <row r="19789" spans="1:44" ht="30">
      <c r="A19789" s="4" t="s">
        <v>24364</v>
      </c>
      <c r="B19789" s="4">
        <v>101056</v>
      </c>
      <c r="D19789" s="5" t="s">
        <v>24514</v>
      </c>
      <c r="E19789" s="6" t="str">
        <f>HYPERLINK("https://inpn.mnhn.fr/espece/cd_nom/101056","Helianthus x laetiflorus Pers., 1807")</f>
        <v>Helianthus x laetiflorus Pers., 1807</v>
      </c>
      <c r="F19789" s="5" t="s">
        <v>24515</v>
      </c>
      <c r="AH19789" s="4" t="str">
        <f>HYPERLINK("#Statut_biogéographique!A"&amp;_xlfn.XMATCH("I",Statut_biogéographique!A:A,2,1),"I")</f>
        <v>I</v>
      </c>
      <c r="AP19789" s="4" t="s">
        <v>376</v>
      </c>
      <c r="AR19789" s="4" t="s">
        <v>377</v>
      </c>
    </row>
    <row r="19790" spans="1:44">
      <c r="A19790" s="4" t="s">
        <v>24364</v>
      </c>
      <c r="B19790" s="4">
        <v>1010697</v>
      </c>
      <c r="D19790" s="5" t="s">
        <v>24516</v>
      </c>
      <c r="E19790" s="6" t="str">
        <f>HYPERLINK("https://inpn.mnhn.fr/espece/cd_nom/1010697","Gentiana verna var. verna L., 1753")</f>
        <v>Gentiana verna var. verna L., 1753</v>
      </c>
      <c r="F19790" s="5" t="s">
        <v>24517</v>
      </c>
      <c r="Q19790" s="7" t="str">
        <f>HYPERLINK("#Liste_rouge!A"&amp;_xlfn.XMATCH("LC",Liste_rouge!A:A,2,1),"LC")</f>
        <v>LC</v>
      </c>
      <c r="AH19790" s="4" t="str">
        <f>HYPERLINK("#Statut_biogéographique!A"&amp;_xlfn.XMATCH("P",Statut_biogéographique!A:A,2,1),"P")</f>
        <v>P</v>
      </c>
      <c r="AP19790" s="4" t="s">
        <v>376</v>
      </c>
      <c r="AR19790" s="4" t="s">
        <v>377</v>
      </c>
    </row>
    <row r="19791" spans="1:44" ht="60">
      <c r="A19791" s="4" t="s">
        <v>24364</v>
      </c>
      <c r="B19791" s="4">
        <v>101101</v>
      </c>
      <c r="D19791" s="5" t="s">
        <v>24518</v>
      </c>
      <c r="E19791" s="6" t="str">
        <f>HYPERLINK("https://inpn.mnhn.fr/espece/cd_nom/101101","Helichrysum stoechas (L.) Moench, 1794")</f>
        <v>Helichrysum stoechas (L.) Moench, 1794</v>
      </c>
      <c r="F19791" s="5" t="s">
        <v>24519</v>
      </c>
      <c r="P19791" s="7" t="str">
        <f>HYPERLINK("#Liste_rouge!A"&amp;_xlfn.XMATCH("LC",Liste_rouge!A:A,2,1),"LC")</f>
        <v>LC</v>
      </c>
      <c r="Q19791" s="7" t="str">
        <f>HYPERLINK("#Liste_rouge!A"&amp;_xlfn.XMATCH("LC",Liste_rouge!A:A,2,1),"LC")</f>
        <v>LC</v>
      </c>
      <c r="T19791" s="7" t="str">
        <f>HYPERLINK("#Liste_rouge!A"&amp;_xlfn.XMATCH("NA",Liste_rouge!A:A,2,1),"NA")</f>
        <v>NA</v>
      </c>
      <c r="AH19791" s="4" t="str">
        <f>HYPERLINK("#Statut_biogéographique!A"&amp;_xlfn.XMATCH("P",Statut_biogéographique!A:A,2,1),"P")</f>
        <v>P</v>
      </c>
      <c r="AP19791" s="4" t="s">
        <v>376</v>
      </c>
      <c r="AR19791" s="4" t="s">
        <v>377</v>
      </c>
    </row>
    <row r="19792" spans="1:44" ht="90">
      <c r="A19792" s="4" t="s">
        <v>24364</v>
      </c>
      <c r="B19792" s="4">
        <v>1011337</v>
      </c>
      <c r="D19792" s="5" t="s">
        <v>24520</v>
      </c>
      <c r="E19792" s="6" t="str">
        <f>HYPERLINK("https://inpn.mnhn.fr/espece/cd_nom/1011337","Centaurium pulchellum (Sw.) Druce, 1907")</f>
        <v>Centaurium pulchellum (Sw.) Druce, 1907</v>
      </c>
      <c r="F19792" s="5" t="s">
        <v>24521</v>
      </c>
      <c r="O19792" s="7" t="str">
        <f>HYPERLINK("#Liste_rouge!A"&amp;_xlfn.XMATCH("LC",Liste_rouge!A:A,2,1),"LC")</f>
        <v>LC</v>
      </c>
      <c r="Q19792" s="7" t="str">
        <f>HYPERLINK("#Liste_rouge!A"&amp;_xlfn.XMATCH("LC",Liste_rouge!A:A,2,1),"LC")</f>
        <v>LC</v>
      </c>
      <c r="T19792" s="7" t="str">
        <f>HYPERLINK("#Liste_rouge!A"&amp;_xlfn.XMATCH("LC",Liste_rouge!A:A,2,1),"LC (cd_nom 89852) - DD (cd_nom 133043)")</f>
        <v>LC (cd_nom 89852) - DD (cd_nom 133043)</v>
      </c>
      <c r="V19792" s="7" t="str">
        <f>HYPERLINK("#Liste_rouge!A"&amp;_xlfn.XMATCH("LC",Liste_rouge!A:A,2,1),"LC")</f>
        <v>LC</v>
      </c>
      <c r="AH19792" s="4" t="str">
        <f>HYPERLINK("#Statut_biogéographique!A"&amp;_xlfn.XMATCH("P",Statut_biogéographique!A:A,2,1),"P")</f>
        <v>P</v>
      </c>
      <c r="AM19792" s="4" t="s">
        <v>375</v>
      </c>
      <c r="AN19792" s="4" t="s">
        <v>375</v>
      </c>
      <c r="AO19792" s="4" t="s">
        <v>375</v>
      </c>
      <c r="AP19792" s="4" t="s">
        <v>376</v>
      </c>
      <c r="AR19792" s="4" t="s">
        <v>377</v>
      </c>
    </row>
    <row r="19793" spans="1:44" ht="45">
      <c r="A19793" s="4" t="s">
        <v>24364</v>
      </c>
      <c r="B19793" s="4">
        <v>101144</v>
      </c>
      <c r="D19793" s="5" t="s">
        <v>24522</v>
      </c>
      <c r="E19793" s="6" t="str">
        <f>HYPERLINK("https://inpn.mnhn.fr/espece/cd_nom/101144","Heliotropium europaeum L., 1753")</f>
        <v>Heliotropium europaeum L., 1753</v>
      </c>
      <c r="F19793" s="5" t="s">
        <v>24523</v>
      </c>
      <c r="Q19793" s="7" t="str">
        <f>HYPERLINK("#Liste_rouge!A"&amp;_xlfn.XMATCH("LC",Liste_rouge!A:A,2,1),"LC")</f>
        <v>LC</v>
      </c>
      <c r="T19793" s="7" t="str">
        <f>HYPERLINK("#Liste_rouge!A"&amp;_xlfn.XMATCH("LC",Liste_rouge!A:A,2,1),"LC")</f>
        <v>LC</v>
      </c>
      <c r="AH19793" s="4" t="str">
        <f>HYPERLINK("#Statut_biogéographique!A"&amp;_xlfn.XMATCH("P",Statut_biogéographique!A:A,2,1),"P")</f>
        <v>P</v>
      </c>
      <c r="AM19793" s="4" t="s">
        <v>375</v>
      </c>
      <c r="AN19793" s="4" t="s">
        <v>375</v>
      </c>
      <c r="AO19793" s="4" t="s">
        <v>375</v>
      </c>
      <c r="AP19793" s="4" t="s">
        <v>376</v>
      </c>
      <c r="AR19793" s="4" t="s">
        <v>377</v>
      </c>
    </row>
    <row r="19794" spans="1:44">
      <c r="A19794" s="4" t="s">
        <v>24364</v>
      </c>
      <c r="B19794" s="4">
        <v>101188</v>
      </c>
      <c r="D19794" s="5" t="s">
        <v>24524</v>
      </c>
      <c r="E19794" s="6" t="str">
        <f>HYPERLINK("https://inpn.mnhn.fr/espece/cd_nom/101188","Helleborus foetidus L., 1753")</f>
        <v>Helleborus foetidus L., 1753</v>
      </c>
      <c r="F19794" s="5" t="s">
        <v>24525</v>
      </c>
      <c r="P19794" s="7" t="str">
        <f>HYPERLINK("#Liste_rouge!A"&amp;_xlfn.XMATCH("LC",Liste_rouge!A:A,2,1),"LC")</f>
        <v>LC</v>
      </c>
      <c r="Q19794" s="7" t="str">
        <f>HYPERLINK("#Liste_rouge!A"&amp;_xlfn.XMATCH("LC",Liste_rouge!A:A,2,1),"LC")</f>
        <v>LC</v>
      </c>
      <c r="T19794" s="7" t="str">
        <f>HYPERLINK("#Liste_rouge!A"&amp;_xlfn.XMATCH("LC",Liste_rouge!A:A,2,1),"LC")</f>
        <v>LC</v>
      </c>
      <c r="V19794" s="7" t="str">
        <f>HYPERLINK("#Liste_rouge!A"&amp;_xlfn.XMATCH("LC",Liste_rouge!A:A,2,1),"LC")</f>
        <v>LC</v>
      </c>
      <c r="AH19794" s="4" t="str">
        <f>HYPERLINK("#Statut_biogéographique!A"&amp;_xlfn.XMATCH("P",Statut_biogéographique!A:A,2,1),"P")</f>
        <v>P</v>
      </c>
      <c r="AM19794" s="4" t="s">
        <v>375</v>
      </c>
      <c r="AN19794" s="4" t="s">
        <v>375</v>
      </c>
      <c r="AO19794" s="4" t="s">
        <v>375</v>
      </c>
      <c r="AP19794" s="4" t="s">
        <v>376</v>
      </c>
      <c r="AR19794" s="4" t="s">
        <v>377</v>
      </c>
    </row>
    <row r="19795" spans="1:44">
      <c r="A19795" s="4" t="s">
        <v>24364</v>
      </c>
      <c r="B19795" s="4">
        <v>101196</v>
      </c>
      <c r="D19795" s="5" t="s">
        <v>24526</v>
      </c>
      <c r="E19795" s="6" t="str">
        <f>HYPERLINK("https://inpn.mnhn.fr/espece/cd_nom/101196","Helleborus niger L., 1753")</f>
        <v>Helleborus niger L., 1753</v>
      </c>
      <c r="F19795" s="5" t="s">
        <v>24527</v>
      </c>
      <c r="L19795" s="4" t="str">
        <f>HYPERLINK("#Réglementation!A"&amp;_xlfn.XMATCH("NV2",Réglementation!A:A,2,1),"NV2 - NV3")</f>
        <v>NV2 - NV3</v>
      </c>
      <c r="Q19795" s="7" t="str">
        <f>HYPERLINK("#Liste_rouge!A"&amp;_xlfn.XMATCH("NA",Liste_rouge!A:A,2,1),"NA")</f>
        <v>NA</v>
      </c>
      <c r="T19795" s="7" t="str">
        <f>HYPERLINK("#Liste_rouge!A"&amp;_xlfn.XMATCH("NA",Liste_rouge!A:A,2,1),"NA")</f>
        <v>NA</v>
      </c>
      <c r="AH19795" s="4" t="str">
        <f>HYPERLINK("#Statut_biogéographique!A"&amp;_xlfn.XMATCH("I",Statut_biogéographique!A:A,2,1),"I")</f>
        <v>I</v>
      </c>
      <c r="AP19795" s="4" t="s">
        <v>376</v>
      </c>
      <c r="AR19795" s="4" t="s">
        <v>377</v>
      </c>
    </row>
    <row r="19796" spans="1:44" ht="45">
      <c r="A19796" s="4" t="s">
        <v>24364</v>
      </c>
      <c r="B19796" s="4">
        <v>101202</v>
      </c>
      <c r="D19796" s="5" t="s">
        <v>24528</v>
      </c>
      <c r="E19796" s="6" t="str">
        <f>HYPERLINK("https://inpn.mnhn.fr/espece/cd_nom/101202","Helleborus viridis L., 1753")</f>
        <v>Helleborus viridis L., 1753</v>
      </c>
      <c r="F19796" s="5" t="s">
        <v>24529</v>
      </c>
      <c r="Q19796" s="7" t="str">
        <f>HYPERLINK("#Liste_rouge!A"&amp;_xlfn.XMATCH("LC",Liste_rouge!A:A,2,1),"LC")</f>
        <v>LC</v>
      </c>
      <c r="T19796" s="7" t="str">
        <f>HYPERLINK("#Liste_rouge!A"&amp;_xlfn.XMATCH("NA",Liste_rouge!A:A,2,1),"NA")</f>
        <v>NA</v>
      </c>
      <c r="AH19796" s="4" t="str">
        <f>HYPERLINK("#Statut_biogéographique!A"&amp;_xlfn.XMATCH("P",Statut_biogéographique!A:A,2,1),"P")</f>
        <v>P</v>
      </c>
      <c r="AM19796" s="4" t="s">
        <v>375</v>
      </c>
      <c r="AN19796" s="4" t="s">
        <v>375</v>
      </c>
      <c r="AO19796" s="4" t="s">
        <v>375</v>
      </c>
      <c r="AP19796" s="4" t="s">
        <v>376</v>
      </c>
      <c r="AR19796" s="4" t="s">
        <v>377</v>
      </c>
    </row>
    <row r="19797" spans="1:44" ht="30">
      <c r="A19797" s="4" t="s">
        <v>24364</v>
      </c>
      <c r="B19797" s="4">
        <v>101210</v>
      </c>
      <c r="D19797" s="5" t="s">
        <v>24530</v>
      </c>
      <c r="E19797" s="6" t="str">
        <f>HYPERLINK("https://inpn.mnhn.fr/espece/cd_nom/101210","Helminthotheca echioides (L.) Holub, 1973")</f>
        <v>Helminthotheca echioides (L.) Holub, 1973</v>
      </c>
      <c r="F19797" s="5" t="s">
        <v>24531</v>
      </c>
      <c r="Q19797" s="7" t="str">
        <f>HYPERLINK("#Liste_rouge!A"&amp;_xlfn.XMATCH("LC",Liste_rouge!A:A,2,1),"LC")</f>
        <v>LC</v>
      </c>
      <c r="T19797" s="7" t="str">
        <f>HYPERLINK("#Liste_rouge!A"&amp;_xlfn.XMATCH("NA",Liste_rouge!A:A,2,1),"NA")</f>
        <v>NA</v>
      </c>
      <c r="V19797" s="7" t="str">
        <f>HYPERLINK("#Liste_rouge!A"&amp;_xlfn.XMATCH("LC",Liste_rouge!A:A,2,1),"LC")</f>
        <v>LC</v>
      </c>
      <c r="AH19797" s="4" t="str">
        <f>HYPERLINK("#Statut_biogéographique!A"&amp;_xlfn.XMATCH("P",Statut_biogéographique!A:A,2,1),"P")</f>
        <v>P</v>
      </c>
      <c r="AM19797" s="4" t="s">
        <v>375</v>
      </c>
      <c r="AN19797" s="4" t="s">
        <v>375</v>
      </c>
      <c r="AO19797" s="4" t="s">
        <v>375</v>
      </c>
      <c r="AP19797" s="4" t="s">
        <v>376</v>
      </c>
      <c r="AR19797" s="4" t="s">
        <v>377</v>
      </c>
    </row>
    <row r="19798" spans="1:44" ht="30">
      <c r="A19798" s="4" t="s">
        <v>24364</v>
      </c>
      <c r="B19798" s="4">
        <v>101220</v>
      </c>
      <c r="D19798" s="5" t="s">
        <v>24532</v>
      </c>
      <c r="E19798" s="6" t="str">
        <f>HYPERLINK("https://inpn.mnhn.fr/espece/cd_nom/101220","Helosciadium inundatum (L.) W.D.J.Koch, 1824")</f>
        <v>Helosciadium inundatum (L.) W.D.J.Koch, 1824</v>
      </c>
      <c r="F19798" s="5" t="s">
        <v>24533</v>
      </c>
      <c r="O19798" s="7" t="str">
        <f>HYPERLINK("#Liste_rouge!A"&amp;_xlfn.XMATCH("LC",Liste_rouge!A:A,2,1),"LC")</f>
        <v>LC</v>
      </c>
      <c r="P19798" s="7" t="str">
        <f>HYPERLINK("#Liste_rouge!A"&amp;_xlfn.XMATCH("LC",Liste_rouge!A:A,2,1),"LC")</f>
        <v>LC</v>
      </c>
      <c r="Q19798" s="7" t="str">
        <f>HYPERLINK("#Liste_rouge!A"&amp;_xlfn.XMATCH("LC",Liste_rouge!A:A,2,1),"LC")</f>
        <v>LC</v>
      </c>
      <c r="T19798" s="7" t="str">
        <f>HYPERLINK("#Liste_rouge!A"&amp;_xlfn.XMATCH("EN",Liste_rouge!A:A,2,1),"EN")</f>
        <v>EN</v>
      </c>
      <c r="U19798" s="4" t="str">
        <f>HYPERLINK("#Critères_liste_rouge!A$1","B1 B2ab(ii,iii,iv) C2a(i)")</f>
        <v>B1 B2ab(ii,iii,iv) C2a(i)</v>
      </c>
      <c r="X19798" s="5" t="s">
        <v>374</v>
      </c>
      <c r="AB19798" s="4" t="s">
        <v>93</v>
      </c>
      <c r="AH19798" s="4" t="str">
        <f>HYPERLINK("#Statut_biogéographique!A"&amp;_xlfn.XMATCH("P",Statut_biogéographique!A:A,2,1),"P")</f>
        <v>P</v>
      </c>
      <c r="AM19798" s="4" t="s">
        <v>375</v>
      </c>
      <c r="AN19798" s="4" t="s">
        <v>375</v>
      </c>
      <c r="AO19798" s="4" t="s">
        <v>375</v>
      </c>
      <c r="AP19798" s="4" t="s">
        <v>376</v>
      </c>
      <c r="AR19798" s="4" t="s">
        <v>377</v>
      </c>
    </row>
    <row r="19799" spans="1:44" ht="90">
      <c r="A19799" s="4" t="s">
        <v>24364</v>
      </c>
      <c r="B19799" s="4">
        <v>101221</v>
      </c>
      <c r="D19799" s="5" t="s">
        <v>24534</v>
      </c>
      <c r="E19799" s="6" t="str">
        <f>HYPERLINK("https://inpn.mnhn.fr/espece/cd_nom/101221","Helosciadium nodiflorum (L.) W.D.J.Koch, 1824")</f>
        <v>Helosciadium nodiflorum (L.) W.D.J.Koch, 1824</v>
      </c>
      <c r="F19799" s="5" t="s">
        <v>24535</v>
      </c>
      <c r="O19799" s="7" t="str">
        <f>HYPERLINK("#Liste_rouge!A"&amp;_xlfn.XMATCH("LC",Liste_rouge!A:A,2,1),"LC")</f>
        <v>LC</v>
      </c>
      <c r="P19799" s="7" t="str">
        <f>HYPERLINK("#Liste_rouge!A"&amp;_xlfn.XMATCH("LC",Liste_rouge!A:A,2,1),"LC")</f>
        <v>LC</v>
      </c>
      <c r="Q19799" s="7" t="str">
        <f>HYPERLINK("#Liste_rouge!A"&amp;_xlfn.XMATCH("LC",Liste_rouge!A:A,2,1),"LC")</f>
        <v>LC</v>
      </c>
      <c r="T19799" s="7" t="str">
        <f>HYPERLINK("#Liste_rouge!A"&amp;_xlfn.XMATCH("DD",Liste_rouge!A:A,2,1),"DD (cd_nom 160948) - LC (cd_nom 101221)")</f>
        <v>DD (cd_nom 160948) - LC (cd_nom 101221)</v>
      </c>
      <c r="V19799" s="7" t="str">
        <f>HYPERLINK("#Liste_rouge!A"&amp;_xlfn.XMATCH("LC",Liste_rouge!A:A,2,1),"LC")</f>
        <v>LC</v>
      </c>
      <c r="AB19799" s="4" t="s">
        <v>24536</v>
      </c>
      <c r="AH19799" s="4" t="str">
        <f>HYPERLINK("#Statut_biogéographique!A"&amp;_xlfn.XMATCH("P",Statut_biogéographique!A:A,2,1),"P")</f>
        <v>P</v>
      </c>
      <c r="AM19799" s="4" t="s">
        <v>375</v>
      </c>
      <c r="AN19799" s="4" t="s">
        <v>375</v>
      </c>
      <c r="AO19799" s="4" t="s">
        <v>375</v>
      </c>
      <c r="AP19799" s="4" t="s">
        <v>376</v>
      </c>
      <c r="AR19799" s="4" t="s">
        <v>377</v>
      </c>
    </row>
    <row r="19800" spans="1:44" ht="30">
      <c r="A19800" s="4" t="s">
        <v>24364</v>
      </c>
      <c r="B19800" s="4">
        <v>101223</v>
      </c>
      <c r="D19800" s="5" t="s">
        <v>24537</v>
      </c>
      <c r="E19800" s="6" t="str">
        <f>HYPERLINK("https://inpn.mnhn.fr/espece/cd_nom/101223","Helosciadium repens (Jacq.) W.D.J.Koch, 1824")</f>
        <v>Helosciadium repens (Jacq.) W.D.J.Koch, 1824</v>
      </c>
      <c r="F19800" s="5" t="s">
        <v>24538</v>
      </c>
      <c r="I19800" s="4" t="str">
        <f>HYPERLINK("#Réglementation!A"&amp;_xlfn.XMATCH("IBE1",Réglementation!A:A,2,1),"IBE1")</f>
        <v>IBE1</v>
      </c>
      <c r="K19800" s="4" t="str">
        <f>HYPERLINK("#Réglementation!A"&amp;_xlfn.XMATCH("CDH2",Réglementation!A:A,2,1),"CDH2 - CDH4")</f>
        <v>CDH2 - CDH4</v>
      </c>
      <c r="L19800" s="4" t="str">
        <f>HYPERLINK("#Réglementation!A"&amp;_xlfn.XMATCH("NV1",Réglementation!A:A,2,1),"NV1")</f>
        <v>NV1</v>
      </c>
      <c r="M19800" s="4" t="str">
        <f>HYPERLINK("#Réglementation!A"&amp;_xlfn.XMATCH("RV26",Réglementation!A:A,2,1),"RV26")</f>
        <v>RV26</v>
      </c>
      <c r="Q19800" s="7" t="str">
        <f>HYPERLINK("#Liste_rouge!A"&amp;_xlfn.XMATCH("EN",Liste_rouge!A:A,2,1),"EN")</f>
        <v>EN</v>
      </c>
      <c r="T19800" s="7" t="str">
        <f>HYPERLINK("#Liste_rouge!A"&amp;_xlfn.XMATCH("RE",Liste_rouge!A:A,2,1),"RE")</f>
        <v>RE</v>
      </c>
      <c r="AE19800" s="4" t="str">
        <f>HYPERLINK("#SCAP!A"&amp;_xlfn.XMATCH("1+",SCAP!A:A,2,1),"1+")</f>
        <v>1+</v>
      </c>
      <c r="AH19800" s="4" t="str">
        <f>HYPERLINK("#Statut_biogéographique!A"&amp;_xlfn.XMATCH("P",Statut_biogéographique!A:A,2,1),"P")</f>
        <v>P</v>
      </c>
      <c r="AM19800" s="4" t="s">
        <v>375</v>
      </c>
      <c r="AN19800" s="4" t="s">
        <v>375</v>
      </c>
      <c r="AO19800" s="4" t="s">
        <v>375</v>
      </c>
      <c r="AP19800" s="4" t="s">
        <v>389</v>
      </c>
      <c r="AR19800" s="4" t="s">
        <v>377</v>
      </c>
    </row>
    <row r="19801" spans="1:44">
      <c r="A19801" s="4" t="s">
        <v>24364</v>
      </c>
      <c r="B19801" s="4">
        <v>101237</v>
      </c>
      <c r="D19801" s="5" t="s">
        <v>24539</v>
      </c>
      <c r="E19801" s="6" t="str">
        <f>HYPERLINK("https://inpn.mnhn.fr/espece/cd_nom/101237","Hemerocallis fulva (L.) L., 1762")</f>
        <v>Hemerocallis fulva (L.) L., 1762</v>
      </c>
      <c r="F19801" s="5" t="s">
        <v>24540</v>
      </c>
      <c r="Q19801" s="7" t="str">
        <f>HYPERLINK("#Liste_rouge!A"&amp;_xlfn.XMATCH("NA",Liste_rouge!A:A,2,1),"NA")</f>
        <v>NA</v>
      </c>
      <c r="T19801" s="7" t="str">
        <f>HYPERLINK("#Liste_rouge!A"&amp;_xlfn.XMATCH("NA",Liste_rouge!A:A,2,1),"NA")</f>
        <v>NA</v>
      </c>
      <c r="AH19801" s="4" t="str">
        <f>HYPERLINK("#Statut_biogéographique!A"&amp;_xlfn.XMATCH("I",Statut_biogéographique!A:A,2,1),"I")</f>
        <v>I</v>
      </c>
      <c r="AP19801" s="4" t="s">
        <v>376</v>
      </c>
      <c r="AR19801" s="4" t="s">
        <v>377</v>
      </c>
    </row>
    <row r="19802" spans="1:44" ht="30">
      <c r="A19802" s="4" t="s">
        <v>24364</v>
      </c>
      <c r="B19802" s="4">
        <v>101239</v>
      </c>
      <c r="D19802" s="5" t="s">
        <v>24541</v>
      </c>
      <c r="E19802" s="6" t="str">
        <f>HYPERLINK("https://inpn.mnhn.fr/espece/cd_nom/101239","Hemerocallis lilioasphodelus L., 1753")</f>
        <v>Hemerocallis lilioasphodelus L., 1753</v>
      </c>
      <c r="F19802" s="5" t="s">
        <v>24542</v>
      </c>
      <c r="Q19802" s="7" t="str">
        <f>HYPERLINK("#Liste_rouge!A"&amp;_xlfn.XMATCH("NA",Liste_rouge!A:A,2,1),"NA")</f>
        <v>NA</v>
      </c>
      <c r="AH19802" s="4" t="str">
        <f>HYPERLINK("#Statut_biogéographique!A"&amp;_xlfn.XMATCH("I",Statut_biogéographique!A:A,2,1),"I")</f>
        <v>I</v>
      </c>
      <c r="AP19802" s="4" t="s">
        <v>376</v>
      </c>
      <c r="AR19802" s="4" t="s">
        <v>377</v>
      </c>
    </row>
    <row r="19803" spans="1:44" ht="30">
      <c r="A19803" s="4" t="s">
        <v>24364</v>
      </c>
      <c r="B19803" s="4">
        <v>101253</v>
      </c>
      <c r="D19803" s="5" t="s">
        <v>24543</v>
      </c>
      <c r="E19803" s="6" t="str">
        <f>HYPERLINK("https://inpn.mnhn.fr/espece/cd_nom/101253","Hepatica nobilis Schreb., 1771")</f>
        <v>Hepatica nobilis Schreb., 1771</v>
      </c>
      <c r="F19803" s="5" t="s">
        <v>24544</v>
      </c>
      <c r="M19803" s="4" t="str">
        <f>HYPERLINK("#Réglementation!A"&amp;_xlfn.XMATCH("RV43",Réglementation!A:A,2,1),"RV43")</f>
        <v>RV43</v>
      </c>
      <c r="Q19803" s="7" t="str">
        <f>HYPERLINK("#Liste_rouge!A"&amp;_xlfn.XMATCH("LC",Liste_rouge!A:A,2,1),"LC")</f>
        <v>LC</v>
      </c>
      <c r="T19803" s="7" t="str">
        <f>HYPERLINK("#Liste_rouge!A"&amp;_xlfn.XMATCH("LC",Liste_rouge!A:A,2,1),"LC")</f>
        <v>LC</v>
      </c>
      <c r="V19803" s="7" t="str">
        <f>HYPERLINK("#Liste_rouge!A"&amp;_xlfn.XMATCH("LC",Liste_rouge!A:A,2,1),"LC")</f>
        <v>LC</v>
      </c>
      <c r="AB19803" s="4" t="s">
        <v>24545</v>
      </c>
      <c r="AH19803" s="4" t="str">
        <f>HYPERLINK("#Statut_biogéographique!A"&amp;_xlfn.XMATCH("P",Statut_biogéographique!A:A,2,1),"P")</f>
        <v>P</v>
      </c>
      <c r="AM19803" s="4" t="s">
        <v>375</v>
      </c>
      <c r="AN19803" s="4" t="s">
        <v>375</v>
      </c>
      <c r="AO19803" s="4" t="s">
        <v>375</v>
      </c>
      <c r="AP19803" s="4" t="s">
        <v>376</v>
      </c>
      <c r="AR19803" s="4" t="s">
        <v>377</v>
      </c>
    </row>
    <row r="19804" spans="1:44" ht="30">
      <c r="A19804" s="4" t="s">
        <v>24364</v>
      </c>
      <c r="B19804" s="4">
        <v>101262</v>
      </c>
      <c r="D19804" s="5" t="s">
        <v>24546</v>
      </c>
      <c r="E19804" s="6" t="str">
        <f>HYPERLINK("https://inpn.mnhn.fr/espece/cd_nom/101262","Heracleum alpinum L., 1753")</f>
        <v>Heracleum alpinum L., 1753</v>
      </c>
      <c r="F19804" s="5" t="s">
        <v>24547</v>
      </c>
      <c r="Q19804" s="7" t="str">
        <f>HYPERLINK("#Liste_rouge!A"&amp;_xlfn.XMATCH("LC",Liste_rouge!A:A,2,1),"LC")</f>
        <v>LC</v>
      </c>
      <c r="V19804" s="7" t="str">
        <f>HYPERLINK("#Liste_rouge!A"&amp;_xlfn.XMATCH("NT",Liste_rouge!A:A,2,1),"NT")</f>
        <v>NT</v>
      </c>
      <c r="W19804" s="4" t="str">
        <f>HYPERLINK("#Critères_liste_rouge!A$1","pr. D2")</f>
        <v>pr. D2</v>
      </c>
      <c r="X19804" s="5" t="s">
        <v>374</v>
      </c>
      <c r="AB19804" s="4" t="s">
        <v>93</v>
      </c>
      <c r="AH19804" s="4" t="str">
        <f>HYPERLINK("#Statut_biogéographique!A"&amp;_xlfn.XMATCH("P",Statut_biogéographique!A:A,2,1),"P")</f>
        <v>P</v>
      </c>
      <c r="AM19804" s="4" t="s">
        <v>375</v>
      </c>
      <c r="AN19804" s="4" t="s">
        <v>375</v>
      </c>
      <c r="AO19804" s="4" t="s">
        <v>375</v>
      </c>
      <c r="AP19804" s="4" t="s">
        <v>376</v>
      </c>
      <c r="AR19804" s="4" t="s">
        <v>377</v>
      </c>
    </row>
    <row r="19805" spans="1:44" ht="30">
      <c r="A19805" s="4" t="s">
        <v>24364</v>
      </c>
      <c r="B19805" s="4">
        <v>101286</v>
      </c>
      <c r="D19805" s="5" t="s">
        <v>24548</v>
      </c>
      <c r="E19805" s="6" t="str">
        <f>HYPERLINK("https://inpn.mnhn.fr/espece/cd_nom/101286","Heracleum mantegazzianum Sommier &amp; Levier, 1895")</f>
        <v>Heracleum mantegazzianum Sommier &amp; Levier, 1895</v>
      </c>
      <c r="F19805" s="5" t="s">
        <v>24549</v>
      </c>
      <c r="O19805" s="7" t="str">
        <f>HYPERLINK("#Liste_rouge!A"&amp;_xlfn.XMATCH("LC",Liste_rouge!A:A,2,1),"LC")</f>
        <v>LC</v>
      </c>
      <c r="Q19805" s="7" t="str">
        <f>HYPERLINK("#Liste_rouge!A"&amp;_xlfn.XMATCH("NA",Liste_rouge!A:A,2,1),"NA")</f>
        <v>NA</v>
      </c>
      <c r="T19805" s="7" t="str">
        <f>HYPERLINK("#Liste_rouge!A"&amp;_xlfn.XMATCH("NA",Liste_rouge!A:A,2,1),"NA")</f>
        <v>NA</v>
      </c>
      <c r="AH19805" s="4" t="str">
        <f>HYPERLINK("#Statut_biogéographique!A"&amp;_xlfn.XMATCH("J",Statut_biogéographique!A:A,2,1),"J")</f>
        <v>J</v>
      </c>
      <c r="AL19805" s="5" t="str">
        <f>HYPERLINK("#Réglementation!A"&amp;_xlfn.XMATCH("FRnoEEEV",Réglementation!A:A,2,1),"FRnoEEEV - EEEUE")</f>
        <v>FRnoEEEV - EEEUE</v>
      </c>
      <c r="AM19805" s="4" t="s">
        <v>375</v>
      </c>
      <c r="AN19805" s="4" t="s">
        <v>375</v>
      </c>
      <c r="AO19805" s="4" t="s">
        <v>375</v>
      </c>
      <c r="AP19805" s="4" t="s">
        <v>376</v>
      </c>
      <c r="AR19805" s="4" t="s">
        <v>377</v>
      </c>
    </row>
    <row r="19806" spans="1:44" ht="45">
      <c r="A19806" s="4" t="s">
        <v>24364</v>
      </c>
      <c r="B19806" s="4">
        <v>101299</v>
      </c>
      <c r="D19806" s="5" t="s">
        <v>24550</v>
      </c>
      <c r="E19806" s="6" t="str">
        <f>HYPERLINK("https://inpn.mnhn.fr/espece/cd_nom/101299","Heracleum sibiricum L., 1753")</f>
        <v>Heracleum sibiricum L., 1753</v>
      </c>
      <c r="F19806" s="5" t="s">
        <v>24551</v>
      </c>
      <c r="Q19806" s="7" t="str">
        <f>HYPERLINK("#Liste_rouge!A"&amp;_xlfn.XMATCH("LC",Liste_rouge!A:A,2,1),"LC")</f>
        <v>LC</v>
      </c>
      <c r="T19806" s="7" t="str">
        <f>HYPERLINK("#Liste_rouge!A"&amp;_xlfn.XMATCH("NE",Liste_rouge!A:A,2,1),"NE")</f>
        <v>NE</v>
      </c>
      <c r="AH19806" s="4" t="str">
        <f>HYPERLINK("#Statut_biogéographique!A"&amp;_xlfn.XMATCH("P",Statut_biogéographique!A:A,2,1),"P")</f>
        <v>P</v>
      </c>
      <c r="AM19806" s="4" t="s">
        <v>375</v>
      </c>
      <c r="AN19806" s="4" t="s">
        <v>375</v>
      </c>
      <c r="AO19806" s="4" t="s">
        <v>375</v>
      </c>
      <c r="AP19806" s="4" t="s">
        <v>376</v>
      </c>
      <c r="AR19806" s="4" t="s">
        <v>377</v>
      </c>
    </row>
    <row r="19807" spans="1:44" ht="30">
      <c r="A19807" s="4" t="s">
        <v>24364</v>
      </c>
      <c r="B19807" s="4">
        <v>101300</v>
      </c>
      <c r="D19807" s="5" t="s">
        <v>24552</v>
      </c>
      <c r="E19807" s="6" t="str">
        <f>HYPERLINK("https://inpn.mnhn.fr/espece/cd_nom/101300","Heracleum sphondylium L., 1753")</f>
        <v>Heracleum sphondylium L., 1753</v>
      </c>
      <c r="F19807" s="5" t="s">
        <v>24553</v>
      </c>
      <c r="Q19807" s="7" t="str">
        <f>HYPERLINK("#Liste_rouge!A"&amp;_xlfn.XMATCH("LC",Liste_rouge!A:A,2,1),"LC")</f>
        <v>LC</v>
      </c>
      <c r="T19807" s="7" t="str">
        <f>HYPERLINK("#Liste_rouge!A"&amp;_xlfn.XMATCH("LC",Liste_rouge!A:A,2,1),"LC")</f>
        <v>LC</v>
      </c>
      <c r="V19807" s="7" t="str">
        <f>HYPERLINK("#Liste_rouge!A"&amp;_xlfn.XMATCH("LC",Liste_rouge!A:A,2,1),"LC")</f>
        <v>LC</v>
      </c>
      <c r="AH19807" s="4" t="str">
        <f>HYPERLINK("#Statut_biogéographique!A"&amp;_xlfn.XMATCH("P",Statut_biogéographique!A:A,2,1),"P")</f>
        <v>P</v>
      </c>
      <c r="AM19807" s="4" t="s">
        <v>375</v>
      </c>
      <c r="AN19807" s="4" t="s">
        <v>375</v>
      </c>
      <c r="AO19807" s="4" t="s">
        <v>375</v>
      </c>
      <c r="AP19807" s="4" t="s">
        <v>376</v>
      </c>
      <c r="AR19807" s="4" t="s">
        <v>377</v>
      </c>
    </row>
    <row r="19808" spans="1:44" ht="30">
      <c r="A19808" s="4" t="s">
        <v>24364</v>
      </c>
      <c r="B19808" s="4">
        <v>101315</v>
      </c>
      <c r="D19808" s="5" t="s">
        <v>24554</v>
      </c>
      <c r="E19808" s="6" t="str">
        <f>HYPERLINK("https://inpn.mnhn.fr/espece/cd_nom/101315","Herminium monorchis (L.) R.Br., 1813")</f>
        <v>Herminium monorchis (L.) R.Br., 1813</v>
      </c>
      <c r="F19808" s="5" t="s">
        <v>24555</v>
      </c>
      <c r="G19808" s="4" t="str">
        <f>HYPERLINK("[#Réglementation!A"&amp;_xlfn.XMATCH("CCB",Réglementation!A:A,2,1),"CCB")</f>
        <v>CCB</v>
      </c>
      <c r="M19808" s="4" t="str">
        <f>HYPERLINK("#Réglementation!A"&amp;_xlfn.XMATCH("RV43",Réglementation!A:A,2,1),"RV43")</f>
        <v>RV43</v>
      </c>
      <c r="P19808" s="7" t="str">
        <f>HYPERLINK("#Liste_rouge!A"&amp;_xlfn.XMATCH("DD",Liste_rouge!A:A,2,1),"DD")</f>
        <v>DD</v>
      </c>
      <c r="Q19808" s="7" t="str">
        <f>HYPERLINK("#Liste_rouge!A"&amp;_xlfn.XMATCH("VU",Liste_rouge!A:A,2,1),"VU")</f>
        <v>VU</v>
      </c>
      <c r="T19808" s="7" t="str">
        <f>HYPERLINK("#Liste_rouge!A"&amp;_xlfn.XMATCH("RE",Liste_rouge!A:A,2,1),"RE")</f>
        <v>RE</v>
      </c>
      <c r="V19808" s="7" t="str">
        <f>HYPERLINK("#Liste_rouge!A"&amp;_xlfn.XMATCH("NT",Liste_rouge!A:A,2,1),"NT")</f>
        <v>NT</v>
      </c>
      <c r="W19808" s="4" t="str">
        <f>HYPERLINK("#Critères_liste_rouge!A$1","pr. B2b(iii,iv)")</f>
        <v>pr. B2b(iii,iv)</v>
      </c>
      <c r="X19808" s="5" t="s">
        <v>374</v>
      </c>
      <c r="AB19808" s="4" t="s">
        <v>93</v>
      </c>
      <c r="AE19808" s="4" t="str">
        <f>HYPERLINK("#SCAP!A"&amp;_xlfn.XMATCH("A",SCAP!A:A,2,1),"A")</f>
        <v>A</v>
      </c>
      <c r="AH19808" s="4" t="str">
        <f>HYPERLINK("#Statut_biogéographique!A"&amp;_xlfn.XMATCH("P",Statut_biogéographique!A:A,2,1),"P")</f>
        <v>P</v>
      </c>
      <c r="AM19808" s="4" t="s">
        <v>375</v>
      </c>
      <c r="AN19808" s="4" t="s">
        <v>375</v>
      </c>
      <c r="AO19808" s="4" t="s">
        <v>375</v>
      </c>
      <c r="AP19808" s="4" t="s">
        <v>389</v>
      </c>
      <c r="AR19808" s="4" t="s">
        <v>377</v>
      </c>
    </row>
    <row r="19809" spans="1:44" ht="60">
      <c r="A19809" s="4" t="s">
        <v>24364</v>
      </c>
      <c r="B19809" s="4">
        <v>101411</v>
      </c>
      <c r="D19809" s="5" t="s">
        <v>24556</v>
      </c>
      <c r="E19809" s="6" t="str">
        <f>HYPERLINK("https://inpn.mnhn.fr/espece/cd_nom/101411","Herniaria glabra L., 1753")</f>
        <v>Herniaria glabra L., 1753</v>
      </c>
      <c r="F19809" s="5" t="s">
        <v>24557</v>
      </c>
      <c r="P19809" s="7" t="str">
        <f>HYPERLINK("#Liste_rouge!A"&amp;_xlfn.XMATCH("LC",Liste_rouge!A:A,2,1),"LC")</f>
        <v>LC</v>
      </c>
      <c r="Q19809" s="7" t="str">
        <f>HYPERLINK("#Liste_rouge!A"&amp;_xlfn.XMATCH("LC",Liste_rouge!A:A,2,1),"LC")</f>
        <v>LC</v>
      </c>
      <c r="T19809" s="7" t="str">
        <f>HYPERLINK("#Liste_rouge!A"&amp;_xlfn.XMATCH("LC",Liste_rouge!A:A,2,1),"LC")</f>
        <v>LC</v>
      </c>
      <c r="V19809" s="7" t="str">
        <f>HYPERLINK("#Liste_rouge!A"&amp;_xlfn.XMATCH("LC",Liste_rouge!A:A,2,1),"LC")</f>
        <v>LC</v>
      </c>
      <c r="AH19809" s="4" t="str">
        <f>HYPERLINK("#Statut_biogéographique!A"&amp;_xlfn.XMATCH("P",Statut_biogéographique!A:A,2,1),"P")</f>
        <v>P</v>
      </c>
      <c r="AM19809" s="4" t="s">
        <v>375</v>
      </c>
      <c r="AN19809" s="4" t="s">
        <v>375</v>
      </c>
      <c r="AO19809" s="4" t="s">
        <v>375</v>
      </c>
      <c r="AP19809" s="4" t="s">
        <v>376</v>
      </c>
      <c r="AR19809" s="4" t="s">
        <v>377</v>
      </c>
    </row>
    <row r="19810" spans="1:44" ht="30">
      <c r="A19810" s="4" t="s">
        <v>24364</v>
      </c>
      <c r="B19810" s="4">
        <v>101412</v>
      </c>
      <c r="D19810" s="5" t="s">
        <v>24558</v>
      </c>
      <c r="E19810" s="6" t="str">
        <f>HYPERLINK("https://inpn.mnhn.fr/espece/cd_nom/101412","Herniaria hirsuta L., 1753")</f>
        <v>Herniaria hirsuta L., 1753</v>
      </c>
      <c r="F19810" s="5" t="s">
        <v>24559</v>
      </c>
      <c r="Q19810" s="7" t="str">
        <f>HYPERLINK("#Liste_rouge!A"&amp;_xlfn.XMATCH("LC",Liste_rouge!A:A,2,1),"LC")</f>
        <v>LC</v>
      </c>
      <c r="T19810" s="7" t="str">
        <f>HYPERLINK("#Liste_rouge!A"&amp;_xlfn.XMATCH("LC",Liste_rouge!A:A,2,1),"LC")</f>
        <v>LC</v>
      </c>
      <c r="V19810" s="7" t="str">
        <f>HYPERLINK("#Liste_rouge!A"&amp;_xlfn.XMATCH("LC",Liste_rouge!A:A,2,1),"LC")</f>
        <v>LC</v>
      </c>
      <c r="AH19810" s="4" t="str">
        <f>HYPERLINK("#Statut_biogéographique!A"&amp;_xlfn.XMATCH("P",Statut_biogéographique!A:A,2,1),"P")</f>
        <v>P</v>
      </c>
      <c r="AM19810" s="4" t="s">
        <v>375</v>
      </c>
      <c r="AN19810" s="4" t="s">
        <v>375</v>
      </c>
      <c r="AO19810" s="4" t="s">
        <v>375</v>
      </c>
      <c r="AP19810" s="4" t="s">
        <v>376</v>
      </c>
      <c r="AR19810" s="4" t="s">
        <v>377</v>
      </c>
    </row>
    <row r="19811" spans="1:44" ht="45">
      <c r="A19811" s="4" t="s">
        <v>24364</v>
      </c>
      <c r="B19811" s="4">
        <v>101460</v>
      </c>
      <c r="D19811" s="5" t="s">
        <v>24560</v>
      </c>
      <c r="E19811" s="6" t="str">
        <f>HYPERLINK("https://inpn.mnhn.fr/espece/cd_nom/101460","Hesperis matronalis L., 1753")</f>
        <v>Hesperis matronalis L., 1753</v>
      </c>
      <c r="F19811" s="5" t="s">
        <v>24561</v>
      </c>
      <c r="Q19811" s="7" t="str">
        <f>HYPERLINK("#Liste_rouge!A"&amp;_xlfn.XMATCH("LC",Liste_rouge!A:A,2,1),"LC")</f>
        <v>LC</v>
      </c>
      <c r="T19811" s="7" t="str">
        <f>HYPERLINK("#Liste_rouge!A"&amp;_xlfn.XMATCH("NA",Liste_rouge!A:A,2,1),"NA")</f>
        <v>NA</v>
      </c>
      <c r="V19811" s="7" t="str">
        <f>HYPERLINK("#Liste_rouge!A"&amp;_xlfn.XMATCH("DD",Liste_rouge!A:A,2,1),"DD")</f>
        <v>DD</v>
      </c>
      <c r="AH19811" s="4" t="str">
        <f>HYPERLINK("#Statut_biogéographique!A"&amp;_xlfn.XMATCH("P",Statut_biogéographique!A:A,2,1),"P")</f>
        <v>P</v>
      </c>
      <c r="AM19811" s="4" t="s">
        <v>375</v>
      </c>
      <c r="AN19811" s="4" t="s">
        <v>375</v>
      </c>
      <c r="AO19811" s="4" t="s">
        <v>375</v>
      </c>
      <c r="AP19811" s="4" t="s">
        <v>376</v>
      </c>
      <c r="AR19811" s="4" t="s">
        <v>377</v>
      </c>
    </row>
    <row r="19812" spans="1:44" ht="30">
      <c r="A19812" s="4" t="s">
        <v>24364</v>
      </c>
      <c r="B19812" s="4">
        <v>1015002</v>
      </c>
      <c r="D19812" s="5" t="s">
        <v>24562</v>
      </c>
      <c r="E19812" s="6" t="str">
        <f>HYPERLINK("https://inpn.mnhn.fr/espece/cd_nom/1015002","Asplenium adiantum-nigrum var. silesiacum (Milde) Milde, 1865")</f>
        <v>Asplenium adiantum-nigrum var. silesiacum (Milde) Milde, 1865</v>
      </c>
      <c r="F19812" s="5" t="s">
        <v>24563</v>
      </c>
      <c r="AH19812" s="4" t="str">
        <f>HYPERLINK("#Statut_biogéographique!A"&amp;_xlfn.XMATCH("P",Statut_biogéographique!A:A,2,1),"P")</f>
        <v>P</v>
      </c>
      <c r="AP19812" s="4" t="s">
        <v>376</v>
      </c>
      <c r="AR19812" s="4" t="s">
        <v>377</v>
      </c>
    </row>
    <row r="19813" spans="1:44" ht="30">
      <c r="A19813" s="4" t="s">
        <v>24364</v>
      </c>
      <c r="B19813" s="4">
        <v>101544</v>
      </c>
      <c r="D19813" s="5" t="s">
        <v>24564</v>
      </c>
      <c r="E19813" s="6" t="str">
        <f>HYPERLINK("https://inpn.mnhn.fr/espece/cd_nom/101544","Hibiscus syriacus L., 1753")</f>
        <v>Hibiscus syriacus L., 1753</v>
      </c>
      <c r="F19813" s="5" t="s">
        <v>24565</v>
      </c>
      <c r="Q19813" s="7" t="str">
        <f>HYPERLINK("#Liste_rouge!A"&amp;_xlfn.XMATCH("NA",Liste_rouge!A:A,2,1),"NA")</f>
        <v>NA</v>
      </c>
      <c r="T19813" s="7" t="str">
        <f>HYPERLINK("#Liste_rouge!A"&amp;_xlfn.XMATCH("NA",Liste_rouge!A:A,2,1),"NA")</f>
        <v>NA</v>
      </c>
      <c r="AH19813" s="4" t="str">
        <f>HYPERLINK("#Statut_biogéographique!A"&amp;_xlfn.XMATCH("M",Statut_biogéographique!A:A,2,1),"M")</f>
        <v>M</v>
      </c>
      <c r="AP19813" s="4" t="s">
        <v>376</v>
      </c>
      <c r="AR19813" s="4" t="s">
        <v>377</v>
      </c>
    </row>
    <row r="19814" spans="1:44" ht="30">
      <c r="A19814" s="4" t="s">
        <v>24364</v>
      </c>
      <c r="B19814" s="4">
        <v>101546</v>
      </c>
      <c r="D19814" s="5" t="s">
        <v>24566</v>
      </c>
      <c r="E19814" s="6" t="str">
        <f>HYPERLINK("https://inpn.mnhn.fr/espece/cd_nom/101546","Hibiscus trionum L., 1753")</f>
        <v>Hibiscus trionum L., 1753</v>
      </c>
      <c r="F19814" s="5" t="s">
        <v>24567</v>
      </c>
      <c r="Q19814" s="7" t="str">
        <f>HYPERLINK("#Liste_rouge!A"&amp;_xlfn.XMATCH("NA",Liste_rouge!A:A,2,1),"NA")</f>
        <v>NA</v>
      </c>
      <c r="AH19814" s="4" t="str">
        <f>HYPERLINK("#Statut_biogéographique!A"&amp;_xlfn.XMATCH("I",Statut_biogéographique!A:A,2,1),"I")</f>
        <v>I</v>
      </c>
      <c r="AP19814" s="4" t="s">
        <v>376</v>
      </c>
      <c r="AR19814" s="4" t="s">
        <v>377</v>
      </c>
    </row>
    <row r="19815" spans="1:44" ht="45">
      <c r="A19815" s="4" t="s">
        <v>24364</v>
      </c>
      <c r="B19815" s="4">
        <v>101587</v>
      </c>
      <c r="D19815" s="5" t="s">
        <v>24568</v>
      </c>
      <c r="E19815" s="6" t="str">
        <f>HYPERLINK("https://inpn.mnhn.fr/espece/cd_nom/101587","Hieracium acuminatum Jord., 1849")</f>
        <v>Hieracium acuminatum Jord., 1849</v>
      </c>
      <c r="F19815" s="5" t="s">
        <v>24569</v>
      </c>
      <c r="Q19815" s="7" t="str">
        <f>HYPERLINK("#Liste_rouge!A"&amp;_xlfn.XMATCH("LC",Liste_rouge!A:A,2,1),"LC")</f>
        <v>LC</v>
      </c>
      <c r="T19815" s="7" t="str">
        <f>HYPERLINK("#Liste_rouge!A"&amp;_xlfn.XMATCH("NE",Liste_rouge!A:A,2,1),"NE")</f>
        <v>NE</v>
      </c>
      <c r="V19815" s="7" t="str">
        <f>HYPERLINK("#Liste_rouge!A"&amp;_xlfn.XMATCH("LC",Liste_rouge!A:A,2,1),"LC")</f>
        <v>LC</v>
      </c>
      <c r="AH19815" s="4" t="str">
        <f>HYPERLINK("#Statut_biogéographique!A"&amp;_xlfn.XMATCH("P",Statut_biogéographique!A:A,2,1),"P")</f>
        <v>P</v>
      </c>
      <c r="AM19815" s="4" t="s">
        <v>375</v>
      </c>
      <c r="AN19815" s="4" t="s">
        <v>375</v>
      </c>
      <c r="AO19815" s="4" t="s">
        <v>375</v>
      </c>
      <c r="AP19815" s="4" t="s">
        <v>376</v>
      </c>
      <c r="AR19815" s="4" t="s">
        <v>377</v>
      </c>
    </row>
    <row r="19816" spans="1:44" ht="75">
      <c r="A19816" s="4" t="s">
        <v>24364</v>
      </c>
      <c r="B19816" s="4">
        <v>1015901</v>
      </c>
      <c r="D19816" s="5" t="s">
        <v>24570</v>
      </c>
      <c r="E19816" s="6" t="str">
        <f>HYPERLINK("https://inpn.mnhn.fr/espece/cd_nom/1015901","Sporobolus alopecuroides (Piller &amp; Mitterp.) P.M.Peterson, 2014")</f>
        <v>Sporobolus alopecuroides (Piller &amp; Mitterp.) P.M.Peterson, 2014</v>
      </c>
      <c r="F19816" s="5" t="s">
        <v>24571</v>
      </c>
      <c r="M19816" s="4" t="str">
        <f>HYPERLINK("#Réglementation!A"&amp;_xlfn.XMATCH("RV43",Réglementation!A:A,2,1),"RV43")</f>
        <v>RV43</v>
      </c>
      <c r="O19816" s="7" t="str">
        <f>HYPERLINK("#Liste_rouge!A"&amp;_xlfn.XMATCH("LC",Liste_rouge!A:A,2,1),"LC")</f>
        <v>LC</v>
      </c>
      <c r="Q19816" s="7" t="str">
        <f>HYPERLINK("#Liste_rouge!A"&amp;_xlfn.XMATCH("LC",Liste_rouge!A:A,2,1),"LC")</f>
        <v>LC</v>
      </c>
      <c r="T19816" s="7" t="str">
        <f>HYPERLINK("#Liste_rouge!A"&amp;_xlfn.XMATCH("EN",Liste_rouge!A:A,2,1),"EN")</f>
        <v>EN</v>
      </c>
      <c r="U19816" s="4" t="str">
        <f>HYPERLINK("#Critères_liste_rouge!A$1","B2a C2a(i)")</f>
        <v>B2a C2a(i)</v>
      </c>
      <c r="V19816" s="7" t="str">
        <f>HYPERLINK("#Liste_rouge!A"&amp;_xlfn.XMATCH("RE",Liste_rouge!A:A,2,1),"RE")</f>
        <v>RE</v>
      </c>
      <c r="X19816" s="5" t="s">
        <v>374</v>
      </c>
      <c r="AB19816" s="4" t="s">
        <v>93</v>
      </c>
      <c r="AH19816" s="4" t="str">
        <f>HYPERLINK("#Statut_biogéographique!A"&amp;_xlfn.XMATCH("P",Statut_biogéographique!A:A,2,1),"P")</f>
        <v>P</v>
      </c>
      <c r="AM19816" s="4" t="s">
        <v>375</v>
      </c>
      <c r="AN19816" s="4" t="s">
        <v>375</v>
      </c>
      <c r="AO19816" s="4" t="s">
        <v>375</v>
      </c>
      <c r="AP19816" s="4" t="s">
        <v>376</v>
      </c>
      <c r="AR19816" s="4" t="s">
        <v>377</v>
      </c>
    </row>
    <row r="19817" spans="1:44" ht="45">
      <c r="A19817" s="4" t="s">
        <v>24364</v>
      </c>
      <c r="B19817" s="4">
        <v>101617</v>
      </c>
      <c r="D19817" s="5" t="s">
        <v>24572</v>
      </c>
      <c r="E19817" s="6" t="str">
        <f>HYPERLINK("https://inpn.mnhn.fr/espece/cd_nom/101617","Hieracium amplexicaule L., 1753")</f>
        <v>Hieracium amplexicaule L., 1753</v>
      </c>
      <c r="F19817" s="5" t="s">
        <v>24573</v>
      </c>
      <c r="Q19817" s="7" t="str">
        <f>HYPERLINK("#Liste_rouge!A"&amp;_xlfn.XMATCH("LC",Liste_rouge!A:A,2,1),"LC")</f>
        <v>LC</v>
      </c>
      <c r="V19817" s="7" t="str">
        <f>HYPERLINK("#Liste_rouge!A"&amp;_xlfn.XMATCH("DD",Liste_rouge!A:A,2,1),"DD")</f>
        <v>DD</v>
      </c>
      <c r="X19817" s="5" t="s">
        <v>374</v>
      </c>
      <c r="AB19817" s="4" t="s">
        <v>93</v>
      </c>
      <c r="AH19817" s="4" t="str">
        <f>HYPERLINK("#Statut_biogéographique!A"&amp;_xlfn.XMATCH("P",Statut_biogéographique!A:A,2,1),"P")</f>
        <v>P</v>
      </c>
      <c r="AM19817" s="4" t="s">
        <v>375</v>
      </c>
      <c r="AN19817" s="4" t="s">
        <v>375</v>
      </c>
      <c r="AO19817" s="4" t="s">
        <v>375</v>
      </c>
      <c r="AP19817" s="4" t="s">
        <v>376</v>
      </c>
      <c r="AR19817" s="4" t="s">
        <v>377</v>
      </c>
    </row>
    <row r="19818" spans="1:44">
      <c r="A19818" s="4" t="s">
        <v>24364</v>
      </c>
      <c r="B19818" s="4">
        <v>101633</v>
      </c>
      <c r="D19818" s="5" t="s">
        <v>24574</v>
      </c>
      <c r="E19818" s="6" t="str">
        <f>HYPERLINK("https://inpn.mnhn.fr/espece/cd_nom/101633","Hieracium approximatum Jord., 1848")</f>
        <v>Hieracium approximatum Jord., 1848</v>
      </c>
      <c r="F19818" s="5" t="s">
        <v>24575</v>
      </c>
      <c r="Q19818" s="7" t="str">
        <f>HYPERLINK("#Liste_rouge!A"&amp;_xlfn.XMATCH("LC",Liste_rouge!A:A,2,1),"LC")</f>
        <v>LC</v>
      </c>
      <c r="T19818" s="7" t="str">
        <f>HYPERLINK("#Liste_rouge!A"&amp;_xlfn.XMATCH("NE",Liste_rouge!A:A,2,1),"NE")</f>
        <v>NE</v>
      </c>
      <c r="V19818" s="7" t="str">
        <f>HYPERLINK("#Liste_rouge!A"&amp;_xlfn.XMATCH("LC",Liste_rouge!A:A,2,1),"LC")</f>
        <v>LC</v>
      </c>
      <c r="AH19818" s="4" t="str">
        <f>HYPERLINK("#Statut_biogéographique!A"&amp;_xlfn.XMATCH("P",Statut_biogéographique!A:A,2,1),"P")</f>
        <v>P</v>
      </c>
      <c r="AM19818" s="4" t="s">
        <v>375</v>
      </c>
      <c r="AN19818" s="4" t="s">
        <v>375</v>
      </c>
      <c r="AO19818" s="4" t="s">
        <v>375</v>
      </c>
      <c r="AP19818" s="4" t="s">
        <v>376</v>
      </c>
      <c r="AR19818" s="4" t="s">
        <v>377</v>
      </c>
    </row>
    <row r="19819" spans="1:44" ht="30">
      <c r="A19819" s="4" t="s">
        <v>24364</v>
      </c>
      <c r="B19819" s="4">
        <v>101641</v>
      </c>
      <c r="D19819" s="5" t="s">
        <v>24576</v>
      </c>
      <c r="E19819" s="6" t="str">
        <f>HYPERLINK("https://inpn.mnhn.fr/espece/cd_nom/101641","Hieracium argillaceum Jord., 1849")</f>
        <v>Hieracium argillaceum Jord., 1849</v>
      </c>
      <c r="F19819" s="5" t="s">
        <v>24577</v>
      </c>
      <c r="Q19819" s="7" t="str">
        <f>HYPERLINK("#Liste_rouge!A"&amp;_xlfn.XMATCH("LC",Liste_rouge!A:A,2,1),"LC")</f>
        <v>LC</v>
      </c>
      <c r="T19819" s="7" t="str">
        <f>HYPERLINK("#Liste_rouge!A"&amp;_xlfn.XMATCH("LC",Liste_rouge!A:A,2,1),"LC")</f>
        <v>LC</v>
      </c>
      <c r="V19819" s="7" t="str">
        <f>HYPERLINK("#Liste_rouge!A"&amp;_xlfn.XMATCH("LC",Liste_rouge!A:A,2,1),"LC")</f>
        <v>LC</v>
      </c>
      <c r="AH19819" s="4" t="str">
        <f>HYPERLINK("#Statut_biogéographique!A"&amp;_xlfn.XMATCH("P",Statut_biogéographique!A:A,2,1),"P")</f>
        <v>P</v>
      </c>
      <c r="AM19819" s="4" t="s">
        <v>375</v>
      </c>
      <c r="AN19819" s="4" t="s">
        <v>375</v>
      </c>
      <c r="AO19819" s="4" t="s">
        <v>375</v>
      </c>
      <c r="AP19819" s="4" t="s">
        <v>376</v>
      </c>
      <c r="AR19819" s="4" t="s">
        <v>377</v>
      </c>
    </row>
    <row r="19820" spans="1:44" ht="45">
      <c r="A19820" s="4" t="s">
        <v>24364</v>
      </c>
      <c r="B19820" s="4">
        <v>101646</v>
      </c>
      <c r="D19820" s="5" t="s">
        <v>24578</v>
      </c>
      <c r="E19820" s="6" t="str">
        <f>HYPERLINK("https://inpn.mnhn.fr/espece/cd_nom/101646","Hieracium armerioides Arv.-Touv., 1871")</f>
        <v>Hieracium armerioides Arv.-Touv., 1871</v>
      </c>
      <c r="F19820" s="5" t="s">
        <v>24579</v>
      </c>
      <c r="Q19820" s="7" t="str">
        <f>HYPERLINK("#Liste_rouge!A"&amp;_xlfn.XMATCH("LC",Liste_rouge!A:A,2,1),"LC")</f>
        <v>LC</v>
      </c>
      <c r="AH19820" s="4" t="str">
        <f>HYPERLINK("#Statut_biogéographique!A"&amp;_xlfn.XMATCH("P",Statut_biogéographique!A:A,2,1),"P")</f>
        <v>P</v>
      </c>
      <c r="AP19820" s="4" t="s">
        <v>376</v>
      </c>
      <c r="AR19820" s="4" t="s">
        <v>377</v>
      </c>
    </row>
    <row r="19821" spans="1:44">
      <c r="A19821" s="4" t="s">
        <v>24364</v>
      </c>
      <c r="B19821" s="4">
        <v>101658</v>
      </c>
      <c r="D19821" s="5" t="s">
        <v>24580</v>
      </c>
      <c r="E19821" s="6" t="str">
        <f>HYPERLINK("https://inpn.mnhn.fr/espece/cd_nom/101658","Hieracium aspernatum Jord. ex Boreau, 1857")</f>
        <v>Hieracium aspernatum Jord. ex Boreau, 1857</v>
      </c>
      <c r="F19821" s="5" t="s">
        <v>24581</v>
      </c>
      <c r="Q19821" s="7" t="str">
        <f>HYPERLINK("#Liste_rouge!A"&amp;_xlfn.XMATCH("DD",Liste_rouge!A:A,2,1),"DD")</f>
        <v>DD</v>
      </c>
      <c r="T19821" s="7" t="str">
        <f>HYPERLINK("#Liste_rouge!A"&amp;_xlfn.XMATCH("NE",Liste_rouge!A:A,2,1),"NE")</f>
        <v>NE</v>
      </c>
      <c r="AH19821" s="4" t="str">
        <f>HYPERLINK("#Statut_biogéographique!A"&amp;_xlfn.XMATCH("P",Statut_biogéographique!A:A,2,1),"P")</f>
        <v>P</v>
      </c>
      <c r="AM19821" s="4" t="s">
        <v>375</v>
      </c>
      <c r="AN19821" s="4" t="s">
        <v>375</v>
      </c>
      <c r="AO19821" s="4" t="s">
        <v>375</v>
      </c>
      <c r="AP19821" s="4" t="s">
        <v>376</v>
      </c>
      <c r="AR19821" s="4" t="s">
        <v>377</v>
      </c>
    </row>
    <row r="19822" spans="1:44">
      <c r="A19822" s="4" t="s">
        <v>24364</v>
      </c>
      <c r="B19822" s="4">
        <v>101668</v>
      </c>
      <c r="D19822" s="5" t="s">
        <v>24582</v>
      </c>
      <c r="E19822" s="6" t="str">
        <f>HYPERLINK("https://inpn.mnhn.fr/espece/cd_nom/101668","Hieracium auratum Fr., 1848")</f>
        <v>Hieracium auratum Fr., 1848</v>
      </c>
      <c r="F19822" s="5" t="s">
        <v>24583</v>
      </c>
      <c r="T19822" s="7" t="str">
        <f>HYPERLINK("#Liste_rouge!A"&amp;_xlfn.XMATCH("NE",Liste_rouge!A:A,2,1),"NE")</f>
        <v>NE</v>
      </c>
      <c r="AH19822" s="4" t="str">
        <f>HYPERLINK("#Statut_biogéographique!A"&amp;_xlfn.XMATCH("Q",Statut_biogéographique!A:A,2,1),"Q")</f>
        <v>Q</v>
      </c>
      <c r="AM19822" s="4" t="s">
        <v>375</v>
      </c>
      <c r="AN19822" s="4" t="s">
        <v>375</v>
      </c>
      <c r="AO19822" s="4" t="s">
        <v>375</v>
      </c>
      <c r="AP19822" s="4" t="s">
        <v>376</v>
      </c>
      <c r="AR19822" s="4" t="s">
        <v>377</v>
      </c>
    </row>
    <row r="19823" spans="1:44" ht="30">
      <c r="A19823" s="4" t="s">
        <v>24364</v>
      </c>
      <c r="B19823" s="4">
        <v>101737</v>
      </c>
      <c r="D19823" s="5" t="s">
        <v>24584</v>
      </c>
      <c r="E19823" s="6" t="str">
        <f>HYPERLINK("https://inpn.mnhn.fr/espece/cd_nom/101737","Hieracium brevipes Jord. ex Boreau, 1857")</f>
        <v>Hieracium brevipes Jord. ex Boreau, 1857</v>
      </c>
      <c r="F19823" s="5" t="s">
        <v>24585</v>
      </c>
      <c r="Q19823" s="7" t="str">
        <f>HYPERLINK("#Liste_rouge!A"&amp;_xlfn.XMATCH("LC",Liste_rouge!A:A,2,1),"LC")</f>
        <v>LC</v>
      </c>
      <c r="T19823" s="7" t="str">
        <f>HYPERLINK("#Liste_rouge!A"&amp;_xlfn.XMATCH("NE",Liste_rouge!A:A,2,1),"NE")</f>
        <v>NE</v>
      </c>
      <c r="AH19823" s="4" t="str">
        <f>HYPERLINK("#Statut_biogéographique!A"&amp;_xlfn.XMATCH("P",Statut_biogéographique!A:A,2,1),"P")</f>
        <v>P</v>
      </c>
      <c r="AP19823" s="4" t="s">
        <v>376</v>
      </c>
      <c r="AR19823" s="4" t="s">
        <v>377</v>
      </c>
    </row>
    <row r="19824" spans="1:44" ht="30">
      <c r="A19824" s="4" t="s">
        <v>24364</v>
      </c>
      <c r="B19824" s="4">
        <v>101757</v>
      </c>
      <c r="D19824" s="5" t="s">
        <v>24586</v>
      </c>
      <c r="E19824" s="6" t="str">
        <f>HYPERLINK("https://inpn.mnhn.fr/espece/cd_nom/101757","Hieracium caesium (Fr.) Fr., 1848")</f>
        <v>Hieracium caesium (Fr.) Fr., 1848</v>
      </c>
      <c r="F19824" s="5" t="s">
        <v>24587</v>
      </c>
      <c r="AH19824" s="4" t="str">
        <f>HYPERLINK("#Statut_biogéographique!A"&amp;_xlfn.XMATCH("Q",Statut_biogéographique!A:A,2,1),"Q")</f>
        <v>Q</v>
      </c>
      <c r="AP19824" s="4" t="s">
        <v>376</v>
      </c>
      <c r="AR19824" s="4" t="s">
        <v>377</v>
      </c>
    </row>
    <row r="19825" spans="1:44" ht="30">
      <c r="A19825" s="4" t="s">
        <v>24364</v>
      </c>
      <c r="B19825" s="4">
        <v>1017676</v>
      </c>
      <c r="D19825" s="5" t="s">
        <v>24588</v>
      </c>
      <c r="E19825" s="6" t="str">
        <f>HYPERLINK("https://inpn.mnhn.fr/espece/cd_nom/1017676","Utricularia tenuicaulis Miki, 1935")</f>
        <v>Utricularia tenuicaulis Miki, 1935</v>
      </c>
      <c r="F19825" s="5" t="s">
        <v>24589</v>
      </c>
      <c r="AH19825" s="4" t="str">
        <f>HYPERLINK("#Statut_biogéographique!A"&amp;_xlfn.XMATCH("P",Statut_biogéographique!A:A,2,1),"P")</f>
        <v>P</v>
      </c>
      <c r="AP19825" s="4" t="s">
        <v>376</v>
      </c>
      <c r="AR19825" s="4" t="s">
        <v>377</v>
      </c>
    </row>
    <row r="19826" spans="1:44" ht="30">
      <c r="A19826" s="4" t="s">
        <v>24364</v>
      </c>
      <c r="B19826" s="4">
        <v>1017934</v>
      </c>
      <c r="D19826" s="5" t="s">
        <v>24590</v>
      </c>
      <c r="E19826" s="6" t="str">
        <f>HYPERLINK("https://inpn.mnhn.fr/espece/cd_nom/1017934","Festuca caeruleosaxatilis (Boeuf &amp; J.­P.Berchtold) Boeuf &amp; J.­P.Berchtold, 2022")</f>
        <v>Festuca caeruleosaxatilis (Boeuf &amp; J.­P.Berchtold) Boeuf &amp; J.­P.Berchtold, 2022</v>
      </c>
      <c r="AH19826" s="4" t="str">
        <f>HYPERLINK("#Statut_biogéographique!A"&amp;_xlfn.XMATCH("P",Statut_biogéographique!A:A,2,1),"P")</f>
        <v>P</v>
      </c>
      <c r="AP19826" s="4" t="s">
        <v>376</v>
      </c>
      <c r="AR19826" s="4" t="s">
        <v>377</v>
      </c>
    </row>
    <row r="19827" spans="1:44" ht="30">
      <c r="A19827" s="4" t="s">
        <v>24364</v>
      </c>
      <c r="B19827" s="4">
        <v>1017984</v>
      </c>
      <c r="D19827" s="5" t="s">
        <v>24591</v>
      </c>
      <c r="E19827" s="6" t="str">
        <f>HYPERLINK("https://inpn.mnhn.fr/espece/cd_nom/1017984","Rubus nigricans Danthoine, 1791")</f>
        <v>Rubus nigricans Danthoine, 1791</v>
      </c>
      <c r="F19827" s="5" t="s">
        <v>24592</v>
      </c>
      <c r="V19827" s="7" t="str">
        <f>HYPERLINK("#Liste_rouge!A"&amp;_xlfn.XMATCH("DD",Liste_rouge!A:A,2,1),"DD")</f>
        <v>DD</v>
      </c>
      <c r="AH19827" s="4" t="str">
        <f>HYPERLINK("#Statut_biogéographique!A"&amp;_xlfn.XMATCH("P",Statut_biogéographique!A:A,2,1),"P")</f>
        <v>P</v>
      </c>
      <c r="AM19827" s="4" t="s">
        <v>375</v>
      </c>
      <c r="AN19827" s="4" t="s">
        <v>375</v>
      </c>
      <c r="AO19827" s="4" t="s">
        <v>375</v>
      </c>
      <c r="AP19827" s="4" t="s">
        <v>376</v>
      </c>
      <c r="AR19827" s="4" t="s">
        <v>377</v>
      </c>
    </row>
    <row r="19828" spans="1:44" ht="30">
      <c r="A19828" s="4" t="s">
        <v>24364</v>
      </c>
      <c r="B19828" s="4">
        <v>101811</v>
      </c>
      <c r="D19828" s="5" t="s">
        <v>24593</v>
      </c>
      <c r="E19828" s="6" t="str">
        <f>HYPERLINK("https://inpn.mnhn.fr/espece/cd_nom/101811","Hieracium chlorophyllum Jord. ex Boreau, 1857")</f>
        <v>Hieracium chlorophyllum Jord. ex Boreau, 1857</v>
      </c>
      <c r="F19828" s="5" t="s">
        <v>24594</v>
      </c>
      <c r="T19828" s="7" t="str">
        <f>HYPERLINK("#Liste_rouge!A"&amp;_xlfn.XMATCH("NE",Liste_rouge!A:A,2,1),"NE")</f>
        <v>NE</v>
      </c>
      <c r="AH19828" s="4" t="str">
        <f>HYPERLINK("#Statut_biogéographique!A"&amp;_xlfn.XMATCH("P",Statut_biogéographique!A:A,2,1),"P")</f>
        <v>P</v>
      </c>
      <c r="AM19828" s="4" t="s">
        <v>375</v>
      </c>
      <c r="AN19828" s="4" t="s">
        <v>375</v>
      </c>
      <c r="AO19828" s="4" t="s">
        <v>375</v>
      </c>
      <c r="AP19828" s="4" t="s">
        <v>376</v>
      </c>
      <c r="AR19828" s="4" t="s">
        <v>377</v>
      </c>
    </row>
    <row r="19829" spans="1:44" ht="75">
      <c r="A19829" s="4" t="s">
        <v>24364</v>
      </c>
      <c r="B19829" s="4">
        <v>101823</v>
      </c>
      <c r="D19829" s="5" t="s">
        <v>24595</v>
      </c>
      <c r="E19829" s="6" t="str">
        <f>HYPERLINK("https://inpn.mnhn.fr/espece/cd_nom/101823","Hieracium cinerascens Jord., 1849")</f>
        <v>Hieracium cinerascens Jord., 1849</v>
      </c>
      <c r="F19829" s="5" t="s">
        <v>24596</v>
      </c>
      <c r="Q19829" s="7" t="str">
        <f>HYPERLINK("#Liste_rouge!A"&amp;_xlfn.XMATCH("LC",Liste_rouge!A:A,2,1),"LC")</f>
        <v>LC</v>
      </c>
      <c r="T19829" s="7" t="str">
        <f>HYPERLINK("#Liste_rouge!A"&amp;_xlfn.XMATCH("NE",Liste_rouge!A:A,2,1),"NE")</f>
        <v>NE</v>
      </c>
      <c r="AH19829" s="4" t="str">
        <f>HYPERLINK("#Statut_biogéographique!A"&amp;_xlfn.XMATCH("P",Statut_biogéographique!A:A,2,1),"P")</f>
        <v>P</v>
      </c>
      <c r="AM19829" s="4" t="s">
        <v>375</v>
      </c>
      <c r="AN19829" s="4" t="s">
        <v>375</v>
      </c>
      <c r="AO19829" s="4" t="s">
        <v>375</v>
      </c>
      <c r="AP19829" s="4" t="s">
        <v>376</v>
      </c>
      <c r="AR19829" s="4" t="s">
        <v>377</v>
      </c>
    </row>
    <row r="19830" spans="1:44" ht="45">
      <c r="A19830" s="4" t="s">
        <v>24364</v>
      </c>
      <c r="B19830" s="4">
        <v>101838</v>
      </c>
      <c r="D19830" s="5" t="s">
        <v>24597</v>
      </c>
      <c r="E19830" s="6" t="str">
        <f>HYPERLINK("https://inpn.mnhn.fr/espece/cd_nom/101838","Hieracium commixtum Jord., 1848")</f>
        <v>Hieracium commixtum Jord., 1848</v>
      </c>
      <c r="F19830" s="5" t="s">
        <v>24598</v>
      </c>
      <c r="Q19830" s="7" t="str">
        <f>HYPERLINK("#Liste_rouge!A"&amp;_xlfn.XMATCH("DD",Liste_rouge!A:A,2,1),"DD")</f>
        <v>DD</v>
      </c>
      <c r="T19830" s="7" t="str">
        <f>HYPERLINK("#Liste_rouge!A"&amp;_xlfn.XMATCH("NE",Liste_rouge!A:A,2,1),"NE")</f>
        <v>NE</v>
      </c>
      <c r="AH19830" s="4" t="str">
        <f>HYPERLINK("#Statut_biogéographique!A"&amp;_xlfn.XMATCH("P",Statut_biogéographique!A:A,2,1),"P")</f>
        <v>P</v>
      </c>
      <c r="AM19830" s="4" t="s">
        <v>375</v>
      </c>
      <c r="AN19830" s="4" t="s">
        <v>375</v>
      </c>
      <c r="AO19830" s="4" t="s">
        <v>375</v>
      </c>
      <c r="AP19830" s="4" t="s">
        <v>376</v>
      </c>
      <c r="AR19830" s="4" t="s">
        <v>377</v>
      </c>
    </row>
    <row r="19831" spans="1:44" ht="30">
      <c r="A19831" s="4" t="s">
        <v>24364</v>
      </c>
      <c r="B19831" s="4">
        <v>101842</v>
      </c>
      <c r="D19831" s="5" t="s">
        <v>24599</v>
      </c>
      <c r="E19831" s="6" t="str">
        <f>HYPERLINK("https://inpn.mnhn.fr/espece/cd_nom/101842","Hieracium concinnum Jord., 1849")</f>
        <v>Hieracium concinnum Jord., 1849</v>
      </c>
      <c r="F19831" s="5" t="s">
        <v>24600</v>
      </c>
      <c r="Q19831" s="7" t="str">
        <f>HYPERLINK("#Liste_rouge!A"&amp;_xlfn.XMATCH("LC",Liste_rouge!A:A,2,1),"LC")</f>
        <v>LC</v>
      </c>
      <c r="T19831" s="7" t="str">
        <f>HYPERLINK("#Liste_rouge!A"&amp;_xlfn.XMATCH("NE",Liste_rouge!A:A,2,1),"NE")</f>
        <v>NE</v>
      </c>
      <c r="AH19831" s="4" t="str">
        <f>HYPERLINK("#Statut_biogéographique!A"&amp;_xlfn.XMATCH("P",Statut_biogéographique!A:A,2,1),"P")</f>
        <v>P</v>
      </c>
      <c r="AM19831" s="4" t="s">
        <v>375</v>
      </c>
      <c r="AN19831" s="4" t="s">
        <v>375</v>
      </c>
      <c r="AO19831" s="4" t="s">
        <v>375</v>
      </c>
      <c r="AP19831" s="4" t="s">
        <v>376</v>
      </c>
      <c r="AR19831" s="4" t="s">
        <v>377</v>
      </c>
    </row>
    <row r="19832" spans="1:44">
      <c r="A19832" s="4" t="s">
        <v>24364</v>
      </c>
      <c r="B19832" s="4">
        <v>101844</v>
      </c>
      <c r="D19832" s="5" t="s">
        <v>24601</v>
      </c>
      <c r="E19832" s="6" t="str">
        <f>HYPERLINK("https://inpn.mnhn.fr/espece/cd_nom/101844","Hieracium conjugatum Jord. ex Boreau, 1857")</f>
        <v>Hieracium conjugatum Jord. ex Boreau, 1857</v>
      </c>
      <c r="F19832" s="5" t="s">
        <v>24602</v>
      </c>
      <c r="Q19832" s="7" t="str">
        <f>HYPERLINK("#Liste_rouge!A"&amp;_xlfn.XMATCH("LC",Liste_rouge!A:A,2,1),"LC")</f>
        <v>LC</v>
      </c>
      <c r="T19832" s="7" t="str">
        <f>HYPERLINK("#Liste_rouge!A"&amp;_xlfn.XMATCH("NE",Liste_rouge!A:A,2,1),"NE")</f>
        <v>NE</v>
      </c>
      <c r="AH19832" s="4" t="str">
        <f>HYPERLINK("#Statut_biogéographique!A"&amp;_xlfn.XMATCH("P",Statut_biogéographique!A:A,2,1),"P")</f>
        <v>P</v>
      </c>
      <c r="AM19832" s="4" t="s">
        <v>375</v>
      </c>
      <c r="AN19832" s="4" t="s">
        <v>375</v>
      </c>
      <c r="AO19832" s="4" t="s">
        <v>375</v>
      </c>
      <c r="AP19832" s="4" t="s">
        <v>376</v>
      </c>
      <c r="AR19832" s="4" t="s">
        <v>377</v>
      </c>
    </row>
    <row r="19833" spans="1:44" ht="45">
      <c r="A19833" s="4" t="s">
        <v>24364</v>
      </c>
      <c r="B19833" s="4">
        <v>101864</v>
      </c>
      <c r="D19833" s="5" t="s">
        <v>24603</v>
      </c>
      <c r="E19833" s="6" t="str">
        <f>HYPERLINK("https://inpn.mnhn.fr/espece/cd_nom/101864","Hieracium cottetii Christener, 1870")</f>
        <v>Hieracium cottetii Christener, 1870</v>
      </c>
      <c r="F19833" s="5" t="s">
        <v>24604</v>
      </c>
      <c r="Q19833" s="7" t="str">
        <f>HYPERLINK("#Liste_rouge!A"&amp;_xlfn.XMATCH("DD",Liste_rouge!A:A,2,1),"DD (cd_nom 101687) - LC (cd_nom 101864)")</f>
        <v>DD (cd_nom 101687) - LC (cd_nom 101864)</v>
      </c>
      <c r="T19833" s="7" t="str">
        <f>HYPERLINK("#Liste_rouge!A"&amp;_xlfn.XMATCH("NE",Liste_rouge!A:A,2,1),"NE")</f>
        <v>NE</v>
      </c>
      <c r="V19833" s="7" t="str">
        <f>HYPERLINK("#Liste_rouge!A"&amp;_xlfn.XMATCH("DD",Liste_rouge!A:A,2,1),"DD")</f>
        <v>DD</v>
      </c>
      <c r="AH19833" s="4" t="str">
        <f>HYPERLINK("#Statut_biogéographique!A"&amp;_xlfn.XMATCH("P",Statut_biogéographique!A:A,2,1),"P")</f>
        <v>P</v>
      </c>
      <c r="AM19833" s="4" t="s">
        <v>375</v>
      </c>
      <c r="AN19833" s="4" t="s">
        <v>375</v>
      </c>
      <c r="AO19833" s="4" t="s">
        <v>375</v>
      </c>
      <c r="AP19833" s="4" t="s">
        <v>376</v>
      </c>
      <c r="AR19833" s="4" t="s">
        <v>377</v>
      </c>
    </row>
    <row r="19834" spans="1:44">
      <c r="A19834" s="4" t="s">
        <v>24364</v>
      </c>
      <c r="B19834" s="4">
        <v>101875</v>
      </c>
      <c r="D19834" s="5" t="s">
        <v>24605</v>
      </c>
      <c r="E19834" s="6" t="str">
        <f>HYPERLINK("https://inpn.mnhn.fr/espece/cd_nom/101875","Hieracium cryptadenum Arv.-Touv., 1894")</f>
        <v>Hieracium cryptadenum Arv.-Touv., 1894</v>
      </c>
      <c r="F19834" s="5" t="s">
        <v>24606</v>
      </c>
      <c r="Q19834" s="7" t="str">
        <f>HYPERLINK("#Liste_rouge!A"&amp;_xlfn.XMATCH("LC",Liste_rouge!A:A,2,1),"LC")</f>
        <v>LC</v>
      </c>
      <c r="X19834" s="5" t="s">
        <v>374</v>
      </c>
      <c r="AB19834" s="4" t="s">
        <v>93</v>
      </c>
      <c r="AH19834" s="4" t="str">
        <f>HYPERLINK("#Statut_biogéographique!A"&amp;_xlfn.XMATCH("P",Statut_biogéographique!A:A,2,1),"P")</f>
        <v>P</v>
      </c>
      <c r="AM19834" s="4" t="s">
        <v>375</v>
      </c>
      <c r="AN19834" s="4" t="s">
        <v>375</v>
      </c>
      <c r="AO19834" s="4" t="s">
        <v>375</v>
      </c>
      <c r="AP19834" s="4" t="s">
        <v>376</v>
      </c>
      <c r="AR19834" s="4" t="s">
        <v>377</v>
      </c>
    </row>
    <row r="19835" spans="1:44">
      <c r="A19835" s="4" t="s">
        <v>24364</v>
      </c>
      <c r="B19835" s="4">
        <v>1018857</v>
      </c>
      <c r="D19835" s="5" t="s">
        <v>24607</v>
      </c>
      <c r="E19835" s="6" t="str">
        <f>HYPERLINK("https://inpn.mnhn.fr/espece/cd_nom/1018857","Arctoa blyttii (Bruch &amp; Schimp.) Loeske, 1910")</f>
        <v>Arctoa blyttii (Bruch &amp; Schimp.) Loeske, 1910</v>
      </c>
      <c r="P19835" s="7" t="str">
        <f>HYPERLINK("#Liste_rouge!A"&amp;_xlfn.XMATCH("LC",Liste_rouge!A:A,2,1),"LC")</f>
        <v>LC</v>
      </c>
      <c r="V19835" s="7" t="str">
        <f>HYPERLINK("#Liste_rouge!A"&amp;_xlfn.XMATCH("EN",Liste_rouge!A:A,2,1),"EN")</f>
        <v>EN</v>
      </c>
      <c r="X19835" s="5" t="s">
        <v>374</v>
      </c>
      <c r="AB19835" s="4" t="s">
        <v>93</v>
      </c>
      <c r="AH19835" s="4" t="str">
        <f>HYPERLINK("#Statut_biogéographique!A"&amp;_xlfn.XMATCH("P",Statut_biogéographique!A:A,2,1),"P")</f>
        <v>P</v>
      </c>
      <c r="AP19835" s="4" t="s">
        <v>376</v>
      </c>
      <c r="AR19835" s="4" t="s">
        <v>377</v>
      </c>
    </row>
    <row r="19836" spans="1:44" ht="30">
      <c r="A19836" s="4" t="s">
        <v>24364</v>
      </c>
      <c r="B19836" s="4">
        <v>1018858</v>
      </c>
      <c r="D19836" s="5" t="s">
        <v>24608</v>
      </c>
      <c r="E19836" s="6" t="str">
        <f>HYPERLINK("https://inpn.mnhn.fr/espece/cd_nom/1018858","Arctoa starkei (F.Weber &amp; D.Mohr) Loeske, 1910")</f>
        <v>Arctoa starkei (F.Weber &amp; D.Mohr) Loeske, 1910</v>
      </c>
      <c r="P19836" s="7" t="str">
        <f>HYPERLINK("#Liste_rouge!A"&amp;_xlfn.XMATCH("LC",Liste_rouge!A:A,2,1),"LC")</f>
        <v>LC</v>
      </c>
      <c r="T19836" s="7" t="str">
        <f>HYPERLINK("#Liste_rouge!A"&amp;_xlfn.XMATCH("RE",Liste_rouge!A:A,2,1),"RE")</f>
        <v>RE</v>
      </c>
      <c r="V19836" s="7" t="str">
        <f>HYPERLINK("#Liste_rouge!A"&amp;_xlfn.XMATCH("DD",Liste_rouge!A:A,2,1),"DD")</f>
        <v>DD</v>
      </c>
      <c r="X19836" s="5" t="s">
        <v>374</v>
      </c>
      <c r="AB19836" s="4" t="s">
        <v>93</v>
      </c>
      <c r="AH19836" s="4" t="str">
        <f>HYPERLINK("#Statut_biogéographique!A"&amp;_xlfn.XMATCH("P",Statut_biogéographique!A:A,2,1),"P")</f>
        <v>P</v>
      </c>
      <c r="AP19836" s="4" t="s">
        <v>376</v>
      </c>
      <c r="AR19836" s="4" t="s">
        <v>377</v>
      </c>
    </row>
    <row r="19837" spans="1:44">
      <c r="A19837" s="4" t="s">
        <v>24364</v>
      </c>
      <c r="B19837" s="4">
        <v>101901</v>
      </c>
      <c r="D19837" s="5" t="s">
        <v>24609</v>
      </c>
      <c r="E19837" s="6" t="str">
        <f>HYPERLINK("https://inpn.mnhn.fr/espece/cd_nom/101901","Hieracium diaphanoides Lindeb., 1882")</f>
        <v>Hieracium diaphanoides Lindeb., 1882</v>
      </c>
      <c r="F19837" s="5" t="s">
        <v>24610</v>
      </c>
      <c r="T19837" s="7" t="str">
        <f>HYPERLINK("#Liste_rouge!A"&amp;_xlfn.XMATCH("DD",Liste_rouge!A:A,2,1),"DD")</f>
        <v>DD</v>
      </c>
      <c r="AH19837" s="4" t="str">
        <f>HYPERLINK("#Statut_biogéographique!A"&amp;_xlfn.XMATCH("Q",Statut_biogéographique!A:A,2,1),"Q")</f>
        <v>Q</v>
      </c>
      <c r="AM19837" s="4" t="s">
        <v>375</v>
      </c>
      <c r="AN19837" s="4" t="s">
        <v>375</v>
      </c>
      <c r="AO19837" s="4" t="s">
        <v>375</v>
      </c>
      <c r="AP19837" s="4" t="s">
        <v>376</v>
      </c>
      <c r="AR19837" s="4" t="s">
        <v>377</v>
      </c>
    </row>
    <row r="19838" spans="1:44" ht="30">
      <c r="A19838" s="4" t="s">
        <v>24364</v>
      </c>
      <c r="B19838" s="4">
        <v>101912</v>
      </c>
      <c r="D19838" s="5" t="s">
        <v>24611</v>
      </c>
      <c r="E19838" s="6" t="str">
        <f>HYPERLINK("https://inpn.mnhn.fr/espece/cd_nom/101912","Hieracium divisum Jord., 1848")</f>
        <v>Hieracium divisum Jord., 1848</v>
      </c>
      <c r="F19838" s="5" t="s">
        <v>24612</v>
      </c>
      <c r="Q19838" s="7" t="str">
        <f>HYPERLINK("#Liste_rouge!A"&amp;_xlfn.XMATCH("LC",Liste_rouge!A:A,2,1),"LC")</f>
        <v>LC</v>
      </c>
      <c r="T19838" s="7" t="str">
        <f>HYPERLINK("#Liste_rouge!A"&amp;_xlfn.XMATCH("NE",Liste_rouge!A:A,2,1),"NE")</f>
        <v>NE</v>
      </c>
      <c r="AH19838" s="4" t="str">
        <f>HYPERLINK("#Statut_biogéographique!A"&amp;_xlfn.XMATCH("P",Statut_biogéographique!A:A,2,1),"P")</f>
        <v>P</v>
      </c>
      <c r="AM19838" s="4" t="s">
        <v>375</v>
      </c>
      <c r="AN19838" s="4" t="s">
        <v>375</v>
      </c>
      <c r="AO19838" s="4" t="s">
        <v>375</v>
      </c>
      <c r="AP19838" s="4" t="s">
        <v>376</v>
      </c>
      <c r="AR19838" s="4" t="s">
        <v>377</v>
      </c>
    </row>
    <row r="19839" spans="1:44" ht="30">
      <c r="A19839" s="4" t="s">
        <v>24364</v>
      </c>
      <c r="B19839" s="4">
        <v>101921</v>
      </c>
      <c r="D19839" s="5" t="s">
        <v>24613</v>
      </c>
      <c r="E19839" s="6" t="str">
        <f>HYPERLINK("https://inpn.mnhn.fr/espece/cd_nom/101921","Hieracium dumosum Jord., 1849")</f>
        <v>Hieracium dumosum Jord., 1849</v>
      </c>
      <c r="F19839" s="5" t="s">
        <v>24614</v>
      </c>
      <c r="Q19839" s="7" t="str">
        <f>HYPERLINK("#Liste_rouge!A"&amp;_xlfn.XMATCH("LC",Liste_rouge!A:A,2,1),"LC")</f>
        <v>LC</v>
      </c>
      <c r="T19839" s="7" t="str">
        <f>HYPERLINK("#Liste_rouge!A"&amp;_xlfn.XMATCH("NE",Liste_rouge!A:A,2,1),"NE")</f>
        <v>NE</v>
      </c>
      <c r="V19839" s="7" t="str">
        <f>HYPERLINK("#Liste_rouge!A"&amp;_xlfn.XMATCH("DD",Liste_rouge!A:A,2,1),"DD")</f>
        <v>DD</v>
      </c>
      <c r="AH19839" s="4" t="str">
        <f>HYPERLINK("#Statut_biogéographique!A"&amp;_xlfn.XMATCH("P",Statut_biogéographique!A:A,2,1),"P")</f>
        <v>P</v>
      </c>
      <c r="AM19839" s="4" t="s">
        <v>375</v>
      </c>
      <c r="AN19839" s="4" t="s">
        <v>375</v>
      </c>
      <c r="AO19839" s="4" t="s">
        <v>375</v>
      </c>
      <c r="AP19839" s="4" t="s">
        <v>376</v>
      </c>
      <c r="AR19839" s="4" t="s">
        <v>377</v>
      </c>
    </row>
    <row r="19840" spans="1:44">
      <c r="A19840" s="4" t="s">
        <v>24364</v>
      </c>
      <c r="B19840" s="4">
        <v>101960</v>
      </c>
      <c r="D19840" s="5" t="s">
        <v>24615</v>
      </c>
      <c r="E19840" s="6" t="str">
        <f>HYPERLINK("https://inpn.mnhn.fr/espece/cd_nom/101960","Hieracium fallens Jord. ex Boreau, 1857")</f>
        <v>Hieracium fallens Jord. ex Boreau, 1857</v>
      </c>
      <c r="F19840" s="5" t="s">
        <v>24616</v>
      </c>
      <c r="Q19840" s="7" t="str">
        <f>HYPERLINK("#Liste_rouge!A"&amp;_xlfn.XMATCH("LC",Liste_rouge!A:A,2,1),"LC")</f>
        <v>LC</v>
      </c>
      <c r="T19840" s="7" t="str">
        <f>HYPERLINK("#Liste_rouge!A"&amp;_xlfn.XMATCH("NE",Liste_rouge!A:A,2,1),"NE")</f>
        <v>NE</v>
      </c>
      <c r="AH19840" s="4" t="str">
        <f>HYPERLINK("#Statut_biogéographique!A"&amp;_xlfn.XMATCH("P",Statut_biogéographique!A:A,2,1),"P")</f>
        <v>P</v>
      </c>
      <c r="AM19840" s="4" t="s">
        <v>375</v>
      </c>
      <c r="AN19840" s="4" t="s">
        <v>375</v>
      </c>
      <c r="AO19840" s="4" t="s">
        <v>375</v>
      </c>
      <c r="AP19840" s="4" t="s">
        <v>376</v>
      </c>
      <c r="AR19840" s="4" t="s">
        <v>377</v>
      </c>
    </row>
    <row r="19841" spans="1:44">
      <c r="A19841" s="4" t="s">
        <v>24364</v>
      </c>
      <c r="B19841" s="4">
        <v>101967</v>
      </c>
      <c r="D19841" s="5" t="s">
        <v>24617</v>
      </c>
      <c r="E19841" s="6" t="str">
        <f>HYPERLINK("https://inpn.mnhn.fr/espece/cd_nom/101967","Hieracium festinum Jord. ex Boreau, 1857")</f>
        <v>Hieracium festinum Jord. ex Boreau, 1857</v>
      </c>
      <c r="F19841" s="5" t="s">
        <v>24618</v>
      </c>
      <c r="T19841" s="7" t="str">
        <f>HYPERLINK("#Liste_rouge!A"&amp;_xlfn.XMATCH("NE",Liste_rouge!A:A,2,1),"NE")</f>
        <v>NE</v>
      </c>
      <c r="AH19841" s="4" t="str">
        <f>HYPERLINK("#Statut_biogéographique!A"&amp;_xlfn.XMATCH("P",Statut_biogéographique!A:A,2,1),"P")</f>
        <v>P</v>
      </c>
      <c r="AM19841" s="4" t="s">
        <v>375</v>
      </c>
      <c r="AN19841" s="4" t="s">
        <v>375</v>
      </c>
      <c r="AO19841" s="4" t="s">
        <v>375</v>
      </c>
      <c r="AP19841" s="4" t="s">
        <v>376</v>
      </c>
      <c r="AR19841" s="4" t="s">
        <v>377</v>
      </c>
    </row>
    <row r="19842" spans="1:44">
      <c r="A19842" s="4" t="s">
        <v>24364</v>
      </c>
      <c r="B19842" s="4">
        <v>101968</v>
      </c>
      <c r="D19842" s="5" t="s">
        <v>24619</v>
      </c>
      <c r="E19842" s="6" t="str">
        <f>HYPERLINK("https://inpn.mnhn.fr/espece/cd_nom/101968","Hieracium fictum Jord. ex Boreau, 1857")</f>
        <v>Hieracium fictum Jord. ex Boreau, 1857</v>
      </c>
      <c r="F19842" s="5" t="s">
        <v>24620</v>
      </c>
      <c r="Q19842" s="7" t="str">
        <f>HYPERLINK("#Liste_rouge!A"&amp;_xlfn.XMATCH("DD",Liste_rouge!A:A,2,1),"DD")</f>
        <v>DD</v>
      </c>
      <c r="AH19842" s="4" t="str">
        <f>HYPERLINK("#Statut_biogéographique!A"&amp;_xlfn.XMATCH("P",Statut_biogéographique!A:A,2,1),"P")</f>
        <v>P</v>
      </c>
      <c r="AP19842" s="4" t="s">
        <v>376</v>
      </c>
      <c r="AR19842" s="4" t="s">
        <v>377</v>
      </c>
    </row>
    <row r="19843" spans="1:44" ht="60">
      <c r="A19843" s="4" t="s">
        <v>24364</v>
      </c>
      <c r="B19843" s="4">
        <v>101972</v>
      </c>
      <c r="D19843" s="5" t="s">
        <v>24621</v>
      </c>
      <c r="E19843" s="6" t="str">
        <f>HYPERLINK("https://inpn.mnhn.fr/espece/cd_nom/101972","Hieracium firmum Jord., 1848")</f>
        <v>Hieracium firmum Jord., 1848</v>
      </c>
      <c r="F19843" s="5" t="s">
        <v>24622</v>
      </c>
      <c r="Q19843" s="7" t="str">
        <f>HYPERLINK("#Liste_rouge!A"&amp;_xlfn.XMATCH("LC",Liste_rouge!A:A,2,1),"LC")</f>
        <v>LC</v>
      </c>
      <c r="AH19843" s="4" t="str">
        <f>HYPERLINK("#Statut_biogéographique!A"&amp;_xlfn.XMATCH("P",Statut_biogéographique!A:A,2,1),"P")</f>
        <v>P</v>
      </c>
      <c r="AP19843" s="4" t="s">
        <v>376</v>
      </c>
      <c r="AR19843" s="4" t="s">
        <v>377</v>
      </c>
    </row>
    <row r="19844" spans="1:44">
      <c r="A19844" s="4" t="s">
        <v>24364</v>
      </c>
      <c r="B19844" s="4">
        <v>101975</v>
      </c>
      <c r="D19844" s="5" t="s">
        <v>24623</v>
      </c>
      <c r="E19844" s="6" t="str">
        <f>HYPERLINK("https://inpn.mnhn.fr/espece/cd_nom/101975","Hieracium flagelliferum Ravaud, 1877")</f>
        <v>Hieracium flagelliferum Ravaud, 1877</v>
      </c>
      <c r="F19844" s="5" t="s">
        <v>24624</v>
      </c>
      <c r="Q19844" s="7" t="str">
        <f>HYPERLINK("#Liste_rouge!A"&amp;_xlfn.XMATCH("DD",Liste_rouge!A:A,2,1),"DD")</f>
        <v>DD</v>
      </c>
      <c r="T19844" s="7" t="str">
        <f>HYPERLINK("#Liste_rouge!A"&amp;_xlfn.XMATCH("DD",Liste_rouge!A:A,2,1),"DD")</f>
        <v>DD</v>
      </c>
      <c r="V19844" s="7" t="str">
        <f>HYPERLINK("#Liste_rouge!A"&amp;_xlfn.XMATCH("DD",Liste_rouge!A:A,2,1),"DD")</f>
        <v>DD</v>
      </c>
      <c r="AH19844" s="4" t="str">
        <f>HYPERLINK("#Statut_biogéographique!A"&amp;_xlfn.XMATCH("P",Statut_biogéographique!A:A,2,1),"P")</f>
        <v>P</v>
      </c>
      <c r="AM19844" s="4" t="s">
        <v>375</v>
      </c>
      <c r="AN19844" s="4" t="s">
        <v>375</v>
      </c>
      <c r="AO19844" s="4" t="s">
        <v>375</v>
      </c>
      <c r="AP19844" s="4" t="s">
        <v>376</v>
      </c>
      <c r="AR19844" s="4" t="s">
        <v>377</v>
      </c>
    </row>
    <row r="19845" spans="1:44" ht="75">
      <c r="A19845" s="4" t="s">
        <v>24364</v>
      </c>
      <c r="B19845" s="4">
        <v>101987</v>
      </c>
      <c r="D19845" s="5" t="s">
        <v>24625</v>
      </c>
      <c r="E19845" s="6" t="str">
        <f>HYPERLINK("https://inpn.mnhn.fr/espece/cd_nom/101987","Hieracium fragile Jord., 1849")</f>
        <v>Hieracium fragile Jord., 1849</v>
      </c>
      <c r="F19845" s="5" t="s">
        <v>24626</v>
      </c>
      <c r="Q19845" s="7" t="str">
        <f>HYPERLINK("#Liste_rouge!A"&amp;_xlfn.XMATCH("LC",Liste_rouge!A:A,2,1),"LC")</f>
        <v>LC</v>
      </c>
      <c r="T19845" s="7" t="str">
        <f>HYPERLINK("#Liste_rouge!A"&amp;_xlfn.XMATCH("CR",Liste_rouge!A:A,2,1),"CR")</f>
        <v>CR</v>
      </c>
      <c r="U19845" s="4" t="str">
        <f>HYPERLINK("#Critères_liste_rouge!A$1","B1 B2ab(i,ii,iv)")</f>
        <v>B1 B2ab(i,ii,iv)</v>
      </c>
      <c r="AH19845" s="4" t="str">
        <f>HYPERLINK("#Statut_biogéographique!A"&amp;_xlfn.XMATCH("P",Statut_biogéographique!A:A,2,1),"P")</f>
        <v>P</v>
      </c>
      <c r="AM19845" s="4" t="s">
        <v>375</v>
      </c>
      <c r="AN19845" s="4" t="s">
        <v>375</v>
      </c>
      <c r="AO19845" s="4" t="s">
        <v>375</v>
      </c>
      <c r="AP19845" s="4" t="s">
        <v>376</v>
      </c>
      <c r="AR19845" s="4" t="s">
        <v>377</v>
      </c>
    </row>
    <row r="19846" spans="1:44" ht="30">
      <c r="A19846" s="4" t="s">
        <v>24364</v>
      </c>
      <c r="B19846" s="4">
        <v>101991</v>
      </c>
      <c r="D19846" s="5" t="s">
        <v>24627</v>
      </c>
      <c r="E19846" s="6" t="str">
        <f>HYPERLINK("https://inpn.mnhn.fr/espece/cd_nom/101991","Hieracium fruticetorum Jord. ex Boreau, 1857")</f>
        <v>Hieracium fruticetorum Jord. ex Boreau, 1857</v>
      </c>
      <c r="F19846" s="5" t="s">
        <v>24628</v>
      </c>
      <c r="Q19846" s="7" t="str">
        <f>HYPERLINK("#Liste_rouge!A"&amp;_xlfn.XMATCH("LC",Liste_rouge!A:A,2,1),"LC")</f>
        <v>LC</v>
      </c>
      <c r="T19846" s="7" t="str">
        <f>HYPERLINK("#Liste_rouge!A"&amp;_xlfn.XMATCH("NE",Liste_rouge!A:A,2,1),"NE")</f>
        <v>NE</v>
      </c>
      <c r="AH19846" s="4" t="str">
        <f>HYPERLINK("#Statut_biogéographique!A"&amp;_xlfn.XMATCH("P",Statut_biogéographique!A:A,2,1),"P")</f>
        <v>P</v>
      </c>
      <c r="AM19846" s="4" t="s">
        <v>375</v>
      </c>
      <c r="AN19846" s="4" t="s">
        <v>375</v>
      </c>
      <c r="AO19846" s="4" t="s">
        <v>375</v>
      </c>
      <c r="AP19846" s="4" t="s">
        <v>376</v>
      </c>
      <c r="AR19846" s="4" t="s">
        <v>377</v>
      </c>
    </row>
    <row r="19847" spans="1:44">
      <c r="A19847" s="4" t="s">
        <v>24364</v>
      </c>
      <c r="B19847" s="4">
        <v>101994</v>
      </c>
      <c r="D19847" s="5">
        <v>101994</v>
      </c>
      <c r="E19847" s="6" t="str">
        <f>HYPERLINK("https://inpn.mnhn.fr/espece/cd_nom/101994","Hieracium fuscocinereum Norrl., 1888")</f>
        <v>Hieracium fuscocinereum Norrl., 1888</v>
      </c>
      <c r="F19847" s="5" t="s">
        <v>24629</v>
      </c>
      <c r="Q19847" s="7" t="str">
        <f>HYPERLINK("#Liste_rouge!A"&amp;_xlfn.XMATCH("DD",Liste_rouge!A:A,2,1),"DD")</f>
        <v>DD</v>
      </c>
      <c r="T19847" s="7" t="str">
        <f>HYPERLINK("#Liste_rouge!A"&amp;_xlfn.XMATCH("NE",Liste_rouge!A:A,2,1),"NE")</f>
        <v>NE</v>
      </c>
      <c r="AH19847" s="4" t="str">
        <f>HYPERLINK("#Statut_biogéographique!A"&amp;_xlfn.XMATCH("P",Statut_biogéographique!A:A,2,1),"P")</f>
        <v>P</v>
      </c>
      <c r="AM19847" s="4" t="s">
        <v>375</v>
      </c>
      <c r="AN19847" s="4" t="s">
        <v>375</v>
      </c>
      <c r="AO19847" s="4" t="s">
        <v>375</v>
      </c>
      <c r="AP19847" s="4" t="s">
        <v>376</v>
      </c>
      <c r="AR19847" s="4" t="s">
        <v>377</v>
      </c>
    </row>
    <row r="19848" spans="1:44" ht="60">
      <c r="A19848" s="4" t="s">
        <v>24364</v>
      </c>
      <c r="B19848" s="4">
        <v>102017</v>
      </c>
      <c r="D19848" s="5" t="s">
        <v>24630</v>
      </c>
      <c r="E19848" s="6" t="str">
        <f>HYPERLINK("https://inpn.mnhn.fr/espece/cd_nom/102017","Hieracium glaucinum Jord., 1848")</f>
        <v>Hieracium glaucinum Jord., 1848</v>
      </c>
      <c r="F19848" s="5" t="s">
        <v>24631</v>
      </c>
      <c r="Q19848" s="7" t="str">
        <f>HYPERLINK("#Liste_rouge!A"&amp;_xlfn.XMATCH("LC",Liste_rouge!A:A,2,1),"LC")</f>
        <v>LC</v>
      </c>
      <c r="T19848" s="7" t="str">
        <f>HYPERLINK("#Liste_rouge!A"&amp;_xlfn.XMATCH("LC",Liste_rouge!A:A,2,1),"LC")</f>
        <v>LC</v>
      </c>
      <c r="V19848" s="7" t="str">
        <f>HYPERLINK("#Liste_rouge!A"&amp;_xlfn.XMATCH("LC",Liste_rouge!A:A,2,1),"LC")</f>
        <v>LC</v>
      </c>
      <c r="AH19848" s="4" t="str">
        <f>HYPERLINK("#Statut_biogéographique!A"&amp;_xlfn.XMATCH("P",Statut_biogéographique!A:A,2,1),"P")</f>
        <v>P</v>
      </c>
      <c r="AM19848" s="4" t="s">
        <v>375</v>
      </c>
      <c r="AN19848" s="4" t="s">
        <v>375</v>
      </c>
      <c r="AO19848" s="4" t="s">
        <v>375</v>
      </c>
      <c r="AP19848" s="4" t="s">
        <v>376</v>
      </c>
      <c r="AR19848" s="4" t="s">
        <v>377</v>
      </c>
    </row>
    <row r="19849" spans="1:44" ht="30">
      <c r="A19849" s="4" t="s">
        <v>24364</v>
      </c>
      <c r="B19849" s="4">
        <v>102055</v>
      </c>
      <c r="D19849" s="5" t="s">
        <v>24632</v>
      </c>
      <c r="E19849" s="6" t="str">
        <f>HYPERLINK("https://inpn.mnhn.fr/espece/cd_nom/102055","Hieracium humile Jacq., 1777")</f>
        <v>Hieracium humile Jacq., 1777</v>
      </c>
      <c r="F19849" s="5" t="s">
        <v>24633</v>
      </c>
      <c r="Q19849" s="7" t="str">
        <f>HYPERLINK("#Liste_rouge!A"&amp;_xlfn.XMATCH("LC",Liste_rouge!A:A,2,1),"LC")</f>
        <v>LC</v>
      </c>
      <c r="T19849" s="7" t="str">
        <f>HYPERLINK("#Liste_rouge!A"&amp;_xlfn.XMATCH("VU",Liste_rouge!A:A,2,1),"VU")</f>
        <v>VU</v>
      </c>
      <c r="U19849" s="4" t="str">
        <f>HYPERLINK("#Critères_liste_rouge!A$1","D2")</f>
        <v>D2</v>
      </c>
      <c r="V19849" s="7" t="str">
        <f>HYPERLINK("#Liste_rouge!A"&amp;_xlfn.XMATCH("NT",Liste_rouge!A:A,2,1),"NT (cd_nom 102024) - LC (cd_nom 102055)")</f>
        <v>NT (cd_nom 102024) - LC (cd_nom 102055)</v>
      </c>
      <c r="W19849" s="4" t="str">
        <f>HYPERLINK("#Critères_liste_rouge!A$1","pr. B2a (cd_nom 102024)")</f>
        <v>pr. B2a (cd_nom 102024)</v>
      </c>
      <c r="AB19849" s="4" t="s">
        <v>24634</v>
      </c>
      <c r="AH19849" s="4" t="str">
        <f>HYPERLINK("#Statut_biogéographique!A"&amp;_xlfn.XMATCH("P",Statut_biogéographique!A:A,2,1),"P")</f>
        <v>P</v>
      </c>
      <c r="AM19849" s="4" t="s">
        <v>375</v>
      </c>
      <c r="AN19849" s="4" t="s">
        <v>375</v>
      </c>
      <c r="AO19849" s="4" t="s">
        <v>375</v>
      </c>
      <c r="AP19849" s="4" t="s">
        <v>376</v>
      </c>
      <c r="AR19849" s="4" t="s">
        <v>377</v>
      </c>
    </row>
    <row r="19850" spans="1:44">
      <c r="A19850" s="4" t="s">
        <v>24364</v>
      </c>
      <c r="B19850" s="4">
        <v>102073</v>
      </c>
      <c r="D19850" s="5" t="s">
        <v>24635</v>
      </c>
      <c r="E19850" s="6" t="str">
        <f>HYPERLINK("https://inpn.mnhn.fr/espece/cd_nom/102073","Hieracium insuetum Jord. ex Boreau, 1857")</f>
        <v>Hieracium insuetum Jord. ex Boreau, 1857</v>
      </c>
      <c r="F19850" s="5" t="s">
        <v>24636</v>
      </c>
      <c r="Q19850" s="7" t="str">
        <f>HYPERLINK("#Liste_rouge!A"&amp;_xlfn.XMATCH("LC",Liste_rouge!A:A,2,1),"LC")</f>
        <v>LC</v>
      </c>
      <c r="T19850" s="7" t="str">
        <f>HYPERLINK("#Liste_rouge!A"&amp;_xlfn.XMATCH("NE",Liste_rouge!A:A,2,1),"NE")</f>
        <v>NE</v>
      </c>
      <c r="AH19850" s="4" t="str">
        <f>HYPERLINK("#Statut_biogéographique!A"&amp;_xlfn.XMATCH("P",Statut_biogéographique!A:A,2,1),"P")</f>
        <v>P</v>
      </c>
      <c r="AM19850" s="4" t="s">
        <v>375</v>
      </c>
      <c r="AN19850" s="4" t="s">
        <v>375</v>
      </c>
      <c r="AO19850" s="4" t="s">
        <v>375</v>
      </c>
      <c r="AP19850" s="4" t="s">
        <v>376</v>
      </c>
      <c r="AR19850" s="4" t="s">
        <v>377</v>
      </c>
    </row>
    <row r="19851" spans="1:44">
      <c r="A19851" s="4" t="s">
        <v>24364</v>
      </c>
      <c r="B19851" s="4">
        <v>102084</v>
      </c>
      <c r="D19851" s="5" t="s">
        <v>24637</v>
      </c>
      <c r="E19851" s="6" t="str">
        <f>HYPERLINK("https://inpn.mnhn.fr/espece/cd_nom/102084","Hieracium irriguum (Fr.) Dahlst., 1894")</f>
        <v>Hieracium irriguum (Fr.) Dahlst., 1894</v>
      </c>
      <c r="F19851" s="5" t="s">
        <v>24638</v>
      </c>
      <c r="Q19851" s="7" t="str">
        <f>HYPERLINK("#Liste_rouge!A"&amp;_xlfn.XMATCH("LC",Liste_rouge!A:A,2,1),"LC")</f>
        <v>LC</v>
      </c>
      <c r="V19851" s="7" t="str">
        <f>HYPERLINK("#Liste_rouge!A"&amp;_xlfn.XMATCH("DD",Liste_rouge!A:A,2,1),"DD")</f>
        <v>DD</v>
      </c>
      <c r="AH19851" s="4" t="str">
        <f>HYPERLINK("#Statut_biogéographique!A"&amp;_xlfn.XMATCH("P",Statut_biogéographique!A:A,2,1),"P")</f>
        <v>P</v>
      </c>
      <c r="AM19851" s="4" t="s">
        <v>375</v>
      </c>
      <c r="AN19851" s="4" t="s">
        <v>375</v>
      </c>
      <c r="AO19851" s="4" t="s">
        <v>375</v>
      </c>
      <c r="AP19851" s="4" t="s">
        <v>376</v>
      </c>
      <c r="AR19851" s="4" t="s">
        <v>377</v>
      </c>
    </row>
    <row r="19852" spans="1:44">
      <c r="A19852" s="4" t="s">
        <v>24364</v>
      </c>
      <c r="B19852" s="4">
        <v>102106</v>
      </c>
      <c r="D19852" s="5" t="s">
        <v>24639</v>
      </c>
      <c r="E19852" s="6" t="str">
        <f>HYPERLINK("https://inpn.mnhn.fr/espece/cd_nom/102106","Hieracium lachenalii Suter, 1802")</f>
        <v>Hieracium lachenalii Suter, 1802</v>
      </c>
      <c r="F19852" s="5" t="s">
        <v>24640</v>
      </c>
      <c r="Q19852" s="7" t="str">
        <f>HYPERLINK("#Liste_rouge!A"&amp;_xlfn.XMATCH("LC",Liste_rouge!A:A,2,1),"LC")</f>
        <v>LC</v>
      </c>
      <c r="AH19852" s="4" t="str">
        <f>HYPERLINK("#Statut_biogéographique!A"&amp;_xlfn.XMATCH("P",Statut_biogéographique!A:A,2,1),"P")</f>
        <v>P</v>
      </c>
      <c r="AM19852" s="4" t="s">
        <v>375</v>
      </c>
      <c r="AN19852" s="4" t="s">
        <v>375</v>
      </c>
      <c r="AO19852" s="4" t="s">
        <v>375</v>
      </c>
      <c r="AP19852" s="4" t="s">
        <v>376</v>
      </c>
      <c r="AR19852" s="4" t="s">
        <v>377</v>
      </c>
    </row>
    <row r="19853" spans="1:44" ht="30">
      <c r="A19853" s="4" t="s">
        <v>24364</v>
      </c>
      <c r="B19853" s="4">
        <v>102115</v>
      </c>
      <c r="D19853" s="5" t="s">
        <v>24641</v>
      </c>
      <c r="E19853" s="6" t="str">
        <f>HYPERLINK("https://inpn.mnhn.fr/espece/cd_nom/102115","Hieracium laevigatum Willd., 1803")</f>
        <v>Hieracium laevigatum Willd., 1803</v>
      </c>
      <c r="F19853" s="5" t="s">
        <v>24642</v>
      </c>
      <c r="Q19853" s="7" t="str">
        <f>HYPERLINK("#Liste_rouge!A"&amp;_xlfn.XMATCH("LC",Liste_rouge!A:A,2,1),"LC")</f>
        <v>LC</v>
      </c>
      <c r="T19853" s="7" t="str">
        <f>HYPERLINK("#Liste_rouge!A"&amp;_xlfn.XMATCH("LC",Liste_rouge!A:A,2,1),"LC")</f>
        <v>LC</v>
      </c>
      <c r="V19853" s="7" t="str">
        <f>HYPERLINK("#Liste_rouge!A"&amp;_xlfn.XMATCH("DD",Liste_rouge!A:A,2,1),"DD")</f>
        <v>DD</v>
      </c>
      <c r="AH19853" s="4" t="str">
        <f>HYPERLINK("#Statut_biogéographique!A"&amp;_xlfn.XMATCH("P",Statut_biogéographique!A:A,2,1),"P")</f>
        <v>P</v>
      </c>
      <c r="AM19853" s="4" t="s">
        <v>375</v>
      </c>
      <c r="AN19853" s="4" t="s">
        <v>375</v>
      </c>
      <c r="AO19853" s="4" t="s">
        <v>375</v>
      </c>
      <c r="AP19853" s="4" t="s">
        <v>376</v>
      </c>
      <c r="AR19853" s="4" t="s">
        <v>377</v>
      </c>
    </row>
    <row r="19854" spans="1:44" ht="30">
      <c r="A19854" s="4" t="s">
        <v>24364</v>
      </c>
      <c r="B19854" s="4">
        <v>102135</v>
      </c>
      <c r="D19854" s="5" t="s">
        <v>24643</v>
      </c>
      <c r="E19854" s="6" t="str">
        <f>HYPERLINK("https://inpn.mnhn.fr/espece/cd_nom/102135","Hieracium laureolum Arv.-Touv., 1876")</f>
        <v>Hieracium laureolum Arv.-Touv., 1876</v>
      </c>
      <c r="F19854" s="5" t="s">
        <v>24644</v>
      </c>
      <c r="Q19854" s="7" t="str">
        <f>HYPERLINK("#Liste_rouge!A"&amp;_xlfn.XMATCH("LC",Liste_rouge!A:A,2,1),"LC")</f>
        <v>LC</v>
      </c>
      <c r="T19854" s="7" t="str">
        <f>HYPERLINK("#Liste_rouge!A"&amp;_xlfn.XMATCH("VU",Liste_rouge!A:A,2,1),"VU")</f>
        <v>VU</v>
      </c>
      <c r="U19854" s="4" t="str">
        <f>HYPERLINK("#Critères_liste_rouge!A$1","D2")</f>
        <v>D2</v>
      </c>
      <c r="X19854" s="5" t="s">
        <v>374</v>
      </c>
      <c r="AB19854" s="4" t="s">
        <v>93</v>
      </c>
      <c r="AH19854" s="4" t="str">
        <f>HYPERLINK("#Statut_biogéographique!A"&amp;_xlfn.XMATCH("P",Statut_biogéographique!A:A,2,1),"P")</f>
        <v>P</v>
      </c>
      <c r="AM19854" s="4" t="s">
        <v>375</v>
      </c>
      <c r="AN19854" s="4" t="s">
        <v>375</v>
      </c>
      <c r="AO19854" s="4" t="s">
        <v>375</v>
      </c>
      <c r="AP19854" s="4" t="s">
        <v>376</v>
      </c>
      <c r="AR19854" s="4" t="s">
        <v>377</v>
      </c>
    </row>
    <row r="19855" spans="1:44" ht="30">
      <c r="A19855" s="4" t="s">
        <v>24364</v>
      </c>
      <c r="B19855" s="4">
        <v>102189</v>
      </c>
      <c r="D19855" s="5" t="s">
        <v>24645</v>
      </c>
      <c r="E19855" s="6" t="str">
        <f>HYPERLINK("https://inpn.mnhn.fr/espece/cd_nom/102189","Hieracium maculatum Schrank, 1789")</f>
        <v>Hieracium maculatum Schrank, 1789</v>
      </c>
      <c r="F19855" s="5" t="s">
        <v>24646</v>
      </c>
      <c r="Q19855" s="7" t="str">
        <f>HYPERLINK("#Liste_rouge!A"&amp;_xlfn.XMATCH("LC",Liste_rouge!A:A,2,1),"LC")</f>
        <v>LC</v>
      </c>
      <c r="T19855" s="7" t="str">
        <f>HYPERLINK("#Liste_rouge!A"&amp;_xlfn.XMATCH("LC",Liste_rouge!A:A,2,1),"LC")</f>
        <v>LC</v>
      </c>
      <c r="AH19855" s="4" t="str">
        <f>HYPERLINK("#Statut_biogéographique!A"&amp;_xlfn.XMATCH("P",Statut_biogéographique!A:A,2,1),"P")</f>
        <v>P</v>
      </c>
      <c r="AM19855" s="4" t="s">
        <v>375</v>
      </c>
      <c r="AN19855" s="4" t="s">
        <v>375</v>
      </c>
      <c r="AO19855" s="4" t="s">
        <v>375</v>
      </c>
      <c r="AP19855" s="4" t="s">
        <v>376</v>
      </c>
      <c r="AR19855" s="4" t="s">
        <v>377</v>
      </c>
    </row>
    <row r="19856" spans="1:44" ht="105">
      <c r="A19856" s="4" t="s">
        <v>24364</v>
      </c>
      <c r="B19856" s="4">
        <v>102201</v>
      </c>
      <c r="D19856" s="5" t="s">
        <v>24647</v>
      </c>
      <c r="E19856" s="6" t="str">
        <f>HYPERLINK("https://inpn.mnhn.fr/espece/cd_nom/102201","Hieracium medium Jord., 1849")</f>
        <v>Hieracium medium Jord., 1849</v>
      </c>
      <c r="F19856" s="5" t="s">
        <v>24648</v>
      </c>
      <c r="Q19856" s="7" t="str">
        <f>HYPERLINK("#Liste_rouge!A"&amp;_xlfn.XMATCH("LC",Liste_rouge!A:A,2,1),"LC")</f>
        <v>LC</v>
      </c>
      <c r="T19856" s="7" t="str">
        <f>HYPERLINK("#Liste_rouge!A"&amp;_xlfn.XMATCH("NE",Liste_rouge!A:A,2,1),"NE")</f>
        <v>NE</v>
      </c>
      <c r="V19856" s="7" t="str">
        <f>HYPERLINK("#Liste_rouge!A"&amp;_xlfn.XMATCH("DD",Liste_rouge!A:A,2,1),"DD")</f>
        <v>DD</v>
      </c>
      <c r="AH19856" s="4" t="str">
        <f>HYPERLINK("#Statut_biogéographique!A"&amp;_xlfn.XMATCH("P",Statut_biogéographique!A:A,2,1),"P")</f>
        <v>P</v>
      </c>
      <c r="AM19856" s="4" t="s">
        <v>375</v>
      </c>
      <c r="AN19856" s="4" t="s">
        <v>375</v>
      </c>
      <c r="AO19856" s="4" t="s">
        <v>375</v>
      </c>
      <c r="AP19856" s="4" t="s">
        <v>376</v>
      </c>
      <c r="AR19856" s="4" t="s">
        <v>377</v>
      </c>
    </row>
    <row r="19857" spans="1:44" ht="90">
      <c r="A19857" s="4" t="s">
        <v>24364</v>
      </c>
      <c r="B19857" s="4">
        <v>102235</v>
      </c>
      <c r="D19857" s="5" t="s">
        <v>24649</v>
      </c>
      <c r="E19857" s="6" t="str">
        <f>HYPERLINK("https://inpn.mnhn.fr/espece/cd_nom/102235","Hieracium murorum L., 1753")</f>
        <v>Hieracium murorum L., 1753</v>
      </c>
      <c r="F19857" s="5" t="s">
        <v>24650</v>
      </c>
      <c r="Q19857" s="7" t="str">
        <f>HYPERLINK("#Liste_rouge!A"&amp;_xlfn.XMATCH("LC",Liste_rouge!A:A,2,1),"LC")</f>
        <v>LC</v>
      </c>
      <c r="T19857" s="7" t="str">
        <f>HYPERLINK("#Liste_rouge!A"&amp;_xlfn.XMATCH("LC",Liste_rouge!A:A,2,1),"LC")</f>
        <v>LC</v>
      </c>
      <c r="V19857" s="7" t="str">
        <f>HYPERLINK("#Liste_rouge!A"&amp;_xlfn.XMATCH("LC",Liste_rouge!A:A,2,1),"LC")</f>
        <v>LC</v>
      </c>
      <c r="AH19857" s="4" t="str">
        <f>HYPERLINK("#Statut_biogéographique!A"&amp;_xlfn.XMATCH("P",Statut_biogéographique!A:A,2,1),"P")</f>
        <v>P</v>
      </c>
      <c r="AM19857" s="4" t="s">
        <v>375</v>
      </c>
      <c r="AN19857" s="4" t="s">
        <v>375</v>
      </c>
      <c r="AO19857" s="4" t="s">
        <v>375</v>
      </c>
      <c r="AP19857" s="4" t="s">
        <v>376</v>
      </c>
      <c r="AR19857" s="4" t="s">
        <v>377</v>
      </c>
    </row>
    <row r="19858" spans="1:44">
      <c r="A19858" s="4" t="s">
        <v>24364</v>
      </c>
      <c r="B19858" s="4">
        <v>102244</v>
      </c>
      <c r="D19858" s="5" t="s">
        <v>24651</v>
      </c>
      <c r="E19858" s="6" t="str">
        <f>HYPERLINK("https://inpn.mnhn.fr/espece/cd_nom/102244","Hieracium nemorense Jord., 1848")</f>
        <v>Hieracium nemorense Jord., 1848</v>
      </c>
      <c r="AH19858" s="4" t="str">
        <f>HYPERLINK("#Statut_biogéographique!A"&amp;_xlfn.XMATCH("P",Statut_biogéographique!A:A,2,1),"P")</f>
        <v>P</v>
      </c>
      <c r="AP19858" s="4" t="s">
        <v>376</v>
      </c>
      <c r="AR19858" s="4" t="s">
        <v>377</v>
      </c>
    </row>
    <row r="19859" spans="1:44" ht="30">
      <c r="A19859" s="4" t="s">
        <v>24364</v>
      </c>
      <c r="B19859" s="4">
        <v>102272</v>
      </c>
      <c r="D19859" s="5" t="s">
        <v>24652</v>
      </c>
      <c r="E19859" s="6" t="str">
        <f>HYPERLINK("https://inpn.mnhn.fr/espece/cd_nom/102272","Hieracium nobile Gren. &amp; Godr., 1850")</f>
        <v>Hieracium nobile Gren. &amp; Godr., 1850</v>
      </c>
      <c r="F19859" s="5" t="s">
        <v>24653</v>
      </c>
      <c r="Q19859" s="7" t="str">
        <f>HYPERLINK("#Liste_rouge!A"&amp;_xlfn.XMATCH("DD",Liste_rouge!A:A,2,1),"DD")</f>
        <v>DD</v>
      </c>
      <c r="AH19859" s="4" t="str">
        <f>HYPERLINK("#Statut_biogéographique!A"&amp;_xlfn.XMATCH("P",Statut_biogéographique!A:A,2,1),"P")</f>
        <v>P</v>
      </c>
      <c r="AP19859" s="4" t="s">
        <v>376</v>
      </c>
      <c r="AR19859" s="4" t="s">
        <v>377</v>
      </c>
    </row>
    <row r="19860" spans="1:44">
      <c r="A19860" s="4" t="s">
        <v>24364</v>
      </c>
      <c r="B19860" s="4">
        <v>102273</v>
      </c>
      <c r="D19860" s="5" t="s">
        <v>24654</v>
      </c>
      <c r="E19860" s="6" t="str">
        <f>HYPERLINK("https://inpn.mnhn.fr/espece/cd_nom/102273","Hieracium obliquum Jord., 1848")</f>
        <v>Hieracium obliquum Jord., 1848</v>
      </c>
      <c r="F19860" s="5" t="s">
        <v>24655</v>
      </c>
      <c r="Q19860" s="7" t="str">
        <f>HYPERLINK("#Liste_rouge!A"&amp;_xlfn.XMATCH("LC",Liste_rouge!A:A,2,1),"LC")</f>
        <v>LC</v>
      </c>
      <c r="T19860" s="7" t="str">
        <f>HYPERLINK("#Liste_rouge!A"&amp;_xlfn.XMATCH("NE",Liste_rouge!A:A,2,1),"NE")</f>
        <v>NE</v>
      </c>
      <c r="AH19860" s="4" t="str">
        <f>HYPERLINK("#Statut_biogéographique!A"&amp;_xlfn.XMATCH("P",Statut_biogéographique!A:A,2,1),"P")</f>
        <v>P</v>
      </c>
      <c r="AM19860" s="4" t="s">
        <v>375</v>
      </c>
      <c r="AN19860" s="4" t="s">
        <v>375</v>
      </c>
      <c r="AO19860" s="4" t="s">
        <v>375</v>
      </c>
      <c r="AP19860" s="4" t="s">
        <v>376</v>
      </c>
      <c r="AR19860" s="4" t="s">
        <v>377</v>
      </c>
    </row>
    <row r="19861" spans="1:44" ht="45">
      <c r="A19861" s="4" t="s">
        <v>24364</v>
      </c>
      <c r="B19861" s="4">
        <v>102274</v>
      </c>
      <c r="D19861" s="5" t="s">
        <v>24656</v>
      </c>
      <c r="E19861" s="6" t="str">
        <f>HYPERLINK("https://inpn.mnhn.fr/espece/cd_nom/102274","Hieracium oblongum Jord., 1849")</f>
        <v>Hieracium oblongum Jord., 1849</v>
      </c>
      <c r="F19861" s="5" t="s">
        <v>24657</v>
      </c>
      <c r="Q19861" s="7" t="str">
        <f>HYPERLINK("#Liste_rouge!A"&amp;_xlfn.XMATCH("LC",Liste_rouge!A:A,2,1),"LC")</f>
        <v>LC</v>
      </c>
      <c r="T19861" s="7" t="str">
        <f>HYPERLINK("#Liste_rouge!A"&amp;_xlfn.XMATCH("NE",Liste_rouge!A:A,2,1),"NE")</f>
        <v>NE</v>
      </c>
      <c r="AH19861" s="4" t="str">
        <f>HYPERLINK("#Statut_biogéographique!A"&amp;_xlfn.XMATCH("P",Statut_biogéographique!A:A,2,1),"P")</f>
        <v>P</v>
      </c>
      <c r="AM19861" s="4" t="s">
        <v>375</v>
      </c>
      <c r="AN19861" s="4" t="s">
        <v>375</v>
      </c>
      <c r="AO19861" s="4" t="s">
        <v>375</v>
      </c>
      <c r="AP19861" s="4" t="s">
        <v>376</v>
      </c>
      <c r="AR19861" s="4" t="s">
        <v>377</v>
      </c>
    </row>
    <row r="19862" spans="1:44" ht="30">
      <c r="A19862" s="4" t="s">
        <v>24364</v>
      </c>
      <c r="B19862" s="4">
        <v>102294</v>
      </c>
      <c r="D19862" s="5" t="s">
        <v>24658</v>
      </c>
      <c r="E19862" s="6" t="str">
        <f>HYPERLINK("https://inpn.mnhn.fr/espece/cd_nom/102294","Hieracium x ovalifolium Jord., 1849")</f>
        <v>Hieracium x ovalifolium Jord., 1849</v>
      </c>
      <c r="F19862" s="5" t="s">
        <v>24659</v>
      </c>
      <c r="Q19862" s="7" t="str">
        <f>HYPERLINK("#Liste_rouge!A"&amp;_xlfn.XMATCH("LC",Liste_rouge!A:A,2,1),"LC")</f>
        <v>LC</v>
      </c>
      <c r="T19862" s="7" t="str">
        <f>HYPERLINK("#Liste_rouge!A"&amp;_xlfn.XMATCH("NE",Liste_rouge!A:A,2,1),"NE")</f>
        <v>NE</v>
      </c>
      <c r="V19862" s="7" t="str">
        <f>HYPERLINK("#Liste_rouge!A"&amp;_xlfn.XMATCH("LC",Liste_rouge!A:A,2,1),"LC")</f>
        <v>LC</v>
      </c>
      <c r="AH19862" s="4" t="str">
        <f>HYPERLINK("#Statut_biogéographique!A"&amp;_xlfn.XMATCH("P",Statut_biogéographique!A:A,2,1),"P")</f>
        <v>P</v>
      </c>
      <c r="AM19862" s="4" t="s">
        <v>375</v>
      </c>
      <c r="AN19862" s="4" t="s">
        <v>375</v>
      </c>
      <c r="AO19862" s="4" t="s">
        <v>375</v>
      </c>
      <c r="AP19862" s="4" t="s">
        <v>376</v>
      </c>
      <c r="AR19862" s="4" t="s">
        <v>377</v>
      </c>
    </row>
    <row r="19863" spans="1:44">
      <c r="A19863" s="4" t="s">
        <v>24364</v>
      </c>
      <c r="B19863" s="4">
        <v>102299</v>
      </c>
      <c r="D19863" s="5" t="s">
        <v>24660</v>
      </c>
      <c r="E19863" s="6" t="str">
        <f>HYPERLINK("https://inpn.mnhn.fr/espece/cd_nom/102299","Hieracium pallidifolium Jord. ex Boreau, 1857")</f>
        <v>Hieracium pallidifolium Jord. ex Boreau, 1857</v>
      </c>
      <c r="F19863" s="5" t="s">
        <v>24661</v>
      </c>
      <c r="Q19863" s="7" t="str">
        <f>HYPERLINK("#Liste_rouge!A"&amp;_xlfn.XMATCH("LC",Liste_rouge!A:A,2,1),"LC")</f>
        <v>LC</v>
      </c>
      <c r="T19863" s="7" t="str">
        <f>HYPERLINK("#Liste_rouge!A"&amp;_xlfn.XMATCH("NE",Liste_rouge!A:A,2,1),"NE")</f>
        <v>NE</v>
      </c>
      <c r="V19863" s="7" t="str">
        <f>HYPERLINK("#Liste_rouge!A"&amp;_xlfn.XMATCH("DD",Liste_rouge!A:A,2,1),"DD")</f>
        <v>DD</v>
      </c>
      <c r="AH19863" s="4" t="str">
        <f>HYPERLINK("#Statut_biogéographique!A"&amp;_xlfn.XMATCH("P",Statut_biogéographique!A:A,2,1),"P")</f>
        <v>P</v>
      </c>
      <c r="AM19863" s="4" t="s">
        <v>375</v>
      </c>
      <c r="AN19863" s="4" t="s">
        <v>375</v>
      </c>
      <c r="AO19863" s="4" t="s">
        <v>375</v>
      </c>
      <c r="AP19863" s="4" t="s">
        <v>376</v>
      </c>
      <c r="AR19863" s="4" t="s">
        <v>377</v>
      </c>
    </row>
    <row r="19864" spans="1:44" ht="45">
      <c r="A19864" s="4" t="s">
        <v>24364</v>
      </c>
      <c r="B19864" s="4">
        <v>102314</v>
      </c>
      <c r="D19864" s="5" t="s">
        <v>24662</v>
      </c>
      <c r="E19864" s="6" t="str">
        <f>HYPERLINK("https://inpn.mnhn.fr/espece/cd_nom/102314","Hieracium paucifoliatum Jord. ex Boreau, 1857")</f>
        <v>Hieracium paucifoliatum Jord. ex Boreau, 1857</v>
      </c>
      <c r="F19864" s="5" t="s">
        <v>24663</v>
      </c>
      <c r="Q19864" s="7" t="str">
        <f>HYPERLINK("#Liste_rouge!A"&amp;_xlfn.XMATCH("LC",Liste_rouge!A:A,2,1),"LC")</f>
        <v>LC</v>
      </c>
      <c r="T19864" s="7" t="str">
        <f>HYPERLINK("#Liste_rouge!A"&amp;_xlfn.XMATCH("NE",Liste_rouge!A:A,2,1),"NE")</f>
        <v>NE</v>
      </c>
      <c r="AH19864" s="4" t="str">
        <f>HYPERLINK("#Statut_biogéographique!A"&amp;_xlfn.XMATCH("P",Statut_biogéographique!A:A,2,1),"P")</f>
        <v>P</v>
      </c>
      <c r="AM19864" s="4" t="s">
        <v>375</v>
      </c>
      <c r="AN19864" s="4" t="s">
        <v>375</v>
      </c>
      <c r="AO19864" s="4" t="s">
        <v>375</v>
      </c>
      <c r="AP19864" s="4" t="s">
        <v>376</v>
      </c>
      <c r="AR19864" s="4" t="s">
        <v>377</v>
      </c>
    </row>
    <row r="19865" spans="1:44">
      <c r="A19865" s="4" t="s">
        <v>24364</v>
      </c>
      <c r="B19865" s="4">
        <v>102321</v>
      </c>
      <c r="D19865" s="5" t="s">
        <v>24664</v>
      </c>
      <c r="E19865" s="6" t="str">
        <f>HYPERLINK("https://inpn.mnhn.fr/espece/cd_nom/102321","Hieracium percissum Jord. ex Boreau, 1857")</f>
        <v>Hieracium percissum Jord. ex Boreau, 1857</v>
      </c>
      <c r="Q19865" s="7" t="str">
        <f>HYPERLINK("#Liste_rouge!A"&amp;_xlfn.XMATCH("DD",Liste_rouge!A:A,2,1),"DD")</f>
        <v>DD</v>
      </c>
      <c r="T19865" s="7" t="str">
        <f>HYPERLINK("#Liste_rouge!A"&amp;_xlfn.XMATCH("NE",Liste_rouge!A:A,2,1),"NE")</f>
        <v>NE</v>
      </c>
      <c r="AH19865" s="4" t="str">
        <f>HYPERLINK("#Statut_biogéographique!A"&amp;_xlfn.XMATCH("P",Statut_biogéographique!A:A,2,1),"P")</f>
        <v>P</v>
      </c>
      <c r="AM19865" s="4" t="s">
        <v>375</v>
      </c>
      <c r="AN19865" s="4" t="s">
        <v>375</v>
      </c>
      <c r="AO19865" s="4" t="s">
        <v>375</v>
      </c>
      <c r="AP19865" s="4" t="s">
        <v>376</v>
      </c>
      <c r="AR19865" s="4" t="s">
        <v>377</v>
      </c>
    </row>
    <row r="19866" spans="1:44" ht="30">
      <c r="A19866" s="4" t="s">
        <v>24364</v>
      </c>
      <c r="B19866" s="4">
        <v>102336</v>
      </c>
      <c r="D19866" s="5" t="s">
        <v>24665</v>
      </c>
      <c r="E19866" s="6" t="str">
        <f>HYPERLINK("https://inpn.mnhn.fr/espece/cd_nom/102336","Hieracium petiolare Jord., 1849")</f>
        <v>Hieracium petiolare Jord., 1849</v>
      </c>
      <c r="F19866" s="5" t="s">
        <v>24666</v>
      </c>
      <c r="Q19866" s="7" t="str">
        <f>HYPERLINK("#Liste_rouge!A"&amp;_xlfn.XMATCH("LC",Liste_rouge!A:A,2,1),"LC")</f>
        <v>LC</v>
      </c>
      <c r="T19866" s="7" t="str">
        <f>HYPERLINK("#Liste_rouge!A"&amp;_xlfn.XMATCH("NE",Liste_rouge!A:A,2,1),"NE")</f>
        <v>NE</v>
      </c>
      <c r="AH19866" s="4" t="str">
        <f>HYPERLINK("#Statut_biogéographique!A"&amp;_xlfn.XMATCH("P",Statut_biogéographique!A:A,2,1),"P")</f>
        <v>P</v>
      </c>
      <c r="AM19866" s="4" t="s">
        <v>375</v>
      </c>
      <c r="AN19866" s="4" t="s">
        <v>375</v>
      </c>
      <c r="AO19866" s="4" t="s">
        <v>375</v>
      </c>
      <c r="AP19866" s="4" t="s">
        <v>376</v>
      </c>
      <c r="AR19866" s="4" t="s">
        <v>377</v>
      </c>
    </row>
    <row r="19867" spans="1:44" ht="30">
      <c r="A19867" s="4" t="s">
        <v>24364</v>
      </c>
      <c r="B19867" s="4">
        <v>102345</v>
      </c>
      <c r="D19867" s="5" t="s">
        <v>24667</v>
      </c>
      <c r="E19867" s="6" t="str">
        <f>HYPERLINK("https://inpn.mnhn.fr/espece/cd_nom/102345","Hieracium picroides Vill., 1812")</f>
        <v>Hieracium picroides Vill., 1812</v>
      </c>
      <c r="F19867" s="5" t="s">
        <v>24668</v>
      </c>
      <c r="Q19867" s="7" t="str">
        <f>HYPERLINK("#Liste_rouge!A"&amp;_xlfn.XMATCH("LC",Liste_rouge!A:A,2,1),"LC")</f>
        <v>LC</v>
      </c>
      <c r="AH19867" s="4" t="str">
        <f>HYPERLINK("#Statut_biogéographique!A"&amp;_xlfn.XMATCH("P",Statut_biogéographique!A:A,2,1),"P")</f>
        <v>P</v>
      </c>
      <c r="AP19867" s="4" t="s">
        <v>376</v>
      </c>
      <c r="AR19867" s="4" t="s">
        <v>377</v>
      </c>
    </row>
    <row r="19868" spans="1:44" ht="30">
      <c r="A19868" s="4" t="s">
        <v>24364</v>
      </c>
      <c r="B19868" s="4">
        <v>102397</v>
      </c>
      <c r="D19868" s="5" t="s">
        <v>24669</v>
      </c>
      <c r="E19868" s="6" t="str">
        <f>HYPERLINK("https://inpn.mnhn.fr/espece/cd_nom/102397","Hieracium provinciale Jord., 1849")</f>
        <v>Hieracium provinciale Jord., 1849</v>
      </c>
      <c r="F19868" s="5" t="s">
        <v>24670</v>
      </c>
      <c r="Q19868" s="7" t="str">
        <f>HYPERLINK("#Liste_rouge!A"&amp;_xlfn.XMATCH("LC",Liste_rouge!A:A,2,1),"LC")</f>
        <v>LC</v>
      </c>
      <c r="T19868" s="7" t="str">
        <f>HYPERLINK("#Liste_rouge!A"&amp;_xlfn.XMATCH("NE",Liste_rouge!A:A,2,1),"NE")</f>
        <v>NE</v>
      </c>
      <c r="AH19868" s="4" t="str">
        <f>HYPERLINK("#Statut_biogéographique!A"&amp;_xlfn.XMATCH("P",Statut_biogéographique!A:A,2,1),"P")</f>
        <v>P</v>
      </c>
      <c r="AM19868" s="4" t="s">
        <v>375</v>
      </c>
      <c r="AN19868" s="4" t="s">
        <v>375</v>
      </c>
      <c r="AO19868" s="4" t="s">
        <v>375</v>
      </c>
      <c r="AP19868" s="4" t="s">
        <v>376</v>
      </c>
      <c r="AR19868" s="4" t="s">
        <v>377</v>
      </c>
    </row>
    <row r="19869" spans="1:44" ht="30">
      <c r="A19869" s="4" t="s">
        <v>24364</v>
      </c>
      <c r="B19869" s="4">
        <v>102426</v>
      </c>
      <c r="D19869" s="5" t="s">
        <v>24671</v>
      </c>
      <c r="E19869" s="6" t="str">
        <f>HYPERLINK("https://inpn.mnhn.fr/espece/cd_nom/102426","Hieracium pteropogon Arv.-Touv., 1879")</f>
        <v>Hieracium pteropogon Arv.-Touv., 1879</v>
      </c>
      <c r="F19869" s="5" t="s">
        <v>24620</v>
      </c>
      <c r="Q19869" s="7" t="str">
        <f>HYPERLINK("#Liste_rouge!A"&amp;_xlfn.XMATCH("LC",Liste_rouge!A:A,2,1),"LC")</f>
        <v>LC</v>
      </c>
      <c r="X19869" s="5" t="s">
        <v>374</v>
      </c>
      <c r="AB19869" s="4" t="s">
        <v>93</v>
      </c>
      <c r="AH19869" s="4" t="str">
        <f>HYPERLINK("#Statut_biogéographique!A"&amp;_xlfn.XMATCH("P",Statut_biogéographique!A:A,2,1),"P")</f>
        <v>P</v>
      </c>
      <c r="AM19869" s="4" t="s">
        <v>375</v>
      </c>
      <c r="AN19869" s="4" t="s">
        <v>375</v>
      </c>
      <c r="AO19869" s="4" t="s">
        <v>375</v>
      </c>
      <c r="AP19869" s="4" t="s">
        <v>376</v>
      </c>
      <c r="AR19869" s="4" t="s">
        <v>377</v>
      </c>
    </row>
    <row r="19870" spans="1:44" ht="60">
      <c r="A19870" s="4" t="s">
        <v>24364</v>
      </c>
      <c r="B19870" s="4">
        <v>102431</v>
      </c>
      <c r="D19870" s="5" t="s">
        <v>24672</v>
      </c>
      <c r="E19870" s="6" t="str">
        <f>HYPERLINK("https://inpn.mnhn.fr/espece/cd_nom/102431","Hieracium pulmonarioides Vill., 1779")</f>
        <v>Hieracium pulmonarioides Vill., 1779</v>
      </c>
      <c r="F19870" s="5" t="s">
        <v>24673</v>
      </c>
      <c r="Q19870" s="7" t="str">
        <f>HYPERLINK("#Liste_rouge!A"&amp;_xlfn.XMATCH("LC",Liste_rouge!A:A,2,1),"LC")</f>
        <v>LC</v>
      </c>
      <c r="V19870" s="7" t="str">
        <f>HYPERLINK("#Liste_rouge!A"&amp;_xlfn.XMATCH("VU",Liste_rouge!A:A,2,1),"VU")</f>
        <v>VU</v>
      </c>
      <c r="W19870" s="4" t="str">
        <f>HYPERLINK("#Critères_liste_rouge!A$1","D2")</f>
        <v>D2</v>
      </c>
      <c r="X19870" s="5" t="s">
        <v>374</v>
      </c>
      <c r="AB19870" s="4" t="s">
        <v>93</v>
      </c>
      <c r="AH19870" s="4" t="str">
        <f>HYPERLINK("#Statut_biogéographique!A"&amp;_xlfn.XMATCH("P",Statut_biogéographique!A:A,2,1),"P")</f>
        <v>P</v>
      </c>
      <c r="AM19870" s="4" t="s">
        <v>375</v>
      </c>
      <c r="AN19870" s="4" t="s">
        <v>375</v>
      </c>
      <c r="AO19870" s="4" t="s">
        <v>375</v>
      </c>
      <c r="AP19870" s="4" t="s">
        <v>376</v>
      </c>
      <c r="AR19870" s="4" t="s">
        <v>377</v>
      </c>
    </row>
    <row r="19871" spans="1:44" ht="30">
      <c r="A19871" s="4" t="s">
        <v>24364</v>
      </c>
      <c r="B19871" s="4">
        <v>102445</v>
      </c>
      <c r="D19871" s="5" t="s">
        <v>24674</v>
      </c>
      <c r="E19871" s="6" t="str">
        <f>HYPERLINK("https://inpn.mnhn.fr/espece/cd_nom/102445","Hieracium racemosum Waldst. &amp; Kit. ex Willd., 1803")</f>
        <v>Hieracium racemosum Waldst. &amp; Kit. ex Willd., 1803</v>
      </c>
      <c r="F19871" s="5" t="s">
        <v>24675</v>
      </c>
      <c r="T19871" s="7" t="str">
        <f>HYPERLINK("#Liste_rouge!A"&amp;_xlfn.XMATCH("VU",Liste_rouge!A:A,2,1),"VU")</f>
        <v>VU</v>
      </c>
      <c r="U19871" s="4" t="str">
        <f>HYPERLINK("#Critères_liste_rouge!A$1","D2")</f>
        <v>D2</v>
      </c>
      <c r="X19871" s="5" t="s">
        <v>374</v>
      </c>
      <c r="AB19871" s="4" t="s">
        <v>93</v>
      </c>
      <c r="AH19871" s="4" t="str">
        <f>HYPERLINK("#Statut_biogéographique!A"&amp;_xlfn.XMATCH("Q",Statut_biogéographique!A:A,2,1),"Q")</f>
        <v>Q</v>
      </c>
      <c r="AM19871" s="4" t="s">
        <v>375</v>
      </c>
      <c r="AN19871" s="4" t="s">
        <v>375</v>
      </c>
      <c r="AO19871" s="4" t="s">
        <v>375</v>
      </c>
      <c r="AP19871" s="4" t="s">
        <v>376</v>
      </c>
      <c r="AR19871" s="4" t="s">
        <v>377</v>
      </c>
    </row>
    <row r="19872" spans="1:44">
      <c r="A19872" s="4" t="s">
        <v>24364</v>
      </c>
      <c r="B19872" s="4">
        <v>102469</v>
      </c>
      <c r="D19872" s="5" t="s">
        <v>24676</v>
      </c>
      <c r="E19872" s="6" t="str">
        <f>HYPERLINK("https://inpn.mnhn.fr/espece/cd_nom/102469","Hieracium rigidum Hartm., 1820")</f>
        <v>Hieracium rigidum Hartm., 1820</v>
      </c>
      <c r="F19872" s="5" t="s">
        <v>24677</v>
      </c>
      <c r="T19872" s="7" t="str">
        <f>HYPERLINK("#Liste_rouge!A"&amp;_xlfn.XMATCH("NE",Liste_rouge!A:A,2,1),"NE")</f>
        <v>NE</v>
      </c>
      <c r="AH19872" s="4" t="str">
        <f>HYPERLINK("#Statut_biogéographique!A"&amp;_xlfn.XMATCH("Q",Statut_biogéographique!A:A,2,1),"Q")</f>
        <v>Q</v>
      </c>
      <c r="AM19872" s="4" t="s">
        <v>375</v>
      </c>
      <c r="AN19872" s="4" t="s">
        <v>375</v>
      </c>
      <c r="AO19872" s="4" t="s">
        <v>375</v>
      </c>
      <c r="AP19872" s="4" t="s">
        <v>376</v>
      </c>
      <c r="AR19872" s="4" t="s">
        <v>377</v>
      </c>
    </row>
    <row r="19873" spans="1:44" ht="60">
      <c r="A19873" s="4" t="s">
        <v>24364</v>
      </c>
      <c r="B19873" s="4">
        <v>102483</v>
      </c>
      <c r="D19873" s="5" t="s">
        <v>24678</v>
      </c>
      <c r="E19873" s="6" t="str">
        <f>HYPERLINK("https://inpn.mnhn.fr/espece/cd_nom/102483","Hieracium sabaudum L., 1753")</f>
        <v>Hieracium sabaudum L., 1753</v>
      </c>
      <c r="F19873" s="5" t="s">
        <v>24679</v>
      </c>
      <c r="T19873" s="7" t="str">
        <f>HYPERLINK("#Liste_rouge!A"&amp;_xlfn.XMATCH("LC",Liste_rouge!A:A,2,1),"LC")</f>
        <v>LC</v>
      </c>
      <c r="AB19873" s="4" t="s">
        <v>24634</v>
      </c>
      <c r="AH19873" s="4" t="str">
        <f>HYPERLINK("#Statut_biogéographique!A"&amp;_xlfn.XMATCH("P",Statut_biogéographique!A:A,2,1),"P")</f>
        <v>P</v>
      </c>
      <c r="AM19873" s="4" t="s">
        <v>375</v>
      </c>
      <c r="AN19873" s="4" t="s">
        <v>375</v>
      </c>
      <c r="AO19873" s="4" t="s">
        <v>375</v>
      </c>
      <c r="AP19873" s="4" t="s">
        <v>376</v>
      </c>
      <c r="AR19873" s="4" t="s">
        <v>377</v>
      </c>
    </row>
    <row r="19874" spans="1:44">
      <c r="A19874" s="4" t="s">
        <v>24364</v>
      </c>
      <c r="B19874" s="4">
        <v>102515</v>
      </c>
      <c r="D19874" s="5" t="s">
        <v>24680</v>
      </c>
      <c r="E19874" s="6" t="str">
        <f>HYPERLINK("https://inpn.mnhn.fr/espece/cd_nom/102515","Hieracium schmidtii Tausch, 1828")</f>
        <v>Hieracium schmidtii Tausch, 1828</v>
      </c>
      <c r="F19874" s="5" t="s">
        <v>24681</v>
      </c>
      <c r="T19874" s="7" t="str">
        <f>HYPERLINK("#Liste_rouge!A"&amp;_xlfn.XMATCH("DD",Liste_rouge!A:A,2,1),"DD")</f>
        <v>DD</v>
      </c>
      <c r="AH19874" s="4" t="str">
        <f>HYPERLINK("#Statut_biogéographique!A"&amp;_xlfn.XMATCH("P",Statut_biogéographique!A:A,2,1),"P")</f>
        <v>P</v>
      </c>
      <c r="AM19874" s="4" t="s">
        <v>375</v>
      </c>
      <c r="AN19874" s="4" t="s">
        <v>375</v>
      </c>
      <c r="AO19874" s="4" t="s">
        <v>375</v>
      </c>
      <c r="AP19874" s="4" t="s">
        <v>376</v>
      </c>
      <c r="AR19874" s="4" t="s">
        <v>377</v>
      </c>
    </row>
    <row r="19875" spans="1:44" ht="105">
      <c r="A19875" s="4" t="s">
        <v>24364</v>
      </c>
      <c r="B19875" s="4">
        <v>102519</v>
      </c>
      <c r="D19875" s="5" t="s">
        <v>24682</v>
      </c>
      <c r="E19875" s="6" t="str">
        <f>HYPERLINK("https://inpn.mnhn.fr/espece/cd_nom/102519","Hieracium scorzonerifolium Vill., 1779")</f>
        <v>Hieracium scorzonerifolium Vill., 1779</v>
      </c>
      <c r="F19875" s="5" t="s">
        <v>24683</v>
      </c>
      <c r="M19875" s="4" t="str">
        <f>HYPERLINK("#Réglementation!A"&amp;_xlfn.XMATCH("RV43",Réglementation!A:A,2,1),"RV43")</f>
        <v>RV43</v>
      </c>
      <c r="Q19875" s="7" t="str">
        <f>HYPERLINK("#Liste_rouge!A"&amp;_xlfn.XMATCH("LC",Liste_rouge!A:A,2,1),"LC")</f>
        <v>LC</v>
      </c>
      <c r="V19875" s="7" t="str">
        <f>HYPERLINK("#Liste_rouge!A"&amp;_xlfn.XMATCH("LC",Liste_rouge!A:A,2,1),"LC")</f>
        <v>LC</v>
      </c>
      <c r="X19875" s="5" t="s">
        <v>374</v>
      </c>
      <c r="AB19875" s="4" t="s">
        <v>93</v>
      </c>
      <c r="AH19875" s="4" t="str">
        <f>HYPERLINK("#Statut_biogéographique!A"&amp;_xlfn.XMATCH("P",Statut_biogéographique!A:A,2,1),"P")</f>
        <v>P</v>
      </c>
      <c r="AM19875" s="4" t="s">
        <v>375</v>
      </c>
      <c r="AN19875" s="4" t="s">
        <v>375</v>
      </c>
      <c r="AO19875" s="4" t="s">
        <v>375</v>
      </c>
      <c r="AP19875" s="4" t="s">
        <v>376</v>
      </c>
      <c r="AR19875" s="4" t="s">
        <v>377</v>
      </c>
    </row>
    <row r="19876" spans="1:44" ht="30">
      <c r="A19876" s="4" t="s">
        <v>24364</v>
      </c>
      <c r="B19876" s="4">
        <v>102524</v>
      </c>
      <c r="D19876" s="5" t="s">
        <v>24684</v>
      </c>
      <c r="E19876" s="6" t="str">
        <f>HYPERLINK("https://inpn.mnhn.fr/espece/cd_nom/102524","Hieracium semisilvaticum (Zahn) P.D.Sell &amp; C.West, 1976")</f>
        <v>Hieracium semisilvaticum (Zahn) P.D.Sell &amp; C.West, 1976</v>
      </c>
      <c r="F19876" s="5" t="s">
        <v>24620</v>
      </c>
      <c r="Q19876" s="7" t="str">
        <f>HYPERLINK("#Liste_rouge!A"&amp;_xlfn.XMATCH("LC",Liste_rouge!A:A,2,1),"LC")</f>
        <v>LC</v>
      </c>
      <c r="AH19876" s="4" t="str">
        <f>HYPERLINK("#Statut_biogéographique!A"&amp;_xlfn.XMATCH("P",Statut_biogéographique!A:A,2,1),"P")</f>
        <v>P</v>
      </c>
      <c r="AP19876" s="4" t="s">
        <v>376</v>
      </c>
      <c r="AR19876" s="4" t="s">
        <v>377</v>
      </c>
    </row>
    <row r="19877" spans="1:44">
      <c r="A19877" s="4" t="s">
        <v>24364</v>
      </c>
      <c r="B19877" s="4">
        <v>102563</v>
      </c>
      <c r="D19877" s="5" t="s">
        <v>24685</v>
      </c>
      <c r="E19877" s="6" t="str">
        <f>HYPERLINK("https://inpn.mnhn.fr/espece/cd_nom/102563","Hieracium speluncarum Arv.-Touv., 1881")</f>
        <v>Hieracium speluncarum Arv.-Touv., 1881</v>
      </c>
      <c r="F19877" s="5" t="s">
        <v>24686</v>
      </c>
      <c r="Q19877" s="7" t="str">
        <f>HYPERLINK("#Liste_rouge!A"&amp;_xlfn.XMATCH("VU",Liste_rouge!A:A,2,1),"VU")</f>
        <v>VU</v>
      </c>
      <c r="V19877" s="7" t="str">
        <f>HYPERLINK("#Liste_rouge!A"&amp;_xlfn.XMATCH("VU",Liste_rouge!A:A,2,1),"VU")</f>
        <v>VU</v>
      </c>
      <c r="W19877" s="4" t="str">
        <f>HYPERLINK("#Critères_liste_rouge!A$1","D2")</f>
        <v>D2</v>
      </c>
      <c r="X19877" s="5" t="s">
        <v>374</v>
      </c>
      <c r="AB19877" s="4" t="s">
        <v>93</v>
      </c>
      <c r="AH19877" s="4" t="str">
        <f>HYPERLINK("#Statut_biogéographique!A"&amp;_xlfn.XMATCH("P",Statut_biogéographique!A:A,2,1),"P")</f>
        <v>P</v>
      </c>
      <c r="AM19877" s="4" t="s">
        <v>375</v>
      </c>
      <c r="AN19877" s="4" t="s">
        <v>375</v>
      </c>
      <c r="AO19877" s="4" t="s">
        <v>375</v>
      </c>
      <c r="AP19877" s="4" t="s">
        <v>376</v>
      </c>
      <c r="AR19877" s="4" t="s">
        <v>377</v>
      </c>
    </row>
    <row r="19878" spans="1:44" ht="30">
      <c r="A19878" s="4" t="s">
        <v>24364</v>
      </c>
      <c r="B19878" s="4">
        <v>102570</v>
      </c>
      <c r="D19878" s="5" t="s">
        <v>24687</v>
      </c>
      <c r="E19878" s="6" t="str">
        <f>HYPERLINK("https://inpn.mnhn.fr/espece/cd_nom/102570","Hieracium squalidum Arv.-Touv., 1871")</f>
        <v>Hieracium squalidum Arv.-Touv., 1871</v>
      </c>
      <c r="AH19878" s="4" t="str">
        <f>HYPERLINK("#Statut_biogéographique!A"&amp;_xlfn.XMATCH("P",Statut_biogéographique!A:A,2,1),"P")</f>
        <v>P</v>
      </c>
      <c r="AP19878" s="4" t="s">
        <v>376</v>
      </c>
      <c r="AR19878" s="4" t="s">
        <v>377</v>
      </c>
    </row>
    <row r="19879" spans="1:44" ht="30">
      <c r="A19879" s="4" t="s">
        <v>24364</v>
      </c>
      <c r="B19879" s="4">
        <v>102593</v>
      </c>
      <c r="D19879" s="5" t="s">
        <v>24688</v>
      </c>
      <c r="E19879" s="6" t="str">
        <f>HYPERLINK("https://inpn.mnhn.fr/espece/cd_nom/102593","Hieracium subhirsutum Jord. ex Boreau, 1857")</f>
        <v>Hieracium subhirsutum Jord. ex Boreau, 1857</v>
      </c>
      <c r="F19879" s="5" t="s">
        <v>24689</v>
      </c>
      <c r="Q19879" s="7" t="str">
        <f>HYPERLINK("#Liste_rouge!A"&amp;_xlfn.XMATCH("DD",Liste_rouge!A:A,2,1),"DD")</f>
        <v>DD</v>
      </c>
      <c r="T19879" s="7" t="str">
        <f>HYPERLINK("#Liste_rouge!A"&amp;_xlfn.XMATCH("NA",Liste_rouge!A:A,2,1),"NA")</f>
        <v>NA</v>
      </c>
      <c r="AH19879" s="4" t="str">
        <f>HYPERLINK("#Statut_biogéographique!A"&amp;_xlfn.XMATCH("P",Statut_biogéographique!A:A,2,1),"P")</f>
        <v>P</v>
      </c>
      <c r="AP19879" s="4" t="s">
        <v>376</v>
      </c>
      <c r="AR19879" s="4" t="s">
        <v>377</v>
      </c>
    </row>
    <row r="19880" spans="1:44" ht="30">
      <c r="A19880" s="4" t="s">
        <v>24364</v>
      </c>
      <c r="B19880" s="4">
        <v>102647</v>
      </c>
      <c r="D19880" s="5" t="s">
        <v>24690</v>
      </c>
      <c r="E19880" s="6" t="str">
        <f>HYPERLINK("https://inpn.mnhn.fr/espece/cd_nom/102647","Hieracium tinctum Jord. ex Boreau, 1857")</f>
        <v>Hieracium tinctum Jord. ex Boreau, 1857</v>
      </c>
      <c r="F19880" s="5" t="s">
        <v>24691</v>
      </c>
      <c r="Q19880" s="7" t="str">
        <f>HYPERLINK("#Liste_rouge!A"&amp;_xlfn.XMATCH("LC",Liste_rouge!A:A,2,1),"LC")</f>
        <v>LC</v>
      </c>
      <c r="T19880" s="7" t="str">
        <f>HYPERLINK("#Liste_rouge!A"&amp;_xlfn.XMATCH("NE",Liste_rouge!A:A,2,1),"NE")</f>
        <v>NE</v>
      </c>
      <c r="AH19880" s="4" t="str">
        <f>HYPERLINK("#Statut_biogéographique!A"&amp;_xlfn.XMATCH("P",Statut_biogéographique!A:A,2,1),"P")</f>
        <v>P</v>
      </c>
      <c r="AM19880" s="4" t="s">
        <v>375</v>
      </c>
      <c r="AN19880" s="4" t="s">
        <v>375</v>
      </c>
      <c r="AO19880" s="4" t="s">
        <v>375</v>
      </c>
      <c r="AP19880" s="4" t="s">
        <v>376</v>
      </c>
      <c r="AR19880" s="4" t="s">
        <v>377</v>
      </c>
    </row>
    <row r="19881" spans="1:44">
      <c r="A19881" s="4" t="s">
        <v>24364</v>
      </c>
      <c r="B19881" s="4">
        <v>102650</v>
      </c>
      <c r="D19881" s="5" t="s">
        <v>24692</v>
      </c>
      <c r="E19881" s="6" t="str">
        <f>HYPERLINK("https://inpn.mnhn.fr/espece/cd_nom/102650","Hieracium tomentosum L., 1755")</f>
        <v>Hieracium tomentosum L., 1755</v>
      </c>
      <c r="F19881" s="5" t="s">
        <v>24693</v>
      </c>
      <c r="Q19881" s="7" t="str">
        <f>HYPERLINK("#Liste_rouge!A"&amp;_xlfn.XMATCH("LC",Liste_rouge!A:A,2,1),"LC")</f>
        <v>LC</v>
      </c>
      <c r="V19881" s="7" t="str">
        <f>HYPERLINK("#Liste_rouge!A"&amp;_xlfn.XMATCH("VU",Liste_rouge!A:A,2,1),"VU")</f>
        <v>VU</v>
      </c>
      <c r="W19881" s="4" t="str">
        <f>HYPERLINK("#Critères_liste_rouge!A$1","D1")</f>
        <v>D1</v>
      </c>
      <c r="X19881" s="5" t="s">
        <v>374</v>
      </c>
      <c r="AB19881" s="4" t="s">
        <v>93</v>
      </c>
      <c r="AH19881" s="4" t="str">
        <f>HYPERLINK("#Statut_biogéographique!A"&amp;_xlfn.XMATCH("P",Statut_biogéographique!A:A,2,1),"P")</f>
        <v>P</v>
      </c>
      <c r="AM19881" s="4" t="s">
        <v>375</v>
      </c>
      <c r="AN19881" s="4" t="s">
        <v>375</v>
      </c>
      <c r="AO19881" s="4" t="s">
        <v>375</v>
      </c>
      <c r="AP19881" s="4" t="s">
        <v>376</v>
      </c>
      <c r="AR19881" s="4" t="s">
        <v>377</v>
      </c>
    </row>
    <row r="19882" spans="1:44" ht="30">
      <c r="A19882" s="4" t="s">
        <v>24364</v>
      </c>
      <c r="B19882" s="4">
        <v>102666</v>
      </c>
      <c r="D19882" s="5" t="s">
        <v>24694</v>
      </c>
      <c r="E19882" s="6" t="str">
        <f>HYPERLINK("https://inpn.mnhn.fr/espece/cd_nom/102666","Hieracium tridentatum Fr., 1819")</f>
        <v>Hieracium tridentatum Fr., 1819</v>
      </c>
      <c r="F19882" s="5" t="s">
        <v>24695</v>
      </c>
      <c r="T19882" s="7" t="str">
        <f>HYPERLINK("#Liste_rouge!A"&amp;_xlfn.XMATCH("DD",Liste_rouge!A:A,2,1),"DD")</f>
        <v>DD</v>
      </c>
      <c r="AH19882" s="4" t="str">
        <f>HYPERLINK("#Statut_biogéographique!A"&amp;_xlfn.XMATCH("Q",Statut_biogéographique!A:A,2,1),"Q")</f>
        <v>Q</v>
      </c>
      <c r="AM19882" s="4" t="s">
        <v>375</v>
      </c>
      <c r="AN19882" s="4" t="s">
        <v>375</v>
      </c>
      <c r="AO19882" s="4" t="s">
        <v>375</v>
      </c>
      <c r="AP19882" s="4" t="s">
        <v>376</v>
      </c>
      <c r="AR19882" s="4" t="s">
        <v>377</v>
      </c>
    </row>
    <row r="19883" spans="1:44" ht="165">
      <c r="A19883" s="4" t="s">
        <v>24364</v>
      </c>
      <c r="B19883" s="4">
        <v>102671</v>
      </c>
      <c r="D19883" s="5" t="s">
        <v>24696</v>
      </c>
      <c r="E19883" s="6" t="str">
        <f>HYPERLINK("https://inpn.mnhn.fr/espece/cd_nom/102671","Hieracium umbellatum L., 1753")</f>
        <v>Hieracium umbellatum L., 1753</v>
      </c>
      <c r="F19883" s="5" t="s">
        <v>24697</v>
      </c>
      <c r="Q19883" s="7" t="str">
        <f>HYPERLINK("#Liste_rouge!A"&amp;_xlfn.XMATCH("LC",Liste_rouge!A:A,2,1),"LC")</f>
        <v>LC</v>
      </c>
      <c r="T19883" s="7" t="str">
        <f>HYPERLINK("#Liste_rouge!A"&amp;_xlfn.XMATCH("LC",Liste_rouge!A:A,2,1),"LC")</f>
        <v>LC</v>
      </c>
      <c r="V19883" s="7" t="str">
        <f>HYPERLINK("#Liste_rouge!A"&amp;_xlfn.XMATCH("LC",Liste_rouge!A:A,2,1),"LC")</f>
        <v>LC</v>
      </c>
      <c r="AH19883" s="4" t="str">
        <f>HYPERLINK("#Statut_biogéographique!A"&amp;_xlfn.XMATCH("P",Statut_biogéographique!A:A,2,1),"P")</f>
        <v>P</v>
      </c>
      <c r="AM19883" s="4" t="s">
        <v>375</v>
      </c>
      <c r="AN19883" s="4" t="s">
        <v>375</v>
      </c>
      <c r="AO19883" s="4" t="s">
        <v>375</v>
      </c>
      <c r="AP19883" s="4" t="s">
        <v>376</v>
      </c>
      <c r="AR19883" s="4" t="s">
        <v>377</v>
      </c>
    </row>
    <row r="19884" spans="1:44" ht="30">
      <c r="A19884" s="4" t="s">
        <v>24364</v>
      </c>
      <c r="B19884" s="4">
        <v>102674</v>
      </c>
      <c r="D19884" s="5" t="s">
        <v>24698</v>
      </c>
      <c r="E19884" s="6" t="str">
        <f>HYPERLINK("https://inpn.mnhn.fr/espece/cd_nom/102674","Hieracium umbrosum Jord., 1848")</f>
        <v>Hieracium umbrosum Jord., 1848</v>
      </c>
      <c r="F19884" s="5" t="s">
        <v>24699</v>
      </c>
      <c r="Q19884" s="7" t="str">
        <f>HYPERLINK("#Liste_rouge!A"&amp;_xlfn.XMATCH("LC",Liste_rouge!A:A,2,1),"LC")</f>
        <v>LC</v>
      </c>
      <c r="V19884" s="7" t="str">
        <f>HYPERLINK("#Liste_rouge!A"&amp;_xlfn.XMATCH("DD",Liste_rouge!A:A,2,1),"DD")</f>
        <v>DD</v>
      </c>
      <c r="X19884" s="5" t="s">
        <v>374</v>
      </c>
      <c r="AB19884" s="4" t="s">
        <v>93</v>
      </c>
      <c r="AH19884" s="4" t="str">
        <f>HYPERLINK("#Statut_biogéographique!A"&amp;_xlfn.XMATCH("P",Statut_biogéographique!A:A,2,1),"P")</f>
        <v>P</v>
      </c>
      <c r="AM19884" s="4" t="s">
        <v>375</v>
      </c>
      <c r="AN19884" s="4" t="s">
        <v>375</v>
      </c>
      <c r="AO19884" s="4" t="s">
        <v>375</v>
      </c>
      <c r="AP19884" s="4" t="s">
        <v>376</v>
      </c>
      <c r="AR19884" s="4" t="s">
        <v>377</v>
      </c>
    </row>
    <row r="19885" spans="1:44" ht="30">
      <c r="A19885" s="4" t="s">
        <v>24364</v>
      </c>
      <c r="B19885" s="4">
        <v>102678</v>
      </c>
      <c r="D19885" s="5" t="s">
        <v>24700</v>
      </c>
      <c r="E19885" s="6" t="str">
        <f>HYPERLINK("https://inpn.mnhn.fr/espece/cd_nom/102678","Hieracium vagum Jord., 1849")</f>
        <v>Hieracium vagum Jord., 1849</v>
      </c>
      <c r="F19885" s="5" t="s">
        <v>24701</v>
      </c>
      <c r="Q19885" s="7" t="str">
        <f>HYPERLINK("#Liste_rouge!A"&amp;_xlfn.XMATCH("LC",Liste_rouge!A:A,2,1),"LC")</f>
        <v>LC</v>
      </c>
      <c r="T19885" s="7" t="str">
        <f>HYPERLINK("#Liste_rouge!A"&amp;_xlfn.XMATCH("NE",Liste_rouge!A:A,2,1),"NE")</f>
        <v>NE</v>
      </c>
      <c r="AH19885" s="4" t="str">
        <f>HYPERLINK("#Statut_biogéographique!A"&amp;_xlfn.XMATCH("P",Statut_biogéographique!A:A,2,1),"P")</f>
        <v>P</v>
      </c>
      <c r="AM19885" s="4" t="s">
        <v>375</v>
      </c>
      <c r="AN19885" s="4" t="s">
        <v>375</v>
      </c>
      <c r="AO19885" s="4" t="s">
        <v>375</v>
      </c>
      <c r="AP19885" s="4" t="s">
        <v>376</v>
      </c>
      <c r="AR19885" s="4" t="s">
        <v>377</v>
      </c>
    </row>
    <row r="19886" spans="1:44" ht="30">
      <c r="A19886" s="4" t="s">
        <v>24364</v>
      </c>
      <c r="B19886" s="4">
        <v>102685</v>
      </c>
      <c r="D19886" s="5" t="s">
        <v>24702</v>
      </c>
      <c r="E19886" s="6" t="str">
        <f>HYPERLINK("https://inpn.mnhn.fr/espece/cd_nom/102685","Hieracium vasconicum Martrin-Donos, 1864")</f>
        <v>Hieracium vasconicum Martrin-Donos, 1864</v>
      </c>
      <c r="F19886" s="5" t="s">
        <v>24703</v>
      </c>
      <c r="Q19886" s="7" t="str">
        <f>HYPERLINK("#Liste_rouge!A"&amp;_xlfn.XMATCH("LC",Liste_rouge!A:A,2,1),"LC")</f>
        <v>LC</v>
      </c>
      <c r="T19886" s="7" t="str">
        <f>HYPERLINK("#Liste_rouge!A"&amp;_xlfn.XMATCH("NE",Liste_rouge!A:A,2,1),"NE")</f>
        <v>NE</v>
      </c>
      <c r="AH19886" s="4" t="str">
        <f>HYPERLINK("#Statut_biogéographique!A"&amp;_xlfn.XMATCH("P",Statut_biogéographique!A:A,2,1),"P")</f>
        <v>P</v>
      </c>
      <c r="AM19886" s="4" t="s">
        <v>375</v>
      </c>
      <c r="AN19886" s="4" t="s">
        <v>375</v>
      </c>
      <c r="AO19886" s="4" t="s">
        <v>375</v>
      </c>
      <c r="AP19886" s="4" t="s">
        <v>376</v>
      </c>
      <c r="AR19886" s="4" t="s">
        <v>377</v>
      </c>
    </row>
    <row r="19887" spans="1:44">
      <c r="A19887" s="4" t="s">
        <v>24364</v>
      </c>
      <c r="B19887" s="4">
        <v>102694</v>
      </c>
      <c r="D19887" s="5">
        <v>102694</v>
      </c>
      <c r="E19887" s="6" t="str">
        <f>HYPERLINK("https://inpn.mnhn.fr/espece/cd_nom/102694","Hieracium vernum Sauzé &amp; Maillard, 1860")</f>
        <v>Hieracium vernum Sauzé &amp; Maillard, 1860</v>
      </c>
      <c r="F19887" s="5" t="s">
        <v>24704</v>
      </c>
      <c r="AH19887" s="4" t="str">
        <f>HYPERLINK("#Statut_biogéographique!A"&amp;_xlfn.XMATCH("P",Statut_biogéographique!A:A,2,1),"P")</f>
        <v>P</v>
      </c>
      <c r="AP19887" s="4" t="s">
        <v>376</v>
      </c>
      <c r="AR19887" s="4" t="s">
        <v>377</v>
      </c>
    </row>
    <row r="19888" spans="1:44" ht="45">
      <c r="A19888" s="4" t="s">
        <v>24364</v>
      </c>
      <c r="B19888" s="4">
        <v>102701</v>
      </c>
      <c r="D19888" s="5" t="s">
        <v>24705</v>
      </c>
      <c r="E19888" s="6" t="str">
        <f>HYPERLINK("https://inpn.mnhn.fr/espece/cd_nom/102701","Hieracium villosum Jacq., 1762")</f>
        <v>Hieracium villosum Jacq., 1762</v>
      </c>
      <c r="F19888" s="5" t="s">
        <v>24706</v>
      </c>
      <c r="Q19888" s="7" t="str">
        <f>HYPERLINK("#Liste_rouge!A"&amp;_xlfn.XMATCH("LC",Liste_rouge!A:A,2,1),"LC (cd_nom 102701) - DD (cd_nom 717239)")</f>
        <v>LC (cd_nom 102701) - DD (cd_nom 717239)</v>
      </c>
      <c r="V19888" s="7" t="str">
        <f>HYPERLINK("#Liste_rouge!A"&amp;_xlfn.XMATCH("VU",Liste_rouge!A:A,2,1),"VU")</f>
        <v>VU</v>
      </c>
      <c r="W19888" s="4" t="str">
        <f>HYPERLINK("#Critères_liste_rouge!A$1","D2")</f>
        <v>D2</v>
      </c>
      <c r="X19888" s="5" t="s">
        <v>374</v>
      </c>
      <c r="AB19888" s="4" t="s">
        <v>93</v>
      </c>
      <c r="AH19888" s="4" t="str">
        <f>HYPERLINK("#Statut_biogéographique!A"&amp;_xlfn.XMATCH("P",Statut_biogéographique!A:A,2,1),"P")</f>
        <v>P</v>
      </c>
      <c r="AM19888" s="4" t="s">
        <v>375</v>
      </c>
      <c r="AN19888" s="4" t="s">
        <v>375</v>
      </c>
      <c r="AO19888" s="4" t="s">
        <v>375</v>
      </c>
      <c r="AP19888" s="4" t="s">
        <v>376</v>
      </c>
      <c r="AR19888" s="4" t="s">
        <v>377</v>
      </c>
    </row>
    <row r="19889" spans="1:44" ht="45">
      <c r="A19889" s="4" t="s">
        <v>24364</v>
      </c>
      <c r="B19889" s="4">
        <v>102708</v>
      </c>
      <c r="D19889" s="5" t="s">
        <v>24707</v>
      </c>
      <c r="E19889" s="6" t="str">
        <f>HYPERLINK("https://inpn.mnhn.fr/espece/cd_nom/102708","Hieracium virgultorum Jord., 1848")</f>
        <v>Hieracium virgultorum Jord., 1848</v>
      </c>
      <c r="F19889" s="5" t="s">
        <v>24708</v>
      </c>
      <c r="Q19889" s="7" t="str">
        <f>HYPERLINK("#Liste_rouge!A"&amp;_xlfn.XMATCH("LC",Liste_rouge!A:A,2,1),"LC")</f>
        <v>LC</v>
      </c>
      <c r="T19889" s="7" t="str">
        <f>HYPERLINK("#Liste_rouge!A"&amp;_xlfn.XMATCH("NE",Liste_rouge!A:A,2,1),"NE")</f>
        <v>NE</v>
      </c>
      <c r="V19889" s="7" t="str">
        <f>HYPERLINK("#Liste_rouge!A"&amp;_xlfn.XMATCH("LC",Liste_rouge!A:A,2,1),"LC")</f>
        <v>LC</v>
      </c>
      <c r="AH19889" s="4" t="str">
        <f>HYPERLINK("#Statut_biogéographique!A"&amp;_xlfn.XMATCH("P",Statut_biogéographique!A:A,2,1),"P")</f>
        <v>P</v>
      </c>
      <c r="AM19889" s="4" t="s">
        <v>375</v>
      </c>
      <c r="AN19889" s="4" t="s">
        <v>375</v>
      </c>
      <c r="AO19889" s="4" t="s">
        <v>375</v>
      </c>
      <c r="AP19889" s="4" t="s">
        <v>376</v>
      </c>
      <c r="AR19889" s="4" t="s">
        <v>377</v>
      </c>
    </row>
    <row r="19890" spans="1:44">
      <c r="A19890" s="4" t="s">
        <v>24364</v>
      </c>
      <c r="B19890" s="4">
        <v>102716</v>
      </c>
      <c r="D19890" s="5" t="s">
        <v>24709</v>
      </c>
      <c r="E19890" s="6" t="str">
        <f>HYPERLINK("https://inpn.mnhn.fr/espece/cd_nom/102716","Hieracium vulgatum Fr., 1819")</f>
        <v>Hieracium vulgatum Fr., 1819</v>
      </c>
      <c r="F19890" s="5" t="s">
        <v>24710</v>
      </c>
      <c r="T19890" s="7" t="str">
        <f>HYPERLINK("#Liste_rouge!A"&amp;_xlfn.XMATCH("NE",Liste_rouge!A:A,2,1),"NE")</f>
        <v>NE</v>
      </c>
      <c r="AH19890" s="4" t="str">
        <f>HYPERLINK("#Statut_biogéographique!A"&amp;_xlfn.XMATCH("Q",Statut_biogéographique!A:A,2,1),"Q")</f>
        <v>Q</v>
      </c>
      <c r="AP19890" s="4" t="s">
        <v>376</v>
      </c>
      <c r="AR19890" s="4" t="s">
        <v>377</v>
      </c>
    </row>
    <row r="19891" spans="1:44" ht="60">
      <c r="A19891" s="4" t="s">
        <v>24364</v>
      </c>
      <c r="B19891" s="4">
        <v>102794</v>
      </c>
      <c r="D19891" s="5" t="s">
        <v>24711</v>
      </c>
      <c r="E19891" s="6" t="str">
        <f>HYPERLINK("https://inpn.mnhn.fr/espece/cd_nom/102794","Hierochloe odorata (L.) P.Beauv., 1812")</f>
        <v>Hierochloe odorata (L.) P.Beauv., 1812</v>
      </c>
      <c r="F19891" s="5" t="s">
        <v>24712</v>
      </c>
      <c r="L19891" s="4" t="str">
        <f>HYPERLINK("#Réglementation!A"&amp;_xlfn.XMATCH("NV1",Réglementation!A:A,2,1),"NV1")</f>
        <v>NV1</v>
      </c>
      <c r="Q19891" s="7" t="str">
        <f>HYPERLINK("#Liste_rouge!A"&amp;_xlfn.XMATCH("NT",Liste_rouge!A:A,2,1),"NT")</f>
        <v>NT</v>
      </c>
      <c r="AH19891" s="4" t="str">
        <f>HYPERLINK("#Statut_biogéographique!A"&amp;_xlfn.XMATCH("P",Statut_biogéographique!A:A,2,1),"P")</f>
        <v>P</v>
      </c>
      <c r="AP19891" s="4" t="s">
        <v>376</v>
      </c>
      <c r="AR19891" s="4" t="s">
        <v>377</v>
      </c>
    </row>
    <row r="19892" spans="1:44" ht="45">
      <c r="A19892" s="4" t="s">
        <v>24364</v>
      </c>
      <c r="B19892" s="4">
        <v>102797</v>
      </c>
      <c r="D19892" s="5" t="s">
        <v>24713</v>
      </c>
      <c r="E19892" s="6" t="str">
        <f>HYPERLINK("https://inpn.mnhn.fr/espece/cd_nom/102797","Himantoglossum hircinum (L.) Spreng., 1826")</f>
        <v>Himantoglossum hircinum (L.) Spreng., 1826</v>
      </c>
      <c r="F19892" s="5" t="s">
        <v>24714</v>
      </c>
      <c r="G19892" s="4" t="str">
        <f>HYPERLINK("[#Réglementation!A"&amp;_xlfn.XMATCH("CCB",Réglementation!A:A,2,1),"CCB")</f>
        <v>CCB</v>
      </c>
      <c r="P19892" s="7" t="str">
        <f>HYPERLINK("#Liste_rouge!A"&amp;_xlfn.XMATCH("LC",Liste_rouge!A:A,2,1),"LC")</f>
        <v>LC</v>
      </c>
      <c r="Q19892" s="7" t="str">
        <f>HYPERLINK("#Liste_rouge!A"&amp;_xlfn.XMATCH("LC",Liste_rouge!A:A,2,1),"LC")</f>
        <v>LC</v>
      </c>
      <c r="T19892" s="7" t="str">
        <f>HYPERLINK("#Liste_rouge!A"&amp;_xlfn.XMATCH("LC",Liste_rouge!A:A,2,1),"LC")</f>
        <v>LC</v>
      </c>
      <c r="V19892" s="7" t="str">
        <f>HYPERLINK("#Liste_rouge!A"&amp;_xlfn.XMATCH("LC",Liste_rouge!A:A,2,1),"LC")</f>
        <v>LC</v>
      </c>
      <c r="AH19892" s="4" t="str">
        <f>HYPERLINK("#Statut_biogéographique!A"&amp;_xlfn.XMATCH("P",Statut_biogéographique!A:A,2,1),"P")</f>
        <v>P</v>
      </c>
      <c r="AL19892" s="5" t="str">
        <f>HYPERLINK("#Réglementation!A"&amp;_xlfn.XMATCH("UEintro",Réglementation!A:A,2,1),"UEintro")</f>
        <v>UEintro</v>
      </c>
      <c r="AM19892" s="4" t="s">
        <v>375</v>
      </c>
      <c r="AN19892" s="4" t="s">
        <v>375</v>
      </c>
      <c r="AO19892" s="4" t="s">
        <v>375</v>
      </c>
      <c r="AP19892" s="4" t="s">
        <v>376</v>
      </c>
      <c r="AR19892" s="4" t="s">
        <v>377</v>
      </c>
    </row>
    <row r="19893" spans="1:44" ht="60">
      <c r="A19893" s="4" t="s">
        <v>24364</v>
      </c>
      <c r="B19893" s="4">
        <v>102842</v>
      </c>
      <c r="D19893" s="5" t="s">
        <v>24715</v>
      </c>
      <c r="E19893" s="6" t="str">
        <f>HYPERLINK("https://inpn.mnhn.fr/espece/cd_nom/102842","Hippocrepis comosa L., 1753")</f>
        <v>Hippocrepis comosa L., 1753</v>
      </c>
      <c r="F19893" s="5" t="s">
        <v>24716</v>
      </c>
      <c r="O19893" s="7" t="str">
        <f>HYPERLINK("#Liste_rouge!A"&amp;_xlfn.XMATCH("LC",Liste_rouge!A:A,2,1),"LC")</f>
        <v>LC</v>
      </c>
      <c r="Q19893" s="7" t="str">
        <f>HYPERLINK("#Liste_rouge!A"&amp;_xlfn.XMATCH("LC",Liste_rouge!A:A,2,1),"LC")</f>
        <v>LC</v>
      </c>
      <c r="T19893" s="7" t="str">
        <f>HYPERLINK("#Liste_rouge!A"&amp;_xlfn.XMATCH("LC",Liste_rouge!A:A,2,1),"LC")</f>
        <v>LC</v>
      </c>
      <c r="V19893" s="7" t="str">
        <f>HYPERLINK("#Liste_rouge!A"&amp;_xlfn.XMATCH("LC",Liste_rouge!A:A,2,1),"LC")</f>
        <v>LC</v>
      </c>
      <c r="AH19893" s="4" t="str">
        <f>HYPERLINK("#Statut_biogéographique!A"&amp;_xlfn.XMATCH("P",Statut_biogéographique!A:A,2,1),"P")</f>
        <v>P</v>
      </c>
      <c r="AM19893" s="4" t="s">
        <v>375</v>
      </c>
      <c r="AN19893" s="4" t="s">
        <v>375</v>
      </c>
      <c r="AO19893" s="4" t="s">
        <v>375</v>
      </c>
      <c r="AP19893" s="4" t="s">
        <v>376</v>
      </c>
      <c r="AR19893" s="4" t="s">
        <v>377</v>
      </c>
    </row>
    <row r="19894" spans="1:44" ht="45">
      <c r="A19894" s="4" t="s">
        <v>24364</v>
      </c>
      <c r="B19894" s="4">
        <v>102845</v>
      </c>
      <c r="D19894" s="5" t="s">
        <v>24717</v>
      </c>
      <c r="E19894" s="6" t="str">
        <f>HYPERLINK("https://inpn.mnhn.fr/espece/cd_nom/102845","Hippocrepis emerus (L.) Lassen, 1989")</f>
        <v>Hippocrepis emerus (L.) Lassen, 1989</v>
      </c>
      <c r="F19894" s="5" t="s">
        <v>24718</v>
      </c>
      <c r="M19894" s="4" t="str">
        <f>HYPERLINK("#Réglementation!A"&amp;_xlfn.XMATCH("RV26",Réglementation!A:A,2,1),"RV26")</f>
        <v>RV26</v>
      </c>
      <c r="Q19894" s="7" t="str">
        <f>HYPERLINK("#Liste_rouge!A"&amp;_xlfn.XMATCH("LC",Liste_rouge!A:A,2,1),"LC")</f>
        <v>LC</v>
      </c>
      <c r="T19894" s="7" t="str">
        <f>HYPERLINK("#Liste_rouge!A"&amp;_xlfn.XMATCH("LC",Liste_rouge!A:A,2,1),"LC")</f>
        <v>LC</v>
      </c>
      <c r="V19894" s="7" t="str">
        <f>HYPERLINK("#Liste_rouge!A"&amp;_xlfn.XMATCH("LC",Liste_rouge!A:A,2,1),"LC")</f>
        <v>LC</v>
      </c>
      <c r="AB19894" s="4" t="s">
        <v>24719</v>
      </c>
      <c r="AH19894" s="4" t="str">
        <f>HYPERLINK("#Statut_biogéographique!A"&amp;_xlfn.XMATCH("P",Statut_biogéographique!A:A,2,1),"P")</f>
        <v>P</v>
      </c>
      <c r="AM19894" s="4" t="s">
        <v>375</v>
      </c>
      <c r="AN19894" s="4" t="s">
        <v>375</v>
      </c>
      <c r="AO19894" s="4" t="s">
        <v>375</v>
      </c>
      <c r="AP19894" s="4" t="s">
        <v>376</v>
      </c>
      <c r="AR19894" s="4" t="s">
        <v>377</v>
      </c>
    </row>
    <row r="19895" spans="1:44" ht="30">
      <c r="A19895" s="4" t="s">
        <v>24364</v>
      </c>
      <c r="B19895" s="4">
        <v>102863</v>
      </c>
      <c r="D19895" s="5" t="s">
        <v>24720</v>
      </c>
      <c r="E19895" s="6" t="str">
        <f>HYPERLINK("https://inpn.mnhn.fr/espece/cd_nom/102863","Hippophae rhamnoides L., 1753")</f>
        <v>Hippophae rhamnoides L., 1753</v>
      </c>
      <c r="F19895" s="5" t="s">
        <v>24721</v>
      </c>
      <c r="P19895" s="7" t="str">
        <f>HYPERLINK("#Liste_rouge!A"&amp;_xlfn.XMATCH("LC",Liste_rouge!A:A,2,1),"LC")</f>
        <v>LC</v>
      </c>
      <c r="Q19895" s="7" t="str">
        <f>HYPERLINK("#Liste_rouge!A"&amp;_xlfn.XMATCH("LC",Liste_rouge!A:A,2,1),"LC")</f>
        <v>LC</v>
      </c>
      <c r="T19895" s="7" t="str">
        <f>HYPERLINK("#Liste_rouge!A"&amp;_xlfn.XMATCH("NA",Liste_rouge!A:A,2,1),"NA")</f>
        <v>NA</v>
      </c>
      <c r="AH19895" s="4" t="str">
        <f>HYPERLINK("#Statut_biogéographique!A"&amp;_xlfn.XMATCH("P",Statut_biogéographique!A:A,2,1),"P")</f>
        <v>P</v>
      </c>
      <c r="AP19895" s="4" t="s">
        <v>376</v>
      </c>
      <c r="AR19895" s="4" t="s">
        <v>377</v>
      </c>
    </row>
    <row r="19896" spans="1:44" ht="30">
      <c r="A19896" s="4" t="s">
        <v>24364</v>
      </c>
      <c r="B19896" s="4">
        <v>102870</v>
      </c>
      <c r="D19896" s="5" t="s">
        <v>24722</v>
      </c>
      <c r="E19896" s="6" t="str">
        <f>HYPERLINK("https://inpn.mnhn.fr/espece/cd_nom/102870","Hippuris vulgaris L., 1753")</f>
        <v>Hippuris vulgaris L., 1753</v>
      </c>
      <c r="F19896" s="5" t="s">
        <v>24723</v>
      </c>
      <c r="O19896" s="7" t="str">
        <f>HYPERLINK("#Liste_rouge!A"&amp;_xlfn.XMATCH("LC",Liste_rouge!A:A,2,1),"LC")</f>
        <v>LC</v>
      </c>
      <c r="P19896" s="7" t="str">
        <f>HYPERLINK("#Liste_rouge!A"&amp;_xlfn.XMATCH("LC",Liste_rouge!A:A,2,1),"LC")</f>
        <v>LC</v>
      </c>
      <c r="Q19896" s="7" t="str">
        <f>HYPERLINK("#Liste_rouge!A"&amp;_xlfn.XMATCH("NT",Liste_rouge!A:A,2,1),"NT")</f>
        <v>NT</v>
      </c>
      <c r="T19896" s="7" t="str">
        <f>HYPERLINK("#Liste_rouge!A"&amp;_xlfn.XMATCH("EN",Liste_rouge!A:A,2,1),"EN")</f>
        <v>EN</v>
      </c>
      <c r="U19896" s="4" t="str">
        <f>HYPERLINK("#Critères_liste_rouge!A$1","B2b(ii,iii,iv)c(iii,iv)")</f>
        <v>B2b(ii,iii,iv)c(iii,iv)</v>
      </c>
      <c r="V19896" s="7" t="str">
        <f>HYPERLINK("#Liste_rouge!A"&amp;_xlfn.XMATCH("LC",Liste_rouge!A:A,2,1),"LC")</f>
        <v>LC</v>
      </c>
      <c r="X19896" s="5" t="s">
        <v>374</v>
      </c>
      <c r="AB19896" s="4" t="s">
        <v>93</v>
      </c>
      <c r="AH19896" s="4" t="str">
        <f>HYPERLINK("#Statut_biogéographique!A"&amp;_xlfn.XMATCH("P",Statut_biogéographique!A:A,2,1),"P")</f>
        <v>P</v>
      </c>
      <c r="AM19896" s="4" t="s">
        <v>375</v>
      </c>
      <c r="AN19896" s="4" t="s">
        <v>375</v>
      </c>
      <c r="AO19896" s="4" t="s">
        <v>375</v>
      </c>
      <c r="AP19896" s="4" t="s">
        <v>376</v>
      </c>
      <c r="AR19896" s="4" t="s">
        <v>377</v>
      </c>
    </row>
    <row r="19897" spans="1:44" ht="75">
      <c r="A19897" s="4" t="s">
        <v>24364</v>
      </c>
      <c r="B19897" s="4">
        <v>102876</v>
      </c>
      <c r="D19897" s="5" t="s">
        <v>24724</v>
      </c>
      <c r="E19897" s="6" t="str">
        <f>HYPERLINK("https://inpn.mnhn.fr/espece/cd_nom/102876","Hirschfeldia incana (L.) Lagr.-Foss., 1847")</f>
        <v>Hirschfeldia incana (L.) Lagr.-Foss., 1847</v>
      </c>
      <c r="F19897" s="5" t="s">
        <v>24725</v>
      </c>
      <c r="Q19897" s="7" t="str">
        <f>HYPERLINK("#Liste_rouge!A"&amp;_xlfn.XMATCH("LC",Liste_rouge!A:A,2,1),"LC")</f>
        <v>LC</v>
      </c>
      <c r="T19897" s="7" t="str">
        <f>HYPERLINK("#Liste_rouge!A"&amp;_xlfn.XMATCH("NA",Liste_rouge!A:A,2,1),"NA")</f>
        <v>NA</v>
      </c>
      <c r="AH19897" s="4" t="str">
        <f>HYPERLINK("#Statut_biogéographique!A"&amp;_xlfn.XMATCH("P",Statut_biogéographique!A:A,2,1),"P")</f>
        <v>P</v>
      </c>
      <c r="AM19897" s="4" t="s">
        <v>375</v>
      </c>
      <c r="AN19897" s="4" t="s">
        <v>375</v>
      </c>
      <c r="AO19897" s="4" t="s">
        <v>375</v>
      </c>
      <c r="AP19897" s="4" t="s">
        <v>376</v>
      </c>
      <c r="AR19897" s="4" t="s">
        <v>377</v>
      </c>
    </row>
    <row r="19898" spans="1:44" ht="90">
      <c r="A19898" s="4" t="s">
        <v>24364</v>
      </c>
      <c r="B19898" s="4">
        <v>102900</v>
      </c>
      <c r="D19898" s="5" t="s">
        <v>24726</v>
      </c>
      <c r="E19898" s="6" t="str">
        <f>HYPERLINK("https://inpn.mnhn.fr/espece/cd_nom/102900","Holcus lanatus L., 1753")</f>
        <v>Holcus lanatus L., 1753</v>
      </c>
      <c r="F19898" s="5" t="s">
        <v>24727</v>
      </c>
      <c r="Q19898" s="7" t="str">
        <f>HYPERLINK("#Liste_rouge!A"&amp;_xlfn.XMATCH("LC",Liste_rouge!A:A,2,1),"LC")</f>
        <v>LC</v>
      </c>
      <c r="T19898" s="7" t="str">
        <f>HYPERLINK("#Liste_rouge!A"&amp;_xlfn.XMATCH("LC",Liste_rouge!A:A,2,1),"LC")</f>
        <v>LC</v>
      </c>
      <c r="V19898" s="7" t="str">
        <f>HYPERLINK("#Liste_rouge!A"&amp;_xlfn.XMATCH("LC",Liste_rouge!A:A,2,1),"LC")</f>
        <v>LC</v>
      </c>
      <c r="AH19898" s="4" t="str">
        <f>HYPERLINK("#Statut_biogéographique!A"&amp;_xlfn.XMATCH("P",Statut_biogéographique!A:A,2,1),"P")</f>
        <v>P</v>
      </c>
      <c r="AM19898" s="4" t="s">
        <v>375</v>
      </c>
      <c r="AN19898" s="4" t="s">
        <v>375</v>
      </c>
      <c r="AO19898" s="4" t="s">
        <v>375</v>
      </c>
      <c r="AP19898" s="4" t="s">
        <v>376</v>
      </c>
      <c r="AR19898" s="4" t="s">
        <v>377</v>
      </c>
    </row>
    <row r="19899" spans="1:44" ht="90">
      <c r="A19899" s="4" t="s">
        <v>24364</v>
      </c>
      <c r="B19899" s="4">
        <v>102901</v>
      </c>
      <c r="D19899" s="5" t="s">
        <v>24728</v>
      </c>
      <c r="E19899" s="6" t="str">
        <f>HYPERLINK("https://inpn.mnhn.fr/espece/cd_nom/102901","Holcus mollis L., 1759")</f>
        <v>Holcus mollis L., 1759</v>
      </c>
      <c r="F19899" s="5" t="s">
        <v>24729</v>
      </c>
      <c r="Q19899" s="7" t="str">
        <f>HYPERLINK("#Liste_rouge!A"&amp;_xlfn.XMATCH("LC",Liste_rouge!A:A,2,1),"LC")</f>
        <v>LC</v>
      </c>
      <c r="T19899" s="7" t="str">
        <f>HYPERLINK("#Liste_rouge!A"&amp;_xlfn.XMATCH("LC",Liste_rouge!A:A,2,1),"LC")</f>
        <v>LC</v>
      </c>
      <c r="V19899" s="7" t="str">
        <f>HYPERLINK("#Liste_rouge!A"&amp;_xlfn.XMATCH("LC",Liste_rouge!A:A,2,1),"LC")</f>
        <v>LC</v>
      </c>
      <c r="AH19899" s="4" t="str">
        <f>HYPERLINK("#Statut_biogéographique!A"&amp;_xlfn.XMATCH("P",Statut_biogéographique!A:A,2,1),"P")</f>
        <v>P</v>
      </c>
      <c r="AM19899" s="4" t="s">
        <v>375</v>
      </c>
      <c r="AN19899" s="4" t="s">
        <v>375</v>
      </c>
      <c r="AO19899" s="4" t="s">
        <v>375</v>
      </c>
      <c r="AP19899" s="4" t="s">
        <v>376</v>
      </c>
      <c r="AR19899" s="4" t="s">
        <v>377</v>
      </c>
    </row>
    <row r="19900" spans="1:44">
      <c r="A19900" s="4" t="s">
        <v>24364</v>
      </c>
      <c r="B19900" s="4">
        <v>102906</v>
      </c>
      <c r="D19900" s="5">
        <v>102906</v>
      </c>
      <c r="E19900" s="6" t="str">
        <f>HYPERLINK("https://inpn.mnhn.fr/espece/cd_nom/102906","Holcus x hybridus Wein, 1913")</f>
        <v>Holcus x hybridus Wein, 1913</v>
      </c>
      <c r="F19900" s="5" t="s">
        <v>24730</v>
      </c>
      <c r="AH19900" s="4" t="str">
        <f>HYPERLINK("#Statut_biogéographique!A"&amp;_xlfn.XMATCH("P",Statut_biogéographique!A:A,2,1),"P")</f>
        <v>P</v>
      </c>
      <c r="AP19900" s="4" t="s">
        <v>376</v>
      </c>
      <c r="AR19900" s="4" t="s">
        <v>377</v>
      </c>
    </row>
    <row r="19901" spans="1:44" ht="30">
      <c r="A19901" s="4" t="s">
        <v>24364</v>
      </c>
      <c r="B19901" s="4">
        <v>102921</v>
      </c>
      <c r="D19901" s="5" t="s">
        <v>24731</v>
      </c>
      <c r="E19901" s="6" t="str">
        <f>HYPERLINK("https://inpn.mnhn.fr/espece/cd_nom/102921","Holosteum umbellatum L., 1753")</f>
        <v>Holosteum umbellatum L., 1753</v>
      </c>
      <c r="F19901" s="5" t="s">
        <v>24732</v>
      </c>
      <c r="Q19901" s="7" t="str">
        <f>HYPERLINK("#Liste_rouge!A"&amp;_xlfn.XMATCH("LC",Liste_rouge!A:A,2,1),"LC")</f>
        <v>LC</v>
      </c>
      <c r="T19901" s="7" t="str">
        <f>HYPERLINK("#Liste_rouge!A"&amp;_xlfn.XMATCH("NT",Liste_rouge!A:A,2,1),"NT")</f>
        <v>NT</v>
      </c>
      <c r="U19901" s="4" t="str">
        <f>HYPERLINK("#Critères_liste_rouge!A$1","pr. B3c(i,ii,iii)")</f>
        <v>pr. B3c(i,ii,iii)</v>
      </c>
      <c r="V19901" s="7" t="str">
        <f>HYPERLINK("#Liste_rouge!A"&amp;_xlfn.XMATCH("EN",Liste_rouge!A:A,2,1),"EN")</f>
        <v>EN</v>
      </c>
      <c r="W19901" s="4" t="str">
        <f>HYPERLINK("#Critères_liste_rouge!A$1","B2ac(iii)")</f>
        <v>B2ac(iii)</v>
      </c>
      <c r="AB19901" s="4" t="s">
        <v>24733</v>
      </c>
      <c r="AH19901" s="4" t="str">
        <f>HYPERLINK("#Statut_biogéographique!A"&amp;_xlfn.XMATCH("P",Statut_biogéographique!A:A,2,1),"P")</f>
        <v>P</v>
      </c>
      <c r="AM19901" s="4" t="s">
        <v>375</v>
      </c>
      <c r="AN19901" s="4" t="s">
        <v>375</v>
      </c>
      <c r="AO19901" s="4" t="s">
        <v>375</v>
      </c>
      <c r="AP19901" s="4" t="s">
        <v>376</v>
      </c>
      <c r="AR19901" s="4" t="s">
        <v>377</v>
      </c>
    </row>
    <row r="19902" spans="1:44">
      <c r="A19902" s="4" t="s">
        <v>24364</v>
      </c>
      <c r="B19902" s="4">
        <v>102925</v>
      </c>
      <c r="D19902" s="5" t="s">
        <v>24734</v>
      </c>
      <c r="E19902" s="6" t="str">
        <f>HYPERLINK("https://inpn.mnhn.fr/espece/cd_nom/102925","Homogyne alpina (L.) Cass., 1821")</f>
        <v>Homogyne alpina (L.) Cass., 1821</v>
      </c>
      <c r="F19902" s="5" t="s">
        <v>24735</v>
      </c>
      <c r="Q19902" s="7" t="str">
        <f>HYPERLINK("#Liste_rouge!A"&amp;_xlfn.XMATCH("LC",Liste_rouge!A:A,2,1),"LC")</f>
        <v>LC</v>
      </c>
      <c r="V19902" s="7" t="str">
        <f>HYPERLINK("#Liste_rouge!A"&amp;_xlfn.XMATCH("LC",Liste_rouge!A:A,2,1),"LC")</f>
        <v>LC</v>
      </c>
      <c r="X19902" s="5" t="s">
        <v>374</v>
      </c>
      <c r="AB19902" s="4" t="s">
        <v>93</v>
      </c>
      <c r="AH19902" s="4" t="str">
        <f>HYPERLINK("#Statut_biogéographique!A"&amp;_xlfn.XMATCH("P",Statut_biogéographique!A:A,2,1),"P")</f>
        <v>P</v>
      </c>
      <c r="AM19902" s="4" t="s">
        <v>375</v>
      </c>
      <c r="AN19902" s="4" t="s">
        <v>375</v>
      </c>
      <c r="AO19902" s="4" t="s">
        <v>375</v>
      </c>
      <c r="AP19902" s="4" t="s">
        <v>376</v>
      </c>
      <c r="AR19902" s="4" t="s">
        <v>377</v>
      </c>
    </row>
    <row r="19903" spans="1:44" ht="30">
      <c r="A19903" s="4" t="s">
        <v>24364</v>
      </c>
      <c r="B19903" s="4">
        <v>102930</v>
      </c>
      <c r="D19903" s="5" t="s">
        <v>24736</v>
      </c>
      <c r="E19903" s="6" t="str">
        <f>HYPERLINK("https://inpn.mnhn.fr/espece/cd_nom/102930","Honorius nutans (Sm.) Gray, 1821")</f>
        <v>Honorius nutans (Sm.) Gray, 1821</v>
      </c>
      <c r="F19903" s="5" t="s">
        <v>24737</v>
      </c>
      <c r="Q19903" s="7" t="str">
        <f>HYPERLINK("#Liste_rouge!A"&amp;_xlfn.XMATCH("NT",Liste_rouge!A:A,2,1),"NT")</f>
        <v>NT</v>
      </c>
      <c r="T19903" s="7" t="str">
        <f>HYPERLINK("#Liste_rouge!A"&amp;_xlfn.XMATCH("NA",Liste_rouge!A:A,2,1),"NA")</f>
        <v>NA</v>
      </c>
      <c r="AH19903" s="4" t="str">
        <f>HYPERLINK("#Statut_biogéographique!A"&amp;_xlfn.XMATCH("P",Statut_biogéographique!A:A,2,1),"P")</f>
        <v>P</v>
      </c>
      <c r="AI19903" s="8" t="s">
        <v>24738</v>
      </c>
      <c r="AJ19903" s="4" t="s">
        <v>12248</v>
      </c>
      <c r="AP19903" s="4" t="s">
        <v>376</v>
      </c>
      <c r="AR19903" s="4" t="s">
        <v>377</v>
      </c>
    </row>
    <row r="19904" spans="1:44" ht="45">
      <c r="A19904" s="4" t="s">
        <v>24364</v>
      </c>
      <c r="B19904" s="4">
        <v>102934</v>
      </c>
      <c r="D19904" s="5" t="s">
        <v>24739</v>
      </c>
      <c r="E19904" s="6" t="str">
        <f>HYPERLINK("https://inpn.mnhn.fr/espece/cd_nom/102934","Hordelymus europaeus (L.) Harz, 1885")</f>
        <v>Hordelymus europaeus (L.) Harz, 1885</v>
      </c>
      <c r="F19904" s="5" t="s">
        <v>24740</v>
      </c>
      <c r="Q19904" s="7" t="str">
        <f>HYPERLINK("#Liste_rouge!A"&amp;_xlfn.XMATCH("LC",Liste_rouge!A:A,2,1),"LC")</f>
        <v>LC</v>
      </c>
      <c r="T19904" s="7" t="str">
        <f>HYPERLINK("#Liste_rouge!A"&amp;_xlfn.XMATCH("LC",Liste_rouge!A:A,2,1),"LC")</f>
        <v>LC</v>
      </c>
      <c r="V19904" s="7" t="str">
        <f>HYPERLINK("#Liste_rouge!A"&amp;_xlfn.XMATCH("LC",Liste_rouge!A:A,2,1),"LC")</f>
        <v>LC</v>
      </c>
      <c r="AB19904" s="4" t="s">
        <v>24486</v>
      </c>
      <c r="AH19904" s="4" t="str">
        <f>HYPERLINK("#Statut_biogéographique!A"&amp;_xlfn.XMATCH("P",Statut_biogéographique!A:A,2,1),"P")</f>
        <v>P</v>
      </c>
      <c r="AM19904" s="4" t="s">
        <v>375</v>
      </c>
      <c r="AN19904" s="4" t="s">
        <v>375</v>
      </c>
      <c r="AO19904" s="4" t="s">
        <v>375</v>
      </c>
      <c r="AP19904" s="4" t="s">
        <v>376</v>
      </c>
      <c r="AR19904" s="4" t="s">
        <v>377</v>
      </c>
    </row>
    <row r="19905" spans="1:44" ht="30">
      <c r="A19905" s="4" t="s">
        <v>24364</v>
      </c>
      <c r="B19905" s="4">
        <v>102964</v>
      </c>
      <c r="D19905" s="5" t="s">
        <v>24741</v>
      </c>
      <c r="E19905" s="6" t="str">
        <f>HYPERLINK("https://inpn.mnhn.fr/espece/cd_nom/102964","Hordeum jubatum L., 1753")</f>
        <v>Hordeum jubatum L., 1753</v>
      </c>
      <c r="F19905" s="5" t="s">
        <v>24742</v>
      </c>
      <c r="O19905" s="7" t="str">
        <f>HYPERLINK("#Liste_rouge!A"&amp;_xlfn.XMATCH("LC",Liste_rouge!A:A,2,1),"LC")</f>
        <v>LC</v>
      </c>
      <c r="Q19905" s="7" t="str">
        <f>HYPERLINK("#Liste_rouge!A"&amp;_xlfn.XMATCH("NA",Liste_rouge!A:A,2,1),"NA")</f>
        <v>NA</v>
      </c>
      <c r="T19905" s="7" t="str">
        <f>HYPERLINK("#Liste_rouge!A"&amp;_xlfn.XMATCH("NA",Liste_rouge!A:A,2,1),"NA")</f>
        <v>NA</v>
      </c>
      <c r="AH19905" s="4" t="str">
        <f>HYPERLINK("#Statut_biogéographique!A"&amp;_xlfn.XMATCH("I",Statut_biogéographique!A:A,2,1),"I")</f>
        <v>I</v>
      </c>
      <c r="AP19905" s="4" t="s">
        <v>376</v>
      </c>
      <c r="AR19905" s="4" t="s">
        <v>377</v>
      </c>
    </row>
    <row r="19906" spans="1:44" ht="30">
      <c r="A19906" s="4" t="s">
        <v>24364</v>
      </c>
      <c r="B19906" s="4">
        <v>102974</v>
      </c>
      <c r="D19906" s="5" t="s">
        <v>24743</v>
      </c>
      <c r="E19906" s="6" t="str">
        <f>HYPERLINK("https://inpn.mnhn.fr/espece/cd_nom/102974","Hordeum murinum L., 1753")</f>
        <v>Hordeum murinum L., 1753</v>
      </c>
      <c r="F19906" s="5" t="s">
        <v>24744</v>
      </c>
      <c r="O19906" s="7" t="str">
        <f>HYPERLINK("#Liste_rouge!A"&amp;_xlfn.XMATCH("LC",Liste_rouge!A:A,2,1),"LC")</f>
        <v>LC</v>
      </c>
      <c r="P19906" s="7" t="str">
        <f>HYPERLINK("#Liste_rouge!A"&amp;_xlfn.XMATCH("LC",Liste_rouge!A:A,2,1),"LC")</f>
        <v>LC</v>
      </c>
      <c r="Q19906" s="7" t="str">
        <f>HYPERLINK("#Liste_rouge!A"&amp;_xlfn.XMATCH("LC",Liste_rouge!A:A,2,1),"LC")</f>
        <v>LC</v>
      </c>
      <c r="T19906" s="7" t="str">
        <f>HYPERLINK("#Liste_rouge!A"&amp;_xlfn.XMATCH("LC",Liste_rouge!A:A,2,1),"LC")</f>
        <v>LC</v>
      </c>
      <c r="V19906" s="7" t="str">
        <f>HYPERLINK("#Liste_rouge!A"&amp;_xlfn.XMATCH("LC",Liste_rouge!A:A,2,1),"LC")</f>
        <v>LC</v>
      </c>
      <c r="AH19906" s="4" t="str">
        <f>HYPERLINK("#Statut_biogéographique!A"&amp;_xlfn.XMATCH("P",Statut_biogéographique!A:A,2,1),"P")</f>
        <v>P</v>
      </c>
      <c r="AM19906" s="4" t="s">
        <v>375</v>
      </c>
      <c r="AN19906" s="4" t="s">
        <v>375</v>
      </c>
      <c r="AO19906" s="4" t="s">
        <v>375</v>
      </c>
      <c r="AP19906" s="4" t="s">
        <v>376</v>
      </c>
      <c r="AR19906" s="4" t="s">
        <v>377</v>
      </c>
    </row>
    <row r="19907" spans="1:44" ht="60">
      <c r="A19907" s="4" t="s">
        <v>24364</v>
      </c>
      <c r="B19907" s="4">
        <v>102990</v>
      </c>
      <c r="D19907" s="5" t="s">
        <v>24745</v>
      </c>
      <c r="E19907" s="6" t="str">
        <f>HYPERLINK("https://inpn.mnhn.fr/espece/cd_nom/102990","Hordeum secalinum Schreb., 1771")</f>
        <v>Hordeum secalinum Schreb., 1771</v>
      </c>
      <c r="F19907" s="5" t="s">
        <v>24746</v>
      </c>
      <c r="O19907" s="7" t="str">
        <f>HYPERLINK("#Liste_rouge!A"&amp;_xlfn.XMATCH("LC",Liste_rouge!A:A,2,1),"LC")</f>
        <v>LC</v>
      </c>
      <c r="P19907" s="7" t="str">
        <f>HYPERLINK("#Liste_rouge!A"&amp;_xlfn.XMATCH("LC",Liste_rouge!A:A,2,1),"LC")</f>
        <v>LC</v>
      </c>
      <c r="Q19907" s="7" t="str">
        <f>HYPERLINK("#Liste_rouge!A"&amp;_xlfn.XMATCH("LC",Liste_rouge!A:A,2,1),"LC")</f>
        <v>LC</v>
      </c>
      <c r="T19907" s="7" t="str">
        <f>HYPERLINK("#Liste_rouge!A"&amp;_xlfn.XMATCH("LC",Liste_rouge!A:A,2,1),"LC")</f>
        <v>LC</v>
      </c>
      <c r="V19907" s="7" t="str">
        <f>HYPERLINK("#Liste_rouge!A"&amp;_xlfn.XMATCH("NT",Liste_rouge!A:A,2,1),"NT")</f>
        <v>NT</v>
      </c>
      <c r="W19907" s="4" t="str">
        <f>HYPERLINK("#Critères_liste_rouge!A$1","pr. A3c B2b(iii)")</f>
        <v>pr. A3c B2b(iii)</v>
      </c>
      <c r="AB19907" s="4" t="s">
        <v>24747</v>
      </c>
      <c r="AH19907" s="4" t="str">
        <f>HYPERLINK("#Statut_biogéographique!A"&amp;_xlfn.XMATCH("P",Statut_biogéographique!A:A,2,1),"P")</f>
        <v>P</v>
      </c>
      <c r="AM19907" s="4" t="s">
        <v>375</v>
      </c>
      <c r="AN19907" s="4" t="s">
        <v>375</v>
      </c>
      <c r="AO19907" s="4" t="s">
        <v>375</v>
      </c>
      <c r="AP19907" s="4" t="s">
        <v>376</v>
      </c>
      <c r="AR19907" s="4" t="s">
        <v>377</v>
      </c>
    </row>
    <row r="19908" spans="1:44" ht="30">
      <c r="A19908" s="4" t="s">
        <v>24364</v>
      </c>
      <c r="B19908" s="4">
        <v>102999</v>
      </c>
      <c r="D19908" s="5" t="s">
        <v>24748</v>
      </c>
      <c r="E19908" s="6" t="str">
        <f>HYPERLINK("https://inpn.mnhn.fr/espece/cd_nom/102999","Hordeum vulgare L., 1753")</f>
        <v>Hordeum vulgare L., 1753</v>
      </c>
      <c r="F19908" s="5" t="s">
        <v>24749</v>
      </c>
      <c r="P19908" s="7" t="str">
        <f>HYPERLINK("#Liste_rouge!A"&amp;_xlfn.XMATCH("LC",Liste_rouge!A:A,2,1),"LC")</f>
        <v>LC</v>
      </c>
      <c r="Q19908" s="7" t="str">
        <f>HYPERLINK("#Liste_rouge!A"&amp;_xlfn.XMATCH("NA",Liste_rouge!A:A,2,1),"NA")</f>
        <v>NA</v>
      </c>
      <c r="T19908" s="7" t="str">
        <f>HYPERLINK("#Liste_rouge!A"&amp;_xlfn.XMATCH("NA",Liste_rouge!A:A,2,1),"NA")</f>
        <v>NA</v>
      </c>
      <c r="AH19908" s="4" t="str">
        <f>HYPERLINK("#Statut_biogéographique!A"&amp;_xlfn.XMATCH("M",Statut_biogéographique!A:A,2,1),"M")</f>
        <v>M</v>
      </c>
      <c r="AP19908" s="4" t="s">
        <v>376</v>
      </c>
      <c r="AR19908" s="4" t="s">
        <v>377</v>
      </c>
    </row>
    <row r="19909" spans="1:44" ht="45">
      <c r="A19909" s="4" t="s">
        <v>24364</v>
      </c>
      <c r="B19909" s="4">
        <v>103019</v>
      </c>
      <c r="D19909" s="5" t="s">
        <v>24750</v>
      </c>
      <c r="E19909" s="6" t="str">
        <f>HYPERLINK("https://inpn.mnhn.fr/espece/cd_nom/103019","Hornungia petraea (L.) Rchb., 1838")</f>
        <v>Hornungia petraea (L.) Rchb., 1838</v>
      </c>
      <c r="F19909" s="5" t="s">
        <v>24751</v>
      </c>
      <c r="M19909" s="4" t="str">
        <f>HYPERLINK("#Réglementation!A"&amp;_xlfn.XMATCH("RV43",Réglementation!A:A,2,1),"RV43")</f>
        <v>RV43</v>
      </c>
      <c r="Q19909" s="7" t="str">
        <f>HYPERLINK("#Liste_rouge!A"&amp;_xlfn.XMATCH("LC",Liste_rouge!A:A,2,1),"LC")</f>
        <v>LC</v>
      </c>
      <c r="T19909" s="7" t="str">
        <f>HYPERLINK("#Liste_rouge!A"&amp;_xlfn.XMATCH("LC",Liste_rouge!A:A,2,1),"LC")</f>
        <v>LC</v>
      </c>
      <c r="V19909" s="7" t="str">
        <f>HYPERLINK("#Liste_rouge!A"&amp;_xlfn.XMATCH("LC",Liste_rouge!A:A,2,1),"LC")</f>
        <v>LC</v>
      </c>
      <c r="AB19909" s="4" t="s">
        <v>24752</v>
      </c>
      <c r="AH19909" s="4" t="str">
        <f>HYPERLINK("#Statut_biogéographique!A"&amp;_xlfn.XMATCH("P",Statut_biogéographique!A:A,2,1),"P")</f>
        <v>P</v>
      </c>
      <c r="AM19909" s="4" t="s">
        <v>375</v>
      </c>
      <c r="AN19909" s="4" t="s">
        <v>375</v>
      </c>
      <c r="AO19909" s="4" t="s">
        <v>375</v>
      </c>
      <c r="AP19909" s="4" t="s">
        <v>376</v>
      </c>
      <c r="AR19909" s="4" t="s">
        <v>377</v>
      </c>
    </row>
    <row r="19910" spans="1:44">
      <c r="A19910" s="4" t="s">
        <v>24364</v>
      </c>
      <c r="B19910" s="4">
        <v>103027</v>
      </c>
      <c r="D19910" s="5" t="s">
        <v>24753</v>
      </c>
      <c r="E19910" s="6" t="str">
        <f>HYPERLINK("https://inpn.mnhn.fr/espece/cd_nom/103027","Hottonia palustris L., 1753")</f>
        <v>Hottonia palustris L., 1753</v>
      </c>
      <c r="F19910" s="5" t="s">
        <v>24754</v>
      </c>
      <c r="M19910" s="4" t="str">
        <f>HYPERLINK("#Réglementation!A"&amp;_xlfn.XMATCH("RV26",Réglementation!A:A,2,1),"RV26 - RV43")</f>
        <v>RV26 - RV43</v>
      </c>
      <c r="O19910" s="7" t="str">
        <f>HYPERLINK("#Liste_rouge!A"&amp;_xlfn.XMATCH("LC",Liste_rouge!A:A,2,1),"LC")</f>
        <v>LC</v>
      </c>
      <c r="P19910" s="7" t="str">
        <f>HYPERLINK("#Liste_rouge!A"&amp;_xlfn.XMATCH("LC",Liste_rouge!A:A,2,1),"LC")</f>
        <v>LC</v>
      </c>
      <c r="Q19910" s="7" t="str">
        <f>HYPERLINK("#Liste_rouge!A"&amp;_xlfn.XMATCH("LC",Liste_rouge!A:A,2,1),"LC")</f>
        <v>LC</v>
      </c>
      <c r="T19910" s="7" t="str">
        <f>HYPERLINK("#Liste_rouge!A"&amp;_xlfn.XMATCH("LC",Liste_rouge!A:A,2,1),"LC")</f>
        <v>LC</v>
      </c>
      <c r="V19910" s="7" t="str">
        <f>HYPERLINK("#Liste_rouge!A"&amp;_xlfn.XMATCH("NT",Liste_rouge!A:A,2,1),"NT")</f>
        <v>NT</v>
      </c>
      <c r="W19910" s="4" t="str">
        <f>HYPERLINK("#Critères_liste_rouge!A$1","pr. B2b(iii)")</f>
        <v>pr. B2b(iii)</v>
      </c>
      <c r="X19910" s="5" t="s">
        <v>374</v>
      </c>
      <c r="AB19910" s="4" t="s">
        <v>93</v>
      </c>
      <c r="AH19910" s="4" t="str">
        <f>HYPERLINK("#Statut_biogéographique!A"&amp;_xlfn.XMATCH("P",Statut_biogéographique!A:A,2,1),"P")</f>
        <v>P</v>
      </c>
      <c r="AM19910" s="4" t="s">
        <v>375</v>
      </c>
      <c r="AN19910" s="4" t="s">
        <v>375</v>
      </c>
      <c r="AO19910" s="4" t="s">
        <v>375</v>
      </c>
      <c r="AP19910" s="4" t="s">
        <v>376</v>
      </c>
      <c r="AR19910" s="4" t="s">
        <v>377</v>
      </c>
    </row>
    <row r="19911" spans="1:44" ht="30">
      <c r="A19911" s="4" t="s">
        <v>24364</v>
      </c>
      <c r="B19911" s="4">
        <v>103031</v>
      </c>
      <c r="D19911" s="5" t="s">
        <v>24755</v>
      </c>
      <c r="E19911" s="6" t="str">
        <f>HYPERLINK("https://inpn.mnhn.fr/espece/cd_nom/103031","Humulus lupulus L., 1753")</f>
        <v>Humulus lupulus L., 1753</v>
      </c>
      <c r="F19911" s="5" t="s">
        <v>24756</v>
      </c>
      <c r="P19911" s="7" t="str">
        <f>HYPERLINK("#Liste_rouge!A"&amp;_xlfn.XMATCH("LC",Liste_rouge!A:A,2,1),"LC")</f>
        <v>LC</v>
      </c>
      <c r="Q19911" s="7" t="str">
        <f>HYPERLINK("#Liste_rouge!A"&amp;_xlfn.XMATCH("LC",Liste_rouge!A:A,2,1),"LC")</f>
        <v>LC</v>
      </c>
      <c r="T19911" s="7" t="str">
        <f>HYPERLINK("#Liste_rouge!A"&amp;_xlfn.XMATCH("LC",Liste_rouge!A:A,2,1),"LC")</f>
        <v>LC</v>
      </c>
      <c r="V19911" s="7" t="str">
        <f>HYPERLINK("#Liste_rouge!A"&amp;_xlfn.XMATCH("LC",Liste_rouge!A:A,2,1),"LC")</f>
        <v>LC</v>
      </c>
      <c r="AH19911" s="4" t="str">
        <f>HYPERLINK("#Statut_biogéographique!A"&amp;_xlfn.XMATCH("P",Statut_biogéographique!A:A,2,1),"P")</f>
        <v>P</v>
      </c>
      <c r="AM19911" s="4" t="s">
        <v>375</v>
      </c>
      <c r="AN19911" s="4" t="s">
        <v>375</v>
      </c>
      <c r="AO19911" s="4" t="s">
        <v>375</v>
      </c>
      <c r="AP19911" s="4" t="s">
        <v>376</v>
      </c>
      <c r="AR19911" s="4" t="s">
        <v>377</v>
      </c>
    </row>
    <row r="19912" spans="1:44" ht="45">
      <c r="A19912" s="4" t="s">
        <v>24364</v>
      </c>
      <c r="B19912" s="4">
        <v>103034</v>
      </c>
      <c r="D19912" s="5" t="s">
        <v>24757</v>
      </c>
      <c r="E19912" s="6" t="str">
        <f>HYPERLINK("https://inpn.mnhn.fr/espece/cd_nom/103034","Huperzia selago (L.) Bernh. ex Schrank &amp; Mart., 1829")</f>
        <v>Huperzia selago (L.) Bernh. ex Schrank &amp; Mart., 1829</v>
      </c>
      <c r="F19912" s="5" t="s">
        <v>24758</v>
      </c>
      <c r="K19912" s="4" t="str">
        <f>HYPERLINK("#Réglementation!A"&amp;_xlfn.XMATCH("CDH5",Réglementation!A:A,2,1),"CDH5")</f>
        <v>CDH5</v>
      </c>
      <c r="M19912" s="4" t="str">
        <f>HYPERLINK("#Réglementation!A"&amp;_xlfn.XMATCH("RV26",Réglementation!A:A,2,1),"RV26")</f>
        <v>RV26</v>
      </c>
      <c r="P19912" s="7" t="str">
        <f>HYPERLINK("#Liste_rouge!A"&amp;_xlfn.XMATCH("LC",Liste_rouge!A:A,2,1),"LC")</f>
        <v>LC</v>
      </c>
      <c r="Q19912" s="7" t="str">
        <f>HYPERLINK("#Liste_rouge!A"&amp;_xlfn.XMATCH("LC",Liste_rouge!A:A,2,1),"LC")</f>
        <v>LC</v>
      </c>
      <c r="T19912" s="7" t="str">
        <f>HYPERLINK("#Liste_rouge!A"&amp;_xlfn.XMATCH("RE",Liste_rouge!A:A,2,1),"RE")</f>
        <v>RE</v>
      </c>
      <c r="V19912" s="7" t="str">
        <f>HYPERLINK("#Liste_rouge!A"&amp;_xlfn.XMATCH("LC",Liste_rouge!A:A,2,1),"LC")</f>
        <v>LC</v>
      </c>
      <c r="X19912" s="5" t="s">
        <v>374</v>
      </c>
      <c r="AB19912" s="4" t="s">
        <v>93</v>
      </c>
      <c r="AE19912" s="4" t="str">
        <f>HYPERLINK("#SCAP!A"&amp;_xlfn.XMATCH("1-",SCAP!A:A,2,1),"1-")</f>
        <v>1-</v>
      </c>
      <c r="AG19912" s="4" t="str">
        <f>HYPERLINK("#SCAP!A"&amp;_xlfn.XMATCH("3",SCAP!A:A,2,1),"3")</f>
        <v>3</v>
      </c>
      <c r="AH19912" s="4" t="str">
        <f>HYPERLINK("#Statut_biogéographique!A"&amp;_xlfn.XMATCH("P",Statut_biogéographique!A:A,2,1),"P")</f>
        <v>P</v>
      </c>
      <c r="AM19912" s="4" t="s">
        <v>375</v>
      </c>
      <c r="AN19912" s="4" t="s">
        <v>375</v>
      </c>
      <c r="AO19912" s="4" t="s">
        <v>375</v>
      </c>
      <c r="AP19912" s="4" t="s">
        <v>376</v>
      </c>
      <c r="AR19912" s="4" t="s">
        <v>377</v>
      </c>
    </row>
    <row r="19913" spans="1:44" ht="45">
      <c r="A19913" s="4" t="s">
        <v>24364</v>
      </c>
      <c r="B19913" s="4">
        <v>103055</v>
      </c>
      <c r="D19913" s="5" t="s">
        <v>24759</v>
      </c>
      <c r="E19913" s="6" t="str">
        <f>HYPERLINK("https://inpn.mnhn.fr/espece/cd_nom/103055","Hyacinthoides hispanica (Mill.) Rothm., 1944")</f>
        <v>Hyacinthoides hispanica (Mill.) Rothm., 1944</v>
      </c>
      <c r="F19913" s="5" t="s">
        <v>24760</v>
      </c>
      <c r="Q19913" s="7" t="str">
        <f>HYPERLINK("#Liste_rouge!A"&amp;_xlfn.XMATCH("NA",Liste_rouge!A:A,2,1),"NA")</f>
        <v>NA</v>
      </c>
      <c r="T19913" s="7" t="str">
        <f>HYPERLINK("#Liste_rouge!A"&amp;_xlfn.XMATCH("NA",Liste_rouge!A:A,2,1),"NA")</f>
        <v>NA</v>
      </c>
      <c r="AH19913" s="4" t="str">
        <f>HYPERLINK("#Statut_biogéographique!A"&amp;_xlfn.XMATCH("M",Statut_biogéographique!A:A,2,1),"M")</f>
        <v>M</v>
      </c>
      <c r="AP19913" s="4" t="s">
        <v>376</v>
      </c>
      <c r="AR19913" s="4" t="s">
        <v>377</v>
      </c>
    </row>
    <row r="19914" spans="1:44" ht="60">
      <c r="A19914" s="4" t="s">
        <v>24364</v>
      </c>
      <c r="B19914" s="4">
        <v>103057</v>
      </c>
      <c r="D19914" s="5" t="s">
        <v>24761</v>
      </c>
      <c r="E19914" s="6" t="str">
        <f>HYPERLINK("https://inpn.mnhn.fr/espece/cd_nom/103057","Hyacinthoides non-scripta (L.) Chouard ex Rothm., 1944")</f>
        <v>Hyacinthoides non-scripta (L.) Chouard ex Rothm., 1944</v>
      </c>
      <c r="F19914" s="5" t="s">
        <v>24762</v>
      </c>
      <c r="Q19914" s="7" t="str">
        <f>HYPERLINK("#Liste_rouge!A"&amp;_xlfn.XMATCH("LC",Liste_rouge!A:A,2,1),"LC")</f>
        <v>LC</v>
      </c>
      <c r="T19914" s="7" t="str">
        <f>HYPERLINK("#Liste_rouge!A"&amp;_xlfn.XMATCH("LC",Liste_rouge!A:A,2,1),"LC")</f>
        <v>LC</v>
      </c>
      <c r="AB19914" s="4" t="s">
        <v>24634</v>
      </c>
      <c r="AH19914" s="4" t="str">
        <f>HYPERLINK("#Statut_biogéographique!A"&amp;_xlfn.XMATCH("P",Statut_biogéographique!A:A,2,1),"P")</f>
        <v>P</v>
      </c>
      <c r="AM19914" s="4" t="s">
        <v>375</v>
      </c>
      <c r="AN19914" s="4" t="s">
        <v>375</v>
      </c>
      <c r="AO19914" s="4" t="s">
        <v>375</v>
      </c>
      <c r="AP19914" s="4" t="s">
        <v>376</v>
      </c>
      <c r="AR19914" s="4" t="s">
        <v>377</v>
      </c>
    </row>
    <row r="19915" spans="1:44" ht="30">
      <c r="A19915" s="4" t="s">
        <v>24364</v>
      </c>
      <c r="B19915" s="4">
        <v>103081</v>
      </c>
      <c r="D19915" s="5" t="s">
        <v>24763</v>
      </c>
      <c r="E19915" s="6" t="str">
        <f>HYPERLINK("https://inpn.mnhn.fr/espece/cd_nom/103081","Hyacinthus orientalis L., 1753")</f>
        <v>Hyacinthus orientalis L., 1753</v>
      </c>
      <c r="F19915" s="5" t="s">
        <v>24764</v>
      </c>
      <c r="Q19915" s="7" t="str">
        <f>HYPERLINK("#Liste_rouge!A"&amp;_xlfn.XMATCH("NA",Liste_rouge!A:A,2,1),"NA")</f>
        <v>NA</v>
      </c>
      <c r="T19915" s="7" t="str">
        <f>HYPERLINK("#Liste_rouge!A"&amp;_xlfn.XMATCH("NA",Liste_rouge!A:A,2,1),"NA")</f>
        <v>NA</v>
      </c>
      <c r="AH19915" s="4" t="str">
        <f>HYPERLINK("#Statut_biogéographique!A"&amp;_xlfn.XMATCH("I",Statut_biogéographique!A:A,2,1),"I")</f>
        <v>I</v>
      </c>
      <c r="AP19915" s="4" t="s">
        <v>376</v>
      </c>
      <c r="AR19915" s="4" t="s">
        <v>377</v>
      </c>
    </row>
    <row r="19916" spans="1:44" ht="60">
      <c r="A19916" s="4" t="s">
        <v>24364</v>
      </c>
      <c r="B19916" s="4">
        <v>103120</v>
      </c>
      <c r="D19916" s="5" t="s">
        <v>24765</v>
      </c>
      <c r="E19916" s="6" t="str">
        <f>HYPERLINK("https://inpn.mnhn.fr/espece/cd_nom/103120","Hydrocharis morsus-ranae L., 1753")</f>
        <v>Hydrocharis morsus-ranae L., 1753</v>
      </c>
      <c r="F19916" s="5" t="s">
        <v>24766</v>
      </c>
      <c r="O19916" s="7" t="str">
        <f>HYPERLINK("#Liste_rouge!A"&amp;_xlfn.XMATCH("LC",Liste_rouge!A:A,2,1),"LC")</f>
        <v>LC</v>
      </c>
      <c r="P19916" s="7" t="str">
        <f>HYPERLINK("#Liste_rouge!A"&amp;_xlfn.XMATCH("LC",Liste_rouge!A:A,2,1),"LC")</f>
        <v>LC</v>
      </c>
      <c r="Q19916" s="7" t="str">
        <f>HYPERLINK("#Liste_rouge!A"&amp;_xlfn.XMATCH("LC",Liste_rouge!A:A,2,1),"LC")</f>
        <v>LC</v>
      </c>
      <c r="T19916" s="7" t="str">
        <f>HYPERLINK("#Liste_rouge!A"&amp;_xlfn.XMATCH("LC",Liste_rouge!A:A,2,1),"LC")</f>
        <v>LC</v>
      </c>
      <c r="V19916" s="7" t="str">
        <f>HYPERLINK("#Liste_rouge!A"&amp;_xlfn.XMATCH("LC",Liste_rouge!A:A,2,1),"LC")</f>
        <v>LC</v>
      </c>
      <c r="AB19916" s="4" t="s">
        <v>24767</v>
      </c>
      <c r="AH19916" s="4" t="str">
        <f>HYPERLINK("#Statut_biogéographique!A"&amp;_xlfn.XMATCH("P",Statut_biogéographique!A:A,2,1),"P")</f>
        <v>P</v>
      </c>
      <c r="AM19916" s="4" t="s">
        <v>375</v>
      </c>
      <c r="AN19916" s="4" t="s">
        <v>375</v>
      </c>
      <c r="AO19916" s="4" t="s">
        <v>375</v>
      </c>
      <c r="AP19916" s="4" t="s">
        <v>376</v>
      </c>
      <c r="AR19916" s="4" t="s">
        <v>377</v>
      </c>
    </row>
    <row r="19917" spans="1:44" ht="30">
      <c r="A19917" s="4" t="s">
        <v>24364</v>
      </c>
      <c r="B19917" s="4">
        <v>103139</v>
      </c>
      <c r="D19917" s="5" t="s">
        <v>24768</v>
      </c>
      <c r="E19917" s="6" t="str">
        <f>HYPERLINK("https://inpn.mnhn.fr/espece/cd_nom/103139","Hydrocotyle ranunculoides L.f., 1782")</f>
        <v>Hydrocotyle ranunculoides L.f., 1782</v>
      </c>
      <c r="F19917" s="5" t="s">
        <v>24769</v>
      </c>
      <c r="O19917" s="7" t="str">
        <f>HYPERLINK("#Liste_rouge!A"&amp;_xlfn.XMATCH("LC",Liste_rouge!A:A,2,1),"LC")</f>
        <v>LC</v>
      </c>
      <c r="Q19917" s="7" t="str">
        <f>HYPERLINK("#Liste_rouge!A"&amp;_xlfn.XMATCH("NA",Liste_rouge!A:A,2,1),"NA")</f>
        <v>NA</v>
      </c>
      <c r="AH19917" s="4" t="str">
        <f>HYPERLINK("#Statut_biogéographique!A"&amp;_xlfn.XMATCH("J",Statut_biogéographique!A:A,2,1),"J")</f>
        <v>J</v>
      </c>
      <c r="AL19917" s="5" t="str">
        <f>HYPERLINK("#Réglementation!A"&amp;_xlfn.XMATCH("FRnoEEEV",Réglementation!A:A,2,1),"FRnoEEEV - EEEUE")</f>
        <v>FRnoEEEV - EEEUE</v>
      </c>
      <c r="AP19917" s="4" t="s">
        <v>376</v>
      </c>
      <c r="AR19917" s="4" t="s">
        <v>377</v>
      </c>
    </row>
    <row r="19918" spans="1:44" ht="30">
      <c r="A19918" s="4" t="s">
        <v>24364</v>
      </c>
      <c r="B19918" s="4">
        <v>103142</v>
      </c>
      <c r="D19918" s="5" t="s">
        <v>24770</v>
      </c>
      <c r="E19918" s="6" t="str">
        <f>HYPERLINK("https://inpn.mnhn.fr/espece/cd_nom/103142","Hydrocotyle vulgaris L., 1753")</f>
        <v>Hydrocotyle vulgaris L., 1753</v>
      </c>
      <c r="F19918" s="5" t="s">
        <v>24771</v>
      </c>
      <c r="M19918" s="4" t="str">
        <f>HYPERLINK("#Réglementation!A"&amp;_xlfn.XMATCH("RV43",Réglementation!A:A,2,1),"RV43")</f>
        <v>RV43</v>
      </c>
      <c r="O19918" s="7" t="str">
        <f>HYPERLINK("#Liste_rouge!A"&amp;_xlfn.XMATCH("LC",Liste_rouge!A:A,2,1),"LC")</f>
        <v>LC</v>
      </c>
      <c r="P19918" s="7" t="str">
        <f>HYPERLINK("#Liste_rouge!A"&amp;_xlfn.XMATCH("LC",Liste_rouge!A:A,2,1),"LC")</f>
        <v>LC</v>
      </c>
      <c r="Q19918" s="7" t="str">
        <f>HYPERLINK("#Liste_rouge!A"&amp;_xlfn.XMATCH("LC",Liste_rouge!A:A,2,1),"LC")</f>
        <v>LC</v>
      </c>
      <c r="T19918" s="7" t="str">
        <f>HYPERLINK("#Liste_rouge!A"&amp;_xlfn.XMATCH("LC",Liste_rouge!A:A,2,1),"LC")</f>
        <v>LC</v>
      </c>
      <c r="V19918" s="7" t="str">
        <f>HYPERLINK("#Liste_rouge!A"&amp;_xlfn.XMATCH("LC",Liste_rouge!A:A,2,1),"LC")</f>
        <v>LC</v>
      </c>
      <c r="AB19918" s="4" t="s">
        <v>24772</v>
      </c>
      <c r="AH19918" s="4" t="str">
        <f>HYPERLINK("#Statut_biogéographique!A"&amp;_xlfn.XMATCH("P",Statut_biogéographique!A:A,2,1),"P")</f>
        <v>P</v>
      </c>
      <c r="AM19918" s="4" t="s">
        <v>375</v>
      </c>
      <c r="AN19918" s="4" t="s">
        <v>375</v>
      </c>
      <c r="AO19918" s="4" t="s">
        <v>375</v>
      </c>
      <c r="AP19918" s="4" t="s">
        <v>376</v>
      </c>
      <c r="AR19918" s="4" t="s">
        <v>377</v>
      </c>
    </row>
    <row r="19919" spans="1:44" ht="45">
      <c r="A19919" s="4" t="s">
        <v>24364</v>
      </c>
      <c r="B19919" s="4">
        <v>103156</v>
      </c>
      <c r="D19919" s="5" t="s">
        <v>24773</v>
      </c>
      <c r="E19919" s="6" t="str">
        <f>HYPERLINK("https://inpn.mnhn.fr/espece/cd_nom/103156","Hylotelephium argutum (Haw.) Holub, 1979")</f>
        <v>Hylotelephium argutum (Haw.) Holub, 1979</v>
      </c>
      <c r="F19919" s="5" t="s">
        <v>24774</v>
      </c>
      <c r="AH19919" s="4" t="str">
        <f>HYPERLINK("#Statut_biogéographique!A"&amp;_xlfn.XMATCH("Q",Statut_biogéographique!A:A,2,1),"Q")</f>
        <v>Q</v>
      </c>
      <c r="AP19919" s="4" t="s">
        <v>376</v>
      </c>
      <c r="AR19919" s="4" t="s">
        <v>377</v>
      </c>
    </row>
    <row r="19920" spans="1:44" ht="135">
      <c r="A19920" s="4" t="s">
        <v>24364</v>
      </c>
      <c r="B19920" s="4">
        <v>103159</v>
      </c>
      <c r="D19920" s="5" t="s">
        <v>24775</v>
      </c>
      <c r="E19920" s="6" t="str">
        <f>HYPERLINK("https://inpn.mnhn.fr/espece/cd_nom/103159","Hylotelephium maximum (L.) Holub, 1978")</f>
        <v>Hylotelephium maximum (L.) Holub, 1978</v>
      </c>
      <c r="F19920" s="5" t="s">
        <v>24776</v>
      </c>
      <c r="Q19920" s="7" t="str">
        <f>HYPERLINK("#Liste_rouge!A"&amp;_xlfn.XMATCH("LC",Liste_rouge!A:A,2,1),"LC")</f>
        <v>LC</v>
      </c>
      <c r="T19920" s="7" t="str">
        <f>HYPERLINK("#Liste_rouge!A"&amp;_xlfn.XMATCH("CR",Liste_rouge!A:A,2,1),"CR")</f>
        <v>CR</v>
      </c>
      <c r="U19920" s="4" t="str">
        <f>HYPERLINK("#Critères_liste_rouge!A$1","B1 B2ab(iv)")</f>
        <v>B1 B2ab(iv)</v>
      </c>
      <c r="V19920" s="7" t="str">
        <f>HYPERLINK("#Liste_rouge!A"&amp;_xlfn.XMATCH("LC",Liste_rouge!A:A,2,1),"LC")</f>
        <v>LC</v>
      </c>
      <c r="AB19920" s="4" t="s">
        <v>24777</v>
      </c>
      <c r="AH19920" s="4" t="str">
        <f>HYPERLINK("#Statut_biogéographique!A"&amp;_xlfn.XMATCH("P",Statut_biogéographique!A:A,2,1),"P")</f>
        <v>P</v>
      </c>
      <c r="AM19920" s="4" t="s">
        <v>375</v>
      </c>
      <c r="AN19920" s="4" t="s">
        <v>375</v>
      </c>
      <c r="AO19920" s="4" t="s">
        <v>375</v>
      </c>
      <c r="AP19920" s="4" t="s">
        <v>376</v>
      </c>
      <c r="AR19920" s="4" t="s">
        <v>377</v>
      </c>
    </row>
    <row r="19921" spans="1:44" ht="270">
      <c r="A19921" s="4" t="s">
        <v>24364</v>
      </c>
      <c r="B19921" s="4">
        <v>103162</v>
      </c>
      <c r="D19921" s="5" t="s">
        <v>24778</v>
      </c>
      <c r="E19921" s="6" t="str">
        <f>HYPERLINK("https://inpn.mnhn.fr/espece/cd_nom/103162","Hylotelephium telephium (L.) H.Ohba, 1977")</f>
        <v>Hylotelephium telephium (L.) H.Ohba, 1977</v>
      </c>
      <c r="F19921" s="5" t="s">
        <v>24779</v>
      </c>
      <c r="Q19921" s="7" t="str">
        <f>HYPERLINK("#Liste_rouge!A"&amp;_xlfn.XMATCH("LC",Liste_rouge!A:A,2,1),"LC")</f>
        <v>LC</v>
      </c>
      <c r="T19921" s="7" t="str">
        <f>HYPERLINK("#Liste_rouge!A"&amp;_xlfn.XMATCH("LC",Liste_rouge!A:A,2,1),"LC")</f>
        <v>LC</v>
      </c>
      <c r="V19921" s="7" t="str">
        <f>HYPERLINK("#Liste_rouge!A"&amp;_xlfn.XMATCH("LC",Liste_rouge!A:A,2,1),"LC")</f>
        <v>LC</v>
      </c>
      <c r="AH19921" s="4" t="str">
        <f>HYPERLINK("#Statut_biogéographique!A"&amp;_xlfn.XMATCH("P",Statut_biogéographique!A:A,2,1),"P")</f>
        <v>P</v>
      </c>
      <c r="AM19921" s="4" t="s">
        <v>375</v>
      </c>
      <c r="AN19921" s="4" t="s">
        <v>375</v>
      </c>
      <c r="AO19921" s="4" t="s">
        <v>375</v>
      </c>
      <c r="AP19921" s="4" t="s">
        <v>376</v>
      </c>
      <c r="AR19921" s="4" t="s">
        <v>377</v>
      </c>
    </row>
    <row r="19922" spans="1:44" ht="30">
      <c r="A19922" s="4" t="s">
        <v>24364</v>
      </c>
      <c r="B19922" s="4">
        <v>103178</v>
      </c>
      <c r="D19922" s="5" t="s">
        <v>24780</v>
      </c>
      <c r="E19922" s="6" t="str">
        <f>HYPERLINK("https://inpn.mnhn.fr/espece/cd_nom/103178","Hyoscyamus albus L., 1753")</f>
        <v>Hyoscyamus albus L., 1753</v>
      </c>
      <c r="F19922" s="5" t="s">
        <v>24781</v>
      </c>
      <c r="Q19922" s="7" t="str">
        <f>HYPERLINK("#Liste_rouge!A"&amp;_xlfn.XMATCH("LC",Liste_rouge!A:A,2,1),"LC")</f>
        <v>LC</v>
      </c>
      <c r="T19922" s="7" t="str">
        <f>HYPERLINK("#Liste_rouge!A"&amp;_xlfn.XMATCH("NA",Liste_rouge!A:A,2,1),"NA")</f>
        <v>NA</v>
      </c>
      <c r="AH19922" s="4" t="str">
        <f>HYPERLINK("#Statut_biogéographique!A"&amp;_xlfn.XMATCH("P",Statut_biogéographique!A:A,2,1),"P")</f>
        <v>P</v>
      </c>
      <c r="AP19922" s="4" t="s">
        <v>376</v>
      </c>
      <c r="AR19922" s="4" t="s">
        <v>377</v>
      </c>
    </row>
    <row r="19923" spans="1:44" ht="75">
      <c r="A19923" s="4" t="s">
        <v>24364</v>
      </c>
      <c r="B19923" s="4">
        <v>103185</v>
      </c>
      <c r="D19923" s="5" t="s">
        <v>24782</v>
      </c>
      <c r="E19923" s="6" t="str">
        <f>HYPERLINK("https://inpn.mnhn.fr/espece/cd_nom/103185","Hyoscyamus niger L., 1753")</f>
        <v>Hyoscyamus niger L., 1753</v>
      </c>
      <c r="F19923" s="5" t="s">
        <v>24783</v>
      </c>
      <c r="Q19923" s="7" t="str">
        <f>HYPERLINK("#Liste_rouge!A"&amp;_xlfn.XMATCH("LC",Liste_rouge!A:A,2,1),"LC")</f>
        <v>LC</v>
      </c>
      <c r="T19923" s="7" t="str">
        <f>HYPERLINK("#Liste_rouge!A"&amp;_xlfn.XMATCH("VU",Liste_rouge!A:A,2,1),"VU")</f>
        <v>VU</v>
      </c>
      <c r="U19923" s="4" t="str">
        <f>HYPERLINK("#Critères_liste_rouge!A$1","D2")</f>
        <v>D2</v>
      </c>
      <c r="V19923" s="7" t="str">
        <f>HYPERLINK("#Liste_rouge!A"&amp;_xlfn.XMATCH("RE",Liste_rouge!A:A,2,1),"RE")</f>
        <v>RE</v>
      </c>
      <c r="X19923" s="5" t="s">
        <v>374</v>
      </c>
      <c r="AB19923" s="4" t="s">
        <v>93</v>
      </c>
      <c r="AH19923" s="4" t="str">
        <f>HYPERLINK("#Statut_biogéographique!A"&amp;_xlfn.XMATCH("P",Statut_biogéographique!A:A,2,1),"P")</f>
        <v>P</v>
      </c>
      <c r="AM19923" s="4" t="s">
        <v>375</v>
      </c>
      <c r="AN19923" s="4" t="s">
        <v>375</v>
      </c>
      <c r="AO19923" s="4" t="s">
        <v>375</v>
      </c>
      <c r="AP19923" s="4" t="s">
        <v>376</v>
      </c>
      <c r="AR19923" s="4" t="s">
        <v>377</v>
      </c>
    </row>
    <row r="19924" spans="1:44" ht="30">
      <c r="A19924" s="4" t="s">
        <v>24364</v>
      </c>
      <c r="B19924" s="4">
        <v>103245</v>
      </c>
      <c r="D19924" s="5" t="s">
        <v>24784</v>
      </c>
      <c r="E19924" s="6" t="str">
        <f>HYPERLINK("https://inpn.mnhn.fr/espece/cd_nom/103245","Hypericum androsaemum L., 1753")</f>
        <v>Hypericum androsaemum L., 1753</v>
      </c>
      <c r="F19924" s="5" t="s">
        <v>24785</v>
      </c>
      <c r="Q19924" s="7" t="str">
        <f>HYPERLINK("#Liste_rouge!A"&amp;_xlfn.XMATCH("LC",Liste_rouge!A:A,2,1),"LC")</f>
        <v>LC</v>
      </c>
      <c r="T19924" s="7" t="str">
        <f>HYPERLINK("#Liste_rouge!A"&amp;_xlfn.XMATCH("LC",Liste_rouge!A:A,2,1),"LC")</f>
        <v>LC</v>
      </c>
      <c r="V19924" s="7" t="str">
        <f>HYPERLINK("#Liste_rouge!A"&amp;_xlfn.XMATCH("EN",Liste_rouge!A:A,2,1),"EN")</f>
        <v>EN</v>
      </c>
      <c r="W19924" s="4" t="str">
        <f>HYPERLINK("#Critères_liste_rouge!A$1","D")</f>
        <v>D</v>
      </c>
      <c r="AB19924" s="4" t="s">
        <v>24786</v>
      </c>
      <c r="AH19924" s="4" t="str">
        <f>HYPERLINK("#Statut_biogéographique!A"&amp;_xlfn.XMATCH("P",Statut_biogéographique!A:A,2,1),"P")</f>
        <v>P</v>
      </c>
      <c r="AM19924" s="4" t="s">
        <v>375</v>
      </c>
      <c r="AN19924" s="4" t="s">
        <v>375</v>
      </c>
      <c r="AO19924" s="4" t="s">
        <v>375</v>
      </c>
      <c r="AP19924" s="4" t="s">
        <v>376</v>
      </c>
      <c r="AR19924" s="4" t="s">
        <v>377</v>
      </c>
    </row>
    <row r="19925" spans="1:44" ht="30">
      <c r="A19925" s="4" t="s">
        <v>24364</v>
      </c>
      <c r="B19925" s="4">
        <v>103254</v>
      </c>
      <c r="D19925" s="5" t="s">
        <v>24787</v>
      </c>
      <c r="E19925" s="6" t="str">
        <f>HYPERLINK("https://inpn.mnhn.fr/espece/cd_nom/103254","Hypericum calycinum L., 1767")</f>
        <v>Hypericum calycinum L., 1767</v>
      </c>
      <c r="F19925" s="5" t="s">
        <v>24788</v>
      </c>
      <c r="Q19925" s="7" t="str">
        <f>HYPERLINK("#Liste_rouge!A"&amp;_xlfn.XMATCH("NA",Liste_rouge!A:A,2,1),"NA")</f>
        <v>NA</v>
      </c>
      <c r="T19925" s="7" t="str">
        <f>HYPERLINK("#Liste_rouge!A"&amp;_xlfn.XMATCH("NA",Liste_rouge!A:A,2,1),"NA")</f>
        <v>NA</v>
      </c>
      <c r="AH19925" s="4" t="str">
        <f>HYPERLINK("#Statut_biogéographique!A"&amp;_xlfn.XMATCH("I",Statut_biogéographique!A:A,2,1),"I")</f>
        <v>I</v>
      </c>
      <c r="AP19925" s="4" t="s">
        <v>376</v>
      </c>
      <c r="AR19925" s="4" t="s">
        <v>377</v>
      </c>
    </row>
    <row r="19926" spans="1:44" ht="30">
      <c r="A19926" s="4" t="s">
        <v>24364</v>
      </c>
      <c r="B19926" s="4">
        <v>103267</v>
      </c>
      <c r="D19926" s="5" t="s">
        <v>24789</v>
      </c>
      <c r="E19926" s="6" t="str">
        <f>HYPERLINK("https://inpn.mnhn.fr/espece/cd_nom/103267","Hypericum x desetangsii Lamotte, 1874 [nom. et typ. cons.]")</f>
        <v>Hypericum x desetangsii Lamotte, 1874 [nom. et typ. cons.]</v>
      </c>
      <c r="F19926" s="5" t="s">
        <v>24790</v>
      </c>
      <c r="T19926" s="7" t="str">
        <f>HYPERLINK("#Liste_rouge!A"&amp;_xlfn.XMATCH("VU",Liste_rouge!A:A,2,1),"VU")</f>
        <v>VU</v>
      </c>
      <c r="U19926" s="4" t="str">
        <f>HYPERLINK("#Critères_liste_rouge!A$1","D2")</f>
        <v>D2</v>
      </c>
      <c r="AH19926" s="4" t="str">
        <f>HYPERLINK("#Statut_biogéographique!A"&amp;_xlfn.XMATCH("P",Statut_biogéographique!A:A,2,1),"P")</f>
        <v>P</v>
      </c>
      <c r="AP19926" s="4" t="s">
        <v>376</v>
      </c>
      <c r="AR19926" s="4" t="s">
        <v>377</v>
      </c>
    </row>
    <row r="19927" spans="1:44">
      <c r="A19927" s="4" t="s">
        <v>24364</v>
      </c>
      <c r="B19927" s="4">
        <v>103272</v>
      </c>
      <c r="D19927" s="5" t="s">
        <v>24791</v>
      </c>
      <c r="E19927" s="6" t="str">
        <f>HYPERLINK("https://inpn.mnhn.fr/espece/cd_nom/103272","Hypericum elodes L., 1759")</f>
        <v>Hypericum elodes L., 1759</v>
      </c>
      <c r="F19927" s="5" t="s">
        <v>24792</v>
      </c>
      <c r="M19927" s="4" t="str">
        <f>HYPERLINK("#Réglementation!A"&amp;_xlfn.XMATCH("RV26",Réglementation!A:A,2,1),"RV26")</f>
        <v>RV26</v>
      </c>
      <c r="O19927" s="7" t="str">
        <f>HYPERLINK("#Liste_rouge!A"&amp;_xlfn.XMATCH("LC",Liste_rouge!A:A,2,1),"LC")</f>
        <v>LC</v>
      </c>
      <c r="P19927" s="7" t="str">
        <f>HYPERLINK("#Liste_rouge!A"&amp;_xlfn.XMATCH("LC",Liste_rouge!A:A,2,1),"LC")</f>
        <v>LC</v>
      </c>
      <c r="Q19927" s="7" t="str">
        <f>HYPERLINK("#Liste_rouge!A"&amp;_xlfn.XMATCH("LC",Liste_rouge!A:A,2,1),"LC")</f>
        <v>LC</v>
      </c>
      <c r="T19927" s="7" t="str">
        <f>HYPERLINK("#Liste_rouge!A"&amp;_xlfn.XMATCH("VU",Liste_rouge!A:A,2,1),"VU")</f>
        <v>VU</v>
      </c>
      <c r="U19927" s="4" t="str">
        <f>HYPERLINK("#Critères_liste_rouge!A$1","D2")</f>
        <v>D2</v>
      </c>
      <c r="V19927" s="7" t="str">
        <f>HYPERLINK("#Liste_rouge!A"&amp;_xlfn.XMATCH("CR",Liste_rouge!A:A,2,1),"CR")</f>
        <v>CR</v>
      </c>
      <c r="W19927" s="4" t="str">
        <f>HYPERLINK("#Critères_liste_rouge!A$1","B2ab(iii)")</f>
        <v>B2ab(iii)</v>
      </c>
      <c r="X19927" s="5" t="s">
        <v>374</v>
      </c>
      <c r="AB19927" s="4" t="s">
        <v>93</v>
      </c>
      <c r="AH19927" s="4" t="str">
        <f>HYPERLINK("#Statut_biogéographique!A"&amp;_xlfn.XMATCH("P",Statut_biogéographique!A:A,2,1),"P")</f>
        <v>P</v>
      </c>
      <c r="AM19927" s="4" t="s">
        <v>375</v>
      </c>
      <c r="AN19927" s="4" t="s">
        <v>375</v>
      </c>
      <c r="AO19927" s="4" t="s">
        <v>375</v>
      </c>
      <c r="AP19927" s="4" t="s">
        <v>376</v>
      </c>
      <c r="AR19927" s="4" t="s">
        <v>377</v>
      </c>
    </row>
    <row r="19928" spans="1:44" ht="30">
      <c r="A19928" s="4" t="s">
        <v>24364</v>
      </c>
      <c r="B19928" s="4">
        <v>103286</v>
      </c>
      <c r="D19928" s="5" t="s">
        <v>24793</v>
      </c>
      <c r="E19928" s="6" t="str">
        <f>HYPERLINK("https://inpn.mnhn.fr/espece/cd_nom/103286","Hypericum hircinum L., 1753")</f>
        <v>Hypericum hircinum L., 1753</v>
      </c>
      <c r="F19928" s="5" t="s">
        <v>24794</v>
      </c>
      <c r="Q19928" s="7" t="str">
        <f>HYPERLINK("#Liste_rouge!A"&amp;_xlfn.XMATCH("LC",Liste_rouge!A:A,2,1),"LC")</f>
        <v>LC</v>
      </c>
      <c r="T19928" s="7" t="str">
        <f>HYPERLINK("#Liste_rouge!A"&amp;_xlfn.XMATCH("NA",Liste_rouge!A:A,2,1),"NA")</f>
        <v>NA</v>
      </c>
      <c r="AH19928" s="4" t="str">
        <f>HYPERLINK("#Statut_biogéographique!A"&amp;_xlfn.XMATCH("P",Statut_biogéographique!A:A,2,1),"P")</f>
        <v>P</v>
      </c>
      <c r="AP19928" s="4" t="s">
        <v>376</v>
      </c>
      <c r="AR19928" s="4" t="s">
        <v>377</v>
      </c>
    </row>
    <row r="19929" spans="1:44" ht="30">
      <c r="A19929" s="4" t="s">
        <v>24364</v>
      </c>
      <c r="B19929" s="4">
        <v>103287</v>
      </c>
      <c r="D19929" s="5" t="s">
        <v>24795</v>
      </c>
      <c r="E19929" s="6" t="str">
        <f>HYPERLINK("https://inpn.mnhn.fr/espece/cd_nom/103287","Hypericum hirsutum L., 1753")</f>
        <v>Hypericum hirsutum L., 1753</v>
      </c>
      <c r="F19929" s="5" t="s">
        <v>24796</v>
      </c>
      <c r="Q19929" s="7" t="str">
        <f>HYPERLINK("#Liste_rouge!A"&amp;_xlfn.XMATCH("LC",Liste_rouge!A:A,2,1),"LC")</f>
        <v>LC</v>
      </c>
      <c r="T19929" s="7" t="str">
        <f>HYPERLINK("#Liste_rouge!A"&amp;_xlfn.XMATCH("LC",Liste_rouge!A:A,2,1),"LC")</f>
        <v>LC</v>
      </c>
      <c r="V19929" s="7" t="str">
        <f>HYPERLINK("#Liste_rouge!A"&amp;_xlfn.XMATCH("LC",Liste_rouge!A:A,2,1),"LC")</f>
        <v>LC</v>
      </c>
      <c r="AH19929" s="4" t="str">
        <f>HYPERLINK("#Statut_biogéographique!A"&amp;_xlfn.XMATCH("P",Statut_biogéographique!A:A,2,1),"P")</f>
        <v>P</v>
      </c>
      <c r="AM19929" s="4" t="s">
        <v>375</v>
      </c>
      <c r="AN19929" s="4" t="s">
        <v>375</v>
      </c>
      <c r="AO19929" s="4" t="s">
        <v>375</v>
      </c>
      <c r="AP19929" s="4" t="s">
        <v>376</v>
      </c>
      <c r="AR19929" s="4" t="s">
        <v>377</v>
      </c>
    </row>
    <row r="19930" spans="1:44" ht="45">
      <c r="A19930" s="4" t="s">
        <v>24364</v>
      </c>
      <c r="B19930" s="4">
        <v>103288</v>
      </c>
      <c r="D19930" s="5" t="s">
        <v>24797</v>
      </c>
      <c r="E19930" s="6" t="str">
        <f>HYPERLINK("https://inpn.mnhn.fr/espece/cd_nom/103288","Hypericum humifusum L., 1753")</f>
        <v>Hypericum humifusum L., 1753</v>
      </c>
      <c r="F19930" s="5" t="s">
        <v>24798</v>
      </c>
      <c r="Q19930" s="7" t="str">
        <f>HYPERLINK("#Liste_rouge!A"&amp;_xlfn.XMATCH("LC",Liste_rouge!A:A,2,1),"LC")</f>
        <v>LC</v>
      </c>
      <c r="T19930" s="7" t="str">
        <f>HYPERLINK("#Liste_rouge!A"&amp;_xlfn.XMATCH("LC",Liste_rouge!A:A,2,1),"LC")</f>
        <v>LC</v>
      </c>
      <c r="V19930" s="7" t="str">
        <f>HYPERLINK("#Liste_rouge!A"&amp;_xlfn.XMATCH("LC",Liste_rouge!A:A,2,1),"LC")</f>
        <v>LC</v>
      </c>
      <c r="AH19930" s="4" t="str">
        <f>HYPERLINK("#Statut_biogéographique!A"&amp;_xlfn.XMATCH("P",Statut_biogéographique!A:A,2,1),"P")</f>
        <v>P</v>
      </c>
      <c r="AM19930" s="4" t="s">
        <v>375</v>
      </c>
      <c r="AN19930" s="4" t="s">
        <v>375</v>
      </c>
      <c r="AO19930" s="4" t="s">
        <v>375</v>
      </c>
      <c r="AP19930" s="4" t="s">
        <v>376</v>
      </c>
      <c r="AR19930" s="4" t="s">
        <v>377</v>
      </c>
    </row>
    <row r="19931" spans="1:44" ht="45">
      <c r="A19931" s="4" t="s">
        <v>24364</v>
      </c>
      <c r="B19931" s="4">
        <v>103292</v>
      </c>
      <c r="D19931" s="5" t="s">
        <v>24799</v>
      </c>
      <c r="E19931" s="6" t="str">
        <f>HYPERLINK("https://inpn.mnhn.fr/espece/cd_nom/103292","Hypericum linariifolium Vahl, 1790")</f>
        <v>Hypericum linariifolium Vahl, 1790</v>
      </c>
      <c r="F19931" s="5" t="s">
        <v>24800</v>
      </c>
      <c r="Q19931" s="7" t="str">
        <f>HYPERLINK("#Liste_rouge!A"&amp;_xlfn.XMATCH("LC",Liste_rouge!A:A,2,1),"LC")</f>
        <v>LC</v>
      </c>
      <c r="T19931" s="7" t="str">
        <f>HYPERLINK("#Liste_rouge!A"&amp;_xlfn.XMATCH("EN",Liste_rouge!A:A,2,1),"EN")</f>
        <v>EN</v>
      </c>
      <c r="U19931" s="4" t="str">
        <f>HYPERLINK("#Critères_liste_rouge!A$1","C2a(i)")</f>
        <v>C2a(i)</v>
      </c>
      <c r="X19931" s="5" t="s">
        <v>374</v>
      </c>
      <c r="AB19931" s="4" t="s">
        <v>93</v>
      </c>
      <c r="AH19931" s="4" t="str">
        <f>HYPERLINK("#Statut_biogéographique!A"&amp;_xlfn.XMATCH("P",Statut_biogéographique!A:A,2,1),"P")</f>
        <v>P</v>
      </c>
      <c r="AM19931" s="4" t="s">
        <v>375</v>
      </c>
      <c r="AN19931" s="4" t="s">
        <v>375</v>
      </c>
      <c r="AO19931" s="4" t="s">
        <v>375</v>
      </c>
      <c r="AP19931" s="4" t="s">
        <v>376</v>
      </c>
      <c r="AR19931" s="4" t="s">
        <v>377</v>
      </c>
    </row>
    <row r="19932" spans="1:44" ht="30">
      <c r="A19932" s="4" t="s">
        <v>24364</v>
      </c>
      <c r="B19932" s="4">
        <v>103298</v>
      </c>
      <c r="D19932" s="5" t="s">
        <v>24801</v>
      </c>
      <c r="E19932" s="6" t="str">
        <f>HYPERLINK("https://inpn.mnhn.fr/espece/cd_nom/103298","Hypericum maculatum Crantz, 1763")</f>
        <v>Hypericum maculatum Crantz, 1763</v>
      </c>
      <c r="F19932" s="5" t="s">
        <v>24802</v>
      </c>
      <c r="Q19932" s="7" t="str">
        <f>HYPERLINK("#Liste_rouge!A"&amp;_xlfn.XMATCH("LC",Liste_rouge!A:A,2,1),"LC")</f>
        <v>LC</v>
      </c>
      <c r="T19932" s="7" t="str">
        <f>HYPERLINK("#Liste_rouge!A"&amp;_xlfn.XMATCH("VU",Liste_rouge!A:A,2,1),"VU")</f>
        <v>VU</v>
      </c>
      <c r="U19932" s="4" t="str">
        <f>HYPERLINK("#Critères_liste_rouge!A$1","D2")</f>
        <v>D2</v>
      </c>
      <c r="V19932" s="7" t="str">
        <f>HYPERLINK("#Liste_rouge!A"&amp;_xlfn.XMATCH("LC",Liste_rouge!A:A,2,1),"LC")</f>
        <v>LC</v>
      </c>
      <c r="AB19932" s="4" t="s">
        <v>24803</v>
      </c>
      <c r="AH19932" s="4" t="str">
        <f>HYPERLINK("#Statut_biogéographique!A"&amp;_xlfn.XMATCH("P",Statut_biogéographique!A:A,2,1),"P")</f>
        <v>P</v>
      </c>
      <c r="AM19932" s="4" t="s">
        <v>375</v>
      </c>
      <c r="AN19932" s="4" t="s">
        <v>375</v>
      </c>
      <c r="AO19932" s="4" t="s">
        <v>375</v>
      </c>
      <c r="AP19932" s="4" t="s">
        <v>376</v>
      </c>
      <c r="AR19932" s="4" t="s">
        <v>377</v>
      </c>
    </row>
    <row r="19933" spans="1:44">
      <c r="A19933" s="4" t="s">
        <v>24364</v>
      </c>
      <c r="B19933" s="4">
        <v>103299</v>
      </c>
      <c r="D19933" s="5" t="s">
        <v>24804</v>
      </c>
      <c r="E19933" s="6" t="str">
        <f>HYPERLINK("https://inpn.mnhn.fr/espece/cd_nom/103299","Hypericum majus (A.Gray) Britton, 1894")</f>
        <v>Hypericum majus (A.Gray) Britton, 1894</v>
      </c>
      <c r="F19933" s="5" t="s">
        <v>24805</v>
      </c>
      <c r="Q19933" s="7" t="str">
        <f>HYPERLINK("#Liste_rouge!A"&amp;_xlfn.XMATCH("NA",Liste_rouge!A:A,2,1),"NA")</f>
        <v>NA</v>
      </c>
      <c r="AH19933" s="4" t="str">
        <f>HYPERLINK("#Statut_biogéographique!A"&amp;_xlfn.XMATCH("I",Statut_biogéographique!A:A,2,1),"I")</f>
        <v>I</v>
      </c>
      <c r="AM19933" s="4" t="s">
        <v>375</v>
      </c>
      <c r="AN19933" s="4" t="s">
        <v>375</v>
      </c>
      <c r="AO19933" s="4" t="s">
        <v>375</v>
      </c>
      <c r="AP19933" s="4" t="s">
        <v>376</v>
      </c>
      <c r="AR19933" s="4" t="s">
        <v>377</v>
      </c>
    </row>
    <row r="19934" spans="1:44" ht="30">
      <c r="A19934" s="4" t="s">
        <v>24364</v>
      </c>
      <c r="B19934" s="4">
        <v>103301</v>
      </c>
      <c r="D19934" s="5" t="s">
        <v>24806</v>
      </c>
      <c r="E19934" s="6" t="str">
        <f>HYPERLINK("https://inpn.mnhn.fr/espece/cd_nom/103301","Hypericum montanum L., 1755")</f>
        <v>Hypericum montanum L., 1755</v>
      </c>
      <c r="F19934" s="5" t="s">
        <v>24807</v>
      </c>
      <c r="Q19934" s="7" t="str">
        <f>HYPERLINK("#Liste_rouge!A"&amp;_xlfn.XMATCH("LC",Liste_rouge!A:A,2,1),"LC")</f>
        <v>LC</v>
      </c>
      <c r="T19934" s="7" t="str">
        <f>HYPERLINK("#Liste_rouge!A"&amp;_xlfn.XMATCH("LC",Liste_rouge!A:A,2,1),"LC")</f>
        <v>LC</v>
      </c>
      <c r="V19934" s="7" t="str">
        <f>HYPERLINK("#Liste_rouge!A"&amp;_xlfn.XMATCH("LC",Liste_rouge!A:A,2,1),"LC")</f>
        <v>LC</v>
      </c>
      <c r="AB19934" s="4" t="s">
        <v>24410</v>
      </c>
      <c r="AH19934" s="4" t="str">
        <f>HYPERLINK("#Statut_biogéographique!A"&amp;_xlfn.XMATCH("P",Statut_biogéographique!A:A,2,1),"P")</f>
        <v>P</v>
      </c>
      <c r="AM19934" s="4" t="s">
        <v>375</v>
      </c>
      <c r="AN19934" s="4" t="s">
        <v>375</v>
      </c>
      <c r="AO19934" s="4" t="s">
        <v>375</v>
      </c>
      <c r="AP19934" s="4" t="s">
        <v>376</v>
      </c>
      <c r="AR19934" s="4" t="s">
        <v>377</v>
      </c>
    </row>
    <row r="19935" spans="1:44" ht="30">
      <c r="A19935" s="4" t="s">
        <v>24364</v>
      </c>
      <c r="B19935" s="4">
        <v>103315</v>
      </c>
      <c r="D19935" s="5" t="s">
        <v>24808</v>
      </c>
      <c r="E19935" s="6" t="str">
        <f>HYPERLINK("https://inpn.mnhn.fr/espece/cd_nom/103315","Hypericum perfoliatum L., 1767")</f>
        <v>Hypericum perfoliatum L., 1767</v>
      </c>
      <c r="F19935" s="5" t="s">
        <v>24809</v>
      </c>
      <c r="Q19935" s="7" t="str">
        <f>HYPERLINK("#Liste_rouge!A"&amp;_xlfn.XMATCH("LC",Liste_rouge!A:A,2,1),"LC")</f>
        <v>LC</v>
      </c>
      <c r="AH19935" s="4" t="str">
        <f>HYPERLINK("#Statut_biogéographique!A"&amp;_xlfn.XMATCH("P",Statut_biogéographique!A:A,2,1),"P")</f>
        <v>P</v>
      </c>
      <c r="AP19935" s="4" t="s">
        <v>376</v>
      </c>
      <c r="AR19935" s="4" t="s">
        <v>377</v>
      </c>
    </row>
    <row r="19936" spans="1:44" ht="30">
      <c r="A19936" s="4" t="s">
        <v>24364</v>
      </c>
      <c r="B19936" s="4">
        <v>103316</v>
      </c>
      <c r="D19936" s="5" t="s">
        <v>24810</v>
      </c>
      <c r="E19936" s="6" t="str">
        <f>HYPERLINK("https://inpn.mnhn.fr/espece/cd_nom/103316","Hypericum perforatum L., 1753")</f>
        <v>Hypericum perforatum L., 1753</v>
      </c>
      <c r="F19936" s="5" t="s">
        <v>24811</v>
      </c>
      <c r="P19936" s="7" t="str">
        <f>HYPERLINK("#Liste_rouge!A"&amp;_xlfn.XMATCH("LC",Liste_rouge!A:A,2,1),"LC")</f>
        <v>LC</v>
      </c>
      <c r="Q19936" s="7" t="str">
        <f>HYPERLINK("#Liste_rouge!A"&amp;_xlfn.XMATCH("LC",Liste_rouge!A:A,2,1),"LC")</f>
        <v>LC</v>
      </c>
      <c r="T19936" s="7" t="str">
        <f>HYPERLINK("#Liste_rouge!A"&amp;_xlfn.XMATCH("LC",Liste_rouge!A:A,2,1),"LC")</f>
        <v>LC</v>
      </c>
      <c r="V19936" s="7" t="str">
        <f>HYPERLINK("#Liste_rouge!A"&amp;_xlfn.XMATCH("LC",Liste_rouge!A:A,2,1),"LC")</f>
        <v>LC</v>
      </c>
      <c r="AH19936" s="4" t="str">
        <f>HYPERLINK("#Statut_biogéographique!A"&amp;_xlfn.XMATCH("P",Statut_biogéographique!A:A,2,1),"P")</f>
        <v>P</v>
      </c>
      <c r="AM19936" s="4" t="s">
        <v>375</v>
      </c>
      <c r="AN19936" s="4" t="s">
        <v>375</v>
      </c>
      <c r="AO19936" s="4" t="s">
        <v>375</v>
      </c>
      <c r="AP19936" s="4" t="s">
        <v>376</v>
      </c>
      <c r="AR19936" s="4" t="s">
        <v>377</v>
      </c>
    </row>
    <row r="19937" spans="1:44">
      <c r="A19937" s="4" t="s">
        <v>24364</v>
      </c>
      <c r="B19937" s="4">
        <v>103320</v>
      </c>
      <c r="D19937" s="5" t="s">
        <v>24812</v>
      </c>
      <c r="E19937" s="6" t="str">
        <f>HYPERLINK("https://inpn.mnhn.fr/espece/cd_nom/103320","Hypericum pulchrum L., 1753")</f>
        <v>Hypericum pulchrum L., 1753</v>
      </c>
      <c r="F19937" s="5" t="s">
        <v>24813</v>
      </c>
      <c r="Q19937" s="7" t="str">
        <f>HYPERLINK("#Liste_rouge!A"&amp;_xlfn.XMATCH("LC",Liste_rouge!A:A,2,1),"LC")</f>
        <v>LC</v>
      </c>
      <c r="T19937" s="7" t="str">
        <f>HYPERLINK("#Liste_rouge!A"&amp;_xlfn.XMATCH("LC",Liste_rouge!A:A,2,1),"LC")</f>
        <v>LC</v>
      </c>
      <c r="V19937" s="7" t="str">
        <f>HYPERLINK("#Liste_rouge!A"&amp;_xlfn.XMATCH("LC",Liste_rouge!A:A,2,1),"LC")</f>
        <v>LC</v>
      </c>
      <c r="AH19937" s="4" t="str">
        <f>HYPERLINK("#Statut_biogéographique!A"&amp;_xlfn.XMATCH("P",Statut_biogéographique!A:A,2,1),"P")</f>
        <v>P</v>
      </c>
      <c r="AM19937" s="4" t="s">
        <v>375</v>
      </c>
      <c r="AN19937" s="4" t="s">
        <v>375</v>
      </c>
      <c r="AO19937" s="4" t="s">
        <v>375</v>
      </c>
      <c r="AP19937" s="4" t="s">
        <v>376</v>
      </c>
      <c r="AR19937" s="4" t="s">
        <v>377</v>
      </c>
    </row>
    <row r="19938" spans="1:44">
      <c r="A19938" s="4" t="s">
        <v>24364</v>
      </c>
      <c r="B19938" s="4">
        <v>103324</v>
      </c>
      <c r="D19938" s="5">
        <v>103324</v>
      </c>
      <c r="E19938" s="6" t="str">
        <f>HYPERLINK("https://inpn.mnhn.fr/espece/cd_nom/103324","Hypericum richeri Vill., 1779")</f>
        <v>Hypericum richeri Vill., 1779</v>
      </c>
      <c r="F19938" s="5" t="s">
        <v>24814</v>
      </c>
      <c r="M19938" s="4" t="str">
        <f>HYPERLINK("#Réglementation!A"&amp;_xlfn.XMATCH("RV43",Réglementation!A:A,2,1),"RV43")</f>
        <v>RV43</v>
      </c>
      <c r="Q19938" s="7" t="str">
        <f>HYPERLINK("#Liste_rouge!A"&amp;_xlfn.XMATCH("LC",Liste_rouge!A:A,2,1),"LC")</f>
        <v>LC</v>
      </c>
      <c r="V19938" s="7" t="str">
        <f>HYPERLINK("#Liste_rouge!A"&amp;_xlfn.XMATCH("VU",Liste_rouge!A:A,2,1),"VU")</f>
        <v>VU</v>
      </c>
      <c r="W19938" s="4" t="str">
        <f>HYPERLINK("#Critères_liste_rouge!A$1","B2ab(iii)")</f>
        <v>B2ab(iii)</v>
      </c>
      <c r="X19938" s="5" t="s">
        <v>374</v>
      </c>
      <c r="AB19938" s="4" t="s">
        <v>93</v>
      </c>
      <c r="AH19938" s="4" t="str">
        <f>HYPERLINK("#Statut_biogéographique!A"&amp;_xlfn.XMATCH("P",Statut_biogéographique!A:A,2,1),"P")</f>
        <v>P</v>
      </c>
      <c r="AM19938" s="4" t="s">
        <v>375</v>
      </c>
      <c r="AN19938" s="4" t="s">
        <v>375</v>
      </c>
      <c r="AO19938" s="4" t="s">
        <v>375</v>
      </c>
      <c r="AP19938" s="4" t="s">
        <v>376</v>
      </c>
      <c r="AR19938" s="4" t="s">
        <v>377</v>
      </c>
    </row>
    <row r="19939" spans="1:44" ht="30">
      <c r="A19939" s="4" t="s">
        <v>24364</v>
      </c>
      <c r="B19939" s="4">
        <v>103329</v>
      </c>
      <c r="D19939" s="5" t="s">
        <v>24815</v>
      </c>
      <c r="E19939" s="6" t="str">
        <f>HYPERLINK("https://inpn.mnhn.fr/espece/cd_nom/103329","Hypericum tetrapterum Fr., 1823")</f>
        <v>Hypericum tetrapterum Fr., 1823</v>
      </c>
      <c r="F19939" s="5" t="s">
        <v>24816</v>
      </c>
      <c r="Q19939" s="7" t="str">
        <f>HYPERLINK("#Liste_rouge!A"&amp;_xlfn.XMATCH("LC",Liste_rouge!A:A,2,1),"LC")</f>
        <v>LC</v>
      </c>
      <c r="T19939" s="7" t="str">
        <f>HYPERLINK("#Liste_rouge!A"&amp;_xlfn.XMATCH("LC",Liste_rouge!A:A,2,1),"LC")</f>
        <v>LC</v>
      </c>
      <c r="V19939" s="7" t="str">
        <f>HYPERLINK("#Liste_rouge!A"&amp;_xlfn.XMATCH("LC",Liste_rouge!A:A,2,1),"LC")</f>
        <v>LC</v>
      </c>
      <c r="AH19939" s="4" t="str">
        <f>HYPERLINK("#Statut_biogéographique!A"&amp;_xlfn.XMATCH("P",Statut_biogéographique!A:A,2,1),"P")</f>
        <v>P</v>
      </c>
      <c r="AM19939" s="4" t="s">
        <v>375</v>
      </c>
      <c r="AN19939" s="4" t="s">
        <v>375</v>
      </c>
      <c r="AO19939" s="4" t="s">
        <v>375</v>
      </c>
      <c r="AP19939" s="4" t="s">
        <v>376</v>
      </c>
      <c r="AR19939" s="4" t="s">
        <v>377</v>
      </c>
    </row>
    <row r="19940" spans="1:44" ht="75">
      <c r="A19940" s="4" t="s">
        <v>24364</v>
      </c>
      <c r="B19940" s="4">
        <v>103364</v>
      </c>
      <c r="D19940" s="5" t="s">
        <v>24817</v>
      </c>
      <c r="E19940" s="6" t="str">
        <f>HYPERLINK("https://inpn.mnhn.fr/espece/cd_nom/103364","Hypochaeris glabra L., 1753")</f>
        <v>Hypochaeris glabra L., 1753</v>
      </c>
      <c r="F19940" s="5" t="s">
        <v>24818</v>
      </c>
      <c r="Q19940" s="7" t="str">
        <f>HYPERLINK("#Liste_rouge!A"&amp;_xlfn.XMATCH("LC",Liste_rouge!A:A,2,1),"LC")</f>
        <v>LC</v>
      </c>
      <c r="T19940" s="7" t="str">
        <f>HYPERLINK("#Liste_rouge!A"&amp;_xlfn.XMATCH("LC",Liste_rouge!A:A,2,1),"LC")</f>
        <v>LC</v>
      </c>
      <c r="V19940" s="7" t="str">
        <f>HYPERLINK("#Liste_rouge!A"&amp;_xlfn.XMATCH("DD",Liste_rouge!A:A,2,1),"DD")</f>
        <v>DD</v>
      </c>
      <c r="AB19940" s="4" t="s">
        <v>24819</v>
      </c>
      <c r="AH19940" s="4" t="str">
        <f>HYPERLINK("#Statut_biogéographique!A"&amp;_xlfn.XMATCH("P",Statut_biogéographique!A:A,2,1),"P")</f>
        <v>P</v>
      </c>
      <c r="AM19940" s="4" t="s">
        <v>375</v>
      </c>
      <c r="AN19940" s="4" t="s">
        <v>375</v>
      </c>
      <c r="AO19940" s="4" t="s">
        <v>375</v>
      </c>
      <c r="AP19940" s="4" t="s">
        <v>376</v>
      </c>
      <c r="AR19940" s="4" t="s">
        <v>377</v>
      </c>
    </row>
    <row r="19941" spans="1:44" ht="30">
      <c r="A19941" s="4" t="s">
        <v>24364</v>
      </c>
      <c r="B19941" s="4">
        <v>103369</v>
      </c>
      <c r="D19941" s="5" t="s">
        <v>24820</v>
      </c>
      <c r="E19941" s="6" t="str">
        <f>HYPERLINK("https://inpn.mnhn.fr/espece/cd_nom/103369","Hypochaeris maculata L., 1753")</f>
        <v>Hypochaeris maculata L., 1753</v>
      </c>
      <c r="F19941" s="5" t="s">
        <v>24821</v>
      </c>
      <c r="Q19941" s="7" t="str">
        <f>HYPERLINK("#Liste_rouge!A"&amp;_xlfn.XMATCH("LC",Liste_rouge!A:A,2,1),"LC")</f>
        <v>LC</v>
      </c>
      <c r="T19941" s="7" t="str">
        <f>HYPERLINK("#Liste_rouge!A"&amp;_xlfn.XMATCH("CR",Liste_rouge!A:A,2,1),"CR")</f>
        <v>CR</v>
      </c>
      <c r="U19941" s="4" t="str">
        <f>HYPERLINK("#Critères_liste_rouge!A$1","B1 B2ab(i,ii,iv)")</f>
        <v>B1 B2ab(i,ii,iv)</v>
      </c>
      <c r="V19941" s="7" t="str">
        <f>HYPERLINK("#Liste_rouge!A"&amp;_xlfn.XMATCH("NT",Liste_rouge!A:A,2,1),"NT")</f>
        <v>NT</v>
      </c>
      <c r="W19941" s="4" t="str">
        <f>HYPERLINK("#Critères_liste_rouge!A$1","pr. B2b(ii,iii)")</f>
        <v>pr. B2b(ii,iii)</v>
      </c>
      <c r="X19941" s="5" t="s">
        <v>374</v>
      </c>
      <c r="AB19941" s="4" t="s">
        <v>93</v>
      </c>
      <c r="AH19941" s="4" t="str">
        <f>HYPERLINK("#Statut_biogéographique!A"&amp;_xlfn.XMATCH("P",Statut_biogéographique!A:A,2,1),"P")</f>
        <v>P</v>
      </c>
      <c r="AM19941" s="4" t="s">
        <v>375</v>
      </c>
      <c r="AN19941" s="4" t="s">
        <v>375</v>
      </c>
      <c r="AO19941" s="4" t="s">
        <v>375</v>
      </c>
      <c r="AP19941" s="4" t="s">
        <v>376</v>
      </c>
      <c r="AR19941" s="4" t="s">
        <v>377</v>
      </c>
    </row>
    <row r="19942" spans="1:44" ht="75">
      <c r="A19942" s="4" t="s">
        <v>24364</v>
      </c>
      <c r="B19942" s="4">
        <v>103375</v>
      </c>
      <c r="D19942" s="5" t="s">
        <v>24822</v>
      </c>
      <c r="E19942" s="6" t="str">
        <f>HYPERLINK("https://inpn.mnhn.fr/espece/cd_nom/103375","Hypochaeris radicata L., 1753")</f>
        <v>Hypochaeris radicata L., 1753</v>
      </c>
      <c r="F19942" s="5" t="s">
        <v>24823</v>
      </c>
      <c r="Q19942" s="7" t="str">
        <f>HYPERLINK("#Liste_rouge!A"&amp;_xlfn.XMATCH("LC",Liste_rouge!A:A,2,1),"LC")</f>
        <v>LC</v>
      </c>
      <c r="T19942" s="7" t="str">
        <f>HYPERLINK("#Liste_rouge!A"&amp;_xlfn.XMATCH("DD",Liste_rouge!A:A,2,1),"DD (cd_nom 136786) - LC (cd_nom 103375)")</f>
        <v>DD (cd_nom 136786) - LC (cd_nom 103375)</v>
      </c>
      <c r="V19942" s="7" t="str">
        <f>HYPERLINK("#Liste_rouge!A"&amp;_xlfn.XMATCH("LC",Liste_rouge!A:A,2,1),"LC")</f>
        <v>LC</v>
      </c>
      <c r="AH19942" s="4" t="str">
        <f>HYPERLINK("#Statut_biogéographique!A"&amp;_xlfn.XMATCH("P",Statut_biogéographique!A:A,2,1),"P")</f>
        <v>P</v>
      </c>
      <c r="AM19942" s="4" t="s">
        <v>375</v>
      </c>
      <c r="AN19942" s="4" t="s">
        <v>375</v>
      </c>
      <c r="AO19942" s="4" t="s">
        <v>375</v>
      </c>
      <c r="AP19942" s="4" t="s">
        <v>376</v>
      </c>
      <c r="AR19942" s="4" t="s">
        <v>377</v>
      </c>
    </row>
    <row r="19943" spans="1:44" ht="105">
      <c r="A19943" s="4" t="s">
        <v>24364</v>
      </c>
      <c r="B19943" s="4">
        <v>103406</v>
      </c>
      <c r="D19943" s="5" t="s">
        <v>24824</v>
      </c>
      <c r="E19943" s="6" t="str">
        <f>HYPERLINK("https://inpn.mnhn.fr/espece/cd_nom/103406","Hyssopus officinalis L., 1753")</f>
        <v>Hyssopus officinalis L., 1753</v>
      </c>
      <c r="F19943" s="5" t="s">
        <v>24825</v>
      </c>
      <c r="P19943" s="7" t="str">
        <f>HYPERLINK("#Liste_rouge!A"&amp;_xlfn.XMATCH("DD",Liste_rouge!A:A,2,1),"DD")</f>
        <v>DD</v>
      </c>
      <c r="Q19943" s="7" t="str">
        <f>HYPERLINK("#Liste_rouge!A"&amp;_xlfn.XMATCH("LC",Liste_rouge!A:A,2,1),"LC")</f>
        <v>LC</v>
      </c>
      <c r="T19943" s="7" t="str">
        <f>HYPERLINK("#Liste_rouge!A"&amp;_xlfn.XMATCH("NA",Liste_rouge!A:A,2,1),"NA")</f>
        <v>NA</v>
      </c>
      <c r="AE19943" s="4" t="str">
        <f>HYPERLINK("#SCAP!A"&amp;_xlfn.XMATCH("A",SCAP!A:A,2,1),"A")</f>
        <v>A</v>
      </c>
      <c r="AH19943" s="4" t="str">
        <f>HYPERLINK("#Statut_biogéographique!A"&amp;_xlfn.XMATCH("P",Statut_biogéographique!A:A,2,1),"P")</f>
        <v>P</v>
      </c>
      <c r="AM19943" s="4" t="s">
        <v>375</v>
      </c>
      <c r="AN19943" s="4" t="s">
        <v>375</v>
      </c>
      <c r="AO19943" s="4" t="s">
        <v>375</v>
      </c>
      <c r="AP19943" s="4" t="s">
        <v>376</v>
      </c>
      <c r="AR19943" s="4" t="s">
        <v>377</v>
      </c>
    </row>
    <row r="19944" spans="1:44" ht="150">
      <c r="A19944" s="4" t="s">
        <v>24364</v>
      </c>
      <c r="B19944" s="4">
        <v>103415</v>
      </c>
      <c r="D19944" s="5" t="s">
        <v>24826</v>
      </c>
      <c r="E19944" s="6" t="str">
        <f>HYPERLINK("https://inpn.mnhn.fr/espece/cd_nom/103415","Iberis amara L., 1753")</f>
        <v>Iberis amara L., 1753</v>
      </c>
      <c r="F19944" s="5" t="s">
        <v>24827</v>
      </c>
      <c r="Q19944" s="7" t="str">
        <f>HYPERLINK("#Liste_rouge!A"&amp;_xlfn.XMATCH("LC",Liste_rouge!A:A,2,1),"LC")</f>
        <v>LC</v>
      </c>
      <c r="T19944" s="7" t="str">
        <f>HYPERLINK("#Liste_rouge!A"&amp;_xlfn.XMATCH("NT",Liste_rouge!A:A,2,1),"NT")</f>
        <v>NT</v>
      </c>
      <c r="U19944" s="4" t="str">
        <f>HYPERLINK("#Critères_liste_rouge!A$1","pr. B3c(i,ii,iii)")</f>
        <v>pr. B3c(i,ii,iii)</v>
      </c>
      <c r="V19944" s="7" t="str">
        <f>HYPERLINK("#Liste_rouge!A"&amp;_xlfn.XMATCH("VU",Liste_rouge!A:A,2,1),"VU")</f>
        <v>VU</v>
      </c>
      <c r="W19944" s="4" t="str">
        <f>HYPERLINK("#Critères_liste_rouge!A$1","D2")</f>
        <v>D2</v>
      </c>
      <c r="AB19944" s="4" t="s">
        <v>24733</v>
      </c>
      <c r="AH19944" s="4" t="str">
        <f>HYPERLINK("#Statut_biogéographique!A"&amp;_xlfn.XMATCH("P",Statut_biogéographique!A:A,2,1),"P")</f>
        <v>P</v>
      </c>
      <c r="AM19944" s="4" t="s">
        <v>375</v>
      </c>
      <c r="AN19944" s="4" t="s">
        <v>375</v>
      </c>
      <c r="AO19944" s="4" t="s">
        <v>375</v>
      </c>
      <c r="AP19944" s="4" t="s">
        <v>376</v>
      </c>
      <c r="AR19944" s="4" t="s">
        <v>377</v>
      </c>
    </row>
    <row r="19945" spans="1:44">
      <c r="A19945" s="4" t="s">
        <v>24364</v>
      </c>
      <c r="B19945" s="4">
        <v>103456</v>
      </c>
      <c r="D19945" s="5" t="s">
        <v>24828</v>
      </c>
      <c r="E19945" s="6" t="str">
        <f>HYPERLINK("https://inpn.mnhn.fr/espece/cd_nom/103456","Iberis intermedia Guers., 1803")</f>
        <v>Iberis intermedia Guers., 1803</v>
      </c>
      <c r="F19945" s="5" t="s">
        <v>24829</v>
      </c>
      <c r="M19945" s="4" t="str">
        <f>HYPERLINK("#Réglementation!A"&amp;_xlfn.XMATCH("RV26",Réglementation!A:A,2,1),"RV26 - RV43")</f>
        <v>RV26 - RV43</v>
      </c>
      <c r="Q19945" s="7" t="str">
        <f>HYPERLINK("#Liste_rouge!A"&amp;_xlfn.XMATCH("LC",Liste_rouge!A:A,2,1),"LC")</f>
        <v>LC</v>
      </c>
      <c r="T19945" s="7" t="str">
        <f>HYPERLINK("#Liste_rouge!A"&amp;_xlfn.XMATCH("EN",Liste_rouge!A:A,2,1),"EN")</f>
        <v>EN</v>
      </c>
      <c r="U19945" s="4" t="str">
        <f>HYPERLINK("#Critères_liste_rouge!A$1","A2ac")</f>
        <v>A2ac</v>
      </c>
      <c r="V19945" s="7" t="str">
        <f>HYPERLINK("#Liste_rouge!A"&amp;_xlfn.XMATCH("VU",Liste_rouge!A:A,2,1),"VU")</f>
        <v>VU</v>
      </c>
      <c r="W19945" s="4" t="str">
        <f>HYPERLINK("#Critères_liste_rouge!A$1","B2ab(iii)")</f>
        <v>B2ab(iii)</v>
      </c>
      <c r="X19945" s="5" t="s">
        <v>374</v>
      </c>
      <c r="AB19945" s="4" t="s">
        <v>93</v>
      </c>
      <c r="AH19945" s="4" t="str">
        <f>HYPERLINK("#Statut_biogéographique!A"&amp;_xlfn.XMATCH("P",Statut_biogéographique!A:A,2,1),"P")</f>
        <v>P</v>
      </c>
      <c r="AM19945" s="4" t="s">
        <v>375</v>
      </c>
      <c r="AN19945" s="4" t="s">
        <v>375</v>
      </c>
      <c r="AO19945" s="4" t="s">
        <v>375</v>
      </c>
      <c r="AP19945" s="4" t="s">
        <v>376</v>
      </c>
      <c r="AR19945" s="4" t="s">
        <v>377</v>
      </c>
    </row>
    <row r="19946" spans="1:44" ht="30">
      <c r="A19946" s="4" t="s">
        <v>24364</v>
      </c>
      <c r="B19946" s="4">
        <v>103461</v>
      </c>
      <c r="D19946" s="5" t="s">
        <v>24830</v>
      </c>
      <c r="E19946" s="6" t="str">
        <f>HYPERLINK("https://inpn.mnhn.fr/espece/cd_nom/103461","Iberis linifolia L., 1759")</f>
        <v>Iberis linifolia L., 1759</v>
      </c>
      <c r="F19946" s="5" t="s">
        <v>24831</v>
      </c>
      <c r="Q19946" s="7" t="str">
        <f>HYPERLINK("#Liste_rouge!A"&amp;_xlfn.XMATCH("LC",Liste_rouge!A:A,2,1),"LC")</f>
        <v>LC</v>
      </c>
      <c r="AH19946" s="4" t="str">
        <f>HYPERLINK("#Statut_biogéographique!A"&amp;_xlfn.XMATCH("P",Statut_biogéographique!A:A,2,1),"P")</f>
        <v>P</v>
      </c>
      <c r="AP19946" s="4" t="s">
        <v>376</v>
      </c>
      <c r="AR19946" s="4" t="s">
        <v>377</v>
      </c>
    </row>
    <row r="19947" spans="1:44" ht="30">
      <c r="A19947" s="4" t="s">
        <v>24364</v>
      </c>
      <c r="B19947" s="4">
        <v>103478</v>
      </c>
      <c r="D19947" s="5" t="s">
        <v>24832</v>
      </c>
      <c r="E19947" s="6" t="str">
        <f>HYPERLINK("https://inpn.mnhn.fr/espece/cd_nom/103478","Iberis pinnata L., 1755")</f>
        <v>Iberis pinnata L., 1755</v>
      </c>
      <c r="F19947" s="5" t="s">
        <v>24833</v>
      </c>
      <c r="Q19947" s="7" t="str">
        <f>HYPERLINK("#Liste_rouge!A"&amp;_xlfn.XMATCH("LC",Liste_rouge!A:A,2,1),"LC")</f>
        <v>LC</v>
      </c>
      <c r="T19947" s="7" t="str">
        <f>HYPERLINK("#Liste_rouge!A"&amp;_xlfn.XMATCH("CR",Liste_rouge!A:A,2,1),"CR")</f>
        <v>CR</v>
      </c>
      <c r="U19947" s="4" t="str">
        <f>HYPERLINK("#Critères_liste_rouge!A$1","D1")</f>
        <v>D1</v>
      </c>
      <c r="AB19947" s="4" t="s">
        <v>24486</v>
      </c>
      <c r="AH19947" s="4" t="str">
        <f>HYPERLINK("#Statut_biogéographique!A"&amp;_xlfn.XMATCH("P",Statut_biogéographique!A:A,2,1),"P")</f>
        <v>P</v>
      </c>
      <c r="AI19947" s="8" t="s">
        <v>24834</v>
      </c>
      <c r="AJ19947" s="4" t="s">
        <v>12248</v>
      </c>
      <c r="AM19947" s="4" t="s">
        <v>375</v>
      </c>
      <c r="AN19947" s="4" t="s">
        <v>375</v>
      </c>
      <c r="AO19947" s="4" t="s">
        <v>375</v>
      </c>
      <c r="AP19947" s="4" t="s">
        <v>376</v>
      </c>
      <c r="AR19947" s="4" t="s">
        <v>377</v>
      </c>
    </row>
    <row r="19948" spans="1:44" ht="30">
      <c r="A19948" s="4" t="s">
        <v>24364</v>
      </c>
      <c r="B19948" s="4">
        <v>103492</v>
      </c>
      <c r="D19948" s="5" t="s">
        <v>24835</v>
      </c>
      <c r="E19948" s="6" t="str">
        <f>HYPERLINK("https://inpn.mnhn.fr/espece/cd_nom/103492","Iberis saxatilis L., 1756")</f>
        <v>Iberis saxatilis L., 1756</v>
      </c>
      <c r="F19948" s="5" t="s">
        <v>24836</v>
      </c>
      <c r="M19948" s="4" t="str">
        <f>HYPERLINK("#Réglementation!A"&amp;_xlfn.XMATCH("RV43",Réglementation!A:A,2,1),"RV43")</f>
        <v>RV43</v>
      </c>
      <c r="Q19948" s="7" t="str">
        <f>HYPERLINK("#Liste_rouge!A"&amp;_xlfn.XMATCH("LC",Liste_rouge!A:A,2,1),"LC")</f>
        <v>LC</v>
      </c>
      <c r="V19948" s="7" t="str">
        <f>HYPERLINK("#Liste_rouge!A"&amp;_xlfn.XMATCH("NT",Liste_rouge!A:A,2,1),"NT")</f>
        <v>NT</v>
      </c>
      <c r="W19948" s="4" t="str">
        <f>HYPERLINK("#Critères_liste_rouge!A$1","pr.D2")</f>
        <v>pr.D2</v>
      </c>
      <c r="X19948" s="5" t="s">
        <v>374</v>
      </c>
      <c r="AB19948" s="4" t="s">
        <v>93</v>
      </c>
      <c r="AH19948" s="4" t="str">
        <f>HYPERLINK("#Statut_biogéographique!A"&amp;_xlfn.XMATCH("P",Statut_biogéographique!A:A,2,1),"P")</f>
        <v>P</v>
      </c>
      <c r="AM19948" s="4" t="s">
        <v>375</v>
      </c>
      <c r="AN19948" s="4" t="s">
        <v>375</v>
      </c>
      <c r="AO19948" s="4" t="s">
        <v>375</v>
      </c>
      <c r="AP19948" s="4" t="s">
        <v>376</v>
      </c>
      <c r="AR19948" s="4" t="s">
        <v>377</v>
      </c>
    </row>
    <row r="19949" spans="1:44" ht="30">
      <c r="A19949" s="4" t="s">
        <v>24364</v>
      </c>
      <c r="B19949" s="4">
        <v>103493</v>
      </c>
      <c r="D19949" s="5" t="s">
        <v>24837</v>
      </c>
      <c r="E19949" s="6" t="str">
        <f>HYPERLINK("https://inpn.mnhn.fr/espece/cd_nom/103493","Iberis semperflorens L., 1753")</f>
        <v>Iberis semperflorens L., 1753</v>
      </c>
      <c r="F19949" s="5" t="s">
        <v>24838</v>
      </c>
      <c r="Q19949" s="7" t="str">
        <f>HYPERLINK("#Liste_rouge!A"&amp;_xlfn.XMATCH("NA",Liste_rouge!A:A,2,1),"NA")</f>
        <v>NA</v>
      </c>
      <c r="T19949" s="7" t="str">
        <f>HYPERLINK("#Liste_rouge!A"&amp;_xlfn.XMATCH("NA",Liste_rouge!A:A,2,1),"NA")</f>
        <v>NA</v>
      </c>
      <c r="AH19949" s="4" t="str">
        <f>HYPERLINK("#Statut_biogéographique!A"&amp;_xlfn.XMATCH("I",Statut_biogéographique!A:A,2,1),"I")</f>
        <v>I</v>
      </c>
      <c r="AP19949" s="4" t="s">
        <v>376</v>
      </c>
      <c r="AR19949" s="4" t="s">
        <v>377</v>
      </c>
    </row>
    <row r="19950" spans="1:44" ht="30">
      <c r="A19950" s="4" t="s">
        <v>24364</v>
      </c>
      <c r="B19950" s="4">
        <v>103494</v>
      </c>
      <c r="D19950" s="5" t="s">
        <v>24839</v>
      </c>
      <c r="E19950" s="6" t="str">
        <f>HYPERLINK("https://inpn.mnhn.fr/espece/cd_nom/103494","Iberis sempervirens L., 1753")</f>
        <v>Iberis sempervirens L., 1753</v>
      </c>
      <c r="F19950" s="5" t="s">
        <v>24840</v>
      </c>
      <c r="Q19950" s="7" t="str">
        <f>HYPERLINK("#Liste_rouge!A"&amp;_xlfn.XMATCH("LC",Liste_rouge!A:A,2,1),"LC")</f>
        <v>LC</v>
      </c>
      <c r="T19950" s="7" t="str">
        <f>HYPERLINK("#Liste_rouge!A"&amp;_xlfn.XMATCH("NA",Liste_rouge!A:A,2,1),"NA")</f>
        <v>NA</v>
      </c>
      <c r="AH19950" s="4" t="str">
        <f>HYPERLINK("#Statut_biogéographique!A"&amp;_xlfn.XMATCH("P",Statut_biogéographique!A:A,2,1),"P")</f>
        <v>P</v>
      </c>
      <c r="AP19950" s="4" t="s">
        <v>376</v>
      </c>
      <c r="AR19950" s="4" t="s">
        <v>377</v>
      </c>
    </row>
    <row r="19951" spans="1:44" ht="45">
      <c r="A19951" s="4" t="s">
        <v>24364</v>
      </c>
      <c r="B19951" s="4">
        <v>103502</v>
      </c>
      <c r="D19951" s="5" t="s">
        <v>24841</v>
      </c>
      <c r="E19951" s="6" t="str">
        <f>HYPERLINK("https://inpn.mnhn.fr/espece/cd_nom/103502","Iberis umbellata L., 1753")</f>
        <v>Iberis umbellata L., 1753</v>
      </c>
      <c r="F19951" s="5" t="s">
        <v>24842</v>
      </c>
      <c r="Q19951" s="7" t="str">
        <f>HYPERLINK("#Liste_rouge!A"&amp;_xlfn.XMATCH("LC",Liste_rouge!A:A,2,1),"LC")</f>
        <v>LC</v>
      </c>
      <c r="T19951" s="7" t="str">
        <f>HYPERLINK("#Liste_rouge!A"&amp;_xlfn.XMATCH("NA",Liste_rouge!A:A,2,1),"NA")</f>
        <v>NA</v>
      </c>
      <c r="AH19951" s="4" t="str">
        <f>HYPERLINK("#Statut_biogéographique!A"&amp;_xlfn.XMATCH("P",Statut_biogéographique!A:A,2,1),"P")</f>
        <v>P</v>
      </c>
      <c r="AP19951" s="4" t="s">
        <v>376</v>
      </c>
      <c r="AR19951" s="4" t="s">
        <v>377</v>
      </c>
    </row>
    <row r="19952" spans="1:44" ht="45">
      <c r="A19952" s="4" t="s">
        <v>24364</v>
      </c>
      <c r="B19952" s="4">
        <v>103514</v>
      </c>
      <c r="D19952" s="5" t="s">
        <v>24843</v>
      </c>
      <c r="E19952" s="6" t="str">
        <f>HYPERLINK("https://inpn.mnhn.fr/espece/cd_nom/103514","Ilex aquifolium L., 1753")</f>
        <v>Ilex aquifolium L., 1753</v>
      </c>
      <c r="F19952" s="5" t="s">
        <v>24844</v>
      </c>
      <c r="N19952" s="4" t="str">
        <f>HYPERLINK("#Réglementation!A"&amp;_xlfn.XMATCH("V25P2",Réglementation!A:A,2,1),"V25P2 - V70P2")</f>
        <v>V25P2 - V70P2</v>
      </c>
      <c r="O19952" s="7" t="str">
        <f>HYPERLINK("#Liste_rouge!A"&amp;_xlfn.XMATCH("LC",Liste_rouge!A:A,2,1),"LC")</f>
        <v>LC</v>
      </c>
      <c r="P19952" s="7" t="str">
        <f>HYPERLINK("#Liste_rouge!A"&amp;_xlfn.XMATCH("LC",Liste_rouge!A:A,2,1),"LC")</f>
        <v>LC</v>
      </c>
      <c r="Q19952" s="7" t="str">
        <f>HYPERLINK("#Liste_rouge!A"&amp;_xlfn.XMATCH("LC",Liste_rouge!A:A,2,1),"LC")</f>
        <v>LC</v>
      </c>
      <c r="T19952" s="7" t="str">
        <f>HYPERLINK("#Liste_rouge!A"&amp;_xlfn.XMATCH("LC",Liste_rouge!A:A,2,1),"LC")</f>
        <v>LC</v>
      </c>
      <c r="V19952" s="7" t="str">
        <f>HYPERLINK("#Liste_rouge!A"&amp;_xlfn.XMATCH("LC",Liste_rouge!A:A,2,1),"LC")</f>
        <v>LC</v>
      </c>
      <c r="AH19952" s="4" t="str">
        <f>HYPERLINK("#Statut_biogéographique!A"&amp;_xlfn.XMATCH("P",Statut_biogéographique!A:A,2,1),"P")</f>
        <v>P</v>
      </c>
      <c r="AK19952" s="4" t="str">
        <f>HYPERLINK("#Réglementation!A"&amp;_xlfn.XMATCH("V39P2",Réglementation!A:A,2,1),"V39P2 - V39P6 - V25P2 - V70P2")</f>
        <v>V39P2 - V39P6 - V25P2 - V70P2</v>
      </c>
      <c r="AM19952" s="4" t="s">
        <v>375</v>
      </c>
      <c r="AN19952" s="4" t="s">
        <v>375</v>
      </c>
      <c r="AO19952" s="4" t="s">
        <v>375</v>
      </c>
      <c r="AP19952" s="4" t="s">
        <v>376</v>
      </c>
      <c r="AR19952" s="4" t="s">
        <v>377</v>
      </c>
    </row>
    <row r="19953" spans="1:44">
      <c r="A19953" s="4" t="s">
        <v>24364</v>
      </c>
      <c r="B19953" s="4">
        <v>103536</v>
      </c>
      <c r="D19953" s="5" t="s">
        <v>24845</v>
      </c>
      <c r="E19953" s="6" t="str">
        <f>HYPERLINK("https://inpn.mnhn.fr/espece/cd_nom/103536","Illecebrum verticillatum L., 1753")</f>
        <v>Illecebrum verticillatum L., 1753</v>
      </c>
      <c r="F19953" s="5" t="s">
        <v>24846</v>
      </c>
      <c r="M19953" s="4" t="str">
        <f>HYPERLINK("#Réglementation!A"&amp;_xlfn.XMATCH("RV43",Réglementation!A:A,2,1),"RV43")</f>
        <v>RV43</v>
      </c>
      <c r="Q19953" s="7" t="str">
        <f>HYPERLINK("#Liste_rouge!A"&amp;_xlfn.XMATCH("LC",Liste_rouge!A:A,2,1),"LC")</f>
        <v>LC</v>
      </c>
      <c r="T19953" s="7" t="str">
        <f>HYPERLINK("#Liste_rouge!A"&amp;_xlfn.XMATCH("CR",Liste_rouge!A:A,2,1),"CR")</f>
        <v>CR</v>
      </c>
      <c r="U19953" s="4" t="str">
        <f>HYPERLINK("#Critères_liste_rouge!A$1","B1 B2ab(ii,iii,iv) C2a(i)")</f>
        <v>B1 B2ab(ii,iii,iv) C2a(i)</v>
      </c>
      <c r="V19953" s="7" t="str">
        <f>HYPERLINK("#Liste_rouge!A"&amp;_xlfn.XMATCH("VU",Liste_rouge!A:A,2,1),"VU")</f>
        <v>VU</v>
      </c>
      <c r="W19953" s="4" t="str">
        <f>HYPERLINK("#Critères_liste_rouge!A$1","B2ab(iii)")</f>
        <v>B2ab(iii)</v>
      </c>
      <c r="X19953" s="5" t="s">
        <v>374</v>
      </c>
      <c r="AB19953" s="4" t="s">
        <v>93</v>
      </c>
      <c r="AH19953" s="4" t="str">
        <f>HYPERLINK("#Statut_biogéographique!A"&amp;_xlfn.XMATCH("P",Statut_biogéographique!A:A,2,1),"P")</f>
        <v>P</v>
      </c>
      <c r="AM19953" s="4" t="s">
        <v>375</v>
      </c>
      <c r="AN19953" s="4" t="s">
        <v>375</v>
      </c>
      <c r="AO19953" s="4" t="s">
        <v>375</v>
      </c>
      <c r="AP19953" s="4" t="s">
        <v>376</v>
      </c>
      <c r="AR19953" s="4" t="s">
        <v>377</v>
      </c>
    </row>
    <row r="19954" spans="1:44" ht="30">
      <c r="A19954" s="4" t="s">
        <v>24364</v>
      </c>
      <c r="B19954" s="4">
        <v>103543</v>
      </c>
      <c r="D19954" s="5" t="s">
        <v>24847</v>
      </c>
      <c r="E19954" s="6" t="str">
        <f>HYPERLINK("https://inpn.mnhn.fr/espece/cd_nom/103543","Impatiens balfourii Hook.f., 1903")</f>
        <v>Impatiens balfourii Hook.f., 1903</v>
      </c>
      <c r="F19954" s="5" t="s">
        <v>24848</v>
      </c>
      <c r="Q19954" s="7" t="str">
        <f>HYPERLINK("#Liste_rouge!A"&amp;_xlfn.XMATCH("NA",Liste_rouge!A:A,2,1),"NA")</f>
        <v>NA</v>
      </c>
      <c r="T19954" s="7" t="str">
        <f>HYPERLINK("#Liste_rouge!A"&amp;_xlfn.XMATCH("NA",Liste_rouge!A:A,2,1),"NA")</f>
        <v>NA</v>
      </c>
      <c r="AH19954" s="4" t="str">
        <f>HYPERLINK("#Statut_biogéographique!A"&amp;_xlfn.XMATCH("I",Statut_biogéographique!A:A,2,1),"I")</f>
        <v>I</v>
      </c>
      <c r="AP19954" s="4" t="s">
        <v>376</v>
      </c>
      <c r="AR19954" s="4" t="s">
        <v>377</v>
      </c>
    </row>
    <row r="19955" spans="1:44" ht="30">
      <c r="A19955" s="4" t="s">
        <v>24364</v>
      </c>
      <c r="B19955" s="4">
        <v>103545</v>
      </c>
      <c r="D19955" s="5" t="s">
        <v>24849</v>
      </c>
      <c r="E19955" s="6" t="str">
        <f>HYPERLINK("https://inpn.mnhn.fr/espece/cd_nom/103545","Impatiens capensis Meerb., 1775")</f>
        <v>Impatiens capensis Meerb., 1775</v>
      </c>
      <c r="F19955" s="5" t="s">
        <v>24850</v>
      </c>
      <c r="Q19955" s="7" t="str">
        <f>HYPERLINK("#Liste_rouge!A"&amp;_xlfn.XMATCH("NA",Liste_rouge!A:A,2,1),"NA")</f>
        <v>NA</v>
      </c>
      <c r="T19955" s="7" t="str">
        <f>HYPERLINK("#Liste_rouge!A"&amp;_xlfn.XMATCH("NA",Liste_rouge!A:A,2,1),"NA")</f>
        <v>NA</v>
      </c>
      <c r="AH19955" s="4" t="str">
        <f>HYPERLINK("#Statut_biogéographique!A"&amp;_xlfn.XMATCH("I",Statut_biogéographique!A:A,2,1),"I")</f>
        <v>I</v>
      </c>
      <c r="AM19955" s="4" t="s">
        <v>375</v>
      </c>
      <c r="AN19955" s="4" t="s">
        <v>375</v>
      </c>
      <c r="AO19955" s="4" t="s">
        <v>375</v>
      </c>
      <c r="AP19955" s="4" t="s">
        <v>376</v>
      </c>
      <c r="AR19955" s="4" t="s">
        <v>377</v>
      </c>
    </row>
    <row r="19956" spans="1:44" ht="45">
      <c r="A19956" s="4" t="s">
        <v>24364</v>
      </c>
      <c r="B19956" s="4">
        <v>103547</v>
      </c>
      <c r="D19956" s="5" t="s">
        <v>24851</v>
      </c>
      <c r="E19956" s="6" t="str">
        <f>HYPERLINK("https://inpn.mnhn.fr/espece/cd_nom/103547","Impatiens glandulifera Royle, 1833")</f>
        <v>Impatiens glandulifera Royle, 1833</v>
      </c>
      <c r="F19956" s="5" t="s">
        <v>24852</v>
      </c>
      <c r="Q19956" s="7" t="str">
        <f>HYPERLINK("#Liste_rouge!A"&amp;_xlfn.XMATCH("NA",Liste_rouge!A:A,2,1),"NA")</f>
        <v>NA</v>
      </c>
      <c r="T19956" s="7" t="str">
        <f>HYPERLINK("#Liste_rouge!A"&amp;_xlfn.XMATCH("NA",Liste_rouge!A:A,2,1),"NA")</f>
        <v>NA</v>
      </c>
      <c r="AH19956" s="4" t="str">
        <f>HYPERLINK("#Statut_biogéographique!A"&amp;_xlfn.XMATCH("J",Statut_biogéographique!A:A,2,1),"J")</f>
        <v>J</v>
      </c>
      <c r="AL19956" s="5" t="str">
        <f>HYPERLINK("#Réglementation!A"&amp;_xlfn.XMATCH("FRnoEEEV",Réglementation!A:A,2,1),"FRnoEEEV - EEEUE")</f>
        <v>FRnoEEEV - EEEUE</v>
      </c>
      <c r="AM19956" s="4" t="s">
        <v>375</v>
      </c>
      <c r="AN19956" s="4" t="s">
        <v>375</v>
      </c>
      <c r="AO19956" s="4" t="s">
        <v>375</v>
      </c>
      <c r="AP19956" s="4" t="s">
        <v>376</v>
      </c>
      <c r="AR19956" s="4" t="s">
        <v>377</v>
      </c>
    </row>
    <row r="19957" spans="1:44" ht="30">
      <c r="A19957" s="4" t="s">
        <v>24364</v>
      </c>
      <c r="B19957" s="4">
        <v>103553</v>
      </c>
      <c r="D19957" s="5" t="s">
        <v>24853</v>
      </c>
      <c r="E19957" s="6" t="str">
        <f>HYPERLINK("https://inpn.mnhn.fr/espece/cd_nom/103553","Impatiens noli-tangere L., 1753 [nom. et typ. cons.]")</f>
        <v>Impatiens noli-tangere L., 1753 [nom. et typ. cons.]</v>
      </c>
      <c r="F19957" s="5" t="s">
        <v>24854</v>
      </c>
      <c r="M19957" s="4" t="str">
        <f>HYPERLINK("#Réglementation!A"&amp;_xlfn.XMATCH("RV26",Réglementation!A:A,2,1),"RV26")</f>
        <v>RV26</v>
      </c>
      <c r="Q19957" s="7" t="str">
        <f>HYPERLINK("#Liste_rouge!A"&amp;_xlfn.XMATCH("LC",Liste_rouge!A:A,2,1),"LC")</f>
        <v>LC</v>
      </c>
      <c r="T19957" s="7" t="str">
        <f>HYPERLINK("#Liste_rouge!A"&amp;_xlfn.XMATCH("NT",Liste_rouge!A:A,2,1),"NT")</f>
        <v>NT</v>
      </c>
      <c r="U19957" s="4" t="str">
        <f>HYPERLINK("#Critères_liste_rouge!A$1","pr. B2a")</f>
        <v>pr. B2a</v>
      </c>
      <c r="V19957" s="7" t="str">
        <f>HYPERLINK("#Liste_rouge!A"&amp;_xlfn.XMATCH("LC",Liste_rouge!A:A,2,1),"LC")</f>
        <v>LC</v>
      </c>
      <c r="AB19957" s="4" t="s">
        <v>24855</v>
      </c>
      <c r="AH19957" s="4" t="str">
        <f>HYPERLINK("#Statut_biogéographique!A"&amp;_xlfn.XMATCH("P",Statut_biogéographique!A:A,2,1),"P")</f>
        <v>P</v>
      </c>
      <c r="AM19957" s="4" t="s">
        <v>375</v>
      </c>
      <c r="AN19957" s="4" t="s">
        <v>375</v>
      </c>
      <c r="AO19957" s="4" t="s">
        <v>375</v>
      </c>
      <c r="AP19957" s="4" t="s">
        <v>376</v>
      </c>
      <c r="AR19957" s="4" t="s">
        <v>377</v>
      </c>
    </row>
    <row r="19958" spans="1:44" ht="30">
      <c r="A19958" s="4" t="s">
        <v>24364</v>
      </c>
      <c r="B19958" s="4">
        <v>103557</v>
      </c>
      <c r="D19958" s="5">
        <v>103557</v>
      </c>
      <c r="E19958" s="6" t="str">
        <f>HYPERLINK("https://inpn.mnhn.fr/espece/cd_nom/103557","Impatiens parviflora DC., 1824")</f>
        <v>Impatiens parviflora DC., 1824</v>
      </c>
      <c r="F19958" s="5" t="s">
        <v>24856</v>
      </c>
      <c r="Q19958" s="7" t="str">
        <f>HYPERLINK("#Liste_rouge!A"&amp;_xlfn.XMATCH("NA",Liste_rouge!A:A,2,1),"NA")</f>
        <v>NA</v>
      </c>
      <c r="T19958" s="7" t="str">
        <f>HYPERLINK("#Liste_rouge!A"&amp;_xlfn.XMATCH("NA",Liste_rouge!A:A,2,1),"NA")</f>
        <v>NA</v>
      </c>
      <c r="AH19958" s="4" t="str">
        <f>HYPERLINK("#Statut_biogéographique!A"&amp;_xlfn.XMATCH("J",Statut_biogéographique!A:A,2,1),"J")</f>
        <v>J</v>
      </c>
      <c r="AM19958" s="4" t="s">
        <v>375</v>
      </c>
      <c r="AN19958" s="4" t="s">
        <v>375</v>
      </c>
      <c r="AO19958" s="4" t="s">
        <v>375</v>
      </c>
      <c r="AP19958" s="4" t="s">
        <v>376</v>
      </c>
      <c r="AR19958" s="4" t="s">
        <v>377</v>
      </c>
    </row>
    <row r="19959" spans="1:44" ht="60">
      <c r="A19959" s="4" t="s">
        <v>24364</v>
      </c>
      <c r="B19959" s="4">
        <v>103578</v>
      </c>
      <c r="D19959" s="5" t="s">
        <v>24857</v>
      </c>
      <c r="E19959" s="6" t="str">
        <f>HYPERLINK("https://inpn.mnhn.fr/espece/cd_nom/103578","Imperatoria ostruthium L., 1753")</f>
        <v>Imperatoria ostruthium L., 1753</v>
      </c>
      <c r="F19959" s="5" t="s">
        <v>24858</v>
      </c>
      <c r="Q19959" s="7" t="str">
        <f>HYPERLINK("#Liste_rouge!A"&amp;_xlfn.XMATCH("LC",Liste_rouge!A:A,2,1),"LC")</f>
        <v>LC</v>
      </c>
      <c r="T19959" s="7" t="str">
        <f>HYPERLINK("#Liste_rouge!A"&amp;_xlfn.XMATCH("NA",Liste_rouge!A:A,2,1),"NA")</f>
        <v>NA</v>
      </c>
      <c r="AH19959" s="4" t="str">
        <f>HYPERLINK("#Statut_biogéographique!A"&amp;_xlfn.XMATCH("P",Statut_biogéographique!A:A,2,1),"P")</f>
        <v>P</v>
      </c>
      <c r="AP19959" s="4" t="s">
        <v>376</v>
      </c>
      <c r="AR19959" s="4" t="s">
        <v>377</v>
      </c>
    </row>
    <row r="19960" spans="1:44" ht="45">
      <c r="A19960" s="4" t="s">
        <v>24364</v>
      </c>
      <c r="B19960" s="4">
        <v>103598</v>
      </c>
      <c r="D19960" s="5" t="s">
        <v>24859</v>
      </c>
      <c r="E19960" s="6" t="str">
        <f>HYPERLINK("https://inpn.mnhn.fr/espece/cd_nom/103598","Inula britannica L., 1753")</f>
        <v>Inula britannica L., 1753</v>
      </c>
      <c r="F19960" s="5" t="s">
        <v>24860</v>
      </c>
      <c r="Q19960" s="7" t="str">
        <f>HYPERLINK("#Liste_rouge!A"&amp;_xlfn.XMATCH("NT",Liste_rouge!A:A,2,1),"NT")</f>
        <v>NT</v>
      </c>
      <c r="T19960" s="7" t="str">
        <f>HYPERLINK("#Liste_rouge!A"&amp;_xlfn.XMATCH("VU",Liste_rouge!A:A,2,1),"VU")</f>
        <v>VU</v>
      </c>
      <c r="U19960" s="4" t="str">
        <f>HYPERLINK("#Critères_liste_rouge!A$1","C2a(i)")</f>
        <v>C2a(i)</v>
      </c>
      <c r="V19960" s="7" t="str">
        <f>HYPERLINK("#Liste_rouge!A"&amp;_xlfn.XMATCH("VU",Liste_rouge!A:A,2,1),"VU")</f>
        <v>VU</v>
      </c>
      <c r="W19960" s="4" t="str">
        <f>HYPERLINK("#Critères_liste_rouge!A$1","B2ab(iii)")</f>
        <v>B2ab(iii)</v>
      </c>
      <c r="X19960" s="5" t="s">
        <v>374</v>
      </c>
      <c r="AB19960" s="4" t="s">
        <v>93</v>
      </c>
      <c r="AH19960" s="4" t="str">
        <f>HYPERLINK("#Statut_biogéographique!A"&amp;_xlfn.XMATCH("P",Statut_biogéographique!A:A,2,1),"P")</f>
        <v>P</v>
      </c>
      <c r="AM19960" s="4" t="s">
        <v>375</v>
      </c>
      <c r="AN19960" s="4" t="s">
        <v>375</v>
      </c>
      <c r="AO19960" s="4" t="s">
        <v>375</v>
      </c>
      <c r="AP19960" s="4" t="s">
        <v>376</v>
      </c>
      <c r="AR19960" s="4" t="s">
        <v>377</v>
      </c>
    </row>
    <row r="19961" spans="1:44" ht="30">
      <c r="A19961" s="4" t="s">
        <v>24364</v>
      </c>
      <c r="B19961" s="4">
        <v>103627</v>
      </c>
      <c r="D19961" s="5" t="s">
        <v>24861</v>
      </c>
      <c r="E19961" s="6" t="str">
        <f>HYPERLINK("https://inpn.mnhn.fr/espece/cd_nom/103627","Inula helenium L., 1753")</f>
        <v>Inula helenium L., 1753</v>
      </c>
      <c r="F19961" s="5" t="s">
        <v>24862</v>
      </c>
      <c r="P19961" s="7" t="str">
        <f>HYPERLINK("#Liste_rouge!A"&amp;_xlfn.XMATCH("LC",Liste_rouge!A:A,2,1),"LC")</f>
        <v>LC</v>
      </c>
      <c r="Q19961" s="7" t="str">
        <f>HYPERLINK("#Liste_rouge!A"&amp;_xlfn.XMATCH("NA",Liste_rouge!A:A,2,1),"NA")</f>
        <v>NA</v>
      </c>
      <c r="T19961" s="7" t="str">
        <f>HYPERLINK("#Liste_rouge!A"&amp;_xlfn.XMATCH("LC",Liste_rouge!A:A,2,1),"LC")</f>
        <v>LC</v>
      </c>
      <c r="AH19961" s="4" t="str">
        <f>HYPERLINK("#Statut_biogéographique!A"&amp;_xlfn.XMATCH("I",Statut_biogéographique!A:A,2,1),"I")</f>
        <v>I</v>
      </c>
      <c r="AM19961" s="4" t="s">
        <v>375</v>
      </c>
      <c r="AN19961" s="4" t="s">
        <v>375</v>
      </c>
      <c r="AO19961" s="4" t="s">
        <v>375</v>
      </c>
      <c r="AP19961" s="4" t="s">
        <v>376</v>
      </c>
      <c r="AR19961" s="4" t="s">
        <v>377</v>
      </c>
    </row>
    <row r="19962" spans="1:44" ht="30">
      <c r="A19962" s="4" t="s">
        <v>24364</v>
      </c>
      <c r="B19962" s="4">
        <v>103628</v>
      </c>
      <c r="D19962" s="5" t="s">
        <v>24863</v>
      </c>
      <c r="E19962" s="6" t="str">
        <f>HYPERLINK("https://inpn.mnhn.fr/espece/cd_nom/103628","Inula helvetica Weber, 1784")</f>
        <v>Inula helvetica Weber, 1784</v>
      </c>
      <c r="F19962" s="5" t="s">
        <v>24864</v>
      </c>
      <c r="M19962" s="4" t="str">
        <f>HYPERLINK("#Réglementation!A"&amp;_xlfn.XMATCH("RV43",Réglementation!A:A,2,1),"RV43")</f>
        <v>RV43</v>
      </c>
      <c r="Q19962" s="7" t="str">
        <f>HYPERLINK("#Liste_rouge!A"&amp;_xlfn.XMATCH("LC",Liste_rouge!A:A,2,1),"LC")</f>
        <v>LC</v>
      </c>
      <c r="T19962" s="7" t="str">
        <f>HYPERLINK("#Liste_rouge!A"&amp;_xlfn.XMATCH("RE",Liste_rouge!A:A,2,1),"RE")</f>
        <v>RE</v>
      </c>
      <c r="V19962" s="7" t="str">
        <f>HYPERLINK("#Liste_rouge!A"&amp;_xlfn.XMATCH("VU",Liste_rouge!A:A,2,1),"VU")</f>
        <v>VU</v>
      </c>
      <c r="W19962" s="4" t="str">
        <f>HYPERLINK("#Critères_liste_rouge!A$1","D2")</f>
        <v>D2</v>
      </c>
      <c r="X19962" s="5" t="s">
        <v>374</v>
      </c>
      <c r="AB19962" s="4" t="s">
        <v>93</v>
      </c>
      <c r="AH19962" s="4" t="str">
        <f>HYPERLINK("#Statut_biogéographique!A"&amp;_xlfn.XMATCH("P",Statut_biogéographique!A:A,2,1),"P")</f>
        <v>P</v>
      </c>
      <c r="AM19962" s="4" t="s">
        <v>375</v>
      </c>
      <c r="AN19962" s="4" t="s">
        <v>375</v>
      </c>
      <c r="AO19962" s="4" t="s">
        <v>375</v>
      </c>
      <c r="AP19962" s="4" t="s">
        <v>376</v>
      </c>
      <c r="AR19962" s="4" t="s">
        <v>377</v>
      </c>
    </row>
    <row r="19963" spans="1:44" ht="45">
      <c r="A19963" s="4" t="s">
        <v>24364</v>
      </c>
      <c r="B19963" s="4">
        <v>103631</v>
      </c>
      <c r="D19963" s="5" t="s">
        <v>24865</v>
      </c>
      <c r="E19963" s="6" t="str">
        <f>HYPERLINK("https://inpn.mnhn.fr/espece/cd_nom/103631","Inula hirta L., 1753")</f>
        <v>Inula hirta L., 1753</v>
      </c>
      <c r="F19963" s="5" t="s">
        <v>24866</v>
      </c>
      <c r="Q19963" s="7" t="str">
        <f>HYPERLINK("#Liste_rouge!A"&amp;_xlfn.XMATCH("NT",Liste_rouge!A:A,2,1),"NT")</f>
        <v>NT</v>
      </c>
      <c r="T19963" s="7" t="str">
        <f>HYPERLINK("#Liste_rouge!A"&amp;_xlfn.XMATCH("DD",Liste_rouge!A:A,2,1),"DD")</f>
        <v>DD</v>
      </c>
      <c r="X19963" s="5" t="s">
        <v>374</v>
      </c>
      <c r="AB19963" s="4" t="s">
        <v>93</v>
      </c>
      <c r="AH19963" s="4" t="str">
        <f>HYPERLINK("#Statut_biogéographique!A"&amp;_xlfn.XMATCH("P",Statut_biogéographique!A:A,2,1),"P")</f>
        <v>P</v>
      </c>
      <c r="AM19963" s="4" t="s">
        <v>375</v>
      </c>
      <c r="AN19963" s="4" t="s">
        <v>375</v>
      </c>
      <c r="AO19963" s="4" t="s">
        <v>375</v>
      </c>
      <c r="AP19963" s="4" t="s">
        <v>376</v>
      </c>
      <c r="AR19963" s="4" t="s">
        <v>377</v>
      </c>
    </row>
    <row r="19964" spans="1:44" ht="30">
      <c r="A19964" s="4" t="s">
        <v>24364</v>
      </c>
      <c r="B19964" s="4">
        <v>103639</v>
      </c>
      <c r="D19964" s="5" t="s">
        <v>24867</v>
      </c>
      <c r="E19964" s="6" t="str">
        <f>HYPERLINK("https://inpn.mnhn.fr/espece/cd_nom/103639","Inula montana L., 1753")</f>
        <v>Inula montana L., 1753</v>
      </c>
      <c r="F19964" s="5" t="s">
        <v>24868</v>
      </c>
      <c r="M19964" s="4" t="str">
        <f>HYPERLINK("#Réglementation!A"&amp;_xlfn.XMATCH("RV26",Réglementation!A:A,2,1),"RV26")</f>
        <v>RV26</v>
      </c>
      <c r="Q19964" s="7" t="str">
        <f>HYPERLINK("#Liste_rouge!A"&amp;_xlfn.XMATCH("LC",Liste_rouge!A:A,2,1),"LC")</f>
        <v>LC</v>
      </c>
      <c r="T19964" s="7" t="str">
        <f>HYPERLINK("#Liste_rouge!A"&amp;_xlfn.XMATCH("LC",Liste_rouge!A:A,2,1),"LC")</f>
        <v>LC</v>
      </c>
      <c r="V19964" s="7" t="str">
        <f>HYPERLINK("#Liste_rouge!A"&amp;_xlfn.XMATCH("NT",Liste_rouge!A:A,2,1),"NT")</f>
        <v>NT</v>
      </c>
      <c r="W19964" s="4" t="str">
        <f>HYPERLINK("#Critères_liste_rouge!A$1","pr. D2")</f>
        <v>pr. D2</v>
      </c>
      <c r="AB19964" s="4" t="s">
        <v>24869</v>
      </c>
      <c r="AH19964" s="4" t="str">
        <f>HYPERLINK("#Statut_biogéographique!A"&amp;_xlfn.XMATCH("P",Statut_biogéographique!A:A,2,1),"P")</f>
        <v>P</v>
      </c>
      <c r="AM19964" s="4" t="s">
        <v>375</v>
      </c>
      <c r="AN19964" s="4" t="s">
        <v>375</v>
      </c>
      <c r="AO19964" s="4" t="s">
        <v>375</v>
      </c>
      <c r="AP19964" s="4" t="s">
        <v>376</v>
      </c>
      <c r="AR19964" s="4" t="s">
        <v>377</v>
      </c>
    </row>
    <row r="19965" spans="1:44" ht="45">
      <c r="A19965" s="4" t="s">
        <v>24364</v>
      </c>
      <c r="B19965" s="4">
        <v>103648</v>
      </c>
      <c r="D19965" s="5" t="s">
        <v>24870</v>
      </c>
      <c r="E19965" s="6" t="str">
        <f>HYPERLINK("https://inpn.mnhn.fr/espece/cd_nom/103648","Inula salicina L., 1753")</f>
        <v>Inula salicina L., 1753</v>
      </c>
      <c r="F19965" s="5" t="s">
        <v>24871</v>
      </c>
      <c r="Q19965" s="7" t="str">
        <f>HYPERLINK("#Liste_rouge!A"&amp;_xlfn.XMATCH("LC",Liste_rouge!A:A,2,1),"LC")</f>
        <v>LC</v>
      </c>
      <c r="T19965" s="7" t="str">
        <f>HYPERLINK("#Liste_rouge!A"&amp;_xlfn.XMATCH("LC",Liste_rouge!A:A,2,1),"LC")</f>
        <v>LC</v>
      </c>
      <c r="V19965" s="7" t="str">
        <f>HYPERLINK("#Liste_rouge!A"&amp;_xlfn.XMATCH("LC",Liste_rouge!A:A,2,1),"LC")</f>
        <v>LC</v>
      </c>
      <c r="AH19965" s="4" t="str">
        <f>HYPERLINK("#Statut_biogéographique!A"&amp;_xlfn.XMATCH("P",Statut_biogéographique!A:A,2,1),"P")</f>
        <v>P</v>
      </c>
      <c r="AM19965" s="4" t="s">
        <v>375</v>
      </c>
      <c r="AN19965" s="4" t="s">
        <v>375</v>
      </c>
      <c r="AO19965" s="4" t="s">
        <v>375</v>
      </c>
      <c r="AP19965" s="4" t="s">
        <v>376</v>
      </c>
      <c r="AR19965" s="4" t="s">
        <v>377</v>
      </c>
    </row>
    <row r="19966" spans="1:44" ht="30">
      <c r="A19966" s="4" t="s">
        <v>24364</v>
      </c>
      <c r="B19966" s="4">
        <v>103651</v>
      </c>
      <c r="D19966" s="5" t="s">
        <v>24872</v>
      </c>
      <c r="E19966" s="6" t="str">
        <f>HYPERLINK("https://inpn.mnhn.fr/espece/cd_nom/103651","Inula spiraeifolia L., 1759")</f>
        <v>Inula spiraeifolia L., 1759</v>
      </c>
      <c r="F19966" s="5" t="s">
        <v>24873</v>
      </c>
      <c r="Q19966" s="7" t="str">
        <f>HYPERLINK("#Liste_rouge!A"&amp;_xlfn.XMATCH("LC",Liste_rouge!A:A,2,1),"LC")</f>
        <v>LC</v>
      </c>
      <c r="T19966" s="7" t="str">
        <f>HYPERLINK("#Liste_rouge!A"&amp;_xlfn.XMATCH("VU",Liste_rouge!A:A,2,1),"VU")</f>
        <v>VU</v>
      </c>
      <c r="U19966" s="4" t="str">
        <f>HYPERLINK("#Critères_liste_rouge!A$1","D2")</f>
        <v>D2</v>
      </c>
      <c r="X19966" s="5" t="s">
        <v>374</v>
      </c>
      <c r="AB19966" s="4" t="s">
        <v>93</v>
      </c>
      <c r="AH19966" s="4" t="str">
        <f>HYPERLINK("#Statut_biogéographique!A"&amp;_xlfn.XMATCH("P",Statut_biogéographique!A:A,2,1),"P")</f>
        <v>P</v>
      </c>
      <c r="AM19966" s="4" t="s">
        <v>375</v>
      </c>
      <c r="AN19966" s="4" t="s">
        <v>375</v>
      </c>
      <c r="AO19966" s="4" t="s">
        <v>375</v>
      </c>
      <c r="AP19966" s="4" t="s">
        <v>376</v>
      </c>
      <c r="AR19966" s="4" t="s">
        <v>377</v>
      </c>
    </row>
    <row r="19967" spans="1:44" ht="30">
      <c r="A19967" s="4" t="s">
        <v>24364</v>
      </c>
      <c r="B19967" s="4">
        <v>103734</v>
      </c>
      <c r="D19967" s="5" t="s">
        <v>24874</v>
      </c>
      <c r="E19967" s="6" t="str">
        <f>HYPERLINK("https://inpn.mnhn.fr/espece/cd_nom/103734","Iris foetidissima L., 1753")</f>
        <v>Iris foetidissima L., 1753</v>
      </c>
      <c r="F19967" s="5" t="s">
        <v>24875</v>
      </c>
      <c r="Q19967" s="7" t="str">
        <f>HYPERLINK("#Liste_rouge!A"&amp;_xlfn.XMATCH("LC",Liste_rouge!A:A,2,1),"LC")</f>
        <v>LC</v>
      </c>
      <c r="T19967" s="7" t="str">
        <f>HYPERLINK("#Liste_rouge!A"&amp;_xlfn.XMATCH("LC",Liste_rouge!A:A,2,1),"LC")</f>
        <v>LC</v>
      </c>
      <c r="V19967" s="7" t="str">
        <f>HYPERLINK("#Liste_rouge!A"&amp;_xlfn.XMATCH("LC",Liste_rouge!A:A,2,1),"LC")</f>
        <v>LC</v>
      </c>
      <c r="AB19967" s="4" t="s">
        <v>24410</v>
      </c>
      <c r="AH19967" s="4" t="str">
        <f>HYPERLINK("#Statut_biogéographique!A"&amp;_xlfn.XMATCH("P",Statut_biogéographique!A:A,2,1),"P")</f>
        <v>P</v>
      </c>
      <c r="AM19967" s="4" t="s">
        <v>375</v>
      </c>
      <c r="AN19967" s="4" t="s">
        <v>375</v>
      </c>
      <c r="AO19967" s="4" t="s">
        <v>375</v>
      </c>
      <c r="AP19967" s="4" t="s">
        <v>376</v>
      </c>
      <c r="AR19967" s="4" t="s">
        <v>377</v>
      </c>
    </row>
    <row r="19968" spans="1:44" ht="45">
      <c r="A19968" s="4" t="s">
        <v>24364</v>
      </c>
      <c r="B19968" s="4">
        <v>103737</v>
      </c>
      <c r="D19968" s="5" t="s">
        <v>24876</v>
      </c>
      <c r="E19968" s="6" t="str">
        <f>HYPERLINK("https://inpn.mnhn.fr/espece/cd_nom/103737","Iris germanica L., 1753")</f>
        <v>Iris germanica L., 1753</v>
      </c>
      <c r="F19968" s="5" t="s">
        <v>24877</v>
      </c>
      <c r="O19968" s="7" t="str">
        <f>HYPERLINK("#Liste_rouge!A"&amp;_xlfn.XMATCH("DD",Liste_rouge!A:A,2,1),"DD")</f>
        <v>DD</v>
      </c>
      <c r="Q19968" s="7" t="str">
        <f>HYPERLINK("#Liste_rouge!A"&amp;_xlfn.XMATCH("LC",Liste_rouge!A:A,2,1),"LC")</f>
        <v>LC</v>
      </c>
      <c r="T19968" s="7" t="str">
        <f>HYPERLINK("#Liste_rouge!A"&amp;_xlfn.XMATCH("NA",Liste_rouge!A:A,2,1),"NA")</f>
        <v>NA</v>
      </c>
      <c r="AH19968" s="4" t="str">
        <f>HYPERLINK("#Statut_biogéographique!A"&amp;_xlfn.XMATCH("I",Statut_biogéographique!A:A,2,1),"I")</f>
        <v>I</v>
      </c>
      <c r="AM19968" s="4" t="s">
        <v>375</v>
      </c>
      <c r="AN19968" s="4" t="s">
        <v>375</v>
      </c>
      <c r="AO19968" s="4" t="s">
        <v>375</v>
      </c>
      <c r="AP19968" s="4" t="s">
        <v>376</v>
      </c>
      <c r="AR19968" s="4" t="s">
        <v>377</v>
      </c>
    </row>
    <row r="19969" spans="1:44" ht="60">
      <c r="A19969" s="4" t="s">
        <v>24364</v>
      </c>
      <c r="B19969" s="4">
        <v>103749</v>
      </c>
      <c r="D19969" s="5" t="s">
        <v>24878</v>
      </c>
      <c r="E19969" s="6" t="str">
        <f>HYPERLINK("https://inpn.mnhn.fr/espece/cd_nom/103749","Iris lutescens Lam., 1789")</f>
        <v>Iris lutescens Lam., 1789</v>
      </c>
      <c r="F19969" s="5" t="s">
        <v>24879</v>
      </c>
      <c r="P19969" s="7" t="str">
        <f>HYPERLINK("#Liste_rouge!A"&amp;_xlfn.XMATCH("LC",Liste_rouge!A:A,2,1),"LC")</f>
        <v>LC</v>
      </c>
      <c r="Q19969" s="7" t="str">
        <f>HYPERLINK("#Liste_rouge!A"&amp;_xlfn.XMATCH("LC",Liste_rouge!A:A,2,1),"LC")</f>
        <v>LC</v>
      </c>
      <c r="AH19969" s="4" t="str">
        <f>HYPERLINK("#Statut_biogéographique!A"&amp;_xlfn.XMATCH("P",Statut_biogéographique!A:A,2,1),"P")</f>
        <v>P</v>
      </c>
      <c r="AM19969" s="4" t="s">
        <v>375</v>
      </c>
      <c r="AN19969" s="4" t="s">
        <v>375</v>
      </c>
      <c r="AO19969" s="4" t="s">
        <v>375</v>
      </c>
      <c r="AP19969" s="4" t="s">
        <v>376</v>
      </c>
      <c r="AR19969" s="4" t="s">
        <v>377</v>
      </c>
    </row>
    <row r="19970" spans="1:44" ht="60">
      <c r="A19970" s="4" t="s">
        <v>24364</v>
      </c>
      <c r="B19970" s="4">
        <v>103772</v>
      </c>
      <c r="D19970" s="5" t="s">
        <v>24880</v>
      </c>
      <c r="E19970" s="6" t="str">
        <f>HYPERLINK("https://inpn.mnhn.fr/espece/cd_nom/103772","Iris pseudacorus L., 1753")</f>
        <v>Iris pseudacorus L., 1753</v>
      </c>
      <c r="F19970" s="5" t="s">
        <v>24881</v>
      </c>
      <c r="O19970" s="7" t="str">
        <f>HYPERLINK("#Liste_rouge!A"&amp;_xlfn.XMATCH("LC",Liste_rouge!A:A,2,1),"LC")</f>
        <v>LC</v>
      </c>
      <c r="P19970" s="7" t="str">
        <f>HYPERLINK("#Liste_rouge!A"&amp;_xlfn.XMATCH("LC",Liste_rouge!A:A,2,1),"LC")</f>
        <v>LC</v>
      </c>
      <c r="Q19970" s="7" t="str">
        <f>HYPERLINK("#Liste_rouge!A"&amp;_xlfn.XMATCH("LC",Liste_rouge!A:A,2,1),"LC")</f>
        <v>LC</v>
      </c>
      <c r="T19970" s="7" t="str">
        <f>HYPERLINK("#Liste_rouge!A"&amp;_xlfn.XMATCH("LC",Liste_rouge!A:A,2,1),"LC")</f>
        <v>LC</v>
      </c>
      <c r="V19970" s="7" t="str">
        <f>HYPERLINK("#Liste_rouge!A"&amp;_xlfn.XMATCH("LC",Liste_rouge!A:A,2,1),"LC")</f>
        <v>LC</v>
      </c>
      <c r="AH19970" s="4" t="str">
        <f>HYPERLINK("#Statut_biogéographique!A"&amp;_xlfn.XMATCH("P",Statut_biogéographique!A:A,2,1),"P")</f>
        <v>P</v>
      </c>
      <c r="AM19970" s="4" t="s">
        <v>375</v>
      </c>
      <c r="AN19970" s="4" t="s">
        <v>375</v>
      </c>
      <c r="AO19970" s="4" t="s">
        <v>375</v>
      </c>
      <c r="AP19970" s="4" t="s">
        <v>376</v>
      </c>
      <c r="AR19970" s="4" t="s">
        <v>377</v>
      </c>
    </row>
    <row r="19971" spans="1:44" ht="60">
      <c r="A19971" s="4" t="s">
        <v>24364</v>
      </c>
      <c r="B19971" s="4">
        <v>103777</v>
      </c>
      <c r="D19971" s="5" t="s">
        <v>24882</v>
      </c>
      <c r="E19971" s="6" t="str">
        <f>HYPERLINK("https://inpn.mnhn.fr/espece/cd_nom/103777","Iris sibirica L., 1753")</f>
        <v>Iris sibirica L., 1753</v>
      </c>
      <c r="F19971" s="5" t="s">
        <v>24883</v>
      </c>
      <c r="L19971" s="4" t="str">
        <f>HYPERLINK("#Réglementation!A"&amp;_xlfn.XMATCH("NV1",Réglementation!A:A,2,1),"NV1")</f>
        <v>NV1</v>
      </c>
      <c r="P19971" s="7" t="str">
        <f>HYPERLINK("#Liste_rouge!A"&amp;_xlfn.XMATCH("NT",Liste_rouge!A:A,2,1),"NT")</f>
        <v>NT</v>
      </c>
      <c r="Q19971" s="7" t="str">
        <f>HYPERLINK("#Liste_rouge!A"&amp;_xlfn.XMATCH("VU",Liste_rouge!A:A,2,1),"VU")</f>
        <v>VU</v>
      </c>
      <c r="V19971" s="7" t="str">
        <f>HYPERLINK("#Liste_rouge!A"&amp;_xlfn.XMATCH("VU",Liste_rouge!A:A,2,1),"VU")</f>
        <v>VU</v>
      </c>
      <c r="W19971" s="4" t="str">
        <f>HYPERLINK("#Critères_liste_rouge!A$1","D1")</f>
        <v>D1</v>
      </c>
      <c r="X19971" s="5" t="s">
        <v>374</v>
      </c>
      <c r="AB19971" s="4" t="s">
        <v>93</v>
      </c>
      <c r="AD19971" s="4" t="s">
        <v>11319</v>
      </c>
      <c r="AE19971" s="4" t="str">
        <f>HYPERLINK("#SCAP!A"&amp;_xlfn.XMATCH("A",SCAP!A:A,2,1),"A")</f>
        <v>A</v>
      </c>
      <c r="AH19971" s="4" t="str">
        <f>HYPERLINK("#Statut_biogéographique!A"&amp;_xlfn.XMATCH("P",Statut_biogéographique!A:A,2,1),"P")</f>
        <v>P</v>
      </c>
      <c r="AM19971" s="4" t="s">
        <v>375</v>
      </c>
      <c r="AN19971" s="4" t="s">
        <v>375</v>
      </c>
      <c r="AO19971" s="4" t="s">
        <v>375</v>
      </c>
      <c r="AP19971" s="4" t="s">
        <v>389</v>
      </c>
      <c r="AR19971" s="4" t="s">
        <v>377</v>
      </c>
    </row>
    <row r="19972" spans="1:44" ht="90">
      <c r="A19972" s="4" t="s">
        <v>24364</v>
      </c>
      <c r="B19972" s="4">
        <v>103817</v>
      </c>
      <c r="D19972" s="5" t="s">
        <v>24884</v>
      </c>
      <c r="E19972" s="6" t="str">
        <f>HYPERLINK("https://inpn.mnhn.fr/espece/cd_nom/103817","Isatis tinctoria L., 1753")</f>
        <v>Isatis tinctoria L., 1753</v>
      </c>
      <c r="F19972" s="5" t="s">
        <v>24885</v>
      </c>
      <c r="P19972" s="7" t="str">
        <f>HYPERLINK("#Liste_rouge!A"&amp;_xlfn.XMATCH("DD",Liste_rouge!A:A,2,1),"DD (cd_nom 103807) - LC (cd_nom 103817)")</f>
        <v>DD (cd_nom 103807) - LC (cd_nom 103817)</v>
      </c>
      <c r="Q19972" s="7" t="str">
        <f>HYPERLINK("#Liste_rouge!A"&amp;_xlfn.XMATCH("LC",Liste_rouge!A:A,2,1),"LC")</f>
        <v>LC</v>
      </c>
      <c r="T19972" s="7" t="str">
        <f>HYPERLINK("#Liste_rouge!A"&amp;_xlfn.XMATCH("NA",Liste_rouge!A:A,2,1),"NA")</f>
        <v>NA</v>
      </c>
      <c r="AH19972" s="4" t="str">
        <f>HYPERLINK("#Statut_biogéographique!A"&amp;_xlfn.XMATCH("I",Statut_biogéographique!A:A,2,1),"I")</f>
        <v>I</v>
      </c>
      <c r="AM19972" s="4" t="s">
        <v>375</v>
      </c>
      <c r="AN19972" s="4" t="s">
        <v>375</v>
      </c>
      <c r="AO19972" s="4" t="s">
        <v>375</v>
      </c>
      <c r="AP19972" s="4" t="s">
        <v>376</v>
      </c>
      <c r="AR19972" s="4" t="s">
        <v>377</v>
      </c>
    </row>
    <row r="19973" spans="1:44" ht="45">
      <c r="A19973" s="4" t="s">
        <v>24364</v>
      </c>
      <c r="B19973" s="4">
        <v>103843</v>
      </c>
      <c r="D19973" s="5" t="s">
        <v>24886</v>
      </c>
      <c r="E19973" s="6" t="str">
        <f>HYPERLINK("https://inpn.mnhn.fr/espece/cd_nom/103843","Isoetes lacustris L., 1753")</f>
        <v>Isoetes lacustris L., 1753</v>
      </c>
      <c r="F19973" s="5" t="s">
        <v>24887</v>
      </c>
      <c r="L19973" s="4" t="str">
        <f>HYPERLINK("#Réglementation!A"&amp;_xlfn.XMATCH("NV1",Réglementation!A:A,2,1),"NV1")</f>
        <v>NV1</v>
      </c>
      <c r="O19973" s="7" t="str">
        <f>HYPERLINK("#Liste_rouge!A"&amp;_xlfn.XMATCH("LC",Liste_rouge!A:A,2,1),"LC")</f>
        <v>LC</v>
      </c>
      <c r="P19973" s="7" t="str">
        <f>HYPERLINK("#Liste_rouge!A"&amp;_xlfn.XMATCH("LC",Liste_rouge!A:A,2,1),"LC")</f>
        <v>LC</v>
      </c>
      <c r="Q19973" s="7" t="str">
        <f>HYPERLINK("#Liste_rouge!A"&amp;_xlfn.XMATCH("NT",Liste_rouge!A:A,2,1),"NT")</f>
        <v>NT</v>
      </c>
      <c r="T19973" s="7" t="str">
        <f>HYPERLINK("#Liste_rouge!A"&amp;_xlfn.XMATCH("CR",Liste_rouge!A:A,2,1),"CR")</f>
        <v>CR</v>
      </c>
      <c r="U19973" s="4" t="str">
        <f>HYPERLINK("#Critères_liste_rouge!A$1","B1 B2ab(ii,iv,v) C2a(i) D1")</f>
        <v>B1 B2ab(ii,iv,v) C2a(i) D1</v>
      </c>
      <c r="X19973" s="5" t="s">
        <v>374</v>
      </c>
      <c r="AB19973" s="4" t="s">
        <v>93</v>
      </c>
      <c r="AH19973" s="4" t="str">
        <f>HYPERLINK("#Statut_biogéographique!A"&amp;_xlfn.XMATCH("P",Statut_biogéographique!A:A,2,1),"P")</f>
        <v>P</v>
      </c>
      <c r="AM19973" s="4" t="s">
        <v>375</v>
      </c>
      <c r="AN19973" s="4" t="s">
        <v>375</v>
      </c>
      <c r="AO19973" s="4" t="s">
        <v>375</v>
      </c>
      <c r="AP19973" s="4" t="s">
        <v>376</v>
      </c>
      <c r="AR19973" s="4" t="s">
        <v>377</v>
      </c>
    </row>
    <row r="19974" spans="1:44" ht="45">
      <c r="A19974" s="4" t="s">
        <v>24364</v>
      </c>
      <c r="B19974" s="4">
        <v>103862</v>
      </c>
      <c r="D19974" s="5" t="s">
        <v>24888</v>
      </c>
      <c r="E19974" s="6" t="str">
        <f>HYPERLINK("https://inpn.mnhn.fr/espece/cd_nom/103862","Isolepis fluitans (L.) R.Br., 1810")</f>
        <v>Isolepis fluitans (L.) R.Br., 1810</v>
      </c>
      <c r="F19974" s="5" t="s">
        <v>24889</v>
      </c>
      <c r="M19974" s="4" t="str">
        <f>HYPERLINK("#Réglementation!A"&amp;_xlfn.XMATCH("RV26",Réglementation!A:A,2,1),"RV26 - RV43")</f>
        <v>RV26 - RV43</v>
      </c>
      <c r="O19974" s="7" t="str">
        <f>HYPERLINK("#Liste_rouge!A"&amp;_xlfn.XMATCH("LC",Liste_rouge!A:A,2,1),"LC")</f>
        <v>LC</v>
      </c>
      <c r="P19974" s="7" t="str">
        <f>HYPERLINK("#Liste_rouge!A"&amp;_xlfn.XMATCH("LC",Liste_rouge!A:A,2,1),"LC")</f>
        <v>LC</v>
      </c>
      <c r="Q19974" s="7" t="str">
        <f>HYPERLINK("#Liste_rouge!A"&amp;_xlfn.XMATCH("LC",Liste_rouge!A:A,2,1),"LC")</f>
        <v>LC</v>
      </c>
      <c r="T19974" s="7" t="str">
        <f>HYPERLINK("#Liste_rouge!A"&amp;_xlfn.XMATCH("EN",Liste_rouge!A:A,2,1),"EN")</f>
        <v>EN</v>
      </c>
      <c r="U19974" s="4" t="str">
        <f>HYPERLINK("#Critères_liste_rouge!A$1","B2ab(ii,iii,iv)")</f>
        <v>B2ab(ii,iii,iv)</v>
      </c>
      <c r="V19974" s="7" t="str">
        <f>HYPERLINK("#Liste_rouge!A"&amp;_xlfn.XMATCH("VU",Liste_rouge!A:A,2,1),"VU")</f>
        <v>VU</v>
      </c>
      <c r="W19974" s="4" t="str">
        <f>HYPERLINK("#Critères_liste_rouge!A$1","D2")</f>
        <v>D2</v>
      </c>
      <c r="X19974" s="5" t="s">
        <v>374</v>
      </c>
      <c r="AB19974" s="4" t="s">
        <v>93</v>
      </c>
      <c r="AH19974" s="4" t="str">
        <f>HYPERLINK("#Statut_biogéographique!A"&amp;_xlfn.XMATCH("P",Statut_biogéographique!A:A,2,1),"P")</f>
        <v>P</v>
      </c>
      <c r="AM19974" s="4" t="s">
        <v>375</v>
      </c>
      <c r="AN19974" s="4" t="s">
        <v>375</v>
      </c>
      <c r="AO19974" s="4" t="s">
        <v>375</v>
      </c>
      <c r="AP19974" s="4" t="s">
        <v>376</v>
      </c>
      <c r="AR19974" s="4" t="s">
        <v>377</v>
      </c>
    </row>
    <row r="19975" spans="1:44" ht="30">
      <c r="A19975" s="4" t="s">
        <v>24364</v>
      </c>
      <c r="B19975" s="4">
        <v>103898</v>
      </c>
      <c r="D19975" s="5" t="s">
        <v>24890</v>
      </c>
      <c r="E19975" s="6" t="str">
        <f>HYPERLINK("https://inpn.mnhn.fr/espece/cd_nom/103898","Isolepis setacea (L.) R.Br., 1810")</f>
        <v>Isolepis setacea (L.) R.Br., 1810</v>
      </c>
      <c r="F19975" s="5" t="s">
        <v>24891</v>
      </c>
      <c r="O19975" s="7" t="str">
        <f>HYPERLINK("#Liste_rouge!A"&amp;_xlfn.XMATCH("LC",Liste_rouge!A:A,2,1),"LC")</f>
        <v>LC</v>
      </c>
      <c r="Q19975" s="7" t="str">
        <f>HYPERLINK("#Liste_rouge!A"&amp;_xlfn.XMATCH("LC",Liste_rouge!A:A,2,1),"LC")</f>
        <v>LC</v>
      </c>
      <c r="T19975" s="7" t="str">
        <f>HYPERLINK("#Liste_rouge!A"&amp;_xlfn.XMATCH("LC",Liste_rouge!A:A,2,1),"LC")</f>
        <v>LC</v>
      </c>
      <c r="V19975" s="7" t="str">
        <f>HYPERLINK("#Liste_rouge!A"&amp;_xlfn.XMATCH("LC",Liste_rouge!A:A,2,1),"LC")</f>
        <v>LC</v>
      </c>
      <c r="AB19975" s="4" t="s">
        <v>24447</v>
      </c>
      <c r="AH19975" s="4" t="str">
        <f>HYPERLINK("#Statut_biogéographique!A"&amp;_xlfn.XMATCH("P",Statut_biogéographique!A:A,2,1),"P")</f>
        <v>P</v>
      </c>
      <c r="AM19975" s="4" t="s">
        <v>375</v>
      </c>
      <c r="AN19975" s="4" t="s">
        <v>375</v>
      </c>
      <c r="AO19975" s="4" t="s">
        <v>375</v>
      </c>
      <c r="AP19975" s="4" t="s">
        <v>376</v>
      </c>
      <c r="AR19975" s="4" t="s">
        <v>377</v>
      </c>
    </row>
    <row r="19976" spans="1:44" ht="30">
      <c r="A19976" s="4" t="s">
        <v>24364</v>
      </c>
      <c r="B19976" s="4">
        <v>103917</v>
      </c>
      <c r="D19976" s="5" t="s">
        <v>24892</v>
      </c>
      <c r="E19976" s="6" t="str">
        <f>HYPERLINK("https://inpn.mnhn.fr/espece/cd_nom/103917","Isopyrum thalictroides L., 1753")</f>
        <v>Isopyrum thalictroides L., 1753</v>
      </c>
      <c r="F19976" s="5" t="s">
        <v>24893</v>
      </c>
      <c r="Q19976" s="7" t="str">
        <f>HYPERLINK("#Liste_rouge!A"&amp;_xlfn.XMATCH("LC",Liste_rouge!A:A,2,1),"LC")</f>
        <v>LC</v>
      </c>
      <c r="T19976" s="7" t="str">
        <f>HYPERLINK("#Liste_rouge!A"&amp;_xlfn.XMATCH("NT",Liste_rouge!A:A,2,1),"NT")</f>
        <v>NT</v>
      </c>
      <c r="U19976" s="4" t="str">
        <f>HYPERLINK("#Critères_liste_rouge!A$1","pr. D2")</f>
        <v>pr. D2</v>
      </c>
      <c r="V19976" s="7" t="str">
        <f>HYPERLINK("#Liste_rouge!A"&amp;_xlfn.XMATCH("LC",Liste_rouge!A:A,2,1),"LC")</f>
        <v>LC</v>
      </c>
      <c r="AB19976" s="4" t="s">
        <v>24894</v>
      </c>
      <c r="AH19976" s="4" t="str">
        <f>HYPERLINK("#Statut_biogéographique!A"&amp;_xlfn.XMATCH("P",Statut_biogéographique!A:A,2,1),"P")</f>
        <v>P</v>
      </c>
      <c r="AM19976" s="4" t="s">
        <v>375</v>
      </c>
      <c r="AN19976" s="4" t="s">
        <v>375</v>
      </c>
      <c r="AO19976" s="4" t="s">
        <v>375</v>
      </c>
      <c r="AP19976" s="4" t="s">
        <v>376</v>
      </c>
      <c r="AR19976" s="4" t="s">
        <v>377</v>
      </c>
    </row>
    <row r="19977" spans="1:44">
      <c r="A19977" s="4" t="s">
        <v>24364</v>
      </c>
      <c r="B19977" s="4">
        <v>103924</v>
      </c>
      <c r="D19977" s="5" t="s">
        <v>24895</v>
      </c>
      <c r="E19977" s="6" t="str">
        <f>HYPERLINK("https://inpn.mnhn.fr/espece/cd_nom/103924","Iva xanthiifolia Nutt., 1818")</f>
        <v>Iva xanthiifolia Nutt., 1818</v>
      </c>
      <c r="F19977" s="5" t="s">
        <v>24896</v>
      </c>
      <c r="Q19977" s="7" t="str">
        <f>HYPERLINK("#Liste_rouge!A"&amp;_xlfn.XMATCH("NA",Liste_rouge!A:A,2,1),"NA")</f>
        <v>NA</v>
      </c>
      <c r="T19977" s="7" t="str">
        <f>HYPERLINK("#Liste_rouge!A"&amp;_xlfn.XMATCH("NA",Liste_rouge!A:A,2,1),"NA")</f>
        <v>NA</v>
      </c>
      <c r="AH19977" s="4" t="str">
        <f>HYPERLINK("#Statut_biogéographique!A"&amp;_xlfn.XMATCH("M",Statut_biogéographique!A:A,2,1),"M")</f>
        <v>M</v>
      </c>
      <c r="AP19977" s="4" t="s">
        <v>376</v>
      </c>
      <c r="AR19977" s="4" t="s">
        <v>377</v>
      </c>
    </row>
    <row r="19978" spans="1:44" ht="30">
      <c r="A19978" s="4" t="s">
        <v>24364</v>
      </c>
      <c r="B19978" s="4">
        <v>103985</v>
      </c>
      <c r="D19978" s="5" t="s">
        <v>24897</v>
      </c>
      <c r="E19978" s="6" t="str">
        <f>HYPERLINK("https://inpn.mnhn.fr/espece/cd_nom/103985","Jacobaea adonidifolia (Loisel.) Mérat, 1812")</f>
        <v>Jacobaea adonidifolia (Loisel.) Mérat, 1812</v>
      </c>
      <c r="F19978" s="5" t="s">
        <v>24898</v>
      </c>
      <c r="Q19978" s="7" t="str">
        <f>HYPERLINK("#Liste_rouge!A"&amp;_xlfn.XMATCH("LC",Liste_rouge!A:A,2,1),"LC")</f>
        <v>LC</v>
      </c>
      <c r="T19978" s="7" t="str">
        <f>HYPERLINK("#Liste_rouge!A"&amp;_xlfn.XMATCH("LC",Liste_rouge!A:A,2,1),"LC")</f>
        <v>LC</v>
      </c>
      <c r="V19978" s="7" t="str">
        <f>HYPERLINK("#Liste_rouge!A"&amp;_xlfn.XMATCH("RE",Liste_rouge!A:A,2,1),"RE")</f>
        <v>RE</v>
      </c>
      <c r="AB19978" s="4" t="s">
        <v>24634</v>
      </c>
      <c r="AH19978" s="4" t="str">
        <f>HYPERLINK("#Statut_biogéographique!A"&amp;_xlfn.XMATCH("P",Statut_biogéographique!A:A,2,1),"P")</f>
        <v>P</v>
      </c>
      <c r="AM19978" s="4" t="s">
        <v>375</v>
      </c>
      <c r="AN19978" s="4" t="s">
        <v>375</v>
      </c>
      <c r="AO19978" s="4" t="s">
        <v>375</v>
      </c>
      <c r="AP19978" s="4" t="s">
        <v>376</v>
      </c>
      <c r="AR19978" s="4" t="s">
        <v>377</v>
      </c>
    </row>
    <row r="19979" spans="1:44" ht="45">
      <c r="A19979" s="4" t="s">
        <v>24364</v>
      </c>
      <c r="B19979" s="4">
        <v>103987</v>
      </c>
      <c r="D19979" s="5" t="s">
        <v>24899</v>
      </c>
      <c r="E19979" s="6" t="str">
        <f>HYPERLINK("https://inpn.mnhn.fr/espece/cd_nom/103987","Jacobaea aquatica (Hill) G.Gaertn., B.Mey. &amp; Scherb., 1801")</f>
        <v>Jacobaea aquatica (Hill) G.Gaertn., B.Mey. &amp; Scherb., 1801</v>
      </c>
      <c r="F19979" s="5" t="s">
        <v>24900</v>
      </c>
      <c r="O19979" s="7" t="str">
        <f>HYPERLINK("#Liste_rouge!A"&amp;_xlfn.XMATCH("LC",Liste_rouge!A:A,2,1),"LC")</f>
        <v>LC</v>
      </c>
      <c r="Q19979" s="7" t="str">
        <f>HYPERLINK("#Liste_rouge!A"&amp;_xlfn.XMATCH("LC",Liste_rouge!A:A,2,1),"LC")</f>
        <v>LC</v>
      </c>
      <c r="T19979" s="7" t="str">
        <f>HYPERLINK("#Liste_rouge!A"&amp;_xlfn.XMATCH("LC",Liste_rouge!A:A,2,1),"LC")</f>
        <v>LC</v>
      </c>
      <c r="V19979" s="7" t="str">
        <f>HYPERLINK("#Liste_rouge!A"&amp;_xlfn.XMATCH("LC",Liste_rouge!A:A,2,1),"LC")</f>
        <v>LC</v>
      </c>
      <c r="AB19979" s="4" t="s">
        <v>24495</v>
      </c>
      <c r="AH19979" s="4" t="str">
        <f>HYPERLINK("#Statut_biogéographique!A"&amp;_xlfn.XMATCH("P",Statut_biogéographique!A:A,2,1),"P")</f>
        <v>P</v>
      </c>
      <c r="AM19979" s="4" t="s">
        <v>375</v>
      </c>
      <c r="AN19979" s="4" t="s">
        <v>375</v>
      </c>
      <c r="AO19979" s="4" t="s">
        <v>375</v>
      </c>
      <c r="AP19979" s="4" t="s">
        <v>376</v>
      </c>
      <c r="AR19979" s="4" t="s">
        <v>377</v>
      </c>
    </row>
    <row r="19980" spans="1:44" ht="75">
      <c r="A19980" s="4" t="s">
        <v>24364</v>
      </c>
      <c r="B19980" s="4">
        <v>103991</v>
      </c>
      <c r="D19980" s="5" t="s">
        <v>24901</v>
      </c>
      <c r="E19980" s="6" t="str">
        <f>HYPERLINK("https://inpn.mnhn.fr/espece/cd_nom/103991","Jacobaea erucifolia (L.) G.Gaertn., B.Mey. &amp; Scherb., 1801")</f>
        <v>Jacobaea erucifolia (L.) G.Gaertn., B.Mey. &amp; Scherb., 1801</v>
      </c>
      <c r="F19980" s="5" t="s">
        <v>24902</v>
      </c>
      <c r="Q19980" s="7" t="str">
        <f>HYPERLINK("#Liste_rouge!A"&amp;_xlfn.XMATCH("LC",Liste_rouge!A:A,2,1),"LC")</f>
        <v>LC</v>
      </c>
      <c r="T19980" s="7" t="str">
        <f>HYPERLINK("#Liste_rouge!A"&amp;_xlfn.XMATCH("LC",Liste_rouge!A:A,2,1),"LC")</f>
        <v>LC</v>
      </c>
      <c r="V19980" s="7" t="str">
        <f>HYPERLINK("#Liste_rouge!A"&amp;_xlfn.XMATCH("LC",Liste_rouge!A:A,2,1),"LC")</f>
        <v>LC</v>
      </c>
      <c r="AH19980" s="4" t="str">
        <f>HYPERLINK("#Statut_biogéographique!A"&amp;_xlfn.XMATCH("P",Statut_biogéographique!A:A,2,1),"P")</f>
        <v>P</v>
      </c>
      <c r="AM19980" s="4" t="s">
        <v>375</v>
      </c>
      <c r="AN19980" s="4" t="s">
        <v>375</v>
      </c>
      <c r="AO19980" s="4" t="s">
        <v>375</v>
      </c>
      <c r="AP19980" s="4" t="s">
        <v>376</v>
      </c>
      <c r="AR19980" s="4" t="s">
        <v>377</v>
      </c>
    </row>
    <row r="19981" spans="1:44" ht="60">
      <c r="A19981" s="4" t="s">
        <v>24364</v>
      </c>
      <c r="B19981" s="4">
        <v>103995</v>
      </c>
      <c r="D19981" s="5" t="s">
        <v>24903</v>
      </c>
      <c r="E19981" s="6" t="str">
        <f>HYPERLINK("https://inpn.mnhn.fr/espece/cd_nom/103995","Jacobaea paludosa (L.) G.Gaertn., B.Mey. &amp; Scherb., 1801")</f>
        <v>Jacobaea paludosa (L.) G.Gaertn., B.Mey. &amp; Scherb., 1801</v>
      </c>
      <c r="F19981" s="5" t="s">
        <v>24904</v>
      </c>
      <c r="Q19981" s="7" t="str">
        <f>HYPERLINK("#Liste_rouge!A"&amp;_xlfn.XMATCH("LC",Liste_rouge!A:A,2,1),"LC")</f>
        <v>LC</v>
      </c>
      <c r="T19981" s="7" t="str">
        <f>HYPERLINK("#Liste_rouge!A"&amp;_xlfn.XMATCH("LC",Liste_rouge!A:A,2,1),"LC")</f>
        <v>LC</v>
      </c>
      <c r="V19981" s="7" t="str">
        <f>HYPERLINK("#Liste_rouge!A"&amp;_xlfn.XMATCH("LC",Liste_rouge!A:A,2,1),"LC")</f>
        <v>LC</v>
      </c>
      <c r="AH19981" s="4" t="str">
        <f>HYPERLINK("#Statut_biogéographique!A"&amp;_xlfn.XMATCH("P",Statut_biogéographique!A:A,2,1),"P")</f>
        <v>P</v>
      </c>
      <c r="AM19981" s="4" t="s">
        <v>375</v>
      </c>
      <c r="AN19981" s="4" t="s">
        <v>375</v>
      </c>
      <c r="AO19981" s="4" t="s">
        <v>375</v>
      </c>
      <c r="AP19981" s="4" t="s">
        <v>376</v>
      </c>
      <c r="AR19981" s="4" t="s">
        <v>377</v>
      </c>
    </row>
    <row r="19982" spans="1:44" ht="30">
      <c r="A19982" s="4" t="s">
        <v>24364</v>
      </c>
      <c r="B19982" s="4">
        <v>104018</v>
      </c>
      <c r="D19982" s="5" t="s">
        <v>24905</v>
      </c>
      <c r="E19982" s="6" t="str">
        <f>HYPERLINK("https://inpn.mnhn.fr/espece/cd_nom/104018","Jasione laevis Lam., 1779")</f>
        <v>Jasione laevis Lam., 1779</v>
      </c>
      <c r="F19982" s="5" t="s">
        <v>24906</v>
      </c>
      <c r="M19982" s="4" t="str">
        <f>HYPERLINK("#Réglementation!A"&amp;_xlfn.XMATCH("RV26",Réglementation!A:A,2,1),"RV26")</f>
        <v>RV26</v>
      </c>
      <c r="Q19982" s="7" t="str">
        <f>HYPERLINK("#Liste_rouge!A"&amp;_xlfn.XMATCH("LC",Liste_rouge!A:A,2,1),"LC")</f>
        <v>LC</v>
      </c>
      <c r="T19982" s="7" t="str">
        <f>HYPERLINK("#Liste_rouge!A"&amp;_xlfn.XMATCH("EN",Liste_rouge!A:A,2,1),"EN (cd_nom 104018) - DD (cd_nom 136886)")</f>
        <v>EN (cd_nom 104018) - DD (cd_nom 136886)</v>
      </c>
      <c r="U19982" s="4" t="str">
        <f>HYPERLINK("#Critères_liste_rouge!A$1","B2ab(ii,iii,iv) (cd_nom 104018)")</f>
        <v>B2ab(ii,iii,iv) (cd_nom 104018)</v>
      </c>
      <c r="X19982" s="5" t="s">
        <v>374</v>
      </c>
      <c r="AB19982" s="4" t="s">
        <v>93</v>
      </c>
      <c r="AH19982" s="4" t="str">
        <f>HYPERLINK("#Statut_biogéographique!A"&amp;_xlfn.XMATCH("P",Statut_biogéographique!A:A,2,1),"P")</f>
        <v>P</v>
      </c>
      <c r="AM19982" s="4" t="s">
        <v>375</v>
      </c>
      <c r="AN19982" s="4" t="s">
        <v>375</v>
      </c>
      <c r="AO19982" s="4" t="s">
        <v>375</v>
      </c>
      <c r="AP19982" s="4" t="s">
        <v>376</v>
      </c>
      <c r="AR19982" s="4" t="s">
        <v>377</v>
      </c>
    </row>
    <row r="19983" spans="1:44" ht="60">
      <c r="A19983" s="4" t="s">
        <v>24364</v>
      </c>
      <c r="B19983" s="4">
        <v>104022</v>
      </c>
      <c r="D19983" s="5" t="s">
        <v>24907</v>
      </c>
      <c r="E19983" s="6" t="str">
        <f>HYPERLINK("https://inpn.mnhn.fr/espece/cd_nom/104022","Jasione montana L., 1753")</f>
        <v>Jasione montana L., 1753</v>
      </c>
      <c r="F19983" s="5" t="s">
        <v>24908</v>
      </c>
      <c r="Q19983" s="7" t="str">
        <f>HYPERLINK("#Liste_rouge!A"&amp;_xlfn.XMATCH("LC",Liste_rouge!A:A,2,1),"LC")</f>
        <v>LC</v>
      </c>
      <c r="T19983" s="7" t="str">
        <f>HYPERLINK("#Liste_rouge!A"&amp;_xlfn.XMATCH("LC",Liste_rouge!A:A,2,1),"LC")</f>
        <v>LC</v>
      </c>
      <c r="V19983" s="7" t="str">
        <f>HYPERLINK("#Liste_rouge!A"&amp;_xlfn.XMATCH("LC",Liste_rouge!A:A,2,1),"LC")</f>
        <v>LC</v>
      </c>
      <c r="AB19983" s="4" t="s">
        <v>24909</v>
      </c>
      <c r="AH19983" s="4" t="str">
        <f>HYPERLINK("#Statut_biogéographique!A"&amp;_xlfn.XMATCH("P",Statut_biogéographique!A:A,2,1),"P")</f>
        <v>P</v>
      </c>
      <c r="AM19983" s="4" t="s">
        <v>375</v>
      </c>
      <c r="AN19983" s="4" t="s">
        <v>375</v>
      </c>
      <c r="AO19983" s="4" t="s">
        <v>375</v>
      </c>
      <c r="AP19983" s="4" t="s">
        <v>376</v>
      </c>
      <c r="AR19983" s="4" t="s">
        <v>377</v>
      </c>
    </row>
    <row r="19984" spans="1:44" ht="30">
      <c r="A19984" s="4" t="s">
        <v>24364</v>
      </c>
      <c r="B19984" s="4">
        <v>104036</v>
      </c>
      <c r="D19984" s="5" t="s">
        <v>24910</v>
      </c>
      <c r="E19984" s="6" t="str">
        <f>HYPERLINK("https://inpn.mnhn.fr/espece/cd_nom/104036","Jasminum fruticans L., 1753")</f>
        <v>Jasminum fruticans L., 1753</v>
      </c>
      <c r="F19984" s="5" t="s">
        <v>24911</v>
      </c>
      <c r="Q19984" s="7" t="str">
        <f>HYPERLINK("#Liste_rouge!A"&amp;_xlfn.XMATCH("LC",Liste_rouge!A:A,2,1),"LC")</f>
        <v>LC</v>
      </c>
      <c r="T19984" s="7" t="str">
        <f>HYPERLINK("#Liste_rouge!A"&amp;_xlfn.XMATCH("NA",Liste_rouge!A:A,2,1),"NA")</f>
        <v>NA</v>
      </c>
      <c r="AH19984" s="4" t="str">
        <f>HYPERLINK("#Statut_biogéographique!A"&amp;_xlfn.XMATCH("P",Statut_biogéographique!A:A,2,1),"P")</f>
        <v>P</v>
      </c>
      <c r="AP19984" s="4" t="s">
        <v>376</v>
      </c>
      <c r="AR19984" s="4" t="s">
        <v>377</v>
      </c>
    </row>
    <row r="19985" spans="1:44">
      <c r="A19985" s="4" t="s">
        <v>24364</v>
      </c>
      <c r="B19985" s="4">
        <v>104041</v>
      </c>
      <c r="D19985" s="5" t="s">
        <v>24912</v>
      </c>
      <c r="E19985" s="6" t="str">
        <f>HYPERLINK("https://inpn.mnhn.fr/espece/cd_nom/104041","Jasminum officinale L., 1753")</f>
        <v>Jasminum officinale L., 1753</v>
      </c>
      <c r="F19985" s="5" t="s">
        <v>24913</v>
      </c>
      <c r="Q19985" s="7" t="str">
        <f>HYPERLINK("#Liste_rouge!A"&amp;_xlfn.XMATCH("NA",Liste_rouge!A:A,2,1),"NA")</f>
        <v>NA</v>
      </c>
      <c r="T19985" s="7" t="str">
        <f>HYPERLINK("#Liste_rouge!A"&amp;_xlfn.XMATCH("NA",Liste_rouge!A:A,2,1),"NA")</f>
        <v>NA</v>
      </c>
      <c r="AH19985" s="4" t="str">
        <f>HYPERLINK("#Statut_biogéographique!A"&amp;_xlfn.XMATCH("M",Statut_biogéographique!A:A,2,1),"M")</f>
        <v>M</v>
      </c>
      <c r="AP19985" s="4" t="s">
        <v>376</v>
      </c>
      <c r="AR19985" s="4" t="s">
        <v>377</v>
      </c>
    </row>
    <row r="19986" spans="1:44" ht="30">
      <c r="A19986" s="4" t="s">
        <v>24364</v>
      </c>
      <c r="B19986" s="4">
        <v>104074</v>
      </c>
      <c r="D19986" s="5" t="s">
        <v>24914</v>
      </c>
      <c r="E19986" s="6" t="str">
        <f>HYPERLINK("https://inpn.mnhn.fr/espece/cd_nom/104074","Juglans nigra L., 1753")</f>
        <v>Juglans nigra L., 1753</v>
      </c>
      <c r="F19986" s="5" t="s">
        <v>24915</v>
      </c>
      <c r="Q19986" s="7" t="str">
        <f>HYPERLINK("#Liste_rouge!A"&amp;_xlfn.XMATCH("NA",Liste_rouge!A:A,2,1),"NA")</f>
        <v>NA</v>
      </c>
      <c r="T19986" s="7" t="str">
        <f>HYPERLINK("#Liste_rouge!A"&amp;_xlfn.XMATCH("NA",Liste_rouge!A:A,2,1),"NA")</f>
        <v>NA</v>
      </c>
      <c r="AH19986" s="4" t="str">
        <f>HYPERLINK("#Statut_biogéographique!A"&amp;_xlfn.XMATCH("I",Statut_biogéographique!A:A,2,1),"I")</f>
        <v>I</v>
      </c>
      <c r="AP19986" s="4" t="s">
        <v>376</v>
      </c>
      <c r="AR19986" s="4" t="s">
        <v>377</v>
      </c>
    </row>
    <row r="19987" spans="1:44" ht="30">
      <c r="A19987" s="4" t="s">
        <v>24364</v>
      </c>
      <c r="B19987" s="4">
        <v>104076</v>
      </c>
      <c r="D19987" s="5" t="s">
        <v>24916</v>
      </c>
      <c r="E19987" s="6" t="str">
        <f>HYPERLINK("https://inpn.mnhn.fr/espece/cd_nom/104076","Juglans regia L., 1753")</f>
        <v>Juglans regia L., 1753</v>
      </c>
      <c r="F19987" s="5" t="s">
        <v>24917</v>
      </c>
      <c r="O19987" s="7" t="str">
        <f>HYPERLINK("#Liste_rouge!A"&amp;_xlfn.XMATCH("LC",Liste_rouge!A:A,2,1),"LC")</f>
        <v>LC</v>
      </c>
      <c r="P19987" s="7" t="str">
        <f>HYPERLINK("#Liste_rouge!A"&amp;_xlfn.XMATCH("LC",Liste_rouge!A:A,2,1),"LC")</f>
        <v>LC</v>
      </c>
      <c r="Q19987" s="7" t="str">
        <f>HYPERLINK("#Liste_rouge!A"&amp;_xlfn.XMATCH("NA",Liste_rouge!A:A,2,1),"NA")</f>
        <v>NA</v>
      </c>
      <c r="T19987" s="7" t="str">
        <f>HYPERLINK("#Liste_rouge!A"&amp;_xlfn.XMATCH("NA",Liste_rouge!A:A,2,1),"NA")</f>
        <v>NA</v>
      </c>
      <c r="AH19987" s="4" t="str">
        <f>HYPERLINK("#Statut_biogéographique!A"&amp;_xlfn.XMATCH("I",Statut_biogéographique!A:A,2,1),"I")</f>
        <v>I</v>
      </c>
      <c r="AM19987" s="4" t="s">
        <v>375</v>
      </c>
      <c r="AN19987" s="4" t="s">
        <v>375</v>
      </c>
      <c r="AO19987" s="4" t="s">
        <v>375</v>
      </c>
      <c r="AP19987" s="4" t="s">
        <v>376</v>
      </c>
      <c r="AR19987" s="4" t="s">
        <v>377</v>
      </c>
    </row>
    <row r="19988" spans="1:44" ht="45">
      <c r="A19988" s="4" t="s">
        <v>24364</v>
      </c>
      <c r="B19988" s="4">
        <v>104101</v>
      </c>
      <c r="D19988" s="5" t="s">
        <v>24918</v>
      </c>
      <c r="E19988" s="6" t="str">
        <f>HYPERLINK("https://inpn.mnhn.fr/espece/cd_nom/104101","Juncus acutiflorus Ehrh. ex Hoffm., 1791")</f>
        <v>Juncus acutiflorus Ehrh. ex Hoffm., 1791</v>
      </c>
      <c r="F19988" s="5" t="s">
        <v>24919</v>
      </c>
      <c r="P19988" s="7" t="str">
        <f>HYPERLINK("#Liste_rouge!A"&amp;_xlfn.XMATCH("LC",Liste_rouge!A:A,2,1),"LC")</f>
        <v>LC</v>
      </c>
      <c r="Q19988" s="7" t="str">
        <f>HYPERLINK("#Liste_rouge!A"&amp;_xlfn.XMATCH("LC",Liste_rouge!A:A,2,1),"LC")</f>
        <v>LC</v>
      </c>
      <c r="T19988" s="7" t="str">
        <f>HYPERLINK("#Liste_rouge!A"&amp;_xlfn.XMATCH("LC",Liste_rouge!A:A,2,1),"LC")</f>
        <v>LC</v>
      </c>
      <c r="V19988" s="7" t="str">
        <f>HYPERLINK("#Liste_rouge!A"&amp;_xlfn.XMATCH("LC",Liste_rouge!A:A,2,1),"LC")</f>
        <v>LC</v>
      </c>
      <c r="AH19988" s="4" t="str">
        <f>HYPERLINK("#Statut_biogéographique!A"&amp;_xlfn.XMATCH("P",Statut_biogéographique!A:A,2,1),"P")</f>
        <v>P</v>
      </c>
      <c r="AM19988" s="4" t="s">
        <v>375</v>
      </c>
      <c r="AN19988" s="4" t="s">
        <v>375</v>
      </c>
      <c r="AO19988" s="4" t="s">
        <v>375</v>
      </c>
      <c r="AP19988" s="4" t="s">
        <v>376</v>
      </c>
      <c r="AR19988" s="4" t="s">
        <v>377</v>
      </c>
    </row>
    <row r="19989" spans="1:44">
      <c r="A19989" s="4" t="s">
        <v>24364</v>
      </c>
      <c r="B19989" s="4">
        <v>104111</v>
      </c>
      <c r="D19989" s="5" t="s">
        <v>24920</v>
      </c>
      <c r="E19989" s="6" t="str">
        <f>HYPERLINK("https://inpn.mnhn.fr/espece/cd_nom/104111","Juncus alpinoarticulatus Chaix, 1785")</f>
        <v>Juncus alpinoarticulatus Chaix, 1785</v>
      </c>
      <c r="F19989" s="5" t="s">
        <v>24921</v>
      </c>
      <c r="O19989" s="7" t="str">
        <f>HYPERLINK("#Liste_rouge!A"&amp;_xlfn.XMATCH("LC",Liste_rouge!A:A,2,1),"LC")</f>
        <v>LC</v>
      </c>
      <c r="Q19989" s="7" t="str">
        <f>HYPERLINK("#Liste_rouge!A"&amp;_xlfn.XMATCH("LC",Liste_rouge!A:A,2,1),"LC")</f>
        <v>LC</v>
      </c>
      <c r="V19989" s="7" t="str">
        <f>HYPERLINK("#Liste_rouge!A"&amp;_xlfn.XMATCH("DD",Liste_rouge!A:A,2,1),"DD")</f>
        <v>DD</v>
      </c>
      <c r="X19989" s="5" t="s">
        <v>374</v>
      </c>
      <c r="AB19989" s="4" t="s">
        <v>93</v>
      </c>
      <c r="AH19989" s="4" t="str">
        <f>HYPERLINK("#Statut_biogéographique!A"&amp;_xlfn.XMATCH("P",Statut_biogéographique!A:A,2,1),"P")</f>
        <v>P</v>
      </c>
      <c r="AM19989" s="4" t="s">
        <v>375</v>
      </c>
      <c r="AN19989" s="4" t="s">
        <v>375</v>
      </c>
      <c r="AO19989" s="4" t="s">
        <v>375</v>
      </c>
      <c r="AP19989" s="4" t="s">
        <v>376</v>
      </c>
      <c r="AR19989" s="4" t="s">
        <v>377</v>
      </c>
    </row>
    <row r="19990" spans="1:44" ht="30">
      <c r="A19990" s="4" t="s">
        <v>24364</v>
      </c>
      <c r="B19990" s="4">
        <v>104115</v>
      </c>
      <c r="D19990" s="5" t="s">
        <v>24922</v>
      </c>
      <c r="E19990" s="6" t="str">
        <f>HYPERLINK("https://inpn.mnhn.fr/espece/cd_nom/104115","Juncus anceps Laharpe, 1827")</f>
        <v>Juncus anceps Laharpe, 1827</v>
      </c>
      <c r="F19990" s="5" t="s">
        <v>24923</v>
      </c>
      <c r="Q19990" s="7" t="str">
        <f>HYPERLINK("#Liste_rouge!A"&amp;_xlfn.XMATCH("DD",Liste_rouge!A:A,2,1),"DD")</f>
        <v>DD</v>
      </c>
      <c r="T19990" s="7" t="str">
        <f>HYPERLINK("#Liste_rouge!A"&amp;_xlfn.XMATCH("RE",Liste_rouge!A:A,2,1),"RE")</f>
        <v>RE</v>
      </c>
      <c r="X19990" s="5" t="s">
        <v>374</v>
      </c>
      <c r="AB19990" s="4" t="s">
        <v>93</v>
      </c>
      <c r="AH19990" s="4" t="str">
        <f>HYPERLINK("#Statut_biogéographique!A"&amp;_xlfn.XMATCH("P",Statut_biogéographique!A:A,2,1),"P")</f>
        <v>P</v>
      </c>
      <c r="AM19990" s="4" t="s">
        <v>375</v>
      </c>
      <c r="AN19990" s="4" t="s">
        <v>375</v>
      </c>
      <c r="AO19990" s="4" t="s">
        <v>375</v>
      </c>
      <c r="AP19990" s="4" t="s">
        <v>376</v>
      </c>
      <c r="AR19990" s="4" t="s">
        <v>377</v>
      </c>
    </row>
    <row r="19991" spans="1:44" ht="90">
      <c r="A19991" s="4" t="s">
        <v>24364</v>
      </c>
      <c r="B19991" s="4">
        <v>104126</v>
      </c>
      <c r="D19991" s="5" t="s">
        <v>24924</v>
      </c>
      <c r="E19991" s="6" t="str">
        <f>HYPERLINK("https://inpn.mnhn.fr/espece/cd_nom/104126","Juncus articulatus L., 1753")</f>
        <v>Juncus articulatus L., 1753</v>
      </c>
      <c r="F19991" s="5" t="s">
        <v>24925</v>
      </c>
      <c r="O19991" s="7" t="str">
        <f>HYPERLINK("#Liste_rouge!A"&amp;_xlfn.XMATCH("LC",Liste_rouge!A:A,2,1),"LC")</f>
        <v>LC</v>
      </c>
      <c r="P19991" s="7" t="str">
        <f>HYPERLINK("#Liste_rouge!A"&amp;_xlfn.XMATCH("LC",Liste_rouge!A:A,2,1),"LC")</f>
        <v>LC</v>
      </c>
      <c r="Q19991" s="7" t="str">
        <f>HYPERLINK("#Liste_rouge!A"&amp;_xlfn.XMATCH("LC",Liste_rouge!A:A,2,1),"LC")</f>
        <v>LC</v>
      </c>
      <c r="T19991" s="7" t="str">
        <f>HYPERLINK("#Liste_rouge!A"&amp;_xlfn.XMATCH("LC",Liste_rouge!A:A,2,1),"LC")</f>
        <v>LC</v>
      </c>
      <c r="V19991" s="7" t="str">
        <f>HYPERLINK("#Liste_rouge!A"&amp;_xlfn.XMATCH("LC",Liste_rouge!A:A,2,1),"LC")</f>
        <v>LC</v>
      </c>
      <c r="AH19991" s="4" t="str">
        <f>HYPERLINK("#Statut_biogéographique!A"&amp;_xlfn.XMATCH("P",Statut_biogéographique!A:A,2,1),"P")</f>
        <v>P</v>
      </c>
      <c r="AM19991" s="4" t="s">
        <v>375</v>
      </c>
      <c r="AN19991" s="4" t="s">
        <v>375</v>
      </c>
      <c r="AO19991" s="4" t="s">
        <v>375</v>
      </c>
      <c r="AP19991" s="4" t="s">
        <v>376</v>
      </c>
      <c r="AR19991" s="4" t="s">
        <v>377</v>
      </c>
    </row>
    <row r="19992" spans="1:44" ht="60">
      <c r="A19992" s="4" t="s">
        <v>24364</v>
      </c>
      <c r="B19992" s="4">
        <v>104144</v>
      </c>
      <c r="D19992" s="5" t="s">
        <v>24926</v>
      </c>
      <c r="E19992" s="6" t="str">
        <f>HYPERLINK("https://inpn.mnhn.fr/espece/cd_nom/104144","Juncus bufonius L., 1753")</f>
        <v>Juncus bufonius L., 1753</v>
      </c>
      <c r="F19992" s="5" t="s">
        <v>24927</v>
      </c>
      <c r="O19992" s="7" t="str">
        <f>HYPERLINK("#Liste_rouge!A"&amp;_xlfn.XMATCH("LC",Liste_rouge!A:A,2,1),"LC (cd_nom 104144) - DD (cd_nom 104224)")</f>
        <v>LC (cd_nom 104144) - DD (cd_nom 104224)</v>
      </c>
      <c r="P19992" s="7" t="str">
        <f>HYPERLINK("#Liste_rouge!A"&amp;_xlfn.XMATCH("LC",Liste_rouge!A:A,2,1),"LC")</f>
        <v>LC</v>
      </c>
      <c r="Q19992" s="7" t="str">
        <f>HYPERLINK("#Liste_rouge!A"&amp;_xlfn.XMATCH("LC",Liste_rouge!A:A,2,1),"LC")</f>
        <v>LC</v>
      </c>
      <c r="T19992" s="7" t="str">
        <f>HYPERLINK("#Liste_rouge!A"&amp;_xlfn.XMATCH("LC",Liste_rouge!A:A,2,1),"LC")</f>
        <v>LC</v>
      </c>
      <c r="V19992" s="7" t="str">
        <f>HYPERLINK("#Liste_rouge!A"&amp;_xlfn.XMATCH("LC",Liste_rouge!A:A,2,1),"LC")</f>
        <v>LC</v>
      </c>
      <c r="AH19992" s="4" t="str">
        <f>HYPERLINK("#Statut_biogéographique!A"&amp;_xlfn.XMATCH("P",Statut_biogéographique!A:A,2,1),"P")</f>
        <v>P</v>
      </c>
      <c r="AM19992" s="4" t="s">
        <v>375</v>
      </c>
      <c r="AN19992" s="4" t="s">
        <v>375</v>
      </c>
      <c r="AO19992" s="4" t="s">
        <v>375</v>
      </c>
      <c r="AP19992" s="4" t="s">
        <v>376</v>
      </c>
      <c r="AR19992" s="4" t="s">
        <v>377</v>
      </c>
    </row>
    <row r="19993" spans="1:44">
      <c r="A19993" s="4" t="s">
        <v>24364</v>
      </c>
      <c r="B19993" s="4">
        <v>104145</v>
      </c>
      <c r="D19993" s="5" t="s">
        <v>24928</v>
      </c>
      <c r="E19993" s="6" t="str">
        <f>HYPERLINK("https://inpn.mnhn.fr/espece/cd_nom/104145","Juncus bulbosus L., 1753")</f>
        <v>Juncus bulbosus L., 1753</v>
      </c>
      <c r="F19993" s="5" t="s">
        <v>24929</v>
      </c>
      <c r="O19993" s="7" t="str">
        <f>HYPERLINK("#Liste_rouge!A"&amp;_xlfn.XMATCH("LC",Liste_rouge!A:A,2,1),"LC")</f>
        <v>LC</v>
      </c>
      <c r="P19993" s="7" t="str">
        <f>HYPERLINK("#Liste_rouge!A"&amp;_xlfn.XMATCH("LC",Liste_rouge!A:A,2,1),"LC")</f>
        <v>LC</v>
      </c>
      <c r="Q19993" s="7" t="str">
        <f>HYPERLINK("#Liste_rouge!A"&amp;_xlfn.XMATCH("LC",Liste_rouge!A:A,2,1),"LC")</f>
        <v>LC</v>
      </c>
      <c r="T19993" s="7" t="str">
        <f>HYPERLINK("#Liste_rouge!A"&amp;_xlfn.XMATCH("LC",Liste_rouge!A:A,2,1),"LC")</f>
        <v>LC</v>
      </c>
      <c r="V19993" s="7" t="str">
        <f>HYPERLINK("#Liste_rouge!A"&amp;_xlfn.XMATCH("LC",Liste_rouge!A:A,2,1),"LC")</f>
        <v>LC</v>
      </c>
      <c r="AB19993" s="4" t="s">
        <v>24930</v>
      </c>
      <c r="AH19993" s="4" t="str">
        <f>HYPERLINK("#Statut_biogéographique!A"&amp;_xlfn.XMATCH("P",Statut_biogéographique!A:A,2,1),"P")</f>
        <v>P</v>
      </c>
      <c r="AM19993" s="4" t="s">
        <v>375</v>
      </c>
      <c r="AN19993" s="4" t="s">
        <v>375</v>
      </c>
      <c r="AO19993" s="4" t="s">
        <v>375</v>
      </c>
      <c r="AP19993" s="4" t="s">
        <v>376</v>
      </c>
      <c r="AR19993" s="4" t="s">
        <v>377</v>
      </c>
    </row>
    <row r="19994" spans="1:44" ht="45">
      <c r="A19994" s="4" t="s">
        <v>24364</v>
      </c>
      <c r="B19994" s="4">
        <v>104148</v>
      </c>
      <c r="D19994" s="5" t="s">
        <v>24931</v>
      </c>
      <c r="E19994" s="6" t="str">
        <f>HYPERLINK("https://inpn.mnhn.fr/espece/cd_nom/104148","Juncus capitatus Weigel, 1772")</f>
        <v>Juncus capitatus Weigel, 1772</v>
      </c>
      <c r="F19994" s="5" t="s">
        <v>24932</v>
      </c>
      <c r="Q19994" s="7" t="str">
        <f>HYPERLINK("#Liste_rouge!A"&amp;_xlfn.XMATCH("LC",Liste_rouge!A:A,2,1),"LC")</f>
        <v>LC</v>
      </c>
      <c r="T19994" s="7" t="str">
        <f>HYPERLINK("#Liste_rouge!A"&amp;_xlfn.XMATCH("EN",Liste_rouge!A:A,2,1),"EN")</f>
        <v>EN</v>
      </c>
      <c r="U19994" s="4" t="str">
        <f>HYPERLINK("#Critères_liste_rouge!A$1","B2a")</f>
        <v>B2a</v>
      </c>
      <c r="V19994" s="7" t="str">
        <f>HYPERLINK("#Liste_rouge!A"&amp;_xlfn.XMATCH("CR",Liste_rouge!A:A,2,1),"CR")</f>
        <v>CR</v>
      </c>
      <c r="W19994" s="4" t="str">
        <f>HYPERLINK("#Critères_liste_rouge!A$1","D")</f>
        <v>D</v>
      </c>
      <c r="X19994" s="5" t="s">
        <v>374</v>
      </c>
      <c r="AB19994" s="4" t="s">
        <v>93</v>
      </c>
      <c r="AH19994" s="4" t="str">
        <f>HYPERLINK("#Statut_biogéographique!A"&amp;_xlfn.XMATCH("P",Statut_biogéographique!A:A,2,1),"P")</f>
        <v>P</v>
      </c>
      <c r="AM19994" s="4" t="s">
        <v>375</v>
      </c>
      <c r="AN19994" s="4" t="s">
        <v>375</v>
      </c>
      <c r="AO19994" s="4" t="s">
        <v>375</v>
      </c>
      <c r="AP19994" s="4" t="s">
        <v>376</v>
      </c>
      <c r="AR19994" s="4" t="s">
        <v>377</v>
      </c>
    </row>
    <row r="19995" spans="1:44" ht="30">
      <c r="A19995" s="4" t="s">
        <v>24364</v>
      </c>
      <c r="B19995" s="4">
        <v>104155</v>
      </c>
      <c r="D19995" s="5" t="s">
        <v>24933</v>
      </c>
      <c r="E19995" s="6" t="str">
        <f>HYPERLINK("https://inpn.mnhn.fr/espece/cd_nom/104155","Juncus compressus Jacq., 1762")</f>
        <v>Juncus compressus Jacq., 1762</v>
      </c>
      <c r="F19995" s="5" t="s">
        <v>24934</v>
      </c>
      <c r="O19995" s="7" t="str">
        <f>HYPERLINK("#Liste_rouge!A"&amp;_xlfn.XMATCH("LC",Liste_rouge!A:A,2,1),"LC")</f>
        <v>LC</v>
      </c>
      <c r="Q19995" s="7" t="str">
        <f>HYPERLINK("#Liste_rouge!A"&amp;_xlfn.XMATCH("LC",Liste_rouge!A:A,2,1),"LC")</f>
        <v>LC</v>
      </c>
      <c r="T19995" s="7" t="str">
        <f>HYPERLINK("#Liste_rouge!A"&amp;_xlfn.XMATCH("LC",Liste_rouge!A:A,2,1),"LC")</f>
        <v>LC</v>
      </c>
      <c r="V19995" s="7" t="str">
        <f>HYPERLINK("#Liste_rouge!A"&amp;_xlfn.XMATCH("LC",Liste_rouge!A:A,2,1),"LC")</f>
        <v>LC</v>
      </c>
      <c r="AH19995" s="4" t="str">
        <f>HYPERLINK("#Statut_biogéographique!A"&amp;_xlfn.XMATCH("P",Statut_biogéographique!A:A,2,1),"P")</f>
        <v>P</v>
      </c>
      <c r="AM19995" s="4" t="s">
        <v>375</v>
      </c>
      <c r="AN19995" s="4" t="s">
        <v>375</v>
      </c>
      <c r="AO19995" s="4" t="s">
        <v>375</v>
      </c>
      <c r="AP19995" s="4" t="s">
        <v>376</v>
      </c>
      <c r="AR19995" s="4" t="s">
        <v>377</v>
      </c>
    </row>
    <row r="19996" spans="1:44" ht="60">
      <c r="A19996" s="4" t="s">
        <v>24364</v>
      </c>
      <c r="B19996" s="4">
        <v>104160</v>
      </c>
      <c r="D19996" s="5" t="s">
        <v>24935</v>
      </c>
      <c r="E19996" s="6" t="str">
        <f>HYPERLINK("https://inpn.mnhn.fr/espece/cd_nom/104160","Juncus conglomeratus L., 1753")</f>
        <v>Juncus conglomeratus L., 1753</v>
      </c>
      <c r="F19996" s="5" t="s">
        <v>24936</v>
      </c>
      <c r="O19996" s="7" t="str">
        <f>HYPERLINK("#Liste_rouge!A"&amp;_xlfn.XMATCH("LC",Liste_rouge!A:A,2,1),"LC")</f>
        <v>LC</v>
      </c>
      <c r="Q19996" s="7" t="str">
        <f>HYPERLINK("#Liste_rouge!A"&amp;_xlfn.XMATCH("LC",Liste_rouge!A:A,2,1),"LC")</f>
        <v>LC</v>
      </c>
      <c r="T19996" s="7" t="str">
        <f>HYPERLINK("#Liste_rouge!A"&amp;_xlfn.XMATCH("LC",Liste_rouge!A:A,2,1),"LC")</f>
        <v>LC</v>
      </c>
      <c r="V19996" s="7" t="str">
        <f>HYPERLINK("#Liste_rouge!A"&amp;_xlfn.XMATCH("LC",Liste_rouge!A:A,2,1),"LC")</f>
        <v>LC</v>
      </c>
      <c r="AH19996" s="4" t="str">
        <f>HYPERLINK("#Statut_biogéographique!A"&amp;_xlfn.XMATCH("P",Statut_biogéographique!A:A,2,1),"P")</f>
        <v>P</v>
      </c>
      <c r="AM19996" s="4" t="s">
        <v>375</v>
      </c>
      <c r="AN19996" s="4" t="s">
        <v>375</v>
      </c>
      <c r="AO19996" s="4" t="s">
        <v>375</v>
      </c>
      <c r="AP19996" s="4" t="s">
        <v>376</v>
      </c>
      <c r="AR19996" s="4" t="s">
        <v>377</v>
      </c>
    </row>
    <row r="19997" spans="1:44" ht="120">
      <c r="A19997" s="4" t="s">
        <v>24364</v>
      </c>
      <c r="B19997" s="4">
        <v>104173</v>
      </c>
      <c r="D19997" s="5" t="s">
        <v>24937</v>
      </c>
      <c r="E19997" s="6" t="str">
        <f>HYPERLINK("https://inpn.mnhn.fr/espece/cd_nom/104173","Juncus effusus L., 1753")</f>
        <v>Juncus effusus L., 1753</v>
      </c>
      <c r="F19997" s="5" t="s">
        <v>24938</v>
      </c>
      <c r="O19997" s="7" t="str">
        <f>HYPERLINK("#Liste_rouge!A"&amp;_xlfn.XMATCH("LC",Liste_rouge!A:A,2,1),"LC")</f>
        <v>LC</v>
      </c>
      <c r="P19997" s="7" t="str">
        <f>HYPERLINK("#Liste_rouge!A"&amp;_xlfn.XMATCH("LC",Liste_rouge!A:A,2,1),"LC")</f>
        <v>LC</v>
      </c>
      <c r="Q19997" s="7" t="str">
        <f>HYPERLINK("#Liste_rouge!A"&amp;_xlfn.XMATCH("LC",Liste_rouge!A:A,2,1),"LC")</f>
        <v>LC</v>
      </c>
      <c r="T19997" s="7" t="str">
        <f>HYPERLINK("#Liste_rouge!A"&amp;_xlfn.XMATCH("DD",Liste_rouge!A:A,2,1),"DD (cd_nom 147910) - LC (cd_nom 104173)")</f>
        <v>DD (cd_nom 147910) - LC (cd_nom 104173)</v>
      </c>
      <c r="V19997" s="7" t="str">
        <f>HYPERLINK("#Liste_rouge!A"&amp;_xlfn.XMATCH("LC",Liste_rouge!A:A,2,1),"LC")</f>
        <v>LC</v>
      </c>
      <c r="AH19997" s="4" t="str">
        <f>HYPERLINK("#Statut_biogéographique!A"&amp;_xlfn.XMATCH("P",Statut_biogéographique!A:A,2,1),"P")</f>
        <v>P</v>
      </c>
      <c r="AM19997" s="4" t="s">
        <v>375</v>
      </c>
      <c r="AN19997" s="4" t="s">
        <v>375</v>
      </c>
      <c r="AO19997" s="4" t="s">
        <v>375</v>
      </c>
      <c r="AP19997" s="4" t="s">
        <v>376</v>
      </c>
      <c r="AR19997" s="4" t="s">
        <v>377</v>
      </c>
    </row>
    <row r="19998" spans="1:44">
      <c r="A19998" s="4" t="s">
        <v>24364</v>
      </c>
      <c r="B19998" s="4">
        <v>104183</v>
      </c>
      <c r="D19998" s="5" t="s">
        <v>24939</v>
      </c>
      <c r="E19998" s="6" t="str">
        <f>HYPERLINK("https://inpn.mnhn.fr/espece/cd_nom/104183","Juncus filiformis L., 1753")</f>
        <v>Juncus filiformis L., 1753</v>
      </c>
      <c r="F19998" s="5" t="s">
        <v>24940</v>
      </c>
      <c r="O19998" s="7" t="str">
        <f>HYPERLINK("#Liste_rouge!A"&amp;_xlfn.XMATCH("LC",Liste_rouge!A:A,2,1),"LC")</f>
        <v>LC</v>
      </c>
      <c r="Q19998" s="7" t="str">
        <f>HYPERLINK("#Liste_rouge!A"&amp;_xlfn.XMATCH("LC",Liste_rouge!A:A,2,1),"LC")</f>
        <v>LC</v>
      </c>
      <c r="V19998" s="7" t="str">
        <f>HYPERLINK("#Liste_rouge!A"&amp;_xlfn.XMATCH("NT",Liste_rouge!A:A,2,1),"NT")</f>
        <v>NT</v>
      </c>
      <c r="W19998" s="4" t="str">
        <f>HYPERLINK("#Critères_liste_rouge!A$1","pr. D2")</f>
        <v>pr. D2</v>
      </c>
      <c r="X19998" s="5" t="s">
        <v>374</v>
      </c>
      <c r="AB19998" s="4" t="s">
        <v>93</v>
      </c>
      <c r="AH19998" s="4" t="str">
        <f>HYPERLINK("#Statut_biogéographique!A"&amp;_xlfn.XMATCH("P",Statut_biogéographique!A:A,2,1),"P")</f>
        <v>P</v>
      </c>
      <c r="AM19998" s="4" t="s">
        <v>375</v>
      </c>
      <c r="AN19998" s="4" t="s">
        <v>375</v>
      </c>
      <c r="AO19998" s="4" t="s">
        <v>375</v>
      </c>
      <c r="AP19998" s="4" t="s">
        <v>376</v>
      </c>
      <c r="AR19998" s="4" t="s">
        <v>377</v>
      </c>
    </row>
    <row r="19999" spans="1:44" ht="90">
      <c r="A19999" s="4" t="s">
        <v>24364</v>
      </c>
      <c r="B19999" s="4">
        <v>104196</v>
      </c>
      <c r="D19999" s="5" t="s">
        <v>24941</v>
      </c>
      <c r="E19999" s="6" t="str">
        <f>HYPERLINK("https://inpn.mnhn.fr/espece/cd_nom/104196","Juncus gerardi Loisel., 1809")</f>
        <v>Juncus gerardi Loisel., 1809</v>
      </c>
      <c r="F19999" s="5" t="s">
        <v>24942</v>
      </c>
      <c r="Q19999" s="7" t="str">
        <f>HYPERLINK("#Liste_rouge!A"&amp;_xlfn.XMATCH("LC",Liste_rouge!A:A,2,1),"LC")</f>
        <v>LC</v>
      </c>
      <c r="T19999" s="7" t="str">
        <f>HYPERLINK("#Liste_rouge!A"&amp;_xlfn.XMATCH("NA",Liste_rouge!A:A,2,1),"NA")</f>
        <v>NA</v>
      </c>
      <c r="AH19999" s="4" t="str">
        <f>HYPERLINK("#Statut_biogéographique!A"&amp;_xlfn.XMATCH("P",Statut_biogéographique!A:A,2,1),"P")</f>
        <v>P</v>
      </c>
      <c r="AP19999" s="4" t="s">
        <v>376</v>
      </c>
      <c r="AR19999" s="4" t="s">
        <v>377</v>
      </c>
    </row>
    <row r="20000" spans="1:44" ht="45">
      <c r="A20000" s="4" t="s">
        <v>24364</v>
      </c>
      <c r="B20000" s="4">
        <v>104212</v>
      </c>
      <c r="D20000" s="5" t="s">
        <v>24943</v>
      </c>
      <c r="E20000" s="6" t="str">
        <f>HYPERLINK("https://inpn.mnhn.fr/espece/cd_nom/104212","Juncus hybridus Brot., 1804")</f>
        <v>Juncus hybridus Brot., 1804</v>
      </c>
      <c r="F20000" s="5" t="s">
        <v>24944</v>
      </c>
      <c r="O20000" s="7" t="str">
        <f>HYPERLINK("#Liste_rouge!A"&amp;_xlfn.XMATCH("LC",Liste_rouge!A:A,2,1),"LC")</f>
        <v>LC</v>
      </c>
      <c r="Q20000" s="7" t="str">
        <f>HYPERLINK("#Liste_rouge!A"&amp;_xlfn.XMATCH("LC",Liste_rouge!A:A,2,1),"LC")</f>
        <v>LC</v>
      </c>
      <c r="T20000" s="7" t="str">
        <f>HYPERLINK("#Liste_rouge!A"&amp;_xlfn.XMATCH("NA",Liste_rouge!A:A,2,1),"NA")</f>
        <v>NA</v>
      </c>
      <c r="AH20000" s="4" t="str">
        <f>HYPERLINK("#Statut_biogéographique!A"&amp;_xlfn.XMATCH("P",Statut_biogéographique!A:A,2,1),"P")</f>
        <v>P</v>
      </c>
      <c r="AP20000" s="4" t="s">
        <v>376</v>
      </c>
      <c r="AR20000" s="4" t="s">
        <v>377</v>
      </c>
    </row>
    <row r="20001" spans="1:44" ht="75">
      <c r="A20001" s="4" t="s">
        <v>24364</v>
      </c>
      <c r="B20001" s="4">
        <v>104214</v>
      </c>
      <c r="D20001" s="5" t="s">
        <v>24945</v>
      </c>
      <c r="E20001" s="6" t="str">
        <f>HYPERLINK("https://inpn.mnhn.fr/espece/cd_nom/104214","Juncus inflexus L., 1753")</f>
        <v>Juncus inflexus L., 1753</v>
      </c>
      <c r="F20001" s="5" t="s">
        <v>24946</v>
      </c>
      <c r="O20001" s="7" t="str">
        <f>HYPERLINK("#Liste_rouge!A"&amp;_xlfn.XMATCH("LC",Liste_rouge!A:A,2,1),"LC")</f>
        <v>LC</v>
      </c>
      <c r="Q20001" s="7" t="str">
        <f>HYPERLINK("#Liste_rouge!A"&amp;_xlfn.XMATCH("LC",Liste_rouge!A:A,2,1),"LC")</f>
        <v>LC</v>
      </c>
      <c r="T20001" s="7" t="str">
        <f>HYPERLINK("#Liste_rouge!A"&amp;_xlfn.XMATCH("LC",Liste_rouge!A:A,2,1),"LC")</f>
        <v>LC</v>
      </c>
      <c r="V20001" s="7" t="str">
        <f>HYPERLINK("#Liste_rouge!A"&amp;_xlfn.XMATCH("LC",Liste_rouge!A:A,2,1),"LC")</f>
        <v>LC</v>
      </c>
      <c r="AH20001" s="4" t="str">
        <f>HYPERLINK("#Statut_biogéographique!A"&amp;_xlfn.XMATCH("P",Statut_biogéographique!A:A,2,1),"P")</f>
        <v>P</v>
      </c>
      <c r="AM20001" s="4" t="s">
        <v>375</v>
      </c>
      <c r="AN20001" s="4" t="s">
        <v>375</v>
      </c>
      <c r="AO20001" s="4" t="s">
        <v>375</v>
      </c>
      <c r="AP20001" s="4" t="s">
        <v>376</v>
      </c>
      <c r="AR20001" s="4" t="s">
        <v>377</v>
      </c>
    </row>
    <row r="20002" spans="1:44" ht="30">
      <c r="A20002" s="4" t="s">
        <v>24364</v>
      </c>
      <c r="B20002" s="4">
        <v>104302</v>
      </c>
      <c r="D20002" s="5" t="s">
        <v>24947</v>
      </c>
      <c r="E20002" s="6" t="str">
        <f>HYPERLINK("https://inpn.mnhn.fr/espece/cd_nom/104302","Juncus pygmaeus Rich. ex Thuill., 1799")</f>
        <v>Juncus pygmaeus Rich. ex Thuill., 1799</v>
      </c>
      <c r="F20002" s="5" t="s">
        <v>24948</v>
      </c>
      <c r="Q20002" s="7" t="str">
        <f>HYPERLINK("#Liste_rouge!A"&amp;_xlfn.XMATCH("LC",Liste_rouge!A:A,2,1),"LC")</f>
        <v>LC</v>
      </c>
      <c r="T20002" s="7" t="str">
        <f>HYPERLINK("#Liste_rouge!A"&amp;_xlfn.XMATCH("CR",Liste_rouge!A:A,2,1),"CR")</f>
        <v>CR</v>
      </c>
      <c r="U20002" s="4" t="str">
        <f>HYPERLINK("#Critères_liste_rouge!A$1","B1 B2ab(ii,iii,iv) C2a(i)")</f>
        <v>B1 B2ab(ii,iii,iv) C2a(i)</v>
      </c>
      <c r="X20002" s="5" t="s">
        <v>374</v>
      </c>
      <c r="AB20002" s="4" t="s">
        <v>93</v>
      </c>
      <c r="AH20002" s="4" t="str">
        <f>HYPERLINK("#Statut_biogéographique!A"&amp;_xlfn.XMATCH("P",Statut_biogéographique!A:A,2,1),"P")</f>
        <v>P</v>
      </c>
      <c r="AM20002" s="4" t="s">
        <v>375</v>
      </c>
      <c r="AN20002" s="4" t="s">
        <v>375</v>
      </c>
      <c r="AO20002" s="4" t="s">
        <v>375</v>
      </c>
      <c r="AP20002" s="4" t="s">
        <v>376</v>
      </c>
      <c r="AR20002" s="4" t="s">
        <v>377</v>
      </c>
    </row>
    <row r="20003" spans="1:44" ht="30">
      <c r="A20003" s="4" t="s">
        <v>24364</v>
      </c>
      <c r="B20003" s="4">
        <v>104329</v>
      </c>
      <c r="D20003" s="5" t="s">
        <v>24949</v>
      </c>
      <c r="E20003" s="6" t="str">
        <f>HYPERLINK("https://inpn.mnhn.fr/espece/cd_nom/104329","Juncus sphaerocarpus Nees, 1818")</f>
        <v>Juncus sphaerocarpus Nees, 1818</v>
      </c>
      <c r="F20003" s="5" t="s">
        <v>24950</v>
      </c>
      <c r="Q20003" s="7" t="str">
        <f>HYPERLINK("#Liste_rouge!A"&amp;_xlfn.XMATCH("LC",Liste_rouge!A:A,2,1),"LC")</f>
        <v>LC</v>
      </c>
      <c r="T20003" s="7" t="str">
        <f>HYPERLINK("#Liste_rouge!A"&amp;_xlfn.XMATCH("VU",Liste_rouge!A:A,2,1),"VU")</f>
        <v>VU</v>
      </c>
      <c r="U20003" s="4" t="str">
        <f>HYPERLINK("#Critères_liste_rouge!A$1","D1")</f>
        <v>D1</v>
      </c>
      <c r="X20003" s="5" t="s">
        <v>374</v>
      </c>
      <c r="AB20003" s="4" t="s">
        <v>93</v>
      </c>
      <c r="AH20003" s="4" t="str">
        <f>HYPERLINK("#Statut_biogéographique!A"&amp;_xlfn.XMATCH("P",Statut_biogéographique!A:A,2,1),"P")</f>
        <v>P</v>
      </c>
      <c r="AM20003" s="4" t="s">
        <v>375</v>
      </c>
      <c r="AN20003" s="4" t="s">
        <v>375</v>
      </c>
      <c r="AO20003" s="4" t="s">
        <v>375</v>
      </c>
      <c r="AP20003" s="4" t="s">
        <v>376</v>
      </c>
      <c r="AR20003" s="4" t="s">
        <v>377</v>
      </c>
    </row>
    <row r="20004" spans="1:44" ht="30">
      <c r="A20004" s="4" t="s">
        <v>24364</v>
      </c>
      <c r="B20004" s="4">
        <v>104334</v>
      </c>
      <c r="D20004" s="5" t="s">
        <v>24951</v>
      </c>
      <c r="E20004" s="6" t="str">
        <f>HYPERLINK("https://inpn.mnhn.fr/espece/cd_nom/104334","Juncus squarrosus L., 1753")</f>
        <v>Juncus squarrosus L., 1753</v>
      </c>
      <c r="F20004" s="5" t="s">
        <v>24952</v>
      </c>
      <c r="Q20004" s="7" t="str">
        <f>HYPERLINK("#Liste_rouge!A"&amp;_xlfn.XMATCH("LC",Liste_rouge!A:A,2,1),"LC")</f>
        <v>LC</v>
      </c>
      <c r="T20004" s="7" t="str">
        <f>HYPERLINK("#Liste_rouge!A"&amp;_xlfn.XMATCH("NT",Liste_rouge!A:A,2,1),"NT")</f>
        <v>NT</v>
      </c>
      <c r="U20004" s="4" t="str">
        <f>HYPERLINK("#Critères_liste_rouge!A$1","pr. B2a")</f>
        <v>pr. B2a</v>
      </c>
      <c r="V20004" s="7" t="str">
        <f>HYPERLINK("#Liste_rouge!A"&amp;_xlfn.XMATCH("NT",Liste_rouge!A:A,2,1),"NT")</f>
        <v>NT</v>
      </c>
      <c r="W20004" s="4" t="str">
        <f>HYPERLINK("#Critères_liste_rouge!A$1","pr. B2ab(iii)")</f>
        <v>pr. B2ab(iii)</v>
      </c>
      <c r="AB20004" s="4" t="s">
        <v>24953</v>
      </c>
      <c r="AH20004" s="4" t="str">
        <f>HYPERLINK("#Statut_biogéographique!A"&amp;_xlfn.XMATCH("P",Statut_biogéographique!A:A,2,1),"P")</f>
        <v>P</v>
      </c>
      <c r="AM20004" s="4" t="s">
        <v>375</v>
      </c>
      <c r="AN20004" s="4" t="s">
        <v>375</v>
      </c>
      <c r="AO20004" s="4" t="s">
        <v>375</v>
      </c>
      <c r="AP20004" s="4" t="s">
        <v>376</v>
      </c>
      <c r="AR20004" s="4" t="s">
        <v>377</v>
      </c>
    </row>
    <row r="20005" spans="1:44" ht="45">
      <c r="A20005" s="4" t="s">
        <v>24364</v>
      </c>
      <c r="B20005" s="4">
        <v>104340</v>
      </c>
      <c r="D20005" s="5" t="s">
        <v>24954</v>
      </c>
      <c r="E20005" s="6" t="str">
        <f>HYPERLINK("https://inpn.mnhn.fr/espece/cd_nom/104340","Juncus subnodulosus Schrank, 1789")</f>
        <v>Juncus subnodulosus Schrank, 1789</v>
      </c>
      <c r="F20005" s="5" t="s">
        <v>24955</v>
      </c>
      <c r="O20005" s="7" t="str">
        <f>HYPERLINK("#Liste_rouge!A"&amp;_xlfn.XMATCH("LC",Liste_rouge!A:A,2,1),"LC")</f>
        <v>LC</v>
      </c>
      <c r="P20005" s="7" t="str">
        <f>HYPERLINK("#Liste_rouge!A"&amp;_xlfn.XMATCH("LC",Liste_rouge!A:A,2,1),"LC")</f>
        <v>LC</v>
      </c>
      <c r="Q20005" s="7" t="str">
        <f>HYPERLINK("#Liste_rouge!A"&amp;_xlfn.XMATCH("LC",Liste_rouge!A:A,2,1),"LC")</f>
        <v>LC</v>
      </c>
      <c r="T20005" s="7" t="str">
        <f>HYPERLINK("#Liste_rouge!A"&amp;_xlfn.XMATCH("LC",Liste_rouge!A:A,2,1),"LC")</f>
        <v>LC</v>
      </c>
      <c r="V20005" s="7" t="str">
        <f>HYPERLINK("#Liste_rouge!A"&amp;_xlfn.XMATCH("DD",Liste_rouge!A:A,2,1),"DD")</f>
        <v>DD</v>
      </c>
      <c r="AB20005" s="4" t="s">
        <v>24956</v>
      </c>
      <c r="AH20005" s="4" t="str">
        <f>HYPERLINK("#Statut_biogéographique!A"&amp;_xlfn.XMATCH("P",Statut_biogéographique!A:A,2,1),"P")</f>
        <v>P</v>
      </c>
      <c r="AM20005" s="4" t="s">
        <v>375</v>
      </c>
      <c r="AN20005" s="4" t="s">
        <v>375</v>
      </c>
      <c r="AO20005" s="4" t="s">
        <v>375</v>
      </c>
      <c r="AP20005" s="4" t="s">
        <v>376</v>
      </c>
      <c r="AR20005" s="4" t="s">
        <v>377</v>
      </c>
    </row>
    <row r="20006" spans="1:44" ht="30">
      <c r="A20006" s="4" t="s">
        <v>24364</v>
      </c>
      <c r="B20006" s="4">
        <v>104349</v>
      </c>
      <c r="D20006" s="5" t="s">
        <v>24957</v>
      </c>
      <c r="E20006" s="6" t="str">
        <f>HYPERLINK("https://inpn.mnhn.fr/espece/cd_nom/104349","Juncus tenageia Ehrh. ex L.f., 1782")</f>
        <v>Juncus tenageia Ehrh. ex L.f., 1782</v>
      </c>
      <c r="F20006" s="5" t="s">
        <v>24958</v>
      </c>
      <c r="O20006" s="7" t="str">
        <f>HYPERLINK("#Liste_rouge!A"&amp;_xlfn.XMATCH("LC",Liste_rouge!A:A,2,1),"LC")</f>
        <v>LC</v>
      </c>
      <c r="P20006" s="7" t="str">
        <f>HYPERLINK("#Liste_rouge!A"&amp;_xlfn.XMATCH("LC",Liste_rouge!A:A,2,1),"LC")</f>
        <v>LC</v>
      </c>
      <c r="Q20006" s="7" t="str">
        <f>HYPERLINK("#Liste_rouge!A"&amp;_xlfn.XMATCH("LC",Liste_rouge!A:A,2,1),"LC")</f>
        <v>LC</v>
      </c>
      <c r="T20006" s="7" t="str">
        <f>HYPERLINK("#Liste_rouge!A"&amp;_xlfn.XMATCH("EN",Liste_rouge!A:A,2,1),"EN")</f>
        <v>EN</v>
      </c>
      <c r="U20006" s="4" t="str">
        <f>HYPERLINK("#Critères_liste_rouge!A$1","B2b(ii,iii,iv)c(iii,iv)")</f>
        <v>B2b(ii,iii,iv)c(iii,iv)</v>
      </c>
      <c r="V20006" s="7" t="str">
        <f>HYPERLINK("#Liste_rouge!A"&amp;_xlfn.XMATCH("DD",Liste_rouge!A:A,2,1),"DD")</f>
        <v>DD</v>
      </c>
      <c r="X20006" s="5" t="s">
        <v>374</v>
      </c>
      <c r="AB20006" s="4" t="s">
        <v>93</v>
      </c>
      <c r="AH20006" s="4" t="str">
        <f>HYPERLINK("#Statut_biogéographique!A"&amp;_xlfn.XMATCH("P",Statut_biogéographique!A:A,2,1),"P")</f>
        <v>P</v>
      </c>
      <c r="AM20006" s="4" t="s">
        <v>375</v>
      </c>
      <c r="AN20006" s="4" t="s">
        <v>375</v>
      </c>
      <c r="AO20006" s="4" t="s">
        <v>375</v>
      </c>
      <c r="AP20006" s="4" t="s">
        <v>376</v>
      </c>
      <c r="AR20006" s="4" t="s">
        <v>377</v>
      </c>
    </row>
    <row r="20007" spans="1:44" ht="90">
      <c r="A20007" s="4" t="s">
        <v>24364</v>
      </c>
      <c r="B20007" s="4">
        <v>104353</v>
      </c>
      <c r="D20007" s="5" t="s">
        <v>24959</v>
      </c>
      <c r="E20007" s="6" t="str">
        <f>HYPERLINK("https://inpn.mnhn.fr/espece/cd_nom/104353","Juncus tenuis Willd., 1799")</f>
        <v>Juncus tenuis Willd., 1799</v>
      </c>
      <c r="F20007" s="5" t="s">
        <v>24960</v>
      </c>
      <c r="Q20007" s="7" t="str">
        <f>HYPERLINK("#Liste_rouge!A"&amp;_xlfn.XMATCH("NA",Liste_rouge!A:A,2,1),"NA")</f>
        <v>NA</v>
      </c>
      <c r="T20007" s="7" t="str">
        <f>HYPERLINK("#Liste_rouge!A"&amp;_xlfn.XMATCH("NA",Liste_rouge!A:A,2,1),"NA")</f>
        <v>NA</v>
      </c>
      <c r="AH20007" s="4" t="str">
        <f>HYPERLINK("#Statut_biogéographique!A"&amp;_xlfn.XMATCH("I",Statut_biogéographique!A:A,2,1),"I")</f>
        <v>I</v>
      </c>
      <c r="AM20007" s="4" t="s">
        <v>375</v>
      </c>
      <c r="AN20007" s="4" t="s">
        <v>375</v>
      </c>
      <c r="AO20007" s="4" t="s">
        <v>375</v>
      </c>
      <c r="AP20007" s="4" t="s">
        <v>376</v>
      </c>
      <c r="AR20007" s="4" t="s">
        <v>377</v>
      </c>
    </row>
    <row r="20008" spans="1:44">
      <c r="A20008" s="4" t="s">
        <v>24364</v>
      </c>
      <c r="B20008" s="4">
        <v>104379</v>
      </c>
      <c r="D20008" s="5" t="s">
        <v>24961</v>
      </c>
      <c r="E20008" s="6" t="str">
        <f>HYPERLINK("https://inpn.mnhn.fr/espece/cd_nom/104379","Juncus x diffusus Hoppe, 1819")</f>
        <v>Juncus x diffusus Hoppe, 1819</v>
      </c>
      <c r="F20008" s="5" t="s">
        <v>24962</v>
      </c>
      <c r="AH20008" s="4" t="str">
        <f>HYPERLINK("#Statut_biogéographique!A"&amp;_xlfn.XMATCH("P",Statut_biogéographique!A:A,2,1),"P")</f>
        <v>P</v>
      </c>
      <c r="AP20008" s="4" t="s">
        <v>376</v>
      </c>
      <c r="AR20008" s="4" t="s">
        <v>377</v>
      </c>
    </row>
    <row r="20009" spans="1:44">
      <c r="A20009" s="4" t="s">
        <v>24364</v>
      </c>
      <c r="B20009" s="4">
        <v>104397</v>
      </c>
      <c r="D20009" s="5">
        <v>104397</v>
      </c>
      <c r="E20009" s="6" t="str">
        <f>HYPERLINK("https://inpn.mnhn.fr/espece/cd_nom/104397","Juniperus communis L., 1753")</f>
        <v>Juniperus communis L., 1753</v>
      </c>
      <c r="F20009" s="5" t="s">
        <v>24963</v>
      </c>
      <c r="O20009" s="7" t="str">
        <f>HYPERLINK("#Liste_rouge!A"&amp;_xlfn.XMATCH("LC",Liste_rouge!A:A,2,1),"LC")</f>
        <v>LC</v>
      </c>
      <c r="P20009" s="7" t="str">
        <f>HYPERLINK("#Liste_rouge!A"&amp;_xlfn.XMATCH("LC",Liste_rouge!A:A,2,1),"LC")</f>
        <v>LC</v>
      </c>
      <c r="Q20009" s="7" t="str">
        <f>HYPERLINK("#Liste_rouge!A"&amp;_xlfn.XMATCH("LC",Liste_rouge!A:A,2,1),"LC")</f>
        <v>LC</v>
      </c>
      <c r="T20009" s="7" t="str">
        <f>HYPERLINK("#Liste_rouge!A"&amp;_xlfn.XMATCH("LC",Liste_rouge!A:A,2,1),"LC")</f>
        <v>LC</v>
      </c>
      <c r="V20009" s="7" t="str">
        <f>HYPERLINK("#Liste_rouge!A"&amp;_xlfn.XMATCH("LC",Liste_rouge!A:A,2,1),"LC")</f>
        <v>LC</v>
      </c>
      <c r="AB20009" s="4" t="s">
        <v>24536</v>
      </c>
      <c r="AH20009" s="4" t="str">
        <f>HYPERLINK("#Statut_biogéographique!A"&amp;_xlfn.XMATCH("P",Statut_biogéographique!A:A,2,1),"P")</f>
        <v>P</v>
      </c>
      <c r="AM20009" s="4" t="s">
        <v>375</v>
      </c>
      <c r="AN20009" s="4" t="s">
        <v>375</v>
      </c>
      <c r="AO20009" s="4" t="s">
        <v>375</v>
      </c>
      <c r="AP20009" s="4" t="s">
        <v>376</v>
      </c>
      <c r="AR20009" s="4" t="s">
        <v>377</v>
      </c>
    </row>
    <row r="20010" spans="1:44" ht="30">
      <c r="A20010" s="4" t="s">
        <v>24364</v>
      </c>
      <c r="B20010" s="4">
        <v>104413</v>
      </c>
      <c r="D20010" s="5" t="s">
        <v>24964</v>
      </c>
      <c r="E20010" s="6" t="str">
        <f>HYPERLINK("https://inpn.mnhn.fr/espece/cd_nom/104413","Juniperus sabina L., 1753")</f>
        <v>Juniperus sabina L., 1753</v>
      </c>
      <c r="F20010" s="5" t="s">
        <v>24965</v>
      </c>
      <c r="O20010" s="7" t="str">
        <f>HYPERLINK("#Liste_rouge!A"&amp;_xlfn.XMATCH("LC",Liste_rouge!A:A,2,1),"LC")</f>
        <v>LC</v>
      </c>
      <c r="P20010" s="7" t="str">
        <f>HYPERLINK("#Liste_rouge!A"&amp;_xlfn.XMATCH("LC",Liste_rouge!A:A,2,1),"LC")</f>
        <v>LC</v>
      </c>
      <c r="Q20010" s="7" t="str">
        <f>HYPERLINK("#Liste_rouge!A"&amp;_xlfn.XMATCH("LC",Liste_rouge!A:A,2,1),"LC")</f>
        <v>LC</v>
      </c>
      <c r="T20010" s="7" t="str">
        <f>HYPERLINK("#Liste_rouge!A"&amp;_xlfn.XMATCH("NA",Liste_rouge!A:A,2,1),"NA")</f>
        <v>NA</v>
      </c>
      <c r="AH20010" s="4" t="str">
        <f>HYPERLINK("#Statut_biogéographique!A"&amp;_xlfn.XMATCH("P",Statut_biogéographique!A:A,2,1),"P")</f>
        <v>P</v>
      </c>
      <c r="AP20010" s="4" t="s">
        <v>376</v>
      </c>
      <c r="AR20010" s="4" t="s">
        <v>377</v>
      </c>
    </row>
    <row r="20011" spans="1:44">
      <c r="A20011" s="4" t="s">
        <v>24364</v>
      </c>
      <c r="B20011" s="4">
        <v>104422</v>
      </c>
      <c r="D20011" s="5" t="s">
        <v>24966</v>
      </c>
      <c r="E20011" s="6" t="str">
        <f>HYPERLINK("https://inpn.mnhn.fr/espece/cd_nom/104422","Juniperus virginiana L., 1753")</f>
        <v>Juniperus virginiana L., 1753</v>
      </c>
      <c r="F20011" s="5" t="s">
        <v>24967</v>
      </c>
      <c r="O20011" s="7" t="str">
        <f>HYPERLINK("#Liste_rouge!A"&amp;_xlfn.XMATCH("LC",Liste_rouge!A:A,2,1),"LC")</f>
        <v>LC</v>
      </c>
      <c r="T20011" s="7" t="str">
        <f>HYPERLINK("#Liste_rouge!A"&amp;_xlfn.XMATCH("NA",Liste_rouge!A:A,2,1),"NA")</f>
        <v>NA</v>
      </c>
      <c r="AH20011" s="4" t="str">
        <f>HYPERLINK("#Statut_biogéographique!A"&amp;_xlfn.XMATCH("M",Statut_biogéographique!A:A,2,1),"M")</f>
        <v>M</v>
      </c>
      <c r="AP20011" s="4" t="s">
        <v>376</v>
      </c>
      <c r="AR20011" s="4" t="s">
        <v>377</v>
      </c>
    </row>
    <row r="20012" spans="1:44" ht="60">
      <c r="A20012" s="4" t="s">
        <v>24364</v>
      </c>
      <c r="B20012" s="4">
        <v>104488</v>
      </c>
      <c r="D20012" s="5" t="s">
        <v>24968</v>
      </c>
      <c r="E20012" s="6" t="str">
        <f>HYPERLINK("https://inpn.mnhn.fr/espece/cd_nom/104488","Kernera saxatilis (L.) Sweet, 1827")</f>
        <v>Kernera saxatilis (L.) Sweet, 1827</v>
      </c>
      <c r="F20012" s="5" t="s">
        <v>24969</v>
      </c>
      <c r="Q20012" s="7" t="str">
        <f>HYPERLINK("#Liste_rouge!A"&amp;_xlfn.XMATCH("LC",Liste_rouge!A:A,2,1),"LC")</f>
        <v>LC</v>
      </c>
      <c r="V20012" s="7" t="str">
        <f>HYPERLINK("#Liste_rouge!A"&amp;_xlfn.XMATCH("LC",Liste_rouge!A:A,2,1),"LC")</f>
        <v>LC</v>
      </c>
      <c r="AH20012" s="4" t="str">
        <f>HYPERLINK("#Statut_biogéographique!A"&amp;_xlfn.XMATCH("P",Statut_biogéographique!A:A,2,1),"P")</f>
        <v>P</v>
      </c>
      <c r="AM20012" s="4" t="s">
        <v>375</v>
      </c>
      <c r="AN20012" s="4" t="s">
        <v>375</v>
      </c>
      <c r="AO20012" s="4" t="s">
        <v>375</v>
      </c>
      <c r="AP20012" s="4" t="s">
        <v>376</v>
      </c>
      <c r="AR20012" s="4" t="s">
        <v>377</v>
      </c>
    </row>
    <row r="20013" spans="1:44">
      <c r="A20013" s="4" t="s">
        <v>24364</v>
      </c>
      <c r="B20013" s="4">
        <v>104493</v>
      </c>
      <c r="D20013" s="5" t="s">
        <v>24970</v>
      </c>
      <c r="E20013" s="6" t="str">
        <f>HYPERLINK("https://inpn.mnhn.fr/espece/cd_nom/104493","Kerria japonica (L.) DC., 1818")</f>
        <v>Kerria japonica (L.) DC., 1818</v>
      </c>
      <c r="F20013" s="5" t="s">
        <v>24971</v>
      </c>
      <c r="Q20013" s="7" t="str">
        <f>HYPERLINK("#Liste_rouge!A"&amp;_xlfn.XMATCH("NA",Liste_rouge!A:A,2,1),"NA")</f>
        <v>NA</v>
      </c>
      <c r="T20013" s="7" t="str">
        <f>HYPERLINK("#Liste_rouge!A"&amp;_xlfn.XMATCH("NA",Liste_rouge!A:A,2,1),"NA")</f>
        <v>NA</v>
      </c>
      <c r="AH20013" s="4" t="str">
        <f>HYPERLINK("#Statut_biogéographique!A"&amp;_xlfn.XMATCH("M",Statut_biogéographique!A:A,2,1),"M")</f>
        <v>M</v>
      </c>
      <c r="AP20013" s="4" t="s">
        <v>376</v>
      </c>
      <c r="AR20013" s="4" t="s">
        <v>377</v>
      </c>
    </row>
    <row r="20014" spans="1:44" ht="30">
      <c r="A20014" s="4" t="s">
        <v>24364</v>
      </c>
      <c r="B20014" s="4">
        <v>104501</v>
      </c>
      <c r="D20014" s="5" t="s">
        <v>24972</v>
      </c>
      <c r="E20014" s="6" t="str">
        <f>HYPERLINK("https://inpn.mnhn.fr/espece/cd_nom/104501","Kickxia commutata (Bernh. ex Rchb.) Fritsch, 1897")</f>
        <v>Kickxia commutata (Bernh. ex Rchb.) Fritsch, 1897</v>
      </c>
      <c r="F20014" s="5" t="s">
        <v>24973</v>
      </c>
      <c r="L20014" s="4" t="str">
        <f>HYPERLINK("#Réglementation!A"&amp;_xlfn.XMATCH("NV1",Réglementation!A:A,2,1),"NV1")</f>
        <v>NV1</v>
      </c>
      <c r="Q20014" s="7" t="str">
        <f>HYPERLINK("#Liste_rouge!A"&amp;_xlfn.XMATCH("LC",Liste_rouge!A:A,2,1),"LC")</f>
        <v>LC</v>
      </c>
      <c r="AH20014" s="4" t="str">
        <f>HYPERLINK("#Statut_biogéographique!A"&amp;_xlfn.XMATCH("P",Statut_biogéographique!A:A,2,1),"P")</f>
        <v>P</v>
      </c>
      <c r="AP20014" s="4" t="s">
        <v>376</v>
      </c>
      <c r="AR20014" s="4" t="s">
        <v>377</v>
      </c>
    </row>
    <row r="20015" spans="1:44" ht="30">
      <c r="A20015" s="4" t="s">
        <v>24364</v>
      </c>
      <c r="B20015" s="4">
        <v>104502</v>
      </c>
      <c r="D20015" s="5" t="s">
        <v>24974</v>
      </c>
      <c r="E20015" s="6" t="str">
        <f>HYPERLINK("https://inpn.mnhn.fr/espece/cd_nom/104502","Kickxia elatine (L.) Dumort., 1827")</f>
        <v>Kickxia elatine (L.) Dumort., 1827</v>
      </c>
      <c r="F20015" s="5" t="s">
        <v>24975</v>
      </c>
      <c r="Q20015" s="7" t="str">
        <f>HYPERLINK("#Liste_rouge!A"&amp;_xlfn.XMATCH("LC",Liste_rouge!A:A,2,1),"LC")</f>
        <v>LC</v>
      </c>
      <c r="T20015" s="7" t="str">
        <f>HYPERLINK("#Liste_rouge!A"&amp;_xlfn.XMATCH("LC",Liste_rouge!A:A,2,1),"LC")</f>
        <v>LC</v>
      </c>
      <c r="V20015" s="7" t="str">
        <f>HYPERLINK("#Liste_rouge!A"&amp;_xlfn.XMATCH("LC",Liste_rouge!A:A,2,1),"LC")</f>
        <v>LC</v>
      </c>
      <c r="AH20015" s="4" t="str">
        <f>HYPERLINK("#Statut_biogéographique!A"&amp;_xlfn.XMATCH("P",Statut_biogéographique!A:A,2,1),"P")</f>
        <v>P</v>
      </c>
      <c r="AM20015" s="4" t="s">
        <v>375</v>
      </c>
      <c r="AN20015" s="4" t="s">
        <v>375</v>
      </c>
      <c r="AO20015" s="4" t="s">
        <v>375</v>
      </c>
      <c r="AP20015" s="4" t="s">
        <v>376</v>
      </c>
      <c r="AR20015" s="4" t="s">
        <v>377</v>
      </c>
    </row>
    <row r="20016" spans="1:44" ht="60">
      <c r="A20016" s="4" t="s">
        <v>24364</v>
      </c>
      <c r="B20016" s="4">
        <v>104506</v>
      </c>
      <c r="D20016" s="5" t="s">
        <v>24976</v>
      </c>
      <c r="E20016" s="6" t="str">
        <f>HYPERLINK("https://inpn.mnhn.fr/espece/cd_nom/104506","Kickxia spuria (L.) Dumort., 1827")</f>
        <v>Kickxia spuria (L.) Dumort., 1827</v>
      </c>
      <c r="F20016" s="5" t="s">
        <v>24977</v>
      </c>
      <c r="Q20016" s="7" t="str">
        <f>HYPERLINK("#Liste_rouge!A"&amp;_xlfn.XMATCH("LC",Liste_rouge!A:A,2,1),"LC")</f>
        <v>LC</v>
      </c>
      <c r="T20016" s="7" t="str">
        <f>HYPERLINK("#Liste_rouge!A"&amp;_xlfn.XMATCH("LC",Liste_rouge!A:A,2,1),"LC (cd_nom 104506) - DD (cd_nom 136998)")</f>
        <v>LC (cd_nom 104506) - DD (cd_nom 136998)</v>
      </c>
      <c r="V20016" s="7" t="str">
        <f>HYPERLINK("#Liste_rouge!A"&amp;_xlfn.XMATCH("LC",Liste_rouge!A:A,2,1),"LC")</f>
        <v>LC</v>
      </c>
      <c r="AH20016" s="4" t="str">
        <f>HYPERLINK("#Statut_biogéographique!A"&amp;_xlfn.XMATCH("P",Statut_biogéographique!A:A,2,1),"P")</f>
        <v>P</v>
      </c>
      <c r="AM20016" s="4" t="s">
        <v>375</v>
      </c>
      <c r="AN20016" s="4" t="s">
        <v>375</v>
      </c>
      <c r="AO20016" s="4" t="s">
        <v>375</v>
      </c>
      <c r="AP20016" s="4" t="s">
        <v>376</v>
      </c>
      <c r="AR20016" s="4" t="s">
        <v>377</v>
      </c>
    </row>
    <row r="20017" spans="1:44" ht="60">
      <c r="A20017" s="4" t="s">
        <v>24364</v>
      </c>
      <c r="B20017" s="4">
        <v>104516</v>
      </c>
      <c r="D20017" s="5" t="s">
        <v>24978</v>
      </c>
      <c r="E20017" s="6" t="str">
        <f>HYPERLINK("https://inpn.mnhn.fr/espece/cd_nom/104516","Knautia arvensis (L.) Coult., 1828")</f>
        <v>Knautia arvensis (L.) Coult., 1828</v>
      </c>
      <c r="F20017" s="5" t="s">
        <v>24979</v>
      </c>
      <c r="Q20017" s="7" t="str">
        <f>HYPERLINK("#Liste_rouge!A"&amp;_xlfn.XMATCH("LC",Liste_rouge!A:A,2,1),"LC")</f>
        <v>LC</v>
      </c>
      <c r="T20017" s="7" t="str">
        <f>HYPERLINK("#Liste_rouge!A"&amp;_xlfn.XMATCH("LC",Liste_rouge!A:A,2,1),"LC")</f>
        <v>LC</v>
      </c>
      <c r="V20017" s="7" t="str">
        <f>HYPERLINK("#Liste_rouge!A"&amp;_xlfn.XMATCH("LC",Liste_rouge!A:A,2,1),"LC")</f>
        <v>LC</v>
      </c>
      <c r="AH20017" s="4" t="str">
        <f>HYPERLINK("#Statut_biogéographique!A"&amp;_xlfn.XMATCH("P",Statut_biogéographique!A:A,2,1),"P")</f>
        <v>P</v>
      </c>
      <c r="AM20017" s="4" t="s">
        <v>375</v>
      </c>
      <c r="AN20017" s="4" t="s">
        <v>375</v>
      </c>
      <c r="AO20017" s="4" t="s">
        <v>375</v>
      </c>
      <c r="AP20017" s="4" t="s">
        <v>376</v>
      </c>
      <c r="AR20017" s="4" t="s">
        <v>377</v>
      </c>
    </row>
    <row r="20018" spans="1:44" ht="30">
      <c r="A20018" s="4" t="s">
        <v>24364</v>
      </c>
      <c r="B20018" s="4">
        <v>104517</v>
      </c>
      <c r="D20018" s="5" t="s">
        <v>24980</v>
      </c>
      <c r="E20018" s="6" t="str">
        <f>HYPERLINK("https://inpn.mnhn.fr/espece/cd_nom/104517","Knautia arvernensis (Briq.) Szabó, 1934")</f>
        <v>Knautia arvernensis (Briq.) Szabó, 1934</v>
      </c>
      <c r="F20018" s="5" t="s">
        <v>24981</v>
      </c>
      <c r="Q20018" s="7" t="str">
        <f>HYPERLINK("#Liste_rouge!A"&amp;_xlfn.XMATCH("LC",Liste_rouge!A:A,2,1),"LC")</f>
        <v>LC</v>
      </c>
      <c r="T20018" s="7" t="str">
        <f>HYPERLINK("#Liste_rouge!A"&amp;_xlfn.XMATCH("CR",Liste_rouge!A:A,2,1),"CR")</f>
        <v>CR</v>
      </c>
      <c r="U20018" s="4" t="str">
        <f>HYPERLINK("#Critères_liste_rouge!A$1","C2a(i)")</f>
        <v>C2a(i)</v>
      </c>
      <c r="X20018" s="5" t="s">
        <v>374</v>
      </c>
      <c r="AB20018" s="4" t="s">
        <v>93</v>
      </c>
      <c r="AH20018" s="4" t="str">
        <f>HYPERLINK("#Statut_biogéographique!A"&amp;_xlfn.XMATCH("P",Statut_biogéographique!A:A,2,1),"P")</f>
        <v>P</v>
      </c>
      <c r="AM20018" s="4" t="s">
        <v>375</v>
      </c>
      <c r="AN20018" s="4" t="s">
        <v>375</v>
      </c>
      <c r="AO20018" s="4" t="s">
        <v>375</v>
      </c>
      <c r="AP20018" s="4" t="s">
        <v>376</v>
      </c>
      <c r="AR20018" s="4" t="s">
        <v>377</v>
      </c>
    </row>
    <row r="20019" spans="1:44" ht="75">
      <c r="A20019" s="4" t="s">
        <v>24364</v>
      </c>
      <c r="B20019" s="4">
        <v>104528</v>
      </c>
      <c r="D20019" s="5" t="s">
        <v>24982</v>
      </c>
      <c r="E20019" s="6" t="str">
        <f>HYPERLINK("https://inpn.mnhn.fr/espece/cd_nom/104528","Knautia dipsacifolia Kreutzer, 1840")</f>
        <v>Knautia dipsacifolia Kreutzer, 1840</v>
      </c>
      <c r="F20019" s="5" t="s">
        <v>24983</v>
      </c>
      <c r="Q20019" s="7" t="str">
        <f>HYPERLINK("#Liste_rouge!A"&amp;_xlfn.XMATCH("LC",Liste_rouge!A:A,2,1),"LC")</f>
        <v>LC</v>
      </c>
      <c r="T20019" s="7" t="str">
        <f>HYPERLINK("#Liste_rouge!A"&amp;_xlfn.XMATCH("VU",Liste_rouge!A:A,2,1),"VU")</f>
        <v>VU</v>
      </c>
      <c r="U20019" s="4" t="str">
        <f>HYPERLINK("#Critères_liste_rouge!A$1","D2")</f>
        <v>D2</v>
      </c>
      <c r="V20019" s="7" t="str">
        <f>HYPERLINK("#Liste_rouge!A"&amp;_xlfn.XMATCH("LC",Liste_rouge!A:A,2,1),"LC")</f>
        <v>LC</v>
      </c>
      <c r="AB20019" s="4" t="s">
        <v>24984</v>
      </c>
      <c r="AH20019" s="4" t="str">
        <f>HYPERLINK("#Statut_biogéographique!A"&amp;_xlfn.XMATCH("P",Statut_biogéographique!A:A,2,1),"P")</f>
        <v>P</v>
      </c>
      <c r="AM20019" s="4" t="s">
        <v>375</v>
      </c>
      <c r="AN20019" s="4" t="s">
        <v>375</v>
      </c>
      <c r="AO20019" s="4" t="s">
        <v>375</v>
      </c>
      <c r="AP20019" s="4" t="s">
        <v>376</v>
      </c>
      <c r="AR20019" s="4" t="s">
        <v>377</v>
      </c>
    </row>
    <row r="20020" spans="1:44">
      <c r="A20020" s="4" t="s">
        <v>24364</v>
      </c>
      <c r="B20020" s="4">
        <v>104532</v>
      </c>
      <c r="D20020" s="5" t="s">
        <v>24985</v>
      </c>
      <c r="E20020" s="6" t="str">
        <f>HYPERLINK("https://inpn.mnhn.fr/espece/cd_nom/104532","Knautia godetii Reut., 1857")</f>
        <v>Knautia godetii Reut., 1857</v>
      </c>
      <c r="F20020" s="5" t="s">
        <v>24986</v>
      </c>
      <c r="Q20020" s="7" t="str">
        <f>HYPERLINK("#Liste_rouge!A"&amp;_xlfn.XMATCH("LC",Liste_rouge!A:A,2,1),"LC")</f>
        <v>LC</v>
      </c>
      <c r="V20020" s="7" t="str">
        <f>HYPERLINK("#Liste_rouge!A"&amp;_xlfn.XMATCH("NT",Liste_rouge!A:A,2,1),"NT")</f>
        <v>NT</v>
      </c>
      <c r="W20020" s="4" t="str">
        <f>HYPERLINK("#Critères_liste_rouge!A$1","pr. B2b(ii,iii)")</f>
        <v>pr. B2b(ii,iii)</v>
      </c>
      <c r="AB20020" s="4" t="s">
        <v>24909</v>
      </c>
      <c r="AH20020" s="4" t="str">
        <f>HYPERLINK("#Statut_biogéographique!A"&amp;_xlfn.XMATCH("P",Statut_biogéographique!A:A,2,1),"P")</f>
        <v>P</v>
      </c>
      <c r="AM20020" s="4" t="s">
        <v>375</v>
      </c>
      <c r="AN20020" s="4" t="s">
        <v>375</v>
      </c>
      <c r="AO20020" s="4" t="s">
        <v>375</v>
      </c>
      <c r="AP20020" s="4" t="s">
        <v>376</v>
      </c>
      <c r="AR20020" s="4" t="s">
        <v>377</v>
      </c>
    </row>
    <row r="20021" spans="1:44" ht="45">
      <c r="A20021" s="4" t="s">
        <v>24364</v>
      </c>
      <c r="B20021" s="4">
        <v>104537</v>
      </c>
      <c r="D20021" s="5" t="s">
        <v>24987</v>
      </c>
      <c r="E20021" s="6" t="str">
        <f>HYPERLINK("https://inpn.mnhn.fr/espece/cd_nom/104537","Knautia integrifolia (L.) Bertol., 1836")</f>
        <v>Knautia integrifolia (L.) Bertol., 1836</v>
      </c>
      <c r="F20021" s="5" t="s">
        <v>24988</v>
      </c>
      <c r="Q20021" s="7" t="str">
        <f>HYPERLINK("#Liste_rouge!A"&amp;_xlfn.XMATCH("LC",Liste_rouge!A:A,2,1),"LC")</f>
        <v>LC</v>
      </c>
      <c r="AH20021" s="4" t="str">
        <f>HYPERLINK("#Statut_biogéographique!A"&amp;_xlfn.XMATCH("P",Statut_biogéographique!A:A,2,1),"P")</f>
        <v>P</v>
      </c>
      <c r="AP20021" s="4" t="s">
        <v>376</v>
      </c>
      <c r="AR20021" s="4" t="s">
        <v>377</v>
      </c>
    </row>
    <row r="20022" spans="1:44">
      <c r="A20022" s="4" t="s">
        <v>24364</v>
      </c>
      <c r="B20022" s="4">
        <v>104568</v>
      </c>
      <c r="D20022" s="5">
        <v>104568</v>
      </c>
      <c r="E20022" s="6" t="str">
        <f>HYPERLINK("https://inpn.mnhn.fr/espece/cd_nom/104568","Knautia x kohleri Briq., 1902")</f>
        <v>Knautia x kohleri Briq., 1902</v>
      </c>
      <c r="F20022" s="5" t="s">
        <v>24989</v>
      </c>
      <c r="AH20022" s="4" t="str">
        <f>HYPERLINK("#Statut_biogéographique!A"&amp;_xlfn.XMATCH("P",Statut_biogéographique!A:A,2,1),"P")</f>
        <v>P</v>
      </c>
      <c r="AP20022" s="4" t="s">
        <v>376</v>
      </c>
      <c r="AR20022" s="4" t="s">
        <v>377</v>
      </c>
    </row>
    <row r="20023" spans="1:44">
      <c r="A20023" s="4" t="s">
        <v>24364</v>
      </c>
      <c r="B20023" s="4">
        <v>104570</v>
      </c>
      <c r="D20023" s="5" t="s">
        <v>24990</v>
      </c>
      <c r="E20023" s="6" t="str">
        <f>HYPERLINK("https://inpn.mnhn.fr/espece/cd_nom/104570","Knautia x sambucifolia (Godet) Briq., 1902")</f>
        <v>Knautia x sambucifolia (Godet) Briq., 1902</v>
      </c>
      <c r="F20023" s="5" t="s">
        <v>24991</v>
      </c>
      <c r="T20023" s="7" t="str">
        <f>HYPERLINK("#Liste_rouge!A"&amp;_xlfn.XMATCH("NE",Liste_rouge!A:A,2,1),"NE")</f>
        <v>NE</v>
      </c>
      <c r="AH20023" s="4" t="str">
        <f>HYPERLINK("#Statut_biogéographique!A"&amp;_xlfn.XMATCH("P",Statut_biogéographique!A:A,2,1),"P")</f>
        <v>P</v>
      </c>
      <c r="AP20023" s="4" t="s">
        <v>376</v>
      </c>
      <c r="AR20023" s="4" t="s">
        <v>377</v>
      </c>
    </row>
    <row r="20024" spans="1:44" ht="90">
      <c r="A20024" s="4" t="s">
        <v>24364</v>
      </c>
      <c r="B20024" s="4">
        <v>104644</v>
      </c>
      <c r="D20024" s="5" t="s">
        <v>24992</v>
      </c>
      <c r="E20024" s="6" t="str">
        <f>HYPERLINK("https://inpn.mnhn.fr/espece/cd_nom/104644","Koeleria macrantha (Ledeb.) Schult., 1824")</f>
        <v>Koeleria macrantha (Ledeb.) Schult., 1824</v>
      </c>
      <c r="F20024" s="5" t="s">
        <v>24993</v>
      </c>
      <c r="Q20024" s="7" t="str">
        <f>HYPERLINK("#Liste_rouge!A"&amp;_xlfn.XMATCH("LC",Liste_rouge!A:A,2,1),"LC")</f>
        <v>LC</v>
      </c>
      <c r="T20024" s="7" t="str">
        <f>HYPERLINK("#Liste_rouge!A"&amp;_xlfn.XMATCH("VU",Liste_rouge!A:A,2,1),"VU")</f>
        <v>VU</v>
      </c>
      <c r="U20024" s="4" t="str">
        <f>HYPERLINK("#Critères_liste_rouge!A$1","C2a(i) D2")</f>
        <v>C2a(i) D2</v>
      </c>
      <c r="V20024" s="7" t="str">
        <f>HYPERLINK("#Liste_rouge!A"&amp;_xlfn.XMATCH("DD",Liste_rouge!A:A,2,1),"DD")</f>
        <v>DD</v>
      </c>
      <c r="X20024" s="5" t="s">
        <v>374</v>
      </c>
      <c r="AB20024" s="4" t="s">
        <v>93</v>
      </c>
      <c r="AH20024" s="4" t="str">
        <f>HYPERLINK("#Statut_biogéographique!A"&amp;_xlfn.XMATCH("P",Statut_biogéographique!A:A,2,1),"P")</f>
        <v>P</v>
      </c>
      <c r="AM20024" s="4" t="s">
        <v>375</v>
      </c>
      <c r="AN20024" s="4" t="s">
        <v>375</v>
      </c>
      <c r="AO20024" s="4" t="s">
        <v>375</v>
      </c>
      <c r="AP20024" s="4" t="s">
        <v>376</v>
      </c>
      <c r="AR20024" s="4" t="s">
        <v>377</v>
      </c>
    </row>
    <row r="20025" spans="1:44" ht="90">
      <c r="A20025" s="4" t="s">
        <v>24364</v>
      </c>
      <c r="B20025" s="4">
        <v>104665</v>
      </c>
      <c r="D20025" s="5" t="s">
        <v>24994</v>
      </c>
      <c r="E20025" s="6" t="str">
        <f>HYPERLINK("https://inpn.mnhn.fr/espece/cd_nom/104665","Koeleria pyramidata (Lam.) P.Beauv., 1812")</f>
        <v>Koeleria pyramidata (Lam.) P.Beauv., 1812</v>
      </c>
      <c r="F20025" s="5" t="s">
        <v>24995</v>
      </c>
      <c r="Q20025" s="7" t="str">
        <f>HYPERLINK("#Liste_rouge!A"&amp;_xlfn.XMATCH("LC",Liste_rouge!A:A,2,1),"LC")</f>
        <v>LC</v>
      </c>
      <c r="T20025" s="7" t="str">
        <f>HYPERLINK("#Liste_rouge!A"&amp;_xlfn.XMATCH("LC",Liste_rouge!A:A,2,1),"LC")</f>
        <v>LC</v>
      </c>
      <c r="V20025" s="7" t="str">
        <f>HYPERLINK("#Liste_rouge!A"&amp;_xlfn.XMATCH("LC",Liste_rouge!A:A,2,1),"LC")</f>
        <v>LC</v>
      </c>
      <c r="AH20025" s="4" t="str">
        <f>HYPERLINK("#Statut_biogéographique!A"&amp;_xlfn.XMATCH("P",Statut_biogéographique!A:A,2,1),"P")</f>
        <v>P</v>
      </c>
      <c r="AM20025" s="4" t="s">
        <v>375</v>
      </c>
      <c r="AN20025" s="4" t="s">
        <v>375</v>
      </c>
      <c r="AO20025" s="4" t="s">
        <v>375</v>
      </c>
      <c r="AP20025" s="4" t="s">
        <v>376</v>
      </c>
      <c r="AR20025" s="4" t="s">
        <v>377</v>
      </c>
    </row>
    <row r="20026" spans="1:44" ht="75">
      <c r="A20026" s="4" t="s">
        <v>24364</v>
      </c>
      <c r="B20026" s="4">
        <v>104680</v>
      </c>
      <c r="D20026" s="5" t="s">
        <v>24996</v>
      </c>
      <c r="E20026" s="6" t="str">
        <f>HYPERLINK("https://inpn.mnhn.fr/espece/cd_nom/104680","Koeleria vallesiana (Honck.) Gaudin, 1808")</f>
        <v>Koeleria vallesiana (Honck.) Gaudin, 1808</v>
      </c>
      <c r="F20026" s="5" t="s">
        <v>24997</v>
      </c>
      <c r="Q20026" s="7" t="str">
        <f>HYPERLINK("#Liste_rouge!A"&amp;_xlfn.XMATCH("LC",Liste_rouge!A:A,2,1),"LC")</f>
        <v>LC</v>
      </c>
      <c r="T20026" s="7" t="str">
        <f>HYPERLINK("#Liste_rouge!A"&amp;_xlfn.XMATCH("LC",Liste_rouge!A:A,2,1),"LC")</f>
        <v>LC</v>
      </c>
      <c r="AB20026" s="4" t="s">
        <v>24855</v>
      </c>
      <c r="AH20026" s="4" t="str">
        <f>HYPERLINK("#Statut_biogéographique!A"&amp;_xlfn.XMATCH("P",Statut_biogéographique!A:A,2,1),"P")</f>
        <v>P</v>
      </c>
      <c r="AM20026" s="4" t="s">
        <v>375</v>
      </c>
      <c r="AN20026" s="4" t="s">
        <v>375</v>
      </c>
      <c r="AO20026" s="4" t="s">
        <v>375</v>
      </c>
      <c r="AP20026" s="4" t="s">
        <v>376</v>
      </c>
      <c r="AR20026" s="4" t="s">
        <v>377</v>
      </c>
    </row>
    <row r="20027" spans="1:44" ht="30">
      <c r="A20027" s="4" t="s">
        <v>24364</v>
      </c>
      <c r="B20027" s="4">
        <v>104715</v>
      </c>
      <c r="D20027" s="5" t="s">
        <v>24998</v>
      </c>
      <c r="E20027" s="6" t="str">
        <f>HYPERLINK("https://inpn.mnhn.fr/espece/cd_nom/104715","Laburnum alpinum (Mill.) Bercht. &amp; J.Presl, 1835")</f>
        <v>Laburnum alpinum (Mill.) Bercht. &amp; J.Presl, 1835</v>
      </c>
      <c r="F20027" s="5" t="s">
        <v>24999</v>
      </c>
      <c r="P20027" s="7" t="str">
        <f>HYPERLINK("#Liste_rouge!A"&amp;_xlfn.XMATCH("LC",Liste_rouge!A:A,2,1),"LC")</f>
        <v>LC</v>
      </c>
      <c r="Q20027" s="7" t="str">
        <f>HYPERLINK("#Liste_rouge!A"&amp;_xlfn.XMATCH("LC",Liste_rouge!A:A,2,1),"LC")</f>
        <v>LC</v>
      </c>
      <c r="V20027" s="7" t="str">
        <f>HYPERLINK("#Liste_rouge!A"&amp;_xlfn.XMATCH("LC",Liste_rouge!A:A,2,1),"LC")</f>
        <v>LC</v>
      </c>
      <c r="AB20027" s="4" t="s">
        <v>24447</v>
      </c>
      <c r="AH20027" s="4" t="str">
        <f>HYPERLINK("#Statut_biogéographique!A"&amp;_xlfn.XMATCH("P",Statut_biogéographique!A:A,2,1),"P")</f>
        <v>P</v>
      </c>
      <c r="AM20027" s="4" t="s">
        <v>375</v>
      </c>
      <c r="AN20027" s="4" t="s">
        <v>375</v>
      </c>
      <c r="AO20027" s="4" t="s">
        <v>375</v>
      </c>
      <c r="AP20027" s="4" t="s">
        <v>376</v>
      </c>
      <c r="AR20027" s="4" t="s">
        <v>377</v>
      </c>
    </row>
    <row r="20028" spans="1:44" ht="30">
      <c r="A20028" s="4" t="s">
        <v>24364</v>
      </c>
      <c r="B20028" s="4">
        <v>104716</v>
      </c>
      <c r="D20028" s="5" t="s">
        <v>25000</v>
      </c>
      <c r="E20028" s="6" t="str">
        <f>HYPERLINK("https://inpn.mnhn.fr/espece/cd_nom/104716","Laburnum anagyroides Medik., 1787")</f>
        <v>Laburnum anagyroides Medik., 1787</v>
      </c>
      <c r="F20028" s="5" t="s">
        <v>25001</v>
      </c>
      <c r="P20028" s="7" t="str">
        <f>HYPERLINK("#Liste_rouge!A"&amp;_xlfn.XMATCH("LC",Liste_rouge!A:A,2,1),"LC")</f>
        <v>LC</v>
      </c>
      <c r="Q20028" s="7" t="str">
        <f>HYPERLINK("#Liste_rouge!A"&amp;_xlfn.XMATCH("LC",Liste_rouge!A:A,2,1),"LC")</f>
        <v>LC</v>
      </c>
      <c r="T20028" s="7" t="str">
        <f>HYPERLINK("#Liste_rouge!A"&amp;_xlfn.XMATCH("LC",Liste_rouge!A:A,2,1),"LC")</f>
        <v>LC</v>
      </c>
      <c r="V20028" s="7" t="str">
        <f>HYPERLINK("#Liste_rouge!A"&amp;_xlfn.XMATCH("LC",Liste_rouge!A:A,2,1),"LC")</f>
        <v>LC</v>
      </c>
      <c r="AH20028" s="4" t="str">
        <f>HYPERLINK("#Statut_biogéographique!A"&amp;_xlfn.XMATCH("I",Statut_biogéographique!A:A,2,1),"I")</f>
        <v>I</v>
      </c>
      <c r="AM20028" s="4" t="s">
        <v>375</v>
      </c>
      <c r="AN20028" s="4" t="s">
        <v>375</v>
      </c>
      <c r="AO20028" s="4" t="s">
        <v>375</v>
      </c>
      <c r="AP20028" s="4" t="s">
        <v>376</v>
      </c>
      <c r="AR20028" s="4" t="s">
        <v>377</v>
      </c>
    </row>
    <row r="20029" spans="1:44" ht="45">
      <c r="A20029" s="4" t="s">
        <v>24364</v>
      </c>
      <c r="B20029" s="4">
        <v>104734</v>
      </c>
      <c r="D20029" s="5" t="s">
        <v>25002</v>
      </c>
      <c r="E20029" s="6" t="str">
        <f>HYPERLINK("https://inpn.mnhn.fr/espece/cd_nom/104734","Lactuca alpina (L.) Benth. &amp; Hook.f., 1876")</f>
        <v>Lactuca alpina (L.) Benth. &amp; Hook.f., 1876</v>
      </c>
      <c r="F20029" s="5" t="s">
        <v>25003</v>
      </c>
      <c r="Q20029" s="7" t="str">
        <f>HYPERLINK("#Liste_rouge!A"&amp;_xlfn.XMATCH("LC",Liste_rouge!A:A,2,1),"LC")</f>
        <v>LC</v>
      </c>
      <c r="V20029" s="7" t="str">
        <f>HYPERLINK("#Liste_rouge!A"&amp;_xlfn.XMATCH("LC",Liste_rouge!A:A,2,1),"LC")</f>
        <v>LC</v>
      </c>
      <c r="X20029" s="5" t="s">
        <v>374</v>
      </c>
      <c r="AB20029" s="4" t="s">
        <v>93</v>
      </c>
      <c r="AH20029" s="4" t="str">
        <f>HYPERLINK("#Statut_biogéographique!A"&amp;_xlfn.XMATCH("P",Statut_biogéographique!A:A,2,1),"P")</f>
        <v>P</v>
      </c>
      <c r="AM20029" s="4" t="s">
        <v>375</v>
      </c>
      <c r="AN20029" s="4" t="s">
        <v>375</v>
      </c>
      <c r="AO20029" s="4" t="s">
        <v>375</v>
      </c>
      <c r="AP20029" s="4" t="s">
        <v>376</v>
      </c>
      <c r="AR20029" s="4" t="s">
        <v>377</v>
      </c>
    </row>
    <row r="20030" spans="1:44" ht="45">
      <c r="A20030" s="4" t="s">
        <v>24364</v>
      </c>
      <c r="B20030" s="4">
        <v>104760</v>
      </c>
      <c r="D20030" s="5" t="s">
        <v>25004</v>
      </c>
      <c r="E20030" s="6" t="str">
        <f>HYPERLINK("https://inpn.mnhn.fr/espece/cd_nom/104760","Lactuca macrophylla (Willd.) A.Gray, 1847")</f>
        <v>Lactuca macrophylla (Willd.) A.Gray, 1847</v>
      </c>
      <c r="F20030" s="5" t="s">
        <v>25005</v>
      </c>
      <c r="P20030" s="7" t="str">
        <f>HYPERLINK("#Liste_rouge!A"&amp;_xlfn.XMATCH("DD",Liste_rouge!A:A,2,1),"DD")</f>
        <v>DD</v>
      </c>
      <c r="Q20030" s="7" t="str">
        <f>HYPERLINK("#Liste_rouge!A"&amp;_xlfn.XMATCH("NA",Liste_rouge!A:A,2,1),"NA")</f>
        <v>NA</v>
      </c>
      <c r="T20030" s="7" t="str">
        <f>HYPERLINK("#Liste_rouge!A"&amp;_xlfn.XMATCH("NA",Liste_rouge!A:A,2,1),"NA")</f>
        <v>NA</v>
      </c>
      <c r="AH20030" s="4" t="str">
        <f>HYPERLINK("#Statut_biogéographique!A"&amp;_xlfn.XMATCH("I",Statut_biogéographique!A:A,2,1),"I")</f>
        <v>I</v>
      </c>
      <c r="AP20030" s="4" t="s">
        <v>376</v>
      </c>
      <c r="AR20030" s="4" t="s">
        <v>377</v>
      </c>
    </row>
    <row r="20031" spans="1:44" ht="30">
      <c r="A20031" s="4" t="s">
        <v>24364</v>
      </c>
      <c r="B20031" s="4">
        <v>104764</v>
      </c>
      <c r="D20031" s="5" t="s">
        <v>25006</v>
      </c>
      <c r="E20031" s="6" t="str">
        <f>HYPERLINK("https://inpn.mnhn.fr/espece/cd_nom/104764","Lactuca perennis L., 1753")</f>
        <v>Lactuca perennis L., 1753</v>
      </c>
      <c r="F20031" s="5" t="s">
        <v>25007</v>
      </c>
      <c r="O20031" s="7" t="str">
        <f>HYPERLINK("#Liste_rouge!A"&amp;_xlfn.XMATCH("DD",Liste_rouge!A:A,2,1),"DD")</f>
        <v>DD</v>
      </c>
      <c r="P20031" s="7" t="str">
        <f>HYPERLINK("#Liste_rouge!A"&amp;_xlfn.XMATCH("DD",Liste_rouge!A:A,2,1),"DD")</f>
        <v>DD</v>
      </c>
      <c r="Q20031" s="7" t="str">
        <f>HYPERLINK("#Liste_rouge!A"&amp;_xlfn.XMATCH("LC",Liste_rouge!A:A,2,1),"LC")</f>
        <v>LC</v>
      </c>
      <c r="T20031" s="7" t="str">
        <f>HYPERLINK("#Liste_rouge!A"&amp;_xlfn.XMATCH("LC",Liste_rouge!A:A,2,1),"LC")</f>
        <v>LC</v>
      </c>
      <c r="V20031" s="7" t="str">
        <f>HYPERLINK("#Liste_rouge!A"&amp;_xlfn.XMATCH("LC",Liste_rouge!A:A,2,1),"LC")</f>
        <v>LC</v>
      </c>
      <c r="AB20031" s="4" t="s">
        <v>24777</v>
      </c>
      <c r="AH20031" s="4" t="str">
        <f>HYPERLINK("#Statut_biogéographique!A"&amp;_xlfn.XMATCH("P",Statut_biogéographique!A:A,2,1),"P")</f>
        <v>P</v>
      </c>
      <c r="AM20031" s="4" t="s">
        <v>375</v>
      </c>
      <c r="AN20031" s="4" t="s">
        <v>375</v>
      </c>
      <c r="AO20031" s="4" t="s">
        <v>375</v>
      </c>
      <c r="AP20031" s="4" t="s">
        <v>376</v>
      </c>
      <c r="AR20031" s="4" t="s">
        <v>377</v>
      </c>
    </row>
    <row r="20032" spans="1:44" ht="30">
      <c r="A20032" s="4" t="s">
        <v>24364</v>
      </c>
      <c r="B20032" s="4">
        <v>104770</v>
      </c>
      <c r="D20032" s="5" t="s">
        <v>25008</v>
      </c>
      <c r="E20032" s="6" t="str">
        <f>HYPERLINK("https://inpn.mnhn.fr/espece/cd_nom/104770","Lactuca saligna L., 1753")</f>
        <v>Lactuca saligna L., 1753</v>
      </c>
      <c r="F20032" s="5" t="s">
        <v>25009</v>
      </c>
      <c r="P20032" s="7" t="str">
        <f>HYPERLINK("#Liste_rouge!A"&amp;_xlfn.XMATCH("LC",Liste_rouge!A:A,2,1),"LC")</f>
        <v>LC</v>
      </c>
      <c r="Q20032" s="7" t="str">
        <f>HYPERLINK("#Liste_rouge!A"&amp;_xlfn.XMATCH("LC",Liste_rouge!A:A,2,1),"LC")</f>
        <v>LC</v>
      </c>
      <c r="T20032" s="7" t="str">
        <f>HYPERLINK("#Liste_rouge!A"&amp;_xlfn.XMATCH("VU",Liste_rouge!A:A,2,1),"VU")</f>
        <v>VU</v>
      </c>
      <c r="U20032" s="4" t="str">
        <f>HYPERLINK("#Critères_liste_rouge!A$1","D2")</f>
        <v>D2</v>
      </c>
      <c r="AB20032" s="4" t="s">
        <v>25010</v>
      </c>
      <c r="AH20032" s="4" t="str">
        <f>HYPERLINK("#Statut_biogéographique!A"&amp;_xlfn.XMATCH("P",Statut_biogéographique!A:A,2,1),"P")</f>
        <v>P</v>
      </c>
      <c r="AM20032" s="4" t="s">
        <v>375</v>
      </c>
      <c r="AN20032" s="4" t="s">
        <v>375</v>
      </c>
      <c r="AO20032" s="4" t="s">
        <v>375</v>
      </c>
      <c r="AP20032" s="4" t="s">
        <v>376</v>
      </c>
      <c r="AR20032" s="4" t="s">
        <v>377</v>
      </c>
    </row>
    <row r="20033" spans="1:44">
      <c r="A20033" s="4" t="s">
        <v>24364</v>
      </c>
      <c r="B20033" s="4">
        <v>104771</v>
      </c>
      <c r="D20033" s="5" t="s">
        <v>25011</v>
      </c>
      <c r="E20033" s="6" t="str">
        <f>HYPERLINK("https://inpn.mnhn.fr/espece/cd_nom/104771","Lactuca sativa L., 1753")</f>
        <v>Lactuca sativa L., 1753</v>
      </c>
      <c r="F20033" s="5" t="s">
        <v>25012</v>
      </c>
      <c r="T20033" s="7" t="str">
        <f>HYPERLINK("#Liste_rouge!A"&amp;_xlfn.XMATCH("NA",Liste_rouge!A:A,2,1),"NA")</f>
        <v>NA</v>
      </c>
      <c r="AH20033" s="4" t="str">
        <f>HYPERLINK("#Statut_biogéographique!A"&amp;_xlfn.XMATCH("M",Statut_biogéographique!A:A,2,1),"M")</f>
        <v>M</v>
      </c>
      <c r="AP20033" s="4" t="s">
        <v>376</v>
      </c>
      <c r="AR20033" s="4" t="s">
        <v>377</v>
      </c>
    </row>
    <row r="20034" spans="1:44" ht="75">
      <c r="A20034" s="4" t="s">
        <v>24364</v>
      </c>
      <c r="B20034" s="4">
        <v>104775</v>
      </c>
      <c r="D20034" s="5" t="s">
        <v>25013</v>
      </c>
      <c r="E20034" s="6" t="str">
        <f>HYPERLINK("https://inpn.mnhn.fr/espece/cd_nom/104775","Lactuca serriola L., 1756")</f>
        <v>Lactuca serriola L., 1756</v>
      </c>
      <c r="F20034" s="5" t="s">
        <v>25014</v>
      </c>
      <c r="P20034" s="7" t="str">
        <f>HYPERLINK("#Liste_rouge!A"&amp;_xlfn.XMATCH("LC",Liste_rouge!A:A,2,1),"LC")</f>
        <v>LC</v>
      </c>
      <c r="Q20034" s="7" t="str">
        <f>HYPERLINK("#Liste_rouge!A"&amp;_xlfn.XMATCH("LC",Liste_rouge!A:A,2,1),"LC")</f>
        <v>LC</v>
      </c>
      <c r="T20034" s="7" t="str">
        <f>HYPERLINK("#Liste_rouge!A"&amp;_xlfn.XMATCH("LC",Liste_rouge!A:A,2,1),"LC")</f>
        <v>LC</v>
      </c>
      <c r="V20034" s="7" t="str">
        <f>HYPERLINK("#Liste_rouge!A"&amp;_xlfn.XMATCH("LC",Liste_rouge!A:A,2,1),"LC")</f>
        <v>LC</v>
      </c>
      <c r="AH20034" s="4" t="str">
        <f>HYPERLINK("#Statut_biogéographique!A"&amp;_xlfn.XMATCH("P",Statut_biogéographique!A:A,2,1),"P")</f>
        <v>P</v>
      </c>
      <c r="AM20034" s="4" t="s">
        <v>375</v>
      </c>
      <c r="AN20034" s="4" t="s">
        <v>375</v>
      </c>
      <c r="AO20034" s="4" t="s">
        <v>375</v>
      </c>
      <c r="AP20034" s="4" t="s">
        <v>376</v>
      </c>
      <c r="AR20034" s="4" t="s">
        <v>377</v>
      </c>
    </row>
    <row r="20035" spans="1:44" ht="30">
      <c r="A20035" s="4" t="s">
        <v>24364</v>
      </c>
      <c r="B20035" s="4">
        <v>104786</v>
      </c>
      <c r="D20035" s="5" t="s">
        <v>25015</v>
      </c>
      <c r="E20035" s="6" t="str">
        <f>HYPERLINK("https://inpn.mnhn.fr/espece/cd_nom/104786","Lactuca viminea (L.) J.Presl &amp; C.Presl, 1819")</f>
        <v>Lactuca viminea (L.) J.Presl &amp; C.Presl, 1819</v>
      </c>
      <c r="F20035" s="5" t="s">
        <v>25016</v>
      </c>
      <c r="P20035" s="7" t="str">
        <f>HYPERLINK("#Liste_rouge!A"&amp;_xlfn.XMATCH("LC",Liste_rouge!A:A,2,1),"LC")</f>
        <v>LC</v>
      </c>
      <c r="Q20035" s="7" t="str">
        <f>HYPERLINK("#Liste_rouge!A"&amp;_xlfn.XMATCH("LC",Liste_rouge!A:A,2,1),"LC")</f>
        <v>LC</v>
      </c>
      <c r="T20035" s="7" t="str">
        <f>HYPERLINK("#Liste_rouge!A"&amp;_xlfn.XMATCH("VU",Liste_rouge!A:A,2,1),"VU")</f>
        <v>VU</v>
      </c>
      <c r="U20035" s="4" t="str">
        <f>HYPERLINK("#Critères_liste_rouge!A$1","C2a(i) D2")</f>
        <v>C2a(i) D2</v>
      </c>
      <c r="X20035" s="5" t="s">
        <v>374</v>
      </c>
      <c r="AB20035" s="4" t="s">
        <v>93</v>
      </c>
      <c r="AH20035" s="4" t="str">
        <f>HYPERLINK("#Statut_biogéographique!A"&amp;_xlfn.XMATCH("P",Statut_biogéographique!A:A,2,1),"P")</f>
        <v>P</v>
      </c>
      <c r="AM20035" s="4" t="s">
        <v>375</v>
      </c>
      <c r="AN20035" s="4" t="s">
        <v>375</v>
      </c>
      <c r="AO20035" s="4" t="s">
        <v>375</v>
      </c>
      <c r="AP20035" s="4" t="s">
        <v>376</v>
      </c>
      <c r="AR20035" s="4" t="s">
        <v>377</v>
      </c>
    </row>
    <row r="20036" spans="1:44" ht="45">
      <c r="A20036" s="4" t="s">
        <v>24364</v>
      </c>
      <c r="B20036" s="4">
        <v>104787</v>
      </c>
      <c r="D20036" s="5" t="s">
        <v>25017</v>
      </c>
      <c r="E20036" s="6" t="str">
        <f>HYPERLINK("https://inpn.mnhn.fr/espece/cd_nom/104787","Lactuca virosa L., 1753")</f>
        <v>Lactuca virosa L., 1753</v>
      </c>
      <c r="F20036" s="5" t="s">
        <v>25018</v>
      </c>
      <c r="P20036" s="7" t="str">
        <f>HYPERLINK("#Liste_rouge!A"&amp;_xlfn.XMATCH("DD",Liste_rouge!A:A,2,1),"DD")</f>
        <v>DD</v>
      </c>
      <c r="Q20036" s="7" t="str">
        <f>HYPERLINK("#Liste_rouge!A"&amp;_xlfn.XMATCH("LC",Liste_rouge!A:A,2,1),"LC")</f>
        <v>LC</v>
      </c>
      <c r="T20036" s="7" t="str">
        <f>HYPERLINK("#Liste_rouge!A"&amp;_xlfn.XMATCH("LC",Liste_rouge!A:A,2,1),"LC")</f>
        <v>LC</v>
      </c>
      <c r="V20036" s="7" t="str">
        <f>HYPERLINK("#Liste_rouge!A"&amp;_xlfn.XMATCH("NT",Liste_rouge!A:A,2,1),"NT")</f>
        <v>NT</v>
      </c>
      <c r="W20036" s="4" t="str">
        <f>HYPERLINK("#Critères_liste_rouge!A$1","pr. D2")</f>
        <v>pr. D2</v>
      </c>
      <c r="AB20036" s="4" t="s">
        <v>25019</v>
      </c>
      <c r="AH20036" s="4" t="str">
        <f>HYPERLINK("#Statut_biogéographique!A"&amp;_xlfn.XMATCH("P",Statut_biogéographique!A:A,2,1),"P")</f>
        <v>P</v>
      </c>
      <c r="AM20036" s="4" t="s">
        <v>375</v>
      </c>
      <c r="AN20036" s="4" t="s">
        <v>375</v>
      </c>
      <c r="AO20036" s="4" t="s">
        <v>375</v>
      </c>
      <c r="AP20036" s="4" t="s">
        <v>376</v>
      </c>
      <c r="AR20036" s="4" t="s">
        <v>377</v>
      </c>
    </row>
    <row r="20037" spans="1:44">
      <c r="A20037" s="4" t="s">
        <v>24364</v>
      </c>
      <c r="B20037" s="4">
        <v>104805</v>
      </c>
      <c r="D20037" s="5" t="s">
        <v>25020</v>
      </c>
      <c r="E20037" s="6" t="str">
        <f>HYPERLINK("https://inpn.mnhn.fr/espece/cd_nom/104805","Lagarosiphon major (Ridl.) Moss, 1928")</f>
        <v>Lagarosiphon major (Ridl.) Moss, 1928</v>
      </c>
      <c r="F20037" s="5" t="s">
        <v>25021</v>
      </c>
      <c r="O20037" s="7" t="str">
        <f>HYPERLINK("#Liste_rouge!A"&amp;_xlfn.XMATCH("LC",Liste_rouge!A:A,2,1),"LC")</f>
        <v>LC</v>
      </c>
      <c r="Q20037" s="7" t="str">
        <f>HYPERLINK("#Liste_rouge!A"&amp;_xlfn.XMATCH("NA",Liste_rouge!A:A,2,1),"NA")</f>
        <v>NA</v>
      </c>
      <c r="T20037" s="7" t="str">
        <f>HYPERLINK("#Liste_rouge!A"&amp;_xlfn.XMATCH("NA",Liste_rouge!A:A,2,1),"NA")</f>
        <v>NA</v>
      </c>
      <c r="AH20037" s="4" t="str">
        <f>HYPERLINK("#Statut_biogéographique!A"&amp;_xlfn.XMATCH("J",Statut_biogéographique!A:A,2,1),"J")</f>
        <v>J</v>
      </c>
      <c r="AL20037" s="5" t="str">
        <f>HYPERLINK("#Réglementation!A"&amp;_xlfn.XMATCH("FRnoEEEV",Réglementation!A:A,2,1),"FRnoEEEV - EEEUE")</f>
        <v>FRnoEEEV - EEEUE</v>
      </c>
      <c r="AP20037" s="4" t="s">
        <v>376</v>
      </c>
      <c r="AR20037" s="4" t="s">
        <v>377</v>
      </c>
    </row>
    <row r="20038" spans="1:44" ht="30">
      <c r="A20038" s="4" t="s">
        <v>24364</v>
      </c>
      <c r="B20038" s="4">
        <v>104841</v>
      </c>
      <c r="D20038" s="5" t="s">
        <v>25022</v>
      </c>
      <c r="E20038" s="6" t="str">
        <f>HYPERLINK("https://inpn.mnhn.fr/espece/cd_nom/104841","Lagurus ovatus L., 1753")</f>
        <v>Lagurus ovatus L., 1753</v>
      </c>
      <c r="F20038" s="5" t="s">
        <v>25023</v>
      </c>
      <c r="Q20038" s="7" t="str">
        <f>HYPERLINK("#Liste_rouge!A"&amp;_xlfn.XMATCH("LC",Liste_rouge!A:A,2,1),"LC")</f>
        <v>LC</v>
      </c>
      <c r="T20038" s="7" t="str">
        <f>HYPERLINK("#Liste_rouge!A"&amp;_xlfn.XMATCH("NA",Liste_rouge!A:A,2,1),"NA")</f>
        <v>NA</v>
      </c>
      <c r="AH20038" s="4" t="str">
        <f>HYPERLINK("#Statut_biogéographique!A"&amp;_xlfn.XMATCH("P",Statut_biogéographique!A:A,2,1),"P")</f>
        <v>P</v>
      </c>
      <c r="AP20038" s="4" t="s">
        <v>376</v>
      </c>
      <c r="AR20038" s="4" t="s">
        <v>377</v>
      </c>
    </row>
    <row r="20039" spans="1:44" ht="30">
      <c r="A20039" s="4" t="s">
        <v>24364</v>
      </c>
      <c r="B20039" s="4">
        <v>104854</v>
      </c>
      <c r="D20039" s="5" t="s">
        <v>25024</v>
      </c>
      <c r="E20039" s="6" t="str">
        <f>HYPERLINK("https://inpn.mnhn.fr/espece/cd_nom/104854","Lamium album L., 1753")</f>
        <v>Lamium album L., 1753</v>
      </c>
      <c r="F20039" s="5" t="s">
        <v>25025</v>
      </c>
      <c r="P20039" s="7" t="str">
        <f>HYPERLINK("#Liste_rouge!A"&amp;_xlfn.XMATCH("LC",Liste_rouge!A:A,2,1),"LC")</f>
        <v>LC</v>
      </c>
      <c r="Q20039" s="7" t="str">
        <f>HYPERLINK("#Liste_rouge!A"&amp;_xlfn.XMATCH("LC",Liste_rouge!A:A,2,1),"LC")</f>
        <v>LC</v>
      </c>
      <c r="T20039" s="7" t="str">
        <f>HYPERLINK("#Liste_rouge!A"&amp;_xlfn.XMATCH("LC",Liste_rouge!A:A,2,1),"LC")</f>
        <v>LC</v>
      </c>
      <c r="V20039" s="7" t="str">
        <f>HYPERLINK("#Liste_rouge!A"&amp;_xlfn.XMATCH("LC",Liste_rouge!A:A,2,1),"LC")</f>
        <v>LC</v>
      </c>
      <c r="AH20039" s="4" t="str">
        <f>HYPERLINK("#Statut_biogéographique!A"&amp;_xlfn.XMATCH("P",Statut_biogéographique!A:A,2,1),"P")</f>
        <v>P</v>
      </c>
      <c r="AM20039" s="4" t="s">
        <v>375</v>
      </c>
      <c r="AN20039" s="4" t="s">
        <v>375</v>
      </c>
      <c r="AO20039" s="4" t="s">
        <v>375</v>
      </c>
      <c r="AP20039" s="4" t="s">
        <v>376</v>
      </c>
      <c r="AR20039" s="4" t="s">
        <v>377</v>
      </c>
    </row>
    <row r="20040" spans="1:44" ht="45">
      <c r="A20040" s="4" t="s">
        <v>24364</v>
      </c>
      <c r="B20040" s="4">
        <v>104855</v>
      </c>
      <c r="D20040" s="5" t="s">
        <v>25026</v>
      </c>
      <c r="E20040" s="6" t="str">
        <f>HYPERLINK("https://inpn.mnhn.fr/espece/cd_nom/104855","Lamium amplexicaule L., 1753")</f>
        <v>Lamium amplexicaule L., 1753</v>
      </c>
      <c r="F20040" s="5" t="s">
        <v>25027</v>
      </c>
      <c r="Q20040" s="7" t="str">
        <f>HYPERLINK("#Liste_rouge!A"&amp;_xlfn.XMATCH("LC",Liste_rouge!A:A,2,1),"LC")</f>
        <v>LC</v>
      </c>
      <c r="T20040" s="7" t="str">
        <f>HYPERLINK("#Liste_rouge!A"&amp;_xlfn.XMATCH("LC",Liste_rouge!A:A,2,1),"LC")</f>
        <v>LC</v>
      </c>
      <c r="V20040" s="7" t="str">
        <f>HYPERLINK("#Liste_rouge!A"&amp;_xlfn.XMATCH("LC",Liste_rouge!A:A,2,1),"LC")</f>
        <v>LC</v>
      </c>
      <c r="AH20040" s="4" t="str">
        <f>HYPERLINK("#Statut_biogéographique!A"&amp;_xlfn.XMATCH("P",Statut_biogéographique!A:A,2,1),"P")</f>
        <v>P</v>
      </c>
      <c r="AM20040" s="4" t="s">
        <v>375</v>
      </c>
      <c r="AN20040" s="4" t="s">
        <v>375</v>
      </c>
      <c r="AO20040" s="4" t="s">
        <v>375</v>
      </c>
      <c r="AP20040" s="4" t="s">
        <v>376</v>
      </c>
      <c r="AR20040" s="4" t="s">
        <v>377</v>
      </c>
    </row>
    <row r="20041" spans="1:44" ht="45">
      <c r="A20041" s="4" t="s">
        <v>24364</v>
      </c>
      <c r="B20041" s="4">
        <v>104876</v>
      </c>
      <c r="D20041" s="5" t="s">
        <v>25028</v>
      </c>
      <c r="E20041" s="6" t="str">
        <f>HYPERLINK("https://inpn.mnhn.fr/espece/cd_nom/104876","Lamium galeobdolon (L.) L., 1759")</f>
        <v>Lamium galeobdolon (L.) L., 1759</v>
      </c>
      <c r="F20041" s="5" t="s">
        <v>25029</v>
      </c>
      <c r="Q20041" s="7" t="str">
        <f>HYPERLINK("#Liste_rouge!A"&amp;_xlfn.XMATCH("LC",Liste_rouge!A:A,2,1),"LC")</f>
        <v>LC</v>
      </c>
      <c r="T20041" s="7" t="str">
        <f>HYPERLINK("#Liste_rouge!A"&amp;_xlfn.XMATCH("LC",Liste_rouge!A:A,2,1),"LC")</f>
        <v>LC</v>
      </c>
      <c r="V20041" s="7" t="str">
        <f>HYPERLINK("#Liste_rouge!A"&amp;_xlfn.XMATCH("LC",Liste_rouge!A:A,2,1),"LC")</f>
        <v>LC</v>
      </c>
      <c r="AH20041" s="4" t="str">
        <f>HYPERLINK("#Statut_biogéographique!A"&amp;_xlfn.XMATCH("P",Statut_biogéographique!A:A,2,1),"P")</f>
        <v>P</v>
      </c>
      <c r="AM20041" s="4" t="s">
        <v>375</v>
      </c>
      <c r="AN20041" s="4" t="s">
        <v>375</v>
      </c>
      <c r="AO20041" s="4" t="s">
        <v>375</v>
      </c>
      <c r="AP20041" s="4" t="s">
        <v>376</v>
      </c>
      <c r="AR20041" s="4" t="s">
        <v>377</v>
      </c>
    </row>
    <row r="20042" spans="1:44" ht="30">
      <c r="A20042" s="4" t="s">
        <v>24364</v>
      </c>
      <c r="B20042" s="4">
        <v>104879</v>
      </c>
      <c r="D20042" s="5" t="s">
        <v>25030</v>
      </c>
      <c r="E20042" s="6" t="str">
        <f>HYPERLINK("https://inpn.mnhn.fr/espece/cd_nom/104879","Lamium hybridum Vill., 1786")</f>
        <v>Lamium hybridum Vill., 1786</v>
      </c>
      <c r="F20042" s="5" t="s">
        <v>25031</v>
      </c>
      <c r="Q20042" s="7" t="str">
        <f>HYPERLINK("#Liste_rouge!A"&amp;_xlfn.XMATCH("LC",Liste_rouge!A:A,2,1),"LC")</f>
        <v>LC</v>
      </c>
      <c r="T20042" s="7" t="str">
        <f>HYPERLINK("#Liste_rouge!A"&amp;_xlfn.XMATCH("LC",Liste_rouge!A:A,2,1),"LC")</f>
        <v>LC</v>
      </c>
      <c r="V20042" s="7" t="str">
        <f>HYPERLINK("#Liste_rouge!A"&amp;_xlfn.XMATCH("LC",Liste_rouge!A:A,2,1),"LC")</f>
        <v>LC</v>
      </c>
      <c r="AH20042" s="4" t="str">
        <f>HYPERLINK("#Statut_biogéographique!A"&amp;_xlfn.XMATCH("P",Statut_biogéographique!A:A,2,1),"P")</f>
        <v>P</v>
      </c>
      <c r="AM20042" s="4" t="s">
        <v>375</v>
      </c>
      <c r="AN20042" s="4" t="s">
        <v>375</v>
      </c>
      <c r="AO20042" s="4" t="s">
        <v>375</v>
      </c>
      <c r="AP20042" s="4" t="s">
        <v>376</v>
      </c>
      <c r="AR20042" s="4" t="s">
        <v>377</v>
      </c>
    </row>
    <row r="20043" spans="1:44" ht="60">
      <c r="A20043" s="4" t="s">
        <v>24364</v>
      </c>
      <c r="B20043" s="4">
        <v>104889</v>
      </c>
      <c r="D20043" s="5" t="s">
        <v>25032</v>
      </c>
      <c r="E20043" s="6" t="str">
        <f>HYPERLINK("https://inpn.mnhn.fr/espece/cd_nom/104889","Lamium maculatum (L.) L., 1763")</f>
        <v>Lamium maculatum (L.) L., 1763</v>
      </c>
      <c r="F20043" s="5" t="s">
        <v>25033</v>
      </c>
      <c r="Q20043" s="7" t="str">
        <f>HYPERLINK("#Liste_rouge!A"&amp;_xlfn.XMATCH("LC",Liste_rouge!A:A,2,1),"LC")</f>
        <v>LC</v>
      </c>
      <c r="T20043" s="7" t="str">
        <f>HYPERLINK("#Liste_rouge!A"&amp;_xlfn.XMATCH("NE",Liste_rouge!A:A,2,1),"NE (cd_nom 104913) - LC (cd_nom 104889)")</f>
        <v>NE (cd_nom 104913) - LC (cd_nom 104889)</v>
      </c>
      <c r="V20043" s="7" t="str">
        <f>HYPERLINK("#Liste_rouge!A"&amp;_xlfn.XMATCH("LC",Liste_rouge!A:A,2,1),"LC")</f>
        <v>LC</v>
      </c>
      <c r="AH20043" s="4" t="str">
        <f>HYPERLINK("#Statut_biogéographique!A"&amp;_xlfn.XMATCH("P",Statut_biogéographique!A:A,2,1),"P")</f>
        <v>P</v>
      </c>
      <c r="AM20043" s="4" t="s">
        <v>375</v>
      </c>
      <c r="AN20043" s="4" t="s">
        <v>375</v>
      </c>
      <c r="AO20043" s="4" t="s">
        <v>375</v>
      </c>
      <c r="AP20043" s="4" t="s">
        <v>376</v>
      </c>
      <c r="AR20043" s="4" t="s">
        <v>377</v>
      </c>
    </row>
    <row r="20044" spans="1:44" ht="30">
      <c r="A20044" s="4" t="s">
        <v>24364</v>
      </c>
      <c r="B20044" s="4">
        <v>104903</v>
      </c>
      <c r="D20044" s="5" t="s">
        <v>25034</v>
      </c>
      <c r="E20044" s="6" t="str">
        <f>HYPERLINK("https://inpn.mnhn.fr/espece/cd_nom/104903","Lamium purpureum L., 1753")</f>
        <v>Lamium purpureum L., 1753</v>
      </c>
      <c r="F20044" s="5" t="s">
        <v>25035</v>
      </c>
      <c r="Q20044" s="7" t="str">
        <f>HYPERLINK("#Liste_rouge!A"&amp;_xlfn.XMATCH("LC",Liste_rouge!A:A,2,1),"LC")</f>
        <v>LC</v>
      </c>
      <c r="T20044" s="7" t="str">
        <f>HYPERLINK("#Liste_rouge!A"&amp;_xlfn.XMATCH("LC",Liste_rouge!A:A,2,1),"LC")</f>
        <v>LC</v>
      </c>
      <c r="V20044" s="7" t="str">
        <f>HYPERLINK("#Liste_rouge!A"&amp;_xlfn.XMATCH("LC",Liste_rouge!A:A,2,1),"LC")</f>
        <v>LC</v>
      </c>
      <c r="AH20044" s="4" t="str">
        <f>HYPERLINK("#Statut_biogéographique!A"&amp;_xlfn.XMATCH("P",Statut_biogéographique!A:A,2,1),"P")</f>
        <v>P</v>
      </c>
      <c r="AM20044" s="4" t="s">
        <v>375</v>
      </c>
      <c r="AN20044" s="4" t="s">
        <v>375</v>
      </c>
      <c r="AO20044" s="4" t="s">
        <v>375</v>
      </c>
      <c r="AP20044" s="4" t="s">
        <v>376</v>
      </c>
      <c r="AR20044" s="4" t="s">
        <v>377</v>
      </c>
    </row>
    <row r="20045" spans="1:44" ht="60">
      <c r="A20045" s="4" t="s">
        <v>24364</v>
      </c>
      <c r="B20045" s="4">
        <v>105010</v>
      </c>
      <c r="D20045" s="5" t="s">
        <v>25036</v>
      </c>
      <c r="E20045" s="6" t="str">
        <f>HYPERLINK("https://inpn.mnhn.fr/espece/cd_nom/105010","Lappula squarrosa (Retz.) Dumort., 1827")</f>
        <v>Lappula squarrosa (Retz.) Dumort., 1827</v>
      </c>
      <c r="F20045" s="5" t="s">
        <v>25037</v>
      </c>
      <c r="Q20045" s="7" t="str">
        <f>HYPERLINK("#Liste_rouge!A"&amp;_xlfn.XMATCH("LC",Liste_rouge!A:A,2,1),"LC")</f>
        <v>LC</v>
      </c>
      <c r="T20045" s="7" t="str">
        <f>HYPERLINK("#Liste_rouge!A"&amp;_xlfn.XMATCH("RE",Liste_rouge!A:A,2,1),"RE")</f>
        <v>RE</v>
      </c>
      <c r="V20045" s="7" t="str">
        <f>HYPERLINK("#Liste_rouge!A"&amp;_xlfn.XMATCH("DD",Liste_rouge!A:A,2,1),"DD")</f>
        <v>DD</v>
      </c>
      <c r="AH20045" s="4" t="str">
        <f>HYPERLINK("#Statut_biogéographique!A"&amp;_xlfn.XMATCH("P",Statut_biogéographique!A:A,2,1),"P")</f>
        <v>P</v>
      </c>
      <c r="AM20045" s="4" t="s">
        <v>375</v>
      </c>
      <c r="AN20045" s="4" t="s">
        <v>375</v>
      </c>
      <c r="AO20045" s="4" t="s">
        <v>375</v>
      </c>
      <c r="AP20045" s="4" t="s">
        <v>376</v>
      </c>
      <c r="AR20045" s="4" t="s">
        <v>377</v>
      </c>
    </row>
    <row r="20046" spans="1:44" ht="30">
      <c r="A20046" s="4" t="s">
        <v>24364</v>
      </c>
      <c r="B20046" s="4">
        <v>105017</v>
      </c>
      <c r="D20046" s="5" t="s">
        <v>25038</v>
      </c>
      <c r="E20046" s="6" t="str">
        <f>HYPERLINK("https://inpn.mnhn.fr/espece/cd_nom/105017","Lapsana communis L., 1753")</f>
        <v>Lapsana communis L., 1753</v>
      </c>
      <c r="F20046" s="5" t="s">
        <v>25039</v>
      </c>
      <c r="Q20046" s="7" t="str">
        <f>HYPERLINK("#Liste_rouge!A"&amp;_xlfn.XMATCH("LC",Liste_rouge!A:A,2,1),"LC")</f>
        <v>LC</v>
      </c>
      <c r="T20046" s="7" t="str">
        <f>HYPERLINK("#Liste_rouge!A"&amp;_xlfn.XMATCH("LC",Liste_rouge!A:A,2,1),"LC")</f>
        <v>LC</v>
      </c>
      <c r="V20046" s="7" t="str">
        <f>HYPERLINK("#Liste_rouge!A"&amp;_xlfn.XMATCH("LC",Liste_rouge!A:A,2,1),"LC")</f>
        <v>LC</v>
      </c>
      <c r="AH20046" s="4" t="str">
        <f>HYPERLINK("#Statut_biogéographique!A"&amp;_xlfn.XMATCH("P",Statut_biogéographique!A:A,2,1),"P")</f>
        <v>P</v>
      </c>
      <c r="AM20046" s="4" t="s">
        <v>375</v>
      </c>
      <c r="AN20046" s="4" t="s">
        <v>375</v>
      </c>
      <c r="AO20046" s="4" t="s">
        <v>375</v>
      </c>
      <c r="AP20046" s="4" t="s">
        <v>376</v>
      </c>
      <c r="AR20046" s="4" t="s">
        <v>377</v>
      </c>
    </row>
    <row r="20047" spans="1:44" ht="30">
      <c r="A20047" s="4" t="s">
        <v>24364</v>
      </c>
      <c r="B20047" s="4">
        <v>105042</v>
      </c>
      <c r="D20047" s="5" t="s">
        <v>25040</v>
      </c>
      <c r="E20047" s="6" t="str">
        <f>HYPERLINK("https://inpn.mnhn.fr/espece/cd_nom/105042","Larix decidua Mill., 1768")</f>
        <v>Larix decidua Mill., 1768</v>
      </c>
      <c r="F20047" s="5" t="s">
        <v>25041</v>
      </c>
      <c r="O20047" s="7" t="str">
        <f>HYPERLINK("#Liste_rouge!A"&amp;_xlfn.XMATCH("LC",Liste_rouge!A:A,2,1),"LC")</f>
        <v>LC</v>
      </c>
      <c r="P20047" s="7" t="str">
        <f>HYPERLINK("#Liste_rouge!A"&amp;_xlfn.XMATCH("LC",Liste_rouge!A:A,2,1),"LC")</f>
        <v>LC</v>
      </c>
      <c r="Q20047" s="7" t="str">
        <f>HYPERLINK("#Liste_rouge!A"&amp;_xlfn.XMATCH("LC",Liste_rouge!A:A,2,1),"LC")</f>
        <v>LC</v>
      </c>
      <c r="T20047" s="7" t="str">
        <f>HYPERLINK("#Liste_rouge!A"&amp;_xlfn.XMATCH("NA",Liste_rouge!A:A,2,1),"NA")</f>
        <v>NA</v>
      </c>
      <c r="AH20047" s="4" t="str">
        <f>HYPERLINK("#Statut_biogéographique!A"&amp;_xlfn.XMATCH("P",Statut_biogéographique!A:A,2,1),"P")</f>
        <v>P</v>
      </c>
      <c r="AP20047" s="4" t="s">
        <v>376</v>
      </c>
      <c r="AR20047" s="4" t="s">
        <v>377</v>
      </c>
    </row>
    <row r="20048" spans="1:44">
      <c r="A20048" s="4" t="s">
        <v>24364</v>
      </c>
      <c r="B20048" s="4">
        <v>105044</v>
      </c>
      <c r="D20048" s="5" t="s">
        <v>25042</v>
      </c>
      <c r="E20048" s="6" t="str">
        <f>HYPERLINK("https://inpn.mnhn.fr/espece/cd_nom/105044","Larix kaempferi (Lindl.) Carrière, 1856")</f>
        <v>Larix kaempferi (Lindl.) Carrière, 1856</v>
      </c>
      <c r="F20048" s="5" t="s">
        <v>25043</v>
      </c>
      <c r="O20048" s="7" t="str">
        <f>HYPERLINK("#Liste_rouge!A"&amp;_xlfn.XMATCH("LC",Liste_rouge!A:A,2,1),"LC")</f>
        <v>LC</v>
      </c>
      <c r="Q20048" s="7" t="str">
        <f>HYPERLINK("#Liste_rouge!A"&amp;_xlfn.XMATCH("NA",Liste_rouge!A:A,2,1),"NA")</f>
        <v>NA</v>
      </c>
      <c r="T20048" s="7" t="str">
        <f>HYPERLINK("#Liste_rouge!A"&amp;_xlfn.XMATCH("NA",Liste_rouge!A:A,2,1),"NA")</f>
        <v>NA</v>
      </c>
      <c r="AH20048" s="4" t="str">
        <f>HYPERLINK("#Statut_biogéographique!A"&amp;_xlfn.XMATCH("M",Statut_biogéographique!A:A,2,1),"M")</f>
        <v>M</v>
      </c>
      <c r="AP20048" s="4" t="s">
        <v>376</v>
      </c>
      <c r="AR20048" s="4" t="s">
        <v>377</v>
      </c>
    </row>
    <row r="20049" spans="1:44">
      <c r="A20049" s="4" t="s">
        <v>24364</v>
      </c>
      <c r="B20049" s="4">
        <v>105050</v>
      </c>
      <c r="D20049" s="5" t="s">
        <v>25044</v>
      </c>
      <c r="E20049" s="6" t="str">
        <f>HYPERLINK("https://inpn.mnhn.fr/espece/cd_nom/105050","Larix x marschlinsii Coaz, 1917")</f>
        <v>Larix x marschlinsii Coaz, 1917</v>
      </c>
      <c r="F20049" s="5" t="s">
        <v>25045</v>
      </c>
      <c r="T20049" s="7" t="str">
        <f>HYPERLINK("#Liste_rouge!A"&amp;_xlfn.XMATCH("NA",Liste_rouge!A:A,2,1),"NA")</f>
        <v>NA</v>
      </c>
      <c r="AH20049" s="4" t="str">
        <f>HYPERLINK("#Statut_biogéographique!A"&amp;_xlfn.XMATCH("M",Statut_biogéographique!A:A,2,1),"M")</f>
        <v>M</v>
      </c>
      <c r="AP20049" s="4" t="s">
        <v>376</v>
      </c>
      <c r="AR20049" s="4" t="s">
        <v>377</v>
      </c>
    </row>
    <row r="20050" spans="1:44" ht="30">
      <c r="A20050" s="4" t="s">
        <v>24364</v>
      </c>
      <c r="B20050" s="4">
        <v>105055</v>
      </c>
      <c r="D20050" s="5" t="s">
        <v>25046</v>
      </c>
      <c r="E20050" s="6" t="str">
        <f>HYPERLINK("https://inpn.mnhn.fr/espece/cd_nom/105055","Laser trilobum (L.) Borkh. ex G.Gaertn., B.Mey. &amp; Scherb., 1799")</f>
        <v>Laser trilobum (L.) Borkh. ex G.Gaertn., B.Mey. &amp; Scherb., 1799</v>
      </c>
      <c r="F20050" s="5" t="s">
        <v>25047</v>
      </c>
      <c r="L20050" s="4" t="str">
        <f>HYPERLINK("#Réglementation!A"&amp;_xlfn.XMATCH("NV1",Réglementation!A:A,2,1),"NV1")</f>
        <v>NV1</v>
      </c>
      <c r="Q20050" s="7" t="str">
        <f>HYPERLINK("#Liste_rouge!A"&amp;_xlfn.XMATCH("VU",Liste_rouge!A:A,2,1),"VU")</f>
        <v>VU</v>
      </c>
      <c r="AH20050" s="4" t="str">
        <f>HYPERLINK("#Statut_biogéographique!A"&amp;_xlfn.XMATCH("P",Statut_biogéographique!A:A,2,1),"P")</f>
        <v>P</v>
      </c>
      <c r="AP20050" s="4" t="s">
        <v>389</v>
      </c>
      <c r="AR20050" s="4" t="s">
        <v>377</v>
      </c>
    </row>
    <row r="20051" spans="1:44" ht="45">
      <c r="A20051" s="4" t="s">
        <v>24364</v>
      </c>
      <c r="B20051" s="4">
        <v>105071</v>
      </c>
      <c r="D20051" s="5" t="s">
        <v>25048</v>
      </c>
      <c r="E20051" s="6" t="str">
        <f>HYPERLINK("https://inpn.mnhn.fr/espece/cd_nom/105071","Laserpitium gallicum L., 1753")</f>
        <v>Laserpitium gallicum L., 1753</v>
      </c>
      <c r="F20051" s="5" t="s">
        <v>25049</v>
      </c>
      <c r="M20051" s="4" t="str">
        <f>HYPERLINK("#Réglementation!A"&amp;_xlfn.XMATCH("RV26",Réglementation!A:A,2,1),"RV26")</f>
        <v>RV26</v>
      </c>
      <c r="Q20051" s="7" t="str">
        <f>HYPERLINK("#Liste_rouge!A"&amp;_xlfn.XMATCH("LC",Liste_rouge!A:A,2,1),"LC")</f>
        <v>LC</v>
      </c>
      <c r="T20051" s="7" t="str">
        <f>HYPERLINK("#Liste_rouge!A"&amp;_xlfn.XMATCH("VU",Liste_rouge!A:A,2,1),"VU")</f>
        <v>VU</v>
      </c>
      <c r="U20051" s="4" t="str">
        <f>HYPERLINK("#Critères_liste_rouge!A$1","D2")</f>
        <v>D2</v>
      </c>
      <c r="X20051" s="5" t="s">
        <v>374</v>
      </c>
      <c r="AB20051" s="4" t="s">
        <v>93</v>
      </c>
      <c r="AH20051" s="4" t="str">
        <f>HYPERLINK("#Statut_biogéographique!A"&amp;_xlfn.XMATCH("P",Statut_biogéographique!A:A,2,1),"P")</f>
        <v>P</v>
      </c>
      <c r="AM20051" s="4" t="s">
        <v>375</v>
      </c>
      <c r="AN20051" s="4" t="s">
        <v>375</v>
      </c>
      <c r="AO20051" s="4" t="s">
        <v>375</v>
      </c>
      <c r="AP20051" s="4" t="s">
        <v>376</v>
      </c>
      <c r="AR20051" s="4" t="s">
        <v>377</v>
      </c>
    </row>
    <row r="20052" spans="1:44" ht="45">
      <c r="A20052" s="4" t="s">
        <v>24364</v>
      </c>
      <c r="B20052" s="4">
        <v>105076</v>
      </c>
      <c r="D20052" s="5" t="s">
        <v>25050</v>
      </c>
      <c r="E20052" s="6" t="str">
        <f>HYPERLINK("https://inpn.mnhn.fr/espece/cd_nom/105076","Laserpitium latifolium L., 1753")</f>
        <v>Laserpitium latifolium L., 1753</v>
      </c>
      <c r="F20052" s="5" t="s">
        <v>25051</v>
      </c>
      <c r="Q20052" s="7" t="str">
        <f>HYPERLINK("#Liste_rouge!A"&amp;_xlfn.XMATCH("LC",Liste_rouge!A:A,2,1),"LC")</f>
        <v>LC</v>
      </c>
      <c r="T20052" s="7" t="str">
        <f>HYPERLINK("#Liste_rouge!A"&amp;_xlfn.XMATCH("LC",Liste_rouge!A:A,2,1),"LC")</f>
        <v>LC</v>
      </c>
      <c r="V20052" s="7" t="str">
        <f>HYPERLINK("#Liste_rouge!A"&amp;_xlfn.XMATCH("LC",Liste_rouge!A:A,2,1),"LC")</f>
        <v>LC</v>
      </c>
      <c r="AB20052" s="4" t="s">
        <v>24719</v>
      </c>
      <c r="AH20052" s="4" t="str">
        <f>HYPERLINK("#Statut_biogéographique!A"&amp;_xlfn.XMATCH("P",Statut_biogéographique!A:A,2,1),"P")</f>
        <v>P</v>
      </c>
      <c r="AM20052" s="4" t="s">
        <v>375</v>
      </c>
      <c r="AN20052" s="4" t="s">
        <v>375</v>
      </c>
      <c r="AO20052" s="4" t="s">
        <v>375</v>
      </c>
      <c r="AP20052" s="4" t="s">
        <v>376</v>
      </c>
      <c r="AR20052" s="4" t="s">
        <v>377</v>
      </c>
    </row>
    <row r="20053" spans="1:44">
      <c r="A20053" s="4" t="s">
        <v>24364</v>
      </c>
      <c r="B20053" s="4">
        <v>105086</v>
      </c>
      <c r="D20053" s="5" t="s">
        <v>25052</v>
      </c>
      <c r="E20053" s="6" t="str">
        <f>HYPERLINK("https://inpn.mnhn.fr/espece/cd_nom/105086","Laserpitium prutenicum L., 1753")</f>
        <v>Laserpitium prutenicum L., 1753</v>
      </c>
      <c r="F20053" s="5" t="s">
        <v>25053</v>
      </c>
      <c r="Q20053" s="7" t="str">
        <f>HYPERLINK("#Liste_rouge!A"&amp;_xlfn.XMATCH("LC",Liste_rouge!A:A,2,1),"LC")</f>
        <v>LC</v>
      </c>
      <c r="T20053" s="7" t="str">
        <f>HYPERLINK("#Liste_rouge!A"&amp;_xlfn.XMATCH("RE",Liste_rouge!A:A,2,1),"RE")</f>
        <v>RE</v>
      </c>
      <c r="V20053" s="7" t="str">
        <f>HYPERLINK("#Liste_rouge!A"&amp;_xlfn.XMATCH("NT",Liste_rouge!A:A,2,1),"NT")</f>
        <v>NT</v>
      </c>
      <c r="W20053" s="4" t="str">
        <f>HYPERLINK("#Critères_liste_rouge!A$1","pr. B2b(iii)")</f>
        <v>pr. B2b(iii)</v>
      </c>
      <c r="AB20053" s="4" t="s">
        <v>24447</v>
      </c>
      <c r="AH20053" s="4" t="str">
        <f>HYPERLINK("#Statut_biogéographique!A"&amp;_xlfn.XMATCH("P",Statut_biogéographique!A:A,2,1),"P")</f>
        <v>P</v>
      </c>
      <c r="AM20053" s="4" t="s">
        <v>375</v>
      </c>
      <c r="AN20053" s="4" t="s">
        <v>375</v>
      </c>
      <c r="AO20053" s="4" t="s">
        <v>375</v>
      </c>
      <c r="AP20053" s="4" t="s">
        <v>376</v>
      </c>
      <c r="AR20053" s="4" t="s">
        <v>377</v>
      </c>
    </row>
    <row r="20054" spans="1:44" ht="30">
      <c r="A20054" s="4" t="s">
        <v>24364</v>
      </c>
      <c r="B20054" s="4">
        <v>105092</v>
      </c>
      <c r="D20054" s="5" t="s">
        <v>25054</v>
      </c>
      <c r="E20054" s="6" t="str">
        <f>HYPERLINK("https://inpn.mnhn.fr/espece/cd_nom/105092","Laserpitium siler L., 1753")</f>
        <v>Laserpitium siler L., 1753</v>
      </c>
      <c r="F20054" s="5" t="s">
        <v>25055</v>
      </c>
      <c r="Q20054" s="7" t="str">
        <f>HYPERLINK("#Liste_rouge!A"&amp;_xlfn.XMATCH("LC",Liste_rouge!A:A,2,1),"LC")</f>
        <v>LC</v>
      </c>
      <c r="V20054" s="7" t="str">
        <f>HYPERLINK("#Liste_rouge!A"&amp;_xlfn.XMATCH("LC",Liste_rouge!A:A,2,1),"LC")</f>
        <v>LC</v>
      </c>
      <c r="AH20054" s="4" t="str">
        <f>HYPERLINK("#Statut_biogéographique!A"&amp;_xlfn.XMATCH("P",Statut_biogéographique!A:A,2,1),"P")</f>
        <v>P</v>
      </c>
      <c r="AM20054" s="4" t="s">
        <v>375</v>
      </c>
      <c r="AN20054" s="4" t="s">
        <v>375</v>
      </c>
      <c r="AO20054" s="4" t="s">
        <v>375</v>
      </c>
      <c r="AP20054" s="4" t="s">
        <v>376</v>
      </c>
      <c r="AR20054" s="4" t="s">
        <v>377</v>
      </c>
    </row>
    <row r="20055" spans="1:44">
      <c r="A20055" s="4" t="s">
        <v>24364</v>
      </c>
      <c r="B20055" s="4">
        <v>105145</v>
      </c>
      <c r="D20055" s="5" t="s">
        <v>25056</v>
      </c>
      <c r="E20055" s="6" t="str">
        <f>HYPERLINK("https://inpn.mnhn.fr/espece/cd_nom/105145","Lathraea clandestina L., 1753")</f>
        <v>Lathraea clandestina L., 1753</v>
      </c>
      <c r="F20055" s="5" t="s">
        <v>25057</v>
      </c>
      <c r="Q20055" s="7" t="str">
        <f>HYPERLINK("#Liste_rouge!A"&amp;_xlfn.XMATCH("LC",Liste_rouge!A:A,2,1),"LC")</f>
        <v>LC</v>
      </c>
      <c r="T20055" s="7" t="str">
        <f>HYPERLINK("#Liste_rouge!A"&amp;_xlfn.XMATCH("NT",Liste_rouge!A:A,2,1),"NT")</f>
        <v>NT</v>
      </c>
      <c r="U20055" s="4" t="str">
        <f>HYPERLINK("#Critères_liste_rouge!A$1","VU (D1) - 1")</f>
        <v>VU (D1) - 1</v>
      </c>
      <c r="X20055" s="5" t="s">
        <v>374</v>
      </c>
      <c r="AB20055" s="4" t="s">
        <v>93</v>
      </c>
      <c r="AH20055" s="4" t="str">
        <f>HYPERLINK("#Statut_biogéographique!A"&amp;_xlfn.XMATCH("P",Statut_biogéographique!A:A,2,1),"P")</f>
        <v>P</v>
      </c>
      <c r="AM20055" s="4" t="s">
        <v>375</v>
      </c>
      <c r="AN20055" s="4" t="s">
        <v>375</v>
      </c>
      <c r="AO20055" s="4" t="s">
        <v>375</v>
      </c>
      <c r="AP20055" s="4" t="s">
        <v>376</v>
      </c>
      <c r="AR20055" s="4" t="s">
        <v>377</v>
      </c>
    </row>
    <row r="20056" spans="1:44" ht="30">
      <c r="A20056" s="4" t="s">
        <v>24364</v>
      </c>
      <c r="B20056" s="4">
        <v>105148</v>
      </c>
      <c r="D20056" s="5" t="s">
        <v>25058</v>
      </c>
      <c r="E20056" s="6" t="str">
        <f>HYPERLINK("https://inpn.mnhn.fr/espece/cd_nom/105148","Lathraea squamaria L., 1753")</f>
        <v>Lathraea squamaria L., 1753</v>
      </c>
      <c r="F20056" s="5" t="s">
        <v>25059</v>
      </c>
      <c r="Q20056" s="7" t="str">
        <f>HYPERLINK("#Liste_rouge!A"&amp;_xlfn.XMATCH("LC",Liste_rouge!A:A,2,1),"LC")</f>
        <v>LC</v>
      </c>
      <c r="T20056" s="7" t="str">
        <f>HYPERLINK("#Liste_rouge!A"&amp;_xlfn.XMATCH("VU",Liste_rouge!A:A,2,1),"VU")</f>
        <v>VU</v>
      </c>
      <c r="U20056" s="4" t="str">
        <f>HYPERLINK("#Critères_liste_rouge!A$1","C2a(i)")</f>
        <v>C2a(i)</v>
      </c>
      <c r="V20056" s="7" t="str">
        <f>HYPERLINK("#Liste_rouge!A"&amp;_xlfn.XMATCH("LC",Liste_rouge!A:A,2,1),"LC")</f>
        <v>LC</v>
      </c>
      <c r="AB20056" s="4" t="s">
        <v>24407</v>
      </c>
      <c r="AH20056" s="4" t="str">
        <f>HYPERLINK("#Statut_biogéographique!A"&amp;_xlfn.XMATCH("P",Statut_biogéographique!A:A,2,1),"P")</f>
        <v>P</v>
      </c>
      <c r="AM20056" s="4" t="s">
        <v>375</v>
      </c>
      <c r="AN20056" s="4" t="s">
        <v>375</v>
      </c>
      <c r="AO20056" s="4" t="s">
        <v>375</v>
      </c>
      <c r="AP20056" s="4" t="s">
        <v>376</v>
      </c>
      <c r="AR20056" s="4" t="s">
        <v>377</v>
      </c>
    </row>
    <row r="20057" spans="1:44" ht="30">
      <c r="A20057" s="4" t="s">
        <v>24364</v>
      </c>
      <c r="B20057" s="4">
        <v>105159</v>
      </c>
      <c r="D20057" s="5" t="s">
        <v>25060</v>
      </c>
      <c r="E20057" s="6" t="str">
        <f>HYPERLINK("https://inpn.mnhn.fr/espece/cd_nom/105159","Lathyrus angulatus L., 1753")</f>
        <v>Lathyrus angulatus L., 1753</v>
      </c>
      <c r="F20057" s="5" t="s">
        <v>25061</v>
      </c>
      <c r="O20057" s="7" t="str">
        <f>HYPERLINK("#Liste_rouge!A"&amp;_xlfn.XMATCH("LC",Liste_rouge!A:A,2,1),"LC")</f>
        <v>LC</v>
      </c>
      <c r="Q20057" s="7" t="str">
        <f>HYPERLINK("#Liste_rouge!A"&amp;_xlfn.XMATCH("LC",Liste_rouge!A:A,2,1),"LC")</f>
        <v>LC</v>
      </c>
      <c r="T20057" s="7" t="str">
        <f>HYPERLINK("#Liste_rouge!A"&amp;_xlfn.XMATCH("EN",Liste_rouge!A:A,2,1),"EN")</f>
        <v>EN</v>
      </c>
      <c r="U20057" s="4" t="str">
        <f>HYPERLINK("#Critères_liste_rouge!A$1","D1")</f>
        <v>D1</v>
      </c>
      <c r="AB20057" s="4" t="s">
        <v>24855</v>
      </c>
      <c r="AH20057" s="4" t="str">
        <f>HYPERLINK("#Statut_biogéographique!A"&amp;_xlfn.XMATCH("P",Statut_biogéographique!A:A,2,1),"P")</f>
        <v>P</v>
      </c>
      <c r="AM20057" s="4" t="s">
        <v>375</v>
      </c>
      <c r="AN20057" s="4" t="s">
        <v>375</v>
      </c>
      <c r="AO20057" s="4" t="s">
        <v>375</v>
      </c>
      <c r="AP20057" s="4" t="s">
        <v>376</v>
      </c>
      <c r="AR20057" s="4" t="s">
        <v>377</v>
      </c>
    </row>
    <row r="20058" spans="1:44" ht="60">
      <c r="A20058" s="4" t="s">
        <v>24364</v>
      </c>
      <c r="B20058" s="4">
        <v>105162</v>
      </c>
      <c r="D20058" s="5" t="s">
        <v>25062</v>
      </c>
      <c r="E20058" s="6" t="str">
        <f>HYPERLINK("https://inpn.mnhn.fr/espece/cd_nom/105162","Lathyrus aphaca L., 1753")</f>
        <v>Lathyrus aphaca L., 1753</v>
      </c>
      <c r="F20058" s="5" t="s">
        <v>25063</v>
      </c>
      <c r="O20058" s="7" t="str">
        <f>HYPERLINK("#Liste_rouge!A"&amp;_xlfn.XMATCH("LC",Liste_rouge!A:A,2,1),"LC")</f>
        <v>LC</v>
      </c>
      <c r="Q20058" s="7" t="str">
        <f>HYPERLINK("#Liste_rouge!A"&amp;_xlfn.XMATCH("LC",Liste_rouge!A:A,2,1),"LC")</f>
        <v>LC</v>
      </c>
      <c r="T20058" s="7" t="str">
        <f>HYPERLINK("#Liste_rouge!A"&amp;_xlfn.XMATCH("LC",Liste_rouge!A:A,2,1),"LC")</f>
        <v>LC</v>
      </c>
      <c r="V20058" s="7" t="str">
        <f>HYPERLINK("#Liste_rouge!A"&amp;_xlfn.XMATCH("LC",Liste_rouge!A:A,2,1),"LC")</f>
        <v>LC</v>
      </c>
      <c r="AB20058" s="4" t="s">
        <v>24747</v>
      </c>
      <c r="AH20058" s="4" t="str">
        <f>HYPERLINK("#Statut_biogéographique!A"&amp;_xlfn.XMATCH("P",Statut_biogéographique!A:A,2,1),"P")</f>
        <v>P</v>
      </c>
      <c r="AM20058" s="4" t="s">
        <v>375</v>
      </c>
      <c r="AN20058" s="4" t="s">
        <v>375</v>
      </c>
      <c r="AO20058" s="4" t="s">
        <v>375</v>
      </c>
      <c r="AP20058" s="4" t="s">
        <v>376</v>
      </c>
      <c r="AR20058" s="4" t="s">
        <v>377</v>
      </c>
    </row>
    <row r="20059" spans="1:44" ht="30">
      <c r="A20059" s="4" t="s">
        <v>24364</v>
      </c>
      <c r="B20059" s="4">
        <v>105168</v>
      </c>
      <c r="D20059" s="5" t="s">
        <v>25064</v>
      </c>
      <c r="E20059" s="6" t="str">
        <f>HYPERLINK("https://inpn.mnhn.fr/espece/cd_nom/105168","Lathyrus bauhinii Genty, 1892")</f>
        <v>Lathyrus bauhinii Genty, 1892</v>
      </c>
      <c r="F20059" s="5" t="s">
        <v>25065</v>
      </c>
      <c r="M20059" s="4" t="str">
        <f>HYPERLINK("#Réglementation!A"&amp;_xlfn.XMATCH("RV43",Réglementation!A:A,2,1),"RV43")</f>
        <v>RV43</v>
      </c>
      <c r="O20059" s="7" t="str">
        <f>HYPERLINK("#Liste_rouge!A"&amp;_xlfn.XMATCH("LC",Liste_rouge!A:A,2,1),"LC")</f>
        <v>LC</v>
      </c>
      <c r="Q20059" s="7" t="str">
        <f>HYPERLINK("#Liste_rouge!A"&amp;_xlfn.XMATCH("NT",Liste_rouge!A:A,2,1),"NT")</f>
        <v>NT</v>
      </c>
      <c r="V20059" s="7" t="str">
        <f>HYPERLINK("#Liste_rouge!A"&amp;_xlfn.XMATCH("EN",Liste_rouge!A:A,2,1),"EN")</f>
        <v>EN</v>
      </c>
      <c r="W20059" s="4" t="str">
        <f>HYPERLINK("#Critères_liste_rouge!A$1","A3c B2ab(iii,iv)")</f>
        <v>A3c B2ab(iii,iv)</v>
      </c>
      <c r="X20059" s="5" t="s">
        <v>374</v>
      </c>
      <c r="AB20059" s="4" t="s">
        <v>93</v>
      </c>
      <c r="AH20059" s="4" t="str">
        <f>HYPERLINK("#Statut_biogéographique!A"&amp;_xlfn.XMATCH("P",Statut_biogéographique!A:A,2,1),"P")</f>
        <v>P</v>
      </c>
      <c r="AM20059" s="4" t="s">
        <v>375</v>
      </c>
      <c r="AN20059" s="4" t="s">
        <v>375</v>
      </c>
      <c r="AO20059" s="4" t="s">
        <v>375</v>
      </c>
      <c r="AP20059" s="4" t="s">
        <v>376</v>
      </c>
      <c r="AR20059" s="4" t="s">
        <v>377</v>
      </c>
    </row>
    <row r="20060" spans="1:44" ht="30">
      <c r="A20060" s="4" t="s">
        <v>24364</v>
      </c>
      <c r="B20060" s="4">
        <v>105175</v>
      </c>
      <c r="D20060" s="5" t="s">
        <v>25066</v>
      </c>
      <c r="E20060" s="6" t="str">
        <f>HYPERLINK("https://inpn.mnhn.fr/espece/cd_nom/105175","Lathyrus cicera L., 1753")</f>
        <v>Lathyrus cicera L., 1753</v>
      </c>
      <c r="F20060" s="5" t="s">
        <v>25067</v>
      </c>
      <c r="O20060" s="7" t="str">
        <f>HYPERLINK("#Liste_rouge!A"&amp;_xlfn.XMATCH("LC",Liste_rouge!A:A,2,1),"LC")</f>
        <v>LC</v>
      </c>
      <c r="P20060" s="7" t="str">
        <f>HYPERLINK("#Liste_rouge!A"&amp;_xlfn.XMATCH("LC",Liste_rouge!A:A,2,1),"LC")</f>
        <v>LC</v>
      </c>
      <c r="Q20060" s="7" t="str">
        <f>HYPERLINK("#Liste_rouge!A"&amp;_xlfn.XMATCH("LC",Liste_rouge!A:A,2,1),"LC")</f>
        <v>LC</v>
      </c>
      <c r="T20060" s="7" t="str">
        <f>HYPERLINK("#Liste_rouge!A"&amp;_xlfn.XMATCH("NA",Liste_rouge!A:A,2,1),"NA")</f>
        <v>NA</v>
      </c>
      <c r="AH20060" s="4" t="str">
        <f>HYPERLINK("#Statut_biogéographique!A"&amp;_xlfn.XMATCH("P",Statut_biogéographique!A:A,2,1),"P")</f>
        <v>P</v>
      </c>
      <c r="AP20060" s="4" t="s">
        <v>376</v>
      </c>
      <c r="AR20060" s="4" t="s">
        <v>377</v>
      </c>
    </row>
    <row r="20061" spans="1:44" ht="30">
      <c r="A20061" s="4" t="s">
        <v>24364</v>
      </c>
      <c r="B20061" s="4">
        <v>105199</v>
      </c>
      <c r="D20061" s="5" t="s">
        <v>25068</v>
      </c>
      <c r="E20061" s="6" t="str">
        <f>HYPERLINK("https://inpn.mnhn.fr/espece/cd_nom/105199","Lathyrus heterophyllus L., 1753")</f>
        <v>Lathyrus heterophyllus L., 1753</v>
      </c>
      <c r="F20061" s="5" t="s">
        <v>25069</v>
      </c>
      <c r="M20061" s="4" t="str">
        <f>HYPERLINK("#Réglementation!A"&amp;_xlfn.XMATCH("RV43",Réglementation!A:A,2,1),"RV43")</f>
        <v>RV43</v>
      </c>
      <c r="O20061" s="7" t="str">
        <f>HYPERLINK("#Liste_rouge!A"&amp;_xlfn.XMATCH("LC",Liste_rouge!A:A,2,1),"LC")</f>
        <v>LC</v>
      </c>
      <c r="P20061" s="7" t="str">
        <f>HYPERLINK("#Liste_rouge!A"&amp;_xlfn.XMATCH("LC",Liste_rouge!A:A,2,1),"LC")</f>
        <v>LC</v>
      </c>
      <c r="Q20061" s="7" t="str">
        <f>HYPERLINK("#Liste_rouge!A"&amp;_xlfn.XMATCH("LC",Liste_rouge!A:A,2,1),"LC")</f>
        <v>LC</v>
      </c>
      <c r="T20061" s="7" t="str">
        <f>HYPERLINK("#Liste_rouge!A"&amp;_xlfn.XMATCH("NA",Liste_rouge!A:A,2,1),"NA")</f>
        <v>NA</v>
      </c>
      <c r="V20061" s="7" t="str">
        <f>HYPERLINK("#Liste_rouge!A"&amp;_xlfn.XMATCH("NT",Liste_rouge!A:A,2,1),"NT")</f>
        <v>NT</v>
      </c>
      <c r="W20061" s="4" t="str">
        <f>HYPERLINK("#Critères_liste_rouge!A$1","pr. A3c B2b(iii)")</f>
        <v>pr. A3c B2b(iii)</v>
      </c>
      <c r="AB20061" s="4" t="s">
        <v>24909</v>
      </c>
      <c r="AH20061" s="4" t="str">
        <f>HYPERLINK("#Statut_biogéographique!A"&amp;_xlfn.XMATCH("P",Statut_biogéographique!A:A,2,1),"P")</f>
        <v>P</v>
      </c>
      <c r="AM20061" s="4" t="s">
        <v>375</v>
      </c>
      <c r="AN20061" s="4" t="s">
        <v>375</v>
      </c>
      <c r="AO20061" s="4" t="s">
        <v>375</v>
      </c>
      <c r="AP20061" s="4" t="s">
        <v>376</v>
      </c>
      <c r="AR20061" s="4" t="s">
        <v>377</v>
      </c>
    </row>
    <row r="20062" spans="1:44">
      <c r="A20062" s="4" t="s">
        <v>24364</v>
      </c>
      <c r="B20062" s="4">
        <v>105201</v>
      </c>
      <c r="D20062" s="5" t="s">
        <v>25070</v>
      </c>
      <c r="E20062" s="6" t="str">
        <f>HYPERLINK("https://inpn.mnhn.fr/espece/cd_nom/105201","Lathyrus hirsutus L., 1753")</f>
        <v>Lathyrus hirsutus L., 1753</v>
      </c>
      <c r="F20062" s="5" t="s">
        <v>25071</v>
      </c>
      <c r="O20062" s="7" t="str">
        <f>HYPERLINK("#Liste_rouge!A"&amp;_xlfn.XMATCH("LC",Liste_rouge!A:A,2,1),"LC")</f>
        <v>LC</v>
      </c>
      <c r="P20062" s="7" t="str">
        <f>HYPERLINK("#Liste_rouge!A"&amp;_xlfn.XMATCH("LC",Liste_rouge!A:A,2,1),"LC")</f>
        <v>LC</v>
      </c>
      <c r="Q20062" s="7" t="str">
        <f>HYPERLINK("#Liste_rouge!A"&amp;_xlfn.XMATCH("LC",Liste_rouge!A:A,2,1),"LC")</f>
        <v>LC</v>
      </c>
      <c r="T20062" s="7" t="str">
        <f>HYPERLINK("#Liste_rouge!A"&amp;_xlfn.XMATCH("LC",Liste_rouge!A:A,2,1),"LC")</f>
        <v>LC</v>
      </c>
      <c r="V20062" s="7" t="str">
        <f>HYPERLINK("#Liste_rouge!A"&amp;_xlfn.XMATCH("NT",Liste_rouge!A:A,2,1),"NT")</f>
        <v>NT</v>
      </c>
      <c r="W20062" s="4" t="str">
        <f>HYPERLINK("#Critères_liste_rouge!A$1","pr. A3c B2b(iii)")</f>
        <v>pr. A3c B2b(iii)</v>
      </c>
      <c r="AB20062" s="4" t="s">
        <v>25072</v>
      </c>
      <c r="AH20062" s="4" t="str">
        <f>HYPERLINK("#Statut_biogéographique!A"&amp;_xlfn.XMATCH("P",Statut_biogéographique!A:A,2,1),"P")</f>
        <v>P</v>
      </c>
      <c r="AM20062" s="4" t="s">
        <v>375</v>
      </c>
      <c r="AN20062" s="4" t="s">
        <v>375</v>
      </c>
      <c r="AO20062" s="4" t="s">
        <v>375</v>
      </c>
      <c r="AP20062" s="4" t="s">
        <v>376</v>
      </c>
      <c r="AR20062" s="4" t="s">
        <v>377</v>
      </c>
    </row>
    <row r="20063" spans="1:44" ht="45">
      <c r="A20063" s="4" t="s">
        <v>24364</v>
      </c>
      <c r="B20063" s="4">
        <v>105211</v>
      </c>
      <c r="D20063" s="5" t="s">
        <v>25073</v>
      </c>
      <c r="E20063" s="6" t="str">
        <f>HYPERLINK("https://inpn.mnhn.fr/espece/cd_nom/105211","Lathyrus latifolius L., 1753")</f>
        <v>Lathyrus latifolius L., 1753</v>
      </c>
      <c r="F20063" s="5" t="s">
        <v>25074</v>
      </c>
      <c r="O20063" s="7" t="str">
        <f>HYPERLINK("#Liste_rouge!A"&amp;_xlfn.XMATCH("LC",Liste_rouge!A:A,2,1),"LC")</f>
        <v>LC</v>
      </c>
      <c r="P20063" s="7" t="str">
        <f>HYPERLINK("#Liste_rouge!A"&amp;_xlfn.XMATCH("LC",Liste_rouge!A:A,2,1),"LC")</f>
        <v>LC</v>
      </c>
      <c r="Q20063" s="7" t="str">
        <f>HYPERLINK("#Liste_rouge!A"&amp;_xlfn.XMATCH("LC",Liste_rouge!A:A,2,1),"LC")</f>
        <v>LC</v>
      </c>
      <c r="T20063" s="7" t="str">
        <f>HYPERLINK("#Liste_rouge!A"&amp;_xlfn.XMATCH("NA",Liste_rouge!A:A,2,1),"NA")</f>
        <v>NA</v>
      </c>
      <c r="AH20063" s="4" t="str">
        <f>HYPERLINK("#Statut_biogéographique!A"&amp;_xlfn.XMATCH("P",Statut_biogéographique!A:A,2,1),"P")</f>
        <v>P</v>
      </c>
      <c r="AM20063" s="4" t="s">
        <v>375</v>
      </c>
      <c r="AN20063" s="4" t="s">
        <v>375</v>
      </c>
      <c r="AO20063" s="4" t="s">
        <v>375</v>
      </c>
      <c r="AP20063" s="4" t="s">
        <v>376</v>
      </c>
      <c r="AR20063" s="4" t="s">
        <v>377</v>
      </c>
    </row>
    <row r="20064" spans="1:44" ht="90">
      <c r="A20064" s="4" t="s">
        <v>24364</v>
      </c>
      <c r="B20064" s="4">
        <v>105214</v>
      </c>
      <c r="D20064" s="5" t="s">
        <v>25075</v>
      </c>
      <c r="E20064" s="6" t="str">
        <f>HYPERLINK("https://inpn.mnhn.fr/espece/cd_nom/105214","Lathyrus linifolius (Reichard) Bässler, 1971")</f>
        <v>Lathyrus linifolius (Reichard) Bässler, 1971</v>
      </c>
      <c r="F20064" s="5" t="s">
        <v>25076</v>
      </c>
      <c r="O20064" s="7" t="str">
        <f>HYPERLINK("#Liste_rouge!A"&amp;_xlfn.XMATCH("LC",Liste_rouge!A:A,2,1),"LC")</f>
        <v>LC</v>
      </c>
      <c r="Q20064" s="7" t="str">
        <f>HYPERLINK("#Liste_rouge!A"&amp;_xlfn.XMATCH("LC",Liste_rouge!A:A,2,1),"LC")</f>
        <v>LC</v>
      </c>
      <c r="T20064" s="7" t="str">
        <f>HYPERLINK("#Liste_rouge!A"&amp;_xlfn.XMATCH("LC",Liste_rouge!A:A,2,1),"LC (cd_nom 105214) - DD (cd_nom 613130)")</f>
        <v>LC (cd_nom 105214) - DD (cd_nom 613130)</v>
      </c>
      <c r="V20064" s="7" t="str">
        <f>HYPERLINK("#Liste_rouge!A"&amp;_xlfn.XMATCH("LC",Liste_rouge!A:A,2,1),"LC")</f>
        <v>LC</v>
      </c>
      <c r="AH20064" s="4" t="str">
        <f>HYPERLINK("#Statut_biogéographique!A"&amp;_xlfn.XMATCH("P",Statut_biogéographique!A:A,2,1),"P")</f>
        <v>P</v>
      </c>
      <c r="AM20064" s="4" t="s">
        <v>375</v>
      </c>
      <c r="AN20064" s="4" t="s">
        <v>375</v>
      </c>
      <c r="AO20064" s="4" t="s">
        <v>375</v>
      </c>
      <c r="AP20064" s="4" t="s">
        <v>376</v>
      </c>
      <c r="AR20064" s="4" t="s">
        <v>377</v>
      </c>
    </row>
    <row r="20065" spans="1:44">
      <c r="A20065" s="4" t="s">
        <v>24364</v>
      </c>
      <c r="B20065" s="4">
        <v>105230</v>
      </c>
      <c r="D20065" s="5" t="s">
        <v>25077</v>
      </c>
      <c r="E20065" s="6" t="str">
        <f>HYPERLINK("https://inpn.mnhn.fr/espece/cd_nom/105230","Lathyrus niger (L.) Bernh., 1800")</f>
        <v>Lathyrus niger (L.) Bernh., 1800</v>
      </c>
      <c r="F20065" s="5" t="s">
        <v>25078</v>
      </c>
      <c r="O20065" s="7" t="str">
        <f>HYPERLINK("#Liste_rouge!A"&amp;_xlfn.XMATCH("LC",Liste_rouge!A:A,2,1),"LC")</f>
        <v>LC</v>
      </c>
      <c r="Q20065" s="7" t="str">
        <f>HYPERLINK("#Liste_rouge!A"&amp;_xlfn.XMATCH("LC",Liste_rouge!A:A,2,1),"LC")</f>
        <v>LC</v>
      </c>
      <c r="T20065" s="7" t="str">
        <f>HYPERLINK("#Liste_rouge!A"&amp;_xlfn.XMATCH("LC",Liste_rouge!A:A,2,1),"LC")</f>
        <v>LC</v>
      </c>
      <c r="V20065" s="7" t="str">
        <f>HYPERLINK("#Liste_rouge!A"&amp;_xlfn.XMATCH("LC",Liste_rouge!A:A,2,1),"LC")</f>
        <v>LC</v>
      </c>
      <c r="X20065" s="5" t="s">
        <v>374</v>
      </c>
      <c r="AB20065" s="4" t="s">
        <v>93</v>
      </c>
      <c r="AH20065" s="4" t="str">
        <f>HYPERLINK("#Statut_biogéographique!A"&amp;_xlfn.XMATCH("P",Statut_biogéographique!A:A,2,1),"P")</f>
        <v>P</v>
      </c>
      <c r="AM20065" s="4" t="s">
        <v>375</v>
      </c>
      <c r="AN20065" s="4" t="s">
        <v>375</v>
      </c>
      <c r="AO20065" s="4" t="s">
        <v>375</v>
      </c>
      <c r="AP20065" s="4" t="s">
        <v>376</v>
      </c>
      <c r="AR20065" s="4" t="s">
        <v>377</v>
      </c>
    </row>
    <row r="20066" spans="1:44" ht="30">
      <c r="A20066" s="4" t="s">
        <v>24364</v>
      </c>
      <c r="B20066" s="4">
        <v>105232</v>
      </c>
      <c r="D20066" s="5">
        <v>105232</v>
      </c>
      <c r="E20066" s="6" t="str">
        <f>HYPERLINK("https://inpn.mnhn.fr/espece/cd_nom/105232","Lathyrus nissolia L., 1753")</f>
        <v>Lathyrus nissolia L., 1753</v>
      </c>
      <c r="F20066" s="5" t="s">
        <v>25079</v>
      </c>
      <c r="O20066" s="7" t="str">
        <f>HYPERLINK("#Liste_rouge!A"&amp;_xlfn.XMATCH("LC",Liste_rouge!A:A,2,1),"LC")</f>
        <v>LC</v>
      </c>
      <c r="Q20066" s="7" t="str">
        <f>HYPERLINK("#Liste_rouge!A"&amp;_xlfn.XMATCH("LC",Liste_rouge!A:A,2,1),"LC")</f>
        <v>LC</v>
      </c>
      <c r="T20066" s="7" t="str">
        <f>HYPERLINK("#Liste_rouge!A"&amp;_xlfn.XMATCH("NT",Liste_rouge!A:A,2,1),"NT")</f>
        <v>NT</v>
      </c>
      <c r="U20066" s="4" t="str">
        <f>HYPERLINK("#Critères_liste_rouge!A$1","pr. B2a")</f>
        <v>pr. B2a</v>
      </c>
      <c r="V20066" s="7" t="str">
        <f>HYPERLINK("#Liste_rouge!A"&amp;_xlfn.XMATCH("NT",Liste_rouge!A:A,2,1),"NT")</f>
        <v>NT</v>
      </c>
      <c r="W20066" s="4" t="str">
        <f>HYPERLINK("#Critères_liste_rouge!A$1","pr. A3c B2b(iii)")</f>
        <v>pr. A3c B2b(iii)</v>
      </c>
      <c r="AB20066" s="4" t="s">
        <v>25080</v>
      </c>
      <c r="AH20066" s="4" t="str">
        <f>HYPERLINK("#Statut_biogéographique!A"&amp;_xlfn.XMATCH("P",Statut_biogéographique!A:A,2,1),"P")</f>
        <v>P</v>
      </c>
      <c r="AM20066" s="4" t="s">
        <v>375</v>
      </c>
      <c r="AN20066" s="4" t="s">
        <v>375</v>
      </c>
      <c r="AO20066" s="4" t="s">
        <v>375</v>
      </c>
      <c r="AP20066" s="4" t="s">
        <v>376</v>
      </c>
      <c r="AR20066" s="4" t="s">
        <v>377</v>
      </c>
    </row>
    <row r="20067" spans="1:44" ht="30">
      <c r="A20067" s="4" t="s">
        <v>24364</v>
      </c>
      <c r="B20067" s="4">
        <v>105236</v>
      </c>
      <c r="D20067" s="5" t="s">
        <v>25081</v>
      </c>
      <c r="E20067" s="6" t="str">
        <f>HYPERLINK("https://inpn.mnhn.fr/espece/cd_nom/105236","Lathyrus ochrus (L.) DC., 1805")</f>
        <v>Lathyrus ochrus (L.) DC., 1805</v>
      </c>
      <c r="F20067" s="5" t="s">
        <v>25082</v>
      </c>
      <c r="O20067" s="7" t="str">
        <f>HYPERLINK("#Liste_rouge!A"&amp;_xlfn.XMATCH("LC",Liste_rouge!A:A,2,1),"LC")</f>
        <v>LC</v>
      </c>
      <c r="P20067" s="7" t="str">
        <f>HYPERLINK("#Liste_rouge!A"&amp;_xlfn.XMATCH("LC",Liste_rouge!A:A,2,1),"LC")</f>
        <v>LC</v>
      </c>
      <c r="Q20067" s="7" t="str">
        <f>HYPERLINK("#Liste_rouge!A"&amp;_xlfn.XMATCH("LC",Liste_rouge!A:A,2,1),"LC")</f>
        <v>LC</v>
      </c>
      <c r="T20067" s="7" t="str">
        <f>HYPERLINK("#Liste_rouge!A"&amp;_xlfn.XMATCH("NA",Liste_rouge!A:A,2,1),"NA")</f>
        <v>NA</v>
      </c>
      <c r="AH20067" s="4" t="str">
        <f>HYPERLINK("#Statut_biogéographique!A"&amp;_xlfn.XMATCH("P",Statut_biogéographique!A:A,2,1),"P")</f>
        <v>P</v>
      </c>
      <c r="AP20067" s="4" t="s">
        <v>376</v>
      </c>
      <c r="AR20067" s="4" t="s">
        <v>377</v>
      </c>
    </row>
    <row r="20068" spans="1:44">
      <c r="A20068" s="4" t="s">
        <v>24364</v>
      </c>
      <c r="B20068" s="4">
        <v>105237</v>
      </c>
      <c r="D20068" s="5" t="s">
        <v>25083</v>
      </c>
      <c r="E20068" s="6" t="str">
        <f>HYPERLINK("https://inpn.mnhn.fr/espece/cd_nom/105237","Lathyrus odoratus L., 1753")</f>
        <v>Lathyrus odoratus L., 1753</v>
      </c>
      <c r="F20068" s="5" t="s">
        <v>25084</v>
      </c>
      <c r="O20068" s="7" t="str">
        <f>HYPERLINK("#Liste_rouge!A"&amp;_xlfn.XMATCH("CR",Liste_rouge!A:A,2,1),"CR")</f>
        <v>CR</v>
      </c>
      <c r="P20068" s="7" t="str">
        <f>HYPERLINK("#Liste_rouge!A"&amp;_xlfn.XMATCH("CR",Liste_rouge!A:A,2,1),"CR")</f>
        <v>CR</v>
      </c>
      <c r="Q20068" s="7" t="str">
        <f>HYPERLINK("#Liste_rouge!A"&amp;_xlfn.XMATCH("NA",Liste_rouge!A:A,2,1),"NA")</f>
        <v>NA</v>
      </c>
      <c r="AH20068" s="4" t="str">
        <f>HYPERLINK("#Statut_biogéographique!A"&amp;_xlfn.XMATCH("M",Statut_biogéographique!A:A,2,1),"M")</f>
        <v>M</v>
      </c>
      <c r="AP20068" s="4" t="s">
        <v>376</v>
      </c>
      <c r="AR20068" s="4" t="s">
        <v>377</v>
      </c>
    </row>
    <row r="20069" spans="1:44" ht="45">
      <c r="A20069" s="4" t="s">
        <v>24364</v>
      </c>
      <c r="B20069" s="4">
        <v>105239</v>
      </c>
      <c r="D20069" s="5" t="s">
        <v>25085</v>
      </c>
      <c r="E20069" s="6" t="str">
        <f>HYPERLINK("https://inpn.mnhn.fr/espece/cd_nom/105239","Lathyrus palustris L., 1753")</f>
        <v>Lathyrus palustris L., 1753</v>
      </c>
      <c r="F20069" s="5" t="s">
        <v>25086</v>
      </c>
      <c r="M20069" s="4" t="str">
        <f>HYPERLINK("#Réglementation!A"&amp;_xlfn.XMATCH("RV26",Réglementation!A:A,2,1),"RV26")</f>
        <v>RV26</v>
      </c>
      <c r="O20069" s="7" t="str">
        <f>HYPERLINK("#Liste_rouge!A"&amp;_xlfn.XMATCH("LC",Liste_rouge!A:A,2,1),"LC")</f>
        <v>LC</v>
      </c>
      <c r="Q20069" s="7" t="str">
        <f>HYPERLINK("#Liste_rouge!A"&amp;_xlfn.XMATCH("EN",Liste_rouge!A:A,2,1),"EN")</f>
        <v>EN</v>
      </c>
      <c r="T20069" s="7" t="str">
        <f>HYPERLINK("#Liste_rouge!A"&amp;_xlfn.XMATCH("RE",Liste_rouge!A:A,2,1),"RE")</f>
        <v>RE</v>
      </c>
      <c r="AH20069" s="4" t="str">
        <f>HYPERLINK("#Statut_biogéographique!A"&amp;_xlfn.XMATCH("P",Statut_biogéographique!A:A,2,1),"P")</f>
        <v>P</v>
      </c>
      <c r="AM20069" s="4" t="s">
        <v>375</v>
      </c>
      <c r="AN20069" s="4" t="s">
        <v>375</v>
      </c>
      <c r="AO20069" s="4" t="s">
        <v>375</v>
      </c>
      <c r="AP20069" s="4" t="s">
        <v>389</v>
      </c>
      <c r="AR20069" s="4" t="s">
        <v>377</v>
      </c>
    </row>
    <row r="20070" spans="1:44" ht="30">
      <c r="A20070" s="4" t="s">
        <v>24364</v>
      </c>
      <c r="B20070" s="4">
        <v>105241</v>
      </c>
      <c r="D20070" s="5" t="s">
        <v>25087</v>
      </c>
      <c r="E20070" s="6" t="str">
        <f>HYPERLINK("https://inpn.mnhn.fr/espece/cd_nom/105241","Lathyrus pannonicus (Jacq.) Garcke, 1863")</f>
        <v>Lathyrus pannonicus (Jacq.) Garcke, 1863</v>
      </c>
      <c r="F20070" s="5" t="s">
        <v>25088</v>
      </c>
      <c r="Q20070" s="7" t="str">
        <f>HYPERLINK("#Liste_rouge!A"&amp;_xlfn.XMATCH("NT",Liste_rouge!A:A,2,1),"NT")</f>
        <v>NT</v>
      </c>
      <c r="T20070" s="7" t="str">
        <f>HYPERLINK("#Liste_rouge!A"&amp;_xlfn.XMATCH("EN",Liste_rouge!A:A,2,1),"EN")</f>
        <v>EN</v>
      </c>
      <c r="U20070" s="4" t="str">
        <f>HYPERLINK("#Critères_liste_rouge!A$1","D1")</f>
        <v>D1</v>
      </c>
      <c r="X20070" s="5" t="s">
        <v>374</v>
      </c>
      <c r="AB20070" s="4" t="s">
        <v>93</v>
      </c>
      <c r="AH20070" s="4" t="str">
        <f>HYPERLINK("#Statut_biogéographique!A"&amp;_xlfn.XMATCH("P",Statut_biogéographique!A:A,2,1),"P")</f>
        <v>P</v>
      </c>
      <c r="AM20070" s="4" t="s">
        <v>375</v>
      </c>
      <c r="AN20070" s="4" t="s">
        <v>375</v>
      </c>
      <c r="AO20070" s="4" t="s">
        <v>375</v>
      </c>
      <c r="AP20070" s="4" t="s">
        <v>376</v>
      </c>
      <c r="AR20070" s="4" t="s">
        <v>377</v>
      </c>
    </row>
    <row r="20071" spans="1:44" ht="45">
      <c r="A20071" s="4" t="s">
        <v>24364</v>
      </c>
      <c r="B20071" s="4">
        <v>105247</v>
      </c>
      <c r="D20071" s="5" t="s">
        <v>25089</v>
      </c>
      <c r="E20071" s="6" t="str">
        <f>HYPERLINK("https://inpn.mnhn.fr/espece/cd_nom/105247","Lathyrus pratensis L., 1753")</f>
        <v>Lathyrus pratensis L., 1753</v>
      </c>
      <c r="F20071" s="5" t="s">
        <v>25090</v>
      </c>
      <c r="O20071" s="7" t="str">
        <f>HYPERLINK("#Liste_rouge!A"&amp;_xlfn.XMATCH("LC",Liste_rouge!A:A,2,1),"LC")</f>
        <v>LC</v>
      </c>
      <c r="Q20071" s="7" t="str">
        <f>HYPERLINK("#Liste_rouge!A"&amp;_xlfn.XMATCH("LC",Liste_rouge!A:A,2,1),"LC")</f>
        <v>LC</v>
      </c>
      <c r="T20071" s="7" t="str">
        <f>HYPERLINK("#Liste_rouge!A"&amp;_xlfn.XMATCH("LC",Liste_rouge!A:A,2,1),"LC (cd_nom 613132) - NA (cd_nom 148100)")</f>
        <v>LC (cd_nom 613132) - NA (cd_nom 148100)</v>
      </c>
      <c r="V20071" s="7" t="str">
        <f>HYPERLINK("#Liste_rouge!A"&amp;_xlfn.XMATCH("LC",Liste_rouge!A:A,2,1),"LC")</f>
        <v>LC</v>
      </c>
      <c r="AH20071" s="4" t="str">
        <f>HYPERLINK("#Statut_biogéographique!A"&amp;_xlfn.XMATCH("P",Statut_biogéographique!A:A,2,1),"P")</f>
        <v>P</v>
      </c>
      <c r="AM20071" s="4" t="s">
        <v>375</v>
      </c>
      <c r="AN20071" s="4" t="s">
        <v>375</v>
      </c>
      <c r="AO20071" s="4" t="s">
        <v>375</v>
      </c>
      <c r="AP20071" s="4" t="s">
        <v>376</v>
      </c>
      <c r="AR20071" s="4" t="s">
        <v>377</v>
      </c>
    </row>
    <row r="20072" spans="1:44" ht="30">
      <c r="A20072" s="4" t="s">
        <v>24364</v>
      </c>
      <c r="B20072" s="4">
        <v>105256</v>
      </c>
      <c r="D20072" s="5" t="s">
        <v>25091</v>
      </c>
      <c r="E20072" s="6" t="str">
        <f>HYPERLINK("https://inpn.mnhn.fr/espece/cd_nom/105256","Lathyrus sativus L., 1753")</f>
        <v>Lathyrus sativus L., 1753</v>
      </c>
      <c r="F20072" s="5" t="s">
        <v>25092</v>
      </c>
      <c r="O20072" s="7" t="str">
        <f>HYPERLINK("#Liste_rouge!A"&amp;_xlfn.XMATCH("NT",Liste_rouge!A:A,2,1),"NT")</f>
        <v>NT</v>
      </c>
      <c r="P20072" s="7" t="str">
        <f>HYPERLINK("#Liste_rouge!A"&amp;_xlfn.XMATCH("LC",Liste_rouge!A:A,2,1),"LC")</f>
        <v>LC</v>
      </c>
      <c r="Q20072" s="7" t="str">
        <f>HYPERLINK("#Liste_rouge!A"&amp;_xlfn.XMATCH("NA",Liste_rouge!A:A,2,1),"NA")</f>
        <v>NA</v>
      </c>
      <c r="T20072" s="7" t="str">
        <f>HYPERLINK("#Liste_rouge!A"&amp;_xlfn.XMATCH("NA",Liste_rouge!A:A,2,1),"NA")</f>
        <v>NA</v>
      </c>
      <c r="AH20072" s="4" t="str">
        <f>HYPERLINK("#Statut_biogéographique!A"&amp;_xlfn.XMATCH("I",Statut_biogéographique!A:A,2,1),"I")</f>
        <v>I</v>
      </c>
      <c r="AP20072" s="4" t="s">
        <v>376</v>
      </c>
      <c r="AR20072" s="4" t="s">
        <v>377</v>
      </c>
    </row>
    <row r="20073" spans="1:44" ht="30">
      <c r="A20073" s="4" t="s">
        <v>24364</v>
      </c>
      <c r="B20073" s="4">
        <v>105261</v>
      </c>
      <c r="D20073" s="5" t="s">
        <v>25093</v>
      </c>
      <c r="E20073" s="6" t="str">
        <f>HYPERLINK("https://inpn.mnhn.fr/espece/cd_nom/105261","Lathyrus sphaericus Retz., 1783")</f>
        <v>Lathyrus sphaericus Retz., 1783</v>
      </c>
      <c r="F20073" s="5" t="s">
        <v>25094</v>
      </c>
      <c r="M20073" s="4" t="str">
        <f>HYPERLINK("#Réglementation!A"&amp;_xlfn.XMATCH("RV43",Réglementation!A:A,2,1),"RV43")</f>
        <v>RV43</v>
      </c>
      <c r="O20073" s="7" t="str">
        <f>HYPERLINK("#Liste_rouge!A"&amp;_xlfn.XMATCH("LC",Liste_rouge!A:A,2,1),"LC")</f>
        <v>LC</v>
      </c>
      <c r="Q20073" s="7" t="str">
        <f>HYPERLINK("#Liste_rouge!A"&amp;_xlfn.XMATCH("LC",Liste_rouge!A:A,2,1),"LC")</f>
        <v>LC</v>
      </c>
      <c r="T20073" s="7" t="str">
        <f>HYPERLINK("#Liste_rouge!A"&amp;_xlfn.XMATCH("VU",Liste_rouge!A:A,2,1),"VU")</f>
        <v>VU</v>
      </c>
      <c r="U20073" s="4" t="str">
        <f>HYPERLINK("#Critères_liste_rouge!A$1","D1")</f>
        <v>D1</v>
      </c>
      <c r="V20073" s="7" t="str">
        <f>HYPERLINK("#Liste_rouge!A"&amp;_xlfn.XMATCH("NT",Liste_rouge!A:A,2,1),"NT")</f>
        <v>NT</v>
      </c>
      <c r="W20073" s="4" t="str">
        <f>HYPERLINK("#Critères_liste_rouge!A$1","pr. B2b(iii)")</f>
        <v>pr. B2b(iii)</v>
      </c>
      <c r="X20073" s="5" t="s">
        <v>374</v>
      </c>
      <c r="AB20073" s="4" t="s">
        <v>93</v>
      </c>
      <c r="AH20073" s="4" t="str">
        <f>HYPERLINK("#Statut_biogéographique!A"&amp;_xlfn.XMATCH("P",Statut_biogéographique!A:A,2,1),"P")</f>
        <v>P</v>
      </c>
      <c r="AM20073" s="4" t="s">
        <v>375</v>
      </c>
      <c r="AN20073" s="4" t="s">
        <v>375</v>
      </c>
      <c r="AO20073" s="4" t="s">
        <v>375</v>
      </c>
      <c r="AP20073" s="4" t="s">
        <v>376</v>
      </c>
      <c r="AR20073" s="4" t="s">
        <v>377</v>
      </c>
    </row>
    <row r="20074" spans="1:44" ht="45">
      <c r="A20074" s="4" t="s">
        <v>24364</v>
      </c>
      <c r="B20074" s="4">
        <v>105266</v>
      </c>
      <c r="D20074" s="5" t="s">
        <v>25095</v>
      </c>
      <c r="E20074" s="6" t="str">
        <f>HYPERLINK("https://inpn.mnhn.fr/espece/cd_nom/105266","Lathyrus sylvestris L., 1753")</f>
        <v>Lathyrus sylvestris L., 1753</v>
      </c>
      <c r="F20074" s="5" t="s">
        <v>25096</v>
      </c>
      <c r="O20074" s="7" t="str">
        <f>HYPERLINK("#Liste_rouge!A"&amp;_xlfn.XMATCH("LC",Liste_rouge!A:A,2,1),"LC")</f>
        <v>LC</v>
      </c>
      <c r="P20074" s="7" t="str">
        <f>HYPERLINK("#Liste_rouge!A"&amp;_xlfn.XMATCH("LC",Liste_rouge!A:A,2,1),"LC")</f>
        <v>LC</v>
      </c>
      <c r="Q20074" s="7" t="str">
        <f>HYPERLINK("#Liste_rouge!A"&amp;_xlfn.XMATCH("LC",Liste_rouge!A:A,2,1),"LC")</f>
        <v>LC</v>
      </c>
      <c r="T20074" s="7" t="str">
        <f>HYPERLINK("#Liste_rouge!A"&amp;_xlfn.XMATCH("LC",Liste_rouge!A:A,2,1),"LC")</f>
        <v>LC</v>
      </c>
      <c r="V20074" s="7" t="str">
        <f>HYPERLINK("#Liste_rouge!A"&amp;_xlfn.XMATCH("LC",Liste_rouge!A:A,2,1),"LC")</f>
        <v>LC</v>
      </c>
      <c r="AH20074" s="4" t="str">
        <f>HYPERLINK("#Statut_biogéographique!A"&amp;_xlfn.XMATCH("P",Statut_biogéographique!A:A,2,1),"P")</f>
        <v>P</v>
      </c>
      <c r="AM20074" s="4" t="s">
        <v>375</v>
      </c>
      <c r="AN20074" s="4" t="s">
        <v>375</v>
      </c>
      <c r="AO20074" s="4" t="s">
        <v>375</v>
      </c>
      <c r="AP20074" s="4" t="s">
        <v>376</v>
      </c>
      <c r="AR20074" s="4" t="s">
        <v>377</v>
      </c>
    </row>
    <row r="20075" spans="1:44" ht="30">
      <c r="A20075" s="4" t="s">
        <v>24364</v>
      </c>
      <c r="B20075" s="4">
        <v>105273</v>
      </c>
      <c r="D20075" s="5" t="s">
        <v>25097</v>
      </c>
      <c r="E20075" s="6" t="str">
        <f>HYPERLINK("https://inpn.mnhn.fr/espece/cd_nom/105273","Lathyrus tuberosus L., 1753")</f>
        <v>Lathyrus tuberosus L., 1753</v>
      </c>
      <c r="F20075" s="5" t="s">
        <v>25098</v>
      </c>
      <c r="O20075" s="7" t="str">
        <f>HYPERLINK("#Liste_rouge!A"&amp;_xlfn.XMATCH("LC",Liste_rouge!A:A,2,1),"LC")</f>
        <v>LC</v>
      </c>
      <c r="P20075" s="7" t="str">
        <f>HYPERLINK("#Liste_rouge!A"&amp;_xlfn.XMATCH("LC",Liste_rouge!A:A,2,1),"LC")</f>
        <v>LC</v>
      </c>
      <c r="Q20075" s="7" t="str">
        <f>HYPERLINK("#Liste_rouge!A"&amp;_xlfn.XMATCH("LC",Liste_rouge!A:A,2,1),"LC")</f>
        <v>LC</v>
      </c>
      <c r="T20075" s="7" t="str">
        <f>HYPERLINK("#Liste_rouge!A"&amp;_xlfn.XMATCH("LC",Liste_rouge!A:A,2,1),"LC")</f>
        <v>LC</v>
      </c>
      <c r="V20075" s="7" t="str">
        <f>HYPERLINK("#Liste_rouge!A"&amp;_xlfn.XMATCH("LC",Liste_rouge!A:A,2,1),"LC")</f>
        <v>LC</v>
      </c>
      <c r="AH20075" s="4" t="str">
        <f>HYPERLINK("#Statut_biogéographique!A"&amp;_xlfn.XMATCH("P",Statut_biogéographique!A:A,2,1),"P")</f>
        <v>P</v>
      </c>
      <c r="AM20075" s="4" t="s">
        <v>375</v>
      </c>
      <c r="AN20075" s="4" t="s">
        <v>375</v>
      </c>
      <c r="AO20075" s="4" t="s">
        <v>375</v>
      </c>
      <c r="AP20075" s="4" t="s">
        <v>376</v>
      </c>
      <c r="AR20075" s="4" t="s">
        <v>377</v>
      </c>
    </row>
    <row r="20076" spans="1:44" ht="45">
      <c r="A20076" s="4" t="s">
        <v>24364</v>
      </c>
      <c r="B20076" s="4">
        <v>105280</v>
      </c>
      <c r="D20076" s="5" t="s">
        <v>25099</v>
      </c>
      <c r="E20076" s="6" t="str">
        <f>HYPERLINK("https://inpn.mnhn.fr/espece/cd_nom/105280","Lathyrus vernus (L.) Bernh., 1800")</f>
        <v>Lathyrus vernus (L.) Bernh., 1800</v>
      </c>
      <c r="F20076" s="5" t="s">
        <v>25100</v>
      </c>
      <c r="O20076" s="7" t="str">
        <f>HYPERLINK("#Liste_rouge!A"&amp;_xlfn.XMATCH("LC",Liste_rouge!A:A,2,1),"LC")</f>
        <v>LC</v>
      </c>
      <c r="Q20076" s="7" t="str">
        <f>HYPERLINK("#Liste_rouge!A"&amp;_xlfn.XMATCH("LC",Liste_rouge!A:A,2,1),"LC")</f>
        <v>LC</v>
      </c>
      <c r="T20076" s="7" t="str">
        <f>HYPERLINK("#Liste_rouge!A"&amp;_xlfn.XMATCH("DD",Liste_rouge!A:A,2,1),"DD (cd_nom 137160) - LC (cd_nom 105280)")</f>
        <v>DD (cd_nom 137160) - LC (cd_nom 105280)</v>
      </c>
      <c r="V20076" s="7" t="str">
        <f>HYPERLINK("#Liste_rouge!A"&amp;_xlfn.XMATCH("LC",Liste_rouge!A:A,2,1),"LC")</f>
        <v>LC</v>
      </c>
      <c r="AB20076" s="4" t="s">
        <v>25101</v>
      </c>
      <c r="AH20076" s="4" t="str">
        <f>HYPERLINK("#Statut_biogéographique!A"&amp;_xlfn.XMATCH("P",Statut_biogéographique!A:A,2,1),"P")</f>
        <v>P</v>
      </c>
      <c r="AM20076" s="4" t="s">
        <v>375</v>
      </c>
      <c r="AN20076" s="4" t="s">
        <v>375</v>
      </c>
      <c r="AO20076" s="4" t="s">
        <v>375</v>
      </c>
      <c r="AP20076" s="4" t="s">
        <v>376</v>
      </c>
      <c r="AR20076" s="4" t="s">
        <v>377</v>
      </c>
    </row>
    <row r="20077" spans="1:44">
      <c r="A20077" s="4" t="s">
        <v>24364</v>
      </c>
      <c r="B20077" s="4">
        <v>105295</v>
      </c>
      <c r="D20077" s="5" t="s">
        <v>25102</v>
      </c>
      <c r="E20077" s="6" t="str">
        <f>HYPERLINK("https://inpn.mnhn.fr/espece/cd_nom/105295","Laurus nobilis L., 1753")</f>
        <v>Laurus nobilis L., 1753</v>
      </c>
      <c r="F20077" s="5" t="s">
        <v>25103</v>
      </c>
      <c r="O20077" s="7" t="str">
        <f>HYPERLINK("#Liste_rouge!A"&amp;_xlfn.XMATCH("LC",Liste_rouge!A:A,2,1),"LC")</f>
        <v>LC</v>
      </c>
      <c r="P20077" s="7" t="str">
        <f>HYPERLINK("#Liste_rouge!A"&amp;_xlfn.XMATCH("LC",Liste_rouge!A:A,2,1),"LC")</f>
        <v>LC</v>
      </c>
      <c r="Q20077" s="7" t="str">
        <f>HYPERLINK("#Liste_rouge!A"&amp;_xlfn.XMATCH("LC",Liste_rouge!A:A,2,1),"LC")</f>
        <v>LC</v>
      </c>
      <c r="T20077" s="7" t="str">
        <f>HYPERLINK("#Liste_rouge!A"&amp;_xlfn.XMATCH("NA",Liste_rouge!A:A,2,1),"NA")</f>
        <v>NA</v>
      </c>
      <c r="AH20077" s="4" t="str">
        <f>HYPERLINK("#Statut_biogéographique!A"&amp;_xlfn.XMATCH("P",Statut_biogéographique!A:A,2,1),"P")</f>
        <v>P</v>
      </c>
      <c r="AP20077" s="4" t="s">
        <v>376</v>
      </c>
      <c r="AR20077" s="4" t="s">
        <v>377</v>
      </c>
    </row>
    <row r="20078" spans="1:44" ht="45">
      <c r="A20078" s="4" t="s">
        <v>24364</v>
      </c>
      <c r="B20078" s="4">
        <v>105297</v>
      </c>
      <c r="D20078" s="5" t="s">
        <v>25104</v>
      </c>
      <c r="E20078" s="6" t="str">
        <f>HYPERLINK("https://inpn.mnhn.fr/espece/cd_nom/105297","Lavandula angustifolia Mill., 1768")</f>
        <v>Lavandula angustifolia Mill., 1768</v>
      </c>
      <c r="F20078" s="5" t="s">
        <v>25105</v>
      </c>
      <c r="O20078" s="7" t="str">
        <f>HYPERLINK("#Liste_rouge!A"&amp;_xlfn.XMATCH("LC",Liste_rouge!A:A,2,1),"LC")</f>
        <v>LC</v>
      </c>
      <c r="P20078" s="7" t="str">
        <f>HYPERLINK("#Liste_rouge!A"&amp;_xlfn.XMATCH("LC",Liste_rouge!A:A,2,1),"LC")</f>
        <v>LC</v>
      </c>
      <c r="Q20078" s="7" t="str">
        <f>HYPERLINK("#Liste_rouge!A"&amp;_xlfn.XMATCH("LC",Liste_rouge!A:A,2,1),"LC")</f>
        <v>LC</v>
      </c>
      <c r="T20078" s="7" t="str">
        <f>HYPERLINK("#Liste_rouge!A"&amp;_xlfn.XMATCH("NA",Liste_rouge!A:A,2,1),"NA")</f>
        <v>NA</v>
      </c>
      <c r="V20078" s="7" t="str">
        <f>HYPERLINK("#Liste_rouge!A"&amp;_xlfn.XMATCH("EN",Liste_rouge!A:A,2,1),"EN")</f>
        <v>EN</v>
      </c>
      <c r="W20078" s="4" t="str">
        <f>HYPERLINK("#Critères_liste_rouge!A$1","D")</f>
        <v>D</v>
      </c>
      <c r="AB20078" s="4" t="s">
        <v>25106</v>
      </c>
      <c r="AH20078" s="4" t="str">
        <f>HYPERLINK("#Statut_biogéographique!A"&amp;_xlfn.XMATCH("P",Statut_biogéographique!A:A,2,1),"P")</f>
        <v>P</v>
      </c>
      <c r="AM20078" s="4" t="s">
        <v>375</v>
      </c>
      <c r="AN20078" s="4" t="s">
        <v>375</v>
      </c>
      <c r="AO20078" s="4" t="s">
        <v>375</v>
      </c>
      <c r="AP20078" s="4" t="s">
        <v>376</v>
      </c>
      <c r="AR20078" s="4" t="s">
        <v>377</v>
      </c>
    </row>
    <row r="20079" spans="1:44" ht="60">
      <c r="A20079" s="4" t="s">
        <v>24364</v>
      </c>
      <c r="B20079" s="4">
        <v>105400</v>
      </c>
      <c r="D20079" s="5" t="s">
        <v>25107</v>
      </c>
      <c r="E20079" s="6" t="str">
        <f>HYPERLINK("https://inpn.mnhn.fr/espece/cd_nom/105400","Leersia oryzoides (L.) Sw., 1788")</f>
        <v>Leersia oryzoides (L.) Sw., 1788</v>
      </c>
      <c r="F20079" s="5" t="s">
        <v>25108</v>
      </c>
      <c r="O20079" s="7" t="str">
        <f>HYPERLINK("#Liste_rouge!A"&amp;_xlfn.XMATCH("LC",Liste_rouge!A:A,2,1),"LC")</f>
        <v>LC</v>
      </c>
      <c r="P20079" s="7" t="str">
        <f>HYPERLINK("#Liste_rouge!A"&amp;_xlfn.XMATCH("LC",Liste_rouge!A:A,2,1),"LC")</f>
        <v>LC</v>
      </c>
      <c r="Q20079" s="7" t="str">
        <f>HYPERLINK("#Liste_rouge!A"&amp;_xlfn.XMATCH("LC",Liste_rouge!A:A,2,1),"LC")</f>
        <v>LC</v>
      </c>
      <c r="T20079" s="7" t="str">
        <f>HYPERLINK("#Liste_rouge!A"&amp;_xlfn.XMATCH("LC",Liste_rouge!A:A,2,1),"LC")</f>
        <v>LC</v>
      </c>
      <c r="V20079" s="7" t="str">
        <f>HYPERLINK("#Liste_rouge!A"&amp;_xlfn.XMATCH("LC",Liste_rouge!A:A,2,1),"LC")</f>
        <v>LC</v>
      </c>
      <c r="AH20079" s="4" t="str">
        <f>HYPERLINK("#Statut_biogéographique!A"&amp;_xlfn.XMATCH("P",Statut_biogéographique!A:A,2,1),"P")</f>
        <v>P</v>
      </c>
      <c r="AM20079" s="4" t="s">
        <v>375</v>
      </c>
      <c r="AN20079" s="4" t="s">
        <v>375</v>
      </c>
      <c r="AO20079" s="4" t="s">
        <v>375</v>
      </c>
      <c r="AP20079" s="4" t="s">
        <v>376</v>
      </c>
      <c r="AR20079" s="4" t="s">
        <v>377</v>
      </c>
    </row>
    <row r="20080" spans="1:44" ht="30">
      <c r="A20080" s="4" t="s">
        <v>24364</v>
      </c>
      <c r="B20080" s="4">
        <v>105407</v>
      </c>
      <c r="D20080" s="5" t="s">
        <v>25109</v>
      </c>
      <c r="E20080" s="6" t="str">
        <f>HYPERLINK("https://inpn.mnhn.fr/espece/cd_nom/105407","Legousia hybrida (L.) Delarbre, 1800")</f>
        <v>Legousia hybrida (L.) Delarbre, 1800</v>
      </c>
      <c r="F20080" s="5" t="s">
        <v>25110</v>
      </c>
      <c r="Q20080" s="7" t="str">
        <f>HYPERLINK("#Liste_rouge!A"&amp;_xlfn.XMATCH("LC",Liste_rouge!A:A,2,1),"LC")</f>
        <v>LC</v>
      </c>
      <c r="T20080" s="7" t="str">
        <f>HYPERLINK("#Liste_rouge!A"&amp;_xlfn.XMATCH("NT",Liste_rouge!A:A,2,1),"NT")</f>
        <v>NT</v>
      </c>
      <c r="U20080" s="4" t="str">
        <f>HYPERLINK("#Critères_liste_rouge!A$1","VU (B2ac(iii,iv)) - 1")</f>
        <v>VU (B2ac(iii,iv)) - 1</v>
      </c>
      <c r="V20080" s="7" t="str">
        <f>HYPERLINK("#Liste_rouge!A"&amp;_xlfn.XMATCH("EN",Liste_rouge!A:A,2,1),"EN")</f>
        <v>EN</v>
      </c>
      <c r="W20080" s="4" t="str">
        <f>HYPERLINK("#Critères_liste_rouge!A$1","D")</f>
        <v>D</v>
      </c>
      <c r="AB20080" s="4" t="s">
        <v>24410</v>
      </c>
      <c r="AH20080" s="4" t="str">
        <f>HYPERLINK("#Statut_biogéographique!A"&amp;_xlfn.XMATCH("P",Statut_biogéographique!A:A,2,1),"P")</f>
        <v>P</v>
      </c>
      <c r="AI20080" s="8" t="s">
        <v>25111</v>
      </c>
      <c r="AJ20080" s="4" t="s">
        <v>12248</v>
      </c>
      <c r="AM20080" s="4" t="s">
        <v>375</v>
      </c>
      <c r="AN20080" s="4" t="s">
        <v>375</v>
      </c>
      <c r="AO20080" s="4" t="s">
        <v>375</v>
      </c>
      <c r="AP20080" s="4" t="s">
        <v>376</v>
      </c>
      <c r="AR20080" s="4" t="s">
        <v>377</v>
      </c>
    </row>
    <row r="20081" spans="1:44" ht="45">
      <c r="A20081" s="4" t="s">
        <v>24364</v>
      </c>
      <c r="B20081" s="4">
        <v>105410</v>
      </c>
      <c r="D20081" s="5" t="s">
        <v>25112</v>
      </c>
      <c r="E20081" s="6" t="str">
        <f>HYPERLINK("https://inpn.mnhn.fr/espece/cd_nom/105410","Legousia speculum-veneris (L.) Chaix, 1785")</f>
        <v>Legousia speculum-veneris (L.) Chaix, 1785</v>
      </c>
      <c r="F20081" s="5" t="s">
        <v>25113</v>
      </c>
      <c r="Q20081" s="7" t="str">
        <f>HYPERLINK("#Liste_rouge!A"&amp;_xlfn.XMATCH("LC",Liste_rouge!A:A,2,1),"LC")</f>
        <v>LC</v>
      </c>
      <c r="T20081" s="7" t="str">
        <f>HYPERLINK("#Liste_rouge!A"&amp;_xlfn.XMATCH("LC",Liste_rouge!A:A,2,1),"LC")</f>
        <v>LC</v>
      </c>
      <c r="V20081" s="7" t="str">
        <f>HYPERLINK("#Liste_rouge!A"&amp;_xlfn.XMATCH("LC",Liste_rouge!A:A,2,1),"LC")</f>
        <v>LC</v>
      </c>
      <c r="AB20081" s="4" t="s">
        <v>25072</v>
      </c>
      <c r="AH20081" s="4" t="str">
        <f>HYPERLINK("#Statut_biogéographique!A"&amp;_xlfn.XMATCH("P",Statut_biogéographique!A:A,2,1),"P")</f>
        <v>P</v>
      </c>
      <c r="AI20081" s="8" t="s">
        <v>25114</v>
      </c>
      <c r="AJ20081" s="4" t="s">
        <v>12248</v>
      </c>
      <c r="AM20081" s="4" t="s">
        <v>375</v>
      </c>
      <c r="AN20081" s="4" t="s">
        <v>375</v>
      </c>
      <c r="AO20081" s="4" t="s">
        <v>375</v>
      </c>
      <c r="AP20081" s="4" t="s">
        <v>376</v>
      </c>
      <c r="AR20081" s="4" t="s">
        <v>377</v>
      </c>
    </row>
    <row r="20082" spans="1:44" ht="30">
      <c r="A20082" s="4" t="s">
        <v>24364</v>
      </c>
      <c r="B20082" s="4">
        <v>105427</v>
      </c>
      <c r="D20082" s="5" t="s">
        <v>25115</v>
      </c>
      <c r="E20082" s="6" t="str">
        <f>HYPERLINK("https://inpn.mnhn.fr/espece/cd_nom/105427","Lemna gibba L., 1753")</f>
        <v>Lemna gibba L., 1753</v>
      </c>
      <c r="F20082" s="5" t="s">
        <v>25116</v>
      </c>
      <c r="O20082" s="7" t="str">
        <f>HYPERLINK("#Liste_rouge!A"&amp;_xlfn.XMATCH("LC",Liste_rouge!A:A,2,1),"LC")</f>
        <v>LC</v>
      </c>
      <c r="P20082" s="7" t="str">
        <f>HYPERLINK("#Liste_rouge!A"&amp;_xlfn.XMATCH("LC",Liste_rouge!A:A,2,1),"LC")</f>
        <v>LC</v>
      </c>
      <c r="Q20082" s="7" t="str">
        <f>HYPERLINK("#Liste_rouge!A"&amp;_xlfn.XMATCH("LC",Liste_rouge!A:A,2,1),"LC")</f>
        <v>LC</v>
      </c>
      <c r="T20082" s="7" t="str">
        <f>HYPERLINK("#Liste_rouge!A"&amp;_xlfn.XMATCH("VU",Liste_rouge!A:A,2,1),"VU")</f>
        <v>VU</v>
      </c>
      <c r="U20082" s="4" t="str">
        <f>HYPERLINK("#Critères_liste_rouge!A$1","C2a(i)")</f>
        <v>C2a(i)</v>
      </c>
      <c r="V20082" s="7" t="str">
        <f>HYPERLINK("#Liste_rouge!A"&amp;_xlfn.XMATCH("LC",Liste_rouge!A:A,2,1),"LC")</f>
        <v>LC</v>
      </c>
      <c r="AB20082" s="4" t="s">
        <v>24803</v>
      </c>
      <c r="AH20082" s="4" t="str">
        <f>HYPERLINK("#Statut_biogéographique!A"&amp;_xlfn.XMATCH("P",Statut_biogéographique!A:A,2,1),"P")</f>
        <v>P</v>
      </c>
      <c r="AM20082" s="4" t="s">
        <v>375</v>
      </c>
      <c r="AN20082" s="4" t="s">
        <v>375</v>
      </c>
      <c r="AO20082" s="4" t="s">
        <v>375</v>
      </c>
      <c r="AP20082" s="4" t="s">
        <v>376</v>
      </c>
      <c r="AR20082" s="4" t="s">
        <v>377</v>
      </c>
    </row>
    <row r="20083" spans="1:44" ht="30">
      <c r="A20083" s="4" t="s">
        <v>24364</v>
      </c>
      <c r="B20083" s="4">
        <v>105431</v>
      </c>
      <c r="D20083" s="5" t="s">
        <v>25117</v>
      </c>
      <c r="E20083" s="6" t="str">
        <f>HYPERLINK("https://inpn.mnhn.fr/espece/cd_nom/105431","Lemna minor L., 1753")</f>
        <v>Lemna minor L., 1753</v>
      </c>
      <c r="F20083" s="5" t="s">
        <v>25118</v>
      </c>
      <c r="O20083" s="7" t="str">
        <f>HYPERLINK("#Liste_rouge!A"&amp;_xlfn.XMATCH("LC",Liste_rouge!A:A,2,1),"LC")</f>
        <v>LC</v>
      </c>
      <c r="P20083" s="7" t="str">
        <f>HYPERLINK("#Liste_rouge!A"&amp;_xlfn.XMATCH("LC",Liste_rouge!A:A,2,1),"LC")</f>
        <v>LC</v>
      </c>
      <c r="Q20083" s="7" t="str">
        <f>HYPERLINK("#Liste_rouge!A"&amp;_xlfn.XMATCH("LC",Liste_rouge!A:A,2,1),"LC")</f>
        <v>LC</v>
      </c>
      <c r="T20083" s="7" t="str">
        <f>HYPERLINK("#Liste_rouge!A"&amp;_xlfn.XMATCH("LC",Liste_rouge!A:A,2,1),"LC")</f>
        <v>LC</v>
      </c>
      <c r="V20083" s="7" t="str">
        <f>HYPERLINK("#Liste_rouge!A"&amp;_xlfn.XMATCH("LC",Liste_rouge!A:A,2,1),"LC")</f>
        <v>LC</v>
      </c>
      <c r="AH20083" s="4" t="str">
        <f>HYPERLINK("#Statut_biogéographique!A"&amp;_xlfn.XMATCH("P",Statut_biogéographique!A:A,2,1),"P")</f>
        <v>P</v>
      </c>
      <c r="AM20083" s="4" t="s">
        <v>375</v>
      </c>
      <c r="AN20083" s="4" t="s">
        <v>375</v>
      </c>
      <c r="AO20083" s="4" t="s">
        <v>375</v>
      </c>
      <c r="AP20083" s="4" t="s">
        <v>376</v>
      </c>
      <c r="AR20083" s="4" t="s">
        <v>377</v>
      </c>
    </row>
    <row r="20084" spans="1:44" ht="30">
      <c r="A20084" s="4" t="s">
        <v>24364</v>
      </c>
      <c r="B20084" s="4">
        <v>105433</v>
      </c>
      <c r="D20084" s="5" t="s">
        <v>25119</v>
      </c>
      <c r="E20084" s="6" t="str">
        <f>HYPERLINK("https://inpn.mnhn.fr/espece/cd_nom/105433","Lemna minuta Kunth, 1816")</f>
        <v>Lemna minuta Kunth, 1816</v>
      </c>
      <c r="F20084" s="5" t="s">
        <v>25120</v>
      </c>
      <c r="Q20084" s="7" t="str">
        <f>HYPERLINK("#Liste_rouge!A"&amp;_xlfn.XMATCH("NA",Liste_rouge!A:A,2,1),"NA")</f>
        <v>NA</v>
      </c>
      <c r="T20084" s="7" t="str">
        <f>HYPERLINK("#Liste_rouge!A"&amp;_xlfn.XMATCH("NA",Liste_rouge!A:A,2,1),"NA")</f>
        <v>NA</v>
      </c>
      <c r="AH20084" s="4" t="str">
        <f>HYPERLINK("#Statut_biogéographique!A"&amp;_xlfn.XMATCH("J",Statut_biogéographique!A:A,2,1),"J")</f>
        <v>J</v>
      </c>
      <c r="AM20084" s="4" t="s">
        <v>375</v>
      </c>
      <c r="AN20084" s="4" t="s">
        <v>375</v>
      </c>
      <c r="AO20084" s="4" t="s">
        <v>375</v>
      </c>
      <c r="AP20084" s="4" t="s">
        <v>376</v>
      </c>
      <c r="AR20084" s="4" t="s">
        <v>377</v>
      </c>
    </row>
    <row r="20085" spans="1:44" ht="30">
      <c r="A20085" s="4" t="s">
        <v>24364</v>
      </c>
      <c r="B20085" s="4">
        <v>105441</v>
      </c>
      <c r="D20085" s="5" t="s">
        <v>25121</v>
      </c>
      <c r="E20085" s="6" t="str">
        <f>HYPERLINK("https://inpn.mnhn.fr/espece/cd_nom/105441","Lemna trisulca L., 1753")</f>
        <v>Lemna trisulca L., 1753</v>
      </c>
      <c r="F20085" s="5" t="s">
        <v>25122</v>
      </c>
      <c r="O20085" s="7" t="str">
        <f>HYPERLINK("#Liste_rouge!A"&amp;_xlfn.XMATCH("LC",Liste_rouge!A:A,2,1),"LC")</f>
        <v>LC</v>
      </c>
      <c r="P20085" s="7" t="str">
        <f>HYPERLINK("#Liste_rouge!A"&amp;_xlfn.XMATCH("LC",Liste_rouge!A:A,2,1),"LC")</f>
        <v>LC</v>
      </c>
      <c r="Q20085" s="7" t="str">
        <f>HYPERLINK("#Liste_rouge!A"&amp;_xlfn.XMATCH("LC",Liste_rouge!A:A,2,1),"LC")</f>
        <v>LC</v>
      </c>
      <c r="T20085" s="7" t="str">
        <f>HYPERLINK("#Liste_rouge!A"&amp;_xlfn.XMATCH("LC",Liste_rouge!A:A,2,1),"LC")</f>
        <v>LC</v>
      </c>
      <c r="V20085" s="7" t="str">
        <f>HYPERLINK("#Liste_rouge!A"&amp;_xlfn.XMATCH("NT",Liste_rouge!A:A,2,1),"NT")</f>
        <v>NT</v>
      </c>
      <c r="W20085" s="4" t="str">
        <f>HYPERLINK("#Critères_liste_rouge!A$1","pr. B2b(iii)")</f>
        <v>pr. B2b(iii)</v>
      </c>
      <c r="AB20085" s="4" t="s">
        <v>24777</v>
      </c>
      <c r="AH20085" s="4" t="str">
        <f>HYPERLINK("#Statut_biogéographique!A"&amp;_xlfn.XMATCH("P",Statut_biogéographique!A:A,2,1),"P")</f>
        <v>P</v>
      </c>
      <c r="AM20085" s="4" t="s">
        <v>375</v>
      </c>
      <c r="AN20085" s="4" t="s">
        <v>375</v>
      </c>
      <c r="AO20085" s="4" t="s">
        <v>375</v>
      </c>
      <c r="AP20085" s="4" t="s">
        <v>376</v>
      </c>
      <c r="AR20085" s="4" t="s">
        <v>377</v>
      </c>
    </row>
    <row r="20086" spans="1:44" ht="45">
      <c r="A20086" s="4" t="s">
        <v>24364</v>
      </c>
      <c r="B20086" s="4">
        <v>105502</v>
      </c>
      <c r="D20086" s="5" t="s">
        <v>25123</v>
      </c>
      <c r="E20086" s="6" t="str">
        <f>HYPERLINK("https://inpn.mnhn.fr/espece/cd_nom/105502","Leontodon hispidus L., 1753")</f>
        <v>Leontodon hispidus L., 1753</v>
      </c>
      <c r="F20086" s="5" t="s">
        <v>25124</v>
      </c>
      <c r="Q20086" s="7" t="str">
        <f>HYPERLINK("#Liste_rouge!A"&amp;_xlfn.XMATCH("LC",Liste_rouge!A:A,2,1),"LC")</f>
        <v>LC</v>
      </c>
      <c r="T20086" s="7" t="str">
        <f>HYPERLINK("#Liste_rouge!A"&amp;_xlfn.XMATCH("LC",Liste_rouge!A:A,2,1),"LC")</f>
        <v>LC</v>
      </c>
      <c r="V20086" s="7" t="str">
        <f>HYPERLINK("#Liste_rouge!A"&amp;_xlfn.XMATCH("LC",Liste_rouge!A:A,2,1),"LC")</f>
        <v>LC</v>
      </c>
      <c r="AH20086" s="4" t="str">
        <f>HYPERLINK("#Statut_biogéographique!A"&amp;_xlfn.XMATCH("P",Statut_biogéographique!A:A,2,1),"P")</f>
        <v>P</v>
      </c>
      <c r="AM20086" s="4" t="s">
        <v>375</v>
      </c>
      <c r="AN20086" s="4" t="s">
        <v>375</v>
      </c>
      <c r="AO20086" s="4" t="s">
        <v>375</v>
      </c>
      <c r="AP20086" s="4" t="s">
        <v>376</v>
      </c>
      <c r="AR20086" s="4" t="s">
        <v>377</v>
      </c>
    </row>
    <row r="20087" spans="1:44" ht="30">
      <c r="A20087" s="4" t="s">
        <v>24364</v>
      </c>
      <c r="B20087" s="4">
        <v>105521</v>
      </c>
      <c r="D20087" s="5" t="s">
        <v>25125</v>
      </c>
      <c r="E20087" s="6" t="str">
        <f>HYPERLINK("https://inpn.mnhn.fr/espece/cd_nom/105521","Leontodon saxatilis Lam., 1779")</f>
        <v>Leontodon saxatilis Lam., 1779</v>
      </c>
      <c r="F20087" s="5" t="s">
        <v>25126</v>
      </c>
      <c r="Q20087" s="7" t="str">
        <f>HYPERLINK("#Liste_rouge!A"&amp;_xlfn.XMATCH("LC",Liste_rouge!A:A,2,1),"LC")</f>
        <v>LC</v>
      </c>
      <c r="T20087" s="7" t="str">
        <f>HYPERLINK("#Liste_rouge!A"&amp;_xlfn.XMATCH("LC",Liste_rouge!A:A,2,1),"LC")</f>
        <v>LC</v>
      </c>
      <c r="V20087" s="7" t="str">
        <f>HYPERLINK("#Liste_rouge!A"&amp;_xlfn.XMATCH("LC",Liste_rouge!A:A,2,1),"LC")</f>
        <v>LC</v>
      </c>
      <c r="AB20087" s="4" t="s">
        <v>25127</v>
      </c>
      <c r="AH20087" s="4" t="str">
        <f>HYPERLINK("#Statut_biogéographique!A"&amp;_xlfn.XMATCH("P",Statut_biogéographique!A:A,2,1),"P")</f>
        <v>P</v>
      </c>
      <c r="AM20087" s="4" t="s">
        <v>375</v>
      </c>
      <c r="AN20087" s="4" t="s">
        <v>375</v>
      </c>
      <c r="AO20087" s="4" t="s">
        <v>375</v>
      </c>
      <c r="AP20087" s="4" t="s">
        <v>376</v>
      </c>
      <c r="AR20087" s="4" t="s">
        <v>377</v>
      </c>
    </row>
    <row r="20088" spans="1:44" ht="45">
      <c r="A20088" s="4" t="s">
        <v>24364</v>
      </c>
      <c r="B20088" s="4">
        <v>105548</v>
      </c>
      <c r="D20088" s="5" t="s">
        <v>25128</v>
      </c>
      <c r="E20088" s="6" t="str">
        <f>HYPERLINK("https://inpn.mnhn.fr/espece/cd_nom/105548","Leonurus cardiaca L., 1753")</f>
        <v>Leonurus cardiaca L., 1753</v>
      </c>
      <c r="F20088" s="5" t="s">
        <v>25129</v>
      </c>
      <c r="P20088" s="7" t="str">
        <f>HYPERLINK("#Liste_rouge!A"&amp;_xlfn.XMATCH("LC",Liste_rouge!A:A,2,1),"LC")</f>
        <v>LC</v>
      </c>
      <c r="Q20088" s="7" t="str">
        <f>HYPERLINK("#Liste_rouge!A"&amp;_xlfn.XMATCH("NT",Liste_rouge!A:A,2,1),"NT")</f>
        <v>NT</v>
      </c>
      <c r="T20088" s="7" t="str">
        <f>HYPERLINK("#Liste_rouge!A"&amp;_xlfn.XMATCH("VU",Liste_rouge!A:A,2,1),"VU")</f>
        <v>VU</v>
      </c>
      <c r="U20088" s="4" t="str">
        <f>HYPERLINK("#Critères_liste_rouge!A$1","D2")</f>
        <v>D2</v>
      </c>
      <c r="V20088" s="7" t="str">
        <f>HYPERLINK("#Liste_rouge!A"&amp;_xlfn.XMATCH("CR",Liste_rouge!A:A,2,1),"CR")</f>
        <v>CR</v>
      </c>
      <c r="W20088" s="4" t="str">
        <f>HYPERLINK("#Critères_liste_rouge!A$1","D")</f>
        <v>D</v>
      </c>
      <c r="X20088" s="5" t="s">
        <v>374</v>
      </c>
      <c r="AB20088" s="4" t="s">
        <v>93</v>
      </c>
      <c r="AH20088" s="4" t="str">
        <f>HYPERLINK("#Statut_biogéographique!A"&amp;_xlfn.XMATCH("P",Statut_biogéographique!A:A,2,1),"P")</f>
        <v>P</v>
      </c>
      <c r="AM20088" s="4" t="s">
        <v>375</v>
      </c>
      <c r="AN20088" s="4" t="s">
        <v>375</v>
      </c>
      <c r="AO20088" s="4" t="s">
        <v>375</v>
      </c>
      <c r="AP20088" s="4" t="s">
        <v>376</v>
      </c>
      <c r="AR20088" s="4" t="s">
        <v>377</v>
      </c>
    </row>
    <row r="20089" spans="1:44" ht="90">
      <c r="A20089" s="4" t="s">
        <v>24364</v>
      </c>
      <c r="B20089" s="4">
        <v>105607</v>
      </c>
      <c r="D20089" s="5" t="s">
        <v>25130</v>
      </c>
      <c r="E20089" s="6" t="str">
        <f>HYPERLINK("https://inpn.mnhn.fr/espece/cd_nom/105607","Lepidium campestre (L.) W.T.Aiton, 1812")</f>
        <v>Lepidium campestre (L.) W.T.Aiton, 1812</v>
      </c>
      <c r="F20089" s="5" t="s">
        <v>25131</v>
      </c>
      <c r="P20089" s="7" t="str">
        <f>HYPERLINK("#Liste_rouge!A"&amp;_xlfn.XMATCH("LC",Liste_rouge!A:A,2,1),"LC")</f>
        <v>LC</v>
      </c>
      <c r="Q20089" s="7" t="str">
        <f>HYPERLINK("#Liste_rouge!A"&amp;_xlfn.XMATCH("LC",Liste_rouge!A:A,2,1),"LC")</f>
        <v>LC</v>
      </c>
      <c r="T20089" s="7" t="str">
        <f>HYPERLINK("#Liste_rouge!A"&amp;_xlfn.XMATCH("LC",Liste_rouge!A:A,2,1),"LC")</f>
        <v>LC</v>
      </c>
      <c r="V20089" s="7" t="str">
        <f>HYPERLINK("#Liste_rouge!A"&amp;_xlfn.XMATCH("LC",Liste_rouge!A:A,2,1),"LC")</f>
        <v>LC</v>
      </c>
      <c r="AH20089" s="4" t="str">
        <f>HYPERLINK("#Statut_biogéographique!A"&amp;_xlfn.XMATCH("P",Statut_biogéographique!A:A,2,1),"P")</f>
        <v>P</v>
      </c>
      <c r="AM20089" s="4" t="s">
        <v>375</v>
      </c>
      <c r="AN20089" s="4" t="s">
        <v>375</v>
      </c>
      <c r="AO20089" s="4" t="s">
        <v>375</v>
      </c>
      <c r="AP20089" s="4" t="s">
        <v>376</v>
      </c>
      <c r="AR20089" s="4" t="s">
        <v>377</v>
      </c>
    </row>
    <row r="20090" spans="1:44" ht="30">
      <c r="A20090" s="4" t="s">
        <v>24364</v>
      </c>
      <c r="B20090" s="4">
        <v>105612</v>
      </c>
      <c r="D20090" s="5" t="s">
        <v>25132</v>
      </c>
      <c r="E20090" s="6" t="str">
        <f>HYPERLINK("https://inpn.mnhn.fr/espece/cd_nom/105612","Lepidium densiflorum Schrad., 1832")</f>
        <v>Lepidium densiflorum Schrad., 1832</v>
      </c>
      <c r="F20090" s="5" t="s">
        <v>25133</v>
      </c>
      <c r="Q20090" s="7" t="str">
        <f>HYPERLINK("#Liste_rouge!A"&amp;_xlfn.XMATCH("NA",Liste_rouge!A:A,2,1),"NA")</f>
        <v>NA</v>
      </c>
      <c r="T20090" s="7" t="str">
        <f>HYPERLINK("#Liste_rouge!A"&amp;_xlfn.XMATCH("NA",Liste_rouge!A:A,2,1),"NA")</f>
        <v>NA</v>
      </c>
      <c r="AH20090" s="4" t="str">
        <f>HYPERLINK("#Statut_biogéographique!A"&amp;_xlfn.XMATCH("I",Statut_biogéographique!A:A,2,1),"I")</f>
        <v>I</v>
      </c>
      <c r="AM20090" s="4" t="s">
        <v>375</v>
      </c>
      <c r="AN20090" s="4" t="s">
        <v>375</v>
      </c>
      <c r="AO20090" s="4" t="s">
        <v>375</v>
      </c>
      <c r="AP20090" s="4" t="s">
        <v>376</v>
      </c>
      <c r="AR20090" s="4" t="s">
        <v>377</v>
      </c>
    </row>
    <row r="20091" spans="1:44" ht="60">
      <c r="A20091" s="4" t="s">
        <v>24364</v>
      </c>
      <c r="B20091" s="4">
        <v>105615</v>
      </c>
      <c r="D20091" s="5" t="s">
        <v>25134</v>
      </c>
      <c r="E20091" s="6" t="str">
        <f>HYPERLINK("https://inpn.mnhn.fr/espece/cd_nom/105615","Lepidium didymum L., 1767")</f>
        <v>Lepidium didymum L., 1767</v>
      </c>
      <c r="F20091" s="5" t="s">
        <v>25135</v>
      </c>
      <c r="Q20091" s="7" t="str">
        <f>HYPERLINK("#Liste_rouge!A"&amp;_xlfn.XMATCH("NA",Liste_rouge!A:A,2,1),"NA")</f>
        <v>NA</v>
      </c>
      <c r="T20091" s="7" t="str">
        <f>HYPERLINK("#Liste_rouge!A"&amp;_xlfn.XMATCH("NA",Liste_rouge!A:A,2,1),"NA")</f>
        <v>NA</v>
      </c>
      <c r="AH20091" s="4" t="str">
        <f>HYPERLINK("#Statut_biogéographique!A"&amp;_xlfn.XMATCH("I",Statut_biogéographique!A:A,2,1),"I")</f>
        <v>I</v>
      </c>
      <c r="AM20091" s="4" t="s">
        <v>375</v>
      </c>
      <c r="AN20091" s="4" t="s">
        <v>375</v>
      </c>
      <c r="AO20091" s="4" t="s">
        <v>375</v>
      </c>
      <c r="AP20091" s="4" t="s">
        <v>376</v>
      </c>
      <c r="AR20091" s="4" t="s">
        <v>377</v>
      </c>
    </row>
    <row r="20092" spans="1:44" ht="45">
      <c r="A20092" s="4" t="s">
        <v>24364</v>
      </c>
      <c r="B20092" s="4">
        <v>105621</v>
      </c>
      <c r="D20092" s="5" t="s">
        <v>25136</v>
      </c>
      <c r="E20092" s="6" t="str">
        <f>HYPERLINK("https://inpn.mnhn.fr/espece/cd_nom/105621","Lepidium draba L., 1753")</f>
        <v>Lepidium draba L., 1753</v>
      </c>
      <c r="F20092" s="5" t="s">
        <v>25137</v>
      </c>
      <c r="Q20092" s="7" t="str">
        <f>HYPERLINK("#Liste_rouge!A"&amp;_xlfn.XMATCH("LC",Liste_rouge!A:A,2,1),"LC")</f>
        <v>LC</v>
      </c>
      <c r="T20092" s="7" t="str">
        <f>HYPERLINK("#Liste_rouge!A"&amp;_xlfn.XMATCH("NA",Liste_rouge!A:A,2,1),"NA")</f>
        <v>NA</v>
      </c>
      <c r="AH20092" s="4" t="str">
        <f>HYPERLINK("#Statut_biogéographique!A"&amp;_xlfn.XMATCH("P",Statut_biogéographique!A:A,2,1),"P")</f>
        <v>P</v>
      </c>
      <c r="AM20092" s="4" t="s">
        <v>375</v>
      </c>
      <c r="AN20092" s="4" t="s">
        <v>375</v>
      </c>
      <c r="AO20092" s="4" t="s">
        <v>375</v>
      </c>
      <c r="AP20092" s="4" t="s">
        <v>376</v>
      </c>
      <c r="AR20092" s="4" t="s">
        <v>377</v>
      </c>
    </row>
    <row r="20093" spans="1:44" ht="90">
      <c r="A20093" s="4" t="s">
        <v>24364</v>
      </c>
      <c r="B20093" s="4">
        <v>105628</v>
      </c>
      <c r="D20093" s="5" t="s">
        <v>25138</v>
      </c>
      <c r="E20093" s="6" t="str">
        <f>HYPERLINK("https://inpn.mnhn.fr/espece/cd_nom/105628","Lepidium graminifolium L., 1759")</f>
        <v>Lepidium graminifolium L., 1759</v>
      </c>
      <c r="F20093" s="5" t="s">
        <v>25139</v>
      </c>
      <c r="P20093" s="7" t="str">
        <f>HYPERLINK("#Liste_rouge!A"&amp;_xlfn.XMATCH("LC",Liste_rouge!A:A,2,1),"LC")</f>
        <v>LC</v>
      </c>
      <c r="Q20093" s="7" t="str">
        <f>HYPERLINK("#Liste_rouge!A"&amp;_xlfn.XMATCH("LC",Liste_rouge!A:A,2,1),"LC")</f>
        <v>LC</v>
      </c>
      <c r="T20093" s="7" t="str">
        <f>HYPERLINK("#Liste_rouge!A"&amp;_xlfn.XMATCH("NA",Liste_rouge!A:A,2,1),"NA")</f>
        <v>NA</v>
      </c>
      <c r="AH20093" s="4" t="str">
        <f>HYPERLINK("#Statut_biogéographique!A"&amp;_xlfn.XMATCH("P",Statut_biogéographique!A:A,2,1),"P")</f>
        <v>P</v>
      </c>
      <c r="AM20093" s="4" t="s">
        <v>375</v>
      </c>
      <c r="AN20093" s="4" t="s">
        <v>375</v>
      </c>
      <c r="AO20093" s="4" t="s">
        <v>375</v>
      </c>
      <c r="AP20093" s="4" t="s">
        <v>376</v>
      </c>
      <c r="AR20093" s="4" t="s">
        <v>377</v>
      </c>
    </row>
    <row r="20094" spans="1:44" ht="60">
      <c r="A20094" s="4" t="s">
        <v>24364</v>
      </c>
      <c r="B20094" s="4">
        <v>105630</v>
      </c>
      <c r="D20094" s="5" t="s">
        <v>25140</v>
      </c>
      <c r="E20094" s="6" t="str">
        <f>HYPERLINK("https://inpn.mnhn.fr/espece/cd_nom/105630","Lepidium heterophyllum Benth., 1826")</f>
        <v>Lepidium heterophyllum Benth., 1826</v>
      </c>
      <c r="F20094" s="5" t="s">
        <v>25141</v>
      </c>
      <c r="O20094" s="7" t="str">
        <f>HYPERLINK("#Liste_rouge!A"&amp;_xlfn.XMATCH("LC",Liste_rouge!A:A,2,1),"LC")</f>
        <v>LC</v>
      </c>
      <c r="P20094" s="7" t="str">
        <f>HYPERLINK("#Liste_rouge!A"&amp;_xlfn.XMATCH("LC",Liste_rouge!A:A,2,1),"LC")</f>
        <v>LC</v>
      </c>
      <c r="Q20094" s="7" t="str">
        <f>HYPERLINK("#Liste_rouge!A"&amp;_xlfn.XMATCH("LC",Liste_rouge!A:A,2,1),"LC")</f>
        <v>LC</v>
      </c>
      <c r="T20094" s="7" t="str">
        <f>HYPERLINK("#Liste_rouge!A"&amp;_xlfn.XMATCH("NT",Liste_rouge!A:A,2,1),"NT")</f>
        <v>NT</v>
      </c>
      <c r="U20094" s="4" t="str">
        <f>HYPERLINK("#Critères_liste_rouge!A$1","pr. B2a &amp; D2")</f>
        <v>pr. B2a &amp; D2</v>
      </c>
      <c r="AB20094" s="4" t="s">
        <v>25127</v>
      </c>
      <c r="AH20094" s="4" t="str">
        <f>HYPERLINK("#Statut_biogéographique!A"&amp;_xlfn.XMATCH("P",Statut_biogéographique!A:A,2,1),"P")</f>
        <v>P</v>
      </c>
      <c r="AM20094" s="4" t="s">
        <v>375</v>
      </c>
      <c r="AN20094" s="4" t="s">
        <v>375</v>
      </c>
      <c r="AO20094" s="4" t="s">
        <v>375</v>
      </c>
      <c r="AP20094" s="4" t="s">
        <v>376</v>
      </c>
      <c r="AR20094" s="4" t="s">
        <v>377</v>
      </c>
    </row>
    <row r="20095" spans="1:44">
      <c r="A20095" s="4" t="s">
        <v>24364</v>
      </c>
      <c r="B20095" s="4">
        <v>105631</v>
      </c>
      <c r="D20095" s="5" t="s">
        <v>25142</v>
      </c>
      <c r="E20095" s="6" t="str">
        <f>HYPERLINK("https://inpn.mnhn.fr/espece/cd_nom/105631","Lepidium hirtum (L.) Sm., 1818")</f>
        <v>Lepidium hirtum (L.) Sm., 1818</v>
      </c>
      <c r="F20095" s="5" t="s">
        <v>25143</v>
      </c>
      <c r="P20095" s="7" t="str">
        <f>HYPERLINK("#Liste_rouge!A"&amp;_xlfn.XMATCH("LC",Liste_rouge!A:A,2,1),"LC")</f>
        <v>LC</v>
      </c>
      <c r="Q20095" s="7" t="str">
        <f>HYPERLINK("#Liste_rouge!A"&amp;_xlfn.XMATCH("LC",Liste_rouge!A:A,2,1),"LC")</f>
        <v>LC</v>
      </c>
      <c r="T20095" s="7" t="str">
        <f>HYPERLINK("#Liste_rouge!A"&amp;_xlfn.XMATCH("NA",Liste_rouge!A:A,2,1),"NA")</f>
        <v>NA</v>
      </c>
      <c r="AH20095" s="4" t="str">
        <f>HYPERLINK("#Statut_biogéographique!A"&amp;_xlfn.XMATCH("P",Statut_biogéographique!A:A,2,1),"P")</f>
        <v>P</v>
      </c>
      <c r="AP20095" s="4" t="s">
        <v>376</v>
      </c>
      <c r="AR20095" s="4" t="s">
        <v>377</v>
      </c>
    </row>
    <row r="20096" spans="1:44" ht="30">
      <c r="A20096" s="4" t="s">
        <v>24364</v>
      </c>
      <c r="B20096" s="4">
        <v>105641</v>
      </c>
      <c r="D20096" s="5" t="s">
        <v>25144</v>
      </c>
      <c r="E20096" s="6" t="str">
        <f>HYPERLINK("https://inpn.mnhn.fr/espece/cd_nom/105641","Lepidium latifolium L., 1753")</f>
        <v>Lepidium latifolium L., 1753</v>
      </c>
      <c r="F20096" s="5" t="s">
        <v>25145</v>
      </c>
      <c r="P20096" s="7" t="str">
        <f>HYPERLINK("#Liste_rouge!A"&amp;_xlfn.XMATCH("LC",Liste_rouge!A:A,2,1),"LC")</f>
        <v>LC</v>
      </c>
      <c r="Q20096" s="7" t="str">
        <f>HYPERLINK("#Liste_rouge!A"&amp;_xlfn.XMATCH("LC",Liste_rouge!A:A,2,1),"LC")</f>
        <v>LC</v>
      </c>
      <c r="T20096" s="7" t="str">
        <f>HYPERLINK("#Liste_rouge!A"&amp;_xlfn.XMATCH("NA",Liste_rouge!A:A,2,1),"NA")</f>
        <v>NA</v>
      </c>
      <c r="AH20096" s="4" t="str">
        <f>HYPERLINK("#Statut_biogéographique!A"&amp;_xlfn.XMATCH("P",Statut_biogéographique!A:A,2,1),"P")</f>
        <v>P</v>
      </c>
      <c r="AP20096" s="4" t="s">
        <v>376</v>
      </c>
      <c r="AR20096" s="4" t="s">
        <v>377</v>
      </c>
    </row>
    <row r="20097" spans="1:44">
      <c r="A20097" s="4" t="s">
        <v>24364</v>
      </c>
      <c r="B20097" s="4">
        <v>105658</v>
      </c>
      <c r="D20097" s="5" t="s">
        <v>25146</v>
      </c>
      <c r="E20097" s="6" t="str">
        <f>HYPERLINK("https://inpn.mnhn.fr/espece/cd_nom/105658","Lepidium perfoliatum L., 1753")</f>
        <v>Lepidium perfoliatum L., 1753</v>
      </c>
      <c r="F20097" s="5" t="s">
        <v>25147</v>
      </c>
      <c r="P20097" s="7" t="str">
        <f>HYPERLINK("#Liste_rouge!A"&amp;_xlfn.XMATCH("LC",Liste_rouge!A:A,2,1),"LC")</f>
        <v>LC</v>
      </c>
      <c r="Q20097" s="7" t="str">
        <f>HYPERLINK("#Liste_rouge!A"&amp;_xlfn.XMATCH("NA",Liste_rouge!A:A,2,1),"NA")</f>
        <v>NA</v>
      </c>
      <c r="T20097" s="7" t="str">
        <f>HYPERLINK("#Liste_rouge!A"&amp;_xlfn.XMATCH("NA",Liste_rouge!A:A,2,1),"NA")</f>
        <v>NA</v>
      </c>
      <c r="AH20097" s="4" t="str">
        <f>HYPERLINK("#Statut_biogéographique!A"&amp;_xlfn.XMATCH("M",Statut_biogéographique!A:A,2,1),"M")</f>
        <v>M</v>
      </c>
      <c r="AP20097" s="4" t="s">
        <v>376</v>
      </c>
      <c r="AR20097" s="4" t="s">
        <v>377</v>
      </c>
    </row>
    <row r="20098" spans="1:44" ht="60">
      <c r="A20098" s="4" t="s">
        <v>24364</v>
      </c>
      <c r="B20098" s="4">
        <v>105671</v>
      </c>
      <c r="D20098" s="5" t="s">
        <v>25148</v>
      </c>
      <c r="E20098" s="6" t="str">
        <f>HYPERLINK("https://inpn.mnhn.fr/espece/cd_nom/105671","Lepidium ruderale L., 1753")</f>
        <v>Lepidium ruderale L., 1753</v>
      </c>
      <c r="F20098" s="5" t="s">
        <v>25149</v>
      </c>
      <c r="P20098" s="7" t="str">
        <f>HYPERLINK("#Liste_rouge!A"&amp;_xlfn.XMATCH("LC",Liste_rouge!A:A,2,1),"LC")</f>
        <v>LC</v>
      </c>
      <c r="Q20098" s="7" t="str">
        <f>HYPERLINK("#Liste_rouge!A"&amp;_xlfn.XMATCH("LC",Liste_rouge!A:A,2,1),"LC")</f>
        <v>LC</v>
      </c>
      <c r="T20098" s="7" t="str">
        <f>HYPERLINK("#Liste_rouge!A"&amp;_xlfn.XMATCH("NA",Liste_rouge!A:A,2,1),"NA")</f>
        <v>NA</v>
      </c>
      <c r="AH20098" s="4" t="str">
        <f>HYPERLINK("#Statut_biogéographique!A"&amp;_xlfn.XMATCH("P",Statut_biogéographique!A:A,2,1),"P")</f>
        <v>P</v>
      </c>
      <c r="AM20098" s="4" t="s">
        <v>375</v>
      </c>
      <c r="AN20098" s="4" t="s">
        <v>375</v>
      </c>
      <c r="AO20098" s="4" t="s">
        <v>375</v>
      </c>
      <c r="AP20098" s="4" t="s">
        <v>376</v>
      </c>
      <c r="AR20098" s="4" t="s">
        <v>377</v>
      </c>
    </row>
    <row r="20099" spans="1:44" ht="45">
      <c r="A20099" s="4" t="s">
        <v>24364</v>
      </c>
      <c r="B20099" s="4">
        <v>105673</v>
      </c>
      <c r="D20099" s="5" t="s">
        <v>25150</v>
      </c>
      <c r="E20099" s="6" t="str">
        <f>HYPERLINK("https://inpn.mnhn.fr/espece/cd_nom/105673","Lepidium sativum L., 1753")</f>
        <v>Lepidium sativum L., 1753</v>
      </c>
      <c r="F20099" s="5" t="s">
        <v>25151</v>
      </c>
      <c r="Q20099" s="7" t="str">
        <f>HYPERLINK("#Liste_rouge!A"&amp;_xlfn.XMATCH("NA",Liste_rouge!A:A,2,1),"NA")</f>
        <v>NA</v>
      </c>
      <c r="T20099" s="7" t="str">
        <f>HYPERLINK("#Liste_rouge!A"&amp;_xlfn.XMATCH("NA",Liste_rouge!A:A,2,1),"NA")</f>
        <v>NA</v>
      </c>
      <c r="AH20099" s="4" t="str">
        <f>HYPERLINK("#Statut_biogéographique!A"&amp;_xlfn.XMATCH("M",Statut_biogéographique!A:A,2,1),"M")</f>
        <v>M</v>
      </c>
      <c r="AP20099" s="4" t="s">
        <v>376</v>
      </c>
      <c r="AR20099" s="4" t="s">
        <v>377</v>
      </c>
    </row>
    <row r="20100" spans="1:44" ht="60">
      <c r="A20100" s="4" t="s">
        <v>24364</v>
      </c>
      <c r="B20100" s="4">
        <v>105689</v>
      </c>
      <c r="D20100" s="5" t="s">
        <v>25152</v>
      </c>
      <c r="E20100" s="6" t="str">
        <f>HYPERLINK("https://inpn.mnhn.fr/espece/cd_nom/105689","Lepidium virginicum L., 1753")</f>
        <v>Lepidium virginicum L., 1753</v>
      </c>
      <c r="F20100" s="5" t="s">
        <v>25153</v>
      </c>
      <c r="Q20100" s="7" t="str">
        <f>HYPERLINK("#Liste_rouge!A"&amp;_xlfn.XMATCH("NA",Liste_rouge!A:A,2,1),"NA")</f>
        <v>NA</v>
      </c>
      <c r="T20100" s="7" t="str">
        <f>HYPERLINK("#Liste_rouge!A"&amp;_xlfn.XMATCH("NA",Liste_rouge!A:A,2,1),"NA")</f>
        <v>NA</v>
      </c>
      <c r="AH20100" s="4" t="str">
        <f>HYPERLINK("#Statut_biogéographique!A"&amp;_xlfn.XMATCH("I",Statut_biogéographique!A:A,2,1),"I")</f>
        <v>I</v>
      </c>
      <c r="AM20100" s="4" t="s">
        <v>375</v>
      </c>
      <c r="AN20100" s="4" t="s">
        <v>375</v>
      </c>
      <c r="AO20100" s="4" t="s">
        <v>375</v>
      </c>
      <c r="AP20100" s="4" t="s">
        <v>376</v>
      </c>
      <c r="AR20100" s="4" t="s">
        <v>377</v>
      </c>
    </row>
    <row r="20101" spans="1:44">
      <c r="A20101" s="4" t="s">
        <v>24364</v>
      </c>
      <c r="B20101" s="4">
        <v>105795</v>
      </c>
      <c r="D20101" s="5" t="s">
        <v>25154</v>
      </c>
      <c r="E20101" s="6" t="str">
        <f>HYPERLINK("https://inpn.mnhn.fr/espece/cd_nom/105795","Leucanthemum ircutianum DC., 1838")</f>
        <v>Leucanthemum ircutianum DC., 1838</v>
      </c>
      <c r="F20101" s="5" t="s">
        <v>25155</v>
      </c>
      <c r="Q20101" s="7" t="str">
        <f>HYPERLINK("#Liste_rouge!A"&amp;_xlfn.XMATCH("LC",Liste_rouge!A:A,2,1),"LC")</f>
        <v>LC</v>
      </c>
      <c r="V20101" s="7" t="str">
        <f>HYPERLINK("#Liste_rouge!A"&amp;_xlfn.XMATCH("LC",Liste_rouge!A:A,2,1),"LC")</f>
        <v>LC</v>
      </c>
      <c r="AH20101" s="4" t="str">
        <f>HYPERLINK("#Statut_biogéographique!A"&amp;_xlfn.XMATCH("P",Statut_biogéographique!A:A,2,1),"P")</f>
        <v>P</v>
      </c>
      <c r="AM20101" s="4" t="s">
        <v>375</v>
      </c>
      <c r="AN20101" s="4" t="s">
        <v>375</v>
      </c>
      <c r="AO20101" s="4" t="s">
        <v>375</v>
      </c>
      <c r="AP20101" s="4" t="s">
        <v>376</v>
      </c>
      <c r="AR20101" s="4" t="s">
        <v>377</v>
      </c>
    </row>
    <row r="20102" spans="1:44" ht="30">
      <c r="A20102" s="4" t="s">
        <v>24364</v>
      </c>
      <c r="B20102" s="4">
        <v>105799</v>
      </c>
      <c r="D20102" s="5" t="s">
        <v>25156</v>
      </c>
      <c r="E20102" s="6" t="str">
        <f>HYPERLINK("https://inpn.mnhn.fr/espece/cd_nom/105799","Leucanthemum maximum (Ramond) DC., 1837")</f>
        <v>Leucanthemum maximum (Ramond) DC., 1837</v>
      </c>
      <c r="F20102" s="5" t="s">
        <v>25157</v>
      </c>
      <c r="Q20102" s="7" t="str">
        <f>HYPERLINK("#Liste_rouge!A"&amp;_xlfn.XMATCH("LC",Liste_rouge!A:A,2,1),"LC")</f>
        <v>LC</v>
      </c>
      <c r="T20102" s="7" t="str">
        <f>HYPERLINK("#Liste_rouge!A"&amp;_xlfn.XMATCH("NA",Liste_rouge!A:A,2,1),"NA")</f>
        <v>NA</v>
      </c>
      <c r="AH20102" s="4" t="str">
        <f>HYPERLINK("#Statut_biogéographique!A"&amp;_xlfn.XMATCH("P",Statut_biogéographique!A:A,2,1),"P")</f>
        <v>P</v>
      </c>
      <c r="AP20102" s="4" t="s">
        <v>376</v>
      </c>
      <c r="AR20102" s="4" t="s">
        <v>377</v>
      </c>
    </row>
    <row r="20103" spans="1:44" ht="105">
      <c r="A20103" s="4" t="s">
        <v>24364</v>
      </c>
      <c r="B20103" s="4">
        <v>105817</v>
      </c>
      <c r="D20103" s="5" t="s">
        <v>25158</v>
      </c>
      <c r="E20103" s="6" t="str">
        <f>HYPERLINK("https://inpn.mnhn.fr/espece/cd_nom/105817","Leucanthemum vulgare Lam., 1779")</f>
        <v>Leucanthemum vulgare Lam., 1779</v>
      </c>
      <c r="F20103" s="5" t="s">
        <v>25159</v>
      </c>
      <c r="Q20103" s="7" t="str">
        <f>HYPERLINK("#Liste_rouge!A"&amp;_xlfn.XMATCH("DD",Liste_rouge!A:A,2,1),"DD")</f>
        <v>DD</v>
      </c>
      <c r="T20103" s="7" t="str">
        <f>HYPERLINK("#Liste_rouge!A"&amp;_xlfn.XMATCH("LC",Liste_rouge!A:A,2,1),"LC (cd_nom 105817) - DD (cd_nom 137270)")</f>
        <v>LC (cd_nom 105817) - DD (cd_nom 137270)</v>
      </c>
      <c r="V20103" s="7" t="str">
        <f>HYPERLINK("#Liste_rouge!A"&amp;_xlfn.XMATCH("DD",Liste_rouge!A:A,2,1),"DD")</f>
        <v>DD</v>
      </c>
      <c r="AH20103" s="4" t="str">
        <f>HYPERLINK("#Statut_biogéographique!A"&amp;_xlfn.XMATCH("P",Statut_biogéographique!A:A,2,1),"P")</f>
        <v>P</v>
      </c>
      <c r="AM20103" s="4" t="s">
        <v>375</v>
      </c>
      <c r="AN20103" s="4" t="s">
        <v>375</v>
      </c>
      <c r="AO20103" s="4" t="s">
        <v>375</v>
      </c>
      <c r="AP20103" s="4" t="s">
        <v>376</v>
      </c>
      <c r="AR20103" s="4" t="s">
        <v>377</v>
      </c>
    </row>
    <row r="20104" spans="1:44" ht="30">
      <c r="A20104" s="4" t="s">
        <v>24364</v>
      </c>
      <c r="B20104" s="4">
        <v>105827</v>
      </c>
      <c r="D20104" s="5" t="s">
        <v>25160</v>
      </c>
      <c r="E20104" s="6" t="str">
        <f>HYPERLINK("https://inpn.mnhn.fr/espece/cd_nom/105827","Leucojum aestivum L., 1759")</f>
        <v>Leucojum aestivum L., 1759</v>
      </c>
      <c r="F20104" s="5" t="s">
        <v>25161</v>
      </c>
      <c r="L20104" s="4" t="str">
        <f>HYPERLINK("#Réglementation!A"&amp;_xlfn.XMATCH("NV1",Réglementation!A:A,2,1),"NV1")</f>
        <v>NV1</v>
      </c>
      <c r="O20104" s="7" t="str">
        <f>HYPERLINK("#Liste_rouge!A"&amp;_xlfn.XMATCH("LC",Liste_rouge!A:A,2,1),"LC")</f>
        <v>LC</v>
      </c>
      <c r="Q20104" s="7" t="str">
        <f>HYPERLINK("#Liste_rouge!A"&amp;_xlfn.XMATCH("NT",Liste_rouge!A:A,2,1),"NT")</f>
        <v>NT</v>
      </c>
      <c r="V20104" s="7" t="str">
        <f>HYPERLINK("#Liste_rouge!A"&amp;_xlfn.XMATCH("EN",Liste_rouge!A:A,2,1),"EN")</f>
        <v>EN</v>
      </c>
      <c r="W20104" s="4" t="str">
        <f>HYPERLINK("#Critères_liste_rouge!A$1","B2ab(iii)")</f>
        <v>B2ab(iii)</v>
      </c>
      <c r="X20104" s="5" t="s">
        <v>374</v>
      </c>
      <c r="AB20104" s="4" t="s">
        <v>93</v>
      </c>
      <c r="AD20104" s="4" t="s">
        <v>11319</v>
      </c>
      <c r="AH20104" s="4" t="str">
        <f>HYPERLINK("#Statut_biogéographique!A"&amp;_xlfn.XMATCH("P",Statut_biogéographique!A:A,2,1),"P")</f>
        <v>P</v>
      </c>
      <c r="AM20104" s="4" t="s">
        <v>375</v>
      </c>
      <c r="AN20104" s="4" t="s">
        <v>375</v>
      </c>
      <c r="AO20104" s="4" t="s">
        <v>375</v>
      </c>
      <c r="AP20104" s="4" t="s">
        <v>376</v>
      </c>
      <c r="AR20104" s="4" t="s">
        <v>377</v>
      </c>
    </row>
    <row r="20105" spans="1:44" ht="30">
      <c r="A20105" s="4" t="s">
        <v>24364</v>
      </c>
      <c r="B20105" s="4">
        <v>105841</v>
      </c>
      <c r="D20105" s="5" t="s">
        <v>25162</v>
      </c>
      <c r="E20105" s="6" t="str">
        <f>HYPERLINK("https://inpn.mnhn.fr/espece/cd_nom/105841","Leucojum vernum L., 1753")</f>
        <v>Leucojum vernum L., 1753</v>
      </c>
      <c r="F20105" s="5" t="s">
        <v>25163</v>
      </c>
      <c r="N20105" s="4" t="str">
        <f>HYPERLINK("#Réglementation!A"&amp;_xlfn.XMATCH("V25P2",Réglementation!A:A,2,1),"V25P2 - V70P2")</f>
        <v>V25P2 - V70P2</v>
      </c>
      <c r="O20105" s="7" t="str">
        <f>HYPERLINK("#Liste_rouge!A"&amp;_xlfn.XMATCH("LC",Liste_rouge!A:A,2,1),"LC")</f>
        <v>LC</v>
      </c>
      <c r="P20105" s="7" t="str">
        <f>HYPERLINK("#Liste_rouge!A"&amp;_xlfn.XMATCH("LC",Liste_rouge!A:A,2,1),"LC")</f>
        <v>LC</v>
      </c>
      <c r="Q20105" s="7" t="str">
        <f>HYPERLINK("#Liste_rouge!A"&amp;_xlfn.XMATCH("LC",Liste_rouge!A:A,2,1),"LC")</f>
        <v>LC</v>
      </c>
      <c r="T20105" s="7" t="str">
        <f>HYPERLINK("#Liste_rouge!A"&amp;_xlfn.XMATCH("LC",Liste_rouge!A:A,2,1),"LC")</f>
        <v>LC</v>
      </c>
      <c r="V20105" s="7" t="str">
        <f>HYPERLINK("#Liste_rouge!A"&amp;_xlfn.XMATCH("LC",Liste_rouge!A:A,2,1),"LC")</f>
        <v>LC</v>
      </c>
      <c r="AB20105" s="4" t="s">
        <v>24486</v>
      </c>
      <c r="AH20105" s="4" t="str">
        <f>HYPERLINK("#Statut_biogéographique!A"&amp;_xlfn.XMATCH("P",Statut_biogéographique!A:A,2,1),"P")</f>
        <v>P</v>
      </c>
      <c r="AK20105" s="4" t="str">
        <f>HYPERLINK("#Réglementation!A"&amp;_xlfn.XMATCH("V39P2",Réglementation!A:A,2,1),"V39P2 - V39P6 - V25P2 - V70P2")</f>
        <v>V39P2 - V39P6 - V25P2 - V70P2</v>
      </c>
      <c r="AM20105" s="4" t="s">
        <v>375</v>
      </c>
      <c r="AN20105" s="4" t="s">
        <v>375</v>
      </c>
      <c r="AO20105" s="4" t="s">
        <v>375</v>
      </c>
      <c r="AP20105" s="4" t="s">
        <v>376</v>
      </c>
      <c r="AR20105" s="4" t="s">
        <v>377</v>
      </c>
    </row>
    <row r="20106" spans="1:44" ht="30">
      <c r="A20106" s="4" t="s">
        <v>24364</v>
      </c>
      <c r="B20106" s="4">
        <v>105857</v>
      </c>
      <c r="D20106" s="5" t="s">
        <v>25164</v>
      </c>
      <c r="E20106" s="6" t="str">
        <f>HYPERLINK("https://inpn.mnhn.fr/espece/cd_nom/105857","Levisticum officinale W.D.J.Koch, 1824")</f>
        <v>Levisticum officinale W.D.J.Koch, 1824</v>
      </c>
      <c r="F20106" s="5" t="s">
        <v>25165</v>
      </c>
      <c r="Q20106" s="7" t="str">
        <f>HYPERLINK("#Liste_rouge!A"&amp;_xlfn.XMATCH("NA",Liste_rouge!A:A,2,1),"NA")</f>
        <v>NA</v>
      </c>
      <c r="T20106" s="7" t="str">
        <f>HYPERLINK("#Liste_rouge!A"&amp;_xlfn.XMATCH("NA",Liste_rouge!A:A,2,1),"NA")</f>
        <v>NA</v>
      </c>
      <c r="AH20106" s="4" t="str">
        <f>HYPERLINK("#Statut_biogéographique!A"&amp;_xlfn.XMATCH("I",Statut_biogéographique!A:A,2,1),"I")</f>
        <v>I</v>
      </c>
      <c r="AP20106" s="4" t="s">
        <v>376</v>
      </c>
      <c r="AR20106" s="4" t="s">
        <v>377</v>
      </c>
    </row>
    <row r="20107" spans="1:44" ht="45">
      <c r="A20107" s="4" t="s">
        <v>24364</v>
      </c>
      <c r="B20107" s="4">
        <v>105908</v>
      </c>
      <c r="D20107" s="5" t="s">
        <v>25166</v>
      </c>
      <c r="E20107" s="6" t="str">
        <f>HYPERLINK("https://inpn.mnhn.fr/espece/cd_nom/105908","Ligularia sibirica (L.) Cass., 1823")</f>
        <v>Ligularia sibirica (L.) Cass., 1823</v>
      </c>
      <c r="F20107" s="5" t="s">
        <v>25167</v>
      </c>
      <c r="I20107" s="4" t="str">
        <f>HYPERLINK("#Réglementation!A"&amp;_xlfn.XMATCH("IBE1",Réglementation!A:A,2,1),"IBE1")</f>
        <v>IBE1</v>
      </c>
      <c r="K20107" s="4" t="str">
        <f>HYPERLINK("#Réglementation!A"&amp;_xlfn.XMATCH("CDH2",Réglementation!A:A,2,1),"CDH2 - CDH4")</f>
        <v>CDH2 - CDH4</v>
      </c>
      <c r="L20107" s="4" t="str">
        <f>HYPERLINK("#Réglementation!A"&amp;_xlfn.XMATCH("NV1",Réglementation!A:A,2,1),"NV1")</f>
        <v>NV1</v>
      </c>
      <c r="P20107" s="7" t="str">
        <f>HYPERLINK("#Liste_rouge!A"&amp;_xlfn.XMATCH("DD",Liste_rouge!A:A,2,1),"DD")</f>
        <v>DD</v>
      </c>
      <c r="Q20107" s="7" t="str">
        <f>HYPERLINK("#Liste_rouge!A"&amp;_xlfn.XMATCH("NT",Liste_rouge!A:A,2,1),"NT")</f>
        <v>NT</v>
      </c>
      <c r="T20107" s="7" t="str">
        <f>HYPERLINK("#Liste_rouge!A"&amp;_xlfn.XMATCH("CR",Liste_rouge!A:A,2,1),"CR")</f>
        <v>CR</v>
      </c>
      <c r="U20107" s="4" t="str">
        <f>HYPERLINK("#Critères_liste_rouge!A$1","B1 B2ab(iii)")</f>
        <v>B1 B2ab(iii)</v>
      </c>
      <c r="X20107" s="5" t="s">
        <v>374</v>
      </c>
      <c r="AB20107" s="4" t="s">
        <v>93</v>
      </c>
      <c r="AE20107" s="4" t="str">
        <f>HYPERLINK("#SCAP!A"&amp;_xlfn.XMATCH("2+",SCAP!A:A,2,1),"2+")</f>
        <v>2+</v>
      </c>
      <c r="AF20107" s="4" t="str">
        <f>HYPERLINK("#SCAP!A"&amp;_xlfn.XMATCH("2+",SCAP!A:A,2,1),"2+")</f>
        <v>2+</v>
      </c>
      <c r="AH20107" s="4" t="str">
        <f>HYPERLINK("#Statut_biogéographique!A"&amp;_xlfn.XMATCH("P",Statut_biogéographique!A:A,2,1),"P")</f>
        <v>P</v>
      </c>
      <c r="AM20107" s="4" t="s">
        <v>375</v>
      </c>
      <c r="AN20107" s="4" t="s">
        <v>375</v>
      </c>
      <c r="AO20107" s="4" t="s">
        <v>375</v>
      </c>
      <c r="AP20107" s="4" t="s">
        <v>376</v>
      </c>
      <c r="AR20107" s="4" t="s">
        <v>377</v>
      </c>
    </row>
    <row r="20108" spans="1:44">
      <c r="A20108" s="4" t="s">
        <v>24364</v>
      </c>
      <c r="B20108" s="4">
        <v>105960</v>
      </c>
      <c r="D20108" s="5">
        <v>105960</v>
      </c>
      <c r="E20108" s="6" t="str">
        <f>HYPERLINK("https://inpn.mnhn.fr/espece/cd_nom/105960","Ligustrum lucidum W.T.Aiton, 1810")</f>
        <v>Ligustrum lucidum W.T.Aiton, 1810</v>
      </c>
      <c r="F20108" s="5" t="s">
        <v>25168</v>
      </c>
      <c r="O20108" s="7" t="str">
        <f>HYPERLINK("#Liste_rouge!A"&amp;_xlfn.XMATCH("LC",Liste_rouge!A:A,2,1),"LC")</f>
        <v>LC</v>
      </c>
      <c r="Q20108" s="7" t="str">
        <f>HYPERLINK("#Liste_rouge!A"&amp;_xlfn.XMATCH("NA",Liste_rouge!A:A,2,1),"NA")</f>
        <v>NA</v>
      </c>
      <c r="T20108" s="7" t="str">
        <f>HYPERLINK("#Liste_rouge!A"&amp;_xlfn.XMATCH("NA",Liste_rouge!A:A,2,1),"NA")</f>
        <v>NA</v>
      </c>
      <c r="AH20108" s="4" t="str">
        <f>HYPERLINK("#Statut_biogéographique!A"&amp;_xlfn.XMATCH("I",Statut_biogéographique!A:A,2,1),"I")</f>
        <v>I</v>
      </c>
      <c r="AP20108" s="4" t="s">
        <v>376</v>
      </c>
      <c r="AR20108" s="4" t="s">
        <v>377</v>
      </c>
    </row>
    <row r="20109" spans="1:44" ht="30">
      <c r="A20109" s="4" t="s">
        <v>24364</v>
      </c>
      <c r="B20109" s="4">
        <v>105963</v>
      </c>
      <c r="D20109" s="5" t="s">
        <v>25169</v>
      </c>
      <c r="E20109" s="6" t="str">
        <f>HYPERLINK("https://inpn.mnhn.fr/espece/cd_nom/105963","Ligustrum ovalifolium Hassk., 1844")</f>
        <v>Ligustrum ovalifolium Hassk., 1844</v>
      </c>
      <c r="F20109" s="5" t="s">
        <v>25170</v>
      </c>
      <c r="O20109" s="7" t="str">
        <f>HYPERLINK("#Liste_rouge!A"&amp;_xlfn.XMATCH("LC",Liste_rouge!A:A,2,1),"LC")</f>
        <v>LC</v>
      </c>
      <c r="Q20109" s="7" t="str">
        <f>HYPERLINK("#Liste_rouge!A"&amp;_xlfn.XMATCH("NA",Liste_rouge!A:A,2,1),"NA")</f>
        <v>NA</v>
      </c>
      <c r="AH20109" s="4" t="str">
        <f>HYPERLINK("#Statut_biogéographique!A"&amp;_xlfn.XMATCH("M",Statut_biogéographique!A:A,2,1),"M")</f>
        <v>M</v>
      </c>
      <c r="AM20109" s="4" t="s">
        <v>375</v>
      </c>
      <c r="AN20109" s="4" t="s">
        <v>375</v>
      </c>
      <c r="AO20109" s="4" t="s">
        <v>375</v>
      </c>
      <c r="AP20109" s="4" t="s">
        <v>376</v>
      </c>
      <c r="AR20109" s="4" t="s">
        <v>377</v>
      </c>
    </row>
    <row r="20110" spans="1:44" ht="30">
      <c r="A20110" s="4" t="s">
        <v>24364</v>
      </c>
      <c r="B20110" s="4">
        <v>105966</v>
      </c>
      <c r="D20110" s="5" t="s">
        <v>25171</v>
      </c>
      <c r="E20110" s="6" t="str">
        <f>HYPERLINK("https://inpn.mnhn.fr/espece/cd_nom/105966","Ligustrum vulgare L., 1753")</f>
        <v>Ligustrum vulgare L., 1753</v>
      </c>
      <c r="F20110" s="5" t="s">
        <v>25172</v>
      </c>
      <c r="Q20110" s="7" t="str">
        <f>HYPERLINK("#Liste_rouge!A"&amp;_xlfn.XMATCH("LC",Liste_rouge!A:A,2,1),"LC")</f>
        <v>LC</v>
      </c>
      <c r="T20110" s="7" t="str">
        <f>HYPERLINK("#Liste_rouge!A"&amp;_xlfn.XMATCH("LC",Liste_rouge!A:A,2,1),"LC")</f>
        <v>LC</v>
      </c>
      <c r="V20110" s="7" t="str">
        <f>HYPERLINK("#Liste_rouge!A"&amp;_xlfn.XMATCH("LC",Liste_rouge!A:A,2,1),"LC")</f>
        <v>LC</v>
      </c>
      <c r="AH20110" s="4" t="str">
        <f>HYPERLINK("#Statut_biogéographique!A"&amp;_xlfn.XMATCH("P",Statut_biogéographique!A:A,2,1),"P")</f>
        <v>P</v>
      </c>
      <c r="AM20110" s="4" t="s">
        <v>375</v>
      </c>
      <c r="AN20110" s="4" t="s">
        <v>375</v>
      </c>
      <c r="AO20110" s="4" t="s">
        <v>375</v>
      </c>
      <c r="AP20110" s="4" t="s">
        <v>376</v>
      </c>
      <c r="AR20110" s="4" t="s">
        <v>377</v>
      </c>
    </row>
    <row r="20111" spans="1:44">
      <c r="A20111" s="4" t="s">
        <v>24364</v>
      </c>
      <c r="B20111" s="4">
        <v>105980</v>
      </c>
      <c r="D20111" s="5" t="s">
        <v>25173</v>
      </c>
      <c r="E20111" s="6" t="str">
        <f>HYPERLINK("https://inpn.mnhn.fr/espece/cd_nom/105980","Lilium candidum L., 1753")</f>
        <v>Lilium candidum L., 1753</v>
      </c>
      <c r="F20111" s="5" t="s">
        <v>25174</v>
      </c>
      <c r="P20111" s="7" t="str">
        <f>HYPERLINK("#Liste_rouge!A"&amp;_xlfn.XMATCH("NT",Liste_rouge!A:A,2,1),"NT")</f>
        <v>NT</v>
      </c>
      <c r="Q20111" s="7" t="str">
        <f>HYPERLINK("#Liste_rouge!A"&amp;_xlfn.XMATCH("LC",Liste_rouge!A:A,2,1),"LC")</f>
        <v>LC</v>
      </c>
      <c r="T20111" s="7" t="str">
        <f>HYPERLINK("#Liste_rouge!A"&amp;_xlfn.XMATCH("NA",Liste_rouge!A:A,2,1),"NA")</f>
        <v>NA</v>
      </c>
      <c r="AH20111" s="4" t="str">
        <f>HYPERLINK("#Statut_biogéographique!A"&amp;_xlfn.XMATCH("I",Statut_biogéographique!A:A,2,1),"I")</f>
        <v>I</v>
      </c>
      <c r="AP20111" s="4" t="s">
        <v>376</v>
      </c>
      <c r="AR20111" s="4" t="s">
        <v>377</v>
      </c>
    </row>
    <row r="20112" spans="1:44" ht="30">
      <c r="A20112" s="4" t="s">
        <v>24364</v>
      </c>
      <c r="B20112" s="4">
        <v>105989</v>
      </c>
      <c r="D20112" s="5" t="s">
        <v>25175</v>
      </c>
      <c r="E20112" s="6" t="str">
        <f>HYPERLINK("https://inpn.mnhn.fr/espece/cd_nom/105989","Lilium martagon L., 1753")</f>
        <v>Lilium martagon L., 1753</v>
      </c>
      <c r="F20112" s="5" t="s">
        <v>25176</v>
      </c>
      <c r="N20112" s="4" t="str">
        <f>HYPERLINK("#Réglementation!A"&amp;_xlfn.XMATCH("V39P1",Réglementation!A:A,2,1),"V39P1 - V25P1 - V70P1")</f>
        <v>V39P1 - V25P1 - V70P1</v>
      </c>
      <c r="P20112" s="7" t="str">
        <f>HYPERLINK("#Liste_rouge!A"&amp;_xlfn.XMATCH("LC",Liste_rouge!A:A,2,1),"LC")</f>
        <v>LC</v>
      </c>
      <c r="Q20112" s="7" t="str">
        <f>HYPERLINK("#Liste_rouge!A"&amp;_xlfn.XMATCH("LC",Liste_rouge!A:A,2,1),"LC")</f>
        <v>LC</v>
      </c>
      <c r="T20112" s="7" t="str">
        <f>HYPERLINK("#Liste_rouge!A"&amp;_xlfn.XMATCH("LC",Liste_rouge!A:A,2,1),"LC")</f>
        <v>LC</v>
      </c>
      <c r="V20112" s="7" t="str">
        <f>HYPERLINK("#Liste_rouge!A"&amp;_xlfn.XMATCH("LC",Liste_rouge!A:A,2,1),"LC")</f>
        <v>LC</v>
      </c>
      <c r="AB20112" s="4" t="s">
        <v>25177</v>
      </c>
      <c r="AH20112" s="4" t="str">
        <f>HYPERLINK("#Statut_biogéographique!A"&amp;_xlfn.XMATCH("P",Statut_biogéographique!A:A,2,1),"P")</f>
        <v>P</v>
      </c>
      <c r="AK20112" s="4" t="str">
        <f>HYPERLINK("#Réglementation!A"&amp;_xlfn.XMATCH("V39P6",Réglementation!A:A,2,1),"V39P6 - V25P1 - V70P1")</f>
        <v>V39P6 - V25P1 - V70P1</v>
      </c>
      <c r="AM20112" s="4" t="s">
        <v>375</v>
      </c>
      <c r="AN20112" s="4" t="s">
        <v>375</v>
      </c>
      <c r="AO20112" s="4" t="s">
        <v>375</v>
      </c>
      <c r="AP20112" s="4" t="s">
        <v>376</v>
      </c>
      <c r="AR20112" s="4" t="s">
        <v>377</v>
      </c>
    </row>
    <row r="20113" spans="1:44" ht="30">
      <c r="A20113" s="4" t="s">
        <v>24364</v>
      </c>
      <c r="B20113" s="4">
        <v>106026</v>
      </c>
      <c r="D20113" s="5" t="s">
        <v>25178</v>
      </c>
      <c r="E20113" s="6" t="str">
        <f>HYPERLINK("https://inpn.mnhn.fr/espece/cd_nom/106026","Limodorum abortivum (L.) Sw., 1799")</f>
        <v>Limodorum abortivum (L.) Sw., 1799</v>
      </c>
      <c r="F20113" s="5" t="s">
        <v>25179</v>
      </c>
      <c r="G20113" s="4" t="str">
        <f>HYPERLINK("[#Réglementation!A"&amp;_xlfn.XMATCH("CCB",Réglementation!A:A,2,1),"CCB")</f>
        <v>CCB</v>
      </c>
      <c r="M20113" s="4" t="str">
        <f>HYPERLINK("#Réglementation!A"&amp;_xlfn.XMATCH("RV26",Réglementation!A:A,2,1),"RV26 - RV43")</f>
        <v>RV26 - RV43</v>
      </c>
      <c r="P20113" s="7" t="str">
        <f>HYPERLINK("#Liste_rouge!A"&amp;_xlfn.XMATCH("LC",Liste_rouge!A:A,2,1),"LC")</f>
        <v>LC</v>
      </c>
      <c r="Q20113" s="7" t="str">
        <f>HYPERLINK("#Liste_rouge!A"&amp;_xlfn.XMATCH("LC",Liste_rouge!A:A,2,1),"LC")</f>
        <v>LC</v>
      </c>
      <c r="T20113" s="7" t="str">
        <f>HYPERLINK("#Liste_rouge!A"&amp;_xlfn.XMATCH("LC",Liste_rouge!A:A,2,1),"LC")</f>
        <v>LC</v>
      </c>
      <c r="V20113" s="7" t="str">
        <f>HYPERLINK("#Liste_rouge!A"&amp;_xlfn.XMATCH("LC",Liste_rouge!A:A,2,1),"LC")</f>
        <v>LC</v>
      </c>
      <c r="AB20113" s="4" t="s">
        <v>25180</v>
      </c>
      <c r="AH20113" s="4" t="str">
        <f>HYPERLINK("#Statut_biogéographique!A"&amp;_xlfn.XMATCH("P",Statut_biogéographique!A:A,2,1),"P")</f>
        <v>P</v>
      </c>
      <c r="AM20113" s="4" t="s">
        <v>375</v>
      </c>
      <c r="AN20113" s="4" t="s">
        <v>375</v>
      </c>
      <c r="AO20113" s="4" t="s">
        <v>375</v>
      </c>
      <c r="AP20113" s="4" t="s">
        <v>376</v>
      </c>
      <c r="AR20113" s="4" t="s">
        <v>377</v>
      </c>
    </row>
    <row r="20114" spans="1:44" ht="30">
      <c r="A20114" s="4" t="s">
        <v>24364</v>
      </c>
      <c r="B20114" s="4">
        <v>106128</v>
      </c>
      <c r="D20114" s="5" t="s">
        <v>25181</v>
      </c>
      <c r="E20114" s="6" t="str">
        <f>HYPERLINK("https://inpn.mnhn.fr/espece/cd_nom/106128","Limosella aquatica L., 1753")</f>
        <v>Limosella aquatica L., 1753</v>
      </c>
      <c r="F20114" s="5" t="s">
        <v>25182</v>
      </c>
      <c r="O20114" s="7" t="str">
        <f>HYPERLINK("#Liste_rouge!A"&amp;_xlfn.XMATCH("LC",Liste_rouge!A:A,2,1),"LC")</f>
        <v>LC</v>
      </c>
      <c r="P20114" s="7" t="str">
        <f>HYPERLINK("#Liste_rouge!A"&amp;_xlfn.XMATCH("LC",Liste_rouge!A:A,2,1),"LC")</f>
        <v>LC</v>
      </c>
      <c r="Q20114" s="7" t="str">
        <f>HYPERLINK("#Liste_rouge!A"&amp;_xlfn.XMATCH("LC",Liste_rouge!A:A,2,1),"LC")</f>
        <v>LC</v>
      </c>
      <c r="T20114" s="7" t="str">
        <f>HYPERLINK("#Liste_rouge!A"&amp;_xlfn.XMATCH("EN",Liste_rouge!A:A,2,1),"EN")</f>
        <v>EN</v>
      </c>
      <c r="U20114" s="4" t="str">
        <f>HYPERLINK("#Critères_liste_rouge!A$1","B2ab(iii,iv,v)c(iii,iv)")</f>
        <v>B2ab(iii,iv,v)c(iii,iv)</v>
      </c>
      <c r="V20114" s="7" t="str">
        <f>HYPERLINK("#Liste_rouge!A"&amp;_xlfn.XMATCH("EN",Liste_rouge!A:A,2,1),"EN")</f>
        <v>EN</v>
      </c>
      <c r="W20114" s="4" t="str">
        <f>HYPERLINK("#Critères_liste_rouge!A$1","B2ac(iv)")</f>
        <v>B2ac(iv)</v>
      </c>
      <c r="X20114" s="5" t="s">
        <v>374</v>
      </c>
      <c r="AB20114" s="4" t="s">
        <v>93</v>
      </c>
      <c r="AH20114" s="4" t="str">
        <f>HYPERLINK("#Statut_biogéographique!A"&amp;_xlfn.XMATCH("P",Statut_biogéographique!A:A,2,1),"P")</f>
        <v>P</v>
      </c>
      <c r="AM20114" s="4" t="s">
        <v>375</v>
      </c>
      <c r="AN20114" s="4" t="s">
        <v>375</v>
      </c>
      <c r="AO20114" s="4" t="s">
        <v>375</v>
      </c>
      <c r="AP20114" s="4" t="s">
        <v>376</v>
      </c>
      <c r="AR20114" s="4" t="s">
        <v>377</v>
      </c>
    </row>
    <row r="20115" spans="1:44" ht="45">
      <c r="A20115" s="4" t="s">
        <v>24364</v>
      </c>
      <c r="B20115" s="4">
        <v>106144</v>
      </c>
      <c r="D20115" s="5" t="s">
        <v>25183</v>
      </c>
      <c r="E20115" s="6" t="str">
        <f>HYPERLINK("https://inpn.mnhn.fr/espece/cd_nom/106144","Linaria alpina (L.) Mill., 1768")</f>
        <v>Linaria alpina (L.) Mill., 1768</v>
      </c>
      <c r="F20115" s="5" t="s">
        <v>25184</v>
      </c>
      <c r="M20115" s="4" t="str">
        <f>HYPERLINK("#Réglementation!A"&amp;_xlfn.XMATCH("RV26",Réglementation!A:A,2,1),"RV26")</f>
        <v>RV26</v>
      </c>
      <c r="Q20115" s="7" t="str">
        <f>HYPERLINK("#Liste_rouge!A"&amp;_xlfn.XMATCH("LC",Liste_rouge!A:A,2,1),"LC")</f>
        <v>LC</v>
      </c>
      <c r="T20115" s="7" t="str">
        <f>HYPERLINK("#Liste_rouge!A"&amp;_xlfn.XMATCH("DD",Liste_rouge!A:A,2,1),"DD (cd_nom 137323) - CR (cd_nom 106144)")</f>
        <v>DD (cd_nom 137323) - CR (cd_nom 106144)</v>
      </c>
      <c r="V20115" s="7" t="str">
        <f>HYPERLINK("#Liste_rouge!A"&amp;_xlfn.XMATCH("VU",Liste_rouge!A:A,2,1),"VU")</f>
        <v>VU</v>
      </c>
      <c r="W20115" s="4" t="str">
        <f>HYPERLINK("#Critères_liste_rouge!A$1","D1")</f>
        <v>D1</v>
      </c>
      <c r="X20115" s="5" t="s">
        <v>374</v>
      </c>
      <c r="AB20115" s="4" t="s">
        <v>93</v>
      </c>
      <c r="AH20115" s="4" t="str">
        <f>HYPERLINK("#Statut_biogéographique!A"&amp;_xlfn.XMATCH("P",Statut_biogéographique!A:A,2,1),"P")</f>
        <v>P</v>
      </c>
      <c r="AM20115" s="4" t="s">
        <v>375</v>
      </c>
      <c r="AN20115" s="4" t="s">
        <v>375</v>
      </c>
      <c r="AO20115" s="4" t="s">
        <v>375</v>
      </c>
      <c r="AP20115" s="4" t="s">
        <v>376</v>
      </c>
      <c r="AR20115" s="4" t="s">
        <v>377</v>
      </c>
    </row>
    <row r="20116" spans="1:44">
      <c r="A20116" s="4" t="s">
        <v>24364</v>
      </c>
      <c r="B20116" s="4">
        <v>106150</v>
      </c>
      <c r="D20116" s="5" t="s">
        <v>25185</v>
      </c>
      <c r="E20116" s="6" t="str">
        <f>HYPERLINK("https://inpn.mnhn.fr/espece/cd_nom/106150","Linaria arvensis (L.) Desf., 1799")</f>
        <v>Linaria arvensis (L.) Desf., 1799</v>
      </c>
      <c r="F20116" s="5" t="s">
        <v>25186</v>
      </c>
      <c r="Q20116" s="7" t="str">
        <f>HYPERLINK("#Liste_rouge!A"&amp;_xlfn.XMATCH("LC",Liste_rouge!A:A,2,1),"LC")</f>
        <v>LC</v>
      </c>
      <c r="T20116" s="7" t="str">
        <f>HYPERLINK("#Liste_rouge!A"&amp;_xlfn.XMATCH("RE",Liste_rouge!A:A,2,1),"RE")</f>
        <v>RE</v>
      </c>
      <c r="AH20116" s="4" t="str">
        <f>HYPERLINK("#Statut_biogéographique!A"&amp;_xlfn.XMATCH("P",Statut_biogéographique!A:A,2,1),"P")</f>
        <v>P</v>
      </c>
      <c r="AM20116" s="4" t="s">
        <v>375</v>
      </c>
      <c r="AN20116" s="4" t="s">
        <v>375</v>
      </c>
      <c r="AO20116" s="4" t="s">
        <v>375</v>
      </c>
      <c r="AP20116" s="4" t="s">
        <v>376</v>
      </c>
      <c r="AR20116" s="4" t="s">
        <v>377</v>
      </c>
    </row>
    <row r="20117" spans="1:44">
      <c r="A20117" s="4" t="s">
        <v>24364</v>
      </c>
      <c r="B20117" s="4">
        <v>106201</v>
      </c>
      <c r="D20117" s="5" t="s">
        <v>25187</v>
      </c>
      <c r="E20117" s="6" t="str">
        <f>HYPERLINK("https://inpn.mnhn.fr/espece/cd_nom/106201","Linaria pelisseriana (L.) Mill., 1768")</f>
        <v>Linaria pelisseriana (L.) Mill., 1768</v>
      </c>
      <c r="F20117" s="5" t="s">
        <v>25188</v>
      </c>
      <c r="Q20117" s="7" t="str">
        <f>HYPERLINK("#Liste_rouge!A"&amp;_xlfn.XMATCH("LC",Liste_rouge!A:A,2,1),"LC")</f>
        <v>LC</v>
      </c>
      <c r="T20117" s="7" t="str">
        <f>HYPERLINK("#Liste_rouge!A"&amp;_xlfn.XMATCH("CR",Liste_rouge!A:A,2,1),"CR")</f>
        <v>CR</v>
      </c>
      <c r="U20117" s="4" t="str">
        <f>HYPERLINK("#Critères_liste_rouge!A$1","B1 B2ab(ii,iii,iv) C2a(i) D1")</f>
        <v>B1 B2ab(ii,iii,iv) C2a(i) D1</v>
      </c>
      <c r="AB20117" s="4" t="s">
        <v>24486</v>
      </c>
      <c r="AH20117" s="4" t="str">
        <f>HYPERLINK("#Statut_biogéographique!A"&amp;_xlfn.XMATCH("P",Statut_biogéographique!A:A,2,1),"P")</f>
        <v>P</v>
      </c>
      <c r="AM20117" s="4" t="s">
        <v>375</v>
      </c>
      <c r="AN20117" s="4" t="s">
        <v>375</v>
      </c>
      <c r="AO20117" s="4" t="s">
        <v>375</v>
      </c>
      <c r="AP20117" s="4" t="s">
        <v>376</v>
      </c>
      <c r="AR20117" s="4" t="s">
        <v>377</v>
      </c>
    </row>
    <row r="20118" spans="1:44" ht="75">
      <c r="A20118" s="4" t="s">
        <v>24364</v>
      </c>
      <c r="B20118" s="4">
        <v>106213</v>
      </c>
      <c r="D20118" s="5" t="s">
        <v>25189</v>
      </c>
      <c r="E20118" s="6" t="str">
        <f>HYPERLINK("https://inpn.mnhn.fr/espece/cd_nom/106213","Linaria repens (L.) Mill., 1768")</f>
        <v>Linaria repens (L.) Mill., 1768</v>
      </c>
      <c r="F20118" s="5" t="s">
        <v>25190</v>
      </c>
      <c r="Q20118" s="7" t="str">
        <f>HYPERLINK("#Liste_rouge!A"&amp;_xlfn.XMATCH("LC",Liste_rouge!A:A,2,1),"LC")</f>
        <v>LC</v>
      </c>
      <c r="T20118" s="7" t="str">
        <f>HYPERLINK("#Liste_rouge!A"&amp;_xlfn.XMATCH("LC",Liste_rouge!A:A,2,1),"LC (cd_nom 148222) - NE (cd_nom 148220)")</f>
        <v>LC (cd_nom 148222) - NE (cd_nom 148220)</v>
      </c>
      <c r="V20118" s="7" t="str">
        <f>HYPERLINK("#Liste_rouge!A"&amp;_xlfn.XMATCH("LC",Liste_rouge!A:A,2,1),"LC")</f>
        <v>LC</v>
      </c>
      <c r="AH20118" s="4" t="str">
        <f>HYPERLINK("#Statut_biogéographique!A"&amp;_xlfn.XMATCH("P",Statut_biogéographique!A:A,2,1),"P")</f>
        <v>P</v>
      </c>
      <c r="AM20118" s="4" t="s">
        <v>375</v>
      </c>
      <c r="AN20118" s="4" t="s">
        <v>375</v>
      </c>
      <c r="AO20118" s="4" t="s">
        <v>375</v>
      </c>
      <c r="AP20118" s="4" t="s">
        <v>376</v>
      </c>
      <c r="AR20118" s="4" t="s">
        <v>377</v>
      </c>
    </row>
    <row r="20119" spans="1:44">
      <c r="A20119" s="4" t="s">
        <v>24364</v>
      </c>
      <c r="B20119" s="4">
        <v>106220</v>
      </c>
      <c r="D20119" s="5" t="s">
        <v>25191</v>
      </c>
      <c r="E20119" s="6" t="str">
        <f>HYPERLINK("https://inpn.mnhn.fr/espece/cd_nom/106220","Linaria simplex (Willd.) DC., 1805")</f>
        <v>Linaria simplex (Willd.) DC., 1805</v>
      </c>
      <c r="F20119" s="5" t="s">
        <v>25192</v>
      </c>
      <c r="Q20119" s="7" t="str">
        <f>HYPERLINK("#Liste_rouge!A"&amp;_xlfn.XMATCH("LC",Liste_rouge!A:A,2,1),"LC")</f>
        <v>LC</v>
      </c>
      <c r="T20119" s="7" t="str">
        <f>HYPERLINK("#Liste_rouge!A"&amp;_xlfn.XMATCH("NT",Liste_rouge!A:A,2,1),"NT")</f>
        <v>NT</v>
      </c>
      <c r="U20119" s="4" t="str">
        <f>HYPERLINK("#Critères_liste_rouge!A$1","VU (D2) - 1")</f>
        <v>VU (D2) - 1</v>
      </c>
      <c r="AB20119" s="4" t="s">
        <v>24984</v>
      </c>
      <c r="AH20119" s="4" t="str">
        <f>HYPERLINK("#Statut_biogéographique!A"&amp;_xlfn.XMATCH("P",Statut_biogéographique!A:A,2,1),"P")</f>
        <v>P</v>
      </c>
      <c r="AM20119" s="4" t="s">
        <v>375</v>
      </c>
      <c r="AN20119" s="4" t="s">
        <v>375</v>
      </c>
      <c r="AO20119" s="4" t="s">
        <v>375</v>
      </c>
      <c r="AP20119" s="4" t="s">
        <v>376</v>
      </c>
      <c r="AR20119" s="4" t="s">
        <v>377</v>
      </c>
    </row>
    <row r="20120" spans="1:44" ht="60">
      <c r="A20120" s="4" t="s">
        <v>24364</v>
      </c>
      <c r="B20120" s="4">
        <v>106226</v>
      </c>
      <c r="D20120" s="5" t="s">
        <v>25193</v>
      </c>
      <c r="E20120" s="6" t="str">
        <f>HYPERLINK("https://inpn.mnhn.fr/espece/cd_nom/106226","Linaria supina (L.) Chaz., 1790")</f>
        <v>Linaria supina (L.) Chaz., 1790</v>
      </c>
      <c r="F20120" s="5" t="s">
        <v>25194</v>
      </c>
      <c r="Q20120" s="7" t="str">
        <f>HYPERLINK("#Liste_rouge!A"&amp;_xlfn.XMATCH("LC",Liste_rouge!A:A,2,1),"LC")</f>
        <v>LC</v>
      </c>
      <c r="T20120" s="7" t="str">
        <f>HYPERLINK("#Liste_rouge!A"&amp;_xlfn.XMATCH("NT",Liste_rouge!A:A,2,1),"NT")</f>
        <v>NT</v>
      </c>
      <c r="U20120" s="4" t="str">
        <f>HYPERLINK("#Critères_liste_rouge!A$1","pr. B3c(i,ii,iii)")</f>
        <v>pr. B3c(i,ii,iii)</v>
      </c>
      <c r="AB20120" s="4" t="s">
        <v>24382</v>
      </c>
      <c r="AH20120" s="4" t="str">
        <f>HYPERLINK("#Statut_biogéographique!A"&amp;_xlfn.XMATCH("P",Statut_biogéographique!A:A,2,1),"P")</f>
        <v>P</v>
      </c>
      <c r="AM20120" s="4" t="s">
        <v>375</v>
      </c>
      <c r="AN20120" s="4" t="s">
        <v>375</v>
      </c>
      <c r="AO20120" s="4" t="s">
        <v>375</v>
      </c>
      <c r="AP20120" s="4" t="s">
        <v>376</v>
      </c>
      <c r="AR20120" s="4" t="s">
        <v>377</v>
      </c>
    </row>
    <row r="20121" spans="1:44" ht="45">
      <c r="A20121" s="4" t="s">
        <v>24364</v>
      </c>
      <c r="B20121" s="4">
        <v>106234</v>
      </c>
      <c r="D20121" s="5" t="s">
        <v>25195</v>
      </c>
      <c r="E20121" s="6" t="str">
        <f>HYPERLINK("https://inpn.mnhn.fr/espece/cd_nom/106234","Linaria vulgaris Mill., 1768")</f>
        <v>Linaria vulgaris Mill., 1768</v>
      </c>
      <c r="F20121" s="5" t="s">
        <v>25196</v>
      </c>
      <c r="Q20121" s="7" t="str">
        <f>HYPERLINK("#Liste_rouge!A"&amp;_xlfn.XMATCH("LC",Liste_rouge!A:A,2,1),"LC")</f>
        <v>LC</v>
      </c>
      <c r="T20121" s="7" t="str">
        <f>HYPERLINK("#Liste_rouge!A"&amp;_xlfn.XMATCH("LC",Liste_rouge!A:A,2,1),"LC")</f>
        <v>LC</v>
      </c>
      <c r="V20121" s="7" t="str">
        <f>HYPERLINK("#Liste_rouge!A"&amp;_xlfn.XMATCH("LC",Liste_rouge!A:A,2,1),"LC")</f>
        <v>LC</v>
      </c>
      <c r="AH20121" s="4" t="str">
        <f>HYPERLINK("#Statut_biogéographique!A"&amp;_xlfn.XMATCH("P",Statut_biogéographique!A:A,2,1),"P")</f>
        <v>P</v>
      </c>
      <c r="AM20121" s="4" t="s">
        <v>375</v>
      </c>
      <c r="AN20121" s="4" t="s">
        <v>375</v>
      </c>
      <c r="AO20121" s="4" t="s">
        <v>375</v>
      </c>
      <c r="AP20121" s="4" t="s">
        <v>376</v>
      </c>
      <c r="AR20121" s="4" t="s">
        <v>377</v>
      </c>
    </row>
    <row r="20122" spans="1:44" ht="45">
      <c r="A20122" s="4" t="s">
        <v>24364</v>
      </c>
      <c r="B20122" s="4">
        <v>106247</v>
      </c>
      <c r="D20122" s="5" t="s">
        <v>25197</v>
      </c>
      <c r="E20122" s="6" t="str">
        <f>HYPERLINK("https://inpn.mnhn.fr/espece/cd_nom/106247","Linaria x sepium Allman, 1843")</f>
        <v>Linaria x sepium Allman, 1843</v>
      </c>
      <c r="F20122" s="5" t="s">
        <v>25198</v>
      </c>
      <c r="T20122" s="7" t="str">
        <f>HYPERLINK("#Liste_rouge!A"&amp;_xlfn.XMATCH("DD",Liste_rouge!A:A,2,1),"DD")</f>
        <v>DD</v>
      </c>
      <c r="AH20122" s="4" t="str">
        <f>HYPERLINK("#Statut_biogéographique!A"&amp;_xlfn.XMATCH("P",Statut_biogéographique!A:A,2,1),"P")</f>
        <v>P</v>
      </c>
      <c r="AP20122" s="4" t="s">
        <v>376</v>
      </c>
      <c r="AR20122" s="4" t="s">
        <v>377</v>
      </c>
    </row>
    <row r="20123" spans="1:44" ht="90">
      <c r="A20123" s="4" t="s">
        <v>24364</v>
      </c>
      <c r="B20123" s="4">
        <v>106252</v>
      </c>
      <c r="D20123" s="5" t="s">
        <v>25199</v>
      </c>
      <c r="E20123" s="6" t="str">
        <f>HYPERLINK("https://inpn.mnhn.fr/espece/cd_nom/106252","Lindernia dubia (L.) Pennell, 1935")</f>
        <v>Lindernia dubia (L.) Pennell, 1935</v>
      </c>
      <c r="F20123" s="5" t="s">
        <v>25200</v>
      </c>
      <c r="Q20123" s="7" t="str">
        <f>HYPERLINK("#Liste_rouge!A"&amp;_xlfn.XMATCH("NA",Liste_rouge!A:A,2,1),"NA")</f>
        <v>NA</v>
      </c>
      <c r="T20123" s="7" t="str">
        <f>HYPERLINK("#Liste_rouge!A"&amp;_xlfn.XMATCH("NA",Liste_rouge!A:A,2,1),"NA")</f>
        <v>NA</v>
      </c>
      <c r="AH20123" s="4" t="str">
        <f>HYPERLINK("#Statut_biogéographique!A"&amp;_xlfn.XMATCH("I",Statut_biogéographique!A:A,2,1),"I")</f>
        <v>I</v>
      </c>
      <c r="AM20123" s="4" t="s">
        <v>375</v>
      </c>
      <c r="AN20123" s="4" t="s">
        <v>375</v>
      </c>
      <c r="AO20123" s="4" t="s">
        <v>375</v>
      </c>
      <c r="AP20123" s="4" t="s">
        <v>376</v>
      </c>
      <c r="AR20123" s="4" t="s">
        <v>377</v>
      </c>
    </row>
    <row r="20124" spans="1:44" ht="45">
      <c r="A20124" s="4" t="s">
        <v>24364</v>
      </c>
      <c r="B20124" s="4">
        <v>106258</v>
      </c>
      <c r="D20124" s="5" t="s">
        <v>25201</v>
      </c>
      <c r="E20124" s="6" t="str">
        <f>HYPERLINK("https://inpn.mnhn.fr/espece/cd_nom/106258","Lindernia procumbens (Krock.) Philcox, 1965")</f>
        <v>Lindernia procumbens (Krock.) Philcox, 1965</v>
      </c>
      <c r="F20124" s="5" t="s">
        <v>25202</v>
      </c>
      <c r="I20124" s="4" t="str">
        <f>HYPERLINK("#Réglementation!A"&amp;_xlfn.XMATCH("IBE1",Réglementation!A:A,2,1),"IBE1")</f>
        <v>IBE1</v>
      </c>
      <c r="K20124" s="4" t="str">
        <f>HYPERLINK("#Réglementation!A"&amp;_xlfn.XMATCH("CDH4",Réglementation!A:A,2,1),"CDH4")</f>
        <v>CDH4</v>
      </c>
      <c r="L20124" s="4" t="str">
        <f>HYPERLINK("#Réglementation!A"&amp;_xlfn.XMATCH("NV1",Réglementation!A:A,2,1),"NV1")</f>
        <v>NV1</v>
      </c>
      <c r="O20124" s="7" t="str">
        <f>HYPERLINK("#Liste_rouge!A"&amp;_xlfn.XMATCH("LC",Liste_rouge!A:A,2,1),"LC")</f>
        <v>LC</v>
      </c>
      <c r="P20124" s="7" t="str">
        <f>HYPERLINK("#Liste_rouge!A"&amp;_xlfn.XMATCH("LC",Liste_rouge!A:A,2,1),"LC")</f>
        <v>LC</v>
      </c>
      <c r="Q20124" s="7" t="str">
        <f>HYPERLINK("#Liste_rouge!A"&amp;_xlfn.XMATCH("EN",Liste_rouge!A:A,2,1),"EN")</f>
        <v>EN</v>
      </c>
      <c r="T20124" s="7" t="str">
        <f>HYPERLINK("#Liste_rouge!A"&amp;_xlfn.XMATCH("EN",Liste_rouge!A:A,2,1),"EN")</f>
        <v>EN</v>
      </c>
      <c r="U20124" s="4" t="str">
        <f>HYPERLINK("#Critères_liste_rouge!A$1","B2ab(iii,iv,v)c(iii,iv)")</f>
        <v>B2ab(iii,iv,v)c(iii,iv)</v>
      </c>
      <c r="V20124" s="7" t="str">
        <f>HYPERLINK("#Liste_rouge!A"&amp;_xlfn.XMATCH("EN",Liste_rouge!A:A,2,1),"EN")</f>
        <v>EN</v>
      </c>
      <c r="W20124" s="4" t="str">
        <f>HYPERLINK("#Critères_liste_rouge!A$1","B2b(ii,iii)c(iv)")</f>
        <v>B2b(ii,iii)c(iv)</v>
      </c>
      <c r="X20124" s="5" t="s">
        <v>374</v>
      </c>
      <c r="AB20124" s="4" t="s">
        <v>93</v>
      </c>
      <c r="AE20124" s="4" t="str">
        <f>HYPERLINK("#SCAP!A"&amp;_xlfn.XMATCH("1+",SCAP!A:A,2,1),"1+")</f>
        <v>1+</v>
      </c>
      <c r="AF20124" s="4" t="str">
        <f>HYPERLINK("#SCAP!A"&amp;_xlfn.XMATCH("1+",SCAP!A:A,2,1),"1+")</f>
        <v>1+</v>
      </c>
      <c r="AG20124" s="4" t="str">
        <f>HYPERLINK("#SCAP!A"&amp;_xlfn.XMATCH("1-",SCAP!A:A,2,1),"1-")</f>
        <v>1-</v>
      </c>
      <c r="AH20124" s="4" t="str">
        <f>HYPERLINK("#Statut_biogéographique!A"&amp;_xlfn.XMATCH("P",Statut_biogéographique!A:A,2,1),"P")</f>
        <v>P</v>
      </c>
      <c r="AM20124" s="4" t="s">
        <v>375</v>
      </c>
      <c r="AN20124" s="4" t="s">
        <v>375</v>
      </c>
      <c r="AO20124" s="4" t="s">
        <v>375</v>
      </c>
      <c r="AP20124" s="4" t="s">
        <v>389</v>
      </c>
      <c r="AR20124" s="4" t="s">
        <v>377</v>
      </c>
    </row>
    <row r="20125" spans="1:44" ht="75">
      <c r="A20125" s="4" t="s">
        <v>24364</v>
      </c>
      <c r="B20125" s="4">
        <v>106275</v>
      </c>
      <c r="D20125" s="5" t="s">
        <v>25203</v>
      </c>
      <c r="E20125" s="6" t="str">
        <f>HYPERLINK("https://inpn.mnhn.fr/espece/cd_nom/106275","Linum alpinum Jacq., 1762")</f>
        <v>Linum alpinum Jacq., 1762</v>
      </c>
      <c r="F20125" s="5" t="s">
        <v>25204</v>
      </c>
      <c r="Q20125" s="7" t="str">
        <f>HYPERLINK("#Liste_rouge!A"&amp;_xlfn.XMATCH("LC",Liste_rouge!A:A,2,1),"LC")</f>
        <v>LC</v>
      </c>
      <c r="V20125" s="7" t="str">
        <f>HYPERLINK("#Liste_rouge!A"&amp;_xlfn.XMATCH("VU",Liste_rouge!A:A,2,1),"VU")</f>
        <v>VU</v>
      </c>
      <c r="W20125" s="4" t="str">
        <f>HYPERLINK("#Critères_liste_rouge!A$1","D1")</f>
        <v>D1</v>
      </c>
      <c r="X20125" s="5" t="s">
        <v>374</v>
      </c>
      <c r="AB20125" s="4" t="s">
        <v>93</v>
      </c>
      <c r="AH20125" s="4" t="str">
        <f>HYPERLINK("#Statut_biogéographique!A"&amp;_xlfn.XMATCH("P",Statut_biogéographique!A:A,2,1),"P")</f>
        <v>P</v>
      </c>
      <c r="AM20125" s="4" t="s">
        <v>375</v>
      </c>
      <c r="AN20125" s="4" t="s">
        <v>375</v>
      </c>
      <c r="AO20125" s="4" t="s">
        <v>375</v>
      </c>
      <c r="AP20125" s="4" t="s">
        <v>376</v>
      </c>
      <c r="AR20125" s="4" t="s">
        <v>377</v>
      </c>
    </row>
    <row r="20126" spans="1:44" ht="30">
      <c r="A20126" s="4" t="s">
        <v>24364</v>
      </c>
      <c r="B20126" s="4">
        <v>106280</v>
      </c>
      <c r="D20126" s="5" t="s">
        <v>25205</v>
      </c>
      <c r="E20126" s="6" t="str">
        <f>HYPERLINK("https://inpn.mnhn.fr/espece/cd_nom/106280","Linum austriacum L., 1753")</f>
        <v>Linum austriacum L., 1753</v>
      </c>
      <c r="F20126" s="5" t="s">
        <v>25206</v>
      </c>
      <c r="Q20126" s="7" t="str">
        <f>HYPERLINK("#Liste_rouge!A"&amp;_xlfn.XMATCH("LC",Liste_rouge!A:A,2,1),"LC")</f>
        <v>LC</v>
      </c>
      <c r="AH20126" s="4" t="str">
        <f>HYPERLINK("#Statut_biogéographique!A"&amp;_xlfn.XMATCH("I",Statut_biogéographique!A:A,2,1),"I")</f>
        <v>I</v>
      </c>
      <c r="AM20126" s="4" t="s">
        <v>375</v>
      </c>
      <c r="AN20126" s="4" t="s">
        <v>375</v>
      </c>
      <c r="AO20126" s="4" t="s">
        <v>375</v>
      </c>
      <c r="AP20126" s="4" t="s">
        <v>376</v>
      </c>
      <c r="AR20126" s="4" t="s">
        <v>377</v>
      </c>
    </row>
    <row r="20127" spans="1:44">
      <c r="A20127" s="4" t="s">
        <v>24364</v>
      </c>
      <c r="B20127" s="4">
        <v>106288</v>
      </c>
      <c r="D20127" s="5" t="s">
        <v>25207</v>
      </c>
      <c r="E20127" s="6" t="str">
        <f>HYPERLINK("https://inpn.mnhn.fr/espece/cd_nom/106288","Linum catharticum L., 1753")</f>
        <v>Linum catharticum L., 1753</v>
      </c>
      <c r="F20127" s="5" t="s">
        <v>25208</v>
      </c>
      <c r="Q20127" s="7" t="str">
        <f>HYPERLINK("#Liste_rouge!A"&amp;_xlfn.XMATCH("LC",Liste_rouge!A:A,2,1),"LC")</f>
        <v>LC</v>
      </c>
      <c r="T20127" s="7" t="str">
        <f>HYPERLINK("#Liste_rouge!A"&amp;_xlfn.XMATCH("LC",Liste_rouge!A:A,2,1),"LC")</f>
        <v>LC</v>
      </c>
      <c r="V20127" s="7" t="str">
        <f>HYPERLINK("#Liste_rouge!A"&amp;_xlfn.XMATCH("LC",Liste_rouge!A:A,2,1),"LC")</f>
        <v>LC</v>
      </c>
      <c r="AH20127" s="4" t="str">
        <f>HYPERLINK("#Statut_biogéographique!A"&amp;_xlfn.XMATCH("P",Statut_biogéographique!A:A,2,1),"P")</f>
        <v>P</v>
      </c>
      <c r="AM20127" s="4" t="s">
        <v>375</v>
      </c>
      <c r="AN20127" s="4" t="s">
        <v>375</v>
      </c>
      <c r="AO20127" s="4" t="s">
        <v>375</v>
      </c>
      <c r="AP20127" s="4" t="s">
        <v>376</v>
      </c>
      <c r="AR20127" s="4" t="s">
        <v>377</v>
      </c>
    </row>
    <row r="20128" spans="1:44" ht="45">
      <c r="A20128" s="4" t="s">
        <v>24364</v>
      </c>
      <c r="B20128" s="4">
        <v>106306</v>
      </c>
      <c r="D20128" s="5" t="s">
        <v>25209</v>
      </c>
      <c r="E20128" s="6" t="str">
        <f>HYPERLINK("https://inpn.mnhn.fr/espece/cd_nom/106306","Linum leonii F.W.Schultz, 1838")</f>
        <v>Linum leonii F.W.Schultz, 1838</v>
      </c>
      <c r="F20128" s="5" t="s">
        <v>25210</v>
      </c>
      <c r="M20128" s="4" t="str">
        <f>HYPERLINK("#Réglementation!A"&amp;_xlfn.XMATCH("RV26",Réglementation!A:A,2,1),"RV26")</f>
        <v>RV26</v>
      </c>
      <c r="Q20128" s="7" t="str">
        <f>HYPERLINK("#Liste_rouge!A"&amp;_xlfn.XMATCH("NT",Liste_rouge!A:A,2,1),"NT")</f>
        <v>NT</v>
      </c>
      <c r="T20128" s="7" t="str">
        <f>HYPERLINK("#Liste_rouge!A"&amp;_xlfn.XMATCH("EN",Liste_rouge!A:A,2,1),"EN")</f>
        <v>EN</v>
      </c>
      <c r="U20128" s="4" t="str">
        <f>HYPERLINK("#Critères_liste_rouge!A$1","B2ab(ii,iii,iv) C2a(i)")</f>
        <v>B2ab(ii,iii,iv) C2a(i)</v>
      </c>
      <c r="V20128" s="7" t="str">
        <f>HYPERLINK("#Liste_rouge!A"&amp;_xlfn.XMATCH("CR",Liste_rouge!A:A,2,1),"CR")</f>
        <v>CR</v>
      </c>
      <c r="W20128" s="4" t="str">
        <f>HYPERLINK("#Critères_liste_rouge!A$1","B2ab(iii)")</f>
        <v>B2ab(iii)</v>
      </c>
      <c r="X20128" s="5" t="s">
        <v>374</v>
      </c>
      <c r="AB20128" s="4" t="s">
        <v>93</v>
      </c>
      <c r="AH20128" s="4" t="str">
        <f>HYPERLINK("#Statut_biogéographique!A"&amp;_xlfn.XMATCH("P",Statut_biogéographique!A:A,2,1),"P")</f>
        <v>P</v>
      </c>
      <c r="AM20128" s="4" t="s">
        <v>375</v>
      </c>
      <c r="AN20128" s="4" t="s">
        <v>375</v>
      </c>
      <c r="AO20128" s="4" t="s">
        <v>375</v>
      </c>
      <c r="AP20128" s="4" t="s">
        <v>376</v>
      </c>
      <c r="AR20128" s="4" t="s">
        <v>377</v>
      </c>
    </row>
    <row r="20129" spans="1:44" ht="45">
      <c r="A20129" s="4" t="s">
        <v>24364</v>
      </c>
      <c r="B20129" s="4">
        <v>106330</v>
      </c>
      <c r="D20129" s="5" t="s">
        <v>25211</v>
      </c>
      <c r="E20129" s="6" t="str">
        <f>HYPERLINK("https://inpn.mnhn.fr/espece/cd_nom/106330","Linum radiola L., 1753")</f>
        <v>Linum radiola L., 1753</v>
      </c>
      <c r="F20129" s="5" t="s">
        <v>25212</v>
      </c>
      <c r="Q20129" s="7" t="str">
        <f>HYPERLINK("#Liste_rouge!A"&amp;_xlfn.XMATCH("LC",Liste_rouge!A:A,2,1),"LC")</f>
        <v>LC</v>
      </c>
      <c r="T20129" s="7" t="str">
        <f>HYPERLINK("#Liste_rouge!A"&amp;_xlfn.XMATCH("CR",Liste_rouge!A:A,2,1),"CR")</f>
        <v>CR</v>
      </c>
      <c r="U20129" s="4" t="str">
        <f>HYPERLINK("#Critères_liste_rouge!A$1","C2a(i)")</f>
        <v>C2a(i)</v>
      </c>
      <c r="V20129" s="7" t="str">
        <f>HYPERLINK("#Liste_rouge!A"&amp;_xlfn.XMATCH("EN",Liste_rouge!A:A,2,1),"EN")</f>
        <v>EN</v>
      </c>
      <c r="W20129" s="4" t="str">
        <f>HYPERLINK("#Critères_liste_rouge!A$1","D")</f>
        <v>D</v>
      </c>
      <c r="X20129" s="5" t="s">
        <v>374</v>
      </c>
      <c r="AB20129" s="4" t="s">
        <v>93</v>
      </c>
      <c r="AH20129" s="4" t="str">
        <f>HYPERLINK("#Statut_biogéographique!A"&amp;_xlfn.XMATCH("P",Statut_biogéographique!A:A,2,1),"P")</f>
        <v>P</v>
      </c>
      <c r="AM20129" s="4" t="s">
        <v>375</v>
      </c>
      <c r="AN20129" s="4" t="s">
        <v>375</v>
      </c>
      <c r="AO20129" s="4" t="s">
        <v>375</v>
      </c>
      <c r="AP20129" s="4" t="s">
        <v>376</v>
      </c>
      <c r="AR20129" s="4" t="s">
        <v>377</v>
      </c>
    </row>
    <row r="20130" spans="1:44" ht="30">
      <c r="A20130" s="4" t="s">
        <v>24364</v>
      </c>
      <c r="B20130" s="4">
        <v>106346</v>
      </c>
      <c r="D20130" s="5" t="s">
        <v>25213</v>
      </c>
      <c r="E20130" s="6" t="str">
        <f>HYPERLINK("https://inpn.mnhn.fr/espece/cd_nom/106346","Linum tenuifolium L., 1753")</f>
        <v>Linum tenuifolium L., 1753</v>
      </c>
      <c r="F20130" s="5" t="s">
        <v>25214</v>
      </c>
      <c r="Q20130" s="7" t="str">
        <f>HYPERLINK("#Liste_rouge!A"&amp;_xlfn.XMATCH("LC",Liste_rouge!A:A,2,1),"LC")</f>
        <v>LC</v>
      </c>
      <c r="T20130" s="7" t="str">
        <f>HYPERLINK("#Liste_rouge!A"&amp;_xlfn.XMATCH("LC",Liste_rouge!A:A,2,1),"LC")</f>
        <v>LC</v>
      </c>
      <c r="V20130" s="7" t="str">
        <f>HYPERLINK("#Liste_rouge!A"&amp;_xlfn.XMATCH("LC",Liste_rouge!A:A,2,1),"LC")</f>
        <v>LC</v>
      </c>
      <c r="AB20130" s="4" t="s">
        <v>24747</v>
      </c>
      <c r="AH20130" s="4" t="str">
        <f>HYPERLINK("#Statut_biogéographique!A"&amp;_xlfn.XMATCH("P",Statut_biogéographique!A:A,2,1),"P")</f>
        <v>P</v>
      </c>
      <c r="AM20130" s="4" t="s">
        <v>375</v>
      </c>
      <c r="AN20130" s="4" t="s">
        <v>375</v>
      </c>
      <c r="AO20130" s="4" t="s">
        <v>375</v>
      </c>
      <c r="AP20130" s="4" t="s">
        <v>376</v>
      </c>
      <c r="AR20130" s="4" t="s">
        <v>377</v>
      </c>
    </row>
    <row r="20131" spans="1:44" ht="30">
      <c r="A20131" s="4" t="s">
        <v>24364</v>
      </c>
      <c r="B20131" s="4">
        <v>106347</v>
      </c>
      <c r="D20131" s="5" t="s">
        <v>25215</v>
      </c>
      <c r="E20131" s="6" t="str">
        <f>HYPERLINK("https://inpn.mnhn.fr/espece/cd_nom/106347","Linum trigynum L., 1753")</f>
        <v>Linum trigynum L., 1753</v>
      </c>
      <c r="F20131" s="5" t="s">
        <v>25216</v>
      </c>
      <c r="Q20131" s="7" t="str">
        <f>HYPERLINK("#Liste_rouge!A"&amp;_xlfn.XMATCH("LC",Liste_rouge!A:A,2,1),"LC")</f>
        <v>LC</v>
      </c>
      <c r="T20131" s="7" t="str">
        <f>HYPERLINK("#Liste_rouge!A"&amp;_xlfn.XMATCH("CR",Liste_rouge!A:A,2,1),"CR")</f>
        <v>CR</v>
      </c>
      <c r="U20131" s="4" t="str">
        <f>HYPERLINK("#Critères_liste_rouge!A$1","B1 B2ab(ii,iii,iv) C2a(i)")</f>
        <v>B1 B2ab(ii,iii,iv) C2a(i)</v>
      </c>
      <c r="V20131" s="7" t="str">
        <f>HYPERLINK("#Liste_rouge!A"&amp;_xlfn.XMATCH("DD",Liste_rouge!A:A,2,1),"DD")</f>
        <v>DD</v>
      </c>
      <c r="X20131" s="5" t="s">
        <v>374</v>
      </c>
      <c r="AB20131" s="4" t="s">
        <v>93</v>
      </c>
      <c r="AH20131" s="4" t="str">
        <f>HYPERLINK("#Statut_biogéographique!A"&amp;_xlfn.XMATCH("P",Statut_biogéographique!A:A,2,1),"P")</f>
        <v>P</v>
      </c>
      <c r="AM20131" s="4" t="s">
        <v>375</v>
      </c>
      <c r="AN20131" s="4" t="s">
        <v>375</v>
      </c>
      <c r="AO20131" s="4" t="s">
        <v>375</v>
      </c>
      <c r="AP20131" s="4" t="s">
        <v>376</v>
      </c>
      <c r="AR20131" s="4" t="s">
        <v>377</v>
      </c>
    </row>
    <row r="20132" spans="1:44">
      <c r="A20132" s="4" t="s">
        <v>24364</v>
      </c>
      <c r="B20132" s="4">
        <v>106349</v>
      </c>
      <c r="D20132" s="5" t="s">
        <v>25217</v>
      </c>
      <c r="E20132" s="6" t="str">
        <f>HYPERLINK("https://inpn.mnhn.fr/espece/cd_nom/106349","Linum usitatissimum L., 1753")</f>
        <v>Linum usitatissimum L., 1753</v>
      </c>
      <c r="F20132" s="5" t="s">
        <v>25218</v>
      </c>
      <c r="Q20132" s="7" t="str">
        <f>HYPERLINK("#Liste_rouge!A"&amp;_xlfn.XMATCH("LC",Liste_rouge!A:A,2,1),"LC")</f>
        <v>LC</v>
      </c>
      <c r="T20132" s="7" t="str">
        <f>HYPERLINK("#Liste_rouge!A"&amp;_xlfn.XMATCH("LC",Liste_rouge!A:A,2,1),"LC")</f>
        <v>LC</v>
      </c>
      <c r="V20132" s="7" t="str">
        <f>HYPERLINK("#Liste_rouge!A"&amp;_xlfn.XMATCH("NT",Liste_rouge!A:A,2,1),"NT")</f>
        <v>NT</v>
      </c>
      <c r="W20132" s="4" t="str">
        <f>HYPERLINK("#Critères_liste_rouge!A$1","pr. D2")</f>
        <v>pr. D2</v>
      </c>
      <c r="AH20132" s="4" t="str">
        <f>HYPERLINK("#Statut_biogéographique!A"&amp;_xlfn.XMATCH("P",Statut_biogéographique!A:A,2,1),"P")</f>
        <v>P</v>
      </c>
      <c r="AM20132" s="4" t="s">
        <v>375</v>
      </c>
      <c r="AN20132" s="4" t="s">
        <v>375</v>
      </c>
      <c r="AO20132" s="4" t="s">
        <v>375</v>
      </c>
      <c r="AP20132" s="4" t="s">
        <v>376</v>
      </c>
      <c r="AR20132" s="4" t="s">
        <v>377</v>
      </c>
    </row>
    <row r="20133" spans="1:44" ht="45">
      <c r="A20133" s="4" t="s">
        <v>24364</v>
      </c>
      <c r="B20133" s="4">
        <v>106353</v>
      </c>
      <c r="D20133" s="5" t="s">
        <v>25219</v>
      </c>
      <c r="E20133" s="6" t="str">
        <f>HYPERLINK("https://inpn.mnhn.fr/espece/cd_nom/106353","Liparis loeselii (L.) Rich., 1817")</f>
        <v>Liparis loeselii (L.) Rich., 1817</v>
      </c>
      <c r="F20133" s="5" t="s">
        <v>25220</v>
      </c>
      <c r="G20133" s="4" t="str">
        <f>HYPERLINK("#Réglementation!A"&amp;_xlfn.XMATCH("CCA",Réglementation!A:A,2,1),"CCA - CCB")</f>
        <v>CCA - CCB</v>
      </c>
      <c r="I20133" s="4" t="str">
        <f>HYPERLINK("#Réglementation!A"&amp;_xlfn.XMATCH("IBE1",Réglementation!A:A,2,1),"IBE1")</f>
        <v>IBE1</v>
      </c>
      <c r="K20133" s="4" t="str">
        <f>HYPERLINK("#Réglementation!A"&amp;_xlfn.XMATCH("CDH2",Réglementation!A:A,2,1),"CDH2 - CDH4")</f>
        <v>CDH2 - CDH4</v>
      </c>
      <c r="L20133" s="4" t="str">
        <f>HYPERLINK("#Réglementation!A"&amp;_xlfn.XMATCH("NV1",Réglementation!A:A,2,1),"NV1")</f>
        <v>NV1</v>
      </c>
      <c r="P20133" s="7" t="str">
        <f>HYPERLINK("#Liste_rouge!A"&amp;_xlfn.XMATCH("NT",Liste_rouge!A:A,2,1),"NT")</f>
        <v>NT</v>
      </c>
      <c r="Q20133" s="7" t="str">
        <f>HYPERLINK("#Liste_rouge!A"&amp;_xlfn.XMATCH("NT",Liste_rouge!A:A,2,1),"NT")</f>
        <v>NT</v>
      </c>
      <c r="T20133" s="7" t="str">
        <f>HYPERLINK("#Liste_rouge!A"&amp;_xlfn.XMATCH("RE",Liste_rouge!A:A,2,1),"RE")</f>
        <v>RE</v>
      </c>
      <c r="V20133" s="7" t="str">
        <f>HYPERLINK("#Liste_rouge!A"&amp;_xlfn.XMATCH("NT",Liste_rouge!A:A,2,1),"NT")</f>
        <v>NT</v>
      </c>
      <c r="W20133" s="4" t="str">
        <f>HYPERLINK("#Critères_liste_rouge!A$1","pr. A3c")</f>
        <v>pr. A3c</v>
      </c>
      <c r="X20133" s="5" t="s">
        <v>374</v>
      </c>
      <c r="AB20133" s="4" t="s">
        <v>93</v>
      </c>
      <c r="AE20133" s="4" t="str">
        <f>HYPERLINK("#SCAP!A"&amp;_xlfn.XMATCH("1+",SCAP!A:A,2,1),"1+")</f>
        <v>1+</v>
      </c>
      <c r="AG20133" s="4" t="str">
        <f>HYPERLINK("#SCAP!A"&amp;_xlfn.XMATCH("2+",SCAP!A:A,2,1),"2+")</f>
        <v>2+</v>
      </c>
      <c r="AH20133" s="4" t="str">
        <f>HYPERLINK("#Statut_biogéographique!A"&amp;_xlfn.XMATCH("P",Statut_biogéographique!A:A,2,1),"P")</f>
        <v>P</v>
      </c>
      <c r="AI20133" s="8" t="s">
        <v>25221</v>
      </c>
      <c r="AJ20133" s="4" t="s">
        <v>24107</v>
      </c>
      <c r="AM20133" s="4" t="s">
        <v>375</v>
      </c>
      <c r="AN20133" s="4" t="s">
        <v>375</v>
      </c>
      <c r="AO20133" s="4" t="s">
        <v>375</v>
      </c>
      <c r="AP20133" s="4" t="s">
        <v>376</v>
      </c>
      <c r="AR20133" s="4" t="s">
        <v>377</v>
      </c>
    </row>
    <row r="20134" spans="1:44" ht="30">
      <c r="A20134" s="4" t="s">
        <v>24364</v>
      </c>
      <c r="B20134" s="4">
        <v>106361</v>
      </c>
      <c r="D20134" s="5" t="s">
        <v>25222</v>
      </c>
      <c r="E20134" s="6" t="str">
        <f>HYPERLINK("https://inpn.mnhn.fr/espece/cd_nom/106361","Liquidambar styraciflua L., 1753")</f>
        <v>Liquidambar styraciflua L., 1753</v>
      </c>
      <c r="F20134" s="5" t="s">
        <v>25223</v>
      </c>
      <c r="O20134" s="7" t="str">
        <f>HYPERLINK("#Liste_rouge!A"&amp;_xlfn.XMATCH("LC",Liste_rouge!A:A,2,1),"LC")</f>
        <v>LC</v>
      </c>
      <c r="Q20134" s="7" t="str">
        <f>HYPERLINK("#Liste_rouge!A"&amp;_xlfn.XMATCH("NA",Liste_rouge!A:A,2,1),"NA")</f>
        <v>NA</v>
      </c>
      <c r="T20134" s="7" t="str">
        <f>HYPERLINK("#Liste_rouge!A"&amp;_xlfn.XMATCH("NA",Liste_rouge!A:A,2,1),"NA")</f>
        <v>NA</v>
      </c>
      <c r="AH20134" s="4" t="str">
        <f>HYPERLINK("#Statut_biogéographique!A"&amp;_xlfn.XMATCH("I",Statut_biogéographique!A:A,2,1),"I")</f>
        <v>I</v>
      </c>
      <c r="AP20134" s="4" t="s">
        <v>376</v>
      </c>
      <c r="AR20134" s="4" t="s">
        <v>377</v>
      </c>
    </row>
    <row r="20135" spans="1:44" ht="30">
      <c r="A20135" s="4" t="s">
        <v>24364</v>
      </c>
      <c r="B20135" s="4">
        <v>106365</v>
      </c>
      <c r="D20135" s="5" t="s">
        <v>25224</v>
      </c>
      <c r="E20135" s="6" t="str">
        <f>HYPERLINK("https://inpn.mnhn.fr/espece/cd_nom/106365","Liriodendron tulipifera L., 1753")</f>
        <v>Liriodendron tulipifera L., 1753</v>
      </c>
      <c r="F20135" s="5" t="s">
        <v>25225</v>
      </c>
      <c r="O20135" s="7" t="str">
        <f>HYPERLINK("#Liste_rouge!A"&amp;_xlfn.XMATCH("LC",Liste_rouge!A:A,2,1),"LC")</f>
        <v>LC</v>
      </c>
      <c r="Q20135" s="7" t="str">
        <f>HYPERLINK("#Liste_rouge!A"&amp;_xlfn.XMATCH("NA",Liste_rouge!A:A,2,1),"NA")</f>
        <v>NA</v>
      </c>
      <c r="T20135" s="7" t="str">
        <f>HYPERLINK("#Liste_rouge!A"&amp;_xlfn.XMATCH("NA",Liste_rouge!A:A,2,1),"NA")</f>
        <v>NA</v>
      </c>
      <c r="AH20135" s="4" t="str">
        <f>HYPERLINK("#Statut_biogéographique!A"&amp;_xlfn.XMATCH("M",Statut_biogéographique!A:A,2,1),"M")</f>
        <v>M</v>
      </c>
      <c r="AP20135" s="4" t="s">
        <v>376</v>
      </c>
      <c r="AR20135" s="4" t="s">
        <v>377</v>
      </c>
    </row>
    <row r="20136" spans="1:44">
      <c r="A20136" s="4" t="s">
        <v>24364</v>
      </c>
      <c r="B20136" s="4">
        <v>106396</v>
      </c>
      <c r="D20136" s="5" t="s">
        <v>25226</v>
      </c>
      <c r="E20136" s="6" t="str">
        <f>HYPERLINK("https://inpn.mnhn.fr/espece/cd_nom/106396","Lithospermum officinale L., 1753")</f>
        <v>Lithospermum officinale L., 1753</v>
      </c>
      <c r="F20136" s="5" t="s">
        <v>25227</v>
      </c>
      <c r="Q20136" s="7" t="str">
        <f>HYPERLINK("#Liste_rouge!A"&amp;_xlfn.XMATCH("LC",Liste_rouge!A:A,2,1),"LC")</f>
        <v>LC</v>
      </c>
      <c r="T20136" s="7" t="str">
        <f>HYPERLINK("#Liste_rouge!A"&amp;_xlfn.XMATCH("LC",Liste_rouge!A:A,2,1),"LC")</f>
        <v>LC</v>
      </c>
      <c r="V20136" s="7" t="str">
        <f>HYPERLINK("#Liste_rouge!A"&amp;_xlfn.XMATCH("LC",Liste_rouge!A:A,2,1),"LC")</f>
        <v>LC</v>
      </c>
      <c r="AH20136" s="4" t="str">
        <f>HYPERLINK("#Statut_biogéographique!A"&amp;_xlfn.XMATCH("P",Statut_biogéographique!A:A,2,1),"P")</f>
        <v>P</v>
      </c>
      <c r="AM20136" s="4" t="s">
        <v>375</v>
      </c>
      <c r="AN20136" s="4" t="s">
        <v>375</v>
      </c>
      <c r="AO20136" s="4" t="s">
        <v>375</v>
      </c>
      <c r="AP20136" s="4" t="s">
        <v>376</v>
      </c>
      <c r="AR20136" s="4" t="s">
        <v>377</v>
      </c>
    </row>
    <row r="20137" spans="1:44" ht="30">
      <c r="A20137" s="4" t="s">
        <v>24364</v>
      </c>
      <c r="B20137" s="4">
        <v>106419</v>
      </c>
      <c r="D20137" s="5" t="s">
        <v>25228</v>
      </c>
      <c r="E20137" s="6" t="str">
        <f>HYPERLINK("https://inpn.mnhn.fr/espece/cd_nom/106419","Littorella uniflora (L.) Asch., 1864")</f>
        <v>Littorella uniflora (L.) Asch., 1864</v>
      </c>
      <c r="F20137" s="5" t="s">
        <v>25229</v>
      </c>
      <c r="L20137" s="4" t="str">
        <f>HYPERLINK("#Réglementation!A"&amp;_xlfn.XMATCH("NV1",Réglementation!A:A,2,1),"NV1")</f>
        <v>NV1</v>
      </c>
      <c r="M20137" s="4" t="str">
        <f>HYPERLINK("#Réglementation!A"&amp;_xlfn.XMATCH("RV26",Réglementation!A:A,2,1),"RV26 - RV43")</f>
        <v>RV26 - RV43</v>
      </c>
      <c r="O20137" s="7" t="str">
        <f>HYPERLINK("#Liste_rouge!A"&amp;_xlfn.XMATCH("LC",Liste_rouge!A:A,2,1),"LC")</f>
        <v>LC</v>
      </c>
      <c r="P20137" s="7" t="str">
        <f>HYPERLINK("#Liste_rouge!A"&amp;_xlfn.XMATCH("LC",Liste_rouge!A:A,2,1),"LC")</f>
        <v>LC</v>
      </c>
      <c r="Q20137" s="7" t="str">
        <f>HYPERLINK("#Liste_rouge!A"&amp;_xlfn.XMATCH("LC",Liste_rouge!A:A,2,1),"LC")</f>
        <v>LC</v>
      </c>
      <c r="T20137" s="7" t="str">
        <f>HYPERLINK("#Liste_rouge!A"&amp;_xlfn.XMATCH("VU",Liste_rouge!A:A,2,1),"VU")</f>
        <v>VU</v>
      </c>
      <c r="U20137" s="4" t="str">
        <f>HYPERLINK("#Critères_liste_rouge!A$1","EN (B2a) - 1")</f>
        <v>EN (B2a) - 1</v>
      </c>
      <c r="V20137" s="7" t="str">
        <f>HYPERLINK("#Liste_rouge!A"&amp;_xlfn.XMATCH("NT",Liste_rouge!A:A,2,1),"NT")</f>
        <v>NT</v>
      </c>
      <c r="W20137" s="4" t="str">
        <f>HYPERLINK("#Critères_liste_rouge!A$1","pr. A2c")</f>
        <v>pr. A2c</v>
      </c>
      <c r="X20137" s="5" t="s">
        <v>374</v>
      </c>
      <c r="AB20137" s="4" t="s">
        <v>93</v>
      </c>
      <c r="AH20137" s="4" t="str">
        <f>HYPERLINK("#Statut_biogéographique!A"&amp;_xlfn.XMATCH("P",Statut_biogéographique!A:A,2,1),"P")</f>
        <v>P</v>
      </c>
      <c r="AM20137" s="4" t="s">
        <v>375</v>
      </c>
      <c r="AN20137" s="4" t="s">
        <v>375</v>
      </c>
      <c r="AO20137" s="4" t="s">
        <v>375</v>
      </c>
      <c r="AP20137" s="4" t="s">
        <v>376</v>
      </c>
      <c r="AR20137" s="4" t="s">
        <v>377</v>
      </c>
    </row>
    <row r="20138" spans="1:44" ht="30">
      <c r="A20138" s="4" t="s">
        <v>24364</v>
      </c>
      <c r="B20138" s="4">
        <v>106429</v>
      </c>
      <c r="D20138" s="5" t="s">
        <v>25230</v>
      </c>
      <c r="E20138" s="6" t="str">
        <f>HYPERLINK("https://inpn.mnhn.fr/espece/cd_nom/106429","Lobelia erinus L., 1753")</f>
        <v>Lobelia erinus L., 1753</v>
      </c>
      <c r="F20138" s="5" t="s">
        <v>25231</v>
      </c>
      <c r="Q20138" s="7" t="str">
        <f>HYPERLINK("#Liste_rouge!A"&amp;_xlfn.XMATCH("NA",Liste_rouge!A:A,2,1),"NA")</f>
        <v>NA</v>
      </c>
      <c r="AH20138" s="4" t="str">
        <f>HYPERLINK("#Statut_biogéographique!A"&amp;_xlfn.XMATCH("M",Statut_biogéographique!A:A,2,1),"M")</f>
        <v>M</v>
      </c>
      <c r="AP20138" s="4" t="s">
        <v>376</v>
      </c>
      <c r="AR20138" s="4" t="s">
        <v>377</v>
      </c>
    </row>
    <row r="20139" spans="1:44" ht="30">
      <c r="A20139" s="4" t="s">
        <v>24364</v>
      </c>
      <c r="B20139" s="4">
        <v>106435</v>
      </c>
      <c r="D20139" s="5" t="s">
        <v>25232</v>
      </c>
      <c r="E20139" s="6" t="str">
        <f>HYPERLINK("https://inpn.mnhn.fr/espece/cd_nom/106435","Lobelia urens L., 1753")</f>
        <v>Lobelia urens L., 1753</v>
      </c>
      <c r="F20139" s="5" t="s">
        <v>25233</v>
      </c>
      <c r="Q20139" s="7" t="str">
        <f>HYPERLINK("#Liste_rouge!A"&amp;_xlfn.XMATCH("LC",Liste_rouge!A:A,2,1),"LC")</f>
        <v>LC</v>
      </c>
      <c r="T20139" s="7" t="str">
        <f>HYPERLINK("#Liste_rouge!A"&amp;_xlfn.XMATCH("CR",Liste_rouge!A:A,2,1),"CR")</f>
        <v>CR</v>
      </c>
      <c r="U20139" s="4" t="str">
        <f>HYPERLINK("#Critères_liste_rouge!A$1","B1 B2ab(i,ii,iv)")</f>
        <v>B1 B2ab(i,ii,iv)</v>
      </c>
      <c r="X20139" s="5" t="s">
        <v>374</v>
      </c>
      <c r="AB20139" s="4" t="s">
        <v>93</v>
      </c>
      <c r="AH20139" s="4" t="str">
        <f>HYPERLINK("#Statut_biogéographique!A"&amp;_xlfn.XMATCH("P",Statut_biogéographique!A:A,2,1),"P")</f>
        <v>P</v>
      </c>
      <c r="AM20139" s="4" t="s">
        <v>375</v>
      </c>
      <c r="AN20139" s="4" t="s">
        <v>375</v>
      </c>
      <c r="AO20139" s="4" t="s">
        <v>375</v>
      </c>
      <c r="AP20139" s="4" t="s">
        <v>376</v>
      </c>
      <c r="AR20139" s="4" t="s">
        <v>377</v>
      </c>
    </row>
    <row r="20140" spans="1:44" ht="30">
      <c r="A20140" s="4" t="s">
        <v>24364</v>
      </c>
      <c r="B20140" s="4">
        <v>106439</v>
      </c>
      <c r="D20140" s="5" t="s">
        <v>25234</v>
      </c>
      <c r="E20140" s="6" t="str">
        <f>HYPERLINK("https://inpn.mnhn.fr/espece/cd_nom/106439","Lobularia maritima (L.) Desv., 1815")</f>
        <v>Lobularia maritima (L.) Desv., 1815</v>
      </c>
      <c r="F20140" s="5" t="s">
        <v>25235</v>
      </c>
      <c r="Q20140" s="7" t="str">
        <f>HYPERLINK("#Liste_rouge!A"&amp;_xlfn.XMATCH("LC",Liste_rouge!A:A,2,1),"LC")</f>
        <v>LC</v>
      </c>
      <c r="T20140" s="7" t="str">
        <f>HYPERLINK("#Liste_rouge!A"&amp;_xlfn.XMATCH("NA",Liste_rouge!A:A,2,1),"NA")</f>
        <v>NA</v>
      </c>
      <c r="AH20140" s="4" t="str">
        <f>HYPERLINK("#Statut_biogéographique!A"&amp;_xlfn.XMATCH("P",Statut_biogéographique!A:A,2,1),"P")</f>
        <v>P</v>
      </c>
      <c r="AP20140" s="4" t="s">
        <v>376</v>
      </c>
      <c r="AR20140" s="4" t="s">
        <v>377</v>
      </c>
    </row>
    <row r="20141" spans="1:44">
      <c r="A20141" s="4" t="s">
        <v>24364</v>
      </c>
      <c r="B20141" s="4">
        <v>106446</v>
      </c>
      <c r="D20141" s="5" t="s">
        <v>25236</v>
      </c>
      <c r="E20141" s="6" t="str">
        <f>HYPERLINK("https://inpn.mnhn.fr/espece/cd_nom/106446","Loeflingia hispanica L., 1753")</f>
        <v>Loeflingia hispanica L., 1753</v>
      </c>
      <c r="F20141" s="5" t="s">
        <v>25237</v>
      </c>
      <c r="L20141" s="4" t="str">
        <f>HYPERLINK("#Réglementation!A"&amp;_xlfn.XMATCH("NV1",Réglementation!A:A,2,1),"NV1")</f>
        <v>NV1</v>
      </c>
      <c r="Q20141" s="7" t="str">
        <f>HYPERLINK("#Liste_rouge!A"&amp;_xlfn.XMATCH("VU",Liste_rouge!A:A,2,1),"VU")</f>
        <v>VU</v>
      </c>
      <c r="T20141" s="7" t="str">
        <f>HYPERLINK("#Liste_rouge!A"&amp;_xlfn.XMATCH("NA",Liste_rouge!A:A,2,1),"NA")</f>
        <v>NA</v>
      </c>
      <c r="AE20141" s="4" t="str">
        <f>HYPERLINK("#SCAP!A"&amp;_xlfn.XMATCH("A",SCAP!A:A,2,1),"A")</f>
        <v>A</v>
      </c>
      <c r="AH20141" s="4" t="str">
        <f>HYPERLINK("#Statut_biogéographique!A"&amp;_xlfn.XMATCH("P",Statut_biogéographique!A:A,2,1),"P")</f>
        <v>P</v>
      </c>
      <c r="AP20141" s="4" t="s">
        <v>389</v>
      </c>
      <c r="AR20141" s="4" t="s">
        <v>377</v>
      </c>
    </row>
    <row r="20142" spans="1:44" ht="45">
      <c r="A20142" s="4" t="s">
        <v>24364</v>
      </c>
      <c r="B20142" s="4">
        <v>106449</v>
      </c>
      <c r="D20142" s="5" t="s">
        <v>25238</v>
      </c>
      <c r="E20142" s="6" t="str">
        <f>HYPERLINK("https://inpn.mnhn.fr/espece/cd_nom/106449","Logfia gallica (L.) Coss. &amp; Germ., 1843")</f>
        <v>Logfia gallica (L.) Coss. &amp; Germ., 1843</v>
      </c>
      <c r="F20142" s="5" t="s">
        <v>25239</v>
      </c>
      <c r="Q20142" s="7" t="str">
        <f>HYPERLINK("#Liste_rouge!A"&amp;_xlfn.XMATCH("LC",Liste_rouge!A:A,2,1),"LC")</f>
        <v>LC</v>
      </c>
      <c r="T20142" s="7" t="str">
        <f>HYPERLINK("#Liste_rouge!A"&amp;_xlfn.XMATCH("CR",Liste_rouge!A:A,2,1),"CR")</f>
        <v>CR</v>
      </c>
      <c r="U20142" s="4" t="str">
        <f>HYPERLINK("#Critères_liste_rouge!A$1","D1")</f>
        <v>D1</v>
      </c>
      <c r="V20142" s="7" t="str">
        <f>HYPERLINK("#Liste_rouge!A"&amp;_xlfn.XMATCH("RE",Liste_rouge!A:A,2,1),"RE")</f>
        <v>RE</v>
      </c>
      <c r="X20142" s="5" t="s">
        <v>374</v>
      </c>
      <c r="AB20142" s="4" t="s">
        <v>93</v>
      </c>
      <c r="AH20142" s="4" t="str">
        <f>HYPERLINK("#Statut_biogéographique!A"&amp;_xlfn.XMATCH("P",Statut_biogéographique!A:A,2,1),"P")</f>
        <v>P</v>
      </c>
      <c r="AM20142" s="4" t="s">
        <v>375</v>
      </c>
      <c r="AN20142" s="4" t="s">
        <v>375</v>
      </c>
      <c r="AO20142" s="4" t="s">
        <v>375</v>
      </c>
      <c r="AP20142" s="4" t="s">
        <v>376</v>
      </c>
      <c r="AR20142" s="4" t="s">
        <v>377</v>
      </c>
    </row>
    <row r="20143" spans="1:44" ht="45">
      <c r="A20143" s="4" t="s">
        <v>24364</v>
      </c>
      <c r="B20143" s="4">
        <v>106451</v>
      </c>
      <c r="D20143" s="5" t="s">
        <v>25240</v>
      </c>
      <c r="E20143" s="6" t="str">
        <f>HYPERLINK("https://inpn.mnhn.fr/espece/cd_nom/106451","Logfia minima (Sm.) Dumort., 1827")</f>
        <v>Logfia minima (Sm.) Dumort., 1827</v>
      </c>
      <c r="F20143" s="5" t="s">
        <v>25241</v>
      </c>
      <c r="Q20143" s="7" t="str">
        <f>HYPERLINK("#Liste_rouge!A"&amp;_xlfn.XMATCH("LC",Liste_rouge!A:A,2,1),"LC")</f>
        <v>LC</v>
      </c>
      <c r="T20143" s="7" t="str">
        <f>HYPERLINK("#Liste_rouge!A"&amp;_xlfn.XMATCH("NT",Liste_rouge!A:A,2,1),"NT")</f>
        <v>NT</v>
      </c>
      <c r="U20143" s="4" t="str">
        <f>HYPERLINK("#Critères_liste_rouge!A$1","pr. B3c(i,ii,iii)")</f>
        <v>pr. B3c(i,ii,iii)</v>
      </c>
      <c r="V20143" s="7" t="str">
        <f>HYPERLINK("#Liste_rouge!A"&amp;_xlfn.XMATCH("CR",Liste_rouge!A:A,2,1),"CR")</f>
        <v>CR</v>
      </c>
      <c r="W20143" s="4" t="str">
        <f>HYPERLINK("#Critères_liste_rouge!A$1","D1")</f>
        <v>D1</v>
      </c>
      <c r="AB20143" s="4" t="s">
        <v>25019</v>
      </c>
      <c r="AH20143" s="4" t="str">
        <f>HYPERLINK("#Statut_biogéographique!A"&amp;_xlfn.XMATCH("P",Statut_biogéographique!A:A,2,1),"P")</f>
        <v>P</v>
      </c>
      <c r="AM20143" s="4" t="s">
        <v>375</v>
      </c>
      <c r="AN20143" s="4" t="s">
        <v>375</v>
      </c>
      <c r="AO20143" s="4" t="s">
        <v>375</v>
      </c>
      <c r="AP20143" s="4" t="s">
        <v>376</v>
      </c>
      <c r="AR20143" s="4" t="s">
        <v>377</v>
      </c>
    </row>
    <row r="20144" spans="1:44" ht="135">
      <c r="A20144" s="4" t="s">
        <v>24364</v>
      </c>
      <c r="B20144" s="4">
        <v>106497</v>
      </c>
      <c r="D20144" s="5" t="s">
        <v>25242</v>
      </c>
      <c r="E20144" s="6" t="str">
        <f>HYPERLINK("https://inpn.mnhn.fr/espece/cd_nom/106497","Lolium multiflorum Lam., 1779")</f>
        <v>Lolium multiflorum Lam., 1779</v>
      </c>
      <c r="F20144" s="5" t="s">
        <v>25243</v>
      </c>
      <c r="P20144" s="7" t="str">
        <f>HYPERLINK("#Liste_rouge!A"&amp;_xlfn.XMATCH("LC",Liste_rouge!A:A,2,1),"LC")</f>
        <v>LC</v>
      </c>
      <c r="Q20144" s="7" t="str">
        <f>HYPERLINK("#Liste_rouge!A"&amp;_xlfn.XMATCH("LC",Liste_rouge!A:A,2,1),"LC")</f>
        <v>LC</v>
      </c>
      <c r="T20144" s="7" t="str">
        <f>HYPERLINK("#Liste_rouge!A"&amp;_xlfn.XMATCH("LC",Liste_rouge!A:A,2,1),"LC")</f>
        <v>LC</v>
      </c>
      <c r="AH20144" s="4" t="str">
        <f>HYPERLINK("#Statut_biogéographique!A"&amp;_xlfn.XMATCH("P",Statut_biogéographique!A:A,2,1),"P")</f>
        <v>P</v>
      </c>
      <c r="AM20144" s="4" t="s">
        <v>375</v>
      </c>
      <c r="AN20144" s="4" t="s">
        <v>375</v>
      </c>
      <c r="AO20144" s="4" t="s">
        <v>375</v>
      </c>
      <c r="AP20144" s="4" t="s">
        <v>376</v>
      </c>
      <c r="AR20144" s="4" t="s">
        <v>377</v>
      </c>
    </row>
    <row r="20145" spans="1:44" ht="165">
      <c r="A20145" s="4" t="s">
        <v>24364</v>
      </c>
      <c r="B20145" s="4">
        <v>106499</v>
      </c>
      <c r="D20145" s="5" t="s">
        <v>25244</v>
      </c>
      <c r="E20145" s="6" t="str">
        <f>HYPERLINK("https://inpn.mnhn.fr/espece/cd_nom/106499","Lolium perenne L., 1753")</f>
        <v>Lolium perenne L., 1753</v>
      </c>
      <c r="F20145" s="5" t="s">
        <v>25245</v>
      </c>
      <c r="P20145" s="7" t="str">
        <f>HYPERLINK("#Liste_rouge!A"&amp;_xlfn.XMATCH("LC",Liste_rouge!A:A,2,1),"LC")</f>
        <v>LC</v>
      </c>
      <c r="Q20145" s="7" t="str">
        <f>HYPERLINK("#Liste_rouge!A"&amp;_xlfn.XMATCH("LC",Liste_rouge!A:A,2,1),"LC")</f>
        <v>LC</v>
      </c>
      <c r="T20145" s="7" t="str">
        <f>HYPERLINK("#Liste_rouge!A"&amp;_xlfn.XMATCH("LC",Liste_rouge!A:A,2,1),"LC")</f>
        <v>LC</v>
      </c>
      <c r="V20145" s="7" t="str">
        <f>HYPERLINK("#Liste_rouge!A"&amp;_xlfn.XMATCH("LC",Liste_rouge!A:A,2,1),"LC")</f>
        <v>LC</v>
      </c>
      <c r="AH20145" s="4" t="str">
        <f>HYPERLINK("#Statut_biogéographique!A"&amp;_xlfn.XMATCH("P",Statut_biogéographique!A:A,2,1),"P")</f>
        <v>P</v>
      </c>
      <c r="AM20145" s="4" t="s">
        <v>375</v>
      </c>
      <c r="AN20145" s="4" t="s">
        <v>375</v>
      </c>
      <c r="AO20145" s="4" t="s">
        <v>375</v>
      </c>
      <c r="AP20145" s="4" t="s">
        <v>376</v>
      </c>
      <c r="AR20145" s="4" t="s">
        <v>377</v>
      </c>
    </row>
    <row r="20146" spans="1:44" ht="60">
      <c r="A20146" s="4" t="s">
        <v>24364</v>
      </c>
      <c r="B20146" s="4">
        <v>106504</v>
      </c>
      <c r="D20146" s="5" t="s">
        <v>25246</v>
      </c>
      <c r="E20146" s="6" t="str">
        <f>HYPERLINK("https://inpn.mnhn.fr/espece/cd_nom/106504","Lolium remotum Schrank, 1789")</f>
        <v>Lolium remotum Schrank, 1789</v>
      </c>
      <c r="F20146" s="5" t="s">
        <v>25247</v>
      </c>
      <c r="Q20146" s="7" t="str">
        <f>HYPERLINK("#Liste_rouge!A"&amp;_xlfn.XMATCH("RE",Liste_rouge!A:A,2,1),"RE")</f>
        <v>RE</v>
      </c>
      <c r="T20146" s="7" t="str">
        <f>HYPERLINK("#Liste_rouge!A"&amp;_xlfn.XMATCH("NA",Liste_rouge!A:A,2,1),"NA")</f>
        <v>NA</v>
      </c>
      <c r="AH20146" s="4" t="str">
        <f>HYPERLINK("#Statut_biogéographique!A"&amp;_xlfn.XMATCH("W",Statut_biogéographique!A:A,2,1),"W")</f>
        <v>W</v>
      </c>
      <c r="AI20146" s="8" t="s">
        <v>25248</v>
      </c>
      <c r="AJ20146" s="4" t="s">
        <v>12248</v>
      </c>
      <c r="AP20146" s="4" t="s">
        <v>376</v>
      </c>
      <c r="AR20146" s="4" t="s">
        <v>377</v>
      </c>
    </row>
    <row r="20147" spans="1:44" ht="45">
      <c r="A20147" s="4" t="s">
        <v>24364</v>
      </c>
      <c r="B20147" s="4">
        <v>106507</v>
      </c>
      <c r="D20147" s="5" t="s">
        <v>25249</v>
      </c>
      <c r="E20147" s="6" t="str">
        <f>HYPERLINK("https://inpn.mnhn.fr/espece/cd_nom/106507","Lolium rigidum Gaudin, 1811")</f>
        <v>Lolium rigidum Gaudin, 1811</v>
      </c>
      <c r="F20147" s="5" t="s">
        <v>25250</v>
      </c>
      <c r="P20147" s="7" t="str">
        <f>HYPERLINK("#Liste_rouge!A"&amp;_xlfn.XMATCH("LC",Liste_rouge!A:A,2,1),"LC")</f>
        <v>LC</v>
      </c>
      <c r="Q20147" s="7" t="str">
        <f>HYPERLINK("#Liste_rouge!A"&amp;_xlfn.XMATCH("LC",Liste_rouge!A:A,2,1),"LC")</f>
        <v>LC</v>
      </c>
      <c r="T20147" s="7" t="str">
        <f>HYPERLINK("#Liste_rouge!A"&amp;_xlfn.XMATCH("LC",Liste_rouge!A:A,2,1),"LC")</f>
        <v>LC</v>
      </c>
      <c r="AH20147" s="4" t="str">
        <f>HYPERLINK("#Statut_biogéographique!A"&amp;_xlfn.XMATCH("P",Statut_biogéographique!A:A,2,1),"P")</f>
        <v>P</v>
      </c>
      <c r="AM20147" s="4" t="s">
        <v>375</v>
      </c>
      <c r="AN20147" s="4" t="s">
        <v>375</v>
      </c>
      <c r="AO20147" s="4" t="s">
        <v>375</v>
      </c>
      <c r="AP20147" s="4" t="s">
        <v>376</v>
      </c>
      <c r="AR20147" s="4" t="s">
        <v>377</v>
      </c>
    </row>
    <row r="20148" spans="1:44" ht="195">
      <c r="A20148" s="4" t="s">
        <v>24364</v>
      </c>
      <c r="B20148" s="4">
        <v>106517</v>
      </c>
      <c r="D20148" s="5" t="s">
        <v>25251</v>
      </c>
      <c r="E20148" s="6" t="str">
        <f>HYPERLINK("https://inpn.mnhn.fr/espece/cd_nom/106517","Lolium temulentum L., 1753")</f>
        <v>Lolium temulentum L., 1753</v>
      </c>
      <c r="F20148" s="5" t="s">
        <v>25252</v>
      </c>
      <c r="P20148" s="7" t="str">
        <f>HYPERLINK("#Liste_rouge!A"&amp;_xlfn.XMATCH("LC",Liste_rouge!A:A,2,1),"LC")</f>
        <v>LC</v>
      </c>
      <c r="Q20148" s="7" t="str">
        <f>HYPERLINK("#Liste_rouge!A"&amp;_xlfn.XMATCH("CR",Liste_rouge!A:A,2,1),"CR")</f>
        <v>CR</v>
      </c>
      <c r="T20148" s="7" t="str">
        <f>HYPERLINK("#Liste_rouge!A"&amp;_xlfn.XMATCH("CR",Liste_rouge!A:A,2,1),"CR")</f>
        <v>CR</v>
      </c>
      <c r="U20148" s="4" t="str">
        <f>HYPERLINK("#Critères_liste_rouge!A$1","B1 B2ab(ii,iii,iv) C2a(i) D1")</f>
        <v>B1 B2ab(ii,iii,iv) C2a(i) D1</v>
      </c>
      <c r="V20148" s="7" t="str">
        <f>HYPERLINK("#Liste_rouge!A"&amp;_xlfn.XMATCH("RE",Liste_rouge!A:A,2,1),"RE")</f>
        <v>RE</v>
      </c>
      <c r="X20148" s="5" t="s">
        <v>374</v>
      </c>
      <c r="AB20148" s="4" t="s">
        <v>93</v>
      </c>
      <c r="AE20148" s="4" t="str">
        <f>HYPERLINK("#SCAP!A"&amp;_xlfn.XMATCH("A",SCAP!A:A,2,1),"A")</f>
        <v>A</v>
      </c>
      <c r="AH20148" s="4" t="str">
        <f>HYPERLINK("#Statut_biogéographique!A"&amp;_xlfn.XMATCH("P",Statut_biogéographique!A:A,2,1),"P")</f>
        <v>P</v>
      </c>
      <c r="AI20148" s="8" t="s">
        <v>25253</v>
      </c>
      <c r="AJ20148" s="4" t="s">
        <v>12248</v>
      </c>
      <c r="AM20148" s="4" t="s">
        <v>375</v>
      </c>
      <c r="AN20148" s="4" t="s">
        <v>375</v>
      </c>
      <c r="AO20148" s="4" t="s">
        <v>375</v>
      </c>
      <c r="AP20148" s="4" t="s">
        <v>376</v>
      </c>
      <c r="AR20148" s="4" t="s">
        <v>377</v>
      </c>
    </row>
    <row r="20149" spans="1:44" ht="60">
      <c r="A20149" s="4" t="s">
        <v>24364</v>
      </c>
      <c r="B20149" s="4">
        <v>106523</v>
      </c>
      <c r="D20149" s="5" t="s">
        <v>25254</v>
      </c>
      <c r="E20149" s="6" t="str">
        <f>HYPERLINK("https://inpn.mnhn.fr/espece/cd_nom/106523","Lolium x boucheanum Kunth, 1830")</f>
        <v>Lolium x boucheanum Kunth, 1830</v>
      </c>
      <c r="F20149" s="5" t="s">
        <v>25255</v>
      </c>
      <c r="T20149" s="7" t="str">
        <f>HYPERLINK("#Liste_rouge!A"&amp;_xlfn.XMATCH("DD",Liste_rouge!A:A,2,1),"DD")</f>
        <v>DD</v>
      </c>
      <c r="AH20149" s="4" t="str">
        <f>HYPERLINK("#Statut_biogéographique!A"&amp;_xlfn.XMATCH("P",Statut_biogéographique!A:A,2,1),"P")</f>
        <v>P</v>
      </c>
      <c r="AP20149" s="4" t="s">
        <v>376</v>
      </c>
      <c r="AR20149" s="4" t="s">
        <v>377</v>
      </c>
    </row>
    <row r="20150" spans="1:44" ht="60">
      <c r="A20150" s="4" t="s">
        <v>24364</v>
      </c>
      <c r="B20150" s="4">
        <v>106532</v>
      </c>
      <c r="D20150" s="5" t="s">
        <v>25256</v>
      </c>
      <c r="E20150" s="6" t="str">
        <f>HYPERLINK("https://inpn.mnhn.fr/espece/cd_nom/106532","Lomelosia argentea (L.) Greuter &amp; Burdet, 1985")</f>
        <v>Lomelosia argentea (L.) Greuter &amp; Burdet, 1985</v>
      </c>
      <c r="F20150" s="5" t="s">
        <v>25257</v>
      </c>
      <c r="T20150" s="7" t="str">
        <f>HYPERLINK("#Liste_rouge!A"&amp;_xlfn.XMATCH("NA",Liste_rouge!A:A,2,1),"NA")</f>
        <v>NA</v>
      </c>
      <c r="AH20150" s="4" t="str">
        <f>HYPERLINK("#Statut_biogéographique!A"&amp;_xlfn.XMATCH("I",Statut_biogéographique!A:A,2,1),"I")</f>
        <v>I</v>
      </c>
      <c r="AP20150" s="4" t="s">
        <v>376</v>
      </c>
      <c r="AR20150" s="4" t="s">
        <v>377</v>
      </c>
    </row>
    <row r="20151" spans="1:44" ht="45">
      <c r="A20151" s="4" t="s">
        <v>24364</v>
      </c>
      <c r="B20151" s="4">
        <v>106534</v>
      </c>
      <c r="D20151" s="5" t="s">
        <v>25258</v>
      </c>
      <c r="E20151" s="6" t="str">
        <f>HYPERLINK("https://inpn.mnhn.fr/espece/cd_nom/106534","Lomelosia graminifolia (L.) Greuter &amp; Burdet, 1985")</f>
        <v>Lomelosia graminifolia (L.) Greuter &amp; Burdet, 1985</v>
      </c>
      <c r="F20151" s="5" t="s">
        <v>25259</v>
      </c>
      <c r="Q20151" s="7" t="str">
        <f>HYPERLINK("#Liste_rouge!A"&amp;_xlfn.XMATCH("LC",Liste_rouge!A:A,2,1),"LC")</f>
        <v>LC</v>
      </c>
      <c r="AH20151" s="4" t="str">
        <f>HYPERLINK("#Statut_biogéographique!A"&amp;_xlfn.XMATCH("P",Statut_biogéographique!A:A,2,1),"P")</f>
        <v>P</v>
      </c>
      <c r="AP20151" s="4" t="s">
        <v>376</v>
      </c>
      <c r="AR20151" s="4" t="s">
        <v>377</v>
      </c>
    </row>
    <row r="20152" spans="1:44" ht="45">
      <c r="A20152" s="4" t="s">
        <v>24364</v>
      </c>
      <c r="B20152" s="4">
        <v>106545</v>
      </c>
      <c r="D20152" s="5" t="s">
        <v>25260</v>
      </c>
      <c r="E20152" s="6" t="str">
        <f>HYPERLINK("https://inpn.mnhn.fr/espece/cd_nom/106545","Loncomelos narbonensis (L.) Raf., 1840")</f>
        <v>Loncomelos narbonensis (L.) Raf., 1840</v>
      </c>
      <c r="F20152" s="5" t="s">
        <v>25261</v>
      </c>
      <c r="Q20152" s="7" t="str">
        <f>HYPERLINK("#Liste_rouge!A"&amp;_xlfn.XMATCH("LC",Liste_rouge!A:A,2,1),"LC")</f>
        <v>LC</v>
      </c>
      <c r="AH20152" s="4" t="str">
        <f>HYPERLINK("#Statut_biogéographique!A"&amp;_xlfn.XMATCH("P",Statut_biogéographique!A:A,2,1),"P")</f>
        <v>P</v>
      </c>
      <c r="AP20152" s="4" t="s">
        <v>376</v>
      </c>
      <c r="AR20152" s="4" t="s">
        <v>377</v>
      </c>
    </row>
    <row r="20153" spans="1:44" ht="60">
      <c r="A20153" s="4" t="s">
        <v>24364</v>
      </c>
      <c r="B20153" s="4">
        <v>106546</v>
      </c>
      <c r="D20153" s="5" t="s">
        <v>25262</v>
      </c>
      <c r="E20153" s="6" t="str">
        <f>HYPERLINK("https://inpn.mnhn.fr/espece/cd_nom/106546","Loncomelos pyrenaicus (L.) Hrouda, 1988")</f>
        <v>Loncomelos pyrenaicus (L.) Hrouda, 1988</v>
      </c>
      <c r="F20153" s="5" t="s">
        <v>25263</v>
      </c>
      <c r="N20153" s="4" t="str">
        <f>HYPERLINK("#Réglementation!A"&amp;_xlfn.XMATCH("V25P2",Réglementation!A:A,2,1),"V25P2 - V70P2")</f>
        <v>V25P2 - V70P2</v>
      </c>
      <c r="Q20153" s="7" t="str">
        <f>HYPERLINK("#Liste_rouge!A"&amp;_xlfn.XMATCH("LC",Liste_rouge!A:A,2,1),"LC")</f>
        <v>LC</v>
      </c>
      <c r="T20153" s="7" t="str">
        <f>HYPERLINK("#Liste_rouge!A"&amp;_xlfn.XMATCH("LC",Liste_rouge!A:A,2,1),"LC")</f>
        <v>LC</v>
      </c>
      <c r="V20153" s="7" t="str">
        <f>HYPERLINK("#Liste_rouge!A"&amp;_xlfn.XMATCH("LC",Liste_rouge!A:A,2,1),"LC")</f>
        <v>LC</v>
      </c>
      <c r="AH20153" s="4" t="str">
        <f>HYPERLINK("#Statut_biogéographique!A"&amp;_xlfn.XMATCH("P",Statut_biogéographique!A:A,2,1),"P")</f>
        <v>P</v>
      </c>
      <c r="AK20153" s="4" t="str">
        <f>HYPERLINK("#Réglementation!A"&amp;_xlfn.XMATCH("V39P2",Réglementation!A:A,2,1),"V39P2 - V39P6 - V25P2 - V70P2")</f>
        <v>V39P2 - V39P6 - V25P2 - V70P2</v>
      </c>
      <c r="AM20153" s="4" t="s">
        <v>375</v>
      </c>
      <c r="AN20153" s="4" t="s">
        <v>375</v>
      </c>
      <c r="AO20153" s="4" t="s">
        <v>375</v>
      </c>
      <c r="AP20153" s="4" t="s">
        <v>376</v>
      </c>
      <c r="AR20153" s="4" t="s">
        <v>377</v>
      </c>
    </row>
    <row r="20154" spans="1:44" ht="30">
      <c r="A20154" s="4" t="s">
        <v>24364</v>
      </c>
      <c r="B20154" s="4">
        <v>106550</v>
      </c>
      <c r="D20154" s="5" t="s">
        <v>25264</v>
      </c>
      <c r="E20154" s="6" t="str">
        <f>HYPERLINK("https://inpn.mnhn.fr/espece/cd_nom/106550","Lonicera alpigena L., 1753")</f>
        <v>Lonicera alpigena L., 1753</v>
      </c>
      <c r="F20154" s="5" t="s">
        <v>25265</v>
      </c>
      <c r="O20154" s="7" t="str">
        <f>HYPERLINK("#Liste_rouge!A"&amp;_xlfn.XMATCH("LC",Liste_rouge!A:A,2,1),"LC")</f>
        <v>LC</v>
      </c>
      <c r="P20154" s="7" t="str">
        <f>HYPERLINK("#Liste_rouge!A"&amp;_xlfn.XMATCH("LC",Liste_rouge!A:A,2,1),"LC")</f>
        <v>LC</v>
      </c>
      <c r="Q20154" s="7" t="str">
        <f>HYPERLINK("#Liste_rouge!A"&amp;_xlfn.XMATCH("LC",Liste_rouge!A:A,2,1),"LC")</f>
        <v>LC</v>
      </c>
      <c r="T20154" s="7" t="str">
        <f>HYPERLINK("#Liste_rouge!A"&amp;_xlfn.XMATCH("NA",Liste_rouge!A:A,2,1),"NA")</f>
        <v>NA</v>
      </c>
      <c r="V20154" s="7" t="str">
        <f>HYPERLINK("#Liste_rouge!A"&amp;_xlfn.XMATCH("LC",Liste_rouge!A:A,2,1),"LC")</f>
        <v>LC</v>
      </c>
      <c r="AH20154" s="4" t="str">
        <f>HYPERLINK("#Statut_biogéographique!A"&amp;_xlfn.XMATCH("P",Statut_biogéographique!A:A,2,1),"P")</f>
        <v>P</v>
      </c>
      <c r="AM20154" s="4" t="s">
        <v>375</v>
      </c>
      <c r="AN20154" s="4" t="s">
        <v>375</v>
      </c>
      <c r="AO20154" s="4" t="s">
        <v>375</v>
      </c>
      <c r="AP20154" s="4" t="s">
        <v>376</v>
      </c>
      <c r="AR20154" s="4" t="s">
        <v>377</v>
      </c>
    </row>
    <row r="20155" spans="1:44">
      <c r="A20155" s="4" t="s">
        <v>24364</v>
      </c>
      <c r="B20155" s="4">
        <v>106555</v>
      </c>
      <c r="D20155" s="5" t="s">
        <v>25266</v>
      </c>
      <c r="E20155" s="6" t="str">
        <f>HYPERLINK("https://inpn.mnhn.fr/espece/cd_nom/106555","Lonicera caerulea L., 1753")</f>
        <v>Lonicera caerulea L., 1753</v>
      </c>
      <c r="F20155" s="5" t="s">
        <v>25267</v>
      </c>
      <c r="M20155" s="4" t="str">
        <f>HYPERLINK("#Réglementation!A"&amp;_xlfn.XMATCH("RV43",Réglementation!A:A,2,1),"RV43")</f>
        <v>RV43</v>
      </c>
      <c r="O20155" s="7" t="str">
        <f>HYPERLINK("#Liste_rouge!A"&amp;_xlfn.XMATCH("LC",Liste_rouge!A:A,2,1),"LC")</f>
        <v>LC</v>
      </c>
      <c r="Q20155" s="7" t="str">
        <f>HYPERLINK("#Liste_rouge!A"&amp;_xlfn.XMATCH("LC",Liste_rouge!A:A,2,1),"LC")</f>
        <v>LC</v>
      </c>
      <c r="V20155" s="7" t="str">
        <f>HYPERLINK("#Liste_rouge!A"&amp;_xlfn.XMATCH("LC",Liste_rouge!A:A,2,1),"LC")</f>
        <v>LC</v>
      </c>
      <c r="X20155" s="5" t="s">
        <v>374</v>
      </c>
      <c r="AB20155" s="4" t="s">
        <v>93</v>
      </c>
      <c r="AH20155" s="4" t="str">
        <f>HYPERLINK("#Statut_biogéographique!A"&amp;_xlfn.XMATCH("P",Statut_biogéographique!A:A,2,1),"P")</f>
        <v>P</v>
      </c>
      <c r="AM20155" s="4" t="s">
        <v>375</v>
      </c>
      <c r="AN20155" s="4" t="s">
        <v>375</v>
      </c>
      <c r="AO20155" s="4" t="s">
        <v>375</v>
      </c>
      <c r="AP20155" s="4" t="s">
        <v>376</v>
      </c>
      <c r="AR20155" s="4" t="s">
        <v>377</v>
      </c>
    </row>
    <row r="20156" spans="1:44" ht="45">
      <c r="A20156" s="4" t="s">
        <v>24364</v>
      </c>
      <c r="B20156" s="4">
        <v>106556</v>
      </c>
      <c r="D20156" s="5" t="s">
        <v>25268</v>
      </c>
      <c r="E20156" s="6" t="str">
        <f>HYPERLINK("https://inpn.mnhn.fr/espece/cd_nom/106556","Lonicera caprifolium L., 1753")</f>
        <v>Lonicera caprifolium L., 1753</v>
      </c>
      <c r="F20156" s="5" t="s">
        <v>25269</v>
      </c>
      <c r="Q20156" s="7" t="str">
        <f>HYPERLINK("#Liste_rouge!A"&amp;_xlfn.XMATCH("NA",Liste_rouge!A:A,2,1),"NA")</f>
        <v>NA</v>
      </c>
      <c r="T20156" s="7" t="str">
        <f>HYPERLINK("#Liste_rouge!A"&amp;_xlfn.XMATCH("NA",Liste_rouge!A:A,2,1),"NA")</f>
        <v>NA</v>
      </c>
      <c r="AH20156" s="4" t="str">
        <f>HYPERLINK("#Statut_biogéographique!A"&amp;_xlfn.XMATCH("I",Statut_biogéographique!A:A,2,1),"I")</f>
        <v>I</v>
      </c>
      <c r="AP20156" s="4" t="s">
        <v>376</v>
      </c>
      <c r="AR20156" s="4" t="s">
        <v>377</v>
      </c>
    </row>
    <row r="20157" spans="1:44" ht="75">
      <c r="A20157" s="4" t="s">
        <v>24364</v>
      </c>
      <c r="B20157" s="4">
        <v>106571</v>
      </c>
      <c r="D20157" s="5" t="s">
        <v>25270</v>
      </c>
      <c r="E20157" s="6" t="str">
        <f>HYPERLINK("https://inpn.mnhn.fr/espece/cd_nom/106571","Lonicera japonica Thunb., 1784")</f>
        <v>Lonicera japonica Thunb., 1784</v>
      </c>
      <c r="F20157" s="5" t="s">
        <v>25271</v>
      </c>
      <c r="Q20157" s="7" t="str">
        <f>HYPERLINK("#Liste_rouge!A"&amp;_xlfn.XMATCH("NA",Liste_rouge!A:A,2,1),"NA")</f>
        <v>NA</v>
      </c>
      <c r="T20157" s="7" t="str">
        <f>HYPERLINK("#Liste_rouge!A"&amp;_xlfn.XMATCH("NA",Liste_rouge!A:A,2,1),"NA")</f>
        <v>NA</v>
      </c>
      <c r="AH20157" s="4" t="str">
        <f>HYPERLINK("#Statut_biogéographique!A"&amp;_xlfn.XMATCH("J",Statut_biogéographique!A:A,2,1),"J")</f>
        <v>J</v>
      </c>
      <c r="AP20157" s="4" t="s">
        <v>376</v>
      </c>
      <c r="AR20157" s="4" t="s">
        <v>377</v>
      </c>
    </row>
    <row r="20158" spans="1:44">
      <c r="A20158" s="4" t="s">
        <v>24364</v>
      </c>
      <c r="B20158" s="4">
        <v>106574</v>
      </c>
      <c r="D20158" s="5" t="s">
        <v>25272</v>
      </c>
      <c r="E20158" s="6" t="str">
        <f>HYPERLINK("https://inpn.mnhn.fr/espece/cd_nom/106574","Lonicera nigra L., 1753")</f>
        <v>Lonicera nigra L., 1753</v>
      </c>
      <c r="F20158" s="5" t="s">
        <v>25273</v>
      </c>
      <c r="O20158" s="7" t="str">
        <f>HYPERLINK("#Liste_rouge!A"&amp;_xlfn.XMATCH("LC",Liste_rouge!A:A,2,1),"LC")</f>
        <v>LC</v>
      </c>
      <c r="P20158" s="7" t="str">
        <f>HYPERLINK("#Liste_rouge!A"&amp;_xlfn.XMATCH("LC",Liste_rouge!A:A,2,1),"LC")</f>
        <v>LC</v>
      </c>
      <c r="Q20158" s="7" t="str">
        <f>HYPERLINK("#Liste_rouge!A"&amp;_xlfn.XMATCH("LC",Liste_rouge!A:A,2,1),"LC")</f>
        <v>LC</v>
      </c>
      <c r="V20158" s="7" t="str">
        <f>HYPERLINK("#Liste_rouge!A"&amp;_xlfn.XMATCH("LC",Liste_rouge!A:A,2,1),"LC")</f>
        <v>LC</v>
      </c>
      <c r="AB20158" s="4" t="s">
        <v>24719</v>
      </c>
      <c r="AH20158" s="4" t="str">
        <f>HYPERLINK("#Statut_biogéographique!A"&amp;_xlfn.XMATCH("P",Statut_biogéographique!A:A,2,1),"P")</f>
        <v>P</v>
      </c>
      <c r="AM20158" s="4" t="s">
        <v>375</v>
      </c>
      <c r="AN20158" s="4" t="s">
        <v>375</v>
      </c>
      <c r="AO20158" s="4" t="s">
        <v>375</v>
      </c>
      <c r="AP20158" s="4" t="s">
        <v>376</v>
      </c>
      <c r="AR20158" s="4" t="s">
        <v>377</v>
      </c>
    </row>
    <row r="20159" spans="1:44" ht="60">
      <c r="A20159" s="4" t="s">
        <v>24364</v>
      </c>
      <c r="B20159" s="4">
        <v>106581</v>
      </c>
      <c r="D20159" s="5" t="s">
        <v>25274</v>
      </c>
      <c r="E20159" s="6" t="str">
        <f>HYPERLINK("https://inpn.mnhn.fr/espece/cd_nom/106581","Lonicera periclymenum L., 1753")</f>
        <v>Lonicera periclymenum L., 1753</v>
      </c>
      <c r="F20159" s="5" t="s">
        <v>25275</v>
      </c>
      <c r="Q20159" s="7" t="str">
        <f>HYPERLINK("#Liste_rouge!A"&amp;_xlfn.XMATCH("LC",Liste_rouge!A:A,2,1),"LC")</f>
        <v>LC</v>
      </c>
      <c r="T20159" s="7" t="str">
        <f>HYPERLINK("#Liste_rouge!A"&amp;_xlfn.XMATCH("LC",Liste_rouge!A:A,2,1),"LC")</f>
        <v>LC</v>
      </c>
      <c r="V20159" s="7" t="str">
        <f>HYPERLINK("#Liste_rouge!A"&amp;_xlfn.XMATCH("LC",Liste_rouge!A:A,2,1),"LC")</f>
        <v>LC</v>
      </c>
      <c r="AH20159" s="4" t="str">
        <f>HYPERLINK("#Statut_biogéographique!A"&amp;_xlfn.XMATCH("P",Statut_biogéographique!A:A,2,1),"P")</f>
        <v>P</v>
      </c>
      <c r="AM20159" s="4" t="s">
        <v>375</v>
      </c>
      <c r="AN20159" s="4" t="s">
        <v>375</v>
      </c>
      <c r="AO20159" s="4" t="s">
        <v>375</v>
      </c>
      <c r="AP20159" s="4" t="s">
        <v>376</v>
      </c>
      <c r="AR20159" s="4" t="s">
        <v>377</v>
      </c>
    </row>
    <row r="20160" spans="1:44">
      <c r="A20160" s="4" t="s">
        <v>24364</v>
      </c>
      <c r="B20160" s="4">
        <v>106588</v>
      </c>
      <c r="D20160" s="5" t="s">
        <v>25276</v>
      </c>
      <c r="E20160" s="6" t="str">
        <f>HYPERLINK("https://inpn.mnhn.fr/espece/cd_nom/106588","Lonicera tatarica L., 1753")</f>
        <v>Lonicera tatarica L., 1753</v>
      </c>
      <c r="F20160" s="5" t="s">
        <v>25277</v>
      </c>
      <c r="Q20160" s="7" t="str">
        <f>HYPERLINK("#Liste_rouge!A"&amp;_xlfn.XMATCH("NA",Liste_rouge!A:A,2,1),"NA")</f>
        <v>NA</v>
      </c>
      <c r="T20160" s="7" t="str">
        <f>HYPERLINK("#Liste_rouge!A"&amp;_xlfn.XMATCH("NA",Liste_rouge!A:A,2,1),"NA")</f>
        <v>NA</v>
      </c>
      <c r="AH20160" s="4" t="str">
        <f>HYPERLINK("#Statut_biogéographique!A"&amp;_xlfn.XMATCH("M",Statut_biogéographique!A:A,2,1),"M")</f>
        <v>M</v>
      </c>
      <c r="AP20160" s="4" t="s">
        <v>376</v>
      </c>
      <c r="AR20160" s="4" t="s">
        <v>377</v>
      </c>
    </row>
    <row r="20161" spans="1:44" ht="45">
      <c r="A20161" s="4" t="s">
        <v>24364</v>
      </c>
      <c r="B20161" s="4">
        <v>106595</v>
      </c>
      <c r="D20161" s="5" t="s">
        <v>25278</v>
      </c>
      <c r="E20161" s="6" t="str">
        <f>HYPERLINK("https://inpn.mnhn.fr/espece/cd_nom/106595","Lonicera xylosteum L., 1753")</f>
        <v>Lonicera xylosteum L., 1753</v>
      </c>
      <c r="F20161" s="5" t="s">
        <v>25279</v>
      </c>
      <c r="Q20161" s="7" t="str">
        <f>HYPERLINK("#Liste_rouge!A"&amp;_xlfn.XMATCH("LC",Liste_rouge!A:A,2,1),"LC")</f>
        <v>LC</v>
      </c>
      <c r="T20161" s="7" t="str">
        <f>HYPERLINK("#Liste_rouge!A"&amp;_xlfn.XMATCH("LC",Liste_rouge!A:A,2,1),"LC")</f>
        <v>LC</v>
      </c>
      <c r="V20161" s="7" t="str">
        <f>HYPERLINK("#Liste_rouge!A"&amp;_xlfn.XMATCH("LC",Liste_rouge!A:A,2,1),"LC")</f>
        <v>LC</v>
      </c>
      <c r="AH20161" s="4" t="str">
        <f>HYPERLINK("#Statut_biogéographique!A"&amp;_xlfn.XMATCH("P",Statut_biogéographique!A:A,2,1),"P")</f>
        <v>P</v>
      </c>
      <c r="AM20161" s="4" t="s">
        <v>375</v>
      </c>
      <c r="AN20161" s="4" t="s">
        <v>375</v>
      </c>
      <c r="AO20161" s="4" t="s">
        <v>375</v>
      </c>
      <c r="AP20161" s="4" t="s">
        <v>376</v>
      </c>
      <c r="AR20161" s="4" t="s">
        <v>377</v>
      </c>
    </row>
    <row r="20162" spans="1:44" ht="60">
      <c r="A20162" s="4" t="s">
        <v>24364</v>
      </c>
      <c r="B20162" s="4">
        <v>106634</v>
      </c>
      <c r="D20162" s="5" t="s">
        <v>25280</v>
      </c>
      <c r="E20162" s="6" t="str">
        <f>HYPERLINK("https://inpn.mnhn.fr/espece/cd_nom/106634","Lotus angustissimus L., 1753")</f>
        <v>Lotus angustissimus L., 1753</v>
      </c>
      <c r="F20162" s="5" t="s">
        <v>25281</v>
      </c>
      <c r="O20162" s="7" t="str">
        <f>HYPERLINK("#Liste_rouge!A"&amp;_xlfn.XMATCH("LC",Liste_rouge!A:A,2,1),"LC")</f>
        <v>LC</v>
      </c>
      <c r="Q20162" s="7" t="str">
        <f>HYPERLINK("#Liste_rouge!A"&amp;_xlfn.XMATCH("LC",Liste_rouge!A:A,2,1),"LC")</f>
        <v>LC</v>
      </c>
      <c r="T20162" s="7" t="str">
        <f>HYPERLINK("#Liste_rouge!A"&amp;_xlfn.XMATCH("VU",Liste_rouge!A:A,2,1),"VU")</f>
        <v>VU</v>
      </c>
      <c r="U20162" s="4" t="str">
        <f>HYPERLINK("#Critères_liste_rouge!A$1","D2")</f>
        <v>D2</v>
      </c>
      <c r="X20162" s="5" t="s">
        <v>374</v>
      </c>
      <c r="AB20162" s="4" t="s">
        <v>93</v>
      </c>
      <c r="AH20162" s="4" t="str">
        <f>HYPERLINK("#Statut_biogéographique!A"&amp;_xlfn.XMATCH("P",Statut_biogéographique!A:A,2,1),"P")</f>
        <v>P</v>
      </c>
      <c r="AM20162" s="4" t="s">
        <v>375</v>
      </c>
      <c r="AN20162" s="4" t="s">
        <v>375</v>
      </c>
      <c r="AO20162" s="4" t="s">
        <v>375</v>
      </c>
      <c r="AP20162" s="4" t="s">
        <v>376</v>
      </c>
      <c r="AR20162" s="4" t="s">
        <v>377</v>
      </c>
    </row>
    <row r="20163" spans="1:44" ht="30">
      <c r="A20163" s="4" t="s">
        <v>24364</v>
      </c>
      <c r="B20163" s="4">
        <v>106653</v>
      </c>
      <c r="D20163" s="5" t="s">
        <v>25282</v>
      </c>
      <c r="E20163" s="6" t="str">
        <f>HYPERLINK("https://inpn.mnhn.fr/espece/cd_nom/106653","Lotus corniculatus L., 1753")</f>
        <v>Lotus corniculatus L., 1753</v>
      </c>
      <c r="F20163" s="5" t="s">
        <v>25283</v>
      </c>
      <c r="P20163" s="7" t="str">
        <f>HYPERLINK("#Liste_rouge!A"&amp;_xlfn.XMATCH("LC",Liste_rouge!A:A,2,1),"LC")</f>
        <v>LC</v>
      </c>
      <c r="Q20163" s="7" t="str">
        <f>HYPERLINK("#Liste_rouge!A"&amp;_xlfn.XMATCH("LC",Liste_rouge!A:A,2,1),"LC")</f>
        <v>LC</v>
      </c>
      <c r="T20163" s="7" t="str">
        <f>HYPERLINK("#Liste_rouge!A"&amp;_xlfn.XMATCH("LC",Liste_rouge!A:A,2,1),"LC")</f>
        <v>LC</v>
      </c>
      <c r="V20163" s="7" t="str">
        <f>HYPERLINK("#Liste_rouge!A"&amp;_xlfn.XMATCH("LC",Liste_rouge!A:A,2,1),"LC")</f>
        <v>LC</v>
      </c>
      <c r="AH20163" s="4" t="str">
        <f>HYPERLINK("#Statut_biogéographique!A"&amp;_xlfn.XMATCH("P",Statut_biogéographique!A:A,2,1),"P")</f>
        <v>P</v>
      </c>
      <c r="AM20163" s="4" t="s">
        <v>375</v>
      </c>
      <c r="AN20163" s="4" t="s">
        <v>375</v>
      </c>
      <c r="AO20163" s="4" t="s">
        <v>375</v>
      </c>
      <c r="AP20163" s="4" t="s">
        <v>376</v>
      </c>
      <c r="AR20163" s="4" t="s">
        <v>377</v>
      </c>
    </row>
    <row r="20164" spans="1:44" ht="75">
      <c r="A20164" s="4" t="s">
        <v>24364</v>
      </c>
      <c r="B20164" s="4">
        <v>106664</v>
      </c>
      <c r="D20164" s="5" t="s">
        <v>25284</v>
      </c>
      <c r="E20164" s="6" t="str">
        <f>HYPERLINK("https://inpn.mnhn.fr/espece/cd_nom/106664","Lotus dorycnium L., 1753")</f>
        <v>Lotus dorycnium L., 1753</v>
      </c>
      <c r="F20164" s="5" t="s">
        <v>25285</v>
      </c>
      <c r="Q20164" s="7" t="str">
        <f>HYPERLINK("#Liste_rouge!A"&amp;_xlfn.XMATCH("LC",Liste_rouge!A:A,2,1),"LC")</f>
        <v>LC</v>
      </c>
      <c r="AH20164" s="4" t="str">
        <f>HYPERLINK("#Statut_biogéographique!A"&amp;_xlfn.XMATCH("P",Statut_biogéographique!A:A,2,1),"P")</f>
        <v>P</v>
      </c>
      <c r="AP20164" s="4" t="s">
        <v>376</v>
      </c>
      <c r="AR20164" s="4" t="s">
        <v>377</v>
      </c>
    </row>
    <row r="20165" spans="1:44">
      <c r="A20165" s="4" t="s">
        <v>24364</v>
      </c>
      <c r="B20165" s="4">
        <v>106666</v>
      </c>
      <c r="D20165" s="5" t="s">
        <v>25286</v>
      </c>
      <c r="E20165" s="6" t="str">
        <f>HYPERLINK("https://inpn.mnhn.fr/espece/cd_nom/106666","Lotus edulis L., 1753")</f>
        <v>Lotus edulis L., 1753</v>
      </c>
      <c r="F20165" s="5" t="s">
        <v>25287</v>
      </c>
      <c r="O20165" s="7" t="str">
        <f>HYPERLINK("#Liste_rouge!A"&amp;_xlfn.XMATCH("LC",Liste_rouge!A:A,2,1),"LC")</f>
        <v>LC</v>
      </c>
      <c r="Q20165" s="7" t="str">
        <f>HYPERLINK("#Liste_rouge!A"&amp;_xlfn.XMATCH("LC",Liste_rouge!A:A,2,1),"LC")</f>
        <v>LC</v>
      </c>
      <c r="T20165" s="7" t="str">
        <f>HYPERLINK("#Liste_rouge!A"&amp;_xlfn.XMATCH("NA",Liste_rouge!A:A,2,1),"NA")</f>
        <v>NA</v>
      </c>
      <c r="AH20165" s="4" t="str">
        <f>HYPERLINK("#Statut_biogéographique!A"&amp;_xlfn.XMATCH("P",Statut_biogéographique!A:A,2,1),"P")</f>
        <v>P</v>
      </c>
      <c r="AP20165" s="4" t="s">
        <v>376</v>
      </c>
      <c r="AR20165" s="4" t="s">
        <v>377</v>
      </c>
    </row>
    <row r="20166" spans="1:44" ht="60">
      <c r="A20166" s="4" t="s">
        <v>24364</v>
      </c>
      <c r="B20166" s="4">
        <v>106677</v>
      </c>
      <c r="D20166" s="5" t="s">
        <v>25288</v>
      </c>
      <c r="E20166" s="6" t="str">
        <f>HYPERLINK("https://inpn.mnhn.fr/espece/cd_nom/106677","Lotus hirsutus L., 1753")</f>
        <v>Lotus hirsutus L., 1753</v>
      </c>
      <c r="F20166" s="5" t="s">
        <v>25289</v>
      </c>
      <c r="Q20166" s="7" t="str">
        <f>HYPERLINK("#Liste_rouge!A"&amp;_xlfn.XMATCH("LC",Liste_rouge!A:A,2,1),"LC")</f>
        <v>LC</v>
      </c>
      <c r="T20166" s="7" t="str">
        <f>HYPERLINK("#Liste_rouge!A"&amp;_xlfn.XMATCH("NA",Liste_rouge!A:A,2,1),"NA")</f>
        <v>NA</v>
      </c>
      <c r="AH20166" s="4" t="str">
        <f>HYPERLINK("#Statut_biogéographique!A"&amp;_xlfn.XMATCH("P",Statut_biogéographique!A:A,2,1),"P")</f>
        <v>P</v>
      </c>
      <c r="AP20166" s="4" t="s">
        <v>376</v>
      </c>
      <c r="AR20166" s="4" t="s">
        <v>377</v>
      </c>
    </row>
    <row r="20167" spans="1:44" ht="60">
      <c r="A20167" s="4" t="s">
        <v>24364</v>
      </c>
      <c r="B20167" s="4">
        <v>106678</v>
      </c>
      <c r="D20167" s="5" t="s">
        <v>25290</v>
      </c>
      <c r="E20167" s="6" t="str">
        <f>HYPERLINK("https://inpn.mnhn.fr/espece/cd_nom/106678","Lotus hispidus Desf. ex DC., 1805")</f>
        <v>Lotus hispidus Desf. ex DC., 1805</v>
      </c>
      <c r="F20167" s="5" t="s">
        <v>25291</v>
      </c>
      <c r="Q20167" s="7" t="str">
        <f>HYPERLINK("#Liste_rouge!A"&amp;_xlfn.XMATCH("LC",Liste_rouge!A:A,2,1),"LC")</f>
        <v>LC</v>
      </c>
      <c r="T20167" s="7" t="str">
        <f>HYPERLINK("#Liste_rouge!A"&amp;_xlfn.XMATCH("DD",Liste_rouge!A:A,2,1),"DD")</f>
        <v>DD</v>
      </c>
      <c r="AH20167" s="4" t="str">
        <f>HYPERLINK("#Statut_biogéographique!A"&amp;_xlfn.XMATCH("P",Statut_biogéographique!A:A,2,1),"P")</f>
        <v>P</v>
      </c>
      <c r="AM20167" s="4" t="s">
        <v>375</v>
      </c>
      <c r="AN20167" s="4" t="s">
        <v>375</v>
      </c>
      <c r="AO20167" s="4" t="s">
        <v>375</v>
      </c>
      <c r="AP20167" s="4" t="s">
        <v>376</v>
      </c>
      <c r="AR20167" s="4" t="s">
        <v>377</v>
      </c>
    </row>
    <row r="20168" spans="1:44" ht="45">
      <c r="A20168" s="4" t="s">
        <v>24364</v>
      </c>
      <c r="B20168" s="4">
        <v>106685</v>
      </c>
      <c r="D20168" s="5" t="s">
        <v>25292</v>
      </c>
      <c r="E20168" s="6" t="str">
        <f>HYPERLINK("https://inpn.mnhn.fr/espece/cd_nom/106685","Lotus maritimus L., 1753")</f>
        <v>Lotus maritimus L., 1753</v>
      </c>
      <c r="F20168" s="5" t="s">
        <v>25293</v>
      </c>
      <c r="O20168" s="7" t="str">
        <f>HYPERLINK("#Liste_rouge!A"&amp;_xlfn.XMATCH("LC",Liste_rouge!A:A,2,1),"LC")</f>
        <v>LC</v>
      </c>
      <c r="Q20168" s="7" t="str">
        <f>HYPERLINK("#Liste_rouge!A"&amp;_xlfn.XMATCH("LC",Liste_rouge!A:A,2,1),"LC")</f>
        <v>LC</v>
      </c>
      <c r="T20168" s="7" t="str">
        <f>HYPERLINK("#Liste_rouge!A"&amp;_xlfn.XMATCH("LC",Liste_rouge!A:A,2,1),"LC")</f>
        <v>LC</v>
      </c>
      <c r="V20168" s="7" t="str">
        <f>HYPERLINK("#Liste_rouge!A"&amp;_xlfn.XMATCH("NT",Liste_rouge!A:A,2,1),"NT")</f>
        <v>NT</v>
      </c>
      <c r="W20168" s="4" t="str">
        <f>HYPERLINK("#Critères_liste_rouge!A$1","pr. B2b(iii)")</f>
        <v>pr. B2b(iii)</v>
      </c>
      <c r="AB20168" s="4" t="s">
        <v>25294</v>
      </c>
      <c r="AH20168" s="4" t="str">
        <f>HYPERLINK("#Statut_biogéographique!A"&amp;_xlfn.XMATCH("P",Statut_biogéographique!A:A,2,1),"P")</f>
        <v>P</v>
      </c>
      <c r="AM20168" s="4" t="s">
        <v>375</v>
      </c>
      <c r="AN20168" s="4" t="s">
        <v>375</v>
      </c>
      <c r="AO20168" s="4" t="s">
        <v>375</v>
      </c>
      <c r="AP20168" s="4" t="s">
        <v>376</v>
      </c>
      <c r="AR20168" s="4" t="s">
        <v>377</v>
      </c>
    </row>
    <row r="20169" spans="1:44" ht="60">
      <c r="A20169" s="4" t="s">
        <v>24364</v>
      </c>
      <c r="B20169" s="4">
        <v>106698</v>
      </c>
      <c r="D20169" s="5" t="s">
        <v>25295</v>
      </c>
      <c r="E20169" s="6" t="str">
        <f>HYPERLINK("https://inpn.mnhn.fr/espece/cd_nom/106698","Lotus pedunculatus Cav., 1793")</f>
        <v>Lotus pedunculatus Cav., 1793</v>
      </c>
      <c r="F20169" s="5" t="s">
        <v>25296</v>
      </c>
      <c r="P20169" s="7" t="str">
        <f>HYPERLINK("#Liste_rouge!A"&amp;_xlfn.XMATCH("LC",Liste_rouge!A:A,2,1),"LC")</f>
        <v>LC</v>
      </c>
      <c r="Q20169" s="7" t="str">
        <f>HYPERLINK("#Liste_rouge!A"&amp;_xlfn.XMATCH("LC",Liste_rouge!A:A,2,1),"LC")</f>
        <v>LC</v>
      </c>
      <c r="T20169" s="7" t="str">
        <f>HYPERLINK("#Liste_rouge!A"&amp;_xlfn.XMATCH("LC",Liste_rouge!A:A,2,1),"LC")</f>
        <v>LC</v>
      </c>
      <c r="V20169" s="7" t="str">
        <f>HYPERLINK("#Liste_rouge!A"&amp;_xlfn.XMATCH("LC",Liste_rouge!A:A,2,1),"LC")</f>
        <v>LC</v>
      </c>
      <c r="AH20169" s="4" t="str">
        <f>HYPERLINK("#Statut_biogéographique!A"&amp;_xlfn.XMATCH("P",Statut_biogéographique!A:A,2,1),"P")</f>
        <v>P</v>
      </c>
      <c r="AM20169" s="4" t="s">
        <v>375</v>
      </c>
      <c r="AN20169" s="4" t="s">
        <v>375</v>
      </c>
      <c r="AO20169" s="4" t="s">
        <v>375</v>
      </c>
      <c r="AP20169" s="4" t="s">
        <v>376</v>
      </c>
      <c r="AR20169" s="4" t="s">
        <v>377</v>
      </c>
    </row>
    <row r="20170" spans="1:44" ht="60">
      <c r="A20170" s="4" t="s">
        <v>24364</v>
      </c>
      <c r="B20170" s="4">
        <v>106719</v>
      </c>
      <c r="D20170" s="5" t="s">
        <v>25297</v>
      </c>
      <c r="E20170" s="6" t="str">
        <f>HYPERLINK("https://inpn.mnhn.fr/espece/cd_nom/106719","Lotus tenuis Waldst. &amp; Kit. ex Willd., 1809")</f>
        <v>Lotus tenuis Waldst. &amp; Kit. ex Willd., 1809</v>
      </c>
      <c r="F20170" s="5" t="s">
        <v>25298</v>
      </c>
      <c r="Q20170" s="7" t="str">
        <f>HYPERLINK("#Liste_rouge!A"&amp;_xlfn.XMATCH("LC",Liste_rouge!A:A,2,1),"LC")</f>
        <v>LC</v>
      </c>
      <c r="T20170" s="7" t="str">
        <f>HYPERLINK("#Liste_rouge!A"&amp;_xlfn.XMATCH("NT",Liste_rouge!A:A,2,1),"NT")</f>
        <v>NT</v>
      </c>
      <c r="U20170" s="4" t="str">
        <f>HYPERLINK("#Critères_liste_rouge!A$1","pr. B2a")</f>
        <v>pr. B2a</v>
      </c>
      <c r="V20170" s="7" t="str">
        <f>HYPERLINK("#Liste_rouge!A"&amp;_xlfn.XMATCH("LC",Liste_rouge!A:A,2,1),"LC")</f>
        <v>LC</v>
      </c>
      <c r="AB20170" s="4" t="s">
        <v>25299</v>
      </c>
      <c r="AH20170" s="4" t="str">
        <f>HYPERLINK("#Statut_biogéographique!A"&amp;_xlfn.XMATCH("P",Statut_biogéographique!A:A,2,1),"P")</f>
        <v>P</v>
      </c>
      <c r="AM20170" s="4" t="s">
        <v>375</v>
      </c>
      <c r="AN20170" s="4" t="s">
        <v>375</v>
      </c>
      <c r="AO20170" s="4" t="s">
        <v>375</v>
      </c>
      <c r="AP20170" s="4" t="s">
        <v>376</v>
      </c>
      <c r="AR20170" s="4" t="s">
        <v>377</v>
      </c>
    </row>
    <row r="20171" spans="1:44" ht="30">
      <c r="A20171" s="4" t="s">
        <v>24364</v>
      </c>
      <c r="B20171" s="4">
        <v>106742</v>
      </c>
      <c r="D20171" s="5" t="s">
        <v>25300</v>
      </c>
      <c r="E20171" s="6" t="str">
        <f>HYPERLINK("https://inpn.mnhn.fr/espece/cd_nom/106742","Ludwigia grandiflora (Michx.) Greuter &amp; Burdet, 1987")</f>
        <v>Ludwigia grandiflora (Michx.) Greuter &amp; Burdet, 1987</v>
      </c>
      <c r="F20171" s="5" t="s">
        <v>25301</v>
      </c>
      <c r="Q20171" s="7" t="str">
        <f>HYPERLINK("#Liste_rouge!A"&amp;_xlfn.XMATCH("NA",Liste_rouge!A:A,2,1),"NA")</f>
        <v>NA</v>
      </c>
      <c r="T20171" s="7" t="str">
        <f>HYPERLINK("#Liste_rouge!A"&amp;_xlfn.XMATCH("NA",Liste_rouge!A:A,2,1),"NA")</f>
        <v>NA</v>
      </c>
      <c r="AH20171" s="4" t="str">
        <f>HYPERLINK("#Statut_biogéographique!A"&amp;_xlfn.XMATCH("J",Statut_biogéographique!A:A,2,1),"J")</f>
        <v>J</v>
      </c>
      <c r="AL20171" s="5" t="str">
        <f>HYPERLINK("#Réglementation!A"&amp;_xlfn.XMATCH("FRnoEEEV",Réglementation!A:A,2,1),"FRnoEEEV - EEEUE")</f>
        <v>FRnoEEEV - EEEUE</v>
      </c>
      <c r="AM20171" s="4" t="s">
        <v>375</v>
      </c>
      <c r="AN20171" s="4" t="s">
        <v>375</v>
      </c>
      <c r="AO20171" s="4" t="s">
        <v>375</v>
      </c>
      <c r="AP20171" s="4" t="s">
        <v>376</v>
      </c>
      <c r="AR20171" s="4" t="s">
        <v>377</v>
      </c>
    </row>
    <row r="20172" spans="1:44" ht="30">
      <c r="A20172" s="4" t="s">
        <v>24364</v>
      </c>
      <c r="B20172" s="4">
        <v>106747</v>
      </c>
      <c r="D20172" s="5" t="s">
        <v>25302</v>
      </c>
      <c r="E20172" s="6" t="str">
        <f>HYPERLINK("https://inpn.mnhn.fr/espece/cd_nom/106747","Ludwigia palustris (L.) Elliott, 1817")</f>
        <v>Ludwigia palustris (L.) Elliott, 1817</v>
      </c>
      <c r="F20172" s="5" t="s">
        <v>25303</v>
      </c>
      <c r="M20172" s="4" t="str">
        <f>HYPERLINK("#Réglementation!A"&amp;_xlfn.XMATCH("RV43",Réglementation!A:A,2,1),"RV43")</f>
        <v>RV43</v>
      </c>
      <c r="O20172" s="7" t="str">
        <f>HYPERLINK("#Liste_rouge!A"&amp;_xlfn.XMATCH("LC",Liste_rouge!A:A,2,1),"LC")</f>
        <v>LC</v>
      </c>
      <c r="P20172" s="7" t="str">
        <f>HYPERLINK("#Liste_rouge!A"&amp;_xlfn.XMATCH("LC",Liste_rouge!A:A,2,1),"LC")</f>
        <v>LC</v>
      </c>
      <c r="Q20172" s="7" t="str">
        <f>HYPERLINK("#Liste_rouge!A"&amp;_xlfn.XMATCH("LC",Liste_rouge!A:A,2,1),"LC")</f>
        <v>LC</v>
      </c>
      <c r="T20172" s="7" t="str">
        <f>HYPERLINK("#Liste_rouge!A"&amp;_xlfn.XMATCH("NT",Liste_rouge!A:A,2,1),"NT")</f>
        <v>NT</v>
      </c>
      <c r="U20172" s="4" t="str">
        <f>HYPERLINK("#Critères_liste_rouge!A$1","pr. B2a")</f>
        <v>pr. B2a</v>
      </c>
      <c r="V20172" s="7" t="str">
        <f>HYPERLINK("#Liste_rouge!A"&amp;_xlfn.XMATCH("NT",Liste_rouge!A:A,2,1),"NT")</f>
        <v>NT</v>
      </c>
      <c r="W20172" s="4" t="str">
        <f>HYPERLINK("#Critères_liste_rouge!A$1","pr. B2b(iii)")</f>
        <v>pr. B2b(iii)</v>
      </c>
      <c r="AB20172" s="4" t="s">
        <v>25304</v>
      </c>
      <c r="AH20172" s="4" t="str">
        <f>HYPERLINK("#Statut_biogéographique!A"&amp;_xlfn.XMATCH("P",Statut_biogéographique!A:A,2,1),"P")</f>
        <v>P</v>
      </c>
      <c r="AM20172" s="4" t="s">
        <v>375</v>
      </c>
      <c r="AN20172" s="4" t="s">
        <v>375</v>
      </c>
      <c r="AO20172" s="4" t="s">
        <v>375</v>
      </c>
      <c r="AP20172" s="4" t="s">
        <v>376</v>
      </c>
      <c r="AR20172" s="4" t="s">
        <v>377</v>
      </c>
    </row>
    <row r="20173" spans="1:44" ht="30">
      <c r="A20173" s="4" t="s">
        <v>24364</v>
      </c>
      <c r="B20173" s="4">
        <v>106748</v>
      </c>
      <c r="D20173" s="5" t="s">
        <v>25305</v>
      </c>
      <c r="E20173" s="6" t="str">
        <f>HYPERLINK("https://inpn.mnhn.fr/espece/cd_nom/106748","Ludwigia peploides (Kunth) P.H.Raven, 1964")</f>
        <v>Ludwigia peploides (Kunth) P.H.Raven, 1964</v>
      </c>
      <c r="F20173" s="5" t="s">
        <v>25306</v>
      </c>
      <c r="Q20173" s="7" t="str">
        <f>HYPERLINK("#Liste_rouge!A"&amp;_xlfn.XMATCH("NA",Liste_rouge!A:A,2,1),"NA")</f>
        <v>NA</v>
      </c>
      <c r="T20173" s="7" t="str">
        <f>HYPERLINK("#Liste_rouge!A"&amp;_xlfn.XMATCH("NA",Liste_rouge!A:A,2,1),"NA")</f>
        <v>NA</v>
      </c>
      <c r="AH20173" s="4" t="str">
        <f>HYPERLINK("#Statut_biogéographique!A"&amp;_xlfn.XMATCH("J",Statut_biogéographique!A:A,2,1),"J")</f>
        <v>J</v>
      </c>
      <c r="AL20173" s="5" t="str">
        <f>HYPERLINK("#Réglementation!A"&amp;_xlfn.XMATCH("FRnoEEEV",Réglementation!A:A,2,1),"FRnoEEEV - EEEUE")</f>
        <v>FRnoEEEV - EEEUE</v>
      </c>
      <c r="AM20173" s="4" t="s">
        <v>375</v>
      </c>
      <c r="AN20173" s="4" t="s">
        <v>375</v>
      </c>
      <c r="AO20173" s="4" t="s">
        <v>375</v>
      </c>
      <c r="AP20173" s="4" t="s">
        <v>376</v>
      </c>
      <c r="AR20173" s="4" t="s">
        <v>377</v>
      </c>
    </row>
    <row r="20174" spans="1:44" ht="30">
      <c r="A20174" s="4" t="s">
        <v>24364</v>
      </c>
      <c r="B20174" s="4">
        <v>106754</v>
      </c>
      <c r="D20174" s="5" t="s">
        <v>25307</v>
      </c>
      <c r="E20174" s="6" t="str">
        <f>HYPERLINK("https://inpn.mnhn.fr/espece/cd_nom/106754","Lunaria annua L., 1753")</f>
        <v>Lunaria annua L., 1753</v>
      </c>
      <c r="F20174" s="5" t="s">
        <v>25308</v>
      </c>
      <c r="Q20174" s="7" t="str">
        <f>HYPERLINK("#Liste_rouge!A"&amp;_xlfn.XMATCH("LC",Liste_rouge!A:A,2,1),"LC")</f>
        <v>LC</v>
      </c>
      <c r="T20174" s="7" t="str">
        <f>HYPERLINK("#Liste_rouge!A"&amp;_xlfn.XMATCH("NA",Liste_rouge!A:A,2,1),"NA")</f>
        <v>NA</v>
      </c>
      <c r="AH20174" s="4" t="str">
        <f>HYPERLINK("#Statut_biogéographique!A"&amp;_xlfn.XMATCH("I",Statut_biogéographique!A:A,2,1),"I")</f>
        <v>I</v>
      </c>
      <c r="AP20174" s="4" t="s">
        <v>376</v>
      </c>
      <c r="AR20174" s="4" t="s">
        <v>377</v>
      </c>
    </row>
    <row r="20175" spans="1:44" ht="30">
      <c r="A20175" s="4" t="s">
        <v>24364</v>
      </c>
      <c r="B20175" s="4">
        <v>106761</v>
      </c>
      <c r="D20175" s="5" t="s">
        <v>25309</v>
      </c>
      <c r="E20175" s="6" t="str">
        <f>HYPERLINK("https://inpn.mnhn.fr/espece/cd_nom/106761","Lunaria rediviva L., 1753")</f>
        <v>Lunaria rediviva L., 1753</v>
      </c>
      <c r="F20175" s="5" t="s">
        <v>25310</v>
      </c>
      <c r="Q20175" s="7" t="str">
        <f>HYPERLINK("#Liste_rouge!A"&amp;_xlfn.XMATCH("LC",Liste_rouge!A:A,2,1),"LC")</f>
        <v>LC</v>
      </c>
      <c r="T20175" s="7" t="str">
        <f>HYPERLINK("#Liste_rouge!A"&amp;_xlfn.XMATCH("VU",Liste_rouge!A:A,2,1),"VU")</f>
        <v>VU</v>
      </c>
      <c r="U20175" s="4" t="str">
        <f>HYPERLINK("#Critères_liste_rouge!A$1","D1")</f>
        <v>D1</v>
      </c>
      <c r="V20175" s="7" t="str">
        <f>HYPERLINK("#Liste_rouge!A"&amp;_xlfn.XMATCH("LC",Liste_rouge!A:A,2,1),"LC")</f>
        <v>LC</v>
      </c>
      <c r="AB20175" s="4" t="s">
        <v>24489</v>
      </c>
      <c r="AH20175" s="4" t="str">
        <f>HYPERLINK("#Statut_biogéographique!A"&amp;_xlfn.XMATCH("P",Statut_biogéographique!A:A,2,1),"P")</f>
        <v>P</v>
      </c>
      <c r="AM20175" s="4" t="s">
        <v>375</v>
      </c>
      <c r="AN20175" s="4" t="s">
        <v>375</v>
      </c>
      <c r="AO20175" s="4" t="s">
        <v>375</v>
      </c>
      <c r="AP20175" s="4" t="s">
        <v>376</v>
      </c>
      <c r="AR20175" s="4" t="s">
        <v>377</v>
      </c>
    </row>
    <row r="20176" spans="1:44" ht="30">
      <c r="A20176" s="4" t="s">
        <v>24364</v>
      </c>
      <c r="B20176" s="4">
        <v>106765</v>
      </c>
      <c r="D20176" s="5" t="s">
        <v>25311</v>
      </c>
      <c r="E20176" s="6" t="str">
        <f>HYPERLINK("https://inpn.mnhn.fr/espece/cd_nom/106765","Lupinus albus L., 1753")</f>
        <v>Lupinus albus L., 1753</v>
      </c>
      <c r="F20176" s="5" t="s">
        <v>25312</v>
      </c>
      <c r="O20176" s="7" t="str">
        <f>HYPERLINK("#Liste_rouge!A"&amp;_xlfn.XMATCH("LC",Liste_rouge!A:A,2,1),"LC")</f>
        <v>LC</v>
      </c>
      <c r="P20176" s="7" t="str">
        <f>HYPERLINK("#Liste_rouge!A"&amp;_xlfn.XMATCH("LC",Liste_rouge!A:A,2,1),"LC")</f>
        <v>LC</v>
      </c>
      <c r="Q20176" s="7" t="str">
        <f>HYPERLINK("#Liste_rouge!A"&amp;_xlfn.XMATCH("NA",Liste_rouge!A:A,2,1),"NA")</f>
        <v>NA</v>
      </c>
      <c r="T20176" s="7" t="str">
        <f>HYPERLINK("#Liste_rouge!A"&amp;_xlfn.XMATCH("NA",Liste_rouge!A:A,2,1),"NA")</f>
        <v>NA</v>
      </c>
      <c r="AH20176" s="4" t="str">
        <f>HYPERLINK("#Statut_biogéographique!A"&amp;_xlfn.XMATCH("M",Statut_biogéographique!A:A,2,1),"M")</f>
        <v>M</v>
      </c>
      <c r="AP20176" s="4" t="s">
        <v>376</v>
      </c>
      <c r="AR20176" s="4" t="s">
        <v>377</v>
      </c>
    </row>
    <row r="20177" spans="1:44" ht="60">
      <c r="A20177" s="4" t="s">
        <v>24364</v>
      </c>
      <c r="B20177" s="4">
        <v>106766</v>
      </c>
      <c r="D20177" s="5" t="s">
        <v>25313</v>
      </c>
      <c r="E20177" s="6" t="str">
        <f>HYPERLINK("https://inpn.mnhn.fr/espece/cd_nom/106766","Lupinus angustifolius L., 1753")</f>
        <v>Lupinus angustifolius L., 1753</v>
      </c>
      <c r="F20177" s="5" t="s">
        <v>25314</v>
      </c>
      <c r="O20177" s="7" t="str">
        <f>HYPERLINK("#Liste_rouge!A"&amp;_xlfn.XMATCH("LC",Liste_rouge!A:A,2,1),"LC")</f>
        <v>LC</v>
      </c>
      <c r="P20177" s="7" t="str">
        <f>HYPERLINK("#Liste_rouge!A"&amp;_xlfn.XMATCH("LC",Liste_rouge!A:A,2,1),"LC")</f>
        <v>LC</v>
      </c>
      <c r="Q20177" s="7" t="str">
        <f>HYPERLINK("#Liste_rouge!A"&amp;_xlfn.XMATCH("LC",Liste_rouge!A:A,2,1),"LC")</f>
        <v>LC</v>
      </c>
      <c r="T20177" s="7" t="str">
        <f>HYPERLINK("#Liste_rouge!A"&amp;_xlfn.XMATCH("CR",Liste_rouge!A:A,2,1),"CR (cd_nom 106766) - NE (cd_nom 137478)")</f>
        <v>CR (cd_nom 106766) - NE (cd_nom 137478)</v>
      </c>
      <c r="U20177" s="4" t="str">
        <f>HYPERLINK("#Critères_liste_rouge!A$1","B1 B2ab(ii,iii,iv) C2a(i) D1 (cd_nom 106766)")</f>
        <v>B1 B2ab(ii,iii,iv) C2a(i) D1 (cd_nom 106766)</v>
      </c>
      <c r="X20177" s="5" t="s">
        <v>374</v>
      </c>
      <c r="AB20177" s="4" t="s">
        <v>93</v>
      </c>
      <c r="AH20177" s="4" t="str">
        <f>HYPERLINK("#Statut_biogéographique!A"&amp;_xlfn.XMATCH("P",Statut_biogéographique!A:A,2,1),"P")</f>
        <v>P</v>
      </c>
      <c r="AM20177" s="4" t="s">
        <v>375</v>
      </c>
      <c r="AN20177" s="4" t="s">
        <v>375</v>
      </c>
      <c r="AO20177" s="4" t="s">
        <v>375</v>
      </c>
      <c r="AP20177" s="4" t="s">
        <v>376</v>
      </c>
      <c r="AR20177" s="4" t="s">
        <v>377</v>
      </c>
    </row>
    <row r="20178" spans="1:44" ht="30">
      <c r="A20178" s="4" t="s">
        <v>24364</v>
      </c>
      <c r="B20178" s="4">
        <v>106789</v>
      </c>
      <c r="D20178" s="5" t="s">
        <v>25315</v>
      </c>
      <c r="E20178" s="6" t="str">
        <f>HYPERLINK("https://inpn.mnhn.fr/espece/cd_nom/106789","Lupinus polyphyllus Lindl., 1827")</f>
        <v>Lupinus polyphyllus Lindl., 1827</v>
      </c>
      <c r="F20178" s="5" t="s">
        <v>25316</v>
      </c>
      <c r="O20178" s="7" t="str">
        <f>HYPERLINK("#Liste_rouge!A"&amp;_xlfn.XMATCH("LC",Liste_rouge!A:A,2,1),"LC")</f>
        <v>LC</v>
      </c>
      <c r="Q20178" s="7" t="str">
        <f>HYPERLINK("#Liste_rouge!A"&amp;_xlfn.XMATCH("NA",Liste_rouge!A:A,2,1),"NA")</f>
        <v>NA</v>
      </c>
      <c r="AH20178" s="4" t="str">
        <f>HYPERLINK("#Statut_biogéographique!A"&amp;_xlfn.XMATCH("D",Statut_biogéographique!A:A,2,1),"D")</f>
        <v>D</v>
      </c>
      <c r="AM20178" s="4" t="s">
        <v>375</v>
      </c>
      <c r="AN20178" s="4" t="s">
        <v>375</v>
      </c>
      <c r="AO20178" s="4" t="s">
        <v>375</v>
      </c>
      <c r="AP20178" s="4" t="s">
        <v>376</v>
      </c>
      <c r="AR20178" s="4" t="s">
        <v>377</v>
      </c>
    </row>
    <row r="20179" spans="1:44">
      <c r="A20179" s="4" t="s">
        <v>24364</v>
      </c>
      <c r="B20179" s="4">
        <v>106800</v>
      </c>
      <c r="D20179" s="5" t="s">
        <v>25317</v>
      </c>
      <c r="E20179" s="6" t="str">
        <f>HYPERLINK("https://inpn.mnhn.fr/espece/cd_nom/106800","Lupinus x regalis Bergmans, 1924")</f>
        <v>Lupinus x regalis Bergmans, 1924</v>
      </c>
      <c r="F20179" s="5" t="s">
        <v>25318</v>
      </c>
      <c r="AH20179" s="4" t="str">
        <f>HYPERLINK("#Statut_biogéographique!A"&amp;_xlfn.XMATCH("M",Statut_biogéographique!A:A,2,1),"M")</f>
        <v>M</v>
      </c>
      <c r="AP20179" s="4" t="s">
        <v>376</v>
      </c>
      <c r="AR20179" s="4" t="s">
        <v>377</v>
      </c>
    </row>
    <row r="20180" spans="1:44" ht="30">
      <c r="A20180" s="4" t="s">
        <v>24364</v>
      </c>
      <c r="B20180" s="4">
        <v>106807</v>
      </c>
      <c r="D20180" s="5" t="s">
        <v>25319</v>
      </c>
      <c r="E20180" s="6" t="str">
        <f>HYPERLINK("https://inpn.mnhn.fr/espece/cd_nom/106807","Luronium natans (L.) Raf., 1840")</f>
        <v>Luronium natans (L.) Raf., 1840</v>
      </c>
      <c r="F20180" s="5" t="s">
        <v>25320</v>
      </c>
      <c r="I20180" s="4" t="str">
        <f>HYPERLINK("#Réglementation!A"&amp;_xlfn.XMATCH("IBE1",Réglementation!A:A,2,1),"IBE1")</f>
        <v>IBE1</v>
      </c>
      <c r="K20180" s="4" t="str">
        <f>HYPERLINK("#Réglementation!A"&amp;_xlfn.XMATCH("CDH2",Réglementation!A:A,2,1),"CDH2 - CDH4")</f>
        <v>CDH2 - CDH4</v>
      </c>
      <c r="L20180" s="4" t="str">
        <f>HYPERLINK("#Réglementation!A"&amp;_xlfn.XMATCH("NV1",Réglementation!A:A,2,1),"NV1")</f>
        <v>NV1</v>
      </c>
      <c r="M20180" s="4" t="str">
        <f>HYPERLINK("#Réglementation!A"&amp;_xlfn.XMATCH("RV26",Réglementation!A:A,2,1),"RV26")</f>
        <v>RV26</v>
      </c>
      <c r="O20180" s="7" t="str">
        <f>HYPERLINK("#Liste_rouge!A"&amp;_xlfn.XMATCH("LC",Liste_rouge!A:A,2,1),"LC")</f>
        <v>LC</v>
      </c>
      <c r="P20180" s="7" t="str">
        <f>HYPERLINK("#Liste_rouge!A"&amp;_xlfn.XMATCH("LC",Liste_rouge!A:A,2,1),"LC")</f>
        <v>LC</v>
      </c>
      <c r="Q20180" s="7" t="str">
        <f>HYPERLINK("#Liste_rouge!A"&amp;_xlfn.XMATCH("LC",Liste_rouge!A:A,2,1),"LC")</f>
        <v>LC</v>
      </c>
      <c r="T20180" s="7" t="str">
        <f>HYPERLINK("#Liste_rouge!A"&amp;_xlfn.XMATCH("CR",Liste_rouge!A:A,2,1),"CR")</f>
        <v>CR</v>
      </c>
      <c r="U20180" s="4" t="str">
        <f>HYPERLINK("#Critères_liste_rouge!A$1","C2a(i)")</f>
        <v>C2a(i)</v>
      </c>
      <c r="V20180" s="7" t="str">
        <f>HYPERLINK("#Liste_rouge!A"&amp;_xlfn.XMATCH("CR",Liste_rouge!A:A,2,1),"CR")</f>
        <v>CR</v>
      </c>
      <c r="W20180" s="4" t="str">
        <f>HYPERLINK("#Critères_liste_rouge!A$1","B2ab(iv)")</f>
        <v>B2ab(iv)</v>
      </c>
      <c r="X20180" s="5" t="s">
        <v>374</v>
      </c>
      <c r="AB20180" s="4" t="s">
        <v>93</v>
      </c>
      <c r="AE20180" s="4" t="str">
        <f>HYPERLINK("#SCAP!A"&amp;_xlfn.XMATCH("2+",SCAP!A:A,2,1),"2+")</f>
        <v>2+</v>
      </c>
      <c r="AF20180" s="4" t="str">
        <f>HYPERLINK("#SCAP!A"&amp;_xlfn.XMATCH("2+",SCAP!A:A,2,1),"2+")</f>
        <v>2+</v>
      </c>
      <c r="AG20180" s="4" t="str">
        <f>HYPERLINK("#SCAP!A"&amp;_xlfn.XMATCH("1-",SCAP!A:A,2,1),"1-")</f>
        <v>1-</v>
      </c>
      <c r="AH20180" s="4" t="str">
        <f>HYPERLINK("#Statut_biogéographique!A"&amp;_xlfn.XMATCH("P",Statut_biogéographique!A:A,2,1),"P")</f>
        <v>P</v>
      </c>
      <c r="AI20180" s="8" t="s">
        <v>25321</v>
      </c>
      <c r="AJ20180" s="4" t="s">
        <v>25322</v>
      </c>
      <c r="AM20180" s="4" t="s">
        <v>375</v>
      </c>
      <c r="AN20180" s="4" t="s">
        <v>375</v>
      </c>
      <c r="AO20180" s="4" t="s">
        <v>375</v>
      </c>
      <c r="AP20180" s="4" t="s">
        <v>376</v>
      </c>
      <c r="AR20180" s="4" t="s">
        <v>377</v>
      </c>
    </row>
    <row r="20181" spans="1:44" ht="60">
      <c r="A20181" s="4" t="s">
        <v>24364</v>
      </c>
      <c r="B20181" s="4">
        <v>106818</v>
      </c>
      <c r="D20181" s="5" t="s">
        <v>25323</v>
      </c>
      <c r="E20181" s="6" t="str">
        <f>HYPERLINK("https://inpn.mnhn.fr/espece/cd_nom/106818","Luzula campestris (L.) DC., 1805")</f>
        <v>Luzula campestris (L.) DC., 1805</v>
      </c>
      <c r="F20181" s="5" t="s">
        <v>25324</v>
      </c>
      <c r="O20181" s="7" t="str">
        <f>HYPERLINK("#Liste_rouge!A"&amp;_xlfn.XMATCH("LC",Liste_rouge!A:A,2,1),"LC")</f>
        <v>LC</v>
      </c>
      <c r="Q20181" s="7" t="str">
        <f>HYPERLINK("#Liste_rouge!A"&amp;_xlfn.XMATCH("LC",Liste_rouge!A:A,2,1),"LC")</f>
        <v>LC</v>
      </c>
      <c r="T20181" s="7" t="str">
        <f>HYPERLINK("#Liste_rouge!A"&amp;_xlfn.XMATCH("LC",Liste_rouge!A:A,2,1),"LC")</f>
        <v>LC</v>
      </c>
      <c r="V20181" s="7" t="str">
        <f>HYPERLINK("#Liste_rouge!A"&amp;_xlfn.XMATCH("LC",Liste_rouge!A:A,2,1),"LC")</f>
        <v>LC</v>
      </c>
      <c r="AH20181" s="4" t="str">
        <f>HYPERLINK("#Statut_biogéographique!A"&amp;_xlfn.XMATCH("P",Statut_biogéographique!A:A,2,1),"P")</f>
        <v>P</v>
      </c>
      <c r="AM20181" s="4" t="s">
        <v>375</v>
      </c>
      <c r="AN20181" s="4" t="s">
        <v>375</v>
      </c>
      <c r="AO20181" s="4" t="s">
        <v>375</v>
      </c>
      <c r="AP20181" s="4" t="s">
        <v>376</v>
      </c>
      <c r="AR20181" s="4" t="s">
        <v>377</v>
      </c>
    </row>
    <row r="20182" spans="1:44" ht="30">
      <c r="A20182" s="4" t="s">
        <v>24364</v>
      </c>
      <c r="B20182" s="4">
        <v>106823</v>
      </c>
      <c r="D20182" s="5" t="s">
        <v>25325</v>
      </c>
      <c r="E20182" s="6" t="str">
        <f>HYPERLINK("https://inpn.mnhn.fr/espece/cd_nom/106823","Luzula congesta (Thuill.) Lej., 1811")</f>
        <v>Luzula congesta (Thuill.) Lej., 1811</v>
      </c>
      <c r="F20182" s="5" t="s">
        <v>25326</v>
      </c>
      <c r="Q20182" s="7" t="str">
        <f>HYPERLINK("#Liste_rouge!A"&amp;_xlfn.XMATCH("LC",Liste_rouge!A:A,2,1),"LC")</f>
        <v>LC</v>
      </c>
      <c r="T20182" s="7" t="str">
        <f>HYPERLINK("#Liste_rouge!A"&amp;_xlfn.XMATCH("LC",Liste_rouge!A:A,2,1),"LC")</f>
        <v>LC</v>
      </c>
      <c r="AB20182" s="4" t="s">
        <v>24984</v>
      </c>
      <c r="AH20182" s="4" t="str">
        <f>HYPERLINK("#Statut_biogéographique!A"&amp;_xlfn.XMATCH("P",Statut_biogéographique!A:A,2,1),"P")</f>
        <v>P</v>
      </c>
      <c r="AM20182" s="4" t="s">
        <v>375</v>
      </c>
      <c r="AN20182" s="4" t="s">
        <v>375</v>
      </c>
      <c r="AO20182" s="4" t="s">
        <v>375</v>
      </c>
      <c r="AP20182" s="4" t="s">
        <v>376</v>
      </c>
      <c r="AR20182" s="4" t="s">
        <v>377</v>
      </c>
    </row>
    <row r="20183" spans="1:44" ht="30">
      <c r="A20183" s="4" t="s">
        <v>24364</v>
      </c>
      <c r="B20183" s="4">
        <v>106828</v>
      </c>
      <c r="D20183" s="5" t="s">
        <v>25327</v>
      </c>
      <c r="E20183" s="6" t="str">
        <f>HYPERLINK("https://inpn.mnhn.fr/espece/cd_nom/106828","Luzula forsteri (Sm.) DC., 1806")</f>
        <v>Luzula forsteri (Sm.) DC., 1806</v>
      </c>
      <c r="F20183" s="5" t="s">
        <v>25328</v>
      </c>
      <c r="Q20183" s="7" t="str">
        <f>HYPERLINK("#Liste_rouge!A"&amp;_xlfn.XMATCH("LC",Liste_rouge!A:A,2,1),"LC")</f>
        <v>LC</v>
      </c>
      <c r="T20183" s="7" t="str">
        <f>HYPERLINK("#Liste_rouge!A"&amp;_xlfn.XMATCH("LC",Liste_rouge!A:A,2,1),"LC")</f>
        <v>LC</v>
      </c>
      <c r="V20183" s="7" t="str">
        <f>HYPERLINK("#Liste_rouge!A"&amp;_xlfn.XMATCH("NT",Liste_rouge!A:A,2,1),"NT")</f>
        <v>NT</v>
      </c>
      <c r="W20183" s="4" t="str">
        <f>HYPERLINK("#Critères_liste_rouge!A$1","pr. D2")</f>
        <v>pr. D2</v>
      </c>
      <c r="AB20183" s="4" t="s">
        <v>25106</v>
      </c>
      <c r="AH20183" s="4" t="str">
        <f>HYPERLINK("#Statut_biogéographique!A"&amp;_xlfn.XMATCH("P",Statut_biogéographique!A:A,2,1),"P")</f>
        <v>P</v>
      </c>
      <c r="AM20183" s="4" t="s">
        <v>375</v>
      </c>
      <c r="AN20183" s="4" t="s">
        <v>375</v>
      </c>
      <c r="AO20183" s="4" t="s">
        <v>375</v>
      </c>
      <c r="AP20183" s="4" t="s">
        <v>376</v>
      </c>
      <c r="AR20183" s="4" t="s">
        <v>377</v>
      </c>
    </row>
    <row r="20184" spans="1:44" ht="30">
      <c r="A20184" s="4" t="s">
        <v>24364</v>
      </c>
      <c r="B20184" s="4">
        <v>106839</v>
      </c>
      <c r="D20184" s="5" t="s">
        <v>25329</v>
      </c>
      <c r="E20184" s="6" t="str">
        <f>HYPERLINK("https://inpn.mnhn.fr/espece/cd_nom/106839","Luzula luzulina (Vill.) Racib., 1888")</f>
        <v>Luzula luzulina (Vill.) Racib., 1888</v>
      </c>
      <c r="F20184" s="5" t="s">
        <v>25330</v>
      </c>
      <c r="Q20184" s="7" t="str">
        <f>HYPERLINK("#Liste_rouge!A"&amp;_xlfn.XMATCH("LC",Liste_rouge!A:A,2,1),"LC")</f>
        <v>LC</v>
      </c>
      <c r="V20184" s="7" t="str">
        <f>HYPERLINK("#Liste_rouge!A"&amp;_xlfn.XMATCH("LC",Liste_rouge!A:A,2,1),"LC")</f>
        <v>LC</v>
      </c>
      <c r="AB20184" s="4" t="s">
        <v>24536</v>
      </c>
      <c r="AH20184" s="4" t="str">
        <f>HYPERLINK("#Statut_biogéographique!A"&amp;_xlfn.XMATCH("P",Statut_biogéographique!A:A,2,1),"P")</f>
        <v>P</v>
      </c>
      <c r="AM20184" s="4" t="s">
        <v>375</v>
      </c>
      <c r="AN20184" s="4" t="s">
        <v>375</v>
      </c>
      <c r="AO20184" s="4" t="s">
        <v>375</v>
      </c>
      <c r="AP20184" s="4" t="s">
        <v>376</v>
      </c>
      <c r="AR20184" s="4" t="s">
        <v>377</v>
      </c>
    </row>
    <row r="20185" spans="1:44" ht="30">
      <c r="A20185" s="4" t="s">
        <v>24364</v>
      </c>
      <c r="B20185" s="4">
        <v>106840</v>
      </c>
      <c r="D20185" s="5" t="s">
        <v>25331</v>
      </c>
      <c r="E20185" s="6" t="str">
        <f>HYPERLINK("https://inpn.mnhn.fr/espece/cd_nom/106840","Luzula luzuloides (Lam.) Dandy &amp; Wilmott, 1938")</f>
        <v>Luzula luzuloides (Lam.) Dandy &amp; Wilmott, 1938</v>
      </c>
      <c r="F20185" s="5" t="s">
        <v>25332</v>
      </c>
      <c r="Q20185" s="7" t="str">
        <f>HYPERLINK("#Liste_rouge!A"&amp;_xlfn.XMATCH("LC",Liste_rouge!A:A,2,1),"LC")</f>
        <v>LC</v>
      </c>
      <c r="T20185" s="7" t="str">
        <f>HYPERLINK("#Liste_rouge!A"&amp;_xlfn.XMATCH("CR",Liste_rouge!A:A,2,1),"CR")</f>
        <v>CR</v>
      </c>
      <c r="U20185" s="4" t="str">
        <f>HYPERLINK("#Critères_liste_rouge!A$1","B1 B2ab(i,ii,iv)")</f>
        <v>B1 B2ab(i,ii,iv)</v>
      </c>
      <c r="V20185" s="7" t="str">
        <f>HYPERLINK("#Liste_rouge!A"&amp;_xlfn.XMATCH("LC",Liste_rouge!A:A,2,1),"LC")</f>
        <v>LC</v>
      </c>
      <c r="AB20185" s="4" t="s">
        <v>24634</v>
      </c>
      <c r="AH20185" s="4" t="str">
        <f>HYPERLINK("#Statut_biogéographique!A"&amp;_xlfn.XMATCH("P",Statut_biogéographique!A:A,2,1),"P")</f>
        <v>P</v>
      </c>
      <c r="AM20185" s="4" t="s">
        <v>375</v>
      </c>
      <c r="AN20185" s="4" t="s">
        <v>375</v>
      </c>
      <c r="AO20185" s="4" t="s">
        <v>375</v>
      </c>
      <c r="AP20185" s="4" t="s">
        <v>376</v>
      </c>
      <c r="AR20185" s="4" t="s">
        <v>377</v>
      </c>
    </row>
    <row r="20186" spans="1:44" ht="45">
      <c r="A20186" s="4" t="s">
        <v>24364</v>
      </c>
      <c r="B20186" s="4">
        <v>106842</v>
      </c>
      <c r="D20186" s="5" t="s">
        <v>25333</v>
      </c>
      <c r="E20186" s="6" t="str">
        <f>HYPERLINK("https://inpn.mnhn.fr/espece/cd_nom/106842","Luzula multiflora (Ehrh.) Lej., 1811")</f>
        <v>Luzula multiflora (Ehrh.) Lej., 1811</v>
      </c>
      <c r="F20186" s="5" t="s">
        <v>25334</v>
      </c>
      <c r="Q20186" s="7" t="str">
        <f>HYPERLINK("#Liste_rouge!A"&amp;_xlfn.XMATCH("LC",Liste_rouge!A:A,2,1),"LC")</f>
        <v>LC</v>
      </c>
      <c r="T20186" s="7" t="str">
        <f>HYPERLINK("#Liste_rouge!A"&amp;_xlfn.XMATCH("LC",Liste_rouge!A:A,2,1),"LC")</f>
        <v>LC</v>
      </c>
      <c r="V20186" s="7" t="str">
        <f>HYPERLINK("#Liste_rouge!A"&amp;_xlfn.XMATCH("LC",Liste_rouge!A:A,2,1),"LC")</f>
        <v>LC</v>
      </c>
      <c r="AH20186" s="4" t="str">
        <f>HYPERLINK("#Statut_biogéographique!A"&amp;_xlfn.XMATCH("P",Statut_biogéographique!A:A,2,1),"P")</f>
        <v>P</v>
      </c>
      <c r="AM20186" s="4" t="s">
        <v>375</v>
      </c>
      <c r="AN20186" s="4" t="s">
        <v>375</v>
      </c>
      <c r="AO20186" s="4" t="s">
        <v>375</v>
      </c>
      <c r="AP20186" s="4" t="s">
        <v>376</v>
      </c>
      <c r="AR20186" s="4" t="s">
        <v>377</v>
      </c>
    </row>
    <row r="20187" spans="1:44" ht="30">
      <c r="A20187" s="4" t="s">
        <v>24364</v>
      </c>
      <c r="B20187" s="4">
        <v>106846</v>
      </c>
      <c r="D20187" s="5" t="s">
        <v>25335</v>
      </c>
      <c r="E20187" s="6" t="str">
        <f>HYPERLINK("https://inpn.mnhn.fr/espece/cd_nom/106846","Luzula nivea (Nathh.) DC., 1805")</f>
        <v>Luzula nivea (Nathh.) DC., 1805</v>
      </c>
      <c r="F20187" s="5" t="s">
        <v>25336</v>
      </c>
      <c r="Q20187" s="7" t="str">
        <f>HYPERLINK("#Liste_rouge!A"&amp;_xlfn.XMATCH("LC",Liste_rouge!A:A,2,1),"LC")</f>
        <v>LC</v>
      </c>
      <c r="T20187" s="7" t="str">
        <f>HYPERLINK("#Liste_rouge!A"&amp;_xlfn.XMATCH("CR",Liste_rouge!A:A,2,1),"CR")</f>
        <v>CR</v>
      </c>
      <c r="U20187" s="4" t="str">
        <f>HYPERLINK("#Critères_liste_rouge!A$1","B1 B2ab(ii,iv,v) D1")</f>
        <v>B1 B2ab(ii,iv,v) D1</v>
      </c>
      <c r="V20187" s="7" t="str">
        <f>HYPERLINK("#Liste_rouge!A"&amp;_xlfn.XMATCH("NT",Liste_rouge!A:A,2,1),"NT")</f>
        <v>NT</v>
      </c>
      <c r="W20187" s="4" t="str">
        <f>HYPERLINK("#Critères_liste_rouge!A$1","pr. D2")</f>
        <v>pr. D2</v>
      </c>
      <c r="X20187" s="5" t="s">
        <v>374</v>
      </c>
      <c r="AB20187" s="4" t="s">
        <v>93</v>
      </c>
      <c r="AH20187" s="4" t="str">
        <f>HYPERLINK("#Statut_biogéographique!A"&amp;_xlfn.XMATCH("P",Statut_biogéographique!A:A,2,1),"P")</f>
        <v>P</v>
      </c>
      <c r="AM20187" s="4" t="s">
        <v>375</v>
      </c>
      <c r="AN20187" s="4" t="s">
        <v>375</v>
      </c>
      <c r="AO20187" s="4" t="s">
        <v>375</v>
      </c>
      <c r="AP20187" s="4" t="s">
        <v>376</v>
      </c>
      <c r="AR20187" s="4" t="s">
        <v>377</v>
      </c>
    </row>
    <row r="20188" spans="1:44" ht="30">
      <c r="A20188" s="4" t="s">
        <v>24364</v>
      </c>
      <c r="B20188" s="4">
        <v>106851</v>
      </c>
      <c r="D20188" s="5" t="s">
        <v>25337</v>
      </c>
      <c r="E20188" s="6" t="str">
        <f>HYPERLINK("https://inpn.mnhn.fr/espece/cd_nom/106851","Luzula pallidula Kirschner, 1990")</f>
        <v>Luzula pallidula Kirschner, 1990</v>
      </c>
      <c r="F20188" s="5" t="s">
        <v>25338</v>
      </c>
      <c r="T20188" s="7" t="str">
        <f>HYPERLINK("#Liste_rouge!A"&amp;_xlfn.XMATCH("LC",Liste_rouge!A:A,2,1),"LC")</f>
        <v>LC</v>
      </c>
      <c r="AH20188" s="4" t="str">
        <f>HYPERLINK("#Statut_biogéographique!A"&amp;_xlfn.XMATCH("Q",Statut_biogéographique!A:A,2,1),"Q")</f>
        <v>Q</v>
      </c>
      <c r="AP20188" s="4" t="s">
        <v>376</v>
      </c>
      <c r="AR20188" s="4" t="s">
        <v>377</v>
      </c>
    </row>
    <row r="20189" spans="1:44" ht="45">
      <c r="A20189" s="4" t="s">
        <v>24364</v>
      </c>
      <c r="B20189" s="4">
        <v>106854</v>
      </c>
      <c r="D20189" s="5" t="s">
        <v>25339</v>
      </c>
      <c r="E20189" s="6" t="str">
        <f>HYPERLINK("https://inpn.mnhn.fr/espece/cd_nom/106854","Luzula pilosa (L.) Willd., 1809")</f>
        <v>Luzula pilosa (L.) Willd., 1809</v>
      </c>
      <c r="F20189" s="5" t="s">
        <v>25340</v>
      </c>
      <c r="Q20189" s="7" t="str">
        <f>HYPERLINK("#Liste_rouge!A"&amp;_xlfn.XMATCH("LC",Liste_rouge!A:A,2,1),"LC")</f>
        <v>LC</v>
      </c>
      <c r="T20189" s="7" t="str">
        <f>HYPERLINK("#Liste_rouge!A"&amp;_xlfn.XMATCH("LC",Liste_rouge!A:A,2,1),"LC")</f>
        <v>LC</v>
      </c>
      <c r="V20189" s="7" t="str">
        <f>HYPERLINK("#Liste_rouge!A"&amp;_xlfn.XMATCH("LC",Liste_rouge!A:A,2,1),"LC")</f>
        <v>LC</v>
      </c>
      <c r="AH20189" s="4" t="str">
        <f>HYPERLINK("#Statut_biogéographique!A"&amp;_xlfn.XMATCH("P",Statut_biogéographique!A:A,2,1),"P")</f>
        <v>P</v>
      </c>
      <c r="AM20189" s="4" t="s">
        <v>375</v>
      </c>
      <c r="AN20189" s="4" t="s">
        <v>375</v>
      </c>
      <c r="AO20189" s="4" t="s">
        <v>375</v>
      </c>
      <c r="AP20189" s="4" t="s">
        <v>376</v>
      </c>
      <c r="AR20189" s="4" t="s">
        <v>377</v>
      </c>
    </row>
    <row r="20190" spans="1:44" ht="30">
      <c r="A20190" s="4" t="s">
        <v>24364</v>
      </c>
      <c r="B20190" s="4">
        <v>106859</v>
      </c>
      <c r="D20190" s="5" t="s">
        <v>25341</v>
      </c>
      <c r="E20190" s="6" t="str">
        <f>HYPERLINK("https://inpn.mnhn.fr/espece/cd_nom/106859","Luzula spicata (L.) DC., 1805")</f>
        <v>Luzula spicata (L.) DC., 1805</v>
      </c>
      <c r="F20190" s="5" t="s">
        <v>25342</v>
      </c>
      <c r="Q20190" s="7" t="str">
        <f>HYPERLINK("#Liste_rouge!A"&amp;_xlfn.XMATCH("LC",Liste_rouge!A:A,2,1),"LC")</f>
        <v>LC</v>
      </c>
      <c r="V20190" s="7" t="str">
        <f>HYPERLINK("#Liste_rouge!A"&amp;_xlfn.XMATCH("EN",Liste_rouge!A:A,2,1),"EN")</f>
        <v>EN</v>
      </c>
      <c r="W20190" s="4" t="str">
        <f>HYPERLINK("#Critères_liste_rouge!A$1","D")</f>
        <v>D</v>
      </c>
      <c r="X20190" s="5" t="s">
        <v>374</v>
      </c>
      <c r="AB20190" s="4" t="s">
        <v>93</v>
      </c>
      <c r="AH20190" s="4" t="str">
        <f>HYPERLINK("#Statut_biogéographique!A"&amp;_xlfn.XMATCH("P",Statut_biogéographique!A:A,2,1),"P")</f>
        <v>P</v>
      </c>
      <c r="AM20190" s="4" t="s">
        <v>375</v>
      </c>
      <c r="AN20190" s="4" t="s">
        <v>375</v>
      </c>
      <c r="AO20190" s="4" t="s">
        <v>375</v>
      </c>
      <c r="AP20190" s="4" t="s">
        <v>376</v>
      </c>
      <c r="AR20190" s="4" t="s">
        <v>377</v>
      </c>
    </row>
    <row r="20191" spans="1:44" ht="30">
      <c r="A20191" s="4" t="s">
        <v>24364</v>
      </c>
      <c r="B20191" s="4">
        <v>106863</v>
      </c>
      <c r="D20191" s="5" t="s">
        <v>25343</v>
      </c>
      <c r="E20191" s="6" t="str">
        <f>HYPERLINK("https://inpn.mnhn.fr/espece/cd_nom/106863","Luzula sylvatica (Huds.) Gaudin, 1811")</f>
        <v>Luzula sylvatica (Huds.) Gaudin, 1811</v>
      </c>
      <c r="F20191" s="5" t="s">
        <v>25344</v>
      </c>
      <c r="Q20191" s="7" t="str">
        <f>HYPERLINK("#Liste_rouge!A"&amp;_xlfn.XMATCH("LC",Liste_rouge!A:A,2,1),"LC")</f>
        <v>LC</v>
      </c>
      <c r="T20191" s="7" t="str">
        <f>HYPERLINK("#Liste_rouge!A"&amp;_xlfn.XMATCH("LC",Liste_rouge!A:A,2,1),"LC")</f>
        <v>LC</v>
      </c>
      <c r="V20191" s="7" t="str">
        <f>HYPERLINK("#Liste_rouge!A"&amp;_xlfn.XMATCH("LC",Liste_rouge!A:A,2,1),"LC")</f>
        <v>LC</v>
      </c>
      <c r="AH20191" s="4" t="str">
        <f>HYPERLINK("#Statut_biogéographique!A"&amp;_xlfn.XMATCH("P",Statut_biogéographique!A:A,2,1),"P")</f>
        <v>P</v>
      </c>
      <c r="AM20191" s="4" t="s">
        <v>375</v>
      </c>
      <c r="AN20191" s="4" t="s">
        <v>375</v>
      </c>
      <c r="AO20191" s="4" t="s">
        <v>375</v>
      </c>
      <c r="AP20191" s="4" t="s">
        <v>376</v>
      </c>
      <c r="AR20191" s="4" t="s">
        <v>377</v>
      </c>
    </row>
    <row r="20192" spans="1:44" ht="45">
      <c r="A20192" s="4" t="s">
        <v>24364</v>
      </c>
      <c r="B20192" s="4">
        <v>106902</v>
      </c>
      <c r="D20192" s="5" t="s">
        <v>25345</v>
      </c>
      <c r="E20192" s="6" t="str">
        <f>HYPERLINK("https://inpn.mnhn.fr/espece/cd_nom/106902","Lychnis chalcedonica L., 1753")</f>
        <v>Lychnis chalcedonica L., 1753</v>
      </c>
      <c r="F20192" s="5" t="s">
        <v>25346</v>
      </c>
      <c r="Q20192" s="7" t="str">
        <f>HYPERLINK("#Liste_rouge!A"&amp;_xlfn.XMATCH("NA",Liste_rouge!A:A,2,1),"NA")</f>
        <v>NA</v>
      </c>
      <c r="AH20192" s="4" t="str">
        <f>HYPERLINK("#Statut_biogéographique!A"&amp;_xlfn.XMATCH("M",Statut_biogéographique!A:A,2,1),"M")</f>
        <v>M</v>
      </c>
      <c r="AP20192" s="4" t="s">
        <v>376</v>
      </c>
      <c r="AR20192" s="4" t="s">
        <v>377</v>
      </c>
    </row>
    <row r="20193" spans="1:44" ht="30">
      <c r="A20193" s="4" t="s">
        <v>24364</v>
      </c>
      <c r="B20193" s="4">
        <v>106910</v>
      </c>
      <c r="D20193" s="5" t="s">
        <v>25347</v>
      </c>
      <c r="E20193" s="6" t="str">
        <f>HYPERLINK("https://inpn.mnhn.fr/espece/cd_nom/106910","Lychnis coronaria (L.) Desr., 1792")</f>
        <v>Lychnis coronaria (L.) Desr., 1792</v>
      </c>
      <c r="F20193" s="5" t="s">
        <v>25348</v>
      </c>
      <c r="Q20193" s="7" t="str">
        <f>HYPERLINK("#Liste_rouge!A"&amp;_xlfn.XMATCH("NA",Liste_rouge!A:A,2,1),"NA")</f>
        <v>NA</v>
      </c>
      <c r="T20193" s="7" t="str">
        <f>HYPERLINK("#Liste_rouge!A"&amp;_xlfn.XMATCH("NA",Liste_rouge!A:A,2,1),"NA")</f>
        <v>NA</v>
      </c>
      <c r="AH20193" s="4" t="str">
        <f>HYPERLINK("#Statut_biogéographique!A"&amp;_xlfn.XMATCH("I",Statut_biogéographique!A:A,2,1),"I")</f>
        <v>I</v>
      </c>
      <c r="AP20193" s="4" t="s">
        <v>376</v>
      </c>
      <c r="AR20193" s="4" t="s">
        <v>377</v>
      </c>
    </row>
    <row r="20194" spans="1:44" ht="60">
      <c r="A20194" s="4" t="s">
        <v>24364</v>
      </c>
      <c r="B20194" s="4">
        <v>106918</v>
      </c>
      <c r="D20194" s="5" t="s">
        <v>25349</v>
      </c>
      <c r="E20194" s="6" t="str">
        <f>HYPERLINK("https://inpn.mnhn.fr/espece/cd_nom/106918","Lychnis flos-cuculi L., 1753")</f>
        <v>Lychnis flos-cuculi L., 1753</v>
      </c>
      <c r="F20194" s="5" t="s">
        <v>25350</v>
      </c>
      <c r="Q20194" s="7" t="str">
        <f>HYPERLINK("#Liste_rouge!A"&amp;_xlfn.XMATCH("LC",Liste_rouge!A:A,2,1),"LC")</f>
        <v>LC</v>
      </c>
      <c r="T20194" s="7" t="str">
        <f>HYPERLINK("#Liste_rouge!A"&amp;_xlfn.XMATCH("LC",Liste_rouge!A:A,2,1),"LC")</f>
        <v>LC</v>
      </c>
      <c r="V20194" s="7" t="str">
        <f>HYPERLINK("#Liste_rouge!A"&amp;_xlfn.XMATCH("LC",Liste_rouge!A:A,2,1),"LC")</f>
        <v>LC</v>
      </c>
      <c r="AH20194" s="4" t="str">
        <f>HYPERLINK("#Statut_biogéographique!A"&amp;_xlfn.XMATCH("P",Statut_biogéographique!A:A,2,1),"P")</f>
        <v>P</v>
      </c>
      <c r="AM20194" s="4" t="s">
        <v>375</v>
      </c>
      <c r="AN20194" s="4" t="s">
        <v>375</v>
      </c>
      <c r="AO20194" s="4" t="s">
        <v>375</v>
      </c>
      <c r="AP20194" s="4" t="s">
        <v>376</v>
      </c>
      <c r="AR20194" s="4" t="s">
        <v>377</v>
      </c>
    </row>
    <row r="20195" spans="1:44" ht="30">
      <c r="A20195" s="4" t="s">
        <v>24364</v>
      </c>
      <c r="B20195" s="4">
        <v>106919</v>
      </c>
      <c r="D20195" s="5" t="s">
        <v>25351</v>
      </c>
      <c r="E20195" s="6" t="str">
        <f>HYPERLINK("https://inpn.mnhn.fr/espece/cd_nom/106919","Lychnis flos-jovis (L.) Desr., 1792")</f>
        <v>Lychnis flos-jovis (L.) Desr., 1792</v>
      </c>
      <c r="F20195" s="5" t="s">
        <v>25352</v>
      </c>
      <c r="Q20195" s="7" t="str">
        <f>HYPERLINK("#Liste_rouge!A"&amp;_xlfn.XMATCH("LC",Liste_rouge!A:A,2,1),"LC")</f>
        <v>LC</v>
      </c>
      <c r="T20195" s="7" t="str">
        <f>HYPERLINK("#Liste_rouge!A"&amp;_xlfn.XMATCH("NA",Liste_rouge!A:A,2,1),"NA")</f>
        <v>NA</v>
      </c>
      <c r="AH20195" s="4" t="str">
        <f>HYPERLINK("#Statut_biogéographique!A"&amp;_xlfn.XMATCH("P",Statut_biogéographique!A:A,2,1),"P")</f>
        <v>P</v>
      </c>
      <c r="AP20195" s="4" t="s">
        <v>376</v>
      </c>
      <c r="AR20195" s="4" t="s">
        <v>377</v>
      </c>
    </row>
    <row r="20196" spans="1:44" ht="30">
      <c r="A20196" s="4" t="s">
        <v>24364</v>
      </c>
      <c r="B20196" s="4">
        <v>106965</v>
      </c>
      <c r="D20196" s="5" t="s">
        <v>25353</v>
      </c>
      <c r="E20196" s="6" t="str">
        <f>HYPERLINK("https://inpn.mnhn.fr/espece/cd_nom/106965","Lycium barbarum L., 1753")</f>
        <v>Lycium barbarum L., 1753</v>
      </c>
      <c r="F20196" s="5" t="s">
        <v>25354</v>
      </c>
      <c r="Q20196" s="7" t="str">
        <f>HYPERLINK("#Liste_rouge!A"&amp;_xlfn.XMATCH("NA",Liste_rouge!A:A,2,1),"NA")</f>
        <v>NA</v>
      </c>
      <c r="T20196" s="7" t="str">
        <f>HYPERLINK("#Liste_rouge!A"&amp;_xlfn.XMATCH("NA",Liste_rouge!A:A,2,1),"NA")</f>
        <v>NA</v>
      </c>
      <c r="AH20196" s="4" t="str">
        <f>HYPERLINK("#Statut_biogéographique!A"&amp;_xlfn.XMATCH("I",Statut_biogéographique!A:A,2,1),"I")</f>
        <v>I</v>
      </c>
      <c r="AP20196" s="4" t="s">
        <v>376</v>
      </c>
      <c r="AR20196" s="4" t="s">
        <v>377</v>
      </c>
    </row>
    <row r="20197" spans="1:44" ht="45">
      <c r="A20197" s="4" t="s">
        <v>24364</v>
      </c>
      <c r="B20197" s="4">
        <v>106966</v>
      </c>
      <c r="D20197" s="5" t="s">
        <v>25355</v>
      </c>
      <c r="E20197" s="6" t="str">
        <f>HYPERLINK("https://inpn.mnhn.fr/espece/cd_nom/106966","Lycium chinense Mill., 1768")</f>
        <v>Lycium chinense Mill., 1768</v>
      </c>
      <c r="F20197" s="5" t="s">
        <v>25356</v>
      </c>
      <c r="Q20197" s="7" t="str">
        <f>HYPERLINK("#Liste_rouge!A"&amp;_xlfn.XMATCH("NA",Liste_rouge!A:A,2,1),"NA")</f>
        <v>NA</v>
      </c>
      <c r="T20197" s="7" t="str">
        <f>HYPERLINK("#Liste_rouge!A"&amp;_xlfn.XMATCH("NA",Liste_rouge!A:A,2,1),"NA")</f>
        <v>NA</v>
      </c>
      <c r="AH20197" s="4" t="str">
        <f>HYPERLINK("#Statut_biogéographique!A"&amp;_xlfn.XMATCH("I",Statut_biogéographique!A:A,2,1),"I")</f>
        <v>I</v>
      </c>
      <c r="AP20197" s="4" t="s">
        <v>376</v>
      </c>
      <c r="AR20197" s="4" t="s">
        <v>377</v>
      </c>
    </row>
    <row r="20198" spans="1:44" ht="30">
      <c r="A20198" s="4" t="s">
        <v>24364</v>
      </c>
      <c r="B20198" s="4">
        <v>106969</v>
      </c>
      <c r="D20198" s="5" t="s">
        <v>25357</v>
      </c>
      <c r="E20198" s="6" t="str">
        <f>HYPERLINK("https://inpn.mnhn.fr/espece/cd_nom/106969","Lycium europaeum L., 1753")</f>
        <v>Lycium europaeum L., 1753</v>
      </c>
      <c r="F20198" s="5" t="s">
        <v>25358</v>
      </c>
      <c r="Q20198" s="7" t="str">
        <f>HYPERLINK("#Liste_rouge!A"&amp;_xlfn.XMATCH("NA",Liste_rouge!A:A,2,1),"NA")</f>
        <v>NA</v>
      </c>
      <c r="T20198" s="7" t="str">
        <f>HYPERLINK("#Liste_rouge!A"&amp;_xlfn.XMATCH("NA",Liste_rouge!A:A,2,1),"NA")</f>
        <v>NA</v>
      </c>
      <c r="AH20198" s="4" t="str">
        <f>HYPERLINK("#Statut_biogéographique!A"&amp;_xlfn.XMATCH("I",Statut_biogéographique!A:A,2,1),"I")</f>
        <v>I</v>
      </c>
      <c r="AP20198" s="4" t="s">
        <v>376</v>
      </c>
      <c r="AR20198" s="4" t="s">
        <v>377</v>
      </c>
    </row>
    <row r="20199" spans="1:44" ht="30">
      <c r="A20199" s="4" t="s">
        <v>24364</v>
      </c>
      <c r="B20199" s="4">
        <v>106993</v>
      </c>
      <c r="D20199" s="5" t="s">
        <v>25359</v>
      </c>
      <c r="E20199" s="6" t="str">
        <f>HYPERLINK("https://inpn.mnhn.fr/espece/cd_nom/106993","Lycopodiella inundata (L.) Holub, 1964")</f>
        <v>Lycopodiella inundata (L.) Holub, 1964</v>
      </c>
      <c r="F20199" s="5" t="s">
        <v>25360</v>
      </c>
      <c r="K20199" s="4" t="str">
        <f>HYPERLINK("#Réglementation!A"&amp;_xlfn.XMATCH("CDH5",Réglementation!A:A,2,1),"CDH5")</f>
        <v>CDH5</v>
      </c>
      <c r="L20199" s="4" t="str">
        <f>HYPERLINK("#Réglementation!A"&amp;_xlfn.XMATCH("NV1",Réglementation!A:A,2,1),"NV1")</f>
        <v>NV1</v>
      </c>
      <c r="O20199" s="7" t="str">
        <f>HYPERLINK("#Liste_rouge!A"&amp;_xlfn.XMATCH("LC",Liste_rouge!A:A,2,1),"LC")</f>
        <v>LC</v>
      </c>
      <c r="P20199" s="7" t="str">
        <f>HYPERLINK("#Liste_rouge!A"&amp;_xlfn.XMATCH("LC",Liste_rouge!A:A,2,1),"LC")</f>
        <v>LC</v>
      </c>
      <c r="Q20199" s="7" t="str">
        <f>HYPERLINK("#Liste_rouge!A"&amp;_xlfn.XMATCH("NT",Liste_rouge!A:A,2,1),"NT")</f>
        <v>NT</v>
      </c>
      <c r="T20199" s="7" t="str">
        <f>HYPERLINK("#Liste_rouge!A"&amp;_xlfn.XMATCH("CR",Liste_rouge!A:A,2,1),"CR")</f>
        <v>CR</v>
      </c>
      <c r="U20199" s="4" t="str">
        <f>HYPERLINK("#Critères_liste_rouge!A$1","C2a(i)")</f>
        <v>C2a(i)</v>
      </c>
      <c r="V20199" s="7" t="str">
        <f>HYPERLINK("#Liste_rouge!A"&amp;_xlfn.XMATCH("DD",Liste_rouge!A:A,2,1),"DD")</f>
        <v>DD</v>
      </c>
      <c r="X20199" s="5" t="s">
        <v>374</v>
      </c>
      <c r="AB20199" s="4" t="s">
        <v>93</v>
      </c>
      <c r="AE20199" s="4" t="str">
        <f>HYPERLINK("#SCAP!A"&amp;_xlfn.XMATCH("1+",SCAP!A:A,2,1),"1+")</f>
        <v>1+</v>
      </c>
      <c r="AF20199" s="4" t="str">
        <f>HYPERLINK("#SCAP!A"&amp;_xlfn.XMATCH("2-",SCAP!A:A,2,1),"2-")</f>
        <v>2-</v>
      </c>
      <c r="AG20199" s="4" t="str">
        <f>HYPERLINK("#SCAP!A"&amp;_xlfn.XMATCH("1+",SCAP!A:A,2,1),"1+")</f>
        <v>1+</v>
      </c>
      <c r="AH20199" s="4" t="str">
        <f>HYPERLINK("#Statut_biogéographique!A"&amp;_xlfn.XMATCH("P",Statut_biogéographique!A:A,2,1),"P")</f>
        <v>P</v>
      </c>
      <c r="AM20199" s="4" t="s">
        <v>375</v>
      </c>
      <c r="AN20199" s="4" t="s">
        <v>375</v>
      </c>
      <c r="AO20199" s="4" t="s">
        <v>375</v>
      </c>
      <c r="AP20199" s="4" t="s">
        <v>376</v>
      </c>
      <c r="AR20199" s="4" t="s">
        <v>377</v>
      </c>
    </row>
    <row r="20200" spans="1:44" ht="60">
      <c r="A20200" s="4" t="s">
        <v>24364</v>
      </c>
      <c r="B20200" s="4">
        <v>107003</v>
      </c>
      <c r="D20200" s="5" t="s">
        <v>25361</v>
      </c>
      <c r="E20200" s="6" t="str">
        <f>HYPERLINK("https://inpn.mnhn.fr/espece/cd_nom/107003","Lycopodium clavatum L., 1753")</f>
        <v>Lycopodium clavatum L., 1753</v>
      </c>
      <c r="F20200" s="5" t="s">
        <v>25362</v>
      </c>
      <c r="K20200" s="4" t="str">
        <f>HYPERLINK("#Réglementation!A"&amp;_xlfn.XMATCH("CDH5",Réglementation!A:A,2,1),"CDH5")</f>
        <v>CDH5</v>
      </c>
      <c r="M20200" s="4" t="str">
        <f>HYPERLINK("#Réglementation!A"&amp;_xlfn.XMATCH("RV26",Réglementation!A:A,2,1),"RV26 - RV43")</f>
        <v>RV26 - RV43</v>
      </c>
      <c r="P20200" s="7" t="str">
        <f>HYPERLINK("#Liste_rouge!A"&amp;_xlfn.XMATCH("LC",Liste_rouge!A:A,2,1),"LC")</f>
        <v>LC</v>
      </c>
      <c r="Q20200" s="7" t="str">
        <f>HYPERLINK("#Liste_rouge!A"&amp;_xlfn.XMATCH("LC",Liste_rouge!A:A,2,1),"LC")</f>
        <v>LC</v>
      </c>
      <c r="T20200" s="7" t="str">
        <f>HYPERLINK("#Liste_rouge!A"&amp;_xlfn.XMATCH("CR",Liste_rouge!A:A,2,1),"CR")</f>
        <v>CR</v>
      </c>
      <c r="U20200" s="4" t="str">
        <f>HYPERLINK("#Critères_liste_rouge!A$1","C2a(i)")</f>
        <v>C2a(i)</v>
      </c>
      <c r="V20200" s="7" t="str">
        <f>HYPERLINK("#Liste_rouge!A"&amp;_xlfn.XMATCH("LC",Liste_rouge!A:A,2,1),"LC")</f>
        <v>LC</v>
      </c>
      <c r="X20200" s="5" t="s">
        <v>374</v>
      </c>
      <c r="AB20200" s="4" t="s">
        <v>93</v>
      </c>
      <c r="AE20200" s="4" t="str">
        <f>HYPERLINK("#SCAP!A"&amp;_xlfn.XMATCH("1-",SCAP!A:A,2,1),"1-")</f>
        <v>1-</v>
      </c>
      <c r="AF20200" s="4" t="str">
        <f>HYPERLINK("#SCAP!A"&amp;_xlfn.XMATCH("1-",SCAP!A:A,2,1),"1-")</f>
        <v>1-</v>
      </c>
      <c r="AG20200" s="4" t="str">
        <f>HYPERLINK("#SCAP!A"&amp;_xlfn.XMATCH("3",SCAP!A:A,2,1),"3")</f>
        <v>3</v>
      </c>
      <c r="AH20200" s="4" t="str">
        <f>HYPERLINK("#Statut_biogéographique!A"&amp;_xlfn.XMATCH("P",Statut_biogéographique!A:A,2,1),"P")</f>
        <v>P</v>
      </c>
      <c r="AM20200" s="4" t="s">
        <v>375</v>
      </c>
      <c r="AN20200" s="4" t="s">
        <v>375</v>
      </c>
      <c r="AO20200" s="4" t="s">
        <v>375</v>
      </c>
      <c r="AP20200" s="4" t="s">
        <v>376</v>
      </c>
      <c r="AR20200" s="4" t="s">
        <v>377</v>
      </c>
    </row>
    <row r="20201" spans="1:44" ht="30">
      <c r="A20201" s="4" t="s">
        <v>24364</v>
      </c>
      <c r="B20201" s="4">
        <v>107027</v>
      </c>
      <c r="D20201" s="5" t="s">
        <v>25363</v>
      </c>
      <c r="E20201" s="6" t="str">
        <f>HYPERLINK("https://inpn.mnhn.fr/espece/cd_nom/107027","Lycopsis arvensis L., 1753")</f>
        <v>Lycopsis arvensis L., 1753</v>
      </c>
      <c r="F20201" s="5" t="s">
        <v>25364</v>
      </c>
      <c r="Q20201" s="7" t="str">
        <f>HYPERLINK("#Liste_rouge!A"&amp;_xlfn.XMATCH("LC",Liste_rouge!A:A,2,1),"LC")</f>
        <v>LC</v>
      </c>
      <c r="T20201" s="7" t="str">
        <f>HYPERLINK("#Liste_rouge!A"&amp;_xlfn.XMATCH("LC",Liste_rouge!A:A,2,1),"LC")</f>
        <v>LC</v>
      </c>
      <c r="V20201" s="7" t="str">
        <f>HYPERLINK("#Liste_rouge!A"&amp;_xlfn.XMATCH("LC",Liste_rouge!A:A,2,1),"LC")</f>
        <v>LC</v>
      </c>
      <c r="AB20201" s="4" t="s">
        <v>24464</v>
      </c>
      <c r="AH20201" s="4" t="str">
        <f>HYPERLINK("#Statut_biogéographique!A"&amp;_xlfn.XMATCH("P",Statut_biogéographique!A:A,2,1),"P")</f>
        <v>P</v>
      </c>
      <c r="AI20201" s="8" t="s">
        <v>25365</v>
      </c>
      <c r="AJ20201" s="4" t="s">
        <v>12248</v>
      </c>
      <c r="AM20201" s="4" t="s">
        <v>375</v>
      </c>
      <c r="AN20201" s="4" t="s">
        <v>375</v>
      </c>
      <c r="AO20201" s="4" t="s">
        <v>375</v>
      </c>
      <c r="AP20201" s="4" t="s">
        <v>376</v>
      </c>
      <c r="AR20201" s="4" t="s">
        <v>377</v>
      </c>
    </row>
    <row r="20202" spans="1:44" ht="60">
      <c r="A20202" s="4" t="s">
        <v>24364</v>
      </c>
      <c r="B20202" s="4">
        <v>107038</v>
      </c>
      <c r="D20202" s="5" t="s">
        <v>25366</v>
      </c>
      <c r="E20202" s="6" t="str">
        <f>HYPERLINK("https://inpn.mnhn.fr/espece/cd_nom/107038","Lycopus europaeus L., 1753")</f>
        <v>Lycopus europaeus L., 1753</v>
      </c>
      <c r="F20202" s="5" t="s">
        <v>25367</v>
      </c>
      <c r="O20202" s="7" t="str">
        <f>HYPERLINK("#Liste_rouge!A"&amp;_xlfn.XMATCH("LC",Liste_rouge!A:A,2,1),"LC")</f>
        <v>LC</v>
      </c>
      <c r="P20202" s="7" t="str">
        <f>HYPERLINK("#Liste_rouge!A"&amp;_xlfn.XMATCH("LC",Liste_rouge!A:A,2,1),"LC")</f>
        <v>LC</v>
      </c>
      <c r="Q20202" s="7" t="str">
        <f>HYPERLINK("#Liste_rouge!A"&amp;_xlfn.XMATCH("LC",Liste_rouge!A:A,2,1),"LC")</f>
        <v>LC</v>
      </c>
      <c r="T20202" s="7" t="str">
        <f>HYPERLINK("#Liste_rouge!A"&amp;_xlfn.XMATCH("LC",Liste_rouge!A:A,2,1),"LC")</f>
        <v>LC</v>
      </c>
      <c r="V20202" s="7" t="str">
        <f>HYPERLINK("#Liste_rouge!A"&amp;_xlfn.XMATCH("LC",Liste_rouge!A:A,2,1),"LC")</f>
        <v>LC</v>
      </c>
      <c r="AH20202" s="4" t="str">
        <f>HYPERLINK("#Statut_biogéographique!A"&amp;_xlfn.XMATCH("P",Statut_biogéographique!A:A,2,1),"P")</f>
        <v>P</v>
      </c>
      <c r="AM20202" s="4" t="s">
        <v>375</v>
      </c>
      <c r="AN20202" s="4" t="s">
        <v>375</v>
      </c>
      <c r="AO20202" s="4" t="s">
        <v>375</v>
      </c>
      <c r="AP20202" s="4" t="s">
        <v>376</v>
      </c>
      <c r="AR20202" s="4" t="s">
        <v>377</v>
      </c>
    </row>
    <row r="20203" spans="1:44" ht="30">
      <c r="A20203" s="4" t="s">
        <v>24364</v>
      </c>
      <c r="B20203" s="4">
        <v>107072</v>
      </c>
      <c r="D20203" s="5" t="s">
        <v>25368</v>
      </c>
      <c r="E20203" s="6" t="str">
        <f>HYPERLINK("https://inpn.mnhn.fr/espece/cd_nom/107072","Lysimachia nemorum L., 1753")</f>
        <v>Lysimachia nemorum L., 1753</v>
      </c>
      <c r="F20203" s="5" t="s">
        <v>25369</v>
      </c>
      <c r="Q20203" s="7" t="str">
        <f>HYPERLINK("#Liste_rouge!A"&amp;_xlfn.XMATCH("LC",Liste_rouge!A:A,2,1),"LC")</f>
        <v>LC</v>
      </c>
      <c r="T20203" s="7" t="str">
        <f>HYPERLINK("#Liste_rouge!A"&amp;_xlfn.XMATCH("LC",Liste_rouge!A:A,2,1),"LC")</f>
        <v>LC</v>
      </c>
      <c r="V20203" s="7" t="str">
        <f>HYPERLINK("#Liste_rouge!A"&amp;_xlfn.XMATCH("LC",Liste_rouge!A:A,2,1),"LC")</f>
        <v>LC</v>
      </c>
      <c r="AH20203" s="4" t="str">
        <f>HYPERLINK("#Statut_biogéographique!A"&amp;_xlfn.XMATCH("P",Statut_biogéographique!A:A,2,1),"P")</f>
        <v>P</v>
      </c>
      <c r="AM20203" s="4" t="s">
        <v>375</v>
      </c>
      <c r="AN20203" s="4" t="s">
        <v>375</v>
      </c>
      <c r="AO20203" s="4" t="s">
        <v>375</v>
      </c>
      <c r="AP20203" s="4" t="s">
        <v>376</v>
      </c>
      <c r="AR20203" s="4" t="s">
        <v>377</v>
      </c>
    </row>
    <row r="20204" spans="1:44" ht="45">
      <c r="A20204" s="4" t="s">
        <v>24364</v>
      </c>
      <c r="B20204" s="4">
        <v>107073</v>
      </c>
      <c r="D20204" s="5" t="s">
        <v>25370</v>
      </c>
      <c r="E20204" s="6" t="str">
        <f>HYPERLINK("https://inpn.mnhn.fr/espece/cd_nom/107073","Lysimachia nummularia L., 1753")</f>
        <v>Lysimachia nummularia L., 1753</v>
      </c>
      <c r="F20204" s="5" t="s">
        <v>25371</v>
      </c>
      <c r="O20204" s="7" t="str">
        <f>HYPERLINK("#Liste_rouge!A"&amp;_xlfn.XMATCH("LC",Liste_rouge!A:A,2,1),"LC")</f>
        <v>LC</v>
      </c>
      <c r="P20204" s="7" t="str">
        <f>HYPERLINK("#Liste_rouge!A"&amp;_xlfn.XMATCH("LC",Liste_rouge!A:A,2,1),"LC")</f>
        <v>LC</v>
      </c>
      <c r="Q20204" s="7" t="str">
        <f>HYPERLINK("#Liste_rouge!A"&amp;_xlfn.XMATCH("LC",Liste_rouge!A:A,2,1),"LC")</f>
        <v>LC</v>
      </c>
      <c r="T20204" s="7" t="str">
        <f>HYPERLINK("#Liste_rouge!A"&amp;_xlfn.XMATCH("LC",Liste_rouge!A:A,2,1),"LC")</f>
        <v>LC</v>
      </c>
      <c r="V20204" s="7" t="str">
        <f>HYPERLINK("#Liste_rouge!A"&amp;_xlfn.XMATCH("LC",Liste_rouge!A:A,2,1),"LC")</f>
        <v>LC</v>
      </c>
      <c r="AH20204" s="4" t="str">
        <f>HYPERLINK("#Statut_biogéographique!A"&amp;_xlfn.XMATCH("P",Statut_biogéographique!A:A,2,1),"P")</f>
        <v>P</v>
      </c>
      <c r="AM20204" s="4" t="s">
        <v>375</v>
      </c>
      <c r="AN20204" s="4" t="s">
        <v>375</v>
      </c>
      <c r="AO20204" s="4" t="s">
        <v>375</v>
      </c>
      <c r="AP20204" s="4" t="s">
        <v>376</v>
      </c>
      <c r="AR20204" s="4" t="s">
        <v>377</v>
      </c>
    </row>
    <row r="20205" spans="1:44">
      <c r="A20205" s="4" t="s">
        <v>24364</v>
      </c>
      <c r="B20205" s="4">
        <v>107077</v>
      </c>
      <c r="D20205" s="5" t="s">
        <v>25372</v>
      </c>
      <c r="E20205" s="6" t="str">
        <f>HYPERLINK("https://inpn.mnhn.fr/espece/cd_nom/107077","Lysimachia punctata L., 1753")</f>
        <v>Lysimachia punctata L., 1753</v>
      </c>
      <c r="F20205" s="5" t="s">
        <v>25373</v>
      </c>
      <c r="O20205" s="7" t="str">
        <f>HYPERLINK("#Liste_rouge!A"&amp;_xlfn.XMATCH("LC",Liste_rouge!A:A,2,1),"LC")</f>
        <v>LC</v>
      </c>
      <c r="Q20205" s="7" t="str">
        <f>HYPERLINK("#Liste_rouge!A"&amp;_xlfn.XMATCH("NA",Liste_rouge!A:A,2,1),"NA")</f>
        <v>NA</v>
      </c>
      <c r="T20205" s="7" t="str">
        <f>HYPERLINK("#Liste_rouge!A"&amp;_xlfn.XMATCH("NA",Liste_rouge!A:A,2,1),"NA")</f>
        <v>NA</v>
      </c>
      <c r="AH20205" s="4" t="str">
        <f>HYPERLINK("#Statut_biogéographique!A"&amp;_xlfn.XMATCH("I",Statut_biogéographique!A:A,2,1),"I")</f>
        <v>I</v>
      </c>
      <c r="AM20205" s="4" t="s">
        <v>375</v>
      </c>
      <c r="AN20205" s="4" t="s">
        <v>375</v>
      </c>
      <c r="AO20205" s="4" t="s">
        <v>375</v>
      </c>
      <c r="AP20205" s="4" t="s">
        <v>376</v>
      </c>
      <c r="AR20205" s="4" t="s">
        <v>377</v>
      </c>
    </row>
    <row r="20206" spans="1:44" ht="30">
      <c r="A20206" s="4" t="s">
        <v>24364</v>
      </c>
      <c r="B20206" s="4">
        <v>107085</v>
      </c>
      <c r="D20206" s="5" t="s">
        <v>25374</v>
      </c>
      <c r="E20206" s="6" t="str">
        <f>HYPERLINK("https://inpn.mnhn.fr/espece/cd_nom/107085","Lysimachia tenella L., 1753")</f>
        <v>Lysimachia tenella L., 1753</v>
      </c>
      <c r="F20206" s="5" t="s">
        <v>25375</v>
      </c>
      <c r="Q20206" s="7" t="str">
        <f>HYPERLINK("#Liste_rouge!A"&amp;_xlfn.XMATCH("LC",Liste_rouge!A:A,2,1),"LC")</f>
        <v>LC</v>
      </c>
      <c r="T20206" s="7" t="str">
        <f>HYPERLINK("#Liste_rouge!A"&amp;_xlfn.XMATCH("NT",Liste_rouge!A:A,2,1),"NT")</f>
        <v>NT</v>
      </c>
      <c r="U20206" s="4" t="str">
        <f>HYPERLINK("#Critères_liste_rouge!A$1","pr. B2a")</f>
        <v>pr. B2a</v>
      </c>
      <c r="V20206" s="7" t="str">
        <f>HYPERLINK("#Liste_rouge!A"&amp;_xlfn.XMATCH("RE",Liste_rouge!A:A,2,1),"RE")</f>
        <v>RE</v>
      </c>
      <c r="AB20206" s="4" t="s">
        <v>25010</v>
      </c>
      <c r="AH20206" s="4" t="str">
        <f>HYPERLINK("#Statut_biogéographique!A"&amp;_xlfn.XMATCH("P",Statut_biogéographique!A:A,2,1),"P")</f>
        <v>P</v>
      </c>
      <c r="AM20206" s="4" t="s">
        <v>375</v>
      </c>
      <c r="AN20206" s="4" t="s">
        <v>375</v>
      </c>
      <c r="AO20206" s="4" t="s">
        <v>375</v>
      </c>
      <c r="AP20206" s="4" t="s">
        <v>376</v>
      </c>
      <c r="AR20206" s="4" t="s">
        <v>377</v>
      </c>
    </row>
    <row r="20207" spans="1:44" ht="30">
      <c r="A20207" s="4" t="s">
        <v>24364</v>
      </c>
      <c r="B20207" s="4">
        <v>107086</v>
      </c>
      <c r="D20207" s="5" t="s">
        <v>25376</v>
      </c>
      <c r="E20207" s="6" t="str">
        <f>HYPERLINK("https://inpn.mnhn.fr/espece/cd_nom/107086","Lysimachia thyrsiflora L., 1753")</f>
        <v>Lysimachia thyrsiflora L., 1753</v>
      </c>
      <c r="F20207" s="5" t="s">
        <v>25377</v>
      </c>
      <c r="L20207" s="4" t="str">
        <f>HYPERLINK("#Réglementation!A"&amp;_xlfn.XMATCH("NV1",Réglementation!A:A,2,1),"NV1")</f>
        <v>NV1</v>
      </c>
      <c r="O20207" s="7" t="str">
        <f>HYPERLINK("#Liste_rouge!A"&amp;_xlfn.XMATCH("LC",Liste_rouge!A:A,2,1),"LC")</f>
        <v>LC</v>
      </c>
      <c r="P20207" s="7" t="str">
        <f>HYPERLINK("#Liste_rouge!A"&amp;_xlfn.XMATCH("LC",Liste_rouge!A:A,2,1),"LC")</f>
        <v>LC</v>
      </c>
      <c r="Q20207" s="7" t="str">
        <f>HYPERLINK("#Liste_rouge!A"&amp;_xlfn.XMATCH("VU",Liste_rouge!A:A,2,1),"VU")</f>
        <v>VU</v>
      </c>
      <c r="T20207" s="7" t="str">
        <f>HYPERLINK("#Liste_rouge!A"&amp;_xlfn.XMATCH("RE",Liste_rouge!A:A,2,1),"RE")</f>
        <v>RE</v>
      </c>
      <c r="V20207" s="7" t="str">
        <f>HYPERLINK("#Liste_rouge!A"&amp;_xlfn.XMATCH("VU",Liste_rouge!A:A,2,1),"VU")</f>
        <v>VU</v>
      </c>
      <c r="W20207" s="4" t="str">
        <f>HYPERLINK("#Critères_liste_rouge!A$1","D2")</f>
        <v>D2</v>
      </c>
      <c r="X20207" s="5" t="s">
        <v>374</v>
      </c>
      <c r="AB20207" s="4" t="s">
        <v>93</v>
      </c>
      <c r="AH20207" s="4" t="str">
        <f>HYPERLINK("#Statut_biogéographique!A"&amp;_xlfn.XMATCH("P",Statut_biogéographique!A:A,2,1),"P")</f>
        <v>P</v>
      </c>
      <c r="AM20207" s="4" t="s">
        <v>375</v>
      </c>
      <c r="AN20207" s="4" t="s">
        <v>375</v>
      </c>
      <c r="AO20207" s="4" t="s">
        <v>375</v>
      </c>
      <c r="AP20207" s="4" t="s">
        <v>389</v>
      </c>
      <c r="AR20207" s="4" t="s">
        <v>377</v>
      </c>
    </row>
    <row r="20208" spans="1:44" ht="45">
      <c r="A20208" s="4" t="s">
        <v>24364</v>
      </c>
      <c r="B20208" s="4">
        <v>107090</v>
      </c>
      <c r="D20208" s="5" t="s">
        <v>25378</v>
      </c>
      <c r="E20208" s="6" t="str">
        <f>HYPERLINK("https://inpn.mnhn.fr/espece/cd_nom/107090","Lysimachia vulgaris L., 1753")</f>
        <v>Lysimachia vulgaris L., 1753</v>
      </c>
      <c r="F20208" s="5" t="s">
        <v>25379</v>
      </c>
      <c r="O20208" s="7" t="str">
        <f>HYPERLINK("#Liste_rouge!A"&amp;_xlfn.XMATCH("LC",Liste_rouge!A:A,2,1),"LC")</f>
        <v>LC</v>
      </c>
      <c r="P20208" s="7" t="str">
        <f>HYPERLINK("#Liste_rouge!A"&amp;_xlfn.XMATCH("LC",Liste_rouge!A:A,2,1),"LC")</f>
        <v>LC</v>
      </c>
      <c r="Q20208" s="7" t="str">
        <f>HYPERLINK("#Liste_rouge!A"&amp;_xlfn.XMATCH("LC",Liste_rouge!A:A,2,1),"LC")</f>
        <v>LC</v>
      </c>
      <c r="T20208" s="7" t="str">
        <f>HYPERLINK("#Liste_rouge!A"&amp;_xlfn.XMATCH("LC",Liste_rouge!A:A,2,1),"LC")</f>
        <v>LC</v>
      </c>
      <c r="V20208" s="7" t="str">
        <f>HYPERLINK("#Liste_rouge!A"&amp;_xlfn.XMATCH("LC",Liste_rouge!A:A,2,1),"LC")</f>
        <v>LC</v>
      </c>
      <c r="AH20208" s="4" t="str">
        <f>HYPERLINK("#Statut_biogéographique!A"&amp;_xlfn.XMATCH("P",Statut_biogéographique!A:A,2,1),"P")</f>
        <v>P</v>
      </c>
      <c r="AM20208" s="4" t="s">
        <v>375</v>
      </c>
      <c r="AN20208" s="4" t="s">
        <v>375</v>
      </c>
      <c r="AO20208" s="4" t="s">
        <v>375</v>
      </c>
      <c r="AP20208" s="4" t="s">
        <v>376</v>
      </c>
      <c r="AR20208" s="4" t="s">
        <v>377</v>
      </c>
    </row>
    <row r="20209" spans="1:44" ht="105">
      <c r="A20209" s="4" t="s">
        <v>24364</v>
      </c>
      <c r="B20209" s="4">
        <v>107097</v>
      </c>
      <c r="D20209" s="5" t="s">
        <v>25380</v>
      </c>
      <c r="E20209" s="6" t="str">
        <f>HYPERLINK("https://inpn.mnhn.fr/espece/cd_nom/107097","Lythrum borysthenicum (Schrank) Litv., 1917")</f>
        <v>Lythrum borysthenicum (Schrank) Litv., 1917</v>
      </c>
      <c r="F20209" s="5" t="s">
        <v>25381</v>
      </c>
      <c r="O20209" s="7" t="str">
        <f>HYPERLINK("#Liste_rouge!A"&amp;_xlfn.XMATCH("LC",Liste_rouge!A:A,2,1),"LC")</f>
        <v>LC</v>
      </c>
      <c r="P20209" s="7" t="str">
        <f>HYPERLINK("#Liste_rouge!A"&amp;_xlfn.XMATCH("LC",Liste_rouge!A:A,2,1),"LC")</f>
        <v>LC</v>
      </c>
      <c r="Q20209" s="7" t="str">
        <f>HYPERLINK("#Liste_rouge!A"&amp;_xlfn.XMATCH("LC",Liste_rouge!A:A,2,1),"LC")</f>
        <v>LC</v>
      </c>
      <c r="T20209" s="7" t="str">
        <f>HYPERLINK("#Liste_rouge!A"&amp;_xlfn.XMATCH("RE",Liste_rouge!A:A,2,1),"RE")</f>
        <v>RE</v>
      </c>
      <c r="AH20209" s="4" t="str">
        <f>HYPERLINK("#Statut_biogéographique!A"&amp;_xlfn.XMATCH("P",Statut_biogéographique!A:A,2,1),"P")</f>
        <v>P</v>
      </c>
      <c r="AM20209" s="4" t="s">
        <v>375</v>
      </c>
      <c r="AN20209" s="4" t="s">
        <v>375</v>
      </c>
      <c r="AO20209" s="4" t="s">
        <v>375</v>
      </c>
      <c r="AP20209" s="4" t="s">
        <v>376</v>
      </c>
      <c r="AR20209" s="4" t="s">
        <v>377</v>
      </c>
    </row>
    <row r="20210" spans="1:44" ht="30">
      <c r="A20210" s="4" t="s">
        <v>24364</v>
      </c>
      <c r="B20210" s="4">
        <v>107106</v>
      </c>
      <c r="D20210" s="5" t="s">
        <v>25382</v>
      </c>
      <c r="E20210" s="6" t="str">
        <f>HYPERLINK("https://inpn.mnhn.fr/espece/cd_nom/107106","Lythrum hyssopifolia L., 1753")</f>
        <v>Lythrum hyssopifolia L., 1753</v>
      </c>
      <c r="F20210" s="5" t="s">
        <v>25383</v>
      </c>
      <c r="O20210" s="7" t="str">
        <f>HYPERLINK("#Liste_rouge!A"&amp;_xlfn.XMATCH("LC",Liste_rouge!A:A,2,1),"LC")</f>
        <v>LC</v>
      </c>
      <c r="P20210" s="7" t="str">
        <f>HYPERLINK("#Liste_rouge!A"&amp;_xlfn.XMATCH("LC",Liste_rouge!A:A,2,1),"LC")</f>
        <v>LC</v>
      </c>
      <c r="Q20210" s="7" t="str">
        <f>HYPERLINK("#Liste_rouge!A"&amp;_xlfn.XMATCH("LC",Liste_rouge!A:A,2,1),"LC")</f>
        <v>LC</v>
      </c>
      <c r="T20210" s="7" t="str">
        <f>HYPERLINK("#Liste_rouge!A"&amp;_xlfn.XMATCH("NT",Liste_rouge!A:A,2,1),"NT")</f>
        <v>NT</v>
      </c>
      <c r="U20210" s="4" t="str">
        <f>HYPERLINK("#Critères_liste_rouge!A$1","pr. B3c(i,ii,iii)")</f>
        <v>pr. B3c(i,ii,iii)</v>
      </c>
      <c r="V20210" s="7" t="str">
        <f>HYPERLINK("#Liste_rouge!A"&amp;_xlfn.XMATCH("LC",Liste_rouge!A:A,2,1),"LC")</f>
        <v>LC</v>
      </c>
      <c r="AB20210" s="4" t="s">
        <v>24447</v>
      </c>
      <c r="AH20210" s="4" t="str">
        <f>HYPERLINK("#Statut_biogéographique!A"&amp;_xlfn.XMATCH("P",Statut_biogéographique!A:A,2,1),"P")</f>
        <v>P</v>
      </c>
      <c r="AM20210" s="4" t="s">
        <v>375</v>
      </c>
      <c r="AN20210" s="4" t="s">
        <v>375</v>
      </c>
      <c r="AO20210" s="4" t="s">
        <v>375</v>
      </c>
      <c r="AP20210" s="4" t="s">
        <v>376</v>
      </c>
      <c r="AR20210" s="4" t="s">
        <v>377</v>
      </c>
    </row>
    <row r="20211" spans="1:44" ht="60">
      <c r="A20211" s="4" t="s">
        <v>24364</v>
      </c>
      <c r="B20211" s="4">
        <v>107115</v>
      </c>
      <c r="D20211" s="5" t="s">
        <v>25384</v>
      </c>
      <c r="E20211" s="6" t="str">
        <f>HYPERLINK("https://inpn.mnhn.fr/espece/cd_nom/107115","Lythrum portula (L.) D.A.Webb, 1967")</f>
        <v>Lythrum portula (L.) D.A.Webb, 1967</v>
      </c>
      <c r="F20211" s="5" t="s">
        <v>25385</v>
      </c>
      <c r="O20211" s="7" t="str">
        <f>HYPERLINK("#Liste_rouge!A"&amp;_xlfn.XMATCH("LC",Liste_rouge!A:A,2,1),"LC")</f>
        <v>LC</v>
      </c>
      <c r="P20211" s="7" t="str">
        <f>HYPERLINK("#Liste_rouge!A"&amp;_xlfn.XMATCH("LC",Liste_rouge!A:A,2,1),"LC")</f>
        <v>LC</v>
      </c>
      <c r="Q20211" s="7" t="str">
        <f>HYPERLINK("#Liste_rouge!A"&amp;_xlfn.XMATCH("LC",Liste_rouge!A:A,2,1),"LC")</f>
        <v>LC</v>
      </c>
      <c r="T20211" s="7" t="str">
        <f>HYPERLINK("#Liste_rouge!A"&amp;_xlfn.XMATCH("LC",Liste_rouge!A:A,2,1),"LC")</f>
        <v>LC</v>
      </c>
      <c r="V20211" s="7" t="str">
        <f>HYPERLINK("#Liste_rouge!A"&amp;_xlfn.XMATCH("LC",Liste_rouge!A:A,2,1),"LC")</f>
        <v>LC</v>
      </c>
      <c r="AH20211" s="4" t="str">
        <f>HYPERLINK("#Statut_biogéographique!A"&amp;_xlfn.XMATCH("P",Statut_biogéographique!A:A,2,1),"P")</f>
        <v>P</v>
      </c>
      <c r="AM20211" s="4" t="s">
        <v>375</v>
      </c>
      <c r="AN20211" s="4" t="s">
        <v>375</v>
      </c>
      <c r="AO20211" s="4" t="s">
        <v>375</v>
      </c>
      <c r="AP20211" s="4" t="s">
        <v>376</v>
      </c>
      <c r="AR20211" s="4" t="s">
        <v>377</v>
      </c>
    </row>
    <row r="20212" spans="1:44" ht="60">
      <c r="A20212" s="4" t="s">
        <v>24364</v>
      </c>
      <c r="B20212" s="4">
        <v>107117</v>
      </c>
      <c r="D20212" s="5" t="s">
        <v>25386</v>
      </c>
      <c r="E20212" s="6" t="str">
        <f>HYPERLINK("https://inpn.mnhn.fr/espece/cd_nom/107117","Lythrum salicaria L., 1753")</f>
        <v>Lythrum salicaria L., 1753</v>
      </c>
      <c r="F20212" s="5" t="s">
        <v>25387</v>
      </c>
      <c r="O20212" s="7" t="str">
        <f>HYPERLINK("#Liste_rouge!A"&amp;_xlfn.XMATCH("LC",Liste_rouge!A:A,2,1),"LC")</f>
        <v>LC</v>
      </c>
      <c r="P20212" s="7" t="str">
        <f>HYPERLINK("#Liste_rouge!A"&amp;_xlfn.XMATCH("LC",Liste_rouge!A:A,2,1),"LC")</f>
        <v>LC</v>
      </c>
      <c r="Q20212" s="7" t="str">
        <f>HYPERLINK("#Liste_rouge!A"&amp;_xlfn.XMATCH("LC",Liste_rouge!A:A,2,1),"LC")</f>
        <v>LC</v>
      </c>
      <c r="T20212" s="7" t="str">
        <f>HYPERLINK("#Liste_rouge!A"&amp;_xlfn.XMATCH("LC",Liste_rouge!A:A,2,1),"LC")</f>
        <v>LC</v>
      </c>
      <c r="V20212" s="7" t="str">
        <f>HYPERLINK("#Liste_rouge!A"&amp;_xlfn.XMATCH("LC",Liste_rouge!A:A,2,1),"LC")</f>
        <v>LC</v>
      </c>
      <c r="AH20212" s="4" t="str">
        <f>HYPERLINK("#Statut_biogéographique!A"&amp;_xlfn.XMATCH("P",Statut_biogéographique!A:A,2,1),"P")</f>
        <v>P</v>
      </c>
      <c r="AM20212" s="4" t="s">
        <v>375</v>
      </c>
      <c r="AN20212" s="4" t="s">
        <v>375</v>
      </c>
      <c r="AO20212" s="4" t="s">
        <v>375</v>
      </c>
      <c r="AP20212" s="4" t="s">
        <v>376</v>
      </c>
      <c r="AR20212" s="4" t="s">
        <v>377</v>
      </c>
    </row>
    <row r="20213" spans="1:44" ht="45">
      <c r="A20213" s="4" t="s">
        <v>24364</v>
      </c>
      <c r="B20213" s="4">
        <v>107125</v>
      </c>
      <c r="D20213" s="5" t="s">
        <v>25388</v>
      </c>
      <c r="E20213" s="6" t="str">
        <f>HYPERLINK("https://inpn.mnhn.fr/espece/cd_nom/107125","Lythrum tribracteatum Salzm. ex Spreng., 1827")</f>
        <v>Lythrum tribracteatum Salzm. ex Spreng., 1827</v>
      </c>
      <c r="F20213" s="5" t="s">
        <v>25389</v>
      </c>
      <c r="L20213" s="4" t="str">
        <f>HYPERLINK("#Réglementation!A"&amp;_xlfn.XMATCH("NV1",Réglementation!A:A,2,1),"NV1")</f>
        <v>NV1</v>
      </c>
      <c r="O20213" s="7" t="str">
        <f>HYPERLINK("#Liste_rouge!A"&amp;_xlfn.XMATCH("LC",Liste_rouge!A:A,2,1),"LC")</f>
        <v>LC</v>
      </c>
      <c r="P20213" s="7" t="str">
        <f>HYPERLINK("#Liste_rouge!A"&amp;_xlfn.XMATCH("LC",Liste_rouge!A:A,2,1),"LC")</f>
        <v>LC</v>
      </c>
      <c r="Q20213" s="7" t="str">
        <f>HYPERLINK("#Liste_rouge!A"&amp;_xlfn.XMATCH("LC",Liste_rouge!A:A,2,1),"LC")</f>
        <v>LC</v>
      </c>
      <c r="T20213" s="7" t="str">
        <f>HYPERLINK("#Liste_rouge!A"&amp;_xlfn.XMATCH("RE",Liste_rouge!A:A,2,1),"RE")</f>
        <v>RE</v>
      </c>
      <c r="AH20213" s="4" t="str">
        <f>HYPERLINK("#Statut_biogéographique!A"&amp;_xlfn.XMATCH("P",Statut_biogéographique!A:A,2,1),"P")</f>
        <v>P</v>
      </c>
      <c r="AM20213" s="4" t="s">
        <v>375</v>
      </c>
      <c r="AN20213" s="4" t="s">
        <v>375</v>
      </c>
      <c r="AO20213" s="4" t="s">
        <v>375</v>
      </c>
      <c r="AP20213" s="4" t="s">
        <v>376</v>
      </c>
      <c r="AR20213" s="4" t="s">
        <v>377</v>
      </c>
    </row>
    <row r="20214" spans="1:44" ht="30">
      <c r="A20214" s="4" t="s">
        <v>24364</v>
      </c>
      <c r="B20214" s="4">
        <v>107141</v>
      </c>
      <c r="D20214" s="5" t="s">
        <v>25390</v>
      </c>
      <c r="E20214" s="6" t="str">
        <f>HYPERLINK("https://inpn.mnhn.fr/espece/cd_nom/107141","Magnolia grandiflora L., 1759")</f>
        <v>Magnolia grandiflora L., 1759</v>
      </c>
      <c r="F20214" s="5" t="s">
        <v>25391</v>
      </c>
      <c r="O20214" s="7" t="str">
        <f>HYPERLINK("#Liste_rouge!A"&amp;_xlfn.XMATCH("LC",Liste_rouge!A:A,2,1),"LC")</f>
        <v>LC</v>
      </c>
      <c r="Q20214" s="7" t="str">
        <f>HYPERLINK("#Liste_rouge!A"&amp;_xlfn.XMATCH("NA",Liste_rouge!A:A,2,1),"NA")</f>
        <v>NA</v>
      </c>
      <c r="T20214" s="7" t="str">
        <f>HYPERLINK("#Liste_rouge!A"&amp;_xlfn.XMATCH("NA",Liste_rouge!A:A,2,1),"NA")</f>
        <v>NA</v>
      </c>
      <c r="AH20214" s="4" t="str">
        <f>HYPERLINK("#Statut_biogéographique!A"&amp;_xlfn.XMATCH("M",Statut_biogéographique!A:A,2,1),"M")</f>
        <v>M</v>
      </c>
      <c r="AP20214" s="4" t="s">
        <v>376</v>
      </c>
      <c r="AR20214" s="4" t="s">
        <v>377</v>
      </c>
    </row>
    <row r="20215" spans="1:44" ht="45">
      <c r="A20215" s="4" t="s">
        <v>24364</v>
      </c>
      <c r="B20215" s="4">
        <v>107158</v>
      </c>
      <c r="D20215" s="5" t="s">
        <v>25392</v>
      </c>
      <c r="E20215" s="6" t="str">
        <f>HYPERLINK("https://inpn.mnhn.fr/espece/cd_nom/107158","Maianthemum bifolium (L.) F.W.Schmidt, 1794")</f>
        <v>Maianthemum bifolium (L.) F.W.Schmidt, 1794</v>
      </c>
      <c r="F20215" s="5" t="s">
        <v>25393</v>
      </c>
      <c r="Q20215" s="7" t="str">
        <f>HYPERLINK("#Liste_rouge!A"&amp;_xlfn.XMATCH("LC",Liste_rouge!A:A,2,1),"LC")</f>
        <v>LC</v>
      </c>
      <c r="T20215" s="7" t="str">
        <f>HYPERLINK("#Liste_rouge!A"&amp;_xlfn.XMATCH("LC",Liste_rouge!A:A,2,1),"LC")</f>
        <v>LC</v>
      </c>
      <c r="V20215" s="7" t="str">
        <f>HYPERLINK("#Liste_rouge!A"&amp;_xlfn.XMATCH("LC",Liste_rouge!A:A,2,1),"LC")</f>
        <v>LC</v>
      </c>
      <c r="AB20215" s="4" t="s">
        <v>24803</v>
      </c>
      <c r="AH20215" s="4" t="str">
        <f>HYPERLINK("#Statut_biogéographique!A"&amp;_xlfn.XMATCH("P",Statut_biogéographique!A:A,2,1),"P")</f>
        <v>P</v>
      </c>
      <c r="AM20215" s="4" t="s">
        <v>375</v>
      </c>
      <c r="AN20215" s="4" t="s">
        <v>375</v>
      </c>
      <c r="AO20215" s="4" t="s">
        <v>375</v>
      </c>
      <c r="AP20215" s="4" t="s">
        <v>376</v>
      </c>
      <c r="AR20215" s="4" t="s">
        <v>377</v>
      </c>
    </row>
    <row r="20216" spans="1:44" ht="30">
      <c r="A20216" s="4" t="s">
        <v>24364</v>
      </c>
      <c r="B20216" s="4">
        <v>107186</v>
      </c>
      <c r="D20216" s="5" t="s">
        <v>25394</v>
      </c>
      <c r="E20216" s="6" t="str">
        <f>HYPERLINK("https://inpn.mnhn.fr/espece/cd_nom/107186","Malcolmia maritima (L.) W.T.Aiton, 1812")</f>
        <v>Malcolmia maritima (L.) W.T.Aiton, 1812</v>
      </c>
      <c r="F20216" s="5" t="s">
        <v>25395</v>
      </c>
      <c r="T20216" s="7" t="str">
        <f>HYPERLINK("#Liste_rouge!A"&amp;_xlfn.XMATCH("NA",Liste_rouge!A:A,2,1),"NA")</f>
        <v>NA</v>
      </c>
      <c r="AH20216" s="4" t="str">
        <f>HYPERLINK("#Statut_biogéographique!A"&amp;_xlfn.XMATCH("Q",Statut_biogéographique!A:A,2,1),"Q")</f>
        <v>Q</v>
      </c>
      <c r="AP20216" s="4" t="s">
        <v>376</v>
      </c>
      <c r="AR20216" s="4" t="s">
        <v>377</v>
      </c>
    </row>
    <row r="20217" spans="1:44" ht="30">
      <c r="A20217" s="4" t="s">
        <v>24364</v>
      </c>
      <c r="B20217" s="4">
        <v>107197</v>
      </c>
      <c r="D20217" s="5" t="s">
        <v>25396</v>
      </c>
      <c r="E20217" s="6" t="str">
        <f>HYPERLINK("https://inpn.mnhn.fr/espece/cd_nom/107197","Malope malacoides L., 1753")</f>
        <v>Malope malacoides L., 1753</v>
      </c>
      <c r="F20217" s="5" t="s">
        <v>25397</v>
      </c>
      <c r="Q20217" s="7" t="str">
        <f>HYPERLINK("#Liste_rouge!A"&amp;_xlfn.XMATCH("NA",Liste_rouge!A:A,2,1),"NA")</f>
        <v>NA</v>
      </c>
      <c r="T20217" s="7" t="str">
        <f>HYPERLINK("#Liste_rouge!A"&amp;_xlfn.XMATCH("NA",Liste_rouge!A:A,2,1),"NA")</f>
        <v>NA</v>
      </c>
      <c r="AH20217" s="4" t="str">
        <f>HYPERLINK("#Statut_biogéographique!A"&amp;_xlfn.XMATCH("I",Statut_biogéographique!A:A,2,1),"I")</f>
        <v>I</v>
      </c>
      <c r="AP20217" s="4" t="s">
        <v>376</v>
      </c>
      <c r="AR20217" s="4" t="s">
        <v>377</v>
      </c>
    </row>
    <row r="20218" spans="1:44" ht="90">
      <c r="A20218" s="4" t="s">
        <v>24364</v>
      </c>
      <c r="B20218" s="4">
        <v>107207</v>
      </c>
      <c r="D20218" s="5" t="s">
        <v>25398</v>
      </c>
      <c r="E20218" s="6" t="str">
        <f>HYPERLINK("https://inpn.mnhn.fr/espece/cd_nom/107207","Malus domestica (Suckow) Borkh., 1803 [nom. cons.]")</f>
        <v>Malus domestica (Suckow) Borkh., 1803 [nom. cons.]</v>
      </c>
      <c r="F20218" s="5" t="s">
        <v>25399</v>
      </c>
      <c r="O20218" s="7" t="str">
        <f>HYPERLINK("#Liste_rouge!A"&amp;_xlfn.XMATCH("DD",Liste_rouge!A:A,2,1),"DD")</f>
        <v>DD</v>
      </c>
      <c r="Q20218" s="7" t="str">
        <f>HYPERLINK("#Liste_rouge!A"&amp;_xlfn.XMATCH("NA",Liste_rouge!A:A,2,1),"NA")</f>
        <v>NA</v>
      </c>
      <c r="T20218" s="7" t="str">
        <f>HYPERLINK("#Liste_rouge!A"&amp;_xlfn.XMATCH("NA",Liste_rouge!A:A,2,1),"NA")</f>
        <v>NA</v>
      </c>
      <c r="AH20218" s="4" t="str">
        <f>HYPERLINK("#Statut_biogéographique!A"&amp;_xlfn.XMATCH("M",Statut_biogéographique!A:A,2,1),"M")</f>
        <v>M</v>
      </c>
      <c r="AP20218" s="4" t="s">
        <v>376</v>
      </c>
      <c r="AR20218" s="4" t="s">
        <v>377</v>
      </c>
    </row>
    <row r="20219" spans="1:44" ht="45">
      <c r="A20219" s="4" t="s">
        <v>24364</v>
      </c>
      <c r="B20219" s="4">
        <v>107217</v>
      </c>
      <c r="D20219" s="5" t="s">
        <v>25400</v>
      </c>
      <c r="E20219" s="6" t="str">
        <f>HYPERLINK("https://inpn.mnhn.fr/espece/cd_nom/107217","Malus sylvestris (L.) Mill., 1768")</f>
        <v>Malus sylvestris (L.) Mill., 1768</v>
      </c>
      <c r="F20219" s="5" t="s">
        <v>25401</v>
      </c>
      <c r="O20219" s="7" t="str">
        <f>HYPERLINK("#Liste_rouge!A"&amp;_xlfn.XMATCH("DD",Liste_rouge!A:A,2,1),"DD")</f>
        <v>DD</v>
      </c>
      <c r="P20219" s="7" t="str">
        <f>HYPERLINK("#Liste_rouge!A"&amp;_xlfn.XMATCH("DD",Liste_rouge!A:A,2,1),"DD")</f>
        <v>DD</v>
      </c>
      <c r="Q20219" s="7" t="str">
        <f>HYPERLINK("#Liste_rouge!A"&amp;_xlfn.XMATCH("LC",Liste_rouge!A:A,2,1),"LC")</f>
        <v>LC</v>
      </c>
      <c r="T20219" s="7" t="str">
        <f>HYPERLINK("#Liste_rouge!A"&amp;_xlfn.XMATCH("LC",Liste_rouge!A:A,2,1),"LC")</f>
        <v>LC</v>
      </c>
      <c r="V20219" s="7" t="str">
        <f>HYPERLINK("#Liste_rouge!A"&amp;_xlfn.XMATCH("LC",Liste_rouge!A:A,2,1),"LC")</f>
        <v>LC</v>
      </c>
      <c r="AH20219" s="4" t="str">
        <f>HYPERLINK("#Statut_biogéographique!A"&amp;_xlfn.XMATCH("P",Statut_biogéographique!A:A,2,1),"P")</f>
        <v>P</v>
      </c>
      <c r="AM20219" s="4" t="s">
        <v>375</v>
      </c>
      <c r="AN20219" s="4" t="s">
        <v>375</v>
      </c>
      <c r="AO20219" s="4" t="s">
        <v>375</v>
      </c>
      <c r="AP20219" s="4" t="s">
        <v>376</v>
      </c>
      <c r="AR20219" s="4" t="s">
        <v>377</v>
      </c>
    </row>
    <row r="20220" spans="1:44" ht="105">
      <c r="A20220" s="4" t="s">
        <v>24364</v>
      </c>
      <c r="B20220" s="4">
        <v>107224</v>
      </c>
      <c r="D20220" s="5" t="s">
        <v>25402</v>
      </c>
      <c r="E20220" s="6" t="str">
        <f>HYPERLINK("https://inpn.mnhn.fr/espece/cd_nom/107224","Malva alcea L., 1753")</f>
        <v>Malva alcea L., 1753</v>
      </c>
      <c r="F20220" s="5" t="s">
        <v>25403</v>
      </c>
      <c r="Q20220" s="7" t="str">
        <f>HYPERLINK("#Liste_rouge!A"&amp;_xlfn.XMATCH("LC",Liste_rouge!A:A,2,1),"LC")</f>
        <v>LC</v>
      </c>
      <c r="T20220" s="7" t="str">
        <f>HYPERLINK("#Liste_rouge!A"&amp;_xlfn.XMATCH("DD",Liste_rouge!A:A,2,1),"DD (cd_nom 137563) - LC (cd_nom 107224)")</f>
        <v>DD (cd_nom 137563) - LC (cd_nom 107224)</v>
      </c>
      <c r="V20220" s="7" t="str">
        <f>HYPERLINK("#Liste_rouge!A"&amp;_xlfn.XMATCH("LC",Liste_rouge!A:A,2,1),"LC")</f>
        <v>LC</v>
      </c>
      <c r="AH20220" s="4" t="str">
        <f>HYPERLINK("#Statut_biogéographique!A"&amp;_xlfn.XMATCH("P",Statut_biogéographique!A:A,2,1),"P")</f>
        <v>P</v>
      </c>
      <c r="AM20220" s="4" t="s">
        <v>375</v>
      </c>
      <c r="AN20220" s="4" t="s">
        <v>375</v>
      </c>
      <c r="AO20220" s="4" t="s">
        <v>375</v>
      </c>
      <c r="AP20220" s="4" t="s">
        <v>376</v>
      </c>
      <c r="AR20220" s="4" t="s">
        <v>377</v>
      </c>
    </row>
    <row r="20221" spans="1:44" ht="60">
      <c r="A20221" s="4" t="s">
        <v>24364</v>
      </c>
      <c r="B20221" s="4">
        <v>107282</v>
      </c>
      <c r="D20221" s="5" t="s">
        <v>25404</v>
      </c>
      <c r="E20221" s="6" t="str">
        <f>HYPERLINK("https://inpn.mnhn.fr/espece/cd_nom/107282","Malva moschata L., 1753")</f>
        <v>Malva moschata L., 1753</v>
      </c>
      <c r="F20221" s="5" t="s">
        <v>25405</v>
      </c>
      <c r="Q20221" s="7" t="str">
        <f>HYPERLINK("#Liste_rouge!A"&amp;_xlfn.XMATCH("LC",Liste_rouge!A:A,2,1),"LC")</f>
        <v>LC</v>
      </c>
      <c r="T20221" s="7" t="str">
        <f>HYPERLINK("#Liste_rouge!A"&amp;_xlfn.XMATCH("LC",Liste_rouge!A:A,2,1),"LC")</f>
        <v>LC</v>
      </c>
      <c r="V20221" s="7" t="str">
        <f>HYPERLINK("#Liste_rouge!A"&amp;_xlfn.XMATCH("LC",Liste_rouge!A:A,2,1),"LC")</f>
        <v>LC</v>
      </c>
      <c r="AH20221" s="4" t="str">
        <f>HYPERLINK("#Statut_biogéographique!A"&amp;_xlfn.XMATCH("P",Statut_biogéographique!A:A,2,1),"P")</f>
        <v>P</v>
      </c>
      <c r="AM20221" s="4" t="s">
        <v>375</v>
      </c>
      <c r="AN20221" s="4" t="s">
        <v>375</v>
      </c>
      <c r="AO20221" s="4" t="s">
        <v>375</v>
      </c>
      <c r="AP20221" s="4" t="s">
        <v>376</v>
      </c>
      <c r="AR20221" s="4" t="s">
        <v>377</v>
      </c>
    </row>
    <row r="20222" spans="1:44" ht="30">
      <c r="A20222" s="4" t="s">
        <v>24364</v>
      </c>
      <c r="B20222" s="4">
        <v>107284</v>
      </c>
      <c r="D20222" s="5" t="s">
        <v>25406</v>
      </c>
      <c r="E20222" s="6" t="str">
        <f>HYPERLINK("https://inpn.mnhn.fr/espece/cd_nom/107284","Malva neglecta Wallr., 1824")</f>
        <v>Malva neglecta Wallr., 1824</v>
      </c>
      <c r="F20222" s="5" t="s">
        <v>25407</v>
      </c>
      <c r="P20222" s="7" t="str">
        <f>HYPERLINK("#Liste_rouge!A"&amp;_xlfn.XMATCH("LC",Liste_rouge!A:A,2,1),"LC")</f>
        <v>LC</v>
      </c>
      <c r="Q20222" s="7" t="str">
        <f>HYPERLINK("#Liste_rouge!A"&amp;_xlfn.XMATCH("LC",Liste_rouge!A:A,2,1),"LC")</f>
        <v>LC</v>
      </c>
      <c r="T20222" s="7" t="str">
        <f>HYPERLINK("#Liste_rouge!A"&amp;_xlfn.XMATCH("LC",Liste_rouge!A:A,2,1),"LC")</f>
        <v>LC</v>
      </c>
      <c r="V20222" s="7" t="str">
        <f>HYPERLINK("#Liste_rouge!A"&amp;_xlfn.XMATCH("LC",Liste_rouge!A:A,2,1),"LC")</f>
        <v>LC</v>
      </c>
      <c r="AH20222" s="4" t="str">
        <f>HYPERLINK("#Statut_biogéographique!A"&amp;_xlfn.XMATCH("P",Statut_biogéographique!A:A,2,1),"P")</f>
        <v>P</v>
      </c>
      <c r="AM20222" s="4" t="s">
        <v>375</v>
      </c>
      <c r="AN20222" s="4" t="s">
        <v>375</v>
      </c>
      <c r="AO20222" s="4" t="s">
        <v>375</v>
      </c>
      <c r="AP20222" s="4" t="s">
        <v>376</v>
      </c>
      <c r="AR20222" s="4" t="s">
        <v>377</v>
      </c>
    </row>
    <row r="20223" spans="1:44" ht="30">
      <c r="A20223" s="4" t="s">
        <v>24364</v>
      </c>
      <c r="B20223" s="4">
        <v>107286</v>
      </c>
      <c r="D20223" s="5" t="s">
        <v>25408</v>
      </c>
      <c r="E20223" s="6" t="str">
        <f>HYPERLINK("https://inpn.mnhn.fr/espece/cd_nom/107286","Malva nicaeensis All., 1785")</f>
        <v>Malva nicaeensis All., 1785</v>
      </c>
      <c r="F20223" s="5" t="s">
        <v>25409</v>
      </c>
      <c r="Q20223" s="7" t="str">
        <f>HYPERLINK("#Liste_rouge!A"&amp;_xlfn.XMATCH("LC",Liste_rouge!A:A,2,1),"LC")</f>
        <v>LC</v>
      </c>
      <c r="T20223" s="7" t="str">
        <f>HYPERLINK("#Liste_rouge!A"&amp;_xlfn.XMATCH("NA",Liste_rouge!A:A,2,1),"NA")</f>
        <v>NA</v>
      </c>
      <c r="AH20223" s="4" t="str">
        <f>HYPERLINK("#Statut_biogéographique!A"&amp;_xlfn.XMATCH("P",Statut_biogéographique!A:A,2,1),"P")</f>
        <v>P</v>
      </c>
      <c r="AP20223" s="4" t="s">
        <v>376</v>
      </c>
      <c r="AR20223" s="4" t="s">
        <v>377</v>
      </c>
    </row>
    <row r="20224" spans="1:44" ht="60">
      <c r="A20224" s="4" t="s">
        <v>24364</v>
      </c>
      <c r="B20224" s="4">
        <v>107295</v>
      </c>
      <c r="D20224" s="5" t="s">
        <v>25410</v>
      </c>
      <c r="E20224" s="6" t="str">
        <f>HYPERLINK("https://inpn.mnhn.fr/espece/cd_nom/107295","Malva parviflora L., 1753")</f>
        <v>Malva parviflora L., 1753</v>
      </c>
      <c r="F20224" s="5" t="s">
        <v>25411</v>
      </c>
      <c r="Q20224" s="7" t="str">
        <f>HYPERLINK("#Liste_rouge!A"&amp;_xlfn.XMATCH("LC",Liste_rouge!A:A,2,1),"LC")</f>
        <v>LC</v>
      </c>
      <c r="T20224" s="7" t="str">
        <f>HYPERLINK("#Liste_rouge!A"&amp;_xlfn.XMATCH("NA",Liste_rouge!A:A,2,1),"NA")</f>
        <v>NA</v>
      </c>
      <c r="AH20224" s="4" t="str">
        <f>HYPERLINK("#Statut_biogéographique!A"&amp;_xlfn.XMATCH("P",Statut_biogéographique!A:A,2,1),"P")</f>
        <v>P</v>
      </c>
      <c r="AP20224" s="4" t="s">
        <v>376</v>
      </c>
      <c r="AR20224" s="4" t="s">
        <v>377</v>
      </c>
    </row>
    <row r="20225" spans="1:44" ht="30">
      <c r="A20225" s="4" t="s">
        <v>24364</v>
      </c>
      <c r="B20225" s="4">
        <v>107303</v>
      </c>
      <c r="D20225" s="5" t="s">
        <v>25412</v>
      </c>
      <c r="E20225" s="6" t="str">
        <f>HYPERLINK("https://inpn.mnhn.fr/espece/cd_nom/107303","Malva pusilla Sm., 1795")</f>
        <v>Malva pusilla Sm., 1795</v>
      </c>
      <c r="F20225" s="5" t="s">
        <v>25413</v>
      </c>
      <c r="T20225" s="7" t="str">
        <f>HYPERLINK("#Liste_rouge!A"&amp;_xlfn.XMATCH("NA",Liste_rouge!A:A,2,1),"NA")</f>
        <v>NA</v>
      </c>
      <c r="AH20225" s="4" t="str">
        <f>HYPERLINK("#Statut_biogéographique!A"&amp;_xlfn.XMATCH("M",Statut_biogéographique!A:A,2,1),"M")</f>
        <v>M</v>
      </c>
      <c r="AP20225" s="4" t="s">
        <v>376</v>
      </c>
      <c r="AR20225" s="4" t="s">
        <v>377</v>
      </c>
    </row>
    <row r="20226" spans="1:44" ht="30">
      <c r="A20226" s="4" t="s">
        <v>24364</v>
      </c>
      <c r="B20226" s="4">
        <v>107313</v>
      </c>
      <c r="D20226" s="5" t="s">
        <v>25414</v>
      </c>
      <c r="E20226" s="6" t="str">
        <f>HYPERLINK("https://inpn.mnhn.fr/espece/cd_nom/107313","Malva setigera K.F.Schimp. &amp; Spenn., 1829")</f>
        <v>Malva setigera K.F.Schimp. &amp; Spenn., 1829</v>
      </c>
      <c r="F20226" s="5" t="s">
        <v>25415</v>
      </c>
      <c r="Q20226" s="7" t="str">
        <f>HYPERLINK("#Liste_rouge!A"&amp;_xlfn.XMATCH("LC",Liste_rouge!A:A,2,1),"LC")</f>
        <v>LC</v>
      </c>
      <c r="T20226" s="7" t="str">
        <f>HYPERLINK("#Liste_rouge!A"&amp;_xlfn.XMATCH("LC",Liste_rouge!A:A,2,1),"LC")</f>
        <v>LC</v>
      </c>
      <c r="V20226" s="7" t="str">
        <f>HYPERLINK("#Liste_rouge!A"&amp;_xlfn.XMATCH("LC",Liste_rouge!A:A,2,1),"LC")</f>
        <v>LC</v>
      </c>
      <c r="AB20226" s="4" t="s">
        <v>24447</v>
      </c>
      <c r="AH20226" s="4" t="str">
        <f>HYPERLINK("#Statut_biogéographique!A"&amp;_xlfn.XMATCH("P",Statut_biogéographique!A:A,2,1),"P")</f>
        <v>P</v>
      </c>
      <c r="AM20226" s="4" t="s">
        <v>375</v>
      </c>
      <c r="AN20226" s="4" t="s">
        <v>375</v>
      </c>
      <c r="AO20226" s="4" t="s">
        <v>375</v>
      </c>
      <c r="AP20226" s="4" t="s">
        <v>376</v>
      </c>
      <c r="AR20226" s="4" t="s">
        <v>377</v>
      </c>
    </row>
    <row r="20227" spans="1:44" ht="105">
      <c r="A20227" s="4" t="s">
        <v>24364</v>
      </c>
      <c r="B20227" s="4">
        <v>107318</v>
      </c>
      <c r="D20227" s="5" t="s">
        <v>25416</v>
      </c>
      <c r="E20227" s="6" t="str">
        <f>HYPERLINK("https://inpn.mnhn.fr/espece/cd_nom/107318","Malva sylvestris L., 1753")</f>
        <v>Malva sylvestris L., 1753</v>
      </c>
      <c r="F20227" s="5" t="s">
        <v>25417</v>
      </c>
      <c r="P20227" s="7" t="str">
        <f>HYPERLINK("#Liste_rouge!A"&amp;_xlfn.XMATCH("LC",Liste_rouge!A:A,2,1),"LC")</f>
        <v>LC</v>
      </c>
      <c r="Q20227" s="7" t="str">
        <f>HYPERLINK("#Liste_rouge!A"&amp;_xlfn.XMATCH("LC",Liste_rouge!A:A,2,1),"LC")</f>
        <v>LC</v>
      </c>
      <c r="T20227" s="7" t="str">
        <f>HYPERLINK("#Liste_rouge!A"&amp;_xlfn.XMATCH("LC",Liste_rouge!A:A,2,1),"LC")</f>
        <v>LC</v>
      </c>
      <c r="V20227" s="7" t="str">
        <f>HYPERLINK("#Liste_rouge!A"&amp;_xlfn.XMATCH("LC",Liste_rouge!A:A,2,1),"LC")</f>
        <v>LC</v>
      </c>
      <c r="AH20227" s="4" t="str">
        <f>HYPERLINK("#Statut_biogéographique!A"&amp;_xlfn.XMATCH("P",Statut_biogéographique!A:A,2,1),"P")</f>
        <v>P</v>
      </c>
      <c r="AM20227" s="4" t="s">
        <v>375</v>
      </c>
      <c r="AN20227" s="4" t="s">
        <v>375</v>
      </c>
      <c r="AO20227" s="4" t="s">
        <v>375</v>
      </c>
      <c r="AP20227" s="4" t="s">
        <v>376</v>
      </c>
      <c r="AR20227" s="4" t="s">
        <v>377</v>
      </c>
    </row>
    <row r="20228" spans="1:44" ht="30">
      <c r="A20228" s="4" t="s">
        <v>24364</v>
      </c>
      <c r="B20228" s="4">
        <v>107324</v>
      </c>
      <c r="D20228" s="5" t="s">
        <v>25418</v>
      </c>
      <c r="E20228" s="6" t="str">
        <f>HYPERLINK("https://inpn.mnhn.fr/espece/cd_nom/107324","Malva verticillata L., 1753")</f>
        <v>Malva verticillata L., 1753</v>
      </c>
      <c r="F20228" s="5" t="s">
        <v>25419</v>
      </c>
      <c r="T20228" s="7" t="str">
        <f>HYPERLINK("#Liste_rouge!A"&amp;_xlfn.XMATCH("NA",Liste_rouge!A:A,2,1),"NA")</f>
        <v>NA</v>
      </c>
      <c r="AH20228" s="4" t="str">
        <f>HYPERLINK("#Statut_biogéographique!A"&amp;_xlfn.XMATCH("M",Statut_biogéographique!A:A,2,1),"M")</f>
        <v>M</v>
      </c>
      <c r="AP20228" s="4" t="s">
        <v>376</v>
      </c>
      <c r="AR20228" s="4" t="s">
        <v>377</v>
      </c>
    </row>
    <row r="20229" spans="1:44">
      <c r="A20229" s="4" t="s">
        <v>24364</v>
      </c>
      <c r="B20229" s="4">
        <v>107337</v>
      </c>
      <c r="D20229" s="5" t="s">
        <v>25420</v>
      </c>
      <c r="E20229" s="6" t="str">
        <f>HYPERLINK("https://inpn.mnhn.fr/espece/cd_nom/107337","Malva x intermedia Boreau, 1849")</f>
        <v>Malva x intermedia Boreau, 1849</v>
      </c>
      <c r="F20229" s="5" t="s">
        <v>25421</v>
      </c>
      <c r="T20229" s="7" t="str">
        <f>HYPERLINK("#Liste_rouge!A"&amp;_xlfn.XMATCH("NE",Liste_rouge!A:A,2,1),"NE")</f>
        <v>NE</v>
      </c>
      <c r="AH20229" s="4" t="str">
        <f>HYPERLINK("#Statut_biogéographique!A"&amp;_xlfn.XMATCH("P",Statut_biogéographique!A:A,2,1),"P")</f>
        <v>P</v>
      </c>
      <c r="AP20229" s="4" t="s">
        <v>376</v>
      </c>
      <c r="AR20229" s="4" t="s">
        <v>377</v>
      </c>
    </row>
    <row r="20230" spans="1:44" ht="45">
      <c r="A20230" s="4" t="s">
        <v>24364</v>
      </c>
      <c r="B20230" s="4">
        <v>107397</v>
      </c>
      <c r="D20230" s="5" t="s">
        <v>25422</v>
      </c>
      <c r="E20230" s="6" t="str">
        <f>HYPERLINK("https://inpn.mnhn.fr/espece/cd_nom/107397","Marrubium vulgare L., 1753")</f>
        <v>Marrubium vulgare L., 1753</v>
      </c>
      <c r="F20230" s="5" t="s">
        <v>25423</v>
      </c>
      <c r="P20230" s="7" t="str">
        <f>HYPERLINK("#Liste_rouge!A"&amp;_xlfn.XMATCH("NT",Liste_rouge!A:A,2,1),"NT")</f>
        <v>NT</v>
      </c>
      <c r="Q20230" s="7" t="str">
        <f>HYPERLINK("#Liste_rouge!A"&amp;_xlfn.XMATCH("LC",Liste_rouge!A:A,2,1),"LC")</f>
        <v>LC</v>
      </c>
      <c r="T20230" s="7" t="str">
        <f>HYPERLINK("#Liste_rouge!A"&amp;_xlfn.XMATCH("EN",Liste_rouge!A:A,2,1),"EN")</f>
        <v>EN</v>
      </c>
      <c r="U20230" s="4" t="str">
        <f>HYPERLINK("#Critères_liste_rouge!A$1","B2ab(ii,iii,iv)")</f>
        <v>B2ab(ii,iii,iv)</v>
      </c>
      <c r="V20230" s="7" t="str">
        <f>HYPERLINK("#Liste_rouge!A"&amp;_xlfn.XMATCH("CR",Liste_rouge!A:A,2,1),"CR")</f>
        <v>CR</v>
      </c>
      <c r="W20230" s="4" t="str">
        <f>HYPERLINK("#Critères_liste_rouge!A$1","D")</f>
        <v>D</v>
      </c>
      <c r="X20230" s="5" t="s">
        <v>374</v>
      </c>
      <c r="AB20230" s="4" t="s">
        <v>93</v>
      </c>
      <c r="AH20230" s="4" t="str">
        <f>HYPERLINK("#Statut_biogéographique!A"&amp;_xlfn.XMATCH("P",Statut_biogéographique!A:A,2,1),"P")</f>
        <v>P</v>
      </c>
      <c r="AM20230" s="4" t="s">
        <v>375</v>
      </c>
      <c r="AN20230" s="4" t="s">
        <v>375</v>
      </c>
      <c r="AO20230" s="4" t="s">
        <v>375</v>
      </c>
      <c r="AP20230" s="4" t="s">
        <v>376</v>
      </c>
      <c r="AR20230" s="4" t="s">
        <v>377</v>
      </c>
    </row>
    <row r="20231" spans="1:44" ht="30">
      <c r="A20231" s="4" t="s">
        <v>24364</v>
      </c>
      <c r="B20231" s="4">
        <v>107407</v>
      </c>
      <c r="D20231" s="5" t="s">
        <v>25424</v>
      </c>
      <c r="E20231" s="6" t="str">
        <f>HYPERLINK("https://inpn.mnhn.fr/espece/cd_nom/107407","Marsilea quadrifolia L., 1753")</f>
        <v>Marsilea quadrifolia L., 1753</v>
      </c>
      <c r="F20231" s="5" t="s">
        <v>25425</v>
      </c>
      <c r="I20231" s="4" t="str">
        <f>HYPERLINK("#Réglementation!A"&amp;_xlfn.XMATCH("IBE1",Réglementation!A:A,2,1),"IBE1")</f>
        <v>IBE1</v>
      </c>
      <c r="K20231" s="4" t="str">
        <f>HYPERLINK("#Réglementation!A"&amp;_xlfn.XMATCH("CDH2",Réglementation!A:A,2,1),"CDH2 - CDH4")</f>
        <v>CDH2 - CDH4</v>
      </c>
      <c r="L20231" s="4" t="str">
        <f>HYPERLINK("#Réglementation!A"&amp;_xlfn.XMATCH("NV1",Réglementation!A:A,2,1),"NV1")</f>
        <v>NV1</v>
      </c>
      <c r="O20231" s="7" t="str">
        <f>HYPERLINK("#Liste_rouge!A"&amp;_xlfn.XMATCH("LC",Liste_rouge!A:A,2,1),"LC")</f>
        <v>LC</v>
      </c>
      <c r="P20231" s="7" t="str">
        <f>HYPERLINK("#Liste_rouge!A"&amp;_xlfn.XMATCH("VU",Liste_rouge!A:A,2,1),"VU")</f>
        <v>VU</v>
      </c>
      <c r="Q20231" s="7" t="str">
        <f>HYPERLINK("#Liste_rouge!A"&amp;_xlfn.XMATCH("NT",Liste_rouge!A:A,2,1),"NT")</f>
        <v>NT</v>
      </c>
      <c r="T20231" s="7" t="str">
        <f>HYPERLINK("#Liste_rouge!A"&amp;_xlfn.XMATCH("EN",Liste_rouge!A:A,2,1),"EN")</f>
        <v>EN</v>
      </c>
      <c r="U20231" s="4" t="str">
        <f>HYPERLINK("#Critères_liste_rouge!A$1","B2a")</f>
        <v>B2a</v>
      </c>
      <c r="V20231" s="7" t="str">
        <f>HYPERLINK("#Liste_rouge!A"&amp;_xlfn.XMATCH("EN",Liste_rouge!A:A,2,1),"EN")</f>
        <v>EN</v>
      </c>
      <c r="W20231" s="4" t="str">
        <f>HYPERLINK("#Critères_liste_rouge!A$1","B2b(iii)c(iv)")</f>
        <v>B2b(iii)c(iv)</v>
      </c>
      <c r="X20231" s="5" t="s">
        <v>374</v>
      </c>
      <c r="AB20231" s="4" t="s">
        <v>93</v>
      </c>
      <c r="AE20231" s="4" t="str">
        <f>HYPERLINK("#SCAP!A"&amp;_xlfn.XMATCH("1+",SCAP!A:A,2,1),"1+")</f>
        <v>1+</v>
      </c>
      <c r="AF20231" s="4" t="str">
        <f>HYPERLINK("#SCAP!A"&amp;_xlfn.XMATCH("2+",SCAP!A:A,2,1),"2+")</f>
        <v>2+</v>
      </c>
      <c r="AG20231" s="4" t="str">
        <f>HYPERLINK("#SCAP!A"&amp;_xlfn.XMATCH("2+",SCAP!A:A,2,1),"2+")</f>
        <v>2+</v>
      </c>
      <c r="AH20231" s="4" t="str">
        <f>HYPERLINK("#Statut_biogéographique!A"&amp;_xlfn.XMATCH("P",Statut_biogéographique!A:A,2,1),"P")</f>
        <v>P</v>
      </c>
      <c r="AM20231" s="4" t="s">
        <v>375</v>
      </c>
      <c r="AN20231" s="4" t="s">
        <v>375</v>
      </c>
      <c r="AO20231" s="4" t="s">
        <v>375</v>
      </c>
      <c r="AP20231" s="4" t="s">
        <v>376</v>
      </c>
      <c r="AR20231" s="4" t="s">
        <v>377</v>
      </c>
    </row>
    <row r="20232" spans="1:44" ht="60">
      <c r="A20232" s="4" t="s">
        <v>24364</v>
      </c>
      <c r="B20232" s="4">
        <v>107440</v>
      </c>
      <c r="D20232" s="5" t="s">
        <v>25426</v>
      </c>
      <c r="E20232" s="6" t="str">
        <f>HYPERLINK("https://inpn.mnhn.fr/espece/cd_nom/107440","Matricaria chamomilla L., 1753")</f>
        <v>Matricaria chamomilla L., 1753</v>
      </c>
      <c r="F20232" s="5" t="s">
        <v>25427</v>
      </c>
      <c r="P20232" s="7" t="str">
        <f>HYPERLINK("#Liste_rouge!A"&amp;_xlfn.XMATCH("LC",Liste_rouge!A:A,2,1),"LC")</f>
        <v>LC</v>
      </c>
      <c r="Q20232" s="7" t="str">
        <f>HYPERLINK("#Liste_rouge!A"&amp;_xlfn.XMATCH("LC",Liste_rouge!A:A,2,1),"LC")</f>
        <v>LC</v>
      </c>
      <c r="T20232" s="7" t="str">
        <f>HYPERLINK("#Liste_rouge!A"&amp;_xlfn.XMATCH("LC",Liste_rouge!A:A,2,1),"LC (cd_nom 107440) - DD (cd_nom 148507)")</f>
        <v>LC (cd_nom 107440) - DD (cd_nom 148507)</v>
      </c>
      <c r="V20232" s="7" t="str">
        <f>HYPERLINK("#Liste_rouge!A"&amp;_xlfn.XMATCH("LC",Liste_rouge!A:A,2,1),"LC")</f>
        <v>LC</v>
      </c>
      <c r="AH20232" s="4" t="str">
        <f>HYPERLINK("#Statut_biogéographique!A"&amp;_xlfn.XMATCH("P",Statut_biogéographique!A:A,2,1),"P")</f>
        <v>P</v>
      </c>
      <c r="AM20232" s="4" t="s">
        <v>375</v>
      </c>
      <c r="AN20232" s="4" t="s">
        <v>375</v>
      </c>
      <c r="AO20232" s="4" t="s">
        <v>375</v>
      </c>
      <c r="AP20232" s="4" t="s">
        <v>376</v>
      </c>
      <c r="AR20232" s="4" t="s">
        <v>377</v>
      </c>
    </row>
    <row r="20233" spans="1:44" ht="45">
      <c r="A20233" s="4" t="s">
        <v>24364</v>
      </c>
      <c r="B20233" s="4">
        <v>107446</v>
      </c>
      <c r="D20233" s="5" t="s">
        <v>25428</v>
      </c>
      <c r="E20233" s="6" t="str">
        <f>HYPERLINK("https://inpn.mnhn.fr/espece/cd_nom/107446","Matricaria discoidea DC., 1838")</f>
        <v>Matricaria discoidea DC., 1838</v>
      </c>
      <c r="F20233" s="5" t="s">
        <v>25429</v>
      </c>
      <c r="Q20233" s="7" t="str">
        <f>HYPERLINK("#Liste_rouge!A"&amp;_xlfn.XMATCH("NA",Liste_rouge!A:A,2,1),"NA")</f>
        <v>NA</v>
      </c>
      <c r="T20233" s="7" t="str">
        <f>HYPERLINK("#Liste_rouge!A"&amp;_xlfn.XMATCH("NA",Liste_rouge!A:A,2,1),"NA")</f>
        <v>NA</v>
      </c>
      <c r="AH20233" s="4" t="str">
        <f>HYPERLINK("#Statut_biogéographique!A"&amp;_xlfn.XMATCH("I",Statut_biogéographique!A:A,2,1),"I")</f>
        <v>I</v>
      </c>
      <c r="AM20233" s="4" t="s">
        <v>375</v>
      </c>
      <c r="AN20233" s="4" t="s">
        <v>375</v>
      </c>
      <c r="AO20233" s="4" t="s">
        <v>375</v>
      </c>
      <c r="AP20233" s="4" t="s">
        <v>376</v>
      </c>
      <c r="AR20233" s="4" t="s">
        <v>377</v>
      </c>
    </row>
    <row r="20234" spans="1:44" ht="45">
      <c r="A20234" s="4" t="s">
        <v>24364</v>
      </c>
      <c r="B20234" s="4">
        <v>107486</v>
      </c>
      <c r="D20234" s="5" t="s">
        <v>25430</v>
      </c>
      <c r="E20234" s="6" t="str">
        <f>HYPERLINK("https://inpn.mnhn.fr/espece/cd_nom/107486","Matteuccia struthiopteris (L.) Tod., 1866")</f>
        <v>Matteuccia struthiopteris (L.) Tod., 1866</v>
      </c>
      <c r="F20234" s="5" t="s">
        <v>25431</v>
      </c>
      <c r="L20234" s="4" t="str">
        <f>HYPERLINK("#Réglementation!A"&amp;_xlfn.XMATCH("NV1",Réglementation!A:A,2,1),"NV1")</f>
        <v>NV1</v>
      </c>
      <c r="O20234" s="7" t="str">
        <f>HYPERLINK("#Liste_rouge!A"&amp;_xlfn.XMATCH("LC",Liste_rouge!A:A,2,1),"LC")</f>
        <v>LC</v>
      </c>
      <c r="P20234" s="7" t="str">
        <f>HYPERLINK("#Liste_rouge!A"&amp;_xlfn.XMATCH("LC",Liste_rouge!A:A,2,1),"LC")</f>
        <v>LC</v>
      </c>
      <c r="Q20234" s="7" t="str">
        <f>HYPERLINK("#Liste_rouge!A"&amp;_xlfn.XMATCH("VU",Liste_rouge!A:A,2,1),"VU")</f>
        <v>VU</v>
      </c>
      <c r="AH20234" s="4" t="str">
        <f>HYPERLINK("#Statut_biogéographique!A"&amp;_xlfn.XMATCH("I",Statut_biogéographique!A:A,2,1),"I")</f>
        <v>I</v>
      </c>
      <c r="AM20234" s="4" t="s">
        <v>375</v>
      </c>
      <c r="AN20234" s="4" t="s">
        <v>375</v>
      </c>
      <c r="AO20234" s="4" t="s">
        <v>375</v>
      </c>
      <c r="AP20234" s="4" t="s">
        <v>389</v>
      </c>
      <c r="AR20234" s="4" t="s">
        <v>377</v>
      </c>
    </row>
    <row r="20235" spans="1:44" ht="90">
      <c r="A20235" s="4" t="s">
        <v>24364</v>
      </c>
      <c r="B20235" s="4">
        <v>107495</v>
      </c>
      <c r="D20235" s="5" t="s">
        <v>25432</v>
      </c>
      <c r="E20235" s="6" t="str">
        <f>HYPERLINK("https://inpn.mnhn.fr/espece/cd_nom/107495","Matthiola incana (L.) W.T.Aiton, 1812")</f>
        <v>Matthiola incana (L.) W.T.Aiton, 1812</v>
      </c>
      <c r="F20235" s="5" t="s">
        <v>25433</v>
      </c>
      <c r="Q20235" s="7" t="str">
        <f>HYPERLINK("#Liste_rouge!A"&amp;_xlfn.XMATCH("LC",Liste_rouge!A:A,2,1),"LC")</f>
        <v>LC</v>
      </c>
      <c r="T20235" s="7" t="str">
        <f>HYPERLINK("#Liste_rouge!A"&amp;_xlfn.XMATCH("NE",Liste_rouge!A:A,2,1),"NE")</f>
        <v>NE</v>
      </c>
      <c r="AH20235" s="4" t="str">
        <f>HYPERLINK("#Statut_biogéographique!A"&amp;_xlfn.XMATCH("P",Statut_biogéographique!A:A,2,1),"P")</f>
        <v>P</v>
      </c>
      <c r="AP20235" s="4" t="s">
        <v>376</v>
      </c>
      <c r="AR20235" s="4" t="s">
        <v>377</v>
      </c>
    </row>
    <row r="20236" spans="1:44" ht="30">
      <c r="A20236" s="4" t="s">
        <v>24364</v>
      </c>
      <c r="B20236" s="4">
        <v>107509</v>
      </c>
      <c r="D20236" s="5" t="s">
        <v>25434</v>
      </c>
      <c r="E20236" s="6" t="str">
        <f>HYPERLINK("https://inpn.mnhn.fr/espece/cd_nom/107509","Matthiola valesiaca J.Gay ex Boiss., 1867")</f>
        <v>Matthiola valesiaca J.Gay ex Boiss., 1867</v>
      </c>
      <c r="F20236" s="5" t="s">
        <v>25435</v>
      </c>
      <c r="Q20236" s="7" t="str">
        <f>HYPERLINK("#Liste_rouge!A"&amp;_xlfn.XMATCH("EN",Liste_rouge!A:A,2,1),"EN")</f>
        <v>EN</v>
      </c>
      <c r="AE20236" s="4" t="str">
        <f>HYPERLINK("#SCAP!A"&amp;_xlfn.XMATCH("A",SCAP!A:A,2,1),"A")</f>
        <v>A</v>
      </c>
      <c r="AH20236" s="4" t="str">
        <f>HYPERLINK("#Statut_biogéographique!A"&amp;_xlfn.XMATCH("P",Statut_biogéographique!A:A,2,1),"P")</f>
        <v>P</v>
      </c>
      <c r="AP20236" s="4" t="s">
        <v>389</v>
      </c>
      <c r="AR20236" s="4" t="s">
        <v>377</v>
      </c>
    </row>
    <row r="20237" spans="1:44" ht="30">
      <c r="A20237" s="4" t="s">
        <v>24364</v>
      </c>
      <c r="B20237" s="4">
        <v>107574</v>
      </c>
      <c r="D20237" s="5" t="s">
        <v>25436</v>
      </c>
      <c r="E20237" s="6" t="str">
        <f>HYPERLINK("https://inpn.mnhn.fr/espece/cd_nom/107574","Medicago arabica (L.) Huds., 1762")</f>
        <v>Medicago arabica (L.) Huds., 1762</v>
      </c>
      <c r="F20237" s="5" t="s">
        <v>25437</v>
      </c>
      <c r="P20237" s="7" t="str">
        <f>HYPERLINK("#Liste_rouge!A"&amp;_xlfn.XMATCH("LC",Liste_rouge!A:A,2,1),"LC")</f>
        <v>LC</v>
      </c>
      <c r="Q20237" s="7" t="str">
        <f>HYPERLINK("#Liste_rouge!A"&amp;_xlfn.XMATCH("LC",Liste_rouge!A:A,2,1),"LC")</f>
        <v>LC</v>
      </c>
      <c r="T20237" s="7" t="str">
        <f>HYPERLINK("#Liste_rouge!A"&amp;_xlfn.XMATCH("LC",Liste_rouge!A:A,2,1),"LC")</f>
        <v>LC</v>
      </c>
      <c r="V20237" s="7" t="str">
        <f>HYPERLINK("#Liste_rouge!A"&amp;_xlfn.XMATCH("LC",Liste_rouge!A:A,2,1),"LC")</f>
        <v>LC</v>
      </c>
      <c r="AH20237" s="4" t="str">
        <f>HYPERLINK("#Statut_biogéographique!A"&amp;_xlfn.XMATCH("P",Statut_biogéographique!A:A,2,1),"P")</f>
        <v>P</v>
      </c>
      <c r="AM20237" s="4" t="s">
        <v>375</v>
      </c>
      <c r="AN20237" s="4" t="s">
        <v>375</v>
      </c>
      <c r="AO20237" s="4" t="s">
        <v>375</v>
      </c>
      <c r="AP20237" s="4" t="s">
        <v>376</v>
      </c>
      <c r="AR20237" s="4" t="s">
        <v>377</v>
      </c>
    </row>
    <row r="20238" spans="1:44" ht="45">
      <c r="A20238" s="4" t="s">
        <v>24364</v>
      </c>
      <c r="B20238" s="4">
        <v>107649</v>
      </c>
      <c r="D20238" s="5" t="s">
        <v>25438</v>
      </c>
      <c r="E20238" s="6" t="str">
        <f>HYPERLINK("https://inpn.mnhn.fr/espece/cd_nom/107649","Medicago lupulina L., 1753")</f>
        <v>Medicago lupulina L., 1753</v>
      </c>
      <c r="F20238" s="5" t="s">
        <v>25439</v>
      </c>
      <c r="P20238" s="7" t="str">
        <f>HYPERLINK("#Liste_rouge!A"&amp;_xlfn.XMATCH("LC",Liste_rouge!A:A,2,1),"LC")</f>
        <v>LC</v>
      </c>
      <c r="Q20238" s="7" t="str">
        <f>HYPERLINK("#Liste_rouge!A"&amp;_xlfn.XMATCH("LC",Liste_rouge!A:A,2,1),"LC")</f>
        <v>LC</v>
      </c>
      <c r="T20238" s="7" t="str">
        <f>HYPERLINK("#Liste_rouge!A"&amp;_xlfn.XMATCH("LC",Liste_rouge!A:A,2,1),"LC")</f>
        <v>LC</v>
      </c>
      <c r="V20238" s="7" t="str">
        <f>HYPERLINK("#Liste_rouge!A"&amp;_xlfn.XMATCH("LC",Liste_rouge!A:A,2,1),"LC")</f>
        <v>LC</v>
      </c>
      <c r="AH20238" s="4" t="str">
        <f>HYPERLINK("#Statut_biogéographique!A"&amp;_xlfn.XMATCH("P",Statut_biogéographique!A:A,2,1),"P")</f>
        <v>P</v>
      </c>
      <c r="AM20238" s="4" t="s">
        <v>375</v>
      </c>
      <c r="AN20238" s="4" t="s">
        <v>375</v>
      </c>
      <c r="AO20238" s="4" t="s">
        <v>375</v>
      </c>
      <c r="AP20238" s="4" t="s">
        <v>376</v>
      </c>
      <c r="AR20238" s="4" t="s">
        <v>377</v>
      </c>
    </row>
    <row r="20239" spans="1:44" ht="90">
      <c r="A20239" s="4" t="s">
        <v>24364</v>
      </c>
      <c r="B20239" s="4">
        <v>107658</v>
      </c>
      <c r="D20239" s="5" t="s">
        <v>25440</v>
      </c>
      <c r="E20239" s="6" t="str">
        <f>HYPERLINK("https://inpn.mnhn.fr/espece/cd_nom/107658","Medicago minima (L.) L., 1754")</f>
        <v>Medicago minima (L.) L., 1754</v>
      </c>
      <c r="F20239" s="5" t="s">
        <v>25441</v>
      </c>
      <c r="P20239" s="7" t="str">
        <f>HYPERLINK("#Liste_rouge!A"&amp;_xlfn.XMATCH("DD",Liste_rouge!A:A,2,1),"DD")</f>
        <v>DD</v>
      </c>
      <c r="Q20239" s="7" t="str">
        <f>HYPERLINK("#Liste_rouge!A"&amp;_xlfn.XMATCH("LC",Liste_rouge!A:A,2,1),"LC")</f>
        <v>LC</v>
      </c>
      <c r="T20239" s="7" t="str">
        <f>HYPERLINK("#Liste_rouge!A"&amp;_xlfn.XMATCH("LC",Liste_rouge!A:A,2,1),"LC")</f>
        <v>LC</v>
      </c>
      <c r="V20239" s="7" t="str">
        <f>HYPERLINK("#Liste_rouge!A"&amp;_xlfn.XMATCH("LC",Liste_rouge!A:A,2,1),"LC")</f>
        <v>LC</v>
      </c>
      <c r="AB20239" s="4" t="s">
        <v>25442</v>
      </c>
      <c r="AH20239" s="4" t="str">
        <f>HYPERLINK("#Statut_biogéographique!A"&amp;_xlfn.XMATCH("P",Statut_biogéographique!A:A,2,1),"P")</f>
        <v>P</v>
      </c>
      <c r="AM20239" s="4" t="s">
        <v>375</v>
      </c>
      <c r="AN20239" s="4" t="s">
        <v>375</v>
      </c>
      <c r="AO20239" s="4" t="s">
        <v>375</v>
      </c>
      <c r="AP20239" s="4" t="s">
        <v>376</v>
      </c>
      <c r="AR20239" s="4" t="s">
        <v>377</v>
      </c>
    </row>
    <row r="20240" spans="1:44" ht="30">
      <c r="A20240" s="4" t="s">
        <v>24364</v>
      </c>
      <c r="B20240" s="4">
        <v>107665</v>
      </c>
      <c r="D20240" s="5" t="s">
        <v>25443</v>
      </c>
      <c r="E20240" s="6" t="str">
        <f>HYPERLINK("https://inpn.mnhn.fr/espece/cd_nom/107665","Medicago murex Willd., 1802")</f>
        <v>Medicago murex Willd., 1802</v>
      </c>
      <c r="F20240" s="5" t="s">
        <v>25444</v>
      </c>
      <c r="O20240" s="7" t="str">
        <f>HYPERLINK("#Liste_rouge!A"&amp;_xlfn.XMATCH("DD",Liste_rouge!A:A,2,1),"DD (cd_nom 107625) - LC (cd_nom 107665)")</f>
        <v>DD (cd_nom 107625) - LC (cd_nom 107665)</v>
      </c>
      <c r="P20240" s="7" t="str">
        <f>HYPERLINK("#Liste_rouge!A"&amp;_xlfn.XMATCH("DD",Liste_rouge!A:A,2,1),"DD (cd_nom 107625) - LC (cd_nom 107645)")</f>
        <v>DD (cd_nom 107625) - LC (cd_nom 107645)</v>
      </c>
      <c r="Q20240" s="7" t="str">
        <f>HYPERLINK("#Liste_rouge!A"&amp;_xlfn.XMATCH("LC",Liste_rouge!A:A,2,1),"LC")</f>
        <v>LC</v>
      </c>
      <c r="T20240" s="7" t="str">
        <f>HYPERLINK("#Liste_rouge!A"&amp;_xlfn.XMATCH("NA",Liste_rouge!A:A,2,1),"NA")</f>
        <v>NA</v>
      </c>
      <c r="AH20240" s="4" t="str">
        <f>HYPERLINK("#Statut_biogéographique!A"&amp;_xlfn.XMATCH("P",Statut_biogéographique!A:A,2,1),"P")</f>
        <v>P</v>
      </c>
      <c r="AP20240" s="4" t="s">
        <v>376</v>
      </c>
      <c r="AR20240" s="4" t="s">
        <v>377</v>
      </c>
    </row>
    <row r="20241" spans="1:44" ht="45">
      <c r="A20241" s="4" t="s">
        <v>24364</v>
      </c>
      <c r="B20241" s="4">
        <v>107677</v>
      </c>
      <c r="D20241" s="5" t="s">
        <v>25445</v>
      </c>
      <c r="E20241" s="6" t="str">
        <f>HYPERLINK("https://inpn.mnhn.fr/espece/cd_nom/107677","Medicago orbicularis (L.) Bartal., 1776")</f>
        <v>Medicago orbicularis (L.) Bartal., 1776</v>
      </c>
      <c r="F20241" s="5" t="s">
        <v>25446</v>
      </c>
      <c r="P20241" s="7" t="str">
        <f>HYPERLINK("#Liste_rouge!A"&amp;_xlfn.XMATCH("LC",Liste_rouge!A:A,2,1),"LC")</f>
        <v>LC</v>
      </c>
      <c r="Q20241" s="7" t="str">
        <f>HYPERLINK("#Liste_rouge!A"&amp;_xlfn.XMATCH("LC",Liste_rouge!A:A,2,1),"LC")</f>
        <v>LC</v>
      </c>
      <c r="T20241" s="7" t="str">
        <f>HYPERLINK("#Liste_rouge!A"&amp;_xlfn.XMATCH("CR",Liste_rouge!A:A,2,1),"CR (cd_nom 107677) - NE (cd_nom 148575)")</f>
        <v>CR (cd_nom 107677) - NE (cd_nom 148575)</v>
      </c>
      <c r="U20241" s="4" t="str">
        <f>HYPERLINK("#Critères_liste_rouge!A$1","C2a(i) (cd_nom 107677)")</f>
        <v>C2a(i) (cd_nom 107677)</v>
      </c>
      <c r="AB20241" s="4" t="s">
        <v>24803</v>
      </c>
      <c r="AH20241" s="4" t="str">
        <f>HYPERLINK("#Statut_biogéographique!A"&amp;_xlfn.XMATCH("P",Statut_biogéographique!A:A,2,1),"P")</f>
        <v>P</v>
      </c>
      <c r="AM20241" s="4" t="s">
        <v>375</v>
      </c>
      <c r="AN20241" s="4" t="s">
        <v>375</v>
      </c>
      <c r="AO20241" s="4" t="s">
        <v>375</v>
      </c>
      <c r="AP20241" s="4" t="s">
        <v>376</v>
      </c>
      <c r="AR20241" s="4" t="s">
        <v>377</v>
      </c>
    </row>
    <row r="20242" spans="1:44" ht="225">
      <c r="A20242" s="4" t="s">
        <v>24364</v>
      </c>
      <c r="B20242" s="4">
        <v>107689</v>
      </c>
      <c r="D20242" s="5" t="s">
        <v>25447</v>
      </c>
      <c r="E20242" s="6" t="str">
        <f>HYPERLINK("https://inpn.mnhn.fr/espece/cd_nom/107689","Medicago polymorpha L., 1753")</f>
        <v>Medicago polymorpha L., 1753</v>
      </c>
      <c r="F20242" s="5" t="s">
        <v>25448</v>
      </c>
      <c r="P20242" s="7" t="str">
        <f>HYPERLINK("#Liste_rouge!A"&amp;_xlfn.XMATCH("LC",Liste_rouge!A:A,2,1),"LC")</f>
        <v>LC</v>
      </c>
      <c r="Q20242" s="7" t="str">
        <f>HYPERLINK("#Liste_rouge!A"&amp;_xlfn.XMATCH("LC",Liste_rouge!A:A,2,1),"LC")</f>
        <v>LC</v>
      </c>
      <c r="T20242" s="7" t="str">
        <f>HYPERLINK("#Liste_rouge!A"&amp;_xlfn.XMATCH("NE",Liste_rouge!A:A,2,1),"NE (cd_nom 148579) - LC (cd_nom 107689) - NA (cd_nom 148582)")</f>
        <v>NE (cd_nom 148579) - LC (cd_nom 107689) - NA (cd_nom 148582)</v>
      </c>
      <c r="AH20242" s="4" t="str">
        <f>HYPERLINK("#Statut_biogéographique!A"&amp;_xlfn.XMATCH("P",Statut_biogéographique!A:A,2,1),"P")</f>
        <v>P</v>
      </c>
      <c r="AM20242" s="4" t="s">
        <v>375</v>
      </c>
      <c r="AN20242" s="4" t="s">
        <v>375</v>
      </c>
      <c r="AO20242" s="4" t="s">
        <v>375</v>
      </c>
      <c r="AP20242" s="4" t="s">
        <v>376</v>
      </c>
      <c r="AR20242" s="4" t="s">
        <v>377</v>
      </c>
    </row>
    <row r="20243" spans="1:44" ht="105">
      <c r="A20243" s="4" t="s">
        <v>24364</v>
      </c>
      <c r="B20243" s="4">
        <v>107706</v>
      </c>
      <c r="D20243" s="5" t="s">
        <v>25449</v>
      </c>
      <c r="E20243" s="6" t="str">
        <f>HYPERLINK("https://inpn.mnhn.fr/espece/cd_nom/107706","Medicago rigidula (L.) All., 1785")</f>
        <v>Medicago rigidula (L.) All., 1785</v>
      </c>
      <c r="F20243" s="5" t="s">
        <v>25450</v>
      </c>
      <c r="O20243" s="7" t="str">
        <f>HYPERLINK("#Liste_rouge!A"&amp;_xlfn.XMATCH("LC",Liste_rouge!A:A,2,1),"LC")</f>
        <v>LC</v>
      </c>
      <c r="P20243" s="7" t="str">
        <f>HYPERLINK("#Liste_rouge!A"&amp;_xlfn.XMATCH("LC",Liste_rouge!A:A,2,1),"LC")</f>
        <v>LC</v>
      </c>
      <c r="Q20243" s="7" t="str">
        <f>HYPERLINK("#Liste_rouge!A"&amp;_xlfn.XMATCH("LC",Liste_rouge!A:A,2,1),"LC")</f>
        <v>LC</v>
      </c>
      <c r="T20243" s="7" t="str">
        <f>HYPERLINK("#Liste_rouge!A"&amp;_xlfn.XMATCH("VU",Liste_rouge!A:A,2,1),"VU")</f>
        <v>VU</v>
      </c>
      <c r="U20243" s="4" t="str">
        <f>HYPERLINK("#Critères_liste_rouge!A$1","D2")</f>
        <v>D2</v>
      </c>
      <c r="X20243" s="5" t="s">
        <v>374</v>
      </c>
      <c r="AB20243" s="4" t="s">
        <v>93</v>
      </c>
      <c r="AH20243" s="4" t="str">
        <f>HYPERLINK("#Statut_biogéographique!A"&amp;_xlfn.XMATCH("P",Statut_biogéographique!A:A,2,1),"P")</f>
        <v>P</v>
      </c>
      <c r="AM20243" s="4" t="s">
        <v>375</v>
      </c>
      <c r="AN20243" s="4" t="s">
        <v>375</v>
      </c>
      <c r="AO20243" s="4" t="s">
        <v>375</v>
      </c>
      <c r="AP20243" s="4" t="s">
        <v>376</v>
      </c>
      <c r="AR20243" s="4" t="s">
        <v>377</v>
      </c>
    </row>
    <row r="20244" spans="1:44">
      <c r="A20244" s="4" t="s">
        <v>24364</v>
      </c>
      <c r="B20244" s="4">
        <v>107711</v>
      </c>
      <c r="D20244" s="5" t="s">
        <v>25451</v>
      </c>
      <c r="E20244" s="6" t="str">
        <f>HYPERLINK("https://inpn.mnhn.fr/espece/cd_nom/107711","Medicago sativa L., 1753")</f>
        <v>Medicago sativa L., 1753</v>
      </c>
      <c r="F20244" s="5" t="s">
        <v>25452</v>
      </c>
      <c r="O20244" s="7" t="str">
        <f>HYPERLINK("#Liste_rouge!A"&amp;_xlfn.XMATCH("LC",Liste_rouge!A:A,2,1),"LC")</f>
        <v>LC</v>
      </c>
      <c r="P20244" s="7" t="str">
        <f>HYPERLINK("#Liste_rouge!A"&amp;_xlfn.XMATCH("LC",Liste_rouge!A:A,2,1),"LC")</f>
        <v>LC</v>
      </c>
      <c r="Q20244" s="7" t="str">
        <f>HYPERLINK("#Liste_rouge!A"&amp;_xlfn.XMATCH("LC",Liste_rouge!A:A,2,1),"LC")</f>
        <v>LC</v>
      </c>
      <c r="T20244" s="7" t="str">
        <f>HYPERLINK("#Liste_rouge!A"&amp;_xlfn.XMATCH("LC",Liste_rouge!A:A,2,1),"LC")</f>
        <v>LC</v>
      </c>
      <c r="V20244" s="7" t="str">
        <f>HYPERLINK("#Liste_rouge!A"&amp;_xlfn.XMATCH("DD",Liste_rouge!A:A,2,1),"DD")</f>
        <v>DD</v>
      </c>
      <c r="AH20244" s="4" t="str">
        <f>HYPERLINK("#Statut_biogéographique!A"&amp;_xlfn.XMATCH("P",Statut_biogéographique!A:A,2,1),"P")</f>
        <v>P</v>
      </c>
      <c r="AM20244" s="4" t="s">
        <v>375</v>
      </c>
      <c r="AN20244" s="4" t="s">
        <v>375</v>
      </c>
      <c r="AO20244" s="4" t="s">
        <v>375</v>
      </c>
      <c r="AP20244" s="4" t="s">
        <v>376</v>
      </c>
      <c r="AR20244" s="4" t="s">
        <v>377</v>
      </c>
    </row>
    <row r="20245" spans="1:44" ht="30">
      <c r="A20245" s="4" t="s">
        <v>24364</v>
      </c>
      <c r="B20245" s="4">
        <v>107712</v>
      </c>
      <c r="D20245" s="5" t="s">
        <v>25453</v>
      </c>
      <c r="E20245" s="6" t="str">
        <f>HYPERLINK("https://inpn.mnhn.fr/espece/cd_nom/107712","Medicago scutellata (L.) Mill., 1768")</f>
        <v>Medicago scutellata (L.) Mill., 1768</v>
      </c>
      <c r="F20245" s="5" t="s">
        <v>25454</v>
      </c>
      <c r="O20245" s="7" t="str">
        <f>HYPERLINK("#Liste_rouge!A"&amp;_xlfn.XMATCH("LC",Liste_rouge!A:A,2,1),"LC")</f>
        <v>LC</v>
      </c>
      <c r="P20245" s="7" t="str">
        <f>HYPERLINK("#Liste_rouge!A"&amp;_xlfn.XMATCH("LC",Liste_rouge!A:A,2,1),"LC")</f>
        <v>LC</v>
      </c>
      <c r="Q20245" s="7" t="str">
        <f>HYPERLINK("#Liste_rouge!A"&amp;_xlfn.XMATCH("NT",Liste_rouge!A:A,2,1),"NT")</f>
        <v>NT</v>
      </c>
      <c r="T20245" s="7" t="str">
        <f>HYPERLINK("#Liste_rouge!A"&amp;_xlfn.XMATCH("NA",Liste_rouge!A:A,2,1),"NA")</f>
        <v>NA</v>
      </c>
      <c r="AH20245" s="4" t="str">
        <f>HYPERLINK("#Statut_biogéographique!A"&amp;_xlfn.XMATCH("P",Statut_biogéographique!A:A,2,1),"P")</f>
        <v>P</v>
      </c>
      <c r="AP20245" s="4" t="s">
        <v>376</v>
      </c>
      <c r="AR20245" s="4" t="s">
        <v>377</v>
      </c>
    </row>
    <row r="20246" spans="1:44" ht="30">
      <c r="A20246" s="4" t="s">
        <v>24364</v>
      </c>
      <c r="B20246" s="4">
        <v>107742</v>
      </c>
      <c r="D20246" s="5" t="s">
        <v>25455</v>
      </c>
      <c r="E20246" s="6" t="str">
        <f>HYPERLINK("https://inpn.mnhn.fr/espece/cd_nom/107742","Medicago turbinata (L.) All., 1785")</f>
        <v>Medicago turbinata (L.) All., 1785</v>
      </c>
      <c r="F20246" s="5" t="s">
        <v>25456</v>
      </c>
      <c r="O20246" s="7" t="str">
        <f>HYPERLINK("#Liste_rouge!A"&amp;_xlfn.XMATCH("LC",Liste_rouge!A:A,2,1),"LC")</f>
        <v>LC</v>
      </c>
      <c r="P20246" s="7" t="str">
        <f>HYPERLINK("#Liste_rouge!A"&amp;_xlfn.XMATCH("LC",Liste_rouge!A:A,2,1),"LC")</f>
        <v>LC</v>
      </c>
      <c r="Q20246" s="7" t="str">
        <f>HYPERLINK("#Liste_rouge!A"&amp;_xlfn.XMATCH("DD",Liste_rouge!A:A,2,1),"DD")</f>
        <v>DD</v>
      </c>
      <c r="T20246" s="7" t="str">
        <f>HYPERLINK("#Liste_rouge!A"&amp;_xlfn.XMATCH("NA",Liste_rouge!A:A,2,1),"NA")</f>
        <v>NA</v>
      </c>
      <c r="AH20246" s="4" t="str">
        <f>HYPERLINK("#Statut_biogéographique!A"&amp;_xlfn.XMATCH("P",Statut_biogéographique!A:A,2,1),"P")</f>
        <v>P</v>
      </c>
      <c r="AP20246" s="4" t="s">
        <v>376</v>
      </c>
      <c r="AR20246" s="4" t="s">
        <v>377</v>
      </c>
    </row>
    <row r="20247" spans="1:44" ht="45">
      <c r="A20247" s="4" t="s">
        <v>24364</v>
      </c>
      <c r="B20247" s="4">
        <v>107786</v>
      </c>
      <c r="D20247" s="5" t="s">
        <v>25457</v>
      </c>
      <c r="E20247" s="6" t="str">
        <f>HYPERLINK("https://inpn.mnhn.fr/espece/cd_nom/107786","Melampyrum arvense L., 1753")</f>
        <v>Melampyrum arvense L., 1753</v>
      </c>
      <c r="F20247" s="5" t="s">
        <v>25458</v>
      </c>
      <c r="Q20247" s="7" t="str">
        <f>HYPERLINK("#Liste_rouge!A"&amp;_xlfn.XMATCH("LC",Liste_rouge!A:A,2,1),"LC")</f>
        <v>LC</v>
      </c>
      <c r="T20247" s="7" t="str">
        <f>HYPERLINK("#Liste_rouge!A"&amp;_xlfn.XMATCH("NE",Liste_rouge!A:A,2,1),"NE (cd_nom 137692) - LC (cd_nom 107786)")</f>
        <v>NE (cd_nom 137692) - LC (cd_nom 107786)</v>
      </c>
      <c r="V20247" s="7" t="str">
        <f>HYPERLINK("#Liste_rouge!A"&amp;_xlfn.XMATCH("LC",Liste_rouge!A:A,2,1),"LC")</f>
        <v>LC</v>
      </c>
      <c r="AH20247" s="4" t="str">
        <f>HYPERLINK("#Statut_biogéographique!A"&amp;_xlfn.XMATCH("P",Statut_biogéographique!A:A,2,1),"P")</f>
        <v>P</v>
      </c>
      <c r="AM20247" s="4" t="s">
        <v>375</v>
      </c>
      <c r="AN20247" s="4" t="s">
        <v>375</v>
      </c>
      <c r="AO20247" s="4" t="s">
        <v>375</v>
      </c>
      <c r="AP20247" s="4" t="s">
        <v>376</v>
      </c>
      <c r="AR20247" s="4" t="s">
        <v>377</v>
      </c>
    </row>
    <row r="20248" spans="1:44">
      <c r="A20248" s="4" t="s">
        <v>24364</v>
      </c>
      <c r="B20248" s="4">
        <v>107790</v>
      </c>
      <c r="D20248" s="5" t="s">
        <v>25459</v>
      </c>
      <c r="E20248" s="6" t="str">
        <f>HYPERLINK("https://inpn.mnhn.fr/espece/cd_nom/107790","Melampyrum cristatum L., 1753")</f>
        <v>Melampyrum cristatum L., 1753</v>
      </c>
      <c r="F20248" s="5" t="s">
        <v>25460</v>
      </c>
      <c r="Q20248" s="7" t="str">
        <f>HYPERLINK("#Liste_rouge!A"&amp;_xlfn.XMATCH("LC",Liste_rouge!A:A,2,1),"LC")</f>
        <v>LC</v>
      </c>
      <c r="T20248" s="7" t="str">
        <f>HYPERLINK("#Liste_rouge!A"&amp;_xlfn.XMATCH("LC",Liste_rouge!A:A,2,1),"LC")</f>
        <v>LC</v>
      </c>
      <c r="V20248" s="7" t="str">
        <f>HYPERLINK("#Liste_rouge!A"&amp;_xlfn.XMATCH("LC",Liste_rouge!A:A,2,1),"LC")</f>
        <v>LC</v>
      </c>
      <c r="AB20248" s="4" t="s">
        <v>25461</v>
      </c>
      <c r="AH20248" s="4" t="str">
        <f>HYPERLINK("#Statut_biogéographique!A"&amp;_xlfn.XMATCH("P",Statut_biogéographique!A:A,2,1),"P")</f>
        <v>P</v>
      </c>
      <c r="AM20248" s="4" t="s">
        <v>375</v>
      </c>
      <c r="AN20248" s="4" t="s">
        <v>375</v>
      </c>
      <c r="AO20248" s="4" t="s">
        <v>375</v>
      </c>
      <c r="AP20248" s="4" t="s">
        <v>376</v>
      </c>
      <c r="AR20248" s="4" t="s">
        <v>377</v>
      </c>
    </row>
    <row r="20249" spans="1:44">
      <c r="A20249" s="4" t="s">
        <v>24364</v>
      </c>
      <c r="B20249" s="4">
        <v>107794</v>
      </c>
      <c r="D20249" s="5" t="s">
        <v>25462</v>
      </c>
      <c r="E20249" s="6" t="str">
        <f>HYPERLINK("https://inpn.mnhn.fr/espece/cd_nom/107794","Melampyrum nemorosum L., 1753")</f>
        <v>Melampyrum nemorosum L., 1753</v>
      </c>
      <c r="F20249" s="5" t="s">
        <v>25463</v>
      </c>
      <c r="AH20249" s="4" t="str">
        <f>HYPERLINK("#Statut_biogéographique!A"&amp;_xlfn.XMATCH("Q",Statut_biogéographique!A:A,2,1),"Q")</f>
        <v>Q</v>
      </c>
      <c r="AP20249" s="4" t="s">
        <v>376</v>
      </c>
      <c r="AR20249" s="4" t="s">
        <v>377</v>
      </c>
    </row>
    <row r="20250" spans="1:44" ht="60">
      <c r="A20250" s="4" t="s">
        <v>24364</v>
      </c>
      <c r="B20250" s="4">
        <v>107795</v>
      </c>
      <c r="D20250" s="5" t="s">
        <v>25464</v>
      </c>
      <c r="E20250" s="6" t="str">
        <f>HYPERLINK("https://inpn.mnhn.fr/espece/cd_nom/107795","Melampyrum pratense L., 1753")</f>
        <v>Melampyrum pratense L., 1753</v>
      </c>
      <c r="F20250" s="5" t="s">
        <v>25465</v>
      </c>
      <c r="Q20250" s="7" t="str">
        <f>HYPERLINK("#Liste_rouge!A"&amp;_xlfn.XMATCH("LC",Liste_rouge!A:A,2,1),"LC")</f>
        <v>LC</v>
      </c>
      <c r="T20250" s="7" t="str">
        <f>HYPERLINK("#Liste_rouge!A"&amp;_xlfn.XMATCH("LC",Liste_rouge!A:A,2,1),"LC")</f>
        <v>LC</v>
      </c>
      <c r="V20250" s="7" t="str">
        <f>HYPERLINK("#Liste_rouge!A"&amp;_xlfn.XMATCH("LC",Liste_rouge!A:A,2,1),"LC")</f>
        <v>LC</v>
      </c>
      <c r="AH20250" s="4" t="str">
        <f>HYPERLINK("#Statut_biogéographique!A"&amp;_xlfn.XMATCH("P",Statut_biogéographique!A:A,2,1),"P")</f>
        <v>P</v>
      </c>
      <c r="AM20250" s="4" t="s">
        <v>375</v>
      </c>
      <c r="AN20250" s="4" t="s">
        <v>375</v>
      </c>
      <c r="AO20250" s="4" t="s">
        <v>375</v>
      </c>
      <c r="AP20250" s="4" t="s">
        <v>376</v>
      </c>
      <c r="AR20250" s="4" t="s">
        <v>377</v>
      </c>
    </row>
    <row r="20251" spans="1:44" ht="30">
      <c r="A20251" s="4" t="s">
        <v>24364</v>
      </c>
      <c r="B20251" s="4">
        <v>107800</v>
      </c>
      <c r="D20251" s="5" t="s">
        <v>25466</v>
      </c>
      <c r="E20251" s="6" t="str">
        <f>HYPERLINK("https://inpn.mnhn.fr/espece/cd_nom/107800","Melampyrum sylvaticum L., 1753")</f>
        <v>Melampyrum sylvaticum L., 1753</v>
      </c>
      <c r="F20251" s="5" t="s">
        <v>25467</v>
      </c>
      <c r="Q20251" s="7" t="str">
        <f>HYPERLINK("#Liste_rouge!A"&amp;_xlfn.XMATCH("LC",Liste_rouge!A:A,2,1),"LC")</f>
        <v>LC</v>
      </c>
      <c r="V20251" s="7" t="str">
        <f>HYPERLINK("#Liste_rouge!A"&amp;_xlfn.XMATCH("LC",Liste_rouge!A:A,2,1),"LC")</f>
        <v>LC</v>
      </c>
      <c r="AB20251" s="4" t="s">
        <v>24410</v>
      </c>
      <c r="AH20251" s="4" t="str">
        <f>HYPERLINK("#Statut_biogéographique!A"&amp;_xlfn.XMATCH("P",Statut_biogéographique!A:A,2,1),"P")</f>
        <v>P</v>
      </c>
      <c r="AM20251" s="4" t="s">
        <v>375</v>
      </c>
      <c r="AN20251" s="4" t="s">
        <v>375</v>
      </c>
      <c r="AO20251" s="4" t="s">
        <v>375</v>
      </c>
      <c r="AP20251" s="4" t="s">
        <v>376</v>
      </c>
      <c r="AR20251" s="4" t="s">
        <v>377</v>
      </c>
    </row>
    <row r="20252" spans="1:44">
      <c r="A20252" s="4" t="s">
        <v>24364</v>
      </c>
      <c r="B20252" s="4">
        <v>107841</v>
      </c>
      <c r="D20252" s="5">
        <v>107841</v>
      </c>
      <c r="E20252" s="6" t="str">
        <f>HYPERLINK("https://inpn.mnhn.fr/espece/cd_nom/107841","Melica altissima L., 1753")</f>
        <v>Melica altissima L., 1753</v>
      </c>
      <c r="F20252" s="5" t="s">
        <v>25468</v>
      </c>
      <c r="Q20252" s="7" t="str">
        <f>HYPERLINK("#Liste_rouge!A"&amp;_xlfn.XMATCH("NA",Liste_rouge!A:A,2,1),"NA")</f>
        <v>NA</v>
      </c>
      <c r="AH20252" s="4" t="str">
        <f>HYPERLINK("#Statut_biogéographique!A"&amp;_xlfn.XMATCH("M",Statut_biogéographique!A:A,2,1),"M")</f>
        <v>M</v>
      </c>
      <c r="AP20252" s="4" t="s">
        <v>376</v>
      </c>
      <c r="AR20252" s="4" t="s">
        <v>377</v>
      </c>
    </row>
    <row r="20253" spans="1:44">
      <c r="A20253" s="4" t="s">
        <v>24364</v>
      </c>
      <c r="B20253" s="4">
        <v>107851</v>
      </c>
      <c r="D20253" s="5" t="s">
        <v>25469</v>
      </c>
      <c r="E20253" s="6" t="str">
        <f>HYPERLINK("https://inpn.mnhn.fr/espece/cd_nom/107851","Melica ciliata L., 1753")</f>
        <v>Melica ciliata L., 1753</v>
      </c>
      <c r="F20253" s="5" t="s">
        <v>25470</v>
      </c>
      <c r="Q20253" s="7" t="str">
        <f>HYPERLINK("#Liste_rouge!A"&amp;_xlfn.XMATCH("LC",Liste_rouge!A:A,2,1),"LC")</f>
        <v>LC</v>
      </c>
      <c r="T20253" s="7" t="str">
        <f>HYPERLINK("#Liste_rouge!A"&amp;_xlfn.XMATCH("LC",Liste_rouge!A:A,2,1),"LC")</f>
        <v>LC</v>
      </c>
      <c r="V20253" s="7" t="str">
        <f>HYPERLINK("#Liste_rouge!A"&amp;_xlfn.XMATCH("LC",Liste_rouge!A:A,2,1),"LC")</f>
        <v>LC</v>
      </c>
      <c r="AH20253" s="4" t="str">
        <f>HYPERLINK("#Statut_biogéographique!A"&amp;_xlfn.XMATCH("P",Statut_biogéographique!A:A,2,1),"P")</f>
        <v>P</v>
      </c>
      <c r="AM20253" s="4" t="s">
        <v>375</v>
      </c>
      <c r="AN20253" s="4" t="s">
        <v>375</v>
      </c>
      <c r="AO20253" s="4" t="s">
        <v>375</v>
      </c>
      <c r="AP20253" s="4" t="s">
        <v>376</v>
      </c>
      <c r="AR20253" s="4" t="s">
        <v>377</v>
      </c>
    </row>
    <row r="20254" spans="1:44" ht="60">
      <c r="A20254" s="4" t="s">
        <v>24364</v>
      </c>
      <c r="B20254" s="4">
        <v>107867</v>
      </c>
      <c r="D20254" s="5" t="s">
        <v>25471</v>
      </c>
      <c r="E20254" s="6" t="str">
        <f>HYPERLINK("https://inpn.mnhn.fr/espece/cd_nom/107867","Melica minuta L., 1767")</f>
        <v>Melica minuta L., 1767</v>
      </c>
      <c r="F20254" s="5" t="s">
        <v>25472</v>
      </c>
      <c r="Q20254" s="7" t="str">
        <f>HYPERLINK("#Liste_rouge!A"&amp;_xlfn.XMATCH("LC",Liste_rouge!A:A,2,1),"LC")</f>
        <v>LC</v>
      </c>
      <c r="AH20254" s="4" t="str">
        <f>HYPERLINK("#Statut_biogéographique!A"&amp;_xlfn.XMATCH("P",Statut_biogéographique!A:A,2,1),"P")</f>
        <v>P</v>
      </c>
      <c r="AP20254" s="4" t="s">
        <v>376</v>
      </c>
      <c r="AR20254" s="4" t="s">
        <v>377</v>
      </c>
    </row>
    <row r="20255" spans="1:44" ht="30">
      <c r="A20255" s="4" t="s">
        <v>24364</v>
      </c>
      <c r="B20255" s="4">
        <v>107871</v>
      </c>
      <c r="D20255" s="5" t="s">
        <v>25473</v>
      </c>
      <c r="E20255" s="6" t="str">
        <f>HYPERLINK("https://inpn.mnhn.fr/espece/cd_nom/107871","Melica nutans L., 1753")</f>
        <v>Melica nutans L., 1753</v>
      </c>
      <c r="F20255" s="5" t="s">
        <v>25474</v>
      </c>
      <c r="Q20255" s="7" t="str">
        <f>HYPERLINK("#Liste_rouge!A"&amp;_xlfn.XMATCH("LC",Liste_rouge!A:A,2,1),"LC")</f>
        <v>LC</v>
      </c>
      <c r="T20255" s="7" t="str">
        <f>HYPERLINK("#Liste_rouge!A"&amp;_xlfn.XMATCH("LC",Liste_rouge!A:A,2,1),"LC")</f>
        <v>LC</v>
      </c>
      <c r="V20255" s="7" t="str">
        <f>HYPERLINK("#Liste_rouge!A"&amp;_xlfn.XMATCH("LC",Liste_rouge!A:A,2,1),"LC")</f>
        <v>LC</v>
      </c>
      <c r="AH20255" s="4" t="str">
        <f>HYPERLINK("#Statut_biogéographique!A"&amp;_xlfn.XMATCH("P",Statut_biogéographique!A:A,2,1),"P")</f>
        <v>P</v>
      </c>
      <c r="AM20255" s="4" t="s">
        <v>375</v>
      </c>
      <c r="AN20255" s="4" t="s">
        <v>375</v>
      </c>
      <c r="AO20255" s="4" t="s">
        <v>375</v>
      </c>
      <c r="AP20255" s="4" t="s">
        <v>376</v>
      </c>
      <c r="AR20255" s="4" t="s">
        <v>377</v>
      </c>
    </row>
    <row r="20256" spans="1:44" ht="30">
      <c r="A20256" s="4" t="s">
        <v>24364</v>
      </c>
      <c r="B20256" s="4">
        <v>107880</v>
      </c>
      <c r="D20256" s="5" t="s">
        <v>25475</v>
      </c>
      <c r="E20256" s="6" t="str">
        <f>HYPERLINK("https://inpn.mnhn.fr/espece/cd_nom/107880","Melica uniflora Retz., 1779")</f>
        <v>Melica uniflora Retz., 1779</v>
      </c>
      <c r="F20256" s="5" t="s">
        <v>25476</v>
      </c>
      <c r="Q20256" s="7" t="str">
        <f>HYPERLINK("#Liste_rouge!A"&amp;_xlfn.XMATCH("LC",Liste_rouge!A:A,2,1),"LC")</f>
        <v>LC</v>
      </c>
      <c r="T20256" s="7" t="str">
        <f>HYPERLINK("#Liste_rouge!A"&amp;_xlfn.XMATCH("LC",Liste_rouge!A:A,2,1),"LC")</f>
        <v>LC</v>
      </c>
      <c r="V20256" s="7" t="str">
        <f>HYPERLINK("#Liste_rouge!A"&amp;_xlfn.XMATCH("LC",Liste_rouge!A:A,2,1),"LC")</f>
        <v>LC</v>
      </c>
      <c r="AH20256" s="4" t="str">
        <f>HYPERLINK("#Statut_biogéographique!A"&amp;_xlfn.XMATCH("P",Statut_biogéographique!A:A,2,1),"P")</f>
        <v>P</v>
      </c>
      <c r="AM20256" s="4" t="s">
        <v>375</v>
      </c>
      <c r="AN20256" s="4" t="s">
        <v>375</v>
      </c>
      <c r="AO20256" s="4" t="s">
        <v>375</v>
      </c>
      <c r="AP20256" s="4" t="s">
        <v>376</v>
      </c>
      <c r="AR20256" s="4" t="s">
        <v>377</v>
      </c>
    </row>
    <row r="20257" spans="1:44" ht="60">
      <c r="A20257" s="4" t="s">
        <v>24364</v>
      </c>
      <c r="B20257" s="4">
        <v>107886</v>
      </c>
      <c r="D20257" s="5" t="s">
        <v>25477</v>
      </c>
      <c r="E20257" s="6" t="str">
        <f>HYPERLINK("https://inpn.mnhn.fr/espece/cd_nom/107886","Melilotus albus Medik., 1787")</f>
        <v>Melilotus albus Medik., 1787</v>
      </c>
      <c r="F20257" s="5" t="s">
        <v>25478</v>
      </c>
      <c r="P20257" s="7" t="str">
        <f>HYPERLINK("#Liste_rouge!A"&amp;_xlfn.XMATCH("LC",Liste_rouge!A:A,2,1),"LC")</f>
        <v>LC</v>
      </c>
      <c r="Q20257" s="7" t="str">
        <f>HYPERLINK("#Liste_rouge!A"&amp;_xlfn.XMATCH("LC",Liste_rouge!A:A,2,1),"LC")</f>
        <v>LC</v>
      </c>
      <c r="T20257" s="7" t="str">
        <f>HYPERLINK("#Liste_rouge!A"&amp;_xlfn.XMATCH("LC",Liste_rouge!A:A,2,1),"LC")</f>
        <v>LC</v>
      </c>
      <c r="AH20257" s="4" t="str">
        <f>HYPERLINK("#Statut_biogéographique!A"&amp;_xlfn.XMATCH("I",Statut_biogéographique!A:A,2,1),"I")</f>
        <v>I</v>
      </c>
      <c r="AM20257" s="4" t="s">
        <v>375</v>
      </c>
      <c r="AN20257" s="4" t="s">
        <v>375</v>
      </c>
      <c r="AO20257" s="4" t="s">
        <v>375</v>
      </c>
      <c r="AP20257" s="4" t="s">
        <v>376</v>
      </c>
      <c r="AR20257" s="4" t="s">
        <v>377</v>
      </c>
    </row>
    <row r="20258" spans="1:44" ht="75">
      <c r="A20258" s="4" t="s">
        <v>24364</v>
      </c>
      <c r="B20258" s="4">
        <v>107887</v>
      </c>
      <c r="D20258" s="5" t="s">
        <v>25479</v>
      </c>
      <c r="E20258" s="6" t="str">
        <f>HYPERLINK("https://inpn.mnhn.fr/espece/cd_nom/107887","Melilotus altissimus Thuill., 1799")</f>
        <v>Melilotus altissimus Thuill., 1799</v>
      </c>
      <c r="F20258" s="5" t="s">
        <v>25480</v>
      </c>
      <c r="Q20258" s="7" t="str">
        <f>HYPERLINK("#Liste_rouge!A"&amp;_xlfn.XMATCH("LC",Liste_rouge!A:A,2,1),"LC")</f>
        <v>LC</v>
      </c>
      <c r="T20258" s="7" t="str">
        <f>HYPERLINK("#Liste_rouge!A"&amp;_xlfn.XMATCH("LC",Liste_rouge!A:A,2,1),"LC")</f>
        <v>LC</v>
      </c>
      <c r="V20258" s="7" t="str">
        <f>HYPERLINK("#Liste_rouge!A"&amp;_xlfn.XMATCH("LC",Liste_rouge!A:A,2,1),"LC")</f>
        <v>LC</v>
      </c>
      <c r="AH20258" s="4" t="str">
        <f>HYPERLINK("#Statut_biogéographique!A"&amp;_xlfn.XMATCH("P",Statut_biogéographique!A:A,2,1),"P")</f>
        <v>P</v>
      </c>
      <c r="AM20258" s="4" t="s">
        <v>375</v>
      </c>
      <c r="AN20258" s="4" t="s">
        <v>375</v>
      </c>
      <c r="AO20258" s="4" t="s">
        <v>375</v>
      </c>
      <c r="AP20258" s="4" t="s">
        <v>376</v>
      </c>
      <c r="AR20258" s="4" t="s">
        <v>377</v>
      </c>
    </row>
    <row r="20259" spans="1:44" ht="90">
      <c r="A20259" s="4" t="s">
        <v>24364</v>
      </c>
      <c r="B20259" s="4">
        <v>107914</v>
      </c>
      <c r="D20259" s="5" t="s">
        <v>25481</v>
      </c>
      <c r="E20259" s="6" t="str">
        <f>HYPERLINK("https://inpn.mnhn.fr/espece/cd_nom/107914","Melilotus indicus (L.) All., 1785")</f>
        <v>Melilotus indicus (L.) All., 1785</v>
      </c>
      <c r="F20259" s="5" t="s">
        <v>25482</v>
      </c>
      <c r="Q20259" s="7" t="str">
        <f>HYPERLINK("#Liste_rouge!A"&amp;_xlfn.XMATCH("LC",Liste_rouge!A:A,2,1),"LC")</f>
        <v>LC</v>
      </c>
      <c r="T20259" s="7" t="str">
        <f>HYPERLINK("#Liste_rouge!A"&amp;_xlfn.XMATCH("NA",Liste_rouge!A:A,2,1),"NA")</f>
        <v>NA</v>
      </c>
      <c r="AH20259" s="4" t="str">
        <f>HYPERLINK("#Statut_biogéographique!A"&amp;_xlfn.XMATCH("P",Statut_biogéographique!A:A,2,1),"P")</f>
        <v>P</v>
      </c>
      <c r="AP20259" s="4" t="s">
        <v>376</v>
      </c>
      <c r="AR20259" s="4" t="s">
        <v>377</v>
      </c>
    </row>
    <row r="20260" spans="1:44" ht="75">
      <c r="A20260" s="4" t="s">
        <v>24364</v>
      </c>
      <c r="B20260" s="4">
        <v>107942</v>
      </c>
      <c r="D20260" s="5" t="s">
        <v>25483</v>
      </c>
      <c r="E20260" s="6" t="str">
        <f>HYPERLINK("https://inpn.mnhn.fr/espece/cd_nom/107942","Melilotus officinalis (L.) Lam., 1779")</f>
        <v>Melilotus officinalis (L.) Lam., 1779</v>
      </c>
      <c r="F20260" s="5" t="s">
        <v>25484</v>
      </c>
      <c r="P20260" s="7" t="str">
        <f>HYPERLINK("#Liste_rouge!A"&amp;_xlfn.XMATCH("LC",Liste_rouge!A:A,2,1),"LC")</f>
        <v>LC</v>
      </c>
      <c r="Q20260" s="7" t="str">
        <f>HYPERLINK("#Liste_rouge!A"&amp;_xlfn.XMATCH("LC",Liste_rouge!A:A,2,1),"LC")</f>
        <v>LC</v>
      </c>
      <c r="T20260" s="7" t="str">
        <f>HYPERLINK("#Liste_rouge!A"&amp;_xlfn.XMATCH("LC",Liste_rouge!A:A,2,1),"LC")</f>
        <v>LC</v>
      </c>
      <c r="V20260" s="7" t="str">
        <f>HYPERLINK("#Liste_rouge!A"&amp;_xlfn.XMATCH("LC",Liste_rouge!A:A,2,1),"LC")</f>
        <v>LC</v>
      </c>
      <c r="AH20260" s="4" t="str">
        <f>HYPERLINK("#Statut_biogéographique!A"&amp;_xlfn.XMATCH("P",Statut_biogéographique!A:A,2,1),"P")</f>
        <v>P</v>
      </c>
      <c r="AM20260" s="4" t="s">
        <v>375</v>
      </c>
      <c r="AN20260" s="4" t="s">
        <v>375</v>
      </c>
      <c r="AO20260" s="4" t="s">
        <v>375</v>
      </c>
      <c r="AP20260" s="4" t="s">
        <v>376</v>
      </c>
      <c r="AR20260" s="4" t="s">
        <v>377</v>
      </c>
    </row>
    <row r="20261" spans="1:44" ht="45">
      <c r="A20261" s="4" t="s">
        <v>24364</v>
      </c>
      <c r="B20261" s="4">
        <v>107967</v>
      </c>
      <c r="D20261" s="5" t="s">
        <v>25485</v>
      </c>
      <c r="E20261" s="6" t="str">
        <f>HYPERLINK("https://inpn.mnhn.fr/espece/cd_nom/107967","Melilotus sulcatus Desf., 1799")</f>
        <v>Melilotus sulcatus Desf., 1799</v>
      </c>
      <c r="F20261" s="5" t="s">
        <v>25486</v>
      </c>
      <c r="Q20261" s="7" t="str">
        <f>HYPERLINK("#Liste_rouge!A"&amp;_xlfn.XMATCH("LC",Liste_rouge!A:A,2,1),"LC")</f>
        <v>LC</v>
      </c>
      <c r="T20261" s="7" t="str">
        <f>HYPERLINK("#Liste_rouge!A"&amp;_xlfn.XMATCH("NA",Liste_rouge!A:A,2,1),"NA")</f>
        <v>NA</v>
      </c>
      <c r="AH20261" s="4" t="str">
        <f>HYPERLINK("#Statut_biogéographique!A"&amp;_xlfn.XMATCH("P",Statut_biogéographique!A:A,2,1),"P")</f>
        <v>P</v>
      </c>
      <c r="AP20261" s="4" t="s">
        <v>376</v>
      </c>
      <c r="AR20261" s="4" t="s">
        <v>377</v>
      </c>
    </row>
    <row r="20262" spans="1:44" ht="30">
      <c r="A20262" s="4" t="s">
        <v>24364</v>
      </c>
      <c r="B20262" s="4">
        <v>107992</v>
      </c>
      <c r="D20262" s="5" t="s">
        <v>25487</v>
      </c>
      <c r="E20262" s="6" t="str">
        <f>HYPERLINK("https://inpn.mnhn.fr/espece/cd_nom/107992","Melissa officinalis L., 1753")</f>
        <v>Melissa officinalis L., 1753</v>
      </c>
      <c r="F20262" s="5" t="s">
        <v>25488</v>
      </c>
      <c r="P20262" s="7" t="str">
        <f>HYPERLINK("#Liste_rouge!A"&amp;_xlfn.XMATCH("LC",Liste_rouge!A:A,2,1),"LC")</f>
        <v>LC</v>
      </c>
      <c r="Q20262" s="7" t="str">
        <f>HYPERLINK("#Liste_rouge!A"&amp;_xlfn.XMATCH("LC",Liste_rouge!A:A,2,1),"LC")</f>
        <v>LC</v>
      </c>
      <c r="T20262" s="7" t="str">
        <f>HYPERLINK("#Liste_rouge!A"&amp;_xlfn.XMATCH("NA",Liste_rouge!A:A,2,1),"NA")</f>
        <v>NA</v>
      </c>
      <c r="AH20262" s="4" t="str">
        <f>HYPERLINK("#Statut_biogéographique!A"&amp;_xlfn.XMATCH("P",Statut_biogéographique!A:A,2,1),"P")</f>
        <v>P</v>
      </c>
      <c r="AM20262" s="4" t="s">
        <v>375</v>
      </c>
      <c r="AN20262" s="4" t="s">
        <v>375</v>
      </c>
      <c r="AO20262" s="4" t="s">
        <v>375</v>
      </c>
      <c r="AP20262" s="4" t="s">
        <v>376</v>
      </c>
      <c r="AR20262" s="4" t="s">
        <v>377</v>
      </c>
    </row>
    <row r="20263" spans="1:44" ht="30">
      <c r="A20263" s="4" t="s">
        <v>24364</v>
      </c>
      <c r="B20263" s="4">
        <v>108003</v>
      </c>
      <c r="D20263" s="5" t="s">
        <v>25489</v>
      </c>
      <c r="E20263" s="6" t="str">
        <f>HYPERLINK("https://inpn.mnhn.fr/espece/cd_nom/108003","Melittis melissophyllum L., 1753")</f>
        <v>Melittis melissophyllum L., 1753</v>
      </c>
      <c r="F20263" s="5" t="s">
        <v>25490</v>
      </c>
      <c r="Q20263" s="7" t="str">
        <f>HYPERLINK("#Liste_rouge!A"&amp;_xlfn.XMATCH("LC",Liste_rouge!A:A,2,1),"LC")</f>
        <v>LC</v>
      </c>
      <c r="T20263" s="7" t="str">
        <f>HYPERLINK("#Liste_rouge!A"&amp;_xlfn.XMATCH("LC",Liste_rouge!A:A,2,1),"LC")</f>
        <v>LC</v>
      </c>
      <c r="V20263" s="7" t="str">
        <f>HYPERLINK("#Liste_rouge!A"&amp;_xlfn.XMATCH("LC",Liste_rouge!A:A,2,1),"LC")</f>
        <v>LC</v>
      </c>
      <c r="AH20263" s="4" t="str">
        <f>HYPERLINK("#Statut_biogéographique!A"&amp;_xlfn.XMATCH("P",Statut_biogéographique!A:A,2,1),"P")</f>
        <v>P</v>
      </c>
      <c r="AM20263" s="4" t="s">
        <v>375</v>
      </c>
      <c r="AN20263" s="4" t="s">
        <v>375</v>
      </c>
      <c r="AO20263" s="4" t="s">
        <v>375</v>
      </c>
      <c r="AP20263" s="4" t="s">
        <v>376</v>
      </c>
      <c r="AR20263" s="4" t="s">
        <v>377</v>
      </c>
    </row>
    <row r="20264" spans="1:44" ht="90">
      <c r="A20264" s="4" t="s">
        <v>24364</v>
      </c>
      <c r="B20264" s="4">
        <v>108027</v>
      </c>
      <c r="D20264" s="5" t="s">
        <v>25491</v>
      </c>
      <c r="E20264" s="6" t="str">
        <f>HYPERLINK("https://inpn.mnhn.fr/espece/cd_nom/108027","Mentha aquatica L., 1753")</f>
        <v>Mentha aquatica L., 1753</v>
      </c>
      <c r="F20264" s="5" t="s">
        <v>25492</v>
      </c>
      <c r="O20264" s="7" t="str">
        <f>HYPERLINK("#Liste_rouge!A"&amp;_xlfn.XMATCH("LC",Liste_rouge!A:A,2,1),"LC")</f>
        <v>LC</v>
      </c>
      <c r="P20264" s="7" t="str">
        <f>HYPERLINK("#Liste_rouge!A"&amp;_xlfn.XMATCH("LC",Liste_rouge!A:A,2,1),"LC")</f>
        <v>LC</v>
      </c>
      <c r="Q20264" s="7" t="str">
        <f>HYPERLINK("#Liste_rouge!A"&amp;_xlfn.XMATCH("LC",Liste_rouge!A:A,2,1),"LC")</f>
        <v>LC</v>
      </c>
      <c r="T20264" s="7" t="str">
        <f>HYPERLINK("#Liste_rouge!A"&amp;_xlfn.XMATCH("LC",Liste_rouge!A:A,2,1),"LC (cd_nom 108027) - DD (cd_nom 137743)")</f>
        <v>LC (cd_nom 108027) - DD (cd_nom 137743)</v>
      </c>
      <c r="V20264" s="7" t="str">
        <f>HYPERLINK("#Liste_rouge!A"&amp;_xlfn.XMATCH("LC",Liste_rouge!A:A,2,1),"LC")</f>
        <v>LC</v>
      </c>
      <c r="AH20264" s="4" t="str">
        <f>HYPERLINK("#Statut_biogéographique!A"&amp;_xlfn.XMATCH("P",Statut_biogéographique!A:A,2,1),"P")</f>
        <v>P</v>
      </c>
      <c r="AM20264" s="4" t="s">
        <v>375</v>
      </c>
      <c r="AN20264" s="4" t="s">
        <v>375</v>
      </c>
      <c r="AO20264" s="4" t="s">
        <v>375</v>
      </c>
      <c r="AP20264" s="4" t="s">
        <v>376</v>
      </c>
      <c r="AR20264" s="4" t="s">
        <v>377</v>
      </c>
    </row>
    <row r="20265" spans="1:44" ht="225">
      <c r="A20265" s="4" t="s">
        <v>24364</v>
      </c>
      <c r="B20265" s="4">
        <v>108029</v>
      </c>
      <c r="D20265" s="5" t="s">
        <v>25493</v>
      </c>
      <c r="E20265" s="6" t="str">
        <f>HYPERLINK("https://inpn.mnhn.fr/espece/cd_nom/108029","Mentha arvensis L., 1753")</f>
        <v>Mentha arvensis L., 1753</v>
      </c>
      <c r="F20265" s="5" t="s">
        <v>25494</v>
      </c>
      <c r="Q20265" s="7" t="str">
        <f>HYPERLINK("#Liste_rouge!A"&amp;_xlfn.XMATCH("LC",Liste_rouge!A:A,2,1),"LC")</f>
        <v>LC</v>
      </c>
      <c r="T20265" s="7" t="str">
        <f>HYPERLINK("#Liste_rouge!A"&amp;_xlfn.XMATCH("LC",Liste_rouge!A:A,2,1),"LC")</f>
        <v>LC</v>
      </c>
      <c r="V20265" s="7" t="str">
        <f>HYPERLINK("#Liste_rouge!A"&amp;_xlfn.XMATCH("LC",Liste_rouge!A:A,2,1),"LC")</f>
        <v>LC</v>
      </c>
      <c r="AH20265" s="4" t="str">
        <f>HYPERLINK("#Statut_biogéographique!A"&amp;_xlfn.XMATCH("P",Statut_biogéographique!A:A,2,1),"P")</f>
        <v>P</v>
      </c>
      <c r="AM20265" s="4" t="s">
        <v>375</v>
      </c>
      <c r="AN20265" s="4" t="s">
        <v>375</v>
      </c>
      <c r="AO20265" s="4" t="s">
        <v>375</v>
      </c>
      <c r="AP20265" s="4" t="s">
        <v>376</v>
      </c>
      <c r="AR20265" s="4" t="s">
        <v>377</v>
      </c>
    </row>
    <row r="20266" spans="1:44">
      <c r="A20266" s="4" t="s">
        <v>24364</v>
      </c>
      <c r="B20266" s="4">
        <v>108044</v>
      </c>
      <c r="D20266" s="5" t="s">
        <v>25495</v>
      </c>
      <c r="E20266" s="6" t="str">
        <f>HYPERLINK("https://inpn.mnhn.fr/espece/cd_nom/108044","Mentha cervina L., 1753")</f>
        <v>Mentha cervina L., 1753</v>
      </c>
      <c r="F20266" s="5" t="s">
        <v>25496</v>
      </c>
      <c r="O20266" s="7" t="str">
        <f>HYPERLINK("#Liste_rouge!A"&amp;_xlfn.XMATCH("NT",Liste_rouge!A:A,2,1),"NT")</f>
        <v>NT</v>
      </c>
      <c r="Q20266" s="7" t="str">
        <f>HYPERLINK("#Liste_rouge!A"&amp;_xlfn.XMATCH("LC",Liste_rouge!A:A,2,1),"LC")</f>
        <v>LC</v>
      </c>
      <c r="T20266" s="7" t="str">
        <f>HYPERLINK("#Liste_rouge!A"&amp;_xlfn.XMATCH("NA",Liste_rouge!A:A,2,1),"NA")</f>
        <v>NA</v>
      </c>
      <c r="AH20266" s="4" t="str">
        <f>HYPERLINK("#Statut_biogéographique!A"&amp;_xlfn.XMATCH("P",Statut_biogéographique!A:A,2,1),"P")</f>
        <v>P</v>
      </c>
      <c r="AP20266" s="4" t="s">
        <v>376</v>
      </c>
      <c r="AR20266" s="4" t="s">
        <v>377</v>
      </c>
    </row>
    <row r="20267" spans="1:44" ht="165">
      <c r="A20267" s="4" t="s">
        <v>24364</v>
      </c>
      <c r="B20267" s="4">
        <v>108103</v>
      </c>
      <c r="D20267" s="5" t="s">
        <v>25497</v>
      </c>
      <c r="E20267" s="6" t="str">
        <f>HYPERLINK("https://inpn.mnhn.fr/espece/cd_nom/108103","Mentha longifolia (L.) Huds., 1762")</f>
        <v>Mentha longifolia (L.) Huds., 1762</v>
      </c>
      <c r="F20267" s="5" t="s">
        <v>25498</v>
      </c>
      <c r="O20267" s="7" t="str">
        <f>HYPERLINK("#Liste_rouge!A"&amp;_xlfn.XMATCH("LC",Liste_rouge!A:A,2,1),"LC")</f>
        <v>LC</v>
      </c>
      <c r="Q20267" s="7" t="str">
        <f>HYPERLINK("#Liste_rouge!A"&amp;_xlfn.XMATCH("LC",Liste_rouge!A:A,2,1),"LC")</f>
        <v>LC</v>
      </c>
      <c r="T20267" s="7" t="str">
        <f>HYPERLINK("#Liste_rouge!A"&amp;_xlfn.XMATCH("LC",Liste_rouge!A:A,2,1),"LC")</f>
        <v>LC</v>
      </c>
      <c r="V20267" s="7" t="str">
        <f>HYPERLINK("#Liste_rouge!A"&amp;_xlfn.XMATCH("LC",Liste_rouge!A:A,2,1),"LC")</f>
        <v>LC</v>
      </c>
      <c r="AH20267" s="4" t="str">
        <f>HYPERLINK("#Statut_biogéographique!A"&amp;_xlfn.XMATCH("P",Statut_biogéographique!A:A,2,1),"P")</f>
        <v>P</v>
      </c>
      <c r="AM20267" s="4" t="s">
        <v>375</v>
      </c>
      <c r="AN20267" s="4" t="s">
        <v>375</v>
      </c>
      <c r="AO20267" s="4" t="s">
        <v>375</v>
      </c>
      <c r="AP20267" s="4" t="s">
        <v>376</v>
      </c>
      <c r="AR20267" s="4" t="s">
        <v>377</v>
      </c>
    </row>
    <row r="20268" spans="1:44" ht="75">
      <c r="A20268" s="4" t="s">
        <v>24364</v>
      </c>
      <c r="B20268" s="4">
        <v>108138</v>
      </c>
      <c r="D20268" s="5" t="s">
        <v>25499</v>
      </c>
      <c r="E20268" s="6" t="str">
        <f>HYPERLINK("https://inpn.mnhn.fr/espece/cd_nom/108138","Mentha pulegium L., 1753")</f>
        <v>Mentha pulegium L., 1753</v>
      </c>
      <c r="F20268" s="5" t="s">
        <v>25500</v>
      </c>
      <c r="O20268" s="7" t="str">
        <f>HYPERLINK("#Liste_rouge!A"&amp;_xlfn.XMATCH("LC",Liste_rouge!A:A,2,1),"LC")</f>
        <v>LC</v>
      </c>
      <c r="P20268" s="7" t="str">
        <f>HYPERLINK("#Liste_rouge!A"&amp;_xlfn.XMATCH("LC",Liste_rouge!A:A,2,1),"LC")</f>
        <v>LC</v>
      </c>
      <c r="Q20268" s="7" t="str">
        <f>HYPERLINK("#Liste_rouge!A"&amp;_xlfn.XMATCH("LC",Liste_rouge!A:A,2,1),"LC")</f>
        <v>LC</v>
      </c>
      <c r="T20268" s="7" t="str">
        <f>HYPERLINK("#Liste_rouge!A"&amp;_xlfn.XMATCH("LC",Liste_rouge!A:A,2,1),"LC")</f>
        <v>LC</v>
      </c>
      <c r="V20268" s="7" t="str">
        <f>HYPERLINK("#Liste_rouge!A"&amp;_xlfn.XMATCH("LC",Liste_rouge!A:A,2,1),"LC")</f>
        <v>LC</v>
      </c>
      <c r="AB20268" s="4" t="s">
        <v>24501</v>
      </c>
      <c r="AH20268" s="4" t="str">
        <f>HYPERLINK("#Statut_biogéographique!A"&amp;_xlfn.XMATCH("P",Statut_biogéographique!A:A,2,1),"P")</f>
        <v>P</v>
      </c>
      <c r="AM20268" s="4" t="s">
        <v>375</v>
      </c>
      <c r="AN20268" s="4" t="s">
        <v>375</v>
      </c>
      <c r="AO20268" s="4" t="s">
        <v>375</v>
      </c>
      <c r="AP20268" s="4" t="s">
        <v>376</v>
      </c>
      <c r="AR20268" s="4" t="s">
        <v>377</v>
      </c>
    </row>
    <row r="20269" spans="1:44" ht="60">
      <c r="A20269" s="4" t="s">
        <v>24364</v>
      </c>
      <c r="B20269" s="4">
        <v>108166</v>
      </c>
      <c r="D20269" s="5" t="s">
        <v>25501</v>
      </c>
      <c r="E20269" s="6" t="str">
        <f>HYPERLINK("https://inpn.mnhn.fr/espece/cd_nom/108166","Mentha spicata L., 1753")</f>
        <v>Mentha spicata L., 1753</v>
      </c>
      <c r="F20269" s="5" t="s">
        <v>25502</v>
      </c>
      <c r="O20269" s="7" t="str">
        <f>HYPERLINK("#Liste_rouge!A"&amp;_xlfn.XMATCH("LC",Liste_rouge!A:A,2,1),"LC")</f>
        <v>LC</v>
      </c>
      <c r="P20269" s="7" t="str">
        <f>HYPERLINK("#Liste_rouge!A"&amp;_xlfn.XMATCH("LC",Liste_rouge!A:A,2,1),"LC")</f>
        <v>LC</v>
      </c>
      <c r="Q20269" s="7" t="str">
        <f>HYPERLINK("#Liste_rouge!A"&amp;_xlfn.XMATCH("LC",Liste_rouge!A:A,2,1),"LC")</f>
        <v>LC</v>
      </c>
      <c r="T20269" s="7" t="str">
        <f>HYPERLINK("#Liste_rouge!A"&amp;_xlfn.XMATCH("NA",Liste_rouge!A:A,2,1),"NA")</f>
        <v>NA</v>
      </c>
      <c r="V20269" s="7" t="str">
        <f>HYPERLINK("#Liste_rouge!A"&amp;_xlfn.XMATCH("LC",Liste_rouge!A:A,2,1),"LC")</f>
        <v>LC</v>
      </c>
      <c r="AH20269" s="4" t="str">
        <f>HYPERLINK("#Statut_biogéographique!A"&amp;_xlfn.XMATCH("M",Statut_biogéographique!A:A,2,1),"M")</f>
        <v>M</v>
      </c>
      <c r="AM20269" s="4" t="s">
        <v>375</v>
      </c>
      <c r="AN20269" s="4" t="s">
        <v>375</v>
      </c>
      <c r="AO20269" s="4" t="s">
        <v>375</v>
      </c>
      <c r="AP20269" s="4" t="s">
        <v>376</v>
      </c>
      <c r="AR20269" s="4" t="s">
        <v>377</v>
      </c>
    </row>
    <row r="20270" spans="1:44" ht="45">
      <c r="A20270" s="4" t="s">
        <v>24364</v>
      </c>
      <c r="B20270" s="4">
        <v>108168</v>
      </c>
      <c r="D20270" s="5" t="s">
        <v>25503</v>
      </c>
      <c r="E20270" s="6" t="str">
        <f>HYPERLINK("https://inpn.mnhn.fr/espece/cd_nom/108168","Mentha suaveolens Ehrh., 1792")</f>
        <v>Mentha suaveolens Ehrh., 1792</v>
      </c>
      <c r="F20270" s="5" t="s">
        <v>25504</v>
      </c>
      <c r="O20270" s="7" t="str">
        <f>HYPERLINK("#Liste_rouge!A"&amp;_xlfn.XMATCH("LC",Liste_rouge!A:A,2,1),"LC")</f>
        <v>LC</v>
      </c>
      <c r="Q20270" s="7" t="str">
        <f>HYPERLINK("#Liste_rouge!A"&amp;_xlfn.XMATCH("LC",Liste_rouge!A:A,2,1),"LC")</f>
        <v>LC</v>
      </c>
      <c r="T20270" s="7" t="str">
        <f>HYPERLINK("#Liste_rouge!A"&amp;_xlfn.XMATCH("LC",Liste_rouge!A:A,2,1),"LC")</f>
        <v>LC</v>
      </c>
      <c r="V20270" s="7" t="str">
        <f>HYPERLINK("#Liste_rouge!A"&amp;_xlfn.XMATCH("LC",Liste_rouge!A:A,2,1),"LC")</f>
        <v>LC</v>
      </c>
      <c r="AH20270" s="4" t="str">
        <f>HYPERLINK("#Statut_biogéographique!A"&amp;_xlfn.XMATCH("P",Statut_biogéographique!A:A,2,1),"P")</f>
        <v>P</v>
      </c>
      <c r="AM20270" s="4" t="s">
        <v>375</v>
      </c>
      <c r="AN20270" s="4" t="s">
        <v>375</v>
      </c>
      <c r="AO20270" s="4" t="s">
        <v>375</v>
      </c>
      <c r="AP20270" s="4" t="s">
        <v>376</v>
      </c>
      <c r="AR20270" s="4" t="s">
        <v>377</v>
      </c>
    </row>
    <row r="20271" spans="1:44" ht="60">
      <c r="A20271" s="4" t="s">
        <v>24364</v>
      </c>
      <c r="B20271" s="4">
        <v>108241</v>
      </c>
      <c r="D20271" s="5" t="s">
        <v>25505</v>
      </c>
      <c r="E20271" s="6" t="str">
        <f>HYPERLINK("https://inpn.mnhn.fr/espece/cd_nom/108241","Mentha x dumetorum Schult., 1809")</f>
        <v>Mentha x dumetorum Schult., 1809</v>
      </c>
      <c r="F20271" s="5" t="s">
        <v>25506</v>
      </c>
      <c r="T20271" s="7" t="str">
        <f>HYPERLINK("#Liste_rouge!A"&amp;_xlfn.XMATCH("DD",Liste_rouge!A:A,2,1),"DD")</f>
        <v>DD</v>
      </c>
      <c r="AH20271" s="4" t="str">
        <f>HYPERLINK("#Statut_biogéographique!A"&amp;_xlfn.XMATCH("M",Statut_biogéographique!A:A,2,1),"M")</f>
        <v>M</v>
      </c>
      <c r="AP20271" s="4" t="s">
        <v>376</v>
      </c>
      <c r="AR20271" s="4" t="s">
        <v>377</v>
      </c>
    </row>
    <row r="20272" spans="1:44" ht="45">
      <c r="A20272" s="4" t="s">
        <v>24364</v>
      </c>
      <c r="B20272" s="4">
        <v>108247</v>
      </c>
      <c r="D20272" s="5" t="s">
        <v>25507</v>
      </c>
      <c r="E20272" s="6" t="str">
        <f>HYPERLINK("https://inpn.mnhn.fr/espece/cd_nom/108247","Mentha x gentilis L., 1753")</f>
        <v>Mentha x gentilis L., 1753</v>
      </c>
      <c r="F20272" s="5" t="s">
        <v>25508</v>
      </c>
      <c r="T20272" s="7" t="str">
        <f>HYPERLINK("#Liste_rouge!A"&amp;_xlfn.XMATCH("NA",Liste_rouge!A:A,2,1),"NA")</f>
        <v>NA</v>
      </c>
      <c r="AH20272" s="4" t="str">
        <f>HYPERLINK("#Statut_biogéographique!A"&amp;_xlfn.XMATCH("P",Statut_biogéographique!A:A,2,1),"P")</f>
        <v>P</v>
      </c>
      <c r="AP20272" s="4" t="s">
        <v>376</v>
      </c>
      <c r="AR20272" s="4" t="s">
        <v>377</v>
      </c>
    </row>
    <row r="20273" spans="1:44" ht="75">
      <c r="A20273" s="4" t="s">
        <v>24364</v>
      </c>
      <c r="B20273" s="4">
        <v>108295</v>
      </c>
      <c r="D20273" s="5" t="s">
        <v>25509</v>
      </c>
      <c r="E20273" s="6" t="str">
        <f>HYPERLINK("https://inpn.mnhn.fr/espece/cd_nom/108295","Mentha x piperita L., 1753")</f>
        <v>Mentha x piperita L., 1753</v>
      </c>
      <c r="F20273" s="5" t="s">
        <v>25510</v>
      </c>
      <c r="T20273" s="7" t="str">
        <f>HYPERLINK("#Liste_rouge!A"&amp;_xlfn.XMATCH("NA",Liste_rouge!A:A,2,1),"NA")</f>
        <v>NA</v>
      </c>
      <c r="AH20273" s="4" t="str">
        <f>HYPERLINK("#Statut_biogéographique!A"&amp;_xlfn.XMATCH("M",Statut_biogéographique!A:A,2,1),"M")</f>
        <v>M</v>
      </c>
      <c r="AP20273" s="4" t="s">
        <v>376</v>
      </c>
      <c r="AR20273" s="4" t="s">
        <v>377</v>
      </c>
    </row>
    <row r="20274" spans="1:44" ht="30">
      <c r="A20274" s="4" t="s">
        <v>24364</v>
      </c>
      <c r="B20274" s="4">
        <v>108308</v>
      </c>
      <c r="D20274" s="5" t="s">
        <v>25511</v>
      </c>
      <c r="E20274" s="6" t="str">
        <f>HYPERLINK("https://inpn.mnhn.fr/espece/cd_nom/108308","Mentha x rotundifolia (L.) Huds., 1762")</f>
        <v>Mentha x rotundifolia (L.) Huds., 1762</v>
      </c>
      <c r="F20274" s="5" t="s">
        <v>25512</v>
      </c>
      <c r="T20274" s="7" t="str">
        <f>HYPERLINK("#Liste_rouge!A"&amp;_xlfn.XMATCH("NA",Liste_rouge!A:A,2,1),"NA")</f>
        <v>NA</v>
      </c>
      <c r="AH20274" s="4" t="str">
        <f>HYPERLINK("#Statut_biogéographique!A"&amp;_xlfn.XMATCH("P",Statut_biogéographique!A:A,2,1),"P")</f>
        <v>P</v>
      </c>
      <c r="AP20274" s="4" t="s">
        <v>376</v>
      </c>
      <c r="AR20274" s="4" t="s">
        <v>377</v>
      </c>
    </row>
    <row r="20275" spans="1:44" ht="30">
      <c r="A20275" s="4" t="s">
        <v>24364</v>
      </c>
      <c r="B20275" s="4">
        <v>108318</v>
      </c>
      <c r="D20275" s="5" t="s">
        <v>25513</v>
      </c>
      <c r="E20275" s="6" t="str">
        <f>HYPERLINK("https://inpn.mnhn.fr/espece/cd_nom/108318","Mentha x smithiana R.A.Graham, 1949")</f>
        <v>Mentha x smithiana R.A.Graham, 1949</v>
      </c>
      <c r="F20275" s="5" t="s">
        <v>25514</v>
      </c>
      <c r="T20275" s="7" t="str">
        <f>HYPERLINK("#Liste_rouge!A"&amp;_xlfn.XMATCH("NA",Liste_rouge!A:A,2,1),"NA")</f>
        <v>NA</v>
      </c>
      <c r="AH20275" s="4" t="str">
        <f>HYPERLINK("#Statut_biogéographique!A"&amp;_xlfn.XMATCH("M",Statut_biogéographique!A:A,2,1),"M")</f>
        <v>M</v>
      </c>
      <c r="AP20275" s="4" t="s">
        <v>376</v>
      </c>
      <c r="AR20275" s="4" t="s">
        <v>377</v>
      </c>
    </row>
    <row r="20276" spans="1:44" ht="30">
      <c r="A20276" s="4" t="s">
        <v>24364</v>
      </c>
      <c r="B20276" s="4">
        <v>108321</v>
      </c>
      <c r="D20276" s="5" t="s">
        <v>25515</v>
      </c>
      <c r="E20276" s="6" t="str">
        <f>HYPERLINK("https://inpn.mnhn.fr/espece/cd_nom/108321","Mentha x suavis Guss., 1826")</f>
        <v>Mentha x suavis Guss., 1826</v>
      </c>
      <c r="F20276" s="5" t="s">
        <v>25516</v>
      </c>
      <c r="T20276" s="7" t="str">
        <f>HYPERLINK("#Liste_rouge!A"&amp;_xlfn.XMATCH("DD",Liste_rouge!A:A,2,1),"DD")</f>
        <v>DD</v>
      </c>
      <c r="AH20276" s="4" t="str">
        <f>HYPERLINK("#Statut_biogéographique!A"&amp;_xlfn.XMATCH("P",Statut_biogéographique!A:A,2,1),"P")</f>
        <v>P</v>
      </c>
      <c r="AP20276" s="4" t="s">
        <v>376</v>
      </c>
      <c r="AR20276" s="4" t="s">
        <v>377</v>
      </c>
    </row>
    <row r="20277" spans="1:44" ht="150">
      <c r="A20277" s="4" t="s">
        <v>24364</v>
      </c>
      <c r="B20277" s="4">
        <v>108331</v>
      </c>
      <c r="D20277" s="5" t="s">
        <v>25517</v>
      </c>
      <c r="E20277" s="6" t="str">
        <f>HYPERLINK("https://inpn.mnhn.fr/espece/cd_nom/108331","Mentha x verticillata L., 1759")</f>
        <v>Mentha x verticillata L., 1759</v>
      </c>
      <c r="F20277" s="5" t="s">
        <v>25518</v>
      </c>
      <c r="T20277" s="7" t="str">
        <f>HYPERLINK("#Liste_rouge!A"&amp;_xlfn.XMATCH("DD",Liste_rouge!A:A,2,1),"DD")</f>
        <v>DD</v>
      </c>
      <c r="AH20277" s="4" t="str">
        <f>HYPERLINK("#Statut_biogéographique!A"&amp;_xlfn.XMATCH("P",Statut_biogéographique!A:A,2,1),"P")</f>
        <v>P</v>
      </c>
      <c r="AP20277" s="4" t="s">
        <v>376</v>
      </c>
      <c r="AR20277" s="4" t="s">
        <v>377</v>
      </c>
    </row>
    <row r="20278" spans="1:44" ht="75">
      <c r="A20278" s="4" t="s">
        <v>24364</v>
      </c>
      <c r="B20278" s="4">
        <v>108332</v>
      </c>
      <c r="D20278" s="5" t="s">
        <v>25519</v>
      </c>
      <c r="E20278" s="6" t="str">
        <f>HYPERLINK("https://inpn.mnhn.fr/espece/cd_nom/108332","Mentha x villosa Huds., 1778")</f>
        <v>Mentha x villosa Huds., 1778</v>
      </c>
      <c r="F20278" s="5" t="s">
        <v>25520</v>
      </c>
      <c r="T20278" s="7" t="str">
        <f>HYPERLINK("#Liste_rouge!A"&amp;_xlfn.XMATCH("DD",Liste_rouge!A:A,2,1),"DD")</f>
        <v>DD</v>
      </c>
      <c r="AH20278" s="4" t="str">
        <f>HYPERLINK("#Statut_biogéographique!A"&amp;_xlfn.XMATCH("P",Statut_biogéographique!A:A,2,1),"P")</f>
        <v>P</v>
      </c>
      <c r="AP20278" s="4" t="s">
        <v>376</v>
      </c>
      <c r="AR20278" s="4" t="s">
        <v>377</v>
      </c>
    </row>
    <row r="20279" spans="1:44">
      <c r="A20279" s="4" t="s">
        <v>24364</v>
      </c>
      <c r="B20279" s="4">
        <v>108333</v>
      </c>
      <c r="D20279" s="5" t="s">
        <v>25521</v>
      </c>
      <c r="E20279" s="6" t="str">
        <f>HYPERLINK("https://inpn.mnhn.fr/espece/cd_nom/108333","Mentha x villoso-nervata Opiz, 1823")</f>
        <v>Mentha x villoso-nervata Opiz, 1823</v>
      </c>
      <c r="F20279" s="5" t="s">
        <v>25522</v>
      </c>
      <c r="T20279" s="7" t="str">
        <f>HYPERLINK("#Liste_rouge!A"&amp;_xlfn.XMATCH("NE",Liste_rouge!A:A,2,1),"NE")</f>
        <v>NE</v>
      </c>
      <c r="AH20279" s="4" t="str">
        <f>HYPERLINK("#Statut_biogéographique!A"&amp;_xlfn.XMATCH("P",Statut_biogéographique!A:A,2,1),"P")</f>
        <v>P</v>
      </c>
      <c r="AP20279" s="4" t="s">
        <v>376</v>
      </c>
      <c r="AR20279" s="4" t="s">
        <v>377</v>
      </c>
    </row>
    <row r="20280" spans="1:44" ht="30">
      <c r="A20280" s="4" t="s">
        <v>24364</v>
      </c>
      <c r="B20280" s="4">
        <v>108345</v>
      </c>
      <c r="D20280" s="5" t="s">
        <v>25523</v>
      </c>
      <c r="E20280" s="6" t="str">
        <f>HYPERLINK("https://inpn.mnhn.fr/espece/cd_nom/108345","Menyanthes trifoliata L., 1753")</f>
        <v>Menyanthes trifoliata L., 1753</v>
      </c>
      <c r="F20280" s="5" t="s">
        <v>25524</v>
      </c>
      <c r="O20280" s="7" t="str">
        <f>HYPERLINK("#Liste_rouge!A"&amp;_xlfn.XMATCH("LC",Liste_rouge!A:A,2,1),"LC")</f>
        <v>LC</v>
      </c>
      <c r="P20280" s="7" t="str">
        <f>HYPERLINK("#Liste_rouge!A"&amp;_xlfn.XMATCH("LC",Liste_rouge!A:A,2,1),"LC")</f>
        <v>LC</v>
      </c>
      <c r="Q20280" s="7" t="str">
        <f>HYPERLINK("#Liste_rouge!A"&amp;_xlfn.XMATCH("LC",Liste_rouge!A:A,2,1),"LC")</f>
        <v>LC</v>
      </c>
      <c r="T20280" s="7" t="str">
        <f>HYPERLINK("#Liste_rouge!A"&amp;_xlfn.XMATCH("NT",Liste_rouge!A:A,2,1),"NT")</f>
        <v>NT</v>
      </c>
      <c r="U20280" s="4" t="str">
        <f>HYPERLINK("#Critères_liste_rouge!A$1","pr. B2a")</f>
        <v>pr. B2a</v>
      </c>
      <c r="V20280" s="7" t="str">
        <f>HYPERLINK("#Liste_rouge!A"&amp;_xlfn.XMATCH("LC",Liste_rouge!A:A,2,1),"LC")</f>
        <v>LC</v>
      </c>
      <c r="AB20280" s="4" t="s">
        <v>25010</v>
      </c>
      <c r="AH20280" s="4" t="str">
        <f>HYPERLINK("#Statut_biogéographique!A"&amp;_xlfn.XMATCH("P",Statut_biogéographique!A:A,2,1),"P")</f>
        <v>P</v>
      </c>
      <c r="AM20280" s="4" t="s">
        <v>375</v>
      </c>
      <c r="AN20280" s="4" t="s">
        <v>375</v>
      </c>
      <c r="AO20280" s="4" t="s">
        <v>375</v>
      </c>
      <c r="AP20280" s="4" t="s">
        <v>376</v>
      </c>
      <c r="AR20280" s="4" t="s">
        <v>377</v>
      </c>
    </row>
    <row r="20281" spans="1:44" ht="30">
      <c r="A20281" s="4" t="s">
        <v>24364</v>
      </c>
      <c r="B20281" s="4">
        <v>108350</v>
      </c>
      <c r="D20281" s="5" t="s">
        <v>25525</v>
      </c>
      <c r="E20281" s="6" t="str">
        <f>HYPERLINK("https://inpn.mnhn.fr/espece/cd_nom/108350","Mercurialis ambigua L.f., 1762")</f>
        <v>Mercurialis ambigua L.f., 1762</v>
      </c>
      <c r="F20281" s="5" t="s">
        <v>25526</v>
      </c>
      <c r="Q20281" s="7" t="str">
        <f>HYPERLINK("#Liste_rouge!A"&amp;_xlfn.XMATCH("LC",Liste_rouge!A:A,2,1),"LC")</f>
        <v>LC</v>
      </c>
      <c r="T20281" s="7" t="str">
        <f>HYPERLINK("#Liste_rouge!A"&amp;_xlfn.XMATCH("NA",Liste_rouge!A:A,2,1),"NA")</f>
        <v>NA</v>
      </c>
      <c r="AH20281" s="4" t="str">
        <f>HYPERLINK("#Statut_biogéographique!A"&amp;_xlfn.XMATCH("P",Statut_biogéographique!A:A,2,1),"P")</f>
        <v>P</v>
      </c>
      <c r="AP20281" s="4" t="s">
        <v>376</v>
      </c>
      <c r="AR20281" s="4" t="s">
        <v>377</v>
      </c>
    </row>
    <row r="20282" spans="1:44">
      <c r="A20282" s="4" t="s">
        <v>24364</v>
      </c>
      <c r="B20282" s="4">
        <v>108351</v>
      </c>
      <c r="D20282" s="5" t="s">
        <v>25527</v>
      </c>
      <c r="E20282" s="6" t="str">
        <f>HYPERLINK("https://inpn.mnhn.fr/espece/cd_nom/108351","Mercurialis annua L., 1753")</f>
        <v>Mercurialis annua L., 1753</v>
      </c>
      <c r="F20282" s="5" t="s">
        <v>25528</v>
      </c>
      <c r="Q20282" s="7" t="str">
        <f>HYPERLINK("#Liste_rouge!A"&amp;_xlfn.XMATCH("LC",Liste_rouge!A:A,2,1),"LC")</f>
        <v>LC</v>
      </c>
      <c r="T20282" s="7" t="str">
        <f>HYPERLINK("#Liste_rouge!A"&amp;_xlfn.XMATCH("LC",Liste_rouge!A:A,2,1),"LC")</f>
        <v>LC</v>
      </c>
      <c r="V20282" s="7" t="str">
        <f>HYPERLINK("#Liste_rouge!A"&amp;_xlfn.XMATCH("LC",Liste_rouge!A:A,2,1),"LC")</f>
        <v>LC</v>
      </c>
      <c r="AH20282" s="4" t="str">
        <f>HYPERLINK("#Statut_biogéographique!A"&amp;_xlfn.XMATCH("P",Statut_biogéographique!A:A,2,1),"P")</f>
        <v>P</v>
      </c>
      <c r="AM20282" s="4" t="s">
        <v>375</v>
      </c>
      <c r="AN20282" s="4" t="s">
        <v>375</v>
      </c>
      <c r="AO20282" s="4" t="s">
        <v>375</v>
      </c>
      <c r="AP20282" s="4" t="s">
        <v>376</v>
      </c>
      <c r="AR20282" s="4" t="s">
        <v>377</v>
      </c>
    </row>
    <row r="20283" spans="1:44" ht="30">
      <c r="A20283" s="4" t="s">
        <v>24364</v>
      </c>
      <c r="B20283" s="4">
        <v>108361</v>
      </c>
      <c r="D20283" s="5" t="s">
        <v>25529</v>
      </c>
      <c r="E20283" s="6" t="str">
        <f>HYPERLINK("https://inpn.mnhn.fr/espece/cd_nom/108361","Mercurialis perennis L., 1753")</f>
        <v>Mercurialis perennis L., 1753</v>
      </c>
      <c r="F20283" s="5" t="s">
        <v>25530</v>
      </c>
      <c r="Q20283" s="7" t="str">
        <f>HYPERLINK("#Liste_rouge!A"&amp;_xlfn.XMATCH("LC",Liste_rouge!A:A,2,1),"LC")</f>
        <v>LC</v>
      </c>
      <c r="T20283" s="7" t="str">
        <f>HYPERLINK("#Liste_rouge!A"&amp;_xlfn.XMATCH("LC",Liste_rouge!A:A,2,1),"LC")</f>
        <v>LC</v>
      </c>
      <c r="V20283" s="7" t="str">
        <f>HYPERLINK("#Liste_rouge!A"&amp;_xlfn.XMATCH("LC",Liste_rouge!A:A,2,1),"LC")</f>
        <v>LC</v>
      </c>
      <c r="AH20283" s="4" t="str">
        <f>HYPERLINK("#Statut_biogéographique!A"&amp;_xlfn.XMATCH("P",Statut_biogéographique!A:A,2,1),"P")</f>
        <v>P</v>
      </c>
      <c r="AM20283" s="4" t="s">
        <v>375</v>
      </c>
      <c r="AN20283" s="4" t="s">
        <v>375</v>
      </c>
      <c r="AO20283" s="4" t="s">
        <v>375</v>
      </c>
      <c r="AP20283" s="4" t="s">
        <v>376</v>
      </c>
      <c r="AR20283" s="4" t="s">
        <v>377</v>
      </c>
    </row>
    <row r="20284" spans="1:44">
      <c r="A20284" s="4" t="s">
        <v>24364</v>
      </c>
      <c r="B20284" s="4">
        <v>108367</v>
      </c>
      <c r="D20284" s="5" t="s">
        <v>25531</v>
      </c>
      <c r="E20284" s="6" t="str">
        <f>HYPERLINK("https://inpn.mnhn.fr/espece/cd_nom/108367","Mercurialis tomentosa L., 1753")</f>
        <v>Mercurialis tomentosa L., 1753</v>
      </c>
      <c r="F20284" s="5" t="s">
        <v>25532</v>
      </c>
      <c r="Q20284" s="7" t="str">
        <f>HYPERLINK("#Liste_rouge!A"&amp;_xlfn.XMATCH("LC",Liste_rouge!A:A,2,1),"LC")</f>
        <v>LC</v>
      </c>
      <c r="AH20284" s="4" t="str">
        <f>HYPERLINK("#Statut_biogéographique!A"&amp;_xlfn.XMATCH("P",Statut_biogéographique!A:A,2,1),"P")</f>
        <v>P</v>
      </c>
      <c r="AP20284" s="4" t="s">
        <v>376</v>
      </c>
      <c r="AR20284" s="4" t="s">
        <v>377</v>
      </c>
    </row>
    <row r="20285" spans="1:44" ht="60">
      <c r="A20285" s="4" t="s">
        <v>24364</v>
      </c>
      <c r="B20285" s="4">
        <v>108454</v>
      </c>
      <c r="D20285" s="5" t="s">
        <v>25533</v>
      </c>
      <c r="E20285" s="6" t="str">
        <f>HYPERLINK("https://inpn.mnhn.fr/espece/cd_nom/108454","Meum athamanticum Jacq., 1776")</f>
        <v>Meum athamanticum Jacq., 1776</v>
      </c>
      <c r="F20285" s="5" t="s">
        <v>25534</v>
      </c>
      <c r="Q20285" s="7" t="str">
        <f>HYPERLINK("#Liste_rouge!A"&amp;_xlfn.XMATCH("LC",Liste_rouge!A:A,2,1),"LC")</f>
        <v>LC</v>
      </c>
      <c r="V20285" s="7" t="str">
        <f>HYPERLINK("#Liste_rouge!A"&amp;_xlfn.XMATCH("NT",Liste_rouge!A:A,2,1),"NT")</f>
        <v>NT</v>
      </c>
      <c r="W20285" s="4" t="str">
        <f>HYPERLINK("#Critères_liste_rouge!A$1","pr. B2b(iii)")</f>
        <v>pr. B2b(iii)</v>
      </c>
      <c r="AB20285" s="4" t="s">
        <v>24909</v>
      </c>
      <c r="AH20285" s="4" t="str">
        <f>HYPERLINK("#Statut_biogéographique!A"&amp;_xlfn.XMATCH("P",Statut_biogéographique!A:A,2,1),"P")</f>
        <v>P</v>
      </c>
      <c r="AM20285" s="4" t="s">
        <v>375</v>
      </c>
      <c r="AN20285" s="4" t="s">
        <v>375</v>
      </c>
      <c r="AO20285" s="4" t="s">
        <v>375</v>
      </c>
      <c r="AP20285" s="4" t="s">
        <v>376</v>
      </c>
      <c r="AR20285" s="4" t="s">
        <v>377</v>
      </c>
    </row>
    <row r="20286" spans="1:44" ht="60">
      <c r="A20286" s="4" t="s">
        <v>24364</v>
      </c>
      <c r="B20286" s="4">
        <v>108477</v>
      </c>
      <c r="D20286" s="5" t="s">
        <v>25535</v>
      </c>
      <c r="E20286" s="6" t="str">
        <f>HYPERLINK("https://inpn.mnhn.fr/espece/cd_nom/108477","Mibora minima (L.) Desv., 1818")</f>
        <v>Mibora minima (L.) Desv., 1818</v>
      </c>
      <c r="F20286" s="5" t="s">
        <v>25536</v>
      </c>
      <c r="Q20286" s="7" t="str">
        <f>HYPERLINK("#Liste_rouge!A"&amp;_xlfn.XMATCH("LC",Liste_rouge!A:A,2,1),"LC")</f>
        <v>LC</v>
      </c>
      <c r="T20286" s="7" t="str">
        <f>HYPERLINK("#Liste_rouge!A"&amp;_xlfn.XMATCH("NT",Liste_rouge!A:A,2,1),"NT")</f>
        <v>NT</v>
      </c>
      <c r="U20286" s="4" t="str">
        <f>HYPERLINK("#Critères_liste_rouge!A$1","VU (A2ac) - 1")</f>
        <v>VU (A2ac) - 1</v>
      </c>
      <c r="AB20286" s="4" t="s">
        <v>24855</v>
      </c>
      <c r="AH20286" s="4" t="str">
        <f>HYPERLINK("#Statut_biogéographique!A"&amp;_xlfn.XMATCH("P",Statut_biogéographique!A:A,2,1),"P")</f>
        <v>P</v>
      </c>
      <c r="AM20286" s="4" t="s">
        <v>375</v>
      </c>
      <c r="AN20286" s="4" t="s">
        <v>375</v>
      </c>
      <c r="AO20286" s="4" t="s">
        <v>375</v>
      </c>
      <c r="AP20286" s="4" t="s">
        <v>376</v>
      </c>
      <c r="AR20286" s="4" t="s">
        <v>377</v>
      </c>
    </row>
    <row r="20287" spans="1:44" ht="225">
      <c r="A20287" s="4" t="s">
        <v>24364</v>
      </c>
      <c r="B20287" s="4">
        <v>108519</v>
      </c>
      <c r="D20287" s="5" t="s">
        <v>25537</v>
      </c>
      <c r="E20287" s="6" t="str">
        <f>HYPERLINK("https://inpn.mnhn.fr/espece/cd_nom/108519","Micropyrum tenellum (L.) Link, 1844")</f>
        <v>Micropyrum tenellum (L.) Link, 1844</v>
      </c>
      <c r="F20287" s="5" t="s">
        <v>25538</v>
      </c>
      <c r="Q20287" s="7" t="str">
        <f>HYPERLINK("#Liste_rouge!A"&amp;_xlfn.XMATCH("LC",Liste_rouge!A:A,2,1),"LC")</f>
        <v>LC</v>
      </c>
      <c r="T20287" s="7" t="str">
        <f>HYPERLINK("#Liste_rouge!A"&amp;_xlfn.XMATCH("LC",Liste_rouge!A:A,2,1),"LC (cd_nom 108519) - DD (cd_nom 153496)")</f>
        <v>LC (cd_nom 108519) - DD (cd_nom 153496)</v>
      </c>
      <c r="AB20287" s="4" t="s">
        <v>24495</v>
      </c>
      <c r="AH20287" s="4" t="str">
        <f>HYPERLINK("#Statut_biogéographique!A"&amp;_xlfn.XMATCH("P",Statut_biogéographique!A:A,2,1),"P")</f>
        <v>P</v>
      </c>
      <c r="AM20287" s="4" t="s">
        <v>375</v>
      </c>
      <c r="AN20287" s="4" t="s">
        <v>375</v>
      </c>
      <c r="AO20287" s="4" t="s">
        <v>375</v>
      </c>
      <c r="AP20287" s="4" t="s">
        <v>376</v>
      </c>
      <c r="AR20287" s="4" t="s">
        <v>377</v>
      </c>
    </row>
    <row r="20288" spans="1:44" ht="60">
      <c r="A20288" s="4" t="s">
        <v>24364</v>
      </c>
      <c r="B20288" s="4">
        <v>108522</v>
      </c>
      <c r="D20288" s="5" t="s">
        <v>25539</v>
      </c>
      <c r="E20288" s="6" t="str">
        <f>HYPERLINK("https://inpn.mnhn.fr/espece/cd_nom/108522","Microthlaspi perfoliatum (L.) F.K.Mey., 1973")</f>
        <v>Microthlaspi perfoliatum (L.) F.K.Mey., 1973</v>
      </c>
      <c r="F20288" s="5" t="s">
        <v>25540</v>
      </c>
      <c r="Q20288" s="7" t="str">
        <f>HYPERLINK("#Liste_rouge!A"&amp;_xlfn.XMATCH("LC",Liste_rouge!A:A,2,1),"LC")</f>
        <v>LC</v>
      </c>
      <c r="T20288" s="7" t="str">
        <f>HYPERLINK("#Liste_rouge!A"&amp;_xlfn.XMATCH("LC",Liste_rouge!A:A,2,1),"LC")</f>
        <v>LC</v>
      </c>
      <c r="V20288" s="7" t="str">
        <f>HYPERLINK("#Liste_rouge!A"&amp;_xlfn.XMATCH("LC",Liste_rouge!A:A,2,1),"LC")</f>
        <v>LC</v>
      </c>
      <c r="AH20288" s="4" t="str">
        <f>HYPERLINK("#Statut_biogéographique!A"&amp;_xlfn.XMATCH("P",Statut_biogéographique!A:A,2,1),"P")</f>
        <v>P</v>
      </c>
      <c r="AM20288" s="4" t="s">
        <v>375</v>
      </c>
      <c r="AN20288" s="4" t="s">
        <v>375</v>
      </c>
      <c r="AO20288" s="4" t="s">
        <v>375</v>
      </c>
      <c r="AP20288" s="4" t="s">
        <v>376</v>
      </c>
      <c r="AR20288" s="4" t="s">
        <v>377</v>
      </c>
    </row>
    <row r="20289" spans="1:44" ht="75">
      <c r="A20289" s="4" t="s">
        <v>24364</v>
      </c>
      <c r="B20289" s="4">
        <v>108537</v>
      </c>
      <c r="D20289" s="5" t="s">
        <v>25541</v>
      </c>
      <c r="E20289" s="6" t="str">
        <f>HYPERLINK("https://inpn.mnhn.fr/espece/cd_nom/108537","Milium effusum L., 1753")</f>
        <v>Milium effusum L., 1753</v>
      </c>
      <c r="F20289" s="5" t="s">
        <v>25542</v>
      </c>
      <c r="Q20289" s="7" t="str">
        <f>HYPERLINK("#Liste_rouge!A"&amp;_xlfn.XMATCH("LC",Liste_rouge!A:A,2,1),"LC")</f>
        <v>LC</v>
      </c>
      <c r="T20289" s="7" t="str">
        <f>HYPERLINK("#Liste_rouge!A"&amp;_xlfn.XMATCH("LC",Liste_rouge!A:A,2,1),"LC")</f>
        <v>LC</v>
      </c>
      <c r="V20289" s="7" t="str">
        <f>HYPERLINK("#Liste_rouge!A"&amp;_xlfn.XMATCH("LC",Liste_rouge!A:A,2,1),"LC")</f>
        <v>LC</v>
      </c>
      <c r="AH20289" s="4" t="str">
        <f>HYPERLINK("#Statut_biogéographique!A"&amp;_xlfn.XMATCH("P",Statut_biogéographique!A:A,2,1),"P")</f>
        <v>P</v>
      </c>
      <c r="AM20289" s="4" t="s">
        <v>375</v>
      </c>
      <c r="AN20289" s="4" t="s">
        <v>375</v>
      </c>
      <c r="AO20289" s="4" t="s">
        <v>375</v>
      </c>
      <c r="AP20289" s="4" t="s">
        <v>376</v>
      </c>
      <c r="AR20289" s="4" t="s">
        <v>377</v>
      </c>
    </row>
    <row r="20290" spans="1:44" ht="75">
      <c r="A20290" s="4" t="s">
        <v>24364</v>
      </c>
      <c r="B20290" s="4">
        <v>108613</v>
      </c>
      <c r="D20290" s="5" t="s">
        <v>25543</v>
      </c>
      <c r="E20290" s="6" t="str">
        <f>HYPERLINK("https://inpn.mnhn.fr/espece/cd_nom/108613","Minuartia rostrata (Pers.) Rchb., 1842")</f>
        <v>Minuartia rostrata (Pers.) Rchb., 1842</v>
      </c>
      <c r="F20290" s="5" t="s">
        <v>25544</v>
      </c>
      <c r="Q20290" s="7" t="str">
        <f>HYPERLINK("#Liste_rouge!A"&amp;_xlfn.XMATCH("LC",Liste_rouge!A:A,2,1),"LC")</f>
        <v>LC</v>
      </c>
      <c r="T20290" s="7" t="str">
        <f>HYPERLINK("#Liste_rouge!A"&amp;_xlfn.XMATCH("VU",Liste_rouge!A:A,2,1),"VU")</f>
        <v>VU</v>
      </c>
      <c r="U20290" s="4" t="str">
        <f>HYPERLINK("#Critères_liste_rouge!A$1","D2")</f>
        <v>D2</v>
      </c>
      <c r="X20290" s="5" t="s">
        <v>374</v>
      </c>
      <c r="AB20290" s="4" t="s">
        <v>93</v>
      </c>
      <c r="AH20290" s="4" t="str">
        <f>HYPERLINK("#Statut_biogéographique!A"&amp;_xlfn.XMATCH("P",Statut_biogéographique!A:A,2,1),"P")</f>
        <v>P</v>
      </c>
      <c r="AM20290" s="4" t="s">
        <v>375</v>
      </c>
      <c r="AN20290" s="4" t="s">
        <v>375</v>
      </c>
      <c r="AO20290" s="4" t="s">
        <v>375</v>
      </c>
      <c r="AP20290" s="4" t="s">
        <v>376</v>
      </c>
      <c r="AR20290" s="4" t="s">
        <v>377</v>
      </c>
    </row>
    <row r="20291" spans="1:44" ht="45">
      <c r="A20291" s="4" t="s">
        <v>24364</v>
      </c>
      <c r="B20291" s="4">
        <v>108614</v>
      </c>
      <c r="D20291" s="5" t="s">
        <v>25545</v>
      </c>
      <c r="E20291" s="6" t="str">
        <f>HYPERLINK("https://inpn.mnhn.fr/espece/cd_nom/108614","Minuartia rubra (Scop.) McNeill, 1963")</f>
        <v>Minuartia rubra (Scop.) McNeill, 1963</v>
      </c>
      <c r="F20291" s="5" t="s">
        <v>25546</v>
      </c>
      <c r="Q20291" s="7" t="str">
        <f>HYPERLINK("#Liste_rouge!A"&amp;_xlfn.XMATCH("LC",Liste_rouge!A:A,2,1),"LC")</f>
        <v>LC</v>
      </c>
      <c r="T20291" s="7" t="str">
        <f>HYPERLINK("#Liste_rouge!A"&amp;_xlfn.XMATCH("EN",Liste_rouge!A:A,2,1),"EN")</f>
        <v>EN</v>
      </c>
      <c r="U20291" s="4" t="str">
        <f>HYPERLINK("#Critères_liste_rouge!A$1","C2a(i)")</f>
        <v>C2a(i)</v>
      </c>
      <c r="V20291" s="7" t="str">
        <f>HYPERLINK("#Liste_rouge!A"&amp;_xlfn.XMATCH("VU",Liste_rouge!A:A,2,1),"VU")</f>
        <v>VU</v>
      </c>
      <c r="W20291" s="4" t="str">
        <f>HYPERLINK("#Critères_liste_rouge!A$1","D2")</f>
        <v>D2</v>
      </c>
      <c r="X20291" s="5" t="s">
        <v>374</v>
      </c>
      <c r="AB20291" s="4" t="s">
        <v>93</v>
      </c>
      <c r="AH20291" s="4" t="str">
        <f>HYPERLINK("#Statut_biogéographique!A"&amp;_xlfn.XMATCH("P",Statut_biogéographique!A:A,2,1),"P")</f>
        <v>P</v>
      </c>
      <c r="AM20291" s="4" t="s">
        <v>375</v>
      </c>
      <c r="AN20291" s="4" t="s">
        <v>375</v>
      </c>
      <c r="AO20291" s="4" t="s">
        <v>375</v>
      </c>
      <c r="AP20291" s="4" t="s">
        <v>376</v>
      </c>
      <c r="AR20291" s="4" t="s">
        <v>377</v>
      </c>
    </row>
    <row r="20292" spans="1:44" ht="30">
      <c r="A20292" s="4" t="s">
        <v>24364</v>
      </c>
      <c r="B20292" s="4">
        <v>108617</v>
      </c>
      <c r="D20292" s="5" t="s">
        <v>25547</v>
      </c>
      <c r="E20292" s="6" t="str">
        <f>HYPERLINK("https://inpn.mnhn.fr/espece/cd_nom/108617","Minuartia setacea (Thuill.) Hayek, 1911")</f>
        <v>Minuartia setacea (Thuill.) Hayek, 1911</v>
      </c>
      <c r="F20292" s="5" t="s">
        <v>25548</v>
      </c>
      <c r="Q20292" s="7" t="str">
        <f>HYPERLINK("#Liste_rouge!A"&amp;_xlfn.XMATCH("EN",Liste_rouge!A:A,2,1),"EN")</f>
        <v>EN</v>
      </c>
      <c r="AE20292" s="4" t="str">
        <f>HYPERLINK("#SCAP!A"&amp;_xlfn.XMATCH("A",SCAP!A:A,2,1),"A")</f>
        <v>A</v>
      </c>
      <c r="AH20292" s="4" t="str">
        <f>HYPERLINK("#Statut_biogéographique!A"&amp;_xlfn.XMATCH("P",Statut_biogéographique!A:A,2,1),"P")</f>
        <v>P</v>
      </c>
      <c r="AP20292" s="4" t="s">
        <v>376</v>
      </c>
      <c r="AR20292" s="4" t="s">
        <v>377</v>
      </c>
    </row>
    <row r="20293" spans="1:44" ht="30">
      <c r="A20293" s="4" t="s">
        <v>24364</v>
      </c>
      <c r="B20293" s="4">
        <v>108645</v>
      </c>
      <c r="D20293" s="5" t="s">
        <v>25549</v>
      </c>
      <c r="E20293" s="6" t="str">
        <f>HYPERLINK("https://inpn.mnhn.fr/espece/cd_nom/108645","Misopates orontium (L.) Raf., 1840")</f>
        <v>Misopates orontium (L.) Raf., 1840</v>
      </c>
      <c r="F20293" s="5" t="s">
        <v>25550</v>
      </c>
      <c r="Q20293" s="7" t="str">
        <f>HYPERLINK("#Liste_rouge!A"&amp;_xlfn.XMATCH("LC",Liste_rouge!A:A,2,1),"LC")</f>
        <v>LC</v>
      </c>
      <c r="T20293" s="7" t="str">
        <f>HYPERLINK("#Liste_rouge!A"&amp;_xlfn.XMATCH("LC",Liste_rouge!A:A,2,1),"LC")</f>
        <v>LC</v>
      </c>
      <c r="V20293" s="7" t="str">
        <f>HYPERLINK("#Liste_rouge!A"&amp;_xlfn.XMATCH("LC",Liste_rouge!A:A,2,1),"LC")</f>
        <v>LC</v>
      </c>
      <c r="AB20293" s="4" t="s">
        <v>24447</v>
      </c>
      <c r="AH20293" s="4" t="str">
        <f>HYPERLINK("#Statut_biogéographique!A"&amp;_xlfn.XMATCH("P",Statut_biogéographique!A:A,2,1),"P")</f>
        <v>P</v>
      </c>
      <c r="AM20293" s="4" t="s">
        <v>375</v>
      </c>
      <c r="AN20293" s="4" t="s">
        <v>375</v>
      </c>
      <c r="AO20293" s="4" t="s">
        <v>375</v>
      </c>
      <c r="AP20293" s="4" t="s">
        <v>376</v>
      </c>
      <c r="AR20293" s="4" t="s">
        <v>377</v>
      </c>
    </row>
    <row r="20294" spans="1:44" ht="30">
      <c r="A20294" s="4" t="s">
        <v>24364</v>
      </c>
      <c r="B20294" s="4">
        <v>108686</v>
      </c>
      <c r="D20294" s="5" t="s">
        <v>25551</v>
      </c>
      <c r="E20294" s="6" t="str">
        <f>HYPERLINK("https://inpn.mnhn.fr/espece/cd_nom/108686","Moehringia muscosa L., 1753")</f>
        <v>Moehringia muscosa L., 1753</v>
      </c>
      <c r="F20294" s="5" t="s">
        <v>25552</v>
      </c>
      <c r="Q20294" s="7" t="str">
        <f>HYPERLINK("#Liste_rouge!A"&amp;_xlfn.XMATCH("LC",Liste_rouge!A:A,2,1),"LC")</f>
        <v>LC</v>
      </c>
      <c r="T20294" s="7" t="str">
        <f>HYPERLINK("#Liste_rouge!A"&amp;_xlfn.XMATCH("RE",Liste_rouge!A:A,2,1),"RE")</f>
        <v>RE</v>
      </c>
      <c r="V20294" s="7" t="str">
        <f>HYPERLINK("#Liste_rouge!A"&amp;_xlfn.XMATCH("LC",Liste_rouge!A:A,2,1),"LC")</f>
        <v>LC</v>
      </c>
      <c r="AH20294" s="4" t="str">
        <f>HYPERLINK("#Statut_biogéographique!A"&amp;_xlfn.XMATCH("P",Statut_biogéographique!A:A,2,1),"P")</f>
        <v>P</v>
      </c>
      <c r="AM20294" s="4" t="s">
        <v>375</v>
      </c>
      <c r="AN20294" s="4" t="s">
        <v>375</v>
      </c>
      <c r="AO20294" s="4" t="s">
        <v>375</v>
      </c>
      <c r="AP20294" s="4" t="s">
        <v>376</v>
      </c>
      <c r="AR20294" s="4" t="s">
        <v>377</v>
      </c>
    </row>
    <row r="20295" spans="1:44" ht="30">
      <c r="A20295" s="4" t="s">
        <v>24364</v>
      </c>
      <c r="B20295" s="4">
        <v>108698</v>
      </c>
      <c r="D20295" s="5" t="s">
        <v>25553</v>
      </c>
      <c r="E20295" s="6" t="str">
        <f>HYPERLINK("https://inpn.mnhn.fr/espece/cd_nom/108698","Moehringia trinervia (L.) Clairv., 1811")</f>
        <v>Moehringia trinervia (L.) Clairv., 1811</v>
      </c>
      <c r="F20295" s="5" t="s">
        <v>25554</v>
      </c>
      <c r="Q20295" s="7" t="str">
        <f>HYPERLINK("#Liste_rouge!A"&amp;_xlfn.XMATCH("LC",Liste_rouge!A:A,2,1),"LC")</f>
        <v>LC</v>
      </c>
      <c r="T20295" s="7" t="str">
        <f>HYPERLINK("#Liste_rouge!A"&amp;_xlfn.XMATCH("LC",Liste_rouge!A:A,2,1),"LC")</f>
        <v>LC</v>
      </c>
      <c r="V20295" s="7" t="str">
        <f>HYPERLINK("#Liste_rouge!A"&amp;_xlfn.XMATCH("LC",Liste_rouge!A:A,2,1),"LC")</f>
        <v>LC</v>
      </c>
      <c r="AH20295" s="4" t="str">
        <f>HYPERLINK("#Statut_biogéographique!A"&amp;_xlfn.XMATCH("P",Statut_biogéographique!A:A,2,1),"P")</f>
        <v>P</v>
      </c>
      <c r="AM20295" s="4" t="s">
        <v>375</v>
      </c>
      <c r="AN20295" s="4" t="s">
        <v>375</v>
      </c>
      <c r="AO20295" s="4" t="s">
        <v>375</v>
      </c>
      <c r="AP20295" s="4" t="s">
        <v>376</v>
      </c>
      <c r="AR20295" s="4" t="s">
        <v>377</v>
      </c>
    </row>
    <row r="20296" spans="1:44" ht="60">
      <c r="A20296" s="4" t="s">
        <v>24364</v>
      </c>
      <c r="B20296" s="4">
        <v>108703</v>
      </c>
      <c r="D20296" s="5" t="s">
        <v>25555</v>
      </c>
      <c r="E20296" s="6" t="str">
        <f>HYPERLINK("https://inpn.mnhn.fr/espece/cd_nom/108703","Moenchia erecta (L.) G.Gaertn., B.Mey. &amp; Scherb., 1799")</f>
        <v>Moenchia erecta (L.) G.Gaertn., B.Mey. &amp; Scherb., 1799</v>
      </c>
      <c r="F20296" s="5" t="s">
        <v>25556</v>
      </c>
      <c r="Q20296" s="7" t="str">
        <f>HYPERLINK("#Liste_rouge!A"&amp;_xlfn.XMATCH("LC",Liste_rouge!A:A,2,1),"LC")</f>
        <v>LC</v>
      </c>
      <c r="T20296" s="7" t="str">
        <f>HYPERLINK("#Liste_rouge!A"&amp;_xlfn.XMATCH("DD",Liste_rouge!A:A,2,1),"DD (cd_nom 613153) - VU (cd_nom 108703)")</f>
        <v>DD (cd_nom 613153) - VU (cd_nom 108703)</v>
      </c>
      <c r="V20296" s="7" t="str">
        <f>HYPERLINK("#Liste_rouge!A"&amp;_xlfn.XMATCH("RE",Liste_rouge!A:A,2,1),"RE")</f>
        <v>RE</v>
      </c>
      <c r="X20296" s="5" t="s">
        <v>374</v>
      </c>
      <c r="AB20296" s="4" t="s">
        <v>93</v>
      </c>
      <c r="AH20296" s="4" t="str">
        <f>HYPERLINK("#Statut_biogéographique!A"&amp;_xlfn.XMATCH("P",Statut_biogéographique!A:A,2,1),"P")</f>
        <v>P</v>
      </c>
      <c r="AM20296" s="4" t="s">
        <v>375</v>
      </c>
      <c r="AN20296" s="4" t="s">
        <v>375</v>
      </c>
      <c r="AO20296" s="4" t="s">
        <v>375</v>
      </c>
      <c r="AP20296" s="4" t="s">
        <v>376</v>
      </c>
      <c r="AR20296" s="4" t="s">
        <v>377</v>
      </c>
    </row>
    <row r="20297" spans="1:44" ht="105">
      <c r="A20297" s="4" t="s">
        <v>24364</v>
      </c>
      <c r="B20297" s="4">
        <v>108717</v>
      </c>
      <c r="D20297" s="5" t="s">
        <v>25557</v>
      </c>
      <c r="E20297" s="6" t="str">
        <f>HYPERLINK("https://inpn.mnhn.fr/espece/cd_nom/108717","Molinia arundinacea Schrank, 1789")</f>
        <v>Molinia arundinacea Schrank, 1789</v>
      </c>
      <c r="F20297" s="5" t="s">
        <v>25558</v>
      </c>
      <c r="Q20297" s="7" t="str">
        <f>HYPERLINK("#Liste_rouge!A"&amp;_xlfn.XMATCH("LC",Liste_rouge!A:A,2,1),"LC")</f>
        <v>LC</v>
      </c>
      <c r="T20297" s="7" t="str">
        <f>HYPERLINK("#Liste_rouge!A"&amp;_xlfn.XMATCH("LC",Liste_rouge!A:A,2,1),"LC")</f>
        <v>LC</v>
      </c>
      <c r="AH20297" s="4" t="str">
        <f>HYPERLINK("#Statut_biogéographique!A"&amp;_xlfn.XMATCH("P",Statut_biogéographique!A:A,2,1),"P")</f>
        <v>P</v>
      </c>
      <c r="AM20297" s="4" t="s">
        <v>375</v>
      </c>
      <c r="AN20297" s="4" t="s">
        <v>375</v>
      </c>
      <c r="AO20297" s="4" t="s">
        <v>375</v>
      </c>
      <c r="AP20297" s="4" t="s">
        <v>376</v>
      </c>
      <c r="AR20297" s="4" t="s">
        <v>377</v>
      </c>
    </row>
    <row r="20298" spans="1:44" ht="195">
      <c r="A20298" s="4" t="s">
        <v>24364</v>
      </c>
      <c r="B20298" s="4">
        <v>108718</v>
      </c>
      <c r="D20298" s="5" t="s">
        <v>25559</v>
      </c>
      <c r="E20298" s="6" t="str">
        <f>HYPERLINK("https://inpn.mnhn.fr/espece/cd_nom/108718","Molinia caerulea (L.) Moench, 1794")</f>
        <v>Molinia caerulea (L.) Moench, 1794</v>
      </c>
      <c r="F20298" s="5" t="s">
        <v>25560</v>
      </c>
      <c r="Q20298" s="7" t="str">
        <f>HYPERLINK("#Liste_rouge!A"&amp;_xlfn.XMATCH("LC",Liste_rouge!A:A,2,1),"LC")</f>
        <v>LC</v>
      </c>
      <c r="T20298" s="7" t="str">
        <f>HYPERLINK("#Liste_rouge!A"&amp;_xlfn.XMATCH("LC",Liste_rouge!A:A,2,1),"LC")</f>
        <v>LC</v>
      </c>
      <c r="V20298" s="7" t="str">
        <f>HYPERLINK("#Liste_rouge!A"&amp;_xlfn.XMATCH("LC",Liste_rouge!A:A,2,1),"LC")</f>
        <v>LC</v>
      </c>
      <c r="AH20298" s="4" t="str">
        <f>HYPERLINK("#Statut_biogéographique!A"&amp;_xlfn.XMATCH("P",Statut_biogéographique!A:A,2,1),"P")</f>
        <v>P</v>
      </c>
      <c r="AM20298" s="4" t="s">
        <v>375</v>
      </c>
      <c r="AN20298" s="4" t="s">
        <v>375</v>
      </c>
      <c r="AO20298" s="4" t="s">
        <v>375</v>
      </c>
      <c r="AP20298" s="4" t="s">
        <v>376</v>
      </c>
      <c r="AR20298" s="4" t="s">
        <v>377</v>
      </c>
    </row>
    <row r="20299" spans="1:44" ht="45">
      <c r="A20299" s="4" t="s">
        <v>24364</v>
      </c>
      <c r="B20299" s="4">
        <v>108755</v>
      </c>
      <c r="D20299" s="5" t="s">
        <v>25561</v>
      </c>
      <c r="E20299" s="6" t="str">
        <f>HYPERLINK("https://inpn.mnhn.fr/espece/cd_nom/108755","Moneses uniflora (L.) A.Gray, 1848")</f>
        <v>Moneses uniflora (L.) A.Gray, 1848</v>
      </c>
      <c r="F20299" s="5" t="s">
        <v>25562</v>
      </c>
      <c r="Q20299" s="7" t="str">
        <f>HYPERLINK("#Liste_rouge!A"&amp;_xlfn.XMATCH("LC",Liste_rouge!A:A,2,1),"LC")</f>
        <v>LC</v>
      </c>
      <c r="T20299" s="7" t="str">
        <f>HYPERLINK("#Liste_rouge!A"&amp;_xlfn.XMATCH("NA",Liste_rouge!A:A,2,1),"NA")</f>
        <v>NA</v>
      </c>
      <c r="V20299" s="7" t="str">
        <f>HYPERLINK("#Liste_rouge!A"&amp;_xlfn.XMATCH("DD",Liste_rouge!A:A,2,1),"DD")</f>
        <v>DD</v>
      </c>
      <c r="AB20299" s="4" t="s">
        <v>24909</v>
      </c>
      <c r="AH20299" s="4" t="str">
        <f>HYPERLINK("#Statut_biogéographique!A"&amp;_xlfn.XMATCH("P",Statut_biogéographique!A:A,2,1),"P")</f>
        <v>P</v>
      </c>
      <c r="AM20299" s="4" t="s">
        <v>375</v>
      </c>
      <c r="AN20299" s="4" t="s">
        <v>375</v>
      </c>
      <c r="AO20299" s="4" t="s">
        <v>375</v>
      </c>
      <c r="AP20299" s="4" t="s">
        <v>376</v>
      </c>
      <c r="AR20299" s="4" t="s">
        <v>377</v>
      </c>
    </row>
    <row r="20300" spans="1:44" ht="30">
      <c r="A20300" s="4" t="s">
        <v>24364</v>
      </c>
      <c r="B20300" s="4">
        <v>108785</v>
      </c>
      <c r="D20300" s="5" t="s">
        <v>25563</v>
      </c>
      <c r="E20300" s="6" t="str">
        <f>HYPERLINK("https://inpn.mnhn.fr/espece/cd_nom/108785","Montia fontana L., 1753")</f>
        <v>Montia fontana L., 1753</v>
      </c>
      <c r="F20300" s="5" t="s">
        <v>25564</v>
      </c>
      <c r="O20300" s="7" t="str">
        <f>HYPERLINK("#Liste_rouge!A"&amp;_xlfn.XMATCH("LC",Liste_rouge!A:A,2,1),"LC")</f>
        <v>LC</v>
      </c>
      <c r="P20300" s="7" t="str">
        <f>HYPERLINK("#Liste_rouge!A"&amp;_xlfn.XMATCH("LC",Liste_rouge!A:A,2,1),"LC")</f>
        <v>LC</v>
      </c>
      <c r="Q20300" s="7" t="str">
        <f>HYPERLINK("#Liste_rouge!A"&amp;_xlfn.XMATCH("LC",Liste_rouge!A:A,2,1),"LC")</f>
        <v>LC</v>
      </c>
      <c r="T20300" s="7" t="str">
        <f>HYPERLINK("#Liste_rouge!A"&amp;_xlfn.XMATCH("LC",Liste_rouge!A:A,2,1),"LC")</f>
        <v>LC</v>
      </c>
      <c r="V20300" s="7" t="str">
        <f>HYPERLINK("#Liste_rouge!A"&amp;_xlfn.XMATCH("VU",Liste_rouge!A:A,2,1),"VU")</f>
        <v>VU</v>
      </c>
      <c r="W20300" s="4" t="str">
        <f>HYPERLINK("#Critères_liste_rouge!A$1","D2")</f>
        <v>D2</v>
      </c>
      <c r="AB20300" s="4" t="s">
        <v>24410</v>
      </c>
      <c r="AH20300" s="4" t="str">
        <f>HYPERLINK("#Statut_biogéographique!A"&amp;_xlfn.XMATCH("P",Statut_biogéographique!A:A,2,1),"P")</f>
        <v>P</v>
      </c>
      <c r="AM20300" s="4" t="s">
        <v>375</v>
      </c>
      <c r="AN20300" s="4" t="s">
        <v>375</v>
      </c>
      <c r="AO20300" s="4" t="s">
        <v>375</v>
      </c>
      <c r="AP20300" s="4" t="s">
        <v>376</v>
      </c>
      <c r="AR20300" s="4" t="s">
        <v>377</v>
      </c>
    </row>
    <row r="20301" spans="1:44" ht="60">
      <c r="A20301" s="4" t="s">
        <v>24364</v>
      </c>
      <c r="B20301" s="4">
        <v>108810</v>
      </c>
      <c r="D20301" s="5" t="s">
        <v>25565</v>
      </c>
      <c r="E20301" s="6" t="str">
        <f>HYPERLINK("https://inpn.mnhn.fr/espece/cd_nom/108810","Morus alba L., 1753")</f>
        <v>Morus alba L., 1753</v>
      </c>
      <c r="F20301" s="5" t="s">
        <v>25566</v>
      </c>
      <c r="Q20301" s="7" t="str">
        <f>HYPERLINK("#Liste_rouge!A"&amp;_xlfn.XMATCH("NA",Liste_rouge!A:A,2,1),"NA")</f>
        <v>NA</v>
      </c>
      <c r="T20301" s="7" t="str">
        <f>HYPERLINK("#Liste_rouge!A"&amp;_xlfn.XMATCH("NA",Liste_rouge!A:A,2,1),"NA")</f>
        <v>NA</v>
      </c>
      <c r="AH20301" s="4" t="str">
        <f>HYPERLINK("#Statut_biogéographique!A"&amp;_xlfn.XMATCH("I",Statut_biogéographique!A:A,2,1),"I")</f>
        <v>I</v>
      </c>
      <c r="AP20301" s="4" t="s">
        <v>376</v>
      </c>
      <c r="AR20301" s="4" t="s">
        <v>377</v>
      </c>
    </row>
    <row r="20302" spans="1:44">
      <c r="A20302" s="4" t="s">
        <v>24364</v>
      </c>
      <c r="B20302" s="4">
        <v>108822</v>
      </c>
      <c r="D20302" s="5" t="s">
        <v>25567</v>
      </c>
      <c r="E20302" s="6" t="str">
        <f>HYPERLINK("https://inpn.mnhn.fr/espece/cd_nom/108822","Morus nigra L., 1753")</f>
        <v>Morus nigra L., 1753</v>
      </c>
      <c r="F20302" s="5" t="s">
        <v>25568</v>
      </c>
      <c r="Q20302" s="7" t="str">
        <f>HYPERLINK("#Liste_rouge!A"&amp;_xlfn.XMATCH("NA",Liste_rouge!A:A,2,1),"NA")</f>
        <v>NA</v>
      </c>
      <c r="T20302" s="7" t="str">
        <f>HYPERLINK("#Liste_rouge!A"&amp;_xlfn.XMATCH("NA",Liste_rouge!A:A,2,1),"NA")</f>
        <v>NA</v>
      </c>
      <c r="AH20302" s="4" t="str">
        <f>HYPERLINK("#Statut_biogéographique!A"&amp;_xlfn.XMATCH("M",Statut_biogéographique!A:A,2,1),"M")</f>
        <v>M</v>
      </c>
      <c r="AP20302" s="4" t="s">
        <v>376</v>
      </c>
      <c r="AR20302" s="4" t="s">
        <v>377</v>
      </c>
    </row>
    <row r="20303" spans="1:44">
      <c r="A20303" s="4" t="s">
        <v>24364</v>
      </c>
      <c r="B20303" s="4">
        <v>108866</v>
      </c>
      <c r="D20303" s="5">
        <v>108866</v>
      </c>
      <c r="E20303" s="6" t="str">
        <f>HYPERLINK("https://inpn.mnhn.fr/espece/cd_nom/108866","Muscari armeniacum Leichtlin ex Baker, 1878")</f>
        <v>Muscari armeniacum Leichtlin ex Baker, 1878</v>
      </c>
      <c r="F20303" s="5" t="s">
        <v>25569</v>
      </c>
      <c r="Q20303" s="7" t="str">
        <f>HYPERLINK("#Liste_rouge!A"&amp;_xlfn.XMATCH("NA",Liste_rouge!A:A,2,1),"NA")</f>
        <v>NA</v>
      </c>
      <c r="T20303" s="7" t="str">
        <f>HYPERLINK("#Liste_rouge!A"&amp;_xlfn.XMATCH("NA",Liste_rouge!A:A,2,1),"NA")</f>
        <v>NA</v>
      </c>
      <c r="AH20303" s="4" t="str">
        <f>HYPERLINK("#Statut_biogéographique!A"&amp;_xlfn.XMATCH("I",Statut_biogéographique!A:A,2,1),"I")</f>
        <v>I</v>
      </c>
      <c r="AP20303" s="4" t="s">
        <v>376</v>
      </c>
      <c r="AR20303" s="4" t="s">
        <v>377</v>
      </c>
    </row>
    <row r="20304" spans="1:44" ht="60">
      <c r="A20304" s="4" t="s">
        <v>24364</v>
      </c>
      <c r="B20304" s="4">
        <v>108869</v>
      </c>
      <c r="D20304" s="5" t="s">
        <v>25570</v>
      </c>
      <c r="E20304" s="6" t="str">
        <f>HYPERLINK("https://inpn.mnhn.fr/espece/cd_nom/108869","Muscari botryoides (L.) Mill., 1768")</f>
        <v>Muscari botryoides (L.) Mill., 1768</v>
      </c>
      <c r="F20304" s="5" t="s">
        <v>25571</v>
      </c>
      <c r="M20304" s="4" t="str">
        <f>HYPERLINK("#Réglementation!A"&amp;_xlfn.XMATCH("RV43",Réglementation!A:A,2,1),"RV43")</f>
        <v>RV43</v>
      </c>
      <c r="Q20304" s="7" t="str">
        <f>HYPERLINK("#Liste_rouge!A"&amp;_xlfn.XMATCH("LC",Liste_rouge!A:A,2,1),"LC")</f>
        <v>LC</v>
      </c>
      <c r="T20304" s="7" t="str">
        <f>HYPERLINK("#Liste_rouge!A"&amp;_xlfn.XMATCH("EN",Liste_rouge!A:A,2,1),"EN (cd_nom 137891) - VU (cd_nom 137892)")</f>
        <v>EN (cd_nom 137891) - VU (cd_nom 137892)</v>
      </c>
      <c r="U20304" s="4" t="str">
        <f>HYPERLINK("#Critères_liste_rouge!A$1","D1 (cd_nom 137891)")</f>
        <v>D1 (cd_nom 137891)</v>
      </c>
      <c r="V20304" s="7" t="str">
        <f>HYPERLINK("#Liste_rouge!A"&amp;_xlfn.XMATCH("VU",Liste_rouge!A:A,2,1),"VU")</f>
        <v>VU</v>
      </c>
      <c r="W20304" s="4" t="str">
        <f>HYPERLINK("#Critères_liste_rouge!A$1","B2ab(iii,iv)")</f>
        <v>B2ab(iii,iv)</v>
      </c>
      <c r="X20304" s="5" t="s">
        <v>374</v>
      </c>
      <c r="AB20304" s="4" t="s">
        <v>93</v>
      </c>
      <c r="AH20304" s="4" t="str">
        <f>HYPERLINK("#Statut_biogéographique!A"&amp;_xlfn.XMATCH("P",Statut_biogéographique!A:A,2,1),"P")</f>
        <v>P</v>
      </c>
      <c r="AM20304" s="4" t="s">
        <v>375</v>
      </c>
      <c r="AN20304" s="4" t="s">
        <v>375</v>
      </c>
      <c r="AO20304" s="4" t="s">
        <v>375</v>
      </c>
      <c r="AP20304" s="4" t="s">
        <v>376</v>
      </c>
      <c r="AR20304" s="4" t="s">
        <v>377</v>
      </c>
    </row>
    <row r="20305" spans="1:44" ht="105">
      <c r="A20305" s="4" t="s">
        <v>24364</v>
      </c>
      <c r="B20305" s="4">
        <v>108874</v>
      </c>
      <c r="D20305" s="5" t="s">
        <v>25572</v>
      </c>
      <c r="E20305" s="6" t="str">
        <f>HYPERLINK("https://inpn.mnhn.fr/espece/cd_nom/108874","Muscari comosum (L.) Mill., 1768")</f>
        <v>Muscari comosum (L.) Mill., 1768</v>
      </c>
      <c r="F20305" s="5" t="s">
        <v>25573</v>
      </c>
      <c r="Q20305" s="7" t="str">
        <f>HYPERLINK("#Liste_rouge!A"&amp;_xlfn.XMATCH("LC",Liste_rouge!A:A,2,1),"LC")</f>
        <v>LC</v>
      </c>
      <c r="T20305" s="7" t="str">
        <f>HYPERLINK("#Liste_rouge!A"&amp;_xlfn.XMATCH("LC",Liste_rouge!A:A,2,1),"LC")</f>
        <v>LC</v>
      </c>
      <c r="V20305" s="7" t="str">
        <f>HYPERLINK("#Liste_rouge!A"&amp;_xlfn.XMATCH("LC",Liste_rouge!A:A,2,1),"LC")</f>
        <v>LC</v>
      </c>
      <c r="AB20305" s="4" t="s">
        <v>25574</v>
      </c>
      <c r="AH20305" s="4" t="str">
        <f>HYPERLINK("#Statut_biogéographique!A"&amp;_xlfn.XMATCH("P",Statut_biogéographique!A:A,2,1),"P")</f>
        <v>P</v>
      </c>
      <c r="AM20305" s="4" t="s">
        <v>375</v>
      </c>
      <c r="AN20305" s="4" t="s">
        <v>375</v>
      </c>
      <c r="AO20305" s="4" t="s">
        <v>375</v>
      </c>
      <c r="AP20305" s="4" t="s">
        <v>376</v>
      </c>
      <c r="AR20305" s="4" t="s">
        <v>377</v>
      </c>
    </row>
    <row r="20306" spans="1:44" ht="90">
      <c r="A20306" s="4" t="s">
        <v>24364</v>
      </c>
      <c r="B20306" s="4">
        <v>108898</v>
      </c>
      <c r="D20306" s="5" t="s">
        <v>25575</v>
      </c>
      <c r="E20306" s="6" t="str">
        <f>HYPERLINK("https://inpn.mnhn.fr/espece/cd_nom/108898","Muscari neglectum Guss. ex Ten., 1842")</f>
        <v>Muscari neglectum Guss. ex Ten., 1842</v>
      </c>
      <c r="F20306" s="5" t="s">
        <v>25576</v>
      </c>
      <c r="Q20306" s="7" t="str">
        <f>HYPERLINK("#Liste_rouge!A"&amp;_xlfn.XMATCH("LC",Liste_rouge!A:A,2,1),"LC")</f>
        <v>LC</v>
      </c>
      <c r="T20306" s="7" t="str">
        <f>HYPERLINK("#Liste_rouge!A"&amp;_xlfn.XMATCH("LC",Liste_rouge!A:A,2,1),"LC")</f>
        <v>LC</v>
      </c>
      <c r="V20306" s="7" t="str">
        <f>HYPERLINK("#Liste_rouge!A"&amp;_xlfn.XMATCH("LC",Liste_rouge!A:A,2,1),"LC")</f>
        <v>LC</v>
      </c>
      <c r="AB20306" s="4" t="s">
        <v>24719</v>
      </c>
      <c r="AH20306" s="4" t="str">
        <f>HYPERLINK("#Statut_biogéographique!A"&amp;_xlfn.XMATCH("P",Statut_biogéographique!A:A,2,1),"P")</f>
        <v>P</v>
      </c>
      <c r="AM20306" s="4" t="s">
        <v>375</v>
      </c>
      <c r="AN20306" s="4" t="s">
        <v>375</v>
      </c>
      <c r="AO20306" s="4" t="s">
        <v>375</v>
      </c>
      <c r="AP20306" s="4" t="s">
        <v>376</v>
      </c>
      <c r="AR20306" s="4" t="s">
        <v>377</v>
      </c>
    </row>
    <row r="20307" spans="1:44" ht="30">
      <c r="A20307" s="4" t="s">
        <v>24364</v>
      </c>
      <c r="B20307" s="4">
        <v>108948</v>
      </c>
      <c r="D20307" s="5" t="s">
        <v>25577</v>
      </c>
      <c r="E20307" s="6" t="str">
        <f>HYPERLINK("https://inpn.mnhn.fr/espece/cd_nom/108948","Myagrum perfoliatum L., 1753")</f>
        <v>Myagrum perfoliatum L., 1753</v>
      </c>
      <c r="F20307" s="5" t="s">
        <v>25578</v>
      </c>
      <c r="Q20307" s="7" t="str">
        <f>HYPERLINK("#Liste_rouge!A"&amp;_xlfn.XMATCH("NA",Liste_rouge!A:A,2,1),"NA")</f>
        <v>NA</v>
      </c>
      <c r="T20307" s="7" t="str">
        <f>HYPERLINK("#Liste_rouge!A"&amp;_xlfn.XMATCH("CR",Liste_rouge!A:A,2,1),"CR")</f>
        <v>CR</v>
      </c>
      <c r="U20307" s="4" t="str">
        <f>HYPERLINK("#Critères_liste_rouge!A$1","B1 B2ab(i,ii,iv)")</f>
        <v>B1 B2ab(i,ii,iv)</v>
      </c>
      <c r="AH20307" s="4" t="str">
        <f>HYPERLINK("#Statut_biogéographique!A"&amp;_xlfn.XMATCH("P",Statut_biogéographique!A:A,2,1),"P")</f>
        <v>P</v>
      </c>
      <c r="AI20307" s="8" t="s">
        <v>25579</v>
      </c>
      <c r="AJ20307" s="4" t="s">
        <v>12248</v>
      </c>
      <c r="AM20307" s="4" t="s">
        <v>375</v>
      </c>
      <c r="AN20307" s="4" t="s">
        <v>375</v>
      </c>
      <c r="AO20307" s="4" t="s">
        <v>375</v>
      </c>
      <c r="AP20307" s="4" t="s">
        <v>376</v>
      </c>
      <c r="AR20307" s="4" t="s">
        <v>377</v>
      </c>
    </row>
    <row r="20308" spans="1:44" ht="45">
      <c r="A20308" s="4" t="s">
        <v>24364</v>
      </c>
      <c r="B20308" s="4">
        <v>108987</v>
      </c>
      <c r="D20308" s="5" t="s">
        <v>25580</v>
      </c>
      <c r="E20308" s="6" t="str">
        <f>HYPERLINK("https://inpn.mnhn.fr/espece/cd_nom/108987","Myosotis alpestris F.W.Schmidt, 1794")</f>
        <v>Myosotis alpestris F.W.Schmidt, 1794</v>
      </c>
      <c r="F20308" s="5" t="s">
        <v>25581</v>
      </c>
      <c r="Q20308" s="7" t="str">
        <f>HYPERLINK("#Liste_rouge!A"&amp;_xlfn.XMATCH("LC",Liste_rouge!A:A,2,1),"LC")</f>
        <v>LC</v>
      </c>
      <c r="V20308" s="7" t="str">
        <f>HYPERLINK("#Liste_rouge!A"&amp;_xlfn.XMATCH("EN",Liste_rouge!A:A,2,1),"EN")</f>
        <v>EN</v>
      </c>
      <c r="W20308" s="4" t="str">
        <f>HYPERLINK("#Critères_liste_rouge!A$1","D")</f>
        <v>D</v>
      </c>
      <c r="X20308" s="5" t="s">
        <v>374</v>
      </c>
      <c r="AB20308" s="4" t="s">
        <v>93</v>
      </c>
      <c r="AH20308" s="4" t="str">
        <f>HYPERLINK("#Statut_biogéographique!A"&amp;_xlfn.XMATCH("P",Statut_biogéographique!A:A,2,1),"P")</f>
        <v>P</v>
      </c>
      <c r="AM20308" s="4" t="s">
        <v>375</v>
      </c>
      <c r="AN20308" s="4" t="s">
        <v>375</v>
      </c>
      <c r="AO20308" s="4" t="s">
        <v>375</v>
      </c>
      <c r="AP20308" s="4" t="s">
        <v>376</v>
      </c>
      <c r="AR20308" s="4" t="s">
        <v>377</v>
      </c>
    </row>
    <row r="20309" spans="1:44" ht="75">
      <c r="A20309" s="4" t="s">
        <v>24364</v>
      </c>
      <c r="B20309" s="4">
        <v>108996</v>
      </c>
      <c r="D20309" s="5" t="s">
        <v>25582</v>
      </c>
      <c r="E20309" s="6" t="str">
        <f>HYPERLINK("https://inpn.mnhn.fr/espece/cd_nom/108996","Myosotis arvensis (L.) Hill, 1764")</f>
        <v>Myosotis arvensis (L.) Hill, 1764</v>
      </c>
      <c r="F20309" s="5" t="s">
        <v>25583</v>
      </c>
      <c r="Q20309" s="7" t="str">
        <f>HYPERLINK("#Liste_rouge!A"&amp;_xlfn.XMATCH("LC",Liste_rouge!A:A,2,1),"LC")</f>
        <v>LC</v>
      </c>
      <c r="T20309" s="7" t="str">
        <f>HYPERLINK("#Liste_rouge!A"&amp;_xlfn.XMATCH("DD",Liste_rouge!A:A,2,1),"DD (cd_nom 137901) - NE (cd_nom 148812) - LC (cd_nom 108996)")</f>
        <v>DD (cd_nom 137901) - NE (cd_nom 148812) - LC (cd_nom 108996)</v>
      </c>
      <c r="V20309" s="7" t="str">
        <f>HYPERLINK("#Liste_rouge!A"&amp;_xlfn.XMATCH("LC",Liste_rouge!A:A,2,1),"LC")</f>
        <v>LC</v>
      </c>
      <c r="AH20309" s="4" t="str">
        <f>HYPERLINK("#Statut_biogéographique!A"&amp;_xlfn.XMATCH("P",Statut_biogéographique!A:A,2,1),"P")</f>
        <v>P</v>
      </c>
      <c r="AM20309" s="4" t="s">
        <v>375</v>
      </c>
      <c r="AN20309" s="4" t="s">
        <v>375</v>
      </c>
      <c r="AO20309" s="4" t="s">
        <v>375</v>
      </c>
      <c r="AP20309" s="4" t="s">
        <v>376</v>
      </c>
      <c r="AR20309" s="4" t="s">
        <v>377</v>
      </c>
    </row>
    <row r="20310" spans="1:44" ht="30">
      <c r="A20310" s="4" t="s">
        <v>24364</v>
      </c>
      <c r="B20310" s="4">
        <v>109001</v>
      </c>
      <c r="D20310" s="5" t="s">
        <v>25584</v>
      </c>
      <c r="E20310" s="6" t="str">
        <f>HYPERLINK("https://inpn.mnhn.fr/espece/cd_nom/109001","Myosotis balbisiana Jord., 1852")</f>
        <v>Myosotis balbisiana Jord., 1852</v>
      </c>
      <c r="F20310" s="5" t="s">
        <v>25585</v>
      </c>
      <c r="Q20310" s="7" t="str">
        <f>HYPERLINK("#Liste_rouge!A"&amp;_xlfn.XMATCH("LC",Liste_rouge!A:A,2,1),"LC")</f>
        <v>LC</v>
      </c>
      <c r="T20310" s="7" t="str">
        <f>HYPERLINK("#Liste_rouge!A"&amp;_xlfn.XMATCH("CR",Liste_rouge!A:A,2,1),"CR")</f>
        <v>CR</v>
      </c>
      <c r="U20310" s="4" t="str">
        <f>HYPERLINK("#Critères_liste_rouge!A$1","C2a(i) D1")</f>
        <v>C2a(i) D1</v>
      </c>
      <c r="X20310" s="5" t="s">
        <v>374</v>
      </c>
      <c r="AB20310" s="4" t="s">
        <v>93</v>
      </c>
      <c r="AH20310" s="4" t="str">
        <f>HYPERLINK("#Statut_biogéographique!A"&amp;_xlfn.XMATCH("P",Statut_biogéographique!A:A,2,1),"P")</f>
        <v>P</v>
      </c>
      <c r="AM20310" s="4" t="s">
        <v>375</v>
      </c>
      <c r="AN20310" s="4" t="s">
        <v>375</v>
      </c>
      <c r="AO20310" s="4" t="s">
        <v>375</v>
      </c>
      <c r="AP20310" s="4" t="s">
        <v>376</v>
      </c>
      <c r="AR20310" s="4" t="s">
        <v>377</v>
      </c>
    </row>
    <row r="20311" spans="1:44" ht="30">
      <c r="A20311" s="4" t="s">
        <v>24364</v>
      </c>
      <c r="B20311" s="4">
        <v>109019</v>
      </c>
      <c r="D20311" s="5" t="s">
        <v>25586</v>
      </c>
      <c r="E20311" s="6" t="str">
        <f>HYPERLINK("https://inpn.mnhn.fr/espece/cd_nom/109019","Myosotis discolor Pers., 1797")</f>
        <v>Myosotis discolor Pers., 1797</v>
      </c>
      <c r="F20311" s="5" t="s">
        <v>25587</v>
      </c>
      <c r="Q20311" s="7" t="str">
        <f>HYPERLINK("#Liste_rouge!A"&amp;_xlfn.XMATCH("LC",Liste_rouge!A:A,2,1),"LC")</f>
        <v>LC</v>
      </c>
      <c r="T20311" s="7" t="str">
        <f>HYPERLINK("#Liste_rouge!A"&amp;_xlfn.XMATCH("LC",Liste_rouge!A:A,2,1),"LC")</f>
        <v>LC</v>
      </c>
      <c r="V20311" s="7" t="str">
        <f>HYPERLINK("#Liste_rouge!A"&amp;_xlfn.XMATCH("LC",Liste_rouge!A:A,2,1),"LC")</f>
        <v>LC</v>
      </c>
      <c r="AB20311" s="4" t="s">
        <v>24447</v>
      </c>
      <c r="AH20311" s="4" t="str">
        <f>HYPERLINK("#Statut_biogéographique!A"&amp;_xlfn.XMATCH("P",Statut_biogéographique!A:A,2,1),"P")</f>
        <v>P</v>
      </c>
      <c r="AM20311" s="4" t="s">
        <v>375</v>
      </c>
      <c r="AN20311" s="4" t="s">
        <v>375</v>
      </c>
      <c r="AO20311" s="4" t="s">
        <v>375</v>
      </c>
      <c r="AP20311" s="4" t="s">
        <v>376</v>
      </c>
      <c r="AR20311" s="4" t="s">
        <v>377</v>
      </c>
    </row>
    <row r="20312" spans="1:44">
      <c r="A20312" s="4" t="s">
        <v>24364</v>
      </c>
      <c r="B20312" s="4">
        <v>109020</v>
      </c>
      <c r="D20312" s="5" t="s">
        <v>25588</v>
      </c>
      <c r="E20312" s="6" t="str">
        <f>HYPERLINK("https://inpn.mnhn.fr/espece/cd_nom/109020","Myosotis dubia Arrond., 1869")</f>
        <v>Myosotis dubia Arrond., 1869</v>
      </c>
      <c r="F20312" s="5" t="s">
        <v>25589</v>
      </c>
      <c r="Q20312" s="7" t="str">
        <f>HYPERLINK("#Liste_rouge!A"&amp;_xlfn.XMATCH("LC",Liste_rouge!A:A,2,1),"LC")</f>
        <v>LC</v>
      </c>
      <c r="T20312" s="7" t="str">
        <f>HYPERLINK("#Liste_rouge!A"&amp;_xlfn.XMATCH("DD",Liste_rouge!A:A,2,1),"DD")</f>
        <v>DD</v>
      </c>
      <c r="V20312" s="7" t="str">
        <f>HYPERLINK("#Liste_rouge!A"&amp;_xlfn.XMATCH("DD",Liste_rouge!A:A,2,1),"DD")</f>
        <v>DD</v>
      </c>
      <c r="AH20312" s="4" t="str">
        <f>HYPERLINK("#Statut_biogéographique!A"&amp;_xlfn.XMATCH("P",Statut_biogéographique!A:A,2,1),"P")</f>
        <v>P</v>
      </c>
      <c r="AM20312" s="4" t="s">
        <v>375</v>
      </c>
      <c r="AN20312" s="4" t="s">
        <v>375</v>
      </c>
      <c r="AO20312" s="4" t="s">
        <v>375</v>
      </c>
      <c r="AP20312" s="4" t="s">
        <v>376</v>
      </c>
      <c r="AR20312" s="4" t="s">
        <v>377</v>
      </c>
    </row>
    <row r="20313" spans="1:44">
      <c r="A20313" s="4" t="s">
        <v>24364</v>
      </c>
      <c r="B20313" s="4">
        <v>109042</v>
      </c>
      <c r="D20313" s="5">
        <v>109042</v>
      </c>
      <c r="E20313" s="6" t="str">
        <f>HYPERLINK("https://inpn.mnhn.fr/espece/cd_nom/109042","Myosotis laxa Lehm., 1818")</f>
        <v>Myosotis laxa Lehm., 1818</v>
      </c>
      <c r="F20313" s="5" t="s">
        <v>25590</v>
      </c>
      <c r="O20313" s="7" t="str">
        <f>HYPERLINK("#Liste_rouge!A"&amp;_xlfn.XMATCH("LC",Liste_rouge!A:A,2,1),"LC")</f>
        <v>LC</v>
      </c>
      <c r="P20313" s="7" t="str">
        <f>HYPERLINK("#Liste_rouge!A"&amp;_xlfn.XMATCH("LC",Liste_rouge!A:A,2,1),"LC")</f>
        <v>LC</v>
      </c>
      <c r="Q20313" s="7" t="str">
        <f>HYPERLINK("#Liste_rouge!A"&amp;_xlfn.XMATCH("LC",Liste_rouge!A:A,2,1),"LC")</f>
        <v>LC</v>
      </c>
      <c r="T20313" s="7" t="str">
        <f>HYPERLINK("#Liste_rouge!A"&amp;_xlfn.XMATCH("LC",Liste_rouge!A:A,2,1),"LC")</f>
        <v>LC</v>
      </c>
      <c r="V20313" s="7" t="str">
        <f>HYPERLINK("#Liste_rouge!A"&amp;_xlfn.XMATCH("LC",Liste_rouge!A:A,2,1),"LC")</f>
        <v>LC</v>
      </c>
      <c r="AH20313" s="4" t="str">
        <f>HYPERLINK("#Statut_biogéographique!A"&amp;_xlfn.XMATCH("P",Statut_biogéographique!A:A,2,1),"P")</f>
        <v>P</v>
      </c>
      <c r="AM20313" s="4" t="s">
        <v>375</v>
      </c>
      <c r="AN20313" s="4" t="s">
        <v>375</v>
      </c>
      <c r="AO20313" s="4" t="s">
        <v>375</v>
      </c>
      <c r="AP20313" s="4" t="s">
        <v>376</v>
      </c>
      <c r="AR20313" s="4" t="s">
        <v>377</v>
      </c>
    </row>
    <row r="20314" spans="1:44">
      <c r="A20314" s="4" t="s">
        <v>24364</v>
      </c>
      <c r="B20314" s="4">
        <v>109053</v>
      </c>
      <c r="D20314" s="5">
        <v>109053</v>
      </c>
      <c r="E20314" s="6" t="str">
        <f>HYPERLINK("https://inpn.mnhn.fr/espece/cd_nom/109053","Myosotis michaelae Štěpánková, 1994")</f>
        <v>Myosotis michaelae Štěpánková, 1994</v>
      </c>
      <c r="Q20314" s="7" t="str">
        <f>HYPERLINK("#Liste_rouge!A"&amp;_xlfn.XMATCH("LC",Liste_rouge!A:A,2,1),"LC")</f>
        <v>LC</v>
      </c>
      <c r="V20314" s="7" t="str">
        <f>HYPERLINK("#Liste_rouge!A"&amp;_xlfn.XMATCH("LC",Liste_rouge!A:A,2,1),"LC")</f>
        <v>LC</v>
      </c>
      <c r="AH20314" s="4" t="str">
        <f>HYPERLINK("#Statut_biogéographique!A"&amp;_xlfn.XMATCH("P",Statut_biogéographique!A:A,2,1),"P")</f>
        <v>P</v>
      </c>
      <c r="AM20314" s="4" t="s">
        <v>375</v>
      </c>
      <c r="AN20314" s="4" t="s">
        <v>375</v>
      </c>
      <c r="AO20314" s="4" t="s">
        <v>375</v>
      </c>
      <c r="AP20314" s="4" t="s">
        <v>376</v>
      </c>
      <c r="AR20314" s="4" t="s">
        <v>377</v>
      </c>
    </row>
    <row r="20315" spans="1:44" ht="30">
      <c r="A20315" s="4" t="s">
        <v>24364</v>
      </c>
      <c r="B20315" s="4">
        <v>109057</v>
      </c>
      <c r="D20315" s="5" t="s">
        <v>25591</v>
      </c>
      <c r="E20315" s="6" t="str">
        <f>HYPERLINK("https://inpn.mnhn.fr/espece/cd_nom/109057","Myosotis minutiflora Boiss. &amp; Reut., 1852")</f>
        <v>Myosotis minutiflora Boiss. &amp; Reut., 1852</v>
      </c>
      <c r="F20315" s="5" t="s">
        <v>25592</v>
      </c>
      <c r="Q20315" s="7" t="str">
        <f>HYPERLINK("#Liste_rouge!A"&amp;_xlfn.XMATCH("LC",Liste_rouge!A:A,2,1),"LC")</f>
        <v>LC</v>
      </c>
      <c r="X20315" s="5" t="s">
        <v>374</v>
      </c>
      <c r="AB20315" s="4" t="s">
        <v>93</v>
      </c>
      <c r="AH20315" s="4" t="str">
        <f>HYPERLINK("#Statut_biogéographique!A"&amp;_xlfn.XMATCH("P",Statut_biogéographique!A:A,2,1),"P")</f>
        <v>P</v>
      </c>
      <c r="AM20315" s="4" t="s">
        <v>375</v>
      </c>
      <c r="AN20315" s="4" t="s">
        <v>375</v>
      </c>
      <c r="AO20315" s="4" t="s">
        <v>375</v>
      </c>
      <c r="AP20315" s="4" t="s">
        <v>376</v>
      </c>
      <c r="AR20315" s="4" t="s">
        <v>377</v>
      </c>
    </row>
    <row r="20316" spans="1:44" ht="45">
      <c r="A20316" s="4" t="s">
        <v>24364</v>
      </c>
      <c r="B20316" s="4">
        <v>109068</v>
      </c>
      <c r="D20316" s="5" t="s">
        <v>25593</v>
      </c>
      <c r="E20316" s="6" t="str">
        <f>HYPERLINK("https://inpn.mnhn.fr/espece/cd_nom/109068","Myosotis nemorosa Besser, 1821")</f>
        <v>Myosotis nemorosa Besser, 1821</v>
      </c>
      <c r="F20316" s="5" t="s">
        <v>25594</v>
      </c>
      <c r="Q20316" s="7" t="str">
        <f>HYPERLINK("#Liste_rouge!A"&amp;_xlfn.XMATCH("LC",Liste_rouge!A:A,2,1),"LC")</f>
        <v>LC</v>
      </c>
      <c r="T20316" s="7" t="str">
        <f>HYPERLINK("#Liste_rouge!A"&amp;_xlfn.XMATCH("NT",Liste_rouge!A:A,2,1),"NT")</f>
        <v>NT</v>
      </c>
      <c r="U20316" s="4" t="str">
        <f>HYPERLINK("#Critères_liste_rouge!A$1","pr. D2")</f>
        <v>pr. D2</v>
      </c>
      <c r="V20316" s="7" t="str">
        <f>HYPERLINK("#Liste_rouge!A"&amp;_xlfn.XMATCH("LC",Liste_rouge!A:A,2,1),"LC")</f>
        <v>LC</v>
      </c>
      <c r="AB20316" s="4" t="s">
        <v>24803</v>
      </c>
      <c r="AH20316" s="4" t="str">
        <f>HYPERLINK("#Statut_biogéographique!A"&amp;_xlfn.XMATCH("P",Statut_biogéographique!A:A,2,1),"P")</f>
        <v>P</v>
      </c>
      <c r="AM20316" s="4" t="s">
        <v>375</v>
      </c>
      <c r="AN20316" s="4" t="s">
        <v>375</v>
      </c>
      <c r="AO20316" s="4" t="s">
        <v>375</v>
      </c>
      <c r="AP20316" s="4" t="s">
        <v>376</v>
      </c>
      <c r="AR20316" s="4" t="s">
        <v>377</v>
      </c>
    </row>
    <row r="20317" spans="1:44" ht="30">
      <c r="A20317" s="4" t="s">
        <v>24364</v>
      </c>
      <c r="B20317" s="4">
        <v>109084</v>
      </c>
      <c r="D20317" s="5" t="s">
        <v>25595</v>
      </c>
      <c r="E20317" s="6" t="str">
        <f>HYPERLINK("https://inpn.mnhn.fr/espece/cd_nom/109084","Myosotis ramosissima Rochel, 1814")</f>
        <v>Myosotis ramosissima Rochel, 1814</v>
      </c>
      <c r="F20317" s="5" t="s">
        <v>25596</v>
      </c>
      <c r="Q20317" s="7" t="str">
        <f>HYPERLINK("#Liste_rouge!A"&amp;_xlfn.XMATCH("LC",Liste_rouge!A:A,2,1),"LC")</f>
        <v>LC</v>
      </c>
      <c r="T20317" s="7" t="str">
        <f>HYPERLINK("#Liste_rouge!A"&amp;_xlfn.XMATCH("LC",Liste_rouge!A:A,2,1),"LC")</f>
        <v>LC</v>
      </c>
      <c r="V20317" s="7" t="str">
        <f>HYPERLINK("#Liste_rouge!A"&amp;_xlfn.XMATCH("LC",Liste_rouge!A:A,2,1),"LC")</f>
        <v>LC</v>
      </c>
      <c r="AH20317" s="4" t="str">
        <f>HYPERLINK("#Statut_biogéographique!A"&amp;_xlfn.XMATCH("P",Statut_biogéographique!A:A,2,1),"P")</f>
        <v>P</v>
      </c>
      <c r="AM20317" s="4" t="s">
        <v>375</v>
      </c>
      <c r="AN20317" s="4" t="s">
        <v>375</v>
      </c>
      <c r="AO20317" s="4" t="s">
        <v>375</v>
      </c>
      <c r="AP20317" s="4" t="s">
        <v>376</v>
      </c>
      <c r="AR20317" s="4" t="s">
        <v>377</v>
      </c>
    </row>
    <row r="20318" spans="1:44" ht="90">
      <c r="A20318" s="4" t="s">
        <v>24364</v>
      </c>
      <c r="B20318" s="4">
        <v>109091</v>
      </c>
      <c r="D20318" s="5" t="s">
        <v>25597</v>
      </c>
      <c r="E20318" s="6" t="str">
        <f>HYPERLINK("https://inpn.mnhn.fr/espece/cd_nom/109091","Myosotis scorpioides L., 1753")</f>
        <v>Myosotis scorpioides L., 1753</v>
      </c>
      <c r="F20318" s="5" t="s">
        <v>25598</v>
      </c>
      <c r="P20318" s="7" t="str">
        <f>HYPERLINK("#Liste_rouge!A"&amp;_xlfn.XMATCH("LC",Liste_rouge!A:A,2,1),"LC")</f>
        <v>LC</v>
      </c>
      <c r="Q20318" s="7" t="str">
        <f>HYPERLINK("#Liste_rouge!A"&amp;_xlfn.XMATCH("LC",Liste_rouge!A:A,2,1),"LC")</f>
        <v>LC</v>
      </c>
      <c r="T20318" s="7" t="str">
        <f>HYPERLINK("#Liste_rouge!A"&amp;_xlfn.XMATCH("LC",Liste_rouge!A:A,2,1),"LC")</f>
        <v>LC</v>
      </c>
      <c r="V20318" s="7" t="str">
        <f>HYPERLINK("#Liste_rouge!A"&amp;_xlfn.XMATCH("LC",Liste_rouge!A:A,2,1),"LC")</f>
        <v>LC</v>
      </c>
      <c r="AH20318" s="4" t="str">
        <f>HYPERLINK("#Statut_biogéographique!A"&amp;_xlfn.XMATCH("P",Statut_biogéographique!A:A,2,1),"P")</f>
        <v>P</v>
      </c>
      <c r="AM20318" s="4" t="s">
        <v>375</v>
      </c>
      <c r="AN20318" s="4" t="s">
        <v>375</v>
      </c>
      <c r="AO20318" s="4" t="s">
        <v>375</v>
      </c>
      <c r="AP20318" s="4" t="s">
        <v>376</v>
      </c>
      <c r="AR20318" s="4" t="s">
        <v>377</v>
      </c>
    </row>
    <row r="20319" spans="1:44" ht="30">
      <c r="A20319" s="4" t="s">
        <v>24364</v>
      </c>
      <c r="B20319" s="4">
        <v>109092</v>
      </c>
      <c r="D20319" s="5" t="s">
        <v>25599</v>
      </c>
      <c r="E20319" s="6" t="str">
        <f>HYPERLINK("https://inpn.mnhn.fr/espece/cd_nom/109092","Myosotis secunda A.Murray, 1836")</f>
        <v>Myosotis secunda A.Murray, 1836</v>
      </c>
      <c r="F20319" s="5" t="s">
        <v>25600</v>
      </c>
      <c r="O20319" s="7" t="str">
        <f>HYPERLINK("#Liste_rouge!A"&amp;_xlfn.XMATCH("LC",Liste_rouge!A:A,2,1),"LC")</f>
        <v>LC</v>
      </c>
      <c r="P20319" s="7" t="str">
        <f>HYPERLINK("#Liste_rouge!A"&amp;_xlfn.XMATCH("LC",Liste_rouge!A:A,2,1),"LC")</f>
        <v>LC</v>
      </c>
      <c r="Q20319" s="7" t="str">
        <f>HYPERLINK("#Liste_rouge!A"&amp;_xlfn.XMATCH("LC",Liste_rouge!A:A,2,1),"LC")</f>
        <v>LC</v>
      </c>
      <c r="T20319" s="7" t="str">
        <f>HYPERLINK("#Liste_rouge!A"&amp;_xlfn.XMATCH("RE",Liste_rouge!A:A,2,1),"RE")</f>
        <v>RE</v>
      </c>
      <c r="AH20319" s="4" t="str">
        <f>HYPERLINK("#Statut_biogéographique!A"&amp;_xlfn.XMATCH("P",Statut_biogéographique!A:A,2,1),"P")</f>
        <v>P</v>
      </c>
      <c r="AM20319" s="4" t="s">
        <v>375</v>
      </c>
      <c r="AN20319" s="4" t="s">
        <v>375</v>
      </c>
      <c r="AO20319" s="4" t="s">
        <v>375</v>
      </c>
      <c r="AP20319" s="4" t="s">
        <v>376</v>
      </c>
      <c r="AR20319" s="4" t="s">
        <v>377</v>
      </c>
    </row>
    <row r="20320" spans="1:44" ht="30">
      <c r="A20320" s="4" t="s">
        <v>24364</v>
      </c>
      <c r="B20320" s="4">
        <v>109102</v>
      </c>
      <c r="D20320" s="5" t="s">
        <v>25601</v>
      </c>
      <c r="E20320" s="6" t="str">
        <f>HYPERLINK("https://inpn.mnhn.fr/espece/cd_nom/109102","Myosotis stricta Link ex Roem. &amp; Schult., 1819")</f>
        <v>Myosotis stricta Link ex Roem. &amp; Schult., 1819</v>
      </c>
      <c r="F20320" s="5" t="s">
        <v>25602</v>
      </c>
      <c r="Q20320" s="7" t="str">
        <f>HYPERLINK("#Liste_rouge!A"&amp;_xlfn.XMATCH("LC",Liste_rouge!A:A,2,1),"LC")</f>
        <v>LC</v>
      </c>
      <c r="T20320" s="7" t="str">
        <f>HYPERLINK("#Liste_rouge!A"&amp;_xlfn.XMATCH("VU",Liste_rouge!A:A,2,1),"VU")</f>
        <v>VU</v>
      </c>
      <c r="U20320" s="4" t="str">
        <f>HYPERLINK("#Critères_liste_rouge!A$1","EN (A2ac) - 1")</f>
        <v>EN (A2ac) - 1</v>
      </c>
      <c r="V20320" s="7" t="str">
        <f>HYPERLINK("#Liste_rouge!A"&amp;_xlfn.XMATCH("LC",Liste_rouge!A:A,2,1),"LC")</f>
        <v>LC</v>
      </c>
      <c r="X20320" s="5" t="s">
        <v>374</v>
      </c>
      <c r="AB20320" s="4" t="s">
        <v>93</v>
      </c>
      <c r="AH20320" s="4" t="str">
        <f>HYPERLINK("#Statut_biogéographique!A"&amp;_xlfn.XMATCH("P",Statut_biogéographique!A:A,2,1),"P")</f>
        <v>P</v>
      </c>
      <c r="AM20320" s="4" t="s">
        <v>375</v>
      </c>
      <c r="AN20320" s="4" t="s">
        <v>375</v>
      </c>
      <c r="AO20320" s="4" t="s">
        <v>375</v>
      </c>
      <c r="AP20320" s="4" t="s">
        <v>376</v>
      </c>
      <c r="AR20320" s="4" t="s">
        <v>377</v>
      </c>
    </row>
    <row r="20321" spans="1:44" ht="60">
      <c r="A20321" s="4" t="s">
        <v>24364</v>
      </c>
      <c r="B20321" s="4">
        <v>109104</v>
      </c>
      <c r="D20321" s="5" t="s">
        <v>25603</v>
      </c>
      <c r="E20321" s="6" t="str">
        <f>HYPERLINK("https://inpn.mnhn.fr/espece/cd_nom/109104","Myosotis sylvatica Hoffm., 1791")</f>
        <v>Myosotis sylvatica Hoffm., 1791</v>
      </c>
      <c r="F20321" s="5" t="s">
        <v>25604</v>
      </c>
      <c r="Q20321" s="7" t="str">
        <f>HYPERLINK("#Liste_rouge!A"&amp;_xlfn.XMATCH("LC",Liste_rouge!A:A,2,1),"LC")</f>
        <v>LC</v>
      </c>
      <c r="T20321" s="7" t="str">
        <f>HYPERLINK("#Liste_rouge!A"&amp;_xlfn.XMATCH("LC",Liste_rouge!A:A,2,1),"LC")</f>
        <v>LC</v>
      </c>
      <c r="AH20321" s="4" t="str">
        <f>HYPERLINK("#Statut_biogéographique!A"&amp;_xlfn.XMATCH("C",Statut_biogéographique!A:A,2,1),"C")</f>
        <v>C</v>
      </c>
      <c r="AM20321" s="4" t="s">
        <v>375</v>
      </c>
      <c r="AN20321" s="4" t="s">
        <v>375</v>
      </c>
      <c r="AO20321" s="4" t="s">
        <v>375</v>
      </c>
      <c r="AP20321" s="4" t="s">
        <v>376</v>
      </c>
      <c r="AR20321" s="4" t="s">
        <v>377</v>
      </c>
    </row>
    <row r="20322" spans="1:44" ht="45">
      <c r="A20322" s="4" t="s">
        <v>24364</v>
      </c>
      <c r="B20322" s="4">
        <v>109126</v>
      </c>
      <c r="D20322" s="5" t="s">
        <v>25605</v>
      </c>
      <c r="E20322" s="6" t="str">
        <f>HYPERLINK("https://inpn.mnhn.fr/espece/cd_nom/109126","Myosurus minimus L., 1753")</f>
        <v>Myosurus minimus L., 1753</v>
      </c>
      <c r="F20322" s="5" t="s">
        <v>25606</v>
      </c>
      <c r="Q20322" s="7" t="str">
        <f>HYPERLINK("#Liste_rouge!A"&amp;_xlfn.XMATCH("LC",Liste_rouge!A:A,2,1),"LC")</f>
        <v>LC</v>
      </c>
      <c r="T20322" s="7" t="str">
        <f>HYPERLINK("#Liste_rouge!A"&amp;_xlfn.XMATCH("EN",Liste_rouge!A:A,2,1),"EN")</f>
        <v>EN</v>
      </c>
      <c r="U20322" s="4" t="str">
        <f>HYPERLINK("#Critères_liste_rouge!A$1","B2b(ii,iii,iv)c(iii,iv)")</f>
        <v>B2b(ii,iii,iv)c(iii,iv)</v>
      </c>
      <c r="V20322" s="7" t="str">
        <f>HYPERLINK("#Liste_rouge!A"&amp;_xlfn.XMATCH("NT",Liste_rouge!A:A,2,1),"NT")</f>
        <v>NT</v>
      </c>
      <c r="W20322" s="4" t="str">
        <f>HYPERLINK("#Critères_liste_rouge!A$1","pr. B2b(iii)")</f>
        <v>pr. B2b(iii)</v>
      </c>
      <c r="X20322" s="5" t="s">
        <v>374</v>
      </c>
      <c r="AB20322" s="4" t="s">
        <v>93</v>
      </c>
      <c r="AH20322" s="4" t="str">
        <f>HYPERLINK("#Statut_biogéographique!A"&amp;_xlfn.XMATCH("P",Statut_biogéographique!A:A,2,1),"P")</f>
        <v>P</v>
      </c>
      <c r="AM20322" s="4" t="s">
        <v>375</v>
      </c>
      <c r="AN20322" s="4" t="s">
        <v>375</v>
      </c>
      <c r="AO20322" s="4" t="s">
        <v>375</v>
      </c>
      <c r="AP20322" s="4" t="s">
        <v>376</v>
      </c>
      <c r="AR20322" s="4" t="s">
        <v>377</v>
      </c>
    </row>
    <row r="20323" spans="1:44" ht="45">
      <c r="A20323" s="4" t="s">
        <v>24364</v>
      </c>
      <c r="B20323" s="4">
        <v>109130</v>
      </c>
      <c r="D20323" s="5" t="s">
        <v>25607</v>
      </c>
      <c r="E20323" s="6" t="str">
        <f>HYPERLINK("https://inpn.mnhn.fr/espece/cd_nom/109130","Myrica gale L., 1753")</f>
        <v>Myrica gale L., 1753</v>
      </c>
      <c r="F20323" s="5" t="s">
        <v>25608</v>
      </c>
      <c r="M20323" s="4" t="str">
        <f>HYPERLINK("#Réglementation!A"&amp;_xlfn.XMATCH("RV26",Réglementation!A:A,2,1),"RV26")</f>
        <v>RV26</v>
      </c>
      <c r="Q20323" s="7" t="str">
        <f>HYPERLINK("#Liste_rouge!A"&amp;_xlfn.XMATCH("LC",Liste_rouge!A:A,2,1),"LC")</f>
        <v>LC</v>
      </c>
      <c r="T20323" s="7" t="str">
        <f>HYPERLINK("#Liste_rouge!A"&amp;_xlfn.XMATCH("NA",Liste_rouge!A:A,2,1),"NA")</f>
        <v>NA</v>
      </c>
      <c r="AH20323" s="4" t="str">
        <f>HYPERLINK("#Statut_biogéographique!A"&amp;_xlfn.XMATCH("P",Statut_biogéographique!A:A,2,1),"P")</f>
        <v>P</v>
      </c>
      <c r="AM20323" s="4" t="s">
        <v>375</v>
      </c>
      <c r="AN20323" s="4" t="s">
        <v>375</v>
      </c>
      <c r="AO20323" s="4" t="s">
        <v>375</v>
      </c>
      <c r="AP20323" s="4" t="s">
        <v>376</v>
      </c>
      <c r="AR20323" s="4" t="s">
        <v>377</v>
      </c>
    </row>
    <row r="20324" spans="1:44">
      <c r="A20324" s="4" t="s">
        <v>24364</v>
      </c>
      <c r="B20324" s="4">
        <v>109139</v>
      </c>
      <c r="D20324" s="5" t="s">
        <v>25609</v>
      </c>
      <c r="E20324" s="6" t="str">
        <f>HYPERLINK("https://inpn.mnhn.fr/espece/cd_nom/109139","Myriophyllum alterniflorum DC., 1815")</f>
        <v>Myriophyllum alterniflorum DC., 1815</v>
      </c>
      <c r="F20324" s="5" t="s">
        <v>25610</v>
      </c>
      <c r="M20324" s="4" t="str">
        <f>HYPERLINK("#Réglementation!A"&amp;_xlfn.XMATCH("RV26",Réglementation!A:A,2,1),"RV26 - RV43")</f>
        <v>RV26 - RV43</v>
      </c>
      <c r="O20324" s="7" t="str">
        <f>HYPERLINK("#Liste_rouge!A"&amp;_xlfn.XMATCH("LC",Liste_rouge!A:A,2,1),"LC")</f>
        <v>LC</v>
      </c>
      <c r="P20324" s="7" t="str">
        <f>HYPERLINK("#Liste_rouge!A"&amp;_xlfn.XMATCH("LC",Liste_rouge!A:A,2,1),"LC")</f>
        <v>LC</v>
      </c>
      <c r="Q20324" s="7" t="str">
        <f>HYPERLINK("#Liste_rouge!A"&amp;_xlfn.XMATCH("LC",Liste_rouge!A:A,2,1),"LC")</f>
        <v>LC</v>
      </c>
      <c r="T20324" s="7" t="str">
        <f>HYPERLINK("#Liste_rouge!A"&amp;_xlfn.XMATCH("EN",Liste_rouge!A:A,2,1),"EN")</f>
        <v>EN</v>
      </c>
      <c r="U20324" s="4" t="str">
        <f>HYPERLINK("#Critères_liste_rouge!A$1","B2ab(iii,iv,v)c(iii,iv)")</f>
        <v>B2ab(iii,iv,v)c(iii,iv)</v>
      </c>
      <c r="V20324" s="7" t="str">
        <f>HYPERLINK("#Liste_rouge!A"&amp;_xlfn.XMATCH("VU",Liste_rouge!A:A,2,1),"VU")</f>
        <v>VU</v>
      </c>
      <c r="W20324" s="4" t="str">
        <f>HYPERLINK("#Critères_liste_rouge!A$1","D2")</f>
        <v>D2</v>
      </c>
      <c r="X20324" s="5" t="s">
        <v>374</v>
      </c>
      <c r="AB20324" s="4" t="s">
        <v>93</v>
      </c>
      <c r="AH20324" s="4" t="str">
        <f>HYPERLINK("#Statut_biogéographique!A"&amp;_xlfn.XMATCH("P",Statut_biogéographique!A:A,2,1),"P")</f>
        <v>P</v>
      </c>
      <c r="AM20324" s="4" t="s">
        <v>375</v>
      </c>
      <c r="AN20324" s="4" t="s">
        <v>375</v>
      </c>
      <c r="AO20324" s="4" t="s">
        <v>375</v>
      </c>
      <c r="AP20324" s="4" t="s">
        <v>376</v>
      </c>
      <c r="AR20324" s="4" t="s">
        <v>377</v>
      </c>
    </row>
    <row r="20325" spans="1:44">
      <c r="A20325" s="4" t="s">
        <v>24364</v>
      </c>
      <c r="B20325" s="4">
        <v>109141</v>
      </c>
      <c r="D20325" s="5" t="s">
        <v>25611</v>
      </c>
      <c r="E20325" s="6" t="str">
        <f>HYPERLINK("https://inpn.mnhn.fr/espece/cd_nom/109141","Myriophyllum aquaticum (Vell.) Verdc., 1973")</f>
        <v>Myriophyllum aquaticum (Vell.) Verdc., 1973</v>
      </c>
      <c r="F20325" s="5" t="s">
        <v>25612</v>
      </c>
      <c r="Q20325" s="7" t="str">
        <f>HYPERLINK("#Liste_rouge!A"&amp;_xlfn.XMATCH("NA",Liste_rouge!A:A,2,1),"NA")</f>
        <v>NA</v>
      </c>
      <c r="T20325" s="7" t="str">
        <f>HYPERLINK("#Liste_rouge!A"&amp;_xlfn.XMATCH("NA",Liste_rouge!A:A,2,1),"NA")</f>
        <v>NA</v>
      </c>
      <c r="AH20325" s="4" t="str">
        <f>HYPERLINK("#Statut_biogéographique!A"&amp;_xlfn.XMATCH("J",Statut_biogéographique!A:A,2,1),"J")</f>
        <v>J</v>
      </c>
      <c r="AL20325" s="5" t="str">
        <f>HYPERLINK("#Réglementation!A"&amp;_xlfn.XMATCH("FRnoEEEV",Réglementation!A:A,2,1),"FRnoEEEV - EEEUE")</f>
        <v>FRnoEEEV - EEEUE</v>
      </c>
      <c r="AM20325" s="4" t="s">
        <v>375</v>
      </c>
      <c r="AN20325" s="4" t="s">
        <v>375</v>
      </c>
      <c r="AO20325" s="4" t="s">
        <v>375</v>
      </c>
      <c r="AP20325" s="4" t="s">
        <v>376</v>
      </c>
      <c r="AR20325" s="4" t="s">
        <v>377</v>
      </c>
    </row>
    <row r="20326" spans="1:44">
      <c r="A20326" s="4" t="s">
        <v>24364</v>
      </c>
      <c r="B20326" s="4">
        <v>109144</v>
      </c>
      <c r="D20326" s="5">
        <v>109144</v>
      </c>
      <c r="E20326" s="6" t="str">
        <f>HYPERLINK("https://inpn.mnhn.fr/espece/cd_nom/109144","Myriophyllum heterophyllum Michx., 1803")</f>
        <v>Myriophyllum heterophyllum Michx., 1803</v>
      </c>
      <c r="F20326" s="5" t="s">
        <v>25613</v>
      </c>
      <c r="Q20326" s="7" t="str">
        <f>HYPERLINK("#Liste_rouge!A"&amp;_xlfn.XMATCH("NA",Liste_rouge!A:A,2,1),"NA")</f>
        <v>NA</v>
      </c>
      <c r="AH20326" s="4" t="str">
        <f>HYPERLINK("#Statut_biogéographique!A"&amp;_xlfn.XMATCH("I",Statut_biogéographique!A:A,2,1),"I")</f>
        <v>I</v>
      </c>
      <c r="AL20326" s="5" t="str">
        <f>HYPERLINK("#Réglementation!A"&amp;_xlfn.XMATCH("FRnoEEEV",Réglementation!A:A,2,1),"FRnoEEEV - EEEUE")</f>
        <v>FRnoEEEV - EEEUE</v>
      </c>
      <c r="AP20326" s="4" t="s">
        <v>376</v>
      </c>
      <c r="AR20326" s="4" t="s">
        <v>377</v>
      </c>
    </row>
    <row r="20327" spans="1:44" ht="30">
      <c r="A20327" s="4" t="s">
        <v>24364</v>
      </c>
      <c r="B20327" s="4">
        <v>109150</v>
      </c>
      <c r="D20327" s="5" t="s">
        <v>25614</v>
      </c>
      <c r="E20327" s="6" t="str">
        <f>HYPERLINK("https://inpn.mnhn.fr/espece/cd_nom/109150","Myriophyllum spicatum L., 1753")</f>
        <v>Myriophyllum spicatum L., 1753</v>
      </c>
      <c r="F20327" s="5" t="s">
        <v>25615</v>
      </c>
      <c r="O20327" s="7" t="str">
        <f>HYPERLINK("#Liste_rouge!A"&amp;_xlfn.XMATCH("LC",Liste_rouge!A:A,2,1),"LC")</f>
        <v>LC</v>
      </c>
      <c r="P20327" s="7" t="str">
        <f>HYPERLINK("#Liste_rouge!A"&amp;_xlfn.XMATCH("LC",Liste_rouge!A:A,2,1),"LC")</f>
        <v>LC</v>
      </c>
      <c r="Q20327" s="7" t="str">
        <f>HYPERLINK("#Liste_rouge!A"&amp;_xlfn.XMATCH("LC",Liste_rouge!A:A,2,1),"LC")</f>
        <v>LC</v>
      </c>
      <c r="T20327" s="7" t="str">
        <f>HYPERLINK("#Liste_rouge!A"&amp;_xlfn.XMATCH("LC",Liste_rouge!A:A,2,1),"LC")</f>
        <v>LC</v>
      </c>
      <c r="V20327" s="7" t="str">
        <f>HYPERLINK("#Liste_rouge!A"&amp;_xlfn.XMATCH("LC",Liste_rouge!A:A,2,1),"LC")</f>
        <v>LC</v>
      </c>
      <c r="AH20327" s="4" t="str">
        <f>HYPERLINK("#Statut_biogéographique!A"&amp;_xlfn.XMATCH("P",Statut_biogéographique!A:A,2,1),"P")</f>
        <v>P</v>
      </c>
      <c r="AM20327" s="4" t="s">
        <v>375</v>
      </c>
      <c r="AN20327" s="4" t="s">
        <v>375</v>
      </c>
      <c r="AO20327" s="4" t="s">
        <v>375</v>
      </c>
      <c r="AP20327" s="4" t="s">
        <v>376</v>
      </c>
      <c r="AR20327" s="4" t="s">
        <v>377</v>
      </c>
    </row>
    <row r="20328" spans="1:44" ht="30">
      <c r="A20328" s="4" t="s">
        <v>24364</v>
      </c>
      <c r="B20328" s="4">
        <v>109151</v>
      </c>
      <c r="D20328" s="5" t="s">
        <v>25616</v>
      </c>
      <c r="E20328" s="6" t="str">
        <f>HYPERLINK("https://inpn.mnhn.fr/espece/cd_nom/109151","Myriophyllum verticillatum L., 1753")</f>
        <v>Myriophyllum verticillatum L., 1753</v>
      </c>
      <c r="F20328" s="5" t="s">
        <v>25617</v>
      </c>
      <c r="O20328" s="7" t="str">
        <f>HYPERLINK("#Liste_rouge!A"&amp;_xlfn.XMATCH("LC",Liste_rouge!A:A,2,1),"LC")</f>
        <v>LC</v>
      </c>
      <c r="P20328" s="7" t="str">
        <f>HYPERLINK("#Liste_rouge!A"&amp;_xlfn.XMATCH("LC",Liste_rouge!A:A,2,1),"LC")</f>
        <v>LC</v>
      </c>
      <c r="Q20328" s="7" t="str">
        <f>HYPERLINK("#Liste_rouge!A"&amp;_xlfn.XMATCH("LC",Liste_rouge!A:A,2,1),"LC")</f>
        <v>LC</v>
      </c>
      <c r="T20328" s="7" t="str">
        <f>HYPERLINK("#Liste_rouge!A"&amp;_xlfn.XMATCH("NT",Liste_rouge!A:A,2,1),"NT")</f>
        <v>NT</v>
      </c>
      <c r="V20328" s="7" t="str">
        <f>HYPERLINK("#Liste_rouge!A"&amp;_xlfn.XMATCH("NT",Liste_rouge!A:A,2,1),"NT")</f>
        <v>NT</v>
      </c>
      <c r="W20328" s="4" t="str">
        <f>HYPERLINK("#Critères_liste_rouge!A$1","pr. A3c B2b(iii)")</f>
        <v>pr. A3c B2b(iii)</v>
      </c>
      <c r="AB20328" s="4" t="s">
        <v>24777</v>
      </c>
      <c r="AH20328" s="4" t="str">
        <f>HYPERLINK("#Statut_biogéographique!A"&amp;_xlfn.XMATCH("P",Statut_biogéographique!A:A,2,1),"P")</f>
        <v>P</v>
      </c>
      <c r="AM20328" s="4" t="s">
        <v>375</v>
      </c>
      <c r="AN20328" s="4" t="s">
        <v>375</v>
      </c>
      <c r="AO20328" s="4" t="s">
        <v>375</v>
      </c>
      <c r="AP20328" s="4" t="s">
        <v>376</v>
      </c>
      <c r="AR20328" s="4" t="s">
        <v>377</v>
      </c>
    </row>
    <row r="20329" spans="1:44" ht="30">
      <c r="A20329" s="4" t="s">
        <v>24364</v>
      </c>
      <c r="B20329" s="4">
        <v>109161</v>
      </c>
      <c r="D20329" s="5" t="s">
        <v>25618</v>
      </c>
      <c r="E20329" s="6" t="str">
        <f>HYPERLINK("https://inpn.mnhn.fr/espece/cd_nom/109161","Myrrhis odorata (L.) Scop., 1771")</f>
        <v>Myrrhis odorata (L.) Scop., 1771</v>
      </c>
      <c r="F20329" s="5" t="s">
        <v>25619</v>
      </c>
      <c r="Q20329" s="7" t="str">
        <f>HYPERLINK("#Liste_rouge!A"&amp;_xlfn.XMATCH("LC",Liste_rouge!A:A,2,1),"LC")</f>
        <v>LC</v>
      </c>
      <c r="T20329" s="7" t="str">
        <f>HYPERLINK("#Liste_rouge!A"&amp;_xlfn.XMATCH("NA",Liste_rouge!A:A,2,1),"NA")</f>
        <v>NA</v>
      </c>
      <c r="AH20329" s="4" t="str">
        <f>HYPERLINK("#Statut_biogéographique!A"&amp;_xlfn.XMATCH("P",Statut_biogéographique!A:A,2,1),"P")</f>
        <v>P</v>
      </c>
      <c r="AM20329" s="4" t="s">
        <v>375</v>
      </c>
      <c r="AN20329" s="4" t="s">
        <v>375</v>
      </c>
      <c r="AO20329" s="4" t="s">
        <v>375</v>
      </c>
      <c r="AP20329" s="4" t="s">
        <v>376</v>
      </c>
      <c r="AR20329" s="4" t="s">
        <v>377</v>
      </c>
    </row>
    <row r="20330" spans="1:44" ht="30">
      <c r="A20330" s="4" t="s">
        <v>24364</v>
      </c>
      <c r="B20330" s="4">
        <v>109213</v>
      </c>
      <c r="D20330" s="5">
        <v>109213</v>
      </c>
      <c r="E20330" s="6" t="str">
        <f>HYPERLINK("https://inpn.mnhn.fr/espece/cd_nom/109213","Najas marina L., 1753")</f>
        <v>Najas marina L., 1753</v>
      </c>
      <c r="F20330" s="5" t="s">
        <v>25620</v>
      </c>
      <c r="M20330" s="4" t="str">
        <f>HYPERLINK("#Réglementation!A"&amp;_xlfn.XMATCH("RV43",Réglementation!A:A,2,1),"RV43")</f>
        <v>RV43</v>
      </c>
      <c r="O20330" s="7" t="str">
        <f>HYPERLINK("#Liste_rouge!A"&amp;_xlfn.XMATCH("LC",Liste_rouge!A:A,2,1),"LC")</f>
        <v>LC</v>
      </c>
      <c r="P20330" s="7" t="str">
        <f>HYPERLINK("#Liste_rouge!A"&amp;_xlfn.XMATCH("LC",Liste_rouge!A:A,2,1),"LC")</f>
        <v>LC</v>
      </c>
      <c r="Q20330" s="7" t="str">
        <f>HYPERLINK("#Liste_rouge!A"&amp;_xlfn.XMATCH("LC",Liste_rouge!A:A,2,1),"LC")</f>
        <v>LC</v>
      </c>
      <c r="T20330" s="7" t="str">
        <f>HYPERLINK("#Liste_rouge!A"&amp;_xlfn.XMATCH("LC",Liste_rouge!A:A,2,1),"LC")</f>
        <v>LC</v>
      </c>
      <c r="V20330" s="7" t="str">
        <f>HYPERLINK("#Liste_rouge!A"&amp;_xlfn.XMATCH("LC",Liste_rouge!A:A,2,1),"LC")</f>
        <v>LC</v>
      </c>
      <c r="AH20330" s="4" t="str">
        <f>HYPERLINK("#Statut_biogéographique!A"&amp;_xlfn.XMATCH("P",Statut_biogéographique!A:A,2,1),"P")</f>
        <v>P</v>
      </c>
      <c r="AM20330" s="4" t="s">
        <v>375</v>
      </c>
      <c r="AN20330" s="4" t="s">
        <v>375</v>
      </c>
      <c r="AO20330" s="4" t="s">
        <v>375</v>
      </c>
      <c r="AP20330" s="4" t="s">
        <v>376</v>
      </c>
      <c r="AR20330" s="4" t="s">
        <v>377</v>
      </c>
    </row>
    <row r="20331" spans="1:44" ht="30">
      <c r="A20331" s="4" t="s">
        <v>24364</v>
      </c>
      <c r="B20331" s="4">
        <v>109215</v>
      </c>
      <c r="D20331" s="5" t="s">
        <v>25621</v>
      </c>
      <c r="E20331" s="6" t="str">
        <f>HYPERLINK("https://inpn.mnhn.fr/espece/cd_nom/109215","Najas minor All., 1773")</f>
        <v>Najas minor All., 1773</v>
      </c>
      <c r="F20331" s="5" t="s">
        <v>25622</v>
      </c>
      <c r="M20331" s="4" t="str">
        <f>HYPERLINK("#Réglementation!A"&amp;_xlfn.XMATCH("RV43",Réglementation!A:A,2,1),"RV43")</f>
        <v>RV43</v>
      </c>
      <c r="O20331" s="7" t="str">
        <f>HYPERLINK("#Liste_rouge!A"&amp;_xlfn.XMATCH("LC",Liste_rouge!A:A,2,1),"LC")</f>
        <v>LC</v>
      </c>
      <c r="P20331" s="7" t="str">
        <f>HYPERLINK("#Liste_rouge!A"&amp;_xlfn.XMATCH("LC",Liste_rouge!A:A,2,1),"LC")</f>
        <v>LC</v>
      </c>
      <c r="Q20331" s="7" t="str">
        <f>HYPERLINK("#Liste_rouge!A"&amp;_xlfn.XMATCH("LC",Liste_rouge!A:A,2,1),"LC")</f>
        <v>LC</v>
      </c>
      <c r="T20331" s="7" t="str">
        <f>HYPERLINK("#Liste_rouge!A"&amp;_xlfn.XMATCH("VU",Liste_rouge!A:A,2,1),"VU")</f>
        <v>VU</v>
      </c>
      <c r="U20331" s="4" t="str">
        <f>HYPERLINK("#Critères_liste_rouge!A$1","D2")</f>
        <v>D2</v>
      </c>
      <c r="V20331" s="7" t="str">
        <f>HYPERLINK("#Liste_rouge!A"&amp;_xlfn.XMATCH("NT",Liste_rouge!A:A,2,1),"NT")</f>
        <v>NT</v>
      </c>
      <c r="W20331" s="4" t="str">
        <f>HYPERLINK("#Critères_liste_rouge!A$1","pr. B2ab(iii)")</f>
        <v>pr. B2ab(iii)</v>
      </c>
      <c r="X20331" s="5" t="s">
        <v>374</v>
      </c>
      <c r="AB20331" s="4" t="s">
        <v>93</v>
      </c>
      <c r="AH20331" s="4" t="str">
        <f>HYPERLINK("#Statut_biogéographique!A"&amp;_xlfn.XMATCH("P",Statut_biogéographique!A:A,2,1),"P")</f>
        <v>P</v>
      </c>
      <c r="AM20331" s="4" t="s">
        <v>375</v>
      </c>
      <c r="AN20331" s="4" t="s">
        <v>375</v>
      </c>
      <c r="AO20331" s="4" t="s">
        <v>375</v>
      </c>
      <c r="AP20331" s="4" t="s">
        <v>376</v>
      </c>
      <c r="AR20331" s="4" t="s">
        <v>377</v>
      </c>
    </row>
    <row r="20332" spans="1:44" ht="60">
      <c r="A20332" s="4" t="s">
        <v>24364</v>
      </c>
      <c r="B20332" s="4">
        <v>109291</v>
      </c>
      <c r="D20332" s="5" t="s">
        <v>25623</v>
      </c>
      <c r="E20332" s="6" t="str">
        <f>HYPERLINK("https://inpn.mnhn.fr/espece/cd_nom/109291","Narcissus poeticus L., 1753")</f>
        <v>Narcissus poeticus L., 1753</v>
      </c>
      <c r="F20332" s="5" t="s">
        <v>25624</v>
      </c>
      <c r="M20332" s="4" t="str">
        <f>HYPERLINK("#Réglementation!A"&amp;_xlfn.XMATCH("RV26",Réglementation!A:A,2,1),"RV26")</f>
        <v>RV26</v>
      </c>
      <c r="N20332" s="4" t="str">
        <f>HYPERLINK("#Réglementation!A"&amp;_xlfn.XMATCH("V25P2",Réglementation!A:A,2,1),"V25P2 - V70P1")</f>
        <v>V25P2 - V70P1</v>
      </c>
      <c r="O20332" s="7" t="str">
        <f>HYPERLINK("#Liste_rouge!A"&amp;_xlfn.XMATCH("LC",Liste_rouge!A:A,2,1),"LC")</f>
        <v>LC</v>
      </c>
      <c r="P20332" s="7" t="str">
        <f>HYPERLINK("#Liste_rouge!A"&amp;_xlfn.XMATCH("LC",Liste_rouge!A:A,2,1),"LC")</f>
        <v>LC</v>
      </c>
      <c r="Q20332" s="7" t="str">
        <f>HYPERLINK("#Liste_rouge!A"&amp;_xlfn.XMATCH("LC",Liste_rouge!A:A,2,1),"LC")</f>
        <v>LC</v>
      </c>
      <c r="T20332" s="7" t="str">
        <f>HYPERLINK("#Liste_rouge!A"&amp;_xlfn.XMATCH("EN",Liste_rouge!A:A,2,1),"EN (cd_nom 109291) - DD (cd_nom 137992)")</f>
        <v>EN (cd_nom 109291) - DD (cd_nom 137992)</v>
      </c>
      <c r="U20332" s="4" t="str">
        <f>HYPERLINK("#Critères_liste_rouge!A$1","B2ab(ii,iii,iv) (cd_nom 109291)")</f>
        <v>B2ab(ii,iii,iv) (cd_nom 109291)</v>
      </c>
      <c r="V20332" s="7" t="str">
        <f>HYPERLINK("#Liste_rouge!A"&amp;_xlfn.XMATCH("NT",Liste_rouge!A:A,2,1),"NT")</f>
        <v>NT</v>
      </c>
      <c r="W20332" s="4" t="str">
        <f>HYPERLINK("#Critères_liste_rouge!A$1","pr. A3c B2b(iii)")</f>
        <v>pr. A3c B2b(iii)</v>
      </c>
      <c r="AB20332" s="4" t="s">
        <v>25625</v>
      </c>
      <c r="AH20332" s="4" t="str">
        <f>HYPERLINK("#Statut_biogéographique!A"&amp;_xlfn.XMATCH("P",Statut_biogéographique!A:A,2,1),"P")</f>
        <v>P</v>
      </c>
      <c r="AK20332" s="4" t="str">
        <f>HYPERLINK("#Réglementation!A"&amp;_xlfn.XMATCH("V39P2",Réglementation!A:A,2,1),"V39P2 - V39P6 - V25P2 - V70P1")</f>
        <v>V39P2 - V39P6 - V25P2 - V70P1</v>
      </c>
      <c r="AM20332" s="4" t="s">
        <v>375</v>
      </c>
      <c r="AN20332" s="4" t="s">
        <v>375</v>
      </c>
      <c r="AO20332" s="4" t="s">
        <v>375</v>
      </c>
      <c r="AP20332" s="4" t="s">
        <v>376</v>
      </c>
      <c r="AR20332" s="4" t="s">
        <v>377</v>
      </c>
    </row>
    <row r="20333" spans="1:44" ht="45">
      <c r="A20333" s="4" t="s">
        <v>24364</v>
      </c>
      <c r="B20333" s="4">
        <v>109297</v>
      </c>
      <c r="D20333" s="5" t="s">
        <v>25626</v>
      </c>
      <c r="E20333" s="6" t="str">
        <f>HYPERLINK("https://inpn.mnhn.fr/espece/cd_nom/109297","Narcissus pseudonarcissus L., 1753")</f>
        <v>Narcissus pseudonarcissus L., 1753</v>
      </c>
      <c r="F20333" s="5" t="s">
        <v>25627</v>
      </c>
      <c r="N20333" s="4" t="str">
        <f>HYPERLINK("#Réglementation!A"&amp;_xlfn.XMATCH("V25P2",Réglementation!A:A,2,1),"V25P2 - V70P2")</f>
        <v>V25P2 - V70P2</v>
      </c>
      <c r="Q20333" s="7" t="str">
        <f>HYPERLINK("#Liste_rouge!A"&amp;_xlfn.XMATCH("LC",Liste_rouge!A:A,2,1),"LC")</f>
        <v>LC</v>
      </c>
      <c r="T20333" s="7" t="str">
        <f>HYPERLINK("#Liste_rouge!A"&amp;_xlfn.XMATCH("NT",Liste_rouge!A:A,2,1),"NT")</f>
        <v>NT</v>
      </c>
      <c r="U20333" s="4" t="str">
        <f>HYPERLINK("#Critères_liste_rouge!A$1","VU (A2ac) - 1")</f>
        <v>VU (A2ac) - 1</v>
      </c>
      <c r="V20333" s="7" t="str">
        <f>HYPERLINK("#Liste_rouge!A"&amp;_xlfn.XMATCH("LC",Liste_rouge!A:A,2,1),"LC")</f>
        <v>LC</v>
      </c>
      <c r="AB20333" s="4" t="s">
        <v>24495</v>
      </c>
      <c r="AH20333" s="4" t="str">
        <f>HYPERLINK("#Statut_biogéographique!A"&amp;_xlfn.XMATCH("P",Statut_biogéographique!A:A,2,1),"P")</f>
        <v>P</v>
      </c>
      <c r="AK20333" s="4" t="str">
        <f>HYPERLINK("#Réglementation!A"&amp;_xlfn.XMATCH("V39P2",Réglementation!A:A,2,1),"V39P2 - V39P6 - V25P2 - V70P2")</f>
        <v>V39P2 - V39P6 - V25P2 - V70P2</v>
      </c>
      <c r="AM20333" s="4" t="s">
        <v>375</v>
      </c>
      <c r="AN20333" s="4" t="s">
        <v>375</v>
      </c>
      <c r="AO20333" s="4" t="s">
        <v>375</v>
      </c>
      <c r="AP20333" s="4" t="s">
        <v>376</v>
      </c>
      <c r="AR20333" s="4" t="s">
        <v>377</v>
      </c>
    </row>
    <row r="20334" spans="1:44" ht="60">
      <c r="A20334" s="4" t="s">
        <v>24364</v>
      </c>
      <c r="B20334" s="4">
        <v>109329</v>
      </c>
      <c r="D20334" s="5" t="s">
        <v>25628</v>
      </c>
      <c r="E20334" s="6" t="str">
        <f>HYPERLINK("https://inpn.mnhn.fr/espece/cd_nom/109329","Narcissus x incomparabilis Mill., 1768")</f>
        <v>Narcissus x incomparabilis Mill., 1768</v>
      </c>
      <c r="F20334" s="5" t="s">
        <v>25629</v>
      </c>
      <c r="T20334" s="7" t="str">
        <f>HYPERLINK("#Liste_rouge!A"&amp;_xlfn.XMATCH("NE",Liste_rouge!A:A,2,1),"NE")</f>
        <v>NE</v>
      </c>
      <c r="AH20334" s="4" t="str">
        <f>HYPERLINK("#Statut_biogéographique!A"&amp;_xlfn.XMATCH("M",Statut_biogéographique!A:A,2,1),"M")</f>
        <v>M</v>
      </c>
      <c r="AP20334" s="4" t="s">
        <v>376</v>
      </c>
      <c r="AR20334" s="4" t="s">
        <v>377</v>
      </c>
    </row>
    <row r="20335" spans="1:44" ht="30">
      <c r="A20335" s="4" t="s">
        <v>24364</v>
      </c>
      <c r="B20335" s="4">
        <v>109338</v>
      </c>
      <c r="D20335" s="5" t="s">
        <v>25630</v>
      </c>
      <c r="E20335" s="6" t="str">
        <f>HYPERLINK("https://inpn.mnhn.fr/espece/cd_nom/109338","Narcissus x medioluteus Mill., 1768")</f>
        <v>Narcissus x medioluteus Mill., 1768</v>
      </c>
      <c r="F20335" s="5" t="s">
        <v>25631</v>
      </c>
      <c r="T20335" s="7" t="str">
        <f>HYPERLINK("#Liste_rouge!A"&amp;_xlfn.XMATCH("NE",Liste_rouge!A:A,2,1),"NE")</f>
        <v>NE</v>
      </c>
      <c r="AH20335" s="4" t="str">
        <f>HYPERLINK("#Statut_biogéographique!A"&amp;_xlfn.XMATCH("M",Statut_biogéographique!A:A,2,1),"M")</f>
        <v>M</v>
      </c>
      <c r="AP20335" s="4" t="s">
        <v>376</v>
      </c>
      <c r="AR20335" s="4" t="s">
        <v>377</v>
      </c>
    </row>
    <row r="20336" spans="1:44" ht="30">
      <c r="A20336" s="4" t="s">
        <v>24364</v>
      </c>
      <c r="B20336" s="4">
        <v>109366</v>
      </c>
      <c r="D20336" s="5" t="s">
        <v>25632</v>
      </c>
      <c r="E20336" s="6" t="str">
        <f>HYPERLINK("https://inpn.mnhn.fr/espece/cd_nom/109366","Nardus stricta L., 1753")</f>
        <v>Nardus stricta L., 1753</v>
      </c>
      <c r="F20336" s="5" t="s">
        <v>25633</v>
      </c>
      <c r="Q20336" s="7" t="str">
        <f>HYPERLINK("#Liste_rouge!A"&amp;_xlfn.XMATCH("LC",Liste_rouge!A:A,2,1),"LC")</f>
        <v>LC</v>
      </c>
      <c r="T20336" s="7" t="str">
        <f>HYPERLINK("#Liste_rouge!A"&amp;_xlfn.XMATCH("NT",Liste_rouge!A:A,2,1),"NT")</f>
        <v>NT</v>
      </c>
      <c r="U20336" s="4" t="str">
        <f>HYPERLINK("#Critères_liste_rouge!A$1","pr. B2a")</f>
        <v>pr. B2a</v>
      </c>
      <c r="V20336" s="7" t="str">
        <f>HYPERLINK("#Liste_rouge!A"&amp;_xlfn.XMATCH("LC",Liste_rouge!A:A,2,1),"LC")</f>
        <v>LC</v>
      </c>
      <c r="AB20336" s="4" t="s">
        <v>24495</v>
      </c>
      <c r="AH20336" s="4" t="str">
        <f>HYPERLINK("#Statut_biogéographique!A"&amp;_xlfn.XMATCH("P",Statut_biogéographique!A:A,2,1),"P")</f>
        <v>P</v>
      </c>
      <c r="AM20336" s="4" t="s">
        <v>375</v>
      </c>
      <c r="AN20336" s="4" t="s">
        <v>375</v>
      </c>
      <c r="AO20336" s="4" t="s">
        <v>375</v>
      </c>
      <c r="AP20336" s="4" t="s">
        <v>376</v>
      </c>
      <c r="AR20336" s="4" t="s">
        <v>377</v>
      </c>
    </row>
    <row r="20337" spans="1:44" ht="30">
      <c r="A20337" s="4" t="s">
        <v>24364</v>
      </c>
      <c r="B20337" s="4">
        <v>109419</v>
      </c>
      <c r="D20337" s="5" t="s">
        <v>25634</v>
      </c>
      <c r="E20337" s="6" t="str">
        <f>HYPERLINK("https://inpn.mnhn.fr/espece/cd_nom/109419","Nasturtium microphyllum Boenn. ex Rchb., 1832")</f>
        <v>Nasturtium microphyllum Boenn. ex Rchb., 1832</v>
      </c>
      <c r="F20337" s="5" t="s">
        <v>25635</v>
      </c>
      <c r="Q20337" s="7" t="str">
        <f>HYPERLINK("#Liste_rouge!A"&amp;_xlfn.XMATCH("DD",Liste_rouge!A:A,2,1),"DD")</f>
        <v>DD</v>
      </c>
      <c r="T20337" s="7" t="str">
        <f>HYPERLINK("#Liste_rouge!A"&amp;_xlfn.XMATCH("CR",Liste_rouge!A:A,2,1),"CR")</f>
        <v>CR</v>
      </c>
      <c r="U20337" s="4" t="str">
        <f>HYPERLINK("#Critères_liste_rouge!A$1","B1 B2ab(ii,iii,iv)")</f>
        <v>B1 B2ab(ii,iii,iv)</v>
      </c>
      <c r="X20337" s="5" t="s">
        <v>374</v>
      </c>
      <c r="AB20337" s="4" t="s">
        <v>93</v>
      </c>
      <c r="AH20337" s="4" t="str">
        <f>HYPERLINK("#Statut_biogéographique!A"&amp;_xlfn.XMATCH("P",Statut_biogéographique!A:A,2,1),"P")</f>
        <v>P</v>
      </c>
      <c r="AM20337" s="4" t="s">
        <v>375</v>
      </c>
      <c r="AN20337" s="4" t="s">
        <v>375</v>
      </c>
      <c r="AO20337" s="4" t="s">
        <v>375</v>
      </c>
      <c r="AP20337" s="4" t="s">
        <v>376</v>
      </c>
      <c r="AR20337" s="4" t="s">
        <v>377</v>
      </c>
    </row>
    <row r="20338" spans="1:44" ht="90">
      <c r="A20338" s="4" t="s">
        <v>24364</v>
      </c>
      <c r="B20338" s="4">
        <v>109422</v>
      </c>
      <c r="D20338" s="5" t="s">
        <v>25636</v>
      </c>
      <c r="E20338" s="6" t="str">
        <f>HYPERLINK("https://inpn.mnhn.fr/espece/cd_nom/109422","Nasturtium officinale W.T.Aiton, 1812")</f>
        <v>Nasturtium officinale W.T.Aiton, 1812</v>
      </c>
      <c r="F20338" s="5" t="s">
        <v>25637</v>
      </c>
      <c r="O20338" s="7" t="str">
        <f>HYPERLINK("#Liste_rouge!A"&amp;_xlfn.XMATCH("LC",Liste_rouge!A:A,2,1),"LC")</f>
        <v>LC</v>
      </c>
      <c r="P20338" s="7" t="str">
        <f>HYPERLINK("#Liste_rouge!A"&amp;_xlfn.XMATCH("LC",Liste_rouge!A:A,2,1),"LC")</f>
        <v>LC</v>
      </c>
      <c r="Q20338" s="7" t="str">
        <f>HYPERLINK("#Liste_rouge!A"&amp;_xlfn.XMATCH("LC",Liste_rouge!A:A,2,1),"LC")</f>
        <v>LC</v>
      </c>
      <c r="T20338" s="7" t="str">
        <f>HYPERLINK("#Liste_rouge!A"&amp;_xlfn.XMATCH("DD",Liste_rouge!A:A,2,1),"DD (cd_nom 148898) - LC (cd_nom 109422)")</f>
        <v>DD (cd_nom 148898) - LC (cd_nom 109422)</v>
      </c>
      <c r="V20338" s="7" t="str">
        <f>HYPERLINK("#Liste_rouge!A"&amp;_xlfn.XMATCH("LC",Liste_rouge!A:A,2,1),"LC")</f>
        <v>LC</v>
      </c>
      <c r="AH20338" s="4" t="str">
        <f>HYPERLINK("#Statut_biogéographique!A"&amp;_xlfn.XMATCH("P",Statut_biogéographique!A:A,2,1),"P")</f>
        <v>P</v>
      </c>
      <c r="AM20338" s="4" t="s">
        <v>375</v>
      </c>
      <c r="AN20338" s="4" t="s">
        <v>375</v>
      </c>
      <c r="AO20338" s="4" t="s">
        <v>375</v>
      </c>
      <c r="AP20338" s="4" t="s">
        <v>376</v>
      </c>
      <c r="AR20338" s="4" t="s">
        <v>377</v>
      </c>
    </row>
    <row r="20339" spans="1:44" ht="30">
      <c r="A20339" s="4" t="s">
        <v>24364</v>
      </c>
      <c r="B20339" s="4">
        <v>109501</v>
      </c>
      <c r="D20339" s="5" t="s">
        <v>25638</v>
      </c>
      <c r="E20339" s="6" t="str">
        <f>HYPERLINK("https://inpn.mnhn.fr/espece/cd_nom/109501","Neotinea ustulata (L.) R.M.Bateman, Pridgeon &amp; M.W.Chase, 1997")</f>
        <v>Neotinea ustulata (L.) R.M.Bateman, Pridgeon &amp; M.W.Chase, 1997</v>
      </c>
      <c r="F20339" s="5" t="s">
        <v>25639</v>
      </c>
      <c r="G20339" s="4" t="str">
        <f>HYPERLINK("[#Réglementation!A"&amp;_xlfn.XMATCH("CCB",Réglementation!A:A,2,1),"CCB")</f>
        <v>CCB</v>
      </c>
      <c r="P20339" s="7" t="str">
        <f>HYPERLINK("#Liste_rouge!A"&amp;_xlfn.XMATCH("LC",Liste_rouge!A:A,2,1),"LC")</f>
        <v>LC</v>
      </c>
      <c r="Q20339" s="7" t="str">
        <f>HYPERLINK("#Liste_rouge!A"&amp;_xlfn.XMATCH("LC",Liste_rouge!A:A,2,1),"LC")</f>
        <v>LC</v>
      </c>
      <c r="T20339" s="7" t="str">
        <f>HYPERLINK("#Liste_rouge!A"&amp;_xlfn.XMATCH("VU",Liste_rouge!A:A,2,1),"VU")</f>
        <v>VU</v>
      </c>
      <c r="U20339" s="4" t="str">
        <f>HYPERLINK("#Critères_liste_rouge!A$1","B2ab(ii,iii,iv)")</f>
        <v>B2ab(ii,iii,iv)</v>
      </c>
      <c r="V20339" s="7" t="str">
        <f>HYPERLINK("#Liste_rouge!A"&amp;_xlfn.XMATCH("LC",Liste_rouge!A:A,2,1),"LC")</f>
        <v>LC</v>
      </c>
      <c r="AB20339" s="4" t="s">
        <v>24495</v>
      </c>
      <c r="AH20339" s="4" t="str">
        <f>HYPERLINK("#Statut_biogéographique!A"&amp;_xlfn.XMATCH("P",Statut_biogéographique!A:A,2,1),"P")</f>
        <v>P</v>
      </c>
      <c r="AL20339" s="5" t="str">
        <f>HYPERLINK("#Réglementation!A"&amp;_xlfn.XMATCH("UEintro",Réglementation!A:A,2,1),"UEintro")</f>
        <v>UEintro</v>
      </c>
      <c r="AM20339" s="4" t="s">
        <v>375</v>
      </c>
      <c r="AN20339" s="4" t="s">
        <v>375</v>
      </c>
      <c r="AO20339" s="4" t="s">
        <v>375</v>
      </c>
      <c r="AP20339" s="4" t="s">
        <v>376</v>
      </c>
      <c r="AR20339" s="4" t="s">
        <v>377</v>
      </c>
    </row>
    <row r="20340" spans="1:44" ht="30">
      <c r="A20340" s="4" t="s">
        <v>24364</v>
      </c>
      <c r="B20340" s="4">
        <v>109503</v>
      </c>
      <c r="D20340" s="5" t="s">
        <v>25640</v>
      </c>
      <c r="E20340" s="6" t="str">
        <f>HYPERLINK("https://inpn.mnhn.fr/espece/cd_nom/109503","Neottia cordata (L.) Rich., 1817")</f>
        <v>Neottia cordata (L.) Rich., 1817</v>
      </c>
      <c r="F20340" s="5" t="s">
        <v>25641</v>
      </c>
      <c r="G20340" s="4" t="str">
        <f>HYPERLINK("[#Réglementation!A"&amp;_xlfn.XMATCH("CCB",Réglementation!A:A,2,1),"CCB")</f>
        <v>CCB</v>
      </c>
      <c r="O20340" s="7" t="str">
        <f>HYPERLINK("#Liste_rouge!A"&amp;_xlfn.XMATCH("LC",Liste_rouge!A:A,2,1),"LC")</f>
        <v>LC</v>
      </c>
      <c r="P20340" s="7" t="str">
        <f>HYPERLINK("#Liste_rouge!A"&amp;_xlfn.XMATCH("LC",Liste_rouge!A:A,2,1),"LC")</f>
        <v>LC</v>
      </c>
      <c r="Q20340" s="7" t="str">
        <f>HYPERLINK("#Liste_rouge!A"&amp;_xlfn.XMATCH("LC",Liste_rouge!A:A,2,1),"LC")</f>
        <v>LC</v>
      </c>
      <c r="V20340" s="7" t="str">
        <f>HYPERLINK("#Liste_rouge!A"&amp;_xlfn.XMATCH("LC",Liste_rouge!A:A,2,1),"LC")</f>
        <v>LC</v>
      </c>
      <c r="X20340" s="5" t="s">
        <v>374</v>
      </c>
      <c r="AB20340" s="4" t="s">
        <v>93</v>
      </c>
      <c r="AH20340" s="4" t="str">
        <f>HYPERLINK("#Statut_biogéographique!A"&amp;_xlfn.XMATCH("P",Statut_biogéographique!A:A,2,1),"P")</f>
        <v>P</v>
      </c>
      <c r="AM20340" s="4" t="s">
        <v>375</v>
      </c>
      <c r="AN20340" s="4" t="s">
        <v>375</v>
      </c>
      <c r="AO20340" s="4" t="s">
        <v>375</v>
      </c>
      <c r="AP20340" s="4" t="s">
        <v>376</v>
      </c>
      <c r="AR20340" s="4" t="s">
        <v>377</v>
      </c>
    </row>
    <row r="20341" spans="1:44" ht="30">
      <c r="A20341" s="4" t="s">
        <v>24364</v>
      </c>
      <c r="B20341" s="4">
        <v>109506</v>
      </c>
      <c r="D20341" s="5" t="s">
        <v>25642</v>
      </c>
      <c r="E20341" s="6" t="str">
        <f>HYPERLINK("https://inpn.mnhn.fr/espece/cd_nom/109506","Neottia nidus-avis (L.) Rich., 1817")</f>
        <v>Neottia nidus-avis (L.) Rich., 1817</v>
      </c>
      <c r="F20341" s="5" t="s">
        <v>25643</v>
      </c>
      <c r="G20341" s="4" t="str">
        <f>HYPERLINK("[#Réglementation!A"&amp;_xlfn.XMATCH("CCB",Réglementation!A:A,2,1),"CCB")</f>
        <v>CCB</v>
      </c>
      <c r="O20341" s="7" t="str">
        <f>HYPERLINK("#Liste_rouge!A"&amp;_xlfn.XMATCH("LC",Liste_rouge!A:A,2,1),"LC")</f>
        <v>LC</v>
      </c>
      <c r="P20341" s="7" t="str">
        <f>HYPERLINK("#Liste_rouge!A"&amp;_xlfn.XMATCH("LC",Liste_rouge!A:A,2,1),"LC")</f>
        <v>LC</v>
      </c>
      <c r="Q20341" s="7" t="str">
        <f>HYPERLINK("#Liste_rouge!A"&amp;_xlfn.XMATCH("LC",Liste_rouge!A:A,2,1),"LC")</f>
        <v>LC</v>
      </c>
      <c r="T20341" s="7" t="str">
        <f>HYPERLINK("#Liste_rouge!A"&amp;_xlfn.XMATCH("LC",Liste_rouge!A:A,2,1),"LC")</f>
        <v>LC</v>
      </c>
      <c r="V20341" s="7" t="str">
        <f>HYPERLINK("#Liste_rouge!A"&amp;_xlfn.XMATCH("LC",Liste_rouge!A:A,2,1),"LC")</f>
        <v>LC</v>
      </c>
      <c r="AH20341" s="4" t="str">
        <f>HYPERLINK("#Statut_biogéographique!A"&amp;_xlfn.XMATCH("P",Statut_biogéographique!A:A,2,1),"P")</f>
        <v>P</v>
      </c>
      <c r="AM20341" s="4" t="s">
        <v>375</v>
      </c>
      <c r="AN20341" s="4" t="s">
        <v>375</v>
      </c>
      <c r="AO20341" s="4" t="s">
        <v>375</v>
      </c>
      <c r="AP20341" s="4" t="s">
        <v>376</v>
      </c>
      <c r="AR20341" s="4" t="s">
        <v>377</v>
      </c>
    </row>
    <row r="20342" spans="1:44" ht="45">
      <c r="A20342" s="4" t="s">
        <v>24364</v>
      </c>
      <c r="B20342" s="4">
        <v>109507</v>
      </c>
      <c r="D20342" s="5" t="s">
        <v>25644</v>
      </c>
      <c r="E20342" s="6" t="str">
        <f>HYPERLINK("https://inpn.mnhn.fr/espece/cd_nom/109507","Neottia ovata (L.) Bluff &amp; Fingerh., 1837")</f>
        <v>Neottia ovata (L.) Bluff &amp; Fingerh., 1837</v>
      </c>
      <c r="F20342" s="5" t="s">
        <v>25645</v>
      </c>
      <c r="G20342" s="4" t="str">
        <f>HYPERLINK("[#Réglementation!A"&amp;_xlfn.XMATCH("CCB",Réglementation!A:A,2,1),"CCB")</f>
        <v>CCB</v>
      </c>
      <c r="P20342" s="7" t="str">
        <f>HYPERLINK("#Liste_rouge!A"&amp;_xlfn.XMATCH("LC",Liste_rouge!A:A,2,1),"LC")</f>
        <v>LC</v>
      </c>
      <c r="Q20342" s="7" t="str">
        <f>HYPERLINK("#Liste_rouge!A"&amp;_xlfn.XMATCH("LC",Liste_rouge!A:A,2,1),"LC")</f>
        <v>LC</v>
      </c>
      <c r="T20342" s="7" t="str">
        <f>HYPERLINK("#Liste_rouge!A"&amp;_xlfn.XMATCH("LC",Liste_rouge!A:A,2,1),"LC")</f>
        <v>LC</v>
      </c>
      <c r="V20342" s="7" t="str">
        <f>HYPERLINK("#Liste_rouge!A"&amp;_xlfn.XMATCH("LC",Liste_rouge!A:A,2,1),"LC")</f>
        <v>LC</v>
      </c>
      <c r="AH20342" s="4" t="str">
        <f>HYPERLINK("#Statut_biogéographique!A"&amp;_xlfn.XMATCH("P",Statut_biogéographique!A:A,2,1),"P")</f>
        <v>P</v>
      </c>
      <c r="AM20342" s="4" t="s">
        <v>375</v>
      </c>
      <c r="AN20342" s="4" t="s">
        <v>375</v>
      </c>
      <c r="AO20342" s="4" t="s">
        <v>375</v>
      </c>
      <c r="AP20342" s="4" t="s">
        <v>376</v>
      </c>
      <c r="AR20342" s="4" t="s">
        <v>377</v>
      </c>
    </row>
    <row r="20343" spans="1:44" ht="45">
      <c r="A20343" s="4" t="s">
        <v>24364</v>
      </c>
      <c r="B20343" s="4">
        <v>109516</v>
      </c>
      <c r="D20343" s="5" t="s">
        <v>25646</v>
      </c>
      <c r="E20343" s="6" t="str">
        <f>HYPERLINK("https://inpn.mnhn.fr/espece/cd_nom/109516","Nepeta cataria L., 1753")</f>
        <v>Nepeta cataria L., 1753</v>
      </c>
      <c r="F20343" s="5" t="s">
        <v>25647</v>
      </c>
      <c r="P20343" s="7" t="str">
        <f>HYPERLINK("#Liste_rouge!A"&amp;_xlfn.XMATCH("LC",Liste_rouge!A:A,2,1),"LC")</f>
        <v>LC</v>
      </c>
      <c r="Q20343" s="7" t="str">
        <f>HYPERLINK("#Liste_rouge!A"&amp;_xlfn.XMATCH("NT",Liste_rouge!A:A,2,1),"NT")</f>
        <v>NT</v>
      </c>
      <c r="T20343" s="7" t="str">
        <f>HYPERLINK("#Liste_rouge!A"&amp;_xlfn.XMATCH("NA",Liste_rouge!A:A,2,1),"NA")</f>
        <v>NA</v>
      </c>
      <c r="V20343" s="7" t="str">
        <f>HYPERLINK("#Liste_rouge!A"&amp;_xlfn.XMATCH("CR",Liste_rouge!A:A,2,1),"CR")</f>
        <v>CR</v>
      </c>
      <c r="W20343" s="4" t="str">
        <f>HYPERLINK("#Critères_liste_rouge!A$1","D")</f>
        <v>D</v>
      </c>
      <c r="AH20343" s="4" t="str">
        <f>HYPERLINK("#Statut_biogéographique!A"&amp;_xlfn.XMATCH("P",Statut_biogéographique!A:A,2,1),"P")</f>
        <v>P</v>
      </c>
      <c r="AM20343" s="4" t="s">
        <v>375</v>
      </c>
      <c r="AN20343" s="4" t="s">
        <v>375</v>
      </c>
      <c r="AO20343" s="4" t="s">
        <v>375</v>
      </c>
      <c r="AP20343" s="4" t="s">
        <v>376</v>
      </c>
      <c r="AR20343" s="4" t="s">
        <v>377</v>
      </c>
    </row>
    <row r="20344" spans="1:44" ht="45">
      <c r="A20344" s="4" t="s">
        <v>24364</v>
      </c>
      <c r="B20344" s="4">
        <v>109533</v>
      </c>
      <c r="D20344" s="5" t="s">
        <v>25648</v>
      </c>
      <c r="E20344" s="6" t="str">
        <f>HYPERLINK("https://inpn.mnhn.fr/espece/cd_nom/109533","Nepeta nepetella L., 1759")</f>
        <v>Nepeta nepetella L., 1759</v>
      </c>
      <c r="F20344" s="5" t="s">
        <v>25649</v>
      </c>
      <c r="Q20344" s="7" t="str">
        <f>HYPERLINK("#Liste_rouge!A"&amp;_xlfn.XMATCH("LC",Liste_rouge!A:A,2,1),"LC")</f>
        <v>LC</v>
      </c>
      <c r="T20344" s="7" t="str">
        <f>HYPERLINK("#Liste_rouge!A"&amp;_xlfn.XMATCH("NA",Liste_rouge!A:A,2,1),"NA")</f>
        <v>NA</v>
      </c>
      <c r="AH20344" s="4" t="str">
        <f>HYPERLINK("#Statut_biogéographique!A"&amp;_xlfn.XMATCH("P",Statut_biogéographique!A:A,2,1),"P")</f>
        <v>P</v>
      </c>
      <c r="AP20344" s="4" t="s">
        <v>376</v>
      </c>
      <c r="AR20344" s="4" t="s">
        <v>377</v>
      </c>
    </row>
    <row r="20345" spans="1:44">
      <c r="A20345" s="4" t="s">
        <v>24364</v>
      </c>
      <c r="B20345" s="4">
        <v>109542</v>
      </c>
      <c r="D20345" s="5" t="s">
        <v>25650</v>
      </c>
      <c r="E20345" s="6" t="str">
        <f>HYPERLINK("https://inpn.mnhn.fr/espece/cd_nom/109542","Nepeta x faassenii Bergmans ex Stearn, 1950")</f>
        <v>Nepeta x faassenii Bergmans ex Stearn, 1950</v>
      </c>
      <c r="F20345" s="5" t="s">
        <v>25651</v>
      </c>
      <c r="T20345" s="7" t="str">
        <f>HYPERLINK("#Liste_rouge!A"&amp;_xlfn.XMATCH("NA",Liste_rouge!A:A,2,1),"NA")</f>
        <v>NA</v>
      </c>
      <c r="AH20345" s="4" t="str">
        <f>HYPERLINK("#Statut_biogéographique!A"&amp;_xlfn.XMATCH("M",Statut_biogéographique!A:A,2,1),"M")</f>
        <v>M</v>
      </c>
      <c r="AP20345" s="4" t="s">
        <v>376</v>
      </c>
      <c r="AR20345" s="4" t="s">
        <v>377</v>
      </c>
    </row>
    <row r="20346" spans="1:44" ht="75">
      <c r="A20346" s="4" t="s">
        <v>24364</v>
      </c>
      <c r="B20346" s="4">
        <v>109584</v>
      </c>
      <c r="D20346" s="5" t="s">
        <v>25652</v>
      </c>
      <c r="E20346" s="6" t="str">
        <f>HYPERLINK("https://inpn.mnhn.fr/espece/cd_nom/109584","Nerium oleander L., 1753")</f>
        <v>Nerium oleander L., 1753</v>
      </c>
      <c r="F20346" s="5" t="s">
        <v>25653</v>
      </c>
      <c r="L20346" s="4" t="str">
        <f>HYPERLINK("#Réglementation!A"&amp;_xlfn.XMATCH("NV2",Réglementation!A:A,2,1),"NV2 - NV3")</f>
        <v>NV2 - NV3</v>
      </c>
      <c r="O20346" s="7" t="str">
        <f>HYPERLINK("#Liste_rouge!A"&amp;_xlfn.XMATCH("LC",Liste_rouge!A:A,2,1),"LC")</f>
        <v>LC</v>
      </c>
      <c r="P20346" s="7" t="str">
        <f>HYPERLINK("#Liste_rouge!A"&amp;_xlfn.XMATCH("LC",Liste_rouge!A:A,2,1),"LC")</f>
        <v>LC</v>
      </c>
      <c r="Q20346" s="7" t="str">
        <f>HYPERLINK("#Liste_rouge!A"&amp;_xlfn.XMATCH("LC",Liste_rouge!A:A,2,1),"LC")</f>
        <v>LC</v>
      </c>
      <c r="T20346" s="7" t="str">
        <f>HYPERLINK("#Liste_rouge!A"&amp;_xlfn.XMATCH("NA",Liste_rouge!A:A,2,1),"NA")</f>
        <v>NA</v>
      </c>
      <c r="AH20346" s="4" t="str">
        <f>HYPERLINK("#Statut_biogéographique!A"&amp;_xlfn.XMATCH("P",Statut_biogéographique!A:A,2,1),"P")</f>
        <v>P</v>
      </c>
      <c r="AP20346" s="4" t="s">
        <v>376</v>
      </c>
      <c r="AR20346" s="4" t="s">
        <v>377</v>
      </c>
    </row>
    <row r="20347" spans="1:44">
      <c r="A20347" s="4" t="s">
        <v>24364</v>
      </c>
      <c r="B20347" s="4">
        <v>109594</v>
      </c>
      <c r="D20347" s="5" t="s">
        <v>25654</v>
      </c>
      <c r="E20347" s="6" t="str">
        <f>HYPERLINK("https://inpn.mnhn.fr/espece/cd_nom/109594","Neslia paniculata (L.) Desv., 1815")</f>
        <v>Neslia paniculata (L.) Desv., 1815</v>
      </c>
      <c r="F20347" s="5" t="s">
        <v>25655</v>
      </c>
      <c r="Q20347" s="7" t="str">
        <f>HYPERLINK("#Liste_rouge!A"&amp;_xlfn.XMATCH("NT",Liste_rouge!A:A,2,1),"NT")</f>
        <v>NT</v>
      </c>
      <c r="T20347" s="7" t="str">
        <f>HYPERLINK("#Liste_rouge!A"&amp;_xlfn.XMATCH("EN",Liste_rouge!A:A,2,1),"EN")</f>
        <v>EN</v>
      </c>
      <c r="U20347" s="4" t="str">
        <f>HYPERLINK("#Critères_liste_rouge!A$1","B2ab(iii,iv,v)c(iii,iv)")</f>
        <v>B2ab(iii,iv,v)c(iii,iv)</v>
      </c>
      <c r="V20347" s="7" t="str">
        <f>HYPERLINK("#Liste_rouge!A"&amp;_xlfn.XMATCH("DD",Liste_rouge!A:A,2,1),"DD")</f>
        <v>DD</v>
      </c>
      <c r="X20347" s="5" t="s">
        <v>374</v>
      </c>
      <c r="AB20347" s="4" t="s">
        <v>93</v>
      </c>
      <c r="AH20347" s="4" t="str">
        <f>HYPERLINK("#Statut_biogéographique!A"&amp;_xlfn.XMATCH("P",Statut_biogéographique!A:A,2,1),"P")</f>
        <v>P</v>
      </c>
      <c r="AM20347" s="4" t="s">
        <v>375</v>
      </c>
      <c r="AN20347" s="4" t="s">
        <v>375</v>
      </c>
      <c r="AO20347" s="4" t="s">
        <v>375</v>
      </c>
      <c r="AP20347" s="4" t="s">
        <v>376</v>
      </c>
      <c r="AR20347" s="4" t="s">
        <v>377</v>
      </c>
    </row>
    <row r="20348" spans="1:44" ht="45">
      <c r="A20348" s="4" t="s">
        <v>24364</v>
      </c>
      <c r="B20348" s="4">
        <v>109600</v>
      </c>
      <c r="D20348" s="5" t="s">
        <v>25656</v>
      </c>
      <c r="E20348" s="6" t="str">
        <f>HYPERLINK("https://inpn.mnhn.fr/espece/cd_nom/109600","Nicandra physalodes (L.) Gaertn., 1791")</f>
        <v>Nicandra physalodes (L.) Gaertn., 1791</v>
      </c>
      <c r="F20348" s="5" t="s">
        <v>25657</v>
      </c>
      <c r="Q20348" s="7" t="str">
        <f>HYPERLINK("#Liste_rouge!A"&amp;_xlfn.XMATCH("NA",Liste_rouge!A:A,2,1),"NA")</f>
        <v>NA</v>
      </c>
      <c r="T20348" s="7" t="str">
        <f>HYPERLINK("#Liste_rouge!A"&amp;_xlfn.XMATCH("NA",Liste_rouge!A:A,2,1),"NA")</f>
        <v>NA</v>
      </c>
      <c r="AH20348" s="4" t="str">
        <f>HYPERLINK("#Statut_biogéographique!A"&amp;_xlfn.XMATCH("I",Statut_biogéographique!A:A,2,1),"I")</f>
        <v>I</v>
      </c>
      <c r="AP20348" s="4" t="s">
        <v>376</v>
      </c>
      <c r="AR20348" s="4" t="s">
        <v>377</v>
      </c>
    </row>
    <row r="20349" spans="1:44" ht="30">
      <c r="A20349" s="4" t="s">
        <v>24364</v>
      </c>
      <c r="B20349" s="4">
        <v>109613</v>
      </c>
      <c r="D20349" s="5" t="s">
        <v>25658</v>
      </c>
      <c r="E20349" s="6" t="str">
        <f>HYPERLINK("https://inpn.mnhn.fr/espece/cd_nom/109613","Nicotiana rustica L., 1753")</f>
        <v>Nicotiana rustica L., 1753</v>
      </c>
      <c r="F20349" s="5" t="s">
        <v>25659</v>
      </c>
      <c r="T20349" s="7" t="str">
        <f>HYPERLINK("#Liste_rouge!A"&amp;_xlfn.XMATCH("NA",Liste_rouge!A:A,2,1),"NA")</f>
        <v>NA</v>
      </c>
      <c r="AH20349" s="4" t="str">
        <f>HYPERLINK("#Statut_biogéographique!A"&amp;_xlfn.XMATCH("Y",Statut_biogéographique!A:A,2,1),"Y")</f>
        <v>Y</v>
      </c>
      <c r="AP20349" s="4" t="s">
        <v>376</v>
      </c>
      <c r="AR20349" s="4" t="s">
        <v>377</v>
      </c>
    </row>
    <row r="20350" spans="1:44">
      <c r="A20350" s="4" t="s">
        <v>24364</v>
      </c>
      <c r="B20350" s="4">
        <v>109620</v>
      </c>
      <c r="D20350" s="5">
        <v>109620</v>
      </c>
      <c r="E20350" s="6" t="str">
        <f>HYPERLINK("https://inpn.mnhn.fr/espece/cd_nom/109620","Nigella arvensis L., 1753")</f>
        <v>Nigella arvensis L., 1753</v>
      </c>
      <c r="F20350" s="5" t="s">
        <v>25660</v>
      </c>
      <c r="Q20350" s="7" t="str">
        <f>HYPERLINK("#Liste_rouge!A"&amp;_xlfn.XMATCH("CR",Liste_rouge!A:A,2,1),"CR")</f>
        <v>CR</v>
      </c>
      <c r="T20350" s="7" t="str">
        <f>HYPERLINK("#Liste_rouge!A"&amp;_xlfn.XMATCH("EN",Liste_rouge!A:A,2,1),"EN")</f>
        <v>EN</v>
      </c>
      <c r="U20350" s="4" t="str">
        <f>HYPERLINK("#Critères_liste_rouge!A$1","B2ac(iii,iv)")</f>
        <v>B2ac(iii,iv)</v>
      </c>
      <c r="V20350" s="7" t="str">
        <f>HYPERLINK("#Liste_rouge!A"&amp;_xlfn.XMATCH("CR",Liste_rouge!A:A,2,1),"CR")</f>
        <v>CR</v>
      </c>
      <c r="W20350" s="4" t="str">
        <f>HYPERLINK("#Critères_liste_rouge!A$1","D")</f>
        <v>D</v>
      </c>
      <c r="X20350" s="5" t="s">
        <v>374</v>
      </c>
      <c r="AB20350" s="4" t="s">
        <v>93</v>
      </c>
      <c r="AH20350" s="4" t="str">
        <f>HYPERLINK("#Statut_biogéographique!A"&amp;_xlfn.XMATCH("P",Statut_biogéographique!A:A,2,1),"P")</f>
        <v>P</v>
      </c>
      <c r="AI20350" s="8" t="s">
        <v>25661</v>
      </c>
      <c r="AJ20350" s="4" t="s">
        <v>12248</v>
      </c>
      <c r="AM20350" s="4" t="s">
        <v>375</v>
      </c>
      <c r="AN20350" s="4" t="s">
        <v>375</v>
      </c>
      <c r="AO20350" s="4" t="s">
        <v>375</v>
      </c>
      <c r="AP20350" s="4" t="s">
        <v>389</v>
      </c>
      <c r="AR20350" s="4" t="s">
        <v>377</v>
      </c>
    </row>
    <row r="20351" spans="1:44" ht="45">
      <c r="A20351" s="4" t="s">
        <v>24364</v>
      </c>
      <c r="B20351" s="4">
        <v>109625</v>
      </c>
      <c r="D20351" s="5" t="s">
        <v>25662</v>
      </c>
      <c r="E20351" s="6" t="str">
        <f>HYPERLINK("https://inpn.mnhn.fr/espece/cd_nom/109625","Nigella damascena L., 1753")</f>
        <v>Nigella damascena L., 1753</v>
      </c>
      <c r="F20351" s="5" t="s">
        <v>25663</v>
      </c>
      <c r="Q20351" s="7" t="str">
        <f>HYPERLINK("#Liste_rouge!A"&amp;_xlfn.XMATCH("LC",Liste_rouge!A:A,2,1),"LC")</f>
        <v>LC</v>
      </c>
      <c r="T20351" s="7" t="str">
        <f>HYPERLINK("#Liste_rouge!A"&amp;_xlfn.XMATCH("NA",Liste_rouge!A:A,2,1),"NA")</f>
        <v>NA</v>
      </c>
      <c r="AH20351" s="4" t="str">
        <f>HYPERLINK("#Statut_biogéographique!A"&amp;_xlfn.XMATCH("P",Statut_biogéographique!A:A,2,1),"P")</f>
        <v>P</v>
      </c>
      <c r="AP20351" s="4" t="s">
        <v>376</v>
      </c>
      <c r="AR20351" s="4" t="s">
        <v>377</v>
      </c>
    </row>
    <row r="20352" spans="1:44">
      <c r="A20352" s="4" t="s">
        <v>24364</v>
      </c>
      <c r="B20352" s="4">
        <v>109631</v>
      </c>
      <c r="D20352" s="5">
        <v>109631</v>
      </c>
      <c r="E20352" s="6" t="str">
        <f>HYPERLINK("https://inpn.mnhn.fr/espece/cd_nom/109631","Nigella hispanica L., 1753")</f>
        <v>Nigella hispanica L., 1753</v>
      </c>
      <c r="F20352" s="5" t="s">
        <v>25664</v>
      </c>
      <c r="Q20352" s="7" t="str">
        <f>HYPERLINK("#Liste_rouge!A"&amp;_xlfn.XMATCH("LC",Liste_rouge!A:A,2,1),"LC")</f>
        <v>LC</v>
      </c>
      <c r="AH20352" s="4" t="str">
        <f>HYPERLINK("#Statut_biogéographique!A"&amp;_xlfn.XMATCH("P",Statut_biogéographique!A:A,2,1),"P")</f>
        <v>P</v>
      </c>
      <c r="AP20352" s="4" t="s">
        <v>376</v>
      </c>
      <c r="AR20352" s="4" t="s">
        <v>377</v>
      </c>
    </row>
    <row r="20353" spans="1:44" ht="60">
      <c r="A20353" s="4" t="s">
        <v>24364</v>
      </c>
      <c r="B20353" s="4">
        <v>109668</v>
      </c>
      <c r="D20353" s="5" t="s">
        <v>25665</v>
      </c>
      <c r="E20353" s="6" t="str">
        <f>HYPERLINK("https://inpn.mnhn.fr/espece/cd_nom/109668","Noccaea brachypetala (Jord.) F.K.Mey., 1973")</f>
        <v>Noccaea brachypetala (Jord.) F.K.Mey., 1973</v>
      </c>
      <c r="F20353" s="5" t="s">
        <v>25666</v>
      </c>
      <c r="Q20353" s="7" t="str">
        <f>HYPERLINK("#Liste_rouge!A"&amp;_xlfn.XMATCH("LC",Liste_rouge!A:A,2,1),"LC")</f>
        <v>LC</v>
      </c>
      <c r="T20353" s="7" t="str">
        <f>HYPERLINK("#Liste_rouge!A"&amp;_xlfn.XMATCH("NA",Liste_rouge!A:A,2,1),"NA")</f>
        <v>NA</v>
      </c>
      <c r="AH20353" s="4" t="str">
        <f>HYPERLINK("#Statut_biogéographique!A"&amp;_xlfn.XMATCH("P",Statut_biogéographique!A:A,2,1),"P")</f>
        <v>P</v>
      </c>
      <c r="AP20353" s="4" t="s">
        <v>376</v>
      </c>
      <c r="AR20353" s="4" t="s">
        <v>377</v>
      </c>
    </row>
    <row r="20354" spans="1:44" ht="45">
      <c r="A20354" s="4" t="s">
        <v>24364</v>
      </c>
      <c r="B20354" s="4">
        <v>109671</v>
      </c>
      <c r="D20354" s="5" t="s">
        <v>25667</v>
      </c>
      <c r="E20354" s="6" t="str">
        <f>HYPERLINK("https://inpn.mnhn.fr/espece/cd_nom/109671","Noccaea caerulescens (J.Presl &amp; C.Presl) F.K.Mey., 1973")</f>
        <v>Noccaea caerulescens (J.Presl &amp; C.Presl) F.K.Mey., 1973</v>
      </c>
      <c r="F20354" s="5" t="s">
        <v>25668</v>
      </c>
      <c r="Q20354" s="7" t="str">
        <f>HYPERLINK("#Liste_rouge!A"&amp;_xlfn.XMATCH("LC",Liste_rouge!A:A,2,1),"LC")</f>
        <v>LC</v>
      </c>
      <c r="T20354" s="7" t="str">
        <f>HYPERLINK("#Liste_rouge!A"&amp;_xlfn.XMATCH("VU",Liste_rouge!A:A,2,1),"VU")</f>
        <v>VU</v>
      </c>
      <c r="U20354" s="4" t="str">
        <f>HYPERLINK("#Critères_liste_rouge!A$1","D1")</f>
        <v>D1</v>
      </c>
      <c r="V20354" s="7" t="str">
        <f>HYPERLINK("#Liste_rouge!A"&amp;_xlfn.XMATCH("LC",Liste_rouge!A:A,2,1),"LC")</f>
        <v>LC</v>
      </c>
      <c r="AB20354" s="4" t="s">
        <v>24855</v>
      </c>
      <c r="AH20354" s="4" t="str">
        <f>HYPERLINK("#Statut_biogéographique!A"&amp;_xlfn.XMATCH("P",Statut_biogéographique!A:A,2,1),"P")</f>
        <v>P</v>
      </c>
      <c r="AM20354" s="4" t="s">
        <v>375</v>
      </c>
      <c r="AN20354" s="4" t="s">
        <v>375</v>
      </c>
      <c r="AO20354" s="4" t="s">
        <v>375</v>
      </c>
      <c r="AP20354" s="4" t="s">
        <v>376</v>
      </c>
      <c r="AR20354" s="4" t="s">
        <v>377</v>
      </c>
    </row>
    <row r="20355" spans="1:44" ht="30">
      <c r="A20355" s="4" t="s">
        <v>24364</v>
      </c>
      <c r="B20355" s="4">
        <v>109676</v>
      </c>
      <c r="D20355" s="5" t="s">
        <v>25669</v>
      </c>
      <c r="E20355" s="6" t="str">
        <f>HYPERLINK("https://inpn.mnhn.fr/espece/cd_nom/109676","Noccaea montana (L.) F.K.Mey., 1973")</f>
        <v>Noccaea montana (L.) F.K.Mey., 1973</v>
      </c>
      <c r="F20355" s="5" t="s">
        <v>25670</v>
      </c>
      <c r="Q20355" s="7" t="str">
        <f>HYPERLINK("#Liste_rouge!A"&amp;_xlfn.XMATCH("LC",Liste_rouge!A:A,2,1),"LC")</f>
        <v>LC</v>
      </c>
      <c r="T20355" s="7" t="str">
        <f>HYPERLINK("#Liste_rouge!A"&amp;_xlfn.XMATCH("NT",Liste_rouge!A:A,2,1),"NT")</f>
        <v>NT</v>
      </c>
      <c r="U20355" s="4" t="str">
        <f>HYPERLINK("#Critères_liste_rouge!A$1","VU (A2ac) - 1")</f>
        <v>VU (A2ac) - 1</v>
      </c>
      <c r="V20355" s="7" t="str">
        <f>HYPERLINK("#Liste_rouge!A"&amp;_xlfn.XMATCH("LC",Liste_rouge!A:A,2,1),"LC")</f>
        <v>LC</v>
      </c>
      <c r="AB20355" s="4" t="s">
        <v>25671</v>
      </c>
      <c r="AH20355" s="4" t="str">
        <f>HYPERLINK("#Statut_biogéographique!A"&amp;_xlfn.XMATCH("P",Statut_biogéographique!A:A,2,1),"P")</f>
        <v>P</v>
      </c>
      <c r="AM20355" s="4" t="s">
        <v>375</v>
      </c>
      <c r="AN20355" s="4" t="s">
        <v>375</v>
      </c>
      <c r="AO20355" s="4" t="s">
        <v>375</v>
      </c>
      <c r="AP20355" s="4" t="s">
        <v>376</v>
      </c>
      <c r="AR20355" s="4" t="s">
        <v>377</v>
      </c>
    </row>
    <row r="20356" spans="1:44" ht="45">
      <c r="A20356" s="4" t="s">
        <v>24364</v>
      </c>
      <c r="B20356" s="4">
        <v>109680</v>
      </c>
      <c r="D20356" s="5" t="s">
        <v>25672</v>
      </c>
      <c r="E20356" s="6" t="str">
        <f>HYPERLINK("https://inpn.mnhn.fr/espece/cd_nom/109680","Noccaea rotundifolia (L.) Moench, 1802")</f>
        <v>Noccaea rotundifolia (L.) Moench, 1802</v>
      </c>
      <c r="F20356" s="5" t="s">
        <v>25673</v>
      </c>
      <c r="Q20356" s="7" t="str">
        <f>HYPERLINK("#Liste_rouge!A"&amp;_xlfn.XMATCH("LC",Liste_rouge!A:A,2,1),"LC")</f>
        <v>LC</v>
      </c>
      <c r="AH20356" s="4" t="str">
        <f>HYPERLINK("#Statut_biogéographique!A"&amp;_xlfn.XMATCH("P",Statut_biogéographique!A:A,2,1),"P")</f>
        <v>P</v>
      </c>
      <c r="AP20356" s="4" t="s">
        <v>376</v>
      </c>
      <c r="AR20356" s="4" t="s">
        <v>377</v>
      </c>
    </row>
    <row r="20357" spans="1:44" ht="45">
      <c r="A20357" s="4" t="s">
        <v>24364</v>
      </c>
      <c r="B20357" s="4">
        <v>109732</v>
      </c>
      <c r="D20357" s="5" t="s">
        <v>25674</v>
      </c>
      <c r="E20357" s="6" t="str">
        <f>HYPERLINK("https://inpn.mnhn.fr/espece/cd_nom/109732","Nuphar lutea (L.) Sm., 1809")</f>
        <v>Nuphar lutea (L.) Sm., 1809</v>
      </c>
      <c r="F20357" s="5" t="s">
        <v>25675</v>
      </c>
      <c r="O20357" s="7" t="str">
        <f>HYPERLINK("#Liste_rouge!A"&amp;_xlfn.XMATCH("LC",Liste_rouge!A:A,2,1),"LC")</f>
        <v>LC</v>
      </c>
      <c r="P20357" s="7" t="str">
        <f>HYPERLINK("#Liste_rouge!A"&amp;_xlfn.XMATCH("LC",Liste_rouge!A:A,2,1),"LC")</f>
        <v>LC</v>
      </c>
      <c r="Q20357" s="7" t="str">
        <f>HYPERLINK("#Liste_rouge!A"&amp;_xlfn.XMATCH("LC",Liste_rouge!A:A,2,1),"LC")</f>
        <v>LC</v>
      </c>
      <c r="T20357" s="7" t="str">
        <f>HYPERLINK("#Liste_rouge!A"&amp;_xlfn.XMATCH("LC",Liste_rouge!A:A,2,1),"LC")</f>
        <v>LC</v>
      </c>
      <c r="V20357" s="7" t="str">
        <f>HYPERLINK("#Liste_rouge!A"&amp;_xlfn.XMATCH("LC",Liste_rouge!A:A,2,1),"LC")</f>
        <v>LC</v>
      </c>
      <c r="AH20357" s="4" t="str">
        <f>HYPERLINK("#Statut_biogéographique!A"&amp;_xlfn.XMATCH("P",Statut_biogéographique!A:A,2,1),"P")</f>
        <v>P</v>
      </c>
      <c r="AM20357" s="4" t="s">
        <v>375</v>
      </c>
      <c r="AN20357" s="4" t="s">
        <v>375</v>
      </c>
      <c r="AO20357" s="4" t="s">
        <v>375</v>
      </c>
      <c r="AP20357" s="4" t="s">
        <v>376</v>
      </c>
      <c r="AR20357" s="4" t="s">
        <v>377</v>
      </c>
    </row>
    <row r="20358" spans="1:44" ht="45">
      <c r="A20358" s="4" t="s">
        <v>24364</v>
      </c>
      <c r="B20358" s="4">
        <v>109735</v>
      </c>
      <c r="D20358" s="5" t="s">
        <v>25676</v>
      </c>
      <c r="E20358" s="6" t="str">
        <f>HYPERLINK("https://inpn.mnhn.fr/espece/cd_nom/109735","Nuphar pumila (Timm) DC., 1821")</f>
        <v>Nuphar pumila (Timm) DC., 1821</v>
      </c>
      <c r="F20358" s="5" t="s">
        <v>25677</v>
      </c>
      <c r="M20358" s="4" t="str">
        <f>HYPERLINK("#Réglementation!A"&amp;_xlfn.XMATCH("RV43",Réglementation!A:A,2,1),"RV43")</f>
        <v>RV43</v>
      </c>
      <c r="O20358" s="7" t="str">
        <f>HYPERLINK("#Liste_rouge!A"&amp;_xlfn.XMATCH("LC",Liste_rouge!A:A,2,1),"LC")</f>
        <v>LC</v>
      </c>
      <c r="P20358" s="7" t="str">
        <f>HYPERLINK("#Liste_rouge!A"&amp;_xlfn.XMATCH("LC",Liste_rouge!A:A,2,1),"LC")</f>
        <v>LC</v>
      </c>
      <c r="Q20358" s="7" t="str">
        <f>HYPERLINK("#Liste_rouge!A"&amp;_xlfn.XMATCH("VU",Liste_rouge!A:A,2,1),"VU")</f>
        <v>VU</v>
      </c>
      <c r="V20358" s="7" t="str">
        <f>HYPERLINK("#Liste_rouge!A"&amp;_xlfn.XMATCH("EN",Liste_rouge!A:A,2,1),"EN")</f>
        <v>EN</v>
      </c>
      <c r="W20358" s="4" t="str">
        <f>HYPERLINK("#Critères_liste_rouge!A$1","A2c A3c")</f>
        <v>A2c A3c</v>
      </c>
      <c r="X20358" s="5" t="s">
        <v>374</v>
      </c>
      <c r="AB20358" s="4" t="s">
        <v>93</v>
      </c>
      <c r="AH20358" s="4" t="str">
        <f>HYPERLINK("#Statut_biogéographique!A"&amp;_xlfn.XMATCH("P",Statut_biogéographique!A:A,2,1),"P")</f>
        <v>P</v>
      </c>
      <c r="AM20358" s="4" t="s">
        <v>375</v>
      </c>
      <c r="AN20358" s="4" t="s">
        <v>375</v>
      </c>
      <c r="AO20358" s="4" t="s">
        <v>375</v>
      </c>
      <c r="AP20358" s="4" t="s">
        <v>389</v>
      </c>
      <c r="AR20358" s="4" t="s">
        <v>377</v>
      </c>
    </row>
    <row r="20359" spans="1:44" ht="30">
      <c r="A20359" s="4" t="s">
        <v>24364</v>
      </c>
      <c r="B20359" s="4">
        <v>109744</v>
      </c>
      <c r="D20359" s="5" t="s">
        <v>25678</v>
      </c>
      <c r="E20359" s="6" t="str">
        <f>HYPERLINK("https://inpn.mnhn.fr/espece/cd_nom/109744","Nuphar x spenneriana Gaudin, 1828")</f>
        <v>Nuphar x spenneriana Gaudin, 1828</v>
      </c>
      <c r="F20359" s="5" t="s">
        <v>25679</v>
      </c>
      <c r="M20359" s="4" t="str">
        <f>HYPERLINK("#Réglementation!A"&amp;_xlfn.XMATCH("RV43",Réglementation!A:A,2,1),"RV43")</f>
        <v>RV43</v>
      </c>
      <c r="AH20359" s="4" t="str">
        <f>HYPERLINK("#Statut_biogéographique!A"&amp;_xlfn.XMATCH("P",Statut_biogéographique!A:A,2,1),"P")</f>
        <v>P</v>
      </c>
      <c r="AP20359" s="4" t="s">
        <v>376</v>
      </c>
      <c r="AR20359" s="4" t="s">
        <v>377</v>
      </c>
    </row>
    <row r="20360" spans="1:44" ht="105">
      <c r="A20360" s="4" t="s">
        <v>24364</v>
      </c>
      <c r="B20360" s="4">
        <v>109750</v>
      </c>
      <c r="D20360" s="5" t="s">
        <v>25680</v>
      </c>
      <c r="E20360" s="6" t="str">
        <f>HYPERLINK("https://inpn.mnhn.fr/espece/cd_nom/109750","Nymphaea alba L., 1753")</f>
        <v>Nymphaea alba L., 1753</v>
      </c>
      <c r="F20360" s="5" t="s">
        <v>25681</v>
      </c>
      <c r="O20360" s="7" t="str">
        <f>HYPERLINK("#Liste_rouge!A"&amp;_xlfn.XMATCH("LC",Liste_rouge!A:A,2,1),"LC")</f>
        <v>LC</v>
      </c>
      <c r="P20360" s="7" t="str">
        <f>HYPERLINK("#Liste_rouge!A"&amp;_xlfn.XMATCH("LC",Liste_rouge!A:A,2,1),"LC")</f>
        <v>LC</v>
      </c>
      <c r="Q20360" s="7" t="str">
        <f>HYPERLINK("#Liste_rouge!A"&amp;_xlfn.XMATCH("LC",Liste_rouge!A:A,2,1),"LC")</f>
        <v>LC</v>
      </c>
      <c r="T20360" s="7" t="str">
        <f>HYPERLINK("#Liste_rouge!A"&amp;_xlfn.XMATCH("LC",Liste_rouge!A:A,2,1),"LC")</f>
        <v>LC</v>
      </c>
      <c r="V20360" s="7" t="str">
        <f>HYPERLINK("#Liste_rouge!A"&amp;_xlfn.XMATCH("LC",Liste_rouge!A:A,2,1),"LC")</f>
        <v>LC</v>
      </c>
      <c r="AH20360" s="4" t="str">
        <f>HYPERLINK("#Statut_biogéographique!A"&amp;_xlfn.XMATCH("P",Statut_biogéographique!A:A,2,1),"P")</f>
        <v>P</v>
      </c>
      <c r="AM20360" s="4" t="s">
        <v>375</v>
      </c>
      <c r="AN20360" s="4" t="s">
        <v>375</v>
      </c>
      <c r="AO20360" s="4" t="s">
        <v>375</v>
      </c>
      <c r="AP20360" s="4" t="s">
        <v>376</v>
      </c>
      <c r="AR20360" s="4" t="s">
        <v>377</v>
      </c>
    </row>
    <row r="20361" spans="1:44" ht="45">
      <c r="A20361" s="4" t="s">
        <v>24364</v>
      </c>
      <c r="B20361" s="4">
        <v>109769</v>
      </c>
      <c r="D20361" s="5" t="s">
        <v>25682</v>
      </c>
      <c r="E20361" s="6" t="str">
        <f>HYPERLINK("https://inpn.mnhn.fr/espece/cd_nom/109769","Nymphoides peltata (S.G.Gmel.) Kuntze, 1891")</f>
        <v>Nymphoides peltata (S.G.Gmel.) Kuntze, 1891</v>
      </c>
      <c r="F20361" s="5" t="s">
        <v>25683</v>
      </c>
      <c r="M20361" s="4" t="str">
        <f>HYPERLINK("#Réglementation!A"&amp;_xlfn.XMATCH("RV26",Réglementation!A:A,2,1),"RV26")</f>
        <v>RV26</v>
      </c>
      <c r="O20361" s="7" t="str">
        <f>HYPERLINK("#Liste_rouge!A"&amp;_xlfn.XMATCH("LC",Liste_rouge!A:A,2,1),"LC")</f>
        <v>LC</v>
      </c>
      <c r="P20361" s="7" t="str">
        <f>HYPERLINK("#Liste_rouge!A"&amp;_xlfn.XMATCH("LC",Liste_rouge!A:A,2,1),"LC")</f>
        <v>LC</v>
      </c>
      <c r="Q20361" s="7" t="str">
        <f>HYPERLINK("#Liste_rouge!A"&amp;_xlfn.XMATCH("NT",Liste_rouge!A:A,2,1),"NT")</f>
        <v>NT</v>
      </c>
      <c r="T20361" s="7" t="str">
        <f>HYPERLINK("#Liste_rouge!A"&amp;_xlfn.XMATCH("EN",Liste_rouge!A:A,2,1),"EN")</f>
        <v>EN</v>
      </c>
      <c r="U20361" s="4" t="str">
        <f>HYPERLINK("#Critères_liste_rouge!A$1","B2ab(iii,iv,v)c(iii,iv)")</f>
        <v>B2ab(iii,iv,v)c(iii,iv)</v>
      </c>
      <c r="V20361" s="7" t="str">
        <f>HYPERLINK("#Liste_rouge!A"&amp;_xlfn.XMATCH("NT",Liste_rouge!A:A,2,1),"NT")</f>
        <v>NT</v>
      </c>
      <c r="W20361" s="4" t="str">
        <f>HYPERLINK("#Critères_liste_rouge!A$1","pr. B2b(iii)")</f>
        <v>pr. B2b(iii)</v>
      </c>
      <c r="X20361" s="5" t="s">
        <v>374</v>
      </c>
      <c r="AB20361" s="4" t="s">
        <v>93</v>
      </c>
      <c r="AH20361" s="4" t="str">
        <f>HYPERLINK("#Statut_biogéographique!A"&amp;_xlfn.XMATCH("P",Statut_biogéographique!A:A,2,1),"P")</f>
        <v>P</v>
      </c>
      <c r="AM20361" s="4" t="s">
        <v>375</v>
      </c>
      <c r="AN20361" s="4" t="s">
        <v>375</v>
      </c>
      <c r="AO20361" s="4" t="s">
        <v>375</v>
      </c>
      <c r="AP20361" s="4" t="s">
        <v>376</v>
      </c>
      <c r="AR20361" s="4" t="s">
        <v>377</v>
      </c>
    </row>
    <row r="20362" spans="1:44" ht="30">
      <c r="A20362" s="4" t="s">
        <v>24364</v>
      </c>
      <c r="B20362" s="4">
        <v>109833</v>
      </c>
      <c r="D20362" s="5" t="s">
        <v>25684</v>
      </c>
      <c r="E20362" s="6" t="str">
        <f>HYPERLINK("https://inpn.mnhn.fr/espece/cd_nom/109833","Odontites jaubertianus (Boreau) D.Dietr. ex Walp., 1844")</f>
        <v>Odontites jaubertianus (Boreau) D.Dietr. ex Walp., 1844</v>
      </c>
      <c r="F20362" s="5" t="s">
        <v>25685</v>
      </c>
      <c r="L20362" s="4" t="str">
        <f>HYPERLINK("#Réglementation!A"&amp;_xlfn.XMATCH("NV1",Réglementation!A:A,2,1),"NV1")</f>
        <v>NV1</v>
      </c>
      <c r="Q20362" s="7" t="str">
        <f>HYPERLINK("#Liste_rouge!A"&amp;_xlfn.XMATCH("LC",Liste_rouge!A:A,2,1),"LC")</f>
        <v>LC</v>
      </c>
      <c r="T20362" s="7" t="str">
        <f>HYPERLINK("#Liste_rouge!A"&amp;_xlfn.XMATCH("CR",Liste_rouge!A:A,2,1),"CR")</f>
        <v>CR</v>
      </c>
      <c r="U20362" s="4" t="str">
        <f>HYPERLINK("#Critères_liste_rouge!A$1","EN (A2ac B1 B2ab(ii,iii,iv) C2a(i)) + 1")</f>
        <v>EN (A2ac B1 B2ab(ii,iii,iv) C2a(i)) + 1</v>
      </c>
      <c r="X20362" s="5" t="s">
        <v>374</v>
      </c>
      <c r="AB20362" s="4" t="s">
        <v>93</v>
      </c>
      <c r="AE20362" s="4" t="str">
        <f>HYPERLINK("#SCAP!A"&amp;_xlfn.XMATCH("A",SCAP!A:A,2,1),"A")</f>
        <v>A</v>
      </c>
      <c r="AH20362" s="4" t="str">
        <f>HYPERLINK("#Statut_biogéographique!A"&amp;_xlfn.XMATCH("P",Statut_biogéographique!A:A,2,1),"P")</f>
        <v>P</v>
      </c>
      <c r="AM20362" s="4" t="s">
        <v>375</v>
      </c>
      <c r="AN20362" s="4" t="s">
        <v>375</v>
      </c>
      <c r="AO20362" s="4" t="s">
        <v>375</v>
      </c>
      <c r="AP20362" s="4" t="s">
        <v>376</v>
      </c>
      <c r="AR20362" s="4" t="s">
        <v>377</v>
      </c>
    </row>
    <row r="20363" spans="1:44" ht="30">
      <c r="A20363" s="4" t="s">
        <v>24364</v>
      </c>
      <c r="B20363" s="4">
        <v>109838</v>
      </c>
      <c r="D20363" s="5" t="s">
        <v>25686</v>
      </c>
      <c r="E20363" s="6" t="str">
        <f>HYPERLINK("https://inpn.mnhn.fr/espece/cd_nom/109838","Odontites luteus (L.) Clairv., 1811")</f>
        <v>Odontites luteus (L.) Clairv., 1811</v>
      </c>
      <c r="F20363" s="5" t="s">
        <v>25687</v>
      </c>
      <c r="Q20363" s="7" t="str">
        <f>HYPERLINK("#Liste_rouge!A"&amp;_xlfn.XMATCH("LC",Liste_rouge!A:A,2,1),"LC")</f>
        <v>LC</v>
      </c>
      <c r="T20363" s="7" t="str">
        <f>HYPERLINK("#Liste_rouge!A"&amp;_xlfn.XMATCH("LC",Liste_rouge!A:A,2,1),"LC")</f>
        <v>LC</v>
      </c>
      <c r="V20363" s="7" t="str">
        <f>HYPERLINK("#Liste_rouge!A"&amp;_xlfn.XMATCH("LC",Liste_rouge!A:A,2,1),"LC")</f>
        <v>LC</v>
      </c>
      <c r="AB20363" s="4" t="s">
        <v>25688</v>
      </c>
      <c r="AH20363" s="4" t="str">
        <f>HYPERLINK("#Statut_biogéographique!A"&amp;_xlfn.XMATCH("P",Statut_biogéographique!A:A,2,1),"P")</f>
        <v>P</v>
      </c>
      <c r="AM20363" s="4" t="s">
        <v>375</v>
      </c>
      <c r="AN20363" s="4" t="s">
        <v>375</v>
      </c>
      <c r="AO20363" s="4" t="s">
        <v>375</v>
      </c>
      <c r="AP20363" s="4" t="s">
        <v>376</v>
      </c>
      <c r="AR20363" s="4" t="s">
        <v>377</v>
      </c>
    </row>
    <row r="20364" spans="1:44" ht="30">
      <c r="A20364" s="4" t="s">
        <v>24364</v>
      </c>
      <c r="B20364" s="4">
        <v>109845</v>
      </c>
      <c r="D20364" s="5" t="s">
        <v>25689</v>
      </c>
      <c r="E20364" s="6" t="str">
        <f>HYPERLINK("https://inpn.mnhn.fr/espece/cd_nom/109845","Odontites vernus (Bellardi) Dumort., 1827")</f>
        <v>Odontites vernus (Bellardi) Dumort., 1827</v>
      </c>
      <c r="F20364" s="5" t="s">
        <v>25690</v>
      </c>
      <c r="Q20364" s="7" t="str">
        <f>HYPERLINK("#Liste_rouge!A"&amp;_xlfn.XMATCH("LC",Liste_rouge!A:A,2,1),"LC")</f>
        <v>LC</v>
      </c>
      <c r="T20364" s="7" t="str">
        <f>HYPERLINK("#Liste_rouge!A"&amp;_xlfn.XMATCH("LC",Liste_rouge!A:A,2,1),"LC")</f>
        <v>LC</v>
      </c>
      <c r="V20364" s="7" t="str">
        <f>HYPERLINK("#Liste_rouge!A"&amp;_xlfn.XMATCH("LC",Liste_rouge!A:A,2,1),"LC")</f>
        <v>LC</v>
      </c>
      <c r="AH20364" s="4" t="str">
        <f>HYPERLINK("#Statut_biogéographique!A"&amp;_xlfn.XMATCH("P",Statut_biogéographique!A:A,2,1),"P")</f>
        <v>P</v>
      </c>
      <c r="AM20364" s="4" t="s">
        <v>375</v>
      </c>
      <c r="AN20364" s="4" t="s">
        <v>375</v>
      </c>
      <c r="AO20364" s="4" t="s">
        <v>375</v>
      </c>
      <c r="AP20364" s="4" t="s">
        <v>376</v>
      </c>
      <c r="AR20364" s="4" t="s">
        <v>377</v>
      </c>
    </row>
    <row r="20365" spans="1:44" ht="30">
      <c r="A20365" s="4" t="s">
        <v>24364</v>
      </c>
      <c r="B20365" s="4">
        <v>109861</v>
      </c>
      <c r="D20365" s="5" t="s">
        <v>25691</v>
      </c>
      <c r="E20365" s="6" t="str">
        <f>HYPERLINK("https://inpn.mnhn.fr/espece/cd_nom/109861","Oenanthe aquatica (L.) Poir., 1798")</f>
        <v>Oenanthe aquatica (L.) Poir., 1798</v>
      </c>
      <c r="F20365" s="5" t="s">
        <v>25692</v>
      </c>
      <c r="O20365" s="7" t="str">
        <f>HYPERLINK("#Liste_rouge!A"&amp;_xlfn.XMATCH("LC",Liste_rouge!A:A,2,1),"LC")</f>
        <v>LC</v>
      </c>
      <c r="P20365" s="7" t="str">
        <f>HYPERLINK("#Liste_rouge!A"&amp;_xlfn.XMATCH("LC",Liste_rouge!A:A,2,1),"LC")</f>
        <v>LC</v>
      </c>
      <c r="Q20365" s="7" t="str">
        <f>HYPERLINK("#Liste_rouge!A"&amp;_xlfn.XMATCH("LC",Liste_rouge!A:A,2,1),"LC")</f>
        <v>LC</v>
      </c>
      <c r="T20365" s="7" t="str">
        <f>HYPERLINK("#Liste_rouge!A"&amp;_xlfn.XMATCH("LC",Liste_rouge!A:A,2,1),"LC")</f>
        <v>LC</v>
      </c>
      <c r="V20365" s="7" t="str">
        <f>HYPERLINK("#Liste_rouge!A"&amp;_xlfn.XMATCH("LC",Liste_rouge!A:A,2,1),"LC")</f>
        <v>LC</v>
      </c>
      <c r="AH20365" s="4" t="str">
        <f>HYPERLINK("#Statut_biogéographique!A"&amp;_xlfn.XMATCH("P",Statut_biogéographique!A:A,2,1),"P")</f>
        <v>P</v>
      </c>
      <c r="AM20365" s="4" t="s">
        <v>375</v>
      </c>
      <c r="AN20365" s="4" t="s">
        <v>375</v>
      </c>
      <c r="AO20365" s="4" t="s">
        <v>375</v>
      </c>
      <c r="AP20365" s="4" t="s">
        <v>376</v>
      </c>
      <c r="AR20365" s="4" t="s">
        <v>377</v>
      </c>
    </row>
    <row r="20366" spans="1:44" ht="30">
      <c r="A20366" s="4" t="s">
        <v>24364</v>
      </c>
      <c r="B20366" s="4">
        <v>109869</v>
      </c>
      <c r="D20366" s="5" t="s">
        <v>25693</v>
      </c>
      <c r="E20366" s="6" t="str">
        <f>HYPERLINK("https://inpn.mnhn.fr/espece/cd_nom/109869","Oenanthe fistulosa L., 1753")</f>
        <v>Oenanthe fistulosa L., 1753</v>
      </c>
      <c r="F20366" s="5" t="s">
        <v>25694</v>
      </c>
      <c r="O20366" s="7" t="str">
        <f>HYPERLINK("#Liste_rouge!A"&amp;_xlfn.XMATCH("LC",Liste_rouge!A:A,2,1),"LC")</f>
        <v>LC</v>
      </c>
      <c r="P20366" s="7" t="str">
        <f>HYPERLINK("#Liste_rouge!A"&amp;_xlfn.XMATCH("LC",Liste_rouge!A:A,2,1),"LC")</f>
        <v>LC</v>
      </c>
      <c r="Q20366" s="7" t="str">
        <f>HYPERLINK("#Liste_rouge!A"&amp;_xlfn.XMATCH("LC",Liste_rouge!A:A,2,1),"LC")</f>
        <v>LC</v>
      </c>
      <c r="T20366" s="7" t="str">
        <f>HYPERLINK("#Liste_rouge!A"&amp;_xlfn.XMATCH("LC",Liste_rouge!A:A,2,1),"LC")</f>
        <v>LC</v>
      </c>
      <c r="V20366" s="7" t="str">
        <f>HYPERLINK("#Liste_rouge!A"&amp;_xlfn.XMATCH("NT",Liste_rouge!A:A,2,1),"NT")</f>
        <v>NT</v>
      </c>
      <c r="W20366" s="4" t="str">
        <f>HYPERLINK("#Critères_liste_rouge!A$1","pr. B2b(iii)")</f>
        <v>pr. B2b(iii)</v>
      </c>
      <c r="AB20366" s="4" t="s">
        <v>25695</v>
      </c>
      <c r="AH20366" s="4" t="str">
        <f>HYPERLINK("#Statut_biogéographique!A"&amp;_xlfn.XMATCH("P",Statut_biogéographique!A:A,2,1),"P")</f>
        <v>P</v>
      </c>
      <c r="AM20366" s="4" t="s">
        <v>375</v>
      </c>
      <c r="AN20366" s="4" t="s">
        <v>375</v>
      </c>
      <c r="AO20366" s="4" t="s">
        <v>375</v>
      </c>
      <c r="AP20366" s="4" t="s">
        <v>376</v>
      </c>
      <c r="AR20366" s="4" t="s">
        <v>377</v>
      </c>
    </row>
    <row r="20367" spans="1:44" ht="30">
      <c r="A20367" s="4" t="s">
        <v>24364</v>
      </c>
      <c r="B20367" s="4">
        <v>109870</v>
      </c>
      <c r="D20367" s="5" t="s">
        <v>25696</v>
      </c>
      <c r="E20367" s="6" t="str">
        <f>HYPERLINK("https://inpn.mnhn.fr/espece/cd_nom/109870","Oenanthe fluviatilis (Bab.) Coleman, 1844")</f>
        <v>Oenanthe fluviatilis (Bab.) Coleman, 1844</v>
      </c>
      <c r="F20367" s="5" t="s">
        <v>25697</v>
      </c>
      <c r="O20367" s="7" t="str">
        <f>HYPERLINK("#Liste_rouge!A"&amp;_xlfn.XMATCH("NT",Liste_rouge!A:A,2,1),"NT")</f>
        <v>NT</v>
      </c>
      <c r="P20367" s="7" t="str">
        <f>HYPERLINK("#Liste_rouge!A"&amp;_xlfn.XMATCH("NT",Liste_rouge!A:A,2,1),"NT")</f>
        <v>NT</v>
      </c>
      <c r="Q20367" s="7" t="str">
        <f>HYPERLINK("#Liste_rouge!A"&amp;_xlfn.XMATCH("VU",Liste_rouge!A:A,2,1),"VU")</f>
        <v>VU</v>
      </c>
      <c r="T20367" s="7" t="str">
        <f>HYPERLINK("#Liste_rouge!A"&amp;_xlfn.XMATCH("CR",Liste_rouge!A:A,2,1),"CR")</f>
        <v>CR</v>
      </c>
      <c r="U20367" s="4" t="str">
        <f>HYPERLINK("#Critères_liste_rouge!A$1","B1 B2ab(iii,iv,iv)")</f>
        <v>B1 B2ab(iii,iv,iv)</v>
      </c>
      <c r="X20367" s="5" t="s">
        <v>374</v>
      </c>
      <c r="AB20367" s="4" t="s">
        <v>93</v>
      </c>
      <c r="AH20367" s="4" t="str">
        <f>HYPERLINK("#Statut_biogéographique!A"&amp;_xlfn.XMATCH("P",Statut_biogéographique!A:A,2,1),"P")</f>
        <v>P</v>
      </c>
      <c r="AM20367" s="4" t="s">
        <v>375</v>
      </c>
      <c r="AN20367" s="4" t="s">
        <v>375</v>
      </c>
      <c r="AO20367" s="4" t="s">
        <v>375</v>
      </c>
      <c r="AP20367" s="4" t="s">
        <v>389</v>
      </c>
      <c r="AR20367" s="4" t="s">
        <v>377</v>
      </c>
    </row>
    <row r="20368" spans="1:44" ht="45">
      <c r="A20368" s="4" t="s">
        <v>24364</v>
      </c>
      <c r="B20368" s="4">
        <v>109881</v>
      </c>
      <c r="D20368" s="5" t="s">
        <v>25698</v>
      </c>
      <c r="E20368" s="6" t="str">
        <f>HYPERLINK("https://inpn.mnhn.fr/espece/cd_nom/109881","Oenanthe lachenalii C.C.Gmel., 1805")</f>
        <v>Oenanthe lachenalii C.C.Gmel., 1805</v>
      </c>
      <c r="F20368" s="5" t="s">
        <v>25699</v>
      </c>
      <c r="Q20368" s="7" t="str">
        <f>HYPERLINK("#Liste_rouge!A"&amp;_xlfn.XMATCH("LC",Liste_rouge!A:A,2,1),"LC")</f>
        <v>LC</v>
      </c>
      <c r="T20368" s="7" t="str">
        <f>HYPERLINK("#Liste_rouge!A"&amp;_xlfn.XMATCH("EN",Liste_rouge!A:A,2,1),"EN")</f>
        <v>EN</v>
      </c>
      <c r="U20368" s="4" t="str">
        <f>HYPERLINK("#Critères_liste_rouge!A$1","B2ab(ii,iii,iv) D1")</f>
        <v>B2ab(ii,iii,iv) D1</v>
      </c>
      <c r="X20368" s="5" t="s">
        <v>374</v>
      </c>
      <c r="AB20368" s="4" t="s">
        <v>93</v>
      </c>
      <c r="AH20368" s="4" t="str">
        <f>HYPERLINK("#Statut_biogéographique!A"&amp;_xlfn.XMATCH("P",Statut_biogéographique!A:A,2,1),"P")</f>
        <v>P</v>
      </c>
      <c r="AM20368" s="4" t="s">
        <v>375</v>
      </c>
      <c r="AN20368" s="4" t="s">
        <v>375</v>
      </c>
      <c r="AO20368" s="4" t="s">
        <v>375</v>
      </c>
      <c r="AP20368" s="4" t="s">
        <v>376</v>
      </c>
      <c r="AR20368" s="4" t="s">
        <v>377</v>
      </c>
    </row>
    <row r="20369" spans="1:44" ht="45">
      <c r="A20369" s="4" t="s">
        <v>24364</v>
      </c>
      <c r="B20369" s="4">
        <v>109890</v>
      </c>
      <c r="D20369" s="5" t="s">
        <v>25700</v>
      </c>
      <c r="E20369" s="6" t="str">
        <f>HYPERLINK("https://inpn.mnhn.fr/espece/cd_nom/109890","Oenanthe peucedanifolia Pollich, 1776")</f>
        <v>Oenanthe peucedanifolia Pollich, 1776</v>
      </c>
      <c r="F20369" s="5" t="s">
        <v>25701</v>
      </c>
      <c r="M20369" s="4" t="str">
        <f>HYPERLINK("#Réglementation!A"&amp;_xlfn.XMATCH("RV43",Réglementation!A:A,2,1),"RV43")</f>
        <v>RV43</v>
      </c>
      <c r="Q20369" s="7" t="str">
        <f>HYPERLINK("#Liste_rouge!A"&amp;_xlfn.XMATCH("LC",Liste_rouge!A:A,2,1),"LC")</f>
        <v>LC</v>
      </c>
      <c r="T20369" s="7" t="str">
        <f>HYPERLINK("#Liste_rouge!A"&amp;_xlfn.XMATCH("NT",Liste_rouge!A:A,2,1),"NT")</f>
        <v>NT</v>
      </c>
      <c r="U20369" s="4" t="str">
        <f>HYPERLINK("#Critères_liste_rouge!A$1","pr. B2a")</f>
        <v>pr. B2a</v>
      </c>
      <c r="V20369" s="7" t="str">
        <f>HYPERLINK("#Liste_rouge!A"&amp;_xlfn.XMATCH("NT",Liste_rouge!A:A,2,1),"NT")</f>
        <v>NT</v>
      </c>
      <c r="W20369" s="4" t="str">
        <f>HYPERLINK("#Critères_liste_rouge!A$1","pr. B2b(iii)")</f>
        <v>pr. B2b(iii)</v>
      </c>
      <c r="AB20369" s="4" t="s">
        <v>25019</v>
      </c>
      <c r="AH20369" s="4" t="str">
        <f>HYPERLINK("#Statut_biogéographique!A"&amp;_xlfn.XMATCH("P",Statut_biogéographique!A:A,2,1),"P")</f>
        <v>P</v>
      </c>
      <c r="AM20369" s="4" t="s">
        <v>375</v>
      </c>
      <c r="AN20369" s="4" t="s">
        <v>375</v>
      </c>
      <c r="AO20369" s="4" t="s">
        <v>375</v>
      </c>
      <c r="AP20369" s="4" t="s">
        <v>376</v>
      </c>
      <c r="AR20369" s="4" t="s">
        <v>377</v>
      </c>
    </row>
    <row r="20370" spans="1:44" ht="45">
      <c r="A20370" s="4" t="s">
        <v>24364</v>
      </c>
      <c r="B20370" s="4">
        <v>109893</v>
      </c>
      <c r="D20370" s="5" t="s">
        <v>25702</v>
      </c>
      <c r="E20370" s="6" t="str">
        <f>HYPERLINK("https://inpn.mnhn.fr/espece/cd_nom/109893","Oenanthe pimpinelloides L., 1753")</f>
        <v>Oenanthe pimpinelloides L., 1753</v>
      </c>
      <c r="F20370" s="5" t="s">
        <v>25703</v>
      </c>
      <c r="Q20370" s="7" t="str">
        <f>HYPERLINK("#Liste_rouge!A"&amp;_xlfn.XMATCH("LC",Liste_rouge!A:A,2,1),"LC")</f>
        <v>LC</v>
      </c>
      <c r="T20370" s="7" t="str">
        <f>HYPERLINK("#Liste_rouge!A"&amp;_xlfn.XMATCH("DD",Liste_rouge!A:A,2,1),"DD")</f>
        <v>DD</v>
      </c>
      <c r="AH20370" s="4" t="str">
        <f>HYPERLINK("#Statut_biogéographique!A"&amp;_xlfn.XMATCH("P",Statut_biogéographique!A:A,2,1),"P")</f>
        <v>P</v>
      </c>
      <c r="AM20370" s="4" t="s">
        <v>375</v>
      </c>
      <c r="AN20370" s="4" t="s">
        <v>375</v>
      </c>
      <c r="AO20370" s="4" t="s">
        <v>375</v>
      </c>
      <c r="AP20370" s="4" t="s">
        <v>376</v>
      </c>
      <c r="AR20370" s="4" t="s">
        <v>377</v>
      </c>
    </row>
    <row r="20371" spans="1:44" ht="45">
      <c r="A20371" s="4" t="s">
        <v>24364</v>
      </c>
      <c r="B20371" s="4">
        <v>109898</v>
      </c>
      <c r="D20371" s="5" t="s">
        <v>25704</v>
      </c>
      <c r="E20371" s="6" t="str">
        <f>HYPERLINK("https://inpn.mnhn.fr/espece/cd_nom/109898","Oenanthe silaifolia M.Bieb., 1819")</f>
        <v>Oenanthe silaifolia M.Bieb., 1819</v>
      </c>
      <c r="F20371" s="5" t="s">
        <v>25705</v>
      </c>
      <c r="M20371" s="4" t="str">
        <f>HYPERLINK("#Réglementation!A"&amp;_xlfn.XMATCH("RV26",Réglementation!A:A,2,1),"RV26")</f>
        <v>RV26</v>
      </c>
      <c r="O20371" s="7" t="str">
        <f>HYPERLINK("#Liste_rouge!A"&amp;_xlfn.XMATCH("LC",Liste_rouge!A:A,2,1),"LC")</f>
        <v>LC</v>
      </c>
      <c r="Q20371" s="7" t="str">
        <f>HYPERLINK("#Liste_rouge!A"&amp;_xlfn.XMATCH("LC",Liste_rouge!A:A,2,1),"LC")</f>
        <v>LC</v>
      </c>
      <c r="T20371" s="7" t="str">
        <f>HYPERLINK("#Liste_rouge!A"&amp;_xlfn.XMATCH("EN",Liste_rouge!A:A,2,1),"EN")</f>
        <v>EN</v>
      </c>
      <c r="U20371" s="4" t="str">
        <f>HYPERLINK("#Critères_liste_rouge!A$1","B2ab(ii,iii,iv)")</f>
        <v>B2ab(ii,iii,iv)</v>
      </c>
      <c r="V20371" s="7" t="str">
        <f>HYPERLINK("#Liste_rouge!A"&amp;_xlfn.XMATCH("EN",Liste_rouge!A:A,2,1),"EN")</f>
        <v>EN</v>
      </c>
      <c r="W20371" s="4" t="str">
        <f>HYPERLINK("#Critères_liste_rouge!A$1","B2ab(iii)")</f>
        <v>B2ab(iii)</v>
      </c>
      <c r="X20371" s="5" t="s">
        <v>374</v>
      </c>
      <c r="AB20371" s="4" t="s">
        <v>93</v>
      </c>
      <c r="AH20371" s="4" t="str">
        <f>HYPERLINK("#Statut_biogéographique!A"&amp;_xlfn.XMATCH("P",Statut_biogéographique!A:A,2,1),"P")</f>
        <v>P</v>
      </c>
      <c r="AM20371" s="4" t="s">
        <v>375</v>
      </c>
      <c r="AN20371" s="4" t="s">
        <v>375</v>
      </c>
      <c r="AO20371" s="4" t="s">
        <v>375</v>
      </c>
      <c r="AP20371" s="4" t="s">
        <v>376</v>
      </c>
      <c r="AR20371" s="4" t="s">
        <v>377</v>
      </c>
    </row>
    <row r="20372" spans="1:44">
      <c r="A20372" s="4" t="s">
        <v>24364</v>
      </c>
      <c r="B20372" s="4">
        <v>109905</v>
      </c>
      <c r="D20372" s="5">
        <v>109905</v>
      </c>
      <c r="E20372" s="6" t="str">
        <f>HYPERLINK("https://inpn.mnhn.fr/espece/cd_nom/109905","Oenothera ammophila Focke, 1905")</f>
        <v>Oenothera ammophila Focke, 1905</v>
      </c>
      <c r="F20372" s="5" t="s">
        <v>25706</v>
      </c>
      <c r="Q20372" s="7" t="str">
        <f>HYPERLINK("#Liste_rouge!A"&amp;_xlfn.XMATCH("NA",Liste_rouge!A:A,2,1),"NA")</f>
        <v>NA</v>
      </c>
      <c r="T20372" s="7" t="str">
        <f>HYPERLINK("#Liste_rouge!A"&amp;_xlfn.XMATCH("NA",Liste_rouge!A:A,2,1),"NA")</f>
        <v>NA</v>
      </c>
      <c r="AH20372" s="4" t="str">
        <f>HYPERLINK("#Statut_biogéographique!A"&amp;_xlfn.XMATCH("I",Statut_biogéographique!A:A,2,1),"I")</f>
        <v>I</v>
      </c>
      <c r="AP20372" s="4" t="s">
        <v>376</v>
      </c>
      <c r="AR20372" s="4" t="s">
        <v>377</v>
      </c>
    </row>
    <row r="20373" spans="1:44" ht="45">
      <c r="A20373" s="4" t="s">
        <v>24364</v>
      </c>
      <c r="B20373" s="4">
        <v>109911</v>
      </c>
      <c r="D20373" s="5" t="s">
        <v>25707</v>
      </c>
      <c r="E20373" s="6" t="str">
        <f>HYPERLINK("https://inpn.mnhn.fr/espece/cd_nom/109911","Oenothera biennis L., 1753")</f>
        <v>Oenothera biennis L., 1753</v>
      </c>
      <c r="F20373" s="5" t="s">
        <v>25708</v>
      </c>
      <c r="Q20373" s="7" t="str">
        <f>HYPERLINK("#Liste_rouge!A"&amp;_xlfn.XMATCH("NA",Liste_rouge!A:A,2,1),"NA")</f>
        <v>NA</v>
      </c>
      <c r="T20373" s="7" t="str">
        <f>HYPERLINK("#Liste_rouge!A"&amp;_xlfn.XMATCH("NA",Liste_rouge!A:A,2,1),"NA")</f>
        <v>NA</v>
      </c>
      <c r="AH20373" s="4" t="str">
        <f>HYPERLINK("#Statut_biogéographique!A"&amp;_xlfn.XMATCH("I",Statut_biogéographique!A:A,2,1),"I")</f>
        <v>I</v>
      </c>
      <c r="AM20373" s="4" t="s">
        <v>375</v>
      </c>
      <c r="AN20373" s="4" t="s">
        <v>375</v>
      </c>
      <c r="AO20373" s="4" t="s">
        <v>375</v>
      </c>
      <c r="AP20373" s="4" t="s">
        <v>376</v>
      </c>
      <c r="AR20373" s="4" t="s">
        <v>377</v>
      </c>
    </row>
    <row r="20374" spans="1:44" ht="30">
      <c r="A20374" s="4" t="s">
        <v>24364</v>
      </c>
      <c r="B20374" s="4">
        <v>109920</v>
      </c>
      <c r="D20374" s="5" t="s">
        <v>25709</v>
      </c>
      <c r="E20374" s="6" t="str">
        <f>HYPERLINK("https://inpn.mnhn.fr/espece/cd_nom/109920","Oenothera depressa Greene, 1891")</f>
        <v>Oenothera depressa Greene, 1891</v>
      </c>
      <c r="F20374" s="5" t="s">
        <v>25710</v>
      </c>
      <c r="AH20374" s="4" t="str">
        <f>HYPERLINK("#Statut_biogéographique!A"&amp;_xlfn.XMATCH("I",Statut_biogéographique!A:A,2,1),"I")</f>
        <v>I</v>
      </c>
      <c r="AP20374" s="4" t="s">
        <v>376</v>
      </c>
      <c r="AR20374" s="4" t="s">
        <v>377</v>
      </c>
    </row>
    <row r="20375" spans="1:44" ht="45">
      <c r="A20375" s="4" t="s">
        <v>24364</v>
      </c>
      <c r="B20375" s="4">
        <v>109926</v>
      </c>
      <c r="D20375" s="5" t="s">
        <v>25711</v>
      </c>
      <c r="E20375" s="6" t="str">
        <f>HYPERLINK("https://inpn.mnhn.fr/espece/cd_nom/109926","Oenothera glazioviana Micheli, 1875")</f>
        <v>Oenothera glazioviana Micheli, 1875</v>
      </c>
      <c r="F20375" s="5" t="s">
        <v>25712</v>
      </c>
      <c r="Q20375" s="7" t="str">
        <f>HYPERLINK("#Liste_rouge!A"&amp;_xlfn.XMATCH("NA",Liste_rouge!A:A,2,1),"NA")</f>
        <v>NA</v>
      </c>
      <c r="T20375" s="7" t="str">
        <f>HYPERLINK("#Liste_rouge!A"&amp;_xlfn.XMATCH("NA",Liste_rouge!A:A,2,1),"NA")</f>
        <v>NA</v>
      </c>
      <c r="AH20375" s="4" t="str">
        <f>HYPERLINK("#Statut_biogéographique!A"&amp;_xlfn.XMATCH("I",Statut_biogéographique!A:A,2,1),"I")</f>
        <v>I</v>
      </c>
      <c r="AM20375" s="4" t="s">
        <v>375</v>
      </c>
      <c r="AN20375" s="4" t="s">
        <v>375</v>
      </c>
      <c r="AO20375" s="4" t="s">
        <v>375</v>
      </c>
      <c r="AP20375" s="4" t="s">
        <v>376</v>
      </c>
      <c r="AR20375" s="4" t="s">
        <v>377</v>
      </c>
    </row>
    <row r="20376" spans="1:44" ht="30">
      <c r="A20376" s="4" t="s">
        <v>24364</v>
      </c>
      <c r="B20376" s="4">
        <v>109937</v>
      </c>
      <c r="D20376" s="5" t="s">
        <v>25713</v>
      </c>
      <c r="E20376" s="6" t="str">
        <f>HYPERLINK("https://inpn.mnhn.fr/espece/cd_nom/109937","Oenothera longiflora L., 1771")</f>
        <v>Oenothera longiflora L., 1771</v>
      </c>
      <c r="F20376" s="5" t="s">
        <v>25714</v>
      </c>
      <c r="Q20376" s="7" t="str">
        <f>HYPERLINK("#Liste_rouge!A"&amp;_xlfn.XMATCH("NA",Liste_rouge!A:A,2,1),"NA")</f>
        <v>NA</v>
      </c>
      <c r="T20376" s="7" t="str">
        <f>HYPERLINK("#Liste_rouge!A"&amp;_xlfn.XMATCH("NA",Liste_rouge!A:A,2,1),"NA")</f>
        <v>NA</v>
      </c>
      <c r="AH20376" s="4" t="str">
        <f>HYPERLINK("#Statut_biogéographique!A"&amp;_xlfn.XMATCH("I",Statut_biogéographique!A:A,2,1),"I")</f>
        <v>I</v>
      </c>
      <c r="AP20376" s="4" t="s">
        <v>376</v>
      </c>
      <c r="AR20376" s="4" t="s">
        <v>377</v>
      </c>
    </row>
    <row r="20377" spans="1:44" ht="30">
      <c r="A20377" s="4" t="s">
        <v>24364</v>
      </c>
      <c r="B20377" s="4">
        <v>109943</v>
      </c>
      <c r="D20377" s="5" t="s">
        <v>25715</v>
      </c>
      <c r="E20377" s="6" t="str">
        <f>HYPERLINK("https://inpn.mnhn.fr/espece/cd_nom/109943","Oenothera oakesiana (A.Gray) J.W.Robbins ex S.Watson &amp; Coult., 1890")</f>
        <v>Oenothera oakesiana (A.Gray) J.W.Robbins ex S.Watson &amp; Coult., 1890</v>
      </c>
      <c r="F20377" s="5" t="s">
        <v>25716</v>
      </c>
      <c r="Q20377" s="7" t="str">
        <f>HYPERLINK("#Liste_rouge!A"&amp;_xlfn.XMATCH("NA",Liste_rouge!A:A,2,1),"NA")</f>
        <v>NA</v>
      </c>
      <c r="AH20377" s="4" t="str">
        <f>HYPERLINK("#Statut_biogéographique!A"&amp;_xlfn.XMATCH("I",Statut_biogéographique!A:A,2,1),"I")</f>
        <v>I</v>
      </c>
      <c r="AP20377" s="4" t="s">
        <v>376</v>
      </c>
      <c r="AR20377" s="4" t="s">
        <v>377</v>
      </c>
    </row>
    <row r="20378" spans="1:44" ht="30">
      <c r="A20378" s="4" t="s">
        <v>24364</v>
      </c>
      <c r="B20378" s="4">
        <v>109949</v>
      </c>
      <c r="D20378" s="5" t="s">
        <v>25717</v>
      </c>
      <c r="E20378" s="6" t="str">
        <f>HYPERLINK("https://inpn.mnhn.fr/espece/cd_nom/109949","Oenothera parviflora L., 1759")</f>
        <v>Oenothera parviflora L., 1759</v>
      </c>
      <c r="F20378" s="5" t="s">
        <v>25718</v>
      </c>
      <c r="Q20378" s="7" t="str">
        <f>HYPERLINK("#Liste_rouge!A"&amp;_xlfn.XMATCH("NA",Liste_rouge!A:A,2,1),"NA")</f>
        <v>NA</v>
      </c>
      <c r="T20378" s="7" t="str">
        <f>HYPERLINK("#Liste_rouge!A"&amp;_xlfn.XMATCH("NA",Liste_rouge!A:A,2,1),"NA")</f>
        <v>NA</v>
      </c>
      <c r="AH20378" s="4" t="str">
        <f>HYPERLINK("#Statut_biogéographique!A"&amp;_xlfn.XMATCH("I",Statut_biogéographique!A:A,2,1),"I")</f>
        <v>I</v>
      </c>
      <c r="AM20378" s="4" t="s">
        <v>375</v>
      </c>
      <c r="AN20378" s="4" t="s">
        <v>375</v>
      </c>
      <c r="AO20378" s="4" t="s">
        <v>375</v>
      </c>
      <c r="AP20378" s="4" t="s">
        <v>376</v>
      </c>
      <c r="AR20378" s="4" t="s">
        <v>377</v>
      </c>
    </row>
    <row r="20379" spans="1:44">
      <c r="A20379" s="4" t="s">
        <v>24364</v>
      </c>
      <c r="B20379" s="4">
        <v>109956</v>
      </c>
      <c r="D20379" s="5" t="s">
        <v>25719</v>
      </c>
      <c r="E20379" s="6" t="str">
        <f>HYPERLINK("https://inpn.mnhn.fr/espece/cd_nom/109956","Oenothera rosea L'Hér. ex Aiton, 1789")</f>
        <v>Oenothera rosea L'Hér. ex Aiton, 1789</v>
      </c>
      <c r="F20379" s="5" t="s">
        <v>25720</v>
      </c>
      <c r="Q20379" s="7" t="str">
        <f>HYPERLINK("#Liste_rouge!A"&amp;_xlfn.XMATCH("NA",Liste_rouge!A:A,2,1),"NA")</f>
        <v>NA</v>
      </c>
      <c r="AH20379" s="4" t="str">
        <f>HYPERLINK("#Statut_biogéographique!A"&amp;_xlfn.XMATCH("I",Statut_biogéographique!A:A,2,1),"I")</f>
        <v>I</v>
      </c>
      <c r="AP20379" s="4" t="s">
        <v>376</v>
      </c>
      <c r="AR20379" s="4" t="s">
        <v>377</v>
      </c>
    </row>
    <row r="20380" spans="1:44">
      <c r="A20380" s="4" t="s">
        <v>24364</v>
      </c>
      <c r="B20380" s="4">
        <v>109958</v>
      </c>
      <c r="D20380" s="5" t="s">
        <v>25721</v>
      </c>
      <c r="E20380" s="6" t="str">
        <f>HYPERLINK("https://inpn.mnhn.fr/espece/cd_nom/109958","Oenothera rubricaulis Kleb., 1914")</f>
        <v>Oenothera rubricaulis Kleb., 1914</v>
      </c>
      <c r="F20380" s="5" t="s">
        <v>25722</v>
      </c>
      <c r="Q20380" s="7" t="str">
        <f>HYPERLINK("#Liste_rouge!A"&amp;_xlfn.XMATCH("NA",Liste_rouge!A:A,2,1),"NA")</f>
        <v>NA</v>
      </c>
      <c r="AH20380" s="4" t="str">
        <f>HYPERLINK("#Statut_biogéographique!A"&amp;_xlfn.XMATCH("I",Statut_biogéographique!A:A,2,1),"I")</f>
        <v>I</v>
      </c>
      <c r="AM20380" s="4" t="s">
        <v>375</v>
      </c>
      <c r="AN20380" s="4" t="s">
        <v>375</v>
      </c>
      <c r="AO20380" s="4" t="s">
        <v>375</v>
      </c>
      <c r="AP20380" s="4" t="s">
        <v>376</v>
      </c>
      <c r="AR20380" s="4" t="s">
        <v>377</v>
      </c>
    </row>
    <row r="20381" spans="1:44" ht="30">
      <c r="A20381" s="4" t="s">
        <v>24364</v>
      </c>
      <c r="B20381" s="4">
        <v>109969</v>
      </c>
      <c r="D20381" s="5" t="s">
        <v>25723</v>
      </c>
      <c r="E20381" s="6" t="str">
        <f>HYPERLINK("https://inpn.mnhn.fr/espece/cd_nom/109969","Oenothera suaveolens Pers., 1805")</f>
        <v>Oenothera suaveolens Pers., 1805</v>
      </c>
      <c r="F20381" s="5" t="s">
        <v>25724</v>
      </c>
      <c r="Q20381" s="7" t="str">
        <f>HYPERLINK("#Liste_rouge!A"&amp;_xlfn.XMATCH("NA",Liste_rouge!A:A,2,1),"NA")</f>
        <v>NA</v>
      </c>
      <c r="T20381" s="7" t="str">
        <f>HYPERLINK("#Liste_rouge!A"&amp;_xlfn.XMATCH("NA",Liste_rouge!A:A,2,1),"NA")</f>
        <v>NA</v>
      </c>
      <c r="AH20381" s="4" t="str">
        <f>HYPERLINK("#Statut_biogéographique!A"&amp;_xlfn.XMATCH("I",Statut_biogéographique!A:A,2,1),"I")</f>
        <v>I</v>
      </c>
      <c r="AM20381" s="4" t="s">
        <v>375</v>
      </c>
      <c r="AN20381" s="4" t="s">
        <v>375</v>
      </c>
      <c r="AO20381" s="4" t="s">
        <v>375</v>
      </c>
      <c r="AP20381" s="4" t="s">
        <v>376</v>
      </c>
      <c r="AR20381" s="4" t="s">
        <v>377</v>
      </c>
    </row>
    <row r="20382" spans="1:44">
      <c r="A20382" s="4" t="s">
        <v>24364</v>
      </c>
      <c r="B20382" s="4">
        <v>109971</v>
      </c>
      <c r="D20382" s="5" t="s">
        <v>25725</v>
      </c>
      <c r="E20382" s="6" t="str">
        <f>HYPERLINK("https://inpn.mnhn.fr/espece/cd_nom/109971","Oenothera subterminalis R.R.Gates, 1936")</f>
        <v>Oenothera subterminalis R.R.Gates, 1936</v>
      </c>
      <c r="F20382" s="5" t="s">
        <v>25726</v>
      </c>
      <c r="Q20382" s="7" t="str">
        <f>HYPERLINK("#Liste_rouge!A"&amp;_xlfn.XMATCH("NA",Liste_rouge!A:A,2,1),"NA")</f>
        <v>NA</v>
      </c>
      <c r="T20382" s="7" t="str">
        <f>HYPERLINK("#Liste_rouge!A"&amp;_xlfn.XMATCH("NA",Liste_rouge!A:A,2,1),"NA")</f>
        <v>NA</v>
      </c>
      <c r="AH20382" s="4" t="str">
        <f>HYPERLINK("#Statut_biogéographique!A"&amp;_xlfn.XMATCH("I",Statut_biogéographique!A:A,2,1),"I")</f>
        <v>I</v>
      </c>
      <c r="AM20382" s="4" t="s">
        <v>375</v>
      </c>
      <c r="AN20382" s="4" t="s">
        <v>375</v>
      </c>
      <c r="AO20382" s="4" t="s">
        <v>375</v>
      </c>
      <c r="AP20382" s="4" t="s">
        <v>376</v>
      </c>
      <c r="AR20382" s="4" t="s">
        <v>377</v>
      </c>
    </row>
    <row r="20383" spans="1:44" ht="30">
      <c r="A20383" s="4" t="s">
        <v>24364</v>
      </c>
      <c r="B20383" s="4">
        <v>109974</v>
      </c>
      <c r="D20383" s="5" t="s">
        <v>25727</v>
      </c>
      <c r="E20383" s="6" t="str">
        <f>HYPERLINK("https://inpn.mnhn.fr/espece/cd_nom/109974","Oenothera villosa Thunb., 1794")</f>
        <v>Oenothera villosa Thunb., 1794</v>
      </c>
      <c r="F20383" s="5" t="s">
        <v>25728</v>
      </c>
      <c r="Q20383" s="7" t="str">
        <f>HYPERLINK("#Liste_rouge!A"&amp;_xlfn.XMATCH("NA",Liste_rouge!A:A,2,1),"NA")</f>
        <v>NA</v>
      </c>
      <c r="T20383" s="7" t="str">
        <f>HYPERLINK("#Liste_rouge!A"&amp;_xlfn.XMATCH("NA",Liste_rouge!A:A,2,1),"NA")</f>
        <v>NA</v>
      </c>
      <c r="AH20383" s="4" t="str">
        <f>HYPERLINK("#Statut_biogéographique!A"&amp;_xlfn.XMATCH("I",Statut_biogéographique!A:A,2,1),"I")</f>
        <v>I</v>
      </c>
      <c r="AP20383" s="4" t="s">
        <v>376</v>
      </c>
      <c r="AR20383" s="4" t="s">
        <v>377</v>
      </c>
    </row>
    <row r="20384" spans="1:44">
      <c r="A20384" s="4" t="s">
        <v>24364</v>
      </c>
      <c r="B20384" s="4">
        <v>109977</v>
      </c>
      <c r="D20384" s="5">
        <v>109977</v>
      </c>
      <c r="E20384" s="6" t="str">
        <f>HYPERLINK("https://inpn.mnhn.fr/espece/cd_nom/109977","Oenothera x braunii Döll, 1862")</f>
        <v>Oenothera x braunii Döll, 1862</v>
      </c>
      <c r="F20384" s="5" t="s">
        <v>25729</v>
      </c>
      <c r="T20384" s="7" t="str">
        <f>HYPERLINK("#Liste_rouge!A"&amp;_xlfn.XMATCH("NA",Liste_rouge!A:A,2,1),"NA")</f>
        <v>NA</v>
      </c>
      <c r="AH20384" s="4" t="str">
        <f>HYPERLINK("#Statut_biogéographique!A"&amp;_xlfn.XMATCH("D",Statut_biogéographique!A:A,2,1),"D")</f>
        <v>D</v>
      </c>
      <c r="AP20384" s="4" t="s">
        <v>376</v>
      </c>
      <c r="AR20384" s="4" t="s">
        <v>377</v>
      </c>
    </row>
    <row r="20385" spans="1:44" ht="30">
      <c r="A20385" s="4" t="s">
        <v>24364</v>
      </c>
      <c r="B20385" s="4">
        <v>109979</v>
      </c>
      <c r="D20385" s="5" t="s">
        <v>25730</v>
      </c>
      <c r="E20385" s="6" t="str">
        <f>HYPERLINK("https://inpn.mnhn.fr/espece/cd_nom/109979","Oenothera drawertii Renner ex Rostański, 1966")</f>
        <v>Oenothera drawertii Renner ex Rostański, 1966</v>
      </c>
      <c r="F20385" s="5" t="s">
        <v>25731</v>
      </c>
      <c r="AH20385" s="4" t="str">
        <f>HYPERLINK("#Statut_biogéographique!A"&amp;_xlfn.XMATCH("I",Statut_biogéographique!A:A,2,1),"I")</f>
        <v>I</v>
      </c>
      <c r="AP20385" s="4" t="s">
        <v>376</v>
      </c>
      <c r="AR20385" s="4" t="s">
        <v>377</v>
      </c>
    </row>
    <row r="20386" spans="1:44">
      <c r="A20386" s="4" t="s">
        <v>24364</v>
      </c>
      <c r="B20386" s="4">
        <v>109980</v>
      </c>
      <c r="D20386" s="5" t="s">
        <v>25732</v>
      </c>
      <c r="E20386" s="6" t="str">
        <f>HYPERLINK("https://inpn.mnhn.fr/espece/cd_nom/109980","Oenothera x fallax Renner, 1917")</f>
        <v>Oenothera x fallax Renner, 1917</v>
      </c>
      <c r="F20386" s="5" t="s">
        <v>25733</v>
      </c>
      <c r="T20386" s="7" t="str">
        <f>HYPERLINK("#Liste_rouge!A"&amp;_xlfn.XMATCH("NA",Liste_rouge!A:A,2,1),"NA")</f>
        <v>NA</v>
      </c>
      <c r="AH20386" s="4" t="str">
        <f>HYPERLINK("#Statut_biogéographique!A"&amp;_xlfn.XMATCH("I",Statut_biogéographique!A:A,2,1),"I")</f>
        <v>I</v>
      </c>
      <c r="AP20386" s="4" t="s">
        <v>376</v>
      </c>
      <c r="AR20386" s="4" t="s">
        <v>377</v>
      </c>
    </row>
    <row r="20387" spans="1:44" ht="90">
      <c r="A20387" s="4" t="s">
        <v>24364</v>
      </c>
      <c r="B20387" s="4">
        <v>110064</v>
      </c>
      <c r="D20387" s="5" t="s">
        <v>25734</v>
      </c>
      <c r="E20387" s="6" t="str">
        <f>HYPERLINK("https://inpn.mnhn.fr/espece/cd_nom/110064","Omalotheca sylvatica (L.) Sch.Bip. &amp; F.W.Schultz, 1861")</f>
        <v>Omalotheca sylvatica (L.) Sch.Bip. &amp; F.W.Schultz, 1861</v>
      </c>
      <c r="F20387" s="5" t="s">
        <v>25735</v>
      </c>
      <c r="Q20387" s="7" t="str">
        <f>HYPERLINK("#Liste_rouge!A"&amp;_xlfn.XMATCH("LC",Liste_rouge!A:A,2,1),"LC")</f>
        <v>LC</v>
      </c>
      <c r="T20387" s="7" t="str">
        <f>HYPERLINK("#Liste_rouge!A"&amp;_xlfn.XMATCH("LC",Liste_rouge!A:A,2,1),"LC")</f>
        <v>LC</v>
      </c>
      <c r="V20387" s="7" t="str">
        <f>HYPERLINK("#Liste_rouge!A"&amp;_xlfn.XMATCH("LC",Liste_rouge!A:A,2,1),"LC")</f>
        <v>LC</v>
      </c>
      <c r="AH20387" s="4" t="str">
        <f>HYPERLINK("#Statut_biogéographique!A"&amp;_xlfn.XMATCH("P",Statut_biogéographique!A:A,2,1),"P")</f>
        <v>P</v>
      </c>
      <c r="AM20387" s="4" t="s">
        <v>375</v>
      </c>
      <c r="AN20387" s="4" t="s">
        <v>375</v>
      </c>
      <c r="AO20387" s="4" t="s">
        <v>375</v>
      </c>
      <c r="AP20387" s="4" t="s">
        <v>376</v>
      </c>
      <c r="AR20387" s="4" t="s">
        <v>377</v>
      </c>
    </row>
    <row r="20388" spans="1:44" ht="30">
      <c r="A20388" s="4" t="s">
        <v>24364</v>
      </c>
      <c r="B20388" s="4">
        <v>110072</v>
      </c>
      <c r="D20388" s="5" t="s">
        <v>25736</v>
      </c>
      <c r="E20388" s="6" t="str">
        <f>HYPERLINK("https://inpn.mnhn.fr/espece/cd_nom/110072","Omphalodes verna Moench, 1794 [nom. cons.]")</f>
        <v>Omphalodes verna Moench, 1794 [nom. cons.]</v>
      </c>
      <c r="F20388" s="5" t="s">
        <v>25737</v>
      </c>
      <c r="Q20388" s="7" t="str">
        <f>HYPERLINK("#Liste_rouge!A"&amp;_xlfn.XMATCH("NA",Liste_rouge!A:A,2,1),"NA")</f>
        <v>NA</v>
      </c>
      <c r="T20388" s="7" t="str">
        <f>HYPERLINK("#Liste_rouge!A"&amp;_xlfn.XMATCH("NA",Liste_rouge!A:A,2,1),"NA")</f>
        <v>NA</v>
      </c>
      <c r="AH20388" s="4" t="str">
        <f>HYPERLINK("#Statut_biogéographique!A"&amp;_xlfn.XMATCH("I",Statut_biogéographique!A:A,2,1),"I")</f>
        <v>I</v>
      </c>
      <c r="AP20388" s="4" t="s">
        <v>376</v>
      </c>
      <c r="AR20388" s="4" t="s">
        <v>377</v>
      </c>
    </row>
    <row r="20389" spans="1:44" ht="45">
      <c r="A20389" s="4" t="s">
        <v>24364</v>
      </c>
      <c r="B20389" s="4">
        <v>110108</v>
      </c>
      <c r="D20389" s="5" t="s">
        <v>25738</v>
      </c>
      <c r="E20389" s="6" t="str">
        <f>HYPERLINK("https://inpn.mnhn.fr/espece/cd_nom/110108","Onobrychis arenaria (Kit. ex Willd.) DC., 1825")</f>
        <v>Onobrychis arenaria (Kit. ex Willd.) DC., 1825</v>
      </c>
      <c r="F20389" s="5" t="s">
        <v>25739</v>
      </c>
      <c r="Q20389" s="7" t="str">
        <f>HYPERLINK("#Liste_rouge!A"&amp;_xlfn.XMATCH("EN",Liste_rouge!A:A,2,1),"EN")</f>
        <v>EN</v>
      </c>
      <c r="T20389" s="7" t="str">
        <f>HYPERLINK("#Liste_rouge!A"&amp;_xlfn.XMATCH("DD",Liste_rouge!A:A,2,1),"DD (cd_nom 110108) - CR (cd_nom 110108)")</f>
        <v>DD (cd_nom 110108) - CR (cd_nom 110108)</v>
      </c>
      <c r="X20389" s="5" t="s">
        <v>374</v>
      </c>
      <c r="AB20389" s="4" t="s">
        <v>93</v>
      </c>
      <c r="AH20389" s="4" t="str">
        <f>HYPERLINK("#Statut_biogéographique!A"&amp;_xlfn.XMATCH("P",Statut_biogéographique!A:A,2,1),"P")</f>
        <v>P</v>
      </c>
      <c r="AM20389" s="4" t="s">
        <v>375</v>
      </c>
      <c r="AN20389" s="4" t="s">
        <v>375</v>
      </c>
      <c r="AO20389" s="4" t="s">
        <v>375</v>
      </c>
      <c r="AP20389" s="4" t="s">
        <v>389</v>
      </c>
      <c r="AR20389" s="4" t="s">
        <v>377</v>
      </c>
    </row>
    <row r="20390" spans="1:44" ht="45">
      <c r="A20390" s="4" t="s">
        <v>24364</v>
      </c>
      <c r="B20390" s="4">
        <v>110139</v>
      </c>
      <c r="D20390" s="5" t="s">
        <v>25740</v>
      </c>
      <c r="E20390" s="6" t="str">
        <f>HYPERLINK("https://inpn.mnhn.fr/espece/cd_nom/110139","Onobrychis viciifolia Scop., 1772")</f>
        <v>Onobrychis viciifolia Scop., 1772</v>
      </c>
      <c r="F20390" s="5" t="s">
        <v>25741</v>
      </c>
      <c r="O20390" s="7" t="str">
        <f>HYPERLINK("#Liste_rouge!A"&amp;_xlfn.XMATCH("LC",Liste_rouge!A:A,2,1),"LC")</f>
        <v>LC</v>
      </c>
      <c r="P20390" s="7" t="str">
        <f>HYPERLINK("#Liste_rouge!A"&amp;_xlfn.XMATCH("LC",Liste_rouge!A:A,2,1),"LC")</f>
        <v>LC</v>
      </c>
      <c r="Q20390" s="7" t="str">
        <f>HYPERLINK("#Liste_rouge!A"&amp;_xlfn.XMATCH("LC",Liste_rouge!A:A,2,1),"LC")</f>
        <v>LC</v>
      </c>
      <c r="T20390" s="7" t="str">
        <f>HYPERLINK("#Liste_rouge!A"&amp;_xlfn.XMATCH("NA",Liste_rouge!A:A,2,1),"NA")</f>
        <v>NA</v>
      </c>
      <c r="V20390" s="7" t="str">
        <f>HYPERLINK("#Liste_rouge!A"&amp;_xlfn.XMATCH("DD",Liste_rouge!A:A,2,1),"DD")</f>
        <v>DD</v>
      </c>
      <c r="AH20390" s="4" t="str">
        <f>HYPERLINK("#Statut_biogéographique!A"&amp;_xlfn.XMATCH("I",Statut_biogéographique!A:A,2,1),"I")</f>
        <v>I</v>
      </c>
      <c r="AM20390" s="4" t="s">
        <v>375</v>
      </c>
      <c r="AN20390" s="4" t="s">
        <v>375</v>
      </c>
      <c r="AO20390" s="4" t="s">
        <v>375</v>
      </c>
      <c r="AP20390" s="4" t="s">
        <v>376</v>
      </c>
      <c r="AR20390" s="4" t="s">
        <v>377</v>
      </c>
    </row>
    <row r="20391" spans="1:44" ht="60">
      <c r="A20391" s="4" t="s">
        <v>24364</v>
      </c>
      <c r="B20391" s="4">
        <v>110165</v>
      </c>
      <c r="D20391" s="5" t="s">
        <v>25742</v>
      </c>
      <c r="E20391" s="6" t="str">
        <f>HYPERLINK("https://inpn.mnhn.fr/espece/cd_nom/110165","Ononis arvensis L., 1759")</f>
        <v>Ononis arvensis L., 1759</v>
      </c>
      <c r="F20391" s="5" t="s">
        <v>25743</v>
      </c>
      <c r="Q20391" s="7" t="str">
        <f>HYPERLINK("#Liste_rouge!A"&amp;_xlfn.XMATCH("NA",Liste_rouge!A:A,2,1),"NA")</f>
        <v>NA</v>
      </c>
      <c r="AH20391" s="4" t="str">
        <f>HYPERLINK("#Statut_biogéographique!A"&amp;_xlfn.XMATCH("I",Statut_biogéographique!A:A,2,1),"I")</f>
        <v>I</v>
      </c>
      <c r="AM20391" s="4" t="s">
        <v>375</v>
      </c>
      <c r="AN20391" s="4" t="s">
        <v>375</v>
      </c>
      <c r="AO20391" s="4" t="s">
        <v>375</v>
      </c>
      <c r="AP20391" s="4" t="s">
        <v>376</v>
      </c>
      <c r="AR20391" s="4" t="s">
        <v>377</v>
      </c>
    </row>
    <row r="20392" spans="1:44" ht="60">
      <c r="A20392" s="4" t="s">
        <v>24364</v>
      </c>
      <c r="B20392" s="4">
        <v>110211</v>
      </c>
      <c r="D20392" s="5" t="s">
        <v>25744</v>
      </c>
      <c r="E20392" s="6" t="str">
        <f>HYPERLINK("https://inpn.mnhn.fr/espece/cd_nom/110211","Ononis natrix L., 1753")</f>
        <v>Ononis natrix L., 1753</v>
      </c>
      <c r="F20392" s="5" t="s">
        <v>25745</v>
      </c>
      <c r="Q20392" s="7" t="str">
        <f>HYPERLINK("#Liste_rouge!A"&amp;_xlfn.XMATCH("LC",Liste_rouge!A:A,2,1),"LC")</f>
        <v>LC</v>
      </c>
      <c r="T20392" s="7" t="str">
        <f>HYPERLINK("#Liste_rouge!A"&amp;_xlfn.XMATCH("LC",Liste_rouge!A:A,2,1),"LC")</f>
        <v>LC</v>
      </c>
      <c r="V20392" s="7" t="str">
        <f>HYPERLINK("#Liste_rouge!A"&amp;_xlfn.XMATCH("LC",Liste_rouge!A:A,2,1),"LC")</f>
        <v>LC</v>
      </c>
      <c r="AB20392" s="4" t="s">
        <v>25746</v>
      </c>
      <c r="AH20392" s="4" t="str">
        <f>HYPERLINK("#Statut_biogéographique!A"&amp;_xlfn.XMATCH("P",Statut_biogéographique!A:A,2,1),"P")</f>
        <v>P</v>
      </c>
      <c r="AM20392" s="4" t="s">
        <v>375</v>
      </c>
      <c r="AN20392" s="4" t="s">
        <v>375</v>
      </c>
      <c r="AO20392" s="4" t="s">
        <v>375</v>
      </c>
      <c r="AP20392" s="4" t="s">
        <v>376</v>
      </c>
      <c r="AR20392" s="4" t="s">
        <v>377</v>
      </c>
    </row>
    <row r="20393" spans="1:44" ht="60">
      <c r="A20393" s="4" t="s">
        <v>24364</v>
      </c>
      <c r="B20393" s="4">
        <v>110221</v>
      </c>
      <c r="D20393" s="5" t="s">
        <v>25747</v>
      </c>
      <c r="E20393" s="6" t="str">
        <f>HYPERLINK("https://inpn.mnhn.fr/espece/cd_nom/110221","Ononis pusilla L., 1759")</f>
        <v>Ononis pusilla L., 1759</v>
      </c>
      <c r="F20393" s="5" t="s">
        <v>25748</v>
      </c>
      <c r="Q20393" s="7" t="str">
        <f>HYPERLINK("#Liste_rouge!A"&amp;_xlfn.XMATCH("LC",Liste_rouge!A:A,2,1),"LC")</f>
        <v>LC</v>
      </c>
      <c r="T20393" s="7" t="str">
        <f>HYPERLINK("#Liste_rouge!A"&amp;_xlfn.XMATCH("LC",Liste_rouge!A:A,2,1),"LC")</f>
        <v>LC</v>
      </c>
      <c r="V20393" s="7" t="str">
        <f>HYPERLINK("#Liste_rouge!A"&amp;_xlfn.XMATCH("RE",Liste_rouge!A:A,2,1),"RE")</f>
        <v>RE</v>
      </c>
      <c r="AH20393" s="4" t="str">
        <f>HYPERLINK("#Statut_biogéographique!A"&amp;_xlfn.XMATCH("P",Statut_biogéographique!A:A,2,1),"P")</f>
        <v>P</v>
      </c>
      <c r="AM20393" s="4" t="s">
        <v>375</v>
      </c>
      <c r="AN20393" s="4" t="s">
        <v>375</v>
      </c>
      <c r="AO20393" s="4" t="s">
        <v>375</v>
      </c>
      <c r="AP20393" s="4" t="s">
        <v>376</v>
      </c>
      <c r="AR20393" s="4" t="s">
        <v>377</v>
      </c>
    </row>
    <row r="20394" spans="1:44">
      <c r="A20394" s="4" t="s">
        <v>24364</v>
      </c>
      <c r="B20394" s="4">
        <v>110236</v>
      </c>
      <c r="D20394" s="5" t="s">
        <v>25749</v>
      </c>
      <c r="E20394" s="6" t="str">
        <f>HYPERLINK("https://inpn.mnhn.fr/espece/cd_nom/110236","Ononis spinosa L., 1753 [nom. et typ. cons.]")</f>
        <v>Ononis spinosa L., 1753 [nom. et typ. cons.]</v>
      </c>
      <c r="F20394" s="5" t="s">
        <v>25750</v>
      </c>
      <c r="Q20394" s="7" t="str">
        <f>HYPERLINK("#Liste_rouge!A"&amp;_xlfn.XMATCH("LC",Liste_rouge!A:A,2,1),"LC")</f>
        <v>LC</v>
      </c>
      <c r="T20394" s="7" t="str">
        <f>HYPERLINK("#Liste_rouge!A"&amp;_xlfn.XMATCH("LC",Liste_rouge!A:A,2,1),"LC")</f>
        <v>LC</v>
      </c>
      <c r="V20394" s="7" t="str">
        <f>HYPERLINK("#Liste_rouge!A"&amp;_xlfn.XMATCH("LC",Liste_rouge!A:A,2,1),"LC")</f>
        <v>LC</v>
      </c>
      <c r="AH20394" s="4" t="str">
        <f>HYPERLINK("#Statut_biogéographique!A"&amp;_xlfn.XMATCH("P",Statut_biogéographique!A:A,2,1),"P")</f>
        <v>P</v>
      </c>
      <c r="AM20394" s="4" t="s">
        <v>375</v>
      </c>
      <c r="AN20394" s="4" t="s">
        <v>375</v>
      </c>
      <c r="AO20394" s="4" t="s">
        <v>375</v>
      </c>
      <c r="AP20394" s="4" t="s">
        <v>376</v>
      </c>
      <c r="AR20394" s="4" t="s">
        <v>377</v>
      </c>
    </row>
    <row r="20395" spans="1:44">
      <c r="A20395" s="4" t="s">
        <v>24364</v>
      </c>
      <c r="B20395" s="4">
        <v>110237</v>
      </c>
      <c r="D20395" s="5" t="s">
        <v>25751</v>
      </c>
      <c r="E20395" s="6" t="str">
        <f>HYPERLINK("https://inpn.mnhn.fr/espece/cd_nom/110237","Ononis striata Gouan, 1773")</f>
        <v>Ononis striata Gouan, 1773</v>
      </c>
      <c r="F20395" s="5" t="s">
        <v>25752</v>
      </c>
      <c r="Q20395" s="7" t="str">
        <f>HYPERLINK("#Liste_rouge!A"&amp;_xlfn.XMATCH("LC",Liste_rouge!A:A,2,1),"LC")</f>
        <v>LC</v>
      </c>
      <c r="AH20395" s="4" t="str">
        <f>HYPERLINK("#Statut_biogéographique!A"&amp;_xlfn.XMATCH("P",Statut_biogéographique!A:A,2,1),"P")</f>
        <v>P</v>
      </c>
      <c r="AP20395" s="4" t="s">
        <v>376</v>
      </c>
      <c r="AR20395" s="4" t="s">
        <v>377</v>
      </c>
    </row>
    <row r="20396" spans="1:44" ht="45">
      <c r="A20396" s="4" t="s">
        <v>24364</v>
      </c>
      <c r="B20396" s="4">
        <v>110244</v>
      </c>
      <c r="D20396" s="5" t="s">
        <v>25753</v>
      </c>
      <c r="E20396" s="6" t="str">
        <f>HYPERLINK("https://inpn.mnhn.fr/espece/cd_nom/110244","Onopordum acanthium L., 1753")</f>
        <v>Onopordum acanthium L., 1753</v>
      </c>
      <c r="F20396" s="5" t="s">
        <v>25754</v>
      </c>
      <c r="Q20396" s="7" t="str">
        <f>HYPERLINK("#Liste_rouge!A"&amp;_xlfn.XMATCH("LC",Liste_rouge!A:A,2,1),"LC")</f>
        <v>LC</v>
      </c>
      <c r="T20396" s="7" t="str">
        <f>HYPERLINK("#Liste_rouge!A"&amp;_xlfn.XMATCH("LC",Liste_rouge!A:A,2,1),"LC")</f>
        <v>LC</v>
      </c>
      <c r="AH20396" s="4" t="str">
        <f>HYPERLINK("#Statut_biogéographique!A"&amp;_xlfn.XMATCH("P",Statut_biogéographique!A:A,2,1),"P")</f>
        <v>P</v>
      </c>
      <c r="AM20396" s="4" t="s">
        <v>375</v>
      </c>
      <c r="AN20396" s="4" t="s">
        <v>375</v>
      </c>
      <c r="AO20396" s="4" t="s">
        <v>375</v>
      </c>
      <c r="AP20396" s="4" t="s">
        <v>376</v>
      </c>
      <c r="AR20396" s="4" t="s">
        <v>377</v>
      </c>
    </row>
    <row r="20397" spans="1:44" ht="45">
      <c r="A20397" s="4" t="s">
        <v>24364</v>
      </c>
      <c r="B20397" s="4">
        <v>110313</v>
      </c>
      <c r="D20397" s="5" t="s">
        <v>25755</v>
      </c>
      <c r="E20397" s="6" t="str">
        <f>HYPERLINK("https://inpn.mnhn.fr/espece/cd_nom/110313","Ophioglossum vulgatum L., 1753")</f>
        <v>Ophioglossum vulgatum L., 1753</v>
      </c>
      <c r="F20397" s="5" t="s">
        <v>25756</v>
      </c>
      <c r="P20397" s="7" t="str">
        <f>HYPERLINK("#Liste_rouge!A"&amp;_xlfn.XMATCH("LC",Liste_rouge!A:A,2,1),"LC")</f>
        <v>LC</v>
      </c>
      <c r="Q20397" s="7" t="str">
        <f>HYPERLINK("#Liste_rouge!A"&amp;_xlfn.XMATCH("LC",Liste_rouge!A:A,2,1),"LC")</f>
        <v>LC</v>
      </c>
      <c r="T20397" s="7" t="str">
        <f>HYPERLINK("#Liste_rouge!A"&amp;_xlfn.XMATCH("EN",Liste_rouge!A:A,2,1),"EN")</f>
        <v>EN</v>
      </c>
      <c r="U20397" s="4" t="str">
        <f>HYPERLINK("#Critères_liste_rouge!A$1","B2ab(ii,iii,iv)")</f>
        <v>B2ab(ii,iii,iv)</v>
      </c>
      <c r="V20397" s="7" t="str">
        <f>HYPERLINK("#Liste_rouge!A"&amp;_xlfn.XMATCH("LC",Liste_rouge!A:A,2,1),"LC")</f>
        <v>LC</v>
      </c>
      <c r="AB20397" s="4" t="s">
        <v>25757</v>
      </c>
      <c r="AH20397" s="4" t="str">
        <f>HYPERLINK("#Statut_biogéographique!A"&amp;_xlfn.XMATCH("P",Statut_biogéographique!A:A,2,1),"P")</f>
        <v>P</v>
      </c>
      <c r="AM20397" s="4" t="s">
        <v>375</v>
      </c>
      <c r="AN20397" s="4" t="s">
        <v>375</v>
      </c>
      <c r="AO20397" s="4" t="s">
        <v>375</v>
      </c>
      <c r="AP20397" s="4" t="s">
        <v>376</v>
      </c>
      <c r="AR20397" s="4" t="s">
        <v>377</v>
      </c>
    </row>
    <row r="20398" spans="1:44" ht="165">
      <c r="A20398" s="4" t="s">
        <v>24364</v>
      </c>
      <c r="B20398" s="4">
        <v>110335</v>
      </c>
      <c r="D20398" s="5" t="s">
        <v>25758</v>
      </c>
      <c r="E20398" s="6" t="str">
        <f>HYPERLINK("https://inpn.mnhn.fr/espece/cd_nom/110335","Ophrys apifera Huds., 1762")</f>
        <v>Ophrys apifera Huds., 1762</v>
      </c>
      <c r="F20398" s="5" t="s">
        <v>25759</v>
      </c>
      <c r="G20398" s="4" t="str">
        <f>HYPERLINK("[#Réglementation!A"&amp;_xlfn.XMATCH("CCB",Réglementation!A:A,2,1),"CCB")</f>
        <v>CCB</v>
      </c>
      <c r="M20398" s="4" t="str">
        <f>HYPERLINK("#Réglementation!A"&amp;_xlfn.XMATCH("RV43",Réglementation!A:A,2,1),"RV43")</f>
        <v>RV43</v>
      </c>
      <c r="P20398" s="7" t="str">
        <f>HYPERLINK("#Liste_rouge!A"&amp;_xlfn.XMATCH("LC",Liste_rouge!A:A,2,1),"LC")</f>
        <v>LC</v>
      </c>
      <c r="Q20398" s="7" t="str">
        <f>HYPERLINK("#Liste_rouge!A"&amp;_xlfn.XMATCH("LC",Liste_rouge!A:A,2,1),"LC")</f>
        <v>LC</v>
      </c>
      <c r="T20398" s="7" t="str">
        <f>HYPERLINK("#Liste_rouge!A"&amp;_xlfn.XMATCH("DD",Liste_rouge!A:A,2,1),"DD (cd_nom 161095) - LC (cd_nom 110335) - VU (cd_nom 148981)")</f>
        <v>DD (cd_nom 161095) - LC (cd_nom 110335) - VU (cd_nom 148981)</v>
      </c>
      <c r="V20398" s="7" t="str">
        <f>HYPERLINK("#Liste_rouge!A"&amp;_xlfn.XMATCH("LC",Liste_rouge!A:A,2,1),"LC")</f>
        <v>LC</v>
      </c>
      <c r="AH20398" s="4" t="str">
        <f>HYPERLINK("#Statut_biogéographique!A"&amp;_xlfn.XMATCH("P",Statut_biogéographique!A:A,2,1),"P")</f>
        <v>P</v>
      </c>
      <c r="AM20398" s="4" t="s">
        <v>375</v>
      </c>
      <c r="AN20398" s="4" t="s">
        <v>375</v>
      </c>
      <c r="AO20398" s="4" t="s">
        <v>375</v>
      </c>
      <c r="AP20398" s="4" t="s">
        <v>376</v>
      </c>
      <c r="AR20398" s="4" t="s">
        <v>377</v>
      </c>
    </row>
    <row r="20399" spans="1:44" ht="90">
      <c r="A20399" s="4" t="s">
        <v>24364</v>
      </c>
      <c r="B20399" s="4">
        <v>110345</v>
      </c>
      <c r="D20399" s="5" t="s">
        <v>25760</v>
      </c>
      <c r="E20399" s="6" t="str">
        <f>HYPERLINK("https://inpn.mnhn.fr/espece/cd_nom/110345","Ophrys aranifera Huds., 1778")</f>
        <v>Ophrys aranifera Huds., 1778</v>
      </c>
      <c r="F20399" s="5" t="s">
        <v>25761</v>
      </c>
      <c r="G20399" s="4" t="str">
        <f>HYPERLINK("[#Réglementation!A"&amp;_xlfn.XMATCH("CCB",Réglementation!A:A,2,1),"CCB")</f>
        <v>CCB</v>
      </c>
      <c r="M20399" s="4" t="str">
        <f>HYPERLINK("#Réglementation!A"&amp;_xlfn.XMATCH("RV43",Réglementation!A:A,2,1),"RV43")</f>
        <v>RV43</v>
      </c>
      <c r="Q20399" s="7" t="str">
        <f>HYPERLINK("#Liste_rouge!A"&amp;_xlfn.XMATCH("LC",Liste_rouge!A:A,2,1),"LC")</f>
        <v>LC</v>
      </c>
      <c r="T20399" s="7" t="str">
        <f>HYPERLINK("#Liste_rouge!A"&amp;_xlfn.XMATCH("EN",Liste_rouge!A:A,2,1),"EN")</f>
        <v>EN</v>
      </c>
      <c r="U20399" s="4" t="str">
        <f>HYPERLINK("#Critères_liste_rouge!A$1","A2ac")</f>
        <v>A2ac</v>
      </c>
      <c r="V20399" s="7" t="str">
        <f>HYPERLINK("#Liste_rouge!A"&amp;_xlfn.XMATCH("NT",Liste_rouge!A:A,2,1),"NT")</f>
        <v>NT</v>
      </c>
      <c r="W20399" s="4" t="str">
        <f>HYPERLINK("#Critères_liste_rouge!A$1","pr. B2b(iii)")</f>
        <v>pr. B2b(iii)</v>
      </c>
      <c r="X20399" s="5" t="s">
        <v>374</v>
      </c>
      <c r="AB20399" s="4" t="s">
        <v>93</v>
      </c>
      <c r="AH20399" s="4" t="str">
        <f>HYPERLINK("#Statut_biogéographique!A"&amp;_xlfn.XMATCH("P",Statut_biogéographique!A:A,2,1),"P")</f>
        <v>P</v>
      </c>
      <c r="AL20399" s="5" t="str">
        <f>HYPERLINK("#Réglementation!A"&amp;_xlfn.XMATCH("UEintro",Réglementation!A:A,2,1),"UEintro")</f>
        <v>UEintro</v>
      </c>
      <c r="AM20399" s="4" t="s">
        <v>375</v>
      </c>
      <c r="AN20399" s="4" t="s">
        <v>375</v>
      </c>
      <c r="AO20399" s="4" t="s">
        <v>375</v>
      </c>
      <c r="AP20399" s="4" t="s">
        <v>376</v>
      </c>
      <c r="AR20399" s="4" t="s">
        <v>377</v>
      </c>
    </row>
    <row r="20400" spans="1:44">
      <c r="A20400" s="4" t="s">
        <v>24364</v>
      </c>
      <c r="B20400" s="4">
        <v>110356</v>
      </c>
      <c r="D20400" s="5" t="s">
        <v>25762</v>
      </c>
      <c r="E20400" s="6" t="str">
        <f>HYPERLINK("https://inpn.mnhn.fr/espece/cd_nom/110356","Ophrys aymoninii (Breistr.) Buttler, 1986")</f>
        <v>Ophrys aymoninii (Breistr.) Buttler, 1986</v>
      </c>
      <c r="F20400" s="5" t="s">
        <v>25763</v>
      </c>
      <c r="G20400" s="4" t="str">
        <f>HYPERLINK("[#Réglementation!A"&amp;_xlfn.XMATCH("CCB",Réglementation!A:A,2,1),"CCB")</f>
        <v>CCB</v>
      </c>
      <c r="Q20400" s="7" t="str">
        <f>HYPERLINK("#Liste_rouge!A"&amp;_xlfn.XMATCH("NT",Liste_rouge!A:A,2,1),"NT")</f>
        <v>NT</v>
      </c>
      <c r="AH20400" s="4" t="str">
        <f>HYPERLINK("#Statut_biogéographique!A"&amp;_xlfn.XMATCH("E",Statut_biogéographique!A:A,2,1),"E")</f>
        <v>E</v>
      </c>
      <c r="AP20400" s="4" t="s">
        <v>376</v>
      </c>
      <c r="AR20400" s="4" t="s">
        <v>377</v>
      </c>
    </row>
    <row r="20401" spans="1:44" ht="90">
      <c r="A20401" s="4" t="s">
        <v>24364</v>
      </c>
      <c r="B20401" s="4">
        <v>110392</v>
      </c>
      <c r="D20401" s="5" t="s">
        <v>25764</v>
      </c>
      <c r="E20401" s="6" t="str">
        <f>HYPERLINK("https://inpn.mnhn.fr/espece/cd_nom/110392","Ophrys fuciflora (F.W.Schmidt) Moench, 1802")</f>
        <v>Ophrys fuciflora (F.W.Schmidt) Moench, 1802</v>
      </c>
      <c r="F20401" s="5" t="s">
        <v>25765</v>
      </c>
      <c r="G20401" s="4" t="str">
        <f>HYPERLINK("[#Réglementation!A"&amp;_xlfn.XMATCH("CCB",Réglementation!A:A,2,1),"CCB")</f>
        <v>CCB</v>
      </c>
      <c r="P20401" s="7" t="str">
        <f>HYPERLINK("#Liste_rouge!A"&amp;_xlfn.XMATCH("LC",Liste_rouge!A:A,2,1),"LC")</f>
        <v>LC</v>
      </c>
      <c r="Q20401" s="7" t="str">
        <f>HYPERLINK("#Liste_rouge!A"&amp;_xlfn.XMATCH("LC",Liste_rouge!A:A,2,1),"LC")</f>
        <v>LC</v>
      </c>
      <c r="T20401" s="7" t="str">
        <f>HYPERLINK("#Liste_rouge!A"&amp;_xlfn.XMATCH("LC",Liste_rouge!A:A,2,1),"LC")</f>
        <v>LC</v>
      </c>
      <c r="V20401" s="7" t="str">
        <f>HYPERLINK("#Liste_rouge!A"&amp;_xlfn.XMATCH("LC",Liste_rouge!A:A,2,1),"LC")</f>
        <v>LC</v>
      </c>
      <c r="AH20401" s="4" t="str">
        <f>HYPERLINK("#Statut_biogéographique!A"&amp;_xlfn.XMATCH("P",Statut_biogéographique!A:A,2,1),"P")</f>
        <v>P</v>
      </c>
      <c r="AM20401" s="4" t="s">
        <v>375</v>
      </c>
      <c r="AN20401" s="4" t="s">
        <v>375</v>
      </c>
      <c r="AO20401" s="4" t="s">
        <v>375</v>
      </c>
      <c r="AP20401" s="4" t="s">
        <v>376</v>
      </c>
      <c r="AR20401" s="4" t="s">
        <v>377</v>
      </c>
    </row>
    <row r="20402" spans="1:44" ht="45">
      <c r="A20402" s="4" t="s">
        <v>24364</v>
      </c>
      <c r="B20402" s="4">
        <v>110395</v>
      </c>
      <c r="D20402" s="5" t="s">
        <v>25766</v>
      </c>
      <c r="E20402" s="6" t="str">
        <f>HYPERLINK("https://inpn.mnhn.fr/espece/cd_nom/110395","Ophrys fusca Link, 1800")</f>
        <v>Ophrys fusca Link, 1800</v>
      </c>
      <c r="F20402" s="5" t="s">
        <v>25767</v>
      </c>
      <c r="G20402" s="4" t="str">
        <f>HYPERLINK("[#Réglementation!A"&amp;_xlfn.XMATCH("CCB",Réglementation!A:A,2,1),"CCB")</f>
        <v>CCB</v>
      </c>
      <c r="P20402" s="7" t="str">
        <f>HYPERLINK("#Liste_rouge!A"&amp;_xlfn.XMATCH("LC",Liste_rouge!A:A,2,1),"LC")</f>
        <v>LC</v>
      </c>
      <c r="Q20402" s="7" t="str">
        <f>HYPERLINK("#Liste_rouge!A"&amp;_xlfn.XMATCH("LC",Liste_rouge!A:A,2,1),"LC")</f>
        <v>LC</v>
      </c>
      <c r="AH20402" s="4" t="str">
        <f>HYPERLINK("#Statut_biogéographique!A"&amp;_xlfn.XMATCH("P",Statut_biogéographique!A:A,2,1),"P")</f>
        <v>P</v>
      </c>
      <c r="AP20402" s="4" t="s">
        <v>376</v>
      </c>
      <c r="AR20402" s="4" t="s">
        <v>377</v>
      </c>
    </row>
    <row r="20403" spans="1:44" ht="60">
      <c r="A20403" s="4" t="s">
        <v>24364</v>
      </c>
      <c r="B20403" s="4">
        <v>110410</v>
      </c>
      <c r="D20403" s="5" t="s">
        <v>25768</v>
      </c>
      <c r="E20403" s="6" t="str">
        <f>HYPERLINK("https://inpn.mnhn.fr/espece/cd_nom/110410","Ophrys insectifera L., 1753")</f>
        <v>Ophrys insectifera L., 1753</v>
      </c>
      <c r="F20403" s="5" t="s">
        <v>25769</v>
      </c>
      <c r="G20403" s="4" t="str">
        <f>HYPERLINK("[#Réglementation!A"&amp;_xlfn.XMATCH("CCB",Réglementation!A:A,2,1),"CCB")</f>
        <v>CCB</v>
      </c>
      <c r="O20403" s="7" t="str">
        <f>HYPERLINK("#Liste_rouge!A"&amp;_xlfn.XMATCH("LC",Liste_rouge!A:A,2,1),"LC")</f>
        <v>LC</v>
      </c>
      <c r="P20403" s="7" t="str">
        <f>HYPERLINK("#Liste_rouge!A"&amp;_xlfn.XMATCH("LC",Liste_rouge!A:A,2,1),"LC")</f>
        <v>LC</v>
      </c>
      <c r="Q20403" s="7" t="str">
        <f>HYPERLINK("#Liste_rouge!A"&amp;_xlfn.XMATCH("LC",Liste_rouge!A:A,2,1),"LC")</f>
        <v>LC</v>
      </c>
      <c r="T20403" s="7" t="str">
        <f>HYPERLINK("#Liste_rouge!A"&amp;_xlfn.XMATCH("LC",Liste_rouge!A:A,2,1),"LC")</f>
        <v>LC</v>
      </c>
      <c r="V20403" s="7" t="str">
        <f>HYPERLINK("#Liste_rouge!A"&amp;_xlfn.XMATCH("LC",Liste_rouge!A:A,2,1),"LC")</f>
        <v>LC</v>
      </c>
      <c r="AH20403" s="4" t="str">
        <f>HYPERLINK("#Statut_biogéographique!A"&amp;_xlfn.XMATCH("P",Statut_biogéographique!A:A,2,1),"P")</f>
        <v>P</v>
      </c>
      <c r="AL20403" s="5" t="str">
        <f>HYPERLINK("#Réglementation!A"&amp;_xlfn.XMATCH("UEintro",Réglementation!A:A,2,1),"UEintro")</f>
        <v>UEintro</v>
      </c>
      <c r="AM20403" s="4" t="s">
        <v>375</v>
      </c>
      <c r="AN20403" s="4" t="s">
        <v>375</v>
      </c>
      <c r="AO20403" s="4" t="s">
        <v>375</v>
      </c>
      <c r="AP20403" s="4" t="s">
        <v>376</v>
      </c>
      <c r="AR20403" s="4" t="s">
        <v>377</v>
      </c>
    </row>
    <row r="20404" spans="1:44">
      <c r="A20404" s="4" t="s">
        <v>24364</v>
      </c>
      <c r="B20404" s="4">
        <v>110455</v>
      </c>
      <c r="D20404" s="5">
        <v>110455</v>
      </c>
      <c r="E20404" s="6" t="str">
        <f>HYPERLINK("https://inpn.mnhn.fr/espece/cd_nom/110455","Ophrys x pseudospeculum DC., 1815")</f>
        <v>Ophrys x pseudospeculum DC., 1815</v>
      </c>
      <c r="F20404" s="5" t="s">
        <v>25770</v>
      </c>
      <c r="G20404" s="4" t="str">
        <f>HYPERLINK("[#Réglementation!A"&amp;_xlfn.XMATCH("CCB",Réglementation!A:A,2,1),"CCB")</f>
        <v>CCB</v>
      </c>
      <c r="AH20404" s="4" t="str">
        <f>HYPERLINK("#Statut_biogéographique!A"&amp;_xlfn.XMATCH("P",Statut_biogéographique!A:A,2,1),"P")</f>
        <v>P</v>
      </c>
      <c r="AP20404" s="4" t="s">
        <v>376</v>
      </c>
      <c r="AR20404" s="4" t="s">
        <v>377</v>
      </c>
    </row>
    <row r="20405" spans="1:44">
      <c r="A20405" s="4" t="s">
        <v>24364</v>
      </c>
      <c r="B20405" s="4">
        <v>110468</v>
      </c>
      <c r="D20405" s="5" t="s">
        <v>25771</v>
      </c>
      <c r="E20405" s="6" t="str">
        <f>HYPERLINK("https://inpn.mnhn.fr/espece/cd_nom/110468","Ophrys scolopax Cav., 1793")</f>
        <v>Ophrys scolopax Cav., 1793</v>
      </c>
      <c r="F20405" s="5" t="s">
        <v>25772</v>
      </c>
      <c r="G20405" s="4" t="str">
        <f>HYPERLINK("[#Réglementation!A"&amp;_xlfn.XMATCH("CCB",Réglementation!A:A,2,1),"CCB")</f>
        <v>CCB</v>
      </c>
      <c r="P20405" s="7" t="str">
        <f>HYPERLINK("#Liste_rouge!A"&amp;_xlfn.XMATCH("LC",Liste_rouge!A:A,2,1),"LC")</f>
        <v>LC</v>
      </c>
      <c r="Q20405" s="7" t="str">
        <f>HYPERLINK("#Liste_rouge!A"&amp;_xlfn.XMATCH("LC",Liste_rouge!A:A,2,1),"LC")</f>
        <v>LC</v>
      </c>
      <c r="AH20405" s="4" t="str">
        <f>HYPERLINK("#Statut_biogéographique!A"&amp;_xlfn.XMATCH("P",Statut_biogéographique!A:A,2,1),"P")</f>
        <v>P</v>
      </c>
      <c r="AM20405" s="4" t="s">
        <v>375</v>
      </c>
      <c r="AN20405" s="4" t="s">
        <v>375</v>
      </c>
      <c r="AO20405" s="4" t="s">
        <v>375</v>
      </c>
      <c r="AP20405" s="4" t="s">
        <v>376</v>
      </c>
      <c r="AR20405" s="4" t="s">
        <v>377</v>
      </c>
    </row>
    <row r="20406" spans="1:44" ht="30">
      <c r="A20406" s="4" t="s">
        <v>24364</v>
      </c>
      <c r="B20406" s="4">
        <v>110473</v>
      </c>
      <c r="D20406" s="5" t="s">
        <v>25773</v>
      </c>
      <c r="E20406" s="6" t="str">
        <f>HYPERLINK("https://inpn.mnhn.fr/espece/cd_nom/110473","Ophrys speculum Link, 1799 [nom. et typ. cons.]")</f>
        <v>Ophrys speculum Link, 1799 [nom. et typ. cons.]</v>
      </c>
      <c r="F20406" s="5" t="s">
        <v>25774</v>
      </c>
      <c r="G20406" s="4" t="str">
        <f>HYPERLINK("[#Réglementation!A"&amp;_xlfn.XMATCH("CCB",Réglementation!A:A,2,1),"CCB")</f>
        <v>CCB</v>
      </c>
      <c r="L20406" s="4" t="str">
        <f>HYPERLINK("#Réglementation!A"&amp;_xlfn.XMATCH("NV1",Réglementation!A:A,2,1),"NV1")</f>
        <v>NV1</v>
      </c>
      <c r="Q20406" s="7" t="str">
        <f>HYPERLINK("#Liste_rouge!A"&amp;_xlfn.XMATCH("EN",Liste_rouge!A:A,2,1),"EN")</f>
        <v>EN</v>
      </c>
      <c r="AH20406" s="4" t="str">
        <f>HYPERLINK("#Statut_biogéographique!A"&amp;_xlfn.XMATCH("P",Statut_biogéographique!A:A,2,1),"P")</f>
        <v>P</v>
      </c>
      <c r="AP20406" s="4" t="s">
        <v>389</v>
      </c>
      <c r="AR20406" s="4" t="s">
        <v>377</v>
      </c>
    </row>
    <row r="20407" spans="1:44">
      <c r="A20407" s="4" t="s">
        <v>24364</v>
      </c>
      <c r="B20407" s="4">
        <v>110498</v>
      </c>
      <c r="D20407" s="5" t="s">
        <v>25775</v>
      </c>
      <c r="E20407" s="6" t="str">
        <f>HYPERLINK("https://inpn.mnhn.fr/espece/cd_nom/110498","Ophrys x albertiana E.G.Camus, 1891")</f>
        <v>Ophrys x albertiana E.G.Camus, 1891</v>
      </c>
      <c r="F20407" s="5" t="s">
        <v>25776</v>
      </c>
      <c r="G20407" s="4" t="str">
        <f>HYPERLINK("[#Réglementation!A"&amp;_xlfn.XMATCH("CCB",Réglementation!A:A,2,1),"CCB")</f>
        <v>CCB</v>
      </c>
      <c r="T20407" s="7" t="str">
        <f>HYPERLINK("#Liste_rouge!A"&amp;_xlfn.XMATCH("DD",Liste_rouge!A:A,2,1),"DD")</f>
        <v>DD</v>
      </c>
      <c r="AH20407" s="4" t="str">
        <f>HYPERLINK("#Statut_biogéographique!A"&amp;_xlfn.XMATCH("P",Statut_biogéographique!A:A,2,1),"P")</f>
        <v>P</v>
      </c>
      <c r="AP20407" s="4" t="s">
        <v>376</v>
      </c>
      <c r="AR20407" s="4" t="s">
        <v>377</v>
      </c>
    </row>
    <row r="20408" spans="1:44">
      <c r="A20408" s="4" t="s">
        <v>24364</v>
      </c>
      <c r="B20408" s="4">
        <v>110537</v>
      </c>
      <c r="D20408" s="5">
        <v>110537</v>
      </c>
      <c r="E20408" s="6" t="str">
        <f>HYPERLINK("https://inpn.mnhn.fr/espece/cd_nom/110537","Ophrys x devenensis Rchb.f., 1851")</f>
        <v>Ophrys x devenensis Rchb.f., 1851</v>
      </c>
      <c r="F20408" s="5" t="s">
        <v>25777</v>
      </c>
      <c r="G20408" s="4" t="str">
        <f>HYPERLINK("[#Réglementation!A"&amp;_xlfn.XMATCH("CCB",Réglementation!A:A,2,1),"CCB")</f>
        <v>CCB</v>
      </c>
      <c r="T20408" s="7" t="str">
        <f>HYPERLINK("#Liste_rouge!A"&amp;_xlfn.XMATCH("NE",Liste_rouge!A:A,2,1),"NE")</f>
        <v>NE</v>
      </c>
      <c r="AH20408" s="4" t="str">
        <f>HYPERLINK("#Statut_biogéographique!A"&amp;_xlfn.XMATCH("P",Statut_biogéographique!A:A,2,1),"P")</f>
        <v>P</v>
      </c>
      <c r="AP20408" s="4" t="s">
        <v>376</v>
      </c>
      <c r="AR20408" s="4" t="s">
        <v>377</v>
      </c>
    </row>
    <row r="20409" spans="1:44" ht="30">
      <c r="A20409" s="4" t="s">
        <v>24364</v>
      </c>
      <c r="B20409" s="4">
        <v>110626</v>
      </c>
      <c r="D20409" s="5" t="s">
        <v>25778</v>
      </c>
      <c r="E20409" s="6" t="str">
        <f>HYPERLINK("https://inpn.mnhn.fr/espece/cd_nom/110626","Ophrys x hybrida Pokorny ex Rchb.f., 1851")</f>
        <v>Ophrys x hybrida Pokorny ex Rchb.f., 1851</v>
      </c>
      <c r="F20409" s="5" t="s">
        <v>25779</v>
      </c>
      <c r="G20409" s="4" t="str">
        <f>HYPERLINK("[#Réglementation!A"&amp;_xlfn.XMATCH("CCB",Réglementation!A:A,2,1),"CCB")</f>
        <v>CCB</v>
      </c>
      <c r="AH20409" s="4" t="str">
        <f>HYPERLINK("#Statut_biogéographique!A"&amp;_xlfn.XMATCH("P",Statut_biogéographique!A:A,2,1),"P")</f>
        <v>P</v>
      </c>
      <c r="AP20409" s="4" t="s">
        <v>376</v>
      </c>
      <c r="AR20409" s="4" t="s">
        <v>377</v>
      </c>
    </row>
    <row r="20410" spans="1:44">
      <c r="A20410" s="4" t="s">
        <v>24364</v>
      </c>
      <c r="B20410" s="4">
        <v>110634</v>
      </c>
      <c r="D20410" s="5" t="s">
        <v>25780</v>
      </c>
      <c r="E20410" s="6" t="str">
        <f>HYPERLINK("https://inpn.mnhn.fr/espece/cd_nom/110634","Ophrys x jeanpertii E.G.Camus, 1891")</f>
        <v>Ophrys x jeanpertii E.G.Camus, 1891</v>
      </c>
      <c r="F20410" s="5" t="s">
        <v>25781</v>
      </c>
      <c r="G20410" s="4" t="str">
        <f>HYPERLINK("[#Réglementation!A"&amp;_xlfn.XMATCH("CCB",Réglementation!A:A,2,1),"CCB")</f>
        <v>CCB</v>
      </c>
      <c r="T20410" s="7" t="str">
        <f>HYPERLINK("#Liste_rouge!A"&amp;_xlfn.XMATCH("NE",Liste_rouge!A:A,2,1),"NE")</f>
        <v>NE</v>
      </c>
      <c r="AH20410" s="4" t="str">
        <f>HYPERLINK("#Statut_biogéographique!A"&amp;_xlfn.XMATCH("P",Statut_biogéographique!A:A,2,1),"P")</f>
        <v>P</v>
      </c>
      <c r="AP20410" s="4" t="s">
        <v>376</v>
      </c>
      <c r="AR20410" s="4" t="s">
        <v>377</v>
      </c>
    </row>
    <row r="20411" spans="1:44" ht="30">
      <c r="A20411" s="4" t="s">
        <v>24364</v>
      </c>
      <c r="B20411" s="4">
        <v>110667</v>
      </c>
      <c r="D20411" s="5" t="s">
        <v>25782</v>
      </c>
      <c r="E20411" s="6" t="str">
        <f>HYPERLINK("https://inpn.mnhn.fr/espece/cd_nom/110667","Ophrys x obscura Beck, 1879")</f>
        <v>Ophrys x obscura Beck, 1879</v>
      </c>
      <c r="F20411" s="5" t="s">
        <v>25783</v>
      </c>
      <c r="G20411" s="4" t="str">
        <f>HYPERLINK("[#Réglementation!A"&amp;_xlfn.XMATCH("CCB",Réglementation!A:A,2,1),"CCB")</f>
        <v>CCB</v>
      </c>
      <c r="T20411" s="7" t="str">
        <f>HYPERLINK("#Liste_rouge!A"&amp;_xlfn.XMATCH("DD",Liste_rouge!A:A,2,1),"DD")</f>
        <v>DD</v>
      </c>
      <c r="AH20411" s="4" t="str">
        <f>HYPERLINK("#Statut_biogéographique!A"&amp;_xlfn.XMATCH("P",Statut_biogéographique!A:A,2,1),"P")</f>
        <v>P</v>
      </c>
      <c r="AP20411" s="4" t="s">
        <v>376</v>
      </c>
      <c r="AR20411" s="4" t="s">
        <v>377</v>
      </c>
    </row>
    <row r="20412" spans="1:44" ht="60">
      <c r="A20412" s="4" t="s">
        <v>24364</v>
      </c>
      <c r="B20412" s="4">
        <v>110758</v>
      </c>
      <c r="D20412" s="5" t="s">
        <v>25784</v>
      </c>
      <c r="E20412" s="6" t="str">
        <f>HYPERLINK("https://inpn.mnhn.fr/espece/cd_nom/110758","Opuntia ficus-indica (L.) Mill., 1768")</f>
        <v>Opuntia ficus-indica (L.) Mill., 1768</v>
      </c>
      <c r="F20412" s="5" t="s">
        <v>25785</v>
      </c>
      <c r="O20412" s="7" t="str">
        <f>HYPERLINK("#Liste_rouge!A"&amp;_xlfn.XMATCH("DD",Liste_rouge!A:A,2,1),"DD")</f>
        <v>DD</v>
      </c>
      <c r="Q20412" s="7" t="str">
        <f>HYPERLINK("#Liste_rouge!A"&amp;_xlfn.XMATCH("NA",Liste_rouge!A:A,2,1),"NA")</f>
        <v>NA</v>
      </c>
      <c r="T20412" s="7" t="str">
        <f>HYPERLINK("#Liste_rouge!A"&amp;_xlfn.XMATCH("NA",Liste_rouge!A:A,2,1),"NA")</f>
        <v>NA</v>
      </c>
      <c r="AH20412" s="4" t="str">
        <f>HYPERLINK("#Statut_biogéographique!A"&amp;_xlfn.XMATCH("I",Statut_biogéographique!A:A,2,1),"I")</f>
        <v>I</v>
      </c>
      <c r="AP20412" s="4" t="s">
        <v>376</v>
      </c>
      <c r="AR20412" s="4" t="s">
        <v>377</v>
      </c>
    </row>
    <row r="20413" spans="1:44" ht="45">
      <c r="A20413" s="4" t="s">
        <v>24364</v>
      </c>
      <c r="B20413" s="4">
        <v>110762</v>
      </c>
      <c r="D20413" s="5" t="s">
        <v>25786</v>
      </c>
      <c r="E20413" s="6" t="str">
        <f>HYPERLINK("https://inpn.mnhn.fr/espece/cd_nom/110762","Opuntia humifusa (Raf.) Raf., 1830")</f>
        <v>Opuntia humifusa (Raf.) Raf., 1830</v>
      </c>
      <c r="F20413" s="5" t="s">
        <v>25787</v>
      </c>
      <c r="O20413" s="7" t="str">
        <f>HYPERLINK("#Liste_rouge!A"&amp;_xlfn.XMATCH("LC",Liste_rouge!A:A,2,1),"LC")</f>
        <v>LC</v>
      </c>
      <c r="Q20413" s="7" t="str">
        <f>HYPERLINK("#Liste_rouge!A"&amp;_xlfn.XMATCH("NA",Liste_rouge!A:A,2,1),"NA")</f>
        <v>NA</v>
      </c>
      <c r="AH20413" s="4" t="str">
        <f>HYPERLINK("#Statut_biogéographique!A"&amp;_xlfn.XMATCH("I",Statut_biogéographique!A:A,2,1),"I")</f>
        <v>I</v>
      </c>
      <c r="AP20413" s="4" t="s">
        <v>376</v>
      </c>
      <c r="AR20413" s="4" t="s">
        <v>377</v>
      </c>
    </row>
    <row r="20414" spans="1:44" ht="30">
      <c r="A20414" s="4" t="s">
        <v>24364</v>
      </c>
      <c r="B20414" s="4">
        <v>110782</v>
      </c>
      <c r="D20414" s="5" t="s">
        <v>25788</v>
      </c>
      <c r="E20414" s="6" t="str">
        <f>HYPERLINK("https://inpn.mnhn.fr/espece/cd_nom/110782","Opuntia tuna (L.) Mill., 1768")</f>
        <v>Opuntia tuna (L.) Mill., 1768</v>
      </c>
      <c r="F20414" s="5" t="s">
        <v>25789</v>
      </c>
      <c r="AH20414" s="4" t="str">
        <f>HYPERLINK("#Statut_biogéographique!A"&amp;_xlfn.XMATCH("Q",Statut_biogéographique!A:A,2,1),"Q")</f>
        <v>Q</v>
      </c>
      <c r="AP20414" s="4" t="s">
        <v>376</v>
      </c>
      <c r="AR20414" s="4" t="s">
        <v>377</v>
      </c>
    </row>
    <row r="20415" spans="1:44" ht="45">
      <c r="A20415" s="4" t="s">
        <v>24364</v>
      </c>
      <c r="B20415" s="4">
        <v>110801</v>
      </c>
      <c r="D20415" s="5" t="s">
        <v>25790</v>
      </c>
      <c r="E20415" s="6" t="str">
        <f>HYPERLINK("https://inpn.mnhn.fr/espece/cd_nom/110801","Orchis anthropophora (L.) All., 1785")</f>
        <v>Orchis anthropophora (L.) All., 1785</v>
      </c>
      <c r="F20415" s="5" t="s">
        <v>25791</v>
      </c>
      <c r="G20415" s="4" t="str">
        <f>HYPERLINK("[#Réglementation!A"&amp;_xlfn.XMATCH("CCB",Réglementation!A:A,2,1),"CCB")</f>
        <v>CCB</v>
      </c>
      <c r="P20415" s="7" t="str">
        <f>HYPERLINK("#Liste_rouge!A"&amp;_xlfn.XMATCH("LC",Liste_rouge!A:A,2,1),"LC")</f>
        <v>LC</v>
      </c>
      <c r="Q20415" s="7" t="str">
        <f>HYPERLINK("#Liste_rouge!A"&amp;_xlfn.XMATCH("LC",Liste_rouge!A:A,2,1),"LC")</f>
        <v>LC</v>
      </c>
      <c r="T20415" s="7" t="str">
        <f>HYPERLINK("#Liste_rouge!A"&amp;_xlfn.XMATCH("LC",Liste_rouge!A:A,2,1),"LC")</f>
        <v>LC</v>
      </c>
      <c r="V20415" s="7" t="str">
        <f>HYPERLINK("#Liste_rouge!A"&amp;_xlfn.XMATCH("LC",Liste_rouge!A:A,2,1),"LC")</f>
        <v>LC</v>
      </c>
      <c r="AB20415" s="4" t="s">
        <v>24447</v>
      </c>
      <c r="AH20415" s="4" t="str">
        <f>HYPERLINK("#Statut_biogéographique!A"&amp;_xlfn.XMATCH("P",Statut_biogéographique!A:A,2,1),"P")</f>
        <v>P</v>
      </c>
      <c r="AM20415" s="4" t="s">
        <v>375</v>
      </c>
      <c r="AN20415" s="4" t="s">
        <v>375</v>
      </c>
      <c r="AO20415" s="4" t="s">
        <v>375</v>
      </c>
      <c r="AP20415" s="4" t="s">
        <v>376</v>
      </c>
      <c r="AR20415" s="4" t="s">
        <v>377</v>
      </c>
    </row>
    <row r="20416" spans="1:44" ht="30">
      <c r="A20416" s="4" t="s">
        <v>24364</v>
      </c>
      <c r="B20416" s="4">
        <v>110914</v>
      </c>
      <c r="D20416" s="5" t="s">
        <v>25792</v>
      </c>
      <c r="E20416" s="6" t="str">
        <f>HYPERLINK("https://inpn.mnhn.fr/espece/cd_nom/110914","Orchis mascula (L.) L., 1755")</f>
        <v>Orchis mascula (L.) L., 1755</v>
      </c>
      <c r="F20416" s="5" t="s">
        <v>25793</v>
      </c>
      <c r="G20416" s="4" t="str">
        <f>HYPERLINK("[#Réglementation!A"&amp;_xlfn.XMATCH("CCB",Réglementation!A:A,2,1),"CCB")</f>
        <v>CCB</v>
      </c>
      <c r="P20416" s="7" t="str">
        <f>HYPERLINK("#Liste_rouge!A"&amp;_xlfn.XMATCH("LC",Liste_rouge!A:A,2,1),"LC")</f>
        <v>LC</v>
      </c>
      <c r="Q20416" s="7" t="str">
        <f>HYPERLINK("#Liste_rouge!A"&amp;_xlfn.XMATCH("LC",Liste_rouge!A:A,2,1),"LC")</f>
        <v>LC</v>
      </c>
      <c r="T20416" s="7" t="str">
        <f>HYPERLINK("#Liste_rouge!A"&amp;_xlfn.XMATCH("LC",Liste_rouge!A:A,2,1),"LC")</f>
        <v>LC</v>
      </c>
      <c r="V20416" s="7" t="str">
        <f>HYPERLINK("#Liste_rouge!A"&amp;_xlfn.XMATCH("LC",Liste_rouge!A:A,2,1),"LC")</f>
        <v>LC</v>
      </c>
      <c r="AH20416" s="4" t="str">
        <f>HYPERLINK("#Statut_biogéographique!A"&amp;_xlfn.XMATCH("P",Statut_biogéographique!A:A,2,1),"P")</f>
        <v>P</v>
      </c>
      <c r="AL20416" s="5" t="str">
        <f>HYPERLINK("#Réglementation!A"&amp;_xlfn.XMATCH("UEintro",Réglementation!A:A,2,1),"UEintro")</f>
        <v>UEintro</v>
      </c>
      <c r="AM20416" s="4" t="s">
        <v>375</v>
      </c>
      <c r="AN20416" s="4" t="s">
        <v>375</v>
      </c>
      <c r="AO20416" s="4" t="s">
        <v>375</v>
      </c>
      <c r="AP20416" s="4" t="s">
        <v>376</v>
      </c>
      <c r="AR20416" s="4" t="s">
        <v>377</v>
      </c>
    </row>
    <row r="20417" spans="1:44" ht="45">
      <c r="A20417" s="4" t="s">
        <v>24364</v>
      </c>
      <c r="B20417" s="4">
        <v>110920</v>
      </c>
      <c r="D20417" s="5" t="s">
        <v>25794</v>
      </c>
      <c r="E20417" s="6" t="str">
        <f>HYPERLINK("https://inpn.mnhn.fr/espece/cd_nom/110920","Orchis militaris L., 1753")</f>
        <v>Orchis militaris L., 1753</v>
      </c>
      <c r="F20417" s="5" t="s">
        <v>25795</v>
      </c>
      <c r="G20417" s="4" t="str">
        <f>HYPERLINK("[#Réglementation!A"&amp;_xlfn.XMATCH("CCB",Réglementation!A:A,2,1),"CCB")</f>
        <v>CCB</v>
      </c>
      <c r="P20417" s="7" t="str">
        <f>HYPERLINK("#Liste_rouge!A"&amp;_xlfn.XMATCH("LC",Liste_rouge!A:A,2,1),"LC")</f>
        <v>LC</v>
      </c>
      <c r="Q20417" s="7" t="str">
        <f>HYPERLINK("#Liste_rouge!A"&amp;_xlfn.XMATCH("LC",Liste_rouge!A:A,2,1),"LC")</f>
        <v>LC</v>
      </c>
      <c r="T20417" s="7" t="str">
        <f>HYPERLINK("#Liste_rouge!A"&amp;_xlfn.XMATCH("LC",Liste_rouge!A:A,2,1),"LC")</f>
        <v>LC</v>
      </c>
      <c r="V20417" s="7" t="str">
        <f>HYPERLINK("#Liste_rouge!A"&amp;_xlfn.XMATCH("LC",Liste_rouge!A:A,2,1),"LC")</f>
        <v>LC</v>
      </c>
      <c r="AH20417" s="4" t="str">
        <f>HYPERLINK("#Statut_biogéographique!A"&amp;_xlfn.XMATCH("P",Statut_biogéographique!A:A,2,1),"P")</f>
        <v>P</v>
      </c>
      <c r="AM20417" s="4" t="s">
        <v>375</v>
      </c>
      <c r="AN20417" s="4" t="s">
        <v>375</v>
      </c>
      <c r="AO20417" s="4" t="s">
        <v>375</v>
      </c>
      <c r="AP20417" s="4" t="s">
        <v>376</v>
      </c>
      <c r="AR20417" s="4" t="s">
        <v>377</v>
      </c>
    </row>
    <row r="20418" spans="1:44">
      <c r="A20418" s="4" t="s">
        <v>24364</v>
      </c>
      <c r="B20418" s="4">
        <v>110945</v>
      </c>
      <c r="D20418" s="5" t="s">
        <v>25796</v>
      </c>
      <c r="E20418" s="6" t="str">
        <f>HYPERLINK("https://inpn.mnhn.fr/espece/cd_nom/110945","Orchis pallens L., 1771")</f>
        <v>Orchis pallens L., 1771</v>
      </c>
      <c r="F20418" s="5" t="s">
        <v>25797</v>
      </c>
      <c r="G20418" s="4" t="str">
        <f>HYPERLINK("[#Réglementation!A"&amp;_xlfn.XMATCH("CCB",Réglementation!A:A,2,1),"CCB")</f>
        <v>CCB</v>
      </c>
      <c r="P20418" s="7" t="str">
        <f>HYPERLINK("#Liste_rouge!A"&amp;_xlfn.XMATCH("LC",Liste_rouge!A:A,2,1),"LC")</f>
        <v>LC</v>
      </c>
      <c r="Q20418" s="7" t="str">
        <f>HYPERLINK("#Liste_rouge!A"&amp;_xlfn.XMATCH("LC",Liste_rouge!A:A,2,1),"LC")</f>
        <v>LC</v>
      </c>
      <c r="T20418" s="7" t="str">
        <f>HYPERLINK("#Liste_rouge!A"&amp;_xlfn.XMATCH("NE",Liste_rouge!A:A,2,1),"NE")</f>
        <v>NE</v>
      </c>
      <c r="V20418" s="7" t="str">
        <f>HYPERLINK("#Liste_rouge!A"&amp;_xlfn.XMATCH("RE",Liste_rouge!A:A,2,1),"RE")</f>
        <v>RE</v>
      </c>
      <c r="X20418" s="5" t="s">
        <v>374</v>
      </c>
      <c r="AB20418" s="4" t="s">
        <v>93</v>
      </c>
      <c r="AH20418" s="4" t="str">
        <f>HYPERLINK("#Statut_biogéographique!A"&amp;_xlfn.XMATCH("P",Statut_biogéographique!A:A,2,1),"P")</f>
        <v>P</v>
      </c>
      <c r="AL20418" s="5" t="str">
        <f>HYPERLINK("#Réglementation!A"&amp;_xlfn.XMATCH("UEintro",Réglementation!A:A,2,1),"UEintro")</f>
        <v>UEintro</v>
      </c>
      <c r="AM20418" s="4" t="s">
        <v>375</v>
      </c>
      <c r="AN20418" s="4" t="s">
        <v>375</v>
      </c>
      <c r="AO20418" s="4" t="s">
        <v>375</v>
      </c>
      <c r="AP20418" s="4" t="s">
        <v>376</v>
      </c>
      <c r="AR20418" s="4" t="s">
        <v>377</v>
      </c>
    </row>
    <row r="20419" spans="1:44" ht="30">
      <c r="A20419" s="4" t="s">
        <v>24364</v>
      </c>
      <c r="B20419" s="4">
        <v>110953</v>
      </c>
      <c r="D20419" s="5" t="s">
        <v>25798</v>
      </c>
      <c r="E20419" s="6" t="str">
        <f>HYPERLINK("https://inpn.mnhn.fr/espece/cd_nom/110953","Orchis pauciflora Ten., 1815")</f>
        <v>Orchis pauciflora Ten., 1815</v>
      </c>
      <c r="F20419" s="5" t="s">
        <v>25799</v>
      </c>
      <c r="G20419" s="4" t="str">
        <f>HYPERLINK("[#Réglementation!A"&amp;_xlfn.XMATCH("CCB",Réglementation!A:A,2,1),"CCB")</f>
        <v>CCB</v>
      </c>
      <c r="L20419" s="4" t="str">
        <f>HYPERLINK("#Réglementation!A"&amp;_xlfn.XMATCH("NV1",Réglementation!A:A,2,1),"NV1")</f>
        <v>NV1</v>
      </c>
      <c r="O20419" s="7" t="str">
        <f>HYPERLINK("#Liste_rouge!A"&amp;_xlfn.XMATCH("LC",Liste_rouge!A:A,2,1),"LC")</f>
        <v>LC</v>
      </c>
      <c r="P20419" s="7" t="str">
        <f>HYPERLINK("#Liste_rouge!A"&amp;_xlfn.XMATCH("LC",Liste_rouge!A:A,2,1),"LC")</f>
        <v>LC</v>
      </c>
      <c r="Q20419" s="7" t="str">
        <f>HYPERLINK("#Liste_rouge!A"&amp;_xlfn.XMATCH("VU",Liste_rouge!A:A,2,1),"VU")</f>
        <v>VU</v>
      </c>
      <c r="AH20419" s="4" t="str">
        <f>HYPERLINK("#Statut_biogéographique!A"&amp;_xlfn.XMATCH("P",Statut_biogéographique!A:A,2,1),"P")</f>
        <v>P</v>
      </c>
      <c r="AP20419" s="4" t="s">
        <v>389</v>
      </c>
      <c r="AR20419" s="4" t="s">
        <v>377</v>
      </c>
    </row>
    <row r="20420" spans="1:44" ht="30">
      <c r="A20420" s="4" t="s">
        <v>24364</v>
      </c>
      <c r="B20420" s="4">
        <v>110961</v>
      </c>
      <c r="D20420" s="5" t="s">
        <v>25800</v>
      </c>
      <c r="E20420" s="6" t="str">
        <f>HYPERLINK("https://inpn.mnhn.fr/espece/cd_nom/110961","Orchis provincialis Balb. ex DC., 1806")</f>
        <v>Orchis provincialis Balb. ex DC., 1806</v>
      </c>
      <c r="F20420" s="5" t="s">
        <v>25801</v>
      </c>
      <c r="G20420" s="4" t="str">
        <f>HYPERLINK("[#Réglementation!A"&amp;_xlfn.XMATCH("CCB",Réglementation!A:A,2,1),"CCB")</f>
        <v>CCB</v>
      </c>
      <c r="I20420" s="4" t="str">
        <f>HYPERLINK("#Réglementation!A"&amp;_xlfn.XMATCH("IBE1",Réglementation!A:A,2,1),"IBE1")</f>
        <v>IBE1</v>
      </c>
      <c r="L20420" s="4" t="str">
        <f>HYPERLINK("#Réglementation!A"&amp;_xlfn.XMATCH("NV1",Réglementation!A:A,2,1),"NV1")</f>
        <v>NV1</v>
      </c>
      <c r="O20420" s="7" t="str">
        <f>HYPERLINK("#Liste_rouge!A"&amp;_xlfn.XMATCH("NT",Liste_rouge!A:A,2,1),"NT")</f>
        <v>NT</v>
      </c>
      <c r="P20420" s="7" t="str">
        <f>HYPERLINK("#Liste_rouge!A"&amp;_xlfn.XMATCH("LC",Liste_rouge!A:A,2,1),"LC")</f>
        <v>LC</v>
      </c>
      <c r="Q20420" s="7" t="str">
        <f>HYPERLINK("#Liste_rouge!A"&amp;_xlfn.XMATCH("LC",Liste_rouge!A:A,2,1),"LC")</f>
        <v>LC</v>
      </c>
      <c r="V20420" s="7" t="str">
        <f>HYPERLINK("#Liste_rouge!A"&amp;_xlfn.XMATCH("CR",Liste_rouge!A:A,2,1),"CR")</f>
        <v>CR</v>
      </c>
      <c r="W20420" s="4" t="str">
        <f>HYPERLINK("#Critères_liste_rouge!A$1","D")</f>
        <v>D</v>
      </c>
      <c r="X20420" s="5" t="s">
        <v>374</v>
      </c>
      <c r="AB20420" s="4" t="s">
        <v>93</v>
      </c>
      <c r="AH20420" s="4" t="str">
        <f>HYPERLINK("#Statut_biogéographique!A"&amp;_xlfn.XMATCH("P",Statut_biogéographique!A:A,2,1),"P")</f>
        <v>P</v>
      </c>
      <c r="AL20420" s="5" t="str">
        <f>HYPERLINK("#Réglementation!A"&amp;_xlfn.XMATCH("UEintro",Réglementation!A:A,2,1),"UEintro")</f>
        <v>UEintro</v>
      </c>
      <c r="AM20420" s="4" t="s">
        <v>375</v>
      </c>
      <c r="AN20420" s="4" t="s">
        <v>375</v>
      </c>
      <c r="AO20420" s="4" t="s">
        <v>375</v>
      </c>
      <c r="AP20420" s="4" t="s">
        <v>376</v>
      </c>
      <c r="AR20420" s="4" t="s">
        <v>377</v>
      </c>
    </row>
    <row r="20421" spans="1:44" ht="45">
      <c r="A20421" s="4" t="s">
        <v>24364</v>
      </c>
      <c r="B20421" s="4">
        <v>110966</v>
      </c>
      <c r="D20421" s="5" t="s">
        <v>25802</v>
      </c>
      <c r="E20421" s="6" t="str">
        <f>HYPERLINK("https://inpn.mnhn.fr/espece/cd_nom/110966","Orchis purpurea Huds., 1762")</f>
        <v>Orchis purpurea Huds., 1762</v>
      </c>
      <c r="F20421" s="5" t="s">
        <v>25803</v>
      </c>
      <c r="G20421" s="4" t="str">
        <f>HYPERLINK("[#Réglementation!A"&amp;_xlfn.XMATCH("CCB",Réglementation!A:A,2,1),"CCB")</f>
        <v>CCB</v>
      </c>
      <c r="M20421" s="4" t="str">
        <f>HYPERLINK("#Réglementation!A"&amp;_xlfn.XMATCH("RV43",Réglementation!A:A,2,1),"RV43")</f>
        <v>RV43</v>
      </c>
      <c r="P20421" s="7" t="str">
        <f>HYPERLINK("#Liste_rouge!A"&amp;_xlfn.XMATCH("LC",Liste_rouge!A:A,2,1),"LC")</f>
        <v>LC</v>
      </c>
      <c r="Q20421" s="7" t="str">
        <f>HYPERLINK("#Liste_rouge!A"&amp;_xlfn.XMATCH("LC",Liste_rouge!A:A,2,1),"LC")</f>
        <v>LC</v>
      </c>
      <c r="T20421" s="7" t="str">
        <f>HYPERLINK("#Liste_rouge!A"&amp;_xlfn.XMATCH("LC",Liste_rouge!A:A,2,1),"LC")</f>
        <v>LC</v>
      </c>
      <c r="V20421" s="7" t="str">
        <f>HYPERLINK("#Liste_rouge!A"&amp;_xlfn.XMATCH("LC",Liste_rouge!A:A,2,1),"LC")</f>
        <v>LC</v>
      </c>
      <c r="AB20421" s="4" t="s">
        <v>24464</v>
      </c>
      <c r="AH20421" s="4" t="str">
        <f>HYPERLINK("#Statut_biogéographique!A"&amp;_xlfn.XMATCH("P",Statut_biogéographique!A:A,2,1),"P")</f>
        <v>P</v>
      </c>
      <c r="AL20421" s="5" t="str">
        <f>HYPERLINK("#Réglementation!A"&amp;_xlfn.XMATCH("UEintro",Réglementation!A:A,2,1),"UEintro")</f>
        <v>UEintro</v>
      </c>
      <c r="AM20421" s="4" t="s">
        <v>375</v>
      </c>
      <c r="AN20421" s="4" t="s">
        <v>375</v>
      </c>
      <c r="AO20421" s="4" t="s">
        <v>375</v>
      </c>
      <c r="AP20421" s="4" t="s">
        <v>376</v>
      </c>
      <c r="AR20421" s="4" t="s">
        <v>377</v>
      </c>
    </row>
    <row r="20422" spans="1:44" ht="30">
      <c r="A20422" s="4" t="s">
        <v>24364</v>
      </c>
      <c r="B20422" s="4">
        <v>110987</v>
      </c>
      <c r="D20422" s="5" t="s">
        <v>25804</v>
      </c>
      <c r="E20422" s="6" t="str">
        <f>HYPERLINK("https://inpn.mnhn.fr/espece/cd_nom/110987","Orchis simia Lam., 1779")</f>
        <v>Orchis simia Lam., 1779</v>
      </c>
      <c r="F20422" s="5" t="s">
        <v>25805</v>
      </c>
      <c r="G20422" s="4" t="str">
        <f>HYPERLINK("[#Réglementation!A"&amp;_xlfn.XMATCH("CCB",Réglementation!A:A,2,1),"CCB")</f>
        <v>CCB</v>
      </c>
      <c r="M20422" s="4" t="str">
        <f>HYPERLINK("#Réglementation!A"&amp;_xlfn.XMATCH("RV26",Réglementation!A:A,2,1),"RV26 - RV43")</f>
        <v>RV26 - RV43</v>
      </c>
      <c r="P20422" s="7" t="str">
        <f>HYPERLINK("#Liste_rouge!A"&amp;_xlfn.XMATCH("LC",Liste_rouge!A:A,2,1),"LC")</f>
        <v>LC</v>
      </c>
      <c r="Q20422" s="7" t="str">
        <f>HYPERLINK("#Liste_rouge!A"&amp;_xlfn.XMATCH("LC",Liste_rouge!A:A,2,1),"LC")</f>
        <v>LC</v>
      </c>
      <c r="T20422" s="7" t="str">
        <f>HYPERLINK("#Liste_rouge!A"&amp;_xlfn.XMATCH("VU",Liste_rouge!A:A,2,1),"VU")</f>
        <v>VU</v>
      </c>
      <c r="U20422" s="4" t="str">
        <f>HYPERLINK("#Critères_liste_rouge!A$1","C2a(i) D2")</f>
        <v>C2a(i) D2</v>
      </c>
      <c r="V20422" s="7" t="str">
        <f>HYPERLINK("#Liste_rouge!A"&amp;_xlfn.XMATCH("NT",Liste_rouge!A:A,2,1),"NT")</f>
        <v>NT</v>
      </c>
      <c r="W20422" s="4" t="str">
        <f>HYPERLINK("#Critères_liste_rouge!A$1","pr. B2b(iii)")</f>
        <v>pr. B2b(iii)</v>
      </c>
      <c r="X20422" s="5" t="s">
        <v>374</v>
      </c>
      <c r="AB20422" s="4" t="s">
        <v>93</v>
      </c>
      <c r="AH20422" s="4" t="str">
        <f>HYPERLINK("#Statut_biogéographique!A"&amp;_xlfn.XMATCH("P",Statut_biogéographique!A:A,2,1),"P")</f>
        <v>P</v>
      </c>
      <c r="AL20422" s="5" t="str">
        <f>HYPERLINK("#Réglementation!A"&amp;_xlfn.XMATCH("UEintro",Réglementation!A:A,2,1),"UEintro")</f>
        <v>UEintro</v>
      </c>
      <c r="AM20422" s="4" t="s">
        <v>375</v>
      </c>
      <c r="AN20422" s="4" t="s">
        <v>375</v>
      </c>
      <c r="AO20422" s="4" t="s">
        <v>375</v>
      </c>
      <c r="AP20422" s="4" t="s">
        <v>376</v>
      </c>
      <c r="AR20422" s="4" t="s">
        <v>377</v>
      </c>
    </row>
    <row r="20423" spans="1:44" ht="30">
      <c r="A20423" s="4" t="s">
        <v>24364</v>
      </c>
      <c r="B20423" s="4">
        <v>110994</v>
      </c>
      <c r="D20423" s="5" t="s">
        <v>25806</v>
      </c>
      <c r="E20423" s="6" t="str">
        <f>HYPERLINK("https://inpn.mnhn.fr/espece/cd_nom/110994","Orchis spitzelii Saut. ex W.D.J.Koch, 1837")</f>
        <v>Orchis spitzelii Saut. ex W.D.J.Koch, 1837</v>
      </c>
      <c r="F20423" s="5" t="s">
        <v>25807</v>
      </c>
      <c r="G20423" s="4" t="str">
        <f>HYPERLINK("[#Réglementation!A"&amp;_xlfn.XMATCH("CCB",Réglementation!A:A,2,1),"CCB")</f>
        <v>CCB</v>
      </c>
      <c r="L20423" s="4" t="str">
        <f>HYPERLINK("#Réglementation!A"&amp;_xlfn.XMATCH("NV1",Réglementation!A:A,2,1),"NV1")</f>
        <v>NV1</v>
      </c>
      <c r="P20423" s="7" t="str">
        <f>HYPERLINK("#Liste_rouge!A"&amp;_xlfn.XMATCH("NT",Liste_rouge!A:A,2,1),"NT")</f>
        <v>NT</v>
      </c>
      <c r="Q20423" s="7" t="str">
        <f>HYPERLINK("#Liste_rouge!A"&amp;_xlfn.XMATCH("LC",Liste_rouge!A:A,2,1),"LC")</f>
        <v>LC</v>
      </c>
      <c r="V20423" s="7" t="str">
        <f>HYPERLINK("#Liste_rouge!A"&amp;_xlfn.XMATCH("EN",Liste_rouge!A:A,2,1),"EN")</f>
        <v>EN</v>
      </c>
      <c r="W20423" s="4" t="str">
        <f>HYPERLINK("#Critères_liste_rouge!A$1","D")</f>
        <v>D</v>
      </c>
      <c r="X20423" s="5" t="s">
        <v>374</v>
      </c>
      <c r="AB20423" s="4" t="s">
        <v>93</v>
      </c>
      <c r="AD20423" s="4" t="s">
        <v>11319</v>
      </c>
      <c r="AH20423" s="4" t="str">
        <f>HYPERLINK("#Statut_biogéographique!A"&amp;_xlfn.XMATCH("P",Statut_biogéographique!A:A,2,1),"P")</f>
        <v>P</v>
      </c>
      <c r="AM20423" s="4" t="s">
        <v>375</v>
      </c>
      <c r="AN20423" s="4" t="s">
        <v>375</v>
      </c>
      <c r="AO20423" s="4" t="s">
        <v>375</v>
      </c>
      <c r="AP20423" s="4" t="s">
        <v>376</v>
      </c>
      <c r="AR20423" s="4" t="s">
        <v>377</v>
      </c>
    </row>
    <row r="20424" spans="1:44">
      <c r="A20424" s="4" t="s">
        <v>24364</v>
      </c>
      <c r="B20424" s="4">
        <v>111038</v>
      </c>
      <c r="D20424" s="5" t="s">
        <v>25808</v>
      </c>
      <c r="E20424" s="6" t="str">
        <f>HYPERLINK("https://inpn.mnhn.fr/espece/cd_nom/111038","Orchis x bergonii Nanteuil, 1887")</f>
        <v>Orchis x bergonii Nanteuil, 1887</v>
      </c>
      <c r="F20424" s="5" t="s">
        <v>25809</v>
      </c>
      <c r="G20424" s="4" t="str">
        <f>HYPERLINK("[#Réglementation!A"&amp;_xlfn.XMATCH("CCB",Réglementation!A:A,2,1),"CCB")</f>
        <v>CCB</v>
      </c>
      <c r="T20424" s="7" t="str">
        <f>HYPERLINK("#Liste_rouge!A"&amp;_xlfn.XMATCH("DD",Liste_rouge!A:A,2,1),"DD")</f>
        <v>DD</v>
      </c>
      <c r="AH20424" s="4" t="str">
        <f>HYPERLINK("#Statut_biogéographique!A"&amp;_xlfn.XMATCH("P",Statut_biogéographique!A:A,2,1),"P")</f>
        <v>P</v>
      </c>
      <c r="AP20424" s="4" t="s">
        <v>376</v>
      </c>
      <c r="AR20424" s="4" t="s">
        <v>377</v>
      </c>
    </row>
    <row r="20425" spans="1:44" ht="30">
      <c r="A20425" s="4" t="s">
        <v>24364</v>
      </c>
      <c r="B20425" s="4">
        <v>111039</v>
      </c>
      <c r="D20425" s="5" t="s">
        <v>25810</v>
      </c>
      <c r="E20425" s="6" t="str">
        <f>HYPERLINK("https://inpn.mnhn.fr/espece/cd_nom/111039","Orchis x beyrichii A.Kern., 1865")</f>
        <v>Orchis x beyrichii A.Kern., 1865</v>
      </c>
      <c r="F20425" s="5" t="s">
        <v>25811</v>
      </c>
      <c r="G20425" s="4" t="str">
        <f>HYPERLINK("[#Réglementation!A"&amp;_xlfn.XMATCH("CCB",Réglementation!A:A,2,1),"CCB")</f>
        <v>CCB</v>
      </c>
      <c r="T20425" s="7" t="str">
        <f>HYPERLINK("#Liste_rouge!A"&amp;_xlfn.XMATCH("DD",Liste_rouge!A:A,2,1),"DD")</f>
        <v>DD</v>
      </c>
      <c r="AH20425" s="4" t="str">
        <f>HYPERLINK("#Statut_biogéographique!A"&amp;_xlfn.XMATCH("P",Statut_biogéographique!A:A,2,1),"P")</f>
        <v>P</v>
      </c>
      <c r="AP20425" s="4" t="s">
        <v>376</v>
      </c>
      <c r="AR20425" s="4" t="s">
        <v>377</v>
      </c>
    </row>
    <row r="20426" spans="1:44" ht="30">
      <c r="A20426" s="4" t="s">
        <v>24364</v>
      </c>
      <c r="B20426" s="4">
        <v>111124</v>
      </c>
      <c r="D20426" s="5" t="s">
        <v>25812</v>
      </c>
      <c r="E20426" s="6" t="str">
        <f>HYPERLINK("https://inpn.mnhn.fr/espece/cd_nom/111124","Orchis x hybrida Boenn. ex Rchb., 1830")</f>
        <v>Orchis x hybrida Boenn. ex Rchb., 1830</v>
      </c>
      <c r="F20426" s="5" t="s">
        <v>25813</v>
      </c>
      <c r="G20426" s="4" t="str">
        <f>HYPERLINK("[#Réglementation!A"&amp;_xlfn.XMATCH("CCB",Réglementation!A:A,2,1),"CCB")</f>
        <v>CCB</v>
      </c>
      <c r="T20426" s="7" t="str">
        <f>HYPERLINK("#Liste_rouge!A"&amp;_xlfn.XMATCH("DD",Liste_rouge!A:A,2,1),"DD")</f>
        <v>DD</v>
      </c>
      <c r="AH20426" s="4" t="str">
        <f>HYPERLINK("#Statut_biogéographique!A"&amp;_xlfn.XMATCH("P",Statut_biogéographique!A:A,2,1),"P")</f>
        <v>P</v>
      </c>
      <c r="AP20426" s="4" t="s">
        <v>376</v>
      </c>
      <c r="AR20426" s="4" t="s">
        <v>377</v>
      </c>
    </row>
    <row r="20427" spans="1:44">
      <c r="A20427" s="4" t="s">
        <v>24364</v>
      </c>
      <c r="B20427" s="4">
        <v>111153</v>
      </c>
      <c r="D20427" s="5" t="s">
        <v>25814</v>
      </c>
      <c r="E20427" s="6" t="str">
        <f>HYPERLINK("https://inpn.mnhn.fr/espece/cd_nom/111153","Orchis x meilsheimeri Rouy, 1912")</f>
        <v>Orchis x meilsheimeri Rouy, 1912</v>
      </c>
      <c r="F20427" s="5" t="s">
        <v>25815</v>
      </c>
      <c r="G20427" s="4" t="str">
        <f>HYPERLINK("[#Réglementation!A"&amp;_xlfn.XMATCH("CCB",Réglementation!A:A,2,1),"CCB")</f>
        <v>CCB</v>
      </c>
      <c r="T20427" s="7" t="str">
        <f>HYPERLINK("#Liste_rouge!A"&amp;_xlfn.XMATCH("DD",Liste_rouge!A:A,2,1),"DD")</f>
        <v>DD</v>
      </c>
      <c r="AH20427" s="4" t="str">
        <f>HYPERLINK("#Statut_biogéographique!A"&amp;_xlfn.XMATCH("P",Statut_biogéographique!A:A,2,1),"P")</f>
        <v>P</v>
      </c>
      <c r="AP20427" s="4" t="s">
        <v>376</v>
      </c>
      <c r="AR20427" s="4" t="s">
        <v>377</v>
      </c>
    </row>
    <row r="20428" spans="1:44">
      <c r="A20428" s="4" t="s">
        <v>24364</v>
      </c>
      <c r="B20428" s="4">
        <v>111203</v>
      </c>
      <c r="D20428" s="5" t="s">
        <v>25816</v>
      </c>
      <c r="E20428" s="6" t="str">
        <f>HYPERLINK("https://inpn.mnhn.fr/espece/cd_nom/111203","Orchis x spuria Rchb.f., 1849")</f>
        <v>Orchis x spuria Rchb.f., 1849</v>
      </c>
      <c r="F20428" s="5" t="s">
        <v>25817</v>
      </c>
      <c r="G20428" s="4" t="str">
        <f>HYPERLINK("[#Réglementation!A"&amp;_xlfn.XMATCH("CCB",Réglementation!A:A,2,1),"CCB")</f>
        <v>CCB</v>
      </c>
      <c r="T20428" s="7" t="str">
        <f>HYPERLINK("#Liste_rouge!A"&amp;_xlfn.XMATCH("DD",Liste_rouge!A:A,2,1),"DD")</f>
        <v>DD</v>
      </c>
      <c r="AH20428" s="4" t="str">
        <f>HYPERLINK("#Statut_biogéographique!A"&amp;_xlfn.XMATCH("P",Statut_biogéographique!A:A,2,1),"P")</f>
        <v>P</v>
      </c>
      <c r="AP20428" s="4" t="s">
        <v>376</v>
      </c>
      <c r="AR20428" s="4" t="s">
        <v>377</v>
      </c>
    </row>
    <row r="20429" spans="1:44" ht="90">
      <c r="A20429" s="4" t="s">
        <v>24364</v>
      </c>
      <c r="B20429" s="4">
        <v>111239</v>
      </c>
      <c r="D20429" s="5" t="s">
        <v>25818</v>
      </c>
      <c r="E20429" s="6" t="str">
        <f>HYPERLINK("https://inpn.mnhn.fr/espece/cd_nom/111239","Oreopteris limbosperma (All.) Holub, 1969")</f>
        <v>Oreopteris limbosperma (All.) Holub, 1969</v>
      </c>
      <c r="F20429" s="5" t="s">
        <v>25819</v>
      </c>
      <c r="P20429" s="7" t="str">
        <f>HYPERLINK("#Liste_rouge!A"&amp;_xlfn.XMATCH("LC",Liste_rouge!A:A,2,1),"LC")</f>
        <v>LC</v>
      </c>
      <c r="Q20429" s="7" t="str">
        <f>HYPERLINK("#Liste_rouge!A"&amp;_xlfn.XMATCH("LC",Liste_rouge!A:A,2,1),"LC")</f>
        <v>LC</v>
      </c>
      <c r="T20429" s="7" t="str">
        <f>HYPERLINK("#Liste_rouge!A"&amp;_xlfn.XMATCH("VU",Liste_rouge!A:A,2,1),"VU")</f>
        <v>VU</v>
      </c>
      <c r="U20429" s="4" t="str">
        <f>HYPERLINK("#Critères_liste_rouge!A$1","D2")</f>
        <v>D2</v>
      </c>
      <c r="V20429" s="7" t="str">
        <f>HYPERLINK("#Liste_rouge!A"&amp;_xlfn.XMATCH("LC",Liste_rouge!A:A,2,1),"LC")</f>
        <v>LC</v>
      </c>
      <c r="AB20429" s="4" t="s">
        <v>24767</v>
      </c>
      <c r="AH20429" s="4" t="str">
        <f>HYPERLINK("#Statut_biogéographique!A"&amp;_xlfn.XMATCH("P",Statut_biogéographique!A:A,2,1),"P")</f>
        <v>P</v>
      </c>
      <c r="AM20429" s="4" t="s">
        <v>375</v>
      </c>
      <c r="AN20429" s="4" t="s">
        <v>375</v>
      </c>
      <c r="AO20429" s="4" t="s">
        <v>375</v>
      </c>
      <c r="AP20429" s="4" t="s">
        <v>376</v>
      </c>
      <c r="AR20429" s="4" t="s">
        <v>377</v>
      </c>
    </row>
    <row r="20430" spans="1:44" ht="45">
      <c r="A20430" s="4" t="s">
        <v>24364</v>
      </c>
      <c r="B20430" s="4">
        <v>111250</v>
      </c>
      <c r="D20430" s="5" t="s">
        <v>25820</v>
      </c>
      <c r="E20430" s="6" t="str">
        <f>HYPERLINK("https://inpn.mnhn.fr/espece/cd_nom/111250","Oreoselinum nigrum Delarbre, 1800")</f>
        <v>Oreoselinum nigrum Delarbre, 1800</v>
      </c>
      <c r="F20430" s="5" t="s">
        <v>25821</v>
      </c>
      <c r="M20430" s="4" t="str">
        <f>HYPERLINK("#Réglementation!A"&amp;_xlfn.XMATCH("RV26",Réglementation!A:A,2,1),"RV26")</f>
        <v>RV26</v>
      </c>
      <c r="Q20430" s="7" t="str">
        <f>HYPERLINK("#Liste_rouge!A"&amp;_xlfn.XMATCH("LC",Liste_rouge!A:A,2,1),"LC")</f>
        <v>LC</v>
      </c>
      <c r="T20430" s="7" t="str">
        <f>HYPERLINK("#Liste_rouge!A"&amp;_xlfn.XMATCH("NT",Liste_rouge!A:A,2,1),"NT")</f>
        <v>NT</v>
      </c>
      <c r="U20430" s="4" t="str">
        <f>HYPERLINK("#Critères_liste_rouge!A$1","pr. B2a")</f>
        <v>pr. B2a</v>
      </c>
      <c r="V20430" s="7" t="str">
        <f>HYPERLINK("#Liste_rouge!A"&amp;_xlfn.XMATCH("NT",Liste_rouge!A:A,2,1),"NT")</f>
        <v>NT</v>
      </c>
      <c r="W20430" s="4" t="str">
        <f>HYPERLINK("#Critères_liste_rouge!A$1","pr. B2b(iii)")</f>
        <v>pr. B2b(iii)</v>
      </c>
      <c r="AB20430" s="4" t="s">
        <v>25822</v>
      </c>
      <c r="AH20430" s="4" t="str">
        <f>HYPERLINK("#Statut_biogéographique!A"&amp;_xlfn.XMATCH("P",Statut_biogéographique!A:A,2,1),"P")</f>
        <v>P</v>
      </c>
      <c r="AM20430" s="4" t="s">
        <v>375</v>
      </c>
      <c r="AN20430" s="4" t="s">
        <v>375</v>
      </c>
      <c r="AO20430" s="4" t="s">
        <v>375</v>
      </c>
      <c r="AP20430" s="4" t="s">
        <v>376</v>
      </c>
      <c r="AR20430" s="4" t="s">
        <v>377</v>
      </c>
    </row>
    <row r="20431" spans="1:44" ht="75">
      <c r="A20431" s="4" t="s">
        <v>24364</v>
      </c>
      <c r="B20431" s="4">
        <v>111289</v>
      </c>
      <c r="D20431" s="5" t="s">
        <v>25823</v>
      </c>
      <c r="E20431" s="6" t="str">
        <f>HYPERLINK("https://inpn.mnhn.fr/espece/cd_nom/111289","Origanum vulgare L., 1753")</f>
        <v>Origanum vulgare L., 1753</v>
      </c>
      <c r="F20431" s="5" t="s">
        <v>25824</v>
      </c>
      <c r="P20431" s="7" t="str">
        <f>HYPERLINK("#Liste_rouge!A"&amp;_xlfn.XMATCH("LC",Liste_rouge!A:A,2,1),"LC")</f>
        <v>LC</v>
      </c>
      <c r="Q20431" s="7" t="str">
        <f>HYPERLINK("#Liste_rouge!A"&amp;_xlfn.XMATCH("LC",Liste_rouge!A:A,2,1),"LC")</f>
        <v>LC</v>
      </c>
      <c r="T20431" s="7" t="str">
        <f>HYPERLINK("#Liste_rouge!A"&amp;_xlfn.XMATCH("LC",Liste_rouge!A:A,2,1),"LC")</f>
        <v>LC</v>
      </c>
      <c r="V20431" s="7" t="str">
        <f>HYPERLINK("#Liste_rouge!A"&amp;_xlfn.XMATCH("LC",Liste_rouge!A:A,2,1),"LC")</f>
        <v>LC</v>
      </c>
      <c r="AH20431" s="4" t="str">
        <f>HYPERLINK("#Statut_biogéographique!A"&amp;_xlfn.XMATCH("P",Statut_biogéographique!A:A,2,1),"P")</f>
        <v>P</v>
      </c>
      <c r="AM20431" s="4" t="s">
        <v>375</v>
      </c>
      <c r="AN20431" s="4" t="s">
        <v>375</v>
      </c>
      <c r="AO20431" s="4" t="s">
        <v>375</v>
      </c>
      <c r="AP20431" s="4" t="s">
        <v>376</v>
      </c>
      <c r="AR20431" s="4" t="s">
        <v>377</v>
      </c>
    </row>
    <row r="20432" spans="1:44" ht="45">
      <c r="A20432" s="4" t="s">
        <v>24364</v>
      </c>
      <c r="B20432" s="4">
        <v>111297</v>
      </c>
      <c r="D20432" s="5" t="s">
        <v>25825</v>
      </c>
      <c r="E20432" s="6" t="str">
        <f>HYPERLINK("https://inpn.mnhn.fr/espece/cd_nom/111297","Orlaya grandiflora (L.) Hoffm., 1814")</f>
        <v>Orlaya grandiflora (L.) Hoffm., 1814</v>
      </c>
      <c r="F20432" s="5" t="s">
        <v>25826</v>
      </c>
      <c r="M20432" s="4" t="str">
        <f>HYPERLINK("#Réglementation!A"&amp;_xlfn.XMATCH("RV43",Réglementation!A:A,2,1),"RV43")</f>
        <v>RV43</v>
      </c>
      <c r="Q20432" s="7" t="str">
        <f>HYPERLINK("#Liste_rouge!A"&amp;_xlfn.XMATCH("LC",Liste_rouge!A:A,2,1),"LC")</f>
        <v>LC</v>
      </c>
      <c r="T20432" s="7" t="str">
        <f>HYPERLINK("#Liste_rouge!A"&amp;_xlfn.XMATCH("EN",Liste_rouge!A:A,2,1),"EN")</f>
        <v>EN</v>
      </c>
      <c r="U20432" s="4" t="str">
        <f>HYPERLINK("#Critères_liste_rouge!A$1","B2ab(iii,iv,v)c(iii,iv) D1")</f>
        <v>B2ab(iii,iv,v)c(iii,iv) D1</v>
      </c>
      <c r="V20432" s="7" t="str">
        <f>HYPERLINK("#Liste_rouge!A"&amp;_xlfn.XMATCH("CR",Liste_rouge!A:A,2,1),"CR")</f>
        <v>CR</v>
      </c>
      <c r="W20432" s="4" t="str">
        <f>HYPERLINK("#Critères_liste_rouge!A$1","D")</f>
        <v>D</v>
      </c>
      <c r="X20432" s="5" t="s">
        <v>374</v>
      </c>
      <c r="AB20432" s="4" t="s">
        <v>93</v>
      </c>
      <c r="AH20432" s="4" t="str">
        <f>HYPERLINK("#Statut_biogéographique!A"&amp;_xlfn.XMATCH("P",Statut_biogéographique!A:A,2,1),"P")</f>
        <v>P</v>
      </c>
      <c r="AI20432" s="8" t="s">
        <v>25827</v>
      </c>
      <c r="AJ20432" s="4" t="s">
        <v>12248</v>
      </c>
      <c r="AM20432" s="4" t="s">
        <v>375</v>
      </c>
      <c r="AN20432" s="4" t="s">
        <v>375</v>
      </c>
      <c r="AO20432" s="4" t="s">
        <v>375</v>
      </c>
      <c r="AP20432" s="4" t="s">
        <v>376</v>
      </c>
      <c r="AR20432" s="4" t="s">
        <v>377</v>
      </c>
    </row>
    <row r="20433" spans="1:44" ht="90">
      <c r="A20433" s="4" t="s">
        <v>24364</v>
      </c>
      <c r="B20433" s="4">
        <v>111334</v>
      </c>
      <c r="D20433" s="5" t="s">
        <v>25828</v>
      </c>
      <c r="E20433" s="6" t="str">
        <f>HYPERLINK("https://inpn.mnhn.fr/espece/cd_nom/111334","Ornithogalum divergens Boreau, 1847")</f>
        <v>Ornithogalum divergens Boreau, 1847</v>
      </c>
      <c r="F20433" s="5" t="s">
        <v>25829</v>
      </c>
      <c r="Q20433" s="7" t="str">
        <f>HYPERLINK("#Liste_rouge!A"&amp;_xlfn.XMATCH("LC",Liste_rouge!A:A,2,1),"LC")</f>
        <v>LC</v>
      </c>
      <c r="AH20433" s="4" t="str">
        <f>HYPERLINK("#Statut_biogéographique!A"&amp;_xlfn.XMATCH("P",Statut_biogéographique!A:A,2,1),"P")</f>
        <v>P</v>
      </c>
      <c r="AP20433" s="4" t="s">
        <v>376</v>
      </c>
      <c r="AR20433" s="4" t="s">
        <v>377</v>
      </c>
    </row>
    <row r="20434" spans="1:44" ht="30">
      <c r="A20434" s="4" t="s">
        <v>24364</v>
      </c>
      <c r="B20434" s="4">
        <v>111391</v>
      </c>
      <c r="D20434" s="5" t="s">
        <v>25830</v>
      </c>
      <c r="E20434" s="6" t="str">
        <f>HYPERLINK("https://inpn.mnhn.fr/espece/cd_nom/111391","Ornithogalum umbellatum L., 1753")</f>
        <v>Ornithogalum umbellatum L., 1753</v>
      </c>
      <c r="F20434" s="5" t="s">
        <v>25831</v>
      </c>
      <c r="Q20434" s="7" t="str">
        <f>HYPERLINK("#Liste_rouge!A"&amp;_xlfn.XMATCH("LC",Liste_rouge!A:A,2,1),"LC")</f>
        <v>LC</v>
      </c>
      <c r="T20434" s="7" t="str">
        <f>HYPERLINK("#Liste_rouge!A"&amp;_xlfn.XMATCH("LC",Liste_rouge!A:A,2,1),"LC")</f>
        <v>LC</v>
      </c>
      <c r="V20434" s="7" t="str">
        <f>HYPERLINK("#Liste_rouge!A"&amp;_xlfn.XMATCH("LC",Liste_rouge!A:A,2,1),"LC")</f>
        <v>LC</v>
      </c>
      <c r="AH20434" s="4" t="str">
        <f>HYPERLINK("#Statut_biogéographique!A"&amp;_xlfn.XMATCH("P",Statut_biogéographique!A:A,2,1),"P")</f>
        <v>P</v>
      </c>
      <c r="AM20434" s="4" t="s">
        <v>375</v>
      </c>
      <c r="AN20434" s="4" t="s">
        <v>375</v>
      </c>
      <c r="AO20434" s="4" t="s">
        <v>375</v>
      </c>
      <c r="AP20434" s="4" t="s">
        <v>376</v>
      </c>
      <c r="AR20434" s="4" t="s">
        <v>377</v>
      </c>
    </row>
    <row r="20435" spans="1:44" ht="30">
      <c r="A20435" s="4" t="s">
        <v>24364</v>
      </c>
      <c r="B20435" s="4">
        <v>111406</v>
      </c>
      <c r="D20435" s="5" t="s">
        <v>25832</v>
      </c>
      <c r="E20435" s="6" t="str">
        <f>HYPERLINK("https://inpn.mnhn.fr/espece/cd_nom/111406","Ornithopus compressus L., 1753")</f>
        <v>Ornithopus compressus L., 1753</v>
      </c>
      <c r="F20435" s="5" t="s">
        <v>25833</v>
      </c>
      <c r="Q20435" s="7" t="str">
        <f>HYPERLINK("#Liste_rouge!A"&amp;_xlfn.XMATCH("LC",Liste_rouge!A:A,2,1),"LC")</f>
        <v>LC</v>
      </c>
      <c r="T20435" s="7" t="str">
        <f>HYPERLINK("#Liste_rouge!A"&amp;_xlfn.XMATCH("NA",Liste_rouge!A:A,2,1),"NA")</f>
        <v>NA</v>
      </c>
      <c r="AH20435" s="4" t="str">
        <f>HYPERLINK("#Statut_biogéographique!A"&amp;_xlfn.XMATCH("P",Statut_biogéographique!A:A,2,1),"P")</f>
        <v>P</v>
      </c>
      <c r="AP20435" s="4" t="s">
        <v>376</v>
      </c>
      <c r="AR20435" s="4" t="s">
        <v>377</v>
      </c>
    </row>
    <row r="20436" spans="1:44" ht="45">
      <c r="A20436" s="4" t="s">
        <v>24364</v>
      </c>
      <c r="B20436" s="4">
        <v>111419</v>
      </c>
      <c r="D20436" s="5" t="s">
        <v>25834</v>
      </c>
      <c r="E20436" s="6" t="str">
        <f>HYPERLINK("https://inpn.mnhn.fr/espece/cd_nom/111419","Ornithopus perpusillus L., 1753")</f>
        <v>Ornithopus perpusillus L., 1753</v>
      </c>
      <c r="F20436" s="5" t="s">
        <v>25835</v>
      </c>
      <c r="Q20436" s="7" t="str">
        <f>HYPERLINK("#Liste_rouge!A"&amp;_xlfn.XMATCH("LC",Liste_rouge!A:A,2,1),"LC")</f>
        <v>LC</v>
      </c>
      <c r="T20436" s="7" t="str">
        <f>HYPERLINK("#Liste_rouge!A"&amp;_xlfn.XMATCH("LC",Liste_rouge!A:A,2,1),"LC")</f>
        <v>LC</v>
      </c>
      <c r="V20436" s="7" t="str">
        <f>HYPERLINK("#Liste_rouge!A"&amp;_xlfn.XMATCH("LC",Liste_rouge!A:A,2,1),"LC")</f>
        <v>LC</v>
      </c>
      <c r="AH20436" s="4" t="str">
        <f>HYPERLINK("#Statut_biogéographique!A"&amp;_xlfn.XMATCH("P",Statut_biogéographique!A:A,2,1),"P")</f>
        <v>P</v>
      </c>
      <c r="AM20436" s="4" t="s">
        <v>375</v>
      </c>
      <c r="AN20436" s="4" t="s">
        <v>375</v>
      </c>
      <c r="AO20436" s="4" t="s">
        <v>375</v>
      </c>
      <c r="AP20436" s="4" t="s">
        <v>376</v>
      </c>
      <c r="AR20436" s="4" t="s">
        <v>377</v>
      </c>
    </row>
    <row r="20437" spans="1:44" ht="45">
      <c r="A20437" s="4" t="s">
        <v>24364</v>
      </c>
      <c r="B20437" s="4">
        <v>111420</v>
      </c>
      <c r="D20437" s="5" t="s">
        <v>25836</v>
      </c>
      <c r="E20437" s="6" t="str">
        <f>HYPERLINK("https://inpn.mnhn.fr/espece/cd_nom/111420","Ornithopus pinnatus (Mill.) Druce, 1907")</f>
        <v>Ornithopus pinnatus (Mill.) Druce, 1907</v>
      </c>
      <c r="F20437" s="5" t="s">
        <v>25837</v>
      </c>
      <c r="Q20437" s="7" t="str">
        <f>HYPERLINK("#Liste_rouge!A"&amp;_xlfn.XMATCH("LC",Liste_rouge!A:A,2,1),"LC")</f>
        <v>LC</v>
      </c>
      <c r="AH20437" s="4" t="str">
        <f>HYPERLINK("#Statut_biogéographique!A"&amp;_xlfn.XMATCH("P",Statut_biogéographique!A:A,2,1),"P")</f>
        <v>P</v>
      </c>
      <c r="AP20437" s="4" t="s">
        <v>376</v>
      </c>
      <c r="AR20437" s="4" t="s">
        <v>377</v>
      </c>
    </row>
    <row r="20438" spans="1:44" ht="105">
      <c r="A20438" s="4" t="s">
        <v>24364</v>
      </c>
      <c r="B20438" s="4">
        <v>111447</v>
      </c>
      <c r="D20438" s="5" t="s">
        <v>25838</v>
      </c>
      <c r="E20438" s="6" t="str">
        <f>HYPERLINK("https://inpn.mnhn.fr/espece/cd_nom/111447","Orobanche alba Stephan ex Willd., 1800")</f>
        <v>Orobanche alba Stephan ex Willd., 1800</v>
      </c>
      <c r="F20438" s="5" t="s">
        <v>25839</v>
      </c>
      <c r="M20438" s="4" t="str">
        <f>HYPERLINK("#Réglementation!A"&amp;_xlfn.XMATCH("RV26",Réglementation!A:A,2,1),"RV26")</f>
        <v>RV26</v>
      </c>
      <c r="Q20438" s="7" t="str">
        <f>HYPERLINK("#Liste_rouge!A"&amp;_xlfn.XMATCH("LC",Liste_rouge!A:A,2,1),"LC")</f>
        <v>LC</v>
      </c>
      <c r="T20438" s="7" t="str">
        <f>HYPERLINK("#Liste_rouge!A"&amp;_xlfn.XMATCH("VU",Liste_rouge!A:A,2,1),"VU")</f>
        <v>VU</v>
      </c>
      <c r="U20438" s="4" t="str">
        <f>HYPERLINK("#Critères_liste_rouge!A$1","D2")</f>
        <v>D2</v>
      </c>
      <c r="V20438" s="7" t="str">
        <f>HYPERLINK("#Liste_rouge!A"&amp;_xlfn.XMATCH("DD",Liste_rouge!A:A,2,1),"DD")</f>
        <v>DD</v>
      </c>
      <c r="X20438" s="5" t="s">
        <v>374</v>
      </c>
      <c r="AB20438" s="4" t="s">
        <v>93</v>
      </c>
      <c r="AH20438" s="4" t="str">
        <f>HYPERLINK("#Statut_biogéographique!A"&amp;_xlfn.XMATCH("P",Statut_biogéographique!A:A,2,1),"P")</f>
        <v>P</v>
      </c>
      <c r="AM20438" s="4" t="s">
        <v>375</v>
      </c>
      <c r="AN20438" s="4" t="s">
        <v>375</v>
      </c>
      <c r="AO20438" s="4" t="s">
        <v>375</v>
      </c>
      <c r="AP20438" s="4" t="s">
        <v>376</v>
      </c>
      <c r="AR20438" s="4" t="s">
        <v>377</v>
      </c>
    </row>
    <row r="20439" spans="1:44" ht="30">
      <c r="A20439" s="4" t="s">
        <v>24364</v>
      </c>
      <c r="B20439" s="4">
        <v>111452</v>
      </c>
      <c r="D20439" s="5" t="s">
        <v>25840</v>
      </c>
      <c r="E20439" s="6" t="str">
        <f>HYPERLINK("https://inpn.mnhn.fr/espece/cd_nom/111452","Orobanche alsatica Kirschl., 1836")</f>
        <v>Orobanche alsatica Kirschl., 1836</v>
      </c>
      <c r="F20439" s="5" t="s">
        <v>25841</v>
      </c>
      <c r="M20439" s="4" t="str">
        <f>HYPERLINK("#Réglementation!A"&amp;_xlfn.XMATCH("RV26",Réglementation!A:A,2,1),"RV26")</f>
        <v>RV26</v>
      </c>
      <c r="Q20439" s="7" t="str">
        <f>HYPERLINK("#Liste_rouge!A"&amp;_xlfn.XMATCH("NT",Liste_rouge!A:A,2,1),"NT")</f>
        <v>NT</v>
      </c>
      <c r="T20439" s="7" t="str">
        <f>HYPERLINK("#Liste_rouge!A"&amp;_xlfn.XMATCH("EN",Liste_rouge!A:A,2,1),"EN")</f>
        <v>EN</v>
      </c>
      <c r="U20439" s="4" t="str">
        <f>HYPERLINK("#Critères_liste_rouge!A$1","B2ab(ii,iii,iv) C2a(i)")</f>
        <v>B2ab(ii,iii,iv) C2a(i)</v>
      </c>
      <c r="V20439" s="7" t="str">
        <f>HYPERLINK("#Liste_rouge!A"&amp;_xlfn.XMATCH("NT",Liste_rouge!A:A,2,1),"NT")</f>
        <v>NT</v>
      </c>
      <c r="W20439" s="4" t="str">
        <f>HYPERLINK("#Critères_liste_rouge!A$1","pr. B2b(iii)")</f>
        <v>pr. B2b(iii)</v>
      </c>
      <c r="X20439" s="5" t="s">
        <v>374</v>
      </c>
      <c r="AB20439" s="4" t="s">
        <v>93</v>
      </c>
      <c r="AH20439" s="4" t="str">
        <f>HYPERLINK("#Statut_biogéographique!A"&amp;_xlfn.XMATCH("P",Statut_biogéographique!A:A,2,1),"P")</f>
        <v>P</v>
      </c>
      <c r="AM20439" s="4" t="s">
        <v>375</v>
      </c>
      <c r="AN20439" s="4" t="s">
        <v>375</v>
      </c>
      <c r="AO20439" s="4" t="s">
        <v>375</v>
      </c>
      <c r="AP20439" s="4" t="s">
        <v>376</v>
      </c>
      <c r="AR20439" s="4" t="s">
        <v>377</v>
      </c>
    </row>
    <row r="20440" spans="1:44" ht="30">
      <c r="A20440" s="4" t="s">
        <v>24364</v>
      </c>
      <c r="B20440" s="4">
        <v>111454</v>
      </c>
      <c r="D20440" s="5" t="s">
        <v>25842</v>
      </c>
      <c r="E20440" s="6" t="str">
        <f>HYPERLINK("https://inpn.mnhn.fr/espece/cd_nom/111454","Orobanche amethystea Thuill., 1799")</f>
        <v>Orobanche amethystea Thuill., 1799</v>
      </c>
      <c r="F20440" s="5" t="s">
        <v>25843</v>
      </c>
      <c r="Q20440" s="7" t="str">
        <f>HYPERLINK("#Liste_rouge!A"&amp;_xlfn.XMATCH("LC",Liste_rouge!A:A,2,1),"LC")</f>
        <v>LC</v>
      </c>
      <c r="T20440" s="7" t="str">
        <f>HYPERLINK("#Liste_rouge!A"&amp;_xlfn.XMATCH("LC",Liste_rouge!A:A,2,1),"LC")</f>
        <v>LC</v>
      </c>
      <c r="AB20440" s="4" t="s">
        <v>25127</v>
      </c>
      <c r="AH20440" s="4" t="str">
        <f>HYPERLINK("#Statut_biogéographique!A"&amp;_xlfn.XMATCH("P",Statut_biogéographique!A:A,2,1),"P")</f>
        <v>P</v>
      </c>
      <c r="AM20440" s="4" t="s">
        <v>375</v>
      </c>
      <c r="AN20440" s="4" t="s">
        <v>375</v>
      </c>
      <c r="AO20440" s="4" t="s">
        <v>375</v>
      </c>
      <c r="AP20440" s="4" t="s">
        <v>376</v>
      </c>
      <c r="AR20440" s="4" t="s">
        <v>377</v>
      </c>
    </row>
    <row r="20441" spans="1:44">
      <c r="A20441" s="4" t="s">
        <v>24364</v>
      </c>
      <c r="B20441" s="4">
        <v>111474</v>
      </c>
      <c r="D20441" s="5" t="s">
        <v>25844</v>
      </c>
      <c r="E20441" s="6" t="str">
        <f>HYPERLINK("https://inpn.mnhn.fr/espece/cd_nom/111474","Orobanche bartlingii Griseb., 1844")</f>
        <v>Orobanche bartlingii Griseb., 1844</v>
      </c>
      <c r="F20441" s="5" t="s">
        <v>25845</v>
      </c>
      <c r="Q20441" s="7" t="str">
        <f>HYPERLINK("#Liste_rouge!A"&amp;_xlfn.XMATCH("VU",Liste_rouge!A:A,2,1),"VU")</f>
        <v>VU</v>
      </c>
      <c r="T20441" s="7" t="str">
        <f>HYPERLINK("#Liste_rouge!A"&amp;_xlfn.XMATCH("CR",Liste_rouge!A:A,2,1),"CR")</f>
        <v>CR</v>
      </c>
      <c r="U20441" s="4" t="str">
        <f>HYPERLINK("#Critères_liste_rouge!A$1","D1")</f>
        <v>D1</v>
      </c>
      <c r="V20441" s="7" t="str">
        <f>HYPERLINK("#Liste_rouge!A"&amp;_xlfn.XMATCH("EN",Liste_rouge!A:A,2,1),"EN")</f>
        <v>EN</v>
      </c>
      <c r="W20441" s="4" t="str">
        <f>HYPERLINK("#Critères_liste_rouge!A$1","D")</f>
        <v>D</v>
      </c>
      <c r="X20441" s="5" t="s">
        <v>374</v>
      </c>
      <c r="AB20441" s="4" t="s">
        <v>93</v>
      </c>
      <c r="AE20441" s="4" t="str">
        <f>HYPERLINK("#SCAP!A"&amp;_xlfn.XMATCH("A",SCAP!A:A,2,1),"A")</f>
        <v>A</v>
      </c>
      <c r="AF20441" s="4" t="str">
        <f>HYPERLINK("#SCAP!A"&amp;_xlfn.XMATCH("A",SCAP!A:A,2,1),"A")</f>
        <v>A</v>
      </c>
      <c r="AH20441" s="4" t="str">
        <f>HYPERLINK("#Statut_biogéographique!A"&amp;_xlfn.XMATCH("P",Statut_biogéographique!A:A,2,1),"P")</f>
        <v>P</v>
      </c>
      <c r="AM20441" s="4" t="s">
        <v>375</v>
      </c>
      <c r="AN20441" s="4" t="s">
        <v>375</v>
      </c>
      <c r="AO20441" s="4" t="s">
        <v>375</v>
      </c>
      <c r="AP20441" s="4" t="s">
        <v>376</v>
      </c>
      <c r="AR20441" s="4" t="s">
        <v>377</v>
      </c>
    </row>
    <row r="20442" spans="1:44" ht="75">
      <c r="A20442" s="4" t="s">
        <v>24364</v>
      </c>
      <c r="B20442" s="4">
        <v>111494</v>
      </c>
      <c r="D20442" s="5" t="s">
        <v>25846</v>
      </c>
      <c r="E20442" s="6" t="str">
        <f>HYPERLINK("https://inpn.mnhn.fr/espece/cd_nom/111494","Orobanche caryophyllacea Sm., 1798")</f>
        <v>Orobanche caryophyllacea Sm., 1798</v>
      </c>
      <c r="F20442" s="5" t="s">
        <v>25847</v>
      </c>
      <c r="Q20442" s="7" t="str">
        <f>HYPERLINK("#Liste_rouge!A"&amp;_xlfn.XMATCH("LC",Liste_rouge!A:A,2,1),"LC")</f>
        <v>LC</v>
      </c>
      <c r="T20442" s="7" t="str">
        <f>HYPERLINK("#Liste_rouge!A"&amp;_xlfn.XMATCH("LC",Liste_rouge!A:A,2,1),"LC")</f>
        <v>LC</v>
      </c>
      <c r="V20442" s="7" t="str">
        <f>HYPERLINK("#Liste_rouge!A"&amp;_xlfn.XMATCH("LC",Liste_rouge!A:A,2,1),"LC")</f>
        <v>LC</v>
      </c>
      <c r="AH20442" s="4" t="str">
        <f>HYPERLINK("#Statut_biogéographique!A"&amp;_xlfn.XMATCH("P",Statut_biogéographique!A:A,2,1),"P")</f>
        <v>P</v>
      </c>
      <c r="AM20442" s="4" t="s">
        <v>375</v>
      </c>
      <c r="AN20442" s="4" t="s">
        <v>375</v>
      </c>
      <c r="AO20442" s="4" t="s">
        <v>375</v>
      </c>
      <c r="AP20442" s="4" t="s">
        <v>376</v>
      </c>
      <c r="AR20442" s="4" t="s">
        <v>377</v>
      </c>
    </row>
    <row r="20443" spans="1:44" ht="45">
      <c r="A20443" s="4" t="s">
        <v>24364</v>
      </c>
      <c r="B20443" s="4">
        <v>111532</v>
      </c>
      <c r="D20443" s="5" t="s">
        <v>25848</v>
      </c>
      <c r="E20443" s="6" t="str">
        <f>HYPERLINK("https://inpn.mnhn.fr/espece/cd_nom/111532","Orobanche elatior Sutton, 1798")</f>
        <v>Orobanche elatior Sutton, 1798</v>
      </c>
      <c r="F20443" s="5" t="s">
        <v>25849</v>
      </c>
      <c r="Q20443" s="7" t="str">
        <f>HYPERLINK("#Liste_rouge!A"&amp;_xlfn.XMATCH("DD",Liste_rouge!A:A,2,1),"DD")</f>
        <v>DD</v>
      </c>
      <c r="T20443" s="7" t="str">
        <f>HYPERLINK("#Liste_rouge!A"&amp;_xlfn.XMATCH("CR",Liste_rouge!A:A,2,1),"CR")</f>
        <v>CR</v>
      </c>
      <c r="U20443" s="4" t="str">
        <f>HYPERLINK("#Critères_liste_rouge!A$1","B1 B2ab(ii,iii,iv) C2a(i)")</f>
        <v>B1 B2ab(ii,iii,iv) C2a(i)</v>
      </c>
      <c r="V20443" s="7" t="str">
        <f>HYPERLINK("#Liste_rouge!A"&amp;_xlfn.XMATCH("CR",Liste_rouge!A:A,2,1),"CR")</f>
        <v>CR</v>
      </c>
      <c r="W20443" s="4" t="str">
        <f>HYPERLINK("#Critères_liste_rouge!A$1","D")</f>
        <v>D</v>
      </c>
      <c r="X20443" s="5" t="s">
        <v>374</v>
      </c>
      <c r="AB20443" s="4" t="s">
        <v>93</v>
      </c>
      <c r="AH20443" s="4" t="str">
        <f>HYPERLINK("#Statut_biogéographique!A"&amp;_xlfn.XMATCH("P",Statut_biogéographique!A:A,2,1),"P")</f>
        <v>P</v>
      </c>
      <c r="AM20443" s="4" t="s">
        <v>375</v>
      </c>
      <c r="AN20443" s="4" t="s">
        <v>375</v>
      </c>
      <c r="AO20443" s="4" t="s">
        <v>375</v>
      </c>
      <c r="AP20443" s="4" t="s">
        <v>376</v>
      </c>
      <c r="AR20443" s="4" t="s">
        <v>377</v>
      </c>
    </row>
    <row r="20444" spans="1:44" ht="60">
      <c r="A20444" s="4" t="s">
        <v>24364</v>
      </c>
      <c r="B20444" s="4">
        <v>111556</v>
      </c>
      <c r="D20444" s="5" t="s">
        <v>25850</v>
      </c>
      <c r="E20444" s="6" t="str">
        <f>HYPERLINK("https://inpn.mnhn.fr/espece/cd_nom/111556","Orobanche gracilis Sm., 1798")</f>
        <v>Orobanche gracilis Sm., 1798</v>
      </c>
      <c r="F20444" s="5" t="s">
        <v>25851</v>
      </c>
      <c r="Q20444" s="7" t="str">
        <f>HYPERLINK("#Liste_rouge!A"&amp;_xlfn.XMATCH("LC",Liste_rouge!A:A,2,1),"LC")</f>
        <v>LC</v>
      </c>
      <c r="T20444" s="7" t="str">
        <f>HYPERLINK("#Liste_rouge!A"&amp;_xlfn.XMATCH("VU",Liste_rouge!A:A,2,1),"VU")</f>
        <v>VU</v>
      </c>
      <c r="U20444" s="4" t="str">
        <f>HYPERLINK("#Critères_liste_rouge!A$1","D1")</f>
        <v>D1</v>
      </c>
      <c r="V20444" s="7" t="str">
        <f>HYPERLINK("#Liste_rouge!A"&amp;_xlfn.XMATCH("LC",Liste_rouge!A:A,2,1),"LC")</f>
        <v>LC</v>
      </c>
      <c r="AB20444" s="4" t="s">
        <v>24407</v>
      </c>
      <c r="AH20444" s="4" t="str">
        <f>HYPERLINK("#Statut_biogéographique!A"&amp;_xlfn.XMATCH("P",Statut_biogéographique!A:A,2,1),"P")</f>
        <v>P</v>
      </c>
      <c r="AM20444" s="4" t="s">
        <v>375</v>
      </c>
      <c r="AN20444" s="4" t="s">
        <v>375</v>
      </c>
      <c r="AO20444" s="4" t="s">
        <v>375</v>
      </c>
      <c r="AP20444" s="4" t="s">
        <v>376</v>
      </c>
      <c r="AR20444" s="4" t="s">
        <v>377</v>
      </c>
    </row>
    <row r="20445" spans="1:44" ht="45">
      <c r="A20445" s="4" t="s">
        <v>24364</v>
      </c>
      <c r="B20445" s="4">
        <v>111561</v>
      </c>
      <c r="D20445" s="5" t="s">
        <v>25852</v>
      </c>
      <c r="E20445" s="6" t="str">
        <f>HYPERLINK("https://inpn.mnhn.fr/espece/cd_nom/111561","Orobanche hederae Vaucher ex Duby, 1828")</f>
        <v>Orobanche hederae Vaucher ex Duby, 1828</v>
      </c>
      <c r="F20445" s="5" t="s">
        <v>25853</v>
      </c>
      <c r="Q20445" s="7" t="str">
        <f>HYPERLINK("#Liste_rouge!A"&amp;_xlfn.XMATCH("LC",Liste_rouge!A:A,2,1),"LC")</f>
        <v>LC</v>
      </c>
      <c r="T20445" s="7" t="str">
        <f>HYPERLINK("#Liste_rouge!A"&amp;_xlfn.XMATCH("LC",Liste_rouge!A:A,2,1),"LC")</f>
        <v>LC</v>
      </c>
      <c r="V20445" s="7" t="str">
        <f>HYPERLINK("#Liste_rouge!A"&amp;_xlfn.XMATCH("LC",Liste_rouge!A:A,2,1),"LC")</f>
        <v>LC</v>
      </c>
      <c r="AB20445" s="4" t="s">
        <v>25854</v>
      </c>
      <c r="AH20445" s="4" t="str">
        <f>HYPERLINK("#Statut_biogéographique!A"&amp;_xlfn.XMATCH("P",Statut_biogéographique!A:A,2,1),"P")</f>
        <v>P</v>
      </c>
      <c r="AM20445" s="4" t="s">
        <v>375</v>
      </c>
      <c r="AN20445" s="4" t="s">
        <v>375</v>
      </c>
      <c r="AO20445" s="4" t="s">
        <v>375</v>
      </c>
      <c r="AP20445" s="4" t="s">
        <v>376</v>
      </c>
      <c r="AR20445" s="4" t="s">
        <v>377</v>
      </c>
    </row>
    <row r="20446" spans="1:44" ht="30">
      <c r="A20446" s="4" t="s">
        <v>24364</v>
      </c>
      <c r="B20446" s="4">
        <v>111585</v>
      </c>
      <c r="D20446" s="5" t="s">
        <v>25855</v>
      </c>
      <c r="E20446" s="6" t="str">
        <f>HYPERLINK("https://inpn.mnhn.fr/espece/cd_nom/111585","Orobanche laserpitii-sileris Reut. ex Jord., 1846")</f>
        <v>Orobanche laserpitii-sileris Reut. ex Jord., 1846</v>
      </c>
      <c r="F20446" s="5" t="s">
        <v>25856</v>
      </c>
      <c r="Q20446" s="7" t="str">
        <f>HYPERLINK("#Liste_rouge!A"&amp;_xlfn.XMATCH("LC",Liste_rouge!A:A,2,1),"LC")</f>
        <v>LC</v>
      </c>
      <c r="V20446" s="7" t="str">
        <f>HYPERLINK("#Liste_rouge!A"&amp;_xlfn.XMATCH("CR",Liste_rouge!A:A,2,1),"CR")</f>
        <v>CR</v>
      </c>
      <c r="W20446" s="4" t="str">
        <f>HYPERLINK("#Critères_liste_rouge!A$1","D")</f>
        <v>D</v>
      </c>
      <c r="X20446" s="5" t="s">
        <v>374</v>
      </c>
      <c r="AB20446" s="4" t="s">
        <v>93</v>
      </c>
      <c r="AH20446" s="4" t="str">
        <f>HYPERLINK("#Statut_biogéographique!A"&amp;_xlfn.XMATCH("P",Statut_biogéographique!A:A,2,1),"P")</f>
        <v>P</v>
      </c>
      <c r="AM20446" s="4" t="s">
        <v>375</v>
      </c>
      <c r="AN20446" s="4" t="s">
        <v>375</v>
      </c>
      <c r="AO20446" s="4" t="s">
        <v>375</v>
      </c>
      <c r="AP20446" s="4" t="s">
        <v>376</v>
      </c>
      <c r="AR20446" s="4" t="s">
        <v>377</v>
      </c>
    </row>
    <row r="20447" spans="1:44" ht="45">
      <c r="A20447" s="4" t="s">
        <v>24364</v>
      </c>
      <c r="B20447" s="4">
        <v>111600</v>
      </c>
      <c r="D20447" s="5" t="s">
        <v>25857</v>
      </c>
      <c r="E20447" s="6" t="str">
        <f>HYPERLINK("https://inpn.mnhn.fr/espece/cd_nom/111600","Orobanche lutea Baumg., 1816")</f>
        <v>Orobanche lutea Baumg., 1816</v>
      </c>
      <c r="F20447" s="5" t="s">
        <v>25858</v>
      </c>
      <c r="Q20447" s="7" t="str">
        <f>HYPERLINK("#Liste_rouge!A"&amp;_xlfn.XMATCH("DD",Liste_rouge!A:A,2,1),"DD")</f>
        <v>DD</v>
      </c>
      <c r="T20447" s="7" t="str">
        <f>HYPERLINK("#Liste_rouge!A"&amp;_xlfn.XMATCH("CR",Liste_rouge!A:A,2,1),"CR")</f>
        <v>CR</v>
      </c>
      <c r="U20447" s="4" t="str">
        <f>HYPERLINK("#Critères_liste_rouge!A$1","D1")</f>
        <v>D1</v>
      </c>
      <c r="V20447" s="7" t="str">
        <f>HYPERLINK("#Liste_rouge!A"&amp;_xlfn.XMATCH("RE",Liste_rouge!A:A,2,1),"RE")</f>
        <v>RE</v>
      </c>
      <c r="X20447" s="5" t="s">
        <v>374</v>
      </c>
      <c r="AB20447" s="4" t="s">
        <v>93</v>
      </c>
      <c r="AH20447" s="4" t="str">
        <f>HYPERLINK("#Statut_biogéographique!A"&amp;_xlfn.XMATCH("P",Statut_biogéographique!A:A,2,1),"P")</f>
        <v>P</v>
      </c>
      <c r="AM20447" s="4" t="s">
        <v>375</v>
      </c>
      <c r="AN20447" s="4" t="s">
        <v>375</v>
      </c>
      <c r="AO20447" s="4" t="s">
        <v>375</v>
      </c>
      <c r="AP20447" s="4" t="s">
        <v>376</v>
      </c>
      <c r="AR20447" s="4" t="s">
        <v>377</v>
      </c>
    </row>
    <row r="20448" spans="1:44" ht="165">
      <c r="A20448" s="4" t="s">
        <v>24364</v>
      </c>
      <c r="B20448" s="4">
        <v>111614</v>
      </c>
      <c r="D20448" s="5" t="s">
        <v>25859</v>
      </c>
      <c r="E20448" s="6" t="str">
        <f>HYPERLINK("https://inpn.mnhn.fr/espece/cd_nom/111614","Orobanche minor Sm., 1797")</f>
        <v>Orobanche minor Sm., 1797</v>
      </c>
      <c r="F20448" s="5" t="s">
        <v>25860</v>
      </c>
      <c r="Q20448" s="7" t="str">
        <f>HYPERLINK("#Liste_rouge!A"&amp;_xlfn.XMATCH("LC",Liste_rouge!A:A,2,1),"LC")</f>
        <v>LC</v>
      </c>
      <c r="T20448" s="7" t="str">
        <f>HYPERLINK("#Liste_rouge!A"&amp;_xlfn.XMATCH("DD",Liste_rouge!A:A,2,1),"DD (cd_nom 149117) - LC (cd_nom 111614)")</f>
        <v>DD (cd_nom 149117) - LC (cd_nom 111614)</v>
      </c>
      <c r="V20448" s="7" t="str">
        <f>HYPERLINK("#Liste_rouge!A"&amp;_xlfn.XMATCH("LC",Liste_rouge!A:A,2,1),"LC")</f>
        <v>LC</v>
      </c>
      <c r="AH20448" s="4" t="str">
        <f>HYPERLINK("#Statut_biogéographique!A"&amp;_xlfn.XMATCH("P",Statut_biogéographique!A:A,2,1),"P")</f>
        <v>P</v>
      </c>
      <c r="AM20448" s="4" t="s">
        <v>375</v>
      </c>
      <c r="AN20448" s="4" t="s">
        <v>375</v>
      </c>
      <c r="AO20448" s="4" t="s">
        <v>375</v>
      </c>
      <c r="AP20448" s="4" t="s">
        <v>376</v>
      </c>
      <c r="AR20448" s="4" t="s">
        <v>377</v>
      </c>
    </row>
    <row r="20449" spans="1:44" ht="45">
      <c r="A20449" s="4" t="s">
        <v>24364</v>
      </c>
      <c r="B20449" s="4">
        <v>111628</v>
      </c>
      <c r="D20449" s="5" t="s">
        <v>25861</v>
      </c>
      <c r="E20449" s="6" t="str">
        <f>HYPERLINK("https://inpn.mnhn.fr/espece/cd_nom/111628","Orobanche picridis F.W.Schultz, 1830")</f>
        <v>Orobanche picridis F.W.Schultz, 1830</v>
      </c>
      <c r="F20449" s="5" t="s">
        <v>25862</v>
      </c>
      <c r="Q20449" s="7" t="str">
        <f>HYPERLINK("#Liste_rouge!A"&amp;_xlfn.XMATCH("LC",Liste_rouge!A:A,2,1),"LC")</f>
        <v>LC</v>
      </c>
      <c r="T20449" s="7" t="str">
        <f>HYPERLINK("#Liste_rouge!A"&amp;_xlfn.XMATCH("LC",Liste_rouge!A:A,2,1),"LC")</f>
        <v>LC</v>
      </c>
      <c r="V20449" s="7" t="str">
        <f>HYPERLINK("#Liste_rouge!A"&amp;_xlfn.XMATCH("RE",Liste_rouge!A:A,2,1),"RE")</f>
        <v>RE</v>
      </c>
      <c r="AH20449" s="4" t="str">
        <f>HYPERLINK("#Statut_biogéographique!A"&amp;_xlfn.XMATCH("P",Statut_biogéographique!A:A,2,1),"P")</f>
        <v>P</v>
      </c>
      <c r="AM20449" s="4" t="s">
        <v>375</v>
      </c>
      <c r="AN20449" s="4" t="s">
        <v>375</v>
      </c>
      <c r="AO20449" s="4" t="s">
        <v>375</v>
      </c>
      <c r="AP20449" s="4" t="s">
        <v>376</v>
      </c>
      <c r="AR20449" s="4" t="s">
        <v>377</v>
      </c>
    </row>
    <row r="20450" spans="1:44" ht="45">
      <c r="A20450" s="4" t="s">
        <v>24364</v>
      </c>
      <c r="B20450" s="4">
        <v>111647</v>
      </c>
      <c r="D20450" s="5" t="s">
        <v>25863</v>
      </c>
      <c r="E20450" s="6" t="str">
        <f>HYPERLINK("https://inpn.mnhn.fr/espece/cd_nom/111647","Orobanche rapum-genistae Thuill., 1799")</f>
        <v>Orobanche rapum-genistae Thuill., 1799</v>
      </c>
      <c r="F20450" s="5" t="s">
        <v>25864</v>
      </c>
      <c r="Q20450" s="7" t="str">
        <f>HYPERLINK("#Liste_rouge!A"&amp;_xlfn.XMATCH("LC",Liste_rouge!A:A,2,1),"LC")</f>
        <v>LC</v>
      </c>
      <c r="T20450" s="7" t="str">
        <f>HYPERLINK("#Liste_rouge!A"&amp;_xlfn.XMATCH("LC",Liste_rouge!A:A,2,1),"LC")</f>
        <v>LC</v>
      </c>
      <c r="V20450" s="7" t="str">
        <f>HYPERLINK("#Liste_rouge!A"&amp;_xlfn.XMATCH("NT",Liste_rouge!A:A,2,1),"NT")</f>
        <v>NT</v>
      </c>
      <c r="W20450" s="4" t="str">
        <f>HYPERLINK("#Critères_liste_rouge!A$1","pr. A2c")</f>
        <v>pr. A2c</v>
      </c>
      <c r="AB20450" s="4" t="s">
        <v>25865</v>
      </c>
      <c r="AH20450" s="4" t="str">
        <f>HYPERLINK("#Statut_biogéographique!A"&amp;_xlfn.XMATCH("P",Statut_biogéographique!A:A,2,1),"P")</f>
        <v>P</v>
      </c>
      <c r="AM20450" s="4" t="s">
        <v>375</v>
      </c>
      <c r="AN20450" s="4" t="s">
        <v>375</v>
      </c>
      <c r="AO20450" s="4" t="s">
        <v>375</v>
      </c>
      <c r="AP20450" s="4" t="s">
        <v>376</v>
      </c>
      <c r="AR20450" s="4" t="s">
        <v>377</v>
      </c>
    </row>
    <row r="20451" spans="1:44" ht="75">
      <c r="A20451" s="4" t="s">
        <v>24364</v>
      </c>
      <c r="B20451" s="4">
        <v>111649</v>
      </c>
      <c r="D20451" s="5" t="s">
        <v>25866</v>
      </c>
      <c r="E20451" s="6" t="str">
        <f>HYPERLINK("https://inpn.mnhn.fr/espece/cd_nom/111649","Orobanche reticulata Wallr., 1825")</f>
        <v>Orobanche reticulata Wallr., 1825</v>
      </c>
      <c r="F20451" s="5" t="s">
        <v>25867</v>
      </c>
      <c r="Q20451" s="7" t="str">
        <f>HYPERLINK("#Liste_rouge!A"&amp;_xlfn.XMATCH("LC",Liste_rouge!A:A,2,1),"LC")</f>
        <v>LC</v>
      </c>
      <c r="V20451" s="7" t="str">
        <f>HYPERLINK("#Liste_rouge!A"&amp;_xlfn.XMATCH("NT",Liste_rouge!A:A,2,1),"NT")</f>
        <v>NT</v>
      </c>
      <c r="W20451" s="4" t="str">
        <f>HYPERLINK("#Critères_liste_rouge!A$1","pr. B2b(iii)")</f>
        <v>pr. B2b(iii)</v>
      </c>
      <c r="X20451" s="5" t="s">
        <v>374</v>
      </c>
      <c r="AB20451" s="4" t="s">
        <v>93</v>
      </c>
      <c r="AH20451" s="4" t="str">
        <f>HYPERLINK("#Statut_biogéographique!A"&amp;_xlfn.XMATCH("P",Statut_biogéographique!A:A,2,1),"P")</f>
        <v>P</v>
      </c>
      <c r="AM20451" s="4" t="s">
        <v>375</v>
      </c>
      <c r="AN20451" s="4" t="s">
        <v>375</v>
      </c>
      <c r="AO20451" s="4" t="s">
        <v>375</v>
      </c>
      <c r="AP20451" s="4" t="s">
        <v>376</v>
      </c>
      <c r="AR20451" s="4" t="s">
        <v>377</v>
      </c>
    </row>
    <row r="20452" spans="1:44" ht="30">
      <c r="A20452" s="4" t="s">
        <v>24364</v>
      </c>
      <c r="B20452" s="4">
        <v>111686</v>
      </c>
      <c r="D20452" s="5" t="s">
        <v>25868</v>
      </c>
      <c r="E20452" s="6" t="str">
        <f>HYPERLINK("https://inpn.mnhn.fr/espece/cd_nom/111686","Orobanche teucrii Holandre, 1829")</f>
        <v>Orobanche teucrii Holandre, 1829</v>
      </c>
      <c r="F20452" s="5" t="s">
        <v>25869</v>
      </c>
      <c r="Q20452" s="7" t="str">
        <f>HYPERLINK("#Liste_rouge!A"&amp;_xlfn.XMATCH("LC",Liste_rouge!A:A,2,1),"LC")</f>
        <v>LC</v>
      </c>
      <c r="T20452" s="7" t="str">
        <f>HYPERLINK("#Liste_rouge!A"&amp;_xlfn.XMATCH("LC",Liste_rouge!A:A,2,1),"LC")</f>
        <v>LC</v>
      </c>
      <c r="V20452" s="7" t="str">
        <f>HYPERLINK("#Liste_rouge!A"&amp;_xlfn.XMATCH("LC",Liste_rouge!A:A,2,1),"LC")</f>
        <v>LC</v>
      </c>
      <c r="AB20452" s="4" t="s">
        <v>24719</v>
      </c>
      <c r="AH20452" s="4" t="str">
        <f>HYPERLINK("#Statut_biogéographique!A"&amp;_xlfn.XMATCH("P",Statut_biogéographique!A:A,2,1),"P")</f>
        <v>P</v>
      </c>
      <c r="AM20452" s="4" t="s">
        <v>375</v>
      </c>
      <c r="AN20452" s="4" t="s">
        <v>375</v>
      </c>
      <c r="AO20452" s="4" t="s">
        <v>375</v>
      </c>
      <c r="AP20452" s="4" t="s">
        <v>376</v>
      </c>
      <c r="AR20452" s="4" t="s">
        <v>377</v>
      </c>
    </row>
    <row r="20453" spans="1:44" ht="45">
      <c r="A20453" s="4" t="s">
        <v>24364</v>
      </c>
      <c r="B20453" s="4">
        <v>111703</v>
      </c>
      <c r="D20453" s="5" t="s">
        <v>25870</v>
      </c>
      <c r="E20453" s="6" t="str">
        <f>HYPERLINK("https://inpn.mnhn.fr/espece/cd_nom/111703","Orobanche variegata Wallr., 1825")</f>
        <v>Orobanche variegata Wallr., 1825</v>
      </c>
      <c r="F20453" s="5" t="s">
        <v>25871</v>
      </c>
      <c r="AH20453" s="4" t="str">
        <f>HYPERLINK("#Statut_biogéographique!A"&amp;_xlfn.XMATCH("Q",Statut_biogéographique!A:A,2,1),"Q")</f>
        <v>Q</v>
      </c>
      <c r="AP20453" s="4" t="s">
        <v>376</v>
      </c>
      <c r="AR20453" s="4" t="s">
        <v>377</v>
      </c>
    </row>
    <row r="20454" spans="1:44" ht="60">
      <c r="A20454" s="4" t="s">
        <v>24364</v>
      </c>
      <c r="B20454" s="4">
        <v>111771</v>
      </c>
      <c r="D20454" s="5" t="s">
        <v>25872</v>
      </c>
      <c r="E20454" s="6" t="str">
        <f>HYPERLINK("https://inpn.mnhn.fr/espece/cd_nom/111771","Orthilia secunda (L.) House, 1921")</f>
        <v>Orthilia secunda (L.) House, 1921</v>
      </c>
      <c r="F20454" s="5" t="s">
        <v>25873</v>
      </c>
      <c r="Q20454" s="7" t="str">
        <f>HYPERLINK("#Liste_rouge!A"&amp;_xlfn.XMATCH("LC",Liste_rouge!A:A,2,1),"LC")</f>
        <v>LC</v>
      </c>
      <c r="T20454" s="7" t="str">
        <f>HYPERLINK("#Liste_rouge!A"&amp;_xlfn.XMATCH("NA",Liste_rouge!A:A,2,1),"NA")</f>
        <v>NA</v>
      </c>
      <c r="V20454" s="7" t="str">
        <f>HYPERLINK("#Liste_rouge!A"&amp;_xlfn.XMATCH("LC",Liste_rouge!A:A,2,1),"LC")</f>
        <v>LC</v>
      </c>
      <c r="AH20454" s="4" t="str">
        <f>HYPERLINK("#Statut_biogéographique!A"&amp;_xlfn.XMATCH("P",Statut_biogéographique!A:A,2,1),"P")</f>
        <v>P</v>
      </c>
      <c r="AM20454" s="4" t="s">
        <v>375</v>
      </c>
      <c r="AN20454" s="4" t="s">
        <v>375</v>
      </c>
      <c r="AO20454" s="4" t="s">
        <v>375</v>
      </c>
      <c r="AP20454" s="4" t="s">
        <v>376</v>
      </c>
      <c r="AR20454" s="4" t="s">
        <v>377</v>
      </c>
    </row>
    <row r="20455" spans="1:44" ht="45">
      <c r="A20455" s="4" t="s">
        <v>24364</v>
      </c>
      <c r="B20455" s="4">
        <v>111815</v>
      </c>
      <c r="D20455" s="5" t="s">
        <v>25874</v>
      </c>
      <c r="E20455" s="6" t="str">
        <f>HYPERLINK("https://inpn.mnhn.fr/espece/cd_nom/111815","Osmunda regalis L., 1753")</f>
        <v>Osmunda regalis L., 1753</v>
      </c>
      <c r="F20455" s="5" t="s">
        <v>25875</v>
      </c>
      <c r="M20455" s="4" t="str">
        <f>HYPERLINK("#Réglementation!A"&amp;_xlfn.XMATCH("RV26",Réglementation!A:A,2,1),"RV26 - RV43")</f>
        <v>RV26 - RV43</v>
      </c>
      <c r="O20455" s="7" t="str">
        <f>HYPERLINK("#Liste_rouge!A"&amp;_xlfn.XMATCH("LC",Liste_rouge!A:A,2,1),"LC")</f>
        <v>LC</v>
      </c>
      <c r="P20455" s="7" t="str">
        <f>HYPERLINK("#Liste_rouge!A"&amp;_xlfn.XMATCH("LC",Liste_rouge!A:A,2,1),"LC")</f>
        <v>LC</v>
      </c>
      <c r="Q20455" s="7" t="str">
        <f>HYPERLINK("#Liste_rouge!A"&amp;_xlfn.XMATCH("LC",Liste_rouge!A:A,2,1),"LC")</f>
        <v>LC</v>
      </c>
      <c r="T20455" s="7" t="str">
        <f>HYPERLINK("#Liste_rouge!A"&amp;_xlfn.XMATCH("VU",Liste_rouge!A:A,2,1),"VU")</f>
        <v>VU</v>
      </c>
      <c r="U20455" s="4" t="str">
        <f>HYPERLINK("#Critères_liste_rouge!A$1","EN (B2ab(ii,iii,iv)) - 1")</f>
        <v>EN (B2ab(ii,iii,iv)) - 1</v>
      </c>
      <c r="V20455" s="7" t="str">
        <f>HYPERLINK("#Liste_rouge!A"&amp;_xlfn.XMATCH("LC",Liste_rouge!A:A,2,1),"LC")</f>
        <v>LC</v>
      </c>
      <c r="X20455" s="5" t="s">
        <v>374</v>
      </c>
      <c r="AB20455" s="4" t="s">
        <v>93</v>
      </c>
      <c r="AH20455" s="4" t="str">
        <f>HYPERLINK("#Statut_biogéographique!A"&amp;_xlfn.XMATCH("P",Statut_biogéographique!A:A,2,1),"P")</f>
        <v>P</v>
      </c>
      <c r="AM20455" s="4" t="s">
        <v>375</v>
      </c>
      <c r="AN20455" s="4" t="s">
        <v>375</v>
      </c>
      <c r="AO20455" s="4" t="s">
        <v>375</v>
      </c>
      <c r="AP20455" s="4" t="s">
        <v>376</v>
      </c>
      <c r="AR20455" s="4" t="s">
        <v>377</v>
      </c>
    </row>
    <row r="20456" spans="1:44" ht="45">
      <c r="A20456" s="4" t="s">
        <v>24364</v>
      </c>
      <c r="B20456" s="4">
        <v>111859</v>
      </c>
      <c r="D20456" s="5" t="s">
        <v>25876</v>
      </c>
      <c r="E20456" s="6" t="str">
        <f>HYPERLINK("https://inpn.mnhn.fr/espece/cd_nom/111859","Oxalis acetosella L., 1753")</f>
        <v>Oxalis acetosella L., 1753</v>
      </c>
      <c r="F20456" s="5" t="s">
        <v>25877</v>
      </c>
      <c r="Q20456" s="7" t="str">
        <f>HYPERLINK("#Liste_rouge!A"&amp;_xlfn.XMATCH("LC",Liste_rouge!A:A,2,1),"LC")</f>
        <v>LC</v>
      </c>
      <c r="T20456" s="7" t="str">
        <f>HYPERLINK("#Liste_rouge!A"&amp;_xlfn.XMATCH("LC",Liste_rouge!A:A,2,1),"LC")</f>
        <v>LC</v>
      </c>
      <c r="V20456" s="7" t="str">
        <f>HYPERLINK("#Liste_rouge!A"&amp;_xlfn.XMATCH("LC",Liste_rouge!A:A,2,1),"LC")</f>
        <v>LC</v>
      </c>
      <c r="AH20456" s="4" t="str">
        <f>HYPERLINK("#Statut_biogéographique!A"&amp;_xlfn.XMATCH("P",Statut_biogéographique!A:A,2,1),"P")</f>
        <v>P</v>
      </c>
      <c r="AM20456" s="4" t="s">
        <v>375</v>
      </c>
      <c r="AN20456" s="4" t="s">
        <v>375</v>
      </c>
      <c r="AO20456" s="4" t="s">
        <v>375</v>
      </c>
      <c r="AP20456" s="4" t="s">
        <v>376</v>
      </c>
      <c r="AR20456" s="4" t="s">
        <v>377</v>
      </c>
    </row>
    <row r="20457" spans="1:44" ht="75">
      <c r="A20457" s="4" t="s">
        <v>24364</v>
      </c>
      <c r="B20457" s="4">
        <v>111876</v>
      </c>
      <c r="D20457" s="5" t="s">
        <v>25878</v>
      </c>
      <c r="E20457" s="6" t="str">
        <f>HYPERLINK("https://inpn.mnhn.fr/espece/cd_nom/111876","Oxalis corniculata L., 1753")</f>
        <v>Oxalis corniculata L., 1753</v>
      </c>
      <c r="F20457" s="5" t="s">
        <v>25879</v>
      </c>
      <c r="Q20457" s="7" t="str">
        <f>HYPERLINK("#Liste_rouge!A"&amp;_xlfn.XMATCH("LC",Liste_rouge!A:A,2,1),"LC")</f>
        <v>LC</v>
      </c>
      <c r="T20457" s="7" t="str">
        <f>HYPERLINK("#Liste_rouge!A"&amp;_xlfn.XMATCH("NA",Liste_rouge!A:A,2,1),"NA")</f>
        <v>NA</v>
      </c>
      <c r="AH20457" s="4" t="str">
        <f>HYPERLINK("#Statut_biogéographique!A"&amp;_xlfn.XMATCH("P",Statut_biogéographique!A:A,2,1),"P")</f>
        <v>P</v>
      </c>
      <c r="AM20457" s="4" t="s">
        <v>375</v>
      </c>
      <c r="AN20457" s="4" t="s">
        <v>375</v>
      </c>
      <c r="AO20457" s="4" t="s">
        <v>375</v>
      </c>
      <c r="AP20457" s="4" t="s">
        <v>376</v>
      </c>
      <c r="AR20457" s="4" t="s">
        <v>377</v>
      </c>
    </row>
    <row r="20458" spans="1:44" ht="45">
      <c r="A20458" s="4" t="s">
        <v>24364</v>
      </c>
      <c r="B20458" s="4">
        <v>111881</v>
      </c>
      <c r="D20458" s="5" t="s">
        <v>25880</v>
      </c>
      <c r="E20458" s="6" t="str">
        <f>HYPERLINK("https://inpn.mnhn.fr/espece/cd_nom/111881","Oxalis dillenii Jacq., 1794")</f>
        <v>Oxalis dillenii Jacq., 1794</v>
      </c>
      <c r="F20458" s="5" t="s">
        <v>25881</v>
      </c>
      <c r="Q20458" s="7" t="str">
        <f>HYPERLINK("#Liste_rouge!A"&amp;_xlfn.XMATCH("NA",Liste_rouge!A:A,2,1),"NA")</f>
        <v>NA</v>
      </c>
      <c r="T20458" s="7" t="str">
        <f>HYPERLINK("#Liste_rouge!A"&amp;_xlfn.XMATCH("NA",Liste_rouge!A:A,2,1),"NA")</f>
        <v>NA</v>
      </c>
      <c r="AH20458" s="4" t="str">
        <f>HYPERLINK("#Statut_biogéographique!A"&amp;_xlfn.XMATCH("I",Statut_biogéographique!A:A,2,1),"I")</f>
        <v>I</v>
      </c>
      <c r="AM20458" s="4" t="s">
        <v>375</v>
      </c>
      <c r="AN20458" s="4" t="s">
        <v>375</v>
      </c>
      <c r="AO20458" s="4" t="s">
        <v>375</v>
      </c>
      <c r="AP20458" s="4" t="s">
        <v>376</v>
      </c>
      <c r="AR20458" s="4" t="s">
        <v>377</v>
      </c>
    </row>
    <row r="20459" spans="1:44" ht="105">
      <c r="A20459" s="4" t="s">
        <v>24364</v>
      </c>
      <c r="B20459" s="4">
        <v>111921</v>
      </c>
      <c r="D20459" s="5" t="s">
        <v>25882</v>
      </c>
      <c r="E20459" s="6" t="str">
        <f>HYPERLINK("https://inpn.mnhn.fr/espece/cd_nom/111921","Oxalis stricta L., 1753")</f>
        <v>Oxalis stricta L., 1753</v>
      </c>
      <c r="F20459" s="5" t="s">
        <v>25883</v>
      </c>
      <c r="Q20459" s="7" t="str">
        <f>HYPERLINK("#Liste_rouge!A"&amp;_xlfn.XMATCH("NA",Liste_rouge!A:A,2,1),"NA")</f>
        <v>NA</v>
      </c>
      <c r="T20459" s="7" t="str">
        <f>HYPERLINK("#Liste_rouge!A"&amp;_xlfn.XMATCH("NA",Liste_rouge!A:A,2,1),"NA")</f>
        <v>NA</v>
      </c>
      <c r="AH20459" s="4" t="str">
        <f>HYPERLINK("#Statut_biogéographique!A"&amp;_xlfn.XMATCH("I",Statut_biogéographique!A:A,2,1),"I")</f>
        <v>I</v>
      </c>
      <c r="AM20459" s="4" t="s">
        <v>375</v>
      </c>
      <c r="AN20459" s="4" t="s">
        <v>375</v>
      </c>
      <c r="AO20459" s="4" t="s">
        <v>375</v>
      </c>
      <c r="AP20459" s="4" t="s">
        <v>376</v>
      </c>
      <c r="AR20459" s="4" t="s">
        <v>377</v>
      </c>
    </row>
    <row r="20460" spans="1:44" ht="30">
      <c r="A20460" s="4" t="s">
        <v>24364</v>
      </c>
      <c r="B20460" s="4">
        <v>111986</v>
      </c>
      <c r="D20460" s="5" t="s">
        <v>25884</v>
      </c>
      <c r="E20460" s="6" t="str">
        <f>HYPERLINK("https://inpn.mnhn.fr/espece/cd_nom/111986","Oxytropis jacquinii Bunge, 1847")</f>
        <v>Oxytropis jacquinii Bunge, 1847</v>
      </c>
      <c r="F20460" s="5" t="s">
        <v>25885</v>
      </c>
      <c r="Q20460" s="7" t="str">
        <f>HYPERLINK("#Liste_rouge!A"&amp;_xlfn.XMATCH("LC",Liste_rouge!A:A,2,1),"LC")</f>
        <v>LC</v>
      </c>
      <c r="V20460" s="7" t="str">
        <f>HYPERLINK("#Liste_rouge!A"&amp;_xlfn.XMATCH("RE",Liste_rouge!A:A,2,1),"RE")</f>
        <v>RE</v>
      </c>
      <c r="AH20460" s="4" t="str">
        <f>HYPERLINK("#Statut_biogéographique!A"&amp;_xlfn.XMATCH("P",Statut_biogéographique!A:A,2,1),"P")</f>
        <v>P</v>
      </c>
      <c r="AM20460" s="4" t="s">
        <v>375</v>
      </c>
      <c r="AN20460" s="4" t="s">
        <v>375</v>
      </c>
      <c r="AO20460" s="4" t="s">
        <v>375</v>
      </c>
      <c r="AP20460" s="4" t="s">
        <v>376</v>
      </c>
      <c r="AR20460" s="4" t="s">
        <v>377</v>
      </c>
    </row>
    <row r="20461" spans="1:44" ht="45">
      <c r="A20461" s="4" t="s">
        <v>24364</v>
      </c>
      <c r="B20461" s="4">
        <v>112038</v>
      </c>
      <c r="D20461" s="5" t="s">
        <v>25886</v>
      </c>
      <c r="E20461" s="6" t="str">
        <f>HYPERLINK("https://inpn.mnhn.fr/espece/cd_nom/112038","Paeonia mascula (L.) Mill., 1768")</f>
        <v>Paeonia mascula (L.) Mill., 1768</v>
      </c>
      <c r="F20461" s="5" t="s">
        <v>25887</v>
      </c>
      <c r="L20461" s="4" t="str">
        <f>HYPERLINK("#Réglementation!A"&amp;_xlfn.XMATCH("NV2",Réglementation!A:A,2,1),"NV2 - NV3")</f>
        <v>NV2 - NV3</v>
      </c>
      <c r="P20461" s="7" t="str">
        <f>HYPERLINK("#Liste_rouge!A"&amp;_xlfn.XMATCH("LC",Liste_rouge!A:A,2,1),"LC")</f>
        <v>LC</v>
      </c>
      <c r="Q20461" s="7" t="str">
        <f>HYPERLINK("#Liste_rouge!A"&amp;_xlfn.XMATCH("VU",Liste_rouge!A:A,2,1),"VU")</f>
        <v>VU</v>
      </c>
      <c r="T20461" s="7" t="str">
        <f>HYPERLINK("#Liste_rouge!A"&amp;_xlfn.XMATCH("EN",Liste_rouge!A:A,2,1),"EN")</f>
        <v>EN</v>
      </c>
      <c r="U20461" s="4" t="str">
        <f>HYPERLINK("#Critères_liste_rouge!A$1","B1 B2ab(iii,v)")</f>
        <v>B1 B2ab(iii,v)</v>
      </c>
      <c r="X20461" s="5" t="s">
        <v>374</v>
      </c>
      <c r="AB20461" s="4" t="s">
        <v>93</v>
      </c>
      <c r="AH20461" s="4" t="str">
        <f>HYPERLINK("#Statut_biogéographique!A"&amp;_xlfn.XMATCH("P",Statut_biogéographique!A:A,2,1),"P")</f>
        <v>P</v>
      </c>
      <c r="AM20461" s="4" t="s">
        <v>375</v>
      </c>
      <c r="AN20461" s="4" t="s">
        <v>375</v>
      </c>
      <c r="AO20461" s="4" t="s">
        <v>375</v>
      </c>
      <c r="AP20461" s="4" t="s">
        <v>389</v>
      </c>
      <c r="AR20461" s="4" t="s">
        <v>377</v>
      </c>
    </row>
    <row r="20462" spans="1:44" ht="30">
      <c r="A20462" s="4" t="s">
        <v>24364</v>
      </c>
      <c r="B20462" s="4">
        <v>112061</v>
      </c>
      <c r="D20462" s="5" t="s">
        <v>25888</v>
      </c>
      <c r="E20462" s="6" t="str">
        <f>HYPERLINK("https://inpn.mnhn.fr/espece/cd_nom/112061","Paliurus spina-christi Mill., 1768")</f>
        <v>Paliurus spina-christi Mill., 1768</v>
      </c>
      <c r="F20462" s="5" t="s">
        <v>25889</v>
      </c>
      <c r="Q20462" s="7" t="str">
        <f>HYPERLINK("#Liste_rouge!A"&amp;_xlfn.XMATCH("LC",Liste_rouge!A:A,2,1),"LC")</f>
        <v>LC</v>
      </c>
      <c r="T20462" s="7" t="str">
        <f>HYPERLINK("#Liste_rouge!A"&amp;_xlfn.XMATCH("NA",Liste_rouge!A:A,2,1),"NA")</f>
        <v>NA</v>
      </c>
      <c r="AH20462" s="4" t="str">
        <f>HYPERLINK("#Statut_biogéographique!A"&amp;_xlfn.XMATCH("P",Statut_biogéographique!A:A,2,1),"P")</f>
        <v>P</v>
      </c>
      <c r="AP20462" s="4" t="s">
        <v>376</v>
      </c>
      <c r="AR20462" s="4" t="s">
        <v>377</v>
      </c>
    </row>
    <row r="20463" spans="1:44" ht="30">
      <c r="A20463" s="4" t="s">
        <v>24364</v>
      </c>
      <c r="B20463" s="4">
        <v>112100</v>
      </c>
      <c r="D20463" s="5" t="s">
        <v>25890</v>
      </c>
      <c r="E20463" s="6" t="str">
        <f>HYPERLINK("https://inpn.mnhn.fr/espece/cd_nom/112100","Panicum barbipulvinatum Nash, 1900")</f>
        <v>Panicum barbipulvinatum Nash, 1900</v>
      </c>
      <c r="F20463" s="5" t="s">
        <v>25891</v>
      </c>
      <c r="AH20463" s="4" t="str">
        <f>HYPERLINK("#Statut_biogéographique!A"&amp;_xlfn.XMATCH("I",Statut_biogéographique!A:A,2,1),"I")</f>
        <v>I</v>
      </c>
      <c r="AP20463" s="4" t="s">
        <v>376</v>
      </c>
      <c r="AR20463" s="4" t="s">
        <v>377</v>
      </c>
    </row>
    <row r="20464" spans="1:44" ht="30">
      <c r="A20464" s="4" t="s">
        <v>24364</v>
      </c>
      <c r="B20464" s="4">
        <v>112111</v>
      </c>
      <c r="D20464" s="5" t="s">
        <v>25892</v>
      </c>
      <c r="E20464" s="6" t="str">
        <f>HYPERLINK("https://inpn.mnhn.fr/espece/cd_nom/112111","Panicum capillare L., 1753")</f>
        <v>Panicum capillare L., 1753</v>
      </c>
      <c r="F20464" s="5" t="s">
        <v>25893</v>
      </c>
      <c r="Q20464" s="7" t="str">
        <f>HYPERLINK("#Liste_rouge!A"&amp;_xlfn.XMATCH("NA",Liste_rouge!A:A,2,1),"NA")</f>
        <v>NA</v>
      </c>
      <c r="T20464" s="7" t="str">
        <f>HYPERLINK("#Liste_rouge!A"&amp;_xlfn.XMATCH("NA",Liste_rouge!A:A,2,1),"NA")</f>
        <v>NA</v>
      </c>
      <c r="AH20464" s="4" t="str">
        <f>HYPERLINK("#Statut_biogéographique!A"&amp;_xlfn.XMATCH("I",Statut_biogéographique!A:A,2,1),"I")</f>
        <v>I</v>
      </c>
      <c r="AM20464" s="4" t="s">
        <v>375</v>
      </c>
      <c r="AN20464" s="4" t="s">
        <v>375</v>
      </c>
      <c r="AO20464" s="4" t="s">
        <v>375</v>
      </c>
      <c r="AP20464" s="4" t="s">
        <v>376</v>
      </c>
      <c r="AR20464" s="4" t="s">
        <v>377</v>
      </c>
    </row>
    <row r="20465" spans="1:44" ht="60">
      <c r="A20465" s="4" t="s">
        <v>24364</v>
      </c>
      <c r="B20465" s="4">
        <v>112130</v>
      </c>
      <c r="D20465" s="5" t="s">
        <v>25894</v>
      </c>
      <c r="E20465" s="6" t="str">
        <f>HYPERLINK("https://inpn.mnhn.fr/espece/cd_nom/112130","Panicum dichotomiflorum Michx., 1803")</f>
        <v>Panicum dichotomiflorum Michx., 1803</v>
      </c>
      <c r="F20465" s="5" t="s">
        <v>25895</v>
      </c>
      <c r="Q20465" s="7" t="str">
        <f>HYPERLINK("#Liste_rouge!A"&amp;_xlfn.XMATCH("NA",Liste_rouge!A:A,2,1),"NA")</f>
        <v>NA</v>
      </c>
      <c r="T20465" s="7" t="str">
        <f>HYPERLINK("#Liste_rouge!A"&amp;_xlfn.XMATCH("NA",Liste_rouge!A:A,2,1),"NA")</f>
        <v>NA</v>
      </c>
      <c r="AH20465" s="4" t="str">
        <f>HYPERLINK("#Statut_biogéographique!A"&amp;_xlfn.XMATCH("I",Statut_biogéographique!A:A,2,1),"I")</f>
        <v>I</v>
      </c>
      <c r="AM20465" s="4" t="s">
        <v>375</v>
      </c>
      <c r="AN20465" s="4" t="s">
        <v>375</v>
      </c>
      <c r="AO20465" s="4" t="s">
        <v>375</v>
      </c>
      <c r="AP20465" s="4" t="s">
        <v>376</v>
      </c>
      <c r="AR20465" s="4" t="s">
        <v>377</v>
      </c>
    </row>
    <row r="20466" spans="1:44" ht="30">
      <c r="A20466" s="4" t="s">
        <v>24364</v>
      </c>
      <c r="B20466" s="4">
        <v>112195</v>
      </c>
      <c r="D20466" s="5" t="s">
        <v>25896</v>
      </c>
      <c r="E20466" s="6" t="str">
        <f>HYPERLINK("https://inpn.mnhn.fr/espece/cd_nom/112195","Panicum miliaceum L., 1753")</f>
        <v>Panicum miliaceum L., 1753</v>
      </c>
      <c r="F20466" s="5" t="s">
        <v>25897</v>
      </c>
      <c r="Q20466" s="7" t="str">
        <f>HYPERLINK("#Liste_rouge!A"&amp;_xlfn.XMATCH("NA",Liste_rouge!A:A,2,1),"NA")</f>
        <v>NA</v>
      </c>
      <c r="T20466" s="7" t="str">
        <f>HYPERLINK("#Liste_rouge!A"&amp;_xlfn.XMATCH("NA",Liste_rouge!A:A,2,1),"NA")</f>
        <v>NA</v>
      </c>
      <c r="AH20466" s="4" t="str">
        <f>HYPERLINK("#Statut_biogéographique!A"&amp;_xlfn.XMATCH("I",Statut_biogéographique!A:A,2,1),"I")</f>
        <v>I</v>
      </c>
      <c r="AM20466" s="4" t="s">
        <v>375</v>
      </c>
      <c r="AN20466" s="4" t="s">
        <v>375</v>
      </c>
      <c r="AO20466" s="4" t="s">
        <v>375</v>
      </c>
      <c r="AP20466" s="4" t="s">
        <v>376</v>
      </c>
      <c r="AR20466" s="4" t="s">
        <v>377</v>
      </c>
    </row>
    <row r="20467" spans="1:44" ht="30">
      <c r="A20467" s="4" t="s">
        <v>24364</v>
      </c>
      <c r="B20467" s="4">
        <v>112259</v>
      </c>
      <c r="D20467" s="5" t="s">
        <v>25898</v>
      </c>
      <c r="E20467" s="6" t="str">
        <f>HYPERLINK("https://inpn.mnhn.fr/espece/cd_nom/112259","Panicum virgatum L., 1753")</f>
        <v>Panicum virgatum L., 1753</v>
      </c>
      <c r="F20467" s="5" t="s">
        <v>25899</v>
      </c>
      <c r="Q20467" s="7" t="str">
        <f>HYPERLINK("#Liste_rouge!A"&amp;_xlfn.XMATCH("NA",Liste_rouge!A:A,2,1),"NA")</f>
        <v>NA</v>
      </c>
      <c r="T20467" s="7" t="str">
        <f>HYPERLINK("#Liste_rouge!A"&amp;_xlfn.XMATCH("NA",Liste_rouge!A:A,2,1),"NA")</f>
        <v>NA</v>
      </c>
      <c r="AH20467" s="4" t="str">
        <f>HYPERLINK("#Statut_biogéographique!A"&amp;_xlfn.XMATCH("M",Statut_biogéographique!A:A,2,1),"M")</f>
        <v>M</v>
      </c>
      <c r="AP20467" s="4" t="s">
        <v>376</v>
      </c>
      <c r="AR20467" s="4" t="s">
        <v>377</v>
      </c>
    </row>
    <row r="20468" spans="1:44" ht="30">
      <c r="A20468" s="4" t="s">
        <v>24364</v>
      </c>
      <c r="B20468" s="4">
        <v>112284</v>
      </c>
      <c r="D20468" s="5" t="s">
        <v>25900</v>
      </c>
      <c r="E20468" s="6" t="str">
        <f>HYPERLINK("https://inpn.mnhn.fr/espece/cd_nom/112284","Papaver apulum Ten., 1826")</f>
        <v>Papaver apulum Ten., 1826</v>
      </c>
      <c r="F20468" s="5" t="s">
        <v>25901</v>
      </c>
      <c r="T20468" s="7" t="str">
        <f>HYPERLINK("#Liste_rouge!A"&amp;_xlfn.XMATCH("NA",Liste_rouge!A:A,2,1),"NA")</f>
        <v>NA</v>
      </c>
      <c r="AH20468" s="4" t="str">
        <f>HYPERLINK("#Statut_biogéographique!A"&amp;_xlfn.XMATCH("M",Statut_biogéographique!A:A,2,1),"M")</f>
        <v>M</v>
      </c>
      <c r="AP20468" s="4" t="s">
        <v>376</v>
      </c>
      <c r="AR20468" s="4" t="s">
        <v>377</v>
      </c>
    </row>
    <row r="20469" spans="1:44" ht="60">
      <c r="A20469" s="4" t="s">
        <v>24364</v>
      </c>
      <c r="B20469" s="4">
        <v>112285</v>
      </c>
      <c r="D20469" s="5" t="s">
        <v>25902</v>
      </c>
      <c r="E20469" s="6" t="str">
        <f>HYPERLINK("https://inpn.mnhn.fr/espece/cd_nom/112285","Papaver argemone L., 1753")</f>
        <v>Papaver argemone L., 1753</v>
      </c>
      <c r="F20469" s="5" t="s">
        <v>25903</v>
      </c>
      <c r="Q20469" s="7" t="str">
        <f>HYPERLINK("#Liste_rouge!A"&amp;_xlfn.XMATCH("LC",Liste_rouge!A:A,2,1),"LC")</f>
        <v>LC</v>
      </c>
      <c r="T20469" s="7" t="str">
        <f>HYPERLINK("#Liste_rouge!A"&amp;_xlfn.XMATCH("LC",Liste_rouge!A:A,2,1),"LC")</f>
        <v>LC</v>
      </c>
      <c r="V20469" s="7" t="str">
        <f>HYPERLINK("#Liste_rouge!A"&amp;_xlfn.XMATCH("LC",Liste_rouge!A:A,2,1),"LC")</f>
        <v>LC</v>
      </c>
      <c r="AB20469" s="4" t="s">
        <v>25106</v>
      </c>
      <c r="AH20469" s="4" t="str">
        <f>HYPERLINK("#Statut_biogéographique!A"&amp;_xlfn.XMATCH("P",Statut_biogéographique!A:A,2,1),"P")</f>
        <v>P</v>
      </c>
      <c r="AI20469" s="8" t="s">
        <v>25904</v>
      </c>
      <c r="AJ20469" s="4" t="s">
        <v>12248</v>
      </c>
      <c r="AM20469" s="4" t="s">
        <v>375</v>
      </c>
      <c r="AN20469" s="4" t="s">
        <v>375</v>
      </c>
      <c r="AO20469" s="4" t="s">
        <v>375</v>
      </c>
      <c r="AP20469" s="4" t="s">
        <v>376</v>
      </c>
      <c r="AR20469" s="4" t="s">
        <v>377</v>
      </c>
    </row>
    <row r="20470" spans="1:44" ht="45">
      <c r="A20470" s="4" t="s">
        <v>24364</v>
      </c>
      <c r="B20470" s="4">
        <v>112293</v>
      </c>
      <c r="D20470" s="5" t="s">
        <v>25905</v>
      </c>
      <c r="E20470" s="6" t="str">
        <f>HYPERLINK("https://inpn.mnhn.fr/espece/cd_nom/112293","Papaver cambricum L., 1753")</f>
        <v>Papaver cambricum L., 1753</v>
      </c>
      <c r="F20470" s="5" t="s">
        <v>25906</v>
      </c>
      <c r="M20470" s="4" t="str">
        <f>HYPERLINK("#Réglementation!A"&amp;_xlfn.XMATCH("RV26",Réglementation!A:A,2,1),"RV26")</f>
        <v>RV26</v>
      </c>
      <c r="Q20470" s="7" t="str">
        <f>HYPERLINK("#Liste_rouge!A"&amp;_xlfn.XMATCH("LC",Liste_rouge!A:A,2,1),"LC")</f>
        <v>LC</v>
      </c>
      <c r="T20470" s="7" t="str">
        <f>HYPERLINK("#Liste_rouge!A"&amp;_xlfn.XMATCH("EN",Liste_rouge!A:A,2,1),"EN")</f>
        <v>EN</v>
      </c>
      <c r="U20470" s="4" t="str">
        <f>HYPERLINK("#Critères_liste_rouge!A$1","B2ab(ii,iii,iv)")</f>
        <v>B2ab(ii,iii,iv)</v>
      </c>
      <c r="AB20470" s="4" t="s">
        <v>25127</v>
      </c>
      <c r="AH20470" s="4" t="str">
        <f>HYPERLINK("#Statut_biogéographique!A"&amp;_xlfn.XMATCH("P",Statut_biogéographique!A:A,2,1),"P")</f>
        <v>P</v>
      </c>
      <c r="AM20470" s="4" t="s">
        <v>375</v>
      </c>
      <c r="AN20470" s="4" t="s">
        <v>375</v>
      </c>
      <c r="AO20470" s="4" t="s">
        <v>375</v>
      </c>
      <c r="AP20470" s="4" t="s">
        <v>376</v>
      </c>
      <c r="AR20470" s="4" t="s">
        <v>377</v>
      </c>
    </row>
    <row r="20471" spans="1:44" ht="105">
      <c r="A20471" s="4" t="s">
        <v>24364</v>
      </c>
      <c r="B20471" s="4">
        <v>112303</v>
      </c>
      <c r="D20471" s="5" t="s">
        <v>25907</v>
      </c>
      <c r="E20471" s="6" t="str">
        <f>HYPERLINK("https://inpn.mnhn.fr/espece/cd_nom/112303","Papaver dubium L., 1753")</f>
        <v>Papaver dubium L., 1753</v>
      </c>
      <c r="F20471" s="5" t="s">
        <v>25908</v>
      </c>
      <c r="Q20471" s="7" t="str">
        <f>HYPERLINK("#Liste_rouge!A"&amp;_xlfn.XMATCH("LC",Liste_rouge!A:A,2,1),"LC")</f>
        <v>LC</v>
      </c>
      <c r="T20471" s="7" t="str">
        <f>HYPERLINK("#Liste_rouge!A"&amp;_xlfn.XMATCH("LC",Liste_rouge!A:A,2,1),"LC")</f>
        <v>LC</v>
      </c>
      <c r="V20471" s="7" t="str">
        <f>HYPERLINK("#Liste_rouge!A"&amp;_xlfn.XMATCH("LC",Liste_rouge!A:A,2,1),"LC")</f>
        <v>LC</v>
      </c>
      <c r="AH20471" s="4" t="str">
        <f>HYPERLINK("#Statut_biogéographique!A"&amp;_xlfn.XMATCH("P",Statut_biogéographique!A:A,2,1),"P")</f>
        <v>P</v>
      </c>
      <c r="AM20471" s="4" t="s">
        <v>375</v>
      </c>
      <c r="AN20471" s="4" t="s">
        <v>375</v>
      </c>
      <c r="AO20471" s="4" t="s">
        <v>375</v>
      </c>
      <c r="AP20471" s="4" t="s">
        <v>376</v>
      </c>
      <c r="AR20471" s="4" t="s">
        <v>377</v>
      </c>
    </row>
    <row r="20472" spans="1:44" ht="30">
      <c r="A20472" s="4" t="s">
        <v>24364</v>
      </c>
      <c r="B20472" s="4">
        <v>112319</v>
      </c>
      <c r="D20472" s="5" t="s">
        <v>25909</v>
      </c>
      <c r="E20472" s="6" t="str">
        <f>HYPERLINK("https://inpn.mnhn.fr/espece/cd_nom/112319","Papaver hybridum L., 1753")</f>
        <v>Papaver hybridum L., 1753</v>
      </c>
      <c r="F20472" s="5" t="s">
        <v>25910</v>
      </c>
      <c r="Q20472" s="7" t="str">
        <f>HYPERLINK("#Liste_rouge!A"&amp;_xlfn.XMATCH("LC",Liste_rouge!A:A,2,1),"LC")</f>
        <v>LC</v>
      </c>
      <c r="T20472" s="7" t="str">
        <f>HYPERLINK("#Liste_rouge!A"&amp;_xlfn.XMATCH("EN",Liste_rouge!A:A,2,1),"EN")</f>
        <v>EN</v>
      </c>
      <c r="U20472" s="4" t="str">
        <f>HYPERLINK("#Critères_liste_rouge!A$1","B2ac(iii,iv)")</f>
        <v>B2ac(iii,iv)</v>
      </c>
      <c r="X20472" s="5" t="s">
        <v>374</v>
      </c>
      <c r="AB20472" s="4" t="s">
        <v>93</v>
      </c>
      <c r="AH20472" s="4" t="str">
        <f>HYPERLINK("#Statut_biogéographique!A"&amp;_xlfn.XMATCH("P",Statut_biogéographique!A:A,2,1),"P")</f>
        <v>P</v>
      </c>
      <c r="AI20472" s="8" t="s">
        <v>25911</v>
      </c>
      <c r="AJ20472" s="4" t="s">
        <v>12248</v>
      </c>
      <c r="AM20472" s="4" t="s">
        <v>375</v>
      </c>
      <c r="AN20472" s="4" t="s">
        <v>375</v>
      </c>
      <c r="AO20472" s="4" t="s">
        <v>375</v>
      </c>
      <c r="AP20472" s="4" t="s">
        <v>376</v>
      </c>
      <c r="AR20472" s="4" t="s">
        <v>377</v>
      </c>
    </row>
    <row r="20473" spans="1:44" ht="195">
      <c r="A20473" s="4" t="s">
        <v>24364</v>
      </c>
      <c r="B20473" s="4">
        <v>112355</v>
      </c>
      <c r="D20473" s="5" t="s">
        <v>25912</v>
      </c>
      <c r="E20473" s="6" t="str">
        <f>HYPERLINK("https://inpn.mnhn.fr/espece/cd_nom/112355","Papaver rhoeas L., 1753")</f>
        <v>Papaver rhoeas L., 1753</v>
      </c>
      <c r="F20473" s="5" t="s">
        <v>25913</v>
      </c>
      <c r="P20473" s="7" t="str">
        <f>HYPERLINK("#Liste_rouge!A"&amp;_xlfn.XMATCH("LC",Liste_rouge!A:A,2,1),"LC")</f>
        <v>LC</v>
      </c>
      <c r="Q20473" s="7" t="str">
        <f>HYPERLINK("#Liste_rouge!A"&amp;_xlfn.XMATCH("LC",Liste_rouge!A:A,2,1),"LC")</f>
        <v>LC</v>
      </c>
      <c r="T20473" s="7" t="str">
        <f>HYPERLINK("#Liste_rouge!A"&amp;_xlfn.XMATCH("LC",Liste_rouge!A:A,2,1),"LC (cd_nom 112355) - DD (cd_nom 149250) - NE (cd_nom 620094)")</f>
        <v>LC (cd_nom 112355) - DD (cd_nom 149250) - NE (cd_nom 620094)</v>
      </c>
      <c r="V20473" s="7" t="str">
        <f>HYPERLINK("#Liste_rouge!A"&amp;_xlfn.XMATCH("LC",Liste_rouge!A:A,2,1),"LC")</f>
        <v>LC</v>
      </c>
      <c r="AH20473" s="4" t="str">
        <f>HYPERLINK("#Statut_biogéographique!A"&amp;_xlfn.XMATCH("P",Statut_biogéographique!A:A,2,1),"P")</f>
        <v>P</v>
      </c>
      <c r="AI20473" s="8" t="s">
        <v>25914</v>
      </c>
      <c r="AJ20473" s="4" t="s">
        <v>12248</v>
      </c>
      <c r="AM20473" s="4" t="s">
        <v>375</v>
      </c>
      <c r="AN20473" s="4" t="s">
        <v>375</v>
      </c>
      <c r="AO20473" s="4" t="s">
        <v>375</v>
      </c>
      <c r="AP20473" s="4" t="s">
        <v>376</v>
      </c>
      <c r="AR20473" s="4" t="s">
        <v>377</v>
      </c>
    </row>
    <row r="20474" spans="1:44" ht="75">
      <c r="A20474" s="4" t="s">
        <v>24364</v>
      </c>
      <c r="B20474" s="4">
        <v>112364</v>
      </c>
      <c r="D20474" s="5" t="s">
        <v>25915</v>
      </c>
      <c r="E20474" s="6" t="str">
        <f>HYPERLINK("https://inpn.mnhn.fr/espece/cd_nom/112364","Papaver somniferum L., 1753")</f>
        <v>Papaver somniferum L., 1753</v>
      </c>
      <c r="F20474" s="5" t="s">
        <v>25916</v>
      </c>
      <c r="P20474" s="7" t="str">
        <f>HYPERLINK("#Liste_rouge!A"&amp;_xlfn.XMATCH("LC",Liste_rouge!A:A,2,1),"LC")</f>
        <v>LC</v>
      </c>
      <c r="Q20474" s="7" t="str">
        <f>HYPERLINK("#Liste_rouge!A"&amp;_xlfn.XMATCH("LC",Liste_rouge!A:A,2,1),"LC")</f>
        <v>LC</v>
      </c>
      <c r="T20474" s="7" t="str">
        <f>HYPERLINK("#Liste_rouge!A"&amp;_xlfn.XMATCH("NA",Liste_rouge!A:A,2,1),"NA")</f>
        <v>NA</v>
      </c>
      <c r="AH20474" s="4" t="str">
        <f>HYPERLINK("#Statut_biogéographique!A"&amp;_xlfn.XMATCH("P",Statut_biogéographique!A:A,2,1),"P")</f>
        <v>P</v>
      </c>
      <c r="AP20474" s="4" t="s">
        <v>376</v>
      </c>
      <c r="AR20474" s="4" t="s">
        <v>377</v>
      </c>
    </row>
    <row r="20475" spans="1:44">
      <c r="A20475" s="4" t="s">
        <v>24364</v>
      </c>
      <c r="B20475" s="4">
        <v>112383</v>
      </c>
      <c r="D20475" s="5" t="s">
        <v>25917</v>
      </c>
      <c r="E20475" s="6" t="str">
        <f>HYPERLINK("https://inpn.mnhn.fr/espece/cd_nom/112383","Papaver x hungaricum Borbás, 1900")</f>
        <v>Papaver x hungaricum Borbás, 1900</v>
      </c>
      <c r="F20475" s="5" t="s">
        <v>25918</v>
      </c>
      <c r="T20475" s="7" t="str">
        <f>HYPERLINK("#Liste_rouge!A"&amp;_xlfn.XMATCH("LC",Liste_rouge!A:A,2,1),"LC")</f>
        <v>LC</v>
      </c>
      <c r="AH20475" s="4" t="str">
        <f>HYPERLINK("#Statut_biogéographique!A"&amp;_xlfn.XMATCH("P",Statut_biogéographique!A:A,2,1),"P")</f>
        <v>P</v>
      </c>
      <c r="AP20475" s="4" t="s">
        <v>376</v>
      </c>
      <c r="AR20475" s="4" t="s">
        <v>377</v>
      </c>
    </row>
    <row r="20476" spans="1:44" ht="30">
      <c r="A20476" s="4" t="s">
        <v>24364</v>
      </c>
      <c r="B20476" s="4">
        <v>112405</v>
      </c>
      <c r="D20476" s="5" t="s">
        <v>25919</v>
      </c>
      <c r="E20476" s="6" t="str">
        <f>HYPERLINK("https://inpn.mnhn.fr/espece/cd_nom/112405","Parentucellia viscosa (L.) Caruel, 1885")</f>
        <v>Parentucellia viscosa (L.) Caruel, 1885</v>
      </c>
      <c r="F20476" s="5" t="s">
        <v>25920</v>
      </c>
      <c r="Q20476" s="7" t="str">
        <f>HYPERLINK("#Liste_rouge!A"&amp;_xlfn.XMATCH("LC",Liste_rouge!A:A,2,1),"LC")</f>
        <v>LC</v>
      </c>
      <c r="T20476" s="7" t="str">
        <f>HYPERLINK("#Liste_rouge!A"&amp;_xlfn.XMATCH("EN",Liste_rouge!A:A,2,1),"EN")</f>
        <v>EN</v>
      </c>
      <c r="U20476" s="4" t="str">
        <f>HYPERLINK("#Critères_liste_rouge!A$1","CR (D1) - 1")</f>
        <v>CR (D1) - 1</v>
      </c>
      <c r="X20476" s="5" t="s">
        <v>374</v>
      </c>
      <c r="AB20476" s="4" t="s">
        <v>93</v>
      </c>
      <c r="AH20476" s="4" t="str">
        <f>HYPERLINK("#Statut_biogéographique!A"&amp;_xlfn.XMATCH("P",Statut_biogéographique!A:A,2,1),"P")</f>
        <v>P</v>
      </c>
      <c r="AM20476" s="4" t="s">
        <v>375</v>
      </c>
      <c r="AN20476" s="4" t="s">
        <v>375</v>
      </c>
      <c r="AO20476" s="4" t="s">
        <v>375</v>
      </c>
      <c r="AP20476" s="4" t="s">
        <v>376</v>
      </c>
      <c r="AR20476" s="4" t="s">
        <v>377</v>
      </c>
    </row>
    <row r="20477" spans="1:44" ht="30">
      <c r="A20477" s="4" t="s">
        <v>24364</v>
      </c>
      <c r="B20477" s="4">
        <v>112410</v>
      </c>
      <c r="D20477" s="5" t="s">
        <v>25921</v>
      </c>
      <c r="E20477" s="6" t="str">
        <f>HYPERLINK("https://inpn.mnhn.fr/espece/cd_nom/112410","Parietaria judaica L., 1756")</f>
        <v>Parietaria judaica L., 1756</v>
      </c>
      <c r="F20477" s="5" t="s">
        <v>25922</v>
      </c>
      <c r="Q20477" s="7" t="str">
        <f>HYPERLINK("#Liste_rouge!A"&amp;_xlfn.XMATCH("LC",Liste_rouge!A:A,2,1),"LC")</f>
        <v>LC</v>
      </c>
      <c r="T20477" s="7" t="str">
        <f>HYPERLINK("#Liste_rouge!A"&amp;_xlfn.XMATCH("LC",Liste_rouge!A:A,2,1),"LC")</f>
        <v>LC</v>
      </c>
      <c r="V20477" s="7" t="str">
        <f>HYPERLINK("#Liste_rouge!A"&amp;_xlfn.XMATCH("LC",Liste_rouge!A:A,2,1),"LC")</f>
        <v>LC</v>
      </c>
      <c r="AB20477" s="4" t="s">
        <v>24501</v>
      </c>
      <c r="AH20477" s="4" t="str">
        <f>HYPERLINK("#Statut_biogéographique!A"&amp;_xlfn.XMATCH("P",Statut_biogéographique!A:A,2,1),"P")</f>
        <v>P</v>
      </c>
      <c r="AM20477" s="4" t="s">
        <v>375</v>
      </c>
      <c r="AN20477" s="4" t="s">
        <v>375</v>
      </c>
      <c r="AO20477" s="4" t="s">
        <v>375</v>
      </c>
      <c r="AP20477" s="4" t="s">
        <v>376</v>
      </c>
      <c r="AR20477" s="4" t="s">
        <v>377</v>
      </c>
    </row>
    <row r="20478" spans="1:44">
      <c r="A20478" s="4" t="s">
        <v>24364</v>
      </c>
      <c r="B20478" s="4">
        <v>112413</v>
      </c>
      <c r="D20478" s="5" t="s">
        <v>25923</v>
      </c>
      <c r="E20478" s="6" t="str">
        <f>HYPERLINK("https://inpn.mnhn.fr/espece/cd_nom/112413","Parietaria officinalis L., 1753")</f>
        <v>Parietaria officinalis L., 1753</v>
      </c>
      <c r="F20478" s="5" t="s">
        <v>25924</v>
      </c>
      <c r="Q20478" s="7" t="str">
        <f>HYPERLINK("#Liste_rouge!A"&amp;_xlfn.XMATCH("LC",Liste_rouge!A:A,2,1),"LC")</f>
        <v>LC</v>
      </c>
      <c r="T20478" s="7" t="str">
        <f>HYPERLINK("#Liste_rouge!A"&amp;_xlfn.XMATCH("LC",Liste_rouge!A:A,2,1),"LC")</f>
        <v>LC</v>
      </c>
      <c r="V20478" s="7" t="str">
        <f>HYPERLINK("#Liste_rouge!A"&amp;_xlfn.XMATCH("DD",Liste_rouge!A:A,2,1),"DD")</f>
        <v>DD</v>
      </c>
      <c r="AB20478" s="4" t="s">
        <v>25106</v>
      </c>
      <c r="AH20478" s="4" t="str">
        <f>HYPERLINK("#Statut_biogéographique!A"&amp;_xlfn.XMATCH("P",Statut_biogéographique!A:A,2,1),"P")</f>
        <v>P</v>
      </c>
      <c r="AM20478" s="4" t="s">
        <v>375</v>
      </c>
      <c r="AN20478" s="4" t="s">
        <v>375</v>
      </c>
      <c r="AO20478" s="4" t="s">
        <v>375</v>
      </c>
      <c r="AP20478" s="4" t="s">
        <v>376</v>
      </c>
      <c r="AR20478" s="4" t="s">
        <v>377</v>
      </c>
    </row>
    <row r="20479" spans="1:44">
      <c r="A20479" s="4" t="s">
        <v>24364</v>
      </c>
      <c r="B20479" s="4">
        <v>112421</v>
      </c>
      <c r="D20479" s="5" t="s">
        <v>25925</v>
      </c>
      <c r="E20479" s="6" t="str">
        <f>HYPERLINK("https://inpn.mnhn.fr/espece/cd_nom/112421","Paris quadrifolia L., 1753")</f>
        <v>Paris quadrifolia L., 1753</v>
      </c>
      <c r="F20479" s="5" t="s">
        <v>25926</v>
      </c>
      <c r="P20479" s="7" t="str">
        <f>HYPERLINK("#Liste_rouge!A"&amp;_xlfn.XMATCH("LC",Liste_rouge!A:A,2,1),"LC")</f>
        <v>LC</v>
      </c>
      <c r="Q20479" s="7" t="str">
        <f>HYPERLINK("#Liste_rouge!A"&amp;_xlfn.XMATCH("LC",Liste_rouge!A:A,2,1),"LC")</f>
        <v>LC</v>
      </c>
      <c r="T20479" s="7" t="str">
        <f>HYPERLINK("#Liste_rouge!A"&amp;_xlfn.XMATCH("LC",Liste_rouge!A:A,2,1),"LC")</f>
        <v>LC</v>
      </c>
      <c r="V20479" s="7" t="str">
        <f>HYPERLINK("#Liste_rouge!A"&amp;_xlfn.XMATCH("LC",Liste_rouge!A:A,2,1),"LC")</f>
        <v>LC</v>
      </c>
      <c r="AH20479" s="4" t="str">
        <f>HYPERLINK("#Statut_biogéographique!A"&amp;_xlfn.XMATCH("P",Statut_biogéographique!A:A,2,1),"P")</f>
        <v>P</v>
      </c>
      <c r="AM20479" s="4" t="s">
        <v>375</v>
      </c>
      <c r="AN20479" s="4" t="s">
        <v>375</v>
      </c>
      <c r="AO20479" s="4" t="s">
        <v>375</v>
      </c>
      <c r="AP20479" s="4" t="s">
        <v>376</v>
      </c>
      <c r="AR20479" s="4" t="s">
        <v>377</v>
      </c>
    </row>
    <row r="20480" spans="1:44" ht="30">
      <c r="A20480" s="4" t="s">
        <v>24364</v>
      </c>
      <c r="B20480" s="4">
        <v>112426</v>
      </c>
      <c r="D20480" s="5" t="s">
        <v>25927</v>
      </c>
      <c r="E20480" s="6" t="str">
        <f>HYPERLINK("https://inpn.mnhn.fr/espece/cd_nom/112426","Parnassia palustris L., 1753")</f>
        <v>Parnassia palustris L., 1753</v>
      </c>
      <c r="F20480" s="5" t="s">
        <v>25928</v>
      </c>
      <c r="O20480" s="7" t="str">
        <f>HYPERLINK("#Liste_rouge!A"&amp;_xlfn.XMATCH("LC",Liste_rouge!A:A,2,1),"LC")</f>
        <v>LC</v>
      </c>
      <c r="P20480" s="7" t="str">
        <f>HYPERLINK("#Liste_rouge!A"&amp;_xlfn.XMATCH("LC",Liste_rouge!A:A,2,1),"LC")</f>
        <v>LC</v>
      </c>
      <c r="Q20480" s="7" t="str">
        <f>HYPERLINK("#Liste_rouge!A"&amp;_xlfn.XMATCH("LC",Liste_rouge!A:A,2,1),"LC")</f>
        <v>LC</v>
      </c>
      <c r="T20480" s="7" t="str">
        <f>HYPERLINK("#Liste_rouge!A"&amp;_xlfn.XMATCH("NT",Liste_rouge!A:A,2,1),"NT")</f>
        <v>NT</v>
      </c>
      <c r="U20480" s="4" t="str">
        <f>HYPERLINK("#Critères_liste_rouge!A$1","VU (A2ac) - 1")</f>
        <v>VU (A2ac) - 1</v>
      </c>
      <c r="V20480" s="7" t="str">
        <f>HYPERLINK("#Liste_rouge!A"&amp;_xlfn.XMATCH("LC",Liste_rouge!A:A,2,1),"LC")</f>
        <v>LC</v>
      </c>
      <c r="AB20480" s="4" t="s">
        <v>25929</v>
      </c>
      <c r="AH20480" s="4" t="str">
        <f>HYPERLINK("#Statut_biogéographique!A"&amp;_xlfn.XMATCH("P",Statut_biogéographique!A:A,2,1),"P")</f>
        <v>P</v>
      </c>
      <c r="AM20480" s="4" t="s">
        <v>375</v>
      </c>
      <c r="AN20480" s="4" t="s">
        <v>375</v>
      </c>
      <c r="AO20480" s="4" t="s">
        <v>375</v>
      </c>
      <c r="AP20480" s="4" t="s">
        <v>376</v>
      </c>
      <c r="AR20480" s="4" t="s">
        <v>377</v>
      </c>
    </row>
    <row r="20481" spans="1:44" ht="30">
      <c r="A20481" s="4" t="s">
        <v>24364</v>
      </c>
      <c r="B20481" s="4">
        <v>112463</v>
      </c>
      <c r="D20481" s="5" t="s">
        <v>25930</v>
      </c>
      <c r="E20481" s="6" t="str">
        <f>HYPERLINK("https://inpn.mnhn.fr/espece/cd_nom/112463","Parthenocissus inserta (A.Kern.) Fritsch, 1922")</f>
        <v>Parthenocissus inserta (A.Kern.) Fritsch, 1922</v>
      </c>
      <c r="F20481" s="5" t="s">
        <v>25931</v>
      </c>
      <c r="Q20481" s="7" t="str">
        <f>HYPERLINK("#Liste_rouge!A"&amp;_xlfn.XMATCH("NA",Liste_rouge!A:A,2,1),"NA")</f>
        <v>NA</v>
      </c>
      <c r="T20481" s="7" t="str">
        <f>HYPERLINK("#Liste_rouge!A"&amp;_xlfn.XMATCH("NA",Liste_rouge!A:A,2,1),"NA")</f>
        <v>NA</v>
      </c>
      <c r="AH20481" s="4" t="str">
        <f>HYPERLINK("#Statut_biogéographique!A"&amp;_xlfn.XMATCH("I",Statut_biogéographique!A:A,2,1),"I")</f>
        <v>I</v>
      </c>
      <c r="AM20481" s="4" t="s">
        <v>375</v>
      </c>
      <c r="AN20481" s="4" t="s">
        <v>375</v>
      </c>
      <c r="AO20481" s="4" t="s">
        <v>375</v>
      </c>
      <c r="AP20481" s="4" t="s">
        <v>376</v>
      </c>
      <c r="AR20481" s="4" t="s">
        <v>377</v>
      </c>
    </row>
    <row r="20482" spans="1:44" ht="60">
      <c r="A20482" s="4" t="s">
        <v>24364</v>
      </c>
      <c r="B20482" s="4">
        <v>112465</v>
      </c>
      <c r="D20482" s="5" t="s">
        <v>25932</v>
      </c>
      <c r="E20482" s="6" t="str">
        <f>HYPERLINK("https://inpn.mnhn.fr/espece/cd_nom/112465","Parthenocissus quinquefolia (L.) Planch., 1887")</f>
        <v>Parthenocissus quinquefolia (L.) Planch., 1887</v>
      </c>
      <c r="F20482" s="5" t="s">
        <v>25933</v>
      </c>
      <c r="O20482" s="7" t="str">
        <f>HYPERLINK("#Liste_rouge!A"&amp;_xlfn.XMATCH("LC",Liste_rouge!A:A,2,1),"LC")</f>
        <v>LC</v>
      </c>
      <c r="Q20482" s="7" t="str">
        <f>HYPERLINK("#Liste_rouge!A"&amp;_xlfn.XMATCH("NA",Liste_rouge!A:A,2,1),"NA")</f>
        <v>NA</v>
      </c>
      <c r="T20482" s="7" t="str">
        <f>HYPERLINK("#Liste_rouge!A"&amp;_xlfn.XMATCH("NA",Liste_rouge!A:A,2,1),"NA")</f>
        <v>NA</v>
      </c>
      <c r="AH20482" s="4" t="str">
        <f>HYPERLINK("#Statut_biogéographique!A"&amp;_xlfn.XMATCH("M",Statut_biogéographique!A:A,2,1),"M")</f>
        <v>M</v>
      </c>
      <c r="AP20482" s="4" t="s">
        <v>376</v>
      </c>
      <c r="AR20482" s="4" t="s">
        <v>377</v>
      </c>
    </row>
    <row r="20483" spans="1:44" ht="45">
      <c r="A20483" s="4" t="s">
        <v>24364</v>
      </c>
      <c r="B20483" s="4">
        <v>112467</v>
      </c>
      <c r="D20483" s="5" t="s">
        <v>25934</v>
      </c>
      <c r="E20483" s="6" t="str">
        <f>HYPERLINK("https://inpn.mnhn.fr/espece/cd_nom/112467","Parthenocissus tricuspidata (Siebold &amp; Zucc.) Planch., 1887")</f>
        <v>Parthenocissus tricuspidata (Siebold &amp; Zucc.) Planch., 1887</v>
      </c>
      <c r="F20483" s="5" t="s">
        <v>25935</v>
      </c>
      <c r="Q20483" s="7" t="str">
        <f>HYPERLINK("#Liste_rouge!A"&amp;_xlfn.XMATCH("NA",Liste_rouge!A:A,2,1),"NA")</f>
        <v>NA</v>
      </c>
      <c r="T20483" s="7" t="str">
        <f>HYPERLINK("#Liste_rouge!A"&amp;_xlfn.XMATCH("NA",Liste_rouge!A:A,2,1),"NA")</f>
        <v>NA</v>
      </c>
      <c r="AH20483" s="4" t="str">
        <f>HYPERLINK("#Statut_biogéographique!A"&amp;_xlfn.XMATCH("I",Statut_biogéographique!A:A,2,1),"I")</f>
        <v>I</v>
      </c>
      <c r="AP20483" s="4" t="s">
        <v>376</v>
      </c>
      <c r="AR20483" s="4" t="s">
        <v>377</v>
      </c>
    </row>
    <row r="20484" spans="1:44" ht="45">
      <c r="A20484" s="4" t="s">
        <v>24364</v>
      </c>
      <c r="B20484" s="4">
        <v>112550</v>
      </c>
      <c r="D20484" s="5" t="s">
        <v>25936</v>
      </c>
      <c r="E20484" s="6" t="str">
        <f>HYPERLINK("https://inpn.mnhn.fr/espece/cd_nom/112550","Pastinaca sativa L., 1753")</f>
        <v>Pastinaca sativa L., 1753</v>
      </c>
      <c r="F20484" s="5" t="s">
        <v>25937</v>
      </c>
      <c r="Q20484" s="7" t="str">
        <f>HYPERLINK("#Liste_rouge!A"&amp;_xlfn.XMATCH("LC",Liste_rouge!A:A,2,1),"LC")</f>
        <v>LC</v>
      </c>
      <c r="T20484" s="7" t="str">
        <f>HYPERLINK("#Liste_rouge!A"&amp;_xlfn.XMATCH("LC",Liste_rouge!A:A,2,1),"LC")</f>
        <v>LC</v>
      </c>
      <c r="V20484" s="7" t="str">
        <f>HYPERLINK("#Liste_rouge!A"&amp;_xlfn.XMATCH("LC",Liste_rouge!A:A,2,1),"LC")</f>
        <v>LC</v>
      </c>
      <c r="AH20484" s="4" t="str">
        <f>HYPERLINK("#Statut_biogéographique!A"&amp;_xlfn.XMATCH("P",Statut_biogéographique!A:A,2,1),"P")</f>
        <v>P</v>
      </c>
      <c r="AM20484" s="4" t="s">
        <v>375</v>
      </c>
      <c r="AN20484" s="4" t="s">
        <v>375</v>
      </c>
      <c r="AO20484" s="4" t="s">
        <v>375</v>
      </c>
      <c r="AP20484" s="4" t="s">
        <v>376</v>
      </c>
      <c r="AR20484" s="4" t="s">
        <v>377</v>
      </c>
    </row>
    <row r="20485" spans="1:44" ht="30">
      <c r="A20485" s="4" t="s">
        <v>24364</v>
      </c>
      <c r="B20485" s="4">
        <v>112560</v>
      </c>
      <c r="D20485" s="5" t="s">
        <v>25938</v>
      </c>
      <c r="E20485" s="6" t="str">
        <f>HYPERLINK("https://inpn.mnhn.fr/espece/cd_nom/112560","Paulownia tomentosa (Thunb.) Steud., 1841")</f>
        <v>Paulownia tomentosa (Thunb.) Steud., 1841</v>
      </c>
      <c r="F20485" s="5" t="s">
        <v>25939</v>
      </c>
      <c r="Q20485" s="7" t="str">
        <f>HYPERLINK("#Liste_rouge!A"&amp;_xlfn.XMATCH("NA",Liste_rouge!A:A,2,1),"NA")</f>
        <v>NA</v>
      </c>
      <c r="T20485" s="7" t="str">
        <f>HYPERLINK("#Liste_rouge!A"&amp;_xlfn.XMATCH("NA",Liste_rouge!A:A,2,1),"NA")</f>
        <v>NA</v>
      </c>
      <c r="AH20485" s="4" t="str">
        <f>HYPERLINK("#Statut_biogéographique!A"&amp;_xlfn.XMATCH("M",Statut_biogéographique!A:A,2,1),"M")</f>
        <v>M</v>
      </c>
      <c r="AP20485" s="4" t="s">
        <v>376</v>
      </c>
      <c r="AR20485" s="4" t="s">
        <v>377</v>
      </c>
    </row>
    <row r="20486" spans="1:44">
      <c r="A20486" s="4" t="s">
        <v>24364</v>
      </c>
      <c r="B20486" s="4">
        <v>112577</v>
      </c>
      <c r="D20486" s="5" t="s">
        <v>25940</v>
      </c>
      <c r="E20486" s="6" t="str">
        <f>HYPERLINK("https://inpn.mnhn.fr/espece/cd_nom/112577","Pedicularis foliosa L., 1767")</f>
        <v>Pedicularis foliosa L., 1767</v>
      </c>
      <c r="F20486" s="5" t="s">
        <v>25941</v>
      </c>
      <c r="Q20486" s="7" t="str">
        <f>HYPERLINK("#Liste_rouge!A"&amp;_xlfn.XMATCH("LC",Liste_rouge!A:A,2,1),"LC")</f>
        <v>LC</v>
      </c>
      <c r="AH20486" s="4" t="str">
        <f>HYPERLINK("#Statut_biogéographique!A"&amp;_xlfn.XMATCH("P",Statut_biogéographique!A:A,2,1),"P")</f>
        <v>P</v>
      </c>
      <c r="AP20486" s="4" t="s">
        <v>376</v>
      </c>
      <c r="AR20486" s="4" t="s">
        <v>377</v>
      </c>
    </row>
    <row r="20487" spans="1:44">
      <c r="A20487" s="4" t="s">
        <v>24364</v>
      </c>
      <c r="B20487" s="4">
        <v>112590</v>
      </c>
      <c r="D20487" s="5" t="s">
        <v>25942</v>
      </c>
      <c r="E20487" s="6" t="str">
        <f>HYPERLINK("https://inpn.mnhn.fr/espece/cd_nom/112590","Pedicularis palustris L., 1753")</f>
        <v>Pedicularis palustris L., 1753</v>
      </c>
      <c r="F20487" s="5" t="s">
        <v>25943</v>
      </c>
      <c r="M20487" s="4" t="str">
        <f>HYPERLINK("#Réglementation!A"&amp;_xlfn.XMATCH("RV26",Réglementation!A:A,2,1),"RV26")</f>
        <v>RV26</v>
      </c>
      <c r="O20487" s="7" t="str">
        <f>HYPERLINK("#Liste_rouge!A"&amp;_xlfn.XMATCH("LC",Liste_rouge!A:A,2,1),"LC")</f>
        <v>LC</v>
      </c>
      <c r="Q20487" s="7" t="str">
        <f>HYPERLINK("#Liste_rouge!A"&amp;_xlfn.XMATCH("NT",Liste_rouge!A:A,2,1),"NT")</f>
        <v>NT</v>
      </c>
      <c r="T20487" s="7" t="str">
        <f>HYPERLINK("#Liste_rouge!A"&amp;_xlfn.XMATCH("CR",Liste_rouge!A:A,2,1),"CR")</f>
        <v>CR</v>
      </c>
      <c r="U20487" s="4" t="str">
        <f>HYPERLINK("#Critères_liste_rouge!A$1","B1 B2ab(ii,iii,iv) C2a(i) D1")</f>
        <v>B1 B2ab(ii,iii,iv) C2a(i) D1</v>
      </c>
      <c r="V20487" s="7" t="str">
        <f>HYPERLINK("#Liste_rouge!A"&amp;_xlfn.XMATCH("NT",Liste_rouge!A:A,2,1),"NT")</f>
        <v>NT</v>
      </c>
      <c r="W20487" s="4" t="str">
        <f>HYPERLINK("#Critères_liste_rouge!A$1","pr. B2b(iii,iv)")</f>
        <v>pr. B2b(iii,iv)</v>
      </c>
      <c r="X20487" s="5" t="s">
        <v>374</v>
      </c>
      <c r="AB20487" s="4" t="s">
        <v>93</v>
      </c>
      <c r="AH20487" s="4" t="str">
        <f>HYPERLINK("#Statut_biogéographique!A"&amp;_xlfn.XMATCH("P",Statut_biogéographique!A:A,2,1),"P")</f>
        <v>P</v>
      </c>
      <c r="AM20487" s="4" t="s">
        <v>375</v>
      </c>
      <c r="AN20487" s="4" t="s">
        <v>375</v>
      </c>
      <c r="AO20487" s="4" t="s">
        <v>375</v>
      </c>
      <c r="AP20487" s="4" t="s">
        <v>376</v>
      </c>
      <c r="AR20487" s="4" t="s">
        <v>377</v>
      </c>
    </row>
    <row r="20488" spans="1:44" ht="30">
      <c r="A20488" s="4" t="s">
        <v>24364</v>
      </c>
      <c r="B20488" s="4">
        <v>112601</v>
      </c>
      <c r="D20488" s="5">
        <v>112601</v>
      </c>
      <c r="E20488" s="6" t="str">
        <f>HYPERLINK("https://inpn.mnhn.fr/espece/cd_nom/112601","Pedicularis sylvatica L., 1753")</f>
        <v>Pedicularis sylvatica L., 1753</v>
      </c>
      <c r="F20488" s="5" t="s">
        <v>25944</v>
      </c>
      <c r="M20488" s="4" t="str">
        <f>HYPERLINK("#Réglementation!A"&amp;_xlfn.XMATCH("RV43",Réglementation!A:A,2,1),"RV43")</f>
        <v>RV43</v>
      </c>
      <c r="Q20488" s="7" t="str">
        <f>HYPERLINK("#Liste_rouge!A"&amp;_xlfn.XMATCH("LC",Liste_rouge!A:A,2,1),"LC")</f>
        <v>LC</v>
      </c>
      <c r="T20488" s="7" t="str">
        <f>HYPERLINK("#Liste_rouge!A"&amp;_xlfn.XMATCH("LC",Liste_rouge!A:A,2,1),"LC")</f>
        <v>LC</v>
      </c>
      <c r="V20488" s="7" t="str">
        <f>HYPERLINK("#Liste_rouge!A"&amp;_xlfn.XMATCH("NT",Liste_rouge!A:A,2,1),"NT")</f>
        <v>NT</v>
      </c>
      <c r="W20488" s="4" t="str">
        <f>HYPERLINK("#Critères_liste_rouge!A$1","pr. B2b(iii)")</f>
        <v>pr. B2b(iii)</v>
      </c>
      <c r="AB20488" s="4" t="s">
        <v>24489</v>
      </c>
      <c r="AH20488" s="4" t="str">
        <f>HYPERLINK("#Statut_biogéographique!A"&amp;_xlfn.XMATCH("P",Statut_biogéographique!A:A,2,1),"P")</f>
        <v>P</v>
      </c>
      <c r="AM20488" s="4" t="s">
        <v>375</v>
      </c>
      <c r="AN20488" s="4" t="s">
        <v>375</v>
      </c>
      <c r="AO20488" s="4" t="s">
        <v>375</v>
      </c>
      <c r="AP20488" s="4" t="s">
        <v>376</v>
      </c>
      <c r="AR20488" s="4" t="s">
        <v>377</v>
      </c>
    </row>
    <row r="20489" spans="1:44" ht="30">
      <c r="A20489" s="4" t="s">
        <v>24364</v>
      </c>
      <c r="B20489" s="4">
        <v>112669</v>
      </c>
      <c r="D20489" s="5" t="s">
        <v>25945</v>
      </c>
      <c r="E20489" s="6" t="str">
        <f>HYPERLINK("https://inpn.mnhn.fr/espece/cd_nom/112669","Pentaglottis sempervirens (L.) Tausch ex L.H.Bailey, 1949")</f>
        <v>Pentaglottis sempervirens (L.) Tausch ex L.H.Bailey, 1949</v>
      </c>
      <c r="F20489" s="5" t="s">
        <v>25946</v>
      </c>
      <c r="Q20489" s="7" t="str">
        <f>HYPERLINK("#Liste_rouge!A"&amp;_xlfn.XMATCH("LC",Liste_rouge!A:A,2,1),"LC")</f>
        <v>LC</v>
      </c>
      <c r="T20489" s="7" t="str">
        <f>HYPERLINK("#Liste_rouge!A"&amp;_xlfn.XMATCH("NA",Liste_rouge!A:A,2,1),"NA")</f>
        <v>NA</v>
      </c>
      <c r="AH20489" s="4" t="str">
        <f>HYPERLINK("#Statut_biogéographique!A"&amp;_xlfn.XMATCH("P",Statut_biogéographique!A:A,2,1),"P")</f>
        <v>P</v>
      </c>
      <c r="AP20489" s="4" t="s">
        <v>376</v>
      </c>
      <c r="AR20489" s="4" t="s">
        <v>377</v>
      </c>
    </row>
    <row r="20490" spans="1:44">
      <c r="A20490" s="4" t="s">
        <v>24364</v>
      </c>
      <c r="B20490" s="4">
        <v>112712</v>
      </c>
      <c r="D20490" s="5" t="s">
        <v>25947</v>
      </c>
      <c r="E20490" s="6" t="str">
        <f>HYPERLINK("https://inpn.mnhn.fr/espece/cd_nom/112712","Periploca graeca L., 1753")</f>
        <v>Periploca graeca L., 1753</v>
      </c>
      <c r="F20490" s="5" t="s">
        <v>25948</v>
      </c>
      <c r="Q20490" s="7" t="str">
        <f>HYPERLINK("#Liste_rouge!A"&amp;_xlfn.XMATCH("DD",Liste_rouge!A:A,2,1),"DD")</f>
        <v>DD</v>
      </c>
      <c r="T20490" s="7" t="str">
        <f>HYPERLINK("#Liste_rouge!A"&amp;_xlfn.XMATCH("NA",Liste_rouge!A:A,2,1),"NA")</f>
        <v>NA</v>
      </c>
      <c r="AH20490" s="4" t="str">
        <f>HYPERLINK("#Statut_biogéographique!A"&amp;_xlfn.XMATCH("I",Statut_biogéographique!A:A,2,1),"I")</f>
        <v>I</v>
      </c>
      <c r="AP20490" s="4" t="s">
        <v>376</v>
      </c>
      <c r="AR20490" s="4" t="s">
        <v>377</v>
      </c>
    </row>
    <row r="20491" spans="1:44" ht="90">
      <c r="A20491" s="4" t="s">
        <v>24364</v>
      </c>
      <c r="B20491" s="4">
        <v>112727</v>
      </c>
      <c r="D20491" s="5" t="s">
        <v>25949</v>
      </c>
      <c r="E20491" s="6" t="str">
        <f>HYPERLINK("https://inpn.mnhn.fr/espece/cd_nom/112727","Persicaria amphibia (L.) Gray, 1821")</f>
        <v>Persicaria amphibia (L.) Gray, 1821</v>
      </c>
      <c r="F20491" s="5" t="s">
        <v>25950</v>
      </c>
      <c r="O20491" s="7" t="str">
        <f>HYPERLINK("#Liste_rouge!A"&amp;_xlfn.XMATCH("LC",Liste_rouge!A:A,2,1),"LC")</f>
        <v>LC</v>
      </c>
      <c r="P20491" s="7" t="str">
        <f>HYPERLINK("#Liste_rouge!A"&amp;_xlfn.XMATCH("LC",Liste_rouge!A:A,2,1),"LC")</f>
        <v>LC</v>
      </c>
      <c r="Q20491" s="7" t="str">
        <f>HYPERLINK("#Liste_rouge!A"&amp;_xlfn.XMATCH("LC",Liste_rouge!A:A,2,1),"LC")</f>
        <v>LC</v>
      </c>
      <c r="T20491" s="7" t="str">
        <f>HYPERLINK("#Liste_rouge!A"&amp;_xlfn.XMATCH("LC",Liste_rouge!A:A,2,1),"LC")</f>
        <v>LC</v>
      </c>
      <c r="V20491" s="7" t="str">
        <f>HYPERLINK("#Liste_rouge!A"&amp;_xlfn.XMATCH("LC",Liste_rouge!A:A,2,1),"LC")</f>
        <v>LC</v>
      </c>
      <c r="AH20491" s="4" t="str">
        <f>HYPERLINK("#Statut_biogéographique!A"&amp;_xlfn.XMATCH("P",Statut_biogéographique!A:A,2,1),"P")</f>
        <v>P</v>
      </c>
      <c r="AM20491" s="4" t="s">
        <v>375</v>
      </c>
      <c r="AN20491" s="4" t="s">
        <v>375</v>
      </c>
      <c r="AO20491" s="4" t="s">
        <v>375</v>
      </c>
      <c r="AP20491" s="4" t="s">
        <v>376</v>
      </c>
      <c r="AR20491" s="4" t="s">
        <v>377</v>
      </c>
    </row>
    <row r="20492" spans="1:44" ht="75">
      <c r="A20492" s="4" t="s">
        <v>24364</v>
      </c>
      <c r="B20492" s="4">
        <v>112739</v>
      </c>
      <c r="D20492" s="5" t="s">
        <v>25951</v>
      </c>
      <c r="E20492" s="6" t="str">
        <f>HYPERLINK("https://inpn.mnhn.fr/espece/cd_nom/112739","Persicaria hydropiper (L.) Spach, 1841")</f>
        <v>Persicaria hydropiper (L.) Spach, 1841</v>
      </c>
      <c r="F20492" s="5" t="s">
        <v>25952</v>
      </c>
      <c r="O20492" s="7" t="str">
        <f>HYPERLINK("#Liste_rouge!A"&amp;_xlfn.XMATCH("LC",Liste_rouge!A:A,2,1),"LC")</f>
        <v>LC</v>
      </c>
      <c r="P20492" s="7" t="str">
        <f>HYPERLINK("#Liste_rouge!A"&amp;_xlfn.XMATCH("LC",Liste_rouge!A:A,2,1),"LC")</f>
        <v>LC</v>
      </c>
      <c r="Q20492" s="7" t="str">
        <f>HYPERLINK("#Liste_rouge!A"&amp;_xlfn.XMATCH("LC",Liste_rouge!A:A,2,1),"LC")</f>
        <v>LC</v>
      </c>
      <c r="T20492" s="7" t="str">
        <f>HYPERLINK("#Liste_rouge!A"&amp;_xlfn.XMATCH("LC",Liste_rouge!A:A,2,1),"LC")</f>
        <v>LC</v>
      </c>
      <c r="V20492" s="7" t="str">
        <f>HYPERLINK("#Liste_rouge!A"&amp;_xlfn.XMATCH("LC",Liste_rouge!A:A,2,1),"LC")</f>
        <v>LC</v>
      </c>
      <c r="AH20492" s="4" t="str">
        <f>HYPERLINK("#Statut_biogéographique!A"&amp;_xlfn.XMATCH("P",Statut_biogéographique!A:A,2,1),"P")</f>
        <v>P</v>
      </c>
      <c r="AM20492" s="4" t="s">
        <v>375</v>
      </c>
      <c r="AN20492" s="4" t="s">
        <v>375</v>
      </c>
      <c r="AO20492" s="4" t="s">
        <v>375</v>
      </c>
      <c r="AP20492" s="4" t="s">
        <v>376</v>
      </c>
      <c r="AR20492" s="4" t="s">
        <v>377</v>
      </c>
    </row>
    <row r="20493" spans="1:44" ht="315">
      <c r="A20493" s="4" t="s">
        <v>24364</v>
      </c>
      <c r="B20493" s="4">
        <v>112741</v>
      </c>
      <c r="D20493" s="5" t="s">
        <v>25953</v>
      </c>
      <c r="E20493" s="6" t="str">
        <f>HYPERLINK("https://inpn.mnhn.fr/espece/cd_nom/112741","Persicaria lapathifolia (L.) Delarbre, 1800")</f>
        <v>Persicaria lapathifolia (L.) Delarbre, 1800</v>
      </c>
      <c r="F20493" s="5" t="s">
        <v>25954</v>
      </c>
      <c r="O20493" s="7" t="str">
        <f>HYPERLINK("#Liste_rouge!A"&amp;_xlfn.XMATCH("LC",Liste_rouge!A:A,2,1),"LC")</f>
        <v>LC</v>
      </c>
      <c r="P20493" s="7" t="str">
        <f>HYPERLINK("#Liste_rouge!A"&amp;_xlfn.XMATCH("LC",Liste_rouge!A:A,2,1),"LC")</f>
        <v>LC</v>
      </c>
      <c r="Q20493" s="7" t="str">
        <f>HYPERLINK("#Liste_rouge!A"&amp;_xlfn.XMATCH("LC",Liste_rouge!A:A,2,1),"LC")</f>
        <v>LC</v>
      </c>
      <c r="T20493" s="7" t="str">
        <f>HYPERLINK("#Liste_rouge!A"&amp;_xlfn.XMATCH("DD",Liste_rouge!A:A,2,1),"DD (cd_nom 138646) - LC (cd_nom 112741)")</f>
        <v>DD (cd_nom 138646) - LC (cd_nom 112741)</v>
      </c>
      <c r="V20493" s="7" t="str">
        <f>HYPERLINK("#Liste_rouge!A"&amp;_xlfn.XMATCH("LC",Liste_rouge!A:A,2,1),"LC")</f>
        <v>LC</v>
      </c>
      <c r="AH20493" s="4" t="str">
        <f>HYPERLINK("#Statut_biogéographique!A"&amp;_xlfn.XMATCH("P",Statut_biogéographique!A:A,2,1),"P")</f>
        <v>P</v>
      </c>
      <c r="AM20493" s="4" t="s">
        <v>375</v>
      </c>
      <c r="AN20493" s="4" t="s">
        <v>375</v>
      </c>
      <c r="AO20493" s="4" t="s">
        <v>375</v>
      </c>
      <c r="AP20493" s="4" t="s">
        <v>376</v>
      </c>
      <c r="AR20493" s="4" t="s">
        <v>377</v>
      </c>
    </row>
    <row r="20494" spans="1:44" ht="105">
      <c r="A20494" s="4" t="s">
        <v>24364</v>
      </c>
      <c r="B20494" s="4">
        <v>112745</v>
      </c>
      <c r="D20494" s="5" t="s">
        <v>25955</v>
      </c>
      <c r="E20494" s="6" t="str">
        <f>HYPERLINK("https://inpn.mnhn.fr/espece/cd_nom/112745","Persicaria maculosa Gray, 1821 [nom. cons.]")</f>
        <v>Persicaria maculosa Gray, 1821 [nom. cons.]</v>
      </c>
      <c r="F20494" s="5" t="s">
        <v>25956</v>
      </c>
      <c r="O20494" s="7" t="str">
        <f>HYPERLINK("#Liste_rouge!A"&amp;_xlfn.XMATCH("LC",Liste_rouge!A:A,2,1),"LC")</f>
        <v>LC</v>
      </c>
      <c r="P20494" s="7" t="str">
        <f>HYPERLINK("#Liste_rouge!A"&amp;_xlfn.XMATCH("LC",Liste_rouge!A:A,2,1),"LC")</f>
        <v>LC</v>
      </c>
      <c r="Q20494" s="7" t="str">
        <f>HYPERLINK("#Liste_rouge!A"&amp;_xlfn.XMATCH("LC",Liste_rouge!A:A,2,1),"LC")</f>
        <v>LC</v>
      </c>
      <c r="T20494" s="7" t="str">
        <f>HYPERLINK("#Liste_rouge!A"&amp;_xlfn.XMATCH("LC",Liste_rouge!A:A,2,1),"LC")</f>
        <v>LC</v>
      </c>
      <c r="V20494" s="7" t="str">
        <f>HYPERLINK("#Liste_rouge!A"&amp;_xlfn.XMATCH("LC",Liste_rouge!A:A,2,1),"LC")</f>
        <v>LC</v>
      </c>
      <c r="AH20494" s="4" t="str">
        <f>HYPERLINK("#Statut_biogéographique!A"&amp;_xlfn.XMATCH("P",Statut_biogéographique!A:A,2,1),"P")</f>
        <v>P</v>
      </c>
      <c r="AM20494" s="4" t="s">
        <v>375</v>
      </c>
      <c r="AN20494" s="4" t="s">
        <v>375</v>
      </c>
      <c r="AO20494" s="4" t="s">
        <v>375</v>
      </c>
      <c r="AP20494" s="4" t="s">
        <v>376</v>
      </c>
      <c r="AR20494" s="4" t="s">
        <v>377</v>
      </c>
    </row>
    <row r="20495" spans="1:44" ht="45">
      <c r="A20495" s="4" t="s">
        <v>24364</v>
      </c>
      <c r="B20495" s="4">
        <v>112746</v>
      </c>
      <c r="D20495" s="5" t="s">
        <v>25957</v>
      </c>
      <c r="E20495" s="6" t="str">
        <f>HYPERLINK("https://inpn.mnhn.fr/espece/cd_nom/112746","Persicaria minor (Huds.) Opiz, 1852")</f>
        <v>Persicaria minor (Huds.) Opiz, 1852</v>
      </c>
      <c r="F20495" s="5" t="s">
        <v>25958</v>
      </c>
      <c r="Q20495" s="7" t="str">
        <f>HYPERLINK("#Liste_rouge!A"&amp;_xlfn.XMATCH("LC",Liste_rouge!A:A,2,1),"LC")</f>
        <v>LC</v>
      </c>
      <c r="T20495" s="7" t="str">
        <f>HYPERLINK("#Liste_rouge!A"&amp;_xlfn.XMATCH("LC",Liste_rouge!A:A,2,1),"LC")</f>
        <v>LC</v>
      </c>
      <c r="V20495" s="7" t="str">
        <f>HYPERLINK("#Liste_rouge!A"&amp;_xlfn.XMATCH("LC",Liste_rouge!A:A,2,1),"LC")</f>
        <v>LC</v>
      </c>
      <c r="AH20495" s="4" t="str">
        <f>HYPERLINK("#Statut_biogéographique!A"&amp;_xlfn.XMATCH("P",Statut_biogéographique!A:A,2,1),"P")</f>
        <v>P</v>
      </c>
      <c r="AM20495" s="4" t="s">
        <v>375</v>
      </c>
      <c r="AN20495" s="4" t="s">
        <v>375</v>
      </c>
      <c r="AO20495" s="4" t="s">
        <v>375</v>
      </c>
      <c r="AP20495" s="4" t="s">
        <v>376</v>
      </c>
      <c r="AR20495" s="4" t="s">
        <v>377</v>
      </c>
    </row>
    <row r="20496" spans="1:44" ht="30">
      <c r="A20496" s="4" t="s">
        <v>24364</v>
      </c>
      <c r="B20496" s="4">
        <v>112747</v>
      </c>
      <c r="D20496" s="5" t="s">
        <v>25959</v>
      </c>
      <c r="E20496" s="6" t="str">
        <f>HYPERLINK("https://inpn.mnhn.fr/espece/cd_nom/112747","Persicaria mitis (Schrank) Assenov, 1966 [nom. cons.]")</f>
        <v>Persicaria mitis (Schrank) Assenov, 1966 [nom. cons.]</v>
      </c>
      <c r="F20496" s="5" t="s">
        <v>25960</v>
      </c>
      <c r="Q20496" s="7" t="str">
        <f>HYPERLINK("#Liste_rouge!A"&amp;_xlfn.XMATCH("LC",Liste_rouge!A:A,2,1),"LC")</f>
        <v>LC</v>
      </c>
      <c r="T20496" s="7" t="str">
        <f>HYPERLINK("#Liste_rouge!A"&amp;_xlfn.XMATCH("LC",Liste_rouge!A:A,2,1),"LC")</f>
        <v>LC</v>
      </c>
      <c r="V20496" s="7" t="str">
        <f>HYPERLINK("#Liste_rouge!A"&amp;_xlfn.XMATCH("LC",Liste_rouge!A:A,2,1),"LC")</f>
        <v>LC</v>
      </c>
      <c r="AH20496" s="4" t="str">
        <f>HYPERLINK("#Statut_biogéographique!A"&amp;_xlfn.XMATCH("P",Statut_biogéographique!A:A,2,1),"P")</f>
        <v>P</v>
      </c>
      <c r="AM20496" s="4" t="s">
        <v>375</v>
      </c>
      <c r="AN20496" s="4" t="s">
        <v>375</v>
      </c>
      <c r="AO20496" s="4" t="s">
        <v>375</v>
      </c>
      <c r="AP20496" s="4" t="s">
        <v>376</v>
      </c>
      <c r="AR20496" s="4" t="s">
        <v>377</v>
      </c>
    </row>
    <row r="20497" spans="1:44" ht="45">
      <c r="A20497" s="4" t="s">
        <v>24364</v>
      </c>
      <c r="B20497" s="4">
        <v>112750</v>
      </c>
      <c r="D20497" s="5" t="s">
        <v>25961</v>
      </c>
      <c r="E20497" s="6" t="str">
        <f>HYPERLINK("https://inpn.mnhn.fr/espece/cd_nom/112750","Persicaria orientalis (L.) Spach, 1841")</f>
        <v>Persicaria orientalis (L.) Spach, 1841</v>
      </c>
      <c r="F20497" s="5" t="s">
        <v>25962</v>
      </c>
      <c r="Q20497" s="7" t="str">
        <f>HYPERLINK("#Liste_rouge!A"&amp;_xlfn.XMATCH("NA",Liste_rouge!A:A,2,1),"NA")</f>
        <v>NA</v>
      </c>
      <c r="T20497" s="7" t="str">
        <f>HYPERLINK("#Liste_rouge!A"&amp;_xlfn.XMATCH("NA",Liste_rouge!A:A,2,1),"NA")</f>
        <v>NA</v>
      </c>
      <c r="AH20497" s="4" t="str">
        <f>HYPERLINK("#Statut_biogéographique!A"&amp;_xlfn.XMATCH("I",Statut_biogéographique!A:A,2,1),"I")</f>
        <v>I</v>
      </c>
      <c r="AP20497" s="4" t="s">
        <v>376</v>
      </c>
      <c r="AR20497" s="4" t="s">
        <v>377</v>
      </c>
    </row>
    <row r="20498" spans="1:44" ht="30">
      <c r="A20498" s="4" t="s">
        <v>24364</v>
      </c>
      <c r="B20498" s="4">
        <v>112766</v>
      </c>
      <c r="D20498" s="5" t="s">
        <v>25963</v>
      </c>
      <c r="E20498" s="6" t="str">
        <f>HYPERLINK("https://inpn.mnhn.fr/espece/cd_nom/112766","Persicaria x brauniana (F.W.Schultz) Soják, 1974")</f>
        <v>Persicaria x brauniana (F.W.Schultz) Soják, 1974</v>
      </c>
      <c r="F20498" s="5" t="s">
        <v>25964</v>
      </c>
      <c r="T20498" s="7" t="str">
        <f>HYPERLINK("#Liste_rouge!A"&amp;_xlfn.XMATCH("NE",Liste_rouge!A:A,2,1),"NE")</f>
        <v>NE</v>
      </c>
      <c r="AH20498" s="4" t="str">
        <f>HYPERLINK("#Statut_biogéographique!A"&amp;_xlfn.XMATCH("P",Statut_biogéographique!A:A,2,1),"P")</f>
        <v>P</v>
      </c>
      <c r="AP20498" s="4" t="s">
        <v>376</v>
      </c>
      <c r="AR20498" s="4" t="s">
        <v>377</v>
      </c>
    </row>
    <row r="20499" spans="1:44" ht="30">
      <c r="A20499" s="4" t="s">
        <v>24364</v>
      </c>
      <c r="B20499" s="4">
        <v>112767</v>
      </c>
      <c r="D20499" s="5" t="s">
        <v>25965</v>
      </c>
      <c r="E20499" s="6" t="str">
        <f>HYPERLINK("https://inpn.mnhn.fr/espece/cd_nom/112767","Persicaria x condensata (F.W.Schultz) Soják, 1974")</f>
        <v>Persicaria x condensata (F.W.Schultz) Soják, 1974</v>
      </c>
      <c r="F20499" s="5" t="s">
        <v>25966</v>
      </c>
      <c r="T20499" s="7" t="str">
        <f>HYPERLINK("#Liste_rouge!A"&amp;_xlfn.XMATCH("NE",Liste_rouge!A:A,2,1),"NE")</f>
        <v>NE</v>
      </c>
      <c r="AH20499" s="4" t="str">
        <f>HYPERLINK("#Statut_biogéographique!A"&amp;_xlfn.XMATCH("P",Statut_biogéographique!A:A,2,1),"P")</f>
        <v>P</v>
      </c>
      <c r="AP20499" s="4" t="s">
        <v>376</v>
      </c>
      <c r="AR20499" s="4" t="s">
        <v>377</v>
      </c>
    </row>
    <row r="20500" spans="1:44">
      <c r="A20500" s="4" t="s">
        <v>24364</v>
      </c>
      <c r="B20500" s="4">
        <v>112770</v>
      </c>
      <c r="D20500" s="5" t="s">
        <v>25967</v>
      </c>
      <c r="E20500" s="6" t="str">
        <f>HYPERLINK("https://inpn.mnhn.fr/espece/cd_nom/112770","Persicaria x hybrida (Chaub.) Soják, 1974")</f>
        <v>Persicaria x hybrida (Chaub.) Soják, 1974</v>
      </c>
      <c r="F20500" s="5" t="s">
        <v>25968</v>
      </c>
      <c r="AH20500" s="4" t="str">
        <f>HYPERLINK("#Statut_biogéographique!A"&amp;_xlfn.XMATCH("P",Statut_biogéographique!A:A,2,1),"P")</f>
        <v>P</v>
      </c>
      <c r="AP20500" s="4" t="s">
        <v>376</v>
      </c>
      <c r="AR20500" s="4" t="s">
        <v>377</v>
      </c>
    </row>
    <row r="20501" spans="1:44">
      <c r="A20501" s="4" t="s">
        <v>24364</v>
      </c>
      <c r="B20501" s="4">
        <v>112771</v>
      </c>
      <c r="D20501" s="5" t="s">
        <v>25969</v>
      </c>
      <c r="E20501" s="6" t="str">
        <f>HYPERLINK("https://inpn.mnhn.fr/espece/cd_nom/112771","Persicaria x intercedens (Beck) Soják, 1974")</f>
        <v>Persicaria x intercedens (Beck) Soják, 1974</v>
      </c>
      <c r="F20501" s="5" t="s">
        <v>25970</v>
      </c>
      <c r="T20501" s="7" t="str">
        <f>HYPERLINK("#Liste_rouge!A"&amp;_xlfn.XMATCH("NE",Liste_rouge!A:A,2,1),"NE")</f>
        <v>NE</v>
      </c>
      <c r="AH20501" s="4" t="str">
        <f>HYPERLINK("#Statut_biogéographique!A"&amp;_xlfn.XMATCH("P",Statut_biogéographique!A:A,2,1),"P")</f>
        <v>P</v>
      </c>
      <c r="AP20501" s="4" t="s">
        <v>376</v>
      </c>
      <c r="AR20501" s="4" t="s">
        <v>377</v>
      </c>
    </row>
    <row r="20502" spans="1:44">
      <c r="A20502" s="4" t="s">
        <v>24364</v>
      </c>
      <c r="B20502" s="4">
        <v>112772</v>
      </c>
      <c r="D20502" s="5" t="s">
        <v>25971</v>
      </c>
      <c r="E20502" s="6" t="str">
        <f>HYPERLINK("https://inpn.mnhn.fr/espece/cd_nom/112772","Persicaria x lenticularis (Hy) Soják, 1974")</f>
        <v>Persicaria x lenticularis (Hy) Soják, 1974</v>
      </c>
      <c r="F20502" s="5" t="s">
        <v>25972</v>
      </c>
      <c r="T20502" s="7" t="str">
        <f>HYPERLINK("#Liste_rouge!A"&amp;_xlfn.XMATCH("NE",Liste_rouge!A:A,2,1),"NE")</f>
        <v>NE</v>
      </c>
      <c r="AH20502" s="4" t="str">
        <f>HYPERLINK("#Statut_biogéographique!A"&amp;_xlfn.XMATCH("P",Statut_biogéographique!A:A,2,1),"P")</f>
        <v>P</v>
      </c>
      <c r="AP20502" s="4" t="s">
        <v>376</v>
      </c>
      <c r="AR20502" s="4" t="s">
        <v>377</v>
      </c>
    </row>
    <row r="20503" spans="1:44" ht="45">
      <c r="A20503" s="4" t="s">
        <v>24364</v>
      </c>
      <c r="B20503" s="4">
        <v>112778</v>
      </c>
      <c r="D20503" s="5" t="s">
        <v>25973</v>
      </c>
      <c r="E20503" s="6" t="str">
        <f>HYPERLINK("https://inpn.mnhn.fr/espece/cd_nom/112778","Petasites albus (L.) Gaertn., 1791")</f>
        <v>Petasites albus (L.) Gaertn., 1791</v>
      </c>
      <c r="F20503" s="5" t="s">
        <v>25974</v>
      </c>
      <c r="P20503" s="7" t="str">
        <f>HYPERLINK("#Liste_rouge!A"&amp;_xlfn.XMATCH("LC",Liste_rouge!A:A,2,1),"LC")</f>
        <v>LC</v>
      </c>
      <c r="Q20503" s="7" t="str">
        <f>HYPERLINK("#Liste_rouge!A"&amp;_xlfn.XMATCH("LC",Liste_rouge!A:A,2,1),"LC")</f>
        <v>LC</v>
      </c>
      <c r="T20503" s="7" t="str">
        <f>HYPERLINK("#Liste_rouge!A"&amp;_xlfn.XMATCH("NA",Liste_rouge!A:A,2,1),"NA")</f>
        <v>NA</v>
      </c>
      <c r="V20503" s="7" t="str">
        <f>HYPERLINK("#Liste_rouge!A"&amp;_xlfn.XMATCH("LC",Liste_rouge!A:A,2,1),"LC")</f>
        <v>LC</v>
      </c>
      <c r="AB20503" s="4" t="s">
        <v>24410</v>
      </c>
      <c r="AH20503" s="4" t="str">
        <f>HYPERLINK("#Statut_biogéographique!A"&amp;_xlfn.XMATCH("P",Statut_biogéographique!A:A,2,1),"P")</f>
        <v>P</v>
      </c>
      <c r="AM20503" s="4" t="s">
        <v>375</v>
      </c>
      <c r="AN20503" s="4" t="s">
        <v>375</v>
      </c>
      <c r="AO20503" s="4" t="s">
        <v>375</v>
      </c>
      <c r="AP20503" s="4" t="s">
        <v>376</v>
      </c>
      <c r="AR20503" s="4" t="s">
        <v>377</v>
      </c>
    </row>
    <row r="20504" spans="1:44" ht="75">
      <c r="A20504" s="4" t="s">
        <v>24364</v>
      </c>
      <c r="B20504" s="4">
        <v>112783</v>
      </c>
      <c r="D20504" s="5" t="s">
        <v>25975</v>
      </c>
      <c r="E20504" s="6" t="str">
        <f>HYPERLINK("https://inpn.mnhn.fr/espece/cd_nom/112783","Petasites hybridus (L.) G.Gaertn., B.Mey. &amp; Scherb., 1801")</f>
        <v>Petasites hybridus (L.) G.Gaertn., B.Mey. &amp; Scherb., 1801</v>
      </c>
      <c r="F20504" s="5" t="s">
        <v>25976</v>
      </c>
      <c r="P20504" s="7" t="str">
        <f>HYPERLINK("#Liste_rouge!A"&amp;_xlfn.XMATCH("LC",Liste_rouge!A:A,2,1),"LC")</f>
        <v>LC</v>
      </c>
      <c r="Q20504" s="7" t="str">
        <f>HYPERLINK("#Liste_rouge!A"&amp;_xlfn.XMATCH("LC",Liste_rouge!A:A,2,1),"LC")</f>
        <v>LC</v>
      </c>
      <c r="T20504" s="7" t="str">
        <f>HYPERLINK("#Liste_rouge!A"&amp;_xlfn.XMATCH("NT",Liste_rouge!A:A,2,1),"NT")</f>
        <v>NT</v>
      </c>
      <c r="U20504" s="4" t="str">
        <f>HYPERLINK("#Critères_liste_rouge!A$1","pr. D2")</f>
        <v>pr. D2</v>
      </c>
      <c r="V20504" s="7" t="str">
        <f>HYPERLINK("#Liste_rouge!A"&amp;_xlfn.XMATCH("LC",Liste_rouge!A:A,2,1),"LC")</f>
        <v>LC</v>
      </c>
      <c r="AB20504" s="4" t="s">
        <v>24803</v>
      </c>
      <c r="AH20504" s="4" t="str">
        <f>HYPERLINK("#Statut_biogéographique!A"&amp;_xlfn.XMATCH("P",Statut_biogéographique!A:A,2,1),"P")</f>
        <v>P</v>
      </c>
      <c r="AM20504" s="4" t="s">
        <v>375</v>
      </c>
      <c r="AN20504" s="4" t="s">
        <v>375</v>
      </c>
      <c r="AO20504" s="4" t="s">
        <v>375</v>
      </c>
      <c r="AP20504" s="4" t="s">
        <v>376</v>
      </c>
      <c r="AR20504" s="4" t="s">
        <v>377</v>
      </c>
    </row>
    <row r="20505" spans="1:44" ht="30">
      <c r="A20505" s="4" t="s">
        <v>24364</v>
      </c>
      <c r="B20505" s="4">
        <v>112788</v>
      </c>
      <c r="D20505" s="5" t="s">
        <v>25977</v>
      </c>
      <c r="E20505" s="6" t="str">
        <f>HYPERLINK("https://inpn.mnhn.fr/espece/cd_nom/112788","Petasites paradoxus (Retz.) Baumg., 1816")</f>
        <v>Petasites paradoxus (Retz.) Baumg., 1816</v>
      </c>
      <c r="F20505" s="5" t="s">
        <v>25978</v>
      </c>
      <c r="Q20505" s="7" t="str">
        <f>HYPERLINK("#Liste_rouge!A"&amp;_xlfn.XMATCH("LC",Liste_rouge!A:A,2,1),"LC")</f>
        <v>LC</v>
      </c>
      <c r="T20505" s="7" t="str">
        <f>HYPERLINK("#Liste_rouge!A"&amp;_xlfn.XMATCH("NA",Liste_rouge!A:A,2,1),"NA")</f>
        <v>NA</v>
      </c>
      <c r="V20505" s="7" t="str">
        <f>HYPERLINK("#Liste_rouge!A"&amp;_xlfn.XMATCH("NT",Liste_rouge!A:A,2,1),"NT")</f>
        <v>NT</v>
      </c>
      <c r="W20505" s="4" t="str">
        <f>HYPERLINK("#Critères_liste_rouge!A$1","pr.D2")</f>
        <v>pr.D2</v>
      </c>
      <c r="AB20505" s="4" t="s">
        <v>24909</v>
      </c>
      <c r="AH20505" s="4" t="str">
        <f>HYPERLINK("#Statut_biogéographique!A"&amp;_xlfn.XMATCH("P",Statut_biogéographique!A:A,2,1),"P")</f>
        <v>P</v>
      </c>
      <c r="AM20505" s="4" t="s">
        <v>375</v>
      </c>
      <c r="AN20505" s="4" t="s">
        <v>375</v>
      </c>
      <c r="AO20505" s="4" t="s">
        <v>375</v>
      </c>
      <c r="AP20505" s="4" t="s">
        <v>376</v>
      </c>
      <c r="AR20505" s="4" t="s">
        <v>377</v>
      </c>
    </row>
    <row r="20506" spans="1:44" ht="30">
      <c r="A20506" s="4" t="s">
        <v>24364</v>
      </c>
      <c r="B20506" s="4">
        <v>112790</v>
      </c>
      <c r="D20506" s="5" t="s">
        <v>25979</v>
      </c>
      <c r="E20506" s="6" t="str">
        <f>HYPERLINK("https://inpn.mnhn.fr/espece/cd_nom/112790","Petasites pyrenaicus (L.) G.López, 1986")</f>
        <v>Petasites pyrenaicus (L.) G.López, 1986</v>
      </c>
      <c r="F20506" s="5" t="s">
        <v>25980</v>
      </c>
      <c r="Q20506" s="7" t="str">
        <f>HYPERLINK("#Liste_rouge!A"&amp;_xlfn.XMATCH("NA",Liste_rouge!A:A,2,1),"NA")</f>
        <v>NA</v>
      </c>
      <c r="T20506" s="7" t="str">
        <f>HYPERLINK("#Liste_rouge!A"&amp;_xlfn.XMATCH("NA",Liste_rouge!A:A,2,1),"NA")</f>
        <v>NA</v>
      </c>
      <c r="AH20506" s="4" t="str">
        <f>HYPERLINK("#Statut_biogéographique!A"&amp;_xlfn.XMATCH("I",Statut_biogéographique!A:A,2,1),"I")</f>
        <v>I</v>
      </c>
      <c r="AM20506" s="4" t="s">
        <v>375</v>
      </c>
      <c r="AN20506" s="4" t="s">
        <v>375</v>
      </c>
      <c r="AO20506" s="4" t="s">
        <v>375</v>
      </c>
      <c r="AP20506" s="4" t="s">
        <v>376</v>
      </c>
      <c r="AR20506" s="4" t="s">
        <v>377</v>
      </c>
    </row>
    <row r="20507" spans="1:44" ht="30">
      <c r="A20507" s="4" t="s">
        <v>24364</v>
      </c>
      <c r="B20507" s="4">
        <v>112808</v>
      </c>
      <c r="D20507" s="5" t="s">
        <v>25981</v>
      </c>
      <c r="E20507" s="6" t="str">
        <f>HYPERLINK("https://inpn.mnhn.fr/espece/cd_nom/112808","Petrorhagia prolifera (L.) P.W.Ball &amp; Heywood, 1964")</f>
        <v>Petrorhagia prolifera (L.) P.W.Ball &amp; Heywood, 1964</v>
      </c>
      <c r="F20507" s="5" t="s">
        <v>25982</v>
      </c>
      <c r="Q20507" s="7" t="str">
        <f>HYPERLINK("#Liste_rouge!A"&amp;_xlfn.XMATCH("LC",Liste_rouge!A:A,2,1),"LC")</f>
        <v>LC</v>
      </c>
      <c r="T20507" s="7" t="str">
        <f>HYPERLINK("#Liste_rouge!A"&amp;_xlfn.XMATCH("LC",Liste_rouge!A:A,2,1),"LC")</f>
        <v>LC</v>
      </c>
      <c r="V20507" s="7" t="str">
        <f>HYPERLINK("#Liste_rouge!A"&amp;_xlfn.XMATCH("LC",Liste_rouge!A:A,2,1),"LC")</f>
        <v>LC</v>
      </c>
      <c r="AH20507" s="4" t="str">
        <f>HYPERLINK("#Statut_biogéographique!A"&amp;_xlfn.XMATCH("P",Statut_biogéographique!A:A,2,1),"P")</f>
        <v>P</v>
      </c>
      <c r="AM20507" s="4" t="s">
        <v>375</v>
      </c>
      <c r="AN20507" s="4" t="s">
        <v>375</v>
      </c>
      <c r="AO20507" s="4" t="s">
        <v>375</v>
      </c>
      <c r="AP20507" s="4" t="s">
        <v>376</v>
      </c>
      <c r="AR20507" s="4" t="s">
        <v>377</v>
      </c>
    </row>
    <row r="20508" spans="1:44" ht="30">
      <c r="A20508" s="4" t="s">
        <v>24364</v>
      </c>
      <c r="B20508" s="4">
        <v>112809</v>
      </c>
      <c r="D20508" s="5" t="s">
        <v>25983</v>
      </c>
      <c r="E20508" s="6" t="str">
        <f>HYPERLINK("https://inpn.mnhn.fr/espece/cd_nom/112809","Petrorhagia saxifraga (L.) Link, 1829")</f>
        <v>Petrorhagia saxifraga (L.) Link, 1829</v>
      </c>
      <c r="F20508" s="5" t="s">
        <v>25984</v>
      </c>
      <c r="Q20508" s="7" t="str">
        <f>HYPERLINK("#Liste_rouge!A"&amp;_xlfn.XMATCH("LC",Liste_rouge!A:A,2,1),"LC")</f>
        <v>LC</v>
      </c>
      <c r="AH20508" s="4" t="str">
        <f>HYPERLINK("#Statut_biogéographique!A"&amp;_xlfn.XMATCH("P",Statut_biogéographique!A:A,2,1),"P")</f>
        <v>P</v>
      </c>
      <c r="AM20508" s="4" t="s">
        <v>375</v>
      </c>
      <c r="AN20508" s="4" t="s">
        <v>375</v>
      </c>
      <c r="AO20508" s="4" t="s">
        <v>375</v>
      </c>
      <c r="AP20508" s="4" t="s">
        <v>376</v>
      </c>
      <c r="AR20508" s="4" t="s">
        <v>377</v>
      </c>
    </row>
    <row r="20509" spans="1:44" ht="60">
      <c r="A20509" s="4" t="s">
        <v>24364</v>
      </c>
      <c r="B20509" s="4">
        <v>112813</v>
      </c>
      <c r="D20509" s="5" t="s">
        <v>25985</v>
      </c>
      <c r="E20509" s="6" t="str">
        <f>HYPERLINK("https://inpn.mnhn.fr/espece/cd_nom/112813","Petrosedum forsterianum (Sm.) Grulich, 1984")</f>
        <v>Petrosedum forsterianum (Sm.) Grulich, 1984</v>
      </c>
      <c r="F20509" s="5" t="s">
        <v>25986</v>
      </c>
      <c r="Q20509" s="7" t="str">
        <f>HYPERLINK("#Liste_rouge!A"&amp;_xlfn.XMATCH("LC",Liste_rouge!A:A,2,1),"LC")</f>
        <v>LC</v>
      </c>
      <c r="T20509" s="7" t="str">
        <f>HYPERLINK("#Liste_rouge!A"&amp;_xlfn.XMATCH("LC",Liste_rouge!A:A,2,1),"LC")</f>
        <v>LC</v>
      </c>
      <c r="V20509" s="7" t="str">
        <f>HYPERLINK("#Liste_rouge!A"&amp;_xlfn.XMATCH("DD",Liste_rouge!A:A,2,1),"DD")</f>
        <v>DD</v>
      </c>
      <c r="AB20509" s="4" t="s">
        <v>24501</v>
      </c>
      <c r="AH20509" s="4" t="str">
        <f>HYPERLINK("#Statut_biogéographique!A"&amp;_xlfn.XMATCH("P",Statut_biogéographique!A:A,2,1),"P")</f>
        <v>P</v>
      </c>
      <c r="AM20509" s="4" t="s">
        <v>375</v>
      </c>
      <c r="AN20509" s="4" t="s">
        <v>375</v>
      </c>
      <c r="AO20509" s="4" t="s">
        <v>375</v>
      </c>
      <c r="AP20509" s="4" t="s">
        <v>376</v>
      </c>
      <c r="AR20509" s="4" t="s">
        <v>377</v>
      </c>
    </row>
    <row r="20510" spans="1:44" ht="30">
      <c r="A20510" s="4" t="s">
        <v>24364</v>
      </c>
      <c r="B20510" s="4">
        <v>112814</v>
      </c>
      <c r="D20510" s="5" t="s">
        <v>25987</v>
      </c>
      <c r="E20510" s="6" t="str">
        <f>HYPERLINK("https://inpn.mnhn.fr/espece/cd_nom/112814","Petrosedum montanum (Songeon &amp; E.P.Perrier) Grulich, 1984")</f>
        <v>Petrosedum montanum (Songeon &amp; E.P.Perrier) Grulich, 1984</v>
      </c>
      <c r="F20510" s="5" t="s">
        <v>25988</v>
      </c>
      <c r="Q20510" s="7" t="str">
        <f>HYPERLINK("#Liste_rouge!A"&amp;_xlfn.XMATCH("LC",Liste_rouge!A:A,2,1),"LC")</f>
        <v>LC</v>
      </c>
      <c r="V20510" s="7" t="str">
        <f>HYPERLINK("#Liste_rouge!A"&amp;_xlfn.XMATCH("DD",Liste_rouge!A:A,2,1),"DD")</f>
        <v>DD</v>
      </c>
      <c r="AH20510" s="4" t="str">
        <f>HYPERLINK("#Statut_biogéographique!A"&amp;_xlfn.XMATCH("P",Statut_biogéographique!A:A,2,1),"P")</f>
        <v>P</v>
      </c>
      <c r="AM20510" s="4" t="s">
        <v>375</v>
      </c>
      <c r="AN20510" s="4" t="s">
        <v>375</v>
      </c>
      <c r="AO20510" s="4" t="s">
        <v>375</v>
      </c>
      <c r="AP20510" s="4" t="s">
        <v>376</v>
      </c>
      <c r="AR20510" s="4" t="s">
        <v>377</v>
      </c>
    </row>
    <row r="20511" spans="1:44" ht="75">
      <c r="A20511" s="4" t="s">
        <v>24364</v>
      </c>
      <c r="B20511" s="4">
        <v>112816</v>
      </c>
      <c r="D20511" s="5" t="s">
        <v>25989</v>
      </c>
      <c r="E20511" s="6" t="str">
        <f>HYPERLINK("https://inpn.mnhn.fr/espece/cd_nom/112816","Petrosedum rupestre (L.) P.V.Heath, 1987")</f>
        <v>Petrosedum rupestre (L.) P.V.Heath, 1987</v>
      </c>
      <c r="F20511" s="5" t="s">
        <v>25990</v>
      </c>
      <c r="Q20511" s="7" t="str">
        <f>HYPERLINK("#Liste_rouge!A"&amp;_xlfn.XMATCH("LC",Liste_rouge!A:A,2,1),"LC")</f>
        <v>LC</v>
      </c>
      <c r="T20511" s="7" t="str">
        <f>HYPERLINK("#Liste_rouge!A"&amp;_xlfn.XMATCH("LC",Liste_rouge!A:A,2,1),"LC")</f>
        <v>LC</v>
      </c>
      <c r="V20511" s="7" t="str">
        <f>HYPERLINK("#Liste_rouge!A"&amp;_xlfn.XMATCH("LC",Liste_rouge!A:A,2,1),"LC")</f>
        <v>LC</v>
      </c>
      <c r="AH20511" s="4" t="str">
        <f>HYPERLINK("#Statut_biogéographique!A"&amp;_xlfn.XMATCH("P",Statut_biogéographique!A:A,2,1),"P")</f>
        <v>P</v>
      </c>
      <c r="AM20511" s="4" t="s">
        <v>375</v>
      </c>
      <c r="AN20511" s="4" t="s">
        <v>375</v>
      </c>
      <c r="AO20511" s="4" t="s">
        <v>375</v>
      </c>
      <c r="AP20511" s="4" t="s">
        <v>376</v>
      </c>
      <c r="AR20511" s="4" t="s">
        <v>377</v>
      </c>
    </row>
    <row r="20512" spans="1:44" ht="45">
      <c r="A20512" s="4" t="s">
        <v>24364</v>
      </c>
      <c r="B20512" s="4">
        <v>112817</v>
      </c>
      <c r="D20512" s="5" t="s">
        <v>25991</v>
      </c>
      <c r="E20512" s="6" t="str">
        <f>HYPERLINK("https://inpn.mnhn.fr/espece/cd_nom/112817","Petrosedum sediforme (Jacq.) Grulich, 1984")</f>
        <v>Petrosedum sediforme (Jacq.) Grulich, 1984</v>
      </c>
      <c r="F20512" s="5" t="s">
        <v>25992</v>
      </c>
      <c r="Q20512" s="7" t="str">
        <f>HYPERLINK("#Liste_rouge!A"&amp;_xlfn.XMATCH("LC",Liste_rouge!A:A,2,1),"LC")</f>
        <v>LC</v>
      </c>
      <c r="T20512" s="7" t="str">
        <f>HYPERLINK("#Liste_rouge!A"&amp;_xlfn.XMATCH("NA",Liste_rouge!A:A,2,1),"NA")</f>
        <v>NA</v>
      </c>
      <c r="AH20512" s="4" t="str">
        <f>HYPERLINK("#Statut_biogéographique!A"&amp;_xlfn.XMATCH("P",Statut_biogéographique!A:A,2,1),"P")</f>
        <v>P</v>
      </c>
      <c r="AP20512" s="4" t="s">
        <v>376</v>
      </c>
      <c r="AR20512" s="4" t="s">
        <v>377</v>
      </c>
    </row>
    <row r="20513" spans="1:44" ht="45">
      <c r="A20513" s="4" t="s">
        <v>24364</v>
      </c>
      <c r="B20513" s="4">
        <v>112821</v>
      </c>
      <c r="D20513" s="5" t="s">
        <v>25993</v>
      </c>
      <c r="E20513" s="6" t="str">
        <f>HYPERLINK("https://inpn.mnhn.fr/espece/cd_nom/112821","Petroselinum crispum (Mill.) Fuss, 1866")</f>
        <v>Petroselinum crispum (Mill.) Fuss, 1866</v>
      </c>
      <c r="F20513" s="5" t="s">
        <v>25994</v>
      </c>
      <c r="Q20513" s="7" t="str">
        <f>HYPERLINK("#Liste_rouge!A"&amp;_xlfn.XMATCH("NA",Liste_rouge!A:A,2,1),"NA")</f>
        <v>NA</v>
      </c>
      <c r="T20513" s="7" t="str">
        <f>HYPERLINK("#Liste_rouge!A"&amp;_xlfn.XMATCH("NA",Liste_rouge!A:A,2,1),"NA")</f>
        <v>NA</v>
      </c>
      <c r="AH20513" s="4" t="str">
        <f>HYPERLINK("#Statut_biogéographique!A"&amp;_xlfn.XMATCH("I",Statut_biogéographique!A:A,2,1),"I")</f>
        <v>I</v>
      </c>
      <c r="AP20513" s="4" t="s">
        <v>376</v>
      </c>
      <c r="AR20513" s="4" t="s">
        <v>377</v>
      </c>
    </row>
    <row r="20514" spans="1:44" ht="30">
      <c r="A20514" s="4" t="s">
        <v>24364</v>
      </c>
      <c r="B20514" s="4">
        <v>112832</v>
      </c>
      <c r="D20514" s="5" t="s">
        <v>25995</v>
      </c>
      <c r="E20514" s="6" t="str">
        <f>HYPERLINK("https://inpn.mnhn.fr/espece/cd_nom/112832","Petunia x atkinsiana (Sweet) D.Don ex W.H.Baxter, 1839")</f>
        <v>Petunia x atkinsiana (Sweet) D.Don ex W.H.Baxter, 1839</v>
      </c>
      <c r="F20514" s="5" t="s">
        <v>25996</v>
      </c>
      <c r="T20514" s="7" t="str">
        <f>HYPERLINK("#Liste_rouge!A"&amp;_xlfn.XMATCH("NA",Liste_rouge!A:A,2,1),"NA")</f>
        <v>NA</v>
      </c>
      <c r="AH20514" s="4" t="str">
        <f>HYPERLINK("#Statut_biogéographique!A"&amp;_xlfn.XMATCH("M",Statut_biogéographique!A:A,2,1),"M")</f>
        <v>M</v>
      </c>
      <c r="AP20514" s="4" t="s">
        <v>376</v>
      </c>
      <c r="AR20514" s="4" t="s">
        <v>377</v>
      </c>
    </row>
    <row r="20515" spans="1:44">
      <c r="A20515" s="4" t="s">
        <v>24364</v>
      </c>
      <c r="B20515" s="4">
        <v>112853</v>
      </c>
      <c r="D20515" s="5" t="s">
        <v>25997</v>
      </c>
      <c r="E20515" s="6" t="str">
        <f>HYPERLINK("https://inpn.mnhn.fr/espece/cd_nom/112853","Peucedanum gallicum Latourr., 1785")</f>
        <v>Peucedanum gallicum Latourr., 1785</v>
      </c>
      <c r="F20515" s="5" t="s">
        <v>25998</v>
      </c>
      <c r="Q20515" s="7" t="str">
        <f>HYPERLINK("#Liste_rouge!A"&amp;_xlfn.XMATCH("LC",Liste_rouge!A:A,2,1),"LC")</f>
        <v>LC</v>
      </c>
      <c r="T20515" s="7" t="str">
        <f>HYPERLINK("#Liste_rouge!A"&amp;_xlfn.XMATCH("LC",Liste_rouge!A:A,2,1),"LC")</f>
        <v>LC</v>
      </c>
      <c r="AB20515" s="4" t="s">
        <v>24486</v>
      </c>
      <c r="AH20515" s="4" t="str">
        <f>HYPERLINK("#Statut_biogéographique!A"&amp;_xlfn.XMATCH("P",Statut_biogéographique!A:A,2,1),"P")</f>
        <v>P</v>
      </c>
      <c r="AM20515" s="4" t="s">
        <v>375</v>
      </c>
      <c r="AN20515" s="4" t="s">
        <v>375</v>
      </c>
      <c r="AO20515" s="4" t="s">
        <v>375</v>
      </c>
      <c r="AP20515" s="4" t="s">
        <v>376</v>
      </c>
      <c r="AR20515" s="4" t="s">
        <v>377</v>
      </c>
    </row>
    <row r="20516" spans="1:44">
      <c r="A20516" s="4" t="s">
        <v>24364</v>
      </c>
      <c r="B20516" s="4">
        <v>112915</v>
      </c>
      <c r="D20516" s="5" t="s">
        <v>25999</v>
      </c>
      <c r="E20516" s="6" t="str">
        <f>HYPERLINK("https://inpn.mnhn.fr/espece/cd_nom/112915","Phacelia tanacetifolia Benth., 1835")</f>
        <v>Phacelia tanacetifolia Benth., 1835</v>
      </c>
      <c r="F20516" s="5" t="s">
        <v>26000</v>
      </c>
      <c r="Q20516" s="7" t="str">
        <f>HYPERLINK("#Liste_rouge!A"&amp;_xlfn.XMATCH("NA",Liste_rouge!A:A,2,1),"NA")</f>
        <v>NA</v>
      </c>
      <c r="T20516" s="7" t="str">
        <f>HYPERLINK("#Liste_rouge!A"&amp;_xlfn.XMATCH("NA",Liste_rouge!A:A,2,1),"NA")</f>
        <v>NA</v>
      </c>
      <c r="AH20516" s="4" t="str">
        <f>HYPERLINK("#Statut_biogéographique!A"&amp;_xlfn.XMATCH("M",Statut_biogéographique!A:A,2,1),"M")</f>
        <v>M</v>
      </c>
      <c r="AP20516" s="4" t="s">
        <v>376</v>
      </c>
      <c r="AR20516" s="4" t="s">
        <v>377</v>
      </c>
    </row>
    <row r="20517" spans="1:44" ht="60">
      <c r="A20517" s="4" t="s">
        <v>24364</v>
      </c>
      <c r="B20517" s="4">
        <v>112972</v>
      </c>
      <c r="D20517" s="5" t="s">
        <v>26001</v>
      </c>
      <c r="E20517" s="6" t="str">
        <f>HYPERLINK("https://inpn.mnhn.fr/espece/cd_nom/112972","Phalaris aquatica L., 1755")</f>
        <v>Phalaris aquatica L., 1755</v>
      </c>
      <c r="F20517" s="5" t="s">
        <v>26002</v>
      </c>
      <c r="P20517" s="7" t="str">
        <f>HYPERLINK("#Liste_rouge!A"&amp;_xlfn.XMATCH("LC",Liste_rouge!A:A,2,1),"LC")</f>
        <v>LC</v>
      </c>
      <c r="Q20517" s="7" t="str">
        <f>HYPERLINK("#Liste_rouge!A"&amp;_xlfn.XMATCH("LC",Liste_rouge!A:A,2,1),"LC")</f>
        <v>LC</v>
      </c>
      <c r="T20517" s="7" t="str">
        <f>HYPERLINK("#Liste_rouge!A"&amp;_xlfn.XMATCH("NA",Liste_rouge!A:A,2,1),"NA")</f>
        <v>NA</v>
      </c>
      <c r="AH20517" s="4" t="str">
        <f>HYPERLINK("#Statut_biogéographique!A"&amp;_xlfn.XMATCH("P",Statut_biogéographique!A:A,2,1),"P")</f>
        <v>P</v>
      </c>
      <c r="AP20517" s="4" t="s">
        <v>376</v>
      </c>
      <c r="AR20517" s="4" t="s">
        <v>377</v>
      </c>
    </row>
    <row r="20518" spans="1:44" ht="45">
      <c r="A20518" s="4" t="s">
        <v>24364</v>
      </c>
      <c r="B20518" s="4">
        <v>112975</v>
      </c>
      <c r="D20518" s="5" t="s">
        <v>26003</v>
      </c>
      <c r="E20518" s="6" t="str">
        <f>HYPERLINK("https://inpn.mnhn.fr/espece/cd_nom/112975","Phalaris arundinacea L., 1753")</f>
        <v>Phalaris arundinacea L., 1753</v>
      </c>
      <c r="F20518" s="5" t="s">
        <v>26004</v>
      </c>
      <c r="O20518" s="7" t="str">
        <f>HYPERLINK("#Liste_rouge!A"&amp;_xlfn.XMATCH("LC",Liste_rouge!A:A,2,1),"LC")</f>
        <v>LC</v>
      </c>
      <c r="P20518" s="7" t="str">
        <f>HYPERLINK("#Liste_rouge!A"&amp;_xlfn.XMATCH("LC",Liste_rouge!A:A,2,1),"LC")</f>
        <v>LC</v>
      </c>
      <c r="Q20518" s="7" t="str">
        <f>HYPERLINK("#Liste_rouge!A"&amp;_xlfn.XMATCH("LC",Liste_rouge!A:A,2,1),"LC")</f>
        <v>LC</v>
      </c>
      <c r="T20518" s="7" t="str">
        <f>HYPERLINK("#Liste_rouge!A"&amp;_xlfn.XMATCH("LC",Liste_rouge!A:A,2,1),"LC")</f>
        <v>LC</v>
      </c>
      <c r="V20518" s="7" t="str">
        <f>HYPERLINK("#Liste_rouge!A"&amp;_xlfn.XMATCH("LC",Liste_rouge!A:A,2,1),"LC")</f>
        <v>LC</v>
      </c>
      <c r="AH20518" s="4" t="str">
        <f>HYPERLINK("#Statut_biogéographique!A"&amp;_xlfn.XMATCH("P",Statut_biogéographique!A:A,2,1),"P")</f>
        <v>P</v>
      </c>
      <c r="AM20518" s="4" t="s">
        <v>375</v>
      </c>
      <c r="AN20518" s="4" t="s">
        <v>375</v>
      </c>
      <c r="AO20518" s="4" t="s">
        <v>375</v>
      </c>
      <c r="AP20518" s="4" t="s">
        <v>376</v>
      </c>
      <c r="AR20518" s="4" t="s">
        <v>377</v>
      </c>
    </row>
    <row r="20519" spans="1:44" ht="30">
      <c r="A20519" s="4" t="s">
        <v>24364</v>
      </c>
      <c r="B20519" s="4">
        <v>112980</v>
      </c>
      <c r="D20519" s="5" t="s">
        <v>26005</v>
      </c>
      <c r="E20519" s="6" t="str">
        <f>HYPERLINK("https://inpn.mnhn.fr/espece/cd_nom/112980","Phalaris brachystachys Link, 1806")</f>
        <v>Phalaris brachystachys Link, 1806</v>
      </c>
      <c r="F20519" s="5" t="s">
        <v>26006</v>
      </c>
      <c r="Q20519" s="7" t="str">
        <f>HYPERLINK("#Liste_rouge!A"&amp;_xlfn.XMATCH("VU",Liste_rouge!A:A,2,1),"VU")</f>
        <v>VU</v>
      </c>
      <c r="T20519" s="7" t="str">
        <f>HYPERLINK("#Liste_rouge!A"&amp;_xlfn.XMATCH("NA",Liste_rouge!A:A,2,1),"NA")</f>
        <v>NA</v>
      </c>
      <c r="AH20519" s="4" t="str">
        <f>HYPERLINK("#Statut_biogéographique!A"&amp;_xlfn.XMATCH("P",Statut_biogéographique!A:A,2,1),"P")</f>
        <v>P</v>
      </c>
      <c r="AP20519" s="4" t="s">
        <v>376</v>
      </c>
      <c r="AR20519" s="4" t="s">
        <v>377</v>
      </c>
    </row>
    <row r="20520" spans="1:44" ht="30">
      <c r="A20520" s="4" t="s">
        <v>24364</v>
      </c>
      <c r="B20520" s="4">
        <v>112988</v>
      </c>
      <c r="D20520" s="5" t="s">
        <v>26007</v>
      </c>
      <c r="E20520" s="6" t="str">
        <f>HYPERLINK("https://inpn.mnhn.fr/espece/cd_nom/112988","Phalaris canariensis L., 1753")</f>
        <v>Phalaris canariensis L., 1753</v>
      </c>
      <c r="F20520" s="5" t="s">
        <v>26008</v>
      </c>
      <c r="Q20520" s="7" t="str">
        <f>HYPERLINK("#Liste_rouge!A"&amp;_xlfn.XMATCH("NA",Liste_rouge!A:A,2,1),"NA")</f>
        <v>NA</v>
      </c>
      <c r="T20520" s="7" t="str">
        <f>HYPERLINK("#Liste_rouge!A"&amp;_xlfn.XMATCH("NA",Liste_rouge!A:A,2,1),"NA")</f>
        <v>NA</v>
      </c>
      <c r="AH20520" s="4" t="str">
        <f>HYPERLINK("#Statut_biogéographique!A"&amp;_xlfn.XMATCH("I",Statut_biogéographique!A:A,2,1),"I")</f>
        <v>I</v>
      </c>
      <c r="AM20520" s="4" t="s">
        <v>375</v>
      </c>
      <c r="AN20520" s="4" t="s">
        <v>375</v>
      </c>
      <c r="AO20520" s="4" t="s">
        <v>375</v>
      </c>
      <c r="AP20520" s="4" t="s">
        <v>376</v>
      </c>
      <c r="AR20520" s="4" t="s">
        <v>377</v>
      </c>
    </row>
    <row r="20521" spans="1:44" ht="60">
      <c r="A20521" s="4" t="s">
        <v>24364</v>
      </c>
      <c r="B20521" s="4">
        <v>113007</v>
      </c>
      <c r="D20521" s="5" t="s">
        <v>26009</v>
      </c>
      <c r="E20521" s="6" t="str">
        <f>HYPERLINK("https://inpn.mnhn.fr/espece/cd_nom/113007","Phalaris minor Retz., 1783")</f>
        <v>Phalaris minor Retz., 1783</v>
      </c>
      <c r="F20521" s="5" t="s">
        <v>26010</v>
      </c>
      <c r="Q20521" s="7" t="str">
        <f>HYPERLINK("#Liste_rouge!A"&amp;_xlfn.XMATCH("LC",Liste_rouge!A:A,2,1),"LC")</f>
        <v>LC</v>
      </c>
      <c r="T20521" s="7" t="str">
        <f>HYPERLINK("#Liste_rouge!A"&amp;_xlfn.XMATCH("NA",Liste_rouge!A:A,2,1),"NA")</f>
        <v>NA</v>
      </c>
      <c r="AH20521" s="4" t="str">
        <f>HYPERLINK("#Statut_biogéographique!A"&amp;_xlfn.XMATCH("P",Statut_biogéographique!A:A,2,1),"P")</f>
        <v>P</v>
      </c>
      <c r="AP20521" s="4" t="s">
        <v>376</v>
      </c>
      <c r="AR20521" s="4" t="s">
        <v>377</v>
      </c>
    </row>
    <row r="20522" spans="1:44">
      <c r="A20522" s="4" t="s">
        <v>24364</v>
      </c>
      <c r="B20522" s="4">
        <v>113016</v>
      </c>
      <c r="D20522" s="5" t="s">
        <v>26011</v>
      </c>
      <c r="E20522" s="6" t="str">
        <f>HYPERLINK("https://inpn.mnhn.fr/espece/cd_nom/113016","Phalaris paradoxa L., 1763")</f>
        <v>Phalaris paradoxa L., 1763</v>
      </c>
      <c r="F20522" s="5" t="s">
        <v>26012</v>
      </c>
      <c r="Q20522" s="7" t="str">
        <f>HYPERLINK("#Liste_rouge!A"&amp;_xlfn.XMATCH("LC",Liste_rouge!A:A,2,1),"LC")</f>
        <v>LC</v>
      </c>
      <c r="T20522" s="7" t="str">
        <f>HYPERLINK("#Liste_rouge!A"&amp;_xlfn.XMATCH("NA",Liste_rouge!A:A,2,1),"NA")</f>
        <v>NA</v>
      </c>
      <c r="AH20522" s="4" t="str">
        <f>HYPERLINK("#Statut_biogéographique!A"&amp;_xlfn.XMATCH("P",Statut_biogéographique!A:A,2,1),"P")</f>
        <v>P</v>
      </c>
      <c r="AP20522" s="4" t="s">
        <v>376</v>
      </c>
      <c r="AR20522" s="4" t="s">
        <v>377</v>
      </c>
    </row>
    <row r="20523" spans="1:44" ht="60">
      <c r="A20523" s="4" t="s">
        <v>24364</v>
      </c>
      <c r="B20523" s="4">
        <v>113079</v>
      </c>
      <c r="D20523" s="5" t="s">
        <v>26013</v>
      </c>
      <c r="E20523" s="6" t="str">
        <f>HYPERLINK("https://inpn.mnhn.fr/espece/cd_nom/113079","Phegopteris connectilis (Michx.) Watt, 1867")</f>
        <v>Phegopteris connectilis (Michx.) Watt, 1867</v>
      </c>
      <c r="F20523" s="5" t="s">
        <v>26014</v>
      </c>
      <c r="P20523" s="7" t="str">
        <f>HYPERLINK("#Liste_rouge!A"&amp;_xlfn.XMATCH("LC",Liste_rouge!A:A,2,1),"LC")</f>
        <v>LC</v>
      </c>
      <c r="Q20523" s="7" t="str">
        <f>HYPERLINK("#Liste_rouge!A"&amp;_xlfn.XMATCH("LC",Liste_rouge!A:A,2,1),"LC")</f>
        <v>LC</v>
      </c>
      <c r="T20523" s="7" t="str">
        <f>HYPERLINK("#Liste_rouge!A"&amp;_xlfn.XMATCH("VU",Liste_rouge!A:A,2,1),"VU")</f>
        <v>VU</v>
      </c>
      <c r="U20523" s="4" t="str">
        <f>HYPERLINK("#Critères_liste_rouge!A$1","D2")</f>
        <v>D2</v>
      </c>
      <c r="V20523" s="7" t="str">
        <f>HYPERLINK("#Liste_rouge!A"&amp;_xlfn.XMATCH("LC",Liste_rouge!A:A,2,1),"LC")</f>
        <v>LC</v>
      </c>
      <c r="AB20523" s="4" t="s">
        <v>24767</v>
      </c>
      <c r="AH20523" s="4" t="str">
        <f>HYPERLINK("#Statut_biogéographique!A"&amp;_xlfn.XMATCH("P",Statut_biogéographique!A:A,2,1),"P")</f>
        <v>P</v>
      </c>
      <c r="AM20523" s="4" t="s">
        <v>375</v>
      </c>
      <c r="AN20523" s="4" t="s">
        <v>375</v>
      </c>
      <c r="AO20523" s="4" t="s">
        <v>375</v>
      </c>
      <c r="AP20523" s="4" t="s">
        <v>376</v>
      </c>
      <c r="AR20523" s="4" t="s">
        <v>377</v>
      </c>
    </row>
    <row r="20524" spans="1:44" ht="45">
      <c r="A20524" s="4" t="s">
        <v>24364</v>
      </c>
      <c r="B20524" s="4">
        <v>113090</v>
      </c>
      <c r="D20524" s="5" t="s">
        <v>26015</v>
      </c>
      <c r="E20524" s="6" t="str">
        <f>HYPERLINK("https://inpn.mnhn.fr/espece/cd_nom/113090","Phelipanche arenaria (Borkh.) Pomel, 1874")</f>
        <v>Phelipanche arenaria (Borkh.) Pomel, 1874</v>
      </c>
      <c r="F20524" s="5" t="s">
        <v>26016</v>
      </c>
      <c r="Q20524" s="7" t="str">
        <f>HYPERLINK("#Liste_rouge!A"&amp;_xlfn.XMATCH("NT",Liste_rouge!A:A,2,1),"NT")</f>
        <v>NT</v>
      </c>
      <c r="T20524" s="7" t="str">
        <f>HYPERLINK("#Liste_rouge!A"&amp;_xlfn.XMATCH("RE",Liste_rouge!A:A,2,1),"RE")</f>
        <v>RE</v>
      </c>
      <c r="AH20524" s="4" t="str">
        <f>HYPERLINK("#Statut_biogéographique!A"&amp;_xlfn.XMATCH("P",Statut_biogéographique!A:A,2,1),"P")</f>
        <v>P</v>
      </c>
      <c r="AM20524" s="4" t="s">
        <v>375</v>
      </c>
      <c r="AN20524" s="4" t="s">
        <v>375</v>
      </c>
      <c r="AO20524" s="4" t="s">
        <v>375</v>
      </c>
      <c r="AP20524" s="4" t="s">
        <v>376</v>
      </c>
      <c r="AR20524" s="4" t="s">
        <v>377</v>
      </c>
    </row>
    <row r="20525" spans="1:44" ht="60">
      <c r="A20525" s="4" t="s">
        <v>24364</v>
      </c>
      <c r="B20525" s="4">
        <v>113097</v>
      </c>
      <c r="D20525" s="5" t="s">
        <v>26017</v>
      </c>
      <c r="E20525" s="6" t="str">
        <f>HYPERLINK("https://inpn.mnhn.fr/espece/cd_nom/113097","Phelipanche mutelii (Reut.) Pomel, 1874")</f>
        <v>Phelipanche mutelii (Reut.) Pomel, 1874</v>
      </c>
      <c r="F20525" s="5" t="s">
        <v>26018</v>
      </c>
      <c r="T20525" s="7" t="str">
        <f>HYPERLINK("#Liste_rouge!A"&amp;_xlfn.XMATCH("NA",Liste_rouge!A:A,2,1),"NA")</f>
        <v>NA</v>
      </c>
      <c r="AH20525" s="4" t="str">
        <f>HYPERLINK("#Statut_biogéographique!A"&amp;_xlfn.XMATCH("Q",Statut_biogéographique!A:A,2,1),"Q")</f>
        <v>Q</v>
      </c>
      <c r="AP20525" s="4" t="s">
        <v>376</v>
      </c>
      <c r="AR20525" s="4" t="s">
        <v>377</v>
      </c>
    </row>
    <row r="20526" spans="1:44" ht="45">
      <c r="A20526" s="4" t="s">
        <v>24364</v>
      </c>
      <c r="B20526" s="4">
        <v>113099</v>
      </c>
      <c r="D20526" s="5" t="s">
        <v>26019</v>
      </c>
      <c r="E20526" s="6" t="str">
        <f>HYPERLINK("https://inpn.mnhn.fr/espece/cd_nom/113099","Phelipanche purpurea (Jacq.) Soják, 1972")</f>
        <v>Phelipanche purpurea (Jacq.) Soják, 1972</v>
      </c>
      <c r="F20526" s="5" t="s">
        <v>26020</v>
      </c>
      <c r="Q20526" s="7" t="str">
        <f>HYPERLINK("#Liste_rouge!A"&amp;_xlfn.XMATCH("LC",Liste_rouge!A:A,2,1),"LC")</f>
        <v>LC</v>
      </c>
      <c r="T20526" s="7" t="str">
        <f>HYPERLINK("#Liste_rouge!A"&amp;_xlfn.XMATCH("EN",Liste_rouge!A:A,2,1),"EN")</f>
        <v>EN</v>
      </c>
      <c r="U20526" s="4" t="str">
        <f>HYPERLINK("#Critères_liste_rouge!A$1","C2a(i)")</f>
        <v>C2a(i)</v>
      </c>
      <c r="V20526" s="7" t="str">
        <f>HYPERLINK("#Liste_rouge!A"&amp;_xlfn.XMATCH("VU",Liste_rouge!A:A,2,1),"VU")</f>
        <v>VU</v>
      </c>
      <c r="W20526" s="4" t="str">
        <f>HYPERLINK("#Critères_liste_rouge!A$1","B2ac(iii,iv)")</f>
        <v>B2ac(iii,iv)</v>
      </c>
      <c r="X20526" s="5" t="s">
        <v>374</v>
      </c>
      <c r="AB20526" s="4" t="s">
        <v>93</v>
      </c>
      <c r="AH20526" s="4" t="str">
        <f>HYPERLINK("#Statut_biogéographique!A"&amp;_xlfn.XMATCH("P",Statut_biogéographique!A:A,2,1),"P")</f>
        <v>P</v>
      </c>
      <c r="AM20526" s="4" t="s">
        <v>375</v>
      </c>
      <c r="AN20526" s="4" t="s">
        <v>375</v>
      </c>
      <c r="AO20526" s="4" t="s">
        <v>375</v>
      </c>
      <c r="AP20526" s="4" t="s">
        <v>376</v>
      </c>
      <c r="AR20526" s="4" t="s">
        <v>377</v>
      </c>
    </row>
    <row r="20527" spans="1:44" ht="30">
      <c r="A20527" s="4" t="s">
        <v>24364</v>
      </c>
      <c r="B20527" s="4">
        <v>113100</v>
      </c>
      <c r="D20527" s="5" t="s">
        <v>26021</v>
      </c>
      <c r="E20527" s="6" t="str">
        <f>HYPERLINK("https://inpn.mnhn.fr/espece/cd_nom/113100","Phelipanche ramosa (L.) Pomel, 1874")</f>
        <v>Phelipanche ramosa (L.) Pomel, 1874</v>
      </c>
      <c r="F20527" s="5" t="s">
        <v>26022</v>
      </c>
      <c r="Q20527" s="7" t="str">
        <f>HYPERLINK("#Liste_rouge!A"&amp;_xlfn.XMATCH("LC",Liste_rouge!A:A,2,1),"LC")</f>
        <v>LC</v>
      </c>
      <c r="T20527" s="7" t="str">
        <f>HYPERLINK("#Liste_rouge!A"&amp;_xlfn.XMATCH("NA",Liste_rouge!A:A,2,1),"NA")</f>
        <v>NA</v>
      </c>
      <c r="AH20527" s="4" t="str">
        <f>HYPERLINK("#Statut_biogéographique!A"&amp;_xlfn.XMATCH("P",Statut_biogéographique!A:A,2,1),"P")</f>
        <v>P</v>
      </c>
      <c r="AP20527" s="4" t="s">
        <v>376</v>
      </c>
      <c r="AR20527" s="4" t="s">
        <v>377</v>
      </c>
    </row>
    <row r="20528" spans="1:44" ht="30">
      <c r="A20528" s="4" t="s">
        <v>24364</v>
      </c>
      <c r="B20528" s="4">
        <v>113134</v>
      </c>
      <c r="D20528" s="5" t="s">
        <v>26023</v>
      </c>
      <c r="E20528" s="6" t="str">
        <f>HYPERLINK("https://inpn.mnhn.fr/espece/cd_nom/113134","Philadelphus coronarius L., 1753")</f>
        <v>Philadelphus coronarius L., 1753</v>
      </c>
      <c r="F20528" s="5" t="s">
        <v>26024</v>
      </c>
      <c r="Q20528" s="7" t="str">
        <f>HYPERLINK("#Liste_rouge!A"&amp;_xlfn.XMATCH("NA",Liste_rouge!A:A,2,1),"NA")</f>
        <v>NA</v>
      </c>
      <c r="T20528" s="7" t="str">
        <f>HYPERLINK("#Liste_rouge!A"&amp;_xlfn.XMATCH("NA",Liste_rouge!A:A,2,1),"NA")</f>
        <v>NA</v>
      </c>
      <c r="AH20528" s="4" t="str">
        <f>HYPERLINK("#Statut_biogéographique!A"&amp;_xlfn.XMATCH("I",Statut_biogéographique!A:A,2,1),"I")</f>
        <v>I</v>
      </c>
      <c r="AP20528" s="4" t="s">
        <v>376</v>
      </c>
      <c r="AR20528" s="4" t="s">
        <v>377</v>
      </c>
    </row>
    <row r="20529" spans="1:44" ht="45">
      <c r="A20529" s="4" t="s">
        <v>24364</v>
      </c>
      <c r="B20529" s="4">
        <v>113175</v>
      </c>
      <c r="D20529" s="5" t="s">
        <v>26025</v>
      </c>
      <c r="E20529" s="6" t="str">
        <f>HYPERLINK("https://inpn.mnhn.fr/espece/cd_nom/113175","Phleum alpinum L., 1753")</f>
        <v>Phleum alpinum L., 1753</v>
      </c>
      <c r="F20529" s="5" t="s">
        <v>26026</v>
      </c>
      <c r="O20529" s="7" t="str">
        <f>HYPERLINK("#Liste_rouge!A"&amp;_xlfn.XMATCH("LC",Liste_rouge!A:A,2,1),"LC")</f>
        <v>LC</v>
      </c>
      <c r="Q20529" s="7" t="str">
        <f>HYPERLINK("#Liste_rouge!A"&amp;_xlfn.XMATCH("LC",Liste_rouge!A:A,2,1),"LC")</f>
        <v>LC</v>
      </c>
      <c r="AH20529" s="4" t="str">
        <f>HYPERLINK("#Statut_biogéographique!A"&amp;_xlfn.XMATCH("P",Statut_biogéographique!A:A,2,1),"P")</f>
        <v>P</v>
      </c>
      <c r="AP20529" s="4" t="s">
        <v>376</v>
      </c>
      <c r="AR20529" s="4" t="s">
        <v>377</v>
      </c>
    </row>
    <row r="20530" spans="1:44" ht="105">
      <c r="A20530" s="4" t="s">
        <v>24364</v>
      </c>
      <c r="B20530" s="4">
        <v>113212</v>
      </c>
      <c r="D20530" s="5" t="s">
        <v>26027</v>
      </c>
      <c r="E20530" s="6" t="str">
        <f>HYPERLINK("https://inpn.mnhn.fr/espece/cd_nom/113212","Phleum nodosum L., 1759")</f>
        <v>Phleum nodosum L., 1759</v>
      </c>
      <c r="F20530" s="5" t="s">
        <v>26028</v>
      </c>
      <c r="Q20530" s="7" t="str">
        <f>HYPERLINK("#Liste_rouge!A"&amp;_xlfn.XMATCH("LC",Liste_rouge!A:A,2,1),"LC")</f>
        <v>LC</v>
      </c>
      <c r="T20530" s="7" t="str">
        <f>HYPERLINK("#Liste_rouge!A"&amp;_xlfn.XMATCH("LC",Liste_rouge!A:A,2,1),"LC")</f>
        <v>LC</v>
      </c>
      <c r="V20530" s="7" t="str">
        <f>HYPERLINK("#Liste_rouge!A"&amp;_xlfn.XMATCH("LC",Liste_rouge!A:A,2,1),"LC")</f>
        <v>LC</v>
      </c>
      <c r="AH20530" s="4" t="str">
        <f>HYPERLINK("#Statut_biogéographique!A"&amp;_xlfn.XMATCH("P",Statut_biogéographique!A:A,2,1),"P")</f>
        <v>P</v>
      </c>
      <c r="AM20530" s="4" t="s">
        <v>375</v>
      </c>
      <c r="AN20530" s="4" t="s">
        <v>375</v>
      </c>
      <c r="AO20530" s="4" t="s">
        <v>375</v>
      </c>
      <c r="AP20530" s="4" t="s">
        <v>376</v>
      </c>
      <c r="AR20530" s="4" t="s">
        <v>377</v>
      </c>
    </row>
    <row r="20531" spans="1:44" ht="45">
      <c r="A20531" s="4" t="s">
        <v>24364</v>
      </c>
      <c r="B20531" s="4">
        <v>113213</v>
      </c>
      <c r="D20531" s="5" t="s">
        <v>26029</v>
      </c>
      <c r="E20531" s="6" t="str">
        <f>HYPERLINK("https://inpn.mnhn.fr/espece/cd_nom/113213","Phleum paniculatum Huds., 1762")</f>
        <v>Phleum paniculatum Huds., 1762</v>
      </c>
      <c r="F20531" s="5" t="s">
        <v>26030</v>
      </c>
      <c r="Q20531" s="7" t="str">
        <f>HYPERLINK("#Liste_rouge!A"&amp;_xlfn.XMATCH("LC",Liste_rouge!A:A,2,1),"LC")</f>
        <v>LC</v>
      </c>
      <c r="T20531" s="7" t="str">
        <f>HYPERLINK("#Liste_rouge!A"&amp;_xlfn.XMATCH("NA",Liste_rouge!A:A,2,1),"NA")</f>
        <v>NA</v>
      </c>
      <c r="AH20531" s="4" t="str">
        <f>HYPERLINK("#Statut_biogéographique!A"&amp;_xlfn.XMATCH("P",Statut_biogéographique!A:A,2,1),"P")</f>
        <v>P</v>
      </c>
      <c r="AP20531" s="4" t="s">
        <v>376</v>
      </c>
      <c r="AR20531" s="4" t="s">
        <v>377</v>
      </c>
    </row>
    <row r="20532" spans="1:44" ht="120">
      <c r="A20532" s="4" t="s">
        <v>24364</v>
      </c>
      <c r="B20532" s="4">
        <v>113219</v>
      </c>
      <c r="D20532" s="5" t="s">
        <v>26031</v>
      </c>
      <c r="E20532" s="6" t="str">
        <f>HYPERLINK("https://inpn.mnhn.fr/espece/cd_nom/113219","Phleum phleoides (L.) H.Karst., 1880")</f>
        <v>Phleum phleoides (L.) H.Karst., 1880</v>
      </c>
      <c r="F20532" s="5" t="s">
        <v>26032</v>
      </c>
      <c r="Q20532" s="7" t="str">
        <f>HYPERLINK("#Liste_rouge!A"&amp;_xlfn.XMATCH("LC",Liste_rouge!A:A,2,1),"LC")</f>
        <v>LC</v>
      </c>
      <c r="T20532" s="7" t="str">
        <f>HYPERLINK("#Liste_rouge!A"&amp;_xlfn.XMATCH("LC",Liste_rouge!A:A,2,1),"LC")</f>
        <v>LC</v>
      </c>
      <c r="V20532" s="7" t="str">
        <f>HYPERLINK("#Liste_rouge!A"&amp;_xlfn.XMATCH("LC",Liste_rouge!A:A,2,1),"LC")</f>
        <v>LC</v>
      </c>
      <c r="AB20532" s="4" t="s">
        <v>25299</v>
      </c>
      <c r="AH20532" s="4" t="str">
        <f>HYPERLINK("#Statut_biogéographique!A"&amp;_xlfn.XMATCH("P",Statut_biogéographique!A:A,2,1),"P")</f>
        <v>P</v>
      </c>
      <c r="AM20532" s="4" t="s">
        <v>375</v>
      </c>
      <c r="AN20532" s="4" t="s">
        <v>375</v>
      </c>
      <c r="AO20532" s="4" t="s">
        <v>375</v>
      </c>
      <c r="AP20532" s="4" t="s">
        <v>376</v>
      </c>
      <c r="AR20532" s="4" t="s">
        <v>377</v>
      </c>
    </row>
    <row r="20533" spans="1:44" ht="60">
      <c r="A20533" s="4" t="s">
        <v>24364</v>
      </c>
      <c r="B20533" s="4">
        <v>113221</v>
      </c>
      <c r="D20533" s="5" t="s">
        <v>26033</v>
      </c>
      <c r="E20533" s="6" t="str">
        <f>HYPERLINK("https://inpn.mnhn.fr/espece/cd_nom/113221","Phleum pratense L., 1753")</f>
        <v>Phleum pratense L., 1753</v>
      </c>
      <c r="F20533" s="5" t="s">
        <v>26034</v>
      </c>
      <c r="P20533" s="7" t="str">
        <f>HYPERLINK("#Liste_rouge!A"&amp;_xlfn.XMATCH("LC",Liste_rouge!A:A,2,1),"LC")</f>
        <v>LC</v>
      </c>
      <c r="Q20533" s="7" t="str">
        <f>HYPERLINK("#Liste_rouge!A"&amp;_xlfn.XMATCH("LC",Liste_rouge!A:A,2,1),"LC")</f>
        <v>LC</v>
      </c>
      <c r="T20533" s="7" t="str">
        <f>HYPERLINK("#Liste_rouge!A"&amp;_xlfn.XMATCH("LC",Liste_rouge!A:A,2,1),"LC")</f>
        <v>LC</v>
      </c>
      <c r="AH20533" s="4" t="str">
        <f>HYPERLINK("#Statut_biogéographique!A"&amp;_xlfn.XMATCH("P",Statut_biogéographique!A:A,2,1),"P")</f>
        <v>P</v>
      </c>
      <c r="AM20533" s="4" t="s">
        <v>375</v>
      </c>
      <c r="AN20533" s="4" t="s">
        <v>375</v>
      </c>
      <c r="AO20533" s="4" t="s">
        <v>375</v>
      </c>
      <c r="AP20533" s="4" t="s">
        <v>376</v>
      </c>
      <c r="AR20533" s="4" t="s">
        <v>377</v>
      </c>
    </row>
    <row r="20534" spans="1:44" ht="30">
      <c r="A20534" s="4" t="s">
        <v>24364</v>
      </c>
      <c r="B20534" s="4">
        <v>113224</v>
      </c>
      <c r="D20534" s="5" t="s">
        <v>26035</v>
      </c>
      <c r="E20534" s="6" t="str">
        <f>HYPERLINK("https://inpn.mnhn.fr/espece/cd_nom/113224","Phleum rhaeticum (Humphries) Rauschert, 1979")</f>
        <v>Phleum rhaeticum (Humphries) Rauschert, 1979</v>
      </c>
      <c r="F20534" s="5" t="s">
        <v>26036</v>
      </c>
      <c r="Q20534" s="7" t="str">
        <f>HYPERLINK("#Liste_rouge!A"&amp;_xlfn.XMATCH("LC",Liste_rouge!A:A,2,1),"LC")</f>
        <v>LC</v>
      </c>
      <c r="V20534" s="7" t="str">
        <f>HYPERLINK("#Liste_rouge!A"&amp;_xlfn.XMATCH("NT",Liste_rouge!A:A,2,1),"NT")</f>
        <v>NT</v>
      </c>
      <c r="W20534" s="4" t="str">
        <f>HYPERLINK("#Critères_liste_rouge!A$1","pr. D2")</f>
        <v>pr. D2</v>
      </c>
      <c r="X20534" s="5" t="s">
        <v>374</v>
      </c>
      <c r="AB20534" s="4" t="s">
        <v>93</v>
      </c>
      <c r="AH20534" s="4" t="str">
        <f>HYPERLINK("#Statut_biogéographique!A"&amp;_xlfn.XMATCH("P",Statut_biogéographique!A:A,2,1),"P")</f>
        <v>P</v>
      </c>
      <c r="AM20534" s="4" t="s">
        <v>375</v>
      </c>
      <c r="AN20534" s="4" t="s">
        <v>375</v>
      </c>
      <c r="AO20534" s="4" t="s">
        <v>375</v>
      </c>
      <c r="AP20534" s="4" t="s">
        <v>376</v>
      </c>
      <c r="AR20534" s="4" t="s">
        <v>377</v>
      </c>
    </row>
    <row r="20535" spans="1:44" ht="30">
      <c r="A20535" s="4" t="s">
        <v>24364</v>
      </c>
      <c r="B20535" s="4">
        <v>113239</v>
      </c>
      <c r="D20535" s="5" t="s">
        <v>26037</v>
      </c>
      <c r="E20535" s="6" t="str">
        <f>HYPERLINK("https://inpn.mnhn.fr/espece/cd_nom/113239","Phlomis fruticosa L., 1753")</f>
        <v>Phlomis fruticosa L., 1753</v>
      </c>
      <c r="F20535" s="5" t="s">
        <v>26038</v>
      </c>
      <c r="Q20535" s="7" t="str">
        <f>HYPERLINK("#Liste_rouge!A"&amp;_xlfn.XMATCH("NA",Liste_rouge!A:A,2,1),"NA")</f>
        <v>NA</v>
      </c>
      <c r="T20535" s="7" t="str">
        <f>HYPERLINK("#Liste_rouge!A"&amp;_xlfn.XMATCH("NA",Liste_rouge!A:A,2,1),"NA")</f>
        <v>NA</v>
      </c>
      <c r="AH20535" s="4" t="str">
        <f>HYPERLINK("#Statut_biogéographique!A"&amp;_xlfn.XMATCH("I",Statut_biogéographique!A:A,2,1),"I")</f>
        <v>I</v>
      </c>
      <c r="AP20535" s="4" t="s">
        <v>376</v>
      </c>
      <c r="AR20535" s="4" t="s">
        <v>377</v>
      </c>
    </row>
    <row r="20536" spans="1:44" ht="300">
      <c r="A20536" s="4" t="s">
        <v>24364</v>
      </c>
      <c r="B20536" s="4">
        <v>113260</v>
      </c>
      <c r="D20536" s="5" t="s">
        <v>26039</v>
      </c>
      <c r="E20536" s="6" t="str">
        <f>HYPERLINK("https://inpn.mnhn.fr/espece/cd_nom/113260","Phragmites australis (Cav.) Trin. ex Steud., 1840")</f>
        <v>Phragmites australis (Cav.) Trin. ex Steud., 1840</v>
      </c>
      <c r="F20536" s="5" t="s">
        <v>26040</v>
      </c>
      <c r="O20536" s="7" t="str">
        <f>HYPERLINK("#Liste_rouge!A"&amp;_xlfn.XMATCH("LC",Liste_rouge!A:A,2,1),"LC")</f>
        <v>LC</v>
      </c>
      <c r="P20536" s="7" t="str">
        <f>HYPERLINK("#Liste_rouge!A"&amp;_xlfn.XMATCH("LC",Liste_rouge!A:A,2,1),"LC")</f>
        <v>LC</v>
      </c>
      <c r="Q20536" s="7" t="str">
        <f>HYPERLINK("#Liste_rouge!A"&amp;_xlfn.XMATCH("LC",Liste_rouge!A:A,2,1),"LC")</f>
        <v>LC</v>
      </c>
      <c r="T20536" s="7" t="str">
        <f>HYPERLINK("#Liste_rouge!A"&amp;_xlfn.XMATCH("LC",Liste_rouge!A:A,2,1),"LC (cd_nom 113260) - DD (cd_nom 138732)")</f>
        <v>LC (cd_nom 113260) - DD (cd_nom 138732)</v>
      </c>
      <c r="V20536" s="7" t="str">
        <f>HYPERLINK("#Liste_rouge!A"&amp;_xlfn.XMATCH("LC",Liste_rouge!A:A,2,1),"LC")</f>
        <v>LC</v>
      </c>
      <c r="AH20536" s="4" t="str">
        <f>HYPERLINK("#Statut_biogéographique!A"&amp;_xlfn.XMATCH("P",Statut_biogéographique!A:A,2,1),"P")</f>
        <v>P</v>
      </c>
      <c r="AM20536" s="4" t="s">
        <v>375</v>
      </c>
      <c r="AN20536" s="4" t="s">
        <v>375</v>
      </c>
      <c r="AO20536" s="4" t="s">
        <v>375</v>
      </c>
      <c r="AP20536" s="4" t="s">
        <v>376</v>
      </c>
      <c r="AR20536" s="4" t="s">
        <v>377</v>
      </c>
    </row>
    <row r="20537" spans="1:44" ht="30">
      <c r="A20537" s="4" t="s">
        <v>24364</v>
      </c>
      <c r="B20537" s="4">
        <v>113318</v>
      </c>
      <c r="D20537" s="5" t="s">
        <v>26041</v>
      </c>
      <c r="E20537" s="6" t="str">
        <f>HYPERLINK("https://inpn.mnhn.fr/espece/cd_nom/113318","Phyllostachys bambusoides Siebold &amp; Zucc., 1843")</f>
        <v>Phyllostachys bambusoides Siebold &amp; Zucc., 1843</v>
      </c>
      <c r="F20537" s="5" t="s">
        <v>26042</v>
      </c>
      <c r="Q20537" s="7" t="str">
        <f>HYPERLINK("#Liste_rouge!A"&amp;_xlfn.XMATCH("NA",Liste_rouge!A:A,2,1),"NA")</f>
        <v>NA</v>
      </c>
      <c r="AH20537" s="4" t="str">
        <f>HYPERLINK("#Statut_biogéographique!A"&amp;_xlfn.XMATCH("M",Statut_biogéographique!A:A,2,1),"M")</f>
        <v>M</v>
      </c>
      <c r="AM20537" s="4" t="s">
        <v>375</v>
      </c>
      <c r="AN20537" s="4" t="s">
        <v>375</v>
      </c>
      <c r="AO20537" s="4" t="s">
        <v>375</v>
      </c>
      <c r="AP20537" s="4" t="s">
        <v>376</v>
      </c>
      <c r="AR20537" s="4" t="s">
        <v>377</v>
      </c>
    </row>
    <row r="20538" spans="1:44" ht="30">
      <c r="A20538" s="4" t="s">
        <v>24364</v>
      </c>
      <c r="B20538" s="4">
        <v>113319</v>
      </c>
      <c r="D20538" s="5" t="s">
        <v>26043</v>
      </c>
      <c r="E20538" s="6" t="str">
        <f>HYPERLINK("https://inpn.mnhn.fr/espece/cd_nom/113319","Phyllostachys nigra (Lodd. ex Lindl.) Munro, 1868")</f>
        <v>Phyllostachys nigra (Lodd. ex Lindl.) Munro, 1868</v>
      </c>
      <c r="F20538" s="5" t="s">
        <v>26044</v>
      </c>
      <c r="Q20538" s="7" t="str">
        <f>HYPERLINK("#Liste_rouge!A"&amp;_xlfn.XMATCH("NA",Liste_rouge!A:A,2,1),"NA")</f>
        <v>NA</v>
      </c>
      <c r="AH20538" s="4" t="str">
        <f>HYPERLINK("#Statut_biogéographique!A"&amp;_xlfn.XMATCH("M",Statut_biogéographique!A:A,2,1),"M")</f>
        <v>M</v>
      </c>
      <c r="AP20538" s="4" t="s">
        <v>376</v>
      </c>
      <c r="AR20538" s="4" t="s">
        <v>377</v>
      </c>
    </row>
    <row r="20539" spans="1:44" ht="30">
      <c r="A20539" s="4" t="s">
        <v>24364</v>
      </c>
      <c r="B20539" s="4">
        <v>113321</v>
      </c>
      <c r="D20539" s="5">
        <v>113321</v>
      </c>
      <c r="E20539" s="6" t="str">
        <f>HYPERLINK("https://inpn.mnhn.fr/espece/cd_nom/113321","Physalis alkekengi L., 1753")</f>
        <v>Physalis alkekengi L., 1753</v>
      </c>
      <c r="F20539" s="5" t="s">
        <v>26045</v>
      </c>
      <c r="P20539" s="7" t="str">
        <f>HYPERLINK("#Liste_rouge!A"&amp;_xlfn.XMATCH("LC",Liste_rouge!A:A,2,1),"LC")</f>
        <v>LC</v>
      </c>
      <c r="Q20539" s="7" t="str">
        <f>HYPERLINK("#Liste_rouge!A"&amp;_xlfn.XMATCH("DD",Liste_rouge!A:A,2,1),"DD")</f>
        <v>DD</v>
      </c>
      <c r="T20539" s="7" t="str">
        <f>HYPERLINK("#Liste_rouge!A"&amp;_xlfn.XMATCH("VU",Liste_rouge!A:A,2,1),"VU")</f>
        <v>VU</v>
      </c>
      <c r="U20539" s="4" t="str">
        <f>HYPERLINK("#Critères_liste_rouge!A$1","D2")</f>
        <v>D2</v>
      </c>
      <c r="V20539" s="7" t="str">
        <f>HYPERLINK("#Liste_rouge!A"&amp;_xlfn.XMATCH("DD",Liste_rouge!A:A,2,1),"DD")</f>
        <v>DD</v>
      </c>
      <c r="AH20539" s="4" t="str">
        <f>HYPERLINK("#Statut_biogéographique!A"&amp;_xlfn.XMATCH("I",Statut_biogéographique!A:A,2,1),"I")</f>
        <v>I</v>
      </c>
      <c r="AM20539" s="4" t="s">
        <v>375</v>
      </c>
      <c r="AN20539" s="4" t="s">
        <v>375</v>
      </c>
      <c r="AO20539" s="4" t="s">
        <v>375</v>
      </c>
      <c r="AP20539" s="4" t="s">
        <v>376</v>
      </c>
      <c r="AR20539" s="4" t="s">
        <v>377</v>
      </c>
    </row>
    <row r="20540" spans="1:44" ht="30">
      <c r="A20540" s="4" t="s">
        <v>24364</v>
      </c>
      <c r="B20540" s="4">
        <v>113329</v>
      </c>
      <c r="D20540" s="5">
        <v>113329</v>
      </c>
      <c r="E20540" s="6" t="str">
        <f>HYPERLINK("https://inpn.mnhn.fr/espece/cd_nom/113329","Physalis peruviana L., 1763")</f>
        <v>Physalis peruviana L., 1763</v>
      </c>
      <c r="F20540" s="5" t="s">
        <v>26046</v>
      </c>
      <c r="Q20540" s="7" t="str">
        <f>HYPERLINK("#Liste_rouge!A"&amp;_xlfn.XMATCH("NA",Liste_rouge!A:A,2,1),"NA")</f>
        <v>NA</v>
      </c>
      <c r="T20540" s="7" t="str">
        <f>HYPERLINK("#Liste_rouge!A"&amp;_xlfn.XMATCH("NA",Liste_rouge!A:A,2,1),"NA")</f>
        <v>NA</v>
      </c>
      <c r="AH20540" s="4" t="str">
        <f>HYPERLINK("#Statut_biogéographique!A"&amp;_xlfn.XMATCH("I",Statut_biogéographique!A:A,2,1),"I")</f>
        <v>I</v>
      </c>
      <c r="AP20540" s="4" t="s">
        <v>376</v>
      </c>
      <c r="AR20540" s="4" t="s">
        <v>377</v>
      </c>
    </row>
    <row r="20541" spans="1:44" ht="30">
      <c r="A20541" s="4" t="s">
        <v>24364</v>
      </c>
      <c r="B20541" s="4">
        <v>113342</v>
      </c>
      <c r="D20541" s="5" t="s">
        <v>26047</v>
      </c>
      <c r="E20541" s="6" t="str">
        <f>HYPERLINK("https://inpn.mnhn.fr/espece/cd_nom/113342","Physocarpus opulifolius (L.) Maxim., 1879 [nom. cons.]")</f>
        <v>Physocarpus opulifolius (L.) Maxim., 1879 [nom. cons.]</v>
      </c>
      <c r="F20541" s="5" t="s">
        <v>26048</v>
      </c>
      <c r="Q20541" s="7" t="str">
        <f>HYPERLINK("#Liste_rouge!A"&amp;_xlfn.XMATCH("NA",Liste_rouge!A:A,2,1),"NA")</f>
        <v>NA</v>
      </c>
      <c r="T20541" s="7" t="str">
        <f>HYPERLINK("#Liste_rouge!A"&amp;_xlfn.XMATCH("NA",Liste_rouge!A:A,2,1),"NA")</f>
        <v>NA</v>
      </c>
      <c r="AH20541" s="4" t="str">
        <f>HYPERLINK("#Statut_biogéographique!A"&amp;_xlfn.XMATCH("I",Statut_biogéographique!A:A,2,1),"I")</f>
        <v>I</v>
      </c>
      <c r="AM20541" s="4" t="s">
        <v>375</v>
      </c>
      <c r="AN20541" s="4" t="s">
        <v>375</v>
      </c>
      <c r="AO20541" s="4" t="s">
        <v>375</v>
      </c>
      <c r="AP20541" s="4" t="s">
        <v>376</v>
      </c>
      <c r="AR20541" s="4" t="s">
        <v>377</v>
      </c>
    </row>
    <row r="20542" spans="1:44" ht="30">
      <c r="A20542" s="4" t="s">
        <v>24364</v>
      </c>
      <c r="B20542" s="4">
        <v>113352</v>
      </c>
      <c r="D20542" s="5" t="s">
        <v>26049</v>
      </c>
      <c r="E20542" s="6" t="str">
        <f>HYPERLINK("https://inpn.mnhn.fr/espece/cd_nom/113352","Physostegia virginiana (L.) Benth., 1829")</f>
        <v>Physostegia virginiana (L.) Benth., 1829</v>
      </c>
      <c r="F20542" s="5" t="s">
        <v>26050</v>
      </c>
      <c r="Q20542" s="7" t="str">
        <f>HYPERLINK("#Liste_rouge!A"&amp;_xlfn.XMATCH("NA",Liste_rouge!A:A,2,1),"NA")</f>
        <v>NA</v>
      </c>
      <c r="T20542" s="7" t="str">
        <f>HYPERLINK("#Liste_rouge!A"&amp;_xlfn.XMATCH("NA",Liste_rouge!A:A,2,1),"NA")</f>
        <v>NA</v>
      </c>
      <c r="AH20542" s="4" t="str">
        <f>HYPERLINK("#Statut_biogéographique!A"&amp;_xlfn.XMATCH("I",Statut_biogéographique!A:A,2,1),"I")</f>
        <v>I</v>
      </c>
      <c r="AP20542" s="4" t="s">
        <v>376</v>
      </c>
      <c r="AR20542" s="4" t="s">
        <v>377</v>
      </c>
    </row>
    <row r="20543" spans="1:44">
      <c r="A20543" s="4" t="s">
        <v>24364</v>
      </c>
      <c r="B20543" s="4">
        <v>113376</v>
      </c>
      <c r="D20543" s="5">
        <v>113376</v>
      </c>
      <c r="E20543" s="6" t="str">
        <f>HYPERLINK("https://inpn.mnhn.fr/espece/cd_nom/113376","Phyteuma gallicum Rich.Schulz, 1904")</f>
        <v>Phyteuma gallicum Rich.Schulz, 1904</v>
      </c>
      <c r="F20543" s="5" t="s">
        <v>26051</v>
      </c>
      <c r="Q20543" s="7" t="str">
        <f>HYPERLINK("#Liste_rouge!A"&amp;_xlfn.XMATCH("LC",Liste_rouge!A:A,2,1),"LC")</f>
        <v>LC</v>
      </c>
      <c r="T20543" s="7" t="str">
        <f>HYPERLINK("#Liste_rouge!A"&amp;_xlfn.XMATCH("NE",Liste_rouge!A:A,2,1),"NE")</f>
        <v>NE</v>
      </c>
      <c r="AH20543" s="4" t="str">
        <f>HYPERLINK("#Statut_biogéographique!A"&amp;_xlfn.XMATCH("P",Statut_biogéographique!A:A,2,1),"P")</f>
        <v>P</v>
      </c>
      <c r="AP20543" s="4" t="s">
        <v>376</v>
      </c>
      <c r="AR20543" s="4" t="s">
        <v>377</v>
      </c>
    </row>
    <row r="20544" spans="1:44" ht="30">
      <c r="A20544" s="4" t="s">
        <v>24364</v>
      </c>
      <c r="B20544" s="4">
        <v>113388</v>
      </c>
      <c r="D20544" s="5" t="s">
        <v>26052</v>
      </c>
      <c r="E20544" s="6" t="str">
        <f>HYPERLINK("https://inpn.mnhn.fr/espece/cd_nom/113388","Phyteuma nigrum F.W.Schmidt, 1793")</f>
        <v>Phyteuma nigrum F.W.Schmidt, 1793</v>
      </c>
      <c r="F20544" s="5" t="s">
        <v>26053</v>
      </c>
      <c r="Q20544" s="7" t="str">
        <f>HYPERLINK("#Liste_rouge!A"&amp;_xlfn.XMATCH("LC",Liste_rouge!A:A,2,1),"LC")</f>
        <v>LC</v>
      </c>
      <c r="T20544" s="7" t="str">
        <f>HYPERLINK("#Liste_rouge!A"&amp;_xlfn.XMATCH("NE",Liste_rouge!A:A,2,1),"NE")</f>
        <v>NE</v>
      </c>
      <c r="V20544" s="7" t="str">
        <f>HYPERLINK("#Liste_rouge!A"&amp;_xlfn.XMATCH("DD",Liste_rouge!A:A,2,1),"DD")</f>
        <v>DD</v>
      </c>
      <c r="AH20544" s="4" t="str">
        <f>HYPERLINK("#Statut_biogéographique!A"&amp;_xlfn.XMATCH("P",Statut_biogéographique!A:A,2,1),"P")</f>
        <v>P</v>
      </c>
      <c r="AM20544" s="4" t="s">
        <v>375</v>
      </c>
      <c r="AN20544" s="4" t="s">
        <v>375</v>
      </c>
      <c r="AO20544" s="4" t="s">
        <v>375</v>
      </c>
      <c r="AP20544" s="4" t="s">
        <v>376</v>
      </c>
      <c r="AR20544" s="4" t="s">
        <v>377</v>
      </c>
    </row>
    <row r="20545" spans="1:44">
      <c r="A20545" s="4" t="s">
        <v>24364</v>
      </c>
      <c r="B20545" s="4">
        <v>113389</v>
      </c>
      <c r="D20545" s="5" t="s">
        <v>26054</v>
      </c>
      <c r="E20545" s="6" t="str">
        <f>HYPERLINK("https://inpn.mnhn.fr/espece/cd_nom/113389","Phyteuma orbiculare L., 1753")</f>
        <v>Phyteuma orbiculare L., 1753</v>
      </c>
      <c r="F20545" s="5" t="s">
        <v>26055</v>
      </c>
      <c r="Q20545" s="7" t="str">
        <f>HYPERLINK("#Liste_rouge!A"&amp;_xlfn.XMATCH("LC",Liste_rouge!A:A,2,1),"LC")</f>
        <v>LC</v>
      </c>
      <c r="T20545" s="7" t="str">
        <f>HYPERLINK("#Liste_rouge!A"&amp;_xlfn.XMATCH("NT",Liste_rouge!A:A,2,1),"NT")</f>
        <v>NT</v>
      </c>
      <c r="U20545" s="4" t="str">
        <f>HYPERLINK("#Critères_liste_rouge!A$1","pr. B2a")</f>
        <v>pr. B2a</v>
      </c>
      <c r="V20545" s="7" t="str">
        <f>HYPERLINK("#Liste_rouge!A"&amp;_xlfn.XMATCH("LC",Liste_rouge!A:A,2,1),"LC")</f>
        <v>LC</v>
      </c>
      <c r="AH20545" s="4" t="str">
        <f>HYPERLINK("#Statut_biogéographique!A"&amp;_xlfn.XMATCH("P",Statut_biogéographique!A:A,2,1),"P")</f>
        <v>P</v>
      </c>
      <c r="AM20545" s="4" t="s">
        <v>375</v>
      </c>
      <c r="AN20545" s="4" t="s">
        <v>375</v>
      </c>
      <c r="AO20545" s="4" t="s">
        <v>375</v>
      </c>
      <c r="AP20545" s="4" t="s">
        <v>376</v>
      </c>
      <c r="AR20545" s="4" t="s">
        <v>377</v>
      </c>
    </row>
    <row r="20546" spans="1:44" ht="45">
      <c r="A20546" s="4" t="s">
        <v>24364</v>
      </c>
      <c r="B20546" s="4">
        <v>113407</v>
      </c>
      <c r="D20546" s="5" t="s">
        <v>26056</v>
      </c>
      <c r="E20546" s="6" t="str">
        <f>HYPERLINK("https://inpn.mnhn.fr/espece/cd_nom/113407","Phyteuma spicatum L., 1753")</f>
        <v>Phyteuma spicatum L., 1753</v>
      </c>
      <c r="F20546" s="5" t="s">
        <v>26057</v>
      </c>
      <c r="Q20546" s="7" t="str">
        <f>HYPERLINK("#Liste_rouge!A"&amp;_xlfn.XMATCH("LC",Liste_rouge!A:A,2,1),"LC")</f>
        <v>LC</v>
      </c>
      <c r="T20546" s="7" t="str">
        <f>HYPERLINK("#Liste_rouge!A"&amp;_xlfn.XMATCH("DD",Liste_rouge!A:A,2,1),"DD (cd_nom 138779) - VU (cd_nom 138778) - LC (cd_nom 113407)")</f>
        <v>DD (cd_nom 138779) - VU (cd_nom 138778) - LC (cd_nom 113407)</v>
      </c>
      <c r="V20546" s="7" t="str">
        <f>HYPERLINK("#Liste_rouge!A"&amp;_xlfn.XMATCH("LC",Liste_rouge!A:A,2,1),"LC")</f>
        <v>LC</v>
      </c>
      <c r="AB20546" s="4" t="s">
        <v>25010</v>
      </c>
      <c r="AH20546" s="4" t="str">
        <f>HYPERLINK("#Statut_biogéographique!A"&amp;_xlfn.XMATCH("P",Statut_biogéographique!A:A,2,1),"P")</f>
        <v>P</v>
      </c>
      <c r="AM20546" s="4" t="s">
        <v>375</v>
      </c>
      <c r="AN20546" s="4" t="s">
        <v>375</v>
      </c>
      <c r="AO20546" s="4" t="s">
        <v>375</v>
      </c>
      <c r="AP20546" s="4" t="s">
        <v>376</v>
      </c>
      <c r="AR20546" s="4" t="s">
        <v>377</v>
      </c>
    </row>
    <row r="20547" spans="1:44" ht="30">
      <c r="A20547" s="4" t="s">
        <v>24364</v>
      </c>
      <c r="B20547" s="4">
        <v>113417</v>
      </c>
      <c r="D20547" s="5" t="s">
        <v>26058</v>
      </c>
      <c r="E20547" s="6" t="str">
        <f>HYPERLINK("https://inpn.mnhn.fr/espece/cd_nom/113417","Phytolacca acinosa Roxb., 1832")</f>
        <v>Phytolacca acinosa Roxb., 1832</v>
      </c>
      <c r="F20547" s="5" t="s">
        <v>26059</v>
      </c>
      <c r="AH20547" s="4" t="str">
        <f>HYPERLINK("#Statut_biogéographique!A"&amp;_xlfn.XMATCH("M",Statut_biogéographique!A:A,2,1),"M")</f>
        <v>M</v>
      </c>
      <c r="AP20547" s="4" t="s">
        <v>376</v>
      </c>
      <c r="AR20547" s="4" t="s">
        <v>377</v>
      </c>
    </row>
    <row r="20548" spans="1:44" ht="30">
      <c r="A20548" s="4" t="s">
        <v>24364</v>
      </c>
      <c r="B20548" s="4">
        <v>113418</v>
      </c>
      <c r="D20548" s="5" t="s">
        <v>26060</v>
      </c>
      <c r="E20548" s="6" t="str">
        <f>HYPERLINK("https://inpn.mnhn.fr/espece/cd_nom/113418","Phytolacca americana L., 1753")</f>
        <v>Phytolacca americana L., 1753</v>
      </c>
      <c r="F20548" s="5" t="s">
        <v>26061</v>
      </c>
      <c r="Q20548" s="7" t="str">
        <f>HYPERLINK("#Liste_rouge!A"&amp;_xlfn.XMATCH("NA",Liste_rouge!A:A,2,1),"NA")</f>
        <v>NA</v>
      </c>
      <c r="T20548" s="7" t="str">
        <f>HYPERLINK("#Liste_rouge!A"&amp;_xlfn.XMATCH("NA",Liste_rouge!A:A,2,1),"NA")</f>
        <v>NA</v>
      </c>
      <c r="AH20548" s="4" t="str">
        <f>HYPERLINK("#Statut_biogéographique!A"&amp;_xlfn.XMATCH("I",Statut_biogéographique!A:A,2,1),"I")</f>
        <v>I</v>
      </c>
      <c r="AM20548" s="4" t="s">
        <v>375</v>
      </c>
      <c r="AN20548" s="4" t="s">
        <v>375</v>
      </c>
      <c r="AO20548" s="4" t="s">
        <v>375</v>
      </c>
      <c r="AP20548" s="4" t="s">
        <v>376</v>
      </c>
      <c r="AR20548" s="4" t="s">
        <v>377</v>
      </c>
    </row>
    <row r="20549" spans="1:44" ht="75">
      <c r="A20549" s="4" t="s">
        <v>24364</v>
      </c>
      <c r="B20549" s="4">
        <v>113432</v>
      </c>
      <c r="D20549" s="5" t="s">
        <v>26062</v>
      </c>
      <c r="E20549" s="6" t="str">
        <f>HYPERLINK("https://inpn.mnhn.fr/espece/cd_nom/113432","Picea abies (L.) H.Karst., 1881")</f>
        <v>Picea abies (L.) H.Karst., 1881</v>
      </c>
      <c r="F20549" s="5" t="s">
        <v>26063</v>
      </c>
      <c r="O20549" s="7" t="str">
        <f>HYPERLINK("#Liste_rouge!A"&amp;_xlfn.XMATCH("LC",Liste_rouge!A:A,2,1),"LC")</f>
        <v>LC</v>
      </c>
      <c r="P20549" s="7" t="str">
        <f>HYPERLINK("#Liste_rouge!A"&amp;_xlfn.XMATCH("LC",Liste_rouge!A:A,2,1),"LC")</f>
        <v>LC</v>
      </c>
      <c r="Q20549" s="7" t="str">
        <f>HYPERLINK("#Liste_rouge!A"&amp;_xlfn.XMATCH("LC",Liste_rouge!A:A,2,1),"LC")</f>
        <v>LC</v>
      </c>
      <c r="T20549" s="7" t="str">
        <f>HYPERLINK("#Liste_rouge!A"&amp;_xlfn.XMATCH("NA",Liste_rouge!A:A,2,1),"NA")</f>
        <v>NA</v>
      </c>
      <c r="V20549" s="7" t="str">
        <f>HYPERLINK("#Liste_rouge!A"&amp;_xlfn.XMATCH("LC",Liste_rouge!A:A,2,1),"LC")</f>
        <v>LC</v>
      </c>
      <c r="AH20549" s="4" t="str">
        <f>HYPERLINK("#Statut_biogéographique!A"&amp;_xlfn.XMATCH("P",Statut_biogéographique!A:A,2,1),"P")</f>
        <v>P</v>
      </c>
      <c r="AM20549" s="4" t="s">
        <v>375</v>
      </c>
      <c r="AN20549" s="4" t="s">
        <v>375</v>
      </c>
      <c r="AO20549" s="4" t="s">
        <v>375</v>
      </c>
      <c r="AP20549" s="4" t="s">
        <v>376</v>
      </c>
      <c r="AR20549" s="4" t="s">
        <v>377</v>
      </c>
    </row>
    <row r="20550" spans="1:44">
      <c r="A20550" s="4" t="s">
        <v>24364</v>
      </c>
      <c r="B20550" s="4">
        <v>113434</v>
      </c>
      <c r="D20550" s="5" t="s">
        <v>26064</v>
      </c>
      <c r="E20550" s="6" t="str">
        <f>HYPERLINK("https://inpn.mnhn.fr/espece/cd_nom/113434","Picea engelmannii Parry ex Engelm., 1863")</f>
        <v>Picea engelmannii Parry ex Engelm., 1863</v>
      </c>
      <c r="F20550" s="5" t="s">
        <v>26065</v>
      </c>
      <c r="O20550" s="7" t="str">
        <f>HYPERLINK("#Liste_rouge!A"&amp;_xlfn.XMATCH("LC",Liste_rouge!A:A,2,1),"LC")</f>
        <v>LC</v>
      </c>
      <c r="T20550" s="7" t="str">
        <f>HYPERLINK("#Liste_rouge!A"&amp;_xlfn.XMATCH("NA",Liste_rouge!A:A,2,1),"NA")</f>
        <v>NA</v>
      </c>
      <c r="AH20550" s="4" t="str">
        <f>HYPERLINK("#Statut_biogéographique!A"&amp;_xlfn.XMATCH("M",Statut_biogéographique!A:A,2,1),"M")</f>
        <v>M</v>
      </c>
      <c r="AP20550" s="4" t="s">
        <v>376</v>
      </c>
      <c r="AR20550" s="4" t="s">
        <v>377</v>
      </c>
    </row>
    <row r="20551" spans="1:44">
      <c r="A20551" s="4" t="s">
        <v>24364</v>
      </c>
      <c r="B20551" s="4">
        <v>113439</v>
      </c>
      <c r="D20551" s="5" t="s">
        <v>26066</v>
      </c>
      <c r="E20551" s="6" t="str">
        <f>HYPERLINK("https://inpn.mnhn.fr/espece/cd_nom/113439","Picea omorika (Pancic) Purk., 1877")</f>
        <v>Picea omorika (Pancic) Purk., 1877</v>
      </c>
      <c r="F20551" s="5" t="s">
        <v>26067</v>
      </c>
      <c r="O20551" s="7" t="str">
        <f>HYPERLINK("#Liste_rouge!A"&amp;_xlfn.XMATCH("EN",Liste_rouge!A:A,2,1),"EN")</f>
        <v>EN</v>
      </c>
      <c r="P20551" s="7" t="str">
        <f>HYPERLINK("#Liste_rouge!A"&amp;_xlfn.XMATCH("EN",Liste_rouge!A:A,2,1),"EN")</f>
        <v>EN</v>
      </c>
      <c r="AH20551" s="4" t="str">
        <f>HYPERLINK("#Statut_biogéographique!A"&amp;_xlfn.XMATCH("M",Statut_biogéographique!A:A,2,1),"M")</f>
        <v>M</v>
      </c>
      <c r="AP20551" s="4" t="s">
        <v>376</v>
      </c>
      <c r="AR20551" s="4" t="s">
        <v>377</v>
      </c>
    </row>
    <row r="20552" spans="1:44" ht="30">
      <c r="A20552" s="4" t="s">
        <v>24364</v>
      </c>
      <c r="B20552" s="4">
        <v>113444</v>
      </c>
      <c r="D20552" s="5" t="s">
        <v>26068</v>
      </c>
      <c r="E20552" s="6" t="str">
        <f>HYPERLINK("https://inpn.mnhn.fr/espece/cd_nom/113444","Picea sitchensis (Bong.) Carrière, 1855")</f>
        <v>Picea sitchensis (Bong.) Carrière, 1855</v>
      </c>
      <c r="F20552" s="5" t="s">
        <v>26069</v>
      </c>
      <c r="O20552" s="7" t="str">
        <f>HYPERLINK("#Liste_rouge!A"&amp;_xlfn.XMATCH("LC",Liste_rouge!A:A,2,1),"LC")</f>
        <v>LC</v>
      </c>
      <c r="T20552" s="7" t="str">
        <f>HYPERLINK("#Liste_rouge!A"&amp;_xlfn.XMATCH("NA",Liste_rouge!A:A,2,1),"NA")</f>
        <v>NA</v>
      </c>
      <c r="AH20552" s="4" t="str">
        <f>HYPERLINK("#Statut_biogéographique!A"&amp;_xlfn.XMATCH("M",Statut_biogéographique!A:A,2,1),"M")</f>
        <v>M</v>
      </c>
      <c r="AP20552" s="4" t="s">
        <v>376</v>
      </c>
      <c r="AR20552" s="4" t="s">
        <v>377</v>
      </c>
    </row>
    <row r="20553" spans="1:44" ht="45">
      <c r="A20553" s="4" t="s">
        <v>24364</v>
      </c>
      <c r="B20553" s="4">
        <v>113474</v>
      </c>
      <c r="D20553" s="5" t="s">
        <v>26070</v>
      </c>
      <c r="E20553" s="6" t="str">
        <f>HYPERLINK("https://inpn.mnhn.fr/espece/cd_nom/113474","Picris hieracioides L., 1753")</f>
        <v>Picris hieracioides L., 1753</v>
      </c>
      <c r="F20553" s="5" t="s">
        <v>26071</v>
      </c>
      <c r="Q20553" s="7" t="str">
        <f>HYPERLINK("#Liste_rouge!A"&amp;_xlfn.XMATCH("LC",Liste_rouge!A:A,2,1),"LC")</f>
        <v>LC</v>
      </c>
      <c r="T20553" s="7" t="str">
        <f>HYPERLINK("#Liste_rouge!A"&amp;_xlfn.XMATCH("LC",Liste_rouge!A:A,2,1),"LC")</f>
        <v>LC</v>
      </c>
      <c r="V20553" s="7" t="str">
        <f>HYPERLINK("#Liste_rouge!A"&amp;_xlfn.XMATCH("LC",Liste_rouge!A:A,2,1),"LC")</f>
        <v>LC</v>
      </c>
      <c r="AH20553" s="4" t="str">
        <f>HYPERLINK("#Statut_biogéographique!A"&amp;_xlfn.XMATCH("P",Statut_biogéographique!A:A,2,1),"P")</f>
        <v>P</v>
      </c>
      <c r="AM20553" s="4" t="s">
        <v>375</v>
      </c>
      <c r="AN20553" s="4" t="s">
        <v>375</v>
      </c>
      <c r="AO20553" s="4" t="s">
        <v>375</v>
      </c>
      <c r="AP20553" s="4" t="s">
        <v>376</v>
      </c>
      <c r="AR20553" s="4" t="s">
        <v>377</v>
      </c>
    </row>
    <row r="20554" spans="1:44" ht="30">
      <c r="A20554" s="4" t="s">
        <v>24364</v>
      </c>
      <c r="B20554" s="4">
        <v>113508</v>
      </c>
      <c r="D20554" s="5" t="s">
        <v>26072</v>
      </c>
      <c r="E20554" s="6" t="str">
        <f>HYPERLINK("https://inpn.mnhn.fr/espece/cd_nom/113508","Pilosella aurantiaca (L.) F.W.Schultz &amp; Sch.Bip., 1862")</f>
        <v>Pilosella aurantiaca (L.) F.W.Schultz &amp; Sch.Bip., 1862</v>
      </c>
      <c r="F20554" s="5" t="s">
        <v>26073</v>
      </c>
      <c r="Q20554" s="7" t="str">
        <f>HYPERLINK("#Liste_rouge!A"&amp;_xlfn.XMATCH("DD",Liste_rouge!A:A,2,1),"DD")</f>
        <v>DD</v>
      </c>
      <c r="T20554" s="7" t="str">
        <f>HYPERLINK("#Liste_rouge!A"&amp;_xlfn.XMATCH("NA",Liste_rouge!A:A,2,1),"NA")</f>
        <v>NA</v>
      </c>
      <c r="V20554" s="7" t="str">
        <f>HYPERLINK("#Liste_rouge!A"&amp;_xlfn.XMATCH("DD",Liste_rouge!A:A,2,1),"DD")</f>
        <v>DD</v>
      </c>
      <c r="AH20554" s="4" t="str">
        <f>HYPERLINK("#Statut_biogéographique!A"&amp;_xlfn.XMATCH("P",Statut_biogéographique!A:A,2,1),"P")</f>
        <v>P</v>
      </c>
      <c r="AP20554" s="4" t="s">
        <v>376</v>
      </c>
      <c r="AR20554" s="4" t="s">
        <v>377</v>
      </c>
    </row>
    <row r="20555" spans="1:44" ht="45">
      <c r="A20555" s="4" t="s">
        <v>24364</v>
      </c>
      <c r="B20555" s="4">
        <v>113513</v>
      </c>
      <c r="D20555" s="5" t="s">
        <v>26074</v>
      </c>
      <c r="E20555" s="6" t="str">
        <f>HYPERLINK("https://inpn.mnhn.fr/espece/cd_nom/113513","Pilosella caespitosa (Dumort.) P.D.Sell &amp; C.West, 1967")</f>
        <v>Pilosella caespitosa (Dumort.) P.D.Sell &amp; C.West, 1967</v>
      </c>
      <c r="F20555" s="5" t="s">
        <v>26075</v>
      </c>
      <c r="Q20555" s="7" t="str">
        <f>HYPERLINK("#Liste_rouge!A"&amp;_xlfn.XMATCH("LC",Liste_rouge!A:A,2,1),"LC")</f>
        <v>LC</v>
      </c>
      <c r="T20555" s="7" t="str">
        <f>HYPERLINK("#Liste_rouge!A"&amp;_xlfn.XMATCH("LC",Liste_rouge!A:A,2,1),"LC")</f>
        <v>LC</v>
      </c>
      <c r="AH20555" s="4" t="str">
        <f>HYPERLINK("#Statut_biogéographique!A"&amp;_xlfn.XMATCH("P",Statut_biogéographique!A:A,2,1),"P")</f>
        <v>P</v>
      </c>
      <c r="AM20555" s="4" t="s">
        <v>375</v>
      </c>
      <c r="AN20555" s="4" t="s">
        <v>375</v>
      </c>
      <c r="AO20555" s="4" t="s">
        <v>375</v>
      </c>
      <c r="AP20555" s="4" t="s">
        <v>376</v>
      </c>
      <c r="AR20555" s="4" t="s">
        <v>377</v>
      </c>
    </row>
    <row r="20556" spans="1:44" ht="45">
      <c r="A20556" s="4" t="s">
        <v>24364</v>
      </c>
      <c r="B20556" s="4">
        <v>113515</v>
      </c>
      <c r="D20556" s="5" t="s">
        <v>26076</v>
      </c>
      <c r="E20556" s="6" t="str">
        <f>HYPERLINK("https://inpn.mnhn.fr/espece/cd_nom/113515","Pilosella cymosa (L.) F.W.Schultz &amp; Sch.Bip., 1862")</f>
        <v>Pilosella cymosa (L.) F.W.Schultz &amp; Sch.Bip., 1862</v>
      </c>
      <c r="F20556" s="5" t="s">
        <v>26077</v>
      </c>
      <c r="Q20556" s="7" t="str">
        <f>HYPERLINK("#Liste_rouge!A"&amp;_xlfn.XMATCH("LC",Liste_rouge!A:A,2,1),"LC")</f>
        <v>LC</v>
      </c>
      <c r="T20556" s="7" t="str">
        <f>HYPERLINK("#Liste_rouge!A"&amp;_xlfn.XMATCH("EN",Liste_rouge!A:A,2,1),"EN")</f>
        <v>EN</v>
      </c>
      <c r="U20556" s="4" t="str">
        <f>HYPERLINK("#Critères_liste_rouge!A$1","D1")</f>
        <v>D1</v>
      </c>
      <c r="X20556" s="5" t="s">
        <v>374</v>
      </c>
      <c r="AB20556" s="4" t="s">
        <v>93</v>
      </c>
      <c r="AH20556" s="4" t="str">
        <f>HYPERLINK("#Statut_biogéographique!A"&amp;_xlfn.XMATCH("P",Statut_biogéographique!A:A,2,1),"P")</f>
        <v>P</v>
      </c>
      <c r="AM20556" s="4" t="s">
        <v>375</v>
      </c>
      <c r="AN20556" s="4" t="s">
        <v>375</v>
      </c>
      <c r="AO20556" s="4" t="s">
        <v>375</v>
      </c>
      <c r="AP20556" s="4" t="s">
        <v>376</v>
      </c>
      <c r="AR20556" s="4" t="s">
        <v>377</v>
      </c>
    </row>
    <row r="20557" spans="1:44" ht="45">
      <c r="A20557" s="4" t="s">
        <v>24364</v>
      </c>
      <c r="B20557" s="4">
        <v>113519</v>
      </c>
      <c r="D20557" s="5" t="s">
        <v>26078</v>
      </c>
      <c r="E20557" s="6" t="str">
        <f>HYPERLINK("https://inpn.mnhn.fr/espece/cd_nom/113519","Pilosella flagellaris (Willd.) P.D.Sell &amp; C.West, 1967")</f>
        <v>Pilosella flagellaris (Willd.) P.D.Sell &amp; C.West, 1967</v>
      </c>
      <c r="Q20557" s="7" t="str">
        <f>HYPERLINK("#Liste_rouge!A"&amp;_xlfn.XMATCH("NA",Liste_rouge!A:A,2,1),"NA")</f>
        <v>NA</v>
      </c>
      <c r="AH20557" s="4" t="str">
        <f>HYPERLINK("#Statut_biogéographique!A"&amp;_xlfn.XMATCH("I",Statut_biogéographique!A:A,2,1),"I")</f>
        <v>I</v>
      </c>
      <c r="AP20557" s="4" t="s">
        <v>376</v>
      </c>
      <c r="AR20557" s="4" t="s">
        <v>377</v>
      </c>
    </row>
    <row r="20558" spans="1:44" ht="75">
      <c r="A20558" s="4" t="s">
        <v>24364</v>
      </c>
      <c r="B20558" s="4">
        <v>113522</v>
      </c>
      <c r="D20558" s="5" t="s">
        <v>26079</v>
      </c>
      <c r="E20558" s="6" t="str">
        <f>HYPERLINK("https://inpn.mnhn.fr/espece/cd_nom/113522","Pilosella lactucella (Wallr.) P.D.Sell &amp; C.West, 1967")</f>
        <v>Pilosella lactucella (Wallr.) P.D.Sell &amp; C.West, 1967</v>
      </c>
      <c r="F20558" s="5" t="s">
        <v>26080</v>
      </c>
      <c r="Q20558" s="7" t="str">
        <f>HYPERLINK("#Liste_rouge!A"&amp;_xlfn.XMATCH("LC",Liste_rouge!A:A,2,1),"LC")</f>
        <v>LC</v>
      </c>
      <c r="T20558" s="7" t="str">
        <f>HYPERLINK("#Liste_rouge!A"&amp;_xlfn.XMATCH("LC",Liste_rouge!A:A,2,1),"LC")</f>
        <v>LC</v>
      </c>
      <c r="V20558" s="7" t="str">
        <f>HYPERLINK("#Liste_rouge!A"&amp;_xlfn.XMATCH("LC",Liste_rouge!A:A,2,1),"LC")</f>
        <v>LC</v>
      </c>
      <c r="AH20558" s="4" t="str">
        <f>HYPERLINK("#Statut_biogéographique!A"&amp;_xlfn.XMATCH("P",Statut_biogéographique!A:A,2,1),"P")</f>
        <v>P</v>
      </c>
      <c r="AM20558" s="4" t="s">
        <v>375</v>
      </c>
      <c r="AN20558" s="4" t="s">
        <v>375</v>
      </c>
      <c r="AO20558" s="4" t="s">
        <v>375</v>
      </c>
      <c r="AP20558" s="4" t="s">
        <v>376</v>
      </c>
      <c r="AR20558" s="4" t="s">
        <v>377</v>
      </c>
    </row>
    <row r="20559" spans="1:44" ht="225">
      <c r="A20559" s="4" t="s">
        <v>24364</v>
      </c>
      <c r="B20559" s="4">
        <v>113525</v>
      </c>
      <c r="D20559" s="5" t="s">
        <v>26081</v>
      </c>
      <c r="E20559" s="6" t="str">
        <f>HYPERLINK("https://inpn.mnhn.fr/espece/cd_nom/113525","Pilosella officinarum F.W.Schultz &amp; Sch.Bip., 1862")</f>
        <v>Pilosella officinarum F.W.Schultz &amp; Sch.Bip., 1862</v>
      </c>
      <c r="F20559" s="5" t="s">
        <v>26082</v>
      </c>
      <c r="Q20559" s="7" t="str">
        <f>HYPERLINK("#Liste_rouge!A"&amp;_xlfn.XMATCH("LC",Liste_rouge!A:A,2,1),"LC")</f>
        <v>LC</v>
      </c>
      <c r="T20559" s="7" t="str">
        <f>HYPERLINK("#Liste_rouge!A"&amp;_xlfn.XMATCH("LC",Liste_rouge!A:A,2,1),"LC")</f>
        <v>LC</v>
      </c>
      <c r="V20559" s="7" t="str">
        <f>HYPERLINK("#Liste_rouge!A"&amp;_xlfn.XMATCH("LC",Liste_rouge!A:A,2,1),"LC")</f>
        <v>LC</v>
      </c>
      <c r="AH20559" s="4" t="str">
        <f>HYPERLINK("#Statut_biogéographique!A"&amp;_xlfn.XMATCH("P",Statut_biogéographique!A:A,2,1),"P")</f>
        <v>P</v>
      </c>
      <c r="AM20559" s="4" t="s">
        <v>375</v>
      </c>
      <c r="AN20559" s="4" t="s">
        <v>375</v>
      </c>
      <c r="AO20559" s="4" t="s">
        <v>375</v>
      </c>
      <c r="AP20559" s="4" t="s">
        <v>376</v>
      </c>
      <c r="AR20559" s="4" t="s">
        <v>377</v>
      </c>
    </row>
    <row r="20560" spans="1:44" ht="30">
      <c r="A20560" s="4" t="s">
        <v>24364</v>
      </c>
      <c r="B20560" s="4">
        <v>113527</v>
      </c>
      <c r="D20560" s="5" t="s">
        <v>26083</v>
      </c>
      <c r="E20560" s="6" t="str">
        <f>HYPERLINK("https://inpn.mnhn.fr/espece/cd_nom/113527","Pilosella peleteriana (Mérat) F.W.Schultz &amp; Sch.Bip., 1862")</f>
        <v>Pilosella peleteriana (Mérat) F.W.Schultz &amp; Sch.Bip., 1862</v>
      </c>
      <c r="F20560" s="5" t="s">
        <v>26084</v>
      </c>
      <c r="Q20560" s="7" t="str">
        <f>HYPERLINK("#Liste_rouge!A"&amp;_xlfn.XMATCH("LC",Liste_rouge!A:A,2,1),"LC")</f>
        <v>LC</v>
      </c>
      <c r="T20560" s="7" t="str">
        <f>HYPERLINK("#Liste_rouge!A"&amp;_xlfn.XMATCH("EN",Liste_rouge!A:A,2,1),"EN")</f>
        <v>EN</v>
      </c>
      <c r="U20560" s="4" t="str">
        <f>HYPERLINK("#Critères_liste_rouge!A$1","A2ac")</f>
        <v>A2ac</v>
      </c>
      <c r="X20560" s="5" t="s">
        <v>374</v>
      </c>
      <c r="AB20560" s="4" t="s">
        <v>93</v>
      </c>
      <c r="AH20560" s="4" t="str">
        <f>HYPERLINK("#Statut_biogéographique!A"&amp;_xlfn.XMATCH("P",Statut_biogéographique!A:A,2,1),"P")</f>
        <v>P</v>
      </c>
      <c r="AM20560" s="4" t="s">
        <v>375</v>
      </c>
      <c r="AN20560" s="4" t="s">
        <v>375</v>
      </c>
      <c r="AO20560" s="4" t="s">
        <v>375</v>
      </c>
      <c r="AP20560" s="4" t="s">
        <v>376</v>
      </c>
      <c r="AR20560" s="4" t="s">
        <v>377</v>
      </c>
    </row>
    <row r="20561" spans="1:44" ht="120">
      <c r="A20561" s="4" t="s">
        <v>24364</v>
      </c>
      <c r="B20561" s="4">
        <v>113529</v>
      </c>
      <c r="D20561" s="5" t="s">
        <v>26085</v>
      </c>
      <c r="E20561" s="6" t="str">
        <f>HYPERLINK("https://inpn.mnhn.fr/espece/cd_nom/113529","Pilosella piloselloides (Vill.) Soják, 1971")</f>
        <v>Pilosella piloselloides (Vill.) Soják, 1971</v>
      </c>
      <c r="F20561" s="5" t="s">
        <v>26086</v>
      </c>
      <c r="Q20561" s="7" t="str">
        <f>HYPERLINK("#Liste_rouge!A"&amp;_xlfn.XMATCH("LC",Liste_rouge!A:A,2,1),"LC")</f>
        <v>LC</v>
      </c>
      <c r="T20561" s="7" t="str">
        <f>HYPERLINK("#Liste_rouge!A"&amp;_xlfn.XMATCH("NE",Liste_rouge!A:A,2,1),"NE (cd_nom 113520) - VU (cd_nom 113529)")</f>
        <v>NE (cd_nom 113520) - VU (cd_nom 113529)</v>
      </c>
      <c r="V20561" s="7" t="str">
        <f>HYPERLINK("#Liste_rouge!A"&amp;_xlfn.XMATCH("LC",Liste_rouge!A:A,2,1),"LC")</f>
        <v>LC</v>
      </c>
      <c r="AB20561" s="4" t="s">
        <v>25010</v>
      </c>
      <c r="AH20561" s="4" t="str">
        <f>HYPERLINK("#Statut_biogéographique!A"&amp;_xlfn.XMATCH("P",Statut_biogéographique!A:A,2,1),"P")</f>
        <v>P</v>
      </c>
      <c r="AM20561" s="4" t="s">
        <v>375</v>
      </c>
      <c r="AN20561" s="4" t="s">
        <v>375</v>
      </c>
      <c r="AO20561" s="4" t="s">
        <v>375</v>
      </c>
      <c r="AP20561" s="4" t="s">
        <v>376</v>
      </c>
      <c r="AR20561" s="4" t="s">
        <v>377</v>
      </c>
    </row>
    <row r="20562" spans="1:44" ht="60">
      <c r="A20562" s="4" t="s">
        <v>24364</v>
      </c>
      <c r="B20562" s="4">
        <v>113546</v>
      </c>
      <c r="D20562" s="5" t="s">
        <v>26087</v>
      </c>
      <c r="E20562" s="6" t="str">
        <f>HYPERLINK("https://inpn.mnhn.fr/espece/cd_nom/113546","Pilosella ziziana (Tausch) F.W.Schultz &amp; Sch.Bip., 1862")</f>
        <v>Pilosella ziziana (Tausch) F.W.Schultz &amp; Sch.Bip., 1862</v>
      </c>
      <c r="F20562" s="5" t="s">
        <v>26088</v>
      </c>
      <c r="Q20562" s="7" t="str">
        <f>HYPERLINK("#Liste_rouge!A"&amp;_xlfn.XMATCH("LC",Liste_rouge!A:A,2,1),"LC")</f>
        <v>LC</v>
      </c>
      <c r="T20562" s="7" t="str">
        <f>HYPERLINK("#Liste_rouge!A"&amp;_xlfn.XMATCH("NE",Liste_rouge!A:A,2,1),"NE")</f>
        <v>NE</v>
      </c>
      <c r="V20562" s="7" t="str">
        <f>HYPERLINK("#Liste_rouge!A"&amp;_xlfn.XMATCH("DD",Liste_rouge!A:A,2,1),"DD")</f>
        <v>DD</v>
      </c>
      <c r="X20562" s="5" t="s">
        <v>374</v>
      </c>
      <c r="AB20562" s="4" t="s">
        <v>93</v>
      </c>
      <c r="AH20562" s="4" t="str">
        <f>HYPERLINK("#Statut_biogéographique!A"&amp;_xlfn.XMATCH("P",Statut_biogéographique!A:A,2,1),"P")</f>
        <v>P</v>
      </c>
      <c r="AM20562" s="4" t="s">
        <v>375</v>
      </c>
      <c r="AN20562" s="4" t="s">
        <v>375</v>
      </c>
      <c r="AO20562" s="4" t="s">
        <v>375</v>
      </c>
      <c r="AP20562" s="4" t="s">
        <v>376</v>
      </c>
      <c r="AR20562" s="4" t="s">
        <v>377</v>
      </c>
    </row>
    <row r="20563" spans="1:44">
      <c r="A20563" s="4" t="s">
        <v>24364</v>
      </c>
      <c r="B20563" s="4">
        <v>113547</v>
      </c>
      <c r="D20563" s="5" t="s">
        <v>26089</v>
      </c>
      <c r="E20563" s="6" t="str">
        <f>HYPERLINK("https://inpn.mnhn.fr/espece/cd_nom/113547","Pilularia globulifera L., 1753")</f>
        <v>Pilularia globulifera L., 1753</v>
      </c>
      <c r="F20563" s="5" t="s">
        <v>26090</v>
      </c>
      <c r="L20563" s="4" t="str">
        <f>HYPERLINK("#Réglementation!A"&amp;_xlfn.XMATCH("NV1",Réglementation!A:A,2,1),"NV1")</f>
        <v>NV1</v>
      </c>
      <c r="O20563" s="7" t="str">
        <f>HYPERLINK("#Liste_rouge!A"&amp;_xlfn.XMATCH("LC",Liste_rouge!A:A,2,1),"LC")</f>
        <v>LC</v>
      </c>
      <c r="P20563" s="7" t="str">
        <f>HYPERLINK("#Liste_rouge!A"&amp;_xlfn.XMATCH("LC",Liste_rouge!A:A,2,1),"LC")</f>
        <v>LC</v>
      </c>
      <c r="Q20563" s="7" t="str">
        <f>HYPERLINK("#Liste_rouge!A"&amp;_xlfn.XMATCH("LC",Liste_rouge!A:A,2,1),"LC")</f>
        <v>LC</v>
      </c>
      <c r="T20563" s="7" t="str">
        <f>HYPERLINK("#Liste_rouge!A"&amp;_xlfn.XMATCH("CR",Liste_rouge!A:A,2,1),"CR")</f>
        <v>CR</v>
      </c>
      <c r="U20563" s="4" t="str">
        <f>HYPERLINK("#Critères_liste_rouge!A$1","C2a(i)")</f>
        <v>C2a(i)</v>
      </c>
      <c r="V20563" s="7" t="str">
        <f>HYPERLINK("#Liste_rouge!A"&amp;_xlfn.XMATCH("VU",Liste_rouge!A:A,2,1),"VU")</f>
        <v>VU</v>
      </c>
      <c r="W20563" s="4" t="str">
        <f>HYPERLINK("#Critères_liste_rouge!A$1","D2")</f>
        <v>D2</v>
      </c>
      <c r="X20563" s="5" t="s">
        <v>374</v>
      </c>
      <c r="AB20563" s="4" t="s">
        <v>93</v>
      </c>
      <c r="AH20563" s="4" t="str">
        <f>HYPERLINK("#Statut_biogéographique!A"&amp;_xlfn.XMATCH("P",Statut_biogéographique!A:A,2,1),"P")</f>
        <v>P</v>
      </c>
      <c r="AM20563" s="4" t="s">
        <v>375</v>
      </c>
      <c r="AN20563" s="4" t="s">
        <v>375</v>
      </c>
      <c r="AO20563" s="4" t="s">
        <v>375</v>
      </c>
      <c r="AP20563" s="4" t="s">
        <v>376</v>
      </c>
      <c r="AR20563" s="4" t="s">
        <v>377</v>
      </c>
    </row>
    <row r="20564" spans="1:44" ht="30">
      <c r="A20564" s="4" t="s">
        <v>24364</v>
      </c>
      <c r="B20564" s="4">
        <v>113554</v>
      </c>
      <c r="D20564" s="5" t="s">
        <v>26091</v>
      </c>
      <c r="E20564" s="6" t="str">
        <f>HYPERLINK("https://inpn.mnhn.fr/espece/cd_nom/113554","Pimpinella anisum L., 1753")</f>
        <v>Pimpinella anisum L., 1753</v>
      </c>
      <c r="F20564" s="5" t="s">
        <v>26092</v>
      </c>
      <c r="Q20564" s="7" t="str">
        <f>HYPERLINK("#Liste_rouge!A"&amp;_xlfn.XMATCH("NA",Liste_rouge!A:A,2,1),"NA")</f>
        <v>NA</v>
      </c>
      <c r="T20564" s="7" t="str">
        <f>HYPERLINK("#Liste_rouge!A"&amp;_xlfn.XMATCH("NA",Liste_rouge!A:A,2,1),"NA")</f>
        <v>NA</v>
      </c>
      <c r="AH20564" s="4" t="str">
        <f>HYPERLINK("#Statut_biogéographique!A"&amp;_xlfn.XMATCH("M",Statut_biogéographique!A:A,2,1),"M")</f>
        <v>M</v>
      </c>
      <c r="AP20564" s="4" t="s">
        <v>376</v>
      </c>
      <c r="AR20564" s="4" t="s">
        <v>377</v>
      </c>
    </row>
    <row r="20565" spans="1:44" ht="90">
      <c r="A20565" s="4" t="s">
        <v>24364</v>
      </c>
      <c r="B20565" s="4">
        <v>113579</v>
      </c>
      <c r="D20565" s="5" t="s">
        <v>26093</v>
      </c>
      <c r="E20565" s="6" t="str">
        <f>HYPERLINK("https://inpn.mnhn.fr/espece/cd_nom/113579","Pimpinella major (L.) Huds., 1762")</f>
        <v>Pimpinella major (L.) Huds., 1762</v>
      </c>
      <c r="F20565" s="5" t="s">
        <v>26094</v>
      </c>
      <c r="Q20565" s="7" t="str">
        <f>HYPERLINK("#Liste_rouge!A"&amp;_xlfn.XMATCH("LC",Liste_rouge!A:A,2,1),"LC")</f>
        <v>LC</v>
      </c>
      <c r="T20565" s="7" t="str">
        <f>HYPERLINK("#Liste_rouge!A"&amp;_xlfn.XMATCH("DD",Liste_rouge!A:A,2,1),"DD (cd_nom 613799) - LC (cd_nom 113579)")</f>
        <v>DD (cd_nom 613799) - LC (cd_nom 113579)</v>
      </c>
      <c r="V20565" s="7" t="str">
        <f>HYPERLINK("#Liste_rouge!A"&amp;_xlfn.XMATCH("LC",Liste_rouge!A:A,2,1),"LC")</f>
        <v>LC</v>
      </c>
      <c r="AH20565" s="4" t="str">
        <f>HYPERLINK("#Statut_biogéographique!A"&amp;_xlfn.XMATCH("P",Statut_biogéographique!A:A,2,1),"P")</f>
        <v>P</v>
      </c>
      <c r="AM20565" s="4" t="s">
        <v>375</v>
      </c>
      <c r="AN20565" s="4" t="s">
        <v>375</v>
      </c>
      <c r="AO20565" s="4" t="s">
        <v>375</v>
      </c>
      <c r="AP20565" s="4" t="s">
        <v>376</v>
      </c>
      <c r="AR20565" s="4" t="s">
        <v>377</v>
      </c>
    </row>
    <row r="20566" spans="1:44" ht="60">
      <c r="A20566" s="4" t="s">
        <v>24364</v>
      </c>
      <c r="B20566" s="4">
        <v>113596</v>
      </c>
      <c r="D20566" s="5" t="s">
        <v>26095</v>
      </c>
      <c r="E20566" s="6" t="str">
        <f>HYPERLINK("https://inpn.mnhn.fr/espece/cd_nom/113596","Pimpinella saxifraga L., 1753")</f>
        <v>Pimpinella saxifraga L., 1753</v>
      </c>
      <c r="F20566" s="5" t="s">
        <v>26096</v>
      </c>
      <c r="Q20566" s="7" t="str">
        <f>HYPERLINK("#Liste_rouge!A"&amp;_xlfn.XMATCH("LC",Liste_rouge!A:A,2,1),"LC")</f>
        <v>LC</v>
      </c>
      <c r="T20566" s="7" t="str">
        <f>HYPERLINK("#Liste_rouge!A"&amp;_xlfn.XMATCH("LC",Liste_rouge!A:A,2,1),"LC")</f>
        <v>LC</v>
      </c>
      <c r="V20566" s="7" t="str">
        <f>HYPERLINK("#Liste_rouge!A"&amp;_xlfn.XMATCH("LC",Liste_rouge!A:A,2,1),"LC")</f>
        <v>LC</v>
      </c>
      <c r="AH20566" s="4" t="str">
        <f>HYPERLINK("#Statut_biogéographique!A"&amp;_xlfn.XMATCH("P",Statut_biogéographique!A:A,2,1),"P")</f>
        <v>P</v>
      </c>
      <c r="AM20566" s="4" t="s">
        <v>375</v>
      </c>
      <c r="AN20566" s="4" t="s">
        <v>375</v>
      </c>
      <c r="AO20566" s="4" t="s">
        <v>375</v>
      </c>
      <c r="AP20566" s="4" t="s">
        <v>376</v>
      </c>
      <c r="AR20566" s="4" t="s">
        <v>377</v>
      </c>
    </row>
    <row r="20567" spans="1:44" ht="60">
      <c r="A20567" s="4" t="s">
        <v>24364</v>
      </c>
      <c r="B20567" s="4">
        <v>113620</v>
      </c>
      <c r="D20567" s="5" t="s">
        <v>26097</v>
      </c>
      <c r="E20567" s="6" t="str">
        <f>HYPERLINK("https://inpn.mnhn.fr/espece/cd_nom/113620","Pinguicula grandiflora Lam., 1789")</f>
        <v>Pinguicula grandiflora Lam., 1789</v>
      </c>
      <c r="F20567" s="5" t="s">
        <v>26098</v>
      </c>
      <c r="M20567" s="4" t="str">
        <f>HYPERLINK("#Réglementation!A"&amp;_xlfn.XMATCH("RV43",Réglementation!A:A,2,1),"RV43")</f>
        <v>RV43</v>
      </c>
      <c r="Q20567" s="7" t="str">
        <f>HYPERLINK("#Liste_rouge!A"&amp;_xlfn.XMATCH("LC",Liste_rouge!A:A,2,1),"LC")</f>
        <v>LC</v>
      </c>
      <c r="V20567" s="7" t="str">
        <f>HYPERLINK("#Liste_rouge!A"&amp;_xlfn.XMATCH("VU",Liste_rouge!A:A,2,1),"VU")</f>
        <v>VU</v>
      </c>
      <c r="W20567" s="4" t="str">
        <f>HYPERLINK("#Critères_liste_rouge!A$1","D2")</f>
        <v>D2</v>
      </c>
      <c r="X20567" s="5" t="s">
        <v>374</v>
      </c>
      <c r="AB20567" s="4" t="s">
        <v>93</v>
      </c>
      <c r="AD20567" s="4" t="s">
        <v>11319</v>
      </c>
      <c r="AH20567" s="4" t="str">
        <f>HYPERLINK("#Statut_biogéographique!A"&amp;_xlfn.XMATCH("P",Statut_biogéographique!A:A,2,1),"P")</f>
        <v>P</v>
      </c>
      <c r="AM20567" s="4" t="s">
        <v>375</v>
      </c>
      <c r="AN20567" s="4" t="s">
        <v>375</v>
      </c>
      <c r="AO20567" s="4" t="s">
        <v>375</v>
      </c>
      <c r="AP20567" s="4" t="s">
        <v>376</v>
      </c>
      <c r="AR20567" s="4" t="s">
        <v>377</v>
      </c>
    </row>
    <row r="20568" spans="1:44" ht="45">
      <c r="A20568" s="4" t="s">
        <v>24364</v>
      </c>
      <c r="B20568" s="4">
        <v>113639</v>
      </c>
      <c r="D20568" s="5" t="s">
        <v>26099</v>
      </c>
      <c r="E20568" s="6" t="str">
        <f>HYPERLINK("https://inpn.mnhn.fr/espece/cd_nom/113639","Pinguicula vulgaris L., 1753")</f>
        <v>Pinguicula vulgaris L., 1753</v>
      </c>
      <c r="F20568" s="5" t="s">
        <v>26100</v>
      </c>
      <c r="M20568" s="4" t="str">
        <f>HYPERLINK("#Réglementation!A"&amp;_xlfn.XMATCH("RV43",Réglementation!A:A,2,1),"RV43")</f>
        <v>RV43</v>
      </c>
      <c r="O20568" s="7" t="str">
        <f>HYPERLINK("#Liste_rouge!A"&amp;_xlfn.XMATCH("LC",Liste_rouge!A:A,2,1),"LC")</f>
        <v>LC</v>
      </c>
      <c r="P20568" s="7" t="str">
        <f>HYPERLINK("#Liste_rouge!A"&amp;_xlfn.XMATCH("LC",Liste_rouge!A:A,2,1),"LC")</f>
        <v>LC</v>
      </c>
      <c r="Q20568" s="7" t="str">
        <f>HYPERLINK("#Liste_rouge!A"&amp;_xlfn.XMATCH("LC",Liste_rouge!A:A,2,1),"LC")</f>
        <v>LC</v>
      </c>
      <c r="T20568" s="7" t="str">
        <f>HYPERLINK("#Liste_rouge!A"&amp;_xlfn.XMATCH("RE",Liste_rouge!A:A,2,1),"RE")</f>
        <v>RE</v>
      </c>
      <c r="V20568" s="7" t="str">
        <f>HYPERLINK("#Liste_rouge!A"&amp;_xlfn.XMATCH("NT",Liste_rouge!A:A,2,1),"NT")</f>
        <v>NT</v>
      </c>
      <c r="W20568" s="4" t="str">
        <f>HYPERLINK("#Critères_liste_rouge!A$1","pr. B2b(iii)")</f>
        <v>pr. B2b(iii)</v>
      </c>
      <c r="AB20568" s="4" t="s">
        <v>24536</v>
      </c>
      <c r="AH20568" s="4" t="str">
        <f>HYPERLINK("#Statut_biogéographique!A"&amp;_xlfn.XMATCH("P",Statut_biogéographique!A:A,2,1),"P")</f>
        <v>P</v>
      </c>
      <c r="AM20568" s="4" t="s">
        <v>375</v>
      </c>
      <c r="AN20568" s="4" t="s">
        <v>375</v>
      </c>
      <c r="AO20568" s="4" t="s">
        <v>375</v>
      </c>
      <c r="AP20568" s="4" t="s">
        <v>376</v>
      </c>
      <c r="AR20568" s="4" t="s">
        <v>377</v>
      </c>
    </row>
    <row r="20569" spans="1:44">
      <c r="A20569" s="4" t="s">
        <v>24364</v>
      </c>
      <c r="B20569" s="4">
        <v>113641</v>
      </c>
      <c r="D20569" s="5">
        <v>113641</v>
      </c>
      <c r="E20569" s="6" t="str">
        <f>HYPERLINK("https://inpn.mnhn.fr/espece/cd_nom/113641","Pinguicula x scullyi Druce, 1922")</f>
        <v>Pinguicula x scullyi Druce, 1922</v>
      </c>
      <c r="F20569" s="5" t="s">
        <v>26101</v>
      </c>
      <c r="AH20569" s="4" t="str">
        <f>HYPERLINK("#Statut_biogéographique!A"&amp;_xlfn.XMATCH("P",Statut_biogéographique!A:A,2,1),"P")</f>
        <v>P</v>
      </c>
      <c r="AP20569" s="4" t="s">
        <v>376</v>
      </c>
      <c r="AR20569" s="4" t="s">
        <v>377</v>
      </c>
    </row>
    <row r="20570" spans="1:44">
      <c r="A20570" s="4" t="s">
        <v>24364</v>
      </c>
      <c r="B20570" s="4">
        <v>113651</v>
      </c>
      <c r="D20570" s="5" t="s">
        <v>26102</v>
      </c>
      <c r="E20570" s="6" t="str">
        <f>HYPERLINK("https://inpn.mnhn.fr/espece/cd_nom/113651","Pinus cembra L., 1753")</f>
        <v>Pinus cembra L., 1753</v>
      </c>
      <c r="F20570" s="5" t="s">
        <v>26103</v>
      </c>
      <c r="O20570" s="7" t="str">
        <f>HYPERLINK("#Liste_rouge!A"&amp;_xlfn.XMATCH("LC",Liste_rouge!A:A,2,1),"LC")</f>
        <v>LC</v>
      </c>
      <c r="P20570" s="7" t="str">
        <f>HYPERLINK("#Liste_rouge!A"&amp;_xlfn.XMATCH("LC",Liste_rouge!A:A,2,1),"LC")</f>
        <v>LC</v>
      </c>
      <c r="Q20570" s="7" t="str">
        <f>HYPERLINK("#Liste_rouge!A"&amp;_xlfn.XMATCH("LC",Liste_rouge!A:A,2,1),"LC")</f>
        <v>LC</v>
      </c>
      <c r="T20570" s="7" t="str">
        <f>HYPERLINK("#Liste_rouge!A"&amp;_xlfn.XMATCH("NA",Liste_rouge!A:A,2,1),"NA")</f>
        <v>NA</v>
      </c>
      <c r="AH20570" s="4" t="str">
        <f>HYPERLINK("#Statut_biogéographique!A"&amp;_xlfn.XMATCH("P",Statut_biogéographique!A:A,2,1),"P")</f>
        <v>P</v>
      </c>
      <c r="AP20570" s="4" t="s">
        <v>376</v>
      </c>
      <c r="AR20570" s="4" t="s">
        <v>377</v>
      </c>
    </row>
    <row r="20571" spans="1:44" ht="30">
      <c r="A20571" s="4" t="s">
        <v>24364</v>
      </c>
      <c r="B20571" s="4">
        <v>113682</v>
      </c>
      <c r="D20571" s="5" t="s">
        <v>26104</v>
      </c>
      <c r="E20571" s="6" t="str">
        <f>HYPERLINK("https://inpn.mnhn.fr/espece/cd_nom/113682","Pinus mugo Turra, 1764")</f>
        <v>Pinus mugo Turra, 1764</v>
      </c>
      <c r="F20571" s="5" t="s">
        <v>26105</v>
      </c>
      <c r="L20571" s="4" t="str">
        <f>HYPERLINK("#Réglementation!A"&amp;_xlfn.XMATCH("NV1",Réglementation!A:A,2,1),"NV1")</f>
        <v>NV1</v>
      </c>
      <c r="O20571" s="7" t="str">
        <f>HYPERLINK("#Liste_rouge!A"&amp;_xlfn.XMATCH("LC",Liste_rouge!A:A,2,1),"LC")</f>
        <v>LC</v>
      </c>
      <c r="P20571" s="7" t="str">
        <f>HYPERLINK("#Liste_rouge!A"&amp;_xlfn.XMATCH("LC",Liste_rouge!A:A,2,1),"LC")</f>
        <v>LC</v>
      </c>
      <c r="Q20571" s="7" t="str">
        <f>HYPERLINK("#Liste_rouge!A"&amp;_xlfn.XMATCH("LC",Liste_rouge!A:A,2,1),"LC")</f>
        <v>LC</v>
      </c>
      <c r="V20571" s="7" t="str">
        <f>HYPERLINK("#Liste_rouge!A"&amp;_xlfn.XMATCH("LC",Liste_rouge!A:A,2,1),"LC")</f>
        <v>LC</v>
      </c>
      <c r="AH20571" s="4" t="str">
        <f>HYPERLINK("#Statut_biogéographique!A"&amp;_xlfn.XMATCH("P",Statut_biogéographique!A:A,2,1),"P")</f>
        <v>P</v>
      </c>
      <c r="AM20571" s="4" t="s">
        <v>375</v>
      </c>
      <c r="AN20571" s="4" t="s">
        <v>375</v>
      </c>
      <c r="AO20571" s="4" t="s">
        <v>375</v>
      </c>
      <c r="AP20571" s="4" t="s">
        <v>376</v>
      </c>
      <c r="AR20571" s="4" t="s">
        <v>377</v>
      </c>
    </row>
    <row r="20572" spans="1:44">
      <c r="A20572" s="4" t="s">
        <v>24364</v>
      </c>
      <c r="B20572" s="4">
        <v>113683</v>
      </c>
      <c r="D20572" s="5" t="s">
        <v>26106</v>
      </c>
      <c r="E20572" s="6" t="str">
        <f>HYPERLINK("https://inpn.mnhn.fr/espece/cd_nom/113683","Pinus nigra J.F.Arnold, 1785")</f>
        <v>Pinus nigra J.F.Arnold, 1785</v>
      </c>
      <c r="F20572" s="5" t="s">
        <v>26107</v>
      </c>
      <c r="O20572" s="7" t="str">
        <f>HYPERLINK("#Liste_rouge!A"&amp;_xlfn.XMATCH("LC",Liste_rouge!A:A,2,1),"LC")</f>
        <v>LC</v>
      </c>
      <c r="P20572" s="7" t="str">
        <f>HYPERLINK("#Liste_rouge!A"&amp;_xlfn.XMATCH("LC",Liste_rouge!A:A,2,1),"LC")</f>
        <v>LC</v>
      </c>
      <c r="Q20572" s="7" t="str">
        <f>HYPERLINK("#Liste_rouge!A"&amp;_xlfn.XMATCH("LC",Liste_rouge!A:A,2,1),"LC")</f>
        <v>LC</v>
      </c>
      <c r="T20572" s="7" t="str">
        <f>HYPERLINK("#Liste_rouge!A"&amp;_xlfn.XMATCH("NA",Liste_rouge!A:A,2,1),"NA")</f>
        <v>NA</v>
      </c>
      <c r="V20572" s="7" t="str">
        <f>HYPERLINK("#Liste_rouge!A"&amp;_xlfn.XMATCH("LC",Liste_rouge!A:A,2,1),"LC")</f>
        <v>LC</v>
      </c>
      <c r="AH20572" s="4" t="str">
        <f>HYPERLINK("#Statut_biogéographique!A"&amp;_xlfn.XMATCH("P",Statut_biogéographique!A:A,2,1),"P")</f>
        <v>P</v>
      </c>
      <c r="AM20572" s="4" t="s">
        <v>375</v>
      </c>
      <c r="AN20572" s="4" t="s">
        <v>375</v>
      </c>
      <c r="AO20572" s="4" t="s">
        <v>375</v>
      </c>
      <c r="AP20572" s="4" t="s">
        <v>376</v>
      </c>
      <c r="AR20572" s="4" t="s">
        <v>377</v>
      </c>
    </row>
    <row r="20573" spans="1:44" ht="45">
      <c r="A20573" s="4" t="s">
        <v>24364</v>
      </c>
      <c r="B20573" s="4">
        <v>113689</v>
      </c>
      <c r="D20573" s="5" t="s">
        <v>26108</v>
      </c>
      <c r="E20573" s="6" t="str">
        <f>HYPERLINK("https://inpn.mnhn.fr/espece/cd_nom/113689","Pinus pinaster Aiton, 1789")</f>
        <v>Pinus pinaster Aiton, 1789</v>
      </c>
      <c r="F20573" s="5" t="s">
        <v>26109</v>
      </c>
      <c r="O20573" s="7" t="str">
        <f>HYPERLINK("#Liste_rouge!A"&amp;_xlfn.XMATCH("LC",Liste_rouge!A:A,2,1),"LC")</f>
        <v>LC</v>
      </c>
      <c r="P20573" s="7" t="str">
        <f>HYPERLINK("#Liste_rouge!A"&amp;_xlfn.XMATCH("LC",Liste_rouge!A:A,2,1),"LC")</f>
        <v>LC</v>
      </c>
      <c r="Q20573" s="7" t="str">
        <f>HYPERLINK("#Liste_rouge!A"&amp;_xlfn.XMATCH("LC",Liste_rouge!A:A,2,1),"LC")</f>
        <v>LC</v>
      </c>
      <c r="T20573" s="7" t="str">
        <f>HYPERLINK("#Liste_rouge!A"&amp;_xlfn.XMATCH("NA",Liste_rouge!A:A,2,1),"NA")</f>
        <v>NA</v>
      </c>
      <c r="AH20573" s="4" t="str">
        <f>HYPERLINK("#Statut_biogéographique!A"&amp;_xlfn.XMATCH("P",Statut_biogéographique!A:A,2,1),"P")</f>
        <v>P</v>
      </c>
      <c r="AP20573" s="4" t="s">
        <v>376</v>
      </c>
      <c r="AR20573" s="4" t="s">
        <v>377</v>
      </c>
    </row>
    <row r="20574" spans="1:44">
      <c r="A20574" s="4" t="s">
        <v>24364</v>
      </c>
      <c r="B20574" s="4">
        <v>113702</v>
      </c>
      <c r="D20574" s="5" t="s">
        <v>26110</v>
      </c>
      <c r="E20574" s="6" t="str">
        <f>HYPERLINK("https://inpn.mnhn.fr/espece/cd_nom/113702","Pinus strobus L., 1753")</f>
        <v>Pinus strobus L., 1753</v>
      </c>
      <c r="F20574" s="5" t="s">
        <v>26111</v>
      </c>
      <c r="O20574" s="7" t="str">
        <f>HYPERLINK("#Liste_rouge!A"&amp;_xlfn.XMATCH("LC",Liste_rouge!A:A,2,1),"LC")</f>
        <v>LC</v>
      </c>
      <c r="Q20574" s="7" t="str">
        <f>HYPERLINK("#Liste_rouge!A"&amp;_xlfn.XMATCH("NA",Liste_rouge!A:A,2,1),"NA")</f>
        <v>NA</v>
      </c>
      <c r="T20574" s="7" t="str">
        <f>HYPERLINK("#Liste_rouge!A"&amp;_xlfn.XMATCH("NA",Liste_rouge!A:A,2,1),"NA")</f>
        <v>NA</v>
      </c>
      <c r="AH20574" s="4" t="str">
        <f>HYPERLINK("#Statut_biogéographique!A"&amp;_xlfn.XMATCH("I",Statut_biogéographique!A:A,2,1),"I")</f>
        <v>I</v>
      </c>
      <c r="AP20574" s="4" t="s">
        <v>376</v>
      </c>
      <c r="AR20574" s="4" t="s">
        <v>377</v>
      </c>
    </row>
    <row r="20575" spans="1:44" ht="45">
      <c r="A20575" s="4" t="s">
        <v>24364</v>
      </c>
      <c r="B20575" s="4">
        <v>113703</v>
      </c>
      <c r="D20575" s="5" t="s">
        <v>26112</v>
      </c>
      <c r="E20575" s="6" t="str">
        <f>HYPERLINK("https://inpn.mnhn.fr/espece/cd_nom/113703","Pinus sylvestris L., 1753")</f>
        <v>Pinus sylvestris L., 1753</v>
      </c>
      <c r="F20575" s="5" t="s">
        <v>26113</v>
      </c>
      <c r="O20575" s="7" t="str">
        <f>HYPERLINK("#Liste_rouge!A"&amp;_xlfn.XMATCH("LC",Liste_rouge!A:A,2,1),"LC")</f>
        <v>LC</v>
      </c>
      <c r="P20575" s="7" t="str">
        <f>HYPERLINK("#Liste_rouge!A"&amp;_xlfn.XMATCH("LC",Liste_rouge!A:A,2,1),"LC")</f>
        <v>LC</v>
      </c>
      <c r="Q20575" s="7" t="str">
        <f>HYPERLINK("#Liste_rouge!A"&amp;_xlfn.XMATCH("LC",Liste_rouge!A:A,2,1),"LC")</f>
        <v>LC</v>
      </c>
      <c r="T20575" s="7" t="str">
        <f>HYPERLINK("#Liste_rouge!A"&amp;_xlfn.XMATCH("NA",Liste_rouge!A:A,2,1),"NA")</f>
        <v>NA</v>
      </c>
      <c r="V20575" s="7" t="str">
        <f>HYPERLINK("#Liste_rouge!A"&amp;_xlfn.XMATCH("LC",Liste_rouge!A:A,2,1),"LC")</f>
        <v>LC</v>
      </c>
      <c r="AH20575" s="4" t="str">
        <f>HYPERLINK("#Statut_biogéographique!A"&amp;_xlfn.XMATCH("P",Statut_biogéographique!A:A,2,1),"P")</f>
        <v>P</v>
      </c>
      <c r="AM20575" s="4" t="s">
        <v>375</v>
      </c>
      <c r="AN20575" s="4" t="s">
        <v>375</v>
      </c>
      <c r="AO20575" s="4" t="s">
        <v>375</v>
      </c>
      <c r="AP20575" s="4" t="s">
        <v>376</v>
      </c>
      <c r="AR20575" s="4" t="s">
        <v>377</v>
      </c>
    </row>
    <row r="20576" spans="1:44" ht="30">
      <c r="A20576" s="4" t="s">
        <v>24364</v>
      </c>
      <c r="B20576" s="4">
        <v>113711</v>
      </c>
      <c r="D20576" s="5" t="s">
        <v>26114</v>
      </c>
      <c r="E20576" s="6" t="str">
        <f>HYPERLINK("https://inpn.mnhn.fr/espece/cd_nom/113711","Pinus wallichiana A.B.Jacks., 1947")</f>
        <v>Pinus wallichiana A.B.Jacks., 1947</v>
      </c>
      <c r="F20576" s="5" t="s">
        <v>26115</v>
      </c>
      <c r="O20576" s="7" t="str">
        <f>HYPERLINK("#Liste_rouge!A"&amp;_xlfn.XMATCH("LC",Liste_rouge!A:A,2,1),"LC")</f>
        <v>LC</v>
      </c>
      <c r="T20576" s="7" t="str">
        <f>HYPERLINK("#Liste_rouge!A"&amp;_xlfn.XMATCH("NA",Liste_rouge!A:A,2,1),"NA")</f>
        <v>NA</v>
      </c>
      <c r="AH20576" s="4" t="str">
        <f>HYPERLINK("#Statut_biogéographique!A"&amp;_xlfn.XMATCH("M",Statut_biogéographique!A:A,2,1),"M")</f>
        <v>M</v>
      </c>
      <c r="AP20576" s="4" t="s">
        <v>376</v>
      </c>
      <c r="AR20576" s="4" t="s">
        <v>377</v>
      </c>
    </row>
    <row r="20577" spans="1:44">
      <c r="A20577" s="4" t="s">
        <v>24364</v>
      </c>
      <c r="B20577" s="4">
        <v>113778</v>
      </c>
      <c r="D20577" s="5" t="s">
        <v>26116</v>
      </c>
      <c r="E20577" s="6" t="str">
        <f>HYPERLINK("https://inpn.mnhn.fr/espece/cd_nom/113778","Pisum sativum L., 1753")</f>
        <v>Pisum sativum L., 1753</v>
      </c>
      <c r="F20577" s="5" t="s">
        <v>26117</v>
      </c>
      <c r="P20577" s="7" t="str">
        <f>HYPERLINK("#Liste_rouge!A"&amp;_xlfn.XMATCH("LC",Liste_rouge!A:A,2,1),"LC")</f>
        <v>LC</v>
      </c>
      <c r="Q20577" s="7" t="str">
        <f>HYPERLINK("#Liste_rouge!A"&amp;_xlfn.XMATCH("LC",Liste_rouge!A:A,2,1),"LC")</f>
        <v>LC</v>
      </c>
      <c r="T20577" s="7" t="str">
        <f>HYPERLINK("#Liste_rouge!A"&amp;_xlfn.XMATCH("NA",Liste_rouge!A:A,2,1),"NA")</f>
        <v>NA</v>
      </c>
      <c r="AH20577" s="4" t="str">
        <f>HYPERLINK("#Statut_biogéographique!A"&amp;_xlfn.XMATCH("P",Statut_biogéographique!A:A,2,1),"P")</f>
        <v>P</v>
      </c>
      <c r="AP20577" s="4" t="s">
        <v>376</v>
      </c>
      <c r="AR20577" s="4" t="s">
        <v>377</v>
      </c>
    </row>
    <row r="20578" spans="1:44" ht="45">
      <c r="A20578" s="4" t="s">
        <v>24364</v>
      </c>
      <c r="B20578" s="4">
        <v>113804</v>
      </c>
      <c r="D20578" s="5" t="s">
        <v>26118</v>
      </c>
      <c r="E20578" s="6" t="str">
        <f>HYPERLINK("https://inpn.mnhn.fr/espece/cd_nom/113804","Plantago afra L., 1762")</f>
        <v>Plantago afra L., 1762</v>
      </c>
      <c r="F20578" s="5" t="s">
        <v>26119</v>
      </c>
      <c r="P20578" s="7" t="str">
        <f>HYPERLINK("#Liste_rouge!A"&amp;_xlfn.XMATCH("LC",Liste_rouge!A:A,2,1),"LC")</f>
        <v>LC</v>
      </c>
      <c r="Q20578" s="7" t="str">
        <f>HYPERLINK("#Liste_rouge!A"&amp;_xlfn.XMATCH("LC",Liste_rouge!A:A,2,1),"LC")</f>
        <v>LC</v>
      </c>
      <c r="T20578" s="7" t="str">
        <f>HYPERLINK("#Liste_rouge!A"&amp;_xlfn.XMATCH("NA",Liste_rouge!A:A,2,1),"NA")</f>
        <v>NA</v>
      </c>
      <c r="AH20578" s="4" t="str">
        <f>HYPERLINK("#Statut_biogéographique!A"&amp;_xlfn.XMATCH("P",Statut_biogéographique!A:A,2,1),"P")</f>
        <v>P</v>
      </c>
      <c r="AP20578" s="4" t="s">
        <v>376</v>
      </c>
      <c r="AR20578" s="4" t="s">
        <v>377</v>
      </c>
    </row>
    <row r="20579" spans="1:44" ht="45">
      <c r="A20579" s="4" t="s">
        <v>24364</v>
      </c>
      <c r="B20579" s="4">
        <v>113806</v>
      </c>
      <c r="D20579" s="5" t="s">
        <v>26120</v>
      </c>
      <c r="E20579" s="6" t="str">
        <f>HYPERLINK("https://inpn.mnhn.fr/espece/cd_nom/113806","Plantago alpina L., 1753")</f>
        <v>Plantago alpina L., 1753</v>
      </c>
      <c r="F20579" s="5" t="s">
        <v>26121</v>
      </c>
      <c r="Q20579" s="7" t="str">
        <f>HYPERLINK("#Liste_rouge!A"&amp;_xlfn.XMATCH("LC",Liste_rouge!A:A,2,1),"LC")</f>
        <v>LC</v>
      </c>
      <c r="V20579" s="7" t="str">
        <f>HYPERLINK("#Liste_rouge!A"&amp;_xlfn.XMATCH("RE",Liste_rouge!A:A,2,1),"RE")</f>
        <v>RE</v>
      </c>
      <c r="AH20579" s="4" t="str">
        <f>HYPERLINK("#Statut_biogéographique!A"&amp;_xlfn.XMATCH("P",Statut_biogéographique!A:A,2,1),"P")</f>
        <v>P</v>
      </c>
      <c r="AM20579" s="4" t="s">
        <v>375</v>
      </c>
      <c r="AN20579" s="4" t="s">
        <v>375</v>
      </c>
      <c r="AO20579" s="4" t="s">
        <v>375</v>
      </c>
      <c r="AP20579" s="4" t="s">
        <v>376</v>
      </c>
      <c r="AR20579" s="4" t="s">
        <v>377</v>
      </c>
    </row>
    <row r="20580" spans="1:44" ht="45">
      <c r="A20580" s="4" t="s">
        <v>24364</v>
      </c>
      <c r="B20580" s="4">
        <v>113809</v>
      </c>
      <c r="D20580" s="5" t="s">
        <v>26122</v>
      </c>
      <c r="E20580" s="6" t="str">
        <f>HYPERLINK("https://inpn.mnhn.fr/espece/cd_nom/113809","Plantago arenaria Waldst. &amp; Kit., 1802")</f>
        <v>Plantago arenaria Waldst. &amp; Kit., 1802</v>
      </c>
      <c r="F20580" s="5" t="s">
        <v>26123</v>
      </c>
      <c r="P20580" s="7" t="str">
        <f>HYPERLINK("#Liste_rouge!A"&amp;_xlfn.XMATCH("LC",Liste_rouge!A:A,2,1),"LC")</f>
        <v>LC</v>
      </c>
      <c r="Q20580" s="7" t="str">
        <f>HYPERLINK("#Liste_rouge!A"&amp;_xlfn.XMATCH("LC",Liste_rouge!A:A,2,1),"LC")</f>
        <v>LC</v>
      </c>
      <c r="T20580" s="7" t="str">
        <f>HYPERLINK("#Liste_rouge!A"&amp;_xlfn.XMATCH("LC",Liste_rouge!A:A,2,1),"LC")</f>
        <v>LC</v>
      </c>
      <c r="AB20580" s="4" t="s">
        <v>24855</v>
      </c>
      <c r="AH20580" s="4" t="str">
        <f>HYPERLINK("#Statut_biogéographique!A"&amp;_xlfn.XMATCH("P",Statut_biogéographique!A:A,2,1),"P")</f>
        <v>P</v>
      </c>
      <c r="AM20580" s="4" t="s">
        <v>375</v>
      </c>
      <c r="AN20580" s="4" t="s">
        <v>375</v>
      </c>
      <c r="AO20580" s="4" t="s">
        <v>375</v>
      </c>
      <c r="AP20580" s="4" t="s">
        <v>376</v>
      </c>
      <c r="AR20580" s="4" t="s">
        <v>377</v>
      </c>
    </row>
    <row r="20581" spans="1:44">
      <c r="A20581" s="4" t="s">
        <v>24364</v>
      </c>
      <c r="B20581" s="4">
        <v>113815</v>
      </c>
      <c r="D20581" s="5" t="s">
        <v>26124</v>
      </c>
      <c r="E20581" s="6" t="str">
        <f>HYPERLINK("https://inpn.mnhn.fr/espece/cd_nom/113815","Plantago atrata Hoppe, 1799")</f>
        <v>Plantago atrata Hoppe, 1799</v>
      </c>
      <c r="F20581" s="5" t="s">
        <v>26125</v>
      </c>
      <c r="Q20581" s="7" t="str">
        <f>HYPERLINK("#Liste_rouge!A"&amp;_xlfn.XMATCH("LC",Liste_rouge!A:A,2,1),"LC")</f>
        <v>LC</v>
      </c>
      <c r="V20581" s="7" t="str">
        <f>HYPERLINK("#Liste_rouge!A"&amp;_xlfn.XMATCH("LC",Liste_rouge!A:A,2,1),"LC")</f>
        <v>LC</v>
      </c>
      <c r="X20581" s="5" t="s">
        <v>374</v>
      </c>
      <c r="AB20581" s="4" t="s">
        <v>93</v>
      </c>
      <c r="AH20581" s="4" t="str">
        <f>HYPERLINK("#Statut_biogéographique!A"&amp;_xlfn.XMATCH("P",Statut_biogéographique!A:A,2,1),"P")</f>
        <v>P</v>
      </c>
      <c r="AM20581" s="4" t="s">
        <v>375</v>
      </c>
      <c r="AN20581" s="4" t="s">
        <v>375</v>
      </c>
      <c r="AO20581" s="4" t="s">
        <v>375</v>
      </c>
      <c r="AP20581" s="4" t="s">
        <v>376</v>
      </c>
      <c r="AR20581" s="4" t="s">
        <v>377</v>
      </c>
    </row>
    <row r="20582" spans="1:44" ht="30">
      <c r="A20582" s="4" t="s">
        <v>24364</v>
      </c>
      <c r="B20582" s="4">
        <v>113816</v>
      </c>
      <c r="D20582" s="5" t="s">
        <v>26126</v>
      </c>
      <c r="E20582" s="6" t="str">
        <f>HYPERLINK("https://inpn.mnhn.fr/espece/cd_nom/113816","Plantago bellardii All., 1785")</f>
        <v>Plantago bellardii All., 1785</v>
      </c>
      <c r="F20582" s="5" t="s">
        <v>26127</v>
      </c>
      <c r="Q20582" s="7" t="str">
        <f>HYPERLINK("#Liste_rouge!A"&amp;_xlfn.XMATCH("LC",Liste_rouge!A:A,2,1),"LC")</f>
        <v>LC</v>
      </c>
      <c r="T20582" s="7" t="str">
        <f>HYPERLINK("#Liste_rouge!A"&amp;_xlfn.XMATCH("NA",Liste_rouge!A:A,2,1),"NA")</f>
        <v>NA</v>
      </c>
      <c r="AH20582" s="4" t="str">
        <f>HYPERLINK("#Statut_biogéographique!A"&amp;_xlfn.XMATCH("P",Statut_biogéographique!A:A,2,1),"P")</f>
        <v>P</v>
      </c>
      <c r="AP20582" s="4" t="s">
        <v>376</v>
      </c>
      <c r="AR20582" s="4" t="s">
        <v>377</v>
      </c>
    </row>
    <row r="20583" spans="1:44" ht="60">
      <c r="A20583" s="4" t="s">
        <v>24364</v>
      </c>
      <c r="B20583" s="4">
        <v>113825</v>
      </c>
      <c r="D20583" s="5" t="s">
        <v>26128</v>
      </c>
      <c r="E20583" s="6" t="str">
        <f>HYPERLINK("https://inpn.mnhn.fr/espece/cd_nom/113825","Plantago capitellata Ramond ex DC., 1805")</f>
        <v>Plantago capitellata Ramond ex DC., 1805</v>
      </c>
      <c r="F20583" s="5" t="s">
        <v>26129</v>
      </c>
      <c r="Q20583" s="7" t="str">
        <f>HYPERLINK("#Liste_rouge!A"&amp;_xlfn.XMATCH("LC",Liste_rouge!A:A,2,1),"LC")</f>
        <v>LC</v>
      </c>
      <c r="T20583" s="7" t="str">
        <f>HYPERLINK("#Liste_rouge!A"&amp;_xlfn.XMATCH("NA",Liste_rouge!A:A,2,1),"NA")</f>
        <v>NA</v>
      </c>
      <c r="AE20583" s="4" t="str">
        <f>HYPERLINK("#SCAP!A"&amp;_xlfn.XMATCH("2+",SCAP!A:A,2,1),"2+")</f>
        <v>2+</v>
      </c>
      <c r="AH20583" s="4" t="str">
        <f>HYPERLINK("#Statut_biogéographique!A"&amp;_xlfn.XMATCH("P",Statut_biogéographique!A:A,2,1),"P")</f>
        <v>P</v>
      </c>
      <c r="AP20583" s="4" t="s">
        <v>376</v>
      </c>
      <c r="AR20583" s="4" t="s">
        <v>377</v>
      </c>
    </row>
    <row r="20584" spans="1:44" ht="30">
      <c r="A20584" s="4" t="s">
        <v>24364</v>
      </c>
      <c r="B20584" s="4">
        <v>113842</v>
      </c>
      <c r="D20584" s="5" t="s">
        <v>26130</v>
      </c>
      <c r="E20584" s="6" t="str">
        <f>HYPERLINK("https://inpn.mnhn.fr/espece/cd_nom/113842","Plantago coronopus L., 1753")</f>
        <v>Plantago coronopus L., 1753</v>
      </c>
      <c r="F20584" s="5" t="s">
        <v>26131</v>
      </c>
      <c r="Q20584" s="7" t="str">
        <f>HYPERLINK("#Liste_rouge!A"&amp;_xlfn.XMATCH("LC",Liste_rouge!A:A,2,1),"LC")</f>
        <v>LC</v>
      </c>
      <c r="T20584" s="7" t="str">
        <f>HYPERLINK("#Liste_rouge!A"&amp;_xlfn.XMATCH("LC",Liste_rouge!A:A,2,1),"LC")</f>
        <v>LC</v>
      </c>
      <c r="AH20584" s="4" t="str">
        <f>HYPERLINK("#Statut_biogéographique!A"&amp;_xlfn.XMATCH("P",Statut_biogéographique!A:A,2,1),"P")</f>
        <v>P</v>
      </c>
      <c r="AM20584" s="4" t="s">
        <v>375</v>
      </c>
      <c r="AN20584" s="4" t="s">
        <v>375</v>
      </c>
      <c r="AO20584" s="4" t="s">
        <v>375</v>
      </c>
      <c r="AP20584" s="4" t="s">
        <v>376</v>
      </c>
      <c r="AR20584" s="4" t="s">
        <v>377</v>
      </c>
    </row>
    <row r="20585" spans="1:44" ht="90">
      <c r="A20585" s="4" t="s">
        <v>24364</v>
      </c>
      <c r="B20585" s="4">
        <v>113893</v>
      </c>
      <c r="D20585" s="5" t="s">
        <v>26132</v>
      </c>
      <c r="E20585" s="6" t="str">
        <f>HYPERLINK("https://inpn.mnhn.fr/espece/cd_nom/113893","Plantago lanceolata L., 1753")</f>
        <v>Plantago lanceolata L., 1753</v>
      </c>
      <c r="F20585" s="5" t="s">
        <v>26133</v>
      </c>
      <c r="P20585" s="7" t="str">
        <f>HYPERLINK("#Liste_rouge!A"&amp;_xlfn.XMATCH("LC",Liste_rouge!A:A,2,1),"LC")</f>
        <v>LC</v>
      </c>
      <c r="Q20585" s="7" t="str">
        <f>HYPERLINK("#Liste_rouge!A"&amp;_xlfn.XMATCH("LC",Liste_rouge!A:A,2,1),"LC")</f>
        <v>LC</v>
      </c>
      <c r="T20585" s="7" t="str">
        <f>HYPERLINK("#Liste_rouge!A"&amp;_xlfn.XMATCH("LC",Liste_rouge!A:A,2,1),"LC")</f>
        <v>LC</v>
      </c>
      <c r="V20585" s="7" t="str">
        <f>HYPERLINK("#Liste_rouge!A"&amp;_xlfn.XMATCH("LC",Liste_rouge!A:A,2,1),"LC")</f>
        <v>LC</v>
      </c>
      <c r="AH20585" s="4" t="str">
        <f>HYPERLINK("#Statut_biogéographique!A"&amp;_xlfn.XMATCH("P",Statut_biogéographique!A:A,2,1),"P")</f>
        <v>P</v>
      </c>
      <c r="AM20585" s="4" t="s">
        <v>375</v>
      </c>
      <c r="AN20585" s="4" t="s">
        <v>375</v>
      </c>
      <c r="AO20585" s="4" t="s">
        <v>375</v>
      </c>
      <c r="AP20585" s="4" t="s">
        <v>376</v>
      </c>
      <c r="AR20585" s="4" t="s">
        <v>377</v>
      </c>
    </row>
    <row r="20586" spans="1:44" ht="45">
      <c r="A20586" s="4" t="s">
        <v>24364</v>
      </c>
      <c r="B20586" s="4">
        <v>113904</v>
      </c>
      <c r="D20586" s="5" t="s">
        <v>26134</v>
      </c>
      <c r="E20586" s="6" t="str">
        <f>HYPERLINK("https://inpn.mnhn.fr/espece/cd_nom/113904","Plantago major L., 1753")</f>
        <v>Plantago major L., 1753</v>
      </c>
      <c r="F20586" s="5" t="s">
        <v>26135</v>
      </c>
      <c r="O20586" s="7" t="str">
        <f>HYPERLINK("#Liste_rouge!A"&amp;_xlfn.XMATCH("LC",Liste_rouge!A:A,2,1),"LC")</f>
        <v>LC</v>
      </c>
      <c r="P20586" s="7" t="str">
        <f>HYPERLINK("#Liste_rouge!A"&amp;_xlfn.XMATCH("LC",Liste_rouge!A:A,2,1),"LC")</f>
        <v>LC</v>
      </c>
      <c r="Q20586" s="7" t="str">
        <f>HYPERLINK("#Liste_rouge!A"&amp;_xlfn.XMATCH("LC",Liste_rouge!A:A,2,1),"LC")</f>
        <v>LC</v>
      </c>
      <c r="T20586" s="7" t="str">
        <f>HYPERLINK("#Liste_rouge!A"&amp;_xlfn.XMATCH("LC",Liste_rouge!A:A,2,1),"LC")</f>
        <v>LC</v>
      </c>
      <c r="V20586" s="7" t="str">
        <f>HYPERLINK("#Liste_rouge!A"&amp;_xlfn.XMATCH("LC",Liste_rouge!A:A,2,1),"LC")</f>
        <v>LC</v>
      </c>
      <c r="AH20586" s="4" t="str">
        <f>HYPERLINK("#Statut_biogéographique!A"&amp;_xlfn.XMATCH("P",Statut_biogéographique!A:A,2,1),"P")</f>
        <v>P</v>
      </c>
      <c r="AM20586" s="4" t="s">
        <v>375</v>
      </c>
      <c r="AN20586" s="4" t="s">
        <v>375</v>
      </c>
      <c r="AO20586" s="4" t="s">
        <v>375</v>
      </c>
      <c r="AP20586" s="4" t="s">
        <v>376</v>
      </c>
      <c r="AR20586" s="4" t="s">
        <v>377</v>
      </c>
    </row>
    <row r="20587" spans="1:44">
      <c r="A20587" s="4" t="s">
        <v>24364</v>
      </c>
      <c r="B20587" s="4">
        <v>113905</v>
      </c>
      <c r="D20587" s="5" t="s">
        <v>26136</v>
      </c>
      <c r="E20587" s="6" t="str">
        <f>HYPERLINK("https://inpn.mnhn.fr/espece/cd_nom/113905","Plantago maritima L., 1753")</f>
        <v>Plantago maritima L., 1753</v>
      </c>
      <c r="F20587" s="5" t="s">
        <v>26137</v>
      </c>
      <c r="Q20587" s="7" t="str">
        <f>HYPERLINK("#Liste_rouge!A"&amp;_xlfn.XMATCH("LC",Liste_rouge!A:A,2,1),"LC")</f>
        <v>LC</v>
      </c>
      <c r="V20587" s="7" t="str">
        <f>HYPERLINK("#Liste_rouge!A"&amp;_xlfn.XMATCH("NT",Liste_rouge!A:A,2,1),"NT")</f>
        <v>NT</v>
      </c>
      <c r="W20587" s="4" t="str">
        <f>HYPERLINK("#Critères_liste_rouge!A$1","pr. B2b(iii)")</f>
        <v>pr. B2b(iii)</v>
      </c>
      <c r="AH20587" s="4" t="str">
        <f>HYPERLINK("#Statut_biogéographique!A"&amp;_xlfn.XMATCH("P",Statut_biogéographique!A:A,2,1),"P")</f>
        <v>P</v>
      </c>
      <c r="AP20587" s="4" t="s">
        <v>376</v>
      </c>
      <c r="AR20587" s="4" t="s">
        <v>377</v>
      </c>
    </row>
    <row r="20588" spans="1:44" ht="30">
      <c r="A20588" s="4" t="s">
        <v>24364</v>
      </c>
      <c r="B20588" s="4">
        <v>113906</v>
      </c>
      <c r="D20588" s="5" t="s">
        <v>26138</v>
      </c>
      <c r="E20588" s="6" t="str">
        <f>HYPERLINK("https://inpn.mnhn.fr/espece/cd_nom/113906","Plantago media L., 1753")</f>
        <v>Plantago media L., 1753</v>
      </c>
      <c r="F20588" s="5" t="s">
        <v>26139</v>
      </c>
      <c r="Q20588" s="7" t="str">
        <f>HYPERLINK("#Liste_rouge!A"&amp;_xlfn.XMATCH("LC",Liste_rouge!A:A,2,1),"LC")</f>
        <v>LC</v>
      </c>
      <c r="T20588" s="7" t="str">
        <f>HYPERLINK("#Liste_rouge!A"&amp;_xlfn.XMATCH("LC",Liste_rouge!A:A,2,1),"LC")</f>
        <v>LC</v>
      </c>
      <c r="V20588" s="7" t="str">
        <f>HYPERLINK("#Liste_rouge!A"&amp;_xlfn.XMATCH("LC",Liste_rouge!A:A,2,1),"LC")</f>
        <v>LC</v>
      </c>
      <c r="AH20588" s="4" t="str">
        <f>HYPERLINK("#Statut_biogéographique!A"&amp;_xlfn.XMATCH("P",Statut_biogéographique!A:A,2,1),"P")</f>
        <v>P</v>
      </c>
      <c r="AM20588" s="4" t="s">
        <v>375</v>
      </c>
      <c r="AN20588" s="4" t="s">
        <v>375</v>
      </c>
      <c r="AO20588" s="4" t="s">
        <v>375</v>
      </c>
      <c r="AP20588" s="4" t="s">
        <v>376</v>
      </c>
      <c r="AR20588" s="4" t="s">
        <v>377</v>
      </c>
    </row>
    <row r="20589" spans="1:44">
      <c r="A20589" s="4" t="s">
        <v>24364</v>
      </c>
      <c r="B20589" s="4">
        <v>113924</v>
      </c>
      <c r="D20589" s="5">
        <v>113924</v>
      </c>
      <c r="E20589" s="6" t="str">
        <f>HYPERLINK("https://inpn.mnhn.fr/espece/cd_nom/113924","Plantago ovata Forssk., 1775")</f>
        <v>Plantago ovata Forssk., 1775</v>
      </c>
      <c r="F20589" s="5" t="s">
        <v>26140</v>
      </c>
      <c r="P20589" s="7" t="str">
        <f>HYPERLINK("#Liste_rouge!A"&amp;_xlfn.XMATCH("LC",Liste_rouge!A:A,2,1),"LC")</f>
        <v>LC</v>
      </c>
      <c r="AH20589" s="4" t="str">
        <f>HYPERLINK("#Statut_biogéographique!A"&amp;_xlfn.XMATCH("M",Statut_biogéographique!A:A,2,1),"M")</f>
        <v>M</v>
      </c>
      <c r="AP20589" s="4" t="s">
        <v>376</v>
      </c>
      <c r="AR20589" s="4" t="s">
        <v>377</v>
      </c>
    </row>
    <row r="20590" spans="1:44" ht="45">
      <c r="A20590" s="4" t="s">
        <v>24364</v>
      </c>
      <c r="B20590" s="4">
        <v>113957</v>
      </c>
      <c r="D20590" s="5" t="s">
        <v>26141</v>
      </c>
      <c r="E20590" s="6" t="str">
        <f>HYPERLINK("https://inpn.mnhn.fr/espece/cd_nom/113957","Plantago sempervirens Crantz, 1766")</f>
        <v>Plantago sempervirens Crantz, 1766</v>
      </c>
      <c r="F20590" s="5" t="s">
        <v>26142</v>
      </c>
      <c r="Q20590" s="7" t="str">
        <f>HYPERLINK("#Liste_rouge!A"&amp;_xlfn.XMATCH("LC",Liste_rouge!A:A,2,1),"LC")</f>
        <v>LC</v>
      </c>
      <c r="T20590" s="7" t="str">
        <f>HYPERLINK("#Liste_rouge!A"&amp;_xlfn.XMATCH("EN",Liste_rouge!A:A,2,1),"EN")</f>
        <v>EN</v>
      </c>
      <c r="U20590" s="4" t="str">
        <f>HYPERLINK("#Critères_liste_rouge!A$1","C2a(i)")</f>
        <v>C2a(i)</v>
      </c>
      <c r="V20590" s="7" t="str">
        <f>HYPERLINK("#Liste_rouge!A"&amp;_xlfn.XMATCH("NT",Liste_rouge!A:A,2,1),"NT")</f>
        <v>NT</v>
      </c>
      <c r="W20590" s="4" t="str">
        <f>HYPERLINK("#Critères_liste_rouge!A$1","pr. D2")</f>
        <v>pr. D2</v>
      </c>
      <c r="X20590" s="5" t="s">
        <v>374</v>
      </c>
      <c r="AB20590" s="4" t="s">
        <v>93</v>
      </c>
      <c r="AH20590" s="4" t="str">
        <f>HYPERLINK("#Statut_biogéographique!A"&amp;_xlfn.XMATCH("P",Statut_biogéographique!A:A,2,1),"P")</f>
        <v>P</v>
      </c>
      <c r="AM20590" s="4" t="s">
        <v>375</v>
      </c>
      <c r="AN20590" s="4" t="s">
        <v>375</v>
      </c>
      <c r="AO20590" s="4" t="s">
        <v>375</v>
      </c>
      <c r="AP20590" s="4" t="s">
        <v>376</v>
      </c>
      <c r="AR20590" s="4" t="s">
        <v>377</v>
      </c>
    </row>
    <row r="20591" spans="1:44" ht="60">
      <c r="A20591" s="4" t="s">
        <v>24364</v>
      </c>
      <c r="B20591" s="4">
        <v>114011</v>
      </c>
      <c r="D20591" s="5" t="s">
        <v>26143</v>
      </c>
      <c r="E20591" s="6" t="str">
        <f>HYPERLINK("https://inpn.mnhn.fr/espece/cd_nom/114011","Platanthera bifolia (L.) Rich., 1817")</f>
        <v>Platanthera bifolia (L.) Rich., 1817</v>
      </c>
      <c r="F20591" s="5" t="s">
        <v>26144</v>
      </c>
      <c r="G20591" s="4" t="str">
        <f>HYPERLINK("[#Réglementation!A"&amp;_xlfn.XMATCH("CCB",Réglementation!A:A,2,1),"CCB")</f>
        <v>CCB</v>
      </c>
      <c r="P20591" s="7" t="str">
        <f>HYPERLINK("#Liste_rouge!A"&amp;_xlfn.XMATCH("LC",Liste_rouge!A:A,2,1),"LC")</f>
        <v>LC</v>
      </c>
      <c r="Q20591" s="7" t="str">
        <f>HYPERLINK("#Liste_rouge!A"&amp;_xlfn.XMATCH("LC",Liste_rouge!A:A,2,1),"LC")</f>
        <v>LC</v>
      </c>
      <c r="T20591" s="7" t="str">
        <f>HYPERLINK("#Liste_rouge!A"&amp;_xlfn.XMATCH("LC",Liste_rouge!A:A,2,1),"LC")</f>
        <v>LC</v>
      </c>
      <c r="V20591" s="7" t="str">
        <f>HYPERLINK("#Liste_rouge!A"&amp;_xlfn.XMATCH("LC",Liste_rouge!A:A,2,1),"LC")</f>
        <v>LC</v>
      </c>
      <c r="AH20591" s="4" t="str">
        <f>HYPERLINK("#Statut_biogéographique!A"&amp;_xlfn.XMATCH("P",Statut_biogéographique!A:A,2,1),"P")</f>
        <v>P</v>
      </c>
      <c r="AM20591" s="4" t="s">
        <v>375</v>
      </c>
      <c r="AN20591" s="4" t="s">
        <v>375</v>
      </c>
      <c r="AO20591" s="4" t="s">
        <v>375</v>
      </c>
      <c r="AP20591" s="4" t="s">
        <v>376</v>
      </c>
      <c r="AR20591" s="4" t="s">
        <v>377</v>
      </c>
    </row>
    <row r="20592" spans="1:44" ht="45">
      <c r="A20592" s="4" t="s">
        <v>24364</v>
      </c>
      <c r="B20592" s="4">
        <v>114012</v>
      </c>
      <c r="D20592" s="5" t="s">
        <v>26145</v>
      </c>
      <c r="E20592" s="6" t="str">
        <f>HYPERLINK("https://inpn.mnhn.fr/espece/cd_nom/114012","Platanthera chlorantha (Custer) Rchb., 1828")</f>
        <v>Platanthera chlorantha (Custer) Rchb., 1828</v>
      </c>
      <c r="F20592" s="5" t="s">
        <v>26146</v>
      </c>
      <c r="G20592" s="4" t="str">
        <f>HYPERLINK("[#Réglementation!A"&amp;_xlfn.XMATCH("CCB",Réglementation!A:A,2,1),"CCB")</f>
        <v>CCB</v>
      </c>
      <c r="M20592" s="4" t="str">
        <f>HYPERLINK("#Réglementation!A"&amp;_xlfn.XMATCH("RV43",Réglementation!A:A,2,1),"RV43")</f>
        <v>RV43</v>
      </c>
      <c r="P20592" s="7" t="str">
        <f>HYPERLINK("#Liste_rouge!A"&amp;_xlfn.XMATCH("LC",Liste_rouge!A:A,2,1),"LC")</f>
        <v>LC</v>
      </c>
      <c r="Q20592" s="7" t="str">
        <f>HYPERLINK("#Liste_rouge!A"&amp;_xlfn.XMATCH("LC",Liste_rouge!A:A,2,1),"LC")</f>
        <v>LC</v>
      </c>
      <c r="T20592" s="7" t="str">
        <f>HYPERLINK("#Liste_rouge!A"&amp;_xlfn.XMATCH("VU",Liste_rouge!A:A,2,1),"VU")</f>
        <v>VU</v>
      </c>
      <c r="U20592" s="4" t="str">
        <f>HYPERLINK("#Critères_liste_rouge!A$1","A2ac")</f>
        <v>A2ac</v>
      </c>
      <c r="V20592" s="7" t="str">
        <f>HYPERLINK("#Liste_rouge!A"&amp;_xlfn.XMATCH("NT",Liste_rouge!A:A,2,1),"NT")</f>
        <v>NT</v>
      </c>
      <c r="W20592" s="4" t="str">
        <f>HYPERLINK("#Critères_liste_rouge!A$1","pr. B2b(iii)")</f>
        <v>pr. B2b(iii)</v>
      </c>
      <c r="X20592" s="5" t="s">
        <v>374</v>
      </c>
      <c r="AB20592" s="4" t="s">
        <v>93</v>
      </c>
      <c r="AH20592" s="4" t="str">
        <f>HYPERLINK("#Statut_biogéographique!A"&amp;_xlfn.XMATCH("P",Statut_biogéographique!A:A,2,1),"P")</f>
        <v>P</v>
      </c>
      <c r="AM20592" s="4" t="s">
        <v>375</v>
      </c>
      <c r="AN20592" s="4" t="s">
        <v>375</v>
      </c>
      <c r="AO20592" s="4" t="s">
        <v>375</v>
      </c>
      <c r="AP20592" s="4" t="s">
        <v>376</v>
      </c>
      <c r="AR20592" s="4" t="s">
        <v>377</v>
      </c>
    </row>
    <row r="20593" spans="1:44">
      <c r="A20593" s="4" t="s">
        <v>24364</v>
      </c>
      <c r="B20593" s="4">
        <v>114019</v>
      </c>
      <c r="D20593" s="5">
        <v>114019</v>
      </c>
      <c r="E20593" s="6" t="str">
        <f>HYPERLINK("https://inpn.mnhn.fr/espece/cd_nom/114019","Platanthera x hybrida Brügger, 1882")</f>
        <v>Platanthera x hybrida Brügger, 1882</v>
      </c>
      <c r="F20593" s="5" t="s">
        <v>26147</v>
      </c>
      <c r="G20593" s="4" t="str">
        <f>HYPERLINK("[#Réglementation!A"&amp;_xlfn.XMATCH("CCB",Réglementation!A:A,2,1),"CCB")</f>
        <v>CCB</v>
      </c>
      <c r="AH20593" s="4" t="str">
        <f>HYPERLINK("#Statut_biogéographique!A"&amp;_xlfn.XMATCH("P",Statut_biogéographique!A:A,2,1),"P")</f>
        <v>P</v>
      </c>
      <c r="AP20593" s="4" t="s">
        <v>376</v>
      </c>
      <c r="AR20593" s="4" t="s">
        <v>377</v>
      </c>
    </row>
    <row r="20594" spans="1:44" ht="60">
      <c r="A20594" s="4" t="s">
        <v>24364</v>
      </c>
      <c r="B20594" s="4">
        <v>114024</v>
      </c>
      <c r="D20594" s="5" t="s">
        <v>26148</v>
      </c>
      <c r="E20594" s="6" t="str">
        <f>HYPERLINK("https://inpn.mnhn.fr/espece/cd_nom/114024","Platanus x hispanica Mill. ex Münchh., 1770")</f>
        <v>Platanus x hispanica Mill. ex Münchh., 1770</v>
      </c>
      <c r="F20594" s="5" t="s">
        <v>26149</v>
      </c>
      <c r="T20594" s="7" t="str">
        <f>HYPERLINK("#Liste_rouge!A"&amp;_xlfn.XMATCH("NA",Liste_rouge!A:A,2,1),"NA")</f>
        <v>NA</v>
      </c>
      <c r="AH20594" s="4" t="str">
        <f>HYPERLINK("#Statut_biogéographique!A"&amp;_xlfn.XMATCH("I",Statut_biogéographique!A:A,2,1),"I")</f>
        <v>I</v>
      </c>
      <c r="AP20594" s="4" t="s">
        <v>376</v>
      </c>
      <c r="AR20594" s="4" t="s">
        <v>377</v>
      </c>
    </row>
    <row r="20595" spans="1:44" ht="30">
      <c r="A20595" s="4" t="s">
        <v>24364</v>
      </c>
      <c r="B20595" s="4">
        <v>114028</v>
      </c>
      <c r="D20595" s="5" t="s">
        <v>26150</v>
      </c>
      <c r="E20595" s="6" t="str">
        <f>HYPERLINK("https://inpn.mnhn.fr/espece/cd_nom/114028","Platanus orientalis L., 1753")</f>
        <v>Platanus orientalis L., 1753</v>
      </c>
      <c r="F20595" s="5" t="s">
        <v>26151</v>
      </c>
      <c r="O20595" s="7" t="str">
        <f>HYPERLINK("#Liste_rouge!A"&amp;_xlfn.XMATCH("DD",Liste_rouge!A:A,2,1),"DD")</f>
        <v>DD</v>
      </c>
      <c r="P20595" s="7" t="str">
        <f>HYPERLINK("#Liste_rouge!A"&amp;_xlfn.XMATCH("VU",Liste_rouge!A:A,2,1),"VU")</f>
        <v>VU</v>
      </c>
      <c r="Q20595" s="7" t="str">
        <f>HYPERLINK("#Liste_rouge!A"&amp;_xlfn.XMATCH("NA",Liste_rouge!A:A,2,1),"NA")</f>
        <v>NA</v>
      </c>
      <c r="T20595" s="7" t="str">
        <f>HYPERLINK("#Liste_rouge!A"&amp;_xlfn.XMATCH("NA",Liste_rouge!A:A,2,1),"NA")</f>
        <v>NA</v>
      </c>
      <c r="AH20595" s="4" t="str">
        <f>HYPERLINK("#Statut_biogéographique!A"&amp;_xlfn.XMATCH("M",Statut_biogéographique!A:A,2,1),"M")</f>
        <v>M</v>
      </c>
      <c r="AP20595" s="4" t="s">
        <v>376</v>
      </c>
      <c r="AR20595" s="4" t="s">
        <v>377</v>
      </c>
    </row>
    <row r="20596" spans="1:44" ht="30">
      <c r="A20596" s="4" t="s">
        <v>24364</v>
      </c>
      <c r="B20596" s="4">
        <v>114037</v>
      </c>
      <c r="D20596" s="5" t="s">
        <v>26152</v>
      </c>
      <c r="E20596" s="6" t="str">
        <f>HYPERLINK("https://inpn.mnhn.fr/espece/cd_nom/114037","Platycladus orientalis (L.) Franco, 1949")</f>
        <v>Platycladus orientalis (L.) Franco, 1949</v>
      </c>
      <c r="F20596" s="5" t="s">
        <v>26153</v>
      </c>
      <c r="O20596" s="7" t="str">
        <f>HYPERLINK("#Liste_rouge!A"&amp;_xlfn.XMATCH("NT",Liste_rouge!A:A,2,1),"NT")</f>
        <v>NT</v>
      </c>
      <c r="Q20596" s="7" t="str">
        <f>HYPERLINK("#Liste_rouge!A"&amp;_xlfn.XMATCH("NA",Liste_rouge!A:A,2,1),"NA")</f>
        <v>NA</v>
      </c>
      <c r="T20596" s="7" t="str">
        <f>HYPERLINK("#Liste_rouge!A"&amp;_xlfn.XMATCH("NA",Liste_rouge!A:A,2,1),"NA")</f>
        <v>NA</v>
      </c>
      <c r="AH20596" s="4" t="str">
        <f>HYPERLINK("#Statut_biogéographique!A"&amp;_xlfn.XMATCH("I",Statut_biogéographique!A:A,2,1),"I")</f>
        <v>I</v>
      </c>
      <c r="AP20596" s="4" t="s">
        <v>376</v>
      </c>
      <c r="AR20596" s="4" t="s">
        <v>377</v>
      </c>
    </row>
    <row r="20597" spans="1:44" ht="90">
      <c r="A20597" s="4" t="s">
        <v>24364</v>
      </c>
      <c r="B20597" s="4">
        <v>114105</v>
      </c>
      <c r="D20597" s="5" t="s">
        <v>26154</v>
      </c>
      <c r="E20597" s="6" t="str">
        <f>HYPERLINK("https://inpn.mnhn.fr/espece/cd_nom/114105","Poa alpina L., 1753")</f>
        <v>Poa alpina L., 1753</v>
      </c>
      <c r="F20597" s="5" t="s">
        <v>26155</v>
      </c>
      <c r="P20597" s="7" t="str">
        <f>HYPERLINK("#Liste_rouge!A"&amp;_xlfn.XMATCH("LC",Liste_rouge!A:A,2,1),"LC")</f>
        <v>LC</v>
      </c>
      <c r="Q20597" s="7" t="str">
        <f>HYPERLINK("#Liste_rouge!A"&amp;_xlfn.XMATCH("LC",Liste_rouge!A:A,2,1),"LC")</f>
        <v>LC</v>
      </c>
      <c r="V20597" s="7" t="str">
        <f>HYPERLINK("#Liste_rouge!A"&amp;_xlfn.XMATCH("LC",Liste_rouge!A:A,2,1),"LC")</f>
        <v>LC</v>
      </c>
      <c r="AH20597" s="4" t="str">
        <f>HYPERLINK("#Statut_biogéographique!A"&amp;_xlfn.XMATCH("P",Statut_biogéographique!A:A,2,1),"P")</f>
        <v>P</v>
      </c>
      <c r="AM20597" s="4" t="s">
        <v>375</v>
      </c>
      <c r="AN20597" s="4" t="s">
        <v>375</v>
      </c>
      <c r="AO20597" s="4" t="s">
        <v>375</v>
      </c>
      <c r="AP20597" s="4" t="s">
        <v>376</v>
      </c>
      <c r="AR20597" s="4" t="s">
        <v>377</v>
      </c>
    </row>
    <row r="20598" spans="1:44" ht="30">
      <c r="A20598" s="4" t="s">
        <v>24364</v>
      </c>
      <c r="B20598" s="4">
        <v>114110</v>
      </c>
      <c r="D20598" s="5" t="s">
        <v>26156</v>
      </c>
      <c r="E20598" s="6" t="str">
        <f>HYPERLINK("https://inpn.mnhn.fr/espece/cd_nom/114110","Poa anceps (Gaudin) Hegetschw. &amp; Heer, 1839")</f>
        <v>Poa anceps (Gaudin) Hegetschw. &amp; Heer, 1839</v>
      </c>
      <c r="F20598" s="5" t="s">
        <v>26157</v>
      </c>
      <c r="Q20598" s="7" t="str">
        <f>HYPERLINK("#Liste_rouge!A"&amp;_xlfn.XMATCH("DD",Liste_rouge!A:A,2,1),"DD")</f>
        <v>DD</v>
      </c>
      <c r="V20598" s="7" t="str">
        <f>HYPERLINK("#Liste_rouge!A"&amp;_xlfn.XMATCH("DD",Liste_rouge!A:A,2,1),"DD")</f>
        <v>DD</v>
      </c>
      <c r="AH20598" s="4" t="str">
        <f>HYPERLINK("#Statut_biogéographique!A"&amp;_xlfn.XMATCH("P",Statut_biogéographique!A:A,2,1),"P")</f>
        <v>P</v>
      </c>
      <c r="AM20598" s="4" t="s">
        <v>375</v>
      </c>
      <c r="AN20598" s="4" t="s">
        <v>375</v>
      </c>
      <c r="AO20598" s="4" t="s">
        <v>375</v>
      </c>
      <c r="AP20598" s="4" t="s">
        <v>376</v>
      </c>
      <c r="AR20598" s="4" t="s">
        <v>377</v>
      </c>
    </row>
    <row r="20599" spans="1:44">
      <c r="A20599" s="4" t="s">
        <v>24364</v>
      </c>
      <c r="B20599" s="4">
        <v>114114</v>
      </c>
      <c r="D20599" s="5" t="s">
        <v>26158</v>
      </c>
      <c r="E20599" s="6" t="str">
        <f>HYPERLINK("https://inpn.mnhn.fr/espece/cd_nom/114114","Poa annua L., 1753")</f>
        <v>Poa annua L., 1753</v>
      </c>
      <c r="F20599" s="5" t="s">
        <v>26159</v>
      </c>
      <c r="O20599" s="7" t="str">
        <f>HYPERLINK("#Liste_rouge!A"&amp;_xlfn.XMATCH("LC",Liste_rouge!A:A,2,1),"LC")</f>
        <v>LC</v>
      </c>
      <c r="Q20599" s="7" t="str">
        <f>HYPERLINK("#Liste_rouge!A"&amp;_xlfn.XMATCH("LC",Liste_rouge!A:A,2,1),"LC")</f>
        <v>LC</v>
      </c>
      <c r="T20599" s="7" t="str">
        <f>HYPERLINK("#Liste_rouge!A"&amp;_xlfn.XMATCH("LC",Liste_rouge!A:A,2,1),"LC")</f>
        <v>LC</v>
      </c>
      <c r="V20599" s="7" t="str">
        <f>HYPERLINK("#Liste_rouge!A"&amp;_xlfn.XMATCH("LC",Liste_rouge!A:A,2,1),"LC")</f>
        <v>LC</v>
      </c>
      <c r="AH20599" s="4" t="str">
        <f>HYPERLINK("#Statut_biogéographique!A"&amp;_xlfn.XMATCH("P",Statut_biogéographique!A:A,2,1),"P")</f>
        <v>P</v>
      </c>
      <c r="AM20599" s="4" t="s">
        <v>375</v>
      </c>
      <c r="AN20599" s="4" t="s">
        <v>375</v>
      </c>
      <c r="AO20599" s="4" t="s">
        <v>375</v>
      </c>
      <c r="AP20599" s="4" t="s">
        <v>376</v>
      </c>
      <c r="AR20599" s="4" t="s">
        <v>377</v>
      </c>
    </row>
    <row r="20600" spans="1:44" ht="75">
      <c r="A20600" s="4" t="s">
        <v>24364</v>
      </c>
      <c r="B20600" s="4">
        <v>114124</v>
      </c>
      <c r="D20600" s="5" t="s">
        <v>26160</v>
      </c>
      <c r="E20600" s="6" t="str">
        <f>HYPERLINK("https://inpn.mnhn.fr/espece/cd_nom/114124","Poa badensis Haenke ex Willd., 1797")</f>
        <v>Poa badensis Haenke ex Willd., 1797</v>
      </c>
      <c r="F20600" s="5" t="s">
        <v>26161</v>
      </c>
      <c r="Q20600" s="7" t="str">
        <f>HYPERLINK("#Liste_rouge!A"&amp;_xlfn.XMATCH("LC",Liste_rouge!A:A,2,1),"LC")</f>
        <v>LC</v>
      </c>
      <c r="T20600" s="7" t="str">
        <f>HYPERLINK("#Liste_rouge!A"&amp;_xlfn.XMATCH("VU",Liste_rouge!A:A,2,1),"VU")</f>
        <v>VU</v>
      </c>
      <c r="U20600" s="4" t="str">
        <f>HYPERLINK("#Critères_liste_rouge!A$1","D2")</f>
        <v>D2</v>
      </c>
      <c r="V20600" s="7" t="str">
        <f>HYPERLINK("#Liste_rouge!A"&amp;_xlfn.XMATCH("LC",Liste_rouge!A:A,2,1),"LC")</f>
        <v>LC</v>
      </c>
      <c r="X20600" s="5" t="s">
        <v>374</v>
      </c>
      <c r="AB20600" s="4" t="s">
        <v>93</v>
      </c>
      <c r="AH20600" s="4" t="str">
        <f>HYPERLINK("#Statut_biogéographique!A"&amp;_xlfn.XMATCH("P",Statut_biogéographique!A:A,2,1),"P")</f>
        <v>P</v>
      </c>
      <c r="AM20600" s="4" t="s">
        <v>375</v>
      </c>
      <c r="AN20600" s="4" t="s">
        <v>375</v>
      </c>
      <c r="AO20600" s="4" t="s">
        <v>375</v>
      </c>
      <c r="AP20600" s="4" t="s">
        <v>376</v>
      </c>
      <c r="AR20600" s="4" t="s">
        <v>377</v>
      </c>
    </row>
    <row r="20601" spans="1:44" ht="45">
      <c r="A20601" s="4" t="s">
        <v>24364</v>
      </c>
      <c r="B20601" s="4">
        <v>114136</v>
      </c>
      <c r="D20601" s="5" t="s">
        <v>26162</v>
      </c>
      <c r="E20601" s="6" t="str">
        <f>HYPERLINK("https://inpn.mnhn.fr/espece/cd_nom/114136","Poa bulbosa L., 1753")</f>
        <v>Poa bulbosa L., 1753</v>
      </c>
      <c r="F20601" s="5" t="s">
        <v>26163</v>
      </c>
      <c r="Q20601" s="7" t="str">
        <f>HYPERLINK("#Liste_rouge!A"&amp;_xlfn.XMATCH("LC",Liste_rouge!A:A,2,1),"LC")</f>
        <v>LC</v>
      </c>
      <c r="T20601" s="7" t="str">
        <f>HYPERLINK("#Liste_rouge!A"&amp;_xlfn.XMATCH("LC",Liste_rouge!A:A,2,1),"LC")</f>
        <v>LC</v>
      </c>
      <c r="V20601" s="7" t="str">
        <f>HYPERLINK("#Liste_rouge!A"&amp;_xlfn.XMATCH("LC",Liste_rouge!A:A,2,1),"LC")</f>
        <v>LC</v>
      </c>
      <c r="AH20601" s="4" t="str">
        <f>HYPERLINK("#Statut_biogéographique!A"&amp;_xlfn.XMATCH("P",Statut_biogéographique!A:A,2,1),"P")</f>
        <v>P</v>
      </c>
      <c r="AM20601" s="4" t="s">
        <v>375</v>
      </c>
      <c r="AN20601" s="4" t="s">
        <v>375</v>
      </c>
      <c r="AO20601" s="4" t="s">
        <v>375</v>
      </c>
      <c r="AP20601" s="4" t="s">
        <v>376</v>
      </c>
      <c r="AR20601" s="4" t="s">
        <v>377</v>
      </c>
    </row>
    <row r="20602" spans="1:44" ht="90">
      <c r="A20602" s="4" t="s">
        <v>24364</v>
      </c>
      <c r="B20602" s="4">
        <v>114153</v>
      </c>
      <c r="D20602" s="5" t="s">
        <v>26164</v>
      </c>
      <c r="E20602" s="6" t="str">
        <f>HYPERLINK("https://inpn.mnhn.fr/espece/cd_nom/114153","Poa chaixii Vill., 1786")</f>
        <v>Poa chaixii Vill., 1786</v>
      </c>
      <c r="F20602" s="5" t="s">
        <v>26165</v>
      </c>
      <c r="Q20602" s="7" t="str">
        <f>HYPERLINK("#Liste_rouge!A"&amp;_xlfn.XMATCH("LC",Liste_rouge!A:A,2,1),"LC")</f>
        <v>LC</v>
      </c>
      <c r="T20602" s="7" t="str">
        <f>HYPERLINK("#Liste_rouge!A"&amp;_xlfn.XMATCH("LC",Liste_rouge!A:A,2,1),"LC")</f>
        <v>LC</v>
      </c>
      <c r="V20602" s="7" t="str">
        <f>HYPERLINK("#Liste_rouge!A"&amp;_xlfn.XMATCH("LC",Liste_rouge!A:A,2,1),"LC")</f>
        <v>LC</v>
      </c>
      <c r="AB20602" s="4" t="s">
        <v>26166</v>
      </c>
      <c r="AH20602" s="4" t="str">
        <f>HYPERLINK("#Statut_biogéographique!A"&amp;_xlfn.XMATCH("P",Statut_biogéographique!A:A,2,1),"P")</f>
        <v>P</v>
      </c>
      <c r="AM20602" s="4" t="s">
        <v>375</v>
      </c>
      <c r="AN20602" s="4" t="s">
        <v>375</v>
      </c>
      <c r="AO20602" s="4" t="s">
        <v>375</v>
      </c>
      <c r="AP20602" s="4" t="s">
        <v>376</v>
      </c>
      <c r="AR20602" s="4" t="s">
        <v>377</v>
      </c>
    </row>
    <row r="20603" spans="1:44" ht="90">
      <c r="A20603" s="4" t="s">
        <v>24364</v>
      </c>
      <c r="B20603" s="4">
        <v>114160</v>
      </c>
      <c r="D20603" s="5" t="s">
        <v>26167</v>
      </c>
      <c r="E20603" s="6" t="str">
        <f>HYPERLINK("https://inpn.mnhn.fr/espece/cd_nom/114160","Poa compressa L., 1753")</f>
        <v>Poa compressa L., 1753</v>
      </c>
      <c r="F20603" s="5" t="s">
        <v>26168</v>
      </c>
      <c r="Q20603" s="7" t="str">
        <f>HYPERLINK("#Liste_rouge!A"&amp;_xlfn.XMATCH("LC",Liste_rouge!A:A,2,1),"LC")</f>
        <v>LC</v>
      </c>
      <c r="T20603" s="7" t="str">
        <f>HYPERLINK("#Liste_rouge!A"&amp;_xlfn.XMATCH("LC",Liste_rouge!A:A,2,1),"LC")</f>
        <v>LC</v>
      </c>
      <c r="V20603" s="7" t="str">
        <f>HYPERLINK("#Liste_rouge!A"&amp;_xlfn.XMATCH("LC",Liste_rouge!A:A,2,1),"LC")</f>
        <v>LC</v>
      </c>
      <c r="AH20603" s="4" t="str">
        <f>HYPERLINK("#Statut_biogéographique!A"&amp;_xlfn.XMATCH("P",Statut_biogéographique!A:A,2,1),"P")</f>
        <v>P</v>
      </c>
      <c r="AM20603" s="4" t="s">
        <v>375</v>
      </c>
      <c r="AN20603" s="4" t="s">
        <v>375</v>
      </c>
      <c r="AO20603" s="4" t="s">
        <v>375</v>
      </c>
      <c r="AP20603" s="4" t="s">
        <v>376</v>
      </c>
      <c r="AR20603" s="4" t="s">
        <v>377</v>
      </c>
    </row>
    <row r="20604" spans="1:44" ht="45">
      <c r="A20604" s="4" t="s">
        <v>24364</v>
      </c>
      <c r="B20604" s="4">
        <v>114243</v>
      </c>
      <c r="D20604" s="5" t="s">
        <v>26169</v>
      </c>
      <c r="E20604" s="6" t="str">
        <f>HYPERLINK("https://inpn.mnhn.fr/espece/cd_nom/114243","Poa hybrida Gaudin, 1808")</f>
        <v>Poa hybrida Gaudin, 1808</v>
      </c>
      <c r="F20604" s="5" t="s">
        <v>26170</v>
      </c>
      <c r="Q20604" s="7" t="str">
        <f>HYPERLINK("#Liste_rouge!A"&amp;_xlfn.XMATCH("LC",Liste_rouge!A:A,2,1),"LC")</f>
        <v>LC</v>
      </c>
      <c r="V20604" s="7" t="str">
        <f>HYPERLINK("#Liste_rouge!A"&amp;_xlfn.XMATCH("EN",Liste_rouge!A:A,2,1),"EN")</f>
        <v>EN</v>
      </c>
      <c r="W20604" s="4" t="str">
        <f>HYPERLINK("#Critères_liste_rouge!A$1","B2ab(iii)")</f>
        <v>B2ab(iii)</v>
      </c>
      <c r="X20604" s="5" t="s">
        <v>374</v>
      </c>
      <c r="AB20604" s="4" t="s">
        <v>93</v>
      </c>
      <c r="AH20604" s="4" t="str">
        <f>HYPERLINK("#Statut_biogéographique!A"&amp;_xlfn.XMATCH("P",Statut_biogéographique!A:A,2,1),"P")</f>
        <v>P</v>
      </c>
      <c r="AM20604" s="4" t="s">
        <v>375</v>
      </c>
      <c r="AN20604" s="4" t="s">
        <v>375</v>
      </c>
      <c r="AO20604" s="4" t="s">
        <v>375</v>
      </c>
      <c r="AP20604" s="4" t="s">
        <v>376</v>
      </c>
      <c r="AR20604" s="4" t="s">
        <v>377</v>
      </c>
    </row>
    <row r="20605" spans="1:44" ht="135">
      <c r="A20605" s="4" t="s">
        <v>24364</v>
      </c>
      <c r="B20605" s="4">
        <v>114289</v>
      </c>
      <c r="D20605" s="5" t="s">
        <v>26171</v>
      </c>
      <c r="E20605" s="6" t="str">
        <f>HYPERLINK("https://inpn.mnhn.fr/espece/cd_nom/114289","Poa molinerii Balb., 1801")</f>
        <v>Poa molinerii Balb., 1801</v>
      </c>
      <c r="F20605" s="5" t="s">
        <v>26172</v>
      </c>
      <c r="Q20605" s="7" t="str">
        <f>HYPERLINK("#Liste_rouge!A"&amp;_xlfn.XMATCH("LC",Liste_rouge!A:A,2,1),"LC")</f>
        <v>LC</v>
      </c>
      <c r="V20605" s="7" t="str">
        <f>HYPERLINK("#Liste_rouge!A"&amp;_xlfn.XMATCH("DD",Liste_rouge!A:A,2,1),"DD")</f>
        <v>DD</v>
      </c>
      <c r="AH20605" s="4" t="str">
        <f>HYPERLINK("#Statut_biogéographique!A"&amp;_xlfn.XMATCH("P",Statut_biogéographique!A:A,2,1),"P")</f>
        <v>P</v>
      </c>
      <c r="AM20605" s="4" t="s">
        <v>375</v>
      </c>
      <c r="AN20605" s="4" t="s">
        <v>375</v>
      </c>
      <c r="AO20605" s="4" t="s">
        <v>375</v>
      </c>
      <c r="AP20605" s="4" t="s">
        <v>376</v>
      </c>
      <c r="AR20605" s="4" t="s">
        <v>377</v>
      </c>
    </row>
    <row r="20606" spans="1:44" ht="165">
      <c r="A20606" s="4" t="s">
        <v>24364</v>
      </c>
      <c r="B20606" s="4">
        <v>114297</v>
      </c>
      <c r="D20606" s="5" t="s">
        <v>26173</v>
      </c>
      <c r="E20606" s="6" t="str">
        <f>HYPERLINK("https://inpn.mnhn.fr/espece/cd_nom/114297","Poa nemoralis L., 1753")</f>
        <v>Poa nemoralis L., 1753</v>
      </c>
      <c r="F20606" s="5" t="s">
        <v>26174</v>
      </c>
      <c r="Q20606" s="7" t="str">
        <f>HYPERLINK("#Liste_rouge!A"&amp;_xlfn.XMATCH("LC",Liste_rouge!A:A,2,1),"LC")</f>
        <v>LC</v>
      </c>
      <c r="T20606" s="7" t="str">
        <f>HYPERLINK("#Liste_rouge!A"&amp;_xlfn.XMATCH("LC",Liste_rouge!A:A,2,1),"LC")</f>
        <v>LC</v>
      </c>
      <c r="V20606" s="7" t="str">
        <f>HYPERLINK("#Liste_rouge!A"&amp;_xlfn.XMATCH("LC",Liste_rouge!A:A,2,1),"LC")</f>
        <v>LC</v>
      </c>
      <c r="AH20606" s="4" t="str">
        <f>HYPERLINK("#Statut_biogéographique!A"&amp;_xlfn.XMATCH("P",Statut_biogéographique!A:A,2,1),"P")</f>
        <v>P</v>
      </c>
      <c r="AM20606" s="4" t="s">
        <v>375</v>
      </c>
      <c r="AN20606" s="4" t="s">
        <v>375</v>
      </c>
      <c r="AO20606" s="4" t="s">
        <v>375</v>
      </c>
      <c r="AP20606" s="4" t="s">
        <v>376</v>
      </c>
      <c r="AR20606" s="4" t="s">
        <v>377</v>
      </c>
    </row>
    <row r="20607" spans="1:44" ht="150">
      <c r="A20607" s="4" t="s">
        <v>24364</v>
      </c>
      <c r="B20607" s="4">
        <v>114312</v>
      </c>
      <c r="D20607" s="5" t="s">
        <v>26175</v>
      </c>
      <c r="E20607" s="6" t="str">
        <f>HYPERLINK("https://inpn.mnhn.fr/espece/cd_nom/114312","Poa palustris L., 1759")</f>
        <v>Poa palustris L., 1759</v>
      </c>
      <c r="F20607" s="5" t="s">
        <v>26176</v>
      </c>
      <c r="Q20607" s="7" t="str">
        <f>HYPERLINK("#Liste_rouge!A"&amp;_xlfn.XMATCH("LC",Liste_rouge!A:A,2,1),"LC")</f>
        <v>LC</v>
      </c>
      <c r="T20607" s="7" t="str">
        <f>HYPERLINK("#Liste_rouge!A"&amp;_xlfn.XMATCH("EN",Liste_rouge!A:A,2,1),"EN")</f>
        <v>EN</v>
      </c>
      <c r="U20607" s="4" t="str">
        <f>HYPERLINK("#Critères_liste_rouge!A$1","B2ab(ii,iii,iv)")</f>
        <v>B2ab(ii,iii,iv)</v>
      </c>
      <c r="V20607" s="7" t="str">
        <f>HYPERLINK("#Liste_rouge!A"&amp;_xlfn.XMATCH("LC",Liste_rouge!A:A,2,1),"LC")</f>
        <v>LC</v>
      </c>
      <c r="AB20607" s="4" t="s">
        <v>24803</v>
      </c>
      <c r="AH20607" s="4" t="str">
        <f>HYPERLINK("#Statut_biogéographique!A"&amp;_xlfn.XMATCH("P",Statut_biogéographique!A:A,2,1),"P")</f>
        <v>P</v>
      </c>
      <c r="AM20607" s="4" t="s">
        <v>375</v>
      </c>
      <c r="AN20607" s="4" t="s">
        <v>375</v>
      </c>
      <c r="AO20607" s="4" t="s">
        <v>375</v>
      </c>
      <c r="AP20607" s="4" t="s">
        <v>376</v>
      </c>
      <c r="AR20607" s="4" t="s">
        <v>377</v>
      </c>
    </row>
    <row r="20608" spans="1:44" ht="30">
      <c r="A20608" s="4" t="s">
        <v>24364</v>
      </c>
      <c r="B20608" s="4">
        <v>114332</v>
      </c>
      <c r="D20608" s="5" t="s">
        <v>26177</v>
      </c>
      <c r="E20608" s="6" t="str">
        <f>HYPERLINK("https://inpn.mnhn.fr/espece/cd_nom/114332","Poa pratensis L., 1753 [nom. et typ. cons.]")</f>
        <v>Poa pratensis L., 1753 [nom. et typ. cons.]</v>
      </c>
      <c r="F20608" s="5" t="s">
        <v>26178</v>
      </c>
      <c r="Q20608" s="7" t="str">
        <f>HYPERLINK("#Liste_rouge!A"&amp;_xlfn.XMATCH("LC",Liste_rouge!A:A,2,1),"LC")</f>
        <v>LC</v>
      </c>
      <c r="T20608" s="7" t="str">
        <f>HYPERLINK("#Liste_rouge!A"&amp;_xlfn.XMATCH("LC",Liste_rouge!A:A,2,1),"LC")</f>
        <v>LC</v>
      </c>
      <c r="V20608" s="7" t="str">
        <f>HYPERLINK("#Liste_rouge!A"&amp;_xlfn.XMATCH("LC",Liste_rouge!A:A,2,1),"LC")</f>
        <v>LC</v>
      </c>
      <c r="AH20608" s="4" t="str">
        <f>HYPERLINK("#Statut_biogéographique!A"&amp;_xlfn.XMATCH("P",Statut_biogéographique!A:A,2,1),"P")</f>
        <v>P</v>
      </c>
      <c r="AM20608" s="4" t="s">
        <v>375</v>
      </c>
      <c r="AN20608" s="4" t="s">
        <v>375</v>
      </c>
      <c r="AO20608" s="4" t="s">
        <v>375</v>
      </c>
      <c r="AP20608" s="4" t="s">
        <v>376</v>
      </c>
      <c r="AR20608" s="4" t="s">
        <v>377</v>
      </c>
    </row>
    <row r="20609" spans="1:44" ht="75">
      <c r="A20609" s="4" t="s">
        <v>24364</v>
      </c>
      <c r="B20609" s="4">
        <v>114398</v>
      </c>
      <c r="D20609" s="5" t="s">
        <v>26179</v>
      </c>
      <c r="E20609" s="6" t="str">
        <f>HYPERLINK("https://inpn.mnhn.fr/espece/cd_nom/114398","Poa supina Schrad., 1806")</f>
        <v>Poa supina Schrad., 1806</v>
      </c>
      <c r="F20609" s="5" t="s">
        <v>26180</v>
      </c>
      <c r="Q20609" s="7" t="str">
        <f>HYPERLINK("#Liste_rouge!A"&amp;_xlfn.XMATCH("LC",Liste_rouge!A:A,2,1),"LC")</f>
        <v>LC</v>
      </c>
      <c r="V20609" s="7" t="str">
        <f>HYPERLINK("#Liste_rouge!A"&amp;_xlfn.XMATCH("LC",Liste_rouge!A:A,2,1),"LC")</f>
        <v>LC</v>
      </c>
      <c r="AH20609" s="4" t="str">
        <f>HYPERLINK("#Statut_biogéographique!A"&amp;_xlfn.XMATCH("P",Statut_biogéographique!A:A,2,1),"P")</f>
        <v>P</v>
      </c>
      <c r="AM20609" s="4" t="s">
        <v>375</v>
      </c>
      <c r="AN20609" s="4" t="s">
        <v>375</v>
      </c>
      <c r="AO20609" s="4" t="s">
        <v>375</v>
      </c>
      <c r="AP20609" s="4" t="s">
        <v>376</v>
      </c>
      <c r="AR20609" s="4" t="s">
        <v>377</v>
      </c>
    </row>
    <row r="20610" spans="1:44">
      <c r="A20610" s="4" t="s">
        <v>24364</v>
      </c>
      <c r="B20610" s="4">
        <v>114416</v>
      </c>
      <c r="D20610" s="5" t="s">
        <v>26181</v>
      </c>
      <c r="E20610" s="6" t="str">
        <f>HYPERLINK("https://inpn.mnhn.fr/espece/cd_nom/114416","Poa trivialis L., 1753")</f>
        <v>Poa trivialis L., 1753</v>
      </c>
      <c r="F20610" s="5" t="s">
        <v>26182</v>
      </c>
      <c r="Q20610" s="7" t="str">
        <f>HYPERLINK("#Liste_rouge!A"&amp;_xlfn.XMATCH("LC",Liste_rouge!A:A,2,1),"LC")</f>
        <v>LC</v>
      </c>
      <c r="T20610" s="7" t="str">
        <f>HYPERLINK("#Liste_rouge!A"&amp;_xlfn.XMATCH("LC",Liste_rouge!A:A,2,1),"LC")</f>
        <v>LC</v>
      </c>
      <c r="V20610" s="7" t="str">
        <f>HYPERLINK("#Liste_rouge!A"&amp;_xlfn.XMATCH("LC",Liste_rouge!A:A,2,1),"LC")</f>
        <v>LC</v>
      </c>
      <c r="AH20610" s="4" t="str">
        <f>HYPERLINK("#Statut_biogéographique!A"&amp;_xlfn.XMATCH("P",Statut_biogéographique!A:A,2,1),"P")</f>
        <v>P</v>
      </c>
      <c r="AM20610" s="4" t="s">
        <v>375</v>
      </c>
      <c r="AN20610" s="4" t="s">
        <v>375</v>
      </c>
      <c r="AO20610" s="4" t="s">
        <v>375</v>
      </c>
      <c r="AP20610" s="4" t="s">
        <v>376</v>
      </c>
      <c r="AR20610" s="4" t="s">
        <v>377</v>
      </c>
    </row>
    <row r="20611" spans="1:44" ht="75">
      <c r="A20611" s="4" t="s">
        <v>24364</v>
      </c>
      <c r="B20611" s="4">
        <v>114468</v>
      </c>
      <c r="D20611" s="5" t="s">
        <v>26183</v>
      </c>
      <c r="E20611" s="6" t="str">
        <f>HYPERLINK("https://inpn.mnhn.fr/espece/cd_nom/114468","Podospermum laciniatum (L.) DC., 1805")</f>
        <v>Podospermum laciniatum (L.) DC., 1805</v>
      </c>
      <c r="F20611" s="5" t="s">
        <v>26184</v>
      </c>
      <c r="Q20611" s="7" t="str">
        <f>HYPERLINK("#Liste_rouge!A"&amp;_xlfn.XMATCH("LC",Liste_rouge!A:A,2,1),"LC")</f>
        <v>LC</v>
      </c>
      <c r="T20611" s="7" t="str">
        <f>HYPERLINK("#Liste_rouge!A"&amp;_xlfn.XMATCH("RE",Liste_rouge!A:A,2,1),"RE")</f>
        <v>RE</v>
      </c>
      <c r="AH20611" s="4" t="str">
        <f>HYPERLINK("#Statut_biogéographique!A"&amp;_xlfn.XMATCH("P",Statut_biogéographique!A:A,2,1),"P")</f>
        <v>P</v>
      </c>
      <c r="AM20611" s="4" t="s">
        <v>375</v>
      </c>
      <c r="AN20611" s="4" t="s">
        <v>375</v>
      </c>
      <c r="AO20611" s="4" t="s">
        <v>375</v>
      </c>
      <c r="AP20611" s="4" t="s">
        <v>376</v>
      </c>
      <c r="AR20611" s="4" t="s">
        <v>377</v>
      </c>
    </row>
    <row r="20612" spans="1:44" ht="30">
      <c r="A20612" s="4" t="s">
        <v>24364</v>
      </c>
      <c r="B20612" s="4">
        <v>114480</v>
      </c>
      <c r="D20612" s="5" t="s">
        <v>26185</v>
      </c>
      <c r="E20612" s="6" t="str">
        <f>HYPERLINK("https://inpn.mnhn.fr/espece/cd_nom/114480","Polemonium caeruleum L., 1753")</f>
        <v>Polemonium caeruleum L., 1753</v>
      </c>
      <c r="F20612" s="5" t="s">
        <v>26186</v>
      </c>
      <c r="L20612" s="4" t="str">
        <f>HYPERLINK("#Réglementation!A"&amp;_xlfn.XMATCH("NV2",Réglementation!A:A,2,1),"NV2 - NV3")</f>
        <v>NV2 - NV3</v>
      </c>
      <c r="Q20612" s="7" t="str">
        <f>HYPERLINK("#Liste_rouge!A"&amp;_xlfn.XMATCH("NA",Liste_rouge!A:A,2,1),"NA")</f>
        <v>NA</v>
      </c>
      <c r="AH20612" s="4" t="str">
        <f>HYPERLINK("#Statut_biogéographique!A"&amp;_xlfn.XMATCH("P",Statut_biogéographique!A:A,2,1),"P")</f>
        <v>P</v>
      </c>
      <c r="AM20612" s="4" t="s">
        <v>375</v>
      </c>
      <c r="AN20612" s="4" t="s">
        <v>375</v>
      </c>
      <c r="AO20612" s="4" t="s">
        <v>375</v>
      </c>
      <c r="AP20612" s="4" t="s">
        <v>376</v>
      </c>
      <c r="AR20612" s="4" t="s">
        <v>377</v>
      </c>
    </row>
    <row r="20613" spans="1:44" ht="30">
      <c r="A20613" s="4" t="s">
        <v>24364</v>
      </c>
      <c r="B20613" s="4">
        <v>114517</v>
      </c>
      <c r="D20613" s="5" t="s">
        <v>26187</v>
      </c>
      <c r="E20613" s="6" t="str">
        <f>HYPERLINK("https://inpn.mnhn.fr/espece/cd_nom/114517","Polycarpon tetraphyllum (L.) L., 1759")</f>
        <v>Polycarpon tetraphyllum (L.) L., 1759</v>
      </c>
      <c r="F20613" s="5" t="s">
        <v>26188</v>
      </c>
      <c r="Q20613" s="7" t="str">
        <f>HYPERLINK("#Liste_rouge!A"&amp;_xlfn.XMATCH("LC",Liste_rouge!A:A,2,1),"LC")</f>
        <v>LC</v>
      </c>
      <c r="T20613" s="7" t="str">
        <f>HYPERLINK("#Liste_rouge!A"&amp;_xlfn.XMATCH("NA",Liste_rouge!A:A,2,1),"NA")</f>
        <v>NA</v>
      </c>
      <c r="AH20613" s="4" t="str">
        <f>HYPERLINK("#Statut_biogéographique!A"&amp;_xlfn.XMATCH("P",Statut_biogéographique!A:A,2,1),"P")</f>
        <v>P</v>
      </c>
      <c r="AP20613" s="4" t="s">
        <v>376</v>
      </c>
      <c r="AR20613" s="4" t="s">
        <v>377</v>
      </c>
    </row>
    <row r="20614" spans="1:44" ht="30">
      <c r="A20614" s="4" t="s">
        <v>24364</v>
      </c>
      <c r="B20614" s="4">
        <v>114519</v>
      </c>
      <c r="D20614" s="5" t="s">
        <v>26189</v>
      </c>
      <c r="E20614" s="6" t="str">
        <f>HYPERLINK("https://inpn.mnhn.fr/espece/cd_nom/114519","Polycnemum arvense L., 1753")</f>
        <v>Polycnemum arvense L., 1753</v>
      </c>
      <c r="F20614" s="5" t="s">
        <v>26190</v>
      </c>
      <c r="Q20614" s="7" t="str">
        <f>HYPERLINK("#Liste_rouge!A"&amp;_xlfn.XMATCH("EN",Liste_rouge!A:A,2,1),"EN")</f>
        <v>EN</v>
      </c>
      <c r="T20614" s="7" t="str">
        <f>HYPERLINK("#Liste_rouge!A"&amp;_xlfn.XMATCH("CR",Liste_rouge!A:A,2,1),"CR")</f>
        <v>CR</v>
      </c>
      <c r="U20614" s="4" t="str">
        <f>HYPERLINK("#Critères_liste_rouge!A$1","D1")</f>
        <v>D1</v>
      </c>
      <c r="AB20614" s="4" t="s">
        <v>26166</v>
      </c>
      <c r="AE20614" s="4" t="str">
        <f>HYPERLINK("#SCAP!A"&amp;_xlfn.XMATCH("A",SCAP!A:A,2,1),"A")</f>
        <v>A</v>
      </c>
      <c r="AH20614" s="4" t="str">
        <f>HYPERLINK("#Statut_biogéographique!A"&amp;_xlfn.XMATCH("P",Statut_biogéographique!A:A,2,1),"P")</f>
        <v>P</v>
      </c>
      <c r="AI20614" s="8" t="s">
        <v>26191</v>
      </c>
      <c r="AJ20614" s="4" t="s">
        <v>12248</v>
      </c>
      <c r="AM20614" s="4" t="s">
        <v>375</v>
      </c>
      <c r="AN20614" s="4" t="s">
        <v>375</v>
      </c>
      <c r="AO20614" s="4" t="s">
        <v>375</v>
      </c>
      <c r="AP20614" s="4" t="s">
        <v>376</v>
      </c>
      <c r="AR20614" s="4" t="s">
        <v>377</v>
      </c>
    </row>
    <row r="20615" spans="1:44" ht="30">
      <c r="A20615" s="4" t="s">
        <v>24364</v>
      </c>
      <c r="B20615" s="4">
        <v>114520</v>
      </c>
      <c r="D20615" s="5" t="s">
        <v>26192</v>
      </c>
      <c r="E20615" s="6" t="str">
        <f>HYPERLINK("https://inpn.mnhn.fr/espece/cd_nom/114520","Polycnemum majus A.Braun ex Bogenh., 1841")</f>
        <v>Polycnemum majus A.Braun ex Bogenh., 1841</v>
      </c>
      <c r="F20615" s="5" t="s">
        <v>26193</v>
      </c>
      <c r="Q20615" s="7" t="str">
        <f>HYPERLINK("#Liste_rouge!A"&amp;_xlfn.XMATCH("LC",Liste_rouge!A:A,2,1),"LC")</f>
        <v>LC</v>
      </c>
      <c r="T20615" s="7" t="str">
        <f>HYPERLINK("#Liste_rouge!A"&amp;_xlfn.XMATCH("EN",Liste_rouge!A:A,2,1),"EN")</f>
        <v>EN</v>
      </c>
      <c r="U20615" s="4" t="str">
        <f>HYPERLINK("#Critères_liste_rouge!A$1","B2ab(iii,iv,v)c(iii,iv) D1")</f>
        <v>B2ab(iii,iv,v)c(iii,iv) D1</v>
      </c>
      <c r="V20615" s="7" t="str">
        <f>HYPERLINK("#Liste_rouge!A"&amp;_xlfn.XMATCH("EN",Liste_rouge!A:A,2,1),"EN")</f>
        <v>EN</v>
      </c>
      <c r="W20615" s="4" t="str">
        <f>HYPERLINK("#Critères_liste_rouge!A$1","B2ab(iii)c(iv)")</f>
        <v>B2ab(iii)c(iv)</v>
      </c>
      <c r="X20615" s="5" t="s">
        <v>374</v>
      </c>
      <c r="AB20615" s="4" t="s">
        <v>93</v>
      </c>
      <c r="AH20615" s="4" t="str">
        <f>HYPERLINK("#Statut_biogéographique!A"&amp;_xlfn.XMATCH("P",Statut_biogéographique!A:A,2,1),"P")</f>
        <v>P</v>
      </c>
      <c r="AI20615" s="8" t="s">
        <v>26194</v>
      </c>
      <c r="AJ20615" s="4" t="s">
        <v>12248</v>
      </c>
      <c r="AM20615" s="4" t="s">
        <v>375</v>
      </c>
      <c r="AN20615" s="4" t="s">
        <v>375</v>
      </c>
      <c r="AO20615" s="4" t="s">
        <v>375</v>
      </c>
      <c r="AP20615" s="4" t="s">
        <v>376</v>
      </c>
      <c r="AR20615" s="4" t="s">
        <v>377</v>
      </c>
    </row>
    <row r="20616" spans="1:44" ht="30">
      <c r="A20616" s="4" t="s">
        <v>24364</v>
      </c>
      <c r="B20616" s="4">
        <v>114522</v>
      </c>
      <c r="D20616" s="5" t="s">
        <v>26195</v>
      </c>
      <c r="E20616" s="6" t="str">
        <f>HYPERLINK("https://inpn.mnhn.fr/espece/cd_nom/114522","Polygala alpestris Rchb., 1823")</f>
        <v>Polygala alpestris Rchb., 1823</v>
      </c>
      <c r="F20616" s="5" t="s">
        <v>26196</v>
      </c>
      <c r="Q20616" s="7" t="str">
        <f>HYPERLINK("#Liste_rouge!A"&amp;_xlfn.XMATCH("LC",Liste_rouge!A:A,2,1),"LC")</f>
        <v>LC</v>
      </c>
      <c r="V20616" s="7" t="str">
        <f>HYPERLINK("#Liste_rouge!A"&amp;_xlfn.XMATCH("LC",Liste_rouge!A:A,2,1),"LC")</f>
        <v>LC</v>
      </c>
      <c r="X20616" s="5" t="s">
        <v>374</v>
      </c>
      <c r="AB20616" s="4" t="s">
        <v>93</v>
      </c>
      <c r="AH20616" s="4" t="str">
        <f>HYPERLINK("#Statut_biogéographique!A"&amp;_xlfn.XMATCH("P",Statut_biogéographique!A:A,2,1),"P")</f>
        <v>P</v>
      </c>
      <c r="AM20616" s="4" t="s">
        <v>375</v>
      </c>
      <c r="AN20616" s="4" t="s">
        <v>375</v>
      </c>
      <c r="AO20616" s="4" t="s">
        <v>375</v>
      </c>
      <c r="AP20616" s="4" t="s">
        <v>376</v>
      </c>
      <c r="AR20616" s="4" t="s">
        <v>377</v>
      </c>
    </row>
    <row r="20617" spans="1:44" ht="75">
      <c r="A20617" s="4" t="s">
        <v>24364</v>
      </c>
      <c r="B20617" s="4">
        <v>114526</v>
      </c>
      <c r="D20617" s="5" t="s">
        <v>26197</v>
      </c>
      <c r="E20617" s="6" t="str">
        <f>HYPERLINK("https://inpn.mnhn.fr/espece/cd_nom/114526","Polygala amarella Crantz, 1769")</f>
        <v>Polygala amarella Crantz, 1769</v>
      </c>
      <c r="F20617" s="5" t="s">
        <v>26198</v>
      </c>
      <c r="Q20617" s="7" t="str">
        <f>HYPERLINK("#Liste_rouge!A"&amp;_xlfn.XMATCH("LC",Liste_rouge!A:A,2,1),"LC")</f>
        <v>LC</v>
      </c>
      <c r="T20617" s="7" t="str">
        <f>HYPERLINK("#Liste_rouge!A"&amp;_xlfn.XMATCH("NT",Liste_rouge!A:A,2,1),"NT")</f>
        <v>NT</v>
      </c>
      <c r="U20617" s="4" t="str">
        <f>HYPERLINK("#Critères_liste_rouge!A$1","pr. D2")</f>
        <v>pr. D2</v>
      </c>
      <c r="V20617" s="7" t="str">
        <f>HYPERLINK("#Liste_rouge!A"&amp;_xlfn.XMATCH("LC",Liste_rouge!A:A,2,1),"LC")</f>
        <v>LC</v>
      </c>
      <c r="AB20617" s="4" t="s">
        <v>26199</v>
      </c>
      <c r="AH20617" s="4" t="str">
        <f>HYPERLINK("#Statut_biogéographique!A"&amp;_xlfn.XMATCH("P",Statut_biogéographique!A:A,2,1),"P")</f>
        <v>P</v>
      </c>
      <c r="AM20617" s="4" t="s">
        <v>375</v>
      </c>
      <c r="AN20617" s="4" t="s">
        <v>375</v>
      </c>
      <c r="AO20617" s="4" t="s">
        <v>375</v>
      </c>
      <c r="AP20617" s="4" t="s">
        <v>376</v>
      </c>
      <c r="AR20617" s="4" t="s">
        <v>377</v>
      </c>
    </row>
    <row r="20618" spans="1:44" ht="45">
      <c r="A20618" s="4" t="s">
        <v>24364</v>
      </c>
      <c r="B20618" s="4">
        <v>114539</v>
      </c>
      <c r="D20618" s="5" t="s">
        <v>26200</v>
      </c>
      <c r="E20618" s="6" t="str">
        <f>HYPERLINK("https://inpn.mnhn.fr/espece/cd_nom/114539","Polygala calcarea F.W.Schultz, 1837")</f>
        <v>Polygala calcarea F.W.Schultz, 1837</v>
      </c>
      <c r="F20618" s="5" t="s">
        <v>26201</v>
      </c>
      <c r="O20618" s="7" t="str">
        <f>HYPERLINK("#Liste_rouge!A"&amp;_xlfn.XMATCH("LC",Liste_rouge!A:A,2,1),"LC")</f>
        <v>LC</v>
      </c>
      <c r="P20618" s="7" t="str">
        <f>HYPERLINK("#Liste_rouge!A"&amp;_xlfn.XMATCH("LC",Liste_rouge!A:A,2,1),"LC")</f>
        <v>LC</v>
      </c>
      <c r="Q20618" s="7" t="str">
        <f>HYPERLINK("#Liste_rouge!A"&amp;_xlfn.XMATCH("LC",Liste_rouge!A:A,2,1),"LC")</f>
        <v>LC</v>
      </c>
      <c r="T20618" s="7" t="str">
        <f>HYPERLINK("#Liste_rouge!A"&amp;_xlfn.XMATCH("LC",Liste_rouge!A:A,2,1),"LC")</f>
        <v>LC</v>
      </c>
      <c r="V20618" s="7" t="str">
        <f>HYPERLINK("#Liste_rouge!A"&amp;_xlfn.XMATCH("NT",Liste_rouge!A:A,2,1),"NT")</f>
        <v>NT</v>
      </c>
      <c r="W20618" s="4" t="str">
        <f>HYPERLINK("#Critères_liste_rouge!A$1","pr. B2b(iii)")</f>
        <v>pr. B2b(iii)</v>
      </c>
      <c r="AB20618" s="4" t="s">
        <v>24719</v>
      </c>
      <c r="AH20618" s="4" t="str">
        <f>HYPERLINK("#Statut_biogéographique!A"&amp;_xlfn.XMATCH("P",Statut_biogéographique!A:A,2,1),"P")</f>
        <v>P</v>
      </c>
      <c r="AM20618" s="4" t="s">
        <v>375</v>
      </c>
      <c r="AN20618" s="4" t="s">
        <v>375</v>
      </c>
      <c r="AO20618" s="4" t="s">
        <v>375</v>
      </c>
      <c r="AP20618" s="4" t="s">
        <v>376</v>
      </c>
      <c r="AR20618" s="4" t="s">
        <v>377</v>
      </c>
    </row>
    <row r="20619" spans="1:44" ht="75">
      <c r="A20619" s="4" t="s">
        <v>24364</v>
      </c>
      <c r="B20619" s="4">
        <v>114545</v>
      </c>
      <c r="D20619" s="5" t="s">
        <v>26202</v>
      </c>
      <c r="E20619" s="6" t="str">
        <f>HYPERLINK("https://inpn.mnhn.fr/espece/cd_nom/114545","Polygala comosa Schkuhr, 1796")</f>
        <v>Polygala comosa Schkuhr, 1796</v>
      </c>
      <c r="F20619" s="5" t="s">
        <v>26203</v>
      </c>
      <c r="Q20619" s="7" t="str">
        <f>HYPERLINK("#Liste_rouge!A"&amp;_xlfn.XMATCH("LC",Liste_rouge!A:A,2,1),"LC")</f>
        <v>LC</v>
      </c>
      <c r="T20619" s="7" t="str">
        <f>HYPERLINK("#Liste_rouge!A"&amp;_xlfn.XMATCH("VU",Liste_rouge!A:A,2,1),"VU")</f>
        <v>VU</v>
      </c>
      <c r="U20619" s="4" t="str">
        <f>HYPERLINK("#Critères_liste_rouge!A$1","D2")</f>
        <v>D2</v>
      </c>
      <c r="V20619" s="7" t="str">
        <f>HYPERLINK("#Liste_rouge!A"&amp;_xlfn.XMATCH("LC",Liste_rouge!A:A,2,1),"LC")</f>
        <v>LC</v>
      </c>
      <c r="AB20619" s="4" t="s">
        <v>24382</v>
      </c>
      <c r="AH20619" s="4" t="str">
        <f>HYPERLINK("#Statut_biogéographique!A"&amp;_xlfn.XMATCH("P",Statut_biogéographique!A:A,2,1),"P")</f>
        <v>P</v>
      </c>
      <c r="AM20619" s="4" t="s">
        <v>375</v>
      </c>
      <c r="AN20619" s="4" t="s">
        <v>375</v>
      </c>
      <c r="AO20619" s="4" t="s">
        <v>375</v>
      </c>
      <c r="AP20619" s="4" t="s">
        <v>376</v>
      </c>
      <c r="AR20619" s="4" t="s">
        <v>377</v>
      </c>
    </row>
    <row r="20620" spans="1:44" ht="30">
      <c r="A20620" s="4" t="s">
        <v>24364</v>
      </c>
      <c r="B20620" s="4">
        <v>114589</v>
      </c>
      <c r="D20620" s="5" t="s">
        <v>26204</v>
      </c>
      <c r="E20620" s="6" t="str">
        <f>HYPERLINK("https://inpn.mnhn.fr/espece/cd_nom/114589","Polygala serpyllifolia Hose, 1797")</f>
        <v>Polygala serpyllifolia Hose, 1797</v>
      </c>
      <c r="F20620" s="5" t="s">
        <v>26205</v>
      </c>
      <c r="Q20620" s="7" t="str">
        <f>HYPERLINK("#Liste_rouge!A"&amp;_xlfn.XMATCH("LC",Liste_rouge!A:A,2,1),"LC")</f>
        <v>LC</v>
      </c>
      <c r="T20620" s="7" t="str">
        <f>HYPERLINK("#Liste_rouge!A"&amp;_xlfn.XMATCH("LC",Liste_rouge!A:A,2,1),"LC")</f>
        <v>LC</v>
      </c>
      <c r="V20620" s="7" t="str">
        <f>HYPERLINK("#Liste_rouge!A"&amp;_xlfn.XMATCH("NT",Liste_rouge!A:A,2,1),"NT")</f>
        <v>NT</v>
      </c>
      <c r="W20620" s="4" t="str">
        <f>HYPERLINK("#Critères_liste_rouge!A$1","pr. B2b(iii)")</f>
        <v>pr. B2b(iii)</v>
      </c>
      <c r="AB20620" s="4" t="s">
        <v>26206</v>
      </c>
      <c r="AH20620" s="4" t="str">
        <f>HYPERLINK("#Statut_biogéographique!A"&amp;_xlfn.XMATCH("P",Statut_biogéographique!A:A,2,1),"P")</f>
        <v>P</v>
      </c>
      <c r="AM20620" s="4" t="s">
        <v>375</v>
      </c>
      <c r="AN20620" s="4" t="s">
        <v>375</v>
      </c>
      <c r="AO20620" s="4" t="s">
        <v>375</v>
      </c>
      <c r="AP20620" s="4" t="s">
        <v>376</v>
      </c>
      <c r="AR20620" s="4" t="s">
        <v>377</v>
      </c>
    </row>
    <row r="20621" spans="1:44" ht="75">
      <c r="A20621" s="4" t="s">
        <v>24364</v>
      </c>
      <c r="B20621" s="4">
        <v>114595</v>
      </c>
      <c r="D20621" s="5" t="s">
        <v>26207</v>
      </c>
      <c r="E20621" s="6" t="str">
        <f>HYPERLINK("https://inpn.mnhn.fr/espece/cd_nom/114595","Polygala vulgaris L., 1753 [nom. et typ. cons.]")</f>
        <v>Polygala vulgaris L., 1753 [nom. et typ. cons.]</v>
      </c>
      <c r="F20621" s="5" t="s">
        <v>26208</v>
      </c>
      <c r="Q20621" s="7" t="str">
        <f>HYPERLINK("#Liste_rouge!A"&amp;_xlfn.XMATCH("LC",Liste_rouge!A:A,2,1),"LC")</f>
        <v>LC</v>
      </c>
      <c r="T20621" s="7" t="str">
        <f>HYPERLINK("#Liste_rouge!A"&amp;_xlfn.XMATCH("LC",Liste_rouge!A:A,2,1),"LC")</f>
        <v>LC</v>
      </c>
      <c r="V20621" s="7" t="str">
        <f>HYPERLINK("#Liste_rouge!A"&amp;_xlfn.XMATCH("LC",Liste_rouge!A:A,2,1),"LC")</f>
        <v>LC</v>
      </c>
      <c r="AH20621" s="4" t="str">
        <f>HYPERLINK("#Statut_biogéographique!A"&amp;_xlfn.XMATCH("P",Statut_biogéographique!A:A,2,1),"P")</f>
        <v>P</v>
      </c>
      <c r="AM20621" s="4" t="s">
        <v>375</v>
      </c>
      <c r="AN20621" s="4" t="s">
        <v>375</v>
      </c>
      <c r="AO20621" s="4" t="s">
        <v>375</v>
      </c>
      <c r="AP20621" s="4" t="s">
        <v>376</v>
      </c>
      <c r="AR20621" s="4" t="s">
        <v>377</v>
      </c>
    </row>
    <row r="20622" spans="1:44" ht="30">
      <c r="A20622" s="4" t="s">
        <v>24364</v>
      </c>
      <c r="B20622" s="4">
        <v>114611</v>
      </c>
      <c r="D20622" s="5" t="s">
        <v>26209</v>
      </c>
      <c r="E20622" s="6" t="str">
        <f>HYPERLINK("https://inpn.mnhn.fr/espece/cd_nom/114611","Polygonatum multiflorum (L.) All., 1785")</f>
        <v>Polygonatum multiflorum (L.) All., 1785</v>
      </c>
      <c r="F20622" s="5" t="s">
        <v>26210</v>
      </c>
      <c r="Q20622" s="7" t="str">
        <f>HYPERLINK("#Liste_rouge!A"&amp;_xlfn.XMATCH("LC",Liste_rouge!A:A,2,1),"LC")</f>
        <v>LC</v>
      </c>
      <c r="T20622" s="7" t="str">
        <f>HYPERLINK("#Liste_rouge!A"&amp;_xlfn.XMATCH("LC",Liste_rouge!A:A,2,1),"LC")</f>
        <v>LC</v>
      </c>
      <c r="V20622" s="7" t="str">
        <f>HYPERLINK("#Liste_rouge!A"&amp;_xlfn.XMATCH("LC",Liste_rouge!A:A,2,1),"LC")</f>
        <v>LC</v>
      </c>
      <c r="AH20622" s="4" t="str">
        <f>HYPERLINK("#Statut_biogéographique!A"&amp;_xlfn.XMATCH("P",Statut_biogéographique!A:A,2,1),"P")</f>
        <v>P</v>
      </c>
      <c r="AM20622" s="4" t="s">
        <v>375</v>
      </c>
      <c r="AN20622" s="4" t="s">
        <v>375</v>
      </c>
      <c r="AO20622" s="4" t="s">
        <v>375</v>
      </c>
      <c r="AP20622" s="4" t="s">
        <v>376</v>
      </c>
      <c r="AR20622" s="4" t="s">
        <v>377</v>
      </c>
    </row>
    <row r="20623" spans="1:44" ht="45">
      <c r="A20623" s="4" t="s">
        <v>24364</v>
      </c>
      <c r="B20623" s="4">
        <v>114612</v>
      </c>
      <c r="D20623" s="5" t="s">
        <v>26211</v>
      </c>
      <c r="E20623" s="6" t="str">
        <f>HYPERLINK("https://inpn.mnhn.fr/espece/cd_nom/114612","Polygonatum odoratum (Mill.) Druce, 1906")</f>
        <v>Polygonatum odoratum (Mill.) Druce, 1906</v>
      </c>
      <c r="F20623" s="5" t="s">
        <v>26212</v>
      </c>
      <c r="P20623" s="7" t="str">
        <f>HYPERLINK("#Liste_rouge!A"&amp;_xlfn.XMATCH("LC",Liste_rouge!A:A,2,1),"LC")</f>
        <v>LC</v>
      </c>
      <c r="Q20623" s="7" t="str">
        <f>HYPERLINK("#Liste_rouge!A"&amp;_xlfn.XMATCH("LC",Liste_rouge!A:A,2,1),"LC")</f>
        <v>LC</v>
      </c>
      <c r="T20623" s="7" t="str">
        <f>HYPERLINK("#Liste_rouge!A"&amp;_xlfn.XMATCH("LC",Liste_rouge!A:A,2,1),"LC")</f>
        <v>LC</v>
      </c>
      <c r="V20623" s="7" t="str">
        <f>HYPERLINK("#Liste_rouge!A"&amp;_xlfn.XMATCH("LC",Liste_rouge!A:A,2,1),"LC")</f>
        <v>LC</v>
      </c>
      <c r="AB20623" s="4" t="s">
        <v>24719</v>
      </c>
      <c r="AH20623" s="4" t="str">
        <f>HYPERLINK("#Statut_biogéographique!A"&amp;_xlfn.XMATCH("P",Statut_biogéographique!A:A,2,1),"P")</f>
        <v>P</v>
      </c>
      <c r="AM20623" s="4" t="s">
        <v>375</v>
      </c>
      <c r="AN20623" s="4" t="s">
        <v>375</v>
      </c>
      <c r="AO20623" s="4" t="s">
        <v>375</v>
      </c>
      <c r="AP20623" s="4" t="s">
        <v>376</v>
      </c>
      <c r="AR20623" s="4" t="s">
        <v>377</v>
      </c>
    </row>
    <row r="20624" spans="1:44" ht="30">
      <c r="A20624" s="4" t="s">
        <v>24364</v>
      </c>
      <c r="B20624" s="4">
        <v>114616</v>
      </c>
      <c r="D20624" s="5" t="s">
        <v>26213</v>
      </c>
      <c r="E20624" s="6" t="str">
        <f>HYPERLINK("https://inpn.mnhn.fr/espece/cd_nom/114616","Polygonatum verticillatum (L.) All., 1785")</f>
        <v>Polygonatum verticillatum (L.) All., 1785</v>
      </c>
      <c r="F20624" s="5" t="s">
        <v>26214</v>
      </c>
      <c r="M20624" s="4" t="str">
        <f>HYPERLINK("#Réglementation!A"&amp;_xlfn.XMATCH("RV26",Réglementation!A:A,2,1),"RV26")</f>
        <v>RV26</v>
      </c>
      <c r="Q20624" s="7" t="str">
        <f>HYPERLINK("#Liste_rouge!A"&amp;_xlfn.XMATCH("LC",Liste_rouge!A:A,2,1),"LC")</f>
        <v>LC</v>
      </c>
      <c r="T20624" s="7" t="str">
        <f>HYPERLINK("#Liste_rouge!A"&amp;_xlfn.XMATCH("CR",Liste_rouge!A:A,2,1),"CR")</f>
        <v>CR</v>
      </c>
      <c r="U20624" s="4" t="str">
        <f>HYPERLINK("#Critères_liste_rouge!A$1","C2a(i)")</f>
        <v>C2a(i)</v>
      </c>
      <c r="V20624" s="7" t="str">
        <f>HYPERLINK("#Liste_rouge!A"&amp;_xlfn.XMATCH("LC",Liste_rouge!A:A,2,1),"LC")</f>
        <v>LC</v>
      </c>
      <c r="AB20624" s="4" t="s">
        <v>24397</v>
      </c>
      <c r="AH20624" s="4" t="str">
        <f>HYPERLINK("#Statut_biogéographique!A"&amp;_xlfn.XMATCH("P",Statut_biogéographique!A:A,2,1),"P")</f>
        <v>P</v>
      </c>
      <c r="AM20624" s="4" t="s">
        <v>375</v>
      </c>
      <c r="AN20624" s="4" t="s">
        <v>375</v>
      </c>
      <c r="AO20624" s="4" t="s">
        <v>375</v>
      </c>
      <c r="AP20624" s="4" t="s">
        <v>376</v>
      </c>
      <c r="AR20624" s="4" t="s">
        <v>377</v>
      </c>
    </row>
    <row r="20625" spans="1:44" ht="30">
      <c r="A20625" s="4" t="s">
        <v>24364</v>
      </c>
      <c r="B20625" s="4">
        <v>114618</v>
      </c>
      <c r="D20625" s="5" t="s">
        <v>26215</v>
      </c>
      <c r="E20625" s="6" t="str">
        <f>HYPERLINK("https://inpn.mnhn.fr/espece/cd_nom/114618","Polygonatum x hybridum Brügger, 1886")</f>
        <v>Polygonatum x hybridum Brügger, 1886</v>
      </c>
      <c r="F20625" s="5" t="s">
        <v>26216</v>
      </c>
      <c r="T20625" s="7" t="str">
        <f>HYPERLINK("#Liste_rouge!A"&amp;_xlfn.XMATCH("NE",Liste_rouge!A:A,2,1),"NE")</f>
        <v>NE</v>
      </c>
      <c r="AH20625" s="4" t="str">
        <f>HYPERLINK("#Statut_biogéographique!A"&amp;_xlfn.XMATCH("P",Statut_biogéographique!A:A,2,1),"P")</f>
        <v>P</v>
      </c>
      <c r="AP20625" s="4" t="s">
        <v>376</v>
      </c>
      <c r="AR20625" s="4" t="s">
        <v>377</v>
      </c>
    </row>
    <row r="20626" spans="1:44" ht="90">
      <c r="A20626" s="4" t="s">
        <v>24364</v>
      </c>
      <c r="B20626" s="4">
        <v>114658</v>
      </c>
      <c r="D20626" s="5" t="s">
        <v>26217</v>
      </c>
      <c r="E20626" s="6" t="str">
        <f>HYPERLINK("https://inpn.mnhn.fr/espece/cd_nom/114658","Polygonum aviculare L., 1753")</f>
        <v>Polygonum aviculare L., 1753</v>
      </c>
      <c r="F20626" s="5" t="s">
        <v>26218</v>
      </c>
      <c r="P20626" s="7" t="str">
        <f>HYPERLINK("#Liste_rouge!A"&amp;_xlfn.XMATCH("LC",Liste_rouge!A:A,2,1),"LC")</f>
        <v>LC</v>
      </c>
      <c r="Q20626" s="7" t="str">
        <f>HYPERLINK("#Liste_rouge!A"&amp;_xlfn.XMATCH("LC",Liste_rouge!A:A,2,1),"LC")</f>
        <v>LC</v>
      </c>
      <c r="T20626" s="7" t="str">
        <f>HYPERLINK("#Liste_rouge!A"&amp;_xlfn.XMATCH("LC",Liste_rouge!A:A,2,1),"LC")</f>
        <v>LC</v>
      </c>
      <c r="V20626" s="7" t="str">
        <f>HYPERLINK("#Liste_rouge!A"&amp;_xlfn.XMATCH("LC",Liste_rouge!A:A,2,1),"LC")</f>
        <v>LC</v>
      </c>
      <c r="AH20626" s="4" t="str">
        <f>HYPERLINK("#Statut_biogéographique!A"&amp;_xlfn.XMATCH("P",Statut_biogéographique!A:A,2,1),"P")</f>
        <v>P</v>
      </c>
      <c r="AM20626" s="4" t="s">
        <v>375</v>
      </c>
      <c r="AN20626" s="4" t="s">
        <v>375</v>
      </c>
      <c r="AO20626" s="4" t="s">
        <v>375</v>
      </c>
      <c r="AP20626" s="4" t="s">
        <v>376</v>
      </c>
      <c r="AR20626" s="4" t="s">
        <v>377</v>
      </c>
    </row>
    <row r="20627" spans="1:44" ht="45">
      <c r="A20627" s="4" t="s">
        <v>24364</v>
      </c>
      <c r="B20627" s="4">
        <v>114660</v>
      </c>
      <c r="D20627" s="5" t="s">
        <v>26219</v>
      </c>
      <c r="E20627" s="6" t="str">
        <f>HYPERLINK("https://inpn.mnhn.fr/espece/cd_nom/114660","Polygonum bellardii All., 1785")</f>
        <v>Polygonum bellardii All., 1785</v>
      </c>
      <c r="F20627" s="5" t="s">
        <v>26220</v>
      </c>
      <c r="Q20627" s="7" t="str">
        <f>HYPERLINK("#Liste_rouge!A"&amp;_xlfn.XMATCH("NT",Liste_rouge!A:A,2,1),"NT")</f>
        <v>NT</v>
      </c>
      <c r="T20627" s="7" t="str">
        <f>HYPERLINK("#Liste_rouge!A"&amp;_xlfn.XMATCH("RE",Liste_rouge!A:A,2,1),"RE")</f>
        <v>RE</v>
      </c>
      <c r="AH20627" s="4" t="str">
        <f>HYPERLINK("#Statut_biogéographique!A"&amp;_xlfn.XMATCH("P",Statut_biogéographique!A:A,2,1),"P")</f>
        <v>P</v>
      </c>
      <c r="AI20627" s="8" t="s">
        <v>26221</v>
      </c>
      <c r="AJ20627" s="4" t="s">
        <v>12248</v>
      </c>
      <c r="AM20627" s="4" t="s">
        <v>375</v>
      </c>
      <c r="AN20627" s="4" t="s">
        <v>375</v>
      </c>
      <c r="AO20627" s="4" t="s">
        <v>375</v>
      </c>
      <c r="AP20627" s="4" t="s">
        <v>376</v>
      </c>
      <c r="AR20627" s="4" t="s">
        <v>377</v>
      </c>
    </row>
    <row r="20628" spans="1:44">
      <c r="A20628" s="4" t="s">
        <v>24364</v>
      </c>
      <c r="B20628" s="4">
        <v>114870</v>
      </c>
      <c r="D20628" s="5" t="s">
        <v>26222</v>
      </c>
      <c r="E20628" s="6" t="str">
        <f>HYPERLINK("https://inpn.mnhn.fr/espece/cd_nom/114870","Polygonum scoparium Req. ex Loisel., 1827")</f>
        <v>Polygonum scoparium Req. ex Loisel., 1827</v>
      </c>
      <c r="F20628" s="5" t="s">
        <v>26223</v>
      </c>
      <c r="Q20628" s="7" t="str">
        <f>HYPERLINK("#Liste_rouge!A"&amp;_xlfn.XMATCH("LC",Liste_rouge!A:A,2,1),"LC")</f>
        <v>LC</v>
      </c>
      <c r="T20628" s="7" t="str">
        <f>HYPERLINK("#Liste_rouge!A"&amp;_xlfn.XMATCH("NA",Liste_rouge!A:A,2,1),"NA")</f>
        <v>NA</v>
      </c>
      <c r="AH20628" s="4" t="str">
        <f>HYPERLINK("#Statut_biogéographique!A"&amp;_xlfn.XMATCH("P",Statut_biogéographique!A:A,2,1),"P")</f>
        <v>P</v>
      </c>
      <c r="AP20628" s="4" t="s">
        <v>376</v>
      </c>
      <c r="AR20628" s="4" t="s">
        <v>377</v>
      </c>
    </row>
    <row r="20629" spans="1:44" ht="60">
      <c r="A20629" s="4" t="s">
        <v>24364</v>
      </c>
      <c r="B20629" s="4">
        <v>114942</v>
      </c>
      <c r="D20629" s="5" t="s">
        <v>26224</v>
      </c>
      <c r="E20629" s="6" t="str">
        <f>HYPERLINK("https://inpn.mnhn.fr/espece/cd_nom/114942","Polypodium cambricum L., 1753")</f>
        <v>Polypodium cambricum L., 1753</v>
      </c>
      <c r="F20629" s="5" t="s">
        <v>26225</v>
      </c>
      <c r="P20629" s="7" t="str">
        <f>HYPERLINK("#Liste_rouge!A"&amp;_xlfn.XMATCH("LC",Liste_rouge!A:A,2,1),"LC")</f>
        <v>LC</v>
      </c>
      <c r="Q20629" s="7" t="str">
        <f>HYPERLINK("#Liste_rouge!A"&amp;_xlfn.XMATCH("LC",Liste_rouge!A:A,2,1),"LC")</f>
        <v>LC</v>
      </c>
      <c r="T20629" s="7" t="str">
        <f>HYPERLINK("#Liste_rouge!A"&amp;_xlfn.XMATCH("RE",Liste_rouge!A:A,2,1),"RE")</f>
        <v>RE</v>
      </c>
      <c r="V20629" s="7" t="str">
        <f>HYPERLINK("#Liste_rouge!A"&amp;_xlfn.XMATCH("CR",Liste_rouge!A:A,2,1),"CR")</f>
        <v>CR</v>
      </c>
      <c r="W20629" s="4" t="str">
        <f>HYPERLINK("#Critères_liste_rouge!A$1","D")</f>
        <v>D</v>
      </c>
      <c r="X20629" s="5" t="s">
        <v>374</v>
      </c>
      <c r="AB20629" s="4" t="s">
        <v>93</v>
      </c>
      <c r="AH20629" s="4" t="str">
        <f>HYPERLINK("#Statut_biogéographique!A"&amp;_xlfn.XMATCH("P",Statut_biogéographique!A:A,2,1),"P")</f>
        <v>P</v>
      </c>
      <c r="AM20629" s="4" t="s">
        <v>375</v>
      </c>
      <c r="AN20629" s="4" t="s">
        <v>375</v>
      </c>
      <c r="AO20629" s="4" t="s">
        <v>375</v>
      </c>
      <c r="AP20629" s="4" t="s">
        <v>376</v>
      </c>
      <c r="AR20629" s="4" t="s">
        <v>377</v>
      </c>
    </row>
    <row r="20630" spans="1:44">
      <c r="A20630" s="4" t="s">
        <v>24364</v>
      </c>
      <c r="B20630" s="4">
        <v>114972</v>
      </c>
      <c r="D20630" s="5" t="s">
        <v>26226</v>
      </c>
      <c r="E20630" s="6" t="str">
        <f>HYPERLINK("https://inpn.mnhn.fr/espece/cd_nom/114972","Polypodium interjectum Shivas, 1961")</f>
        <v>Polypodium interjectum Shivas, 1961</v>
      </c>
      <c r="F20630" s="5" t="s">
        <v>26227</v>
      </c>
      <c r="P20630" s="7" t="str">
        <f>HYPERLINK("#Liste_rouge!A"&amp;_xlfn.XMATCH("LC",Liste_rouge!A:A,2,1),"LC")</f>
        <v>LC</v>
      </c>
      <c r="Q20630" s="7" t="str">
        <f>HYPERLINK("#Liste_rouge!A"&amp;_xlfn.XMATCH("LC",Liste_rouge!A:A,2,1),"LC")</f>
        <v>LC</v>
      </c>
      <c r="T20630" s="7" t="str">
        <f>HYPERLINK("#Liste_rouge!A"&amp;_xlfn.XMATCH("LC",Liste_rouge!A:A,2,1),"LC")</f>
        <v>LC</v>
      </c>
      <c r="V20630" s="7" t="str">
        <f>HYPERLINK("#Liste_rouge!A"&amp;_xlfn.XMATCH("LC",Liste_rouge!A:A,2,1),"LC")</f>
        <v>LC</v>
      </c>
      <c r="AH20630" s="4" t="str">
        <f>HYPERLINK("#Statut_biogéographique!A"&amp;_xlfn.XMATCH("P",Statut_biogéographique!A:A,2,1),"P")</f>
        <v>P</v>
      </c>
      <c r="AM20630" s="4" t="s">
        <v>375</v>
      </c>
      <c r="AN20630" s="4" t="s">
        <v>375</v>
      </c>
      <c r="AO20630" s="4" t="s">
        <v>375</v>
      </c>
      <c r="AP20630" s="4" t="s">
        <v>376</v>
      </c>
      <c r="AR20630" s="4" t="s">
        <v>377</v>
      </c>
    </row>
    <row r="20631" spans="1:44" ht="30">
      <c r="A20631" s="4" t="s">
        <v>24364</v>
      </c>
      <c r="B20631" s="4">
        <v>115016</v>
      </c>
      <c r="D20631" s="5" t="s">
        <v>26228</v>
      </c>
      <c r="E20631" s="6" t="str">
        <f>HYPERLINK("https://inpn.mnhn.fr/espece/cd_nom/115016","Polypodium vulgare L., 1753")</f>
        <v>Polypodium vulgare L., 1753</v>
      </c>
      <c r="F20631" s="5" t="s">
        <v>26229</v>
      </c>
      <c r="P20631" s="7" t="str">
        <f>HYPERLINK("#Liste_rouge!A"&amp;_xlfn.XMATCH("LC",Liste_rouge!A:A,2,1),"LC")</f>
        <v>LC</v>
      </c>
      <c r="Q20631" s="7" t="str">
        <f>HYPERLINK("#Liste_rouge!A"&amp;_xlfn.XMATCH("LC",Liste_rouge!A:A,2,1),"LC")</f>
        <v>LC</v>
      </c>
      <c r="T20631" s="7" t="str">
        <f>HYPERLINK("#Liste_rouge!A"&amp;_xlfn.XMATCH("LC",Liste_rouge!A:A,2,1),"LC")</f>
        <v>LC</v>
      </c>
      <c r="V20631" s="7" t="str">
        <f>HYPERLINK("#Liste_rouge!A"&amp;_xlfn.XMATCH("LC",Liste_rouge!A:A,2,1),"LC")</f>
        <v>LC</v>
      </c>
      <c r="AH20631" s="4" t="str">
        <f>HYPERLINK("#Statut_biogéographique!A"&amp;_xlfn.XMATCH("P",Statut_biogéographique!A:A,2,1),"P")</f>
        <v>P</v>
      </c>
      <c r="AM20631" s="4" t="s">
        <v>375</v>
      </c>
      <c r="AN20631" s="4" t="s">
        <v>375</v>
      </c>
      <c r="AO20631" s="4" t="s">
        <v>375</v>
      </c>
      <c r="AP20631" s="4" t="s">
        <v>376</v>
      </c>
      <c r="AR20631" s="4" t="s">
        <v>377</v>
      </c>
    </row>
    <row r="20632" spans="1:44">
      <c r="A20632" s="4" t="s">
        <v>24364</v>
      </c>
      <c r="B20632" s="4">
        <v>115018</v>
      </c>
      <c r="D20632" s="5" t="s">
        <v>26230</v>
      </c>
      <c r="E20632" s="6" t="str">
        <f>HYPERLINK("https://inpn.mnhn.fr/espece/cd_nom/115018","Polypodium x mantoniae Rothm., 1962")</f>
        <v>Polypodium x mantoniae Rothm., 1962</v>
      </c>
      <c r="F20632" s="5" t="s">
        <v>26231</v>
      </c>
      <c r="T20632" s="7" t="str">
        <f>HYPERLINK("#Liste_rouge!A"&amp;_xlfn.XMATCH("DD",Liste_rouge!A:A,2,1),"DD")</f>
        <v>DD</v>
      </c>
      <c r="AH20632" s="4" t="str">
        <f>HYPERLINK("#Statut_biogéographique!A"&amp;_xlfn.XMATCH("P",Statut_biogéographique!A:A,2,1),"P")</f>
        <v>P</v>
      </c>
      <c r="AP20632" s="4" t="s">
        <v>376</v>
      </c>
      <c r="AR20632" s="4" t="s">
        <v>377</v>
      </c>
    </row>
    <row r="20633" spans="1:44">
      <c r="A20633" s="4" t="s">
        <v>24364</v>
      </c>
      <c r="B20633" s="4">
        <v>115020</v>
      </c>
      <c r="D20633" s="5" t="s">
        <v>26232</v>
      </c>
      <c r="E20633" s="6" t="str">
        <f>HYPERLINK("https://inpn.mnhn.fr/espece/cd_nom/115020","Polypodium x shivasiae Rothm., 1962")</f>
        <v>Polypodium x shivasiae Rothm., 1962</v>
      </c>
      <c r="F20633" s="5" t="s">
        <v>26233</v>
      </c>
      <c r="T20633" s="7" t="str">
        <f>HYPERLINK("#Liste_rouge!A"&amp;_xlfn.XMATCH("NE",Liste_rouge!A:A,2,1),"NE")</f>
        <v>NE</v>
      </c>
      <c r="AH20633" s="4" t="str">
        <f>HYPERLINK("#Statut_biogéographique!A"&amp;_xlfn.XMATCH("P",Statut_biogéographique!A:A,2,1),"P")</f>
        <v>P</v>
      </c>
      <c r="AP20633" s="4" t="s">
        <v>376</v>
      </c>
      <c r="AR20633" s="4" t="s">
        <v>377</v>
      </c>
    </row>
    <row r="20634" spans="1:44" ht="30">
      <c r="A20634" s="4" t="s">
        <v>24364</v>
      </c>
      <c r="B20634" s="4">
        <v>115025</v>
      </c>
      <c r="D20634" s="5" t="s">
        <v>26234</v>
      </c>
      <c r="E20634" s="6" t="str">
        <f>HYPERLINK("https://inpn.mnhn.fr/espece/cd_nom/115025","Polypogon maritimus Willd., 1801")</f>
        <v>Polypogon maritimus Willd., 1801</v>
      </c>
      <c r="F20634" s="5" t="s">
        <v>26235</v>
      </c>
      <c r="Q20634" s="7" t="str">
        <f>HYPERLINK("#Liste_rouge!A"&amp;_xlfn.XMATCH("LC",Liste_rouge!A:A,2,1),"LC")</f>
        <v>LC</v>
      </c>
      <c r="T20634" s="7" t="str">
        <f>HYPERLINK("#Liste_rouge!A"&amp;_xlfn.XMATCH("NA",Liste_rouge!A:A,2,1),"NA")</f>
        <v>NA</v>
      </c>
      <c r="AH20634" s="4" t="str">
        <f>HYPERLINK("#Statut_biogéographique!A"&amp;_xlfn.XMATCH("P",Statut_biogéographique!A:A,2,1),"P")</f>
        <v>P</v>
      </c>
      <c r="AP20634" s="4" t="s">
        <v>376</v>
      </c>
      <c r="AR20634" s="4" t="s">
        <v>377</v>
      </c>
    </row>
    <row r="20635" spans="1:44" ht="105">
      <c r="A20635" s="4" t="s">
        <v>24364</v>
      </c>
      <c r="B20635" s="4">
        <v>115027</v>
      </c>
      <c r="D20635" s="5" t="s">
        <v>26236</v>
      </c>
      <c r="E20635" s="6" t="str">
        <f>HYPERLINK("https://inpn.mnhn.fr/espece/cd_nom/115027","Polypogon monspeliensis (L.) Desf., 1798")</f>
        <v>Polypogon monspeliensis (L.) Desf., 1798</v>
      </c>
      <c r="F20635" s="5" t="s">
        <v>26237</v>
      </c>
      <c r="O20635" s="7" t="str">
        <f>HYPERLINK("#Liste_rouge!A"&amp;_xlfn.XMATCH("LC",Liste_rouge!A:A,2,1),"LC")</f>
        <v>LC</v>
      </c>
      <c r="Q20635" s="7" t="str">
        <f>HYPERLINK("#Liste_rouge!A"&amp;_xlfn.XMATCH("LC",Liste_rouge!A:A,2,1),"LC")</f>
        <v>LC</v>
      </c>
      <c r="T20635" s="7" t="str">
        <f>HYPERLINK("#Liste_rouge!A"&amp;_xlfn.XMATCH("NA",Liste_rouge!A:A,2,1),"NA")</f>
        <v>NA</v>
      </c>
      <c r="AH20635" s="4" t="str">
        <f>HYPERLINK("#Statut_biogéographique!A"&amp;_xlfn.XMATCH("P",Statut_biogéographique!A:A,2,1),"P")</f>
        <v>P</v>
      </c>
      <c r="AP20635" s="4" t="s">
        <v>376</v>
      </c>
      <c r="AR20635" s="4" t="s">
        <v>377</v>
      </c>
    </row>
    <row r="20636" spans="1:44" ht="105">
      <c r="A20636" s="4" t="s">
        <v>24364</v>
      </c>
      <c r="B20636" s="4">
        <v>115031</v>
      </c>
      <c r="D20636" s="5" t="s">
        <v>26238</v>
      </c>
      <c r="E20636" s="6" t="str">
        <f>HYPERLINK("https://inpn.mnhn.fr/espece/cd_nom/115031","Polypogon viridis (Gouan) Breistr., 1966")</f>
        <v>Polypogon viridis (Gouan) Breistr., 1966</v>
      </c>
      <c r="F20636" s="5" t="s">
        <v>26239</v>
      </c>
      <c r="O20636" s="7" t="str">
        <f>HYPERLINK("#Liste_rouge!A"&amp;_xlfn.XMATCH("LC",Liste_rouge!A:A,2,1),"LC")</f>
        <v>LC</v>
      </c>
      <c r="Q20636" s="7" t="str">
        <f>HYPERLINK("#Liste_rouge!A"&amp;_xlfn.XMATCH("LC",Liste_rouge!A:A,2,1),"LC")</f>
        <v>LC</v>
      </c>
      <c r="AH20636" s="4" t="str">
        <f>HYPERLINK("#Statut_biogéographique!A"&amp;_xlfn.XMATCH("P",Statut_biogéographique!A:A,2,1),"P")</f>
        <v>P</v>
      </c>
      <c r="AP20636" s="4" t="s">
        <v>376</v>
      </c>
      <c r="AR20636" s="4" t="s">
        <v>377</v>
      </c>
    </row>
    <row r="20637" spans="1:44" ht="60">
      <c r="A20637" s="4" t="s">
        <v>24364</v>
      </c>
      <c r="B20637" s="4">
        <v>115041</v>
      </c>
      <c r="D20637" s="5" t="s">
        <v>26240</v>
      </c>
      <c r="E20637" s="6" t="str">
        <f>HYPERLINK("https://inpn.mnhn.fr/espece/cd_nom/115041","Polystichum aculeatum (L.) Roth, 1799")</f>
        <v>Polystichum aculeatum (L.) Roth, 1799</v>
      </c>
      <c r="F20637" s="5" t="s">
        <v>26241</v>
      </c>
      <c r="P20637" s="7" t="str">
        <f>HYPERLINK("#Liste_rouge!A"&amp;_xlfn.XMATCH("LC",Liste_rouge!A:A,2,1),"LC")</f>
        <v>LC</v>
      </c>
      <c r="Q20637" s="7" t="str">
        <f>HYPERLINK("#Liste_rouge!A"&amp;_xlfn.XMATCH("LC",Liste_rouge!A:A,2,1),"LC")</f>
        <v>LC</v>
      </c>
      <c r="T20637" s="7" t="str">
        <f>HYPERLINK("#Liste_rouge!A"&amp;_xlfn.XMATCH("NT",Liste_rouge!A:A,2,1),"NT")</f>
        <v>NT</v>
      </c>
      <c r="U20637" s="4" t="str">
        <f>HYPERLINK("#Critères_liste_rouge!A$1","VU (A2ac) - 1")</f>
        <v>VU (A2ac) - 1</v>
      </c>
      <c r="V20637" s="7" t="str">
        <f>HYPERLINK("#Liste_rouge!A"&amp;_xlfn.XMATCH("LC",Liste_rouge!A:A,2,1),"LC")</f>
        <v>LC</v>
      </c>
      <c r="AB20637" s="4" t="s">
        <v>24634</v>
      </c>
      <c r="AH20637" s="4" t="str">
        <f>HYPERLINK("#Statut_biogéographique!A"&amp;_xlfn.XMATCH("P",Statut_biogéographique!A:A,2,1),"P")</f>
        <v>P</v>
      </c>
      <c r="AK20637" s="4" t="str">
        <f>HYPERLINK("#Réglementation!A"&amp;_xlfn.XMATCH("V39P2",Réglementation!A:A,2,1),"V39P2 - V39P6")</f>
        <v>V39P2 - V39P6</v>
      </c>
      <c r="AM20637" s="4" t="s">
        <v>375</v>
      </c>
      <c r="AN20637" s="4" t="s">
        <v>375</v>
      </c>
      <c r="AO20637" s="4" t="s">
        <v>375</v>
      </c>
      <c r="AP20637" s="4" t="s">
        <v>376</v>
      </c>
      <c r="AR20637" s="4" t="s">
        <v>377</v>
      </c>
    </row>
    <row r="20638" spans="1:44">
      <c r="A20638" s="4" t="s">
        <v>24364</v>
      </c>
      <c r="B20638" s="4">
        <v>115046</v>
      </c>
      <c r="D20638" s="5" t="s">
        <v>26242</v>
      </c>
      <c r="E20638" s="6" t="str">
        <f>HYPERLINK("https://inpn.mnhn.fr/espece/cd_nom/115046","Polystichum braunii (Spenn.) Fée, 1852")</f>
        <v>Polystichum braunii (Spenn.) Fée, 1852</v>
      </c>
      <c r="F20638" s="5" t="s">
        <v>26243</v>
      </c>
      <c r="L20638" s="4" t="str">
        <f>HYPERLINK("#Réglementation!A"&amp;_xlfn.XMATCH("NV1",Réglementation!A:A,2,1),"NV1")</f>
        <v>NV1</v>
      </c>
      <c r="P20638" s="7" t="str">
        <f>HYPERLINK("#Liste_rouge!A"&amp;_xlfn.XMATCH("LC",Liste_rouge!A:A,2,1),"LC")</f>
        <v>LC</v>
      </c>
      <c r="Q20638" s="7" t="str">
        <f>HYPERLINK("#Liste_rouge!A"&amp;_xlfn.XMATCH("NT",Liste_rouge!A:A,2,1),"NT")</f>
        <v>NT</v>
      </c>
      <c r="V20638" s="7" t="str">
        <f>HYPERLINK("#Liste_rouge!A"&amp;_xlfn.XMATCH("EN",Liste_rouge!A:A,2,1),"EN")</f>
        <v>EN</v>
      </c>
      <c r="W20638" s="4" t="str">
        <f>HYPERLINK("#Critères_liste_rouge!A$1","D")</f>
        <v>D</v>
      </c>
      <c r="X20638" s="5" t="s">
        <v>374</v>
      </c>
      <c r="AB20638" s="4" t="s">
        <v>93</v>
      </c>
      <c r="AH20638" s="4" t="str">
        <f>HYPERLINK("#Statut_biogéographique!A"&amp;_xlfn.XMATCH("P",Statut_biogéographique!A:A,2,1),"P")</f>
        <v>P</v>
      </c>
      <c r="AM20638" s="4" t="s">
        <v>375</v>
      </c>
      <c r="AN20638" s="4" t="s">
        <v>375</v>
      </c>
      <c r="AO20638" s="4" t="s">
        <v>375</v>
      </c>
      <c r="AP20638" s="4" t="s">
        <v>376</v>
      </c>
      <c r="AR20638" s="4" t="s">
        <v>377</v>
      </c>
    </row>
    <row r="20639" spans="1:44" ht="30">
      <c r="A20639" s="4" t="s">
        <v>24364</v>
      </c>
      <c r="B20639" s="4">
        <v>115061</v>
      </c>
      <c r="D20639" s="5" t="s">
        <v>26244</v>
      </c>
      <c r="E20639" s="6" t="str">
        <f>HYPERLINK("https://inpn.mnhn.fr/espece/cd_nom/115061","Polystichum lonchitis (L.) Roth, 1799")</f>
        <v>Polystichum lonchitis (L.) Roth, 1799</v>
      </c>
      <c r="F20639" s="5" t="s">
        <v>26245</v>
      </c>
      <c r="P20639" s="7" t="str">
        <f>HYPERLINK("#Liste_rouge!A"&amp;_xlfn.XMATCH("LC",Liste_rouge!A:A,2,1),"LC")</f>
        <v>LC</v>
      </c>
      <c r="Q20639" s="7" t="str">
        <f>HYPERLINK("#Liste_rouge!A"&amp;_xlfn.XMATCH("LC",Liste_rouge!A:A,2,1),"LC")</f>
        <v>LC</v>
      </c>
      <c r="T20639" s="7" t="str">
        <f>HYPERLINK("#Liste_rouge!A"&amp;_xlfn.XMATCH("CR",Liste_rouge!A:A,2,1),"CR")</f>
        <v>CR</v>
      </c>
      <c r="U20639" s="4" t="str">
        <f>HYPERLINK("#Critères_liste_rouge!A$1","C2a(i) D1")</f>
        <v>C2a(i) D1</v>
      </c>
      <c r="V20639" s="7" t="str">
        <f>HYPERLINK("#Liste_rouge!A"&amp;_xlfn.XMATCH("LC",Liste_rouge!A:A,2,1),"LC")</f>
        <v>LC</v>
      </c>
      <c r="AB20639" s="4" t="s">
        <v>26246</v>
      </c>
      <c r="AH20639" s="4" t="str">
        <f>HYPERLINK("#Statut_biogéographique!A"&amp;_xlfn.XMATCH("P",Statut_biogéographique!A:A,2,1),"P")</f>
        <v>P</v>
      </c>
      <c r="AM20639" s="4" t="s">
        <v>375</v>
      </c>
      <c r="AN20639" s="4" t="s">
        <v>375</v>
      </c>
      <c r="AO20639" s="4" t="s">
        <v>375</v>
      </c>
      <c r="AP20639" s="4" t="s">
        <v>376</v>
      </c>
      <c r="AR20639" s="4" t="s">
        <v>377</v>
      </c>
    </row>
    <row r="20640" spans="1:44" ht="60">
      <c r="A20640" s="4" t="s">
        <v>24364</v>
      </c>
      <c r="B20640" s="4">
        <v>115076</v>
      </c>
      <c r="D20640" s="5" t="s">
        <v>26247</v>
      </c>
      <c r="E20640" s="6" t="str">
        <f>HYPERLINK("https://inpn.mnhn.fr/espece/cd_nom/115076","Polystichum setiferum (Forssk.) T.Moore ex Woyn., 1913")</f>
        <v>Polystichum setiferum (Forssk.) T.Moore ex Woyn., 1913</v>
      </c>
      <c r="F20640" s="5" t="s">
        <v>26248</v>
      </c>
      <c r="M20640" s="4" t="str">
        <f>HYPERLINK("#Réglementation!A"&amp;_xlfn.XMATCH("RV43",Réglementation!A:A,2,1),"RV43")</f>
        <v>RV43</v>
      </c>
      <c r="N20640" s="4" t="str">
        <f>HYPERLINK("#Réglementation!A"&amp;_xlfn.XMATCH("V25P2",Réglementation!A:A,2,1),"V25P2 - V70P2")</f>
        <v>V25P2 - V70P2</v>
      </c>
      <c r="P20640" s="7" t="str">
        <f>HYPERLINK("#Liste_rouge!A"&amp;_xlfn.XMATCH("LC",Liste_rouge!A:A,2,1),"LC")</f>
        <v>LC</v>
      </c>
      <c r="Q20640" s="7" t="str">
        <f>HYPERLINK("#Liste_rouge!A"&amp;_xlfn.XMATCH("LC",Liste_rouge!A:A,2,1),"LC")</f>
        <v>LC</v>
      </c>
      <c r="T20640" s="7" t="str">
        <f>HYPERLINK("#Liste_rouge!A"&amp;_xlfn.XMATCH("LC",Liste_rouge!A:A,2,1),"LC")</f>
        <v>LC</v>
      </c>
      <c r="V20640" s="7" t="str">
        <f>HYPERLINK("#Liste_rouge!A"&amp;_xlfn.XMATCH("LC",Liste_rouge!A:A,2,1),"LC")</f>
        <v>LC</v>
      </c>
      <c r="AB20640" s="4" t="s">
        <v>26249</v>
      </c>
      <c r="AH20640" s="4" t="str">
        <f>HYPERLINK("#Statut_biogéographique!A"&amp;_xlfn.XMATCH("P",Statut_biogéographique!A:A,2,1),"P")</f>
        <v>P</v>
      </c>
      <c r="AK20640" s="4" t="str">
        <f>HYPERLINK("#Réglementation!A"&amp;_xlfn.XMATCH("V25P2",Réglementation!A:A,2,1),"V25P2 - V70P2")</f>
        <v>V25P2 - V70P2</v>
      </c>
      <c r="AM20640" s="4" t="s">
        <v>375</v>
      </c>
      <c r="AN20640" s="4" t="s">
        <v>375</v>
      </c>
      <c r="AO20640" s="4" t="s">
        <v>375</v>
      </c>
      <c r="AP20640" s="4" t="s">
        <v>376</v>
      </c>
      <c r="AR20640" s="4" t="s">
        <v>377</v>
      </c>
    </row>
    <row r="20641" spans="1:44">
      <c r="A20641" s="4" t="s">
        <v>24364</v>
      </c>
      <c r="B20641" s="4">
        <v>115083</v>
      </c>
      <c r="D20641" s="5" t="s">
        <v>26250</v>
      </c>
      <c r="E20641" s="6" t="str">
        <f>HYPERLINK("https://inpn.mnhn.fr/espece/cd_nom/115083","Polystichum x bicknellii (Christ) Hahne, 1905")</f>
        <v>Polystichum x bicknellii (Christ) Hahne, 1905</v>
      </c>
      <c r="F20641" s="5" t="s">
        <v>26251</v>
      </c>
      <c r="T20641" s="7" t="str">
        <f>HYPERLINK("#Liste_rouge!A"&amp;_xlfn.XMATCH("DD",Liste_rouge!A:A,2,1),"DD")</f>
        <v>DD</v>
      </c>
      <c r="AH20641" s="4" t="str">
        <f>HYPERLINK("#Statut_biogéographique!A"&amp;_xlfn.XMATCH("P",Statut_biogéographique!A:A,2,1),"P")</f>
        <v>P</v>
      </c>
      <c r="AP20641" s="4" t="s">
        <v>376</v>
      </c>
      <c r="AR20641" s="4" t="s">
        <v>377</v>
      </c>
    </row>
    <row r="20642" spans="1:44">
      <c r="A20642" s="4" t="s">
        <v>24364</v>
      </c>
      <c r="B20642" s="4">
        <v>115085</v>
      </c>
      <c r="D20642" s="5" t="s">
        <v>26252</v>
      </c>
      <c r="E20642" s="6" t="str">
        <f>HYPERLINK("https://inpn.mnhn.fr/espece/cd_nom/115085","Polystichum x illyricum (Borbás) Hahne, 1904")</f>
        <v>Polystichum x illyricum (Borbás) Hahne, 1904</v>
      </c>
      <c r="F20642" s="5" t="s">
        <v>26253</v>
      </c>
      <c r="AH20642" s="4" t="str">
        <f>HYPERLINK("#Statut_biogéographique!A"&amp;_xlfn.XMATCH("P",Statut_biogéographique!A:A,2,1),"P")</f>
        <v>P</v>
      </c>
      <c r="AP20642" s="4" t="s">
        <v>376</v>
      </c>
      <c r="AR20642" s="4" t="s">
        <v>377</v>
      </c>
    </row>
    <row r="20643" spans="1:44">
      <c r="A20643" s="4" t="s">
        <v>24364</v>
      </c>
      <c r="B20643" s="4">
        <v>115087</v>
      </c>
      <c r="D20643" s="5" t="s">
        <v>26254</v>
      </c>
      <c r="E20643" s="6" t="str">
        <f>HYPERLINK("https://inpn.mnhn.fr/espece/cd_nom/115087","Polystichum x luerssenii (Dörfl.) Hahne, 1904")</f>
        <v>Polystichum x luerssenii (Dörfl.) Hahne, 1904</v>
      </c>
      <c r="F20643" s="5" t="s">
        <v>26255</v>
      </c>
      <c r="AH20643" s="4" t="str">
        <f>HYPERLINK("#Statut_biogéographique!A"&amp;_xlfn.XMATCH("P",Statut_biogéographique!A:A,2,1),"P")</f>
        <v>P</v>
      </c>
      <c r="AP20643" s="4" t="s">
        <v>376</v>
      </c>
      <c r="AR20643" s="4" t="s">
        <v>377</v>
      </c>
    </row>
    <row r="20644" spans="1:44" ht="45">
      <c r="A20644" s="4" t="s">
        <v>24364</v>
      </c>
      <c r="B20644" s="4">
        <v>115096</v>
      </c>
      <c r="D20644" s="5" t="s">
        <v>26256</v>
      </c>
      <c r="E20644" s="6" t="str">
        <f>HYPERLINK("https://inpn.mnhn.fr/espece/cd_nom/115096","Pontederia cordata L., 1753")</f>
        <v>Pontederia cordata L., 1753</v>
      </c>
      <c r="F20644" s="5" t="s">
        <v>26257</v>
      </c>
      <c r="Q20644" s="7" t="str">
        <f>HYPERLINK("#Liste_rouge!A"&amp;_xlfn.XMATCH("NA",Liste_rouge!A:A,2,1),"NA")</f>
        <v>NA</v>
      </c>
      <c r="T20644" s="7" t="str">
        <f>HYPERLINK("#Liste_rouge!A"&amp;_xlfn.XMATCH("NA",Liste_rouge!A:A,2,1),"NA")</f>
        <v>NA</v>
      </c>
      <c r="AH20644" s="4" t="str">
        <f>HYPERLINK("#Statut_biogéographique!A"&amp;_xlfn.XMATCH("I",Statut_biogéographique!A:A,2,1),"I")</f>
        <v>I</v>
      </c>
      <c r="AP20644" s="4" t="s">
        <v>376</v>
      </c>
      <c r="AR20644" s="4" t="s">
        <v>377</v>
      </c>
    </row>
    <row r="20645" spans="1:44" ht="90">
      <c r="A20645" s="4" t="s">
        <v>24364</v>
      </c>
      <c r="B20645" s="4">
        <v>115110</v>
      </c>
      <c r="D20645" s="5" t="s">
        <v>26258</v>
      </c>
      <c r="E20645" s="6" t="str">
        <f>HYPERLINK("https://inpn.mnhn.fr/espece/cd_nom/115110","Populus alba L., 1753")</f>
        <v>Populus alba L., 1753</v>
      </c>
      <c r="F20645" s="5" t="s">
        <v>26259</v>
      </c>
      <c r="O20645" s="7" t="str">
        <f>HYPERLINK("#Liste_rouge!A"&amp;_xlfn.XMATCH("LC",Liste_rouge!A:A,2,1),"LC")</f>
        <v>LC</v>
      </c>
      <c r="P20645" s="7" t="str">
        <f>HYPERLINK("#Liste_rouge!A"&amp;_xlfn.XMATCH("LC",Liste_rouge!A:A,2,1),"LC")</f>
        <v>LC</v>
      </c>
      <c r="Q20645" s="7" t="str">
        <f>HYPERLINK("#Liste_rouge!A"&amp;_xlfn.XMATCH("LC",Liste_rouge!A:A,2,1),"LC")</f>
        <v>LC</v>
      </c>
      <c r="T20645" s="7" t="str">
        <f>HYPERLINK("#Liste_rouge!A"&amp;_xlfn.XMATCH("NA",Liste_rouge!A:A,2,1),"NA")</f>
        <v>NA</v>
      </c>
      <c r="AH20645" s="4" t="str">
        <f>HYPERLINK("#Statut_biogéographique!A"&amp;_xlfn.XMATCH("P",Statut_biogéographique!A:A,2,1),"P")</f>
        <v>P</v>
      </c>
      <c r="AM20645" s="4" t="s">
        <v>375</v>
      </c>
      <c r="AN20645" s="4" t="s">
        <v>375</v>
      </c>
      <c r="AO20645" s="4" t="s">
        <v>375</v>
      </c>
      <c r="AP20645" s="4" t="s">
        <v>376</v>
      </c>
      <c r="AR20645" s="4" t="s">
        <v>377</v>
      </c>
    </row>
    <row r="20646" spans="1:44" ht="30">
      <c r="A20646" s="4" t="s">
        <v>24364</v>
      </c>
      <c r="B20646" s="4">
        <v>115113</v>
      </c>
      <c r="D20646" s="5" t="s">
        <v>26260</v>
      </c>
      <c r="E20646" s="6" t="str">
        <f>HYPERLINK("https://inpn.mnhn.fr/espece/cd_nom/115113","Populus balsamifera L., 1753")</f>
        <v>Populus balsamifera L., 1753</v>
      </c>
      <c r="F20646" s="5" t="s">
        <v>26261</v>
      </c>
      <c r="Q20646" s="7" t="str">
        <f>HYPERLINK("#Liste_rouge!A"&amp;_xlfn.XMATCH("NA",Liste_rouge!A:A,2,1),"NA")</f>
        <v>NA</v>
      </c>
      <c r="AH20646" s="4" t="str">
        <f>HYPERLINK("#Statut_biogéographique!A"&amp;_xlfn.XMATCH("M",Statut_biogéographique!A:A,2,1),"M")</f>
        <v>M</v>
      </c>
      <c r="AP20646" s="4" t="s">
        <v>376</v>
      </c>
      <c r="AR20646" s="4" t="s">
        <v>377</v>
      </c>
    </row>
    <row r="20647" spans="1:44">
      <c r="A20647" s="4" t="s">
        <v>24364</v>
      </c>
      <c r="B20647" s="4">
        <v>115122</v>
      </c>
      <c r="D20647" s="5" t="s">
        <v>26262</v>
      </c>
      <c r="E20647" s="6" t="str">
        <f>HYPERLINK("https://inpn.mnhn.fr/espece/cd_nom/115122","Populus deltoides Bartram ex Marshall, 1785")</f>
        <v>Populus deltoides Bartram ex Marshall, 1785</v>
      </c>
      <c r="F20647" s="5" t="s">
        <v>26263</v>
      </c>
      <c r="Q20647" s="7" t="str">
        <f>HYPERLINK("#Liste_rouge!A"&amp;_xlfn.XMATCH("NA",Liste_rouge!A:A,2,1),"NA")</f>
        <v>NA</v>
      </c>
      <c r="T20647" s="7" t="str">
        <f>HYPERLINK("#Liste_rouge!A"&amp;_xlfn.XMATCH("NA",Liste_rouge!A:A,2,1),"NA")</f>
        <v>NA</v>
      </c>
      <c r="AH20647" s="4" t="str">
        <f>HYPERLINK("#Statut_biogéographique!A"&amp;_xlfn.XMATCH("M",Statut_biogéographique!A:A,2,1),"M")</f>
        <v>M</v>
      </c>
      <c r="AP20647" s="4" t="s">
        <v>376</v>
      </c>
      <c r="AR20647" s="4" t="s">
        <v>377</v>
      </c>
    </row>
    <row r="20648" spans="1:44" ht="30">
      <c r="A20648" s="4" t="s">
        <v>24364</v>
      </c>
      <c r="B20648" s="4">
        <v>115145</v>
      </c>
      <c r="D20648" s="5" t="s">
        <v>26264</v>
      </c>
      <c r="E20648" s="6" t="str">
        <f>HYPERLINK("https://inpn.mnhn.fr/espece/cd_nom/115145","Populus nigra L., 1753")</f>
        <v>Populus nigra L., 1753</v>
      </c>
      <c r="F20648" s="5" t="s">
        <v>26265</v>
      </c>
      <c r="O20648" s="7" t="str">
        <f>HYPERLINK("#Liste_rouge!A"&amp;_xlfn.XMATCH("DD",Liste_rouge!A:A,2,1),"DD")</f>
        <v>DD</v>
      </c>
      <c r="P20648" s="7" t="str">
        <f>HYPERLINK("#Liste_rouge!A"&amp;_xlfn.XMATCH("DD",Liste_rouge!A:A,2,1),"DD")</f>
        <v>DD</v>
      </c>
      <c r="Q20648" s="7" t="str">
        <f>HYPERLINK("#Liste_rouge!A"&amp;_xlfn.XMATCH("LC",Liste_rouge!A:A,2,1),"LC")</f>
        <v>LC</v>
      </c>
      <c r="T20648" s="7" t="str">
        <f>HYPERLINK("#Liste_rouge!A"&amp;_xlfn.XMATCH("LC",Liste_rouge!A:A,2,1),"LC")</f>
        <v>LC</v>
      </c>
      <c r="AH20648" s="4" t="str">
        <f>HYPERLINK("#Statut_biogéographique!A"&amp;_xlfn.XMATCH("P",Statut_biogéographique!A:A,2,1),"P")</f>
        <v>P</v>
      </c>
      <c r="AM20648" s="4" t="s">
        <v>375</v>
      </c>
      <c r="AN20648" s="4" t="s">
        <v>375</v>
      </c>
      <c r="AO20648" s="4" t="s">
        <v>375</v>
      </c>
      <c r="AP20648" s="4" t="s">
        <v>376</v>
      </c>
      <c r="AR20648" s="4" t="s">
        <v>377</v>
      </c>
    </row>
    <row r="20649" spans="1:44" ht="45">
      <c r="A20649" s="4" t="s">
        <v>24364</v>
      </c>
      <c r="B20649" s="4">
        <v>115156</v>
      </c>
      <c r="D20649" s="5" t="s">
        <v>26266</v>
      </c>
      <c r="E20649" s="6" t="str">
        <f>HYPERLINK("https://inpn.mnhn.fr/espece/cd_nom/115156","Populus tremula L., 1753")</f>
        <v>Populus tremula L., 1753</v>
      </c>
      <c r="F20649" s="5" t="s">
        <v>26267</v>
      </c>
      <c r="P20649" s="7" t="str">
        <f>HYPERLINK("#Liste_rouge!A"&amp;_xlfn.XMATCH("LC",Liste_rouge!A:A,2,1),"LC")</f>
        <v>LC</v>
      </c>
      <c r="Q20649" s="7" t="str">
        <f>HYPERLINK("#Liste_rouge!A"&amp;_xlfn.XMATCH("LC",Liste_rouge!A:A,2,1),"LC")</f>
        <v>LC</v>
      </c>
      <c r="T20649" s="7" t="str">
        <f>HYPERLINK("#Liste_rouge!A"&amp;_xlfn.XMATCH("LC",Liste_rouge!A:A,2,1),"LC")</f>
        <v>LC</v>
      </c>
      <c r="V20649" s="7" t="str">
        <f>HYPERLINK("#Liste_rouge!A"&amp;_xlfn.XMATCH("LC",Liste_rouge!A:A,2,1),"LC")</f>
        <v>LC</v>
      </c>
      <c r="AH20649" s="4" t="str">
        <f>HYPERLINK("#Statut_biogéographique!A"&amp;_xlfn.XMATCH("P",Statut_biogéographique!A:A,2,1),"P")</f>
        <v>P</v>
      </c>
      <c r="AM20649" s="4" t="s">
        <v>375</v>
      </c>
      <c r="AN20649" s="4" t="s">
        <v>375</v>
      </c>
      <c r="AO20649" s="4" t="s">
        <v>375</v>
      </c>
      <c r="AP20649" s="4" t="s">
        <v>376</v>
      </c>
      <c r="AR20649" s="4" t="s">
        <v>377</v>
      </c>
    </row>
    <row r="20650" spans="1:44" ht="30">
      <c r="A20650" s="4" t="s">
        <v>24364</v>
      </c>
      <c r="B20650" s="4">
        <v>115157</v>
      </c>
      <c r="D20650" s="5" t="s">
        <v>26268</v>
      </c>
      <c r="E20650" s="6" t="str">
        <f>HYPERLINK("https://inpn.mnhn.fr/espece/cd_nom/115157","Populus trichocarpa Torr. &amp; A.Gray ex Hook., 1852")</f>
        <v>Populus trichocarpa Torr. &amp; A.Gray ex Hook., 1852</v>
      </c>
      <c r="F20650" s="5" t="s">
        <v>26269</v>
      </c>
      <c r="T20650" s="7" t="str">
        <f>HYPERLINK("#Liste_rouge!A"&amp;_xlfn.XMATCH("NA",Liste_rouge!A:A,2,1),"NA")</f>
        <v>NA</v>
      </c>
      <c r="AH20650" s="4" t="str">
        <f>HYPERLINK("#Statut_biogéographique!A"&amp;_xlfn.XMATCH("M",Statut_biogéographique!A:A,2,1),"M")</f>
        <v>M</v>
      </c>
      <c r="AP20650" s="4" t="s">
        <v>376</v>
      </c>
      <c r="AR20650" s="4" t="s">
        <v>377</v>
      </c>
    </row>
    <row r="20651" spans="1:44" ht="30">
      <c r="A20651" s="4" t="s">
        <v>24364</v>
      </c>
      <c r="B20651" s="4">
        <v>115167</v>
      </c>
      <c r="D20651" s="5" t="s">
        <v>26270</v>
      </c>
      <c r="E20651" s="6" t="str">
        <f>HYPERLINK("https://inpn.mnhn.fr/espece/cd_nom/115167","Populus x canadensis Moench, 1785")</f>
        <v>Populus x canadensis Moench, 1785</v>
      </c>
      <c r="F20651" s="5" t="s">
        <v>26271</v>
      </c>
      <c r="T20651" s="7" t="str">
        <f>HYPERLINK("#Liste_rouge!A"&amp;_xlfn.XMATCH("NA",Liste_rouge!A:A,2,1),"NA")</f>
        <v>NA</v>
      </c>
      <c r="AH20651" s="4" t="str">
        <f>HYPERLINK("#Statut_biogéographique!A"&amp;_xlfn.XMATCH("M",Statut_biogéographique!A:A,2,1),"M")</f>
        <v>M</v>
      </c>
      <c r="AP20651" s="4" t="s">
        <v>376</v>
      </c>
      <c r="AR20651" s="4" t="s">
        <v>377</v>
      </c>
    </row>
    <row r="20652" spans="1:44" ht="30">
      <c r="A20652" s="4" t="s">
        <v>24364</v>
      </c>
      <c r="B20652" s="4">
        <v>115168</v>
      </c>
      <c r="D20652" s="5" t="s">
        <v>26272</v>
      </c>
      <c r="E20652" s="6" t="str">
        <f>HYPERLINK("https://inpn.mnhn.fr/espece/cd_nom/115168","Populus x canescens (Aiton) Sm., 1804")</f>
        <v>Populus x canescens (Aiton) Sm., 1804</v>
      </c>
      <c r="F20652" s="5" t="s">
        <v>26273</v>
      </c>
      <c r="T20652" s="7" t="str">
        <f>HYPERLINK("#Liste_rouge!A"&amp;_xlfn.XMATCH("NA",Liste_rouge!A:A,2,1),"NA")</f>
        <v>NA</v>
      </c>
      <c r="AH20652" s="4" t="str">
        <f>HYPERLINK("#Statut_biogéographique!A"&amp;_xlfn.XMATCH("I",Statut_biogéographique!A:A,2,1),"I")</f>
        <v>I</v>
      </c>
      <c r="AP20652" s="4" t="s">
        <v>376</v>
      </c>
      <c r="AR20652" s="4" t="s">
        <v>377</v>
      </c>
    </row>
    <row r="20653" spans="1:44" ht="30">
      <c r="A20653" s="4" t="s">
        <v>24364</v>
      </c>
      <c r="B20653" s="4">
        <v>115171</v>
      </c>
      <c r="D20653" s="5" t="s">
        <v>26274</v>
      </c>
      <c r="E20653" s="6" t="str">
        <f>HYPERLINK("https://inpn.mnhn.fr/espece/cd_nom/115171","Populus x generosa A.Henry, 1914")</f>
        <v>Populus x generosa A.Henry, 1914</v>
      </c>
      <c r="F20653" s="5" t="s">
        <v>26275</v>
      </c>
      <c r="AH20653" s="4" t="str">
        <f>HYPERLINK("#Statut_biogéographique!A"&amp;_xlfn.XMATCH("M",Statut_biogéographique!A:A,2,1),"M")</f>
        <v>M</v>
      </c>
      <c r="AP20653" s="4" t="s">
        <v>376</v>
      </c>
      <c r="AR20653" s="4" t="s">
        <v>377</v>
      </c>
    </row>
    <row r="20654" spans="1:44" ht="30">
      <c r="A20654" s="4" t="s">
        <v>24364</v>
      </c>
      <c r="B20654" s="4">
        <v>115208</v>
      </c>
      <c r="D20654" s="5" t="s">
        <v>26276</v>
      </c>
      <c r="E20654" s="6" t="str">
        <f>HYPERLINK("https://inpn.mnhn.fr/espece/cd_nom/115208","Portulaca grandiflora Hook., 1829")</f>
        <v>Portulaca grandiflora Hook., 1829</v>
      </c>
      <c r="F20654" s="5" t="s">
        <v>26277</v>
      </c>
      <c r="T20654" s="7" t="str">
        <f>HYPERLINK("#Liste_rouge!A"&amp;_xlfn.XMATCH("NA",Liste_rouge!A:A,2,1),"NA")</f>
        <v>NA</v>
      </c>
      <c r="AH20654" s="4" t="str">
        <f>HYPERLINK("#Statut_biogéographique!A"&amp;_xlfn.XMATCH("M",Statut_biogéographique!A:A,2,1),"M")</f>
        <v>M</v>
      </c>
      <c r="AP20654" s="4" t="s">
        <v>376</v>
      </c>
      <c r="AR20654" s="4" t="s">
        <v>377</v>
      </c>
    </row>
    <row r="20655" spans="1:44" ht="75">
      <c r="A20655" s="4" t="s">
        <v>24364</v>
      </c>
      <c r="B20655" s="4">
        <v>115215</v>
      </c>
      <c r="D20655" s="5" t="s">
        <v>26278</v>
      </c>
      <c r="E20655" s="6" t="str">
        <f>HYPERLINK("https://inpn.mnhn.fr/espece/cd_nom/115215","Portulaca oleracea L., 1753")</f>
        <v>Portulaca oleracea L., 1753</v>
      </c>
      <c r="F20655" s="5" t="s">
        <v>26279</v>
      </c>
      <c r="O20655" s="7" t="str">
        <f>HYPERLINK("#Liste_rouge!A"&amp;_xlfn.XMATCH("LC",Liste_rouge!A:A,2,1),"LC")</f>
        <v>LC</v>
      </c>
      <c r="Q20655" s="7" t="str">
        <f>HYPERLINK("#Liste_rouge!A"&amp;_xlfn.XMATCH("LC",Liste_rouge!A:A,2,1),"LC")</f>
        <v>LC</v>
      </c>
      <c r="T20655" s="7" t="str">
        <f>HYPERLINK("#Liste_rouge!A"&amp;_xlfn.XMATCH("LC",Liste_rouge!A:A,2,1),"LC")</f>
        <v>LC</v>
      </c>
      <c r="AH20655" s="4" t="str">
        <f>HYPERLINK("#Statut_biogéographique!A"&amp;_xlfn.XMATCH("P",Statut_biogéographique!A:A,2,1),"P")</f>
        <v>P</v>
      </c>
      <c r="AM20655" s="4" t="s">
        <v>375</v>
      </c>
      <c r="AN20655" s="4" t="s">
        <v>375</v>
      </c>
      <c r="AO20655" s="4" t="s">
        <v>375</v>
      </c>
      <c r="AP20655" s="4" t="s">
        <v>376</v>
      </c>
      <c r="AR20655" s="4" t="s">
        <v>377</v>
      </c>
    </row>
    <row r="20656" spans="1:44">
      <c r="A20656" s="4" t="s">
        <v>24364</v>
      </c>
      <c r="B20656" s="4">
        <v>115218</v>
      </c>
      <c r="D20656" s="5" t="s">
        <v>26280</v>
      </c>
      <c r="E20656" s="6" t="str">
        <f>HYPERLINK("https://inpn.mnhn.fr/espece/cd_nom/115218","Portulaca sativa Haw., 1803")</f>
        <v>Portulaca sativa Haw., 1803</v>
      </c>
      <c r="F20656" s="5" t="s">
        <v>26281</v>
      </c>
      <c r="Q20656" s="7" t="str">
        <f>HYPERLINK("#Liste_rouge!A"&amp;_xlfn.XMATCH("NA",Liste_rouge!A:A,2,1),"NA")</f>
        <v>NA</v>
      </c>
      <c r="T20656" s="7" t="str">
        <f>HYPERLINK("#Liste_rouge!A"&amp;_xlfn.XMATCH("NA",Liste_rouge!A:A,2,1),"NA")</f>
        <v>NA</v>
      </c>
      <c r="AH20656" s="4" t="str">
        <f>HYPERLINK("#Statut_biogéographique!A"&amp;_xlfn.XMATCH("M",Statut_biogéographique!A:A,2,1),"M")</f>
        <v>M</v>
      </c>
      <c r="AP20656" s="4" t="s">
        <v>376</v>
      </c>
      <c r="AR20656" s="4" t="s">
        <v>377</v>
      </c>
    </row>
    <row r="20657" spans="1:44" ht="30">
      <c r="A20657" s="4" t="s">
        <v>24364</v>
      </c>
      <c r="B20657" s="4">
        <v>115226</v>
      </c>
      <c r="D20657" s="5" t="s">
        <v>26282</v>
      </c>
      <c r="E20657" s="6" t="str">
        <f>HYPERLINK("https://inpn.mnhn.fr/espece/cd_nom/115226","Potamogeton acutifolius Link, 1818")</f>
        <v>Potamogeton acutifolius Link, 1818</v>
      </c>
      <c r="F20657" s="5" t="s">
        <v>26283</v>
      </c>
      <c r="M20657" s="4" t="str">
        <f>HYPERLINK("#Réglementation!A"&amp;_xlfn.XMATCH("RV43",Réglementation!A:A,2,1),"RV43")</f>
        <v>RV43</v>
      </c>
      <c r="P20657" s="7" t="str">
        <f>HYPERLINK("#Liste_rouge!A"&amp;_xlfn.XMATCH("NT",Liste_rouge!A:A,2,1),"NT")</f>
        <v>NT</v>
      </c>
      <c r="Q20657" s="7" t="str">
        <f>HYPERLINK("#Liste_rouge!A"&amp;_xlfn.XMATCH("NT",Liste_rouge!A:A,2,1),"NT")</f>
        <v>NT</v>
      </c>
      <c r="T20657" s="7" t="str">
        <f>HYPERLINK("#Liste_rouge!A"&amp;_xlfn.XMATCH("EN",Liste_rouge!A:A,2,1),"EN")</f>
        <v>EN</v>
      </c>
      <c r="U20657" s="4" t="str">
        <f>HYPERLINK("#Critères_liste_rouge!A$1","D1")</f>
        <v>D1</v>
      </c>
      <c r="V20657" s="7" t="str">
        <f>HYPERLINK("#Liste_rouge!A"&amp;_xlfn.XMATCH("EN",Liste_rouge!A:A,2,1),"EN")</f>
        <v>EN</v>
      </c>
      <c r="W20657" s="4" t="str">
        <f>HYPERLINK("#Critères_liste_rouge!A$1","B2ab(iii)c(iii)")</f>
        <v>B2ab(iii)c(iii)</v>
      </c>
      <c r="X20657" s="5" t="s">
        <v>374</v>
      </c>
      <c r="AB20657" s="4" t="s">
        <v>93</v>
      </c>
      <c r="AH20657" s="4" t="str">
        <f>HYPERLINK("#Statut_biogéographique!A"&amp;_xlfn.XMATCH("P",Statut_biogéographique!A:A,2,1),"P")</f>
        <v>P</v>
      </c>
      <c r="AM20657" s="4" t="s">
        <v>375</v>
      </c>
      <c r="AN20657" s="4" t="s">
        <v>375</v>
      </c>
      <c r="AO20657" s="4" t="s">
        <v>375</v>
      </c>
      <c r="AP20657" s="4" t="s">
        <v>376</v>
      </c>
      <c r="AR20657" s="4" t="s">
        <v>377</v>
      </c>
    </row>
    <row r="20658" spans="1:44" ht="75">
      <c r="A20658" s="4" t="s">
        <v>24364</v>
      </c>
      <c r="B20658" s="4">
        <v>115228</v>
      </c>
      <c r="D20658" s="5" t="s">
        <v>26284</v>
      </c>
      <c r="E20658" s="6" t="str">
        <f>HYPERLINK("https://inpn.mnhn.fr/espece/cd_nom/115228","Potamogeton alpinus Balb., 1804")</f>
        <v>Potamogeton alpinus Balb., 1804</v>
      </c>
      <c r="F20658" s="5" t="s">
        <v>26285</v>
      </c>
      <c r="M20658" s="4" t="str">
        <f>HYPERLINK("#Réglementation!A"&amp;_xlfn.XMATCH("RV43",Réglementation!A:A,2,1),"RV43")</f>
        <v>RV43</v>
      </c>
      <c r="O20658" s="7" t="str">
        <f>HYPERLINK("#Liste_rouge!A"&amp;_xlfn.XMATCH("LC",Liste_rouge!A:A,2,1),"LC")</f>
        <v>LC</v>
      </c>
      <c r="P20658" s="7" t="str">
        <f>HYPERLINK("#Liste_rouge!A"&amp;_xlfn.XMATCH("LC",Liste_rouge!A:A,2,1),"LC")</f>
        <v>LC</v>
      </c>
      <c r="Q20658" s="7" t="str">
        <f>HYPERLINK("#Liste_rouge!A"&amp;_xlfn.XMATCH("NT",Liste_rouge!A:A,2,1),"NT")</f>
        <v>NT</v>
      </c>
      <c r="T20658" s="7" t="str">
        <f>HYPERLINK("#Liste_rouge!A"&amp;_xlfn.XMATCH("RE",Liste_rouge!A:A,2,1),"RE")</f>
        <v>RE</v>
      </c>
      <c r="V20658" s="7" t="str">
        <f>HYPERLINK("#Liste_rouge!A"&amp;_xlfn.XMATCH("NT",Liste_rouge!A:A,2,1),"NT")</f>
        <v>NT</v>
      </c>
      <c r="W20658" s="4" t="str">
        <f>HYPERLINK("#Critères_liste_rouge!A$1","pr. B2b(iii)")</f>
        <v>pr. B2b(iii)</v>
      </c>
      <c r="X20658" s="5" t="s">
        <v>374</v>
      </c>
      <c r="AB20658" s="4" t="s">
        <v>93</v>
      </c>
      <c r="AH20658" s="4" t="str">
        <f>HYPERLINK("#Statut_biogéographique!A"&amp;_xlfn.XMATCH("P",Statut_biogéographique!A:A,2,1),"P")</f>
        <v>P</v>
      </c>
      <c r="AM20658" s="4" t="s">
        <v>375</v>
      </c>
      <c r="AN20658" s="4" t="s">
        <v>375</v>
      </c>
      <c r="AO20658" s="4" t="s">
        <v>375</v>
      </c>
      <c r="AP20658" s="4" t="s">
        <v>376</v>
      </c>
      <c r="AR20658" s="4" t="s">
        <v>377</v>
      </c>
    </row>
    <row r="20659" spans="1:44" ht="30">
      <c r="A20659" s="4" t="s">
        <v>24364</v>
      </c>
      <c r="B20659" s="4">
        <v>115233</v>
      </c>
      <c r="D20659" s="5" t="s">
        <v>26286</v>
      </c>
      <c r="E20659" s="6" t="str">
        <f>HYPERLINK("https://inpn.mnhn.fr/espece/cd_nom/115233","Potamogeton berchtoldii Fieber, 1838")</f>
        <v>Potamogeton berchtoldii Fieber, 1838</v>
      </c>
      <c r="F20659" s="5" t="s">
        <v>26287</v>
      </c>
      <c r="O20659" s="7" t="str">
        <f>HYPERLINK("#Liste_rouge!A"&amp;_xlfn.XMATCH("LC",Liste_rouge!A:A,2,1),"LC")</f>
        <v>LC</v>
      </c>
      <c r="P20659" s="7" t="str">
        <f>HYPERLINK("#Liste_rouge!A"&amp;_xlfn.XMATCH("LC",Liste_rouge!A:A,2,1),"LC")</f>
        <v>LC</v>
      </c>
      <c r="Q20659" s="7" t="str">
        <f>HYPERLINK("#Liste_rouge!A"&amp;_xlfn.XMATCH("LC",Liste_rouge!A:A,2,1),"LC")</f>
        <v>LC</v>
      </c>
      <c r="T20659" s="7" t="str">
        <f>HYPERLINK("#Liste_rouge!A"&amp;_xlfn.XMATCH("LC",Liste_rouge!A:A,2,1),"LC")</f>
        <v>LC</v>
      </c>
      <c r="V20659" s="7" t="str">
        <f>HYPERLINK("#Liste_rouge!A"&amp;_xlfn.XMATCH("LC",Liste_rouge!A:A,2,1),"LC")</f>
        <v>LC</v>
      </c>
      <c r="AB20659" s="4" t="s">
        <v>24956</v>
      </c>
      <c r="AH20659" s="4" t="str">
        <f>HYPERLINK("#Statut_biogéographique!A"&amp;_xlfn.XMATCH("P",Statut_biogéographique!A:A,2,1),"P")</f>
        <v>P</v>
      </c>
      <c r="AM20659" s="4" t="s">
        <v>375</v>
      </c>
      <c r="AN20659" s="4" t="s">
        <v>375</v>
      </c>
      <c r="AO20659" s="4" t="s">
        <v>375</v>
      </c>
      <c r="AP20659" s="4" t="s">
        <v>376</v>
      </c>
      <c r="AR20659" s="4" t="s">
        <v>377</v>
      </c>
    </row>
    <row r="20660" spans="1:44" ht="45">
      <c r="A20660" s="4" t="s">
        <v>24364</v>
      </c>
      <c r="B20660" s="4">
        <v>115237</v>
      </c>
      <c r="D20660" s="5" t="s">
        <v>26288</v>
      </c>
      <c r="E20660" s="6" t="str">
        <f>HYPERLINK("https://inpn.mnhn.fr/espece/cd_nom/115237","Potamogeton coloratus Hornem., 1813")</f>
        <v>Potamogeton coloratus Hornem., 1813</v>
      </c>
      <c r="F20660" s="5" t="s">
        <v>26289</v>
      </c>
      <c r="O20660" s="7" t="str">
        <f>HYPERLINK("#Liste_rouge!A"&amp;_xlfn.XMATCH("LC",Liste_rouge!A:A,2,1),"LC")</f>
        <v>LC</v>
      </c>
      <c r="P20660" s="7" t="str">
        <f>HYPERLINK("#Liste_rouge!A"&amp;_xlfn.XMATCH("LC",Liste_rouge!A:A,2,1),"LC")</f>
        <v>LC</v>
      </c>
      <c r="Q20660" s="7" t="str">
        <f>HYPERLINK("#Liste_rouge!A"&amp;_xlfn.XMATCH("LC",Liste_rouge!A:A,2,1),"LC")</f>
        <v>LC</v>
      </c>
      <c r="T20660" s="7" t="str">
        <f>HYPERLINK("#Liste_rouge!A"&amp;_xlfn.XMATCH("CR",Liste_rouge!A:A,2,1),"CR")</f>
        <v>CR</v>
      </c>
      <c r="U20660" s="4" t="str">
        <f>HYPERLINK("#Critères_liste_rouge!A$1","B1 B2ab(iii)")</f>
        <v>B1 B2ab(iii)</v>
      </c>
      <c r="X20660" s="5" t="s">
        <v>374</v>
      </c>
      <c r="AB20660" s="4" t="s">
        <v>93</v>
      </c>
      <c r="AH20660" s="4" t="str">
        <f>HYPERLINK("#Statut_biogéographique!A"&amp;_xlfn.XMATCH("P",Statut_biogéographique!A:A,2,1),"P")</f>
        <v>P</v>
      </c>
      <c r="AM20660" s="4" t="s">
        <v>375</v>
      </c>
      <c r="AN20660" s="4" t="s">
        <v>375</v>
      </c>
      <c r="AO20660" s="4" t="s">
        <v>375</v>
      </c>
      <c r="AP20660" s="4" t="s">
        <v>376</v>
      </c>
      <c r="AR20660" s="4" t="s">
        <v>377</v>
      </c>
    </row>
    <row r="20661" spans="1:44" ht="30">
      <c r="A20661" s="4" t="s">
        <v>24364</v>
      </c>
      <c r="B20661" s="4">
        <v>115240</v>
      </c>
      <c r="D20661" s="5" t="s">
        <v>26290</v>
      </c>
      <c r="E20661" s="6" t="str">
        <f>HYPERLINK("https://inpn.mnhn.fr/espece/cd_nom/115240","Potamogeton compressus L., 1753")</f>
        <v>Potamogeton compressus L., 1753</v>
      </c>
      <c r="F20661" s="5" t="s">
        <v>26291</v>
      </c>
      <c r="M20661" s="4" t="str">
        <f>HYPERLINK("#Réglementation!A"&amp;_xlfn.XMATCH("RV43",Réglementation!A:A,2,1),"RV43")</f>
        <v>RV43</v>
      </c>
      <c r="P20661" s="7" t="str">
        <f>HYPERLINK("#Liste_rouge!A"&amp;_xlfn.XMATCH("DD",Liste_rouge!A:A,2,1),"DD")</f>
        <v>DD</v>
      </c>
      <c r="Q20661" s="7" t="str">
        <f>HYPERLINK("#Liste_rouge!A"&amp;_xlfn.XMATCH("VU",Liste_rouge!A:A,2,1),"VU")</f>
        <v>VU</v>
      </c>
      <c r="T20661" s="7" t="str">
        <f>HYPERLINK("#Liste_rouge!A"&amp;_xlfn.XMATCH("CR",Liste_rouge!A:A,2,1),"CR")</f>
        <v>CR</v>
      </c>
      <c r="U20661" s="4" t="str">
        <f>HYPERLINK("#Critères_liste_rouge!A$1","B1 B2ab(i,ii,iv)")</f>
        <v>B1 B2ab(i,ii,iv)</v>
      </c>
      <c r="V20661" s="7" t="str">
        <f>HYPERLINK("#Liste_rouge!A"&amp;_xlfn.XMATCH("CR",Liste_rouge!A:A,2,1),"CR")</f>
        <v>CR</v>
      </c>
      <c r="W20661" s="4" t="str">
        <f>HYPERLINK("#Critères_liste_rouge!A$1","D")</f>
        <v>D</v>
      </c>
      <c r="X20661" s="5" t="s">
        <v>374</v>
      </c>
      <c r="AB20661" s="4" t="s">
        <v>93</v>
      </c>
      <c r="AH20661" s="4" t="str">
        <f>HYPERLINK("#Statut_biogéographique!A"&amp;_xlfn.XMATCH("P",Statut_biogéographique!A:A,2,1),"P")</f>
        <v>P</v>
      </c>
      <c r="AM20661" s="4" t="s">
        <v>375</v>
      </c>
      <c r="AN20661" s="4" t="s">
        <v>375</v>
      </c>
      <c r="AO20661" s="4" t="s">
        <v>375</v>
      </c>
      <c r="AP20661" s="4" t="s">
        <v>389</v>
      </c>
      <c r="AR20661" s="4" t="s">
        <v>377</v>
      </c>
    </row>
    <row r="20662" spans="1:44" ht="30">
      <c r="A20662" s="4" t="s">
        <v>24364</v>
      </c>
      <c r="B20662" s="4">
        <v>115245</v>
      </c>
      <c r="D20662" s="5" t="s">
        <v>26292</v>
      </c>
      <c r="E20662" s="6" t="str">
        <f>HYPERLINK("https://inpn.mnhn.fr/espece/cd_nom/115245","Potamogeton crispus L., 1753")</f>
        <v>Potamogeton crispus L., 1753</v>
      </c>
      <c r="F20662" s="5" t="s">
        <v>26293</v>
      </c>
      <c r="O20662" s="7" t="str">
        <f>HYPERLINK("#Liste_rouge!A"&amp;_xlfn.XMATCH("LC",Liste_rouge!A:A,2,1),"LC")</f>
        <v>LC</v>
      </c>
      <c r="P20662" s="7" t="str">
        <f>HYPERLINK("#Liste_rouge!A"&amp;_xlfn.XMATCH("LC",Liste_rouge!A:A,2,1),"LC")</f>
        <v>LC</v>
      </c>
      <c r="Q20662" s="7" t="str">
        <f>HYPERLINK("#Liste_rouge!A"&amp;_xlfn.XMATCH("LC",Liste_rouge!A:A,2,1),"LC")</f>
        <v>LC</v>
      </c>
      <c r="T20662" s="7" t="str">
        <f>HYPERLINK("#Liste_rouge!A"&amp;_xlfn.XMATCH("LC",Liste_rouge!A:A,2,1),"LC")</f>
        <v>LC</v>
      </c>
      <c r="V20662" s="7" t="str">
        <f>HYPERLINK("#Liste_rouge!A"&amp;_xlfn.XMATCH("LC",Liste_rouge!A:A,2,1),"LC")</f>
        <v>LC</v>
      </c>
      <c r="AH20662" s="4" t="str">
        <f>HYPERLINK("#Statut_biogéographique!A"&amp;_xlfn.XMATCH("P",Statut_biogéographique!A:A,2,1),"P")</f>
        <v>P</v>
      </c>
      <c r="AM20662" s="4" t="s">
        <v>375</v>
      </c>
      <c r="AN20662" s="4" t="s">
        <v>375</v>
      </c>
      <c r="AO20662" s="4" t="s">
        <v>375</v>
      </c>
      <c r="AP20662" s="4" t="s">
        <v>376</v>
      </c>
      <c r="AR20662" s="4" t="s">
        <v>377</v>
      </c>
    </row>
    <row r="20663" spans="1:44" ht="30">
      <c r="A20663" s="4" t="s">
        <v>24364</v>
      </c>
      <c r="B20663" s="4">
        <v>115256</v>
      </c>
      <c r="D20663" s="5" t="s">
        <v>26294</v>
      </c>
      <c r="E20663" s="6" t="str">
        <f>HYPERLINK("https://inpn.mnhn.fr/espece/cd_nom/115256","Potamogeton friesii Rupr., 1845")</f>
        <v>Potamogeton friesii Rupr., 1845</v>
      </c>
      <c r="F20663" s="5" t="s">
        <v>26295</v>
      </c>
      <c r="O20663" s="7" t="str">
        <f>HYPERLINK("#Liste_rouge!A"&amp;_xlfn.XMATCH("LC",Liste_rouge!A:A,2,1),"LC")</f>
        <v>LC</v>
      </c>
      <c r="P20663" s="7" t="str">
        <f>HYPERLINK("#Liste_rouge!A"&amp;_xlfn.XMATCH("LC",Liste_rouge!A:A,2,1),"LC")</f>
        <v>LC</v>
      </c>
      <c r="Q20663" s="7" t="str">
        <f>HYPERLINK("#Liste_rouge!A"&amp;_xlfn.XMATCH("NT",Liste_rouge!A:A,2,1),"NT")</f>
        <v>NT</v>
      </c>
      <c r="T20663" s="7" t="str">
        <f>HYPERLINK("#Liste_rouge!A"&amp;_xlfn.XMATCH("CR",Liste_rouge!A:A,2,1),"CR")</f>
        <v>CR</v>
      </c>
      <c r="U20663" s="4" t="str">
        <f>HYPERLINK("#Critères_liste_rouge!A$1","B1 B2ab(ii,iii,iv)")</f>
        <v>B1 B2ab(ii,iii,iv)</v>
      </c>
      <c r="V20663" s="7" t="str">
        <f>HYPERLINK("#Liste_rouge!A"&amp;_xlfn.XMATCH("NT",Liste_rouge!A:A,2,1),"NT")</f>
        <v>NT</v>
      </c>
      <c r="W20663" s="4" t="str">
        <f>HYPERLINK("#Critères_liste_rouge!A$1","pr. B2b(iii)")</f>
        <v>pr. B2b(iii)</v>
      </c>
      <c r="X20663" s="5" t="s">
        <v>374</v>
      </c>
      <c r="AB20663" s="4" t="s">
        <v>93</v>
      </c>
      <c r="AH20663" s="4" t="str">
        <f>HYPERLINK("#Statut_biogéographique!A"&amp;_xlfn.XMATCH("P",Statut_biogéographique!A:A,2,1),"P")</f>
        <v>P</v>
      </c>
      <c r="AM20663" s="4" t="s">
        <v>375</v>
      </c>
      <c r="AN20663" s="4" t="s">
        <v>375</v>
      </c>
      <c r="AO20663" s="4" t="s">
        <v>375</v>
      </c>
      <c r="AP20663" s="4" t="s">
        <v>376</v>
      </c>
      <c r="AR20663" s="4" t="s">
        <v>377</v>
      </c>
    </row>
    <row r="20664" spans="1:44" ht="45">
      <c r="A20664" s="4" t="s">
        <v>24364</v>
      </c>
      <c r="B20664" s="4">
        <v>115258</v>
      </c>
      <c r="D20664" s="5" t="s">
        <v>26296</v>
      </c>
      <c r="E20664" s="6" t="str">
        <f>HYPERLINK("https://inpn.mnhn.fr/espece/cd_nom/115258","Potamogeton gramineus L., 1753")</f>
        <v>Potamogeton gramineus L., 1753</v>
      </c>
      <c r="F20664" s="5" t="s">
        <v>26297</v>
      </c>
      <c r="M20664" s="4" t="str">
        <f>HYPERLINK("#Réglementation!A"&amp;_xlfn.XMATCH("RV43",Réglementation!A:A,2,1),"RV43")</f>
        <v>RV43</v>
      </c>
      <c r="O20664" s="7" t="str">
        <f>HYPERLINK("#Liste_rouge!A"&amp;_xlfn.XMATCH("LC",Liste_rouge!A:A,2,1),"LC")</f>
        <v>LC</v>
      </c>
      <c r="P20664" s="7" t="str">
        <f>HYPERLINK("#Liste_rouge!A"&amp;_xlfn.XMATCH("LC",Liste_rouge!A:A,2,1),"LC")</f>
        <v>LC</v>
      </c>
      <c r="Q20664" s="7" t="str">
        <f>HYPERLINK("#Liste_rouge!A"&amp;_xlfn.XMATCH("LC",Liste_rouge!A:A,2,1),"LC")</f>
        <v>LC</v>
      </c>
      <c r="T20664" s="7" t="str">
        <f>HYPERLINK("#Liste_rouge!A"&amp;_xlfn.XMATCH("EN",Liste_rouge!A:A,2,1),"EN")</f>
        <v>EN</v>
      </c>
      <c r="U20664" s="4" t="str">
        <f>HYPERLINK("#Critères_liste_rouge!A$1","B2ab(iii,iv,v)c(iii,iv)")</f>
        <v>B2ab(iii,iv,v)c(iii,iv)</v>
      </c>
      <c r="V20664" s="7" t="str">
        <f>HYPERLINK("#Liste_rouge!A"&amp;_xlfn.XMATCH("NT",Liste_rouge!A:A,2,1),"NT")</f>
        <v>NT</v>
      </c>
      <c r="W20664" s="4" t="str">
        <f>HYPERLINK("#Critères_liste_rouge!A$1","pr. B2b(iii)")</f>
        <v>pr. B2b(iii)</v>
      </c>
      <c r="X20664" s="5" t="s">
        <v>374</v>
      </c>
      <c r="AB20664" s="4" t="s">
        <v>93</v>
      </c>
      <c r="AH20664" s="4" t="str">
        <f>HYPERLINK("#Statut_biogéographique!A"&amp;_xlfn.XMATCH("P",Statut_biogéographique!A:A,2,1),"P")</f>
        <v>P</v>
      </c>
      <c r="AM20664" s="4" t="s">
        <v>375</v>
      </c>
      <c r="AN20664" s="4" t="s">
        <v>375</v>
      </c>
      <c r="AO20664" s="4" t="s">
        <v>375</v>
      </c>
      <c r="AP20664" s="4" t="s">
        <v>376</v>
      </c>
      <c r="AR20664" s="4" t="s">
        <v>377</v>
      </c>
    </row>
    <row r="20665" spans="1:44" ht="45">
      <c r="A20665" s="4" t="s">
        <v>24364</v>
      </c>
      <c r="B20665" s="4">
        <v>115270</v>
      </c>
      <c r="D20665" s="5" t="s">
        <v>26298</v>
      </c>
      <c r="E20665" s="6" t="str">
        <f>HYPERLINK("https://inpn.mnhn.fr/espece/cd_nom/115270","Potamogeton lucens L., 1753")</f>
        <v>Potamogeton lucens L., 1753</v>
      </c>
      <c r="F20665" s="5" t="s">
        <v>26299</v>
      </c>
      <c r="O20665" s="7" t="str">
        <f>HYPERLINK("#Liste_rouge!A"&amp;_xlfn.XMATCH("LC",Liste_rouge!A:A,2,1),"LC")</f>
        <v>LC</v>
      </c>
      <c r="P20665" s="7" t="str">
        <f>HYPERLINK("#Liste_rouge!A"&amp;_xlfn.XMATCH("LC",Liste_rouge!A:A,2,1),"LC")</f>
        <v>LC</v>
      </c>
      <c r="Q20665" s="7" t="str">
        <f>HYPERLINK("#Liste_rouge!A"&amp;_xlfn.XMATCH("LC",Liste_rouge!A:A,2,1),"LC")</f>
        <v>LC</v>
      </c>
      <c r="T20665" s="7" t="str">
        <f>HYPERLINK("#Liste_rouge!A"&amp;_xlfn.XMATCH("VU",Liste_rouge!A:A,2,1),"VU")</f>
        <v>VU</v>
      </c>
      <c r="U20665" s="4" t="str">
        <f>HYPERLINK("#Critères_liste_rouge!A$1","A2ac")</f>
        <v>A2ac</v>
      </c>
      <c r="V20665" s="7" t="str">
        <f>HYPERLINK("#Liste_rouge!A"&amp;_xlfn.XMATCH("NT",Liste_rouge!A:A,2,1),"NT")</f>
        <v>NT</v>
      </c>
      <c r="W20665" s="4" t="str">
        <f>HYPERLINK("#Critères_liste_rouge!A$1","pr. B2b(iii)")</f>
        <v>pr. B2b(iii)</v>
      </c>
      <c r="X20665" s="5" t="s">
        <v>374</v>
      </c>
      <c r="AB20665" s="4" t="s">
        <v>93</v>
      </c>
      <c r="AH20665" s="4" t="str">
        <f>HYPERLINK("#Statut_biogéographique!A"&amp;_xlfn.XMATCH("P",Statut_biogéographique!A:A,2,1),"P")</f>
        <v>P</v>
      </c>
      <c r="AM20665" s="4" t="s">
        <v>375</v>
      </c>
      <c r="AN20665" s="4" t="s">
        <v>375</v>
      </c>
      <c r="AO20665" s="4" t="s">
        <v>375</v>
      </c>
      <c r="AP20665" s="4" t="s">
        <v>376</v>
      </c>
      <c r="AR20665" s="4" t="s">
        <v>377</v>
      </c>
    </row>
    <row r="20666" spans="1:44" ht="45">
      <c r="A20666" s="4" t="s">
        <v>24364</v>
      </c>
      <c r="B20666" s="4">
        <v>115280</v>
      </c>
      <c r="D20666" s="5" t="s">
        <v>26300</v>
      </c>
      <c r="E20666" s="6" t="str">
        <f>HYPERLINK("https://inpn.mnhn.fr/espece/cd_nom/115280","Potamogeton natans L., 1753")</f>
        <v>Potamogeton natans L., 1753</v>
      </c>
      <c r="F20666" s="5" t="s">
        <v>26301</v>
      </c>
      <c r="O20666" s="7" t="str">
        <f>HYPERLINK("#Liste_rouge!A"&amp;_xlfn.XMATCH("LC",Liste_rouge!A:A,2,1),"LC")</f>
        <v>LC</v>
      </c>
      <c r="P20666" s="7" t="str">
        <f>HYPERLINK("#Liste_rouge!A"&amp;_xlfn.XMATCH("LC",Liste_rouge!A:A,2,1),"LC")</f>
        <v>LC</v>
      </c>
      <c r="Q20666" s="7" t="str">
        <f>HYPERLINK("#Liste_rouge!A"&amp;_xlfn.XMATCH("LC",Liste_rouge!A:A,2,1),"LC")</f>
        <v>LC</v>
      </c>
      <c r="T20666" s="7" t="str">
        <f>HYPERLINK("#Liste_rouge!A"&amp;_xlfn.XMATCH("LC",Liste_rouge!A:A,2,1),"LC")</f>
        <v>LC</v>
      </c>
      <c r="V20666" s="7" t="str">
        <f>HYPERLINK("#Liste_rouge!A"&amp;_xlfn.XMATCH("LC",Liste_rouge!A:A,2,1),"LC")</f>
        <v>LC</v>
      </c>
      <c r="AH20666" s="4" t="str">
        <f>HYPERLINK("#Statut_biogéographique!A"&amp;_xlfn.XMATCH("P",Statut_biogéographique!A:A,2,1),"P")</f>
        <v>P</v>
      </c>
      <c r="AM20666" s="4" t="s">
        <v>375</v>
      </c>
      <c r="AN20666" s="4" t="s">
        <v>375</v>
      </c>
      <c r="AO20666" s="4" t="s">
        <v>375</v>
      </c>
      <c r="AP20666" s="4" t="s">
        <v>376</v>
      </c>
      <c r="AR20666" s="4" t="s">
        <v>377</v>
      </c>
    </row>
    <row r="20667" spans="1:44" ht="45">
      <c r="A20667" s="4" t="s">
        <v>24364</v>
      </c>
      <c r="B20667" s="4">
        <v>115282</v>
      </c>
      <c r="D20667" s="5" t="s">
        <v>26302</v>
      </c>
      <c r="E20667" s="6" t="str">
        <f>HYPERLINK("https://inpn.mnhn.fr/espece/cd_nom/115282","Potamogeton nodosus Poir., 1816")</f>
        <v>Potamogeton nodosus Poir., 1816</v>
      </c>
      <c r="F20667" s="5" t="s">
        <v>26303</v>
      </c>
      <c r="O20667" s="7" t="str">
        <f>HYPERLINK("#Liste_rouge!A"&amp;_xlfn.XMATCH("LC",Liste_rouge!A:A,2,1),"LC")</f>
        <v>LC</v>
      </c>
      <c r="P20667" s="7" t="str">
        <f>HYPERLINK("#Liste_rouge!A"&amp;_xlfn.XMATCH("LC",Liste_rouge!A:A,2,1),"LC")</f>
        <v>LC</v>
      </c>
      <c r="Q20667" s="7" t="str">
        <f>HYPERLINK("#Liste_rouge!A"&amp;_xlfn.XMATCH("LC",Liste_rouge!A:A,2,1),"LC")</f>
        <v>LC</v>
      </c>
      <c r="T20667" s="7" t="str">
        <f>HYPERLINK("#Liste_rouge!A"&amp;_xlfn.XMATCH("LC",Liste_rouge!A:A,2,1),"LC")</f>
        <v>LC</v>
      </c>
      <c r="V20667" s="7" t="str">
        <f>HYPERLINK("#Liste_rouge!A"&amp;_xlfn.XMATCH("LC",Liste_rouge!A:A,2,1),"LC")</f>
        <v>LC</v>
      </c>
      <c r="AH20667" s="4" t="str">
        <f>HYPERLINK("#Statut_biogéographique!A"&amp;_xlfn.XMATCH("P",Statut_biogéographique!A:A,2,1),"P")</f>
        <v>P</v>
      </c>
      <c r="AM20667" s="4" t="s">
        <v>375</v>
      </c>
      <c r="AN20667" s="4" t="s">
        <v>375</v>
      </c>
      <c r="AO20667" s="4" t="s">
        <v>375</v>
      </c>
      <c r="AP20667" s="4" t="s">
        <v>376</v>
      </c>
      <c r="AR20667" s="4" t="s">
        <v>377</v>
      </c>
    </row>
    <row r="20668" spans="1:44" ht="30">
      <c r="A20668" s="4" t="s">
        <v>24364</v>
      </c>
      <c r="B20668" s="4">
        <v>115286</v>
      </c>
      <c r="D20668" s="5" t="s">
        <v>26304</v>
      </c>
      <c r="E20668" s="6" t="str">
        <f>HYPERLINK("https://inpn.mnhn.fr/espece/cd_nom/115286","Potamogeton obtusifolius Mert. &amp; W.D.J.Koch, 1823")</f>
        <v>Potamogeton obtusifolius Mert. &amp; W.D.J.Koch, 1823</v>
      </c>
      <c r="F20668" s="5" t="s">
        <v>26305</v>
      </c>
      <c r="O20668" s="7" t="str">
        <f>HYPERLINK("#Liste_rouge!A"&amp;_xlfn.XMATCH("LC",Liste_rouge!A:A,2,1),"LC")</f>
        <v>LC</v>
      </c>
      <c r="P20668" s="7" t="str">
        <f>HYPERLINK("#Liste_rouge!A"&amp;_xlfn.XMATCH("LC",Liste_rouge!A:A,2,1),"LC")</f>
        <v>LC</v>
      </c>
      <c r="Q20668" s="7" t="str">
        <f>HYPERLINK("#Liste_rouge!A"&amp;_xlfn.XMATCH("LC",Liste_rouge!A:A,2,1),"LC")</f>
        <v>LC</v>
      </c>
      <c r="T20668" s="7" t="str">
        <f>HYPERLINK("#Liste_rouge!A"&amp;_xlfn.XMATCH("EN",Liste_rouge!A:A,2,1),"EN")</f>
        <v>EN</v>
      </c>
      <c r="U20668" s="4" t="str">
        <f>HYPERLINK("#Critères_liste_rouge!A$1","B2ab(ii,iii,iv)")</f>
        <v>B2ab(ii,iii,iv)</v>
      </c>
      <c r="V20668" s="7" t="str">
        <f>HYPERLINK("#Liste_rouge!A"&amp;_xlfn.XMATCH("NT",Liste_rouge!A:A,2,1),"NT")</f>
        <v>NT</v>
      </c>
      <c r="W20668" s="4" t="str">
        <f>HYPERLINK("#Critères_liste_rouge!A$1","pr. B2b(iii)")</f>
        <v>pr. B2b(iii)</v>
      </c>
      <c r="X20668" s="5" t="s">
        <v>374</v>
      </c>
      <c r="AB20668" s="4" t="s">
        <v>93</v>
      </c>
      <c r="AH20668" s="4" t="str">
        <f>HYPERLINK("#Statut_biogéographique!A"&amp;_xlfn.XMATCH("P",Statut_biogéographique!A:A,2,1),"P")</f>
        <v>P</v>
      </c>
      <c r="AM20668" s="4" t="s">
        <v>375</v>
      </c>
      <c r="AN20668" s="4" t="s">
        <v>375</v>
      </c>
      <c r="AO20668" s="4" t="s">
        <v>375</v>
      </c>
      <c r="AP20668" s="4" t="s">
        <v>376</v>
      </c>
      <c r="AR20668" s="4" t="s">
        <v>377</v>
      </c>
    </row>
    <row r="20669" spans="1:44" ht="30">
      <c r="A20669" s="4" t="s">
        <v>24364</v>
      </c>
      <c r="B20669" s="4">
        <v>115296</v>
      </c>
      <c r="D20669" s="5" t="s">
        <v>26306</v>
      </c>
      <c r="E20669" s="6" t="str">
        <f>HYPERLINK("https://inpn.mnhn.fr/espece/cd_nom/115296","Potamogeton perfoliatus L., 1753")</f>
        <v>Potamogeton perfoliatus L., 1753</v>
      </c>
      <c r="F20669" s="5" t="s">
        <v>26307</v>
      </c>
      <c r="O20669" s="7" t="str">
        <f>HYPERLINK("#Liste_rouge!A"&amp;_xlfn.XMATCH("LC",Liste_rouge!A:A,2,1),"LC")</f>
        <v>LC</v>
      </c>
      <c r="P20669" s="7" t="str">
        <f>HYPERLINK("#Liste_rouge!A"&amp;_xlfn.XMATCH("LC",Liste_rouge!A:A,2,1),"LC")</f>
        <v>LC</v>
      </c>
      <c r="Q20669" s="7" t="str">
        <f>HYPERLINK("#Liste_rouge!A"&amp;_xlfn.XMATCH("LC",Liste_rouge!A:A,2,1),"LC")</f>
        <v>LC</v>
      </c>
      <c r="T20669" s="7" t="str">
        <f>HYPERLINK("#Liste_rouge!A"&amp;_xlfn.XMATCH("LC",Liste_rouge!A:A,2,1),"LC")</f>
        <v>LC</v>
      </c>
      <c r="V20669" s="7" t="str">
        <f>HYPERLINK("#Liste_rouge!A"&amp;_xlfn.XMATCH("NT",Liste_rouge!A:A,2,1),"NT")</f>
        <v>NT</v>
      </c>
      <c r="W20669" s="4" t="str">
        <f>HYPERLINK("#Critères_liste_rouge!A$1","pr. B2b(iii)")</f>
        <v>pr. B2b(iii)</v>
      </c>
      <c r="AB20669" s="4" t="s">
        <v>24397</v>
      </c>
      <c r="AH20669" s="4" t="str">
        <f>HYPERLINK("#Statut_biogéographique!A"&amp;_xlfn.XMATCH("P",Statut_biogéographique!A:A,2,1),"P")</f>
        <v>P</v>
      </c>
      <c r="AM20669" s="4" t="s">
        <v>375</v>
      </c>
      <c r="AN20669" s="4" t="s">
        <v>375</v>
      </c>
      <c r="AO20669" s="4" t="s">
        <v>375</v>
      </c>
      <c r="AP20669" s="4" t="s">
        <v>376</v>
      </c>
      <c r="AR20669" s="4" t="s">
        <v>377</v>
      </c>
    </row>
    <row r="20670" spans="1:44" ht="45">
      <c r="A20670" s="4" t="s">
        <v>24364</v>
      </c>
      <c r="B20670" s="4">
        <v>115301</v>
      </c>
      <c r="D20670" s="5" t="s">
        <v>26308</v>
      </c>
      <c r="E20670" s="6" t="str">
        <f>HYPERLINK("https://inpn.mnhn.fr/espece/cd_nom/115301","Potamogeton polygonifolius Pourr., 1788")</f>
        <v>Potamogeton polygonifolius Pourr., 1788</v>
      </c>
      <c r="F20670" s="5" t="s">
        <v>26309</v>
      </c>
      <c r="O20670" s="7" t="str">
        <f>HYPERLINK("#Liste_rouge!A"&amp;_xlfn.XMATCH("LC",Liste_rouge!A:A,2,1),"LC")</f>
        <v>LC</v>
      </c>
      <c r="P20670" s="7" t="str">
        <f>HYPERLINK("#Liste_rouge!A"&amp;_xlfn.XMATCH("LC",Liste_rouge!A:A,2,1),"LC")</f>
        <v>LC</v>
      </c>
      <c r="Q20670" s="7" t="str">
        <f>HYPERLINK("#Liste_rouge!A"&amp;_xlfn.XMATCH("LC",Liste_rouge!A:A,2,1),"LC")</f>
        <v>LC</v>
      </c>
      <c r="T20670" s="7" t="str">
        <f>HYPERLINK("#Liste_rouge!A"&amp;_xlfn.XMATCH("LC",Liste_rouge!A:A,2,1),"LC")</f>
        <v>LC</v>
      </c>
      <c r="V20670" s="7" t="str">
        <f>HYPERLINK("#Liste_rouge!A"&amp;_xlfn.XMATCH("NT",Liste_rouge!A:A,2,1),"NT")</f>
        <v>NT</v>
      </c>
      <c r="W20670" s="4" t="str">
        <f>HYPERLINK("#Critères_liste_rouge!A$1","pr. B2b(iii)")</f>
        <v>pr. B2b(iii)</v>
      </c>
      <c r="AB20670" s="4" t="s">
        <v>25010</v>
      </c>
      <c r="AH20670" s="4" t="str">
        <f>HYPERLINK("#Statut_biogéographique!A"&amp;_xlfn.XMATCH("P",Statut_biogéographique!A:A,2,1),"P")</f>
        <v>P</v>
      </c>
      <c r="AM20670" s="4" t="s">
        <v>375</v>
      </c>
      <c r="AN20670" s="4" t="s">
        <v>375</v>
      </c>
      <c r="AO20670" s="4" t="s">
        <v>375</v>
      </c>
      <c r="AP20670" s="4" t="s">
        <v>376</v>
      </c>
      <c r="AR20670" s="4" t="s">
        <v>377</v>
      </c>
    </row>
    <row r="20671" spans="1:44" ht="30">
      <c r="A20671" s="4" t="s">
        <v>24364</v>
      </c>
      <c r="B20671" s="4">
        <v>115302</v>
      </c>
      <c r="D20671" s="5" t="s">
        <v>26310</v>
      </c>
      <c r="E20671" s="6" t="str">
        <f>HYPERLINK("https://inpn.mnhn.fr/espece/cd_nom/115302","Potamogeton praelongus Wulfen, 1805")</f>
        <v>Potamogeton praelongus Wulfen, 1805</v>
      </c>
      <c r="F20671" s="5" t="s">
        <v>26311</v>
      </c>
      <c r="M20671" s="4" t="str">
        <f>HYPERLINK("#Réglementation!A"&amp;_xlfn.XMATCH("RV43",Réglementation!A:A,2,1),"RV43")</f>
        <v>RV43</v>
      </c>
      <c r="O20671" s="7" t="str">
        <f>HYPERLINK("#Liste_rouge!A"&amp;_xlfn.XMATCH("LC",Liste_rouge!A:A,2,1),"LC")</f>
        <v>LC</v>
      </c>
      <c r="P20671" s="7" t="str">
        <f>HYPERLINK("#Liste_rouge!A"&amp;_xlfn.XMATCH("LC",Liste_rouge!A:A,2,1),"LC")</f>
        <v>LC</v>
      </c>
      <c r="Q20671" s="7" t="str">
        <f>HYPERLINK("#Liste_rouge!A"&amp;_xlfn.XMATCH("VU",Liste_rouge!A:A,2,1),"VU")</f>
        <v>VU</v>
      </c>
      <c r="V20671" s="7" t="str">
        <f>HYPERLINK("#Liste_rouge!A"&amp;_xlfn.XMATCH("RE",Liste_rouge!A:A,2,1),"RE")</f>
        <v>RE</v>
      </c>
      <c r="X20671" s="5" t="s">
        <v>374</v>
      </c>
      <c r="AB20671" s="4" t="s">
        <v>93</v>
      </c>
      <c r="AE20671" s="4" t="str">
        <f>HYPERLINK("#SCAP!A"&amp;_xlfn.XMATCH("A",SCAP!A:A,2,1),"A")</f>
        <v>A</v>
      </c>
      <c r="AH20671" s="4" t="str">
        <f>HYPERLINK("#Statut_biogéographique!A"&amp;_xlfn.XMATCH("P",Statut_biogéographique!A:A,2,1),"P")</f>
        <v>P</v>
      </c>
      <c r="AM20671" s="4" t="s">
        <v>375</v>
      </c>
      <c r="AN20671" s="4" t="s">
        <v>375</v>
      </c>
      <c r="AO20671" s="4" t="s">
        <v>375</v>
      </c>
      <c r="AP20671" s="4" t="s">
        <v>389</v>
      </c>
      <c r="AR20671" s="4" t="s">
        <v>377</v>
      </c>
    </row>
    <row r="20672" spans="1:44" ht="45">
      <c r="A20672" s="4" t="s">
        <v>24364</v>
      </c>
      <c r="B20672" s="4">
        <v>115305</v>
      </c>
      <c r="D20672" s="5" t="s">
        <v>26312</v>
      </c>
      <c r="E20672" s="6" t="str">
        <f>HYPERLINK("https://inpn.mnhn.fr/espece/cd_nom/115305","Potamogeton pusillus L., 1753")</f>
        <v>Potamogeton pusillus L., 1753</v>
      </c>
      <c r="F20672" s="5" t="s">
        <v>26313</v>
      </c>
      <c r="O20672" s="7" t="str">
        <f>HYPERLINK("#Liste_rouge!A"&amp;_xlfn.XMATCH("LC",Liste_rouge!A:A,2,1),"LC")</f>
        <v>LC</v>
      </c>
      <c r="P20672" s="7" t="str">
        <f>HYPERLINK("#Liste_rouge!A"&amp;_xlfn.XMATCH("LC",Liste_rouge!A:A,2,1),"LC")</f>
        <v>LC</v>
      </c>
      <c r="Q20672" s="7" t="str">
        <f>HYPERLINK("#Liste_rouge!A"&amp;_xlfn.XMATCH("LC",Liste_rouge!A:A,2,1),"LC")</f>
        <v>LC</v>
      </c>
      <c r="T20672" s="7" t="str">
        <f>HYPERLINK("#Liste_rouge!A"&amp;_xlfn.XMATCH("EN",Liste_rouge!A:A,2,1),"EN")</f>
        <v>EN</v>
      </c>
      <c r="U20672" s="4" t="str">
        <f>HYPERLINK("#Critères_liste_rouge!A$1","A2ac")</f>
        <v>A2ac</v>
      </c>
      <c r="V20672" s="7" t="str">
        <f>HYPERLINK("#Liste_rouge!A"&amp;_xlfn.XMATCH("DD",Liste_rouge!A:A,2,1),"DD")</f>
        <v>DD</v>
      </c>
      <c r="X20672" s="5" t="s">
        <v>374</v>
      </c>
      <c r="AB20672" s="4" t="s">
        <v>93</v>
      </c>
      <c r="AH20672" s="4" t="str">
        <f>HYPERLINK("#Statut_biogéographique!A"&amp;_xlfn.XMATCH("P",Statut_biogéographique!A:A,2,1),"P")</f>
        <v>P</v>
      </c>
      <c r="AM20672" s="4" t="s">
        <v>375</v>
      </c>
      <c r="AN20672" s="4" t="s">
        <v>375</v>
      </c>
      <c r="AO20672" s="4" t="s">
        <v>375</v>
      </c>
      <c r="AP20672" s="4" t="s">
        <v>376</v>
      </c>
      <c r="AR20672" s="4" t="s">
        <v>377</v>
      </c>
    </row>
    <row r="20673" spans="1:44">
      <c r="A20673" s="4" t="s">
        <v>24364</v>
      </c>
      <c r="B20673" s="4">
        <v>115308</v>
      </c>
      <c r="D20673" s="5" t="s">
        <v>26314</v>
      </c>
      <c r="E20673" s="6" t="str">
        <f>HYPERLINK("https://inpn.mnhn.fr/espece/cd_nom/115308","Potamogeton x rivularis Gillot, 1888")</f>
        <v>Potamogeton x rivularis Gillot, 1888</v>
      </c>
      <c r="F20673" s="5" t="s">
        <v>26315</v>
      </c>
      <c r="AH20673" s="4" t="str">
        <f>HYPERLINK("#Statut_biogéographique!A"&amp;_xlfn.XMATCH("P",Statut_biogéographique!A:A,2,1),"P")</f>
        <v>P</v>
      </c>
      <c r="AP20673" s="4" t="s">
        <v>376</v>
      </c>
      <c r="AR20673" s="4" t="s">
        <v>377</v>
      </c>
    </row>
    <row r="20674" spans="1:44" ht="30">
      <c r="A20674" s="4" t="s">
        <v>24364</v>
      </c>
      <c r="B20674" s="4">
        <v>115326</v>
      </c>
      <c r="D20674" s="5" t="s">
        <v>26316</v>
      </c>
      <c r="E20674" s="6" t="str">
        <f>HYPERLINK("https://inpn.mnhn.fr/espece/cd_nom/115326","Potamogeton trichoides Cham. &amp; Schltdl., 1827")</f>
        <v>Potamogeton trichoides Cham. &amp; Schltdl., 1827</v>
      </c>
      <c r="F20674" s="5" t="s">
        <v>26317</v>
      </c>
      <c r="O20674" s="7" t="str">
        <f>HYPERLINK("#Liste_rouge!A"&amp;_xlfn.XMATCH("LC",Liste_rouge!A:A,2,1),"LC")</f>
        <v>LC</v>
      </c>
      <c r="P20674" s="7" t="str">
        <f>HYPERLINK("#Liste_rouge!A"&amp;_xlfn.XMATCH("LC",Liste_rouge!A:A,2,1),"LC")</f>
        <v>LC</v>
      </c>
      <c r="Q20674" s="7" t="str">
        <f>HYPERLINK("#Liste_rouge!A"&amp;_xlfn.XMATCH("LC",Liste_rouge!A:A,2,1),"LC")</f>
        <v>LC</v>
      </c>
      <c r="T20674" s="7" t="str">
        <f>HYPERLINK("#Liste_rouge!A"&amp;_xlfn.XMATCH("DD",Liste_rouge!A:A,2,1),"DD")</f>
        <v>DD</v>
      </c>
      <c r="V20674" s="7" t="str">
        <f>HYPERLINK("#Liste_rouge!A"&amp;_xlfn.XMATCH("NT",Liste_rouge!A:A,2,1),"NT")</f>
        <v>NT</v>
      </c>
      <c r="W20674" s="4" t="str">
        <f>HYPERLINK("#Critères_liste_rouge!A$1","pr. B2b(iii)")</f>
        <v>pr. B2b(iii)</v>
      </c>
      <c r="AB20674" s="4" t="s">
        <v>26318</v>
      </c>
      <c r="AH20674" s="4" t="str">
        <f>HYPERLINK("#Statut_biogéographique!A"&amp;_xlfn.XMATCH("P",Statut_biogéographique!A:A,2,1),"P")</f>
        <v>P</v>
      </c>
      <c r="AM20674" s="4" t="s">
        <v>375</v>
      </c>
      <c r="AN20674" s="4" t="s">
        <v>375</v>
      </c>
      <c r="AO20674" s="4" t="s">
        <v>375</v>
      </c>
      <c r="AP20674" s="4" t="s">
        <v>376</v>
      </c>
      <c r="AR20674" s="4" t="s">
        <v>377</v>
      </c>
    </row>
    <row r="20675" spans="1:44" ht="30">
      <c r="A20675" s="4" t="s">
        <v>24364</v>
      </c>
      <c r="B20675" s="4">
        <v>115334</v>
      </c>
      <c r="D20675" s="5" t="s">
        <v>26319</v>
      </c>
      <c r="E20675" s="6" t="str">
        <f>HYPERLINK("https://inpn.mnhn.fr/espece/cd_nom/115334","Potamogeton x angustifolius J.Presl, 1821")</f>
        <v>Potamogeton x angustifolius J.Presl, 1821</v>
      </c>
      <c r="F20675" s="5" t="s">
        <v>26320</v>
      </c>
      <c r="T20675" s="7" t="str">
        <f>HYPERLINK("#Liste_rouge!A"&amp;_xlfn.XMATCH("DD",Liste_rouge!A:A,2,1),"DD")</f>
        <v>DD</v>
      </c>
      <c r="AH20675" s="4" t="str">
        <f>HYPERLINK("#Statut_biogéographique!A"&amp;_xlfn.XMATCH("P",Statut_biogéographique!A:A,2,1),"P")</f>
        <v>P</v>
      </c>
      <c r="AP20675" s="4" t="s">
        <v>376</v>
      </c>
      <c r="AR20675" s="4" t="s">
        <v>377</v>
      </c>
    </row>
    <row r="20676" spans="1:44">
      <c r="A20676" s="4" t="s">
        <v>24364</v>
      </c>
      <c r="B20676" s="4">
        <v>115342</v>
      </c>
      <c r="D20676" s="5" t="s">
        <v>26321</v>
      </c>
      <c r="E20676" s="6" t="str">
        <f>HYPERLINK("https://inpn.mnhn.fr/espece/cd_nom/115342","Potamogeton x cooperi (Fryer) Fryer, 1897")</f>
        <v>Potamogeton x cooperi (Fryer) Fryer, 1897</v>
      </c>
      <c r="F20676" s="5" t="s">
        <v>26322</v>
      </c>
      <c r="T20676" s="7" t="str">
        <f>HYPERLINK("#Liste_rouge!A"&amp;_xlfn.XMATCH("DD",Liste_rouge!A:A,2,1),"DD")</f>
        <v>DD</v>
      </c>
      <c r="AH20676" s="4" t="str">
        <f>HYPERLINK("#Statut_biogéographique!A"&amp;_xlfn.XMATCH("P",Statut_biogéographique!A:A,2,1),"P")</f>
        <v>P</v>
      </c>
      <c r="AP20676" s="4" t="s">
        <v>376</v>
      </c>
      <c r="AR20676" s="4" t="s">
        <v>377</v>
      </c>
    </row>
    <row r="20677" spans="1:44" ht="45">
      <c r="A20677" s="4" t="s">
        <v>24364</v>
      </c>
      <c r="B20677" s="4">
        <v>115348</v>
      </c>
      <c r="D20677" s="5" t="s">
        <v>26323</v>
      </c>
      <c r="E20677" s="6" t="str">
        <f>HYPERLINK("https://inpn.mnhn.fr/espece/cd_nom/115348","Potamogeton x fluitans Roth, 1788")</f>
        <v>Potamogeton x fluitans Roth, 1788</v>
      </c>
      <c r="F20677" s="5" t="s">
        <v>26324</v>
      </c>
      <c r="AH20677" s="4" t="str">
        <f>HYPERLINK("#Statut_biogéographique!A"&amp;_xlfn.XMATCH("P",Statut_biogéographique!A:A,2,1),"P")</f>
        <v>P</v>
      </c>
      <c r="AP20677" s="4" t="s">
        <v>376</v>
      </c>
      <c r="AR20677" s="4" t="s">
        <v>377</v>
      </c>
    </row>
    <row r="20678" spans="1:44" ht="30">
      <c r="A20678" s="4" t="s">
        <v>24364</v>
      </c>
      <c r="B20678" s="4">
        <v>115363</v>
      </c>
      <c r="D20678" s="5" t="s">
        <v>26325</v>
      </c>
      <c r="E20678" s="6" t="str">
        <f>HYPERLINK("https://inpn.mnhn.fr/espece/cd_nom/115363","Potamogeton x nitens Weber, 1787")</f>
        <v>Potamogeton x nitens Weber, 1787</v>
      </c>
      <c r="F20678" s="5" t="s">
        <v>26326</v>
      </c>
      <c r="AH20678" s="4" t="str">
        <f>HYPERLINK("#Statut_biogéographique!A"&amp;_xlfn.XMATCH("P",Statut_biogéographique!A:A,2,1),"P")</f>
        <v>P</v>
      </c>
      <c r="AP20678" s="4" t="s">
        <v>376</v>
      </c>
      <c r="AR20678" s="4" t="s">
        <v>377</v>
      </c>
    </row>
    <row r="20679" spans="1:44">
      <c r="A20679" s="4" t="s">
        <v>24364</v>
      </c>
      <c r="B20679" s="4">
        <v>115371</v>
      </c>
      <c r="D20679" s="5" t="s">
        <v>26327</v>
      </c>
      <c r="E20679" s="6" t="str">
        <f>HYPERLINK("https://inpn.mnhn.fr/espece/cd_nom/115371","Potamogeton x salicifolius Wolfg., 1827")</f>
        <v>Potamogeton x salicifolius Wolfg., 1827</v>
      </c>
      <c r="F20679" s="5" t="s">
        <v>26328</v>
      </c>
      <c r="AH20679" s="4" t="str">
        <f>HYPERLINK("#Statut_biogéographique!A"&amp;_xlfn.XMATCH("P",Statut_biogéographique!A:A,2,1),"P")</f>
        <v>P</v>
      </c>
      <c r="AP20679" s="4" t="s">
        <v>376</v>
      </c>
      <c r="AR20679" s="4" t="s">
        <v>377</v>
      </c>
    </row>
    <row r="20680" spans="1:44" ht="30">
      <c r="A20680" s="4" t="s">
        <v>24364</v>
      </c>
      <c r="B20680" s="4">
        <v>115400</v>
      </c>
      <c r="D20680" s="5" t="s">
        <v>26329</v>
      </c>
      <c r="E20680" s="6" t="str">
        <f>HYPERLINK("https://inpn.mnhn.fr/espece/cd_nom/115400","Potentilla anglica Laichard., 1790")</f>
        <v>Potentilla anglica Laichard., 1790</v>
      </c>
      <c r="F20680" s="5" t="s">
        <v>26330</v>
      </c>
      <c r="Q20680" s="7" t="str">
        <f>HYPERLINK("#Liste_rouge!A"&amp;_xlfn.XMATCH("LC",Liste_rouge!A:A,2,1),"LC")</f>
        <v>LC</v>
      </c>
      <c r="T20680" s="7" t="str">
        <f>HYPERLINK("#Liste_rouge!A"&amp;_xlfn.XMATCH("RE",Liste_rouge!A:A,2,1),"RE")</f>
        <v>RE</v>
      </c>
      <c r="V20680" s="7" t="str">
        <f>HYPERLINK("#Liste_rouge!A"&amp;_xlfn.XMATCH("DD",Liste_rouge!A:A,2,1),"DD")</f>
        <v>DD</v>
      </c>
      <c r="X20680" s="5" t="s">
        <v>374</v>
      </c>
      <c r="AB20680" s="4" t="s">
        <v>93</v>
      </c>
      <c r="AH20680" s="4" t="str">
        <f>HYPERLINK("#Statut_biogéographique!A"&amp;_xlfn.XMATCH("P",Statut_biogéographique!A:A,2,1),"P")</f>
        <v>P</v>
      </c>
      <c r="AM20680" s="4" t="s">
        <v>375</v>
      </c>
      <c r="AN20680" s="4" t="s">
        <v>375</v>
      </c>
      <c r="AO20680" s="4" t="s">
        <v>375</v>
      </c>
      <c r="AP20680" s="4" t="s">
        <v>376</v>
      </c>
      <c r="AR20680" s="4" t="s">
        <v>377</v>
      </c>
    </row>
    <row r="20681" spans="1:44" ht="135">
      <c r="A20681" s="4" t="s">
        <v>24364</v>
      </c>
      <c r="B20681" s="4">
        <v>115407</v>
      </c>
      <c r="D20681" s="5" t="s">
        <v>26331</v>
      </c>
      <c r="E20681" s="6" t="str">
        <f>HYPERLINK("https://inpn.mnhn.fr/espece/cd_nom/115407","Potentilla argentea L., 1753")</f>
        <v>Potentilla argentea L., 1753</v>
      </c>
      <c r="F20681" s="5" t="s">
        <v>26332</v>
      </c>
      <c r="Q20681" s="7" t="str">
        <f>HYPERLINK("#Liste_rouge!A"&amp;_xlfn.XMATCH("DD",Liste_rouge!A:A,2,1),"DD")</f>
        <v>DD</v>
      </c>
      <c r="T20681" s="7" t="str">
        <f>HYPERLINK("#Liste_rouge!A"&amp;_xlfn.XMATCH("LC",Liste_rouge!A:A,2,1),"LC")</f>
        <v>LC</v>
      </c>
      <c r="V20681" s="7" t="str">
        <f>HYPERLINK("#Liste_rouge!A"&amp;_xlfn.XMATCH("LC",Liste_rouge!A:A,2,1),"LC")</f>
        <v>LC</v>
      </c>
      <c r="AB20681" s="4" t="s">
        <v>25106</v>
      </c>
      <c r="AH20681" s="4" t="str">
        <f>HYPERLINK("#Statut_biogéographique!A"&amp;_xlfn.XMATCH("P",Statut_biogéographique!A:A,2,1),"P")</f>
        <v>P</v>
      </c>
      <c r="AM20681" s="4" t="s">
        <v>375</v>
      </c>
      <c r="AN20681" s="4" t="s">
        <v>375</v>
      </c>
      <c r="AO20681" s="4" t="s">
        <v>375</v>
      </c>
      <c r="AP20681" s="4" t="s">
        <v>376</v>
      </c>
      <c r="AR20681" s="4" t="s">
        <v>377</v>
      </c>
    </row>
    <row r="20682" spans="1:44" ht="45">
      <c r="A20682" s="4" t="s">
        <v>24364</v>
      </c>
      <c r="B20682" s="4">
        <v>115414</v>
      </c>
      <c r="D20682" s="5" t="s">
        <v>26333</v>
      </c>
      <c r="E20682" s="6" t="str">
        <f>HYPERLINK("https://inpn.mnhn.fr/espece/cd_nom/115414","Potentilla aurea L., 1756")</f>
        <v>Potentilla aurea L., 1756</v>
      </c>
      <c r="F20682" s="5" t="s">
        <v>26334</v>
      </c>
      <c r="Q20682" s="7" t="str">
        <f>HYPERLINK("#Liste_rouge!A"&amp;_xlfn.XMATCH("LC",Liste_rouge!A:A,2,1),"LC")</f>
        <v>LC</v>
      </c>
      <c r="V20682" s="7" t="str">
        <f>HYPERLINK("#Liste_rouge!A"&amp;_xlfn.XMATCH("VU",Liste_rouge!A:A,2,1),"VU")</f>
        <v>VU</v>
      </c>
      <c r="W20682" s="4" t="str">
        <f>HYPERLINK("#Critères_liste_rouge!A$1","D2")</f>
        <v>D2</v>
      </c>
      <c r="X20682" s="5" t="s">
        <v>374</v>
      </c>
      <c r="AB20682" s="4" t="s">
        <v>93</v>
      </c>
      <c r="AH20682" s="4" t="str">
        <f>HYPERLINK("#Statut_biogéographique!A"&amp;_xlfn.XMATCH("P",Statut_biogéographique!A:A,2,1),"P")</f>
        <v>P</v>
      </c>
      <c r="AM20682" s="4" t="s">
        <v>375</v>
      </c>
      <c r="AN20682" s="4" t="s">
        <v>375</v>
      </c>
      <c r="AO20682" s="4" t="s">
        <v>375</v>
      </c>
      <c r="AP20682" s="4" t="s">
        <v>376</v>
      </c>
      <c r="AR20682" s="4" t="s">
        <v>377</v>
      </c>
    </row>
    <row r="20683" spans="1:44" ht="30">
      <c r="A20683" s="4" t="s">
        <v>24364</v>
      </c>
      <c r="B20683" s="4">
        <v>115431</v>
      </c>
      <c r="D20683" s="5" t="s">
        <v>26335</v>
      </c>
      <c r="E20683" s="6" t="str">
        <f>HYPERLINK("https://inpn.mnhn.fr/espece/cd_nom/115431","Potentilla caulescens L., 1756")</f>
        <v>Potentilla caulescens L., 1756</v>
      </c>
      <c r="F20683" s="5" t="s">
        <v>26336</v>
      </c>
      <c r="M20683" s="4" t="str">
        <f>HYPERLINK("#Réglementation!A"&amp;_xlfn.XMATCH("RV43",Réglementation!A:A,2,1),"RV43")</f>
        <v>RV43</v>
      </c>
      <c r="Q20683" s="7" t="str">
        <f>HYPERLINK("#Liste_rouge!A"&amp;_xlfn.XMATCH("LC",Liste_rouge!A:A,2,1),"LC")</f>
        <v>LC</v>
      </c>
      <c r="V20683" s="7" t="str">
        <f>HYPERLINK("#Liste_rouge!A"&amp;_xlfn.XMATCH("EN",Liste_rouge!A:A,2,1),"EN")</f>
        <v>EN</v>
      </c>
      <c r="W20683" s="4" t="str">
        <f>HYPERLINK("#Critères_liste_rouge!A$1","D")</f>
        <v>D</v>
      </c>
      <c r="AH20683" s="4" t="str">
        <f>HYPERLINK("#Statut_biogéographique!A"&amp;_xlfn.XMATCH("P",Statut_biogéographique!A:A,2,1),"P")</f>
        <v>P</v>
      </c>
      <c r="AP20683" s="4" t="s">
        <v>376</v>
      </c>
      <c r="AR20683" s="4" t="s">
        <v>377</v>
      </c>
    </row>
    <row r="20684" spans="1:44" ht="180">
      <c r="A20684" s="4" t="s">
        <v>24364</v>
      </c>
      <c r="B20684" s="4">
        <v>115449</v>
      </c>
      <c r="D20684" s="5" t="s">
        <v>26337</v>
      </c>
      <c r="E20684" s="6" t="str">
        <f>HYPERLINK("https://inpn.mnhn.fr/espece/cd_nom/115449","Potentilla crantzii (Crantz) Beck ex Fritsch, 1897")</f>
        <v>Potentilla crantzii (Crantz) Beck ex Fritsch, 1897</v>
      </c>
      <c r="F20684" s="5" t="s">
        <v>26338</v>
      </c>
      <c r="Q20684" s="7" t="str">
        <f>HYPERLINK("#Liste_rouge!A"&amp;_xlfn.XMATCH("LC",Liste_rouge!A:A,2,1),"LC")</f>
        <v>LC</v>
      </c>
      <c r="V20684" s="7" t="str">
        <f>HYPERLINK("#Liste_rouge!A"&amp;_xlfn.XMATCH("LC",Liste_rouge!A:A,2,1),"LC")</f>
        <v>LC</v>
      </c>
      <c r="AH20684" s="4" t="str">
        <f>HYPERLINK("#Statut_biogéographique!A"&amp;_xlfn.XMATCH("P",Statut_biogéographique!A:A,2,1),"P")</f>
        <v>P</v>
      </c>
      <c r="AM20684" s="4" t="s">
        <v>375</v>
      </c>
      <c r="AN20684" s="4" t="s">
        <v>375</v>
      </c>
      <c r="AO20684" s="4" t="s">
        <v>375</v>
      </c>
      <c r="AP20684" s="4" t="s">
        <v>376</v>
      </c>
      <c r="AR20684" s="4" t="s">
        <v>377</v>
      </c>
    </row>
    <row r="20685" spans="1:44" ht="105">
      <c r="A20685" s="4" t="s">
        <v>24364</v>
      </c>
      <c r="B20685" s="4">
        <v>115470</v>
      </c>
      <c r="D20685" s="5" t="s">
        <v>26339</v>
      </c>
      <c r="E20685" s="6" t="str">
        <f>HYPERLINK("https://inpn.mnhn.fr/espece/cd_nom/115470","Potentilla erecta (L.) Raeusch., 1797")</f>
        <v>Potentilla erecta (L.) Raeusch., 1797</v>
      </c>
      <c r="F20685" s="5" t="s">
        <v>26340</v>
      </c>
      <c r="P20685" s="7" t="str">
        <f>HYPERLINK("#Liste_rouge!A"&amp;_xlfn.XMATCH("LC",Liste_rouge!A:A,2,1),"LC")</f>
        <v>LC</v>
      </c>
      <c r="Q20685" s="7" t="str">
        <f>HYPERLINK("#Liste_rouge!A"&amp;_xlfn.XMATCH("LC",Liste_rouge!A:A,2,1),"LC")</f>
        <v>LC</v>
      </c>
      <c r="T20685" s="7" t="str">
        <f>HYPERLINK("#Liste_rouge!A"&amp;_xlfn.XMATCH("LC",Liste_rouge!A:A,2,1),"LC (cd_nom 115470) - DD (cd_nom 139274)")</f>
        <v>LC (cd_nom 115470) - DD (cd_nom 139274)</v>
      </c>
      <c r="V20685" s="7" t="str">
        <f>HYPERLINK("#Liste_rouge!A"&amp;_xlfn.XMATCH("LC",Liste_rouge!A:A,2,1),"LC")</f>
        <v>LC</v>
      </c>
      <c r="AH20685" s="4" t="str">
        <f>HYPERLINK("#Statut_biogéographique!A"&amp;_xlfn.XMATCH("P",Statut_biogéographique!A:A,2,1),"P")</f>
        <v>P</v>
      </c>
      <c r="AM20685" s="4" t="s">
        <v>375</v>
      </c>
      <c r="AN20685" s="4" t="s">
        <v>375</v>
      </c>
      <c r="AO20685" s="4" t="s">
        <v>375</v>
      </c>
      <c r="AP20685" s="4" t="s">
        <v>376</v>
      </c>
      <c r="AR20685" s="4" t="s">
        <v>377</v>
      </c>
    </row>
    <row r="20686" spans="1:44" ht="30">
      <c r="A20686" s="4" t="s">
        <v>24364</v>
      </c>
      <c r="B20686" s="4">
        <v>115498</v>
      </c>
      <c r="D20686" s="5" t="s">
        <v>26341</v>
      </c>
      <c r="E20686" s="6" t="str">
        <f>HYPERLINK("https://inpn.mnhn.fr/espece/cd_nom/115498","Potentilla grandiflora L., 1753")</f>
        <v>Potentilla grandiflora L., 1753</v>
      </c>
      <c r="F20686" s="5" t="s">
        <v>26342</v>
      </c>
      <c r="Q20686" s="7" t="str">
        <f>HYPERLINK("#Liste_rouge!A"&amp;_xlfn.XMATCH("LC",Liste_rouge!A:A,2,1),"LC")</f>
        <v>LC</v>
      </c>
      <c r="T20686" s="7" t="str">
        <f>HYPERLINK("#Liste_rouge!A"&amp;_xlfn.XMATCH("NA",Liste_rouge!A:A,2,1),"NA")</f>
        <v>NA</v>
      </c>
      <c r="AH20686" s="4" t="str">
        <f>HYPERLINK("#Statut_biogéographique!A"&amp;_xlfn.XMATCH("P",Statut_biogéographique!A:A,2,1),"P")</f>
        <v>P</v>
      </c>
      <c r="AP20686" s="4" t="s">
        <v>376</v>
      </c>
      <c r="AR20686" s="4" t="s">
        <v>377</v>
      </c>
    </row>
    <row r="20687" spans="1:44" ht="60">
      <c r="A20687" s="4" t="s">
        <v>24364</v>
      </c>
      <c r="B20687" s="4">
        <v>115515</v>
      </c>
      <c r="D20687" s="5" t="s">
        <v>26343</v>
      </c>
      <c r="E20687" s="6" t="str">
        <f>HYPERLINK("https://inpn.mnhn.fr/espece/cd_nom/115515","Potentilla hirta L., 1753")</f>
        <v>Potentilla hirta L., 1753</v>
      </c>
      <c r="F20687" s="5" t="s">
        <v>26344</v>
      </c>
      <c r="Q20687" s="7" t="str">
        <f>HYPERLINK("#Liste_rouge!A"&amp;_xlfn.XMATCH("LC",Liste_rouge!A:A,2,1),"LC")</f>
        <v>LC</v>
      </c>
      <c r="AH20687" s="4" t="str">
        <f>HYPERLINK("#Statut_biogéographique!A"&amp;_xlfn.XMATCH("P",Statut_biogéographique!A:A,2,1),"P")</f>
        <v>P</v>
      </c>
      <c r="AP20687" s="4" t="s">
        <v>376</v>
      </c>
      <c r="AR20687" s="4" t="s">
        <v>377</v>
      </c>
    </row>
    <row r="20688" spans="1:44" ht="90">
      <c r="A20688" s="4" t="s">
        <v>24364</v>
      </c>
      <c r="B20688" s="4">
        <v>115519</v>
      </c>
      <c r="D20688" s="5" t="s">
        <v>26345</v>
      </c>
      <c r="E20688" s="6" t="str">
        <f>HYPERLINK("https://inpn.mnhn.fr/espece/cd_nom/115519","Potentilla inaperta Jord., 1849")</f>
        <v>Potentilla inaperta Jord., 1849</v>
      </c>
      <c r="F20688" s="5" t="s">
        <v>26346</v>
      </c>
      <c r="Q20688" s="7" t="str">
        <f>HYPERLINK("#Liste_rouge!A"&amp;_xlfn.XMATCH("DD",Liste_rouge!A:A,2,1),"DD")</f>
        <v>DD</v>
      </c>
      <c r="T20688" s="7" t="str">
        <f>HYPERLINK("#Liste_rouge!A"&amp;_xlfn.XMATCH("DD",Liste_rouge!A:A,2,1),"DD")</f>
        <v>DD</v>
      </c>
      <c r="AH20688" s="4" t="str">
        <f>HYPERLINK("#Statut_biogéographique!A"&amp;_xlfn.XMATCH("P",Statut_biogéographique!A:A,2,1),"P")</f>
        <v>P</v>
      </c>
      <c r="AP20688" s="4" t="s">
        <v>376</v>
      </c>
      <c r="AR20688" s="4" t="s">
        <v>377</v>
      </c>
    </row>
    <row r="20689" spans="1:44" ht="75">
      <c r="A20689" s="4" t="s">
        <v>24364</v>
      </c>
      <c r="B20689" s="4">
        <v>115526</v>
      </c>
      <c r="D20689" s="5" t="s">
        <v>26347</v>
      </c>
      <c r="E20689" s="6" t="str">
        <f>HYPERLINK("https://inpn.mnhn.fr/espece/cd_nom/115526","Potentilla inclinata Vill., 1788 [nom. cons.]")</f>
        <v>Potentilla inclinata Vill., 1788 [nom. cons.]</v>
      </c>
      <c r="F20689" s="5" t="s">
        <v>26348</v>
      </c>
      <c r="Q20689" s="7" t="str">
        <f>HYPERLINK("#Liste_rouge!A"&amp;_xlfn.XMATCH("LC",Liste_rouge!A:A,2,1),"LC")</f>
        <v>LC</v>
      </c>
      <c r="V20689" s="7" t="str">
        <f>HYPERLINK("#Liste_rouge!A"&amp;_xlfn.XMATCH("DD",Liste_rouge!A:A,2,1),"DD")</f>
        <v>DD</v>
      </c>
      <c r="X20689" s="5" t="s">
        <v>374</v>
      </c>
      <c r="AB20689" s="4" t="s">
        <v>93</v>
      </c>
      <c r="AH20689" s="4" t="str">
        <f>HYPERLINK("#Statut_biogéographique!A"&amp;_xlfn.XMATCH("P",Statut_biogéographique!A:A,2,1),"P")</f>
        <v>P</v>
      </c>
      <c r="AM20689" s="4" t="s">
        <v>375</v>
      </c>
      <c r="AN20689" s="4" t="s">
        <v>375</v>
      </c>
      <c r="AO20689" s="4" t="s">
        <v>375</v>
      </c>
      <c r="AP20689" s="4" t="s">
        <v>376</v>
      </c>
      <c r="AR20689" s="4" t="s">
        <v>377</v>
      </c>
    </row>
    <row r="20690" spans="1:44" ht="30">
      <c r="A20690" s="4" t="s">
        <v>24364</v>
      </c>
      <c r="B20690" s="4">
        <v>115527</v>
      </c>
      <c r="D20690" s="5" t="s">
        <v>26349</v>
      </c>
      <c r="E20690" s="6" t="str">
        <f>HYPERLINK("https://inpn.mnhn.fr/espece/cd_nom/115527","Potentilla indica (Andrews) Th.Wolf, 1904")</f>
        <v>Potentilla indica (Andrews) Th.Wolf, 1904</v>
      </c>
      <c r="F20690" s="5" t="s">
        <v>26350</v>
      </c>
      <c r="Q20690" s="7" t="str">
        <f>HYPERLINK("#Liste_rouge!A"&amp;_xlfn.XMATCH("NA",Liste_rouge!A:A,2,1),"NA")</f>
        <v>NA</v>
      </c>
      <c r="T20690" s="7" t="str">
        <f>HYPERLINK("#Liste_rouge!A"&amp;_xlfn.XMATCH("NA",Liste_rouge!A:A,2,1),"NA")</f>
        <v>NA</v>
      </c>
      <c r="AH20690" s="4" t="str">
        <f>HYPERLINK("#Statut_biogéographique!A"&amp;_xlfn.XMATCH("I",Statut_biogéographique!A:A,2,1),"I")</f>
        <v>I</v>
      </c>
      <c r="AM20690" s="4" t="s">
        <v>375</v>
      </c>
      <c r="AN20690" s="4" t="s">
        <v>375</v>
      </c>
      <c r="AO20690" s="4" t="s">
        <v>375</v>
      </c>
      <c r="AP20690" s="4" t="s">
        <v>376</v>
      </c>
      <c r="AR20690" s="4" t="s">
        <v>377</v>
      </c>
    </row>
    <row r="20691" spans="1:44">
      <c r="A20691" s="4" t="s">
        <v>24364</v>
      </c>
      <c r="B20691" s="4">
        <v>115530</v>
      </c>
      <c r="D20691" s="5" t="s">
        <v>26351</v>
      </c>
      <c r="E20691" s="6" t="str">
        <f>HYPERLINK("https://inpn.mnhn.fr/espece/cd_nom/115530","Potentilla intermedia L., 1767")</f>
        <v>Potentilla intermedia L., 1767</v>
      </c>
      <c r="F20691" s="5" t="s">
        <v>26352</v>
      </c>
      <c r="Q20691" s="7" t="str">
        <f>HYPERLINK("#Liste_rouge!A"&amp;_xlfn.XMATCH("DD",Liste_rouge!A:A,2,1),"DD")</f>
        <v>DD</v>
      </c>
      <c r="AH20691" s="4" t="str">
        <f>HYPERLINK("#Statut_biogéographique!A"&amp;_xlfn.XMATCH("I",Statut_biogéographique!A:A,2,1),"I")</f>
        <v>I</v>
      </c>
      <c r="AM20691" s="4" t="s">
        <v>375</v>
      </c>
      <c r="AN20691" s="4" t="s">
        <v>375</v>
      </c>
      <c r="AO20691" s="4" t="s">
        <v>375</v>
      </c>
      <c r="AP20691" s="4" t="s">
        <v>376</v>
      </c>
      <c r="AR20691" s="4" t="s">
        <v>377</v>
      </c>
    </row>
    <row r="20692" spans="1:44" ht="45">
      <c r="A20692" s="4" t="s">
        <v>24364</v>
      </c>
      <c r="B20692" s="4">
        <v>115554</v>
      </c>
      <c r="D20692" s="5" t="s">
        <v>26353</v>
      </c>
      <c r="E20692" s="6" t="str">
        <f>HYPERLINK("https://inpn.mnhn.fr/espece/cd_nom/115554","Potentilla micrantha Ramond ex DC., 1805")</f>
        <v>Potentilla micrantha Ramond ex DC., 1805</v>
      </c>
      <c r="F20692" s="5" t="s">
        <v>26354</v>
      </c>
      <c r="Q20692" s="7" t="str">
        <f>HYPERLINK("#Liste_rouge!A"&amp;_xlfn.XMATCH("LC",Liste_rouge!A:A,2,1),"LC")</f>
        <v>LC</v>
      </c>
      <c r="T20692" s="7" t="str">
        <f>HYPERLINK("#Liste_rouge!A"&amp;_xlfn.XMATCH("EN",Liste_rouge!A:A,2,1),"EN")</f>
        <v>EN</v>
      </c>
      <c r="U20692" s="4" t="str">
        <f>HYPERLINK("#Critères_liste_rouge!A$1","A2ac")</f>
        <v>A2ac</v>
      </c>
      <c r="V20692" s="7" t="str">
        <f>HYPERLINK("#Liste_rouge!A"&amp;_xlfn.XMATCH("LC",Liste_rouge!A:A,2,1),"LC")</f>
        <v>LC</v>
      </c>
      <c r="AB20692" s="4" t="s">
        <v>26355</v>
      </c>
      <c r="AH20692" s="4" t="str">
        <f>HYPERLINK("#Statut_biogéographique!A"&amp;_xlfn.XMATCH("P",Statut_biogéographique!A:A,2,1),"P")</f>
        <v>P</v>
      </c>
      <c r="AM20692" s="4" t="s">
        <v>375</v>
      </c>
      <c r="AN20692" s="4" t="s">
        <v>375</v>
      </c>
      <c r="AO20692" s="4" t="s">
        <v>375</v>
      </c>
      <c r="AP20692" s="4" t="s">
        <v>376</v>
      </c>
      <c r="AR20692" s="4" t="s">
        <v>377</v>
      </c>
    </row>
    <row r="20693" spans="1:44">
      <c r="A20693" s="4" t="s">
        <v>24364</v>
      </c>
      <c r="B20693" s="4">
        <v>115566</v>
      </c>
      <c r="D20693" s="5" t="s">
        <v>26356</v>
      </c>
      <c r="E20693" s="6" t="str">
        <f>HYPERLINK("https://inpn.mnhn.fr/espece/cd_nom/115566","Potentilla neglecta Baumg., 1816")</f>
        <v>Potentilla neglecta Baumg., 1816</v>
      </c>
      <c r="F20693" s="5" t="s">
        <v>26357</v>
      </c>
      <c r="Q20693" s="7" t="str">
        <f>HYPERLINK("#Liste_rouge!A"&amp;_xlfn.XMATCH("LC",Liste_rouge!A:A,2,1),"LC")</f>
        <v>LC</v>
      </c>
      <c r="AH20693" s="4" t="str">
        <f>HYPERLINK("#Statut_biogéographique!A"&amp;_xlfn.XMATCH("P",Statut_biogéographique!A:A,2,1),"P")</f>
        <v>P</v>
      </c>
      <c r="AM20693" s="4" t="s">
        <v>375</v>
      </c>
      <c r="AN20693" s="4" t="s">
        <v>375</v>
      </c>
      <c r="AO20693" s="4" t="s">
        <v>375</v>
      </c>
      <c r="AP20693" s="4" t="s">
        <v>376</v>
      </c>
      <c r="AR20693" s="4" t="s">
        <v>377</v>
      </c>
    </row>
    <row r="20694" spans="1:44" ht="60">
      <c r="A20694" s="4" t="s">
        <v>24364</v>
      </c>
      <c r="B20694" s="4">
        <v>115575</v>
      </c>
      <c r="D20694" s="5" t="s">
        <v>26358</v>
      </c>
      <c r="E20694" s="6" t="str">
        <f>HYPERLINK("https://inpn.mnhn.fr/espece/cd_nom/115575","Potentilla norvegica L., 1753")</f>
        <v>Potentilla norvegica L., 1753</v>
      </c>
      <c r="F20694" s="5" t="s">
        <v>26359</v>
      </c>
      <c r="Q20694" s="7" t="str">
        <f>HYPERLINK("#Liste_rouge!A"&amp;_xlfn.XMATCH("NA",Liste_rouge!A:A,2,1),"NA")</f>
        <v>NA</v>
      </c>
      <c r="T20694" s="7" t="str">
        <f>HYPERLINK("#Liste_rouge!A"&amp;_xlfn.XMATCH("NA",Liste_rouge!A:A,2,1),"NA")</f>
        <v>NA</v>
      </c>
      <c r="AH20694" s="4" t="str">
        <f>HYPERLINK("#Statut_biogéographique!A"&amp;_xlfn.XMATCH("I",Statut_biogéographique!A:A,2,1),"I")</f>
        <v>I</v>
      </c>
      <c r="AM20694" s="4" t="s">
        <v>375</v>
      </c>
      <c r="AN20694" s="4" t="s">
        <v>375</v>
      </c>
      <c r="AO20694" s="4" t="s">
        <v>375</v>
      </c>
      <c r="AP20694" s="4" t="s">
        <v>376</v>
      </c>
      <c r="AR20694" s="4" t="s">
        <v>377</v>
      </c>
    </row>
    <row r="20695" spans="1:44" ht="45">
      <c r="A20695" s="4" t="s">
        <v>24364</v>
      </c>
      <c r="B20695" s="4">
        <v>115595</v>
      </c>
      <c r="D20695" s="5" t="s">
        <v>26360</v>
      </c>
      <c r="E20695" s="6" t="str">
        <f>HYPERLINK("https://inpn.mnhn.fr/espece/cd_nom/115595","Potentilla pensylvanica L., 1767")</f>
        <v>Potentilla pensylvanica L., 1767</v>
      </c>
      <c r="F20695" s="5" t="s">
        <v>26361</v>
      </c>
      <c r="Q20695" s="7" t="str">
        <f>HYPERLINK("#Liste_rouge!A"&amp;_xlfn.XMATCH("NA",Liste_rouge!A:A,2,1),"NA")</f>
        <v>NA</v>
      </c>
      <c r="T20695" s="7" t="str">
        <f>HYPERLINK("#Liste_rouge!A"&amp;_xlfn.XMATCH("NA",Liste_rouge!A:A,2,1),"NA")</f>
        <v>NA</v>
      </c>
      <c r="AH20695" s="4" t="str">
        <f>HYPERLINK("#Statut_biogéographique!A"&amp;_xlfn.XMATCH("I",Statut_biogéographique!A:A,2,1),"I")</f>
        <v>I</v>
      </c>
      <c r="AP20695" s="4" t="s">
        <v>376</v>
      </c>
      <c r="AR20695" s="4" t="s">
        <v>377</v>
      </c>
    </row>
    <row r="20696" spans="1:44" ht="150">
      <c r="A20696" s="4" t="s">
        <v>24364</v>
      </c>
      <c r="B20696" s="4">
        <v>115620</v>
      </c>
      <c r="D20696" s="5" t="s">
        <v>26362</v>
      </c>
      <c r="E20696" s="6" t="str">
        <f>HYPERLINK("https://inpn.mnhn.fr/espece/cd_nom/115620","Potentilla recta L., 1753")</f>
        <v>Potentilla recta L., 1753</v>
      </c>
      <c r="F20696" s="5" t="s">
        <v>26363</v>
      </c>
      <c r="Q20696" s="7" t="str">
        <f>HYPERLINK("#Liste_rouge!A"&amp;_xlfn.XMATCH("LC",Liste_rouge!A:A,2,1),"LC")</f>
        <v>LC</v>
      </c>
      <c r="T20696" s="7" t="str">
        <f>HYPERLINK("#Liste_rouge!A"&amp;_xlfn.XMATCH("NA",Liste_rouge!A:A,2,1),"NA")</f>
        <v>NA</v>
      </c>
      <c r="AH20696" s="4" t="str">
        <f>HYPERLINK("#Statut_biogéographique!A"&amp;_xlfn.XMATCH("P",Statut_biogéographique!A:A,2,1),"P")</f>
        <v>P</v>
      </c>
      <c r="AM20696" s="4" t="s">
        <v>375</v>
      </c>
      <c r="AN20696" s="4" t="s">
        <v>375</v>
      </c>
      <c r="AO20696" s="4" t="s">
        <v>375</v>
      </c>
      <c r="AP20696" s="4" t="s">
        <v>376</v>
      </c>
      <c r="AR20696" s="4" t="s">
        <v>377</v>
      </c>
    </row>
    <row r="20697" spans="1:44" ht="30">
      <c r="A20697" s="4" t="s">
        <v>24364</v>
      </c>
      <c r="B20697" s="4">
        <v>115624</v>
      </c>
      <c r="D20697" s="5" t="s">
        <v>26364</v>
      </c>
      <c r="E20697" s="6" t="str">
        <f>HYPERLINK("https://inpn.mnhn.fr/espece/cd_nom/115624","Potentilla reptans L., 1753")</f>
        <v>Potentilla reptans L., 1753</v>
      </c>
      <c r="F20697" s="5" t="s">
        <v>26365</v>
      </c>
      <c r="Q20697" s="7" t="str">
        <f>HYPERLINK("#Liste_rouge!A"&amp;_xlfn.XMATCH("LC",Liste_rouge!A:A,2,1),"LC")</f>
        <v>LC</v>
      </c>
      <c r="T20697" s="7" t="str">
        <f>HYPERLINK("#Liste_rouge!A"&amp;_xlfn.XMATCH("LC",Liste_rouge!A:A,2,1),"LC")</f>
        <v>LC</v>
      </c>
      <c r="V20697" s="7" t="str">
        <f>HYPERLINK("#Liste_rouge!A"&amp;_xlfn.XMATCH("LC",Liste_rouge!A:A,2,1),"LC")</f>
        <v>LC</v>
      </c>
      <c r="AH20697" s="4" t="str">
        <f>HYPERLINK("#Statut_biogéographique!A"&amp;_xlfn.XMATCH("P",Statut_biogéographique!A:A,2,1),"P")</f>
        <v>P</v>
      </c>
      <c r="AM20697" s="4" t="s">
        <v>375</v>
      </c>
      <c r="AN20697" s="4" t="s">
        <v>375</v>
      </c>
      <c r="AO20697" s="4" t="s">
        <v>375</v>
      </c>
      <c r="AP20697" s="4" t="s">
        <v>376</v>
      </c>
      <c r="AR20697" s="4" t="s">
        <v>377</v>
      </c>
    </row>
    <row r="20698" spans="1:44" ht="60">
      <c r="A20698" s="4" t="s">
        <v>24364</v>
      </c>
      <c r="B20698" s="4">
        <v>115655</v>
      </c>
      <c r="D20698" s="5" t="s">
        <v>26366</v>
      </c>
      <c r="E20698" s="6" t="str">
        <f>HYPERLINK("https://inpn.mnhn.fr/espece/cd_nom/115655","Potentilla sterilis (L.) Garcke, 1856")</f>
        <v>Potentilla sterilis (L.) Garcke, 1856</v>
      </c>
      <c r="F20698" s="5" t="s">
        <v>26367</v>
      </c>
      <c r="Q20698" s="7" t="str">
        <f>HYPERLINK("#Liste_rouge!A"&amp;_xlfn.XMATCH("LC",Liste_rouge!A:A,2,1),"LC")</f>
        <v>LC</v>
      </c>
      <c r="T20698" s="7" t="str">
        <f>HYPERLINK("#Liste_rouge!A"&amp;_xlfn.XMATCH("LC",Liste_rouge!A:A,2,1),"LC")</f>
        <v>LC</v>
      </c>
      <c r="V20698" s="7" t="str">
        <f>HYPERLINK("#Liste_rouge!A"&amp;_xlfn.XMATCH("LC",Liste_rouge!A:A,2,1),"LC")</f>
        <v>LC</v>
      </c>
      <c r="AH20698" s="4" t="str">
        <f>HYPERLINK("#Statut_biogéographique!A"&amp;_xlfn.XMATCH("P",Statut_biogéographique!A:A,2,1),"P")</f>
        <v>P</v>
      </c>
      <c r="AM20698" s="4" t="s">
        <v>375</v>
      </c>
      <c r="AN20698" s="4" t="s">
        <v>375</v>
      </c>
      <c r="AO20698" s="4" t="s">
        <v>375</v>
      </c>
      <c r="AP20698" s="4" t="s">
        <v>376</v>
      </c>
      <c r="AR20698" s="4" t="s">
        <v>377</v>
      </c>
    </row>
    <row r="20699" spans="1:44" ht="30">
      <c r="A20699" s="4" t="s">
        <v>24364</v>
      </c>
      <c r="B20699" s="4">
        <v>115669</v>
      </c>
      <c r="D20699" s="5" t="s">
        <v>26368</v>
      </c>
      <c r="E20699" s="6" t="str">
        <f>HYPERLINK("https://inpn.mnhn.fr/espece/cd_nom/115669","Potentilla supina L., 1753")</f>
        <v>Potentilla supina L., 1753</v>
      </c>
      <c r="F20699" s="5" t="s">
        <v>26369</v>
      </c>
      <c r="M20699" s="4" t="str">
        <f>HYPERLINK("#Réglementation!A"&amp;_xlfn.XMATCH("RV43",Réglementation!A:A,2,1),"RV43")</f>
        <v>RV43</v>
      </c>
      <c r="O20699" s="7" t="str">
        <f>HYPERLINK("#Liste_rouge!A"&amp;_xlfn.XMATCH("LC",Liste_rouge!A:A,2,1),"LC")</f>
        <v>LC</v>
      </c>
      <c r="Q20699" s="7" t="str">
        <f>HYPERLINK("#Liste_rouge!A"&amp;_xlfn.XMATCH("LC",Liste_rouge!A:A,2,1),"LC")</f>
        <v>LC</v>
      </c>
      <c r="T20699" s="7" t="str">
        <f>HYPERLINK("#Liste_rouge!A"&amp;_xlfn.XMATCH("CR",Liste_rouge!A:A,2,1),"CR")</f>
        <v>CR</v>
      </c>
      <c r="U20699" s="4" t="str">
        <f>HYPERLINK("#Critères_liste_rouge!A$1","C2a(i)")</f>
        <v>C2a(i)</v>
      </c>
      <c r="V20699" s="7" t="str">
        <f>HYPERLINK("#Liste_rouge!A"&amp;_xlfn.XMATCH("CR",Liste_rouge!A:A,2,1),"CR")</f>
        <v>CR</v>
      </c>
      <c r="W20699" s="4" t="str">
        <f>HYPERLINK("#Critères_liste_rouge!A$1","D")</f>
        <v>D</v>
      </c>
      <c r="X20699" s="5" t="s">
        <v>374</v>
      </c>
      <c r="AB20699" s="4" t="s">
        <v>93</v>
      </c>
      <c r="AH20699" s="4" t="str">
        <f>HYPERLINK("#Statut_biogéographique!A"&amp;_xlfn.XMATCH("P",Statut_biogéographique!A:A,2,1),"P")</f>
        <v>P</v>
      </c>
      <c r="AM20699" s="4" t="s">
        <v>375</v>
      </c>
      <c r="AN20699" s="4" t="s">
        <v>375</v>
      </c>
      <c r="AO20699" s="4" t="s">
        <v>375</v>
      </c>
      <c r="AP20699" s="4" t="s">
        <v>376</v>
      </c>
      <c r="AR20699" s="4" t="s">
        <v>377</v>
      </c>
    </row>
    <row r="20700" spans="1:44" ht="45">
      <c r="A20700" s="4" t="s">
        <v>24364</v>
      </c>
      <c r="B20700" s="4">
        <v>115678</v>
      </c>
      <c r="D20700" s="5" t="s">
        <v>26370</v>
      </c>
      <c r="E20700" s="6" t="str">
        <f>HYPERLINK("https://inpn.mnhn.fr/espece/cd_nom/115678","Potentilla thuringiaca Bernh. ex Link, 1822")</f>
        <v>Potentilla thuringiaca Bernh. ex Link, 1822</v>
      </c>
      <c r="F20700" s="5" t="s">
        <v>26371</v>
      </c>
      <c r="Q20700" s="7" t="str">
        <f>HYPERLINK("#Liste_rouge!A"&amp;_xlfn.XMATCH("LC",Liste_rouge!A:A,2,1),"LC")</f>
        <v>LC</v>
      </c>
      <c r="X20700" s="5" t="s">
        <v>374</v>
      </c>
      <c r="AB20700" s="4" t="s">
        <v>93</v>
      </c>
      <c r="AH20700" s="4" t="str">
        <f>HYPERLINK("#Statut_biogéographique!A"&amp;_xlfn.XMATCH("P",Statut_biogéographique!A:A,2,1),"P")</f>
        <v>P</v>
      </c>
      <c r="AM20700" s="4" t="s">
        <v>375</v>
      </c>
      <c r="AN20700" s="4" t="s">
        <v>375</v>
      </c>
      <c r="AO20700" s="4" t="s">
        <v>375</v>
      </c>
      <c r="AP20700" s="4" t="s">
        <v>376</v>
      </c>
      <c r="AR20700" s="4" t="s">
        <v>377</v>
      </c>
    </row>
    <row r="20701" spans="1:44" ht="30">
      <c r="A20701" s="4" t="s">
        <v>24364</v>
      </c>
      <c r="B20701" s="4">
        <v>115693</v>
      </c>
      <c r="D20701" s="5" t="s">
        <v>26372</v>
      </c>
      <c r="E20701" s="6" t="str">
        <f>HYPERLINK("https://inpn.mnhn.fr/espece/cd_nom/115693","Potentilla velutina Lehm., 1835")</f>
        <v>Potentilla velutina Lehm., 1835</v>
      </c>
      <c r="F20701" s="5" t="s">
        <v>26373</v>
      </c>
      <c r="Q20701" s="7" t="str">
        <f>HYPERLINK("#Liste_rouge!A"&amp;_xlfn.XMATCH("LC",Liste_rouge!A:A,2,1),"LC")</f>
        <v>LC</v>
      </c>
      <c r="AH20701" s="4" t="str">
        <f>HYPERLINK("#Statut_biogéographique!A"&amp;_xlfn.XMATCH("P",Statut_biogéographique!A:A,2,1),"P")</f>
        <v>P</v>
      </c>
      <c r="AP20701" s="4" t="s">
        <v>376</v>
      </c>
      <c r="AR20701" s="4" t="s">
        <v>377</v>
      </c>
    </row>
    <row r="20702" spans="1:44" ht="210">
      <c r="A20702" s="4" t="s">
        <v>24364</v>
      </c>
      <c r="B20702" s="4">
        <v>115694</v>
      </c>
      <c r="D20702" s="5" t="s">
        <v>26374</v>
      </c>
      <c r="E20702" s="6" t="str">
        <f>HYPERLINK("https://inpn.mnhn.fr/espece/cd_nom/115694","Potentilla verna L., 1753 [nom. et typ. cons.]")</f>
        <v>Potentilla verna L., 1753 [nom. et typ. cons.]</v>
      </c>
      <c r="F20702" s="5" t="s">
        <v>26375</v>
      </c>
      <c r="Q20702" s="7" t="str">
        <f>HYPERLINK("#Liste_rouge!A"&amp;_xlfn.XMATCH("LC",Liste_rouge!A:A,2,1),"LC")</f>
        <v>LC</v>
      </c>
      <c r="T20702" s="7" t="str">
        <f>HYPERLINK("#Liste_rouge!A"&amp;_xlfn.XMATCH("LC",Liste_rouge!A:A,2,1),"LC")</f>
        <v>LC</v>
      </c>
      <c r="AH20702" s="4" t="str">
        <f>HYPERLINK("#Statut_biogéographique!A"&amp;_xlfn.XMATCH("P",Statut_biogéographique!A:A,2,1),"P")</f>
        <v>P</v>
      </c>
      <c r="AM20702" s="4" t="s">
        <v>375</v>
      </c>
      <c r="AN20702" s="4" t="s">
        <v>375</v>
      </c>
      <c r="AO20702" s="4" t="s">
        <v>375</v>
      </c>
      <c r="AP20702" s="4" t="s">
        <v>376</v>
      </c>
      <c r="AR20702" s="4" t="s">
        <v>377</v>
      </c>
    </row>
    <row r="20703" spans="1:44">
      <c r="A20703" s="4" t="s">
        <v>24364</v>
      </c>
      <c r="B20703" s="4">
        <v>115739</v>
      </c>
      <c r="D20703" s="5" t="s">
        <v>26376</v>
      </c>
      <c r="E20703" s="6" t="str">
        <f>HYPERLINK("https://inpn.mnhn.fr/espece/cd_nom/115739","Potentilla x mixta Nolte ex W.D.J.Koch, 1843")</f>
        <v>Potentilla x mixta Nolte ex W.D.J.Koch, 1843</v>
      </c>
      <c r="F20703" s="5" t="s">
        <v>26377</v>
      </c>
      <c r="AH20703" s="4" t="str">
        <f>HYPERLINK("#Statut_biogéographique!A"&amp;_xlfn.XMATCH("P",Statut_biogéographique!A:A,2,1),"P")</f>
        <v>P</v>
      </c>
      <c r="AP20703" s="4" t="s">
        <v>376</v>
      </c>
      <c r="AR20703" s="4" t="s">
        <v>377</v>
      </c>
    </row>
    <row r="20704" spans="1:44">
      <c r="A20704" s="4" t="s">
        <v>24364</v>
      </c>
      <c r="B20704" s="4">
        <v>115754</v>
      </c>
      <c r="D20704" s="5" t="s">
        <v>26378</v>
      </c>
      <c r="E20704" s="6" t="str">
        <f>HYPERLINK("https://inpn.mnhn.fr/espece/cd_nom/115754","Potentilla x suberecta Zimmeter, 1884")</f>
        <v>Potentilla x suberecta Zimmeter, 1884</v>
      </c>
      <c r="F20704" s="5" t="s">
        <v>26379</v>
      </c>
      <c r="AH20704" s="4" t="str">
        <f>HYPERLINK("#Statut_biogéographique!A"&amp;_xlfn.XMATCH("D",Statut_biogéographique!A:A,2,1),"D")</f>
        <v>D</v>
      </c>
      <c r="AP20704" s="4" t="s">
        <v>376</v>
      </c>
      <c r="AR20704" s="4" t="s">
        <v>377</v>
      </c>
    </row>
    <row r="20705" spans="1:44" ht="45">
      <c r="A20705" s="4" t="s">
        <v>24364</v>
      </c>
      <c r="B20705" s="4">
        <v>115789</v>
      </c>
      <c r="D20705" s="5" t="s">
        <v>26380</v>
      </c>
      <c r="E20705" s="6" t="str">
        <f>HYPERLINK("https://inpn.mnhn.fr/espece/cd_nom/115789","Poterium sanguisorba L., 1753")</f>
        <v>Poterium sanguisorba L., 1753</v>
      </c>
      <c r="F20705" s="5" t="s">
        <v>26381</v>
      </c>
      <c r="Q20705" s="7" t="str">
        <f>HYPERLINK("#Liste_rouge!A"&amp;_xlfn.XMATCH("LC",Liste_rouge!A:A,2,1),"LC")</f>
        <v>LC</v>
      </c>
      <c r="T20705" s="7" t="str">
        <f>HYPERLINK("#Liste_rouge!A"&amp;_xlfn.XMATCH("LC",Liste_rouge!A:A,2,1),"LC")</f>
        <v>LC</v>
      </c>
      <c r="V20705" s="7" t="str">
        <f>HYPERLINK("#Liste_rouge!A"&amp;_xlfn.XMATCH("LC",Liste_rouge!A:A,2,1),"LC")</f>
        <v>LC</v>
      </c>
      <c r="AH20705" s="4" t="str">
        <f>HYPERLINK("#Statut_biogéographique!A"&amp;_xlfn.XMATCH("P",Statut_biogéographique!A:A,2,1),"P")</f>
        <v>P</v>
      </c>
      <c r="AM20705" s="4" t="s">
        <v>375</v>
      </c>
      <c r="AN20705" s="4" t="s">
        <v>375</v>
      </c>
      <c r="AO20705" s="4" t="s">
        <v>375</v>
      </c>
      <c r="AP20705" s="4" t="s">
        <v>376</v>
      </c>
      <c r="AR20705" s="4" t="s">
        <v>377</v>
      </c>
    </row>
    <row r="20706" spans="1:44" ht="30">
      <c r="A20706" s="4" t="s">
        <v>24364</v>
      </c>
      <c r="B20706" s="4">
        <v>115813</v>
      </c>
      <c r="D20706" s="5" t="s">
        <v>26382</v>
      </c>
      <c r="E20706" s="6" t="str">
        <f>HYPERLINK("https://inpn.mnhn.fr/espece/cd_nom/115813","Prenanthes purpurea L., 1753")</f>
        <v>Prenanthes purpurea L., 1753</v>
      </c>
      <c r="F20706" s="5" t="s">
        <v>26383</v>
      </c>
      <c r="M20706" s="4" t="str">
        <f>HYPERLINK("#Réglementation!A"&amp;_xlfn.XMATCH("RV26",Réglementation!A:A,2,1),"RV26")</f>
        <v>RV26</v>
      </c>
      <c r="Q20706" s="7" t="str">
        <f>HYPERLINK("#Liste_rouge!A"&amp;_xlfn.XMATCH("LC",Liste_rouge!A:A,2,1),"LC")</f>
        <v>LC</v>
      </c>
      <c r="T20706" s="7" t="str">
        <f>HYPERLINK("#Liste_rouge!A"&amp;_xlfn.XMATCH("VU",Liste_rouge!A:A,2,1),"VU")</f>
        <v>VU</v>
      </c>
      <c r="U20706" s="4" t="str">
        <f>HYPERLINK("#Critères_liste_rouge!A$1","C2a(i) D2")</f>
        <v>C2a(i) D2</v>
      </c>
      <c r="V20706" s="7" t="str">
        <f>HYPERLINK("#Liste_rouge!A"&amp;_xlfn.XMATCH("LC",Liste_rouge!A:A,2,1),"LC")</f>
        <v>LC</v>
      </c>
      <c r="AB20706" s="4" t="s">
        <v>24486</v>
      </c>
      <c r="AH20706" s="4" t="str">
        <f>HYPERLINK("#Statut_biogéographique!A"&amp;_xlfn.XMATCH("P",Statut_biogéographique!A:A,2,1),"P")</f>
        <v>P</v>
      </c>
      <c r="AM20706" s="4" t="s">
        <v>375</v>
      </c>
      <c r="AN20706" s="4" t="s">
        <v>375</v>
      </c>
      <c r="AO20706" s="4" t="s">
        <v>375</v>
      </c>
      <c r="AP20706" s="4" t="s">
        <v>376</v>
      </c>
      <c r="AR20706" s="4" t="s">
        <v>377</v>
      </c>
    </row>
    <row r="20707" spans="1:44" ht="30">
      <c r="A20707" s="4" t="s">
        <v>24364</v>
      </c>
      <c r="B20707" s="4">
        <v>115865</v>
      </c>
      <c r="D20707" s="5" t="s">
        <v>26384</v>
      </c>
      <c r="E20707" s="6" t="str">
        <f>HYPERLINK("https://inpn.mnhn.fr/espece/cd_nom/115865","Primula elatior (L.) Hill, 1765")</f>
        <v>Primula elatior (L.) Hill, 1765</v>
      </c>
      <c r="F20707" s="5" t="s">
        <v>26385</v>
      </c>
      <c r="P20707" s="7" t="str">
        <f>HYPERLINK("#Liste_rouge!A"&amp;_xlfn.XMATCH("LC",Liste_rouge!A:A,2,1),"LC")</f>
        <v>LC</v>
      </c>
      <c r="Q20707" s="7" t="str">
        <f>HYPERLINK("#Liste_rouge!A"&amp;_xlfn.XMATCH("LC",Liste_rouge!A:A,2,1),"LC")</f>
        <v>LC</v>
      </c>
      <c r="T20707" s="7" t="str">
        <f>HYPERLINK("#Liste_rouge!A"&amp;_xlfn.XMATCH("LC",Liste_rouge!A:A,2,1),"LC")</f>
        <v>LC</v>
      </c>
      <c r="V20707" s="7" t="str">
        <f>HYPERLINK("#Liste_rouge!A"&amp;_xlfn.XMATCH("LC",Liste_rouge!A:A,2,1),"LC")</f>
        <v>LC</v>
      </c>
      <c r="AH20707" s="4" t="str">
        <f>HYPERLINK("#Statut_biogéographique!A"&amp;_xlfn.XMATCH("P",Statut_biogéographique!A:A,2,1),"P")</f>
        <v>P</v>
      </c>
      <c r="AM20707" s="4" t="s">
        <v>375</v>
      </c>
      <c r="AN20707" s="4" t="s">
        <v>375</v>
      </c>
      <c r="AO20707" s="4" t="s">
        <v>375</v>
      </c>
      <c r="AP20707" s="4" t="s">
        <v>376</v>
      </c>
      <c r="AR20707" s="4" t="s">
        <v>377</v>
      </c>
    </row>
    <row r="20708" spans="1:44" ht="30">
      <c r="A20708" s="4" t="s">
        <v>24364</v>
      </c>
      <c r="B20708" s="4">
        <v>115868</v>
      </c>
      <c r="D20708" s="5" t="s">
        <v>26386</v>
      </c>
      <c r="E20708" s="6" t="str">
        <f>HYPERLINK("https://inpn.mnhn.fr/espece/cd_nom/115868","Primula farinosa L., 1753")</f>
        <v>Primula farinosa L., 1753</v>
      </c>
      <c r="F20708" s="5" t="s">
        <v>26387</v>
      </c>
      <c r="P20708" s="7" t="str">
        <f>HYPERLINK("#Liste_rouge!A"&amp;_xlfn.XMATCH("LC",Liste_rouge!A:A,2,1),"LC")</f>
        <v>LC</v>
      </c>
      <c r="Q20708" s="7" t="str">
        <f>HYPERLINK("#Liste_rouge!A"&amp;_xlfn.XMATCH("LC",Liste_rouge!A:A,2,1),"LC")</f>
        <v>LC</v>
      </c>
      <c r="V20708" s="7" t="str">
        <f>HYPERLINK("#Liste_rouge!A"&amp;_xlfn.XMATCH("LC",Liste_rouge!A:A,2,1),"LC")</f>
        <v>LC</v>
      </c>
      <c r="AH20708" s="4" t="str">
        <f>HYPERLINK("#Statut_biogéographique!A"&amp;_xlfn.XMATCH("P",Statut_biogéographique!A:A,2,1),"P")</f>
        <v>P</v>
      </c>
      <c r="AM20708" s="4" t="s">
        <v>375</v>
      </c>
      <c r="AN20708" s="4" t="s">
        <v>375</v>
      </c>
      <c r="AO20708" s="4" t="s">
        <v>375</v>
      </c>
      <c r="AP20708" s="4" t="s">
        <v>376</v>
      </c>
      <c r="AR20708" s="4" t="s">
        <v>377</v>
      </c>
    </row>
    <row r="20709" spans="1:44">
      <c r="A20709" s="4" t="s">
        <v>24364</v>
      </c>
      <c r="B20709" s="4">
        <v>115891</v>
      </c>
      <c r="D20709" s="5" t="s">
        <v>26388</v>
      </c>
      <c r="E20709" s="6" t="str">
        <f>HYPERLINK("https://inpn.mnhn.fr/espece/cd_nom/115891","Primula lutea Vill., 1787")</f>
        <v>Primula lutea Vill., 1787</v>
      </c>
      <c r="F20709" s="5" t="s">
        <v>26389</v>
      </c>
      <c r="L20709" s="4" t="str">
        <f>HYPERLINK("#Réglementation!A"&amp;_xlfn.XMATCH("NV1",Réglementation!A:A,2,1),"NV1")</f>
        <v>NV1</v>
      </c>
      <c r="Q20709" s="7" t="str">
        <f>HYPERLINK("#Liste_rouge!A"&amp;_xlfn.XMATCH("LC",Liste_rouge!A:A,2,1),"LC")</f>
        <v>LC</v>
      </c>
      <c r="V20709" s="7" t="str">
        <f>HYPERLINK("#Liste_rouge!A"&amp;_xlfn.XMATCH("VU",Liste_rouge!A:A,2,1),"VU")</f>
        <v>VU</v>
      </c>
      <c r="W20709" s="4" t="str">
        <f>HYPERLINK("#Critères_liste_rouge!A$1","D2")</f>
        <v>D2</v>
      </c>
      <c r="X20709" s="5" t="s">
        <v>374</v>
      </c>
      <c r="AB20709" s="4" t="s">
        <v>93</v>
      </c>
      <c r="AH20709" s="4" t="str">
        <f>HYPERLINK("#Statut_biogéographique!A"&amp;_xlfn.XMATCH("P",Statut_biogéographique!A:A,2,1),"P")</f>
        <v>P</v>
      </c>
      <c r="AM20709" s="4" t="s">
        <v>375</v>
      </c>
      <c r="AN20709" s="4" t="s">
        <v>375</v>
      </c>
      <c r="AO20709" s="4" t="s">
        <v>375</v>
      </c>
      <c r="AP20709" s="4" t="s">
        <v>376</v>
      </c>
      <c r="AR20709" s="4" t="s">
        <v>377</v>
      </c>
    </row>
    <row r="20710" spans="1:44" ht="30">
      <c r="A20710" s="4" t="s">
        <v>24364</v>
      </c>
      <c r="B20710" s="4">
        <v>115918</v>
      </c>
      <c r="D20710" s="5" t="s">
        <v>26390</v>
      </c>
      <c r="E20710" s="6" t="str">
        <f>HYPERLINK("https://inpn.mnhn.fr/espece/cd_nom/115918","Primula veris L., 1753")</f>
        <v>Primula veris L., 1753</v>
      </c>
      <c r="F20710" s="5" t="s">
        <v>26391</v>
      </c>
      <c r="P20710" s="7" t="str">
        <f>HYPERLINK("#Liste_rouge!A"&amp;_xlfn.XMATCH("LC",Liste_rouge!A:A,2,1),"LC")</f>
        <v>LC</v>
      </c>
      <c r="Q20710" s="7" t="str">
        <f>HYPERLINK("#Liste_rouge!A"&amp;_xlfn.XMATCH("LC",Liste_rouge!A:A,2,1),"LC")</f>
        <v>LC</v>
      </c>
      <c r="T20710" s="7" t="str">
        <f>HYPERLINK("#Liste_rouge!A"&amp;_xlfn.XMATCH("LC",Liste_rouge!A:A,2,1),"LC")</f>
        <v>LC</v>
      </c>
      <c r="V20710" s="7" t="str">
        <f>HYPERLINK("#Liste_rouge!A"&amp;_xlfn.XMATCH("LC",Liste_rouge!A:A,2,1),"LC")</f>
        <v>LC</v>
      </c>
      <c r="AH20710" s="4" t="str">
        <f>HYPERLINK("#Statut_biogéographique!A"&amp;_xlfn.XMATCH("P",Statut_biogéographique!A:A,2,1),"P")</f>
        <v>P</v>
      </c>
      <c r="AM20710" s="4" t="s">
        <v>375</v>
      </c>
      <c r="AN20710" s="4" t="s">
        <v>375</v>
      </c>
      <c r="AO20710" s="4" t="s">
        <v>375</v>
      </c>
      <c r="AP20710" s="4" t="s">
        <v>376</v>
      </c>
      <c r="AR20710" s="4" t="s">
        <v>377</v>
      </c>
    </row>
    <row r="20711" spans="1:44" ht="30">
      <c r="A20711" s="4" t="s">
        <v>24364</v>
      </c>
      <c r="B20711" s="4">
        <v>115925</v>
      </c>
      <c r="D20711" s="5" t="s">
        <v>26392</v>
      </c>
      <c r="E20711" s="6" t="str">
        <f>HYPERLINK("https://inpn.mnhn.fr/espece/cd_nom/115925","Primula vulgaris Huds., 1762")</f>
        <v>Primula vulgaris Huds., 1762</v>
      </c>
      <c r="F20711" s="5" t="s">
        <v>26393</v>
      </c>
      <c r="Q20711" s="7" t="str">
        <f>HYPERLINK("#Liste_rouge!A"&amp;_xlfn.XMATCH("LC",Liste_rouge!A:A,2,1),"LC")</f>
        <v>LC</v>
      </c>
      <c r="T20711" s="7" t="str">
        <f>HYPERLINK("#Liste_rouge!A"&amp;_xlfn.XMATCH("NE",Liste_rouge!A:A,2,1),"NE")</f>
        <v>NE</v>
      </c>
      <c r="V20711" s="7" t="str">
        <f>HYPERLINK("#Liste_rouge!A"&amp;_xlfn.XMATCH("LC",Liste_rouge!A:A,2,1),"LC")</f>
        <v>LC</v>
      </c>
      <c r="AH20711" s="4" t="str">
        <f>HYPERLINK("#Statut_biogéographique!A"&amp;_xlfn.XMATCH("P",Statut_biogéographique!A:A,2,1),"P")</f>
        <v>P</v>
      </c>
      <c r="AM20711" s="4" t="s">
        <v>375</v>
      </c>
      <c r="AN20711" s="4" t="s">
        <v>375</v>
      </c>
      <c r="AO20711" s="4" t="s">
        <v>375</v>
      </c>
      <c r="AP20711" s="4" t="s">
        <v>376</v>
      </c>
      <c r="AR20711" s="4" t="s">
        <v>377</v>
      </c>
    </row>
    <row r="20712" spans="1:44">
      <c r="A20712" s="4" t="s">
        <v>24364</v>
      </c>
      <c r="B20712" s="4">
        <v>115927</v>
      </c>
      <c r="D20712" s="5">
        <v>115927</v>
      </c>
      <c r="E20712" s="6" t="str">
        <f>HYPERLINK("https://inpn.mnhn.fr/espece/cd_nom/115927","Primula x anglica Pax, 1889")</f>
        <v>Primula x anglica Pax, 1889</v>
      </c>
      <c r="F20712" s="5" t="s">
        <v>26394</v>
      </c>
      <c r="T20712" s="7" t="str">
        <f>HYPERLINK("#Liste_rouge!A"&amp;_xlfn.XMATCH("DD",Liste_rouge!A:A,2,1),"DD")</f>
        <v>DD</v>
      </c>
      <c r="AH20712" s="4" t="str">
        <f>HYPERLINK("#Statut_biogéographique!A"&amp;_xlfn.XMATCH("P",Statut_biogéographique!A:A,2,1),"P")</f>
        <v>P</v>
      </c>
      <c r="AP20712" s="4" t="s">
        <v>376</v>
      </c>
      <c r="AR20712" s="4" t="s">
        <v>377</v>
      </c>
    </row>
    <row r="20713" spans="1:44">
      <c r="A20713" s="4" t="s">
        <v>24364</v>
      </c>
      <c r="B20713" s="4">
        <v>115938</v>
      </c>
      <c r="D20713" s="5" t="s">
        <v>26395</v>
      </c>
      <c r="E20713" s="6" t="str">
        <f>HYPERLINK("https://inpn.mnhn.fr/espece/cd_nom/115938","Primula x digenea A.Kern., 1875")</f>
        <v>Primula x digenea A.Kern., 1875</v>
      </c>
      <c r="F20713" s="5" t="s">
        <v>26396</v>
      </c>
      <c r="AH20713" s="4" t="str">
        <f>HYPERLINK("#Statut_biogéographique!A"&amp;_xlfn.XMATCH("P",Statut_biogéographique!A:A,2,1),"P")</f>
        <v>P</v>
      </c>
      <c r="AP20713" s="4" t="s">
        <v>376</v>
      </c>
      <c r="AR20713" s="4" t="s">
        <v>377</v>
      </c>
    </row>
    <row r="20714" spans="1:44" ht="30">
      <c r="A20714" s="4" t="s">
        <v>24364</v>
      </c>
      <c r="B20714" s="4">
        <v>115949</v>
      </c>
      <c r="D20714" s="5" t="s">
        <v>26397</v>
      </c>
      <c r="E20714" s="6" t="str">
        <f>HYPERLINK("https://inpn.mnhn.fr/espece/cd_nom/115949","Primula x media Peterm., 1838")</f>
        <v>Primula x media Peterm., 1838</v>
      </c>
      <c r="F20714" s="5" t="s">
        <v>26398</v>
      </c>
      <c r="T20714" s="7" t="str">
        <f>HYPERLINK("#Liste_rouge!A"&amp;_xlfn.XMATCH("DD",Liste_rouge!A:A,2,1),"DD")</f>
        <v>DD</v>
      </c>
      <c r="AH20714" s="4" t="str">
        <f>HYPERLINK("#Statut_biogéographique!A"&amp;_xlfn.XMATCH("P",Statut_biogéographique!A:A,2,1),"P")</f>
        <v>P</v>
      </c>
      <c r="AP20714" s="4" t="s">
        <v>376</v>
      </c>
      <c r="AR20714" s="4" t="s">
        <v>377</v>
      </c>
    </row>
    <row r="20715" spans="1:44" ht="45">
      <c r="A20715" s="4" t="s">
        <v>24364</v>
      </c>
      <c r="B20715" s="4">
        <v>115953</v>
      </c>
      <c r="D20715" s="5" t="s">
        <v>26399</v>
      </c>
      <c r="E20715" s="6" t="str">
        <f>HYPERLINK("https://inpn.mnhn.fr/espece/cd_nom/115953","Primula x polyantha Mill., 1768")</f>
        <v>Primula x polyantha Mill., 1768</v>
      </c>
      <c r="F20715" s="5" t="s">
        <v>26400</v>
      </c>
      <c r="AH20715" s="4" t="str">
        <f>HYPERLINK("#Statut_biogéographique!A"&amp;_xlfn.XMATCH("P",Statut_biogéographique!A:A,2,1),"P")</f>
        <v>P</v>
      </c>
      <c r="AP20715" s="4" t="s">
        <v>376</v>
      </c>
      <c r="AR20715" s="4" t="s">
        <v>377</v>
      </c>
    </row>
    <row r="20716" spans="1:44" ht="45">
      <c r="A20716" s="4" t="s">
        <v>24364</v>
      </c>
      <c r="B20716" s="4">
        <v>115975</v>
      </c>
      <c r="D20716" s="5" t="s">
        <v>26401</v>
      </c>
      <c r="E20716" s="6" t="str">
        <f>HYPERLINK("https://inpn.mnhn.fr/espece/cd_nom/115975","Prospero autumnale (L.) Speta, 1982")</f>
        <v>Prospero autumnale (L.) Speta, 1982</v>
      </c>
      <c r="F20716" s="5" t="s">
        <v>26402</v>
      </c>
      <c r="Q20716" s="7" t="str">
        <f>HYPERLINK("#Liste_rouge!A"&amp;_xlfn.XMATCH("LC",Liste_rouge!A:A,2,1),"LC")</f>
        <v>LC</v>
      </c>
      <c r="T20716" s="7" t="str">
        <f>HYPERLINK("#Liste_rouge!A"&amp;_xlfn.XMATCH("NT",Liste_rouge!A:A,2,1),"NT")</f>
        <v>NT</v>
      </c>
      <c r="U20716" s="4" t="str">
        <f>HYPERLINK("#Critères_liste_rouge!A$1","VU (A2ac) - 1")</f>
        <v>VU (A2ac) - 1</v>
      </c>
      <c r="AB20716" s="4" t="s">
        <v>25854</v>
      </c>
      <c r="AH20716" s="4" t="str">
        <f>HYPERLINK("#Statut_biogéographique!A"&amp;_xlfn.XMATCH("P",Statut_biogéographique!A:A,2,1),"P")</f>
        <v>P</v>
      </c>
      <c r="AM20716" s="4" t="s">
        <v>375</v>
      </c>
      <c r="AN20716" s="4" t="s">
        <v>375</v>
      </c>
      <c r="AO20716" s="4" t="s">
        <v>375</v>
      </c>
      <c r="AP20716" s="4" t="s">
        <v>376</v>
      </c>
      <c r="AR20716" s="4" t="s">
        <v>377</v>
      </c>
    </row>
    <row r="20717" spans="1:44" ht="30">
      <c r="A20717" s="4" t="s">
        <v>24364</v>
      </c>
      <c r="B20717" s="4">
        <v>115993</v>
      </c>
      <c r="D20717" s="5" t="s">
        <v>26403</v>
      </c>
      <c r="E20717" s="6" t="str">
        <f>HYPERLINK("https://inpn.mnhn.fr/espece/cd_nom/115993","Prunella grandiflora (L.) Scholler, 1775")</f>
        <v>Prunella grandiflora (L.) Scholler, 1775</v>
      </c>
      <c r="F20717" s="5" t="s">
        <v>26404</v>
      </c>
      <c r="Q20717" s="7" t="str">
        <f>HYPERLINK("#Liste_rouge!A"&amp;_xlfn.XMATCH("LC",Liste_rouge!A:A,2,1),"LC")</f>
        <v>LC</v>
      </c>
      <c r="T20717" s="7" t="str">
        <f>HYPERLINK("#Liste_rouge!A"&amp;_xlfn.XMATCH("LC",Liste_rouge!A:A,2,1),"LC")</f>
        <v>LC</v>
      </c>
      <c r="V20717" s="7" t="str">
        <f>HYPERLINK("#Liste_rouge!A"&amp;_xlfn.XMATCH("LC",Liste_rouge!A:A,2,1),"LC")</f>
        <v>LC</v>
      </c>
      <c r="AH20717" s="4" t="str">
        <f>HYPERLINK("#Statut_biogéographique!A"&amp;_xlfn.XMATCH("P",Statut_biogéographique!A:A,2,1),"P")</f>
        <v>P</v>
      </c>
      <c r="AM20717" s="4" t="s">
        <v>375</v>
      </c>
      <c r="AN20717" s="4" t="s">
        <v>375</v>
      </c>
      <c r="AO20717" s="4" t="s">
        <v>375</v>
      </c>
      <c r="AP20717" s="4" t="s">
        <v>376</v>
      </c>
      <c r="AR20717" s="4" t="s">
        <v>377</v>
      </c>
    </row>
    <row r="20718" spans="1:44" ht="45">
      <c r="A20718" s="4" t="s">
        <v>24364</v>
      </c>
      <c r="B20718" s="4">
        <v>115998</v>
      </c>
      <c r="D20718" s="5" t="s">
        <v>26405</v>
      </c>
      <c r="E20718" s="6" t="str">
        <f>HYPERLINK("https://inpn.mnhn.fr/espece/cd_nom/115998","Prunella laciniata (L.) L., 1763")</f>
        <v>Prunella laciniata (L.) L., 1763</v>
      </c>
      <c r="F20718" s="5" t="s">
        <v>26406</v>
      </c>
      <c r="Q20718" s="7" t="str">
        <f>HYPERLINK("#Liste_rouge!A"&amp;_xlfn.XMATCH("LC",Liste_rouge!A:A,2,1),"LC")</f>
        <v>LC</v>
      </c>
      <c r="T20718" s="7" t="str">
        <f>HYPERLINK("#Liste_rouge!A"&amp;_xlfn.XMATCH("LC",Liste_rouge!A:A,2,1),"LC")</f>
        <v>LC</v>
      </c>
      <c r="V20718" s="7" t="str">
        <f>HYPERLINK("#Liste_rouge!A"&amp;_xlfn.XMATCH("LC",Liste_rouge!A:A,2,1),"LC")</f>
        <v>LC</v>
      </c>
      <c r="AH20718" s="4" t="str">
        <f>HYPERLINK("#Statut_biogéographique!A"&amp;_xlfn.XMATCH("P",Statut_biogéographique!A:A,2,1),"P")</f>
        <v>P</v>
      </c>
      <c r="AM20718" s="4" t="s">
        <v>375</v>
      </c>
      <c r="AN20718" s="4" t="s">
        <v>375</v>
      </c>
      <c r="AO20718" s="4" t="s">
        <v>375</v>
      </c>
      <c r="AP20718" s="4" t="s">
        <v>376</v>
      </c>
      <c r="AR20718" s="4" t="s">
        <v>377</v>
      </c>
    </row>
    <row r="20719" spans="1:44" ht="60">
      <c r="A20719" s="4" t="s">
        <v>24364</v>
      </c>
      <c r="B20719" s="4">
        <v>116012</v>
      </c>
      <c r="D20719" s="5" t="s">
        <v>26407</v>
      </c>
      <c r="E20719" s="6" t="str">
        <f>HYPERLINK("https://inpn.mnhn.fr/espece/cd_nom/116012","Prunella vulgaris L., 1753")</f>
        <v>Prunella vulgaris L., 1753</v>
      </c>
      <c r="F20719" s="5" t="s">
        <v>26408</v>
      </c>
      <c r="O20719" s="7" t="str">
        <f>HYPERLINK("#Liste_rouge!A"&amp;_xlfn.XMATCH("LC",Liste_rouge!A:A,2,1),"LC")</f>
        <v>LC</v>
      </c>
      <c r="P20719" s="7" t="str">
        <f>HYPERLINK("#Liste_rouge!A"&amp;_xlfn.XMATCH("LC",Liste_rouge!A:A,2,1),"LC")</f>
        <v>LC</v>
      </c>
      <c r="Q20719" s="7" t="str">
        <f>HYPERLINK("#Liste_rouge!A"&amp;_xlfn.XMATCH("LC",Liste_rouge!A:A,2,1),"LC")</f>
        <v>LC</v>
      </c>
      <c r="T20719" s="7" t="str">
        <f>HYPERLINK("#Liste_rouge!A"&amp;_xlfn.XMATCH("LC",Liste_rouge!A:A,2,1),"LC")</f>
        <v>LC</v>
      </c>
      <c r="V20719" s="7" t="str">
        <f>HYPERLINK("#Liste_rouge!A"&amp;_xlfn.XMATCH("LC",Liste_rouge!A:A,2,1),"LC")</f>
        <v>LC</v>
      </c>
      <c r="AH20719" s="4" t="str">
        <f>HYPERLINK("#Statut_biogéographique!A"&amp;_xlfn.XMATCH("P",Statut_biogéographique!A:A,2,1),"P")</f>
        <v>P</v>
      </c>
      <c r="AM20719" s="4" t="s">
        <v>375</v>
      </c>
      <c r="AN20719" s="4" t="s">
        <v>375</v>
      </c>
      <c r="AO20719" s="4" t="s">
        <v>375</v>
      </c>
      <c r="AP20719" s="4" t="s">
        <v>376</v>
      </c>
      <c r="AR20719" s="4" t="s">
        <v>377</v>
      </c>
    </row>
    <row r="20720" spans="1:44">
      <c r="A20720" s="4" t="s">
        <v>24364</v>
      </c>
      <c r="B20720" s="4">
        <v>116017</v>
      </c>
      <c r="D20720" s="5" t="s">
        <v>26409</v>
      </c>
      <c r="E20720" s="6" t="str">
        <f>HYPERLINK("https://inpn.mnhn.fr/espece/cd_nom/116017","Prunella x dissecta Wender., 1831")</f>
        <v>Prunella x dissecta Wender., 1831</v>
      </c>
      <c r="F20720" s="5" t="s">
        <v>26410</v>
      </c>
      <c r="T20720" s="7" t="str">
        <f>HYPERLINK("#Liste_rouge!A"&amp;_xlfn.XMATCH("DD",Liste_rouge!A:A,2,1),"DD")</f>
        <v>DD</v>
      </c>
      <c r="AH20720" s="4" t="str">
        <f>HYPERLINK("#Statut_biogéographique!A"&amp;_xlfn.XMATCH("P",Statut_biogéographique!A:A,2,1),"P")</f>
        <v>P</v>
      </c>
      <c r="AP20720" s="4" t="s">
        <v>376</v>
      </c>
      <c r="AR20720" s="4" t="s">
        <v>377</v>
      </c>
    </row>
    <row r="20721" spans="1:44">
      <c r="A20721" s="4" t="s">
        <v>24364</v>
      </c>
      <c r="B20721" s="4">
        <v>116022</v>
      </c>
      <c r="D20721" s="5" t="s">
        <v>26411</v>
      </c>
      <c r="E20721" s="6" t="str">
        <f>HYPERLINK("https://inpn.mnhn.fr/espece/cd_nom/116022","Prunella x intermedia Link, 1791")</f>
        <v>Prunella x intermedia Link, 1791</v>
      </c>
      <c r="F20721" s="5" t="s">
        <v>26412</v>
      </c>
      <c r="T20721" s="7" t="str">
        <f>HYPERLINK("#Liste_rouge!A"&amp;_xlfn.XMATCH("DD",Liste_rouge!A:A,2,1),"DD")</f>
        <v>DD</v>
      </c>
      <c r="AH20721" s="4" t="str">
        <f>HYPERLINK("#Statut_biogéographique!A"&amp;_xlfn.XMATCH("P",Statut_biogéographique!A:A,2,1),"P")</f>
        <v>P</v>
      </c>
      <c r="AP20721" s="4" t="s">
        <v>376</v>
      </c>
      <c r="AR20721" s="4" t="s">
        <v>377</v>
      </c>
    </row>
    <row r="20722" spans="1:44">
      <c r="A20722" s="4" t="s">
        <v>24364</v>
      </c>
      <c r="B20722" s="4">
        <v>116023</v>
      </c>
      <c r="D20722" s="5">
        <v>116023</v>
      </c>
      <c r="E20722" s="6" t="str">
        <f>HYPERLINK("https://inpn.mnhn.fr/espece/cd_nom/116023","Prunella x spuria Stapf, 1886")</f>
        <v>Prunella x spuria Stapf, 1886</v>
      </c>
      <c r="F20722" s="5" t="s">
        <v>26413</v>
      </c>
      <c r="AH20722" s="4" t="str">
        <f>HYPERLINK("#Statut_biogéographique!A"&amp;_xlfn.XMATCH("P",Statut_biogéographique!A:A,2,1),"P")</f>
        <v>P</v>
      </c>
      <c r="AP20722" s="4" t="s">
        <v>376</v>
      </c>
      <c r="AR20722" s="4" t="s">
        <v>377</v>
      </c>
    </row>
    <row r="20723" spans="1:44" ht="30">
      <c r="A20723" s="4" t="s">
        <v>24364</v>
      </c>
      <c r="B20723" s="4">
        <v>116041</v>
      </c>
      <c r="D20723" s="5" t="s">
        <v>26414</v>
      </c>
      <c r="E20723" s="6" t="str">
        <f>HYPERLINK("https://inpn.mnhn.fr/espece/cd_nom/116041","Prunus armeniaca L., 1753")</f>
        <v>Prunus armeniaca L., 1753</v>
      </c>
      <c r="F20723" s="5" t="s">
        <v>26415</v>
      </c>
      <c r="Q20723" s="7" t="str">
        <f>HYPERLINK("#Liste_rouge!A"&amp;_xlfn.XMATCH("NA",Liste_rouge!A:A,2,1),"NA")</f>
        <v>NA</v>
      </c>
      <c r="T20723" s="7" t="str">
        <f>HYPERLINK("#Liste_rouge!A"&amp;_xlfn.XMATCH("NA",Liste_rouge!A:A,2,1),"NA")</f>
        <v>NA</v>
      </c>
      <c r="AH20723" s="4" t="str">
        <f>HYPERLINK("#Statut_biogéographique!A"&amp;_xlfn.XMATCH("M",Statut_biogéographique!A:A,2,1),"M")</f>
        <v>M</v>
      </c>
      <c r="AP20723" s="4" t="s">
        <v>376</v>
      </c>
      <c r="AR20723" s="4" t="s">
        <v>377</v>
      </c>
    </row>
    <row r="20724" spans="1:44" ht="75">
      <c r="A20724" s="4" t="s">
        <v>24364</v>
      </c>
      <c r="B20724" s="4">
        <v>116043</v>
      </c>
      <c r="D20724" s="5" t="s">
        <v>26416</v>
      </c>
      <c r="E20724" s="6" t="str">
        <f>HYPERLINK("https://inpn.mnhn.fr/espece/cd_nom/116043","Prunus avium (L.) L., 1755")</f>
        <v>Prunus avium (L.) L., 1755</v>
      </c>
      <c r="F20724" s="5" t="s">
        <v>26417</v>
      </c>
      <c r="O20724" s="7" t="str">
        <f>HYPERLINK("#Liste_rouge!A"&amp;_xlfn.XMATCH("LC",Liste_rouge!A:A,2,1),"LC")</f>
        <v>LC</v>
      </c>
      <c r="P20724" s="7" t="str">
        <f>HYPERLINK("#Liste_rouge!A"&amp;_xlfn.XMATCH("LC",Liste_rouge!A:A,2,1),"LC")</f>
        <v>LC</v>
      </c>
      <c r="Q20724" s="7" t="str">
        <f>HYPERLINK("#Liste_rouge!A"&amp;_xlfn.XMATCH("LC",Liste_rouge!A:A,2,1),"LC")</f>
        <v>LC</v>
      </c>
      <c r="T20724" s="7" t="str">
        <f>HYPERLINK("#Liste_rouge!A"&amp;_xlfn.XMATCH("LC",Liste_rouge!A:A,2,1),"LC")</f>
        <v>LC</v>
      </c>
      <c r="V20724" s="7" t="str">
        <f>HYPERLINK("#Liste_rouge!A"&amp;_xlfn.XMATCH("LC",Liste_rouge!A:A,2,1),"LC")</f>
        <v>LC</v>
      </c>
      <c r="AH20724" s="4" t="str">
        <f>HYPERLINK("#Statut_biogéographique!A"&amp;_xlfn.XMATCH("P",Statut_biogéographique!A:A,2,1),"P")</f>
        <v>P</v>
      </c>
      <c r="AM20724" s="4" t="s">
        <v>375</v>
      </c>
      <c r="AN20724" s="4" t="s">
        <v>375</v>
      </c>
      <c r="AO20724" s="4" t="s">
        <v>375</v>
      </c>
      <c r="AP20724" s="4" t="s">
        <v>376</v>
      </c>
      <c r="AR20724" s="4" t="s">
        <v>377</v>
      </c>
    </row>
    <row r="20725" spans="1:44" ht="45">
      <c r="A20725" s="4" t="s">
        <v>24364</v>
      </c>
      <c r="B20725" s="4">
        <v>116053</v>
      </c>
      <c r="D20725" s="5" t="s">
        <v>26418</v>
      </c>
      <c r="E20725" s="6" t="str">
        <f>HYPERLINK("https://inpn.mnhn.fr/espece/cd_nom/116053","Prunus cerasifera Ehrh., 1784")</f>
        <v>Prunus cerasifera Ehrh., 1784</v>
      </c>
      <c r="F20725" s="5" t="s">
        <v>26419</v>
      </c>
      <c r="O20725" s="7" t="str">
        <f>HYPERLINK("#Liste_rouge!A"&amp;_xlfn.XMATCH("DD",Liste_rouge!A:A,2,1),"DD")</f>
        <v>DD</v>
      </c>
      <c r="P20725" s="7" t="str">
        <f>HYPERLINK("#Liste_rouge!A"&amp;_xlfn.XMATCH("DD",Liste_rouge!A:A,2,1),"DD")</f>
        <v>DD</v>
      </c>
      <c r="Q20725" s="7" t="str">
        <f>HYPERLINK("#Liste_rouge!A"&amp;_xlfn.XMATCH("NA",Liste_rouge!A:A,2,1),"NA")</f>
        <v>NA</v>
      </c>
      <c r="T20725" s="7" t="str">
        <f>HYPERLINK("#Liste_rouge!A"&amp;_xlfn.XMATCH("NA",Liste_rouge!A:A,2,1),"NA")</f>
        <v>NA</v>
      </c>
      <c r="AH20725" s="4" t="str">
        <f>HYPERLINK("#Statut_biogéographique!A"&amp;_xlfn.XMATCH("I",Statut_biogéographique!A:A,2,1),"I")</f>
        <v>I</v>
      </c>
      <c r="AM20725" s="4" t="s">
        <v>375</v>
      </c>
      <c r="AN20725" s="4" t="s">
        <v>375</v>
      </c>
      <c r="AO20725" s="4" t="s">
        <v>375</v>
      </c>
      <c r="AP20725" s="4" t="s">
        <v>376</v>
      </c>
      <c r="AR20725" s="4" t="s">
        <v>377</v>
      </c>
    </row>
    <row r="20726" spans="1:44" ht="45">
      <c r="A20726" s="4" t="s">
        <v>24364</v>
      </c>
      <c r="B20726" s="4">
        <v>116054</v>
      </c>
      <c r="D20726" s="5" t="s">
        <v>26420</v>
      </c>
      <c r="E20726" s="6" t="str">
        <f>HYPERLINK("https://inpn.mnhn.fr/espece/cd_nom/116054","Prunus cerasus L., 1753")</f>
        <v>Prunus cerasus L., 1753</v>
      </c>
      <c r="F20726" s="5" t="s">
        <v>26421</v>
      </c>
      <c r="Q20726" s="7" t="str">
        <f>HYPERLINK("#Liste_rouge!A"&amp;_xlfn.XMATCH("NA",Liste_rouge!A:A,2,1),"NA")</f>
        <v>NA</v>
      </c>
      <c r="T20726" s="7" t="str">
        <f>HYPERLINK("#Liste_rouge!A"&amp;_xlfn.XMATCH("NA",Liste_rouge!A:A,2,1),"NA")</f>
        <v>NA</v>
      </c>
      <c r="AH20726" s="4" t="str">
        <f>HYPERLINK("#Statut_biogéographique!A"&amp;_xlfn.XMATCH("I",Statut_biogéographique!A:A,2,1),"I")</f>
        <v>I</v>
      </c>
      <c r="AM20726" s="4" t="s">
        <v>375</v>
      </c>
      <c r="AN20726" s="4" t="s">
        <v>375</v>
      </c>
      <c r="AO20726" s="4" t="s">
        <v>375</v>
      </c>
      <c r="AP20726" s="4" t="s">
        <v>376</v>
      </c>
      <c r="AR20726" s="4" t="s">
        <v>377</v>
      </c>
    </row>
    <row r="20727" spans="1:44" ht="30">
      <c r="A20727" s="4" t="s">
        <v>24364</v>
      </c>
      <c r="B20727" s="4">
        <v>116067</v>
      </c>
      <c r="D20727" s="5" t="s">
        <v>26422</v>
      </c>
      <c r="E20727" s="6" t="str">
        <f>HYPERLINK("https://inpn.mnhn.fr/espece/cd_nom/116067","Prunus domestica L., 1753")</f>
        <v>Prunus domestica L., 1753</v>
      </c>
      <c r="F20727" s="5" t="s">
        <v>26423</v>
      </c>
      <c r="P20727" s="7" t="str">
        <f>HYPERLINK("#Liste_rouge!A"&amp;_xlfn.XMATCH("DD",Liste_rouge!A:A,2,1),"DD")</f>
        <v>DD</v>
      </c>
      <c r="Q20727" s="7" t="str">
        <f>HYPERLINK("#Liste_rouge!A"&amp;_xlfn.XMATCH("NA",Liste_rouge!A:A,2,1),"NA")</f>
        <v>NA</v>
      </c>
      <c r="T20727" s="7" t="str">
        <f>HYPERLINK("#Liste_rouge!A"&amp;_xlfn.XMATCH("NA",Liste_rouge!A:A,2,1),"NA")</f>
        <v>NA</v>
      </c>
      <c r="AH20727" s="4" t="str">
        <f>HYPERLINK("#Statut_biogéographique!A"&amp;_xlfn.XMATCH("I",Statut_biogéographique!A:A,2,1),"I")</f>
        <v>I</v>
      </c>
      <c r="AM20727" s="4" t="s">
        <v>375</v>
      </c>
      <c r="AN20727" s="4" t="s">
        <v>375</v>
      </c>
      <c r="AO20727" s="4" t="s">
        <v>375</v>
      </c>
      <c r="AP20727" s="4" t="s">
        <v>376</v>
      </c>
      <c r="AR20727" s="4" t="s">
        <v>377</v>
      </c>
    </row>
    <row r="20728" spans="1:44" ht="75">
      <c r="A20728" s="4" t="s">
        <v>24364</v>
      </c>
      <c r="B20728" s="4">
        <v>116068</v>
      </c>
      <c r="D20728" s="5" t="s">
        <v>26424</v>
      </c>
      <c r="E20728" s="6" t="str">
        <f>HYPERLINK("https://inpn.mnhn.fr/espece/cd_nom/116068","Prunus dulcis (Mill.) D.A.Webb, 1967")</f>
        <v>Prunus dulcis (Mill.) D.A.Webb, 1967</v>
      </c>
      <c r="F20728" s="5" t="s">
        <v>26425</v>
      </c>
      <c r="Q20728" s="7" t="str">
        <f>HYPERLINK("#Liste_rouge!A"&amp;_xlfn.XMATCH("NA",Liste_rouge!A:A,2,1),"NA")</f>
        <v>NA</v>
      </c>
      <c r="T20728" s="7" t="str">
        <f>HYPERLINK("#Liste_rouge!A"&amp;_xlfn.XMATCH("NA",Liste_rouge!A:A,2,1),"NA")</f>
        <v>NA</v>
      </c>
      <c r="AH20728" s="4" t="str">
        <f>HYPERLINK("#Statut_biogéographique!A"&amp;_xlfn.XMATCH("I",Statut_biogéographique!A:A,2,1),"I")</f>
        <v>I</v>
      </c>
      <c r="AP20728" s="4" t="s">
        <v>376</v>
      </c>
      <c r="AR20728" s="4" t="s">
        <v>377</v>
      </c>
    </row>
    <row r="20729" spans="1:44" ht="30">
      <c r="A20729" s="4" t="s">
        <v>24364</v>
      </c>
      <c r="B20729" s="4">
        <v>116089</v>
      </c>
      <c r="D20729" s="5" t="s">
        <v>26426</v>
      </c>
      <c r="E20729" s="6" t="str">
        <f>HYPERLINK("https://inpn.mnhn.fr/espece/cd_nom/116089","Prunus laurocerasus L., 1753")</f>
        <v>Prunus laurocerasus L., 1753</v>
      </c>
      <c r="F20729" s="5" t="s">
        <v>26427</v>
      </c>
      <c r="O20729" s="7" t="str">
        <f>HYPERLINK("#Liste_rouge!A"&amp;_xlfn.XMATCH("LC",Liste_rouge!A:A,2,1),"LC")</f>
        <v>LC</v>
      </c>
      <c r="P20729" s="7" t="str">
        <f>HYPERLINK("#Liste_rouge!A"&amp;_xlfn.XMATCH("LC",Liste_rouge!A:A,2,1),"LC")</f>
        <v>LC</v>
      </c>
      <c r="Q20729" s="7" t="str">
        <f>HYPERLINK("#Liste_rouge!A"&amp;_xlfn.XMATCH("NA",Liste_rouge!A:A,2,1),"NA")</f>
        <v>NA</v>
      </c>
      <c r="T20729" s="7" t="str">
        <f>HYPERLINK("#Liste_rouge!A"&amp;_xlfn.XMATCH("NA",Liste_rouge!A:A,2,1),"NA")</f>
        <v>NA</v>
      </c>
      <c r="AH20729" s="4" t="str">
        <f>HYPERLINK("#Statut_biogéographique!A"&amp;_xlfn.XMATCH("I",Statut_biogéographique!A:A,2,1),"I")</f>
        <v>I</v>
      </c>
      <c r="AP20729" s="4" t="s">
        <v>376</v>
      </c>
      <c r="AR20729" s="4" t="s">
        <v>377</v>
      </c>
    </row>
    <row r="20730" spans="1:44" ht="45">
      <c r="A20730" s="4" t="s">
        <v>24364</v>
      </c>
      <c r="B20730" s="4">
        <v>116096</v>
      </c>
      <c r="D20730" s="5" t="s">
        <v>26428</v>
      </c>
      <c r="E20730" s="6" t="str">
        <f>HYPERLINK("https://inpn.mnhn.fr/espece/cd_nom/116096","Prunus mahaleb L., 1753")</f>
        <v>Prunus mahaleb L., 1753</v>
      </c>
      <c r="F20730" s="5" t="s">
        <v>26429</v>
      </c>
      <c r="O20730" s="7" t="str">
        <f>HYPERLINK("#Liste_rouge!A"&amp;_xlfn.XMATCH("LC",Liste_rouge!A:A,2,1),"LC")</f>
        <v>LC</v>
      </c>
      <c r="P20730" s="7" t="str">
        <f>HYPERLINK("#Liste_rouge!A"&amp;_xlfn.XMATCH("LC",Liste_rouge!A:A,2,1),"LC")</f>
        <v>LC</v>
      </c>
      <c r="Q20730" s="7" t="str">
        <f>HYPERLINK("#Liste_rouge!A"&amp;_xlfn.XMATCH("LC",Liste_rouge!A:A,2,1),"LC")</f>
        <v>LC</v>
      </c>
      <c r="T20730" s="7" t="str">
        <f>HYPERLINK("#Liste_rouge!A"&amp;_xlfn.XMATCH("LC",Liste_rouge!A:A,2,1),"LC")</f>
        <v>LC</v>
      </c>
      <c r="V20730" s="7" t="str">
        <f>HYPERLINK("#Liste_rouge!A"&amp;_xlfn.XMATCH("LC",Liste_rouge!A:A,2,1),"LC")</f>
        <v>LC</v>
      </c>
      <c r="AB20730" s="4" t="s">
        <v>24536</v>
      </c>
      <c r="AH20730" s="4" t="str">
        <f>HYPERLINK("#Statut_biogéographique!A"&amp;_xlfn.XMATCH("P",Statut_biogéographique!A:A,2,1),"P")</f>
        <v>P</v>
      </c>
      <c r="AM20730" s="4" t="s">
        <v>375</v>
      </c>
      <c r="AN20730" s="4" t="s">
        <v>375</v>
      </c>
      <c r="AO20730" s="4" t="s">
        <v>375</v>
      </c>
      <c r="AP20730" s="4" t="s">
        <v>376</v>
      </c>
      <c r="AR20730" s="4" t="s">
        <v>377</v>
      </c>
    </row>
    <row r="20731" spans="1:44" ht="45">
      <c r="A20731" s="4" t="s">
        <v>24364</v>
      </c>
      <c r="B20731" s="4">
        <v>116109</v>
      </c>
      <c r="D20731" s="5" t="s">
        <v>26430</v>
      </c>
      <c r="E20731" s="6" t="str">
        <f>HYPERLINK("https://inpn.mnhn.fr/espece/cd_nom/116109","Prunus padus L., 1753")</f>
        <v>Prunus padus L., 1753</v>
      </c>
      <c r="F20731" s="5" t="s">
        <v>26431</v>
      </c>
      <c r="M20731" s="4" t="str">
        <f>HYPERLINK("#Réglementation!A"&amp;_xlfn.XMATCH("RV26",Réglementation!A:A,2,1),"RV26")</f>
        <v>RV26</v>
      </c>
      <c r="O20731" s="7" t="str">
        <f>HYPERLINK("#Liste_rouge!A"&amp;_xlfn.XMATCH("LC",Liste_rouge!A:A,2,1),"LC")</f>
        <v>LC</v>
      </c>
      <c r="P20731" s="7" t="str">
        <f>HYPERLINK("#Liste_rouge!A"&amp;_xlfn.XMATCH("LC",Liste_rouge!A:A,2,1),"LC")</f>
        <v>LC</v>
      </c>
      <c r="Q20731" s="7" t="str">
        <f>HYPERLINK("#Liste_rouge!A"&amp;_xlfn.XMATCH("LC",Liste_rouge!A:A,2,1),"LC")</f>
        <v>LC</v>
      </c>
      <c r="T20731" s="7" t="str">
        <f>HYPERLINK("#Liste_rouge!A"&amp;_xlfn.XMATCH("LC",Liste_rouge!A:A,2,1),"LC")</f>
        <v>LC</v>
      </c>
      <c r="V20731" s="7" t="str">
        <f>HYPERLINK("#Liste_rouge!A"&amp;_xlfn.XMATCH("LC",Liste_rouge!A:A,2,1),"LC")</f>
        <v>LC</v>
      </c>
      <c r="AB20731" s="4" t="s">
        <v>24495</v>
      </c>
      <c r="AH20731" s="4" t="str">
        <f>HYPERLINK("#Statut_biogéographique!A"&amp;_xlfn.XMATCH("P",Statut_biogéographique!A:A,2,1),"P")</f>
        <v>P</v>
      </c>
      <c r="AM20731" s="4" t="s">
        <v>375</v>
      </c>
      <c r="AN20731" s="4" t="s">
        <v>375</v>
      </c>
      <c r="AO20731" s="4" t="s">
        <v>375</v>
      </c>
      <c r="AP20731" s="4" t="s">
        <v>376</v>
      </c>
      <c r="AR20731" s="4" t="s">
        <v>377</v>
      </c>
    </row>
    <row r="20732" spans="1:44" ht="105">
      <c r="A20732" s="4" t="s">
        <v>24364</v>
      </c>
      <c r="B20732" s="4">
        <v>116112</v>
      </c>
      <c r="D20732" s="5" t="s">
        <v>26432</v>
      </c>
      <c r="E20732" s="6" t="str">
        <f>HYPERLINK("https://inpn.mnhn.fr/espece/cd_nom/116112","Prunus persica (L.) Batsch, 1801")</f>
        <v>Prunus persica (L.) Batsch, 1801</v>
      </c>
      <c r="F20732" s="5" t="s">
        <v>26433</v>
      </c>
      <c r="Q20732" s="7" t="str">
        <f>HYPERLINK("#Liste_rouge!A"&amp;_xlfn.XMATCH("NA",Liste_rouge!A:A,2,1),"NA")</f>
        <v>NA</v>
      </c>
      <c r="T20732" s="7" t="str">
        <f>HYPERLINK("#Liste_rouge!A"&amp;_xlfn.XMATCH("NA",Liste_rouge!A:A,2,1),"NA")</f>
        <v>NA</v>
      </c>
      <c r="AH20732" s="4" t="str">
        <f>HYPERLINK("#Statut_biogéographique!A"&amp;_xlfn.XMATCH("M",Statut_biogéographique!A:A,2,1),"M")</f>
        <v>M</v>
      </c>
      <c r="AP20732" s="4" t="s">
        <v>376</v>
      </c>
      <c r="AR20732" s="4" t="s">
        <v>377</v>
      </c>
    </row>
    <row r="20733" spans="1:44" ht="30">
      <c r="A20733" s="4" t="s">
        <v>24364</v>
      </c>
      <c r="B20733" s="4">
        <v>116137</v>
      </c>
      <c r="D20733" s="5" t="s">
        <v>26434</v>
      </c>
      <c r="E20733" s="6" t="str">
        <f>HYPERLINK("https://inpn.mnhn.fr/espece/cd_nom/116137","Prunus serotina Ehrh., 1784 [nom. et typ. cons.]")</f>
        <v>Prunus serotina Ehrh., 1784 [nom. et typ. cons.]</v>
      </c>
      <c r="F20733" s="5" t="s">
        <v>26435</v>
      </c>
      <c r="Q20733" s="7" t="str">
        <f>HYPERLINK("#Liste_rouge!A"&amp;_xlfn.XMATCH("NA",Liste_rouge!A:A,2,1),"NA")</f>
        <v>NA</v>
      </c>
      <c r="T20733" s="7" t="str">
        <f>HYPERLINK("#Liste_rouge!A"&amp;_xlfn.XMATCH("NA",Liste_rouge!A:A,2,1),"NA")</f>
        <v>NA</v>
      </c>
      <c r="AH20733" s="4" t="str">
        <f>HYPERLINK("#Statut_biogéographique!A"&amp;_xlfn.XMATCH("I",Statut_biogéographique!A:A,2,1),"I")</f>
        <v>I</v>
      </c>
      <c r="AM20733" s="4" t="s">
        <v>375</v>
      </c>
      <c r="AN20733" s="4" t="s">
        <v>375</v>
      </c>
      <c r="AO20733" s="4" t="s">
        <v>375</v>
      </c>
      <c r="AP20733" s="4" t="s">
        <v>376</v>
      </c>
      <c r="AR20733" s="4" t="s">
        <v>377</v>
      </c>
    </row>
    <row r="20734" spans="1:44" ht="195">
      <c r="A20734" s="4" t="s">
        <v>24364</v>
      </c>
      <c r="B20734" s="4">
        <v>116142</v>
      </c>
      <c r="D20734" s="5" t="s">
        <v>26436</v>
      </c>
      <c r="E20734" s="6" t="str">
        <f>HYPERLINK("https://inpn.mnhn.fr/espece/cd_nom/116142","Prunus spinosa L., 1753")</f>
        <v>Prunus spinosa L., 1753</v>
      </c>
      <c r="F20734" s="5" t="s">
        <v>26437</v>
      </c>
      <c r="O20734" s="7" t="str">
        <f>HYPERLINK("#Liste_rouge!A"&amp;_xlfn.XMATCH("LC",Liste_rouge!A:A,2,1),"LC")</f>
        <v>LC</v>
      </c>
      <c r="P20734" s="7" t="str">
        <f>HYPERLINK("#Liste_rouge!A"&amp;_xlfn.XMATCH("LC",Liste_rouge!A:A,2,1),"LC")</f>
        <v>LC</v>
      </c>
      <c r="Q20734" s="7" t="str">
        <f>HYPERLINK("#Liste_rouge!A"&amp;_xlfn.XMATCH("LC",Liste_rouge!A:A,2,1),"LC")</f>
        <v>LC</v>
      </c>
      <c r="T20734" s="7" t="str">
        <f>HYPERLINK("#Liste_rouge!A"&amp;_xlfn.XMATCH("LC",Liste_rouge!A:A,2,1),"LC")</f>
        <v>LC</v>
      </c>
      <c r="V20734" s="7" t="str">
        <f>HYPERLINK("#Liste_rouge!A"&amp;_xlfn.XMATCH("LC",Liste_rouge!A:A,2,1),"LC")</f>
        <v>LC</v>
      </c>
      <c r="AH20734" s="4" t="str">
        <f>HYPERLINK("#Statut_biogéographique!A"&amp;_xlfn.XMATCH("P",Statut_biogéographique!A:A,2,1),"P")</f>
        <v>P</v>
      </c>
      <c r="AM20734" s="4" t="s">
        <v>375</v>
      </c>
      <c r="AN20734" s="4" t="s">
        <v>375</v>
      </c>
      <c r="AO20734" s="4" t="s">
        <v>375</v>
      </c>
      <c r="AP20734" s="4" t="s">
        <v>376</v>
      </c>
      <c r="AR20734" s="4" t="s">
        <v>377</v>
      </c>
    </row>
    <row r="20735" spans="1:44" ht="30">
      <c r="A20735" s="4" t="s">
        <v>24364</v>
      </c>
      <c r="B20735" s="4">
        <v>116155</v>
      </c>
      <c r="D20735" s="5" t="s">
        <v>26438</v>
      </c>
      <c r="E20735" s="6" t="str">
        <f>HYPERLINK("https://inpn.mnhn.fr/espece/cd_nom/116155","Prunus virginiana L., 1753")</f>
        <v>Prunus virginiana L., 1753</v>
      </c>
      <c r="F20735" s="5" t="s">
        <v>26439</v>
      </c>
      <c r="Q20735" s="7" t="str">
        <f>HYPERLINK("#Liste_rouge!A"&amp;_xlfn.XMATCH("NA",Liste_rouge!A:A,2,1),"NA")</f>
        <v>NA</v>
      </c>
      <c r="T20735" s="7" t="str">
        <f>HYPERLINK("#Liste_rouge!A"&amp;_xlfn.XMATCH("NA",Liste_rouge!A:A,2,1),"NA")</f>
        <v>NA</v>
      </c>
      <c r="AH20735" s="4" t="str">
        <f>HYPERLINK("#Statut_biogéographique!A"&amp;_xlfn.XMATCH("M",Statut_biogéographique!A:A,2,1),"M")</f>
        <v>M</v>
      </c>
      <c r="AP20735" s="4" t="s">
        <v>376</v>
      </c>
      <c r="AR20735" s="4" t="s">
        <v>377</v>
      </c>
    </row>
    <row r="20736" spans="1:44" ht="45">
      <c r="A20736" s="4" t="s">
        <v>24364</v>
      </c>
      <c r="B20736" s="4">
        <v>116185</v>
      </c>
      <c r="D20736" s="5" t="s">
        <v>26440</v>
      </c>
      <c r="E20736" s="6" t="str">
        <f>HYPERLINK("https://inpn.mnhn.fr/espece/cd_nom/116185","Psammophiliella muralis (L.) Ikonn., 1976")</f>
        <v>Psammophiliella muralis (L.) Ikonn., 1976</v>
      </c>
      <c r="F20736" s="5" t="s">
        <v>26441</v>
      </c>
      <c r="Q20736" s="7" t="str">
        <f>HYPERLINK("#Liste_rouge!A"&amp;_xlfn.XMATCH("LC",Liste_rouge!A:A,2,1),"LC")</f>
        <v>LC</v>
      </c>
      <c r="T20736" s="7" t="str">
        <f>HYPERLINK("#Liste_rouge!A"&amp;_xlfn.XMATCH("LC",Liste_rouge!A:A,2,1),"LC")</f>
        <v>LC</v>
      </c>
      <c r="V20736" s="7" t="str">
        <f>HYPERLINK("#Liste_rouge!A"&amp;_xlfn.XMATCH("LC",Liste_rouge!A:A,2,1),"LC")</f>
        <v>LC</v>
      </c>
      <c r="AH20736" s="4" t="str">
        <f>HYPERLINK("#Statut_biogéographique!A"&amp;_xlfn.XMATCH("P",Statut_biogéographique!A:A,2,1),"P")</f>
        <v>P</v>
      </c>
      <c r="AM20736" s="4" t="s">
        <v>375</v>
      </c>
      <c r="AN20736" s="4" t="s">
        <v>375</v>
      </c>
      <c r="AO20736" s="4" t="s">
        <v>375</v>
      </c>
      <c r="AP20736" s="4" t="s">
        <v>376</v>
      </c>
      <c r="AR20736" s="4" t="s">
        <v>377</v>
      </c>
    </row>
    <row r="20737" spans="1:44" ht="30">
      <c r="A20737" s="4" t="s">
        <v>24364</v>
      </c>
      <c r="B20737" s="4">
        <v>116197</v>
      </c>
      <c r="D20737" s="5" t="s">
        <v>26442</v>
      </c>
      <c r="E20737" s="6" t="str">
        <f>HYPERLINK("https://inpn.mnhn.fr/espece/cd_nom/116197","Pseudofumaria alba (Mill.) Lidén, 1986")</f>
        <v>Pseudofumaria alba (Mill.) Lidén, 1986</v>
      </c>
      <c r="F20737" s="5" t="s">
        <v>26443</v>
      </c>
      <c r="Q20737" s="7" t="str">
        <f>HYPERLINK("#Liste_rouge!A"&amp;_xlfn.XMATCH("NA",Liste_rouge!A:A,2,1),"NA")</f>
        <v>NA</v>
      </c>
      <c r="T20737" s="7" t="str">
        <f>HYPERLINK("#Liste_rouge!A"&amp;_xlfn.XMATCH("NA",Liste_rouge!A:A,2,1),"NA")</f>
        <v>NA</v>
      </c>
      <c r="AH20737" s="4" t="str">
        <f>HYPERLINK("#Statut_biogéographique!A"&amp;_xlfn.XMATCH("I",Statut_biogéographique!A:A,2,1),"I")</f>
        <v>I</v>
      </c>
      <c r="AM20737" s="4" t="s">
        <v>375</v>
      </c>
      <c r="AN20737" s="4" t="s">
        <v>375</v>
      </c>
      <c r="AO20737" s="4" t="s">
        <v>375</v>
      </c>
      <c r="AP20737" s="4" t="s">
        <v>376</v>
      </c>
      <c r="AR20737" s="4" t="s">
        <v>377</v>
      </c>
    </row>
    <row r="20738" spans="1:44" ht="30">
      <c r="A20738" s="4" t="s">
        <v>24364</v>
      </c>
      <c r="B20738" s="4">
        <v>116198</v>
      </c>
      <c r="D20738" s="5" t="s">
        <v>26444</v>
      </c>
      <c r="E20738" s="6" t="str">
        <f>HYPERLINK("https://inpn.mnhn.fr/espece/cd_nom/116198","Pseudofumaria lutea (L.) Borkh., 1797")</f>
        <v>Pseudofumaria lutea (L.) Borkh., 1797</v>
      </c>
      <c r="F20738" s="5" t="s">
        <v>26445</v>
      </c>
      <c r="Q20738" s="7" t="str">
        <f>HYPERLINK("#Liste_rouge!A"&amp;_xlfn.XMATCH("NA",Liste_rouge!A:A,2,1),"NA")</f>
        <v>NA</v>
      </c>
      <c r="T20738" s="7" t="str">
        <f>HYPERLINK("#Liste_rouge!A"&amp;_xlfn.XMATCH("NA",Liste_rouge!A:A,2,1),"NA")</f>
        <v>NA</v>
      </c>
      <c r="AH20738" s="4" t="str">
        <f>HYPERLINK("#Statut_biogéographique!A"&amp;_xlfn.XMATCH("I",Statut_biogéographique!A:A,2,1),"I")</f>
        <v>I</v>
      </c>
      <c r="AM20738" s="4" t="s">
        <v>375</v>
      </c>
      <c r="AN20738" s="4" t="s">
        <v>375</v>
      </c>
      <c r="AO20738" s="4" t="s">
        <v>375</v>
      </c>
      <c r="AP20738" s="4" t="s">
        <v>376</v>
      </c>
      <c r="AR20738" s="4" t="s">
        <v>377</v>
      </c>
    </row>
    <row r="20739" spans="1:44" ht="60">
      <c r="A20739" s="4" t="s">
        <v>24364</v>
      </c>
      <c r="B20739" s="4">
        <v>116206</v>
      </c>
      <c r="D20739" s="5" t="s">
        <v>26446</v>
      </c>
      <c r="E20739" s="6" t="str">
        <f>HYPERLINK("https://inpn.mnhn.fr/espece/cd_nom/116206","Pseudorchis albida (L.) Á.Löve &amp; D.Löve, 1969")</f>
        <v>Pseudorchis albida (L.) Á.Löve &amp; D.Löve, 1969</v>
      </c>
      <c r="F20739" s="5" t="s">
        <v>26447</v>
      </c>
      <c r="G20739" s="4" t="str">
        <f>HYPERLINK("[#Réglementation!A"&amp;_xlfn.XMATCH("CCB",Réglementation!A:A,2,1),"CCB")</f>
        <v>CCB</v>
      </c>
      <c r="M20739" s="4" t="str">
        <f>HYPERLINK("#Réglementation!A"&amp;_xlfn.XMATCH("RV43",Réglementation!A:A,2,1),"RV43")</f>
        <v>RV43</v>
      </c>
      <c r="P20739" s="7" t="str">
        <f>HYPERLINK("#Liste_rouge!A"&amp;_xlfn.XMATCH("LC",Liste_rouge!A:A,2,1),"LC")</f>
        <v>LC</v>
      </c>
      <c r="Q20739" s="7" t="str">
        <f>HYPERLINK("#Liste_rouge!A"&amp;_xlfn.XMATCH("LC",Liste_rouge!A:A,2,1),"LC")</f>
        <v>LC</v>
      </c>
      <c r="V20739" s="7" t="str">
        <f>HYPERLINK("#Liste_rouge!A"&amp;_xlfn.XMATCH("VU",Liste_rouge!A:A,2,1),"VU")</f>
        <v>VU</v>
      </c>
      <c r="W20739" s="4" t="str">
        <f>HYPERLINK("#Critères_liste_rouge!A$1","A2c")</f>
        <v>A2c</v>
      </c>
      <c r="X20739" s="5" t="s">
        <v>374</v>
      </c>
      <c r="AB20739" s="4" t="s">
        <v>93</v>
      </c>
      <c r="AH20739" s="4" t="str">
        <f>HYPERLINK("#Statut_biogéographique!A"&amp;_xlfn.XMATCH("P",Statut_biogéographique!A:A,2,1),"P")</f>
        <v>P</v>
      </c>
      <c r="AM20739" s="4" t="s">
        <v>375</v>
      </c>
      <c r="AN20739" s="4" t="s">
        <v>375</v>
      </c>
      <c r="AO20739" s="4" t="s">
        <v>375</v>
      </c>
      <c r="AP20739" s="4" t="s">
        <v>376</v>
      </c>
      <c r="AR20739" s="4" t="s">
        <v>377</v>
      </c>
    </row>
    <row r="20740" spans="1:44" ht="30">
      <c r="A20740" s="4" t="s">
        <v>24364</v>
      </c>
      <c r="B20740" s="4">
        <v>116211</v>
      </c>
      <c r="D20740" s="5" t="s">
        <v>26448</v>
      </c>
      <c r="E20740" s="6" t="str">
        <f>HYPERLINK("https://inpn.mnhn.fr/espece/cd_nom/116211","x Pseudosasa japonica (Siebold &amp; Zucc. ex Steud.) Makino ex Nakai, 1925")</f>
        <v>x Pseudosasa japonica (Siebold &amp; Zucc. ex Steud.) Makino ex Nakai, 1925</v>
      </c>
      <c r="F20740" s="5" t="s">
        <v>26449</v>
      </c>
      <c r="AH20740" s="4" t="str">
        <f>HYPERLINK("#Statut_biogéographique!A"&amp;_xlfn.XMATCH("M",Statut_biogéographique!A:A,2,1),"M")</f>
        <v>M</v>
      </c>
      <c r="AP20740" s="4" t="s">
        <v>376</v>
      </c>
      <c r="AR20740" s="4" t="s">
        <v>377</v>
      </c>
    </row>
    <row r="20741" spans="1:44" ht="45">
      <c r="A20741" s="4" t="s">
        <v>24364</v>
      </c>
      <c r="B20741" s="4">
        <v>116216</v>
      </c>
      <c r="D20741" s="5" t="s">
        <v>26450</v>
      </c>
      <c r="E20741" s="6" t="str">
        <f>HYPERLINK("https://inpn.mnhn.fr/espece/cd_nom/116216","Pseudotsuga menziesii (Mirb.) Franco, 1950")</f>
        <v>Pseudotsuga menziesii (Mirb.) Franco, 1950</v>
      </c>
      <c r="F20741" s="5" t="s">
        <v>26451</v>
      </c>
      <c r="O20741" s="7" t="str">
        <f>HYPERLINK("#Liste_rouge!A"&amp;_xlfn.XMATCH("LC",Liste_rouge!A:A,2,1),"LC")</f>
        <v>LC</v>
      </c>
      <c r="Q20741" s="7" t="str">
        <f>HYPERLINK("#Liste_rouge!A"&amp;_xlfn.XMATCH("NA",Liste_rouge!A:A,2,1),"NA")</f>
        <v>NA</v>
      </c>
      <c r="T20741" s="7" t="str">
        <f>HYPERLINK("#Liste_rouge!A"&amp;_xlfn.XMATCH("NA",Liste_rouge!A:A,2,1),"NA")</f>
        <v>NA</v>
      </c>
      <c r="AH20741" s="4" t="str">
        <f>HYPERLINK("#Statut_biogéographique!A"&amp;_xlfn.XMATCH("M",Statut_biogéographique!A:A,2,1),"M")</f>
        <v>M</v>
      </c>
      <c r="AP20741" s="4" t="s">
        <v>376</v>
      </c>
      <c r="AR20741" s="4" t="s">
        <v>377</v>
      </c>
    </row>
    <row r="20742" spans="1:44" ht="45">
      <c r="A20742" s="4" t="s">
        <v>24364</v>
      </c>
      <c r="B20742" s="4">
        <v>116265</v>
      </c>
      <c r="D20742" s="5" t="s">
        <v>26452</v>
      </c>
      <c r="E20742" s="6" t="str">
        <f>HYPERLINK("https://inpn.mnhn.fr/espece/cd_nom/116265","Pteridium aquilinum (L.) Kuhn, 1879")</f>
        <v>Pteridium aquilinum (L.) Kuhn, 1879</v>
      </c>
      <c r="F20742" s="5" t="s">
        <v>26453</v>
      </c>
      <c r="P20742" s="7" t="str">
        <f>HYPERLINK("#Liste_rouge!A"&amp;_xlfn.XMATCH("LC",Liste_rouge!A:A,2,1),"LC")</f>
        <v>LC</v>
      </c>
      <c r="Q20742" s="7" t="str">
        <f>HYPERLINK("#Liste_rouge!A"&amp;_xlfn.XMATCH("LC",Liste_rouge!A:A,2,1),"LC")</f>
        <v>LC</v>
      </c>
      <c r="T20742" s="7" t="str">
        <f>HYPERLINK("#Liste_rouge!A"&amp;_xlfn.XMATCH("LC",Liste_rouge!A:A,2,1),"LC")</f>
        <v>LC</v>
      </c>
      <c r="V20742" s="7" t="str">
        <f>HYPERLINK("#Liste_rouge!A"&amp;_xlfn.XMATCH("LC",Liste_rouge!A:A,2,1),"LC")</f>
        <v>LC</v>
      </c>
      <c r="AH20742" s="4" t="str">
        <f>HYPERLINK("#Statut_biogéographique!A"&amp;_xlfn.XMATCH("P",Statut_biogéographique!A:A,2,1),"P")</f>
        <v>P</v>
      </c>
      <c r="AM20742" s="4" t="s">
        <v>375</v>
      </c>
      <c r="AN20742" s="4" t="s">
        <v>375</v>
      </c>
      <c r="AO20742" s="4" t="s">
        <v>375</v>
      </c>
      <c r="AP20742" s="4" t="s">
        <v>376</v>
      </c>
      <c r="AR20742" s="4" t="s">
        <v>377</v>
      </c>
    </row>
    <row r="20743" spans="1:44" ht="45">
      <c r="A20743" s="4" t="s">
        <v>24364</v>
      </c>
      <c r="B20743" s="4">
        <v>116289</v>
      </c>
      <c r="D20743" s="5" t="s">
        <v>26454</v>
      </c>
      <c r="E20743" s="6" t="str">
        <f>HYPERLINK("https://inpn.mnhn.fr/espece/cd_nom/116289","Pterocarya fraxinifolia (Lam.) Spach, 1834")</f>
        <v>Pterocarya fraxinifolia (Lam.) Spach, 1834</v>
      </c>
      <c r="F20743" s="5" t="s">
        <v>26455</v>
      </c>
      <c r="Q20743" s="7" t="str">
        <f>HYPERLINK("#Liste_rouge!A"&amp;_xlfn.XMATCH("NA",Liste_rouge!A:A,2,1),"NA")</f>
        <v>NA</v>
      </c>
      <c r="AH20743" s="4" t="str">
        <f>HYPERLINK("#Statut_biogéographique!A"&amp;_xlfn.XMATCH("I",Statut_biogéographique!A:A,2,1),"I")</f>
        <v>I</v>
      </c>
      <c r="AM20743" s="4" t="s">
        <v>375</v>
      </c>
      <c r="AN20743" s="4" t="s">
        <v>375</v>
      </c>
      <c r="AO20743" s="4" t="s">
        <v>375</v>
      </c>
      <c r="AP20743" s="4" t="s">
        <v>376</v>
      </c>
      <c r="AR20743" s="4" t="s">
        <v>377</v>
      </c>
    </row>
    <row r="20744" spans="1:44" ht="45">
      <c r="A20744" s="4" t="s">
        <v>24364</v>
      </c>
      <c r="B20744" s="4">
        <v>116339</v>
      </c>
      <c r="D20744" s="5" t="s">
        <v>26456</v>
      </c>
      <c r="E20744" s="6" t="str">
        <f>HYPERLINK("https://inpn.mnhn.fr/espece/cd_nom/116339","Ptychotis saxifraga (L.) Loret &amp; Barrandon, 1876")</f>
        <v>Ptychotis saxifraga (L.) Loret &amp; Barrandon, 1876</v>
      </c>
      <c r="F20744" s="5" t="s">
        <v>26457</v>
      </c>
      <c r="Q20744" s="7" t="str">
        <f>HYPERLINK("#Liste_rouge!A"&amp;_xlfn.XMATCH("LC",Liste_rouge!A:A,2,1),"LC")</f>
        <v>LC</v>
      </c>
      <c r="T20744" s="7" t="str">
        <f>HYPERLINK("#Liste_rouge!A"&amp;_xlfn.XMATCH("EN",Liste_rouge!A:A,2,1),"EN")</f>
        <v>EN</v>
      </c>
      <c r="U20744" s="4" t="str">
        <f>HYPERLINK("#Critères_liste_rouge!A$1","B2ab(ii,iii,iv)")</f>
        <v>B2ab(ii,iii,iv)</v>
      </c>
      <c r="V20744" s="7" t="str">
        <f>HYPERLINK("#Liste_rouge!A"&amp;_xlfn.XMATCH("DD",Liste_rouge!A:A,2,1),"DD")</f>
        <v>DD</v>
      </c>
      <c r="X20744" s="5" t="s">
        <v>374</v>
      </c>
      <c r="AB20744" s="4" t="s">
        <v>93</v>
      </c>
      <c r="AH20744" s="4" t="str">
        <f>HYPERLINK("#Statut_biogéographique!A"&amp;_xlfn.XMATCH("P",Statut_biogéographique!A:A,2,1),"P")</f>
        <v>P</v>
      </c>
      <c r="AM20744" s="4" t="s">
        <v>375</v>
      </c>
      <c r="AN20744" s="4" t="s">
        <v>375</v>
      </c>
      <c r="AO20744" s="4" t="s">
        <v>375</v>
      </c>
      <c r="AP20744" s="4" t="s">
        <v>376</v>
      </c>
      <c r="AR20744" s="4" t="s">
        <v>377</v>
      </c>
    </row>
    <row r="20745" spans="1:44" ht="45">
      <c r="A20745" s="4" t="s">
        <v>24364</v>
      </c>
      <c r="B20745" s="4">
        <v>116392</v>
      </c>
      <c r="D20745" s="5" t="s">
        <v>26458</v>
      </c>
      <c r="E20745" s="6" t="str">
        <f>HYPERLINK("https://inpn.mnhn.fr/espece/cd_nom/116392","Pulicaria dysenterica (L.) Bernh., 1800")</f>
        <v>Pulicaria dysenterica (L.) Bernh., 1800</v>
      </c>
      <c r="F20745" s="5" t="s">
        <v>26459</v>
      </c>
      <c r="Q20745" s="7" t="str">
        <f>HYPERLINK("#Liste_rouge!A"&amp;_xlfn.XMATCH("LC",Liste_rouge!A:A,2,1),"LC")</f>
        <v>LC</v>
      </c>
      <c r="T20745" s="7" t="str">
        <f>HYPERLINK("#Liste_rouge!A"&amp;_xlfn.XMATCH("LC",Liste_rouge!A:A,2,1),"LC")</f>
        <v>LC</v>
      </c>
      <c r="V20745" s="7" t="str">
        <f>HYPERLINK("#Liste_rouge!A"&amp;_xlfn.XMATCH("LC",Liste_rouge!A:A,2,1),"LC")</f>
        <v>LC</v>
      </c>
      <c r="AB20745" s="4" t="s">
        <v>24536</v>
      </c>
      <c r="AH20745" s="4" t="str">
        <f>HYPERLINK("#Statut_biogéographique!A"&amp;_xlfn.XMATCH("P",Statut_biogéographique!A:A,2,1),"P")</f>
        <v>P</v>
      </c>
      <c r="AM20745" s="4" t="s">
        <v>375</v>
      </c>
      <c r="AN20745" s="4" t="s">
        <v>375</v>
      </c>
      <c r="AO20745" s="4" t="s">
        <v>375</v>
      </c>
      <c r="AP20745" s="4" t="s">
        <v>376</v>
      </c>
      <c r="AR20745" s="4" t="s">
        <v>377</v>
      </c>
    </row>
    <row r="20746" spans="1:44" ht="30">
      <c r="A20746" s="4" t="s">
        <v>24364</v>
      </c>
      <c r="B20746" s="4">
        <v>116405</v>
      </c>
      <c r="D20746" s="5" t="s">
        <v>26460</v>
      </c>
      <c r="E20746" s="6" t="str">
        <f>HYPERLINK("https://inpn.mnhn.fr/espece/cd_nom/116405","Pulicaria vulgaris Gaertn., 1791")</f>
        <v>Pulicaria vulgaris Gaertn., 1791</v>
      </c>
      <c r="F20746" s="5" t="s">
        <v>26461</v>
      </c>
      <c r="L20746" s="4" t="str">
        <f>HYPERLINK("#Réglementation!A"&amp;_xlfn.XMATCH("NV1",Réglementation!A:A,2,1),"NV1")</f>
        <v>NV1</v>
      </c>
      <c r="O20746" s="7" t="str">
        <f>HYPERLINK("#Liste_rouge!A"&amp;_xlfn.XMATCH("LC",Liste_rouge!A:A,2,1),"LC")</f>
        <v>LC</v>
      </c>
      <c r="Q20746" s="7" t="str">
        <f>HYPERLINK("#Liste_rouge!A"&amp;_xlfn.XMATCH("LC",Liste_rouge!A:A,2,1),"LC")</f>
        <v>LC</v>
      </c>
      <c r="T20746" s="7" t="str">
        <f>HYPERLINK("#Liste_rouge!A"&amp;_xlfn.XMATCH("VU",Liste_rouge!A:A,2,1),"VU")</f>
        <v>VU</v>
      </c>
      <c r="U20746" s="4" t="str">
        <f>HYPERLINK("#Critères_liste_rouge!A$1","A2ac")</f>
        <v>A2ac</v>
      </c>
      <c r="V20746" s="7" t="str">
        <f>HYPERLINK("#Liste_rouge!A"&amp;_xlfn.XMATCH("CR",Liste_rouge!A:A,2,1),"CR")</f>
        <v>CR</v>
      </c>
      <c r="W20746" s="4" t="str">
        <f>HYPERLINK("#Critères_liste_rouge!A$1","D")</f>
        <v>D</v>
      </c>
      <c r="X20746" s="5" t="s">
        <v>374</v>
      </c>
      <c r="AB20746" s="4" t="s">
        <v>93</v>
      </c>
      <c r="AH20746" s="4" t="str">
        <f>HYPERLINK("#Statut_biogéographique!A"&amp;_xlfn.XMATCH("P",Statut_biogéographique!A:A,2,1),"P")</f>
        <v>P</v>
      </c>
      <c r="AM20746" s="4" t="s">
        <v>375</v>
      </c>
      <c r="AN20746" s="4" t="s">
        <v>375</v>
      </c>
      <c r="AO20746" s="4" t="s">
        <v>375</v>
      </c>
      <c r="AP20746" s="4" t="s">
        <v>376</v>
      </c>
      <c r="AR20746" s="4" t="s">
        <v>377</v>
      </c>
    </row>
    <row r="20747" spans="1:44" ht="30">
      <c r="A20747" s="4" t="s">
        <v>24364</v>
      </c>
      <c r="B20747" s="4">
        <v>116407</v>
      </c>
      <c r="D20747" s="5" t="s">
        <v>26462</v>
      </c>
      <c r="E20747" s="6" t="str">
        <f>HYPERLINK("https://inpn.mnhn.fr/espece/cd_nom/116407","Pulmonaria affinis Jord., 1854")</f>
        <v>Pulmonaria affinis Jord., 1854</v>
      </c>
      <c r="F20747" s="5" t="s">
        <v>26463</v>
      </c>
      <c r="Q20747" s="7" t="str">
        <f>HYPERLINK("#Liste_rouge!A"&amp;_xlfn.XMATCH("LC",Liste_rouge!A:A,2,1),"LC")</f>
        <v>LC</v>
      </c>
      <c r="T20747" s="7" t="str">
        <f>HYPERLINK("#Liste_rouge!A"&amp;_xlfn.XMATCH("LC",Liste_rouge!A:A,2,1),"LC")</f>
        <v>LC</v>
      </c>
      <c r="AB20747" s="4" t="s">
        <v>24777</v>
      </c>
      <c r="AH20747" s="4" t="str">
        <f>HYPERLINK("#Statut_biogéographique!A"&amp;_xlfn.XMATCH("P",Statut_biogéographique!A:A,2,1),"P")</f>
        <v>P</v>
      </c>
      <c r="AM20747" s="4" t="s">
        <v>375</v>
      </c>
      <c r="AN20747" s="4" t="s">
        <v>375</v>
      </c>
      <c r="AO20747" s="4" t="s">
        <v>375</v>
      </c>
      <c r="AP20747" s="4" t="s">
        <v>376</v>
      </c>
      <c r="AR20747" s="4" t="s">
        <v>377</v>
      </c>
    </row>
    <row r="20748" spans="1:44">
      <c r="A20748" s="4" t="s">
        <v>24364</v>
      </c>
      <c r="B20748" s="4">
        <v>116412</v>
      </c>
      <c r="D20748" s="5" t="s">
        <v>26464</v>
      </c>
      <c r="E20748" s="6" t="str">
        <f>HYPERLINK("https://inpn.mnhn.fr/espece/cd_nom/116412","Pulmonaria australis (Murr) W.Sauer, 1975")</f>
        <v>Pulmonaria australis (Murr) W.Sauer, 1975</v>
      </c>
      <c r="F20748" s="5" t="s">
        <v>26465</v>
      </c>
      <c r="Q20748" s="7" t="str">
        <f>HYPERLINK("#Liste_rouge!A"&amp;_xlfn.XMATCH("LC",Liste_rouge!A:A,2,1),"LC")</f>
        <v>LC</v>
      </c>
      <c r="AH20748" s="4" t="str">
        <f>HYPERLINK("#Statut_biogéographique!A"&amp;_xlfn.XMATCH("P",Statut_biogéographique!A:A,2,1),"P")</f>
        <v>P</v>
      </c>
      <c r="AP20748" s="4" t="s">
        <v>376</v>
      </c>
      <c r="AR20748" s="4" t="s">
        <v>377</v>
      </c>
    </row>
    <row r="20749" spans="1:44" ht="30">
      <c r="A20749" s="4" t="s">
        <v>24364</v>
      </c>
      <c r="B20749" s="4">
        <v>116416</v>
      </c>
      <c r="D20749" s="5" t="s">
        <v>26466</v>
      </c>
      <c r="E20749" s="6" t="str">
        <f>HYPERLINK("https://inpn.mnhn.fr/espece/cd_nom/116416","Pulmonaria longifolia (Bastard) Boreau, 1857")</f>
        <v>Pulmonaria longifolia (Bastard) Boreau, 1857</v>
      </c>
      <c r="F20749" s="5" t="s">
        <v>26467</v>
      </c>
      <c r="Q20749" s="7" t="str">
        <f>HYPERLINK("#Liste_rouge!A"&amp;_xlfn.XMATCH("LC",Liste_rouge!A:A,2,1),"LC")</f>
        <v>LC</v>
      </c>
      <c r="T20749" s="7" t="str">
        <f>HYPERLINK("#Liste_rouge!A"&amp;_xlfn.XMATCH("LC",Liste_rouge!A:A,2,1),"LC")</f>
        <v>LC</v>
      </c>
      <c r="AH20749" s="4" t="str">
        <f>HYPERLINK("#Statut_biogéographique!A"&amp;_xlfn.XMATCH("P",Statut_biogéographique!A:A,2,1),"P")</f>
        <v>P</v>
      </c>
      <c r="AM20749" s="4" t="s">
        <v>375</v>
      </c>
      <c r="AN20749" s="4" t="s">
        <v>375</v>
      </c>
      <c r="AO20749" s="4" t="s">
        <v>375</v>
      </c>
      <c r="AP20749" s="4" t="s">
        <v>376</v>
      </c>
      <c r="AR20749" s="4" t="s">
        <v>377</v>
      </c>
    </row>
    <row r="20750" spans="1:44">
      <c r="A20750" s="4" t="s">
        <v>24364</v>
      </c>
      <c r="B20750" s="4">
        <v>116419</v>
      </c>
      <c r="D20750" s="5" t="s">
        <v>26468</v>
      </c>
      <c r="E20750" s="6" t="str">
        <f>HYPERLINK("https://inpn.mnhn.fr/espece/cd_nom/116419","Pulmonaria montana Lej., 1811")</f>
        <v>Pulmonaria montana Lej., 1811</v>
      </c>
      <c r="F20750" s="5" t="s">
        <v>26469</v>
      </c>
      <c r="Q20750" s="7" t="str">
        <f>HYPERLINK("#Liste_rouge!A"&amp;_xlfn.XMATCH("LC",Liste_rouge!A:A,2,1),"LC")</f>
        <v>LC</v>
      </c>
      <c r="T20750" s="7" t="str">
        <f>HYPERLINK("#Liste_rouge!A"&amp;_xlfn.XMATCH("LC",Liste_rouge!A:A,2,1),"LC")</f>
        <v>LC</v>
      </c>
      <c r="V20750" s="7" t="str">
        <f>HYPERLINK("#Liste_rouge!A"&amp;_xlfn.XMATCH("LC",Liste_rouge!A:A,2,1),"LC")</f>
        <v>LC</v>
      </c>
      <c r="AH20750" s="4" t="str">
        <f>HYPERLINK("#Statut_biogéographique!A"&amp;_xlfn.XMATCH("P",Statut_biogéographique!A:A,2,1),"P")</f>
        <v>P</v>
      </c>
      <c r="AM20750" s="4" t="s">
        <v>375</v>
      </c>
      <c r="AN20750" s="4" t="s">
        <v>375</v>
      </c>
      <c r="AO20750" s="4" t="s">
        <v>375</v>
      </c>
      <c r="AP20750" s="4" t="s">
        <v>376</v>
      </c>
      <c r="AR20750" s="4" t="s">
        <v>377</v>
      </c>
    </row>
    <row r="20751" spans="1:44" ht="30">
      <c r="A20751" s="4" t="s">
        <v>24364</v>
      </c>
      <c r="B20751" s="4">
        <v>116421</v>
      </c>
      <c r="D20751" s="5" t="s">
        <v>26470</v>
      </c>
      <c r="E20751" s="6" t="str">
        <f>HYPERLINK("https://inpn.mnhn.fr/espece/cd_nom/116421","Pulmonaria obscura Dumort., 1865")</f>
        <v>Pulmonaria obscura Dumort., 1865</v>
      </c>
      <c r="F20751" s="5" t="s">
        <v>26471</v>
      </c>
      <c r="Q20751" s="7" t="str">
        <f>HYPERLINK("#Liste_rouge!A"&amp;_xlfn.XMATCH("LC",Liste_rouge!A:A,2,1),"LC")</f>
        <v>LC</v>
      </c>
      <c r="V20751" s="7" t="str">
        <f>HYPERLINK("#Liste_rouge!A"&amp;_xlfn.XMATCH("LC",Liste_rouge!A:A,2,1),"LC")</f>
        <v>LC</v>
      </c>
      <c r="AH20751" s="4" t="str">
        <f>HYPERLINK("#Statut_biogéographique!A"&amp;_xlfn.XMATCH("P",Statut_biogéographique!A:A,2,1),"P")</f>
        <v>P</v>
      </c>
      <c r="AM20751" s="4" t="s">
        <v>375</v>
      </c>
      <c r="AN20751" s="4" t="s">
        <v>375</v>
      </c>
      <c r="AO20751" s="4" t="s">
        <v>375</v>
      </c>
      <c r="AP20751" s="4" t="s">
        <v>376</v>
      </c>
      <c r="AR20751" s="4" t="s">
        <v>377</v>
      </c>
    </row>
    <row r="20752" spans="1:44" ht="30">
      <c r="A20752" s="4" t="s">
        <v>24364</v>
      </c>
      <c r="B20752" s="4">
        <v>116422</v>
      </c>
      <c r="D20752" s="5" t="s">
        <v>26472</v>
      </c>
      <c r="E20752" s="6" t="str">
        <f>HYPERLINK("https://inpn.mnhn.fr/espece/cd_nom/116422","Pulmonaria officinalis L., 1753")</f>
        <v>Pulmonaria officinalis L., 1753</v>
      </c>
      <c r="F20752" s="5" t="s">
        <v>26473</v>
      </c>
      <c r="O20752" s="7" t="str">
        <f>HYPERLINK("#Liste_rouge!A"&amp;_xlfn.XMATCH("LC",Liste_rouge!A:A,2,1),"LC")</f>
        <v>LC</v>
      </c>
      <c r="P20752" s="7" t="str">
        <f>HYPERLINK("#Liste_rouge!A"&amp;_xlfn.XMATCH("LC",Liste_rouge!A:A,2,1),"LC")</f>
        <v>LC</v>
      </c>
      <c r="Q20752" s="7" t="str">
        <f>HYPERLINK("#Liste_rouge!A"&amp;_xlfn.XMATCH("NA",Liste_rouge!A:A,2,1),"NA")</f>
        <v>NA</v>
      </c>
      <c r="T20752" s="7" t="str">
        <f>HYPERLINK("#Liste_rouge!A"&amp;_xlfn.XMATCH("NA",Liste_rouge!A:A,2,1),"NA")</f>
        <v>NA</v>
      </c>
      <c r="AH20752" s="4" t="str">
        <f>HYPERLINK("#Statut_biogéographique!A"&amp;_xlfn.XMATCH("I",Statut_biogéographique!A:A,2,1),"I")</f>
        <v>I</v>
      </c>
      <c r="AP20752" s="4" t="s">
        <v>376</v>
      </c>
      <c r="AR20752" s="4" t="s">
        <v>377</v>
      </c>
    </row>
    <row r="20753" spans="1:44" ht="30">
      <c r="A20753" s="4" t="s">
        <v>24364</v>
      </c>
      <c r="B20753" s="4">
        <v>116436</v>
      </c>
      <c r="D20753" s="5" t="s">
        <v>26474</v>
      </c>
      <c r="E20753" s="6" t="str">
        <f>HYPERLINK("https://inpn.mnhn.fr/espece/cd_nom/116436","Pulmonaria x ovalis Bastard, 1812")</f>
        <v>Pulmonaria x ovalis Bastard, 1812</v>
      </c>
      <c r="F20753" s="5" t="s">
        <v>26475</v>
      </c>
      <c r="T20753" s="7" t="str">
        <f>HYPERLINK("#Liste_rouge!A"&amp;_xlfn.XMATCH("DD",Liste_rouge!A:A,2,1),"DD")</f>
        <v>DD</v>
      </c>
      <c r="AH20753" s="4" t="str">
        <f>HYPERLINK("#Statut_biogéographique!A"&amp;_xlfn.XMATCH("D",Statut_biogéographique!A:A,2,1),"D")</f>
        <v>D</v>
      </c>
      <c r="AP20753" s="4" t="s">
        <v>376</v>
      </c>
      <c r="AR20753" s="4" t="s">
        <v>377</v>
      </c>
    </row>
    <row r="20754" spans="1:44">
      <c r="A20754" s="4" t="s">
        <v>24364</v>
      </c>
      <c r="B20754" s="4">
        <v>116440</v>
      </c>
      <c r="D20754" s="5" t="s">
        <v>26476</v>
      </c>
      <c r="E20754" s="6" t="str">
        <f>HYPERLINK("https://inpn.mnhn.fr/espece/cd_nom/116440","Pulsatilla alpina (L.) Delarbre, 1800")</f>
        <v>Pulsatilla alpina (L.) Delarbre, 1800</v>
      </c>
      <c r="F20754" s="5" t="s">
        <v>26477</v>
      </c>
      <c r="M20754" s="4" t="str">
        <f>HYPERLINK("#Réglementation!A"&amp;_xlfn.XMATCH("RV43",Réglementation!A:A,2,1),"RV43")</f>
        <v>RV43</v>
      </c>
      <c r="Q20754" s="7" t="str">
        <f>HYPERLINK("#Liste_rouge!A"&amp;_xlfn.XMATCH("LC",Liste_rouge!A:A,2,1),"LC")</f>
        <v>LC</v>
      </c>
      <c r="V20754" s="7" t="str">
        <f>HYPERLINK("#Liste_rouge!A"&amp;_xlfn.XMATCH("EN",Liste_rouge!A:A,2,1),"EN")</f>
        <v>EN</v>
      </c>
      <c r="W20754" s="4" t="str">
        <f>HYPERLINK("#Critères_liste_rouge!A$1","B2ab(iii)")</f>
        <v>B2ab(iii)</v>
      </c>
      <c r="X20754" s="5" t="s">
        <v>374</v>
      </c>
      <c r="AB20754" s="4" t="s">
        <v>93</v>
      </c>
      <c r="AH20754" s="4" t="str">
        <f>HYPERLINK("#Statut_biogéographique!A"&amp;_xlfn.XMATCH("P",Statut_biogéographique!A:A,2,1),"P")</f>
        <v>P</v>
      </c>
      <c r="AM20754" s="4" t="s">
        <v>375</v>
      </c>
      <c r="AN20754" s="4" t="s">
        <v>375</v>
      </c>
      <c r="AO20754" s="4" t="s">
        <v>375</v>
      </c>
      <c r="AP20754" s="4" t="s">
        <v>376</v>
      </c>
      <c r="AR20754" s="4" t="s">
        <v>377</v>
      </c>
    </row>
    <row r="20755" spans="1:44" ht="30">
      <c r="A20755" s="4" t="s">
        <v>24364</v>
      </c>
      <c r="B20755" s="4">
        <v>116456</v>
      </c>
      <c r="D20755" s="5" t="s">
        <v>26478</v>
      </c>
      <c r="E20755" s="6" t="str">
        <f>HYPERLINK("https://inpn.mnhn.fr/espece/cd_nom/116456","Pulsatilla rubra (Lam.) Delarbre, 1800")</f>
        <v>Pulsatilla rubra (Lam.) Delarbre, 1800</v>
      </c>
      <c r="F20755" s="5" t="s">
        <v>26479</v>
      </c>
      <c r="Q20755" s="7" t="str">
        <f>HYPERLINK("#Liste_rouge!A"&amp;_xlfn.XMATCH("LC",Liste_rouge!A:A,2,1),"LC")</f>
        <v>LC</v>
      </c>
      <c r="T20755" s="7" t="str">
        <f>HYPERLINK("#Liste_rouge!A"&amp;_xlfn.XMATCH("RE",Liste_rouge!A:A,2,1),"RE")</f>
        <v>RE</v>
      </c>
      <c r="AH20755" s="4" t="str">
        <f>HYPERLINK("#Statut_biogéographique!A"&amp;_xlfn.XMATCH("P",Statut_biogéographique!A:A,2,1),"P")</f>
        <v>P</v>
      </c>
      <c r="AP20755" s="4" t="s">
        <v>376</v>
      </c>
      <c r="AR20755" s="4" t="s">
        <v>377</v>
      </c>
    </row>
    <row r="20756" spans="1:44" ht="45">
      <c r="A20756" s="4" t="s">
        <v>24364</v>
      </c>
      <c r="B20756" s="4">
        <v>116460</v>
      </c>
      <c r="D20756" s="5" t="s">
        <v>26480</v>
      </c>
      <c r="E20756" s="6" t="str">
        <f>HYPERLINK("https://inpn.mnhn.fr/espece/cd_nom/116460","Pulsatilla vulgaris Mill., 1768")</f>
        <v>Pulsatilla vulgaris Mill., 1768</v>
      </c>
      <c r="F20756" s="5" t="s">
        <v>26481</v>
      </c>
      <c r="N20756" s="4" t="str">
        <f>HYPERLINK("#Réglementation!A"&amp;_xlfn.XMATCH("V39P1",Réglementation!A:A,2,1),"V39P1 - V25P1 - V70P1")</f>
        <v>V39P1 - V25P1 - V70P1</v>
      </c>
      <c r="O20756" s="7" t="str">
        <f>HYPERLINK("#Liste_rouge!A"&amp;_xlfn.XMATCH("NT",Liste_rouge!A:A,2,1),"NT")</f>
        <v>NT</v>
      </c>
      <c r="P20756" s="7" t="str">
        <f>HYPERLINK("#Liste_rouge!A"&amp;_xlfn.XMATCH("NT",Liste_rouge!A:A,2,1),"NT")</f>
        <v>NT</v>
      </c>
      <c r="Q20756" s="7" t="str">
        <f>HYPERLINK("#Liste_rouge!A"&amp;_xlfn.XMATCH("LC",Liste_rouge!A:A,2,1),"LC")</f>
        <v>LC</v>
      </c>
      <c r="T20756" s="7" t="str">
        <f>HYPERLINK("#Liste_rouge!A"&amp;_xlfn.XMATCH("LC",Liste_rouge!A:A,2,1),"LC (cd_nom 82652) - DD (cd_nom 718640)")</f>
        <v>LC (cd_nom 82652) - DD (cd_nom 718640)</v>
      </c>
      <c r="V20756" s="7" t="str">
        <f>HYPERLINK("#Liste_rouge!A"&amp;_xlfn.XMATCH("NT",Liste_rouge!A:A,2,1),"NT")</f>
        <v>NT</v>
      </c>
      <c r="W20756" s="4" t="str">
        <f>HYPERLINK("#Critères_liste_rouge!A$1","pr. B2b(iii)")</f>
        <v>pr. B2b(iii)</v>
      </c>
      <c r="AB20756" s="4" t="s">
        <v>25442</v>
      </c>
      <c r="AH20756" s="4" t="str">
        <f>HYPERLINK("#Statut_biogéographique!A"&amp;_xlfn.XMATCH("P",Statut_biogéographique!A:A,2,1),"P")</f>
        <v>P</v>
      </c>
      <c r="AK20756" s="4" t="str">
        <f>HYPERLINK("#Réglementation!A"&amp;_xlfn.XMATCH("V39P6",Réglementation!A:A,2,1),"V39P6 - V25P1 - V70P1")</f>
        <v>V39P6 - V25P1 - V70P1</v>
      </c>
      <c r="AM20756" s="4" t="s">
        <v>375</v>
      </c>
      <c r="AN20756" s="4" t="s">
        <v>375</v>
      </c>
      <c r="AO20756" s="4" t="s">
        <v>375</v>
      </c>
      <c r="AP20756" s="4" t="s">
        <v>376</v>
      </c>
      <c r="AR20756" s="4" t="s">
        <v>377</v>
      </c>
    </row>
    <row r="20757" spans="1:44" ht="45">
      <c r="A20757" s="4" t="s">
        <v>24364</v>
      </c>
      <c r="B20757" s="4">
        <v>116485</v>
      </c>
      <c r="D20757" s="5" t="s">
        <v>26482</v>
      </c>
      <c r="E20757" s="6" t="str">
        <f>HYPERLINK("https://inpn.mnhn.fr/espece/cd_nom/116485","Pyracantha coccinea M.Roem., 1847 [nom. cons.]")</f>
        <v>Pyracantha coccinea M.Roem., 1847 [nom. cons.]</v>
      </c>
      <c r="F20757" s="5" t="s">
        <v>26483</v>
      </c>
      <c r="Q20757" s="7" t="str">
        <f>HYPERLINK("#Liste_rouge!A"&amp;_xlfn.XMATCH("DD",Liste_rouge!A:A,2,1),"DD")</f>
        <v>DD</v>
      </c>
      <c r="T20757" s="7" t="str">
        <f>HYPERLINK("#Liste_rouge!A"&amp;_xlfn.XMATCH("NA",Liste_rouge!A:A,2,1),"NA")</f>
        <v>NA</v>
      </c>
      <c r="AH20757" s="4" t="str">
        <f>HYPERLINK("#Statut_biogéographique!A"&amp;_xlfn.XMATCH("P",Statut_biogéographique!A:A,2,1),"P")</f>
        <v>P</v>
      </c>
      <c r="AP20757" s="4" t="s">
        <v>376</v>
      </c>
      <c r="AR20757" s="4" t="s">
        <v>377</v>
      </c>
    </row>
    <row r="20758" spans="1:44" ht="30">
      <c r="A20758" s="4" t="s">
        <v>24364</v>
      </c>
      <c r="B20758" s="4">
        <v>116531</v>
      </c>
      <c r="D20758" s="5" t="s">
        <v>26484</v>
      </c>
      <c r="E20758" s="6" t="str">
        <f>HYPERLINK("https://inpn.mnhn.fr/espece/cd_nom/116531","Pyrola chlorantha Sw., 1810")</f>
        <v>Pyrola chlorantha Sw., 1810</v>
      </c>
      <c r="F20758" s="5" t="s">
        <v>26485</v>
      </c>
      <c r="Q20758" s="7" t="str">
        <f>HYPERLINK("#Liste_rouge!A"&amp;_xlfn.XMATCH("LC",Liste_rouge!A:A,2,1),"LC")</f>
        <v>LC</v>
      </c>
      <c r="T20758" s="7" t="str">
        <f>HYPERLINK("#Liste_rouge!A"&amp;_xlfn.XMATCH("EN",Liste_rouge!A:A,2,1),"EN")</f>
        <v>EN</v>
      </c>
      <c r="U20758" s="4" t="str">
        <f>HYPERLINK("#Critères_liste_rouge!A$1","C2a(i)")</f>
        <v>C2a(i)</v>
      </c>
      <c r="X20758" s="5" t="s">
        <v>374</v>
      </c>
      <c r="AB20758" s="4" t="s">
        <v>93</v>
      </c>
      <c r="AH20758" s="4" t="str">
        <f>HYPERLINK("#Statut_biogéographique!A"&amp;_xlfn.XMATCH("P",Statut_biogéographique!A:A,2,1),"P")</f>
        <v>P</v>
      </c>
      <c r="AM20758" s="4" t="s">
        <v>375</v>
      </c>
      <c r="AN20758" s="4" t="s">
        <v>375</v>
      </c>
      <c r="AO20758" s="4" t="s">
        <v>375</v>
      </c>
      <c r="AP20758" s="4" t="s">
        <v>376</v>
      </c>
      <c r="AR20758" s="4" t="s">
        <v>377</v>
      </c>
    </row>
    <row r="20759" spans="1:44" ht="30">
      <c r="A20759" s="4" t="s">
        <v>24364</v>
      </c>
      <c r="B20759" s="4">
        <v>116542</v>
      </c>
      <c r="D20759" s="5" t="s">
        <v>26486</v>
      </c>
      <c r="E20759" s="6" t="str">
        <f>HYPERLINK("https://inpn.mnhn.fr/espece/cd_nom/116542","Pyrola media Sw., 1804")</f>
        <v>Pyrola media Sw., 1804</v>
      </c>
      <c r="F20759" s="5" t="s">
        <v>26487</v>
      </c>
      <c r="M20759" s="4" t="str">
        <f>HYPERLINK("#Réglementation!A"&amp;_xlfn.XMATCH("RV43",Réglementation!A:A,2,1),"RV43")</f>
        <v>RV43</v>
      </c>
      <c r="Q20759" s="7" t="str">
        <f>HYPERLINK("#Liste_rouge!A"&amp;_xlfn.XMATCH("LC",Liste_rouge!A:A,2,1),"LC")</f>
        <v>LC</v>
      </c>
      <c r="V20759" s="7" t="str">
        <f>HYPERLINK("#Liste_rouge!A"&amp;_xlfn.XMATCH("VU",Liste_rouge!A:A,2,1),"VU")</f>
        <v>VU</v>
      </c>
      <c r="W20759" s="4" t="str">
        <f>HYPERLINK("#Critères_liste_rouge!A$1","D2")</f>
        <v>D2</v>
      </c>
      <c r="X20759" s="5" t="s">
        <v>374</v>
      </c>
      <c r="AB20759" s="4" t="s">
        <v>93</v>
      </c>
      <c r="AH20759" s="4" t="str">
        <f>HYPERLINK("#Statut_biogéographique!A"&amp;_xlfn.XMATCH("P",Statut_biogéographique!A:A,2,1),"P")</f>
        <v>P</v>
      </c>
      <c r="AM20759" s="4" t="s">
        <v>375</v>
      </c>
      <c r="AN20759" s="4" t="s">
        <v>375</v>
      </c>
      <c r="AO20759" s="4" t="s">
        <v>375</v>
      </c>
      <c r="AP20759" s="4" t="s">
        <v>376</v>
      </c>
      <c r="AR20759" s="4" t="s">
        <v>377</v>
      </c>
    </row>
    <row r="20760" spans="1:44">
      <c r="A20760" s="4" t="s">
        <v>24364</v>
      </c>
      <c r="B20760" s="4">
        <v>116543</v>
      </c>
      <c r="D20760" s="5" t="s">
        <v>26488</v>
      </c>
      <c r="E20760" s="6" t="str">
        <f>HYPERLINK("https://inpn.mnhn.fr/espece/cd_nom/116543","Pyrola minor L., 1753")</f>
        <v>Pyrola minor L., 1753</v>
      </c>
      <c r="F20760" s="5" t="s">
        <v>26489</v>
      </c>
      <c r="Q20760" s="7" t="str">
        <f>HYPERLINK("#Liste_rouge!A"&amp;_xlfn.XMATCH("LC",Liste_rouge!A:A,2,1),"LC")</f>
        <v>LC</v>
      </c>
      <c r="T20760" s="7" t="str">
        <f>HYPERLINK("#Liste_rouge!A"&amp;_xlfn.XMATCH("CR",Liste_rouge!A:A,2,1),"CR")</f>
        <v>CR</v>
      </c>
      <c r="U20760" s="4" t="str">
        <f>HYPERLINK("#Critères_liste_rouge!A$1","B1 B2ab(ii, iv) C2a(i)")</f>
        <v>B1 B2ab(ii, iv) C2a(i)</v>
      </c>
      <c r="V20760" s="7" t="str">
        <f>HYPERLINK("#Liste_rouge!A"&amp;_xlfn.XMATCH("LC",Liste_rouge!A:A,2,1),"LC")</f>
        <v>LC</v>
      </c>
      <c r="AB20760" s="4" t="s">
        <v>24819</v>
      </c>
      <c r="AH20760" s="4" t="str">
        <f>HYPERLINK("#Statut_biogéographique!A"&amp;_xlfn.XMATCH("P",Statut_biogéographique!A:A,2,1),"P")</f>
        <v>P</v>
      </c>
      <c r="AM20760" s="4" t="s">
        <v>375</v>
      </c>
      <c r="AN20760" s="4" t="s">
        <v>375</v>
      </c>
      <c r="AO20760" s="4" t="s">
        <v>375</v>
      </c>
      <c r="AP20760" s="4" t="s">
        <v>376</v>
      </c>
      <c r="AR20760" s="4" t="s">
        <v>377</v>
      </c>
    </row>
    <row r="20761" spans="1:44">
      <c r="A20761" s="4" t="s">
        <v>24364</v>
      </c>
      <c r="B20761" s="4">
        <v>116547</v>
      </c>
      <c r="D20761" s="5" t="s">
        <v>26490</v>
      </c>
      <c r="E20761" s="6" t="str">
        <f>HYPERLINK("https://inpn.mnhn.fr/espece/cd_nom/116547","Pyrola rotundifolia L., 1753")</f>
        <v>Pyrola rotundifolia L., 1753</v>
      </c>
      <c r="F20761" s="5" t="s">
        <v>26491</v>
      </c>
      <c r="Q20761" s="7" t="str">
        <f>HYPERLINK("#Liste_rouge!A"&amp;_xlfn.XMATCH("LC",Liste_rouge!A:A,2,1),"LC")</f>
        <v>LC</v>
      </c>
      <c r="T20761" s="7" t="str">
        <f>HYPERLINK("#Liste_rouge!A"&amp;_xlfn.XMATCH("VU",Liste_rouge!A:A,2,1),"VU")</f>
        <v>VU</v>
      </c>
      <c r="U20761" s="4" t="str">
        <f>HYPERLINK("#Critères_liste_rouge!A$1","C2a(i) D2")</f>
        <v>C2a(i) D2</v>
      </c>
      <c r="V20761" s="7" t="str">
        <f>HYPERLINK("#Liste_rouge!A"&amp;_xlfn.XMATCH("VU",Liste_rouge!A:A,2,1),"VU")</f>
        <v>VU</v>
      </c>
      <c r="W20761" s="4" t="str">
        <f>HYPERLINK("#Critères_liste_rouge!A$1","A2c")</f>
        <v>A2c</v>
      </c>
      <c r="X20761" s="5" t="s">
        <v>374</v>
      </c>
      <c r="AB20761" s="4" t="s">
        <v>93</v>
      </c>
      <c r="AH20761" s="4" t="str">
        <f>HYPERLINK("#Statut_biogéographique!A"&amp;_xlfn.XMATCH("P",Statut_biogéographique!A:A,2,1),"P")</f>
        <v>P</v>
      </c>
      <c r="AM20761" s="4" t="s">
        <v>375</v>
      </c>
      <c r="AN20761" s="4" t="s">
        <v>375</v>
      </c>
      <c r="AO20761" s="4" t="s">
        <v>375</v>
      </c>
      <c r="AP20761" s="4" t="s">
        <v>376</v>
      </c>
      <c r="AR20761" s="4" t="s">
        <v>377</v>
      </c>
    </row>
    <row r="20762" spans="1:44" ht="60">
      <c r="A20762" s="4" t="s">
        <v>24364</v>
      </c>
      <c r="B20762" s="4">
        <v>116574</v>
      </c>
      <c r="D20762" s="5" t="s">
        <v>26492</v>
      </c>
      <c r="E20762" s="6" t="str">
        <f>HYPERLINK("https://inpn.mnhn.fr/espece/cd_nom/116574","Pyrus communis L., 1753")</f>
        <v>Pyrus communis L., 1753</v>
      </c>
      <c r="F20762" s="5" t="s">
        <v>26493</v>
      </c>
      <c r="O20762" s="7" t="str">
        <f>HYPERLINK("#Liste_rouge!A"&amp;_xlfn.XMATCH("NT",Liste_rouge!A:A,2,1),"NT (cd_nom 985143) - LC (cd_nom 116574)")</f>
        <v>NT (cd_nom 985143) - LC (cd_nom 116574)</v>
      </c>
      <c r="P20762" s="7" t="str">
        <f>HYPERLINK("#Liste_rouge!A"&amp;_xlfn.XMATCH("LC",Liste_rouge!A:A,2,1),"LC")</f>
        <v>LC</v>
      </c>
      <c r="Q20762" s="7" t="str">
        <f>HYPERLINK("#Liste_rouge!A"&amp;_xlfn.XMATCH("LC",Liste_rouge!A:A,2,1),"LC")</f>
        <v>LC</v>
      </c>
      <c r="T20762" s="7" t="str">
        <f>HYPERLINK("#Liste_rouge!A"&amp;_xlfn.XMATCH("NA",Liste_rouge!A:A,2,1),"NA")</f>
        <v>NA</v>
      </c>
      <c r="V20762" s="7" t="str">
        <f>HYPERLINK("#Liste_rouge!A"&amp;_xlfn.XMATCH("LC",Liste_rouge!A:A,2,1),"LC")</f>
        <v>LC</v>
      </c>
      <c r="AH20762" s="4" t="str">
        <f>HYPERLINK("#Statut_biogéographique!A"&amp;_xlfn.XMATCH("P",Statut_biogéographique!A:A,2,1),"P")</f>
        <v>P</v>
      </c>
      <c r="AM20762" s="4" t="s">
        <v>375</v>
      </c>
      <c r="AN20762" s="4" t="s">
        <v>375</v>
      </c>
      <c r="AO20762" s="4" t="s">
        <v>375</v>
      </c>
      <c r="AP20762" s="4" t="s">
        <v>376</v>
      </c>
      <c r="AR20762" s="4" t="s">
        <v>377</v>
      </c>
    </row>
    <row r="20763" spans="1:44" ht="60">
      <c r="A20763" s="4" t="s">
        <v>24364</v>
      </c>
      <c r="B20763" s="4">
        <v>116576</v>
      </c>
      <c r="D20763" s="5" t="s">
        <v>26494</v>
      </c>
      <c r="E20763" s="6" t="str">
        <f>HYPERLINK("https://inpn.mnhn.fr/espece/cd_nom/116576","Pyrus cordata Desv., 1818")</f>
        <v>Pyrus cordata Desv., 1818</v>
      </c>
      <c r="F20763" s="5" t="s">
        <v>26495</v>
      </c>
      <c r="O20763" s="7" t="str">
        <f>HYPERLINK("#Liste_rouge!A"&amp;_xlfn.XMATCH("LC",Liste_rouge!A:A,2,1),"LC")</f>
        <v>LC</v>
      </c>
      <c r="P20763" s="7" t="str">
        <f>HYPERLINK("#Liste_rouge!A"&amp;_xlfn.XMATCH("DD",Liste_rouge!A:A,2,1),"DD")</f>
        <v>DD</v>
      </c>
      <c r="Q20763" s="7" t="str">
        <f>HYPERLINK("#Liste_rouge!A"&amp;_xlfn.XMATCH("LC",Liste_rouge!A:A,2,1),"LC")</f>
        <v>LC</v>
      </c>
      <c r="T20763" s="7" t="str">
        <f>HYPERLINK("#Liste_rouge!A"&amp;_xlfn.XMATCH("DD",Liste_rouge!A:A,2,1),"DD")</f>
        <v>DD</v>
      </c>
      <c r="X20763" s="5" t="s">
        <v>374</v>
      </c>
      <c r="AB20763" s="4" t="s">
        <v>93</v>
      </c>
      <c r="AH20763" s="4" t="str">
        <f>HYPERLINK("#Statut_biogéographique!A"&amp;_xlfn.XMATCH("P",Statut_biogéographique!A:A,2,1),"P")</f>
        <v>P</v>
      </c>
      <c r="AM20763" s="4" t="s">
        <v>375</v>
      </c>
      <c r="AN20763" s="4" t="s">
        <v>375</v>
      </c>
      <c r="AO20763" s="4" t="s">
        <v>375</v>
      </c>
      <c r="AP20763" s="4" t="s">
        <v>376</v>
      </c>
      <c r="AR20763" s="4" t="s">
        <v>377</v>
      </c>
    </row>
    <row r="20764" spans="1:44">
      <c r="A20764" s="4" t="s">
        <v>24364</v>
      </c>
      <c r="B20764" s="4">
        <v>116604</v>
      </c>
      <c r="D20764" s="5" t="s">
        <v>26496</v>
      </c>
      <c r="E20764" s="6" t="str">
        <f>HYPERLINK("https://inpn.mnhn.fr/espece/cd_nom/116604","Pyrus salviifolia DC., 1825")</f>
        <v>Pyrus salviifolia DC., 1825</v>
      </c>
      <c r="F20764" s="5" t="s">
        <v>26497</v>
      </c>
      <c r="AH20764" s="4" t="str">
        <f>HYPERLINK("#Statut_biogéographique!A"&amp;_xlfn.XMATCH("M",Statut_biogéographique!A:A,2,1),"M")</f>
        <v>M</v>
      </c>
      <c r="AP20764" s="4" t="s">
        <v>376</v>
      </c>
      <c r="AR20764" s="4" t="s">
        <v>377</v>
      </c>
    </row>
    <row r="20765" spans="1:44" ht="60">
      <c r="A20765" s="4" t="s">
        <v>24364</v>
      </c>
      <c r="B20765" s="4">
        <v>116670</v>
      </c>
      <c r="D20765" s="5" t="s">
        <v>26498</v>
      </c>
      <c r="E20765" s="6" t="str">
        <f>HYPERLINK("https://inpn.mnhn.fr/espece/cd_nom/116670","Quercus cerris L., 1753")</f>
        <v>Quercus cerris L., 1753</v>
      </c>
      <c r="F20765" s="5" t="s">
        <v>26499</v>
      </c>
      <c r="O20765" s="7" t="str">
        <f>HYPERLINK("#Liste_rouge!A"&amp;_xlfn.XMATCH("LC",Liste_rouge!A:A,2,1),"LC")</f>
        <v>LC</v>
      </c>
      <c r="P20765" s="7" t="str">
        <f>HYPERLINK("#Liste_rouge!A"&amp;_xlfn.XMATCH("LC",Liste_rouge!A:A,2,1),"LC")</f>
        <v>LC</v>
      </c>
      <c r="Q20765" s="7" t="str">
        <f>HYPERLINK("#Liste_rouge!A"&amp;_xlfn.XMATCH("LC",Liste_rouge!A:A,2,1),"LC")</f>
        <v>LC</v>
      </c>
      <c r="T20765" s="7" t="str">
        <f>HYPERLINK("#Liste_rouge!A"&amp;_xlfn.XMATCH("NA",Liste_rouge!A:A,2,1),"NA")</f>
        <v>NA</v>
      </c>
      <c r="V20765" s="7" t="str">
        <f>HYPERLINK("#Liste_rouge!A"&amp;_xlfn.XMATCH("VU",Liste_rouge!A:A,2,1),"VU")</f>
        <v>VU</v>
      </c>
      <c r="W20765" s="4" t="str">
        <f>HYPERLINK("#Critères_liste_rouge!A$1","D2")</f>
        <v>D2</v>
      </c>
      <c r="AB20765" s="4" t="s">
        <v>25106</v>
      </c>
      <c r="AH20765" s="4" t="str">
        <f>HYPERLINK("#Statut_biogéographique!A"&amp;_xlfn.XMATCH("P",Statut_biogéographique!A:A,2,1),"P")</f>
        <v>P</v>
      </c>
      <c r="AM20765" s="4" t="s">
        <v>375</v>
      </c>
      <c r="AN20765" s="4" t="s">
        <v>375</v>
      </c>
      <c r="AO20765" s="4" t="s">
        <v>375</v>
      </c>
      <c r="AP20765" s="4" t="s">
        <v>376</v>
      </c>
      <c r="AR20765" s="4" t="s">
        <v>377</v>
      </c>
    </row>
    <row r="20766" spans="1:44" ht="105">
      <c r="A20766" s="4" t="s">
        <v>24364</v>
      </c>
      <c r="B20766" s="4">
        <v>116704</v>
      </c>
      <c r="D20766" s="5" t="s">
        <v>26500</v>
      </c>
      <c r="E20766" s="6" t="str">
        <f>HYPERLINK("https://inpn.mnhn.fr/espece/cd_nom/116704","Quercus ilex L., 1753 [nom. et typ. cons. prop.]")</f>
        <v>Quercus ilex L., 1753 [nom. et typ. cons. prop.]</v>
      </c>
      <c r="F20766" s="5" t="s">
        <v>26501</v>
      </c>
      <c r="P20766" s="7" t="str">
        <f>HYPERLINK("#Liste_rouge!A"&amp;_xlfn.XMATCH("LC",Liste_rouge!A:A,2,1),"LC")</f>
        <v>LC</v>
      </c>
      <c r="Q20766" s="7" t="str">
        <f>HYPERLINK("#Liste_rouge!A"&amp;_xlfn.XMATCH("LC",Liste_rouge!A:A,2,1),"LC")</f>
        <v>LC</v>
      </c>
      <c r="T20766" s="7" t="str">
        <f>HYPERLINK("#Liste_rouge!A"&amp;_xlfn.XMATCH("NA",Liste_rouge!A:A,2,1),"NA")</f>
        <v>NA</v>
      </c>
      <c r="AH20766" s="4" t="str">
        <f>HYPERLINK("#Statut_biogéographique!A"&amp;_xlfn.XMATCH("P",Statut_biogéographique!A:A,2,1),"P")</f>
        <v>P</v>
      </c>
      <c r="AP20766" s="4" t="s">
        <v>376</v>
      </c>
      <c r="AR20766" s="4" t="s">
        <v>377</v>
      </c>
    </row>
    <row r="20767" spans="1:44">
      <c r="A20767" s="4" t="s">
        <v>24364</v>
      </c>
      <c r="B20767" s="4">
        <v>116740</v>
      </c>
      <c r="D20767" s="5">
        <v>116740</v>
      </c>
      <c r="E20767" s="6" t="str">
        <f>HYPERLINK("https://inpn.mnhn.fr/espece/cd_nom/116740","Quercus palustris Münchh., 1770")</f>
        <v>Quercus palustris Münchh., 1770</v>
      </c>
      <c r="F20767" s="5" t="s">
        <v>26502</v>
      </c>
      <c r="O20767" s="7" t="str">
        <f>HYPERLINK("#Liste_rouge!A"&amp;_xlfn.XMATCH("LC",Liste_rouge!A:A,2,1),"LC")</f>
        <v>LC</v>
      </c>
      <c r="Q20767" s="7" t="str">
        <f>HYPERLINK("#Liste_rouge!A"&amp;_xlfn.XMATCH("NA",Liste_rouge!A:A,2,1),"NA")</f>
        <v>NA</v>
      </c>
      <c r="T20767" s="7" t="str">
        <f>HYPERLINK("#Liste_rouge!A"&amp;_xlfn.XMATCH("NA",Liste_rouge!A:A,2,1),"NA")</f>
        <v>NA</v>
      </c>
      <c r="AH20767" s="4" t="str">
        <f>HYPERLINK("#Statut_biogéographique!A"&amp;_xlfn.XMATCH("M",Statut_biogéographique!A:A,2,1),"M")</f>
        <v>M</v>
      </c>
      <c r="AP20767" s="4" t="s">
        <v>376</v>
      </c>
      <c r="AR20767" s="4" t="s">
        <v>377</v>
      </c>
    </row>
    <row r="20768" spans="1:44" ht="150">
      <c r="A20768" s="4" t="s">
        <v>24364</v>
      </c>
      <c r="B20768" s="4">
        <v>116751</v>
      </c>
      <c r="D20768" s="5" t="s">
        <v>26503</v>
      </c>
      <c r="E20768" s="6" t="str">
        <f>HYPERLINK("https://inpn.mnhn.fr/espece/cd_nom/116751","Quercus pubescens Willd., 1796 [nom. et typ. cons.]")</f>
        <v>Quercus pubescens Willd., 1796 [nom. et typ. cons.]</v>
      </c>
      <c r="F20768" s="5" t="s">
        <v>26504</v>
      </c>
      <c r="O20768" s="7" t="str">
        <f>HYPERLINK("#Liste_rouge!A"&amp;_xlfn.XMATCH("LC",Liste_rouge!A:A,2,1),"LC")</f>
        <v>LC</v>
      </c>
      <c r="P20768" s="7" t="str">
        <f>HYPERLINK("#Liste_rouge!A"&amp;_xlfn.XMATCH("LC",Liste_rouge!A:A,2,1),"LC")</f>
        <v>LC</v>
      </c>
      <c r="Q20768" s="7" t="str">
        <f>HYPERLINK("#Liste_rouge!A"&amp;_xlfn.XMATCH("LC",Liste_rouge!A:A,2,1),"LC")</f>
        <v>LC</v>
      </c>
      <c r="T20768" s="7" t="str">
        <f>HYPERLINK("#Liste_rouge!A"&amp;_xlfn.XMATCH("LC",Liste_rouge!A:A,2,1),"LC")</f>
        <v>LC</v>
      </c>
      <c r="V20768" s="7" t="str">
        <f>HYPERLINK("#Liste_rouge!A"&amp;_xlfn.XMATCH("LC",Liste_rouge!A:A,2,1),"LC")</f>
        <v>LC</v>
      </c>
      <c r="AH20768" s="4" t="str">
        <f>HYPERLINK("#Statut_biogéographique!A"&amp;_xlfn.XMATCH("P",Statut_biogéographique!A:A,2,1),"P")</f>
        <v>P</v>
      </c>
      <c r="AM20768" s="4" t="s">
        <v>375</v>
      </c>
      <c r="AN20768" s="4" t="s">
        <v>375</v>
      </c>
      <c r="AO20768" s="4" t="s">
        <v>375</v>
      </c>
      <c r="AP20768" s="4" t="s">
        <v>376</v>
      </c>
      <c r="AR20768" s="4" t="s">
        <v>377</v>
      </c>
    </row>
    <row r="20769" spans="1:44" ht="45">
      <c r="A20769" s="4" t="s">
        <v>24364</v>
      </c>
      <c r="B20769" s="4">
        <v>116754</v>
      </c>
      <c r="D20769" s="5" t="s">
        <v>26505</v>
      </c>
      <c r="E20769" s="6" t="str">
        <f>HYPERLINK("https://inpn.mnhn.fr/espece/cd_nom/116754","Quercus pyrenaica Willd., 1805")</f>
        <v>Quercus pyrenaica Willd., 1805</v>
      </c>
      <c r="F20769" s="5" t="s">
        <v>26506</v>
      </c>
      <c r="P20769" s="7" t="str">
        <f>HYPERLINK("#Liste_rouge!A"&amp;_xlfn.XMATCH("LC",Liste_rouge!A:A,2,1),"LC")</f>
        <v>LC</v>
      </c>
      <c r="Q20769" s="7" t="str">
        <f>HYPERLINK("#Liste_rouge!A"&amp;_xlfn.XMATCH("LC",Liste_rouge!A:A,2,1),"LC")</f>
        <v>LC</v>
      </c>
      <c r="AH20769" s="4" t="str">
        <f>HYPERLINK("#Statut_biogéographique!A"&amp;_xlfn.XMATCH("P",Statut_biogéographique!A:A,2,1),"P")</f>
        <v>P</v>
      </c>
      <c r="AP20769" s="4" t="s">
        <v>376</v>
      </c>
      <c r="AR20769" s="4" t="s">
        <v>377</v>
      </c>
    </row>
    <row r="20770" spans="1:44" ht="165">
      <c r="A20770" s="4" t="s">
        <v>24364</v>
      </c>
      <c r="B20770" s="4">
        <v>116759</v>
      </c>
      <c r="D20770" s="5" t="s">
        <v>26507</v>
      </c>
      <c r="E20770" s="6" t="str">
        <f>HYPERLINK("https://inpn.mnhn.fr/espece/cd_nom/116759","Quercus robur L., 1753")</f>
        <v>Quercus robur L., 1753</v>
      </c>
      <c r="F20770" s="5" t="s">
        <v>26508</v>
      </c>
      <c r="O20770" s="7" t="str">
        <f>HYPERLINK("#Liste_rouge!A"&amp;_xlfn.XMATCH("LC",Liste_rouge!A:A,2,1),"LC")</f>
        <v>LC</v>
      </c>
      <c r="P20770" s="7" t="str">
        <f>HYPERLINK("#Liste_rouge!A"&amp;_xlfn.XMATCH("LC",Liste_rouge!A:A,2,1),"LC")</f>
        <v>LC</v>
      </c>
      <c r="Q20770" s="7" t="str">
        <f>HYPERLINK("#Liste_rouge!A"&amp;_xlfn.XMATCH("LC",Liste_rouge!A:A,2,1),"LC")</f>
        <v>LC</v>
      </c>
      <c r="T20770" s="7" t="str">
        <f>HYPERLINK("#Liste_rouge!A"&amp;_xlfn.XMATCH("LC",Liste_rouge!A:A,2,1),"LC (cd_nom 116759) - DD (cd_nom 139596)")</f>
        <v>LC (cd_nom 116759) - DD (cd_nom 139596)</v>
      </c>
      <c r="V20770" s="7" t="str">
        <f>HYPERLINK("#Liste_rouge!A"&amp;_xlfn.XMATCH("LC",Liste_rouge!A:A,2,1),"LC")</f>
        <v>LC</v>
      </c>
      <c r="AH20770" s="4" t="str">
        <f>HYPERLINK("#Statut_biogéographique!A"&amp;_xlfn.XMATCH("P",Statut_biogéographique!A:A,2,1),"P")</f>
        <v>P</v>
      </c>
      <c r="AM20770" s="4" t="s">
        <v>375</v>
      </c>
      <c r="AN20770" s="4" t="s">
        <v>375</v>
      </c>
      <c r="AO20770" s="4" t="s">
        <v>375</v>
      </c>
      <c r="AP20770" s="4" t="s">
        <v>376</v>
      </c>
      <c r="AR20770" s="4" t="s">
        <v>377</v>
      </c>
    </row>
    <row r="20771" spans="1:44">
      <c r="A20771" s="4" t="s">
        <v>24364</v>
      </c>
      <c r="B20771" s="4">
        <v>116762</v>
      </c>
      <c r="D20771" s="5" t="s">
        <v>26509</v>
      </c>
      <c r="E20771" s="6" t="str">
        <f>HYPERLINK("https://inpn.mnhn.fr/espece/cd_nom/116762","Quercus rubra L., 1753")</f>
        <v>Quercus rubra L., 1753</v>
      </c>
      <c r="F20771" s="5" t="s">
        <v>26510</v>
      </c>
      <c r="O20771" s="7" t="str">
        <f>HYPERLINK("#Liste_rouge!A"&amp;_xlfn.XMATCH("LC",Liste_rouge!A:A,2,1),"LC")</f>
        <v>LC</v>
      </c>
      <c r="Q20771" s="7" t="str">
        <f>HYPERLINK("#Liste_rouge!A"&amp;_xlfn.XMATCH("NA",Liste_rouge!A:A,2,1),"NA")</f>
        <v>NA</v>
      </c>
      <c r="T20771" s="7" t="str">
        <f>HYPERLINK("#Liste_rouge!A"&amp;_xlfn.XMATCH("NA",Liste_rouge!A:A,2,1),"NA")</f>
        <v>NA</v>
      </c>
      <c r="AH20771" s="4" t="str">
        <f>HYPERLINK("#Statut_biogéographique!A"&amp;_xlfn.XMATCH("I",Statut_biogéographique!A:A,2,1),"I")</f>
        <v>I</v>
      </c>
      <c r="AM20771" s="4" t="s">
        <v>375</v>
      </c>
      <c r="AN20771" s="4" t="s">
        <v>375</v>
      </c>
      <c r="AO20771" s="4" t="s">
        <v>375</v>
      </c>
      <c r="AP20771" s="4" t="s">
        <v>376</v>
      </c>
      <c r="AR20771" s="4" t="s">
        <v>377</v>
      </c>
    </row>
    <row r="20772" spans="1:44" ht="30">
      <c r="A20772" s="4" t="s">
        <v>24364</v>
      </c>
      <c r="B20772" s="4">
        <v>116799</v>
      </c>
      <c r="D20772" s="5" t="s">
        <v>26511</v>
      </c>
      <c r="E20772" s="6" t="str">
        <f>HYPERLINK("https://inpn.mnhn.fr/espece/cd_nom/116799","Quercus x andegavensis Hy, 1896")</f>
        <v>Quercus x andegavensis Hy, 1896</v>
      </c>
      <c r="F20772" s="5" t="s">
        <v>26512</v>
      </c>
      <c r="T20772" s="7" t="str">
        <f>HYPERLINK("#Liste_rouge!A"&amp;_xlfn.XMATCH("NE",Liste_rouge!A:A,2,1),"NE")</f>
        <v>NE</v>
      </c>
      <c r="AH20772" s="4" t="str">
        <f>HYPERLINK("#Statut_biogéographique!A"&amp;_xlfn.XMATCH("P",Statut_biogéographique!A:A,2,1),"P")</f>
        <v>P</v>
      </c>
      <c r="AP20772" s="4" t="s">
        <v>376</v>
      </c>
      <c r="AR20772" s="4" t="s">
        <v>377</v>
      </c>
    </row>
    <row r="20773" spans="1:44" ht="30">
      <c r="A20773" s="4" t="s">
        <v>24364</v>
      </c>
      <c r="B20773" s="4">
        <v>116829</v>
      </c>
      <c r="D20773" s="5" t="s">
        <v>26513</v>
      </c>
      <c r="E20773" s="6" t="str">
        <f>HYPERLINK("https://inpn.mnhn.fr/espece/cd_nom/116829","Quercus x kerneri Simonk., 1883")</f>
        <v>Quercus x kerneri Simonk., 1883</v>
      </c>
      <c r="F20773" s="5" t="s">
        <v>26514</v>
      </c>
      <c r="T20773" s="7" t="str">
        <f>HYPERLINK("#Liste_rouge!A"&amp;_xlfn.XMATCH("LC",Liste_rouge!A:A,2,1),"LC")</f>
        <v>LC</v>
      </c>
      <c r="AH20773" s="4" t="str">
        <f>HYPERLINK("#Statut_biogéographique!A"&amp;_xlfn.XMATCH("P",Statut_biogéographique!A:A,2,1),"P")</f>
        <v>P</v>
      </c>
      <c r="AP20773" s="4" t="s">
        <v>376</v>
      </c>
      <c r="AR20773" s="4" t="s">
        <v>377</v>
      </c>
    </row>
    <row r="20774" spans="1:44" ht="30">
      <c r="A20774" s="4" t="s">
        <v>24364</v>
      </c>
      <c r="B20774" s="4">
        <v>116842</v>
      </c>
      <c r="D20774" s="5" t="s">
        <v>26515</v>
      </c>
      <c r="E20774" s="6" t="str">
        <f>HYPERLINK("https://inpn.mnhn.fr/espece/cd_nom/116842","Quercus x rosacea Bechst., 1813")</f>
        <v>Quercus x rosacea Bechst., 1813</v>
      </c>
      <c r="F20774" s="5" t="s">
        <v>26516</v>
      </c>
      <c r="T20774" s="7" t="str">
        <f>HYPERLINK("#Liste_rouge!A"&amp;_xlfn.XMATCH("LC",Liste_rouge!A:A,2,1),"LC")</f>
        <v>LC</v>
      </c>
      <c r="AH20774" s="4" t="str">
        <f>HYPERLINK("#Statut_biogéographique!A"&amp;_xlfn.XMATCH("P",Statut_biogéographique!A:A,2,1),"P")</f>
        <v>P</v>
      </c>
      <c r="AP20774" s="4" t="s">
        <v>376</v>
      </c>
      <c r="AR20774" s="4" t="s">
        <v>377</v>
      </c>
    </row>
    <row r="20775" spans="1:44" ht="60">
      <c r="A20775" s="4" t="s">
        <v>24364</v>
      </c>
      <c r="B20775" s="4">
        <v>116902</v>
      </c>
      <c r="D20775" s="5" t="s">
        <v>26517</v>
      </c>
      <c r="E20775" s="6" t="str">
        <f>HYPERLINK("https://inpn.mnhn.fr/espece/cd_nom/116902","Ranunculus aconitifolius L., 1753")</f>
        <v>Ranunculus aconitifolius L., 1753</v>
      </c>
      <c r="F20775" s="5" t="s">
        <v>26518</v>
      </c>
      <c r="Q20775" s="7" t="str">
        <f>HYPERLINK("#Liste_rouge!A"&amp;_xlfn.XMATCH("LC",Liste_rouge!A:A,2,1),"LC")</f>
        <v>LC</v>
      </c>
      <c r="T20775" s="7" t="str">
        <f>HYPERLINK("#Liste_rouge!A"&amp;_xlfn.XMATCH("LC",Liste_rouge!A:A,2,1),"LC")</f>
        <v>LC</v>
      </c>
      <c r="V20775" s="7" t="str">
        <f>HYPERLINK("#Liste_rouge!A"&amp;_xlfn.XMATCH("LC",Liste_rouge!A:A,2,1),"LC")</f>
        <v>LC</v>
      </c>
      <c r="AB20775" s="4" t="s">
        <v>24495</v>
      </c>
      <c r="AH20775" s="4" t="str">
        <f>HYPERLINK("#Statut_biogéographique!A"&amp;_xlfn.XMATCH("P",Statut_biogéographique!A:A,2,1),"P")</f>
        <v>P</v>
      </c>
      <c r="AM20775" s="4" t="s">
        <v>375</v>
      </c>
      <c r="AN20775" s="4" t="s">
        <v>375</v>
      </c>
      <c r="AO20775" s="4" t="s">
        <v>375</v>
      </c>
      <c r="AP20775" s="4" t="s">
        <v>376</v>
      </c>
      <c r="AR20775" s="4" t="s">
        <v>377</v>
      </c>
    </row>
    <row r="20776" spans="1:44" ht="105">
      <c r="A20776" s="4" t="s">
        <v>24364</v>
      </c>
      <c r="B20776" s="4">
        <v>116903</v>
      </c>
      <c r="D20776" s="5" t="s">
        <v>26519</v>
      </c>
      <c r="E20776" s="6" t="str">
        <f>HYPERLINK("https://inpn.mnhn.fr/espece/cd_nom/116903","Ranunculus acris L., 1753")</f>
        <v>Ranunculus acris L., 1753</v>
      </c>
      <c r="F20776" s="5" t="s">
        <v>26520</v>
      </c>
      <c r="Q20776" s="7" t="str">
        <f>HYPERLINK("#Liste_rouge!A"&amp;_xlfn.XMATCH("LC",Liste_rouge!A:A,2,1),"LC")</f>
        <v>LC</v>
      </c>
      <c r="T20776" s="7" t="str">
        <f>HYPERLINK("#Liste_rouge!A"&amp;_xlfn.XMATCH("LC",Liste_rouge!A:A,2,1),"LC")</f>
        <v>LC</v>
      </c>
      <c r="V20776" s="7" t="str">
        <f>HYPERLINK("#Liste_rouge!A"&amp;_xlfn.XMATCH("LC",Liste_rouge!A:A,2,1),"LC")</f>
        <v>LC</v>
      </c>
      <c r="AH20776" s="4" t="str">
        <f>HYPERLINK("#Statut_biogéographique!A"&amp;_xlfn.XMATCH("P",Statut_biogéographique!A:A,2,1),"P")</f>
        <v>P</v>
      </c>
      <c r="AM20776" s="4" t="s">
        <v>375</v>
      </c>
      <c r="AN20776" s="4" t="s">
        <v>375</v>
      </c>
      <c r="AO20776" s="4" t="s">
        <v>375</v>
      </c>
      <c r="AP20776" s="4" t="s">
        <v>376</v>
      </c>
      <c r="AR20776" s="4" t="s">
        <v>377</v>
      </c>
    </row>
    <row r="20777" spans="1:44" ht="45">
      <c r="A20777" s="4" t="s">
        <v>24364</v>
      </c>
      <c r="B20777" s="4">
        <v>116907</v>
      </c>
      <c r="D20777" s="5" t="s">
        <v>26521</v>
      </c>
      <c r="E20777" s="6" t="str">
        <f>HYPERLINK("https://inpn.mnhn.fr/espece/cd_nom/116907","Ranunculus aduncus Gren., 1847")</f>
        <v>Ranunculus aduncus Gren., 1847</v>
      </c>
      <c r="F20777" s="5" t="s">
        <v>26522</v>
      </c>
      <c r="Q20777" s="7" t="str">
        <f>HYPERLINK("#Liste_rouge!A"&amp;_xlfn.XMATCH("LC",Liste_rouge!A:A,2,1),"LC")</f>
        <v>LC</v>
      </c>
      <c r="AH20777" s="4" t="str">
        <f>HYPERLINK("#Statut_biogéographique!A"&amp;_xlfn.XMATCH("P",Statut_biogéographique!A:A,2,1),"P")</f>
        <v>P</v>
      </c>
      <c r="AP20777" s="4" t="s">
        <v>376</v>
      </c>
      <c r="AR20777" s="4" t="s">
        <v>377</v>
      </c>
    </row>
    <row r="20778" spans="1:44" ht="30">
      <c r="A20778" s="4" t="s">
        <v>24364</v>
      </c>
      <c r="B20778" s="4">
        <v>116917</v>
      </c>
      <c r="D20778" s="5" t="s">
        <v>26523</v>
      </c>
      <c r="E20778" s="6" t="str">
        <f>HYPERLINK("https://inpn.mnhn.fr/espece/cd_nom/116917","Ranunculus alpestris L., 1753")</f>
        <v>Ranunculus alpestris L., 1753</v>
      </c>
      <c r="F20778" s="5" t="s">
        <v>26524</v>
      </c>
      <c r="Q20778" s="7" t="str">
        <f>HYPERLINK("#Liste_rouge!A"&amp;_xlfn.XMATCH("LC",Liste_rouge!A:A,2,1),"LC")</f>
        <v>LC</v>
      </c>
      <c r="V20778" s="7" t="str">
        <f>HYPERLINK("#Liste_rouge!A"&amp;_xlfn.XMATCH("RE",Liste_rouge!A:A,2,1),"RE")</f>
        <v>RE</v>
      </c>
      <c r="AH20778" s="4" t="str">
        <f>HYPERLINK("#Statut_biogéographique!A"&amp;_xlfn.XMATCH("P",Statut_biogéographique!A:A,2,1),"P")</f>
        <v>P</v>
      </c>
      <c r="AM20778" s="4" t="s">
        <v>375</v>
      </c>
      <c r="AN20778" s="4" t="s">
        <v>375</v>
      </c>
      <c r="AO20778" s="4" t="s">
        <v>375</v>
      </c>
      <c r="AP20778" s="4" t="s">
        <v>376</v>
      </c>
      <c r="AR20778" s="4" t="s">
        <v>377</v>
      </c>
    </row>
    <row r="20779" spans="1:44" ht="135">
      <c r="A20779" s="4" t="s">
        <v>24364</v>
      </c>
      <c r="B20779" s="4">
        <v>116928</v>
      </c>
      <c r="D20779" s="5" t="s">
        <v>26525</v>
      </c>
      <c r="E20779" s="6" t="str">
        <f>HYPERLINK("https://inpn.mnhn.fr/espece/cd_nom/116928","Ranunculus aquatilis L., 1753")</f>
        <v>Ranunculus aquatilis L., 1753</v>
      </c>
      <c r="F20779" s="5" t="s">
        <v>26526</v>
      </c>
      <c r="O20779" s="7" t="str">
        <f>HYPERLINK("#Liste_rouge!A"&amp;_xlfn.XMATCH("LC",Liste_rouge!A:A,2,1),"LC")</f>
        <v>LC</v>
      </c>
      <c r="P20779" s="7" t="str">
        <f>HYPERLINK("#Liste_rouge!A"&amp;_xlfn.XMATCH("LC",Liste_rouge!A:A,2,1),"LC")</f>
        <v>LC</v>
      </c>
      <c r="Q20779" s="7" t="str">
        <f>HYPERLINK("#Liste_rouge!A"&amp;_xlfn.XMATCH("LC",Liste_rouge!A:A,2,1),"LC")</f>
        <v>LC</v>
      </c>
      <c r="T20779" s="7" t="str">
        <f>HYPERLINK("#Liste_rouge!A"&amp;_xlfn.XMATCH("LC",Liste_rouge!A:A,2,1),"LC")</f>
        <v>LC</v>
      </c>
      <c r="V20779" s="7" t="str">
        <f>HYPERLINK("#Liste_rouge!A"&amp;_xlfn.XMATCH("DD",Liste_rouge!A:A,2,1),"DD")</f>
        <v>DD</v>
      </c>
      <c r="AB20779" s="4" t="s">
        <v>24733</v>
      </c>
      <c r="AH20779" s="4" t="str">
        <f>HYPERLINK("#Statut_biogéographique!A"&amp;_xlfn.XMATCH("P",Statut_biogéographique!A:A,2,1),"P")</f>
        <v>P</v>
      </c>
      <c r="AM20779" s="4" t="s">
        <v>375</v>
      </c>
      <c r="AN20779" s="4" t="s">
        <v>375</v>
      </c>
      <c r="AO20779" s="4" t="s">
        <v>375</v>
      </c>
      <c r="AP20779" s="4" t="s">
        <v>376</v>
      </c>
      <c r="AR20779" s="4" t="s">
        <v>377</v>
      </c>
    </row>
    <row r="20780" spans="1:44" ht="45">
      <c r="A20780" s="4" t="s">
        <v>24364</v>
      </c>
      <c r="B20780" s="4">
        <v>116932</v>
      </c>
      <c r="D20780" s="5" t="s">
        <v>26527</v>
      </c>
      <c r="E20780" s="6" t="str">
        <f>HYPERLINK("https://inpn.mnhn.fr/espece/cd_nom/116932","Ranunculus arvensis L., 1753")</f>
        <v>Ranunculus arvensis L., 1753</v>
      </c>
      <c r="F20780" s="5" t="s">
        <v>26528</v>
      </c>
      <c r="Q20780" s="7" t="str">
        <f>HYPERLINK("#Liste_rouge!A"&amp;_xlfn.XMATCH("LC",Liste_rouge!A:A,2,1),"LC")</f>
        <v>LC</v>
      </c>
      <c r="T20780" s="7" t="str">
        <f>HYPERLINK("#Liste_rouge!A"&amp;_xlfn.XMATCH("LC",Liste_rouge!A:A,2,1),"LC")</f>
        <v>LC</v>
      </c>
      <c r="V20780" s="7" t="str">
        <f>HYPERLINK("#Liste_rouge!A"&amp;_xlfn.XMATCH("NT",Liste_rouge!A:A,2,1),"NT")</f>
        <v>NT</v>
      </c>
      <c r="W20780" s="4" t="str">
        <f>HYPERLINK("#Critères_liste_rouge!A$1","pr. A3c B2b(iii)")</f>
        <v>pr. A3c B2b(iii)</v>
      </c>
      <c r="AB20780" s="4" t="s">
        <v>25072</v>
      </c>
      <c r="AH20780" s="4" t="str">
        <f>HYPERLINK("#Statut_biogéographique!A"&amp;_xlfn.XMATCH("P",Statut_biogéographique!A:A,2,1),"P")</f>
        <v>P</v>
      </c>
      <c r="AI20780" s="8" t="s">
        <v>26529</v>
      </c>
      <c r="AJ20780" s="4" t="s">
        <v>12248</v>
      </c>
      <c r="AM20780" s="4" t="s">
        <v>375</v>
      </c>
      <c r="AN20780" s="4" t="s">
        <v>375</v>
      </c>
      <c r="AO20780" s="4" t="s">
        <v>375</v>
      </c>
      <c r="AP20780" s="4" t="s">
        <v>376</v>
      </c>
      <c r="AR20780" s="4" t="s">
        <v>377</v>
      </c>
    </row>
    <row r="20781" spans="1:44">
      <c r="A20781" s="4" t="s">
        <v>24364</v>
      </c>
      <c r="B20781" s="4">
        <v>116936</v>
      </c>
      <c r="D20781" s="5" t="s">
        <v>26530</v>
      </c>
      <c r="E20781" s="6" t="str">
        <f>HYPERLINK("https://inpn.mnhn.fr/espece/cd_nom/116936","Ranunculus auricomus L., 1753")</f>
        <v>Ranunculus auricomus L., 1753</v>
      </c>
      <c r="F20781" s="5" t="s">
        <v>26531</v>
      </c>
      <c r="Q20781" s="7" t="str">
        <f>HYPERLINK("#Liste_rouge!A"&amp;_xlfn.XMATCH("LC",Liste_rouge!A:A,2,1),"LC")</f>
        <v>LC</v>
      </c>
      <c r="T20781" s="7" t="str">
        <f>HYPERLINK("#Liste_rouge!A"&amp;_xlfn.XMATCH("LC",Liste_rouge!A:A,2,1),"LC")</f>
        <v>LC</v>
      </c>
      <c r="V20781" s="7" t="str">
        <f>HYPERLINK("#Liste_rouge!A"&amp;_xlfn.XMATCH("LC",Liste_rouge!A:A,2,1),"LC")</f>
        <v>LC</v>
      </c>
      <c r="AH20781" s="4" t="str">
        <f>HYPERLINK("#Statut_biogéographique!A"&amp;_xlfn.XMATCH("P",Statut_biogéographique!A:A,2,1),"P")</f>
        <v>P</v>
      </c>
      <c r="AM20781" s="4" t="s">
        <v>375</v>
      </c>
      <c r="AN20781" s="4" t="s">
        <v>375</v>
      </c>
      <c r="AO20781" s="4" t="s">
        <v>375</v>
      </c>
      <c r="AP20781" s="4" t="s">
        <v>376</v>
      </c>
      <c r="AR20781" s="4" t="s">
        <v>377</v>
      </c>
    </row>
    <row r="20782" spans="1:44" ht="165">
      <c r="A20782" s="4" t="s">
        <v>24364</v>
      </c>
      <c r="B20782" s="4">
        <v>116952</v>
      </c>
      <c r="D20782" s="5" t="s">
        <v>26532</v>
      </c>
      <c r="E20782" s="6" t="str">
        <f>HYPERLINK("https://inpn.mnhn.fr/espece/cd_nom/116952","Ranunculus bulbosus L., 1753")</f>
        <v>Ranunculus bulbosus L., 1753</v>
      </c>
      <c r="F20782" s="5" t="s">
        <v>26533</v>
      </c>
      <c r="Q20782" s="7" t="str">
        <f>HYPERLINK("#Liste_rouge!A"&amp;_xlfn.XMATCH("LC",Liste_rouge!A:A,2,1),"LC")</f>
        <v>LC</v>
      </c>
      <c r="T20782" s="7" t="str">
        <f>HYPERLINK("#Liste_rouge!A"&amp;_xlfn.XMATCH("LC",Liste_rouge!A:A,2,1),"LC")</f>
        <v>LC</v>
      </c>
      <c r="V20782" s="7" t="str">
        <f>HYPERLINK("#Liste_rouge!A"&amp;_xlfn.XMATCH("LC",Liste_rouge!A:A,2,1),"LC")</f>
        <v>LC</v>
      </c>
      <c r="AH20782" s="4" t="str">
        <f>HYPERLINK("#Statut_biogéographique!A"&amp;_xlfn.XMATCH("P",Statut_biogéographique!A:A,2,1),"P")</f>
        <v>P</v>
      </c>
      <c r="AM20782" s="4" t="s">
        <v>375</v>
      </c>
      <c r="AN20782" s="4" t="s">
        <v>375</v>
      </c>
      <c r="AO20782" s="4" t="s">
        <v>375</v>
      </c>
      <c r="AP20782" s="4" t="s">
        <v>376</v>
      </c>
      <c r="AR20782" s="4" t="s">
        <v>377</v>
      </c>
    </row>
    <row r="20783" spans="1:44" ht="30">
      <c r="A20783" s="4" t="s">
        <v>24364</v>
      </c>
      <c r="B20783" s="4">
        <v>116967</v>
      </c>
      <c r="D20783" s="5" t="s">
        <v>26534</v>
      </c>
      <c r="E20783" s="6" t="str">
        <f>HYPERLINK("https://inpn.mnhn.fr/espece/cd_nom/116967","Ranunculus carinthiacus Hoppe, 1826")</f>
        <v>Ranunculus carinthiacus Hoppe, 1826</v>
      </c>
      <c r="F20783" s="5" t="s">
        <v>26535</v>
      </c>
      <c r="Q20783" s="7" t="str">
        <f>HYPERLINK("#Liste_rouge!A"&amp;_xlfn.XMATCH("LC",Liste_rouge!A:A,2,1),"LC")</f>
        <v>LC</v>
      </c>
      <c r="V20783" s="7" t="str">
        <f>HYPERLINK("#Liste_rouge!A"&amp;_xlfn.XMATCH("LC",Liste_rouge!A:A,2,1),"LC")</f>
        <v>LC</v>
      </c>
      <c r="AH20783" s="4" t="str">
        <f>HYPERLINK("#Statut_biogéographique!A"&amp;_xlfn.XMATCH("P",Statut_biogéographique!A:A,2,1),"P")</f>
        <v>P</v>
      </c>
      <c r="AM20783" s="4" t="s">
        <v>375</v>
      </c>
      <c r="AN20783" s="4" t="s">
        <v>375</v>
      </c>
      <c r="AO20783" s="4" t="s">
        <v>375</v>
      </c>
      <c r="AP20783" s="4" t="s">
        <v>376</v>
      </c>
      <c r="AR20783" s="4" t="s">
        <v>377</v>
      </c>
    </row>
    <row r="20784" spans="1:44" ht="60">
      <c r="A20784" s="4" t="s">
        <v>24364</v>
      </c>
      <c r="B20784" s="4">
        <v>116979</v>
      </c>
      <c r="D20784" s="5" t="s">
        <v>26536</v>
      </c>
      <c r="E20784" s="6" t="str">
        <f>HYPERLINK("https://inpn.mnhn.fr/espece/cd_nom/116979","Ranunculus circinatus Sibth., 1794")</f>
        <v>Ranunculus circinatus Sibth., 1794</v>
      </c>
      <c r="F20784" s="5" t="s">
        <v>26537</v>
      </c>
      <c r="P20784" s="7" t="str">
        <f>HYPERLINK("#Liste_rouge!A"&amp;_xlfn.XMATCH("LC",Liste_rouge!A:A,2,1),"LC")</f>
        <v>LC</v>
      </c>
      <c r="Q20784" s="7" t="str">
        <f>HYPERLINK("#Liste_rouge!A"&amp;_xlfn.XMATCH("LC",Liste_rouge!A:A,2,1),"LC")</f>
        <v>LC</v>
      </c>
      <c r="T20784" s="7" t="str">
        <f>HYPERLINK("#Liste_rouge!A"&amp;_xlfn.XMATCH("NT",Liste_rouge!A:A,2,1),"NT")</f>
        <v>NT</v>
      </c>
      <c r="U20784" s="4" t="str">
        <f>HYPERLINK("#Critères_liste_rouge!A$1","pr. D2")</f>
        <v>pr. D2</v>
      </c>
      <c r="V20784" s="7" t="str">
        <f>HYPERLINK("#Liste_rouge!A"&amp;_xlfn.XMATCH("LC",Liste_rouge!A:A,2,1),"LC")</f>
        <v>LC</v>
      </c>
      <c r="AB20784" s="4" t="s">
        <v>26538</v>
      </c>
      <c r="AH20784" s="4" t="str">
        <f>HYPERLINK("#Statut_biogéographique!A"&amp;_xlfn.XMATCH("P",Statut_biogéographique!A:A,2,1),"P")</f>
        <v>P</v>
      </c>
      <c r="AM20784" s="4" t="s">
        <v>375</v>
      </c>
      <c r="AN20784" s="4" t="s">
        <v>375</v>
      </c>
      <c r="AO20784" s="4" t="s">
        <v>375</v>
      </c>
      <c r="AP20784" s="4" t="s">
        <v>376</v>
      </c>
      <c r="AR20784" s="4" t="s">
        <v>377</v>
      </c>
    </row>
    <row r="20785" spans="1:44" ht="30">
      <c r="A20785" s="4" t="s">
        <v>24364</v>
      </c>
      <c r="B20785" s="4">
        <v>117025</v>
      </c>
      <c r="D20785" s="5">
        <v>117025</v>
      </c>
      <c r="E20785" s="6" t="str">
        <f>HYPERLINK("https://inpn.mnhn.fr/espece/cd_nom/117025","Ranunculus flammula L., 1753")</f>
        <v>Ranunculus flammula L., 1753</v>
      </c>
      <c r="F20785" s="5" t="s">
        <v>26539</v>
      </c>
      <c r="O20785" s="7" t="str">
        <f>HYPERLINK("#Liste_rouge!A"&amp;_xlfn.XMATCH("LC",Liste_rouge!A:A,2,1),"LC")</f>
        <v>LC</v>
      </c>
      <c r="P20785" s="7" t="str">
        <f>HYPERLINK("#Liste_rouge!A"&amp;_xlfn.XMATCH("LC",Liste_rouge!A:A,2,1),"LC")</f>
        <v>LC</v>
      </c>
      <c r="Q20785" s="7" t="str">
        <f>HYPERLINK("#Liste_rouge!A"&amp;_xlfn.XMATCH("LC",Liste_rouge!A:A,2,1),"LC")</f>
        <v>LC</v>
      </c>
      <c r="T20785" s="7" t="str">
        <f>HYPERLINK("#Liste_rouge!A"&amp;_xlfn.XMATCH("LC",Liste_rouge!A:A,2,1),"LC")</f>
        <v>LC</v>
      </c>
      <c r="V20785" s="7" t="str">
        <f>HYPERLINK("#Liste_rouge!A"&amp;_xlfn.XMATCH("LC",Liste_rouge!A:A,2,1),"LC")</f>
        <v>LC</v>
      </c>
      <c r="AH20785" s="4" t="str">
        <f>HYPERLINK("#Statut_biogéographique!A"&amp;_xlfn.XMATCH("P",Statut_biogéographique!A:A,2,1),"P")</f>
        <v>P</v>
      </c>
      <c r="AM20785" s="4" t="s">
        <v>375</v>
      </c>
      <c r="AN20785" s="4" t="s">
        <v>375</v>
      </c>
      <c r="AO20785" s="4" t="s">
        <v>375</v>
      </c>
      <c r="AP20785" s="4" t="s">
        <v>376</v>
      </c>
      <c r="AR20785" s="4" t="s">
        <v>377</v>
      </c>
    </row>
    <row r="20786" spans="1:44" ht="45">
      <c r="A20786" s="4" t="s">
        <v>24364</v>
      </c>
      <c r="B20786" s="4">
        <v>117027</v>
      </c>
      <c r="D20786" s="5" t="s">
        <v>26540</v>
      </c>
      <c r="E20786" s="6" t="str">
        <f>HYPERLINK("https://inpn.mnhn.fr/espece/cd_nom/117027","Ranunculus fluitans Lam., 1779")</f>
        <v>Ranunculus fluitans Lam., 1779</v>
      </c>
      <c r="F20786" s="5" t="s">
        <v>26541</v>
      </c>
      <c r="O20786" s="7" t="str">
        <f>HYPERLINK("#Liste_rouge!A"&amp;_xlfn.XMATCH("LC",Liste_rouge!A:A,2,1),"LC")</f>
        <v>LC</v>
      </c>
      <c r="P20786" s="7" t="str">
        <f>HYPERLINK("#Liste_rouge!A"&amp;_xlfn.XMATCH("LC",Liste_rouge!A:A,2,1),"LC")</f>
        <v>LC</v>
      </c>
      <c r="Q20786" s="7" t="str">
        <f>HYPERLINK("#Liste_rouge!A"&amp;_xlfn.XMATCH("DD",Liste_rouge!A:A,2,1),"DD")</f>
        <v>DD</v>
      </c>
      <c r="T20786" s="7" t="str">
        <f>HYPERLINK("#Liste_rouge!A"&amp;_xlfn.XMATCH("LC",Liste_rouge!A:A,2,1),"LC")</f>
        <v>LC</v>
      </c>
      <c r="V20786" s="7" t="str">
        <f>HYPERLINK("#Liste_rouge!A"&amp;_xlfn.XMATCH("DD",Liste_rouge!A:A,2,1),"DD")</f>
        <v>DD</v>
      </c>
      <c r="AB20786" s="4" t="s">
        <v>24501</v>
      </c>
      <c r="AH20786" s="4" t="str">
        <f>HYPERLINK("#Statut_biogéographique!A"&amp;_xlfn.XMATCH("P",Statut_biogéographique!A:A,2,1),"P")</f>
        <v>P</v>
      </c>
      <c r="AM20786" s="4" t="s">
        <v>375</v>
      </c>
      <c r="AN20786" s="4" t="s">
        <v>375</v>
      </c>
      <c r="AO20786" s="4" t="s">
        <v>375</v>
      </c>
      <c r="AP20786" s="4" t="s">
        <v>376</v>
      </c>
      <c r="AR20786" s="4" t="s">
        <v>377</v>
      </c>
    </row>
    <row r="20787" spans="1:44" ht="30">
      <c r="A20787" s="4" t="s">
        <v>24364</v>
      </c>
      <c r="B20787" s="4">
        <v>117049</v>
      </c>
      <c r="D20787" s="5" t="s">
        <v>26542</v>
      </c>
      <c r="E20787" s="6" t="str">
        <f>HYPERLINK("https://inpn.mnhn.fr/espece/cd_nom/117049","Ranunculus gramineus L., 1753")</f>
        <v>Ranunculus gramineus L., 1753</v>
      </c>
      <c r="F20787" s="5" t="s">
        <v>26543</v>
      </c>
      <c r="Q20787" s="7" t="str">
        <f>HYPERLINK("#Liste_rouge!A"&amp;_xlfn.XMATCH("LC",Liste_rouge!A:A,2,1),"LC")</f>
        <v>LC</v>
      </c>
      <c r="T20787" s="7" t="str">
        <f>HYPERLINK("#Liste_rouge!A"&amp;_xlfn.XMATCH("VU",Liste_rouge!A:A,2,1),"VU")</f>
        <v>VU</v>
      </c>
      <c r="U20787" s="4" t="str">
        <f>HYPERLINK("#Critères_liste_rouge!A$1","C2a(i) D2")</f>
        <v>C2a(i) D2</v>
      </c>
      <c r="X20787" s="5" t="s">
        <v>374</v>
      </c>
      <c r="AB20787" s="4" t="s">
        <v>93</v>
      </c>
      <c r="AH20787" s="4" t="str">
        <f>HYPERLINK("#Statut_biogéographique!A"&amp;_xlfn.XMATCH("P",Statut_biogéographique!A:A,2,1),"P")</f>
        <v>P</v>
      </c>
      <c r="AM20787" s="4" t="s">
        <v>375</v>
      </c>
      <c r="AN20787" s="4" t="s">
        <v>375</v>
      </c>
      <c r="AO20787" s="4" t="s">
        <v>375</v>
      </c>
      <c r="AP20787" s="4" t="s">
        <v>376</v>
      </c>
      <c r="AR20787" s="4" t="s">
        <v>377</v>
      </c>
    </row>
    <row r="20788" spans="1:44" ht="30">
      <c r="A20788" s="4" t="s">
        <v>24364</v>
      </c>
      <c r="B20788" s="4">
        <v>117056</v>
      </c>
      <c r="D20788" s="5" t="s">
        <v>26544</v>
      </c>
      <c r="E20788" s="6" t="str">
        <f>HYPERLINK("https://inpn.mnhn.fr/espece/cd_nom/117056","Ranunculus hederaceus L., 1753")</f>
        <v>Ranunculus hederaceus L., 1753</v>
      </c>
      <c r="F20788" s="5" t="s">
        <v>26545</v>
      </c>
      <c r="M20788" s="4" t="str">
        <f>HYPERLINK("#Réglementation!A"&amp;_xlfn.XMATCH("RV26",Réglementation!A:A,2,1),"RV26")</f>
        <v>RV26</v>
      </c>
      <c r="O20788" s="7" t="str">
        <f>HYPERLINK("#Liste_rouge!A"&amp;_xlfn.XMATCH("LC",Liste_rouge!A:A,2,1),"LC")</f>
        <v>LC</v>
      </c>
      <c r="P20788" s="7" t="str">
        <f>HYPERLINK("#Liste_rouge!A"&amp;_xlfn.XMATCH("LC",Liste_rouge!A:A,2,1),"LC")</f>
        <v>LC</v>
      </c>
      <c r="Q20788" s="7" t="str">
        <f>HYPERLINK("#Liste_rouge!A"&amp;_xlfn.XMATCH("LC",Liste_rouge!A:A,2,1),"LC")</f>
        <v>LC</v>
      </c>
      <c r="T20788" s="7" t="str">
        <f>HYPERLINK("#Liste_rouge!A"&amp;_xlfn.XMATCH("NT",Liste_rouge!A:A,2,1),"NT")</f>
        <v>NT</v>
      </c>
      <c r="U20788" s="4" t="str">
        <f>HYPERLINK("#Critères_liste_rouge!A$1","pr. D2")</f>
        <v>pr. D2</v>
      </c>
      <c r="V20788" s="7" t="str">
        <f>HYPERLINK("#Liste_rouge!A"&amp;_xlfn.XMATCH("RE",Liste_rouge!A:A,2,1),"RE")</f>
        <v>RE</v>
      </c>
      <c r="AB20788" s="4" t="s">
        <v>24495</v>
      </c>
      <c r="AH20788" s="4" t="str">
        <f>HYPERLINK("#Statut_biogéographique!A"&amp;_xlfn.XMATCH("P",Statut_biogéographique!A:A,2,1),"P")</f>
        <v>P</v>
      </c>
      <c r="AM20788" s="4" t="s">
        <v>375</v>
      </c>
      <c r="AN20788" s="4" t="s">
        <v>375</v>
      </c>
      <c r="AO20788" s="4" t="s">
        <v>375</v>
      </c>
      <c r="AP20788" s="4" t="s">
        <v>376</v>
      </c>
      <c r="AR20788" s="4" t="s">
        <v>377</v>
      </c>
    </row>
    <row r="20789" spans="1:44" ht="30">
      <c r="A20789" s="4" t="s">
        <v>24364</v>
      </c>
      <c r="B20789" s="4">
        <v>117087</v>
      </c>
      <c r="D20789" s="5" t="s">
        <v>26546</v>
      </c>
      <c r="E20789" s="6" t="str">
        <f>HYPERLINK("https://inpn.mnhn.fr/espece/cd_nom/117087","Ranunculus lanuginosus L., 1753")</f>
        <v>Ranunculus lanuginosus L., 1753</v>
      </c>
      <c r="F20789" s="5" t="s">
        <v>26547</v>
      </c>
      <c r="Q20789" s="7" t="str">
        <f>HYPERLINK("#Liste_rouge!A"&amp;_xlfn.XMATCH("LC",Liste_rouge!A:A,2,1),"LC")</f>
        <v>LC</v>
      </c>
      <c r="V20789" s="7" t="str">
        <f>HYPERLINK("#Liste_rouge!A"&amp;_xlfn.XMATCH("LC",Liste_rouge!A:A,2,1),"LC")</f>
        <v>LC</v>
      </c>
      <c r="AH20789" s="4" t="str">
        <f>HYPERLINK("#Statut_biogéographique!A"&amp;_xlfn.XMATCH("P",Statut_biogéographique!A:A,2,1),"P")</f>
        <v>P</v>
      </c>
      <c r="AM20789" s="4" t="s">
        <v>375</v>
      </c>
      <c r="AN20789" s="4" t="s">
        <v>375</v>
      </c>
      <c r="AO20789" s="4" t="s">
        <v>375</v>
      </c>
      <c r="AP20789" s="4" t="s">
        <v>376</v>
      </c>
      <c r="AR20789" s="4" t="s">
        <v>377</v>
      </c>
    </row>
    <row r="20790" spans="1:44">
      <c r="A20790" s="4" t="s">
        <v>24364</v>
      </c>
      <c r="B20790" s="4">
        <v>117096</v>
      </c>
      <c r="D20790" s="5" t="s">
        <v>26548</v>
      </c>
      <c r="E20790" s="6" t="str">
        <f>HYPERLINK("https://inpn.mnhn.fr/espece/cd_nom/117096","Ranunculus lingua L., 1753")</f>
        <v>Ranunculus lingua L., 1753</v>
      </c>
      <c r="F20790" s="5" t="s">
        <v>26549</v>
      </c>
      <c r="L20790" s="4" t="str">
        <f>HYPERLINK("#Réglementation!A"&amp;_xlfn.XMATCH("NV1",Réglementation!A:A,2,1),"NV1")</f>
        <v>NV1</v>
      </c>
      <c r="O20790" s="7" t="str">
        <f>HYPERLINK("#Liste_rouge!A"&amp;_xlfn.XMATCH("LC",Liste_rouge!A:A,2,1),"LC")</f>
        <v>LC</v>
      </c>
      <c r="P20790" s="7" t="str">
        <f>HYPERLINK("#Liste_rouge!A"&amp;_xlfn.XMATCH("LC",Liste_rouge!A:A,2,1),"LC")</f>
        <v>LC</v>
      </c>
      <c r="Q20790" s="7" t="str">
        <f>HYPERLINK("#Liste_rouge!A"&amp;_xlfn.XMATCH("VU",Liste_rouge!A:A,2,1),"VU")</f>
        <v>VU</v>
      </c>
      <c r="T20790" s="7" t="str">
        <f>HYPERLINK("#Liste_rouge!A"&amp;_xlfn.XMATCH("EN",Liste_rouge!A:A,2,1),"EN")</f>
        <v>EN</v>
      </c>
      <c r="U20790" s="4" t="str">
        <f>HYPERLINK("#Critères_liste_rouge!A$1","C2a(i)")</f>
        <v>C2a(i)</v>
      </c>
      <c r="V20790" s="7" t="str">
        <f>HYPERLINK("#Liste_rouge!A"&amp;_xlfn.XMATCH("NT",Liste_rouge!A:A,2,1),"NT")</f>
        <v>NT</v>
      </c>
      <c r="W20790" s="4" t="str">
        <f>HYPERLINK("#Critères_liste_rouge!A$1","pr. B2b(ii,iii)")</f>
        <v>pr. B2b(ii,iii)</v>
      </c>
      <c r="X20790" s="5" t="s">
        <v>374</v>
      </c>
      <c r="AB20790" s="4" t="s">
        <v>93</v>
      </c>
      <c r="AH20790" s="4" t="str">
        <f>HYPERLINK("#Statut_biogéographique!A"&amp;_xlfn.XMATCH("P",Statut_biogéographique!A:A,2,1),"P")</f>
        <v>P</v>
      </c>
      <c r="AM20790" s="4" t="s">
        <v>375</v>
      </c>
      <c r="AN20790" s="4" t="s">
        <v>375</v>
      </c>
      <c r="AO20790" s="4" t="s">
        <v>375</v>
      </c>
      <c r="AP20790" s="4" t="s">
        <v>389</v>
      </c>
      <c r="AR20790" s="4" t="s">
        <v>377</v>
      </c>
    </row>
    <row r="20791" spans="1:44" ht="90">
      <c r="A20791" s="4" t="s">
        <v>24364</v>
      </c>
      <c r="B20791" s="4">
        <v>117123</v>
      </c>
      <c r="D20791" s="5" t="s">
        <v>26550</v>
      </c>
      <c r="E20791" s="6" t="str">
        <f>HYPERLINK("https://inpn.mnhn.fr/espece/cd_nom/117123","Ranunculus monspeliacus L., 1753")</f>
        <v>Ranunculus monspeliacus L., 1753</v>
      </c>
      <c r="F20791" s="5" t="s">
        <v>26551</v>
      </c>
      <c r="Q20791" s="7" t="str">
        <f>HYPERLINK("#Liste_rouge!A"&amp;_xlfn.XMATCH("LC",Liste_rouge!A:A,2,1),"LC")</f>
        <v>LC</v>
      </c>
      <c r="T20791" s="7" t="str">
        <f>HYPERLINK("#Liste_rouge!A"&amp;_xlfn.XMATCH("EN",Liste_rouge!A:A,2,1),"EN")</f>
        <v>EN</v>
      </c>
      <c r="U20791" s="4" t="str">
        <f>HYPERLINK("#Critères_liste_rouge!A$1","B2ab(ii,iii,iv)")</f>
        <v>B2ab(ii,iii,iv)</v>
      </c>
      <c r="X20791" s="5" t="s">
        <v>374</v>
      </c>
      <c r="AB20791" s="4" t="s">
        <v>93</v>
      </c>
      <c r="AH20791" s="4" t="str">
        <f>HYPERLINK("#Statut_biogéographique!A"&amp;_xlfn.XMATCH("P",Statut_biogéographique!A:A,2,1),"P")</f>
        <v>P</v>
      </c>
      <c r="AM20791" s="4" t="s">
        <v>375</v>
      </c>
      <c r="AN20791" s="4" t="s">
        <v>375</v>
      </c>
      <c r="AO20791" s="4" t="s">
        <v>375</v>
      </c>
      <c r="AP20791" s="4" t="s">
        <v>376</v>
      </c>
      <c r="AR20791" s="4" t="s">
        <v>377</v>
      </c>
    </row>
    <row r="20792" spans="1:44" ht="45">
      <c r="A20792" s="4" t="s">
        <v>24364</v>
      </c>
      <c r="B20792" s="4">
        <v>117144</v>
      </c>
      <c r="D20792" s="5" t="s">
        <v>26552</v>
      </c>
      <c r="E20792" s="6" t="str">
        <f>HYPERLINK("https://inpn.mnhn.fr/espece/cd_nom/117144","Ranunculus ololeucos J.Lloyd, 1844")</f>
        <v>Ranunculus ololeucos J.Lloyd, 1844</v>
      </c>
      <c r="F20792" s="5" t="s">
        <v>26553</v>
      </c>
      <c r="O20792" s="7" t="str">
        <f>HYPERLINK("#Liste_rouge!A"&amp;_xlfn.XMATCH("DD",Liste_rouge!A:A,2,1),"DD")</f>
        <v>DD</v>
      </c>
      <c r="P20792" s="7" t="str">
        <f>HYPERLINK("#Liste_rouge!A"&amp;_xlfn.XMATCH("DD",Liste_rouge!A:A,2,1),"DD")</f>
        <v>DD</v>
      </c>
      <c r="Q20792" s="7" t="str">
        <f>HYPERLINK("#Liste_rouge!A"&amp;_xlfn.XMATCH("LC",Liste_rouge!A:A,2,1),"LC")</f>
        <v>LC</v>
      </c>
      <c r="T20792" s="7" t="str">
        <f>HYPERLINK("#Liste_rouge!A"&amp;_xlfn.XMATCH("CR",Liste_rouge!A:A,2,1),"CR")</f>
        <v>CR</v>
      </c>
      <c r="U20792" s="4" t="str">
        <f>HYPERLINK("#Critères_liste_rouge!A$1","C2a(i)")</f>
        <v>C2a(i)</v>
      </c>
      <c r="X20792" s="5" t="s">
        <v>374</v>
      </c>
      <c r="AB20792" s="4" t="s">
        <v>93</v>
      </c>
      <c r="AH20792" s="4" t="str">
        <f>HYPERLINK("#Statut_biogéographique!A"&amp;_xlfn.XMATCH("P",Statut_biogéographique!A:A,2,1),"P")</f>
        <v>P</v>
      </c>
      <c r="AM20792" s="4" t="s">
        <v>375</v>
      </c>
      <c r="AN20792" s="4" t="s">
        <v>375</v>
      </c>
      <c r="AO20792" s="4" t="s">
        <v>375</v>
      </c>
      <c r="AP20792" s="4" t="s">
        <v>376</v>
      </c>
      <c r="AR20792" s="4" t="s">
        <v>377</v>
      </c>
    </row>
    <row r="20793" spans="1:44" ht="45">
      <c r="A20793" s="4" t="s">
        <v>24364</v>
      </c>
      <c r="B20793" s="4">
        <v>117145</v>
      </c>
      <c r="D20793" s="5" t="s">
        <v>26554</v>
      </c>
      <c r="E20793" s="6" t="str">
        <f>HYPERLINK("https://inpn.mnhn.fr/espece/cd_nom/117145","Ranunculus omiophyllus Ten., 1830")</f>
        <v>Ranunculus omiophyllus Ten., 1830</v>
      </c>
      <c r="F20793" s="5" t="s">
        <v>26555</v>
      </c>
      <c r="P20793" s="7" t="str">
        <f>HYPERLINK("#Liste_rouge!A"&amp;_xlfn.XMATCH("LC",Liste_rouge!A:A,2,1),"LC")</f>
        <v>LC</v>
      </c>
      <c r="Q20793" s="7" t="str">
        <f>HYPERLINK("#Liste_rouge!A"&amp;_xlfn.XMATCH("LC",Liste_rouge!A:A,2,1),"LC")</f>
        <v>LC</v>
      </c>
      <c r="AH20793" s="4" t="str">
        <f>HYPERLINK("#Statut_biogéographique!A"&amp;_xlfn.XMATCH("P",Statut_biogéographique!A:A,2,1),"P")</f>
        <v>P</v>
      </c>
      <c r="AP20793" s="4" t="s">
        <v>376</v>
      </c>
      <c r="AR20793" s="4" t="s">
        <v>377</v>
      </c>
    </row>
    <row r="20794" spans="1:44" ht="30">
      <c r="A20794" s="4" t="s">
        <v>24364</v>
      </c>
      <c r="B20794" s="4">
        <v>117146</v>
      </c>
      <c r="D20794" s="5" t="s">
        <v>26556</v>
      </c>
      <c r="E20794" s="6" t="str">
        <f>HYPERLINK("https://inpn.mnhn.fr/espece/cd_nom/117146","Ranunculus ophioglossifolius Vill., 1789")</f>
        <v>Ranunculus ophioglossifolius Vill., 1789</v>
      </c>
      <c r="F20794" s="5" t="s">
        <v>26557</v>
      </c>
      <c r="L20794" s="4" t="str">
        <f>HYPERLINK("#Réglementation!A"&amp;_xlfn.XMATCH("NV1",Réglementation!A:A,2,1),"NV1")</f>
        <v>NV1</v>
      </c>
      <c r="O20794" s="7" t="str">
        <f>HYPERLINK("#Liste_rouge!A"&amp;_xlfn.XMATCH("LC",Liste_rouge!A:A,2,1),"LC")</f>
        <v>LC</v>
      </c>
      <c r="Q20794" s="7" t="str">
        <f>HYPERLINK("#Liste_rouge!A"&amp;_xlfn.XMATCH("LC",Liste_rouge!A:A,2,1),"LC")</f>
        <v>LC</v>
      </c>
      <c r="T20794" s="7" t="str">
        <f>HYPERLINK("#Liste_rouge!A"&amp;_xlfn.XMATCH("EN",Liste_rouge!A:A,2,1),"EN")</f>
        <v>EN</v>
      </c>
      <c r="U20794" s="4" t="str">
        <f>HYPERLINK("#Critères_liste_rouge!A$1","B2ab(iii,iv,v)c(iii,iv)")</f>
        <v>B2ab(iii,iv,v)c(iii,iv)</v>
      </c>
      <c r="X20794" s="5" t="s">
        <v>374</v>
      </c>
      <c r="AB20794" s="4" t="s">
        <v>93</v>
      </c>
      <c r="AH20794" s="4" t="str">
        <f>HYPERLINK("#Statut_biogéographique!A"&amp;_xlfn.XMATCH("P",Statut_biogéographique!A:A,2,1),"P")</f>
        <v>P</v>
      </c>
      <c r="AM20794" s="4" t="s">
        <v>375</v>
      </c>
      <c r="AN20794" s="4" t="s">
        <v>375</v>
      </c>
      <c r="AO20794" s="4" t="s">
        <v>375</v>
      </c>
      <c r="AP20794" s="4" t="s">
        <v>376</v>
      </c>
      <c r="AR20794" s="4" t="s">
        <v>377</v>
      </c>
    </row>
    <row r="20795" spans="1:44" ht="105">
      <c r="A20795" s="4" t="s">
        <v>24364</v>
      </c>
      <c r="B20795" s="4">
        <v>117151</v>
      </c>
      <c r="D20795" s="5" t="s">
        <v>26558</v>
      </c>
      <c r="E20795" s="6" t="str">
        <f>HYPERLINK("https://inpn.mnhn.fr/espece/cd_nom/117151","Ranunculus paludosus Poir., 1789")</f>
        <v>Ranunculus paludosus Poir., 1789</v>
      </c>
      <c r="F20795" s="5" t="s">
        <v>26559</v>
      </c>
      <c r="Q20795" s="7" t="str">
        <f>HYPERLINK("#Liste_rouge!A"&amp;_xlfn.XMATCH("LC",Liste_rouge!A:A,2,1),"LC")</f>
        <v>LC</v>
      </c>
      <c r="T20795" s="7" t="str">
        <f>HYPERLINK("#Liste_rouge!A"&amp;_xlfn.XMATCH("VU",Liste_rouge!A:A,2,1),"VU")</f>
        <v>VU</v>
      </c>
      <c r="U20795" s="4" t="str">
        <f>HYPERLINK("#Critères_liste_rouge!A$1","C2a(i) D2")</f>
        <v>C2a(i) D2</v>
      </c>
      <c r="X20795" s="5" t="s">
        <v>374</v>
      </c>
      <c r="AB20795" s="4" t="s">
        <v>93</v>
      </c>
      <c r="AH20795" s="4" t="str">
        <f>HYPERLINK("#Statut_biogéographique!A"&amp;_xlfn.XMATCH("P",Statut_biogéographique!A:A,2,1),"P")</f>
        <v>P</v>
      </c>
      <c r="AM20795" s="4" t="s">
        <v>375</v>
      </c>
      <c r="AN20795" s="4" t="s">
        <v>375</v>
      </c>
      <c r="AO20795" s="4" t="s">
        <v>375</v>
      </c>
      <c r="AP20795" s="4" t="s">
        <v>376</v>
      </c>
      <c r="AR20795" s="4" t="s">
        <v>377</v>
      </c>
    </row>
    <row r="20796" spans="1:44" ht="30">
      <c r="A20796" s="4" t="s">
        <v>24364</v>
      </c>
      <c r="B20796" s="4">
        <v>117156</v>
      </c>
      <c r="D20796" s="5" t="s">
        <v>26560</v>
      </c>
      <c r="E20796" s="6" t="str">
        <f>HYPERLINK("https://inpn.mnhn.fr/espece/cd_nom/117156","Ranunculus parviflorus L., 1758")</f>
        <v>Ranunculus parviflorus L., 1758</v>
      </c>
      <c r="F20796" s="5" t="s">
        <v>26561</v>
      </c>
      <c r="Q20796" s="7" t="str">
        <f>HYPERLINK("#Liste_rouge!A"&amp;_xlfn.XMATCH("LC",Liste_rouge!A:A,2,1),"LC")</f>
        <v>LC</v>
      </c>
      <c r="T20796" s="7" t="str">
        <f>HYPERLINK("#Liste_rouge!A"&amp;_xlfn.XMATCH("EN",Liste_rouge!A:A,2,1),"EN")</f>
        <v>EN</v>
      </c>
      <c r="U20796" s="4" t="str">
        <f>HYPERLINK("#Critères_liste_rouge!A$1","D1")</f>
        <v>D1</v>
      </c>
      <c r="X20796" s="5" t="s">
        <v>374</v>
      </c>
      <c r="AB20796" s="4" t="s">
        <v>93</v>
      </c>
      <c r="AH20796" s="4" t="str">
        <f>HYPERLINK("#Statut_biogéographique!A"&amp;_xlfn.XMATCH("P",Statut_biogéographique!A:A,2,1),"P")</f>
        <v>P</v>
      </c>
      <c r="AM20796" s="4" t="s">
        <v>375</v>
      </c>
      <c r="AN20796" s="4" t="s">
        <v>375</v>
      </c>
      <c r="AO20796" s="4" t="s">
        <v>375</v>
      </c>
      <c r="AP20796" s="4" t="s">
        <v>376</v>
      </c>
      <c r="AR20796" s="4" t="s">
        <v>377</v>
      </c>
    </row>
    <row r="20797" spans="1:44" ht="30">
      <c r="A20797" s="4" t="s">
        <v>24364</v>
      </c>
      <c r="B20797" s="4">
        <v>117164</v>
      </c>
      <c r="D20797" s="5" t="s">
        <v>26562</v>
      </c>
      <c r="E20797" s="6" t="str">
        <f>HYPERLINK("https://inpn.mnhn.fr/espece/cd_nom/117164","Ranunculus peltatus Schrank, 1789")</f>
        <v>Ranunculus peltatus Schrank, 1789</v>
      </c>
      <c r="F20797" s="5" t="s">
        <v>26563</v>
      </c>
      <c r="O20797" s="7" t="str">
        <f>HYPERLINK("#Liste_rouge!A"&amp;_xlfn.XMATCH("LC",Liste_rouge!A:A,2,1),"LC")</f>
        <v>LC</v>
      </c>
      <c r="P20797" s="7" t="str">
        <f>HYPERLINK("#Liste_rouge!A"&amp;_xlfn.XMATCH("LC",Liste_rouge!A:A,2,1),"LC")</f>
        <v>LC</v>
      </c>
      <c r="Q20797" s="7" t="str">
        <f>HYPERLINK("#Liste_rouge!A"&amp;_xlfn.XMATCH("LC",Liste_rouge!A:A,2,1),"LC")</f>
        <v>LC</v>
      </c>
      <c r="T20797" s="7" t="str">
        <f>HYPERLINK("#Liste_rouge!A"&amp;_xlfn.XMATCH("NT",Liste_rouge!A:A,2,1),"NT")</f>
        <v>NT</v>
      </c>
      <c r="U20797" s="4" t="str">
        <f>HYPERLINK("#Critères_liste_rouge!A$1","pr. B2b(ii,iii,iv)")</f>
        <v>pr. B2b(ii,iii,iv)</v>
      </c>
      <c r="V20797" s="7" t="str">
        <f>HYPERLINK("#Liste_rouge!A"&amp;_xlfn.XMATCH("LC",Liste_rouge!A:A,2,1),"LC")</f>
        <v>LC</v>
      </c>
      <c r="AB20797" s="4" t="s">
        <v>24495</v>
      </c>
      <c r="AH20797" s="4" t="str">
        <f>HYPERLINK("#Statut_biogéographique!A"&amp;_xlfn.XMATCH("P",Statut_biogéographique!A:A,2,1),"P")</f>
        <v>P</v>
      </c>
      <c r="AM20797" s="4" t="s">
        <v>375</v>
      </c>
      <c r="AN20797" s="4" t="s">
        <v>375</v>
      </c>
      <c r="AO20797" s="4" t="s">
        <v>375</v>
      </c>
      <c r="AP20797" s="4" t="s">
        <v>376</v>
      </c>
      <c r="AR20797" s="4" t="s">
        <v>377</v>
      </c>
    </row>
    <row r="20798" spans="1:44" ht="30">
      <c r="A20798" s="4" t="s">
        <v>24364</v>
      </c>
      <c r="B20798" s="4">
        <v>117165</v>
      </c>
      <c r="D20798" s="5" t="s">
        <v>26564</v>
      </c>
      <c r="E20798" s="6" t="str">
        <f>HYPERLINK("https://inpn.mnhn.fr/espece/cd_nom/117165","Ranunculus penicillatus (Dumort.) Bab., 1874")</f>
        <v>Ranunculus penicillatus (Dumort.) Bab., 1874</v>
      </c>
      <c r="F20798" s="5" t="s">
        <v>26565</v>
      </c>
      <c r="O20798" s="7" t="str">
        <f>HYPERLINK("#Liste_rouge!A"&amp;_xlfn.XMATCH("LC",Liste_rouge!A:A,2,1),"LC")</f>
        <v>LC</v>
      </c>
      <c r="P20798" s="7" t="str">
        <f>HYPERLINK("#Liste_rouge!A"&amp;_xlfn.XMATCH("LC",Liste_rouge!A:A,2,1),"LC")</f>
        <v>LC</v>
      </c>
      <c r="Q20798" s="7" t="str">
        <f>HYPERLINK("#Liste_rouge!A"&amp;_xlfn.XMATCH("LC",Liste_rouge!A:A,2,1),"LC")</f>
        <v>LC</v>
      </c>
      <c r="T20798" s="7" t="str">
        <f>HYPERLINK("#Liste_rouge!A"&amp;_xlfn.XMATCH("LC",Liste_rouge!A:A,2,1),"LC")</f>
        <v>LC</v>
      </c>
      <c r="V20798" s="7" t="str">
        <f>HYPERLINK("#Liste_rouge!A"&amp;_xlfn.XMATCH("DD",Liste_rouge!A:A,2,1),"DD")</f>
        <v>DD</v>
      </c>
      <c r="AB20798" s="4" t="s">
        <v>24397</v>
      </c>
      <c r="AH20798" s="4" t="str">
        <f>HYPERLINK("#Statut_biogéographique!A"&amp;_xlfn.XMATCH("P",Statut_biogéographique!A:A,2,1),"P")</f>
        <v>P</v>
      </c>
      <c r="AM20798" s="4" t="s">
        <v>375</v>
      </c>
      <c r="AN20798" s="4" t="s">
        <v>375</v>
      </c>
      <c r="AO20798" s="4" t="s">
        <v>375</v>
      </c>
      <c r="AP20798" s="4" t="s">
        <v>376</v>
      </c>
      <c r="AR20798" s="4" t="s">
        <v>377</v>
      </c>
    </row>
    <row r="20799" spans="1:44" ht="30">
      <c r="A20799" s="4" t="s">
        <v>24364</v>
      </c>
      <c r="B20799" s="4">
        <v>117174</v>
      </c>
      <c r="D20799" s="5" t="s">
        <v>26566</v>
      </c>
      <c r="E20799" s="6" t="str">
        <f>HYPERLINK("https://inpn.mnhn.fr/espece/cd_nom/117174","Ranunculus platanifolius L., 1767")</f>
        <v>Ranunculus platanifolius L., 1767</v>
      </c>
      <c r="F20799" s="5" t="s">
        <v>26567</v>
      </c>
      <c r="Q20799" s="7" t="str">
        <f>HYPERLINK("#Liste_rouge!A"&amp;_xlfn.XMATCH("LC",Liste_rouge!A:A,2,1),"LC")</f>
        <v>LC</v>
      </c>
      <c r="T20799" s="7" t="str">
        <f>HYPERLINK("#Liste_rouge!A"&amp;_xlfn.XMATCH("EN",Liste_rouge!A:A,2,1),"EN")</f>
        <v>EN</v>
      </c>
      <c r="U20799" s="4" t="str">
        <f>HYPERLINK("#Critères_liste_rouge!A$1","B2ab(ii,iii,iv) C2a(i)")</f>
        <v>B2ab(ii,iii,iv) C2a(i)</v>
      </c>
      <c r="V20799" s="7" t="str">
        <f>HYPERLINK("#Liste_rouge!A"&amp;_xlfn.XMATCH("LC",Liste_rouge!A:A,2,1),"LC")</f>
        <v>LC</v>
      </c>
      <c r="AB20799" s="4" t="s">
        <v>24984</v>
      </c>
      <c r="AH20799" s="4" t="str">
        <f>HYPERLINK("#Statut_biogéographique!A"&amp;_xlfn.XMATCH("P",Statut_biogéographique!A:A,2,1),"P")</f>
        <v>P</v>
      </c>
      <c r="AM20799" s="4" t="s">
        <v>375</v>
      </c>
      <c r="AN20799" s="4" t="s">
        <v>375</v>
      </c>
      <c r="AO20799" s="4" t="s">
        <v>375</v>
      </c>
      <c r="AP20799" s="4" t="s">
        <v>376</v>
      </c>
      <c r="AR20799" s="4" t="s">
        <v>377</v>
      </c>
    </row>
    <row r="20800" spans="1:44" ht="30">
      <c r="A20800" s="4" t="s">
        <v>24364</v>
      </c>
      <c r="B20800" s="4">
        <v>117175</v>
      </c>
      <c r="D20800" s="5" t="s">
        <v>26568</v>
      </c>
      <c r="E20800" s="6" t="str">
        <f>HYPERLINK("https://inpn.mnhn.fr/espece/cd_nom/117175","Ranunculus polyanthemoides Boreau, 1857")</f>
        <v>Ranunculus polyanthemoides Boreau, 1857</v>
      </c>
      <c r="F20800" s="5" t="s">
        <v>26569</v>
      </c>
      <c r="Q20800" s="7" t="str">
        <f>HYPERLINK("#Liste_rouge!A"&amp;_xlfn.XMATCH("NT",Liste_rouge!A:A,2,1),"NT")</f>
        <v>NT</v>
      </c>
      <c r="T20800" s="7" t="str">
        <f>HYPERLINK("#Liste_rouge!A"&amp;_xlfn.XMATCH("EN",Liste_rouge!A:A,2,1),"EN")</f>
        <v>EN</v>
      </c>
      <c r="U20800" s="4" t="str">
        <f>HYPERLINK("#Critères_liste_rouge!A$1","C2a(i)")</f>
        <v>C2a(i)</v>
      </c>
      <c r="V20800" s="7" t="str">
        <f>HYPERLINK("#Liste_rouge!A"&amp;_xlfn.XMATCH("DD",Liste_rouge!A:A,2,1),"DD")</f>
        <v>DD</v>
      </c>
      <c r="X20800" s="5" t="s">
        <v>374</v>
      </c>
      <c r="AB20800" s="4" t="s">
        <v>93</v>
      </c>
      <c r="AH20800" s="4" t="str">
        <f>HYPERLINK("#Statut_biogéographique!A"&amp;_xlfn.XMATCH("P",Statut_biogéographique!A:A,2,1),"P")</f>
        <v>P</v>
      </c>
      <c r="AM20800" s="4" t="s">
        <v>375</v>
      </c>
      <c r="AN20800" s="4" t="s">
        <v>375</v>
      </c>
      <c r="AO20800" s="4" t="s">
        <v>375</v>
      </c>
      <c r="AP20800" s="4" t="s">
        <v>376</v>
      </c>
      <c r="AR20800" s="4" t="s">
        <v>377</v>
      </c>
    </row>
    <row r="20801" spans="1:44" ht="75">
      <c r="A20801" s="4" t="s">
        <v>24364</v>
      </c>
      <c r="B20801" s="4">
        <v>117201</v>
      </c>
      <c r="D20801" s="5" t="s">
        <v>26570</v>
      </c>
      <c r="E20801" s="6" t="str">
        <f>HYPERLINK("https://inpn.mnhn.fr/espece/cd_nom/117201","Ranunculus repens L., 1753")</f>
        <v>Ranunculus repens L., 1753</v>
      </c>
      <c r="F20801" s="5" t="s">
        <v>26571</v>
      </c>
      <c r="P20801" s="7" t="str">
        <f>HYPERLINK("#Liste_rouge!A"&amp;_xlfn.XMATCH("LC",Liste_rouge!A:A,2,1),"LC")</f>
        <v>LC</v>
      </c>
      <c r="Q20801" s="7" t="str">
        <f>HYPERLINK("#Liste_rouge!A"&amp;_xlfn.XMATCH("LC",Liste_rouge!A:A,2,1),"LC")</f>
        <v>LC</v>
      </c>
      <c r="T20801" s="7" t="str">
        <f>HYPERLINK("#Liste_rouge!A"&amp;_xlfn.XMATCH("LC",Liste_rouge!A:A,2,1),"LC")</f>
        <v>LC</v>
      </c>
      <c r="V20801" s="7" t="str">
        <f>HYPERLINK("#Liste_rouge!A"&amp;_xlfn.XMATCH("LC",Liste_rouge!A:A,2,1),"LC")</f>
        <v>LC</v>
      </c>
      <c r="AH20801" s="4" t="str">
        <f>HYPERLINK("#Statut_biogéographique!A"&amp;_xlfn.XMATCH("P",Statut_biogéographique!A:A,2,1),"P")</f>
        <v>P</v>
      </c>
      <c r="AM20801" s="4" t="s">
        <v>375</v>
      </c>
      <c r="AN20801" s="4" t="s">
        <v>375</v>
      </c>
      <c r="AO20801" s="4" t="s">
        <v>375</v>
      </c>
      <c r="AP20801" s="4" t="s">
        <v>376</v>
      </c>
      <c r="AR20801" s="4" t="s">
        <v>377</v>
      </c>
    </row>
    <row r="20802" spans="1:44" ht="105">
      <c r="A20802" s="4" t="s">
        <v>24364</v>
      </c>
      <c r="B20802" s="4">
        <v>117221</v>
      </c>
      <c r="D20802" s="5" t="s">
        <v>26572</v>
      </c>
      <c r="E20802" s="6" t="str">
        <f>HYPERLINK("https://inpn.mnhn.fr/espece/cd_nom/117221","Ranunculus sardous Crantz, 1763")</f>
        <v>Ranunculus sardous Crantz, 1763</v>
      </c>
      <c r="F20802" s="5" t="s">
        <v>26573</v>
      </c>
      <c r="Q20802" s="7" t="str">
        <f>HYPERLINK("#Liste_rouge!A"&amp;_xlfn.XMATCH("LC",Liste_rouge!A:A,2,1),"LC")</f>
        <v>LC</v>
      </c>
      <c r="T20802" s="7" t="str">
        <f>HYPERLINK("#Liste_rouge!A"&amp;_xlfn.XMATCH("DD",Liste_rouge!A:A,2,1),"DD (cd_nom 139798) - LC (cd_nom 117221)")</f>
        <v>DD (cd_nom 139798) - LC (cd_nom 117221)</v>
      </c>
      <c r="V20802" s="7" t="str">
        <f>HYPERLINK("#Liste_rouge!A"&amp;_xlfn.XMATCH("LC",Liste_rouge!A:A,2,1),"LC")</f>
        <v>LC</v>
      </c>
      <c r="AB20802" s="4" t="s">
        <v>24747</v>
      </c>
      <c r="AH20802" s="4" t="str">
        <f>HYPERLINK("#Statut_biogéographique!A"&amp;_xlfn.XMATCH("P",Statut_biogéographique!A:A,2,1),"P")</f>
        <v>P</v>
      </c>
      <c r="AM20802" s="4" t="s">
        <v>375</v>
      </c>
      <c r="AN20802" s="4" t="s">
        <v>375</v>
      </c>
      <c r="AO20802" s="4" t="s">
        <v>375</v>
      </c>
      <c r="AP20802" s="4" t="s">
        <v>376</v>
      </c>
      <c r="AR20802" s="4" t="s">
        <v>377</v>
      </c>
    </row>
    <row r="20803" spans="1:44" ht="30">
      <c r="A20803" s="4" t="s">
        <v>24364</v>
      </c>
      <c r="B20803" s="4">
        <v>117224</v>
      </c>
      <c r="D20803" s="5" t="s">
        <v>26574</v>
      </c>
      <c r="E20803" s="6" t="str">
        <f>HYPERLINK("https://inpn.mnhn.fr/espece/cd_nom/117224","Ranunculus sceleratus L., 1753")</f>
        <v>Ranunculus sceleratus L., 1753</v>
      </c>
      <c r="F20803" s="5" t="s">
        <v>26575</v>
      </c>
      <c r="O20803" s="7" t="str">
        <f>HYPERLINK("#Liste_rouge!A"&amp;_xlfn.XMATCH("LC",Liste_rouge!A:A,2,1),"LC")</f>
        <v>LC</v>
      </c>
      <c r="P20803" s="7" t="str">
        <f>HYPERLINK("#Liste_rouge!A"&amp;_xlfn.XMATCH("LC",Liste_rouge!A:A,2,1),"LC")</f>
        <v>LC</v>
      </c>
      <c r="Q20803" s="7" t="str">
        <f>HYPERLINK("#Liste_rouge!A"&amp;_xlfn.XMATCH("LC",Liste_rouge!A:A,2,1),"LC")</f>
        <v>LC</v>
      </c>
      <c r="T20803" s="7" t="str">
        <f>HYPERLINK("#Liste_rouge!A"&amp;_xlfn.XMATCH("LC",Liste_rouge!A:A,2,1),"LC")</f>
        <v>LC</v>
      </c>
      <c r="V20803" s="7" t="str">
        <f>HYPERLINK("#Liste_rouge!A"&amp;_xlfn.XMATCH("LC",Liste_rouge!A:A,2,1),"LC")</f>
        <v>LC</v>
      </c>
      <c r="AB20803" s="4" t="s">
        <v>24447</v>
      </c>
      <c r="AH20803" s="4" t="str">
        <f>HYPERLINK("#Statut_biogéographique!A"&amp;_xlfn.XMATCH("P",Statut_biogéographique!A:A,2,1),"P")</f>
        <v>P</v>
      </c>
      <c r="AM20803" s="4" t="s">
        <v>375</v>
      </c>
      <c r="AN20803" s="4" t="s">
        <v>375</v>
      </c>
      <c r="AO20803" s="4" t="s">
        <v>375</v>
      </c>
      <c r="AP20803" s="4" t="s">
        <v>376</v>
      </c>
      <c r="AR20803" s="4" t="s">
        <v>377</v>
      </c>
    </row>
    <row r="20804" spans="1:44" ht="150">
      <c r="A20804" s="4" t="s">
        <v>24364</v>
      </c>
      <c r="B20804" s="4">
        <v>117231</v>
      </c>
      <c r="D20804" s="5" t="s">
        <v>26576</v>
      </c>
      <c r="E20804" s="6" t="str">
        <f>HYPERLINK("https://inpn.mnhn.fr/espece/cd_nom/117231","Ranunculus serpens Schrank, 1789")</f>
        <v>Ranunculus serpens Schrank, 1789</v>
      </c>
      <c r="F20804" s="5" t="s">
        <v>26577</v>
      </c>
      <c r="Q20804" s="7" t="str">
        <f>HYPERLINK("#Liste_rouge!A"&amp;_xlfn.XMATCH("LC",Liste_rouge!A:A,2,1),"LC")</f>
        <v>LC</v>
      </c>
      <c r="T20804" s="7" t="str">
        <f>HYPERLINK("#Liste_rouge!A"&amp;_xlfn.XMATCH("LC",Liste_rouge!A:A,2,1),"LC")</f>
        <v>LC</v>
      </c>
      <c r="V20804" s="7" t="str">
        <f>HYPERLINK("#Liste_rouge!A"&amp;_xlfn.XMATCH("LC",Liste_rouge!A:A,2,1),"LC")</f>
        <v>LC</v>
      </c>
      <c r="AH20804" s="4" t="str">
        <f>HYPERLINK("#Statut_biogéographique!A"&amp;_xlfn.XMATCH("P",Statut_biogéographique!A:A,2,1),"P")</f>
        <v>P</v>
      </c>
      <c r="AM20804" s="4" t="s">
        <v>375</v>
      </c>
      <c r="AN20804" s="4" t="s">
        <v>375</v>
      </c>
      <c r="AO20804" s="4" t="s">
        <v>375</v>
      </c>
      <c r="AP20804" s="4" t="s">
        <v>376</v>
      </c>
      <c r="AR20804" s="4" t="s">
        <v>377</v>
      </c>
    </row>
    <row r="20805" spans="1:44" ht="150">
      <c r="A20805" s="4" t="s">
        <v>24364</v>
      </c>
      <c r="B20805" s="4">
        <v>117255</v>
      </c>
      <c r="D20805" s="5" t="s">
        <v>26578</v>
      </c>
      <c r="E20805" s="6" t="str">
        <f>HYPERLINK("https://inpn.mnhn.fr/espece/cd_nom/117255","Ranunculus trichophyllus Chaix, 1785")</f>
        <v>Ranunculus trichophyllus Chaix, 1785</v>
      </c>
      <c r="F20805" s="5" t="s">
        <v>26579</v>
      </c>
      <c r="O20805" s="7" t="str">
        <f>HYPERLINK("#Liste_rouge!A"&amp;_xlfn.XMATCH("LC",Liste_rouge!A:A,2,1),"LC")</f>
        <v>LC</v>
      </c>
      <c r="P20805" s="7" t="str">
        <f>HYPERLINK("#Liste_rouge!A"&amp;_xlfn.XMATCH("LC",Liste_rouge!A:A,2,1),"LC")</f>
        <v>LC</v>
      </c>
      <c r="Q20805" s="7" t="str">
        <f>HYPERLINK("#Liste_rouge!A"&amp;_xlfn.XMATCH("LC",Liste_rouge!A:A,2,1),"LC")</f>
        <v>LC</v>
      </c>
      <c r="T20805" s="7" t="str">
        <f>HYPERLINK("#Liste_rouge!A"&amp;_xlfn.XMATCH("LC",Liste_rouge!A:A,2,1),"LC")</f>
        <v>LC</v>
      </c>
      <c r="V20805" s="7" t="str">
        <f>HYPERLINK("#Liste_rouge!A"&amp;_xlfn.XMATCH("LC",Liste_rouge!A:A,2,1),"LC")</f>
        <v>LC</v>
      </c>
      <c r="AH20805" s="4" t="str">
        <f>HYPERLINK("#Statut_biogéographique!A"&amp;_xlfn.XMATCH("P",Statut_biogéographique!A:A,2,1),"P")</f>
        <v>P</v>
      </c>
      <c r="AM20805" s="4" t="s">
        <v>375</v>
      </c>
      <c r="AN20805" s="4" t="s">
        <v>375</v>
      </c>
      <c r="AO20805" s="4" t="s">
        <v>375</v>
      </c>
      <c r="AP20805" s="4" t="s">
        <v>376</v>
      </c>
      <c r="AR20805" s="4" t="s">
        <v>377</v>
      </c>
    </row>
    <row r="20806" spans="1:44" ht="60">
      <c r="A20806" s="4" t="s">
        <v>24364</v>
      </c>
      <c r="B20806" s="4">
        <v>117258</v>
      </c>
      <c r="D20806" s="5" t="s">
        <v>26580</v>
      </c>
      <c r="E20806" s="6" t="str">
        <f>HYPERLINK("https://inpn.mnhn.fr/espece/cd_nom/117258","Ranunculus tripartitus DC., 1807")</f>
        <v>Ranunculus tripartitus DC., 1807</v>
      </c>
      <c r="F20806" s="5" t="s">
        <v>26581</v>
      </c>
      <c r="P20806" s="7" t="str">
        <f>HYPERLINK("#Liste_rouge!A"&amp;_xlfn.XMATCH("LC",Liste_rouge!A:A,2,1),"LC")</f>
        <v>LC</v>
      </c>
      <c r="Q20806" s="7" t="str">
        <f>HYPERLINK("#Liste_rouge!A"&amp;_xlfn.XMATCH("LC",Liste_rouge!A:A,2,1),"LC")</f>
        <v>LC</v>
      </c>
      <c r="T20806" s="7" t="str">
        <f>HYPERLINK("#Liste_rouge!A"&amp;_xlfn.XMATCH("CR",Liste_rouge!A:A,2,1),"CR")</f>
        <v>CR</v>
      </c>
      <c r="U20806" s="4" t="str">
        <f>HYPERLINK("#Critères_liste_rouge!A$1","B1 B2ab(i,ii,iv)")</f>
        <v>B1 B2ab(i,ii,iv)</v>
      </c>
      <c r="X20806" s="5" t="s">
        <v>374</v>
      </c>
      <c r="AB20806" s="4" t="s">
        <v>93</v>
      </c>
      <c r="AH20806" s="4" t="str">
        <f>HYPERLINK("#Statut_biogéographique!A"&amp;_xlfn.XMATCH("P",Statut_biogéographique!A:A,2,1),"P")</f>
        <v>P</v>
      </c>
      <c r="AM20806" s="4" t="s">
        <v>375</v>
      </c>
      <c r="AN20806" s="4" t="s">
        <v>375</v>
      </c>
      <c r="AO20806" s="4" t="s">
        <v>375</v>
      </c>
      <c r="AP20806" s="4" t="s">
        <v>376</v>
      </c>
      <c r="AR20806" s="4" t="s">
        <v>377</v>
      </c>
    </row>
    <row r="20807" spans="1:44" ht="90">
      <c r="A20807" s="4" t="s">
        <v>24364</v>
      </c>
      <c r="B20807" s="4">
        <v>117353</v>
      </c>
      <c r="D20807" s="5" t="s">
        <v>26582</v>
      </c>
      <c r="E20807" s="6" t="str">
        <f>HYPERLINK("https://inpn.mnhn.fr/espece/cd_nom/117353","Raphanus raphanistrum L., 1753")</f>
        <v>Raphanus raphanistrum L., 1753</v>
      </c>
      <c r="F20807" s="5" t="s">
        <v>26583</v>
      </c>
      <c r="P20807" s="7" t="str">
        <f>HYPERLINK("#Liste_rouge!A"&amp;_xlfn.XMATCH("LC",Liste_rouge!A:A,2,1),"LC")</f>
        <v>LC</v>
      </c>
      <c r="Q20807" s="7" t="str">
        <f>HYPERLINK("#Liste_rouge!A"&amp;_xlfn.XMATCH("LC",Liste_rouge!A:A,2,1),"LC")</f>
        <v>LC</v>
      </c>
      <c r="T20807" s="7" t="str">
        <f>HYPERLINK("#Liste_rouge!A"&amp;_xlfn.XMATCH("LC",Liste_rouge!A:A,2,1),"LC")</f>
        <v>LC</v>
      </c>
      <c r="V20807" s="7" t="str">
        <f>HYPERLINK("#Liste_rouge!A"&amp;_xlfn.XMATCH("LC",Liste_rouge!A:A,2,1),"LC")</f>
        <v>LC</v>
      </c>
      <c r="AH20807" s="4" t="str">
        <f>HYPERLINK("#Statut_biogéographique!A"&amp;_xlfn.XMATCH("P",Statut_biogéographique!A:A,2,1),"P")</f>
        <v>P</v>
      </c>
      <c r="AM20807" s="4" t="s">
        <v>375</v>
      </c>
      <c r="AN20807" s="4" t="s">
        <v>375</v>
      </c>
      <c r="AO20807" s="4" t="s">
        <v>375</v>
      </c>
      <c r="AP20807" s="4" t="s">
        <v>376</v>
      </c>
      <c r="AR20807" s="4" t="s">
        <v>377</v>
      </c>
    </row>
    <row r="20808" spans="1:44" ht="60">
      <c r="A20808" s="4" t="s">
        <v>24364</v>
      </c>
      <c r="B20808" s="4">
        <v>117355</v>
      </c>
      <c r="D20808" s="5" t="s">
        <v>26584</v>
      </c>
      <c r="E20808" s="6" t="str">
        <f>HYPERLINK("https://inpn.mnhn.fr/espece/cd_nom/117355","Raphanus sativus L., 1753")</f>
        <v>Raphanus sativus L., 1753</v>
      </c>
      <c r="F20808" s="5" t="s">
        <v>26585</v>
      </c>
      <c r="T20808" s="7" t="str">
        <f>HYPERLINK("#Liste_rouge!A"&amp;_xlfn.XMATCH("NA",Liste_rouge!A:A,2,1),"NA")</f>
        <v>NA</v>
      </c>
      <c r="AH20808" s="4" t="str">
        <f>HYPERLINK("#Statut_biogéographique!A"&amp;_xlfn.XMATCH("M",Statut_biogéographique!A:A,2,1),"M")</f>
        <v>M</v>
      </c>
      <c r="AP20808" s="4" t="s">
        <v>376</v>
      </c>
      <c r="AR20808" s="4" t="s">
        <v>377</v>
      </c>
    </row>
    <row r="20809" spans="1:44" ht="30">
      <c r="A20809" s="4" t="s">
        <v>24364</v>
      </c>
      <c r="B20809" s="4">
        <v>117390</v>
      </c>
      <c r="D20809" s="5" t="s">
        <v>26586</v>
      </c>
      <c r="E20809" s="6" t="str">
        <f>HYPERLINK("https://inpn.mnhn.fr/espece/cd_nom/117390","Rapistrum perenne (L.) All., 1785")</f>
        <v>Rapistrum perenne (L.) All., 1785</v>
      </c>
      <c r="F20809" s="5" t="s">
        <v>26587</v>
      </c>
      <c r="Q20809" s="7" t="str">
        <f>HYPERLINK("#Liste_rouge!A"&amp;_xlfn.XMATCH("NA",Liste_rouge!A:A,2,1),"NA")</f>
        <v>NA</v>
      </c>
      <c r="T20809" s="7" t="str">
        <f>HYPERLINK("#Liste_rouge!A"&amp;_xlfn.XMATCH("NA",Liste_rouge!A:A,2,1),"NA")</f>
        <v>NA</v>
      </c>
      <c r="AH20809" s="4" t="str">
        <f>HYPERLINK("#Statut_biogéographique!A"&amp;_xlfn.XMATCH("M",Statut_biogéographique!A:A,2,1),"M")</f>
        <v>M</v>
      </c>
      <c r="AP20809" s="4" t="s">
        <v>376</v>
      </c>
      <c r="AR20809" s="4" t="s">
        <v>377</v>
      </c>
    </row>
    <row r="20810" spans="1:44" ht="60">
      <c r="A20810" s="4" t="s">
        <v>24364</v>
      </c>
      <c r="B20810" s="4">
        <v>117393</v>
      </c>
      <c r="D20810" s="5" t="s">
        <v>26588</v>
      </c>
      <c r="E20810" s="6" t="str">
        <f>HYPERLINK("https://inpn.mnhn.fr/espece/cd_nom/117393","Rapistrum rugosum (L.) All., 1785")</f>
        <v>Rapistrum rugosum (L.) All., 1785</v>
      </c>
      <c r="F20810" s="5" t="s">
        <v>26589</v>
      </c>
      <c r="Q20810" s="7" t="str">
        <f>HYPERLINK("#Liste_rouge!A"&amp;_xlfn.XMATCH("LC",Liste_rouge!A:A,2,1),"LC")</f>
        <v>LC</v>
      </c>
      <c r="T20810" s="7" t="str">
        <f>HYPERLINK("#Liste_rouge!A"&amp;_xlfn.XMATCH("NA",Liste_rouge!A:A,2,1),"NA")</f>
        <v>NA</v>
      </c>
      <c r="AH20810" s="4" t="str">
        <f>HYPERLINK("#Statut_biogéographique!A"&amp;_xlfn.XMATCH("P",Statut_biogéographique!A:A,2,1),"P")</f>
        <v>P</v>
      </c>
      <c r="AP20810" s="4" t="s">
        <v>376</v>
      </c>
      <c r="AR20810" s="4" t="s">
        <v>377</v>
      </c>
    </row>
    <row r="20811" spans="1:44" ht="45">
      <c r="A20811" s="4" t="s">
        <v>24364</v>
      </c>
      <c r="B20811" s="4">
        <v>117426</v>
      </c>
      <c r="D20811" s="5" t="s">
        <v>26590</v>
      </c>
      <c r="E20811" s="6" t="str">
        <f>HYPERLINK("https://inpn.mnhn.fr/espece/cd_nom/117426","Reichardia picroides (L.) Roth, 1787")</f>
        <v>Reichardia picroides (L.) Roth, 1787</v>
      </c>
      <c r="F20811" s="5" t="s">
        <v>26591</v>
      </c>
      <c r="Q20811" s="7" t="str">
        <f>HYPERLINK("#Liste_rouge!A"&amp;_xlfn.XMATCH("LC",Liste_rouge!A:A,2,1),"LC")</f>
        <v>LC</v>
      </c>
      <c r="T20811" s="7" t="str">
        <f>HYPERLINK("#Liste_rouge!A"&amp;_xlfn.XMATCH("NA",Liste_rouge!A:A,2,1),"NA")</f>
        <v>NA</v>
      </c>
      <c r="AH20811" s="4" t="str">
        <f>HYPERLINK("#Statut_biogéographique!A"&amp;_xlfn.XMATCH("P",Statut_biogéographique!A:A,2,1),"P")</f>
        <v>P</v>
      </c>
      <c r="AP20811" s="4" t="s">
        <v>376</v>
      </c>
      <c r="AR20811" s="4" t="s">
        <v>377</v>
      </c>
    </row>
    <row r="20812" spans="1:44">
      <c r="A20812" s="4" t="s">
        <v>24364</v>
      </c>
      <c r="B20812" s="4">
        <v>117428</v>
      </c>
      <c r="D20812" s="5" t="s">
        <v>26592</v>
      </c>
      <c r="E20812" s="6" t="str">
        <f>HYPERLINK("https://inpn.mnhn.fr/espece/cd_nom/117428","Reseda alba L., 1753")</f>
        <v>Reseda alba L., 1753</v>
      </c>
      <c r="F20812" s="5" t="s">
        <v>26593</v>
      </c>
      <c r="Q20812" s="7" t="str">
        <f>HYPERLINK("#Liste_rouge!A"&amp;_xlfn.XMATCH("LC",Liste_rouge!A:A,2,1),"LC")</f>
        <v>LC</v>
      </c>
      <c r="T20812" s="7" t="str">
        <f>HYPERLINK("#Liste_rouge!A"&amp;_xlfn.XMATCH("NA",Liste_rouge!A:A,2,1),"NA")</f>
        <v>NA</v>
      </c>
      <c r="AH20812" s="4" t="str">
        <f>HYPERLINK("#Statut_biogéographique!A"&amp;_xlfn.XMATCH("P",Statut_biogéographique!A:A,2,1),"P")</f>
        <v>P</v>
      </c>
      <c r="AP20812" s="4" t="s">
        <v>376</v>
      </c>
      <c r="AR20812" s="4" t="s">
        <v>377</v>
      </c>
    </row>
    <row r="20813" spans="1:44" ht="75">
      <c r="A20813" s="4" t="s">
        <v>24364</v>
      </c>
      <c r="B20813" s="4">
        <v>117458</v>
      </c>
      <c r="D20813" s="5" t="s">
        <v>26594</v>
      </c>
      <c r="E20813" s="6" t="str">
        <f>HYPERLINK("https://inpn.mnhn.fr/espece/cd_nom/117458","Reseda lutea L., 1753")</f>
        <v>Reseda lutea L., 1753</v>
      </c>
      <c r="F20813" s="5" t="s">
        <v>26595</v>
      </c>
      <c r="Q20813" s="7" t="str">
        <f>HYPERLINK("#Liste_rouge!A"&amp;_xlfn.XMATCH("LC",Liste_rouge!A:A,2,1),"LC")</f>
        <v>LC</v>
      </c>
      <c r="T20813" s="7" t="str">
        <f>HYPERLINK("#Liste_rouge!A"&amp;_xlfn.XMATCH("LC",Liste_rouge!A:A,2,1),"LC")</f>
        <v>LC</v>
      </c>
      <c r="V20813" s="7" t="str">
        <f>HYPERLINK("#Liste_rouge!A"&amp;_xlfn.XMATCH("LC",Liste_rouge!A:A,2,1),"LC")</f>
        <v>LC</v>
      </c>
      <c r="AH20813" s="4" t="str">
        <f>HYPERLINK("#Statut_biogéographique!A"&amp;_xlfn.XMATCH("P",Statut_biogéographique!A:A,2,1),"P")</f>
        <v>P</v>
      </c>
      <c r="AM20813" s="4" t="s">
        <v>375</v>
      </c>
      <c r="AN20813" s="4" t="s">
        <v>375</v>
      </c>
      <c r="AO20813" s="4" t="s">
        <v>375</v>
      </c>
      <c r="AP20813" s="4" t="s">
        <v>376</v>
      </c>
      <c r="AR20813" s="4" t="s">
        <v>377</v>
      </c>
    </row>
    <row r="20814" spans="1:44" ht="60">
      <c r="A20814" s="4" t="s">
        <v>24364</v>
      </c>
      <c r="B20814" s="4">
        <v>117459</v>
      </c>
      <c r="D20814" s="5" t="s">
        <v>26596</v>
      </c>
      <c r="E20814" s="6" t="str">
        <f>HYPERLINK("https://inpn.mnhn.fr/espece/cd_nom/117459","Reseda luteola L., 1753")</f>
        <v>Reseda luteola L., 1753</v>
      </c>
      <c r="F20814" s="5" t="s">
        <v>26597</v>
      </c>
      <c r="Q20814" s="7" t="str">
        <f>HYPERLINK("#Liste_rouge!A"&amp;_xlfn.XMATCH("LC",Liste_rouge!A:A,2,1),"LC")</f>
        <v>LC</v>
      </c>
      <c r="T20814" s="7" t="str">
        <f>HYPERLINK("#Liste_rouge!A"&amp;_xlfn.XMATCH("LC",Liste_rouge!A:A,2,1),"LC")</f>
        <v>LC</v>
      </c>
      <c r="V20814" s="7" t="str">
        <f>HYPERLINK("#Liste_rouge!A"&amp;_xlfn.XMATCH("LC",Liste_rouge!A:A,2,1),"LC")</f>
        <v>LC</v>
      </c>
      <c r="AH20814" s="4" t="str">
        <f>HYPERLINK("#Statut_biogéographique!A"&amp;_xlfn.XMATCH("P",Statut_biogéographique!A:A,2,1),"P")</f>
        <v>P</v>
      </c>
      <c r="AM20814" s="4" t="s">
        <v>375</v>
      </c>
      <c r="AN20814" s="4" t="s">
        <v>375</v>
      </c>
      <c r="AO20814" s="4" t="s">
        <v>375</v>
      </c>
      <c r="AP20814" s="4" t="s">
        <v>376</v>
      </c>
      <c r="AR20814" s="4" t="s">
        <v>377</v>
      </c>
    </row>
    <row r="20815" spans="1:44">
      <c r="A20815" s="4" t="s">
        <v>24364</v>
      </c>
      <c r="B20815" s="4">
        <v>117466</v>
      </c>
      <c r="D20815" s="5">
        <v>117466</v>
      </c>
      <c r="E20815" s="6" t="str">
        <f>HYPERLINK("https://inpn.mnhn.fr/espece/cd_nom/117466","Reseda odorata L., 1759")</f>
        <v>Reseda odorata L., 1759</v>
      </c>
      <c r="F20815" s="5" t="s">
        <v>26598</v>
      </c>
      <c r="T20815" s="7" t="str">
        <f>HYPERLINK("#Liste_rouge!A"&amp;_xlfn.XMATCH("NA",Liste_rouge!A:A,2,1),"NA")</f>
        <v>NA</v>
      </c>
      <c r="AH20815" s="4" t="str">
        <f>HYPERLINK("#Statut_biogéographique!A"&amp;_xlfn.XMATCH("M",Statut_biogéographique!A:A,2,1),"M")</f>
        <v>M</v>
      </c>
      <c r="AP20815" s="4" t="s">
        <v>376</v>
      </c>
      <c r="AR20815" s="4" t="s">
        <v>377</v>
      </c>
    </row>
    <row r="20816" spans="1:44" ht="60">
      <c r="A20816" s="4" t="s">
        <v>24364</v>
      </c>
      <c r="B20816" s="4">
        <v>117469</v>
      </c>
      <c r="D20816" s="5" t="s">
        <v>26599</v>
      </c>
      <c r="E20816" s="6" t="str">
        <f>HYPERLINK("https://inpn.mnhn.fr/espece/cd_nom/117469","Reseda phyteuma L., 1753")</f>
        <v>Reseda phyteuma L., 1753</v>
      </c>
      <c r="F20816" s="5" t="s">
        <v>26600</v>
      </c>
      <c r="Q20816" s="7" t="str">
        <f>HYPERLINK("#Liste_rouge!A"&amp;_xlfn.XMATCH("LC",Liste_rouge!A:A,2,1),"LC")</f>
        <v>LC</v>
      </c>
      <c r="T20816" s="7" t="str">
        <f>HYPERLINK("#Liste_rouge!A"&amp;_xlfn.XMATCH("VU",Liste_rouge!A:A,2,1),"VU")</f>
        <v>VU</v>
      </c>
      <c r="U20816" s="4" t="str">
        <f>HYPERLINK("#Critères_liste_rouge!A$1","D2")</f>
        <v>D2</v>
      </c>
      <c r="V20816" s="7" t="str">
        <f>HYPERLINK("#Liste_rouge!A"&amp;_xlfn.XMATCH("LC",Liste_rouge!A:A,2,1),"LC")</f>
        <v>LC</v>
      </c>
      <c r="X20816" s="5" t="s">
        <v>374</v>
      </c>
      <c r="AB20816" s="4" t="s">
        <v>93</v>
      </c>
      <c r="AH20816" s="4" t="str">
        <f>HYPERLINK("#Statut_biogéographique!A"&amp;_xlfn.XMATCH("P",Statut_biogéographique!A:A,2,1),"P")</f>
        <v>P</v>
      </c>
      <c r="AM20816" s="4" t="s">
        <v>375</v>
      </c>
      <c r="AN20816" s="4" t="s">
        <v>375</v>
      </c>
      <c r="AO20816" s="4" t="s">
        <v>375</v>
      </c>
      <c r="AP20816" s="4" t="s">
        <v>376</v>
      </c>
      <c r="AR20816" s="4" t="s">
        <v>377</v>
      </c>
    </row>
    <row r="20817" spans="1:44" ht="60">
      <c r="A20817" s="4" t="s">
        <v>24364</v>
      </c>
      <c r="B20817" s="4">
        <v>117503</v>
      </c>
      <c r="D20817" s="5" t="s">
        <v>26601</v>
      </c>
      <c r="E20817" s="6" t="str">
        <f>HYPERLINK("https://inpn.mnhn.fr/espece/cd_nom/117503","Reynoutria japonica Houtt., 1777")</f>
        <v>Reynoutria japonica Houtt., 1777</v>
      </c>
      <c r="F20817" s="5" t="s">
        <v>26602</v>
      </c>
      <c r="Q20817" s="7" t="str">
        <f>HYPERLINK("#Liste_rouge!A"&amp;_xlfn.XMATCH("NA",Liste_rouge!A:A,2,1),"NA")</f>
        <v>NA</v>
      </c>
      <c r="T20817" s="7" t="str">
        <f>HYPERLINK("#Liste_rouge!A"&amp;_xlfn.XMATCH("NA",Liste_rouge!A:A,2,1),"NA")</f>
        <v>NA</v>
      </c>
      <c r="AH20817" s="4" t="str">
        <f>HYPERLINK("#Statut_biogéographique!A"&amp;_xlfn.XMATCH("J",Statut_biogéographique!A:A,2,1),"J")</f>
        <v>J</v>
      </c>
      <c r="AM20817" s="4" t="s">
        <v>375</v>
      </c>
      <c r="AN20817" s="4" t="s">
        <v>375</v>
      </c>
      <c r="AO20817" s="4" t="s">
        <v>375</v>
      </c>
      <c r="AP20817" s="4" t="s">
        <v>376</v>
      </c>
      <c r="AR20817" s="4" t="s">
        <v>377</v>
      </c>
    </row>
    <row r="20818" spans="1:44" ht="30">
      <c r="A20818" s="4" t="s">
        <v>24364</v>
      </c>
      <c r="B20818" s="4">
        <v>117505</v>
      </c>
      <c r="D20818" s="5" t="s">
        <v>26603</v>
      </c>
      <c r="E20818" s="6" t="str">
        <f>HYPERLINK("https://inpn.mnhn.fr/espece/cd_nom/117505","Reynoutria sachalinensis (F.Schmidt) Nakai, 1922")</f>
        <v>Reynoutria sachalinensis (F.Schmidt) Nakai, 1922</v>
      </c>
      <c r="F20818" s="5" t="s">
        <v>26604</v>
      </c>
      <c r="Q20818" s="7" t="str">
        <f>HYPERLINK("#Liste_rouge!A"&amp;_xlfn.XMATCH("NA",Liste_rouge!A:A,2,1),"NA")</f>
        <v>NA</v>
      </c>
      <c r="T20818" s="7" t="str">
        <f>HYPERLINK("#Liste_rouge!A"&amp;_xlfn.XMATCH("NA",Liste_rouge!A:A,2,1),"NA")</f>
        <v>NA</v>
      </c>
      <c r="AH20818" s="4" t="str">
        <f>HYPERLINK("#Statut_biogéographique!A"&amp;_xlfn.XMATCH("I",Statut_biogéographique!A:A,2,1),"I")</f>
        <v>I</v>
      </c>
      <c r="AM20818" s="4" t="s">
        <v>375</v>
      </c>
      <c r="AN20818" s="4" t="s">
        <v>375</v>
      </c>
      <c r="AO20818" s="4" t="s">
        <v>375</v>
      </c>
      <c r="AP20818" s="4" t="s">
        <v>376</v>
      </c>
      <c r="AR20818" s="4" t="s">
        <v>377</v>
      </c>
    </row>
    <row r="20819" spans="1:44" ht="30">
      <c r="A20819" s="4" t="s">
        <v>24364</v>
      </c>
      <c r="B20819" s="4">
        <v>117507</v>
      </c>
      <c r="D20819" s="5" t="s">
        <v>26605</v>
      </c>
      <c r="E20819" s="6" t="str">
        <f>HYPERLINK("https://inpn.mnhn.fr/espece/cd_nom/117507","Reynoutria x bohemica Chrtek &amp; Chrtková, 1983")</f>
        <v>Reynoutria x bohemica Chrtek &amp; Chrtková, 1983</v>
      </c>
      <c r="F20819" s="5" t="s">
        <v>26606</v>
      </c>
      <c r="T20819" s="7" t="str">
        <f>HYPERLINK("#Liste_rouge!A"&amp;_xlfn.XMATCH("NA",Liste_rouge!A:A,2,1),"NA")</f>
        <v>NA</v>
      </c>
      <c r="AH20819" s="4" t="str">
        <f>HYPERLINK("#Statut_biogéographique!A"&amp;_xlfn.XMATCH("I",Statut_biogéographique!A:A,2,1),"I")</f>
        <v>I</v>
      </c>
      <c r="AP20819" s="4" t="s">
        <v>376</v>
      </c>
      <c r="AR20819" s="4" t="s">
        <v>377</v>
      </c>
    </row>
    <row r="20820" spans="1:44" ht="30">
      <c r="A20820" s="4" t="s">
        <v>24364</v>
      </c>
      <c r="B20820" s="4">
        <v>117526</v>
      </c>
      <c r="D20820" s="5" t="s">
        <v>26607</v>
      </c>
      <c r="E20820" s="6" t="str">
        <f>HYPERLINK("https://inpn.mnhn.fr/espece/cd_nom/117526","Rhamnus alaternus L., 1753")</f>
        <v>Rhamnus alaternus L., 1753</v>
      </c>
      <c r="F20820" s="5" t="s">
        <v>26608</v>
      </c>
      <c r="O20820" s="7" t="str">
        <f>HYPERLINK("#Liste_rouge!A"&amp;_xlfn.XMATCH("LC",Liste_rouge!A:A,2,1),"LC")</f>
        <v>LC</v>
      </c>
      <c r="P20820" s="7" t="str">
        <f>HYPERLINK("#Liste_rouge!A"&amp;_xlfn.XMATCH("LC",Liste_rouge!A:A,2,1),"LC")</f>
        <v>LC</v>
      </c>
      <c r="Q20820" s="7" t="str">
        <f>HYPERLINK("#Liste_rouge!A"&amp;_xlfn.XMATCH("LC",Liste_rouge!A:A,2,1),"LC")</f>
        <v>LC</v>
      </c>
      <c r="T20820" s="7" t="str">
        <f>HYPERLINK("#Liste_rouge!A"&amp;_xlfn.XMATCH("NA",Liste_rouge!A:A,2,1),"NA")</f>
        <v>NA</v>
      </c>
      <c r="AH20820" s="4" t="str">
        <f>HYPERLINK("#Statut_biogéographique!A"&amp;_xlfn.XMATCH("P",Statut_biogéographique!A:A,2,1),"P")</f>
        <v>P</v>
      </c>
      <c r="AP20820" s="4" t="s">
        <v>376</v>
      </c>
      <c r="AR20820" s="4" t="s">
        <v>377</v>
      </c>
    </row>
    <row r="20821" spans="1:44" ht="30">
      <c r="A20821" s="4" t="s">
        <v>24364</v>
      </c>
      <c r="B20821" s="4">
        <v>117528</v>
      </c>
      <c r="D20821" s="5" t="s">
        <v>26609</v>
      </c>
      <c r="E20821" s="6" t="str">
        <f>HYPERLINK("https://inpn.mnhn.fr/espece/cd_nom/117528","Rhamnus alpina L., 1753")</f>
        <v>Rhamnus alpina L., 1753</v>
      </c>
      <c r="F20821" s="5" t="s">
        <v>26610</v>
      </c>
      <c r="O20821" s="7" t="str">
        <f>HYPERLINK("#Liste_rouge!A"&amp;_xlfn.XMATCH("LC",Liste_rouge!A:A,2,1),"LC")</f>
        <v>LC</v>
      </c>
      <c r="P20821" s="7" t="str">
        <f>HYPERLINK("#Liste_rouge!A"&amp;_xlfn.XMATCH("LC",Liste_rouge!A:A,2,1),"LC")</f>
        <v>LC</v>
      </c>
      <c r="Q20821" s="7" t="str">
        <f>HYPERLINK("#Liste_rouge!A"&amp;_xlfn.XMATCH("LC",Liste_rouge!A:A,2,1),"LC")</f>
        <v>LC</v>
      </c>
      <c r="T20821" s="7" t="str">
        <f>HYPERLINK("#Liste_rouge!A"&amp;_xlfn.XMATCH("LC",Liste_rouge!A:A,2,1),"LC")</f>
        <v>LC</v>
      </c>
      <c r="V20821" s="7" t="str">
        <f>HYPERLINK("#Liste_rouge!A"&amp;_xlfn.XMATCH("LC",Liste_rouge!A:A,2,1),"LC")</f>
        <v>LC</v>
      </c>
      <c r="AH20821" s="4" t="str">
        <f>HYPERLINK("#Statut_biogéographique!A"&amp;_xlfn.XMATCH("P",Statut_biogéographique!A:A,2,1),"P")</f>
        <v>P</v>
      </c>
      <c r="AM20821" s="4" t="s">
        <v>375</v>
      </c>
      <c r="AN20821" s="4" t="s">
        <v>375</v>
      </c>
      <c r="AO20821" s="4" t="s">
        <v>375</v>
      </c>
      <c r="AP20821" s="4" t="s">
        <v>376</v>
      </c>
      <c r="AR20821" s="4" t="s">
        <v>377</v>
      </c>
    </row>
    <row r="20822" spans="1:44" ht="30">
      <c r="A20822" s="4" t="s">
        <v>24364</v>
      </c>
      <c r="B20822" s="4">
        <v>117530</v>
      </c>
      <c r="D20822" s="5" t="s">
        <v>26611</v>
      </c>
      <c r="E20822" s="6" t="str">
        <f>HYPERLINK("https://inpn.mnhn.fr/espece/cd_nom/117530","Rhamnus cathartica L., 1753")</f>
        <v>Rhamnus cathartica L., 1753</v>
      </c>
      <c r="F20822" s="5" t="s">
        <v>26612</v>
      </c>
      <c r="P20822" s="7" t="str">
        <f>HYPERLINK("#Liste_rouge!A"&amp;_xlfn.XMATCH("LC",Liste_rouge!A:A,2,1),"LC")</f>
        <v>LC</v>
      </c>
      <c r="Q20822" s="7" t="str">
        <f>HYPERLINK("#Liste_rouge!A"&amp;_xlfn.XMATCH("LC",Liste_rouge!A:A,2,1),"LC")</f>
        <v>LC</v>
      </c>
      <c r="T20822" s="7" t="str">
        <f>HYPERLINK("#Liste_rouge!A"&amp;_xlfn.XMATCH("LC",Liste_rouge!A:A,2,1),"LC")</f>
        <v>LC</v>
      </c>
      <c r="V20822" s="7" t="str">
        <f>HYPERLINK("#Liste_rouge!A"&amp;_xlfn.XMATCH("LC",Liste_rouge!A:A,2,1),"LC")</f>
        <v>LC</v>
      </c>
      <c r="AH20822" s="4" t="str">
        <f>HYPERLINK("#Statut_biogéographique!A"&amp;_xlfn.XMATCH("P",Statut_biogéographique!A:A,2,1),"P")</f>
        <v>P</v>
      </c>
      <c r="AM20822" s="4" t="s">
        <v>375</v>
      </c>
      <c r="AN20822" s="4" t="s">
        <v>375</v>
      </c>
      <c r="AO20822" s="4" t="s">
        <v>375</v>
      </c>
      <c r="AP20822" s="4" t="s">
        <v>376</v>
      </c>
      <c r="AR20822" s="4" t="s">
        <v>377</v>
      </c>
    </row>
    <row r="20823" spans="1:44" ht="30">
      <c r="A20823" s="4" t="s">
        <v>24364</v>
      </c>
      <c r="B20823" s="4">
        <v>117548</v>
      </c>
      <c r="D20823" s="5" t="s">
        <v>26613</v>
      </c>
      <c r="E20823" s="6" t="str">
        <f>HYPERLINK("https://inpn.mnhn.fr/espece/cd_nom/117548","Rhamnus pumila Turra, 1764")</f>
        <v>Rhamnus pumila Turra, 1764</v>
      </c>
      <c r="F20823" s="5" t="s">
        <v>26614</v>
      </c>
      <c r="M20823" s="4" t="str">
        <f>HYPERLINK("#Réglementation!A"&amp;_xlfn.XMATCH("RV43",Réglementation!A:A,2,1),"RV43")</f>
        <v>RV43</v>
      </c>
      <c r="Q20823" s="7" t="str">
        <f>HYPERLINK("#Liste_rouge!A"&amp;_xlfn.XMATCH("LC",Liste_rouge!A:A,2,1),"LC")</f>
        <v>LC</v>
      </c>
      <c r="V20823" s="7" t="str">
        <f>HYPERLINK("#Liste_rouge!A"&amp;_xlfn.XMATCH("VU",Liste_rouge!A:A,2,1),"VU")</f>
        <v>VU</v>
      </c>
      <c r="W20823" s="4" t="str">
        <f>HYPERLINK("#Critères_liste_rouge!A$1","D2")</f>
        <v>D2</v>
      </c>
      <c r="X20823" s="5" t="s">
        <v>374</v>
      </c>
      <c r="AB20823" s="4" t="s">
        <v>93</v>
      </c>
      <c r="AH20823" s="4" t="str">
        <f>HYPERLINK("#Statut_biogéographique!A"&amp;_xlfn.XMATCH("P",Statut_biogéographique!A:A,2,1),"P")</f>
        <v>P</v>
      </c>
      <c r="AM20823" s="4" t="s">
        <v>375</v>
      </c>
      <c r="AN20823" s="4" t="s">
        <v>375</v>
      </c>
      <c r="AO20823" s="4" t="s">
        <v>375</v>
      </c>
      <c r="AP20823" s="4" t="s">
        <v>376</v>
      </c>
      <c r="AR20823" s="4" t="s">
        <v>377</v>
      </c>
    </row>
    <row r="20824" spans="1:44" ht="45">
      <c r="A20824" s="4" t="s">
        <v>24364</v>
      </c>
      <c r="B20824" s="4">
        <v>117551</v>
      </c>
      <c r="D20824" s="5" t="s">
        <v>26615</v>
      </c>
      <c r="E20824" s="6" t="str">
        <f>HYPERLINK("https://inpn.mnhn.fr/espece/cd_nom/117551","Rhamnus saxatilis Jacq., 1762")</f>
        <v>Rhamnus saxatilis Jacq., 1762</v>
      </c>
      <c r="F20824" s="5" t="s">
        <v>26616</v>
      </c>
      <c r="Q20824" s="7" t="str">
        <f>HYPERLINK("#Liste_rouge!A"&amp;_xlfn.XMATCH("LC",Liste_rouge!A:A,2,1),"LC")</f>
        <v>LC</v>
      </c>
      <c r="V20824" s="7" t="str">
        <f>HYPERLINK("#Liste_rouge!A"&amp;_xlfn.XMATCH("LC",Liste_rouge!A:A,2,1),"LC")</f>
        <v>LC</v>
      </c>
      <c r="AB20824" s="4" t="s">
        <v>24447</v>
      </c>
      <c r="AH20824" s="4" t="str">
        <f>HYPERLINK("#Statut_biogéographique!A"&amp;_xlfn.XMATCH("P",Statut_biogéographique!A:A,2,1),"P")</f>
        <v>P</v>
      </c>
      <c r="AM20824" s="4" t="s">
        <v>375</v>
      </c>
      <c r="AN20824" s="4" t="s">
        <v>375</v>
      </c>
      <c r="AO20824" s="4" t="s">
        <v>375</v>
      </c>
      <c r="AP20824" s="4" t="s">
        <v>376</v>
      </c>
      <c r="AR20824" s="4" t="s">
        <v>377</v>
      </c>
    </row>
    <row r="20825" spans="1:44">
      <c r="A20825" s="4" t="s">
        <v>24364</v>
      </c>
      <c r="B20825" s="4">
        <v>117585</v>
      </c>
      <c r="D20825" s="5" t="s">
        <v>26617</v>
      </c>
      <c r="E20825" s="6" t="str">
        <f>HYPERLINK("https://inpn.mnhn.fr/espece/cd_nom/117585","Rheum x hybridum Murray, 1775")</f>
        <v>Rheum x hybridum Murray, 1775</v>
      </c>
      <c r="F20825" s="5" t="s">
        <v>26618</v>
      </c>
      <c r="T20825" s="7" t="str">
        <f>HYPERLINK("#Liste_rouge!A"&amp;_xlfn.XMATCH("NA",Liste_rouge!A:A,2,1),"NA")</f>
        <v>NA</v>
      </c>
      <c r="AH20825" s="4" t="str">
        <f>HYPERLINK("#Statut_biogéographique!A"&amp;_xlfn.XMATCH("M",Statut_biogéographique!A:A,2,1),"M")</f>
        <v>M</v>
      </c>
      <c r="AP20825" s="4" t="s">
        <v>376</v>
      </c>
      <c r="AR20825" s="4" t="s">
        <v>377</v>
      </c>
    </row>
    <row r="20826" spans="1:44" ht="120">
      <c r="A20826" s="4" t="s">
        <v>24364</v>
      </c>
      <c r="B20826" s="4">
        <v>117587</v>
      </c>
      <c r="D20826" s="5" t="s">
        <v>26619</v>
      </c>
      <c r="E20826" s="6" t="str">
        <f>HYPERLINK("https://inpn.mnhn.fr/espece/cd_nom/117587","Rhinanthus alectorolophus (Scop.) Pollich, 1777")</f>
        <v>Rhinanthus alectorolophus (Scop.) Pollich, 1777</v>
      </c>
      <c r="F20826" s="5" t="s">
        <v>26620</v>
      </c>
      <c r="Q20826" s="7" t="str">
        <f>HYPERLINK("#Liste_rouge!A"&amp;_xlfn.XMATCH("LC",Liste_rouge!A:A,2,1),"LC")</f>
        <v>LC</v>
      </c>
      <c r="T20826" s="7" t="str">
        <f>HYPERLINK("#Liste_rouge!A"&amp;_xlfn.XMATCH("DD",Liste_rouge!A:A,2,1),"DD (cd_nom 139885) - LC (cd_nom 117587)")</f>
        <v>DD (cd_nom 139885) - LC (cd_nom 117587)</v>
      </c>
      <c r="V20826" s="7" t="str">
        <f>HYPERLINK("#Liste_rouge!A"&amp;_xlfn.XMATCH("LC",Liste_rouge!A:A,2,1),"LC")</f>
        <v>LC</v>
      </c>
      <c r="AH20826" s="4" t="str">
        <f>HYPERLINK("#Statut_biogéographique!A"&amp;_xlfn.XMATCH("P",Statut_biogéographique!A:A,2,1),"P")</f>
        <v>P</v>
      </c>
      <c r="AM20826" s="4" t="s">
        <v>375</v>
      </c>
      <c r="AN20826" s="4" t="s">
        <v>375</v>
      </c>
      <c r="AO20826" s="4" t="s">
        <v>375</v>
      </c>
      <c r="AP20826" s="4" t="s">
        <v>376</v>
      </c>
      <c r="AR20826" s="4" t="s">
        <v>377</v>
      </c>
    </row>
    <row r="20827" spans="1:44" ht="165">
      <c r="A20827" s="4" t="s">
        <v>24364</v>
      </c>
      <c r="B20827" s="4">
        <v>117590</v>
      </c>
      <c r="D20827" s="5" t="s">
        <v>26621</v>
      </c>
      <c r="E20827" s="6" t="str">
        <f>HYPERLINK("https://inpn.mnhn.fr/espece/cd_nom/117590","Rhinanthus angustifolius C.C.Gmel., 1806")</f>
        <v>Rhinanthus angustifolius C.C.Gmel., 1806</v>
      </c>
      <c r="F20827" s="5" t="s">
        <v>26622</v>
      </c>
      <c r="Q20827" s="7" t="str">
        <f>HYPERLINK("#Liste_rouge!A"&amp;_xlfn.XMATCH("LC",Liste_rouge!A:A,2,1),"LC")</f>
        <v>LC</v>
      </c>
      <c r="T20827" s="7" t="str">
        <f>HYPERLINK("#Liste_rouge!A"&amp;_xlfn.XMATCH("VU",Liste_rouge!A:A,2,1),"VU")</f>
        <v>VU</v>
      </c>
      <c r="U20827" s="4" t="str">
        <f>HYPERLINK("#Critères_liste_rouge!A$1","C2a(i) D2")</f>
        <v>C2a(i) D2</v>
      </c>
      <c r="V20827" s="7" t="str">
        <f>HYPERLINK("#Liste_rouge!A"&amp;_xlfn.XMATCH("DD",Liste_rouge!A:A,2,1),"DD")</f>
        <v>DD</v>
      </c>
      <c r="X20827" s="5" t="s">
        <v>374</v>
      </c>
      <c r="AB20827" s="4" t="s">
        <v>93</v>
      </c>
      <c r="AH20827" s="4" t="str">
        <f>HYPERLINK("#Statut_biogéographique!A"&amp;_xlfn.XMATCH("P",Statut_biogéographique!A:A,2,1),"P")</f>
        <v>P</v>
      </c>
      <c r="AM20827" s="4" t="s">
        <v>375</v>
      </c>
      <c r="AN20827" s="4" t="s">
        <v>375</v>
      </c>
      <c r="AO20827" s="4" t="s">
        <v>375</v>
      </c>
      <c r="AP20827" s="4" t="s">
        <v>376</v>
      </c>
      <c r="AR20827" s="4" t="s">
        <v>377</v>
      </c>
    </row>
    <row r="20828" spans="1:44" ht="30">
      <c r="A20828" s="4" t="s">
        <v>24364</v>
      </c>
      <c r="B20828" s="4">
        <v>117601</v>
      </c>
      <c r="D20828" s="5" t="s">
        <v>26623</v>
      </c>
      <c r="E20828" s="6" t="str">
        <f>HYPERLINK("https://inpn.mnhn.fr/espece/cd_nom/117601","Rhinanthus glacialis Personnat, 1863")</f>
        <v>Rhinanthus glacialis Personnat, 1863</v>
      </c>
      <c r="F20828" s="5" t="s">
        <v>26624</v>
      </c>
      <c r="Q20828" s="7" t="str">
        <f>HYPERLINK("#Liste_rouge!A"&amp;_xlfn.XMATCH("DD",Liste_rouge!A:A,2,1),"DD")</f>
        <v>DD</v>
      </c>
      <c r="V20828" s="7" t="str">
        <f>HYPERLINK("#Liste_rouge!A"&amp;_xlfn.XMATCH("DD",Liste_rouge!A:A,2,1),"DD")</f>
        <v>DD</v>
      </c>
      <c r="X20828" s="5" t="s">
        <v>374</v>
      </c>
      <c r="AB20828" s="4" t="s">
        <v>93</v>
      </c>
      <c r="AH20828" s="4" t="str">
        <f>HYPERLINK("#Statut_biogéographique!A"&amp;_xlfn.XMATCH("P",Statut_biogéographique!A:A,2,1),"P")</f>
        <v>P</v>
      </c>
      <c r="AM20828" s="4" t="s">
        <v>375</v>
      </c>
      <c r="AN20828" s="4" t="s">
        <v>375</v>
      </c>
      <c r="AO20828" s="4" t="s">
        <v>375</v>
      </c>
      <c r="AP20828" s="4" t="s">
        <v>376</v>
      </c>
      <c r="AR20828" s="4" t="s">
        <v>377</v>
      </c>
    </row>
    <row r="20829" spans="1:44" ht="135">
      <c r="A20829" s="4" t="s">
        <v>24364</v>
      </c>
      <c r="B20829" s="4">
        <v>117616</v>
      </c>
      <c r="D20829" s="5" t="s">
        <v>26625</v>
      </c>
      <c r="E20829" s="6" t="str">
        <f>HYPERLINK("https://inpn.mnhn.fr/espece/cd_nom/117616","Rhinanthus minor L., 1756")</f>
        <v>Rhinanthus minor L., 1756</v>
      </c>
      <c r="F20829" s="5" t="s">
        <v>26626</v>
      </c>
      <c r="Q20829" s="7" t="str">
        <f>HYPERLINK("#Liste_rouge!A"&amp;_xlfn.XMATCH("LC",Liste_rouge!A:A,2,1),"LC")</f>
        <v>LC</v>
      </c>
      <c r="T20829" s="7" t="str">
        <f>HYPERLINK("#Liste_rouge!A"&amp;_xlfn.XMATCH("DD",Liste_rouge!A:A,2,1),"DD (cd_nom 139939) - LC (cd_nom 117616)")</f>
        <v>DD (cd_nom 139939) - LC (cd_nom 117616)</v>
      </c>
      <c r="V20829" s="7" t="str">
        <f>HYPERLINK("#Liste_rouge!A"&amp;_xlfn.XMATCH("LC",Liste_rouge!A:A,2,1),"LC")</f>
        <v>LC</v>
      </c>
      <c r="AH20829" s="4" t="str">
        <f>HYPERLINK("#Statut_biogéographique!A"&amp;_xlfn.XMATCH("P",Statut_biogéographique!A:A,2,1),"P")</f>
        <v>P</v>
      </c>
      <c r="AM20829" s="4" t="s">
        <v>375</v>
      </c>
      <c r="AN20829" s="4" t="s">
        <v>375</v>
      </c>
      <c r="AO20829" s="4" t="s">
        <v>375</v>
      </c>
      <c r="AP20829" s="4" t="s">
        <v>376</v>
      </c>
      <c r="AR20829" s="4" t="s">
        <v>377</v>
      </c>
    </row>
    <row r="20830" spans="1:44" ht="30">
      <c r="A20830" s="4" t="s">
        <v>24364</v>
      </c>
      <c r="B20830" s="4">
        <v>117679</v>
      </c>
      <c r="D20830" s="5" t="s">
        <v>26627</v>
      </c>
      <c r="E20830" s="6" t="str">
        <f>HYPERLINK("https://inpn.mnhn.fr/espece/cd_nom/117679","Rhododendron ferrugineum L., 1753")</f>
        <v>Rhododendron ferrugineum L., 1753</v>
      </c>
      <c r="F20830" s="5" t="s">
        <v>26628</v>
      </c>
      <c r="O20830" s="7" t="str">
        <f>HYPERLINK("#Liste_rouge!A"&amp;_xlfn.XMATCH("LC",Liste_rouge!A:A,2,1),"LC (cd_nom 117679) - EN (cd_nom 117690)")</f>
        <v>LC (cd_nom 117679) - EN (cd_nom 117690)</v>
      </c>
      <c r="P20830" s="7" t="str">
        <f>HYPERLINK("#Liste_rouge!A"&amp;_xlfn.XMATCH("LC",Liste_rouge!A:A,2,1),"LC (cd_nom 117679) - EN (cd_nom 117690)")</f>
        <v>LC (cd_nom 117679) - EN (cd_nom 117690)</v>
      </c>
      <c r="Q20830" s="7" t="str">
        <f>HYPERLINK("#Liste_rouge!A"&amp;_xlfn.XMATCH("LC",Liste_rouge!A:A,2,1),"LC")</f>
        <v>LC</v>
      </c>
      <c r="V20830" s="7" t="str">
        <f>HYPERLINK("#Liste_rouge!A"&amp;_xlfn.XMATCH("CR",Liste_rouge!A:A,2,1),"CR")</f>
        <v>CR</v>
      </c>
      <c r="W20830" s="4" t="str">
        <f>HYPERLINK("#Critères_liste_rouge!A$1","D")</f>
        <v>D</v>
      </c>
      <c r="X20830" s="5" t="s">
        <v>374</v>
      </c>
      <c r="AB20830" s="4" t="s">
        <v>93</v>
      </c>
      <c r="AH20830" s="4" t="str">
        <f>HYPERLINK("#Statut_biogéographique!A"&amp;_xlfn.XMATCH("P",Statut_biogéographique!A:A,2,1),"P")</f>
        <v>P</v>
      </c>
      <c r="AM20830" s="4" t="s">
        <v>375</v>
      </c>
      <c r="AN20830" s="4" t="s">
        <v>375</v>
      </c>
      <c r="AO20830" s="4" t="s">
        <v>375</v>
      </c>
      <c r="AP20830" s="4" t="s">
        <v>376</v>
      </c>
      <c r="AR20830" s="4" t="s">
        <v>377</v>
      </c>
    </row>
    <row r="20831" spans="1:44" ht="45">
      <c r="A20831" s="4" t="s">
        <v>24364</v>
      </c>
      <c r="B20831" s="4">
        <v>117681</v>
      </c>
      <c r="D20831" s="5" t="s">
        <v>26629</v>
      </c>
      <c r="E20831" s="6" t="str">
        <f>HYPERLINK("https://inpn.mnhn.fr/espece/cd_nom/117681","Rhododendron hirsutum L., 1753")</f>
        <v>Rhododendron hirsutum L., 1753</v>
      </c>
      <c r="F20831" s="5" t="s">
        <v>26630</v>
      </c>
      <c r="L20831" s="4" t="str">
        <f>HYPERLINK("#Réglementation!A"&amp;_xlfn.XMATCH("NV1",Réglementation!A:A,2,1),"NV1")</f>
        <v>NV1</v>
      </c>
      <c r="O20831" s="7" t="str">
        <f>HYPERLINK("#Liste_rouge!A"&amp;_xlfn.XMATCH("LC",Liste_rouge!A:A,2,1),"LC")</f>
        <v>LC</v>
      </c>
      <c r="P20831" s="7" t="str">
        <f>HYPERLINK("#Liste_rouge!A"&amp;_xlfn.XMATCH("LC",Liste_rouge!A:A,2,1),"LC")</f>
        <v>LC</v>
      </c>
      <c r="Q20831" s="7" t="str">
        <f>HYPERLINK("#Liste_rouge!A"&amp;_xlfn.XMATCH("VU",Liste_rouge!A:A,2,1),"VU")</f>
        <v>VU</v>
      </c>
      <c r="AH20831" s="4" t="str">
        <f>HYPERLINK("#Statut_biogéographique!A"&amp;_xlfn.XMATCH("P",Statut_biogéographique!A:A,2,1),"P")</f>
        <v>P</v>
      </c>
      <c r="AM20831" s="4" t="s">
        <v>375</v>
      </c>
      <c r="AN20831" s="4" t="s">
        <v>375</v>
      </c>
      <c r="AO20831" s="4" t="s">
        <v>375</v>
      </c>
      <c r="AP20831" s="4" t="s">
        <v>389</v>
      </c>
      <c r="AR20831" s="4" t="s">
        <v>377</v>
      </c>
    </row>
    <row r="20832" spans="1:44" ht="60">
      <c r="A20832" s="4" t="s">
        <v>24364</v>
      </c>
      <c r="B20832" s="4">
        <v>117692</v>
      </c>
      <c r="D20832" s="5" t="s">
        <v>26631</v>
      </c>
      <c r="E20832" s="6" t="str">
        <f>HYPERLINK("https://inpn.mnhn.fr/espece/cd_nom/117692","Rhododendron ponticum L., 1762 [nom. et typ. cons. prop.]")</f>
        <v>Rhododendron ponticum L., 1762 [nom. et typ. cons. prop.]</v>
      </c>
      <c r="F20832" s="5" t="s">
        <v>26632</v>
      </c>
      <c r="Q20832" s="7" t="str">
        <f>HYPERLINK("#Liste_rouge!A"&amp;_xlfn.XMATCH("NA",Liste_rouge!A:A,2,1),"NA")</f>
        <v>NA</v>
      </c>
      <c r="T20832" s="7" t="str">
        <f>HYPERLINK("#Liste_rouge!A"&amp;_xlfn.XMATCH("NA",Liste_rouge!A:A,2,1),"NA")</f>
        <v>NA</v>
      </c>
      <c r="AH20832" s="4" t="str">
        <f>HYPERLINK("#Statut_biogéographique!A"&amp;_xlfn.XMATCH("J",Statut_biogéographique!A:A,2,1),"J")</f>
        <v>J</v>
      </c>
      <c r="AP20832" s="4" t="s">
        <v>376</v>
      </c>
      <c r="AR20832" s="4" t="s">
        <v>377</v>
      </c>
    </row>
    <row r="20833" spans="1:44" ht="30">
      <c r="A20833" s="4" t="s">
        <v>24364</v>
      </c>
      <c r="B20833" s="4">
        <v>117712</v>
      </c>
      <c r="D20833" s="5" t="s">
        <v>26633</v>
      </c>
      <c r="E20833" s="6" t="str">
        <f>HYPERLINK("https://inpn.mnhn.fr/espece/cd_nom/117712","Rhus coriaria L., 1753")</f>
        <v>Rhus coriaria L., 1753</v>
      </c>
      <c r="F20833" s="5" t="s">
        <v>26634</v>
      </c>
      <c r="O20833" s="7" t="str">
        <f>HYPERLINK("#Liste_rouge!A"&amp;_xlfn.XMATCH("LC",Liste_rouge!A:A,2,1),"LC")</f>
        <v>LC</v>
      </c>
      <c r="P20833" s="7" t="str">
        <f>HYPERLINK("#Liste_rouge!A"&amp;_xlfn.XMATCH("LC",Liste_rouge!A:A,2,1),"LC")</f>
        <v>LC</v>
      </c>
      <c r="Q20833" s="7" t="str">
        <f>HYPERLINK("#Liste_rouge!A"&amp;_xlfn.XMATCH("LC",Liste_rouge!A:A,2,1),"LC")</f>
        <v>LC</v>
      </c>
      <c r="T20833" s="7" t="str">
        <f>HYPERLINK("#Liste_rouge!A"&amp;_xlfn.XMATCH("NA",Liste_rouge!A:A,2,1),"NA")</f>
        <v>NA</v>
      </c>
      <c r="AH20833" s="4" t="str">
        <f>HYPERLINK("#Statut_biogéographique!A"&amp;_xlfn.XMATCH("P",Statut_biogéographique!A:A,2,1),"P")</f>
        <v>P</v>
      </c>
      <c r="AM20833" s="4" t="s">
        <v>375</v>
      </c>
      <c r="AN20833" s="4" t="s">
        <v>375</v>
      </c>
      <c r="AO20833" s="4" t="s">
        <v>375</v>
      </c>
      <c r="AP20833" s="4" t="s">
        <v>376</v>
      </c>
      <c r="AR20833" s="4" t="s">
        <v>377</v>
      </c>
    </row>
    <row r="20834" spans="1:44">
      <c r="A20834" s="4" t="s">
        <v>24364</v>
      </c>
      <c r="B20834" s="4">
        <v>117715</v>
      </c>
      <c r="D20834" s="5">
        <v>117715</v>
      </c>
      <c r="E20834" s="6" t="str">
        <f>HYPERLINK("https://inpn.mnhn.fr/espece/cd_nom/117715","Rhus glabra L., 1753")</f>
        <v>Rhus glabra L., 1753</v>
      </c>
      <c r="F20834" s="5" t="s">
        <v>26635</v>
      </c>
      <c r="O20834" s="7" t="str">
        <f>HYPERLINK("#Liste_rouge!A"&amp;_xlfn.XMATCH("LC",Liste_rouge!A:A,2,1),"LC")</f>
        <v>LC</v>
      </c>
      <c r="Q20834" s="7" t="str">
        <f>HYPERLINK("#Liste_rouge!A"&amp;_xlfn.XMATCH("NA",Liste_rouge!A:A,2,1),"NA")</f>
        <v>NA</v>
      </c>
      <c r="T20834" s="7" t="str">
        <f>HYPERLINK("#Liste_rouge!A"&amp;_xlfn.XMATCH("NA",Liste_rouge!A:A,2,1),"NA")</f>
        <v>NA</v>
      </c>
      <c r="AH20834" s="4" t="str">
        <f>HYPERLINK("#Statut_biogéographique!A"&amp;_xlfn.XMATCH("M",Statut_biogéographique!A:A,2,1),"M")</f>
        <v>M</v>
      </c>
      <c r="AP20834" s="4" t="s">
        <v>376</v>
      </c>
      <c r="AR20834" s="4" t="s">
        <v>377</v>
      </c>
    </row>
    <row r="20835" spans="1:44" ht="45">
      <c r="A20835" s="4" t="s">
        <v>24364</v>
      </c>
      <c r="B20835" s="4">
        <v>117723</v>
      </c>
      <c r="D20835" s="5" t="s">
        <v>26636</v>
      </c>
      <c r="E20835" s="6" t="str">
        <f>HYPERLINK("https://inpn.mnhn.fr/espece/cd_nom/117723","Rhus typhina L., 1756")</f>
        <v>Rhus typhina L., 1756</v>
      </c>
      <c r="F20835" s="5" t="s">
        <v>26637</v>
      </c>
      <c r="Q20835" s="7" t="str">
        <f>HYPERLINK("#Liste_rouge!A"&amp;_xlfn.XMATCH("NA",Liste_rouge!A:A,2,1),"NA")</f>
        <v>NA</v>
      </c>
      <c r="T20835" s="7" t="str">
        <f>HYPERLINK("#Liste_rouge!A"&amp;_xlfn.XMATCH("NA",Liste_rouge!A:A,2,1),"NA")</f>
        <v>NA</v>
      </c>
      <c r="AH20835" s="4" t="str">
        <f>HYPERLINK("#Statut_biogéographique!A"&amp;_xlfn.XMATCH("I",Statut_biogéographique!A:A,2,1),"I")</f>
        <v>I</v>
      </c>
      <c r="AM20835" s="4" t="s">
        <v>375</v>
      </c>
      <c r="AN20835" s="4" t="s">
        <v>375</v>
      </c>
      <c r="AO20835" s="4" t="s">
        <v>375</v>
      </c>
      <c r="AP20835" s="4" t="s">
        <v>376</v>
      </c>
      <c r="AR20835" s="4" t="s">
        <v>377</v>
      </c>
    </row>
    <row r="20836" spans="1:44" ht="30">
      <c r="A20836" s="4" t="s">
        <v>24364</v>
      </c>
      <c r="B20836" s="4">
        <v>117731</v>
      </c>
      <c r="D20836" s="5" t="s">
        <v>26638</v>
      </c>
      <c r="E20836" s="6" t="str">
        <f>HYPERLINK("https://inpn.mnhn.fr/espece/cd_nom/117731","Rhynchospora alba (L.) Vahl, 1805")</f>
        <v>Rhynchospora alba (L.) Vahl, 1805</v>
      </c>
      <c r="F20836" s="5" t="s">
        <v>26639</v>
      </c>
      <c r="M20836" s="4" t="str">
        <f>HYPERLINK("#Réglementation!A"&amp;_xlfn.XMATCH("RV26",Réglementation!A:A,2,1),"RV26")</f>
        <v>RV26</v>
      </c>
      <c r="O20836" s="7" t="str">
        <f>HYPERLINK("#Liste_rouge!A"&amp;_xlfn.XMATCH("LC",Liste_rouge!A:A,2,1),"LC")</f>
        <v>LC</v>
      </c>
      <c r="Q20836" s="7" t="str">
        <f>HYPERLINK("#Liste_rouge!A"&amp;_xlfn.XMATCH("LC",Liste_rouge!A:A,2,1),"LC")</f>
        <v>LC</v>
      </c>
      <c r="T20836" s="7" t="str">
        <f>HYPERLINK("#Liste_rouge!A"&amp;_xlfn.XMATCH("EN",Liste_rouge!A:A,2,1),"EN")</f>
        <v>EN</v>
      </c>
      <c r="U20836" s="4" t="str">
        <f>HYPERLINK("#Critères_liste_rouge!A$1","B2ab(ii,iii,iv)")</f>
        <v>B2ab(ii,iii,iv)</v>
      </c>
      <c r="V20836" s="7" t="str">
        <f>HYPERLINK("#Liste_rouge!A"&amp;_xlfn.XMATCH("NT",Liste_rouge!A:A,2,1),"NT")</f>
        <v>NT</v>
      </c>
      <c r="W20836" s="4" t="str">
        <f>HYPERLINK("#Critères_liste_rouge!A$1","pr. B2b(vi)")</f>
        <v>pr. B2b(vi)</v>
      </c>
      <c r="AB20836" s="4" t="s">
        <v>26640</v>
      </c>
      <c r="AH20836" s="4" t="str">
        <f>HYPERLINK("#Statut_biogéographique!A"&amp;_xlfn.XMATCH("P",Statut_biogéographique!A:A,2,1),"P")</f>
        <v>P</v>
      </c>
      <c r="AM20836" s="4" t="s">
        <v>375</v>
      </c>
      <c r="AN20836" s="4" t="s">
        <v>375</v>
      </c>
      <c r="AO20836" s="4" t="s">
        <v>375</v>
      </c>
      <c r="AP20836" s="4" t="s">
        <v>376</v>
      </c>
      <c r="AR20836" s="4" t="s">
        <v>377</v>
      </c>
    </row>
    <row r="20837" spans="1:44">
      <c r="A20837" s="4" t="s">
        <v>24364</v>
      </c>
      <c r="B20837" s="4">
        <v>117732</v>
      </c>
      <c r="D20837" s="5" t="s">
        <v>26641</v>
      </c>
      <c r="E20837" s="6" t="str">
        <f>HYPERLINK("https://inpn.mnhn.fr/espece/cd_nom/117732","Rhynchospora fusca (L.) W.T.Aiton, 1810")</f>
        <v>Rhynchospora fusca (L.) W.T.Aiton, 1810</v>
      </c>
      <c r="F20837" s="5" t="s">
        <v>26642</v>
      </c>
      <c r="M20837" s="4" t="str">
        <f>HYPERLINK("#Réglementation!A"&amp;_xlfn.XMATCH("RV43",Réglementation!A:A,2,1),"RV43")</f>
        <v>RV43</v>
      </c>
      <c r="Q20837" s="7" t="str">
        <f>HYPERLINK("#Liste_rouge!A"&amp;_xlfn.XMATCH("LC",Liste_rouge!A:A,2,1),"LC")</f>
        <v>LC</v>
      </c>
      <c r="T20837" s="7" t="str">
        <f>HYPERLINK("#Liste_rouge!A"&amp;_xlfn.XMATCH("CR",Liste_rouge!A:A,2,1),"CR")</f>
        <v>CR</v>
      </c>
      <c r="U20837" s="4" t="str">
        <f>HYPERLINK("#Critères_liste_rouge!A$1","B1 B2ab(ii,iii,iv) D1")</f>
        <v>B1 B2ab(ii,iii,iv) D1</v>
      </c>
      <c r="V20837" s="7" t="str">
        <f>HYPERLINK("#Liste_rouge!A"&amp;_xlfn.XMATCH("EN",Liste_rouge!A:A,2,1),"EN")</f>
        <v>EN</v>
      </c>
      <c r="W20837" s="4" t="str">
        <f>HYPERLINK("#Critères_liste_rouge!A$1","B2b(iii)c(iii,iv)")</f>
        <v>B2b(iii)c(iii,iv)</v>
      </c>
      <c r="X20837" s="5" t="s">
        <v>374</v>
      </c>
      <c r="AB20837" s="4" t="s">
        <v>93</v>
      </c>
      <c r="AH20837" s="4" t="str">
        <f>HYPERLINK("#Statut_biogéographique!A"&amp;_xlfn.XMATCH("P",Statut_biogéographique!A:A,2,1),"P")</f>
        <v>P</v>
      </c>
      <c r="AM20837" s="4" t="s">
        <v>375</v>
      </c>
      <c r="AN20837" s="4" t="s">
        <v>375</v>
      </c>
      <c r="AO20837" s="4" t="s">
        <v>375</v>
      </c>
      <c r="AP20837" s="4" t="s">
        <v>376</v>
      </c>
      <c r="AR20837" s="4" t="s">
        <v>377</v>
      </c>
    </row>
    <row r="20838" spans="1:44" ht="45">
      <c r="A20838" s="4" t="s">
        <v>24364</v>
      </c>
      <c r="B20838" s="4">
        <v>117748</v>
      </c>
      <c r="D20838" s="5" t="s">
        <v>26643</v>
      </c>
      <c r="E20838" s="6" t="str">
        <f>HYPERLINK("https://inpn.mnhn.fr/espece/cd_nom/117748","Ribes alpinum L., 1753")</f>
        <v>Ribes alpinum L., 1753</v>
      </c>
      <c r="F20838" s="5" t="s">
        <v>26644</v>
      </c>
      <c r="Q20838" s="7" t="str">
        <f>HYPERLINK("#Liste_rouge!A"&amp;_xlfn.XMATCH("LC",Liste_rouge!A:A,2,1),"LC")</f>
        <v>LC</v>
      </c>
      <c r="T20838" s="7" t="str">
        <f>HYPERLINK("#Liste_rouge!A"&amp;_xlfn.XMATCH("LC",Liste_rouge!A:A,2,1),"LC")</f>
        <v>LC</v>
      </c>
      <c r="V20838" s="7" t="str">
        <f>HYPERLINK("#Liste_rouge!A"&amp;_xlfn.XMATCH("LC",Liste_rouge!A:A,2,1),"LC")</f>
        <v>LC</v>
      </c>
      <c r="AH20838" s="4" t="str">
        <f>HYPERLINK("#Statut_biogéographique!A"&amp;_xlfn.XMATCH("P",Statut_biogéographique!A:A,2,1),"P")</f>
        <v>P</v>
      </c>
      <c r="AM20838" s="4" t="s">
        <v>375</v>
      </c>
      <c r="AN20838" s="4" t="s">
        <v>375</v>
      </c>
      <c r="AO20838" s="4" t="s">
        <v>375</v>
      </c>
      <c r="AP20838" s="4" t="s">
        <v>376</v>
      </c>
      <c r="AR20838" s="4" t="s">
        <v>377</v>
      </c>
    </row>
    <row r="20839" spans="1:44">
      <c r="A20839" s="4" t="s">
        <v>24364</v>
      </c>
      <c r="B20839" s="4">
        <v>117766</v>
      </c>
      <c r="D20839" s="5" t="s">
        <v>26645</v>
      </c>
      <c r="E20839" s="6" t="str">
        <f>HYPERLINK("https://inpn.mnhn.fr/espece/cd_nom/117766","Ribes nigrum L., 1753")</f>
        <v>Ribes nigrum L., 1753</v>
      </c>
      <c r="F20839" s="5" t="s">
        <v>26646</v>
      </c>
      <c r="P20839" s="7" t="str">
        <f>HYPERLINK("#Liste_rouge!A"&amp;_xlfn.XMATCH("LC",Liste_rouge!A:A,2,1),"LC")</f>
        <v>LC</v>
      </c>
      <c r="Q20839" s="7" t="str">
        <f>HYPERLINK("#Liste_rouge!A"&amp;_xlfn.XMATCH("LC",Liste_rouge!A:A,2,1),"LC")</f>
        <v>LC</v>
      </c>
      <c r="T20839" s="7" t="str">
        <f>HYPERLINK("#Liste_rouge!A"&amp;_xlfn.XMATCH("NT",Liste_rouge!A:A,2,1),"NT")</f>
        <v>NT</v>
      </c>
      <c r="U20839" s="4" t="str">
        <f>HYPERLINK("#Critères_liste_rouge!A$1","pr. D2")</f>
        <v>pr. D2</v>
      </c>
      <c r="V20839" s="7" t="str">
        <f>HYPERLINK("#Liste_rouge!A"&amp;_xlfn.XMATCH("LC",Liste_rouge!A:A,2,1),"LC")</f>
        <v>LC</v>
      </c>
      <c r="AB20839" s="4" t="s">
        <v>24803</v>
      </c>
      <c r="AH20839" s="4" t="str">
        <f>HYPERLINK("#Statut_biogéographique!A"&amp;_xlfn.XMATCH("P",Statut_biogéographique!A:A,2,1),"P")</f>
        <v>P</v>
      </c>
      <c r="AM20839" s="4" t="s">
        <v>375</v>
      </c>
      <c r="AN20839" s="4" t="s">
        <v>375</v>
      </c>
      <c r="AO20839" s="4" t="s">
        <v>375</v>
      </c>
      <c r="AP20839" s="4" t="s">
        <v>376</v>
      </c>
      <c r="AR20839" s="4" t="s">
        <v>377</v>
      </c>
    </row>
    <row r="20840" spans="1:44" ht="30">
      <c r="A20840" s="4" t="s">
        <v>24364</v>
      </c>
      <c r="B20840" s="4">
        <v>117771</v>
      </c>
      <c r="D20840" s="5" t="s">
        <v>26647</v>
      </c>
      <c r="E20840" s="6" t="str">
        <f>HYPERLINK("https://inpn.mnhn.fr/espece/cd_nom/117771","Ribes petraeum Wulfen, 1781")</f>
        <v>Ribes petraeum Wulfen, 1781</v>
      </c>
      <c r="F20840" s="5" t="s">
        <v>26648</v>
      </c>
      <c r="Q20840" s="7" t="str">
        <f>HYPERLINK("#Liste_rouge!A"&amp;_xlfn.XMATCH("LC",Liste_rouge!A:A,2,1),"LC")</f>
        <v>LC</v>
      </c>
      <c r="T20840" s="7" t="str">
        <f>HYPERLINK("#Liste_rouge!A"&amp;_xlfn.XMATCH("NA",Liste_rouge!A:A,2,1),"NA")</f>
        <v>NA</v>
      </c>
      <c r="V20840" s="7" t="str">
        <f>HYPERLINK("#Liste_rouge!A"&amp;_xlfn.XMATCH("LC",Liste_rouge!A:A,2,1),"LC")</f>
        <v>LC</v>
      </c>
      <c r="AB20840" s="4" t="s">
        <v>24501</v>
      </c>
      <c r="AH20840" s="4" t="str">
        <f>HYPERLINK("#Statut_biogéographique!A"&amp;_xlfn.XMATCH("P",Statut_biogéographique!A:A,2,1),"P")</f>
        <v>P</v>
      </c>
      <c r="AM20840" s="4" t="s">
        <v>375</v>
      </c>
      <c r="AN20840" s="4" t="s">
        <v>375</v>
      </c>
      <c r="AO20840" s="4" t="s">
        <v>375</v>
      </c>
      <c r="AP20840" s="4" t="s">
        <v>376</v>
      </c>
      <c r="AR20840" s="4" t="s">
        <v>377</v>
      </c>
    </row>
    <row r="20841" spans="1:44" ht="60">
      <c r="A20841" s="4" t="s">
        <v>24364</v>
      </c>
      <c r="B20841" s="4">
        <v>117774</v>
      </c>
      <c r="D20841" s="5" t="s">
        <v>26649</v>
      </c>
      <c r="E20841" s="6" t="str">
        <f>HYPERLINK("https://inpn.mnhn.fr/espece/cd_nom/117774","Ribes rubrum L., 1753")</f>
        <v>Ribes rubrum L., 1753</v>
      </c>
      <c r="F20841" s="5" t="s">
        <v>26650</v>
      </c>
      <c r="Q20841" s="7" t="str">
        <f>HYPERLINK("#Liste_rouge!A"&amp;_xlfn.XMATCH("LC",Liste_rouge!A:A,2,1),"LC")</f>
        <v>LC</v>
      </c>
      <c r="T20841" s="7" t="str">
        <f>HYPERLINK("#Liste_rouge!A"&amp;_xlfn.XMATCH("LC",Liste_rouge!A:A,2,1),"LC")</f>
        <v>LC</v>
      </c>
      <c r="V20841" s="7" t="str">
        <f>HYPERLINK("#Liste_rouge!A"&amp;_xlfn.XMATCH("LC",Liste_rouge!A:A,2,1),"LC")</f>
        <v>LC</v>
      </c>
      <c r="AH20841" s="4" t="str">
        <f>HYPERLINK("#Statut_biogéographique!A"&amp;_xlfn.XMATCH("I",Statut_biogéographique!A:A,2,1),"I")</f>
        <v>I</v>
      </c>
      <c r="AM20841" s="4" t="s">
        <v>375</v>
      </c>
      <c r="AN20841" s="4" t="s">
        <v>375</v>
      </c>
      <c r="AO20841" s="4" t="s">
        <v>375</v>
      </c>
      <c r="AP20841" s="4" t="s">
        <v>376</v>
      </c>
      <c r="AR20841" s="4" t="s">
        <v>377</v>
      </c>
    </row>
    <row r="20842" spans="1:44" ht="90">
      <c r="A20842" s="4" t="s">
        <v>24364</v>
      </c>
      <c r="B20842" s="4">
        <v>117787</v>
      </c>
      <c r="D20842" s="5" t="s">
        <v>26651</v>
      </c>
      <c r="E20842" s="6" t="str">
        <f>HYPERLINK("https://inpn.mnhn.fr/espece/cd_nom/117787","Ribes uva-crispa L., 1753")</f>
        <v>Ribes uva-crispa L., 1753</v>
      </c>
      <c r="F20842" s="5" t="s">
        <v>26652</v>
      </c>
      <c r="Q20842" s="7" t="str">
        <f>HYPERLINK("#Liste_rouge!A"&amp;_xlfn.XMATCH("LC",Liste_rouge!A:A,2,1),"LC")</f>
        <v>LC</v>
      </c>
      <c r="T20842" s="7" t="str">
        <f>HYPERLINK("#Liste_rouge!A"&amp;_xlfn.XMATCH("DD",Liste_rouge!A:A,2,1),"DD (cd_nom 139971) - LC (cd_nom 117787)")</f>
        <v>DD (cd_nom 139971) - LC (cd_nom 117787)</v>
      </c>
      <c r="V20842" s="7" t="str">
        <f>HYPERLINK("#Liste_rouge!A"&amp;_xlfn.XMATCH("LC",Liste_rouge!A:A,2,1),"LC")</f>
        <v>LC</v>
      </c>
      <c r="AH20842" s="4" t="str">
        <f>HYPERLINK("#Statut_biogéographique!A"&amp;_xlfn.XMATCH("P",Statut_biogéographique!A:A,2,1),"P")</f>
        <v>P</v>
      </c>
      <c r="AM20842" s="4" t="s">
        <v>375</v>
      </c>
      <c r="AN20842" s="4" t="s">
        <v>375</v>
      </c>
      <c r="AO20842" s="4" t="s">
        <v>375</v>
      </c>
      <c r="AP20842" s="4" t="s">
        <v>376</v>
      </c>
      <c r="AR20842" s="4" t="s">
        <v>377</v>
      </c>
    </row>
    <row r="20843" spans="1:44" ht="45">
      <c r="A20843" s="4" t="s">
        <v>24364</v>
      </c>
      <c r="B20843" s="4">
        <v>117806</v>
      </c>
      <c r="D20843" s="5" t="s">
        <v>26653</v>
      </c>
      <c r="E20843" s="6" t="str">
        <f>HYPERLINK("https://inpn.mnhn.fr/espece/cd_nom/117806","Ricinus communis L., 1753")</f>
        <v>Ricinus communis L., 1753</v>
      </c>
      <c r="F20843" s="5" t="s">
        <v>26654</v>
      </c>
      <c r="Q20843" s="7" t="str">
        <f>HYPERLINK("#Liste_rouge!A"&amp;_xlfn.XMATCH("NA",Liste_rouge!A:A,2,1),"NA")</f>
        <v>NA</v>
      </c>
      <c r="T20843" s="7" t="str">
        <f>HYPERLINK("#Liste_rouge!A"&amp;_xlfn.XMATCH("NA",Liste_rouge!A:A,2,1),"NA")</f>
        <v>NA</v>
      </c>
      <c r="AH20843" s="4" t="str">
        <f>HYPERLINK("#Statut_biogéographique!A"&amp;_xlfn.XMATCH("I",Statut_biogéographique!A:A,2,1),"I")</f>
        <v>I</v>
      </c>
      <c r="AP20843" s="4" t="s">
        <v>376</v>
      </c>
      <c r="AR20843" s="4" t="s">
        <v>377</v>
      </c>
    </row>
    <row r="20844" spans="1:44" ht="60">
      <c r="A20844" s="4" t="s">
        <v>24364</v>
      </c>
      <c r="B20844" s="4">
        <v>117860</v>
      </c>
      <c r="D20844" s="5" t="s">
        <v>26655</v>
      </c>
      <c r="E20844" s="6" t="str">
        <f>HYPERLINK("https://inpn.mnhn.fr/espece/cd_nom/117860","Robinia pseudoacacia L., 1753")</f>
        <v>Robinia pseudoacacia L., 1753</v>
      </c>
      <c r="F20844" s="5" t="s">
        <v>26656</v>
      </c>
      <c r="O20844" s="7" t="str">
        <f>HYPERLINK("#Liste_rouge!A"&amp;_xlfn.XMATCH("LC",Liste_rouge!A:A,2,1),"LC")</f>
        <v>LC</v>
      </c>
      <c r="Q20844" s="7" t="str">
        <f>HYPERLINK("#Liste_rouge!A"&amp;_xlfn.XMATCH("NA",Liste_rouge!A:A,2,1),"NA")</f>
        <v>NA</v>
      </c>
      <c r="T20844" s="7" t="str">
        <f>HYPERLINK("#Liste_rouge!A"&amp;_xlfn.XMATCH("NA",Liste_rouge!A:A,2,1),"NA")</f>
        <v>NA</v>
      </c>
      <c r="AH20844" s="4" t="str">
        <f>HYPERLINK("#Statut_biogéographique!A"&amp;_xlfn.XMATCH("J",Statut_biogéographique!A:A,2,1),"J")</f>
        <v>J</v>
      </c>
      <c r="AM20844" s="4" t="s">
        <v>375</v>
      </c>
      <c r="AN20844" s="4" t="s">
        <v>375</v>
      </c>
      <c r="AO20844" s="4" t="s">
        <v>375</v>
      </c>
      <c r="AP20844" s="4" t="s">
        <v>376</v>
      </c>
      <c r="AR20844" s="4" t="s">
        <v>377</v>
      </c>
    </row>
    <row r="20845" spans="1:44" ht="45">
      <c r="A20845" s="4" t="s">
        <v>24364</v>
      </c>
      <c r="B20845" s="4">
        <v>117876</v>
      </c>
      <c r="D20845" s="5" t="s">
        <v>26657</v>
      </c>
      <c r="E20845" s="6" t="str">
        <f>HYPERLINK("https://inpn.mnhn.fr/espece/cd_nom/117876","Roemeria hybrida (L.) DC., 1821")</f>
        <v>Roemeria hybrida (L.) DC., 1821</v>
      </c>
      <c r="F20845" s="5" t="s">
        <v>26658</v>
      </c>
      <c r="Q20845" s="7" t="str">
        <f>HYPERLINK("#Liste_rouge!A"&amp;_xlfn.XMATCH("EN",Liste_rouge!A:A,2,1),"EN")</f>
        <v>EN</v>
      </c>
      <c r="T20845" s="7" t="str">
        <f>HYPERLINK("#Liste_rouge!A"&amp;_xlfn.XMATCH("NA",Liste_rouge!A:A,2,1),"NA")</f>
        <v>NA</v>
      </c>
      <c r="AH20845" s="4" t="str">
        <f>HYPERLINK("#Statut_biogéographique!A"&amp;_xlfn.XMATCH("P",Statut_biogéographique!A:A,2,1),"P")</f>
        <v>P</v>
      </c>
      <c r="AI20845" s="8" t="s">
        <v>26659</v>
      </c>
      <c r="AJ20845" s="4" t="s">
        <v>12248</v>
      </c>
      <c r="AP20845" s="4" t="s">
        <v>376</v>
      </c>
      <c r="AR20845" s="4" t="s">
        <v>377</v>
      </c>
    </row>
    <row r="20846" spans="1:44" ht="90">
      <c r="A20846" s="4" t="s">
        <v>24364</v>
      </c>
      <c r="B20846" s="4">
        <v>117933</v>
      </c>
      <c r="D20846" s="5" t="s">
        <v>26660</v>
      </c>
      <c r="E20846" s="6" t="str">
        <f>HYPERLINK("https://inpn.mnhn.fr/espece/cd_nom/117933","Rorippa amphibia (L.) Besser, 1821")</f>
        <v>Rorippa amphibia (L.) Besser, 1821</v>
      </c>
      <c r="F20846" s="5" t="s">
        <v>26661</v>
      </c>
      <c r="O20846" s="7" t="str">
        <f>HYPERLINK("#Liste_rouge!A"&amp;_xlfn.XMATCH("LC",Liste_rouge!A:A,2,1),"LC")</f>
        <v>LC</v>
      </c>
      <c r="P20846" s="7" t="str">
        <f>HYPERLINK("#Liste_rouge!A"&amp;_xlfn.XMATCH("LC",Liste_rouge!A:A,2,1),"LC")</f>
        <v>LC</v>
      </c>
      <c r="Q20846" s="7" t="str">
        <f>HYPERLINK("#Liste_rouge!A"&amp;_xlfn.XMATCH("LC",Liste_rouge!A:A,2,1),"LC")</f>
        <v>LC</v>
      </c>
      <c r="T20846" s="7" t="str">
        <f>HYPERLINK("#Liste_rouge!A"&amp;_xlfn.XMATCH("LC",Liste_rouge!A:A,2,1),"LC")</f>
        <v>LC</v>
      </c>
      <c r="V20846" s="7" t="str">
        <f>HYPERLINK("#Liste_rouge!A"&amp;_xlfn.XMATCH("LC",Liste_rouge!A:A,2,1),"LC")</f>
        <v>LC</v>
      </c>
      <c r="AB20846" s="4" t="s">
        <v>24536</v>
      </c>
      <c r="AH20846" s="4" t="str">
        <f>HYPERLINK("#Statut_biogéographique!A"&amp;_xlfn.XMATCH("P",Statut_biogéographique!A:A,2,1),"P")</f>
        <v>P</v>
      </c>
      <c r="AM20846" s="4" t="s">
        <v>375</v>
      </c>
      <c r="AN20846" s="4" t="s">
        <v>375</v>
      </c>
      <c r="AO20846" s="4" t="s">
        <v>375</v>
      </c>
      <c r="AP20846" s="4" t="s">
        <v>376</v>
      </c>
      <c r="AR20846" s="4" t="s">
        <v>377</v>
      </c>
    </row>
    <row r="20847" spans="1:44" ht="30">
      <c r="A20847" s="4" t="s">
        <v>24364</v>
      </c>
      <c r="B20847" s="4">
        <v>117937</v>
      </c>
      <c r="D20847" s="5" t="s">
        <v>26662</v>
      </c>
      <c r="E20847" s="6" t="str">
        <f>HYPERLINK("https://inpn.mnhn.fr/espece/cd_nom/117937","Rorippa austriaca (Crantz) Besser, 1821")</f>
        <v>Rorippa austriaca (Crantz) Besser, 1821</v>
      </c>
      <c r="F20847" s="5" t="s">
        <v>26663</v>
      </c>
      <c r="O20847" s="7" t="str">
        <f>HYPERLINK("#Liste_rouge!A"&amp;_xlfn.XMATCH("LC",Liste_rouge!A:A,2,1),"LC")</f>
        <v>LC</v>
      </c>
      <c r="P20847" s="7" t="str">
        <f>HYPERLINK("#Liste_rouge!A"&amp;_xlfn.XMATCH("LC",Liste_rouge!A:A,2,1),"LC")</f>
        <v>LC</v>
      </c>
      <c r="Q20847" s="7" t="str">
        <f>HYPERLINK("#Liste_rouge!A"&amp;_xlfn.XMATCH("NA",Liste_rouge!A:A,2,1),"NA")</f>
        <v>NA</v>
      </c>
      <c r="T20847" s="7" t="str">
        <f>HYPERLINK("#Liste_rouge!A"&amp;_xlfn.XMATCH("VU",Liste_rouge!A:A,2,1),"VU")</f>
        <v>VU</v>
      </c>
      <c r="U20847" s="4" t="str">
        <f>HYPERLINK("#Critères_liste_rouge!A$1","A2ac")</f>
        <v>A2ac</v>
      </c>
      <c r="AH20847" s="4" t="str">
        <f>HYPERLINK("#Statut_biogéographique!A"&amp;_xlfn.XMATCH("I",Statut_biogéographique!A:A,2,1),"I")</f>
        <v>I</v>
      </c>
      <c r="AM20847" s="4" t="s">
        <v>375</v>
      </c>
      <c r="AN20847" s="4" t="s">
        <v>375</v>
      </c>
      <c r="AO20847" s="4" t="s">
        <v>375</v>
      </c>
      <c r="AP20847" s="4" t="s">
        <v>376</v>
      </c>
      <c r="AR20847" s="4" t="s">
        <v>377</v>
      </c>
    </row>
    <row r="20848" spans="1:44" ht="30">
      <c r="A20848" s="4" t="s">
        <v>24364</v>
      </c>
      <c r="B20848" s="4">
        <v>117940</v>
      </c>
      <c r="D20848" s="5" t="s">
        <v>26664</v>
      </c>
      <c r="E20848" s="6" t="str">
        <f>HYPERLINK("https://inpn.mnhn.fr/espece/cd_nom/117940","Rorippa islandica (Oeder ex Gunnerus) Borbás, 1900")</f>
        <v>Rorippa islandica (Oeder ex Gunnerus) Borbás, 1900</v>
      </c>
      <c r="F20848" s="5" t="s">
        <v>26665</v>
      </c>
      <c r="O20848" s="7" t="str">
        <f>HYPERLINK("#Liste_rouge!A"&amp;_xlfn.XMATCH("LC",Liste_rouge!A:A,2,1),"LC")</f>
        <v>LC</v>
      </c>
      <c r="P20848" s="7" t="str">
        <f>HYPERLINK("#Liste_rouge!A"&amp;_xlfn.XMATCH("LC",Liste_rouge!A:A,2,1),"LC")</f>
        <v>LC</v>
      </c>
      <c r="Q20848" s="7" t="str">
        <f>HYPERLINK("#Liste_rouge!A"&amp;_xlfn.XMATCH("LC",Liste_rouge!A:A,2,1),"LC")</f>
        <v>LC</v>
      </c>
      <c r="AH20848" s="4" t="str">
        <f>HYPERLINK("#Statut_biogéographique!A"&amp;_xlfn.XMATCH("P",Statut_biogéographique!A:A,2,1),"P")</f>
        <v>P</v>
      </c>
      <c r="AP20848" s="4" t="s">
        <v>376</v>
      </c>
      <c r="AR20848" s="4" t="s">
        <v>377</v>
      </c>
    </row>
    <row r="20849" spans="1:44" ht="60">
      <c r="A20849" s="4" t="s">
        <v>24364</v>
      </c>
      <c r="B20849" s="4">
        <v>117944</v>
      </c>
      <c r="D20849" s="5" t="s">
        <v>26666</v>
      </c>
      <c r="E20849" s="6" t="str">
        <f>HYPERLINK("https://inpn.mnhn.fr/espece/cd_nom/117944","Rorippa palustris (L.) Besser, 1821")</f>
        <v>Rorippa palustris (L.) Besser, 1821</v>
      </c>
      <c r="F20849" s="5" t="s">
        <v>26667</v>
      </c>
      <c r="P20849" s="7" t="str">
        <f>HYPERLINK("#Liste_rouge!A"&amp;_xlfn.XMATCH("LC",Liste_rouge!A:A,2,1),"LC")</f>
        <v>LC</v>
      </c>
      <c r="Q20849" s="7" t="str">
        <f>HYPERLINK("#Liste_rouge!A"&amp;_xlfn.XMATCH("LC",Liste_rouge!A:A,2,1),"LC")</f>
        <v>LC</v>
      </c>
      <c r="T20849" s="7" t="str">
        <f>HYPERLINK("#Liste_rouge!A"&amp;_xlfn.XMATCH("LC",Liste_rouge!A:A,2,1),"LC")</f>
        <v>LC</v>
      </c>
      <c r="V20849" s="7" t="str">
        <f>HYPERLINK("#Liste_rouge!A"&amp;_xlfn.XMATCH("LC",Liste_rouge!A:A,2,1),"LC")</f>
        <v>LC</v>
      </c>
      <c r="AH20849" s="4" t="str">
        <f>HYPERLINK("#Statut_biogéographique!A"&amp;_xlfn.XMATCH("P",Statut_biogéographique!A:A,2,1),"P")</f>
        <v>P</v>
      </c>
      <c r="AM20849" s="4" t="s">
        <v>375</v>
      </c>
      <c r="AN20849" s="4" t="s">
        <v>375</v>
      </c>
      <c r="AO20849" s="4" t="s">
        <v>375</v>
      </c>
      <c r="AP20849" s="4" t="s">
        <v>376</v>
      </c>
      <c r="AR20849" s="4" t="s">
        <v>377</v>
      </c>
    </row>
    <row r="20850" spans="1:44" ht="30">
      <c r="A20850" s="4" t="s">
        <v>24364</v>
      </c>
      <c r="B20850" s="4">
        <v>117946</v>
      </c>
      <c r="D20850" s="5" t="s">
        <v>26668</v>
      </c>
      <c r="E20850" s="6" t="str">
        <f>HYPERLINK("https://inpn.mnhn.fr/espece/cd_nom/117946","Rorippa pyrenaica (All.) Rchb., 1838")</f>
        <v>Rorippa pyrenaica (All.) Rchb., 1838</v>
      </c>
      <c r="F20850" s="5" t="s">
        <v>26669</v>
      </c>
      <c r="P20850" s="7" t="str">
        <f>HYPERLINK("#Liste_rouge!A"&amp;_xlfn.XMATCH("LC",Liste_rouge!A:A,2,1),"LC")</f>
        <v>LC</v>
      </c>
      <c r="Q20850" s="7" t="str">
        <f>HYPERLINK("#Liste_rouge!A"&amp;_xlfn.XMATCH("LC",Liste_rouge!A:A,2,1),"LC")</f>
        <v>LC</v>
      </c>
      <c r="T20850" s="7" t="str">
        <f>HYPERLINK("#Liste_rouge!A"&amp;_xlfn.XMATCH("VU",Liste_rouge!A:A,2,1),"VU")</f>
        <v>VU</v>
      </c>
      <c r="U20850" s="4" t="str">
        <f>HYPERLINK("#Critères_liste_rouge!A$1","A2ac")</f>
        <v>A2ac</v>
      </c>
      <c r="V20850" s="7" t="str">
        <f>HYPERLINK("#Liste_rouge!A"&amp;_xlfn.XMATCH("DD",Liste_rouge!A:A,2,1),"DD")</f>
        <v>DD</v>
      </c>
      <c r="AB20850" s="4" t="s">
        <v>24486</v>
      </c>
      <c r="AH20850" s="4" t="str">
        <f>HYPERLINK("#Statut_biogéographique!A"&amp;_xlfn.XMATCH("P",Statut_biogéographique!A:A,2,1),"P")</f>
        <v>P</v>
      </c>
      <c r="AM20850" s="4" t="s">
        <v>375</v>
      </c>
      <c r="AN20850" s="4" t="s">
        <v>375</v>
      </c>
      <c r="AO20850" s="4" t="s">
        <v>375</v>
      </c>
      <c r="AP20850" s="4" t="s">
        <v>376</v>
      </c>
      <c r="AR20850" s="4" t="s">
        <v>377</v>
      </c>
    </row>
    <row r="20851" spans="1:44" ht="90">
      <c r="A20851" s="4" t="s">
        <v>24364</v>
      </c>
      <c r="B20851" s="4">
        <v>117951</v>
      </c>
      <c r="D20851" s="5" t="s">
        <v>26670</v>
      </c>
      <c r="E20851" s="6" t="str">
        <f>HYPERLINK("https://inpn.mnhn.fr/espece/cd_nom/117951","Rorippa sylvestris (L.) Besser, 1821")</f>
        <v>Rorippa sylvestris (L.) Besser, 1821</v>
      </c>
      <c r="F20851" s="5" t="s">
        <v>26671</v>
      </c>
      <c r="O20851" s="7" t="str">
        <f>HYPERLINK("#Liste_rouge!A"&amp;_xlfn.XMATCH("LC",Liste_rouge!A:A,2,1),"LC")</f>
        <v>LC</v>
      </c>
      <c r="P20851" s="7" t="str">
        <f>HYPERLINK("#Liste_rouge!A"&amp;_xlfn.XMATCH("LC",Liste_rouge!A:A,2,1),"LC")</f>
        <v>LC</v>
      </c>
      <c r="Q20851" s="7" t="str">
        <f>HYPERLINK("#Liste_rouge!A"&amp;_xlfn.XMATCH("LC",Liste_rouge!A:A,2,1),"LC")</f>
        <v>LC</v>
      </c>
      <c r="T20851" s="7" t="str">
        <f>HYPERLINK("#Liste_rouge!A"&amp;_xlfn.XMATCH("LC",Liste_rouge!A:A,2,1),"LC")</f>
        <v>LC</v>
      </c>
      <c r="V20851" s="7" t="str">
        <f>HYPERLINK("#Liste_rouge!A"&amp;_xlfn.XMATCH("LC",Liste_rouge!A:A,2,1),"LC")</f>
        <v>LC</v>
      </c>
      <c r="AH20851" s="4" t="str">
        <f>HYPERLINK("#Statut_biogéographique!A"&amp;_xlfn.XMATCH("P",Statut_biogéographique!A:A,2,1),"P")</f>
        <v>P</v>
      </c>
      <c r="AM20851" s="4" t="s">
        <v>375</v>
      </c>
      <c r="AN20851" s="4" t="s">
        <v>375</v>
      </c>
      <c r="AO20851" s="4" t="s">
        <v>375</v>
      </c>
      <c r="AP20851" s="4" t="s">
        <v>376</v>
      </c>
      <c r="AR20851" s="4" t="s">
        <v>377</v>
      </c>
    </row>
    <row r="20852" spans="1:44" ht="45">
      <c r="A20852" s="4" t="s">
        <v>24364</v>
      </c>
      <c r="B20852" s="4">
        <v>117952</v>
      </c>
      <c r="D20852" s="5" t="s">
        <v>26672</v>
      </c>
      <c r="E20852" s="6" t="str">
        <f>HYPERLINK("https://inpn.mnhn.fr/espece/cd_nom/117952","Rorippa x anceps (Wahlenb.) Rchb., 1837")</f>
        <v>Rorippa x anceps (Wahlenb.) Rchb., 1837</v>
      </c>
      <c r="F20852" s="5" t="s">
        <v>26673</v>
      </c>
      <c r="T20852" s="7" t="str">
        <f>HYPERLINK("#Liste_rouge!A"&amp;_xlfn.XMATCH("DD",Liste_rouge!A:A,2,1),"DD")</f>
        <v>DD</v>
      </c>
      <c r="AH20852" s="4" t="str">
        <f>HYPERLINK("#Statut_biogéographique!A"&amp;_xlfn.XMATCH("P",Statut_biogéographique!A:A,2,1),"P")</f>
        <v>P</v>
      </c>
      <c r="AP20852" s="4" t="s">
        <v>376</v>
      </c>
      <c r="AR20852" s="4" t="s">
        <v>377</v>
      </c>
    </row>
    <row r="20853" spans="1:44" ht="30">
      <c r="A20853" s="4" t="s">
        <v>24364</v>
      </c>
      <c r="B20853" s="4">
        <v>117953</v>
      </c>
      <c r="D20853" s="5" t="s">
        <v>26674</v>
      </c>
      <c r="E20853" s="6" t="str">
        <f>HYPERLINK("https://inpn.mnhn.fr/espece/cd_nom/117953","Rorippa x armoracioides (Tausch) Fuss, 1866")</f>
        <v>Rorippa x armoracioides (Tausch) Fuss, 1866</v>
      </c>
      <c r="F20853" s="5" t="s">
        <v>26675</v>
      </c>
      <c r="T20853" s="7" t="str">
        <f>HYPERLINK("#Liste_rouge!A"&amp;_xlfn.XMATCH("NE",Liste_rouge!A:A,2,1),"NE")</f>
        <v>NE</v>
      </c>
      <c r="AH20853" s="4" t="str">
        <f>HYPERLINK("#Statut_biogéographique!A"&amp;_xlfn.XMATCH("D",Statut_biogéographique!A:A,2,1),"D")</f>
        <v>D</v>
      </c>
      <c r="AP20853" s="4" t="s">
        <v>376</v>
      </c>
      <c r="AR20853" s="4" t="s">
        <v>377</v>
      </c>
    </row>
    <row r="20854" spans="1:44">
      <c r="A20854" s="4" t="s">
        <v>24364</v>
      </c>
      <c r="B20854" s="4">
        <v>117954</v>
      </c>
      <c r="D20854" s="5" t="s">
        <v>26676</v>
      </c>
      <c r="E20854" s="6" t="str">
        <f>HYPERLINK("https://inpn.mnhn.fr/espece/cd_nom/117954","Rorippa x astyla (Rchb.) Rchb., 1838")</f>
        <v>Rorippa x astyla (Rchb.) Rchb., 1838</v>
      </c>
      <c r="F20854" s="5" t="s">
        <v>26677</v>
      </c>
      <c r="AH20854" s="4" t="str">
        <f>HYPERLINK("#Statut_biogéographique!A"&amp;_xlfn.XMATCH("D",Statut_biogéographique!A:A,2,1),"D")</f>
        <v>D</v>
      </c>
      <c r="AP20854" s="4" t="s">
        <v>376</v>
      </c>
      <c r="AR20854" s="4" t="s">
        <v>377</v>
      </c>
    </row>
    <row r="20855" spans="1:44" ht="30">
      <c r="A20855" s="4" t="s">
        <v>24364</v>
      </c>
      <c r="B20855" s="4">
        <v>117970</v>
      </c>
      <c r="D20855" s="5" t="s">
        <v>26678</v>
      </c>
      <c r="E20855" s="6" t="str">
        <f>HYPERLINK("https://inpn.mnhn.fr/espece/cd_nom/117970","Rosa abietina Gren. ex Christ, 1873")</f>
        <v>Rosa abietina Gren. ex Christ, 1873</v>
      </c>
      <c r="F20855" s="5" t="s">
        <v>26679</v>
      </c>
      <c r="O20855" s="7" t="str">
        <f>HYPERLINK("#Liste_rouge!A"&amp;_xlfn.XMATCH("DD",Liste_rouge!A:A,2,1),"DD")</f>
        <v>DD</v>
      </c>
      <c r="P20855" s="7" t="str">
        <f>HYPERLINK("#Liste_rouge!A"&amp;_xlfn.XMATCH("DD",Liste_rouge!A:A,2,1),"DD")</f>
        <v>DD</v>
      </c>
      <c r="V20855" s="7" t="str">
        <f>HYPERLINK("#Liste_rouge!A"&amp;_xlfn.XMATCH("DD",Liste_rouge!A:A,2,1),"DD")</f>
        <v>DD</v>
      </c>
      <c r="X20855" s="5" t="s">
        <v>374</v>
      </c>
      <c r="AB20855" s="4" t="s">
        <v>93</v>
      </c>
      <c r="AH20855" s="4" t="str">
        <f>HYPERLINK("#Statut_biogéographique!A"&amp;_xlfn.XMATCH("P",Statut_biogéographique!A:A,2,1),"P")</f>
        <v>P</v>
      </c>
      <c r="AM20855" s="4" t="s">
        <v>375</v>
      </c>
      <c r="AN20855" s="4" t="s">
        <v>375</v>
      </c>
      <c r="AO20855" s="4" t="s">
        <v>375</v>
      </c>
      <c r="AP20855" s="4" t="s">
        <v>376</v>
      </c>
      <c r="AR20855" s="4" t="s">
        <v>377</v>
      </c>
    </row>
    <row r="20856" spans="1:44" ht="30">
      <c r="A20856" s="4" t="s">
        <v>24364</v>
      </c>
      <c r="B20856" s="4">
        <v>117975</v>
      </c>
      <c r="D20856" s="5" t="s">
        <v>26680</v>
      </c>
      <c r="E20856" s="6" t="str">
        <f>HYPERLINK("https://inpn.mnhn.fr/espece/cd_nom/117975","Rosa acharii Billb., 1821")</f>
        <v>Rosa acharii Billb., 1821</v>
      </c>
      <c r="F20856" s="5" t="s">
        <v>26681</v>
      </c>
      <c r="T20856" s="7" t="str">
        <f>HYPERLINK("#Liste_rouge!A"&amp;_xlfn.XMATCH("NE",Liste_rouge!A:A,2,1),"NE")</f>
        <v>NE</v>
      </c>
      <c r="AH20856" s="4" t="str">
        <f>HYPERLINK("#Statut_biogéographique!A"&amp;_xlfn.XMATCH("P",Statut_biogéographique!A:A,2,1),"P")</f>
        <v>P</v>
      </c>
      <c r="AP20856" s="4" t="s">
        <v>376</v>
      </c>
      <c r="AR20856" s="4" t="s">
        <v>377</v>
      </c>
    </row>
    <row r="20857" spans="1:44" ht="135">
      <c r="A20857" s="4" t="s">
        <v>24364</v>
      </c>
      <c r="B20857" s="4">
        <v>117986</v>
      </c>
      <c r="D20857" s="5" t="s">
        <v>26682</v>
      </c>
      <c r="E20857" s="6" t="str">
        <f>HYPERLINK("https://inpn.mnhn.fr/espece/cd_nom/117986","Rosa agrestis Savi, 1798")</f>
        <v>Rosa agrestis Savi, 1798</v>
      </c>
      <c r="F20857" s="5" t="s">
        <v>26683</v>
      </c>
      <c r="P20857" s="7" t="str">
        <f>HYPERLINK("#Liste_rouge!A"&amp;_xlfn.XMATCH("LC",Liste_rouge!A:A,2,1),"LC")</f>
        <v>LC</v>
      </c>
      <c r="Q20857" s="7" t="str">
        <f>HYPERLINK("#Liste_rouge!A"&amp;_xlfn.XMATCH("LC",Liste_rouge!A:A,2,1),"LC")</f>
        <v>LC</v>
      </c>
      <c r="T20857" s="7" t="str">
        <f>HYPERLINK("#Liste_rouge!A"&amp;_xlfn.XMATCH("LC",Liste_rouge!A:A,2,1),"LC")</f>
        <v>LC</v>
      </c>
      <c r="V20857" s="7" t="str">
        <f>HYPERLINK("#Liste_rouge!A"&amp;_xlfn.XMATCH("LC",Liste_rouge!A:A,2,1),"LC")</f>
        <v>LC</v>
      </c>
      <c r="AH20857" s="4" t="str">
        <f>HYPERLINK("#Statut_biogéographique!A"&amp;_xlfn.XMATCH("P",Statut_biogéographique!A:A,2,1),"P")</f>
        <v>P</v>
      </c>
      <c r="AM20857" s="4" t="s">
        <v>375</v>
      </c>
      <c r="AN20857" s="4" t="s">
        <v>375</v>
      </c>
      <c r="AO20857" s="4" t="s">
        <v>375</v>
      </c>
      <c r="AP20857" s="4" t="s">
        <v>376</v>
      </c>
      <c r="AR20857" s="4" t="s">
        <v>377</v>
      </c>
    </row>
    <row r="20858" spans="1:44" ht="90">
      <c r="A20858" s="4" t="s">
        <v>24364</v>
      </c>
      <c r="B20858" s="4">
        <v>118016</v>
      </c>
      <c r="D20858" s="5" t="s">
        <v>26684</v>
      </c>
      <c r="E20858" s="6" t="str">
        <f>HYPERLINK("https://inpn.mnhn.fr/espece/cd_nom/118016","Rosa arvensis Huds., 1762")</f>
        <v>Rosa arvensis Huds., 1762</v>
      </c>
      <c r="F20858" s="5" t="s">
        <v>26685</v>
      </c>
      <c r="Q20858" s="7" t="str">
        <f>HYPERLINK("#Liste_rouge!A"&amp;_xlfn.XMATCH("LC",Liste_rouge!A:A,2,1),"LC")</f>
        <v>LC</v>
      </c>
      <c r="T20858" s="7" t="str">
        <f>HYPERLINK("#Liste_rouge!A"&amp;_xlfn.XMATCH("LC",Liste_rouge!A:A,2,1),"LC")</f>
        <v>LC</v>
      </c>
      <c r="V20858" s="7" t="str">
        <f>HYPERLINK("#Liste_rouge!A"&amp;_xlfn.XMATCH("LC",Liste_rouge!A:A,2,1),"LC")</f>
        <v>LC</v>
      </c>
      <c r="AH20858" s="4" t="str">
        <f>HYPERLINK("#Statut_biogéographique!A"&amp;_xlfn.XMATCH("P",Statut_biogéographique!A:A,2,1),"P")</f>
        <v>P</v>
      </c>
      <c r="AM20858" s="4" t="s">
        <v>375</v>
      </c>
      <c r="AN20858" s="4" t="s">
        <v>375</v>
      </c>
      <c r="AO20858" s="4" t="s">
        <v>375</v>
      </c>
      <c r="AP20858" s="4" t="s">
        <v>376</v>
      </c>
      <c r="AR20858" s="4" t="s">
        <v>377</v>
      </c>
    </row>
    <row r="20859" spans="1:44" ht="30">
      <c r="A20859" s="4" t="s">
        <v>24364</v>
      </c>
      <c r="B20859" s="4">
        <v>118063</v>
      </c>
      <c r="D20859" s="5" t="s">
        <v>26686</v>
      </c>
      <c r="E20859" s="6" t="str">
        <f>HYPERLINK("https://inpn.mnhn.fr/espece/cd_nom/118063","Rosa caballicensis Puget ex Déségl., 1864")</f>
        <v>Rosa caballicensis Puget ex Déségl., 1864</v>
      </c>
      <c r="F20859" s="5" t="s">
        <v>26687</v>
      </c>
      <c r="V20859" s="7" t="str">
        <f>HYPERLINK("#Liste_rouge!A"&amp;_xlfn.XMATCH("DD",Liste_rouge!A:A,2,1),"DD")</f>
        <v>DD</v>
      </c>
      <c r="AH20859" s="4" t="str">
        <f>HYPERLINK("#Statut_biogéographique!A"&amp;_xlfn.XMATCH("P",Statut_biogéographique!A:A,2,1),"P")</f>
        <v>P</v>
      </c>
      <c r="AM20859" s="4" t="s">
        <v>375</v>
      </c>
      <c r="AN20859" s="4" t="s">
        <v>375</v>
      </c>
      <c r="AO20859" s="4" t="s">
        <v>375</v>
      </c>
      <c r="AP20859" s="4" t="s">
        <v>376</v>
      </c>
      <c r="AR20859" s="4" t="s">
        <v>377</v>
      </c>
    </row>
    <row r="20860" spans="1:44" ht="60">
      <c r="A20860" s="4" t="s">
        <v>24364</v>
      </c>
      <c r="B20860" s="4">
        <v>118064</v>
      </c>
      <c r="D20860" s="5" t="s">
        <v>26688</v>
      </c>
      <c r="E20860" s="6" t="str">
        <f>HYPERLINK("https://inpn.mnhn.fr/espece/cd_nom/118064","Rosa caesia Sm., 1812")</f>
        <v>Rosa caesia Sm., 1812</v>
      </c>
      <c r="F20860" s="5" t="s">
        <v>26689</v>
      </c>
      <c r="AH20860" s="4" t="str">
        <f>HYPERLINK("#Statut_biogéographique!A"&amp;_xlfn.XMATCH("P",Statut_biogéographique!A:A,2,1),"P")</f>
        <v>P</v>
      </c>
      <c r="AP20860" s="4" t="s">
        <v>376</v>
      </c>
      <c r="AR20860" s="4" t="s">
        <v>377</v>
      </c>
    </row>
    <row r="20861" spans="1:44" ht="405">
      <c r="A20861" s="4" t="s">
        <v>24364</v>
      </c>
      <c r="B20861" s="4">
        <v>118073</v>
      </c>
      <c r="D20861" s="5" t="s">
        <v>26690</v>
      </c>
      <c r="E20861" s="6" t="str">
        <f>HYPERLINK("https://inpn.mnhn.fr/espece/cd_nom/118073","Rosa canina L., 1753")</f>
        <v>Rosa canina L., 1753</v>
      </c>
      <c r="F20861" s="5" t="s">
        <v>26691</v>
      </c>
      <c r="P20861" s="7" t="str">
        <f>HYPERLINK("#Liste_rouge!A"&amp;_xlfn.XMATCH("LC",Liste_rouge!A:A,2,1),"LC")</f>
        <v>LC</v>
      </c>
      <c r="Q20861" s="7" t="str">
        <f>HYPERLINK("#Liste_rouge!A"&amp;_xlfn.XMATCH("LC",Liste_rouge!A:A,2,1),"LC")</f>
        <v>LC</v>
      </c>
      <c r="T20861" s="7" t="str">
        <f>HYPERLINK("#Liste_rouge!A"&amp;_xlfn.XMATCH("LC",Liste_rouge!A:A,2,1),"LC")</f>
        <v>LC</v>
      </c>
      <c r="V20861" s="7" t="str">
        <f>HYPERLINK("#Liste_rouge!A"&amp;_xlfn.XMATCH("LC",Liste_rouge!A:A,2,1),"LC")</f>
        <v>LC</v>
      </c>
      <c r="AH20861" s="4" t="str">
        <f>HYPERLINK("#Statut_biogéographique!A"&amp;_xlfn.XMATCH("P",Statut_biogéographique!A:A,2,1),"P")</f>
        <v>P</v>
      </c>
      <c r="AM20861" s="4" t="s">
        <v>375</v>
      </c>
      <c r="AN20861" s="4" t="s">
        <v>375</v>
      </c>
      <c r="AO20861" s="4" t="s">
        <v>375</v>
      </c>
      <c r="AP20861" s="4" t="s">
        <v>376</v>
      </c>
      <c r="AR20861" s="4" t="s">
        <v>377</v>
      </c>
    </row>
    <row r="20862" spans="1:44" ht="45">
      <c r="A20862" s="4" t="s">
        <v>24364</v>
      </c>
      <c r="B20862" s="4">
        <v>118121</v>
      </c>
      <c r="D20862" s="5" t="s">
        <v>26692</v>
      </c>
      <c r="E20862" s="6" t="str">
        <f>HYPERLINK("https://inpn.mnhn.fr/espece/cd_nom/118121","Rosa corymbifera Borkh., 1790")</f>
        <v>Rosa corymbifera Borkh., 1790</v>
      </c>
      <c r="F20862" s="5" t="s">
        <v>26693</v>
      </c>
      <c r="T20862" s="7" t="str">
        <f>HYPERLINK("#Liste_rouge!A"&amp;_xlfn.XMATCH("LC",Liste_rouge!A:A,2,1),"LC")</f>
        <v>LC</v>
      </c>
      <c r="V20862" s="7" t="str">
        <f>HYPERLINK("#Liste_rouge!A"&amp;_xlfn.XMATCH("LC",Liste_rouge!A:A,2,1),"LC")</f>
        <v>LC</v>
      </c>
      <c r="AH20862" s="4" t="str">
        <f>HYPERLINK("#Statut_biogéographique!A"&amp;_xlfn.XMATCH("P",Statut_biogéographique!A:A,2,1),"P")</f>
        <v>P</v>
      </c>
      <c r="AM20862" s="4" t="s">
        <v>375</v>
      </c>
      <c r="AN20862" s="4" t="s">
        <v>375</v>
      </c>
      <c r="AO20862" s="4" t="s">
        <v>375</v>
      </c>
      <c r="AP20862" s="4" t="s">
        <v>376</v>
      </c>
      <c r="AR20862" s="4" t="s">
        <v>377</v>
      </c>
    </row>
    <row r="20863" spans="1:44" ht="30">
      <c r="A20863" s="4" t="s">
        <v>24364</v>
      </c>
      <c r="B20863" s="4">
        <v>118135</v>
      </c>
      <c r="D20863" s="5" t="s">
        <v>26694</v>
      </c>
      <c r="E20863" s="6" t="str">
        <f>HYPERLINK("https://inpn.mnhn.fr/espece/cd_nom/118135","Rosa deseglisei Boreau, 1857")</f>
        <v>Rosa deseglisei Boreau, 1857</v>
      </c>
      <c r="F20863" s="5" t="s">
        <v>26695</v>
      </c>
      <c r="T20863" s="7" t="str">
        <f>HYPERLINK("#Liste_rouge!A"&amp;_xlfn.XMATCH("LC",Liste_rouge!A:A,2,1),"LC")</f>
        <v>LC</v>
      </c>
      <c r="V20863" s="7" t="str">
        <f>HYPERLINK("#Liste_rouge!A"&amp;_xlfn.XMATCH("LC",Liste_rouge!A:A,2,1),"LC")</f>
        <v>LC</v>
      </c>
      <c r="AH20863" s="4" t="str">
        <f>HYPERLINK("#Statut_biogéographique!A"&amp;_xlfn.XMATCH("P",Statut_biogéographique!A:A,2,1),"P")</f>
        <v>P</v>
      </c>
      <c r="AM20863" s="4" t="s">
        <v>375</v>
      </c>
      <c r="AN20863" s="4" t="s">
        <v>375</v>
      </c>
      <c r="AO20863" s="4" t="s">
        <v>375</v>
      </c>
      <c r="AP20863" s="4" t="s">
        <v>376</v>
      </c>
      <c r="AR20863" s="4" t="s">
        <v>377</v>
      </c>
    </row>
    <row r="20864" spans="1:44" ht="90">
      <c r="A20864" s="4" t="s">
        <v>24364</v>
      </c>
      <c r="B20864" s="4">
        <v>118158</v>
      </c>
      <c r="D20864" s="5" t="s">
        <v>26696</v>
      </c>
      <c r="E20864" s="6" t="str">
        <f>HYPERLINK("https://inpn.mnhn.fr/espece/cd_nom/118158","Rosa elliptica Tausch, 1819")</f>
        <v>Rosa elliptica Tausch, 1819</v>
      </c>
      <c r="F20864" s="5" t="s">
        <v>26697</v>
      </c>
      <c r="T20864" s="7" t="str">
        <f>HYPERLINK("#Liste_rouge!A"&amp;_xlfn.XMATCH("LC",Liste_rouge!A:A,2,1),"LC")</f>
        <v>LC</v>
      </c>
      <c r="V20864" s="7" t="str">
        <f>HYPERLINK("#Liste_rouge!A"&amp;_xlfn.XMATCH("DD",Liste_rouge!A:A,2,1),"DD")</f>
        <v>DD</v>
      </c>
      <c r="AH20864" s="4" t="str">
        <f>HYPERLINK("#Statut_biogéographique!A"&amp;_xlfn.XMATCH("P",Statut_biogéographique!A:A,2,1),"P")</f>
        <v>P</v>
      </c>
      <c r="AM20864" s="4" t="s">
        <v>375</v>
      </c>
      <c r="AN20864" s="4" t="s">
        <v>375</v>
      </c>
      <c r="AO20864" s="4" t="s">
        <v>375</v>
      </c>
      <c r="AP20864" s="4" t="s">
        <v>376</v>
      </c>
      <c r="AR20864" s="4" t="s">
        <v>377</v>
      </c>
    </row>
    <row r="20865" spans="1:44" ht="30">
      <c r="A20865" s="4" t="s">
        <v>24364</v>
      </c>
      <c r="B20865" s="4">
        <v>118184</v>
      </c>
      <c r="D20865" s="5" t="s">
        <v>26698</v>
      </c>
      <c r="E20865" s="6" t="str">
        <f>HYPERLINK("https://inpn.mnhn.fr/espece/cd_nom/118184","Rosa foetida Herrm., 1762")</f>
        <v>Rosa foetida Herrm., 1762</v>
      </c>
      <c r="F20865" s="5" t="s">
        <v>26699</v>
      </c>
      <c r="T20865" s="7" t="str">
        <f>HYPERLINK("#Liste_rouge!A"&amp;_xlfn.XMATCH("NA",Liste_rouge!A:A,2,1),"NA")</f>
        <v>NA</v>
      </c>
      <c r="AH20865" s="4" t="str">
        <f>HYPERLINK("#Statut_biogéographique!A"&amp;_xlfn.XMATCH("M",Statut_biogéographique!A:A,2,1),"M")</f>
        <v>M</v>
      </c>
      <c r="AP20865" s="4" t="s">
        <v>376</v>
      </c>
      <c r="AR20865" s="4" t="s">
        <v>377</v>
      </c>
    </row>
    <row r="20866" spans="1:44" ht="135">
      <c r="A20866" s="4" t="s">
        <v>24364</v>
      </c>
      <c r="B20866" s="4">
        <v>118192</v>
      </c>
      <c r="D20866" s="5" t="s">
        <v>26700</v>
      </c>
      <c r="E20866" s="6" t="str">
        <f>HYPERLINK("https://inpn.mnhn.fr/espece/cd_nom/118192","Rosa gallica L., 1753")</f>
        <v>Rosa gallica L., 1753</v>
      </c>
      <c r="F20866" s="5" t="s">
        <v>26701</v>
      </c>
      <c r="L20866" s="4" t="str">
        <f>HYPERLINK("#Réglementation!A"&amp;_xlfn.XMATCH("NV2",Réglementation!A:A,2,1),"NV2 - NV3")</f>
        <v>NV2 - NV3</v>
      </c>
      <c r="P20866" s="7" t="str">
        <f>HYPERLINK("#Liste_rouge!A"&amp;_xlfn.XMATCH("DD",Liste_rouge!A:A,2,1),"DD")</f>
        <v>DD</v>
      </c>
      <c r="Q20866" s="7" t="str">
        <f>HYPERLINK("#Liste_rouge!A"&amp;_xlfn.XMATCH("LC",Liste_rouge!A:A,2,1),"LC")</f>
        <v>LC</v>
      </c>
      <c r="T20866" s="7" t="str">
        <f>HYPERLINK("#Liste_rouge!A"&amp;_xlfn.XMATCH("CR",Liste_rouge!A:A,2,1),"CR")</f>
        <v>CR</v>
      </c>
      <c r="U20866" s="4" t="str">
        <f>HYPERLINK("#Critères_liste_rouge!A$1","B1 B2ab(i,ii,iv)")</f>
        <v>B1 B2ab(i,ii,iv)</v>
      </c>
      <c r="V20866" s="7" t="str">
        <f>HYPERLINK("#Liste_rouge!A"&amp;_xlfn.XMATCH("RE",Liste_rouge!A:A,2,1),"RE")</f>
        <v>RE</v>
      </c>
      <c r="AD20866" s="4" t="s">
        <v>11319</v>
      </c>
      <c r="AH20866" s="4" t="str">
        <f>HYPERLINK("#Statut_biogéographique!A"&amp;_xlfn.XMATCH("P",Statut_biogéographique!A:A,2,1),"P")</f>
        <v>P</v>
      </c>
      <c r="AM20866" s="4" t="s">
        <v>375</v>
      </c>
      <c r="AN20866" s="4" t="s">
        <v>375</v>
      </c>
      <c r="AO20866" s="4" t="s">
        <v>375</v>
      </c>
      <c r="AP20866" s="4" t="s">
        <v>376</v>
      </c>
      <c r="AR20866" s="4" t="s">
        <v>377</v>
      </c>
    </row>
    <row r="20867" spans="1:44" ht="60">
      <c r="A20867" s="4" t="s">
        <v>24364</v>
      </c>
      <c r="B20867" s="4">
        <v>118204</v>
      </c>
      <c r="D20867" s="5" t="s">
        <v>26702</v>
      </c>
      <c r="E20867" s="6" t="str">
        <f>HYPERLINK("https://inpn.mnhn.fr/espece/cd_nom/118204","Rosa glauca Pourr., 1788")</f>
        <v>Rosa glauca Pourr., 1788</v>
      </c>
      <c r="F20867" s="5" t="s">
        <v>26703</v>
      </c>
      <c r="Q20867" s="7" t="str">
        <f>HYPERLINK("#Liste_rouge!A"&amp;_xlfn.XMATCH("LC",Liste_rouge!A:A,2,1),"LC")</f>
        <v>LC</v>
      </c>
      <c r="V20867" s="7" t="str">
        <f>HYPERLINK("#Liste_rouge!A"&amp;_xlfn.XMATCH("LC",Liste_rouge!A:A,2,1),"LC")</f>
        <v>LC</v>
      </c>
      <c r="AB20867" s="4" t="s">
        <v>24447</v>
      </c>
      <c r="AH20867" s="4" t="str">
        <f>HYPERLINK("#Statut_biogéographique!A"&amp;_xlfn.XMATCH("P",Statut_biogéographique!A:A,2,1),"P")</f>
        <v>P</v>
      </c>
      <c r="AM20867" s="4" t="s">
        <v>375</v>
      </c>
      <c r="AN20867" s="4" t="s">
        <v>375</v>
      </c>
      <c r="AO20867" s="4" t="s">
        <v>375</v>
      </c>
      <c r="AP20867" s="4" t="s">
        <v>376</v>
      </c>
      <c r="AR20867" s="4" t="s">
        <v>377</v>
      </c>
    </row>
    <row r="20868" spans="1:44">
      <c r="A20868" s="4" t="s">
        <v>24364</v>
      </c>
      <c r="B20868" s="4">
        <v>118270</v>
      </c>
      <c r="D20868" s="5">
        <v>118270</v>
      </c>
      <c r="E20868" s="6" t="str">
        <f>HYPERLINK("https://inpn.mnhn.fr/espece/cd_nom/118270","Rosa jundzillii Besser, 1816")</f>
        <v>Rosa jundzillii Besser, 1816</v>
      </c>
      <c r="F20868" s="5" t="s">
        <v>26704</v>
      </c>
      <c r="AH20868" s="4" t="str">
        <f>HYPERLINK("#Statut_biogéographique!A"&amp;_xlfn.XMATCH("P",Statut_biogéographique!A:A,2,1),"P")</f>
        <v>P</v>
      </c>
      <c r="AP20868" s="4" t="s">
        <v>376</v>
      </c>
      <c r="AR20868" s="4" t="s">
        <v>377</v>
      </c>
    </row>
    <row r="20869" spans="1:44" ht="225">
      <c r="A20869" s="4" t="s">
        <v>24364</v>
      </c>
      <c r="B20869" s="4">
        <v>118329</v>
      </c>
      <c r="D20869" s="5" t="s">
        <v>26705</v>
      </c>
      <c r="E20869" s="6" t="str">
        <f>HYPERLINK("https://inpn.mnhn.fr/espece/cd_nom/118329","Rosa micrantha Borrer ex Sm., 1812")</f>
        <v>Rosa micrantha Borrer ex Sm., 1812</v>
      </c>
      <c r="F20869" s="5" t="s">
        <v>26706</v>
      </c>
      <c r="T20869" s="7" t="str">
        <f>HYPERLINK("#Liste_rouge!A"&amp;_xlfn.XMATCH("LC",Liste_rouge!A:A,2,1),"LC")</f>
        <v>LC</v>
      </c>
      <c r="V20869" s="7" t="str">
        <f>HYPERLINK("#Liste_rouge!A"&amp;_xlfn.XMATCH("LC",Liste_rouge!A:A,2,1),"LC")</f>
        <v>LC</v>
      </c>
      <c r="AH20869" s="4" t="str">
        <f>HYPERLINK("#Statut_biogéographique!A"&amp;_xlfn.XMATCH("P",Statut_biogéographique!A:A,2,1),"P")</f>
        <v>P</v>
      </c>
      <c r="AM20869" s="4" t="s">
        <v>375</v>
      </c>
      <c r="AN20869" s="4" t="s">
        <v>375</v>
      </c>
      <c r="AO20869" s="4" t="s">
        <v>375</v>
      </c>
      <c r="AP20869" s="4" t="s">
        <v>376</v>
      </c>
      <c r="AR20869" s="4" t="s">
        <v>377</v>
      </c>
    </row>
    <row r="20870" spans="1:44" ht="30">
      <c r="A20870" s="4" t="s">
        <v>24364</v>
      </c>
      <c r="B20870" s="4">
        <v>118339</v>
      </c>
      <c r="D20870" s="5" t="s">
        <v>26707</v>
      </c>
      <c r="E20870" s="6" t="str">
        <f>HYPERLINK("https://inpn.mnhn.fr/espece/cd_nom/118339","Rosa mollis Sm., 1812")</f>
        <v>Rosa mollis Sm., 1812</v>
      </c>
      <c r="F20870" s="5" t="s">
        <v>26708</v>
      </c>
      <c r="T20870" s="7" t="str">
        <f>HYPERLINK("#Liste_rouge!A"&amp;_xlfn.XMATCH("CR",Liste_rouge!A:A,2,1),"CR")</f>
        <v>CR</v>
      </c>
      <c r="U20870" s="4" t="str">
        <f>HYPERLINK("#Critères_liste_rouge!A$1","C2a(i) D1")</f>
        <v>C2a(i) D1</v>
      </c>
      <c r="V20870" s="7" t="str">
        <f>HYPERLINK("#Liste_rouge!A"&amp;_xlfn.XMATCH("DD",Liste_rouge!A:A,2,1),"DD")</f>
        <v>DD</v>
      </c>
      <c r="AB20870" s="4" t="s">
        <v>24486</v>
      </c>
      <c r="AH20870" s="4" t="str">
        <f>HYPERLINK("#Statut_biogéographique!A"&amp;_xlfn.XMATCH("P",Statut_biogéographique!A:A,2,1),"P")</f>
        <v>P</v>
      </c>
      <c r="AM20870" s="4" t="s">
        <v>375</v>
      </c>
      <c r="AN20870" s="4" t="s">
        <v>375</v>
      </c>
      <c r="AO20870" s="4" t="s">
        <v>375</v>
      </c>
      <c r="AP20870" s="4" t="s">
        <v>376</v>
      </c>
      <c r="AR20870" s="4" t="s">
        <v>377</v>
      </c>
    </row>
    <row r="20871" spans="1:44" ht="30">
      <c r="A20871" s="4" t="s">
        <v>24364</v>
      </c>
      <c r="B20871" s="4">
        <v>118343</v>
      </c>
      <c r="D20871" s="5" t="s">
        <v>26709</v>
      </c>
      <c r="E20871" s="6" t="str">
        <f>HYPERLINK("https://inpn.mnhn.fr/espece/cd_nom/118343","Rosa montana Chaix, 1785")</f>
        <v>Rosa montana Chaix, 1785</v>
      </c>
      <c r="F20871" s="5" t="s">
        <v>26710</v>
      </c>
      <c r="Q20871" s="7" t="str">
        <f>HYPERLINK("#Liste_rouge!A"&amp;_xlfn.XMATCH("LC",Liste_rouge!A:A,2,1),"LC")</f>
        <v>LC</v>
      </c>
      <c r="X20871" s="5" t="s">
        <v>374</v>
      </c>
      <c r="AB20871" s="4" t="s">
        <v>93</v>
      </c>
      <c r="AH20871" s="4" t="str">
        <f>HYPERLINK("#Statut_biogéographique!A"&amp;_xlfn.XMATCH("P",Statut_biogéographique!A:A,2,1),"P")</f>
        <v>P</v>
      </c>
      <c r="AM20871" s="4" t="s">
        <v>375</v>
      </c>
      <c r="AN20871" s="4" t="s">
        <v>375</v>
      </c>
      <c r="AO20871" s="4" t="s">
        <v>375</v>
      </c>
      <c r="AP20871" s="4" t="s">
        <v>376</v>
      </c>
      <c r="AR20871" s="4" t="s">
        <v>377</v>
      </c>
    </row>
    <row r="20872" spans="1:44" ht="60">
      <c r="A20872" s="4" t="s">
        <v>24364</v>
      </c>
      <c r="B20872" s="4">
        <v>118353</v>
      </c>
      <c r="D20872" s="5" t="s">
        <v>26711</v>
      </c>
      <c r="E20872" s="6" t="str">
        <f>HYPERLINK("https://inpn.mnhn.fr/espece/cd_nom/118353","Rosa multiflora Thunb., 1784")</f>
        <v>Rosa multiflora Thunb., 1784</v>
      </c>
      <c r="F20872" s="5" t="s">
        <v>26712</v>
      </c>
      <c r="Q20872" s="7" t="str">
        <f>HYPERLINK("#Liste_rouge!A"&amp;_xlfn.XMATCH("NA",Liste_rouge!A:A,2,1),"NA")</f>
        <v>NA</v>
      </c>
      <c r="T20872" s="7" t="str">
        <f>HYPERLINK("#Liste_rouge!A"&amp;_xlfn.XMATCH("NA",Liste_rouge!A:A,2,1),"NA")</f>
        <v>NA</v>
      </c>
      <c r="AH20872" s="4" t="str">
        <f>HYPERLINK("#Statut_biogéographique!A"&amp;_xlfn.XMATCH("M",Statut_biogéographique!A:A,2,1),"M")</f>
        <v>M</v>
      </c>
      <c r="AP20872" s="4" t="s">
        <v>376</v>
      </c>
      <c r="AR20872" s="4" t="s">
        <v>377</v>
      </c>
    </row>
    <row r="20873" spans="1:44" ht="45">
      <c r="A20873" s="4" t="s">
        <v>24364</v>
      </c>
      <c r="B20873" s="4">
        <v>118373</v>
      </c>
      <c r="D20873" s="5" t="s">
        <v>26713</v>
      </c>
      <c r="E20873" s="6" t="str">
        <f>HYPERLINK("https://inpn.mnhn.fr/espece/cd_nom/118373","Rosa obtusifolia Desv., 1809")</f>
        <v>Rosa obtusifolia Desv., 1809</v>
      </c>
      <c r="F20873" s="5" t="s">
        <v>26714</v>
      </c>
      <c r="T20873" s="7" t="str">
        <f>HYPERLINK("#Liste_rouge!A"&amp;_xlfn.XMATCH("VU",Liste_rouge!A:A,2,1),"VU")</f>
        <v>VU</v>
      </c>
      <c r="U20873" s="4" t="str">
        <f>HYPERLINK("#Critères_liste_rouge!A$1","D2")</f>
        <v>D2</v>
      </c>
      <c r="V20873" s="7" t="str">
        <f>HYPERLINK("#Liste_rouge!A"&amp;_xlfn.XMATCH("LC",Liste_rouge!A:A,2,1),"LC")</f>
        <v>LC</v>
      </c>
      <c r="AB20873" s="4" t="s">
        <v>24984</v>
      </c>
      <c r="AH20873" s="4" t="str">
        <f>HYPERLINK("#Statut_biogéographique!A"&amp;_xlfn.XMATCH("P",Statut_biogéographique!A:A,2,1),"P")</f>
        <v>P</v>
      </c>
      <c r="AM20873" s="4" t="s">
        <v>375</v>
      </c>
      <c r="AN20873" s="4" t="s">
        <v>375</v>
      </c>
      <c r="AO20873" s="4" t="s">
        <v>375</v>
      </c>
      <c r="AP20873" s="4" t="s">
        <v>376</v>
      </c>
      <c r="AR20873" s="4" t="s">
        <v>377</v>
      </c>
    </row>
    <row r="20874" spans="1:44" ht="165">
      <c r="A20874" s="4" t="s">
        <v>24364</v>
      </c>
      <c r="B20874" s="4">
        <v>118397</v>
      </c>
      <c r="D20874" s="5" t="s">
        <v>26715</v>
      </c>
      <c r="E20874" s="6" t="str">
        <f>HYPERLINK("https://inpn.mnhn.fr/espece/cd_nom/118397","Rosa pendulina L., 1753")</f>
        <v>Rosa pendulina L., 1753</v>
      </c>
      <c r="F20874" s="5" t="s">
        <v>26716</v>
      </c>
      <c r="O20874" s="7" t="str">
        <f>HYPERLINK("#Liste_rouge!A"&amp;_xlfn.XMATCH("LC",Liste_rouge!A:A,2,1),"LC")</f>
        <v>LC</v>
      </c>
      <c r="P20874" s="7" t="str">
        <f>HYPERLINK("#Liste_rouge!A"&amp;_xlfn.XMATCH("LC",Liste_rouge!A:A,2,1),"LC")</f>
        <v>LC</v>
      </c>
      <c r="Q20874" s="7" t="str">
        <f>HYPERLINK("#Liste_rouge!A"&amp;_xlfn.XMATCH("LC",Liste_rouge!A:A,2,1),"LC")</f>
        <v>LC</v>
      </c>
      <c r="T20874" s="7" t="str">
        <f>HYPERLINK("#Liste_rouge!A"&amp;_xlfn.XMATCH("NA",Liste_rouge!A:A,2,1),"NA")</f>
        <v>NA</v>
      </c>
      <c r="V20874" s="7" t="str">
        <f>HYPERLINK("#Liste_rouge!A"&amp;_xlfn.XMATCH("LC",Liste_rouge!A:A,2,1),"LC")</f>
        <v>LC</v>
      </c>
      <c r="AB20874" s="4" t="s">
        <v>24719</v>
      </c>
      <c r="AH20874" s="4" t="str">
        <f>HYPERLINK("#Statut_biogéographique!A"&amp;_xlfn.XMATCH("P",Statut_biogéographique!A:A,2,1),"P")</f>
        <v>P</v>
      </c>
      <c r="AM20874" s="4" t="s">
        <v>375</v>
      </c>
      <c r="AN20874" s="4" t="s">
        <v>375</v>
      </c>
      <c r="AO20874" s="4" t="s">
        <v>375</v>
      </c>
      <c r="AP20874" s="4" t="s">
        <v>376</v>
      </c>
      <c r="AR20874" s="4" t="s">
        <v>377</v>
      </c>
    </row>
    <row r="20875" spans="1:44" ht="105">
      <c r="A20875" s="4" t="s">
        <v>24364</v>
      </c>
      <c r="B20875" s="4">
        <v>118416</v>
      </c>
      <c r="D20875" s="5" t="s">
        <v>26717</v>
      </c>
      <c r="E20875" s="6" t="str">
        <f>HYPERLINK("https://inpn.mnhn.fr/espece/cd_nom/118416","Rosa pouzinii Tratt., 1823")</f>
        <v>Rosa pouzinii Tratt., 1823</v>
      </c>
      <c r="F20875" s="5" t="s">
        <v>26718</v>
      </c>
      <c r="Q20875" s="7" t="str">
        <f>HYPERLINK("#Liste_rouge!A"&amp;_xlfn.XMATCH("LC",Liste_rouge!A:A,2,1),"LC")</f>
        <v>LC</v>
      </c>
      <c r="AH20875" s="4" t="str">
        <f>HYPERLINK("#Statut_biogéographique!A"&amp;_xlfn.XMATCH("P",Statut_biogéographique!A:A,2,1),"P")</f>
        <v>P</v>
      </c>
      <c r="AP20875" s="4" t="s">
        <v>376</v>
      </c>
      <c r="AR20875" s="4" t="s">
        <v>377</v>
      </c>
    </row>
    <row r="20876" spans="1:44" ht="150">
      <c r="A20876" s="4" t="s">
        <v>24364</v>
      </c>
      <c r="B20876" s="4">
        <v>118474</v>
      </c>
      <c r="D20876" s="5" t="s">
        <v>26719</v>
      </c>
      <c r="E20876" s="6" t="str">
        <f>HYPERLINK("https://inpn.mnhn.fr/espece/cd_nom/118474","Rosa rubiginosa L., 1771")</f>
        <v>Rosa rubiginosa L., 1771</v>
      </c>
      <c r="F20876" s="5" t="s">
        <v>26720</v>
      </c>
      <c r="P20876" s="7" t="str">
        <f>HYPERLINK("#Liste_rouge!A"&amp;_xlfn.XMATCH("LC",Liste_rouge!A:A,2,1),"LC")</f>
        <v>LC</v>
      </c>
      <c r="Q20876" s="7" t="str">
        <f>HYPERLINK("#Liste_rouge!A"&amp;_xlfn.XMATCH("LC",Liste_rouge!A:A,2,1),"LC")</f>
        <v>LC</v>
      </c>
      <c r="T20876" s="7" t="str">
        <f>HYPERLINK("#Liste_rouge!A"&amp;_xlfn.XMATCH("VU",Liste_rouge!A:A,2,1),"VU")</f>
        <v>VU</v>
      </c>
      <c r="U20876" s="4" t="str">
        <f>HYPERLINK("#Critères_liste_rouge!A$1","D2")</f>
        <v>D2</v>
      </c>
      <c r="V20876" s="7" t="str">
        <f>HYPERLINK("#Liste_rouge!A"&amp;_xlfn.XMATCH("DD",Liste_rouge!A:A,2,1),"DD")</f>
        <v>DD</v>
      </c>
      <c r="AB20876" s="4" t="s">
        <v>24382</v>
      </c>
      <c r="AH20876" s="4" t="str">
        <f>HYPERLINK("#Statut_biogéographique!A"&amp;_xlfn.XMATCH("P",Statut_biogéographique!A:A,2,1),"P")</f>
        <v>P</v>
      </c>
      <c r="AM20876" s="4" t="s">
        <v>375</v>
      </c>
      <c r="AN20876" s="4" t="s">
        <v>375</v>
      </c>
      <c r="AO20876" s="4" t="s">
        <v>375</v>
      </c>
      <c r="AP20876" s="4" t="s">
        <v>376</v>
      </c>
      <c r="AR20876" s="4" t="s">
        <v>377</v>
      </c>
    </row>
    <row r="20877" spans="1:44" ht="30">
      <c r="A20877" s="4" t="s">
        <v>24364</v>
      </c>
      <c r="B20877" s="4">
        <v>118477</v>
      </c>
      <c r="D20877" s="5" t="s">
        <v>26721</v>
      </c>
      <c r="E20877" s="6" t="str">
        <f>HYPERLINK("https://inpn.mnhn.fr/espece/cd_nom/118477","Rosa rugosa Thunb., 1784")</f>
        <v>Rosa rugosa Thunb., 1784</v>
      </c>
      <c r="F20877" s="5" t="s">
        <v>26722</v>
      </c>
      <c r="Q20877" s="7" t="str">
        <f>HYPERLINK("#Liste_rouge!A"&amp;_xlfn.XMATCH("NA",Liste_rouge!A:A,2,1),"NA")</f>
        <v>NA</v>
      </c>
      <c r="T20877" s="7" t="str">
        <f>HYPERLINK("#Liste_rouge!A"&amp;_xlfn.XMATCH("NA",Liste_rouge!A:A,2,1),"NA")</f>
        <v>NA</v>
      </c>
      <c r="AH20877" s="4" t="str">
        <f>HYPERLINK("#Statut_biogéographique!A"&amp;_xlfn.XMATCH("I",Statut_biogéographique!A:A,2,1),"I")</f>
        <v>I</v>
      </c>
      <c r="AP20877" s="4" t="s">
        <v>376</v>
      </c>
      <c r="AR20877" s="4" t="s">
        <v>377</v>
      </c>
    </row>
    <row r="20878" spans="1:44" ht="105">
      <c r="A20878" s="4" t="s">
        <v>24364</v>
      </c>
      <c r="B20878" s="4">
        <v>118498</v>
      </c>
      <c r="D20878" s="5" t="s">
        <v>26723</v>
      </c>
      <c r="E20878" s="6" t="str">
        <f>HYPERLINK("https://inpn.mnhn.fr/espece/cd_nom/118498","Rosa sempervirens L., 1753")</f>
        <v>Rosa sempervirens L., 1753</v>
      </c>
      <c r="F20878" s="5" t="s">
        <v>26724</v>
      </c>
      <c r="Q20878" s="7" t="str">
        <f>HYPERLINK("#Liste_rouge!A"&amp;_xlfn.XMATCH("LC",Liste_rouge!A:A,2,1),"LC")</f>
        <v>LC</v>
      </c>
      <c r="AH20878" s="4" t="str">
        <f>HYPERLINK("#Statut_biogéographique!A"&amp;_xlfn.XMATCH("P",Statut_biogéographique!A:A,2,1),"P")</f>
        <v>P</v>
      </c>
      <c r="AP20878" s="4" t="s">
        <v>376</v>
      </c>
      <c r="AR20878" s="4" t="s">
        <v>377</v>
      </c>
    </row>
    <row r="20879" spans="1:44" ht="30">
      <c r="A20879" s="4" t="s">
        <v>24364</v>
      </c>
      <c r="B20879" s="4">
        <v>118512</v>
      </c>
      <c r="D20879" s="5" t="s">
        <v>26725</v>
      </c>
      <c r="E20879" s="6" t="str">
        <f>HYPERLINK("https://inpn.mnhn.fr/espece/cd_nom/118512","Rosa sherardii Davies, 1813")</f>
        <v>Rosa sherardii Davies, 1813</v>
      </c>
      <c r="F20879" s="5" t="s">
        <v>26726</v>
      </c>
      <c r="T20879" s="7" t="str">
        <f>HYPERLINK("#Liste_rouge!A"&amp;_xlfn.XMATCH("VU",Liste_rouge!A:A,2,1),"VU")</f>
        <v>VU</v>
      </c>
      <c r="U20879" s="4" t="str">
        <f>HYPERLINK("#Critères_liste_rouge!A$1","D2")</f>
        <v>D2</v>
      </c>
      <c r="V20879" s="7" t="str">
        <f>HYPERLINK("#Liste_rouge!A"&amp;_xlfn.XMATCH("DD",Liste_rouge!A:A,2,1),"DD")</f>
        <v>DD</v>
      </c>
      <c r="X20879" s="5" t="s">
        <v>374</v>
      </c>
      <c r="AB20879" s="4" t="s">
        <v>93</v>
      </c>
      <c r="AH20879" s="4" t="str">
        <f>HYPERLINK("#Statut_biogéographique!A"&amp;_xlfn.XMATCH("P",Statut_biogéographique!A:A,2,1),"P")</f>
        <v>P</v>
      </c>
      <c r="AM20879" s="4" t="s">
        <v>375</v>
      </c>
      <c r="AN20879" s="4" t="s">
        <v>375</v>
      </c>
      <c r="AO20879" s="4" t="s">
        <v>375</v>
      </c>
      <c r="AP20879" s="4" t="s">
        <v>376</v>
      </c>
      <c r="AR20879" s="4" t="s">
        <v>377</v>
      </c>
    </row>
    <row r="20880" spans="1:44" ht="60">
      <c r="A20880" s="4" t="s">
        <v>24364</v>
      </c>
      <c r="B20880" s="4">
        <v>118521</v>
      </c>
      <c r="D20880" s="5" t="s">
        <v>26727</v>
      </c>
      <c r="E20880" s="6" t="str">
        <f>HYPERLINK("https://inpn.mnhn.fr/espece/cd_nom/118521","Rosa spinosissima L., 1753")</f>
        <v>Rosa spinosissima L., 1753</v>
      </c>
      <c r="F20880" s="5" t="s">
        <v>26728</v>
      </c>
      <c r="Q20880" s="7" t="str">
        <f>HYPERLINK("#Liste_rouge!A"&amp;_xlfn.XMATCH("LC",Liste_rouge!A:A,2,1),"LC")</f>
        <v>LC</v>
      </c>
      <c r="T20880" s="7" t="str">
        <f>HYPERLINK("#Liste_rouge!A"&amp;_xlfn.XMATCH("LC",Liste_rouge!A:A,2,1),"LC")</f>
        <v>LC</v>
      </c>
      <c r="V20880" s="7" t="str">
        <f>HYPERLINK("#Liste_rouge!A"&amp;_xlfn.XMATCH("LC",Liste_rouge!A:A,2,1),"LC")</f>
        <v>LC</v>
      </c>
      <c r="AH20880" s="4" t="str">
        <f>HYPERLINK("#Statut_biogéographique!A"&amp;_xlfn.XMATCH("P",Statut_biogéographique!A:A,2,1),"P")</f>
        <v>P</v>
      </c>
      <c r="AM20880" s="4" t="s">
        <v>375</v>
      </c>
      <c r="AN20880" s="4" t="s">
        <v>375</v>
      </c>
      <c r="AO20880" s="4" t="s">
        <v>375</v>
      </c>
      <c r="AP20880" s="4" t="s">
        <v>376</v>
      </c>
      <c r="AR20880" s="4" t="s">
        <v>377</v>
      </c>
    </row>
    <row r="20881" spans="1:44" ht="90">
      <c r="A20881" s="4" t="s">
        <v>24364</v>
      </c>
      <c r="B20881" s="4">
        <v>118524</v>
      </c>
      <c r="D20881" s="5" t="s">
        <v>26729</v>
      </c>
      <c r="E20881" s="6" t="str">
        <f>HYPERLINK("https://inpn.mnhn.fr/espece/cd_nom/118524","Rosa squarrosa (Rau) Boreau, 1857")</f>
        <v>Rosa squarrosa (Rau) Boreau, 1857</v>
      </c>
      <c r="F20881" s="5" t="s">
        <v>26730</v>
      </c>
      <c r="T20881" s="7" t="str">
        <f>HYPERLINK("#Liste_rouge!A"&amp;_xlfn.XMATCH("LC",Liste_rouge!A:A,2,1),"LC")</f>
        <v>LC</v>
      </c>
      <c r="V20881" s="7" t="str">
        <f>HYPERLINK("#Liste_rouge!A"&amp;_xlfn.XMATCH("LC",Liste_rouge!A:A,2,1),"LC")</f>
        <v>LC</v>
      </c>
      <c r="AH20881" s="4" t="str">
        <f>HYPERLINK("#Statut_biogéographique!A"&amp;_xlfn.XMATCH("P",Statut_biogéographique!A:A,2,1),"P")</f>
        <v>P</v>
      </c>
      <c r="AM20881" s="4" t="s">
        <v>375</v>
      </c>
      <c r="AN20881" s="4" t="s">
        <v>375</v>
      </c>
      <c r="AO20881" s="4" t="s">
        <v>375</v>
      </c>
      <c r="AP20881" s="4" t="s">
        <v>376</v>
      </c>
      <c r="AR20881" s="4" t="s">
        <v>377</v>
      </c>
    </row>
    <row r="20882" spans="1:44" ht="135">
      <c r="A20882" s="4" t="s">
        <v>24364</v>
      </c>
      <c r="B20882" s="4">
        <v>118529</v>
      </c>
      <c r="D20882" s="5" t="s">
        <v>26731</v>
      </c>
      <c r="E20882" s="6" t="str">
        <f>HYPERLINK("https://inpn.mnhn.fr/espece/cd_nom/118529","Rosa stylosa Desv., 1809")</f>
        <v>Rosa stylosa Desv., 1809</v>
      </c>
      <c r="F20882" s="5" t="s">
        <v>26732</v>
      </c>
      <c r="P20882" s="7" t="str">
        <f>HYPERLINK("#Liste_rouge!A"&amp;_xlfn.XMATCH("DD",Liste_rouge!A:A,2,1),"DD")</f>
        <v>DD</v>
      </c>
      <c r="T20882" s="7" t="str">
        <f>HYPERLINK("#Liste_rouge!A"&amp;_xlfn.XMATCH("LC",Liste_rouge!A:A,2,1),"LC")</f>
        <v>LC</v>
      </c>
      <c r="V20882" s="7" t="str">
        <f>HYPERLINK("#Liste_rouge!A"&amp;_xlfn.XMATCH("DD",Liste_rouge!A:A,2,1),"DD")</f>
        <v>DD</v>
      </c>
      <c r="AB20882" s="4" t="s">
        <v>24501</v>
      </c>
      <c r="AH20882" s="4" t="str">
        <f>HYPERLINK("#Statut_biogéographique!A"&amp;_xlfn.XMATCH("P",Statut_biogéographique!A:A,2,1),"P")</f>
        <v>P</v>
      </c>
      <c r="AM20882" s="4" t="s">
        <v>375</v>
      </c>
      <c r="AN20882" s="4" t="s">
        <v>375</v>
      </c>
      <c r="AO20882" s="4" t="s">
        <v>375</v>
      </c>
      <c r="AP20882" s="4" t="s">
        <v>376</v>
      </c>
      <c r="AR20882" s="4" t="s">
        <v>377</v>
      </c>
    </row>
    <row r="20883" spans="1:44" ht="165">
      <c r="A20883" s="4" t="s">
        <v>24364</v>
      </c>
      <c r="B20883" s="4">
        <v>118557</v>
      </c>
      <c r="D20883" s="5" t="s">
        <v>26733</v>
      </c>
      <c r="E20883" s="6" t="str">
        <f>HYPERLINK("https://inpn.mnhn.fr/espece/cd_nom/118557","Rosa tomentosa Sm., 1800")</f>
        <v>Rosa tomentosa Sm., 1800</v>
      </c>
      <c r="F20883" s="5" t="s">
        <v>26734</v>
      </c>
      <c r="P20883" s="7" t="str">
        <f>HYPERLINK("#Liste_rouge!A"&amp;_xlfn.XMATCH("LC",Liste_rouge!A:A,2,1),"LC")</f>
        <v>LC</v>
      </c>
      <c r="Q20883" s="7" t="str">
        <f>HYPERLINK("#Liste_rouge!A"&amp;_xlfn.XMATCH("LC",Liste_rouge!A:A,2,1),"LC")</f>
        <v>LC</v>
      </c>
      <c r="T20883" s="7" t="str">
        <f>HYPERLINK("#Liste_rouge!A"&amp;_xlfn.XMATCH("NT",Liste_rouge!A:A,2,1),"NT")</f>
        <v>NT</v>
      </c>
      <c r="U20883" s="4" t="str">
        <f>HYPERLINK("#Critères_liste_rouge!A$1","pr. D2")</f>
        <v>pr. D2</v>
      </c>
      <c r="V20883" s="7" t="str">
        <f>HYPERLINK("#Liste_rouge!A"&amp;_xlfn.XMATCH("LC",Liste_rouge!A:A,2,1),"LC")</f>
        <v>LC</v>
      </c>
      <c r="AB20883" s="4" t="s">
        <v>26735</v>
      </c>
      <c r="AH20883" s="4" t="str">
        <f>HYPERLINK("#Statut_biogéographique!A"&amp;_xlfn.XMATCH("P",Statut_biogéographique!A:A,2,1),"P")</f>
        <v>P</v>
      </c>
      <c r="AM20883" s="4" t="s">
        <v>375</v>
      </c>
      <c r="AN20883" s="4" t="s">
        <v>375</v>
      </c>
      <c r="AO20883" s="4" t="s">
        <v>375</v>
      </c>
      <c r="AP20883" s="4" t="s">
        <v>376</v>
      </c>
      <c r="AR20883" s="4" t="s">
        <v>377</v>
      </c>
    </row>
    <row r="20884" spans="1:44" ht="105">
      <c r="A20884" s="4" t="s">
        <v>24364</v>
      </c>
      <c r="B20884" s="4">
        <v>118559</v>
      </c>
      <c r="D20884" s="5" t="s">
        <v>26736</v>
      </c>
      <c r="E20884" s="6" t="str">
        <f>HYPERLINK("https://inpn.mnhn.fr/espece/cd_nom/118559","Rosa trachyphylla A.Rau, 1816")</f>
        <v>Rosa trachyphylla A.Rau, 1816</v>
      </c>
      <c r="F20884" s="5" t="s">
        <v>26737</v>
      </c>
      <c r="T20884" s="7" t="str">
        <f>HYPERLINK("#Liste_rouge!A"&amp;_xlfn.XMATCH("CR",Liste_rouge!A:A,2,1),"CR")</f>
        <v>CR</v>
      </c>
      <c r="U20884" s="4" t="str">
        <f>HYPERLINK("#Critères_liste_rouge!A$1","B1 B2ab(i,ii,iv)")</f>
        <v>B1 B2ab(i,ii,iv)</v>
      </c>
      <c r="V20884" s="7" t="str">
        <f>HYPERLINK("#Liste_rouge!A"&amp;_xlfn.XMATCH("DD",Liste_rouge!A:A,2,1),"DD")</f>
        <v>DD</v>
      </c>
      <c r="AH20884" s="4" t="str">
        <f>HYPERLINK("#Statut_biogéographique!A"&amp;_xlfn.XMATCH("P",Statut_biogéographique!A:A,2,1),"P")</f>
        <v>P</v>
      </c>
      <c r="AM20884" s="4" t="s">
        <v>375</v>
      </c>
      <c r="AN20884" s="4" t="s">
        <v>375</v>
      </c>
      <c r="AO20884" s="4" t="s">
        <v>375</v>
      </c>
      <c r="AP20884" s="4" t="s">
        <v>376</v>
      </c>
      <c r="AR20884" s="4" t="s">
        <v>377</v>
      </c>
    </row>
    <row r="20885" spans="1:44" ht="105">
      <c r="A20885" s="4" t="s">
        <v>24364</v>
      </c>
      <c r="B20885" s="4">
        <v>118582</v>
      </c>
      <c r="D20885" s="5" t="s">
        <v>26738</v>
      </c>
      <c r="E20885" s="6" t="str">
        <f>HYPERLINK("https://inpn.mnhn.fr/espece/cd_nom/118582","Rosa villosa L., 1753")</f>
        <v>Rosa villosa L., 1753</v>
      </c>
      <c r="F20885" s="5" t="s">
        <v>26739</v>
      </c>
      <c r="P20885" s="7" t="str">
        <f>HYPERLINK("#Liste_rouge!A"&amp;_xlfn.XMATCH("DD",Liste_rouge!A:A,2,1),"DD")</f>
        <v>DD</v>
      </c>
      <c r="Q20885" s="7" t="str">
        <f>HYPERLINK("#Liste_rouge!A"&amp;_xlfn.XMATCH("LC",Liste_rouge!A:A,2,1),"LC")</f>
        <v>LC</v>
      </c>
      <c r="T20885" s="7" t="str">
        <f>HYPERLINK("#Liste_rouge!A"&amp;_xlfn.XMATCH("CR",Liste_rouge!A:A,2,1),"CR")</f>
        <v>CR</v>
      </c>
      <c r="U20885" s="4" t="str">
        <f>HYPERLINK("#Critères_liste_rouge!A$1","D1")</f>
        <v>D1</v>
      </c>
      <c r="V20885" s="7" t="str">
        <f>HYPERLINK("#Liste_rouge!A"&amp;_xlfn.XMATCH("EN",Liste_rouge!A:A,2,1),"EN")</f>
        <v>EN</v>
      </c>
      <c r="W20885" s="4" t="str">
        <f>HYPERLINK("#Critères_liste_rouge!A$1","D")</f>
        <v>D</v>
      </c>
      <c r="X20885" s="5" t="s">
        <v>374</v>
      </c>
      <c r="AB20885" s="4" t="s">
        <v>93</v>
      </c>
      <c r="AH20885" s="4" t="str">
        <f>HYPERLINK("#Statut_biogéographique!A"&amp;_xlfn.XMATCH("D",Statut_biogéographique!A:A,2,1),"D")</f>
        <v>D</v>
      </c>
      <c r="AM20885" s="4" t="s">
        <v>375</v>
      </c>
      <c r="AN20885" s="4" t="s">
        <v>375</v>
      </c>
      <c r="AO20885" s="4" t="s">
        <v>375</v>
      </c>
      <c r="AP20885" s="4" t="s">
        <v>376</v>
      </c>
      <c r="AR20885" s="4" t="s">
        <v>377</v>
      </c>
    </row>
    <row r="20886" spans="1:44" ht="135">
      <c r="A20886" s="4" t="s">
        <v>24364</v>
      </c>
      <c r="B20886" s="4">
        <v>118592</v>
      </c>
      <c r="D20886" s="5" t="s">
        <v>26740</v>
      </c>
      <c r="E20886" s="6" t="str">
        <f>HYPERLINK("https://inpn.mnhn.fr/espece/cd_nom/118592","Rosa vosagiaca N.H.F.Desp., 1828")</f>
        <v>Rosa vosagiaca N.H.F.Desp., 1828</v>
      </c>
      <c r="F20886" s="5" t="s">
        <v>26741</v>
      </c>
      <c r="T20886" s="7" t="str">
        <f>HYPERLINK("#Liste_rouge!A"&amp;_xlfn.XMATCH("RE",Liste_rouge!A:A,2,1),"RE")</f>
        <v>RE</v>
      </c>
      <c r="V20886" s="7" t="str">
        <f>HYPERLINK("#Liste_rouge!A"&amp;_xlfn.XMATCH("LC",Liste_rouge!A:A,2,1),"LC")</f>
        <v>LC</v>
      </c>
      <c r="AH20886" s="4" t="str">
        <f>HYPERLINK("#Statut_biogéographique!A"&amp;_xlfn.XMATCH("P",Statut_biogéographique!A:A,2,1),"P")</f>
        <v>P</v>
      </c>
      <c r="AM20886" s="4" t="s">
        <v>375</v>
      </c>
      <c r="AN20886" s="4" t="s">
        <v>375</v>
      </c>
      <c r="AO20886" s="4" t="s">
        <v>375</v>
      </c>
      <c r="AP20886" s="4" t="s">
        <v>376</v>
      </c>
      <c r="AR20886" s="4" t="s">
        <v>377</v>
      </c>
    </row>
    <row r="20887" spans="1:44" ht="30">
      <c r="A20887" s="4" t="s">
        <v>24364</v>
      </c>
      <c r="B20887" s="4">
        <v>118603</v>
      </c>
      <c r="D20887" s="5" t="s">
        <v>26742</v>
      </c>
      <c r="E20887" s="6" t="str">
        <f>HYPERLINK("https://inpn.mnhn.fr/espece/cd_nom/118603","Rosa x alba L., 1753")</f>
        <v>Rosa x alba L., 1753</v>
      </c>
      <c r="F20887" s="5" t="s">
        <v>26743</v>
      </c>
      <c r="T20887" s="7" t="str">
        <f>HYPERLINK("#Liste_rouge!A"&amp;_xlfn.XMATCH("NA",Liste_rouge!A:A,2,1),"NA")</f>
        <v>NA</v>
      </c>
      <c r="AH20887" s="4" t="str">
        <f>HYPERLINK("#Statut_biogéographique!A"&amp;_xlfn.XMATCH("M",Statut_biogéographique!A:A,2,1),"M")</f>
        <v>M</v>
      </c>
      <c r="AP20887" s="4" t="s">
        <v>376</v>
      </c>
      <c r="AR20887" s="4" t="s">
        <v>377</v>
      </c>
    </row>
    <row r="20888" spans="1:44" ht="60">
      <c r="A20888" s="4" t="s">
        <v>24364</v>
      </c>
      <c r="B20888" s="4">
        <v>118612</v>
      </c>
      <c r="D20888" s="5" t="s">
        <v>26744</v>
      </c>
      <c r="E20888" s="6" t="str">
        <f>HYPERLINK("https://inpn.mnhn.fr/espece/cd_nom/118612","Rosa x andegavensis Bastard, 1809")</f>
        <v>Rosa x andegavensis Bastard, 1809</v>
      </c>
      <c r="F20888" s="5" t="s">
        <v>26745</v>
      </c>
      <c r="T20888" s="7" t="str">
        <f>HYPERLINK("#Liste_rouge!A"&amp;_xlfn.XMATCH("LC",Liste_rouge!A:A,2,1),"LC")</f>
        <v>LC</v>
      </c>
      <c r="AH20888" s="4" t="str">
        <f>HYPERLINK("#Statut_biogéographique!A"&amp;_xlfn.XMATCH("D",Statut_biogéographique!A:A,2,1),"D")</f>
        <v>D</v>
      </c>
      <c r="AP20888" s="4" t="s">
        <v>376</v>
      </c>
      <c r="AR20888" s="4" t="s">
        <v>377</v>
      </c>
    </row>
    <row r="20889" spans="1:44">
      <c r="A20889" s="4" t="s">
        <v>24364</v>
      </c>
      <c r="B20889" s="4">
        <v>118624</v>
      </c>
      <c r="D20889" s="5">
        <v>118624</v>
      </c>
      <c r="E20889" s="6" t="str">
        <f>HYPERLINK("https://inpn.mnhn.fr/espece/cd_nom/118624","Rosa x belnensis Ozanon, 1881")</f>
        <v>Rosa x belnensis Ozanon, 1881</v>
      </c>
      <c r="F20889" s="5" t="s">
        <v>26746</v>
      </c>
      <c r="T20889" s="7" t="str">
        <f>HYPERLINK("#Liste_rouge!A"&amp;_xlfn.XMATCH("NE",Liste_rouge!A:A,2,1),"NE")</f>
        <v>NE</v>
      </c>
      <c r="AH20889" s="4" t="str">
        <f>HYPERLINK("#Statut_biogéographique!A"&amp;_xlfn.XMATCH("D",Statut_biogéographique!A:A,2,1),"D")</f>
        <v>D</v>
      </c>
      <c r="AP20889" s="4" t="s">
        <v>376</v>
      </c>
      <c r="AR20889" s="4" t="s">
        <v>377</v>
      </c>
    </row>
    <row r="20890" spans="1:44" ht="30">
      <c r="A20890" s="4" t="s">
        <v>24364</v>
      </c>
      <c r="B20890" s="4">
        <v>118643</v>
      </c>
      <c r="D20890" s="5" t="s">
        <v>26747</v>
      </c>
      <c r="E20890" s="6" t="str">
        <f>HYPERLINK("https://inpn.mnhn.fr/espece/cd_nom/118643","Rosa x cantiana (Wolley-Dod) Wolley-Dod, 1924")</f>
        <v>Rosa x cantiana (Wolley-Dod) Wolley-Dod, 1924</v>
      </c>
      <c r="F20890" s="5" t="s">
        <v>26748</v>
      </c>
      <c r="T20890" s="7" t="str">
        <f>HYPERLINK("#Liste_rouge!A"&amp;_xlfn.XMATCH("NE",Liste_rouge!A:A,2,1),"NE")</f>
        <v>NE</v>
      </c>
      <c r="AH20890" s="4" t="str">
        <f>HYPERLINK("#Statut_biogéographique!A"&amp;_xlfn.XMATCH("D",Statut_biogéographique!A:A,2,1),"D")</f>
        <v>D</v>
      </c>
      <c r="AP20890" s="4" t="s">
        <v>376</v>
      </c>
      <c r="AR20890" s="4" t="s">
        <v>377</v>
      </c>
    </row>
    <row r="20891" spans="1:44" ht="30">
      <c r="A20891" s="4" t="s">
        <v>24364</v>
      </c>
      <c r="B20891" s="4">
        <v>118644</v>
      </c>
      <c r="D20891" s="5" t="s">
        <v>26749</v>
      </c>
      <c r="E20891" s="6" t="str">
        <f>HYPERLINK("https://inpn.mnhn.fr/espece/cd_nom/118644","Rosa x caviniacensis Ozanon, 1892")</f>
        <v>Rosa x caviniacensis Ozanon, 1892</v>
      </c>
      <c r="F20891" s="5" t="s">
        <v>26750</v>
      </c>
      <c r="T20891" s="7" t="str">
        <f>HYPERLINK("#Liste_rouge!A"&amp;_xlfn.XMATCH("NE",Liste_rouge!A:A,2,1),"NE")</f>
        <v>NE</v>
      </c>
      <c r="AH20891" s="4" t="str">
        <f>HYPERLINK("#Statut_biogéographique!A"&amp;_xlfn.XMATCH("D",Statut_biogéographique!A:A,2,1),"D")</f>
        <v>D</v>
      </c>
      <c r="AP20891" s="4" t="s">
        <v>376</v>
      </c>
      <c r="AR20891" s="4" t="s">
        <v>377</v>
      </c>
    </row>
    <row r="20892" spans="1:44" ht="30">
      <c r="A20892" s="4" t="s">
        <v>24364</v>
      </c>
      <c r="B20892" s="4">
        <v>118647</v>
      </c>
      <c r="D20892" s="5" t="s">
        <v>26751</v>
      </c>
      <c r="E20892" s="6" t="str">
        <f>HYPERLINK("https://inpn.mnhn.fr/espece/cd_nom/118647","Rosa x collina Jacq., 1774")</f>
        <v>Rosa x collina Jacq., 1774</v>
      </c>
      <c r="F20892" s="5" t="s">
        <v>26752</v>
      </c>
      <c r="AH20892" s="4" t="str">
        <f>HYPERLINK("#Statut_biogéographique!A"&amp;_xlfn.XMATCH("D",Statut_biogéographique!A:A,2,1),"D")</f>
        <v>D</v>
      </c>
      <c r="AP20892" s="4" t="s">
        <v>376</v>
      </c>
      <c r="AR20892" s="4" t="s">
        <v>377</v>
      </c>
    </row>
    <row r="20893" spans="1:44" ht="45">
      <c r="A20893" s="4" t="s">
        <v>24364</v>
      </c>
      <c r="B20893" s="4">
        <v>118666</v>
      </c>
      <c r="D20893" s="5" t="s">
        <v>26753</v>
      </c>
      <c r="E20893" s="6" t="str">
        <f>HYPERLINK("https://inpn.mnhn.fr/espece/cd_nom/118666","Rosa dumalis Bechst., 1810")</f>
        <v>Rosa dumalis Bechst., 1810</v>
      </c>
      <c r="F20893" s="5" t="s">
        <v>26754</v>
      </c>
      <c r="T20893" s="7" t="str">
        <f>HYPERLINK("#Liste_rouge!A"&amp;_xlfn.XMATCH("NE",Liste_rouge!A:A,2,1),"NE")</f>
        <v>NE</v>
      </c>
      <c r="AH20893" s="4" t="str">
        <f>HYPERLINK("#Statut_biogéographique!A"&amp;_xlfn.XMATCH("P",Statut_biogéographique!A:A,2,1),"P")</f>
        <v>P</v>
      </c>
      <c r="AM20893" s="4" t="s">
        <v>375</v>
      </c>
      <c r="AN20893" s="4" t="s">
        <v>375</v>
      </c>
      <c r="AO20893" s="4" t="s">
        <v>375</v>
      </c>
      <c r="AP20893" s="4" t="s">
        <v>376</v>
      </c>
      <c r="AR20893" s="4" t="s">
        <v>377</v>
      </c>
    </row>
    <row r="20894" spans="1:44" ht="75">
      <c r="A20894" s="4" t="s">
        <v>24364</v>
      </c>
      <c r="B20894" s="4">
        <v>118667</v>
      </c>
      <c r="D20894" s="5" t="s">
        <v>26755</v>
      </c>
      <c r="E20894" s="6" t="str">
        <f>HYPERLINK("https://inpn.mnhn.fr/espece/cd_nom/118667","Rosa x dumetorum Thuill., 1799")</f>
        <v>Rosa x dumetorum Thuill., 1799</v>
      </c>
      <c r="F20894" s="5" t="s">
        <v>26756</v>
      </c>
      <c r="T20894" s="7" t="str">
        <f>HYPERLINK("#Liste_rouge!A"&amp;_xlfn.XMATCH("NE",Liste_rouge!A:A,2,1),"NE")</f>
        <v>NE</v>
      </c>
      <c r="AH20894" s="4" t="str">
        <f>HYPERLINK("#Statut_biogéographique!A"&amp;_xlfn.XMATCH("D",Statut_biogéographique!A:A,2,1),"D")</f>
        <v>D</v>
      </c>
      <c r="AP20894" s="4" t="s">
        <v>376</v>
      </c>
      <c r="AR20894" s="4" t="s">
        <v>377</v>
      </c>
    </row>
    <row r="20895" spans="1:44" ht="45">
      <c r="A20895" s="4" t="s">
        <v>24364</v>
      </c>
      <c r="B20895" s="4">
        <v>118752</v>
      </c>
      <c r="D20895" s="5" t="s">
        <v>26757</v>
      </c>
      <c r="E20895" s="6" t="str">
        <f>HYPERLINK("https://inpn.mnhn.fr/espece/cd_nom/118752","Rosa x nitidula Besser, 1815")</f>
        <v>Rosa x nitidula Besser, 1815</v>
      </c>
      <c r="F20895" s="5" t="s">
        <v>26758</v>
      </c>
      <c r="T20895" s="7" t="str">
        <f>HYPERLINK("#Liste_rouge!A"&amp;_xlfn.XMATCH("LC",Liste_rouge!A:A,2,1),"LC")</f>
        <v>LC</v>
      </c>
      <c r="AH20895" s="4" t="str">
        <f>HYPERLINK("#Statut_biogéographique!A"&amp;_xlfn.XMATCH("D",Statut_biogéographique!A:A,2,1),"D")</f>
        <v>D</v>
      </c>
      <c r="AP20895" s="4" t="s">
        <v>376</v>
      </c>
      <c r="AR20895" s="4" t="s">
        <v>377</v>
      </c>
    </row>
    <row r="20896" spans="1:44" ht="135">
      <c r="A20896" s="4" t="s">
        <v>24364</v>
      </c>
      <c r="B20896" s="4">
        <v>118773</v>
      </c>
      <c r="D20896" s="5" t="s">
        <v>26759</v>
      </c>
      <c r="E20896" s="6" t="str">
        <f>HYPERLINK("https://inpn.mnhn.fr/espece/cd_nom/118773","Rosa x polliniana Spreng., 1815")</f>
        <v>Rosa x polliniana Spreng., 1815</v>
      </c>
      <c r="F20896" s="5" t="s">
        <v>26760</v>
      </c>
      <c r="T20896" s="7" t="str">
        <f>HYPERLINK("#Liste_rouge!A"&amp;_xlfn.XMATCH("NE",Liste_rouge!A:A,2,1),"NE")</f>
        <v>NE</v>
      </c>
      <c r="AH20896" s="4" t="str">
        <f>HYPERLINK("#Statut_biogéographique!A"&amp;_xlfn.XMATCH("D",Statut_biogéographique!A:A,2,1),"D")</f>
        <v>D</v>
      </c>
      <c r="AP20896" s="4" t="s">
        <v>376</v>
      </c>
      <c r="AR20896" s="4" t="s">
        <v>377</v>
      </c>
    </row>
    <row r="20897" spans="1:44" ht="30">
      <c r="A20897" s="4" t="s">
        <v>24364</v>
      </c>
      <c r="B20897" s="4">
        <v>118783</v>
      </c>
      <c r="D20897" s="5" t="s">
        <v>26761</v>
      </c>
      <c r="E20897" s="6" t="str">
        <f>HYPERLINK("https://inpn.mnhn.fr/espece/cd_nom/118783","Rosa x pseudorusticana Crép. ex Preston, 1888")</f>
        <v>Rosa x pseudorusticana Crép. ex Preston, 1888</v>
      </c>
      <c r="T20897" s="7" t="str">
        <f>HYPERLINK("#Liste_rouge!A"&amp;_xlfn.XMATCH("NE",Liste_rouge!A:A,2,1),"NE")</f>
        <v>NE</v>
      </c>
      <c r="AH20897" s="4" t="str">
        <f>HYPERLINK("#Statut_biogéographique!A"&amp;_xlfn.XMATCH("D",Statut_biogéographique!A:A,2,1),"D")</f>
        <v>D</v>
      </c>
      <c r="AP20897" s="4" t="s">
        <v>376</v>
      </c>
      <c r="AR20897" s="4" t="s">
        <v>377</v>
      </c>
    </row>
    <row r="20898" spans="1:44" ht="45">
      <c r="A20898" s="4" t="s">
        <v>24364</v>
      </c>
      <c r="B20898" s="4">
        <v>118788</v>
      </c>
      <c r="D20898" s="5" t="s">
        <v>26762</v>
      </c>
      <c r="E20898" s="6" t="str">
        <f>HYPERLINK("https://inpn.mnhn.fr/espece/cd_nom/118788","Rosa x reversa Waldst. &amp; Kit., 1812")</f>
        <v>Rosa x reversa Waldst. &amp; Kit., 1812</v>
      </c>
      <c r="F20898" s="5" t="s">
        <v>26763</v>
      </c>
      <c r="AH20898" s="4" t="str">
        <f>HYPERLINK("#Statut_biogéographique!A"&amp;_xlfn.XMATCH("D",Statut_biogéographique!A:A,2,1),"D")</f>
        <v>D</v>
      </c>
      <c r="AP20898" s="4" t="s">
        <v>376</v>
      </c>
      <c r="AR20898" s="4" t="s">
        <v>377</v>
      </c>
    </row>
    <row r="20899" spans="1:44" ht="30">
      <c r="A20899" s="4" t="s">
        <v>24364</v>
      </c>
      <c r="B20899" s="4">
        <v>118804</v>
      </c>
      <c r="D20899" s="5" t="s">
        <v>26764</v>
      </c>
      <c r="E20899" s="6" t="str">
        <f>HYPERLINK("https://inpn.mnhn.fr/espece/cd_nom/118804","Rosa x scabriuscula Sm., 1808")</f>
        <v>Rosa x scabriuscula Sm., 1808</v>
      </c>
      <c r="F20899" s="5" t="s">
        <v>26765</v>
      </c>
      <c r="T20899" s="7" t="str">
        <f>HYPERLINK("#Liste_rouge!A"&amp;_xlfn.XMATCH("DD",Liste_rouge!A:A,2,1),"DD")</f>
        <v>DD</v>
      </c>
      <c r="AH20899" s="4" t="str">
        <f>HYPERLINK("#Statut_biogéographique!A"&amp;_xlfn.XMATCH("D",Statut_biogéographique!A:A,2,1),"D")</f>
        <v>D</v>
      </c>
      <c r="AP20899" s="4" t="s">
        <v>376</v>
      </c>
      <c r="AR20899" s="4" t="s">
        <v>377</v>
      </c>
    </row>
    <row r="20900" spans="1:44">
      <c r="A20900" s="4" t="s">
        <v>24364</v>
      </c>
      <c r="B20900" s="4">
        <v>118818</v>
      </c>
      <c r="D20900" s="5" t="s">
        <v>26766</v>
      </c>
      <c r="E20900" s="6" t="str">
        <f>HYPERLINK("https://inpn.mnhn.fr/espece/cd_nom/118818","Rosa x spinulifolia Dematra, 1818")</f>
        <v>Rosa x spinulifolia Dematra, 1818</v>
      </c>
      <c r="F20900" s="5" t="s">
        <v>26767</v>
      </c>
      <c r="AH20900" s="4" t="str">
        <f>HYPERLINK("#Statut_biogéographique!A"&amp;_xlfn.XMATCH("D",Statut_biogéographique!A:A,2,1),"D")</f>
        <v>D</v>
      </c>
      <c r="AP20900" s="4" t="s">
        <v>376</v>
      </c>
      <c r="AR20900" s="4" t="s">
        <v>377</v>
      </c>
    </row>
    <row r="20901" spans="1:44" ht="30">
      <c r="A20901" s="4" t="s">
        <v>24364</v>
      </c>
      <c r="B20901" s="4">
        <v>118845</v>
      </c>
      <c r="D20901" s="5" t="s">
        <v>26768</v>
      </c>
      <c r="E20901" s="6" t="str">
        <f>HYPERLINK("https://inpn.mnhn.fr/espece/cd_nom/118845","Rosa x verticillantha Mérat, 1812")</f>
        <v>Rosa x verticillantha Mérat, 1812</v>
      </c>
      <c r="F20901" s="5" t="s">
        <v>26769</v>
      </c>
      <c r="T20901" s="7" t="str">
        <f>HYPERLINK("#Liste_rouge!A"&amp;_xlfn.XMATCH("DD",Liste_rouge!A:A,2,1),"DD")</f>
        <v>DD</v>
      </c>
      <c r="AH20901" s="4" t="str">
        <f>HYPERLINK("#Statut_biogéographique!A"&amp;_xlfn.XMATCH("D",Statut_biogéographique!A:A,2,1),"D")</f>
        <v>D</v>
      </c>
      <c r="AP20901" s="4" t="s">
        <v>376</v>
      </c>
      <c r="AR20901" s="4" t="s">
        <v>377</v>
      </c>
    </row>
    <row r="20902" spans="1:44">
      <c r="A20902" s="4" t="s">
        <v>24364</v>
      </c>
      <c r="B20902" s="4">
        <v>118848</v>
      </c>
      <c r="D20902" s="5" t="s">
        <v>26770</v>
      </c>
      <c r="E20902" s="6" t="str">
        <f>HYPERLINK("https://inpn.mnhn.fr/espece/cd_nom/118848","Rosa x waitziana Rchb., 1828")</f>
        <v>Rosa x waitziana Rchb., 1828</v>
      </c>
      <c r="F20902" s="5" t="s">
        <v>26771</v>
      </c>
      <c r="T20902" s="7" t="str">
        <f>HYPERLINK("#Liste_rouge!A"&amp;_xlfn.XMATCH("NA",Liste_rouge!A:A,2,1),"NA")</f>
        <v>NA</v>
      </c>
      <c r="AH20902" s="4" t="str">
        <f>HYPERLINK("#Statut_biogéographique!A"&amp;_xlfn.XMATCH("D",Statut_biogéographique!A:A,2,1),"D")</f>
        <v>D</v>
      </c>
      <c r="AP20902" s="4" t="s">
        <v>376</v>
      </c>
      <c r="AR20902" s="4" t="s">
        <v>377</v>
      </c>
    </row>
    <row r="20903" spans="1:44" ht="75">
      <c r="A20903" s="4" t="s">
        <v>24364</v>
      </c>
      <c r="B20903" s="4">
        <v>118865</v>
      </c>
      <c r="D20903" s="5" t="s">
        <v>26772</v>
      </c>
      <c r="E20903" s="6" t="str">
        <f>HYPERLINK("https://inpn.mnhn.fr/espece/cd_nom/118865","Rosmarinus officinalis L., 1753")</f>
        <v>Rosmarinus officinalis L., 1753</v>
      </c>
      <c r="F20903" s="5" t="s">
        <v>26773</v>
      </c>
      <c r="P20903" s="7" t="str">
        <f>HYPERLINK("#Liste_rouge!A"&amp;_xlfn.XMATCH("LC",Liste_rouge!A:A,2,1),"LC")</f>
        <v>LC</v>
      </c>
      <c r="Q20903" s="7" t="str">
        <f>HYPERLINK("#Liste_rouge!A"&amp;_xlfn.XMATCH("LC",Liste_rouge!A:A,2,1),"LC")</f>
        <v>LC</v>
      </c>
      <c r="T20903" s="7" t="str">
        <f>HYPERLINK("#Liste_rouge!A"&amp;_xlfn.XMATCH("NA",Liste_rouge!A:A,2,1),"NA")</f>
        <v>NA</v>
      </c>
      <c r="AH20903" s="4" t="str">
        <f>HYPERLINK("#Statut_biogéographique!A"&amp;_xlfn.XMATCH("P",Statut_biogéographique!A:A,2,1),"P")</f>
        <v>P</v>
      </c>
      <c r="AP20903" s="4" t="s">
        <v>376</v>
      </c>
      <c r="AR20903" s="4" t="s">
        <v>377</v>
      </c>
    </row>
    <row r="20904" spans="1:44" ht="105">
      <c r="A20904" s="4" t="s">
        <v>24364</v>
      </c>
      <c r="B20904" s="4">
        <v>118872</v>
      </c>
      <c r="D20904" s="5" t="s">
        <v>26774</v>
      </c>
      <c r="E20904" s="6" t="str">
        <f>HYPERLINK("https://inpn.mnhn.fr/espece/cd_nom/118872","Rostraria cristata (L.) Tzvelev, 1971")</f>
        <v>Rostraria cristata (L.) Tzvelev, 1971</v>
      </c>
      <c r="F20904" s="5" t="s">
        <v>26775</v>
      </c>
      <c r="Q20904" s="7" t="str">
        <f>HYPERLINK("#Liste_rouge!A"&amp;_xlfn.XMATCH("LC",Liste_rouge!A:A,2,1),"LC")</f>
        <v>LC</v>
      </c>
      <c r="T20904" s="7" t="str">
        <f>HYPERLINK("#Liste_rouge!A"&amp;_xlfn.XMATCH("NA",Liste_rouge!A:A,2,1),"NA")</f>
        <v>NA</v>
      </c>
      <c r="AH20904" s="4" t="str">
        <f>HYPERLINK("#Statut_biogéographique!A"&amp;_xlfn.XMATCH("P",Statut_biogéographique!A:A,2,1),"P")</f>
        <v>P</v>
      </c>
      <c r="AP20904" s="4" t="s">
        <v>376</v>
      </c>
      <c r="AR20904" s="4" t="s">
        <v>377</v>
      </c>
    </row>
    <row r="20905" spans="1:44" ht="105">
      <c r="A20905" s="4" t="s">
        <v>24364</v>
      </c>
      <c r="B20905" s="4">
        <v>118877</v>
      </c>
      <c r="D20905" s="5" t="s">
        <v>26776</v>
      </c>
      <c r="E20905" s="6" t="str">
        <f>HYPERLINK("https://inpn.mnhn.fr/espece/cd_nom/118877","Rostraria pubescens (Lam.) Trin., 1820")</f>
        <v>Rostraria pubescens (Lam.) Trin., 1820</v>
      </c>
      <c r="F20905" s="5" t="s">
        <v>26777</v>
      </c>
      <c r="Q20905" s="7" t="str">
        <f>HYPERLINK("#Liste_rouge!A"&amp;_xlfn.XMATCH("NT",Liste_rouge!A:A,2,1),"NT")</f>
        <v>NT</v>
      </c>
      <c r="T20905" s="7" t="str">
        <f>HYPERLINK("#Liste_rouge!A"&amp;_xlfn.XMATCH("NA",Liste_rouge!A:A,2,1),"NA")</f>
        <v>NA</v>
      </c>
      <c r="AH20905" s="4" t="str">
        <f>HYPERLINK("#Statut_biogéographique!A"&amp;_xlfn.XMATCH("P",Statut_biogéographique!A:A,2,1),"P")</f>
        <v>P</v>
      </c>
      <c r="AP20905" s="4" t="s">
        <v>376</v>
      </c>
      <c r="AR20905" s="4" t="s">
        <v>377</v>
      </c>
    </row>
    <row r="20906" spans="1:44">
      <c r="A20906" s="4" t="s">
        <v>24364</v>
      </c>
      <c r="B20906" s="4">
        <v>118916</v>
      </c>
      <c r="D20906" s="5">
        <v>118916</v>
      </c>
      <c r="E20906" s="6" t="str">
        <f>HYPERLINK("https://inpn.mnhn.fr/espece/cd_nom/118916","Rubia peregrina L., 1753")</f>
        <v>Rubia peregrina L., 1753</v>
      </c>
      <c r="F20906" s="5" t="s">
        <v>26778</v>
      </c>
      <c r="Q20906" s="7" t="str">
        <f>HYPERLINK("#Liste_rouge!A"&amp;_xlfn.XMATCH("LC",Liste_rouge!A:A,2,1),"LC")</f>
        <v>LC</v>
      </c>
      <c r="T20906" s="7" t="str">
        <f>HYPERLINK("#Liste_rouge!A"&amp;_xlfn.XMATCH("LC",Liste_rouge!A:A,2,1),"LC")</f>
        <v>LC</v>
      </c>
      <c r="V20906" s="7" t="str">
        <f>HYPERLINK("#Liste_rouge!A"&amp;_xlfn.XMATCH("LC",Liste_rouge!A:A,2,1),"LC")</f>
        <v>LC</v>
      </c>
      <c r="AH20906" s="4" t="str">
        <f>HYPERLINK("#Statut_biogéographique!A"&amp;_xlfn.XMATCH("P",Statut_biogéographique!A:A,2,1),"P")</f>
        <v>P</v>
      </c>
      <c r="AM20906" s="4" t="s">
        <v>375</v>
      </c>
      <c r="AN20906" s="4" t="s">
        <v>375</v>
      </c>
      <c r="AO20906" s="4" t="s">
        <v>375</v>
      </c>
      <c r="AP20906" s="4" t="s">
        <v>376</v>
      </c>
      <c r="AR20906" s="4" t="s">
        <v>377</v>
      </c>
    </row>
    <row r="20907" spans="1:44">
      <c r="A20907" s="4" t="s">
        <v>24364</v>
      </c>
      <c r="B20907" s="4">
        <v>118920</v>
      </c>
      <c r="D20907" s="5" t="s">
        <v>26779</v>
      </c>
      <c r="E20907" s="6" t="str">
        <f>HYPERLINK("https://inpn.mnhn.fr/espece/cd_nom/118920","Rubia tinctorum L., 1753")</f>
        <v>Rubia tinctorum L., 1753</v>
      </c>
      <c r="F20907" s="5" t="s">
        <v>26780</v>
      </c>
      <c r="Q20907" s="7" t="str">
        <f>HYPERLINK("#Liste_rouge!A"&amp;_xlfn.XMATCH("LC",Liste_rouge!A:A,2,1),"LC")</f>
        <v>LC</v>
      </c>
      <c r="T20907" s="7" t="str">
        <f>HYPERLINK("#Liste_rouge!A"&amp;_xlfn.XMATCH("NA",Liste_rouge!A:A,2,1),"NA")</f>
        <v>NA</v>
      </c>
      <c r="AH20907" s="4" t="str">
        <f>HYPERLINK("#Statut_biogéographique!A"&amp;_xlfn.XMATCH("I",Statut_biogéographique!A:A,2,1),"I")</f>
        <v>I</v>
      </c>
      <c r="AP20907" s="4" t="s">
        <v>376</v>
      </c>
      <c r="AR20907" s="4" t="s">
        <v>377</v>
      </c>
    </row>
    <row r="20908" spans="1:44">
      <c r="A20908" s="4" t="s">
        <v>24364</v>
      </c>
      <c r="B20908" s="4">
        <v>118931</v>
      </c>
      <c r="D20908" s="5" t="s">
        <v>26781</v>
      </c>
      <c r="E20908" s="6" t="str">
        <f>HYPERLINK("https://inpn.mnhn.fr/espece/cd_nom/118931","Rubus adornatus P.J.Müll. ex Wirtg., 1858")</f>
        <v>Rubus adornatus P.J.Müll. ex Wirtg., 1858</v>
      </c>
      <c r="F20908" s="5" t="s">
        <v>26782</v>
      </c>
      <c r="AH20908" s="4" t="str">
        <f>HYPERLINK("#Statut_biogéographique!A"&amp;_xlfn.XMATCH("P",Statut_biogéographique!A:A,2,1),"P")</f>
        <v>P</v>
      </c>
      <c r="AP20908" s="4" t="s">
        <v>376</v>
      </c>
      <c r="AR20908" s="4" t="s">
        <v>377</v>
      </c>
    </row>
    <row r="20909" spans="1:44">
      <c r="A20909" s="4" t="s">
        <v>24364</v>
      </c>
      <c r="B20909" s="4">
        <v>118933</v>
      </c>
      <c r="D20909" s="5" t="s">
        <v>26783</v>
      </c>
      <c r="E20909" s="6" t="str">
        <f>HYPERLINK("https://inpn.mnhn.fr/espece/cd_nom/118933","Rubus adspersus Weihe ex H.E.Weber, 1973")</f>
        <v>Rubus adspersus Weihe ex H.E.Weber, 1973</v>
      </c>
      <c r="F20909" s="5" t="s">
        <v>26784</v>
      </c>
      <c r="AH20909" s="4" t="str">
        <f>HYPERLINK("#Statut_biogéographique!A"&amp;_xlfn.XMATCH("P",Statut_biogéographique!A:A,2,1),"P")</f>
        <v>P</v>
      </c>
      <c r="AP20909" s="4" t="s">
        <v>376</v>
      </c>
      <c r="AR20909" s="4" t="s">
        <v>377</v>
      </c>
    </row>
    <row r="20910" spans="1:44">
      <c r="A20910" s="4" t="s">
        <v>24364</v>
      </c>
      <c r="B20910" s="4">
        <v>118938</v>
      </c>
      <c r="D20910" s="5" t="s">
        <v>26785</v>
      </c>
      <c r="E20910" s="6" t="str">
        <f>HYPERLINK("https://inpn.mnhn.fr/espece/cd_nom/118938","Rubus albiflorus Boulay &amp; Lucand, 1881")</f>
        <v>Rubus albiflorus Boulay &amp; Lucand, 1881</v>
      </c>
      <c r="F20910" s="5" t="s">
        <v>26786</v>
      </c>
      <c r="AH20910" s="4" t="str">
        <f>HYPERLINK("#Statut_biogéographique!A"&amp;_xlfn.XMATCH("P",Statut_biogéographique!A:A,2,1),"P")</f>
        <v>P</v>
      </c>
      <c r="AP20910" s="4" t="s">
        <v>376</v>
      </c>
      <c r="AR20910" s="4" t="s">
        <v>377</v>
      </c>
    </row>
    <row r="20911" spans="1:44">
      <c r="A20911" s="4" t="s">
        <v>24364</v>
      </c>
      <c r="B20911" s="4">
        <v>118940</v>
      </c>
      <c r="D20911" s="5">
        <v>118940</v>
      </c>
      <c r="E20911" s="6" t="str">
        <f>HYPERLINK("https://inpn.mnhn.fr/espece/cd_nom/118940","Rubus alterniflorus P.J.Müll. &amp; Lefèvre, 1859")</f>
        <v>Rubus alterniflorus P.J.Müll. &amp; Lefèvre, 1859</v>
      </c>
      <c r="F20911" s="5" t="s">
        <v>26787</v>
      </c>
      <c r="AH20911" s="4" t="str">
        <f>HYPERLINK("#Statut_biogéographique!A"&amp;_xlfn.XMATCH("P",Statut_biogéographique!A:A,2,1),"P")</f>
        <v>P</v>
      </c>
      <c r="AP20911" s="4" t="s">
        <v>376</v>
      </c>
      <c r="AR20911" s="4" t="s">
        <v>377</v>
      </c>
    </row>
    <row r="20912" spans="1:44">
      <c r="A20912" s="4" t="s">
        <v>24364</v>
      </c>
      <c r="B20912" s="4">
        <v>118942</v>
      </c>
      <c r="D20912" s="5">
        <v>118942</v>
      </c>
      <c r="E20912" s="6" t="str">
        <f>HYPERLINK("https://inpn.mnhn.fr/espece/cd_nom/118942","Rubus amiantinus Focke, 1877")</f>
        <v>Rubus amiantinus Focke, 1877</v>
      </c>
      <c r="V20912" s="7" t="str">
        <f>HYPERLINK("#Liste_rouge!A"&amp;_xlfn.XMATCH("DD",Liste_rouge!A:A,2,1),"DD")</f>
        <v>DD</v>
      </c>
      <c r="AH20912" s="4" t="str">
        <f>HYPERLINK("#Statut_biogéographique!A"&amp;_xlfn.XMATCH("P",Statut_biogéographique!A:A,2,1),"P")</f>
        <v>P</v>
      </c>
      <c r="AM20912" s="4" t="s">
        <v>375</v>
      </c>
      <c r="AN20912" s="4" t="s">
        <v>375</v>
      </c>
      <c r="AO20912" s="4" t="s">
        <v>375</v>
      </c>
      <c r="AP20912" s="4" t="s">
        <v>376</v>
      </c>
      <c r="AR20912" s="4" t="s">
        <v>377</v>
      </c>
    </row>
    <row r="20913" spans="1:44">
      <c r="A20913" s="4" t="s">
        <v>24364</v>
      </c>
      <c r="B20913" s="4">
        <v>118948</v>
      </c>
      <c r="D20913" s="5">
        <v>118948</v>
      </c>
      <c r="E20913" s="6" t="str">
        <f>HYPERLINK("https://inpn.mnhn.fr/espece/cd_nom/118948","Rubus andegavensis Bouvet, 1903")</f>
        <v>Rubus andegavensis Bouvet, 1903</v>
      </c>
      <c r="F20913" s="5" t="s">
        <v>26788</v>
      </c>
      <c r="AH20913" s="4" t="str">
        <f>HYPERLINK("#Statut_biogéographique!A"&amp;_xlfn.XMATCH("P",Statut_biogéographique!A:A,2,1),"P")</f>
        <v>P</v>
      </c>
      <c r="AP20913" s="4" t="s">
        <v>376</v>
      </c>
      <c r="AR20913" s="4" t="s">
        <v>377</v>
      </c>
    </row>
    <row r="20914" spans="1:44">
      <c r="A20914" s="4" t="s">
        <v>24364</v>
      </c>
      <c r="B20914" s="4">
        <v>118950</v>
      </c>
      <c r="D20914" s="5">
        <v>118950</v>
      </c>
      <c r="E20914" s="6" t="str">
        <f>HYPERLINK("https://inpn.mnhn.fr/espece/cd_nom/118950","Rubus angustifrons Sudre, 1913")</f>
        <v>Rubus angustifrons Sudre, 1913</v>
      </c>
      <c r="AH20914" s="4" t="str">
        <f>HYPERLINK("#Statut_biogéographique!A"&amp;_xlfn.XMATCH("P",Statut_biogéographique!A:A,2,1),"P")</f>
        <v>P</v>
      </c>
      <c r="AP20914" s="4" t="s">
        <v>376</v>
      </c>
      <c r="AR20914" s="4" t="s">
        <v>377</v>
      </c>
    </row>
    <row r="20915" spans="1:44">
      <c r="A20915" s="4" t="s">
        <v>24364</v>
      </c>
      <c r="B20915" s="4">
        <v>118956</v>
      </c>
      <c r="D20915" s="5" t="s">
        <v>26789</v>
      </c>
      <c r="E20915" s="6" t="str">
        <f>HYPERLINK("https://inpn.mnhn.fr/espece/cd_nom/118956","Rubus apricus Wimm., 1856")</f>
        <v>Rubus apricus Wimm., 1856</v>
      </c>
      <c r="F20915" s="5" t="s">
        <v>26790</v>
      </c>
      <c r="T20915" s="7" t="str">
        <f>HYPERLINK("#Liste_rouge!A"&amp;_xlfn.XMATCH("NE",Liste_rouge!A:A,2,1),"NE")</f>
        <v>NE</v>
      </c>
      <c r="AH20915" s="4" t="str">
        <f>HYPERLINK("#Statut_biogéographique!A"&amp;_xlfn.XMATCH("D",Statut_biogéographique!A:A,2,1),"D")</f>
        <v>D</v>
      </c>
      <c r="AM20915" s="4" t="s">
        <v>375</v>
      </c>
      <c r="AN20915" s="4" t="s">
        <v>375</v>
      </c>
      <c r="AO20915" s="4" t="s">
        <v>375</v>
      </c>
      <c r="AP20915" s="4" t="s">
        <v>376</v>
      </c>
      <c r="AR20915" s="4" t="s">
        <v>377</v>
      </c>
    </row>
    <row r="20916" spans="1:44">
      <c r="A20916" s="4" t="s">
        <v>24364</v>
      </c>
      <c r="B20916" s="4">
        <v>118959</v>
      </c>
      <c r="D20916" s="5" t="s">
        <v>26791</v>
      </c>
      <c r="E20916" s="6" t="str">
        <f>HYPERLINK("https://inpn.mnhn.fr/espece/cd_nom/118959","Rubus arduennensis Lib. ex Lej., 1813")</f>
        <v>Rubus arduennensis Lib. ex Lej., 1813</v>
      </c>
      <c r="F20916" s="5" t="s">
        <v>26792</v>
      </c>
      <c r="V20916" s="7" t="str">
        <f>HYPERLINK("#Liste_rouge!A"&amp;_xlfn.XMATCH("DD",Liste_rouge!A:A,2,1),"DD")</f>
        <v>DD</v>
      </c>
      <c r="AH20916" s="4" t="str">
        <f>HYPERLINK("#Statut_biogéographique!A"&amp;_xlfn.XMATCH("P",Statut_biogéographique!A:A,2,1),"P")</f>
        <v>P</v>
      </c>
      <c r="AM20916" s="4" t="s">
        <v>375</v>
      </c>
      <c r="AN20916" s="4" t="s">
        <v>375</v>
      </c>
      <c r="AO20916" s="4" t="s">
        <v>375</v>
      </c>
      <c r="AP20916" s="4" t="s">
        <v>376</v>
      </c>
      <c r="AR20916" s="4" t="s">
        <v>377</v>
      </c>
    </row>
    <row r="20917" spans="1:44">
      <c r="A20917" s="4" t="s">
        <v>24364</v>
      </c>
      <c r="B20917" s="4">
        <v>118960</v>
      </c>
      <c r="D20917" s="5">
        <v>118960</v>
      </c>
      <c r="E20917" s="6" t="str">
        <f>HYPERLINK("https://inpn.mnhn.fr/espece/cd_nom/118960","Rubus argenteus Weihe &amp; Nees, 1825")</f>
        <v>Rubus argenteus Weihe &amp; Nees, 1825</v>
      </c>
      <c r="F20917" s="5" t="s">
        <v>26793</v>
      </c>
      <c r="AH20917" s="4" t="str">
        <f>HYPERLINK("#Statut_biogéographique!A"&amp;_xlfn.XMATCH("D",Statut_biogéographique!A:A,2,1),"D")</f>
        <v>D</v>
      </c>
      <c r="AP20917" s="4" t="s">
        <v>376</v>
      </c>
      <c r="AR20917" s="4" t="s">
        <v>377</v>
      </c>
    </row>
    <row r="20918" spans="1:44">
      <c r="A20918" s="4" t="s">
        <v>24364</v>
      </c>
      <c r="B20918" s="4">
        <v>118963</v>
      </c>
      <c r="D20918" s="5">
        <v>118963</v>
      </c>
      <c r="E20918" s="6" t="str">
        <f>HYPERLINK("https://inpn.mnhn.fr/espece/cd_nom/118963","Rubus armeniacus Focke, 1874")</f>
        <v>Rubus armeniacus Focke, 1874</v>
      </c>
      <c r="F20918" s="5" t="s">
        <v>26794</v>
      </c>
      <c r="Q20918" s="7" t="str">
        <f>HYPERLINK("#Liste_rouge!A"&amp;_xlfn.XMATCH("NA",Liste_rouge!A:A,2,1),"NA")</f>
        <v>NA</v>
      </c>
      <c r="AH20918" s="4" t="str">
        <f>HYPERLINK("#Statut_biogéographique!A"&amp;_xlfn.XMATCH("P",Statut_biogéographique!A:A,2,1),"P")</f>
        <v>P</v>
      </c>
      <c r="AM20918" s="4" t="s">
        <v>375</v>
      </c>
      <c r="AN20918" s="4" t="s">
        <v>375</v>
      </c>
      <c r="AO20918" s="4" t="s">
        <v>375</v>
      </c>
      <c r="AP20918" s="4" t="s">
        <v>376</v>
      </c>
      <c r="AR20918" s="4" t="s">
        <v>377</v>
      </c>
    </row>
    <row r="20919" spans="1:44">
      <c r="A20919" s="4" t="s">
        <v>24364</v>
      </c>
      <c r="B20919" s="4">
        <v>118965</v>
      </c>
      <c r="D20919" s="5">
        <v>118965</v>
      </c>
      <c r="E20919" s="6" t="str">
        <f>HYPERLINK("https://inpn.mnhn.fr/espece/cd_nom/118965","Rubus aspericaulis P.J.Müll. &amp; Lefèvre, 1859")</f>
        <v>Rubus aspericaulis P.J.Müll. &amp; Lefèvre, 1859</v>
      </c>
      <c r="AH20919" s="4" t="str">
        <f>HYPERLINK("#Statut_biogéographique!A"&amp;_xlfn.XMATCH("P",Statut_biogéographique!A:A,2,1),"P")</f>
        <v>P</v>
      </c>
      <c r="AP20919" s="4" t="s">
        <v>376</v>
      </c>
      <c r="AR20919" s="4" t="s">
        <v>377</v>
      </c>
    </row>
    <row r="20920" spans="1:44">
      <c r="A20920" s="4" t="s">
        <v>24364</v>
      </c>
      <c r="B20920" s="4">
        <v>118975</v>
      </c>
      <c r="D20920" s="5" t="s">
        <v>26795</v>
      </c>
      <c r="E20920" s="6" t="str">
        <f>HYPERLINK("https://inpn.mnhn.fr/espece/cd_nom/118975","Rubus bertramii G.Braun ex Focke, 1877")</f>
        <v>Rubus bertramii G.Braun ex Focke, 1877</v>
      </c>
      <c r="F20920" s="5" t="s">
        <v>26796</v>
      </c>
      <c r="T20920" s="7" t="str">
        <f>HYPERLINK("#Liste_rouge!A"&amp;_xlfn.XMATCH("NE",Liste_rouge!A:A,2,1),"NE")</f>
        <v>NE</v>
      </c>
      <c r="V20920" s="7" t="str">
        <f>HYPERLINK("#Liste_rouge!A"&amp;_xlfn.XMATCH("DD",Liste_rouge!A:A,2,1),"DD")</f>
        <v>DD</v>
      </c>
      <c r="AH20920" s="4" t="str">
        <f>HYPERLINK("#Statut_biogéographique!A"&amp;_xlfn.XMATCH("P",Statut_biogéographique!A:A,2,1),"P")</f>
        <v>P</v>
      </c>
      <c r="AM20920" s="4" t="s">
        <v>375</v>
      </c>
      <c r="AN20920" s="4" t="s">
        <v>375</v>
      </c>
      <c r="AO20920" s="4" t="s">
        <v>375</v>
      </c>
      <c r="AP20920" s="4" t="s">
        <v>376</v>
      </c>
      <c r="AR20920" s="4" t="s">
        <v>377</v>
      </c>
    </row>
    <row r="20921" spans="1:44" ht="30">
      <c r="A20921" s="4" t="s">
        <v>24364</v>
      </c>
      <c r="B20921" s="4">
        <v>118977</v>
      </c>
      <c r="D20921" s="5" t="s">
        <v>26797</v>
      </c>
      <c r="E20921" s="6" t="str">
        <f>HYPERLINK("https://inpn.mnhn.fr/espece/cd_nom/118977","Rubus bifrons Vest ex Tratt., 1823")</f>
        <v>Rubus bifrons Vest ex Tratt., 1823</v>
      </c>
      <c r="F20921" s="5" t="s">
        <v>26798</v>
      </c>
      <c r="T20921" s="7" t="str">
        <f>HYPERLINK("#Liste_rouge!A"&amp;_xlfn.XMATCH("DD",Liste_rouge!A:A,2,1),"DD")</f>
        <v>DD</v>
      </c>
      <c r="V20921" s="7" t="str">
        <f>HYPERLINK("#Liste_rouge!A"&amp;_xlfn.XMATCH("LC",Liste_rouge!A:A,2,1),"LC")</f>
        <v>LC</v>
      </c>
      <c r="AH20921" s="4" t="str">
        <f>HYPERLINK("#Statut_biogéographique!A"&amp;_xlfn.XMATCH("P",Statut_biogéographique!A:A,2,1),"P")</f>
        <v>P</v>
      </c>
      <c r="AM20921" s="4" t="s">
        <v>375</v>
      </c>
      <c r="AN20921" s="4" t="s">
        <v>375</v>
      </c>
      <c r="AO20921" s="4" t="s">
        <v>375</v>
      </c>
      <c r="AP20921" s="4" t="s">
        <v>376</v>
      </c>
      <c r="AR20921" s="4" t="s">
        <v>377</v>
      </c>
    </row>
    <row r="20922" spans="1:44">
      <c r="A20922" s="4" t="s">
        <v>24364</v>
      </c>
      <c r="B20922" s="4">
        <v>118978</v>
      </c>
      <c r="D20922" s="5">
        <v>118978</v>
      </c>
      <c r="E20922" s="6" t="str">
        <f>HYPERLINK("https://inpn.mnhn.fr/espece/cd_nom/118978","Rubus biserratus P.J.Müll., 1868")</f>
        <v>Rubus biserratus P.J.Müll., 1868</v>
      </c>
      <c r="AH20922" s="4" t="str">
        <f>HYPERLINK("#Statut_biogéographique!A"&amp;_xlfn.XMATCH("W",Statut_biogéographique!A:A,2,1),"W")</f>
        <v>W</v>
      </c>
      <c r="AP20922" s="4" t="s">
        <v>376</v>
      </c>
      <c r="AR20922" s="4" t="s">
        <v>377</v>
      </c>
    </row>
    <row r="20923" spans="1:44">
      <c r="A20923" s="4" t="s">
        <v>24364</v>
      </c>
      <c r="B20923" s="4">
        <v>118979</v>
      </c>
      <c r="D20923" s="5" t="s">
        <v>26799</v>
      </c>
      <c r="E20923" s="6" t="str">
        <f>HYPERLINK("https://inpn.mnhn.fr/espece/cd_nom/118979","Rubus bloxamii (Bab.) Lees, 1847")</f>
        <v>Rubus bloxamii (Bab.) Lees, 1847</v>
      </c>
      <c r="F20923" s="5" t="s">
        <v>26800</v>
      </c>
      <c r="AH20923" s="4" t="str">
        <f>HYPERLINK("#Statut_biogéographique!A"&amp;_xlfn.XMATCH("P",Statut_biogéographique!A:A,2,1),"P")</f>
        <v>P</v>
      </c>
      <c r="AP20923" s="4" t="s">
        <v>376</v>
      </c>
      <c r="AR20923" s="4" t="s">
        <v>377</v>
      </c>
    </row>
    <row r="20924" spans="1:44">
      <c r="A20924" s="4" t="s">
        <v>24364</v>
      </c>
      <c r="B20924" s="4">
        <v>118980</v>
      </c>
      <c r="D20924" s="5" t="s">
        <v>26801</v>
      </c>
      <c r="E20924" s="6" t="str">
        <f>HYPERLINK("https://inpn.mnhn.fr/espece/cd_nom/118980","Rubus boraeanus Genev., 1860")</f>
        <v>Rubus boraeanus Genev., 1860</v>
      </c>
      <c r="F20924" s="5" t="s">
        <v>26802</v>
      </c>
      <c r="T20924" s="7" t="str">
        <f>HYPERLINK("#Liste_rouge!A"&amp;_xlfn.XMATCH("NE",Liste_rouge!A:A,2,1),"NE")</f>
        <v>NE</v>
      </c>
      <c r="AH20924" s="4" t="str">
        <f>HYPERLINK("#Statut_biogéographique!A"&amp;_xlfn.XMATCH("P",Statut_biogéographique!A:A,2,1),"P")</f>
        <v>P</v>
      </c>
      <c r="AM20924" s="4" t="s">
        <v>375</v>
      </c>
      <c r="AN20924" s="4" t="s">
        <v>375</v>
      </c>
      <c r="AO20924" s="4" t="s">
        <v>375</v>
      </c>
      <c r="AP20924" s="4" t="s">
        <v>376</v>
      </c>
      <c r="AR20924" s="4" t="s">
        <v>377</v>
      </c>
    </row>
    <row r="20925" spans="1:44">
      <c r="A20925" s="4" t="s">
        <v>24364</v>
      </c>
      <c r="B20925" s="4">
        <v>118983</v>
      </c>
      <c r="D20925" s="5" t="s">
        <v>26803</v>
      </c>
      <c r="E20925" s="6" t="str">
        <f>HYPERLINK("https://inpn.mnhn.fr/espece/cd_nom/118983","Rubus bracteatus Boreau, 1848")</f>
        <v>Rubus bracteatus Boreau, 1848</v>
      </c>
      <c r="F20925" s="5" t="s">
        <v>26804</v>
      </c>
      <c r="T20925" s="7" t="str">
        <f>HYPERLINK("#Liste_rouge!A"&amp;_xlfn.XMATCH("DD",Liste_rouge!A:A,2,1),"DD")</f>
        <v>DD</v>
      </c>
      <c r="AH20925" s="4" t="str">
        <f>HYPERLINK("#Statut_biogéographique!A"&amp;_xlfn.XMATCH("P",Statut_biogéographique!A:A,2,1),"P")</f>
        <v>P</v>
      </c>
      <c r="AM20925" s="4" t="s">
        <v>375</v>
      </c>
      <c r="AN20925" s="4" t="s">
        <v>375</v>
      </c>
      <c r="AO20925" s="4" t="s">
        <v>375</v>
      </c>
      <c r="AP20925" s="4" t="s">
        <v>376</v>
      </c>
      <c r="AR20925" s="4" t="s">
        <v>377</v>
      </c>
    </row>
    <row r="20926" spans="1:44">
      <c r="A20926" s="4" t="s">
        <v>24364</v>
      </c>
      <c r="B20926" s="4">
        <v>118985</v>
      </c>
      <c r="D20926" s="5">
        <v>118985</v>
      </c>
      <c r="E20926" s="6" t="str">
        <f>HYPERLINK("https://inpn.mnhn.fr/espece/cd_nom/118985","Rubus bregutiensis A.Kern. ex Focke, 1877")</f>
        <v>Rubus bregutiensis A.Kern. ex Focke, 1877</v>
      </c>
      <c r="AH20926" s="4" t="str">
        <f>HYPERLINK("#Statut_biogéographique!A"&amp;_xlfn.XMATCH("P",Statut_biogéographique!A:A,2,1),"P")</f>
        <v>P</v>
      </c>
      <c r="AP20926" s="4" t="s">
        <v>376</v>
      </c>
      <c r="AR20926" s="4" t="s">
        <v>377</v>
      </c>
    </row>
    <row r="20927" spans="1:44" ht="30">
      <c r="A20927" s="4" t="s">
        <v>24364</v>
      </c>
      <c r="B20927" s="4">
        <v>118993</v>
      </c>
      <c r="D20927" s="5" t="s">
        <v>26805</v>
      </c>
      <c r="E20927" s="6" t="str">
        <f>HYPERLINK("https://inpn.mnhn.fr/espece/cd_nom/118993","Rubus caesius L., 1753")</f>
        <v>Rubus caesius L., 1753</v>
      </c>
      <c r="F20927" s="5" t="s">
        <v>26806</v>
      </c>
      <c r="P20927" s="7" t="str">
        <f>HYPERLINK("#Liste_rouge!A"&amp;_xlfn.XMATCH("LC",Liste_rouge!A:A,2,1),"LC")</f>
        <v>LC</v>
      </c>
      <c r="Q20927" s="7" t="str">
        <f>HYPERLINK("#Liste_rouge!A"&amp;_xlfn.XMATCH("LC",Liste_rouge!A:A,2,1),"LC")</f>
        <v>LC</v>
      </c>
      <c r="T20927" s="7" t="str">
        <f>HYPERLINK("#Liste_rouge!A"&amp;_xlfn.XMATCH("LC",Liste_rouge!A:A,2,1),"LC")</f>
        <v>LC</v>
      </c>
      <c r="V20927" s="7" t="str">
        <f>HYPERLINK("#Liste_rouge!A"&amp;_xlfn.XMATCH("LC",Liste_rouge!A:A,2,1),"LC")</f>
        <v>LC</v>
      </c>
      <c r="AH20927" s="4" t="str">
        <f>HYPERLINK("#Statut_biogéographique!A"&amp;_xlfn.XMATCH("P",Statut_biogéographique!A:A,2,1),"P")</f>
        <v>P</v>
      </c>
      <c r="AM20927" s="4" t="s">
        <v>375</v>
      </c>
      <c r="AN20927" s="4" t="s">
        <v>375</v>
      </c>
      <c r="AO20927" s="4" t="s">
        <v>375</v>
      </c>
      <c r="AP20927" s="4" t="s">
        <v>376</v>
      </c>
      <c r="AR20927" s="4" t="s">
        <v>377</v>
      </c>
    </row>
    <row r="20928" spans="1:44" ht="30">
      <c r="A20928" s="4" t="s">
        <v>24364</v>
      </c>
      <c r="B20928" s="4">
        <v>119003</v>
      </c>
      <c r="D20928" s="5" t="s">
        <v>26807</v>
      </c>
      <c r="E20928" s="6" t="str">
        <f>HYPERLINK("https://inpn.mnhn.fr/espece/cd_nom/119003","Rubus canescens DC., 1813")</f>
        <v>Rubus canescens DC., 1813</v>
      </c>
      <c r="F20928" s="5" t="s">
        <v>26808</v>
      </c>
      <c r="Q20928" s="7" t="str">
        <f>HYPERLINK("#Liste_rouge!A"&amp;_xlfn.XMATCH("LC",Liste_rouge!A:A,2,1),"LC")</f>
        <v>LC</v>
      </c>
      <c r="T20928" s="7" t="str">
        <f>HYPERLINK("#Liste_rouge!A"&amp;_xlfn.XMATCH("DD",Liste_rouge!A:A,2,1),"DD")</f>
        <v>DD</v>
      </c>
      <c r="V20928" s="7" t="str">
        <f>HYPERLINK("#Liste_rouge!A"&amp;_xlfn.XMATCH("LC",Liste_rouge!A:A,2,1),"LC")</f>
        <v>LC</v>
      </c>
      <c r="AH20928" s="4" t="str">
        <f>HYPERLINK("#Statut_biogéographique!A"&amp;_xlfn.XMATCH("P",Statut_biogéographique!A:A,2,1),"P")</f>
        <v>P</v>
      </c>
      <c r="AM20928" s="4" t="s">
        <v>375</v>
      </c>
      <c r="AN20928" s="4" t="s">
        <v>375</v>
      </c>
      <c r="AO20928" s="4" t="s">
        <v>375</v>
      </c>
      <c r="AP20928" s="4" t="s">
        <v>376</v>
      </c>
      <c r="AR20928" s="4" t="s">
        <v>377</v>
      </c>
    </row>
    <row r="20929" spans="1:44">
      <c r="A20929" s="4" t="s">
        <v>24364</v>
      </c>
      <c r="B20929" s="4">
        <v>119004</v>
      </c>
      <c r="D20929" s="5">
        <v>119004</v>
      </c>
      <c r="E20929" s="6" t="str">
        <f>HYPERLINK("https://inpn.mnhn.fr/espece/cd_nom/119004","Rubus cardiophyllus Lefèvre &amp; P.J.Müll., 1859")</f>
        <v>Rubus cardiophyllus Lefèvre &amp; P.J.Müll., 1859</v>
      </c>
      <c r="F20929" s="5" t="s">
        <v>26809</v>
      </c>
      <c r="AH20929" s="4" t="str">
        <f>HYPERLINK("#Statut_biogéographique!A"&amp;_xlfn.XMATCH("P",Statut_biogéographique!A:A,2,1),"P")</f>
        <v>P</v>
      </c>
      <c r="AP20929" s="4" t="s">
        <v>376</v>
      </c>
      <c r="AR20929" s="4" t="s">
        <v>377</v>
      </c>
    </row>
    <row r="20930" spans="1:44">
      <c r="A20930" s="4" t="s">
        <v>24364</v>
      </c>
      <c r="B20930" s="4">
        <v>119009</v>
      </c>
      <c r="D20930" s="5" t="s">
        <v>26810</v>
      </c>
      <c r="E20930" s="6" t="str">
        <f>HYPERLINK("https://inpn.mnhn.fr/espece/cd_nom/119009","Rubus chloocladus W.C.R.Watson, 1956")</f>
        <v>Rubus chloocladus W.C.R.Watson, 1956</v>
      </c>
      <c r="F20930" s="5" t="s">
        <v>26811</v>
      </c>
      <c r="T20930" s="7" t="str">
        <f>HYPERLINK("#Liste_rouge!A"&amp;_xlfn.XMATCH("DD",Liste_rouge!A:A,2,1),"DD")</f>
        <v>DD</v>
      </c>
      <c r="AH20930" s="4" t="str">
        <f>HYPERLINK("#Statut_biogéographique!A"&amp;_xlfn.XMATCH("A",Statut_biogéographique!A:A,2,1),"A")</f>
        <v>A</v>
      </c>
      <c r="AM20930" s="4" t="s">
        <v>375</v>
      </c>
      <c r="AN20930" s="4" t="s">
        <v>375</v>
      </c>
      <c r="AO20930" s="4" t="s">
        <v>375</v>
      </c>
      <c r="AP20930" s="4" t="s">
        <v>376</v>
      </c>
      <c r="AR20930" s="4" t="s">
        <v>377</v>
      </c>
    </row>
    <row r="20931" spans="1:44">
      <c r="A20931" s="4" t="s">
        <v>24364</v>
      </c>
      <c r="B20931" s="4">
        <v>119010</v>
      </c>
      <c r="D20931" s="5" t="s">
        <v>26812</v>
      </c>
      <c r="E20931" s="6" t="str">
        <f>HYPERLINK("https://inpn.mnhn.fr/espece/cd_nom/119010","Rubus chlorostachys P.J.Müll., 1861")</f>
        <v>Rubus chlorostachys P.J.Müll., 1861</v>
      </c>
      <c r="AH20931" s="4" t="str">
        <f>HYPERLINK("#Statut_biogéographique!A"&amp;_xlfn.XMATCH("P",Statut_biogéographique!A:A,2,1),"P")</f>
        <v>P</v>
      </c>
      <c r="AP20931" s="4" t="s">
        <v>376</v>
      </c>
      <c r="AR20931" s="4" t="s">
        <v>377</v>
      </c>
    </row>
    <row r="20932" spans="1:44" ht="45">
      <c r="A20932" s="4" t="s">
        <v>24364</v>
      </c>
      <c r="B20932" s="4">
        <v>119024</v>
      </c>
      <c r="D20932" s="5" t="s">
        <v>26813</v>
      </c>
      <c r="E20932" s="6" t="str">
        <f>HYPERLINK("https://inpn.mnhn.fr/espece/cd_nom/119024","Rubus x collinus DC., 1813")</f>
        <v>Rubus x collinus DC., 1813</v>
      </c>
      <c r="F20932" s="5" t="s">
        <v>26814</v>
      </c>
      <c r="T20932" s="7" t="str">
        <f>HYPERLINK("#Liste_rouge!A"&amp;_xlfn.XMATCH("NE",Liste_rouge!A:A,2,1),"NE")</f>
        <v>NE</v>
      </c>
      <c r="AH20932" s="4" t="str">
        <f>HYPERLINK("#Statut_biogéographique!A"&amp;_xlfn.XMATCH("P",Statut_biogéographique!A:A,2,1),"P")</f>
        <v>P</v>
      </c>
      <c r="AP20932" s="4" t="s">
        <v>376</v>
      </c>
      <c r="AR20932" s="4" t="s">
        <v>377</v>
      </c>
    </row>
    <row r="20933" spans="1:44">
      <c r="A20933" s="4" t="s">
        <v>24364</v>
      </c>
      <c r="B20933" s="4">
        <v>119029</v>
      </c>
      <c r="D20933" s="5" t="s">
        <v>26815</v>
      </c>
      <c r="E20933" s="6" t="str">
        <f>HYPERLINK("https://inpn.mnhn.fr/espece/cd_nom/119029","Rubus conspicuus P.J.Müll., 1858")</f>
        <v>Rubus conspicuus P.J.Müll., 1858</v>
      </c>
      <c r="F20933" s="5" t="s">
        <v>26816</v>
      </c>
      <c r="V20933" s="7" t="str">
        <f>HYPERLINK("#Liste_rouge!A"&amp;_xlfn.XMATCH("DD",Liste_rouge!A:A,2,1),"DD")</f>
        <v>DD</v>
      </c>
      <c r="AH20933" s="4" t="str">
        <f>HYPERLINK("#Statut_biogéographique!A"&amp;_xlfn.XMATCH("P",Statut_biogéographique!A:A,2,1),"P")</f>
        <v>P</v>
      </c>
      <c r="AM20933" s="4" t="s">
        <v>375</v>
      </c>
      <c r="AN20933" s="4" t="s">
        <v>375</v>
      </c>
      <c r="AO20933" s="4" t="s">
        <v>375</v>
      </c>
      <c r="AP20933" s="4" t="s">
        <v>376</v>
      </c>
      <c r="AR20933" s="4" t="s">
        <v>377</v>
      </c>
    </row>
    <row r="20934" spans="1:44">
      <c r="A20934" s="4" t="s">
        <v>24364</v>
      </c>
      <c r="B20934" s="4">
        <v>119032</v>
      </c>
      <c r="D20934" s="5">
        <v>119032</v>
      </c>
      <c r="E20934" s="6" t="str">
        <f>HYPERLINK("https://inpn.mnhn.fr/espece/cd_nom/119032","Rubus corylinus P.J.Müll., 1858")</f>
        <v>Rubus corylinus P.J.Müll., 1858</v>
      </c>
      <c r="AH20934" s="4" t="str">
        <f>HYPERLINK("#Statut_biogéographique!A"&amp;_xlfn.XMATCH("P",Statut_biogéographique!A:A,2,1),"P")</f>
        <v>P</v>
      </c>
      <c r="AP20934" s="4" t="s">
        <v>376</v>
      </c>
      <c r="AR20934" s="4" t="s">
        <v>377</v>
      </c>
    </row>
    <row r="20935" spans="1:44">
      <c r="A20935" s="4" t="s">
        <v>24364</v>
      </c>
      <c r="B20935" s="4">
        <v>119033</v>
      </c>
      <c r="D20935" s="5" t="s">
        <v>26817</v>
      </c>
      <c r="E20935" s="6" t="str">
        <f>HYPERLINK("https://inpn.mnhn.fr/espece/cd_nom/119033","Rubus corymbosus P.J.Müll., 1858")</f>
        <v>Rubus corymbosus P.J.Müll., 1858</v>
      </c>
      <c r="F20935" s="5" t="s">
        <v>26818</v>
      </c>
      <c r="AH20935" s="4" t="str">
        <f>HYPERLINK("#Statut_biogéographique!A"&amp;_xlfn.XMATCH("P",Statut_biogéographique!A:A,2,1),"P")</f>
        <v>P</v>
      </c>
      <c r="AP20935" s="4" t="s">
        <v>376</v>
      </c>
      <c r="AR20935" s="4" t="s">
        <v>377</v>
      </c>
    </row>
    <row r="20936" spans="1:44" ht="30">
      <c r="A20936" s="4" t="s">
        <v>24364</v>
      </c>
      <c r="B20936" s="4">
        <v>119050</v>
      </c>
      <c r="D20936" s="5" t="s">
        <v>26819</v>
      </c>
      <c r="E20936" s="6" t="str">
        <f>HYPERLINK("https://inpn.mnhn.fr/espece/cd_nom/119050","Rubus divaricatus P.J.Müll., 1858")</f>
        <v>Rubus divaricatus P.J.Müll., 1858</v>
      </c>
      <c r="F20936" s="5" t="s">
        <v>26820</v>
      </c>
      <c r="T20936" s="7" t="str">
        <f>HYPERLINK("#Liste_rouge!A"&amp;_xlfn.XMATCH("DD",Liste_rouge!A:A,2,1),"DD")</f>
        <v>DD</v>
      </c>
      <c r="V20936" s="7" t="str">
        <f>HYPERLINK("#Liste_rouge!A"&amp;_xlfn.XMATCH("DD",Liste_rouge!A:A,2,1),"DD")</f>
        <v>DD</v>
      </c>
      <c r="AH20936" s="4" t="str">
        <f>HYPERLINK("#Statut_biogéographique!A"&amp;_xlfn.XMATCH("P",Statut_biogéographique!A:A,2,1),"P")</f>
        <v>P</v>
      </c>
      <c r="AM20936" s="4" t="s">
        <v>375</v>
      </c>
      <c r="AN20936" s="4" t="s">
        <v>375</v>
      </c>
      <c r="AO20936" s="4" t="s">
        <v>375</v>
      </c>
      <c r="AP20936" s="4" t="s">
        <v>376</v>
      </c>
      <c r="AR20936" s="4" t="s">
        <v>377</v>
      </c>
    </row>
    <row r="20937" spans="1:44">
      <c r="A20937" s="4" t="s">
        <v>24364</v>
      </c>
      <c r="B20937" s="4">
        <v>119054</v>
      </c>
      <c r="D20937" s="5">
        <v>119054</v>
      </c>
      <c r="E20937" s="6" t="str">
        <f>HYPERLINK("https://inpn.mnhn.fr/espece/cd_nom/119054","Rubus drymophilus P.J.Müll. &amp; Lefèvre, 1859")</f>
        <v>Rubus drymophilus P.J.Müll. &amp; Lefèvre, 1859</v>
      </c>
      <c r="AH20937" s="4" t="str">
        <f>HYPERLINK("#Statut_biogéographique!A"&amp;_xlfn.XMATCH("P",Statut_biogéographique!A:A,2,1),"P")</f>
        <v>P</v>
      </c>
      <c r="AM20937" s="4" t="s">
        <v>375</v>
      </c>
      <c r="AN20937" s="4" t="s">
        <v>375</v>
      </c>
      <c r="AO20937" s="4" t="s">
        <v>375</v>
      </c>
      <c r="AP20937" s="4" t="s">
        <v>376</v>
      </c>
      <c r="AR20937" s="4" t="s">
        <v>377</v>
      </c>
    </row>
    <row r="20938" spans="1:44">
      <c r="A20938" s="4" t="s">
        <v>24364</v>
      </c>
      <c r="B20938" s="4">
        <v>119058</v>
      </c>
      <c r="D20938" s="5" t="s">
        <v>26821</v>
      </c>
      <c r="E20938" s="6" t="str">
        <f>HYPERLINK("https://inpn.mnhn.fr/espece/cd_nom/119058","Rubus echinatus Lindl., 1829")</f>
        <v>Rubus echinatus Lindl., 1829</v>
      </c>
      <c r="F20938" s="5" t="s">
        <v>26822</v>
      </c>
      <c r="AH20938" s="4" t="str">
        <f>HYPERLINK("#Statut_biogéographique!A"&amp;_xlfn.XMATCH("P",Statut_biogéographique!A:A,2,1),"P")</f>
        <v>P</v>
      </c>
      <c r="AP20938" s="4" t="s">
        <v>376</v>
      </c>
      <c r="AR20938" s="4" t="s">
        <v>377</v>
      </c>
    </row>
    <row r="20939" spans="1:44">
      <c r="A20939" s="4" t="s">
        <v>24364</v>
      </c>
      <c r="B20939" s="4">
        <v>119061</v>
      </c>
      <c r="D20939" s="5" t="s">
        <v>26823</v>
      </c>
      <c r="E20939" s="6" t="str">
        <f>HYPERLINK("https://inpn.mnhn.fr/espece/cd_nom/119061","Rubus egregius Focke, 1871")</f>
        <v>Rubus egregius Focke, 1871</v>
      </c>
      <c r="F20939" s="5" t="s">
        <v>26824</v>
      </c>
      <c r="T20939" s="7" t="str">
        <f>HYPERLINK("#Liste_rouge!A"&amp;_xlfn.XMATCH("DD",Liste_rouge!A:A,2,1),"DD")</f>
        <v>DD</v>
      </c>
      <c r="AH20939" s="4" t="str">
        <f>HYPERLINK("#Statut_biogéographique!A"&amp;_xlfn.XMATCH("Q",Statut_biogéographique!A:A,2,1),"Q")</f>
        <v>Q</v>
      </c>
      <c r="AM20939" s="4" t="s">
        <v>375</v>
      </c>
      <c r="AN20939" s="4" t="s">
        <v>375</v>
      </c>
      <c r="AO20939" s="4" t="s">
        <v>375</v>
      </c>
      <c r="AP20939" s="4" t="s">
        <v>376</v>
      </c>
      <c r="AR20939" s="4" t="s">
        <v>377</v>
      </c>
    </row>
    <row r="20940" spans="1:44">
      <c r="A20940" s="4" t="s">
        <v>24364</v>
      </c>
      <c r="B20940" s="4">
        <v>119063</v>
      </c>
      <c r="D20940" s="5" t="s">
        <v>26825</v>
      </c>
      <c r="E20940" s="6" t="str">
        <f>HYPERLINK("https://inpn.mnhn.fr/espece/cd_nom/119063","Rubus elegans P.J.Müll., 1858")</f>
        <v>Rubus elegans P.J.Müll., 1858</v>
      </c>
      <c r="F20940" s="5" t="s">
        <v>26826</v>
      </c>
      <c r="V20940" s="7" t="str">
        <f>HYPERLINK("#Liste_rouge!A"&amp;_xlfn.XMATCH("DD",Liste_rouge!A:A,2,1),"DD")</f>
        <v>DD</v>
      </c>
      <c r="AH20940" s="4" t="str">
        <f>HYPERLINK("#Statut_biogéographique!A"&amp;_xlfn.XMATCH("P",Statut_biogéographique!A:A,2,1),"P")</f>
        <v>P</v>
      </c>
      <c r="AM20940" s="4" t="s">
        <v>375</v>
      </c>
      <c r="AN20940" s="4" t="s">
        <v>375</v>
      </c>
      <c r="AO20940" s="4" t="s">
        <v>375</v>
      </c>
      <c r="AP20940" s="4" t="s">
        <v>376</v>
      </c>
      <c r="AR20940" s="4" t="s">
        <v>377</v>
      </c>
    </row>
    <row r="20941" spans="1:44">
      <c r="A20941" s="4" t="s">
        <v>24364</v>
      </c>
      <c r="B20941" s="4">
        <v>119066</v>
      </c>
      <c r="D20941" s="5" t="s">
        <v>26827</v>
      </c>
      <c r="E20941" s="6" t="str">
        <f>HYPERLINK("https://inpn.mnhn.fr/espece/cd_nom/119066","Rubus elongatifolius Boulay &amp; Gillot, 1881")</f>
        <v>Rubus elongatifolius Boulay &amp; Gillot, 1881</v>
      </c>
      <c r="F20941" s="5" t="s">
        <v>26828</v>
      </c>
      <c r="AH20941" s="4" t="str">
        <f>HYPERLINK("#Statut_biogéographique!A"&amp;_xlfn.XMATCH("P",Statut_biogéographique!A:A,2,1),"P")</f>
        <v>P</v>
      </c>
      <c r="AP20941" s="4" t="s">
        <v>376</v>
      </c>
      <c r="AR20941" s="4" t="s">
        <v>377</v>
      </c>
    </row>
    <row r="20942" spans="1:44">
      <c r="A20942" s="4" t="s">
        <v>24364</v>
      </c>
      <c r="B20942" s="4">
        <v>119071</v>
      </c>
      <c r="D20942" s="5" t="s">
        <v>26829</v>
      </c>
      <c r="E20942" s="6" t="str">
        <f>HYPERLINK("https://inpn.mnhn.fr/espece/cd_nom/119071","Rubus erythradenes P.J.Müll., 1861")</f>
        <v>Rubus erythradenes P.J.Müll., 1861</v>
      </c>
      <c r="AH20942" s="4" t="str">
        <f>HYPERLINK("#Statut_biogéographique!A"&amp;_xlfn.XMATCH("P",Statut_biogéographique!A:A,2,1),"P")</f>
        <v>P</v>
      </c>
      <c r="AP20942" s="4" t="s">
        <v>376</v>
      </c>
      <c r="AR20942" s="4" t="s">
        <v>377</v>
      </c>
    </row>
    <row r="20943" spans="1:44">
      <c r="A20943" s="4" t="s">
        <v>24364</v>
      </c>
      <c r="B20943" s="4">
        <v>119092</v>
      </c>
      <c r="D20943" s="5">
        <v>119092</v>
      </c>
      <c r="E20943" s="6" t="str">
        <f>HYPERLINK("https://inpn.mnhn.fr/espece/cd_nom/119092","Rubus flexuosus P.J.Müll. &amp; Lefèvre, 1859")</f>
        <v>Rubus flexuosus P.J.Müll. &amp; Lefèvre, 1859</v>
      </c>
      <c r="F20943" s="5" t="s">
        <v>26830</v>
      </c>
      <c r="V20943" s="7" t="str">
        <f>HYPERLINK("#Liste_rouge!A"&amp;_xlfn.XMATCH("LC",Liste_rouge!A:A,2,1),"LC")</f>
        <v>LC</v>
      </c>
      <c r="AH20943" s="4" t="str">
        <f>HYPERLINK("#Statut_biogéographique!A"&amp;_xlfn.XMATCH("P",Statut_biogéographique!A:A,2,1),"P")</f>
        <v>P</v>
      </c>
      <c r="AM20943" s="4" t="s">
        <v>375</v>
      </c>
      <c r="AN20943" s="4" t="s">
        <v>375</v>
      </c>
      <c r="AO20943" s="4" t="s">
        <v>375</v>
      </c>
      <c r="AP20943" s="4" t="s">
        <v>376</v>
      </c>
      <c r="AR20943" s="4" t="s">
        <v>377</v>
      </c>
    </row>
    <row r="20944" spans="1:44">
      <c r="A20944" s="4" t="s">
        <v>24364</v>
      </c>
      <c r="B20944" s="4">
        <v>119093</v>
      </c>
      <c r="D20944" s="5">
        <v>119093</v>
      </c>
      <c r="E20944" s="6" t="str">
        <f>HYPERLINK("https://inpn.mnhn.fr/espece/cd_nom/119093","Rubus foliosus Weihe, 1825")</f>
        <v>Rubus foliosus Weihe, 1825</v>
      </c>
      <c r="F20944" s="5" t="s">
        <v>26831</v>
      </c>
      <c r="T20944" s="7" t="str">
        <f>HYPERLINK("#Liste_rouge!A"&amp;_xlfn.XMATCH("DD",Liste_rouge!A:A,2,1),"DD")</f>
        <v>DD</v>
      </c>
      <c r="V20944" s="7" t="str">
        <f>HYPERLINK("#Liste_rouge!A"&amp;_xlfn.XMATCH("LC",Liste_rouge!A:A,2,1),"LC")</f>
        <v>LC</v>
      </c>
      <c r="AH20944" s="4" t="str">
        <f>HYPERLINK("#Statut_biogéographique!A"&amp;_xlfn.XMATCH("P",Statut_biogéographique!A:A,2,1),"P")</f>
        <v>P</v>
      </c>
      <c r="AM20944" s="4" t="s">
        <v>375</v>
      </c>
      <c r="AN20944" s="4" t="s">
        <v>375</v>
      </c>
      <c r="AO20944" s="4" t="s">
        <v>375</v>
      </c>
      <c r="AP20944" s="4" t="s">
        <v>376</v>
      </c>
      <c r="AR20944" s="4" t="s">
        <v>377</v>
      </c>
    </row>
    <row r="20945" spans="1:44" ht="45">
      <c r="A20945" s="4" t="s">
        <v>24364</v>
      </c>
      <c r="B20945" s="4">
        <v>119097</v>
      </c>
      <c r="D20945" s="5" t="s">
        <v>26832</v>
      </c>
      <c r="E20945" s="6" t="str">
        <f>HYPERLINK("https://inpn.mnhn.fr/espece/cd_nom/119097","Rubus fruticosus L., 1753 [nom. et typ. cons.]")</f>
        <v>Rubus fruticosus L., 1753 [nom. et typ. cons.]</v>
      </c>
      <c r="F20945" s="5" t="s">
        <v>26833</v>
      </c>
      <c r="T20945" s="7" t="str">
        <f>HYPERLINK("#Liste_rouge!A"&amp;_xlfn.XMATCH("LC",Liste_rouge!A:A,2,1),"LC")</f>
        <v>LC</v>
      </c>
      <c r="AH20945" s="4" t="str">
        <f>HYPERLINK("#Statut_biogéographique!A"&amp;_xlfn.XMATCH("P",Statut_biogéographique!A:A,2,1),"P")</f>
        <v>P</v>
      </c>
      <c r="AM20945" s="4" t="s">
        <v>375</v>
      </c>
      <c r="AN20945" s="4" t="s">
        <v>375</v>
      </c>
      <c r="AO20945" s="4" t="s">
        <v>375</v>
      </c>
      <c r="AP20945" s="4" t="s">
        <v>376</v>
      </c>
      <c r="AR20945" s="4" t="s">
        <v>377</v>
      </c>
    </row>
    <row r="20946" spans="1:44">
      <c r="A20946" s="4" t="s">
        <v>24364</v>
      </c>
      <c r="B20946" s="4">
        <v>119099</v>
      </c>
      <c r="D20946" s="5">
        <v>119099</v>
      </c>
      <c r="E20946" s="6" t="str">
        <f>HYPERLINK("https://inpn.mnhn.fr/espece/cd_nom/119099","Rubus fuscater Weihe, 1825")</f>
        <v>Rubus fuscater Weihe, 1825</v>
      </c>
      <c r="F20946" s="5" t="s">
        <v>26834</v>
      </c>
      <c r="T20946" s="7" t="str">
        <f>HYPERLINK("#Liste_rouge!A"&amp;_xlfn.XMATCH("DD",Liste_rouge!A:A,2,1),"DD")</f>
        <v>DD</v>
      </c>
      <c r="AH20946" s="4" t="str">
        <f>HYPERLINK("#Statut_biogéographique!A"&amp;_xlfn.XMATCH("Q",Statut_biogéographique!A:A,2,1),"Q")</f>
        <v>Q</v>
      </c>
      <c r="AM20946" s="4" t="s">
        <v>375</v>
      </c>
      <c r="AN20946" s="4" t="s">
        <v>375</v>
      </c>
      <c r="AO20946" s="4" t="s">
        <v>375</v>
      </c>
      <c r="AP20946" s="4" t="s">
        <v>376</v>
      </c>
      <c r="AR20946" s="4" t="s">
        <v>377</v>
      </c>
    </row>
    <row r="20947" spans="1:44">
      <c r="A20947" s="4" t="s">
        <v>24364</v>
      </c>
      <c r="B20947" s="4">
        <v>119100</v>
      </c>
      <c r="D20947" s="5" t="s">
        <v>26835</v>
      </c>
      <c r="E20947" s="6" t="str">
        <f>HYPERLINK("https://inpn.mnhn.fr/espece/cd_nom/119100","Rubus fuscus Weihe, 1825")</f>
        <v>Rubus fuscus Weihe, 1825</v>
      </c>
      <c r="F20947" s="5" t="s">
        <v>26836</v>
      </c>
      <c r="T20947" s="7" t="str">
        <f>HYPERLINK("#Liste_rouge!A"&amp;_xlfn.XMATCH("DD",Liste_rouge!A:A,2,1),"DD")</f>
        <v>DD</v>
      </c>
      <c r="AH20947" s="4" t="str">
        <f>HYPERLINK("#Statut_biogéographique!A"&amp;_xlfn.XMATCH("P",Statut_biogéographique!A:A,2,1),"P")</f>
        <v>P</v>
      </c>
      <c r="AM20947" s="4" t="s">
        <v>375</v>
      </c>
      <c r="AN20947" s="4" t="s">
        <v>375</v>
      </c>
      <c r="AO20947" s="4" t="s">
        <v>375</v>
      </c>
      <c r="AP20947" s="4" t="s">
        <v>376</v>
      </c>
      <c r="AR20947" s="4" t="s">
        <v>377</v>
      </c>
    </row>
    <row r="20948" spans="1:44">
      <c r="A20948" s="4" t="s">
        <v>24364</v>
      </c>
      <c r="B20948" s="4">
        <v>119103</v>
      </c>
      <c r="D20948" s="5">
        <v>119103</v>
      </c>
      <c r="E20948" s="6" t="str">
        <f>HYPERLINK("https://inpn.mnhn.fr/espece/cd_nom/119103","Rubus geniculatus Kaltenb., 1844")</f>
        <v>Rubus geniculatus Kaltenb., 1844</v>
      </c>
      <c r="F20948" s="5" t="s">
        <v>26837</v>
      </c>
      <c r="AH20948" s="4" t="str">
        <f>HYPERLINK("#Statut_biogéographique!A"&amp;_xlfn.XMATCH("P",Statut_biogéographique!A:A,2,1),"P")</f>
        <v>P</v>
      </c>
      <c r="AP20948" s="4" t="s">
        <v>376</v>
      </c>
      <c r="AR20948" s="4" t="s">
        <v>377</v>
      </c>
    </row>
    <row r="20949" spans="1:44" ht="45">
      <c r="A20949" s="4" t="s">
        <v>24364</v>
      </c>
      <c r="B20949" s="4">
        <v>119108</v>
      </c>
      <c r="D20949" s="5">
        <v>119108</v>
      </c>
      <c r="E20949" s="6" t="str">
        <f>HYPERLINK("https://inpn.mnhn.fr/espece/cd_nom/119108","Rubus glandulosus Bellardi, 1792")</f>
        <v>Rubus glandulosus Bellardi, 1792</v>
      </c>
      <c r="F20949" s="5" t="s">
        <v>26838</v>
      </c>
      <c r="T20949" s="7" t="str">
        <f>HYPERLINK("#Liste_rouge!A"&amp;_xlfn.XMATCH("DD",Liste_rouge!A:A,2,1),"DD")</f>
        <v>DD</v>
      </c>
      <c r="AH20949" s="4" t="str">
        <f>HYPERLINK("#Statut_biogéographique!A"&amp;_xlfn.XMATCH("Q",Statut_biogéographique!A:A,2,1),"Q")</f>
        <v>Q</v>
      </c>
      <c r="AM20949" s="4" t="s">
        <v>375</v>
      </c>
      <c r="AN20949" s="4" t="s">
        <v>375</v>
      </c>
      <c r="AO20949" s="4" t="s">
        <v>375</v>
      </c>
      <c r="AP20949" s="4" t="s">
        <v>376</v>
      </c>
      <c r="AR20949" s="4" t="s">
        <v>377</v>
      </c>
    </row>
    <row r="20950" spans="1:44">
      <c r="A20950" s="4" t="s">
        <v>24364</v>
      </c>
      <c r="B20950" s="4">
        <v>119110</v>
      </c>
      <c r="D20950" s="5" t="s">
        <v>26839</v>
      </c>
      <c r="E20950" s="6" t="str">
        <f>HYPERLINK("https://inpn.mnhn.fr/espece/cd_nom/119110","Rubus godronii Lecoq &amp; Lamotte, 1847")</f>
        <v>Rubus godronii Lecoq &amp; Lamotte, 1847</v>
      </c>
      <c r="F20950" s="5" t="s">
        <v>26840</v>
      </c>
      <c r="T20950" s="7" t="str">
        <f>HYPERLINK("#Liste_rouge!A"&amp;_xlfn.XMATCH("DD",Liste_rouge!A:A,2,1),"DD")</f>
        <v>DD</v>
      </c>
      <c r="V20950" s="7" t="str">
        <f>HYPERLINK("#Liste_rouge!A"&amp;_xlfn.XMATCH("DD",Liste_rouge!A:A,2,1),"DD")</f>
        <v>DD</v>
      </c>
      <c r="AH20950" s="4" t="str">
        <f>HYPERLINK("#Statut_biogéographique!A"&amp;_xlfn.XMATCH("P",Statut_biogéographique!A:A,2,1),"P")</f>
        <v>P</v>
      </c>
      <c r="AM20950" s="4" t="s">
        <v>375</v>
      </c>
      <c r="AN20950" s="4" t="s">
        <v>375</v>
      </c>
      <c r="AO20950" s="4" t="s">
        <v>375</v>
      </c>
      <c r="AP20950" s="4" t="s">
        <v>376</v>
      </c>
      <c r="AR20950" s="4" t="s">
        <v>377</v>
      </c>
    </row>
    <row r="20951" spans="1:44">
      <c r="A20951" s="4" t="s">
        <v>24364</v>
      </c>
      <c r="B20951" s="4">
        <v>119112</v>
      </c>
      <c r="D20951" s="5">
        <v>119112</v>
      </c>
      <c r="E20951" s="6" t="str">
        <f>HYPERLINK("https://inpn.mnhn.fr/espece/cd_nom/119112","Rubus goniophyllus P.J.Müll. &amp; Lefèvre, 1859")</f>
        <v>Rubus goniophyllus P.J.Müll. &amp; Lefèvre, 1859</v>
      </c>
      <c r="AH20951" s="4" t="str">
        <f>HYPERLINK("#Statut_biogéographique!A"&amp;_xlfn.XMATCH("P",Statut_biogéographique!A:A,2,1),"P")</f>
        <v>P</v>
      </c>
      <c r="AM20951" s="4" t="s">
        <v>375</v>
      </c>
      <c r="AN20951" s="4" t="s">
        <v>375</v>
      </c>
      <c r="AO20951" s="4" t="s">
        <v>375</v>
      </c>
      <c r="AP20951" s="4" t="s">
        <v>376</v>
      </c>
      <c r="AR20951" s="4" t="s">
        <v>377</v>
      </c>
    </row>
    <row r="20952" spans="1:44" ht="30">
      <c r="A20952" s="4" t="s">
        <v>24364</v>
      </c>
      <c r="B20952" s="4">
        <v>119113</v>
      </c>
      <c r="D20952" s="5" t="s">
        <v>26841</v>
      </c>
      <c r="E20952" s="6" t="str">
        <f>HYPERLINK("https://inpn.mnhn.fr/espece/cd_nom/119113","Rubus grabowskii Weihe ex Günther, Schummel, Wimm. &amp; Grab., 1827")</f>
        <v>Rubus grabowskii Weihe ex Günther, Schummel, Wimm. &amp; Grab., 1827</v>
      </c>
      <c r="F20952" s="5" t="s">
        <v>26842</v>
      </c>
      <c r="V20952" s="7" t="str">
        <f>HYPERLINK("#Liste_rouge!A"&amp;_xlfn.XMATCH("DD",Liste_rouge!A:A,2,1),"DD")</f>
        <v>DD</v>
      </c>
      <c r="AH20952" s="4" t="str">
        <f>HYPERLINK("#Statut_biogéographique!A"&amp;_xlfn.XMATCH("P",Statut_biogéographique!A:A,2,1),"P")</f>
        <v>P</v>
      </c>
      <c r="AM20952" s="4" t="s">
        <v>375</v>
      </c>
      <c r="AN20952" s="4" t="s">
        <v>375</v>
      </c>
      <c r="AO20952" s="4" t="s">
        <v>375</v>
      </c>
      <c r="AP20952" s="4" t="s">
        <v>376</v>
      </c>
      <c r="AR20952" s="4" t="s">
        <v>377</v>
      </c>
    </row>
    <row r="20953" spans="1:44">
      <c r="A20953" s="4" t="s">
        <v>24364</v>
      </c>
      <c r="B20953" s="4">
        <v>119114</v>
      </c>
      <c r="D20953" s="5" t="s">
        <v>26843</v>
      </c>
      <c r="E20953" s="6" t="str">
        <f>HYPERLINK("https://inpn.mnhn.fr/espece/cd_nom/119114","Rubus gracilis J.Presl &amp; C.Presl, 1822")</f>
        <v>Rubus gracilis J.Presl &amp; C.Presl, 1822</v>
      </c>
      <c r="F20953" s="5" t="s">
        <v>26844</v>
      </c>
      <c r="T20953" s="7" t="str">
        <f>HYPERLINK("#Liste_rouge!A"&amp;_xlfn.XMATCH("DD",Liste_rouge!A:A,2,1),"DD")</f>
        <v>DD</v>
      </c>
      <c r="AH20953" s="4" t="str">
        <f>HYPERLINK("#Statut_biogéographique!A"&amp;_xlfn.XMATCH("P",Statut_biogéographique!A:A,2,1),"P")</f>
        <v>P</v>
      </c>
      <c r="AM20953" s="4" t="s">
        <v>375</v>
      </c>
      <c r="AN20953" s="4" t="s">
        <v>375</v>
      </c>
      <c r="AO20953" s="4" t="s">
        <v>375</v>
      </c>
      <c r="AP20953" s="4" t="s">
        <v>376</v>
      </c>
      <c r="AR20953" s="4" t="s">
        <v>377</v>
      </c>
    </row>
    <row r="20954" spans="1:44">
      <c r="A20954" s="4" t="s">
        <v>24364</v>
      </c>
      <c r="B20954" s="4">
        <v>119115</v>
      </c>
      <c r="D20954" s="5">
        <v>119115</v>
      </c>
      <c r="E20954" s="6" t="str">
        <f>HYPERLINK("https://inpn.mnhn.fr/espece/cd_nom/119115","Rubus granulatus P.J.Müll. &amp; Lefèvre, 1859")</f>
        <v>Rubus granulatus P.J.Müll. &amp; Lefèvre, 1859</v>
      </c>
      <c r="F20954" s="5" t="s">
        <v>26845</v>
      </c>
      <c r="AH20954" s="4" t="str">
        <f>HYPERLINK("#Statut_biogéographique!A"&amp;_xlfn.XMATCH("D",Statut_biogéographique!A:A,2,1),"D")</f>
        <v>D</v>
      </c>
      <c r="AP20954" s="4" t="s">
        <v>376</v>
      </c>
      <c r="AR20954" s="4" t="s">
        <v>377</v>
      </c>
    </row>
    <row r="20955" spans="1:44">
      <c r="A20955" s="4" t="s">
        <v>24364</v>
      </c>
      <c r="B20955" s="4">
        <v>119117</v>
      </c>
      <c r="D20955" s="5">
        <v>119117</v>
      </c>
      <c r="E20955" s="6" t="str">
        <f>HYPERLINK("https://inpn.mnhn.fr/espece/cd_nom/119117","Rubus gratiosus P.J.Müll. &amp; Lefèvre, 1859")</f>
        <v>Rubus gratiosus P.J.Müll. &amp; Lefèvre, 1859</v>
      </c>
      <c r="F20955" s="5" t="s">
        <v>26846</v>
      </c>
      <c r="AH20955" s="4" t="str">
        <f>HYPERLINK("#Statut_biogéographique!A"&amp;_xlfn.XMATCH("D",Statut_biogéographique!A:A,2,1),"D")</f>
        <v>D</v>
      </c>
      <c r="AP20955" s="4" t="s">
        <v>376</v>
      </c>
      <c r="AR20955" s="4" t="s">
        <v>377</v>
      </c>
    </row>
    <row r="20956" spans="1:44">
      <c r="A20956" s="4" t="s">
        <v>24364</v>
      </c>
      <c r="B20956" s="4">
        <v>119118</v>
      </c>
      <c r="D20956" s="5" t="s">
        <v>26847</v>
      </c>
      <c r="E20956" s="6" t="str">
        <f>HYPERLINK("https://inpn.mnhn.fr/espece/cd_nom/119118","Rubus gratus Focke, 1875")</f>
        <v>Rubus gratus Focke, 1875</v>
      </c>
      <c r="F20956" s="5" t="s">
        <v>26848</v>
      </c>
      <c r="T20956" s="7" t="str">
        <f>HYPERLINK("#Liste_rouge!A"&amp;_xlfn.XMATCH("DD",Liste_rouge!A:A,2,1),"DD")</f>
        <v>DD</v>
      </c>
      <c r="AH20956" s="4" t="str">
        <f>HYPERLINK("#Statut_biogéographique!A"&amp;_xlfn.XMATCH("D",Statut_biogéographique!A:A,2,1),"D")</f>
        <v>D</v>
      </c>
      <c r="AM20956" s="4" t="s">
        <v>375</v>
      </c>
      <c r="AN20956" s="4" t="s">
        <v>375</v>
      </c>
      <c r="AO20956" s="4" t="s">
        <v>375</v>
      </c>
      <c r="AP20956" s="4" t="s">
        <v>376</v>
      </c>
      <c r="AR20956" s="4" t="s">
        <v>377</v>
      </c>
    </row>
    <row r="20957" spans="1:44">
      <c r="A20957" s="4" t="s">
        <v>24364</v>
      </c>
      <c r="B20957" s="4">
        <v>119120</v>
      </c>
      <c r="D20957" s="5" t="s">
        <v>26849</v>
      </c>
      <c r="E20957" s="6" t="str">
        <f>HYPERLINK("https://inpn.mnhn.fr/espece/cd_nom/119120","Rubus gremlii Focke, 1877")</f>
        <v>Rubus gremlii Focke, 1877</v>
      </c>
      <c r="F20957" s="5" t="s">
        <v>26850</v>
      </c>
      <c r="T20957" s="7" t="str">
        <f>HYPERLINK("#Liste_rouge!A"&amp;_xlfn.XMATCH("LC",Liste_rouge!A:A,2,1),"LC")</f>
        <v>LC</v>
      </c>
      <c r="AH20957" s="4" t="str">
        <f>HYPERLINK("#Statut_biogéographique!A"&amp;_xlfn.XMATCH("P",Statut_biogéographique!A:A,2,1),"P")</f>
        <v>P</v>
      </c>
      <c r="AM20957" s="4" t="s">
        <v>375</v>
      </c>
      <c r="AN20957" s="4" t="s">
        <v>375</v>
      </c>
      <c r="AO20957" s="4" t="s">
        <v>375</v>
      </c>
      <c r="AP20957" s="4" t="s">
        <v>376</v>
      </c>
      <c r="AR20957" s="4" t="s">
        <v>377</v>
      </c>
    </row>
    <row r="20958" spans="1:44">
      <c r="A20958" s="4" t="s">
        <v>24364</v>
      </c>
      <c r="B20958" s="4">
        <v>119123</v>
      </c>
      <c r="D20958" s="5">
        <v>119123</v>
      </c>
      <c r="E20958" s="6" t="str">
        <f>HYPERLINK("https://inpn.mnhn.fr/espece/cd_nom/119123","Rubus hebecaulis Sudre, 1902")</f>
        <v>Rubus hebecaulis Sudre, 1902</v>
      </c>
      <c r="F20958" s="5" t="s">
        <v>26851</v>
      </c>
      <c r="AH20958" s="4" t="str">
        <f>HYPERLINK("#Statut_biogéographique!A"&amp;_xlfn.XMATCH("D",Statut_biogéographique!A:A,2,1),"D")</f>
        <v>D</v>
      </c>
      <c r="AP20958" s="4" t="s">
        <v>376</v>
      </c>
      <c r="AR20958" s="4" t="s">
        <v>377</v>
      </c>
    </row>
    <row r="20959" spans="1:44">
      <c r="A20959" s="4" t="s">
        <v>24364</v>
      </c>
      <c r="B20959" s="4">
        <v>119127</v>
      </c>
      <c r="D20959" s="5">
        <v>119127</v>
      </c>
      <c r="E20959" s="6" t="str">
        <f>HYPERLINK("https://inpn.mnhn.fr/espece/cd_nom/119127","Rubus henriquesii Samp., 1905")</f>
        <v>Rubus henriquesii Samp., 1905</v>
      </c>
      <c r="F20959" s="5" t="s">
        <v>26852</v>
      </c>
      <c r="AH20959" s="4" t="str">
        <f>HYPERLINK("#Statut_biogéographique!A"&amp;_xlfn.XMATCH("D",Statut_biogéographique!A:A,2,1),"D")</f>
        <v>D</v>
      </c>
      <c r="AP20959" s="4" t="s">
        <v>376</v>
      </c>
      <c r="AR20959" s="4" t="s">
        <v>377</v>
      </c>
    </row>
    <row r="20960" spans="1:44">
      <c r="A20960" s="4" t="s">
        <v>24364</v>
      </c>
      <c r="B20960" s="4">
        <v>119130</v>
      </c>
      <c r="D20960" s="5" t="s">
        <v>26853</v>
      </c>
      <c r="E20960" s="6" t="str">
        <f>HYPERLINK("https://inpn.mnhn.fr/espece/cd_nom/119130","Rubus hirtus Waldst. &amp; Kit., 1805")</f>
        <v>Rubus hirtus Waldst. &amp; Kit., 1805</v>
      </c>
      <c r="F20960" s="5" t="s">
        <v>26822</v>
      </c>
      <c r="T20960" s="7" t="str">
        <f>HYPERLINK("#Liste_rouge!A"&amp;_xlfn.XMATCH("LC",Liste_rouge!A:A,2,1),"LC")</f>
        <v>LC</v>
      </c>
      <c r="V20960" s="7" t="str">
        <f>HYPERLINK("#Liste_rouge!A"&amp;_xlfn.XMATCH("DD",Liste_rouge!A:A,2,1),"DD")</f>
        <v>DD</v>
      </c>
      <c r="AH20960" s="4" t="str">
        <f>HYPERLINK("#Statut_biogéographique!A"&amp;_xlfn.XMATCH("Q",Statut_biogéographique!A:A,2,1),"Q")</f>
        <v>Q</v>
      </c>
      <c r="AM20960" s="4" t="s">
        <v>375</v>
      </c>
      <c r="AN20960" s="4" t="s">
        <v>375</v>
      </c>
      <c r="AO20960" s="4" t="s">
        <v>375</v>
      </c>
      <c r="AP20960" s="4" t="s">
        <v>376</v>
      </c>
      <c r="AR20960" s="4" t="s">
        <v>377</v>
      </c>
    </row>
    <row r="20961" spans="1:44">
      <c r="A20961" s="4" t="s">
        <v>24364</v>
      </c>
      <c r="B20961" s="4">
        <v>119138</v>
      </c>
      <c r="D20961" s="5" t="s">
        <v>26854</v>
      </c>
      <c r="E20961" s="6" t="str">
        <f>HYPERLINK("https://inpn.mnhn.fr/espece/cd_nom/119138","Rubus humifusus Weihe, 1825")</f>
        <v>Rubus humifusus Weihe, 1825</v>
      </c>
      <c r="AH20961" s="4" t="str">
        <f>HYPERLINK("#Statut_biogéographique!A"&amp;_xlfn.XMATCH("D",Statut_biogéographique!A:A,2,1),"D")</f>
        <v>D</v>
      </c>
      <c r="AP20961" s="4" t="s">
        <v>376</v>
      </c>
      <c r="AR20961" s="4" t="s">
        <v>377</v>
      </c>
    </row>
    <row r="20962" spans="1:44">
      <c r="A20962" s="4" t="s">
        <v>24364</v>
      </c>
      <c r="B20962" s="4">
        <v>119142</v>
      </c>
      <c r="D20962" s="5" t="s">
        <v>26855</v>
      </c>
      <c r="E20962" s="6" t="str">
        <f>HYPERLINK("https://inpn.mnhn.fr/espece/cd_nom/119142","Rubus hylonomus Lefèvre &amp; P.J.Müll., 1859")</f>
        <v>Rubus hylonomus Lefèvre &amp; P.J.Müll., 1859</v>
      </c>
      <c r="AH20962" s="4" t="str">
        <f>HYPERLINK("#Statut_biogéographique!A"&amp;_xlfn.XMATCH("P",Statut_biogéographique!A:A,2,1),"P")</f>
        <v>P</v>
      </c>
      <c r="AP20962" s="4" t="s">
        <v>376</v>
      </c>
      <c r="AR20962" s="4" t="s">
        <v>377</v>
      </c>
    </row>
    <row r="20963" spans="1:44" ht="30">
      <c r="A20963" s="4" t="s">
        <v>24364</v>
      </c>
      <c r="B20963" s="4">
        <v>119149</v>
      </c>
      <c r="D20963" s="5" t="s">
        <v>26856</v>
      </c>
      <c r="E20963" s="6" t="str">
        <f>HYPERLINK("https://inpn.mnhn.fr/espece/cd_nom/119149","Rubus idaeus L., 1753")</f>
        <v>Rubus idaeus L., 1753</v>
      </c>
      <c r="F20963" s="5" t="s">
        <v>26857</v>
      </c>
      <c r="P20963" s="7" t="str">
        <f>HYPERLINK("#Liste_rouge!A"&amp;_xlfn.XMATCH("LC",Liste_rouge!A:A,2,1),"LC")</f>
        <v>LC</v>
      </c>
      <c r="Q20963" s="7" t="str">
        <f>HYPERLINK("#Liste_rouge!A"&amp;_xlfn.XMATCH("LC",Liste_rouge!A:A,2,1),"LC")</f>
        <v>LC</v>
      </c>
      <c r="T20963" s="7" t="str">
        <f>HYPERLINK("#Liste_rouge!A"&amp;_xlfn.XMATCH("LC",Liste_rouge!A:A,2,1),"LC")</f>
        <v>LC</v>
      </c>
      <c r="V20963" s="7" t="str">
        <f>HYPERLINK("#Liste_rouge!A"&amp;_xlfn.XMATCH("LC",Liste_rouge!A:A,2,1),"LC")</f>
        <v>LC</v>
      </c>
      <c r="AH20963" s="4" t="str">
        <f>HYPERLINK("#Statut_biogéographique!A"&amp;_xlfn.XMATCH("P",Statut_biogéographique!A:A,2,1),"P")</f>
        <v>P</v>
      </c>
      <c r="AM20963" s="4" t="s">
        <v>375</v>
      </c>
      <c r="AN20963" s="4" t="s">
        <v>375</v>
      </c>
      <c r="AO20963" s="4" t="s">
        <v>375</v>
      </c>
      <c r="AP20963" s="4" t="s">
        <v>376</v>
      </c>
      <c r="AR20963" s="4" t="s">
        <v>377</v>
      </c>
    </row>
    <row r="20964" spans="1:44">
      <c r="A20964" s="4" t="s">
        <v>24364</v>
      </c>
      <c r="B20964" s="4">
        <v>119151</v>
      </c>
      <c r="D20964" s="5">
        <v>119151</v>
      </c>
      <c r="E20964" s="6" t="str">
        <f>HYPERLINK("https://inpn.mnhn.fr/espece/cd_nom/119151","Rubus inaequabilis Sudre, 1903")</f>
        <v>Rubus inaequabilis Sudre, 1903</v>
      </c>
      <c r="AH20964" s="4" t="str">
        <f>HYPERLINK("#Statut_biogéographique!A"&amp;_xlfn.XMATCH("D",Statut_biogéographique!A:A,2,1),"D")</f>
        <v>D</v>
      </c>
      <c r="AP20964" s="4" t="s">
        <v>376</v>
      </c>
      <c r="AR20964" s="4" t="s">
        <v>377</v>
      </c>
    </row>
    <row r="20965" spans="1:44">
      <c r="A20965" s="4" t="s">
        <v>24364</v>
      </c>
      <c r="B20965" s="4">
        <v>119153</v>
      </c>
      <c r="D20965" s="5" t="s">
        <v>26858</v>
      </c>
      <c r="E20965" s="6" t="str">
        <f>HYPERLINK("https://inpn.mnhn.fr/espece/cd_nom/119153","Rubus incultus P.J.Müll. &amp; Wirtg., 1860")</f>
        <v>Rubus incultus P.J.Müll. &amp; Wirtg., 1860</v>
      </c>
      <c r="AH20965" s="4" t="str">
        <f>HYPERLINK("#Statut_biogéographique!A"&amp;_xlfn.XMATCH("D",Statut_biogéographique!A:A,2,1),"D")</f>
        <v>D</v>
      </c>
      <c r="AP20965" s="4" t="s">
        <v>376</v>
      </c>
      <c r="AR20965" s="4" t="s">
        <v>377</v>
      </c>
    </row>
    <row r="20966" spans="1:44">
      <c r="A20966" s="4" t="s">
        <v>24364</v>
      </c>
      <c r="B20966" s="4">
        <v>119157</v>
      </c>
      <c r="D20966" s="5" t="s">
        <v>26859</v>
      </c>
      <c r="E20966" s="6" t="str">
        <f>HYPERLINK("https://inpn.mnhn.fr/espece/cd_nom/119157","Rubus insericatus P.J.Müll. ex Wirtg., 1859")</f>
        <v>Rubus insericatus P.J.Müll. ex Wirtg., 1859</v>
      </c>
      <c r="AH20966" s="4" t="str">
        <f>HYPERLINK("#Statut_biogéographique!A"&amp;_xlfn.XMATCH("Q",Statut_biogéographique!A:A,2,1),"Q")</f>
        <v>Q</v>
      </c>
      <c r="AP20966" s="4" t="s">
        <v>376</v>
      </c>
      <c r="AR20966" s="4" t="s">
        <v>377</v>
      </c>
    </row>
    <row r="20967" spans="1:44">
      <c r="A20967" s="4" t="s">
        <v>24364</v>
      </c>
      <c r="B20967" s="4">
        <v>119158</v>
      </c>
      <c r="D20967" s="5" t="s">
        <v>26860</v>
      </c>
      <c r="E20967" s="6" t="str">
        <f>HYPERLINK("https://inpn.mnhn.fr/espece/cd_nom/119158","Rubus insolatus P.J.Müll., 1858")</f>
        <v>Rubus insolatus P.J.Müll., 1858</v>
      </c>
      <c r="V20967" s="7" t="str">
        <f>HYPERLINK("#Liste_rouge!A"&amp;_xlfn.XMATCH("DD",Liste_rouge!A:A,2,1),"DD")</f>
        <v>DD</v>
      </c>
      <c r="AH20967" s="4" t="str">
        <f>HYPERLINK("#Statut_biogéographique!A"&amp;_xlfn.XMATCH("P",Statut_biogéographique!A:A,2,1),"P")</f>
        <v>P</v>
      </c>
      <c r="AM20967" s="4" t="s">
        <v>375</v>
      </c>
      <c r="AN20967" s="4" t="s">
        <v>375</v>
      </c>
      <c r="AO20967" s="4" t="s">
        <v>375</v>
      </c>
      <c r="AP20967" s="4" t="s">
        <v>376</v>
      </c>
      <c r="AR20967" s="4" t="s">
        <v>377</v>
      </c>
    </row>
    <row r="20968" spans="1:44">
      <c r="A20968" s="4" t="s">
        <v>24364</v>
      </c>
      <c r="B20968" s="4">
        <v>119159</v>
      </c>
      <c r="D20968" s="5" t="s">
        <v>26861</v>
      </c>
      <c r="E20968" s="6" t="str">
        <f>HYPERLINK("https://inpn.mnhn.fr/espece/cd_nom/119159","Rubus integribasis P.J.Müll., 1868")</f>
        <v>Rubus integribasis P.J.Müll., 1868</v>
      </c>
      <c r="T20968" s="7" t="str">
        <f>HYPERLINK("#Liste_rouge!A"&amp;_xlfn.XMATCH("NE",Liste_rouge!A:A,2,1),"NE")</f>
        <v>NE</v>
      </c>
      <c r="V20968" s="7" t="str">
        <f>HYPERLINK("#Liste_rouge!A"&amp;_xlfn.XMATCH("DD",Liste_rouge!A:A,2,1),"DD")</f>
        <v>DD</v>
      </c>
      <c r="AH20968" s="4" t="str">
        <f>HYPERLINK("#Statut_biogéographique!A"&amp;_xlfn.XMATCH("P",Statut_biogéographique!A:A,2,1),"P")</f>
        <v>P</v>
      </c>
      <c r="AM20968" s="4" t="s">
        <v>375</v>
      </c>
      <c r="AN20968" s="4" t="s">
        <v>375</v>
      </c>
      <c r="AO20968" s="4" t="s">
        <v>375</v>
      </c>
      <c r="AP20968" s="4" t="s">
        <v>376</v>
      </c>
      <c r="AR20968" s="4" t="s">
        <v>377</v>
      </c>
    </row>
    <row r="20969" spans="1:44">
      <c r="A20969" s="4" t="s">
        <v>24364</v>
      </c>
      <c r="B20969" s="4">
        <v>119168</v>
      </c>
      <c r="D20969" s="5" t="s">
        <v>26862</v>
      </c>
      <c r="E20969" s="6" t="str">
        <f>HYPERLINK("https://inpn.mnhn.fr/espece/cd_nom/119168","Rubus koehleri Weihe, 1825")</f>
        <v>Rubus koehleri Weihe, 1825</v>
      </c>
      <c r="F20969" s="5" t="s">
        <v>26863</v>
      </c>
      <c r="T20969" s="7" t="str">
        <f>HYPERLINK("#Liste_rouge!A"&amp;_xlfn.XMATCH("DD",Liste_rouge!A:A,2,1),"DD")</f>
        <v>DD</v>
      </c>
      <c r="AH20969" s="4" t="str">
        <f>HYPERLINK("#Statut_biogéographique!A"&amp;_xlfn.XMATCH("P",Statut_biogéographique!A:A,2,1),"P")</f>
        <v>P</v>
      </c>
      <c r="AM20969" s="4" t="s">
        <v>375</v>
      </c>
      <c r="AN20969" s="4" t="s">
        <v>375</v>
      </c>
      <c r="AO20969" s="4" t="s">
        <v>375</v>
      </c>
      <c r="AP20969" s="4" t="s">
        <v>376</v>
      </c>
      <c r="AR20969" s="4" t="s">
        <v>377</v>
      </c>
    </row>
    <row r="20970" spans="1:44">
      <c r="A20970" s="4" t="s">
        <v>24364</v>
      </c>
      <c r="B20970" s="4">
        <v>119171</v>
      </c>
      <c r="D20970" s="5">
        <v>119171</v>
      </c>
      <c r="E20970" s="6" t="str">
        <f>HYPERLINK("https://inpn.mnhn.fr/espece/cd_nom/119171","Rubus laciniatus (Weston) Willd., 1806")</f>
        <v>Rubus laciniatus (Weston) Willd., 1806</v>
      </c>
      <c r="F20970" s="5" t="s">
        <v>26864</v>
      </c>
      <c r="Q20970" s="7" t="str">
        <f>HYPERLINK("#Liste_rouge!A"&amp;_xlfn.XMATCH("NA",Liste_rouge!A:A,2,1),"NA")</f>
        <v>NA</v>
      </c>
      <c r="T20970" s="7" t="str">
        <f>HYPERLINK("#Liste_rouge!A"&amp;_xlfn.XMATCH("NA",Liste_rouge!A:A,2,1),"NA")</f>
        <v>NA</v>
      </c>
      <c r="AH20970" s="4" t="str">
        <f>HYPERLINK("#Statut_biogéographique!A"&amp;_xlfn.XMATCH("I",Statut_biogéographique!A:A,2,1),"I")</f>
        <v>I</v>
      </c>
      <c r="AM20970" s="4" t="s">
        <v>375</v>
      </c>
      <c r="AN20970" s="4" t="s">
        <v>375</v>
      </c>
      <c r="AO20970" s="4" t="s">
        <v>375</v>
      </c>
      <c r="AP20970" s="4" t="s">
        <v>376</v>
      </c>
      <c r="AR20970" s="4" t="s">
        <v>377</v>
      </c>
    </row>
    <row r="20971" spans="1:44">
      <c r="A20971" s="4" t="s">
        <v>24364</v>
      </c>
      <c r="B20971" s="4">
        <v>119176</v>
      </c>
      <c r="D20971" s="5">
        <v>119176</v>
      </c>
      <c r="E20971" s="6" t="str">
        <f>HYPERLINK("https://inpn.mnhn.fr/espece/cd_nom/119176","Rubus lasiothyrsus Sudre, 1902")</f>
        <v>Rubus lasiothyrsus Sudre, 1902</v>
      </c>
      <c r="AH20971" s="4" t="str">
        <f>HYPERLINK("#Statut_biogéographique!A"&amp;_xlfn.XMATCH("D",Statut_biogéographique!A:A,2,1),"D")</f>
        <v>D</v>
      </c>
      <c r="AP20971" s="4" t="s">
        <v>376</v>
      </c>
      <c r="AR20971" s="4" t="s">
        <v>377</v>
      </c>
    </row>
    <row r="20972" spans="1:44">
      <c r="A20972" s="4" t="s">
        <v>24364</v>
      </c>
      <c r="B20972" s="4">
        <v>119177</v>
      </c>
      <c r="D20972" s="5">
        <v>119177</v>
      </c>
      <c r="E20972" s="6" t="str">
        <f>HYPERLINK("https://inpn.mnhn.fr/espece/cd_nom/119177","Rubus lejeunei Weihe, 1825")</f>
        <v>Rubus lejeunei Weihe, 1825</v>
      </c>
      <c r="F20972" s="5" t="s">
        <v>26865</v>
      </c>
      <c r="T20972" s="7" t="str">
        <f>HYPERLINK("#Liste_rouge!A"&amp;_xlfn.XMATCH("DD",Liste_rouge!A:A,2,1),"DD")</f>
        <v>DD</v>
      </c>
      <c r="AH20972" s="4" t="str">
        <f>HYPERLINK("#Statut_biogéographique!A"&amp;_xlfn.XMATCH("D",Statut_biogéographique!A:A,2,1),"D")</f>
        <v>D</v>
      </c>
      <c r="AM20972" s="4" t="s">
        <v>375</v>
      </c>
      <c r="AN20972" s="4" t="s">
        <v>375</v>
      </c>
      <c r="AO20972" s="4" t="s">
        <v>375</v>
      </c>
      <c r="AP20972" s="4" t="s">
        <v>376</v>
      </c>
      <c r="AR20972" s="4" t="s">
        <v>377</v>
      </c>
    </row>
    <row r="20973" spans="1:44">
      <c r="A20973" s="4" t="s">
        <v>24364</v>
      </c>
      <c r="B20973" s="4">
        <v>119192</v>
      </c>
      <c r="D20973" s="5" t="s">
        <v>26866</v>
      </c>
      <c r="E20973" s="6" t="str">
        <f>HYPERLINK("https://inpn.mnhn.fr/espece/cd_nom/119192","Rubus lindleianus Lees, 1848")</f>
        <v>Rubus lindleianus Lees, 1848</v>
      </c>
      <c r="F20973" s="5" t="s">
        <v>26867</v>
      </c>
      <c r="AH20973" s="4" t="str">
        <f>HYPERLINK("#Statut_biogéographique!A"&amp;_xlfn.XMATCH("P",Statut_biogéographique!A:A,2,1),"P")</f>
        <v>P</v>
      </c>
      <c r="AP20973" s="4" t="s">
        <v>376</v>
      </c>
      <c r="AR20973" s="4" t="s">
        <v>377</v>
      </c>
    </row>
    <row r="20974" spans="1:44">
      <c r="A20974" s="4" t="s">
        <v>24364</v>
      </c>
      <c r="B20974" s="4">
        <v>119195</v>
      </c>
      <c r="D20974" s="5">
        <v>119195</v>
      </c>
      <c r="E20974" s="6" t="str">
        <f>HYPERLINK("https://inpn.mnhn.fr/espece/cd_nom/119195","Rubus longicuspis P.J.Müll. ex Genev., 1868")</f>
        <v>Rubus longicuspis P.J.Müll. ex Genev., 1868</v>
      </c>
      <c r="F20974" s="5" t="s">
        <v>26868</v>
      </c>
      <c r="AH20974" s="4" t="str">
        <f>HYPERLINK("#Statut_biogéographique!A"&amp;_xlfn.XMATCH("D",Statut_biogéographique!A:A,2,1),"D")</f>
        <v>D</v>
      </c>
      <c r="AP20974" s="4" t="s">
        <v>376</v>
      </c>
      <c r="AR20974" s="4" t="s">
        <v>377</v>
      </c>
    </row>
    <row r="20975" spans="1:44">
      <c r="A20975" s="4" t="s">
        <v>24364</v>
      </c>
      <c r="B20975" s="4">
        <v>119198</v>
      </c>
      <c r="D20975" s="5" t="s">
        <v>26869</v>
      </c>
      <c r="E20975" s="6" t="str">
        <f>HYPERLINK("https://inpn.mnhn.fr/espece/cd_nom/119198","Rubus longisepalus P.J.Müll., 1861")</f>
        <v>Rubus longisepalus P.J.Müll., 1861</v>
      </c>
      <c r="F20975" s="5" t="s">
        <v>26870</v>
      </c>
      <c r="AH20975" s="4" t="str">
        <f>HYPERLINK("#Statut_biogéographique!A"&amp;_xlfn.XMATCH("D",Statut_biogéographique!A:A,2,1),"D")</f>
        <v>D</v>
      </c>
      <c r="AP20975" s="4" t="s">
        <v>376</v>
      </c>
      <c r="AR20975" s="4" t="s">
        <v>377</v>
      </c>
    </row>
    <row r="20976" spans="1:44" ht="30">
      <c r="A20976" s="4" t="s">
        <v>24364</v>
      </c>
      <c r="B20976" s="4">
        <v>119201</v>
      </c>
      <c r="D20976" s="5" t="s">
        <v>26871</v>
      </c>
      <c r="E20976" s="6" t="str">
        <f>HYPERLINK("https://inpn.mnhn.fr/espece/cd_nom/119201","Rubus macrophyllus Weihe &amp; Nees, 1824")</f>
        <v>Rubus macrophyllus Weihe &amp; Nees, 1824</v>
      </c>
      <c r="F20976" s="5" t="s">
        <v>26872</v>
      </c>
      <c r="T20976" s="7" t="str">
        <f>HYPERLINK("#Liste_rouge!A"&amp;_xlfn.XMATCH("LC",Liste_rouge!A:A,2,1),"LC")</f>
        <v>LC</v>
      </c>
      <c r="V20976" s="7" t="str">
        <f>HYPERLINK("#Liste_rouge!A"&amp;_xlfn.XMATCH("LC",Liste_rouge!A:A,2,1),"LC")</f>
        <v>LC</v>
      </c>
      <c r="AB20976" s="4" t="s">
        <v>24447</v>
      </c>
      <c r="AH20976" s="4" t="str">
        <f>HYPERLINK("#Statut_biogéographique!A"&amp;_xlfn.XMATCH("P",Statut_biogéographique!A:A,2,1),"P")</f>
        <v>P</v>
      </c>
      <c r="AM20976" s="4" t="s">
        <v>375</v>
      </c>
      <c r="AN20976" s="4" t="s">
        <v>375</v>
      </c>
      <c r="AO20976" s="4" t="s">
        <v>375</v>
      </c>
      <c r="AP20976" s="4" t="s">
        <v>376</v>
      </c>
      <c r="AR20976" s="4" t="s">
        <v>377</v>
      </c>
    </row>
    <row r="20977" spans="1:44">
      <c r="A20977" s="4" t="s">
        <v>24364</v>
      </c>
      <c r="B20977" s="4">
        <v>119202</v>
      </c>
      <c r="D20977" s="5">
        <v>119202</v>
      </c>
      <c r="E20977" s="6" t="str">
        <f>HYPERLINK("https://inpn.mnhn.fr/espece/cd_nom/119202","Rubus macrostachys P.J.Müll., 1858")</f>
        <v>Rubus macrostachys P.J.Müll., 1858</v>
      </c>
      <c r="F20977" s="5" t="s">
        <v>26873</v>
      </c>
      <c r="AH20977" s="4" t="str">
        <f>HYPERLINK("#Statut_biogéographique!A"&amp;_xlfn.XMATCH("P",Statut_biogéographique!A:A,2,1),"P")</f>
        <v>P</v>
      </c>
      <c r="AP20977" s="4" t="s">
        <v>376</v>
      </c>
      <c r="AR20977" s="4" t="s">
        <v>377</v>
      </c>
    </row>
    <row r="20978" spans="1:44">
      <c r="A20978" s="4" t="s">
        <v>24364</v>
      </c>
      <c r="B20978" s="4">
        <v>119207</v>
      </c>
      <c r="D20978" s="5" t="s">
        <v>26874</v>
      </c>
      <c r="E20978" s="6" t="str">
        <f>HYPERLINK("https://inpn.mnhn.fr/espece/cd_nom/119207","Rubus melanoxylon P.J.Müll. &amp; Wirtg., 1861")</f>
        <v>Rubus melanoxylon P.J.Müll. &amp; Wirtg., 1861</v>
      </c>
      <c r="F20978" s="5" t="s">
        <v>26875</v>
      </c>
      <c r="T20978" s="7" t="str">
        <f>HYPERLINK("#Liste_rouge!A"&amp;_xlfn.XMATCH("DD",Liste_rouge!A:A,2,1),"DD")</f>
        <v>DD</v>
      </c>
      <c r="AH20978" s="4" t="str">
        <f>HYPERLINK("#Statut_biogéographique!A"&amp;_xlfn.XMATCH("D",Statut_biogéographique!A:A,2,1),"D")</f>
        <v>D</v>
      </c>
      <c r="AM20978" s="4" t="s">
        <v>375</v>
      </c>
      <c r="AN20978" s="4" t="s">
        <v>375</v>
      </c>
      <c r="AO20978" s="4" t="s">
        <v>375</v>
      </c>
      <c r="AP20978" s="4" t="s">
        <v>376</v>
      </c>
      <c r="AR20978" s="4" t="s">
        <v>377</v>
      </c>
    </row>
    <row r="20979" spans="1:44">
      <c r="A20979" s="4" t="s">
        <v>24364</v>
      </c>
      <c r="B20979" s="4">
        <v>119208</v>
      </c>
      <c r="D20979" s="5" t="s">
        <v>26876</v>
      </c>
      <c r="E20979" s="6" t="str">
        <f>HYPERLINK("https://inpn.mnhn.fr/espece/cd_nom/119208","Rubus menkei Weihe, 1825")</f>
        <v>Rubus menkei Weihe, 1825</v>
      </c>
      <c r="F20979" s="5" t="s">
        <v>26877</v>
      </c>
      <c r="T20979" s="7" t="str">
        <f>HYPERLINK("#Liste_rouge!A"&amp;_xlfn.XMATCH("DD",Liste_rouge!A:A,2,1),"DD")</f>
        <v>DD</v>
      </c>
      <c r="AH20979" s="4" t="str">
        <f>HYPERLINK("#Statut_biogéographique!A"&amp;_xlfn.XMATCH("Q",Statut_biogéographique!A:A,2,1),"Q")</f>
        <v>Q</v>
      </c>
      <c r="AP20979" s="4" t="s">
        <v>376</v>
      </c>
      <c r="AR20979" s="4" t="s">
        <v>377</v>
      </c>
    </row>
    <row r="20980" spans="1:44">
      <c r="A20980" s="4" t="s">
        <v>24364</v>
      </c>
      <c r="B20980" s="4">
        <v>119210</v>
      </c>
      <c r="D20980" s="5">
        <v>119210</v>
      </c>
      <c r="E20980" s="6" t="str">
        <f>HYPERLINK("https://inpn.mnhn.fr/espece/cd_nom/119210","Rubus mercieri Genev., 1868")</f>
        <v>Rubus mercieri Genev., 1868</v>
      </c>
      <c r="F20980" s="5" t="s">
        <v>26878</v>
      </c>
      <c r="V20980" s="7" t="str">
        <f>HYPERLINK("#Liste_rouge!A"&amp;_xlfn.XMATCH("DD",Liste_rouge!A:A,2,1),"DD")</f>
        <v>DD</v>
      </c>
      <c r="AH20980" s="4" t="str">
        <f>HYPERLINK("#Statut_biogéographique!A"&amp;_xlfn.XMATCH("P",Statut_biogéographique!A:A,2,1),"P")</f>
        <v>P</v>
      </c>
      <c r="AM20980" s="4" t="s">
        <v>375</v>
      </c>
      <c r="AN20980" s="4" t="s">
        <v>375</v>
      </c>
      <c r="AO20980" s="4" t="s">
        <v>375</v>
      </c>
      <c r="AP20980" s="4" t="s">
        <v>376</v>
      </c>
      <c r="AR20980" s="4" t="s">
        <v>377</v>
      </c>
    </row>
    <row r="20981" spans="1:44">
      <c r="A20981" s="4" t="s">
        <v>24364</v>
      </c>
      <c r="B20981" s="4">
        <v>119211</v>
      </c>
      <c r="D20981" s="5" t="s">
        <v>26879</v>
      </c>
      <c r="E20981" s="6" t="str">
        <f>HYPERLINK("https://inpn.mnhn.fr/espece/cd_nom/119211","Rubus micans Gren., 1849")</f>
        <v>Rubus micans Gren., 1849</v>
      </c>
      <c r="F20981" s="5" t="s">
        <v>26880</v>
      </c>
      <c r="T20981" s="7" t="str">
        <f>HYPERLINK("#Liste_rouge!A"&amp;_xlfn.XMATCH("DD",Liste_rouge!A:A,2,1),"DD")</f>
        <v>DD</v>
      </c>
      <c r="V20981" s="7" t="str">
        <f>HYPERLINK("#Liste_rouge!A"&amp;_xlfn.XMATCH("DD",Liste_rouge!A:A,2,1),"DD")</f>
        <v>DD</v>
      </c>
      <c r="AH20981" s="4" t="str">
        <f>HYPERLINK("#Statut_biogéographique!A"&amp;_xlfn.XMATCH("P",Statut_biogéographique!A:A,2,1),"P")</f>
        <v>P</v>
      </c>
      <c r="AM20981" s="4" t="s">
        <v>375</v>
      </c>
      <c r="AN20981" s="4" t="s">
        <v>375</v>
      </c>
      <c r="AO20981" s="4" t="s">
        <v>375</v>
      </c>
      <c r="AP20981" s="4" t="s">
        <v>376</v>
      </c>
      <c r="AR20981" s="4" t="s">
        <v>377</v>
      </c>
    </row>
    <row r="20982" spans="1:44">
      <c r="A20982" s="4" t="s">
        <v>24364</v>
      </c>
      <c r="B20982" s="4">
        <v>119213</v>
      </c>
      <c r="D20982" s="5">
        <v>119213</v>
      </c>
      <c r="E20982" s="6" t="str">
        <f>HYPERLINK("https://inpn.mnhn.fr/espece/cd_nom/119213","Rubus microstachys Boulay, 1868")</f>
        <v>Rubus microstachys Boulay, 1868</v>
      </c>
      <c r="F20982" s="5" t="s">
        <v>26881</v>
      </c>
      <c r="AH20982" s="4" t="str">
        <f>HYPERLINK("#Statut_biogéographique!A"&amp;_xlfn.XMATCH("D",Statut_biogéographique!A:A,2,1),"D")</f>
        <v>D</v>
      </c>
      <c r="AP20982" s="4" t="s">
        <v>376</v>
      </c>
      <c r="AR20982" s="4" t="s">
        <v>377</v>
      </c>
    </row>
    <row r="20983" spans="1:44" ht="75">
      <c r="A20983" s="4" t="s">
        <v>24364</v>
      </c>
      <c r="B20983" s="4">
        <v>119220</v>
      </c>
      <c r="D20983" s="5" t="s">
        <v>26882</v>
      </c>
      <c r="E20983" s="6" t="str">
        <f>HYPERLINK("https://inpn.mnhn.fr/espece/cd_nom/119220","Rubus montanus Lib. ex Lej., 1813")</f>
        <v>Rubus montanus Lib. ex Lej., 1813</v>
      </c>
      <c r="F20983" s="5" t="s">
        <v>26883</v>
      </c>
      <c r="T20983" s="7" t="str">
        <f>HYPERLINK("#Liste_rouge!A"&amp;_xlfn.XMATCH("DD",Liste_rouge!A:A,2,1),"DD")</f>
        <v>DD</v>
      </c>
      <c r="V20983" s="7" t="str">
        <f>HYPERLINK("#Liste_rouge!A"&amp;_xlfn.XMATCH("DD",Liste_rouge!A:A,2,1),"DD")</f>
        <v>DD</v>
      </c>
      <c r="AH20983" s="4" t="str">
        <f>HYPERLINK("#Statut_biogéographique!A"&amp;_xlfn.XMATCH("P",Statut_biogéographique!A:A,2,1),"P")</f>
        <v>P</v>
      </c>
      <c r="AM20983" s="4" t="s">
        <v>375</v>
      </c>
      <c r="AN20983" s="4" t="s">
        <v>375</v>
      </c>
      <c r="AO20983" s="4" t="s">
        <v>375</v>
      </c>
      <c r="AP20983" s="4" t="s">
        <v>376</v>
      </c>
      <c r="AR20983" s="4" t="s">
        <v>377</v>
      </c>
    </row>
    <row r="20984" spans="1:44">
      <c r="A20984" s="4" t="s">
        <v>24364</v>
      </c>
      <c r="B20984" s="4">
        <v>119224</v>
      </c>
      <c r="D20984" s="5" t="s">
        <v>26884</v>
      </c>
      <c r="E20984" s="6" t="str">
        <f>HYPERLINK("https://inpn.mnhn.fr/espece/cd_nom/119224","Rubus mucronulatus Boreau, 1857")</f>
        <v>Rubus mucronulatus Boreau, 1857</v>
      </c>
      <c r="F20984" s="5" t="s">
        <v>26885</v>
      </c>
      <c r="T20984" s="7" t="str">
        <f>HYPERLINK("#Liste_rouge!A"&amp;_xlfn.XMATCH("DD",Liste_rouge!A:A,2,1),"DD")</f>
        <v>DD</v>
      </c>
      <c r="AH20984" s="4" t="str">
        <f>HYPERLINK("#Statut_biogéographique!A"&amp;_xlfn.XMATCH("D",Statut_biogéographique!A:A,2,1),"D")</f>
        <v>D</v>
      </c>
      <c r="AM20984" s="4" t="s">
        <v>375</v>
      </c>
      <c r="AN20984" s="4" t="s">
        <v>375</v>
      </c>
      <c r="AO20984" s="4" t="s">
        <v>375</v>
      </c>
      <c r="AP20984" s="4" t="s">
        <v>376</v>
      </c>
      <c r="AR20984" s="4" t="s">
        <v>377</v>
      </c>
    </row>
    <row r="20985" spans="1:44">
      <c r="A20985" s="4" t="s">
        <v>24364</v>
      </c>
      <c r="B20985" s="4">
        <v>119225</v>
      </c>
      <c r="D20985" s="5" t="s">
        <v>26886</v>
      </c>
      <c r="E20985" s="6" t="str">
        <f>HYPERLINK("https://inpn.mnhn.fr/espece/cd_nom/119225","Rubus muelleri Lefèvre ex P.J.Müll., 1859")</f>
        <v>Rubus muelleri Lefèvre ex P.J.Müll., 1859</v>
      </c>
      <c r="F20985" s="5" t="s">
        <v>26887</v>
      </c>
      <c r="AH20985" s="4" t="str">
        <f>HYPERLINK("#Statut_biogéographique!A"&amp;_xlfn.XMATCH("D",Statut_biogéographique!A:A,2,1),"D")</f>
        <v>D</v>
      </c>
      <c r="AP20985" s="4" t="s">
        <v>376</v>
      </c>
      <c r="AR20985" s="4" t="s">
        <v>377</v>
      </c>
    </row>
    <row r="20986" spans="1:44">
      <c r="A20986" s="4" t="s">
        <v>24364</v>
      </c>
      <c r="B20986" s="4">
        <v>119229</v>
      </c>
      <c r="D20986" s="5">
        <v>119229</v>
      </c>
      <c r="E20986" s="6" t="str">
        <f>HYPERLINK("https://inpn.mnhn.fr/espece/cd_nom/119229","Rubus myricae Focke, 1875")</f>
        <v>Rubus myricae Focke, 1875</v>
      </c>
      <c r="F20986" s="5" t="s">
        <v>26811</v>
      </c>
      <c r="T20986" s="7" t="str">
        <f>HYPERLINK("#Liste_rouge!A"&amp;_xlfn.XMATCH("DD",Liste_rouge!A:A,2,1),"DD")</f>
        <v>DD</v>
      </c>
      <c r="AH20986" s="4" t="str">
        <f>HYPERLINK("#Statut_biogéographique!A"&amp;_xlfn.XMATCH("D",Statut_biogéographique!A:A,2,1),"D")</f>
        <v>D</v>
      </c>
      <c r="AM20986" s="4" t="s">
        <v>375</v>
      </c>
      <c r="AN20986" s="4" t="s">
        <v>375</v>
      </c>
      <c r="AO20986" s="4" t="s">
        <v>375</v>
      </c>
      <c r="AP20986" s="4" t="s">
        <v>376</v>
      </c>
      <c r="AR20986" s="4" t="s">
        <v>377</v>
      </c>
    </row>
    <row r="20987" spans="1:44">
      <c r="A20987" s="4" t="s">
        <v>24364</v>
      </c>
      <c r="B20987" s="4">
        <v>119232</v>
      </c>
      <c r="D20987" s="5" t="s">
        <v>26888</v>
      </c>
      <c r="E20987" s="6" t="str">
        <f>HYPERLINK("https://inpn.mnhn.fr/espece/cd_nom/119232","Rubus nemoralis P.J.Müll., 1858")</f>
        <v>Rubus nemoralis P.J.Müll., 1858</v>
      </c>
      <c r="F20987" s="5" t="s">
        <v>26889</v>
      </c>
      <c r="V20987" s="7" t="str">
        <f>HYPERLINK("#Liste_rouge!A"&amp;_xlfn.XMATCH("DD",Liste_rouge!A:A,2,1),"DD")</f>
        <v>DD</v>
      </c>
      <c r="AH20987" s="4" t="str">
        <f>HYPERLINK("#Statut_biogéographique!A"&amp;_xlfn.XMATCH("D",Statut_biogéographique!A:A,2,1),"D")</f>
        <v>D</v>
      </c>
      <c r="AM20987" s="4" t="s">
        <v>375</v>
      </c>
      <c r="AN20987" s="4" t="s">
        <v>375</v>
      </c>
      <c r="AO20987" s="4" t="s">
        <v>375</v>
      </c>
      <c r="AP20987" s="4" t="s">
        <v>376</v>
      </c>
      <c r="AR20987" s="4" t="s">
        <v>377</v>
      </c>
    </row>
    <row r="20988" spans="1:44">
      <c r="A20988" s="4" t="s">
        <v>24364</v>
      </c>
      <c r="B20988" s="4">
        <v>119233</v>
      </c>
      <c r="D20988" s="5">
        <v>119233</v>
      </c>
      <c r="E20988" s="6" t="str">
        <f>HYPERLINK("https://inpn.mnhn.fr/espece/cd_nom/119233","Rubus nemorensis P.J.Müll. &amp; Lefèvre, 1859")</f>
        <v>Rubus nemorensis P.J.Müll. &amp; Lefèvre, 1859</v>
      </c>
      <c r="AH20988" s="4" t="str">
        <f>HYPERLINK("#Statut_biogéographique!A"&amp;_xlfn.XMATCH("D",Statut_biogéographique!A:A,2,1),"D")</f>
        <v>D</v>
      </c>
      <c r="AP20988" s="4" t="s">
        <v>376</v>
      </c>
      <c r="AR20988" s="4" t="s">
        <v>377</v>
      </c>
    </row>
    <row r="20989" spans="1:44">
      <c r="A20989" s="4" t="s">
        <v>24364</v>
      </c>
      <c r="B20989" s="4">
        <v>119234</v>
      </c>
      <c r="D20989" s="5" t="s">
        <v>26890</v>
      </c>
      <c r="E20989" s="6" t="str">
        <f>HYPERLINK("https://inpn.mnhn.fr/espece/cd_nom/119234","Rubus nemorosus Hayne, 1813")</f>
        <v>Rubus nemorosus Hayne, 1813</v>
      </c>
      <c r="F20989" s="5" t="s">
        <v>26891</v>
      </c>
      <c r="V20989" s="7" t="str">
        <f>HYPERLINK("#Liste_rouge!A"&amp;_xlfn.XMATCH("DD",Liste_rouge!A:A,2,1),"DD")</f>
        <v>DD</v>
      </c>
      <c r="AH20989" s="4" t="str">
        <f>HYPERLINK("#Statut_biogéographique!A"&amp;_xlfn.XMATCH("P",Statut_biogéographique!A:A,2,1),"P")</f>
        <v>P</v>
      </c>
      <c r="AM20989" s="4" t="s">
        <v>375</v>
      </c>
      <c r="AN20989" s="4" t="s">
        <v>375</v>
      </c>
      <c r="AO20989" s="4" t="s">
        <v>375</v>
      </c>
      <c r="AP20989" s="4" t="s">
        <v>376</v>
      </c>
      <c r="AR20989" s="4" t="s">
        <v>377</v>
      </c>
    </row>
    <row r="20990" spans="1:44" ht="165">
      <c r="A20990" s="4" t="s">
        <v>24364</v>
      </c>
      <c r="B20990" s="4">
        <v>119235</v>
      </c>
      <c r="D20990" s="5" t="s">
        <v>26892</v>
      </c>
      <c r="E20990" s="6" t="str">
        <f>HYPERLINK("https://inpn.mnhn.fr/espece/cd_nom/119235","Rubus nessensis Hall, 1794")</f>
        <v>Rubus nessensis Hall, 1794</v>
      </c>
      <c r="F20990" s="5" t="s">
        <v>26893</v>
      </c>
      <c r="T20990" s="7" t="str">
        <f>HYPERLINK("#Liste_rouge!A"&amp;_xlfn.XMATCH("DD",Liste_rouge!A:A,2,1),"DD")</f>
        <v>DD</v>
      </c>
      <c r="V20990" s="7" t="str">
        <f>HYPERLINK("#Liste_rouge!A"&amp;_xlfn.XMATCH("LC",Liste_rouge!A:A,2,1),"LC")</f>
        <v>LC</v>
      </c>
      <c r="AH20990" s="4" t="str">
        <f>HYPERLINK("#Statut_biogéographique!A"&amp;_xlfn.XMATCH("P",Statut_biogéographique!A:A,2,1),"P")</f>
        <v>P</v>
      </c>
      <c r="AM20990" s="4" t="s">
        <v>375</v>
      </c>
      <c r="AN20990" s="4" t="s">
        <v>375</v>
      </c>
      <c r="AO20990" s="4" t="s">
        <v>375</v>
      </c>
      <c r="AP20990" s="4" t="s">
        <v>376</v>
      </c>
      <c r="AR20990" s="4" t="s">
        <v>377</v>
      </c>
    </row>
    <row r="20991" spans="1:44">
      <c r="A20991" s="4" t="s">
        <v>24364</v>
      </c>
      <c r="B20991" s="4">
        <v>119236</v>
      </c>
      <c r="D20991" s="5" t="s">
        <v>26894</v>
      </c>
      <c r="E20991" s="6" t="str">
        <f>HYPERLINK("https://inpn.mnhn.fr/espece/cd_nom/119236","Rubus nigricatus P.J.Müll. &amp; Lefèvre, 1859")</f>
        <v>Rubus nigricatus P.J.Müll. &amp; Lefèvre, 1859</v>
      </c>
      <c r="AH20991" s="4" t="str">
        <f>HYPERLINK("#Statut_biogéographique!A"&amp;_xlfn.XMATCH("D",Statut_biogéographique!A:A,2,1),"D")</f>
        <v>D</v>
      </c>
      <c r="AP20991" s="4" t="s">
        <v>376</v>
      </c>
      <c r="AR20991" s="4" t="s">
        <v>377</v>
      </c>
    </row>
    <row r="20992" spans="1:44">
      <c r="A20992" s="4" t="s">
        <v>24364</v>
      </c>
      <c r="B20992" s="4">
        <v>119240</v>
      </c>
      <c r="D20992" s="5" t="s">
        <v>26895</v>
      </c>
      <c r="E20992" s="6" t="str">
        <f>HYPERLINK("https://inpn.mnhn.fr/espece/cd_nom/119240","Rubus obscurus Kaltenb., 1844")</f>
        <v>Rubus obscurus Kaltenb., 1844</v>
      </c>
      <c r="F20992" s="5" t="s">
        <v>26896</v>
      </c>
      <c r="T20992" s="7" t="str">
        <f>HYPERLINK("#Liste_rouge!A"&amp;_xlfn.XMATCH("NE",Liste_rouge!A:A,2,1),"NE")</f>
        <v>NE</v>
      </c>
      <c r="AH20992" s="4" t="str">
        <f>HYPERLINK("#Statut_biogéographique!A"&amp;_xlfn.XMATCH("P",Statut_biogéographique!A:A,2,1),"P")</f>
        <v>P</v>
      </c>
      <c r="AM20992" s="4" t="s">
        <v>375</v>
      </c>
      <c r="AN20992" s="4" t="s">
        <v>375</v>
      </c>
      <c r="AO20992" s="4" t="s">
        <v>375</v>
      </c>
      <c r="AP20992" s="4" t="s">
        <v>376</v>
      </c>
      <c r="AR20992" s="4" t="s">
        <v>377</v>
      </c>
    </row>
    <row r="20993" spans="1:44">
      <c r="A20993" s="4" t="s">
        <v>24364</v>
      </c>
      <c r="B20993" s="4">
        <v>119247</v>
      </c>
      <c r="D20993" s="5">
        <v>119247</v>
      </c>
      <c r="E20993" s="6" t="str">
        <f>HYPERLINK("https://inpn.mnhn.fr/espece/cd_nom/119247","Rubus omalus Sudre, 1901")</f>
        <v>Rubus omalus Sudre, 1901</v>
      </c>
      <c r="AH20993" s="4" t="str">
        <f>HYPERLINK("#Statut_biogéographique!A"&amp;_xlfn.XMATCH("D",Statut_biogéographique!A:A,2,1),"D")</f>
        <v>D</v>
      </c>
      <c r="AP20993" s="4" t="s">
        <v>376</v>
      </c>
      <c r="AR20993" s="4" t="s">
        <v>377</v>
      </c>
    </row>
    <row r="20994" spans="1:44">
      <c r="A20994" s="4" t="s">
        <v>24364</v>
      </c>
      <c r="B20994" s="4">
        <v>119251</v>
      </c>
      <c r="D20994" s="5" t="s">
        <v>26897</v>
      </c>
      <c r="E20994" s="6" t="str">
        <f>HYPERLINK("https://inpn.mnhn.fr/espece/cd_nom/119251","Rubus orbifolius Lefèvre ex Boulay, 1879")</f>
        <v>Rubus orbifolius Lefèvre ex Boulay, 1879</v>
      </c>
      <c r="AH20994" s="4" t="str">
        <f>HYPERLINK("#Statut_biogéographique!A"&amp;_xlfn.XMATCH("P",Statut_biogéographique!A:A,2,1),"P")</f>
        <v>P</v>
      </c>
      <c r="AP20994" s="4" t="s">
        <v>376</v>
      </c>
      <c r="AR20994" s="4" t="s">
        <v>377</v>
      </c>
    </row>
    <row r="20995" spans="1:44">
      <c r="A20995" s="4" t="s">
        <v>24364</v>
      </c>
      <c r="B20995" s="4">
        <v>119253</v>
      </c>
      <c r="D20995" s="5" t="s">
        <v>26898</v>
      </c>
      <c r="E20995" s="6" t="str">
        <f>HYPERLINK("https://inpn.mnhn.fr/espece/cd_nom/119253","Rubus pallidus Weihe, 1825")</f>
        <v>Rubus pallidus Weihe, 1825</v>
      </c>
      <c r="F20995" s="5" t="s">
        <v>26899</v>
      </c>
      <c r="T20995" s="7" t="str">
        <f>HYPERLINK("#Liste_rouge!A"&amp;_xlfn.XMATCH("DD",Liste_rouge!A:A,2,1),"DD")</f>
        <v>DD</v>
      </c>
      <c r="AH20995" s="4" t="str">
        <f>HYPERLINK("#Statut_biogéographique!A"&amp;_xlfn.XMATCH("P",Statut_biogéographique!A:A,2,1),"P")</f>
        <v>P</v>
      </c>
      <c r="AM20995" s="4" t="s">
        <v>375</v>
      </c>
      <c r="AN20995" s="4" t="s">
        <v>375</v>
      </c>
      <c r="AO20995" s="4" t="s">
        <v>375</v>
      </c>
      <c r="AP20995" s="4" t="s">
        <v>376</v>
      </c>
      <c r="AR20995" s="4" t="s">
        <v>377</v>
      </c>
    </row>
    <row r="20996" spans="1:44">
      <c r="A20996" s="4" t="s">
        <v>24364</v>
      </c>
      <c r="B20996" s="4">
        <v>119257</v>
      </c>
      <c r="D20996" s="5" t="s">
        <v>26900</v>
      </c>
      <c r="E20996" s="6" t="str">
        <f>HYPERLINK("https://inpn.mnhn.fr/espece/cd_nom/119257","Rubus pedatifolius Genev., 1860")</f>
        <v>Rubus pedatifolius Genev., 1860</v>
      </c>
      <c r="F20996" s="5" t="s">
        <v>26901</v>
      </c>
      <c r="V20996" s="7" t="str">
        <f>HYPERLINK("#Liste_rouge!A"&amp;_xlfn.XMATCH("DD",Liste_rouge!A:A,2,1),"DD")</f>
        <v>DD</v>
      </c>
      <c r="AH20996" s="4" t="str">
        <f>HYPERLINK("#Statut_biogéographique!A"&amp;_xlfn.XMATCH("P",Statut_biogéographique!A:A,2,1),"P")</f>
        <v>P</v>
      </c>
      <c r="AM20996" s="4" t="s">
        <v>375</v>
      </c>
      <c r="AN20996" s="4" t="s">
        <v>375</v>
      </c>
      <c r="AO20996" s="4" t="s">
        <v>375</v>
      </c>
      <c r="AP20996" s="4" t="s">
        <v>376</v>
      </c>
      <c r="AR20996" s="4" t="s">
        <v>377</v>
      </c>
    </row>
    <row r="20997" spans="1:44">
      <c r="A20997" s="4" t="s">
        <v>24364</v>
      </c>
      <c r="B20997" s="4">
        <v>119264</v>
      </c>
      <c r="D20997" s="5" t="s">
        <v>26902</v>
      </c>
      <c r="E20997" s="6" t="str">
        <f>HYPERLINK("https://inpn.mnhn.fr/espece/cd_nom/119264","Rubus phyllostachys P.J.Müll., 1858")</f>
        <v>Rubus phyllostachys P.J.Müll., 1858</v>
      </c>
      <c r="V20997" s="7" t="str">
        <f>HYPERLINK("#Liste_rouge!A"&amp;_xlfn.XMATCH("DD",Liste_rouge!A:A,2,1),"DD")</f>
        <v>DD</v>
      </c>
      <c r="AH20997" s="4" t="str">
        <f>HYPERLINK("#Statut_biogéographique!A"&amp;_xlfn.XMATCH("P",Statut_biogéographique!A:A,2,1),"P")</f>
        <v>P</v>
      </c>
      <c r="AM20997" s="4" t="s">
        <v>375</v>
      </c>
      <c r="AN20997" s="4" t="s">
        <v>375</v>
      </c>
      <c r="AO20997" s="4" t="s">
        <v>375</v>
      </c>
      <c r="AP20997" s="4" t="s">
        <v>376</v>
      </c>
      <c r="AR20997" s="4" t="s">
        <v>377</v>
      </c>
    </row>
    <row r="20998" spans="1:44">
      <c r="A20998" s="4" t="s">
        <v>24364</v>
      </c>
      <c r="B20998" s="4">
        <v>119268</v>
      </c>
      <c r="D20998" s="5" t="s">
        <v>26903</v>
      </c>
      <c r="E20998" s="6" t="str">
        <f>HYPERLINK("https://inpn.mnhn.fr/espece/cd_nom/119268","Rubus pilocarpus Gremli, 1870")</f>
        <v>Rubus pilocarpus Gremli, 1870</v>
      </c>
      <c r="F20998" s="5" t="s">
        <v>26904</v>
      </c>
      <c r="T20998" s="7" t="str">
        <f>HYPERLINK("#Liste_rouge!A"&amp;_xlfn.XMATCH("NE",Liste_rouge!A:A,2,1),"NE")</f>
        <v>NE</v>
      </c>
      <c r="AH20998" s="4" t="str">
        <f>HYPERLINK("#Statut_biogéographique!A"&amp;_xlfn.XMATCH("D",Statut_biogéographique!A:A,2,1),"D")</f>
        <v>D</v>
      </c>
      <c r="AM20998" s="4" t="s">
        <v>375</v>
      </c>
      <c r="AN20998" s="4" t="s">
        <v>375</v>
      </c>
      <c r="AO20998" s="4" t="s">
        <v>375</v>
      </c>
      <c r="AP20998" s="4" t="s">
        <v>376</v>
      </c>
      <c r="AR20998" s="4" t="s">
        <v>377</v>
      </c>
    </row>
    <row r="20999" spans="1:44" ht="30">
      <c r="A20999" s="4" t="s">
        <v>24364</v>
      </c>
      <c r="B20999" s="4">
        <v>119269</v>
      </c>
      <c r="D20999" s="5" t="s">
        <v>26905</v>
      </c>
      <c r="E20999" s="6" t="str">
        <f>HYPERLINK("https://inpn.mnhn.fr/espece/cd_nom/119269","Rubus plicatus Weihe &amp; Nees, 1822")</f>
        <v>Rubus plicatus Weihe &amp; Nees, 1822</v>
      </c>
      <c r="V20999" s="7" t="str">
        <f>HYPERLINK("#Liste_rouge!A"&amp;_xlfn.XMATCH("DD",Liste_rouge!A:A,2,1),"DD")</f>
        <v>DD</v>
      </c>
      <c r="AH20999" s="4" t="str">
        <f>HYPERLINK("#Statut_biogéographique!A"&amp;_xlfn.XMATCH("P",Statut_biogéographique!A:A,2,1),"P")</f>
        <v>P</v>
      </c>
      <c r="AP20999" s="4" t="s">
        <v>376</v>
      </c>
      <c r="AR20999" s="4" t="s">
        <v>377</v>
      </c>
    </row>
    <row r="21000" spans="1:44">
      <c r="A21000" s="4" t="s">
        <v>24364</v>
      </c>
      <c r="B21000" s="4">
        <v>119274</v>
      </c>
      <c r="D21000" s="5" t="s">
        <v>26906</v>
      </c>
      <c r="E21000" s="6" t="str">
        <f>HYPERLINK("https://inpn.mnhn.fr/espece/cd_nom/119274","Rubus podophyllos P.J.Müll., 1861")</f>
        <v>Rubus podophyllos P.J.Müll., 1861</v>
      </c>
      <c r="AH21000" s="4" t="str">
        <f>HYPERLINK("#Statut_biogéographique!A"&amp;_xlfn.XMATCH("P",Statut_biogéographique!A:A,2,1),"P")</f>
        <v>P</v>
      </c>
      <c r="AP21000" s="4" t="s">
        <v>376</v>
      </c>
      <c r="AR21000" s="4" t="s">
        <v>377</v>
      </c>
    </row>
    <row r="21001" spans="1:44" ht="30">
      <c r="A21001" s="4" t="s">
        <v>24364</v>
      </c>
      <c r="B21001" s="4">
        <v>119284</v>
      </c>
      <c r="D21001" s="5" t="s">
        <v>26907</v>
      </c>
      <c r="E21001" s="6" t="str">
        <f>HYPERLINK("https://inpn.mnhn.fr/espece/cd_nom/119284","Rubus procerus P.J.Müll. ex Boulay, 1869")</f>
        <v>Rubus procerus P.J.Müll. ex Boulay, 1869</v>
      </c>
      <c r="V21001" s="7" t="str">
        <f>HYPERLINK("#Liste_rouge!A"&amp;_xlfn.XMATCH("LC",Liste_rouge!A:A,2,1),"LC")</f>
        <v>LC</v>
      </c>
      <c r="AH21001" s="4" t="str">
        <f>HYPERLINK("#Statut_biogéographique!A"&amp;_xlfn.XMATCH("P",Statut_biogéographique!A:A,2,1),"P")</f>
        <v>P</v>
      </c>
      <c r="AM21001" s="4" t="s">
        <v>375</v>
      </c>
      <c r="AN21001" s="4" t="s">
        <v>375</v>
      </c>
      <c r="AO21001" s="4" t="s">
        <v>375</v>
      </c>
      <c r="AP21001" s="4" t="s">
        <v>376</v>
      </c>
      <c r="AR21001" s="4" t="s">
        <v>377</v>
      </c>
    </row>
    <row r="21002" spans="1:44">
      <c r="A21002" s="4" t="s">
        <v>24364</v>
      </c>
      <c r="B21002" s="4">
        <v>119285</v>
      </c>
      <c r="D21002" s="5" t="s">
        <v>26908</v>
      </c>
      <c r="E21002" s="6" t="str">
        <f>HYPERLINK("https://inpn.mnhn.fr/espece/cd_nom/119285","Rubus prolongatus Boulay &amp; Letendre, 1881")</f>
        <v>Rubus prolongatus Boulay &amp; Letendre, 1881</v>
      </c>
      <c r="AH21002" s="4" t="str">
        <f>HYPERLINK("#Statut_biogéographique!A"&amp;_xlfn.XMATCH("P",Statut_biogéographique!A:A,2,1),"P")</f>
        <v>P</v>
      </c>
      <c r="AP21002" s="4" t="s">
        <v>376</v>
      </c>
      <c r="AR21002" s="4" t="s">
        <v>377</v>
      </c>
    </row>
    <row r="21003" spans="1:44">
      <c r="A21003" s="4" t="s">
        <v>24364</v>
      </c>
      <c r="B21003" s="4">
        <v>119294</v>
      </c>
      <c r="D21003" s="5" t="s">
        <v>26909</v>
      </c>
      <c r="E21003" s="6" t="str">
        <f>HYPERLINK("https://inpn.mnhn.fr/espece/cd_nom/119294","Rubus pyramidalis Kaltenb., 1845")</f>
        <v>Rubus pyramidalis Kaltenb., 1845</v>
      </c>
      <c r="F21003" s="5" t="s">
        <v>26910</v>
      </c>
      <c r="T21003" s="7" t="str">
        <f>HYPERLINK("#Liste_rouge!A"&amp;_xlfn.XMATCH("DD",Liste_rouge!A:A,2,1),"DD")</f>
        <v>DD</v>
      </c>
      <c r="V21003" s="7" t="str">
        <f>HYPERLINK("#Liste_rouge!A"&amp;_xlfn.XMATCH("DD",Liste_rouge!A:A,2,1),"DD")</f>
        <v>DD</v>
      </c>
      <c r="AH21003" s="4" t="str">
        <f>HYPERLINK("#Statut_biogéographique!A"&amp;_xlfn.XMATCH("Q",Statut_biogéographique!A:A,2,1),"Q")</f>
        <v>Q</v>
      </c>
      <c r="AM21003" s="4" t="s">
        <v>375</v>
      </c>
      <c r="AN21003" s="4" t="s">
        <v>375</v>
      </c>
      <c r="AO21003" s="4" t="s">
        <v>375</v>
      </c>
      <c r="AP21003" s="4" t="s">
        <v>376</v>
      </c>
      <c r="AR21003" s="4" t="s">
        <v>377</v>
      </c>
    </row>
    <row r="21004" spans="1:44">
      <c r="A21004" s="4" t="s">
        <v>24364</v>
      </c>
      <c r="B21004" s="4">
        <v>119297</v>
      </c>
      <c r="D21004" s="5" t="s">
        <v>26911</v>
      </c>
      <c r="E21004" s="6" t="str">
        <f>HYPERLINK("https://inpn.mnhn.fr/espece/cd_nom/119297","Rubus questieri P.J.Müll. &amp; Lefèvre, 1859")</f>
        <v>Rubus questieri P.J.Müll. &amp; Lefèvre, 1859</v>
      </c>
      <c r="F21004" s="5" t="s">
        <v>26912</v>
      </c>
      <c r="T21004" s="7" t="str">
        <f>HYPERLINK("#Liste_rouge!A"&amp;_xlfn.XMATCH("DD",Liste_rouge!A:A,2,1),"DD")</f>
        <v>DD</v>
      </c>
      <c r="V21004" s="7" t="str">
        <f>HYPERLINK("#Liste_rouge!A"&amp;_xlfn.XMATCH("DD",Liste_rouge!A:A,2,1),"DD")</f>
        <v>DD</v>
      </c>
      <c r="AH21004" s="4" t="str">
        <f>HYPERLINK("#Statut_biogéographique!A"&amp;_xlfn.XMATCH("P",Statut_biogéographique!A:A,2,1),"P")</f>
        <v>P</v>
      </c>
      <c r="AM21004" s="4" t="s">
        <v>375</v>
      </c>
      <c r="AN21004" s="4" t="s">
        <v>375</v>
      </c>
      <c r="AO21004" s="4" t="s">
        <v>375</v>
      </c>
      <c r="AP21004" s="4" t="s">
        <v>376</v>
      </c>
      <c r="AR21004" s="4" t="s">
        <v>377</v>
      </c>
    </row>
    <row r="21005" spans="1:44">
      <c r="A21005" s="4" t="s">
        <v>24364</v>
      </c>
      <c r="B21005" s="4">
        <v>119298</v>
      </c>
      <c r="D21005" s="5" t="s">
        <v>26913</v>
      </c>
      <c r="E21005" s="6" t="str">
        <f>HYPERLINK("https://inpn.mnhn.fr/espece/cd_nom/119298","Rubus radula Weihe ex Boenn., 1824")</f>
        <v>Rubus radula Weihe ex Boenn., 1824</v>
      </c>
      <c r="F21005" s="5" t="s">
        <v>26914</v>
      </c>
      <c r="T21005" s="7" t="str">
        <f>HYPERLINK("#Liste_rouge!A"&amp;_xlfn.XMATCH("DD",Liste_rouge!A:A,2,1),"DD")</f>
        <v>DD</v>
      </c>
      <c r="AH21005" s="4" t="str">
        <f>HYPERLINK("#Statut_biogéographique!A"&amp;_xlfn.XMATCH("P",Statut_biogéographique!A:A,2,1),"P")</f>
        <v>P</v>
      </c>
      <c r="AM21005" s="4" t="s">
        <v>375</v>
      </c>
      <c r="AN21005" s="4" t="s">
        <v>375</v>
      </c>
      <c r="AO21005" s="4" t="s">
        <v>375</v>
      </c>
      <c r="AP21005" s="4" t="s">
        <v>376</v>
      </c>
      <c r="AR21005" s="4" t="s">
        <v>377</v>
      </c>
    </row>
    <row r="21006" spans="1:44">
      <c r="A21006" s="4" t="s">
        <v>24364</v>
      </c>
      <c r="B21006" s="4">
        <v>119300</v>
      </c>
      <c r="D21006" s="5" t="s">
        <v>26915</v>
      </c>
      <c r="E21006" s="6" t="str">
        <f>HYPERLINK("https://inpn.mnhn.fr/espece/cd_nom/119300","Rubus rhamnifolius Weihe &amp; Nees, 1822")</f>
        <v>Rubus rhamnifolius Weihe &amp; Nees, 1822</v>
      </c>
      <c r="F21006" s="5" t="s">
        <v>26916</v>
      </c>
      <c r="T21006" s="7" t="str">
        <f>HYPERLINK("#Liste_rouge!A"&amp;_xlfn.XMATCH("LC",Liste_rouge!A:A,2,1),"LC")</f>
        <v>LC</v>
      </c>
      <c r="AH21006" s="4" t="str">
        <f>HYPERLINK("#Statut_biogéographique!A"&amp;_xlfn.XMATCH("P",Statut_biogéographique!A:A,2,1),"P")</f>
        <v>P</v>
      </c>
      <c r="AM21006" s="4" t="s">
        <v>375</v>
      </c>
      <c r="AN21006" s="4" t="s">
        <v>375</v>
      </c>
      <c r="AO21006" s="4" t="s">
        <v>375</v>
      </c>
      <c r="AP21006" s="4" t="s">
        <v>376</v>
      </c>
      <c r="AR21006" s="4" t="s">
        <v>377</v>
      </c>
    </row>
    <row r="21007" spans="1:44">
      <c r="A21007" s="4" t="s">
        <v>24364</v>
      </c>
      <c r="B21007" s="4">
        <v>119301</v>
      </c>
      <c r="D21007" s="5">
        <v>119301</v>
      </c>
      <c r="E21007" s="6" t="str">
        <f>HYPERLINK("https://inpn.mnhn.fr/espece/cd_nom/119301","Rubus rhombicus H.E.Weber, 1997")</f>
        <v>Rubus rhombicus H.E.Weber, 1997</v>
      </c>
      <c r="T21007" s="7" t="str">
        <f>HYPERLINK("#Liste_rouge!A"&amp;_xlfn.XMATCH("NE",Liste_rouge!A:A,2,1),"NE")</f>
        <v>NE</v>
      </c>
      <c r="AH21007" s="4" t="str">
        <f>HYPERLINK("#Statut_biogéographique!A"&amp;_xlfn.XMATCH("D",Statut_biogéographique!A:A,2,1),"D")</f>
        <v>D</v>
      </c>
      <c r="AM21007" s="4" t="s">
        <v>375</v>
      </c>
      <c r="AN21007" s="4" t="s">
        <v>375</v>
      </c>
      <c r="AO21007" s="4" t="s">
        <v>375</v>
      </c>
      <c r="AP21007" s="4" t="s">
        <v>376</v>
      </c>
      <c r="AR21007" s="4" t="s">
        <v>377</v>
      </c>
    </row>
    <row r="21008" spans="1:44" ht="30">
      <c r="A21008" s="4" t="s">
        <v>24364</v>
      </c>
      <c r="B21008" s="4">
        <v>119302</v>
      </c>
      <c r="D21008" s="5" t="s">
        <v>26917</v>
      </c>
      <c r="E21008" s="6" t="str">
        <f>HYPERLINK("https://inpn.mnhn.fr/espece/cd_nom/119302","Rubus rhombifolius Weihe ex Boenn., 1824")</f>
        <v>Rubus rhombifolius Weihe ex Boenn., 1824</v>
      </c>
      <c r="F21008" s="5" t="s">
        <v>26918</v>
      </c>
      <c r="T21008" s="7" t="str">
        <f>HYPERLINK("#Liste_rouge!A"&amp;_xlfn.XMATCH("LC",Liste_rouge!A:A,2,1),"LC")</f>
        <v>LC</v>
      </c>
      <c r="AH21008" s="4" t="str">
        <f>HYPERLINK("#Statut_biogéographique!A"&amp;_xlfn.XMATCH("P",Statut_biogéographique!A:A,2,1),"P")</f>
        <v>P</v>
      </c>
      <c r="AM21008" s="4" t="s">
        <v>375</v>
      </c>
      <c r="AN21008" s="4" t="s">
        <v>375</v>
      </c>
      <c r="AO21008" s="4" t="s">
        <v>375</v>
      </c>
      <c r="AP21008" s="4" t="s">
        <v>376</v>
      </c>
      <c r="AR21008" s="4" t="s">
        <v>377</v>
      </c>
    </row>
    <row r="21009" spans="1:44">
      <c r="A21009" s="4" t="s">
        <v>24364</v>
      </c>
      <c r="B21009" s="4">
        <v>119304</v>
      </c>
      <c r="D21009" s="5" t="s">
        <v>26919</v>
      </c>
      <c r="E21009" s="6" t="str">
        <f>HYPERLINK("https://inpn.mnhn.fr/espece/cd_nom/119304","Rubus rivularis P.J.Müll. &amp; Wirtg., 1859")</f>
        <v>Rubus rivularis P.J.Müll. &amp; Wirtg., 1859</v>
      </c>
      <c r="F21009" s="5" t="s">
        <v>26920</v>
      </c>
      <c r="T21009" s="7" t="str">
        <f>HYPERLINK("#Liste_rouge!A"&amp;_xlfn.XMATCH("DD",Liste_rouge!A:A,2,1),"DD")</f>
        <v>DD</v>
      </c>
      <c r="AH21009" s="4" t="str">
        <f>HYPERLINK("#Statut_biogéographique!A"&amp;_xlfn.XMATCH("D",Statut_biogéographique!A:A,2,1),"D")</f>
        <v>D</v>
      </c>
      <c r="AM21009" s="4" t="s">
        <v>375</v>
      </c>
      <c r="AN21009" s="4" t="s">
        <v>375</v>
      </c>
      <c r="AO21009" s="4" t="s">
        <v>375</v>
      </c>
      <c r="AP21009" s="4" t="s">
        <v>376</v>
      </c>
      <c r="AR21009" s="4" t="s">
        <v>377</v>
      </c>
    </row>
    <row r="21010" spans="1:44">
      <c r="A21010" s="4" t="s">
        <v>24364</v>
      </c>
      <c r="B21010" s="4">
        <v>119306</v>
      </c>
      <c r="D21010" s="5">
        <v>119306</v>
      </c>
      <c r="E21010" s="6" t="str">
        <f>HYPERLINK("https://inpn.mnhn.fr/espece/cd_nom/119306","Rubus rosaceus Weihe, 1825")</f>
        <v>Rubus rosaceus Weihe, 1825</v>
      </c>
      <c r="F21010" s="5" t="s">
        <v>26921</v>
      </c>
      <c r="T21010" s="7" t="str">
        <f>HYPERLINK("#Liste_rouge!A"&amp;_xlfn.XMATCH("DD",Liste_rouge!A:A,2,1),"DD")</f>
        <v>DD</v>
      </c>
      <c r="AH21010" s="4" t="str">
        <f>HYPERLINK("#Statut_biogéographique!A"&amp;_xlfn.XMATCH("D",Statut_biogéographique!A:A,2,1),"D")</f>
        <v>D</v>
      </c>
      <c r="AM21010" s="4" t="s">
        <v>375</v>
      </c>
      <c r="AN21010" s="4" t="s">
        <v>375</v>
      </c>
      <c r="AO21010" s="4" t="s">
        <v>375</v>
      </c>
      <c r="AP21010" s="4" t="s">
        <v>376</v>
      </c>
      <c r="AR21010" s="4" t="s">
        <v>377</v>
      </c>
    </row>
    <row r="21011" spans="1:44">
      <c r="A21011" s="4" t="s">
        <v>24364</v>
      </c>
      <c r="B21011" s="4">
        <v>119312</v>
      </c>
      <c r="D21011" s="5">
        <v>119312</v>
      </c>
      <c r="E21011" s="6" t="str">
        <f>HYPERLINK("https://inpn.mnhn.fr/espece/cd_nom/119312","Rubus rudis Weihe, 1825")</f>
        <v>Rubus rudis Weihe, 1825</v>
      </c>
      <c r="F21011" s="5" t="s">
        <v>26922</v>
      </c>
      <c r="T21011" s="7" t="str">
        <f>HYPERLINK("#Liste_rouge!A"&amp;_xlfn.XMATCH("NE",Liste_rouge!A:A,2,1),"NE")</f>
        <v>NE</v>
      </c>
      <c r="V21011" s="7" t="str">
        <f>HYPERLINK("#Liste_rouge!A"&amp;_xlfn.XMATCH("DD",Liste_rouge!A:A,2,1),"DD")</f>
        <v>DD</v>
      </c>
      <c r="AH21011" s="4" t="str">
        <f>HYPERLINK("#Statut_biogéographique!A"&amp;_xlfn.XMATCH("D",Statut_biogéographique!A:A,2,1),"D")</f>
        <v>D</v>
      </c>
      <c r="AM21011" s="4" t="s">
        <v>375</v>
      </c>
      <c r="AN21011" s="4" t="s">
        <v>375</v>
      </c>
      <c r="AO21011" s="4" t="s">
        <v>375</v>
      </c>
      <c r="AP21011" s="4" t="s">
        <v>376</v>
      </c>
      <c r="AR21011" s="4" t="s">
        <v>377</v>
      </c>
    </row>
    <row r="21012" spans="1:44">
      <c r="A21012" s="4" t="s">
        <v>24364</v>
      </c>
      <c r="B21012" s="4">
        <v>119318</v>
      </c>
      <c r="D21012" s="5" t="s">
        <v>26923</v>
      </c>
      <c r="E21012" s="6" t="str">
        <f>HYPERLINK("https://inpn.mnhn.fr/espece/cd_nom/119318","Rubus saxatilis L., 1753")</f>
        <v>Rubus saxatilis L., 1753</v>
      </c>
      <c r="F21012" s="5" t="s">
        <v>26924</v>
      </c>
      <c r="Q21012" s="7" t="str">
        <f>HYPERLINK("#Liste_rouge!A"&amp;_xlfn.XMATCH("LC",Liste_rouge!A:A,2,1),"LC")</f>
        <v>LC</v>
      </c>
      <c r="T21012" s="7" t="str">
        <f>HYPERLINK("#Liste_rouge!A"&amp;_xlfn.XMATCH("NT",Liste_rouge!A:A,2,1),"NT")</f>
        <v>NT</v>
      </c>
      <c r="U21012" s="4" t="str">
        <f>HYPERLINK("#Critères_liste_rouge!A$1","VU (D2) - 1")</f>
        <v>VU (D2) - 1</v>
      </c>
      <c r="V21012" s="7" t="str">
        <f>HYPERLINK("#Liste_rouge!A"&amp;_xlfn.XMATCH("LC",Liste_rouge!A:A,2,1),"LC")</f>
        <v>LC</v>
      </c>
      <c r="AB21012" s="4" t="s">
        <v>24410</v>
      </c>
      <c r="AH21012" s="4" t="str">
        <f>HYPERLINK("#Statut_biogéographique!A"&amp;_xlfn.XMATCH("P",Statut_biogéographique!A:A,2,1),"P")</f>
        <v>P</v>
      </c>
      <c r="AM21012" s="4" t="s">
        <v>375</v>
      </c>
      <c r="AN21012" s="4" t="s">
        <v>375</v>
      </c>
      <c r="AO21012" s="4" t="s">
        <v>375</v>
      </c>
      <c r="AP21012" s="4" t="s">
        <v>376</v>
      </c>
      <c r="AR21012" s="4" t="s">
        <v>377</v>
      </c>
    </row>
    <row r="21013" spans="1:44">
      <c r="A21013" s="4" t="s">
        <v>24364</v>
      </c>
      <c r="B21013" s="4">
        <v>119320</v>
      </c>
      <c r="D21013" s="5" t="s">
        <v>26925</v>
      </c>
      <c r="E21013" s="6" t="str">
        <f>HYPERLINK("https://inpn.mnhn.fr/espece/cd_nom/119320","Rubus scaber Weihe, 1825")</f>
        <v>Rubus scaber Weihe, 1825</v>
      </c>
      <c r="F21013" s="5" t="s">
        <v>26926</v>
      </c>
      <c r="T21013" s="7" t="str">
        <f>HYPERLINK("#Liste_rouge!A"&amp;_xlfn.XMATCH("DD",Liste_rouge!A:A,2,1),"DD")</f>
        <v>DD</v>
      </c>
      <c r="AH21013" s="4" t="str">
        <f>HYPERLINK("#Statut_biogéographique!A"&amp;_xlfn.XMATCH("P",Statut_biogéographique!A:A,2,1),"P")</f>
        <v>P</v>
      </c>
      <c r="AM21013" s="4" t="s">
        <v>375</v>
      </c>
      <c r="AN21013" s="4" t="s">
        <v>375</v>
      </c>
      <c r="AO21013" s="4" t="s">
        <v>375</v>
      </c>
      <c r="AP21013" s="4" t="s">
        <v>376</v>
      </c>
      <c r="AR21013" s="4" t="s">
        <v>377</v>
      </c>
    </row>
    <row r="21014" spans="1:44">
      <c r="A21014" s="4" t="s">
        <v>24364</v>
      </c>
      <c r="B21014" s="4">
        <v>119321</v>
      </c>
      <c r="D21014" s="5" t="s">
        <v>26927</v>
      </c>
      <c r="E21014" s="6" t="str">
        <f>HYPERLINK("https://inpn.mnhn.fr/espece/cd_nom/119321","Rubus schlechtendalii Weihe ex Link, 1822")</f>
        <v>Rubus schlechtendalii Weihe ex Link, 1822</v>
      </c>
      <c r="F21014" s="5" t="s">
        <v>26928</v>
      </c>
      <c r="AH21014" s="4" t="str">
        <f>HYPERLINK("#Statut_biogéographique!A"&amp;_xlfn.XMATCH("D",Statut_biogéographique!A:A,2,1),"D")</f>
        <v>D</v>
      </c>
      <c r="AP21014" s="4" t="s">
        <v>376</v>
      </c>
      <c r="AR21014" s="4" t="s">
        <v>377</v>
      </c>
    </row>
    <row r="21015" spans="1:44">
      <c r="A21015" s="4" t="s">
        <v>24364</v>
      </c>
      <c r="B21015" s="4">
        <v>119322</v>
      </c>
      <c r="D21015" s="5" t="s">
        <v>26929</v>
      </c>
      <c r="E21015" s="6" t="str">
        <f>HYPERLINK("https://inpn.mnhn.fr/espece/cd_nom/119322","Rubus schleicheri Weihe ex Tratt., 1823")</f>
        <v>Rubus schleicheri Weihe ex Tratt., 1823</v>
      </c>
      <c r="F21015" s="5" t="s">
        <v>26930</v>
      </c>
      <c r="T21015" s="7" t="str">
        <f>HYPERLINK("#Liste_rouge!A"&amp;_xlfn.XMATCH("DD",Liste_rouge!A:A,2,1),"DD")</f>
        <v>DD</v>
      </c>
      <c r="V21015" s="7" t="str">
        <f>HYPERLINK("#Liste_rouge!A"&amp;_xlfn.XMATCH("DD",Liste_rouge!A:A,2,1),"DD")</f>
        <v>DD</v>
      </c>
      <c r="AH21015" s="4" t="str">
        <f>HYPERLINK("#Statut_biogéographique!A"&amp;_xlfn.XMATCH("P",Statut_biogéographique!A:A,2,1),"P")</f>
        <v>P</v>
      </c>
      <c r="AM21015" s="4" t="s">
        <v>375</v>
      </c>
      <c r="AN21015" s="4" t="s">
        <v>375</v>
      </c>
      <c r="AO21015" s="4" t="s">
        <v>375</v>
      </c>
      <c r="AP21015" s="4" t="s">
        <v>376</v>
      </c>
      <c r="AR21015" s="4" t="s">
        <v>377</v>
      </c>
    </row>
    <row r="21016" spans="1:44">
      <c r="A21016" s="4" t="s">
        <v>24364</v>
      </c>
      <c r="B21016" s="4">
        <v>119323</v>
      </c>
      <c r="D21016" s="5">
        <v>119323</v>
      </c>
      <c r="E21016" s="6" t="str">
        <f>HYPERLINK("https://inpn.mnhn.fr/espece/cd_nom/119323","Rubus schmidelyanus Sudre, 1904")</f>
        <v>Rubus schmidelyanus Sudre, 1904</v>
      </c>
      <c r="F21016" s="5" t="s">
        <v>26931</v>
      </c>
      <c r="AH21016" s="4" t="str">
        <f>HYPERLINK("#Statut_biogéographique!A"&amp;_xlfn.XMATCH("D",Statut_biogéographique!A:A,2,1),"D")</f>
        <v>D</v>
      </c>
      <c r="AP21016" s="4" t="s">
        <v>376</v>
      </c>
      <c r="AR21016" s="4" t="s">
        <v>377</v>
      </c>
    </row>
    <row r="21017" spans="1:44">
      <c r="A21017" s="4" t="s">
        <v>24364</v>
      </c>
      <c r="B21017" s="4">
        <v>119328</v>
      </c>
      <c r="D21017" s="5" t="s">
        <v>26932</v>
      </c>
      <c r="E21017" s="6" t="str">
        <f>HYPERLINK("https://inpn.mnhn.fr/espece/cd_nom/119328","Rubus scissus W.C.R.Watson, 1937")</f>
        <v>Rubus scissus W.C.R.Watson, 1937</v>
      </c>
      <c r="F21017" s="5" t="s">
        <v>26933</v>
      </c>
      <c r="T21017" s="7" t="str">
        <f>HYPERLINK("#Liste_rouge!A"&amp;_xlfn.XMATCH("DD",Liste_rouge!A:A,2,1),"DD")</f>
        <v>DD</v>
      </c>
      <c r="AH21017" s="4" t="str">
        <f>HYPERLINK("#Statut_biogéographique!A"&amp;_xlfn.XMATCH("P",Statut_biogéographique!A:A,2,1),"P")</f>
        <v>P</v>
      </c>
      <c r="AM21017" s="4" t="s">
        <v>375</v>
      </c>
      <c r="AN21017" s="4" t="s">
        <v>375</v>
      </c>
      <c r="AO21017" s="4" t="s">
        <v>375</v>
      </c>
      <c r="AP21017" s="4" t="s">
        <v>376</v>
      </c>
      <c r="AR21017" s="4" t="s">
        <v>377</v>
      </c>
    </row>
    <row r="21018" spans="1:44" ht="30">
      <c r="A21018" s="4" t="s">
        <v>24364</v>
      </c>
      <c r="B21018" s="4">
        <v>119332</v>
      </c>
      <c r="D21018" s="5">
        <v>119332</v>
      </c>
      <c r="E21018" s="6" t="str">
        <f>HYPERLINK("https://inpn.mnhn.fr/espece/cd_nom/119332","Rubus semicarpinifolius Sudre, 1909")</f>
        <v>Rubus semicarpinifolius Sudre, 1909</v>
      </c>
      <c r="F21018" s="5" t="s">
        <v>26934</v>
      </c>
      <c r="T21018" s="7" t="str">
        <f>HYPERLINK("#Liste_rouge!A"&amp;_xlfn.XMATCH("DD",Liste_rouge!A:A,2,1),"DD")</f>
        <v>DD</v>
      </c>
      <c r="AH21018" s="4" t="str">
        <f>HYPERLINK("#Statut_biogéographique!A"&amp;_xlfn.XMATCH("D",Statut_biogéographique!A:A,2,1),"D")</f>
        <v>D</v>
      </c>
      <c r="AM21018" s="4" t="s">
        <v>375</v>
      </c>
      <c r="AN21018" s="4" t="s">
        <v>375</v>
      </c>
      <c r="AO21018" s="4" t="s">
        <v>375</v>
      </c>
      <c r="AP21018" s="4" t="s">
        <v>376</v>
      </c>
      <c r="AR21018" s="4" t="s">
        <v>377</v>
      </c>
    </row>
    <row r="21019" spans="1:44">
      <c r="A21019" s="4" t="s">
        <v>24364</v>
      </c>
      <c r="B21019" s="4">
        <v>119337</v>
      </c>
      <c r="D21019" s="5">
        <v>119337</v>
      </c>
      <c r="E21019" s="6" t="str">
        <f>HYPERLINK("https://inpn.mnhn.fr/espece/cd_nom/119337","Rubus silvaticus Weihe &amp; Nees, 1824")</f>
        <v>Rubus silvaticus Weihe &amp; Nees, 1824</v>
      </c>
      <c r="F21019" s="5" t="s">
        <v>26935</v>
      </c>
      <c r="T21019" s="7" t="str">
        <f>HYPERLINK("#Liste_rouge!A"&amp;_xlfn.XMATCH("LC",Liste_rouge!A:A,2,1),"LC")</f>
        <v>LC</v>
      </c>
      <c r="AH21019" s="4" t="str">
        <f>HYPERLINK("#Statut_biogéographique!A"&amp;_xlfn.XMATCH("P",Statut_biogéographique!A:A,2,1),"P")</f>
        <v>P</v>
      </c>
      <c r="AM21019" s="4" t="s">
        <v>375</v>
      </c>
      <c r="AN21019" s="4" t="s">
        <v>375</v>
      </c>
      <c r="AO21019" s="4" t="s">
        <v>375</v>
      </c>
      <c r="AP21019" s="4" t="s">
        <v>376</v>
      </c>
      <c r="AR21019" s="4" t="s">
        <v>377</v>
      </c>
    </row>
    <row r="21020" spans="1:44">
      <c r="A21020" s="4" t="s">
        <v>24364</v>
      </c>
      <c r="B21020" s="4">
        <v>119345</v>
      </c>
      <c r="D21020" s="5" t="s">
        <v>26936</v>
      </c>
      <c r="E21020" s="6" t="str">
        <f>HYPERLINK("https://inpn.mnhn.fr/espece/cd_nom/119345","Rubus sprengelii Weihe, 1819")</f>
        <v>Rubus sprengelii Weihe, 1819</v>
      </c>
      <c r="F21020" s="5" t="s">
        <v>26937</v>
      </c>
      <c r="T21020" s="7" t="str">
        <f>HYPERLINK("#Liste_rouge!A"&amp;_xlfn.XMATCH("DD",Liste_rouge!A:A,2,1),"DD")</f>
        <v>DD</v>
      </c>
      <c r="V21020" s="7" t="str">
        <f>HYPERLINK("#Liste_rouge!A"&amp;_xlfn.XMATCH("DD",Liste_rouge!A:A,2,1),"DD")</f>
        <v>DD</v>
      </c>
      <c r="AH21020" s="4" t="str">
        <f>HYPERLINK("#Statut_biogéographique!A"&amp;_xlfn.XMATCH("P",Statut_biogéographique!A:A,2,1),"P")</f>
        <v>P</v>
      </c>
      <c r="AM21020" s="4" t="s">
        <v>375</v>
      </c>
      <c r="AN21020" s="4" t="s">
        <v>375</v>
      </c>
      <c r="AO21020" s="4" t="s">
        <v>375</v>
      </c>
      <c r="AP21020" s="4" t="s">
        <v>376</v>
      </c>
      <c r="AR21020" s="4" t="s">
        <v>377</v>
      </c>
    </row>
    <row r="21021" spans="1:44">
      <c r="A21021" s="4" t="s">
        <v>24364</v>
      </c>
      <c r="B21021" s="4">
        <v>119354</v>
      </c>
      <c r="D21021" s="5" t="s">
        <v>26938</v>
      </c>
      <c r="E21021" s="6" t="str">
        <f>HYPERLINK("https://inpn.mnhn.fr/espece/cd_nom/119354","Rubus sulcatus Vest, 1821")</f>
        <v>Rubus sulcatus Vest, 1821</v>
      </c>
      <c r="F21021" s="5" t="s">
        <v>26939</v>
      </c>
      <c r="T21021" s="7" t="str">
        <f>HYPERLINK("#Liste_rouge!A"&amp;_xlfn.XMATCH("LC",Liste_rouge!A:A,2,1),"LC")</f>
        <v>LC</v>
      </c>
      <c r="V21021" s="7" t="str">
        <f>HYPERLINK("#Liste_rouge!A"&amp;_xlfn.XMATCH("DD",Liste_rouge!A:A,2,1),"DD")</f>
        <v>DD</v>
      </c>
      <c r="AH21021" s="4" t="str">
        <f>HYPERLINK("#Statut_biogéographique!A"&amp;_xlfn.XMATCH("P",Statut_biogéographique!A:A,2,1),"P")</f>
        <v>P</v>
      </c>
      <c r="AM21021" s="4" t="s">
        <v>375</v>
      </c>
      <c r="AN21021" s="4" t="s">
        <v>375</v>
      </c>
      <c r="AO21021" s="4" t="s">
        <v>375</v>
      </c>
      <c r="AP21021" s="4" t="s">
        <v>376</v>
      </c>
      <c r="AR21021" s="4" t="s">
        <v>377</v>
      </c>
    </row>
    <row r="21022" spans="1:44">
      <c r="A21022" s="4" t="s">
        <v>24364</v>
      </c>
      <c r="B21022" s="4">
        <v>119359</v>
      </c>
      <c r="D21022" s="5">
        <v>119359</v>
      </c>
      <c r="E21022" s="6" t="str">
        <f>HYPERLINK("https://inpn.mnhn.fr/espece/cd_nom/119359","Rubus tereticaulis P.J.Müll., 1858")</f>
        <v>Rubus tereticaulis P.J.Müll., 1858</v>
      </c>
      <c r="T21022" s="7" t="str">
        <f>HYPERLINK("#Liste_rouge!A"&amp;_xlfn.XMATCH("NE",Liste_rouge!A:A,2,1),"NE")</f>
        <v>NE</v>
      </c>
      <c r="V21022" s="7" t="str">
        <f>HYPERLINK("#Liste_rouge!A"&amp;_xlfn.XMATCH("DD",Liste_rouge!A:A,2,1),"DD")</f>
        <v>DD</v>
      </c>
      <c r="AH21022" s="4" t="str">
        <f>HYPERLINK("#Statut_biogéographique!A"&amp;_xlfn.XMATCH("P",Statut_biogéographique!A:A,2,1),"P")</f>
        <v>P</v>
      </c>
      <c r="AM21022" s="4" t="s">
        <v>375</v>
      </c>
      <c r="AN21022" s="4" t="s">
        <v>375</v>
      </c>
      <c r="AO21022" s="4" t="s">
        <v>375</v>
      </c>
      <c r="AP21022" s="4" t="s">
        <v>376</v>
      </c>
      <c r="AR21022" s="4" t="s">
        <v>377</v>
      </c>
    </row>
    <row r="21023" spans="1:44">
      <c r="A21023" s="4" t="s">
        <v>24364</v>
      </c>
      <c r="B21023" s="4">
        <v>119362</v>
      </c>
      <c r="D21023" s="5">
        <v>119362</v>
      </c>
      <c r="E21023" s="6" t="str">
        <f>HYPERLINK("https://inpn.mnhn.fr/espece/cd_nom/119362","Rubus thyrsiflorus Weihe, 1825")</f>
        <v>Rubus thyrsiflorus Weihe, 1825</v>
      </c>
      <c r="F21023" s="5" t="s">
        <v>26940</v>
      </c>
      <c r="T21023" s="7" t="str">
        <f>HYPERLINK("#Liste_rouge!A"&amp;_xlfn.XMATCH("NE",Liste_rouge!A:A,2,1),"NE")</f>
        <v>NE</v>
      </c>
      <c r="AH21023" s="4" t="str">
        <f>HYPERLINK("#Statut_biogéographique!A"&amp;_xlfn.XMATCH("D",Statut_biogéographique!A:A,2,1),"D")</f>
        <v>D</v>
      </c>
      <c r="AM21023" s="4" t="s">
        <v>375</v>
      </c>
      <c r="AN21023" s="4" t="s">
        <v>375</v>
      </c>
      <c r="AO21023" s="4" t="s">
        <v>375</v>
      </c>
      <c r="AP21023" s="4" t="s">
        <v>376</v>
      </c>
      <c r="AR21023" s="4" t="s">
        <v>377</v>
      </c>
    </row>
    <row r="21024" spans="1:44">
      <c r="A21024" s="4" t="s">
        <v>24364</v>
      </c>
      <c r="B21024" s="4">
        <v>119369</v>
      </c>
      <c r="D21024" s="5">
        <v>119369</v>
      </c>
      <c r="E21024" s="6" t="str">
        <f>HYPERLINK("https://inpn.mnhn.fr/espece/cd_nom/119369","Rubus trachycaulon Sudre, 1905")</f>
        <v>Rubus trachycaulon Sudre, 1905</v>
      </c>
      <c r="AH21024" s="4" t="str">
        <f>HYPERLINK("#Statut_biogéographique!A"&amp;_xlfn.XMATCH("D",Statut_biogéographique!A:A,2,1),"D")</f>
        <v>D</v>
      </c>
      <c r="AP21024" s="4" t="s">
        <v>376</v>
      </c>
      <c r="AR21024" s="4" t="s">
        <v>377</v>
      </c>
    </row>
    <row r="21025" spans="1:44" ht="120">
      <c r="A21025" s="4" t="s">
        <v>24364</v>
      </c>
      <c r="B21025" s="4">
        <v>119373</v>
      </c>
      <c r="D21025" s="5" t="s">
        <v>26941</v>
      </c>
      <c r="E21025" s="6" t="str">
        <f>HYPERLINK("https://inpn.mnhn.fr/espece/cd_nom/119373","Rubus ulmifolius Schott, 1818")</f>
        <v>Rubus ulmifolius Schott, 1818</v>
      </c>
      <c r="F21025" s="5" t="s">
        <v>26942</v>
      </c>
      <c r="Q21025" s="7" t="str">
        <f>HYPERLINK("#Liste_rouge!A"&amp;_xlfn.XMATCH("LC",Liste_rouge!A:A,2,1),"LC")</f>
        <v>LC</v>
      </c>
      <c r="T21025" s="7" t="str">
        <f>HYPERLINK("#Liste_rouge!A"&amp;_xlfn.XMATCH("LC",Liste_rouge!A:A,2,1),"LC")</f>
        <v>LC</v>
      </c>
      <c r="V21025" s="7" t="str">
        <f>HYPERLINK("#Liste_rouge!A"&amp;_xlfn.XMATCH("LC",Liste_rouge!A:A,2,1),"LC")</f>
        <v>LC</v>
      </c>
      <c r="AH21025" s="4" t="str">
        <f>HYPERLINK("#Statut_biogéographique!A"&amp;_xlfn.XMATCH("P",Statut_biogéographique!A:A,2,1),"P")</f>
        <v>P</v>
      </c>
      <c r="AM21025" s="4" t="s">
        <v>375</v>
      </c>
      <c r="AN21025" s="4" t="s">
        <v>375</v>
      </c>
      <c r="AO21025" s="4" t="s">
        <v>375</v>
      </c>
      <c r="AP21025" s="4" t="s">
        <v>376</v>
      </c>
      <c r="AR21025" s="4" t="s">
        <v>377</v>
      </c>
    </row>
    <row r="21026" spans="1:44">
      <c r="A21026" s="4" t="s">
        <v>24364</v>
      </c>
      <c r="B21026" s="4">
        <v>119375</v>
      </c>
      <c r="D21026" s="5" t="s">
        <v>26943</v>
      </c>
      <c r="E21026" s="6" t="str">
        <f>HYPERLINK("https://inpn.mnhn.fr/espece/cd_nom/119375","Rubus uncinatus P.J.Müll., 1858")</f>
        <v>Rubus uncinatus P.J.Müll., 1858</v>
      </c>
      <c r="F21026" s="5" t="s">
        <v>26944</v>
      </c>
      <c r="AH21026" s="4" t="str">
        <f>HYPERLINK("#Statut_biogéographique!A"&amp;_xlfn.XMATCH("P",Statut_biogéographique!A:A,2,1),"P")</f>
        <v>P</v>
      </c>
      <c r="AP21026" s="4" t="s">
        <v>376</v>
      </c>
      <c r="AR21026" s="4" t="s">
        <v>377</v>
      </c>
    </row>
    <row r="21027" spans="1:44">
      <c r="A21027" s="4" t="s">
        <v>24364</v>
      </c>
      <c r="B21027" s="4">
        <v>119381</v>
      </c>
      <c r="D21027" s="5" t="s">
        <v>26945</v>
      </c>
      <c r="E21027" s="6" t="str">
        <f>HYPERLINK("https://inpn.mnhn.fr/espece/cd_nom/119381","Rubus vestitus Weihe, 1825")</f>
        <v>Rubus vestitus Weihe, 1825</v>
      </c>
      <c r="F21027" s="5" t="s">
        <v>26946</v>
      </c>
      <c r="T21027" s="7" t="str">
        <f>HYPERLINK("#Liste_rouge!A"&amp;_xlfn.XMATCH("DD",Liste_rouge!A:A,2,1),"DD")</f>
        <v>DD</v>
      </c>
      <c r="V21027" s="7" t="str">
        <f>HYPERLINK("#Liste_rouge!A"&amp;_xlfn.XMATCH("LC",Liste_rouge!A:A,2,1),"LC")</f>
        <v>LC</v>
      </c>
      <c r="AH21027" s="4" t="str">
        <f>HYPERLINK("#Statut_biogéographique!A"&amp;_xlfn.XMATCH("P",Statut_biogéographique!A:A,2,1),"P")</f>
        <v>P</v>
      </c>
      <c r="AM21027" s="4" t="s">
        <v>375</v>
      </c>
      <c r="AN21027" s="4" t="s">
        <v>375</v>
      </c>
      <c r="AO21027" s="4" t="s">
        <v>375</v>
      </c>
      <c r="AP21027" s="4" t="s">
        <v>376</v>
      </c>
      <c r="AR21027" s="4" t="s">
        <v>377</v>
      </c>
    </row>
    <row r="21028" spans="1:44">
      <c r="A21028" s="4" t="s">
        <v>24364</v>
      </c>
      <c r="B21028" s="4">
        <v>119384</v>
      </c>
      <c r="D21028" s="5" t="s">
        <v>26947</v>
      </c>
      <c r="E21028" s="6" t="str">
        <f>HYPERLINK("https://inpn.mnhn.fr/espece/cd_nom/119384","Rubus vigorosus P.J.Mull &amp; Wirtg., 1862")</f>
        <v>Rubus vigorosus P.J.Mull &amp; Wirtg., 1862</v>
      </c>
      <c r="F21028" s="5" t="s">
        <v>26948</v>
      </c>
      <c r="T21028" s="7" t="str">
        <f>HYPERLINK("#Liste_rouge!A"&amp;_xlfn.XMATCH("DD",Liste_rouge!A:A,2,1),"DD")</f>
        <v>DD</v>
      </c>
      <c r="AH21028" s="4" t="str">
        <f>HYPERLINK("#Statut_biogéographique!A"&amp;_xlfn.XMATCH("D",Statut_biogéographique!A:A,2,1),"D")</f>
        <v>D</v>
      </c>
      <c r="AM21028" s="4" t="s">
        <v>375</v>
      </c>
      <c r="AN21028" s="4" t="s">
        <v>375</v>
      </c>
      <c r="AO21028" s="4" t="s">
        <v>375</v>
      </c>
      <c r="AP21028" s="4" t="s">
        <v>376</v>
      </c>
      <c r="AR21028" s="4" t="s">
        <v>377</v>
      </c>
    </row>
    <row r="21029" spans="1:44">
      <c r="A21029" s="4" t="s">
        <v>24364</v>
      </c>
      <c r="B21029" s="4">
        <v>119388</v>
      </c>
      <c r="D21029" s="5" t="s">
        <v>26949</v>
      </c>
      <c r="E21029" s="6" t="str">
        <f>HYPERLINK("https://inpn.mnhn.fr/espece/cd_nom/119388","Rubus vulgaris Weihe &amp; Nees, 1824")</f>
        <v>Rubus vulgaris Weihe &amp; Nees, 1824</v>
      </c>
      <c r="F21029" s="5" t="s">
        <v>26950</v>
      </c>
      <c r="T21029" s="7" t="str">
        <f>HYPERLINK("#Liste_rouge!A"&amp;_xlfn.XMATCH("DD",Liste_rouge!A:A,2,1),"DD")</f>
        <v>DD</v>
      </c>
      <c r="AH21029" s="4" t="str">
        <f>HYPERLINK("#Statut_biogéographique!A"&amp;_xlfn.XMATCH("D",Statut_biogéographique!A:A,2,1),"D")</f>
        <v>D</v>
      </c>
      <c r="AM21029" s="4" t="s">
        <v>375</v>
      </c>
      <c r="AN21029" s="4" t="s">
        <v>375</v>
      </c>
      <c r="AO21029" s="4" t="s">
        <v>375</v>
      </c>
      <c r="AP21029" s="4" t="s">
        <v>376</v>
      </c>
      <c r="AR21029" s="4" t="s">
        <v>377</v>
      </c>
    </row>
    <row r="21030" spans="1:44">
      <c r="A21030" s="4" t="s">
        <v>24364</v>
      </c>
      <c r="B21030" s="4">
        <v>119392</v>
      </c>
      <c r="D21030" s="5" t="s">
        <v>26951</v>
      </c>
      <c r="E21030" s="6" t="str">
        <f>HYPERLINK("https://inpn.mnhn.fr/espece/cd_nom/119392","Rubus winteri P.J.Müll. ex Focke, 1877")</f>
        <v>Rubus winteri P.J.Müll. ex Focke, 1877</v>
      </c>
      <c r="F21030" s="5" t="s">
        <v>26952</v>
      </c>
      <c r="V21030" s="7" t="str">
        <f>HYPERLINK("#Liste_rouge!A"&amp;_xlfn.XMATCH("DD",Liste_rouge!A:A,2,1),"DD")</f>
        <v>DD</v>
      </c>
      <c r="AH21030" s="4" t="str">
        <f>HYPERLINK("#Statut_biogéographique!A"&amp;_xlfn.XMATCH("P",Statut_biogéographique!A:A,2,1),"P")</f>
        <v>P</v>
      </c>
      <c r="AM21030" s="4" t="s">
        <v>375</v>
      </c>
      <c r="AN21030" s="4" t="s">
        <v>375</v>
      </c>
      <c r="AO21030" s="4" t="s">
        <v>375</v>
      </c>
      <c r="AP21030" s="4" t="s">
        <v>376</v>
      </c>
      <c r="AR21030" s="4" t="s">
        <v>377</v>
      </c>
    </row>
    <row r="21031" spans="1:44" ht="45">
      <c r="A21031" s="4" t="s">
        <v>24364</v>
      </c>
      <c r="B21031" s="4">
        <v>119406</v>
      </c>
      <c r="D21031" s="5" t="s">
        <v>26953</v>
      </c>
      <c r="E21031" s="6" t="str">
        <f>HYPERLINK("https://inpn.mnhn.fr/espece/cd_nom/119406","Rudbeckia hirta L., 1753")</f>
        <v>Rudbeckia hirta L., 1753</v>
      </c>
      <c r="F21031" s="5" t="s">
        <v>26954</v>
      </c>
      <c r="Q21031" s="7" t="str">
        <f>HYPERLINK("#Liste_rouge!A"&amp;_xlfn.XMATCH("NA",Liste_rouge!A:A,2,1),"NA")</f>
        <v>NA</v>
      </c>
      <c r="AH21031" s="4" t="str">
        <f>HYPERLINK("#Statut_biogéographique!A"&amp;_xlfn.XMATCH("I",Statut_biogéographique!A:A,2,1),"I")</f>
        <v>I</v>
      </c>
      <c r="AP21031" s="4" t="s">
        <v>376</v>
      </c>
      <c r="AR21031" s="4" t="s">
        <v>377</v>
      </c>
    </row>
    <row r="21032" spans="1:44" ht="30">
      <c r="A21032" s="4" t="s">
        <v>24364</v>
      </c>
      <c r="B21032" s="4">
        <v>119407</v>
      </c>
      <c r="D21032" s="5" t="s">
        <v>26955</v>
      </c>
      <c r="E21032" s="6" t="str">
        <f>HYPERLINK("https://inpn.mnhn.fr/espece/cd_nom/119407","Rudbeckia laciniata L., 1753")</f>
        <v>Rudbeckia laciniata L., 1753</v>
      </c>
      <c r="F21032" s="5" t="s">
        <v>26956</v>
      </c>
      <c r="Q21032" s="7" t="str">
        <f>HYPERLINK("#Liste_rouge!A"&amp;_xlfn.XMATCH("NA",Liste_rouge!A:A,2,1),"NA")</f>
        <v>NA</v>
      </c>
      <c r="AH21032" s="4" t="str">
        <f>HYPERLINK("#Statut_biogéographique!A"&amp;_xlfn.XMATCH("I",Statut_biogéographique!A:A,2,1),"I")</f>
        <v>I</v>
      </c>
      <c r="AM21032" s="4" t="s">
        <v>375</v>
      </c>
      <c r="AN21032" s="4" t="s">
        <v>375</v>
      </c>
      <c r="AO21032" s="4" t="s">
        <v>375</v>
      </c>
      <c r="AP21032" s="4" t="s">
        <v>376</v>
      </c>
      <c r="AR21032" s="4" t="s">
        <v>377</v>
      </c>
    </row>
    <row r="21033" spans="1:44" ht="60">
      <c r="A21033" s="4" t="s">
        <v>24364</v>
      </c>
      <c r="B21033" s="4">
        <v>119418</v>
      </c>
      <c r="D21033" s="5" t="s">
        <v>26957</v>
      </c>
      <c r="E21033" s="6" t="str">
        <f>HYPERLINK("https://inpn.mnhn.fr/espece/cd_nom/119418","Rumex acetosa L., 1753 [nom. et typ. cons.]")</f>
        <v>Rumex acetosa L., 1753 [nom. et typ. cons.]</v>
      </c>
      <c r="F21033" s="5" t="s">
        <v>26958</v>
      </c>
      <c r="Q21033" s="7" t="str">
        <f>HYPERLINK("#Liste_rouge!A"&amp;_xlfn.XMATCH("LC",Liste_rouge!A:A,2,1),"LC")</f>
        <v>LC</v>
      </c>
      <c r="T21033" s="7" t="str">
        <f>HYPERLINK("#Liste_rouge!A"&amp;_xlfn.XMATCH("LC",Liste_rouge!A:A,2,1),"LC")</f>
        <v>LC</v>
      </c>
      <c r="V21033" s="7" t="str">
        <f>HYPERLINK("#Liste_rouge!A"&amp;_xlfn.XMATCH("LC",Liste_rouge!A:A,2,1),"LC")</f>
        <v>LC</v>
      </c>
      <c r="AH21033" s="4" t="str">
        <f>HYPERLINK("#Statut_biogéographique!A"&amp;_xlfn.XMATCH("P",Statut_biogéographique!A:A,2,1),"P")</f>
        <v>P</v>
      </c>
      <c r="AM21033" s="4" t="s">
        <v>375</v>
      </c>
      <c r="AN21033" s="4" t="s">
        <v>375</v>
      </c>
      <c r="AO21033" s="4" t="s">
        <v>375</v>
      </c>
      <c r="AP21033" s="4" t="s">
        <v>376</v>
      </c>
      <c r="AR21033" s="4" t="s">
        <v>377</v>
      </c>
    </row>
    <row r="21034" spans="1:44" ht="105">
      <c r="A21034" s="4" t="s">
        <v>24364</v>
      </c>
      <c r="B21034" s="4">
        <v>119419</v>
      </c>
      <c r="D21034" s="5" t="s">
        <v>26959</v>
      </c>
      <c r="E21034" s="6" t="str">
        <f>HYPERLINK("https://inpn.mnhn.fr/espece/cd_nom/119419","Rumex acetosella L., 1753")</f>
        <v>Rumex acetosella L., 1753</v>
      </c>
      <c r="F21034" s="5" t="s">
        <v>26960</v>
      </c>
      <c r="P21034" s="7" t="str">
        <f>HYPERLINK("#Liste_rouge!A"&amp;_xlfn.XMATCH("LC",Liste_rouge!A:A,2,1),"LC")</f>
        <v>LC</v>
      </c>
      <c r="Q21034" s="7" t="str">
        <f>HYPERLINK("#Liste_rouge!A"&amp;_xlfn.XMATCH("LC",Liste_rouge!A:A,2,1),"LC")</f>
        <v>LC</v>
      </c>
      <c r="T21034" s="7" t="str">
        <f>HYPERLINK("#Liste_rouge!A"&amp;_xlfn.XMATCH("LC",Liste_rouge!A:A,2,1),"LC (cd_nom 119419) - DD (cd_nom 613592)")</f>
        <v>LC (cd_nom 119419) - DD (cd_nom 613592)</v>
      </c>
      <c r="V21034" s="7" t="str">
        <f>HYPERLINK("#Liste_rouge!A"&amp;_xlfn.XMATCH("LC",Liste_rouge!A:A,2,1),"LC")</f>
        <v>LC</v>
      </c>
      <c r="AH21034" s="4" t="str">
        <f>HYPERLINK("#Statut_biogéographique!A"&amp;_xlfn.XMATCH("P",Statut_biogéographique!A:A,2,1),"P")</f>
        <v>P</v>
      </c>
      <c r="AM21034" s="4" t="s">
        <v>375</v>
      </c>
      <c r="AN21034" s="4" t="s">
        <v>375</v>
      </c>
      <c r="AO21034" s="4" t="s">
        <v>375</v>
      </c>
      <c r="AP21034" s="4" t="s">
        <v>376</v>
      </c>
      <c r="AR21034" s="4" t="s">
        <v>377</v>
      </c>
    </row>
    <row r="21035" spans="1:44" ht="30">
      <c r="A21035" s="4" t="s">
        <v>24364</v>
      </c>
      <c r="B21035" s="4">
        <v>119447</v>
      </c>
      <c r="D21035" s="5" t="s">
        <v>26961</v>
      </c>
      <c r="E21035" s="6" t="str">
        <f>HYPERLINK("https://inpn.mnhn.fr/espece/cd_nom/119447","Rumex aquaticus L., 1753")</f>
        <v>Rumex aquaticus L., 1753</v>
      </c>
      <c r="F21035" s="5" t="s">
        <v>26962</v>
      </c>
      <c r="Q21035" s="7" t="str">
        <f>HYPERLINK("#Liste_rouge!A"&amp;_xlfn.XMATCH("VU",Liste_rouge!A:A,2,1),"VU")</f>
        <v>VU</v>
      </c>
      <c r="T21035" s="7" t="str">
        <f>HYPERLINK("#Liste_rouge!A"&amp;_xlfn.XMATCH("CR",Liste_rouge!A:A,2,1),"CR")</f>
        <v>CR</v>
      </c>
      <c r="U21035" s="4" t="str">
        <f>HYPERLINK("#Critères_liste_rouge!A$1","B1 B2ab(i,ii,iv)")</f>
        <v>B1 B2ab(i,ii,iv)</v>
      </c>
      <c r="V21035" s="7" t="str">
        <f>HYPERLINK("#Liste_rouge!A"&amp;_xlfn.XMATCH("VU",Liste_rouge!A:A,2,1),"VU")</f>
        <v>VU</v>
      </c>
      <c r="W21035" s="4" t="str">
        <f>HYPERLINK("#Critères_liste_rouge!A$1","D2")</f>
        <v>D2</v>
      </c>
      <c r="X21035" s="5" t="s">
        <v>374</v>
      </c>
      <c r="AB21035" s="4" t="s">
        <v>93</v>
      </c>
      <c r="AH21035" s="4" t="str">
        <f>HYPERLINK("#Statut_biogéographique!A"&amp;_xlfn.XMATCH("P",Statut_biogéographique!A:A,2,1),"P")</f>
        <v>P</v>
      </c>
      <c r="AM21035" s="4" t="s">
        <v>375</v>
      </c>
      <c r="AN21035" s="4" t="s">
        <v>375</v>
      </c>
      <c r="AO21035" s="4" t="s">
        <v>375</v>
      </c>
      <c r="AP21035" s="4" t="s">
        <v>376</v>
      </c>
      <c r="AR21035" s="4" t="s">
        <v>377</v>
      </c>
    </row>
    <row r="21036" spans="1:44" ht="90">
      <c r="A21036" s="4" t="s">
        <v>24364</v>
      </c>
      <c r="B21036" s="4">
        <v>119450</v>
      </c>
      <c r="D21036" s="5" t="s">
        <v>26963</v>
      </c>
      <c r="E21036" s="6" t="str">
        <f>HYPERLINK("https://inpn.mnhn.fr/espece/cd_nom/119450","Rumex arifolius All., 1773")</f>
        <v>Rumex arifolius All., 1773</v>
      </c>
      <c r="F21036" s="5" t="s">
        <v>26964</v>
      </c>
      <c r="Q21036" s="7" t="str">
        <f>HYPERLINK("#Liste_rouge!A"&amp;_xlfn.XMATCH("LC",Liste_rouge!A:A,2,1),"LC")</f>
        <v>LC</v>
      </c>
      <c r="V21036" s="7" t="str">
        <f>HYPERLINK("#Liste_rouge!A"&amp;_xlfn.XMATCH("LC",Liste_rouge!A:A,2,1),"LC")</f>
        <v>LC</v>
      </c>
      <c r="AB21036" s="4" t="s">
        <v>24410</v>
      </c>
      <c r="AH21036" s="4" t="str">
        <f>HYPERLINK("#Statut_biogéographique!A"&amp;_xlfn.XMATCH("P",Statut_biogéographique!A:A,2,1),"P")</f>
        <v>P</v>
      </c>
      <c r="AM21036" s="4" t="s">
        <v>375</v>
      </c>
      <c r="AN21036" s="4" t="s">
        <v>375</v>
      </c>
      <c r="AO21036" s="4" t="s">
        <v>375</v>
      </c>
      <c r="AP21036" s="4" t="s">
        <v>376</v>
      </c>
      <c r="AR21036" s="4" t="s">
        <v>377</v>
      </c>
    </row>
    <row r="21037" spans="1:44" ht="30">
      <c r="A21037" s="4" t="s">
        <v>24364</v>
      </c>
      <c r="B21037" s="4">
        <v>119461</v>
      </c>
      <c r="D21037" s="5" t="s">
        <v>26965</v>
      </c>
      <c r="E21037" s="6" t="str">
        <f>HYPERLINK("https://inpn.mnhn.fr/espece/cd_nom/119461","Rumex bucephalophorus L., 1753")</f>
        <v>Rumex bucephalophorus L., 1753</v>
      </c>
      <c r="F21037" s="5" t="s">
        <v>26966</v>
      </c>
      <c r="Q21037" s="7" t="str">
        <f>HYPERLINK("#Liste_rouge!A"&amp;_xlfn.XMATCH("LC",Liste_rouge!A:A,2,1),"LC")</f>
        <v>LC</v>
      </c>
      <c r="T21037" s="7" t="str">
        <f>HYPERLINK("#Liste_rouge!A"&amp;_xlfn.XMATCH("NA",Liste_rouge!A:A,2,1),"NA")</f>
        <v>NA</v>
      </c>
      <c r="AH21037" s="4" t="str">
        <f>HYPERLINK("#Statut_biogéographique!A"&amp;_xlfn.XMATCH("P",Statut_biogéographique!A:A,2,1),"P")</f>
        <v>P</v>
      </c>
      <c r="AP21037" s="4" t="s">
        <v>376</v>
      </c>
      <c r="AR21037" s="4" t="s">
        <v>377</v>
      </c>
    </row>
    <row r="21038" spans="1:44" ht="60">
      <c r="A21038" s="4" t="s">
        <v>24364</v>
      </c>
      <c r="B21038" s="4">
        <v>119471</v>
      </c>
      <c r="D21038" s="5" t="s">
        <v>26967</v>
      </c>
      <c r="E21038" s="6" t="str">
        <f>HYPERLINK("https://inpn.mnhn.fr/espece/cd_nom/119471","Rumex conglomeratus Murray, 1770")</f>
        <v>Rumex conglomeratus Murray, 1770</v>
      </c>
      <c r="F21038" s="5" t="s">
        <v>26968</v>
      </c>
      <c r="Q21038" s="7" t="str">
        <f>HYPERLINK("#Liste_rouge!A"&amp;_xlfn.XMATCH("LC",Liste_rouge!A:A,2,1),"LC")</f>
        <v>LC</v>
      </c>
      <c r="T21038" s="7" t="str">
        <f>HYPERLINK("#Liste_rouge!A"&amp;_xlfn.XMATCH("LC",Liste_rouge!A:A,2,1),"LC")</f>
        <v>LC</v>
      </c>
      <c r="V21038" s="7" t="str">
        <f>HYPERLINK("#Liste_rouge!A"&amp;_xlfn.XMATCH("LC",Liste_rouge!A:A,2,1),"LC")</f>
        <v>LC</v>
      </c>
      <c r="AH21038" s="4" t="str">
        <f>HYPERLINK("#Statut_biogéographique!A"&amp;_xlfn.XMATCH("P",Statut_biogéographique!A:A,2,1),"P")</f>
        <v>P</v>
      </c>
      <c r="AM21038" s="4" t="s">
        <v>375</v>
      </c>
      <c r="AN21038" s="4" t="s">
        <v>375</v>
      </c>
      <c r="AO21038" s="4" t="s">
        <v>375</v>
      </c>
      <c r="AP21038" s="4" t="s">
        <v>376</v>
      </c>
      <c r="AR21038" s="4" t="s">
        <v>377</v>
      </c>
    </row>
    <row r="21039" spans="1:44" ht="30">
      <c r="A21039" s="4" t="s">
        <v>24364</v>
      </c>
      <c r="B21039" s="4">
        <v>119473</v>
      </c>
      <c r="D21039" s="5" t="s">
        <v>26969</v>
      </c>
      <c r="E21039" s="6" t="str">
        <f>HYPERLINK("https://inpn.mnhn.fr/espece/cd_nom/119473","Rumex crispus L., 1753")</f>
        <v>Rumex crispus L., 1753</v>
      </c>
      <c r="F21039" s="5" t="s">
        <v>26970</v>
      </c>
      <c r="P21039" s="7" t="str">
        <f>HYPERLINK("#Liste_rouge!A"&amp;_xlfn.XMATCH("LC",Liste_rouge!A:A,2,1),"LC")</f>
        <v>LC</v>
      </c>
      <c r="Q21039" s="7" t="str">
        <f>HYPERLINK("#Liste_rouge!A"&amp;_xlfn.XMATCH("LC",Liste_rouge!A:A,2,1),"LC")</f>
        <v>LC</v>
      </c>
      <c r="T21039" s="7" t="str">
        <f>HYPERLINK("#Liste_rouge!A"&amp;_xlfn.XMATCH("LC",Liste_rouge!A:A,2,1),"LC")</f>
        <v>LC</v>
      </c>
      <c r="V21039" s="7" t="str">
        <f>HYPERLINK("#Liste_rouge!A"&amp;_xlfn.XMATCH("LC",Liste_rouge!A:A,2,1),"LC")</f>
        <v>LC</v>
      </c>
      <c r="AH21039" s="4" t="str">
        <f>HYPERLINK("#Statut_biogéographique!A"&amp;_xlfn.XMATCH("P",Statut_biogéographique!A:A,2,1),"P")</f>
        <v>P</v>
      </c>
      <c r="AM21039" s="4" t="s">
        <v>375</v>
      </c>
      <c r="AN21039" s="4" t="s">
        <v>375</v>
      </c>
      <c r="AO21039" s="4" t="s">
        <v>375</v>
      </c>
      <c r="AP21039" s="4" t="s">
        <v>376</v>
      </c>
      <c r="AR21039" s="4" t="s">
        <v>377</v>
      </c>
    </row>
    <row r="21040" spans="1:44" ht="45">
      <c r="A21040" s="4" t="s">
        <v>24364</v>
      </c>
      <c r="B21040" s="4">
        <v>119509</v>
      </c>
      <c r="D21040" s="5" t="s">
        <v>26971</v>
      </c>
      <c r="E21040" s="6" t="str">
        <f>HYPERLINK("https://inpn.mnhn.fr/espece/cd_nom/119509","Rumex hydrolapathum Huds., 1778")</f>
        <v>Rumex hydrolapathum Huds., 1778</v>
      </c>
      <c r="F21040" s="5" t="s">
        <v>26972</v>
      </c>
      <c r="O21040" s="7" t="str">
        <f>HYPERLINK("#Liste_rouge!A"&amp;_xlfn.XMATCH("LC",Liste_rouge!A:A,2,1),"LC")</f>
        <v>LC</v>
      </c>
      <c r="P21040" s="7" t="str">
        <f>HYPERLINK("#Liste_rouge!A"&amp;_xlfn.XMATCH("LC",Liste_rouge!A:A,2,1),"LC")</f>
        <v>LC</v>
      </c>
      <c r="Q21040" s="7" t="str">
        <f>HYPERLINK("#Liste_rouge!A"&amp;_xlfn.XMATCH("LC",Liste_rouge!A:A,2,1),"LC")</f>
        <v>LC</v>
      </c>
      <c r="T21040" s="7" t="str">
        <f>HYPERLINK("#Liste_rouge!A"&amp;_xlfn.XMATCH("LC",Liste_rouge!A:A,2,1),"LC")</f>
        <v>LC</v>
      </c>
      <c r="V21040" s="7" t="str">
        <f>HYPERLINK("#Liste_rouge!A"&amp;_xlfn.XMATCH("LC",Liste_rouge!A:A,2,1),"LC")</f>
        <v>LC</v>
      </c>
      <c r="AH21040" s="4" t="str">
        <f>HYPERLINK("#Statut_biogéographique!A"&amp;_xlfn.XMATCH("P",Statut_biogéographique!A:A,2,1),"P")</f>
        <v>P</v>
      </c>
      <c r="AM21040" s="4" t="s">
        <v>375</v>
      </c>
      <c r="AN21040" s="4" t="s">
        <v>375</v>
      </c>
      <c r="AO21040" s="4" t="s">
        <v>375</v>
      </c>
      <c r="AP21040" s="4" t="s">
        <v>376</v>
      </c>
      <c r="AR21040" s="4" t="s">
        <v>377</v>
      </c>
    </row>
    <row r="21041" spans="1:44" ht="60">
      <c r="A21041" s="4" t="s">
        <v>24364</v>
      </c>
      <c r="B21041" s="4">
        <v>119525</v>
      </c>
      <c r="D21041" s="5" t="s">
        <v>26973</v>
      </c>
      <c r="E21041" s="6" t="str">
        <f>HYPERLINK("https://inpn.mnhn.fr/espece/cd_nom/119525","Rumex longifolius DC., 1815")</f>
        <v>Rumex longifolius DC., 1815</v>
      </c>
      <c r="F21041" s="5" t="s">
        <v>26974</v>
      </c>
      <c r="Q21041" s="7" t="str">
        <f>HYPERLINK("#Liste_rouge!A"&amp;_xlfn.XMATCH("LC",Liste_rouge!A:A,2,1),"LC")</f>
        <v>LC</v>
      </c>
      <c r="V21041" s="7" t="str">
        <f>HYPERLINK("#Liste_rouge!A"&amp;_xlfn.XMATCH("DD",Liste_rouge!A:A,2,1),"DD")</f>
        <v>DD</v>
      </c>
      <c r="AH21041" s="4" t="str">
        <f>HYPERLINK("#Statut_biogéographique!A"&amp;_xlfn.XMATCH("P",Statut_biogéographique!A:A,2,1),"P")</f>
        <v>P</v>
      </c>
      <c r="AM21041" s="4" t="s">
        <v>375</v>
      </c>
      <c r="AN21041" s="4" t="s">
        <v>375</v>
      </c>
      <c r="AO21041" s="4" t="s">
        <v>375</v>
      </c>
      <c r="AP21041" s="4" t="s">
        <v>376</v>
      </c>
      <c r="AR21041" s="4" t="s">
        <v>377</v>
      </c>
    </row>
    <row r="21042" spans="1:44" ht="45">
      <c r="A21042" s="4" t="s">
        <v>24364</v>
      </c>
      <c r="B21042" s="4">
        <v>119533</v>
      </c>
      <c r="D21042" s="5" t="s">
        <v>26975</v>
      </c>
      <c r="E21042" s="6" t="str">
        <f>HYPERLINK("https://inpn.mnhn.fr/espece/cd_nom/119533","Rumex maritimus L., 1753")</f>
        <v>Rumex maritimus L., 1753</v>
      </c>
      <c r="F21042" s="5" t="s">
        <v>26976</v>
      </c>
      <c r="Q21042" s="7" t="str">
        <f>HYPERLINK("#Liste_rouge!A"&amp;_xlfn.XMATCH("LC",Liste_rouge!A:A,2,1),"LC")</f>
        <v>LC</v>
      </c>
      <c r="T21042" s="7" t="str">
        <f>HYPERLINK("#Liste_rouge!A"&amp;_xlfn.XMATCH("NT",Liste_rouge!A:A,2,1),"NT")</f>
        <v>NT</v>
      </c>
      <c r="U21042" s="4" t="str">
        <f>HYPERLINK("#Critères_liste_rouge!A$1","pr. B3c(i,ii,iii)")</f>
        <v>pr. B3c(i,ii,iii)</v>
      </c>
      <c r="V21042" s="7" t="str">
        <f>HYPERLINK("#Liste_rouge!A"&amp;_xlfn.XMATCH("LC",Liste_rouge!A:A,2,1),"LC")</f>
        <v>LC</v>
      </c>
      <c r="AB21042" s="4" t="s">
        <v>26318</v>
      </c>
      <c r="AH21042" s="4" t="str">
        <f>HYPERLINK("#Statut_biogéographique!A"&amp;_xlfn.XMATCH("P",Statut_biogéographique!A:A,2,1),"P")</f>
        <v>P</v>
      </c>
      <c r="AM21042" s="4" t="s">
        <v>375</v>
      </c>
      <c r="AN21042" s="4" t="s">
        <v>375</v>
      </c>
      <c r="AO21042" s="4" t="s">
        <v>375</v>
      </c>
      <c r="AP21042" s="4" t="s">
        <v>376</v>
      </c>
      <c r="AR21042" s="4" t="s">
        <v>377</v>
      </c>
    </row>
    <row r="21043" spans="1:44" ht="45">
      <c r="A21043" s="4" t="s">
        <v>24364</v>
      </c>
      <c r="B21043" s="4">
        <v>119550</v>
      </c>
      <c r="D21043" s="5" t="s">
        <v>26977</v>
      </c>
      <c r="E21043" s="6" t="str">
        <f>HYPERLINK("https://inpn.mnhn.fr/espece/cd_nom/119550","Rumex obtusifolius L., 1753")</f>
        <v>Rumex obtusifolius L., 1753</v>
      </c>
      <c r="F21043" s="5" t="s">
        <v>26978</v>
      </c>
      <c r="Q21043" s="7" t="str">
        <f>HYPERLINK("#Liste_rouge!A"&amp;_xlfn.XMATCH("LC",Liste_rouge!A:A,2,1),"LC")</f>
        <v>LC</v>
      </c>
      <c r="T21043" s="7" t="str">
        <f>HYPERLINK("#Liste_rouge!A"&amp;_xlfn.XMATCH("LC",Liste_rouge!A:A,2,1),"LC")</f>
        <v>LC</v>
      </c>
      <c r="V21043" s="7" t="str">
        <f>HYPERLINK("#Liste_rouge!A"&amp;_xlfn.XMATCH("LC",Liste_rouge!A:A,2,1),"LC")</f>
        <v>LC</v>
      </c>
      <c r="AH21043" s="4" t="str">
        <f>HYPERLINK("#Statut_biogéographique!A"&amp;_xlfn.XMATCH("P",Statut_biogéographique!A:A,2,1),"P")</f>
        <v>P</v>
      </c>
      <c r="AM21043" s="4" t="s">
        <v>375</v>
      </c>
      <c r="AN21043" s="4" t="s">
        <v>375</v>
      </c>
      <c r="AO21043" s="4" t="s">
        <v>375</v>
      </c>
      <c r="AP21043" s="4" t="s">
        <v>376</v>
      </c>
      <c r="AR21043" s="4" t="s">
        <v>377</v>
      </c>
    </row>
    <row r="21044" spans="1:44" ht="30">
      <c r="A21044" s="4" t="s">
        <v>24364</v>
      </c>
      <c r="B21044" s="4">
        <v>119556</v>
      </c>
      <c r="D21044" s="5" t="s">
        <v>26979</v>
      </c>
      <c r="E21044" s="6" t="str">
        <f>HYPERLINK("https://inpn.mnhn.fr/espece/cd_nom/119556","Rumex palustris Sm., 1800")</f>
        <v>Rumex palustris Sm., 1800</v>
      </c>
      <c r="F21044" s="5" t="s">
        <v>26980</v>
      </c>
      <c r="O21044" s="7" t="str">
        <f>HYPERLINK("#Liste_rouge!A"&amp;_xlfn.XMATCH("LC",Liste_rouge!A:A,2,1),"LC")</f>
        <v>LC</v>
      </c>
      <c r="Q21044" s="7" t="str">
        <f>HYPERLINK("#Liste_rouge!A"&amp;_xlfn.XMATCH("LC",Liste_rouge!A:A,2,1),"LC")</f>
        <v>LC</v>
      </c>
      <c r="T21044" s="7" t="str">
        <f>HYPERLINK("#Liste_rouge!A"&amp;_xlfn.XMATCH("CR",Liste_rouge!A:A,2,1),"CR")</f>
        <v>CR</v>
      </c>
      <c r="U21044" s="4" t="str">
        <f>HYPERLINK("#Critères_liste_rouge!A$1","B1 B2ab(ii,iii,iv)")</f>
        <v>B1 B2ab(ii,iii,iv)</v>
      </c>
      <c r="V21044" s="7" t="str">
        <f>HYPERLINK("#Liste_rouge!A"&amp;_xlfn.XMATCH("CR",Liste_rouge!A:A,2,1),"CR")</f>
        <v>CR</v>
      </c>
      <c r="W21044" s="4" t="str">
        <f>HYPERLINK("#Critères_liste_rouge!A$1","D")</f>
        <v>D</v>
      </c>
      <c r="X21044" s="5" t="s">
        <v>374</v>
      </c>
      <c r="AB21044" s="4" t="s">
        <v>93</v>
      </c>
      <c r="AH21044" s="4" t="str">
        <f>HYPERLINK("#Statut_biogéographique!A"&amp;_xlfn.XMATCH("P",Statut_biogéographique!A:A,2,1),"P")</f>
        <v>P</v>
      </c>
      <c r="AM21044" s="4" t="s">
        <v>375</v>
      </c>
      <c r="AN21044" s="4" t="s">
        <v>375</v>
      </c>
      <c r="AO21044" s="4" t="s">
        <v>375</v>
      </c>
      <c r="AP21044" s="4" t="s">
        <v>376</v>
      </c>
      <c r="AR21044" s="4" t="s">
        <v>377</v>
      </c>
    </row>
    <row r="21045" spans="1:44" ht="30">
      <c r="A21045" s="4" t="s">
        <v>24364</v>
      </c>
      <c r="B21045" s="4">
        <v>119558</v>
      </c>
      <c r="D21045" s="5" t="s">
        <v>26981</v>
      </c>
      <c r="E21045" s="6" t="str">
        <f>HYPERLINK("https://inpn.mnhn.fr/espece/cd_nom/119558","Rumex patientia L., 1753")</f>
        <v>Rumex patientia L., 1753</v>
      </c>
      <c r="F21045" s="5" t="s">
        <v>26982</v>
      </c>
      <c r="Q21045" s="7" t="str">
        <f>HYPERLINK("#Liste_rouge!A"&amp;_xlfn.XMATCH("NA",Liste_rouge!A:A,2,1),"NA")</f>
        <v>NA</v>
      </c>
      <c r="T21045" s="7" t="str">
        <f>HYPERLINK("#Liste_rouge!A"&amp;_xlfn.XMATCH("NA",Liste_rouge!A:A,2,1),"NA")</f>
        <v>NA</v>
      </c>
      <c r="AH21045" s="4" t="str">
        <f>HYPERLINK("#Statut_biogéographique!A"&amp;_xlfn.XMATCH("I",Statut_biogéographique!A:A,2,1),"I")</f>
        <v>I</v>
      </c>
      <c r="AM21045" s="4" t="s">
        <v>375</v>
      </c>
      <c r="AN21045" s="4" t="s">
        <v>375</v>
      </c>
      <c r="AO21045" s="4" t="s">
        <v>375</v>
      </c>
      <c r="AP21045" s="4" t="s">
        <v>376</v>
      </c>
      <c r="AR21045" s="4" t="s">
        <v>377</v>
      </c>
    </row>
    <row r="21046" spans="1:44" ht="30">
      <c r="A21046" s="4" t="s">
        <v>24364</v>
      </c>
      <c r="B21046" s="4">
        <v>119569</v>
      </c>
      <c r="D21046" s="5" t="s">
        <v>26983</v>
      </c>
      <c r="E21046" s="6" t="str">
        <f>HYPERLINK("https://inpn.mnhn.fr/espece/cd_nom/119569","Rumex pulcher L., 1753")</f>
        <v>Rumex pulcher L., 1753</v>
      </c>
      <c r="F21046" s="5" t="s">
        <v>26984</v>
      </c>
      <c r="Q21046" s="7" t="str">
        <f>HYPERLINK("#Liste_rouge!A"&amp;_xlfn.XMATCH("LC",Liste_rouge!A:A,2,1),"LC")</f>
        <v>LC</v>
      </c>
      <c r="T21046" s="7" t="str">
        <f>HYPERLINK("#Liste_rouge!A"&amp;_xlfn.XMATCH("LC",Liste_rouge!A:A,2,1),"LC")</f>
        <v>LC</v>
      </c>
      <c r="V21046" s="7" t="str">
        <f>HYPERLINK("#Liste_rouge!A"&amp;_xlfn.XMATCH("LC",Liste_rouge!A:A,2,1),"LC")</f>
        <v>LC</v>
      </c>
      <c r="AH21046" s="4" t="str">
        <f>HYPERLINK("#Statut_biogéographique!A"&amp;_xlfn.XMATCH("P",Statut_biogéographique!A:A,2,1),"P")</f>
        <v>P</v>
      </c>
      <c r="AM21046" s="4" t="s">
        <v>375</v>
      </c>
      <c r="AN21046" s="4" t="s">
        <v>375</v>
      </c>
      <c r="AO21046" s="4" t="s">
        <v>375</v>
      </c>
      <c r="AP21046" s="4" t="s">
        <v>376</v>
      </c>
      <c r="AR21046" s="4" t="s">
        <v>377</v>
      </c>
    </row>
    <row r="21047" spans="1:44" ht="60">
      <c r="A21047" s="4" t="s">
        <v>24364</v>
      </c>
      <c r="B21047" s="4">
        <v>119585</v>
      </c>
      <c r="D21047" s="5" t="s">
        <v>26985</v>
      </c>
      <c r="E21047" s="6" t="str">
        <f>HYPERLINK("https://inpn.mnhn.fr/espece/cd_nom/119585","Rumex sanguineus L., 1753")</f>
        <v>Rumex sanguineus L., 1753</v>
      </c>
      <c r="F21047" s="5" t="s">
        <v>26986</v>
      </c>
      <c r="Q21047" s="7" t="str">
        <f>HYPERLINK("#Liste_rouge!A"&amp;_xlfn.XMATCH("LC",Liste_rouge!A:A,2,1),"LC")</f>
        <v>LC</v>
      </c>
      <c r="T21047" s="7" t="str">
        <f>HYPERLINK("#Liste_rouge!A"&amp;_xlfn.XMATCH("LC",Liste_rouge!A:A,2,1),"LC")</f>
        <v>LC</v>
      </c>
      <c r="V21047" s="7" t="str">
        <f>HYPERLINK("#Liste_rouge!A"&amp;_xlfn.XMATCH("LC",Liste_rouge!A:A,2,1),"LC")</f>
        <v>LC</v>
      </c>
      <c r="AH21047" s="4" t="str">
        <f>HYPERLINK("#Statut_biogéographique!A"&amp;_xlfn.XMATCH("P",Statut_biogéographique!A:A,2,1),"P")</f>
        <v>P</v>
      </c>
      <c r="AM21047" s="4" t="s">
        <v>375</v>
      </c>
      <c r="AN21047" s="4" t="s">
        <v>375</v>
      </c>
      <c r="AO21047" s="4" t="s">
        <v>375</v>
      </c>
      <c r="AP21047" s="4" t="s">
        <v>376</v>
      </c>
      <c r="AR21047" s="4" t="s">
        <v>377</v>
      </c>
    </row>
    <row r="21048" spans="1:44" ht="60">
      <c r="A21048" s="4" t="s">
        <v>24364</v>
      </c>
      <c r="B21048" s="4">
        <v>119587</v>
      </c>
      <c r="D21048" s="5" t="s">
        <v>26987</v>
      </c>
      <c r="E21048" s="6" t="str">
        <f>HYPERLINK("https://inpn.mnhn.fr/espece/cd_nom/119587","Rumex scutatus L., 1753")</f>
        <v>Rumex scutatus L., 1753</v>
      </c>
      <c r="F21048" s="5" t="s">
        <v>26988</v>
      </c>
      <c r="Q21048" s="7" t="str">
        <f>HYPERLINK("#Liste_rouge!A"&amp;_xlfn.XMATCH("LC",Liste_rouge!A:A,2,1),"LC")</f>
        <v>LC</v>
      </c>
      <c r="T21048" s="7" t="str">
        <f>HYPERLINK("#Liste_rouge!A"&amp;_xlfn.XMATCH("LC",Liste_rouge!A:A,2,1),"LC")</f>
        <v>LC</v>
      </c>
      <c r="V21048" s="7" t="str">
        <f>HYPERLINK("#Liste_rouge!A"&amp;_xlfn.XMATCH("LC",Liste_rouge!A:A,2,1),"LC")</f>
        <v>LC</v>
      </c>
      <c r="AB21048" s="4" t="s">
        <v>26989</v>
      </c>
      <c r="AH21048" s="4" t="str">
        <f>HYPERLINK("#Statut_biogéographique!A"&amp;_xlfn.XMATCH("P",Statut_biogéographique!A:A,2,1),"P")</f>
        <v>P</v>
      </c>
      <c r="AM21048" s="4" t="s">
        <v>375</v>
      </c>
      <c r="AN21048" s="4" t="s">
        <v>375</v>
      </c>
      <c r="AO21048" s="4" t="s">
        <v>375</v>
      </c>
      <c r="AP21048" s="4" t="s">
        <v>376</v>
      </c>
      <c r="AR21048" s="4" t="s">
        <v>377</v>
      </c>
    </row>
    <row r="21049" spans="1:44" ht="30">
      <c r="A21049" s="4" t="s">
        <v>24364</v>
      </c>
      <c r="B21049" s="4">
        <v>119595</v>
      </c>
      <c r="D21049" s="5" t="s">
        <v>26990</v>
      </c>
      <c r="E21049" s="6" t="str">
        <f>HYPERLINK("https://inpn.mnhn.fr/espece/cd_nom/119595","Rumex thyrsiflorus Fingerh., 1829")</f>
        <v>Rumex thyrsiflorus Fingerh., 1829</v>
      </c>
      <c r="F21049" s="5" t="s">
        <v>26991</v>
      </c>
      <c r="Q21049" s="7" t="str">
        <f>HYPERLINK("#Liste_rouge!A"&amp;_xlfn.XMATCH("NA",Liste_rouge!A:A,2,1),"NA")</f>
        <v>NA</v>
      </c>
      <c r="T21049" s="7" t="str">
        <f>HYPERLINK("#Liste_rouge!A"&amp;_xlfn.XMATCH("NT",Liste_rouge!A:A,2,1),"NT")</f>
        <v>NT</v>
      </c>
      <c r="U21049" s="4" t="str">
        <f>HYPERLINK("#Critères_liste_rouge!A$1","VU (A2ac) - 1")</f>
        <v>VU (A2ac) - 1</v>
      </c>
      <c r="AB21049" s="4" t="s">
        <v>25010</v>
      </c>
      <c r="AH21049" s="4" t="str">
        <f>HYPERLINK("#Statut_biogéographique!A"&amp;_xlfn.XMATCH("I",Statut_biogéographique!A:A,2,1),"I")</f>
        <v>I</v>
      </c>
      <c r="AM21049" s="4" t="s">
        <v>375</v>
      </c>
      <c r="AN21049" s="4" t="s">
        <v>375</v>
      </c>
      <c r="AO21049" s="4" t="s">
        <v>375</v>
      </c>
      <c r="AP21049" s="4" t="s">
        <v>376</v>
      </c>
      <c r="AR21049" s="4" t="s">
        <v>377</v>
      </c>
    </row>
    <row r="21050" spans="1:44" ht="45">
      <c r="A21050" s="4" t="s">
        <v>24364</v>
      </c>
      <c r="B21050" s="4">
        <v>119599</v>
      </c>
      <c r="D21050" s="5" t="s">
        <v>26992</v>
      </c>
      <c r="E21050" s="6" t="str">
        <f>HYPERLINK("https://inpn.mnhn.fr/espece/cd_nom/119599","Rumex triangulivalvis (Danser) Rech.f., 1937")</f>
        <v>Rumex triangulivalvis (Danser) Rech.f., 1937</v>
      </c>
      <c r="F21050" s="5" t="s">
        <v>26993</v>
      </c>
      <c r="Q21050" s="7" t="str">
        <f>HYPERLINK("#Liste_rouge!A"&amp;_xlfn.XMATCH("NA",Liste_rouge!A:A,2,1),"NA")</f>
        <v>NA</v>
      </c>
      <c r="T21050" s="7" t="str">
        <f>HYPERLINK("#Liste_rouge!A"&amp;_xlfn.XMATCH("NA",Liste_rouge!A:A,2,1),"NA")</f>
        <v>NA</v>
      </c>
      <c r="AH21050" s="4" t="str">
        <f>HYPERLINK("#Statut_biogéographique!A"&amp;_xlfn.XMATCH("I",Statut_biogéographique!A:A,2,1),"I")</f>
        <v>I</v>
      </c>
      <c r="AP21050" s="4" t="s">
        <v>376</v>
      </c>
      <c r="AR21050" s="4" t="s">
        <v>377</v>
      </c>
    </row>
    <row r="21051" spans="1:44" ht="30">
      <c r="A21051" s="4" t="s">
        <v>24364</v>
      </c>
      <c r="B21051" s="4">
        <v>119613</v>
      </c>
      <c r="D21051" s="5">
        <v>119613</v>
      </c>
      <c r="E21051" s="6" t="str">
        <f>HYPERLINK("https://inpn.mnhn.fr/espece/cd_nom/119613","Rumex x abortivus Ruhmer, 1881")</f>
        <v>Rumex x abortivus Ruhmer, 1881</v>
      </c>
      <c r="F21051" s="5" t="s">
        <v>26994</v>
      </c>
      <c r="T21051" s="7" t="str">
        <f>HYPERLINK("#Liste_rouge!A"&amp;_xlfn.XMATCH("DD",Liste_rouge!A:A,2,1),"DD")</f>
        <v>DD</v>
      </c>
      <c r="AH21051" s="4" t="str">
        <f>HYPERLINK("#Statut_biogéographique!A"&amp;_xlfn.XMATCH("D",Statut_biogéographique!A:A,2,1),"D")</f>
        <v>D</v>
      </c>
      <c r="AP21051" s="4" t="s">
        <v>376</v>
      </c>
      <c r="AR21051" s="4" t="s">
        <v>377</v>
      </c>
    </row>
    <row r="21052" spans="1:44" ht="30">
      <c r="A21052" s="4" t="s">
        <v>24364</v>
      </c>
      <c r="B21052" s="4">
        <v>119652</v>
      </c>
      <c r="D21052" s="5" t="s">
        <v>26995</v>
      </c>
      <c r="E21052" s="6" t="str">
        <f>HYPERLINK("https://inpn.mnhn.fr/espece/cd_nom/119652","Rumex x knapfii Čelak., 1871")</f>
        <v>Rumex x knapfii Čelak., 1871</v>
      </c>
      <c r="F21052" s="5" t="s">
        <v>26996</v>
      </c>
      <c r="T21052" s="7" t="str">
        <f>HYPERLINK("#Liste_rouge!A"&amp;_xlfn.XMATCH("NE",Liste_rouge!A:A,2,1),"NE")</f>
        <v>NE</v>
      </c>
      <c r="AH21052" s="4" t="str">
        <f>HYPERLINK("#Statut_biogéographique!A"&amp;_xlfn.XMATCH("D",Statut_biogéographique!A:A,2,1),"D")</f>
        <v>D</v>
      </c>
      <c r="AP21052" s="4" t="s">
        <v>376</v>
      </c>
      <c r="AR21052" s="4" t="s">
        <v>377</v>
      </c>
    </row>
    <row r="21053" spans="1:44" ht="45">
      <c r="A21053" s="4" t="s">
        <v>24364</v>
      </c>
      <c r="B21053" s="4">
        <v>119665</v>
      </c>
      <c r="D21053" s="5" t="s">
        <v>26997</v>
      </c>
      <c r="E21053" s="6" t="str">
        <f>HYPERLINK("https://inpn.mnhn.fr/espece/cd_nom/119665","Rumex x platyphyllos Aresch., 1862")</f>
        <v>Rumex x platyphyllos Aresch., 1862</v>
      </c>
      <c r="F21053" s="5" t="s">
        <v>26998</v>
      </c>
      <c r="AH21053" s="4" t="str">
        <f>HYPERLINK("#Statut_biogéographique!A"&amp;_xlfn.XMATCH("D",Statut_biogéographique!A:A,2,1),"D")</f>
        <v>D</v>
      </c>
      <c r="AP21053" s="4" t="s">
        <v>376</v>
      </c>
      <c r="AR21053" s="4" t="s">
        <v>377</v>
      </c>
    </row>
    <row r="21054" spans="1:44" ht="30">
      <c r="A21054" s="4" t="s">
        <v>24364</v>
      </c>
      <c r="B21054" s="4">
        <v>119666</v>
      </c>
      <c r="D21054" s="5" t="s">
        <v>26999</v>
      </c>
      <c r="E21054" s="6" t="str">
        <f>HYPERLINK("https://inpn.mnhn.fr/espece/cd_nom/119666","Rumex x pratensis Mert. &amp; W.D.J.Koch, 1826")</f>
        <v>Rumex x pratensis Mert. &amp; W.D.J.Koch, 1826</v>
      </c>
      <c r="F21054" s="5" t="s">
        <v>27000</v>
      </c>
      <c r="T21054" s="7" t="str">
        <f>HYPERLINK("#Liste_rouge!A"&amp;_xlfn.XMATCH("LC",Liste_rouge!A:A,2,1),"LC")</f>
        <v>LC</v>
      </c>
      <c r="AH21054" s="4" t="str">
        <f>HYPERLINK("#Statut_biogéographique!A"&amp;_xlfn.XMATCH("D",Statut_biogéographique!A:A,2,1),"D")</f>
        <v>D</v>
      </c>
      <c r="AP21054" s="4" t="s">
        <v>376</v>
      </c>
      <c r="AR21054" s="4" t="s">
        <v>377</v>
      </c>
    </row>
    <row r="21055" spans="1:44" ht="30">
      <c r="A21055" s="4" t="s">
        <v>24364</v>
      </c>
      <c r="B21055" s="4">
        <v>119671</v>
      </c>
      <c r="D21055" s="5" t="s">
        <v>27001</v>
      </c>
      <c r="E21055" s="6" t="str">
        <f>HYPERLINK("https://inpn.mnhn.fr/espece/cd_nom/119671","Rumex x ruhmeri Hausskn., 1885")</f>
        <v>Rumex x ruhmeri Hausskn., 1885</v>
      </c>
      <c r="F21055" s="5" t="s">
        <v>27002</v>
      </c>
      <c r="T21055" s="7" t="str">
        <f>HYPERLINK("#Liste_rouge!A"&amp;_xlfn.XMATCH("DD",Liste_rouge!A:A,2,1),"DD")</f>
        <v>DD</v>
      </c>
      <c r="AH21055" s="4" t="str">
        <f>HYPERLINK("#Statut_biogéographique!A"&amp;_xlfn.XMATCH("D",Statut_biogéographique!A:A,2,1),"D")</f>
        <v>D</v>
      </c>
      <c r="AP21055" s="4" t="s">
        <v>376</v>
      </c>
      <c r="AR21055" s="4" t="s">
        <v>377</v>
      </c>
    </row>
    <row r="21056" spans="1:44" ht="30">
      <c r="A21056" s="4" t="s">
        <v>24364</v>
      </c>
      <c r="B21056" s="4">
        <v>119676</v>
      </c>
      <c r="D21056" s="5">
        <v>119676</v>
      </c>
      <c r="E21056" s="6" t="str">
        <f>HYPERLINK("https://inpn.mnhn.fr/espece/cd_nom/119676","Rumex x schulzei Hausskn., 1885")</f>
        <v>Rumex x schulzei Hausskn., 1885</v>
      </c>
      <c r="F21056" s="5" t="s">
        <v>27003</v>
      </c>
      <c r="T21056" s="7" t="str">
        <f>HYPERLINK("#Liste_rouge!A"&amp;_xlfn.XMATCH("DD",Liste_rouge!A:A,2,1),"DD")</f>
        <v>DD</v>
      </c>
      <c r="AH21056" s="4" t="str">
        <f>HYPERLINK("#Statut_biogéographique!A"&amp;_xlfn.XMATCH("D",Statut_biogéographique!A:A,2,1),"D")</f>
        <v>D</v>
      </c>
      <c r="AP21056" s="4" t="s">
        <v>376</v>
      </c>
      <c r="AR21056" s="4" t="s">
        <v>377</v>
      </c>
    </row>
    <row r="21057" spans="1:44" ht="75">
      <c r="A21057" s="4" t="s">
        <v>24364</v>
      </c>
      <c r="B21057" s="4">
        <v>119691</v>
      </c>
      <c r="D21057" s="5" t="s">
        <v>27004</v>
      </c>
      <c r="E21057" s="6" t="str">
        <f>HYPERLINK("https://inpn.mnhn.fr/espece/cd_nom/119691","Ruppia maritima L., 1753")</f>
        <v>Ruppia maritima L., 1753</v>
      </c>
      <c r="F21057" s="5" t="s">
        <v>27005</v>
      </c>
      <c r="O21057" s="7" t="str">
        <f>HYPERLINK("#Liste_rouge!A"&amp;_xlfn.XMATCH("LC",Liste_rouge!A:A,2,1),"LC")</f>
        <v>LC</v>
      </c>
      <c r="P21057" s="7" t="str">
        <f>HYPERLINK("#Liste_rouge!A"&amp;_xlfn.XMATCH("LC",Liste_rouge!A:A,2,1),"LC")</f>
        <v>LC</v>
      </c>
      <c r="Q21057" s="7" t="str">
        <f>HYPERLINK("#Liste_rouge!A"&amp;_xlfn.XMATCH("LC",Liste_rouge!A:A,2,1),"LC")</f>
        <v>LC</v>
      </c>
      <c r="AH21057" s="4" t="str">
        <f>HYPERLINK("#Statut_biogéographique!A"&amp;_xlfn.XMATCH("P",Statut_biogéographique!A:A,2,1),"P")</f>
        <v>P</v>
      </c>
      <c r="AP21057" s="4" t="s">
        <v>376</v>
      </c>
      <c r="AR21057" s="4" t="s">
        <v>377</v>
      </c>
    </row>
    <row r="21058" spans="1:44" ht="30">
      <c r="A21058" s="4" t="s">
        <v>24364</v>
      </c>
      <c r="B21058" s="4">
        <v>119698</v>
      </c>
      <c r="D21058" s="5" t="s">
        <v>27006</v>
      </c>
      <c r="E21058" s="6" t="str">
        <f>HYPERLINK("https://inpn.mnhn.fr/espece/cd_nom/119698","Ruscus aculeatus L., 1753")</f>
        <v>Ruscus aculeatus L., 1753</v>
      </c>
      <c r="F21058" s="5" t="s">
        <v>27007</v>
      </c>
      <c r="K21058" s="4" t="str">
        <f>HYPERLINK("#Réglementation!A"&amp;_xlfn.XMATCH("CDH5",Réglementation!A:A,2,1),"CDH5")</f>
        <v>CDH5</v>
      </c>
      <c r="N21058" s="4" t="str">
        <f>HYPERLINK("#Réglementation!A"&amp;_xlfn.XMATCH("V25P2",Réglementation!A:A,2,1),"V25P2 - V70P2")</f>
        <v>V25P2 - V70P2</v>
      </c>
      <c r="P21058" s="7" t="str">
        <f>HYPERLINK("#Liste_rouge!A"&amp;_xlfn.XMATCH("LC",Liste_rouge!A:A,2,1),"LC")</f>
        <v>LC</v>
      </c>
      <c r="Q21058" s="7" t="str">
        <f>HYPERLINK("#Liste_rouge!A"&amp;_xlfn.XMATCH("LC",Liste_rouge!A:A,2,1),"LC")</f>
        <v>LC</v>
      </c>
      <c r="T21058" s="7" t="str">
        <f>HYPERLINK("#Liste_rouge!A"&amp;_xlfn.XMATCH("LC",Liste_rouge!A:A,2,1),"LC")</f>
        <v>LC</v>
      </c>
      <c r="V21058" s="7" t="str">
        <f>HYPERLINK("#Liste_rouge!A"&amp;_xlfn.XMATCH("LC",Liste_rouge!A:A,2,1),"LC")</f>
        <v>LC</v>
      </c>
      <c r="AB21058" s="4" t="s">
        <v>24719</v>
      </c>
      <c r="AH21058" s="4" t="str">
        <f>HYPERLINK("#Statut_biogéographique!A"&amp;_xlfn.XMATCH("P",Statut_biogéographique!A:A,2,1),"P")</f>
        <v>P</v>
      </c>
      <c r="AK21058" s="4" t="str">
        <f>HYPERLINK("#Réglementation!A"&amp;_xlfn.XMATCH("V39P2",Réglementation!A:A,2,1),"V39P2 - V39P6 - V25P2 - V70P2")</f>
        <v>V39P2 - V39P6 - V25P2 - V70P2</v>
      </c>
      <c r="AM21058" s="4" t="s">
        <v>375</v>
      </c>
      <c r="AN21058" s="4" t="s">
        <v>375</v>
      </c>
      <c r="AO21058" s="4" t="s">
        <v>375</v>
      </c>
      <c r="AP21058" s="4" t="s">
        <v>376</v>
      </c>
      <c r="AR21058" s="4" t="s">
        <v>377</v>
      </c>
    </row>
    <row r="21059" spans="1:44" ht="30">
      <c r="A21059" s="4" t="s">
        <v>24364</v>
      </c>
      <c r="B21059" s="4">
        <v>119716</v>
      </c>
      <c r="D21059" s="5" t="s">
        <v>27008</v>
      </c>
      <c r="E21059" s="6" t="str">
        <f>HYPERLINK("https://inpn.mnhn.fr/espece/cd_nom/119716","Ruta graveolens L., 1753")</f>
        <v>Ruta graveolens L., 1753</v>
      </c>
      <c r="F21059" s="5" t="s">
        <v>27009</v>
      </c>
      <c r="P21059" s="7" t="str">
        <f>HYPERLINK("#Liste_rouge!A"&amp;_xlfn.XMATCH("LC",Liste_rouge!A:A,2,1),"LC")</f>
        <v>LC</v>
      </c>
      <c r="Q21059" s="7" t="str">
        <f>HYPERLINK("#Liste_rouge!A"&amp;_xlfn.XMATCH("LC",Liste_rouge!A:A,2,1),"LC")</f>
        <v>LC</v>
      </c>
      <c r="T21059" s="7" t="str">
        <f>HYPERLINK("#Liste_rouge!A"&amp;_xlfn.XMATCH("NA",Liste_rouge!A:A,2,1),"NA")</f>
        <v>NA</v>
      </c>
      <c r="AH21059" s="4" t="str">
        <f>HYPERLINK("#Statut_biogéographique!A"&amp;_xlfn.XMATCH("I",Statut_biogéographique!A:A,2,1),"I")</f>
        <v>I</v>
      </c>
      <c r="AM21059" s="4" t="s">
        <v>375</v>
      </c>
      <c r="AN21059" s="4" t="s">
        <v>375</v>
      </c>
      <c r="AO21059" s="4" t="s">
        <v>375</v>
      </c>
      <c r="AP21059" s="4" t="s">
        <v>376</v>
      </c>
      <c r="AR21059" s="4" t="s">
        <v>377</v>
      </c>
    </row>
    <row r="21060" spans="1:44" ht="30">
      <c r="A21060" s="4" t="s">
        <v>24364</v>
      </c>
      <c r="B21060" s="4">
        <v>119753</v>
      </c>
      <c r="D21060" s="5" t="s">
        <v>27010</v>
      </c>
      <c r="E21060" s="6" t="str">
        <f>HYPERLINK("https://inpn.mnhn.fr/espece/cd_nom/119753","Sabulina tenuifolia (L.) Rchb., 1832")</f>
        <v>Sabulina tenuifolia (L.) Rchb., 1832</v>
      </c>
      <c r="F21060" s="5" t="s">
        <v>24413</v>
      </c>
      <c r="Q21060" s="7" t="str">
        <f>HYPERLINK("#Liste_rouge!A"&amp;_xlfn.XMATCH("LC",Liste_rouge!A:A,2,1),"LC")</f>
        <v>LC</v>
      </c>
      <c r="T21060" s="7" t="str">
        <f>HYPERLINK("#Liste_rouge!A"&amp;_xlfn.XMATCH("LC",Liste_rouge!A:A,2,1),"LC")</f>
        <v>LC</v>
      </c>
      <c r="V21060" s="7" t="str">
        <f>HYPERLINK("#Liste_rouge!A"&amp;_xlfn.XMATCH("LC",Liste_rouge!A:A,2,1),"LC")</f>
        <v>LC</v>
      </c>
      <c r="AH21060" s="4" t="str">
        <f>HYPERLINK("#Statut_biogéographique!A"&amp;_xlfn.XMATCH("P",Statut_biogéographique!A:A,2,1),"P")</f>
        <v>P</v>
      </c>
      <c r="AM21060" s="4" t="s">
        <v>375</v>
      </c>
      <c r="AN21060" s="4" t="s">
        <v>375</v>
      </c>
      <c r="AO21060" s="4" t="s">
        <v>375</v>
      </c>
      <c r="AP21060" s="4" t="s">
        <v>376</v>
      </c>
      <c r="AR21060" s="4" t="s">
        <v>377</v>
      </c>
    </row>
    <row r="21061" spans="1:44" ht="75">
      <c r="A21061" s="4" t="s">
        <v>24364</v>
      </c>
      <c r="B21061" s="4">
        <v>119754</v>
      </c>
      <c r="D21061" s="5" t="s">
        <v>27011</v>
      </c>
      <c r="E21061" s="6" t="str">
        <f>HYPERLINK("https://inpn.mnhn.fr/espece/cd_nom/119754","Sabulina verna (L.) Rchb., 1832")</f>
        <v>Sabulina verna (L.) Rchb., 1832</v>
      </c>
      <c r="F21061" s="5" t="s">
        <v>24375</v>
      </c>
      <c r="Q21061" s="7" t="str">
        <f>HYPERLINK("#Liste_rouge!A"&amp;_xlfn.XMATCH("LC",Liste_rouge!A:A,2,1),"LC")</f>
        <v>LC</v>
      </c>
      <c r="T21061" s="7" t="str">
        <f>HYPERLINK("#Liste_rouge!A"&amp;_xlfn.XMATCH("NE",Liste_rouge!A:A,2,1),"NE")</f>
        <v>NE</v>
      </c>
      <c r="V21061" s="7" t="str">
        <f>HYPERLINK("#Liste_rouge!A"&amp;_xlfn.XMATCH("LC",Liste_rouge!A:A,2,1),"LC")</f>
        <v>LC</v>
      </c>
      <c r="AB21061" s="4" t="s">
        <v>24447</v>
      </c>
      <c r="AH21061" s="4" t="str">
        <f>HYPERLINK("#Statut_biogéographique!A"&amp;_xlfn.XMATCH("P",Statut_biogéographique!A:A,2,1),"P")</f>
        <v>P</v>
      </c>
      <c r="AM21061" s="4" t="s">
        <v>375</v>
      </c>
      <c r="AN21061" s="4" t="s">
        <v>375</v>
      </c>
      <c r="AO21061" s="4" t="s">
        <v>375</v>
      </c>
      <c r="AP21061" s="4" t="s">
        <v>376</v>
      </c>
      <c r="AR21061" s="4" t="s">
        <v>377</v>
      </c>
    </row>
    <row r="21062" spans="1:44" ht="30">
      <c r="A21062" s="4" t="s">
        <v>24364</v>
      </c>
      <c r="B21062" s="4">
        <v>119756</v>
      </c>
      <c r="D21062" s="5" t="s">
        <v>27012</v>
      </c>
      <c r="E21062" s="6" t="str">
        <f>HYPERLINK("https://inpn.mnhn.fr/espece/cd_nom/119756","Sabulina viscosa (Schreb.) Rchb., 1832")</f>
        <v>Sabulina viscosa (Schreb.) Rchb., 1832</v>
      </c>
      <c r="F21062" s="5" t="s">
        <v>27013</v>
      </c>
      <c r="Q21062" s="7" t="str">
        <f>HYPERLINK("#Liste_rouge!A"&amp;_xlfn.XMATCH("VU",Liste_rouge!A:A,2,1),"VU")</f>
        <v>VU</v>
      </c>
      <c r="T21062" s="7" t="str">
        <f>HYPERLINK("#Liste_rouge!A"&amp;_xlfn.XMATCH("CR",Liste_rouge!A:A,2,1),"CR")</f>
        <v>CR</v>
      </c>
      <c r="U21062" s="4" t="str">
        <f>HYPERLINK("#Critères_liste_rouge!A$1","B1a")</f>
        <v>B1a</v>
      </c>
      <c r="X21062" s="5" t="s">
        <v>374</v>
      </c>
      <c r="AB21062" s="4" t="s">
        <v>93</v>
      </c>
      <c r="AE21062" s="4" t="str">
        <f>HYPERLINK("#SCAP!A"&amp;_xlfn.XMATCH("1+",SCAP!A:A,2,1),"1+")</f>
        <v>1+</v>
      </c>
      <c r="AF21062" s="4" t="str">
        <f>HYPERLINK("#SCAP!A"&amp;_xlfn.XMATCH("1+",SCAP!A:A,2,1),"1+")</f>
        <v>1+</v>
      </c>
      <c r="AH21062" s="4" t="str">
        <f>HYPERLINK("#Statut_biogéographique!A"&amp;_xlfn.XMATCH("P",Statut_biogéographique!A:A,2,1),"P")</f>
        <v>P</v>
      </c>
      <c r="AM21062" s="4" t="s">
        <v>375</v>
      </c>
      <c r="AN21062" s="4" t="s">
        <v>375</v>
      </c>
      <c r="AO21062" s="4" t="s">
        <v>375</v>
      </c>
      <c r="AP21062" s="4" t="s">
        <v>376</v>
      </c>
      <c r="AR21062" s="4" t="s">
        <v>377</v>
      </c>
    </row>
    <row r="21063" spans="1:44">
      <c r="A21063" s="4" t="s">
        <v>24364</v>
      </c>
      <c r="B21063" s="4">
        <v>119780</v>
      </c>
      <c r="D21063" s="5" t="s">
        <v>27014</v>
      </c>
      <c r="E21063" s="6" t="str">
        <f>HYPERLINK("https://inpn.mnhn.fr/espece/cd_nom/119780","Sagina apetala Ard., 1763")</f>
        <v>Sagina apetala Ard., 1763</v>
      </c>
      <c r="F21063" s="5" t="s">
        <v>27015</v>
      </c>
      <c r="Q21063" s="7" t="str">
        <f>HYPERLINK("#Liste_rouge!A"&amp;_xlfn.XMATCH("LC",Liste_rouge!A:A,2,1),"LC")</f>
        <v>LC</v>
      </c>
      <c r="T21063" s="7" t="str">
        <f>HYPERLINK("#Liste_rouge!A"&amp;_xlfn.XMATCH("LC",Liste_rouge!A:A,2,1),"LC")</f>
        <v>LC</v>
      </c>
      <c r="V21063" s="7" t="str">
        <f>HYPERLINK("#Liste_rouge!A"&amp;_xlfn.XMATCH("LC",Liste_rouge!A:A,2,1),"LC")</f>
        <v>LC</v>
      </c>
      <c r="AH21063" s="4" t="str">
        <f>HYPERLINK("#Statut_biogéographique!A"&amp;_xlfn.XMATCH("P",Statut_biogéographique!A:A,2,1),"P")</f>
        <v>P</v>
      </c>
      <c r="AM21063" s="4" t="s">
        <v>375</v>
      </c>
      <c r="AN21063" s="4" t="s">
        <v>375</v>
      </c>
      <c r="AO21063" s="4" t="s">
        <v>375</v>
      </c>
      <c r="AP21063" s="4" t="s">
        <v>376</v>
      </c>
      <c r="AR21063" s="4" t="s">
        <v>377</v>
      </c>
    </row>
    <row r="21064" spans="1:44" ht="30">
      <c r="A21064" s="4" t="s">
        <v>24364</v>
      </c>
      <c r="B21064" s="4">
        <v>119812</v>
      </c>
      <c r="D21064" s="5" t="s">
        <v>27016</v>
      </c>
      <c r="E21064" s="6" t="str">
        <f>HYPERLINK("https://inpn.mnhn.fr/espece/cd_nom/119812","Sagina nodosa (L.) Fenzl, 1833")</f>
        <v>Sagina nodosa (L.) Fenzl, 1833</v>
      </c>
      <c r="F21064" s="5" t="s">
        <v>27017</v>
      </c>
      <c r="Q21064" s="7" t="str">
        <f>HYPERLINK("#Liste_rouge!A"&amp;_xlfn.XMATCH("NT",Liste_rouge!A:A,2,1),"NT")</f>
        <v>NT</v>
      </c>
      <c r="T21064" s="7" t="str">
        <f>HYPERLINK("#Liste_rouge!A"&amp;_xlfn.XMATCH("RE",Liste_rouge!A:A,2,1),"RE")</f>
        <v>RE</v>
      </c>
      <c r="V21064" s="7" t="str">
        <f>HYPERLINK("#Liste_rouge!A"&amp;_xlfn.XMATCH("LC",Liste_rouge!A:A,2,1),"LC")</f>
        <v>LC</v>
      </c>
      <c r="X21064" s="5" t="s">
        <v>374</v>
      </c>
      <c r="AB21064" s="4" t="s">
        <v>93</v>
      </c>
      <c r="AH21064" s="4" t="str">
        <f>HYPERLINK("#Statut_biogéographique!A"&amp;_xlfn.XMATCH("P",Statut_biogéographique!A:A,2,1),"P")</f>
        <v>P</v>
      </c>
      <c r="AM21064" s="4" t="s">
        <v>375</v>
      </c>
      <c r="AN21064" s="4" t="s">
        <v>375</v>
      </c>
      <c r="AO21064" s="4" t="s">
        <v>375</v>
      </c>
      <c r="AP21064" s="4" t="s">
        <v>376</v>
      </c>
      <c r="AR21064" s="4" t="s">
        <v>377</v>
      </c>
    </row>
    <row r="21065" spans="1:44" ht="45">
      <c r="A21065" s="4" t="s">
        <v>24364</v>
      </c>
      <c r="B21065" s="4">
        <v>119818</v>
      </c>
      <c r="D21065" s="5" t="s">
        <v>27018</v>
      </c>
      <c r="E21065" s="6" t="str">
        <f>HYPERLINK("https://inpn.mnhn.fr/espece/cd_nom/119818","Sagina procumbens L., 1753")</f>
        <v>Sagina procumbens L., 1753</v>
      </c>
      <c r="F21065" s="5" t="s">
        <v>27019</v>
      </c>
      <c r="Q21065" s="7" t="str">
        <f>HYPERLINK("#Liste_rouge!A"&amp;_xlfn.XMATCH("LC",Liste_rouge!A:A,2,1),"LC")</f>
        <v>LC</v>
      </c>
      <c r="T21065" s="7" t="str">
        <f>HYPERLINK("#Liste_rouge!A"&amp;_xlfn.XMATCH("LC",Liste_rouge!A:A,2,1),"LC")</f>
        <v>LC</v>
      </c>
      <c r="V21065" s="7" t="str">
        <f>HYPERLINK("#Liste_rouge!A"&amp;_xlfn.XMATCH("LC",Liste_rouge!A:A,2,1),"LC")</f>
        <v>LC</v>
      </c>
      <c r="AH21065" s="4" t="str">
        <f>HYPERLINK("#Statut_biogéographique!A"&amp;_xlfn.XMATCH("P",Statut_biogéographique!A:A,2,1),"P")</f>
        <v>P</v>
      </c>
      <c r="AM21065" s="4" t="s">
        <v>375</v>
      </c>
      <c r="AN21065" s="4" t="s">
        <v>375</v>
      </c>
      <c r="AO21065" s="4" t="s">
        <v>375</v>
      </c>
      <c r="AP21065" s="4" t="s">
        <v>376</v>
      </c>
      <c r="AR21065" s="4" t="s">
        <v>377</v>
      </c>
    </row>
    <row r="21066" spans="1:44" ht="45">
      <c r="A21066" s="4" t="s">
        <v>24364</v>
      </c>
      <c r="B21066" s="4">
        <v>119824</v>
      </c>
      <c r="D21066" s="5" t="s">
        <v>27020</v>
      </c>
      <c r="E21066" s="6" t="str">
        <f>HYPERLINK("https://inpn.mnhn.fr/espece/cd_nom/119824","Sagina revelierei Jord. &amp; Fourr., 1866")</f>
        <v>Sagina revelierei Jord. &amp; Fourr., 1866</v>
      </c>
      <c r="F21066" s="5" t="s">
        <v>27021</v>
      </c>
      <c r="Q21066" s="7" t="str">
        <f>HYPERLINK("#Liste_rouge!A"&amp;_xlfn.XMATCH("LC",Liste_rouge!A:A,2,1),"LC")</f>
        <v>LC</v>
      </c>
      <c r="T21066" s="7" t="str">
        <f>HYPERLINK("#Liste_rouge!A"&amp;_xlfn.XMATCH("RE",Liste_rouge!A:A,2,1),"RE")</f>
        <v>RE</v>
      </c>
      <c r="AH21066" s="4" t="str">
        <f>HYPERLINK("#Statut_biogéographique!A"&amp;_xlfn.XMATCH("P",Statut_biogéographique!A:A,2,1),"P")</f>
        <v>P</v>
      </c>
      <c r="AM21066" s="4" t="s">
        <v>375</v>
      </c>
      <c r="AN21066" s="4" t="s">
        <v>375</v>
      </c>
      <c r="AO21066" s="4" t="s">
        <v>375</v>
      </c>
      <c r="AP21066" s="4" t="s">
        <v>376</v>
      </c>
      <c r="AR21066" s="4" t="s">
        <v>377</v>
      </c>
    </row>
    <row r="21067" spans="1:44" ht="90">
      <c r="A21067" s="4" t="s">
        <v>24364</v>
      </c>
      <c r="B21067" s="4">
        <v>119827</v>
      </c>
      <c r="D21067" s="5" t="s">
        <v>27022</v>
      </c>
      <c r="E21067" s="6" t="str">
        <f>HYPERLINK("https://inpn.mnhn.fr/espece/cd_nom/119827","Sagina saginoides (L.) H.Karst., 1882")</f>
        <v>Sagina saginoides (L.) H.Karst., 1882</v>
      </c>
      <c r="F21067" s="5" t="s">
        <v>27023</v>
      </c>
      <c r="Q21067" s="7" t="str">
        <f>HYPERLINK("#Liste_rouge!A"&amp;_xlfn.XMATCH("LC",Liste_rouge!A:A,2,1),"LC")</f>
        <v>LC</v>
      </c>
      <c r="T21067" s="7" t="str">
        <f>HYPERLINK("#Liste_rouge!A"&amp;_xlfn.XMATCH("NE",Liste_rouge!A:A,2,1),"NE")</f>
        <v>NE</v>
      </c>
      <c r="V21067" s="7" t="str">
        <f>HYPERLINK("#Liste_rouge!A"&amp;_xlfn.XMATCH("CR",Liste_rouge!A:A,2,1),"CR")</f>
        <v>CR</v>
      </c>
      <c r="W21067" s="4" t="str">
        <f>HYPERLINK("#Critères_liste_rouge!A$1","D")</f>
        <v>D</v>
      </c>
      <c r="X21067" s="5" t="s">
        <v>374</v>
      </c>
      <c r="AB21067" s="4" t="s">
        <v>93</v>
      </c>
      <c r="AH21067" s="4" t="str">
        <f>HYPERLINK("#Statut_biogéographique!A"&amp;_xlfn.XMATCH("P",Statut_biogéographique!A:A,2,1),"P")</f>
        <v>P</v>
      </c>
      <c r="AM21067" s="4" t="s">
        <v>375</v>
      </c>
      <c r="AN21067" s="4" t="s">
        <v>375</v>
      </c>
      <c r="AO21067" s="4" t="s">
        <v>375</v>
      </c>
      <c r="AP21067" s="4" t="s">
        <v>376</v>
      </c>
      <c r="AR21067" s="4" t="s">
        <v>377</v>
      </c>
    </row>
    <row r="21068" spans="1:44" ht="30">
      <c r="A21068" s="4" t="s">
        <v>24364</v>
      </c>
      <c r="B21068" s="4">
        <v>119854</v>
      </c>
      <c r="D21068" s="5" t="s">
        <v>27024</v>
      </c>
      <c r="E21068" s="6" t="str">
        <f>HYPERLINK("https://inpn.mnhn.fr/espece/cd_nom/119854","Sagittaria latifolia Willd., 1805")</f>
        <v>Sagittaria latifolia Willd., 1805</v>
      </c>
      <c r="F21068" s="5" t="s">
        <v>27025</v>
      </c>
      <c r="Q21068" s="7" t="str">
        <f>HYPERLINK("#Liste_rouge!A"&amp;_xlfn.XMATCH("NA",Liste_rouge!A:A,2,1),"NA")</f>
        <v>NA</v>
      </c>
      <c r="T21068" s="7" t="str">
        <f>HYPERLINK("#Liste_rouge!A"&amp;_xlfn.XMATCH("NA",Liste_rouge!A:A,2,1),"NA")</f>
        <v>NA</v>
      </c>
      <c r="AH21068" s="4" t="str">
        <f>HYPERLINK("#Statut_biogéographique!A"&amp;_xlfn.XMATCH("I",Statut_biogéographique!A:A,2,1),"I")</f>
        <v>I</v>
      </c>
      <c r="AP21068" s="4" t="s">
        <v>376</v>
      </c>
      <c r="AR21068" s="4" t="s">
        <v>377</v>
      </c>
    </row>
    <row r="21069" spans="1:44" ht="60">
      <c r="A21069" s="4" t="s">
        <v>24364</v>
      </c>
      <c r="B21069" s="4">
        <v>119860</v>
      </c>
      <c r="D21069" s="5" t="s">
        <v>27026</v>
      </c>
      <c r="E21069" s="6" t="str">
        <f>HYPERLINK("https://inpn.mnhn.fr/espece/cd_nom/119860","Sagittaria sagittifolia L., 1753")</f>
        <v>Sagittaria sagittifolia L., 1753</v>
      </c>
      <c r="F21069" s="5" t="s">
        <v>27027</v>
      </c>
      <c r="O21069" s="7" t="str">
        <f>HYPERLINK("#Liste_rouge!A"&amp;_xlfn.XMATCH("LC",Liste_rouge!A:A,2,1),"LC")</f>
        <v>LC</v>
      </c>
      <c r="P21069" s="7" t="str">
        <f>HYPERLINK("#Liste_rouge!A"&amp;_xlfn.XMATCH("LC",Liste_rouge!A:A,2,1),"LC")</f>
        <v>LC</v>
      </c>
      <c r="Q21069" s="7" t="str">
        <f>HYPERLINK("#Liste_rouge!A"&amp;_xlfn.XMATCH("LC",Liste_rouge!A:A,2,1),"LC")</f>
        <v>LC</v>
      </c>
      <c r="T21069" s="7" t="str">
        <f>HYPERLINK("#Liste_rouge!A"&amp;_xlfn.XMATCH("LC",Liste_rouge!A:A,2,1),"LC")</f>
        <v>LC</v>
      </c>
      <c r="AB21069" s="4" t="s">
        <v>24634</v>
      </c>
      <c r="AH21069" s="4" t="str">
        <f>HYPERLINK("#Statut_biogéographique!A"&amp;_xlfn.XMATCH("P",Statut_biogéographique!A:A,2,1),"P")</f>
        <v>P</v>
      </c>
      <c r="AM21069" s="4" t="s">
        <v>375</v>
      </c>
      <c r="AN21069" s="4" t="s">
        <v>375</v>
      </c>
      <c r="AO21069" s="4" t="s">
        <v>375</v>
      </c>
      <c r="AP21069" s="4" t="s">
        <v>376</v>
      </c>
      <c r="AR21069" s="4" t="s">
        <v>377</v>
      </c>
    </row>
    <row r="21070" spans="1:44" ht="45">
      <c r="A21070" s="4" t="s">
        <v>24364</v>
      </c>
      <c r="B21070" s="4">
        <v>119915</v>
      </c>
      <c r="D21070" s="5" t="s">
        <v>27028</v>
      </c>
      <c r="E21070" s="6" t="str">
        <f>HYPERLINK("https://inpn.mnhn.fr/espece/cd_nom/119915","Salix alba L., 1753 [nom. et typ. cons.]")</f>
        <v>Salix alba L., 1753 [nom. et typ. cons.]</v>
      </c>
      <c r="F21070" s="5" t="s">
        <v>27029</v>
      </c>
      <c r="Q21070" s="7" t="str">
        <f>HYPERLINK("#Liste_rouge!A"&amp;_xlfn.XMATCH("LC",Liste_rouge!A:A,2,1),"LC")</f>
        <v>LC</v>
      </c>
      <c r="T21070" s="7" t="str">
        <f>HYPERLINK("#Liste_rouge!A"&amp;_xlfn.XMATCH("LC",Liste_rouge!A:A,2,1),"LC")</f>
        <v>LC</v>
      </c>
      <c r="V21070" s="7" t="str">
        <f>HYPERLINK("#Liste_rouge!A"&amp;_xlfn.XMATCH("LC",Liste_rouge!A:A,2,1),"LC")</f>
        <v>LC</v>
      </c>
      <c r="AH21070" s="4" t="str">
        <f>HYPERLINK("#Statut_biogéographique!A"&amp;_xlfn.XMATCH("P",Statut_biogéographique!A:A,2,1),"P")</f>
        <v>P</v>
      </c>
      <c r="AM21070" s="4" t="s">
        <v>375</v>
      </c>
      <c r="AN21070" s="4" t="s">
        <v>375</v>
      </c>
      <c r="AO21070" s="4" t="s">
        <v>375</v>
      </c>
      <c r="AP21070" s="4" t="s">
        <v>376</v>
      </c>
      <c r="AR21070" s="4" t="s">
        <v>377</v>
      </c>
    </row>
    <row r="21071" spans="1:44" ht="45">
      <c r="A21071" s="4" t="s">
        <v>24364</v>
      </c>
      <c r="B21071" s="4">
        <v>119933</v>
      </c>
      <c r="D21071" s="5" t="s">
        <v>27030</v>
      </c>
      <c r="E21071" s="6" t="str">
        <f>HYPERLINK("https://inpn.mnhn.fr/espece/cd_nom/119933","Salix appendiculata Vill., 1789")</f>
        <v>Salix appendiculata Vill., 1789</v>
      </c>
      <c r="F21071" s="5" t="s">
        <v>27031</v>
      </c>
      <c r="P21071" s="7" t="str">
        <f>HYPERLINK("#Liste_rouge!A"&amp;_xlfn.XMATCH("LC",Liste_rouge!A:A,2,1),"LC")</f>
        <v>LC</v>
      </c>
      <c r="Q21071" s="7" t="str">
        <f>HYPERLINK("#Liste_rouge!A"&amp;_xlfn.XMATCH("LC",Liste_rouge!A:A,2,1),"LC")</f>
        <v>LC</v>
      </c>
      <c r="V21071" s="7" t="str">
        <f>HYPERLINK("#Liste_rouge!A"&amp;_xlfn.XMATCH("LC",Liste_rouge!A:A,2,1),"LC")</f>
        <v>LC</v>
      </c>
      <c r="AH21071" s="4" t="str">
        <f>HYPERLINK("#Statut_biogéographique!A"&amp;_xlfn.XMATCH("P",Statut_biogéographique!A:A,2,1),"P")</f>
        <v>P</v>
      </c>
      <c r="AM21071" s="4" t="s">
        <v>375</v>
      </c>
      <c r="AN21071" s="4" t="s">
        <v>375</v>
      </c>
      <c r="AO21071" s="4" t="s">
        <v>375</v>
      </c>
      <c r="AP21071" s="4" t="s">
        <v>376</v>
      </c>
      <c r="AR21071" s="4" t="s">
        <v>377</v>
      </c>
    </row>
    <row r="21072" spans="1:44" ht="60">
      <c r="A21072" s="4" t="s">
        <v>24364</v>
      </c>
      <c r="B21072" s="4">
        <v>119948</v>
      </c>
      <c r="D21072" s="5" t="s">
        <v>27032</v>
      </c>
      <c r="E21072" s="6" t="str">
        <f>HYPERLINK("https://inpn.mnhn.fr/espece/cd_nom/119948","Salix atrocinerea Brot., 1804")</f>
        <v>Salix atrocinerea Brot., 1804</v>
      </c>
      <c r="F21072" s="5" t="s">
        <v>27033</v>
      </c>
      <c r="O21072" s="7" t="str">
        <f>HYPERLINK("#Liste_rouge!A"&amp;_xlfn.XMATCH("LC",Liste_rouge!A:A,2,1),"LC")</f>
        <v>LC</v>
      </c>
      <c r="P21072" s="7" t="str">
        <f>HYPERLINK("#Liste_rouge!A"&amp;_xlfn.XMATCH("LC",Liste_rouge!A:A,2,1),"LC")</f>
        <v>LC</v>
      </c>
      <c r="Q21072" s="7" t="str">
        <f>HYPERLINK("#Liste_rouge!A"&amp;_xlfn.XMATCH("LC",Liste_rouge!A:A,2,1),"LC")</f>
        <v>LC</v>
      </c>
      <c r="T21072" s="7" t="str">
        <f>HYPERLINK("#Liste_rouge!A"&amp;_xlfn.XMATCH("LC",Liste_rouge!A:A,2,1),"LC")</f>
        <v>LC</v>
      </c>
      <c r="AH21072" s="4" t="str">
        <f>HYPERLINK("#Statut_biogéographique!A"&amp;_xlfn.XMATCH("P",Statut_biogéographique!A:A,2,1),"P")</f>
        <v>P</v>
      </c>
      <c r="AM21072" s="4" t="s">
        <v>375</v>
      </c>
      <c r="AN21072" s="4" t="s">
        <v>375</v>
      </c>
      <c r="AO21072" s="4" t="s">
        <v>375</v>
      </c>
      <c r="AP21072" s="4" t="s">
        <v>376</v>
      </c>
      <c r="AR21072" s="4" t="s">
        <v>377</v>
      </c>
    </row>
    <row r="21073" spans="1:44" ht="75">
      <c r="A21073" s="4" t="s">
        <v>24364</v>
      </c>
      <c r="B21073" s="4">
        <v>119952</v>
      </c>
      <c r="D21073" s="5" t="s">
        <v>27034</v>
      </c>
      <c r="E21073" s="6" t="str">
        <f>HYPERLINK("https://inpn.mnhn.fr/espece/cd_nom/119952","Salix aurita L., 1753")</f>
        <v>Salix aurita L., 1753</v>
      </c>
      <c r="F21073" s="5" t="s">
        <v>27035</v>
      </c>
      <c r="Q21073" s="7" t="str">
        <f>HYPERLINK("#Liste_rouge!A"&amp;_xlfn.XMATCH("LC",Liste_rouge!A:A,2,1),"LC")</f>
        <v>LC</v>
      </c>
      <c r="T21073" s="7" t="str">
        <f>HYPERLINK("#Liste_rouge!A"&amp;_xlfn.XMATCH("LC",Liste_rouge!A:A,2,1),"LC")</f>
        <v>LC</v>
      </c>
      <c r="V21073" s="7" t="str">
        <f>HYPERLINK("#Liste_rouge!A"&amp;_xlfn.XMATCH("LC",Liste_rouge!A:A,2,1),"LC")</f>
        <v>LC</v>
      </c>
      <c r="AH21073" s="4" t="str">
        <f>HYPERLINK("#Statut_biogéographique!A"&amp;_xlfn.XMATCH("P",Statut_biogéographique!A:A,2,1),"P")</f>
        <v>P</v>
      </c>
      <c r="AM21073" s="4" t="s">
        <v>375</v>
      </c>
      <c r="AN21073" s="4" t="s">
        <v>375</v>
      </c>
      <c r="AO21073" s="4" t="s">
        <v>375</v>
      </c>
      <c r="AP21073" s="4" t="s">
        <v>376</v>
      </c>
      <c r="AR21073" s="4" t="s">
        <v>377</v>
      </c>
    </row>
    <row r="21074" spans="1:44" ht="45">
      <c r="A21074" s="4" t="s">
        <v>24364</v>
      </c>
      <c r="B21074" s="4">
        <v>119954</v>
      </c>
      <c r="D21074" s="5" t="s">
        <v>27036</v>
      </c>
      <c r="E21074" s="6" t="str">
        <f>HYPERLINK("https://inpn.mnhn.fr/espece/cd_nom/119954","Salix babylonica L., 1753")</f>
        <v>Salix babylonica L., 1753</v>
      </c>
      <c r="F21074" s="5" t="s">
        <v>27037</v>
      </c>
      <c r="O21074" s="7" t="str">
        <f>HYPERLINK("#Liste_rouge!A"&amp;_xlfn.XMATCH("LC",Liste_rouge!A:A,2,1),"LC")</f>
        <v>LC</v>
      </c>
      <c r="Q21074" s="7" t="str">
        <f>HYPERLINK("#Liste_rouge!A"&amp;_xlfn.XMATCH("NA",Liste_rouge!A:A,2,1),"NA")</f>
        <v>NA</v>
      </c>
      <c r="T21074" s="7" t="str">
        <f>HYPERLINK("#Liste_rouge!A"&amp;_xlfn.XMATCH("NA",Liste_rouge!A:A,2,1),"NA")</f>
        <v>NA</v>
      </c>
      <c r="AH21074" s="4" t="str">
        <f>HYPERLINK("#Statut_biogéographique!A"&amp;_xlfn.XMATCH("M",Statut_biogéographique!A:A,2,1),"M")</f>
        <v>M</v>
      </c>
      <c r="AP21074" s="4" t="s">
        <v>376</v>
      </c>
      <c r="AR21074" s="4" t="s">
        <v>377</v>
      </c>
    </row>
    <row r="21075" spans="1:44" ht="90">
      <c r="A21075" s="4" t="s">
        <v>24364</v>
      </c>
      <c r="B21075" s="4">
        <v>119977</v>
      </c>
      <c r="D21075" s="5" t="s">
        <v>27038</v>
      </c>
      <c r="E21075" s="6" t="str">
        <f>HYPERLINK("https://inpn.mnhn.fr/espece/cd_nom/119977","Salix caprea L., 1753")</f>
        <v>Salix caprea L., 1753</v>
      </c>
      <c r="F21075" s="5" t="s">
        <v>27039</v>
      </c>
      <c r="O21075" s="7" t="str">
        <f>HYPERLINK("#Liste_rouge!A"&amp;_xlfn.XMATCH("LC",Liste_rouge!A:A,2,1),"LC")</f>
        <v>LC</v>
      </c>
      <c r="P21075" s="7" t="str">
        <f>HYPERLINK("#Liste_rouge!A"&amp;_xlfn.XMATCH("LC",Liste_rouge!A:A,2,1),"LC")</f>
        <v>LC</v>
      </c>
      <c r="Q21075" s="7" t="str">
        <f>HYPERLINK("#Liste_rouge!A"&amp;_xlfn.XMATCH("LC",Liste_rouge!A:A,2,1),"LC")</f>
        <v>LC</v>
      </c>
      <c r="T21075" s="7" t="str">
        <f>HYPERLINK("#Liste_rouge!A"&amp;_xlfn.XMATCH("LC",Liste_rouge!A:A,2,1),"LC")</f>
        <v>LC</v>
      </c>
      <c r="V21075" s="7" t="str">
        <f>HYPERLINK("#Liste_rouge!A"&amp;_xlfn.XMATCH("LC",Liste_rouge!A:A,2,1),"LC")</f>
        <v>LC</v>
      </c>
      <c r="AH21075" s="4" t="str">
        <f>HYPERLINK("#Statut_biogéographique!A"&amp;_xlfn.XMATCH("P",Statut_biogéographique!A:A,2,1),"P")</f>
        <v>P</v>
      </c>
      <c r="AM21075" s="4" t="s">
        <v>375</v>
      </c>
      <c r="AN21075" s="4" t="s">
        <v>375</v>
      </c>
      <c r="AO21075" s="4" t="s">
        <v>375</v>
      </c>
      <c r="AP21075" s="4" t="s">
        <v>376</v>
      </c>
      <c r="AR21075" s="4" t="s">
        <v>377</v>
      </c>
    </row>
    <row r="21076" spans="1:44" ht="60">
      <c r="A21076" s="4" t="s">
        <v>24364</v>
      </c>
      <c r="B21076" s="4">
        <v>119991</v>
      </c>
      <c r="D21076" s="5" t="s">
        <v>27040</v>
      </c>
      <c r="E21076" s="6" t="str">
        <f>HYPERLINK("https://inpn.mnhn.fr/espece/cd_nom/119991","Salix cinerea L., 1753")</f>
        <v>Salix cinerea L., 1753</v>
      </c>
      <c r="F21076" s="5" t="s">
        <v>27041</v>
      </c>
      <c r="O21076" s="7" t="str">
        <f>HYPERLINK("#Liste_rouge!A"&amp;_xlfn.XMATCH("LC",Liste_rouge!A:A,2,1),"LC")</f>
        <v>LC</v>
      </c>
      <c r="P21076" s="7" t="str">
        <f>HYPERLINK("#Liste_rouge!A"&amp;_xlfn.XMATCH("LC",Liste_rouge!A:A,2,1),"LC")</f>
        <v>LC</v>
      </c>
      <c r="Q21076" s="7" t="str">
        <f>HYPERLINK("#Liste_rouge!A"&amp;_xlfn.XMATCH("LC",Liste_rouge!A:A,2,1),"LC")</f>
        <v>LC</v>
      </c>
      <c r="T21076" s="7" t="str">
        <f>HYPERLINK("#Liste_rouge!A"&amp;_xlfn.XMATCH("LC",Liste_rouge!A:A,2,1),"LC")</f>
        <v>LC</v>
      </c>
      <c r="V21076" s="7" t="str">
        <f>HYPERLINK("#Liste_rouge!A"&amp;_xlfn.XMATCH("LC",Liste_rouge!A:A,2,1),"LC")</f>
        <v>LC</v>
      </c>
      <c r="AH21076" s="4" t="str">
        <f>HYPERLINK("#Statut_biogéographique!A"&amp;_xlfn.XMATCH("P",Statut_biogéographique!A:A,2,1),"P")</f>
        <v>P</v>
      </c>
      <c r="AM21076" s="4" t="s">
        <v>375</v>
      </c>
      <c r="AN21076" s="4" t="s">
        <v>375</v>
      </c>
      <c r="AO21076" s="4" t="s">
        <v>375</v>
      </c>
      <c r="AP21076" s="4" t="s">
        <v>376</v>
      </c>
      <c r="AR21076" s="4" t="s">
        <v>377</v>
      </c>
    </row>
    <row r="21077" spans="1:44" ht="30">
      <c r="A21077" s="4" t="s">
        <v>24364</v>
      </c>
      <c r="B21077" s="4">
        <v>120009</v>
      </c>
      <c r="D21077" s="5" t="s">
        <v>27042</v>
      </c>
      <c r="E21077" s="6" t="str">
        <f>HYPERLINK("https://inpn.mnhn.fr/espece/cd_nom/120009","Salix daphnoides Vill., 1779")</f>
        <v>Salix daphnoides Vill., 1779</v>
      </c>
      <c r="F21077" s="5" t="s">
        <v>27043</v>
      </c>
      <c r="O21077" s="7" t="str">
        <f>HYPERLINK("#Liste_rouge!A"&amp;_xlfn.XMATCH("LC",Liste_rouge!A:A,2,1),"LC")</f>
        <v>LC</v>
      </c>
      <c r="P21077" s="7" t="str">
        <f>HYPERLINK("#Liste_rouge!A"&amp;_xlfn.XMATCH("LC",Liste_rouge!A:A,2,1),"LC")</f>
        <v>LC</v>
      </c>
      <c r="Q21077" s="7" t="str">
        <f>HYPERLINK("#Liste_rouge!A"&amp;_xlfn.XMATCH("LC",Liste_rouge!A:A,2,1),"LC")</f>
        <v>LC</v>
      </c>
      <c r="T21077" s="7" t="str">
        <f>HYPERLINK("#Liste_rouge!A"&amp;_xlfn.XMATCH("NA",Liste_rouge!A:A,2,1),"NA")</f>
        <v>NA</v>
      </c>
      <c r="AH21077" s="4" t="str">
        <f>HYPERLINK("#Statut_biogéographique!A"&amp;_xlfn.XMATCH("P",Statut_biogéographique!A:A,2,1),"P")</f>
        <v>P</v>
      </c>
      <c r="AP21077" s="4" t="s">
        <v>376</v>
      </c>
      <c r="AR21077" s="4" t="s">
        <v>377</v>
      </c>
    </row>
    <row r="21078" spans="1:44" ht="60">
      <c r="A21078" s="4" t="s">
        <v>24364</v>
      </c>
      <c r="B21078" s="4">
        <v>120029</v>
      </c>
      <c r="D21078" s="5" t="s">
        <v>27044</v>
      </c>
      <c r="E21078" s="6" t="str">
        <f>HYPERLINK("https://inpn.mnhn.fr/espece/cd_nom/120029","Salix eleagnos Scop., 1772")</f>
        <v>Salix eleagnos Scop., 1772</v>
      </c>
      <c r="F21078" s="5" t="s">
        <v>27045</v>
      </c>
      <c r="P21078" s="7" t="str">
        <f>HYPERLINK("#Liste_rouge!A"&amp;_xlfn.XMATCH("LC",Liste_rouge!A:A,2,1),"LC")</f>
        <v>LC</v>
      </c>
      <c r="Q21078" s="7" t="str">
        <f>HYPERLINK("#Liste_rouge!A"&amp;_xlfn.XMATCH("LC",Liste_rouge!A:A,2,1),"LC")</f>
        <v>LC</v>
      </c>
      <c r="T21078" s="7" t="str">
        <f>HYPERLINK("#Liste_rouge!A"&amp;_xlfn.XMATCH("DD",Liste_rouge!A:A,2,1),"DD (cd_nom 140449) - NT (cd_nom 120029)")</f>
        <v>DD (cd_nom 140449) - NT (cd_nom 120029)</v>
      </c>
      <c r="V21078" s="7" t="str">
        <f>HYPERLINK("#Liste_rouge!A"&amp;_xlfn.XMATCH("LC",Liste_rouge!A:A,2,1),"LC")</f>
        <v>LC</v>
      </c>
      <c r="AB21078" s="4" t="s">
        <v>27046</v>
      </c>
      <c r="AH21078" s="4" t="str">
        <f>HYPERLINK("#Statut_biogéographique!A"&amp;_xlfn.XMATCH("P",Statut_biogéographique!A:A,2,1),"P")</f>
        <v>P</v>
      </c>
      <c r="AM21078" s="4" t="s">
        <v>375</v>
      </c>
      <c r="AN21078" s="4" t="s">
        <v>375</v>
      </c>
      <c r="AO21078" s="4" t="s">
        <v>375</v>
      </c>
      <c r="AP21078" s="4" t="s">
        <v>376</v>
      </c>
      <c r="AR21078" s="4" t="s">
        <v>377</v>
      </c>
    </row>
    <row r="21079" spans="1:44" ht="60">
      <c r="A21079" s="4" t="s">
        <v>24364</v>
      </c>
      <c r="B21079" s="4">
        <v>120040</v>
      </c>
      <c r="D21079" s="5" t="s">
        <v>27047</v>
      </c>
      <c r="E21079" s="6" t="str">
        <f>HYPERLINK("https://inpn.mnhn.fr/espece/cd_nom/120040","Salix fragilis L., 1753")</f>
        <v>Salix fragilis L., 1753</v>
      </c>
      <c r="F21079" s="5" t="s">
        <v>27048</v>
      </c>
      <c r="P21079" s="7" t="str">
        <f>HYPERLINK("#Liste_rouge!A"&amp;_xlfn.XMATCH("LC",Liste_rouge!A:A,2,1),"LC")</f>
        <v>LC</v>
      </c>
      <c r="Q21079" s="7" t="str">
        <f>HYPERLINK("#Liste_rouge!A"&amp;_xlfn.XMATCH("LC",Liste_rouge!A:A,2,1),"LC")</f>
        <v>LC</v>
      </c>
      <c r="T21079" s="7" t="str">
        <f>HYPERLINK("#Liste_rouge!A"&amp;_xlfn.XMATCH("NE",Liste_rouge!A:A,2,1),"NE (cd_nom 151087) - LC (cd_nom 151085)")</f>
        <v>NE (cd_nom 151087) - LC (cd_nom 151085)</v>
      </c>
      <c r="V21079" s="7" t="str">
        <f>HYPERLINK("#Liste_rouge!A"&amp;_xlfn.XMATCH("LC",Liste_rouge!A:A,2,1),"LC")</f>
        <v>LC</v>
      </c>
      <c r="AH21079" s="4" t="str">
        <f>HYPERLINK("#Statut_biogéographique!A"&amp;_xlfn.XMATCH("P",Statut_biogéographique!A:A,2,1),"P")</f>
        <v>P</v>
      </c>
      <c r="AM21079" s="4" t="s">
        <v>375</v>
      </c>
      <c r="AN21079" s="4" t="s">
        <v>375</v>
      </c>
      <c r="AO21079" s="4" t="s">
        <v>375</v>
      </c>
      <c r="AP21079" s="4" t="s">
        <v>376</v>
      </c>
      <c r="AR21079" s="4" t="s">
        <v>377</v>
      </c>
    </row>
    <row r="21080" spans="1:44" ht="135">
      <c r="A21080" s="4" t="s">
        <v>24364</v>
      </c>
      <c r="B21080" s="4">
        <v>120135</v>
      </c>
      <c r="D21080" s="5" t="s">
        <v>27049</v>
      </c>
      <c r="E21080" s="6" t="str">
        <f>HYPERLINK("https://inpn.mnhn.fr/espece/cd_nom/120135","Salix myrsinifolia Salisb., 1796")</f>
        <v>Salix myrsinifolia Salisb., 1796</v>
      </c>
      <c r="F21080" s="5" t="s">
        <v>27050</v>
      </c>
      <c r="P21080" s="7" t="str">
        <f>HYPERLINK("#Liste_rouge!A"&amp;_xlfn.XMATCH("LC",Liste_rouge!A:A,2,1),"LC")</f>
        <v>LC</v>
      </c>
      <c r="Q21080" s="7" t="str">
        <f>HYPERLINK("#Liste_rouge!A"&amp;_xlfn.XMATCH("LC",Liste_rouge!A:A,2,1),"LC")</f>
        <v>LC</v>
      </c>
      <c r="V21080" s="7" t="str">
        <f>HYPERLINK("#Liste_rouge!A"&amp;_xlfn.XMATCH("LC",Liste_rouge!A:A,2,1),"LC")</f>
        <v>LC</v>
      </c>
      <c r="AB21080" s="4" t="s">
        <v>24410</v>
      </c>
      <c r="AH21080" s="4" t="str">
        <f>HYPERLINK("#Statut_biogéographique!A"&amp;_xlfn.XMATCH("P",Statut_biogéographique!A:A,2,1),"P")</f>
        <v>P</v>
      </c>
      <c r="AM21080" s="4" t="s">
        <v>375</v>
      </c>
      <c r="AN21080" s="4" t="s">
        <v>375</v>
      </c>
      <c r="AO21080" s="4" t="s">
        <v>375</v>
      </c>
      <c r="AP21080" s="4" t="s">
        <v>376</v>
      </c>
      <c r="AR21080" s="4" t="s">
        <v>377</v>
      </c>
    </row>
    <row r="21081" spans="1:44" ht="60">
      <c r="A21081" s="4" t="s">
        <v>24364</v>
      </c>
      <c r="B21081" s="4">
        <v>120163</v>
      </c>
      <c r="D21081" s="5" t="s">
        <v>27051</v>
      </c>
      <c r="E21081" s="6" t="str">
        <f>HYPERLINK("https://inpn.mnhn.fr/espece/cd_nom/120163","Salix pentandra L., 1753")</f>
        <v>Salix pentandra L., 1753</v>
      </c>
      <c r="F21081" s="5" t="s">
        <v>27052</v>
      </c>
      <c r="O21081" s="7" t="str">
        <f>HYPERLINK("#Liste_rouge!A"&amp;_xlfn.XMATCH("LC",Liste_rouge!A:A,2,1),"LC")</f>
        <v>LC</v>
      </c>
      <c r="P21081" s="7" t="str">
        <f>HYPERLINK("#Liste_rouge!A"&amp;_xlfn.XMATCH("LC",Liste_rouge!A:A,2,1),"LC")</f>
        <v>LC</v>
      </c>
      <c r="Q21081" s="7" t="str">
        <f>HYPERLINK("#Liste_rouge!A"&amp;_xlfn.XMATCH("LC",Liste_rouge!A:A,2,1),"LC")</f>
        <v>LC</v>
      </c>
      <c r="T21081" s="7" t="str">
        <f>HYPERLINK("#Liste_rouge!A"&amp;_xlfn.XMATCH("EN",Liste_rouge!A:A,2,1),"EN")</f>
        <v>EN</v>
      </c>
      <c r="U21081" s="4" t="str">
        <f>HYPERLINK("#Critères_liste_rouge!A$1","B2ab(ii,iii,iv) D1")</f>
        <v>B2ab(ii,iii,iv) D1</v>
      </c>
      <c r="V21081" s="7" t="str">
        <f>HYPERLINK("#Liste_rouge!A"&amp;_xlfn.XMATCH("LC",Liste_rouge!A:A,2,1),"LC")</f>
        <v>LC</v>
      </c>
      <c r="AB21081" s="4" t="s">
        <v>26735</v>
      </c>
      <c r="AH21081" s="4" t="str">
        <f>HYPERLINK("#Statut_biogéographique!A"&amp;_xlfn.XMATCH("P",Statut_biogéographique!A:A,2,1),"P")</f>
        <v>P</v>
      </c>
      <c r="AM21081" s="4" t="s">
        <v>375</v>
      </c>
      <c r="AN21081" s="4" t="s">
        <v>375</v>
      </c>
      <c r="AO21081" s="4" t="s">
        <v>375</v>
      </c>
      <c r="AP21081" s="4" t="s">
        <v>376</v>
      </c>
      <c r="AR21081" s="4" t="s">
        <v>377</v>
      </c>
    </row>
    <row r="21082" spans="1:44" ht="105">
      <c r="A21082" s="4" t="s">
        <v>24364</v>
      </c>
      <c r="B21082" s="4">
        <v>120189</v>
      </c>
      <c r="D21082" s="5" t="s">
        <v>27053</v>
      </c>
      <c r="E21082" s="6" t="str">
        <f>HYPERLINK("https://inpn.mnhn.fr/espece/cd_nom/120189","Salix purpurea L., 1753")</f>
        <v>Salix purpurea L., 1753</v>
      </c>
      <c r="F21082" s="5" t="s">
        <v>27054</v>
      </c>
      <c r="O21082" s="7" t="str">
        <f>HYPERLINK("#Liste_rouge!A"&amp;_xlfn.XMATCH("LC",Liste_rouge!A:A,2,1),"LC")</f>
        <v>LC</v>
      </c>
      <c r="P21082" s="7" t="str">
        <f>HYPERLINK("#Liste_rouge!A"&amp;_xlfn.XMATCH("LC",Liste_rouge!A:A,2,1),"LC")</f>
        <v>LC</v>
      </c>
      <c r="Q21082" s="7" t="str">
        <f>HYPERLINK("#Liste_rouge!A"&amp;_xlfn.XMATCH("LC",Liste_rouge!A:A,2,1),"LC")</f>
        <v>LC</v>
      </c>
      <c r="T21082" s="7" t="str">
        <f>HYPERLINK("#Liste_rouge!A"&amp;_xlfn.XMATCH("DD",Liste_rouge!A:A,2,1),"DD (cd_nom 140470) - LC (cd_nom 120189)")</f>
        <v>DD (cd_nom 140470) - LC (cd_nom 120189)</v>
      </c>
      <c r="V21082" s="7" t="str">
        <f>HYPERLINK("#Liste_rouge!A"&amp;_xlfn.XMATCH("LC",Liste_rouge!A:A,2,1),"LC")</f>
        <v>LC</v>
      </c>
      <c r="AH21082" s="4" t="str">
        <f>HYPERLINK("#Statut_biogéographique!A"&amp;_xlfn.XMATCH("P",Statut_biogéographique!A:A,2,1),"P")</f>
        <v>P</v>
      </c>
      <c r="AM21082" s="4" t="s">
        <v>375</v>
      </c>
      <c r="AN21082" s="4" t="s">
        <v>375</v>
      </c>
      <c r="AO21082" s="4" t="s">
        <v>375</v>
      </c>
      <c r="AP21082" s="4" t="s">
        <v>376</v>
      </c>
      <c r="AR21082" s="4" t="s">
        <v>377</v>
      </c>
    </row>
    <row r="21083" spans="1:44" ht="75">
      <c r="A21083" s="4" t="s">
        <v>24364</v>
      </c>
      <c r="B21083" s="4">
        <v>120192</v>
      </c>
      <c r="D21083" s="5" t="s">
        <v>27055</v>
      </c>
      <c r="E21083" s="6" t="str">
        <f>HYPERLINK("https://inpn.mnhn.fr/espece/cd_nom/120192","Salix repens L., 1753")</f>
        <v>Salix repens L., 1753</v>
      </c>
      <c r="F21083" s="5" t="s">
        <v>27056</v>
      </c>
      <c r="M21083" s="4" t="str">
        <f>HYPERLINK("#Réglementation!A"&amp;_xlfn.XMATCH("RV26",Réglementation!A:A,2,1),"RV26")</f>
        <v>RV26</v>
      </c>
      <c r="Q21083" s="7" t="str">
        <f>HYPERLINK("#Liste_rouge!A"&amp;_xlfn.XMATCH("LC",Liste_rouge!A:A,2,1),"LC")</f>
        <v>LC</v>
      </c>
      <c r="T21083" s="7" t="str">
        <f>HYPERLINK("#Liste_rouge!A"&amp;_xlfn.XMATCH("CR",Liste_rouge!A:A,2,1),"CR")</f>
        <v>CR</v>
      </c>
      <c r="U21083" s="4" t="str">
        <f>HYPERLINK("#Critères_liste_rouge!A$1","B1 B2ab(ii,iii,iv) C2a(i) D1")</f>
        <v>B1 B2ab(ii,iii,iv) C2a(i) D1</v>
      </c>
      <c r="V21083" s="7" t="str">
        <f>HYPERLINK("#Liste_rouge!A"&amp;_xlfn.XMATCH("LC",Liste_rouge!A:A,2,1),"LC")</f>
        <v>LC</v>
      </c>
      <c r="AB21083" s="4" t="s">
        <v>24495</v>
      </c>
      <c r="AH21083" s="4" t="str">
        <f>HYPERLINK("#Statut_biogéographique!A"&amp;_xlfn.XMATCH("P",Statut_biogéographique!A:A,2,1),"P")</f>
        <v>P</v>
      </c>
      <c r="AM21083" s="4" t="s">
        <v>375</v>
      </c>
      <c r="AN21083" s="4" t="s">
        <v>375</v>
      </c>
      <c r="AO21083" s="4" t="s">
        <v>375</v>
      </c>
      <c r="AP21083" s="4" t="s">
        <v>376</v>
      </c>
      <c r="AR21083" s="4" t="s">
        <v>377</v>
      </c>
    </row>
    <row r="21084" spans="1:44" ht="60">
      <c r="A21084" s="4" t="s">
        <v>24364</v>
      </c>
      <c r="B21084" s="4">
        <v>120193</v>
      </c>
      <c r="D21084" s="5" t="s">
        <v>27057</v>
      </c>
      <c r="E21084" s="6" t="str">
        <f>HYPERLINK("https://inpn.mnhn.fr/espece/cd_nom/120193","Salix reticulata L., 1753")</f>
        <v>Salix reticulata L., 1753</v>
      </c>
      <c r="F21084" s="5" t="s">
        <v>27058</v>
      </c>
      <c r="Q21084" s="7" t="str">
        <f>HYPERLINK("#Liste_rouge!A"&amp;_xlfn.XMATCH("LC",Liste_rouge!A:A,2,1),"LC")</f>
        <v>LC</v>
      </c>
      <c r="V21084" s="7" t="str">
        <f>HYPERLINK("#Liste_rouge!A"&amp;_xlfn.XMATCH("DD",Liste_rouge!A:A,2,1),"DD")</f>
        <v>DD</v>
      </c>
      <c r="AH21084" s="4" t="str">
        <f>HYPERLINK("#Statut_biogéographique!A"&amp;_xlfn.XMATCH("P",Statut_biogéographique!A:A,2,1),"P")</f>
        <v>P</v>
      </c>
      <c r="AM21084" s="4" t="s">
        <v>375</v>
      </c>
      <c r="AN21084" s="4" t="s">
        <v>375</v>
      </c>
      <c r="AO21084" s="4" t="s">
        <v>375</v>
      </c>
      <c r="AP21084" s="4" t="s">
        <v>376</v>
      </c>
      <c r="AR21084" s="4" t="s">
        <v>377</v>
      </c>
    </row>
    <row r="21085" spans="1:44" ht="30">
      <c r="A21085" s="4" t="s">
        <v>24364</v>
      </c>
      <c r="B21085" s="4">
        <v>120195</v>
      </c>
      <c r="D21085" s="5" t="s">
        <v>27059</v>
      </c>
      <c r="E21085" s="6" t="str">
        <f>HYPERLINK("https://inpn.mnhn.fr/espece/cd_nom/120195","Salix retusa L., 1759")</f>
        <v>Salix retusa L., 1759</v>
      </c>
      <c r="F21085" s="5" t="s">
        <v>27060</v>
      </c>
      <c r="Q21085" s="7" t="str">
        <f>HYPERLINK("#Liste_rouge!A"&amp;_xlfn.XMATCH("LC",Liste_rouge!A:A,2,1),"LC")</f>
        <v>LC</v>
      </c>
      <c r="V21085" s="7" t="str">
        <f>HYPERLINK("#Liste_rouge!A"&amp;_xlfn.XMATCH("CR",Liste_rouge!A:A,2,1),"CR")</f>
        <v>CR</v>
      </c>
      <c r="W21085" s="4" t="str">
        <f>HYPERLINK("#Critères_liste_rouge!A$1","D")</f>
        <v>D</v>
      </c>
      <c r="X21085" s="5" t="s">
        <v>374</v>
      </c>
      <c r="AB21085" s="4" t="s">
        <v>93</v>
      </c>
      <c r="AH21085" s="4" t="str">
        <f>HYPERLINK("#Statut_biogéographique!A"&amp;_xlfn.XMATCH("P",Statut_biogéographique!A:A,2,1),"P")</f>
        <v>P</v>
      </c>
      <c r="AM21085" s="4" t="s">
        <v>375</v>
      </c>
      <c r="AN21085" s="4" t="s">
        <v>375</v>
      </c>
      <c r="AO21085" s="4" t="s">
        <v>375</v>
      </c>
      <c r="AP21085" s="4" t="s">
        <v>376</v>
      </c>
      <c r="AR21085" s="4" t="s">
        <v>377</v>
      </c>
    </row>
    <row r="21086" spans="1:44" ht="105">
      <c r="A21086" s="4" t="s">
        <v>24364</v>
      </c>
      <c r="B21086" s="4">
        <v>120246</v>
      </c>
      <c r="D21086" s="5" t="s">
        <v>27061</v>
      </c>
      <c r="E21086" s="6" t="str">
        <f>HYPERLINK("https://inpn.mnhn.fr/espece/cd_nom/120246","Salix triandra L., 1753")</f>
        <v>Salix triandra L., 1753</v>
      </c>
      <c r="F21086" s="5" t="s">
        <v>27062</v>
      </c>
      <c r="P21086" s="7" t="str">
        <f>HYPERLINK("#Liste_rouge!A"&amp;_xlfn.XMATCH("LC",Liste_rouge!A:A,2,1),"LC")</f>
        <v>LC</v>
      </c>
      <c r="Q21086" s="7" t="str">
        <f>HYPERLINK("#Liste_rouge!A"&amp;_xlfn.XMATCH("LC",Liste_rouge!A:A,2,1),"LC")</f>
        <v>LC</v>
      </c>
      <c r="T21086" s="7" t="str">
        <f>HYPERLINK("#Liste_rouge!A"&amp;_xlfn.XMATCH("LC",Liste_rouge!A:A,2,1),"LC")</f>
        <v>LC</v>
      </c>
      <c r="V21086" s="7" t="str">
        <f>HYPERLINK("#Liste_rouge!A"&amp;_xlfn.XMATCH("LC",Liste_rouge!A:A,2,1),"LC")</f>
        <v>LC</v>
      </c>
      <c r="AH21086" s="4" t="str">
        <f>HYPERLINK("#Statut_biogéographique!A"&amp;_xlfn.XMATCH("P",Statut_biogéographique!A:A,2,1),"P")</f>
        <v>P</v>
      </c>
      <c r="AM21086" s="4" t="s">
        <v>375</v>
      </c>
      <c r="AN21086" s="4" t="s">
        <v>375</v>
      </c>
      <c r="AO21086" s="4" t="s">
        <v>375</v>
      </c>
      <c r="AP21086" s="4" t="s">
        <v>376</v>
      </c>
      <c r="AR21086" s="4" t="s">
        <v>377</v>
      </c>
    </row>
    <row r="21087" spans="1:44" ht="45">
      <c r="A21087" s="4" t="s">
        <v>24364</v>
      </c>
      <c r="B21087" s="4">
        <v>120260</v>
      </c>
      <c r="D21087" s="5" t="s">
        <v>27063</v>
      </c>
      <c r="E21087" s="6" t="str">
        <f>HYPERLINK("https://inpn.mnhn.fr/espece/cd_nom/120260","Salix viminalis L., 1753")</f>
        <v>Salix viminalis L., 1753</v>
      </c>
      <c r="F21087" s="5" t="s">
        <v>27064</v>
      </c>
      <c r="P21087" s="7" t="str">
        <f>HYPERLINK("#Liste_rouge!A"&amp;_xlfn.XMATCH("LC",Liste_rouge!A:A,2,1),"LC")</f>
        <v>LC</v>
      </c>
      <c r="Q21087" s="7" t="str">
        <f>HYPERLINK("#Liste_rouge!A"&amp;_xlfn.XMATCH("LC",Liste_rouge!A:A,2,1),"LC")</f>
        <v>LC</v>
      </c>
      <c r="T21087" s="7" t="str">
        <f>HYPERLINK("#Liste_rouge!A"&amp;_xlfn.XMATCH("LC",Liste_rouge!A:A,2,1),"LC")</f>
        <v>LC</v>
      </c>
      <c r="V21087" s="7" t="str">
        <f>HYPERLINK("#Liste_rouge!A"&amp;_xlfn.XMATCH("LC",Liste_rouge!A:A,2,1),"LC")</f>
        <v>LC</v>
      </c>
      <c r="AH21087" s="4" t="str">
        <f>HYPERLINK("#Statut_biogéographique!A"&amp;_xlfn.XMATCH("P",Statut_biogéographique!A:A,2,1),"P")</f>
        <v>P</v>
      </c>
      <c r="AM21087" s="4" t="s">
        <v>375</v>
      </c>
      <c r="AN21087" s="4" t="s">
        <v>375</v>
      </c>
      <c r="AO21087" s="4" t="s">
        <v>375</v>
      </c>
      <c r="AP21087" s="4" t="s">
        <v>376</v>
      </c>
      <c r="AR21087" s="4" t="s">
        <v>377</v>
      </c>
    </row>
    <row r="21088" spans="1:44">
      <c r="A21088" s="4" t="s">
        <v>24364</v>
      </c>
      <c r="B21088" s="4">
        <v>120279</v>
      </c>
      <c r="D21088" s="5" t="s">
        <v>27065</v>
      </c>
      <c r="E21088" s="6" t="str">
        <f>HYPERLINK("https://inpn.mnhn.fr/espece/cd_nom/120279","Salix x alopecuroides Tausch ex Opiz, 1823")</f>
        <v>Salix x alopecuroides Tausch ex Opiz, 1823</v>
      </c>
      <c r="F21088" s="5" t="s">
        <v>27066</v>
      </c>
      <c r="T21088" s="7" t="str">
        <f>HYPERLINK("#Liste_rouge!A"&amp;_xlfn.XMATCH("DD",Liste_rouge!A:A,2,1),"DD")</f>
        <v>DD</v>
      </c>
      <c r="AH21088" s="4" t="str">
        <f>HYPERLINK("#Statut_biogéographique!A"&amp;_xlfn.XMATCH("D",Statut_biogéographique!A:A,2,1),"D")</f>
        <v>D</v>
      </c>
      <c r="AP21088" s="4" t="s">
        <v>376</v>
      </c>
      <c r="AR21088" s="4" t="s">
        <v>377</v>
      </c>
    </row>
    <row r="21089" spans="1:44" ht="30">
      <c r="A21089" s="4" t="s">
        <v>24364</v>
      </c>
      <c r="B21089" s="4">
        <v>120284</v>
      </c>
      <c r="D21089" s="5" t="s">
        <v>27067</v>
      </c>
      <c r="E21089" s="6" t="str">
        <f>HYPERLINK("https://inpn.mnhn.fr/espece/cd_nom/120284","Salix x ambigua Ehrh., 1791")</f>
        <v>Salix x ambigua Ehrh., 1791</v>
      </c>
      <c r="F21089" s="5" t="s">
        <v>27068</v>
      </c>
      <c r="T21089" s="7" t="str">
        <f>HYPERLINK("#Liste_rouge!A"&amp;_xlfn.XMATCH("NE",Liste_rouge!A:A,2,1),"NE")</f>
        <v>NE</v>
      </c>
      <c r="AH21089" s="4" t="str">
        <f>HYPERLINK("#Statut_biogéographique!A"&amp;_xlfn.XMATCH("D",Statut_biogéographique!A:A,2,1),"D")</f>
        <v>D</v>
      </c>
      <c r="AP21089" s="4" t="s">
        <v>376</v>
      </c>
      <c r="AR21089" s="4" t="s">
        <v>377</v>
      </c>
    </row>
    <row r="21090" spans="1:44" ht="30">
      <c r="A21090" s="4" t="s">
        <v>24364</v>
      </c>
      <c r="B21090" s="4">
        <v>120294</v>
      </c>
      <c r="D21090" s="5" t="s">
        <v>27069</v>
      </c>
      <c r="E21090" s="6" t="str">
        <f>HYPERLINK("https://inpn.mnhn.fr/espece/cd_nom/120294","Salix x austriaca Host, 1828")</f>
        <v>Salix x austriaca Host, 1828</v>
      </c>
      <c r="F21090" s="5" t="s">
        <v>27070</v>
      </c>
      <c r="AH21090" s="4" t="str">
        <f>HYPERLINK("#Statut_biogéographique!A"&amp;_xlfn.XMATCH("D",Statut_biogéographique!A:A,2,1),"D")</f>
        <v>D</v>
      </c>
      <c r="AP21090" s="4" t="s">
        <v>376</v>
      </c>
      <c r="AR21090" s="4" t="s">
        <v>377</v>
      </c>
    </row>
    <row r="21091" spans="1:44">
      <c r="A21091" s="4" t="s">
        <v>24364</v>
      </c>
      <c r="B21091" s="4">
        <v>120318</v>
      </c>
      <c r="D21091" s="5" t="s">
        <v>27071</v>
      </c>
      <c r="E21091" s="6" t="str">
        <f>HYPERLINK("https://inpn.mnhn.fr/espece/cd_nom/120318","Salix x capreola A.Kern. ex Andersson, 1867")</f>
        <v>Salix x capreola A.Kern. ex Andersson, 1867</v>
      </c>
      <c r="F21091" s="5" t="s">
        <v>27072</v>
      </c>
      <c r="T21091" s="7" t="str">
        <f>HYPERLINK("#Liste_rouge!A"&amp;_xlfn.XMATCH("DD",Liste_rouge!A:A,2,1),"DD")</f>
        <v>DD</v>
      </c>
      <c r="AH21091" s="4" t="str">
        <f>HYPERLINK("#Statut_biogéographique!A"&amp;_xlfn.XMATCH("D",Statut_biogéographique!A:A,2,1),"D")</f>
        <v>D</v>
      </c>
      <c r="AP21091" s="4" t="s">
        <v>376</v>
      </c>
      <c r="AR21091" s="4" t="s">
        <v>377</v>
      </c>
    </row>
    <row r="21092" spans="1:44">
      <c r="A21092" s="4" t="s">
        <v>24364</v>
      </c>
      <c r="B21092" s="4">
        <v>120320</v>
      </c>
      <c r="D21092" s="5">
        <v>120320</v>
      </c>
      <c r="E21092" s="6" t="str">
        <f>HYPERLINK("https://inpn.mnhn.fr/espece/cd_nom/120320","Salix x charrieri Chass., 1929")</f>
        <v>Salix x charrieri Chass., 1929</v>
      </c>
      <c r="F21092" s="5" t="s">
        <v>27073</v>
      </c>
      <c r="T21092" s="7" t="str">
        <f>HYPERLINK("#Liste_rouge!A"&amp;_xlfn.XMATCH("DD",Liste_rouge!A:A,2,1),"DD")</f>
        <v>DD</v>
      </c>
      <c r="AH21092" s="4" t="str">
        <f>HYPERLINK("#Statut_biogéographique!A"&amp;_xlfn.XMATCH("D",Statut_biogéographique!A:A,2,1),"D")</f>
        <v>D</v>
      </c>
      <c r="AP21092" s="4" t="s">
        <v>376</v>
      </c>
      <c r="AR21092" s="4" t="s">
        <v>377</v>
      </c>
    </row>
    <row r="21093" spans="1:44">
      <c r="A21093" s="4" t="s">
        <v>24364</v>
      </c>
      <c r="B21093" s="4">
        <v>120323</v>
      </c>
      <c r="D21093" s="5" t="s">
        <v>27074</v>
      </c>
      <c r="E21093" s="6" t="str">
        <f>HYPERLINK("https://inpn.mnhn.fr/espece/cd_nom/120323","Salix x chrysocoma Dode, 1909")</f>
        <v>Salix x chrysocoma Dode, 1909</v>
      </c>
      <c r="F21093" s="5" t="s">
        <v>27075</v>
      </c>
      <c r="AH21093" s="4" t="str">
        <f>HYPERLINK("#Statut_biogéographique!A"&amp;_xlfn.XMATCH("M",Statut_biogéographique!A:A,2,1),"M")</f>
        <v>M</v>
      </c>
      <c r="AP21093" s="4" t="s">
        <v>376</v>
      </c>
      <c r="AR21093" s="4" t="s">
        <v>377</v>
      </c>
    </row>
    <row r="21094" spans="1:44">
      <c r="A21094" s="4" t="s">
        <v>24364</v>
      </c>
      <c r="B21094" s="4">
        <v>120335</v>
      </c>
      <c r="D21094" s="5" t="s">
        <v>27076</v>
      </c>
      <c r="E21094" s="6" t="str">
        <f>HYPERLINK("https://inpn.mnhn.fr/espece/cd_nom/120335","Salix x dasyclados Wimm., 1849")</f>
        <v>Salix x dasyclados Wimm., 1849</v>
      </c>
      <c r="F21094" s="5" t="s">
        <v>27077</v>
      </c>
      <c r="T21094" s="7" t="str">
        <f>HYPERLINK("#Liste_rouge!A"&amp;_xlfn.XMATCH("DD",Liste_rouge!A:A,2,1),"DD")</f>
        <v>DD</v>
      </c>
      <c r="AH21094" s="4" t="str">
        <f>HYPERLINK("#Statut_biogéographique!A"&amp;_xlfn.XMATCH("P",Statut_biogéographique!A:A,2,1),"P")</f>
        <v>P</v>
      </c>
      <c r="AP21094" s="4" t="s">
        <v>376</v>
      </c>
      <c r="AR21094" s="4" t="s">
        <v>377</v>
      </c>
    </row>
    <row r="21095" spans="1:44">
      <c r="A21095" s="4" t="s">
        <v>24364</v>
      </c>
      <c r="B21095" s="4">
        <v>120354</v>
      </c>
      <c r="D21095" s="5" t="s">
        <v>27078</v>
      </c>
      <c r="E21095" s="6" t="str">
        <f>HYPERLINK("https://inpn.mnhn.fr/espece/cd_nom/120354","Salix x erythroclados Simonk., 1890")</f>
        <v>Salix x erythroclados Simonk., 1890</v>
      </c>
      <c r="F21095" s="5" t="s">
        <v>27079</v>
      </c>
      <c r="T21095" s="7" t="str">
        <f>HYPERLINK("#Liste_rouge!A"&amp;_xlfn.XMATCH("DD",Liste_rouge!A:A,2,1),"DD")</f>
        <v>DD</v>
      </c>
      <c r="AH21095" s="4" t="str">
        <f>HYPERLINK("#Statut_biogéographique!A"&amp;_xlfn.XMATCH("D",Statut_biogéographique!A:A,2,1),"D")</f>
        <v>D</v>
      </c>
      <c r="AP21095" s="4" t="s">
        <v>376</v>
      </c>
      <c r="AR21095" s="4" t="s">
        <v>377</v>
      </c>
    </row>
    <row r="21096" spans="1:44">
      <c r="A21096" s="4" t="s">
        <v>24364</v>
      </c>
      <c r="B21096" s="4">
        <v>120374</v>
      </c>
      <c r="D21096" s="5" t="s">
        <v>27080</v>
      </c>
      <c r="E21096" s="6" t="str">
        <f>HYPERLINK("https://inpn.mnhn.fr/espece/cd_nom/120374","Salix x fruticosa Döll, 1858")</f>
        <v>Salix x fruticosa Döll, 1858</v>
      </c>
      <c r="F21096" s="5" t="s">
        <v>27081</v>
      </c>
      <c r="AH21096" s="4" t="str">
        <f>HYPERLINK("#Statut_biogéographique!A"&amp;_xlfn.XMATCH("P",Statut_biogéographique!A:A,2,1),"P")</f>
        <v>P</v>
      </c>
      <c r="AP21096" s="4" t="s">
        <v>376</v>
      </c>
      <c r="AR21096" s="4" t="s">
        <v>377</v>
      </c>
    </row>
    <row r="21097" spans="1:44">
      <c r="A21097" s="4" t="s">
        <v>24364</v>
      </c>
      <c r="B21097" s="4">
        <v>120387</v>
      </c>
      <c r="D21097" s="5">
        <v>120387</v>
      </c>
      <c r="E21097" s="6" t="str">
        <f>HYPERLINK("https://inpn.mnhn.fr/espece/cd_nom/120387","Salix x guinieri Chass. &amp; Goerz, 1931")</f>
        <v>Salix x guinieri Chass. &amp; Goerz, 1931</v>
      </c>
      <c r="F21097" s="5" t="s">
        <v>27082</v>
      </c>
      <c r="T21097" s="7" t="str">
        <f>HYPERLINK("#Liste_rouge!A"&amp;_xlfn.XMATCH("DD",Liste_rouge!A:A,2,1),"DD")</f>
        <v>DD</v>
      </c>
      <c r="AH21097" s="4" t="str">
        <f>HYPERLINK("#Statut_biogéographique!A"&amp;_xlfn.XMATCH("D",Statut_biogéographique!A:A,2,1),"D")</f>
        <v>D</v>
      </c>
      <c r="AP21097" s="4" t="s">
        <v>376</v>
      </c>
      <c r="AR21097" s="4" t="s">
        <v>377</v>
      </c>
    </row>
    <row r="21098" spans="1:44">
      <c r="A21098" s="4" t="s">
        <v>24364</v>
      </c>
      <c r="B21098" s="4">
        <v>120419</v>
      </c>
      <c r="D21098" s="5" t="s">
        <v>27083</v>
      </c>
      <c r="E21098" s="6" t="str">
        <f>HYPERLINK("https://inpn.mnhn.fr/espece/cd_nom/120419","Salix x krausei Andersson, 1867")</f>
        <v>Salix x krausei Andersson, 1867</v>
      </c>
      <c r="F21098" s="5" t="s">
        <v>27084</v>
      </c>
      <c r="T21098" s="7" t="str">
        <f>HYPERLINK("#Liste_rouge!A"&amp;_xlfn.XMATCH("DD",Liste_rouge!A:A,2,1),"DD")</f>
        <v>DD</v>
      </c>
      <c r="AH21098" s="4" t="str">
        <f>HYPERLINK("#Statut_biogéographique!A"&amp;_xlfn.XMATCH("D",Statut_biogéographique!A:A,2,1),"D")</f>
        <v>D</v>
      </c>
      <c r="AP21098" s="4" t="s">
        <v>376</v>
      </c>
      <c r="AR21098" s="4" t="s">
        <v>377</v>
      </c>
    </row>
    <row r="21099" spans="1:44" ht="30">
      <c r="A21099" s="4" t="s">
        <v>24364</v>
      </c>
      <c r="B21099" s="4">
        <v>120450</v>
      </c>
      <c r="D21099" s="5" t="s">
        <v>27085</v>
      </c>
      <c r="E21099" s="6" t="str">
        <f>HYPERLINK("https://inpn.mnhn.fr/espece/cd_nom/120450","Salix x meyeriana Rostk. ex Willd., 1811")</f>
        <v>Salix x meyeriana Rostk. ex Willd., 1811</v>
      </c>
      <c r="F21099" s="5" t="s">
        <v>27086</v>
      </c>
      <c r="T21099" s="7" t="str">
        <f>HYPERLINK("#Liste_rouge!A"&amp;_xlfn.XMATCH("NA",Liste_rouge!A:A,2,1),"NA")</f>
        <v>NA</v>
      </c>
      <c r="AH21099" s="4" t="str">
        <f>HYPERLINK("#Statut_biogéographique!A"&amp;_xlfn.XMATCH("D",Statut_biogéographique!A:A,2,1),"D")</f>
        <v>D</v>
      </c>
      <c r="AP21099" s="4" t="s">
        <v>376</v>
      </c>
      <c r="AR21099" s="4" t="s">
        <v>377</v>
      </c>
    </row>
    <row r="21100" spans="1:44" ht="45">
      <c r="A21100" s="4" t="s">
        <v>24364</v>
      </c>
      <c r="B21100" s="4">
        <v>120454</v>
      </c>
      <c r="D21100" s="5" t="s">
        <v>27087</v>
      </c>
      <c r="E21100" s="6" t="str">
        <f>HYPERLINK("https://inpn.mnhn.fr/espece/cd_nom/120454","Salix x mollissima Ehrh. ex Elwert, 1786")</f>
        <v>Salix x mollissima Ehrh. ex Elwert, 1786</v>
      </c>
      <c r="F21100" s="5" t="s">
        <v>27088</v>
      </c>
      <c r="T21100" s="7" t="str">
        <f>HYPERLINK("#Liste_rouge!A"&amp;_xlfn.XMATCH("DD",Liste_rouge!A:A,2,1),"DD")</f>
        <v>DD</v>
      </c>
      <c r="AH21100" s="4" t="str">
        <f>HYPERLINK("#Statut_biogéographique!A"&amp;_xlfn.XMATCH("D",Statut_biogéographique!A:A,2,1),"D")</f>
        <v>D</v>
      </c>
      <c r="AP21100" s="4" t="s">
        <v>376</v>
      </c>
      <c r="AR21100" s="4" t="s">
        <v>377</v>
      </c>
    </row>
    <row r="21101" spans="1:44" ht="30">
      <c r="A21101" s="4" t="s">
        <v>24364</v>
      </c>
      <c r="B21101" s="4">
        <v>120459</v>
      </c>
      <c r="D21101" s="5" t="s">
        <v>27089</v>
      </c>
      <c r="E21101" s="6" t="str">
        <f>HYPERLINK("https://inpn.mnhn.fr/espece/cd_nom/120459","Salix x multinervis Döll, 1858")</f>
        <v>Salix x multinervis Döll, 1858</v>
      </c>
      <c r="F21101" s="5" t="s">
        <v>27090</v>
      </c>
      <c r="T21101" s="7" t="str">
        <f>HYPERLINK("#Liste_rouge!A"&amp;_xlfn.XMATCH("LC",Liste_rouge!A:A,2,1),"LC")</f>
        <v>LC</v>
      </c>
      <c r="AH21101" s="4" t="str">
        <f>HYPERLINK("#Statut_biogéographique!A"&amp;_xlfn.XMATCH("D",Statut_biogéographique!A:A,2,1),"D")</f>
        <v>D</v>
      </c>
      <c r="AP21101" s="4" t="s">
        <v>376</v>
      </c>
      <c r="AR21101" s="4" t="s">
        <v>377</v>
      </c>
    </row>
    <row r="21102" spans="1:44">
      <c r="A21102" s="4" t="s">
        <v>24364</v>
      </c>
      <c r="B21102" s="4">
        <v>120504</v>
      </c>
      <c r="D21102" s="5" t="s">
        <v>27091</v>
      </c>
      <c r="E21102" s="6" t="str">
        <f>HYPERLINK("https://inpn.mnhn.fr/espece/cd_nom/120504","Salix x reichardtii A.Kern., 1860")</f>
        <v>Salix x reichardtii A.Kern., 1860</v>
      </c>
      <c r="F21102" s="5" t="s">
        <v>27092</v>
      </c>
      <c r="T21102" s="7" t="str">
        <f>HYPERLINK("#Liste_rouge!A"&amp;_xlfn.XMATCH("DD",Liste_rouge!A:A,2,1),"DD")</f>
        <v>DD</v>
      </c>
      <c r="AH21102" s="4" t="str">
        <f>HYPERLINK("#Statut_biogéographique!A"&amp;_xlfn.XMATCH("P",Statut_biogéographique!A:A,2,1),"P")</f>
        <v>P</v>
      </c>
      <c r="AP21102" s="4" t="s">
        <v>376</v>
      </c>
      <c r="AR21102" s="4" t="s">
        <v>377</v>
      </c>
    </row>
    <row r="21103" spans="1:44" ht="105">
      <c r="A21103" s="4" t="s">
        <v>24364</v>
      </c>
      <c r="B21103" s="4">
        <v>120512</v>
      </c>
      <c r="D21103" s="5" t="s">
        <v>27093</v>
      </c>
      <c r="E21103" s="6" t="str">
        <f>HYPERLINK("https://inpn.mnhn.fr/espece/cd_nom/120512","Salix x rubens Schrank, 1789")</f>
        <v>Salix x rubens Schrank, 1789</v>
      </c>
      <c r="F21103" s="5" t="s">
        <v>27094</v>
      </c>
      <c r="T21103" s="7" t="str">
        <f>HYPERLINK("#Liste_rouge!A"&amp;_xlfn.XMATCH("NA",Liste_rouge!A:A,2,1),"NA (cd_nom 151071) - NE (cd_nom 151067) - DD (cd_nom 120512)")</f>
        <v>NA (cd_nom 151071) - NE (cd_nom 151067) - DD (cd_nom 120512)</v>
      </c>
      <c r="AH21103" s="4" t="str">
        <f>HYPERLINK("#Statut_biogéographique!A"&amp;_xlfn.XMATCH("M",Statut_biogéographique!A:A,2,1),"M")</f>
        <v>M</v>
      </c>
      <c r="AP21103" s="4" t="s">
        <v>376</v>
      </c>
      <c r="AR21103" s="4" t="s">
        <v>377</v>
      </c>
    </row>
    <row r="21104" spans="1:44" ht="60">
      <c r="A21104" s="4" t="s">
        <v>24364</v>
      </c>
      <c r="B21104" s="4">
        <v>120513</v>
      </c>
      <c r="D21104" s="5" t="s">
        <v>27095</v>
      </c>
      <c r="E21104" s="6" t="str">
        <f>HYPERLINK("https://inpn.mnhn.fr/espece/cd_nom/120513","Salix x rubra Huds., 1762")</f>
        <v>Salix x rubra Huds., 1762</v>
      </c>
      <c r="F21104" s="5" t="s">
        <v>27096</v>
      </c>
      <c r="T21104" s="7" t="str">
        <f>HYPERLINK("#Liste_rouge!A"&amp;_xlfn.XMATCH("DD",Liste_rouge!A:A,2,1),"DD")</f>
        <v>DD</v>
      </c>
      <c r="AH21104" s="4" t="str">
        <f>HYPERLINK("#Statut_biogéographique!A"&amp;_xlfn.XMATCH("P",Statut_biogéographique!A:A,2,1),"P")</f>
        <v>P</v>
      </c>
      <c r="AP21104" s="4" t="s">
        <v>376</v>
      </c>
      <c r="AR21104" s="4" t="s">
        <v>377</v>
      </c>
    </row>
    <row r="21105" spans="1:44">
      <c r="A21105" s="4" t="s">
        <v>24364</v>
      </c>
      <c r="B21105" s="4">
        <v>120530</v>
      </c>
      <c r="D21105" s="5" t="s">
        <v>27097</v>
      </c>
      <c r="E21105" s="6" t="str">
        <f>HYPERLINK("https://inpn.mnhn.fr/espece/cd_nom/120530","Salix x sericans Tausch ex A.Kern., 1860")</f>
        <v>Salix x sericans Tausch ex A.Kern., 1860</v>
      </c>
      <c r="F21105" s="5" t="s">
        <v>27098</v>
      </c>
      <c r="T21105" s="7" t="str">
        <f>HYPERLINK("#Liste_rouge!A"&amp;_xlfn.XMATCH("DD",Liste_rouge!A:A,2,1),"DD")</f>
        <v>DD</v>
      </c>
      <c r="AH21105" s="4" t="str">
        <f>HYPERLINK("#Statut_biogéographique!A"&amp;_xlfn.XMATCH("D",Statut_biogéographique!A:A,2,1),"D")</f>
        <v>D</v>
      </c>
      <c r="AP21105" s="4" t="s">
        <v>376</v>
      </c>
      <c r="AR21105" s="4" t="s">
        <v>377</v>
      </c>
    </row>
    <row r="21106" spans="1:44">
      <c r="A21106" s="4" t="s">
        <v>24364</v>
      </c>
      <c r="B21106" s="4">
        <v>120531</v>
      </c>
      <c r="D21106" s="5" t="s">
        <v>27099</v>
      </c>
      <c r="E21106" s="6" t="str">
        <f>HYPERLINK("https://inpn.mnhn.fr/espece/cd_nom/120531","Salix x seringeana Ser. ex Gaudin, 1830")</f>
        <v>Salix x seringeana Ser. ex Gaudin, 1830</v>
      </c>
      <c r="F21106" s="5" t="s">
        <v>27100</v>
      </c>
      <c r="AH21106" s="4" t="str">
        <f>HYPERLINK("#Statut_biogéographique!A"&amp;_xlfn.XMATCH("D",Statut_biogéographique!A:A,2,1),"D")</f>
        <v>D</v>
      </c>
      <c r="AP21106" s="4" t="s">
        <v>376</v>
      </c>
      <c r="AR21106" s="4" t="s">
        <v>377</v>
      </c>
    </row>
    <row r="21107" spans="1:44" ht="30">
      <c r="A21107" s="4" t="s">
        <v>24364</v>
      </c>
      <c r="B21107" s="4">
        <v>120535</v>
      </c>
      <c r="D21107" s="5" t="s">
        <v>27101</v>
      </c>
      <c r="E21107" s="6" t="str">
        <f>HYPERLINK("https://inpn.mnhn.fr/espece/cd_nom/120535","Salix x sordida A.Kern., 1860")</f>
        <v>Salix x sordida A.Kern., 1860</v>
      </c>
      <c r="F21107" s="5" t="s">
        <v>27102</v>
      </c>
      <c r="T21107" s="7" t="str">
        <f>HYPERLINK("#Liste_rouge!A"&amp;_xlfn.XMATCH("DD",Liste_rouge!A:A,2,1),"DD")</f>
        <v>DD</v>
      </c>
      <c r="AH21107" s="4" t="str">
        <f>HYPERLINK("#Statut_biogéographique!A"&amp;_xlfn.XMATCH("P",Statut_biogéographique!A:A,2,1),"P")</f>
        <v>P</v>
      </c>
      <c r="AP21107" s="4" t="s">
        <v>376</v>
      </c>
      <c r="AR21107" s="4" t="s">
        <v>377</v>
      </c>
    </row>
    <row r="21108" spans="1:44">
      <c r="A21108" s="4" t="s">
        <v>24364</v>
      </c>
      <c r="B21108" s="4">
        <v>120547</v>
      </c>
      <c r="D21108" s="5" t="s">
        <v>27103</v>
      </c>
      <c r="E21108" s="6" t="str">
        <f>HYPERLINK("https://inpn.mnhn.fr/espece/cd_nom/120547","Salix x subsericea Döll, 1858")</f>
        <v>Salix x subsericea Döll, 1858</v>
      </c>
      <c r="F21108" s="5" t="s">
        <v>27104</v>
      </c>
      <c r="T21108" s="7" t="str">
        <f>HYPERLINK("#Liste_rouge!A"&amp;_xlfn.XMATCH("NE",Liste_rouge!A:A,2,1),"NE")</f>
        <v>NE</v>
      </c>
      <c r="AH21108" s="4" t="str">
        <f>HYPERLINK("#Statut_biogéographique!A"&amp;_xlfn.XMATCH("D",Statut_biogéographique!A:A,2,1),"D")</f>
        <v>D</v>
      </c>
      <c r="AP21108" s="4" t="s">
        <v>376</v>
      </c>
      <c r="AR21108" s="4" t="s">
        <v>377</v>
      </c>
    </row>
    <row r="21109" spans="1:44" ht="30">
      <c r="A21109" s="4" t="s">
        <v>24364</v>
      </c>
      <c r="B21109" s="4">
        <v>120573</v>
      </c>
      <c r="D21109" s="5" t="s">
        <v>27105</v>
      </c>
      <c r="E21109" s="6" t="str">
        <f>HYPERLINK("https://inpn.mnhn.fr/espece/cd_nom/120573","Salix x wimmeriana Gren. &amp; Godr., 1855")</f>
        <v>Salix x wimmeriana Gren. &amp; Godr., 1855</v>
      </c>
      <c r="F21109" s="5" t="s">
        <v>27106</v>
      </c>
      <c r="T21109" s="7" t="str">
        <f>HYPERLINK("#Liste_rouge!A"&amp;_xlfn.XMATCH("NE",Liste_rouge!A:A,2,1),"NE")</f>
        <v>NE</v>
      </c>
      <c r="AH21109" s="4" t="str">
        <f>HYPERLINK("#Statut_biogéographique!A"&amp;_xlfn.XMATCH("D",Statut_biogéographique!A:A,2,1),"D")</f>
        <v>D</v>
      </c>
      <c r="AP21109" s="4" t="s">
        <v>376</v>
      </c>
      <c r="AR21109" s="4" t="s">
        <v>377</v>
      </c>
    </row>
    <row r="21110" spans="1:44" ht="45">
      <c r="A21110" s="4" t="s">
        <v>24364</v>
      </c>
      <c r="B21110" s="4">
        <v>120594</v>
      </c>
      <c r="D21110" s="5" t="s">
        <v>27107</v>
      </c>
      <c r="E21110" s="6" t="str">
        <f>HYPERLINK("https://inpn.mnhn.fr/espece/cd_nom/120594","Salsola kali L., 1753")</f>
        <v>Salsola kali L., 1753</v>
      </c>
      <c r="F21110" s="5" t="s">
        <v>27108</v>
      </c>
      <c r="Q21110" s="7" t="str">
        <f>HYPERLINK("#Liste_rouge!A"&amp;_xlfn.XMATCH("LC",Liste_rouge!A:A,2,1),"LC")</f>
        <v>LC</v>
      </c>
      <c r="T21110" s="7" t="str">
        <f>HYPERLINK("#Liste_rouge!A"&amp;_xlfn.XMATCH("NA",Liste_rouge!A:A,2,1),"NA")</f>
        <v>NA</v>
      </c>
      <c r="AH21110" s="4" t="str">
        <f>HYPERLINK("#Statut_biogéographique!A"&amp;_xlfn.XMATCH("P",Statut_biogéographique!A:A,2,1),"P")</f>
        <v>P</v>
      </c>
      <c r="AP21110" s="4" t="s">
        <v>376</v>
      </c>
      <c r="AR21110" s="4" t="s">
        <v>377</v>
      </c>
    </row>
    <row r="21111" spans="1:44" ht="60">
      <c r="A21111" s="4" t="s">
        <v>24364</v>
      </c>
      <c r="B21111" s="4">
        <v>120616</v>
      </c>
      <c r="D21111" s="5" t="s">
        <v>27109</v>
      </c>
      <c r="E21111" s="6" t="str">
        <f>HYPERLINK("https://inpn.mnhn.fr/espece/cd_nom/120616","Salsola tragus L., 1756")</f>
        <v>Salsola tragus L., 1756</v>
      </c>
      <c r="F21111" s="5" t="s">
        <v>27110</v>
      </c>
      <c r="Q21111" s="7" t="str">
        <f>HYPERLINK("#Liste_rouge!A"&amp;_xlfn.XMATCH("LC",Liste_rouge!A:A,2,1),"LC")</f>
        <v>LC</v>
      </c>
      <c r="T21111" s="7" t="str">
        <f>HYPERLINK("#Liste_rouge!A"&amp;_xlfn.XMATCH("NA",Liste_rouge!A:A,2,1),"NA")</f>
        <v>NA</v>
      </c>
      <c r="AH21111" s="4" t="str">
        <f>HYPERLINK("#Statut_biogéographique!A"&amp;_xlfn.XMATCH("Y",Statut_biogéographique!A:A,2,1),"Y")</f>
        <v>Y</v>
      </c>
      <c r="AP21111" s="4" t="s">
        <v>376</v>
      </c>
      <c r="AR21111" s="4" t="s">
        <v>377</v>
      </c>
    </row>
    <row r="21112" spans="1:44" ht="30">
      <c r="A21112" s="4" t="s">
        <v>24364</v>
      </c>
      <c r="B21112" s="4">
        <v>120619</v>
      </c>
      <c r="D21112" s="5" t="s">
        <v>27111</v>
      </c>
      <c r="E21112" s="6" t="str">
        <f>HYPERLINK("https://inpn.mnhn.fr/espece/cd_nom/120619","Salvia aethiopis L., 1753")</f>
        <v>Salvia aethiopis L., 1753</v>
      </c>
      <c r="F21112" s="5" t="s">
        <v>27112</v>
      </c>
      <c r="Q21112" s="7" t="str">
        <f>HYPERLINK("#Liste_rouge!A"&amp;_xlfn.XMATCH("NT",Liste_rouge!A:A,2,1),"NT")</f>
        <v>NT</v>
      </c>
      <c r="T21112" s="7" t="str">
        <f>HYPERLINK("#Liste_rouge!A"&amp;_xlfn.XMATCH("NA",Liste_rouge!A:A,2,1),"NA")</f>
        <v>NA</v>
      </c>
      <c r="AH21112" s="4" t="str">
        <f>HYPERLINK("#Statut_biogéographique!A"&amp;_xlfn.XMATCH("P",Statut_biogéographique!A:A,2,1),"P")</f>
        <v>P</v>
      </c>
      <c r="AP21112" s="4" t="s">
        <v>376</v>
      </c>
      <c r="AR21112" s="4" t="s">
        <v>377</v>
      </c>
    </row>
    <row r="21113" spans="1:44">
      <c r="A21113" s="4" t="s">
        <v>24364</v>
      </c>
      <c r="B21113" s="4">
        <v>120643</v>
      </c>
      <c r="D21113" s="5" t="s">
        <v>27113</v>
      </c>
      <c r="E21113" s="6" t="str">
        <f>HYPERLINK("https://inpn.mnhn.fr/espece/cd_nom/120643","Salvia glutinosa L., 1753")</f>
        <v>Salvia glutinosa L., 1753</v>
      </c>
      <c r="F21113" s="5" t="s">
        <v>27114</v>
      </c>
      <c r="Q21113" s="7" t="str">
        <f>HYPERLINK("#Liste_rouge!A"&amp;_xlfn.XMATCH("LC",Liste_rouge!A:A,2,1),"LC")</f>
        <v>LC</v>
      </c>
      <c r="V21113" s="7" t="str">
        <f>HYPERLINK("#Liste_rouge!A"&amp;_xlfn.XMATCH("LC",Liste_rouge!A:A,2,1),"LC")</f>
        <v>LC</v>
      </c>
      <c r="X21113" s="5" t="s">
        <v>374</v>
      </c>
      <c r="AB21113" s="4" t="s">
        <v>93</v>
      </c>
      <c r="AH21113" s="4" t="str">
        <f>HYPERLINK("#Statut_biogéographique!A"&amp;_xlfn.XMATCH("P",Statut_biogéographique!A:A,2,1),"P")</f>
        <v>P</v>
      </c>
      <c r="AM21113" s="4" t="s">
        <v>375</v>
      </c>
      <c r="AN21113" s="4" t="s">
        <v>375</v>
      </c>
      <c r="AO21113" s="4" t="s">
        <v>375</v>
      </c>
      <c r="AP21113" s="4" t="s">
        <v>376</v>
      </c>
      <c r="AR21113" s="4" t="s">
        <v>377</v>
      </c>
    </row>
    <row r="21114" spans="1:44">
      <c r="A21114" s="4" t="s">
        <v>24364</v>
      </c>
      <c r="B21114" s="4">
        <v>120678</v>
      </c>
      <c r="D21114" s="5" t="s">
        <v>27115</v>
      </c>
      <c r="E21114" s="6" t="str">
        <f>HYPERLINK("https://inpn.mnhn.fr/espece/cd_nom/120678","Salvia officinalis L., 1753")</f>
        <v>Salvia officinalis L., 1753</v>
      </c>
      <c r="F21114" s="5" t="s">
        <v>27116</v>
      </c>
      <c r="O21114" s="7" t="str">
        <f>HYPERLINK("#Liste_rouge!A"&amp;_xlfn.XMATCH("LC",Liste_rouge!A:A,2,1),"LC")</f>
        <v>LC</v>
      </c>
      <c r="P21114" s="7" t="str">
        <f>HYPERLINK("#Liste_rouge!A"&amp;_xlfn.XMATCH("LC",Liste_rouge!A:A,2,1),"LC")</f>
        <v>LC</v>
      </c>
      <c r="Q21114" s="7" t="str">
        <f>HYPERLINK("#Liste_rouge!A"&amp;_xlfn.XMATCH("NT",Liste_rouge!A:A,2,1),"NT")</f>
        <v>NT</v>
      </c>
      <c r="T21114" s="7" t="str">
        <f>HYPERLINK("#Liste_rouge!A"&amp;_xlfn.XMATCH("NA",Liste_rouge!A:A,2,1),"NA")</f>
        <v>NA</v>
      </c>
      <c r="AH21114" s="4" t="str">
        <f>HYPERLINK("#Statut_biogéographique!A"&amp;_xlfn.XMATCH("P",Statut_biogéographique!A:A,2,1),"P")</f>
        <v>P</v>
      </c>
      <c r="AP21114" s="4" t="s">
        <v>376</v>
      </c>
      <c r="AR21114" s="4" t="s">
        <v>377</v>
      </c>
    </row>
    <row r="21115" spans="1:44" ht="45">
      <c r="A21115" s="4" t="s">
        <v>24364</v>
      </c>
      <c r="B21115" s="4">
        <v>120685</v>
      </c>
      <c r="D21115" s="5" t="s">
        <v>27117</v>
      </c>
      <c r="E21115" s="6" t="str">
        <f>HYPERLINK("https://inpn.mnhn.fr/espece/cd_nom/120685","Salvia pratensis L., 1753")</f>
        <v>Salvia pratensis L., 1753</v>
      </c>
      <c r="F21115" s="5" t="s">
        <v>27118</v>
      </c>
      <c r="Q21115" s="7" t="str">
        <f>HYPERLINK("#Liste_rouge!A"&amp;_xlfn.XMATCH("LC",Liste_rouge!A:A,2,1),"LC")</f>
        <v>LC</v>
      </c>
      <c r="T21115" s="7" t="str">
        <f>HYPERLINK("#Liste_rouge!A"&amp;_xlfn.XMATCH("LC",Liste_rouge!A:A,2,1),"LC")</f>
        <v>LC</v>
      </c>
      <c r="V21115" s="7" t="str">
        <f>HYPERLINK("#Liste_rouge!A"&amp;_xlfn.XMATCH("LC",Liste_rouge!A:A,2,1),"LC")</f>
        <v>LC</v>
      </c>
      <c r="AH21115" s="4" t="str">
        <f>HYPERLINK("#Statut_biogéographique!A"&amp;_xlfn.XMATCH("P",Statut_biogéographique!A:A,2,1),"P")</f>
        <v>P</v>
      </c>
      <c r="AM21115" s="4" t="s">
        <v>375</v>
      </c>
      <c r="AN21115" s="4" t="s">
        <v>375</v>
      </c>
      <c r="AO21115" s="4" t="s">
        <v>375</v>
      </c>
      <c r="AP21115" s="4" t="s">
        <v>376</v>
      </c>
      <c r="AR21115" s="4" t="s">
        <v>377</v>
      </c>
    </row>
    <row r="21116" spans="1:44" ht="30">
      <c r="A21116" s="4" t="s">
        <v>24364</v>
      </c>
      <c r="B21116" s="4">
        <v>120691</v>
      </c>
      <c r="D21116" s="5" t="s">
        <v>27119</v>
      </c>
      <c r="E21116" s="6" t="str">
        <f>HYPERLINK("https://inpn.mnhn.fr/espece/cd_nom/120691","Salvia sclarea L., 1753")</f>
        <v>Salvia sclarea L., 1753</v>
      </c>
      <c r="F21116" s="5" t="s">
        <v>27120</v>
      </c>
      <c r="P21116" s="7" t="str">
        <f>HYPERLINK("#Liste_rouge!A"&amp;_xlfn.XMATCH("LC",Liste_rouge!A:A,2,1),"LC")</f>
        <v>LC</v>
      </c>
      <c r="Q21116" s="7" t="str">
        <f>HYPERLINK("#Liste_rouge!A"&amp;_xlfn.XMATCH("NA",Liste_rouge!A:A,2,1),"NA")</f>
        <v>NA</v>
      </c>
      <c r="T21116" s="7" t="str">
        <f>HYPERLINK("#Liste_rouge!A"&amp;_xlfn.XMATCH("NA",Liste_rouge!A:A,2,1),"NA")</f>
        <v>NA</v>
      </c>
      <c r="AH21116" s="4" t="str">
        <f>HYPERLINK("#Statut_biogéographique!A"&amp;_xlfn.XMATCH("P",Statut_biogéographique!A:A,2,1),"P")</f>
        <v>P</v>
      </c>
      <c r="AP21116" s="4" t="s">
        <v>376</v>
      </c>
      <c r="AR21116" s="4" t="s">
        <v>377</v>
      </c>
    </row>
    <row r="21117" spans="1:44" ht="30">
      <c r="A21117" s="4" t="s">
        <v>24364</v>
      </c>
      <c r="B21117" s="4">
        <v>120696</v>
      </c>
      <c r="D21117" s="5" t="s">
        <v>27121</v>
      </c>
      <c r="E21117" s="6" t="str">
        <f>HYPERLINK("https://inpn.mnhn.fr/espece/cd_nom/120696","Salvia tomentosa Mill., 1768")</f>
        <v>Salvia tomentosa Mill., 1768</v>
      </c>
      <c r="F21117" s="5" t="s">
        <v>27122</v>
      </c>
      <c r="P21117" s="7" t="str">
        <f>HYPERLINK("#Liste_rouge!A"&amp;_xlfn.XMATCH("LC",Liste_rouge!A:A,2,1),"LC")</f>
        <v>LC</v>
      </c>
      <c r="Q21117" s="7" t="str">
        <f>HYPERLINK("#Liste_rouge!A"&amp;_xlfn.XMATCH("NA",Liste_rouge!A:A,2,1),"NA")</f>
        <v>NA</v>
      </c>
      <c r="T21117" s="7" t="str">
        <f>HYPERLINK("#Liste_rouge!A"&amp;_xlfn.XMATCH("NA",Liste_rouge!A:A,2,1),"NA")</f>
        <v>NA</v>
      </c>
      <c r="AH21117" s="4" t="str">
        <f>HYPERLINK("#Statut_biogéographique!A"&amp;_xlfn.XMATCH("M",Statut_biogéographique!A:A,2,1),"M")</f>
        <v>M</v>
      </c>
      <c r="AP21117" s="4" t="s">
        <v>376</v>
      </c>
      <c r="AR21117" s="4" t="s">
        <v>377</v>
      </c>
    </row>
    <row r="21118" spans="1:44" ht="165">
      <c r="A21118" s="4" t="s">
        <v>24364</v>
      </c>
      <c r="B21118" s="4">
        <v>120700</v>
      </c>
      <c r="D21118" s="5" t="s">
        <v>27123</v>
      </c>
      <c r="E21118" s="6" t="str">
        <f>HYPERLINK("https://inpn.mnhn.fr/espece/cd_nom/120700","Salvia verbenaca L., 1753")</f>
        <v>Salvia verbenaca L., 1753</v>
      </c>
      <c r="F21118" s="5" t="s">
        <v>27124</v>
      </c>
      <c r="Q21118" s="7" t="str">
        <f>HYPERLINK("#Liste_rouge!A"&amp;_xlfn.XMATCH("LC",Liste_rouge!A:A,2,1),"LC")</f>
        <v>LC</v>
      </c>
      <c r="T21118" s="7" t="str">
        <f>HYPERLINK("#Liste_rouge!A"&amp;_xlfn.XMATCH("VU",Liste_rouge!A:A,2,1),"VU")</f>
        <v>VU</v>
      </c>
      <c r="U21118" s="4" t="str">
        <f>HYPERLINK("#Critères_liste_rouge!A$1","D2")</f>
        <v>D2</v>
      </c>
      <c r="X21118" s="5" t="s">
        <v>374</v>
      </c>
      <c r="AB21118" s="4" t="s">
        <v>93</v>
      </c>
      <c r="AH21118" s="4" t="str">
        <f>HYPERLINK("#Statut_biogéographique!A"&amp;_xlfn.XMATCH("P",Statut_biogéographique!A:A,2,1),"P")</f>
        <v>P</v>
      </c>
      <c r="AM21118" s="4" t="s">
        <v>375</v>
      </c>
      <c r="AN21118" s="4" t="s">
        <v>375</v>
      </c>
      <c r="AO21118" s="4" t="s">
        <v>375</v>
      </c>
      <c r="AP21118" s="4" t="s">
        <v>376</v>
      </c>
      <c r="AR21118" s="4" t="s">
        <v>377</v>
      </c>
    </row>
    <row r="21119" spans="1:44" ht="30">
      <c r="A21119" s="4" t="s">
        <v>24364</v>
      </c>
      <c r="B21119" s="4">
        <v>120703</v>
      </c>
      <c r="D21119" s="5" t="s">
        <v>27125</v>
      </c>
      <c r="E21119" s="6" t="str">
        <f>HYPERLINK("https://inpn.mnhn.fr/espece/cd_nom/120703","Salvia verticillata L., 1753")</f>
        <v>Salvia verticillata L., 1753</v>
      </c>
      <c r="F21119" s="5" t="s">
        <v>27126</v>
      </c>
      <c r="Q21119" s="7" t="str">
        <f>HYPERLINK("#Liste_rouge!A"&amp;_xlfn.XMATCH("LC",Liste_rouge!A:A,2,1),"LC")</f>
        <v>LC</v>
      </c>
      <c r="T21119" s="7" t="str">
        <f>HYPERLINK("#Liste_rouge!A"&amp;_xlfn.XMATCH("NA",Liste_rouge!A:A,2,1),"NA")</f>
        <v>NA</v>
      </c>
      <c r="AH21119" s="4" t="str">
        <f>HYPERLINK("#Statut_biogéographique!A"&amp;_xlfn.XMATCH("P",Statut_biogéographique!A:A,2,1),"P")</f>
        <v>P</v>
      </c>
      <c r="AM21119" s="4" t="s">
        <v>375</v>
      </c>
      <c r="AN21119" s="4" t="s">
        <v>375</v>
      </c>
      <c r="AO21119" s="4" t="s">
        <v>375</v>
      </c>
      <c r="AP21119" s="4" t="s">
        <v>376</v>
      </c>
      <c r="AR21119" s="4" t="s">
        <v>377</v>
      </c>
    </row>
    <row r="21120" spans="1:44">
      <c r="A21120" s="4" t="s">
        <v>24364</v>
      </c>
      <c r="B21120" s="4">
        <v>120707</v>
      </c>
      <c r="D21120" s="5" t="s">
        <v>27127</v>
      </c>
      <c r="E21120" s="6" t="str">
        <f>HYPERLINK("https://inpn.mnhn.fr/espece/cd_nom/120707","Salvia x sylvestris L., 1753")</f>
        <v>Salvia x sylvestris L., 1753</v>
      </c>
      <c r="F21120" s="5" t="s">
        <v>27128</v>
      </c>
      <c r="T21120" s="7" t="str">
        <f>HYPERLINK("#Liste_rouge!A"&amp;_xlfn.XMATCH("NA",Liste_rouge!A:A,2,1),"NA")</f>
        <v>NA</v>
      </c>
      <c r="AH21120" s="4" t="str">
        <f>HYPERLINK("#Statut_biogéographique!A"&amp;_xlfn.XMATCH("M",Statut_biogéographique!A:A,2,1),"M")</f>
        <v>M</v>
      </c>
      <c r="AP21120" s="4" t="s">
        <v>376</v>
      </c>
      <c r="AR21120" s="4" t="s">
        <v>377</v>
      </c>
    </row>
    <row r="21121" spans="1:44">
      <c r="A21121" s="4" t="s">
        <v>24364</v>
      </c>
      <c r="B21121" s="4">
        <v>120709</v>
      </c>
      <c r="D21121" s="5" t="s">
        <v>27129</v>
      </c>
      <c r="E21121" s="6" t="str">
        <f>HYPERLINK("https://inpn.mnhn.fr/espece/cd_nom/120709","Salvinia natans (L.) All., 1785")</f>
        <v>Salvinia natans (L.) All., 1785</v>
      </c>
      <c r="F21121" s="5" t="s">
        <v>27130</v>
      </c>
      <c r="I21121" s="4" t="str">
        <f>HYPERLINK("#Réglementation!A"&amp;_xlfn.XMATCH("IBE1",Réglementation!A:A,2,1),"IBE1")</f>
        <v>IBE1</v>
      </c>
      <c r="L21121" s="4" t="str">
        <f>HYPERLINK("#Réglementation!A"&amp;_xlfn.XMATCH("NV1",Réglementation!A:A,2,1),"NV1")</f>
        <v>NV1</v>
      </c>
      <c r="O21121" s="7" t="str">
        <f>HYPERLINK("#Liste_rouge!A"&amp;_xlfn.XMATCH("LC",Liste_rouge!A:A,2,1),"LC")</f>
        <v>LC</v>
      </c>
      <c r="P21121" s="7" t="str">
        <f>HYPERLINK("#Liste_rouge!A"&amp;_xlfn.XMATCH("NT",Liste_rouge!A:A,2,1),"NT")</f>
        <v>NT</v>
      </c>
      <c r="Q21121" s="7" t="str">
        <f>HYPERLINK("#Liste_rouge!A"&amp;_xlfn.XMATCH("NA",Liste_rouge!A:A,2,1),"NA")</f>
        <v>NA</v>
      </c>
      <c r="T21121" s="7" t="str">
        <f>HYPERLINK("#Liste_rouge!A"&amp;_xlfn.XMATCH("NA",Liste_rouge!A:A,2,1),"NA")</f>
        <v>NA</v>
      </c>
      <c r="AH21121" s="4" t="str">
        <f>HYPERLINK("#Statut_biogéographique!A"&amp;_xlfn.XMATCH("I",Statut_biogéographique!A:A,2,1),"I")</f>
        <v>I</v>
      </c>
      <c r="AP21121" s="4" t="s">
        <v>376</v>
      </c>
      <c r="AR21121" s="4" t="s">
        <v>377</v>
      </c>
    </row>
    <row r="21122" spans="1:44" ht="30">
      <c r="A21122" s="4" t="s">
        <v>24364</v>
      </c>
      <c r="B21122" s="4">
        <v>120712</v>
      </c>
      <c r="D21122" s="5" t="s">
        <v>27131</v>
      </c>
      <c r="E21122" s="6" t="str">
        <f>HYPERLINK("https://inpn.mnhn.fr/espece/cd_nom/120712","Sambucus ebulus L., 1753")</f>
        <v>Sambucus ebulus L., 1753</v>
      </c>
      <c r="F21122" s="5" t="s">
        <v>27132</v>
      </c>
      <c r="P21122" s="7" t="str">
        <f>HYPERLINK("#Liste_rouge!A"&amp;_xlfn.XMATCH("LC",Liste_rouge!A:A,2,1),"LC")</f>
        <v>LC</v>
      </c>
      <c r="Q21122" s="7" t="str">
        <f>HYPERLINK("#Liste_rouge!A"&amp;_xlfn.XMATCH("LC",Liste_rouge!A:A,2,1),"LC")</f>
        <v>LC</v>
      </c>
      <c r="T21122" s="7" t="str">
        <f>HYPERLINK("#Liste_rouge!A"&amp;_xlfn.XMATCH("LC",Liste_rouge!A:A,2,1),"LC")</f>
        <v>LC</v>
      </c>
      <c r="V21122" s="7" t="str">
        <f>HYPERLINK("#Liste_rouge!A"&amp;_xlfn.XMATCH("LC",Liste_rouge!A:A,2,1),"LC")</f>
        <v>LC</v>
      </c>
      <c r="AH21122" s="4" t="str">
        <f>HYPERLINK("#Statut_biogéographique!A"&amp;_xlfn.XMATCH("P",Statut_biogéographique!A:A,2,1),"P")</f>
        <v>P</v>
      </c>
      <c r="AM21122" s="4" t="s">
        <v>375</v>
      </c>
      <c r="AN21122" s="4" t="s">
        <v>375</v>
      </c>
      <c r="AO21122" s="4" t="s">
        <v>375</v>
      </c>
      <c r="AP21122" s="4" t="s">
        <v>376</v>
      </c>
      <c r="AR21122" s="4" t="s">
        <v>377</v>
      </c>
    </row>
    <row r="21123" spans="1:44" ht="60">
      <c r="A21123" s="4" t="s">
        <v>24364</v>
      </c>
      <c r="B21123" s="4">
        <v>120717</v>
      </c>
      <c r="D21123" s="5" t="s">
        <v>27133</v>
      </c>
      <c r="E21123" s="6" t="str">
        <f>HYPERLINK("https://inpn.mnhn.fr/espece/cd_nom/120717","Sambucus nigra L., 1753")</f>
        <v>Sambucus nigra L., 1753</v>
      </c>
      <c r="F21123" s="5" t="s">
        <v>27134</v>
      </c>
      <c r="Q21123" s="7" t="str">
        <f>HYPERLINK("#Liste_rouge!A"&amp;_xlfn.XMATCH("LC",Liste_rouge!A:A,2,1),"LC")</f>
        <v>LC</v>
      </c>
      <c r="T21123" s="7" t="str">
        <f>HYPERLINK("#Liste_rouge!A"&amp;_xlfn.XMATCH("NA",Liste_rouge!A:A,2,1),"NA (cd_nom 718856) - LC (cd_nom 120717)")</f>
        <v>NA (cd_nom 718856) - LC (cd_nom 120717)</v>
      </c>
      <c r="V21123" s="7" t="str">
        <f>HYPERLINK("#Liste_rouge!A"&amp;_xlfn.XMATCH("LC",Liste_rouge!A:A,2,1),"LC")</f>
        <v>LC</v>
      </c>
      <c r="AH21123" s="4" t="str">
        <f>HYPERLINK("#Statut_biogéographique!A"&amp;_xlfn.XMATCH("P",Statut_biogéographique!A:A,2,1),"P")</f>
        <v>P</v>
      </c>
      <c r="AM21123" s="4" t="s">
        <v>375</v>
      </c>
      <c r="AN21123" s="4" t="s">
        <v>375</v>
      </c>
      <c r="AO21123" s="4" t="s">
        <v>375</v>
      </c>
      <c r="AP21123" s="4" t="s">
        <v>376</v>
      </c>
      <c r="AR21123" s="4" t="s">
        <v>377</v>
      </c>
    </row>
    <row r="21124" spans="1:44" ht="30">
      <c r="A21124" s="4" t="s">
        <v>24364</v>
      </c>
      <c r="B21124" s="4">
        <v>120720</v>
      </c>
      <c r="D21124" s="5" t="s">
        <v>27135</v>
      </c>
      <c r="E21124" s="6" t="str">
        <f>HYPERLINK("https://inpn.mnhn.fr/espece/cd_nom/120720","Sambucus racemosa L., 1753")</f>
        <v>Sambucus racemosa L., 1753</v>
      </c>
      <c r="F21124" s="5" t="s">
        <v>27136</v>
      </c>
      <c r="O21124" s="7" t="str">
        <f>HYPERLINK("#Liste_rouge!A"&amp;_xlfn.XMATCH("LC",Liste_rouge!A:A,2,1),"LC")</f>
        <v>LC</v>
      </c>
      <c r="Q21124" s="7" t="str">
        <f>HYPERLINK("#Liste_rouge!A"&amp;_xlfn.XMATCH("LC",Liste_rouge!A:A,2,1),"LC")</f>
        <v>LC</v>
      </c>
      <c r="T21124" s="7" t="str">
        <f>HYPERLINK("#Liste_rouge!A"&amp;_xlfn.XMATCH("LC",Liste_rouge!A:A,2,1),"LC")</f>
        <v>LC</v>
      </c>
      <c r="V21124" s="7" t="str">
        <f>HYPERLINK("#Liste_rouge!A"&amp;_xlfn.XMATCH("LC",Liste_rouge!A:A,2,1),"LC")</f>
        <v>LC</v>
      </c>
      <c r="AH21124" s="4" t="str">
        <f>HYPERLINK("#Statut_biogéographique!A"&amp;_xlfn.XMATCH("P",Statut_biogéographique!A:A,2,1),"P")</f>
        <v>P</v>
      </c>
      <c r="AM21124" s="4" t="s">
        <v>375</v>
      </c>
      <c r="AN21124" s="4" t="s">
        <v>375</v>
      </c>
      <c r="AO21124" s="4" t="s">
        <v>375</v>
      </c>
      <c r="AP21124" s="4" t="s">
        <v>376</v>
      </c>
      <c r="AR21124" s="4" t="s">
        <v>377</v>
      </c>
    </row>
    <row r="21125" spans="1:44" ht="30">
      <c r="A21125" s="4" t="s">
        <v>24364</v>
      </c>
      <c r="B21125" s="4">
        <v>120732</v>
      </c>
      <c r="D21125" s="5" t="s">
        <v>27137</v>
      </c>
      <c r="E21125" s="6" t="str">
        <f>HYPERLINK("https://inpn.mnhn.fr/espece/cd_nom/120732","Samolus valerandi L., 1753")</f>
        <v>Samolus valerandi L., 1753</v>
      </c>
      <c r="F21125" s="5" t="s">
        <v>27138</v>
      </c>
      <c r="O21125" s="7" t="str">
        <f>HYPERLINK("#Liste_rouge!A"&amp;_xlfn.XMATCH("LC",Liste_rouge!A:A,2,1),"LC")</f>
        <v>LC</v>
      </c>
      <c r="P21125" s="7" t="str">
        <f>HYPERLINK("#Liste_rouge!A"&amp;_xlfn.XMATCH("LC",Liste_rouge!A:A,2,1),"LC")</f>
        <v>LC</v>
      </c>
      <c r="Q21125" s="7" t="str">
        <f>HYPERLINK("#Liste_rouge!A"&amp;_xlfn.XMATCH("LC",Liste_rouge!A:A,2,1),"LC")</f>
        <v>LC</v>
      </c>
      <c r="T21125" s="7" t="str">
        <f>HYPERLINK("#Liste_rouge!A"&amp;_xlfn.XMATCH("EN",Liste_rouge!A:A,2,1),"EN")</f>
        <v>EN</v>
      </c>
      <c r="U21125" s="4" t="str">
        <f>HYPERLINK("#Critères_liste_rouge!A$1","B2ab(iii,iv,v)c(iii,iv) C2a(i)")</f>
        <v>B2ab(iii,iv,v)c(iii,iv) C2a(i)</v>
      </c>
      <c r="V21125" s="7" t="str">
        <f>HYPERLINK("#Liste_rouge!A"&amp;_xlfn.XMATCH("RE",Liste_rouge!A:A,2,1),"RE")</f>
        <v>RE</v>
      </c>
      <c r="X21125" s="5" t="s">
        <v>374</v>
      </c>
      <c r="AB21125" s="4" t="s">
        <v>93</v>
      </c>
      <c r="AH21125" s="4" t="str">
        <f>HYPERLINK("#Statut_biogéographique!A"&amp;_xlfn.XMATCH("P",Statut_biogéographique!A:A,2,1),"P")</f>
        <v>P</v>
      </c>
      <c r="AM21125" s="4" t="s">
        <v>375</v>
      </c>
      <c r="AN21125" s="4" t="s">
        <v>375</v>
      </c>
      <c r="AO21125" s="4" t="s">
        <v>375</v>
      </c>
      <c r="AP21125" s="4" t="s">
        <v>376</v>
      </c>
      <c r="AR21125" s="4" t="s">
        <v>377</v>
      </c>
    </row>
    <row r="21126" spans="1:44" ht="90">
      <c r="A21126" s="4" t="s">
        <v>24364</v>
      </c>
      <c r="B21126" s="4">
        <v>120758</v>
      </c>
      <c r="D21126" s="5" t="s">
        <v>27139</v>
      </c>
      <c r="E21126" s="6" t="str">
        <f>HYPERLINK("https://inpn.mnhn.fr/espece/cd_nom/120758","Sanguisorba officinalis L., 1753")</f>
        <v>Sanguisorba officinalis L., 1753</v>
      </c>
      <c r="F21126" s="5" t="s">
        <v>27140</v>
      </c>
      <c r="O21126" s="7" t="str">
        <f>HYPERLINK("#Liste_rouge!A"&amp;_xlfn.XMATCH("LC",Liste_rouge!A:A,2,1),"LC")</f>
        <v>LC</v>
      </c>
      <c r="P21126" s="7" t="str">
        <f>HYPERLINK("#Liste_rouge!A"&amp;_xlfn.XMATCH("LC",Liste_rouge!A:A,2,1),"LC")</f>
        <v>LC</v>
      </c>
      <c r="Q21126" s="7" t="str">
        <f>HYPERLINK("#Liste_rouge!A"&amp;_xlfn.XMATCH("LC",Liste_rouge!A:A,2,1),"LC")</f>
        <v>LC</v>
      </c>
      <c r="T21126" s="7" t="str">
        <f>HYPERLINK("#Liste_rouge!A"&amp;_xlfn.XMATCH("NT",Liste_rouge!A:A,2,1),"NT")</f>
        <v>NT</v>
      </c>
      <c r="V21126" s="7" t="str">
        <f>HYPERLINK("#Liste_rouge!A"&amp;_xlfn.XMATCH("LC",Liste_rouge!A:A,2,1),"LC")</f>
        <v>LC</v>
      </c>
      <c r="AB21126" s="4" t="s">
        <v>25854</v>
      </c>
      <c r="AH21126" s="4" t="str">
        <f>HYPERLINK("#Statut_biogéographique!A"&amp;_xlfn.XMATCH("P",Statut_biogéographique!A:A,2,1),"P")</f>
        <v>P</v>
      </c>
      <c r="AM21126" s="4" t="s">
        <v>375</v>
      </c>
      <c r="AN21126" s="4" t="s">
        <v>375</v>
      </c>
      <c r="AO21126" s="4" t="s">
        <v>375</v>
      </c>
      <c r="AP21126" s="4" t="s">
        <v>376</v>
      </c>
      <c r="AR21126" s="4" t="s">
        <v>377</v>
      </c>
    </row>
    <row r="21127" spans="1:44" ht="30">
      <c r="A21127" s="4" t="s">
        <v>24364</v>
      </c>
      <c r="B21127" s="4">
        <v>120772</v>
      </c>
      <c r="D21127" s="5" t="s">
        <v>27141</v>
      </c>
      <c r="E21127" s="6" t="str">
        <f>HYPERLINK("https://inpn.mnhn.fr/espece/cd_nom/120772","Sanicula europaea L., 1753")</f>
        <v>Sanicula europaea L., 1753</v>
      </c>
      <c r="F21127" s="5" t="s">
        <v>27142</v>
      </c>
      <c r="P21127" s="7" t="str">
        <f>HYPERLINK("#Liste_rouge!A"&amp;_xlfn.XMATCH("LC",Liste_rouge!A:A,2,1),"LC")</f>
        <v>LC</v>
      </c>
      <c r="Q21127" s="7" t="str">
        <f>HYPERLINK("#Liste_rouge!A"&amp;_xlfn.XMATCH("LC",Liste_rouge!A:A,2,1),"LC")</f>
        <v>LC</v>
      </c>
      <c r="T21127" s="7" t="str">
        <f>HYPERLINK("#Liste_rouge!A"&amp;_xlfn.XMATCH("LC",Liste_rouge!A:A,2,1),"LC")</f>
        <v>LC</v>
      </c>
      <c r="V21127" s="7" t="str">
        <f>HYPERLINK("#Liste_rouge!A"&amp;_xlfn.XMATCH("LC",Liste_rouge!A:A,2,1),"LC")</f>
        <v>LC</v>
      </c>
      <c r="AH21127" s="4" t="str">
        <f>HYPERLINK("#Statut_biogéographique!A"&amp;_xlfn.XMATCH("P",Statut_biogéographique!A:A,2,1),"P")</f>
        <v>P</v>
      </c>
      <c r="AM21127" s="4" t="s">
        <v>375</v>
      </c>
      <c r="AN21127" s="4" t="s">
        <v>375</v>
      </c>
      <c r="AO21127" s="4" t="s">
        <v>375</v>
      </c>
      <c r="AP21127" s="4" t="s">
        <v>376</v>
      </c>
      <c r="AR21127" s="4" t="s">
        <v>377</v>
      </c>
    </row>
    <row r="21128" spans="1:44">
      <c r="A21128" s="4" t="s">
        <v>24364</v>
      </c>
      <c r="B21128" s="4">
        <v>120802</v>
      </c>
      <c r="D21128" s="5" t="s">
        <v>27143</v>
      </c>
      <c r="E21128" s="6" t="str">
        <f>HYPERLINK("https://inpn.mnhn.fr/espece/cd_nom/120802","Santolina rosmarinifolia L., 1753")</f>
        <v>Santolina rosmarinifolia L., 1753</v>
      </c>
      <c r="F21128" s="5" t="s">
        <v>27144</v>
      </c>
      <c r="T21128" s="7" t="str">
        <f>HYPERLINK("#Liste_rouge!A"&amp;_xlfn.XMATCH("NA",Liste_rouge!A:A,2,1),"NA")</f>
        <v>NA</v>
      </c>
      <c r="AH21128" s="4" t="str">
        <f>HYPERLINK("#Statut_biogéographique!A"&amp;_xlfn.XMATCH("M",Statut_biogéographique!A:A,2,1),"M")</f>
        <v>M</v>
      </c>
      <c r="AP21128" s="4" t="s">
        <v>376</v>
      </c>
      <c r="AR21128" s="4" t="s">
        <v>377</v>
      </c>
    </row>
    <row r="21129" spans="1:44" ht="30">
      <c r="A21129" s="4" t="s">
        <v>24364</v>
      </c>
      <c r="B21129" s="4">
        <v>120813</v>
      </c>
      <c r="D21129" s="5" t="s">
        <v>27145</v>
      </c>
      <c r="E21129" s="6" t="str">
        <f>HYPERLINK("https://inpn.mnhn.fr/espece/cd_nom/120813","Saponaria caespitosa DC., 1808")</f>
        <v>Saponaria caespitosa DC., 1808</v>
      </c>
      <c r="F21129" s="5" t="s">
        <v>27146</v>
      </c>
      <c r="Q21129" s="7" t="str">
        <f>HYPERLINK("#Liste_rouge!A"&amp;_xlfn.XMATCH("LC",Liste_rouge!A:A,2,1),"LC")</f>
        <v>LC</v>
      </c>
      <c r="AH21129" s="4" t="str">
        <f>HYPERLINK("#Statut_biogéographique!A"&amp;_xlfn.XMATCH("P",Statut_biogéographique!A:A,2,1),"P")</f>
        <v>P</v>
      </c>
      <c r="AP21129" s="4" t="s">
        <v>376</v>
      </c>
      <c r="AR21129" s="4" t="s">
        <v>377</v>
      </c>
    </row>
    <row r="21130" spans="1:44" ht="30">
      <c r="A21130" s="4" t="s">
        <v>24364</v>
      </c>
      <c r="B21130" s="4">
        <v>120823</v>
      </c>
      <c r="D21130" s="5" t="s">
        <v>27147</v>
      </c>
      <c r="E21130" s="6" t="str">
        <f>HYPERLINK("https://inpn.mnhn.fr/espece/cd_nom/120823","Saponaria ocymoides L., 1753")</f>
        <v>Saponaria ocymoides L., 1753</v>
      </c>
      <c r="F21130" s="5" t="s">
        <v>27148</v>
      </c>
      <c r="Q21130" s="7" t="str">
        <f>HYPERLINK("#Liste_rouge!A"&amp;_xlfn.XMATCH("LC",Liste_rouge!A:A,2,1),"LC")</f>
        <v>LC</v>
      </c>
      <c r="T21130" s="7" t="str">
        <f>HYPERLINK("#Liste_rouge!A"&amp;_xlfn.XMATCH("VU",Liste_rouge!A:A,2,1),"VU")</f>
        <v>VU</v>
      </c>
      <c r="U21130" s="4" t="str">
        <f>HYPERLINK("#Critères_liste_rouge!A$1","D1")</f>
        <v>D1</v>
      </c>
      <c r="V21130" s="7" t="str">
        <f>HYPERLINK("#Liste_rouge!A"&amp;_xlfn.XMATCH("LC",Liste_rouge!A:A,2,1),"LC")</f>
        <v>LC</v>
      </c>
      <c r="AB21130" s="4" t="s">
        <v>25010</v>
      </c>
      <c r="AH21130" s="4" t="str">
        <f>HYPERLINK("#Statut_biogéographique!A"&amp;_xlfn.XMATCH("P",Statut_biogéographique!A:A,2,1),"P")</f>
        <v>P</v>
      </c>
      <c r="AM21130" s="4" t="s">
        <v>375</v>
      </c>
      <c r="AN21130" s="4" t="s">
        <v>375</v>
      </c>
      <c r="AO21130" s="4" t="s">
        <v>375</v>
      </c>
      <c r="AP21130" s="4" t="s">
        <v>376</v>
      </c>
      <c r="AR21130" s="4" t="s">
        <v>377</v>
      </c>
    </row>
    <row r="21131" spans="1:44" ht="45">
      <c r="A21131" s="4" t="s">
        <v>24364</v>
      </c>
      <c r="B21131" s="4">
        <v>120824</v>
      </c>
      <c r="D21131" s="5" t="s">
        <v>27149</v>
      </c>
      <c r="E21131" s="6" t="str">
        <f>HYPERLINK("https://inpn.mnhn.fr/espece/cd_nom/120824","Saponaria officinalis L., 1753")</f>
        <v>Saponaria officinalis L., 1753</v>
      </c>
      <c r="F21131" s="5" t="s">
        <v>27150</v>
      </c>
      <c r="P21131" s="7" t="str">
        <f>HYPERLINK("#Liste_rouge!A"&amp;_xlfn.XMATCH("LC",Liste_rouge!A:A,2,1),"LC")</f>
        <v>LC</v>
      </c>
      <c r="Q21131" s="7" t="str">
        <f>HYPERLINK("#Liste_rouge!A"&amp;_xlfn.XMATCH("LC",Liste_rouge!A:A,2,1),"LC")</f>
        <v>LC</v>
      </c>
      <c r="T21131" s="7" t="str">
        <f>HYPERLINK("#Liste_rouge!A"&amp;_xlfn.XMATCH("LC",Liste_rouge!A:A,2,1),"LC")</f>
        <v>LC</v>
      </c>
      <c r="V21131" s="7" t="str">
        <f>HYPERLINK("#Liste_rouge!A"&amp;_xlfn.XMATCH("LC",Liste_rouge!A:A,2,1),"LC")</f>
        <v>LC</v>
      </c>
      <c r="AH21131" s="4" t="str">
        <f>HYPERLINK("#Statut_biogéographique!A"&amp;_xlfn.XMATCH("P",Statut_biogéographique!A:A,2,1),"P")</f>
        <v>P</v>
      </c>
      <c r="AM21131" s="4" t="s">
        <v>375</v>
      </c>
      <c r="AN21131" s="4" t="s">
        <v>375</v>
      </c>
      <c r="AO21131" s="4" t="s">
        <v>375</v>
      </c>
      <c r="AP21131" s="4" t="s">
        <v>376</v>
      </c>
      <c r="AR21131" s="4" t="s">
        <v>377</v>
      </c>
    </row>
    <row r="21132" spans="1:44" ht="30">
      <c r="A21132" s="4" t="s">
        <v>24364</v>
      </c>
      <c r="B21132" s="4">
        <v>120875</v>
      </c>
      <c r="D21132" s="5" t="s">
        <v>27151</v>
      </c>
      <c r="E21132" s="6" t="str">
        <f>HYPERLINK("https://inpn.mnhn.fr/espece/cd_nom/120875","Sarracenia purpurea L., 1753 [nom. et typ. cons.]")</f>
        <v>Sarracenia purpurea L., 1753 [nom. et typ. cons.]</v>
      </c>
      <c r="F21132" s="5" t="s">
        <v>27152</v>
      </c>
      <c r="Q21132" s="7" t="str">
        <f>HYPERLINK("#Liste_rouge!A"&amp;_xlfn.XMATCH("NA",Liste_rouge!A:A,2,1),"NA")</f>
        <v>NA</v>
      </c>
      <c r="T21132" s="7" t="str">
        <f>HYPERLINK("#Liste_rouge!A"&amp;_xlfn.XMATCH("NA",Liste_rouge!A:A,2,1),"NA")</f>
        <v>NA</v>
      </c>
      <c r="AH21132" s="4" t="str">
        <f>HYPERLINK("#Statut_biogéographique!A"&amp;_xlfn.XMATCH("I",Statut_biogéographique!A:A,2,1),"I")</f>
        <v>I</v>
      </c>
      <c r="AM21132" s="4" t="s">
        <v>375</v>
      </c>
      <c r="AN21132" s="4" t="s">
        <v>375</v>
      </c>
      <c r="AO21132" s="4" t="s">
        <v>375</v>
      </c>
      <c r="AP21132" s="4" t="s">
        <v>376</v>
      </c>
      <c r="AR21132" s="4" t="s">
        <v>377</v>
      </c>
    </row>
    <row r="21133" spans="1:44" ht="45">
      <c r="A21133" s="4" t="s">
        <v>24364</v>
      </c>
      <c r="B21133" s="4">
        <v>120901</v>
      </c>
      <c r="D21133" s="5" t="s">
        <v>27153</v>
      </c>
      <c r="E21133" s="6" t="str">
        <f>HYPERLINK("https://inpn.mnhn.fr/espece/cd_nom/120901","Satureja hortensis L., 1753")</f>
        <v>Satureja hortensis L., 1753</v>
      </c>
      <c r="F21133" s="5" t="s">
        <v>27154</v>
      </c>
      <c r="P21133" s="7" t="str">
        <f>HYPERLINK("#Liste_rouge!A"&amp;_xlfn.XMATCH("DD",Liste_rouge!A:A,2,1),"DD")</f>
        <v>DD</v>
      </c>
      <c r="Q21133" s="7" t="str">
        <f>HYPERLINK("#Liste_rouge!A"&amp;_xlfn.XMATCH("NA",Liste_rouge!A:A,2,1),"NA")</f>
        <v>NA</v>
      </c>
      <c r="T21133" s="7" t="str">
        <f>HYPERLINK("#Liste_rouge!A"&amp;_xlfn.XMATCH("NA",Liste_rouge!A:A,2,1),"NA")</f>
        <v>NA</v>
      </c>
      <c r="AH21133" s="4" t="str">
        <f>HYPERLINK("#Statut_biogéographique!A"&amp;_xlfn.XMATCH("I",Statut_biogéographique!A:A,2,1),"I")</f>
        <v>I</v>
      </c>
      <c r="AP21133" s="4" t="s">
        <v>376</v>
      </c>
      <c r="AR21133" s="4" t="s">
        <v>377</v>
      </c>
    </row>
    <row r="21134" spans="1:44" ht="45">
      <c r="A21134" s="4" t="s">
        <v>24364</v>
      </c>
      <c r="B21134" s="4">
        <v>120908</v>
      </c>
      <c r="D21134" s="5" t="s">
        <v>27155</v>
      </c>
      <c r="E21134" s="6" t="str">
        <f>HYPERLINK("https://inpn.mnhn.fr/espece/cd_nom/120908","Satureja montana L., 1753")</f>
        <v>Satureja montana L., 1753</v>
      </c>
      <c r="F21134" s="5" t="s">
        <v>27156</v>
      </c>
      <c r="Q21134" s="7" t="str">
        <f>HYPERLINK("#Liste_rouge!A"&amp;_xlfn.XMATCH("LC",Liste_rouge!A:A,2,1),"LC")</f>
        <v>LC</v>
      </c>
      <c r="AH21134" s="4" t="str">
        <f>HYPERLINK("#Statut_biogéographique!A"&amp;_xlfn.XMATCH("P",Statut_biogéographique!A:A,2,1),"P")</f>
        <v>P</v>
      </c>
      <c r="AP21134" s="4" t="s">
        <v>376</v>
      </c>
      <c r="AR21134" s="4" t="s">
        <v>377</v>
      </c>
    </row>
    <row r="21135" spans="1:44" ht="30">
      <c r="A21135" s="4" t="s">
        <v>24364</v>
      </c>
      <c r="B21135" s="4">
        <v>121056</v>
      </c>
      <c r="D21135" s="5" t="s">
        <v>27157</v>
      </c>
      <c r="E21135" s="6" t="str">
        <f>HYPERLINK("https://inpn.mnhn.fr/espece/cd_nom/121056","Saxifraga fragosoi Sennen, 1929")</f>
        <v>Saxifraga fragosoi Sennen, 1929</v>
      </c>
      <c r="F21135" s="5" t="s">
        <v>27158</v>
      </c>
      <c r="Q21135" s="7" t="str">
        <f>HYPERLINK("#Liste_rouge!A"&amp;_xlfn.XMATCH("LC",Liste_rouge!A:A,2,1),"LC")</f>
        <v>LC</v>
      </c>
      <c r="T21135" s="7" t="str">
        <f>HYPERLINK("#Liste_rouge!A"&amp;_xlfn.XMATCH("NA",Liste_rouge!A:A,2,1),"NA")</f>
        <v>NA</v>
      </c>
      <c r="AH21135" s="4" t="str">
        <f>HYPERLINK("#Statut_biogéographique!A"&amp;_xlfn.XMATCH("P",Statut_biogéographique!A:A,2,1),"P")</f>
        <v>P</v>
      </c>
      <c r="AP21135" s="4" t="s">
        <v>376</v>
      </c>
      <c r="AR21135" s="4" t="s">
        <v>377</v>
      </c>
    </row>
    <row r="21136" spans="1:44" ht="60">
      <c r="A21136" s="4" t="s">
        <v>24364</v>
      </c>
      <c r="B21136" s="4">
        <v>121065</v>
      </c>
      <c r="D21136" s="5" t="s">
        <v>27159</v>
      </c>
      <c r="E21136" s="6" t="str">
        <f>HYPERLINK("https://inpn.mnhn.fr/espece/cd_nom/121065","Saxifraga granulata L., 1753")</f>
        <v>Saxifraga granulata L., 1753</v>
      </c>
      <c r="F21136" s="5" t="s">
        <v>27160</v>
      </c>
      <c r="M21136" s="4" t="str">
        <f>HYPERLINK("#Réglementation!A"&amp;_xlfn.XMATCH("RV43",Réglementation!A:A,2,1),"RV43")</f>
        <v>RV43</v>
      </c>
      <c r="Q21136" s="7" t="str">
        <f>HYPERLINK("#Liste_rouge!A"&amp;_xlfn.XMATCH("LC",Liste_rouge!A:A,2,1),"LC")</f>
        <v>LC</v>
      </c>
      <c r="T21136" s="7" t="str">
        <f>HYPERLINK("#Liste_rouge!A"&amp;_xlfn.XMATCH("LC",Liste_rouge!A:A,2,1),"LC")</f>
        <v>LC</v>
      </c>
      <c r="V21136" s="7" t="str">
        <f>HYPERLINK("#Liste_rouge!A"&amp;_xlfn.XMATCH("NT",Liste_rouge!A:A,2,1),"NT")</f>
        <v>NT</v>
      </c>
      <c r="W21136" s="4" t="str">
        <f>HYPERLINK("#Critères_liste_rouge!A$1","pr. B2b(ii,iii)")</f>
        <v>pr. B2b(ii,iii)</v>
      </c>
      <c r="AB21136" s="4" t="s">
        <v>27161</v>
      </c>
      <c r="AH21136" s="4" t="str">
        <f>HYPERLINK("#Statut_biogéographique!A"&amp;_xlfn.XMATCH("P",Statut_biogéographique!A:A,2,1),"P")</f>
        <v>P</v>
      </c>
      <c r="AM21136" s="4" t="s">
        <v>375</v>
      </c>
      <c r="AN21136" s="4" t="s">
        <v>375</v>
      </c>
      <c r="AO21136" s="4" t="s">
        <v>375</v>
      </c>
      <c r="AP21136" s="4" t="s">
        <v>376</v>
      </c>
      <c r="AR21136" s="4" t="s">
        <v>377</v>
      </c>
    </row>
    <row r="21137" spans="1:44" ht="30">
      <c r="A21137" s="4" t="s">
        <v>24364</v>
      </c>
      <c r="B21137" s="4">
        <v>121076</v>
      </c>
      <c r="D21137" s="5" t="s">
        <v>27162</v>
      </c>
      <c r="E21137" s="6" t="str">
        <f>HYPERLINK("https://inpn.mnhn.fr/espece/cd_nom/121076","Saxifraga hirculus L., 1753")</f>
        <v>Saxifraga hirculus L., 1753</v>
      </c>
      <c r="F21137" s="5" t="s">
        <v>27163</v>
      </c>
      <c r="I21137" s="4" t="str">
        <f>HYPERLINK("#Réglementation!A"&amp;_xlfn.XMATCH("IBE1",Réglementation!A:A,2,1),"IBE1")</f>
        <v>IBE1</v>
      </c>
      <c r="K21137" s="4" t="str">
        <f>HYPERLINK("#Réglementation!A"&amp;_xlfn.XMATCH("CDH2",Réglementation!A:A,2,1),"CDH2 - CDH4")</f>
        <v>CDH2 - CDH4</v>
      </c>
      <c r="L21137" s="4" t="str">
        <f>HYPERLINK("#Réglementation!A"&amp;_xlfn.XMATCH("NV1",Réglementation!A:A,2,1),"NV1")</f>
        <v>NV1</v>
      </c>
      <c r="O21137" s="7" t="str">
        <f>HYPERLINK("#Liste_rouge!A"&amp;_xlfn.XMATCH("LC",Liste_rouge!A:A,2,1),"LC")</f>
        <v>LC</v>
      </c>
      <c r="P21137" s="7" t="str">
        <f>HYPERLINK("#Liste_rouge!A"&amp;_xlfn.XMATCH("DD",Liste_rouge!A:A,2,1),"DD")</f>
        <v>DD</v>
      </c>
      <c r="Q21137" s="7" t="str">
        <f>HYPERLINK("#Liste_rouge!A"&amp;_xlfn.XMATCH("CR",Liste_rouge!A:A,2,1),"CR")</f>
        <v>CR</v>
      </c>
      <c r="V21137" s="7" t="str">
        <f>HYPERLINK("#Liste_rouge!A"&amp;_xlfn.XMATCH("CR",Liste_rouge!A:A,2,1),"CR")</f>
        <v>CR</v>
      </c>
      <c r="W21137" s="4" t="str">
        <f>HYPERLINK("#Critères_liste_rouge!A$1","B2ab(ii,iii,iv,v)")</f>
        <v>B2ab(ii,iii,iv,v)</v>
      </c>
      <c r="X21137" s="5" t="s">
        <v>374</v>
      </c>
      <c r="AB21137" s="4" t="s">
        <v>93</v>
      </c>
      <c r="AE21137" s="4" t="str">
        <f>HYPERLINK("#SCAP!A"&amp;_xlfn.XMATCH("1-",SCAP!A:A,2,1),"1-")</f>
        <v>1-</v>
      </c>
      <c r="AG21137" s="4" t="str">
        <f>HYPERLINK("#SCAP!A"&amp;_xlfn.XMATCH("1-",SCAP!A:A,2,1),"1-")</f>
        <v>1-</v>
      </c>
      <c r="AH21137" s="4" t="str">
        <f>HYPERLINK("#Statut_biogéographique!A"&amp;_xlfn.XMATCH("P",Statut_biogéographique!A:A,2,1),"P")</f>
        <v>P</v>
      </c>
      <c r="AI21137" s="8" t="s">
        <v>27164</v>
      </c>
      <c r="AJ21137" s="4" t="s">
        <v>388</v>
      </c>
      <c r="AM21137" s="4" t="s">
        <v>375</v>
      </c>
      <c r="AN21137" s="4" t="s">
        <v>382</v>
      </c>
      <c r="AO21137" s="4" t="s">
        <v>382</v>
      </c>
      <c r="AP21137" s="4" t="s">
        <v>389</v>
      </c>
      <c r="AR21137" s="4" t="s">
        <v>377</v>
      </c>
    </row>
    <row r="21138" spans="1:44" ht="30">
      <c r="A21138" s="4" t="s">
        <v>24364</v>
      </c>
      <c r="B21138" s="4">
        <v>121083</v>
      </c>
      <c r="D21138" s="5" t="s">
        <v>27165</v>
      </c>
      <c r="E21138" s="6" t="str">
        <f>HYPERLINK("https://inpn.mnhn.fr/espece/cd_nom/121083","Saxifraga hypnoides L., 1753")</f>
        <v>Saxifraga hypnoides L., 1753</v>
      </c>
      <c r="F21138" s="5" t="s">
        <v>27166</v>
      </c>
      <c r="T21138" s="7" t="str">
        <f>HYPERLINK("#Liste_rouge!A"&amp;_xlfn.XMATCH("NA",Liste_rouge!A:A,2,1),"NA")</f>
        <v>NA</v>
      </c>
      <c r="AH21138" s="4" t="str">
        <f>HYPERLINK("#Statut_biogéographique!A"&amp;_xlfn.XMATCH("M",Statut_biogéographique!A:A,2,1),"M")</f>
        <v>M</v>
      </c>
      <c r="AP21138" s="4" t="s">
        <v>376</v>
      </c>
      <c r="AR21138" s="4" t="s">
        <v>377</v>
      </c>
    </row>
    <row r="21139" spans="1:44" ht="75">
      <c r="A21139" s="4" t="s">
        <v>24364</v>
      </c>
      <c r="B21139" s="4">
        <v>121115</v>
      </c>
      <c r="D21139" s="5" t="s">
        <v>27167</v>
      </c>
      <c r="E21139" s="6" t="str">
        <f>HYPERLINK("https://inpn.mnhn.fr/espece/cd_nom/121115","Saxifraga moschata Wulfen, 1781")</f>
        <v>Saxifraga moschata Wulfen, 1781</v>
      </c>
      <c r="F21139" s="5" t="s">
        <v>27168</v>
      </c>
      <c r="Q21139" s="7" t="str">
        <f>HYPERLINK("#Liste_rouge!A"&amp;_xlfn.XMATCH("LC",Liste_rouge!A:A,2,1),"LC")</f>
        <v>LC</v>
      </c>
      <c r="V21139" s="7" t="str">
        <f>HYPERLINK("#Liste_rouge!A"&amp;_xlfn.XMATCH("CR",Liste_rouge!A:A,2,1),"CR")</f>
        <v>CR</v>
      </c>
      <c r="W21139" s="4" t="str">
        <f>HYPERLINK("#Critères_liste_rouge!A$1","B2ab(iii)")</f>
        <v>B2ab(iii)</v>
      </c>
      <c r="X21139" s="5" t="s">
        <v>374</v>
      </c>
      <c r="AB21139" s="4" t="s">
        <v>93</v>
      </c>
      <c r="AH21139" s="4" t="str">
        <f>HYPERLINK("#Statut_biogéographique!A"&amp;_xlfn.XMATCH("P",Statut_biogéographique!A:A,2,1),"P")</f>
        <v>P</v>
      </c>
      <c r="AM21139" s="4" t="s">
        <v>375</v>
      </c>
      <c r="AN21139" s="4" t="s">
        <v>375</v>
      </c>
      <c r="AO21139" s="4" t="s">
        <v>375</v>
      </c>
      <c r="AP21139" s="4" t="s">
        <v>376</v>
      </c>
      <c r="AR21139" s="4" t="s">
        <v>377</v>
      </c>
    </row>
    <row r="21140" spans="1:44" ht="135">
      <c r="A21140" s="4" t="s">
        <v>24364</v>
      </c>
      <c r="B21140" s="4">
        <v>121139</v>
      </c>
      <c r="D21140" s="5" t="s">
        <v>27169</v>
      </c>
      <c r="E21140" s="6" t="str">
        <f>HYPERLINK("https://inpn.mnhn.fr/espece/cd_nom/121139","Saxifraga paniculata Mill., 1768")</f>
        <v>Saxifraga paniculata Mill., 1768</v>
      </c>
      <c r="F21140" s="5" t="s">
        <v>27170</v>
      </c>
      <c r="Q21140" s="7" t="str">
        <f>HYPERLINK("#Liste_rouge!A"&amp;_xlfn.XMATCH("LC",Liste_rouge!A:A,2,1),"LC")</f>
        <v>LC</v>
      </c>
      <c r="V21140" s="7" t="str">
        <f>HYPERLINK("#Liste_rouge!A"&amp;_xlfn.XMATCH("LC",Liste_rouge!A:A,2,1),"LC")</f>
        <v>LC</v>
      </c>
      <c r="AH21140" s="4" t="str">
        <f>HYPERLINK("#Statut_biogéographique!A"&amp;_xlfn.XMATCH("P",Statut_biogéographique!A:A,2,1),"P")</f>
        <v>P</v>
      </c>
      <c r="AM21140" s="4" t="s">
        <v>375</v>
      </c>
      <c r="AN21140" s="4" t="s">
        <v>375</v>
      </c>
      <c r="AO21140" s="4" t="s">
        <v>375</v>
      </c>
      <c r="AP21140" s="4" t="s">
        <v>376</v>
      </c>
      <c r="AR21140" s="4" t="s">
        <v>377</v>
      </c>
    </row>
    <row r="21141" spans="1:44" ht="45">
      <c r="A21141" s="4" t="s">
        <v>24364</v>
      </c>
      <c r="B21141" s="4">
        <v>121176</v>
      </c>
      <c r="D21141" s="5" t="s">
        <v>27171</v>
      </c>
      <c r="E21141" s="6" t="str">
        <f>HYPERLINK("https://inpn.mnhn.fr/espece/cd_nom/121176","Saxifraga rosacea Moench, 1794")</f>
        <v>Saxifraga rosacea Moench, 1794</v>
      </c>
      <c r="F21141" s="5" t="s">
        <v>27172</v>
      </c>
      <c r="Q21141" s="7" t="str">
        <f>HYPERLINK("#Liste_rouge!A"&amp;_xlfn.XMATCH("CR",Liste_rouge!A:A,2,1),"CR")</f>
        <v>CR</v>
      </c>
      <c r="V21141" s="7" t="str">
        <f>HYPERLINK("#Liste_rouge!A"&amp;_xlfn.XMATCH("EN",Liste_rouge!A:A,2,1),"EN")</f>
        <v>EN</v>
      </c>
      <c r="W21141" s="4" t="str">
        <f>HYPERLINK("#Critères_liste_rouge!A$1","B2ab(iii,iv,v)")</f>
        <v>B2ab(iii,iv,v)</v>
      </c>
      <c r="X21141" s="5" t="s">
        <v>374</v>
      </c>
      <c r="AB21141" s="4" t="s">
        <v>93</v>
      </c>
      <c r="AH21141" s="4" t="str">
        <f>HYPERLINK("#Statut_biogéographique!A"&amp;_xlfn.XMATCH("P",Statut_biogéographique!A:A,2,1),"P")</f>
        <v>P</v>
      </c>
      <c r="AM21141" s="4" t="s">
        <v>375</v>
      </c>
      <c r="AN21141" s="4" t="s">
        <v>375</v>
      </c>
      <c r="AO21141" s="4" t="s">
        <v>375</v>
      </c>
      <c r="AP21141" s="4" t="s">
        <v>389</v>
      </c>
      <c r="AR21141" s="4" t="s">
        <v>377</v>
      </c>
    </row>
    <row r="21142" spans="1:44">
      <c r="A21142" s="4" t="s">
        <v>24364</v>
      </c>
      <c r="B21142" s="4">
        <v>121177</v>
      </c>
      <c r="D21142" s="5" t="s">
        <v>27173</v>
      </c>
      <c r="E21142" s="6" t="str">
        <f>HYPERLINK("https://inpn.mnhn.fr/espece/cd_nom/121177","Saxifraga rotundifolia L., 1753")</f>
        <v>Saxifraga rotundifolia L., 1753</v>
      </c>
      <c r="F21142" s="5" t="s">
        <v>27174</v>
      </c>
      <c r="Q21142" s="7" t="str">
        <f>HYPERLINK("#Liste_rouge!A"&amp;_xlfn.XMATCH("LC",Liste_rouge!A:A,2,1),"LC")</f>
        <v>LC</v>
      </c>
      <c r="V21142" s="7" t="str">
        <f>HYPERLINK("#Liste_rouge!A"&amp;_xlfn.XMATCH("LC",Liste_rouge!A:A,2,1),"LC")</f>
        <v>LC</v>
      </c>
      <c r="AH21142" s="4" t="str">
        <f>HYPERLINK("#Statut_biogéographique!A"&amp;_xlfn.XMATCH("P",Statut_biogéographique!A:A,2,1),"P")</f>
        <v>P</v>
      </c>
      <c r="AM21142" s="4" t="s">
        <v>375</v>
      </c>
      <c r="AN21142" s="4" t="s">
        <v>375</v>
      </c>
      <c r="AO21142" s="4" t="s">
        <v>375</v>
      </c>
      <c r="AP21142" s="4" t="s">
        <v>376</v>
      </c>
      <c r="AR21142" s="4" t="s">
        <v>377</v>
      </c>
    </row>
    <row r="21143" spans="1:44" ht="45">
      <c r="A21143" s="4" t="s">
        <v>24364</v>
      </c>
      <c r="B21143" s="4">
        <v>121193</v>
      </c>
      <c r="D21143" s="5" t="s">
        <v>27175</v>
      </c>
      <c r="E21143" s="6" t="str">
        <f>HYPERLINK("https://inpn.mnhn.fr/espece/cd_nom/121193","Saxifraga stolonifera Curtis, 1774")</f>
        <v>Saxifraga stolonifera Curtis, 1774</v>
      </c>
      <c r="F21143" s="5" t="s">
        <v>27176</v>
      </c>
      <c r="AH21143" s="4" t="str">
        <f>HYPERLINK("#Statut_biogéographique!A"&amp;_xlfn.XMATCH("M",Statut_biogéographique!A:A,2,1),"M")</f>
        <v>M</v>
      </c>
      <c r="AP21143" s="4" t="s">
        <v>376</v>
      </c>
      <c r="AR21143" s="4" t="s">
        <v>377</v>
      </c>
    </row>
    <row r="21144" spans="1:44" ht="30">
      <c r="A21144" s="4" t="s">
        <v>24364</v>
      </c>
      <c r="B21144" s="4">
        <v>121201</v>
      </c>
      <c r="D21144" s="5" t="s">
        <v>27177</v>
      </c>
      <c r="E21144" s="6" t="str">
        <f>HYPERLINK("https://inpn.mnhn.fr/espece/cd_nom/121201","Saxifraga tridactylites L., 1753")</f>
        <v>Saxifraga tridactylites L., 1753</v>
      </c>
      <c r="F21144" s="5" t="s">
        <v>27178</v>
      </c>
      <c r="Q21144" s="7" t="str">
        <f>HYPERLINK("#Liste_rouge!A"&amp;_xlfn.XMATCH("LC",Liste_rouge!A:A,2,1),"LC")</f>
        <v>LC</v>
      </c>
      <c r="T21144" s="7" t="str">
        <f>HYPERLINK("#Liste_rouge!A"&amp;_xlfn.XMATCH("LC",Liste_rouge!A:A,2,1),"LC")</f>
        <v>LC</v>
      </c>
      <c r="V21144" s="7" t="str">
        <f>HYPERLINK("#Liste_rouge!A"&amp;_xlfn.XMATCH("LC",Liste_rouge!A:A,2,1),"LC")</f>
        <v>LC</v>
      </c>
      <c r="AH21144" s="4" t="str">
        <f>HYPERLINK("#Statut_biogéographique!A"&amp;_xlfn.XMATCH("P",Statut_biogéographique!A:A,2,1),"P")</f>
        <v>P</v>
      </c>
      <c r="AM21144" s="4" t="s">
        <v>375</v>
      </c>
      <c r="AN21144" s="4" t="s">
        <v>375</v>
      </c>
      <c r="AO21144" s="4" t="s">
        <v>375</v>
      </c>
      <c r="AP21144" s="4" t="s">
        <v>376</v>
      </c>
      <c r="AR21144" s="4" t="s">
        <v>377</v>
      </c>
    </row>
    <row r="21145" spans="1:44" ht="30">
      <c r="A21145" s="4" t="s">
        <v>24364</v>
      </c>
      <c r="B21145" s="4">
        <v>121329</v>
      </c>
      <c r="D21145" s="5" t="s">
        <v>27179</v>
      </c>
      <c r="E21145" s="6" t="str">
        <f>HYPERLINK("https://inpn.mnhn.fr/espece/cd_nom/121329","Scabiosa canescens Waldst. &amp; Kit., 1802")</f>
        <v>Scabiosa canescens Waldst. &amp; Kit., 1802</v>
      </c>
      <c r="F21145" s="5" t="s">
        <v>27180</v>
      </c>
      <c r="Q21145" s="7" t="str">
        <f>HYPERLINK("#Liste_rouge!A"&amp;_xlfn.XMATCH("VU",Liste_rouge!A:A,2,1),"VU")</f>
        <v>VU</v>
      </c>
      <c r="V21145" s="7" t="str">
        <f>HYPERLINK("#Liste_rouge!A"&amp;_xlfn.XMATCH("RE",Liste_rouge!A:A,2,1),"RE")</f>
        <v>RE</v>
      </c>
      <c r="AH21145" s="4" t="str">
        <f>HYPERLINK("#Statut_biogéographique!A"&amp;_xlfn.XMATCH("P",Statut_biogéographique!A:A,2,1),"P")</f>
        <v>P</v>
      </c>
      <c r="AM21145" s="4" t="s">
        <v>375</v>
      </c>
      <c r="AN21145" s="4" t="s">
        <v>375</v>
      </c>
      <c r="AO21145" s="4" t="s">
        <v>375</v>
      </c>
      <c r="AP21145" s="4" t="s">
        <v>389</v>
      </c>
      <c r="AR21145" s="4" t="s">
        <v>377</v>
      </c>
    </row>
    <row r="21146" spans="1:44" ht="165">
      <c r="A21146" s="4" t="s">
        <v>24364</v>
      </c>
      <c r="B21146" s="4">
        <v>121334</v>
      </c>
      <c r="D21146" s="5" t="s">
        <v>27181</v>
      </c>
      <c r="E21146" s="6" t="str">
        <f>HYPERLINK("https://inpn.mnhn.fr/espece/cd_nom/121334","Scabiosa columbaria L., 1753")</f>
        <v>Scabiosa columbaria L., 1753</v>
      </c>
      <c r="F21146" s="5" t="s">
        <v>27182</v>
      </c>
      <c r="Q21146" s="7" t="str">
        <f>HYPERLINK("#Liste_rouge!A"&amp;_xlfn.XMATCH("LC",Liste_rouge!A:A,2,1),"LC")</f>
        <v>LC</v>
      </c>
      <c r="T21146" s="7" t="str">
        <f>HYPERLINK("#Liste_rouge!A"&amp;_xlfn.XMATCH("LC",Liste_rouge!A:A,2,1),"LC (cd_nom 121334) - NT (cd_nom 140715)")</f>
        <v>LC (cd_nom 121334) - NT (cd_nom 140715)</v>
      </c>
      <c r="V21146" s="7" t="str">
        <f>HYPERLINK("#Liste_rouge!A"&amp;_xlfn.XMATCH("LC",Liste_rouge!A:A,2,1),"LC")</f>
        <v>LC</v>
      </c>
      <c r="AB21146" s="4" t="s">
        <v>24382</v>
      </c>
      <c r="AH21146" s="4" t="str">
        <f>HYPERLINK("#Statut_biogéographique!A"&amp;_xlfn.XMATCH("P",Statut_biogéographique!A:A,2,1),"P")</f>
        <v>P</v>
      </c>
      <c r="AM21146" s="4" t="s">
        <v>375</v>
      </c>
      <c r="AN21146" s="4" t="s">
        <v>375</v>
      </c>
      <c r="AO21146" s="4" t="s">
        <v>375</v>
      </c>
      <c r="AP21146" s="4" t="s">
        <v>376</v>
      </c>
      <c r="AR21146" s="4" t="s">
        <v>377</v>
      </c>
    </row>
    <row r="21147" spans="1:44">
      <c r="A21147" s="4" t="s">
        <v>24364</v>
      </c>
      <c r="B21147" s="4">
        <v>121367</v>
      </c>
      <c r="D21147" s="5" t="s">
        <v>27183</v>
      </c>
      <c r="E21147" s="6" t="str">
        <f>HYPERLINK("https://inpn.mnhn.fr/espece/cd_nom/121367","Scabiosa lucida Vill., 1779")</f>
        <v>Scabiosa lucida Vill., 1779</v>
      </c>
      <c r="F21147" s="5" t="s">
        <v>27184</v>
      </c>
      <c r="Q21147" s="7" t="str">
        <f>HYPERLINK("#Liste_rouge!A"&amp;_xlfn.XMATCH("LC",Liste_rouge!A:A,2,1),"LC")</f>
        <v>LC</v>
      </c>
      <c r="V21147" s="7" t="str">
        <f>HYPERLINK("#Liste_rouge!A"&amp;_xlfn.XMATCH("LC",Liste_rouge!A:A,2,1),"LC")</f>
        <v>LC</v>
      </c>
      <c r="AH21147" s="4" t="str">
        <f>HYPERLINK("#Statut_biogéographique!A"&amp;_xlfn.XMATCH("P",Statut_biogéographique!A:A,2,1),"P")</f>
        <v>P</v>
      </c>
      <c r="AM21147" s="4" t="s">
        <v>375</v>
      </c>
      <c r="AN21147" s="4" t="s">
        <v>375</v>
      </c>
      <c r="AO21147" s="4" t="s">
        <v>375</v>
      </c>
      <c r="AP21147" s="4" t="s">
        <v>376</v>
      </c>
      <c r="AR21147" s="4" t="s">
        <v>377</v>
      </c>
    </row>
    <row r="21148" spans="1:44" ht="90">
      <c r="A21148" s="4" t="s">
        <v>24364</v>
      </c>
      <c r="B21148" s="4">
        <v>121414</v>
      </c>
      <c r="D21148" s="5" t="s">
        <v>27185</v>
      </c>
      <c r="E21148" s="6" t="str">
        <f>HYPERLINK("https://inpn.mnhn.fr/espece/cd_nom/121414","Scabiosa triandra L., 1753")</f>
        <v>Scabiosa triandra L., 1753</v>
      </c>
      <c r="F21148" s="5" t="s">
        <v>27186</v>
      </c>
      <c r="Q21148" s="7" t="str">
        <f>HYPERLINK("#Liste_rouge!A"&amp;_xlfn.XMATCH("LC",Liste_rouge!A:A,2,1),"LC")</f>
        <v>LC</v>
      </c>
      <c r="T21148" s="7" t="str">
        <f>HYPERLINK("#Liste_rouge!A"&amp;_xlfn.XMATCH("RE",Liste_rouge!A:A,2,1),"RE")</f>
        <v>RE</v>
      </c>
      <c r="AH21148" s="4" t="str">
        <f>HYPERLINK("#Statut_biogéographique!A"&amp;_xlfn.XMATCH("P",Statut_biogéographique!A:A,2,1),"P")</f>
        <v>P</v>
      </c>
      <c r="AM21148" s="4" t="s">
        <v>375</v>
      </c>
      <c r="AN21148" s="4" t="s">
        <v>375</v>
      </c>
      <c r="AO21148" s="4" t="s">
        <v>375</v>
      </c>
      <c r="AP21148" s="4" t="s">
        <v>376</v>
      </c>
      <c r="AR21148" s="4" t="s">
        <v>377</v>
      </c>
    </row>
    <row r="21149" spans="1:44" ht="45">
      <c r="A21149" s="4" t="s">
        <v>24364</v>
      </c>
      <c r="B21149" s="4">
        <v>121449</v>
      </c>
      <c r="D21149" s="5" t="s">
        <v>27187</v>
      </c>
      <c r="E21149" s="6" t="str">
        <f>HYPERLINK("https://inpn.mnhn.fr/espece/cd_nom/121449","Scandix pecten-veneris L., 1753")</f>
        <v>Scandix pecten-veneris L., 1753</v>
      </c>
      <c r="F21149" s="5" t="s">
        <v>27188</v>
      </c>
      <c r="Q21149" s="7" t="str">
        <f>HYPERLINK("#Liste_rouge!A"&amp;_xlfn.XMATCH("LC",Liste_rouge!A:A,2,1),"LC")</f>
        <v>LC</v>
      </c>
      <c r="T21149" s="7" t="str">
        <f>HYPERLINK("#Liste_rouge!A"&amp;_xlfn.XMATCH("LC",Liste_rouge!A:A,2,1),"LC")</f>
        <v>LC</v>
      </c>
      <c r="V21149" s="7" t="str">
        <f>HYPERLINK("#Liste_rouge!A"&amp;_xlfn.XMATCH("LC",Liste_rouge!A:A,2,1),"LC")</f>
        <v>LC</v>
      </c>
      <c r="AH21149" s="4" t="str">
        <f>HYPERLINK("#Statut_biogéographique!A"&amp;_xlfn.XMATCH("P",Statut_biogéographique!A:A,2,1),"P")</f>
        <v>P</v>
      </c>
      <c r="AI21149" s="8" t="s">
        <v>27189</v>
      </c>
      <c r="AJ21149" s="4" t="s">
        <v>12248</v>
      </c>
      <c r="AM21149" s="4" t="s">
        <v>375</v>
      </c>
      <c r="AN21149" s="4" t="s">
        <v>375</v>
      </c>
      <c r="AO21149" s="4" t="s">
        <v>375</v>
      </c>
      <c r="AP21149" s="4" t="s">
        <v>376</v>
      </c>
      <c r="AR21149" s="4" t="s">
        <v>377</v>
      </c>
    </row>
    <row r="21150" spans="1:44" ht="135">
      <c r="A21150" s="4" t="s">
        <v>24364</v>
      </c>
      <c r="B21150" s="4">
        <v>121471</v>
      </c>
      <c r="D21150" s="5" t="s">
        <v>27190</v>
      </c>
      <c r="E21150" s="6" t="str">
        <f>HYPERLINK("https://inpn.mnhn.fr/espece/cd_nom/121471","Schedonorus giganteus (L.) Holub, 1998")</f>
        <v>Schedonorus giganteus (L.) Holub, 1998</v>
      </c>
      <c r="F21150" s="5" t="s">
        <v>27191</v>
      </c>
      <c r="Q21150" s="7" t="str">
        <f>HYPERLINK("#Liste_rouge!A"&amp;_xlfn.XMATCH("LC",Liste_rouge!A:A,2,1),"LC")</f>
        <v>LC</v>
      </c>
      <c r="T21150" s="7" t="str">
        <f>HYPERLINK("#Liste_rouge!A"&amp;_xlfn.XMATCH("LC",Liste_rouge!A:A,2,1),"LC")</f>
        <v>LC</v>
      </c>
      <c r="V21150" s="7" t="str">
        <f>HYPERLINK("#Liste_rouge!A"&amp;_xlfn.XMATCH("LC",Liste_rouge!A:A,2,1),"LC")</f>
        <v>LC</v>
      </c>
      <c r="AH21150" s="4" t="str">
        <f>HYPERLINK("#Statut_biogéographique!A"&amp;_xlfn.XMATCH("P",Statut_biogéographique!A:A,2,1),"P")</f>
        <v>P</v>
      </c>
      <c r="AM21150" s="4" t="s">
        <v>375</v>
      </c>
      <c r="AN21150" s="4" t="s">
        <v>375</v>
      </c>
      <c r="AO21150" s="4" t="s">
        <v>375</v>
      </c>
      <c r="AP21150" s="4" t="s">
        <v>376</v>
      </c>
      <c r="AR21150" s="4" t="s">
        <v>377</v>
      </c>
    </row>
    <row r="21151" spans="1:44" ht="90">
      <c r="A21151" s="4" t="s">
        <v>24364</v>
      </c>
      <c r="B21151" s="4">
        <v>121479</v>
      </c>
      <c r="D21151" s="5" t="s">
        <v>27192</v>
      </c>
      <c r="E21151" s="6" t="str">
        <f>HYPERLINK("https://inpn.mnhn.fr/espece/cd_nom/121479","Schedonorus pratensis (Huds.) P.Beauv., 1812")</f>
        <v>Schedonorus pratensis (Huds.) P.Beauv., 1812</v>
      </c>
      <c r="F21151" s="5" t="s">
        <v>27193</v>
      </c>
      <c r="Q21151" s="7" t="str">
        <f>HYPERLINK("#Liste_rouge!A"&amp;_xlfn.XMATCH("LC",Liste_rouge!A:A,2,1),"LC")</f>
        <v>LC</v>
      </c>
      <c r="T21151" s="7" t="str">
        <f>HYPERLINK("#Liste_rouge!A"&amp;_xlfn.XMATCH("LC",Liste_rouge!A:A,2,1),"LC")</f>
        <v>LC</v>
      </c>
      <c r="V21151" s="7" t="str">
        <f>HYPERLINK("#Liste_rouge!A"&amp;_xlfn.XMATCH("LC",Liste_rouge!A:A,2,1),"LC")</f>
        <v>LC</v>
      </c>
      <c r="AH21151" s="4" t="str">
        <f>HYPERLINK("#Statut_biogéographique!A"&amp;_xlfn.XMATCH("P",Statut_biogéographique!A:A,2,1),"P")</f>
        <v>P</v>
      </c>
      <c r="AM21151" s="4" t="s">
        <v>375</v>
      </c>
      <c r="AN21151" s="4" t="s">
        <v>375</v>
      </c>
      <c r="AO21151" s="4" t="s">
        <v>375</v>
      </c>
      <c r="AP21151" s="4" t="s">
        <v>376</v>
      </c>
      <c r="AR21151" s="4" t="s">
        <v>377</v>
      </c>
    </row>
    <row r="21152" spans="1:44" ht="30">
      <c r="A21152" s="4" t="s">
        <v>24364</v>
      </c>
      <c r="B21152" s="4">
        <v>121500</v>
      </c>
      <c r="D21152" s="5" t="s">
        <v>27194</v>
      </c>
      <c r="E21152" s="6" t="str">
        <f>HYPERLINK("https://inpn.mnhn.fr/espece/cd_nom/121500","Scheuchzeria palustris L., 1753")</f>
        <v>Scheuchzeria palustris L., 1753</v>
      </c>
      <c r="F21152" s="5" t="s">
        <v>27195</v>
      </c>
      <c r="L21152" s="4" t="str">
        <f>HYPERLINK("#Réglementation!A"&amp;_xlfn.XMATCH("NV1",Réglementation!A:A,2,1),"NV1")</f>
        <v>NV1</v>
      </c>
      <c r="O21152" s="7" t="str">
        <f>HYPERLINK("#Liste_rouge!A"&amp;_xlfn.XMATCH("LC",Liste_rouge!A:A,2,1),"LC")</f>
        <v>LC</v>
      </c>
      <c r="Q21152" s="7" t="str">
        <f>HYPERLINK("#Liste_rouge!A"&amp;_xlfn.XMATCH("NT",Liste_rouge!A:A,2,1),"NT")</f>
        <v>NT</v>
      </c>
      <c r="T21152" s="7" t="str">
        <f>HYPERLINK("#Liste_rouge!A"&amp;_xlfn.XMATCH("RE",Liste_rouge!A:A,2,1),"RE")</f>
        <v>RE</v>
      </c>
      <c r="V21152" s="7" t="str">
        <f>HYPERLINK("#Liste_rouge!A"&amp;_xlfn.XMATCH("NT",Liste_rouge!A:A,2,1),"NT")</f>
        <v>NT</v>
      </c>
      <c r="W21152" s="4" t="str">
        <f>HYPERLINK("#Critères_liste_rouge!A$1","pr. B2b(iii,iv)")</f>
        <v>pr. B2b(iii,iv)</v>
      </c>
      <c r="X21152" s="5" t="s">
        <v>374</v>
      </c>
      <c r="AB21152" s="4" t="s">
        <v>93</v>
      </c>
      <c r="AH21152" s="4" t="str">
        <f>HYPERLINK("#Statut_biogéographique!A"&amp;_xlfn.XMATCH("P",Statut_biogéographique!A:A,2,1),"P")</f>
        <v>P</v>
      </c>
      <c r="AM21152" s="4" t="s">
        <v>375</v>
      </c>
      <c r="AN21152" s="4" t="s">
        <v>375</v>
      </c>
      <c r="AO21152" s="4" t="s">
        <v>375</v>
      </c>
      <c r="AP21152" s="4" t="s">
        <v>376</v>
      </c>
      <c r="AR21152" s="4" t="s">
        <v>377</v>
      </c>
    </row>
    <row r="21153" spans="1:44" ht="60">
      <c r="A21153" s="4" t="s">
        <v>24364</v>
      </c>
      <c r="B21153" s="4">
        <v>121549</v>
      </c>
      <c r="D21153" s="5" t="s">
        <v>27196</v>
      </c>
      <c r="E21153" s="6" t="str">
        <f>HYPERLINK("https://inpn.mnhn.fr/espece/cd_nom/121549","Schoenoplectus lacustris (L.) Palla, 1888")</f>
        <v>Schoenoplectus lacustris (L.) Palla, 1888</v>
      </c>
      <c r="F21153" s="5" t="s">
        <v>27197</v>
      </c>
      <c r="O21153" s="7" t="str">
        <f>HYPERLINK("#Liste_rouge!A"&amp;_xlfn.XMATCH("LC",Liste_rouge!A:A,2,1),"LC")</f>
        <v>LC</v>
      </c>
      <c r="P21153" s="7" t="str">
        <f>HYPERLINK("#Liste_rouge!A"&amp;_xlfn.XMATCH("LC",Liste_rouge!A:A,2,1),"LC")</f>
        <v>LC</v>
      </c>
      <c r="Q21153" s="7" t="str">
        <f>HYPERLINK("#Liste_rouge!A"&amp;_xlfn.XMATCH("LC",Liste_rouge!A:A,2,1),"LC")</f>
        <v>LC</v>
      </c>
      <c r="T21153" s="7" t="str">
        <f>HYPERLINK("#Liste_rouge!A"&amp;_xlfn.XMATCH("LC",Liste_rouge!A:A,2,1),"LC")</f>
        <v>LC</v>
      </c>
      <c r="V21153" s="7" t="str">
        <f>HYPERLINK("#Liste_rouge!A"&amp;_xlfn.XMATCH("LC",Liste_rouge!A:A,2,1),"LC")</f>
        <v>LC</v>
      </c>
      <c r="AH21153" s="4" t="str">
        <f>HYPERLINK("#Statut_biogéographique!A"&amp;_xlfn.XMATCH("P",Statut_biogéographique!A:A,2,1),"P")</f>
        <v>P</v>
      </c>
      <c r="AM21153" s="4" t="s">
        <v>375</v>
      </c>
      <c r="AN21153" s="4" t="s">
        <v>375</v>
      </c>
      <c r="AO21153" s="4" t="s">
        <v>375</v>
      </c>
      <c r="AP21153" s="4" t="s">
        <v>376</v>
      </c>
      <c r="AR21153" s="4" t="s">
        <v>377</v>
      </c>
    </row>
    <row r="21154" spans="1:44" ht="90">
      <c r="A21154" s="4" t="s">
        <v>24364</v>
      </c>
      <c r="B21154" s="4">
        <v>121555</v>
      </c>
      <c r="D21154" s="5" t="s">
        <v>27198</v>
      </c>
      <c r="E21154" s="6" t="str">
        <f>HYPERLINK("https://inpn.mnhn.fr/espece/cd_nom/121555","Schoenoplectus tabernaemontani (C.C.Gmel.) Palla, 1888")</f>
        <v>Schoenoplectus tabernaemontani (C.C.Gmel.) Palla, 1888</v>
      </c>
      <c r="F21154" s="5" t="s">
        <v>27199</v>
      </c>
      <c r="O21154" s="7" t="str">
        <f>HYPERLINK("#Liste_rouge!A"&amp;_xlfn.XMATCH("LC",Liste_rouge!A:A,2,1),"LC")</f>
        <v>LC</v>
      </c>
      <c r="P21154" s="7" t="str">
        <f>HYPERLINK("#Liste_rouge!A"&amp;_xlfn.XMATCH("LC",Liste_rouge!A:A,2,1),"LC")</f>
        <v>LC</v>
      </c>
      <c r="Q21154" s="7" t="str">
        <f>HYPERLINK("#Liste_rouge!A"&amp;_xlfn.XMATCH("LC",Liste_rouge!A:A,2,1),"LC")</f>
        <v>LC</v>
      </c>
      <c r="T21154" s="7" t="str">
        <f>HYPERLINK("#Liste_rouge!A"&amp;_xlfn.XMATCH("VU",Liste_rouge!A:A,2,1),"VU")</f>
        <v>VU</v>
      </c>
      <c r="U21154" s="4" t="str">
        <f>HYPERLINK("#Critères_liste_rouge!A$1","D2")</f>
        <v>D2</v>
      </c>
      <c r="V21154" s="7" t="str">
        <f>HYPERLINK("#Liste_rouge!A"&amp;_xlfn.XMATCH("VU",Liste_rouge!A:A,2,1),"VU")</f>
        <v>VU</v>
      </c>
      <c r="W21154" s="4" t="str">
        <f>HYPERLINK("#Critères_liste_rouge!A$1","D1")</f>
        <v>D1</v>
      </c>
      <c r="X21154" s="5" t="s">
        <v>374</v>
      </c>
      <c r="AB21154" s="4" t="s">
        <v>93</v>
      </c>
      <c r="AH21154" s="4" t="str">
        <f>HYPERLINK("#Statut_biogéographique!A"&amp;_xlfn.XMATCH("P",Statut_biogéographique!A:A,2,1),"P")</f>
        <v>P</v>
      </c>
      <c r="AM21154" s="4" t="s">
        <v>375</v>
      </c>
      <c r="AN21154" s="4" t="s">
        <v>375</v>
      </c>
      <c r="AO21154" s="4" t="s">
        <v>375</v>
      </c>
      <c r="AP21154" s="4" t="s">
        <v>376</v>
      </c>
      <c r="AR21154" s="4" t="s">
        <v>377</v>
      </c>
    </row>
    <row r="21155" spans="1:44" ht="30">
      <c r="A21155" s="4" t="s">
        <v>24364</v>
      </c>
      <c r="B21155" s="4">
        <v>121556</v>
      </c>
      <c r="D21155" s="5" t="s">
        <v>27200</v>
      </c>
      <c r="E21155" s="6" t="str">
        <f>HYPERLINK("https://inpn.mnhn.fr/espece/cd_nom/121556","Schoenoplectus triqueter (L.) Palla, 1888")</f>
        <v>Schoenoplectus triqueter (L.) Palla, 1888</v>
      </c>
      <c r="F21155" s="5" t="s">
        <v>27201</v>
      </c>
      <c r="M21155" s="4" t="str">
        <f>HYPERLINK("#Réglementation!A"&amp;_xlfn.XMATCH("RV43",Réglementation!A:A,2,1),"RV43")</f>
        <v>RV43</v>
      </c>
      <c r="O21155" s="7" t="str">
        <f>HYPERLINK("#Liste_rouge!A"&amp;_xlfn.XMATCH("LC",Liste_rouge!A:A,2,1),"LC")</f>
        <v>LC</v>
      </c>
      <c r="P21155" s="7" t="str">
        <f>HYPERLINK("#Liste_rouge!A"&amp;_xlfn.XMATCH("LC",Liste_rouge!A:A,2,1),"LC")</f>
        <v>LC</v>
      </c>
      <c r="Q21155" s="7" t="str">
        <f>HYPERLINK("#Liste_rouge!A"&amp;_xlfn.XMATCH("LC",Liste_rouge!A:A,2,1),"LC")</f>
        <v>LC</v>
      </c>
      <c r="T21155" s="7" t="str">
        <f>HYPERLINK("#Liste_rouge!A"&amp;_xlfn.XMATCH("RE",Liste_rouge!A:A,2,1),"RE")</f>
        <v>RE</v>
      </c>
      <c r="AH21155" s="4" t="str">
        <f>HYPERLINK("#Statut_biogéographique!A"&amp;_xlfn.XMATCH("P",Statut_biogéographique!A:A,2,1),"P")</f>
        <v>P</v>
      </c>
      <c r="AM21155" s="4" t="s">
        <v>375</v>
      </c>
      <c r="AN21155" s="4" t="s">
        <v>375</v>
      </c>
      <c r="AO21155" s="4" t="s">
        <v>375</v>
      </c>
      <c r="AP21155" s="4" t="s">
        <v>376</v>
      </c>
      <c r="AR21155" s="4" t="s">
        <v>377</v>
      </c>
    </row>
    <row r="21156" spans="1:44">
      <c r="A21156" s="4" t="s">
        <v>24364</v>
      </c>
      <c r="B21156" s="4">
        <v>121570</v>
      </c>
      <c r="D21156" s="5" t="s">
        <v>27202</v>
      </c>
      <c r="E21156" s="6" t="str">
        <f>HYPERLINK("https://inpn.mnhn.fr/espece/cd_nom/121570","Schoenus ferrugineus L., 1753")</f>
        <v>Schoenus ferrugineus L., 1753</v>
      </c>
      <c r="F21156" s="5" t="s">
        <v>27203</v>
      </c>
      <c r="L21156" s="4" t="str">
        <f>HYPERLINK("#Réglementation!A"&amp;_xlfn.XMATCH("NV1",Réglementation!A:A,2,1),"NV1")</f>
        <v>NV1</v>
      </c>
      <c r="Q21156" s="7" t="str">
        <f>HYPERLINK("#Liste_rouge!A"&amp;_xlfn.XMATCH("LC",Liste_rouge!A:A,2,1),"LC")</f>
        <v>LC</v>
      </c>
      <c r="T21156" s="7" t="str">
        <f>HYPERLINK("#Liste_rouge!A"&amp;_xlfn.XMATCH("VU",Liste_rouge!A:A,2,1),"VU")</f>
        <v>VU</v>
      </c>
      <c r="U21156" s="4" t="str">
        <f>HYPERLINK("#Critères_liste_rouge!A$1","C2a(i) D2")</f>
        <v>C2a(i) D2</v>
      </c>
      <c r="V21156" s="7" t="str">
        <f>HYPERLINK("#Liste_rouge!A"&amp;_xlfn.XMATCH("NT",Liste_rouge!A:A,2,1),"NT")</f>
        <v>NT</v>
      </c>
      <c r="W21156" s="4" t="str">
        <f>HYPERLINK("#Critères_liste_rouge!A$1","pr. B2b(iii)")</f>
        <v>pr. B2b(iii)</v>
      </c>
      <c r="X21156" s="5" t="s">
        <v>374</v>
      </c>
      <c r="AB21156" s="4" t="s">
        <v>93</v>
      </c>
      <c r="AH21156" s="4" t="str">
        <f>HYPERLINK("#Statut_biogéographique!A"&amp;_xlfn.XMATCH("P",Statut_biogéographique!A:A,2,1),"P")</f>
        <v>P</v>
      </c>
      <c r="AM21156" s="4" t="s">
        <v>375</v>
      </c>
      <c r="AN21156" s="4" t="s">
        <v>375</v>
      </c>
      <c r="AO21156" s="4" t="s">
        <v>375</v>
      </c>
      <c r="AP21156" s="4" t="s">
        <v>376</v>
      </c>
      <c r="AR21156" s="4" t="s">
        <v>377</v>
      </c>
    </row>
    <row r="21157" spans="1:44" ht="30">
      <c r="A21157" s="4" t="s">
        <v>24364</v>
      </c>
      <c r="B21157" s="4">
        <v>121581</v>
      </c>
      <c r="D21157" s="5" t="s">
        <v>27204</v>
      </c>
      <c r="E21157" s="6" t="str">
        <f>HYPERLINK("https://inpn.mnhn.fr/espece/cd_nom/121581","Schoenus nigricans L., 1753")</f>
        <v>Schoenus nigricans L., 1753</v>
      </c>
      <c r="F21157" s="5" t="s">
        <v>27205</v>
      </c>
      <c r="O21157" s="7" t="str">
        <f>HYPERLINK("#Liste_rouge!A"&amp;_xlfn.XMATCH("LC",Liste_rouge!A:A,2,1),"LC")</f>
        <v>LC</v>
      </c>
      <c r="Q21157" s="7" t="str">
        <f>HYPERLINK("#Liste_rouge!A"&amp;_xlfn.XMATCH("LC",Liste_rouge!A:A,2,1),"LC")</f>
        <v>LC</v>
      </c>
      <c r="T21157" s="7" t="str">
        <f>HYPERLINK("#Liste_rouge!A"&amp;_xlfn.XMATCH("VU",Liste_rouge!A:A,2,1),"VU")</f>
        <v>VU</v>
      </c>
      <c r="U21157" s="4" t="str">
        <f>HYPERLINK("#Critères_liste_rouge!A$1","C2a(i)")</f>
        <v>C2a(i)</v>
      </c>
      <c r="V21157" s="7" t="str">
        <f>HYPERLINK("#Liste_rouge!A"&amp;_xlfn.XMATCH("NT",Liste_rouge!A:A,2,1),"NT")</f>
        <v>NT</v>
      </c>
      <c r="W21157" s="4" t="str">
        <f>HYPERLINK("#Critères_liste_rouge!A$1","pr. B2b(iii)")</f>
        <v>pr. B2b(iii)</v>
      </c>
      <c r="AB21157" s="4" t="s">
        <v>27206</v>
      </c>
      <c r="AH21157" s="4" t="str">
        <f>HYPERLINK("#Statut_biogéographique!A"&amp;_xlfn.XMATCH("P",Statut_biogéographique!A:A,2,1),"P")</f>
        <v>P</v>
      </c>
      <c r="AM21157" s="4" t="s">
        <v>375</v>
      </c>
      <c r="AN21157" s="4" t="s">
        <v>375</v>
      </c>
      <c r="AO21157" s="4" t="s">
        <v>375</v>
      </c>
      <c r="AP21157" s="4" t="s">
        <v>376</v>
      </c>
      <c r="AR21157" s="4" t="s">
        <v>377</v>
      </c>
    </row>
    <row r="21158" spans="1:44">
      <c r="A21158" s="4" t="s">
        <v>24364</v>
      </c>
      <c r="B21158" s="4">
        <v>121587</v>
      </c>
      <c r="D21158" s="5" t="s">
        <v>27207</v>
      </c>
      <c r="E21158" s="6" t="str">
        <f>HYPERLINK("https://inpn.mnhn.fr/espece/cd_nom/121587","Schoenus x intermedius Brügger, 1882")</f>
        <v>Schoenus x intermedius Brügger, 1882</v>
      </c>
      <c r="F21158" s="5" t="s">
        <v>27208</v>
      </c>
      <c r="T21158" s="7" t="str">
        <f>HYPERLINK("#Liste_rouge!A"&amp;_xlfn.XMATCH("DD",Liste_rouge!A:A,2,1),"DD")</f>
        <v>DD</v>
      </c>
      <c r="AH21158" s="4" t="str">
        <f>HYPERLINK("#Statut_biogéographique!A"&amp;_xlfn.XMATCH("P",Statut_biogéographique!A:A,2,1),"P")</f>
        <v>P</v>
      </c>
      <c r="AP21158" s="4" t="s">
        <v>376</v>
      </c>
      <c r="AR21158" s="4" t="s">
        <v>377</v>
      </c>
    </row>
    <row r="21159" spans="1:44" ht="60">
      <c r="A21159" s="4" t="s">
        <v>24364</v>
      </c>
      <c r="B21159" s="4">
        <v>121606</v>
      </c>
      <c r="D21159" s="5" t="s">
        <v>27209</v>
      </c>
      <c r="E21159" s="6" t="str">
        <f>HYPERLINK("https://inpn.mnhn.fr/espece/cd_nom/121606","Scilla bifolia L., 1753")</f>
        <v>Scilla bifolia L., 1753</v>
      </c>
      <c r="F21159" s="5" t="s">
        <v>27210</v>
      </c>
      <c r="P21159" s="7" t="str">
        <f>HYPERLINK("#Liste_rouge!A"&amp;_xlfn.XMATCH("LC",Liste_rouge!A:A,2,1),"LC")</f>
        <v>LC</v>
      </c>
      <c r="Q21159" s="7" t="str">
        <f>HYPERLINK("#Liste_rouge!A"&amp;_xlfn.XMATCH("LC",Liste_rouge!A:A,2,1),"LC")</f>
        <v>LC</v>
      </c>
      <c r="T21159" s="7" t="str">
        <f>HYPERLINK("#Liste_rouge!A"&amp;_xlfn.XMATCH("LC",Liste_rouge!A:A,2,1),"LC")</f>
        <v>LC</v>
      </c>
      <c r="V21159" s="7" t="str">
        <f>HYPERLINK("#Liste_rouge!A"&amp;_xlfn.XMATCH("LC",Liste_rouge!A:A,2,1),"LC")</f>
        <v>LC</v>
      </c>
      <c r="AH21159" s="4" t="str">
        <f>HYPERLINK("#Statut_biogéographique!A"&amp;_xlfn.XMATCH("P",Statut_biogéographique!A:A,2,1),"P")</f>
        <v>P</v>
      </c>
      <c r="AM21159" s="4" t="s">
        <v>375</v>
      </c>
      <c r="AN21159" s="4" t="s">
        <v>375</v>
      </c>
      <c r="AO21159" s="4" t="s">
        <v>375</v>
      </c>
      <c r="AP21159" s="4" t="s">
        <v>376</v>
      </c>
      <c r="AR21159" s="4" t="s">
        <v>377</v>
      </c>
    </row>
    <row r="21160" spans="1:44" ht="45">
      <c r="A21160" s="4" t="s">
        <v>24364</v>
      </c>
      <c r="B21160" s="4">
        <v>121673</v>
      </c>
      <c r="D21160" s="5" t="s">
        <v>27211</v>
      </c>
      <c r="E21160" s="6" t="str">
        <f>HYPERLINK("https://inpn.mnhn.fr/espece/cd_nom/121673","Scirpoides holoschoenus (L.) Soják, 1972")</f>
        <v>Scirpoides holoschoenus (L.) Soják, 1972</v>
      </c>
      <c r="F21160" s="5" t="s">
        <v>27212</v>
      </c>
      <c r="O21160" s="7" t="str">
        <f>HYPERLINK("#Liste_rouge!A"&amp;_xlfn.XMATCH("LC",Liste_rouge!A:A,2,1),"LC")</f>
        <v>LC</v>
      </c>
      <c r="Q21160" s="7" t="str">
        <f>HYPERLINK("#Liste_rouge!A"&amp;_xlfn.XMATCH("LC",Liste_rouge!A:A,2,1),"LC")</f>
        <v>LC</v>
      </c>
      <c r="AH21160" s="4" t="str">
        <f>HYPERLINK("#Statut_biogéographique!A"&amp;_xlfn.XMATCH("P",Statut_biogéographique!A:A,2,1),"P")</f>
        <v>P</v>
      </c>
      <c r="AP21160" s="4" t="s">
        <v>376</v>
      </c>
      <c r="AR21160" s="4" t="s">
        <v>377</v>
      </c>
    </row>
    <row r="21161" spans="1:44">
      <c r="A21161" s="4" t="s">
        <v>24364</v>
      </c>
      <c r="B21161" s="4">
        <v>121686</v>
      </c>
      <c r="D21161" s="5" t="s">
        <v>27213</v>
      </c>
      <c r="E21161" s="6" t="str">
        <f>HYPERLINK("https://inpn.mnhn.fr/espece/cd_nom/121686","Scirpus atrovirens Willd., 1809")</f>
        <v>Scirpus atrovirens Willd., 1809</v>
      </c>
      <c r="F21161" s="5" t="s">
        <v>27214</v>
      </c>
      <c r="Q21161" s="7" t="str">
        <f>HYPERLINK("#Liste_rouge!A"&amp;_xlfn.XMATCH("NA",Liste_rouge!A:A,2,1),"NA")</f>
        <v>NA</v>
      </c>
      <c r="T21161" s="7" t="str">
        <f>HYPERLINK("#Liste_rouge!A"&amp;_xlfn.XMATCH("NA",Liste_rouge!A:A,2,1),"NA")</f>
        <v>NA</v>
      </c>
      <c r="AH21161" s="4" t="str">
        <f>HYPERLINK("#Statut_biogéographique!A"&amp;_xlfn.XMATCH("I",Statut_biogéographique!A:A,2,1),"I")</f>
        <v>I</v>
      </c>
      <c r="AM21161" s="4" t="s">
        <v>375</v>
      </c>
      <c r="AN21161" s="4" t="s">
        <v>375</v>
      </c>
      <c r="AO21161" s="4" t="s">
        <v>375</v>
      </c>
      <c r="AP21161" s="4" t="s">
        <v>376</v>
      </c>
      <c r="AR21161" s="4" t="s">
        <v>377</v>
      </c>
    </row>
    <row r="21162" spans="1:44" ht="30">
      <c r="A21162" s="4" t="s">
        <v>24364</v>
      </c>
      <c r="B21162" s="4">
        <v>121792</v>
      </c>
      <c r="D21162" s="5" t="s">
        <v>27215</v>
      </c>
      <c r="E21162" s="6" t="str">
        <f>HYPERLINK("https://inpn.mnhn.fr/espece/cd_nom/121792","Scirpus sylvaticus L., 1753")</f>
        <v>Scirpus sylvaticus L., 1753</v>
      </c>
      <c r="F21162" s="5" t="s">
        <v>27216</v>
      </c>
      <c r="O21162" s="7" t="str">
        <f>HYPERLINK("#Liste_rouge!A"&amp;_xlfn.XMATCH("LC",Liste_rouge!A:A,2,1),"LC")</f>
        <v>LC</v>
      </c>
      <c r="P21162" s="7" t="str">
        <f>HYPERLINK("#Liste_rouge!A"&amp;_xlfn.XMATCH("LC",Liste_rouge!A:A,2,1),"LC")</f>
        <v>LC</v>
      </c>
      <c r="Q21162" s="7" t="str">
        <f>HYPERLINK("#Liste_rouge!A"&amp;_xlfn.XMATCH("LC",Liste_rouge!A:A,2,1),"LC")</f>
        <v>LC</v>
      </c>
      <c r="T21162" s="7" t="str">
        <f>HYPERLINK("#Liste_rouge!A"&amp;_xlfn.XMATCH("LC",Liste_rouge!A:A,2,1),"LC")</f>
        <v>LC</v>
      </c>
      <c r="V21162" s="7" t="str">
        <f>HYPERLINK("#Liste_rouge!A"&amp;_xlfn.XMATCH("LC",Liste_rouge!A:A,2,1),"LC")</f>
        <v>LC</v>
      </c>
      <c r="AH21162" s="4" t="str">
        <f>HYPERLINK("#Statut_biogéographique!A"&amp;_xlfn.XMATCH("P",Statut_biogéographique!A:A,2,1),"P")</f>
        <v>P</v>
      </c>
      <c r="AM21162" s="4" t="s">
        <v>375</v>
      </c>
      <c r="AN21162" s="4" t="s">
        <v>375</v>
      </c>
      <c r="AO21162" s="4" t="s">
        <v>375</v>
      </c>
      <c r="AP21162" s="4" t="s">
        <v>376</v>
      </c>
      <c r="AR21162" s="4" t="s">
        <v>377</v>
      </c>
    </row>
    <row r="21163" spans="1:44" ht="45">
      <c r="A21163" s="4" t="s">
        <v>24364</v>
      </c>
      <c r="B21163" s="4">
        <v>121823</v>
      </c>
      <c r="D21163" s="5" t="s">
        <v>27217</v>
      </c>
      <c r="E21163" s="6" t="str">
        <f>HYPERLINK("https://inpn.mnhn.fr/espece/cd_nom/121823","Scleranthus annuus L., 1753")</f>
        <v>Scleranthus annuus L., 1753</v>
      </c>
      <c r="F21163" s="5" t="s">
        <v>27218</v>
      </c>
      <c r="Q21163" s="7" t="str">
        <f>HYPERLINK("#Liste_rouge!A"&amp;_xlfn.XMATCH("LC",Liste_rouge!A:A,2,1),"LC")</f>
        <v>LC</v>
      </c>
      <c r="T21163" s="7" t="str">
        <f>HYPERLINK("#Liste_rouge!A"&amp;_xlfn.XMATCH("LC",Liste_rouge!A:A,2,1),"LC")</f>
        <v>LC</v>
      </c>
      <c r="V21163" s="7" t="str">
        <f>HYPERLINK("#Liste_rouge!A"&amp;_xlfn.XMATCH("LC",Liste_rouge!A:A,2,1),"LC")</f>
        <v>LC</v>
      </c>
      <c r="AH21163" s="4" t="str">
        <f>HYPERLINK("#Statut_biogéographique!A"&amp;_xlfn.XMATCH("P",Statut_biogéographique!A:A,2,1),"P")</f>
        <v>P</v>
      </c>
      <c r="AI21163" s="8" t="s">
        <v>27219</v>
      </c>
      <c r="AJ21163" s="4" t="s">
        <v>12248</v>
      </c>
      <c r="AM21163" s="4" t="s">
        <v>375</v>
      </c>
      <c r="AN21163" s="4" t="s">
        <v>375</v>
      </c>
      <c r="AO21163" s="4" t="s">
        <v>375</v>
      </c>
      <c r="AP21163" s="4" t="s">
        <v>376</v>
      </c>
      <c r="AR21163" s="4" t="s">
        <v>377</v>
      </c>
    </row>
    <row r="21164" spans="1:44">
      <c r="A21164" s="4" t="s">
        <v>24364</v>
      </c>
      <c r="B21164" s="4">
        <v>121839</v>
      </c>
      <c r="D21164" s="5">
        <v>121839</v>
      </c>
      <c r="E21164" s="6" t="str">
        <f>HYPERLINK("https://inpn.mnhn.fr/espece/cd_nom/121839","Scleranthus perennis L., 1753")</f>
        <v>Scleranthus perennis L., 1753</v>
      </c>
      <c r="F21164" s="5" t="s">
        <v>27220</v>
      </c>
      <c r="Q21164" s="7" t="str">
        <f>HYPERLINK("#Liste_rouge!A"&amp;_xlfn.XMATCH("LC",Liste_rouge!A:A,2,1),"LC")</f>
        <v>LC</v>
      </c>
      <c r="T21164" s="7" t="str">
        <f>HYPERLINK("#Liste_rouge!A"&amp;_xlfn.XMATCH("LC",Liste_rouge!A:A,2,1),"LC")</f>
        <v>LC</v>
      </c>
      <c r="V21164" s="7" t="str">
        <f>HYPERLINK("#Liste_rouge!A"&amp;_xlfn.XMATCH("NT",Liste_rouge!A:A,2,1),"NT")</f>
        <v>NT</v>
      </c>
      <c r="W21164" s="4" t="str">
        <f>HYPERLINK("#Critères_liste_rouge!A$1","pr. B2b(iii)")</f>
        <v>pr. B2b(iii)</v>
      </c>
      <c r="AB21164" s="4" t="s">
        <v>27221</v>
      </c>
      <c r="AH21164" s="4" t="str">
        <f>HYPERLINK("#Statut_biogéographique!A"&amp;_xlfn.XMATCH("P",Statut_biogéographique!A:A,2,1),"P")</f>
        <v>P</v>
      </c>
      <c r="AM21164" s="4" t="s">
        <v>375</v>
      </c>
      <c r="AN21164" s="4" t="s">
        <v>375</v>
      </c>
      <c r="AO21164" s="4" t="s">
        <v>375</v>
      </c>
      <c r="AP21164" s="4" t="s">
        <v>376</v>
      </c>
      <c r="AR21164" s="4" t="s">
        <v>377</v>
      </c>
    </row>
    <row r="21165" spans="1:44" ht="30">
      <c r="A21165" s="4" t="s">
        <v>24364</v>
      </c>
      <c r="B21165" s="4">
        <v>121846</v>
      </c>
      <c r="D21165" s="5" t="s">
        <v>27222</v>
      </c>
      <c r="E21165" s="6" t="str">
        <f>HYPERLINK("https://inpn.mnhn.fr/espece/cd_nom/121846","Scleranthus uncinatus Schur, 1850")</f>
        <v>Scleranthus uncinatus Schur, 1850</v>
      </c>
      <c r="F21165" s="5" t="s">
        <v>27223</v>
      </c>
      <c r="Q21165" s="7" t="str">
        <f>HYPERLINK("#Liste_rouge!A"&amp;_xlfn.XMATCH("LC",Liste_rouge!A:A,2,1),"LC")</f>
        <v>LC</v>
      </c>
      <c r="AH21165" s="4" t="str">
        <f>HYPERLINK("#Statut_biogéographique!A"&amp;_xlfn.XMATCH("P",Statut_biogéographique!A:A,2,1),"P")</f>
        <v>P</v>
      </c>
      <c r="AM21165" s="4" t="s">
        <v>375</v>
      </c>
      <c r="AN21165" s="4" t="s">
        <v>375</v>
      </c>
      <c r="AO21165" s="4" t="s">
        <v>375</v>
      </c>
      <c r="AP21165" s="4" t="s">
        <v>376</v>
      </c>
      <c r="AR21165" s="4" t="s">
        <v>377</v>
      </c>
    </row>
    <row r="21166" spans="1:44">
      <c r="A21166" s="4" t="s">
        <v>24364</v>
      </c>
      <c r="B21166" s="4">
        <v>121852</v>
      </c>
      <c r="D21166" s="5" t="s">
        <v>27224</v>
      </c>
      <c r="E21166" s="6" t="str">
        <f>HYPERLINK("https://inpn.mnhn.fr/espece/cd_nom/121852","Scleranthus x intermedius Kitt., 1844")</f>
        <v>Scleranthus x intermedius Kitt., 1844</v>
      </c>
      <c r="F21166" s="5" t="s">
        <v>27225</v>
      </c>
      <c r="T21166" s="7" t="str">
        <f>HYPERLINK("#Liste_rouge!A"&amp;_xlfn.XMATCH("NE",Liste_rouge!A:A,2,1),"NE")</f>
        <v>NE</v>
      </c>
      <c r="AH21166" s="4" t="str">
        <f>HYPERLINK("#Statut_biogéographique!A"&amp;_xlfn.XMATCH("P",Statut_biogéographique!A:A,2,1),"P")</f>
        <v>P</v>
      </c>
      <c r="AP21166" s="4" t="s">
        <v>376</v>
      </c>
      <c r="AR21166" s="4" t="s">
        <v>377</v>
      </c>
    </row>
    <row r="21167" spans="1:44" ht="30">
      <c r="A21167" s="4" t="s">
        <v>24364</v>
      </c>
      <c r="B21167" s="4">
        <v>121860</v>
      </c>
      <c r="D21167" s="5" t="s">
        <v>27226</v>
      </c>
      <c r="E21167" s="6" t="str">
        <f>HYPERLINK("https://inpn.mnhn.fr/espece/cd_nom/121860","Sclerochloa dura (L.) P.Beauv., 1812")</f>
        <v>Sclerochloa dura (L.) P.Beauv., 1812</v>
      </c>
      <c r="F21167" s="5" t="s">
        <v>27227</v>
      </c>
      <c r="Q21167" s="7" t="str">
        <f>HYPERLINK("#Liste_rouge!A"&amp;_xlfn.XMATCH("LC",Liste_rouge!A:A,2,1),"LC")</f>
        <v>LC</v>
      </c>
      <c r="T21167" s="7" t="str">
        <f>HYPERLINK("#Liste_rouge!A"&amp;_xlfn.XMATCH("NA",Liste_rouge!A:A,2,1),"NA")</f>
        <v>NA</v>
      </c>
      <c r="AH21167" s="4" t="str">
        <f>HYPERLINK("#Statut_biogéographique!A"&amp;_xlfn.XMATCH("P",Statut_biogéographique!A:A,2,1),"P")</f>
        <v>P</v>
      </c>
      <c r="AP21167" s="4" t="s">
        <v>376</v>
      </c>
      <c r="AR21167" s="4" t="s">
        <v>377</v>
      </c>
    </row>
    <row r="21168" spans="1:44" ht="30">
      <c r="A21168" s="4" t="s">
        <v>24364</v>
      </c>
      <c r="B21168" s="4">
        <v>121901</v>
      </c>
      <c r="D21168" s="5" t="s">
        <v>27228</v>
      </c>
      <c r="E21168" s="6" t="str">
        <f>HYPERLINK("https://inpn.mnhn.fr/espece/cd_nom/121901","Scolymus hispanicus L., 1753")</f>
        <v>Scolymus hispanicus L., 1753</v>
      </c>
      <c r="F21168" s="5" t="s">
        <v>27229</v>
      </c>
      <c r="Q21168" s="7" t="str">
        <f>HYPERLINK("#Liste_rouge!A"&amp;_xlfn.XMATCH("LC",Liste_rouge!A:A,2,1),"LC")</f>
        <v>LC</v>
      </c>
      <c r="T21168" s="7" t="str">
        <f>HYPERLINK("#Liste_rouge!A"&amp;_xlfn.XMATCH("NA",Liste_rouge!A:A,2,1),"NA")</f>
        <v>NA</v>
      </c>
      <c r="AH21168" s="4" t="str">
        <f>HYPERLINK("#Statut_biogéographique!A"&amp;_xlfn.XMATCH("P",Statut_biogéographique!A:A,2,1),"P")</f>
        <v>P</v>
      </c>
      <c r="AP21168" s="4" t="s">
        <v>376</v>
      </c>
      <c r="AR21168" s="4" t="s">
        <v>377</v>
      </c>
    </row>
    <row r="21169" spans="1:44" ht="30">
      <c r="A21169" s="4" t="s">
        <v>24364</v>
      </c>
      <c r="B21169" s="4">
        <v>121929</v>
      </c>
      <c r="D21169" s="5" t="s">
        <v>27230</v>
      </c>
      <c r="E21169" s="6" t="str">
        <f>HYPERLINK("https://inpn.mnhn.fr/espece/cd_nom/121929","Scorpiurus subvillosus L., 1753")</f>
        <v>Scorpiurus subvillosus L., 1753</v>
      </c>
      <c r="F21169" s="5" t="s">
        <v>27231</v>
      </c>
      <c r="Q21169" s="7" t="str">
        <f>HYPERLINK("#Liste_rouge!A"&amp;_xlfn.XMATCH("LC",Liste_rouge!A:A,2,1),"LC")</f>
        <v>LC</v>
      </c>
      <c r="T21169" s="7" t="str">
        <f>HYPERLINK("#Liste_rouge!A"&amp;_xlfn.XMATCH("NA",Liste_rouge!A:A,2,1),"NA")</f>
        <v>NA</v>
      </c>
      <c r="AH21169" s="4" t="str">
        <f>HYPERLINK("#Statut_biogéographique!A"&amp;_xlfn.XMATCH("P",Statut_biogéographique!A:A,2,1),"P")</f>
        <v>P</v>
      </c>
      <c r="AP21169" s="4" t="s">
        <v>376</v>
      </c>
      <c r="AR21169" s="4" t="s">
        <v>377</v>
      </c>
    </row>
    <row r="21170" spans="1:44">
      <c r="A21170" s="4" t="s">
        <v>24364</v>
      </c>
      <c r="B21170" s="4">
        <v>121939</v>
      </c>
      <c r="D21170" s="5">
        <v>121939</v>
      </c>
      <c r="E21170" s="6" t="str">
        <f>HYPERLINK("https://inpn.mnhn.fr/espece/cd_nom/121939","Scorzonera austriaca Willd., 1803")</f>
        <v>Scorzonera austriaca Willd., 1803</v>
      </c>
      <c r="F21170" s="5" t="s">
        <v>27232</v>
      </c>
      <c r="Q21170" s="7" t="str">
        <f>HYPERLINK("#Liste_rouge!A"&amp;_xlfn.XMATCH("LC",Liste_rouge!A:A,2,1),"LC")</f>
        <v>LC</v>
      </c>
      <c r="T21170" s="7" t="str">
        <f>HYPERLINK("#Liste_rouge!A"&amp;_xlfn.XMATCH("EN",Liste_rouge!A:A,2,1),"EN")</f>
        <v>EN</v>
      </c>
      <c r="U21170" s="4" t="str">
        <f>HYPERLINK("#Critères_liste_rouge!A$1","D1")</f>
        <v>D1</v>
      </c>
      <c r="X21170" s="5" t="s">
        <v>374</v>
      </c>
      <c r="AB21170" s="4" t="s">
        <v>93</v>
      </c>
      <c r="AH21170" s="4" t="str">
        <f>HYPERLINK("#Statut_biogéographique!A"&amp;_xlfn.XMATCH("P",Statut_biogéographique!A:A,2,1),"P")</f>
        <v>P</v>
      </c>
      <c r="AM21170" s="4" t="s">
        <v>375</v>
      </c>
      <c r="AN21170" s="4" t="s">
        <v>375</v>
      </c>
      <c r="AO21170" s="4" t="s">
        <v>375</v>
      </c>
      <c r="AP21170" s="4" t="s">
        <v>376</v>
      </c>
      <c r="AR21170" s="4" t="s">
        <v>377</v>
      </c>
    </row>
    <row r="21171" spans="1:44" ht="30">
      <c r="A21171" s="4" t="s">
        <v>24364</v>
      </c>
      <c r="B21171" s="4">
        <v>121959</v>
      </c>
      <c r="D21171" s="5">
        <v>121959</v>
      </c>
      <c r="E21171" s="6" t="str">
        <f>HYPERLINK("https://inpn.mnhn.fr/espece/cd_nom/121959","Scorzonera hispanica L., 1753")</f>
        <v>Scorzonera hispanica L., 1753</v>
      </c>
      <c r="F21171" s="5" t="s">
        <v>27233</v>
      </c>
      <c r="M21171" s="4" t="str">
        <f>HYPERLINK("#Réglementation!A"&amp;_xlfn.XMATCH("RV43",Réglementation!A:A,2,1),"RV43")</f>
        <v>RV43</v>
      </c>
      <c r="Q21171" s="7" t="str">
        <f>HYPERLINK("#Liste_rouge!A"&amp;_xlfn.XMATCH("LC",Liste_rouge!A:A,2,1),"LC")</f>
        <v>LC</v>
      </c>
      <c r="T21171" s="7" t="str">
        <f>HYPERLINK("#Liste_rouge!A"&amp;_xlfn.XMATCH("NA",Liste_rouge!A:A,2,1),"NA")</f>
        <v>NA</v>
      </c>
      <c r="V21171" s="7" t="str">
        <f>HYPERLINK("#Liste_rouge!A"&amp;_xlfn.XMATCH("EN",Liste_rouge!A:A,2,1),"EN")</f>
        <v>EN</v>
      </c>
      <c r="W21171" s="4" t="str">
        <f>HYPERLINK("#Critères_liste_rouge!A$1","D")</f>
        <v>D</v>
      </c>
      <c r="AH21171" s="4" t="str">
        <f>HYPERLINK("#Statut_biogéographique!A"&amp;_xlfn.XMATCH("P",Statut_biogéographique!A:A,2,1),"P")</f>
        <v>P</v>
      </c>
      <c r="AP21171" s="4" t="s">
        <v>376</v>
      </c>
      <c r="AR21171" s="4" t="s">
        <v>377</v>
      </c>
    </row>
    <row r="21172" spans="1:44" ht="45">
      <c r="A21172" s="4" t="s">
        <v>24364</v>
      </c>
      <c r="B21172" s="4">
        <v>121960</v>
      </c>
      <c r="D21172" s="5" t="s">
        <v>27234</v>
      </c>
      <c r="E21172" s="6" t="str">
        <f>HYPERLINK("https://inpn.mnhn.fr/espece/cd_nom/121960","Scorzonera humilis L., 1753")</f>
        <v>Scorzonera humilis L., 1753</v>
      </c>
      <c r="F21172" s="5" t="s">
        <v>27235</v>
      </c>
      <c r="Q21172" s="7" t="str">
        <f>HYPERLINK("#Liste_rouge!A"&amp;_xlfn.XMATCH("LC",Liste_rouge!A:A,2,1),"LC")</f>
        <v>LC</v>
      </c>
      <c r="T21172" s="7" t="str">
        <f>HYPERLINK("#Liste_rouge!A"&amp;_xlfn.XMATCH("LC",Liste_rouge!A:A,2,1),"LC")</f>
        <v>LC</v>
      </c>
      <c r="V21172" s="7" t="str">
        <f>HYPERLINK("#Liste_rouge!A"&amp;_xlfn.XMATCH("NT",Liste_rouge!A:A,2,1),"NT")</f>
        <v>NT</v>
      </c>
      <c r="W21172" s="4" t="str">
        <f>HYPERLINK("#Critères_liste_rouge!A$1","pr. A3c B2b(iii)")</f>
        <v>pr. A3c B2b(iii)</v>
      </c>
      <c r="AH21172" s="4" t="str">
        <f>HYPERLINK("#Statut_biogéographique!A"&amp;_xlfn.XMATCH("P",Statut_biogéographique!A:A,2,1),"P")</f>
        <v>P</v>
      </c>
      <c r="AM21172" s="4" t="s">
        <v>375</v>
      </c>
      <c r="AN21172" s="4" t="s">
        <v>375</v>
      </c>
      <c r="AO21172" s="4" t="s">
        <v>375</v>
      </c>
      <c r="AP21172" s="4" t="s">
        <v>376</v>
      </c>
      <c r="AR21172" s="4" t="s">
        <v>377</v>
      </c>
    </row>
    <row r="21173" spans="1:44" ht="120">
      <c r="A21173" s="4" t="s">
        <v>24364</v>
      </c>
      <c r="B21173" s="4">
        <v>121988</v>
      </c>
      <c r="D21173" s="5" t="s">
        <v>27236</v>
      </c>
      <c r="E21173" s="6" t="str">
        <f>HYPERLINK("https://inpn.mnhn.fr/espece/cd_nom/121988","Scorzoneroides autumnalis (L.) Moench, 1794")</f>
        <v>Scorzoneroides autumnalis (L.) Moench, 1794</v>
      </c>
      <c r="F21173" s="5" t="s">
        <v>27237</v>
      </c>
      <c r="Q21173" s="7" t="str">
        <f>HYPERLINK("#Liste_rouge!A"&amp;_xlfn.XMATCH("LC",Liste_rouge!A:A,2,1),"LC")</f>
        <v>LC</v>
      </c>
      <c r="T21173" s="7" t="str">
        <f>HYPERLINK("#Liste_rouge!A"&amp;_xlfn.XMATCH("LC",Liste_rouge!A:A,2,1),"LC")</f>
        <v>LC</v>
      </c>
      <c r="V21173" s="7" t="str">
        <f>HYPERLINK("#Liste_rouge!A"&amp;_xlfn.XMATCH("LC",Liste_rouge!A:A,2,1),"LC")</f>
        <v>LC</v>
      </c>
      <c r="AH21173" s="4" t="str">
        <f>HYPERLINK("#Statut_biogéographique!A"&amp;_xlfn.XMATCH("P",Statut_biogéographique!A:A,2,1),"P")</f>
        <v>P</v>
      </c>
      <c r="AM21173" s="4" t="s">
        <v>375</v>
      </c>
      <c r="AN21173" s="4" t="s">
        <v>375</v>
      </c>
      <c r="AO21173" s="4" t="s">
        <v>375</v>
      </c>
      <c r="AP21173" s="4" t="s">
        <v>376</v>
      </c>
      <c r="AR21173" s="4" t="s">
        <v>377</v>
      </c>
    </row>
    <row r="21174" spans="1:44" ht="30">
      <c r="A21174" s="4" t="s">
        <v>24364</v>
      </c>
      <c r="B21174" s="4">
        <v>121999</v>
      </c>
      <c r="D21174" s="5" t="s">
        <v>27238</v>
      </c>
      <c r="E21174" s="6" t="str">
        <f>HYPERLINK("https://inpn.mnhn.fr/espece/cd_nom/121999","Scrophularia auriculata L., 1753 [nom. et typ. cons.]")</f>
        <v>Scrophularia auriculata L., 1753 [nom. et typ. cons.]</v>
      </c>
      <c r="F21174" s="5" t="s">
        <v>27239</v>
      </c>
      <c r="Q21174" s="7" t="str">
        <f>HYPERLINK("#Liste_rouge!A"&amp;_xlfn.XMATCH("LC",Liste_rouge!A:A,2,1),"LC")</f>
        <v>LC</v>
      </c>
      <c r="T21174" s="7" t="str">
        <f>HYPERLINK("#Liste_rouge!A"&amp;_xlfn.XMATCH("LC",Liste_rouge!A:A,2,1),"LC")</f>
        <v>LC</v>
      </c>
      <c r="V21174" s="7" t="str">
        <f>HYPERLINK("#Liste_rouge!A"&amp;_xlfn.XMATCH("LC",Liste_rouge!A:A,2,1),"LC")</f>
        <v>LC</v>
      </c>
      <c r="AH21174" s="4" t="str">
        <f>HYPERLINK("#Statut_biogéographique!A"&amp;_xlfn.XMATCH("P",Statut_biogéographique!A:A,2,1),"P")</f>
        <v>P</v>
      </c>
      <c r="AM21174" s="4" t="s">
        <v>375</v>
      </c>
      <c r="AN21174" s="4" t="s">
        <v>375</v>
      </c>
      <c r="AO21174" s="4" t="s">
        <v>375</v>
      </c>
      <c r="AP21174" s="4" t="s">
        <v>376</v>
      </c>
      <c r="AR21174" s="4" t="s">
        <v>377</v>
      </c>
    </row>
    <row r="21175" spans="1:44">
      <c r="A21175" s="4" t="s">
        <v>24364</v>
      </c>
      <c r="B21175" s="4">
        <v>122003</v>
      </c>
      <c r="D21175" s="5" t="s">
        <v>27240</v>
      </c>
      <c r="E21175" s="6" t="str">
        <f>HYPERLINK("https://inpn.mnhn.fr/espece/cd_nom/122003","Scrophularia canina L., 1753")</f>
        <v>Scrophularia canina L., 1753</v>
      </c>
      <c r="F21175" s="5" t="s">
        <v>27241</v>
      </c>
      <c r="Q21175" s="7" t="str">
        <f>HYPERLINK("#Liste_rouge!A"&amp;_xlfn.XMATCH("LC",Liste_rouge!A:A,2,1),"LC")</f>
        <v>LC</v>
      </c>
      <c r="T21175" s="7" t="str">
        <f>HYPERLINK("#Liste_rouge!A"&amp;_xlfn.XMATCH("VU",Liste_rouge!A:A,2,1),"VU")</f>
        <v>VU</v>
      </c>
      <c r="U21175" s="4" t="str">
        <f>HYPERLINK("#Critères_liste_rouge!A$1","C2a(i)")</f>
        <v>C2a(i)</v>
      </c>
      <c r="V21175" s="7" t="str">
        <f>HYPERLINK("#Liste_rouge!A"&amp;_xlfn.XMATCH("LC",Liste_rouge!A:A,2,1),"LC")</f>
        <v>LC</v>
      </c>
      <c r="AB21175" s="4" t="s">
        <v>24382</v>
      </c>
      <c r="AH21175" s="4" t="str">
        <f>HYPERLINK("#Statut_biogéographique!A"&amp;_xlfn.XMATCH("P",Statut_biogéographique!A:A,2,1),"P")</f>
        <v>P</v>
      </c>
      <c r="AM21175" s="4" t="s">
        <v>375</v>
      </c>
      <c r="AN21175" s="4" t="s">
        <v>375</v>
      </c>
      <c r="AO21175" s="4" t="s">
        <v>375</v>
      </c>
      <c r="AP21175" s="4" t="s">
        <v>376</v>
      </c>
      <c r="AR21175" s="4" t="s">
        <v>377</v>
      </c>
    </row>
    <row r="21176" spans="1:44" ht="30">
      <c r="A21176" s="4" t="s">
        <v>24364</v>
      </c>
      <c r="B21176" s="4">
        <v>122028</v>
      </c>
      <c r="D21176" s="5" t="s">
        <v>27242</v>
      </c>
      <c r="E21176" s="6" t="str">
        <f>HYPERLINK("https://inpn.mnhn.fr/espece/cd_nom/122028","Scrophularia nodosa L., 1753")</f>
        <v>Scrophularia nodosa L., 1753</v>
      </c>
      <c r="F21176" s="5" t="s">
        <v>27243</v>
      </c>
      <c r="P21176" s="7" t="str">
        <f>HYPERLINK("#Liste_rouge!A"&amp;_xlfn.XMATCH("LC",Liste_rouge!A:A,2,1),"LC")</f>
        <v>LC</v>
      </c>
      <c r="Q21176" s="7" t="str">
        <f>HYPERLINK("#Liste_rouge!A"&amp;_xlfn.XMATCH("LC",Liste_rouge!A:A,2,1),"LC")</f>
        <v>LC</v>
      </c>
      <c r="T21176" s="7" t="str">
        <f>HYPERLINK("#Liste_rouge!A"&amp;_xlfn.XMATCH("LC",Liste_rouge!A:A,2,1),"LC")</f>
        <v>LC</v>
      </c>
      <c r="V21176" s="7" t="str">
        <f>HYPERLINK("#Liste_rouge!A"&amp;_xlfn.XMATCH("LC",Liste_rouge!A:A,2,1),"LC")</f>
        <v>LC</v>
      </c>
      <c r="AH21176" s="4" t="str">
        <f>HYPERLINK("#Statut_biogéographique!A"&amp;_xlfn.XMATCH("P",Statut_biogéographique!A:A,2,1),"P")</f>
        <v>P</v>
      </c>
      <c r="AM21176" s="4" t="s">
        <v>375</v>
      </c>
      <c r="AN21176" s="4" t="s">
        <v>375</v>
      </c>
      <c r="AO21176" s="4" t="s">
        <v>375</v>
      </c>
      <c r="AP21176" s="4" t="s">
        <v>376</v>
      </c>
      <c r="AR21176" s="4" t="s">
        <v>377</v>
      </c>
    </row>
    <row r="21177" spans="1:44" ht="30">
      <c r="A21177" s="4" t="s">
        <v>24364</v>
      </c>
      <c r="B21177" s="4">
        <v>122029</v>
      </c>
      <c r="D21177" s="5" t="s">
        <v>27244</v>
      </c>
      <c r="E21177" s="6" t="str">
        <f>HYPERLINK("https://inpn.mnhn.fr/espece/cd_nom/122029","Scrophularia oblongifolia Loisel., 1827")</f>
        <v>Scrophularia oblongifolia Loisel., 1827</v>
      </c>
      <c r="F21177" s="5" t="s">
        <v>27245</v>
      </c>
      <c r="Q21177" s="7" t="str">
        <f>HYPERLINK("#Liste_rouge!A"&amp;_xlfn.XMATCH("LC",Liste_rouge!A:A,2,1),"LC")</f>
        <v>LC</v>
      </c>
      <c r="T21177" s="7" t="str">
        <f>HYPERLINK("#Liste_rouge!A"&amp;_xlfn.XMATCH("VU",Liste_rouge!A:A,2,1),"VU")</f>
        <v>VU</v>
      </c>
      <c r="U21177" s="4" t="str">
        <f>HYPERLINK("#Critères_liste_rouge!A$1","C2a(i) D2")</f>
        <v>C2a(i) D2</v>
      </c>
      <c r="V21177" s="7" t="str">
        <f>HYPERLINK("#Liste_rouge!A"&amp;_xlfn.XMATCH("LC",Liste_rouge!A:A,2,1),"LC")</f>
        <v>LC</v>
      </c>
      <c r="AB21177" s="4" t="s">
        <v>24803</v>
      </c>
      <c r="AH21177" s="4" t="str">
        <f>HYPERLINK("#Statut_biogéographique!A"&amp;_xlfn.XMATCH("P",Statut_biogéographique!A:A,2,1),"P")</f>
        <v>P</v>
      </c>
      <c r="AM21177" s="4" t="s">
        <v>375</v>
      </c>
      <c r="AN21177" s="4" t="s">
        <v>375</v>
      </c>
      <c r="AO21177" s="4" t="s">
        <v>375</v>
      </c>
      <c r="AP21177" s="4" t="s">
        <v>376</v>
      </c>
      <c r="AR21177" s="4" t="s">
        <v>377</v>
      </c>
    </row>
    <row r="21178" spans="1:44" ht="30">
      <c r="A21178" s="4" t="s">
        <v>24364</v>
      </c>
      <c r="B21178" s="4">
        <v>122032</v>
      </c>
      <c r="D21178" s="5" t="s">
        <v>27246</v>
      </c>
      <c r="E21178" s="6" t="str">
        <f>HYPERLINK("https://inpn.mnhn.fr/espece/cd_nom/122032","Scrophularia peregrina L., 1753")</f>
        <v>Scrophularia peregrina L., 1753</v>
      </c>
      <c r="F21178" s="5" t="s">
        <v>27247</v>
      </c>
      <c r="Q21178" s="7" t="str">
        <f>HYPERLINK("#Liste_rouge!A"&amp;_xlfn.XMATCH("LC",Liste_rouge!A:A,2,1),"LC")</f>
        <v>LC</v>
      </c>
      <c r="AH21178" s="4" t="str">
        <f>HYPERLINK("#Statut_biogéographique!A"&amp;_xlfn.XMATCH("P",Statut_biogéographique!A:A,2,1),"P")</f>
        <v>P</v>
      </c>
      <c r="AP21178" s="4" t="s">
        <v>376</v>
      </c>
      <c r="AR21178" s="4" t="s">
        <v>377</v>
      </c>
    </row>
    <row r="21179" spans="1:44" ht="30">
      <c r="A21179" s="4" t="s">
        <v>24364</v>
      </c>
      <c r="B21179" s="4">
        <v>122060</v>
      </c>
      <c r="D21179" s="5" t="s">
        <v>27248</v>
      </c>
      <c r="E21179" s="6" t="str">
        <f>HYPERLINK("https://inpn.mnhn.fr/espece/cd_nom/122060","Scrophularia vernalis L., 1753")</f>
        <v>Scrophularia vernalis L., 1753</v>
      </c>
      <c r="F21179" s="5" t="s">
        <v>27249</v>
      </c>
      <c r="Q21179" s="7" t="str">
        <f>HYPERLINK("#Liste_rouge!A"&amp;_xlfn.XMATCH("LC",Liste_rouge!A:A,2,1),"LC")</f>
        <v>LC</v>
      </c>
      <c r="T21179" s="7" t="str">
        <f>HYPERLINK("#Liste_rouge!A"&amp;_xlfn.XMATCH("NA",Liste_rouge!A:A,2,1),"NA")</f>
        <v>NA</v>
      </c>
      <c r="AH21179" s="4" t="str">
        <f>HYPERLINK("#Statut_biogéographique!A"&amp;_xlfn.XMATCH("P",Statut_biogéographique!A:A,2,1),"P")</f>
        <v>P</v>
      </c>
      <c r="AP21179" s="4" t="s">
        <v>376</v>
      </c>
      <c r="AR21179" s="4" t="s">
        <v>377</v>
      </c>
    </row>
    <row r="21180" spans="1:44">
      <c r="A21180" s="4" t="s">
        <v>24364</v>
      </c>
      <c r="B21180" s="4">
        <v>122061</v>
      </c>
      <c r="D21180" s="5" t="s">
        <v>27250</v>
      </c>
      <c r="E21180" s="6" t="str">
        <f>HYPERLINK("https://inpn.mnhn.fr/espece/cd_nom/122061","Scutellaria albida L., 1771")</f>
        <v>Scutellaria albida L., 1771</v>
      </c>
      <c r="F21180" s="5" t="s">
        <v>27251</v>
      </c>
      <c r="Q21180" s="7" t="str">
        <f>HYPERLINK("#Liste_rouge!A"&amp;_xlfn.XMATCH("NA",Liste_rouge!A:A,2,1),"NA")</f>
        <v>NA</v>
      </c>
      <c r="T21180" s="7" t="str">
        <f>HYPERLINK("#Liste_rouge!A"&amp;_xlfn.XMATCH("NE",Liste_rouge!A:A,2,1),"NE")</f>
        <v>NE</v>
      </c>
      <c r="AH21180" s="4" t="str">
        <f>HYPERLINK("#Statut_biogéographique!A"&amp;_xlfn.XMATCH("I",Statut_biogéographique!A:A,2,1),"I")</f>
        <v>I</v>
      </c>
      <c r="AP21180" s="4" t="s">
        <v>376</v>
      </c>
      <c r="AR21180" s="4" t="s">
        <v>377</v>
      </c>
    </row>
    <row r="21181" spans="1:44" ht="30">
      <c r="A21181" s="4" t="s">
        <v>24364</v>
      </c>
      <c r="B21181" s="4">
        <v>122062</v>
      </c>
      <c r="D21181" s="5" t="s">
        <v>27252</v>
      </c>
      <c r="E21181" s="6" t="str">
        <f>HYPERLINK("https://inpn.mnhn.fr/espece/cd_nom/122062","Scutellaria alpina L., 1753")</f>
        <v>Scutellaria alpina L., 1753</v>
      </c>
      <c r="F21181" s="5" t="s">
        <v>27253</v>
      </c>
      <c r="Q21181" s="7" t="str">
        <f>HYPERLINK("#Liste_rouge!A"&amp;_xlfn.XMATCH("LC",Liste_rouge!A:A,2,1),"LC")</f>
        <v>LC</v>
      </c>
      <c r="T21181" s="7" t="str">
        <f>HYPERLINK("#Liste_rouge!A"&amp;_xlfn.XMATCH("VU",Liste_rouge!A:A,2,1),"VU")</f>
        <v>VU</v>
      </c>
      <c r="U21181" s="4" t="str">
        <f>HYPERLINK("#Critères_liste_rouge!A$1","D2")</f>
        <v>D2</v>
      </c>
      <c r="X21181" s="5" t="s">
        <v>374</v>
      </c>
      <c r="AB21181" s="4" t="s">
        <v>93</v>
      </c>
      <c r="AH21181" s="4" t="str">
        <f>HYPERLINK("#Statut_biogéographique!A"&amp;_xlfn.XMATCH("P",Statut_biogéographique!A:A,2,1),"P")</f>
        <v>P</v>
      </c>
      <c r="AM21181" s="4" t="s">
        <v>375</v>
      </c>
      <c r="AN21181" s="4" t="s">
        <v>375</v>
      </c>
      <c r="AO21181" s="4" t="s">
        <v>375</v>
      </c>
      <c r="AP21181" s="4" t="s">
        <v>376</v>
      </c>
      <c r="AR21181" s="4" t="s">
        <v>377</v>
      </c>
    </row>
    <row r="21182" spans="1:44">
      <c r="A21182" s="4" t="s">
        <v>24364</v>
      </c>
      <c r="B21182" s="4">
        <v>122064</v>
      </c>
      <c r="D21182" s="5" t="s">
        <v>27254</v>
      </c>
      <c r="E21182" s="6" t="str">
        <f>HYPERLINK("https://inpn.mnhn.fr/espece/cd_nom/122064","Scutellaria altissima L., 1753")</f>
        <v>Scutellaria altissima L., 1753</v>
      </c>
      <c r="F21182" s="5" t="s">
        <v>27255</v>
      </c>
      <c r="Q21182" s="7" t="str">
        <f>HYPERLINK("#Liste_rouge!A"&amp;_xlfn.XMATCH("NA",Liste_rouge!A:A,2,1),"NA")</f>
        <v>NA</v>
      </c>
      <c r="T21182" s="7" t="str">
        <f>HYPERLINK("#Liste_rouge!A"&amp;_xlfn.XMATCH("NA",Liste_rouge!A:A,2,1),"NA")</f>
        <v>NA</v>
      </c>
      <c r="AH21182" s="4" t="str">
        <f>HYPERLINK("#Statut_biogéographique!A"&amp;_xlfn.XMATCH("I",Statut_biogéographique!A:A,2,1),"I")</f>
        <v>I</v>
      </c>
      <c r="AM21182" s="4" t="s">
        <v>375</v>
      </c>
      <c r="AN21182" s="4" t="s">
        <v>375</v>
      </c>
      <c r="AO21182" s="4" t="s">
        <v>375</v>
      </c>
      <c r="AP21182" s="4" t="s">
        <v>376</v>
      </c>
      <c r="AR21182" s="4" t="s">
        <v>377</v>
      </c>
    </row>
    <row r="21183" spans="1:44" ht="30">
      <c r="A21183" s="4" t="s">
        <v>24364</v>
      </c>
      <c r="B21183" s="4">
        <v>122069</v>
      </c>
      <c r="D21183" s="5" t="s">
        <v>27256</v>
      </c>
      <c r="E21183" s="6" t="str">
        <f>HYPERLINK("https://inpn.mnhn.fr/espece/cd_nom/122069","Scutellaria galericulata L., 1753")</f>
        <v>Scutellaria galericulata L., 1753</v>
      </c>
      <c r="F21183" s="5" t="s">
        <v>27257</v>
      </c>
      <c r="O21183" s="7" t="str">
        <f>HYPERLINK("#Liste_rouge!A"&amp;_xlfn.XMATCH("LC",Liste_rouge!A:A,2,1),"LC")</f>
        <v>LC</v>
      </c>
      <c r="Q21183" s="7" t="str">
        <f>HYPERLINK("#Liste_rouge!A"&amp;_xlfn.XMATCH("LC",Liste_rouge!A:A,2,1),"LC")</f>
        <v>LC</v>
      </c>
      <c r="T21183" s="7" t="str">
        <f>HYPERLINK("#Liste_rouge!A"&amp;_xlfn.XMATCH("LC",Liste_rouge!A:A,2,1),"LC")</f>
        <v>LC</v>
      </c>
      <c r="V21183" s="7" t="str">
        <f>HYPERLINK("#Liste_rouge!A"&amp;_xlfn.XMATCH("LC",Liste_rouge!A:A,2,1),"LC")</f>
        <v>LC</v>
      </c>
      <c r="AH21183" s="4" t="str">
        <f>HYPERLINK("#Statut_biogéographique!A"&amp;_xlfn.XMATCH("P",Statut_biogéographique!A:A,2,1),"P")</f>
        <v>P</v>
      </c>
      <c r="AM21183" s="4" t="s">
        <v>375</v>
      </c>
      <c r="AN21183" s="4" t="s">
        <v>375</v>
      </c>
      <c r="AO21183" s="4" t="s">
        <v>375</v>
      </c>
      <c r="AP21183" s="4" t="s">
        <v>376</v>
      </c>
      <c r="AR21183" s="4" t="s">
        <v>377</v>
      </c>
    </row>
    <row r="21184" spans="1:44" ht="30">
      <c r="A21184" s="4" t="s">
        <v>24364</v>
      </c>
      <c r="B21184" s="4">
        <v>122070</v>
      </c>
      <c r="D21184" s="5" t="s">
        <v>27258</v>
      </c>
      <c r="E21184" s="6" t="str">
        <f>HYPERLINK("https://inpn.mnhn.fr/espece/cd_nom/122070","Scutellaria hastifolia L., 1753")</f>
        <v>Scutellaria hastifolia L., 1753</v>
      </c>
      <c r="F21184" s="5" t="s">
        <v>27259</v>
      </c>
      <c r="M21184" s="4" t="str">
        <f>HYPERLINK("#Réglementation!A"&amp;_xlfn.XMATCH("RV26",Réglementation!A:A,2,1),"RV26")</f>
        <v>RV26</v>
      </c>
      <c r="Q21184" s="7" t="str">
        <f>HYPERLINK("#Liste_rouge!A"&amp;_xlfn.XMATCH("VU",Liste_rouge!A:A,2,1),"VU")</f>
        <v>VU</v>
      </c>
      <c r="T21184" s="7" t="str">
        <f>HYPERLINK("#Liste_rouge!A"&amp;_xlfn.XMATCH("EN",Liste_rouge!A:A,2,1),"EN")</f>
        <v>EN</v>
      </c>
      <c r="U21184" s="4" t="str">
        <f>HYPERLINK("#Critères_liste_rouge!A$1","B2ab(ii,iii,iv)")</f>
        <v>B2ab(ii,iii,iv)</v>
      </c>
      <c r="V21184" s="7" t="str">
        <f>HYPERLINK("#Liste_rouge!A"&amp;_xlfn.XMATCH("RE",Liste_rouge!A:A,2,1),"RE")</f>
        <v>RE</v>
      </c>
      <c r="X21184" s="5" t="s">
        <v>374</v>
      </c>
      <c r="AB21184" s="4" t="s">
        <v>93</v>
      </c>
      <c r="AH21184" s="4" t="str">
        <f>HYPERLINK("#Statut_biogéographique!A"&amp;_xlfn.XMATCH("P",Statut_biogéographique!A:A,2,1),"P")</f>
        <v>P</v>
      </c>
      <c r="AM21184" s="4" t="s">
        <v>375</v>
      </c>
      <c r="AN21184" s="4" t="s">
        <v>375</v>
      </c>
      <c r="AO21184" s="4" t="s">
        <v>375</v>
      </c>
      <c r="AP21184" s="4" t="s">
        <v>389</v>
      </c>
      <c r="AR21184" s="4" t="s">
        <v>377</v>
      </c>
    </row>
    <row r="21185" spans="1:44" ht="30">
      <c r="A21185" s="4" t="s">
        <v>24364</v>
      </c>
      <c r="B21185" s="4">
        <v>122073</v>
      </c>
      <c r="D21185" s="5" t="s">
        <v>27260</v>
      </c>
      <c r="E21185" s="6" t="str">
        <f>HYPERLINK("https://inpn.mnhn.fr/espece/cd_nom/122073","Scutellaria minor Huds., 1762")</f>
        <v>Scutellaria minor Huds., 1762</v>
      </c>
      <c r="F21185" s="5" t="s">
        <v>27261</v>
      </c>
      <c r="Q21185" s="7" t="str">
        <f>HYPERLINK("#Liste_rouge!A"&amp;_xlfn.XMATCH("LC",Liste_rouge!A:A,2,1),"LC")</f>
        <v>LC</v>
      </c>
      <c r="T21185" s="7" t="str">
        <f>HYPERLINK("#Liste_rouge!A"&amp;_xlfn.XMATCH("LC",Liste_rouge!A:A,2,1),"LC")</f>
        <v>LC</v>
      </c>
      <c r="V21185" s="7" t="str">
        <f>HYPERLINK("#Liste_rouge!A"&amp;_xlfn.XMATCH("LC",Liste_rouge!A:A,2,1),"LC")</f>
        <v>LC</v>
      </c>
      <c r="AB21185" s="4" t="s">
        <v>24447</v>
      </c>
      <c r="AH21185" s="4" t="str">
        <f>HYPERLINK("#Statut_biogéographique!A"&amp;_xlfn.XMATCH("P",Statut_biogéographique!A:A,2,1),"P")</f>
        <v>P</v>
      </c>
      <c r="AM21185" s="4" t="s">
        <v>375</v>
      </c>
      <c r="AN21185" s="4" t="s">
        <v>375</v>
      </c>
      <c r="AO21185" s="4" t="s">
        <v>375</v>
      </c>
      <c r="AP21185" s="4" t="s">
        <v>376</v>
      </c>
      <c r="AR21185" s="4" t="s">
        <v>377</v>
      </c>
    </row>
    <row r="21186" spans="1:44">
      <c r="A21186" s="4" t="s">
        <v>24364</v>
      </c>
      <c r="B21186" s="4">
        <v>122079</v>
      </c>
      <c r="D21186" s="5" t="s">
        <v>27262</v>
      </c>
      <c r="E21186" s="6" t="str">
        <f>HYPERLINK("https://inpn.mnhn.fr/espece/cd_nom/122079","Scutellaria x hybrida Strail, 1863")</f>
        <v>Scutellaria x hybrida Strail, 1863</v>
      </c>
      <c r="F21186" s="5" t="s">
        <v>27263</v>
      </c>
      <c r="T21186" s="7" t="str">
        <f>HYPERLINK("#Liste_rouge!A"&amp;_xlfn.XMATCH("NE",Liste_rouge!A:A,2,1),"NE")</f>
        <v>NE</v>
      </c>
      <c r="AH21186" s="4" t="str">
        <f>HYPERLINK("#Statut_biogéographique!A"&amp;_xlfn.XMATCH("P",Statut_biogéographique!A:A,2,1),"P")</f>
        <v>P</v>
      </c>
      <c r="AP21186" s="4" t="s">
        <v>376</v>
      </c>
      <c r="AR21186" s="4" t="s">
        <v>377</v>
      </c>
    </row>
    <row r="21187" spans="1:44" ht="45">
      <c r="A21187" s="4" t="s">
        <v>24364</v>
      </c>
      <c r="B21187" s="4">
        <v>122085</v>
      </c>
      <c r="D21187" s="5" t="s">
        <v>27264</v>
      </c>
      <c r="E21187" s="6" t="str">
        <f>HYPERLINK("https://inpn.mnhn.fr/espece/cd_nom/122085","Secale cereale L., 1753")</f>
        <v>Secale cereale L., 1753</v>
      </c>
      <c r="F21187" s="5" t="s">
        <v>27265</v>
      </c>
      <c r="Q21187" s="7" t="str">
        <f>HYPERLINK("#Liste_rouge!A"&amp;_xlfn.XMATCH("NA",Liste_rouge!A:A,2,1),"NA")</f>
        <v>NA</v>
      </c>
      <c r="T21187" s="7" t="str">
        <f>HYPERLINK("#Liste_rouge!A"&amp;_xlfn.XMATCH("NA",Liste_rouge!A:A,2,1),"NA")</f>
        <v>NA</v>
      </c>
      <c r="AH21187" s="4" t="str">
        <f>HYPERLINK("#Statut_biogéographique!A"&amp;_xlfn.XMATCH("M",Statut_biogéographique!A:A,2,1),"M")</f>
        <v>M</v>
      </c>
      <c r="AP21187" s="4" t="s">
        <v>376</v>
      </c>
      <c r="AR21187" s="4" t="s">
        <v>377</v>
      </c>
    </row>
    <row r="21188" spans="1:44" ht="45">
      <c r="A21188" s="4" t="s">
        <v>24364</v>
      </c>
      <c r="B21188" s="4">
        <v>122101</v>
      </c>
      <c r="D21188" s="5" t="s">
        <v>27266</v>
      </c>
      <c r="E21188" s="6" t="str">
        <f>HYPERLINK("https://inpn.mnhn.fr/espece/cd_nom/122101","Sedum acre L., 1753")</f>
        <v>Sedum acre L., 1753</v>
      </c>
      <c r="F21188" s="5" t="s">
        <v>27267</v>
      </c>
      <c r="P21188" s="7" t="str">
        <f>HYPERLINK("#Liste_rouge!A"&amp;_xlfn.XMATCH("LC",Liste_rouge!A:A,2,1),"LC")</f>
        <v>LC</v>
      </c>
      <c r="Q21188" s="7" t="str">
        <f>HYPERLINK("#Liste_rouge!A"&amp;_xlfn.XMATCH("LC",Liste_rouge!A:A,2,1),"LC")</f>
        <v>LC</v>
      </c>
      <c r="T21188" s="7" t="str">
        <f>HYPERLINK("#Liste_rouge!A"&amp;_xlfn.XMATCH("LC",Liste_rouge!A:A,2,1),"LC")</f>
        <v>LC</v>
      </c>
      <c r="V21188" s="7" t="str">
        <f>HYPERLINK("#Liste_rouge!A"&amp;_xlfn.XMATCH("LC",Liste_rouge!A:A,2,1),"LC")</f>
        <v>LC</v>
      </c>
      <c r="AH21188" s="4" t="str">
        <f>HYPERLINK("#Statut_biogéographique!A"&amp;_xlfn.XMATCH("P",Statut_biogéographique!A:A,2,1),"P")</f>
        <v>P</v>
      </c>
      <c r="AM21188" s="4" t="s">
        <v>375</v>
      </c>
      <c r="AN21188" s="4" t="s">
        <v>375</v>
      </c>
      <c r="AO21188" s="4" t="s">
        <v>375</v>
      </c>
      <c r="AP21188" s="4" t="s">
        <v>376</v>
      </c>
      <c r="AR21188" s="4" t="s">
        <v>377</v>
      </c>
    </row>
    <row r="21189" spans="1:44" ht="60">
      <c r="A21189" s="4" t="s">
        <v>24364</v>
      </c>
      <c r="B21189" s="4">
        <v>122106</v>
      </c>
      <c r="D21189" s="5" t="s">
        <v>27268</v>
      </c>
      <c r="E21189" s="6" t="str">
        <f>HYPERLINK("https://inpn.mnhn.fr/espece/cd_nom/122106","Sedum album L., 1753")</f>
        <v>Sedum album L., 1753</v>
      </c>
      <c r="F21189" s="5" t="s">
        <v>27269</v>
      </c>
      <c r="Q21189" s="7" t="str">
        <f>HYPERLINK("#Liste_rouge!A"&amp;_xlfn.XMATCH("LC",Liste_rouge!A:A,2,1),"LC")</f>
        <v>LC</v>
      </c>
      <c r="T21189" s="7" t="str">
        <f>HYPERLINK("#Liste_rouge!A"&amp;_xlfn.XMATCH("LC",Liste_rouge!A:A,2,1),"LC (cd_nom 620654) - DD (cd_nom 151373)")</f>
        <v>LC (cd_nom 620654) - DD (cd_nom 151373)</v>
      </c>
      <c r="V21189" s="7" t="str">
        <f>HYPERLINK("#Liste_rouge!A"&amp;_xlfn.XMATCH("LC",Liste_rouge!A:A,2,1),"LC")</f>
        <v>LC</v>
      </c>
      <c r="AH21189" s="4" t="str">
        <f>HYPERLINK("#Statut_biogéographique!A"&amp;_xlfn.XMATCH("P",Statut_biogéographique!A:A,2,1),"P")</f>
        <v>P</v>
      </c>
      <c r="AM21189" s="4" t="s">
        <v>375</v>
      </c>
      <c r="AN21189" s="4" t="s">
        <v>375</v>
      </c>
      <c r="AO21189" s="4" t="s">
        <v>375</v>
      </c>
      <c r="AP21189" s="4" t="s">
        <v>376</v>
      </c>
      <c r="AR21189" s="4" t="s">
        <v>377</v>
      </c>
    </row>
    <row r="21190" spans="1:44" ht="30">
      <c r="A21190" s="4" t="s">
        <v>24364</v>
      </c>
      <c r="B21190" s="4">
        <v>122116</v>
      </c>
      <c r="D21190" s="5" t="s">
        <v>27270</v>
      </c>
      <c r="E21190" s="6" t="str">
        <f>HYPERLINK("https://inpn.mnhn.fr/espece/cd_nom/122116","Sedum annuum L., 1753")</f>
        <v>Sedum annuum L., 1753</v>
      </c>
      <c r="F21190" s="5" t="s">
        <v>27271</v>
      </c>
      <c r="Q21190" s="7" t="str">
        <f>HYPERLINK("#Liste_rouge!A"&amp;_xlfn.XMATCH("LC",Liste_rouge!A:A,2,1),"LC")</f>
        <v>LC</v>
      </c>
      <c r="V21190" s="7" t="str">
        <f>HYPERLINK("#Liste_rouge!A"&amp;_xlfn.XMATCH("NT",Liste_rouge!A:A,2,1),"NT")</f>
        <v>NT</v>
      </c>
      <c r="W21190" s="4" t="str">
        <f>HYPERLINK("#Critères_liste_rouge!A$1","pr. B2a")</f>
        <v>pr. B2a</v>
      </c>
      <c r="X21190" s="5" t="s">
        <v>374</v>
      </c>
      <c r="AB21190" s="4" t="s">
        <v>93</v>
      </c>
      <c r="AH21190" s="4" t="str">
        <f>HYPERLINK("#Statut_biogéographique!A"&amp;_xlfn.XMATCH("P",Statut_biogéographique!A:A,2,1),"P")</f>
        <v>P</v>
      </c>
      <c r="AM21190" s="4" t="s">
        <v>375</v>
      </c>
      <c r="AN21190" s="4" t="s">
        <v>375</v>
      </c>
      <c r="AO21190" s="4" t="s">
        <v>375</v>
      </c>
      <c r="AP21190" s="4" t="s">
        <v>376</v>
      </c>
      <c r="AR21190" s="4" t="s">
        <v>377</v>
      </c>
    </row>
    <row r="21191" spans="1:44">
      <c r="A21191" s="4" t="s">
        <v>24364</v>
      </c>
      <c r="B21191" s="4">
        <v>122124</v>
      </c>
      <c r="D21191" s="5" t="s">
        <v>27272</v>
      </c>
      <c r="E21191" s="6" t="str">
        <f>HYPERLINK("https://inpn.mnhn.fr/espece/cd_nom/122124","Sedum atratum L., 1763")</f>
        <v>Sedum atratum L., 1763</v>
      </c>
      <c r="F21191" s="5" t="s">
        <v>27273</v>
      </c>
      <c r="Q21191" s="7" t="str">
        <f>HYPERLINK("#Liste_rouge!A"&amp;_xlfn.XMATCH("LC",Liste_rouge!A:A,2,1),"LC")</f>
        <v>LC</v>
      </c>
      <c r="V21191" s="7" t="str">
        <f>HYPERLINK("#Liste_rouge!A"&amp;_xlfn.XMATCH("CR",Liste_rouge!A:A,2,1),"CR")</f>
        <v>CR</v>
      </c>
      <c r="W21191" s="4" t="str">
        <f>HYPERLINK("#Critères_liste_rouge!A$1","D")</f>
        <v>D</v>
      </c>
      <c r="X21191" s="5" t="s">
        <v>374</v>
      </c>
      <c r="AB21191" s="4" t="s">
        <v>93</v>
      </c>
      <c r="AH21191" s="4" t="str">
        <f>HYPERLINK("#Statut_biogéographique!A"&amp;_xlfn.XMATCH("P",Statut_biogéographique!A:A,2,1),"P")</f>
        <v>P</v>
      </c>
      <c r="AM21191" s="4" t="s">
        <v>375</v>
      </c>
      <c r="AN21191" s="4" t="s">
        <v>375</v>
      </c>
      <c r="AO21191" s="4" t="s">
        <v>375</v>
      </c>
      <c r="AP21191" s="4" t="s">
        <v>376</v>
      </c>
      <c r="AR21191" s="4" t="s">
        <v>377</v>
      </c>
    </row>
    <row r="21192" spans="1:44" ht="45">
      <c r="A21192" s="4" t="s">
        <v>24364</v>
      </c>
      <c r="B21192" s="4">
        <v>122136</v>
      </c>
      <c r="D21192" s="5" t="s">
        <v>27274</v>
      </c>
      <c r="E21192" s="6" t="str">
        <f>HYPERLINK("https://inpn.mnhn.fr/espece/cd_nom/122136","Sedum cespitosum (Cav.) DC., 1828")</f>
        <v>Sedum cespitosum (Cav.) DC., 1828</v>
      </c>
      <c r="F21192" s="5" t="s">
        <v>27275</v>
      </c>
      <c r="Q21192" s="7" t="str">
        <f>HYPERLINK("#Liste_rouge!A"&amp;_xlfn.XMATCH("LC",Liste_rouge!A:A,2,1),"LC")</f>
        <v>LC</v>
      </c>
      <c r="T21192" s="7" t="str">
        <f>HYPERLINK("#Liste_rouge!A"&amp;_xlfn.XMATCH("NE",Liste_rouge!A:A,2,1),"NE")</f>
        <v>NE</v>
      </c>
      <c r="AH21192" s="4" t="str">
        <f>HYPERLINK("#Statut_biogéographique!A"&amp;_xlfn.XMATCH("P",Statut_biogéographique!A:A,2,1),"P")</f>
        <v>P</v>
      </c>
      <c r="AP21192" s="4" t="s">
        <v>376</v>
      </c>
      <c r="AR21192" s="4" t="s">
        <v>377</v>
      </c>
    </row>
    <row r="21193" spans="1:44" ht="30">
      <c r="A21193" s="4" t="s">
        <v>24364</v>
      </c>
      <c r="B21193" s="4">
        <v>122140</v>
      </c>
      <c r="D21193" s="5" t="s">
        <v>27276</v>
      </c>
      <c r="E21193" s="6" t="str">
        <f>HYPERLINK("https://inpn.mnhn.fr/espece/cd_nom/122140","Sedum cepaea L., 1753")</f>
        <v>Sedum cepaea L., 1753</v>
      </c>
      <c r="F21193" s="5" t="s">
        <v>27277</v>
      </c>
      <c r="Q21193" s="7" t="str">
        <f>HYPERLINK("#Liste_rouge!A"&amp;_xlfn.XMATCH("LC",Liste_rouge!A:A,2,1),"LC")</f>
        <v>LC</v>
      </c>
      <c r="T21193" s="7" t="str">
        <f>HYPERLINK("#Liste_rouge!A"&amp;_xlfn.XMATCH("LC",Liste_rouge!A:A,2,1),"LC")</f>
        <v>LC</v>
      </c>
      <c r="V21193" s="7" t="str">
        <f>HYPERLINK("#Liste_rouge!A"&amp;_xlfn.XMATCH("DD",Liste_rouge!A:A,2,1),"DD")</f>
        <v>DD</v>
      </c>
      <c r="AB21193" s="4" t="s">
        <v>26735</v>
      </c>
      <c r="AH21193" s="4" t="str">
        <f>HYPERLINK("#Statut_biogéographique!A"&amp;_xlfn.XMATCH("P",Statut_biogéographique!A:A,2,1),"P")</f>
        <v>P</v>
      </c>
      <c r="AM21193" s="4" t="s">
        <v>375</v>
      </c>
      <c r="AN21193" s="4" t="s">
        <v>375</v>
      </c>
      <c r="AO21193" s="4" t="s">
        <v>375</v>
      </c>
      <c r="AP21193" s="4" t="s">
        <v>376</v>
      </c>
      <c r="AR21193" s="4" t="s">
        <v>377</v>
      </c>
    </row>
    <row r="21194" spans="1:44" ht="75">
      <c r="A21194" s="4" t="s">
        <v>24364</v>
      </c>
      <c r="B21194" s="4">
        <v>122150</v>
      </c>
      <c r="D21194" s="5" t="s">
        <v>27278</v>
      </c>
      <c r="E21194" s="6" t="str">
        <f>HYPERLINK("https://inpn.mnhn.fr/espece/cd_nom/122150","Sedum dasyphyllum L., 1753")</f>
        <v>Sedum dasyphyllum L., 1753</v>
      </c>
      <c r="F21194" s="5" t="s">
        <v>27279</v>
      </c>
      <c r="Q21194" s="7" t="str">
        <f>HYPERLINK("#Liste_rouge!A"&amp;_xlfn.XMATCH("LC",Liste_rouge!A:A,2,1),"LC")</f>
        <v>LC</v>
      </c>
      <c r="T21194" s="7" t="str">
        <f>HYPERLINK("#Liste_rouge!A"&amp;_xlfn.XMATCH("VU",Liste_rouge!A:A,2,1),"VU")</f>
        <v>VU</v>
      </c>
      <c r="U21194" s="4" t="str">
        <f>HYPERLINK("#Critères_liste_rouge!A$1","D1")</f>
        <v>D1</v>
      </c>
      <c r="V21194" s="7" t="str">
        <f>HYPERLINK("#Liste_rouge!A"&amp;_xlfn.XMATCH("LC",Liste_rouge!A:A,2,1),"LC")</f>
        <v>LC</v>
      </c>
      <c r="AB21194" s="4" t="s">
        <v>24819</v>
      </c>
      <c r="AH21194" s="4" t="str">
        <f>HYPERLINK("#Statut_biogéographique!A"&amp;_xlfn.XMATCH("P",Statut_biogéographique!A:A,2,1),"P")</f>
        <v>P</v>
      </c>
      <c r="AM21194" s="4" t="s">
        <v>375</v>
      </c>
      <c r="AN21194" s="4" t="s">
        <v>375</v>
      </c>
      <c r="AO21194" s="4" t="s">
        <v>375</v>
      </c>
      <c r="AP21194" s="4" t="s">
        <v>376</v>
      </c>
      <c r="AR21194" s="4" t="s">
        <v>377</v>
      </c>
    </row>
    <row r="21195" spans="1:44" ht="30">
      <c r="A21195" s="4" t="s">
        <v>24364</v>
      </c>
      <c r="B21195" s="4">
        <v>122182</v>
      </c>
      <c r="D21195" s="5" t="s">
        <v>27280</v>
      </c>
      <c r="E21195" s="6" t="str">
        <f>HYPERLINK("https://inpn.mnhn.fr/espece/cd_nom/122182","Sedum hirsutum All., 1785")</f>
        <v>Sedum hirsutum All., 1785</v>
      </c>
      <c r="F21195" s="5" t="s">
        <v>27281</v>
      </c>
      <c r="M21195" s="4" t="str">
        <f>HYPERLINK("#Réglementation!A"&amp;_xlfn.XMATCH("RV26",Réglementation!A:A,2,1),"RV26")</f>
        <v>RV26</v>
      </c>
      <c r="Q21195" s="7" t="str">
        <f>HYPERLINK("#Liste_rouge!A"&amp;_xlfn.XMATCH("LC",Liste_rouge!A:A,2,1),"LC")</f>
        <v>LC</v>
      </c>
      <c r="T21195" s="7" t="str">
        <f>HYPERLINK("#Liste_rouge!A"&amp;_xlfn.XMATCH("RE",Liste_rouge!A:A,2,1),"RE")</f>
        <v>RE</v>
      </c>
      <c r="AH21195" s="4" t="str">
        <f>HYPERLINK("#Statut_biogéographique!A"&amp;_xlfn.XMATCH("P",Statut_biogéographique!A:A,2,1),"P")</f>
        <v>P</v>
      </c>
      <c r="AM21195" s="4" t="s">
        <v>375</v>
      </c>
      <c r="AN21195" s="4" t="s">
        <v>375</v>
      </c>
      <c r="AO21195" s="4" t="s">
        <v>375</v>
      </c>
      <c r="AP21195" s="4" t="s">
        <v>376</v>
      </c>
      <c r="AR21195" s="4" t="s">
        <v>377</v>
      </c>
    </row>
    <row r="21196" spans="1:44" ht="45">
      <c r="A21196" s="4" t="s">
        <v>24364</v>
      </c>
      <c r="B21196" s="4">
        <v>122183</v>
      </c>
      <c r="D21196" s="5" t="s">
        <v>27282</v>
      </c>
      <c r="E21196" s="6" t="str">
        <f>HYPERLINK("https://inpn.mnhn.fr/espece/cd_nom/122183","Sedum hispanicum L., 1755")</f>
        <v>Sedum hispanicum L., 1755</v>
      </c>
      <c r="F21196" s="5" t="s">
        <v>27283</v>
      </c>
      <c r="AH21196" s="4" t="str">
        <f>HYPERLINK("#Statut_biogéographique!A"&amp;_xlfn.XMATCH("M",Statut_biogéographique!A:A,2,1),"M")</f>
        <v>M</v>
      </c>
      <c r="AP21196" s="4" t="s">
        <v>376</v>
      </c>
      <c r="AR21196" s="4" t="s">
        <v>377</v>
      </c>
    </row>
    <row r="21197" spans="1:44">
      <c r="A21197" s="4" t="s">
        <v>24364</v>
      </c>
      <c r="B21197" s="4">
        <v>122225</v>
      </c>
      <c r="D21197" s="5" t="s">
        <v>27284</v>
      </c>
      <c r="E21197" s="6" t="str">
        <f>HYPERLINK("https://inpn.mnhn.fr/espece/cd_nom/122225","Sedum pentandrum (DC.) Boreau, 1849")</f>
        <v>Sedum pentandrum (DC.) Boreau, 1849</v>
      </c>
      <c r="F21197" s="5" t="s">
        <v>27285</v>
      </c>
      <c r="Q21197" s="7" t="str">
        <f>HYPERLINK("#Liste_rouge!A"&amp;_xlfn.XMATCH("EN",Liste_rouge!A:A,2,1),"EN")</f>
        <v>EN</v>
      </c>
      <c r="AH21197" s="4" t="str">
        <f>HYPERLINK("#Statut_biogéographique!A"&amp;_xlfn.XMATCH("P",Statut_biogéographique!A:A,2,1),"P")</f>
        <v>P</v>
      </c>
      <c r="AM21197" s="4" t="s">
        <v>375</v>
      </c>
      <c r="AN21197" s="4" t="s">
        <v>375</v>
      </c>
      <c r="AO21197" s="4" t="s">
        <v>375</v>
      </c>
      <c r="AP21197" s="4" t="s">
        <v>376</v>
      </c>
      <c r="AR21197" s="4" t="s">
        <v>377</v>
      </c>
    </row>
    <row r="21198" spans="1:44" ht="30">
      <c r="A21198" s="4" t="s">
        <v>24364</v>
      </c>
      <c r="B21198" s="4">
        <v>122243</v>
      </c>
      <c r="D21198" s="5" t="s">
        <v>27286</v>
      </c>
      <c r="E21198" s="6" t="str">
        <f>HYPERLINK("https://inpn.mnhn.fr/espece/cd_nom/122243","Sedum rubens L., 1753")</f>
        <v>Sedum rubens L., 1753</v>
      </c>
      <c r="F21198" s="5" t="s">
        <v>27287</v>
      </c>
      <c r="Q21198" s="7" t="str">
        <f>HYPERLINK("#Liste_rouge!A"&amp;_xlfn.XMATCH("LC",Liste_rouge!A:A,2,1),"LC")</f>
        <v>LC</v>
      </c>
      <c r="T21198" s="7" t="str">
        <f>HYPERLINK("#Liste_rouge!A"&amp;_xlfn.XMATCH("LC",Liste_rouge!A:A,2,1),"LC")</f>
        <v>LC</v>
      </c>
      <c r="V21198" s="7" t="str">
        <f>HYPERLINK("#Liste_rouge!A"&amp;_xlfn.XMATCH("NT",Liste_rouge!A:A,2,1),"NT")</f>
        <v>NT</v>
      </c>
      <c r="W21198" s="4" t="str">
        <f>HYPERLINK("#Critères_liste_rouge!A$1","pr. B2b(iii)")</f>
        <v>pr. B2b(iii)</v>
      </c>
      <c r="AB21198" s="4" t="s">
        <v>24930</v>
      </c>
      <c r="AH21198" s="4" t="str">
        <f>HYPERLINK("#Statut_biogéographique!A"&amp;_xlfn.XMATCH("P",Statut_biogéographique!A:A,2,1),"P")</f>
        <v>P</v>
      </c>
      <c r="AM21198" s="4" t="s">
        <v>375</v>
      </c>
      <c r="AN21198" s="4" t="s">
        <v>375</v>
      </c>
      <c r="AO21198" s="4" t="s">
        <v>375</v>
      </c>
      <c r="AP21198" s="4" t="s">
        <v>376</v>
      </c>
      <c r="AR21198" s="4" t="s">
        <v>377</v>
      </c>
    </row>
    <row r="21199" spans="1:44" ht="45">
      <c r="A21199" s="4" t="s">
        <v>24364</v>
      </c>
      <c r="B21199" s="4">
        <v>122256</v>
      </c>
      <c r="D21199" s="5" t="s">
        <v>27288</v>
      </c>
      <c r="E21199" s="6" t="str">
        <f>HYPERLINK("https://inpn.mnhn.fr/espece/cd_nom/122256","Sedum sexangulare L., 1753")</f>
        <v>Sedum sexangulare L., 1753</v>
      </c>
      <c r="F21199" s="5" t="s">
        <v>27289</v>
      </c>
      <c r="Q21199" s="7" t="str">
        <f>HYPERLINK("#Liste_rouge!A"&amp;_xlfn.XMATCH("LC",Liste_rouge!A:A,2,1),"LC")</f>
        <v>LC</v>
      </c>
      <c r="T21199" s="7" t="str">
        <f>HYPERLINK("#Liste_rouge!A"&amp;_xlfn.XMATCH("LC",Liste_rouge!A:A,2,1),"LC")</f>
        <v>LC</v>
      </c>
      <c r="V21199" s="7" t="str">
        <f>HYPERLINK("#Liste_rouge!A"&amp;_xlfn.XMATCH("LC",Liste_rouge!A:A,2,1),"LC")</f>
        <v>LC</v>
      </c>
      <c r="AB21199" s="4" t="s">
        <v>26166</v>
      </c>
      <c r="AH21199" s="4" t="str">
        <f>HYPERLINK("#Statut_biogéographique!A"&amp;_xlfn.XMATCH("P",Statut_biogéographique!A:A,2,1),"P")</f>
        <v>P</v>
      </c>
      <c r="AM21199" s="4" t="s">
        <v>375</v>
      </c>
      <c r="AN21199" s="4" t="s">
        <v>375</v>
      </c>
      <c r="AO21199" s="4" t="s">
        <v>375</v>
      </c>
      <c r="AP21199" s="4" t="s">
        <v>376</v>
      </c>
      <c r="AR21199" s="4" t="s">
        <v>377</v>
      </c>
    </row>
    <row r="21200" spans="1:44">
      <c r="A21200" s="4" t="s">
        <v>24364</v>
      </c>
      <c r="B21200" s="4">
        <v>122281</v>
      </c>
      <c r="D21200" s="5" t="s">
        <v>27290</v>
      </c>
      <c r="E21200" s="6" t="str">
        <f>HYPERLINK("https://inpn.mnhn.fr/espece/cd_nom/122281","Sedum villosum L., 1753")</f>
        <v>Sedum villosum L., 1753</v>
      </c>
      <c r="F21200" s="5" t="s">
        <v>27291</v>
      </c>
      <c r="M21200" s="4" t="str">
        <f>HYPERLINK("#Réglementation!A"&amp;_xlfn.XMATCH("RV26",Réglementation!A:A,2,1),"RV26")</f>
        <v>RV26</v>
      </c>
      <c r="Q21200" s="7" t="str">
        <f>HYPERLINK("#Liste_rouge!A"&amp;_xlfn.XMATCH("LC",Liste_rouge!A:A,2,1),"LC")</f>
        <v>LC</v>
      </c>
      <c r="T21200" s="7" t="str">
        <f>HYPERLINK("#Liste_rouge!A"&amp;_xlfn.XMATCH("CR",Liste_rouge!A:A,2,1),"CR (cd_nom 122281) - NE (cd_nom 140904)")</f>
        <v>CR (cd_nom 122281) - NE (cd_nom 140904)</v>
      </c>
      <c r="U21200" s="4" t="str">
        <f>HYPERLINK("#Critères_liste_rouge!A$1","B1 B2ab(iii) D1 (cd_nom 122281)")</f>
        <v>B1 B2ab(iii) D1 (cd_nom 122281)</v>
      </c>
      <c r="V21200" s="7" t="str">
        <f>HYPERLINK("#Liste_rouge!A"&amp;_xlfn.XMATCH("RE",Liste_rouge!A:A,2,1),"RE")</f>
        <v>RE</v>
      </c>
      <c r="X21200" s="5" t="s">
        <v>374</v>
      </c>
      <c r="AB21200" s="4" t="s">
        <v>93</v>
      </c>
      <c r="AH21200" s="4" t="str">
        <f>HYPERLINK("#Statut_biogéographique!A"&amp;_xlfn.XMATCH("P",Statut_biogéographique!A:A,2,1),"P")</f>
        <v>P</v>
      </c>
      <c r="AM21200" s="4" t="s">
        <v>375</v>
      </c>
      <c r="AN21200" s="4" t="s">
        <v>375</v>
      </c>
      <c r="AO21200" s="4" t="s">
        <v>375</v>
      </c>
      <c r="AP21200" s="4" t="s">
        <v>376</v>
      </c>
      <c r="AR21200" s="4" t="s">
        <v>377</v>
      </c>
    </row>
    <row r="21201" spans="1:44" ht="45">
      <c r="A21201" s="4" t="s">
        <v>24364</v>
      </c>
      <c r="B21201" s="4">
        <v>122308</v>
      </c>
      <c r="D21201" s="5" t="s">
        <v>27292</v>
      </c>
      <c r="E21201" s="6" t="str">
        <f>HYPERLINK("https://inpn.mnhn.fr/espece/cd_nom/122308","Selaginella selaginoides (L.) P.Beauv. ex Schrank &amp; Mart., 1829")</f>
        <v>Selaginella selaginoides (L.) P.Beauv. ex Schrank &amp; Mart., 1829</v>
      </c>
      <c r="F21201" s="5" t="s">
        <v>27293</v>
      </c>
      <c r="P21201" s="7" t="str">
        <f>HYPERLINK("#Liste_rouge!A"&amp;_xlfn.XMATCH("LC",Liste_rouge!A:A,2,1),"LC")</f>
        <v>LC</v>
      </c>
      <c r="Q21201" s="7" t="str">
        <f>HYPERLINK("#Liste_rouge!A"&amp;_xlfn.XMATCH("LC",Liste_rouge!A:A,2,1),"LC")</f>
        <v>LC</v>
      </c>
      <c r="V21201" s="7" t="str">
        <f>HYPERLINK("#Liste_rouge!A"&amp;_xlfn.XMATCH("VU",Liste_rouge!A:A,2,1),"VU")</f>
        <v>VU</v>
      </c>
      <c r="W21201" s="4" t="str">
        <f>HYPERLINK("#Critères_liste_rouge!A$1","B2ab(iii)")</f>
        <v>B2ab(iii)</v>
      </c>
      <c r="X21201" s="5" t="s">
        <v>374</v>
      </c>
      <c r="AB21201" s="4" t="s">
        <v>93</v>
      </c>
      <c r="AH21201" s="4" t="str">
        <f>HYPERLINK("#Statut_biogéographique!A"&amp;_xlfn.XMATCH("P",Statut_biogéographique!A:A,2,1),"P")</f>
        <v>P</v>
      </c>
      <c r="AM21201" s="4" t="s">
        <v>375</v>
      </c>
      <c r="AN21201" s="4" t="s">
        <v>375</v>
      </c>
      <c r="AO21201" s="4" t="s">
        <v>375</v>
      </c>
      <c r="AP21201" s="4" t="s">
        <v>376</v>
      </c>
      <c r="AR21201" s="4" t="s">
        <v>377</v>
      </c>
    </row>
    <row r="21202" spans="1:44" ht="30">
      <c r="A21202" s="4" t="s">
        <v>24364</v>
      </c>
      <c r="B21202" s="4">
        <v>122329</v>
      </c>
      <c r="D21202" s="5" t="s">
        <v>27294</v>
      </c>
      <c r="E21202" s="6" t="str">
        <f>HYPERLINK("https://inpn.mnhn.fr/espece/cd_nom/122329","Selinum carvifolia (L.) L., 1762")</f>
        <v>Selinum carvifolia (L.) L., 1762</v>
      </c>
      <c r="F21202" s="5" t="s">
        <v>27295</v>
      </c>
      <c r="Q21202" s="7" t="str">
        <f>HYPERLINK("#Liste_rouge!A"&amp;_xlfn.XMATCH("LC",Liste_rouge!A:A,2,1),"LC")</f>
        <v>LC</v>
      </c>
      <c r="T21202" s="7" t="str">
        <f>HYPERLINK("#Liste_rouge!A"&amp;_xlfn.XMATCH("NT",Liste_rouge!A:A,2,1),"NT")</f>
        <v>NT</v>
      </c>
      <c r="U21202" s="4" t="str">
        <f>HYPERLINK("#Critères_liste_rouge!A$1","pr. B2a")</f>
        <v>pr. B2a</v>
      </c>
      <c r="V21202" s="7" t="str">
        <f>HYPERLINK("#Liste_rouge!A"&amp;_xlfn.XMATCH("NT",Liste_rouge!A:A,2,1),"NT")</f>
        <v>NT</v>
      </c>
      <c r="W21202" s="4" t="str">
        <f>HYPERLINK("#Critères_liste_rouge!A$1","pr. A3c B2b(iii)")</f>
        <v>pr. A3c B2b(iii)</v>
      </c>
      <c r="AB21202" s="4" t="s">
        <v>25854</v>
      </c>
      <c r="AH21202" s="4" t="str">
        <f>HYPERLINK("#Statut_biogéographique!A"&amp;_xlfn.XMATCH("P",Statut_biogéographique!A:A,2,1),"P")</f>
        <v>P</v>
      </c>
      <c r="AM21202" s="4" t="s">
        <v>375</v>
      </c>
      <c r="AN21202" s="4" t="s">
        <v>375</v>
      </c>
      <c r="AO21202" s="4" t="s">
        <v>375</v>
      </c>
      <c r="AP21202" s="4" t="s">
        <v>376</v>
      </c>
      <c r="AR21202" s="4" t="s">
        <v>377</v>
      </c>
    </row>
    <row r="21203" spans="1:44" ht="60">
      <c r="A21203" s="4" t="s">
        <v>24364</v>
      </c>
      <c r="B21203" s="4">
        <v>122419</v>
      </c>
      <c r="D21203" s="5" t="s">
        <v>27296</v>
      </c>
      <c r="E21203" s="6" t="str">
        <f>HYPERLINK("https://inpn.mnhn.fr/espece/cd_nom/122419","Sempervivum arachnoideum L., 1753")</f>
        <v>Sempervivum arachnoideum L., 1753</v>
      </c>
      <c r="F21203" s="5" t="s">
        <v>27297</v>
      </c>
      <c r="Q21203" s="7" t="str">
        <f>HYPERLINK("#Liste_rouge!A"&amp;_xlfn.XMATCH("LC",Liste_rouge!A:A,2,1),"LC")</f>
        <v>LC</v>
      </c>
      <c r="T21203" s="7" t="str">
        <f>HYPERLINK("#Liste_rouge!A"&amp;_xlfn.XMATCH("NE",Liste_rouge!A:A,2,1),"NE")</f>
        <v>NE</v>
      </c>
      <c r="AH21203" s="4" t="str">
        <f>HYPERLINK("#Statut_biogéographique!A"&amp;_xlfn.XMATCH("P",Statut_biogéographique!A:A,2,1),"P")</f>
        <v>P</v>
      </c>
      <c r="AP21203" s="4" t="s">
        <v>376</v>
      </c>
      <c r="AR21203" s="4" t="s">
        <v>377</v>
      </c>
    </row>
    <row r="21204" spans="1:44" ht="30">
      <c r="A21204" s="4" t="s">
        <v>24364</v>
      </c>
      <c r="B21204" s="4">
        <v>122467</v>
      </c>
      <c r="D21204" s="5" t="s">
        <v>27298</v>
      </c>
      <c r="E21204" s="6" t="str">
        <f>HYPERLINK("https://inpn.mnhn.fr/espece/cd_nom/122467","Sempervivum montanum L., 1753")</f>
        <v>Sempervivum montanum L., 1753</v>
      </c>
      <c r="F21204" s="5" t="s">
        <v>27299</v>
      </c>
      <c r="Q21204" s="7" t="str">
        <f>HYPERLINK("#Liste_rouge!A"&amp;_xlfn.XMATCH("LC",Liste_rouge!A:A,2,1),"LC")</f>
        <v>LC</v>
      </c>
      <c r="T21204" s="7" t="str">
        <f>HYPERLINK("#Liste_rouge!A"&amp;_xlfn.XMATCH("NA",Liste_rouge!A:A,2,1),"NA")</f>
        <v>NA</v>
      </c>
      <c r="AH21204" s="4" t="str">
        <f>HYPERLINK("#Statut_biogéographique!A"&amp;_xlfn.XMATCH("P",Statut_biogéographique!A:A,2,1),"P")</f>
        <v>P</v>
      </c>
      <c r="AP21204" s="4" t="s">
        <v>376</v>
      </c>
      <c r="AR21204" s="4" t="s">
        <v>377</v>
      </c>
    </row>
    <row r="21205" spans="1:44">
      <c r="A21205" s="4" t="s">
        <v>24364</v>
      </c>
      <c r="B21205" s="4">
        <v>122493</v>
      </c>
      <c r="D21205" s="5" t="s">
        <v>27300</v>
      </c>
      <c r="E21205" s="6" t="str">
        <f>HYPERLINK("https://inpn.mnhn.fr/espece/cd_nom/122493","Sempervivum tectorum L., 1753")</f>
        <v>Sempervivum tectorum L., 1753</v>
      </c>
      <c r="F21205" s="5" t="s">
        <v>27301</v>
      </c>
      <c r="P21205" s="7" t="str">
        <f>HYPERLINK("#Liste_rouge!A"&amp;_xlfn.XMATCH("LC",Liste_rouge!A:A,2,1),"LC")</f>
        <v>LC</v>
      </c>
      <c r="Q21205" s="7" t="str">
        <f>HYPERLINK("#Liste_rouge!A"&amp;_xlfn.XMATCH("LC",Liste_rouge!A:A,2,1),"LC")</f>
        <v>LC</v>
      </c>
      <c r="T21205" s="7" t="str">
        <f>HYPERLINK("#Liste_rouge!A"&amp;_xlfn.XMATCH("NA",Liste_rouge!A:A,2,1),"NA")</f>
        <v>NA</v>
      </c>
      <c r="V21205" s="7" t="str">
        <f>HYPERLINK("#Liste_rouge!A"&amp;_xlfn.XMATCH("DD",Liste_rouge!A:A,2,1),"DD")</f>
        <v>DD</v>
      </c>
      <c r="AH21205" s="4" t="str">
        <f>HYPERLINK("#Statut_biogéographique!A"&amp;_xlfn.XMATCH("P",Statut_biogéographique!A:A,2,1),"P")</f>
        <v>P</v>
      </c>
      <c r="AM21205" s="4" t="s">
        <v>375</v>
      </c>
      <c r="AN21205" s="4" t="s">
        <v>375</v>
      </c>
      <c r="AO21205" s="4" t="s">
        <v>375</v>
      </c>
      <c r="AP21205" s="4" t="s">
        <v>376</v>
      </c>
      <c r="AR21205" s="4" t="s">
        <v>377</v>
      </c>
    </row>
    <row r="21206" spans="1:44" ht="30">
      <c r="A21206" s="4" t="s">
        <v>24364</v>
      </c>
      <c r="B21206" s="4">
        <v>122563</v>
      </c>
      <c r="D21206" s="5" t="s">
        <v>27302</v>
      </c>
      <c r="E21206" s="6" t="str">
        <f>HYPERLINK("https://inpn.mnhn.fr/espece/cd_nom/122563","Senecio cacaliaster Lam., 1779")</f>
        <v>Senecio cacaliaster Lam., 1779</v>
      </c>
      <c r="F21206" s="5" t="s">
        <v>27303</v>
      </c>
      <c r="Q21206" s="7" t="str">
        <f>HYPERLINK("#Liste_rouge!A"&amp;_xlfn.XMATCH("LC",Liste_rouge!A:A,2,1),"LC")</f>
        <v>LC</v>
      </c>
      <c r="AH21206" s="4" t="str">
        <f>HYPERLINK("#Statut_biogéographique!A"&amp;_xlfn.XMATCH("P",Statut_biogéographique!A:A,2,1),"P")</f>
        <v>P</v>
      </c>
      <c r="AP21206" s="4" t="s">
        <v>376</v>
      </c>
      <c r="AR21206" s="4" t="s">
        <v>377</v>
      </c>
    </row>
    <row r="21207" spans="1:44" ht="45">
      <c r="A21207" s="4" t="s">
        <v>24364</v>
      </c>
      <c r="B21207" s="4">
        <v>122592</v>
      </c>
      <c r="D21207" s="5" t="s">
        <v>27304</v>
      </c>
      <c r="E21207" s="6" t="str">
        <f>HYPERLINK("https://inpn.mnhn.fr/espece/cd_nom/122592","Senecio doria L., 1759 [nom. et typ. cons.]")</f>
        <v>Senecio doria L., 1759 [nom. et typ. cons.]</v>
      </c>
      <c r="F21207" s="5" t="s">
        <v>27305</v>
      </c>
      <c r="Q21207" s="7" t="str">
        <f>HYPERLINK("#Liste_rouge!A"&amp;_xlfn.XMATCH("LC",Liste_rouge!A:A,2,1),"LC")</f>
        <v>LC</v>
      </c>
      <c r="T21207" s="7" t="str">
        <f>HYPERLINK("#Liste_rouge!A"&amp;_xlfn.XMATCH("NA",Liste_rouge!A:A,2,1),"NA")</f>
        <v>NA</v>
      </c>
      <c r="AH21207" s="4" t="str">
        <f>HYPERLINK("#Statut_biogéographique!A"&amp;_xlfn.XMATCH("P",Statut_biogéographique!A:A,2,1),"P")</f>
        <v>P</v>
      </c>
      <c r="AP21207" s="4" t="s">
        <v>376</v>
      </c>
      <c r="AR21207" s="4" t="s">
        <v>377</v>
      </c>
    </row>
    <row r="21208" spans="1:44" ht="60">
      <c r="A21208" s="4" t="s">
        <v>24364</v>
      </c>
      <c r="B21208" s="4">
        <v>122593</v>
      </c>
      <c r="D21208" s="5" t="s">
        <v>27306</v>
      </c>
      <c r="E21208" s="6" t="str">
        <f>HYPERLINK("https://inpn.mnhn.fr/espece/cd_nom/122593","Senecio doronicum (L.) L., 1759")</f>
        <v>Senecio doronicum (L.) L., 1759</v>
      </c>
      <c r="F21208" s="5" t="s">
        <v>27307</v>
      </c>
      <c r="Q21208" s="7" t="str">
        <f>HYPERLINK("#Liste_rouge!A"&amp;_xlfn.XMATCH("LC",Liste_rouge!A:A,2,1),"LC")</f>
        <v>LC</v>
      </c>
      <c r="V21208" s="7" t="str">
        <f>HYPERLINK("#Liste_rouge!A"&amp;_xlfn.XMATCH("EN",Liste_rouge!A:A,2,1),"EN")</f>
        <v>EN</v>
      </c>
      <c r="W21208" s="4" t="str">
        <f>HYPERLINK("#Critères_liste_rouge!A$1","D")</f>
        <v>D</v>
      </c>
      <c r="X21208" s="5" t="s">
        <v>374</v>
      </c>
      <c r="AB21208" s="4" t="s">
        <v>93</v>
      </c>
      <c r="AH21208" s="4" t="str">
        <f>HYPERLINK("#Statut_biogéographique!A"&amp;_xlfn.XMATCH("P",Statut_biogéographique!A:A,2,1),"P")</f>
        <v>P</v>
      </c>
      <c r="AM21208" s="4" t="s">
        <v>375</v>
      </c>
      <c r="AN21208" s="4" t="s">
        <v>375</v>
      </c>
      <c r="AO21208" s="4" t="s">
        <v>375</v>
      </c>
      <c r="AP21208" s="4" t="s">
        <v>376</v>
      </c>
      <c r="AR21208" s="4" t="s">
        <v>377</v>
      </c>
    </row>
    <row r="21209" spans="1:44" ht="45">
      <c r="A21209" s="4" t="s">
        <v>24364</v>
      </c>
      <c r="B21209" s="4">
        <v>122625</v>
      </c>
      <c r="D21209" s="5" t="s">
        <v>27308</v>
      </c>
      <c r="E21209" s="6" t="str">
        <f>HYPERLINK("https://inpn.mnhn.fr/espece/cd_nom/122625","Senecio hercynicus Herborg, 1987")</f>
        <v>Senecio hercynicus Herborg, 1987</v>
      </c>
      <c r="F21209" s="5" t="s">
        <v>27309</v>
      </c>
      <c r="Q21209" s="7" t="str">
        <f>HYPERLINK("#Liste_rouge!A"&amp;_xlfn.XMATCH("LC",Liste_rouge!A:A,2,1),"LC")</f>
        <v>LC</v>
      </c>
      <c r="V21209" s="7" t="str">
        <f>HYPERLINK("#Liste_rouge!A"&amp;_xlfn.XMATCH("LC",Liste_rouge!A:A,2,1),"LC")</f>
        <v>LC</v>
      </c>
      <c r="AB21209" s="4" t="s">
        <v>24447</v>
      </c>
      <c r="AH21209" s="4" t="str">
        <f>HYPERLINK("#Statut_biogéographique!A"&amp;_xlfn.XMATCH("P",Statut_biogéographique!A:A,2,1),"P")</f>
        <v>P</v>
      </c>
      <c r="AM21209" s="4" t="s">
        <v>375</v>
      </c>
      <c r="AN21209" s="4" t="s">
        <v>375</v>
      </c>
      <c r="AO21209" s="4" t="s">
        <v>375</v>
      </c>
      <c r="AP21209" s="4" t="s">
        <v>376</v>
      </c>
      <c r="AR21209" s="4" t="s">
        <v>377</v>
      </c>
    </row>
    <row r="21210" spans="1:44" ht="45">
      <c r="A21210" s="4" t="s">
        <v>24364</v>
      </c>
      <c r="B21210" s="4">
        <v>122630</v>
      </c>
      <c r="D21210" s="5" t="s">
        <v>27310</v>
      </c>
      <c r="E21210" s="6" t="str">
        <f>HYPERLINK("https://inpn.mnhn.fr/espece/cd_nom/122630","Senecio inaequidens DC., 1838")</f>
        <v>Senecio inaequidens DC., 1838</v>
      </c>
      <c r="F21210" s="5" t="s">
        <v>27311</v>
      </c>
      <c r="Q21210" s="7" t="str">
        <f>HYPERLINK("#Liste_rouge!A"&amp;_xlfn.XMATCH("NA",Liste_rouge!A:A,2,1),"NA")</f>
        <v>NA</v>
      </c>
      <c r="T21210" s="7" t="str">
        <f>HYPERLINK("#Liste_rouge!A"&amp;_xlfn.XMATCH("NA",Liste_rouge!A:A,2,1),"NA")</f>
        <v>NA</v>
      </c>
      <c r="AH21210" s="4" t="str">
        <f>HYPERLINK("#Statut_biogéographique!A"&amp;_xlfn.XMATCH("J",Statut_biogéographique!A:A,2,1),"J")</f>
        <v>J</v>
      </c>
      <c r="AM21210" s="4" t="s">
        <v>375</v>
      </c>
      <c r="AN21210" s="4" t="s">
        <v>375</v>
      </c>
      <c r="AO21210" s="4" t="s">
        <v>375</v>
      </c>
      <c r="AP21210" s="4" t="s">
        <v>376</v>
      </c>
      <c r="AR21210" s="4" t="s">
        <v>377</v>
      </c>
    </row>
    <row r="21211" spans="1:44" ht="45">
      <c r="A21211" s="4" t="s">
        <v>24364</v>
      </c>
      <c r="B21211" s="4">
        <v>122656</v>
      </c>
      <c r="D21211" s="5" t="s">
        <v>27312</v>
      </c>
      <c r="E21211" s="6" t="str">
        <f>HYPERLINK("https://inpn.mnhn.fr/espece/cd_nom/122656","Senecio lividus L., 1753")</f>
        <v>Senecio lividus L., 1753</v>
      </c>
      <c r="F21211" s="5" t="s">
        <v>27313</v>
      </c>
      <c r="Q21211" s="7" t="str">
        <f>HYPERLINK("#Liste_rouge!A"&amp;_xlfn.XMATCH("LC",Liste_rouge!A:A,2,1),"LC")</f>
        <v>LC</v>
      </c>
      <c r="AH21211" s="4" t="str">
        <f>HYPERLINK("#Statut_biogéographique!A"&amp;_xlfn.XMATCH("P",Statut_biogéographique!A:A,2,1),"P")</f>
        <v>P</v>
      </c>
      <c r="AP21211" s="4" t="s">
        <v>376</v>
      </c>
      <c r="AR21211" s="4" t="s">
        <v>377</v>
      </c>
    </row>
    <row r="21212" spans="1:44" ht="60">
      <c r="A21212" s="4" t="s">
        <v>24364</v>
      </c>
      <c r="B21212" s="4">
        <v>122675</v>
      </c>
      <c r="D21212" s="5" t="s">
        <v>27314</v>
      </c>
      <c r="E21212" s="6" t="str">
        <f>HYPERLINK("https://inpn.mnhn.fr/espece/cd_nom/122675","Senecio ovatus (G.Gaertn., B.Mey. &amp; Scherb.) Willd., 1803")</f>
        <v>Senecio ovatus (G.Gaertn., B.Mey. &amp; Scherb.) Willd., 1803</v>
      </c>
      <c r="F21212" s="5" t="s">
        <v>27315</v>
      </c>
      <c r="Q21212" s="7" t="str">
        <f>HYPERLINK("#Liste_rouge!A"&amp;_xlfn.XMATCH("LC",Liste_rouge!A:A,2,1),"LC")</f>
        <v>LC</v>
      </c>
      <c r="T21212" s="7" t="str">
        <f>HYPERLINK("#Liste_rouge!A"&amp;_xlfn.XMATCH("LC",Liste_rouge!A:A,2,1),"LC")</f>
        <v>LC</v>
      </c>
      <c r="V21212" s="7" t="str">
        <f>HYPERLINK("#Liste_rouge!A"&amp;_xlfn.XMATCH("LC",Liste_rouge!A:A,2,1),"LC")</f>
        <v>LC</v>
      </c>
      <c r="AH21212" s="4" t="str">
        <f>HYPERLINK("#Statut_biogéographique!A"&amp;_xlfn.XMATCH("P",Statut_biogéographique!A:A,2,1),"P")</f>
        <v>P</v>
      </c>
      <c r="AM21212" s="4" t="s">
        <v>375</v>
      </c>
      <c r="AN21212" s="4" t="s">
        <v>375</v>
      </c>
      <c r="AO21212" s="4" t="s">
        <v>375</v>
      </c>
      <c r="AP21212" s="4" t="s">
        <v>376</v>
      </c>
      <c r="AR21212" s="4" t="s">
        <v>377</v>
      </c>
    </row>
    <row r="21213" spans="1:44" ht="30">
      <c r="A21213" s="4" t="s">
        <v>24364</v>
      </c>
      <c r="B21213" s="4">
        <v>122726</v>
      </c>
      <c r="D21213" s="5" t="s">
        <v>27316</v>
      </c>
      <c r="E21213" s="6" t="str">
        <f>HYPERLINK("https://inpn.mnhn.fr/espece/cd_nom/122726","Senecio sylvaticus L., 1753")</f>
        <v>Senecio sylvaticus L., 1753</v>
      </c>
      <c r="F21213" s="5" t="s">
        <v>27317</v>
      </c>
      <c r="Q21213" s="7" t="str">
        <f>HYPERLINK("#Liste_rouge!A"&amp;_xlfn.XMATCH("LC",Liste_rouge!A:A,2,1),"LC")</f>
        <v>LC</v>
      </c>
      <c r="T21213" s="7" t="str">
        <f>HYPERLINK("#Liste_rouge!A"&amp;_xlfn.XMATCH("LC",Liste_rouge!A:A,2,1),"LC")</f>
        <v>LC</v>
      </c>
      <c r="V21213" s="7" t="str">
        <f>HYPERLINK("#Liste_rouge!A"&amp;_xlfn.XMATCH("LC",Liste_rouge!A:A,2,1),"LC")</f>
        <v>LC</v>
      </c>
      <c r="AB21213" s="4" t="s">
        <v>25106</v>
      </c>
      <c r="AH21213" s="4" t="str">
        <f>HYPERLINK("#Statut_biogéographique!A"&amp;_xlfn.XMATCH("P",Statut_biogéographique!A:A,2,1),"P")</f>
        <v>P</v>
      </c>
      <c r="AM21213" s="4" t="s">
        <v>375</v>
      </c>
      <c r="AN21213" s="4" t="s">
        <v>375</v>
      </c>
      <c r="AO21213" s="4" t="s">
        <v>375</v>
      </c>
      <c r="AP21213" s="4" t="s">
        <v>376</v>
      </c>
      <c r="AR21213" s="4" t="s">
        <v>377</v>
      </c>
    </row>
    <row r="21214" spans="1:44" ht="30">
      <c r="A21214" s="4" t="s">
        <v>24364</v>
      </c>
      <c r="B21214" s="4">
        <v>122740</v>
      </c>
      <c r="D21214" s="5" t="s">
        <v>27318</v>
      </c>
      <c r="E21214" s="6" t="str">
        <f>HYPERLINK("https://inpn.mnhn.fr/espece/cd_nom/122740","Senecio vernalis Waldst. &amp; Kit., 1802")</f>
        <v>Senecio vernalis Waldst. &amp; Kit., 1802</v>
      </c>
      <c r="F21214" s="5" t="s">
        <v>27319</v>
      </c>
      <c r="Q21214" s="7" t="str">
        <f>HYPERLINK("#Liste_rouge!A"&amp;_xlfn.XMATCH("NA",Liste_rouge!A:A,2,1),"NA")</f>
        <v>NA</v>
      </c>
      <c r="T21214" s="7" t="str">
        <f>HYPERLINK("#Liste_rouge!A"&amp;_xlfn.XMATCH("NA",Liste_rouge!A:A,2,1),"NA")</f>
        <v>NA</v>
      </c>
      <c r="AH21214" s="4" t="str">
        <f>HYPERLINK("#Statut_biogéographique!A"&amp;_xlfn.XMATCH("I",Statut_biogéographique!A:A,2,1),"I")</f>
        <v>I</v>
      </c>
      <c r="AP21214" s="4" t="s">
        <v>376</v>
      </c>
      <c r="AR21214" s="4" t="s">
        <v>377</v>
      </c>
    </row>
    <row r="21215" spans="1:44" ht="30">
      <c r="A21215" s="4" t="s">
        <v>24364</v>
      </c>
      <c r="B21215" s="4">
        <v>122744</v>
      </c>
      <c r="D21215" s="5" t="s">
        <v>27320</v>
      </c>
      <c r="E21215" s="6" t="str">
        <f>HYPERLINK("https://inpn.mnhn.fr/espece/cd_nom/122744","Senecio viscosus L., 1753")</f>
        <v>Senecio viscosus L., 1753</v>
      </c>
      <c r="F21215" s="5" t="s">
        <v>27321</v>
      </c>
      <c r="Q21215" s="7" t="str">
        <f>HYPERLINK("#Liste_rouge!A"&amp;_xlfn.XMATCH("LC",Liste_rouge!A:A,2,1),"LC")</f>
        <v>LC</v>
      </c>
      <c r="T21215" s="7" t="str">
        <f>HYPERLINK("#Liste_rouge!A"&amp;_xlfn.XMATCH("LC",Liste_rouge!A:A,2,1),"LC")</f>
        <v>LC</v>
      </c>
      <c r="V21215" s="7" t="str">
        <f>HYPERLINK("#Liste_rouge!A"&amp;_xlfn.XMATCH("LC",Liste_rouge!A:A,2,1),"LC")</f>
        <v>LC</v>
      </c>
      <c r="AH21215" s="4" t="str">
        <f>HYPERLINK("#Statut_biogéographique!A"&amp;_xlfn.XMATCH("P",Statut_biogéographique!A:A,2,1),"P")</f>
        <v>P</v>
      </c>
      <c r="AM21215" s="4" t="s">
        <v>375</v>
      </c>
      <c r="AN21215" s="4" t="s">
        <v>375</v>
      </c>
      <c r="AO21215" s="4" t="s">
        <v>375</v>
      </c>
      <c r="AP21215" s="4" t="s">
        <v>376</v>
      </c>
      <c r="AR21215" s="4" t="s">
        <v>377</v>
      </c>
    </row>
    <row r="21216" spans="1:44">
      <c r="A21216" s="4" t="s">
        <v>24364</v>
      </c>
      <c r="B21216" s="4">
        <v>122745</v>
      </c>
      <c r="D21216" s="5">
        <v>122745</v>
      </c>
      <c r="E21216" s="6" t="str">
        <f>HYPERLINK("https://inpn.mnhn.fr/espece/cd_nom/122745","Senecio vulgaris L., 1753")</f>
        <v>Senecio vulgaris L., 1753</v>
      </c>
      <c r="F21216" s="5" t="s">
        <v>27322</v>
      </c>
      <c r="Q21216" s="7" t="str">
        <f>HYPERLINK("#Liste_rouge!A"&amp;_xlfn.XMATCH("LC",Liste_rouge!A:A,2,1),"LC")</f>
        <v>LC</v>
      </c>
      <c r="T21216" s="7" t="str">
        <f>HYPERLINK("#Liste_rouge!A"&amp;_xlfn.XMATCH("LC",Liste_rouge!A:A,2,1),"LC")</f>
        <v>LC</v>
      </c>
      <c r="V21216" s="7" t="str">
        <f>HYPERLINK("#Liste_rouge!A"&amp;_xlfn.XMATCH("LC",Liste_rouge!A:A,2,1),"LC")</f>
        <v>LC</v>
      </c>
      <c r="AH21216" s="4" t="str">
        <f>HYPERLINK("#Statut_biogéographique!A"&amp;_xlfn.XMATCH("P",Statut_biogéographique!A:A,2,1),"P")</f>
        <v>P</v>
      </c>
      <c r="AM21216" s="4" t="s">
        <v>375</v>
      </c>
      <c r="AN21216" s="4" t="s">
        <v>375</v>
      </c>
      <c r="AO21216" s="4" t="s">
        <v>375</v>
      </c>
      <c r="AP21216" s="4" t="s">
        <v>376</v>
      </c>
      <c r="AR21216" s="4" t="s">
        <v>377</v>
      </c>
    </row>
    <row r="21217" spans="1:44" ht="30">
      <c r="A21217" s="4" t="s">
        <v>24364</v>
      </c>
      <c r="B21217" s="4">
        <v>122785</v>
      </c>
      <c r="D21217" s="5" t="s">
        <v>27323</v>
      </c>
      <c r="E21217" s="6" t="str">
        <f>HYPERLINK("https://inpn.mnhn.fr/espece/cd_nom/122785","Sequoia sempervirens (D.Don) Endl., 1847")</f>
        <v>Sequoia sempervirens (D.Don) Endl., 1847</v>
      </c>
      <c r="F21217" s="5" t="s">
        <v>27324</v>
      </c>
      <c r="O21217" s="7" t="str">
        <f>HYPERLINK("#Liste_rouge!A"&amp;_xlfn.XMATCH("EN",Liste_rouge!A:A,2,1),"EN")</f>
        <v>EN</v>
      </c>
      <c r="Q21217" s="7" t="str">
        <f>HYPERLINK("#Liste_rouge!A"&amp;_xlfn.XMATCH("NA",Liste_rouge!A:A,2,1),"NA")</f>
        <v>NA</v>
      </c>
      <c r="T21217" s="7" t="str">
        <f>HYPERLINK("#Liste_rouge!A"&amp;_xlfn.XMATCH("NA",Liste_rouge!A:A,2,1),"NA")</f>
        <v>NA</v>
      </c>
      <c r="AH21217" s="4" t="str">
        <f>HYPERLINK("#Statut_biogéographique!A"&amp;_xlfn.XMATCH("M",Statut_biogéographique!A:A,2,1),"M")</f>
        <v>M</v>
      </c>
      <c r="AP21217" s="4" t="s">
        <v>376</v>
      </c>
      <c r="AR21217" s="4" t="s">
        <v>377</v>
      </c>
    </row>
    <row r="21218" spans="1:44" ht="30">
      <c r="A21218" s="4" t="s">
        <v>24364</v>
      </c>
      <c r="B21218" s="4">
        <v>122788</v>
      </c>
      <c r="D21218" s="5" t="s">
        <v>27325</v>
      </c>
      <c r="E21218" s="6" t="str">
        <f>HYPERLINK("https://inpn.mnhn.fr/espece/cd_nom/122788","Sequoiadendron giganteum (Lindl.) J.Buchholz, 1939")</f>
        <v>Sequoiadendron giganteum (Lindl.) J.Buchholz, 1939</v>
      </c>
      <c r="F21218" s="5" t="s">
        <v>27326</v>
      </c>
      <c r="O21218" s="7" t="str">
        <f>HYPERLINK("#Liste_rouge!A"&amp;_xlfn.XMATCH("EN",Liste_rouge!A:A,2,1),"EN")</f>
        <v>EN</v>
      </c>
      <c r="Q21218" s="7" t="str">
        <f>HYPERLINK("#Liste_rouge!A"&amp;_xlfn.XMATCH("NA",Liste_rouge!A:A,2,1),"NA")</f>
        <v>NA</v>
      </c>
      <c r="T21218" s="7" t="str">
        <f>HYPERLINK("#Liste_rouge!A"&amp;_xlfn.XMATCH("NA",Liste_rouge!A:A,2,1),"NA")</f>
        <v>NA</v>
      </c>
      <c r="AH21218" s="4" t="str">
        <f>HYPERLINK("#Statut_biogéographique!A"&amp;_xlfn.XMATCH("M",Statut_biogéographique!A:A,2,1),"M")</f>
        <v>M</v>
      </c>
      <c r="AP21218" s="4" t="s">
        <v>376</v>
      </c>
      <c r="AR21218" s="4" t="s">
        <v>377</v>
      </c>
    </row>
    <row r="21219" spans="1:44" ht="45">
      <c r="A21219" s="4" t="s">
        <v>24364</v>
      </c>
      <c r="B21219" s="4">
        <v>122810</v>
      </c>
      <c r="D21219" s="5" t="s">
        <v>27327</v>
      </c>
      <c r="E21219" s="6" t="str">
        <f>HYPERLINK("https://inpn.mnhn.fr/espece/cd_nom/122810","Serapias lingua L., 1753")</f>
        <v>Serapias lingua L., 1753</v>
      </c>
      <c r="F21219" s="5" t="s">
        <v>27328</v>
      </c>
      <c r="G21219" s="4" t="str">
        <f>HYPERLINK("[#Réglementation!A"&amp;_xlfn.XMATCH("CCB",Réglementation!A:A,2,1),"CCB")</f>
        <v>CCB</v>
      </c>
      <c r="P21219" s="7" t="str">
        <f>HYPERLINK("#Liste_rouge!A"&amp;_xlfn.XMATCH("LC",Liste_rouge!A:A,2,1),"LC")</f>
        <v>LC</v>
      </c>
      <c r="Q21219" s="7" t="str">
        <f>HYPERLINK("#Liste_rouge!A"&amp;_xlfn.XMATCH("LC",Liste_rouge!A:A,2,1),"LC")</f>
        <v>LC</v>
      </c>
      <c r="T21219" s="7" t="str">
        <f>HYPERLINK("#Liste_rouge!A"&amp;_xlfn.XMATCH("NA",Liste_rouge!A:A,2,1),"NA")</f>
        <v>NA</v>
      </c>
      <c r="AH21219" s="4" t="str">
        <f>HYPERLINK("#Statut_biogéographique!A"&amp;_xlfn.XMATCH("P",Statut_biogéographique!A:A,2,1),"P")</f>
        <v>P</v>
      </c>
      <c r="AP21219" s="4" t="s">
        <v>376</v>
      </c>
      <c r="AR21219" s="4" t="s">
        <v>377</v>
      </c>
    </row>
    <row r="21220" spans="1:44" ht="75">
      <c r="A21220" s="4" t="s">
        <v>24364</v>
      </c>
      <c r="B21220" s="4">
        <v>122971</v>
      </c>
      <c r="D21220" s="5" t="s">
        <v>27329</v>
      </c>
      <c r="E21220" s="6" t="str">
        <f>HYPERLINK("https://inpn.mnhn.fr/espece/cd_nom/122971","Serratula tinctoria L., 1753")</f>
        <v>Serratula tinctoria L., 1753</v>
      </c>
      <c r="F21220" s="5" t="s">
        <v>27330</v>
      </c>
      <c r="Q21220" s="7" t="str">
        <f>HYPERLINK("#Liste_rouge!A"&amp;_xlfn.XMATCH("LC",Liste_rouge!A:A,2,1),"LC")</f>
        <v>LC</v>
      </c>
      <c r="T21220" s="7" t="str">
        <f>HYPERLINK("#Liste_rouge!A"&amp;_xlfn.XMATCH("LC",Liste_rouge!A:A,2,1),"LC")</f>
        <v>LC</v>
      </c>
      <c r="V21220" s="7" t="str">
        <f>HYPERLINK("#Liste_rouge!A"&amp;_xlfn.XMATCH("NT",Liste_rouge!A:A,2,1),"NT")</f>
        <v>NT</v>
      </c>
      <c r="W21220" s="4" t="str">
        <f>HYPERLINK("#Critères_liste_rouge!A$1","pr. B2b(iii)")</f>
        <v>pr. B2b(iii)</v>
      </c>
      <c r="AB21220" s="4" t="s">
        <v>24486</v>
      </c>
      <c r="AH21220" s="4" t="str">
        <f>HYPERLINK("#Statut_biogéographique!A"&amp;_xlfn.XMATCH("P",Statut_biogéographique!A:A,2,1),"P")</f>
        <v>P</v>
      </c>
      <c r="AM21220" s="4" t="s">
        <v>375</v>
      </c>
      <c r="AN21220" s="4" t="s">
        <v>375</v>
      </c>
      <c r="AO21220" s="4" t="s">
        <v>375</v>
      </c>
      <c r="AP21220" s="4" t="s">
        <v>376</v>
      </c>
      <c r="AR21220" s="4" t="s">
        <v>377</v>
      </c>
    </row>
    <row r="21221" spans="1:44" ht="45">
      <c r="A21221" s="4" t="s">
        <v>24364</v>
      </c>
      <c r="B21221" s="4">
        <v>122988</v>
      </c>
      <c r="D21221" s="5" t="s">
        <v>27331</v>
      </c>
      <c r="E21221" s="6" t="str">
        <f>HYPERLINK("https://inpn.mnhn.fr/espece/cd_nom/122988","Sesamoides purpurascens (L.) G.López, 1986")</f>
        <v>Sesamoides purpurascens (L.) G.López, 1986</v>
      </c>
      <c r="F21221" s="5" t="s">
        <v>27332</v>
      </c>
      <c r="M21221" s="4" t="str">
        <f>HYPERLINK("#Réglementation!A"&amp;_xlfn.XMATCH("RV26",Réglementation!A:A,2,1),"RV26")</f>
        <v>RV26</v>
      </c>
      <c r="Q21221" s="7" t="str">
        <f>HYPERLINK("#Liste_rouge!A"&amp;_xlfn.XMATCH("LC",Liste_rouge!A:A,2,1),"LC")</f>
        <v>LC</v>
      </c>
      <c r="T21221" s="7" t="str">
        <f>HYPERLINK("#Liste_rouge!A"&amp;_xlfn.XMATCH("DD",Liste_rouge!A:A,2,1),"DD (cd_nom 141029) - EN (cd_nom 122988)")</f>
        <v>DD (cd_nom 141029) - EN (cd_nom 122988)</v>
      </c>
      <c r="X21221" s="5" t="s">
        <v>374</v>
      </c>
      <c r="AB21221" s="4" t="s">
        <v>93</v>
      </c>
      <c r="AH21221" s="4" t="str">
        <f>HYPERLINK("#Statut_biogéographique!A"&amp;_xlfn.XMATCH("P",Statut_biogéographique!A:A,2,1),"P")</f>
        <v>P</v>
      </c>
      <c r="AM21221" s="4" t="s">
        <v>375</v>
      </c>
      <c r="AN21221" s="4" t="s">
        <v>375</v>
      </c>
      <c r="AO21221" s="4" t="s">
        <v>375</v>
      </c>
      <c r="AP21221" s="4" t="s">
        <v>376</v>
      </c>
      <c r="AR21221" s="4" t="s">
        <v>377</v>
      </c>
    </row>
    <row r="21222" spans="1:44" ht="45">
      <c r="A21222" s="4" t="s">
        <v>24364</v>
      </c>
      <c r="B21222" s="4">
        <v>122998</v>
      </c>
      <c r="D21222" s="5" t="s">
        <v>27333</v>
      </c>
      <c r="E21222" s="6" t="str">
        <f>HYPERLINK("https://inpn.mnhn.fr/espece/cd_nom/122998","Seseli annuum L., 1753")</f>
        <v>Seseli annuum L., 1753</v>
      </c>
      <c r="F21222" s="5" t="s">
        <v>27334</v>
      </c>
      <c r="Q21222" s="7" t="str">
        <f>HYPERLINK("#Liste_rouge!A"&amp;_xlfn.XMATCH("LC",Liste_rouge!A:A,2,1),"LC")</f>
        <v>LC</v>
      </c>
      <c r="T21222" s="7" t="str">
        <f>HYPERLINK("#Liste_rouge!A"&amp;_xlfn.XMATCH("RE",Liste_rouge!A:A,2,1),"RE")</f>
        <v>RE</v>
      </c>
      <c r="V21222" s="7" t="str">
        <f>HYPERLINK("#Liste_rouge!A"&amp;_xlfn.XMATCH("NT",Liste_rouge!A:A,2,1),"NT")</f>
        <v>NT</v>
      </c>
      <c r="W21222" s="4" t="str">
        <f>HYPERLINK("#Critères_liste_rouge!A$1","pr. B2b(iii)")</f>
        <v>pr. B2b(iii)</v>
      </c>
      <c r="X21222" s="5" t="s">
        <v>374</v>
      </c>
      <c r="AB21222" s="4" t="s">
        <v>93</v>
      </c>
      <c r="AH21222" s="4" t="str">
        <f>HYPERLINK("#Statut_biogéographique!A"&amp;_xlfn.XMATCH("P",Statut_biogéographique!A:A,2,1),"P")</f>
        <v>P</v>
      </c>
      <c r="AM21222" s="4" t="s">
        <v>375</v>
      </c>
      <c r="AN21222" s="4" t="s">
        <v>375</v>
      </c>
      <c r="AO21222" s="4" t="s">
        <v>375</v>
      </c>
      <c r="AP21222" s="4" t="s">
        <v>376</v>
      </c>
      <c r="AR21222" s="4" t="s">
        <v>377</v>
      </c>
    </row>
    <row r="21223" spans="1:44" ht="75">
      <c r="A21223" s="4" t="s">
        <v>24364</v>
      </c>
      <c r="B21223" s="4">
        <v>123037</v>
      </c>
      <c r="D21223" s="5" t="s">
        <v>27335</v>
      </c>
      <c r="E21223" s="6" t="str">
        <f>HYPERLINK("https://inpn.mnhn.fr/espece/cd_nom/123037","Seseli montanum L., 1753")</f>
        <v>Seseli montanum L., 1753</v>
      </c>
      <c r="F21223" s="5" t="s">
        <v>27336</v>
      </c>
      <c r="Q21223" s="7" t="str">
        <f>HYPERLINK("#Liste_rouge!A"&amp;_xlfn.XMATCH("LC",Liste_rouge!A:A,2,1),"LC")</f>
        <v>LC</v>
      </c>
      <c r="T21223" s="7" t="str">
        <f>HYPERLINK("#Liste_rouge!A"&amp;_xlfn.XMATCH("LC",Liste_rouge!A:A,2,1),"LC")</f>
        <v>LC</v>
      </c>
      <c r="V21223" s="7" t="str">
        <f>HYPERLINK("#Liste_rouge!A"&amp;_xlfn.XMATCH("LC",Liste_rouge!A:A,2,1),"LC")</f>
        <v>LC</v>
      </c>
      <c r="AH21223" s="4" t="str">
        <f>HYPERLINK("#Statut_biogéographique!A"&amp;_xlfn.XMATCH("P",Statut_biogéographique!A:A,2,1),"P")</f>
        <v>P</v>
      </c>
      <c r="AM21223" s="4" t="s">
        <v>375</v>
      </c>
      <c r="AN21223" s="4" t="s">
        <v>375</v>
      </c>
      <c r="AO21223" s="4" t="s">
        <v>375</v>
      </c>
      <c r="AP21223" s="4" t="s">
        <v>376</v>
      </c>
      <c r="AR21223" s="4" t="s">
        <v>377</v>
      </c>
    </row>
    <row r="21224" spans="1:44" ht="75">
      <c r="A21224" s="4" t="s">
        <v>24364</v>
      </c>
      <c r="B21224" s="4">
        <v>123071</v>
      </c>
      <c r="D21224" s="5" t="s">
        <v>27337</v>
      </c>
      <c r="E21224" s="6" t="str">
        <f>HYPERLINK("https://inpn.mnhn.fr/espece/cd_nom/123071","Sesleria caerulea (L.) Ard., 1763")</f>
        <v>Sesleria caerulea (L.) Ard., 1763</v>
      </c>
      <c r="F21224" s="5" t="s">
        <v>27338</v>
      </c>
      <c r="Q21224" s="7" t="str">
        <f>HYPERLINK("#Liste_rouge!A"&amp;_xlfn.XMATCH("LC",Liste_rouge!A:A,2,1),"LC")</f>
        <v>LC</v>
      </c>
      <c r="T21224" s="7" t="str">
        <f>HYPERLINK("#Liste_rouge!A"&amp;_xlfn.XMATCH("LC",Liste_rouge!A:A,2,1),"LC")</f>
        <v>LC</v>
      </c>
      <c r="V21224" s="7" t="str">
        <f>HYPERLINK("#Liste_rouge!A"&amp;_xlfn.XMATCH("LC",Liste_rouge!A:A,2,1),"LC")</f>
        <v>LC</v>
      </c>
      <c r="AB21224" s="4" t="s">
        <v>24719</v>
      </c>
      <c r="AH21224" s="4" t="str">
        <f>HYPERLINK("#Statut_biogéographique!A"&amp;_xlfn.XMATCH("P",Statut_biogéographique!A:A,2,1),"P")</f>
        <v>P</v>
      </c>
      <c r="AM21224" s="4" t="s">
        <v>375</v>
      </c>
      <c r="AN21224" s="4" t="s">
        <v>375</v>
      </c>
      <c r="AO21224" s="4" t="s">
        <v>375</v>
      </c>
      <c r="AP21224" s="4" t="s">
        <v>376</v>
      </c>
      <c r="AR21224" s="4" t="s">
        <v>377</v>
      </c>
    </row>
    <row r="21225" spans="1:44" ht="150">
      <c r="A21225" s="4" t="s">
        <v>24364</v>
      </c>
      <c r="B21225" s="4">
        <v>123122</v>
      </c>
      <c r="D21225" s="5" t="s">
        <v>27339</v>
      </c>
      <c r="E21225" s="6" t="str">
        <f>HYPERLINK("https://inpn.mnhn.fr/espece/cd_nom/123122","Setaria italica (L.) P.Beauv., 1812")</f>
        <v>Setaria italica (L.) P.Beauv., 1812</v>
      </c>
      <c r="F21225" s="5" t="s">
        <v>27340</v>
      </c>
      <c r="Q21225" s="7" t="str">
        <f>HYPERLINK("#Liste_rouge!A"&amp;_xlfn.XMATCH("NA",Liste_rouge!A:A,2,1),"NA")</f>
        <v>NA</v>
      </c>
      <c r="T21225" s="7" t="str">
        <f>HYPERLINK("#Liste_rouge!A"&amp;_xlfn.XMATCH("NA",Liste_rouge!A:A,2,1),"NA")</f>
        <v>NA</v>
      </c>
      <c r="AH21225" s="4" t="str">
        <f>HYPERLINK("#Statut_biogéographique!A"&amp;_xlfn.XMATCH("I",Statut_biogéographique!A:A,2,1),"I")</f>
        <v>I</v>
      </c>
      <c r="AM21225" s="4" t="s">
        <v>375</v>
      </c>
      <c r="AN21225" s="4" t="s">
        <v>375</v>
      </c>
      <c r="AO21225" s="4" t="s">
        <v>375</v>
      </c>
      <c r="AP21225" s="4" t="s">
        <v>376</v>
      </c>
      <c r="AR21225" s="4" t="s">
        <v>377</v>
      </c>
    </row>
    <row r="21226" spans="1:44" ht="105">
      <c r="A21226" s="4" t="s">
        <v>24364</v>
      </c>
      <c r="B21226" s="4">
        <v>123141</v>
      </c>
      <c r="D21226" s="5" t="s">
        <v>27341</v>
      </c>
      <c r="E21226" s="6" t="str">
        <f>HYPERLINK("https://inpn.mnhn.fr/espece/cd_nom/123141","Setaria pumila (Poir.) Roem. &amp; Schult., 1817")</f>
        <v>Setaria pumila (Poir.) Roem. &amp; Schult., 1817</v>
      </c>
      <c r="F21226" s="5" t="s">
        <v>27342</v>
      </c>
      <c r="Q21226" s="7" t="str">
        <f>HYPERLINK("#Liste_rouge!A"&amp;_xlfn.XMATCH("LC",Liste_rouge!A:A,2,1),"LC")</f>
        <v>LC</v>
      </c>
      <c r="T21226" s="7" t="str">
        <f>HYPERLINK("#Liste_rouge!A"&amp;_xlfn.XMATCH("LC",Liste_rouge!A:A,2,1),"LC")</f>
        <v>LC</v>
      </c>
      <c r="AH21226" s="4" t="str">
        <f>HYPERLINK("#Statut_biogéographique!A"&amp;_xlfn.XMATCH("P",Statut_biogéographique!A:A,2,1),"P")</f>
        <v>P</v>
      </c>
      <c r="AM21226" s="4" t="s">
        <v>375</v>
      </c>
      <c r="AN21226" s="4" t="s">
        <v>375</v>
      </c>
      <c r="AO21226" s="4" t="s">
        <v>375</v>
      </c>
      <c r="AP21226" s="4" t="s">
        <v>376</v>
      </c>
      <c r="AR21226" s="4" t="s">
        <v>377</v>
      </c>
    </row>
    <row r="21227" spans="1:44" ht="45">
      <c r="A21227" s="4" t="s">
        <v>24364</v>
      </c>
      <c r="B21227" s="4">
        <v>123154</v>
      </c>
      <c r="D21227" s="5" t="s">
        <v>27343</v>
      </c>
      <c r="E21227" s="6" t="str">
        <f>HYPERLINK("https://inpn.mnhn.fr/espece/cd_nom/123154","Setaria verticillata (L.) P.Beauv., 1812")</f>
        <v>Setaria verticillata (L.) P.Beauv., 1812</v>
      </c>
      <c r="F21227" s="5" t="s">
        <v>27344</v>
      </c>
      <c r="Q21227" s="7" t="str">
        <f>HYPERLINK("#Liste_rouge!A"&amp;_xlfn.XMATCH("LC",Liste_rouge!A:A,2,1),"LC")</f>
        <v>LC</v>
      </c>
      <c r="T21227" s="7" t="str">
        <f>HYPERLINK("#Liste_rouge!A"&amp;_xlfn.XMATCH("LC",Liste_rouge!A:A,2,1),"LC")</f>
        <v>LC</v>
      </c>
      <c r="AH21227" s="4" t="str">
        <f>HYPERLINK("#Statut_biogéographique!A"&amp;_xlfn.XMATCH("P",Statut_biogéographique!A:A,2,1),"P")</f>
        <v>P</v>
      </c>
      <c r="AM21227" s="4" t="s">
        <v>375</v>
      </c>
      <c r="AN21227" s="4" t="s">
        <v>375</v>
      </c>
      <c r="AO21227" s="4" t="s">
        <v>375</v>
      </c>
      <c r="AP21227" s="4" t="s">
        <v>376</v>
      </c>
      <c r="AR21227" s="4" t="s">
        <v>377</v>
      </c>
    </row>
    <row r="21228" spans="1:44" ht="45">
      <c r="A21228" s="4" t="s">
        <v>24364</v>
      </c>
      <c r="B21228" s="4">
        <v>123164</v>
      </c>
      <c r="D21228" s="5" t="s">
        <v>27345</v>
      </c>
      <c r="E21228" s="6" t="str">
        <f>HYPERLINK("https://inpn.mnhn.fr/espece/cd_nom/123164","Sherardia arvensis L., 1753")</f>
        <v>Sherardia arvensis L., 1753</v>
      </c>
      <c r="F21228" s="5" t="s">
        <v>27346</v>
      </c>
      <c r="Q21228" s="7" t="str">
        <f>HYPERLINK("#Liste_rouge!A"&amp;_xlfn.XMATCH("LC",Liste_rouge!A:A,2,1),"LC")</f>
        <v>LC</v>
      </c>
      <c r="T21228" s="7" t="str">
        <f>HYPERLINK("#Liste_rouge!A"&amp;_xlfn.XMATCH("LC",Liste_rouge!A:A,2,1),"LC")</f>
        <v>LC</v>
      </c>
      <c r="V21228" s="7" t="str">
        <f>HYPERLINK("#Liste_rouge!A"&amp;_xlfn.XMATCH("LC",Liste_rouge!A:A,2,1),"LC")</f>
        <v>LC</v>
      </c>
      <c r="AH21228" s="4" t="str">
        <f>HYPERLINK("#Statut_biogéographique!A"&amp;_xlfn.XMATCH("P",Statut_biogéographique!A:A,2,1),"P")</f>
        <v>P</v>
      </c>
      <c r="AM21228" s="4" t="s">
        <v>375</v>
      </c>
      <c r="AN21228" s="4" t="s">
        <v>375</v>
      </c>
      <c r="AO21228" s="4" t="s">
        <v>375</v>
      </c>
      <c r="AP21228" s="4" t="s">
        <v>376</v>
      </c>
      <c r="AR21228" s="4" t="s">
        <v>377</v>
      </c>
    </row>
    <row r="21229" spans="1:44" ht="30">
      <c r="A21229" s="4" t="s">
        <v>24364</v>
      </c>
      <c r="B21229" s="4">
        <v>123258</v>
      </c>
      <c r="D21229" s="5" t="s">
        <v>27347</v>
      </c>
      <c r="E21229" s="6" t="str">
        <f>HYPERLINK("https://inpn.mnhn.fr/espece/cd_nom/123258","Sideritis hyssopifolia L., 1753")</f>
        <v>Sideritis hyssopifolia L., 1753</v>
      </c>
      <c r="F21229" s="5" t="s">
        <v>27348</v>
      </c>
      <c r="O21229" s="7" t="str">
        <f>HYPERLINK("#Liste_rouge!A"&amp;_xlfn.XMATCH("LC",Liste_rouge!A:A,2,1),"LC")</f>
        <v>LC</v>
      </c>
      <c r="P21229" s="7" t="str">
        <f>HYPERLINK("#Liste_rouge!A"&amp;_xlfn.XMATCH("LC",Liste_rouge!A:A,2,1),"LC")</f>
        <v>LC</v>
      </c>
      <c r="Q21229" s="7" t="str">
        <f>HYPERLINK("#Liste_rouge!A"&amp;_xlfn.XMATCH("LC",Liste_rouge!A:A,2,1),"LC")</f>
        <v>LC</v>
      </c>
      <c r="T21229" s="7" t="str">
        <f>HYPERLINK("#Liste_rouge!A"&amp;_xlfn.XMATCH("NA",Liste_rouge!A:A,2,1),"NA")</f>
        <v>NA</v>
      </c>
      <c r="V21229" s="7" t="str">
        <f>HYPERLINK("#Liste_rouge!A"&amp;_xlfn.XMATCH("LC",Liste_rouge!A:A,2,1),"LC")</f>
        <v>LC</v>
      </c>
      <c r="AB21229" s="4" t="s">
        <v>24447</v>
      </c>
      <c r="AH21229" s="4" t="str">
        <f>HYPERLINK("#Statut_biogéographique!A"&amp;_xlfn.XMATCH("P",Statut_biogéographique!A:A,2,1),"P")</f>
        <v>P</v>
      </c>
      <c r="AM21229" s="4" t="s">
        <v>375</v>
      </c>
      <c r="AN21229" s="4" t="s">
        <v>375</v>
      </c>
      <c r="AO21229" s="4" t="s">
        <v>375</v>
      </c>
      <c r="AP21229" s="4" t="s">
        <v>376</v>
      </c>
      <c r="AR21229" s="4" t="s">
        <v>377</v>
      </c>
    </row>
    <row r="21230" spans="1:44">
      <c r="A21230" s="4" t="s">
        <v>24364</v>
      </c>
      <c r="B21230" s="4">
        <v>123360</v>
      </c>
      <c r="D21230" s="5" t="s">
        <v>27349</v>
      </c>
      <c r="E21230" s="6" t="str">
        <f>HYPERLINK("https://inpn.mnhn.fr/espece/cd_nom/123360","Sigesbeckia serrata DC., 1836")</f>
        <v>Sigesbeckia serrata DC., 1836</v>
      </c>
      <c r="F21230" s="5" t="s">
        <v>27350</v>
      </c>
      <c r="Q21230" s="7" t="str">
        <f>HYPERLINK("#Liste_rouge!A"&amp;_xlfn.XMATCH("NA",Liste_rouge!A:A,2,1),"NA")</f>
        <v>NA</v>
      </c>
      <c r="AH21230" s="4" t="str">
        <f>HYPERLINK("#Statut_biogéographique!A"&amp;_xlfn.XMATCH("I",Statut_biogéographique!A:A,2,1),"I")</f>
        <v>I</v>
      </c>
      <c r="AM21230" s="4" t="s">
        <v>375</v>
      </c>
      <c r="AN21230" s="4" t="s">
        <v>375</v>
      </c>
      <c r="AO21230" s="4" t="s">
        <v>375</v>
      </c>
      <c r="AP21230" s="4" t="s">
        <v>376</v>
      </c>
      <c r="AR21230" s="4" t="s">
        <v>377</v>
      </c>
    </row>
    <row r="21231" spans="1:44" ht="75">
      <c r="A21231" s="4" t="s">
        <v>24364</v>
      </c>
      <c r="B21231" s="4">
        <v>123367</v>
      </c>
      <c r="D21231" s="5" t="s">
        <v>27351</v>
      </c>
      <c r="E21231" s="6" t="str">
        <f>HYPERLINK("https://inpn.mnhn.fr/espece/cd_nom/123367","Silaum silaus (L.) Schinz &amp; Thell., 1915")</f>
        <v>Silaum silaus (L.) Schinz &amp; Thell., 1915</v>
      </c>
      <c r="F21231" s="5" t="s">
        <v>27352</v>
      </c>
      <c r="Q21231" s="7" t="str">
        <f>HYPERLINK("#Liste_rouge!A"&amp;_xlfn.XMATCH("LC",Liste_rouge!A:A,2,1),"LC")</f>
        <v>LC</v>
      </c>
      <c r="T21231" s="7" t="str">
        <f>HYPERLINK("#Liste_rouge!A"&amp;_xlfn.XMATCH("LC",Liste_rouge!A:A,2,1),"LC")</f>
        <v>LC</v>
      </c>
      <c r="V21231" s="7" t="str">
        <f>HYPERLINK("#Liste_rouge!A"&amp;_xlfn.XMATCH("LC",Liste_rouge!A:A,2,1),"LC")</f>
        <v>LC</v>
      </c>
      <c r="AH21231" s="4" t="str">
        <f>HYPERLINK("#Statut_biogéographique!A"&amp;_xlfn.XMATCH("P",Statut_biogéographique!A:A,2,1),"P")</f>
        <v>P</v>
      </c>
      <c r="AM21231" s="4" t="s">
        <v>375</v>
      </c>
      <c r="AN21231" s="4" t="s">
        <v>375</v>
      </c>
      <c r="AO21231" s="4" t="s">
        <v>375</v>
      </c>
      <c r="AP21231" s="4" t="s">
        <v>376</v>
      </c>
      <c r="AR21231" s="4" t="s">
        <v>377</v>
      </c>
    </row>
    <row r="21232" spans="1:44" ht="45">
      <c r="A21232" s="4" t="s">
        <v>24364</v>
      </c>
      <c r="B21232" s="4">
        <v>123401</v>
      </c>
      <c r="D21232" s="5" t="s">
        <v>27353</v>
      </c>
      <c r="E21232" s="6" t="str">
        <f>HYPERLINK("https://inpn.mnhn.fr/espece/cd_nom/123401","Silene baccifera (L.) Roth, 1788")</f>
        <v>Silene baccifera (L.) Roth, 1788</v>
      </c>
      <c r="F21232" s="5" t="s">
        <v>27354</v>
      </c>
      <c r="Q21232" s="7" t="str">
        <f>HYPERLINK("#Liste_rouge!A"&amp;_xlfn.XMATCH("LC",Liste_rouge!A:A,2,1),"LC")</f>
        <v>LC</v>
      </c>
      <c r="T21232" s="7" t="str">
        <f>HYPERLINK("#Liste_rouge!A"&amp;_xlfn.XMATCH("LC",Liste_rouge!A:A,2,1),"LC")</f>
        <v>LC</v>
      </c>
      <c r="V21232" s="7" t="str">
        <f>HYPERLINK("#Liste_rouge!A"&amp;_xlfn.XMATCH("LC",Liste_rouge!A:A,2,1),"LC")</f>
        <v>LC</v>
      </c>
      <c r="AB21232" s="4" t="s">
        <v>27355</v>
      </c>
      <c r="AH21232" s="4" t="str">
        <f>HYPERLINK("#Statut_biogéographique!A"&amp;_xlfn.XMATCH("P",Statut_biogéographique!A:A,2,1),"P")</f>
        <v>P</v>
      </c>
      <c r="AM21232" s="4" t="s">
        <v>375</v>
      </c>
      <c r="AN21232" s="4" t="s">
        <v>375</v>
      </c>
      <c r="AO21232" s="4" t="s">
        <v>375</v>
      </c>
      <c r="AP21232" s="4" t="s">
        <v>376</v>
      </c>
      <c r="AR21232" s="4" t="s">
        <v>377</v>
      </c>
    </row>
    <row r="21233" spans="1:44" ht="45">
      <c r="A21233" s="4" t="s">
        <v>24364</v>
      </c>
      <c r="B21233" s="4">
        <v>123445</v>
      </c>
      <c r="D21233" s="5" t="s">
        <v>27356</v>
      </c>
      <c r="E21233" s="6" t="str">
        <f>HYPERLINK("https://inpn.mnhn.fr/espece/cd_nom/123445","Silene colorata Poir., 1789")</f>
        <v>Silene colorata Poir., 1789</v>
      </c>
      <c r="F21233" s="5" t="s">
        <v>27357</v>
      </c>
      <c r="Q21233" s="7" t="str">
        <f>HYPERLINK("#Liste_rouge!A"&amp;_xlfn.XMATCH("NA",Liste_rouge!A:A,2,1),"NA")</f>
        <v>NA</v>
      </c>
      <c r="T21233" s="7" t="str">
        <f>HYPERLINK("#Liste_rouge!A"&amp;_xlfn.XMATCH("NA",Liste_rouge!A:A,2,1),"NA")</f>
        <v>NA</v>
      </c>
      <c r="AH21233" s="4" t="str">
        <f>HYPERLINK("#Statut_biogéographique!A"&amp;_xlfn.XMATCH("M",Statut_biogéographique!A:A,2,1),"M")</f>
        <v>M</v>
      </c>
      <c r="AP21233" s="4" t="s">
        <v>376</v>
      </c>
      <c r="AR21233" s="4" t="s">
        <v>377</v>
      </c>
    </row>
    <row r="21234" spans="1:44" ht="60">
      <c r="A21234" s="4" t="s">
        <v>24364</v>
      </c>
      <c r="B21234" s="4">
        <v>123448</v>
      </c>
      <c r="D21234" s="5" t="s">
        <v>27358</v>
      </c>
      <c r="E21234" s="6" t="str">
        <f>HYPERLINK("https://inpn.mnhn.fr/espece/cd_nom/123448","Silene conica L., 1753")</f>
        <v>Silene conica L., 1753</v>
      </c>
      <c r="F21234" s="5" t="s">
        <v>27359</v>
      </c>
      <c r="Q21234" s="7" t="str">
        <f>HYPERLINK("#Liste_rouge!A"&amp;_xlfn.XMATCH("LC",Liste_rouge!A:A,2,1),"LC")</f>
        <v>LC</v>
      </c>
      <c r="T21234" s="7" t="str">
        <f>HYPERLINK("#Liste_rouge!A"&amp;_xlfn.XMATCH("RE",Liste_rouge!A:A,2,1),"RE")</f>
        <v>RE</v>
      </c>
      <c r="AB21234" s="4" t="s">
        <v>24397</v>
      </c>
      <c r="AH21234" s="4" t="str">
        <f>HYPERLINK("#Statut_biogéographique!A"&amp;_xlfn.XMATCH("P",Statut_biogéographique!A:A,2,1),"P")</f>
        <v>P</v>
      </c>
      <c r="AM21234" s="4" t="s">
        <v>375</v>
      </c>
      <c r="AN21234" s="4" t="s">
        <v>375</v>
      </c>
      <c r="AO21234" s="4" t="s">
        <v>375</v>
      </c>
      <c r="AP21234" s="4" t="s">
        <v>376</v>
      </c>
      <c r="AR21234" s="4" t="s">
        <v>377</v>
      </c>
    </row>
    <row r="21235" spans="1:44" ht="30">
      <c r="A21235" s="4" t="s">
        <v>24364</v>
      </c>
      <c r="B21235" s="4">
        <v>123470</v>
      </c>
      <c r="D21235" s="5" t="s">
        <v>27360</v>
      </c>
      <c r="E21235" s="6" t="str">
        <f>HYPERLINK("https://inpn.mnhn.fr/espece/cd_nom/123470","Silene dichotoma Ehrh., 1792")</f>
        <v>Silene dichotoma Ehrh., 1792</v>
      </c>
      <c r="F21235" s="5" t="s">
        <v>27361</v>
      </c>
      <c r="Q21235" s="7" t="str">
        <f>HYPERLINK("#Liste_rouge!A"&amp;_xlfn.XMATCH("NA",Liste_rouge!A:A,2,1),"NA")</f>
        <v>NA</v>
      </c>
      <c r="T21235" s="7" t="str">
        <f>HYPERLINK("#Liste_rouge!A"&amp;_xlfn.XMATCH("NA",Liste_rouge!A:A,2,1),"NA")</f>
        <v>NA</v>
      </c>
      <c r="AH21235" s="4" t="str">
        <f>HYPERLINK("#Statut_biogéographique!A"&amp;_xlfn.XMATCH("I",Statut_biogéographique!A:A,2,1),"I")</f>
        <v>I</v>
      </c>
      <c r="AP21235" s="4" t="s">
        <v>376</v>
      </c>
      <c r="AR21235" s="4" t="s">
        <v>377</v>
      </c>
    </row>
    <row r="21236" spans="1:44" ht="45">
      <c r="A21236" s="4" t="s">
        <v>24364</v>
      </c>
      <c r="B21236" s="4">
        <v>123471</v>
      </c>
      <c r="D21236" s="5" t="s">
        <v>27362</v>
      </c>
      <c r="E21236" s="6" t="str">
        <f>HYPERLINK("https://inpn.mnhn.fr/espece/cd_nom/123471","Silene dioica (L.) Clairv., 1811")</f>
        <v>Silene dioica (L.) Clairv., 1811</v>
      </c>
      <c r="F21236" s="5" t="s">
        <v>27363</v>
      </c>
      <c r="Q21236" s="7" t="str">
        <f>HYPERLINK("#Liste_rouge!A"&amp;_xlfn.XMATCH("LC",Liste_rouge!A:A,2,1),"LC")</f>
        <v>LC</v>
      </c>
      <c r="T21236" s="7" t="str">
        <f>HYPERLINK("#Liste_rouge!A"&amp;_xlfn.XMATCH("LC",Liste_rouge!A:A,2,1),"LC")</f>
        <v>LC</v>
      </c>
      <c r="V21236" s="7" t="str">
        <f>HYPERLINK("#Liste_rouge!A"&amp;_xlfn.XMATCH("LC",Liste_rouge!A:A,2,1),"LC")</f>
        <v>LC</v>
      </c>
      <c r="AH21236" s="4" t="str">
        <f>HYPERLINK("#Statut_biogéographique!A"&amp;_xlfn.XMATCH("P",Statut_biogéographique!A:A,2,1),"P")</f>
        <v>P</v>
      </c>
      <c r="AM21236" s="4" t="s">
        <v>375</v>
      </c>
      <c r="AN21236" s="4" t="s">
        <v>375</v>
      </c>
      <c r="AO21236" s="4" t="s">
        <v>375</v>
      </c>
      <c r="AP21236" s="4" t="s">
        <v>376</v>
      </c>
      <c r="AR21236" s="4" t="s">
        <v>377</v>
      </c>
    </row>
    <row r="21237" spans="1:44" ht="30">
      <c r="A21237" s="4" t="s">
        <v>24364</v>
      </c>
      <c r="B21237" s="4">
        <v>123484</v>
      </c>
      <c r="D21237" s="5" t="s">
        <v>27364</v>
      </c>
      <c r="E21237" s="6" t="str">
        <f>HYPERLINK("https://inpn.mnhn.fr/espece/cd_nom/123484","Silene fuscata Link ex Brot., 1804")</f>
        <v>Silene fuscata Link ex Brot., 1804</v>
      </c>
      <c r="F21237" s="5" t="s">
        <v>27365</v>
      </c>
      <c r="Q21237" s="7" t="str">
        <f>HYPERLINK("#Liste_rouge!A"&amp;_xlfn.XMATCH("NA",Liste_rouge!A:A,2,1),"NA")</f>
        <v>NA</v>
      </c>
      <c r="T21237" s="7" t="str">
        <f>HYPERLINK("#Liste_rouge!A"&amp;_xlfn.XMATCH("NA",Liste_rouge!A:A,2,1),"NA")</f>
        <v>NA</v>
      </c>
      <c r="AH21237" s="4" t="str">
        <f>HYPERLINK("#Statut_biogéographique!A"&amp;_xlfn.XMATCH("M",Statut_biogéographique!A:A,2,1),"M")</f>
        <v>M</v>
      </c>
      <c r="AP21237" s="4" t="s">
        <v>376</v>
      </c>
      <c r="AR21237" s="4" t="s">
        <v>377</v>
      </c>
    </row>
    <row r="21238" spans="1:44" ht="195">
      <c r="A21238" s="4" t="s">
        <v>24364</v>
      </c>
      <c r="B21238" s="4">
        <v>123485</v>
      </c>
      <c r="D21238" s="5" t="s">
        <v>27366</v>
      </c>
      <c r="E21238" s="6" t="str">
        <f>HYPERLINK("https://inpn.mnhn.fr/espece/cd_nom/123485","Silene gallica L., 1753 [nom. cons.]")</f>
        <v>Silene gallica L., 1753 [nom. cons.]</v>
      </c>
      <c r="F21238" s="5" t="s">
        <v>27367</v>
      </c>
      <c r="Q21238" s="7" t="str">
        <f>HYPERLINK("#Liste_rouge!A"&amp;_xlfn.XMATCH("LC",Liste_rouge!A:A,2,1),"LC")</f>
        <v>LC</v>
      </c>
      <c r="T21238" s="7" t="str">
        <f>HYPERLINK("#Liste_rouge!A"&amp;_xlfn.XMATCH("CR",Liste_rouge!A:A,2,1),"CR")</f>
        <v>CR</v>
      </c>
      <c r="U21238" s="4" t="str">
        <f>HYPERLINK("#Critères_liste_rouge!A$1","C2a(i) D1")</f>
        <v>C2a(i) D1</v>
      </c>
      <c r="AB21238" s="4" t="s">
        <v>24486</v>
      </c>
      <c r="AH21238" s="4" t="str">
        <f>HYPERLINK("#Statut_biogéographique!A"&amp;_xlfn.XMATCH("P",Statut_biogéographique!A:A,2,1),"P")</f>
        <v>P</v>
      </c>
      <c r="AM21238" s="4" t="s">
        <v>375</v>
      </c>
      <c r="AN21238" s="4" t="s">
        <v>375</v>
      </c>
      <c r="AO21238" s="4" t="s">
        <v>375</v>
      </c>
      <c r="AP21238" s="4" t="s">
        <v>376</v>
      </c>
      <c r="AR21238" s="4" t="s">
        <v>377</v>
      </c>
    </row>
    <row r="21239" spans="1:44" ht="45">
      <c r="A21239" s="4" t="s">
        <v>24364</v>
      </c>
      <c r="B21239" s="4">
        <v>123512</v>
      </c>
      <c r="D21239" s="5" t="s">
        <v>27368</v>
      </c>
      <c r="E21239" s="6" t="str">
        <f>HYPERLINK("https://inpn.mnhn.fr/espece/cd_nom/123512","Silene italica (L.) Pers., 1805")</f>
        <v>Silene italica (L.) Pers., 1805</v>
      </c>
      <c r="F21239" s="5" t="s">
        <v>27369</v>
      </c>
      <c r="Q21239" s="7" t="str">
        <f>HYPERLINK("#Liste_rouge!A"&amp;_xlfn.XMATCH("LC",Liste_rouge!A:A,2,1),"LC")</f>
        <v>LC</v>
      </c>
      <c r="T21239" s="7" t="str">
        <f>HYPERLINK("#Liste_rouge!A"&amp;_xlfn.XMATCH("VU",Liste_rouge!A:A,2,1),"VU")</f>
        <v>VU</v>
      </c>
      <c r="U21239" s="4" t="str">
        <f>HYPERLINK("#Critères_liste_rouge!A$1","D2")</f>
        <v>D2</v>
      </c>
      <c r="X21239" s="5" t="s">
        <v>374</v>
      </c>
      <c r="AB21239" s="4" t="s">
        <v>93</v>
      </c>
      <c r="AH21239" s="4" t="str">
        <f>HYPERLINK("#Statut_biogéographique!A"&amp;_xlfn.XMATCH("P",Statut_biogéographique!A:A,2,1),"P")</f>
        <v>P</v>
      </c>
      <c r="AM21239" s="4" t="s">
        <v>375</v>
      </c>
      <c r="AN21239" s="4" t="s">
        <v>375</v>
      </c>
      <c r="AO21239" s="4" t="s">
        <v>375</v>
      </c>
      <c r="AP21239" s="4" t="s">
        <v>376</v>
      </c>
      <c r="AR21239" s="4" t="s">
        <v>377</v>
      </c>
    </row>
    <row r="21240" spans="1:44" ht="120">
      <c r="A21240" s="4" t="s">
        <v>24364</v>
      </c>
      <c r="B21240" s="4">
        <v>123522</v>
      </c>
      <c r="D21240" s="5" t="s">
        <v>27370</v>
      </c>
      <c r="E21240" s="6" t="str">
        <f>HYPERLINK("https://inpn.mnhn.fr/espece/cd_nom/123522","Silene latifolia Poir., 1789")</f>
        <v>Silene latifolia Poir., 1789</v>
      </c>
      <c r="F21240" s="5" t="s">
        <v>27371</v>
      </c>
      <c r="Q21240" s="7" t="str">
        <f>HYPERLINK("#Liste_rouge!A"&amp;_xlfn.XMATCH("LC",Liste_rouge!A:A,2,1),"LC")</f>
        <v>LC</v>
      </c>
      <c r="T21240" s="7" t="str">
        <f>HYPERLINK("#Liste_rouge!A"&amp;_xlfn.XMATCH("LC",Liste_rouge!A:A,2,1),"LC")</f>
        <v>LC</v>
      </c>
      <c r="V21240" s="7" t="str">
        <f>HYPERLINK("#Liste_rouge!A"&amp;_xlfn.XMATCH("LC",Liste_rouge!A:A,2,1),"LC")</f>
        <v>LC</v>
      </c>
      <c r="AH21240" s="4" t="str">
        <f>HYPERLINK("#Statut_biogéographique!A"&amp;_xlfn.XMATCH("P",Statut_biogéographique!A:A,2,1),"P")</f>
        <v>P</v>
      </c>
      <c r="AM21240" s="4" t="s">
        <v>375</v>
      </c>
      <c r="AN21240" s="4" t="s">
        <v>375</v>
      </c>
      <c r="AO21240" s="4" t="s">
        <v>375</v>
      </c>
      <c r="AP21240" s="4" t="s">
        <v>376</v>
      </c>
      <c r="AR21240" s="4" t="s">
        <v>377</v>
      </c>
    </row>
    <row r="21241" spans="1:44" ht="45">
      <c r="A21241" s="4" t="s">
        <v>24364</v>
      </c>
      <c r="B21241" s="4">
        <v>123555</v>
      </c>
      <c r="D21241" s="5" t="s">
        <v>27372</v>
      </c>
      <c r="E21241" s="6" t="str">
        <f>HYPERLINK("https://inpn.mnhn.fr/espece/cd_nom/123555","Silene muscipula L., 1753")</f>
        <v>Silene muscipula L., 1753</v>
      </c>
      <c r="F21241" s="5" t="s">
        <v>27373</v>
      </c>
      <c r="Q21241" s="7" t="str">
        <f>HYPERLINK("#Liste_rouge!A"&amp;_xlfn.XMATCH("CR",Liste_rouge!A:A,2,1),"CR")</f>
        <v>CR</v>
      </c>
      <c r="T21241" s="7" t="str">
        <f>HYPERLINK("#Liste_rouge!A"&amp;_xlfn.XMATCH("NA",Liste_rouge!A:A,2,1),"NA")</f>
        <v>NA</v>
      </c>
      <c r="AH21241" s="4" t="str">
        <f>HYPERLINK("#Statut_biogéographique!A"&amp;_xlfn.XMATCH("P",Statut_biogéographique!A:A,2,1),"P")</f>
        <v>P</v>
      </c>
      <c r="AI21241" s="8" t="s">
        <v>27374</v>
      </c>
      <c r="AJ21241" s="4" t="s">
        <v>12248</v>
      </c>
      <c r="AP21241" s="4" t="s">
        <v>389</v>
      </c>
      <c r="AR21241" s="4" t="s">
        <v>377</v>
      </c>
    </row>
    <row r="21242" spans="1:44" ht="30">
      <c r="A21242" s="4" t="s">
        <v>24364</v>
      </c>
      <c r="B21242" s="4">
        <v>123562</v>
      </c>
      <c r="D21242" s="5" t="s">
        <v>27375</v>
      </c>
      <c r="E21242" s="6" t="str">
        <f>HYPERLINK("https://inpn.mnhn.fr/espece/cd_nom/123562","Silene noctiflora L., 1753")</f>
        <v>Silene noctiflora L., 1753</v>
      </c>
      <c r="F21242" s="5" t="s">
        <v>27376</v>
      </c>
      <c r="Q21242" s="7" t="str">
        <f>HYPERLINK("#Liste_rouge!A"&amp;_xlfn.XMATCH("NT",Liste_rouge!A:A,2,1),"NT")</f>
        <v>NT</v>
      </c>
      <c r="T21242" s="7" t="str">
        <f>HYPERLINK("#Liste_rouge!A"&amp;_xlfn.XMATCH("EN",Liste_rouge!A:A,2,1),"EN")</f>
        <v>EN</v>
      </c>
      <c r="U21242" s="4" t="str">
        <f>HYPERLINK("#Critères_liste_rouge!A$1","B2ab(iii,iv,v)c(iii,iv)")</f>
        <v>B2ab(iii,iv,v)c(iii,iv)</v>
      </c>
      <c r="V21242" s="7" t="str">
        <f>HYPERLINK("#Liste_rouge!A"&amp;_xlfn.XMATCH("EN",Liste_rouge!A:A,2,1),"EN")</f>
        <v>EN</v>
      </c>
      <c r="W21242" s="4" t="str">
        <f>HYPERLINK("#Critères_liste_rouge!A$1","B2ac(iii,iv)")</f>
        <v>B2ac(iii,iv)</v>
      </c>
      <c r="X21242" s="5" t="s">
        <v>374</v>
      </c>
      <c r="AB21242" s="4" t="s">
        <v>93</v>
      </c>
      <c r="AH21242" s="4" t="str">
        <f>HYPERLINK("#Statut_biogéographique!A"&amp;_xlfn.XMATCH("P",Statut_biogéographique!A:A,2,1),"P")</f>
        <v>P</v>
      </c>
      <c r="AM21242" s="4" t="s">
        <v>375</v>
      </c>
      <c r="AN21242" s="4" t="s">
        <v>375</v>
      </c>
      <c r="AO21242" s="4" t="s">
        <v>375</v>
      </c>
      <c r="AP21242" s="4" t="s">
        <v>376</v>
      </c>
      <c r="AR21242" s="4" t="s">
        <v>377</v>
      </c>
    </row>
    <row r="21243" spans="1:44" ht="60">
      <c r="A21243" s="4" t="s">
        <v>24364</v>
      </c>
      <c r="B21243" s="4">
        <v>123563</v>
      </c>
      <c r="D21243" s="5" t="s">
        <v>27377</v>
      </c>
      <c r="E21243" s="6" t="str">
        <f>HYPERLINK("https://inpn.mnhn.fr/espece/cd_nom/123563","Silene nocturna L., 1753")</f>
        <v>Silene nocturna L., 1753</v>
      </c>
      <c r="F21243" s="5" t="s">
        <v>27378</v>
      </c>
      <c r="Q21243" s="7" t="str">
        <f>HYPERLINK("#Liste_rouge!A"&amp;_xlfn.XMATCH("LC",Liste_rouge!A:A,2,1),"LC")</f>
        <v>LC</v>
      </c>
      <c r="T21243" s="7" t="str">
        <f>HYPERLINK("#Liste_rouge!A"&amp;_xlfn.XMATCH("NA",Liste_rouge!A:A,2,1),"NA")</f>
        <v>NA</v>
      </c>
      <c r="AH21243" s="4" t="str">
        <f>HYPERLINK("#Statut_biogéographique!A"&amp;_xlfn.XMATCH("P",Statut_biogéographique!A:A,2,1),"P")</f>
        <v>P</v>
      </c>
      <c r="AP21243" s="4" t="s">
        <v>376</v>
      </c>
      <c r="AR21243" s="4" t="s">
        <v>377</v>
      </c>
    </row>
    <row r="21244" spans="1:44" ht="30">
      <c r="A21244" s="4" t="s">
        <v>24364</v>
      </c>
      <c r="B21244" s="4">
        <v>123568</v>
      </c>
      <c r="D21244" s="5" t="s">
        <v>27379</v>
      </c>
      <c r="E21244" s="6" t="str">
        <f>HYPERLINK("https://inpn.mnhn.fr/espece/cd_nom/123568","Silene nutans L., 1753")</f>
        <v>Silene nutans L., 1753</v>
      </c>
      <c r="F21244" s="5" t="s">
        <v>27380</v>
      </c>
      <c r="Q21244" s="7" t="str">
        <f>HYPERLINK("#Liste_rouge!A"&amp;_xlfn.XMATCH("LC",Liste_rouge!A:A,2,1),"LC")</f>
        <v>LC</v>
      </c>
      <c r="T21244" s="7" t="str">
        <f>HYPERLINK("#Liste_rouge!A"&amp;_xlfn.XMATCH("LC",Liste_rouge!A:A,2,1),"LC")</f>
        <v>LC</v>
      </c>
      <c r="V21244" s="7" t="str">
        <f>HYPERLINK("#Liste_rouge!A"&amp;_xlfn.XMATCH("LC",Liste_rouge!A:A,2,1),"LC")</f>
        <v>LC</v>
      </c>
      <c r="AH21244" s="4" t="str">
        <f>HYPERLINK("#Statut_biogéographique!A"&amp;_xlfn.XMATCH("P",Statut_biogéographique!A:A,2,1),"P")</f>
        <v>P</v>
      </c>
      <c r="AM21244" s="4" t="s">
        <v>375</v>
      </c>
      <c r="AN21244" s="4" t="s">
        <v>375</v>
      </c>
      <c r="AO21244" s="4" t="s">
        <v>375</v>
      </c>
      <c r="AP21244" s="4" t="s">
        <v>376</v>
      </c>
      <c r="AR21244" s="4" t="s">
        <v>377</v>
      </c>
    </row>
    <row r="21245" spans="1:44" ht="90">
      <c r="A21245" s="4" t="s">
        <v>24364</v>
      </c>
      <c r="B21245" s="4">
        <v>123577</v>
      </c>
      <c r="D21245" s="5" t="s">
        <v>27381</v>
      </c>
      <c r="E21245" s="6" t="str">
        <f>HYPERLINK("https://inpn.mnhn.fr/espece/cd_nom/123577","Silene otites (L.) Wibel, 1799")</f>
        <v>Silene otites (L.) Wibel, 1799</v>
      </c>
      <c r="F21245" s="5" t="s">
        <v>27382</v>
      </c>
      <c r="M21245" s="4" t="str">
        <f>HYPERLINK("#Réglementation!A"&amp;_xlfn.XMATCH("RV26",Réglementation!A:A,2,1),"RV26")</f>
        <v>RV26</v>
      </c>
      <c r="Q21245" s="7" t="str">
        <f>HYPERLINK("#Liste_rouge!A"&amp;_xlfn.XMATCH("LC",Liste_rouge!A:A,2,1),"LC")</f>
        <v>LC</v>
      </c>
      <c r="T21245" s="7" t="str">
        <f>HYPERLINK("#Liste_rouge!A"&amp;_xlfn.XMATCH("CR",Liste_rouge!A:A,2,1),"CR")</f>
        <v>CR</v>
      </c>
      <c r="U21245" s="4" t="str">
        <f>HYPERLINK("#Critères_liste_rouge!A$1","D1")</f>
        <v>D1</v>
      </c>
      <c r="AB21245" s="4" t="s">
        <v>24397</v>
      </c>
      <c r="AH21245" s="4" t="str">
        <f>HYPERLINK("#Statut_biogéographique!A"&amp;_xlfn.XMATCH("P",Statut_biogéographique!A:A,2,1),"P")</f>
        <v>P</v>
      </c>
      <c r="AM21245" s="4" t="s">
        <v>375</v>
      </c>
      <c r="AN21245" s="4" t="s">
        <v>375</v>
      </c>
      <c r="AO21245" s="4" t="s">
        <v>375</v>
      </c>
      <c r="AP21245" s="4" t="s">
        <v>376</v>
      </c>
      <c r="AR21245" s="4" t="s">
        <v>377</v>
      </c>
    </row>
    <row r="21246" spans="1:44">
      <c r="A21246" s="4" t="s">
        <v>24364</v>
      </c>
      <c r="B21246" s="4">
        <v>123588</v>
      </c>
      <c r="D21246" s="5" t="s">
        <v>27383</v>
      </c>
      <c r="E21246" s="6" t="str">
        <f>HYPERLINK("https://inpn.mnhn.fr/espece/cd_nom/123588","Silene pendula L., 1753")</f>
        <v>Silene pendula L., 1753</v>
      </c>
      <c r="F21246" s="5" t="s">
        <v>27384</v>
      </c>
      <c r="Q21246" s="7" t="str">
        <f>HYPERLINK("#Liste_rouge!A"&amp;_xlfn.XMATCH("NA",Liste_rouge!A:A,2,1),"NA")</f>
        <v>NA</v>
      </c>
      <c r="T21246" s="7" t="str">
        <f>HYPERLINK("#Liste_rouge!A"&amp;_xlfn.XMATCH("NA",Liste_rouge!A:A,2,1),"NA")</f>
        <v>NA</v>
      </c>
      <c r="AH21246" s="4" t="str">
        <f>HYPERLINK("#Statut_biogéographique!A"&amp;_xlfn.XMATCH("M",Statut_biogéographique!A:A,2,1),"M")</f>
        <v>M</v>
      </c>
      <c r="AP21246" s="4" t="s">
        <v>376</v>
      </c>
      <c r="AR21246" s="4" t="s">
        <v>377</v>
      </c>
    </row>
    <row r="21247" spans="1:44" ht="45">
      <c r="A21247" s="4" t="s">
        <v>24364</v>
      </c>
      <c r="B21247" s="4">
        <v>123683</v>
      </c>
      <c r="D21247" s="5" t="s">
        <v>27385</v>
      </c>
      <c r="E21247" s="6" t="str">
        <f>HYPERLINK("https://inpn.mnhn.fr/espece/cd_nom/123683","Silene vulgaris (Moench) Garcke, 1869")</f>
        <v>Silene vulgaris (Moench) Garcke, 1869</v>
      </c>
      <c r="F21247" s="5" t="s">
        <v>27386</v>
      </c>
      <c r="O21247" s="7" t="str">
        <f>HYPERLINK("#Liste_rouge!A"&amp;_xlfn.XMATCH("LC",Liste_rouge!A:A,2,1),"LC")</f>
        <v>LC</v>
      </c>
      <c r="Q21247" s="7" t="str">
        <f>HYPERLINK("#Liste_rouge!A"&amp;_xlfn.XMATCH("LC",Liste_rouge!A:A,2,1),"LC")</f>
        <v>LC</v>
      </c>
      <c r="T21247" s="7" t="str">
        <f>HYPERLINK("#Liste_rouge!A"&amp;_xlfn.XMATCH("LC",Liste_rouge!A:A,2,1),"LC")</f>
        <v>LC</v>
      </c>
      <c r="V21247" s="7" t="str">
        <f>HYPERLINK("#Liste_rouge!A"&amp;_xlfn.XMATCH("LC",Liste_rouge!A:A,2,1),"LC")</f>
        <v>LC</v>
      </c>
      <c r="AH21247" s="4" t="str">
        <f>HYPERLINK("#Statut_biogéographique!A"&amp;_xlfn.XMATCH("P",Statut_biogéographique!A:A,2,1),"P")</f>
        <v>P</v>
      </c>
      <c r="AM21247" s="4" t="s">
        <v>375</v>
      </c>
      <c r="AN21247" s="4" t="s">
        <v>375</v>
      </c>
      <c r="AO21247" s="4" t="s">
        <v>375</v>
      </c>
      <c r="AP21247" s="4" t="s">
        <v>376</v>
      </c>
      <c r="AR21247" s="4" t="s">
        <v>377</v>
      </c>
    </row>
    <row r="21248" spans="1:44" ht="30">
      <c r="A21248" s="4" t="s">
        <v>24364</v>
      </c>
      <c r="B21248" s="4">
        <v>123687</v>
      </c>
      <c r="D21248" s="5" t="s">
        <v>27387</v>
      </c>
      <c r="E21248" s="6" t="str">
        <f>HYPERLINK("https://inpn.mnhn.fr/espece/cd_nom/123687","Silene x hampeana Meusel &amp; K.Werner, 1979")</f>
        <v>Silene x hampeana Meusel &amp; K.Werner, 1979</v>
      </c>
      <c r="F21248" s="5" t="s">
        <v>27388</v>
      </c>
      <c r="T21248" s="7" t="str">
        <f>HYPERLINK("#Liste_rouge!A"&amp;_xlfn.XMATCH("DD",Liste_rouge!A:A,2,1),"DD")</f>
        <v>DD</v>
      </c>
      <c r="AH21248" s="4" t="str">
        <f>HYPERLINK("#Statut_biogéographique!A"&amp;_xlfn.XMATCH("P",Statut_biogéographique!A:A,2,1),"P")</f>
        <v>P</v>
      </c>
      <c r="AP21248" s="4" t="s">
        <v>376</v>
      </c>
      <c r="AR21248" s="4" t="s">
        <v>377</v>
      </c>
    </row>
    <row r="21249" spans="1:44">
      <c r="A21249" s="4" t="s">
        <v>24364</v>
      </c>
      <c r="B21249" s="4">
        <v>123701</v>
      </c>
      <c r="D21249" s="5" t="s">
        <v>27389</v>
      </c>
      <c r="E21249" s="6" t="str">
        <f>HYPERLINK("https://inpn.mnhn.fr/espece/cd_nom/123701","Silphium perfoliatum L., 1759")</f>
        <v>Silphium perfoliatum L., 1759</v>
      </c>
      <c r="F21249" s="5" t="s">
        <v>27390</v>
      </c>
      <c r="AH21249" s="4" t="str">
        <f>HYPERLINK("#Statut_biogéographique!A"&amp;_xlfn.XMATCH("M",Statut_biogéographique!A:A,2,1),"M")</f>
        <v>M</v>
      </c>
      <c r="AP21249" s="4" t="s">
        <v>376</v>
      </c>
      <c r="AR21249" s="4" t="s">
        <v>377</v>
      </c>
    </row>
    <row r="21250" spans="1:44" ht="45">
      <c r="A21250" s="4" t="s">
        <v>24364</v>
      </c>
      <c r="B21250" s="4">
        <v>123705</v>
      </c>
      <c r="D21250" s="5" t="s">
        <v>27391</v>
      </c>
      <c r="E21250" s="6" t="str">
        <f>HYPERLINK("https://inpn.mnhn.fr/espece/cd_nom/123705","Silybum marianum (L.) Gaertn., 1791")</f>
        <v>Silybum marianum (L.) Gaertn., 1791</v>
      </c>
      <c r="F21250" s="5" t="s">
        <v>27392</v>
      </c>
      <c r="O21250" s="7" t="str">
        <f>HYPERLINK("#Liste_rouge!A"&amp;_xlfn.XMATCH("LC",Liste_rouge!A:A,2,1),"LC")</f>
        <v>LC</v>
      </c>
      <c r="P21250" s="7" t="str">
        <f>HYPERLINK("#Liste_rouge!A"&amp;_xlfn.XMATCH("LC",Liste_rouge!A:A,2,1),"LC")</f>
        <v>LC</v>
      </c>
      <c r="Q21250" s="7" t="str">
        <f>HYPERLINK("#Liste_rouge!A"&amp;_xlfn.XMATCH("LC",Liste_rouge!A:A,2,1),"LC")</f>
        <v>LC</v>
      </c>
      <c r="T21250" s="7" t="str">
        <f>HYPERLINK("#Liste_rouge!A"&amp;_xlfn.XMATCH("NA",Liste_rouge!A:A,2,1),"NA")</f>
        <v>NA</v>
      </c>
      <c r="AH21250" s="4" t="str">
        <f>HYPERLINK("#Statut_biogéographique!A"&amp;_xlfn.XMATCH("P",Statut_biogéographique!A:A,2,1),"P")</f>
        <v>P</v>
      </c>
      <c r="AM21250" s="4" t="s">
        <v>375</v>
      </c>
      <c r="AN21250" s="4" t="s">
        <v>375</v>
      </c>
      <c r="AO21250" s="4" t="s">
        <v>375</v>
      </c>
      <c r="AP21250" s="4" t="s">
        <v>376</v>
      </c>
      <c r="AR21250" s="4" t="s">
        <v>377</v>
      </c>
    </row>
    <row r="21251" spans="1:44" ht="75">
      <c r="A21251" s="4" t="s">
        <v>24364</v>
      </c>
      <c r="B21251" s="4">
        <v>123711</v>
      </c>
      <c r="D21251" s="5" t="s">
        <v>27393</v>
      </c>
      <c r="E21251" s="6" t="str">
        <f>HYPERLINK("https://inpn.mnhn.fr/espece/cd_nom/123711","Sinapis alba L., 1753")</f>
        <v>Sinapis alba L., 1753</v>
      </c>
      <c r="F21251" s="5" t="s">
        <v>27394</v>
      </c>
      <c r="P21251" s="7" t="str">
        <f>HYPERLINK("#Liste_rouge!A"&amp;_xlfn.XMATCH("LC",Liste_rouge!A:A,2,1),"LC")</f>
        <v>LC</v>
      </c>
      <c r="Q21251" s="7" t="str">
        <f>HYPERLINK("#Liste_rouge!A"&amp;_xlfn.XMATCH("LC",Liste_rouge!A:A,2,1),"LC")</f>
        <v>LC</v>
      </c>
      <c r="T21251" s="7" t="str">
        <f>HYPERLINK("#Liste_rouge!A"&amp;_xlfn.XMATCH("NA",Liste_rouge!A:A,2,1),"NA")</f>
        <v>NA</v>
      </c>
      <c r="AH21251" s="4" t="str">
        <f>HYPERLINK("#Statut_biogéographique!A"&amp;_xlfn.XMATCH("P",Statut_biogéographique!A:A,2,1),"P")</f>
        <v>P</v>
      </c>
      <c r="AI21251" s="8" t="s">
        <v>27395</v>
      </c>
      <c r="AJ21251" s="4" t="s">
        <v>12248</v>
      </c>
      <c r="AP21251" s="4" t="s">
        <v>376</v>
      </c>
      <c r="AR21251" s="4" t="s">
        <v>377</v>
      </c>
    </row>
    <row r="21252" spans="1:44" ht="90">
      <c r="A21252" s="4" t="s">
        <v>24364</v>
      </c>
      <c r="B21252" s="4">
        <v>123713</v>
      </c>
      <c r="D21252" s="5" t="s">
        <v>27396</v>
      </c>
      <c r="E21252" s="6" t="str">
        <f>HYPERLINK("https://inpn.mnhn.fr/espece/cd_nom/123713","Sinapis arvensis L., 1753")</f>
        <v>Sinapis arvensis L., 1753</v>
      </c>
      <c r="F21252" s="5" t="s">
        <v>27397</v>
      </c>
      <c r="P21252" s="7" t="str">
        <f>HYPERLINK("#Liste_rouge!A"&amp;_xlfn.XMATCH("LC",Liste_rouge!A:A,2,1),"LC")</f>
        <v>LC</v>
      </c>
      <c r="Q21252" s="7" t="str">
        <f>HYPERLINK("#Liste_rouge!A"&amp;_xlfn.XMATCH("LC",Liste_rouge!A:A,2,1),"LC")</f>
        <v>LC</v>
      </c>
      <c r="T21252" s="7" t="str">
        <f>HYPERLINK("#Liste_rouge!A"&amp;_xlfn.XMATCH("NE",Liste_rouge!A:A,2,1),"NE (cd_nom 151842) - LC (cd_nom 151841)")</f>
        <v>NE (cd_nom 151842) - LC (cd_nom 151841)</v>
      </c>
      <c r="V21252" s="7" t="str">
        <f>HYPERLINK("#Liste_rouge!A"&amp;_xlfn.XMATCH("LC",Liste_rouge!A:A,2,1),"LC")</f>
        <v>LC</v>
      </c>
      <c r="AH21252" s="4" t="str">
        <f>HYPERLINK("#Statut_biogéographique!A"&amp;_xlfn.XMATCH("P",Statut_biogéographique!A:A,2,1),"P")</f>
        <v>P</v>
      </c>
      <c r="AM21252" s="4" t="s">
        <v>375</v>
      </c>
      <c r="AN21252" s="4" t="s">
        <v>375</v>
      </c>
      <c r="AO21252" s="4" t="s">
        <v>375</v>
      </c>
      <c r="AP21252" s="4" t="s">
        <v>376</v>
      </c>
      <c r="AR21252" s="4" t="s">
        <v>377</v>
      </c>
    </row>
    <row r="21253" spans="1:44" ht="30">
      <c r="A21253" s="4" t="s">
        <v>24364</v>
      </c>
      <c r="B21253" s="4">
        <v>123773</v>
      </c>
      <c r="D21253" s="5" t="s">
        <v>27398</v>
      </c>
      <c r="E21253" s="6" t="str">
        <f>HYPERLINK("https://inpn.mnhn.fr/espece/cd_nom/123773","Sison amomum L., 1753")</f>
        <v>Sison amomum L., 1753</v>
      </c>
      <c r="F21253" s="5" t="s">
        <v>27399</v>
      </c>
      <c r="M21253" s="4" t="str">
        <f>HYPERLINK("#Réglementation!A"&amp;_xlfn.XMATCH("RV43",Réglementation!A:A,2,1),"RV43")</f>
        <v>RV43</v>
      </c>
      <c r="Q21253" s="7" t="str">
        <f>HYPERLINK("#Liste_rouge!A"&amp;_xlfn.XMATCH("LC",Liste_rouge!A:A,2,1),"LC")</f>
        <v>LC</v>
      </c>
      <c r="T21253" s="7" t="str">
        <f>HYPERLINK("#Liste_rouge!A"&amp;_xlfn.XMATCH("NT",Liste_rouge!A:A,2,1),"NT")</f>
        <v>NT</v>
      </c>
      <c r="U21253" s="4" t="str">
        <f>HYPERLINK("#Critères_liste_rouge!A$1","pr. D2")</f>
        <v>pr. D2</v>
      </c>
      <c r="V21253" s="7" t="str">
        <f>HYPERLINK("#Liste_rouge!A"&amp;_xlfn.XMATCH("CR",Liste_rouge!A:A,2,1),"CR")</f>
        <v>CR</v>
      </c>
      <c r="W21253" s="4" t="str">
        <f>HYPERLINK("#Critères_liste_rouge!A$1","D")</f>
        <v>D</v>
      </c>
      <c r="AB21253" s="4" t="s">
        <v>27400</v>
      </c>
      <c r="AH21253" s="4" t="str">
        <f>HYPERLINK("#Statut_biogéographique!A"&amp;_xlfn.XMATCH("P",Statut_biogéographique!A:A,2,1),"P")</f>
        <v>P</v>
      </c>
      <c r="AM21253" s="4" t="s">
        <v>375</v>
      </c>
      <c r="AN21253" s="4" t="s">
        <v>375</v>
      </c>
      <c r="AO21253" s="4" t="s">
        <v>375</v>
      </c>
      <c r="AP21253" s="4" t="s">
        <v>376</v>
      </c>
      <c r="AR21253" s="4" t="s">
        <v>377</v>
      </c>
    </row>
    <row r="21254" spans="1:44" ht="30">
      <c r="A21254" s="4" t="s">
        <v>24364</v>
      </c>
      <c r="B21254" s="4">
        <v>123785</v>
      </c>
      <c r="D21254" s="5" t="s">
        <v>27401</v>
      </c>
      <c r="E21254" s="6" t="str">
        <f>HYPERLINK("https://inpn.mnhn.fr/espece/cd_nom/123785","Sison segetum L., 1753")</f>
        <v>Sison segetum L., 1753</v>
      </c>
      <c r="F21254" s="5" t="s">
        <v>27402</v>
      </c>
      <c r="Q21254" s="7" t="str">
        <f>HYPERLINK("#Liste_rouge!A"&amp;_xlfn.XMATCH("LC",Liste_rouge!A:A,2,1),"LC")</f>
        <v>LC</v>
      </c>
      <c r="T21254" s="7" t="str">
        <f>HYPERLINK("#Liste_rouge!A"&amp;_xlfn.XMATCH("NT",Liste_rouge!A:A,2,1),"NT")</f>
        <v>NT</v>
      </c>
      <c r="U21254" s="4" t="str">
        <f>HYPERLINK("#Critères_liste_rouge!A$1","pr. B3c(i,ii,iii) &amp; D2")</f>
        <v>pr. B3c(i,ii,iii) &amp; D2</v>
      </c>
      <c r="AB21254" s="4" t="s">
        <v>24382</v>
      </c>
      <c r="AH21254" s="4" t="str">
        <f>HYPERLINK("#Statut_biogéographique!A"&amp;_xlfn.XMATCH("P",Statut_biogéographique!A:A,2,1),"P")</f>
        <v>P</v>
      </c>
      <c r="AM21254" s="4" t="s">
        <v>375</v>
      </c>
      <c r="AN21254" s="4" t="s">
        <v>375</v>
      </c>
      <c r="AO21254" s="4" t="s">
        <v>375</v>
      </c>
      <c r="AP21254" s="4" t="s">
        <v>376</v>
      </c>
      <c r="AR21254" s="4" t="s">
        <v>377</v>
      </c>
    </row>
    <row r="21255" spans="1:44" ht="30">
      <c r="A21255" s="4" t="s">
        <v>24364</v>
      </c>
      <c r="B21255" s="4">
        <v>123789</v>
      </c>
      <c r="D21255" s="5" t="s">
        <v>27403</v>
      </c>
      <c r="E21255" s="6" t="str">
        <f>HYPERLINK("https://inpn.mnhn.fr/espece/cd_nom/123789","Sisymbrella aspera (L.) Spach, 1838")</f>
        <v>Sisymbrella aspera (L.) Spach, 1838</v>
      </c>
      <c r="F21255" s="5" t="s">
        <v>27404</v>
      </c>
      <c r="O21255" s="7" t="str">
        <f>HYPERLINK("#Liste_rouge!A"&amp;_xlfn.XMATCH("LC",Liste_rouge!A:A,2,1),"LC")</f>
        <v>LC</v>
      </c>
      <c r="Q21255" s="7" t="str">
        <f>HYPERLINK("#Liste_rouge!A"&amp;_xlfn.XMATCH("LC",Liste_rouge!A:A,2,1),"LC")</f>
        <v>LC</v>
      </c>
      <c r="T21255" s="7" t="str">
        <f>HYPERLINK("#Liste_rouge!A"&amp;_xlfn.XMATCH("EN",Liste_rouge!A:A,2,1),"EN")</f>
        <v>EN</v>
      </c>
      <c r="U21255" s="4" t="str">
        <f>HYPERLINK("#Critères_liste_rouge!A$1","B2ab(ii,iii,iv)")</f>
        <v>B2ab(ii,iii,iv)</v>
      </c>
      <c r="AB21255" s="4" t="s">
        <v>25010</v>
      </c>
      <c r="AH21255" s="4" t="str">
        <f>HYPERLINK("#Statut_biogéographique!A"&amp;_xlfn.XMATCH("P",Statut_biogéographique!A:A,2,1),"P")</f>
        <v>P</v>
      </c>
      <c r="AM21255" s="4" t="s">
        <v>375</v>
      </c>
      <c r="AN21255" s="4" t="s">
        <v>375</v>
      </c>
      <c r="AO21255" s="4" t="s">
        <v>375</v>
      </c>
      <c r="AP21255" s="4" t="s">
        <v>376</v>
      </c>
      <c r="AR21255" s="4" t="s">
        <v>377</v>
      </c>
    </row>
    <row r="21256" spans="1:44" ht="30">
      <c r="A21256" s="4" t="s">
        <v>24364</v>
      </c>
      <c r="B21256" s="4">
        <v>123799</v>
      </c>
      <c r="D21256" s="5" t="s">
        <v>27405</v>
      </c>
      <c r="E21256" s="6" t="str">
        <f>HYPERLINK("https://inpn.mnhn.fr/espece/cd_nom/123799","Sisymbrium altissimum L., 1753")</f>
        <v>Sisymbrium altissimum L., 1753</v>
      </c>
      <c r="F21256" s="5" t="s">
        <v>27406</v>
      </c>
      <c r="Q21256" s="7" t="str">
        <f>HYPERLINK("#Liste_rouge!A"&amp;_xlfn.XMATCH("NA",Liste_rouge!A:A,2,1),"NA")</f>
        <v>NA</v>
      </c>
      <c r="T21256" s="7" t="str">
        <f>HYPERLINK("#Liste_rouge!A"&amp;_xlfn.XMATCH("NA",Liste_rouge!A:A,2,1),"NA")</f>
        <v>NA</v>
      </c>
      <c r="AH21256" s="4" t="str">
        <f>HYPERLINK("#Statut_biogéographique!A"&amp;_xlfn.XMATCH("I",Statut_biogéographique!A:A,2,1),"I")</f>
        <v>I</v>
      </c>
      <c r="AM21256" s="4" t="s">
        <v>375</v>
      </c>
      <c r="AN21256" s="4" t="s">
        <v>375</v>
      </c>
      <c r="AO21256" s="4" t="s">
        <v>375</v>
      </c>
      <c r="AP21256" s="4" t="s">
        <v>376</v>
      </c>
      <c r="AR21256" s="4" t="s">
        <v>377</v>
      </c>
    </row>
    <row r="21257" spans="1:44" ht="165">
      <c r="A21257" s="4" t="s">
        <v>24364</v>
      </c>
      <c r="B21257" s="4">
        <v>123804</v>
      </c>
      <c r="D21257" s="5" t="s">
        <v>27407</v>
      </c>
      <c r="E21257" s="6" t="str">
        <f>HYPERLINK("https://inpn.mnhn.fr/espece/cd_nom/123804","Sisymbrium austriacum Jacq., 1775")</f>
        <v>Sisymbrium austriacum Jacq., 1775</v>
      </c>
      <c r="F21257" s="5" t="s">
        <v>27408</v>
      </c>
      <c r="M21257" s="4" t="str">
        <f>HYPERLINK("#Réglementation!A"&amp;_xlfn.XMATCH("RV43",Réglementation!A:A,2,1),"RV43")</f>
        <v>RV43</v>
      </c>
      <c r="Q21257" s="7" t="str">
        <f>HYPERLINK("#Liste_rouge!A"&amp;_xlfn.XMATCH("LC",Liste_rouge!A:A,2,1),"LC")</f>
        <v>LC</v>
      </c>
      <c r="T21257" s="7" t="str">
        <f>HYPERLINK("#Liste_rouge!A"&amp;_xlfn.XMATCH("NA",Liste_rouge!A:A,2,1),"NA")</f>
        <v>NA</v>
      </c>
      <c r="V21257" s="7" t="str">
        <f>HYPERLINK("#Liste_rouge!A"&amp;_xlfn.XMATCH("NT",Liste_rouge!A:A,2,1),"NT")</f>
        <v>NT</v>
      </c>
      <c r="W21257" s="4" t="str">
        <f>HYPERLINK("#Critères_liste_rouge!A$1","pr. B2a")</f>
        <v>pr. B2a</v>
      </c>
      <c r="AB21257" s="4" t="s">
        <v>24909</v>
      </c>
      <c r="AH21257" s="4" t="str">
        <f>HYPERLINK("#Statut_biogéographique!A"&amp;_xlfn.XMATCH("P",Statut_biogéographique!A:A,2,1),"P")</f>
        <v>P</v>
      </c>
      <c r="AM21257" s="4" t="s">
        <v>375</v>
      </c>
      <c r="AN21257" s="4" t="s">
        <v>375</v>
      </c>
      <c r="AO21257" s="4" t="s">
        <v>375</v>
      </c>
      <c r="AP21257" s="4" t="s">
        <v>376</v>
      </c>
      <c r="AR21257" s="4" t="s">
        <v>377</v>
      </c>
    </row>
    <row r="21258" spans="1:44" ht="75">
      <c r="A21258" s="4" t="s">
        <v>24364</v>
      </c>
      <c r="B21258" s="4">
        <v>123841</v>
      </c>
      <c r="D21258" s="5" t="s">
        <v>27409</v>
      </c>
      <c r="E21258" s="6" t="str">
        <f>HYPERLINK("https://inpn.mnhn.fr/espece/cd_nom/123841","Sisymbrium irio L., 1753")</f>
        <v>Sisymbrium irio L., 1753</v>
      </c>
      <c r="F21258" s="5" t="s">
        <v>27410</v>
      </c>
      <c r="Q21258" s="7" t="str">
        <f>HYPERLINK("#Liste_rouge!A"&amp;_xlfn.XMATCH("LC",Liste_rouge!A:A,2,1),"LC")</f>
        <v>LC</v>
      </c>
      <c r="T21258" s="7" t="str">
        <f>HYPERLINK("#Liste_rouge!A"&amp;_xlfn.XMATCH("NA",Liste_rouge!A:A,2,1),"NA")</f>
        <v>NA</v>
      </c>
      <c r="AH21258" s="4" t="str">
        <f>HYPERLINK("#Statut_biogéographique!A"&amp;_xlfn.XMATCH("P",Statut_biogéographique!A:A,2,1),"P")</f>
        <v>P</v>
      </c>
      <c r="AP21258" s="4" t="s">
        <v>376</v>
      </c>
      <c r="AR21258" s="4" t="s">
        <v>377</v>
      </c>
    </row>
    <row r="21259" spans="1:44" ht="45">
      <c r="A21259" s="4" t="s">
        <v>24364</v>
      </c>
      <c r="B21259" s="4">
        <v>123849</v>
      </c>
      <c r="D21259" s="5" t="s">
        <v>27411</v>
      </c>
      <c r="E21259" s="6" t="str">
        <f>HYPERLINK("https://inpn.mnhn.fr/espece/cd_nom/123849","Sisymbrium loeselii L., 1755")</f>
        <v>Sisymbrium loeselii L., 1755</v>
      </c>
      <c r="F21259" s="5" t="s">
        <v>27412</v>
      </c>
      <c r="Q21259" s="7" t="str">
        <f>HYPERLINK("#Liste_rouge!A"&amp;_xlfn.XMATCH("NA",Liste_rouge!A:A,2,1),"NA")</f>
        <v>NA</v>
      </c>
      <c r="T21259" s="7" t="str">
        <f>HYPERLINK("#Liste_rouge!A"&amp;_xlfn.XMATCH("NA",Liste_rouge!A:A,2,1),"NA")</f>
        <v>NA</v>
      </c>
      <c r="AH21259" s="4" t="str">
        <f>HYPERLINK("#Statut_biogéographique!A"&amp;_xlfn.XMATCH("I",Statut_biogéographique!A:A,2,1),"I")</f>
        <v>I</v>
      </c>
      <c r="AP21259" s="4" t="s">
        <v>376</v>
      </c>
      <c r="AR21259" s="4" t="s">
        <v>377</v>
      </c>
    </row>
    <row r="21260" spans="1:44" ht="45">
      <c r="A21260" s="4" t="s">
        <v>24364</v>
      </c>
      <c r="B21260" s="4">
        <v>123863</v>
      </c>
      <c r="D21260" s="5" t="s">
        <v>27413</v>
      </c>
      <c r="E21260" s="6" t="str">
        <f>HYPERLINK("https://inpn.mnhn.fr/espece/cd_nom/123863","Sisymbrium officinale (L.) Scop., 1772")</f>
        <v>Sisymbrium officinale (L.) Scop., 1772</v>
      </c>
      <c r="F21260" s="5" t="s">
        <v>27414</v>
      </c>
      <c r="P21260" s="7" t="str">
        <f>HYPERLINK("#Liste_rouge!A"&amp;_xlfn.XMATCH("LC",Liste_rouge!A:A,2,1),"LC")</f>
        <v>LC</v>
      </c>
      <c r="Q21260" s="7" t="str">
        <f>HYPERLINK("#Liste_rouge!A"&amp;_xlfn.XMATCH("LC",Liste_rouge!A:A,2,1),"LC")</f>
        <v>LC</v>
      </c>
      <c r="T21260" s="7" t="str">
        <f>HYPERLINK("#Liste_rouge!A"&amp;_xlfn.XMATCH("LC",Liste_rouge!A:A,2,1),"LC")</f>
        <v>LC</v>
      </c>
      <c r="V21260" s="7" t="str">
        <f>HYPERLINK("#Liste_rouge!A"&amp;_xlfn.XMATCH("LC",Liste_rouge!A:A,2,1),"LC")</f>
        <v>LC</v>
      </c>
      <c r="AH21260" s="4" t="str">
        <f>HYPERLINK("#Statut_biogéographique!A"&amp;_xlfn.XMATCH("P",Statut_biogéographique!A:A,2,1),"P")</f>
        <v>P</v>
      </c>
      <c r="AM21260" s="4" t="s">
        <v>375</v>
      </c>
      <c r="AN21260" s="4" t="s">
        <v>375</v>
      </c>
      <c r="AO21260" s="4" t="s">
        <v>375</v>
      </c>
      <c r="AP21260" s="4" t="s">
        <v>376</v>
      </c>
      <c r="AR21260" s="4" t="s">
        <v>377</v>
      </c>
    </row>
    <row r="21261" spans="1:44" ht="30">
      <c r="A21261" s="4" t="s">
        <v>24364</v>
      </c>
      <c r="B21261" s="4">
        <v>123864</v>
      </c>
      <c r="D21261" s="5" t="s">
        <v>27415</v>
      </c>
      <c r="E21261" s="6" t="str">
        <f>HYPERLINK("https://inpn.mnhn.fr/espece/cd_nom/123864","Sisymbrium orientale L., 1756")</f>
        <v>Sisymbrium orientale L., 1756</v>
      </c>
      <c r="F21261" s="5" t="s">
        <v>27416</v>
      </c>
      <c r="Q21261" s="7" t="str">
        <f>HYPERLINK("#Liste_rouge!A"&amp;_xlfn.XMATCH("LC",Liste_rouge!A:A,2,1),"LC")</f>
        <v>LC</v>
      </c>
      <c r="T21261" s="7" t="str">
        <f>HYPERLINK("#Liste_rouge!A"&amp;_xlfn.XMATCH("NA",Liste_rouge!A:A,2,1),"NA")</f>
        <v>NA</v>
      </c>
      <c r="AH21261" s="4" t="str">
        <f>HYPERLINK("#Statut_biogéographique!A"&amp;_xlfn.XMATCH("P",Statut_biogéographique!A:A,2,1),"P")</f>
        <v>P</v>
      </c>
      <c r="AP21261" s="4" t="s">
        <v>376</v>
      </c>
      <c r="AR21261" s="4" t="s">
        <v>377</v>
      </c>
    </row>
    <row r="21262" spans="1:44" ht="30">
      <c r="A21262" s="4" t="s">
        <v>24364</v>
      </c>
      <c r="B21262" s="4">
        <v>123933</v>
      </c>
      <c r="D21262" s="5" t="s">
        <v>27417</v>
      </c>
      <c r="E21262" s="6" t="str">
        <f>HYPERLINK("https://inpn.mnhn.fr/espece/cd_nom/123933","Sisyrinchium montanum Greene, 1899")</f>
        <v>Sisyrinchium montanum Greene, 1899</v>
      </c>
      <c r="F21262" s="5" t="s">
        <v>27418</v>
      </c>
      <c r="Q21262" s="7" t="str">
        <f>HYPERLINK("#Liste_rouge!A"&amp;_xlfn.XMATCH("NA",Liste_rouge!A:A,2,1),"NA")</f>
        <v>NA</v>
      </c>
      <c r="T21262" s="7" t="str">
        <f>HYPERLINK("#Liste_rouge!A"&amp;_xlfn.XMATCH("NA",Liste_rouge!A:A,2,1),"NA")</f>
        <v>NA</v>
      </c>
      <c r="AH21262" s="4" t="str">
        <f>HYPERLINK("#Statut_biogéographique!A"&amp;_xlfn.XMATCH("I",Statut_biogéographique!A:A,2,1),"I")</f>
        <v>I</v>
      </c>
      <c r="AM21262" s="4" t="s">
        <v>375</v>
      </c>
      <c r="AN21262" s="4" t="s">
        <v>375</v>
      </c>
      <c r="AO21262" s="4" t="s">
        <v>375</v>
      </c>
      <c r="AP21262" s="4" t="s">
        <v>376</v>
      </c>
      <c r="AR21262" s="4" t="s">
        <v>377</v>
      </c>
    </row>
    <row r="21263" spans="1:44" ht="45">
      <c r="A21263" s="4" t="s">
        <v>24364</v>
      </c>
      <c r="B21263" s="4">
        <v>123960</v>
      </c>
      <c r="D21263" s="5" t="s">
        <v>27419</v>
      </c>
      <c r="E21263" s="6" t="str">
        <f>HYPERLINK("https://inpn.mnhn.fr/espece/cd_nom/123960","Sium latifolium L., 1753")</f>
        <v>Sium latifolium L., 1753</v>
      </c>
      <c r="F21263" s="5" t="s">
        <v>27420</v>
      </c>
      <c r="M21263" s="4" t="str">
        <f>HYPERLINK("#Réglementation!A"&amp;_xlfn.XMATCH("RV43",Réglementation!A:A,2,1),"RV43")</f>
        <v>RV43</v>
      </c>
      <c r="P21263" s="7" t="str">
        <f>HYPERLINK("#Liste_rouge!A"&amp;_xlfn.XMATCH("LC",Liste_rouge!A:A,2,1),"LC")</f>
        <v>LC</v>
      </c>
      <c r="Q21263" s="7" t="str">
        <f>HYPERLINK("#Liste_rouge!A"&amp;_xlfn.XMATCH("NT",Liste_rouge!A:A,2,1),"NT")</f>
        <v>NT</v>
      </c>
      <c r="T21263" s="7" t="str">
        <f>HYPERLINK("#Liste_rouge!A"&amp;_xlfn.XMATCH("EN",Liste_rouge!A:A,2,1),"EN")</f>
        <v>EN</v>
      </c>
      <c r="U21263" s="4" t="str">
        <f>HYPERLINK("#Critères_liste_rouge!A$1","B2ab(ii,iii,iv) C2a(i)")</f>
        <v>B2ab(ii,iii,iv) C2a(i)</v>
      </c>
      <c r="V21263" s="7" t="str">
        <f>HYPERLINK("#Liste_rouge!A"&amp;_xlfn.XMATCH("NT",Liste_rouge!A:A,2,1),"NT")</f>
        <v>NT</v>
      </c>
      <c r="W21263" s="4" t="str">
        <f>HYPERLINK("#Critères_liste_rouge!A$1","pr. B2a")</f>
        <v>pr. B2a</v>
      </c>
      <c r="X21263" s="5" t="s">
        <v>374</v>
      </c>
      <c r="AB21263" s="4" t="s">
        <v>93</v>
      </c>
      <c r="AH21263" s="4" t="str">
        <f>HYPERLINK("#Statut_biogéographique!A"&amp;_xlfn.XMATCH("P",Statut_biogéographique!A:A,2,1),"P")</f>
        <v>P</v>
      </c>
      <c r="AM21263" s="4" t="s">
        <v>375</v>
      </c>
      <c r="AN21263" s="4" t="s">
        <v>375</v>
      </c>
      <c r="AO21263" s="4" t="s">
        <v>375</v>
      </c>
      <c r="AP21263" s="4" t="s">
        <v>376</v>
      </c>
      <c r="AR21263" s="4" t="s">
        <v>377</v>
      </c>
    </row>
    <row r="21264" spans="1:44">
      <c r="A21264" s="4" t="s">
        <v>24364</v>
      </c>
      <c r="B21264" s="4">
        <v>124003</v>
      </c>
      <c r="D21264" s="5" t="s">
        <v>27421</v>
      </c>
      <c r="E21264" s="6" t="str">
        <f>HYPERLINK("https://inpn.mnhn.fr/espece/cd_nom/124003","Smyrnium olusatrum L., 1753")</f>
        <v>Smyrnium olusatrum L., 1753</v>
      </c>
      <c r="F21264" s="5" t="s">
        <v>27422</v>
      </c>
      <c r="Q21264" s="7" t="str">
        <f>HYPERLINK("#Liste_rouge!A"&amp;_xlfn.XMATCH("LC",Liste_rouge!A:A,2,1),"LC")</f>
        <v>LC</v>
      </c>
      <c r="T21264" s="7" t="str">
        <f>HYPERLINK("#Liste_rouge!A"&amp;_xlfn.XMATCH("NA",Liste_rouge!A:A,2,1),"NA")</f>
        <v>NA</v>
      </c>
      <c r="AH21264" s="4" t="str">
        <f>HYPERLINK("#Statut_biogéographique!A"&amp;_xlfn.XMATCH("P",Statut_biogéographique!A:A,2,1),"P")</f>
        <v>P</v>
      </c>
      <c r="AP21264" s="4" t="s">
        <v>376</v>
      </c>
      <c r="AR21264" s="4" t="s">
        <v>377</v>
      </c>
    </row>
    <row r="21265" spans="1:44" ht="60">
      <c r="A21265" s="4" t="s">
        <v>24364</v>
      </c>
      <c r="B21265" s="4">
        <v>124034</v>
      </c>
      <c r="D21265" s="5" t="s">
        <v>27423</v>
      </c>
      <c r="E21265" s="6" t="str">
        <f>HYPERLINK("https://inpn.mnhn.fr/espece/cd_nom/124034","Solanum dulcamara L., 1753")</f>
        <v>Solanum dulcamara L., 1753</v>
      </c>
      <c r="F21265" s="5" t="s">
        <v>27424</v>
      </c>
      <c r="P21265" s="7" t="str">
        <f>HYPERLINK("#Liste_rouge!A"&amp;_xlfn.XMATCH("LC",Liste_rouge!A:A,2,1),"LC")</f>
        <v>LC</v>
      </c>
      <c r="Q21265" s="7" t="str">
        <f>HYPERLINK("#Liste_rouge!A"&amp;_xlfn.XMATCH("LC",Liste_rouge!A:A,2,1),"LC")</f>
        <v>LC</v>
      </c>
      <c r="T21265" s="7" t="str">
        <f>HYPERLINK("#Liste_rouge!A"&amp;_xlfn.XMATCH("LC",Liste_rouge!A:A,2,1),"LC")</f>
        <v>LC</v>
      </c>
      <c r="V21265" s="7" t="str">
        <f>HYPERLINK("#Liste_rouge!A"&amp;_xlfn.XMATCH("LC",Liste_rouge!A:A,2,1),"LC")</f>
        <v>LC</v>
      </c>
      <c r="AH21265" s="4" t="str">
        <f>HYPERLINK("#Statut_biogéographique!A"&amp;_xlfn.XMATCH("P",Statut_biogéographique!A:A,2,1),"P")</f>
        <v>P</v>
      </c>
      <c r="AM21265" s="4" t="s">
        <v>375</v>
      </c>
      <c r="AN21265" s="4" t="s">
        <v>375</v>
      </c>
      <c r="AO21265" s="4" t="s">
        <v>375</v>
      </c>
      <c r="AP21265" s="4" t="s">
        <v>376</v>
      </c>
      <c r="AR21265" s="4" t="s">
        <v>377</v>
      </c>
    </row>
    <row r="21266" spans="1:44" ht="75">
      <c r="A21266" s="4" t="s">
        <v>24364</v>
      </c>
      <c r="B21266" s="4">
        <v>124070</v>
      </c>
      <c r="D21266" s="5" t="s">
        <v>27425</v>
      </c>
      <c r="E21266" s="6" t="str">
        <f>HYPERLINK("https://inpn.mnhn.fr/espece/cd_nom/124070","Solanum lycopersicum L., 1753")</f>
        <v>Solanum lycopersicum L., 1753</v>
      </c>
      <c r="F21266" s="5" t="s">
        <v>27426</v>
      </c>
      <c r="Q21266" s="7" t="str">
        <f>HYPERLINK("#Liste_rouge!A"&amp;_xlfn.XMATCH("NA",Liste_rouge!A:A,2,1),"NA")</f>
        <v>NA</v>
      </c>
      <c r="T21266" s="7" t="str">
        <f>HYPERLINK("#Liste_rouge!A"&amp;_xlfn.XMATCH("NA",Liste_rouge!A:A,2,1),"NA")</f>
        <v>NA</v>
      </c>
      <c r="AH21266" s="4" t="str">
        <f>HYPERLINK("#Statut_biogéographique!A"&amp;_xlfn.XMATCH("I",Statut_biogéographique!A:A,2,1),"I")</f>
        <v>I</v>
      </c>
      <c r="AM21266" s="4" t="s">
        <v>375</v>
      </c>
      <c r="AN21266" s="4" t="s">
        <v>375</v>
      </c>
      <c r="AO21266" s="4" t="s">
        <v>375</v>
      </c>
      <c r="AP21266" s="4" t="s">
        <v>376</v>
      </c>
      <c r="AR21266" s="4" t="s">
        <v>377</v>
      </c>
    </row>
    <row r="21267" spans="1:44">
      <c r="A21267" s="4" t="s">
        <v>24364</v>
      </c>
      <c r="B21267" s="4">
        <v>124080</v>
      </c>
      <c r="D21267" s="5" t="s">
        <v>27427</v>
      </c>
      <c r="E21267" s="6" t="str">
        <f>HYPERLINK("https://inpn.mnhn.fr/espece/cd_nom/124080","Solanum nigrum L., 1753")</f>
        <v>Solanum nigrum L., 1753</v>
      </c>
      <c r="F21267" s="5" t="s">
        <v>27428</v>
      </c>
      <c r="Q21267" s="7" t="str">
        <f>HYPERLINK("#Liste_rouge!A"&amp;_xlfn.XMATCH("LC",Liste_rouge!A:A,2,1),"LC")</f>
        <v>LC</v>
      </c>
      <c r="T21267" s="7" t="str">
        <f>HYPERLINK("#Liste_rouge!A"&amp;_xlfn.XMATCH("LC",Liste_rouge!A:A,2,1),"LC")</f>
        <v>LC</v>
      </c>
      <c r="V21267" s="7" t="str">
        <f>HYPERLINK("#Liste_rouge!A"&amp;_xlfn.XMATCH("LC",Liste_rouge!A:A,2,1),"LC")</f>
        <v>LC</v>
      </c>
      <c r="AH21267" s="4" t="str">
        <f>HYPERLINK("#Statut_biogéographique!A"&amp;_xlfn.XMATCH("P",Statut_biogéographique!A:A,2,1),"P")</f>
        <v>P</v>
      </c>
      <c r="AM21267" s="4" t="s">
        <v>375</v>
      </c>
      <c r="AN21267" s="4" t="s">
        <v>375</v>
      </c>
      <c r="AO21267" s="4" t="s">
        <v>375</v>
      </c>
      <c r="AP21267" s="4" t="s">
        <v>376</v>
      </c>
      <c r="AR21267" s="4" t="s">
        <v>377</v>
      </c>
    </row>
    <row r="21268" spans="1:44" ht="30">
      <c r="A21268" s="4" t="s">
        <v>24364</v>
      </c>
      <c r="B21268" s="4">
        <v>124089</v>
      </c>
      <c r="D21268" s="5" t="s">
        <v>27429</v>
      </c>
      <c r="E21268" s="6" t="str">
        <f>HYPERLINK("https://inpn.mnhn.fr/espece/cd_nom/124089","Solanum physalifolium Rusby, 1895")</f>
        <v>Solanum physalifolium Rusby, 1895</v>
      </c>
      <c r="F21268" s="5" t="s">
        <v>27430</v>
      </c>
      <c r="Q21268" s="7" t="str">
        <f>HYPERLINK("#Liste_rouge!A"&amp;_xlfn.XMATCH("NA",Liste_rouge!A:A,2,1),"NA")</f>
        <v>NA</v>
      </c>
      <c r="T21268" s="7" t="str">
        <f>HYPERLINK("#Liste_rouge!A"&amp;_xlfn.XMATCH("NA",Liste_rouge!A:A,2,1),"NA")</f>
        <v>NA</v>
      </c>
      <c r="AH21268" s="4" t="str">
        <f>HYPERLINK("#Statut_biogéographique!A"&amp;_xlfn.XMATCH("I",Statut_biogéographique!A:A,2,1),"I")</f>
        <v>I</v>
      </c>
      <c r="AP21268" s="4" t="s">
        <v>376</v>
      </c>
      <c r="AR21268" s="4" t="s">
        <v>377</v>
      </c>
    </row>
    <row r="21269" spans="1:44">
      <c r="A21269" s="4" t="s">
        <v>24364</v>
      </c>
      <c r="B21269" s="4">
        <v>124106</v>
      </c>
      <c r="D21269" s="5" t="s">
        <v>27431</v>
      </c>
      <c r="E21269" s="6" t="str">
        <f>HYPERLINK("https://inpn.mnhn.fr/espece/cd_nom/124106","Solanum sarrachoides Sendtn., 1846")</f>
        <v>Solanum sarrachoides Sendtn., 1846</v>
      </c>
      <c r="F21269" s="5" t="s">
        <v>27432</v>
      </c>
      <c r="Q21269" s="7" t="str">
        <f>HYPERLINK("#Liste_rouge!A"&amp;_xlfn.XMATCH("NA",Liste_rouge!A:A,2,1),"NA")</f>
        <v>NA</v>
      </c>
      <c r="T21269" s="7" t="str">
        <f>HYPERLINK("#Liste_rouge!A"&amp;_xlfn.XMATCH("NA",Liste_rouge!A:A,2,1),"NA")</f>
        <v>NA</v>
      </c>
      <c r="AH21269" s="4" t="str">
        <f>HYPERLINK("#Statut_biogéographique!A"&amp;_xlfn.XMATCH("I",Statut_biogéographique!A:A,2,1),"I")</f>
        <v>I</v>
      </c>
      <c r="AP21269" s="4" t="s">
        <v>376</v>
      </c>
      <c r="AR21269" s="4" t="s">
        <v>377</v>
      </c>
    </row>
    <row r="21270" spans="1:44" ht="30">
      <c r="A21270" s="4" t="s">
        <v>24364</v>
      </c>
      <c r="B21270" s="4">
        <v>124125</v>
      </c>
      <c r="D21270" s="5" t="s">
        <v>27433</v>
      </c>
      <c r="E21270" s="6" t="str">
        <f>HYPERLINK("https://inpn.mnhn.fr/espece/cd_nom/124125","Solanum tuberosum L., 1753")</f>
        <v>Solanum tuberosum L., 1753</v>
      </c>
      <c r="F21270" s="5" t="s">
        <v>27434</v>
      </c>
      <c r="O21270" s="7" t="str">
        <f>HYPERLINK("#Liste_rouge!A"&amp;_xlfn.XMATCH("EN",Liste_rouge!A:A,2,1),"EN")</f>
        <v>EN</v>
      </c>
      <c r="Q21270" s="7" t="str">
        <f>HYPERLINK("#Liste_rouge!A"&amp;_xlfn.XMATCH("NA",Liste_rouge!A:A,2,1),"NA")</f>
        <v>NA</v>
      </c>
      <c r="T21270" s="7" t="str">
        <f>HYPERLINK("#Liste_rouge!A"&amp;_xlfn.XMATCH("NA",Liste_rouge!A:A,2,1),"NA")</f>
        <v>NA</v>
      </c>
      <c r="AH21270" s="4" t="str">
        <f>HYPERLINK("#Statut_biogéographique!A"&amp;_xlfn.XMATCH("M",Statut_biogéographique!A:A,2,1),"M")</f>
        <v>M</v>
      </c>
      <c r="AP21270" s="4" t="s">
        <v>376</v>
      </c>
      <c r="AR21270" s="4" t="s">
        <v>377</v>
      </c>
    </row>
    <row r="21271" spans="1:44" ht="45">
      <c r="A21271" s="4" t="s">
        <v>24364</v>
      </c>
      <c r="B21271" s="4">
        <v>124132</v>
      </c>
      <c r="D21271" s="5" t="s">
        <v>27435</v>
      </c>
      <c r="E21271" s="6" t="str">
        <f>HYPERLINK("https://inpn.mnhn.fr/espece/cd_nom/124132","Solanum villosum Mill., 1768")</f>
        <v>Solanum villosum Mill., 1768</v>
      </c>
      <c r="F21271" s="5" t="s">
        <v>27436</v>
      </c>
      <c r="Q21271" s="7" t="str">
        <f>HYPERLINK("#Liste_rouge!A"&amp;_xlfn.XMATCH("LC",Liste_rouge!A:A,2,1),"LC")</f>
        <v>LC</v>
      </c>
      <c r="T21271" s="7" t="str">
        <f>HYPERLINK("#Liste_rouge!A"&amp;_xlfn.XMATCH("NA",Liste_rouge!A:A,2,1),"NA")</f>
        <v>NA</v>
      </c>
      <c r="AH21271" s="4" t="str">
        <f>HYPERLINK("#Statut_biogéographique!A"&amp;_xlfn.XMATCH("P",Statut_biogéographique!A:A,2,1),"P")</f>
        <v>P</v>
      </c>
      <c r="AP21271" s="4" t="s">
        <v>376</v>
      </c>
      <c r="AR21271" s="4" t="s">
        <v>377</v>
      </c>
    </row>
    <row r="21272" spans="1:44" ht="60">
      <c r="A21272" s="4" t="s">
        <v>24364</v>
      </c>
      <c r="B21272" s="4">
        <v>124139</v>
      </c>
      <c r="D21272" s="5" t="s">
        <v>27437</v>
      </c>
      <c r="E21272" s="6" t="str">
        <f>HYPERLINK("https://inpn.mnhn.fr/espece/cd_nom/124139","Soldanella alpina L., 1753")</f>
        <v>Soldanella alpina L., 1753</v>
      </c>
      <c r="F21272" s="5" t="s">
        <v>27438</v>
      </c>
      <c r="Q21272" s="7" t="str">
        <f>HYPERLINK("#Liste_rouge!A"&amp;_xlfn.XMATCH("LC",Liste_rouge!A:A,2,1),"LC")</f>
        <v>LC</v>
      </c>
      <c r="V21272" s="7" t="str">
        <f>HYPERLINK("#Liste_rouge!A"&amp;_xlfn.XMATCH("EN",Liste_rouge!A:A,2,1),"EN")</f>
        <v>EN</v>
      </c>
      <c r="W21272" s="4" t="str">
        <f>HYPERLINK("#Critères_liste_rouge!A$1","D")</f>
        <v>D</v>
      </c>
      <c r="X21272" s="5" t="s">
        <v>374</v>
      </c>
      <c r="AB21272" s="4" t="s">
        <v>93</v>
      </c>
      <c r="AH21272" s="4" t="str">
        <f>HYPERLINK("#Statut_biogéographique!A"&amp;_xlfn.XMATCH("P",Statut_biogéographique!A:A,2,1),"P")</f>
        <v>P</v>
      </c>
      <c r="AM21272" s="4" t="s">
        <v>375</v>
      </c>
      <c r="AN21272" s="4" t="s">
        <v>375</v>
      </c>
      <c r="AO21272" s="4" t="s">
        <v>375</v>
      </c>
      <c r="AP21272" s="4" t="s">
        <v>376</v>
      </c>
      <c r="AR21272" s="4" t="s">
        <v>377</v>
      </c>
    </row>
    <row r="21273" spans="1:44" ht="45">
      <c r="A21273" s="4" t="s">
        <v>24364</v>
      </c>
      <c r="B21273" s="4">
        <v>124164</v>
      </c>
      <c r="D21273" s="5" t="s">
        <v>27439</v>
      </c>
      <c r="E21273" s="6" t="str">
        <f>HYPERLINK("https://inpn.mnhn.fr/espece/cd_nom/124164","Solidago canadensis L., 1753")</f>
        <v>Solidago canadensis L., 1753</v>
      </c>
      <c r="F21273" s="5" t="s">
        <v>27440</v>
      </c>
      <c r="Q21273" s="7" t="str">
        <f>HYPERLINK("#Liste_rouge!A"&amp;_xlfn.XMATCH("NA",Liste_rouge!A:A,2,1),"NA")</f>
        <v>NA</v>
      </c>
      <c r="T21273" s="7" t="str">
        <f>HYPERLINK("#Liste_rouge!A"&amp;_xlfn.XMATCH("NA",Liste_rouge!A:A,2,1),"NA")</f>
        <v>NA</v>
      </c>
      <c r="AH21273" s="4" t="str">
        <f>HYPERLINK("#Statut_biogéographique!A"&amp;_xlfn.XMATCH("J",Statut_biogéographique!A:A,2,1),"J")</f>
        <v>J</v>
      </c>
      <c r="AM21273" s="4" t="s">
        <v>375</v>
      </c>
      <c r="AN21273" s="4" t="s">
        <v>375</v>
      </c>
      <c r="AO21273" s="4" t="s">
        <v>375</v>
      </c>
      <c r="AP21273" s="4" t="s">
        <v>376</v>
      </c>
      <c r="AR21273" s="4" t="s">
        <v>377</v>
      </c>
    </row>
    <row r="21274" spans="1:44" ht="30">
      <c r="A21274" s="4" t="s">
        <v>24364</v>
      </c>
      <c r="B21274" s="4">
        <v>124168</v>
      </c>
      <c r="D21274" s="5" t="s">
        <v>27441</v>
      </c>
      <c r="E21274" s="6" t="str">
        <f>HYPERLINK("https://inpn.mnhn.fr/espece/cd_nom/124168","Solidago gigantea Aiton, 1789")</f>
        <v>Solidago gigantea Aiton, 1789</v>
      </c>
      <c r="F21274" s="5" t="s">
        <v>27440</v>
      </c>
      <c r="Q21274" s="7" t="str">
        <f>HYPERLINK("#Liste_rouge!A"&amp;_xlfn.XMATCH("NA",Liste_rouge!A:A,2,1),"NA")</f>
        <v>NA</v>
      </c>
      <c r="T21274" s="7" t="str">
        <f>HYPERLINK("#Liste_rouge!A"&amp;_xlfn.XMATCH("NA",Liste_rouge!A:A,2,1),"NA")</f>
        <v>NA</v>
      </c>
      <c r="AH21274" s="4" t="str">
        <f>HYPERLINK("#Statut_biogéographique!A"&amp;_xlfn.XMATCH("J",Statut_biogéographique!A:A,2,1),"J")</f>
        <v>J</v>
      </c>
      <c r="AM21274" s="4" t="s">
        <v>375</v>
      </c>
      <c r="AN21274" s="4" t="s">
        <v>375</v>
      </c>
      <c r="AO21274" s="4" t="s">
        <v>375</v>
      </c>
      <c r="AP21274" s="4" t="s">
        <v>376</v>
      </c>
      <c r="AR21274" s="4" t="s">
        <v>377</v>
      </c>
    </row>
    <row r="21275" spans="1:44" ht="90">
      <c r="A21275" s="4" t="s">
        <v>24364</v>
      </c>
      <c r="B21275" s="4">
        <v>124205</v>
      </c>
      <c r="D21275" s="5" t="s">
        <v>27442</v>
      </c>
      <c r="E21275" s="6" t="str">
        <f>HYPERLINK("https://inpn.mnhn.fr/espece/cd_nom/124205","Solidago virgaurea L., 1753")</f>
        <v>Solidago virgaurea L., 1753</v>
      </c>
      <c r="F21275" s="5" t="s">
        <v>27443</v>
      </c>
      <c r="P21275" s="7" t="str">
        <f>HYPERLINK("#Liste_rouge!A"&amp;_xlfn.XMATCH("LC",Liste_rouge!A:A,2,1),"LC")</f>
        <v>LC</v>
      </c>
      <c r="Q21275" s="7" t="str">
        <f>HYPERLINK("#Liste_rouge!A"&amp;_xlfn.XMATCH("LC",Liste_rouge!A:A,2,1),"LC")</f>
        <v>LC</v>
      </c>
      <c r="T21275" s="7" t="str">
        <f>HYPERLINK("#Liste_rouge!A"&amp;_xlfn.XMATCH("LC",Liste_rouge!A:A,2,1),"LC")</f>
        <v>LC</v>
      </c>
      <c r="V21275" s="7" t="str">
        <f>HYPERLINK("#Liste_rouge!A"&amp;_xlfn.XMATCH("LC",Liste_rouge!A:A,2,1),"LC")</f>
        <v>LC</v>
      </c>
      <c r="AH21275" s="4" t="str">
        <f>HYPERLINK("#Statut_biogéographique!A"&amp;_xlfn.XMATCH("P",Statut_biogéographique!A:A,2,1),"P")</f>
        <v>P</v>
      </c>
      <c r="AM21275" s="4" t="s">
        <v>375</v>
      </c>
      <c r="AN21275" s="4" t="s">
        <v>375</v>
      </c>
      <c r="AO21275" s="4" t="s">
        <v>375</v>
      </c>
      <c r="AP21275" s="4" t="s">
        <v>376</v>
      </c>
      <c r="AR21275" s="4" t="s">
        <v>377</v>
      </c>
    </row>
    <row r="21276" spans="1:44">
      <c r="A21276" s="4" t="s">
        <v>24364</v>
      </c>
      <c r="B21276" s="4">
        <v>124209</v>
      </c>
      <c r="D21276" s="5">
        <v>124209</v>
      </c>
      <c r="E21276" s="6" t="str">
        <f>HYPERLINK("https://inpn.mnhn.fr/espece/cd_nom/124209","Solidago x niedereri Khek, 1905")</f>
        <v>Solidago x niedereri Khek, 1905</v>
      </c>
      <c r="F21276" s="5" t="s">
        <v>27444</v>
      </c>
      <c r="T21276" s="7" t="str">
        <f>HYPERLINK("#Liste_rouge!A"&amp;_xlfn.XMATCH("DD",Liste_rouge!A:A,2,1),"DD")</f>
        <v>DD</v>
      </c>
      <c r="AH21276" s="4" t="str">
        <f>HYPERLINK("#Statut_biogéographique!A"&amp;_xlfn.XMATCH("D",Statut_biogéographique!A:A,2,1),"D")</f>
        <v>D</v>
      </c>
      <c r="AP21276" s="4" t="s">
        <v>376</v>
      </c>
      <c r="AR21276" s="4" t="s">
        <v>377</v>
      </c>
    </row>
    <row r="21277" spans="1:44" ht="45">
      <c r="A21277" s="4" t="s">
        <v>24364</v>
      </c>
      <c r="B21277" s="4">
        <v>124232</v>
      </c>
      <c r="D21277" s="5" t="s">
        <v>27445</v>
      </c>
      <c r="E21277" s="6" t="str">
        <f>HYPERLINK("https://inpn.mnhn.fr/espece/cd_nom/124232","Sonchus arvensis L., 1753")</f>
        <v>Sonchus arvensis L., 1753</v>
      </c>
      <c r="F21277" s="5" t="s">
        <v>27446</v>
      </c>
      <c r="Q21277" s="7" t="str">
        <f>HYPERLINK("#Liste_rouge!A"&amp;_xlfn.XMATCH("LC",Liste_rouge!A:A,2,1),"LC")</f>
        <v>LC</v>
      </c>
      <c r="T21277" s="7" t="str">
        <f>HYPERLINK("#Liste_rouge!A"&amp;_xlfn.XMATCH("LC",Liste_rouge!A:A,2,1),"LC")</f>
        <v>LC</v>
      </c>
      <c r="V21277" s="7" t="str">
        <f>HYPERLINK("#Liste_rouge!A"&amp;_xlfn.XMATCH("LC",Liste_rouge!A:A,2,1),"LC")</f>
        <v>LC</v>
      </c>
      <c r="AH21277" s="4" t="str">
        <f>HYPERLINK("#Statut_biogéographique!A"&amp;_xlfn.XMATCH("P",Statut_biogéographique!A:A,2,1),"P")</f>
        <v>P</v>
      </c>
      <c r="AM21277" s="4" t="s">
        <v>375</v>
      </c>
      <c r="AN21277" s="4" t="s">
        <v>375</v>
      </c>
      <c r="AO21277" s="4" t="s">
        <v>375</v>
      </c>
      <c r="AP21277" s="4" t="s">
        <v>376</v>
      </c>
      <c r="AR21277" s="4" t="s">
        <v>377</v>
      </c>
    </row>
    <row r="21278" spans="1:44">
      <c r="A21278" s="4" t="s">
        <v>24364</v>
      </c>
      <c r="B21278" s="4">
        <v>124233</v>
      </c>
      <c r="D21278" s="5" t="s">
        <v>27447</v>
      </c>
      <c r="E21278" s="6" t="str">
        <f>HYPERLINK("https://inpn.mnhn.fr/espece/cd_nom/124233","Sonchus asper (L.) Hill, 1769")</f>
        <v>Sonchus asper (L.) Hill, 1769</v>
      </c>
      <c r="F21278" s="5" t="s">
        <v>27448</v>
      </c>
      <c r="Q21278" s="7" t="str">
        <f>HYPERLINK("#Liste_rouge!A"&amp;_xlfn.XMATCH("LC",Liste_rouge!A:A,2,1),"LC")</f>
        <v>LC</v>
      </c>
      <c r="T21278" s="7" t="str">
        <f>HYPERLINK("#Liste_rouge!A"&amp;_xlfn.XMATCH("LC",Liste_rouge!A:A,2,1),"LC")</f>
        <v>LC</v>
      </c>
      <c r="V21278" s="7" t="str">
        <f>HYPERLINK("#Liste_rouge!A"&amp;_xlfn.XMATCH("LC",Liste_rouge!A:A,2,1),"LC")</f>
        <v>LC</v>
      </c>
      <c r="AH21278" s="4" t="str">
        <f>HYPERLINK("#Statut_biogéographique!A"&amp;_xlfn.XMATCH("P",Statut_biogéographique!A:A,2,1),"P")</f>
        <v>P</v>
      </c>
      <c r="AM21278" s="4" t="s">
        <v>375</v>
      </c>
      <c r="AN21278" s="4" t="s">
        <v>375</v>
      </c>
      <c r="AO21278" s="4" t="s">
        <v>375</v>
      </c>
      <c r="AP21278" s="4" t="s">
        <v>376</v>
      </c>
      <c r="AR21278" s="4" t="s">
        <v>377</v>
      </c>
    </row>
    <row r="21279" spans="1:44" ht="45">
      <c r="A21279" s="4" t="s">
        <v>24364</v>
      </c>
      <c r="B21279" s="4">
        <v>124261</v>
      </c>
      <c r="D21279" s="5" t="s">
        <v>27449</v>
      </c>
      <c r="E21279" s="6" t="str">
        <f>HYPERLINK("https://inpn.mnhn.fr/espece/cd_nom/124261","Sonchus oleraceus L., 1753")</f>
        <v>Sonchus oleraceus L., 1753</v>
      </c>
      <c r="F21279" s="5" t="s">
        <v>27450</v>
      </c>
      <c r="Q21279" s="7" t="str">
        <f>HYPERLINK("#Liste_rouge!A"&amp;_xlfn.XMATCH("LC",Liste_rouge!A:A,2,1),"LC")</f>
        <v>LC</v>
      </c>
      <c r="T21279" s="7" t="str">
        <f>HYPERLINK("#Liste_rouge!A"&amp;_xlfn.XMATCH("LC",Liste_rouge!A:A,2,1),"LC")</f>
        <v>LC</v>
      </c>
      <c r="V21279" s="7" t="str">
        <f>HYPERLINK("#Liste_rouge!A"&amp;_xlfn.XMATCH("LC",Liste_rouge!A:A,2,1),"LC")</f>
        <v>LC</v>
      </c>
      <c r="AH21279" s="4" t="str">
        <f>HYPERLINK("#Statut_biogéographique!A"&amp;_xlfn.XMATCH("P",Statut_biogéographique!A:A,2,1),"P")</f>
        <v>P</v>
      </c>
      <c r="AM21279" s="4" t="s">
        <v>375</v>
      </c>
      <c r="AN21279" s="4" t="s">
        <v>375</v>
      </c>
      <c r="AO21279" s="4" t="s">
        <v>375</v>
      </c>
      <c r="AP21279" s="4" t="s">
        <v>376</v>
      </c>
      <c r="AR21279" s="4" t="s">
        <v>377</v>
      </c>
    </row>
    <row r="21280" spans="1:44">
      <c r="A21280" s="4" t="s">
        <v>24364</v>
      </c>
      <c r="B21280" s="4">
        <v>124264</v>
      </c>
      <c r="D21280" s="5" t="s">
        <v>27451</v>
      </c>
      <c r="E21280" s="6" t="str">
        <f>HYPERLINK("https://inpn.mnhn.fr/espece/cd_nom/124264","Sonchus palustris L., 1753")</f>
        <v>Sonchus palustris L., 1753</v>
      </c>
      <c r="F21280" s="5" t="s">
        <v>27452</v>
      </c>
      <c r="O21280" s="7" t="str">
        <f>HYPERLINK("#Liste_rouge!A"&amp;_xlfn.XMATCH("LC",Liste_rouge!A:A,2,1),"LC")</f>
        <v>LC</v>
      </c>
      <c r="Q21280" s="7" t="str">
        <f>HYPERLINK("#Liste_rouge!A"&amp;_xlfn.XMATCH("LC",Liste_rouge!A:A,2,1),"LC")</f>
        <v>LC</v>
      </c>
      <c r="T21280" s="7" t="str">
        <f>HYPERLINK("#Liste_rouge!A"&amp;_xlfn.XMATCH("EN",Liste_rouge!A:A,2,1),"EN")</f>
        <v>EN</v>
      </c>
      <c r="U21280" s="4" t="str">
        <f>HYPERLINK("#Critères_liste_rouge!A$1","D1")</f>
        <v>D1</v>
      </c>
      <c r="X21280" s="5" t="s">
        <v>374</v>
      </c>
      <c r="AB21280" s="4" t="s">
        <v>93</v>
      </c>
      <c r="AH21280" s="4" t="str">
        <f>HYPERLINK("#Statut_biogéographique!A"&amp;_xlfn.XMATCH("P",Statut_biogéographique!A:A,2,1),"P")</f>
        <v>P</v>
      </c>
      <c r="AM21280" s="4" t="s">
        <v>375</v>
      </c>
      <c r="AN21280" s="4" t="s">
        <v>375</v>
      </c>
      <c r="AO21280" s="4" t="s">
        <v>375</v>
      </c>
      <c r="AP21280" s="4" t="s">
        <v>376</v>
      </c>
      <c r="AR21280" s="4" t="s">
        <v>377</v>
      </c>
    </row>
    <row r="21281" spans="1:44">
      <c r="A21281" s="4" t="s">
        <v>24364</v>
      </c>
      <c r="B21281" s="4">
        <v>124283</v>
      </c>
      <c r="D21281" s="5">
        <v>124283</v>
      </c>
      <c r="E21281" s="6" t="str">
        <f>HYPERLINK("https://inpn.mnhn.fr/espece/cd_nom/124283","Sonchus x prudhommei Bouchard, 1951")</f>
        <v>Sonchus x prudhommei Bouchard, 1951</v>
      </c>
      <c r="F21281" s="5" t="s">
        <v>27453</v>
      </c>
      <c r="T21281" s="7" t="str">
        <f>HYPERLINK("#Liste_rouge!A"&amp;_xlfn.XMATCH("NE",Liste_rouge!A:A,2,1),"NE")</f>
        <v>NE</v>
      </c>
      <c r="AH21281" s="4" t="str">
        <f>HYPERLINK("#Statut_biogéographique!A"&amp;_xlfn.XMATCH("D",Statut_biogéographique!A:A,2,1),"D")</f>
        <v>D</v>
      </c>
      <c r="AP21281" s="4" t="s">
        <v>376</v>
      </c>
      <c r="AR21281" s="4" t="s">
        <v>377</v>
      </c>
    </row>
    <row r="21282" spans="1:44" ht="30">
      <c r="A21282" s="4" t="s">
        <v>24364</v>
      </c>
      <c r="B21282" s="4">
        <v>124300</v>
      </c>
      <c r="D21282" s="5" t="s">
        <v>27454</v>
      </c>
      <c r="E21282" s="6" t="str">
        <f>HYPERLINK("https://inpn.mnhn.fr/espece/cd_nom/124300","Sorbaria sorbifolia (L.) A.Braun, 1864")</f>
        <v>Sorbaria sorbifolia (L.) A.Braun, 1864</v>
      </c>
      <c r="F21282" s="5" t="s">
        <v>27455</v>
      </c>
      <c r="Q21282" s="7" t="str">
        <f>HYPERLINK("#Liste_rouge!A"&amp;_xlfn.XMATCH("NA",Liste_rouge!A:A,2,1),"NA")</f>
        <v>NA</v>
      </c>
      <c r="T21282" s="7" t="str">
        <f>HYPERLINK("#Liste_rouge!A"&amp;_xlfn.XMATCH("NA",Liste_rouge!A:A,2,1),"NA")</f>
        <v>NA</v>
      </c>
      <c r="AH21282" s="4" t="str">
        <f>HYPERLINK("#Statut_biogéographique!A"&amp;_xlfn.XMATCH("I",Statut_biogéographique!A:A,2,1),"I")</f>
        <v>I</v>
      </c>
      <c r="AP21282" s="4" t="s">
        <v>376</v>
      </c>
      <c r="AR21282" s="4" t="s">
        <v>377</v>
      </c>
    </row>
    <row r="21283" spans="1:44" ht="30">
      <c r="A21283" s="4" t="s">
        <v>24364</v>
      </c>
      <c r="B21283" s="4">
        <v>124302</v>
      </c>
      <c r="D21283" s="5" t="s">
        <v>27456</v>
      </c>
      <c r="E21283" s="6" t="str">
        <f>HYPERLINK("https://inpn.mnhn.fr/espece/cd_nom/124302","Sorbaria tomentosa (Lindl.) Rehder, 1938")</f>
        <v>Sorbaria tomentosa (Lindl.) Rehder, 1938</v>
      </c>
      <c r="F21283" s="5" t="s">
        <v>27457</v>
      </c>
      <c r="Q21283" s="7" t="str">
        <f>HYPERLINK("#Liste_rouge!A"&amp;_xlfn.XMATCH("NA",Liste_rouge!A:A,2,1),"NA")</f>
        <v>NA</v>
      </c>
      <c r="T21283" s="7" t="str">
        <f>HYPERLINK("#Liste_rouge!A"&amp;_xlfn.XMATCH("NA",Liste_rouge!A:A,2,1),"NA")</f>
        <v>NA</v>
      </c>
      <c r="AH21283" s="4" t="str">
        <f>HYPERLINK("#Statut_biogéographique!A"&amp;_xlfn.XMATCH("I",Statut_biogéographique!A:A,2,1),"I")</f>
        <v>I</v>
      </c>
      <c r="AP21283" s="4" t="s">
        <v>376</v>
      </c>
      <c r="AR21283" s="4" t="s">
        <v>377</v>
      </c>
    </row>
    <row r="21284" spans="1:44" ht="105">
      <c r="A21284" s="4" t="s">
        <v>24364</v>
      </c>
      <c r="B21284" s="4">
        <v>124308</v>
      </c>
      <c r="D21284" s="5" t="s">
        <v>27458</v>
      </c>
      <c r="E21284" s="6" t="str">
        <f>HYPERLINK("https://inpn.mnhn.fr/espece/cd_nom/124308","Sorbus aucuparia L., 1753")</f>
        <v>Sorbus aucuparia L., 1753</v>
      </c>
      <c r="F21284" s="5" t="s">
        <v>27459</v>
      </c>
      <c r="P21284" s="7" t="str">
        <f>HYPERLINK("#Liste_rouge!A"&amp;_xlfn.XMATCH("LC",Liste_rouge!A:A,2,1),"LC")</f>
        <v>LC</v>
      </c>
      <c r="Q21284" s="7" t="str">
        <f>HYPERLINK("#Liste_rouge!A"&amp;_xlfn.XMATCH("LC",Liste_rouge!A:A,2,1),"LC")</f>
        <v>LC</v>
      </c>
      <c r="T21284" s="7" t="str">
        <f>HYPERLINK("#Liste_rouge!A"&amp;_xlfn.XMATCH("LC",Liste_rouge!A:A,2,1),"LC")</f>
        <v>LC</v>
      </c>
      <c r="V21284" s="7" t="str">
        <f>HYPERLINK("#Liste_rouge!A"&amp;_xlfn.XMATCH("LC",Liste_rouge!A:A,2,1),"LC")</f>
        <v>LC</v>
      </c>
      <c r="AH21284" s="4" t="str">
        <f>HYPERLINK("#Statut_biogéographique!A"&amp;_xlfn.XMATCH("P",Statut_biogéographique!A:A,2,1),"P")</f>
        <v>P</v>
      </c>
      <c r="AM21284" s="4" t="s">
        <v>375</v>
      </c>
      <c r="AN21284" s="4" t="s">
        <v>375</v>
      </c>
      <c r="AO21284" s="4" t="s">
        <v>375</v>
      </c>
      <c r="AP21284" s="4" t="s">
        <v>376</v>
      </c>
      <c r="AR21284" s="4" t="s">
        <v>377</v>
      </c>
    </row>
    <row r="21285" spans="1:44" ht="120">
      <c r="A21285" s="4" t="s">
        <v>24364</v>
      </c>
      <c r="B21285" s="4">
        <v>124369</v>
      </c>
      <c r="D21285" s="5" t="s">
        <v>27460</v>
      </c>
      <c r="E21285" s="6" t="str">
        <f>HYPERLINK("https://inpn.mnhn.fr/espece/cd_nom/124369","Sorghum bicolor (L.) Moench, 1794")</f>
        <v>Sorghum bicolor (L.) Moench, 1794</v>
      </c>
      <c r="F21285" s="5" t="s">
        <v>27461</v>
      </c>
      <c r="Q21285" s="7" t="str">
        <f>HYPERLINK("#Liste_rouge!A"&amp;_xlfn.XMATCH("NA",Liste_rouge!A:A,2,1),"NA")</f>
        <v>NA</v>
      </c>
      <c r="AH21285" s="4" t="str">
        <f>HYPERLINK("#Statut_biogéographique!A"&amp;_xlfn.XMATCH("M",Statut_biogéographique!A:A,2,1),"M")</f>
        <v>M</v>
      </c>
      <c r="AP21285" s="4" t="s">
        <v>376</v>
      </c>
      <c r="AR21285" s="4" t="s">
        <v>377</v>
      </c>
    </row>
    <row r="21286" spans="1:44" ht="90">
      <c r="A21286" s="4" t="s">
        <v>24364</v>
      </c>
      <c r="B21286" s="4">
        <v>124378</v>
      </c>
      <c r="D21286" s="5" t="s">
        <v>27462</v>
      </c>
      <c r="E21286" s="6" t="str">
        <f>HYPERLINK("https://inpn.mnhn.fr/espece/cd_nom/124378","Sorghum halepense (L.) Pers., 1805")</f>
        <v>Sorghum halepense (L.) Pers., 1805</v>
      </c>
      <c r="F21286" s="5" t="s">
        <v>27463</v>
      </c>
      <c r="Q21286" s="7" t="str">
        <f>HYPERLINK("#Liste_rouge!A"&amp;_xlfn.XMATCH("NA",Liste_rouge!A:A,2,1),"NA")</f>
        <v>NA</v>
      </c>
      <c r="T21286" s="7" t="str">
        <f>HYPERLINK("#Liste_rouge!A"&amp;_xlfn.XMATCH("NA",Liste_rouge!A:A,2,1),"NA")</f>
        <v>NA</v>
      </c>
      <c r="AH21286" s="4" t="str">
        <f>HYPERLINK("#Statut_biogéographique!A"&amp;_xlfn.XMATCH("I",Statut_biogéographique!A:A,2,1),"I")</f>
        <v>I</v>
      </c>
      <c r="AM21286" s="4" t="s">
        <v>375</v>
      </c>
      <c r="AN21286" s="4" t="s">
        <v>375</v>
      </c>
      <c r="AO21286" s="4" t="s">
        <v>375</v>
      </c>
      <c r="AP21286" s="4" t="s">
        <v>376</v>
      </c>
      <c r="AR21286" s="4" t="s">
        <v>377</v>
      </c>
    </row>
    <row r="21287" spans="1:44" ht="30">
      <c r="A21287" s="4" t="s">
        <v>24364</v>
      </c>
      <c r="B21287" s="4">
        <v>124405</v>
      </c>
      <c r="D21287" s="5" t="s">
        <v>27464</v>
      </c>
      <c r="E21287" s="6" t="str">
        <f>HYPERLINK("https://inpn.mnhn.fr/espece/cd_nom/124405","Sparganium angustifolium Michx., 1803")</f>
        <v>Sparganium angustifolium Michx., 1803</v>
      </c>
      <c r="F21287" s="5" t="s">
        <v>27465</v>
      </c>
      <c r="M21287" s="4" t="str">
        <f>HYPERLINK("#Réglementation!A"&amp;_xlfn.XMATCH("RV43",Réglementation!A:A,2,1),"RV43")</f>
        <v>RV43</v>
      </c>
      <c r="O21287" s="7" t="str">
        <f>HYPERLINK("#Liste_rouge!A"&amp;_xlfn.XMATCH("LC",Liste_rouge!A:A,2,1),"LC")</f>
        <v>LC</v>
      </c>
      <c r="P21287" s="7" t="str">
        <f>HYPERLINK("#Liste_rouge!A"&amp;_xlfn.XMATCH("LC",Liste_rouge!A:A,2,1),"LC")</f>
        <v>LC</v>
      </c>
      <c r="Q21287" s="7" t="str">
        <f>HYPERLINK("#Liste_rouge!A"&amp;_xlfn.XMATCH("LC",Liste_rouge!A:A,2,1),"LC")</f>
        <v>LC</v>
      </c>
      <c r="V21287" s="7" t="str">
        <f>HYPERLINK("#Liste_rouge!A"&amp;_xlfn.XMATCH("VU",Liste_rouge!A:A,2,1),"VU")</f>
        <v>VU</v>
      </c>
      <c r="W21287" s="4" t="str">
        <f>HYPERLINK("#Critères_liste_rouge!A$1","B2ab(iii)")</f>
        <v>B2ab(iii)</v>
      </c>
      <c r="X21287" s="5" t="s">
        <v>374</v>
      </c>
      <c r="AB21287" s="4" t="s">
        <v>93</v>
      </c>
      <c r="AH21287" s="4" t="str">
        <f>HYPERLINK("#Statut_biogéographique!A"&amp;_xlfn.XMATCH("P",Statut_biogéographique!A:A,2,1),"P")</f>
        <v>P</v>
      </c>
      <c r="AM21287" s="4" t="s">
        <v>375</v>
      </c>
      <c r="AN21287" s="4" t="s">
        <v>375</v>
      </c>
      <c r="AO21287" s="4" t="s">
        <v>375</v>
      </c>
      <c r="AP21287" s="4" t="s">
        <v>376</v>
      </c>
      <c r="AR21287" s="4" t="s">
        <v>377</v>
      </c>
    </row>
    <row r="21288" spans="1:44" ht="30">
      <c r="A21288" s="4" t="s">
        <v>24364</v>
      </c>
      <c r="B21288" s="4">
        <v>124407</v>
      </c>
      <c r="D21288" s="5" t="s">
        <v>27466</v>
      </c>
      <c r="E21288" s="6" t="str">
        <f>HYPERLINK("https://inpn.mnhn.fr/espece/cd_nom/124407","Sparganium emersum Rehmann, 1871")</f>
        <v>Sparganium emersum Rehmann, 1871</v>
      </c>
      <c r="F21288" s="5" t="s">
        <v>27467</v>
      </c>
      <c r="O21288" s="7" t="str">
        <f>HYPERLINK("#Liste_rouge!A"&amp;_xlfn.XMATCH("LC",Liste_rouge!A:A,2,1),"LC")</f>
        <v>LC</v>
      </c>
      <c r="P21288" s="7" t="str">
        <f>HYPERLINK("#Liste_rouge!A"&amp;_xlfn.XMATCH("LC",Liste_rouge!A:A,2,1),"LC")</f>
        <v>LC</v>
      </c>
      <c r="Q21288" s="7" t="str">
        <f>HYPERLINK("#Liste_rouge!A"&amp;_xlfn.XMATCH("LC",Liste_rouge!A:A,2,1),"LC")</f>
        <v>LC</v>
      </c>
      <c r="T21288" s="7" t="str">
        <f>HYPERLINK("#Liste_rouge!A"&amp;_xlfn.XMATCH("LC",Liste_rouge!A:A,2,1),"LC")</f>
        <v>LC</v>
      </c>
      <c r="V21288" s="7" t="str">
        <f>HYPERLINK("#Liste_rouge!A"&amp;_xlfn.XMATCH("LC",Liste_rouge!A:A,2,1),"LC")</f>
        <v>LC</v>
      </c>
      <c r="AH21288" s="4" t="str">
        <f>HYPERLINK("#Statut_biogéographique!A"&amp;_xlfn.XMATCH("P",Statut_biogéographique!A:A,2,1),"P")</f>
        <v>P</v>
      </c>
      <c r="AM21288" s="4" t="s">
        <v>375</v>
      </c>
      <c r="AN21288" s="4" t="s">
        <v>375</v>
      </c>
      <c r="AO21288" s="4" t="s">
        <v>375</v>
      </c>
      <c r="AP21288" s="4" t="s">
        <v>376</v>
      </c>
      <c r="AR21288" s="4" t="s">
        <v>377</v>
      </c>
    </row>
    <row r="21289" spans="1:44" ht="45">
      <c r="A21289" s="4" t="s">
        <v>24364</v>
      </c>
      <c r="B21289" s="4">
        <v>124408</v>
      </c>
      <c r="D21289" s="5" t="s">
        <v>27468</v>
      </c>
      <c r="E21289" s="6" t="str">
        <f>HYPERLINK("https://inpn.mnhn.fr/espece/cd_nom/124408","Sparganium erectum L., 1753")</f>
        <v>Sparganium erectum L., 1753</v>
      </c>
      <c r="F21289" s="5" t="s">
        <v>27469</v>
      </c>
      <c r="O21289" s="7" t="str">
        <f>HYPERLINK("#Liste_rouge!A"&amp;_xlfn.XMATCH("LC",Liste_rouge!A:A,2,1),"LC")</f>
        <v>LC</v>
      </c>
      <c r="P21289" s="7" t="str">
        <f>HYPERLINK("#Liste_rouge!A"&amp;_xlfn.XMATCH("LC",Liste_rouge!A:A,2,1),"LC")</f>
        <v>LC</v>
      </c>
      <c r="Q21289" s="7" t="str">
        <f>HYPERLINK("#Liste_rouge!A"&amp;_xlfn.XMATCH("LC",Liste_rouge!A:A,2,1),"LC")</f>
        <v>LC</v>
      </c>
      <c r="T21289" s="7" t="str">
        <f>HYPERLINK("#Liste_rouge!A"&amp;_xlfn.XMATCH("DD",Liste_rouge!A:A,2,1),"DD (cd_nom 141332) - LC (cd_nom 124408)")</f>
        <v>DD (cd_nom 141332) - LC (cd_nom 124408)</v>
      </c>
      <c r="V21289" s="7" t="str">
        <f>HYPERLINK("#Liste_rouge!A"&amp;_xlfn.XMATCH("LC",Liste_rouge!A:A,2,1),"LC")</f>
        <v>LC</v>
      </c>
      <c r="AH21289" s="4" t="str">
        <f>HYPERLINK("#Statut_biogéographique!A"&amp;_xlfn.XMATCH("P",Statut_biogéographique!A:A,2,1),"P")</f>
        <v>P</v>
      </c>
      <c r="AM21289" s="4" t="s">
        <v>375</v>
      </c>
      <c r="AN21289" s="4" t="s">
        <v>375</v>
      </c>
      <c r="AO21289" s="4" t="s">
        <v>375</v>
      </c>
      <c r="AP21289" s="4" t="s">
        <v>376</v>
      </c>
      <c r="AR21289" s="4" t="s">
        <v>377</v>
      </c>
    </row>
    <row r="21290" spans="1:44">
      <c r="A21290" s="4" t="s">
        <v>24364</v>
      </c>
      <c r="B21290" s="4">
        <v>124412</v>
      </c>
      <c r="D21290" s="5" t="s">
        <v>27470</v>
      </c>
      <c r="E21290" s="6" t="str">
        <f>HYPERLINK("https://inpn.mnhn.fr/espece/cd_nom/124412","Sparganium natans L., 1753")</f>
        <v>Sparganium natans L., 1753</v>
      </c>
      <c r="F21290" s="5" t="s">
        <v>27471</v>
      </c>
      <c r="M21290" s="4" t="str">
        <f>HYPERLINK("#Réglementation!A"&amp;_xlfn.XMATCH("RV43",Réglementation!A:A,2,1),"RV43")</f>
        <v>RV43</v>
      </c>
      <c r="O21290" s="7" t="str">
        <f>HYPERLINK("#Liste_rouge!A"&amp;_xlfn.XMATCH("LC",Liste_rouge!A:A,2,1),"LC")</f>
        <v>LC</v>
      </c>
      <c r="P21290" s="7" t="str">
        <f>HYPERLINK("#Liste_rouge!A"&amp;_xlfn.XMATCH("NT",Liste_rouge!A:A,2,1),"NT")</f>
        <v>NT</v>
      </c>
      <c r="Q21290" s="7" t="str">
        <f>HYPERLINK("#Liste_rouge!A"&amp;_xlfn.XMATCH("NT",Liste_rouge!A:A,2,1),"NT")</f>
        <v>NT</v>
      </c>
      <c r="T21290" s="7" t="str">
        <f>HYPERLINK("#Liste_rouge!A"&amp;_xlfn.XMATCH("CR",Liste_rouge!A:A,2,1),"CR")</f>
        <v>CR</v>
      </c>
      <c r="U21290" s="4" t="str">
        <f>HYPERLINK("#Critères_liste_rouge!A$1","B1 B2ab(ii,iii,iv)")</f>
        <v>B1 B2ab(ii,iii,iv)</v>
      </c>
      <c r="V21290" s="7" t="str">
        <f>HYPERLINK("#Liste_rouge!A"&amp;_xlfn.XMATCH("VU",Liste_rouge!A:A,2,1),"VU")</f>
        <v>VU</v>
      </c>
      <c r="W21290" s="4" t="str">
        <f>HYPERLINK("#Critères_liste_rouge!A$1","A2c")</f>
        <v>A2c</v>
      </c>
      <c r="X21290" s="5" t="s">
        <v>374</v>
      </c>
      <c r="AB21290" s="4" t="s">
        <v>93</v>
      </c>
      <c r="AH21290" s="4" t="str">
        <f>HYPERLINK("#Statut_biogéographique!A"&amp;_xlfn.XMATCH("P",Statut_biogéographique!A:A,2,1),"P")</f>
        <v>P</v>
      </c>
      <c r="AM21290" s="4" t="s">
        <v>375</v>
      </c>
      <c r="AN21290" s="4" t="s">
        <v>375</v>
      </c>
      <c r="AO21290" s="4" t="s">
        <v>375</v>
      </c>
      <c r="AP21290" s="4" t="s">
        <v>376</v>
      </c>
      <c r="AR21290" s="4" t="s">
        <v>377</v>
      </c>
    </row>
    <row r="21291" spans="1:44">
      <c r="A21291" s="4" t="s">
        <v>24364</v>
      </c>
      <c r="B21291" s="4">
        <v>124414</v>
      </c>
      <c r="D21291" s="5" t="s">
        <v>27472</v>
      </c>
      <c r="E21291" s="6" t="str">
        <f>HYPERLINK("https://inpn.mnhn.fr/espece/cd_nom/124414","Sparganium neglectum Beeby, 1885")</f>
        <v>Sparganium neglectum Beeby, 1885</v>
      </c>
      <c r="F21291" s="5" t="s">
        <v>27473</v>
      </c>
      <c r="Q21291" s="7" t="str">
        <f>HYPERLINK("#Liste_rouge!A"&amp;_xlfn.XMATCH("LC",Liste_rouge!A:A,2,1),"LC")</f>
        <v>LC</v>
      </c>
      <c r="T21291" s="7" t="str">
        <f>HYPERLINK("#Liste_rouge!A"&amp;_xlfn.XMATCH("NT",Liste_rouge!A:A,2,1),"NT")</f>
        <v>NT</v>
      </c>
      <c r="U21291" s="4" t="str">
        <f>HYPERLINK("#Critères_liste_rouge!A$1","pr. D2")</f>
        <v>pr. D2</v>
      </c>
      <c r="V21291" s="7" t="str">
        <f>HYPERLINK("#Liste_rouge!A"&amp;_xlfn.XMATCH("DD",Liste_rouge!A:A,2,1),"DD")</f>
        <v>DD</v>
      </c>
      <c r="AB21291" s="4" t="s">
        <v>24495</v>
      </c>
      <c r="AH21291" s="4" t="str">
        <f>HYPERLINK("#Statut_biogéographique!A"&amp;_xlfn.XMATCH("P",Statut_biogéographique!A:A,2,1),"P")</f>
        <v>P</v>
      </c>
      <c r="AM21291" s="4" t="s">
        <v>375</v>
      </c>
      <c r="AN21291" s="4" t="s">
        <v>375</v>
      </c>
      <c r="AO21291" s="4" t="s">
        <v>375</v>
      </c>
      <c r="AP21291" s="4" t="s">
        <v>376</v>
      </c>
      <c r="AR21291" s="4" t="s">
        <v>377</v>
      </c>
    </row>
    <row r="21292" spans="1:44" ht="30">
      <c r="A21292" s="4" t="s">
        <v>24364</v>
      </c>
      <c r="B21292" s="4">
        <v>124453</v>
      </c>
      <c r="D21292" s="5" t="s">
        <v>27474</v>
      </c>
      <c r="E21292" s="6" t="str">
        <f>HYPERLINK("https://inpn.mnhn.fr/espece/cd_nom/124453","Spartium junceum L., 1753")</f>
        <v>Spartium junceum L., 1753</v>
      </c>
      <c r="F21292" s="5" t="s">
        <v>27475</v>
      </c>
      <c r="Q21292" s="7" t="str">
        <f>HYPERLINK("#Liste_rouge!A"&amp;_xlfn.XMATCH("LC",Liste_rouge!A:A,2,1),"LC")</f>
        <v>LC</v>
      </c>
      <c r="T21292" s="7" t="str">
        <f>HYPERLINK("#Liste_rouge!A"&amp;_xlfn.XMATCH("NA",Liste_rouge!A:A,2,1),"NA")</f>
        <v>NA</v>
      </c>
      <c r="AH21292" s="4" t="str">
        <f>HYPERLINK("#Statut_biogéographique!A"&amp;_xlfn.XMATCH("P",Statut_biogéographique!A:A,2,1),"P")</f>
        <v>P</v>
      </c>
      <c r="AP21292" s="4" t="s">
        <v>376</v>
      </c>
      <c r="AR21292" s="4" t="s">
        <v>377</v>
      </c>
    </row>
    <row r="21293" spans="1:44" ht="105">
      <c r="A21293" s="4" t="s">
        <v>24364</v>
      </c>
      <c r="B21293" s="4">
        <v>124499</v>
      </c>
      <c r="D21293" s="5" t="s">
        <v>27476</v>
      </c>
      <c r="E21293" s="6" t="str">
        <f>HYPERLINK("https://inpn.mnhn.fr/espece/cd_nom/124499","Spergula arvensis L., 1753")</f>
        <v>Spergula arvensis L., 1753</v>
      </c>
      <c r="F21293" s="5" t="s">
        <v>27477</v>
      </c>
      <c r="Q21293" s="7" t="str">
        <f>HYPERLINK("#Liste_rouge!A"&amp;_xlfn.XMATCH("LC",Liste_rouge!A:A,2,1),"LC")</f>
        <v>LC</v>
      </c>
      <c r="T21293" s="7" t="str">
        <f>HYPERLINK("#Liste_rouge!A"&amp;_xlfn.XMATCH("LC",Liste_rouge!A:A,2,1),"LC")</f>
        <v>LC</v>
      </c>
      <c r="V21293" s="7" t="str">
        <f>HYPERLINK("#Liste_rouge!A"&amp;_xlfn.XMATCH("LC",Liste_rouge!A:A,2,1),"LC")</f>
        <v>LC</v>
      </c>
      <c r="AH21293" s="4" t="str">
        <f>HYPERLINK("#Statut_biogéographique!A"&amp;_xlfn.XMATCH("P",Statut_biogéographique!A:A,2,1),"P")</f>
        <v>P</v>
      </c>
      <c r="AI21293" s="8" t="s">
        <v>27478</v>
      </c>
      <c r="AJ21293" s="4" t="s">
        <v>12248</v>
      </c>
      <c r="AM21293" s="4" t="s">
        <v>375</v>
      </c>
      <c r="AN21293" s="4" t="s">
        <v>375</v>
      </c>
      <c r="AO21293" s="4" t="s">
        <v>375</v>
      </c>
      <c r="AP21293" s="4" t="s">
        <v>376</v>
      </c>
      <c r="AR21293" s="4" t="s">
        <v>377</v>
      </c>
    </row>
    <row r="21294" spans="1:44" ht="60">
      <c r="A21294" s="4" t="s">
        <v>24364</v>
      </c>
      <c r="B21294" s="4">
        <v>124517</v>
      </c>
      <c r="D21294" s="5" t="s">
        <v>27479</v>
      </c>
      <c r="E21294" s="6" t="str">
        <f>HYPERLINK("https://inpn.mnhn.fr/espece/cd_nom/124517","Spergula morisonii Boreau, 1847")</f>
        <v>Spergula morisonii Boreau, 1847</v>
      </c>
      <c r="F21294" s="5" t="s">
        <v>27480</v>
      </c>
      <c r="M21294" s="4" t="str">
        <f>HYPERLINK("#Réglementation!A"&amp;_xlfn.XMATCH("RV26",Réglementation!A:A,2,1),"RV26")</f>
        <v>RV26</v>
      </c>
      <c r="Q21294" s="7" t="str">
        <f>HYPERLINK("#Liste_rouge!A"&amp;_xlfn.XMATCH("LC",Liste_rouge!A:A,2,1),"LC")</f>
        <v>LC</v>
      </c>
      <c r="T21294" s="7" t="str">
        <f>HYPERLINK("#Liste_rouge!A"&amp;_xlfn.XMATCH("LC",Liste_rouge!A:A,2,1),"LC")</f>
        <v>LC</v>
      </c>
      <c r="AB21294" s="4" t="s">
        <v>26735</v>
      </c>
      <c r="AH21294" s="4" t="str">
        <f>HYPERLINK("#Statut_biogéographique!A"&amp;_xlfn.XMATCH("P",Statut_biogéographique!A:A,2,1),"P")</f>
        <v>P</v>
      </c>
      <c r="AM21294" s="4" t="s">
        <v>375</v>
      </c>
      <c r="AN21294" s="4" t="s">
        <v>375</v>
      </c>
      <c r="AO21294" s="4" t="s">
        <v>375</v>
      </c>
      <c r="AP21294" s="4" t="s">
        <v>376</v>
      </c>
      <c r="AR21294" s="4" t="s">
        <v>377</v>
      </c>
    </row>
    <row r="21295" spans="1:44" ht="45">
      <c r="A21295" s="4" t="s">
        <v>24364</v>
      </c>
      <c r="B21295" s="4">
        <v>124519</v>
      </c>
      <c r="D21295" s="5" t="s">
        <v>27481</v>
      </c>
      <c r="E21295" s="6" t="str">
        <f>HYPERLINK("https://inpn.mnhn.fr/espece/cd_nom/124519","Spergula pentandra L., 1753")</f>
        <v>Spergula pentandra L., 1753</v>
      </c>
      <c r="F21295" s="5" t="s">
        <v>27482</v>
      </c>
      <c r="Q21295" s="7" t="str">
        <f>HYPERLINK("#Liste_rouge!A"&amp;_xlfn.XMATCH("LC",Liste_rouge!A:A,2,1),"LC")</f>
        <v>LC</v>
      </c>
      <c r="T21295" s="7" t="str">
        <f>HYPERLINK("#Liste_rouge!A"&amp;_xlfn.XMATCH("EN",Liste_rouge!A:A,2,1),"EN")</f>
        <v>EN</v>
      </c>
      <c r="U21295" s="4" t="str">
        <f>HYPERLINK("#Critères_liste_rouge!A$1","B2ab(iii,iv,v)c(iii,iv)")</f>
        <v>B2ab(iii,iv,v)c(iii,iv)</v>
      </c>
      <c r="V21295" s="7" t="str">
        <f>HYPERLINK("#Liste_rouge!A"&amp;_xlfn.XMATCH("RE",Liste_rouge!A:A,2,1),"RE")</f>
        <v>RE</v>
      </c>
      <c r="X21295" s="5" t="s">
        <v>374</v>
      </c>
      <c r="AB21295" s="4" t="s">
        <v>93</v>
      </c>
      <c r="AH21295" s="4" t="str">
        <f>HYPERLINK("#Statut_biogéographique!A"&amp;_xlfn.XMATCH("P",Statut_biogéographique!A:A,2,1),"P")</f>
        <v>P</v>
      </c>
      <c r="AM21295" s="4" t="s">
        <v>375</v>
      </c>
      <c r="AN21295" s="4" t="s">
        <v>375</v>
      </c>
      <c r="AO21295" s="4" t="s">
        <v>375</v>
      </c>
      <c r="AP21295" s="4" t="s">
        <v>376</v>
      </c>
      <c r="AR21295" s="4" t="s">
        <v>377</v>
      </c>
    </row>
    <row r="21296" spans="1:44" ht="60">
      <c r="A21296" s="4" t="s">
        <v>24364</v>
      </c>
      <c r="B21296" s="4">
        <v>124545</v>
      </c>
      <c r="D21296" s="5" t="s">
        <v>27483</v>
      </c>
      <c r="E21296" s="6" t="str">
        <f>HYPERLINK("https://inpn.mnhn.fr/espece/cd_nom/124545","Spergularia bocconei (Scheele) Graebn., 1919")</f>
        <v>Spergularia bocconei (Scheele) Graebn., 1919</v>
      </c>
      <c r="F21296" s="5" t="s">
        <v>27484</v>
      </c>
      <c r="O21296" s="7" t="str">
        <f>HYPERLINK("#Liste_rouge!A"&amp;_xlfn.XMATCH("LC",Liste_rouge!A:A,2,1),"LC")</f>
        <v>LC</v>
      </c>
      <c r="Q21296" s="7" t="str">
        <f>HYPERLINK("#Liste_rouge!A"&amp;_xlfn.XMATCH("LC",Liste_rouge!A:A,2,1),"LC")</f>
        <v>LC</v>
      </c>
      <c r="T21296" s="7" t="str">
        <f>HYPERLINK("#Liste_rouge!A"&amp;_xlfn.XMATCH("NA",Liste_rouge!A:A,2,1),"NA")</f>
        <v>NA</v>
      </c>
      <c r="AH21296" s="4" t="str">
        <f>HYPERLINK("#Statut_biogéographique!A"&amp;_xlfn.XMATCH("P",Statut_biogéographique!A:A,2,1),"P")</f>
        <v>P</v>
      </c>
      <c r="AP21296" s="4" t="s">
        <v>376</v>
      </c>
      <c r="AR21296" s="4" t="s">
        <v>377</v>
      </c>
    </row>
    <row r="21297" spans="1:44" ht="165">
      <c r="A21297" s="4" t="s">
        <v>24364</v>
      </c>
      <c r="B21297" s="4">
        <v>124569</v>
      </c>
      <c r="D21297" s="5" t="s">
        <v>27485</v>
      </c>
      <c r="E21297" s="6" t="str">
        <f>HYPERLINK("https://inpn.mnhn.fr/espece/cd_nom/124569","Spergularia marina (L.) Besser, 1822")</f>
        <v>Spergularia marina (L.) Besser, 1822</v>
      </c>
      <c r="F21297" s="5" t="s">
        <v>27486</v>
      </c>
      <c r="O21297" s="7" t="str">
        <f>HYPERLINK("#Liste_rouge!A"&amp;_xlfn.XMATCH("LC",Liste_rouge!A:A,2,1),"LC")</f>
        <v>LC</v>
      </c>
      <c r="Q21297" s="7" t="str">
        <f>HYPERLINK("#Liste_rouge!A"&amp;_xlfn.XMATCH("LC",Liste_rouge!A:A,2,1),"LC")</f>
        <v>LC</v>
      </c>
      <c r="AH21297" s="4" t="str">
        <f>HYPERLINK("#Statut_biogéographique!A"&amp;_xlfn.XMATCH("P",Statut_biogéographique!A:A,2,1),"P")</f>
        <v>P</v>
      </c>
      <c r="AP21297" s="4" t="s">
        <v>376</v>
      </c>
      <c r="AR21297" s="4" t="s">
        <v>377</v>
      </c>
    </row>
    <row r="21298" spans="1:44" ht="120">
      <c r="A21298" s="4" t="s">
        <v>24364</v>
      </c>
      <c r="B21298" s="4">
        <v>124572</v>
      </c>
      <c r="D21298" s="5" t="s">
        <v>27487</v>
      </c>
      <c r="E21298" s="6" t="str">
        <f>HYPERLINK("https://inpn.mnhn.fr/espece/cd_nom/124572","Spergularia media (L.) C.Presl, 1826")</f>
        <v>Spergularia media (L.) C.Presl, 1826</v>
      </c>
      <c r="F21298" s="5" t="s">
        <v>27488</v>
      </c>
      <c r="Q21298" s="7" t="str">
        <f>HYPERLINK("#Liste_rouge!A"&amp;_xlfn.XMATCH("LC",Liste_rouge!A:A,2,1),"LC")</f>
        <v>LC</v>
      </c>
      <c r="AH21298" s="4" t="str">
        <f>HYPERLINK("#Statut_biogéographique!A"&amp;_xlfn.XMATCH("P",Statut_biogéographique!A:A,2,1),"P")</f>
        <v>P</v>
      </c>
      <c r="AP21298" s="4" t="s">
        <v>376</v>
      </c>
      <c r="AR21298" s="4" t="s">
        <v>377</v>
      </c>
    </row>
    <row r="21299" spans="1:44" ht="120">
      <c r="A21299" s="4" t="s">
        <v>24364</v>
      </c>
      <c r="B21299" s="4">
        <v>124578</v>
      </c>
      <c r="D21299" s="5" t="s">
        <v>27489</v>
      </c>
      <c r="E21299" s="6" t="str">
        <f>HYPERLINK("https://inpn.mnhn.fr/espece/cd_nom/124578","Spergularia rubra (L.) J.Presl &amp; C.Presl, 1819")</f>
        <v>Spergularia rubra (L.) J.Presl &amp; C.Presl, 1819</v>
      </c>
      <c r="F21299" s="5" t="s">
        <v>27490</v>
      </c>
      <c r="Q21299" s="7" t="str">
        <f>HYPERLINK("#Liste_rouge!A"&amp;_xlfn.XMATCH("LC",Liste_rouge!A:A,2,1),"LC")</f>
        <v>LC</v>
      </c>
      <c r="T21299" s="7" t="str">
        <f>HYPERLINK("#Liste_rouge!A"&amp;_xlfn.XMATCH("LC",Liste_rouge!A:A,2,1),"LC")</f>
        <v>LC</v>
      </c>
      <c r="V21299" s="7" t="str">
        <f>HYPERLINK("#Liste_rouge!A"&amp;_xlfn.XMATCH("LC",Liste_rouge!A:A,2,1),"LC")</f>
        <v>LC</v>
      </c>
      <c r="AB21299" s="4" t="s">
        <v>24447</v>
      </c>
      <c r="AH21299" s="4" t="str">
        <f>HYPERLINK("#Statut_biogéographique!A"&amp;_xlfn.XMATCH("P",Statut_biogéographique!A:A,2,1),"P")</f>
        <v>P</v>
      </c>
      <c r="AM21299" s="4" t="s">
        <v>375</v>
      </c>
      <c r="AN21299" s="4" t="s">
        <v>375</v>
      </c>
      <c r="AO21299" s="4" t="s">
        <v>375</v>
      </c>
      <c r="AP21299" s="4" t="s">
        <v>376</v>
      </c>
      <c r="AR21299" s="4" t="s">
        <v>377</v>
      </c>
    </row>
    <row r="21300" spans="1:44" ht="30">
      <c r="A21300" s="4" t="s">
        <v>24364</v>
      </c>
      <c r="B21300" s="4">
        <v>124583</v>
      </c>
      <c r="D21300" s="5" t="s">
        <v>27491</v>
      </c>
      <c r="E21300" s="6" t="str">
        <f>HYPERLINK("https://inpn.mnhn.fr/espece/cd_nom/124583","Spergularia segetalis (L.) G.Don, 1831")</f>
        <v>Spergularia segetalis (L.) G.Don, 1831</v>
      </c>
      <c r="F21300" s="5" t="s">
        <v>27492</v>
      </c>
      <c r="Q21300" s="7" t="str">
        <f>HYPERLINK("#Liste_rouge!A"&amp;_xlfn.XMATCH("EN",Liste_rouge!A:A,2,1),"EN")</f>
        <v>EN</v>
      </c>
      <c r="T21300" s="7" t="str">
        <f>HYPERLINK("#Liste_rouge!A"&amp;_xlfn.XMATCH("RE",Liste_rouge!A:A,2,1),"RE")</f>
        <v>RE</v>
      </c>
      <c r="V21300" s="7" t="str">
        <f>HYPERLINK("#Liste_rouge!A"&amp;_xlfn.XMATCH("RE",Liste_rouge!A:A,2,1),"RE")</f>
        <v>RE</v>
      </c>
      <c r="AH21300" s="4" t="str">
        <f>HYPERLINK("#Statut_biogéographique!A"&amp;_xlfn.XMATCH("P",Statut_biogéographique!A:A,2,1),"P")</f>
        <v>P</v>
      </c>
      <c r="AI21300" s="8" t="s">
        <v>27493</v>
      </c>
      <c r="AJ21300" s="4" t="s">
        <v>12248</v>
      </c>
      <c r="AM21300" s="4" t="s">
        <v>375</v>
      </c>
      <c r="AN21300" s="4" t="s">
        <v>375</v>
      </c>
      <c r="AO21300" s="4" t="s">
        <v>375</v>
      </c>
      <c r="AP21300" s="4" t="s">
        <v>376</v>
      </c>
      <c r="AR21300" s="4" t="s">
        <v>377</v>
      </c>
    </row>
    <row r="21301" spans="1:44">
      <c r="A21301" s="4" t="s">
        <v>24364</v>
      </c>
      <c r="B21301" s="4">
        <v>124590</v>
      </c>
      <c r="D21301" s="5" t="s">
        <v>27494</v>
      </c>
      <c r="E21301" s="6" t="str">
        <f>HYPERLINK("https://inpn.mnhn.fr/espece/cd_nom/124590","Spergularia kurkae F.Dvořák, 1989")</f>
        <v>Spergularia kurkae F.Dvořák, 1989</v>
      </c>
      <c r="F21301" s="5" t="s">
        <v>27495</v>
      </c>
      <c r="Q21301" s="7" t="str">
        <f>HYPERLINK("#Liste_rouge!A"&amp;_xlfn.XMATCH("DD",Liste_rouge!A:A,2,1),"DD")</f>
        <v>DD</v>
      </c>
      <c r="T21301" s="7" t="str">
        <f>HYPERLINK("#Liste_rouge!A"&amp;_xlfn.XMATCH("NE",Liste_rouge!A:A,2,1),"NE")</f>
        <v>NE</v>
      </c>
      <c r="AH21301" s="4" t="str">
        <f>HYPERLINK("#Statut_biogéographique!A"&amp;_xlfn.XMATCH("P",Statut_biogéographique!A:A,2,1),"P")</f>
        <v>P</v>
      </c>
      <c r="AM21301" s="4" t="s">
        <v>375</v>
      </c>
      <c r="AN21301" s="4" t="s">
        <v>375</v>
      </c>
      <c r="AO21301" s="4" t="s">
        <v>375</v>
      </c>
      <c r="AP21301" s="4" t="s">
        <v>376</v>
      </c>
      <c r="AR21301" s="4" t="s">
        <v>377</v>
      </c>
    </row>
    <row r="21302" spans="1:44" ht="30">
      <c r="A21302" s="4" t="s">
        <v>24364</v>
      </c>
      <c r="B21302" s="4">
        <v>124617</v>
      </c>
      <c r="D21302" s="5" t="s">
        <v>27496</v>
      </c>
      <c r="E21302" s="6" t="str">
        <f>HYPERLINK("https://inpn.mnhn.fr/espece/cd_nom/124617","Spinacia oleracea L., 1753")</f>
        <v>Spinacia oleracea L., 1753</v>
      </c>
      <c r="F21302" s="5" t="s">
        <v>27497</v>
      </c>
      <c r="Q21302" s="7" t="str">
        <f>HYPERLINK("#Liste_rouge!A"&amp;_xlfn.XMATCH("NA",Liste_rouge!A:A,2,1),"NA")</f>
        <v>NA</v>
      </c>
      <c r="T21302" s="7" t="str">
        <f>HYPERLINK("#Liste_rouge!A"&amp;_xlfn.XMATCH("NA",Liste_rouge!A:A,2,1),"NA")</f>
        <v>NA</v>
      </c>
      <c r="AH21302" s="4" t="str">
        <f>HYPERLINK("#Statut_biogéographique!A"&amp;_xlfn.XMATCH("M",Statut_biogéographique!A:A,2,1),"M")</f>
        <v>M</v>
      </c>
      <c r="AP21302" s="4" t="s">
        <v>376</v>
      </c>
      <c r="AR21302" s="4" t="s">
        <v>377</v>
      </c>
    </row>
    <row r="21303" spans="1:44">
      <c r="A21303" s="4" t="s">
        <v>24364</v>
      </c>
      <c r="B21303" s="4">
        <v>124619</v>
      </c>
      <c r="D21303" s="5" t="s">
        <v>27498</v>
      </c>
      <c r="E21303" s="6" t="str">
        <f>HYPERLINK("https://inpn.mnhn.fr/espece/cd_nom/124619","Spiraea alba Du Roi, 1772")</f>
        <v>Spiraea alba Du Roi, 1772</v>
      </c>
      <c r="F21303" s="5" t="s">
        <v>27499</v>
      </c>
      <c r="Q21303" s="7" t="str">
        <f>HYPERLINK("#Liste_rouge!A"&amp;_xlfn.XMATCH("NA",Liste_rouge!A:A,2,1),"NA")</f>
        <v>NA</v>
      </c>
      <c r="T21303" s="7" t="str">
        <f>HYPERLINK("#Liste_rouge!A"&amp;_xlfn.XMATCH("NA",Liste_rouge!A:A,2,1),"NA")</f>
        <v>NA</v>
      </c>
      <c r="AH21303" s="4" t="str">
        <f>HYPERLINK("#Statut_biogéographique!A"&amp;_xlfn.XMATCH("I",Statut_biogéographique!A:A,2,1),"I")</f>
        <v>I</v>
      </c>
      <c r="AM21303" s="4" t="s">
        <v>375</v>
      </c>
      <c r="AN21303" s="4" t="s">
        <v>375</v>
      </c>
      <c r="AO21303" s="4" t="s">
        <v>375</v>
      </c>
      <c r="AP21303" s="4" t="s">
        <v>376</v>
      </c>
      <c r="AR21303" s="4" t="s">
        <v>377</v>
      </c>
    </row>
    <row r="21304" spans="1:44" ht="30">
      <c r="A21304" s="4" t="s">
        <v>24364</v>
      </c>
      <c r="B21304" s="4">
        <v>124627</v>
      </c>
      <c r="D21304" s="5" t="s">
        <v>27500</v>
      </c>
      <c r="E21304" s="6" t="str">
        <f>HYPERLINK("https://inpn.mnhn.fr/espece/cd_nom/124627","Spiraea cantoniensis Lour., 1790")</f>
        <v>Spiraea cantoniensis Lour., 1790</v>
      </c>
      <c r="F21304" s="5" t="s">
        <v>27501</v>
      </c>
      <c r="O21304" s="7" t="str">
        <f>HYPERLINK("#Liste_rouge!A"&amp;_xlfn.XMATCH("LC",Liste_rouge!A:A,2,1),"LC")</f>
        <v>LC</v>
      </c>
      <c r="T21304" s="7" t="str">
        <f>HYPERLINK("#Liste_rouge!A"&amp;_xlfn.XMATCH("NA",Liste_rouge!A:A,2,1),"NA")</f>
        <v>NA</v>
      </c>
      <c r="AH21304" s="4" t="str">
        <f>HYPERLINK("#Statut_biogéographique!A"&amp;_xlfn.XMATCH("M",Statut_biogéographique!A:A,2,1),"M")</f>
        <v>M</v>
      </c>
      <c r="AP21304" s="4" t="s">
        <v>376</v>
      </c>
      <c r="AR21304" s="4" t="s">
        <v>377</v>
      </c>
    </row>
    <row r="21305" spans="1:44" ht="30">
      <c r="A21305" s="4" t="s">
        <v>24364</v>
      </c>
      <c r="B21305" s="4">
        <v>124629</v>
      </c>
      <c r="D21305" s="5" t="s">
        <v>27502</v>
      </c>
      <c r="E21305" s="6" t="str">
        <f>HYPERLINK("https://inpn.mnhn.fr/espece/cd_nom/124629","Spiraea chamaedryfolia L., 1753")</f>
        <v>Spiraea chamaedryfolia L., 1753</v>
      </c>
      <c r="F21305" s="5" t="s">
        <v>27503</v>
      </c>
      <c r="Q21305" s="7" t="str">
        <f>HYPERLINK("#Liste_rouge!A"&amp;_xlfn.XMATCH("NA",Liste_rouge!A:A,2,1),"NA")</f>
        <v>NA</v>
      </c>
      <c r="AH21305" s="4" t="str">
        <f>HYPERLINK("#Statut_biogéographique!A"&amp;_xlfn.XMATCH("M",Statut_biogéographique!A:A,2,1),"M")</f>
        <v>M</v>
      </c>
      <c r="AM21305" s="4" t="s">
        <v>375</v>
      </c>
      <c r="AN21305" s="4" t="s">
        <v>375</v>
      </c>
      <c r="AO21305" s="4" t="s">
        <v>375</v>
      </c>
      <c r="AP21305" s="4" t="s">
        <v>376</v>
      </c>
      <c r="AR21305" s="4" t="s">
        <v>377</v>
      </c>
    </row>
    <row r="21306" spans="1:44">
      <c r="A21306" s="4" t="s">
        <v>24364</v>
      </c>
      <c r="B21306" s="4">
        <v>124635</v>
      </c>
      <c r="D21306" s="5">
        <v>124635</v>
      </c>
      <c r="E21306" s="6" t="str">
        <f>HYPERLINK("https://inpn.mnhn.fr/espece/cd_nom/124635","Spiraea douglasii Hook., 1832")</f>
        <v>Spiraea douglasii Hook., 1832</v>
      </c>
      <c r="F21306" s="5" t="s">
        <v>27504</v>
      </c>
      <c r="Q21306" s="7" t="str">
        <f>HYPERLINK("#Liste_rouge!A"&amp;_xlfn.XMATCH("NA",Liste_rouge!A:A,2,1),"NA")</f>
        <v>NA</v>
      </c>
      <c r="T21306" s="7" t="str">
        <f>HYPERLINK("#Liste_rouge!A"&amp;_xlfn.XMATCH("NA",Liste_rouge!A:A,2,1),"NA")</f>
        <v>NA</v>
      </c>
      <c r="AH21306" s="4" t="str">
        <f>HYPERLINK("#Statut_biogéographique!A"&amp;_xlfn.XMATCH("I",Statut_biogéographique!A:A,2,1),"I")</f>
        <v>I</v>
      </c>
      <c r="AM21306" s="4" t="s">
        <v>375</v>
      </c>
      <c r="AN21306" s="4" t="s">
        <v>375</v>
      </c>
      <c r="AO21306" s="4" t="s">
        <v>375</v>
      </c>
      <c r="AP21306" s="4" t="s">
        <v>376</v>
      </c>
      <c r="AR21306" s="4" t="s">
        <v>377</v>
      </c>
    </row>
    <row r="21307" spans="1:44" ht="45">
      <c r="A21307" s="4" t="s">
        <v>24364</v>
      </c>
      <c r="B21307" s="4">
        <v>124646</v>
      </c>
      <c r="D21307" s="5" t="s">
        <v>27505</v>
      </c>
      <c r="E21307" s="6" t="str">
        <f>HYPERLINK("https://inpn.mnhn.fr/espece/cd_nom/124646","Spiraea japonica L.f., 1782")</f>
        <v>Spiraea japonica L.f., 1782</v>
      </c>
      <c r="F21307" s="5" t="s">
        <v>27506</v>
      </c>
      <c r="Q21307" s="7" t="str">
        <f>HYPERLINK("#Liste_rouge!A"&amp;_xlfn.XMATCH("NA",Liste_rouge!A:A,2,1),"NA")</f>
        <v>NA</v>
      </c>
      <c r="T21307" s="7" t="str">
        <f>HYPERLINK("#Liste_rouge!A"&amp;_xlfn.XMATCH("NA",Liste_rouge!A:A,2,1),"NA")</f>
        <v>NA</v>
      </c>
      <c r="AH21307" s="4" t="str">
        <f>HYPERLINK("#Statut_biogéographique!A"&amp;_xlfn.XMATCH("I",Statut_biogéographique!A:A,2,1),"I")</f>
        <v>I</v>
      </c>
      <c r="AP21307" s="4" t="s">
        <v>376</v>
      </c>
      <c r="AR21307" s="4" t="s">
        <v>377</v>
      </c>
    </row>
    <row r="21308" spans="1:44">
      <c r="A21308" s="4" t="s">
        <v>24364</v>
      </c>
      <c r="B21308" s="4">
        <v>124668</v>
      </c>
      <c r="D21308" s="5" t="s">
        <v>27507</v>
      </c>
      <c r="E21308" s="6" t="str">
        <f>HYPERLINK("https://inpn.mnhn.fr/espece/cd_nom/124668","Spiraea salicifolia L., 1753")</f>
        <v>Spiraea salicifolia L., 1753</v>
      </c>
      <c r="F21308" s="5" t="s">
        <v>27508</v>
      </c>
      <c r="Q21308" s="7" t="str">
        <f>HYPERLINK("#Liste_rouge!A"&amp;_xlfn.XMATCH("NA",Liste_rouge!A:A,2,1),"NA")</f>
        <v>NA</v>
      </c>
      <c r="T21308" s="7" t="str">
        <f>HYPERLINK("#Liste_rouge!A"&amp;_xlfn.XMATCH("NA",Liste_rouge!A:A,2,1),"NA")</f>
        <v>NA</v>
      </c>
      <c r="AH21308" s="4" t="str">
        <f>HYPERLINK("#Statut_biogéographique!A"&amp;_xlfn.XMATCH("M",Statut_biogéographique!A:A,2,1),"M")</f>
        <v>M</v>
      </c>
      <c r="AP21308" s="4" t="s">
        <v>376</v>
      </c>
      <c r="AR21308" s="4" t="s">
        <v>377</v>
      </c>
    </row>
    <row r="21309" spans="1:44">
      <c r="A21309" s="4" t="s">
        <v>24364</v>
      </c>
      <c r="B21309" s="4">
        <v>124672</v>
      </c>
      <c r="D21309" s="5">
        <v>124672</v>
      </c>
      <c r="E21309" s="6" t="str">
        <f>HYPERLINK("https://inpn.mnhn.fr/espece/cd_nom/124672","Spiraea tomentosa L., 1753")</f>
        <v>Spiraea tomentosa L., 1753</v>
      </c>
      <c r="F21309" s="5" t="s">
        <v>27509</v>
      </c>
      <c r="AH21309" s="4" t="str">
        <f>HYPERLINK("#Statut_biogéographique!A"&amp;_xlfn.XMATCH("M",Statut_biogéographique!A:A,2,1),"M")</f>
        <v>M</v>
      </c>
      <c r="AP21309" s="4" t="s">
        <v>376</v>
      </c>
      <c r="AR21309" s="4" t="s">
        <v>377</v>
      </c>
    </row>
    <row r="21310" spans="1:44">
      <c r="A21310" s="4" t="s">
        <v>24364</v>
      </c>
      <c r="B21310" s="4">
        <v>124680</v>
      </c>
      <c r="D21310" s="5">
        <v>124680</v>
      </c>
      <c r="E21310" s="6" t="str">
        <f>HYPERLINK("https://inpn.mnhn.fr/espece/cd_nom/124680","Spiraea x arguta Zabel, 1884")</f>
        <v>Spiraea x arguta Zabel, 1884</v>
      </c>
      <c r="F21310" s="5" t="s">
        <v>27510</v>
      </c>
      <c r="AH21310" s="4" t="str">
        <f>HYPERLINK("#Statut_biogéographique!A"&amp;_xlfn.XMATCH("M",Statut_biogéographique!A:A,2,1),"M")</f>
        <v>M</v>
      </c>
      <c r="AP21310" s="4" t="s">
        <v>376</v>
      </c>
      <c r="AR21310" s="4" t="s">
        <v>377</v>
      </c>
    </row>
    <row r="21311" spans="1:44">
      <c r="A21311" s="4" t="s">
        <v>24364</v>
      </c>
      <c r="B21311" s="4">
        <v>124682</v>
      </c>
      <c r="D21311" s="5" t="s">
        <v>27511</v>
      </c>
      <c r="E21311" s="6" t="str">
        <f>HYPERLINK("https://inpn.mnhn.fr/espece/cd_nom/124682","Spiraea x billiardii Hérincq, 1857")</f>
        <v>Spiraea x billiardii Hérincq, 1857</v>
      </c>
      <c r="F21311" s="5" t="s">
        <v>27512</v>
      </c>
      <c r="AH21311" s="4" t="str">
        <f>HYPERLINK("#Statut_biogéographique!A"&amp;_xlfn.XMATCH("J",Statut_biogéographique!A:A,2,1),"J")</f>
        <v>J</v>
      </c>
      <c r="AP21311" s="4" t="s">
        <v>376</v>
      </c>
      <c r="AR21311" s="4" t="s">
        <v>377</v>
      </c>
    </row>
    <row r="21312" spans="1:44">
      <c r="A21312" s="4" t="s">
        <v>24364</v>
      </c>
      <c r="B21312" s="4">
        <v>124697</v>
      </c>
      <c r="D21312" s="5" t="s">
        <v>27513</v>
      </c>
      <c r="E21312" s="6" t="str">
        <f>HYPERLINK("https://inpn.mnhn.fr/espece/cd_nom/124697","Spiraea x vanhouttei (Briot) Carrière, 1876")</f>
        <v>Spiraea x vanhouttei (Briot) Carrière, 1876</v>
      </c>
      <c r="F21312" s="5" t="s">
        <v>27514</v>
      </c>
      <c r="T21312" s="7" t="str">
        <f>HYPERLINK("#Liste_rouge!A"&amp;_xlfn.XMATCH("NA",Liste_rouge!A:A,2,1),"NA")</f>
        <v>NA</v>
      </c>
      <c r="AH21312" s="4" t="str">
        <f>HYPERLINK("#Statut_biogéographique!A"&amp;_xlfn.XMATCH("M",Statut_biogéographique!A:A,2,1),"M")</f>
        <v>M</v>
      </c>
      <c r="AP21312" s="4" t="s">
        <v>376</v>
      </c>
      <c r="AR21312" s="4" t="s">
        <v>377</v>
      </c>
    </row>
    <row r="21313" spans="1:44">
      <c r="A21313" s="4" t="s">
        <v>24364</v>
      </c>
      <c r="B21313" s="4">
        <v>124699</v>
      </c>
      <c r="D21313" s="5" t="s">
        <v>27515</v>
      </c>
      <c r="E21313" s="6" t="str">
        <f>HYPERLINK("https://inpn.mnhn.fr/espece/cd_nom/124699","Spiranthes aestivalis (Poir.) Rich., 1817")</f>
        <v>Spiranthes aestivalis (Poir.) Rich., 1817</v>
      </c>
      <c r="F21313" s="5" t="s">
        <v>27516</v>
      </c>
      <c r="G21313" s="4" t="str">
        <f>HYPERLINK("#Réglementation!A"&amp;_xlfn.XMATCH("CCA",Réglementation!A:A,2,1),"CCA - CCB")</f>
        <v>CCA - CCB</v>
      </c>
      <c r="I21313" s="4" t="str">
        <f>HYPERLINK("#Réglementation!A"&amp;_xlfn.XMATCH("IBE1",Réglementation!A:A,2,1),"IBE1")</f>
        <v>IBE1</v>
      </c>
      <c r="K21313" s="4" t="str">
        <f>HYPERLINK("#Réglementation!A"&amp;_xlfn.XMATCH("CDH4",Réglementation!A:A,2,1),"CDH4")</f>
        <v>CDH4</v>
      </c>
      <c r="L21313" s="4" t="str">
        <f>HYPERLINK("#Réglementation!A"&amp;_xlfn.XMATCH("NV1",Réglementation!A:A,2,1),"NV1")</f>
        <v>NV1</v>
      </c>
      <c r="P21313" s="7" t="str">
        <f>HYPERLINK("#Liste_rouge!A"&amp;_xlfn.XMATCH("DD",Liste_rouge!A:A,2,1),"DD")</f>
        <v>DD</v>
      </c>
      <c r="Q21313" s="7" t="str">
        <f>HYPERLINK("#Liste_rouge!A"&amp;_xlfn.XMATCH("VU",Liste_rouge!A:A,2,1),"VU")</f>
        <v>VU</v>
      </c>
      <c r="T21313" s="7" t="str">
        <f>HYPERLINK("#Liste_rouge!A"&amp;_xlfn.XMATCH("CR",Liste_rouge!A:A,2,1),"CR")</f>
        <v>CR</v>
      </c>
      <c r="U21313" s="4" t="str">
        <f>HYPERLINK("#Critères_liste_rouge!A$1","B1 B2ab(ii,iii,iv)")</f>
        <v>B1 B2ab(ii,iii,iv)</v>
      </c>
      <c r="V21313" s="7" t="str">
        <f>HYPERLINK("#Liste_rouge!A"&amp;_xlfn.XMATCH("EN",Liste_rouge!A:A,2,1),"EN")</f>
        <v>EN</v>
      </c>
      <c r="W21313" s="4" t="str">
        <f>HYPERLINK("#Critères_liste_rouge!A$1","B2ab(iii)")</f>
        <v>B2ab(iii)</v>
      </c>
      <c r="X21313" s="5" t="s">
        <v>374</v>
      </c>
      <c r="AB21313" s="4" t="s">
        <v>93</v>
      </c>
      <c r="AE21313" s="4" t="str">
        <f>HYPERLINK("#SCAP!A"&amp;_xlfn.XMATCH("1+",SCAP!A:A,2,1),"1+")</f>
        <v>1+</v>
      </c>
      <c r="AF21313" s="4" t="str">
        <f>HYPERLINK("#SCAP!A"&amp;_xlfn.XMATCH("1+",SCAP!A:A,2,1),"1+")</f>
        <v>1+</v>
      </c>
      <c r="AG21313" s="4" t="str">
        <f>HYPERLINK("#SCAP!A"&amp;_xlfn.XMATCH("1+",SCAP!A:A,2,1),"1+")</f>
        <v>1+</v>
      </c>
      <c r="AH21313" s="4" t="str">
        <f>HYPERLINK("#Statut_biogéographique!A"&amp;_xlfn.XMATCH("P",Statut_biogéographique!A:A,2,1),"P")</f>
        <v>P</v>
      </c>
      <c r="AM21313" s="4" t="s">
        <v>375</v>
      </c>
      <c r="AN21313" s="4" t="s">
        <v>375</v>
      </c>
      <c r="AO21313" s="4" t="s">
        <v>375</v>
      </c>
      <c r="AP21313" s="4" t="s">
        <v>389</v>
      </c>
      <c r="AR21313" s="4" t="s">
        <v>377</v>
      </c>
    </row>
    <row r="21314" spans="1:44" ht="45">
      <c r="A21314" s="4" t="s">
        <v>24364</v>
      </c>
      <c r="B21314" s="4">
        <v>124701</v>
      </c>
      <c r="D21314" s="5" t="s">
        <v>27517</v>
      </c>
      <c r="E21314" s="6" t="str">
        <f>HYPERLINK("https://inpn.mnhn.fr/espece/cd_nom/124701","Spiranthes spiralis (L.) Chevall., 1827")</f>
        <v>Spiranthes spiralis (L.) Chevall., 1827</v>
      </c>
      <c r="F21314" s="5" t="s">
        <v>27518</v>
      </c>
      <c r="G21314" s="4" t="str">
        <f>HYPERLINK("[#Réglementation!A"&amp;_xlfn.XMATCH("CCB",Réglementation!A:A,2,1),"CCB")</f>
        <v>CCB</v>
      </c>
      <c r="M21314" s="4" t="str">
        <f>HYPERLINK("#Réglementation!A"&amp;_xlfn.XMATCH("RV26",Réglementation!A:A,2,1),"RV26 - RV43")</f>
        <v>RV26 - RV43</v>
      </c>
      <c r="P21314" s="7" t="str">
        <f>HYPERLINK("#Liste_rouge!A"&amp;_xlfn.XMATCH("LC",Liste_rouge!A:A,2,1),"LC")</f>
        <v>LC</v>
      </c>
      <c r="Q21314" s="7" t="str">
        <f>HYPERLINK("#Liste_rouge!A"&amp;_xlfn.XMATCH("LC",Liste_rouge!A:A,2,1),"LC")</f>
        <v>LC</v>
      </c>
      <c r="T21314" s="7" t="str">
        <f>HYPERLINK("#Liste_rouge!A"&amp;_xlfn.XMATCH("EN",Liste_rouge!A:A,2,1),"EN")</f>
        <v>EN</v>
      </c>
      <c r="U21314" s="4" t="str">
        <f>HYPERLINK("#Critères_liste_rouge!A$1","B2ab(ii,iii,iv)")</f>
        <v>B2ab(ii,iii,iv)</v>
      </c>
      <c r="V21314" s="7" t="str">
        <f>HYPERLINK("#Liste_rouge!A"&amp;_xlfn.XMATCH("NT",Liste_rouge!A:A,2,1),"NT")</f>
        <v>NT</v>
      </c>
      <c r="W21314" s="4" t="str">
        <f>HYPERLINK("#Critères_liste_rouge!A$1","pr. B2b(iii)")</f>
        <v>pr. B2b(iii)</v>
      </c>
      <c r="X21314" s="5" t="s">
        <v>374</v>
      </c>
      <c r="AB21314" s="4" t="s">
        <v>93</v>
      </c>
      <c r="AH21314" s="4" t="str">
        <f>HYPERLINK("#Statut_biogéographique!A"&amp;_xlfn.XMATCH("P",Statut_biogéographique!A:A,2,1),"P")</f>
        <v>P</v>
      </c>
      <c r="AL21314" s="5" t="str">
        <f>HYPERLINK("#Réglementation!A"&amp;_xlfn.XMATCH("UEintro",Réglementation!A:A,2,1),"UEintro")</f>
        <v>UEintro</v>
      </c>
      <c r="AM21314" s="4" t="s">
        <v>375</v>
      </c>
      <c r="AN21314" s="4" t="s">
        <v>375</v>
      </c>
      <c r="AO21314" s="4" t="s">
        <v>375</v>
      </c>
      <c r="AP21314" s="4" t="s">
        <v>376</v>
      </c>
      <c r="AR21314" s="4" t="s">
        <v>377</v>
      </c>
    </row>
    <row r="21315" spans="1:44" ht="45">
      <c r="A21315" s="4" t="s">
        <v>24364</v>
      </c>
      <c r="B21315" s="4">
        <v>124707</v>
      </c>
      <c r="D21315" s="5" t="s">
        <v>27519</v>
      </c>
      <c r="E21315" s="6" t="str">
        <f>HYPERLINK("https://inpn.mnhn.fr/espece/cd_nom/124707","Spirodela polyrhiza (L.) Schleid., 1839")</f>
        <v>Spirodela polyrhiza (L.) Schleid., 1839</v>
      </c>
      <c r="F21315" s="5" t="s">
        <v>27520</v>
      </c>
      <c r="O21315" s="7" t="str">
        <f>HYPERLINK("#Liste_rouge!A"&amp;_xlfn.XMATCH("LC",Liste_rouge!A:A,2,1),"LC")</f>
        <v>LC</v>
      </c>
      <c r="P21315" s="7" t="str">
        <f>HYPERLINK("#Liste_rouge!A"&amp;_xlfn.XMATCH("LC",Liste_rouge!A:A,2,1),"LC")</f>
        <v>LC</v>
      </c>
      <c r="Q21315" s="7" t="str">
        <f>HYPERLINK("#Liste_rouge!A"&amp;_xlfn.XMATCH("LC",Liste_rouge!A:A,2,1),"LC")</f>
        <v>LC</v>
      </c>
      <c r="T21315" s="7" t="str">
        <f>HYPERLINK("#Liste_rouge!A"&amp;_xlfn.XMATCH("LC",Liste_rouge!A:A,2,1),"LC")</f>
        <v>LC</v>
      </c>
      <c r="V21315" s="7" t="str">
        <f>HYPERLINK("#Liste_rouge!A"&amp;_xlfn.XMATCH("LC",Liste_rouge!A:A,2,1),"LC")</f>
        <v>LC</v>
      </c>
      <c r="AH21315" s="4" t="str">
        <f>HYPERLINK("#Statut_biogéographique!A"&amp;_xlfn.XMATCH("P",Statut_biogéographique!A:A,2,1),"P")</f>
        <v>P</v>
      </c>
      <c r="AM21315" s="4" t="s">
        <v>375</v>
      </c>
      <c r="AN21315" s="4" t="s">
        <v>375</v>
      </c>
      <c r="AO21315" s="4" t="s">
        <v>375</v>
      </c>
      <c r="AP21315" s="4" t="s">
        <v>376</v>
      </c>
      <c r="AR21315" s="4" t="s">
        <v>377</v>
      </c>
    </row>
    <row r="21316" spans="1:44" ht="60">
      <c r="A21316" s="4" t="s">
        <v>24364</v>
      </c>
      <c r="B21316" s="4">
        <v>124719</v>
      </c>
      <c r="D21316" s="5" t="s">
        <v>27521</v>
      </c>
      <c r="E21316" s="6" t="str">
        <f>HYPERLINK("https://inpn.mnhn.fr/espece/cd_nom/124719","Sporobolus indicus (L.) R.Br., 1810")</f>
        <v>Sporobolus indicus (L.) R.Br., 1810</v>
      </c>
      <c r="F21316" s="5" t="s">
        <v>27522</v>
      </c>
      <c r="O21316" s="7" t="str">
        <f>HYPERLINK("#Liste_rouge!A"&amp;_xlfn.XMATCH("LC",Liste_rouge!A:A,2,1),"LC")</f>
        <v>LC</v>
      </c>
      <c r="Q21316" s="7" t="str">
        <f>HYPERLINK("#Liste_rouge!A"&amp;_xlfn.XMATCH("NA",Liste_rouge!A:A,2,1),"NA")</f>
        <v>NA</v>
      </c>
      <c r="T21316" s="7" t="str">
        <f>HYPERLINK("#Liste_rouge!A"&amp;_xlfn.XMATCH("NA",Liste_rouge!A:A,2,1),"NA")</f>
        <v>NA</v>
      </c>
      <c r="AH21316" s="4" t="str">
        <f>HYPERLINK("#Statut_biogéographique!A"&amp;_xlfn.XMATCH("J",Statut_biogéographique!A:A,2,1),"J")</f>
        <v>J</v>
      </c>
      <c r="AM21316" s="4" t="s">
        <v>375</v>
      </c>
      <c r="AN21316" s="4" t="s">
        <v>375</v>
      </c>
      <c r="AO21316" s="4" t="s">
        <v>375</v>
      </c>
      <c r="AP21316" s="4" t="s">
        <v>376</v>
      </c>
      <c r="AR21316" s="4" t="s">
        <v>377</v>
      </c>
    </row>
    <row r="21317" spans="1:44">
      <c r="A21317" s="4" t="s">
        <v>24364</v>
      </c>
      <c r="B21317" s="4">
        <v>124725</v>
      </c>
      <c r="D21317" s="5" t="s">
        <v>27523</v>
      </c>
      <c r="E21317" s="6" t="str">
        <f>HYPERLINK("https://inpn.mnhn.fr/espece/cd_nom/124725","Sporobolus neglectus Nash, 1895")</f>
        <v>Sporobolus neglectus Nash, 1895</v>
      </c>
      <c r="F21317" s="5" t="s">
        <v>27524</v>
      </c>
      <c r="Q21317" s="7" t="str">
        <f>HYPERLINK("#Liste_rouge!A"&amp;_xlfn.XMATCH("NA",Liste_rouge!A:A,2,1),"NA")</f>
        <v>NA</v>
      </c>
      <c r="AH21317" s="4" t="str">
        <f>HYPERLINK("#Statut_biogéographique!A"&amp;_xlfn.XMATCH("I",Statut_biogéographique!A:A,2,1),"I")</f>
        <v>I</v>
      </c>
      <c r="AM21317" s="4" t="s">
        <v>375</v>
      </c>
      <c r="AN21317" s="4" t="s">
        <v>375</v>
      </c>
      <c r="AO21317" s="4" t="s">
        <v>375</v>
      </c>
      <c r="AP21317" s="4" t="s">
        <v>376</v>
      </c>
      <c r="AR21317" s="4" t="s">
        <v>377</v>
      </c>
    </row>
    <row r="21318" spans="1:44" ht="45">
      <c r="A21318" s="4" t="s">
        <v>24364</v>
      </c>
      <c r="B21318" s="4">
        <v>124730</v>
      </c>
      <c r="D21318" s="5" t="s">
        <v>27525</v>
      </c>
      <c r="E21318" s="6" t="str">
        <f>HYPERLINK("https://inpn.mnhn.fr/espece/cd_nom/124730","Sporobolus vaginiflorus (Torr. ex A.Gray) Alf.Wood, 1861")</f>
        <v>Sporobolus vaginiflorus (Torr. ex A.Gray) Alf.Wood, 1861</v>
      </c>
      <c r="F21318" s="5" t="s">
        <v>27526</v>
      </c>
      <c r="Q21318" s="7" t="str">
        <f>HYPERLINK("#Liste_rouge!A"&amp;_xlfn.XMATCH("NA",Liste_rouge!A:A,2,1),"NA")</f>
        <v>NA</v>
      </c>
      <c r="AH21318" s="4" t="str">
        <f>HYPERLINK("#Statut_biogéographique!A"&amp;_xlfn.XMATCH("I",Statut_biogéographique!A:A,2,1),"I")</f>
        <v>I</v>
      </c>
      <c r="AM21318" s="4" t="s">
        <v>375</v>
      </c>
      <c r="AN21318" s="4" t="s">
        <v>375</v>
      </c>
      <c r="AO21318" s="4" t="s">
        <v>375</v>
      </c>
      <c r="AP21318" s="4" t="s">
        <v>376</v>
      </c>
      <c r="AR21318" s="4" t="s">
        <v>377</v>
      </c>
    </row>
    <row r="21319" spans="1:44">
      <c r="A21319" s="4" t="s">
        <v>24364</v>
      </c>
      <c r="B21319" s="4">
        <v>124740</v>
      </c>
      <c r="D21319" s="5" t="s">
        <v>27527</v>
      </c>
      <c r="E21319" s="6" t="str">
        <f>HYPERLINK("https://inpn.mnhn.fr/espece/cd_nom/124740","Stachys alpina L., 1753")</f>
        <v>Stachys alpina L., 1753</v>
      </c>
      <c r="F21319" s="5" t="s">
        <v>27528</v>
      </c>
      <c r="Q21319" s="7" t="str">
        <f>HYPERLINK("#Liste_rouge!A"&amp;_xlfn.XMATCH("LC",Liste_rouge!A:A,2,1),"LC")</f>
        <v>LC</v>
      </c>
      <c r="T21319" s="7" t="str">
        <f>HYPERLINK("#Liste_rouge!A"&amp;_xlfn.XMATCH("LC",Liste_rouge!A:A,2,1),"LC")</f>
        <v>LC</v>
      </c>
      <c r="V21319" s="7" t="str">
        <f>HYPERLINK("#Liste_rouge!A"&amp;_xlfn.XMATCH("LC",Liste_rouge!A:A,2,1),"LC")</f>
        <v>LC</v>
      </c>
      <c r="AH21319" s="4" t="str">
        <f>HYPERLINK("#Statut_biogéographique!A"&amp;_xlfn.XMATCH("P",Statut_biogéographique!A:A,2,1),"P")</f>
        <v>P</v>
      </c>
      <c r="AM21319" s="4" t="s">
        <v>375</v>
      </c>
      <c r="AN21319" s="4" t="s">
        <v>375</v>
      </c>
      <c r="AO21319" s="4" t="s">
        <v>375</v>
      </c>
      <c r="AP21319" s="4" t="s">
        <v>376</v>
      </c>
      <c r="AR21319" s="4" t="s">
        <v>377</v>
      </c>
    </row>
    <row r="21320" spans="1:44" ht="45">
      <c r="A21320" s="4" t="s">
        <v>24364</v>
      </c>
      <c r="B21320" s="4">
        <v>124741</v>
      </c>
      <c r="D21320" s="5" t="s">
        <v>27529</v>
      </c>
      <c r="E21320" s="6" t="str">
        <f>HYPERLINK("https://inpn.mnhn.fr/espece/cd_nom/124741","Stachys annua (L.) L., 1763")</f>
        <v>Stachys annua (L.) L., 1763</v>
      </c>
      <c r="F21320" s="5" t="s">
        <v>27530</v>
      </c>
      <c r="Q21320" s="7" t="str">
        <f>HYPERLINK("#Liste_rouge!A"&amp;_xlfn.XMATCH("LC",Liste_rouge!A:A,2,1),"LC")</f>
        <v>LC</v>
      </c>
      <c r="T21320" s="7" t="str">
        <f>HYPERLINK("#Liste_rouge!A"&amp;_xlfn.XMATCH("LC",Liste_rouge!A:A,2,1),"LC")</f>
        <v>LC</v>
      </c>
      <c r="V21320" s="7" t="str">
        <f>HYPERLINK("#Liste_rouge!A"&amp;_xlfn.XMATCH("LC",Liste_rouge!A:A,2,1),"LC")</f>
        <v>LC</v>
      </c>
      <c r="AB21320" s="4" t="s">
        <v>24464</v>
      </c>
      <c r="AH21320" s="4" t="str">
        <f>HYPERLINK("#Statut_biogéographique!A"&amp;_xlfn.XMATCH("P",Statut_biogéographique!A:A,2,1),"P")</f>
        <v>P</v>
      </c>
      <c r="AI21320" s="8" t="s">
        <v>27531</v>
      </c>
      <c r="AJ21320" s="4" t="s">
        <v>12248</v>
      </c>
      <c r="AM21320" s="4" t="s">
        <v>375</v>
      </c>
      <c r="AN21320" s="4" t="s">
        <v>375</v>
      </c>
      <c r="AO21320" s="4" t="s">
        <v>375</v>
      </c>
      <c r="AP21320" s="4" t="s">
        <v>376</v>
      </c>
      <c r="AR21320" s="4" t="s">
        <v>377</v>
      </c>
    </row>
    <row r="21321" spans="1:44" ht="30">
      <c r="A21321" s="4" t="s">
        <v>24364</v>
      </c>
      <c r="B21321" s="4">
        <v>124744</v>
      </c>
      <c r="D21321" s="5" t="s">
        <v>27532</v>
      </c>
      <c r="E21321" s="6" t="str">
        <f>HYPERLINK("https://inpn.mnhn.fr/espece/cd_nom/124744","Stachys arvensis (L.) L., 1763")</f>
        <v>Stachys arvensis (L.) L., 1763</v>
      </c>
      <c r="F21321" s="5" t="s">
        <v>27533</v>
      </c>
      <c r="Q21321" s="7" t="str">
        <f>HYPERLINK("#Liste_rouge!A"&amp;_xlfn.XMATCH("LC",Liste_rouge!A:A,2,1),"LC")</f>
        <v>LC</v>
      </c>
      <c r="T21321" s="7" t="str">
        <f>HYPERLINK("#Liste_rouge!A"&amp;_xlfn.XMATCH("LC",Liste_rouge!A:A,2,1),"LC")</f>
        <v>LC</v>
      </c>
      <c r="V21321" s="7" t="str">
        <f>HYPERLINK("#Liste_rouge!A"&amp;_xlfn.XMATCH("LC",Liste_rouge!A:A,2,1),"LC")</f>
        <v>LC</v>
      </c>
      <c r="AH21321" s="4" t="str">
        <f>HYPERLINK("#Statut_biogéographique!A"&amp;_xlfn.XMATCH("P",Statut_biogéographique!A:A,2,1),"P")</f>
        <v>P</v>
      </c>
      <c r="AM21321" s="4" t="s">
        <v>375</v>
      </c>
      <c r="AN21321" s="4" t="s">
        <v>375</v>
      </c>
      <c r="AO21321" s="4" t="s">
        <v>375</v>
      </c>
      <c r="AP21321" s="4" t="s">
        <v>376</v>
      </c>
      <c r="AR21321" s="4" t="s">
        <v>377</v>
      </c>
    </row>
    <row r="21322" spans="1:44">
      <c r="A21322" s="4" t="s">
        <v>24364</v>
      </c>
      <c r="B21322" s="4">
        <v>124756</v>
      </c>
      <c r="D21322" s="5" t="s">
        <v>27534</v>
      </c>
      <c r="E21322" s="6" t="str">
        <f>HYPERLINK("https://inpn.mnhn.fr/espece/cd_nom/124756","Stachys byzantina K.Koch, 1848")</f>
        <v>Stachys byzantina K.Koch, 1848</v>
      </c>
      <c r="F21322" s="5" t="s">
        <v>27535</v>
      </c>
      <c r="Q21322" s="7" t="str">
        <f>HYPERLINK("#Liste_rouge!A"&amp;_xlfn.XMATCH("NA",Liste_rouge!A:A,2,1),"NA")</f>
        <v>NA</v>
      </c>
      <c r="T21322" s="7" t="str">
        <f>HYPERLINK("#Liste_rouge!A"&amp;_xlfn.XMATCH("NA",Liste_rouge!A:A,2,1),"NA")</f>
        <v>NA</v>
      </c>
      <c r="AH21322" s="4" t="str">
        <f>HYPERLINK("#Statut_biogéographique!A"&amp;_xlfn.XMATCH("M",Statut_biogéographique!A:A,2,1),"M")</f>
        <v>M</v>
      </c>
      <c r="AP21322" s="4" t="s">
        <v>376</v>
      </c>
      <c r="AR21322" s="4" t="s">
        <v>377</v>
      </c>
    </row>
    <row r="21323" spans="1:44" ht="45">
      <c r="A21323" s="4" t="s">
        <v>24364</v>
      </c>
      <c r="B21323" s="4">
        <v>124771</v>
      </c>
      <c r="D21323" s="5" t="s">
        <v>27536</v>
      </c>
      <c r="E21323" s="6" t="str">
        <f>HYPERLINK("https://inpn.mnhn.fr/espece/cd_nom/124771","Stachys germanica L., 1753")</f>
        <v>Stachys germanica L., 1753</v>
      </c>
      <c r="F21323" s="5" t="s">
        <v>27537</v>
      </c>
      <c r="Q21323" s="7" t="str">
        <f>HYPERLINK("#Liste_rouge!A"&amp;_xlfn.XMATCH("LC",Liste_rouge!A:A,2,1),"LC")</f>
        <v>LC</v>
      </c>
      <c r="T21323" s="7" t="str">
        <f>HYPERLINK("#Liste_rouge!A"&amp;_xlfn.XMATCH("VU",Liste_rouge!A:A,2,1),"VU")</f>
        <v>VU</v>
      </c>
      <c r="U21323" s="4" t="str">
        <f>HYPERLINK("#Critères_liste_rouge!A$1","D2")</f>
        <v>D2</v>
      </c>
      <c r="V21323" s="7" t="str">
        <f>HYPERLINK("#Liste_rouge!A"&amp;_xlfn.XMATCH("DD",Liste_rouge!A:A,2,1),"DD")</f>
        <v>DD</v>
      </c>
      <c r="X21323" s="5" t="s">
        <v>374</v>
      </c>
      <c r="AB21323" s="4" t="s">
        <v>93</v>
      </c>
      <c r="AH21323" s="4" t="str">
        <f>HYPERLINK("#Statut_biogéographique!A"&amp;_xlfn.XMATCH("P",Statut_biogéographique!A:A,2,1),"P")</f>
        <v>P</v>
      </c>
      <c r="AM21323" s="4" t="s">
        <v>375</v>
      </c>
      <c r="AN21323" s="4" t="s">
        <v>375</v>
      </c>
      <c r="AO21323" s="4" t="s">
        <v>375</v>
      </c>
      <c r="AP21323" s="4" t="s">
        <v>376</v>
      </c>
      <c r="AR21323" s="4" t="s">
        <v>377</v>
      </c>
    </row>
    <row r="21324" spans="1:44">
      <c r="A21324" s="4" t="s">
        <v>24364</v>
      </c>
      <c r="B21324" s="4">
        <v>124775</v>
      </c>
      <c r="D21324" s="5" t="s">
        <v>27538</v>
      </c>
      <c r="E21324" s="6" t="str">
        <f>HYPERLINK("https://inpn.mnhn.fr/espece/cd_nom/124775","Stachys heraclea All., 1785")</f>
        <v>Stachys heraclea All., 1785</v>
      </c>
      <c r="F21324" s="5" t="s">
        <v>27539</v>
      </c>
      <c r="Q21324" s="7" t="str">
        <f>HYPERLINK("#Liste_rouge!A"&amp;_xlfn.XMATCH("LC",Liste_rouge!A:A,2,1),"LC")</f>
        <v>LC</v>
      </c>
      <c r="AH21324" s="4" t="str">
        <f>HYPERLINK("#Statut_biogéographique!A"&amp;_xlfn.XMATCH("P",Statut_biogéographique!A:A,2,1),"P")</f>
        <v>P</v>
      </c>
      <c r="AP21324" s="4" t="s">
        <v>376</v>
      </c>
      <c r="AR21324" s="4" t="s">
        <v>377</v>
      </c>
    </row>
    <row r="21325" spans="1:44" ht="30">
      <c r="A21325" s="4" t="s">
        <v>24364</v>
      </c>
      <c r="B21325" s="4">
        <v>124796</v>
      </c>
      <c r="D21325" s="5" t="s">
        <v>27540</v>
      </c>
      <c r="E21325" s="6" t="str">
        <f>HYPERLINK("https://inpn.mnhn.fr/espece/cd_nom/124796","Stachys ocymastrum (L.) Briq., 1893")</f>
        <v>Stachys ocymastrum (L.) Briq., 1893</v>
      </c>
      <c r="F21325" s="5" t="s">
        <v>27541</v>
      </c>
      <c r="L21325" s="4" t="str">
        <f>HYPERLINK("#Réglementation!A"&amp;_xlfn.XMATCH("NV1",Réglementation!A:A,2,1),"NV1")</f>
        <v>NV1</v>
      </c>
      <c r="Q21325" s="7" t="str">
        <f>HYPERLINK("#Liste_rouge!A"&amp;_xlfn.XMATCH("VU",Liste_rouge!A:A,2,1),"VU")</f>
        <v>VU</v>
      </c>
      <c r="T21325" s="7" t="str">
        <f>HYPERLINK("#Liste_rouge!A"&amp;_xlfn.XMATCH("NA",Liste_rouge!A:A,2,1),"NA")</f>
        <v>NA</v>
      </c>
      <c r="AH21325" s="4" t="str">
        <f>HYPERLINK("#Statut_biogéographique!A"&amp;_xlfn.XMATCH("P",Statut_biogéographique!A:A,2,1),"P")</f>
        <v>P</v>
      </c>
      <c r="AP21325" s="4" t="s">
        <v>389</v>
      </c>
      <c r="AR21325" s="4" t="s">
        <v>377</v>
      </c>
    </row>
    <row r="21326" spans="1:44" ht="30">
      <c r="A21326" s="4" t="s">
        <v>24364</v>
      </c>
      <c r="B21326" s="4">
        <v>124798</v>
      </c>
      <c r="D21326" s="5" t="s">
        <v>27542</v>
      </c>
      <c r="E21326" s="6" t="str">
        <f>HYPERLINK("https://inpn.mnhn.fr/espece/cd_nom/124798","Stachys palustris L., 1753")</f>
        <v>Stachys palustris L., 1753</v>
      </c>
      <c r="F21326" s="5" t="s">
        <v>27543</v>
      </c>
      <c r="O21326" s="7" t="str">
        <f>HYPERLINK("#Liste_rouge!A"&amp;_xlfn.XMATCH("LC",Liste_rouge!A:A,2,1),"LC")</f>
        <v>LC</v>
      </c>
      <c r="P21326" s="7" t="str">
        <f>HYPERLINK("#Liste_rouge!A"&amp;_xlfn.XMATCH("LC",Liste_rouge!A:A,2,1),"LC")</f>
        <v>LC</v>
      </c>
      <c r="Q21326" s="7" t="str">
        <f>HYPERLINK("#Liste_rouge!A"&amp;_xlfn.XMATCH("LC",Liste_rouge!A:A,2,1),"LC")</f>
        <v>LC</v>
      </c>
      <c r="T21326" s="7" t="str">
        <f>HYPERLINK("#Liste_rouge!A"&amp;_xlfn.XMATCH("LC",Liste_rouge!A:A,2,1),"LC")</f>
        <v>LC</v>
      </c>
      <c r="V21326" s="7" t="str">
        <f>HYPERLINK("#Liste_rouge!A"&amp;_xlfn.XMATCH("LC",Liste_rouge!A:A,2,1),"LC")</f>
        <v>LC</v>
      </c>
      <c r="AH21326" s="4" t="str">
        <f>HYPERLINK("#Statut_biogéographique!A"&amp;_xlfn.XMATCH("P",Statut_biogéographique!A:A,2,1),"P")</f>
        <v>P</v>
      </c>
      <c r="AM21326" s="4" t="s">
        <v>375</v>
      </c>
      <c r="AN21326" s="4" t="s">
        <v>375</v>
      </c>
      <c r="AO21326" s="4" t="s">
        <v>375</v>
      </c>
      <c r="AP21326" s="4" t="s">
        <v>376</v>
      </c>
      <c r="AR21326" s="4" t="s">
        <v>377</v>
      </c>
    </row>
    <row r="21327" spans="1:44" ht="60">
      <c r="A21327" s="4" t="s">
        <v>24364</v>
      </c>
      <c r="B21327" s="4">
        <v>124805</v>
      </c>
      <c r="D21327" s="5" t="s">
        <v>27544</v>
      </c>
      <c r="E21327" s="6" t="str">
        <f>HYPERLINK("https://inpn.mnhn.fr/espece/cd_nom/124805","Stachys recta L., 1767")</f>
        <v>Stachys recta L., 1767</v>
      </c>
      <c r="F21327" s="5" t="s">
        <v>27545</v>
      </c>
      <c r="Q21327" s="7" t="str">
        <f>HYPERLINK("#Liste_rouge!A"&amp;_xlfn.XMATCH("LC",Liste_rouge!A:A,2,1),"LC")</f>
        <v>LC</v>
      </c>
      <c r="T21327" s="7" t="str">
        <f>HYPERLINK("#Liste_rouge!A"&amp;_xlfn.XMATCH("LC",Liste_rouge!A:A,2,1),"LC")</f>
        <v>LC</v>
      </c>
      <c r="AH21327" s="4" t="str">
        <f>HYPERLINK("#Statut_biogéographique!A"&amp;_xlfn.XMATCH("P",Statut_biogéographique!A:A,2,1),"P")</f>
        <v>P</v>
      </c>
      <c r="AM21327" s="4" t="s">
        <v>375</v>
      </c>
      <c r="AN21327" s="4" t="s">
        <v>375</v>
      </c>
      <c r="AO21327" s="4" t="s">
        <v>375</v>
      </c>
      <c r="AP21327" s="4" t="s">
        <v>376</v>
      </c>
      <c r="AR21327" s="4" t="s">
        <v>377</v>
      </c>
    </row>
    <row r="21328" spans="1:44" ht="30">
      <c r="A21328" s="4" t="s">
        <v>24364</v>
      </c>
      <c r="B21328" s="4">
        <v>124814</v>
      </c>
      <c r="D21328" s="5" t="s">
        <v>27546</v>
      </c>
      <c r="E21328" s="6" t="str">
        <f>HYPERLINK("https://inpn.mnhn.fr/espece/cd_nom/124814","Stachys sylvatica L., 1753")</f>
        <v>Stachys sylvatica L., 1753</v>
      </c>
      <c r="F21328" s="5" t="s">
        <v>27547</v>
      </c>
      <c r="Q21328" s="7" t="str">
        <f>HYPERLINK("#Liste_rouge!A"&amp;_xlfn.XMATCH("LC",Liste_rouge!A:A,2,1),"LC")</f>
        <v>LC</v>
      </c>
      <c r="T21328" s="7" t="str">
        <f>HYPERLINK("#Liste_rouge!A"&amp;_xlfn.XMATCH("LC",Liste_rouge!A:A,2,1),"LC")</f>
        <v>LC</v>
      </c>
      <c r="V21328" s="7" t="str">
        <f>HYPERLINK("#Liste_rouge!A"&amp;_xlfn.XMATCH("LC",Liste_rouge!A:A,2,1),"LC")</f>
        <v>LC</v>
      </c>
      <c r="AH21328" s="4" t="str">
        <f>HYPERLINK("#Statut_biogéographique!A"&amp;_xlfn.XMATCH("P",Statut_biogéographique!A:A,2,1),"P")</f>
        <v>P</v>
      </c>
      <c r="AM21328" s="4" t="s">
        <v>375</v>
      </c>
      <c r="AN21328" s="4" t="s">
        <v>375</v>
      </c>
      <c r="AO21328" s="4" t="s">
        <v>375</v>
      </c>
      <c r="AP21328" s="4" t="s">
        <v>376</v>
      </c>
      <c r="AR21328" s="4" t="s">
        <v>377</v>
      </c>
    </row>
    <row r="21329" spans="1:44">
      <c r="A21329" s="4" t="s">
        <v>24364</v>
      </c>
      <c r="B21329" s="4">
        <v>124823</v>
      </c>
      <c r="D21329" s="5" t="s">
        <v>27548</v>
      </c>
      <c r="E21329" s="6" t="str">
        <f>HYPERLINK("https://inpn.mnhn.fr/espece/cd_nom/124823","Stachys x ambigua Sm., 1810")</f>
        <v>Stachys x ambigua Sm., 1810</v>
      </c>
      <c r="F21329" s="5" t="s">
        <v>27549</v>
      </c>
      <c r="T21329" s="7" t="str">
        <f>HYPERLINK("#Liste_rouge!A"&amp;_xlfn.XMATCH("DD",Liste_rouge!A:A,2,1),"DD")</f>
        <v>DD</v>
      </c>
      <c r="AH21329" s="4" t="str">
        <f>HYPERLINK("#Statut_biogéographique!A"&amp;_xlfn.XMATCH("P",Statut_biogéographique!A:A,2,1),"P")</f>
        <v>P</v>
      </c>
      <c r="AP21329" s="4" t="s">
        <v>376</v>
      </c>
      <c r="AR21329" s="4" t="s">
        <v>377</v>
      </c>
    </row>
    <row r="21330" spans="1:44" ht="30">
      <c r="A21330" s="4" t="s">
        <v>24364</v>
      </c>
      <c r="B21330" s="4">
        <v>124829</v>
      </c>
      <c r="D21330" s="5" t="s">
        <v>27550</v>
      </c>
      <c r="E21330" s="6" t="str">
        <f>HYPERLINK("https://inpn.mnhn.fr/espece/cd_nom/124829","Stachys x intermedia Aiton, 1789")</f>
        <v>Stachys x intermedia Aiton, 1789</v>
      </c>
      <c r="F21330" s="5" t="s">
        <v>27551</v>
      </c>
      <c r="T21330" s="7" t="str">
        <f>HYPERLINK("#Liste_rouge!A"&amp;_xlfn.XMATCH("NE",Liste_rouge!A:A,2,1),"NE")</f>
        <v>NE</v>
      </c>
      <c r="AH21330" s="4" t="str">
        <f>HYPERLINK("#Statut_biogéographique!A"&amp;_xlfn.XMATCH("P",Statut_biogéographique!A:A,2,1),"P")</f>
        <v>P</v>
      </c>
      <c r="AP21330" s="4" t="s">
        <v>376</v>
      </c>
      <c r="AR21330" s="4" t="s">
        <v>377</v>
      </c>
    </row>
    <row r="21331" spans="1:44" ht="30">
      <c r="A21331" s="4" t="s">
        <v>24364</v>
      </c>
      <c r="B21331" s="4">
        <v>124830</v>
      </c>
      <c r="D21331" s="5">
        <v>124830</v>
      </c>
      <c r="E21331" s="6" t="str">
        <f>HYPERLINK("https://inpn.mnhn.fr/espece/cd_nom/124830","Stachys x medebachensis Feldmann &amp; A.Koenig, 1913")</f>
        <v>Stachys x medebachensis Feldmann &amp; A.Koenig, 1913</v>
      </c>
      <c r="F21331" s="5" t="s">
        <v>27552</v>
      </c>
      <c r="AH21331" s="4" t="str">
        <f>HYPERLINK("#Statut_biogéographique!A"&amp;_xlfn.XMATCH("P",Statut_biogéographique!A:A,2,1),"P")</f>
        <v>P</v>
      </c>
      <c r="AP21331" s="4" t="s">
        <v>376</v>
      </c>
      <c r="AR21331" s="4" t="s">
        <v>377</v>
      </c>
    </row>
    <row r="21332" spans="1:44">
      <c r="A21332" s="4" t="s">
        <v>24364</v>
      </c>
      <c r="B21332" s="4">
        <v>124845</v>
      </c>
      <c r="D21332" s="5" t="s">
        <v>27553</v>
      </c>
      <c r="E21332" s="6" t="str">
        <f>HYPERLINK("https://inpn.mnhn.fr/espece/cd_nom/124845","Staphylea pinnata L., 1753")</f>
        <v>Staphylea pinnata L., 1753</v>
      </c>
      <c r="F21332" s="5" t="s">
        <v>27554</v>
      </c>
      <c r="O21332" s="7" t="str">
        <f>HYPERLINK("#Liste_rouge!A"&amp;_xlfn.XMATCH("LC",Liste_rouge!A:A,2,1),"LC")</f>
        <v>LC</v>
      </c>
      <c r="P21332" s="7" t="str">
        <f>HYPERLINK("#Liste_rouge!A"&amp;_xlfn.XMATCH("LC",Liste_rouge!A:A,2,1),"LC")</f>
        <v>LC</v>
      </c>
      <c r="Q21332" s="7" t="str">
        <f>HYPERLINK("#Liste_rouge!A"&amp;_xlfn.XMATCH("NA",Liste_rouge!A:A,2,1),"NA")</f>
        <v>NA</v>
      </c>
      <c r="T21332" s="7" t="str">
        <f>HYPERLINK("#Liste_rouge!A"&amp;_xlfn.XMATCH("NA",Liste_rouge!A:A,2,1),"NA")</f>
        <v>NA</v>
      </c>
      <c r="AH21332" s="4" t="str">
        <f>HYPERLINK("#Statut_biogéographique!A"&amp;_xlfn.XMATCH("I",Statut_biogéographique!A:A,2,1),"I")</f>
        <v>I</v>
      </c>
      <c r="AP21332" s="4" t="s">
        <v>376</v>
      </c>
      <c r="AR21332" s="4" t="s">
        <v>377</v>
      </c>
    </row>
    <row r="21333" spans="1:44" ht="60">
      <c r="A21333" s="4" t="s">
        <v>24364</v>
      </c>
      <c r="B21333" s="4">
        <v>124967</v>
      </c>
      <c r="D21333" s="5" t="s">
        <v>27555</v>
      </c>
      <c r="E21333" s="6" t="str">
        <f>HYPERLINK("https://inpn.mnhn.fr/espece/cd_nom/124967","Stellaria alsine Grimm, 1767")</f>
        <v>Stellaria alsine Grimm, 1767</v>
      </c>
      <c r="F21333" s="5" t="s">
        <v>27556</v>
      </c>
      <c r="Q21333" s="7" t="str">
        <f>HYPERLINK("#Liste_rouge!A"&amp;_xlfn.XMATCH("LC",Liste_rouge!A:A,2,1),"LC")</f>
        <v>LC</v>
      </c>
      <c r="T21333" s="7" t="str">
        <f>HYPERLINK("#Liste_rouge!A"&amp;_xlfn.XMATCH("LC",Liste_rouge!A:A,2,1),"LC")</f>
        <v>LC</v>
      </c>
      <c r="V21333" s="7" t="str">
        <f>HYPERLINK("#Liste_rouge!A"&amp;_xlfn.XMATCH("LC",Liste_rouge!A:A,2,1),"LC")</f>
        <v>LC</v>
      </c>
      <c r="AH21333" s="4" t="str">
        <f>HYPERLINK("#Statut_biogéographique!A"&amp;_xlfn.XMATCH("P",Statut_biogéographique!A:A,2,1),"P")</f>
        <v>P</v>
      </c>
      <c r="AM21333" s="4" t="s">
        <v>375</v>
      </c>
      <c r="AN21333" s="4" t="s">
        <v>375</v>
      </c>
      <c r="AO21333" s="4" t="s">
        <v>375</v>
      </c>
      <c r="AP21333" s="4" t="s">
        <v>376</v>
      </c>
      <c r="AR21333" s="4" t="s">
        <v>377</v>
      </c>
    </row>
    <row r="21334" spans="1:44" ht="45">
      <c r="A21334" s="4" t="s">
        <v>24364</v>
      </c>
      <c r="B21334" s="4">
        <v>124970</v>
      </c>
      <c r="D21334" s="5" t="s">
        <v>27557</v>
      </c>
      <c r="E21334" s="6" t="str">
        <f>HYPERLINK("https://inpn.mnhn.fr/espece/cd_nom/124970","Stellaria aquatica (L.) Scop., 1771")</f>
        <v>Stellaria aquatica (L.) Scop., 1771</v>
      </c>
      <c r="F21334" s="5" t="s">
        <v>27558</v>
      </c>
      <c r="Q21334" s="7" t="str">
        <f>HYPERLINK("#Liste_rouge!A"&amp;_xlfn.XMATCH("LC",Liste_rouge!A:A,2,1),"LC")</f>
        <v>LC</v>
      </c>
      <c r="T21334" s="7" t="str">
        <f>HYPERLINK("#Liste_rouge!A"&amp;_xlfn.XMATCH("LC",Liste_rouge!A:A,2,1),"LC")</f>
        <v>LC</v>
      </c>
      <c r="V21334" s="7" t="str">
        <f>HYPERLINK("#Liste_rouge!A"&amp;_xlfn.XMATCH("LC",Liste_rouge!A:A,2,1),"LC")</f>
        <v>LC</v>
      </c>
      <c r="AH21334" s="4" t="str">
        <f>HYPERLINK("#Statut_biogéographique!A"&amp;_xlfn.XMATCH("P",Statut_biogéographique!A:A,2,1),"P")</f>
        <v>P</v>
      </c>
      <c r="AM21334" s="4" t="s">
        <v>375</v>
      </c>
      <c r="AN21334" s="4" t="s">
        <v>375</v>
      </c>
      <c r="AO21334" s="4" t="s">
        <v>375</v>
      </c>
      <c r="AP21334" s="4" t="s">
        <v>376</v>
      </c>
      <c r="AR21334" s="4" t="s">
        <v>377</v>
      </c>
    </row>
    <row r="21335" spans="1:44" ht="60">
      <c r="A21335" s="4" t="s">
        <v>24364</v>
      </c>
      <c r="B21335" s="4">
        <v>125000</v>
      </c>
      <c r="D21335" s="5" t="s">
        <v>27559</v>
      </c>
      <c r="E21335" s="6" t="str">
        <f>HYPERLINK("https://inpn.mnhn.fr/espece/cd_nom/125000","Stellaria graminea L., 1753")</f>
        <v>Stellaria graminea L., 1753</v>
      </c>
      <c r="F21335" s="5" t="s">
        <v>27560</v>
      </c>
      <c r="Q21335" s="7" t="str">
        <f>HYPERLINK("#Liste_rouge!A"&amp;_xlfn.XMATCH("LC",Liste_rouge!A:A,2,1),"LC")</f>
        <v>LC</v>
      </c>
      <c r="T21335" s="7" t="str">
        <f>HYPERLINK("#Liste_rouge!A"&amp;_xlfn.XMATCH("LC",Liste_rouge!A:A,2,1),"LC")</f>
        <v>LC</v>
      </c>
      <c r="V21335" s="7" t="str">
        <f>HYPERLINK("#Liste_rouge!A"&amp;_xlfn.XMATCH("LC",Liste_rouge!A:A,2,1),"LC")</f>
        <v>LC</v>
      </c>
      <c r="AH21335" s="4" t="str">
        <f>HYPERLINK("#Statut_biogéographique!A"&amp;_xlfn.XMATCH("P",Statut_biogéographique!A:A,2,1),"P")</f>
        <v>P</v>
      </c>
      <c r="AM21335" s="4" t="s">
        <v>375</v>
      </c>
      <c r="AN21335" s="4" t="s">
        <v>375</v>
      </c>
      <c r="AO21335" s="4" t="s">
        <v>375</v>
      </c>
      <c r="AP21335" s="4" t="s">
        <v>376</v>
      </c>
      <c r="AR21335" s="4" t="s">
        <v>377</v>
      </c>
    </row>
    <row r="21336" spans="1:44" ht="105">
      <c r="A21336" s="4" t="s">
        <v>24364</v>
      </c>
      <c r="B21336" s="4">
        <v>125014</v>
      </c>
      <c r="D21336" s="5" t="s">
        <v>27561</v>
      </c>
      <c r="E21336" s="6" t="str">
        <f>HYPERLINK("https://inpn.mnhn.fr/espece/cd_nom/125014","Stellaria media (L.) Vill., 1789")</f>
        <v>Stellaria media (L.) Vill., 1789</v>
      </c>
      <c r="F21336" s="5" t="s">
        <v>27562</v>
      </c>
      <c r="P21336" s="7" t="str">
        <f>HYPERLINK("#Liste_rouge!A"&amp;_xlfn.XMATCH("LC",Liste_rouge!A:A,2,1),"LC")</f>
        <v>LC</v>
      </c>
      <c r="Q21336" s="7" t="str">
        <f>HYPERLINK("#Liste_rouge!A"&amp;_xlfn.XMATCH("LC",Liste_rouge!A:A,2,1),"LC")</f>
        <v>LC</v>
      </c>
      <c r="T21336" s="7" t="str">
        <f>HYPERLINK("#Liste_rouge!A"&amp;_xlfn.XMATCH("LC",Liste_rouge!A:A,2,1),"LC")</f>
        <v>LC</v>
      </c>
      <c r="V21336" s="7" t="str">
        <f>HYPERLINK("#Liste_rouge!A"&amp;_xlfn.XMATCH("LC",Liste_rouge!A:A,2,1),"LC")</f>
        <v>LC</v>
      </c>
      <c r="AH21336" s="4" t="str">
        <f>HYPERLINK("#Statut_biogéographique!A"&amp;_xlfn.XMATCH("P",Statut_biogéographique!A:A,2,1),"P")</f>
        <v>P</v>
      </c>
      <c r="AM21336" s="4" t="s">
        <v>375</v>
      </c>
      <c r="AN21336" s="4" t="s">
        <v>375</v>
      </c>
      <c r="AO21336" s="4" t="s">
        <v>375</v>
      </c>
      <c r="AP21336" s="4" t="s">
        <v>376</v>
      </c>
      <c r="AR21336" s="4" t="s">
        <v>377</v>
      </c>
    </row>
    <row r="21337" spans="1:44" ht="60">
      <c r="A21337" s="4" t="s">
        <v>24364</v>
      </c>
      <c r="B21337" s="4">
        <v>125019</v>
      </c>
      <c r="D21337" s="5" t="s">
        <v>27563</v>
      </c>
      <c r="E21337" s="6" t="str">
        <f>HYPERLINK("https://inpn.mnhn.fr/espece/cd_nom/125019","Stellaria neglecta Weihe, 1825")</f>
        <v>Stellaria neglecta Weihe, 1825</v>
      </c>
      <c r="F21337" s="5" t="s">
        <v>27564</v>
      </c>
      <c r="Q21337" s="7" t="str">
        <f>HYPERLINK("#Liste_rouge!A"&amp;_xlfn.XMATCH("LC",Liste_rouge!A:A,2,1),"LC")</f>
        <v>LC</v>
      </c>
      <c r="T21337" s="7" t="str">
        <f>HYPERLINK("#Liste_rouge!A"&amp;_xlfn.XMATCH("VU",Liste_rouge!A:A,2,1),"VU")</f>
        <v>VU</v>
      </c>
      <c r="U21337" s="4" t="str">
        <f>HYPERLINK("#Critères_liste_rouge!A$1","D2")</f>
        <v>D2</v>
      </c>
      <c r="X21337" s="5" t="s">
        <v>374</v>
      </c>
      <c r="AB21337" s="4" t="s">
        <v>93</v>
      </c>
      <c r="AH21337" s="4" t="str">
        <f>HYPERLINK("#Statut_biogéographique!A"&amp;_xlfn.XMATCH("P",Statut_biogéographique!A:A,2,1),"P")</f>
        <v>P</v>
      </c>
      <c r="AM21337" s="4" t="s">
        <v>375</v>
      </c>
      <c r="AN21337" s="4" t="s">
        <v>375</v>
      </c>
      <c r="AO21337" s="4" t="s">
        <v>375</v>
      </c>
      <c r="AP21337" s="4" t="s">
        <v>376</v>
      </c>
      <c r="AR21337" s="4" t="s">
        <v>377</v>
      </c>
    </row>
    <row r="21338" spans="1:44">
      <c r="A21338" s="4" t="s">
        <v>24364</v>
      </c>
      <c r="B21338" s="4">
        <v>125021</v>
      </c>
      <c r="D21338" s="5" t="s">
        <v>27565</v>
      </c>
      <c r="E21338" s="6" t="str">
        <f>HYPERLINK("https://inpn.mnhn.fr/espece/cd_nom/125021","Stellaria nemorum L., 1753")</f>
        <v>Stellaria nemorum L., 1753</v>
      </c>
      <c r="F21338" s="5" t="s">
        <v>27566</v>
      </c>
      <c r="Q21338" s="7" t="str">
        <f>HYPERLINK("#Liste_rouge!A"&amp;_xlfn.XMATCH("LC",Liste_rouge!A:A,2,1),"LC")</f>
        <v>LC</v>
      </c>
      <c r="T21338" s="7" t="str">
        <f>HYPERLINK("#Liste_rouge!A"&amp;_xlfn.XMATCH("LC",Liste_rouge!A:A,2,1),"LC")</f>
        <v>LC</v>
      </c>
      <c r="V21338" s="7" t="str">
        <f>HYPERLINK("#Liste_rouge!A"&amp;_xlfn.XMATCH("LC",Liste_rouge!A:A,2,1),"LC")</f>
        <v>LC</v>
      </c>
      <c r="AB21338" s="4" t="s">
        <v>25010</v>
      </c>
      <c r="AH21338" s="4" t="str">
        <f>HYPERLINK("#Statut_biogéographique!A"&amp;_xlfn.XMATCH("P",Statut_biogéographique!A:A,2,1),"P")</f>
        <v>P</v>
      </c>
      <c r="AM21338" s="4" t="s">
        <v>375</v>
      </c>
      <c r="AN21338" s="4" t="s">
        <v>375</v>
      </c>
      <c r="AO21338" s="4" t="s">
        <v>375</v>
      </c>
      <c r="AP21338" s="4" t="s">
        <v>376</v>
      </c>
      <c r="AR21338" s="4" t="s">
        <v>377</v>
      </c>
    </row>
    <row r="21339" spans="1:44" ht="60">
      <c r="A21339" s="4" t="s">
        <v>24364</v>
      </c>
      <c r="B21339" s="4">
        <v>125023</v>
      </c>
      <c r="D21339" s="5" t="s">
        <v>27567</v>
      </c>
      <c r="E21339" s="6" t="str">
        <f>HYPERLINK("https://inpn.mnhn.fr/espece/cd_nom/125023","Stellaria pallida (Dumort.) Piré, 1863")</f>
        <v>Stellaria pallida (Dumort.) Piré, 1863</v>
      </c>
      <c r="F21339" s="5" t="s">
        <v>27568</v>
      </c>
      <c r="Q21339" s="7" t="str">
        <f>HYPERLINK("#Liste_rouge!A"&amp;_xlfn.XMATCH("LC",Liste_rouge!A:A,2,1),"LC")</f>
        <v>LC</v>
      </c>
      <c r="T21339" s="7" t="str">
        <f>HYPERLINK("#Liste_rouge!A"&amp;_xlfn.XMATCH("VU",Liste_rouge!A:A,2,1),"VU")</f>
        <v>VU</v>
      </c>
      <c r="U21339" s="4" t="str">
        <f>HYPERLINK("#Critères_liste_rouge!A$1","D2")</f>
        <v>D2</v>
      </c>
      <c r="AB21339" s="4" t="s">
        <v>25671</v>
      </c>
      <c r="AH21339" s="4" t="str">
        <f>HYPERLINK("#Statut_biogéographique!A"&amp;_xlfn.XMATCH("P",Statut_biogéographique!A:A,2,1),"P")</f>
        <v>P</v>
      </c>
      <c r="AM21339" s="4" t="s">
        <v>375</v>
      </c>
      <c r="AN21339" s="4" t="s">
        <v>375</v>
      </c>
      <c r="AO21339" s="4" t="s">
        <v>375</v>
      </c>
      <c r="AP21339" s="4" t="s">
        <v>376</v>
      </c>
      <c r="AR21339" s="4" t="s">
        <v>377</v>
      </c>
    </row>
    <row r="21340" spans="1:44" ht="45">
      <c r="A21340" s="4" t="s">
        <v>24364</v>
      </c>
      <c r="B21340" s="4">
        <v>125024</v>
      </c>
      <c r="D21340" s="5" t="s">
        <v>27569</v>
      </c>
      <c r="E21340" s="6" t="str">
        <f>HYPERLINK("https://inpn.mnhn.fr/espece/cd_nom/125024","Stellaria palustris Ehrh. ex Hoffm., 1791")</f>
        <v>Stellaria palustris Ehrh. ex Hoffm., 1791</v>
      </c>
      <c r="F21340" s="5" t="s">
        <v>27570</v>
      </c>
      <c r="M21340" s="4" t="str">
        <f>HYPERLINK("#Réglementation!A"&amp;_xlfn.XMATCH("RV43",Réglementation!A:A,2,1),"RV43")</f>
        <v>RV43</v>
      </c>
      <c r="Q21340" s="7" t="str">
        <f>HYPERLINK("#Liste_rouge!A"&amp;_xlfn.XMATCH("VU",Liste_rouge!A:A,2,1),"VU")</f>
        <v>VU</v>
      </c>
      <c r="T21340" s="7" t="str">
        <f>HYPERLINK("#Liste_rouge!A"&amp;_xlfn.XMATCH("EN",Liste_rouge!A:A,2,1),"EN")</f>
        <v>EN</v>
      </c>
      <c r="U21340" s="4" t="str">
        <f>HYPERLINK("#Critères_liste_rouge!A$1","B2ab(iii,iv,v)c(iii,iv) C2a(i)")</f>
        <v>B2ab(iii,iv,v)c(iii,iv) C2a(i)</v>
      </c>
      <c r="V21340" s="7" t="str">
        <f>HYPERLINK("#Liste_rouge!A"&amp;_xlfn.XMATCH("VU",Liste_rouge!A:A,2,1),"VU")</f>
        <v>VU</v>
      </c>
      <c r="W21340" s="4" t="str">
        <f>HYPERLINK("#Critères_liste_rouge!A$1","A2c")</f>
        <v>A2c</v>
      </c>
      <c r="X21340" s="5" t="s">
        <v>374</v>
      </c>
      <c r="AB21340" s="4" t="s">
        <v>93</v>
      </c>
      <c r="AH21340" s="4" t="str">
        <f>HYPERLINK("#Statut_biogéographique!A"&amp;_xlfn.XMATCH("P",Statut_biogéographique!A:A,2,1),"P")</f>
        <v>P</v>
      </c>
      <c r="AM21340" s="4" t="s">
        <v>375</v>
      </c>
      <c r="AN21340" s="4" t="s">
        <v>375</v>
      </c>
      <c r="AO21340" s="4" t="s">
        <v>375</v>
      </c>
      <c r="AP21340" s="4" t="s">
        <v>389</v>
      </c>
      <c r="AR21340" s="4" t="s">
        <v>377</v>
      </c>
    </row>
    <row r="21341" spans="1:44" ht="30">
      <c r="A21341" s="4" t="s">
        <v>24364</v>
      </c>
      <c r="B21341" s="4">
        <v>125146</v>
      </c>
      <c r="D21341" s="5" t="s">
        <v>27571</v>
      </c>
      <c r="E21341" s="6" t="str">
        <f>HYPERLINK("https://inpn.mnhn.fr/espece/cd_nom/125146","Stipa gallica Čelak., 1883")</f>
        <v>Stipa gallica Čelak., 1883</v>
      </c>
      <c r="F21341" s="5" t="s">
        <v>27572</v>
      </c>
      <c r="Q21341" s="7" t="str">
        <f>HYPERLINK("#Liste_rouge!A"&amp;_xlfn.XMATCH("LC",Liste_rouge!A:A,2,1),"LC")</f>
        <v>LC</v>
      </c>
      <c r="T21341" s="7" t="str">
        <f>HYPERLINK("#Liste_rouge!A"&amp;_xlfn.XMATCH("EN",Liste_rouge!A:A,2,1),"EN")</f>
        <v>EN</v>
      </c>
      <c r="U21341" s="4" t="str">
        <f>HYPERLINK("#Critères_liste_rouge!A$1","C2a(i)")</f>
        <v>C2a(i)</v>
      </c>
      <c r="V21341" s="7" t="str">
        <f>HYPERLINK("#Liste_rouge!A"&amp;_xlfn.XMATCH("LC",Liste_rouge!A:A,2,1),"LC")</f>
        <v>LC</v>
      </c>
      <c r="X21341" s="5" t="s">
        <v>374</v>
      </c>
      <c r="AB21341" s="4" t="s">
        <v>93</v>
      </c>
      <c r="AH21341" s="4" t="str">
        <f>HYPERLINK("#Statut_biogéographique!A"&amp;_xlfn.XMATCH("P",Statut_biogéographique!A:A,2,1),"P")</f>
        <v>P</v>
      </c>
      <c r="AM21341" s="4" t="s">
        <v>375</v>
      </c>
      <c r="AN21341" s="4" t="s">
        <v>375</v>
      </c>
      <c r="AO21341" s="4" t="s">
        <v>375</v>
      </c>
      <c r="AP21341" s="4" t="s">
        <v>376</v>
      </c>
      <c r="AR21341" s="4" t="s">
        <v>377</v>
      </c>
    </row>
    <row r="21342" spans="1:44">
      <c r="A21342" s="4" t="s">
        <v>24364</v>
      </c>
      <c r="B21342" s="4">
        <v>125173</v>
      </c>
      <c r="D21342" s="5" t="s">
        <v>27573</v>
      </c>
      <c r="E21342" s="6" t="str">
        <f>HYPERLINK("https://inpn.mnhn.fr/espece/cd_nom/125173","Stipa pennata L., 1753")</f>
        <v>Stipa pennata L., 1753</v>
      </c>
      <c r="F21342" s="5" t="s">
        <v>27574</v>
      </c>
      <c r="M21342" s="4" t="str">
        <f>HYPERLINK("#Réglementation!A"&amp;_xlfn.XMATCH("RV26",Réglementation!A:A,2,1),"RV26 - RV43")</f>
        <v>RV26 - RV43</v>
      </c>
      <c r="Q21342" s="7" t="str">
        <f>HYPERLINK("#Liste_rouge!A"&amp;_xlfn.XMATCH("LC",Liste_rouge!A:A,2,1),"LC")</f>
        <v>LC</v>
      </c>
      <c r="AH21342" s="4" t="str">
        <f>HYPERLINK("#Statut_biogéographique!A"&amp;_xlfn.XMATCH("P",Statut_biogéographique!A:A,2,1),"P")</f>
        <v>P</v>
      </c>
      <c r="AP21342" s="4" t="s">
        <v>376</v>
      </c>
      <c r="AR21342" s="4" t="s">
        <v>377</v>
      </c>
    </row>
    <row r="21343" spans="1:44" ht="30">
      <c r="A21343" s="4" t="s">
        <v>24364</v>
      </c>
      <c r="B21343" s="4">
        <v>125219</v>
      </c>
      <c r="D21343" s="5" t="s">
        <v>27575</v>
      </c>
      <c r="E21343" s="6" t="str">
        <f>HYPERLINK("https://inpn.mnhn.fr/espece/cd_nom/125219","Stratiotes aloides L., 1753")</f>
        <v>Stratiotes aloides L., 1753</v>
      </c>
      <c r="F21343" s="5" t="s">
        <v>27576</v>
      </c>
      <c r="M21343" s="4" t="str">
        <f>HYPERLINK("#Réglementation!A"&amp;_xlfn.XMATCH("RV26",Réglementation!A:A,2,1),"RV26 - RV43")</f>
        <v>RV26 - RV43</v>
      </c>
      <c r="O21343" s="7" t="str">
        <f>HYPERLINK("#Liste_rouge!A"&amp;_xlfn.XMATCH("LC",Liste_rouge!A:A,2,1),"LC")</f>
        <v>LC</v>
      </c>
      <c r="P21343" s="7" t="str">
        <f>HYPERLINK("#Liste_rouge!A"&amp;_xlfn.XMATCH("LC",Liste_rouge!A:A,2,1),"LC")</f>
        <v>LC</v>
      </c>
      <c r="Q21343" s="7" t="str">
        <f>HYPERLINK("#Liste_rouge!A"&amp;_xlfn.XMATCH("DD",Liste_rouge!A:A,2,1),"DD")</f>
        <v>DD</v>
      </c>
      <c r="T21343" s="7" t="str">
        <f>HYPERLINK("#Liste_rouge!A"&amp;_xlfn.XMATCH("CR",Liste_rouge!A:A,2,1),"CR")</f>
        <v>CR</v>
      </c>
      <c r="U21343" s="4" t="str">
        <f>HYPERLINK("#Critères_liste_rouge!A$1","B1 B2ab(i,ii,iv)")</f>
        <v>B1 B2ab(i,ii,iv)</v>
      </c>
      <c r="V21343" s="7" t="str">
        <f>HYPERLINK("#Liste_rouge!A"&amp;_xlfn.XMATCH("VU",Liste_rouge!A:A,2,1),"VU")</f>
        <v>VU</v>
      </c>
      <c r="W21343" s="4" t="str">
        <f>HYPERLINK("#Critères_liste_rouge!A$1","B2ab(iii)")</f>
        <v>B2ab(iii)</v>
      </c>
      <c r="X21343" s="5" t="s">
        <v>374</v>
      </c>
      <c r="AB21343" s="4" t="s">
        <v>93</v>
      </c>
      <c r="AH21343" s="4" t="str">
        <f>HYPERLINK("#Statut_biogéographique!A"&amp;_xlfn.XMATCH("P",Statut_biogéographique!A:A,2,1),"P")</f>
        <v>P</v>
      </c>
      <c r="AM21343" s="4" t="s">
        <v>375</v>
      </c>
      <c r="AN21343" s="4" t="s">
        <v>375</v>
      </c>
      <c r="AO21343" s="4" t="s">
        <v>375</v>
      </c>
      <c r="AP21343" s="4" t="s">
        <v>376</v>
      </c>
      <c r="AR21343" s="4" t="s">
        <v>377</v>
      </c>
    </row>
    <row r="21344" spans="1:44" ht="45">
      <c r="A21344" s="4" t="s">
        <v>24364</v>
      </c>
      <c r="B21344" s="4">
        <v>125226</v>
      </c>
      <c r="D21344" s="5" t="s">
        <v>27577</v>
      </c>
      <c r="E21344" s="6" t="str">
        <f>HYPERLINK("https://inpn.mnhn.fr/espece/cd_nom/125226","Streptopus amplexifolius (L.) DC., 1805")</f>
        <v>Streptopus amplexifolius (L.) DC., 1805</v>
      </c>
      <c r="F21344" s="5" t="s">
        <v>27578</v>
      </c>
      <c r="M21344" s="4" t="str">
        <f>HYPERLINK("#Réglementation!A"&amp;_xlfn.XMATCH("RV43",Réglementation!A:A,2,1),"RV43")</f>
        <v>RV43</v>
      </c>
      <c r="Q21344" s="7" t="str">
        <f>HYPERLINK("#Liste_rouge!A"&amp;_xlfn.XMATCH("LC",Liste_rouge!A:A,2,1),"LC")</f>
        <v>LC</v>
      </c>
      <c r="V21344" s="7" t="str">
        <f>HYPERLINK("#Liste_rouge!A"&amp;_xlfn.XMATCH("NT",Liste_rouge!A:A,2,1),"NT")</f>
        <v>NT</v>
      </c>
      <c r="W21344" s="4" t="str">
        <f>HYPERLINK("#Critères_liste_rouge!A$1","pr. B2b(iii)")</f>
        <v>pr. B2b(iii)</v>
      </c>
      <c r="X21344" s="5" t="s">
        <v>374</v>
      </c>
      <c r="AB21344" s="4" t="s">
        <v>93</v>
      </c>
      <c r="AH21344" s="4" t="str">
        <f>HYPERLINK("#Statut_biogéographique!A"&amp;_xlfn.XMATCH("P",Statut_biogéographique!A:A,2,1),"P")</f>
        <v>P</v>
      </c>
      <c r="AM21344" s="4" t="s">
        <v>375</v>
      </c>
      <c r="AN21344" s="4" t="s">
        <v>375</v>
      </c>
      <c r="AO21344" s="4" t="s">
        <v>375</v>
      </c>
      <c r="AP21344" s="4" t="s">
        <v>376</v>
      </c>
      <c r="AR21344" s="4" t="s">
        <v>377</v>
      </c>
    </row>
    <row r="21345" spans="1:44" ht="45">
      <c r="A21345" s="4" t="s">
        <v>24364</v>
      </c>
      <c r="B21345" s="4">
        <v>125238</v>
      </c>
      <c r="D21345" s="5" t="s">
        <v>27579</v>
      </c>
      <c r="E21345" s="6" t="str">
        <f>HYPERLINK("https://inpn.mnhn.fr/espece/cd_nom/125238","Struthiopteris spicant (L.) Weiss, 1770")</f>
        <v>Struthiopteris spicant (L.) Weiss, 1770</v>
      </c>
      <c r="F21345" s="5" t="s">
        <v>27580</v>
      </c>
      <c r="P21345" s="7" t="str">
        <f>HYPERLINK("#Liste_rouge!A"&amp;_xlfn.XMATCH("LC",Liste_rouge!A:A,2,1),"LC")</f>
        <v>LC</v>
      </c>
      <c r="Q21345" s="7" t="str">
        <f>HYPERLINK("#Liste_rouge!A"&amp;_xlfn.XMATCH("LC",Liste_rouge!A:A,2,1),"LC")</f>
        <v>LC</v>
      </c>
      <c r="T21345" s="7" t="str">
        <f>HYPERLINK("#Liste_rouge!A"&amp;_xlfn.XMATCH("LC",Liste_rouge!A:A,2,1),"LC")</f>
        <v>LC</v>
      </c>
      <c r="V21345" s="7" t="str">
        <f>HYPERLINK("#Liste_rouge!A"&amp;_xlfn.XMATCH("LC",Liste_rouge!A:A,2,1),"LC")</f>
        <v>LC</v>
      </c>
      <c r="AB21345" s="4" t="s">
        <v>24634</v>
      </c>
      <c r="AH21345" s="4" t="str">
        <f>HYPERLINK("#Statut_biogéographique!A"&amp;_xlfn.XMATCH("P",Statut_biogéographique!A:A,2,1),"P")</f>
        <v>P</v>
      </c>
      <c r="AM21345" s="4" t="s">
        <v>375</v>
      </c>
      <c r="AN21345" s="4" t="s">
        <v>375</v>
      </c>
      <c r="AO21345" s="4" t="s">
        <v>375</v>
      </c>
      <c r="AP21345" s="4" t="s">
        <v>376</v>
      </c>
      <c r="AR21345" s="4" t="s">
        <v>377</v>
      </c>
    </row>
    <row r="21346" spans="1:44" ht="150">
      <c r="A21346" s="4" t="s">
        <v>24364</v>
      </c>
      <c r="B21346" s="4">
        <v>125295</v>
      </c>
      <c r="D21346" s="5" t="s">
        <v>27581</v>
      </c>
      <c r="E21346" s="6" t="str">
        <f>HYPERLINK("https://inpn.mnhn.fr/espece/cd_nom/125295","Succisa pratensis Moench, 1794")</f>
        <v>Succisa pratensis Moench, 1794</v>
      </c>
      <c r="F21346" s="5" t="s">
        <v>27582</v>
      </c>
      <c r="Q21346" s="7" t="str">
        <f>HYPERLINK("#Liste_rouge!A"&amp;_xlfn.XMATCH("LC",Liste_rouge!A:A,2,1),"LC")</f>
        <v>LC</v>
      </c>
      <c r="T21346" s="7" t="str">
        <f>HYPERLINK("#Liste_rouge!A"&amp;_xlfn.XMATCH("LC",Liste_rouge!A:A,2,1),"LC")</f>
        <v>LC</v>
      </c>
      <c r="V21346" s="7" t="str">
        <f>HYPERLINK("#Liste_rouge!A"&amp;_xlfn.XMATCH("LC",Liste_rouge!A:A,2,1),"LC")</f>
        <v>LC</v>
      </c>
      <c r="AH21346" s="4" t="str">
        <f>HYPERLINK("#Statut_biogéographique!A"&amp;_xlfn.XMATCH("P",Statut_biogéographique!A:A,2,1),"P")</f>
        <v>P</v>
      </c>
      <c r="AM21346" s="4" t="s">
        <v>375</v>
      </c>
      <c r="AN21346" s="4" t="s">
        <v>375</v>
      </c>
      <c r="AO21346" s="4" t="s">
        <v>375</v>
      </c>
      <c r="AP21346" s="4" t="s">
        <v>376</v>
      </c>
      <c r="AR21346" s="4" t="s">
        <v>377</v>
      </c>
    </row>
    <row r="21347" spans="1:44">
      <c r="A21347" s="4" t="s">
        <v>24364</v>
      </c>
      <c r="B21347" s="4">
        <v>125319</v>
      </c>
      <c r="D21347" s="5" t="s">
        <v>27583</v>
      </c>
      <c r="E21347" s="6" t="str">
        <f>HYPERLINK("https://inpn.mnhn.fr/espece/cd_nom/125319","Swertia perennis L., 1753")</f>
        <v>Swertia perennis L., 1753</v>
      </c>
      <c r="F21347" s="5" t="s">
        <v>27584</v>
      </c>
      <c r="M21347" s="4" t="str">
        <f>HYPERLINK("#Réglementation!A"&amp;_xlfn.XMATCH("RV26",Réglementation!A:A,2,1),"RV26")</f>
        <v>RV26</v>
      </c>
      <c r="Q21347" s="7" t="str">
        <f>HYPERLINK("#Liste_rouge!A"&amp;_xlfn.XMATCH("LC",Liste_rouge!A:A,2,1),"LC")</f>
        <v>LC</v>
      </c>
      <c r="T21347" s="7" t="str">
        <f>HYPERLINK("#Liste_rouge!A"&amp;_xlfn.XMATCH("VU",Liste_rouge!A:A,2,1),"VU")</f>
        <v>VU</v>
      </c>
      <c r="U21347" s="4" t="str">
        <f>HYPERLINK("#Critères_liste_rouge!A$1","D2")</f>
        <v>D2</v>
      </c>
      <c r="V21347" s="7" t="str">
        <f>HYPERLINK("#Liste_rouge!A"&amp;_xlfn.XMATCH("LC",Liste_rouge!A:A,2,1),"LC")</f>
        <v>LC</v>
      </c>
      <c r="AB21347" s="4" t="s">
        <v>24634</v>
      </c>
      <c r="AH21347" s="4" t="str">
        <f>HYPERLINK("#Statut_biogéographique!A"&amp;_xlfn.XMATCH("P",Statut_biogéographique!A:A,2,1),"P")</f>
        <v>P</v>
      </c>
      <c r="AM21347" s="4" t="s">
        <v>375</v>
      </c>
      <c r="AN21347" s="4" t="s">
        <v>375</v>
      </c>
      <c r="AO21347" s="4" t="s">
        <v>375</v>
      </c>
      <c r="AP21347" s="4" t="s">
        <v>376</v>
      </c>
      <c r="AR21347" s="4" t="s">
        <v>377</v>
      </c>
    </row>
    <row r="21348" spans="1:44" ht="30">
      <c r="A21348" s="4" t="s">
        <v>24364</v>
      </c>
      <c r="B21348" s="4">
        <v>125324</v>
      </c>
      <c r="D21348" s="5" t="s">
        <v>27585</v>
      </c>
      <c r="E21348" s="6" t="str">
        <f>HYPERLINK("https://inpn.mnhn.fr/espece/cd_nom/125324","Symphoricarpos albus (L.) S.F.Blake, 1914")</f>
        <v>Symphoricarpos albus (L.) S.F.Blake, 1914</v>
      </c>
      <c r="F21348" s="5" t="s">
        <v>27586</v>
      </c>
      <c r="Q21348" s="7" t="str">
        <f>HYPERLINK("#Liste_rouge!A"&amp;_xlfn.XMATCH("NA",Liste_rouge!A:A,2,1),"NA")</f>
        <v>NA</v>
      </c>
      <c r="T21348" s="7" t="str">
        <f>HYPERLINK("#Liste_rouge!A"&amp;_xlfn.XMATCH("NA",Liste_rouge!A:A,2,1),"NA")</f>
        <v>NA</v>
      </c>
      <c r="AH21348" s="4" t="str">
        <f>HYPERLINK("#Statut_biogéographique!A"&amp;_xlfn.XMATCH("I",Statut_biogéographique!A:A,2,1),"I")</f>
        <v>I</v>
      </c>
      <c r="AP21348" s="4" t="s">
        <v>376</v>
      </c>
      <c r="AR21348" s="4" t="s">
        <v>377</v>
      </c>
    </row>
    <row r="21349" spans="1:44" ht="30">
      <c r="A21349" s="4" t="s">
        <v>24364</v>
      </c>
      <c r="B21349" s="4">
        <v>125330</v>
      </c>
      <c r="D21349" s="5" t="s">
        <v>27587</v>
      </c>
      <c r="E21349" s="6" t="str">
        <f>HYPERLINK("https://inpn.mnhn.fr/espece/cd_nom/125330","Symphyotrichum lanceolatum (Willd.) G.L.Nesom, 1995")</f>
        <v>Symphyotrichum lanceolatum (Willd.) G.L.Nesom, 1995</v>
      </c>
      <c r="F21349" s="5" t="s">
        <v>27588</v>
      </c>
      <c r="Q21349" s="7" t="str">
        <f>HYPERLINK("#Liste_rouge!A"&amp;_xlfn.XMATCH("NA",Liste_rouge!A:A,2,1),"NA")</f>
        <v>NA</v>
      </c>
      <c r="T21349" s="7" t="str">
        <f>HYPERLINK("#Liste_rouge!A"&amp;_xlfn.XMATCH("NA",Liste_rouge!A:A,2,1),"NA")</f>
        <v>NA</v>
      </c>
      <c r="AH21349" s="4" t="str">
        <f>HYPERLINK("#Statut_biogéographique!A"&amp;_xlfn.XMATCH("J",Statut_biogéographique!A:A,2,1),"J")</f>
        <v>J</v>
      </c>
      <c r="AM21349" s="4" t="s">
        <v>375</v>
      </c>
      <c r="AN21349" s="4" t="s">
        <v>375</v>
      </c>
      <c r="AO21349" s="4" t="s">
        <v>375</v>
      </c>
      <c r="AP21349" s="4" t="s">
        <v>376</v>
      </c>
      <c r="AR21349" s="4" t="s">
        <v>377</v>
      </c>
    </row>
    <row r="21350" spans="1:44" ht="30">
      <c r="A21350" s="4" t="s">
        <v>24364</v>
      </c>
      <c r="B21350" s="4">
        <v>125331</v>
      </c>
      <c r="D21350" s="5" t="s">
        <v>27589</v>
      </c>
      <c r="E21350" s="6" t="str">
        <f>HYPERLINK("https://inpn.mnhn.fr/espece/cd_nom/125331","Symphyotrichum novae-angliae (L.) G.L.Nesom, 1995")</f>
        <v>Symphyotrichum novae-angliae (L.) G.L.Nesom, 1995</v>
      </c>
      <c r="F21350" s="5" t="s">
        <v>27590</v>
      </c>
      <c r="Q21350" s="7" t="str">
        <f>HYPERLINK("#Liste_rouge!A"&amp;_xlfn.XMATCH("NA",Liste_rouge!A:A,2,1),"NA")</f>
        <v>NA</v>
      </c>
      <c r="T21350" s="7" t="str">
        <f>HYPERLINK("#Liste_rouge!A"&amp;_xlfn.XMATCH("NA",Liste_rouge!A:A,2,1),"NA")</f>
        <v>NA</v>
      </c>
      <c r="AH21350" s="4" t="str">
        <f>HYPERLINK("#Statut_biogéographique!A"&amp;_xlfn.XMATCH("I",Statut_biogéographique!A:A,2,1),"I")</f>
        <v>I</v>
      </c>
      <c r="AM21350" s="4" t="s">
        <v>375</v>
      </c>
      <c r="AN21350" s="4" t="s">
        <v>375</v>
      </c>
      <c r="AO21350" s="4" t="s">
        <v>375</v>
      </c>
      <c r="AP21350" s="4" t="s">
        <v>376</v>
      </c>
      <c r="AR21350" s="4" t="s">
        <v>377</v>
      </c>
    </row>
    <row r="21351" spans="1:44" ht="30">
      <c r="A21351" s="4" t="s">
        <v>24364</v>
      </c>
      <c r="B21351" s="4">
        <v>125337</v>
      </c>
      <c r="D21351" s="5" t="s">
        <v>27591</v>
      </c>
      <c r="E21351" s="6" t="str">
        <f>HYPERLINK("https://inpn.mnhn.fr/espece/cd_nom/125337","Symphyotrichum x salignum (Willd.) G.L.Nesom, 1995")</f>
        <v>Symphyotrichum x salignum (Willd.) G.L.Nesom, 1995</v>
      </c>
      <c r="F21351" s="5" t="s">
        <v>27592</v>
      </c>
      <c r="T21351" s="7" t="str">
        <f>HYPERLINK("#Liste_rouge!A"&amp;_xlfn.XMATCH("NA",Liste_rouge!A:A,2,1),"NA")</f>
        <v>NA</v>
      </c>
      <c r="AH21351" s="4" t="str">
        <f>HYPERLINK("#Statut_biogéographique!A"&amp;_xlfn.XMATCH("I",Statut_biogéographique!A:A,2,1),"I")</f>
        <v>I</v>
      </c>
      <c r="AP21351" s="4" t="s">
        <v>376</v>
      </c>
      <c r="AR21351" s="4" t="s">
        <v>377</v>
      </c>
    </row>
    <row r="21352" spans="1:44">
      <c r="A21352" s="4" t="s">
        <v>24364</v>
      </c>
      <c r="B21352" s="4">
        <v>125341</v>
      </c>
      <c r="D21352" s="5" t="s">
        <v>27593</v>
      </c>
      <c r="E21352" s="6" t="str">
        <f>HYPERLINK("https://inpn.mnhn.fr/espece/cd_nom/125341","Symphytum asperum Lepech., 1805")</f>
        <v>Symphytum asperum Lepech., 1805</v>
      </c>
      <c r="F21352" s="5" t="s">
        <v>27594</v>
      </c>
      <c r="Q21352" s="7" t="str">
        <f>HYPERLINK("#Liste_rouge!A"&amp;_xlfn.XMATCH("NA",Liste_rouge!A:A,2,1),"NA")</f>
        <v>NA</v>
      </c>
      <c r="T21352" s="7" t="str">
        <f>HYPERLINK("#Liste_rouge!A"&amp;_xlfn.XMATCH("NA",Liste_rouge!A:A,2,1),"NA")</f>
        <v>NA</v>
      </c>
      <c r="AH21352" s="4" t="str">
        <f>HYPERLINK("#Statut_biogéographique!A"&amp;_xlfn.XMATCH("M",Statut_biogéographique!A:A,2,1),"M")</f>
        <v>M</v>
      </c>
      <c r="AP21352" s="4" t="s">
        <v>376</v>
      </c>
      <c r="AR21352" s="4" t="s">
        <v>377</v>
      </c>
    </row>
    <row r="21353" spans="1:44" ht="30">
      <c r="A21353" s="4" t="s">
        <v>24364</v>
      </c>
      <c r="B21353" s="4">
        <v>125355</v>
      </c>
      <c r="D21353" s="5" t="s">
        <v>27595</v>
      </c>
      <c r="E21353" s="6" t="str">
        <f>HYPERLINK("https://inpn.mnhn.fr/espece/cd_nom/125355","Symphytum officinale L., 1753")</f>
        <v>Symphytum officinale L., 1753</v>
      </c>
      <c r="F21353" s="5" t="s">
        <v>27596</v>
      </c>
      <c r="P21353" s="7" t="str">
        <f>HYPERLINK("#Liste_rouge!A"&amp;_xlfn.XMATCH("LC",Liste_rouge!A:A,2,1),"LC")</f>
        <v>LC</v>
      </c>
      <c r="Q21353" s="7" t="str">
        <f>HYPERLINK("#Liste_rouge!A"&amp;_xlfn.XMATCH("LC",Liste_rouge!A:A,2,1),"LC")</f>
        <v>LC</v>
      </c>
      <c r="T21353" s="7" t="str">
        <f>HYPERLINK("#Liste_rouge!A"&amp;_xlfn.XMATCH("LC",Liste_rouge!A:A,2,1),"LC")</f>
        <v>LC</v>
      </c>
      <c r="V21353" s="7" t="str">
        <f>HYPERLINK("#Liste_rouge!A"&amp;_xlfn.XMATCH("LC",Liste_rouge!A:A,2,1),"LC")</f>
        <v>LC</v>
      </c>
      <c r="AH21353" s="4" t="str">
        <f>HYPERLINK("#Statut_biogéographique!A"&amp;_xlfn.XMATCH("P",Statut_biogéographique!A:A,2,1),"P")</f>
        <v>P</v>
      </c>
      <c r="AM21353" s="4" t="s">
        <v>375</v>
      </c>
      <c r="AN21353" s="4" t="s">
        <v>375</v>
      </c>
      <c r="AO21353" s="4" t="s">
        <v>375</v>
      </c>
      <c r="AP21353" s="4" t="s">
        <v>376</v>
      </c>
      <c r="AR21353" s="4" t="s">
        <v>377</v>
      </c>
    </row>
    <row r="21354" spans="1:44">
      <c r="A21354" s="4" t="s">
        <v>24364</v>
      </c>
      <c r="B21354" s="4">
        <v>125364</v>
      </c>
      <c r="D21354" s="5">
        <v>125364</v>
      </c>
      <c r="E21354" s="6" t="str">
        <f>HYPERLINK("https://inpn.mnhn.fr/espece/cd_nom/125364","Symphytum tuberosum L., 1753")</f>
        <v>Symphytum tuberosum L., 1753</v>
      </c>
      <c r="F21354" s="5" t="s">
        <v>27597</v>
      </c>
      <c r="Q21354" s="7" t="str">
        <f>HYPERLINK("#Liste_rouge!A"&amp;_xlfn.XMATCH("LC",Liste_rouge!A:A,2,1),"LC")</f>
        <v>LC</v>
      </c>
      <c r="T21354" s="7" t="str">
        <f>HYPERLINK("#Liste_rouge!A"&amp;_xlfn.XMATCH("VU",Liste_rouge!A:A,2,1),"VU")</f>
        <v>VU</v>
      </c>
      <c r="U21354" s="4" t="str">
        <f>HYPERLINK("#Critères_liste_rouge!A$1","D2")</f>
        <v>D2</v>
      </c>
      <c r="AB21354" s="4" t="s">
        <v>24486</v>
      </c>
      <c r="AH21354" s="4" t="str">
        <f>HYPERLINK("#Statut_biogéographique!A"&amp;_xlfn.XMATCH("P",Statut_biogéographique!A:A,2,1),"P")</f>
        <v>P</v>
      </c>
      <c r="AM21354" s="4" t="s">
        <v>375</v>
      </c>
      <c r="AN21354" s="4" t="s">
        <v>375</v>
      </c>
      <c r="AO21354" s="4" t="s">
        <v>375</v>
      </c>
      <c r="AP21354" s="4" t="s">
        <v>376</v>
      </c>
      <c r="AR21354" s="4" t="s">
        <v>377</v>
      </c>
    </row>
    <row r="21355" spans="1:44">
      <c r="A21355" s="4" t="s">
        <v>24364</v>
      </c>
      <c r="B21355" s="4">
        <v>125369</v>
      </c>
      <c r="D21355" s="5" t="s">
        <v>27598</v>
      </c>
      <c r="E21355" s="6" t="str">
        <f>HYPERLINK("https://inpn.mnhn.fr/espece/cd_nom/125369","Symphytum x uplandicum Nyman, 1855")</f>
        <v>Symphytum x uplandicum Nyman, 1855</v>
      </c>
      <c r="F21355" s="5" t="s">
        <v>27599</v>
      </c>
      <c r="T21355" s="7" t="str">
        <f>HYPERLINK("#Liste_rouge!A"&amp;_xlfn.XMATCH("NA",Liste_rouge!A:A,2,1),"NA")</f>
        <v>NA</v>
      </c>
      <c r="AH21355" s="4" t="str">
        <f>HYPERLINK("#Statut_biogéographique!A"&amp;_xlfn.XMATCH("I",Statut_biogéographique!A:A,2,1),"I")</f>
        <v>I</v>
      </c>
      <c r="AP21355" s="4" t="s">
        <v>376</v>
      </c>
      <c r="AR21355" s="4" t="s">
        <v>377</v>
      </c>
    </row>
    <row r="21356" spans="1:44" ht="45">
      <c r="A21356" s="4" t="s">
        <v>24364</v>
      </c>
      <c r="B21356" s="4">
        <v>125391</v>
      </c>
      <c r="D21356" s="5" t="s">
        <v>27600</v>
      </c>
      <c r="E21356" s="6" t="str">
        <f>HYPERLINK("https://inpn.mnhn.fr/espece/cd_nom/125391","Syringa vulgaris L., 1753")</f>
        <v>Syringa vulgaris L., 1753</v>
      </c>
      <c r="F21356" s="5" t="s">
        <v>27601</v>
      </c>
      <c r="P21356" s="7" t="str">
        <f>HYPERLINK("#Liste_rouge!A"&amp;_xlfn.XMATCH("LC",Liste_rouge!A:A,2,1),"LC")</f>
        <v>LC</v>
      </c>
      <c r="Q21356" s="7" t="str">
        <f>HYPERLINK("#Liste_rouge!A"&amp;_xlfn.XMATCH("NA",Liste_rouge!A:A,2,1),"NA")</f>
        <v>NA</v>
      </c>
      <c r="T21356" s="7" t="str">
        <f>HYPERLINK("#Liste_rouge!A"&amp;_xlfn.XMATCH("NA",Liste_rouge!A:A,2,1),"NA")</f>
        <v>NA</v>
      </c>
      <c r="AH21356" s="4" t="str">
        <f>HYPERLINK("#Statut_biogéographique!A"&amp;_xlfn.XMATCH("I",Statut_biogéographique!A:A,2,1),"I")</f>
        <v>I</v>
      </c>
      <c r="AM21356" s="4" t="s">
        <v>375</v>
      </c>
      <c r="AN21356" s="4" t="s">
        <v>375</v>
      </c>
      <c r="AO21356" s="4" t="s">
        <v>375</v>
      </c>
      <c r="AP21356" s="4" t="s">
        <v>376</v>
      </c>
      <c r="AR21356" s="4" t="s">
        <v>377</v>
      </c>
    </row>
    <row r="21357" spans="1:44">
      <c r="A21357" s="4" t="s">
        <v>24364</v>
      </c>
      <c r="B21357" s="4">
        <v>125392</v>
      </c>
      <c r="D21357" s="5" t="s">
        <v>27602</v>
      </c>
      <c r="E21357" s="6" t="str">
        <f>HYPERLINK("https://inpn.mnhn.fr/espece/cd_nom/125392","Syringa x persica L., 1753")</f>
        <v>Syringa x persica L., 1753</v>
      </c>
      <c r="F21357" s="5" t="s">
        <v>27603</v>
      </c>
      <c r="AH21357" s="4" t="str">
        <f>HYPERLINK("#Statut_biogéographique!A"&amp;_xlfn.XMATCH("M",Statut_biogéographique!A:A,2,1),"M")</f>
        <v>M</v>
      </c>
      <c r="AP21357" s="4" t="s">
        <v>376</v>
      </c>
      <c r="AR21357" s="4" t="s">
        <v>377</v>
      </c>
    </row>
    <row r="21358" spans="1:44">
      <c r="A21358" s="4" t="s">
        <v>24364</v>
      </c>
      <c r="B21358" s="4">
        <v>125405</v>
      </c>
      <c r="D21358" s="5" t="s">
        <v>27604</v>
      </c>
      <c r="E21358" s="6" t="str">
        <f>HYPERLINK("https://inpn.mnhn.fr/espece/cd_nom/125405","Tagetes patula L., 1753")</f>
        <v>Tagetes patula L., 1753</v>
      </c>
      <c r="F21358" s="5" t="s">
        <v>27605</v>
      </c>
      <c r="Q21358" s="7" t="str">
        <f>HYPERLINK("#Liste_rouge!A"&amp;_xlfn.XMATCH("NA",Liste_rouge!A:A,2,1),"NA")</f>
        <v>NA</v>
      </c>
      <c r="AH21358" s="4" t="str">
        <f>HYPERLINK("#Statut_biogéographique!A"&amp;_xlfn.XMATCH("M",Statut_biogéographique!A:A,2,1),"M")</f>
        <v>M</v>
      </c>
      <c r="AP21358" s="4" t="s">
        <v>376</v>
      </c>
      <c r="AR21358" s="4" t="s">
        <v>377</v>
      </c>
    </row>
    <row r="21359" spans="1:44" ht="45">
      <c r="A21359" s="4" t="s">
        <v>24364</v>
      </c>
      <c r="B21359" s="4">
        <v>125426</v>
      </c>
      <c r="D21359" s="5" t="s">
        <v>27606</v>
      </c>
      <c r="E21359" s="6" t="str">
        <f>HYPERLINK("https://inpn.mnhn.fr/espece/cd_nom/125426","Tamarix gallica L., 1753")</f>
        <v>Tamarix gallica L., 1753</v>
      </c>
      <c r="F21359" s="5" t="s">
        <v>27607</v>
      </c>
      <c r="P21359" s="7" t="str">
        <f>HYPERLINK("#Liste_rouge!A"&amp;_xlfn.XMATCH("LC",Liste_rouge!A:A,2,1),"LC")</f>
        <v>LC</v>
      </c>
      <c r="Q21359" s="7" t="str">
        <f>HYPERLINK("#Liste_rouge!A"&amp;_xlfn.XMATCH("LC",Liste_rouge!A:A,2,1),"LC")</f>
        <v>LC</v>
      </c>
      <c r="T21359" s="7" t="str">
        <f>HYPERLINK("#Liste_rouge!A"&amp;_xlfn.XMATCH("NA",Liste_rouge!A:A,2,1),"NA")</f>
        <v>NA</v>
      </c>
      <c r="AH21359" s="4" t="str">
        <f>HYPERLINK("#Statut_biogéographique!A"&amp;_xlfn.XMATCH("I",Statut_biogéographique!A:A,2,1),"I")</f>
        <v>I</v>
      </c>
      <c r="AP21359" s="4" t="s">
        <v>376</v>
      </c>
      <c r="AR21359" s="4" t="s">
        <v>377</v>
      </c>
    </row>
    <row r="21360" spans="1:44" ht="60">
      <c r="A21360" s="4" t="s">
        <v>24364</v>
      </c>
      <c r="B21360" s="4">
        <v>125457</v>
      </c>
      <c r="D21360" s="5" t="s">
        <v>27608</v>
      </c>
      <c r="E21360" s="6" t="str">
        <f>HYPERLINK("https://inpn.mnhn.fr/espece/cd_nom/125457","Tanacetum balsamita L., 1753")</f>
        <v>Tanacetum balsamita L., 1753</v>
      </c>
      <c r="F21360" s="5" t="s">
        <v>27609</v>
      </c>
      <c r="Q21360" s="7" t="str">
        <f>HYPERLINK("#Liste_rouge!A"&amp;_xlfn.XMATCH("NA",Liste_rouge!A:A,2,1),"NA")</f>
        <v>NA</v>
      </c>
      <c r="T21360" s="7" t="str">
        <f>HYPERLINK("#Liste_rouge!A"&amp;_xlfn.XMATCH("NA",Liste_rouge!A:A,2,1),"NA")</f>
        <v>NA</v>
      </c>
      <c r="AH21360" s="4" t="str">
        <f>HYPERLINK("#Statut_biogéographique!A"&amp;_xlfn.XMATCH("M",Statut_biogéographique!A:A,2,1),"M")</f>
        <v>M</v>
      </c>
      <c r="AP21360" s="4" t="s">
        <v>376</v>
      </c>
      <c r="AR21360" s="4" t="s">
        <v>377</v>
      </c>
    </row>
    <row r="21361" spans="1:44" ht="90">
      <c r="A21361" s="4" t="s">
        <v>24364</v>
      </c>
      <c r="B21361" s="4">
        <v>125460</v>
      </c>
      <c r="D21361" s="5" t="s">
        <v>27610</v>
      </c>
      <c r="E21361" s="6" t="str">
        <f>HYPERLINK("https://inpn.mnhn.fr/espece/cd_nom/125460","Tanacetum corymbosum (L.) Sch.Bip., 1844")</f>
        <v>Tanacetum corymbosum (L.) Sch.Bip., 1844</v>
      </c>
      <c r="F21361" s="5" t="s">
        <v>27611</v>
      </c>
      <c r="M21361" s="4" t="str">
        <f>HYPERLINK("#Réglementation!A"&amp;_xlfn.XMATCH("RV43",Réglementation!A:A,2,1),"RV43")</f>
        <v>RV43</v>
      </c>
      <c r="Q21361" s="7" t="str">
        <f>HYPERLINK("#Liste_rouge!A"&amp;_xlfn.XMATCH("LC",Liste_rouge!A:A,2,1),"LC")</f>
        <v>LC</v>
      </c>
      <c r="T21361" s="7" t="str">
        <f>HYPERLINK("#Liste_rouge!A"&amp;_xlfn.XMATCH("DD",Liste_rouge!A:A,2,1),"DD (cd_nom 152077) - LC (cd_nom 125460)")</f>
        <v>DD (cd_nom 152077) - LC (cd_nom 125460)</v>
      </c>
      <c r="V21361" s="7" t="str">
        <f>HYPERLINK("#Liste_rouge!A"&amp;_xlfn.XMATCH("CR",Liste_rouge!A:A,2,1),"CR")</f>
        <v>CR</v>
      </c>
      <c r="W21361" s="4" t="str">
        <f>HYPERLINK("#Critères_liste_rouge!A$1","B2ab(ii) D")</f>
        <v>B2ab(ii) D</v>
      </c>
      <c r="AB21361" s="4" t="s">
        <v>25019</v>
      </c>
      <c r="AH21361" s="4" t="str">
        <f>HYPERLINK("#Statut_biogéographique!A"&amp;_xlfn.XMATCH("P",Statut_biogéographique!A:A,2,1),"P")</f>
        <v>P</v>
      </c>
      <c r="AM21361" s="4" t="s">
        <v>375</v>
      </c>
      <c r="AN21361" s="4" t="s">
        <v>375</v>
      </c>
      <c r="AO21361" s="4" t="s">
        <v>375</v>
      </c>
      <c r="AP21361" s="4" t="s">
        <v>376</v>
      </c>
      <c r="AR21361" s="4" t="s">
        <v>377</v>
      </c>
    </row>
    <row r="21362" spans="1:44" ht="60">
      <c r="A21362" s="4" t="s">
        <v>24364</v>
      </c>
      <c r="B21362" s="4">
        <v>125469</v>
      </c>
      <c r="D21362" s="5" t="s">
        <v>27612</v>
      </c>
      <c r="E21362" s="6" t="str">
        <f>HYPERLINK("https://inpn.mnhn.fr/espece/cd_nom/125469","Tanacetum parthenium (L.) Sch.Bip., 1844")</f>
        <v>Tanacetum parthenium (L.) Sch.Bip., 1844</v>
      </c>
      <c r="F21362" s="5" t="s">
        <v>27613</v>
      </c>
      <c r="P21362" s="7" t="str">
        <f>HYPERLINK("#Liste_rouge!A"&amp;_xlfn.XMATCH("LC",Liste_rouge!A:A,2,1),"LC")</f>
        <v>LC</v>
      </c>
      <c r="Q21362" s="7" t="str">
        <f>HYPERLINK("#Liste_rouge!A"&amp;_xlfn.XMATCH("LC",Liste_rouge!A:A,2,1),"LC")</f>
        <v>LC</v>
      </c>
      <c r="T21362" s="7" t="str">
        <f>HYPERLINK("#Liste_rouge!A"&amp;_xlfn.XMATCH("NA",Liste_rouge!A:A,2,1),"NA")</f>
        <v>NA</v>
      </c>
      <c r="AH21362" s="4" t="str">
        <f>HYPERLINK("#Statut_biogéographique!A"&amp;_xlfn.XMATCH("I",Statut_biogéographique!A:A,2,1),"I")</f>
        <v>I</v>
      </c>
      <c r="AM21362" s="4" t="s">
        <v>375</v>
      </c>
      <c r="AN21362" s="4" t="s">
        <v>375</v>
      </c>
      <c r="AO21362" s="4" t="s">
        <v>375</v>
      </c>
      <c r="AP21362" s="4" t="s">
        <v>376</v>
      </c>
      <c r="AR21362" s="4" t="s">
        <v>377</v>
      </c>
    </row>
    <row r="21363" spans="1:44" ht="30">
      <c r="A21363" s="4" t="s">
        <v>24364</v>
      </c>
      <c r="B21363" s="4">
        <v>125474</v>
      </c>
      <c r="D21363" s="5" t="s">
        <v>27614</v>
      </c>
      <c r="E21363" s="6" t="str">
        <f>HYPERLINK("https://inpn.mnhn.fr/espece/cd_nom/125474","Tanacetum vulgare L., 1753")</f>
        <v>Tanacetum vulgare L., 1753</v>
      </c>
      <c r="F21363" s="5" t="s">
        <v>27615</v>
      </c>
      <c r="Q21363" s="7" t="str">
        <f>HYPERLINK("#Liste_rouge!A"&amp;_xlfn.XMATCH("LC",Liste_rouge!A:A,2,1),"LC")</f>
        <v>LC</v>
      </c>
      <c r="T21363" s="7" t="str">
        <f>HYPERLINK("#Liste_rouge!A"&amp;_xlfn.XMATCH("LC",Liste_rouge!A:A,2,1),"LC")</f>
        <v>LC</v>
      </c>
      <c r="V21363" s="7" t="str">
        <f>HYPERLINK("#Liste_rouge!A"&amp;_xlfn.XMATCH("LC",Liste_rouge!A:A,2,1),"LC")</f>
        <v>LC</v>
      </c>
      <c r="AH21363" s="4" t="str">
        <f>HYPERLINK("#Statut_biogéographique!A"&amp;_xlfn.XMATCH("I",Statut_biogéographique!A:A,2,1),"I")</f>
        <v>I</v>
      </c>
      <c r="AM21363" s="4" t="s">
        <v>375</v>
      </c>
      <c r="AN21363" s="4" t="s">
        <v>375</v>
      </c>
      <c r="AO21363" s="4" t="s">
        <v>375</v>
      </c>
      <c r="AP21363" s="4" t="s">
        <v>376</v>
      </c>
      <c r="AR21363" s="4" t="s">
        <v>377</v>
      </c>
    </row>
    <row r="21364" spans="1:44">
      <c r="A21364" s="4" t="s">
        <v>24364</v>
      </c>
      <c r="B21364" s="4">
        <v>125481</v>
      </c>
      <c r="D21364" s="5" t="s">
        <v>27616</v>
      </c>
      <c r="E21364" s="6" t="str">
        <f>HYPERLINK("https://inpn.mnhn.fr/espece/cd_nom/125481","Taraxacum adamii Claire, 1891")</f>
        <v>Taraxacum adamii Claire, 1891</v>
      </c>
      <c r="F21364" s="5" t="s">
        <v>27617</v>
      </c>
      <c r="Q21364" s="7" t="str">
        <f>HYPERLINK("#Liste_rouge!A"&amp;_xlfn.XMATCH("LC",Liste_rouge!A:A,2,1),"LC")</f>
        <v>LC</v>
      </c>
      <c r="V21364" s="7" t="str">
        <f>HYPERLINK("#Liste_rouge!A"&amp;_xlfn.XMATCH("DD",Liste_rouge!A:A,2,1),"DD")</f>
        <v>DD</v>
      </c>
      <c r="AH21364" s="4" t="str">
        <f>HYPERLINK("#Statut_biogéographique!A"&amp;_xlfn.XMATCH("P",Statut_biogéographique!A:A,2,1),"P")</f>
        <v>P</v>
      </c>
      <c r="AM21364" s="4" t="s">
        <v>375</v>
      </c>
      <c r="AN21364" s="4" t="s">
        <v>375</v>
      </c>
      <c r="AO21364" s="4" t="s">
        <v>375</v>
      </c>
      <c r="AP21364" s="4" t="s">
        <v>376</v>
      </c>
      <c r="AR21364" s="4" t="s">
        <v>377</v>
      </c>
    </row>
    <row r="21365" spans="1:44">
      <c r="A21365" s="4" t="s">
        <v>24364</v>
      </c>
      <c r="B21365" s="4">
        <v>125491</v>
      </c>
      <c r="D21365" s="5" t="s">
        <v>27618</v>
      </c>
      <c r="E21365" s="6" t="str">
        <f>HYPERLINK("https://inpn.mnhn.fr/espece/cd_nom/125491","Taraxacum alatum H.Lindb., 1907")</f>
        <v>Taraxacum alatum H.Lindb., 1907</v>
      </c>
      <c r="F21365" s="5" t="s">
        <v>27619</v>
      </c>
      <c r="Q21365" s="7" t="str">
        <f>HYPERLINK("#Liste_rouge!A"&amp;_xlfn.XMATCH("LC",Liste_rouge!A:A,2,1),"LC")</f>
        <v>LC</v>
      </c>
      <c r="V21365" s="7" t="str">
        <f>HYPERLINK("#Liste_rouge!A"&amp;_xlfn.XMATCH("DD",Liste_rouge!A:A,2,1),"DD")</f>
        <v>DD</v>
      </c>
      <c r="AH21365" s="4" t="str">
        <f>HYPERLINK("#Statut_biogéographique!A"&amp;_xlfn.XMATCH("P",Statut_biogéographique!A:A,2,1),"P")</f>
        <v>P</v>
      </c>
      <c r="AM21365" s="4" t="s">
        <v>375</v>
      </c>
      <c r="AN21365" s="4" t="s">
        <v>375</v>
      </c>
      <c r="AO21365" s="4" t="s">
        <v>375</v>
      </c>
      <c r="AP21365" s="4" t="s">
        <v>376</v>
      </c>
      <c r="AR21365" s="4" t="s">
        <v>377</v>
      </c>
    </row>
    <row r="21366" spans="1:44">
      <c r="A21366" s="4" t="s">
        <v>24364</v>
      </c>
      <c r="B21366" s="4">
        <v>125512</v>
      </c>
      <c r="D21366" s="5" t="s">
        <v>27620</v>
      </c>
      <c r="E21366" s="6" t="str">
        <f>HYPERLINK("https://inpn.mnhn.fr/espece/cd_nom/125512","Taraxacum austrinum G.E.Haglund, 1946")</f>
        <v>Taraxacum austrinum G.E.Haglund, 1946</v>
      </c>
      <c r="F21366" s="5" t="s">
        <v>27621</v>
      </c>
      <c r="Q21366" s="7" t="str">
        <f>HYPERLINK("#Liste_rouge!A"&amp;_xlfn.XMATCH("DD",Liste_rouge!A:A,2,1),"DD")</f>
        <v>DD</v>
      </c>
      <c r="V21366" s="7" t="str">
        <f>HYPERLINK("#Liste_rouge!A"&amp;_xlfn.XMATCH("EN",Liste_rouge!A:A,2,1),"EN")</f>
        <v>EN</v>
      </c>
      <c r="W21366" s="4" t="str">
        <f>HYPERLINK("#Critères_liste_rouge!A$1","B2ab(iii)")</f>
        <v>B2ab(iii)</v>
      </c>
      <c r="X21366" s="5" t="s">
        <v>374</v>
      </c>
      <c r="AB21366" s="4" t="s">
        <v>93</v>
      </c>
      <c r="AH21366" s="4" t="str">
        <f>HYPERLINK("#Statut_biogéographique!A"&amp;_xlfn.XMATCH("P",Statut_biogéographique!A:A,2,1),"P")</f>
        <v>P</v>
      </c>
      <c r="AM21366" s="4" t="s">
        <v>375</v>
      </c>
      <c r="AN21366" s="4" t="s">
        <v>375</v>
      </c>
      <c r="AO21366" s="4" t="s">
        <v>375</v>
      </c>
      <c r="AP21366" s="4" t="s">
        <v>376</v>
      </c>
      <c r="AR21366" s="4" t="s">
        <v>377</v>
      </c>
    </row>
    <row r="21367" spans="1:44">
      <c r="A21367" s="4" t="s">
        <v>24364</v>
      </c>
      <c r="B21367" s="4">
        <v>125514</v>
      </c>
      <c r="D21367" s="5">
        <v>125514</v>
      </c>
      <c r="E21367" s="6" t="str">
        <f>HYPERLINK("https://inpn.mnhn.fr/espece/cd_nom/125514","Taraxacum autumnale Castagne, 1845")</f>
        <v>Taraxacum autumnale Castagne, 1845</v>
      </c>
      <c r="F21367" s="5" t="s">
        <v>27622</v>
      </c>
      <c r="Q21367" s="7" t="str">
        <f>HYPERLINK("#Liste_rouge!A"&amp;_xlfn.XMATCH("LC",Liste_rouge!A:A,2,1),"LC")</f>
        <v>LC</v>
      </c>
      <c r="AH21367" s="4" t="str">
        <f>HYPERLINK("#Statut_biogéographique!A"&amp;_xlfn.XMATCH("P",Statut_biogéographique!A:A,2,1),"P")</f>
        <v>P</v>
      </c>
      <c r="AP21367" s="4" t="s">
        <v>376</v>
      </c>
      <c r="AR21367" s="4" t="s">
        <v>377</v>
      </c>
    </row>
    <row r="21368" spans="1:44">
      <c r="A21368" s="4" t="s">
        <v>24364</v>
      </c>
      <c r="B21368" s="4">
        <v>125517</v>
      </c>
      <c r="D21368" s="5" t="s">
        <v>27623</v>
      </c>
      <c r="E21368" s="6" t="str">
        <f>HYPERLINK("https://inpn.mnhn.fr/espece/cd_nom/125517","Taraxacum balticiforme Dahlst., 1933")</f>
        <v>Taraxacum balticiforme Dahlst., 1933</v>
      </c>
      <c r="F21368" s="5" t="s">
        <v>27621</v>
      </c>
      <c r="Q21368" s="7" t="str">
        <f>HYPERLINK("#Liste_rouge!A"&amp;_xlfn.XMATCH("RE",Liste_rouge!A:A,2,1),"RE")</f>
        <v>RE</v>
      </c>
      <c r="AH21368" s="4" t="str">
        <f>HYPERLINK("#Statut_biogéographique!A"&amp;_xlfn.XMATCH("W",Statut_biogéographique!A:A,2,1),"W")</f>
        <v>W</v>
      </c>
      <c r="AM21368" s="4" t="s">
        <v>375</v>
      </c>
      <c r="AN21368" s="4" t="s">
        <v>375</v>
      </c>
      <c r="AO21368" s="4" t="s">
        <v>375</v>
      </c>
      <c r="AP21368" s="4" t="s">
        <v>376</v>
      </c>
      <c r="AR21368" s="4" t="s">
        <v>377</v>
      </c>
    </row>
    <row r="21369" spans="1:44">
      <c r="A21369" s="4" t="s">
        <v>24364</v>
      </c>
      <c r="B21369" s="4">
        <v>125535</v>
      </c>
      <c r="D21369" s="5">
        <v>125535</v>
      </c>
      <c r="E21369" s="6" t="str">
        <f>HYPERLINK("https://inpn.mnhn.fr/espece/cd_nom/125535","Taraxacum campylodes G.E.Haglund, 1948")</f>
        <v>Taraxacum campylodes G.E.Haglund, 1948</v>
      </c>
      <c r="F21369" s="5" t="s">
        <v>27624</v>
      </c>
      <c r="AH21369" s="4" t="str">
        <f>HYPERLINK("#Statut_biogéographique!A"&amp;_xlfn.XMATCH("Q",Statut_biogéographique!A:A,2,1),"Q")</f>
        <v>Q</v>
      </c>
      <c r="AM21369" s="4" t="s">
        <v>375</v>
      </c>
      <c r="AN21369" s="4" t="s">
        <v>375</v>
      </c>
      <c r="AO21369" s="4" t="s">
        <v>375</v>
      </c>
      <c r="AP21369" s="4" t="s">
        <v>376</v>
      </c>
      <c r="AR21369" s="4" t="s">
        <v>377</v>
      </c>
    </row>
    <row r="21370" spans="1:44">
      <c r="A21370" s="4" t="s">
        <v>24364</v>
      </c>
      <c r="B21370" s="4">
        <v>125544</v>
      </c>
      <c r="D21370" s="5" t="s">
        <v>27625</v>
      </c>
      <c r="E21370" s="6" t="str">
        <f>HYPERLINK("https://inpn.mnhn.fr/espece/cd_nom/125544","Taraxacum ciliare Soest, 1965")</f>
        <v>Taraxacum ciliare Soest, 1965</v>
      </c>
      <c r="F21370" s="5" t="s">
        <v>27621</v>
      </c>
      <c r="Q21370" s="7" t="str">
        <f>HYPERLINK("#Liste_rouge!A"&amp;_xlfn.XMATCH("NT",Liste_rouge!A:A,2,1),"NT")</f>
        <v>NT</v>
      </c>
      <c r="X21370" s="5" t="s">
        <v>374</v>
      </c>
      <c r="AB21370" s="4" t="s">
        <v>93</v>
      </c>
      <c r="AH21370" s="4" t="str">
        <f>HYPERLINK("#Statut_biogéographique!A"&amp;_xlfn.XMATCH("P",Statut_biogéographique!A:A,2,1),"P")</f>
        <v>P</v>
      </c>
      <c r="AM21370" s="4" t="s">
        <v>375</v>
      </c>
      <c r="AN21370" s="4" t="s">
        <v>375</v>
      </c>
      <c r="AO21370" s="4" t="s">
        <v>375</v>
      </c>
      <c r="AP21370" s="4" t="s">
        <v>376</v>
      </c>
      <c r="AR21370" s="4" t="s">
        <v>377</v>
      </c>
    </row>
    <row r="21371" spans="1:44" ht="45">
      <c r="A21371" s="4" t="s">
        <v>24364</v>
      </c>
      <c r="B21371" s="4">
        <v>125585</v>
      </c>
      <c r="D21371" s="5" t="s">
        <v>27626</v>
      </c>
      <c r="E21371" s="6" t="str">
        <f>HYPERLINK("https://inpn.mnhn.fr/espece/cd_nom/125585","Taraxacum erythrospermum Andrz. ex Besser, 1821")</f>
        <v>Taraxacum erythrospermum Andrz. ex Besser, 1821</v>
      </c>
      <c r="F21371" s="5" t="s">
        <v>27627</v>
      </c>
      <c r="Q21371" s="7" t="str">
        <f>HYPERLINK("#Liste_rouge!A"&amp;_xlfn.XMATCH("LC",Liste_rouge!A:A,2,1),"LC")</f>
        <v>LC</v>
      </c>
      <c r="T21371" s="7" t="str">
        <f>HYPERLINK("#Liste_rouge!A"&amp;_xlfn.XMATCH("LC",Liste_rouge!A:A,2,1),"LC")</f>
        <v>LC</v>
      </c>
      <c r="AH21371" s="4" t="str">
        <f>HYPERLINK("#Statut_biogéographique!A"&amp;_xlfn.XMATCH("P",Statut_biogéographique!A:A,2,1),"P")</f>
        <v>P</v>
      </c>
      <c r="AM21371" s="4" t="s">
        <v>375</v>
      </c>
      <c r="AN21371" s="4" t="s">
        <v>375</v>
      </c>
      <c r="AO21371" s="4" t="s">
        <v>375</v>
      </c>
      <c r="AP21371" s="4" t="s">
        <v>376</v>
      </c>
      <c r="AR21371" s="4" t="s">
        <v>377</v>
      </c>
    </row>
    <row r="21372" spans="1:44">
      <c r="A21372" s="4" t="s">
        <v>24364</v>
      </c>
      <c r="B21372" s="4">
        <v>125602</v>
      </c>
      <c r="D21372" s="5" t="s">
        <v>27628</v>
      </c>
      <c r="E21372" s="6" t="str">
        <f>HYPERLINK("https://inpn.mnhn.fr/espece/cd_nom/125602","Taraxacum fulvum Raunk., 1906")</f>
        <v>Taraxacum fulvum Raunk., 1906</v>
      </c>
      <c r="F21372" s="5" t="s">
        <v>27629</v>
      </c>
      <c r="T21372" s="7" t="str">
        <f>HYPERLINK("#Liste_rouge!A"&amp;_xlfn.XMATCH("DD",Liste_rouge!A:A,2,1),"DD")</f>
        <v>DD</v>
      </c>
      <c r="AH21372" s="4" t="str">
        <f>HYPERLINK("#Statut_biogéographique!A"&amp;_xlfn.XMATCH("Q",Statut_biogéographique!A:A,2,1),"Q")</f>
        <v>Q</v>
      </c>
      <c r="AM21372" s="4" t="s">
        <v>375</v>
      </c>
      <c r="AN21372" s="4" t="s">
        <v>375</v>
      </c>
      <c r="AO21372" s="4" t="s">
        <v>375</v>
      </c>
      <c r="AP21372" s="4" t="s">
        <v>376</v>
      </c>
      <c r="AR21372" s="4" t="s">
        <v>377</v>
      </c>
    </row>
    <row r="21373" spans="1:44">
      <c r="A21373" s="4" t="s">
        <v>24364</v>
      </c>
      <c r="B21373" s="4">
        <v>125606</v>
      </c>
      <c r="D21373" s="5">
        <v>125606</v>
      </c>
      <c r="E21373" s="6" t="str">
        <f>HYPERLINK("https://inpn.mnhn.fr/espece/cd_nom/125606","Taraxacum gelertii Raunk., 1906")</f>
        <v>Taraxacum gelertii Raunk., 1906</v>
      </c>
      <c r="F21373" s="5" t="s">
        <v>27630</v>
      </c>
      <c r="Q21373" s="7" t="str">
        <f>HYPERLINK("#Liste_rouge!A"&amp;_xlfn.XMATCH("DD",Liste_rouge!A:A,2,1),"DD")</f>
        <v>DD</v>
      </c>
      <c r="X21373" s="5" t="s">
        <v>374</v>
      </c>
      <c r="AB21373" s="4" t="s">
        <v>93</v>
      </c>
      <c r="AH21373" s="4" t="str">
        <f>HYPERLINK("#Statut_biogéographique!A"&amp;_xlfn.XMATCH("P",Statut_biogéographique!A:A,2,1),"P")</f>
        <v>P</v>
      </c>
      <c r="AM21373" s="4" t="s">
        <v>375</v>
      </c>
      <c r="AN21373" s="4" t="s">
        <v>375</v>
      </c>
      <c r="AO21373" s="4" t="s">
        <v>375</v>
      </c>
      <c r="AP21373" s="4" t="s">
        <v>376</v>
      </c>
      <c r="AR21373" s="4" t="s">
        <v>377</v>
      </c>
    </row>
    <row r="21374" spans="1:44">
      <c r="A21374" s="4" t="s">
        <v>24364</v>
      </c>
      <c r="B21374" s="4">
        <v>125632</v>
      </c>
      <c r="D21374" s="5">
        <v>125632</v>
      </c>
      <c r="E21374" s="6" t="str">
        <f>HYPERLINK("https://inpn.mnhn.fr/espece/cd_nom/125632","Taraxacum hollandicum Soest, 1942")</f>
        <v>Taraxacum hollandicum Soest, 1942</v>
      </c>
      <c r="F21374" s="5" t="s">
        <v>27631</v>
      </c>
      <c r="Q21374" s="7" t="str">
        <f>HYPERLINK("#Liste_rouge!A"&amp;_xlfn.XMATCH("NT",Liste_rouge!A:A,2,1),"NT")</f>
        <v>NT</v>
      </c>
      <c r="V21374" s="7" t="str">
        <f>HYPERLINK("#Liste_rouge!A"&amp;_xlfn.XMATCH("DD",Liste_rouge!A:A,2,1),"DD")</f>
        <v>DD</v>
      </c>
      <c r="X21374" s="5" t="s">
        <v>374</v>
      </c>
      <c r="AB21374" s="4" t="s">
        <v>93</v>
      </c>
      <c r="AH21374" s="4" t="str">
        <f>HYPERLINK("#Statut_biogéographique!A"&amp;_xlfn.XMATCH("P",Statut_biogéographique!A:A,2,1),"P")</f>
        <v>P</v>
      </c>
      <c r="AM21374" s="4" t="s">
        <v>375</v>
      </c>
      <c r="AN21374" s="4" t="s">
        <v>375</v>
      </c>
      <c r="AO21374" s="4" t="s">
        <v>375</v>
      </c>
      <c r="AP21374" s="4" t="s">
        <v>376</v>
      </c>
      <c r="AR21374" s="4" t="s">
        <v>377</v>
      </c>
    </row>
    <row r="21375" spans="1:44" ht="30">
      <c r="A21375" s="4" t="s">
        <v>24364</v>
      </c>
      <c r="B21375" s="4">
        <v>125640</v>
      </c>
      <c r="D21375" s="5" t="s">
        <v>27632</v>
      </c>
      <c r="E21375" s="6" t="str">
        <f>HYPERLINK("https://inpn.mnhn.fr/espece/cd_nom/125640","Taraxacum lacistophyllum (Dahlst.) Raunk., 1906")</f>
        <v>Taraxacum lacistophyllum (Dahlst.) Raunk., 1906</v>
      </c>
      <c r="F21375" s="5" t="s">
        <v>27621</v>
      </c>
      <c r="Q21375" s="7" t="str">
        <f>HYPERLINK("#Liste_rouge!A"&amp;_xlfn.XMATCH("LC",Liste_rouge!A:A,2,1),"LC")</f>
        <v>LC</v>
      </c>
      <c r="V21375" s="7" t="str">
        <f>HYPERLINK("#Liste_rouge!A"&amp;_xlfn.XMATCH("DD",Liste_rouge!A:A,2,1),"DD")</f>
        <v>DD</v>
      </c>
      <c r="AH21375" s="4" t="str">
        <f>HYPERLINK("#Statut_biogéographique!A"&amp;_xlfn.XMATCH("P",Statut_biogéographique!A:A,2,1),"P")</f>
        <v>P</v>
      </c>
      <c r="AM21375" s="4" t="s">
        <v>375</v>
      </c>
      <c r="AN21375" s="4" t="s">
        <v>375</v>
      </c>
      <c r="AO21375" s="4" t="s">
        <v>375</v>
      </c>
      <c r="AP21375" s="4" t="s">
        <v>376</v>
      </c>
      <c r="AR21375" s="4" t="s">
        <v>377</v>
      </c>
    </row>
    <row r="21376" spans="1:44">
      <c r="A21376" s="4" t="s">
        <v>24364</v>
      </c>
      <c r="B21376" s="4">
        <v>125642</v>
      </c>
      <c r="D21376" s="5">
        <v>125642</v>
      </c>
      <c r="E21376" s="6" t="str">
        <f>HYPERLINK("https://inpn.mnhn.fr/espece/cd_nom/125642","Taraxacum laetiforme Dahlst., 1909")</f>
        <v>Taraxacum laetiforme Dahlst., 1909</v>
      </c>
      <c r="F21376" s="5" t="s">
        <v>27621</v>
      </c>
      <c r="T21376" s="7" t="str">
        <f>HYPERLINK("#Liste_rouge!A"&amp;_xlfn.XMATCH("NE",Liste_rouge!A:A,2,1),"NE")</f>
        <v>NE</v>
      </c>
      <c r="AH21376" s="4" t="str">
        <f>HYPERLINK("#Statut_biogéographique!A"&amp;_xlfn.XMATCH("Q",Statut_biogéographique!A:A,2,1),"Q")</f>
        <v>Q</v>
      </c>
      <c r="AP21376" s="4" t="s">
        <v>376</v>
      </c>
      <c r="AR21376" s="4" t="s">
        <v>377</v>
      </c>
    </row>
    <row r="21377" spans="1:44">
      <c r="A21377" s="4" t="s">
        <v>24364</v>
      </c>
      <c r="B21377" s="4">
        <v>125654</v>
      </c>
      <c r="D21377" s="5" t="s">
        <v>27633</v>
      </c>
      <c r="E21377" s="6" t="str">
        <f>HYPERLINK("https://inpn.mnhn.fr/espece/cd_nom/125654","Taraxacum maculatum Jord., 1852")</f>
        <v>Taraxacum maculatum Jord., 1852</v>
      </c>
      <c r="F21377" s="5" t="s">
        <v>27634</v>
      </c>
      <c r="Q21377" s="7" t="str">
        <f>HYPERLINK("#Liste_rouge!A"&amp;_xlfn.XMATCH("LC",Liste_rouge!A:A,2,1),"LC")</f>
        <v>LC</v>
      </c>
      <c r="AH21377" s="4" t="str">
        <f>HYPERLINK("#Statut_biogéographique!A"&amp;_xlfn.XMATCH("P",Statut_biogéographique!A:A,2,1),"P")</f>
        <v>P</v>
      </c>
      <c r="AM21377" s="4" t="s">
        <v>375</v>
      </c>
      <c r="AN21377" s="4" t="s">
        <v>375</v>
      </c>
      <c r="AO21377" s="4" t="s">
        <v>375</v>
      </c>
      <c r="AP21377" s="4" t="s">
        <v>376</v>
      </c>
      <c r="AR21377" s="4" t="s">
        <v>377</v>
      </c>
    </row>
    <row r="21378" spans="1:44" ht="30">
      <c r="A21378" s="4" t="s">
        <v>24364</v>
      </c>
      <c r="B21378" s="4">
        <v>125667</v>
      </c>
      <c r="D21378" s="5">
        <v>125667</v>
      </c>
      <c r="E21378" s="6" t="str">
        <f>HYPERLINK("https://inpn.mnhn.fr/espece/cd_nom/125667","Taraxacum multilepis Kirschner &amp; Štěpánek, 1989")</f>
        <v>Taraxacum multilepis Kirschner &amp; Štěpánek, 1989</v>
      </c>
      <c r="F21378" s="5" t="s">
        <v>27621</v>
      </c>
      <c r="Q21378" s="7" t="str">
        <f>HYPERLINK("#Liste_rouge!A"&amp;_xlfn.XMATCH("NT",Liste_rouge!A:A,2,1),"NT")</f>
        <v>NT</v>
      </c>
      <c r="V21378" s="7" t="str">
        <f>HYPERLINK("#Liste_rouge!A"&amp;_xlfn.XMATCH("DD",Liste_rouge!A:A,2,1),"DD")</f>
        <v>DD</v>
      </c>
      <c r="X21378" s="5" t="s">
        <v>374</v>
      </c>
      <c r="AB21378" s="4" t="s">
        <v>93</v>
      </c>
      <c r="AH21378" s="4" t="str">
        <f>HYPERLINK("#Statut_biogéographique!A"&amp;_xlfn.XMATCH("P",Statut_biogéographique!A:A,2,1),"P")</f>
        <v>P</v>
      </c>
      <c r="AM21378" s="4" t="s">
        <v>375</v>
      </c>
      <c r="AN21378" s="4" t="s">
        <v>375</v>
      </c>
      <c r="AO21378" s="4" t="s">
        <v>375</v>
      </c>
      <c r="AP21378" s="4" t="s">
        <v>376</v>
      </c>
      <c r="AR21378" s="4" t="s">
        <v>377</v>
      </c>
    </row>
    <row r="21379" spans="1:44">
      <c r="A21379" s="4" t="s">
        <v>24364</v>
      </c>
      <c r="B21379" s="4">
        <v>125670</v>
      </c>
      <c r="D21379" s="5" t="s">
        <v>27635</v>
      </c>
      <c r="E21379" s="6" t="str">
        <f>HYPERLINK("https://inpn.mnhn.fr/espece/cd_nom/125670","Taraxacum navarrense Sonck, 1985")</f>
        <v>Taraxacum navarrense Sonck, 1985</v>
      </c>
      <c r="F21379" s="5" t="s">
        <v>27636</v>
      </c>
      <c r="Q21379" s="7" t="str">
        <f>HYPERLINK("#Liste_rouge!A"&amp;_xlfn.XMATCH("LC",Liste_rouge!A:A,2,1),"LC")</f>
        <v>LC</v>
      </c>
      <c r="V21379" s="7" t="str">
        <f>HYPERLINK("#Liste_rouge!A"&amp;_xlfn.XMATCH("DD",Liste_rouge!A:A,2,1),"DD")</f>
        <v>DD</v>
      </c>
      <c r="AH21379" s="4" t="str">
        <f>HYPERLINK("#Statut_biogéographique!A"&amp;_xlfn.XMATCH("P",Statut_biogéographique!A:A,2,1),"P")</f>
        <v>P</v>
      </c>
      <c r="AM21379" s="4" t="s">
        <v>375</v>
      </c>
      <c r="AN21379" s="4" t="s">
        <v>375</v>
      </c>
      <c r="AO21379" s="4" t="s">
        <v>375</v>
      </c>
      <c r="AP21379" s="4" t="s">
        <v>376</v>
      </c>
      <c r="AR21379" s="4" t="s">
        <v>377</v>
      </c>
    </row>
    <row r="21380" spans="1:44">
      <c r="A21380" s="4" t="s">
        <v>24364</v>
      </c>
      <c r="B21380" s="4">
        <v>125674</v>
      </c>
      <c r="D21380" s="5" t="s">
        <v>27637</v>
      </c>
      <c r="E21380" s="6" t="str">
        <f>HYPERLINK("https://inpn.mnhn.fr/espece/cd_nom/125674","Taraxacum nordstedtii Dahlst., 1911")</f>
        <v>Taraxacum nordstedtii Dahlst., 1911</v>
      </c>
      <c r="F21380" s="5" t="s">
        <v>27638</v>
      </c>
      <c r="Q21380" s="7" t="str">
        <f>HYPERLINK("#Liste_rouge!A"&amp;_xlfn.XMATCH("LC",Liste_rouge!A:A,2,1),"LC")</f>
        <v>LC</v>
      </c>
      <c r="X21380" s="5" t="s">
        <v>374</v>
      </c>
      <c r="AB21380" s="4" t="s">
        <v>93</v>
      </c>
      <c r="AH21380" s="4" t="str">
        <f>HYPERLINK("#Statut_biogéographique!A"&amp;_xlfn.XMATCH("P",Statut_biogéographique!A:A,2,1),"P")</f>
        <v>P</v>
      </c>
      <c r="AM21380" s="4" t="s">
        <v>375</v>
      </c>
      <c r="AN21380" s="4" t="s">
        <v>375</v>
      </c>
      <c r="AO21380" s="4" t="s">
        <v>375</v>
      </c>
      <c r="AP21380" s="4" t="s">
        <v>376</v>
      </c>
      <c r="AR21380" s="4" t="s">
        <v>377</v>
      </c>
    </row>
    <row r="21381" spans="1:44" ht="30">
      <c r="A21381" s="4" t="s">
        <v>24364</v>
      </c>
      <c r="B21381" s="4">
        <v>125680</v>
      </c>
      <c r="D21381" s="5" t="s">
        <v>27639</v>
      </c>
      <c r="E21381" s="6" t="str">
        <f>HYPERLINK("https://inpn.mnhn.fr/espece/cd_nom/125680","Taraxacum oxoniense Dahlst., 1923")</f>
        <v>Taraxacum oxoniense Dahlst., 1923</v>
      </c>
      <c r="F21381" s="5" t="s">
        <v>27640</v>
      </c>
      <c r="Q21381" s="7" t="str">
        <f>HYPERLINK("#Liste_rouge!A"&amp;_xlfn.XMATCH("LC",Liste_rouge!A:A,2,1),"LC")</f>
        <v>LC</v>
      </c>
      <c r="AH21381" s="4" t="str">
        <f>HYPERLINK("#Statut_biogéographique!A"&amp;_xlfn.XMATCH("P",Statut_biogéographique!A:A,2,1),"P")</f>
        <v>P</v>
      </c>
      <c r="AM21381" s="4" t="s">
        <v>375</v>
      </c>
      <c r="AN21381" s="4" t="s">
        <v>375</v>
      </c>
      <c r="AO21381" s="4" t="s">
        <v>375</v>
      </c>
      <c r="AP21381" s="4" t="s">
        <v>376</v>
      </c>
      <c r="AR21381" s="4" t="s">
        <v>377</v>
      </c>
    </row>
    <row r="21382" spans="1:44" ht="60">
      <c r="A21382" s="4" t="s">
        <v>24364</v>
      </c>
      <c r="B21382" s="4">
        <v>125686</v>
      </c>
      <c r="D21382" s="5" t="s">
        <v>27641</v>
      </c>
      <c r="E21382" s="6" t="str">
        <f>HYPERLINK("https://inpn.mnhn.fr/espece/cd_nom/125686","Taraxacum palustre (Lyons) Symons, 1798")</f>
        <v>Taraxacum palustre (Lyons) Symons, 1798</v>
      </c>
      <c r="F21382" s="5" t="s">
        <v>27642</v>
      </c>
      <c r="Q21382" s="7" t="str">
        <f>HYPERLINK("#Liste_rouge!A"&amp;_xlfn.XMATCH("DD",Liste_rouge!A:A,2,1),"DD")</f>
        <v>DD</v>
      </c>
      <c r="T21382" s="7" t="str">
        <f>HYPERLINK("#Liste_rouge!A"&amp;_xlfn.XMATCH("CR",Liste_rouge!A:A,2,1),"CR")</f>
        <v>CR</v>
      </c>
      <c r="U21382" s="4" t="str">
        <f>HYPERLINK("#Critères_liste_rouge!A$1","D1")</f>
        <v>D1</v>
      </c>
      <c r="X21382" s="5" t="s">
        <v>374</v>
      </c>
      <c r="AB21382" s="4" t="s">
        <v>93</v>
      </c>
      <c r="AH21382" s="4" t="str">
        <f>HYPERLINK("#Statut_biogéographique!A"&amp;_xlfn.XMATCH("P",Statut_biogéographique!A:A,2,1),"P")</f>
        <v>P</v>
      </c>
      <c r="AM21382" s="4" t="s">
        <v>375</v>
      </c>
      <c r="AN21382" s="4" t="s">
        <v>375</v>
      </c>
      <c r="AO21382" s="4" t="s">
        <v>375</v>
      </c>
      <c r="AP21382" s="4" t="s">
        <v>376</v>
      </c>
      <c r="AR21382" s="4" t="s">
        <v>377</v>
      </c>
    </row>
    <row r="21383" spans="1:44">
      <c r="A21383" s="4" t="s">
        <v>24364</v>
      </c>
      <c r="B21383" s="4">
        <v>125714</v>
      </c>
      <c r="D21383" s="5">
        <v>125714</v>
      </c>
      <c r="E21383" s="6" t="str">
        <f>HYPERLINK("https://inpn.mnhn.fr/espece/cd_nom/125714","Taraxacum puniceum Sahlin, 1984")</f>
        <v>Taraxacum puniceum Sahlin, 1984</v>
      </c>
      <c r="F21383" s="5" t="s">
        <v>27621</v>
      </c>
      <c r="V21383" s="7" t="str">
        <f>HYPERLINK("#Liste_rouge!A"&amp;_xlfn.XMATCH("DD",Liste_rouge!A:A,2,1),"DD")</f>
        <v>DD</v>
      </c>
      <c r="AH21383" s="4" t="str">
        <f>HYPERLINK("#Statut_biogéographique!A"&amp;_xlfn.XMATCH("P",Statut_biogéographique!A:A,2,1),"P")</f>
        <v>P</v>
      </c>
      <c r="AP21383" s="4" t="s">
        <v>376</v>
      </c>
      <c r="AR21383" s="4" t="s">
        <v>377</v>
      </c>
    </row>
    <row r="21384" spans="1:44" ht="30">
      <c r="A21384" s="4" t="s">
        <v>24364</v>
      </c>
      <c r="B21384" s="4">
        <v>125736</v>
      </c>
      <c r="D21384" s="5" t="s">
        <v>27643</v>
      </c>
      <c r="E21384" s="6" t="str">
        <f>HYPERLINK("https://inpn.mnhn.fr/espece/cd_nom/125736","Taraxacum rubicundum (Dahlst.) Dahlst., 1906")</f>
        <v>Taraxacum rubicundum (Dahlst.) Dahlst., 1906</v>
      </c>
      <c r="F21384" s="5" t="s">
        <v>27644</v>
      </c>
      <c r="Q21384" s="7" t="str">
        <f>HYPERLINK("#Liste_rouge!A"&amp;_xlfn.XMATCH("LC",Liste_rouge!A:A,2,1),"LC")</f>
        <v>LC</v>
      </c>
      <c r="V21384" s="7" t="str">
        <f>HYPERLINK("#Liste_rouge!A"&amp;_xlfn.XMATCH("DD",Liste_rouge!A:A,2,1),"DD")</f>
        <v>DD</v>
      </c>
      <c r="AH21384" s="4" t="str">
        <f>HYPERLINK("#Statut_biogéographique!A"&amp;_xlfn.XMATCH("P",Statut_biogéographique!A:A,2,1),"P")</f>
        <v>P</v>
      </c>
      <c r="AM21384" s="4" t="s">
        <v>375</v>
      </c>
      <c r="AN21384" s="4" t="s">
        <v>375</v>
      </c>
      <c r="AO21384" s="4" t="s">
        <v>375</v>
      </c>
      <c r="AP21384" s="4" t="s">
        <v>376</v>
      </c>
      <c r="AR21384" s="4" t="s">
        <v>377</v>
      </c>
    </row>
    <row r="21385" spans="1:44">
      <c r="A21385" s="4" t="s">
        <v>24364</v>
      </c>
      <c r="B21385" s="4">
        <v>125776</v>
      </c>
      <c r="D21385" s="5">
        <v>125776</v>
      </c>
      <c r="E21385" s="6" t="str">
        <f>HYPERLINK("https://inpn.mnhn.fr/espece/cd_nom/125776","Taraxacum tortilobum Florstr., 1914")</f>
        <v>Taraxacum tortilobum Florstr., 1914</v>
      </c>
      <c r="F21385" s="5" t="s">
        <v>27645</v>
      </c>
      <c r="Q21385" s="7" t="str">
        <f>HYPERLINK("#Liste_rouge!A"&amp;_xlfn.XMATCH("LC",Liste_rouge!A:A,2,1),"LC")</f>
        <v>LC</v>
      </c>
      <c r="V21385" s="7" t="str">
        <f>HYPERLINK("#Liste_rouge!A"&amp;_xlfn.XMATCH("DD",Liste_rouge!A:A,2,1),"DD")</f>
        <v>DD</v>
      </c>
      <c r="AH21385" s="4" t="str">
        <f>HYPERLINK("#Statut_biogéographique!A"&amp;_xlfn.XMATCH("P",Statut_biogéographique!A:A,2,1),"P")</f>
        <v>P</v>
      </c>
      <c r="AM21385" s="4" t="s">
        <v>375</v>
      </c>
      <c r="AN21385" s="4" t="s">
        <v>375</v>
      </c>
      <c r="AO21385" s="4" t="s">
        <v>375</v>
      </c>
      <c r="AP21385" s="4" t="s">
        <v>376</v>
      </c>
      <c r="AR21385" s="4" t="s">
        <v>377</v>
      </c>
    </row>
    <row r="21386" spans="1:44">
      <c r="A21386" s="4" t="s">
        <v>24364</v>
      </c>
      <c r="B21386" s="4">
        <v>125782</v>
      </c>
      <c r="D21386" s="5" t="s">
        <v>27646</v>
      </c>
      <c r="E21386" s="6" t="str">
        <f>HYPERLINK("https://inpn.mnhn.fr/espece/cd_nom/125782","Taraxacum udum Jord., 1852")</f>
        <v>Taraxacum udum Jord., 1852</v>
      </c>
      <c r="F21386" s="5" t="s">
        <v>27647</v>
      </c>
      <c r="Q21386" s="7" t="str">
        <f>HYPERLINK("#Liste_rouge!A"&amp;_xlfn.XMATCH("LC",Liste_rouge!A:A,2,1),"LC")</f>
        <v>LC</v>
      </c>
      <c r="T21386" s="7" t="str">
        <f>HYPERLINK("#Liste_rouge!A"&amp;_xlfn.XMATCH("NE",Liste_rouge!A:A,2,1),"NE")</f>
        <v>NE</v>
      </c>
      <c r="V21386" s="7" t="str">
        <f>HYPERLINK("#Liste_rouge!A"&amp;_xlfn.XMATCH("DD",Liste_rouge!A:A,2,1),"DD")</f>
        <v>DD</v>
      </c>
      <c r="AH21386" s="4" t="str">
        <f>HYPERLINK("#Statut_biogéographique!A"&amp;_xlfn.XMATCH("P",Statut_biogéographique!A:A,2,1),"P")</f>
        <v>P</v>
      </c>
      <c r="AM21386" s="4" t="s">
        <v>375</v>
      </c>
      <c r="AN21386" s="4" t="s">
        <v>375</v>
      </c>
      <c r="AO21386" s="4" t="s">
        <v>375</v>
      </c>
      <c r="AP21386" s="4" t="s">
        <v>376</v>
      </c>
      <c r="AR21386" s="4" t="s">
        <v>377</v>
      </c>
    </row>
    <row r="21387" spans="1:44" ht="30">
      <c r="A21387" s="4" t="s">
        <v>24364</v>
      </c>
      <c r="B21387" s="4">
        <v>125811</v>
      </c>
      <c r="D21387" s="5" t="s">
        <v>27648</v>
      </c>
      <c r="E21387" s="6" t="str">
        <f>HYPERLINK("https://inpn.mnhn.fr/espece/cd_nom/125811","Taxodium distichum (L.) Rich., 1810")</f>
        <v>Taxodium distichum (L.) Rich., 1810</v>
      </c>
      <c r="F21387" s="5" t="s">
        <v>27649</v>
      </c>
      <c r="O21387" s="7" t="str">
        <f>HYPERLINK("#Liste_rouge!A"&amp;_xlfn.XMATCH("LC",Liste_rouge!A:A,2,1),"LC")</f>
        <v>LC</v>
      </c>
      <c r="Q21387" s="7" t="str">
        <f>HYPERLINK("#Liste_rouge!A"&amp;_xlfn.XMATCH("NA",Liste_rouge!A:A,2,1),"NA")</f>
        <v>NA</v>
      </c>
      <c r="T21387" s="7" t="str">
        <f>HYPERLINK("#Liste_rouge!A"&amp;_xlfn.XMATCH("NA",Liste_rouge!A:A,2,1),"NA")</f>
        <v>NA</v>
      </c>
      <c r="AH21387" s="4" t="str">
        <f>HYPERLINK("#Statut_biogéographique!A"&amp;_xlfn.XMATCH("M",Statut_biogéographique!A:A,2,1),"M")</f>
        <v>M</v>
      </c>
      <c r="AP21387" s="4" t="s">
        <v>376</v>
      </c>
      <c r="AR21387" s="4" t="s">
        <v>377</v>
      </c>
    </row>
    <row r="21388" spans="1:44" ht="30">
      <c r="A21388" s="4" t="s">
        <v>24364</v>
      </c>
      <c r="B21388" s="4">
        <v>125816</v>
      </c>
      <c r="D21388" s="5" t="s">
        <v>27650</v>
      </c>
      <c r="E21388" s="6" t="str">
        <f>HYPERLINK("https://inpn.mnhn.fr/espece/cd_nom/125816","Taxus baccata L., 1753")</f>
        <v>Taxus baccata L., 1753</v>
      </c>
      <c r="F21388" s="5" t="s">
        <v>27651</v>
      </c>
      <c r="N21388" s="4" t="str">
        <f>HYPERLINK("#Réglementation!A"&amp;_xlfn.XMATCH("V70P2",Réglementation!A:A,2,1),"V70P2")</f>
        <v>V70P2</v>
      </c>
      <c r="O21388" s="7" t="str">
        <f>HYPERLINK("#Liste_rouge!A"&amp;_xlfn.XMATCH("LC",Liste_rouge!A:A,2,1),"LC")</f>
        <v>LC</v>
      </c>
      <c r="P21388" s="7" t="str">
        <f>HYPERLINK("#Liste_rouge!A"&amp;_xlfn.XMATCH("LC",Liste_rouge!A:A,2,1),"LC")</f>
        <v>LC</v>
      </c>
      <c r="Q21388" s="7" t="str">
        <f>HYPERLINK("#Liste_rouge!A"&amp;_xlfn.XMATCH("LC",Liste_rouge!A:A,2,1),"LC")</f>
        <v>LC</v>
      </c>
      <c r="T21388" s="7" t="str">
        <f>HYPERLINK("#Liste_rouge!A"&amp;_xlfn.XMATCH("NA",Liste_rouge!A:A,2,1),"NA")</f>
        <v>NA</v>
      </c>
      <c r="V21388" s="7" t="str">
        <f>HYPERLINK("#Liste_rouge!A"&amp;_xlfn.XMATCH("LC",Liste_rouge!A:A,2,1),"LC")</f>
        <v>LC</v>
      </c>
      <c r="AH21388" s="4" t="str">
        <f>HYPERLINK("#Statut_biogéographique!A"&amp;_xlfn.XMATCH("P",Statut_biogéographique!A:A,2,1),"P")</f>
        <v>P</v>
      </c>
      <c r="AK21388" s="4" t="str">
        <f>HYPERLINK("#Réglementation!A"&amp;_xlfn.XMATCH("V70P2",Réglementation!A:A,2,1),"V70P2")</f>
        <v>V70P2</v>
      </c>
      <c r="AM21388" s="4" t="s">
        <v>375</v>
      </c>
      <c r="AN21388" s="4" t="s">
        <v>375</v>
      </c>
      <c r="AO21388" s="4" t="s">
        <v>375</v>
      </c>
      <c r="AP21388" s="4" t="s">
        <v>376</v>
      </c>
      <c r="AR21388" s="4" t="s">
        <v>377</v>
      </c>
    </row>
    <row r="21389" spans="1:44" ht="45">
      <c r="A21389" s="4" t="s">
        <v>24364</v>
      </c>
      <c r="B21389" s="4">
        <v>125831</v>
      </c>
      <c r="D21389" s="5" t="s">
        <v>27652</v>
      </c>
      <c r="E21389" s="6" t="str">
        <f>HYPERLINK("https://inpn.mnhn.fr/espece/cd_nom/125831","Teesdalia nudicaulis (L.) W.T.Aiton, 1812")</f>
        <v>Teesdalia nudicaulis (L.) W.T.Aiton, 1812</v>
      </c>
      <c r="F21389" s="5" t="s">
        <v>27653</v>
      </c>
      <c r="Q21389" s="7" t="str">
        <f>HYPERLINK("#Liste_rouge!A"&amp;_xlfn.XMATCH("LC",Liste_rouge!A:A,2,1),"LC")</f>
        <v>LC</v>
      </c>
      <c r="T21389" s="7" t="str">
        <f>HYPERLINK("#Liste_rouge!A"&amp;_xlfn.XMATCH("LC",Liste_rouge!A:A,2,1),"LC")</f>
        <v>LC</v>
      </c>
      <c r="V21389" s="7" t="str">
        <f>HYPERLINK("#Liste_rouge!A"&amp;_xlfn.XMATCH("LC",Liste_rouge!A:A,2,1),"LC")</f>
        <v>LC</v>
      </c>
      <c r="AB21389" s="4" t="s">
        <v>26166</v>
      </c>
      <c r="AH21389" s="4" t="str">
        <f>HYPERLINK("#Statut_biogéographique!A"&amp;_xlfn.XMATCH("P",Statut_biogéographique!A:A,2,1),"P")</f>
        <v>P</v>
      </c>
      <c r="AM21389" s="4" t="s">
        <v>375</v>
      </c>
      <c r="AN21389" s="4" t="s">
        <v>375</v>
      </c>
      <c r="AO21389" s="4" t="s">
        <v>375</v>
      </c>
      <c r="AP21389" s="4" t="s">
        <v>376</v>
      </c>
      <c r="AR21389" s="4" t="s">
        <v>377</v>
      </c>
    </row>
    <row r="21390" spans="1:44" ht="30">
      <c r="A21390" s="4" t="s">
        <v>24364</v>
      </c>
      <c r="B21390" s="4">
        <v>125838</v>
      </c>
      <c r="D21390" s="5" t="s">
        <v>27654</v>
      </c>
      <c r="E21390" s="6" t="str">
        <f>HYPERLINK("https://inpn.mnhn.fr/espece/cd_nom/125838","Telekia speciosa (Schreb.) Baumg., 1816")</f>
        <v>Telekia speciosa (Schreb.) Baumg., 1816</v>
      </c>
      <c r="F21390" s="5" t="s">
        <v>27655</v>
      </c>
      <c r="Q21390" s="7" t="str">
        <f>HYPERLINK("#Liste_rouge!A"&amp;_xlfn.XMATCH("NA",Liste_rouge!A:A,2,1),"NA")</f>
        <v>NA</v>
      </c>
      <c r="T21390" s="7" t="str">
        <f>HYPERLINK("#Liste_rouge!A"&amp;_xlfn.XMATCH("NA",Liste_rouge!A:A,2,1),"NA")</f>
        <v>NA</v>
      </c>
      <c r="AH21390" s="4" t="str">
        <f>HYPERLINK("#Statut_biogéographique!A"&amp;_xlfn.XMATCH("I",Statut_biogéographique!A:A,2,1),"I")</f>
        <v>I</v>
      </c>
      <c r="AP21390" s="4" t="s">
        <v>376</v>
      </c>
      <c r="AR21390" s="4" t="s">
        <v>377</v>
      </c>
    </row>
    <row r="21391" spans="1:44">
      <c r="A21391" s="4" t="s">
        <v>24364</v>
      </c>
      <c r="B21391" s="4">
        <v>125842</v>
      </c>
      <c r="D21391" s="5">
        <v>125842</v>
      </c>
      <c r="E21391" s="6" t="str">
        <f>HYPERLINK("https://inpn.mnhn.fr/espece/cd_nom/125842","Telephium imperati L., 1753")</f>
        <v>Telephium imperati L., 1753</v>
      </c>
      <c r="F21391" s="5" t="s">
        <v>27656</v>
      </c>
      <c r="M21391" s="4" t="str">
        <f>HYPERLINK("#Réglementation!A"&amp;_xlfn.XMATCH("RV43",Réglementation!A:A,2,1),"RV43")</f>
        <v>RV43</v>
      </c>
      <c r="Q21391" s="7" t="str">
        <f>HYPERLINK("#Liste_rouge!A"&amp;_xlfn.XMATCH("LC",Liste_rouge!A:A,2,1),"LC")</f>
        <v>LC</v>
      </c>
      <c r="V21391" s="7" t="str">
        <f>HYPERLINK("#Liste_rouge!A"&amp;_xlfn.XMATCH("CR",Liste_rouge!A:A,2,1),"CR")</f>
        <v>CR</v>
      </c>
      <c r="W21391" s="4" t="str">
        <f>HYPERLINK("#Critères_liste_rouge!A$1","D")</f>
        <v>D</v>
      </c>
      <c r="X21391" s="5" t="s">
        <v>374</v>
      </c>
      <c r="AB21391" s="4" t="s">
        <v>93</v>
      </c>
      <c r="AH21391" s="4" t="str">
        <f>HYPERLINK("#Statut_biogéographique!A"&amp;_xlfn.XMATCH("P",Statut_biogéographique!A:A,2,1),"P")</f>
        <v>P</v>
      </c>
      <c r="AM21391" s="4" t="s">
        <v>375</v>
      </c>
      <c r="AN21391" s="4" t="s">
        <v>375</v>
      </c>
      <c r="AO21391" s="4" t="s">
        <v>375</v>
      </c>
      <c r="AP21391" s="4" t="s">
        <v>376</v>
      </c>
      <c r="AR21391" s="4" t="s">
        <v>377</v>
      </c>
    </row>
    <row r="21392" spans="1:44" ht="60">
      <c r="A21392" s="4" t="s">
        <v>24364</v>
      </c>
      <c r="B21392" s="4">
        <v>125894</v>
      </c>
      <c r="D21392" s="5" t="s">
        <v>27657</v>
      </c>
      <c r="E21392" s="6" t="str">
        <f>HYPERLINK("https://inpn.mnhn.fr/espece/cd_nom/125894","Tephroseris helenitis (L.) B.Nord., 1978")</f>
        <v>Tephroseris helenitis (L.) B.Nord., 1978</v>
      </c>
      <c r="F21392" s="5" t="s">
        <v>27658</v>
      </c>
      <c r="M21392" s="4" t="str">
        <f>HYPERLINK("#Réglementation!A"&amp;_xlfn.XMATCH("RV26",Réglementation!A:A,2,1),"RV26 - RV43")</f>
        <v>RV26 - RV43</v>
      </c>
      <c r="Q21392" s="7" t="str">
        <f>HYPERLINK("#Liste_rouge!A"&amp;_xlfn.XMATCH("LC",Liste_rouge!A:A,2,1),"LC")</f>
        <v>LC</v>
      </c>
      <c r="T21392" s="7" t="str">
        <f>HYPERLINK("#Liste_rouge!A"&amp;_xlfn.XMATCH("CR",Liste_rouge!A:A,2,1),"CR")</f>
        <v>CR</v>
      </c>
      <c r="U21392" s="4" t="str">
        <f>HYPERLINK("#Critères_liste_rouge!A$1","B1 B2ab(ii,iii,iv) C2a(i) D1")</f>
        <v>B1 B2ab(ii,iii,iv) C2a(i) D1</v>
      </c>
      <c r="V21392" s="7" t="str">
        <f>HYPERLINK("#Liste_rouge!A"&amp;_xlfn.XMATCH("LC",Liste_rouge!A:A,2,1),"LC")</f>
        <v>LC</v>
      </c>
      <c r="X21392" s="5" t="s">
        <v>374</v>
      </c>
      <c r="AB21392" s="4" t="s">
        <v>93</v>
      </c>
      <c r="AH21392" s="4" t="str">
        <f>HYPERLINK("#Statut_biogéographique!A"&amp;_xlfn.XMATCH("P",Statut_biogéographique!A:A,2,1),"P")</f>
        <v>P</v>
      </c>
      <c r="AM21392" s="4" t="s">
        <v>375</v>
      </c>
      <c r="AN21392" s="4" t="s">
        <v>375</v>
      </c>
      <c r="AO21392" s="4" t="s">
        <v>375</v>
      </c>
      <c r="AP21392" s="4" t="s">
        <v>376</v>
      </c>
      <c r="AR21392" s="4" t="s">
        <v>377</v>
      </c>
    </row>
    <row r="21393" spans="1:44" ht="45">
      <c r="A21393" s="4" t="s">
        <v>24364</v>
      </c>
      <c r="B21393" s="4">
        <v>125895</v>
      </c>
      <c r="D21393" s="5" t="s">
        <v>27659</v>
      </c>
      <c r="E21393" s="6" t="str">
        <f>HYPERLINK("https://inpn.mnhn.fr/espece/cd_nom/125895","Tephroseris integrifolia (L.) Holub, 1973")</f>
        <v>Tephroseris integrifolia (L.) Holub, 1973</v>
      </c>
      <c r="F21393" s="5" t="s">
        <v>27660</v>
      </c>
      <c r="Q21393" s="7" t="str">
        <f>HYPERLINK("#Liste_rouge!A"&amp;_xlfn.XMATCH("LC",Liste_rouge!A:A,2,1),"LC")</f>
        <v>LC</v>
      </c>
      <c r="V21393" s="7" t="str">
        <f>HYPERLINK("#Liste_rouge!A"&amp;_xlfn.XMATCH("VU",Liste_rouge!A:A,2,1),"VU")</f>
        <v>VU</v>
      </c>
      <c r="W21393" s="4" t="str">
        <f>HYPERLINK("#Critères_liste_rouge!A$1","D1")</f>
        <v>D1</v>
      </c>
      <c r="X21393" s="5" t="s">
        <v>374</v>
      </c>
      <c r="AB21393" s="4" t="s">
        <v>93</v>
      </c>
      <c r="AH21393" s="4" t="str">
        <f>HYPERLINK("#Statut_biogéographique!A"&amp;_xlfn.XMATCH("P",Statut_biogéographique!A:A,2,1),"P")</f>
        <v>P</v>
      </c>
      <c r="AM21393" s="4" t="s">
        <v>375</v>
      </c>
      <c r="AN21393" s="4" t="s">
        <v>375</v>
      </c>
      <c r="AO21393" s="4" t="s">
        <v>375</v>
      </c>
      <c r="AP21393" s="4" t="s">
        <v>376</v>
      </c>
      <c r="AR21393" s="4" t="s">
        <v>377</v>
      </c>
    </row>
    <row r="21394" spans="1:44" ht="30">
      <c r="A21394" s="4" t="s">
        <v>24364</v>
      </c>
      <c r="B21394" s="4">
        <v>125976</v>
      </c>
      <c r="D21394" s="5" t="s">
        <v>27661</v>
      </c>
      <c r="E21394" s="6" t="str">
        <f>HYPERLINK("https://inpn.mnhn.fr/espece/cd_nom/125976","Teucrium botrys L., 1753")</f>
        <v>Teucrium botrys L., 1753</v>
      </c>
      <c r="F21394" s="5" t="s">
        <v>27662</v>
      </c>
      <c r="P21394" s="7" t="str">
        <f>HYPERLINK("#Liste_rouge!A"&amp;_xlfn.XMATCH("LC",Liste_rouge!A:A,2,1),"LC")</f>
        <v>LC</v>
      </c>
      <c r="Q21394" s="7" t="str">
        <f>HYPERLINK("#Liste_rouge!A"&amp;_xlfn.XMATCH("LC",Liste_rouge!A:A,2,1),"LC")</f>
        <v>LC</v>
      </c>
      <c r="T21394" s="7" t="str">
        <f>HYPERLINK("#Liste_rouge!A"&amp;_xlfn.XMATCH("LC",Liste_rouge!A:A,2,1),"LC")</f>
        <v>LC</v>
      </c>
      <c r="V21394" s="7" t="str">
        <f>HYPERLINK("#Liste_rouge!A"&amp;_xlfn.XMATCH("LC",Liste_rouge!A:A,2,1),"LC")</f>
        <v>LC</v>
      </c>
      <c r="AH21394" s="4" t="str">
        <f>HYPERLINK("#Statut_biogéographique!A"&amp;_xlfn.XMATCH("P",Statut_biogéographique!A:A,2,1),"P")</f>
        <v>P</v>
      </c>
      <c r="AM21394" s="4" t="s">
        <v>375</v>
      </c>
      <c r="AN21394" s="4" t="s">
        <v>375</v>
      </c>
      <c r="AO21394" s="4" t="s">
        <v>375</v>
      </c>
      <c r="AP21394" s="4" t="s">
        <v>376</v>
      </c>
      <c r="AR21394" s="4" t="s">
        <v>377</v>
      </c>
    </row>
    <row r="21395" spans="1:44" ht="60">
      <c r="A21395" s="4" t="s">
        <v>24364</v>
      </c>
      <c r="B21395" s="4">
        <v>125981</v>
      </c>
      <c r="D21395" s="5" t="s">
        <v>27663</v>
      </c>
      <c r="E21395" s="6" t="str">
        <f>HYPERLINK("https://inpn.mnhn.fr/espece/cd_nom/125981","Teucrium chamaedrys L., 1753")</f>
        <v>Teucrium chamaedrys L., 1753</v>
      </c>
      <c r="F21395" s="5" t="s">
        <v>27664</v>
      </c>
      <c r="P21395" s="7" t="str">
        <f>HYPERLINK("#Liste_rouge!A"&amp;_xlfn.XMATCH("LC",Liste_rouge!A:A,2,1),"LC")</f>
        <v>LC</v>
      </c>
      <c r="Q21395" s="7" t="str">
        <f>HYPERLINK("#Liste_rouge!A"&amp;_xlfn.XMATCH("LC",Liste_rouge!A:A,2,1),"LC")</f>
        <v>LC</v>
      </c>
      <c r="T21395" s="7" t="str">
        <f>HYPERLINK("#Liste_rouge!A"&amp;_xlfn.XMATCH("DD",Liste_rouge!A:A,2,1),"DD (cd_nom 141558) - LC (cd_nom 125981)")</f>
        <v>DD (cd_nom 141558) - LC (cd_nom 125981)</v>
      </c>
      <c r="V21395" s="7" t="str">
        <f>HYPERLINK("#Liste_rouge!A"&amp;_xlfn.XMATCH("LC",Liste_rouge!A:A,2,1),"LC")</f>
        <v>LC</v>
      </c>
      <c r="AH21395" s="4" t="str">
        <f>HYPERLINK("#Statut_biogéographique!A"&amp;_xlfn.XMATCH("P",Statut_biogéographique!A:A,2,1),"P")</f>
        <v>P</v>
      </c>
      <c r="AM21395" s="4" t="s">
        <v>375</v>
      </c>
      <c r="AN21395" s="4" t="s">
        <v>375</v>
      </c>
      <c r="AO21395" s="4" t="s">
        <v>375</v>
      </c>
      <c r="AP21395" s="4" t="s">
        <v>376</v>
      </c>
      <c r="AR21395" s="4" t="s">
        <v>377</v>
      </c>
    </row>
    <row r="21396" spans="1:44" ht="30">
      <c r="A21396" s="4" t="s">
        <v>24364</v>
      </c>
      <c r="B21396" s="4">
        <v>125994</v>
      </c>
      <c r="D21396" s="5" t="s">
        <v>27665</v>
      </c>
      <c r="E21396" s="6" t="str">
        <f>HYPERLINK("https://inpn.mnhn.fr/espece/cd_nom/125994","Teucrium flavum L., 1753")</f>
        <v>Teucrium flavum L., 1753</v>
      </c>
      <c r="F21396" s="5" t="s">
        <v>27666</v>
      </c>
      <c r="Q21396" s="7" t="str">
        <f>HYPERLINK("#Liste_rouge!A"&amp;_xlfn.XMATCH("LC",Liste_rouge!A:A,2,1),"LC")</f>
        <v>LC</v>
      </c>
      <c r="T21396" s="7" t="str">
        <f>HYPERLINK("#Liste_rouge!A"&amp;_xlfn.XMATCH("NA",Liste_rouge!A:A,2,1),"NA")</f>
        <v>NA</v>
      </c>
      <c r="AH21396" s="4" t="str">
        <f>HYPERLINK("#Statut_biogéographique!A"&amp;_xlfn.XMATCH("P",Statut_biogéographique!A:A,2,1),"P")</f>
        <v>P</v>
      </c>
      <c r="AP21396" s="4" t="s">
        <v>376</v>
      </c>
      <c r="AR21396" s="4" t="s">
        <v>377</v>
      </c>
    </row>
    <row r="21397" spans="1:44" ht="45">
      <c r="A21397" s="4" t="s">
        <v>24364</v>
      </c>
      <c r="B21397" s="4">
        <v>126008</v>
      </c>
      <c r="D21397" s="5" t="s">
        <v>27667</v>
      </c>
      <c r="E21397" s="6" t="str">
        <f>HYPERLINK("https://inpn.mnhn.fr/espece/cd_nom/126008","Teucrium montanum L., 1753")</f>
        <v>Teucrium montanum L., 1753</v>
      </c>
      <c r="F21397" s="5" t="s">
        <v>27668</v>
      </c>
      <c r="P21397" s="7" t="str">
        <f>HYPERLINK("#Liste_rouge!A"&amp;_xlfn.XMATCH("LC",Liste_rouge!A:A,2,1),"LC")</f>
        <v>LC</v>
      </c>
      <c r="Q21397" s="7" t="str">
        <f>HYPERLINK("#Liste_rouge!A"&amp;_xlfn.XMATCH("LC",Liste_rouge!A:A,2,1),"LC")</f>
        <v>LC</v>
      </c>
      <c r="T21397" s="7" t="str">
        <f>HYPERLINK("#Liste_rouge!A"&amp;_xlfn.XMATCH("LC",Liste_rouge!A:A,2,1),"LC")</f>
        <v>LC</v>
      </c>
      <c r="V21397" s="7" t="str">
        <f>HYPERLINK("#Liste_rouge!A"&amp;_xlfn.XMATCH("LC",Liste_rouge!A:A,2,1),"LC")</f>
        <v>LC</v>
      </c>
      <c r="AB21397" s="4" t="s">
        <v>24719</v>
      </c>
      <c r="AH21397" s="4" t="str">
        <f>HYPERLINK("#Statut_biogéographique!A"&amp;_xlfn.XMATCH("P",Statut_biogéographique!A:A,2,1),"P")</f>
        <v>P</v>
      </c>
      <c r="AM21397" s="4" t="s">
        <v>375</v>
      </c>
      <c r="AN21397" s="4" t="s">
        <v>375</v>
      </c>
      <c r="AO21397" s="4" t="s">
        <v>375</v>
      </c>
      <c r="AP21397" s="4" t="s">
        <v>376</v>
      </c>
      <c r="AR21397" s="4" t="s">
        <v>377</v>
      </c>
    </row>
    <row r="21398" spans="1:44" ht="60">
      <c r="A21398" s="4" t="s">
        <v>24364</v>
      </c>
      <c r="B21398" s="4">
        <v>126034</v>
      </c>
      <c r="D21398" s="5" t="s">
        <v>27669</v>
      </c>
      <c r="E21398" s="6" t="str">
        <f>HYPERLINK("https://inpn.mnhn.fr/espece/cd_nom/126034","Teucrium scordium L., 1753")</f>
        <v>Teucrium scordium L., 1753</v>
      </c>
      <c r="F21398" s="5" t="s">
        <v>27670</v>
      </c>
      <c r="P21398" s="7" t="str">
        <f>HYPERLINK("#Liste_rouge!A"&amp;_xlfn.XMATCH("LC",Liste_rouge!A:A,2,1),"LC")</f>
        <v>LC</v>
      </c>
      <c r="Q21398" s="7" t="str">
        <f>HYPERLINK("#Liste_rouge!A"&amp;_xlfn.XMATCH("LC",Liste_rouge!A:A,2,1),"LC")</f>
        <v>LC</v>
      </c>
      <c r="T21398" s="7" t="str">
        <f>HYPERLINK("#Liste_rouge!A"&amp;_xlfn.XMATCH("LC",Liste_rouge!A:A,2,1),"LC (cd_nom 126034) - DD (cd_nom 141582)")</f>
        <v>LC (cd_nom 126034) - DD (cd_nom 141582)</v>
      </c>
      <c r="V21398" s="7" t="str">
        <f>HYPERLINK("#Liste_rouge!A"&amp;_xlfn.XMATCH("NT",Liste_rouge!A:A,2,1),"NT")</f>
        <v>NT</v>
      </c>
      <c r="W21398" s="4" t="str">
        <f>HYPERLINK("#Critères_liste_rouge!A$1","pr. B2b(iii)")</f>
        <v>pr. B2b(iii)</v>
      </c>
      <c r="AB21398" s="4" t="s">
        <v>27671</v>
      </c>
      <c r="AH21398" s="4" t="str">
        <f>HYPERLINK("#Statut_biogéographique!A"&amp;_xlfn.XMATCH("P",Statut_biogéographique!A:A,2,1),"P")</f>
        <v>P</v>
      </c>
      <c r="AM21398" s="4" t="s">
        <v>375</v>
      </c>
      <c r="AN21398" s="4" t="s">
        <v>375</v>
      </c>
      <c r="AO21398" s="4" t="s">
        <v>375</v>
      </c>
      <c r="AP21398" s="4" t="s">
        <v>376</v>
      </c>
      <c r="AR21398" s="4" t="s">
        <v>377</v>
      </c>
    </row>
    <row r="21399" spans="1:44" ht="30">
      <c r="A21399" s="4" t="s">
        <v>24364</v>
      </c>
      <c r="B21399" s="4">
        <v>126035</v>
      </c>
      <c r="D21399" s="5" t="s">
        <v>27672</v>
      </c>
      <c r="E21399" s="6" t="str">
        <f>HYPERLINK("https://inpn.mnhn.fr/espece/cd_nom/126035","Teucrium scorodonia L., 1753")</f>
        <v>Teucrium scorodonia L., 1753</v>
      </c>
      <c r="F21399" s="5" t="s">
        <v>27673</v>
      </c>
      <c r="P21399" s="7" t="str">
        <f>HYPERLINK("#Liste_rouge!A"&amp;_xlfn.XMATCH("LC",Liste_rouge!A:A,2,1),"LC")</f>
        <v>LC</v>
      </c>
      <c r="Q21399" s="7" t="str">
        <f>HYPERLINK("#Liste_rouge!A"&amp;_xlfn.XMATCH("LC",Liste_rouge!A:A,2,1),"LC")</f>
        <v>LC</v>
      </c>
      <c r="T21399" s="7" t="str">
        <f>HYPERLINK("#Liste_rouge!A"&amp;_xlfn.XMATCH("LC",Liste_rouge!A:A,2,1),"LC")</f>
        <v>LC</v>
      </c>
      <c r="V21399" s="7" t="str">
        <f>HYPERLINK("#Liste_rouge!A"&amp;_xlfn.XMATCH("LC",Liste_rouge!A:A,2,1),"LC")</f>
        <v>LC</v>
      </c>
      <c r="AH21399" s="4" t="str">
        <f>HYPERLINK("#Statut_biogéographique!A"&amp;_xlfn.XMATCH("P",Statut_biogéographique!A:A,2,1),"P")</f>
        <v>P</v>
      </c>
      <c r="AM21399" s="4" t="s">
        <v>375</v>
      </c>
      <c r="AN21399" s="4" t="s">
        <v>375</v>
      </c>
      <c r="AO21399" s="4" t="s">
        <v>375</v>
      </c>
      <c r="AP21399" s="4" t="s">
        <v>376</v>
      </c>
      <c r="AR21399" s="4" t="s">
        <v>377</v>
      </c>
    </row>
    <row r="21400" spans="1:44" ht="45">
      <c r="A21400" s="4" t="s">
        <v>24364</v>
      </c>
      <c r="B21400" s="4">
        <v>126078</v>
      </c>
      <c r="D21400" s="5" t="s">
        <v>27674</v>
      </c>
      <c r="E21400" s="6" t="str">
        <f>HYPERLINK("https://inpn.mnhn.fr/espece/cd_nom/126078","Thalictrum aquilegiifolium L., 1753")</f>
        <v>Thalictrum aquilegiifolium L., 1753</v>
      </c>
      <c r="F21400" s="5" t="s">
        <v>27675</v>
      </c>
      <c r="Q21400" s="7" t="str">
        <f>HYPERLINK("#Liste_rouge!A"&amp;_xlfn.XMATCH("LC",Liste_rouge!A:A,2,1),"LC")</f>
        <v>LC</v>
      </c>
      <c r="V21400" s="7" t="str">
        <f>HYPERLINK("#Liste_rouge!A"&amp;_xlfn.XMATCH("LC",Liste_rouge!A:A,2,1),"LC")</f>
        <v>LC</v>
      </c>
      <c r="AB21400" s="4" t="s">
        <v>24410</v>
      </c>
      <c r="AH21400" s="4" t="str">
        <f>HYPERLINK("#Statut_biogéographique!A"&amp;_xlfn.XMATCH("P",Statut_biogéographique!A:A,2,1),"P")</f>
        <v>P</v>
      </c>
      <c r="AM21400" s="4" t="s">
        <v>375</v>
      </c>
      <c r="AN21400" s="4" t="s">
        <v>375</v>
      </c>
      <c r="AO21400" s="4" t="s">
        <v>375</v>
      </c>
      <c r="AP21400" s="4" t="s">
        <v>376</v>
      </c>
      <c r="AR21400" s="4" t="s">
        <v>377</v>
      </c>
    </row>
    <row r="21401" spans="1:44" ht="90">
      <c r="A21401" s="4" t="s">
        <v>24364</v>
      </c>
      <c r="B21401" s="4">
        <v>126124</v>
      </c>
      <c r="D21401" s="5" t="s">
        <v>27676</v>
      </c>
      <c r="E21401" s="6" t="str">
        <f>HYPERLINK("https://inpn.mnhn.fr/espece/cd_nom/126124","Thalictrum flavum L., 1753")</f>
        <v>Thalictrum flavum L., 1753</v>
      </c>
      <c r="F21401" s="5" t="s">
        <v>27677</v>
      </c>
      <c r="Q21401" s="7" t="str">
        <f>HYPERLINK("#Liste_rouge!A"&amp;_xlfn.XMATCH("LC",Liste_rouge!A:A,2,1),"LC")</f>
        <v>LC</v>
      </c>
      <c r="T21401" s="7" t="str">
        <f>HYPERLINK("#Liste_rouge!A"&amp;_xlfn.XMATCH("LC",Liste_rouge!A:A,2,1),"LC")</f>
        <v>LC</v>
      </c>
      <c r="V21401" s="7" t="str">
        <f>HYPERLINK("#Liste_rouge!A"&amp;_xlfn.XMATCH("LC",Liste_rouge!A:A,2,1),"LC")</f>
        <v>LC</v>
      </c>
      <c r="AH21401" s="4" t="str">
        <f>HYPERLINK("#Statut_biogéographique!A"&amp;_xlfn.XMATCH("P",Statut_biogéographique!A:A,2,1),"P")</f>
        <v>P</v>
      </c>
      <c r="AM21401" s="4" t="s">
        <v>375</v>
      </c>
      <c r="AN21401" s="4" t="s">
        <v>375</v>
      </c>
      <c r="AO21401" s="4" t="s">
        <v>375</v>
      </c>
      <c r="AP21401" s="4" t="s">
        <v>376</v>
      </c>
      <c r="AR21401" s="4" t="s">
        <v>377</v>
      </c>
    </row>
    <row r="21402" spans="1:44" ht="75">
      <c r="A21402" s="4" t="s">
        <v>24364</v>
      </c>
      <c r="B21402" s="4">
        <v>126150</v>
      </c>
      <c r="D21402" s="5" t="s">
        <v>27678</v>
      </c>
      <c r="E21402" s="6" t="str">
        <f>HYPERLINK("https://inpn.mnhn.fr/espece/cd_nom/126150","Thalictrum lucidum L., 1753")</f>
        <v>Thalictrum lucidum L., 1753</v>
      </c>
      <c r="F21402" s="5" t="s">
        <v>27679</v>
      </c>
      <c r="Q21402" s="7" t="str">
        <f>HYPERLINK("#Liste_rouge!A"&amp;_xlfn.XMATCH("NT",Liste_rouge!A:A,2,1),"NT")</f>
        <v>NT</v>
      </c>
      <c r="AH21402" s="4" t="str">
        <f>HYPERLINK("#Statut_biogéographique!A"&amp;_xlfn.XMATCH("P",Statut_biogéographique!A:A,2,1),"P")</f>
        <v>P</v>
      </c>
      <c r="AP21402" s="4" t="s">
        <v>376</v>
      </c>
      <c r="AR21402" s="4" t="s">
        <v>377</v>
      </c>
    </row>
    <row r="21403" spans="1:44" ht="105">
      <c r="A21403" s="4" t="s">
        <v>24364</v>
      </c>
      <c r="B21403" s="4">
        <v>126159</v>
      </c>
      <c r="D21403" s="5" t="s">
        <v>27680</v>
      </c>
      <c r="E21403" s="6" t="str">
        <f>HYPERLINK("https://inpn.mnhn.fr/espece/cd_nom/126159","Thalictrum minus L., 1753")</f>
        <v>Thalictrum minus L., 1753</v>
      </c>
      <c r="F21403" s="5" t="s">
        <v>27681</v>
      </c>
      <c r="Q21403" s="7" t="str">
        <f>HYPERLINK("#Liste_rouge!A"&amp;_xlfn.XMATCH("LC",Liste_rouge!A:A,2,1),"LC")</f>
        <v>LC</v>
      </c>
      <c r="T21403" s="7" t="str">
        <f>HYPERLINK("#Liste_rouge!A"&amp;_xlfn.XMATCH("LC",Liste_rouge!A:A,2,1),"LC")</f>
        <v>LC</v>
      </c>
      <c r="V21403" s="7" t="str">
        <f>HYPERLINK("#Liste_rouge!A"&amp;_xlfn.XMATCH("LC",Liste_rouge!A:A,2,1),"LC")</f>
        <v>LC</v>
      </c>
      <c r="AH21403" s="4" t="str">
        <f>HYPERLINK("#Statut_biogéographique!A"&amp;_xlfn.XMATCH("P",Statut_biogéographique!A:A,2,1),"P")</f>
        <v>P</v>
      </c>
      <c r="AM21403" s="4" t="s">
        <v>375</v>
      </c>
      <c r="AN21403" s="4" t="s">
        <v>375</v>
      </c>
      <c r="AO21403" s="4" t="s">
        <v>375</v>
      </c>
      <c r="AP21403" s="4" t="s">
        <v>376</v>
      </c>
      <c r="AR21403" s="4" t="s">
        <v>377</v>
      </c>
    </row>
    <row r="21404" spans="1:44" ht="45">
      <c r="A21404" s="4" t="s">
        <v>24364</v>
      </c>
      <c r="B21404" s="4">
        <v>126213</v>
      </c>
      <c r="D21404" s="5" t="s">
        <v>27682</v>
      </c>
      <c r="E21404" s="6" t="str">
        <f>HYPERLINK("https://inpn.mnhn.fr/espece/cd_nom/126213","Thalictrum simplex L., 1767")</f>
        <v>Thalictrum simplex L., 1767</v>
      </c>
      <c r="F21404" s="5" t="s">
        <v>27683</v>
      </c>
      <c r="Q21404" s="7" t="str">
        <f>HYPERLINK("#Liste_rouge!A"&amp;_xlfn.XMATCH("LC",Liste_rouge!A:A,2,1),"LC")</f>
        <v>LC</v>
      </c>
      <c r="T21404" s="7" t="str">
        <f>HYPERLINK("#Liste_rouge!A"&amp;_xlfn.XMATCH("RE",Liste_rouge!A:A,2,1),"RE")</f>
        <v>RE</v>
      </c>
      <c r="V21404" s="7" t="str">
        <f>HYPERLINK("#Liste_rouge!A"&amp;_xlfn.XMATCH("DD",Liste_rouge!A:A,2,1),"DD")</f>
        <v>DD</v>
      </c>
      <c r="X21404" s="5" t="s">
        <v>374</v>
      </c>
      <c r="AB21404" s="4" t="s">
        <v>93</v>
      </c>
      <c r="AH21404" s="4" t="str">
        <f>HYPERLINK("#Statut_biogéographique!A"&amp;_xlfn.XMATCH("P",Statut_biogéographique!A:A,2,1),"P")</f>
        <v>P</v>
      </c>
      <c r="AM21404" s="4" t="s">
        <v>375</v>
      </c>
      <c r="AN21404" s="4" t="s">
        <v>375</v>
      </c>
      <c r="AO21404" s="4" t="s">
        <v>375</v>
      </c>
      <c r="AP21404" s="4" t="s">
        <v>376</v>
      </c>
      <c r="AR21404" s="4" t="s">
        <v>377</v>
      </c>
    </row>
    <row r="21405" spans="1:44">
      <c r="A21405" s="4" t="s">
        <v>24364</v>
      </c>
      <c r="B21405" s="4">
        <v>126215</v>
      </c>
      <c r="D21405" s="5" t="s">
        <v>27684</v>
      </c>
      <c r="E21405" s="6" t="str">
        <f>HYPERLINK("https://inpn.mnhn.fr/espece/cd_nom/126215","Thalictrum x spurium Timeroy ex Jord., 1847")</f>
        <v>Thalictrum x spurium Timeroy ex Jord., 1847</v>
      </c>
      <c r="F21405" s="5" t="s">
        <v>27685</v>
      </c>
      <c r="AH21405" s="4" t="str">
        <f>HYPERLINK("#Statut_biogéographique!A"&amp;_xlfn.XMATCH("P",Statut_biogéographique!A:A,2,1),"P")</f>
        <v>P</v>
      </c>
      <c r="AP21405" s="4" t="s">
        <v>376</v>
      </c>
      <c r="AR21405" s="4" t="s">
        <v>377</v>
      </c>
    </row>
    <row r="21406" spans="1:44" ht="60">
      <c r="A21406" s="4" t="s">
        <v>24364</v>
      </c>
      <c r="B21406" s="4">
        <v>126276</v>
      </c>
      <c r="D21406" s="5" t="s">
        <v>27686</v>
      </c>
      <c r="E21406" s="6" t="str">
        <f>HYPERLINK("https://inpn.mnhn.fr/espece/cd_nom/126276","Thelypteris palustris Schott, 1834")</f>
        <v>Thelypteris palustris Schott, 1834</v>
      </c>
      <c r="F21406" s="5" t="s">
        <v>27687</v>
      </c>
      <c r="M21406" s="4" t="str">
        <f>HYPERLINK("#Réglementation!A"&amp;_xlfn.XMATCH("RV26",Réglementation!A:A,2,1),"RV26 - RV43")</f>
        <v>RV26 - RV43</v>
      </c>
      <c r="O21406" s="7" t="str">
        <f>HYPERLINK("#Liste_rouge!A"&amp;_xlfn.XMATCH("LC",Liste_rouge!A:A,2,1),"LC")</f>
        <v>LC</v>
      </c>
      <c r="P21406" s="7" t="str">
        <f>HYPERLINK("#Liste_rouge!A"&amp;_xlfn.XMATCH("LC",Liste_rouge!A:A,2,1),"LC")</f>
        <v>LC</v>
      </c>
      <c r="Q21406" s="7" t="str">
        <f>HYPERLINK("#Liste_rouge!A"&amp;_xlfn.XMATCH("LC",Liste_rouge!A:A,2,1),"LC")</f>
        <v>LC</v>
      </c>
      <c r="T21406" s="7" t="str">
        <f>HYPERLINK("#Liste_rouge!A"&amp;_xlfn.XMATCH("VU",Liste_rouge!A:A,2,1),"VU")</f>
        <v>VU</v>
      </c>
      <c r="U21406" s="4" t="str">
        <f>HYPERLINK("#Critères_liste_rouge!A$1","C2a(i) D2")</f>
        <v>C2a(i) D2</v>
      </c>
      <c r="V21406" s="7" t="str">
        <f>HYPERLINK("#Liste_rouge!A"&amp;_xlfn.XMATCH("NT",Liste_rouge!A:A,2,1),"NT")</f>
        <v>NT</v>
      </c>
      <c r="W21406" s="4" t="str">
        <f>HYPERLINK("#Critères_liste_rouge!A$1","pr. B2b(iii)")</f>
        <v>pr. B2b(iii)</v>
      </c>
      <c r="X21406" s="5" t="s">
        <v>374</v>
      </c>
      <c r="AB21406" s="4" t="s">
        <v>93</v>
      </c>
      <c r="AH21406" s="4" t="str">
        <f>HYPERLINK("#Statut_biogéographique!A"&amp;_xlfn.XMATCH("P",Statut_biogéographique!A:A,2,1),"P")</f>
        <v>P</v>
      </c>
      <c r="AM21406" s="4" t="s">
        <v>375</v>
      </c>
      <c r="AN21406" s="4" t="s">
        <v>375</v>
      </c>
      <c r="AO21406" s="4" t="s">
        <v>375</v>
      </c>
      <c r="AP21406" s="4" t="s">
        <v>376</v>
      </c>
      <c r="AR21406" s="4" t="s">
        <v>377</v>
      </c>
    </row>
    <row r="21407" spans="1:44" ht="30">
      <c r="A21407" s="4" t="s">
        <v>24364</v>
      </c>
      <c r="B21407" s="4">
        <v>126287</v>
      </c>
      <c r="D21407" s="5" t="s">
        <v>27688</v>
      </c>
      <c r="E21407" s="6" t="str">
        <f>HYPERLINK("https://inpn.mnhn.fr/espece/cd_nom/126287","Thesium alpinum L., 1753")</f>
        <v>Thesium alpinum L., 1753</v>
      </c>
      <c r="F21407" s="5" t="s">
        <v>27689</v>
      </c>
      <c r="Q21407" s="7" t="str">
        <f>HYPERLINK("#Liste_rouge!A"&amp;_xlfn.XMATCH("LC",Liste_rouge!A:A,2,1),"LC")</f>
        <v>LC</v>
      </c>
      <c r="T21407" s="7" t="str">
        <f>HYPERLINK("#Liste_rouge!A"&amp;_xlfn.XMATCH("EN",Liste_rouge!A:A,2,1),"EN")</f>
        <v>EN</v>
      </c>
      <c r="U21407" s="4" t="str">
        <f>HYPERLINK("#Critères_liste_rouge!A$1","D1")</f>
        <v>D1</v>
      </c>
      <c r="V21407" s="7" t="str">
        <f>HYPERLINK("#Liste_rouge!A"&amp;_xlfn.XMATCH("LC",Liste_rouge!A:A,2,1),"LC")</f>
        <v>LC</v>
      </c>
      <c r="AB21407" s="4" t="s">
        <v>27690</v>
      </c>
      <c r="AH21407" s="4" t="str">
        <f>HYPERLINK("#Statut_biogéographique!A"&amp;_xlfn.XMATCH("P",Statut_biogéographique!A:A,2,1),"P")</f>
        <v>P</v>
      </c>
      <c r="AM21407" s="4" t="s">
        <v>375</v>
      </c>
      <c r="AN21407" s="4" t="s">
        <v>375</v>
      </c>
      <c r="AO21407" s="4" t="s">
        <v>375</v>
      </c>
      <c r="AP21407" s="4" t="s">
        <v>376</v>
      </c>
      <c r="AR21407" s="4" t="s">
        <v>377</v>
      </c>
    </row>
    <row r="21408" spans="1:44">
      <c r="A21408" s="4" t="s">
        <v>24364</v>
      </c>
      <c r="B21408" s="4">
        <v>126298</v>
      </c>
      <c r="D21408" s="5" t="s">
        <v>27691</v>
      </c>
      <c r="E21408" s="6" t="str">
        <f>HYPERLINK("https://inpn.mnhn.fr/espece/cd_nom/126298","Thesium humifusum DC., 1815")</f>
        <v>Thesium humifusum DC., 1815</v>
      </c>
      <c r="F21408" s="5" t="s">
        <v>27692</v>
      </c>
      <c r="Q21408" s="7" t="str">
        <f>HYPERLINK("#Liste_rouge!A"&amp;_xlfn.XMATCH("LC",Liste_rouge!A:A,2,1),"LC")</f>
        <v>LC</v>
      </c>
      <c r="T21408" s="7" t="str">
        <f>HYPERLINK("#Liste_rouge!A"&amp;_xlfn.XMATCH("LC",Liste_rouge!A:A,2,1),"LC")</f>
        <v>LC</v>
      </c>
      <c r="V21408" s="7" t="str">
        <f>HYPERLINK("#Liste_rouge!A"&amp;_xlfn.XMATCH("NT",Liste_rouge!A:A,2,1),"NT")</f>
        <v>NT</v>
      </c>
      <c r="W21408" s="4" t="str">
        <f>HYPERLINK("#Critères_liste_rouge!A$1","pr. B2b(iii)")</f>
        <v>pr. B2b(iii)</v>
      </c>
      <c r="AB21408" s="4" t="s">
        <v>25019</v>
      </c>
      <c r="AH21408" s="4" t="str">
        <f>HYPERLINK("#Statut_biogéographique!A"&amp;_xlfn.XMATCH("P",Statut_biogéographique!A:A,2,1),"P")</f>
        <v>P</v>
      </c>
      <c r="AM21408" s="4" t="s">
        <v>375</v>
      </c>
      <c r="AN21408" s="4" t="s">
        <v>375</v>
      </c>
      <c r="AO21408" s="4" t="s">
        <v>375</v>
      </c>
      <c r="AP21408" s="4" t="s">
        <v>376</v>
      </c>
      <c r="AR21408" s="4" t="s">
        <v>377</v>
      </c>
    </row>
    <row r="21409" spans="1:44" ht="30">
      <c r="A21409" s="4" t="s">
        <v>24364</v>
      </c>
      <c r="B21409" s="4">
        <v>126305</v>
      </c>
      <c r="D21409" s="5" t="s">
        <v>27693</v>
      </c>
      <c r="E21409" s="6" t="str">
        <f>HYPERLINK("https://inpn.mnhn.fr/espece/cd_nom/126305","Thesium linophyllon L., 1753")</f>
        <v>Thesium linophyllon L., 1753</v>
      </c>
      <c r="F21409" s="5" t="s">
        <v>27694</v>
      </c>
      <c r="M21409" s="4" t="str">
        <f>HYPERLINK("#Réglementation!A"&amp;_xlfn.XMATCH("RV43",Réglementation!A:A,2,1),"RV43")</f>
        <v>RV43</v>
      </c>
      <c r="Q21409" s="7" t="str">
        <f>HYPERLINK("#Liste_rouge!A"&amp;_xlfn.XMATCH("LC",Liste_rouge!A:A,2,1),"LC")</f>
        <v>LC</v>
      </c>
      <c r="V21409" s="7" t="str">
        <f>HYPERLINK("#Liste_rouge!A"&amp;_xlfn.XMATCH("NT",Liste_rouge!A:A,2,1),"NT")</f>
        <v>NT</v>
      </c>
      <c r="W21409" s="4" t="str">
        <f>HYPERLINK("#Critères_liste_rouge!A$1","pr. B2b(iii)")</f>
        <v>pr. B2b(iii)</v>
      </c>
      <c r="AH21409" s="4" t="str">
        <f>HYPERLINK("#Statut_biogéographique!A"&amp;_xlfn.XMATCH("P",Statut_biogéographique!A:A,2,1),"P")</f>
        <v>P</v>
      </c>
      <c r="AP21409" s="4" t="s">
        <v>376</v>
      </c>
      <c r="AR21409" s="4" t="s">
        <v>377</v>
      </c>
    </row>
    <row r="21410" spans="1:44" ht="30">
      <c r="A21410" s="4" t="s">
        <v>24364</v>
      </c>
      <c r="B21410" s="4">
        <v>126310</v>
      </c>
      <c r="D21410" s="5" t="s">
        <v>27695</v>
      </c>
      <c r="E21410" s="6" t="str">
        <f>HYPERLINK("https://inpn.mnhn.fr/espece/cd_nom/126310","Thesium pyrenaicum Pourr., 1788")</f>
        <v>Thesium pyrenaicum Pourr., 1788</v>
      </c>
      <c r="F21410" s="5" t="s">
        <v>27696</v>
      </c>
      <c r="Q21410" s="7" t="str">
        <f>HYPERLINK("#Liste_rouge!A"&amp;_xlfn.XMATCH("LC",Liste_rouge!A:A,2,1),"LC")</f>
        <v>LC</v>
      </c>
      <c r="T21410" s="7" t="str">
        <f>HYPERLINK("#Liste_rouge!A"&amp;_xlfn.XMATCH("RE",Liste_rouge!A:A,2,1),"RE")</f>
        <v>RE</v>
      </c>
      <c r="V21410" s="7" t="str">
        <f>HYPERLINK("#Liste_rouge!A"&amp;_xlfn.XMATCH("LC",Liste_rouge!A:A,2,1),"LC")</f>
        <v>LC</v>
      </c>
      <c r="AB21410" s="4" t="s">
        <v>24410</v>
      </c>
      <c r="AH21410" s="4" t="str">
        <f>HYPERLINK("#Statut_biogéographique!A"&amp;_xlfn.XMATCH("P",Statut_biogéographique!A:A,2,1),"P")</f>
        <v>P</v>
      </c>
      <c r="AM21410" s="4" t="s">
        <v>375</v>
      </c>
      <c r="AN21410" s="4" t="s">
        <v>375</v>
      </c>
      <c r="AO21410" s="4" t="s">
        <v>375</v>
      </c>
      <c r="AP21410" s="4" t="s">
        <v>376</v>
      </c>
      <c r="AR21410" s="4" t="s">
        <v>377</v>
      </c>
    </row>
    <row r="21411" spans="1:44">
      <c r="A21411" s="4" t="s">
        <v>24364</v>
      </c>
      <c r="B21411" s="4">
        <v>126322</v>
      </c>
      <c r="D21411" s="5" t="s">
        <v>27697</v>
      </c>
      <c r="E21411" s="6" t="str">
        <f>HYPERLINK("https://inpn.mnhn.fr/espece/cd_nom/126322","Thlaspi alliaceum L., 1753")</f>
        <v>Thlaspi alliaceum L., 1753</v>
      </c>
      <c r="F21411" s="5" t="s">
        <v>27698</v>
      </c>
      <c r="Q21411" s="7" t="str">
        <f>HYPERLINK("#Liste_rouge!A"&amp;_xlfn.XMATCH("LC",Liste_rouge!A:A,2,1),"LC")</f>
        <v>LC</v>
      </c>
      <c r="T21411" s="7" t="str">
        <f>HYPERLINK("#Liste_rouge!A"&amp;_xlfn.XMATCH("NA",Liste_rouge!A:A,2,1),"NA")</f>
        <v>NA</v>
      </c>
      <c r="U21411" s="4" t="str">
        <f>HYPERLINK("#Critères_liste_rouge!A$1","VU (D2) - 1")</f>
        <v>VU (D2) - 1</v>
      </c>
      <c r="AH21411" s="4" t="str">
        <f>HYPERLINK("#Statut_biogéographique!A"&amp;_xlfn.XMATCH("P",Statut_biogéographique!A:A,2,1),"P")</f>
        <v>P</v>
      </c>
      <c r="AM21411" s="4" t="s">
        <v>375</v>
      </c>
      <c r="AN21411" s="4" t="s">
        <v>375</v>
      </c>
      <c r="AO21411" s="4" t="s">
        <v>375</v>
      </c>
      <c r="AP21411" s="4" t="s">
        <v>376</v>
      </c>
      <c r="AR21411" s="4" t="s">
        <v>377</v>
      </c>
    </row>
    <row r="21412" spans="1:44" ht="30">
      <c r="A21412" s="4" t="s">
        <v>24364</v>
      </c>
      <c r="B21412" s="4">
        <v>126332</v>
      </c>
      <c r="D21412" s="5" t="s">
        <v>27699</v>
      </c>
      <c r="E21412" s="6" t="str">
        <f>HYPERLINK("https://inpn.mnhn.fr/espece/cd_nom/126332","Thlaspi arvense L., 1753")</f>
        <v>Thlaspi arvense L., 1753</v>
      </c>
      <c r="F21412" s="5" t="s">
        <v>27700</v>
      </c>
      <c r="Q21412" s="7" t="str">
        <f>HYPERLINK("#Liste_rouge!A"&amp;_xlfn.XMATCH("LC",Liste_rouge!A:A,2,1),"LC")</f>
        <v>LC</v>
      </c>
      <c r="T21412" s="7" t="str">
        <f>HYPERLINK("#Liste_rouge!A"&amp;_xlfn.XMATCH("EN",Liste_rouge!A:A,2,1),"EN")</f>
        <v>EN</v>
      </c>
      <c r="U21412" s="4" t="str">
        <f>HYPERLINK("#Critères_liste_rouge!A$1","B2ac(iii,iv)")</f>
        <v>B2ac(iii,iv)</v>
      </c>
      <c r="V21412" s="7" t="str">
        <f>HYPERLINK("#Liste_rouge!A"&amp;_xlfn.XMATCH("LC",Liste_rouge!A:A,2,1),"LC")</f>
        <v>LC</v>
      </c>
      <c r="AB21412" s="4" t="s">
        <v>24803</v>
      </c>
      <c r="AH21412" s="4" t="str">
        <f>HYPERLINK("#Statut_biogéographique!A"&amp;_xlfn.XMATCH("P",Statut_biogéographique!A:A,2,1),"P")</f>
        <v>P</v>
      </c>
      <c r="AI21412" s="8" t="s">
        <v>27701</v>
      </c>
      <c r="AJ21412" s="4" t="s">
        <v>12248</v>
      </c>
      <c r="AM21412" s="4" t="s">
        <v>375</v>
      </c>
      <c r="AN21412" s="4" t="s">
        <v>375</v>
      </c>
      <c r="AO21412" s="4" t="s">
        <v>375</v>
      </c>
      <c r="AP21412" s="4" t="s">
        <v>376</v>
      </c>
      <c r="AR21412" s="4" t="s">
        <v>377</v>
      </c>
    </row>
    <row r="21413" spans="1:44" ht="30">
      <c r="A21413" s="4" t="s">
        <v>24364</v>
      </c>
      <c r="B21413" s="4">
        <v>126449</v>
      </c>
      <c r="D21413" s="5" t="s">
        <v>27702</v>
      </c>
      <c r="E21413" s="6" t="str">
        <f>HYPERLINK("https://inpn.mnhn.fr/espece/cd_nom/126449","Thuja occidentalis L., 1753")</f>
        <v>Thuja occidentalis L., 1753</v>
      </c>
      <c r="F21413" s="5" t="s">
        <v>27703</v>
      </c>
      <c r="O21413" s="7" t="str">
        <f>HYPERLINK("#Liste_rouge!A"&amp;_xlfn.XMATCH("LC",Liste_rouge!A:A,2,1),"LC")</f>
        <v>LC</v>
      </c>
      <c r="Q21413" s="7" t="str">
        <f>HYPERLINK("#Liste_rouge!A"&amp;_xlfn.XMATCH("NA",Liste_rouge!A:A,2,1),"NA")</f>
        <v>NA</v>
      </c>
      <c r="T21413" s="7" t="str">
        <f>HYPERLINK("#Liste_rouge!A"&amp;_xlfn.XMATCH("NA",Liste_rouge!A:A,2,1),"NA")</f>
        <v>NA</v>
      </c>
      <c r="AH21413" s="4" t="str">
        <f>HYPERLINK("#Statut_biogéographique!A"&amp;_xlfn.XMATCH("M",Statut_biogéographique!A:A,2,1),"M")</f>
        <v>M</v>
      </c>
      <c r="AP21413" s="4" t="s">
        <v>376</v>
      </c>
      <c r="AR21413" s="4" t="s">
        <v>377</v>
      </c>
    </row>
    <row r="21414" spans="1:44">
      <c r="A21414" s="4" t="s">
        <v>24364</v>
      </c>
      <c r="B21414" s="4">
        <v>126451</v>
      </c>
      <c r="D21414" s="5" t="s">
        <v>27704</v>
      </c>
      <c r="E21414" s="6" t="str">
        <f>HYPERLINK("https://inpn.mnhn.fr/espece/cd_nom/126451","Thuja plicata Donn ex D.Don, 1824")</f>
        <v>Thuja plicata Donn ex D.Don, 1824</v>
      </c>
      <c r="F21414" s="5" t="s">
        <v>27705</v>
      </c>
      <c r="O21414" s="7" t="str">
        <f>HYPERLINK("#Liste_rouge!A"&amp;_xlfn.XMATCH("LC",Liste_rouge!A:A,2,1),"LC")</f>
        <v>LC</v>
      </c>
      <c r="Q21414" s="7" t="str">
        <f>HYPERLINK("#Liste_rouge!A"&amp;_xlfn.XMATCH("NA",Liste_rouge!A:A,2,1),"NA")</f>
        <v>NA</v>
      </c>
      <c r="T21414" s="7" t="str">
        <f>HYPERLINK("#Liste_rouge!A"&amp;_xlfn.XMATCH("NA",Liste_rouge!A:A,2,1),"NA")</f>
        <v>NA</v>
      </c>
      <c r="AH21414" s="4" t="str">
        <f>HYPERLINK("#Statut_biogéographique!A"&amp;_xlfn.XMATCH("M",Statut_biogéographique!A:A,2,1),"M")</f>
        <v>M</v>
      </c>
      <c r="AP21414" s="4" t="s">
        <v>376</v>
      </c>
      <c r="AR21414" s="4" t="s">
        <v>377</v>
      </c>
    </row>
    <row r="21415" spans="1:44" ht="30">
      <c r="A21415" s="4" t="s">
        <v>24364</v>
      </c>
      <c r="B21415" s="4">
        <v>126474</v>
      </c>
      <c r="D21415" s="5" t="s">
        <v>27706</v>
      </c>
      <c r="E21415" s="6" t="str">
        <f>HYPERLINK("https://inpn.mnhn.fr/espece/cd_nom/126474","Thymelaea passerina (L.) Coss. &amp; Germ., 1861")</f>
        <v>Thymelaea passerina (L.) Coss. &amp; Germ., 1861</v>
      </c>
      <c r="F21415" s="5" t="s">
        <v>27707</v>
      </c>
      <c r="Q21415" s="7" t="str">
        <f>HYPERLINK("#Liste_rouge!A"&amp;_xlfn.XMATCH("LC",Liste_rouge!A:A,2,1),"LC")</f>
        <v>LC</v>
      </c>
      <c r="T21415" s="7" t="str">
        <f>HYPERLINK("#Liste_rouge!A"&amp;_xlfn.XMATCH("EN",Liste_rouge!A:A,2,1),"EN")</f>
        <v>EN</v>
      </c>
      <c r="U21415" s="4" t="str">
        <f>HYPERLINK("#Critères_liste_rouge!A$1","B2ab(iii,iv,v)c(iii,iv)")</f>
        <v>B2ab(iii,iv,v)c(iii,iv)</v>
      </c>
      <c r="V21415" s="7" t="str">
        <f>HYPERLINK("#Liste_rouge!A"&amp;_xlfn.XMATCH("NT",Liste_rouge!A:A,2,1),"NT")</f>
        <v>NT</v>
      </c>
      <c r="W21415" s="4" t="str">
        <f>HYPERLINK("#Critères_liste_rouge!A$1","pr. B2b(iii)")</f>
        <v>pr. B2b(iii)</v>
      </c>
      <c r="AH21415" s="4" t="str">
        <f>HYPERLINK("#Statut_biogéographique!A"&amp;_xlfn.XMATCH("P",Statut_biogéographique!A:A,2,1),"P")</f>
        <v>P</v>
      </c>
      <c r="AI21415" s="8" t="s">
        <v>27708</v>
      </c>
      <c r="AJ21415" s="4" t="s">
        <v>12248</v>
      </c>
      <c r="AP21415" s="4" t="s">
        <v>376</v>
      </c>
      <c r="AR21415" s="4" t="s">
        <v>377</v>
      </c>
    </row>
    <row r="21416" spans="1:44" ht="45">
      <c r="A21416" s="4" t="s">
        <v>24364</v>
      </c>
      <c r="B21416" s="4">
        <v>126515</v>
      </c>
      <c r="D21416" s="5" t="s">
        <v>27709</v>
      </c>
      <c r="E21416" s="6" t="str">
        <f>HYPERLINK("https://inpn.mnhn.fr/espece/cd_nom/126515","Thymus drucei Ronniger, 1924")</f>
        <v>Thymus drucei Ronniger, 1924</v>
      </c>
      <c r="F21416" s="5" t="s">
        <v>27710</v>
      </c>
      <c r="Q21416" s="7" t="str">
        <f>HYPERLINK("#Liste_rouge!A"&amp;_xlfn.XMATCH("LC",Liste_rouge!A:A,2,1),"LC")</f>
        <v>LC</v>
      </c>
      <c r="T21416" s="7" t="str">
        <f>HYPERLINK("#Liste_rouge!A"&amp;_xlfn.XMATCH("DD",Liste_rouge!A:A,2,1),"DD")</f>
        <v>DD</v>
      </c>
      <c r="AH21416" s="4" t="str">
        <f>HYPERLINK("#Statut_biogéographique!A"&amp;_xlfn.XMATCH("P",Statut_biogéographique!A:A,2,1),"P")</f>
        <v>P</v>
      </c>
      <c r="AM21416" s="4" t="s">
        <v>375</v>
      </c>
      <c r="AN21416" s="4" t="s">
        <v>375</v>
      </c>
      <c r="AO21416" s="4" t="s">
        <v>375</v>
      </c>
      <c r="AP21416" s="4" t="s">
        <v>376</v>
      </c>
      <c r="AR21416" s="4" t="s">
        <v>377</v>
      </c>
    </row>
    <row r="21417" spans="1:44" ht="60">
      <c r="A21417" s="4" t="s">
        <v>24364</v>
      </c>
      <c r="B21417" s="4">
        <v>126563</v>
      </c>
      <c r="D21417" s="5" t="s">
        <v>27711</v>
      </c>
      <c r="E21417" s="6" t="str">
        <f>HYPERLINK("https://inpn.mnhn.fr/espece/cd_nom/126563","Thymus polytrichus A.Kern. ex Borbás, 1890")</f>
        <v>Thymus polytrichus A.Kern. ex Borbás, 1890</v>
      </c>
      <c r="F21417" s="5" t="s">
        <v>27712</v>
      </c>
      <c r="Q21417" s="7" t="str">
        <f>HYPERLINK("#Liste_rouge!A"&amp;_xlfn.XMATCH("LC",Liste_rouge!A:A,2,1),"LC")</f>
        <v>LC</v>
      </c>
      <c r="T21417" s="7" t="str">
        <f>HYPERLINK("#Liste_rouge!A"&amp;_xlfn.XMATCH("NT",Liste_rouge!A:A,2,1),"NT")</f>
        <v>NT</v>
      </c>
      <c r="U21417" s="4" t="str">
        <f>HYPERLINK("#Critères_liste_rouge!A$1","pr. B2a &amp; D2")</f>
        <v>pr. B2a &amp; D2</v>
      </c>
      <c r="V21417" s="7" t="str">
        <f>HYPERLINK("#Liste_rouge!A"&amp;_xlfn.XMATCH("DD",Liste_rouge!A:A,2,1),"DD")</f>
        <v>DD</v>
      </c>
      <c r="AH21417" s="4" t="str">
        <f>HYPERLINK("#Statut_biogéographique!A"&amp;_xlfn.XMATCH("P",Statut_biogéographique!A:A,2,1),"P")</f>
        <v>P</v>
      </c>
      <c r="AM21417" s="4" t="s">
        <v>375</v>
      </c>
      <c r="AN21417" s="4" t="s">
        <v>375</v>
      </c>
      <c r="AO21417" s="4" t="s">
        <v>375</v>
      </c>
      <c r="AP21417" s="4" t="s">
        <v>376</v>
      </c>
      <c r="AR21417" s="4" t="s">
        <v>377</v>
      </c>
    </row>
    <row r="21418" spans="1:44" ht="30">
      <c r="A21418" s="4" t="s">
        <v>24364</v>
      </c>
      <c r="B21418" s="4">
        <v>126564</v>
      </c>
      <c r="D21418" s="5" t="s">
        <v>27713</v>
      </c>
      <c r="E21418" s="6" t="str">
        <f>HYPERLINK("https://inpn.mnhn.fr/espece/cd_nom/126564","Thymus praecox Opiz, 1824")</f>
        <v>Thymus praecox Opiz, 1824</v>
      </c>
      <c r="F21418" s="5" t="s">
        <v>27714</v>
      </c>
      <c r="T21418" s="7" t="str">
        <f>HYPERLINK("#Liste_rouge!A"&amp;_xlfn.XMATCH("LC",Liste_rouge!A:A,2,1),"LC")</f>
        <v>LC</v>
      </c>
      <c r="V21418" s="7" t="str">
        <f>HYPERLINK("#Liste_rouge!A"&amp;_xlfn.XMATCH("LC",Liste_rouge!A:A,2,1),"LC")</f>
        <v>LC</v>
      </c>
      <c r="AH21418" s="4" t="str">
        <f>HYPERLINK("#Statut_biogéographique!A"&amp;_xlfn.XMATCH("Q",Statut_biogéographique!A:A,2,1),"Q")</f>
        <v>Q</v>
      </c>
      <c r="AM21418" s="4" t="s">
        <v>375</v>
      </c>
      <c r="AN21418" s="4" t="s">
        <v>375</v>
      </c>
      <c r="AO21418" s="4" t="s">
        <v>375</v>
      </c>
      <c r="AP21418" s="4" t="s">
        <v>376</v>
      </c>
      <c r="AR21418" s="4" t="s">
        <v>377</v>
      </c>
    </row>
    <row r="21419" spans="1:44" ht="45">
      <c r="A21419" s="4" t="s">
        <v>24364</v>
      </c>
      <c r="B21419" s="4">
        <v>126565</v>
      </c>
      <c r="D21419" s="5" t="s">
        <v>27715</v>
      </c>
      <c r="E21419" s="6" t="str">
        <f>HYPERLINK("https://inpn.mnhn.fr/espece/cd_nom/126565","Thymus pseudochamaedrys (Heinr.Braun) Ronniger, 1944")</f>
        <v>Thymus pseudochamaedrys (Heinr.Braun) Ronniger, 1944</v>
      </c>
      <c r="F21419" s="5" t="s">
        <v>27716</v>
      </c>
      <c r="Q21419" s="7" t="str">
        <f>HYPERLINK("#Liste_rouge!A"&amp;_xlfn.XMATCH("DD",Liste_rouge!A:A,2,1),"DD")</f>
        <v>DD</v>
      </c>
      <c r="V21419" s="7" t="str">
        <f>HYPERLINK("#Liste_rouge!A"&amp;_xlfn.XMATCH("DD",Liste_rouge!A:A,2,1),"DD")</f>
        <v>DD</v>
      </c>
      <c r="AH21419" s="4" t="str">
        <f>HYPERLINK("#Statut_biogéographique!A"&amp;_xlfn.XMATCH("P",Statut_biogéographique!A:A,2,1),"P")</f>
        <v>P</v>
      </c>
      <c r="AM21419" s="4" t="s">
        <v>375</v>
      </c>
      <c r="AN21419" s="4" t="s">
        <v>375</v>
      </c>
      <c r="AO21419" s="4" t="s">
        <v>375</v>
      </c>
      <c r="AP21419" s="4" t="s">
        <v>376</v>
      </c>
      <c r="AR21419" s="4" t="s">
        <v>377</v>
      </c>
    </row>
    <row r="21420" spans="1:44" ht="75">
      <c r="A21420" s="4" t="s">
        <v>24364</v>
      </c>
      <c r="B21420" s="4">
        <v>126566</v>
      </c>
      <c r="D21420" s="5" t="s">
        <v>27717</v>
      </c>
      <c r="E21420" s="6" t="str">
        <f>HYPERLINK("https://inpn.mnhn.fr/espece/cd_nom/126566","Thymus pulegioides L., 1753")</f>
        <v>Thymus pulegioides L., 1753</v>
      </c>
      <c r="F21420" s="5" t="s">
        <v>27718</v>
      </c>
      <c r="Q21420" s="7" t="str">
        <f>HYPERLINK("#Liste_rouge!A"&amp;_xlfn.XMATCH("LC",Liste_rouge!A:A,2,1),"LC")</f>
        <v>LC</v>
      </c>
      <c r="T21420" s="7" t="str">
        <f>HYPERLINK("#Liste_rouge!A"&amp;_xlfn.XMATCH("NE",Liste_rouge!A:A,2,1),"NE (cd_nom 141714) - LC (cd_nom 126566)")</f>
        <v>NE (cd_nom 141714) - LC (cd_nom 126566)</v>
      </c>
      <c r="V21420" s="7" t="str">
        <f>HYPERLINK("#Liste_rouge!A"&amp;_xlfn.XMATCH("LC",Liste_rouge!A:A,2,1),"LC")</f>
        <v>LC</v>
      </c>
      <c r="AH21420" s="4" t="str">
        <f>HYPERLINK("#Statut_biogéographique!A"&amp;_xlfn.XMATCH("P",Statut_biogéographique!A:A,2,1),"P")</f>
        <v>P</v>
      </c>
      <c r="AM21420" s="4" t="s">
        <v>375</v>
      </c>
      <c r="AN21420" s="4" t="s">
        <v>375</v>
      </c>
      <c r="AO21420" s="4" t="s">
        <v>375</v>
      </c>
      <c r="AP21420" s="4" t="s">
        <v>376</v>
      </c>
      <c r="AR21420" s="4" t="s">
        <v>377</v>
      </c>
    </row>
    <row r="21421" spans="1:44" ht="45">
      <c r="A21421" s="4" t="s">
        <v>24364</v>
      </c>
      <c r="B21421" s="4">
        <v>126573</v>
      </c>
      <c r="D21421" s="5" t="s">
        <v>27719</v>
      </c>
      <c r="E21421" s="6" t="str">
        <f>HYPERLINK("https://inpn.mnhn.fr/espece/cd_nom/126573","Thymus serpyllum L., 1753")</f>
        <v>Thymus serpyllum L., 1753</v>
      </c>
      <c r="F21421" s="5" t="s">
        <v>27720</v>
      </c>
      <c r="P21421" s="7" t="str">
        <f>HYPERLINK("#Liste_rouge!A"&amp;_xlfn.XMATCH("LC",Liste_rouge!A:A,2,1),"LC")</f>
        <v>LC</v>
      </c>
      <c r="Q21421" s="7" t="str">
        <f>HYPERLINK("#Liste_rouge!A"&amp;_xlfn.XMATCH("DD",Liste_rouge!A:A,2,1),"DD")</f>
        <v>DD</v>
      </c>
      <c r="T21421" s="7" t="str">
        <f>HYPERLINK("#Liste_rouge!A"&amp;_xlfn.XMATCH("CR",Liste_rouge!A:A,2,1),"CR")</f>
        <v>CR</v>
      </c>
      <c r="U21421" s="4" t="str">
        <f>HYPERLINK("#Critères_liste_rouge!A$1","C2a(i) D1")</f>
        <v>C2a(i) D1</v>
      </c>
      <c r="AH21421" s="4" t="str">
        <f>HYPERLINK("#Statut_biogéographique!A"&amp;_xlfn.XMATCH("D",Statut_biogéographique!A:A,2,1),"D")</f>
        <v>D</v>
      </c>
      <c r="AM21421" s="4" t="s">
        <v>375</v>
      </c>
      <c r="AN21421" s="4" t="s">
        <v>375</v>
      </c>
      <c r="AO21421" s="4" t="s">
        <v>375</v>
      </c>
      <c r="AP21421" s="4" t="s">
        <v>376</v>
      </c>
      <c r="AR21421" s="4" t="s">
        <v>377</v>
      </c>
    </row>
    <row r="21422" spans="1:44">
      <c r="A21422" s="4" t="s">
        <v>24364</v>
      </c>
      <c r="B21422" s="4">
        <v>126582</v>
      </c>
      <c r="D21422" s="5">
        <v>126582</v>
      </c>
      <c r="E21422" s="6" t="str">
        <f>HYPERLINK("https://inpn.mnhn.fr/espece/cd_nom/126582","Thymus vulgaris L., 1753")</f>
        <v>Thymus vulgaris L., 1753</v>
      </c>
      <c r="F21422" s="5" t="s">
        <v>27721</v>
      </c>
      <c r="O21422" s="7" t="str">
        <f>HYPERLINK("#Liste_rouge!A"&amp;_xlfn.XMATCH("LC",Liste_rouge!A:A,2,1),"LC")</f>
        <v>LC</v>
      </c>
      <c r="P21422" s="7" t="str">
        <f>HYPERLINK("#Liste_rouge!A"&amp;_xlfn.XMATCH("LC",Liste_rouge!A:A,2,1),"LC")</f>
        <v>LC</v>
      </c>
      <c r="Q21422" s="7" t="str">
        <f>HYPERLINK("#Liste_rouge!A"&amp;_xlfn.XMATCH("LC",Liste_rouge!A:A,2,1),"LC")</f>
        <v>LC</v>
      </c>
      <c r="T21422" s="7" t="str">
        <f>HYPERLINK("#Liste_rouge!A"&amp;_xlfn.XMATCH("NA",Liste_rouge!A:A,2,1),"NA")</f>
        <v>NA</v>
      </c>
      <c r="AH21422" s="4" t="str">
        <f>HYPERLINK("#Statut_biogéographique!A"&amp;_xlfn.XMATCH("P",Statut_biogéographique!A:A,2,1),"P")</f>
        <v>P</v>
      </c>
      <c r="AP21422" s="4" t="s">
        <v>376</v>
      </c>
      <c r="AR21422" s="4" t="s">
        <v>377</v>
      </c>
    </row>
    <row r="21423" spans="1:44">
      <c r="A21423" s="4" t="s">
        <v>24364</v>
      </c>
      <c r="B21423" s="4">
        <v>126586</v>
      </c>
      <c r="D21423" s="5" t="s">
        <v>27722</v>
      </c>
      <c r="E21423" s="6" t="str">
        <f>HYPERLINK("https://inpn.mnhn.fr/espece/cd_nom/126586","Thymus x braunii Borbás, 1887")</f>
        <v>Thymus x braunii Borbás, 1887</v>
      </c>
      <c r="F21423" s="5" t="s">
        <v>27723</v>
      </c>
      <c r="T21423" s="7" t="str">
        <f>HYPERLINK("#Liste_rouge!A"&amp;_xlfn.XMATCH("DD",Liste_rouge!A:A,2,1),"DD")</f>
        <v>DD</v>
      </c>
      <c r="AH21423" s="4" t="str">
        <f>HYPERLINK("#Statut_biogéographique!A"&amp;_xlfn.XMATCH("D",Statut_biogéographique!A:A,2,1),"D")</f>
        <v>D</v>
      </c>
      <c r="AP21423" s="4" t="s">
        <v>376</v>
      </c>
      <c r="AR21423" s="4" t="s">
        <v>377</v>
      </c>
    </row>
    <row r="21424" spans="1:44" ht="60">
      <c r="A21424" s="4" t="s">
        <v>24364</v>
      </c>
      <c r="B21424" s="4">
        <v>126615</v>
      </c>
      <c r="D21424" s="5" t="s">
        <v>27724</v>
      </c>
      <c r="E21424" s="6" t="str">
        <f>HYPERLINK("https://inpn.mnhn.fr/espece/cd_nom/126615","Thysselinum palustre (L.) Hoffm., 1814")</f>
        <v>Thysselinum palustre (L.) Hoffm., 1814</v>
      </c>
      <c r="F21424" s="5" t="s">
        <v>27725</v>
      </c>
      <c r="M21424" s="4" t="str">
        <f>HYPERLINK("#Réglementation!A"&amp;_xlfn.XMATCH("RV26",Réglementation!A:A,2,1),"RV26")</f>
        <v>RV26</v>
      </c>
      <c r="Q21424" s="7" t="str">
        <f>HYPERLINK("#Liste_rouge!A"&amp;_xlfn.XMATCH("LC",Liste_rouge!A:A,2,1),"LC")</f>
        <v>LC</v>
      </c>
      <c r="T21424" s="7" t="str">
        <f>HYPERLINK("#Liste_rouge!A"&amp;_xlfn.XMATCH("VU",Liste_rouge!A:A,2,1),"VU")</f>
        <v>VU</v>
      </c>
      <c r="U21424" s="4" t="str">
        <f>HYPERLINK("#Critères_liste_rouge!A$1","D2")</f>
        <v>D2</v>
      </c>
      <c r="V21424" s="7" t="str">
        <f>HYPERLINK("#Liste_rouge!A"&amp;_xlfn.XMATCH("LC",Liste_rouge!A:A,2,1),"LC")</f>
        <v>LC</v>
      </c>
      <c r="AB21424" s="4" t="s">
        <v>24803</v>
      </c>
      <c r="AH21424" s="4" t="str">
        <f>HYPERLINK("#Statut_biogéographique!A"&amp;_xlfn.XMATCH("P",Statut_biogéographique!A:A,2,1),"P")</f>
        <v>P</v>
      </c>
      <c r="AM21424" s="4" t="s">
        <v>375</v>
      </c>
      <c r="AN21424" s="4" t="s">
        <v>375</v>
      </c>
      <c r="AO21424" s="4" t="s">
        <v>375</v>
      </c>
      <c r="AP21424" s="4" t="s">
        <v>376</v>
      </c>
      <c r="AR21424" s="4" t="s">
        <v>377</v>
      </c>
    </row>
    <row r="21425" spans="1:44" ht="30">
      <c r="A21425" s="4" t="s">
        <v>24364</v>
      </c>
      <c r="B21425" s="4">
        <v>126628</v>
      </c>
      <c r="D21425" s="5" t="s">
        <v>27726</v>
      </c>
      <c r="E21425" s="6" t="str">
        <f>HYPERLINK("https://inpn.mnhn.fr/espece/cd_nom/126628","Tilia cordata Mill., 1768")</f>
        <v>Tilia cordata Mill., 1768</v>
      </c>
      <c r="F21425" s="5" t="s">
        <v>27727</v>
      </c>
      <c r="O21425" s="7" t="str">
        <f>HYPERLINK("#Liste_rouge!A"&amp;_xlfn.XMATCH("LC",Liste_rouge!A:A,2,1),"LC")</f>
        <v>LC</v>
      </c>
      <c r="P21425" s="7" t="str">
        <f>HYPERLINK("#Liste_rouge!A"&amp;_xlfn.XMATCH("LC",Liste_rouge!A:A,2,1),"LC")</f>
        <v>LC</v>
      </c>
      <c r="Q21425" s="7" t="str">
        <f>HYPERLINK("#Liste_rouge!A"&amp;_xlfn.XMATCH("LC",Liste_rouge!A:A,2,1),"LC")</f>
        <v>LC</v>
      </c>
      <c r="T21425" s="7" t="str">
        <f>HYPERLINK("#Liste_rouge!A"&amp;_xlfn.XMATCH("LC",Liste_rouge!A:A,2,1),"LC")</f>
        <v>LC</v>
      </c>
      <c r="V21425" s="7" t="str">
        <f>HYPERLINK("#Liste_rouge!A"&amp;_xlfn.XMATCH("LC",Liste_rouge!A:A,2,1),"LC")</f>
        <v>LC</v>
      </c>
      <c r="AH21425" s="4" t="str">
        <f>HYPERLINK("#Statut_biogéographique!A"&amp;_xlfn.XMATCH("P",Statut_biogéographique!A:A,2,1),"P")</f>
        <v>P</v>
      </c>
      <c r="AM21425" s="4" t="s">
        <v>375</v>
      </c>
      <c r="AN21425" s="4" t="s">
        <v>375</v>
      </c>
      <c r="AO21425" s="4" t="s">
        <v>375</v>
      </c>
      <c r="AP21425" s="4" t="s">
        <v>376</v>
      </c>
      <c r="AR21425" s="4" t="s">
        <v>377</v>
      </c>
    </row>
    <row r="21426" spans="1:44" ht="30">
      <c r="A21426" s="4" t="s">
        <v>24364</v>
      </c>
      <c r="B21426" s="4">
        <v>126650</v>
      </c>
      <c r="D21426" s="5" t="s">
        <v>27728</v>
      </c>
      <c r="E21426" s="6" t="str">
        <f>HYPERLINK("https://inpn.mnhn.fr/espece/cd_nom/126650","Tilia platyphyllos Scop., 1771 [nom. et typ. cons.]")</f>
        <v>Tilia platyphyllos Scop., 1771 [nom. et typ. cons.]</v>
      </c>
      <c r="F21426" s="5" t="s">
        <v>27729</v>
      </c>
      <c r="O21426" s="7" t="str">
        <f>HYPERLINK("#Liste_rouge!A"&amp;_xlfn.XMATCH("LC",Liste_rouge!A:A,2,1),"LC")</f>
        <v>LC</v>
      </c>
      <c r="P21426" s="7" t="str">
        <f>HYPERLINK("#Liste_rouge!A"&amp;_xlfn.XMATCH("LC",Liste_rouge!A:A,2,1),"LC")</f>
        <v>LC</v>
      </c>
      <c r="Q21426" s="7" t="str">
        <f>HYPERLINK("#Liste_rouge!A"&amp;_xlfn.XMATCH("LC",Liste_rouge!A:A,2,1),"LC")</f>
        <v>LC</v>
      </c>
      <c r="T21426" s="7" t="str">
        <f>HYPERLINK("#Liste_rouge!A"&amp;_xlfn.XMATCH("LC",Liste_rouge!A:A,2,1),"LC")</f>
        <v>LC</v>
      </c>
      <c r="V21426" s="7" t="str">
        <f>HYPERLINK("#Liste_rouge!A"&amp;_xlfn.XMATCH("LC",Liste_rouge!A:A,2,1),"LC")</f>
        <v>LC</v>
      </c>
      <c r="AH21426" s="4" t="str">
        <f>HYPERLINK("#Statut_biogéographique!A"&amp;_xlfn.XMATCH("P",Statut_biogéographique!A:A,2,1),"P")</f>
        <v>P</v>
      </c>
      <c r="AM21426" s="4" t="s">
        <v>375</v>
      </c>
      <c r="AN21426" s="4" t="s">
        <v>375</v>
      </c>
      <c r="AO21426" s="4" t="s">
        <v>375</v>
      </c>
      <c r="AP21426" s="4" t="s">
        <v>376</v>
      </c>
      <c r="AR21426" s="4" t="s">
        <v>377</v>
      </c>
    </row>
    <row r="21427" spans="1:44" ht="45">
      <c r="A21427" s="4" t="s">
        <v>24364</v>
      </c>
      <c r="B21427" s="4">
        <v>126662</v>
      </c>
      <c r="D21427" s="5" t="s">
        <v>27730</v>
      </c>
      <c r="E21427" s="6" t="str">
        <f>HYPERLINK("https://inpn.mnhn.fr/espece/cd_nom/126662","Tilia tomentosa Moench, 1785")</f>
        <v>Tilia tomentosa Moench, 1785</v>
      </c>
      <c r="F21427" s="5" t="s">
        <v>27731</v>
      </c>
      <c r="O21427" s="7" t="str">
        <f>HYPERLINK("#Liste_rouge!A"&amp;_xlfn.XMATCH("LC",Liste_rouge!A:A,2,1),"LC")</f>
        <v>LC</v>
      </c>
      <c r="P21427" s="7" t="str">
        <f>HYPERLINK("#Liste_rouge!A"&amp;_xlfn.XMATCH("LC",Liste_rouge!A:A,2,1),"LC")</f>
        <v>LC</v>
      </c>
      <c r="Q21427" s="7" t="str">
        <f>HYPERLINK("#Liste_rouge!A"&amp;_xlfn.XMATCH("NA",Liste_rouge!A:A,2,1),"NA")</f>
        <v>NA</v>
      </c>
      <c r="T21427" s="7" t="str">
        <f>HYPERLINK("#Liste_rouge!A"&amp;_xlfn.XMATCH("NA",Liste_rouge!A:A,2,1),"NA")</f>
        <v>NA</v>
      </c>
      <c r="AH21427" s="4" t="str">
        <f>HYPERLINK("#Statut_biogéographique!A"&amp;_xlfn.XMATCH("M",Statut_biogéographique!A:A,2,1),"M")</f>
        <v>M</v>
      </c>
      <c r="AP21427" s="4" t="s">
        <v>376</v>
      </c>
      <c r="AR21427" s="4" t="s">
        <v>377</v>
      </c>
    </row>
    <row r="21428" spans="1:44">
      <c r="A21428" s="4" t="s">
        <v>24364</v>
      </c>
      <c r="B21428" s="4">
        <v>126667</v>
      </c>
      <c r="D21428" s="5" t="s">
        <v>27732</v>
      </c>
      <c r="E21428" s="6" t="str">
        <f>HYPERLINK("https://inpn.mnhn.fr/espece/cd_nom/126667","Tilia x euchlora K.Koch, 1866")</f>
        <v>Tilia x euchlora K.Koch, 1866</v>
      </c>
      <c r="F21428" s="5" t="s">
        <v>27733</v>
      </c>
      <c r="T21428" s="7" t="str">
        <f>HYPERLINK("#Liste_rouge!A"&amp;_xlfn.XMATCH("NA",Liste_rouge!A:A,2,1),"NA")</f>
        <v>NA</v>
      </c>
      <c r="AH21428" s="4" t="str">
        <f>HYPERLINK("#Statut_biogéographique!A"&amp;_xlfn.XMATCH("M",Statut_biogéographique!A:A,2,1),"M")</f>
        <v>M</v>
      </c>
      <c r="AP21428" s="4" t="s">
        <v>376</v>
      </c>
      <c r="AR21428" s="4" t="s">
        <v>377</v>
      </c>
    </row>
    <row r="21429" spans="1:44" ht="90">
      <c r="A21429" s="4" t="s">
        <v>24364</v>
      </c>
      <c r="B21429" s="4">
        <v>126798</v>
      </c>
      <c r="D21429" s="5" t="s">
        <v>27734</v>
      </c>
      <c r="E21429" s="6" t="str">
        <f>HYPERLINK("https://inpn.mnhn.fr/espece/cd_nom/126798","Tofieldia calyculata (L.) Wahlenb., 1812")</f>
        <v>Tofieldia calyculata (L.) Wahlenb., 1812</v>
      </c>
      <c r="F21429" s="5" t="s">
        <v>27735</v>
      </c>
      <c r="Q21429" s="7" t="str">
        <f>HYPERLINK("#Liste_rouge!A"&amp;_xlfn.XMATCH("LC",Liste_rouge!A:A,2,1),"LC")</f>
        <v>LC</v>
      </c>
      <c r="V21429" s="7" t="str">
        <f>HYPERLINK("#Liste_rouge!A"&amp;_xlfn.XMATCH("LC",Liste_rouge!A:A,2,1),"LC")</f>
        <v>LC</v>
      </c>
      <c r="AB21429" s="4" t="s">
        <v>24447</v>
      </c>
      <c r="AH21429" s="4" t="str">
        <f>HYPERLINK("#Statut_biogéographique!A"&amp;_xlfn.XMATCH("P",Statut_biogéographique!A:A,2,1),"P")</f>
        <v>P</v>
      </c>
      <c r="AM21429" s="4" t="s">
        <v>375</v>
      </c>
      <c r="AN21429" s="4" t="s">
        <v>375</v>
      </c>
      <c r="AO21429" s="4" t="s">
        <v>375</v>
      </c>
      <c r="AP21429" s="4" t="s">
        <v>376</v>
      </c>
      <c r="AR21429" s="4" t="s">
        <v>377</v>
      </c>
    </row>
    <row r="21430" spans="1:44" ht="45">
      <c r="A21430" s="4" t="s">
        <v>24364</v>
      </c>
      <c r="B21430" s="4">
        <v>126821</v>
      </c>
      <c r="D21430" s="5" t="s">
        <v>27736</v>
      </c>
      <c r="E21430" s="6" t="str">
        <f>HYPERLINK("https://inpn.mnhn.fr/espece/cd_nom/126821","Tolpis staticifolia (All.) Sch.Bip., 1861")</f>
        <v>Tolpis staticifolia (All.) Sch.Bip., 1861</v>
      </c>
      <c r="F21430" s="5" t="s">
        <v>27737</v>
      </c>
      <c r="Q21430" s="7" t="str">
        <f>HYPERLINK("#Liste_rouge!A"&amp;_xlfn.XMATCH("LC",Liste_rouge!A:A,2,1),"LC")</f>
        <v>LC</v>
      </c>
      <c r="T21430" s="7" t="str">
        <f>HYPERLINK("#Liste_rouge!A"&amp;_xlfn.XMATCH("NA",Liste_rouge!A:A,2,1),"NA")</f>
        <v>NA</v>
      </c>
      <c r="V21430" s="7" t="str">
        <f>HYPERLINK("#Liste_rouge!A"&amp;_xlfn.XMATCH("NT",Liste_rouge!A:A,2,1),"NT")</f>
        <v>NT</v>
      </c>
      <c r="W21430" s="4" t="str">
        <f>HYPERLINK("#Critères_liste_rouge!A$1","pr. D2")</f>
        <v>pr. D2</v>
      </c>
      <c r="AB21430" s="4" t="s">
        <v>24909</v>
      </c>
      <c r="AH21430" s="4" t="str">
        <f>HYPERLINK("#Statut_biogéographique!A"&amp;_xlfn.XMATCH("P",Statut_biogéographique!A:A,2,1),"P")</f>
        <v>P</v>
      </c>
      <c r="AM21430" s="4" t="s">
        <v>375</v>
      </c>
      <c r="AN21430" s="4" t="s">
        <v>375</v>
      </c>
      <c r="AO21430" s="4" t="s">
        <v>375</v>
      </c>
      <c r="AP21430" s="4" t="s">
        <v>376</v>
      </c>
      <c r="AR21430" s="4" t="s">
        <v>377</v>
      </c>
    </row>
    <row r="21431" spans="1:44">
      <c r="A21431" s="4" t="s">
        <v>24364</v>
      </c>
      <c r="B21431" s="4">
        <v>126827</v>
      </c>
      <c r="D21431" s="5" t="s">
        <v>27738</v>
      </c>
      <c r="E21431" s="6" t="str">
        <f>HYPERLINK("https://inpn.mnhn.fr/espece/cd_nom/126827","Toona sinensis (A.Juss.) M.Roem., 1846")</f>
        <v>Toona sinensis (A.Juss.) M.Roem., 1846</v>
      </c>
      <c r="F21431" s="5" t="s">
        <v>27739</v>
      </c>
      <c r="O21431" s="7" t="str">
        <f>HYPERLINK("#Liste_rouge!A"&amp;_xlfn.XMATCH("LC",Liste_rouge!A:A,2,1),"LC")</f>
        <v>LC</v>
      </c>
      <c r="T21431" s="7" t="str">
        <f>HYPERLINK("#Liste_rouge!A"&amp;_xlfn.XMATCH("NA",Liste_rouge!A:A,2,1),"NA")</f>
        <v>NA</v>
      </c>
      <c r="AH21431" s="4" t="str">
        <f>HYPERLINK("#Statut_biogéographique!A"&amp;_xlfn.XMATCH("M",Statut_biogéographique!A:A,2,1),"M")</f>
        <v>M</v>
      </c>
      <c r="AP21431" s="4" t="s">
        <v>376</v>
      </c>
      <c r="AR21431" s="4" t="s">
        <v>377</v>
      </c>
    </row>
    <row r="21432" spans="1:44" ht="30">
      <c r="A21432" s="4" t="s">
        <v>24364</v>
      </c>
      <c r="B21432" s="4">
        <v>126837</v>
      </c>
      <c r="D21432" s="5" t="s">
        <v>27740</v>
      </c>
      <c r="E21432" s="6" t="str">
        <f>HYPERLINK("https://inpn.mnhn.fr/espece/cd_nom/126837","Tordylium maximum L., 1753")</f>
        <v>Tordylium maximum L., 1753</v>
      </c>
      <c r="F21432" s="5" t="s">
        <v>27741</v>
      </c>
      <c r="Q21432" s="7" t="str">
        <f>HYPERLINK("#Liste_rouge!A"&amp;_xlfn.XMATCH("LC",Liste_rouge!A:A,2,1),"LC")</f>
        <v>LC</v>
      </c>
      <c r="T21432" s="7" t="str">
        <f>HYPERLINK("#Liste_rouge!A"&amp;_xlfn.XMATCH("LC",Liste_rouge!A:A,2,1),"LC")</f>
        <v>LC</v>
      </c>
      <c r="V21432" s="7" t="str">
        <f>HYPERLINK("#Liste_rouge!A"&amp;_xlfn.XMATCH("VU",Liste_rouge!A:A,2,1),"VU")</f>
        <v>VU</v>
      </c>
      <c r="W21432" s="4" t="str">
        <f>HYPERLINK("#Critères_liste_rouge!A$1","D1")</f>
        <v>D1</v>
      </c>
      <c r="AB21432" s="4" t="s">
        <v>24410</v>
      </c>
      <c r="AH21432" s="4" t="str">
        <f>HYPERLINK("#Statut_biogéographique!A"&amp;_xlfn.XMATCH("P",Statut_biogéographique!A:A,2,1),"P")</f>
        <v>P</v>
      </c>
      <c r="AM21432" s="4" t="s">
        <v>375</v>
      </c>
      <c r="AN21432" s="4" t="s">
        <v>375</v>
      </c>
      <c r="AO21432" s="4" t="s">
        <v>375</v>
      </c>
      <c r="AP21432" s="4" t="s">
        <v>376</v>
      </c>
      <c r="AR21432" s="4" t="s">
        <v>377</v>
      </c>
    </row>
    <row r="21433" spans="1:44" ht="60">
      <c r="A21433" s="4" t="s">
        <v>24364</v>
      </c>
      <c r="B21433" s="4">
        <v>126846</v>
      </c>
      <c r="D21433" s="5" t="s">
        <v>27742</v>
      </c>
      <c r="E21433" s="6" t="str">
        <f>HYPERLINK("https://inpn.mnhn.fr/espece/cd_nom/126846","Torilis arvensis (Huds.) Link, 1821")</f>
        <v>Torilis arvensis (Huds.) Link, 1821</v>
      </c>
      <c r="F21433" s="5" t="s">
        <v>27743</v>
      </c>
      <c r="Q21433" s="7" t="str">
        <f>HYPERLINK("#Liste_rouge!A"&amp;_xlfn.XMATCH("LC",Liste_rouge!A:A,2,1),"LC")</f>
        <v>LC</v>
      </c>
      <c r="T21433" s="7" t="str">
        <f>HYPERLINK("#Liste_rouge!A"&amp;_xlfn.XMATCH("LC",Liste_rouge!A:A,2,1),"LC")</f>
        <v>LC</v>
      </c>
      <c r="V21433" s="7" t="str">
        <f>HYPERLINK("#Liste_rouge!A"&amp;_xlfn.XMATCH("LC",Liste_rouge!A:A,2,1),"LC")</f>
        <v>LC</v>
      </c>
      <c r="AH21433" s="4" t="str">
        <f>HYPERLINK("#Statut_biogéographique!A"&amp;_xlfn.XMATCH("P",Statut_biogéographique!A:A,2,1),"P")</f>
        <v>P</v>
      </c>
      <c r="AM21433" s="4" t="s">
        <v>375</v>
      </c>
      <c r="AN21433" s="4" t="s">
        <v>375</v>
      </c>
      <c r="AO21433" s="4" t="s">
        <v>375</v>
      </c>
      <c r="AP21433" s="4" t="s">
        <v>376</v>
      </c>
      <c r="AR21433" s="4" t="s">
        <v>377</v>
      </c>
    </row>
    <row r="21434" spans="1:44" ht="45">
      <c r="A21434" s="4" t="s">
        <v>24364</v>
      </c>
      <c r="B21434" s="4">
        <v>126859</v>
      </c>
      <c r="D21434" s="5" t="s">
        <v>27744</v>
      </c>
      <c r="E21434" s="6" t="str">
        <f>HYPERLINK("https://inpn.mnhn.fr/espece/cd_nom/126859","Torilis japonica (Houtt.) DC., 1830")</f>
        <v>Torilis japonica (Houtt.) DC., 1830</v>
      </c>
      <c r="F21434" s="5" t="s">
        <v>27745</v>
      </c>
      <c r="Q21434" s="7" t="str">
        <f>HYPERLINK("#Liste_rouge!A"&amp;_xlfn.XMATCH("LC",Liste_rouge!A:A,2,1),"LC")</f>
        <v>LC</v>
      </c>
      <c r="T21434" s="7" t="str">
        <f>HYPERLINK("#Liste_rouge!A"&amp;_xlfn.XMATCH("LC",Liste_rouge!A:A,2,1),"LC")</f>
        <v>LC</v>
      </c>
      <c r="V21434" s="7" t="str">
        <f>HYPERLINK("#Liste_rouge!A"&amp;_xlfn.XMATCH("LC",Liste_rouge!A:A,2,1),"LC")</f>
        <v>LC</v>
      </c>
      <c r="AH21434" s="4" t="str">
        <f>HYPERLINK("#Statut_biogéographique!A"&amp;_xlfn.XMATCH("P",Statut_biogéographique!A:A,2,1),"P")</f>
        <v>P</v>
      </c>
      <c r="AM21434" s="4" t="s">
        <v>375</v>
      </c>
      <c r="AN21434" s="4" t="s">
        <v>375</v>
      </c>
      <c r="AO21434" s="4" t="s">
        <v>375</v>
      </c>
      <c r="AP21434" s="4" t="s">
        <v>376</v>
      </c>
      <c r="AR21434" s="4" t="s">
        <v>377</v>
      </c>
    </row>
    <row r="21435" spans="1:44" ht="45">
      <c r="A21435" s="4" t="s">
        <v>24364</v>
      </c>
      <c r="B21435" s="4">
        <v>126861</v>
      </c>
      <c r="D21435" s="5" t="s">
        <v>27746</v>
      </c>
      <c r="E21435" s="6" t="str">
        <f>HYPERLINK("https://inpn.mnhn.fr/espece/cd_nom/126861","Torilis leptophylla (L.) Rchb.f., 1867")</f>
        <v>Torilis leptophylla (L.) Rchb.f., 1867</v>
      </c>
      <c r="F21435" s="5" t="s">
        <v>27747</v>
      </c>
      <c r="Q21435" s="7" t="str">
        <f>HYPERLINK("#Liste_rouge!A"&amp;_xlfn.XMATCH("LC",Liste_rouge!A:A,2,1),"LC")</f>
        <v>LC</v>
      </c>
      <c r="T21435" s="7" t="str">
        <f>HYPERLINK("#Liste_rouge!A"&amp;_xlfn.XMATCH("NA",Liste_rouge!A:A,2,1),"NA")</f>
        <v>NA</v>
      </c>
      <c r="AH21435" s="4" t="str">
        <f>HYPERLINK("#Statut_biogéographique!A"&amp;_xlfn.XMATCH("P",Statut_biogéographique!A:A,2,1),"P")</f>
        <v>P</v>
      </c>
      <c r="AI21435" s="8" t="s">
        <v>27748</v>
      </c>
      <c r="AJ21435" s="4" t="s">
        <v>12248</v>
      </c>
      <c r="AP21435" s="4" t="s">
        <v>376</v>
      </c>
      <c r="AR21435" s="4" t="s">
        <v>377</v>
      </c>
    </row>
    <row r="21436" spans="1:44" ht="30">
      <c r="A21436" s="4" t="s">
        <v>24364</v>
      </c>
      <c r="B21436" s="4">
        <v>126865</v>
      </c>
      <c r="D21436" s="5" t="s">
        <v>27749</v>
      </c>
      <c r="E21436" s="6" t="str">
        <f>HYPERLINK("https://inpn.mnhn.fr/espece/cd_nom/126865","Torilis nodosa (L.) Gaertn., 1788")</f>
        <v>Torilis nodosa (L.) Gaertn., 1788</v>
      </c>
      <c r="F21436" s="5" t="s">
        <v>27750</v>
      </c>
      <c r="Q21436" s="7" t="str">
        <f>HYPERLINK("#Liste_rouge!A"&amp;_xlfn.XMATCH("LC",Liste_rouge!A:A,2,1),"LC")</f>
        <v>LC</v>
      </c>
      <c r="T21436" s="7" t="str">
        <f>HYPERLINK("#Liste_rouge!A"&amp;_xlfn.XMATCH("LC",Liste_rouge!A:A,2,1),"LC")</f>
        <v>LC</v>
      </c>
      <c r="AH21436" s="4" t="str">
        <f>HYPERLINK("#Statut_biogéographique!A"&amp;_xlfn.XMATCH("P",Statut_biogéographique!A:A,2,1),"P")</f>
        <v>P</v>
      </c>
      <c r="AM21436" s="4" t="s">
        <v>375</v>
      </c>
      <c r="AN21436" s="4" t="s">
        <v>375</v>
      </c>
      <c r="AO21436" s="4" t="s">
        <v>375</v>
      </c>
      <c r="AP21436" s="4" t="s">
        <v>376</v>
      </c>
      <c r="AR21436" s="4" t="s">
        <v>377</v>
      </c>
    </row>
    <row r="21437" spans="1:44" ht="45">
      <c r="A21437" s="4" t="s">
        <v>24364</v>
      </c>
      <c r="B21437" s="4">
        <v>126914</v>
      </c>
      <c r="D21437" s="5" t="s">
        <v>27751</v>
      </c>
      <c r="E21437" s="6" t="str">
        <f>HYPERLINK("https://inpn.mnhn.fr/espece/cd_nom/126914","Toxicodendron radicans (L.) Kuntze, 1891")</f>
        <v>Toxicodendron radicans (L.) Kuntze, 1891</v>
      </c>
      <c r="F21437" s="5" t="s">
        <v>27752</v>
      </c>
      <c r="O21437" s="7" t="str">
        <f>HYPERLINK("#Liste_rouge!A"&amp;_xlfn.XMATCH("LC",Liste_rouge!A:A,2,1),"LC")</f>
        <v>LC</v>
      </c>
      <c r="Q21437" s="7" t="str">
        <f>HYPERLINK("#Liste_rouge!A"&amp;_xlfn.XMATCH("NA",Liste_rouge!A:A,2,1),"NA")</f>
        <v>NA</v>
      </c>
      <c r="AH21437" s="4" t="str">
        <f>HYPERLINK("#Statut_biogéographique!A"&amp;_xlfn.XMATCH("I",Statut_biogéographique!A:A,2,1),"I")</f>
        <v>I</v>
      </c>
      <c r="AP21437" s="4" t="s">
        <v>376</v>
      </c>
      <c r="AR21437" s="4" t="s">
        <v>377</v>
      </c>
    </row>
    <row r="21438" spans="1:44">
      <c r="A21438" s="4" t="s">
        <v>24364</v>
      </c>
      <c r="B21438" s="4">
        <v>126925</v>
      </c>
      <c r="D21438" s="5" t="s">
        <v>27753</v>
      </c>
      <c r="E21438" s="6" t="str">
        <f>HYPERLINK("https://inpn.mnhn.fr/espece/cd_nom/126925","Tozzia alpina L., 1753")</f>
        <v>Tozzia alpina L., 1753</v>
      </c>
      <c r="F21438" s="5" t="s">
        <v>27754</v>
      </c>
      <c r="Q21438" s="7" t="str">
        <f>HYPERLINK("#Liste_rouge!A"&amp;_xlfn.XMATCH("LC",Liste_rouge!A:A,2,1),"LC")</f>
        <v>LC</v>
      </c>
      <c r="V21438" s="7" t="str">
        <f>HYPERLINK("#Liste_rouge!A"&amp;_xlfn.XMATCH("NT",Liste_rouge!A:A,2,1),"NT")</f>
        <v>NT</v>
      </c>
      <c r="W21438" s="4" t="str">
        <f>HYPERLINK("#Critères_liste_rouge!A$1","pr. D2")</f>
        <v>pr. D2</v>
      </c>
      <c r="X21438" s="5" t="s">
        <v>374</v>
      </c>
      <c r="AB21438" s="4" t="s">
        <v>93</v>
      </c>
      <c r="AH21438" s="4" t="str">
        <f>HYPERLINK("#Statut_biogéographique!A"&amp;_xlfn.XMATCH("P",Statut_biogéographique!A:A,2,1),"P")</f>
        <v>P</v>
      </c>
      <c r="AM21438" s="4" t="s">
        <v>375</v>
      </c>
      <c r="AN21438" s="4" t="s">
        <v>375</v>
      </c>
      <c r="AO21438" s="4" t="s">
        <v>375</v>
      </c>
      <c r="AP21438" s="4" t="s">
        <v>376</v>
      </c>
      <c r="AR21438" s="4" t="s">
        <v>377</v>
      </c>
    </row>
    <row r="21439" spans="1:44" ht="45">
      <c r="A21439" s="4" t="s">
        <v>24364</v>
      </c>
      <c r="B21439" s="4">
        <v>127005</v>
      </c>
      <c r="D21439" s="5" t="s">
        <v>27755</v>
      </c>
      <c r="E21439" s="6" t="str">
        <f>HYPERLINK("https://inpn.mnhn.fr/espece/cd_nom/127005","Tragopogon dubius Scop., 1772")</f>
        <v>Tragopogon dubius Scop., 1772</v>
      </c>
      <c r="F21439" s="5" t="s">
        <v>27756</v>
      </c>
      <c r="Q21439" s="7" t="str">
        <f>HYPERLINK("#Liste_rouge!A"&amp;_xlfn.XMATCH("LC",Liste_rouge!A:A,2,1),"LC")</f>
        <v>LC</v>
      </c>
      <c r="T21439" s="7" t="str">
        <f>HYPERLINK("#Liste_rouge!A"&amp;_xlfn.XMATCH("DD",Liste_rouge!A:A,2,1),"DD (cd_nom 141810) - LC (cd_nom 127005)")</f>
        <v>DD (cd_nom 141810) - LC (cd_nom 127005)</v>
      </c>
      <c r="AH21439" s="4" t="str">
        <f>HYPERLINK("#Statut_biogéographique!A"&amp;_xlfn.XMATCH("P",Statut_biogéographique!A:A,2,1),"P")</f>
        <v>P</v>
      </c>
      <c r="AM21439" s="4" t="s">
        <v>375</v>
      </c>
      <c r="AN21439" s="4" t="s">
        <v>375</v>
      </c>
      <c r="AO21439" s="4" t="s">
        <v>375</v>
      </c>
      <c r="AP21439" s="4" t="s">
        <v>376</v>
      </c>
      <c r="AR21439" s="4" t="s">
        <v>377</v>
      </c>
    </row>
    <row r="21440" spans="1:44" ht="30">
      <c r="A21440" s="4" t="s">
        <v>24364</v>
      </c>
      <c r="B21440" s="4">
        <v>127028</v>
      </c>
      <c r="D21440" s="5" t="s">
        <v>27757</v>
      </c>
      <c r="E21440" s="6" t="str">
        <f>HYPERLINK("https://inpn.mnhn.fr/espece/cd_nom/127028","Tragopogon porrifolius L., 1753")</f>
        <v>Tragopogon porrifolius L., 1753</v>
      </c>
      <c r="F21440" s="5" t="s">
        <v>27758</v>
      </c>
      <c r="Q21440" s="7" t="str">
        <f>HYPERLINK("#Liste_rouge!A"&amp;_xlfn.XMATCH("LC",Liste_rouge!A:A,2,1),"LC")</f>
        <v>LC</v>
      </c>
      <c r="T21440" s="7" t="str">
        <f>HYPERLINK("#Liste_rouge!A"&amp;_xlfn.XMATCH("NA",Liste_rouge!A:A,2,1),"NA")</f>
        <v>NA</v>
      </c>
      <c r="AH21440" s="4" t="str">
        <f>HYPERLINK("#Statut_biogéographique!A"&amp;_xlfn.XMATCH("P",Statut_biogéographique!A:A,2,1),"P")</f>
        <v>P</v>
      </c>
      <c r="AP21440" s="4" t="s">
        <v>376</v>
      </c>
      <c r="AR21440" s="4" t="s">
        <v>377</v>
      </c>
    </row>
    <row r="21441" spans="1:44">
      <c r="A21441" s="4" t="s">
        <v>24364</v>
      </c>
      <c r="B21441" s="4">
        <v>127029</v>
      </c>
      <c r="D21441" s="5">
        <v>127029</v>
      </c>
      <c r="E21441" s="6" t="str">
        <f>HYPERLINK("https://inpn.mnhn.fr/espece/cd_nom/127029","Tragopogon pratensis L., 1753")</f>
        <v>Tragopogon pratensis L., 1753</v>
      </c>
      <c r="F21441" s="5" t="s">
        <v>27759</v>
      </c>
      <c r="Q21441" s="7" t="str">
        <f>HYPERLINK("#Liste_rouge!A"&amp;_xlfn.XMATCH("LC",Liste_rouge!A:A,2,1),"LC")</f>
        <v>LC</v>
      </c>
      <c r="T21441" s="7" t="str">
        <f>HYPERLINK("#Liste_rouge!A"&amp;_xlfn.XMATCH("LC",Liste_rouge!A:A,2,1),"LC")</f>
        <v>LC</v>
      </c>
      <c r="V21441" s="7" t="str">
        <f>HYPERLINK("#Liste_rouge!A"&amp;_xlfn.XMATCH("LC",Liste_rouge!A:A,2,1),"LC")</f>
        <v>LC</v>
      </c>
      <c r="AH21441" s="4" t="str">
        <f>HYPERLINK("#Statut_biogéographique!A"&amp;_xlfn.XMATCH("P",Statut_biogéographique!A:A,2,1),"P")</f>
        <v>P</v>
      </c>
      <c r="AM21441" s="4" t="s">
        <v>375</v>
      </c>
      <c r="AN21441" s="4" t="s">
        <v>375</v>
      </c>
      <c r="AO21441" s="4" t="s">
        <v>375</v>
      </c>
      <c r="AP21441" s="4" t="s">
        <v>376</v>
      </c>
      <c r="AR21441" s="4" t="s">
        <v>377</v>
      </c>
    </row>
    <row r="21442" spans="1:44" ht="45">
      <c r="A21442" s="4" t="s">
        <v>24364</v>
      </c>
      <c r="B21442" s="4">
        <v>127070</v>
      </c>
      <c r="D21442" s="5" t="s">
        <v>27760</v>
      </c>
      <c r="E21442" s="6" t="str">
        <f>HYPERLINK("https://inpn.mnhn.fr/espece/cd_nom/127070","Tragus racemosus (L.) All., 1785")</f>
        <v>Tragus racemosus (L.) All., 1785</v>
      </c>
      <c r="F21442" s="5" t="s">
        <v>27761</v>
      </c>
      <c r="Q21442" s="7" t="str">
        <f>HYPERLINK("#Liste_rouge!A"&amp;_xlfn.XMATCH("LC",Liste_rouge!A:A,2,1),"LC")</f>
        <v>LC</v>
      </c>
      <c r="T21442" s="7" t="str">
        <f>HYPERLINK("#Liste_rouge!A"&amp;_xlfn.XMATCH("NA",Liste_rouge!A:A,2,1),"NA")</f>
        <v>NA</v>
      </c>
      <c r="AH21442" s="4" t="str">
        <f>HYPERLINK("#Statut_biogéographique!A"&amp;_xlfn.XMATCH("P",Statut_biogéographique!A:A,2,1),"P")</f>
        <v>P</v>
      </c>
      <c r="AM21442" s="4" t="s">
        <v>375</v>
      </c>
      <c r="AN21442" s="4" t="s">
        <v>375</v>
      </c>
      <c r="AO21442" s="4" t="s">
        <v>375</v>
      </c>
      <c r="AP21442" s="4" t="s">
        <v>376</v>
      </c>
      <c r="AR21442" s="4" t="s">
        <v>377</v>
      </c>
    </row>
    <row r="21443" spans="1:44" ht="60">
      <c r="A21443" s="4" t="s">
        <v>24364</v>
      </c>
      <c r="B21443" s="4">
        <v>127081</v>
      </c>
      <c r="D21443" s="5" t="s">
        <v>27762</v>
      </c>
      <c r="E21443" s="6" t="str">
        <f>HYPERLINK("https://inpn.mnhn.fr/espece/cd_nom/127081","Trapa natans L., 1753")</f>
        <v>Trapa natans L., 1753</v>
      </c>
      <c r="F21443" s="5" t="s">
        <v>27763</v>
      </c>
      <c r="I21443" s="4" t="str">
        <f>HYPERLINK("#Réglementation!A"&amp;_xlfn.XMATCH("IBE1",Réglementation!A:A,2,1),"IBE1")</f>
        <v>IBE1</v>
      </c>
      <c r="O21443" s="7" t="str">
        <f>HYPERLINK("#Liste_rouge!A"&amp;_xlfn.XMATCH("LC",Liste_rouge!A:A,2,1),"LC (cd_nom 127081) - CR (cd_nom 127074)")</f>
        <v>LC (cd_nom 127081) - CR (cd_nom 127074)</v>
      </c>
      <c r="P21443" s="7" t="str">
        <f>HYPERLINK("#Liste_rouge!A"&amp;_xlfn.XMATCH("NT",Liste_rouge!A:A,2,1),"NT")</f>
        <v>NT</v>
      </c>
      <c r="Q21443" s="7" t="str">
        <f>HYPERLINK("#Liste_rouge!A"&amp;_xlfn.XMATCH("LC",Liste_rouge!A:A,2,1),"LC")</f>
        <v>LC</v>
      </c>
      <c r="T21443" s="7" t="str">
        <f>HYPERLINK("#Liste_rouge!A"&amp;_xlfn.XMATCH("LC",Liste_rouge!A:A,2,1),"LC")</f>
        <v>LC</v>
      </c>
      <c r="V21443" s="7" t="str">
        <f>HYPERLINK("#Liste_rouge!A"&amp;_xlfn.XMATCH("LC",Liste_rouge!A:A,2,1),"LC")</f>
        <v>LC</v>
      </c>
      <c r="AB21443" s="4" t="s">
        <v>24956</v>
      </c>
      <c r="AH21443" s="4" t="str">
        <f>HYPERLINK("#Statut_biogéographique!A"&amp;_xlfn.XMATCH("P",Statut_biogéographique!A:A,2,1),"P")</f>
        <v>P</v>
      </c>
      <c r="AM21443" s="4" t="s">
        <v>375</v>
      </c>
      <c r="AN21443" s="4" t="s">
        <v>375</v>
      </c>
      <c r="AO21443" s="4" t="s">
        <v>375</v>
      </c>
      <c r="AP21443" s="4" t="s">
        <v>376</v>
      </c>
      <c r="AR21443" s="4" t="s">
        <v>377</v>
      </c>
    </row>
    <row r="21444" spans="1:44">
      <c r="A21444" s="4" t="s">
        <v>24364</v>
      </c>
      <c r="B21444" s="4">
        <v>127117</v>
      </c>
      <c r="D21444" s="5" t="s">
        <v>27764</v>
      </c>
      <c r="E21444" s="6" t="str">
        <f>HYPERLINK("https://inpn.mnhn.fr/espece/cd_nom/127117","Traunsteinera globosa (L.) Rchb., 1842")</f>
        <v>Traunsteinera globosa (L.) Rchb., 1842</v>
      </c>
      <c r="F21444" s="5" t="s">
        <v>27765</v>
      </c>
      <c r="G21444" s="4" t="str">
        <f>HYPERLINK("[#Réglementation!A"&amp;_xlfn.XMATCH("CCB",Réglementation!A:A,2,1),"CCB")</f>
        <v>CCB</v>
      </c>
      <c r="P21444" s="7" t="str">
        <f>HYPERLINK("#Liste_rouge!A"&amp;_xlfn.XMATCH("LC",Liste_rouge!A:A,2,1),"LC")</f>
        <v>LC</v>
      </c>
      <c r="Q21444" s="7" t="str">
        <f>HYPERLINK("#Liste_rouge!A"&amp;_xlfn.XMATCH("LC",Liste_rouge!A:A,2,1),"LC")</f>
        <v>LC</v>
      </c>
      <c r="V21444" s="7" t="str">
        <f>HYPERLINK("#Liste_rouge!A"&amp;_xlfn.XMATCH("LC",Liste_rouge!A:A,2,1),"LC")</f>
        <v>LC</v>
      </c>
      <c r="AH21444" s="4" t="str">
        <f>HYPERLINK("#Statut_biogéographique!A"&amp;_xlfn.XMATCH("P",Statut_biogéographique!A:A,2,1),"P")</f>
        <v>P</v>
      </c>
      <c r="AM21444" s="4" t="s">
        <v>375</v>
      </c>
      <c r="AN21444" s="4" t="s">
        <v>375</v>
      </c>
      <c r="AO21444" s="4" t="s">
        <v>375</v>
      </c>
      <c r="AP21444" s="4" t="s">
        <v>376</v>
      </c>
      <c r="AR21444" s="4" t="s">
        <v>377</v>
      </c>
    </row>
    <row r="21445" spans="1:44" ht="45">
      <c r="A21445" s="4" t="s">
        <v>24364</v>
      </c>
      <c r="B21445" s="4">
        <v>127191</v>
      </c>
      <c r="D21445" s="5" t="s">
        <v>27766</v>
      </c>
      <c r="E21445" s="6" t="str">
        <f>HYPERLINK("https://inpn.mnhn.fr/espece/cd_nom/127191","Trichophorum alpinum (L.) Pers., 1805")</f>
        <v>Trichophorum alpinum (L.) Pers., 1805</v>
      </c>
      <c r="F21445" s="5" t="s">
        <v>27767</v>
      </c>
      <c r="Q21445" s="7" t="str">
        <f>HYPERLINK("#Liste_rouge!A"&amp;_xlfn.XMATCH("LC",Liste_rouge!A:A,2,1),"LC")</f>
        <v>LC</v>
      </c>
      <c r="V21445" s="7" t="str">
        <f>HYPERLINK("#Liste_rouge!A"&amp;_xlfn.XMATCH("NT",Liste_rouge!A:A,2,1),"NT")</f>
        <v>NT</v>
      </c>
      <c r="W21445" s="4" t="str">
        <f>HYPERLINK("#Critères_liste_rouge!A$1","pr. B2b(iii)")</f>
        <v>pr. B2b(iii)</v>
      </c>
      <c r="X21445" s="5" t="s">
        <v>374</v>
      </c>
      <c r="AB21445" s="4" t="s">
        <v>93</v>
      </c>
      <c r="AH21445" s="4" t="str">
        <f>HYPERLINK("#Statut_biogéographique!A"&amp;_xlfn.XMATCH("P",Statut_biogéographique!A:A,2,1),"P")</f>
        <v>P</v>
      </c>
      <c r="AM21445" s="4" t="s">
        <v>375</v>
      </c>
      <c r="AN21445" s="4" t="s">
        <v>375</v>
      </c>
      <c r="AO21445" s="4" t="s">
        <v>375</v>
      </c>
      <c r="AP21445" s="4" t="s">
        <v>376</v>
      </c>
      <c r="AR21445" s="4" t="s">
        <v>377</v>
      </c>
    </row>
    <row r="21446" spans="1:44" ht="30">
      <c r="A21446" s="4" t="s">
        <v>24364</v>
      </c>
      <c r="B21446" s="4">
        <v>127193</v>
      </c>
      <c r="D21446" s="5" t="s">
        <v>27768</v>
      </c>
      <c r="E21446" s="6" t="str">
        <f>HYPERLINK("https://inpn.mnhn.fr/espece/cd_nom/127193","Trichophorum cespitosum (L.) Hartm., 1849")</f>
        <v>Trichophorum cespitosum (L.) Hartm., 1849</v>
      </c>
      <c r="F21446" s="5" t="s">
        <v>27769</v>
      </c>
      <c r="M21446" s="4" t="str">
        <f>HYPERLINK("#Réglementation!A"&amp;_xlfn.XMATCH("RV26",Réglementation!A:A,2,1),"RV26")</f>
        <v>RV26</v>
      </c>
      <c r="Q21446" s="7" t="str">
        <f>HYPERLINK("#Liste_rouge!A"&amp;_xlfn.XMATCH("LC",Liste_rouge!A:A,2,1),"LC")</f>
        <v>LC</v>
      </c>
      <c r="T21446" s="7" t="str">
        <f>HYPERLINK("#Liste_rouge!A"&amp;_xlfn.XMATCH("CR",Liste_rouge!A:A,2,1),"CR")</f>
        <v>CR</v>
      </c>
      <c r="U21446" s="4" t="str">
        <f>HYPERLINK("#Critères_liste_rouge!A$1","B1 B2ab(ii,iii,iv,v) C2a(i) D1")</f>
        <v>B1 B2ab(ii,iii,iv,v) C2a(i) D1</v>
      </c>
      <c r="V21446" s="7" t="str">
        <f>HYPERLINK("#Liste_rouge!A"&amp;_xlfn.XMATCH("LC",Liste_rouge!A:A,2,1),"LC")</f>
        <v>LC</v>
      </c>
      <c r="AB21446" s="4" t="s">
        <v>27770</v>
      </c>
      <c r="AH21446" s="4" t="str">
        <f>HYPERLINK("#Statut_biogéographique!A"&amp;_xlfn.XMATCH("P",Statut_biogéographique!A:A,2,1),"P")</f>
        <v>P</v>
      </c>
      <c r="AM21446" s="4" t="s">
        <v>375</v>
      </c>
      <c r="AN21446" s="4" t="s">
        <v>375</v>
      </c>
      <c r="AO21446" s="4" t="s">
        <v>375</v>
      </c>
      <c r="AP21446" s="4" t="s">
        <v>376</v>
      </c>
      <c r="AR21446" s="4" t="s">
        <v>377</v>
      </c>
    </row>
    <row r="21447" spans="1:44" ht="30">
      <c r="A21447" s="4" t="s">
        <v>24364</v>
      </c>
      <c r="B21447" s="4">
        <v>127216</v>
      </c>
      <c r="D21447" s="5" t="s">
        <v>27771</v>
      </c>
      <c r="E21447" s="6" t="str">
        <f>HYPERLINK("https://inpn.mnhn.fr/espece/cd_nom/127216","Trifolium alpestre L., 1763")</f>
        <v>Trifolium alpestre L., 1763</v>
      </c>
      <c r="F21447" s="5" t="s">
        <v>27772</v>
      </c>
      <c r="P21447" s="7" t="str">
        <f>HYPERLINK("#Liste_rouge!A"&amp;_xlfn.XMATCH("LC",Liste_rouge!A:A,2,1),"LC")</f>
        <v>LC</v>
      </c>
      <c r="Q21447" s="7" t="str">
        <f>HYPERLINK("#Liste_rouge!A"&amp;_xlfn.XMATCH("LC",Liste_rouge!A:A,2,1),"LC")</f>
        <v>LC</v>
      </c>
      <c r="T21447" s="7" t="str">
        <f>HYPERLINK("#Liste_rouge!A"&amp;_xlfn.XMATCH("NT",Liste_rouge!A:A,2,1),"NT")</f>
        <v>NT</v>
      </c>
      <c r="U21447" s="4" t="str">
        <f>HYPERLINK("#Critères_liste_rouge!A$1","pr. D2")</f>
        <v>pr. D2</v>
      </c>
      <c r="V21447" s="7" t="str">
        <f>HYPERLINK("#Liste_rouge!A"&amp;_xlfn.XMATCH("RE",Liste_rouge!A:A,2,1),"RE")</f>
        <v>RE</v>
      </c>
      <c r="AB21447" s="4" t="s">
        <v>24855</v>
      </c>
      <c r="AH21447" s="4" t="str">
        <f>HYPERLINK("#Statut_biogéographique!A"&amp;_xlfn.XMATCH("P",Statut_biogéographique!A:A,2,1),"P")</f>
        <v>P</v>
      </c>
      <c r="AM21447" s="4" t="s">
        <v>375</v>
      </c>
      <c r="AN21447" s="4" t="s">
        <v>375</v>
      </c>
      <c r="AO21447" s="4" t="s">
        <v>375</v>
      </c>
      <c r="AP21447" s="4" t="s">
        <v>376</v>
      </c>
      <c r="AR21447" s="4" t="s">
        <v>377</v>
      </c>
    </row>
    <row r="21448" spans="1:44" ht="30">
      <c r="A21448" s="4" t="s">
        <v>24364</v>
      </c>
      <c r="B21448" s="4">
        <v>127223</v>
      </c>
      <c r="D21448" s="5" t="s">
        <v>27773</v>
      </c>
      <c r="E21448" s="6" t="str">
        <f>HYPERLINK("https://inpn.mnhn.fr/espece/cd_nom/127223","Trifolium angustifolium L., 1753")</f>
        <v>Trifolium angustifolium L., 1753</v>
      </c>
      <c r="F21448" s="5" t="s">
        <v>27774</v>
      </c>
      <c r="O21448" s="7" t="str">
        <f>HYPERLINK("#Liste_rouge!A"&amp;_xlfn.XMATCH("LC",Liste_rouge!A:A,2,1),"LC")</f>
        <v>LC</v>
      </c>
      <c r="P21448" s="7" t="str">
        <f>HYPERLINK("#Liste_rouge!A"&amp;_xlfn.XMATCH("LC",Liste_rouge!A:A,2,1),"LC")</f>
        <v>LC</v>
      </c>
      <c r="Q21448" s="7" t="str">
        <f>HYPERLINK("#Liste_rouge!A"&amp;_xlfn.XMATCH("LC",Liste_rouge!A:A,2,1),"LC")</f>
        <v>LC</v>
      </c>
      <c r="T21448" s="7" t="str">
        <f>HYPERLINK("#Liste_rouge!A"&amp;_xlfn.XMATCH("NA",Liste_rouge!A:A,2,1),"NA")</f>
        <v>NA</v>
      </c>
      <c r="AH21448" s="4" t="str">
        <f>HYPERLINK("#Statut_biogéographique!A"&amp;_xlfn.XMATCH("P",Statut_biogéographique!A:A,2,1),"P")</f>
        <v>P</v>
      </c>
      <c r="AP21448" s="4" t="s">
        <v>376</v>
      </c>
      <c r="AR21448" s="4" t="s">
        <v>377</v>
      </c>
    </row>
    <row r="21449" spans="1:44" ht="90">
      <c r="A21449" s="4" t="s">
        <v>24364</v>
      </c>
      <c r="B21449" s="4">
        <v>127230</v>
      </c>
      <c r="D21449" s="5" t="s">
        <v>27775</v>
      </c>
      <c r="E21449" s="6" t="str">
        <f>HYPERLINK("https://inpn.mnhn.fr/espece/cd_nom/127230","Trifolium arvense L., 1753")</f>
        <v>Trifolium arvense L., 1753</v>
      </c>
      <c r="F21449" s="5" t="s">
        <v>27776</v>
      </c>
      <c r="P21449" s="7" t="str">
        <f>HYPERLINK("#Liste_rouge!A"&amp;_xlfn.XMATCH("LC",Liste_rouge!A:A,2,1),"LC")</f>
        <v>LC</v>
      </c>
      <c r="Q21449" s="7" t="str">
        <f>HYPERLINK("#Liste_rouge!A"&amp;_xlfn.XMATCH("LC",Liste_rouge!A:A,2,1),"LC")</f>
        <v>LC</v>
      </c>
      <c r="T21449" s="7" t="str">
        <f>HYPERLINK("#Liste_rouge!A"&amp;_xlfn.XMATCH("LC",Liste_rouge!A:A,2,1),"LC")</f>
        <v>LC</v>
      </c>
      <c r="V21449" s="7" t="str">
        <f>HYPERLINK("#Liste_rouge!A"&amp;_xlfn.XMATCH("LC",Liste_rouge!A:A,2,1),"LC")</f>
        <v>LC</v>
      </c>
      <c r="AH21449" s="4" t="str">
        <f>HYPERLINK("#Statut_biogéographique!A"&amp;_xlfn.XMATCH("P",Statut_biogéographique!A:A,2,1),"P")</f>
        <v>P</v>
      </c>
      <c r="AM21449" s="4" t="s">
        <v>375</v>
      </c>
      <c r="AN21449" s="4" t="s">
        <v>375</v>
      </c>
      <c r="AO21449" s="4" t="s">
        <v>375</v>
      </c>
      <c r="AP21449" s="4" t="s">
        <v>376</v>
      </c>
      <c r="AR21449" s="4" t="s">
        <v>377</v>
      </c>
    </row>
    <row r="21450" spans="1:44" ht="30">
      <c r="A21450" s="4" t="s">
        <v>24364</v>
      </c>
      <c r="B21450" s="4">
        <v>127233</v>
      </c>
      <c r="D21450" s="5" t="s">
        <v>27777</v>
      </c>
      <c r="E21450" s="6" t="str">
        <f>HYPERLINK("https://inpn.mnhn.fr/espece/cd_nom/127233","Trifolium aureum Pollich, 1777")</f>
        <v>Trifolium aureum Pollich, 1777</v>
      </c>
      <c r="F21450" s="5" t="s">
        <v>27778</v>
      </c>
      <c r="Q21450" s="7" t="str">
        <f>HYPERLINK("#Liste_rouge!A"&amp;_xlfn.XMATCH("LC",Liste_rouge!A:A,2,1),"LC")</f>
        <v>LC</v>
      </c>
      <c r="T21450" s="7" t="str">
        <f>HYPERLINK("#Liste_rouge!A"&amp;_xlfn.XMATCH("VU",Liste_rouge!A:A,2,1),"VU")</f>
        <v>VU</v>
      </c>
      <c r="U21450" s="4" t="str">
        <f>HYPERLINK("#Critères_liste_rouge!A$1","D2")</f>
        <v>D2</v>
      </c>
      <c r="V21450" s="7" t="str">
        <f>HYPERLINK("#Liste_rouge!A"&amp;_xlfn.XMATCH("LC",Liste_rouge!A:A,2,1),"LC")</f>
        <v>LC</v>
      </c>
      <c r="AB21450" s="4" t="s">
        <v>24803</v>
      </c>
      <c r="AH21450" s="4" t="str">
        <f>HYPERLINK("#Statut_biogéographique!A"&amp;_xlfn.XMATCH("P",Statut_biogéographique!A:A,2,1),"P")</f>
        <v>P</v>
      </c>
      <c r="AM21450" s="4" t="s">
        <v>375</v>
      </c>
      <c r="AN21450" s="4" t="s">
        <v>375</v>
      </c>
      <c r="AO21450" s="4" t="s">
        <v>375</v>
      </c>
      <c r="AP21450" s="4" t="s">
        <v>376</v>
      </c>
      <c r="AR21450" s="4" t="s">
        <v>377</v>
      </c>
    </row>
    <row r="21451" spans="1:44" ht="30">
      <c r="A21451" s="4" t="s">
        <v>24364</v>
      </c>
      <c r="B21451" s="4">
        <v>127237</v>
      </c>
      <c r="D21451" s="5" t="s">
        <v>27779</v>
      </c>
      <c r="E21451" s="6" t="str">
        <f>HYPERLINK("https://inpn.mnhn.fr/espece/cd_nom/127237","Trifolium badium Schreb., 1804")</f>
        <v>Trifolium badium Schreb., 1804</v>
      </c>
      <c r="F21451" s="5" t="s">
        <v>27780</v>
      </c>
      <c r="Q21451" s="7" t="str">
        <f>HYPERLINK("#Liste_rouge!A"&amp;_xlfn.XMATCH("LC",Liste_rouge!A:A,2,1),"LC")</f>
        <v>LC</v>
      </c>
      <c r="V21451" s="7" t="str">
        <f>HYPERLINK("#Liste_rouge!A"&amp;_xlfn.XMATCH("CR",Liste_rouge!A:A,2,1),"CR")</f>
        <v>CR</v>
      </c>
      <c r="W21451" s="4" t="str">
        <f>HYPERLINK("#Critères_liste_rouge!A$1","D")</f>
        <v>D</v>
      </c>
      <c r="X21451" s="5" t="s">
        <v>374</v>
      </c>
      <c r="AB21451" s="4" t="s">
        <v>93</v>
      </c>
      <c r="AH21451" s="4" t="str">
        <f>HYPERLINK("#Statut_biogéographique!A"&amp;_xlfn.XMATCH("P",Statut_biogéographique!A:A,2,1),"P")</f>
        <v>P</v>
      </c>
      <c r="AM21451" s="4" t="s">
        <v>375</v>
      </c>
      <c r="AN21451" s="4" t="s">
        <v>375</v>
      </c>
      <c r="AO21451" s="4" t="s">
        <v>375</v>
      </c>
      <c r="AP21451" s="4" t="s">
        <v>376</v>
      </c>
      <c r="AR21451" s="4" t="s">
        <v>377</v>
      </c>
    </row>
    <row r="21452" spans="1:44" ht="75">
      <c r="A21452" s="4" t="s">
        <v>24364</v>
      </c>
      <c r="B21452" s="4">
        <v>127259</v>
      </c>
      <c r="D21452" s="5" t="s">
        <v>27781</v>
      </c>
      <c r="E21452" s="6" t="str">
        <f>HYPERLINK("https://inpn.mnhn.fr/espece/cd_nom/127259","Trifolium campestre Schreb., 1804")</f>
        <v>Trifolium campestre Schreb., 1804</v>
      </c>
      <c r="F21452" s="5" t="s">
        <v>27782</v>
      </c>
      <c r="Q21452" s="7" t="str">
        <f>HYPERLINK("#Liste_rouge!A"&amp;_xlfn.XMATCH("LC",Liste_rouge!A:A,2,1),"LC")</f>
        <v>LC</v>
      </c>
      <c r="T21452" s="7" t="str">
        <f>HYPERLINK("#Liste_rouge!A"&amp;_xlfn.XMATCH("LC",Liste_rouge!A:A,2,1),"LC")</f>
        <v>LC</v>
      </c>
      <c r="V21452" s="7" t="str">
        <f>HYPERLINK("#Liste_rouge!A"&amp;_xlfn.XMATCH("LC",Liste_rouge!A:A,2,1),"LC")</f>
        <v>LC</v>
      </c>
      <c r="AH21452" s="4" t="str">
        <f>HYPERLINK("#Statut_biogéographique!A"&amp;_xlfn.XMATCH("P",Statut_biogéographique!A:A,2,1),"P")</f>
        <v>P</v>
      </c>
      <c r="AM21452" s="4" t="s">
        <v>375</v>
      </c>
      <c r="AN21452" s="4" t="s">
        <v>375</v>
      </c>
      <c r="AO21452" s="4" t="s">
        <v>375</v>
      </c>
      <c r="AP21452" s="4" t="s">
        <v>376</v>
      </c>
      <c r="AR21452" s="4" t="s">
        <v>377</v>
      </c>
    </row>
    <row r="21453" spans="1:44" ht="30">
      <c r="A21453" s="4" t="s">
        <v>24364</v>
      </c>
      <c r="B21453" s="4">
        <v>127294</v>
      </c>
      <c r="D21453" s="5" t="s">
        <v>27783</v>
      </c>
      <c r="E21453" s="6" t="str">
        <f>HYPERLINK("https://inpn.mnhn.fr/espece/cd_nom/127294","Trifolium dubium Sibth., 1794")</f>
        <v>Trifolium dubium Sibth., 1794</v>
      </c>
      <c r="F21453" s="5" t="s">
        <v>27784</v>
      </c>
      <c r="Q21453" s="7" t="str">
        <f>HYPERLINK("#Liste_rouge!A"&amp;_xlfn.XMATCH("LC",Liste_rouge!A:A,2,1),"LC")</f>
        <v>LC</v>
      </c>
      <c r="T21453" s="7" t="str">
        <f>HYPERLINK("#Liste_rouge!A"&amp;_xlfn.XMATCH("LC",Liste_rouge!A:A,2,1),"LC")</f>
        <v>LC</v>
      </c>
      <c r="V21453" s="7" t="str">
        <f>HYPERLINK("#Liste_rouge!A"&amp;_xlfn.XMATCH("LC",Liste_rouge!A:A,2,1),"LC")</f>
        <v>LC</v>
      </c>
      <c r="AH21453" s="4" t="str">
        <f>HYPERLINK("#Statut_biogéographique!A"&amp;_xlfn.XMATCH("P",Statut_biogéographique!A:A,2,1),"P")</f>
        <v>P</v>
      </c>
      <c r="AM21453" s="4" t="s">
        <v>375</v>
      </c>
      <c r="AN21453" s="4" t="s">
        <v>375</v>
      </c>
      <c r="AO21453" s="4" t="s">
        <v>375</v>
      </c>
      <c r="AP21453" s="4" t="s">
        <v>376</v>
      </c>
      <c r="AR21453" s="4" t="s">
        <v>377</v>
      </c>
    </row>
    <row r="21454" spans="1:44" ht="45">
      <c r="A21454" s="4" t="s">
        <v>24364</v>
      </c>
      <c r="B21454" s="4">
        <v>127314</v>
      </c>
      <c r="D21454" s="5" t="s">
        <v>27785</v>
      </c>
      <c r="E21454" s="6" t="str">
        <f>HYPERLINK("https://inpn.mnhn.fr/espece/cd_nom/127314","Trifolium fragiferum L., 1753")</f>
        <v>Trifolium fragiferum L., 1753</v>
      </c>
      <c r="F21454" s="5" t="s">
        <v>27786</v>
      </c>
      <c r="Q21454" s="7" t="str">
        <f>HYPERLINK("#Liste_rouge!A"&amp;_xlfn.XMATCH("LC",Liste_rouge!A:A,2,1),"LC")</f>
        <v>LC</v>
      </c>
      <c r="T21454" s="7" t="str">
        <f>HYPERLINK("#Liste_rouge!A"&amp;_xlfn.XMATCH("LC",Liste_rouge!A:A,2,1),"LC")</f>
        <v>LC</v>
      </c>
      <c r="V21454" s="7" t="str">
        <f>HYPERLINK("#Liste_rouge!A"&amp;_xlfn.XMATCH("LC",Liste_rouge!A:A,2,1),"LC")</f>
        <v>LC</v>
      </c>
      <c r="AH21454" s="4" t="str">
        <f>HYPERLINK("#Statut_biogéographique!A"&amp;_xlfn.XMATCH("P",Statut_biogéographique!A:A,2,1),"P")</f>
        <v>P</v>
      </c>
      <c r="AM21454" s="4" t="s">
        <v>375</v>
      </c>
      <c r="AN21454" s="4" t="s">
        <v>375</v>
      </c>
      <c r="AO21454" s="4" t="s">
        <v>375</v>
      </c>
      <c r="AP21454" s="4" t="s">
        <v>376</v>
      </c>
      <c r="AR21454" s="4" t="s">
        <v>377</v>
      </c>
    </row>
    <row r="21455" spans="1:44">
      <c r="A21455" s="4" t="s">
        <v>24364</v>
      </c>
      <c r="B21455" s="4">
        <v>127337</v>
      </c>
      <c r="D21455" s="5" t="s">
        <v>27787</v>
      </c>
      <c r="E21455" s="6" t="str">
        <f>HYPERLINK("https://inpn.mnhn.fr/espece/cd_nom/127337","Trifolium hybridum L., 1753")</f>
        <v>Trifolium hybridum L., 1753</v>
      </c>
      <c r="F21455" s="5" t="s">
        <v>27788</v>
      </c>
      <c r="P21455" s="7" t="str">
        <f>HYPERLINK("#Liste_rouge!A"&amp;_xlfn.XMATCH("LC",Liste_rouge!A:A,2,1),"LC")</f>
        <v>LC</v>
      </c>
      <c r="Q21455" s="7" t="str">
        <f>HYPERLINK("#Liste_rouge!A"&amp;_xlfn.XMATCH("LC",Liste_rouge!A:A,2,1),"LC")</f>
        <v>LC</v>
      </c>
      <c r="T21455" s="7" t="str">
        <f>HYPERLINK("#Liste_rouge!A"&amp;_xlfn.XMATCH("LC",Liste_rouge!A:A,2,1),"LC")</f>
        <v>LC</v>
      </c>
      <c r="V21455" s="7" t="str">
        <f>HYPERLINK("#Liste_rouge!A"&amp;_xlfn.XMATCH("LC",Liste_rouge!A:A,2,1),"LC")</f>
        <v>LC</v>
      </c>
      <c r="AH21455" s="4" t="str">
        <f>HYPERLINK("#Statut_biogéographique!A"&amp;_xlfn.XMATCH("P",Statut_biogéographique!A:A,2,1),"P")</f>
        <v>P</v>
      </c>
      <c r="AM21455" s="4" t="s">
        <v>375</v>
      </c>
      <c r="AN21455" s="4" t="s">
        <v>375</v>
      </c>
      <c r="AO21455" s="4" t="s">
        <v>375</v>
      </c>
      <c r="AP21455" s="4" t="s">
        <v>376</v>
      </c>
      <c r="AR21455" s="4" t="s">
        <v>377</v>
      </c>
    </row>
    <row r="21456" spans="1:44">
      <c r="A21456" s="4" t="s">
        <v>24364</v>
      </c>
      <c r="B21456" s="4">
        <v>127340</v>
      </c>
      <c r="D21456" s="5">
        <v>127340</v>
      </c>
      <c r="E21456" s="6" t="str">
        <f>HYPERLINK("https://inpn.mnhn.fr/espece/cd_nom/127340","Trifolium incarnatum L., 1753")</f>
        <v>Trifolium incarnatum L., 1753</v>
      </c>
      <c r="F21456" s="5" t="s">
        <v>27789</v>
      </c>
      <c r="O21456" s="7" t="str">
        <f>HYPERLINK("#Liste_rouge!A"&amp;_xlfn.XMATCH("LC",Liste_rouge!A:A,2,1),"LC")</f>
        <v>LC</v>
      </c>
      <c r="P21456" s="7" t="str">
        <f>HYPERLINK("#Liste_rouge!A"&amp;_xlfn.XMATCH("LC",Liste_rouge!A:A,2,1),"LC")</f>
        <v>LC</v>
      </c>
      <c r="Q21456" s="7" t="str">
        <f>HYPERLINK("#Liste_rouge!A"&amp;_xlfn.XMATCH("LC",Liste_rouge!A:A,2,1),"LC")</f>
        <v>LC</v>
      </c>
      <c r="T21456" s="7" t="str">
        <f>HYPERLINK("#Liste_rouge!A"&amp;_xlfn.XMATCH("LC",Liste_rouge!A:A,2,1),"LC")</f>
        <v>LC</v>
      </c>
      <c r="AH21456" s="4" t="str">
        <f>HYPERLINK("#Statut_biogéographique!A"&amp;_xlfn.XMATCH("P",Statut_biogéographique!A:A,2,1),"P")</f>
        <v>P</v>
      </c>
      <c r="AM21456" s="4" t="s">
        <v>375</v>
      </c>
      <c r="AN21456" s="4" t="s">
        <v>375</v>
      </c>
      <c r="AO21456" s="4" t="s">
        <v>375</v>
      </c>
      <c r="AP21456" s="4" t="s">
        <v>376</v>
      </c>
      <c r="AR21456" s="4" t="s">
        <v>377</v>
      </c>
    </row>
    <row r="21457" spans="1:44" ht="45">
      <c r="A21457" s="4" t="s">
        <v>24364</v>
      </c>
      <c r="B21457" s="4">
        <v>127382</v>
      </c>
      <c r="D21457" s="5" t="s">
        <v>27790</v>
      </c>
      <c r="E21457" s="6" t="str">
        <f>HYPERLINK("https://inpn.mnhn.fr/espece/cd_nom/127382","Trifolium medium L., 1759")</f>
        <v>Trifolium medium L., 1759</v>
      </c>
      <c r="F21457" s="5" t="s">
        <v>27791</v>
      </c>
      <c r="Q21457" s="7" t="str">
        <f>HYPERLINK("#Liste_rouge!A"&amp;_xlfn.XMATCH("LC",Liste_rouge!A:A,2,1),"LC")</f>
        <v>LC</v>
      </c>
      <c r="T21457" s="7" t="str">
        <f>HYPERLINK("#Liste_rouge!A"&amp;_xlfn.XMATCH("LC",Liste_rouge!A:A,2,1),"LC")</f>
        <v>LC</v>
      </c>
      <c r="V21457" s="7" t="str">
        <f>HYPERLINK("#Liste_rouge!A"&amp;_xlfn.XMATCH("LC",Liste_rouge!A:A,2,1),"LC")</f>
        <v>LC</v>
      </c>
      <c r="AH21457" s="4" t="str">
        <f>HYPERLINK("#Statut_biogéographique!A"&amp;_xlfn.XMATCH("P",Statut_biogéographique!A:A,2,1),"P")</f>
        <v>P</v>
      </c>
      <c r="AM21457" s="4" t="s">
        <v>375</v>
      </c>
      <c r="AN21457" s="4" t="s">
        <v>375</v>
      </c>
      <c r="AO21457" s="4" t="s">
        <v>375</v>
      </c>
      <c r="AP21457" s="4" t="s">
        <v>376</v>
      </c>
      <c r="AR21457" s="4" t="s">
        <v>377</v>
      </c>
    </row>
    <row r="21458" spans="1:44">
      <c r="A21458" s="4" t="s">
        <v>24364</v>
      </c>
      <c r="B21458" s="4">
        <v>127386</v>
      </c>
      <c r="D21458" s="5" t="s">
        <v>27792</v>
      </c>
      <c r="E21458" s="6" t="str">
        <f>HYPERLINK("https://inpn.mnhn.fr/espece/cd_nom/127386","Trifolium michelianum Savi, 1798")</f>
        <v>Trifolium michelianum Savi, 1798</v>
      </c>
      <c r="F21458" s="5" t="s">
        <v>27793</v>
      </c>
      <c r="Q21458" s="7" t="str">
        <f>HYPERLINK("#Liste_rouge!A"&amp;_xlfn.XMATCH("LC",Liste_rouge!A:A,2,1),"LC")</f>
        <v>LC</v>
      </c>
      <c r="T21458" s="7" t="str">
        <f>HYPERLINK("#Liste_rouge!A"&amp;_xlfn.XMATCH("CR",Liste_rouge!A:A,2,1),"CR")</f>
        <v>CR</v>
      </c>
      <c r="U21458" s="4" t="str">
        <f>HYPERLINK("#Critères_liste_rouge!A$1","B1 B2ab(ii,iii,iv)")</f>
        <v>B1 B2ab(ii,iii,iv)</v>
      </c>
      <c r="X21458" s="5" t="s">
        <v>374</v>
      </c>
      <c r="AB21458" s="4" t="s">
        <v>93</v>
      </c>
      <c r="AH21458" s="4" t="str">
        <f>HYPERLINK("#Statut_biogéographique!A"&amp;_xlfn.XMATCH("P",Statut_biogéographique!A:A,2,1),"P")</f>
        <v>P</v>
      </c>
      <c r="AM21458" s="4" t="s">
        <v>375</v>
      </c>
      <c r="AN21458" s="4" t="s">
        <v>375</v>
      </c>
      <c r="AO21458" s="4" t="s">
        <v>375</v>
      </c>
      <c r="AP21458" s="4" t="s">
        <v>376</v>
      </c>
      <c r="AR21458" s="4" t="s">
        <v>377</v>
      </c>
    </row>
    <row r="21459" spans="1:44" ht="45">
      <c r="A21459" s="4" t="s">
        <v>24364</v>
      </c>
      <c r="B21459" s="4">
        <v>127387</v>
      </c>
      <c r="D21459" s="5" t="s">
        <v>27794</v>
      </c>
      <c r="E21459" s="6" t="str">
        <f>HYPERLINK("https://inpn.mnhn.fr/espece/cd_nom/127387","Trifolium micranthum Viv., 1824")</f>
        <v>Trifolium micranthum Viv., 1824</v>
      </c>
      <c r="F21459" s="5" t="s">
        <v>27795</v>
      </c>
      <c r="Q21459" s="7" t="str">
        <f>HYPERLINK("#Liste_rouge!A"&amp;_xlfn.XMATCH("LC",Liste_rouge!A:A,2,1),"LC")</f>
        <v>LC</v>
      </c>
      <c r="T21459" s="7" t="str">
        <f>HYPERLINK("#Liste_rouge!A"&amp;_xlfn.XMATCH("RE",Liste_rouge!A:A,2,1),"RE")</f>
        <v>RE</v>
      </c>
      <c r="AH21459" s="4" t="str">
        <f>HYPERLINK("#Statut_biogéographique!A"&amp;_xlfn.XMATCH("P",Statut_biogéographique!A:A,2,1),"P")</f>
        <v>P</v>
      </c>
      <c r="AM21459" s="4" t="s">
        <v>375</v>
      </c>
      <c r="AN21459" s="4" t="s">
        <v>375</v>
      </c>
      <c r="AO21459" s="4" t="s">
        <v>375</v>
      </c>
      <c r="AP21459" s="4" t="s">
        <v>376</v>
      </c>
      <c r="AR21459" s="4" t="s">
        <v>377</v>
      </c>
    </row>
    <row r="21460" spans="1:44">
      <c r="A21460" s="4" t="s">
        <v>24364</v>
      </c>
      <c r="B21460" s="4">
        <v>127395</v>
      </c>
      <c r="D21460" s="5" t="s">
        <v>27796</v>
      </c>
      <c r="E21460" s="6" t="str">
        <f>HYPERLINK("https://inpn.mnhn.fr/espece/cd_nom/127395","Trifolium montanum L., 1753")</f>
        <v>Trifolium montanum L., 1753</v>
      </c>
      <c r="F21460" s="5" t="s">
        <v>27797</v>
      </c>
      <c r="Q21460" s="7" t="str">
        <f>HYPERLINK("#Liste_rouge!A"&amp;_xlfn.XMATCH("LC",Liste_rouge!A:A,2,1),"LC")</f>
        <v>LC</v>
      </c>
      <c r="T21460" s="7" t="str">
        <f>HYPERLINK("#Liste_rouge!A"&amp;_xlfn.XMATCH("LC",Liste_rouge!A:A,2,1),"LC")</f>
        <v>LC</v>
      </c>
      <c r="AB21460" s="4" t="s">
        <v>26989</v>
      </c>
      <c r="AH21460" s="4" t="str">
        <f>HYPERLINK("#Statut_biogéographique!A"&amp;_xlfn.XMATCH("P",Statut_biogéographique!A:A,2,1),"P")</f>
        <v>P</v>
      </c>
      <c r="AM21460" s="4" t="s">
        <v>375</v>
      </c>
      <c r="AN21460" s="4" t="s">
        <v>375</v>
      </c>
      <c r="AO21460" s="4" t="s">
        <v>375</v>
      </c>
      <c r="AP21460" s="4" t="s">
        <v>376</v>
      </c>
      <c r="AR21460" s="4" t="s">
        <v>377</v>
      </c>
    </row>
    <row r="21461" spans="1:44" ht="30">
      <c r="A21461" s="4" t="s">
        <v>24364</v>
      </c>
      <c r="B21461" s="4">
        <v>127402</v>
      </c>
      <c r="D21461" s="5" t="s">
        <v>27798</v>
      </c>
      <c r="E21461" s="6" t="str">
        <f>HYPERLINK("https://inpn.mnhn.fr/espece/cd_nom/127402","Trifolium nigrescens Viv., 1808")</f>
        <v>Trifolium nigrescens Viv., 1808</v>
      </c>
      <c r="F21461" s="5" t="s">
        <v>27799</v>
      </c>
      <c r="P21461" s="7" t="str">
        <f>HYPERLINK("#Liste_rouge!A"&amp;_xlfn.XMATCH("LC",Liste_rouge!A:A,2,1),"LC")</f>
        <v>LC</v>
      </c>
      <c r="Q21461" s="7" t="str">
        <f>HYPERLINK("#Liste_rouge!A"&amp;_xlfn.XMATCH("LC",Liste_rouge!A:A,2,1),"LC")</f>
        <v>LC</v>
      </c>
      <c r="T21461" s="7" t="str">
        <f>HYPERLINK("#Liste_rouge!A"&amp;_xlfn.XMATCH("NA",Liste_rouge!A:A,2,1),"NA")</f>
        <v>NA</v>
      </c>
      <c r="AH21461" s="4" t="str">
        <f>HYPERLINK("#Statut_biogéographique!A"&amp;_xlfn.XMATCH("P",Statut_biogéographique!A:A,2,1),"P")</f>
        <v>P</v>
      </c>
      <c r="AP21461" s="4" t="s">
        <v>376</v>
      </c>
      <c r="AR21461" s="4" t="s">
        <v>377</v>
      </c>
    </row>
    <row r="21462" spans="1:44" ht="45">
      <c r="A21462" s="4" t="s">
        <v>24364</v>
      </c>
      <c r="B21462" s="4">
        <v>127412</v>
      </c>
      <c r="D21462" s="5" t="s">
        <v>27800</v>
      </c>
      <c r="E21462" s="6" t="str">
        <f>HYPERLINK("https://inpn.mnhn.fr/espece/cd_nom/127412","Trifolium ochroleucon Huds., 1762")</f>
        <v>Trifolium ochroleucon Huds., 1762</v>
      </c>
      <c r="F21462" s="5" t="s">
        <v>27801</v>
      </c>
      <c r="Q21462" s="7" t="str">
        <f>HYPERLINK("#Liste_rouge!A"&amp;_xlfn.XMATCH("LC",Liste_rouge!A:A,2,1),"LC")</f>
        <v>LC</v>
      </c>
      <c r="T21462" s="7" t="str">
        <f>HYPERLINK("#Liste_rouge!A"&amp;_xlfn.XMATCH("LC",Liste_rouge!A:A,2,1),"LC")</f>
        <v>LC</v>
      </c>
      <c r="V21462" s="7" t="str">
        <f>HYPERLINK("#Liste_rouge!A"&amp;_xlfn.XMATCH("LC",Liste_rouge!A:A,2,1),"LC")</f>
        <v>LC</v>
      </c>
      <c r="AH21462" s="4" t="str">
        <f>HYPERLINK("#Statut_biogéographique!A"&amp;_xlfn.XMATCH("P",Statut_biogéographique!A:A,2,1),"P")</f>
        <v>P</v>
      </c>
      <c r="AM21462" s="4" t="s">
        <v>375</v>
      </c>
      <c r="AN21462" s="4" t="s">
        <v>375</v>
      </c>
      <c r="AO21462" s="4" t="s">
        <v>375</v>
      </c>
      <c r="AP21462" s="4" t="s">
        <v>376</v>
      </c>
      <c r="AR21462" s="4" t="s">
        <v>377</v>
      </c>
    </row>
    <row r="21463" spans="1:44" ht="45">
      <c r="A21463" s="4" t="s">
        <v>24364</v>
      </c>
      <c r="B21463" s="4">
        <v>127416</v>
      </c>
      <c r="D21463" s="5" t="s">
        <v>27802</v>
      </c>
      <c r="E21463" s="6" t="str">
        <f>HYPERLINK("https://inpn.mnhn.fr/espece/cd_nom/127416","Trifolium ornithopodioides L., 1753")</f>
        <v>Trifolium ornithopodioides L., 1753</v>
      </c>
      <c r="F21463" s="5" t="s">
        <v>27803</v>
      </c>
      <c r="Q21463" s="7" t="str">
        <f>HYPERLINK("#Liste_rouge!A"&amp;_xlfn.XMATCH("LC",Liste_rouge!A:A,2,1),"LC")</f>
        <v>LC</v>
      </c>
      <c r="T21463" s="7" t="str">
        <f>HYPERLINK("#Liste_rouge!A"&amp;_xlfn.XMATCH("CR",Liste_rouge!A:A,2,1),"CR")</f>
        <v>CR</v>
      </c>
      <c r="U21463" s="4" t="str">
        <f>HYPERLINK("#Critères_liste_rouge!A$1","C2a(i)")</f>
        <v>C2a(i)</v>
      </c>
      <c r="X21463" s="5" t="s">
        <v>374</v>
      </c>
      <c r="AB21463" s="4" t="s">
        <v>93</v>
      </c>
      <c r="AH21463" s="4" t="str">
        <f>HYPERLINK("#Statut_biogéographique!A"&amp;_xlfn.XMATCH("P",Statut_biogéographique!A:A,2,1),"P")</f>
        <v>P</v>
      </c>
      <c r="AM21463" s="4" t="s">
        <v>375</v>
      </c>
      <c r="AN21463" s="4" t="s">
        <v>375</v>
      </c>
      <c r="AO21463" s="4" t="s">
        <v>375</v>
      </c>
      <c r="AP21463" s="4" t="s">
        <v>376</v>
      </c>
      <c r="AR21463" s="4" t="s">
        <v>377</v>
      </c>
    </row>
    <row r="21464" spans="1:44">
      <c r="A21464" s="4" t="s">
        <v>24364</v>
      </c>
      <c r="B21464" s="4">
        <v>127423</v>
      </c>
      <c r="D21464" s="5" t="s">
        <v>27804</v>
      </c>
      <c r="E21464" s="6" t="str">
        <f>HYPERLINK("https://inpn.mnhn.fr/espece/cd_nom/127423","Trifolium pannonicum Jacq., 1767")</f>
        <v>Trifolium pannonicum Jacq., 1767</v>
      </c>
      <c r="F21464" s="5" t="s">
        <v>27805</v>
      </c>
      <c r="Q21464" s="7" t="str">
        <f>HYPERLINK("#Liste_rouge!A"&amp;_xlfn.XMATCH("VU",Liste_rouge!A:A,2,1),"VU")</f>
        <v>VU</v>
      </c>
      <c r="T21464" s="7" t="str">
        <f>HYPERLINK("#Liste_rouge!A"&amp;_xlfn.XMATCH("NA",Liste_rouge!A:A,2,1),"NA")</f>
        <v>NA</v>
      </c>
      <c r="AH21464" s="4" t="str">
        <f>HYPERLINK("#Statut_biogéographique!A"&amp;_xlfn.XMATCH("P",Statut_biogéographique!A:A,2,1),"P")</f>
        <v>P</v>
      </c>
      <c r="AP21464" s="4" t="s">
        <v>389</v>
      </c>
      <c r="AR21464" s="4" t="s">
        <v>377</v>
      </c>
    </row>
    <row r="21465" spans="1:44" ht="45">
      <c r="A21465" s="4" t="s">
        <v>24364</v>
      </c>
      <c r="B21465" s="4">
        <v>127429</v>
      </c>
      <c r="D21465" s="5" t="s">
        <v>27806</v>
      </c>
      <c r="E21465" s="6" t="str">
        <f>HYPERLINK("https://inpn.mnhn.fr/espece/cd_nom/127429","Trifolium patens Schreb., 1804")</f>
        <v>Trifolium patens Schreb., 1804</v>
      </c>
      <c r="F21465" s="5" t="s">
        <v>27807</v>
      </c>
      <c r="Q21465" s="7" t="str">
        <f>HYPERLINK("#Liste_rouge!A"&amp;_xlfn.XMATCH("LC",Liste_rouge!A:A,2,1),"LC")</f>
        <v>LC</v>
      </c>
      <c r="T21465" s="7" t="str">
        <f>HYPERLINK("#Liste_rouge!A"&amp;_xlfn.XMATCH("EN",Liste_rouge!A:A,2,1),"EN")</f>
        <v>EN</v>
      </c>
      <c r="U21465" s="4" t="str">
        <f>HYPERLINK("#Critères_liste_rouge!A$1","B2ab(ii,iii,iv) D1")</f>
        <v>B2ab(ii,iii,iv) D1</v>
      </c>
      <c r="V21465" s="7" t="str">
        <f>HYPERLINK("#Liste_rouge!A"&amp;_xlfn.XMATCH("LC",Liste_rouge!A:A,2,1),"LC")</f>
        <v>LC</v>
      </c>
      <c r="AB21465" s="4" t="s">
        <v>24382</v>
      </c>
      <c r="AH21465" s="4" t="str">
        <f>HYPERLINK("#Statut_biogéographique!A"&amp;_xlfn.XMATCH("P",Statut_biogéographique!A:A,2,1),"P")</f>
        <v>P</v>
      </c>
      <c r="AM21465" s="4" t="s">
        <v>375</v>
      </c>
      <c r="AN21465" s="4" t="s">
        <v>375</v>
      </c>
      <c r="AO21465" s="4" t="s">
        <v>375</v>
      </c>
      <c r="AP21465" s="4" t="s">
        <v>376</v>
      </c>
      <c r="AR21465" s="4" t="s">
        <v>377</v>
      </c>
    </row>
    <row r="21466" spans="1:44" ht="60">
      <c r="A21466" s="4" t="s">
        <v>24364</v>
      </c>
      <c r="B21466" s="4">
        <v>127439</v>
      </c>
      <c r="D21466" s="5" t="s">
        <v>27808</v>
      </c>
      <c r="E21466" s="6" t="str">
        <f>HYPERLINK("https://inpn.mnhn.fr/espece/cd_nom/127439","Trifolium pratense L., 1753")</f>
        <v>Trifolium pratense L., 1753</v>
      </c>
      <c r="F21466" s="5" t="s">
        <v>27809</v>
      </c>
      <c r="O21466" s="7" t="str">
        <f>HYPERLINK("#Liste_rouge!A"&amp;_xlfn.XMATCH("LC",Liste_rouge!A:A,2,1),"LC")</f>
        <v>LC</v>
      </c>
      <c r="P21466" s="7" t="str">
        <f>HYPERLINK("#Liste_rouge!A"&amp;_xlfn.XMATCH("LC",Liste_rouge!A:A,2,1),"LC")</f>
        <v>LC</v>
      </c>
      <c r="Q21466" s="7" t="str">
        <f>HYPERLINK("#Liste_rouge!A"&amp;_xlfn.XMATCH("LC",Liste_rouge!A:A,2,1),"LC")</f>
        <v>LC</v>
      </c>
      <c r="T21466" s="7" t="str">
        <f>HYPERLINK("#Liste_rouge!A"&amp;_xlfn.XMATCH("LC",Liste_rouge!A:A,2,1),"LC")</f>
        <v>LC</v>
      </c>
      <c r="V21466" s="7" t="str">
        <f>HYPERLINK("#Liste_rouge!A"&amp;_xlfn.XMATCH("LC",Liste_rouge!A:A,2,1),"LC")</f>
        <v>LC</v>
      </c>
      <c r="AH21466" s="4" t="str">
        <f>HYPERLINK("#Statut_biogéographique!A"&amp;_xlfn.XMATCH("P",Statut_biogéographique!A:A,2,1),"P")</f>
        <v>P</v>
      </c>
      <c r="AM21466" s="4" t="s">
        <v>375</v>
      </c>
      <c r="AN21466" s="4" t="s">
        <v>375</v>
      </c>
      <c r="AO21466" s="4" t="s">
        <v>375</v>
      </c>
      <c r="AP21466" s="4" t="s">
        <v>376</v>
      </c>
      <c r="AR21466" s="4" t="s">
        <v>377</v>
      </c>
    </row>
    <row r="21467" spans="1:44" ht="30">
      <c r="A21467" s="4" t="s">
        <v>24364</v>
      </c>
      <c r="B21467" s="4">
        <v>127454</v>
      </c>
      <c r="D21467" s="5" t="s">
        <v>27810</v>
      </c>
      <c r="E21467" s="6" t="str">
        <f>HYPERLINK("https://inpn.mnhn.fr/espece/cd_nom/127454","Trifolium repens L., 1753")</f>
        <v>Trifolium repens L., 1753</v>
      </c>
      <c r="F21467" s="5" t="s">
        <v>27811</v>
      </c>
      <c r="P21467" s="7" t="str">
        <f>HYPERLINK("#Liste_rouge!A"&amp;_xlfn.XMATCH("LC",Liste_rouge!A:A,2,1),"LC")</f>
        <v>LC</v>
      </c>
      <c r="Q21467" s="7" t="str">
        <f>HYPERLINK("#Liste_rouge!A"&amp;_xlfn.XMATCH("LC",Liste_rouge!A:A,2,1),"LC")</f>
        <v>LC</v>
      </c>
      <c r="T21467" s="7" t="str">
        <f>HYPERLINK("#Liste_rouge!A"&amp;_xlfn.XMATCH("LC",Liste_rouge!A:A,2,1),"LC")</f>
        <v>LC</v>
      </c>
      <c r="V21467" s="7" t="str">
        <f>HYPERLINK("#Liste_rouge!A"&amp;_xlfn.XMATCH("LC",Liste_rouge!A:A,2,1),"LC")</f>
        <v>LC</v>
      </c>
      <c r="AH21467" s="4" t="str">
        <f>HYPERLINK("#Statut_biogéographique!A"&amp;_xlfn.XMATCH("P",Statut_biogéographique!A:A,2,1),"P")</f>
        <v>P</v>
      </c>
      <c r="AM21467" s="4" t="s">
        <v>375</v>
      </c>
      <c r="AN21467" s="4" t="s">
        <v>375</v>
      </c>
      <c r="AO21467" s="4" t="s">
        <v>375</v>
      </c>
      <c r="AP21467" s="4" t="s">
        <v>376</v>
      </c>
      <c r="AR21467" s="4" t="s">
        <v>377</v>
      </c>
    </row>
    <row r="21468" spans="1:44">
      <c r="A21468" s="4" t="s">
        <v>24364</v>
      </c>
      <c r="B21468" s="4">
        <v>127457</v>
      </c>
      <c r="D21468" s="5" t="s">
        <v>27812</v>
      </c>
      <c r="E21468" s="6" t="str">
        <f>HYPERLINK("https://inpn.mnhn.fr/espece/cd_nom/127457","Trifolium resupinatum L., 1753")</f>
        <v>Trifolium resupinatum L., 1753</v>
      </c>
      <c r="F21468" s="5" t="s">
        <v>27813</v>
      </c>
      <c r="P21468" s="7" t="str">
        <f>HYPERLINK("#Liste_rouge!A"&amp;_xlfn.XMATCH("LC",Liste_rouge!A:A,2,1),"LC")</f>
        <v>LC</v>
      </c>
      <c r="Q21468" s="7" t="str">
        <f>HYPERLINK("#Liste_rouge!A"&amp;_xlfn.XMATCH("LC",Liste_rouge!A:A,2,1),"LC")</f>
        <v>LC</v>
      </c>
      <c r="T21468" s="7" t="str">
        <f>HYPERLINK("#Liste_rouge!A"&amp;_xlfn.XMATCH("NA",Liste_rouge!A:A,2,1),"NA")</f>
        <v>NA</v>
      </c>
      <c r="AH21468" s="4" t="str">
        <f>HYPERLINK("#Statut_biogéographique!A"&amp;_xlfn.XMATCH("P",Statut_biogéographique!A:A,2,1),"P")</f>
        <v>P</v>
      </c>
      <c r="AP21468" s="4" t="s">
        <v>376</v>
      </c>
      <c r="AR21468" s="4" t="s">
        <v>377</v>
      </c>
    </row>
    <row r="21469" spans="1:44" ht="45">
      <c r="A21469" s="4" t="s">
        <v>24364</v>
      </c>
      <c r="B21469" s="4">
        <v>127463</v>
      </c>
      <c r="D21469" s="5" t="s">
        <v>27814</v>
      </c>
      <c r="E21469" s="6" t="str">
        <f>HYPERLINK("https://inpn.mnhn.fr/espece/cd_nom/127463","Trifolium rubens L., 1753")</f>
        <v>Trifolium rubens L., 1753</v>
      </c>
      <c r="F21469" s="5" t="s">
        <v>27815</v>
      </c>
      <c r="Q21469" s="7" t="str">
        <f>HYPERLINK("#Liste_rouge!A"&amp;_xlfn.XMATCH("LC",Liste_rouge!A:A,2,1),"LC")</f>
        <v>LC</v>
      </c>
      <c r="T21469" s="7" t="str">
        <f>HYPERLINK("#Liste_rouge!A"&amp;_xlfn.XMATCH("LC",Liste_rouge!A:A,2,1),"LC")</f>
        <v>LC</v>
      </c>
      <c r="V21469" s="7" t="str">
        <f>HYPERLINK("#Liste_rouge!A"&amp;_xlfn.XMATCH("LC",Liste_rouge!A:A,2,1),"LC")</f>
        <v>LC</v>
      </c>
      <c r="AB21469" s="4" t="s">
        <v>24536</v>
      </c>
      <c r="AH21469" s="4" t="str">
        <f>HYPERLINK("#Statut_biogéographique!A"&amp;_xlfn.XMATCH("P",Statut_biogéographique!A:A,2,1),"P")</f>
        <v>P</v>
      </c>
      <c r="AM21469" s="4" t="s">
        <v>375</v>
      </c>
      <c r="AN21469" s="4" t="s">
        <v>375</v>
      </c>
      <c r="AO21469" s="4" t="s">
        <v>375</v>
      </c>
      <c r="AP21469" s="4" t="s">
        <v>376</v>
      </c>
      <c r="AR21469" s="4" t="s">
        <v>377</v>
      </c>
    </row>
    <row r="21470" spans="1:44">
      <c r="A21470" s="4" t="s">
        <v>24364</v>
      </c>
      <c r="B21470" s="4">
        <v>127470</v>
      </c>
      <c r="D21470" s="5" t="s">
        <v>27816</v>
      </c>
      <c r="E21470" s="6" t="str">
        <f>HYPERLINK("https://inpn.mnhn.fr/espece/cd_nom/127470","Trifolium scabrum L., 1753")</f>
        <v>Trifolium scabrum L., 1753</v>
      </c>
      <c r="F21470" s="5" t="s">
        <v>27817</v>
      </c>
      <c r="O21470" s="7" t="str">
        <f>HYPERLINK("#Liste_rouge!A"&amp;_xlfn.XMATCH("LC",Liste_rouge!A:A,2,1),"LC")</f>
        <v>LC</v>
      </c>
      <c r="Q21470" s="7" t="str">
        <f>HYPERLINK("#Liste_rouge!A"&amp;_xlfn.XMATCH("LC",Liste_rouge!A:A,2,1),"LC")</f>
        <v>LC</v>
      </c>
      <c r="T21470" s="7" t="str">
        <f>HYPERLINK("#Liste_rouge!A"&amp;_xlfn.XMATCH("LC",Liste_rouge!A:A,2,1),"LC")</f>
        <v>LC</v>
      </c>
      <c r="V21470" s="7" t="str">
        <f>HYPERLINK("#Liste_rouge!A"&amp;_xlfn.XMATCH("LC",Liste_rouge!A:A,2,1),"LC")</f>
        <v>LC</v>
      </c>
      <c r="AH21470" s="4" t="str">
        <f>HYPERLINK("#Statut_biogéographique!A"&amp;_xlfn.XMATCH("P",Statut_biogéographique!A:A,2,1),"P")</f>
        <v>P</v>
      </c>
      <c r="AM21470" s="4" t="s">
        <v>375</v>
      </c>
      <c r="AN21470" s="4" t="s">
        <v>375</v>
      </c>
      <c r="AO21470" s="4" t="s">
        <v>375</v>
      </c>
      <c r="AP21470" s="4" t="s">
        <v>376</v>
      </c>
      <c r="AR21470" s="4" t="s">
        <v>377</v>
      </c>
    </row>
    <row r="21471" spans="1:44" ht="30">
      <c r="A21471" s="4" t="s">
        <v>24364</v>
      </c>
      <c r="B21471" s="4">
        <v>127482</v>
      </c>
      <c r="D21471" s="5" t="s">
        <v>27818</v>
      </c>
      <c r="E21471" s="6" t="str">
        <f>HYPERLINK("https://inpn.mnhn.fr/espece/cd_nom/127482","Trifolium spadiceum L., 1755")</f>
        <v>Trifolium spadiceum L., 1755</v>
      </c>
      <c r="F21471" s="5" t="s">
        <v>27819</v>
      </c>
      <c r="Q21471" s="7" t="str">
        <f>HYPERLINK("#Liste_rouge!A"&amp;_xlfn.XMATCH("LC",Liste_rouge!A:A,2,1),"LC")</f>
        <v>LC</v>
      </c>
      <c r="V21471" s="7" t="str">
        <f>HYPERLINK("#Liste_rouge!A"&amp;_xlfn.XMATCH("NT",Liste_rouge!A:A,2,1),"NT (cd_nom 127482) - LC (cd_nom 614193)")</f>
        <v>NT (cd_nom 127482) - LC (cd_nom 614193)</v>
      </c>
      <c r="W21471" s="4" t="str">
        <f>HYPERLINK("#Critères_liste_rouge!A$1","pr. B2b(iii) (cd_nom 127482)")</f>
        <v>pr. B2b(iii) (cd_nom 127482)</v>
      </c>
      <c r="X21471" s="5" t="s">
        <v>374</v>
      </c>
      <c r="AB21471" s="4" t="s">
        <v>93</v>
      </c>
      <c r="AH21471" s="4" t="str">
        <f>HYPERLINK("#Statut_biogéographique!A"&amp;_xlfn.XMATCH("P",Statut_biogéographique!A:A,2,1),"P")</f>
        <v>P</v>
      </c>
      <c r="AM21471" s="4" t="s">
        <v>375</v>
      </c>
      <c r="AN21471" s="4" t="s">
        <v>375</v>
      </c>
      <c r="AO21471" s="4" t="s">
        <v>375</v>
      </c>
      <c r="AP21471" s="4" t="s">
        <v>376</v>
      </c>
      <c r="AR21471" s="4" t="s">
        <v>377</v>
      </c>
    </row>
    <row r="21472" spans="1:44" ht="30">
      <c r="A21472" s="4" t="s">
        <v>24364</v>
      </c>
      <c r="B21472" s="4">
        <v>127490</v>
      </c>
      <c r="D21472" s="5" t="s">
        <v>27820</v>
      </c>
      <c r="E21472" s="6" t="str">
        <f>HYPERLINK("https://inpn.mnhn.fr/espece/cd_nom/127490","Trifolium squarrosum L., 1753")</f>
        <v>Trifolium squarrosum L., 1753</v>
      </c>
      <c r="F21472" s="5" t="s">
        <v>27821</v>
      </c>
      <c r="Q21472" s="7" t="str">
        <f>HYPERLINK("#Liste_rouge!A"&amp;_xlfn.XMATCH("DD",Liste_rouge!A:A,2,1),"DD")</f>
        <v>DD</v>
      </c>
      <c r="T21472" s="7" t="str">
        <f>HYPERLINK("#Liste_rouge!A"&amp;_xlfn.XMATCH("NA",Liste_rouge!A:A,2,1),"NA")</f>
        <v>NA</v>
      </c>
      <c r="AH21472" s="4" t="str">
        <f>HYPERLINK("#Statut_biogéographique!A"&amp;_xlfn.XMATCH("P",Statut_biogéographique!A:A,2,1),"P")</f>
        <v>P</v>
      </c>
      <c r="AP21472" s="4" t="s">
        <v>376</v>
      </c>
      <c r="AR21472" s="4" t="s">
        <v>377</v>
      </c>
    </row>
    <row r="21473" spans="1:44" ht="30">
      <c r="A21473" s="4" t="s">
        <v>24364</v>
      </c>
      <c r="B21473" s="4">
        <v>127491</v>
      </c>
      <c r="D21473" s="5" t="s">
        <v>27822</v>
      </c>
      <c r="E21473" s="6" t="str">
        <f>HYPERLINK("https://inpn.mnhn.fr/espece/cd_nom/127491","Trifolium stellatum L., 1753")</f>
        <v>Trifolium stellatum L., 1753</v>
      </c>
      <c r="F21473" s="5" t="s">
        <v>27823</v>
      </c>
      <c r="Q21473" s="7" t="str">
        <f>HYPERLINK("#Liste_rouge!A"&amp;_xlfn.XMATCH("LC",Liste_rouge!A:A,2,1),"LC")</f>
        <v>LC</v>
      </c>
      <c r="T21473" s="7" t="str">
        <f>HYPERLINK("#Liste_rouge!A"&amp;_xlfn.XMATCH("NA",Liste_rouge!A:A,2,1),"NA")</f>
        <v>NA</v>
      </c>
      <c r="AH21473" s="4" t="str">
        <f>HYPERLINK("#Statut_biogéographique!A"&amp;_xlfn.XMATCH("P",Statut_biogéographique!A:A,2,1),"P")</f>
        <v>P</v>
      </c>
      <c r="AP21473" s="4" t="s">
        <v>376</v>
      </c>
      <c r="AR21473" s="4" t="s">
        <v>377</v>
      </c>
    </row>
    <row r="21474" spans="1:44" ht="45">
      <c r="A21474" s="4" t="s">
        <v>24364</v>
      </c>
      <c r="B21474" s="4">
        <v>127495</v>
      </c>
      <c r="D21474" s="5" t="s">
        <v>27824</v>
      </c>
      <c r="E21474" s="6" t="str">
        <f>HYPERLINK("https://inpn.mnhn.fr/espece/cd_nom/127495","Trifolium striatum L., 1753")</f>
        <v>Trifolium striatum L., 1753</v>
      </c>
      <c r="F21474" s="5" t="s">
        <v>27825</v>
      </c>
      <c r="M21474" s="4" t="str">
        <f>HYPERLINK("#Réglementation!A"&amp;_xlfn.XMATCH("RV43",Réglementation!A:A,2,1),"RV43")</f>
        <v>RV43</v>
      </c>
      <c r="Q21474" s="7" t="str">
        <f>HYPERLINK("#Liste_rouge!A"&amp;_xlfn.XMATCH("LC",Liste_rouge!A:A,2,1),"LC")</f>
        <v>LC</v>
      </c>
      <c r="T21474" s="7" t="str">
        <f>HYPERLINK("#Liste_rouge!A"&amp;_xlfn.XMATCH("LC",Liste_rouge!A:A,2,1),"LC")</f>
        <v>LC</v>
      </c>
      <c r="V21474" s="7" t="str">
        <f>HYPERLINK("#Liste_rouge!A"&amp;_xlfn.XMATCH("NT",Liste_rouge!A:A,2,1),"NT")</f>
        <v>NT</v>
      </c>
      <c r="W21474" s="4" t="str">
        <f>HYPERLINK("#Critères_liste_rouge!A$1","pr. B2b(iii)")</f>
        <v>pr. B2b(iii)</v>
      </c>
      <c r="AB21474" s="4" t="s">
        <v>26166</v>
      </c>
      <c r="AH21474" s="4" t="str">
        <f>HYPERLINK("#Statut_biogéographique!A"&amp;_xlfn.XMATCH("P",Statut_biogéographique!A:A,2,1),"P")</f>
        <v>P</v>
      </c>
      <c r="AM21474" s="4" t="s">
        <v>375</v>
      </c>
      <c r="AN21474" s="4" t="s">
        <v>375</v>
      </c>
      <c r="AO21474" s="4" t="s">
        <v>375</v>
      </c>
      <c r="AP21474" s="4" t="s">
        <v>376</v>
      </c>
      <c r="AR21474" s="4" t="s">
        <v>377</v>
      </c>
    </row>
    <row r="21475" spans="1:44" ht="30">
      <c r="A21475" s="4" t="s">
        <v>24364</v>
      </c>
      <c r="B21475" s="4">
        <v>127498</v>
      </c>
      <c r="D21475" s="5" t="s">
        <v>27826</v>
      </c>
      <c r="E21475" s="6" t="str">
        <f>HYPERLINK("https://inpn.mnhn.fr/espece/cd_nom/127498","Trifolium subterraneum L., 1753")</f>
        <v>Trifolium subterraneum L., 1753</v>
      </c>
      <c r="F21475" s="5" t="s">
        <v>27827</v>
      </c>
      <c r="M21475" s="4" t="str">
        <f>HYPERLINK("#Réglementation!A"&amp;_xlfn.XMATCH("RV26",Réglementation!A:A,2,1),"RV26")</f>
        <v>RV26</v>
      </c>
      <c r="O21475" s="7" t="str">
        <f>HYPERLINK("#Liste_rouge!A"&amp;_xlfn.XMATCH("LC",Liste_rouge!A:A,2,1),"LC")</f>
        <v>LC</v>
      </c>
      <c r="P21475" s="7" t="str">
        <f>HYPERLINK("#Liste_rouge!A"&amp;_xlfn.XMATCH("LC",Liste_rouge!A:A,2,1),"LC")</f>
        <v>LC</v>
      </c>
      <c r="Q21475" s="7" t="str">
        <f>HYPERLINK("#Liste_rouge!A"&amp;_xlfn.XMATCH("LC",Liste_rouge!A:A,2,1),"LC")</f>
        <v>LC</v>
      </c>
      <c r="T21475" s="7" t="str">
        <f>HYPERLINK("#Liste_rouge!A"&amp;_xlfn.XMATCH("NT",Liste_rouge!A:A,2,1),"NT")</f>
        <v>NT</v>
      </c>
      <c r="U21475" s="4" t="str">
        <f>HYPERLINK("#Critères_liste_rouge!A$1","VU (A2ac) - 1")</f>
        <v>VU (A2ac) - 1</v>
      </c>
      <c r="AB21475" s="4" t="s">
        <v>24495</v>
      </c>
      <c r="AH21475" s="4" t="str">
        <f>HYPERLINK("#Statut_biogéographique!A"&amp;_xlfn.XMATCH("P",Statut_biogéographique!A:A,2,1),"P")</f>
        <v>P</v>
      </c>
      <c r="AM21475" s="4" t="s">
        <v>375</v>
      </c>
      <c r="AN21475" s="4" t="s">
        <v>375</v>
      </c>
      <c r="AO21475" s="4" t="s">
        <v>375</v>
      </c>
      <c r="AP21475" s="4" t="s">
        <v>376</v>
      </c>
      <c r="AR21475" s="4" t="s">
        <v>377</v>
      </c>
    </row>
    <row r="21476" spans="1:44" ht="30">
      <c r="A21476" s="4" t="s">
        <v>24364</v>
      </c>
      <c r="B21476" s="4">
        <v>127501</v>
      </c>
      <c r="D21476" s="5" t="s">
        <v>27828</v>
      </c>
      <c r="E21476" s="6" t="str">
        <f>HYPERLINK("https://inpn.mnhn.fr/espece/cd_nom/127501","Trifolium sylvaticum Gérard ex Loisel., 1809")</f>
        <v>Trifolium sylvaticum Gérard ex Loisel., 1809</v>
      </c>
      <c r="F21476" s="5" t="s">
        <v>27829</v>
      </c>
      <c r="Q21476" s="7" t="str">
        <f>HYPERLINK("#Liste_rouge!A"&amp;_xlfn.XMATCH("LC",Liste_rouge!A:A,2,1),"LC")</f>
        <v>LC</v>
      </c>
      <c r="T21476" s="7" t="str">
        <f>HYPERLINK("#Liste_rouge!A"&amp;_xlfn.XMATCH("NA",Liste_rouge!A:A,2,1),"NA")</f>
        <v>NA</v>
      </c>
      <c r="AH21476" s="4" t="str">
        <f>HYPERLINK("#Statut_biogéographique!A"&amp;_xlfn.XMATCH("P",Statut_biogéographique!A:A,2,1),"P")</f>
        <v>P</v>
      </c>
      <c r="AP21476" s="4" t="s">
        <v>376</v>
      </c>
      <c r="AR21476" s="4" t="s">
        <v>377</v>
      </c>
    </row>
    <row r="21477" spans="1:44">
      <c r="A21477" s="4" t="s">
        <v>24364</v>
      </c>
      <c r="B21477" s="4">
        <v>127503</v>
      </c>
      <c r="D21477" s="5" t="s">
        <v>27830</v>
      </c>
      <c r="E21477" s="6" t="str">
        <f>HYPERLINK("https://inpn.mnhn.fr/espece/cd_nom/127503","Trifolium thalii Vill., 1779")</f>
        <v>Trifolium thalii Vill., 1779</v>
      </c>
      <c r="F21477" s="5" t="s">
        <v>27831</v>
      </c>
      <c r="Q21477" s="7" t="str">
        <f>HYPERLINK("#Liste_rouge!A"&amp;_xlfn.XMATCH("LC",Liste_rouge!A:A,2,1),"LC")</f>
        <v>LC</v>
      </c>
      <c r="V21477" s="7" t="str">
        <f>HYPERLINK("#Liste_rouge!A"&amp;_xlfn.XMATCH("CR",Liste_rouge!A:A,2,1),"CR")</f>
        <v>CR</v>
      </c>
      <c r="W21477" s="4" t="str">
        <f>HYPERLINK("#Critères_liste_rouge!A$1","D")</f>
        <v>D</v>
      </c>
      <c r="X21477" s="5" t="s">
        <v>374</v>
      </c>
      <c r="AB21477" s="4" t="s">
        <v>93</v>
      </c>
      <c r="AH21477" s="4" t="str">
        <f>HYPERLINK("#Statut_biogéographique!A"&amp;_xlfn.XMATCH("P",Statut_biogéographique!A:A,2,1),"P")</f>
        <v>P</v>
      </c>
      <c r="AM21477" s="4" t="s">
        <v>375</v>
      </c>
      <c r="AN21477" s="4" t="s">
        <v>375</v>
      </c>
      <c r="AO21477" s="4" t="s">
        <v>375</v>
      </c>
      <c r="AP21477" s="4" t="s">
        <v>376</v>
      </c>
      <c r="AR21477" s="4" t="s">
        <v>377</v>
      </c>
    </row>
    <row r="21478" spans="1:44" ht="30">
      <c r="A21478" s="4" t="s">
        <v>24364</v>
      </c>
      <c r="B21478" s="4">
        <v>127547</v>
      </c>
      <c r="D21478" s="5" t="s">
        <v>27832</v>
      </c>
      <c r="E21478" s="6" t="str">
        <f>HYPERLINK("https://inpn.mnhn.fr/espece/cd_nom/127547","Triglochin palustris L., 1753")</f>
        <v>Triglochin palustris L., 1753</v>
      </c>
      <c r="F21478" s="5" t="s">
        <v>27833</v>
      </c>
      <c r="M21478" s="4" t="str">
        <f>HYPERLINK("#Réglementation!A"&amp;_xlfn.XMATCH("RV43",Réglementation!A:A,2,1),"RV43")</f>
        <v>RV43</v>
      </c>
      <c r="O21478" s="7" t="str">
        <f>HYPERLINK("#Liste_rouge!A"&amp;_xlfn.XMATCH("LC",Liste_rouge!A:A,2,1),"LC")</f>
        <v>LC</v>
      </c>
      <c r="Q21478" s="7" t="str">
        <f>HYPERLINK("#Liste_rouge!A"&amp;_xlfn.XMATCH("LC",Liste_rouge!A:A,2,1),"LC")</f>
        <v>LC</v>
      </c>
      <c r="T21478" s="7" t="str">
        <f>HYPERLINK("#Liste_rouge!A"&amp;_xlfn.XMATCH("EN",Liste_rouge!A:A,2,1),"EN")</f>
        <v>EN</v>
      </c>
      <c r="U21478" s="4" t="str">
        <f>HYPERLINK("#Critères_liste_rouge!A$1","B2ab(ii,iii,iv)")</f>
        <v>B2ab(ii,iii,iv)</v>
      </c>
      <c r="V21478" s="7" t="str">
        <f>HYPERLINK("#Liste_rouge!A"&amp;_xlfn.XMATCH("NT",Liste_rouge!A:A,2,1),"NT")</f>
        <v>NT</v>
      </c>
      <c r="W21478" s="4" t="str">
        <f>HYPERLINK("#Critères_liste_rouge!A$1","pr. B2b(iii)")</f>
        <v>pr. B2b(iii)</v>
      </c>
      <c r="X21478" s="5" t="s">
        <v>374</v>
      </c>
      <c r="AB21478" s="4" t="s">
        <v>93</v>
      </c>
      <c r="AH21478" s="4" t="str">
        <f>HYPERLINK("#Statut_biogéographique!A"&amp;_xlfn.XMATCH("P",Statut_biogéographique!A:A,2,1),"P")</f>
        <v>P</v>
      </c>
      <c r="AM21478" s="4" t="s">
        <v>375</v>
      </c>
      <c r="AN21478" s="4" t="s">
        <v>375</v>
      </c>
      <c r="AO21478" s="4" t="s">
        <v>375</v>
      </c>
      <c r="AP21478" s="4" t="s">
        <v>376</v>
      </c>
      <c r="AR21478" s="4" t="s">
        <v>377</v>
      </c>
    </row>
    <row r="21479" spans="1:44" ht="45">
      <c r="A21479" s="4" t="s">
        <v>24364</v>
      </c>
      <c r="B21479" s="4">
        <v>127555</v>
      </c>
      <c r="D21479" s="5" t="s">
        <v>27834</v>
      </c>
      <c r="E21479" s="6" t="str">
        <f>HYPERLINK("https://inpn.mnhn.fr/espece/cd_nom/127555","Trigonella caerulea (L.) Ser., 1825")</f>
        <v>Trigonella caerulea (L.) Ser., 1825</v>
      </c>
      <c r="F21479" s="5" t="s">
        <v>27835</v>
      </c>
      <c r="T21479" s="7" t="str">
        <f>HYPERLINK("#Liste_rouge!A"&amp;_xlfn.XMATCH("NA",Liste_rouge!A:A,2,1),"NA")</f>
        <v>NA</v>
      </c>
      <c r="AH21479" s="4" t="str">
        <f>HYPERLINK("#Statut_biogéographique!A"&amp;_xlfn.XMATCH("M",Statut_biogéographique!A:A,2,1),"M")</f>
        <v>M</v>
      </c>
      <c r="AP21479" s="4" t="s">
        <v>376</v>
      </c>
      <c r="AR21479" s="4" t="s">
        <v>377</v>
      </c>
    </row>
    <row r="21480" spans="1:44" ht="30">
      <c r="A21480" s="4" t="s">
        <v>24364</v>
      </c>
      <c r="B21480" s="4">
        <v>127561</v>
      </c>
      <c r="D21480" s="5" t="s">
        <v>27836</v>
      </c>
      <c r="E21480" s="6" t="str">
        <f>HYPERLINK("https://inpn.mnhn.fr/espece/cd_nom/127561","Trigonella foenum-graecum L., 1753")</f>
        <v>Trigonella foenum-graecum L., 1753</v>
      </c>
      <c r="F21480" s="5" t="s">
        <v>27837</v>
      </c>
      <c r="Q21480" s="7" t="str">
        <f>HYPERLINK("#Liste_rouge!A"&amp;_xlfn.XMATCH("NA",Liste_rouge!A:A,2,1),"NA")</f>
        <v>NA</v>
      </c>
      <c r="T21480" s="7" t="str">
        <f>HYPERLINK("#Liste_rouge!A"&amp;_xlfn.XMATCH("NA",Liste_rouge!A:A,2,1),"NA")</f>
        <v>NA</v>
      </c>
      <c r="AH21480" s="4" t="str">
        <f>HYPERLINK("#Statut_biogéographique!A"&amp;_xlfn.XMATCH("I",Statut_biogéographique!A:A,2,1),"I")</f>
        <v>I</v>
      </c>
      <c r="AP21480" s="4" t="s">
        <v>376</v>
      </c>
      <c r="AR21480" s="4" t="s">
        <v>377</v>
      </c>
    </row>
    <row r="21481" spans="1:44" ht="90">
      <c r="A21481" s="4" t="s">
        <v>24364</v>
      </c>
      <c r="B21481" s="4">
        <v>127595</v>
      </c>
      <c r="D21481" s="5" t="s">
        <v>27838</v>
      </c>
      <c r="E21481" s="6" t="str">
        <f>HYPERLINK("https://inpn.mnhn.fr/espece/cd_nom/127595","Trinia glauca (L.) Dumort., 1827")</f>
        <v>Trinia glauca (L.) Dumort., 1827</v>
      </c>
      <c r="F21481" s="5" t="s">
        <v>27839</v>
      </c>
      <c r="M21481" s="4" t="str">
        <f>HYPERLINK("#Réglementation!A"&amp;_xlfn.XMATCH("RV43",Réglementation!A:A,2,1),"RV43")</f>
        <v>RV43</v>
      </c>
      <c r="Q21481" s="7" t="str">
        <f>HYPERLINK("#Liste_rouge!A"&amp;_xlfn.XMATCH("LC",Liste_rouge!A:A,2,1),"LC")</f>
        <v>LC</v>
      </c>
      <c r="T21481" s="7" t="str">
        <f>HYPERLINK("#Liste_rouge!A"&amp;_xlfn.XMATCH("LC",Liste_rouge!A:A,2,1),"LC")</f>
        <v>LC</v>
      </c>
      <c r="V21481" s="7" t="str">
        <f>HYPERLINK("#Liste_rouge!A"&amp;_xlfn.XMATCH("EN",Liste_rouge!A:A,2,1),"EN")</f>
        <v>EN</v>
      </c>
      <c r="W21481" s="4" t="str">
        <f>HYPERLINK("#Critères_liste_rouge!A$1","B2ab(iv)")</f>
        <v>B2ab(iv)</v>
      </c>
      <c r="AB21481" s="4" t="s">
        <v>25106</v>
      </c>
      <c r="AH21481" s="4" t="str">
        <f>HYPERLINK("#Statut_biogéographique!A"&amp;_xlfn.XMATCH("P",Statut_biogéographique!A:A,2,1),"P")</f>
        <v>P</v>
      </c>
      <c r="AM21481" s="4" t="s">
        <v>375</v>
      </c>
      <c r="AN21481" s="4" t="s">
        <v>375</v>
      </c>
      <c r="AO21481" s="4" t="s">
        <v>375</v>
      </c>
      <c r="AP21481" s="4" t="s">
        <v>376</v>
      </c>
      <c r="AR21481" s="4" t="s">
        <v>377</v>
      </c>
    </row>
    <row r="21482" spans="1:44" ht="75">
      <c r="A21482" s="4" t="s">
        <v>24364</v>
      </c>
      <c r="B21482" s="4">
        <v>127613</v>
      </c>
      <c r="D21482" s="5" t="s">
        <v>27840</v>
      </c>
      <c r="E21482" s="6" t="str">
        <f>HYPERLINK("https://inpn.mnhn.fr/espece/cd_nom/127613","Tripleurospermum inodorum (L.) Sch.Bip., 1844")</f>
        <v>Tripleurospermum inodorum (L.) Sch.Bip., 1844</v>
      </c>
      <c r="F21482" s="5" t="s">
        <v>27841</v>
      </c>
      <c r="Q21482" s="7" t="str">
        <f>HYPERLINK("#Liste_rouge!A"&amp;_xlfn.XMATCH("LC",Liste_rouge!A:A,2,1),"LC")</f>
        <v>LC</v>
      </c>
      <c r="T21482" s="7" t="str">
        <f>HYPERLINK("#Liste_rouge!A"&amp;_xlfn.XMATCH("LC",Liste_rouge!A:A,2,1),"LC")</f>
        <v>LC</v>
      </c>
      <c r="V21482" s="7" t="str">
        <f>HYPERLINK("#Liste_rouge!A"&amp;_xlfn.XMATCH("LC",Liste_rouge!A:A,2,1),"LC")</f>
        <v>LC</v>
      </c>
      <c r="AH21482" s="4" t="str">
        <f>HYPERLINK("#Statut_biogéographique!A"&amp;_xlfn.XMATCH("P",Statut_biogéographique!A:A,2,1),"P")</f>
        <v>P</v>
      </c>
      <c r="AM21482" s="4" t="s">
        <v>375</v>
      </c>
      <c r="AN21482" s="4" t="s">
        <v>375</v>
      </c>
      <c r="AO21482" s="4" t="s">
        <v>375</v>
      </c>
      <c r="AP21482" s="4" t="s">
        <v>376</v>
      </c>
      <c r="AR21482" s="4" t="s">
        <v>377</v>
      </c>
    </row>
    <row r="21483" spans="1:44" ht="30">
      <c r="A21483" s="4" t="s">
        <v>24364</v>
      </c>
      <c r="B21483" s="4">
        <v>127619</v>
      </c>
      <c r="D21483" s="5" t="s">
        <v>27842</v>
      </c>
      <c r="E21483" s="6" t="str">
        <f>HYPERLINK("https://inpn.mnhn.fr/espece/cd_nom/127619","Tripodion tetraphyllum (L.) Fourr., 1868")</f>
        <v>Tripodion tetraphyllum (L.) Fourr., 1868</v>
      </c>
      <c r="F21483" s="5" t="s">
        <v>27843</v>
      </c>
      <c r="Q21483" s="7" t="str">
        <f>HYPERLINK("#Liste_rouge!A"&amp;_xlfn.XMATCH("LC",Liste_rouge!A:A,2,1),"LC")</f>
        <v>LC</v>
      </c>
      <c r="T21483" s="7" t="str">
        <f>HYPERLINK("#Liste_rouge!A"&amp;_xlfn.XMATCH("NA",Liste_rouge!A:A,2,1),"NA")</f>
        <v>NA</v>
      </c>
      <c r="AH21483" s="4" t="str">
        <f>HYPERLINK("#Statut_biogéographique!A"&amp;_xlfn.XMATCH("P",Statut_biogéographique!A:A,2,1),"P")</f>
        <v>P</v>
      </c>
      <c r="AP21483" s="4" t="s">
        <v>376</v>
      </c>
      <c r="AR21483" s="4" t="s">
        <v>377</v>
      </c>
    </row>
    <row r="21484" spans="1:44" ht="60">
      <c r="A21484" s="4" t="s">
        <v>24364</v>
      </c>
      <c r="B21484" s="4">
        <v>127625</v>
      </c>
      <c r="D21484" s="5" t="s">
        <v>27844</v>
      </c>
      <c r="E21484" s="6" t="str">
        <f>HYPERLINK("https://inpn.mnhn.fr/espece/cd_nom/127625","Tripolium pannonicum (Jacq.) Dobrocz., 1962")</f>
        <v>Tripolium pannonicum (Jacq.) Dobrocz., 1962</v>
      </c>
      <c r="F21484" s="5" t="s">
        <v>27845</v>
      </c>
      <c r="Q21484" s="7" t="str">
        <f>HYPERLINK("#Liste_rouge!A"&amp;_xlfn.XMATCH("LC",Liste_rouge!A:A,2,1),"LC")</f>
        <v>LC</v>
      </c>
      <c r="AH21484" s="4" t="str">
        <f>HYPERLINK("#Statut_biogéographique!A"&amp;_xlfn.XMATCH("P",Statut_biogéographique!A:A,2,1),"P")</f>
        <v>P</v>
      </c>
      <c r="AP21484" s="4" t="s">
        <v>376</v>
      </c>
      <c r="AR21484" s="4" t="s">
        <v>377</v>
      </c>
    </row>
    <row r="21485" spans="1:44" ht="30">
      <c r="A21485" s="4" t="s">
        <v>24364</v>
      </c>
      <c r="B21485" s="4">
        <v>127659</v>
      </c>
      <c r="D21485" s="5" t="s">
        <v>27846</v>
      </c>
      <c r="E21485" s="6" t="str">
        <f>HYPERLINK("https://inpn.mnhn.fr/espece/cd_nom/127659","Trisetum distichophyllum (Vill.) P.Beauv. ex Roem. &amp; Schult., 1817")</f>
        <v>Trisetum distichophyllum (Vill.) P.Beauv. ex Roem. &amp; Schult., 1817</v>
      </c>
      <c r="F21485" s="5" t="s">
        <v>27847</v>
      </c>
      <c r="Q21485" s="7" t="str">
        <f>HYPERLINK("#Liste_rouge!A"&amp;_xlfn.XMATCH("LC",Liste_rouge!A:A,2,1),"LC")</f>
        <v>LC</v>
      </c>
      <c r="AH21485" s="4" t="str">
        <f>HYPERLINK("#Statut_biogéographique!A"&amp;_xlfn.XMATCH("P",Statut_biogéographique!A:A,2,1),"P")</f>
        <v>P</v>
      </c>
      <c r="AP21485" s="4" t="s">
        <v>376</v>
      </c>
      <c r="AR21485" s="4" t="s">
        <v>377</v>
      </c>
    </row>
    <row r="21486" spans="1:44" ht="45">
      <c r="A21486" s="4" t="s">
        <v>24364</v>
      </c>
      <c r="B21486" s="4">
        <v>127660</v>
      </c>
      <c r="D21486" s="5" t="s">
        <v>27848</v>
      </c>
      <c r="E21486" s="6" t="str">
        <f>HYPERLINK("https://inpn.mnhn.fr/espece/cd_nom/127660","Trisetum flavescens (L.) P.Beauv., 1812")</f>
        <v>Trisetum flavescens (L.) P.Beauv., 1812</v>
      </c>
      <c r="F21486" s="5" t="s">
        <v>27849</v>
      </c>
      <c r="Q21486" s="7" t="str">
        <f>HYPERLINK("#Liste_rouge!A"&amp;_xlfn.XMATCH("LC",Liste_rouge!A:A,2,1),"LC")</f>
        <v>LC</v>
      </c>
      <c r="T21486" s="7" t="str">
        <f>HYPERLINK("#Liste_rouge!A"&amp;_xlfn.XMATCH("LC",Liste_rouge!A:A,2,1),"LC")</f>
        <v>LC</v>
      </c>
      <c r="V21486" s="7" t="str">
        <f>HYPERLINK("#Liste_rouge!A"&amp;_xlfn.XMATCH("LC",Liste_rouge!A:A,2,1),"LC")</f>
        <v>LC</v>
      </c>
      <c r="AH21486" s="4" t="str">
        <f>HYPERLINK("#Statut_biogéographique!A"&amp;_xlfn.XMATCH("P",Statut_biogéographique!A:A,2,1),"P")</f>
        <v>P</v>
      </c>
      <c r="AM21486" s="4" t="s">
        <v>375</v>
      </c>
      <c r="AN21486" s="4" t="s">
        <v>375</v>
      </c>
      <c r="AO21486" s="4" t="s">
        <v>375</v>
      </c>
      <c r="AP21486" s="4" t="s">
        <v>376</v>
      </c>
      <c r="AR21486" s="4" t="s">
        <v>377</v>
      </c>
    </row>
    <row r="21487" spans="1:44" ht="60">
      <c r="A21487" s="4" t="s">
        <v>24364</v>
      </c>
      <c r="B21487" s="4">
        <v>127692</v>
      </c>
      <c r="D21487" s="5" t="s">
        <v>27850</v>
      </c>
      <c r="E21487" s="6" t="str">
        <f>HYPERLINK("https://inpn.mnhn.fr/espece/cd_nom/127692","Triticum aestivum L., 1753 [nom. cons.]")</f>
        <v>Triticum aestivum L., 1753 [nom. cons.]</v>
      </c>
      <c r="F21487" s="5" t="s">
        <v>27851</v>
      </c>
      <c r="Q21487" s="7" t="str">
        <f>HYPERLINK("#Liste_rouge!A"&amp;_xlfn.XMATCH("NA",Liste_rouge!A:A,2,1),"NA")</f>
        <v>NA</v>
      </c>
      <c r="T21487" s="7" t="str">
        <f>HYPERLINK("#Liste_rouge!A"&amp;_xlfn.XMATCH("NA",Liste_rouge!A:A,2,1),"NA")</f>
        <v>NA</v>
      </c>
      <c r="AH21487" s="4" t="str">
        <f>HYPERLINK("#Statut_biogéographique!A"&amp;_xlfn.XMATCH("M",Statut_biogéographique!A:A,2,1),"M")</f>
        <v>M</v>
      </c>
      <c r="AP21487" s="4" t="s">
        <v>376</v>
      </c>
      <c r="AR21487" s="4" t="s">
        <v>377</v>
      </c>
    </row>
    <row r="21488" spans="1:44" ht="30">
      <c r="A21488" s="4" t="s">
        <v>24364</v>
      </c>
      <c r="B21488" s="4">
        <v>127771</v>
      </c>
      <c r="D21488" s="5" t="s">
        <v>27852</v>
      </c>
      <c r="E21488" s="6" t="str">
        <f>HYPERLINK("https://inpn.mnhn.fr/espece/cd_nom/127771","Triticum monococcum L., 1753")</f>
        <v>Triticum monococcum L., 1753</v>
      </c>
      <c r="F21488" s="5" t="s">
        <v>27853</v>
      </c>
      <c r="O21488" s="7" t="str">
        <f>HYPERLINK("#Liste_rouge!A"&amp;_xlfn.XMATCH("LC",Liste_rouge!A:A,2,1),"LC")</f>
        <v>LC</v>
      </c>
      <c r="P21488" s="7" t="str">
        <f>HYPERLINK("#Liste_rouge!A"&amp;_xlfn.XMATCH("LC",Liste_rouge!A:A,2,1),"LC")</f>
        <v>LC</v>
      </c>
      <c r="Q21488" s="7" t="str">
        <f>HYPERLINK("#Liste_rouge!A"&amp;_xlfn.XMATCH("NA",Liste_rouge!A:A,2,1),"NA")</f>
        <v>NA</v>
      </c>
      <c r="T21488" s="7" t="str">
        <f>HYPERLINK("#Liste_rouge!A"&amp;_xlfn.XMATCH("NA",Liste_rouge!A:A,2,1),"NA")</f>
        <v>NA</v>
      </c>
      <c r="AH21488" s="4" t="str">
        <f>HYPERLINK("#Statut_biogéographique!A"&amp;_xlfn.XMATCH("M",Statut_biogéographique!A:A,2,1),"M")</f>
        <v>M</v>
      </c>
      <c r="AP21488" s="4" t="s">
        <v>376</v>
      </c>
      <c r="AR21488" s="4" t="s">
        <v>377</v>
      </c>
    </row>
    <row r="21489" spans="1:44" ht="45">
      <c r="A21489" s="4" t="s">
        <v>24364</v>
      </c>
      <c r="B21489" s="4">
        <v>127827</v>
      </c>
      <c r="D21489" s="5" t="s">
        <v>27854</v>
      </c>
      <c r="E21489" s="6" t="str">
        <f>HYPERLINK("https://inpn.mnhn.fr/espece/cd_nom/127827","Triticum turgidum L., 1753")</f>
        <v>Triticum turgidum L., 1753</v>
      </c>
      <c r="F21489" s="5" t="s">
        <v>27855</v>
      </c>
      <c r="Q21489" s="7" t="str">
        <f>HYPERLINK("#Liste_rouge!A"&amp;_xlfn.XMATCH("NA",Liste_rouge!A:A,2,1),"NA")</f>
        <v>NA</v>
      </c>
      <c r="T21489" s="7" t="str">
        <f>HYPERLINK("#Liste_rouge!A"&amp;_xlfn.XMATCH("NA",Liste_rouge!A:A,2,1),"NA")</f>
        <v>NA</v>
      </c>
      <c r="AH21489" s="4" t="str">
        <f>HYPERLINK("#Statut_biogéographique!A"&amp;_xlfn.XMATCH("I",Statut_biogéographique!A:A,2,1),"I")</f>
        <v>I</v>
      </c>
      <c r="AP21489" s="4" t="s">
        <v>376</v>
      </c>
      <c r="AR21489" s="4" t="s">
        <v>377</v>
      </c>
    </row>
    <row r="21490" spans="1:44" ht="30">
      <c r="A21490" s="4" t="s">
        <v>24364</v>
      </c>
      <c r="B21490" s="4">
        <v>127864</v>
      </c>
      <c r="D21490" s="5" t="s">
        <v>27856</v>
      </c>
      <c r="E21490" s="6" t="str">
        <f>HYPERLINK("https://inpn.mnhn.fr/espece/cd_nom/127864","Trocdaris verticillatum (L.) Raf., 1840")</f>
        <v>Trocdaris verticillatum (L.) Raf., 1840</v>
      </c>
      <c r="F21490" s="5" t="s">
        <v>27857</v>
      </c>
      <c r="O21490" s="7" t="str">
        <f>HYPERLINK("#Liste_rouge!A"&amp;_xlfn.XMATCH("LC",Liste_rouge!A:A,2,1),"LC")</f>
        <v>LC</v>
      </c>
      <c r="P21490" s="7" t="str">
        <f>HYPERLINK("#Liste_rouge!A"&amp;_xlfn.XMATCH("LC",Liste_rouge!A:A,2,1),"LC")</f>
        <v>LC</v>
      </c>
      <c r="Q21490" s="7" t="str">
        <f>HYPERLINK("#Liste_rouge!A"&amp;_xlfn.XMATCH("LC",Liste_rouge!A:A,2,1),"LC")</f>
        <v>LC</v>
      </c>
      <c r="T21490" s="7" t="str">
        <f>HYPERLINK("#Liste_rouge!A"&amp;_xlfn.XMATCH("LC",Liste_rouge!A:A,2,1),"LC")</f>
        <v>LC</v>
      </c>
      <c r="AH21490" s="4" t="str">
        <f>HYPERLINK("#Statut_biogéographique!A"&amp;_xlfn.XMATCH("P",Statut_biogéographique!A:A,2,1),"P")</f>
        <v>P</v>
      </c>
      <c r="AM21490" s="4" t="s">
        <v>375</v>
      </c>
      <c r="AN21490" s="4" t="s">
        <v>375</v>
      </c>
      <c r="AO21490" s="4" t="s">
        <v>375</v>
      </c>
      <c r="AP21490" s="4" t="s">
        <v>376</v>
      </c>
      <c r="AR21490" s="4" t="s">
        <v>377</v>
      </c>
    </row>
    <row r="21491" spans="1:44">
      <c r="A21491" s="4" t="s">
        <v>24364</v>
      </c>
      <c r="B21491" s="4">
        <v>127872</v>
      </c>
      <c r="D21491" s="5">
        <v>127872</v>
      </c>
      <c r="E21491" s="6" t="str">
        <f>HYPERLINK("https://inpn.mnhn.fr/espece/cd_nom/127872","Trollius europaeus L., 1753")</f>
        <v>Trollius europaeus L., 1753</v>
      </c>
      <c r="F21491" s="5" t="s">
        <v>27858</v>
      </c>
      <c r="Q21491" s="7" t="str">
        <f>HYPERLINK("#Liste_rouge!A"&amp;_xlfn.XMATCH("LC",Liste_rouge!A:A,2,1),"LC")</f>
        <v>LC</v>
      </c>
      <c r="V21491" s="7" t="str">
        <f>HYPERLINK("#Liste_rouge!A"&amp;_xlfn.XMATCH("LC",Liste_rouge!A:A,2,1),"LC")</f>
        <v>LC</v>
      </c>
      <c r="AB21491" s="4" t="s">
        <v>24410</v>
      </c>
      <c r="AH21491" s="4" t="str">
        <f>HYPERLINK("#Statut_biogéographique!A"&amp;_xlfn.XMATCH("P",Statut_biogéographique!A:A,2,1),"P")</f>
        <v>P</v>
      </c>
      <c r="AM21491" s="4" t="s">
        <v>375</v>
      </c>
      <c r="AN21491" s="4" t="s">
        <v>375</v>
      </c>
      <c r="AO21491" s="4" t="s">
        <v>375</v>
      </c>
      <c r="AP21491" s="4" t="s">
        <v>376</v>
      </c>
      <c r="AR21491" s="4" t="s">
        <v>377</v>
      </c>
    </row>
    <row r="21492" spans="1:44" ht="30">
      <c r="A21492" s="4" t="s">
        <v>24364</v>
      </c>
      <c r="B21492" s="4">
        <v>127885</v>
      </c>
      <c r="D21492" s="5" t="s">
        <v>27859</v>
      </c>
      <c r="E21492" s="6" t="str">
        <f>HYPERLINK("https://inpn.mnhn.fr/espece/cd_nom/127885","Tropaeolum majus L., 1753")</f>
        <v>Tropaeolum majus L., 1753</v>
      </c>
      <c r="F21492" s="5" t="s">
        <v>27860</v>
      </c>
      <c r="Q21492" s="7" t="str">
        <f>HYPERLINK("#Liste_rouge!A"&amp;_xlfn.XMATCH("NA",Liste_rouge!A:A,2,1),"NA")</f>
        <v>NA</v>
      </c>
      <c r="AH21492" s="4" t="str">
        <f>HYPERLINK("#Statut_biogéographique!A"&amp;_xlfn.XMATCH("I",Statut_biogéographique!A:A,2,1),"I")</f>
        <v>I</v>
      </c>
      <c r="AP21492" s="4" t="s">
        <v>376</v>
      </c>
      <c r="AR21492" s="4" t="s">
        <v>377</v>
      </c>
    </row>
    <row r="21493" spans="1:44" ht="30">
      <c r="A21493" s="4" t="s">
        <v>24364</v>
      </c>
      <c r="B21493" s="4">
        <v>127896</v>
      </c>
      <c r="D21493" s="5" t="s">
        <v>27861</v>
      </c>
      <c r="E21493" s="6" t="str">
        <f>HYPERLINK("https://inpn.mnhn.fr/espece/cd_nom/127896","Tsuga heterophylla (Raf.) Sarg., 1899")</f>
        <v>Tsuga heterophylla (Raf.) Sarg., 1899</v>
      </c>
      <c r="F21493" s="5" t="s">
        <v>27862</v>
      </c>
      <c r="O21493" s="7" t="str">
        <f>HYPERLINK("#Liste_rouge!A"&amp;_xlfn.XMATCH("LC",Liste_rouge!A:A,2,1),"LC")</f>
        <v>LC</v>
      </c>
      <c r="Q21493" s="7" t="str">
        <f>HYPERLINK("#Liste_rouge!A"&amp;_xlfn.XMATCH("NA",Liste_rouge!A:A,2,1),"NA")</f>
        <v>NA</v>
      </c>
      <c r="AH21493" s="4" t="str">
        <f>HYPERLINK("#Statut_biogéographique!A"&amp;_xlfn.XMATCH("M",Statut_biogéographique!A:A,2,1),"M")</f>
        <v>M</v>
      </c>
      <c r="AP21493" s="4" t="s">
        <v>376</v>
      </c>
      <c r="AR21493" s="4" t="s">
        <v>377</v>
      </c>
    </row>
    <row r="21494" spans="1:44" ht="150">
      <c r="A21494" s="4" t="s">
        <v>24364</v>
      </c>
      <c r="B21494" s="4">
        <v>127901</v>
      </c>
      <c r="D21494" s="5" t="s">
        <v>27863</v>
      </c>
      <c r="E21494" s="6" t="str">
        <f>HYPERLINK("https://inpn.mnhn.fr/espece/cd_nom/127901","Tuberaria guttata (L.) Fourr., 1868")</f>
        <v>Tuberaria guttata (L.) Fourr., 1868</v>
      </c>
      <c r="F21494" s="5" t="s">
        <v>27864</v>
      </c>
      <c r="M21494" s="4" t="str">
        <f>HYPERLINK("#Réglementation!A"&amp;_xlfn.XMATCH("RV26",Réglementation!A:A,2,1),"RV26")</f>
        <v>RV26</v>
      </c>
      <c r="Q21494" s="7" t="str">
        <f>HYPERLINK("#Liste_rouge!A"&amp;_xlfn.XMATCH("LC",Liste_rouge!A:A,2,1),"LC")</f>
        <v>LC</v>
      </c>
      <c r="T21494" s="7" t="str">
        <f>HYPERLINK("#Liste_rouge!A"&amp;_xlfn.XMATCH("CR",Liste_rouge!A:A,2,1),"CR")</f>
        <v>CR</v>
      </c>
      <c r="U21494" s="4" t="str">
        <f>HYPERLINK("#Critères_liste_rouge!A$1","B1 B2ab(ii,iii,iv)")</f>
        <v>B1 B2ab(ii,iii,iv)</v>
      </c>
      <c r="X21494" s="5" t="s">
        <v>374</v>
      </c>
      <c r="AB21494" s="4" t="s">
        <v>93</v>
      </c>
      <c r="AH21494" s="4" t="str">
        <f>HYPERLINK("#Statut_biogéographique!A"&amp;_xlfn.XMATCH("P",Statut_biogéographique!A:A,2,1),"P")</f>
        <v>P</v>
      </c>
      <c r="AM21494" s="4" t="s">
        <v>375</v>
      </c>
      <c r="AN21494" s="4" t="s">
        <v>375</v>
      </c>
      <c r="AO21494" s="4" t="s">
        <v>375</v>
      </c>
      <c r="AP21494" s="4" t="s">
        <v>376</v>
      </c>
      <c r="AR21494" s="4" t="s">
        <v>377</v>
      </c>
    </row>
    <row r="21495" spans="1:44" ht="30">
      <c r="A21495" s="4" t="s">
        <v>24364</v>
      </c>
      <c r="B21495" s="4">
        <v>127966</v>
      </c>
      <c r="D21495" s="5">
        <v>127966</v>
      </c>
      <c r="E21495" s="6" t="str">
        <f>HYPERLINK("https://inpn.mnhn.fr/espece/cd_nom/127966","Tulipa sylvestris L., 1753")</f>
        <v>Tulipa sylvestris L., 1753</v>
      </c>
      <c r="F21495" s="5" t="s">
        <v>27865</v>
      </c>
      <c r="Q21495" s="7" t="str">
        <f>HYPERLINK("#Liste_rouge!A"&amp;_xlfn.XMATCH("LC",Liste_rouge!A:A,2,1),"LC")</f>
        <v>LC</v>
      </c>
      <c r="T21495" s="7" t="str">
        <f>HYPERLINK("#Liste_rouge!A"&amp;_xlfn.XMATCH("VU",Liste_rouge!A:A,2,1),"VU")</f>
        <v>VU</v>
      </c>
      <c r="U21495" s="4" t="str">
        <f>HYPERLINK("#Critères_liste_rouge!A$1","C2a(i) D2")</f>
        <v>C2a(i) D2</v>
      </c>
      <c r="V21495" s="7" t="str">
        <f>HYPERLINK("#Liste_rouge!A"&amp;_xlfn.XMATCH("NT",Liste_rouge!A:A,2,1),"NT")</f>
        <v>NT</v>
      </c>
      <c r="W21495" s="4" t="str">
        <f>HYPERLINK("#Critères_liste_rouge!A$1","pr. B2b(iii)")</f>
        <v>pr. B2b(iii)</v>
      </c>
      <c r="X21495" s="5" t="s">
        <v>374</v>
      </c>
      <c r="AB21495" s="4" t="s">
        <v>93</v>
      </c>
      <c r="AH21495" s="4" t="str">
        <f>HYPERLINK("#Statut_biogéographique!A"&amp;_xlfn.XMATCH("P",Statut_biogéographique!A:A,2,1),"P")</f>
        <v>P</v>
      </c>
      <c r="AM21495" s="4" t="s">
        <v>375</v>
      </c>
      <c r="AN21495" s="4" t="s">
        <v>375</v>
      </c>
      <c r="AO21495" s="4" t="s">
        <v>375</v>
      </c>
      <c r="AP21495" s="4" t="s">
        <v>376</v>
      </c>
      <c r="AR21495" s="4" t="s">
        <v>377</v>
      </c>
    </row>
    <row r="21496" spans="1:44" ht="45">
      <c r="A21496" s="4" t="s">
        <v>24364</v>
      </c>
      <c r="B21496" s="4">
        <v>127988</v>
      </c>
      <c r="D21496" s="5" t="s">
        <v>27866</v>
      </c>
      <c r="E21496" s="6" t="str">
        <f>HYPERLINK("https://inpn.mnhn.fr/espece/cd_nom/127988","Turgenia latifolia (L.) Hoffm., 1814")</f>
        <v>Turgenia latifolia (L.) Hoffm., 1814</v>
      </c>
      <c r="F21496" s="5" t="s">
        <v>27867</v>
      </c>
      <c r="Q21496" s="7" t="str">
        <f>HYPERLINK("#Liste_rouge!A"&amp;_xlfn.XMATCH("EN",Liste_rouge!A:A,2,1),"EN")</f>
        <v>EN</v>
      </c>
      <c r="T21496" s="7" t="str">
        <f>HYPERLINK("#Liste_rouge!A"&amp;_xlfn.XMATCH("RE",Liste_rouge!A:A,2,1),"RE")</f>
        <v>RE</v>
      </c>
      <c r="V21496" s="7" t="str">
        <f>HYPERLINK("#Liste_rouge!A"&amp;_xlfn.XMATCH("RE",Liste_rouge!A:A,2,1),"RE")</f>
        <v>RE</v>
      </c>
      <c r="AH21496" s="4" t="str">
        <f>HYPERLINK("#Statut_biogéographique!A"&amp;_xlfn.XMATCH("P",Statut_biogéographique!A:A,2,1),"P")</f>
        <v>P</v>
      </c>
      <c r="AI21496" s="8" t="s">
        <v>27868</v>
      </c>
      <c r="AJ21496" s="4" t="s">
        <v>12248</v>
      </c>
      <c r="AM21496" s="4" t="s">
        <v>375</v>
      </c>
      <c r="AN21496" s="4" t="s">
        <v>375</v>
      </c>
      <c r="AO21496" s="4" t="s">
        <v>375</v>
      </c>
      <c r="AP21496" s="4" t="s">
        <v>376</v>
      </c>
      <c r="AR21496" s="4" t="s">
        <v>377</v>
      </c>
    </row>
    <row r="21497" spans="1:44" ht="30">
      <c r="A21497" s="4" t="s">
        <v>24364</v>
      </c>
      <c r="B21497" s="4">
        <v>128012</v>
      </c>
      <c r="D21497" s="5" t="s">
        <v>27869</v>
      </c>
      <c r="E21497" s="6" t="str">
        <f>HYPERLINK("https://inpn.mnhn.fr/espece/cd_nom/128012","Turritis glabra L., 1753")</f>
        <v>Turritis glabra L., 1753</v>
      </c>
      <c r="F21497" s="5" t="s">
        <v>27870</v>
      </c>
      <c r="Q21497" s="7" t="str">
        <f>HYPERLINK("#Liste_rouge!A"&amp;_xlfn.XMATCH("LC",Liste_rouge!A:A,2,1),"LC")</f>
        <v>LC</v>
      </c>
      <c r="T21497" s="7" t="str">
        <f>HYPERLINK("#Liste_rouge!A"&amp;_xlfn.XMATCH("NT",Liste_rouge!A:A,2,1),"NT")</f>
        <v>NT</v>
      </c>
      <c r="U21497" s="4" t="str">
        <f>HYPERLINK("#Critères_liste_rouge!A$1","pr. B3c(i,ii,iii)")</f>
        <v>pr. B3c(i,ii,iii)</v>
      </c>
      <c r="V21497" s="7" t="str">
        <f>HYPERLINK("#Liste_rouge!A"&amp;_xlfn.XMATCH("LC",Liste_rouge!A:A,2,1),"LC")</f>
        <v>LC</v>
      </c>
      <c r="AB21497" s="4" t="s">
        <v>24495</v>
      </c>
      <c r="AH21497" s="4" t="str">
        <f>HYPERLINK("#Statut_biogéographique!A"&amp;_xlfn.XMATCH("P",Statut_biogéographique!A:A,2,1),"P")</f>
        <v>P</v>
      </c>
      <c r="AM21497" s="4" t="s">
        <v>375</v>
      </c>
      <c r="AN21497" s="4" t="s">
        <v>375</v>
      </c>
      <c r="AO21497" s="4" t="s">
        <v>375</v>
      </c>
      <c r="AP21497" s="4" t="s">
        <v>376</v>
      </c>
      <c r="AR21497" s="4" t="s">
        <v>377</v>
      </c>
    </row>
    <row r="21498" spans="1:44" ht="30">
      <c r="A21498" s="4" t="s">
        <v>24364</v>
      </c>
      <c r="B21498" s="4">
        <v>128042</v>
      </c>
      <c r="D21498" s="5" t="s">
        <v>27871</v>
      </c>
      <c r="E21498" s="6" t="str">
        <f>HYPERLINK("https://inpn.mnhn.fr/espece/cd_nom/128042","Tussilago farfara L., 1753")</f>
        <v>Tussilago farfara L., 1753</v>
      </c>
      <c r="F21498" s="5" t="s">
        <v>27872</v>
      </c>
      <c r="P21498" s="7" t="str">
        <f>HYPERLINK("#Liste_rouge!A"&amp;_xlfn.XMATCH("LC",Liste_rouge!A:A,2,1),"LC")</f>
        <v>LC</v>
      </c>
      <c r="Q21498" s="7" t="str">
        <f>HYPERLINK("#Liste_rouge!A"&amp;_xlfn.XMATCH("LC",Liste_rouge!A:A,2,1),"LC")</f>
        <v>LC</v>
      </c>
      <c r="T21498" s="7" t="str">
        <f>HYPERLINK("#Liste_rouge!A"&amp;_xlfn.XMATCH("LC",Liste_rouge!A:A,2,1),"LC")</f>
        <v>LC</v>
      </c>
      <c r="V21498" s="7" t="str">
        <f>HYPERLINK("#Liste_rouge!A"&amp;_xlfn.XMATCH("LC",Liste_rouge!A:A,2,1),"LC")</f>
        <v>LC</v>
      </c>
      <c r="AH21498" s="4" t="str">
        <f>HYPERLINK("#Statut_biogéographique!A"&amp;_xlfn.XMATCH("P",Statut_biogéographique!A:A,2,1),"P")</f>
        <v>P</v>
      </c>
      <c r="AM21498" s="4" t="s">
        <v>375</v>
      </c>
      <c r="AN21498" s="4" t="s">
        <v>375</v>
      </c>
      <c r="AO21498" s="4" t="s">
        <v>375</v>
      </c>
      <c r="AP21498" s="4" t="s">
        <v>376</v>
      </c>
      <c r="AR21498" s="4" t="s">
        <v>377</v>
      </c>
    </row>
    <row r="21499" spans="1:44" ht="30">
      <c r="A21499" s="4" t="s">
        <v>24364</v>
      </c>
      <c r="B21499" s="4">
        <v>128062</v>
      </c>
      <c r="D21499" s="5" t="s">
        <v>27873</v>
      </c>
      <c r="E21499" s="6" t="str">
        <f>HYPERLINK("https://inpn.mnhn.fr/espece/cd_nom/128062","Typha angustifolia L., 1753")</f>
        <v>Typha angustifolia L., 1753</v>
      </c>
      <c r="F21499" s="5" t="s">
        <v>27874</v>
      </c>
      <c r="O21499" s="7" t="str">
        <f>HYPERLINK("#Liste_rouge!A"&amp;_xlfn.XMATCH("LC",Liste_rouge!A:A,2,1),"LC")</f>
        <v>LC</v>
      </c>
      <c r="P21499" s="7" t="str">
        <f>HYPERLINK("#Liste_rouge!A"&amp;_xlfn.XMATCH("LC",Liste_rouge!A:A,2,1),"LC")</f>
        <v>LC</v>
      </c>
      <c r="Q21499" s="7" t="str">
        <f>HYPERLINK("#Liste_rouge!A"&amp;_xlfn.XMATCH("LC",Liste_rouge!A:A,2,1),"LC")</f>
        <v>LC</v>
      </c>
      <c r="T21499" s="7" t="str">
        <f>HYPERLINK("#Liste_rouge!A"&amp;_xlfn.XMATCH("LC",Liste_rouge!A:A,2,1),"LC")</f>
        <v>LC</v>
      </c>
      <c r="V21499" s="7" t="str">
        <f>HYPERLINK("#Liste_rouge!A"&amp;_xlfn.XMATCH("LC",Liste_rouge!A:A,2,1),"LC")</f>
        <v>LC</v>
      </c>
      <c r="AH21499" s="4" t="str">
        <f>HYPERLINK("#Statut_biogéographique!A"&amp;_xlfn.XMATCH("P",Statut_biogéographique!A:A,2,1),"P")</f>
        <v>P</v>
      </c>
      <c r="AM21499" s="4" t="s">
        <v>375</v>
      </c>
      <c r="AN21499" s="4" t="s">
        <v>375</v>
      </c>
      <c r="AO21499" s="4" t="s">
        <v>375</v>
      </c>
      <c r="AP21499" s="4" t="s">
        <v>376</v>
      </c>
      <c r="AR21499" s="4" t="s">
        <v>377</v>
      </c>
    </row>
    <row r="21500" spans="1:44" ht="45">
      <c r="A21500" s="4" t="s">
        <v>24364</v>
      </c>
      <c r="B21500" s="4">
        <v>128077</v>
      </c>
      <c r="D21500" s="5" t="s">
        <v>27875</v>
      </c>
      <c r="E21500" s="6" t="str">
        <f>HYPERLINK("https://inpn.mnhn.fr/espece/cd_nom/128077","Typha latifolia L., 1753")</f>
        <v>Typha latifolia L., 1753</v>
      </c>
      <c r="F21500" s="5" t="s">
        <v>27876</v>
      </c>
      <c r="O21500" s="7" t="str">
        <f>HYPERLINK("#Liste_rouge!A"&amp;_xlfn.XMATCH("LC",Liste_rouge!A:A,2,1),"LC")</f>
        <v>LC</v>
      </c>
      <c r="P21500" s="7" t="str">
        <f>HYPERLINK("#Liste_rouge!A"&amp;_xlfn.XMATCH("LC",Liste_rouge!A:A,2,1),"LC")</f>
        <v>LC</v>
      </c>
      <c r="Q21500" s="7" t="str">
        <f>HYPERLINK("#Liste_rouge!A"&amp;_xlfn.XMATCH("LC",Liste_rouge!A:A,2,1),"LC")</f>
        <v>LC</v>
      </c>
      <c r="T21500" s="7" t="str">
        <f>HYPERLINK("#Liste_rouge!A"&amp;_xlfn.XMATCH("LC",Liste_rouge!A:A,2,1),"LC")</f>
        <v>LC</v>
      </c>
      <c r="V21500" s="7" t="str">
        <f>HYPERLINK("#Liste_rouge!A"&amp;_xlfn.XMATCH("LC",Liste_rouge!A:A,2,1),"LC")</f>
        <v>LC</v>
      </c>
      <c r="AH21500" s="4" t="str">
        <f>HYPERLINK("#Statut_biogéographique!A"&amp;_xlfn.XMATCH("P",Statut_biogéographique!A:A,2,1),"P")</f>
        <v>P</v>
      </c>
      <c r="AM21500" s="4" t="s">
        <v>375</v>
      </c>
      <c r="AN21500" s="4" t="s">
        <v>375</v>
      </c>
      <c r="AO21500" s="4" t="s">
        <v>375</v>
      </c>
      <c r="AP21500" s="4" t="s">
        <v>376</v>
      </c>
      <c r="AR21500" s="4" t="s">
        <v>377</v>
      </c>
    </row>
    <row r="21501" spans="1:44" ht="45">
      <c r="A21501" s="4" t="s">
        <v>24364</v>
      </c>
      <c r="B21501" s="4">
        <v>128084</v>
      </c>
      <c r="D21501" s="5" t="s">
        <v>27877</v>
      </c>
      <c r="E21501" s="6" t="str">
        <f>HYPERLINK("https://inpn.mnhn.fr/espece/cd_nom/128084","Typha minima Funck, 1794")</f>
        <v>Typha minima Funck, 1794</v>
      </c>
      <c r="F21501" s="5" t="s">
        <v>27878</v>
      </c>
      <c r="I21501" s="4" t="str">
        <f>HYPERLINK("#Réglementation!A"&amp;_xlfn.XMATCH("IBE1",Réglementation!A:A,2,1),"IBE1")</f>
        <v>IBE1</v>
      </c>
      <c r="L21501" s="4" t="str">
        <f>HYPERLINK("#Réglementation!A"&amp;_xlfn.XMATCH("NV1",Réglementation!A:A,2,1),"NV1")</f>
        <v>NV1</v>
      </c>
      <c r="O21501" s="7" t="str">
        <f>HYPERLINK("#Liste_rouge!A"&amp;_xlfn.XMATCH("LC",Liste_rouge!A:A,2,1),"LC")</f>
        <v>LC</v>
      </c>
      <c r="P21501" s="7" t="str">
        <f>HYPERLINK("#Liste_rouge!A"&amp;_xlfn.XMATCH("DD",Liste_rouge!A:A,2,1),"DD")</f>
        <v>DD</v>
      </c>
      <c r="Q21501" s="7" t="str">
        <f>HYPERLINK("#Liste_rouge!A"&amp;_xlfn.XMATCH("NT",Liste_rouge!A:A,2,1),"NT")</f>
        <v>NT</v>
      </c>
      <c r="AE21501" s="4" t="str">
        <f>HYPERLINK("#SCAP!A"&amp;_xlfn.XMATCH("A",SCAP!A:A,2,1),"A")</f>
        <v>A</v>
      </c>
      <c r="AH21501" s="4" t="str">
        <f>HYPERLINK("#Statut_biogéographique!A"&amp;_xlfn.XMATCH("P",Statut_biogéographique!A:A,2,1),"P")</f>
        <v>P</v>
      </c>
      <c r="AP21501" s="4" t="s">
        <v>376</v>
      </c>
      <c r="AR21501" s="4" t="s">
        <v>377</v>
      </c>
    </row>
    <row r="21502" spans="1:44">
      <c r="A21502" s="4" t="s">
        <v>24364</v>
      </c>
      <c r="B21502" s="4">
        <v>128100</v>
      </c>
      <c r="D21502" s="5" t="s">
        <v>27879</v>
      </c>
      <c r="E21502" s="6" t="str">
        <f>HYPERLINK("https://inpn.mnhn.fr/espece/cd_nom/128100","Typha x glauca Godr., 1844")</f>
        <v>Typha x glauca Godr., 1844</v>
      </c>
      <c r="F21502" s="5" t="s">
        <v>27880</v>
      </c>
      <c r="T21502" s="7" t="str">
        <f>HYPERLINK("#Liste_rouge!A"&amp;_xlfn.XMATCH("DD",Liste_rouge!A:A,2,1),"DD")</f>
        <v>DD</v>
      </c>
      <c r="AH21502" s="4" t="str">
        <f>HYPERLINK("#Statut_biogéographique!A"&amp;_xlfn.XMATCH("P",Statut_biogéographique!A:A,2,1),"P")</f>
        <v>P</v>
      </c>
      <c r="AP21502" s="4" t="s">
        <v>376</v>
      </c>
      <c r="AR21502" s="4" t="s">
        <v>377</v>
      </c>
    </row>
    <row r="21503" spans="1:44">
      <c r="A21503" s="4" t="s">
        <v>24364</v>
      </c>
      <c r="B21503" s="4">
        <v>128114</v>
      </c>
      <c r="D21503" s="5" t="s">
        <v>27881</v>
      </c>
      <c r="E21503" s="6" t="str">
        <f>HYPERLINK("https://inpn.mnhn.fr/espece/cd_nom/128114","Ulex europaeus L., 1753")</f>
        <v>Ulex europaeus L., 1753</v>
      </c>
      <c r="F21503" s="5" t="s">
        <v>27882</v>
      </c>
      <c r="O21503" s="7" t="str">
        <f>HYPERLINK("#Liste_rouge!A"&amp;_xlfn.XMATCH("LC",Liste_rouge!A:A,2,1),"LC")</f>
        <v>LC</v>
      </c>
      <c r="P21503" s="7" t="str">
        <f>HYPERLINK("#Liste_rouge!A"&amp;_xlfn.XMATCH("LC",Liste_rouge!A:A,2,1),"LC")</f>
        <v>LC</v>
      </c>
      <c r="Q21503" s="7" t="str">
        <f>HYPERLINK("#Liste_rouge!A"&amp;_xlfn.XMATCH("LC",Liste_rouge!A:A,2,1),"LC")</f>
        <v>LC</v>
      </c>
      <c r="T21503" s="7" t="str">
        <f>HYPERLINK("#Liste_rouge!A"&amp;_xlfn.XMATCH("LC",Liste_rouge!A:A,2,1),"LC")</f>
        <v>LC</v>
      </c>
      <c r="AH21503" s="4" t="str">
        <f>HYPERLINK("#Statut_biogéographique!A"&amp;_xlfn.XMATCH("P",Statut_biogéographique!A:A,2,1),"P")</f>
        <v>P</v>
      </c>
      <c r="AM21503" s="4" t="s">
        <v>375</v>
      </c>
      <c r="AN21503" s="4" t="s">
        <v>375</v>
      </c>
      <c r="AO21503" s="4" t="s">
        <v>375</v>
      </c>
      <c r="AP21503" s="4" t="s">
        <v>376</v>
      </c>
      <c r="AR21503" s="4" t="s">
        <v>377</v>
      </c>
    </row>
    <row r="21504" spans="1:44" ht="45">
      <c r="A21504" s="4" t="s">
        <v>24364</v>
      </c>
      <c r="B21504" s="4">
        <v>128116</v>
      </c>
      <c r="D21504" s="5" t="s">
        <v>27883</v>
      </c>
      <c r="E21504" s="6" t="str">
        <f>HYPERLINK("https://inpn.mnhn.fr/espece/cd_nom/128116","Ulex gallii Planch., 1849")</f>
        <v>Ulex gallii Planch., 1849</v>
      </c>
      <c r="F21504" s="5" t="s">
        <v>27884</v>
      </c>
      <c r="O21504" s="7" t="str">
        <f>HYPERLINK("#Liste_rouge!A"&amp;_xlfn.XMATCH("LC",Liste_rouge!A:A,2,1),"LC")</f>
        <v>LC</v>
      </c>
      <c r="P21504" s="7" t="str">
        <f>HYPERLINK("#Liste_rouge!A"&amp;_xlfn.XMATCH("LC",Liste_rouge!A:A,2,1),"LC")</f>
        <v>LC</v>
      </c>
      <c r="Q21504" s="7" t="str">
        <f>HYPERLINK("#Liste_rouge!A"&amp;_xlfn.XMATCH("LC",Liste_rouge!A:A,2,1),"LC")</f>
        <v>LC</v>
      </c>
      <c r="AH21504" s="4" t="str">
        <f>HYPERLINK("#Statut_biogéographique!A"&amp;_xlfn.XMATCH("P",Statut_biogéographique!A:A,2,1),"P")</f>
        <v>P</v>
      </c>
      <c r="AP21504" s="4" t="s">
        <v>376</v>
      </c>
      <c r="AR21504" s="4" t="s">
        <v>377</v>
      </c>
    </row>
    <row r="21505" spans="1:44" ht="45">
      <c r="A21505" s="4" t="s">
        <v>24364</v>
      </c>
      <c r="B21505" s="4">
        <v>128123</v>
      </c>
      <c r="D21505" s="5" t="s">
        <v>27885</v>
      </c>
      <c r="E21505" s="6" t="str">
        <f>HYPERLINK("https://inpn.mnhn.fr/espece/cd_nom/128123","Ulex minor Roth, 1797")</f>
        <v>Ulex minor Roth, 1797</v>
      </c>
      <c r="F21505" s="5" t="s">
        <v>27886</v>
      </c>
      <c r="M21505" s="4" t="str">
        <f>HYPERLINK("#Réglementation!A"&amp;_xlfn.XMATCH("RV26",Réglementation!A:A,2,1),"RV26 - RV43")</f>
        <v>RV26 - RV43</v>
      </c>
      <c r="O21505" s="7" t="str">
        <f>HYPERLINK("#Liste_rouge!A"&amp;_xlfn.XMATCH("LC",Liste_rouge!A:A,2,1),"LC")</f>
        <v>LC</v>
      </c>
      <c r="P21505" s="7" t="str">
        <f>HYPERLINK("#Liste_rouge!A"&amp;_xlfn.XMATCH("LC",Liste_rouge!A:A,2,1),"LC")</f>
        <v>LC</v>
      </c>
      <c r="Q21505" s="7" t="str">
        <f>HYPERLINK("#Liste_rouge!A"&amp;_xlfn.XMATCH("LC",Liste_rouge!A:A,2,1),"LC")</f>
        <v>LC</v>
      </c>
      <c r="T21505" s="7" t="str">
        <f>HYPERLINK("#Liste_rouge!A"&amp;_xlfn.XMATCH("NT",Liste_rouge!A:A,2,1),"NT")</f>
        <v>NT</v>
      </c>
      <c r="U21505" s="4" t="str">
        <f>HYPERLINK("#Critères_liste_rouge!A$1","pr. B2a")</f>
        <v>pr. B2a</v>
      </c>
      <c r="V21505" s="7" t="str">
        <f>HYPERLINK("#Liste_rouge!A"&amp;_xlfn.XMATCH("VU",Liste_rouge!A:A,2,1),"VU")</f>
        <v>VU</v>
      </c>
      <c r="W21505" s="4" t="str">
        <f>HYPERLINK("#Critères_liste_rouge!A$1","D2")</f>
        <v>D2</v>
      </c>
      <c r="AB21505" s="4" t="s">
        <v>24410</v>
      </c>
      <c r="AH21505" s="4" t="str">
        <f>HYPERLINK("#Statut_biogéographique!A"&amp;_xlfn.XMATCH("P",Statut_biogéographique!A:A,2,1),"P")</f>
        <v>P</v>
      </c>
      <c r="AM21505" s="4" t="s">
        <v>375</v>
      </c>
      <c r="AN21505" s="4" t="s">
        <v>375</v>
      </c>
      <c r="AO21505" s="4" t="s">
        <v>375</v>
      </c>
      <c r="AP21505" s="4" t="s">
        <v>376</v>
      </c>
      <c r="AR21505" s="4" t="s">
        <v>377</v>
      </c>
    </row>
    <row r="21506" spans="1:44" ht="60">
      <c r="A21506" s="4" t="s">
        <v>24364</v>
      </c>
      <c r="B21506" s="4">
        <v>128169</v>
      </c>
      <c r="D21506" s="5" t="s">
        <v>27887</v>
      </c>
      <c r="E21506" s="6" t="str">
        <f>HYPERLINK("https://inpn.mnhn.fr/espece/cd_nom/128169","Ulmus glabra Huds., 1762")</f>
        <v>Ulmus glabra Huds., 1762</v>
      </c>
      <c r="F21506" s="5" t="s">
        <v>27888</v>
      </c>
      <c r="P21506" s="7" t="str">
        <f>HYPERLINK("#Liste_rouge!A"&amp;_xlfn.XMATCH("VU",Liste_rouge!A:A,2,1),"VU")</f>
        <v>VU</v>
      </c>
      <c r="Q21506" s="7" t="str">
        <f>HYPERLINK("#Liste_rouge!A"&amp;_xlfn.XMATCH("LC",Liste_rouge!A:A,2,1),"LC")</f>
        <v>LC</v>
      </c>
      <c r="T21506" s="7" t="str">
        <f>HYPERLINK("#Liste_rouge!A"&amp;_xlfn.XMATCH("LC",Liste_rouge!A:A,2,1),"LC")</f>
        <v>LC</v>
      </c>
      <c r="V21506" s="7" t="str">
        <f>HYPERLINK("#Liste_rouge!A"&amp;_xlfn.XMATCH("LC",Liste_rouge!A:A,2,1),"LC")</f>
        <v>LC</v>
      </c>
      <c r="AB21506" s="4" t="s">
        <v>25854</v>
      </c>
      <c r="AH21506" s="4" t="str">
        <f>HYPERLINK("#Statut_biogéographique!A"&amp;_xlfn.XMATCH("P",Statut_biogéographique!A:A,2,1),"P")</f>
        <v>P</v>
      </c>
      <c r="AM21506" s="4" t="s">
        <v>375</v>
      </c>
      <c r="AN21506" s="4" t="s">
        <v>375</v>
      </c>
      <c r="AO21506" s="4" t="s">
        <v>375</v>
      </c>
      <c r="AP21506" s="4" t="s">
        <v>376</v>
      </c>
      <c r="AR21506" s="4" t="s">
        <v>377</v>
      </c>
    </row>
    <row r="21507" spans="1:44">
      <c r="A21507" s="4" t="s">
        <v>24364</v>
      </c>
      <c r="B21507" s="4">
        <v>128171</v>
      </c>
      <c r="D21507" s="5" t="s">
        <v>27889</v>
      </c>
      <c r="E21507" s="6" t="str">
        <f>HYPERLINK("https://inpn.mnhn.fr/espece/cd_nom/128171","Ulmus laevis Pall., 1784")</f>
        <v>Ulmus laevis Pall., 1784</v>
      </c>
      <c r="F21507" s="5" t="s">
        <v>27890</v>
      </c>
      <c r="P21507" s="7" t="str">
        <f>HYPERLINK("#Liste_rouge!A"&amp;_xlfn.XMATCH("DD",Liste_rouge!A:A,2,1),"DD")</f>
        <v>DD</v>
      </c>
      <c r="Q21507" s="7" t="str">
        <f>HYPERLINK("#Liste_rouge!A"&amp;_xlfn.XMATCH("LC",Liste_rouge!A:A,2,1),"LC")</f>
        <v>LC</v>
      </c>
      <c r="T21507" s="7" t="str">
        <f>HYPERLINK("#Liste_rouge!A"&amp;_xlfn.XMATCH("LC",Liste_rouge!A:A,2,1),"LC")</f>
        <v>LC</v>
      </c>
      <c r="V21507" s="7" t="str">
        <f>HYPERLINK("#Liste_rouge!A"&amp;_xlfn.XMATCH("DD",Liste_rouge!A:A,2,1),"DD")</f>
        <v>DD</v>
      </c>
      <c r="AB21507" s="4" t="s">
        <v>24501</v>
      </c>
      <c r="AH21507" s="4" t="str">
        <f>HYPERLINK("#Statut_biogéographique!A"&amp;_xlfn.XMATCH("P",Statut_biogéographique!A:A,2,1),"P")</f>
        <v>P</v>
      </c>
      <c r="AM21507" s="4" t="s">
        <v>375</v>
      </c>
      <c r="AN21507" s="4" t="s">
        <v>375</v>
      </c>
      <c r="AO21507" s="4" t="s">
        <v>375</v>
      </c>
      <c r="AP21507" s="4" t="s">
        <v>376</v>
      </c>
      <c r="AR21507" s="4" t="s">
        <v>377</v>
      </c>
    </row>
    <row r="21508" spans="1:44" ht="195">
      <c r="A21508" s="4" t="s">
        <v>24364</v>
      </c>
      <c r="B21508" s="4">
        <v>128175</v>
      </c>
      <c r="D21508" s="5" t="s">
        <v>27891</v>
      </c>
      <c r="E21508" s="6" t="str">
        <f>HYPERLINK("https://inpn.mnhn.fr/espece/cd_nom/128175","Ulmus minor Mill., 1768")</f>
        <v>Ulmus minor Mill., 1768</v>
      </c>
      <c r="F21508" s="5" t="s">
        <v>27892</v>
      </c>
      <c r="O21508" s="7" t="str">
        <f>HYPERLINK("#Liste_rouge!A"&amp;_xlfn.XMATCH("DD",Liste_rouge!A:A,2,1),"DD")</f>
        <v>DD</v>
      </c>
      <c r="P21508" s="7" t="str">
        <f>HYPERLINK("#Liste_rouge!A"&amp;_xlfn.XMATCH("DD",Liste_rouge!A:A,2,1),"DD")</f>
        <v>DD</v>
      </c>
      <c r="Q21508" s="7" t="str">
        <f>HYPERLINK("#Liste_rouge!A"&amp;_xlfn.XMATCH("LC",Liste_rouge!A:A,2,1),"LC")</f>
        <v>LC</v>
      </c>
      <c r="T21508" s="7" t="str">
        <f>HYPERLINK("#Liste_rouge!A"&amp;_xlfn.XMATCH("LC",Liste_rouge!A:A,2,1),"LC")</f>
        <v>LC</v>
      </c>
      <c r="V21508" s="7" t="str">
        <f>HYPERLINK("#Liste_rouge!A"&amp;_xlfn.XMATCH("LC",Liste_rouge!A:A,2,1),"LC")</f>
        <v>LC</v>
      </c>
      <c r="AH21508" s="4" t="str">
        <f>HYPERLINK("#Statut_biogéographique!A"&amp;_xlfn.XMATCH("P",Statut_biogéographique!A:A,2,1),"P")</f>
        <v>P</v>
      </c>
      <c r="AM21508" s="4" t="s">
        <v>375</v>
      </c>
      <c r="AN21508" s="4" t="s">
        <v>375</v>
      </c>
      <c r="AO21508" s="4" t="s">
        <v>375</v>
      </c>
      <c r="AP21508" s="4" t="s">
        <v>376</v>
      </c>
      <c r="AR21508" s="4" t="s">
        <v>377</v>
      </c>
    </row>
    <row r="21509" spans="1:44" ht="30">
      <c r="A21509" s="4" t="s">
        <v>24364</v>
      </c>
      <c r="B21509" s="4">
        <v>128205</v>
      </c>
      <c r="D21509" s="5" t="s">
        <v>27893</v>
      </c>
      <c r="E21509" s="6" t="str">
        <f>HYPERLINK("https://inpn.mnhn.fr/espece/cd_nom/128205","Ulmus x hollandica Mill., 1768")</f>
        <v>Ulmus x hollandica Mill., 1768</v>
      </c>
      <c r="F21509" s="5" t="s">
        <v>27894</v>
      </c>
      <c r="T21509" s="7" t="str">
        <f>HYPERLINK("#Liste_rouge!A"&amp;_xlfn.XMATCH("LC",Liste_rouge!A:A,2,1),"LC")</f>
        <v>LC</v>
      </c>
      <c r="AH21509" s="4" t="str">
        <f>HYPERLINK("#Statut_biogéographique!A"&amp;_xlfn.XMATCH("P",Statut_biogéographique!A:A,2,1),"P")</f>
        <v>P</v>
      </c>
      <c r="AP21509" s="4" t="s">
        <v>376</v>
      </c>
      <c r="AR21509" s="4" t="s">
        <v>377</v>
      </c>
    </row>
    <row r="21510" spans="1:44" ht="45">
      <c r="A21510" s="4" t="s">
        <v>24364</v>
      </c>
      <c r="B21510" s="4">
        <v>128215</v>
      </c>
      <c r="D21510" s="5" t="s">
        <v>27895</v>
      </c>
      <c r="E21510" s="6" t="str">
        <f>HYPERLINK("https://inpn.mnhn.fr/espece/cd_nom/128215","Umbilicus rupestris (Salisb.) Dandy, 1948")</f>
        <v>Umbilicus rupestris (Salisb.) Dandy, 1948</v>
      </c>
      <c r="F21510" s="5" t="s">
        <v>27896</v>
      </c>
      <c r="Q21510" s="7" t="str">
        <f>HYPERLINK("#Liste_rouge!A"&amp;_xlfn.XMATCH("LC",Liste_rouge!A:A,2,1),"LC")</f>
        <v>LC</v>
      </c>
      <c r="T21510" s="7" t="str">
        <f>HYPERLINK("#Liste_rouge!A"&amp;_xlfn.XMATCH("EN",Liste_rouge!A:A,2,1),"EN")</f>
        <v>EN</v>
      </c>
      <c r="U21510" s="4" t="str">
        <f>HYPERLINK("#Critères_liste_rouge!A$1","D1")</f>
        <v>D1</v>
      </c>
      <c r="X21510" s="5" t="s">
        <v>374</v>
      </c>
      <c r="AB21510" s="4" t="s">
        <v>93</v>
      </c>
      <c r="AH21510" s="4" t="str">
        <f>HYPERLINK("#Statut_biogéographique!A"&amp;_xlfn.XMATCH("P",Statut_biogéographique!A:A,2,1),"P")</f>
        <v>P</v>
      </c>
      <c r="AM21510" s="4" t="s">
        <v>375</v>
      </c>
      <c r="AN21510" s="4" t="s">
        <v>375</v>
      </c>
      <c r="AO21510" s="4" t="s">
        <v>375</v>
      </c>
      <c r="AP21510" s="4" t="s">
        <v>376</v>
      </c>
      <c r="AR21510" s="4" t="s">
        <v>377</v>
      </c>
    </row>
    <row r="21511" spans="1:44">
      <c r="A21511" s="4" t="s">
        <v>24364</v>
      </c>
      <c r="B21511" s="4">
        <v>128268</v>
      </c>
      <c r="D21511" s="5">
        <v>128268</v>
      </c>
      <c r="E21511" s="6" t="str">
        <f>HYPERLINK("https://inpn.mnhn.fr/espece/cd_nom/128268","Urtica dioica L., 1753")</f>
        <v>Urtica dioica L., 1753</v>
      </c>
      <c r="F21511" s="5" t="s">
        <v>27897</v>
      </c>
      <c r="O21511" s="7" t="str">
        <f>HYPERLINK("#Liste_rouge!A"&amp;_xlfn.XMATCH("LC",Liste_rouge!A:A,2,1),"LC")</f>
        <v>LC</v>
      </c>
      <c r="P21511" s="7" t="str">
        <f>HYPERLINK("#Liste_rouge!A"&amp;_xlfn.XMATCH("LC",Liste_rouge!A:A,2,1),"LC")</f>
        <v>LC</v>
      </c>
      <c r="Q21511" s="7" t="str">
        <f>HYPERLINK("#Liste_rouge!A"&amp;_xlfn.XMATCH("LC",Liste_rouge!A:A,2,1),"LC")</f>
        <v>LC</v>
      </c>
      <c r="T21511" s="7" t="str">
        <f>HYPERLINK("#Liste_rouge!A"&amp;_xlfn.XMATCH("LC",Liste_rouge!A:A,2,1),"LC")</f>
        <v>LC</v>
      </c>
      <c r="V21511" s="7" t="str">
        <f>HYPERLINK("#Liste_rouge!A"&amp;_xlfn.XMATCH("LC",Liste_rouge!A:A,2,1),"LC")</f>
        <v>LC</v>
      </c>
      <c r="AH21511" s="4" t="str">
        <f>HYPERLINK("#Statut_biogéographique!A"&amp;_xlfn.XMATCH("P",Statut_biogéographique!A:A,2,1),"P")</f>
        <v>P</v>
      </c>
      <c r="AM21511" s="4" t="s">
        <v>375</v>
      </c>
      <c r="AN21511" s="4" t="s">
        <v>375</v>
      </c>
      <c r="AO21511" s="4" t="s">
        <v>375</v>
      </c>
      <c r="AP21511" s="4" t="s">
        <v>376</v>
      </c>
      <c r="AR21511" s="4" t="s">
        <v>377</v>
      </c>
    </row>
    <row r="21512" spans="1:44" ht="30">
      <c r="A21512" s="4" t="s">
        <v>24364</v>
      </c>
      <c r="B21512" s="4">
        <v>128298</v>
      </c>
      <c r="D21512" s="5" t="s">
        <v>27898</v>
      </c>
      <c r="E21512" s="6" t="str">
        <f>HYPERLINK("https://inpn.mnhn.fr/espece/cd_nom/128298","Urtica urens L., 1753")</f>
        <v>Urtica urens L., 1753</v>
      </c>
      <c r="F21512" s="5" t="s">
        <v>27899</v>
      </c>
      <c r="P21512" s="7" t="str">
        <f>HYPERLINK("#Liste_rouge!A"&amp;_xlfn.XMATCH("LC",Liste_rouge!A:A,2,1),"LC")</f>
        <v>LC</v>
      </c>
      <c r="Q21512" s="7" t="str">
        <f>HYPERLINK("#Liste_rouge!A"&amp;_xlfn.XMATCH("LC",Liste_rouge!A:A,2,1),"LC")</f>
        <v>LC</v>
      </c>
      <c r="T21512" s="7" t="str">
        <f>HYPERLINK("#Liste_rouge!A"&amp;_xlfn.XMATCH("NT",Liste_rouge!A:A,2,1),"NT")</f>
        <v>NT</v>
      </c>
      <c r="U21512" s="4" t="str">
        <f>HYPERLINK("#Critères_liste_rouge!A$1","pr. D2")</f>
        <v>pr. D2</v>
      </c>
      <c r="V21512" s="7" t="str">
        <f>HYPERLINK("#Liste_rouge!A"&amp;_xlfn.XMATCH("EN",Liste_rouge!A:A,2,1),"EN")</f>
        <v>EN</v>
      </c>
      <c r="W21512" s="4" t="str">
        <f>HYPERLINK("#Critères_liste_rouge!A$1","D")</f>
        <v>D</v>
      </c>
      <c r="AB21512" s="4" t="s">
        <v>24501</v>
      </c>
      <c r="AH21512" s="4" t="str">
        <f>HYPERLINK("#Statut_biogéographique!A"&amp;_xlfn.XMATCH("P",Statut_biogéographique!A:A,2,1),"P")</f>
        <v>P</v>
      </c>
      <c r="AM21512" s="4" t="s">
        <v>375</v>
      </c>
      <c r="AN21512" s="4" t="s">
        <v>375</v>
      </c>
      <c r="AO21512" s="4" t="s">
        <v>375</v>
      </c>
      <c r="AP21512" s="4" t="s">
        <v>376</v>
      </c>
      <c r="AR21512" s="4" t="s">
        <v>377</v>
      </c>
    </row>
    <row r="21513" spans="1:44">
      <c r="A21513" s="4" t="s">
        <v>24364</v>
      </c>
      <c r="B21513" s="4">
        <v>128311</v>
      </c>
      <c r="D21513" s="5" t="s">
        <v>27900</v>
      </c>
      <c r="E21513" s="6" t="str">
        <f>HYPERLINK("https://inpn.mnhn.fr/espece/cd_nom/128311","Utricularia intermedia Hayne, 1800")</f>
        <v>Utricularia intermedia Hayne, 1800</v>
      </c>
      <c r="F21513" s="5" t="s">
        <v>27901</v>
      </c>
      <c r="M21513" s="4" t="str">
        <f>HYPERLINK("#Réglementation!A"&amp;_xlfn.XMATCH("RV43",Réglementation!A:A,2,1),"RV43")</f>
        <v>RV43</v>
      </c>
      <c r="O21513" s="7" t="str">
        <f>HYPERLINK("#Liste_rouge!A"&amp;_xlfn.XMATCH("LC",Liste_rouge!A:A,2,1),"LC")</f>
        <v>LC</v>
      </c>
      <c r="P21513" s="7" t="str">
        <f>HYPERLINK("#Liste_rouge!A"&amp;_xlfn.XMATCH("DD",Liste_rouge!A:A,2,1),"DD")</f>
        <v>DD</v>
      </c>
      <c r="Q21513" s="7" t="str">
        <f>HYPERLINK("#Liste_rouge!A"&amp;_xlfn.XMATCH("VU",Liste_rouge!A:A,2,1),"VU")</f>
        <v>VU</v>
      </c>
      <c r="V21513" s="7" t="str">
        <f>HYPERLINK("#Liste_rouge!A"&amp;_xlfn.XMATCH("CR",Liste_rouge!A:A,2,1),"CR")</f>
        <v>CR</v>
      </c>
      <c r="W21513" s="4" t="str">
        <f>HYPERLINK("#Critères_liste_rouge!A$1","B2ab(iii)")</f>
        <v>B2ab(iii)</v>
      </c>
      <c r="X21513" s="5" t="s">
        <v>374</v>
      </c>
      <c r="AB21513" s="4" t="s">
        <v>93</v>
      </c>
      <c r="AE21513" s="4" t="str">
        <f>HYPERLINK("#SCAP!A"&amp;_xlfn.XMATCH("A",SCAP!A:A,2,1),"A")</f>
        <v>A</v>
      </c>
      <c r="AH21513" s="4" t="str">
        <f>HYPERLINK("#Statut_biogéographique!A"&amp;_xlfn.XMATCH("P",Statut_biogéographique!A:A,2,1),"P")</f>
        <v>P</v>
      </c>
      <c r="AM21513" s="4" t="s">
        <v>375</v>
      </c>
      <c r="AN21513" s="4" t="s">
        <v>375</v>
      </c>
      <c r="AO21513" s="4" t="s">
        <v>375</v>
      </c>
      <c r="AP21513" s="4" t="s">
        <v>389</v>
      </c>
      <c r="AR21513" s="4" t="s">
        <v>377</v>
      </c>
    </row>
    <row r="21514" spans="1:44">
      <c r="A21514" s="4" t="s">
        <v>24364</v>
      </c>
      <c r="B21514" s="4">
        <v>128315</v>
      </c>
      <c r="D21514" s="5" t="s">
        <v>27902</v>
      </c>
      <c r="E21514" s="6" t="str">
        <f>HYPERLINK("https://inpn.mnhn.fr/espece/cd_nom/128315","Utricularia minor L., 1753")</f>
        <v>Utricularia minor L., 1753</v>
      </c>
      <c r="F21514" s="5" t="s">
        <v>27903</v>
      </c>
      <c r="O21514" s="7" t="str">
        <f>HYPERLINK("#Liste_rouge!A"&amp;_xlfn.XMATCH("LC",Liste_rouge!A:A,2,1),"LC")</f>
        <v>LC</v>
      </c>
      <c r="P21514" s="7" t="str">
        <f>HYPERLINK("#Liste_rouge!A"&amp;_xlfn.XMATCH("LC",Liste_rouge!A:A,2,1),"LC")</f>
        <v>LC</v>
      </c>
      <c r="Q21514" s="7" t="str">
        <f>HYPERLINK("#Liste_rouge!A"&amp;_xlfn.XMATCH("NT",Liste_rouge!A:A,2,1),"NT")</f>
        <v>NT</v>
      </c>
      <c r="T21514" s="7" t="str">
        <f>HYPERLINK("#Liste_rouge!A"&amp;_xlfn.XMATCH("CR",Liste_rouge!A:A,2,1),"CR")</f>
        <v>CR</v>
      </c>
      <c r="U21514" s="4" t="str">
        <f>HYPERLINK("#Critères_liste_rouge!A$1","B1 B2ab(ii,iii,iv) C2a(i)")</f>
        <v>B1 B2ab(ii,iii,iv) C2a(i)</v>
      </c>
      <c r="V21514" s="7" t="str">
        <f>HYPERLINK("#Liste_rouge!A"&amp;_xlfn.XMATCH("NT",Liste_rouge!A:A,2,1),"NT")</f>
        <v>NT</v>
      </c>
      <c r="W21514" s="4" t="str">
        <f>HYPERLINK("#Critères_liste_rouge!A$1","pr. B2b(iii)")</f>
        <v>pr. B2b(iii)</v>
      </c>
      <c r="X21514" s="5" t="s">
        <v>374</v>
      </c>
      <c r="AB21514" s="4" t="s">
        <v>93</v>
      </c>
      <c r="AH21514" s="4" t="str">
        <f>HYPERLINK("#Statut_biogéographique!A"&amp;_xlfn.XMATCH("P",Statut_biogéographique!A:A,2,1),"P")</f>
        <v>P</v>
      </c>
      <c r="AM21514" s="4" t="s">
        <v>375</v>
      </c>
      <c r="AN21514" s="4" t="s">
        <v>375</v>
      </c>
      <c r="AO21514" s="4" t="s">
        <v>375</v>
      </c>
      <c r="AP21514" s="4" t="s">
        <v>376</v>
      </c>
      <c r="AR21514" s="4" t="s">
        <v>377</v>
      </c>
    </row>
    <row r="21515" spans="1:44" ht="45">
      <c r="A21515" s="4" t="s">
        <v>24364</v>
      </c>
      <c r="B21515" s="4">
        <v>128316</v>
      </c>
      <c r="D21515" s="5" t="s">
        <v>27904</v>
      </c>
      <c r="E21515" s="6" t="str">
        <f>HYPERLINK("https://inpn.mnhn.fr/espece/cd_nom/128316","Utricularia neglecta Lehm., 1828")</f>
        <v>Utricularia neglecta Lehm., 1828</v>
      </c>
      <c r="F21515" s="5" t="s">
        <v>27905</v>
      </c>
      <c r="Q21515" s="7" t="str">
        <f>HYPERLINK("#Liste_rouge!A"&amp;_xlfn.XMATCH("LC",Liste_rouge!A:A,2,1),"LC")</f>
        <v>LC</v>
      </c>
      <c r="T21515" s="7" t="str">
        <f>HYPERLINK("#Liste_rouge!A"&amp;_xlfn.XMATCH("LC",Liste_rouge!A:A,2,1),"LC")</f>
        <v>LC</v>
      </c>
      <c r="V21515" s="7" t="str">
        <f>HYPERLINK("#Liste_rouge!A"&amp;_xlfn.XMATCH("LC",Liste_rouge!A:A,2,1),"LC")</f>
        <v>LC</v>
      </c>
      <c r="AB21515" s="4" t="s">
        <v>25127</v>
      </c>
      <c r="AH21515" s="4" t="str">
        <f>HYPERLINK("#Statut_biogéographique!A"&amp;_xlfn.XMATCH("P",Statut_biogéographique!A:A,2,1),"P")</f>
        <v>P</v>
      </c>
      <c r="AM21515" s="4" t="s">
        <v>375</v>
      </c>
      <c r="AN21515" s="4" t="s">
        <v>375</v>
      </c>
      <c r="AO21515" s="4" t="s">
        <v>375</v>
      </c>
      <c r="AP21515" s="4" t="s">
        <v>376</v>
      </c>
      <c r="AR21515" s="4" t="s">
        <v>377</v>
      </c>
    </row>
    <row r="21516" spans="1:44" ht="30">
      <c r="A21516" s="4" t="s">
        <v>24364</v>
      </c>
      <c r="B21516" s="4">
        <v>128318</v>
      </c>
      <c r="D21516" s="5" t="s">
        <v>27906</v>
      </c>
      <c r="E21516" s="6" t="str">
        <f>HYPERLINK("https://inpn.mnhn.fr/espece/cd_nom/128318","Utricularia ochroleuca R.W.Hartm., 1857")</f>
        <v>Utricularia ochroleuca R.W.Hartm., 1857</v>
      </c>
      <c r="F21516" s="5" t="s">
        <v>27907</v>
      </c>
      <c r="L21516" s="4" t="str">
        <f>HYPERLINK("#Réglementation!A"&amp;_xlfn.XMATCH("NV1",Réglementation!A:A,2,1),"NV1")</f>
        <v>NV1</v>
      </c>
      <c r="O21516" s="7" t="str">
        <f>HYPERLINK("#Liste_rouge!A"&amp;_xlfn.XMATCH("LC",Liste_rouge!A:A,2,1),"LC")</f>
        <v>LC</v>
      </c>
      <c r="P21516" s="7" t="str">
        <f>HYPERLINK("#Liste_rouge!A"&amp;_xlfn.XMATCH("DD",Liste_rouge!A:A,2,1),"DD")</f>
        <v>DD</v>
      </c>
      <c r="Q21516" s="7" t="str">
        <f>HYPERLINK("#Liste_rouge!A"&amp;_xlfn.XMATCH("NT",Liste_rouge!A:A,2,1),"NT")</f>
        <v>NT</v>
      </c>
      <c r="V21516" s="7" t="str">
        <f>HYPERLINK("#Liste_rouge!A"&amp;_xlfn.XMATCH("VU",Liste_rouge!A:A,2,1),"VU")</f>
        <v>VU</v>
      </c>
      <c r="W21516" s="4" t="str">
        <f>HYPERLINK("#Critères_liste_rouge!A$1","D2")</f>
        <v>D2</v>
      </c>
      <c r="X21516" s="5" t="s">
        <v>374</v>
      </c>
      <c r="AB21516" s="4" t="s">
        <v>93</v>
      </c>
      <c r="AE21516" s="4" t="str">
        <f>HYPERLINK("#SCAP!A"&amp;_xlfn.XMATCH("A",SCAP!A:A,2,1),"A")</f>
        <v>A</v>
      </c>
      <c r="AH21516" s="4" t="str">
        <f>HYPERLINK("#Statut_biogéographique!A"&amp;_xlfn.XMATCH("P",Statut_biogéographique!A:A,2,1),"P")</f>
        <v>P</v>
      </c>
      <c r="AM21516" s="4" t="s">
        <v>375</v>
      </c>
      <c r="AN21516" s="4" t="s">
        <v>375</v>
      </c>
      <c r="AO21516" s="4" t="s">
        <v>375</v>
      </c>
      <c r="AP21516" s="4" t="s">
        <v>376</v>
      </c>
      <c r="AR21516" s="4" t="s">
        <v>377</v>
      </c>
    </row>
    <row r="21517" spans="1:44">
      <c r="A21517" s="4" t="s">
        <v>24364</v>
      </c>
      <c r="B21517" s="4">
        <v>128322</v>
      </c>
      <c r="D21517" s="5" t="s">
        <v>27908</v>
      </c>
      <c r="E21517" s="6" t="str">
        <f>HYPERLINK("https://inpn.mnhn.fr/espece/cd_nom/128322","Utricularia vulgaris L., 1753")</f>
        <v>Utricularia vulgaris L., 1753</v>
      </c>
      <c r="F21517" s="5" t="s">
        <v>27909</v>
      </c>
      <c r="O21517" s="7" t="str">
        <f>HYPERLINK("#Liste_rouge!A"&amp;_xlfn.XMATCH("LC",Liste_rouge!A:A,2,1),"LC")</f>
        <v>LC</v>
      </c>
      <c r="P21517" s="7" t="str">
        <f>HYPERLINK("#Liste_rouge!A"&amp;_xlfn.XMATCH("LC",Liste_rouge!A:A,2,1),"LC")</f>
        <v>LC</v>
      </c>
      <c r="Q21517" s="7" t="str">
        <f>HYPERLINK("#Liste_rouge!A"&amp;_xlfn.XMATCH("DD",Liste_rouge!A:A,2,1),"DD")</f>
        <v>DD</v>
      </c>
      <c r="T21517" s="7" t="str">
        <f>HYPERLINK("#Liste_rouge!A"&amp;_xlfn.XMATCH("CR",Liste_rouge!A:A,2,1),"CR")</f>
        <v>CR</v>
      </c>
      <c r="U21517" s="4" t="str">
        <f>HYPERLINK("#Critères_liste_rouge!A$1","B1 B2ab(ii,iii,iv) C2a(i)")</f>
        <v>B1 B2ab(ii,iii,iv) C2a(i)</v>
      </c>
      <c r="X21517" s="5" t="s">
        <v>374</v>
      </c>
      <c r="AB21517" s="4" t="s">
        <v>93</v>
      </c>
      <c r="AH21517" s="4" t="str">
        <f>HYPERLINK("#Statut_biogéographique!A"&amp;_xlfn.XMATCH("P",Statut_biogéographique!A:A,2,1),"P")</f>
        <v>P</v>
      </c>
      <c r="AM21517" s="4" t="s">
        <v>375</v>
      </c>
      <c r="AN21517" s="4" t="s">
        <v>375</v>
      </c>
      <c r="AO21517" s="4" t="s">
        <v>375</v>
      </c>
      <c r="AP21517" s="4" t="s">
        <v>376</v>
      </c>
      <c r="AR21517" s="4" t="s">
        <v>377</v>
      </c>
    </row>
    <row r="21518" spans="1:44" ht="30">
      <c r="A21518" s="4" t="s">
        <v>24364</v>
      </c>
      <c r="B21518" s="4">
        <v>128343</v>
      </c>
      <c r="D21518" s="5" t="s">
        <v>27910</v>
      </c>
      <c r="E21518" s="6" t="str">
        <f>HYPERLINK("https://inpn.mnhn.fr/espece/cd_nom/128343","Vaccinium microcarpum (Turcz. ex Rupr.) Schmalh., 1871")</f>
        <v>Vaccinium microcarpum (Turcz. ex Rupr.) Schmalh., 1871</v>
      </c>
      <c r="F21518" s="5" t="s">
        <v>27911</v>
      </c>
      <c r="Q21518" s="7" t="str">
        <f>HYPERLINK("#Liste_rouge!A"&amp;_xlfn.XMATCH("LC",Liste_rouge!A:A,2,1),"LC")</f>
        <v>LC</v>
      </c>
      <c r="T21518" s="7" t="str">
        <f>HYPERLINK("#Liste_rouge!A"&amp;_xlfn.XMATCH("CR",Liste_rouge!A:A,2,1),"CR")</f>
        <v>CR</v>
      </c>
      <c r="U21518" s="4" t="str">
        <f>HYPERLINK("#Critères_liste_rouge!A$1","B1 B2ab(ii,iii,iv) C2a(i) D1")</f>
        <v>B1 B2ab(ii,iii,iv) C2a(i) D1</v>
      </c>
      <c r="V21518" s="7" t="str">
        <f>HYPERLINK("#Liste_rouge!A"&amp;_xlfn.XMATCH("NT",Liste_rouge!A:A,2,1),"NT")</f>
        <v>NT</v>
      </c>
      <c r="W21518" s="4" t="str">
        <f>HYPERLINK("#Critères_liste_rouge!A$1","pr. D2")</f>
        <v>pr. D2</v>
      </c>
      <c r="X21518" s="5" t="s">
        <v>374</v>
      </c>
      <c r="AB21518" s="4" t="s">
        <v>93</v>
      </c>
      <c r="AH21518" s="4" t="str">
        <f>HYPERLINK("#Statut_biogéographique!A"&amp;_xlfn.XMATCH("P",Statut_biogéographique!A:A,2,1),"P")</f>
        <v>P</v>
      </c>
      <c r="AM21518" s="4" t="s">
        <v>375</v>
      </c>
      <c r="AN21518" s="4" t="s">
        <v>375</v>
      </c>
      <c r="AO21518" s="4" t="s">
        <v>375</v>
      </c>
      <c r="AP21518" s="4" t="s">
        <v>376</v>
      </c>
      <c r="AR21518" s="4" t="s">
        <v>377</v>
      </c>
    </row>
    <row r="21519" spans="1:44" ht="30">
      <c r="A21519" s="4" t="s">
        <v>24364</v>
      </c>
      <c r="B21519" s="4">
        <v>128345</v>
      </c>
      <c r="D21519" s="5" t="s">
        <v>27912</v>
      </c>
      <c r="E21519" s="6" t="str">
        <f>HYPERLINK("https://inpn.mnhn.fr/espece/cd_nom/128345","Vaccinium myrtillus L., 1753")</f>
        <v>Vaccinium myrtillus L., 1753</v>
      </c>
      <c r="F21519" s="5" t="s">
        <v>27913</v>
      </c>
      <c r="N21519" s="4" t="str">
        <f>HYPERLINK("#Réglementation!A"&amp;_xlfn.XMATCH("V25P3",Réglementation!A:A,2,1),"V25P3 - V70P1modif")</f>
        <v>V25P3 - V70P1modif</v>
      </c>
      <c r="P21519" s="7" t="str">
        <f>HYPERLINK("#Liste_rouge!A"&amp;_xlfn.XMATCH("LC",Liste_rouge!A:A,2,1),"LC")</f>
        <v>LC</v>
      </c>
      <c r="Q21519" s="7" t="str">
        <f>HYPERLINK("#Liste_rouge!A"&amp;_xlfn.XMATCH("LC",Liste_rouge!A:A,2,1),"LC")</f>
        <v>LC</v>
      </c>
      <c r="T21519" s="7" t="str">
        <f>HYPERLINK("#Liste_rouge!A"&amp;_xlfn.XMATCH("LC",Liste_rouge!A:A,2,1),"LC")</f>
        <v>LC</v>
      </c>
      <c r="V21519" s="7" t="str">
        <f>HYPERLINK("#Liste_rouge!A"&amp;_xlfn.XMATCH("LC",Liste_rouge!A:A,2,1),"LC")</f>
        <v>LC</v>
      </c>
      <c r="AB21519" s="4" t="s">
        <v>26735</v>
      </c>
      <c r="AH21519" s="4" t="str">
        <f>HYPERLINK("#Statut_biogéographique!A"&amp;_xlfn.XMATCH("P",Statut_biogéographique!A:A,2,1),"P")</f>
        <v>P</v>
      </c>
      <c r="AK21519" s="4" t="str">
        <f>HYPERLINK("#Réglementation!A"&amp;_xlfn.XMATCH("V39P3",Réglementation!A:A,2,1),"V39P3 - V25P3 - V70P1modif")</f>
        <v>V39P3 - V25P3 - V70P1modif</v>
      </c>
      <c r="AM21519" s="4" t="s">
        <v>375</v>
      </c>
      <c r="AN21519" s="4" t="s">
        <v>375</v>
      </c>
      <c r="AO21519" s="4" t="s">
        <v>375</v>
      </c>
      <c r="AP21519" s="4" t="s">
        <v>376</v>
      </c>
      <c r="AR21519" s="4" t="s">
        <v>377</v>
      </c>
    </row>
    <row r="21520" spans="1:44" ht="75">
      <c r="A21520" s="4" t="s">
        <v>24364</v>
      </c>
      <c r="B21520" s="4">
        <v>128347</v>
      </c>
      <c r="D21520" s="5" t="s">
        <v>27914</v>
      </c>
      <c r="E21520" s="6" t="str">
        <f>HYPERLINK("https://inpn.mnhn.fr/espece/cd_nom/128347","Vaccinium oxycoccos L., 1753")</f>
        <v>Vaccinium oxycoccos L., 1753</v>
      </c>
      <c r="F21520" s="5" t="s">
        <v>27915</v>
      </c>
      <c r="M21520" s="4" t="str">
        <f>HYPERLINK("#Réglementation!A"&amp;_xlfn.XMATCH("RV26",Réglementation!A:A,2,1),"RV26")</f>
        <v>RV26</v>
      </c>
      <c r="Q21520" s="7" t="str">
        <f>HYPERLINK("#Liste_rouge!A"&amp;_xlfn.XMATCH("LC",Liste_rouge!A:A,2,1),"LC")</f>
        <v>LC</v>
      </c>
      <c r="T21520" s="7" t="str">
        <f>HYPERLINK("#Liste_rouge!A"&amp;_xlfn.XMATCH("EN",Liste_rouge!A:A,2,1),"EN")</f>
        <v>EN</v>
      </c>
      <c r="U21520" s="4" t="str">
        <f>HYPERLINK("#Critères_liste_rouge!A$1","C2a(i)")</f>
        <v>C2a(i)</v>
      </c>
      <c r="V21520" s="7" t="str">
        <f>HYPERLINK("#Liste_rouge!A"&amp;_xlfn.XMATCH("LC",Liste_rouge!A:A,2,1),"LC")</f>
        <v>LC</v>
      </c>
      <c r="AB21520" s="4" t="s">
        <v>24397</v>
      </c>
      <c r="AH21520" s="4" t="str">
        <f>HYPERLINK("#Statut_biogéographique!A"&amp;_xlfn.XMATCH("P",Statut_biogéographique!A:A,2,1),"P")</f>
        <v>P</v>
      </c>
      <c r="AM21520" s="4" t="s">
        <v>375</v>
      </c>
      <c r="AN21520" s="4" t="s">
        <v>375</v>
      </c>
      <c r="AO21520" s="4" t="s">
        <v>375</v>
      </c>
      <c r="AP21520" s="4" t="s">
        <v>376</v>
      </c>
      <c r="AR21520" s="4" t="s">
        <v>377</v>
      </c>
    </row>
    <row r="21521" spans="1:44" ht="30">
      <c r="A21521" s="4" t="s">
        <v>24364</v>
      </c>
      <c r="B21521" s="4">
        <v>128354</v>
      </c>
      <c r="D21521" s="5" t="s">
        <v>27916</v>
      </c>
      <c r="E21521" s="6" t="str">
        <f>HYPERLINK("https://inpn.mnhn.fr/espece/cd_nom/128354","Vaccinium uliginosum L., 1753")</f>
        <v>Vaccinium uliginosum L., 1753</v>
      </c>
      <c r="F21521" s="5" t="s">
        <v>27917</v>
      </c>
      <c r="N21521" s="4" t="str">
        <f>HYPERLINK("#Réglementation!A"&amp;_xlfn.XMATCH("V70P1modif",Réglementation!A:A,2,1),"V70P1modif")</f>
        <v>V70P1modif</v>
      </c>
      <c r="Q21521" s="7" t="str">
        <f>HYPERLINK("#Liste_rouge!A"&amp;_xlfn.XMATCH("LC",Liste_rouge!A:A,2,1),"LC")</f>
        <v>LC</v>
      </c>
      <c r="V21521" s="7" t="str">
        <f>HYPERLINK("#Liste_rouge!A"&amp;_xlfn.XMATCH("LC",Liste_rouge!A:A,2,1),"LC")</f>
        <v>LC</v>
      </c>
      <c r="AB21521" s="4" t="s">
        <v>24410</v>
      </c>
      <c r="AH21521" s="4" t="str">
        <f>HYPERLINK("#Statut_biogéographique!A"&amp;_xlfn.XMATCH("P",Statut_biogéographique!A:A,2,1),"P")</f>
        <v>P</v>
      </c>
      <c r="AK21521" s="4" t="str">
        <f>HYPERLINK("#Réglementation!A"&amp;_xlfn.XMATCH("V39P3",Réglementation!A:A,2,1),"V39P3 - V70P1modif")</f>
        <v>V39P3 - V70P1modif</v>
      </c>
      <c r="AM21521" s="4" t="s">
        <v>375</v>
      </c>
      <c r="AN21521" s="4" t="s">
        <v>375</v>
      </c>
      <c r="AO21521" s="4" t="s">
        <v>375</v>
      </c>
      <c r="AP21521" s="4" t="s">
        <v>376</v>
      </c>
      <c r="AR21521" s="4" t="s">
        <v>377</v>
      </c>
    </row>
    <row r="21522" spans="1:44" ht="60">
      <c r="A21522" s="4" t="s">
        <v>24364</v>
      </c>
      <c r="B21522" s="4">
        <v>128355</v>
      </c>
      <c r="D21522" s="5" t="s">
        <v>27918</v>
      </c>
      <c r="E21522" s="6" t="str">
        <f>HYPERLINK("https://inpn.mnhn.fr/espece/cd_nom/128355","Vaccinium vitis-idaea L., 1753")</f>
        <v>Vaccinium vitis-idaea L., 1753</v>
      </c>
      <c r="F21522" s="5" t="s">
        <v>27919</v>
      </c>
      <c r="M21522" s="4" t="str">
        <f>HYPERLINK("#Réglementation!A"&amp;_xlfn.XMATCH("RV26",Réglementation!A:A,2,1),"RV26")</f>
        <v>RV26</v>
      </c>
      <c r="N21522" s="4" t="str">
        <f>HYPERLINK("#Réglementation!A"&amp;_xlfn.XMATCH("V70P1modif",Réglementation!A:A,2,1),"V70P1modif")</f>
        <v>V70P1modif</v>
      </c>
      <c r="O21522" s="7" t="str">
        <f>HYPERLINK("#Liste_rouge!A"&amp;_xlfn.XMATCH("LC",Liste_rouge!A:A,2,1),"LC")</f>
        <v>LC</v>
      </c>
      <c r="Q21522" s="7" t="str">
        <f>HYPERLINK("#Liste_rouge!A"&amp;_xlfn.XMATCH("LC",Liste_rouge!A:A,2,1),"LC")</f>
        <v>LC</v>
      </c>
      <c r="T21522" s="7" t="str">
        <f>HYPERLINK("#Liste_rouge!A"&amp;_xlfn.XMATCH("CR",Liste_rouge!A:A,2,1),"CR")</f>
        <v>CR</v>
      </c>
      <c r="U21522" s="4" t="str">
        <f>HYPERLINK("#Critères_liste_rouge!A$1","C2a(i)")</f>
        <v>C2a(i)</v>
      </c>
      <c r="V21522" s="7" t="str">
        <f>HYPERLINK("#Liste_rouge!A"&amp;_xlfn.XMATCH("LC",Liste_rouge!A:A,2,1),"LC")</f>
        <v>LC</v>
      </c>
      <c r="AB21522" s="4" t="s">
        <v>24397</v>
      </c>
      <c r="AH21522" s="4" t="str">
        <f>HYPERLINK("#Statut_biogéographique!A"&amp;_xlfn.XMATCH("P",Statut_biogéographique!A:A,2,1),"P")</f>
        <v>P</v>
      </c>
      <c r="AK21522" s="4" t="str">
        <f>HYPERLINK("#Réglementation!A"&amp;_xlfn.XMATCH("V39P3",Réglementation!A:A,2,1),"V39P3 - V70P1modif")</f>
        <v>V39P3 - V70P1modif</v>
      </c>
      <c r="AM21522" s="4" t="s">
        <v>375</v>
      </c>
      <c r="AN21522" s="4" t="s">
        <v>375</v>
      </c>
      <c r="AO21522" s="4" t="s">
        <v>375</v>
      </c>
      <c r="AP21522" s="4" t="s">
        <v>376</v>
      </c>
      <c r="AR21522" s="4" t="s">
        <v>377</v>
      </c>
    </row>
    <row r="21523" spans="1:44" ht="30">
      <c r="A21523" s="4" t="s">
        <v>24364</v>
      </c>
      <c r="B21523" s="4">
        <v>128367</v>
      </c>
      <c r="D21523" s="5" t="s">
        <v>27920</v>
      </c>
      <c r="E21523" s="6" t="str">
        <f>HYPERLINK("https://inpn.mnhn.fr/espece/cd_nom/128367","Valantia muralis L., 1753")</f>
        <v>Valantia muralis L., 1753</v>
      </c>
      <c r="F21523" s="5" t="s">
        <v>27921</v>
      </c>
      <c r="Q21523" s="7" t="str">
        <f>HYPERLINK("#Liste_rouge!A"&amp;_xlfn.XMATCH("LC",Liste_rouge!A:A,2,1),"LC")</f>
        <v>LC</v>
      </c>
      <c r="T21523" s="7" t="str">
        <f>HYPERLINK("#Liste_rouge!A"&amp;_xlfn.XMATCH("NA",Liste_rouge!A:A,2,1),"NA")</f>
        <v>NA</v>
      </c>
      <c r="AH21523" s="4" t="str">
        <f>HYPERLINK("#Statut_biogéographique!A"&amp;_xlfn.XMATCH("P",Statut_biogéographique!A:A,2,1),"P")</f>
        <v>P</v>
      </c>
      <c r="AP21523" s="4" t="s">
        <v>376</v>
      </c>
      <c r="AR21523" s="4" t="s">
        <v>377</v>
      </c>
    </row>
    <row r="21524" spans="1:44">
      <c r="A21524" s="4" t="s">
        <v>24364</v>
      </c>
      <c r="B21524" s="4">
        <v>128394</v>
      </c>
      <c r="D21524" s="5" t="s">
        <v>27922</v>
      </c>
      <c r="E21524" s="6" t="str">
        <f>HYPERLINK("https://inpn.mnhn.fr/espece/cd_nom/128394","Valeriana dioica L., 1753")</f>
        <v>Valeriana dioica L., 1753</v>
      </c>
      <c r="F21524" s="5" t="s">
        <v>27923</v>
      </c>
      <c r="Q21524" s="7" t="str">
        <f>HYPERLINK("#Liste_rouge!A"&amp;_xlfn.XMATCH("LC",Liste_rouge!A:A,2,1),"LC")</f>
        <v>LC</v>
      </c>
      <c r="T21524" s="7" t="str">
        <f>HYPERLINK("#Liste_rouge!A"&amp;_xlfn.XMATCH("LC",Liste_rouge!A:A,2,1),"LC")</f>
        <v>LC</v>
      </c>
      <c r="V21524" s="7" t="str">
        <f>HYPERLINK("#Liste_rouge!A"&amp;_xlfn.XMATCH("LC",Liste_rouge!A:A,2,1),"LC")</f>
        <v>LC</v>
      </c>
      <c r="AH21524" s="4" t="str">
        <f>HYPERLINK("#Statut_biogéographique!A"&amp;_xlfn.XMATCH("P",Statut_biogéographique!A:A,2,1),"P")</f>
        <v>P</v>
      </c>
      <c r="AM21524" s="4" t="s">
        <v>375</v>
      </c>
      <c r="AN21524" s="4" t="s">
        <v>375</v>
      </c>
      <c r="AO21524" s="4" t="s">
        <v>375</v>
      </c>
      <c r="AP21524" s="4" t="s">
        <v>376</v>
      </c>
      <c r="AR21524" s="4" t="s">
        <v>377</v>
      </c>
    </row>
    <row r="21525" spans="1:44" ht="45">
      <c r="A21525" s="4" t="s">
        <v>24364</v>
      </c>
      <c r="B21525" s="4">
        <v>128397</v>
      </c>
      <c r="D21525" s="5" t="s">
        <v>27924</v>
      </c>
      <c r="E21525" s="6" t="str">
        <f>HYPERLINK("https://inpn.mnhn.fr/espece/cd_nom/128397","Valeriana excelsa Poir., 1808")</f>
        <v>Valeriana excelsa Poir., 1808</v>
      </c>
      <c r="F21525" s="5" t="s">
        <v>27925</v>
      </c>
      <c r="T21525" s="7" t="str">
        <f>HYPERLINK("#Liste_rouge!A"&amp;_xlfn.XMATCH("LC",Liste_rouge!A:A,2,1),"LC")</f>
        <v>LC</v>
      </c>
      <c r="AH21525" s="4" t="str">
        <f>HYPERLINK("#Statut_biogéographique!A"&amp;_xlfn.XMATCH("P",Statut_biogéographique!A:A,2,1),"P")</f>
        <v>P</v>
      </c>
      <c r="AP21525" s="4" t="s">
        <v>376</v>
      </c>
      <c r="AR21525" s="4" t="s">
        <v>377</v>
      </c>
    </row>
    <row r="21526" spans="1:44" ht="30">
      <c r="A21526" s="4" t="s">
        <v>24364</v>
      </c>
      <c r="B21526" s="4">
        <v>128416</v>
      </c>
      <c r="D21526" s="5" t="s">
        <v>27926</v>
      </c>
      <c r="E21526" s="6" t="str">
        <f>HYPERLINK("https://inpn.mnhn.fr/espece/cd_nom/128416","Valeriana montana L., 1753")</f>
        <v>Valeriana montana L., 1753</v>
      </c>
      <c r="F21526" s="5" t="s">
        <v>27927</v>
      </c>
      <c r="Q21526" s="7" t="str">
        <f>HYPERLINK("#Liste_rouge!A"&amp;_xlfn.XMATCH("LC",Liste_rouge!A:A,2,1),"LC")</f>
        <v>LC</v>
      </c>
      <c r="V21526" s="7" t="str">
        <f>HYPERLINK("#Liste_rouge!A"&amp;_xlfn.XMATCH("LC",Liste_rouge!A:A,2,1),"LC")</f>
        <v>LC</v>
      </c>
      <c r="AH21526" s="4" t="str">
        <f>HYPERLINK("#Statut_biogéographique!A"&amp;_xlfn.XMATCH("P",Statut_biogéographique!A:A,2,1),"P")</f>
        <v>P</v>
      </c>
      <c r="AM21526" s="4" t="s">
        <v>375</v>
      </c>
      <c r="AN21526" s="4" t="s">
        <v>375</v>
      </c>
      <c r="AO21526" s="4" t="s">
        <v>375</v>
      </c>
      <c r="AP21526" s="4" t="s">
        <v>376</v>
      </c>
      <c r="AR21526" s="4" t="s">
        <v>377</v>
      </c>
    </row>
    <row r="21527" spans="1:44">
      <c r="A21527" s="4" t="s">
        <v>24364</v>
      </c>
      <c r="B21527" s="4">
        <v>128419</v>
      </c>
      <c r="D21527" s="5">
        <v>128419</v>
      </c>
      <c r="E21527" s="6" t="str">
        <f>HYPERLINK("https://inpn.mnhn.fr/espece/cd_nom/128419","Valeriana officinalis L., 1753")</f>
        <v>Valeriana officinalis L., 1753</v>
      </c>
      <c r="F21527" s="5" t="s">
        <v>27928</v>
      </c>
      <c r="P21527" s="7" t="str">
        <f>HYPERLINK("#Liste_rouge!A"&amp;_xlfn.XMATCH("LC",Liste_rouge!A:A,2,1),"LC")</f>
        <v>LC</v>
      </c>
      <c r="Q21527" s="7" t="str">
        <f>HYPERLINK("#Liste_rouge!A"&amp;_xlfn.XMATCH("LC",Liste_rouge!A:A,2,1),"LC")</f>
        <v>LC</v>
      </c>
      <c r="T21527" s="7" t="str">
        <f>HYPERLINK("#Liste_rouge!A"&amp;_xlfn.XMATCH("LC",Liste_rouge!A:A,2,1),"LC")</f>
        <v>LC</v>
      </c>
      <c r="V21527" s="7" t="str">
        <f>HYPERLINK("#Liste_rouge!A"&amp;_xlfn.XMATCH("LC",Liste_rouge!A:A,2,1),"LC")</f>
        <v>LC</v>
      </c>
      <c r="AH21527" s="4" t="str">
        <f>HYPERLINK("#Statut_biogéographique!A"&amp;_xlfn.XMATCH("P",Statut_biogéographique!A:A,2,1),"P")</f>
        <v>P</v>
      </c>
      <c r="AM21527" s="4" t="s">
        <v>375</v>
      </c>
      <c r="AN21527" s="4" t="s">
        <v>375</v>
      </c>
      <c r="AO21527" s="4" t="s">
        <v>375</v>
      </c>
      <c r="AP21527" s="4" t="s">
        <v>376</v>
      </c>
      <c r="AR21527" s="4" t="s">
        <v>377</v>
      </c>
    </row>
    <row r="21528" spans="1:44" ht="30">
      <c r="A21528" s="4" t="s">
        <v>24364</v>
      </c>
      <c r="B21528" s="4">
        <v>128424</v>
      </c>
      <c r="D21528" s="5" t="s">
        <v>27929</v>
      </c>
      <c r="E21528" s="6" t="str">
        <f>HYPERLINK("https://inpn.mnhn.fr/espece/cd_nom/128424","Valeriana pratensis Dierb., 1825")</f>
        <v>Valeriana pratensis Dierb., 1825</v>
      </c>
      <c r="F21528" s="5" t="s">
        <v>27930</v>
      </c>
      <c r="AH21528" s="4" t="str">
        <f>HYPERLINK("#Statut_biogéographique!A"&amp;_xlfn.XMATCH("P",Statut_biogéographique!A:A,2,1),"P")</f>
        <v>P</v>
      </c>
      <c r="AP21528" s="4" t="s">
        <v>376</v>
      </c>
      <c r="AR21528" s="4" t="s">
        <v>377</v>
      </c>
    </row>
    <row r="21529" spans="1:44" ht="45">
      <c r="A21529" s="4" t="s">
        <v>24364</v>
      </c>
      <c r="B21529" s="4">
        <v>128443</v>
      </c>
      <c r="D21529" s="5" t="s">
        <v>27931</v>
      </c>
      <c r="E21529" s="6" t="str">
        <f>HYPERLINK("https://inpn.mnhn.fr/espece/cd_nom/128443","Valeriana officinalis var. tenuifolia Vahl, 1805")</f>
        <v>Valeriana officinalis var. tenuifolia Vahl, 1805</v>
      </c>
      <c r="F21529" s="5" t="s">
        <v>27932</v>
      </c>
      <c r="Q21529" s="7" t="str">
        <f>HYPERLINK("#Liste_rouge!A"&amp;_xlfn.XMATCH("LC",Liste_rouge!A:A,2,1),"LC")</f>
        <v>LC</v>
      </c>
      <c r="T21529" s="7" t="str">
        <f>HYPERLINK("#Liste_rouge!A"&amp;_xlfn.XMATCH("LC",Liste_rouge!A:A,2,1),"LC")</f>
        <v>LC</v>
      </c>
      <c r="AH21529" s="4" t="str">
        <f>HYPERLINK("#Statut_biogéographique!A"&amp;_xlfn.XMATCH("P",Statut_biogéographique!A:A,2,1),"P")</f>
        <v>P</v>
      </c>
      <c r="AP21529" s="4" t="s">
        <v>376</v>
      </c>
      <c r="AR21529" s="4" t="s">
        <v>377</v>
      </c>
    </row>
    <row r="21530" spans="1:44" ht="30">
      <c r="A21530" s="4" t="s">
        <v>24364</v>
      </c>
      <c r="B21530" s="4">
        <v>128445</v>
      </c>
      <c r="D21530" s="5" t="s">
        <v>27933</v>
      </c>
      <c r="E21530" s="6" t="str">
        <f>HYPERLINK("https://inpn.mnhn.fr/espece/cd_nom/128445","Valeriana tripteris L., 1753")</f>
        <v>Valeriana tripteris L., 1753</v>
      </c>
      <c r="F21530" s="5" t="s">
        <v>27934</v>
      </c>
      <c r="Q21530" s="7" t="str">
        <f>HYPERLINK("#Liste_rouge!A"&amp;_xlfn.XMATCH("LC",Liste_rouge!A:A,2,1),"LC")</f>
        <v>LC</v>
      </c>
      <c r="V21530" s="7" t="str">
        <f>HYPERLINK("#Liste_rouge!A"&amp;_xlfn.XMATCH("LC",Liste_rouge!A:A,2,1),"LC")</f>
        <v>LC</v>
      </c>
      <c r="AB21530" s="4" t="s">
        <v>25574</v>
      </c>
      <c r="AH21530" s="4" t="str">
        <f>HYPERLINK("#Statut_biogéographique!A"&amp;_xlfn.XMATCH("P",Statut_biogéographique!A:A,2,1),"P")</f>
        <v>P</v>
      </c>
      <c r="AM21530" s="4" t="s">
        <v>375</v>
      </c>
      <c r="AN21530" s="4" t="s">
        <v>375</v>
      </c>
      <c r="AO21530" s="4" t="s">
        <v>375</v>
      </c>
      <c r="AP21530" s="4" t="s">
        <v>376</v>
      </c>
      <c r="AR21530" s="4" t="s">
        <v>377</v>
      </c>
    </row>
    <row r="21531" spans="1:44">
      <c r="A21531" s="4" t="s">
        <v>24364</v>
      </c>
      <c r="B21531" s="4">
        <v>128446</v>
      </c>
      <c r="D21531" s="5" t="s">
        <v>27935</v>
      </c>
      <c r="E21531" s="6" t="str">
        <f>HYPERLINK("https://inpn.mnhn.fr/espece/cd_nom/128446","Valeriana tuberosa L., 1753")</f>
        <v>Valeriana tuberosa L., 1753</v>
      </c>
      <c r="F21531" s="5" t="s">
        <v>27936</v>
      </c>
      <c r="M21531" s="4" t="str">
        <f>HYPERLINK("#Réglementation!A"&amp;_xlfn.XMATCH("RV26",Réglementation!A:A,2,1),"RV26")</f>
        <v>RV26</v>
      </c>
      <c r="Q21531" s="7" t="str">
        <f>HYPERLINK("#Liste_rouge!A"&amp;_xlfn.XMATCH("LC",Liste_rouge!A:A,2,1),"LC")</f>
        <v>LC</v>
      </c>
      <c r="T21531" s="7" t="str">
        <f>HYPERLINK("#Liste_rouge!A"&amp;_xlfn.XMATCH("EN",Liste_rouge!A:A,2,1),"EN")</f>
        <v>EN</v>
      </c>
      <c r="U21531" s="4" t="str">
        <f>HYPERLINK("#Critères_liste_rouge!A$1","B2ab(ii,iii,iv)")</f>
        <v>B2ab(ii,iii,iv)</v>
      </c>
      <c r="X21531" s="5" t="s">
        <v>374</v>
      </c>
      <c r="AB21531" s="4" t="s">
        <v>93</v>
      </c>
      <c r="AH21531" s="4" t="str">
        <f>HYPERLINK("#Statut_biogéographique!A"&amp;_xlfn.XMATCH("P",Statut_biogéographique!A:A,2,1),"P")</f>
        <v>P</v>
      </c>
      <c r="AM21531" s="4" t="s">
        <v>375</v>
      </c>
      <c r="AN21531" s="4" t="s">
        <v>375</v>
      </c>
      <c r="AO21531" s="4" t="s">
        <v>375</v>
      </c>
      <c r="AP21531" s="4" t="s">
        <v>376</v>
      </c>
      <c r="AR21531" s="4" t="s">
        <v>377</v>
      </c>
    </row>
    <row r="21532" spans="1:44" ht="75">
      <c r="A21532" s="4" t="s">
        <v>24364</v>
      </c>
      <c r="B21532" s="4">
        <v>128462</v>
      </c>
      <c r="D21532" s="5" t="s">
        <v>27937</v>
      </c>
      <c r="E21532" s="6" t="str">
        <f>HYPERLINK("https://inpn.mnhn.fr/espece/cd_nom/128462","Valerianella coronata (L.) DC., 1805")</f>
        <v>Valerianella coronata (L.) DC., 1805</v>
      </c>
      <c r="F21532" s="5" t="s">
        <v>27938</v>
      </c>
      <c r="Q21532" s="7" t="str">
        <f>HYPERLINK("#Liste_rouge!A"&amp;_xlfn.XMATCH("LC",Liste_rouge!A:A,2,1),"LC")</f>
        <v>LC</v>
      </c>
      <c r="T21532" s="7" t="str">
        <f>HYPERLINK("#Liste_rouge!A"&amp;_xlfn.XMATCH("NA",Liste_rouge!A:A,2,1),"NA")</f>
        <v>NA</v>
      </c>
      <c r="AH21532" s="4" t="str">
        <f>HYPERLINK("#Statut_biogéographique!A"&amp;_xlfn.XMATCH("P",Statut_biogéographique!A:A,2,1),"P")</f>
        <v>P</v>
      </c>
      <c r="AI21532" s="8" t="s">
        <v>27939</v>
      </c>
      <c r="AJ21532" s="4" t="s">
        <v>12248</v>
      </c>
      <c r="AP21532" s="4" t="s">
        <v>376</v>
      </c>
      <c r="AR21532" s="4" t="s">
        <v>377</v>
      </c>
    </row>
    <row r="21533" spans="1:44" ht="75">
      <c r="A21533" s="4" t="s">
        <v>24364</v>
      </c>
      <c r="B21533" s="4">
        <v>128467</v>
      </c>
      <c r="D21533" s="5" t="s">
        <v>27940</v>
      </c>
      <c r="E21533" s="6" t="str">
        <f>HYPERLINK("https://inpn.mnhn.fr/espece/cd_nom/128467","Valerianella dentata (L.) Pollich, 1776")</f>
        <v>Valerianella dentata (L.) Pollich, 1776</v>
      </c>
      <c r="F21533" s="5" t="s">
        <v>27941</v>
      </c>
      <c r="Q21533" s="7" t="str">
        <f>HYPERLINK("#Liste_rouge!A"&amp;_xlfn.XMATCH("LC",Liste_rouge!A:A,2,1),"LC")</f>
        <v>LC</v>
      </c>
      <c r="T21533" s="7" t="str">
        <f>HYPERLINK("#Liste_rouge!A"&amp;_xlfn.XMATCH("LC",Liste_rouge!A:A,2,1),"LC")</f>
        <v>LC</v>
      </c>
      <c r="V21533" s="7" t="str">
        <f>HYPERLINK("#Liste_rouge!A"&amp;_xlfn.XMATCH("LC",Liste_rouge!A:A,2,1),"LC")</f>
        <v>LC</v>
      </c>
      <c r="AH21533" s="4" t="str">
        <f>HYPERLINK("#Statut_biogéographique!A"&amp;_xlfn.XMATCH("P",Statut_biogéographique!A:A,2,1),"P")</f>
        <v>P</v>
      </c>
      <c r="AI21533" s="8" t="s">
        <v>27942</v>
      </c>
      <c r="AJ21533" s="4" t="s">
        <v>12248</v>
      </c>
      <c r="AM21533" s="4" t="s">
        <v>375</v>
      </c>
      <c r="AN21533" s="4" t="s">
        <v>375</v>
      </c>
      <c r="AO21533" s="4" t="s">
        <v>375</v>
      </c>
      <c r="AP21533" s="4" t="s">
        <v>376</v>
      </c>
      <c r="AR21533" s="4" t="s">
        <v>377</v>
      </c>
    </row>
    <row r="21534" spans="1:44" ht="45">
      <c r="A21534" s="4" t="s">
        <v>24364</v>
      </c>
      <c r="B21534" s="4">
        <v>128470</v>
      </c>
      <c r="D21534" s="5" t="s">
        <v>27943</v>
      </c>
      <c r="E21534" s="6" t="str">
        <f>HYPERLINK("https://inpn.mnhn.fr/espece/cd_nom/128470","Valerianella eriocarpa Desv., 1809")</f>
        <v>Valerianella eriocarpa Desv., 1809</v>
      </c>
      <c r="F21534" s="5" t="s">
        <v>27944</v>
      </c>
      <c r="Q21534" s="7" t="str">
        <f>HYPERLINK("#Liste_rouge!A"&amp;_xlfn.XMATCH("LC",Liste_rouge!A:A,2,1),"LC")</f>
        <v>LC</v>
      </c>
      <c r="T21534" s="7" t="str">
        <f>HYPERLINK("#Liste_rouge!A"&amp;_xlfn.XMATCH("EN",Liste_rouge!A:A,2,1),"EN")</f>
        <v>EN</v>
      </c>
      <c r="U21534" s="4" t="str">
        <f>HYPERLINK("#Critères_liste_rouge!A$1","B2ab(iii,iv,v)c(iii,iv)")</f>
        <v>B2ab(iii,iv,v)c(iii,iv)</v>
      </c>
      <c r="V21534" s="7" t="str">
        <f>HYPERLINK("#Liste_rouge!A"&amp;_xlfn.XMATCH("DD",Liste_rouge!A:A,2,1),"DD")</f>
        <v>DD</v>
      </c>
      <c r="X21534" s="5" t="s">
        <v>374</v>
      </c>
      <c r="AB21534" s="4" t="s">
        <v>93</v>
      </c>
      <c r="AH21534" s="4" t="str">
        <f>HYPERLINK("#Statut_biogéographique!A"&amp;_xlfn.XMATCH("P",Statut_biogéographique!A:A,2,1),"P")</f>
        <v>P</v>
      </c>
      <c r="AM21534" s="4" t="s">
        <v>375</v>
      </c>
      <c r="AN21534" s="4" t="s">
        <v>375</v>
      </c>
      <c r="AO21534" s="4" t="s">
        <v>375</v>
      </c>
      <c r="AP21534" s="4" t="s">
        <v>376</v>
      </c>
      <c r="AR21534" s="4" t="s">
        <v>377</v>
      </c>
    </row>
    <row r="21535" spans="1:44" ht="75">
      <c r="A21535" s="4" t="s">
        <v>24364</v>
      </c>
      <c r="B21535" s="4">
        <v>128476</v>
      </c>
      <c r="D21535" s="5" t="s">
        <v>27945</v>
      </c>
      <c r="E21535" s="6" t="str">
        <f>HYPERLINK("https://inpn.mnhn.fr/espece/cd_nom/128476","Valerianella locusta (L.) Laterr., 1821")</f>
        <v>Valerianella locusta (L.) Laterr., 1821</v>
      </c>
      <c r="F21535" s="5" t="s">
        <v>27946</v>
      </c>
      <c r="Q21535" s="7" t="str">
        <f>HYPERLINK("#Liste_rouge!A"&amp;_xlfn.XMATCH("LC",Liste_rouge!A:A,2,1),"LC")</f>
        <v>LC</v>
      </c>
      <c r="T21535" s="7" t="str">
        <f>HYPERLINK("#Liste_rouge!A"&amp;_xlfn.XMATCH("LC",Liste_rouge!A:A,2,1),"LC")</f>
        <v>LC</v>
      </c>
      <c r="V21535" s="7" t="str">
        <f>HYPERLINK("#Liste_rouge!A"&amp;_xlfn.XMATCH("LC",Liste_rouge!A:A,2,1),"LC")</f>
        <v>LC</v>
      </c>
      <c r="AH21535" s="4" t="str">
        <f>HYPERLINK("#Statut_biogéographique!A"&amp;_xlfn.XMATCH("P",Statut_biogéographique!A:A,2,1),"P")</f>
        <v>P</v>
      </c>
      <c r="AM21535" s="4" t="s">
        <v>375</v>
      </c>
      <c r="AN21535" s="4" t="s">
        <v>375</v>
      </c>
      <c r="AO21535" s="4" t="s">
        <v>375</v>
      </c>
      <c r="AP21535" s="4" t="s">
        <v>376</v>
      </c>
      <c r="AR21535" s="4" t="s">
        <v>377</v>
      </c>
    </row>
    <row r="21536" spans="1:44" ht="30">
      <c r="A21536" s="4" t="s">
        <v>24364</v>
      </c>
      <c r="B21536" s="4">
        <v>128504</v>
      </c>
      <c r="D21536" s="5" t="s">
        <v>27947</v>
      </c>
      <c r="E21536" s="6" t="str">
        <f>HYPERLINK("https://inpn.mnhn.fr/espece/cd_nom/128504","Vallisneria spiralis L., 1753")</f>
        <v>Vallisneria spiralis L., 1753</v>
      </c>
      <c r="F21536" s="5" t="s">
        <v>27948</v>
      </c>
      <c r="O21536" s="7" t="str">
        <f>HYPERLINK("#Liste_rouge!A"&amp;_xlfn.XMATCH("LC",Liste_rouge!A:A,2,1),"LC")</f>
        <v>LC</v>
      </c>
      <c r="P21536" s="7" t="str">
        <f>HYPERLINK("#Liste_rouge!A"&amp;_xlfn.XMATCH("LC",Liste_rouge!A:A,2,1),"LC")</f>
        <v>LC</v>
      </c>
      <c r="Q21536" s="7" t="str">
        <f>HYPERLINK("#Liste_rouge!A"&amp;_xlfn.XMATCH("LC",Liste_rouge!A:A,2,1),"LC")</f>
        <v>LC</v>
      </c>
      <c r="T21536" s="7" t="str">
        <f>HYPERLINK("#Liste_rouge!A"&amp;_xlfn.XMATCH("LC",Liste_rouge!A:A,2,1),"LC")</f>
        <v>LC</v>
      </c>
      <c r="V21536" s="7" t="str">
        <f>HYPERLINK("#Liste_rouge!A"&amp;_xlfn.XMATCH("LC",Liste_rouge!A:A,2,1),"LC")</f>
        <v>LC</v>
      </c>
      <c r="AH21536" s="4" t="str">
        <f>HYPERLINK("#Statut_biogéographique!A"&amp;_xlfn.XMATCH("I",Statut_biogéographique!A:A,2,1),"I")</f>
        <v>I</v>
      </c>
      <c r="AM21536" s="4" t="s">
        <v>375</v>
      </c>
      <c r="AN21536" s="4" t="s">
        <v>375</v>
      </c>
      <c r="AO21536" s="4" t="s">
        <v>375</v>
      </c>
      <c r="AP21536" s="4" t="s">
        <v>376</v>
      </c>
      <c r="AR21536" s="4" t="s">
        <v>377</v>
      </c>
    </row>
    <row r="21537" spans="1:44" ht="30">
      <c r="A21537" s="4" t="s">
        <v>24364</v>
      </c>
      <c r="B21537" s="4">
        <v>128510</v>
      </c>
      <c r="D21537" s="5" t="s">
        <v>27949</v>
      </c>
      <c r="E21537" s="6" t="str">
        <f>HYPERLINK("https://inpn.mnhn.fr/espece/cd_nom/128510","Vandenboschia speciosa (Willd.) G.Kunkel, 1966")</f>
        <v>Vandenboschia speciosa (Willd.) G.Kunkel, 1966</v>
      </c>
      <c r="F21537" s="5" t="s">
        <v>27950</v>
      </c>
      <c r="I21537" s="4" t="str">
        <f>HYPERLINK("#Réglementation!A"&amp;_xlfn.XMATCH("IBE1",Réglementation!A:A,2,1),"IBE1")</f>
        <v>IBE1</v>
      </c>
      <c r="K21537" s="4" t="str">
        <f>HYPERLINK("#Réglementation!A"&amp;_xlfn.XMATCH("CDH2",Réglementation!A:A,2,1),"CDH2 - CDH4")</f>
        <v>CDH2 - CDH4</v>
      </c>
      <c r="L21537" s="4" t="str">
        <f>HYPERLINK("#Réglementation!A"&amp;_xlfn.XMATCH("NV1",Réglementation!A:A,2,1),"NV1")</f>
        <v>NV1</v>
      </c>
      <c r="O21537" s="7" t="str">
        <f>HYPERLINK("#Liste_rouge!A"&amp;_xlfn.XMATCH("LC",Liste_rouge!A:A,2,1),"LC")</f>
        <v>LC</v>
      </c>
      <c r="P21537" s="7" t="str">
        <f>HYPERLINK("#Liste_rouge!A"&amp;_xlfn.XMATCH("LC",Liste_rouge!A:A,2,1),"LC")</f>
        <v>LC</v>
      </c>
      <c r="Q21537" s="7" t="str">
        <f>HYPERLINK("#Liste_rouge!A"&amp;_xlfn.XMATCH("LC",Liste_rouge!A:A,2,1),"LC")</f>
        <v>LC</v>
      </c>
      <c r="V21537" s="7" t="str">
        <f>HYPERLINK("#Liste_rouge!A"&amp;_xlfn.XMATCH("NT",Liste_rouge!A:A,2,1),"NT")</f>
        <v>NT</v>
      </c>
      <c r="W21537" s="4" t="str">
        <f>HYPERLINK("#Critères_liste_rouge!A$1","pr. D2")</f>
        <v>pr. D2</v>
      </c>
      <c r="X21537" s="5" t="s">
        <v>374</v>
      </c>
      <c r="AB21537" s="4" t="s">
        <v>93</v>
      </c>
      <c r="AE21537" s="4" t="str">
        <f>HYPERLINK("#SCAP!A"&amp;_xlfn.XMATCH("1+",SCAP!A:A,2,1),"1+")</f>
        <v>1+</v>
      </c>
      <c r="AH21537" s="4" t="str">
        <f>HYPERLINK("#Statut_biogéographique!A"&amp;_xlfn.XMATCH("P",Statut_biogéographique!A:A,2,1),"P")</f>
        <v>P</v>
      </c>
      <c r="AM21537" s="4" t="s">
        <v>375</v>
      </c>
      <c r="AN21537" s="4" t="s">
        <v>375</v>
      </c>
      <c r="AO21537" s="4" t="s">
        <v>375</v>
      </c>
      <c r="AP21537" s="4" t="s">
        <v>376</v>
      </c>
      <c r="AR21537" s="4" t="s">
        <v>377</v>
      </c>
    </row>
    <row r="21538" spans="1:44" ht="45">
      <c r="A21538" s="4" t="s">
        <v>24364</v>
      </c>
      <c r="B21538" s="4">
        <v>128518</v>
      </c>
      <c r="D21538" s="5" t="s">
        <v>27951</v>
      </c>
      <c r="E21538" s="6" t="str">
        <f>HYPERLINK("https://inpn.mnhn.fr/espece/cd_nom/128518","Ventenata dubia (Leers) Coss., 1855")</f>
        <v>Ventenata dubia (Leers) Coss., 1855</v>
      </c>
      <c r="F21538" s="5" t="s">
        <v>27952</v>
      </c>
      <c r="O21538" s="7" t="str">
        <f>HYPERLINK("#Liste_rouge!A"&amp;_xlfn.XMATCH("LC",Liste_rouge!A:A,2,1),"LC")</f>
        <v>LC</v>
      </c>
      <c r="Q21538" s="7" t="str">
        <f>HYPERLINK("#Liste_rouge!A"&amp;_xlfn.XMATCH("LC",Liste_rouge!A:A,2,1),"LC")</f>
        <v>LC</v>
      </c>
      <c r="T21538" s="7" t="str">
        <f>HYPERLINK("#Liste_rouge!A"&amp;_xlfn.XMATCH("RE",Liste_rouge!A:A,2,1),"RE")</f>
        <v>RE</v>
      </c>
      <c r="AH21538" s="4" t="str">
        <f>HYPERLINK("#Statut_biogéographique!A"&amp;_xlfn.XMATCH("P",Statut_biogéographique!A:A,2,1),"P")</f>
        <v>P</v>
      </c>
      <c r="AM21538" s="4" t="s">
        <v>375</v>
      </c>
      <c r="AN21538" s="4" t="s">
        <v>375</v>
      </c>
      <c r="AO21538" s="4" t="s">
        <v>375</v>
      </c>
      <c r="AP21538" s="4" t="s">
        <v>376</v>
      </c>
      <c r="AR21538" s="4" t="s">
        <v>377</v>
      </c>
    </row>
    <row r="21539" spans="1:44" ht="30">
      <c r="A21539" s="4" t="s">
        <v>24364</v>
      </c>
      <c r="B21539" s="4">
        <v>128520</v>
      </c>
      <c r="D21539" s="5" t="s">
        <v>27953</v>
      </c>
      <c r="E21539" s="6" t="str">
        <f>HYPERLINK("https://inpn.mnhn.fr/espece/cd_nom/128520","Veratrum album L., 1753")</f>
        <v>Veratrum album L., 1753</v>
      </c>
      <c r="F21539" s="5" t="s">
        <v>27954</v>
      </c>
      <c r="P21539" s="7" t="str">
        <f>HYPERLINK("#Liste_rouge!A"&amp;_xlfn.XMATCH("LC",Liste_rouge!A:A,2,1),"LC")</f>
        <v>LC</v>
      </c>
      <c r="Q21539" s="7" t="str">
        <f>HYPERLINK("#Liste_rouge!A"&amp;_xlfn.XMATCH("LC",Liste_rouge!A:A,2,1),"LC")</f>
        <v>LC</v>
      </c>
      <c r="T21539" s="7" t="str">
        <f>HYPERLINK("#Liste_rouge!A"&amp;_xlfn.XMATCH("NA",Liste_rouge!A:A,2,1),"NA")</f>
        <v>NA</v>
      </c>
      <c r="V21539" s="7" t="str">
        <f>HYPERLINK("#Liste_rouge!A"&amp;_xlfn.XMATCH("LC",Liste_rouge!A:A,2,1),"LC")</f>
        <v>LC</v>
      </c>
      <c r="AH21539" s="4" t="str">
        <f>HYPERLINK("#Statut_biogéographique!A"&amp;_xlfn.XMATCH("P",Statut_biogéographique!A:A,2,1),"P")</f>
        <v>P</v>
      </c>
      <c r="AM21539" s="4" t="s">
        <v>375</v>
      </c>
      <c r="AN21539" s="4" t="s">
        <v>375</v>
      </c>
      <c r="AO21539" s="4" t="s">
        <v>375</v>
      </c>
      <c r="AP21539" s="4" t="s">
        <v>376</v>
      </c>
      <c r="AR21539" s="4" t="s">
        <v>377</v>
      </c>
    </row>
    <row r="21540" spans="1:44">
      <c r="A21540" s="4" t="s">
        <v>24364</v>
      </c>
      <c r="B21540" s="4">
        <v>128522</v>
      </c>
      <c r="D21540" s="5" t="s">
        <v>27955</v>
      </c>
      <c r="E21540" s="6" t="str">
        <f>HYPERLINK("https://inpn.mnhn.fr/espece/cd_nom/128522","Veratrum nigrum L., 1753")</f>
        <v>Veratrum nigrum L., 1753</v>
      </c>
      <c r="F21540" s="5" t="s">
        <v>27956</v>
      </c>
      <c r="L21540" s="4" t="str">
        <f>HYPERLINK("#Réglementation!A"&amp;_xlfn.XMATCH("NV1",Réglementation!A:A,2,1),"NV1")</f>
        <v>NV1</v>
      </c>
      <c r="Q21540" s="7" t="str">
        <f>HYPERLINK("#Liste_rouge!A"&amp;_xlfn.XMATCH("NT",Liste_rouge!A:A,2,1),"NT")</f>
        <v>NT</v>
      </c>
      <c r="T21540" s="7" t="str">
        <f>HYPERLINK("#Liste_rouge!A"&amp;_xlfn.XMATCH("NA",Liste_rouge!A:A,2,1),"NA")</f>
        <v>NA</v>
      </c>
      <c r="AH21540" s="4" t="str">
        <f>HYPERLINK("#Statut_biogéographique!A"&amp;_xlfn.XMATCH("P",Statut_biogéographique!A:A,2,1),"P")</f>
        <v>P</v>
      </c>
      <c r="AP21540" s="4" t="s">
        <v>376</v>
      </c>
      <c r="AR21540" s="4" t="s">
        <v>377</v>
      </c>
    </row>
    <row r="21541" spans="1:44" ht="60">
      <c r="A21541" s="4" t="s">
        <v>24364</v>
      </c>
      <c r="B21541" s="4">
        <v>128543</v>
      </c>
      <c r="D21541" s="5" t="s">
        <v>27957</v>
      </c>
      <c r="E21541" s="6" t="str">
        <f>HYPERLINK("https://inpn.mnhn.fr/espece/cd_nom/128543","Verbascum blattaria L., 1753")</f>
        <v>Verbascum blattaria L., 1753</v>
      </c>
      <c r="F21541" s="5" t="s">
        <v>27958</v>
      </c>
      <c r="Q21541" s="7" t="str">
        <f>HYPERLINK("#Liste_rouge!A"&amp;_xlfn.XMATCH("LC",Liste_rouge!A:A,2,1),"LC")</f>
        <v>LC</v>
      </c>
      <c r="T21541" s="7" t="str">
        <f>HYPERLINK("#Liste_rouge!A"&amp;_xlfn.XMATCH("LC",Liste_rouge!A:A,2,1),"LC")</f>
        <v>LC</v>
      </c>
      <c r="V21541" s="7" t="str">
        <f>HYPERLINK("#Liste_rouge!A"&amp;_xlfn.XMATCH("LC",Liste_rouge!A:A,2,1),"LC")</f>
        <v>LC</v>
      </c>
      <c r="AH21541" s="4" t="str">
        <f>HYPERLINK("#Statut_biogéographique!A"&amp;_xlfn.XMATCH("P",Statut_biogéographique!A:A,2,1),"P")</f>
        <v>P</v>
      </c>
      <c r="AM21541" s="4" t="s">
        <v>375</v>
      </c>
      <c r="AN21541" s="4" t="s">
        <v>375</v>
      </c>
      <c r="AO21541" s="4" t="s">
        <v>375</v>
      </c>
      <c r="AP21541" s="4" t="s">
        <v>376</v>
      </c>
      <c r="AR21541" s="4" t="s">
        <v>377</v>
      </c>
    </row>
    <row r="21542" spans="1:44" ht="75">
      <c r="A21542" s="4" t="s">
        <v>24364</v>
      </c>
      <c r="B21542" s="4">
        <v>128567</v>
      </c>
      <c r="D21542" s="5" t="s">
        <v>27959</v>
      </c>
      <c r="E21542" s="6" t="str">
        <f>HYPERLINK("https://inpn.mnhn.fr/espece/cd_nom/128567","Verbascum densiflorum Bertol., 1810")</f>
        <v>Verbascum densiflorum Bertol., 1810</v>
      </c>
      <c r="F21542" s="5" t="s">
        <v>27960</v>
      </c>
      <c r="P21542" s="7" t="str">
        <f>HYPERLINK("#Liste_rouge!A"&amp;_xlfn.XMATCH("LC",Liste_rouge!A:A,2,1),"LC")</f>
        <v>LC</v>
      </c>
      <c r="Q21542" s="7" t="str">
        <f>HYPERLINK("#Liste_rouge!A"&amp;_xlfn.XMATCH("LC",Liste_rouge!A:A,2,1),"LC")</f>
        <v>LC</v>
      </c>
      <c r="T21542" s="7" t="str">
        <f>HYPERLINK("#Liste_rouge!A"&amp;_xlfn.XMATCH("LC",Liste_rouge!A:A,2,1),"LC")</f>
        <v>LC</v>
      </c>
      <c r="V21542" s="7" t="str">
        <f>HYPERLINK("#Liste_rouge!A"&amp;_xlfn.XMATCH("LC",Liste_rouge!A:A,2,1),"LC")</f>
        <v>LC</v>
      </c>
      <c r="AH21542" s="4" t="str">
        <f>HYPERLINK("#Statut_biogéographique!A"&amp;_xlfn.XMATCH("P",Statut_biogéographique!A:A,2,1),"P")</f>
        <v>P</v>
      </c>
      <c r="AM21542" s="4" t="s">
        <v>375</v>
      </c>
      <c r="AN21542" s="4" t="s">
        <v>375</v>
      </c>
      <c r="AO21542" s="4" t="s">
        <v>375</v>
      </c>
      <c r="AP21542" s="4" t="s">
        <v>376</v>
      </c>
      <c r="AR21542" s="4" t="s">
        <v>377</v>
      </c>
    </row>
    <row r="21543" spans="1:44" ht="90">
      <c r="A21543" s="4" t="s">
        <v>24364</v>
      </c>
      <c r="B21543" s="4">
        <v>128602</v>
      </c>
      <c r="D21543" s="5" t="s">
        <v>27961</v>
      </c>
      <c r="E21543" s="6" t="str">
        <f>HYPERLINK("https://inpn.mnhn.fr/espece/cd_nom/128602","Verbascum lychnitis L., 1753")</f>
        <v>Verbascum lychnitis L., 1753</v>
      </c>
      <c r="F21543" s="5" t="s">
        <v>27962</v>
      </c>
      <c r="Q21543" s="7" t="str">
        <f>HYPERLINK("#Liste_rouge!A"&amp;_xlfn.XMATCH("LC",Liste_rouge!A:A,2,1),"LC")</f>
        <v>LC</v>
      </c>
      <c r="T21543" s="7" t="str">
        <f>HYPERLINK("#Liste_rouge!A"&amp;_xlfn.XMATCH("DD",Liste_rouge!A:A,2,1),"DD (cd_nom 613819) - LC (cd_nom 128602)")</f>
        <v>DD (cd_nom 613819) - LC (cd_nom 128602)</v>
      </c>
      <c r="V21543" s="7" t="str">
        <f>HYPERLINK("#Liste_rouge!A"&amp;_xlfn.XMATCH("LC",Liste_rouge!A:A,2,1),"LC")</f>
        <v>LC</v>
      </c>
      <c r="AH21543" s="4" t="str">
        <f>HYPERLINK("#Statut_biogéographique!A"&amp;_xlfn.XMATCH("P",Statut_biogéographique!A:A,2,1),"P")</f>
        <v>P</v>
      </c>
      <c r="AM21543" s="4" t="s">
        <v>375</v>
      </c>
      <c r="AN21543" s="4" t="s">
        <v>375</v>
      </c>
      <c r="AO21543" s="4" t="s">
        <v>375</v>
      </c>
      <c r="AP21543" s="4" t="s">
        <v>376</v>
      </c>
      <c r="AR21543" s="4" t="s">
        <v>377</v>
      </c>
    </row>
    <row r="21544" spans="1:44" ht="60">
      <c r="A21544" s="4" t="s">
        <v>24364</v>
      </c>
      <c r="B21544" s="4">
        <v>128615</v>
      </c>
      <c r="D21544" s="5" t="s">
        <v>27963</v>
      </c>
      <c r="E21544" s="6" t="str">
        <f>HYPERLINK("https://inpn.mnhn.fr/espece/cd_nom/128615","Verbascum nigrum L., 1753")</f>
        <v>Verbascum nigrum L., 1753</v>
      </c>
      <c r="F21544" s="5" t="s">
        <v>27964</v>
      </c>
      <c r="Q21544" s="7" t="str">
        <f>HYPERLINK("#Liste_rouge!A"&amp;_xlfn.XMATCH("LC",Liste_rouge!A:A,2,1),"LC")</f>
        <v>LC</v>
      </c>
      <c r="T21544" s="7" t="str">
        <f>HYPERLINK("#Liste_rouge!A"&amp;_xlfn.XMATCH("LC",Liste_rouge!A:A,2,1),"LC")</f>
        <v>LC</v>
      </c>
      <c r="V21544" s="7" t="str">
        <f>HYPERLINK("#Liste_rouge!A"&amp;_xlfn.XMATCH("LC",Liste_rouge!A:A,2,1),"LC")</f>
        <v>LC</v>
      </c>
      <c r="AH21544" s="4" t="str">
        <f>HYPERLINK("#Statut_biogéographique!A"&amp;_xlfn.XMATCH("P",Statut_biogéographique!A:A,2,1),"P")</f>
        <v>P</v>
      </c>
      <c r="AM21544" s="4" t="s">
        <v>375</v>
      </c>
      <c r="AN21544" s="4" t="s">
        <v>375</v>
      </c>
      <c r="AO21544" s="4" t="s">
        <v>375</v>
      </c>
      <c r="AP21544" s="4" t="s">
        <v>376</v>
      </c>
      <c r="AR21544" s="4" t="s">
        <v>377</v>
      </c>
    </row>
    <row r="21545" spans="1:44">
      <c r="A21545" s="4" t="s">
        <v>24364</v>
      </c>
      <c r="B21545" s="4">
        <v>128623</v>
      </c>
      <c r="D21545" s="5" t="s">
        <v>27965</v>
      </c>
      <c r="E21545" s="6" t="str">
        <f>HYPERLINK("https://inpn.mnhn.fr/espece/cd_nom/128623","Verbascum orientale (L.) All., 1785")</f>
        <v>Verbascum orientale (L.) All., 1785</v>
      </c>
      <c r="F21545" s="5" t="s">
        <v>27966</v>
      </c>
      <c r="Q21545" s="7" t="str">
        <f>HYPERLINK("#Liste_rouge!A"&amp;_xlfn.XMATCH("NA",Liste_rouge!A:A,2,1),"NA")</f>
        <v>NA</v>
      </c>
      <c r="AH21545" s="4" t="str">
        <f>HYPERLINK("#Statut_biogéographique!A"&amp;_xlfn.XMATCH("I",Statut_biogéographique!A:A,2,1),"I")</f>
        <v>I</v>
      </c>
      <c r="AP21545" s="4" t="s">
        <v>376</v>
      </c>
      <c r="AR21545" s="4" t="s">
        <v>377</v>
      </c>
    </row>
    <row r="21546" spans="1:44" ht="90">
      <c r="A21546" s="4" t="s">
        <v>24364</v>
      </c>
      <c r="B21546" s="4">
        <v>128627</v>
      </c>
      <c r="D21546" s="5" t="s">
        <v>27967</v>
      </c>
      <c r="E21546" s="6" t="str">
        <f>HYPERLINK("https://inpn.mnhn.fr/espece/cd_nom/128627","Verbascum phlomoides L., 1753")</f>
        <v>Verbascum phlomoides L., 1753</v>
      </c>
      <c r="F21546" s="5" t="s">
        <v>27968</v>
      </c>
      <c r="P21546" s="7" t="str">
        <f>HYPERLINK("#Liste_rouge!A"&amp;_xlfn.XMATCH("LC",Liste_rouge!A:A,2,1),"LC")</f>
        <v>LC</v>
      </c>
      <c r="Q21546" s="7" t="str">
        <f>HYPERLINK("#Liste_rouge!A"&amp;_xlfn.XMATCH("LC",Liste_rouge!A:A,2,1),"LC")</f>
        <v>LC</v>
      </c>
      <c r="T21546" s="7" t="str">
        <f>HYPERLINK("#Liste_rouge!A"&amp;_xlfn.XMATCH("LC",Liste_rouge!A:A,2,1),"LC")</f>
        <v>LC</v>
      </c>
      <c r="V21546" s="7" t="str">
        <f>HYPERLINK("#Liste_rouge!A"&amp;_xlfn.XMATCH("DD",Liste_rouge!A:A,2,1),"DD")</f>
        <v>DD</v>
      </c>
      <c r="AB21546" s="4" t="s">
        <v>25106</v>
      </c>
      <c r="AH21546" s="4" t="str">
        <f>HYPERLINK("#Statut_biogéographique!A"&amp;_xlfn.XMATCH("P",Statut_biogéographique!A:A,2,1),"P")</f>
        <v>P</v>
      </c>
      <c r="AM21546" s="4" t="s">
        <v>375</v>
      </c>
      <c r="AN21546" s="4" t="s">
        <v>375</v>
      </c>
      <c r="AO21546" s="4" t="s">
        <v>375</v>
      </c>
      <c r="AP21546" s="4" t="s">
        <v>376</v>
      </c>
      <c r="AR21546" s="4" t="s">
        <v>377</v>
      </c>
    </row>
    <row r="21547" spans="1:44" ht="45">
      <c r="A21547" s="4" t="s">
        <v>24364</v>
      </c>
      <c r="B21547" s="4">
        <v>128633</v>
      </c>
      <c r="D21547" s="5" t="s">
        <v>27969</v>
      </c>
      <c r="E21547" s="6" t="str">
        <f>HYPERLINK("https://inpn.mnhn.fr/espece/cd_nom/128633","Verbascum pulverulentum Vill., 1779")</f>
        <v>Verbascum pulverulentum Vill., 1779</v>
      </c>
      <c r="F21547" s="5" t="s">
        <v>27970</v>
      </c>
      <c r="Q21547" s="7" t="str">
        <f>HYPERLINK("#Liste_rouge!A"&amp;_xlfn.XMATCH("LC",Liste_rouge!A:A,2,1),"LC")</f>
        <v>LC</v>
      </c>
      <c r="T21547" s="7" t="str">
        <f>HYPERLINK("#Liste_rouge!A"&amp;_xlfn.XMATCH("LC",Liste_rouge!A:A,2,1),"LC")</f>
        <v>LC</v>
      </c>
      <c r="V21547" s="7" t="str">
        <f>HYPERLINK("#Liste_rouge!A"&amp;_xlfn.XMATCH("LC",Liste_rouge!A:A,2,1),"LC")</f>
        <v>LC</v>
      </c>
      <c r="AB21547" s="4" t="s">
        <v>24501</v>
      </c>
      <c r="AH21547" s="4" t="str">
        <f>HYPERLINK("#Statut_biogéographique!A"&amp;_xlfn.XMATCH("P",Statut_biogéographique!A:A,2,1),"P")</f>
        <v>P</v>
      </c>
      <c r="AM21547" s="4" t="s">
        <v>375</v>
      </c>
      <c r="AN21547" s="4" t="s">
        <v>375</v>
      </c>
      <c r="AO21547" s="4" t="s">
        <v>375</v>
      </c>
      <c r="AP21547" s="4" t="s">
        <v>376</v>
      </c>
      <c r="AR21547" s="4" t="s">
        <v>377</v>
      </c>
    </row>
    <row r="21548" spans="1:44" ht="30">
      <c r="A21548" s="4" t="s">
        <v>24364</v>
      </c>
      <c r="B21548" s="4">
        <v>128651</v>
      </c>
      <c r="D21548" s="5" t="s">
        <v>27971</v>
      </c>
      <c r="E21548" s="6" t="str">
        <f>HYPERLINK("https://inpn.mnhn.fr/espece/cd_nom/128651","Verbascum sinuatum L., 1753")</f>
        <v>Verbascum sinuatum L., 1753</v>
      </c>
      <c r="F21548" s="5" t="s">
        <v>27972</v>
      </c>
      <c r="Q21548" s="7" t="str">
        <f>HYPERLINK("#Liste_rouge!A"&amp;_xlfn.XMATCH("LC",Liste_rouge!A:A,2,1),"LC")</f>
        <v>LC</v>
      </c>
      <c r="T21548" s="7" t="str">
        <f>HYPERLINK("#Liste_rouge!A"&amp;_xlfn.XMATCH("NA",Liste_rouge!A:A,2,1),"NA")</f>
        <v>NA</v>
      </c>
      <c r="AH21548" s="4" t="str">
        <f>HYPERLINK("#Statut_biogéographique!A"&amp;_xlfn.XMATCH("P",Statut_biogéographique!A:A,2,1),"P")</f>
        <v>P</v>
      </c>
      <c r="AP21548" s="4" t="s">
        <v>376</v>
      </c>
      <c r="AR21548" s="4" t="s">
        <v>377</v>
      </c>
    </row>
    <row r="21549" spans="1:44" ht="90">
      <c r="A21549" s="4" t="s">
        <v>24364</v>
      </c>
      <c r="B21549" s="4">
        <v>128660</v>
      </c>
      <c r="D21549" s="5" t="s">
        <v>27973</v>
      </c>
      <c r="E21549" s="6" t="str">
        <f>HYPERLINK("https://inpn.mnhn.fr/espece/cd_nom/128660","Verbascum thapsus L., 1753")</f>
        <v>Verbascum thapsus L., 1753</v>
      </c>
      <c r="F21549" s="5" t="s">
        <v>27974</v>
      </c>
      <c r="P21549" s="7" t="str">
        <f>HYPERLINK("#Liste_rouge!A"&amp;_xlfn.XMATCH("LC",Liste_rouge!A:A,2,1),"LC")</f>
        <v>LC</v>
      </c>
      <c r="Q21549" s="7" t="str">
        <f>HYPERLINK("#Liste_rouge!A"&amp;_xlfn.XMATCH("LC",Liste_rouge!A:A,2,1),"LC")</f>
        <v>LC</v>
      </c>
      <c r="T21549" s="7" t="str">
        <f>HYPERLINK("#Liste_rouge!A"&amp;_xlfn.XMATCH("LC",Liste_rouge!A:A,2,1),"LC")</f>
        <v>LC</v>
      </c>
      <c r="V21549" s="7" t="str">
        <f>HYPERLINK("#Liste_rouge!A"&amp;_xlfn.XMATCH("LC",Liste_rouge!A:A,2,1),"LC")</f>
        <v>LC</v>
      </c>
      <c r="AH21549" s="4" t="str">
        <f>HYPERLINK("#Statut_biogéographique!A"&amp;_xlfn.XMATCH("P",Statut_biogéographique!A:A,2,1),"P")</f>
        <v>P</v>
      </c>
      <c r="AM21549" s="4" t="s">
        <v>375</v>
      </c>
      <c r="AN21549" s="4" t="s">
        <v>375</v>
      </c>
      <c r="AO21549" s="4" t="s">
        <v>375</v>
      </c>
      <c r="AP21549" s="4" t="s">
        <v>376</v>
      </c>
      <c r="AR21549" s="4" t="s">
        <v>377</v>
      </c>
    </row>
    <row r="21550" spans="1:44" ht="45">
      <c r="A21550" s="4" t="s">
        <v>24364</v>
      </c>
      <c r="B21550" s="4">
        <v>128667</v>
      </c>
      <c r="D21550" s="5" t="s">
        <v>27975</v>
      </c>
      <c r="E21550" s="6" t="str">
        <f>HYPERLINK("https://inpn.mnhn.fr/espece/cd_nom/128667","Verbascum virgatum Stokes, 1787")</f>
        <v>Verbascum virgatum Stokes, 1787</v>
      </c>
      <c r="F21550" s="5" t="s">
        <v>27976</v>
      </c>
      <c r="Q21550" s="7" t="str">
        <f>HYPERLINK("#Liste_rouge!A"&amp;_xlfn.XMATCH("LC",Liste_rouge!A:A,2,1),"LC")</f>
        <v>LC</v>
      </c>
      <c r="T21550" s="7" t="str">
        <f>HYPERLINK("#Liste_rouge!A"&amp;_xlfn.XMATCH("VU",Liste_rouge!A:A,2,1),"VU")</f>
        <v>VU</v>
      </c>
      <c r="U21550" s="4" t="str">
        <f>HYPERLINK("#Critères_liste_rouge!A$1","D2")</f>
        <v>D2</v>
      </c>
      <c r="AH21550" s="4" t="str">
        <f>HYPERLINK("#Statut_biogéographique!A"&amp;_xlfn.XMATCH("P",Statut_biogéographique!A:A,2,1),"P")</f>
        <v>P</v>
      </c>
      <c r="AM21550" s="4" t="s">
        <v>375</v>
      </c>
      <c r="AN21550" s="4" t="s">
        <v>375</v>
      </c>
      <c r="AO21550" s="4" t="s">
        <v>375</v>
      </c>
      <c r="AP21550" s="4" t="s">
        <v>376</v>
      </c>
      <c r="AR21550" s="4" t="s">
        <v>377</v>
      </c>
    </row>
    <row r="21551" spans="1:44">
      <c r="A21551" s="4" t="s">
        <v>24364</v>
      </c>
      <c r="B21551" s="4">
        <v>128672</v>
      </c>
      <c r="D21551" s="5" t="s">
        <v>27977</v>
      </c>
      <c r="E21551" s="6" t="str">
        <f>HYPERLINK("https://inpn.mnhn.fr/espece/cd_nom/128672","Verbascum x ambiguum Lej., 1824")</f>
        <v>Verbascum x ambiguum Lej., 1824</v>
      </c>
      <c r="F21551" s="5" t="s">
        <v>27978</v>
      </c>
      <c r="T21551" s="7" t="str">
        <f>HYPERLINK("#Liste_rouge!A"&amp;_xlfn.XMATCH("NE",Liste_rouge!A:A,2,1),"NE")</f>
        <v>NE</v>
      </c>
      <c r="AH21551" s="4" t="str">
        <f>HYPERLINK("#Statut_biogéographique!A"&amp;_xlfn.XMATCH("P",Statut_biogéographique!A:A,2,1),"P")</f>
        <v>P</v>
      </c>
      <c r="AP21551" s="4" t="s">
        <v>376</v>
      </c>
      <c r="AR21551" s="4" t="s">
        <v>377</v>
      </c>
    </row>
    <row r="21552" spans="1:44">
      <c r="A21552" s="4" t="s">
        <v>24364</v>
      </c>
      <c r="B21552" s="4">
        <v>128694</v>
      </c>
      <c r="D21552" s="5" t="s">
        <v>27979</v>
      </c>
      <c r="E21552" s="6" t="str">
        <f>HYPERLINK("https://inpn.mnhn.fr/espece/cd_nom/128694","Verbascum x godronii Boreau, 1857")</f>
        <v>Verbascum x godronii Boreau, 1857</v>
      </c>
      <c r="F21552" s="5" t="s">
        <v>27980</v>
      </c>
      <c r="T21552" s="7" t="str">
        <f>HYPERLINK("#Liste_rouge!A"&amp;_xlfn.XMATCH("NE",Liste_rouge!A:A,2,1),"NE")</f>
        <v>NE</v>
      </c>
      <c r="AH21552" s="4" t="str">
        <f>HYPERLINK("#Statut_biogéographique!A"&amp;_xlfn.XMATCH("P",Statut_biogéographique!A:A,2,1),"P")</f>
        <v>P</v>
      </c>
      <c r="AP21552" s="4" t="s">
        <v>376</v>
      </c>
      <c r="AR21552" s="4" t="s">
        <v>377</v>
      </c>
    </row>
    <row r="21553" spans="1:44">
      <c r="A21553" s="4" t="s">
        <v>24364</v>
      </c>
      <c r="B21553" s="4">
        <v>128699</v>
      </c>
      <c r="D21553" s="5" t="s">
        <v>27981</v>
      </c>
      <c r="E21553" s="6" t="str">
        <f>HYPERLINK("https://inpn.mnhn.fr/espece/cd_nom/128699","Verbascum x incanum Gaudin, 1828")</f>
        <v>Verbascum x incanum Gaudin, 1828</v>
      </c>
      <c r="F21553" s="5" t="s">
        <v>27982</v>
      </c>
      <c r="T21553" s="7" t="str">
        <f>HYPERLINK("#Liste_rouge!A"&amp;_xlfn.XMATCH("NE",Liste_rouge!A:A,2,1),"NE")</f>
        <v>NE</v>
      </c>
      <c r="AH21553" s="4" t="str">
        <f>HYPERLINK("#Statut_biogéographique!A"&amp;_xlfn.XMATCH("P",Statut_biogéographique!A:A,2,1),"P")</f>
        <v>P</v>
      </c>
      <c r="AP21553" s="4" t="s">
        <v>376</v>
      </c>
      <c r="AR21553" s="4" t="s">
        <v>377</v>
      </c>
    </row>
    <row r="21554" spans="1:44">
      <c r="A21554" s="4" t="s">
        <v>24364</v>
      </c>
      <c r="B21554" s="4">
        <v>128703</v>
      </c>
      <c r="D21554" s="5" t="s">
        <v>27983</v>
      </c>
      <c r="E21554" s="6" t="str">
        <f>HYPERLINK("https://inpn.mnhn.fr/espece/cd_nom/128703","Verbascum x killiasii Brügger, 1882")</f>
        <v>Verbascum x killiasii Brügger, 1882</v>
      </c>
      <c r="F21554" s="5" t="s">
        <v>27984</v>
      </c>
      <c r="AH21554" s="4" t="str">
        <f>HYPERLINK("#Statut_biogéographique!A"&amp;_xlfn.XMATCH("P",Statut_biogéographique!A:A,2,1),"P")</f>
        <v>P</v>
      </c>
      <c r="AP21554" s="4" t="s">
        <v>376</v>
      </c>
      <c r="AR21554" s="4" t="s">
        <v>377</v>
      </c>
    </row>
    <row r="21555" spans="1:44">
      <c r="A21555" s="4" t="s">
        <v>24364</v>
      </c>
      <c r="B21555" s="4">
        <v>128714</v>
      </c>
      <c r="D21555" s="5" t="s">
        <v>27985</v>
      </c>
      <c r="E21555" s="6" t="str">
        <f>HYPERLINK("https://inpn.mnhn.fr/espece/cd_nom/128714","Verbascum x mixtum Ramond ex DC., 1805")</f>
        <v>Verbascum x mixtum Ramond ex DC., 1805</v>
      </c>
      <c r="F21555" s="5" t="s">
        <v>27986</v>
      </c>
      <c r="T21555" s="7" t="str">
        <f>HYPERLINK("#Liste_rouge!A"&amp;_xlfn.XMATCH("NE",Liste_rouge!A:A,2,1),"NE")</f>
        <v>NE</v>
      </c>
      <c r="AH21555" s="4" t="str">
        <f>HYPERLINK("#Statut_biogéographique!A"&amp;_xlfn.XMATCH("P",Statut_biogéographique!A:A,2,1),"P")</f>
        <v>P</v>
      </c>
      <c r="AP21555" s="4" t="s">
        <v>376</v>
      </c>
      <c r="AR21555" s="4" t="s">
        <v>377</v>
      </c>
    </row>
    <row r="21556" spans="1:44">
      <c r="A21556" s="4" t="s">
        <v>24364</v>
      </c>
      <c r="B21556" s="4">
        <v>128720</v>
      </c>
      <c r="D21556" s="5" t="s">
        <v>27987</v>
      </c>
      <c r="E21556" s="6" t="str">
        <f>HYPERLINK("https://inpn.mnhn.fr/espece/cd_nom/128720","Verbascum x nothum W.D.J.Koch, 1838")</f>
        <v>Verbascum x nothum W.D.J.Koch, 1838</v>
      </c>
      <c r="F21556" s="5" t="s">
        <v>27988</v>
      </c>
      <c r="T21556" s="7" t="str">
        <f>HYPERLINK("#Liste_rouge!A"&amp;_xlfn.XMATCH("NE",Liste_rouge!A:A,2,1),"NE")</f>
        <v>NE</v>
      </c>
      <c r="AH21556" s="4" t="str">
        <f>HYPERLINK("#Statut_biogéographique!A"&amp;_xlfn.XMATCH("P",Statut_biogéographique!A:A,2,1),"P")</f>
        <v>P</v>
      </c>
      <c r="AP21556" s="4" t="s">
        <v>376</v>
      </c>
      <c r="AR21556" s="4" t="s">
        <v>377</v>
      </c>
    </row>
    <row r="21557" spans="1:44" ht="30">
      <c r="A21557" s="4" t="s">
        <v>24364</v>
      </c>
      <c r="B21557" s="4">
        <v>128724</v>
      </c>
      <c r="D21557" s="5" t="s">
        <v>27989</v>
      </c>
      <c r="E21557" s="6" t="str">
        <f>HYPERLINK("https://inpn.mnhn.fr/espece/cd_nom/128724","Verbascum x pseudoblattaria W.D.J.Koch, 1844")</f>
        <v>Verbascum x pseudoblattaria W.D.J.Koch, 1844</v>
      </c>
      <c r="F21557" s="5" t="s">
        <v>27990</v>
      </c>
      <c r="T21557" s="7" t="str">
        <f>HYPERLINK("#Liste_rouge!A"&amp;_xlfn.XMATCH("NE",Liste_rouge!A:A,2,1),"NE")</f>
        <v>NE</v>
      </c>
      <c r="AH21557" s="4" t="str">
        <f>HYPERLINK("#Statut_biogéographique!A"&amp;_xlfn.XMATCH("P",Statut_biogéographique!A:A,2,1),"P")</f>
        <v>P</v>
      </c>
      <c r="AP21557" s="4" t="s">
        <v>376</v>
      </c>
      <c r="AR21557" s="4" t="s">
        <v>377</v>
      </c>
    </row>
    <row r="21558" spans="1:44" ht="30">
      <c r="A21558" s="4" t="s">
        <v>24364</v>
      </c>
      <c r="B21558" s="4">
        <v>128727</v>
      </c>
      <c r="D21558" s="5" t="s">
        <v>27991</v>
      </c>
      <c r="E21558" s="6" t="str">
        <f>HYPERLINK("https://inpn.mnhn.fr/espece/cd_nom/128727","Verbascum x ramigerum Link ex Schrad., 1813")</f>
        <v>Verbascum x ramigerum Link ex Schrad., 1813</v>
      </c>
      <c r="F21558" s="5" t="s">
        <v>27992</v>
      </c>
      <c r="AH21558" s="4" t="str">
        <f>HYPERLINK("#Statut_biogéographique!A"&amp;_xlfn.XMATCH("P",Statut_biogéographique!A:A,2,1),"P")</f>
        <v>P</v>
      </c>
      <c r="AP21558" s="4" t="s">
        <v>376</v>
      </c>
      <c r="AR21558" s="4" t="s">
        <v>377</v>
      </c>
    </row>
    <row r="21559" spans="1:44" ht="30">
      <c r="A21559" s="4" t="s">
        <v>24364</v>
      </c>
      <c r="B21559" s="4">
        <v>128728</v>
      </c>
      <c r="D21559" s="5" t="s">
        <v>27993</v>
      </c>
      <c r="E21559" s="6" t="str">
        <f>HYPERLINK("https://inpn.mnhn.fr/espece/cd_nom/128728","Verbascum x ramosissimum (Bastard) DC., 1815")</f>
        <v>Verbascum x ramosissimum (Bastard) DC., 1815</v>
      </c>
      <c r="F21559" s="5" t="s">
        <v>27994</v>
      </c>
      <c r="T21559" s="7" t="str">
        <f>HYPERLINK("#Liste_rouge!A"&amp;_xlfn.XMATCH("NE",Liste_rouge!A:A,2,1),"NE")</f>
        <v>NE</v>
      </c>
      <c r="AH21559" s="4" t="str">
        <f>HYPERLINK("#Statut_biogéographique!A"&amp;_xlfn.XMATCH("P",Statut_biogéographique!A:A,2,1),"P")</f>
        <v>P</v>
      </c>
      <c r="AP21559" s="4" t="s">
        <v>376</v>
      </c>
      <c r="AR21559" s="4" t="s">
        <v>377</v>
      </c>
    </row>
    <row r="21560" spans="1:44" ht="30">
      <c r="A21560" s="4" t="s">
        <v>24364</v>
      </c>
      <c r="B21560" s="4">
        <v>128729</v>
      </c>
      <c r="D21560" s="5" t="s">
        <v>27995</v>
      </c>
      <c r="E21560" s="6" t="str">
        <f>HYPERLINK("https://inpn.mnhn.fr/espece/cd_nom/128729","Verbascum x regelianum Wirtg., 1857")</f>
        <v>Verbascum x regelianum Wirtg., 1857</v>
      </c>
      <c r="F21560" s="5" t="s">
        <v>27996</v>
      </c>
      <c r="T21560" s="7" t="str">
        <f>HYPERLINK("#Liste_rouge!A"&amp;_xlfn.XMATCH("NE",Liste_rouge!A:A,2,1),"NE")</f>
        <v>NE</v>
      </c>
      <c r="AH21560" s="4" t="str">
        <f>HYPERLINK("#Statut_biogéographique!A"&amp;_xlfn.XMATCH("P",Statut_biogéographique!A:A,2,1),"P")</f>
        <v>P</v>
      </c>
      <c r="AP21560" s="4" t="s">
        <v>376</v>
      </c>
      <c r="AR21560" s="4" t="s">
        <v>377</v>
      </c>
    </row>
    <row r="21561" spans="1:44" ht="30">
      <c r="A21561" s="4" t="s">
        <v>24364</v>
      </c>
      <c r="B21561" s="4">
        <v>128736</v>
      </c>
      <c r="D21561" s="5" t="s">
        <v>27997</v>
      </c>
      <c r="E21561" s="6" t="str">
        <f>HYPERLINK("https://inpn.mnhn.fr/espece/cd_nom/128736","Verbascum x semialbum Chaub., 1821")</f>
        <v>Verbascum x semialbum Chaub., 1821</v>
      </c>
      <c r="F21561" s="5" t="s">
        <v>27998</v>
      </c>
      <c r="T21561" s="7" t="str">
        <f>HYPERLINK("#Liste_rouge!A"&amp;_xlfn.XMATCH("NE",Liste_rouge!A:A,2,1),"NE")</f>
        <v>NE</v>
      </c>
      <c r="AH21561" s="4" t="str">
        <f>HYPERLINK("#Statut_biogéographique!A"&amp;_xlfn.XMATCH("P",Statut_biogéographique!A:A,2,1),"P")</f>
        <v>P</v>
      </c>
      <c r="AP21561" s="4" t="s">
        <v>376</v>
      </c>
      <c r="AR21561" s="4" t="s">
        <v>377</v>
      </c>
    </row>
    <row r="21562" spans="1:44">
      <c r="A21562" s="4" t="s">
        <v>24364</v>
      </c>
      <c r="B21562" s="4">
        <v>128739</v>
      </c>
      <c r="D21562" s="5" t="s">
        <v>27999</v>
      </c>
      <c r="E21562" s="6" t="str">
        <f>HYPERLINK("https://inpn.mnhn.fr/espece/cd_nom/128739","Verbascum x subphlomoides Hausskn., 1887")</f>
        <v>Verbascum x subphlomoides Hausskn., 1887</v>
      </c>
      <c r="T21562" s="7" t="str">
        <f>HYPERLINK("#Liste_rouge!A"&amp;_xlfn.XMATCH("NE",Liste_rouge!A:A,2,1),"NE")</f>
        <v>NE</v>
      </c>
      <c r="AH21562" s="4" t="str">
        <f>HYPERLINK("#Statut_biogéographique!A"&amp;_xlfn.XMATCH("P",Statut_biogéographique!A:A,2,1),"P")</f>
        <v>P</v>
      </c>
      <c r="AP21562" s="4" t="s">
        <v>376</v>
      </c>
      <c r="AR21562" s="4" t="s">
        <v>377</v>
      </c>
    </row>
    <row r="21563" spans="1:44" ht="30">
      <c r="A21563" s="4" t="s">
        <v>24364</v>
      </c>
      <c r="B21563" s="4">
        <v>128741</v>
      </c>
      <c r="D21563" s="5" t="s">
        <v>28000</v>
      </c>
      <c r="E21563" s="6" t="str">
        <f>HYPERLINK("https://inpn.mnhn.fr/espece/cd_nom/128741","Verbascum x thapsi L., 1763")</f>
        <v>Verbascum x thapsi L., 1763</v>
      </c>
      <c r="F21563" s="5" t="s">
        <v>28001</v>
      </c>
      <c r="T21563" s="7" t="str">
        <f>HYPERLINK("#Liste_rouge!A"&amp;_xlfn.XMATCH("NE",Liste_rouge!A:A,2,1),"NE")</f>
        <v>NE</v>
      </c>
      <c r="AH21563" s="4" t="str">
        <f>HYPERLINK("#Statut_biogéographique!A"&amp;_xlfn.XMATCH("P",Statut_biogéographique!A:A,2,1),"P")</f>
        <v>P</v>
      </c>
      <c r="AP21563" s="4" t="s">
        <v>376</v>
      </c>
      <c r="AR21563" s="4" t="s">
        <v>377</v>
      </c>
    </row>
    <row r="21564" spans="1:44">
      <c r="A21564" s="4" t="s">
        <v>24364</v>
      </c>
      <c r="B21564" s="4">
        <v>128748</v>
      </c>
      <c r="D21564" s="5" t="s">
        <v>28002</v>
      </c>
      <c r="E21564" s="6" t="str">
        <f>HYPERLINK("https://inpn.mnhn.fr/espece/cd_nom/128748","Verbena bonariensis L., 1753")</f>
        <v>Verbena bonariensis L., 1753</v>
      </c>
      <c r="F21564" s="5" t="s">
        <v>28003</v>
      </c>
      <c r="Q21564" s="7" t="str">
        <f>HYPERLINK("#Liste_rouge!A"&amp;_xlfn.XMATCH("NA",Liste_rouge!A:A,2,1),"NA")</f>
        <v>NA</v>
      </c>
      <c r="AH21564" s="4" t="str">
        <f>HYPERLINK("#Statut_biogéographique!A"&amp;_xlfn.XMATCH("M",Statut_biogéographique!A:A,2,1),"M")</f>
        <v>M</v>
      </c>
      <c r="AP21564" s="4" t="s">
        <v>376</v>
      </c>
      <c r="AR21564" s="4" t="s">
        <v>377</v>
      </c>
    </row>
    <row r="21565" spans="1:44">
      <c r="A21565" s="4" t="s">
        <v>24364</v>
      </c>
      <c r="B21565" s="4">
        <v>128754</v>
      </c>
      <c r="D21565" s="5" t="s">
        <v>28004</v>
      </c>
      <c r="E21565" s="6" t="str">
        <f>HYPERLINK("https://inpn.mnhn.fr/espece/cd_nom/128754","Verbena officinalis L., 1753")</f>
        <v>Verbena officinalis L., 1753</v>
      </c>
      <c r="F21565" s="5" t="s">
        <v>28005</v>
      </c>
      <c r="P21565" s="7" t="str">
        <f>HYPERLINK("#Liste_rouge!A"&amp;_xlfn.XMATCH("LC",Liste_rouge!A:A,2,1),"LC")</f>
        <v>LC</v>
      </c>
      <c r="Q21565" s="7" t="str">
        <f>HYPERLINK("#Liste_rouge!A"&amp;_xlfn.XMATCH("LC",Liste_rouge!A:A,2,1),"LC")</f>
        <v>LC</v>
      </c>
      <c r="T21565" s="7" t="str">
        <f>HYPERLINK("#Liste_rouge!A"&amp;_xlfn.XMATCH("LC",Liste_rouge!A:A,2,1),"LC")</f>
        <v>LC</v>
      </c>
      <c r="V21565" s="7" t="str">
        <f>HYPERLINK("#Liste_rouge!A"&amp;_xlfn.XMATCH("LC",Liste_rouge!A:A,2,1),"LC")</f>
        <v>LC</v>
      </c>
      <c r="AH21565" s="4" t="str">
        <f>HYPERLINK("#Statut_biogéographique!A"&amp;_xlfn.XMATCH("P",Statut_biogéographique!A:A,2,1),"P")</f>
        <v>P</v>
      </c>
      <c r="AM21565" s="4" t="s">
        <v>375</v>
      </c>
      <c r="AN21565" s="4" t="s">
        <v>375</v>
      </c>
      <c r="AO21565" s="4" t="s">
        <v>375</v>
      </c>
      <c r="AP21565" s="4" t="s">
        <v>376</v>
      </c>
      <c r="AR21565" s="4" t="s">
        <v>377</v>
      </c>
    </row>
    <row r="21566" spans="1:44">
      <c r="A21566" s="4" t="s">
        <v>24364</v>
      </c>
      <c r="B21566" s="4">
        <v>128758</v>
      </c>
      <c r="D21566" s="5" t="s">
        <v>28006</v>
      </c>
      <c r="E21566" s="6" t="str">
        <f>HYPERLINK("https://inpn.mnhn.fr/espece/cd_nom/128758","Verbena rigida Spreng., 1827")</f>
        <v>Verbena rigida Spreng., 1827</v>
      </c>
      <c r="F21566" s="5" t="s">
        <v>28007</v>
      </c>
      <c r="Q21566" s="7" t="str">
        <f>HYPERLINK("#Liste_rouge!A"&amp;_xlfn.XMATCH("NA",Liste_rouge!A:A,2,1),"NA")</f>
        <v>NA</v>
      </c>
      <c r="AH21566" s="4" t="str">
        <f>HYPERLINK("#Statut_biogéographique!A"&amp;_xlfn.XMATCH("I",Statut_biogéographique!A:A,2,1),"I")</f>
        <v>I</v>
      </c>
      <c r="AP21566" s="4" t="s">
        <v>376</v>
      </c>
      <c r="AR21566" s="4" t="s">
        <v>377</v>
      </c>
    </row>
    <row r="21567" spans="1:44" ht="30">
      <c r="A21567" s="4" t="s">
        <v>24364</v>
      </c>
      <c r="B21567" s="4">
        <v>128782</v>
      </c>
      <c r="D21567" s="5" t="s">
        <v>28008</v>
      </c>
      <c r="E21567" s="6" t="str">
        <f>HYPERLINK("https://inpn.mnhn.fr/espece/cd_nom/128782","Veronica acinifolia L., 1762")</f>
        <v>Veronica acinifolia L., 1762</v>
      </c>
      <c r="F21567" s="5" t="s">
        <v>28009</v>
      </c>
      <c r="Q21567" s="7" t="str">
        <f>HYPERLINK("#Liste_rouge!A"&amp;_xlfn.XMATCH("LC",Liste_rouge!A:A,2,1),"LC")</f>
        <v>LC</v>
      </c>
      <c r="T21567" s="7" t="str">
        <f>HYPERLINK("#Liste_rouge!A"&amp;_xlfn.XMATCH("EN",Liste_rouge!A:A,2,1),"EN")</f>
        <v>EN</v>
      </c>
      <c r="U21567" s="4" t="str">
        <f>HYPERLINK("#Critères_liste_rouge!A$1","B2b(ii,iii,iv)c(iii,iv)")</f>
        <v>B2b(ii,iii,iv)c(iii,iv)</v>
      </c>
      <c r="V21567" s="7" t="str">
        <f>HYPERLINK("#Liste_rouge!A"&amp;_xlfn.XMATCH("VU",Liste_rouge!A:A,2,1),"VU")</f>
        <v>VU</v>
      </c>
      <c r="W21567" s="4" t="str">
        <f>HYPERLINK("#Critères_liste_rouge!A$1","B2ab(iii)")</f>
        <v>B2ab(iii)</v>
      </c>
      <c r="X21567" s="5" t="s">
        <v>374</v>
      </c>
      <c r="AB21567" s="4" t="s">
        <v>93</v>
      </c>
      <c r="AH21567" s="4" t="str">
        <f>HYPERLINK("#Statut_biogéographique!A"&amp;_xlfn.XMATCH("P",Statut_biogéographique!A:A,2,1),"P")</f>
        <v>P</v>
      </c>
      <c r="AM21567" s="4" t="s">
        <v>375</v>
      </c>
      <c r="AN21567" s="4" t="s">
        <v>375</v>
      </c>
      <c r="AO21567" s="4" t="s">
        <v>375</v>
      </c>
      <c r="AP21567" s="4" t="s">
        <v>376</v>
      </c>
      <c r="AR21567" s="4" t="s">
        <v>377</v>
      </c>
    </row>
    <row r="21568" spans="1:44" ht="30">
      <c r="A21568" s="4" t="s">
        <v>24364</v>
      </c>
      <c r="B21568" s="4">
        <v>128786</v>
      </c>
      <c r="D21568" s="5" t="s">
        <v>28010</v>
      </c>
      <c r="E21568" s="6" t="str">
        <f>HYPERLINK("https://inpn.mnhn.fr/espece/cd_nom/128786","Veronica agrestis L., 1753")</f>
        <v>Veronica agrestis L., 1753</v>
      </c>
      <c r="F21568" s="5" t="s">
        <v>28011</v>
      </c>
      <c r="Q21568" s="7" t="str">
        <f>HYPERLINK("#Liste_rouge!A"&amp;_xlfn.XMATCH("LC",Liste_rouge!A:A,2,1),"LC")</f>
        <v>LC</v>
      </c>
      <c r="T21568" s="7" t="str">
        <f>HYPERLINK("#Liste_rouge!A"&amp;_xlfn.XMATCH("LC",Liste_rouge!A:A,2,1),"LC")</f>
        <v>LC</v>
      </c>
      <c r="V21568" s="7" t="str">
        <f>HYPERLINK("#Liste_rouge!A"&amp;_xlfn.XMATCH("LC",Liste_rouge!A:A,2,1),"LC")</f>
        <v>LC</v>
      </c>
      <c r="AH21568" s="4" t="str">
        <f>HYPERLINK("#Statut_biogéographique!A"&amp;_xlfn.XMATCH("P",Statut_biogéographique!A:A,2,1),"P")</f>
        <v>P</v>
      </c>
      <c r="AM21568" s="4" t="s">
        <v>375</v>
      </c>
      <c r="AN21568" s="4" t="s">
        <v>375</v>
      </c>
      <c r="AO21568" s="4" t="s">
        <v>375</v>
      </c>
      <c r="AP21568" s="4" t="s">
        <v>376</v>
      </c>
      <c r="AR21568" s="4" t="s">
        <v>377</v>
      </c>
    </row>
    <row r="21569" spans="1:44" ht="60">
      <c r="A21569" s="4" t="s">
        <v>24364</v>
      </c>
      <c r="B21569" s="4">
        <v>128792</v>
      </c>
      <c r="D21569" s="5" t="s">
        <v>28012</v>
      </c>
      <c r="E21569" s="6" t="str">
        <f>HYPERLINK("https://inpn.mnhn.fr/espece/cd_nom/128792","Veronica anagallis-aquatica L., 1753")</f>
        <v>Veronica anagallis-aquatica L., 1753</v>
      </c>
      <c r="F21569" s="5" t="s">
        <v>28013</v>
      </c>
      <c r="O21569" s="7" t="str">
        <f>HYPERLINK("#Liste_rouge!A"&amp;_xlfn.XMATCH("LC",Liste_rouge!A:A,2,1),"LC")</f>
        <v>LC</v>
      </c>
      <c r="P21569" s="7" t="str">
        <f>HYPERLINK("#Liste_rouge!A"&amp;_xlfn.XMATCH("LC",Liste_rouge!A:A,2,1),"LC")</f>
        <v>LC</v>
      </c>
      <c r="Q21569" s="7" t="str">
        <f>HYPERLINK("#Liste_rouge!A"&amp;_xlfn.XMATCH("LC",Liste_rouge!A:A,2,1),"LC")</f>
        <v>LC</v>
      </c>
      <c r="T21569" s="7" t="str">
        <f>HYPERLINK("#Liste_rouge!A"&amp;_xlfn.XMATCH("LC",Liste_rouge!A:A,2,1),"LC")</f>
        <v>LC</v>
      </c>
      <c r="V21569" s="7" t="str">
        <f>HYPERLINK("#Liste_rouge!A"&amp;_xlfn.XMATCH("LC",Liste_rouge!A:A,2,1),"LC")</f>
        <v>LC</v>
      </c>
      <c r="AH21569" s="4" t="str">
        <f>HYPERLINK("#Statut_biogéographique!A"&amp;_xlfn.XMATCH("P",Statut_biogéographique!A:A,2,1),"P")</f>
        <v>P</v>
      </c>
      <c r="AM21569" s="4" t="s">
        <v>375</v>
      </c>
      <c r="AN21569" s="4" t="s">
        <v>375</v>
      </c>
      <c r="AO21569" s="4" t="s">
        <v>375</v>
      </c>
      <c r="AP21569" s="4" t="s">
        <v>376</v>
      </c>
      <c r="AR21569" s="4" t="s">
        <v>377</v>
      </c>
    </row>
    <row r="21570" spans="1:44" ht="45">
      <c r="A21570" s="4" t="s">
        <v>24364</v>
      </c>
      <c r="B21570" s="4">
        <v>128793</v>
      </c>
      <c r="D21570" s="5" t="s">
        <v>28014</v>
      </c>
      <c r="E21570" s="6" t="str">
        <f>HYPERLINK("https://inpn.mnhn.fr/espece/cd_nom/128793","Veronica anagalloides Guss., 1826")</f>
        <v>Veronica anagalloides Guss., 1826</v>
      </c>
      <c r="F21570" s="5" t="s">
        <v>28015</v>
      </c>
      <c r="O21570" s="7" t="str">
        <f>HYPERLINK("#Liste_rouge!A"&amp;_xlfn.XMATCH("LC",Liste_rouge!A:A,2,1),"LC")</f>
        <v>LC</v>
      </c>
      <c r="P21570" s="7" t="str">
        <f>HYPERLINK("#Liste_rouge!A"&amp;_xlfn.XMATCH("LC",Liste_rouge!A:A,2,1),"LC")</f>
        <v>LC</v>
      </c>
      <c r="Q21570" s="7" t="str">
        <f>HYPERLINK("#Liste_rouge!A"&amp;_xlfn.XMATCH("LC",Liste_rouge!A:A,2,1),"LC")</f>
        <v>LC</v>
      </c>
      <c r="T21570" s="7" t="str">
        <f>HYPERLINK("#Liste_rouge!A"&amp;_xlfn.XMATCH("DD",Liste_rouge!A:A,2,1),"DD")</f>
        <v>DD</v>
      </c>
      <c r="AH21570" s="4" t="str">
        <f>HYPERLINK("#Statut_biogéographique!A"&amp;_xlfn.XMATCH("P",Statut_biogéographique!A:A,2,1),"P")</f>
        <v>P</v>
      </c>
      <c r="AM21570" s="4" t="s">
        <v>375</v>
      </c>
      <c r="AN21570" s="4" t="s">
        <v>375</v>
      </c>
      <c r="AO21570" s="4" t="s">
        <v>375</v>
      </c>
      <c r="AP21570" s="4" t="s">
        <v>376</v>
      </c>
      <c r="AR21570" s="4" t="s">
        <v>377</v>
      </c>
    </row>
    <row r="21571" spans="1:44" ht="30">
      <c r="A21571" s="4" t="s">
        <v>24364</v>
      </c>
      <c r="B21571" s="4">
        <v>128794</v>
      </c>
      <c r="D21571" s="5" t="s">
        <v>28016</v>
      </c>
      <c r="E21571" s="6" t="str">
        <f>HYPERLINK("https://inpn.mnhn.fr/espece/cd_nom/128794","Veronica angustifolia (Vahl) Bernh., 1806")</f>
        <v>Veronica angustifolia (Vahl) Bernh., 1806</v>
      </c>
      <c r="AH21571" s="4" t="str">
        <f>HYPERLINK("#Statut_biogéographique!A"&amp;_xlfn.XMATCH("P",Statut_biogéographique!A:A,2,1),"P")</f>
        <v>P</v>
      </c>
      <c r="AP21571" s="4" t="s">
        <v>376</v>
      </c>
      <c r="AR21571" s="4" t="s">
        <v>377</v>
      </c>
    </row>
    <row r="21572" spans="1:44" ht="30">
      <c r="A21572" s="4" t="s">
        <v>24364</v>
      </c>
      <c r="B21572" s="4">
        <v>128797</v>
      </c>
      <c r="D21572" s="5" t="s">
        <v>28017</v>
      </c>
      <c r="E21572" s="6" t="str">
        <f>HYPERLINK("https://inpn.mnhn.fr/espece/cd_nom/128797","Veronica aphylla L., 1753")</f>
        <v>Veronica aphylla L., 1753</v>
      </c>
      <c r="F21572" s="5" t="s">
        <v>28018</v>
      </c>
      <c r="Q21572" s="7" t="str">
        <f>HYPERLINK("#Liste_rouge!A"&amp;_xlfn.XMATCH("LC",Liste_rouge!A:A,2,1),"LC")</f>
        <v>LC</v>
      </c>
      <c r="V21572" s="7" t="str">
        <f>HYPERLINK("#Liste_rouge!A"&amp;_xlfn.XMATCH("RE",Liste_rouge!A:A,2,1),"RE")</f>
        <v>RE</v>
      </c>
      <c r="AH21572" s="4" t="str">
        <f>HYPERLINK("#Statut_biogéographique!A"&amp;_xlfn.XMATCH("P",Statut_biogéographique!A:A,2,1),"P")</f>
        <v>P</v>
      </c>
      <c r="AM21572" s="4" t="s">
        <v>375</v>
      </c>
      <c r="AN21572" s="4" t="s">
        <v>375</v>
      </c>
      <c r="AO21572" s="4" t="s">
        <v>375</v>
      </c>
      <c r="AP21572" s="4" t="s">
        <v>376</v>
      </c>
      <c r="AR21572" s="4" t="s">
        <v>377</v>
      </c>
    </row>
    <row r="21573" spans="1:44" ht="45">
      <c r="A21573" s="4" t="s">
        <v>24364</v>
      </c>
      <c r="B21573" s="4">
        <v>128801</v>
      </c>
      <c r="D21573" s="5" t="s">
        <v>28019</v>
      </c>
      <c r="E21573" s="6" t="str">
        <f>HYPERLINK("https://inpn.mnhn.fr/espece/cd_nom/128801","Veronica arvensis L., 1753")</f>
        <v>Veronica arvensis L., 1753</v>
      </c>
      <c r="F21573" s="5" t="s">
        <v>28020</v>
      </c>
      <c r="Q21573" s="7" t="str">
        <f>HYPERLINK("#Liste_rouge!A"&amp;_xlfn.XMATCH("LC",Liste_rouge!A:A,2,1),"LC")</f>
        <v>LC</v>
      </c>
      <c r="T21573" s="7" t="str">
        <f>HYPERLINK("#Liste_rouge!A"&amp;_xlfn.XMATCH("LC",Liste_rouge!A:A,2,1),"LC")</f>
        <v>LC</v>
      </c>
      <c r="V21573" s="7" t="str">
        <f>HYPERLINK("#Liste_rouge!A"&amp;_xlfn.XMATCH("LC",Liste_rouge!A:A,2,1),"LC")</f>
        <v>LC</v>
      </c>
      <c r="AH21573" s="4" t="str">
        <f>HYPERLINK("#Statut_biogéographique!A"&amp;_xlfn.XMATCH("P",Statut_biogéographique!A:A,2,1),"P")</f>
        <v>P</v>
      </c>
      <c r="AM21573" s="4" t="s">
        <v>375</v>
      </c>
      <c r="AN21573" s="4" t="s">
        <v>375</v>
      </c>
      <c r="AO21573" s="4" t="s">
        <v>375</v>
      </c>
      <c r="AP21573" s="4" t="s">
        <v>376</v>
      </c>
      <c r="AR21573" s="4" t="s">
        <v>377</v>
      </c>
    </row>
    <row r="21574" spans="1:44" ht="30">
      <c r="A21574" s="4" t="s">
        <v>24364</v>
      </c>
      <c r="B21574" s="4">
        <v>128803</v>
      </c>
      <c r="D21574" s="5" t="s">
        <v>28021</v>
      </c>
      <c r="E21574" s="6" t="str">
        <f>HYPERLINK("https://inpn.mnhn.fr/espece/cd_nom/128803","Veronica austriaca L., 1759")</f>
        <v>Veronica austriaca L., 1759</v>
      </c>
      <c r="F21574" s="5" t="s">
        <v>28022</v>
      </c>
      <c r="T21574" s="7" t="str">
        <f>HYPERLINK("#Liste_rouge!A"&amp;_xlfn.XMATCH("LC",Liste_rouge!A:A,2,1),"LC")</f>
        <v>LC</v>
      </c>
      <c r="AH21574" s="4" t="str">
        <f>HYPERLINK("#Statut_biogéographique!A"&amp;_xlfn.XMATCH("I",Statut_biogéographique!A:A,2,1),"I")</f>
        <v>I</v>
      </c>
      <c r="AM21574" s="4" t="s">
        <v>375</v>
      </c>
      <c r="AN21574" s="4" t="s">
        <v>375</v>
      </c>
      <c r="AO21574" s="4" t="s">
        <v>375</v>
      </c>
      <c r="AP21574" s="4" t="s">
        <v>376</v>
      </c>
      <c r="AR21574" s="4" t="s">
        <v>377</v>
      </c>
    </row>
    <row r="21575" spans="1:44" ht="45">
      <c r="A21575" s="4" t="s">
        <v>24364</v>
      </c>
      <c r="B21575" s="4">
        <v>128808</v>
      </c>
      <c r="D21575" s="5" t="s">
        <v>28023</v>
      </c>
      <c r="E21575" s="6" t="str">
        <f>HYPERLINK("https://inpn.mnhn.fr/espece/cd_nom/128808","Veronica beccabunga L., 1753")</f>
        <v>Veronica beccabunga L., 1753</v>
      </c>
      <c r="F21575" s="5" t="s">
        <v>28024</v>
      </c>
      <c r="O21575" s="7" t="str">
        <f>HYPERLINK("#Liste_rouge!A"&amp;_xlfn.XMATCH("LC",Liste_rouge!A:A,2,1),"LC")</f>
        <v>LC</v>
      </c>
      <c r="P21575" s="7" t="str">
        <f>HYPERLINK("#Liste_rouge!A"&amp;_xlfn.XMATCH("LC",Liste_rouge!A:A,2,1),"LC")</f>
        <v>LC</v>
      </c>
      <c r="Q21575" s="7" t="str">
        <f>HYPERLINK("#Liste_rouge!A"&amp;_xlfn.XMATCH("LC",Liste_rouge!A:A,2,1),"LC")</f>
        <v>LC</v>
      </c>
      <c r="T21575" s="7" t="str">
        <f>HYPERLINK("#Liste_rouge!A"&amp;_xlfn.XMATCH("LC",Liste_rouge!A:A,2,1),"LC")</f>
        <v>LC</v>
      </c>
      <c r="V21575" s="7" t="str">
        <f>HYPERLINK("#Liste_rouge!A"&amp;_xlfn.XMATCH("LC",Liste_rouge!A:A,2,1),"LC")</f>
        <v>LC</v>
      </c>
      <c r="AH21575" s="4" t="str">
        <f>HYPERLINK("#Statut_biogéographique!A"&amp;_xlfn.XMATCH("P",Statut_biogéographique!A:A,2,1),"P")</f>
        <v>P</v>
      </c>
      <c r="AM21575" s="4" t="s">
        <v>375</v>
      </c>
      <c r="AN21575" s="4" t="s">
        <v>375</v>
      </c>
      <c r="AO21575" s="4" t="s">
        <v>375</v>
      </c>
      <c r="AP21575" s="4" t="s">
        <v>376</v>
      </c>
      <c r="AR21575" s="4" t="s">
        <v>377</v>
      </c>
    </row>
    <row r="21576" spans="1:44">
      <c r="A21576" s="4" t="s">
        <v>24364</v>
      </c>
      <c r="B21576" s="4">
        <v>128829</v>
      </c>
      <c r="D21576" s="5" t="s">
        <v>28025</v>
      </c>
      <c r="E21576" s="6" t="str">
        <f>HYPERLINK("https://inpn.mnhn.fr/espece/cd_nom/128829","Veronica catenata Pennell, 1921")</f>
        <v>Veronica catenata Pennell, 1921</v>
      </c>
      <c r="F21576" s="5" t="s">
        <v>28026</v>
      </c>
      <c r="O21576" s="7" t="str">
        <f>HYPERLINK("#Liste_rouge!A"&amp;_xlfn.XMATCH("LC",Liste_rouge!A:A,2,1),"LC")</f>
        <v>LC</v>
      </c>
      <c r="P21576" s="7" t="str">
        <f>HYPERLINK("#Liste_rouge!A"&amp;_xlfn.XMATCH("LC",Liste_rouge!A:A,2,1),"LC")</f>
        <v>LC</v>
      </c>
      <c r="Q21576" s="7" t="str">
        <f>HYPERLINK("#Liste_rouge!A"&amp;_xlfn.XMATCH("LC",Liste_rouge!A:A,2,1),"LC")</f>
        <v>LC</v>
      </c>
      <c r="T21576" s="7" t="str">
        <f>HYPERLINK("#Liste_rouge!A"&amp;_xlfn.XMATCH("NE",Liste_rouge!A:A,2,1),"NE")</f>
        <v>NE</v>
      </c>
      <c r="V21576" s="7" t="str">
        <f>HYPERLINK("#Liste_rouge!A"&amp;_xlfn.XMATCH("LC",Liste_rouge!A:A,2,1),"LC")</f>
        <v>LC</v>
      </c>
      <c r="AB21576" s="4" t="s">
        <v>28027</v>
      </c>
      <c r="AH21576" s="4" t="str">
        <f>HYPERLINK("#Statut_biogéographique!A"&amp;_xlfn.XMATCH("P",Statut_biogéographique!A:A,2,1),"P")</f>
        <v>P</v>
      </c>
      <c r="AM21576" s="4" t="s">
        <v>375</v>
      </c>
      <c r="AN21576" s="4" t="s">
        <v>375</v>
      </c>
      <c r="AO21576" s="4" t="s">
        <v>375</v>
      </c>
      <c r="AP21576" s="4" t="s">
        <v>376</v>
      </c>
      <c r="AR21576" s="4" t="s">
        <v>377</v>
      </c>
    </row>
    <row r="21577" spans="1:44" ht="60">
      <c r="A21577" s="4" t="s">
        <v>24364</v>
      </c>
      <c r="B21577" s="4">
        <v>128832</v>
      </c>
      <c r="D21577" s="5" t="s">
        <v>28028</v>
      </c>
      <c r="E21577" s="6" t="str">
        <f>HYPERLINK("https://inpn.mnhn.fr/espece/cd_nom/128832","Veronica chamaedrys L., 1753")</f>
        <v>Veronica chamaedrys L., 1753</v>
      </c>
      <c r="F21577" s="5" t="s">
        <v>28029</v>
      </c>
      <c r="Q21577" s="7" t="str">
        <f>HYPERLINK("#Liste_rouge!A"&amp;_xlfn.XMATCH("LC",Liste_rouge!A:A,2,1),"LC")</f>
        <v>LC</v>
      </c>
      <c r="T21577" s="7" t="str">
        <f>HYPERLINK("#Liste_rouge!A"&amp;_xlfn.XMATCH("LC",Liste_rouge!A:A,2,1),"LC")</f>
        <v>LC</v>
      </c>
      <c r="V21577" s="7" t="str">
        <f>HYPERLINK("#Liste_rouge!A"&amp;_xlfn.XMATCH("LC",Liste_rouge!A:A,2,1),"LC")</f>
        <v>LC</v>
      </c>
      <c r="AH21577" s="4" t="str">
        <f>HYPERLINK("#Statut_biogéographique!A"&amp;_xlfn.XMATCH("P",Statut_biogéographique!A:A,2,1),"P")</f>
        <v>P</v>
      </c>
      <c r="AM21577" s="4" t="s">
        <v>375</v>
      </c>
      <c r="AN21577" s="4" t="s">
        <v>375</v>
      </c>
      <c r="AO21577" s="4" t="s">
        <v>375</v>
      </c>
      <c r="AP21577" s="4" t="s">
        <v>376</v>
      </c>
      <c r="AR21577" s="4" t="s">
        <v>377</v>
      </c>
    </row>
    <row r="21578" spans="1:44">
      <c r="A21578" s="4" t="s">
        <v>24364</v>
      </c>
      <c r="B21578" s="4">
        <v>128854</v>
      </c>
      <c r="D21578" s="5" t="s">
        <v>28030</v>
      </c>
      <c r="E21578" s="6" t="str">
        <f>HYPERLINK("https://inpn.mnhn.fr/espece/cd_nom/128854","Veronica dillenii Crantz, 1769")</f>
        <v>Veronica dillenii Crantz, 1769</v>
      </c>
      <c r="F21578" s="5" t="s">
        <v>28031</v>
      </c>
      <c r="Q21578" s="7" t="str">
        <f>HYPERLINK("#Liste_rouge!A"&amp;_xlfn.XMATCH("LC",Liste_rouge!A:A,2,1),"LC")</f>
        <v>LC</v>
      </c>
      <c r="T21578" s="7" t="str">
        <f>HYPERLINK("#Liste_rouge!A"&amp;_xlfn.XMATCH("CR",Liste_rouge!A:A,2,1),"CR")</f>
        <v>CR</v>
      </c>
      <c r="U21578" s="4" t="str">
        <f>HYPERLINK("#Critères_liste_rouge!A$1","B1 B2ab(i,ii,iv)")</f>
        <v>B1 B2ab(i,ii,iv)</v>
      </c>
      <c r="X21578" s="5" t="s">
        <v>374</v>
      </c>
      <c r="AB21578" s="4" t="s">
        <v>93</v>
      </c>
      <c r="AH21578" s="4" t="str">
        <f>HYPERLINK("#Statut_biogéographique!A"&amp;_xlfn.XMATCH("P",Statut_biogéographique!A:A,2,1),"P")</f>
        <v>P</v>
      </c>
      <c r="AM21578" s="4" t="s">
        <v>375</v>
      </c>
      <c r="AN21578" s="4" t="s">
        <v>375</v>
      </c>
      <c r="AO21578" s="4" t="s">
        <v>375</v>
      </c>
      <c r="AP21578" s="4" t="s">
        <v>376</v>
      </c>
      <c r="AR21578" s="4" t="s">
        <v>377</v>
      </c>
    </row>
    <row r="21579" spans="1:44">
      <c r="A21579" s="4" t="s">
        <v>24364</v>
      </c>
      <c r="B21579" s="4">
        <v>128863</v>
      </c>
      <c r="D21579" s="5" t="s">
        <v>28032</v>
      </c>
      <c r="E21579" s="6" t="str">
        <f>HYPERLINK("https://inpn.mnhn.fr/espece/cd_nom/128863","Veronica filiformis Sm., 1791")</f>
        <v>Veronica filiformis Sm., 1791</v>
      </c>
      <c r="F21579" s="5" t="s">
        <v>28033</v>
      </c>
      <c r="Q21579" s="7" t="str">
        <f>HYPERLINK("#Liste_rouge!A"&amp;_xlfn.XMATCH("NA",Liste_rouge!A:A,2,1),"NA")</f>
        <v>NA</v>
      </c>
      <c r="T21579" s="7" t="str">
        <f>HYPERLINK("#Liste_rouge!A"&amp;_xlfn.XMATCH("NA",Liste_rouge!A:A,2,1),"NA")</f>
        <v>NA</v>
      </c>
      <c r="AH21579" s="4" t="str">
        <f>HYPERLINK("#Statut_biogéographique!A"&amp;_xlfn.XMATCH("I",Statut_biogéographique!A:A,2,1),"I")</f>
        <v>I</v>
      </c>
      <c r="AM21579" s="4" t="s">
        <v>375</v>
      </c>
      <c r="AN21579" s="4" t="s">
        <v>375</v>
      </c>
      <c r="AO21579" s="4" t="s">
        <v>375</v>
      </c>
      <c r="AP21579" s="4" t="s">
        <v>376</v>
      </c>
      <c r="AR21579" s="4" t="s">
        <v>377</v>
      </c>
    </row>
    <row r="21580" spans="1:44" ht="45">
      <c r="A21580" s="4" t="s">
        <v>24364</v>
      </c>
      <c r="B21580" s="4">
        <v>128872</v>
      </c>
      <c r="D21580" s="5" t="s">
        <v>28034</v>
      </c>
      <c r="E21580" s="6" t="str">
        <f>HYPERLINK("https://inpn.mnhn.fr/espece/cd_nom/128872","Veronica fruticulosa L., 1762")</f>
        <v>Veronica fruticulosa L., 1762</v>
      </c>
      <c r="F21580" s="5" t="s">
        <v>28035</v>
      </c>
      <c r="Q21580" s="7" t="str">
        <f>HYPERLINK("#Liste_rouge!A"&amp;_xlfn.XMATCH("LC",Liste_rouge!A:A,2,1),"LC")</f>
        <v>LC</v>
      </c>
      <c r="V21580" s="7" t="str">
        <f>HYPERLINK("#Liste_rouge!A"&amp;_xlfn.XMATCH("NT",Liste_rouge!A:A,2,1),"NT")</f>
        <v>NT</v>
      </c>
      <c r="W21580" s="4" t="str">
        <f>HYPERLINK("#Critères_liste_rouge!A$1","pr. B2b(iii)")</f>
        <v>pr. B2b(iii)</v>
      </c>
      <c r="X21580" s="5" t="s">
        <v>374</v>
      </c>
      <c r="AB21580" s="4" t="s">
        <v>93</v>
      </c>
      <c r="AH21580" s="4" t="str">
        <f>HYPERLINK("#Statut_biogéographique!A"&amp;_xlfn.XMATCH("P",Statut_biogéographique!A:A,2,1),"P")</f>
        <v>P</v>
      </c>
      <c r="AM21580" s="4" t="s">
        <v>375</v>
      </c>
      <c r="AN21580" s="4" t="s">
        <v>375</v>
      </c>
      <c r="AO21580" s="4" t="s">
        <v>375</v>
      </c>
      <c r="AP21580" s="4" t="s">
        <v>376</v>
      </c>
      <c r="AR21580" s="4" t="s">
        <v>377</v>
      </c>
    </row>
    <row r="21581" spans="1:44" ht="30">
      <c r="A21581" s="4" t="s">
        <v>24364</v>
      </c>
      <c r="B21581" s="4">
        <v>128880</v>
      </c>
      <c r="D21581" s="5" t="s">
        <v>28036</v>
      </c>
      <c r="E21581" s="6" t="str">
        <f>HYPERLINK("https://inpn.mnhn.fr/espece/cd_nom/128880","Veronica hederifolia L., 1753")</f>
        <v>Veronica hederifolia L., 1753</v>
      </c>
      <c r="F21581" s="5" t="s">
        <v>28037</v>
      </c>
      <c r="Q21581" s="7" t="str">
        <f>HYPERLINK("#Liste_rouge!A"&amp;_xlfn.XMATCH("LC",Liste_rouge!A:A,2,1),"LC")</f>
        <v>LC</v>
      </c>
      <c r="T21581" s="7" t="str">
        <f>HYPERLINK("#Liste_rouge!A"&amp;_xlfn.XMATCH("LC",Liste_rouge!A:A,2,1),"LC")</f>
        <v>LC</v>
      </c>
      <c r="V21581" s="7" t="str">
        <f>HYPERLINK("#Liste_rouge!A"&amp;_xlfn.XMATCH("LC",Liste_rouge!A:A,2,1),"LC")</f>
        <v>LC</v>
      </c>
      <c r="AH21581" s="4" t="str">
        <f>HYPERLINK("#Statut_biogéographique!A"&amp;_xlfn.XMATCH("P",Statut_biogéographique!A:A,2,1),"P")</f>
        <v>P</v>
      </c>
      <c r="AM21581" s="4" t="s">
        <v>375</v>
      </c>
      <c r="AN21581" s="4" t="s">
        <v>375</v>
      </c>
      <c r="AO21581" s="4" t="s">
        <v>375</v>
      </c>
      <c r="AP21581" s="4" t="s">
        <v>376</v>
      </c>
      <c r="AR21581" s="4" t="s">
        <v>377</v>
      </c>
    </row>
    <row r="21582" spans="1:44" ht="120">
      <c r="A21582" s="4" t="s">
        <v>24364</v>
      </c>
      <c r="B21582" s="4">
        <v>128907</v>
      </c>
      <c r="D21582" s="5" t="s">
        <v>28038</v>
      </c>
      <c r="E21582" s="6" t="str">
        <f>HYPERLINK("https://inpn.mnhn.fr/espece/cd_nom/128907","Veronica longifolia L., 1753")</f>
        <v>Veronica longifolia L., 1753</v>
      </c>
      <c r="F21582" s="5" t="s">
        <v>28039</v>
      </c>
      <c r="Q21582" s="7" t="str">
        <f>HYPERLINK("#Liste_rouge!A"&amp;_xlfn.XMATCH("CR",Liste_rouge!A:A,2,1),"CR")</f>
        <v>CR</v>
      </c>
      <c r="T21582" s="7" t="str">
        <f>HYPERLINK("#Liste_rouge!A"&amp;_xlfn.XMATCH("NA",Liste_rouge!A:A,2,1),"NA")</f>
        <v>NA</v>
      </c>
      <c r="AH21582" s="4" t="str">
        <f>HYPERLINK("#Statut_biogéographique!A"&amp;_xlfn.XMATCH("P",Statut_biogéographique!A:A,2,1),"P")</f>
        <v>P</v>
      </c>
      <c r="AP21582" s="4" t="s">
        <v>389</v>
      </c>
      <c r="AR21582" s="4" t="s">
        <v>377</v>
      </c>
    </row>
    <row r="21583" spans="1:44">
      <c r="A21583" s="4" t="s">
        <v>24364</v>
      </c>
      <c r="B21583" s="4">
        <v>128924</v>
      </c>
      <c r="D21583" s="5" t="s">
        <v>28040</v>
      </c>
      <c r="E21583" s="6" t="str">
        <f>HYPERLINK("https://inpn.mnhn.fr/espece/cd_nom/128924","Veronica montana L., 1755")</f>
        <v>Veronica montana L., 1755</v>
      </c>
      <c r="F21583" s="5" t="s">
        <v>28041</v>
      </c>
      <c r="Q21583" s="7" t="str">
        <f>HYPERLINK("#Liste_rouge!A"&amp;_xlfn.XMATCH("LC",Liste_rouge!A:A,2,1),"LC")</f>
        <v>LC</v>
      </c>
      <c r="T21583" s="7" t="str">
        <f>HYPERLINK("#Liste_rouge!A"&amp;_xlfn.XMATCH("LC",Liste_rouge!A:A,2,1),"LC")</f>
        <v>LC</v>
      </c>
      <c r="V21583" s="7" t="str">
        <f>HYPERLINK("#Liste_rouge!A"&amp;_xlfn.XMATCH("LC",Liste_rouge!A:A,2,1),"LC")</f>
        <v>LC</v>
      </c>
      <c r="AH21583" s="4" t="str">
        <f>HYPERLINK("#Statut_biogéographique!A"&amp;_xlfn.XMATCH("P",Statut_biogéographique!A:A,2,1),"P")</f>
        <v>P</v>
      </c>
      <c r="AM21583" s="4" t="s">
        <v>375</v>
      </c>
      <c r="AN21583" s="4" t="s">
        <v>375</v>
      </c>
      <c r="AO21583" s="4" t="s">
        <v>375</v>
      </c>
      <c r="AP21583" s="4" t="s">
        <v>376</v>
      </c>
      <c r="AR21583" s="4" t="s">
        <v>377</v>
      </c>
    </row>
    <row r="21584" spans="1:44" ht="45">
      <c r="A21584" s="4" t="s">
        <v>24364</v>
      </c>
      <c r="B21584" s="4">
        <v>128938</v>
      </c>
      <c r="D21584" s="5" t="s">
        <v>28042</v>
      </c>
      <c r="E21584" s="6" t="str">
        <f>HYPERLINK("https://inpn.mnhn.fr/espece/cd_nom/128938","Veronica officinalis L., 1753")</f>
        <v>Veronica officinalis L., 1753</v>
      </c>
      <c r="F21584" s="5" t="s">
        <v>28043</v>
      </c>
      <c r="P21584" s="7" t="str">
        <f>HYPERLINK("#Liste_rouge!A"&amp;_xlfn.XMATCH("LC",Liste_rouge!A:A,2,1),"LC")</f>
        <v>LC</v>
      </c>
      <c r="Q21584" s="7" t="str">
        <f>HYPERLINK("#Liste_rouge!A"&amp;_xlfn.XMATCH("LC",Liste_rouge!A:A,2,1),"LC")</f>
        <v>LC</v>
      </c>
      <c r="T21584" s="7" t="str">
        <f>HYPERLINK("#Liste_rouge!A"&amp;_xlfn.XMATCH("LC",Liste_rouge!A:A,2,1),"LC")</f>
        <v>LC</v>
      </c>
      <c r="V21584" s="7" t="str">
        <f>HYPERLINK("#Liste_rouge!A"&amp;_xlfn.XMATCH("LC",Liste_rouge!A:A,2,1),"LC")</f>
        <v>LC</v>
      </c>
      <c r="AH21584" s="4" t="str">
        <f>HYPERLINK("#Statut_biogéographique!A"&amp;_xlfn.XMATCH("P",Statut_biogéographique!A:A,2,1),"P")</f>
        <v>P</v>
      </c>
      <c r="AM21584" s="4" t="s">
        <v>375</v>
      </c>
      <c r="AN21584" s="4" t="s">
        <v>375</v>
      </c>
      <c r="AO21584" s="4" t="s">
        <v>375</v>
      </c>
      <c r="AP21584" s="4" t="s">
        <v>376</v>
      </c>
      <c r="AR21584" s="4" t="s">
        <v>377</v>
      </c>
    </row>
    <row r="21585" spans="1:44" ht="30">
      <c r="A21585" s="4" t="s">
        <v>24364</v>
      </c>
      <c r="B21585" s="4">
        <v>128940</v>
      </c>
      <c r="D21585" s="5" t="s">
        <v>28044</v>
      </c>
      <c r="E21585" s="6" t="str">
        <f>HYPERLINK("https://inpn.mnhn.fr/espece/cd_nom/128940","Veronica opaca Fr., 1819")</f>
        <v>Veronica opaca Fr., 1819</v>
      </c>
      <c r="F21585" s="5" t="s">
        <v>28045</v>
      </c>
      <c r="Q21585" s="7" t="str">
        <f>HYPERLINK("#Liste_rouge!A"&amp;_xlfn.XMATCH("DD",Liste_rouge!A:A,2,1),"DD")</f>
        <v>DD</v>
      </c>
      <c r="AH21585" s="4" t="str">
        <f>HYPERLINK("#Statut_biogéographique!A"&amp;_xlfn.XMATCH("I",Statut_biogéographique!A:A,2,1),"I")</f>
        <v>I</v>
      </c>
      <c r="AM21585" s="4" t="s">
        <v>375</v>
      </c>
      <c r="AN21585" s="4" t="s">
        <v>375</v>
      </c>
      <c r="AO21585" s="4" t="s">
        <v>375</v>
      </c>
      <c r="AP21585" s="4" t="s">
        <v>376</v>
      </c>
      <c r="AR21585" s="4" t="s">
        <v>377</v>
      </c>
    </row>
    <row r="21586" spans="1:44" ht="45">
      <c r="A21586" s="4" t="s">
        <v>24364</v>
      </c>
      <c r="B21586" s="4">
        <v>128942</v>
      </c>
      <c r="D21586" s="5" t="s">
        <v>28046</v>
      </c>
      <c r="E21586" s="6" t="str">
        <f>HYPERLINK("https://inpn.mnhn.fr/espece/cd_nom/128942","Veronica orsiniana Ten., 1830")</f>
        <v>Veronica orsiniana Ten., 1830</v>
      </c>
      <c r="F21586" s="5" t="s">
        <v>28047</v>
      </c>
      <c r="Q21586" s="7" t="str">
        <f>HYPERLINK("#Liste_rouge!A"&amp;_xlfn.XMATCH("LC",Liste_rouge!A:A,2,1),"LC")</f>
        <v>LC</v>
      </c>
      <c r="T21586" s="7" t="str">
        <f>HYPERLINK("#Liste_rouge!A"&amp;_xlfn.XMATCH("DD",Liste_rouge!A:A,2,1),"DD")</f>
        <v>DD</v>
      </c>
      <c r="X21586" s="5" t="s">
        <v>374</v>
      </c>
      <c r="AB21586" s="4" t="s">
        <v>93</v>
      </c>
      <c r="AH21586" s="4" t="str">
        <f>HYPERLINK("#Statut_biogéographique!A"&amp;_xlfn.XMATCH("P",Statut_biogéographique!A:A,2,1),"P")</f>
        <v>P</v>
      </c>
      <c r="AM21586" s="4" t="s">
        <v>375</v>
      </c>
      <c r="AN21586" s="4" t="s">
        <v>375</v>
      </c>
      <c r="AO21586" s="4" t="s">
        <v>375</v>
      </c>
      <c r="AP21586" s="4" t="s">
        <v>376</v>
      </c>
      <c r="AR21586" s="4" t="s">
        <v>377</v>
      </c>
    </row>
    <row r="21587" spans="1:44" ht="30">
      <c r="A21587" s="4" t="s">
        <v>24364</v>
      </c>
      <c r="B21587" s="4">
        <v>128954</v>
      </c>
      <c r="D21587" s="5" t="s">
        <v>28048</v>
      </c>
      <c r="E21587" s="6" t="str">
        <f>HYPERLINK("https://inpn.mnhn.fr/espece/cd_nom/128954","Veronica peregrina L., 1753")</f>
        <v>Veronica peregrina L., 1753</v>
      </c>
      <c r="F21587" s="5" t="s">
        <v>28049</v>
      </c>
      <c r="O21587" s="7" t="str">
        <f>HYPERLINK("#Liste_rouge!A"&amp;_xlfn.XMATCH("LC",Liste_rouge!A:A,2,1),"LC")</f>
        <v>LC</v>
      </c>
      <c r="Q21587" s="7" t="str">
        <f>HYPERLINK("#Liste_rouge!A"&amp;_xlfn.XMATCH("NA",Liste_rouge!A:A,2,1),"NA")</f>
        <v>NA</v>
      </c>
      <c r="T21587" s="7" t="str">
        <f>HYPERLINK("#Liste_rouge!A"&amp;_xlfn.XMATCH("NA",Liste_rouge!A:A,2,1),"NA")</f>
        <v>NA</v>
      </c>
      <c r="AH21587" s="4" t="str">
        <f>HYPERLINK("#Statut_biogéographique!A"&amp;_xlfn.XMATCH("I",Statut_biogéographique!A:A,2,1),"I")</f>
        <v>I</v>
      </c>
      <c r="AM21587" s="4" t="s">
        <v>375</v>
      </c>
      <c r="AN21587" s="4" t="s">
        <v>375</v>
      </c>
      <c r="AO21587" s="4" t="s">
        <v>375</v>
      </c>
      <c r="AP21587" s="4" t="s">
        <v>376</v>
      </c>
      <c r="AR21587" s="4" t="s">
        <v>377</v>
      </c>
    </row>
    <row r="21588" spans="1:44" ht="30">
      <c r="A21588" s="4" t="s">
        <v>24364</v>
      </c>
      <c r="B21588" s="4">
        <v>128956</v>
      </c>
      <c r="D21588" s="5" t="s">
        <v>28050</v>
      </c>
      <c r="E21588" s="6" t="str">
        <f>HYPERLINK("https://inpn.mnhn.fr/espece/cd_nom/128956","Veronica persica Poir., 1808")</f>
        <v>Veronica persica Poir., 1808</v>
      </c>
      <c r="F21588" s="5" t="s">
        <v>28051</v>
      </c>
      <c r="Q21588" s="7" t="str">
        <f>HYPERLINK("#Liste_rouge!A"&amp;_xlfn.XMATCH("NA",Liste_rouge!A:A,2,1),"NA")</f>
        <v>NA</v>
      </c>
      <c r="T21588" s="7" t="str">
        <f>HYPERLINK("#Liste_rouge!A"&amp;_xlfn.XMATCH("NA",Liste_rouge!A:A,2,1),"NA")</f>
        <v>NA</v>
      </c>
      <c r="AH21588" s="4" t="str">
        <f>HYPERLINK("#Statut_biogéographique!A"&amp;_xlfn.XMATCH("I",Statut_biogéographique!A:A,2,1),"I")</f>
        <v>I</v>
      </c>
      <c r="AM21588" s="4" t="s">
        <v>375</v>
      </c>
      <c r="AN21588" s="4" t="s">
        <v>375</v>
      </c>
      <c r="AO21588" s="4" t="s">
        <v>375</v>
      </c>
      <c r="AP21588" s="4" t="s">
        <v>376</v>
      </c>
      <c r="AR21588" s="4" t="s">
        <v>377</v>
      </c>
    </row>
    <row r="21589" spans="1:44" ht="45">
      <c r="A21589" s="4" t="s">
        <v>24364</v>
      </c>
      <c r="B21589" s="4">
        <v>128963</v>
      </c>
      <c r="D21589" s="5" t="s">
        <v>28052</v>
      </c>
      <c r="E21589" s="6" t="str">
        <f>HYPERLINK("https://inpn.mnhn.fr/espece/cd_nom/128963","Veronica polita Fr., 1819")</f>
        <v>Veronica polita Fr., 1819</v>
      </c>
      <c r="F21589" s="5" t="s">
        <v>28053</v>
      </c>
      <c r="Q21589" s="7" t="str">
        <f>HYPERLINK("#Liste_rouge!A"&amp;_xlfn.XMATCH("LC",Liste_rouge!A:A,2,1),"LC")</f>
        <v>LC</v>
      </c>
      <c r="T21589" s="7" t="str">
        <f>HYPERLINK("#Liste_rouge!A"&amp;_xlfn.XMATCH("LC",Liste_rouge!A:A,2,1),"LC")</f>
        <v>LC</v>
      </c>
      <c r="V21589" s="7" t="str">
        <f>HYPERLINK("#Liste_rouge!A"&amp;_xlfn.XMATCH("LC",Liste_rouge!A:A,2,1),"LC")</f>
        <v>LC</v>
      </c>
      <c r="AH21589" s="4" t="str">
        <f>HYPERLINK("#Statut_biogéographique!A"&amp;_xlfn.XMATCH("P",Statut_biogéographique!A:A,2,1),"P")</f>
        <v>P</v>
      </c>
      <c r="AM21589" s="4" t="s">
        <v>375</v>
      </c>
      <c r="AN21589" s="4" t="s">
        <v>375</v>
      </c>
      <c r="AO21589" s="4" t="s">
        <v>375</v>
      </c>
      <c r="AP21589" s="4" t="s">
        <v>376</v>
      </c>
      <c r="AR21589" s="4" t="s">
        <v>377</v>
      </c>
    </row>
    <row r="21590" spans="1:44" ht="30">
      <c r="A21590" s="4" t="s">
        <v>24364</v>
      </c>
      <c r="B21590" s="4">
        <v>128970</v>
      </c>
      <c r="D21590" s="5" t="s">
        <v>28054</v>
      </c>
      <c r="E21590" s="6" t="str">
        <f>HYPERLINK("https://inpn.mnhn.fr/espece/cd_nom/128970","Veronica praecox All., 1789")</f>
        <v>Veronica praecox All., 1789</v>
      </c>
      <c r="F21590" s="5" t="s">
        <v>28055</v>
      </c>
      <c r="Q21590" s="7" t="str">
        <f>HYPERLINK("#Liste_rouge!A"&amp;_xlfn.XMATCH("LC",Liste_rouge!A:A,2,1),"LC")</f>
        <v>LC</v>
      </c>
      <c r="T21590" s="7" t="str">
        <f>HYPERLINK("#Liste_rouge!A"&amp;_xlfn.XMATCH("EN",Liste_rouge!A:A,2,1),"EN")</f>
        <v>EN</v>
      </c>
      <c r="U21590" s="4" t="str">
        <f>HYPERLINK("#Critères_liste_rouge!A$1","D1")</f>
        <v>D1</v>
      </c>
      <c r="V21590" s="7" t="str">
        <f>HYPERLINK("#Liste_rouge!A"&amp;_xlfn.XMATCH("DD",Liste_rouge!A:A,2,1),"DD")</f>
        <v>DD</v>
      </c>
      <c r="X21590" s="5" t="s">
        <v>374</v>
      </c>
      <c r="AB21590" s="4" t="s">
        <v>93</v>
      </c>
      <c r="AH21590" s="4" t="str">
        <f>HYPERLINK("#Statut_biogéographique!A"&amp;_xlfn.XMATCH("P",Statut_biogéographique!A:A,2,1),"P")</f>
        <v>P</v>
      </c>
      <c r="AM21590" s="4" t="s">
        <v>375</v>
      </c>
      <c r="AN21590" s="4" t="s">
        <v>375</v>
      </c>
      <c r="AO21590" s="4" t="s">
        <v>375</v>
      </c>
      <c r="AP21590" s="4" t="s">
        <v>376</v>
      </c>
      <c r="AR21590" s="4" t="s">
        <v>377</v>
      </c>
    </row>
    <row r="21591" spans="1:44" ht="30">
      <c r="A21591" s="4" t="s">
        <v>24364</v>
      </c>
      <c r="B21591" s="4">
        <v>128975</v>
      </c>
      <c r="D21591" s="5" t="s">
        <v>28056</v>
      </c>
      <c r="E21591" s="6" t="str">
        <f>HYPERLINK("https://inpn.mnhn.fr/espece/cd_nom/128975","Veronica prostrata L., 1762")</f>
        <v>Veronica prostrata L., 1762</v>
      </c>
      <c r="F21591" s="5" t="s">
        <v>28057</v>
      </c>
      <c r="Q21591" s="7" t="str">
        <f>HYPERLINK("#Liste_rouge!A"&amp;_xlfn.XMATCH("NT",Liste_rouge!A:A,2,1),"NT")</f>
        <v>NT</v>
      </c>
      <c r="V21591" s="7" t="str">
        <f>HYPERLINK("#Liste_rouge!A"&amp;_xlfn.XMATCH("LC",Liste_rouge!A:A,2,1),"LC")</f>
        <v>LC</v>
      </c>
      <c r="AH21591" s="4" t="str">
        <f>HYPERLINK("#Statut_biogéographique!A"&amp;_xlfn.XMATCH("P",Statut_biogéographique!A:A,2,1),"P")</f>
        <v>P</v>
      </c>
      <c r="AP21591" s="4" t="s">
        <v>376</v>
      </c>
      <c r="AR21591" s="4" t="s">
        <v>377</v>
      </c>
    </row>
    <row r="21592" spans="1:44" ht="30">
      <c r="A21592" s="4" t="s">
        <v>24364</v>
      </c>
      <c r="B21592" s="4">
        <v>128996</v>
      </c>
      <c r="D21592" s="5" t="s">
        <v>28058</v>
      </c>
      <c r="E21592" s="6" t="str">
        <f>HYPERLINK("https://inpn.mnhn.fr/espece/cd_nom/128996","Veronica saturejifolia Poit. &amp; Turpin, 1808")</f>
        <v>Veronica saturejifolia Poit. &amp; Turpin, 1808</v>
      </c>
      <c r="F21592" s="5" t="s">
        <v>28059</v>
      </c>
      <c r="Q21592" s="7" t="str">
        <f>HYPERLINK("#Liste_rouge!A"&amp;_xlfn.XMATCH("LC",Liste_rouge!A:A,2,1),"LC")</f>
        <v>LC</v>
      </c>
      <c r="T21592" s="7" t="str">
        <f>HYPERLINK("#Liste_rouge!A"&amp;_xlfn.XMATCH("DD",Liste_rouge!A:A,2,1),"DD")</f>
        <v>DD</v>
      </c>
      <c r="V21592" s="7" t="str">
        <f>HYPERLINK("#Liste_rouge!A"&amp;_xlfn.XMATCH("LC",Liste_rouge!A:A,2,1),"LC")</f>
        <v>LC</v>
      </c>
      <c r="AB21592" s="4" t="s">
        <v>24956</v>
      </c>
      <c r="AH21592" s="4" t="str">
        <f>HYPERLINK("#Statut_biogéographique!A"&amp;_xlfn.XMATCH("P",Statut_biogéographique!A:A,2,1),"P")</f>
        <v>P</v>
      </c>
      <c r="AM21592" s="4" t="s">
        <v>375</v>
      </c>
      <c r="AN21592" s="4" t="s">
        <v>375</v>
      </c>
      <c r="AO21592" s="4" t="s">
        <v>375</v>
      </c>
      <c r="AP21592" s="4" t="s">
        <v>376</v>
      </c>
      <c r="AR21592" s="4" t="s">
        <v>377</v>
      </c>
    </row>
    <row r="21593" spans="1:44" ht="45">
      <c r="A21593" s="4" t="s">
        <v>24364</v>
      </c>
      <c r="B21593" s="4">
        <v>129000</v>
      </c>
      <c r="D21593" s="5" t="s">
        <v>28060</v>
      </c>
      <c r="E21593" s="6" t="str">
        <f>HYPERLINK("https://inpn.mnhn.fr/espece/cd_nom/129000","Veronica scutellata L., 1753")</f>
        <v>Veronica scutellata L., 1753</v>
      </c>
      <c r="F21593" s="5" t="s">
        <v>28061</v>
      </c>
      <c r="O21593" s="7" t="str">
        <f>HYPERLINK("#Liste_rouge!A"&amp;_xlfn.XMATCH("LC",Liste_rouge!A:A,2,1),"LC")</f>
        <v>LC</v>
      </c>
      <c r="P21593" s="7" t="str">
        <f>HYPERLINK("#Liste_rouge!A"&amp;_xlfn.XMATCH("LC",Liste_rouge!A:A,2,1),"LC")</f>
        <v>LC</v>
      </c>
      <c r="Q21593" s="7" t="str">
        <f>HYPERLINK("#Liste_rouge!A"&amp;_xlfn.XMATCH("LC",Liste_rouge!A:A,2,1),"LC")</f>
        <v>LC</v>
      </c>
      <c r="T21593" s="7" t="str">
        <f>HYPERLINK("#Liste_rouge!A"&amp;_xlfn.XMATCH("NE",Liste_rouge!A:A,2,1),"NE (cd_nom 152409) - LC (cd_nom 129000)")</f>
        <v>NE (cd_nom 152409) - LC (cd_nom 129000)</v>
      </c>
      <c r="V21593" s="7" t="str">
        <f>HYPERLINK("#Liste_rouge!A"&amp;_xlfn.XMATCH("LC",Liste_rouge!A:A,2,1),"LC")</f>
        <v>LC</v>
      </c>
      <c r="AH21593" s="4" t="str">
        <f>HYPERLINK("#Statut_biogéographique!A"&amp;_xlfn.XMATCH("P",Statut_biogéographique!A:A,2,1),"P")</f>
        <v>P</v>
      </c>
      <c r="AM21593" s="4" t="s">
        <v>375</v>
      </c>
      <c r="AN21593" s="4" t="s">
        <v>375</v>
      </c>
      <c r="AO21593" s="4" t="s">
        <v>375</v>
      </c>
      <c r="AP21593" s="4" t="s">
        <v>376</v>
      </c>
      <c r="AR21593" s="4" t="s">
        <v>377</v>
      </c>
    </row>
    <row r="21594" spans="1:44" ht="60">
      <c r="A21594" s="4" t="s">
        <v>24364</v>
      </c>
      <c r="B21594" s="4">
        <v>129003</v>
      </c>
      <c r="D21594" s="5" t="s">
        <v>28062</v>
      </c>
      <c r="E21594" s="6" t="str">
        <f>HYPERLINK("https://inpn.mnhn.fr/espece/cd_nom/129003","Veronica serpyllifolia L., 1753")</f>
        <v>Veronica serpyllifolia L., 1753</v>
      </c>
      <c r="F21594" s="5" t="s">
        <v>28063</v>
      </c>
      <c r="O21594" s="7" t="str">
        <f>HYPERLINK("#Liste_rouge!A"&amp;_xlfn.XMATCH("LC",Liste_rouge!A:A,2,1),"LC")</f>
        <v>LC</v>
      </c>
      <c r="Q21594" s="7" t="str">
        <f>HYPERLINK("#Liste_rouge!A"&amp;_xlfn.XMATCH("LC",Liste_rouge!A:A,2,1),"LC")</f>
        <v>LC</v>
      </c>
      <c r="T21594" s="7" t="str">
        <f>HYPERLINK("#Liste_rouge!A"&amp;_xlfn.XMATCH("LC",Liste_rouge!A:A,2,1),"LC")</f>
        <v>LC</v>
      </c>
      <c r="V21594" s="7" t="str">
        <f>HYPERLINK("#Liste_rouge!A"&amp;_xlfn.XMATCH("LC",Liste_rouge!A:A,2,1),"LC")</f>
        <v>LC</v>
      </c>
      <c r="AH21594" s="4" t="str">
        <f>HYPERLINK("#Statut_biogéographique!A"&amp;_xlfn.XMATCH("P",Statut_biogéographique!A:A,2,1),"P")</f>
        <v>P</v>
      </c>
      <c r="AM21594" s="4" t="s">
        <v>375</v>
      </c>
      <c r="AN21594" s="4" t="s">
        <v>375</v>
      </c>
      <c r="AO21594" s="4" t="s">
        <v>375</v>
      </c>
      <c r="AP21594" s="4" t="s">
        <v>376</v>
      </c>
      <c r="AR21594" s="4" t="s">
        <v>377</v>
      </c>
    </row>
    <row r="21595" spans="1:44" ht="90">
      <c r="A21595" s="4" t="s">
        <v>24364</v>
      </c>
      <c r="B21595" s="4">
        <v>129007</v>
      </c>
      <c r="D21595" s="5" t="s">
        <v>28064</v>
      </c>
      <c r="E21595" s="6" t="str">
        <f>HYPERLINK("https://inpn.mnhn.fr/espece/cd_nom/129007","Veronica spicata L., 1753")</f>
        <v>Veronica spicata L., 1753</v>
      </c>
      <c r="F21595" s="5" t="s">
        <v>28065</v>
      </c>
      <c r="Q21595" s="7" t="str">
        <f>HYPERLINK("#Liste_rouge!A"&amp;_xlfn.XMATCH("LC",Liste_rouge!A:A,2,1),"LC")</f>
        <v>LC</v>
      </c>
      <c r="T21595" s="7" t="str">
        <f>HYPERLINK("#Liste_rouge!A"&amp;_xlfn.XMATCH("EN",Liste_rouge!A:A,2,1),"EN")</f>
        <v>EN</v>
      </c>
      <c r="U21595" s="4" t="str">
        <f>HYPERLINK("#Critères_liste_rouge!A$1","B1 B2ab(iii,iv)")</f>
        <v>B1 B2ab(iii,iv)</v>
      </c>
      <c r="V21595" s="7" t="str">
        <f>HYPERLINK("#Liste_rouge!A"&amp;_xlfn.XMATCH("NT",Liste_rouge!A:A,2,1),"NT")</f>
        <v>NT</v>
      </c>
      <c r="W21595" s="4" t="str">
        <f>HYPERLINK("#Critères_liste_rouge!A$1","pr. B2b(iii)")</f>
        <v>pr. B2b(iii)</v>
      </c>
      <c r="AB21595" s="4" t="s">
        <v>28066</v>
      </c>
      <c r="AH21595" s="4" t="str">
        <f>HYPERLINK("#Statut_biogéographique!A"&amp;_xlfn.XMATCH("P",Statut_biogéographique!A:A,2,1),"P")</f>
        <v>P</v>
      </c>
      <c r="AM21595" s="4" t="s">
        <v>375</v>
      </c>
      <c r="AN21595" s="4" t="s">
        <v>375</v>
      </c>
      <c r="AO21595" s="4" t="s">
        <v>375</v>
      </c>
      <c r="AP21595" s="4" t="s">
        <v>376</v>
      </c>
      <c r="AR21595" s="4" t="s">
        <v>377</v>
      </c>
    </row>
    <row r="21596" spans="1:44" ht="30">
      <c r="A21596" s="4" t="s">
        <v>24364</v>
      </c>
      <c r="B21596" s="4">
        <v>129016</v>
      </c>
      <c r="D21596" s="5" t="s">
        <v>28067</v>
      </c>
      <c r="E21596" s="6" t="str">
        <f>HYPERLINK("https://inpn.mnhn.fr/espece/cd_nom/129016","Veronica sublobata M.A.Fisch., 1967")</f>
        <v>Veronica sublobata M.A.Fisch., 1967</v>
      </c>
      <c r="F21596" s="5" t="s">
        <v>28068</v>
      </c>
      <c r="Q21596" s="7" t="str">
        <f>HYPERLINK("#Liste_rouge!A"&amp;_xlfn.XMATCH("LC",Liste_rouge!A:A,2,1),"LC")</f>
        <v>LC</v>
      </c>
      <c r="T21596" s="7" t="str">
        <f>HYPERLINK("#Liste_rouge!A"&amp;_xlfn.XMATCH("DD",Liste_rouge!A:A,2,1),"DD")</f>
        <v>DD</v>
      </c>
      <c r="V21596" s="7" t="str">
        <f>HYPERLINK("#Liste_rouge!A"&amp;_xlfn.XMATCH("DD",Liste_rouge!A:A,2,1),"DD")</f>
        <v>DD</v>
      </c>
      <c r="AH21596" s="4" t="str">
        <f>HYPERLINK("#Statut_biogéographique!A"&amp;_xlfn.XMATCH("P",Statut_biogéographique!A:A,2,1),"P")</f>
        <v>P</v>
      </c>
      <c r="AM21596" s="4" t="s">
        <v>375</v>
      </c>
      <c r="AN21596" s="4" t="s">
        <v>375</v>
      </c>
      <c r="AO21596" s="4" t="s">
        <v>375</v>
      </c>
      <c r="AP21596" s="4" t="s">
        <v>376</v>
      </c>
      <c r="AR21596" s="4" t="s">
        <v>377</v>
      </c>
    </row>
    <row r="21597" spans="1:44" ht="90">
      <c r="A21597" s="4" t="s">
        <v>24364</v>
      </c>
      <c r="B21597" s="4">
        <v>129022</v>
      </c>
      <c r="D21597" s="5" t="s">
        <v>28069</v>
      </c>
      <c r="E21597" s="6" t="str">
        <f>HYPERLINK("https://inpn.mnhn.fr/espece/cd_nom/129022","Veronica teucrium L., 1762")</f>
        <v>Veronica teucrium L., 1762</v>
      </c>
      <c r="F21597" s="5" t="s">
        <v>28070</v>
      </c>
      <c r="Q21597" s="7" t="str">
        <f>HYPERLINK("#Liste_rouge!A"&amp;_xlfn.XMATCH("LC",Liste_rouge!A:A,2,1),"LC")</f>
        <v>LC</v>
      </c>
      <c r="T21597" s="7" t="str">
        <f>HYPERLINK("#Liste_rouge!A"&amp;_xlfn.XMATCH("LC",Liste_rouge!A:A,2,1),"LC")</f>
        <v>LC</v>
      </c>
      <c r="V21597" s="7" t="str">
        <f>HYPERLINK("#Liste_rouge!A"&amp;_xlfn.XMATCH("LC",Liste_rouge!A:A,2,1),"LC")</f>
        <v>LC</v>
      </c>
      <c r="AB21597" s="4" t="s">
        <v>24719</v>
      </c>
      <c r="AH21597" s="4" t="str">
        <f>HYPERLINK("#Statut_biogéographique!A"&amp;_xlfn.XMATCH("P",Statut_biogéographique!A:A,2,1),"P")</f>
        <v>P</v>
      </c>
      <c r="AM21597" s="4" t="s">
        <v>375</v>
      </c>
      <c r="AN21597" s="4" t="s">
        <v>375</v>
      </c>
      <c r="AO21597" s="4" t="s">
        <v>375</v>
      </c>
      <c r="AP21597" s="4" t="s">
        <v>376</v>
      </c>
      <c r="AR21597" s="4" t="s">
        <v>377</v>
      </c>
    </row>
    <row r="21598" spans="1:44" ht="30">
      <c r="A21598" s="4" t="s">
        <v>24364</v>
      </c>
      <c r="B21598" s="4">
        <v>129032</v>
      </c>
      <c r="D21598" s="5" t="s">
        <v>28071</v>
      </c>
      <c r="E21598" s="6" t="str">
        <f>HYPERLINK("https://inpn.mnhn.fr/espece/cd_nom/129032","Veronica triphyllos L., 1753")</f>
        <v>Veronica triphyllos L., 1753</v>
      </c>
      <c r="F21598" s="5" t="s">
        <v>28072</v>
      </c>
      <c r="Q21598" s="7" t="str">
        <f>HYPERLINK("#Liste_rouge!A"&amp;_xlfn.XMATCH("NT",Liste_rouge!A:A,2,1),"NT")</f>
        <v>NT</v>
      </c>
      <c r="T21598" s="7" t="str">
        <f>HYPERLINK("#Liste_rouge!A"&amp;_xlfn.XMATCH("EN",Liste_rouge!A:A,2,1),"EN")</f>
        <v>EN</v>
      </c>
      <c r="U21598" s="4" t="str">
        <f>HYPERLINK("#Critères_liste_rouge!A$1","B2ac(iii,iv)")</f>
        <v>B2ac(iii,iv)</v>
      </c>
      <c r="V21598" s="7" t="str">
        <f>HYPERLINK("#Liste_rouge!A"&amp;_xlfn.XMATCH("VU",Liste_rouge!A:A,2,1),"VU")</f>
        <v>VU</v>
      </c>
      <c r="W21598" s="4" t="str">
        <f>HYPERLINK("#Critères_liste_rouge!A$1","B2ab(iii) D2")</f>
        <v>B2ab(iii) D2</v>
      </c>
      <c r="X21598" s="5" t="s">
        <v>374</v>
      </c>
      <c r="AB21598" s="4" t="s">
        <v>93</v>
      </c>
      <c r="AH21598" s="4" t="str">
        <f>HYPERLINK("#Statut_biogéographique!A"&amp;_xlfn.XMATCH("P",Statut_biogéographique!A:A,2,1),"P")</f>
        <v>P</v>
      </c>
      <c r="AM21598" s="4" t="s">
        <v>375</v>
      </c>
      <c r="AN21598" s="4" t="s">
        <v>375</v>
      </c>
      <c r="AO21598" s="4" t="s">
        <v>375</v>
      </c>
      <c r="AP21598" s="4" t="s">
        <v>376</v>
      </c>
      <c r="AR21598" s="4" t="s">
        <v>377</v>
      </c>
    </row>
    <row r="21599" spans="1:44">
      <c r="A21599" s="4" t="s">
        <v>24364</v>
      </c>
      <c r="B21599" s="4">
        <v>129033</v>
      </c>
      <c r="D21599" s="5" t="s">
        <v>28073</v>
      </c>
      <c r="E21599" s="6" t="str">
        <f>HYPERLINK("https://inpn.mnhn.fr/espece/cd_nom/129033","Veronica urticifolia Jacq., 1773")</f>
        <v>Veronica urticifolia Jacq., 1773</v>
      </c>
      <c r="F21599" s="5" t="s">
        <v>28074</v>
      </c>
      <c r="Q21599" s="7" t="str">
        <f>HYPERLINK("#Liste_rouge!A"&amp;_xlfn.XMATCH("LC",Liste_rouge!A:A,2,1),"LC")</f>
        <v>LC</v>
      </c>
      <c r="V21599" s="7" t="str">
        <f>HYPERLINK("#Liste_rouge!A"&amp;_xlfn.XMATCH("LC",Liste_rouge!A:A,2,1),"LC")</f>
        <v>LC</v>
      </c>
      <c r="AB21599" s="4" t="s">
        <v>24447</v>
      </c>
      <c r="AH21599" s="4" t="str">
        <f>HYPERLINK("#Statut_biogéographique!A"&amp;_xlfn.XMATCH("P",Statut_biogéographique!A:A,2,1),"P")</f>
        <v>P</v>
      </c>
      <c r="AM21599" s="4" t="s">
        <v>375</v>
      </c>
      <c r="AN21599" s="4" t="s">
        <v>375</v>
      </c>
      <c r="AO21599" s="4" t="s">
        <v>375</v>
      </c>
      <c r="AP21599" s="4" t="s">
        <v>376</v>
      </c>
      <c r="AR21599" s="4" t="s">
        <v>377</v>
      </c>
    </row>
    <row r="21600" spans="1:44" ht="45">
      <c r="A21600" s="4" t="s">
        <v>24364</v>
      </c>
      <c r="B21600" s="4">
        <v>129034</v>
      </c>
      <c r="D21600" s="5" t="s">
        <v>28075</v>
      </c>
      <c r="E21600" s="6" t="str">
        <f>HYPERLINK("https://inpn.mnhn.fr/espece/cd_nom/129034","Veronica verna L., 1753")</f>
        <v>Veronica verna L., 1753</v>
      </c>
      <c r="F21600" s="5" t="s">
        <v>28076</v>
      </c>
      <c r="Q21600" s="7" t="str">
        <f>HYPERLINK("#Liste_rouge!A"&amp;_xlfn.XMATCH("LC",Liste_rouge!A:A,2,1),"LC")</f>
        <v>LC</v>
      </c>
      <c r="T21600" s="7" t="str">
        <f>HYPERLINK("#Liste_rouge!A"&amp;_xlfn.XMATCH("VU",Liste_rouge!A:A,2,1),"VU")</f>
        <v>VU</v>
      </c>
      <c r="U21600" s="4" t="str">
        <f>HYPERLINK("#Critères_liste_rouge!A$1","C2a(i) D2")</f>
        <v>C2a(i) D2</v>
      </c>
      <c r="V21600" s="7" t="str">
        <f>HYPERLINK("#Liste_rouge!A"&amp;_xlfn.XMATCH("DD",Liste_rouge!A:A,2,1),"DD")</f>
        <v>DD</v>
      </c>
      <c r="X21600" s="5" t="s">
        <v>374</v>
      </c>
      <c r="AB21600" s="4" t="s">
        <v>93</v>
      </c>
      <c r="AH21600" s="4" t="str">
        <f>HYPERLINK("#Statut_biogéographique!A"&amp;_xlfn.XMATCH("P",Statut_biogéographique!A:A,2,1),"P")</f>
        <v>P</v>
      </c>
      <c r="AM21600" s="4" t="s">
        <v>375</v>
      </c>
      <c r="AN21600" s="4" t="s">
        <v>375</v>
      </c>
      <c r="AO21600" s="4" t="s">
        <v>375</v>
      </c>
      <c r="AP21600" s="4" t="s">
        <v>376</v>
      </c>
      <c r="AR21600" s="4" t="s">
        <v>377</v>
      </c>
    </row>
    <row r="21601" spans="1:44" ht="30">
      <c r="A21601" s="4" t="s">
        <v>24364</v>
      </c>
      <c r="B21601" s="4">
        <v>129083</v>
      </c>
      <c r="D21601" s="5" t="s">
        <v>28077</v>
      </c>
      <c r="E21601" s="6" t="str">
        <f>HYPERLINK("https://inpn.mnhn.fr/espece/cd_nom/129083","Viburnum lantana L., 1753")</f>
        <v>Viburnum lantana L., 1753</v>
      </c>
      <c r="F21601" s="5" t="s">
        <v>28078</v>
      </c>
      <c r="Q21601" s="7" t="str">
        <f>HYPERLINK("#Liste_rouge!A"&amp;_xlfn.XMATCH("LC",Liste_rouge!A:A,2,1),"LC")</f>
        <v>LC</v>
      </c>
      <c r="T21601" s="7" t="str">
        <f>HYPERLINK("#Liste_rouge!A"&amp;_xlfn.XMATCH("LC",Liste_rouge!A:A,2,1),"LC")</f>
        <v>LC</v>
      </c>
      <c r="V21601" s="7" t="str">
        <f>HYPERLINK("#Liste_rouge!A"&amp;_xlfn.XMATCH("LC",Liste_rouge!A:A,2,1),"LC")</f>
        <v>LC</v>
      </c>
      <c r="AH21601" s="4" t="str">
        <f>HYPERLINK("#Statut_biogéographique!A"&amp;_xlfn.XMATCH("P",Statut_biogéographique!A:A,2,1),"P")</f>
        <v>P</v>
      </c>
      <c r="AM21601" s="4" t="s">
        <v>375</v>
      </c>
      <c r="AN21601" s="4" t="s">
        <v>375</v>
      </c>
      <c r="AO21601" s="4" t="s">
        <v>375</v>
      </c>
      <c r="AP21601" s="4" t="s">
        <v>376</v>
      </c>
      <c r="AR21601" s="4" t="s">
        <v>377</v>
      </c>
    </row>
    <row r="21602" spans="1:44" ht="45">
      <c r="A21602" s="4" t="s">
        <v>24364</v>
      </c>
      <c r="B21602" s="4">
        <v>129087</v>
      </c>
      <c r="D21602" s="5" t="s">
        <v>28079</v>
      </c>
      <c r="E21602" s="6" t="str">
        <f>HYPERLINK("https://inpn.mnhn.fr/espece/cd_nom/129087","Viburnum opulus L., 1753")</f>
        <v>Viburnum opulus L., 1753</v>
      </c>
      <c r="F21602" s="5" t="s">
        <v>28080</v>
      </c>
      <c r="P21602" s="7" t="str">
        <f>HYPERLINK("#Liste_rouge!A"&amp;_xlfn.XMATCH("LC",Liste_rouge!A:A,2,1),"LC")</f>
        <v>LC</v>
      </c>
      <c r="Q21602" s="7" t="str">
        <f>HYPERLINK("#Liste_rouge!A"&amp;_xlfn.XMATCH("LC",Liste_rouge!A:A,2,1),"LC")</f>
        <v>LC</v>
      </c>
      <c r="T21602" s="7" t="str">
        <f>HYPERLINK("#Liste_rouge!A"&amp;_xlfn.XMATCH("LC",Liste_rouge!A:A,2,1),"LC")</f>
        <v>LC</v>
      </c>
      <c r="V21602" s="7" t="str">
        <f>HYPERLINK("#Liste_rouge!A"&amp;_xlfn.XMATCH("LC",Liste_rouge!A:A,2,1),"LC")</f>
        <v>LC</v>
      </c>
      <c r="AH21602" s="4" t="str">
        <f>HYPERLINK("#Statut_biogéographique!A"&amp;_xlfn.XMATCH("P",Statut_biogéographique!A:A,2,1),"P")</f>
        <v>P</v>
      </c>
      <c r="AM21602" s="4" t="s">
        <v>375</v>
      </c>
      <c r="AN21602" s="4" t="s">
        <v>375</v>
      </c>
      <c r="AO21602" s="4" t="s">
        <v>375</v>
      </c>
      <c r="AP21602" s="4" t="s">
        <v>376</v>
      </c>
      <c r="AR21602" s="4" t="s">
        <v>377</v>
      </c>
    </row>
    <row r="21603" spans="1:44">
      <c r="A21603" s="4" t="s">
        <v>24364</v>
      </c>
      <c r="B21603" s="4">
        <v>129090</v>
      </c>
      <c r="D21603" s="5">
        <v>129090</v>
      </c>
      <c r="E21603" s="6" t="str">
        <f>HYPERLINK("https://inpn.mnhn.fr/espece/cd_nom/129090","Viburnum rhytidophyllum Hemsl., 1888")</f>
        <v>Viburnum rhytidophyllum Hemsl., 1888</v>
      </c>
      <c r="F21603" s="5" t="s">
        <v>28081</v>
      </c>
      <c r="Q21603" s="7" t="str">
        <f>HYPERLINK("#Liste_rouge!A"&amp;_xlfn.XMATCH("NA",Liste_rouge!A:A,2,1),"NA")</f>
        <v>NA</v>
      </c>
      <c r="T21603" s="7" t="str">
        <f>HYPERLINK("#Liste_rouge!A"&amp;_xlfn.XMATCH("NA",Liste_rouge!A:A,2,1),"NA")</f>
        <v>NA</v>
      </c>
      <c r="AH21603" s="4" t="str">
        <f>HYPERLINK("#Statut_biogéographique!A"&amp;_xlfn.XMATCH("M",Statut_biogéographique!A:A,2,1),"M")</f>
        <v>M</v>
      </c>
      <c r="AP21603" s="4" t="s">
        <v>376</v>
      </c>
      <c r="AR21603" s="4" t="s">
        <v>377</v>
      </c>
    </row>
    <row r="21604" spans="1:44" ht="30">
      <c r="A21604" s="4" t="s">
        <v>24364</v>
      </c>
      <c r="B21604" s="4">
        <v>129092</v>
      </c>
      <c r="D21604" s="5" t="s">
        <v>28082</v>
      </c>
      <c r="E21604" s="6" t="str">
        <f>HYPERLINK("https://inpn.mnhn.fr/espece/cd_nom/129092","Viburnum tinus L., 1753")</f>
        <v>Viburnum tinus L., 1753</v>
      </c>
      <c r="F21604" s="5" t="s">
        <v>28083</v>
      </c>
      <c r="P21604" s="7" t="str">
        <f>HYPERLINK("#Liste_rouge!A"&amp;_xlfn.XMATCH("LC",Liste_rouge!A:A,2,1),"LC")</f>
        <v>LC</v>
      </c>
      <c r="Q21604" s="7" t="str">
        <f>HYPERLINK("#Liste_rouge!A"&amp;_xlfn.XMATCH("LC",Liste_rouge!A:A,2,1),"LC")</f>
        <v>LC</v>
      </c>
      <c r="AH21604" s="4" t="str">
        <f>HYPERLINK("#Statut_biogéographique!A"&amp;_xlfn.XMATCH("P",Statut_biogéographique!A:A,2,1),"P")</f>
        <v>P</v>
      </c>
      <c r="AP21604" s="4" t="s">
        <v>376</v>
      </c>
      <c r="AR21604" s="4" t="s">
        <v>377</v>
      </c>
    </row>
    <row r="21605" spans="1:44" ht="135">
      <c r="A21605" s="4" t="s">
        <v>24364</v>
      </c>
      <c r="B21605" s="4">
        <v>129109</v>
      </c>
      <c r="D21605" s="5" t="s">
        <v>28084</v>
      </c>
      <c r="E21605" s="6" t="str">
        <f>HYPERLINK("https://inpn.mnhn.fr/espece/cd_nom/129109","Vicia angustifolia L., 1759")</f>
        <v>Vicia angustifolia L., 1759</v>
      </c>
      <c r="F21605" s="5" t="s">
        <v>28085</v>
      </c>
      <c r="Q21605" s="7" t="str">
        <f>HYPERLINK("#Liste_rouge!A"&amp;_xlfn.XMATCH("LC",Liste_rouge!A:A,2,1),"LC")</f>
        <v>LC</v>
      </c>
      <c r="T21605" s="7" t="str">
        <f>HYPERLINK("#Liste_rouge!A"&amp;_xlfn.XMATCH("LC",Liste_rouge!A:A,2,1),"LC")</f>
        <v>LC</v>
      </c>
      <c r="V21605" s="7" t="str">
        <f>HYPERLINK("#Liste_rouge!A"&amp;_xlfn.XMATCH("LC",Liste_rouge!A:A,2,1),"LC")</f>
        <v>LC</v>
      </c>
      <c r="AH21605" s="4" t="str">
        <f>HYPERLINK("#Statut_biogéographique!A"&amp;_xlfn.XMATCH("P",Statut_biogéographique!A:A,2,1),"P")</f>
        <v>P</v>
      </c>
      <c r="AM21605" s="4" t="s">
        <v>375</v>
      </c>
      <c r="AN21605" s="4" t="s">
        <v>375</v>
      </c>
      <c r="AO21605" s="4" t="s">
        <v>375</v>
      </c>
      <c r="AP21605" s="4" t="s">
        <v>376</v>
      </c>
      <c r="AR21605" s="4" t="s">
        <v>377</v>
      </c>
    </row>
    <row r="21606" spans="1:44" ht="30">
      <c r="A21606" s="4" t="s">
        <v>24364</v>
      </c>
      <c r="B21606" s="4">
        <v>129127</v>
      </c>
      <c r="D21606" s="5" t="s">
        <v>28086</v>
      </c>
      <c r="E21606" s="6" t="str">
        <f>HYPERLINK("https://inpn.mnhn.fr/espece/cd_nom/129127","Vicia bithynica (L.) L., 1759")</f>
        <v>Vicia bithynica (L.) L., 1759</v>
      </c>
      <c r="F21606" s="5" t="s">
        <v>28087</v>
      </c>
      <c r="O21606" s="7" t="str">
        <f>HYPERLINK("#Liste_rouge!A"&amp;_xlfn.XMATCH("LC",Liste_rouge!A:A,2,1),"LC")</f>
        <v>LC</v>
      </c>
      <c r="P21606" s="7" t="str">
        <f>HYPERLINK("#Liste_rouge!A"&amp;_xlfn.XMATCH("LC",Liste_rouge!A:A,2,1),"LC")</f>
        <v>LC</v>
      </c>
      <c r="Q21606" s="7" t="str">
        <f>HYPERLINK("#Liste_rouge!A"&amp;_xlfn.XMATCH("LC",Liste_rouge!A:A,2,1),"LC")</f>
        <v>LC</v>
      </c>
      <c r="T21606" s="7" t="str">
        <f>HYPERLINK("#Liste_rouge!A"&amp;_xlfn.XMATCH("NA",Liste_rouge!A:A,2,1),"NA")</f>
        <v>NA</v>
      </c>
      <c r="AH21606" s="4" t="str">
        <f>HYPERLINK("#Statut_biogéographique!A"&amp;_xlfn.XMATCH("P",Statut_biogéographique!A:A,2,1),"P")</f>
        <v>P</v>
      </c>
      <c r="AP21606" s="4" t="s">
        <v>376</v>
      </c>
      <c r="AR21606" s="4" t="s">
        <v>377</v>
      </c>
    </row>
    <row r="21607" spans="1:44" ht="45">
      <c r="A21607" s="4" t="s">
        <v>24364</v>
      </c>
      <c r="B21607" s="4">
        <v>129137</v>
      </c>
      <c r="D21607" s="5" t="s">
        <v>28088</v>
      </c>
      <c r="E21607" s="6" t="str">
        <f>HYPERLINK("https://inpn.mnhn.fr/espece/cd_nom/129137","Vicia cassubica L., 1753")</f>
        <v>Vicia cassubica L., 1753</v>
      </c>
      <c r="F21607" s="5" t="s">
        <v>28089</v>
      </c>
      <c r="Q21607" s="7" t="str">
        <f>HYPERLINK("#Liste_rouge!A"&amp;_xlfn.XMATCH("VU",Liste_rouge!A:A,2,1),"VU")</f>
        <v>VU</v>
      </c>
      <c r="T21607" s="7" t="str">
        <f>HYPERLINK("#Liste_rouge!A"&amp;_xlfn.XMATCH("EN",Liste_rouge!A:A,2,1),"EN")</f>
        <v>EN</v>
      </c>
      <c r="U21607" s="4" t="str">
        <f>HYPERLINK("#Critères_liste_rouge!A$1","C2a(i)")</f>
        <v>C2a(i)</v>
      </c>
      <c r="X21607" s="5" t="s">
        <v>374</v>
      </c>
      <c r="AB21607" s="4" t="s">
        <v>93</v>
      </c>
      <c r="AH21607" s="4" t="str">
        <f>HYPERLINK("#Statut_biogéographique!A"&amp;_xlfn.XMATCH("P",Statut_biogéographique!A:A,2,1),"P")</f>
        <v>P</v>
      </c>
      <c r="AM21607" s="4" t="s">
        <v>375</v>
      </c>
      <c r="AN21607" s="4" t="s">
        <v>375</v>
      </c>
      <c r="AO21607" s="4" t="s">
        <v>375</v>
      </c>
      <c r="AP21607" s="4" t="s">
        <v>389</v>
      </c>
      <c r="AR21607" s="4" t="s">
        <v>377</v>
      </c>
    </row>
    <row r="21608" spans="1:44" ht="75">
      <c r="A21608" s="4" t="s">
        <v>24364</v>
      </c>
      <c r="B21608" s="4">
        <v>129147</v>
      </c>
      <c r="D21608" s="5" t="s">
        <v>28090</v>
      </c>
      <c r="E21608" s="6" t="str">
        <f>HYPERLINK("https://inpn.mnhn.fr/espece/cd_nom/129147","Vicia cracca L., 1753")</f>
        <v>Vicia cracca L., 1753</v>
      </c>
      <c r="F21608" s="5" t="s">
        <v>28091</v>
      </c>
      <c r="Q21608" s="7" t="str">
        <f>HYPERLINK("#Liste_rouge!A"&amp;_xlfn.XMATCH("LC",Liste_rouge!A:A,2,1),"LC")</f>
        <v>LC</v>
      </c>
      <c r="T21608" s="7" t="str">
        <f>HYPERLINK("#Liste_rouge!A"&amp;_xlfn.XMATCH("LC",Liste_rouge!A:A,2,1),"LC")</f>
        <v>LC</v>
      </c>
      <c r="V21608" s="7" t="str">
        <f>HYPERLINK("#Liste_rouge!A"&amp;_xlfn.XMATCH("LC",Liste_rouge!A:A,2,1),"LC")</f>
        <v>LC</v>
      </c>
      <c r="AH21608" s="4" t="str">
        <f>HYPERLINK("#Statut_biogéographique!A"&amp;_xlfn.XMATCH("P",Statut_biogéographique!A:A,2,1),"P")</f>
        <v>P</v>
      </c>
      <c r="AM21608" s="4" t="s">
        <v>375</v>
      </c>
      <c r="AN21608" s="4" t="s">
        <v>375</v>
      </c>
      <c r="AO21608" s="4" t="s">
        <v>375</v>
      </c>
      <c r="AP21608" s="4" t="s">
        <v>376</v>
      </c>
      <c r="AR21608" s="4" t="s">
        <v>377</v>
      </c>
    </row>
    <row r="21609" spans="1:44" ht="60">
      <c r="A21609" s="4" t="s">
        <v>24364</v>
      </c>
      <c r="B21609" s="4">
        <v>129153</v>
      </c>
      <c r="D21609" s="5" t="s">
        <v>28092</v>
      </c>
      <c r="E21609" s="6" t="str">
        <f>HYPERLINK("https://inpn.mnhn.fr/espece/cd_nom/129153","Vicia dasycarpa Ten., 1829")</f>
        <v>Vicia dasycarpa Ten., 1829</v>
      </c>
      <c r="F21609" s="5" t="s">
        <v>28093</v>
      </c>
      <c r="Q21609" s="7" t="str">
        <f>HYPERLINK("#Liste_rouge!A"&amp;_xlfn.XMATCH("LC",Liste_rouge!A:A,2,1),"LC")</f>
        <v>LC</v>
      </c>
      <c r="T21609" s="7" t="str">
        <f>HYPERLINK("#Liste_rouge!A"&amp;_xlfn.XMATCH("NT",Liste_rouge!A:A,2,1),"NT")</f>
        <v>NT</v>
      </c>
      <c r="U21609" s="4" t="str">
        <f>HYPERLINK("#Critères_liste_rouge!A$1","pr. B3c(i,ii,iii) &amp; D2")</f>
        <v>pr. B3c(i,ii,iii) &amp; D2</v>
      </c>
      <c r="V21609" s="7" t="str">
        <f>HYPERLINK("#Liste_rouge!A"&amp;_xlfn.XMATCH("LC",Liste_rouge!A:A,2,1),"LC")</f>
        <v>LC</v>
      </c>
      <c r="X21609" s="5" t="s">
        <v>374</v>
      </c>
      <c r="AB21609" s="4" t="s">
        <v>93</v>
      </c>
      <c r="AH21609" s="4" t="str">
        <f>HYPERLINK("#Statut_biogéographique!A"&amp;_xlfn.XMATCH("P",Statut_biogéographique!A:A,2,1),"P")</f>
        <v>P</v>
      </c>
      <c r="AM21609" s="4" t="s">
        <v>375</v>
      </c>
      <c r="AN21609" s="4" t="s">
        <v>375</v>
      </c>
      <c r="AO21609" s="4" t="s">
        <v>375</v>
      </c>
      <c r="AP21609" s="4" t="s">
        <v>376</v>
      </c>
      <c r="AR21609" s="4" t="s">
        <v>377</v>
      </c>
    </row>
    <row r="21610" spans="1:44" ht="30">
      <c r="A21610" s="4" t="s">
        <v>24364</v>
      </c>
      <c r="B21610" s="4">
        <v>129157</v>
      </c>
      <c r="D21610" s="5" t="s">
        <v>28094</v>
      </c>
      <c r="E21610" s="6" t="str">
        <f>HYPERLINK("https://inpn.mnhn.fr/espece/cd_nom/129157","Vicia disperma DC., 1813")</f>
        <v>Vicia disperma DC., 1813</v>
      </c>
      <c r="F21610" s="5" t="s">
        <v>28095</v>
      </c>
      <c r="Q21610" s="7" t="str">
        <f>HYPERLINK("#Liste_rouge!A"&amp;_xlfn.XMATCH("LC",Liste_rouge!A:A,2,1),"LC")</f>
        <v>LC</v>
      </c>
      <c r="T21610" s="7" t="str">
        <f>HYPERLINK("#Liste_rouge!A"&amp;_xlfn.XMATCH("NA",Liste_rouge!A:A,2,1),"NA")</f>
        <v>NA</v>
      </c>
      <c r="AH21610" s="4" t="str">
        <f>HYPERLINK("#Statut_biogéographique!A"&amp;_xlfn.XMATCH("P",Statut_biogéographique!A:A,2,1),"P")</f>
        <v>P</v>
      </c>
      <c r="AP21610" s="4" t="s">
        <v>376</v>
      </c>
      <c r="AR21610" s="4" t="s">
        <v>377</v>
      </c>
    </row>
    <row r="21611" spans="1:44" ht="30">
      <c r="A21611" s="4" t="s">
        <v>24364</v>
      </c>
      <c r="B21611" s="4">
        <v>129159</v>
      </c>
      <c r="D21611" s="5" t="s">
        <v>28096</v>
      </c>
      <c r="E21611" s="6" t="str">
        <f>HYPERLINK("https://inpn.mnhn.fr/espece/cd_nom/129159","Vicia dumetorum L., 1753")</f>
        <v>Vicia dumetorum L., 1753</v>
      </c>
      <c r="F21611" s="5" t="s">
        <v>28097</v>
      </c>
      <c r="Q21611" s="7" t="str">
        <f>HYPERLINK("#Liste_rouge!A"&amp;_xlfn.XMATCH("LC",Liste_rouge!A:A,2,1),"LC")</f>
        <v>LC</v>
      </c>
      <c r="T21611" s="7" t="str">
        <f>HYPERLINK("#Liste_rouge!A"&amp;_xlfn.XMATCH("VU",Liste_rouge!A:A,2,1),"VU")</f>
        <v>VU</v>
      </c>
      <c r="U21611" s="4" t="str">
        <f>HYPERLINK("#Critères_liste_rouge!A$1","EN (D1) - 1")</f>
        <v>EN (D1) - 1</v>
      </c>
      <c r="V21611" s="7" t="str">
        <f>HYPERLINK("#Liste_rouge!A"&amp;_xlfn.XMATCH("LC",Liste_rouge!A:A,2,1),"LC")</f>
        <v>LC</v>
      </c>
      <c r="AB21611" s="4" t="s">
        <v>27770</v>
      </c>
      <c r="AH21611" s="4" t="str">
        <f>HYPERLINK("#Statut_biogéographique!A"&amp;_xlfn.XMATCH("P",Statut_biogéographique!A:A,2,1),"P")</f>
        <v>P</v>
      </c>
      <c r="AM21611" s="4" t="s">
        <v>375</v>
      </c>
      <c r="AN21611" s="4" t="s">
        <v>375</v>
      </c>
      <c r="AO21611" s="4" t="s">
        <v>375</v>
      </c>
      <c r="AP21611" s="4" t="s">
        <v>376</v>
      </c>
      <c r="AR21611" s="4" t="s">
        <v>377</v>
      </c>
    </row>
    <row r="21612" spans="1:44" ht="30">
      <c r="A21612" s="4" t="s">
        <v>24364</v>
      </c>
      <c r="B21612" s="4">
        <v>129171</v>
      </c>
      <c r="D21612" s="5" t="s">
        <v>28098</v>
      </c>
      <c r="E21612" s="6" t="str">
        <f>HYPERLINK("https://inpn.mnhn.fr/espece/cd_nom/129171","Vicia faba L., 1753")</f>
        <v>Vicia faba L., 1753</v>
      </c>
      <c r="F21612" s="5" t="s">
        <v>28099</v>
      </c>
      <c r="Q21612" s="7" t="str">
        <f>HYPERLINK("#Liste_rouge!A"&amp;_xlfn.XMATCH("NA",Liste_rouge!A:A,2,1),"NA")</f>
        <v>NA</v>
      </c>
      <c r="T21612" s="7" t="str">
        <f>HYPERLINK("#Liste_rouge!A"&amp;_xlfn.XMATCH("NA",Liste_rouge!A:A,2,1),"NA")</f>
        <v>NA</v>
      </c>
      <c r="AH21612" s="4" t="str">
        <f>HYPERLINK("#Statut_biogéographique!A"&amp;_xlfn.XMATCH("M",Statut_biogéographique!A:A,2,1),"M")</f>
        <v>M</v>
      </c>
      <c r="AP21612" s="4" t="s">
        <v>376</v>
      </c>
      <c r="AR21612" s="4" t="s">
        <v>377</v>
      </c>
    </row>
    <row r="21613" spans="1:44" ht="30">
      <c r="A21613" s="4" t="s">
        <v>24364</v>
      </c>
      <c r="B21613" s="4">
        <v>129186</v>
      </c>
      <c r="D21613" s="5" t="s">
        <v>28100</v>
      </c>
      <c r="E21613" s="6" t="str">
        <f>HYPERLINK("https://inpn.mnhn.fr/espece/cd_nom/129186","Vicia grandiflora Scop., 1772")</f>
        <v>Vicia grandiflora Scop., 1772</v>
      </c>
      <c r="F21613" s="5" t="s">
        <v>28101</v>
      </c>
      <c r="O21613" s="7" t="str">
        <f>HYPERLINK("#Liste_rouge!A"&amp;_xlfn.XMATCH("LC",Liste_rouge!A:A,2,1),"LC")</f>
        <v>LC</v>
      </c>
      <c r="P21613" s="7" t="str">
        <f>HYPERLINK("#Liste_rouge!A"&amp;_xlfn.XMATCH("LC",Liste_rouge!A:A,2,1),"LC")</f>
        <v>LC</v>
      </c>
      <c r="Q21613" s="7" t="str">
        <f>HYPERLINK("#Liste_rouge!A"&amp;_xlfn.XMATCH("NA",Liste_rouge!A:A,2,1),"NA")</f>
        <v>NA</v>
      </c>
      <c r="AH21613" s="4" t="str">
        <f>HYPERLINK("#Statut_biogéographique!A"&amp;_xlfn.XMATCH("I",Statut_biogéographique!A:A,2,1),"I")</f>
        <v>I</v>
      </c>
      <c r="AM21613" s="4" t="s">
        <v>375</v>
      </c>
      <c r="AN21613" s="4" t="s">
        <v>375</v>
      </c>
      <c r="AO21613" s="4" t="s">
        <v>375</v>
      </c>
      <c r="AP21613" s="4" t="s">
        <v>376</v>
      </c>
      <c r="AR21613" s="4" t="s">
        <v>377</v>
      </c>
    </row>
    <row r="21614" spans="1:44" ht="30">
      <c r="A21614" s="4" t="s">
        <v>24364</v>
      </c>
      <c r="B21614" s="4">
        <v>129195</v>
      </c>
      <c r="D21614" s="5" t="s">
        <v>28102</v>
      </c>
      <c r="E21614" s="6" t="str">
        <f>HYPERLINK("https://inpn.mnhn.fr/espece/cd_nom/129195","Vicia hybrida L., 1753")</f>
        <v>Vicia hybrida L., 1753</v>
      </c>
      <c r="F21614" s="5" t="s">
        <v>28103</v>
      </c>
      <c r="O21614" s="7" t="str">
        <f>HYPERLINK("#Liste_rouge!A"&amp;_xlfn.XMATCH("LC",Liste_rouge!A:A,2,1),"LC")</f>
        <v>LC</v>
      </c>
      <c r="P21614" s="7" t="str">
        <f>HYPERLINK("#Liste_rouge!A"&amp;_xlfn.XMATCH("LC",Liste_rouge!A:A,2,1),"LC")</f>
        <v>LC</v>
      </c>
      <c r="Q21614" s="7" t="str">
        <f>HYPERLINK("#Liste_rouge!A"&amp;_xlfn.XMATCH("LC",Liste_rouge!A:A,2,1),"LC")</f>
        <v>LC</v>
      </c>
      <c r="T21614" s="7" t="str">
        <f>HYPERLINK("#Liste_rouge!A"&amp;_xlfn.XMATCH("NA",Liste_rouge!A:A,2,1),"NA")</f>
        <v>NA</v>
      </c>
      <c r="AH21614" s="4" t="str">
        <f>HYPERLINK("#Statut_biogéographique!A"&amp;_xlfn.XMATCH("P",Statut_biogéographique!A:A,2,1),"P")</f>
        <v>P</v>
      </c>
      <c r="AP21614" s="4" t="s">
        <v>376</v>
      </c>
      <c r="AR21614" s="4" t="s">
        <v>377</v>
      </c>
    </row>
    <row r="21615" spans="1:44" ht="45">
      <c r="A21615" s="4" t="s">
        <v>24364</v>
      </c>
      <c r="B21615" s="4">
        <v>129198</v>
      </c>
      <c r="D21615" s="5" t="s">
        <v>28104</v>
      </c>
      <c r="E21615" s="6" t="str">
        <f>HYPERLINK("https://inpn.mnhn.fr/espece/cd_nom/129198","Vicia incana Gouan, 1764")</f>
        <v>Vicia incana Gouan, 1764</v>
      </c>
      <c r="F21615" s="5" t="s">
        <v>28105</v>
      </c>
      <c r="Q21615" s="7" t="str">
        <f>HYPERLINK("#Liste_rouge!A"&amp;_xlfn.XMATCH("LC",Liste_rouge!A:A,2,1),"LC")</f>
        <v>LC</v>
      </c>
      <c r="T21615" s="7" t="str">
        <f>HYPERLINK("#Liste_rouge!A"&amp;_xlfn.XMATCH("NE",Liste_rouge!A:A,2,1),"NE")</f>
        <v>NE</v>
      </c>
      <c r="AH21615" s="4" t="str">
        <f>HYPERLINK("#Statut_biogéographique!A"&amp;_xlfn.XMATCH("P",Statut_biogéographique!A:A,2,1),"P")</f>
        <v>P</v>
      </c>
      <c r="AM21615" s="4" t="s">
        <v>375</v>
      </c>
      <c r="AN21615" s="4" t="s">
        <v>375</v>
      </c>
      <c r="AO21615" s="4" t="s">
        <v>375</v>
      </c>
      <c r="AP21615" s="4" t="s">
        <v>376</v>
      </c>
      <c r="AR21615" s="4" t="s">
        <v>377</v>
      </c>
    </row>
    <row r="21616" spans="1:44" ht="45">
      <c r="A21616" s="4" t="s">
        <v>24364</v>
      </c>
      <c r="B21616" s="4">
        <v>129207</v>
      </c>
      <c r="D21616" s="5" t="s">
        <v>28106</v>
      </c>
      <c r="E21616" s="6" t="str">
        <f>HYPERLINK("https://inpn.mnhn.fr/espece/cd_nom/129207","Vicia lathyroides L., 1753")</f>
        <v>Vicia lathyroides L., 1753</v>
      </c>
      <c r="F21616" s="5" t="s">
        <v>28107</v>
      </c>
      <c r="O21616" s="7" t="str">
        <f>HYPERLINK("#Liste_rouge!A"&amp;_xlfn.XMATCH("LC",Liste_rouge!A:A,2,1),"LC")</f>
        <v>LC</v>
      </c>
      <c r="P21616" s="7" t="str">
        <f>HYPERLINK("#Liste_rouge!A"&amp;_xlfn.XMATCH("LC",Liste_rouge!A:A,2,1),"LC")</f>
        <v>LC</v>
      </c>
      <c r="Q21616" s="7" t="str">
        <f>HYPERLINK("#Liste_rouge!A"&amp;_xlfn.XMATCH("LC",Liste_rouge!A:A,2,1),"LC")</f>
        <v>LC</v>
      </c>
      <c r="T21616" s="7" t="str">
        <f>HYPERLINK("#Liste_rouge!A"&amp;_xlfn.XMATCH("NT",Liste_rouge!A:A,2,1),"NT")</f>
        <v>NT</v>
      </c>
      <c r="U21616" s="4" t="str">
        <f>HYPERLINK("#Critères_liste_rouge!A$1","pr. D2")</f>
        <v>pr. D2</v>
      </c>
      <c r="V21616" s="7" t="str">
        <f>HYPERLINK("#Liste_rouge!A"&amp;_xlfn.XMATCH("NT",Liste_rouge!A:A,2,1),"NT")</f>
        <v>NT</v>
      </c>
      <c r="W21616" s="4" t="str">
        <f>HYPERLINK("#Critères_liste_rouge!A$1","pr. D2")</f>
        <v>pr. D2</v>
      </c>
      <c r="X21616" s="5" t="s">
        <v>374</v>
      </c>
      <c r="AB21616" s="4" t="s">
        <v>93</v>
      </c>
      <c r="AH21616" s="4" t="str">
        <f>HYPERLINK("#Statut_biogéographique!A"&amp;_xlfn.XMATCH("P",Statut_biogéographique!A:A,2,1),"P")</f>
        <v>P</v>
      </c>
      <c r="AM21616" s="4" t="s">
        <v>375</v>
      </c>
      <c r="AN21616" s="4" t="s">
        <v>375</v>
      </c>
      <c r="AO21616" s="4" t="s">
        <v>375</v>
      </c>
      <c r="AP21616" s="4" t="s">
        <v>376</v>
      </c>
      <c r="AR21616" s="4" t="s">
        <v>377</v>
      </c>
    </row>
    <row r="21617" spans="1:44" ht="60">
      <c r="A21617" s="4" t="s">
        <v>24364</v>
      </c>
      <c r="B21617" s="4">
        <v>129211</v>
      </c>
      <c r="D21617" s="5" t="s">
        <v>28108</v>
      </c>
      <c r="E21617" s="6" t="str">
        <f>HYPERLINK("https://inpn.mnhn.fr/espece/cd_nom/129211","Vicia lens (L.) Coss. &amp; Germ., 1845")</f>
        <v>Vicia lens (L.) Coss. &amp; Germ., 1845</v>
      </c>
      <c r="F21617" s="5" t="s">
        <v>28109</v>
      </c>
      <c r="Q21617" s="7" t="str">
        <f>HYPERLINK("#Liste_rouge!A"&amp;_xlfn.XMATCH("LC",Liste_rouge!A:A,2,1),"LC")</f>
        <v>LC</v>
      </c>
      <c r="T21617" s="7" t="str">
        <f>HYPERLINK("#Liste_rouge!A"&amp;_xlfn.XMATCH("NA",Liste_rouge!A:A,2,1),"NA")</f>
        <v>NA</v>
      </c>
      <c r="AH21617" s="4" t="str">
        <f>HYPERLINK("#Statut_biogéographique!A"&amp;_xlfn.XMATCH("P",Statut_biogéographique!A:A,2,1),"P")</f>
        <v>P</v>
      </c>
      <c r="AP21617" s="4" t="s">
        <v>376</v>
      </c>
      <c r="AR21617" s="4" t="s">
        <v>377</v>
      </c>
    </row>
    <row r="21618" spans="1:44">
      <c r="A21618" s="4" t="s">
        <v>24364</v>
      </c>
      <c r="B21618" s="4">
        <v>129225</v>
      </c>
      <c r="D21618" s="5">
        <v>129225</v>
      </c>
      <c r="E21618" s="6" t="str">
        <f>HYPERLINK("https://inpn.mnhn.fr/espece/cd_nom/129225","Vicia lutea L., 1753")</f>
        <v>Vicia lutea L., 1753</v>
      </c>
      <c r="F21618" s="5" t="s">
        <v>28110</v>
      </c>
      <c r="O21618" s="7" t="str">
        <f>HYPERLINK("#Liste_rouge!A"&amp;_xlfn.XMATCH("LC",Liste_rouge!A:A,2,1),"LC")</f>
        <v>LC</v>
      </c>
      <c r="P21618" s="7" t="str">
        <f>HYPERLINK("#Liste_rouge!A"&amp;_xlfn.XMATCH("LC",Liste_rouge!A:A,2,1),"LC")</f>
        <v>LC</v>
      </c>
      <c r="Q21618" s="7" t="str">
        <f>HYPERLINK("#Liste_rouge!A"&amp;_xlfn.XMATCH("LC",Liste_rouge!A:A,2,1),"LC")</f>
        <v>LC</v>
      </c>
      <c r="T21618" s="7" t="str">
        <f>HYPERLINK("#Liste_rouge!A"&amp;_xlfn.XMATCH("LC",Liste_rouge!A:A,2,1),"LC")</f>
        <v>LC</v>
      </c>
      <c r="AH21618" s="4" t="str">
        <f>HYPERLINK("#Statut_biogéographique!A"&amp;_xlfn.XMATCH("P",Statut_biogéographique!A:A,2,1),"P")</f>
        <v>P</v>
      </c>
      <c r="AM21618" s="4" t="s">
        <v>375</v>
      </c>
      <c r="AN21618" s="4" t="s">
        <v>375</v>
      </c>
      <c r="AO21618" s="4" t="s">
        <v>375</v>
      </c>
      <c r="AP21618" s="4" t="s">
        <v>376</v>
      </c>
      <c r="AR21618" s="4" t="s">
        <v>377</v>
      </c>
    </row>
    <row r="21619" spans="1:44">
      <c r="A21619" s="4" t="s">
        <v>24364</v>
      </c>
      <c r="B21619" s="4">
        <v>129227</v>
      </c>
      <c r="D21619" s="5" t="s">
        <v>28111</v>
      </c>
      <c r="E21619" s="6" t="str">
        <f>HYPERLINK("https://inpn.mnhn.fr/espece/cd_nom/129227","Vicia macrocarpa (Moris) Bertol., 1850")</f>
        <v>Vicia macrocarpa (Moris) Bertol., 1850</v>
      </c>
      <c r="F21619" s="5" t="s">
        <v>28112</v>
      </c>
      <c r="Q21619" s="7" t="str">
        <f>HYPERLINK("#Liste_rouge!A"&amp;_xlfn.XMATCH("LC",Liste_rouge!A:A,2,1),"LC")</f>
        <v>LC</v>
      </c>
      <c r="T21619" s="7" t="str">
        <f>HYPERLINK("#Liste_rouge!A"&amp;_xlfn.XMATCH("NA",Liste_rouge!A:A,2,1),"NA")</f>
        <v>NA</v>
      </c>
      <c r="AH21619" s="4" t="str">
        <f>HYPERLINK("#Statut_biogéographique!A"&amp;_xlfn.XMATCH("P",Statut_biogéographique!A:A,2,1),"P")</f>
        <v>P</v>
      </c>
      <c r="AP21619" s="4" t="s">
        <v>376</v>
      </c>
      <c r="AR21619" s="4" t="s">
        <v>377</v>
      </c>
    </row>
    <row r="21620" spans="1:44" ht="30">
      <c r="A21620" s="4" t="s">
        <v>24364</v>
      </c>
      <c r="B21620" s="4">
        <v>129252</v>
      </c>
      <c r="D21620" s="5" t="s">
        <v>28113</v>
      </c>
      <c r="E21620" s="6" t="str">
        <f>HYPERLINK("https://inpn.mnhn.fr/espece/cd_nom/129252","Vicia narbonensis L., 1753")</f>
        <v>Vicia narbonensis L., 1753</v>
      </c>
      <c r="F21620" s="5" t="s">
        <v>28114</v>
      </c>
      <c r="O21620" s="7" t="str">
        <f>HYPERLINK("#Liste_rouge!A"&amp;_xlfn.XMATCH("LC",Liste_rouge!A:A,2,1),"LC")</f>
        <v>LC</v>
      </c>
      <c r="P21620" s="7" t="str">
        <f>HYPERLINK("#Liste_rouge!A"&amp;_xlfn.XMATCH("LC",Liste_rouge!A:A,2,1),"LC")</f>
        <v>LC</v>
      </c>
      <c r="Q21620" s="7" t="str">
        <f>HYPERLINK("#Liste_rouge!A"&amp;_xlfn.XMATCH("LC",Liste_rouge!A:A,2,1),"LC")</f>
        <v>LC</v>
      </c>
      <c r="T21620" s="7" t="str">
        <f>HYPERLINK("#Liste_rouge!A"&amp;_xlfn.XMATCH("NA",Liste_rouge!A:A,2,1),"NA")</f>
        <v>NA</v>
      </c>
      <c r="AH21620" s="4" t="str">
        <f>HYPERLINK("#Statut_biogéographique!A"&amp;_xlfn.XMATCH("P",Statut_biogéographique!A:A,2,1),"P")</f>
        <v>P</v>
      </c>
      <c r="AP21620" s="4" t="s">
        <v>376</v>
      </c>
      <c r="AR21620" s="4" t="s">
        <v>377</v>
      </c>
    </row>
    <row r="21621" spans="1:44" ht="30">
      <c r="A21621" s="4" t="s">
        <v>24364</v>
      </c>
      <c r="B21621" s="4">
        <v>129263</v>
      </c>
      <c r="D21621" s="5" t="s">
        <v>28115</v>
      </c>
      <c r="E21621" s="6" t="str">
        <f>HYPERLINK("https://inpn.mnhn.fr/espece/cd_nom/129263","Vicia orobus DC., 1815")</f>
        <v>Vicia orobus DC., 1815</v>
      </c>
      <c r="F21621" s="5" t="s">
        <v>28116</v>
      </c>
      <c r="O21621" s="7" t="str">
        <f>HYPERLINK("#Liste_rouge!A"&amp;_xlfn.XMATCH("LC",Liste_rouge!A:A,2,1),"LC")</f>
        <v>LC</v>
      </c>
      <c r="Q21621" s="7" t="str">
        <f>HYPERLINK("#Liste_rouge!A"&amp;_xlfn.XMATCH("LC",Liste_rouge!A:A,2,1),"LC")</f>
        <v>LC</v>
      </c>
      <c r="AH21621" s="4" t="str">
        <f>HYPERLINK("#Statut_biogéographique!A"&amp;_xlfn.XMATCH("P",Statut_biogéographique!A:A,2,1),"P")</f>
        <v>P</v>
      </c>
      <c r="AP21621" s="4" t="s">
        <v>376</v>
      </c>
      <c r="AR21621" s="4" t="s">
        <v>377</v>
      </c>
    </row>
    <row r="21622" spans="1:44" ht="45">
      <c r="A21622" s="4" t="s">
        <v>24364</v>
      </c>
      <c r="B21622" s="4">
        <v>129265</v>
      </c>
      <c r="D21622" s="5" t="s">
        <v>28117</v>
      </c>
      <c r="E21622" s="6" t="str">
        <f>HYPERLINK("https://inpn.mnhn.fr/espece/cd_nom/129265","Vicia pannonica Crantz, 1769")</f>
        <v>Vicia pannonica Crantz, 1769</v>
      </c>
      <c r="F21622" s="5" t="s">
        <v>28118</v>
      </c>
      <c r="O21622" s="7" t="str">
        <f>HYPERLINK("#Liste_rouge!A"&amp;_xlfn.XMATCH("LC",Liste_rouge!A:A,2,1),"LC")</f>
        <v>LC</v>
      </c>
      <c r="P21622" s="7" t="str">
        <f>HYPERLINK("#Liste_rouge!A"&amp;_xlfn.XMATCH("LC",Liste_rouge!A:A,2,1),"LC")</f>
        <v>LC</v>
      </c>
      <c r="Q21622" s="7" t="str">
        <f>HYPERLINK("#Liste_rouge!A"&amp;_xlfn.XMATCH("LC",Liste_rouge!A:A,2,1),"LC")</f>
        <v>LC</v>
      </c>
      <c r="T21622" s="7" t="str">
        <f>HYPERLINK("#Liste_rouge!A"&amp;_xlfn.XMATCH("NE",Liste_rouge!A:A,2,1),"NE (cd_nom 152461) - NA (cd_nom 142220) - VU (cd_nom 129265)")</f>
        <v>NE (cd_nom 152461) - NA (cd_nom 142220) - VU (cd_nom 129265)</v>
      </c>
      <c r="AH21622" s="4" t="str">
        <f>HYPERLINK("#Statut_biogéographique!A"&amp;_xlfn.XMATCH("P",Statut_biogéographique!A:A,2,1),"P")</f>
        <v>P</v>
      </c>
      <c r="AI21622" s="8" t="s">
        <v>28119</v>
      </c>
      <c r="AJ21622" s="4" t="s">
        <v>12248</v>
      </c>
      <c r="AM21622" s="4" t="s">
        <v>375</v>
      </c>
      <c r="AN21622" s="4" t="s">
        <v>375</v>
      </c>
      <c r="AO21622" s="4" t="s">
        <v>375</v>
      </c>
      <c r="AP21622" s="4" t="s">
        <v>376</v>
      </c>
      <c r="AR21622" s="4" t="s">
        <v>377</v>
      </c>
    </row>
    <row r="21623" spans="1:44" ht="45">
      <c r="A21623" s="4" t="s">
        <v>24364</v>
      </c>
      <c r="B21623" s="4">
        <v>129271</v>
      </c>
      <c r="D21623" s="5" t="s">
        <v>28120</v>
      </c>
      <c r="E21623" s="6" t="str">
        <f>HYPERLINK("https://inpn.mnhn.fr/espece/cd_nom/129271","Vicia peregrina L., 1753")</f>
        <v>Vicia peregrina L., 1753</v>
      </c>
      <c r="F21623" s="5" t="s">
        <v>28121</v>
      </c>
      <c r="O21623" s="7" t="str">
        <f>HYPERLINK("#Liste_rouge!A"&amp;_xlfn.XMATCH("LC",Liste_rouge!A:A,2,1),"LC")</f>
        <v>LC</v>
      </c>
      <c r="Q21623" s="7" t="str">
        <f>HYPERLINK("#Liste_rouge!A"&amp;_xlfn.XMATCH("LC",Liste_rouge!A:A,2,1),"LC")</f>
        <v>LC</v>
      </c>
      <c r="T21623" s="7" t="str">
        <f>HYPERLINK("#Liste_rouge!A"&amp;_xlfn.XMATCH("NA",Liste_rouge!A:A,2,1),"NA")</f>
        <v>NA</v>
      </c>
      <c r="AH21623" s="4" t="str">
        <f>HYPERLINK("#Statut_biogéographique!A"&amp;_xlfn.XMATCH("P",Statut_biogéographique!A:A,2,1),"P")</f>
        <v>P</v>
      </c>
      <c r="AP21623" s="4" t="s">
        <v>376</v>
      </c>
      <c r="AR21623" s="4" t="s">
        <v>377</v>
      </c>
    </row>
    <row r="21624" spans="1:44">
      <c r="A21624" s="4" t="s">
        <v>24364</v>
      </c>
      <c r="B21624" s="4">
        <v>129275</v>
      </c>
      <c r="D21624" s="5" t="s">
        <v>28122</v>
      </c>
      <c r="E21624" s="6" t="str">
        <f>HYPERLINK("https://inpn.mnhn.fr/espece/cd_nom/129275","Vicia pisiformis L., 1753")</f>
        <v>Vicia pisiformis L., 1753</v>
      </c>
      <c r="F21624" s="5" t="s">
        <v>28123</v>
      </c>
      <c r="O21624" s="7" t="str">
        <f>HYPERLINK("#Liste_rouge!A"&amp;_xlfn.XMATCH("LC",Liste_rouge!A:A,2,1),"LC")</f>
        <v>LC</v>
      </c>
      <c r="Q21624" s="7" t="str">
        <f>HYPERLINK("#Liste_rouge!A"&amp;_xlfn.XMATCH("DD",Liste_rouge!A:A,2,1),"DD")</f>
        <v>DD</v>
      </c>
      <c r="T21624" s="7" t="str">
        <f>HYPERLINK("#Liste_rouge!A"&amp;_xlfn.XMATCH("CR",Liste_rouge!A:A,2,1),"CR")</f>
        <v>CR</v>
      </c>
      <c r="U21624" s="4" t="str">
        <f>HYPERLINK("#Critères_liste_rouge!A$1","B1 B2ab(ii,iii,iv) C2a(i) D1")</f>
        <v>B1 B2ab(ii,iii,iv) C2a(i) D1</v>
      </c>
      <c r="V21624" s="7" t="str">
        <f>HYPERLINK("#Liste_rouge!A"&amp;_xlfn.XMATCH("RE",Liste_rouge!A:A,2,1),"RE")</f>
        <v>RE</v>
      </c>
      <c r="X21624" s="5" t="s">
        <v>374</v>
      </c>
      <c r="AB21624" s="4" t="s">
        <v>93</v>
      </c>
      <c r="AH21624" s="4" t="str">
        <f>HYPERLINK("#Statut_biogéographique!A"&amp;_xlfn.XMATCH("P",Statut_biogéographique!A:A,2,1),"P")</f>
        <v>P</v>
      </c>
      <c r="AM21624" s="4" t="s">
        <v>375</v>
      </c>
      <c r="AN21624" s="4" t="s">
        <v>375</v>
      </c>
      <c r="AO21624" s="4" t="s">
        <v>375</v>
      </c>
      <c r="AP21624" s="4" t="s">
        <v>376</v>
      </c>
      <c r="AR21624" s="4" t="s">
        <v>377</v>
      </c>
    </row>
    <row r="21625" spans="1:44" ht="75">
      <c r="A21625" s="4" t="s">
        <v>24364</v>
      </c>
      <c r="B21625" s="4">
        <v>129298</v>
      </c>
      <c r="D21625" s="5" t="s">
        <v>28124</v>
      </c>
      <c r="E21625" s="6" t="str">
        <f>HYPERLINK("https://inpn.mnhn.fr/espece/cd_nom/129298","Vicia sativa L., 1753")</f>
        <v>Vicia sativa L., 1753</v>
      </c>
      <c r="F21625" s="5" t="s">
        <v>28125</v>
      </c>
      <c r="O21625" s="7" t="str">
        <f>HYPERLINK("#Liste_rouge!A"&amp;_xlfn.XMATCH("LC",Liste_rouge!A:A,2,1),"LC (cd_nom 129298) - EN (cd_nom 129200)")</f>
        <v>LC (cd_nom 129298) - EN (cd_nom 129200)</v>
      </c>
      <c r="P21625" s="7" t="str">
        <f>HYPERLINK("#Liste_rouge!A"&amp;_xlfn.XMATCH("LC",Liste_rouge!A:A,2,1),"LC")</f>
        <v>LC</v>
      </c>
      <c r="Q21625" s="7" t="str">
        <f>HYPERLINK("#Liste_rouge!A"&amp;_xlfn.XMATCH("NA",Liste_rouge!A:A,2,1),"NA")</f>
        <v>NA</v>
      </c>
      <c r="T21625" s="7" t="str">
        <f>HYPERLINK("#Liste_rouge!A"&amp;_xlfn.XMATCH("NA",Liste_rouge!A:A,2,1),"NA (cd_nom 142236) - LC (cd_nom 129298)")</f>
        <v>NA (cd_nom 142236) - LC (cd_nom 129298)</v>
      </c>
      <c r="AH21625" s="4" t="str">
        <f>HYPERLINK("#Statut_biogéographique!A"&amp;_xlfn.XMATCH("M",Statut_biogéographique!A:A,2,1),"M")</f>
        <v>M</v>
      </c>
      <c r="AM21625" s="4" t="s">
        <v>375</v>
      </c>
      <c r="AN21625" s="4" t="s">
        <v>375</v>
      </c>
      <c r="AO21625" s="4" t="s">
        <v>375</v>
      </c>
      <c r="AP21625" s="4" t="s">
        <v>376</v>
      </c>
      <c r="AR21625" s="4" t="s">
        <v>377</v>
      </c>
    </row>
    <row r="21626" spans="1:44" ht="45">
      <c r="A21626" s="4" t="s">
        <v>24364</v>
      </c>
      <c r="B21626" s="4">
        <v>129302</v>
      </c>
      <c r="D21626" s="5" t="s">
        <v>28126</v>
      </c>
      <c r="E21626" s="6" t="str">
        <f>HYPERLINK("https://inpn.mnhn.fr/espece/cd_nom/129302","Vicia segetalis Thuill., 1799")</f>
        <v>Vicia segetalis Thuill., 1799</v>
      </c>
      <c r="F21626" s="5" t="s">
        <v>28127</v>
      </c>
      <c r="Q21626" s="7" t="str">
        <f>HYPERLINK("#Liste_rouge!A"&amp;_xlfn.XMATCH("LC",Liste_rouge!A:A,2,1),"LC")</f>
        <v>LC</v>
      </c>
      <c r="T21626" s="7" t="str">
        <f>HYPERLINK("#Liste_rouge!A"&amp;_xlfn.XMATCH("DD",Liste_rouge!A:A,2,1),"DD")</f>
        <v>DD</v>
      </c>
      <c r="V21626" s="7" t="str">
        <f>HYPERLINK("#Liste_rouge!A"&amp;_xlfn.XMATCH("LC",Liste_rouge!A:A,2,1),"LC")</f>
        <v>LC</v>
      </c>
      <c r="AH21626" s="4" t="str">
        <f>HYPERLINK("#Statut_biogéographique!A"&amp;_xlfn.XMATCH("P",Statut_biogéographique!A:A,2,1),"P")</f>
        <v>P</v>
      </c>
      <c r="AM21626" s="4" t="s">
        <v>375</v>
      </c>
      <c r="AN21626" s="4" t="s">
        <v>375</v>
      </c>
      <c r="AO21626" s="4" t="s">
        <v>375</v>
      </c>
      <c r="AP21626" s="4" t="s">
        <v>376</v>
      </c>
      <c r="AR21626" s="4" t="s">
        <v>377</v>
      </c>
    </row>
    <row r="21627" spans="1:44" ht="60">
      <c r="A21627" s="4" t="s">
        <v>24364</v>
      </c>
      <c r="B21627" s="4">
        <v>129305</v>
      </c>
      <c r="D21627" s="5" t="s">
        <v>28128</v>
      </c>
      <c r="E21627" s="6" t="str">
        <f>HYPERLINK("https://inpn.mnhn.fr/espece/cd_nom/129305","Vicia sepium L., 1753")</f>
        <v>Vicia sepium L., 1753</v>
      </c>
      <c r="F21627" s="5" t="s">
        <v>28129</v>
      </c>
      <c r="O21627" s="7" t="str">
        <f>HYPERLINK("#Liste_rouge!A"&amp;_xlfn.XMATCH("LC",Liste_rouge!A:A,2,1),"LC")</f>
        <v>LC</v>
      </c>
      <c r="P21627" s="7" t="str">
        <f>HYPERLINK("#Liste_rouge!A"&amp;_xlfn.XMATCH("LC",Liste_rouge!A:A,2,1),"LC")</f>
        <v>LC</v>
      </c>
      <c r="Q21627" s="7" t="str">
        <f>HYPERLINK("#Liste_rouge!A"&amp;_xlfn.XMATCH("LC",Liste_rouge!A:A,2,1),"LC")</f>
        <v>LC</v>
      </c>
      <c r="T21627" s="7" t="str">
        <f>HYPERLINK("#Liste_rouge!A"&amp;_xlfn.XMATCH("LC",Liste_rouge!A:A,2,1),"LC")</f>
        <v>LC</v>
      </c>
      <c r="V21627" s="7" t="str">
        <f>HYPERLINK("#Liste_rouge!A"&amp;_xlfn.XMATCH("LC",Liste_rouge!A:A,2,1),"LC")</f>
        <v>LC</v>
      </c>
      <c r="AH21627" s="4" t="str">
        <f>HYPERLINK("#Statut_biogéographique!A"&amp;_xlfn.XMATCH("P",Statut_biogéographique!A:A,2,1),"P")</f>
        <v>P</v>
      </c>
      <c r="AM21627" s="4" t="s">
        <v>375</v>
      </c>
      <c r="AN21627" s="4" t="s">
        <v>375</v>
      </c>
      <c r="AO21627" s="4" t="s">
        <v>375</v>
      </c>
      <c r="AP21627" s="4" t="s">
        <v>376</v>
      </c>
      <c r="AR21627" s="4" t="s">
        <v>377</v>
      </c>
    </row>
    <row r="21628" spans="1:44" ht="45">
      <c r="A21628" s="4" t="s">
        <v>24364</v>
      </c>
      <c r="B21628" s="4">
        <v>129322</v>
      </c>
      <c r="D21628" s="5" t="s">
        <v>28130</v>
      </c>
      <c r="E21628" s="6" t="str">
        <f>HYPERLINK("https://inpn.mnhn.fr/espece/cd_nom/129322","Vicia tenuifolia Roth, 1788")</f>
        <v>Vicia tenuifolia Roth, 1788</v>
      </c>
      <c r="F21628" s="5" t="s">
        <v>28131</v>
      </c>
      <c r="O21628" s="7" t="str">
        <f>HYPERLINK("#Liste_rouge!A"&amp;_xlfn.XMATCH("LC",Liste_rouge!A:A,2,1),"LC")</f>
        <v>LC</v>
      </c>
      <c r="Q21628" s="7" t="str">
        <f>HYPERLINK("#Liste_rouge!A"&amp;_xlfn.XMATCH("LC",Liste_rouge!A:A,2,1),"LC")</f>
        <v>LC</v>
      </c>
      <c r="T21628" s="7" t="str">
        <f>HYPERLINK("#Liste_rouge!A"&amp;_xlfn.XMATCH("LC",Liste_rouge!A:A,2,1),"LC")</f>
        <v>LC</v>
      </c>
      <c r="V21628" s="7" t="str">
        <f>HYPERLINK("#Liste_rouge!A"&amp;_xlfn.XMATCH("LC",Liste_rouge!A:A,2,1),"LC")</f>
        <v>LC</v>
      </c>
      <c r="AH21628" s="4" t="str">
        <f>HYPERLINK("#Statut_biogéographique!A"&amp;_xlfn.XMATCH("P",Statut_biogéographique!A:A,2,1),"P")</f>
        <v>P</v>
      </c>
      <c r="AM21628" s="4" t="s">
        <v>375</v>
      </c>
      <c r="AN21628" s="4" t="s">
        <v>375</v>
      </c>
      <c r="AO21628" s="4" t="s">
        <v>375</v>
      </c>
      <c r="AP21628" s="4" t="s">
        <v>376</v>
      </c>
      <c r="AR21628" s="4" t="s">
        <v>377</v>
      </c>
    </row>
    <row r="21629" spans="1:44" ht="45">
      <c r="A21629" s="4" t="s">
        <v>24364</v>
      </c>
      <c r="B21629" s="4">
        <v>129340</v>
      </c>
      <c r="D21629" s="5" t="s">
        <v>28132</v>
      </c>
      <c r="E21629" s="6" t="str">
        <f>HYPERLINK("https://inpn.mnhn.fr/espece/cd_nom/129340","Vicia villosa Roth, 1793")</f>
        <v>Vicia villosa Roth, 1793</v>
      </c>
      <c r="F21629" s="5" t="s">
        <v>28133</v>
      </c>
      <c r="Q21629" s="7" t="str">
        <f>HYPERLINK("#Liste_rouge!A"&amp;_xlfn.XMATCH("LC",Liste_rouge!A:A,2,1),"LC")</f>
        <v>LC</v>
      </c>
      <c r="T21629" s="7" t="str">
        <f>HYPERLINK("#Liste_rouge!A"&amp;_xlfn.XMATCH("NT",Liste_rouge!A:A,2,1),"NT")</f>
        <v>NT</v>
      </c>
      <c r="U21629" s="4" t="str">
        <f>HYPERLINK("#Critères_liste_rouge!A$1","pr. B3c(i,ii,iii)")</f>
        <v>pr. B3c(i,ii,iii)</v>
      </c>
      <c r="V21629" s="7" t="str">
        <f>HYPERLINK("#Liste_rouge!A"&amp;_xlfn.XMATCH("DD",Liste_rouge!A:A,2,1),"DD")</f>
        <v>DD</v>
      </c>
      <c r="X21629" s="5" t="s">
        <v>374</v>
      </c>
      <c r="AB21629" s="4" t="s">
        <v>93</v>
      </c>
      <c r="AH21629" s="4" t="str">
        <f>HYPERLINK("#Statut_biogéographique!A"&amp;_xlfn.XMATCH("P",Statut_biogéographique!A:A,2,1),"P")</f>
        <v>P</v>
      </c>
      <c r="AI21629" s="8" t="s">
        <v>28134</v>
      </c>
      <c r="AJ21629" s="4" t="s">
        <v>12248</v>
      </c>
      <c r="AM21629" s="4" t="s">
        <v>375</v>
      </c>
      <c r="AN21629" s="4" t="s">
        <v>375</v>
      </c>
      <c r="AO21629" s="4" t="s">
        <v>375</v>
      </c>
      <c r="AP21629" s="4" t="s">
        <v>376</v>
      </c>
      <c r="AR21629" s="4" t="s">
        <v>377</v>
      </c>
    </row>
    <row r="21630" spans="1:44">
      <c r="A21630" s="4" t="s">
        <v>24364</v>
      </c>
      <c r="B21630" s="4">
        <v>129345</v>
      </c>
      <c r="D21630" s="5" t="s">
        <v>28135</v>
      </c>
      <c r="E21630" s="6" t="str">
        <f>HYPERLINK("https://inpn.mnhn.fr/espece/cd_nom/129345","Vicia x marchandii Gillot &amp; Rouy, 1900")</f>
        <v>Vicia x marchandii Gillot &amp; Rouy, 1900</v>
      </c>
      <c r="F21630" s="5" t="s">
        <v>28136</v>
      </c>
      <c r="T21630" s="7" t="str">
        <f>HYPERLINK("#Liste_rouge!A"&amp;_xlfn.XMATCH("NE",Liste_rouge!A:A,2,1),"NE")</f>
        <v>NE</v>
      </c>
      <c r="AH21630" s="4" t="str">
        <f>HYPERLINK("#Statut_biogéographique!A"&amp;_xlfn.XMATCH("D",Statut_biogéographique!A:A,2,1),"D")</f>
        <v>D</v>
      </c>
      <c r="AP21630" s="4" t="s">
        <v>376</v>
      </c>
      <c r="AR21630" s="4" t="s">
        <v>377</v>
      </c>
    </row>
    <row r="21631" spans="1:44" ht="30">
      <c r="A21631" s="4" t="s">
        <v>24364</v>
      </c>
      <c r="B21631" s="4">
        <v>129468</v>
      </c>
      <c r="D21631" s="5" t="s">
        <v>28137</v>
      </c>
      <c r="E21631" s="6" t="str">
        <f>HYPERLINK("https://inpn.mnhn.fr/espece/cd_nom/129468","Vinca major L., 1753")</f>
        <v>Vinca major L., 1753</v>
      </c>
      <c r="F21631" s="5" t="s">
        <v>28138</v>
      </c>
      <c r="Q21631" s="7" t="str">
        <f>HYPERLINK("#Liste_rouge!A"&amp;_xlfn.XMATCH("LC",Liste_rouge!A:A,2,1),"LC")</f>
        <v>LC</v>
      </c>
      <c r="T21631" s="7" t="str">
        <f>HYPERLINK("#Liste_rouge!A"&amp;_xlfn.XMATCH("NA",Liste_rouge!A:A,2,1),"NA")</f>
        <v>NA</v>
      </c>
      <c r="AH21631" s="4" t="str">
        <f>HYPERLINK("#Statut_biogéographique!A"&amp;_xlfn.XMATCH("I",Statut_biogéographique!A:A,2,1),"I")</f>
        <v>I</v>
      </c>
      <c r="AP21631" s="4" t="s">
        <v>376</v>
      </c>
      <c r="AR21631" s="4" t="s">
        <v>377</v>
      </c>
    </row>
    <row r="21632" spans="1:44" ht="30">
      <c r="A21632" s="4" t="s">
        <v>24364</v>
      </c>
      <c r="B21632" s="4">
        <v>129470</v>
      </c>
      <c r="D21632" s="5" t="s">
        <v>28139</v>
      </c>
      <c r="E21632" s="6" t="str">
        <f>HYPERLINK("https://inpn.mnhn.fr/espece/cd_nom/129470","Vinca minor L., 1753")</f>
        <v>Vinca minor L., 1753</v>
      </c>
      <c r="F21632" s="5" t="s">
        <v>28140</v>
      </c>
      <c r="P21632" s="7" t="str">
        <f>HYPERLINK("#Liste_rouge!A"&amp;_xlfn.XMATCH("LC",Liste_rouge!A:A,2,1),"LC")</f>
        <v>LC</v>
      </c>
      <c r="Q21632" s="7" t="str">
        <f>HYPERLINK("#Liste_rouge!A"&amp;_xlfn.XMATCH("LC",Liste_rouge!A:A,2,1),"LC")</f>
        <v>LC</v>
      </c>
      <c r="T21632" s="7" t="str">
        <f>HYPERLINK("#Liste_rouge!A"&amp;_xlfn.XMATCH("LC",Liste_rouge!A:A,2,1),"LC")</f>
        <v>LC</v>
      </c>
      <c r="V21632" s="7" t="str">
        <f>HYPERLINK("#Liste_rouge!A"&amp;_xlfn.XMATCH("LC",Liste_rouge!A:A,2,1),"LC")</f>
        <v>LC</v>
      </c>
      <c r="AH21632" s="4" t="str">
        <f>HYPERLINK("#Statut_biogéographique!A"&amp;_xlfn.XMATCH("P",Statut_biogéographique!A:A,2,1),"P")</f>
        <v>P</v>
      </c>
      <c r="AM21632" s="4" t="s">
        <v>375</v>
      </c>
      <c r="AN21632" s="4" t="s">
        <v>375</v>
      </c>
      <c r="AO21632" s="4" t="s">
        <v>375</v>
      </c>
      <c r="AP21632" s="4" t="s">
        <v>376</v>
      </c>
      <c r="AR21632" s="4" t="s">
        <v>377</v>
      </c>
    </row>
    <row r="21633" spans="1:44" ht="135">
      <c r="A21633" s="4" t="s">
        <v>24364</v>
      </c>
      <c r="B21633" s="4">
        <v>129477</v>
      </c>
      <c r="D21633" s="5" t="s">
        <v>28141</v>
      </c>
      <c r="E21633" s="6" t="str">
        <f>HYPERLINK("https://inpn.mnhn.fr/espece/cd_nom/129477","Vincetoxicum hirundinaria Medik., 1790")</f>
        <v>Vincetoxicum hirundinaria Medik., 1790</v>
      </c>
      <c r="F21633" s="5" t="s">
        <v>28142</v>
      </c>
      <c r="Q21633" s="7" t="str">
        <f>HYPERLINK("#Liste_rouge!A"&amp;_xlfn.XMATCH("LC",Liste_rouge!A:A,2,1),"LC")</f>
        <v>LC</v>
      </c>
      <c r="T21633" s="7" t="str">
        <f>HYPERLINK("#Liste_rouge!A"&amp;_xlfn.XMATCH("NE",Liste_rouge!A:A,2,1),"NE (cd_nom 142269) - LC (cd_nom 129477) - DD (cd_nom 142268)")</f>
        <v>NE (cd_nom 142269) - LC (cd_nom 129477) - DD (cd_nom 142268)</v>
      </c>
      <c r="V21633" s="7" t="str">
        <f>HYPERLINK("#Liste_rouge!A"&amp;_xlfn.XMATCH("LC",Liste_rouge!A:A,2,1),"LC")</f>
        <v>LC</v>
      </c>
      <c r="AH21633" s="4" t="str">
        <f>HYPERLINK("#Statut_biogéographique!A"&amp;_xlfn.XMATCH("P",Statut_biogéographique!A:A,2,1),"P")</f>
        <v>P</v>
      </c>
      <c r="AM21633" s="4" t="s">
        <v>375</v>
      </c>
      <c r="AN21633" s="4" t="s">
        <v>375</v>
      </c>
      <c r="AO21633" s="4" t="s">
        <v>375</v>
      </c>
      <c r="AP21633" s="4" t="s">
        <v>376</v>
      </c>
      <c r="AR21633" s="4" t="s">
        <v>377</v>
      </c>
    </row>
    <row r="21634" spans="1:44" ht="30">
      <c r="A21634" s="4" t="s">
        <v>24364</v>
      </c>
      <c r="B21634" s="4">
        <v>129481</v>
      </c>
      <c r="D21634" s="5" t="s">
        <v>28143</v>
      </c>
      <c r="E21634" s="6" t="str">
        <f>HYPERLINK("https://inpn.mnhn.fr/espece/cd_nom/129481","Vincetoxicum nigrum (L.) Moench, 1802")</f>
        <v>Vincetoxicum nigrum (L.) Moench, 1802</v>
      </c>
      <c r="F21634" s="5" t="s">
        <v>28144</v>
      </c>
      <c r="Q21634" s="7" t="str">
        <f>HYPERLINK("#Liste_rouge!A"&amp;_xlfn.XMATCH("LC",Liste_rouge!A:A,2,1),"LC")</f>
        <v>LC</v>
      </c>
      <c r="T21634" s="7" t="str">
        <f>HYPERLINK("#Liste_rouge!A"&amp;_xlfn.XMATCH("NA",Liste_rouge!A:A,2,1),"NA")</f>
        <v>NA</v>
      </c>
      <c r="AH21634" s="4" t="str">
        <f>HYPERLINK("#Statut_biogéographique!A"&amp;_xlfn.XMATCH("P",Statut_biogéographique!A:A,2,1),"P")</f>
        <v>P</v>
      </c>
      <c r="AP21634" s="4" t="s">
        <v>376</v>
      </c>
      <c r="AR21634" s="4" t="s">
        <v>377</v>
      </c>
    </row>
    <row r="21635" spans="1:44" ht="120">
      <c r="A21635" s="4" t="s">
        <v>24364</v>
      </c>
      <c r="B21635" s="4">
        <v>129492</v>
      </c>
      <c r="D21635" s="5" t="s">
        <v>28145</v>
      </c>
      <c r="E21635" s="6" t="str">
        <f>HYPERLINK("https://inpn.mnhn.fr/espece/cd_nom/129492","Viola alba Besser, 1809")</f>
        <v>Viola alba Besser, 1809</v>
      </c>
      <c r="F21635" s="5" t="s">
        <v>28146</v>
      </c>
      <c r="Q21635" s="7" t="str">
        <f>HYPERLINK("#Liste_rouge!A"&amp;_xlfn.XMATCH("LC",Liste_rouge!A:A,2,1),"LC")</f>
        <v>LC</v>
      </c>
      <c r="T21635" s="7" t="str">
        <f>HYPERLINK("#Liste_rouge!A"&amp;_xlfn.XMATCH("LC",Liste_rouge!A:A,2,1),"LC (cd_nom 129492) - NT (cd_nom 142276)")</f>
        <v>LC (cd_nom 129492) - NT (cd_nom 142276)</v>
      </c>
      <c r="V21635" s="7" t="str">
        <f>HYPERLINK("#Liste_rouge!A"&amp;_xlfn.XMATCH("LC",Liste_rouge!A:A,2,1),"LC")</f>
        <v>LC</v>
      </c>
      <c r="AB21635" s="4" t="s">
        <v>28147</v>
      </c>
      <c r="AH21635" s="4" t="str">
        <f>HYPERLINK("#Statut_biogéographique!A"&amp;_xlfn.XMATCH("P",Statut_biogéographique!A:A,2,1),"P")</f>
        <v>P</v>
      </c>
      <c r="AM21635" s="4" t="s">
        <v>375</v>
      </c>
      <c r="AN21635" s="4" t="s">
        <v>375</v>
      </c>
      <c r="AO21635" s="4" t="s">
        <v>375</v>
      </c>
      <c r="AP21635" s="4" t="s">
        <v>376</v>
      </c>
      <c r="AR21635" s="4" t="s">
        <v>377</v>
      </c>
    </row>
    <row r="21636" spans="1:44" ht="30">
      <c r="A21636" s="4" t="s">
        <v>24364</v>
      </c>
      <c r="B21636" s="4">
        <v>129506</v>
      </c>
      <c r="D21636" s="5" t="s">
        <v>28148</v>
      </c>
      <c r="E21636" s="6" t="str">
        <f>HYPERLINK("https://inpn.mnhn.fr/espece/cd_nom/129506","Viola arvensis Murray, 1770")</f>
        <v>Viola arvensis Murray, 1770</v>
      </c>
      <c r="F21636" s="5" t="s">
        <v>28149</v>
      </c>
      <c r="P21636" s="7" t="str">
        <f>HYPERLINK("#Liste_rouge!A"&amp;_xlfn.XMATCH("LC",Liste_rouge!A:A,2,1),"LC")</f>
        <v>LC</v>
      </c>
      <c r="Q21636" s="7" t="str">
        <f>HYPERLINK("#Liste_rouge!A"&amp;_xlfn.XMATCH("LC",Liste_rouge!A:A,2,1),"LC")</f>
        <v>LC</v>
      </c>
      <c r="T21636" s="7" t="str">
        <f>HYPERLINK("#Liste_rouge!A"&amp;_xlfn.XMATCH("LC",Liste_rouge!A:A,2,1),"LC")</f>
        <v>LC</v>
      </c>
      <c r="V21636" s="7" t="str">
        <f>HYPERLINK("#Liste_rouge!A"&amp;_xlfn.XMATCH("LC",Liste_rouge!A:A,2,1),"LC")</f>
        <v>LC</v>
      </c>
      <c r="AH21636" s="4" t="str">
        <f>HYPERLINK("#Statut_biogéographique!A"&amp;_xlfn.XMATCH("P",Statut_biogéographique!A:A,2,1),"P")</f>
        <v>P</v>
      </c>
      <c r="AI21636" s="8" t="s">
        <v>28150</v>
      </c>
      <c r="AJ21636" s="4" t="s">
        <v>12248</v>
      </c>
      <c r="AM21636" s="4" t="s">
        <v>375</v>
      </c>
      <c r="AN21636" s="4" t="s">
        <v>375</v>
      </c>
      <c r="AO21636" s="4" t="s">
        <v>375</v>
      </c>
      <c r="AP21636" s="4" t="s">
        <v>376</v>
      </c>
      <c r="AR21636" s="4" t="s">
        <v>377</v>
      </c>
    </row>
    <row r="21637" spans="1:44" ht="30">
      <c r="A21637" s="4" t="s">
        <v>24364</v>
      </c>
      <c r="B21637" s="4">
        <v>129520</v>
      </c>
      <c r="D21637" s="5" t="s">
        <v>28151</v>
      </c>
      <c r="E21637" s="6" t="str">
        <f>HYPERLINK("https://inpn.mnhn.fr/espece/cd_nom/129520","Viola biflora L., 1753")</f>
        <v>Viola biflora L., 1753</v>
      </c>
      <c r="F21637" s="5" t="s">
        <v>28152</v>
      </c>
      <c r="Q21637" s="7" t="str">
        <f>HYPERLINK("#Liste_rouge!A"&amp;_xlfn.XMATCH("LC",Liste_rouge!A:A,2,1),"LC")</f>
        <v>LC</v>
      </c>
      <c r="V21637" s="7" t="str">
        <f>HYPERLINK("#Liste_rouge!A"&amp;_xlfn.XMATCH("CR",Liste_rouge!A:A,2,1),"CR")</f>
        <v>CR</v>
      </c>
      <c r="W21637" s="4" t="str">
        <f>HYPERLINK("#Critères_liste_rouge!A$1","D")</f>
        <v>D</v>
      </c>
      <c r="X21637" s="5" t="s">
        <v>374</v>
      </c>
      <c r="AB21637" s="4" t="s">
        <v>93</v>
      </c>
      <c r="AH21637" s="4" t="str">
        <f>HYPERLINK("#Statut_biogéographique!A"&amp;_xlfn.XMATCH("P",Statut_biogéographique!A:A,2,1),"P")</f>
        <v>P</v>
      </c>
      <c r="AM21637" s="4" t="s">
        <v>375</v>
      </c>
      <c r="AN21637" s="4" t="s">
        <v>375</v>
      </c>
      <c r="AO21637" s="4" t="s">
        <v>375</v>
      </c>
      <c r="AP21637" s="4" t="s">
        <v>376</v>
      </c>
      <c r="AR21637" s="4" t="s">
        <v>377</v>
      </c>
    </row>
    <row r="21638" spans="1:44" ht="30">
      <c r="A21638" s="4" t="s">
        <v>24364</v>
      </c>
      <c r="B21638" s="4">
        <v>129527</v>
      </c>
      <c r="D21638" s="5" t="s">
        <v>28153</v>
      </c>
      <c r="E21638" s="6" t="str">
        <f>HYPERLINK("https://inpn.mnhn.fr/espece/cd_nom/129527","Viola calcarata L., 1753")</f>
        <v>Viola calcarata L., 1753</v>
      </c>
      <c r="F21638" s="5" t="s">
        <v>28154</v>
      </c>
      <c r="Q21638" s="7" t="str">
        <f>HYPERLINK("#Liste_rouge!A"&amp;_xlfn.XMATCH("LC",Liste_rouge!A:A,2,1),"LC")</f>
        <v>LC</v>
      </c>
      <c r="V21638" s="7" t="str">
        <f>HYPERLINK("#Liste_rouge!A"&amp;_xlfn.XMATCH("RE",Liste_rouge!A:A,2,1),"RE")</f>
        <v>RE</v>
      </c>
      <c r="X21638" s="5" t="s">
        <v>374</v>
      </c>
      <c r="AB21638" s="4" t="s">
        <v>93</v>
      </c>
      <c r="AH21638" s="4" t="str">
        <f>HYPERLINK("#Statut_biogéographique!A"&amp;_xlfn.XMATCH("P",Statut_biogéographique!A:A,2,1),"P")</f>
        <v>P</v>
      </c>
      <c r="AM21638" s="4" t="s">
        <v>375</v>
      </c>
      <c r="AN21638" s="4" t="s">
        <v>375</v>
      </c>
      <c r="AO21638" s="4" t="s">
        <v>375</v>
      </c>
      <c r="AP21638" s="4" t="s">
        <v>376</v>
      </c>
      <c r="AR21638" s="4" t="s">
        <v>377</v>
      </c>
    </row>
    <row r="21639" spans="1:44" ht="75">
      <c r="A21639" s="4" t="s">
        <v>24364</v>
      </c>
      <c r="B21639" s="4">
        <v>129529</v>
      </c>
      <c r="D21639" s="5" t="s">
        <v>28155</v>
      </c>
      <c r="E21639" s="6" t="str">
        <f>HYPERLINK("https://inpn.mnhn.fr/espece/cd_nom/129529","Viola canina L., 1753")</f>
        <v>Viola canina L., 1753</v>
      </c>
      <c r="F21639" s="5" t="s">
        <v>28156</v>
      </c>
      <c r="P21639" s="7" t="str">
        <f>HYPERLINK("#Liste_rouge!A"&amp;_xlfn.XMATCH("LC",Liste_rouge!A:A,2,1),"LC")</f>
        <v>LC</v>
      </c>
      <c r="Q21639" s="7" t="str">
        <f>HYPERLINK("#Liste_rouge!A"&amp;_xlfn.XMATCH("LC",Liste_rouge!A:A,2,1),"LC")</f>
        <v>LC</v>
      </c>
      <c r="T21639" s="7" t="str">
        <f>HYPERLINK("#Liste_rouge!A"&amp;_xlfn.XMATCH("LC",Liste_rouge!A:A,2,1),"LC")</f>
        <v>LC</v>
      </c>
      <c r="V21639" s="7" t="str">
        <f>HYPERLINK("#Liste_rouge!A"&amp;_xlfn.XMATCH("LC",Liste_rouge!A:A,2,1),"LC")</f>
        <v>LC</v>
      </c>
      <c r="AB21639" s="4" t="s">
        <v>24495</v>
      </c>
      <c r="AH21639" s="4" t="str">
        <f>HYPERLINK("#Statut_biogéographique!A"&amp;_xlfn.XMATCH("P",Statut_biogéographique!A:A,2,1),"P")</f>
        <v>P</v>
      </c>
      <c r="AM21639" s="4" t="s">
        <v>375</v>
      </c>
      <c r="AN21639" s="4" t="s">
        <v>375</v>
      </c>
      <c r="AO21639" s="4" t="s">
        <v>375</v>
      </c>
      <c r="AP21639" s="4" t="s">
        <v>376</v>
      </c>
      <c r="AR21639" s="4" t="s">
        <v>377</v>
      </c>
    </row>
    <row r="21640" spans="1:44" ht="30">
      <c r="A21640" s="4" t="s">
        <v>24364</v>
      </c>
      <c r="B21640" s="4">
        <v>129539</v>
      </c>
      <c r="D21640" s="5" t="s">
        <v>28157</v>
      </c>
      <c r="E21640" s="6" t="str">
        <f>HYPERLINK("https://inpn.mnhn.fr/espece/cd_nom/129539","Viola collina Besser, 1816")</f>
        <v>Viola collina Besser, 1816</v>
      </c>
      <c r="F21640" s="5" t="s">
        <v>28158</v>
      </c>
      <c r="M21640" s="4" t="str">
        <f>HYPERLINK("#Réglementation!A"&amp;_xlfn.XMATCH("RV43",Réglementation!A:A,2,1),"RV43")</f>
        <v>RV43</v>
      </c>
      <c r="Q21640" s="7" t="str">
        <f>HYPERLINK("#Liste_rouge!A"&amp;_xlfn.XMATCH("LC",Liste_rouge!A:A,2,1),"LC")</f>
        <v>LC</v>
      </c>
      <c r="V21640" s="7" t="str">
        <f>HYPERLINK("#Liste_rouge!A"&amp;_xlfn.XMATCH("NT",Liste_rouge!A:A,2,1),"NT")</f>
        <v>NT</v>
      </c>
      <c r="W21640" s="4" t="str">
        <f>HYPERLINK("#Critères_liste_rouge!A$1","pr. D2")</f>
        <v>pr. D2</v>
      </c>
      <c r="X21640" s="5" t="s">
        <v>374</v>
      </c>
      <c r="AB21640" s="4" t="s">
        <v>93</v>
      </c>
      <c r="AH21640" s="4" t="str">
        <f>HYPERLINK("#Statut_biogéographique!A"&amp;_xlfn.XMATCH("P",Statut_biogéographique!A:A,2,1),"P")</f>
        <v>P</v>
      </c>
      <c r="AM21640" s="4" t="s">
        <v>375</v>
      </c>
      <c r="AN21640" s="4" t="s">
        <v>375</v>
      </c>
      <c r="AO21640" s="4" t="s">
        <v>375</v>
      </c>
      <c r="AP21640" s="4" t="s">
        <v>376</v>
      </c>
      <c r="AR21640" s="4" t="s">
        <v>377</v>
      </c>
    </row>
    <row r="21641" spans="1:44">
      <c r="A21641" s="4" t="s">
        <v>24364</v>
      </c>
      <c r="B21641" s="4">
        <v>129545</v>
      </c>
      <c r="D21641" s="5" t="s">
        <v>28159</v>
      </c>
      <c r="E21641" s="6" t="str">
        <f>HYPERLINK("https://inpn.mnhn.fr/espece/cd_nom/129545","Viola cryana Gillot, 1878")</f>
        <v>Viola cryana Gillot, 1878</v>
      </c>
      <c r="F21641" s="5" t="s">
        <v>28160</v>
      </c>
      <c r="I21641" s="4" t="str">
        <f>HYPERLINK("#Réglementation!A"&amp;_xlfn.XMATCH("IBE1",Réglementation!A:A,2,1),"IBE1")</f>
        <v>IBE1</v>
      </c>
      <c r="L21641" s="4" t="str">
        <f>HYPERLINK("#Réglementation!A"&amp;_xlfn.XMATCH("NV1",Réglementation!A:A,2,1),"NV1")</f>
        <v>NV1</v>
      </c>
      <c r="O21641" s="7" t="str">
        <f>HYPERLINK("#Liste_rouge!A"&amp;_xlfn.XMATCH("EX",Liste_rouge!A:A,2,1),"EX")</f>
        <v>EX</v>
      </c>
      <c r="P21641" s="7" t="str">
        <f>HYPERLINK("#Liste_rouge!A"&amp;_xlfn.XMATCH("EX",Liste_rouge!A:A,2,1),"EX")</f>
        <v>EX</v>
      </c>
      <c r="Q21641" s="7" t="str">
        <f>HYPERLINK("#Liste_rouge!A"&amp;_xlfn.XMATCH("EX",Liste_rouge!A:A,2,1),"EX")</f>
        <v>EX</v>
      </c>
      <c r="T21641" s="7" t="str">
        <f>HYPERLINK("#Liste_rouge!A"&amp;_xlfn.XMATCH("EX",Liste_rouge!A:A,2,1),"EX")</f>
        <v>EX</v>
      </c>
      <c r="AH21641" s="4" t="str">
        <f>HYPERLINK("#Statut_biogéographique!A"&amp;_xlfn.XMATCH("Z",Statut_biogéographique!A:A,2,1),"Z")</f>
        <v>Z</v>
      </c>
      <c r="AM21641" s="4" t="s">
        <v>375</v>
      </c>
      <c r="AN21641" s="4" t="s">
        <v>375</v>
      </c>
      <c r="AO21641" s="4" t="s">
        <v>375</v>
      </c>
      <c r="AP21641" s="4" t="s">
        <v>376</v>
      </c>
      <c r="AR21641" s="4" t="s">
        <v>377</v>
      </c>
    </row>
    <row r="21642" spans="1:44" ht="45">
      <c r="A21642" s="4" t="s">
        <v>24364</v>
      </c>
      <c r="B21642" s="4">
        <v>129557</v>
      </c>
      <c r="D21642" s="5" t="s">
        <v>28161</v>
      </c>
      <c r="E21642" s="6" t="str">
        <f>HYPERLINK("https://inpn.mnhn.fr/espece/cd_nom/129557","Viola elatior Fr., 1828 [nom. cons.]")</f>
        <v>Viola elatior Fr., 1828 [nom. cons.]</v>
      </c>
      <c r="F21642" s="5" t="s">
        <v>28162</v>
      </c>
      <c r="L21642" s="4" t="str">
        <f>HYPERLINK("#Réglementation!A"&amp;_xlfn.XMATCH("NV1",Réglementation!A:A,2,1),"NV1")</f>
        <v>NV1</v>
      </c>
      <c r="Q21642" s="7" t="str">
        <f>HYPERLINK("#Liste_rouge!A"&amp;_xlfn.XMATCH("EN",Liste_rouge!A:A,2,1),"EN")</f>
        <v>EN</v>
      </c>
      <c r="T21642" s="7" t="str">
        <f>HYPERLINK("#Liste_rouge!A"&amp;_xlfn.XMATCH("CR",Liste_rouge!A:A,2,1),"CR")</f>
        <v>CR</v>
      </c>
      <c r="U21642" s="4" t="str">
        <f>HYPERLINK("#Critères_liste_rouge!A$1","A2ac")</f>
        <v>A2ac</v>
      </c>
      <c r="V21642" s="7" t="str">
        <f>HYPERLINK("#Liste_rouge!A"&amp;_xlfn.XMATCH("EN",Liste_rouge!A:A,2,1),"EN")</f>
        <v>EN</v>
      </c>
      <c r="W21642" s="4" t="str">
        <f>HYPERLINK("#Critères_liste_rouge!A$1","D")</f>
        <v>D</v>
      </c>
      <c r="X21642" s="5" t="s">
        <v>374</v>
      </c>
      <c r="AB21642" s="4" t="s">
        <v>93</v>
      </c>
      <c r="AD21642" s="4" t="s">
        <v>11319</v>
      </c>
      <c r="AE21642" s="4" t="str">
        <f>HYPERLINK("#SCAP!A"&amp;_xlfn.XMATCH("A",SCAP!A:A,2,1),"A")</f>
        <v>A</v>
      </c>
      <c r="AH21642" s="4" t="str">
        <f>HYPERLINK("#Statut_biogéographique!A"&amp;_xlfn.XMATCH("P",Statut_biogéographique!A:A,2,1),"P")</f>
        <v>P</v>
      </c>
      <c r="AM21642" s="4" t="s">
        <v>375</v>
      </c>
      <c r="AN21642" s="4" t="s">
        <v>375</v>
      </c>
      <c r="AO21642" s="4" t="s">
        <v>375</v>
      </c>
      <c r="AP21642" s="4" t="s">
        <v>389</v>
      </c>
      <c r="AR21642" s="4" t="s">
        <v>377</v>
      </c>
    </row>
    <row r="21643" spans="1:44" ht="105">
      <c r="A21643" s="4" t="s">
        <v>24364</v>
      </c>
      <c r="B21643" s="4">
        <v>129586</v>
      </c>
      <c r="D21643" s="5" t="s">
        <v>28163</v>
      </c>
      <c r="E21643" s="6" t="str">
        <f>HYPERLINK("https://inpn.mnhn.fr/espece/cd_nom/129586","Viola hirta L., 1753")</f>
        <v>Viola hirta L., 1753</v>
      </c>
      <c r="F21643" s="5" t="s">
        <v>28164</v>
      </c>
      <c r="Q21643" s="7" t="str">
        <f>HYPERLINK("#Liste_rouge!A"&amp;_xlfn.XMATCH("LC",Liste_rouge!A:A,2,1),"LC")</f>
        <v>LC</v>
      </c>
      <c r="T21643" s="7" t="str">
        <f>HYPERLINK("#Liste_rouge!A"&amp;_xlfn.XMATCH("LC",Liste_rouge!A:A,2,1),"LC")</f>
        <v>LC</v>
      </c>
      <c r="V21643" s="7" t="str">
        <f>HYPERLINK("#Liste_rouge!A"&amp;_xlfn.XMATCH("LC",Liste_rouge!A:A,2,1),"LC")</f>
        <v>LC</v>
      </c>
      <c r="AH21643" s="4" t="str">
        <f>HYPERLINK("#Statut_biogéographique!A"&amp;_xlfn.XMATCH("P",Statut_biogéographique!A:A,2,1),"P")</f>
        <v>P</v>
      </c>
      <c r="AM21643" s="4" t="s">
        <v>375</v>
      </c>
      <c r="AN21643" s="4" t="s">
        <v>375</v>
      </c>
      <c r="AO21643" s="4" t="s">
        <v>375</v>
      </c>
      <c r="AP21643" s="4" t="s">
        <v>376</v>
      </c>
      <c r="AR21643" s="4" t="s">
        <v>377</v>
      </c>
    </row>
    <row r="21644" spans="1:44" ht="105">
      <c r="A21644" s="4" t="s">
        <v>24364</v>
      </c>
      <c r="B21644" s="4">
        <v>129600</v>
      </c>
      <c r="D21644" s="5" t="s">
        <v>28165</v>
      </c>
      <c r="E21644" s="6" t="str">
        <f>HYPERLINK("https://inpn.mnhn.fr/espece/cd_nom/129600","Viola kitaibeliana Schult., 1819")</f>
        <v>Viola kitaibeliana Schult., 1819</v>
      </c>
      <c r="F21644" s="5" t="s">
        <v>28166</v>
      </c>
      <c r="Q21644" s="7" t="str">
        <f>HYPERLINK("#Liste_rouge!A"&amp;_xlfn.XMATCH("LC",Liste_rouge!A:A,2,1),"LC")</f>
        <v>LC</v>
      </c>
      <c r="T21644" s="7" t="str">
        <f>HYPERLINK("#Liste_rouge!A"&amp;_xlfn.XMATCH("NA",Liste_rouge!A:A,2,1),"NA")</f>
        <v>NA</v>
      </c>
      <c r="AH21644" s="4" t="str">
        <f>HYPERLINK("#Statut_biogéographique!A"&amp;_xlfn.XMATCH("P",Statut_biogéographique!A:A,2,1),"P")</f>
        <v>P</v>
      </c>
      <c r="AP21644" s="4" t="s">
        <v>376</v>
      </c>
      <c r="AR21644" s="4" t="s">
        <v>377</v>
      </c>
    </row>
    <row r="21645" spans="1:44">
      <c r="A21645" s="4" t="s">
        <v>24364</v>
      </c>
      <c r="B21645" s="4">
        <v>129614</v>
      </c>
      <c r="D21645" s="5" t="s">
        <v>28167</v>
      </c>
      <c r="E21645" s="6" t="str">
        <f>HYPERLINK("https://inpn.mnhn.fr/espece/cd_nom/129614","Viola lutea Huds., 1762")</f>
        <v>Viola lutea Huds., 1762</v>
      </c>
      <c r="F21645" s="5" t="s">
        <v>28168</v>
      </c>
      <c r="Q21645" s="7" t="str">
        <f>HYPERLINK("#Liste_rouge!A"&amp;_xlfn.XMATCH("LC",Liste_rouge!A:A,2,1),"LC")</f>
        <v>LC</v>
      </c>
      <c r="V21645" s="7" t="str">
        <f>HYPERLINK("#Liste_rouge!A"&amp;_xlfn.XMATCH("VU",Liste_rouge!A:A,2,1),"VU")</f>
        <v>VU</v>
      </c>
      <c r="W21645" s="4" t="str">
        <f>HYPERLINK("#Critères_liste_rouge!A$1","B2ab(iii)")</f>
        <v>B2ab(iii)</v>
      </c>
      <c r="AB21645" s="4" t="s">
        <v>24410</v>
      </c>
      <c r="AH21645" s="4" t="str">
        <f>HYPERLINK("#Statut_biogéographique!A"&amp;_xlfn.XMATCH("P",Statut_biogéographique!A:A,2,1),"P")</f>
        <v>P</v>
      </c>
      <c r="AM21645" s="4" t="s">
        <v>375</v>
      </c>
      <c r="AN21645" s="4" t="s">
        <v>375</v>
      </c>
      <c r="AO21645" s="4" t="s">
        <v>375</v>
      </c>
      <c r="AP21645" s="4" t="s">
        <v>376</v>
      </c>
      <c r="AR21645" s="4" t="s">
        <v>377</v>
      </c>
    </row>
    <row r="21646" spans="1:44" ht="30">
      <c r="A21646" s="4" t="s">
        <v>24364</v>
      </c>
      <c r="B21646" s="4">
        <v>129623</v>
      </c>
      <c r="D21646" s="5">
        <v>129623</v>
      </c>
      <c r="E21646" s="6" t="str">
        <f>HYPERLINK("https://inpn.mnhn.fr/espece/cd_nom/129623","Viola mirabilis L., 1753")</f>
        <v>Viola mirabilis L., 1753</v>
      </c>
      <c r="F21646" s="5" t="s">
        <v>28169</v>
      </c>
      <c r="M21646" s="4" t="str">
        <f>HYPERLINK("#Réglementation!A"&amp;_xlfn.XMATCH("RV43",Réglementation!A:A,2,1),"RV43")</f>
        <v>RV43</v>
      </c>
      <c r="Q21646" s="7" t="str">
        <f>HYPERLINK("#Liste_rouge!A"&amp;_xlfn.XMATCH("LC",Liste_rouge!A:A,2,1),"LC")</f>
        <v>LC</v>
      </c>
      <c r="T21646" s="7" t="str">
        <f>HYPERLINK("#Liste_rouge!A"&amp;_xlfn.XMATCH("VU",Liste_rouge!A:A,2,1),"VU")</f>
        <v>VU</v>
      </c>
      <c r="U21646" s="4" t="str">
        <f>HYPERLINK("#Critères_liste_rouge!A$1","EN (A2ac) - 1")</f>
        <v>EN (A2ac) - 1</v>
      </c>
      <c r="V21646" s="7" t="str">
        <f>HYPERLINK("#Liste_rouge!A"&amp;_xlfn.XMATCH("LC",Liste_rouge!A:A,2,1),"LC")</f>
        <v>LC</v>
      </c>
      <c r="X21646" s="5" t="s">
        <v>374</v>
      </c>
      <c r="AB21646" s="4" t="s">
        <v>93</v>
      </c>
      <c r="AH21646" s="4" t="str">
        <f>HYPERLINK("#Statut_biogéographique!A"&amp;_xlfn.XMATCH("P",Statut_biogéographique!A:A,2,1),"P")</f>
        <v>P</v>
      </c>
      <c r="AM21646" s="4" t="s">
        <v>375</v>
      </c>
      <c r="AN21646" s="4" t="s">
        <v>375</v>
      </c>
      <c r="AO21646" s="4" t="s">
        <v>375</v>
      </c>
      <c r="AP21646" s="4" t="s">
        <v>376</v>
      </c>
      <c r="AR21646" s="4" t="s">
        <v>377</v>
      </c>
    </row>
    <row r="21647" spans="1:44" ht="120">
      <c r="A21647" s="4" t="s">
        <v>24364</v>
      </c>
      <c r="B21647" s="4">
        <v>129632</v>
      </c>
      <c r="D21647" s="5" t="s">
        <v>28170</v>
      </c>
      <c r="E21647" s="6" t="str">
        <f>HYPERLINK("https://inpn.mnhn.fr/espece/cd_nom/129632","Viola odorata L., 1753")</f>
        <v>Viola odorata L., 1753</v>
      </c>
      <c r="F21647" s="5" t="s">
        <v>28171</v>
      </c>
      <c r="P21647" s="7" t="str">
        <f>HYPERLINK("#Liste_rouge!A"&amp;_xlfn.XMATCH("LC",Liste_rouge!A:A,2,1),"LC")</f>
        <v>LC</v>
      </c>
      <c r="Q21647" s="7" t="str">
        <f>HYPERLINK("#Liste_rouge!A"&amp;_xlfn.XMATCH("LC",Liste_rouge!A:A,2,1),"LC")</f>
        <v>LC</v>
      </c>
      <c r="T21647" s="7" t="str">
        <f>HYPERLINK("#Liste_rouge!A"&amp;_xlfn.XMATCH("LC",Liste_rouge!A:A,2,1),"LC")</f>
        <v>LC</v>
      </c>
      <c r="V21647" s="7" t="str">
        <f>HYPERLINK("#Liste_rouge!A"&amp;_xlfn.XMATCH("LC",Liste_rouge!A:A,2,1),"LC")</f>
        <v>LC</v>
      </c>
      <c r="AH21647" s="4" t="str">
        <f>HYPERLINK("#Statut_biogéographique!A"&amp;_xlfn.XMATCH("P",Statut_biogéographique!A:A,2,1),"P")</f>
        <v>P</v>
      </c>
      <c r="AM21647" s="4" t="s">
        <v>375</v>
      </c>
      <c r="AN21647" s="4" t="s">
        <v>375</v>
      </c>
      <c r="AO21647" s="4" t="s">
        <v>375</v>
      </c>
      <c r="AP21647" s="4" t="s">
        <v>376</v>
      </c>
      <c r="AR21647" s="4" t="s">
        <v>377</v>
      </c>
    </row>
    <row r="21648" spans="1:44" ht="45">
      <c r="A21648" s="4" t="s">
        <v>24364</v>
      </c>
      <c r="B21648" s="4">
        <v>129639</v>
      </c>
      <c r="D21648" s="5" t="s">
        <v>28172</v>
      </c>
      <c r="E21648" s="6" t="str">
        <f>HYPERLINK("https://inpn.mnhn.fr/espece/cd_nom/129639","Viola palustris L., 1753")</f>
        <v>Viola palustris L., 1753</v>
      </c>
      <c r="F21648" s="5" t="s">
        <v>28173</v>
      </c>
      <c r="Q21648" s="7" t="str">
        <f>HYPERLINK("#Liste_rouge!A"&amp;_xlfn.XMATCH("LC",Liste_rouge!A:A,2,1),"LC")</f>
        <v>LC</v>
      </c>
      <c r="T21648" s="7" t="str">
        <f>HYPERLINK("#Liste_rouge!A"&amp;_xlfn.XMATCH("LC",Liste_rouge!A:A,2,1),"LC")</f>
        <v>LC</v>
      </c>
      <c r="V21648" s="7" t="str">
        <f>HYPERLINK("#Liste_rouge!A"&amp;_xlfn.XMATCH("LC",Liste_rouge!A:A,2,1),"LC")</f>
        <v>LC</v>
      </c>
      <c r="AB21648" s="4" t="s">
        <v>24495</v>
      </c>
      <c r="AH21648" s="4" t="str">
        <f>HYPERLINK("#Statut_biogéographique!A"&amp;_xlfn.XMATCH("P",Statut_biogéographique!A:A,2,1),"P")</f>
        <v>P</v>
      </c>
      <c r="AM21648" s="4" t="s">
        <v>375</v>
      </c>
      <c r="AN21648" s="4" t="s">
        <v>375</v>
      </c>
      <c r="AO21648" s="4" t="s">
        <v>375</v>
      </c>
      <c r="AP21648" s="4" t="s">
        <v>376</v>
      </c>
      <c r="AR21648" s="4" t="s">
        <v>377</v>
      </c>
    </row>
    <row r="21649" spans="1:44" ht="45">
      <c r="A21649" s="4" t="s">
        <v>24364</v>
      </c>
      <c r="B21649" s="4">
        <v>129666</v>
      </c>
      <c r="D21649" s="5" t="s">
        <v>28174</v>
      </c>
      <c r="E21649" s="6" t="str">
        <f>HYPERLINK("https://inpn.mnhn.fr/espece/cd_nom/129666","Viola reichenbachiana Jord. ex Boreau, 1857")</f>
        <v>Viola reichenbachiana Jord. ex Boreau, 1857</v>
      </c>
      <c r="F21649" s="5" t="s">
        <v>28175</v>
      </c>
      <c r="Q21649" s="7" t="str">
        <f>HYPERLINK("#Liste_rouge!A"&amp;_xlfn.XMATCH("LC",Liste_rouge!A:A,2,1),"LC")</f>
        <v>LC</v>
      </c>
      <c r="T21649" s="7" t="str">
        <f>HYPERLINK("#Liste_rouge!A"&amp;_xlfn.XMATCH("LC",Liste_rouge!A:A,2,1),"LC")</f>
        <v>LC</v>
      </c>
      <c r="V21649" s="7" t="str">
        <f>HYPERLINK("#Liste_rouge!A"&amp;_xlfn.XMATCH("LC",Liste_rouge!A:A,2,1),"LC")</f>
        <v>LC</v>
      </c>
      <c r="AH21649" s="4" t="str">
        <f>HYPERLINK("#Statut_biogéographique!A"&amp;_xlfn.XMATCH("P",Statut_biogéographique!A:A,2,1),"P")</f>
        <v>P</v>
      </c>
      <c r="AM21649" s="4" t="s">
        <v>375</v>
      </c>
      <c r="AN21649" s="4" t="s">
        <v>375</v>
      </c>
      <c r="AO21649" s="4" t="s">
        <v>375</v>
      </c>
      <c r="AP21649" s="4" t="s">
        <v>376</v>
      </c>
      <c r="AR21649" s="4" t="s">
        <v>377</v>
      </c>
    </row>
    <row r="21650" spans="1:44" ht="75">
      <c r="A21650" s="4" t="s">
        <v>24364</v>
      </c>
      <c r="B21650" s="4">
        <v>129669</v>
      </c>
      <c r="D21650" s="5" t="s">
        <v>28176</v>
      </c>
      <c r="E21650" s="6" t="str">
        <f>HYPERLINK("https://inpn.mnhn.fr/espece/cd_nom/129669","Viola riviniana Rchb., 1823")</f>
        <v>Viola riviniana Rchb., 1823</v>
      </c>
      <c r="F21650" s="5" t="s">
        <v>28177</v>
      </c>
      <c r="Q21650" s="7" t="str">
        <f>HYPERLINK("#Liste_rouge!A"&amp;_xlfn.XMATCH("LC",Liste_rouge!A:A,2,1),"LC")</f>
        <v>LC</v>
      </c>
      <c r="T21650" s="7" t="str">
        <f>HYPERLINK("#Liste_rouge!A"&amp;_xlfn.XMATCH("LC",Liste_rouge!A:A,2,1),"LC")</f>
        <v>LC</v>
      </c>
      <c r="V21650" s="7" t="str">
        <f>HYPERLINK("#Liste_rouge!A"&amp;_xlfn.XMATCH("LC",Liste_rouge!A:A,2,1),"LC")</f>
        <v>LC</v>
      </c>
      <c r="AH21650" s="4" t="str">
        <f>HYPERLINK("#Statut_biogéographique!A"&amp;_xlfn.XMATCH("P",Statut_biogéographique!A:A,2,1),"P")</f>
        <v>P</v>
      </c>
      <c r="AM21650" s="4" t="s">
        <v>375</v>
      </c>
      <c r="AN21650" s="4" t="s">
        <v>375</v>
      </c>
      <c r="AO21650" s="4" t="s">
        <v>375</v>
      </c>
      <c r="AP21650" s="4" t="s">
        <v>376</v>
      </c>
      <c r="AR21650" s="4" t="s">
        <v>377</v>
      </c>
    </row>
    <row r="21651" spans="1:44" ht="75">
      <c r="A21651" s="4" t="s">
        <v>24364</v>
      </c>
      <c r="B21651" s="4">
        <v>129674</v>
      </c>
      <c r="D21651" s="5" t="s">
        <v>28178</v>
      </c>
      <c r="E21651" s="6" t="str">
        <f>HYPERLINK("https://inpn.mnhn.fr/espece/cd_nom/129674","Viola rupestris F.W.Schmidt, 1791")</f>
        <v>Viola rupestris F.W.Schmidt, 1791</v>
      </c>
      <c r="F21651" s="5" t="s">
        <v>28179</v>
      </c>
      <c r="M21651" s="4" t="str">
        <f>HYPERLINK("#Réglementation!A"&amp;_xlfn.XMATCH("RV26",Réglementation!A:A,2,1),"RV26")</f>
        <v>RV26</v>
      </c>
      <c r="Q21651" s="7" t="str">
        <f>HYPERLINK("#Liste_rouge!A"&amp;_xlfn.XMATCH("LC",Liste_rouge!A:A,2,1),"LC")</f>
        <v>LC</v>
      </c>
      <c r="T21651" s="7" t="str">
        <f>HYPERLINK("#Liste_rouge!A"&amp;_xlfn.XMATCH("VU",Liste_rouge!A:A,2,1),"VU")</f>
        <v>VU</v>
      </c>
      <c r="U21651" s="4" t="str">
        <f>HYPERLINK("#Critères_liste_rouge!A$1","D2")</f>
        <v>D2</v>
      </c>
      <c r="V21651" s="7" t="str">
        <f>HYPERLINK("#Liste_rouge!A"&amp;_xlfn.XMATCH("NT",Liste_rouge!A:A,2,1),"NT")</f>
        <v>NT</v>
      </c>
      <c r="W21651" s="4" t="str">
        <f>HYPERLINK("#Critères_liste_rouge!A$1","pr. B2b(iii)")</f>
        <v>pr. B2b(iii)</v>
      </c>
      <c r="X21651" s="5" t="s">
        <v>374</v>
      </c>
      <c r="AB21651" s="4" t="s">
        <v>93</v>
      </c>
      <c r="AH21651" s="4" t="str">
        <f>HYPERLINK("#Statut_biogéographique!A"&amp;_xlfn.XMATCH("P",Statut_biogéographique!A:A,2,1),"P")</f>
        <v>P</v>
      </c>
      <c r="AM21651" s="4" t="s">
        <v>375</v>
      </c>
      <c r="AN21651" s="4" t="s">
        <v>375</v>
      </c>
      <c r="AO21651" s="4" t="s">
        <v>375</v>
      </c>
      <c r="AP21651" s="4" t="s">
        <v>376</v>
      </c>
      <c r="AR21651" s="4" t="s">
        <v>377</v>
      </c>
    </row>
    <row r="21652" spans="1:44" ht="45">
      <c r="A21652" s="4" t="s">
        <v>24364</v>
      </c>
      <c r="B21652" s="4">
        <v>129698</v>
      </c>
      <c r="D21652" s="5" t="s">
        <v>28180</v>
      </c>
      <c r="E21652" s="6" t="str">
        <f>HYPERLINK("https://inpn.mnhn.fr/espece/cd_nom/129698","Viola stagnina Kit. ex Schult., 1814")</f>
        <v>Viola stagnina Kit. ex Schult., 1814</v>
      </c>
      <c r="F21652" s="5" t="s">
        <v>28181</v>
      </c>
      <c r="Q21652" s="7" t="str">
        <f>HYPERLINK("#Liste_rouge!A"&amp;_xlfn.XMATCH("EN",Liste_rouge!A:A,2,1),"EN")</f>
        <v>EN</v>
      </c>
      <c r="T21652" s="7" t="str">
        <f>HYPERLINK("#Liste_rouge!A"&amp;_xlfn.XMATCH("CR",Liste_rouge!A:A,2,1),"CR")</f>
        <v>CR</v>
      </c>
      <c r="U21652" s="4" t="str">
        <f>HYPERLINK("#Critères_liste_rouge!A$1","D1")</f>
        <v>D1</v>
      </c>
      <c r="X21652" s="5" t="s">
        <v>374</v>
      </c>
      <c r="AB21652" s="4" t="s">
        <v>93</v>
      </c>
      <c r="AH21652" s="4" t="str">
        <f>HYPERLINK("#Statut_biogéographique!A"&amp;_xlfn.XMATCH("P",Statut_biogéographique!A:A,2,1),"P")</f>
        <v>P</v>
      </c>
      <c r="AM21652" s="4" t="s">
        <v>375</v>
      </c>
      <c r="AN21652" s="4" t="s">
        <v>375</v>
      </c>
      <c r="AO21652" s="4" t="s">
        <v>375</v>
      </c>
      <c r="AP21652" s="4" t="s">
        <v>376</v>
      </c>
      <c r="AR21652" s="4" t="s">
        <v>377</v>
      </c>
    </row>
    <row r="21653" spans="1:44" ht="135">
      <c r="A21653" s="4" t="s">
        <v>24364</v>
      </c>
      <c r="B21653" s="4">
        <v>129702</v>
      </c>
      <c r="D21653" s="5" t="s">
        <v>28182</v>
      </c>
      <c r="E21653" s="6" t="str">
        <f>HYPERLINK("https://inpn.mnhn.fr/espece/cd_nom/129702","Viola suavis M.Bieb., 1819")</f>
        <v>Viola suavis M.Bieb., 1819</v>
      </c>
      <c r="F21653" s="5" t="s">
        <v>28183</v>
      </c>
      <c r="Q21653" s="7" t="str">
        <f>HYPERLINK("#Liste_rouge!A"&amp;_xlfn.XMATCH("LC",Liste_rouge!A:A,2,1),"LC")</f>
        <v>LC</v>
      </c>
      <c r="T21653" s="7" t="str">
        <f>HYPERLINK("#Liste_rouge!A"&amp;_xlfn.XMATCH("NE",Liste_rouge!A:A,2,1),"NE")</f>
        <v>NE</v>
      </c>
      <c r="V21653" s="7" t="str">
        <f>HYPERLINK("#Liste_rouge!A"&amp;_xlfn.XMATCH("LC",Liste_rouge!A:A,2,1),"LC")</f>
        <v>LC</v>
      </c>
      <c r="AH21653" s="4" t="str">
        <f>HYPERLINK("#Statut_biogéographique!A"&amp;_xlfn.XMATCH("P",Statut_biogéographique!A:A,2,1),"P")</f>
        <v>P</v>
      </c>
      <c r="AM21653" s="4" t="s">
        <v>375</v>
      </c>
      <c r="AN21653" s="4" t="s">
        <v>375</v>
      </c>
      <c r="AO21653" s="4" t="s">
        <v>375</v>
      </c>
      <c r="AP21653" s="4" t="s">
        <v>376</v>
      </c>
      <c r="AR21653" s="4" t="s">
        <v>377</v>
      </c>
    </row>
    <row r="21654" spans="1:44" ht="30">
      <c r="A21654" s="4" t="s">
        <v>24364</v>
      </c>
      <c r="B21654" s="4">
        <v>129723</v>
      </c>
      <c r="D21654" s="5" t="s">
        <v>28184</v>
      </c>
      <c r="E21654" s="6" t="str">
        <f>HYPERLINK("https://inpn.mnhn.fr/espece/cd_nom/129723","Viola tricolor L., 1753")</f>
        <v>Viola tricolor L., 1753</v>
      </c>
      <c r="F21654" s="5" t="s">
        <v>28185</v>
      </c>
      <c r="P21654" s="7" t="str">
        <f>HYPERLINK("#Liste_rouge!A"&amp;_xlfn.XMATCH("LC",Liste_rouge!A:A,2,1),"LC")</f>
        <v>LC</v>
      </c>
      <c r="Q21654" s="7" t="str">
        <f>HYPERLINK("#Liste_rouge!A"&amp;_xlfn.XMATCH("LC",Liste_rouge!A:A,2,1),"LC")</f>
        <v>LC</v>
      </c>
      <c r="T21654" s="7" t="str">
        <f>HYPERLINK("#Liste_rouge!A"&amp;_xlfn.XMATCH("LC",Liste_rouge!A:A,2,1),"LC")</f>
        <v>LC</v>
      </c>
      <c r="V21654" s="7" t="str">
        <f>HYPERLINK("#Liste_rouge!A"&amp;_xlfn.XMATCH("NT",Liste_rouge!A:A,2,1),"NT")</f>
        <v>NT</v>
      </c>
      <c r="W21654" s="4" t="str">
        <f>HYPERLINK("#Critères_liste_rouge!A$1","pr. D2")</f>
        <v>pr. D2</v>
      </c>
      <c r="AH21654" s="4" t="str">
        <f>HYPERLINK("#Statut_biogéographique!A"&amp;_xlfn.XMATCH("P",Statut_biogéographique!A:A,2,1),"P")</f>
        <v>P</v>
      </c>
      <c r="AM21654" s="4" t="s">
        <v>375</v>
      </c>
      <c r="AN21654" s="4" t="s">
        <v>375</v>
      </c>
      <c r="AO21654" s="4" t="s">
        <v>375</v>
      </c>
      <c r="AP21654" s="4" t="s">
        <v>376</v>
      </c>
      <c r="AR21654" s="4" t="s">
        <v>377</v>
      </c>
    </row>
    <row r="21655" spans="1:44" ht="45">
      <c r="A21655" s="4" t="s">
        <v>24364</v>
      </c>
      <c r="B21655" s="4">
        <v>129743</v>
      </c>
      <c r="D21655" s="5" t="s">
        <v>28186</v>
      </c>
      <c r="E21655" s="6" t="str">
        <f>HYPERLINK("https://inpn.mnhn.fr/espece/cd_nom/129743","Viola x adulterina Godr., 1844")</f>
        <v>Viola x adulterina Godr., 1844</v>
      </c>
      <c r="F21655" s="5" t="s">
        <v>28187</v>
      </c>
      <c r="T21655" s="7" t="str">
        <f>HYPERLINK("#Liste_rouge!A"&amp;_xlfn.XMATCH("NE",Liste_rouge!A:A,2,1),"NE")</f>
        <v>NE</v>
      </c>
      <c r="AH21655" s="4" t="str">
        <f>HYPERLINK("#Statut_biogéographique!A"&amp;_xlfn.XMATCH("D",Statut_biogéographique!A:A,2,1),"D")</f>
        <v>D</v>
      </c>
      <c r="AP21655" s="4" t="s">
        <v>376</v>
      </c>
      <c r="AR21655" s="4" t="s">
        <v>377</v>
      </c>
    </row>
    <row r="21656" spans="1:44" ht="30">
      <c r="A21656" s="4" t="s">
        <v>24364</v>
      </c>
      <c r="B21656" s="4">
        <v>129749</v>
      </c>
      <c r="D21656" s="5" t="s">
        <v>28188</v>
      </c>
      <c r="E21656" s="6" t="str">
        <f>HYPERLINK("https://inpn.mnhn.fr/espece/cd_nom/129749","Viola x bavarica Schrank, 1789")</f>
        <v>Viola x bavarica Schrank, 1789</v>
      </c>
      <c r="F21656" s="5" t="s">
        <v>28189</v>
      </c>
      <c r="T21656" s="7" t="str">
        <f>HYPERLINK("#Liste_rouge!A"&amp;_xlfn.XMATCH("DD",Liste_rouge!A:A,2,1),"DD")</f>
        <v>DD</v>
      </c>
      <c r="AH21656" s="4" t="str">
        <f>HYPERLINK("#Statut_biogéographique!A"&amp;_xlfn.XMATCH("D",Statut_biogéographique!A:A,2,1),"D")</f>
        <v>D</v>
      </c>
      <c r="AP21656" s="4" t="s">
        <v>376</v>
      </c>
      <c r="AR21656" s="4" t="s">
        <v>377</v>
      </c>
    </row>
    <row r="21657" spans="1:44">
      <c r="A21657" s="4" t="s">
        <v>24364</v>
      </c>
      <c r="B21657" s="4">
        <v>129797</v>
      </c>
      <c r="D21657" s="5" t="s">
        <v>28190</v>
      </c>
      <c r="E21657" s="6" t="str">
        <f>HYPERLINK("https://inpn.mnhn.fr/espece/cd_nom/129797","Viola x intersita Beck, 1891")</f>
        <v>Viola x intersita Beck, 1891</v>
      </c>
      <c r="F21657" s="5" t="s">
        <v>28191</v>
      </c>
      <c r="AH21657" s="4" t="str">
        <f>HYPERLINK("#Statut_biogéographique!A"&amp;_xlfn.XMATCH("D",Statut_biogéographique!A:A,2,1),"D")</f>
        <v>D</v>
      </c>
      <c r="AP21657" s="4" t="s">
        <v>376</v>
      </c>
      <c r="AR21657" s="4" t="s">
        <v>377</v>
      </c>
    </row>
    <row r="21658" spans="1:44" ht="30">
      <c r="A21658" s="4" t="s">
        <v>24364</v>
      </c>
      <c r="B21658" s="4">
        <v>129820</v>
      </c>
      <c r="D21658" s="5" t="s">
        <v>28192</v>
      </c>
      <c r="E21658" s="6" t="str">
        <f>HYPERLINK("https://inpn.mnhn.fr/espece/cd_nom/129820","Viola x multicaulis Jord., 1852")</f>
        <v>Viola x multicaulis Jord., 1852</v>
      </c>
      <c r="F21658" s="5" t="s">
        <v>28193</v>
      </c>
      <c r="T21658" s="7" t="str">
        <f>HYPERLINK("#Liste_rouge!A"&amp;_xlfn.XMATCH("NE",Liste_rouge!A:A,2,1),"NE")</f>
        <v>NE</v>
      </c>
      <c r="AH21658" s="4" t="str">
        <f>HYPERLINK("#Statut_biogéographique!A"&amp;_xlfn.XMATCH("D",Statut_biogéographique!A:A,2,1),"D")</f>
        <v>D</v>
      </c>
      <c r="AP21658" s="4" t="s">
        <v>376</v>
      </c>
      <c r="AR21658" s="4" t="s">
        <v>377</v>
      </c>
    </row>
    <row r="21659" spans="1:44" ht="30">
      <c r="A21659" s="4" t="s">
        <v>24364</v>
      </c>
      <c r="B21659" s="4">
        <v>129845</v>
      </c>
      <c r="D21659" s="5" t="s">
        <v>28194</v>
      </c>
      <c r="E21659" s="6" t="str">
        <f>HYPERLINK("https://inpn.mnhn.fr/espece/cd_nom/129845","Viola x scabra F.Braun, 1820")</f>
        <v>Viola x scabra F.Braun, 1820</v>
      </c>
      <c r="F21659" s="5" t="s">
        <v>28195</v>
      </c>
      <c r="T21659" s="7" t="str">
        <f>HYPERLINK("#Liste_rouge!A"&amp;_xlfn.XMATCH("DD",Liste_rouge!A:A,2,1),"DD")</f>
        <v>DD</v>
      </c>
      <c r="AH21659" s="4" t="str">
        <f>HYPERLINK("#Statut_biogéographique!A"&amp;_xlfn.XMATCH("D",Statut_biogéographique!A:A,2,1),"D")</f>
        <v>D</v>
      </c>
      <c r="AP21659" s="4" t="s">
        <v>376</v>
      </c>
      <c r="AR21659" s="4" t="s">
        <v>377</v>
      </c>
    </row>
    <row r="21660" spans="1:44">
      <c r="A21660" s="4" t="s">
        <v>24364</v>
      </c>
      <c r="B21660" s="4">
        <v>129853</v>
      </c>
      <c r="D21660" s="5" t="s">
        <v>28196</v>
      </c>
      <c r="E21660" s="6" t="str">
        <f>HYPERLINK("https://inpn.mnhn.fr/espece/cd_nom/129853","Viola x spuria Čelak., 1875")</f>
        <v>Viola x spuria Čelak., 1875</v>
      </c>
      <c r="F21660" s="5" t="s">
        <v>28197</v>
      </c>
      <c r="T21660" s="7" t="str">
        <f>HYPERLINK("#Liste_rouge!A"&amp;_xlfn.XMATCH("NE",Liste_rouge!A:A,2,1),"NE")</f>
        <v>NE</v>
      </c>
      <c r="AH21660" s="4" t="str">
        <f>HYPERLINK("#Statut_biogéographique!A"&amp;_xlfn.XMATCH("D",Statut_biogéographique!A:A,2,1),"D")</f>
        <v>D</v>
      </c>
      <c r="AP21660" s="4" t="s">
        <v>376</v>
      </c>
      <c r="AR21660" s="4" t="s">
        <v>377</v>
      </c>
    </row>
    <row r="21661" spans="1:44" ht="90">
      <c r="A21661" s="4" t="s">
        <v>24364</v>
      </c>
      <c r="B21661" s="4">
        <v>129904</v>
      </c>
      <c r="D21661" s="5" t="s">
        <v>28198</v>
      </c>
      <c r="E21661" s="6" t="str">
        <f>HYPERLINK("https://inpn.mnhn.fr/espece/cd_nom/129904","Viscaria vulgaris Bernh., 1800")</f>
        <v>Viscaria vulgaris Bernh., 1800</v>
      </c>
      <c r="F21661" s="5" t="s">
        <v>28199</v>
      </c>
      <c r="Q21661" s="7" t="str">
        <f>HYPERLINK("#Liste_rouge!A"&amp;_xlfn.XMATCH("LC",Liste_rouge!A:A,2,1),"LC")</f>
        <v>LC</v>
      </c>
      <c r="T21661" s="7" t="str">
        <f>HYPERLINK("#Liste_rouge!A"&amp;_xlfn.XMATCH("DD",Liste_rouge!A:A,2,1),"DD (cd_nom 612585) - CR (cd_nom 129904)")</f>
        <v>DD (cd_nom 612585) - CR (cd_nom 129904)</v>
      </c>
      <c r="V21661" s="7" t="str">
        <f>HYPERLINK("#Liste_rouge!A"&amp;_xlfn.XMATCH("EN",Liste_rouge!A:A,2,1),"EN")</f>
        <v>EN</v>
      </c>
      <c r="W21661" s="4" t="str">
        <f>HYPERLINK("#Critères_liste_rouge!A$1","B2ab(iii)(v)")</f>
        <v>B2ab(iii)(v)</v>
      </c>
      <c r="X21661" s="5" t="s">
        <v>374</v>
      </c>
      <c r="AB21661" s="4" t="s">
        <v>93</v>
      </c>
      <c r="AH21661" s="4" t="str">
        <f>HYPERLINK("#Statut_biogéographique!A"&amp;_xlfn.XMATCH("P",Statut_biogéographique!A:A,2,1),"P")</f>
        <v>P</v>
      </c>
      <c r="AM21661" s="4" t="s">
        <v>375</v>
      </c>
      <c r="AN21661" s="4" t="s">
        <v>375</v>
      </c>
      <c r="AO21661" s="4" t="s">
        <v>375</v>
      </c>
      <c r="AP21661" s="4" t="s">
        <v>376</v>
      </c>
      <c r="AR21661" s="4" t="s">
        <v>377</v>
      </c>
    </row>
    <row r="21662" spans="1:44" ht="30">
      <c r="A21662" s="4" t="s">
        <v>24364</v>
      </c>
      <c r="B21662" s="4">
        <v>129906</v>
      </c>
      <c r="D21662" s="5">
        <v>129906</v>
      </c>
      <c r="E21662" s="6" t="str">
        <f>HYPERLINK("https://inpn.mnhn.fr/espece/cd_nom/129906","Viscum album L., 1753")</f>
        <v>Viscum album L., 1753</v>
      </c>
      <c r="F21662" s="5" t="s">
        <v>28200</v>
      </c>
      <c r="P21662" s="7" t="str">
        <f>HYPERLINK("#Liste_rouge!A"&amp;_xlfn.XMATCH("LC",Liste_rouge!A:A,2,1),"LC")</f>
        <v>LC</v>
      </c>
      <c r="Q21662" s="7" t="str">
        <f>HYPERLINK("#Liste_rouge!A"&amp;_xlfn.XMATCH("LC",Liste_rouge!A:A,2,1),"LC")</f>
        <v>LC</v>
      </c>
      <c r="T21662" s="7" t="str">
        <f>HYPERLINK("#Liste_rouge!A"&amp;_xlfn.XMATCH("LC",Liste_rouge!A:A,2,1),"LC")</f>
        <v>LC</v>
      </c>
      <c r="V21662" s="7" t="str">
        <f>HYPERLINK("#Liste_rouge!A"&amp;_xlfn.XMATCH("LC",Liste_rouge!A:A,2,1),"LC")</f>
        <v>LC</v>
      </c>
      <c r="AH21662" s="4" t="str">
        <f>HYPERLINK("#Statut_biogéographique!A"&amp;_xlfn.XMATCH("P",Statut_biogéographique!A:A,2,1),"P")</f>
        <v>P</v>
      </c>
      <c r="AM21662" s="4" t="s">
        <v>375</v>
      </c>
      <c r="AN21662" s="4" t="s">
        <v>375</v>
      </c>
      <c r="AO21662" s="4" t="s">
        <v>375</v>
      </c>
      <c r="AP21662" s="4" t="s">
        <v>376</v>
      </c>
      <c r="AR21662" s="4" t="s">
        <v>377</v>
      </c>
    </row>
    <row r="21663" spans="1:44" ht="45">
      <c r="A21663" s="4" t="s">
        <v>24364</v>
      </c>
      <c r="B21663" s="4">
        <v>129910</v>
      </c>
      <c r="D21663" s="5" t="s">
        <v>28201</v>
      </c>
      <c r="E21663" s="6" t="str">
        <f>HYPERLINK("https://inpn.mnhn.fr/espece/cd_nom/129910","Visnaga daucoides Gaertn., 1788")</f>
        <v>Visnaga daucoides Gaertn., 1788</v>
      </c>
      <c r="F21663" s="5" t="s">
        <v>28202</v>
      </c>
      <c r="P21663" s="7" t="str">
        <f>HYPERLINK("#Liste_rouge!A"&amp;_xlfn.XMATCH("LC",Liste_rouge!A:A,2,1),"LC")</f>
        <v>LC</v>
      </c>
      <c r="Q21663" s="7" t="str">
        <f>HYPERLINK("#Liste_rouge!A"&amp;_xlfn.XMATCH("LC",Liste_rouge!A:A,2,1),"LC")</f>
        <v>LC</v>
      </c>
      <c r="T21663" s="7" t="str">
        <f>HYPERLINK("#Liste_rouge!A"&amp;_xlfn.XMATCH("NA",Liste_rouge!A:A,2,1),"NA")</f>
        <v>NA</v>
      </c>
      <c r="AH21663" s="4" t="str">
        <f>HYPERLINK("#Statut_biogéographique!A"&amp;_xlfn.XMATCH("P",Statut_biogéographique!A:A,2,1),"P")</f>
        <v>P</v>
      </c>
      <c r="AP21663" s="4" t="s">
        <v>376</v>
      </c>
      <c r="AR21663" s="4" t="s">
        <v>377</v>
      </c>
    </row>
    <row r="21664" spans="1:44" ht="45">
      <c r="A21664" s="4" t="s">
        <v>24364</v>
      </c>
      <c r="B21664" s="4">
        <v>129914</v>
      </c>
      <c r="D21664" s="5" t="s">
        <v>28203</v>
      </c>
      <c r="E21664" s="6" t="str">
        <f>HYPERLINK("https://inpn.mnhn.fr/espece/cd_nom/129914","Vitex agnus-castus L., 1753")</f>
        <v>Vitex agnus-castus L., 1753</v>
      </c>
      <c r="F21664" s="5" t="s">
        <v>28204</v>
      </c>
      <c r="L21664" s="4" t="str">
        <f>HYPERLINK("#Réglementation!A"&amp;_xlfn.XMATCH("NV2",Réglementation!A:A,2,1),"NV2 - NV3")</f>
        <v>NV2 - NV3</v>
      </c>
      <c r="O21664" s="7" t="str">
        <f>HYPERLINK("#Liste_rouge!A"&amp;_xlfn.XMATCH("DD",Liste_rouge!A:A,2,1),"DD")</f>
        <v>DD</v>
      </c>
      <c r="P21664" s="7" t="str">
        <f>HYPERLINK("#Liste_rouge!A"&amp;_xlfn.XMATCH("DD",Liste_rouge!A:A,2,1),"DD")</f>
        <v>DD</v>
      </c>
      <c r="Q21664" s="7" t="str">
        <f>HYPERLINK("#Liste_rouge!A"&amp;_xlfn.XMATCH("LC",Liste_rouge!A:A,2,1),"LC")</f>
        <v>LC</v>
      </c>
      <c r="T21664" s="7" t="str">
        <f>HYPERLINK("#Liste_rouge!A"&amp;_xlfn.XMATCH("NA",Liste_rouge!A:A,2,1),"NA")</f>
        <v>NA</v>
      </c>
      <c r="AH21664" s="4" t="str">
        <f>HYPERLINK("#Statut_biogéographique!A"&amp;_xlfn.XMATCH("P",Statut_biogéographique!A:A,2,1),"P")</f>
        <v>P</v>
      </c>
      <c r="AP21664" s="4" t="s">
        <v>376</v>
      </c>
      <c r="AR21664" s="4" t="s">
        <v>377</v>
      </c>
    </row>
    <row r="21665" spans="1:44">
      <c r="A21665" s="4" t="s">
        <v>24364</v>
      </c>
      <c r="B21665" s="4">
        <v>129951</v>
      </c>
      <c r="D21665" s="5" t="s">
        <v>28205</v>
      </c>
      <c r="E21665" s="6" t="str">
        <f>HYPERLINK("https://inpn.mnhn.fr/espece/cd_nom/129951","Vitis labrusca L., 1753")</f>
        <v>Vitis labrusca L., 1753</v>
      </c>
      <c r="F21665" s="5" t="s">
        <v>28206</v>
      </c>
      <c r="Q21665" s="7" t="str">
        <f>HYPERLINK("#Liste_rouge!A"&amp;_xlfn.XMATCH("NA",Liste_rouge!A:A,2,1),"NA")</f>
        <v>NA</v>
      </c>
      <c r="T21665" s="7" t="str">
        <f>HYPERLINK("#Liste_rouge!A"&amp;_xlfn.XMATCH("NA",Liste_rouge!A:A,2,1),"NA")</f>
        <v>NA</v>
      </c>
      <c r="AH21665" s="4" t="str">
        <f>HYPERLINK("#Statut_biogéographique!A"&amp;_xlfn.XMATCH("Q",Statut_biogéographique!A:A,2,1),"Q")</f>
        <v>Q</v>
      </c>
      <c r="AP21665" s="4" t="s">
        <v>376</v>
      </c>
      <c r="AR21665" s="4" t="s">
        <v>377</v>
      </c>
    </row>
    <row r="21666" spans="1:44">
      <c r="A21666" s="4" t="s">
        <v>24364</v>
      </c>
      <c r="B21666" s="4">
        <v>129959</v>
      </c>
      <c r="D21666" s="5">
        <v>129959</v>
      </c>
      <c r="E21666" s="6" t="str">
        <f>HYPERLINK("https://inpn.mnhn.fr/espece/cd_nom/129959","Vitis riparia Michx., 1803")</f>
        <v>Vitis riparia Michx., 1803</v>
      </c>
      <c r="F21666" s="5" t="s">
        <v>28207</v>
      </c>
      <c r="Q21666" s="7" t="str">
        <f>HYPERLINK("#Liste_rouge!A"&amp;_xlfn.XMATCH("NA",Liste_rouge!A:A,2,1),"NA")</f>
        <v>NA</v>
      </c>
      <c r="AH21666" s="4" t="str">
        <f>HYPERLINK("#Statut_biogéographique!A"&amp;_xlfn.XMATCH("M",Statut_biogéographique!A:A,2,1),"M")</f>
        <v>M</v>
      </c>
      <c r="AM21666" s="4" t="s">
        <v>375</v>
      </c>
      <c r="AN21666" s="4" t="s">
        <v>375</v>
      </c>
      <c r="AO21666" s="4" t="s">
        <v>375</v>
      </c>
      <c r="AP21666" s="4" t="s">
        <v>376</v>
      </c>
      <c r="AR21666" s="4" t="s">
        <v>377</v>
      </c>
    </row>
    <row r="21667" spans="1:44">
      <c r="A21667" s="4" t="s">
        <v>24364</v>
      </c>
      <c r="B21667" s="4">
        <v>129961</v>
      </c>
      <c r="D21667" s="5">
        <v>129961</v>
      </c>
      <c r="E21667" s="6" t="str">
        <f>HYPERLINK("https://inpn.mnhn.fr/espece/cd_nom/129961","Vitis rupestris Scheele, 1848")</f>
        <v>Vitis rupestris Scheele, 1848</v>
      </c>
      <c r="F21667" s="5" t="s">
        <v>28208</v>
      </c>
      <c r="Q21667" s="7" t="str">
        <f>HYPERLINK("#Liste_rouge!A"&amp;_xlfn.XMATCH("NA",Liste_rouge!A:A,2,1),"NA")</f>
        <v>NA</v>
      </c>
      <c r="AH21667" s="4" t="str">
        <f>HYPERLINK("#Statut_biogéographique!A"&amp;_xlfn.XMATCH("I",Statut_biogéographique!A:A,2,1),"I")</f>
        <v>I</v>
      </c>
      <c r="AP21667" s="4" t="s">
        <v>376</v>
      </c>
      <c r="AR21667" s="4" t="s">
        <v>377</v>
      </c>
    </row>
    <row r="21668" spans="1:44">
      <c r="A21668" s="4" t="s">
        <v>24364</v>
      </c>
      <c r="B21668" s="4">
        <v>129968</v>
      </c>
      <c r="D21668" s="5">
        <v>129968</v>
      </c>
      <c r="E21668" s="6" t="str">
        <f>HYPERLINK("https://inpn.mnhn.fr/espece/cd_nom/129968","Vitis vinifera L., 1753")</f>
        <v>Vitis vinifera L., 1753</v>
      </c>
      <c r="F21668" s="5" t="s">
        <v>28209</v>
      </c>
      <c r="O21668" s="7" t="str">
        <f>HYPERLINK("#Liste_rouge!A"&amp;_xlfn.XMATCH("LC",Liste_rouge!A:A,2,1),"LC")</f>
        <v>LC</v>
      </c>
      <c r="P21668" s="7" t="str">
        <f>HYPERLINK("#Liste_rouge!A"&amp;_xlfn.XMATCH("LC",Liste_rouge!A:A,2,1),"LC")</f>
        <v>LC</v>
      </c>
      <c r="Q21668" s="7" t="str">
        <f>HYPERLINK("#Liste_rouge!A"&amp;_xlfn.XMATCH("LC",Liste_rouge!A:A,2,1),"LC")</f>
        <v>LC</v>
      </c>
      <c r="T21668" s="7" t="str">
        <f>HYPERLINK("#Liste_rouge!A"&amp;_xlfn.XMATCH("NA",Liste_rouge!A:A,2,1),"NA")</f>
        <v>NA</v>
      </c>
      <c r="V21668" s="7" t="str">
        <f>HYPERLINK("#Liste_rouge!A"&amp;_xlfn.XMATCH("CR",Liste_rouge!A:A,2,1),"CR")</f>
        <v>CR</v>
      </c>
      <c r="W21668" s="4" t="str">
        <f>HYPERLINK("#Critères_liste_rouge!A$1","D")</f>
        <v>D</v>
      </c>
      <c r="AH21668" s="4" t="str">
        <f>HYPERLINK("#Statut_biogéographique!A"&amp;_xlfn.XMATCH("P",Statut_biogéographique!A:A,2,1),"P")</f>
        <v>P</v>
      </c>
      <c r="AP21668" s="4" t="s">
        <v>376</v>
      </c>
      <c r="AR21668" s="4" t="s">
        <v>377</v>
      </c>
    </row>
    <row r="21669" spans="1:44" ht="105">
      <c r="A21669" s="4" t="s">
        <v>24364</v>
      </c>
      <c r="B21669" s="4">
        <v>129997</v>
      </c>
      <c r="D21669" s="5" t="s">
        <v>28210</v>
      </c>
      <c r="E21669" s="6" t="str">
        <f>HYPERLINK("https://inpn.mnhn.fr/espece/cd_nom/129997","Vulpia bromoides (L.) Gray, 1821")</f>
        <v>Vulpia bromoides (L.) Gray, 1821</v>
      </c>
      <c r="F21669" s="5" t="s">
        <v>28211</v>
      </c>
      <c r="Q21669" s="7" t="str">
        <f>HYPERLINK("#Liste_rouge!A"&amp;_xlfn.XMATCH("LC",Liste_rouge!A:A,2,1),"LC")</f>
        <v>LC</v>
      </c>
      <c r="T21669" s="7" t="str">
        <f>HYPERLINK("#Liste_rouge!A"&amp;_xlfn.XMATCH("LC",Liste_rouge!A:A,2,1),"LC")</f>
        <v>LC</v>
      </c>
      <c r="V21669" s="7" t="str">
        <f>HYPERLINK("#Liste_rouge!A"&amp;_xlfn.XMATCH("LC",Liste_rouge!A:A,2,1),"LC")</f>
        <v>LC</v>
      </c>
      <c r="AH21669" s="4" t="str">
        <f>HYPERLINK("#Statut_biogéographique!A"&amp;_xlfn.XMATCH("P",Statut_biogéographique!A:A,2,1),"P")</f>
        <v>P</v>
      </c>
      <c r="AM21669" s="4" t="s">
        <v>375</v>
      </c>
      <c r="AN21669" s="4" t="s">
        <v>375</v>
      </c>
      <c r="AO21669" s="4" t="s">
        <v>375</v>
      </c>
      <c r="AP21669" s="4" t="s">
        <v>376</v>
      </c>
      <c r="AR21669" s="4" t="s">
        <v>377</v>
      </c>
    </row>
    <row r="21670" spans="1:44" ht="45">
      <c r="A21670" s="4" t="s">
        <v>24364</v>
      </c>
      <c r="B21670" s="4">
        <v>129999</v>
      </c>
      <c r="D21670" s="5" t="s">
        <v>28212</v>
      </c>
      <c r="E21670" s="6" t="str">
        <f>HYPERLINK("https://inpn.mnhn.fr/espece/cd_nom/129999","Vulpia ciliata Dumort., 1824")</f>
        <v>Vulpia ciliata Dumort., 1824</v>
      </c>
      <c r="F21670" s="5" t="s">
        <v>28213</v>
      </c>
      <c r="Q21670" s="7" t="str">
        <f>HYPERLINK("#Liste_rouge!A"&amp;_xlfn.XMATCH("LC",Liste_rouge!A:A,2,1),"LC")</f>
        <v>LC</v>
      </c>
      <c r="T21670" s="7" t="str">
        <f>HYPERLINK("#Liste_rouge!A"&amp;_xlfn.XMATCH("VU",Liste_rouge!A:A,2,1),"VU")</f>
        <v>VU</v>
      </c>
      <c r="U21670" s="4" t="str">
        <f>HYPERLINK("#Critères_liste_rouge!A$1","D2")</f>
        <v>D2</v>
      </c>
      <c r="AH21670" s="4" t="str">
        <f>HYPERLINK("#Statut_biogéographique!A"&amp;_xlfn.XMATCH("P",Statut_biogéographique!A:A,2,1),"P")</f>
        <v>P</v>
      </c>
      <c r="AM21670" s="4" t="s">
        <v>375</v>
      </c>
      <c r="AN21670" s="4" t="s">
        <v>375</v>
      </c>
      <c r="AO21670" s="4" t="s">
        <v>375</v>
      </c>
      <c r="AP21670" s="4" t="s">
        <v>376</v>
      </c>
      <c r="AR21670" s="4" t="s">
        <v>377</v>
      </c>
    </row>
    <row r="21671" spans="1:44" ht="90">
      <c r="A21671" s="4" t="s">
        <v>24364</v>
      </c>
      <c r="B21671" s="4">
        <v>130008</v>
      </c>
      <c r="D21671" s="5" t="s">
        <v>28214</v>
      </c>
      <c r="E21671" s="6" t="str">
        <f>HYPERLINK("https://inpn.mnhn.fr/espece/cd_nom/130008","Vulpia geniculata (L.) Link, 1827")</f>
        <v>Vulpia geniculata (L.) Link, 1827</v>
      </c>
      <c r="F21671" s="5" t="s">
        <v>28215</v>
      </c>
      <c r="Q21671" s="7" t="str">
        <f>HYPERLINK("#Liste_rouge!A"&amp;_xlfn.XMATCH("NA",Liste_rouge!A:A,2,1),"NA")</f>
        <v>NA</v>
      </c>
      <c r="T21671" s="7" t="str">
        <f>HYPERLINK("#Liste_rouge!A"&amp;_xlfn.XMATCH("NA",Liste_rouge!A:A,2,1),"NA")</f>
        <v>NA</v>
      </c>
      <c r="AH21671" s="4" t="str">
        <f>HYPERLINK("#Statut_biogéographique!A"&amp;_xlfn.XMATCH("I",Statut_biogéographique!A:A,2,1),"I")</f>
        <v>I</v>
      </c>
      <c r="AP21671" s="4" t="s">
        <v>376</v>
      </c>
      <c r="AR21671" s="4" t="s">
        <v>377</v>
      </c>
    </row>
    <row r="21672" spans="1:44" ht="30">
      <c r="A21672" s="4" t="s">
        <v>24364</v>
      </c>
      <c r="B21672" s="4">
        <v>130015</v>
      </c>
      <c r="D21672" s="5" t="s">
        <v>28216</v>
      </c>
      <c r="E21672" s="6" t="str">
        <f>HYPERLINK("https://inpn.mnhn.fr/espece/cd_nom/130015","Vulpia ligustica (All.) Link, 1827")</f>
        <v>Vulpia ligustica (All.) Link, 1827</v>
      </c>
      <c r="F21672" s="5" t="s">
        <v>28217</v>
      </c>
      <c r="Q21672" s="7" t="str">
        <f>HYPERLINK("#Liste_rouge!A"&amp;_xlfn.XMATCH("LC",Liste_rouge!A:A,2,1),"LC")</f>
        <v>LC</v>
      </c>
      <c r="T21672" s="7" t="str">
        <f>HYPERLINK("#Liste_rouge!A"&amp;_xlfn.XMATCH("NA",Liste_rouge!A:A,2,1),"NA")</f>
        <v>NA</v>
      </c>
      <c r="AH21672" s="4" t="str">
        <f>HYPERLINK("#Statut_biogéographique!A"&amp;_xlfn.XMATCH("P",Statut_biogéographique!A:A,2,1),"P")</f>
        <v>P</v>
      </c>
      <c r="AP21672" s="4" t="s">
        <v>376</v>
      </c>
      <c r="AR21672" s="4" t="s">
        <v>377</v>
      </c>
    </row>
    <row r="21673" spans="1:44" ht="45">
      <c r="A21673" s="4" t="s">
        <v>24364</v>
      </c>
      <c r="B21673" s="4">
        <v>130022</v>
      </c>
      <c r="D21673" s="5" t="s">
        <v>28218</v>
      </c>
      <c r="E21673" s="6" t="str">
        <f>HYPERLINK("https://inpn.mnhn.fr/espece/cd_nom/130022","Vulpia membranacea (L.) Dumort., 1824")</f>
        <v>Vulpia membranacea (L.) Dumort., 1824</v>
      </c>
      <c r="F21673" s="5" t="s">
        <v>28219</v>
      </c>
      <c r="Q21673" s="7" t="str">
        <f>HYPERLINK("#Liste_rouge!A"&amp;_xlfn.XMATCH("LC",Liste_rouge!A:A,2,1),"LC")</f>
        <v>LC</v>
      </c>
      <c r="T21673" s="7" t="str">
        <f>HYPERLINK("#Liste_rouge!A"&amp;_xlfn.XMATCH("EN",Liste_rouge!A:A,2,1),"EN")</f>
        <v>EN</v>
      </c>
      <c r="U21673" s="4" t="str">
        <f>HYPERLINK("#Critères_liste_rouge!A$1","B1a")</f>
        <v>B1a</v>
      </c>
      <c r="X21673" s="5" t="s">
        <v>374</v>
      </c>
      <c r="AB21673" s="4" t="s">
        <v>93</v>
      </c>
      <c r="AH21673" s="4" t="str">
        <f>HYPERLINK("#Statut_biogéographique!A"&amp;_xlfn.XMATCH("P",Statut_biogéographique!A:A,2,1),"P")</f>
        <v>P</v>
      </c>
      <c r="AM21673" s="4" t="s">
        <v>375</v>
      </c>
      <c r="AN21673" s="4" t="s">
        <v>375</v>
      </c>
      <c r="AO21673" s="4" t="s">
        <v>375</v>
      </c>
      <c r="AP21673" s="4" t="s">
        <v>376</v>
      </c>
      <c r="AR21673" s="4" t="s">
        <v>377</v>
      </c>
    </row>
    <row r="21674" spans="1:44" ht="120">
      <c r="A21674" s="4" t="s">
        <v>24364</v>
      </c>
      <c r="B21674" s="4">
        <v>130028</v>
      </c>
      <c r="D21674" s="5" t="s">
        <v>28220</v>
      </c>
      <c r="E21674" s="6" t="str">
        <f>HYPERLINK("https://inpn.mnhn.fr/espece/cd_nom/130028","Vulpia myuros (L.) C.C.Gmel., 1805")</f>
        <v>Vulpia myuros (L.) C.C.Gmel., 1805</v>
      </c>
      <c r="F21674" s="5" t="s">
        <v>28221</v>
      </c>
      <c r="Q21674" s="7" t="str">
        <f>HYPERLINK("#Liste_rouge!A"&amp;_xlfn.XMATCH("LC",Liste_rouge!A:A,2,1),"LC")</f>
        <v>LC</v>
      </c>
      <c r="T21674" s="7" t="str">
        <f>HYPERLINK("#Liste_rouge!A"&amp;_xlfn.XMATCH("DD",Liste_rouge!A:A,2,1),"DD (cd_nom 152627) - LC (cd_nom 130028)")</f>
        <v>DD (cd_nom 152627) - LC (cd_nom 130028)</v>
      </c>
      <c r="V21674" s="7" t="str">
        <f>HYPERLINK("#Liste_rouge!A"&amp;_xlfn.XMATCH("LC",Liste_rouge!A:A,2,1),"LC")</f>
        <v>LC</v>
      </c>
      <c r="AH21674" s="4" t="str">
        <f>HYPERLINK("#Statut_biogéographique!A"&amp;_xlfn.XMATCH("P",Statut_biogéographique!A:A,2,1),"P")</f>
        <v>P</v>
      </c>
      <c r="AM21674" s="4" t="s">
        <v>375</v>
      </c>
      <c r="AN21674" s="4" t="s">
        <v>375</v>
      </c>
      <c r="AO21674" s="4" t="s">
        <v>375</v>
      </c>
      <c r="AP21674" s="4" t="s">
        <v>376</v>
      </c>
      <c r="AR21674" s="4" t="s">
        <v>377</v>
      </c>
    </row>
    <row r="21675" spans="1:44" ht="195">
      <c r="A21675" s="4" t="s">
        <v>24364</v>
      </c>
      <c r="B21675" s="4">
        <v>130046</v>
      </c>
      <c r="D21675" s="5" t="s">
        <v>28222</v>
      </c>
      <c r="E21675" s="6" t="str">
        <f>HYPERLINK("https://inpn.mnhn.fr/espece/cd_nom/130046","Vulpia unilateralis (L.) Stace, 1978")</f>
        <v>Vulpia unilateralis (L.) Stace, 1978</v>
      </c>
      <c r="F21675" s="5" t="s">
        <v>28223</v>
      </c>
      <c r="Q21675" s="7" t="str">
        <f>HYPERLINK("#Liste_rouge!A"&amp;_xlfn.XMATCH("LC",Liste_rouge!A:A,2,1),"LC")</f>
        <v>LC</v>
      </c>
      <c r="T21675" s="7" t="str">
        <f>HYPERLINK("#Liste_rouge!A"&amp;_xlfn.XMATCH("LC",Liste_rouge!A:A,2,1),"LC")</f>
        <v>LC</v>
      </c>
      <c r="AB21675" s="4" t="s">
        <v>24382</v>
      </c>
      <c r="AH21675" s="4" t="str">
        <f>HYPERLINK("#Statut_biogéographique!A"&amp;_xlfn.XMATCH("P",Statut_biogéographique!A:A,2,1),"P")</f>
        <v>P</v>
      </c>
      <c r="AM21675" s="4" t="s">
        <v>375</v>
      </c>
      <c r="AN21675" s="4" t="s">
        <v>375</v>
      </c>
      <c r="AO21675" s="4" t="s">
        <v>375</v>
      </c>
      <c r="AP21675" s="4" t="s">
        <v>376</v>
      </c>
      <c r="AR21675" s="4" t="s">
        <v>377</v>
      </c>
    </row>
    <row r="21676" spans="1:44">
      <c r="A21676" s="4" t="s">
        <v>24364</v>
      </c>
      <c r="B21676" s="4">
        <v>130118</v>
      </c>
      <c r="D21676" s="5" t="s">
        <v>28224</v>
      </c>
      <c r="E21676" s="6" t="str">
        <f>HYPERLINK("https://inpn.mnhn.fr/espece/cd_nom/130118","Wisteria sinensis (Sims) Sweet, 1826")</f>
        <v>Wisteria sinensis (Sims) Sweet, 1826</v>
      </c>
      <c r="F21676" s="5" t="s">
        <v>28225</v>
      </c>
      <c r="Q21676" s="7" t="str">
        <f>HYPERLINK("#Liste_rouge!A"&amp;_xlfn.XMATCH("NA",Liste_rouge!A:A,2,1),"NA")</f>
        <v>NA</v>
      </c>
      <c r="AH21676" s="4" t="str">
        <f>HYPERLINK("#Statut_biogéographique!A"&amp;_xlfn.XMATCH("M",Statut_biogéographique!A:A,2,1),"M")</f>
        <v>M</v>
      </c>
      <c r="AP21676" s="4" t="s">
        <v>376</v>
      </c>
      <c r="AR21676" s="4" t="s">
        <v>377</v>
      </c>
    </row>
    <row r="21677" spans="1:44" ht="30">
      <c r="A21677" s="4" t="s">
        <v>24364</v>
      </c>
      <c r="B21677" s="4">
        <v>130119</v>
      </c>
      <c r="D21677" s="5" t="s">
        <v>28226</v>
      </c>
      <c r="E21677" s="6" t="str">
        <f>HYPERLINK("https://inpn.mnhn.fr/espece/cd_nom/130119","Wolffia arrhiza (L.) Horkel ex Wimm., 1857")</f>
        <v>Wolffia arrhiza (L.) Horkel ex Wimm., 1857</v>
      </c>
      <c r="F21677" s="5" t="s">
        <v>28227</v>
      </c>
      <c r="O21677" s="7" t="str">
        <f>HYPERLINK("#Liste_rouge!A"&amp;_xlfn.XMATCH("LC",Liste_rouge!A:A,2,1),"LC")</f>
        <v>LC</v>
      </c>
      <c r="P21677" s="7" t="str">
        <f>HYPERLINK("#Liste_rouge!A"&amp;_xlfn.XMATCH("LC",Liste_rouge!A:A,2,1),"LC")</f>
        <v>LC</v>
      </c>
      <c r="Q21677" s="7" t="str">
        <f>HYPERLINK("#Liste_rouge!A"&amp;_xlfn.XMATCH("LC",Liste_rouge!A:A,2,1),"LC")</f>
        <v>LC</v>
      </c>
      <c r="T21677" s="7" t="str">
        <f>HYPERLINK("#Liste_rouge!A"&amp;_xlfn.XMATCH("VU",Liste_rouge!A:A,2,1),"VU")</f>
        <v>VU</v>
      </c>
      <c r="U21677" s="4" t="str">
        <f>HYPERLINK("#Critères_liste_rouge!A$1","A2ac")</f>
        <v>A2ac</v>
      </c>
      <c r="AB21677" s="4" t="s">
        <v>24803</v>
      </c>
      <c r="AH21677" s="4" t="str">
        <f>HYPERLINK("#Statut_biogéographique!A"&amp;_xlfn.XMATCH("P",Statut_biogéographique!A:A,2,1),"P")</f>
        <v>P</v>
      </c>
      <c r="AM21677" s="4" t="s">
        <v>375</v>
      </c>
      <c r="AN21677" s="4" t="s">
        <v>375</v>
      </c>
      <c r="AO21677" s="4" t="s">
        <v>375</v>
      </c>
      <c r="AP21677" s="4" t="s">
        <v>376</v>
      </c>
      <c r="AR21677" s="4" t="s">
        <v>377</v>
      </c>
    </row>
    <row r="21678" spans="1:44" ht="30">
      <c r="A21678" s="4" t="s">
        <v>24364</v>
      </c>
      <c r="B21678" s="4">
        <v>130197</v>
      </c>
      <c r="D21678" s="5" t="s">
        <v>28228</v>
      </c>
      <c r="E21678" s="6" t="str">
        <f>HYPERLINK("https://inpn.mnhn.fr/espece/cd_nom/130197","x Carduocirsium parisiense (P.Fourn.) P.Fourn., 1940")</f>
        <v>x Carduocirsium parisiense (P.Fourn.) P.Fourn., 1940</v>
      </c>
      <c r="F21678" s="5" t="s">
        <v>28229</v>
      </c>
      <c r="T21678" s="7" t="str">
        <f>HYPERLINK("#Liste_rouge!A"&amp;_xlfn.XMATCH("NE",Liste_rouge!A:A,2,1),"NE")</f>
        <v>NE</v>
      </c>
      <c r="AH21678" s="4" t="str">
        <f>HYPERLINK("#Statut_biogéographique!A"&amp;_xlfn.XMATCH("D",Statut_biogéographique!A:A,2,1),"D")</f>
        <v>D</v>
      </c>
      <c r="AP21678" s="4" t="s">
        <v>376</v>
      </c>
      <c r="AR21678" s="4" t="s">
        <v>377</v>
      </c>
    </row>
    <row r="21679" spans="1:44" ht="60">
      <c r="A21679" s="4" t="s">
        <v>24364</v>
      </c>
      <c r="B21679" s="4">
        <v>130462</v>
      </c>
      <c r="D21679" s="5" t="s">
        <v>28230</v>
      </c>
      <c r="E21679" s="6" t="str">
        <f>HYPERLINK("https://inpn.mnhn.fr/espece/cd_nom/130462","x Schedolium loliaceum (Huds.) Holub, 1998")</f>
        <v>x Schedolium loliaceum (Huds.) Holub, 1998</v>
      </c>
      <c r="F21679" s="5" t="s">
        <v>28231</v>
      </c>
      <c r="T21679" s="7" t="str">
        <f>HYPERLINK("#Liste_rouge!A"&amp;_xlfn.XMATCH("DD",Liste_rouge!A:A,2,1),"DD")</f>
        <v>DD</v>
      </c>
      <c r="AH21679" s="4" t="str">
        <f>HYPERLINK("#Statut_biogéographique!A"&amp;_xlfn.XMATCH("D",Statut_biogéographique!A:A,2,1),"D")</f>
        <v>D</v>
      </c>
      <c r="AP21679" s="4" t="s">
        <v>376</v>
      </c>
      <c r="AR21679" s="4" t="s">
        <v>377</v>
      </c>
    </row>
    <row r="21680" spans="1:44">
      <c r="A21680" s="4" t="s">
        <v>24364</v>
      </c>
      <c r="B21680" s="4">
        <v>130471</v>
      </c>
      <c r="D21680" s="5" t="s">
        <v>28232</v>
      </c>
      <c r="E21680" s="6" t="str">
        <f>HYPERLINK("https://inpn.mnhn.fr/espece/cd_nom/130471","x Triticosecale rimpaui Wittm., 1899")</f>
        <v>x Triticosecale rimpaui Wittm., 1899</v>
      </c>
      <c r="F21680" s="5" t="s">
        <v>28233</v>
      </c>
      <c r="T21680" s="7" t="str">
        <f>HYPERLINK("#Liste_rouge!A"&amp;_xlfn.XMATCH("NA",Liste_rouge!A:A,2,1),"NA")</f>
        <v>NA</v>
      </c>
      <c r="AH21680" s="4" t="str">
        <f>HYPERLINK("#Statut_biogéographique!A"&amp;_xlfn.XMATCH("M",Statut_biogéographique!A:A,2,1),"M")</f>
        <v>M</v>
      </c>
      <c r="AP21680" s="4" t="s">
        <v>376</v>
      </c>
      <c r="AR21680" s="4" t="s">
        <v>377</v>
      </c>
    </row>
    <row r="21681" spans="1:44" ht="30">
      <c r="A21681" s="4" t="s">
        <v>24364</v>
      </c>
      <c r="B21681" s="4">
        <v>130484</v>
      </c>
      <c r="D21681" s="5" t="s">
        <v>28234</v>
      </c>
      <c r="E21681" s="6" t="str">
        <f>HYPERLINK("https://inpn.mnhn.fr/espece/cd_nom/130484","Xanthium orientale L., 1763")</f>
        <v>Xanthium orientale L., 1763</v>
      </c>
      <c r="F21681" s="5" t="s">
        <v>28235</v>
      </c>
      <c r="Q21681" s="7" t="str">
        <f>HYPERLINK("#Liste_rouge!A"&amp;_xlfn.XMATCH("NA",Liste_rouge!A:A,2,1),"NA")</f>
        <v>NA</v>
      </c>
      <c r="T21681" s="7" t="str">
        <f>HYPERLINK("#Liste_rouge!A"&amp;_xlfn.XMATCH("NA",Liste_rouge!A:A,2,1),"NA")</f>
        <v>NA</v>
      </c>
      <c r="AH21681" s="4" t="str">
        <f>HYPERLINK("#Statut_biogéographique!A"&amp;_xlfn.XMATCH("I",Statut_biogéographique!A:A,2,1),"I")</f>
        <v>I</v>
      </c>
      <c r="AM21681" s="4" t="s">
        <v>375</v>
      </c>
      <c r="AN21681" s="4" t="s">
        <v>375</v>
      </c>
      <c r="AO21681" s="4" t="s">
        <v>375</v>
      </c>
      <c r="AP21681" s="4" t="s">
        <v>376</v>
      </c>
      <c r="AR21681" s="4" t="s">
        <v>377</v>
      </c>
    </row>
    <row r="21682" spans="1:44">
      <c r="A21682" s="4" t="s">
        <v>24364</v>
      </c>
      <c r="B21682" s="4">
        <v>130491</v>
      </c>
      <c r="D21682" s="5" t="s">
        <v>28236</v>
      </c>
      <c r="E21682" s="6" t="str">
        <f>HYPERLINK("https://inpn.mnhn.fr/espece/cd_nom/130491","Xanthium spinosum L., 1753")</f>
        <v>Xanthium spinosum L., 1753</v>
      </c>
      <c r="F21682" s="5" t="s">
        <v>28237</v>
      </c>
      <c r="Q21682" s="7" t="str">
        <f>HYPERLINK("#Liste_rouge!A"&amp;_xlfn.XMATCH("NA",Liste_rouge!A:A,2,1),"NA")</f>
        <v>NA</v>
      </c>
      <c r="T21682" s="7" t="str">
        <f>HYPERLINK("#Liste_rouge!A"&amp;_xlfn.XMATCH("NA",Liste_rouge!A:A,2,1),"NA")</f>
        <v>NA</v>
      </c>
      <c r="AH21682" s="4" t="str">
        <f>HYPERLINK("#Statut_biogéographique!A"&amp;_xlfn.XMATCH("I",Statut_biogéographique!A:A,2,1),"I")</f>
        <v>I</v>
      </c>
      <c r="AP21682" s="4" t="s">
        <v>376</v>
      </c>
      <c r="AR21682" s="4" t="s">
        <v>377</v>
      </c>
    </row>
    <row r="21683" spans="1:44" ht="45">
      <c r="A21683" s="4" t="s">
        <v>24364</v>
      </c>
      <c r="B21683" s="4">
        <v>130492</v>
      </c>
      <c r="D21683" s="5" t="s">
        <v>28238</v>
      </c>
      <c r="E21683" s="6" t="str">
        <f>HYPERLINK("https://inpn.mnhn.fr/espece/cd_nom/130492","Xanthium strumarium L., 1753")</f>
        <v>Xanthium strumarium L., 1753</v>
      </c>
      <c r="F21683" s="5" t="s">
        <v>28239</v>
      </c>
      <c r="Q21683" s="7" t="str">
        <f>HYPERLINK("#Liste_rouge!A"&amp;_xlfn.XMATCH("LC",Liste_rouge!A:A,2,1),"LC")</f>
        <v>LC</v>
      </c>
      <c r="T21683" s="7" t="str">
        <f>HYPERLINK("#Liste_rouge!A"&amp;_xlfn.XMATCH("VU",Liste_rouge!A:A,2,1),"VU")</f>
        <v>VU</v>
      </c>
      <c r="U21683" s="4" t="str">
        <f>HYPERLINK("#Critères_liste_rouge!A$1","D2")</f>
        <v>D2</v>
      </c>
      <c r="V21683" s="7" t="str">
        <f>HYPERLINK("#Liste_rouge!A"&amp;_xlfn.XMATCH("EN",Liste_rouge!A:A,2,1),"EN")</f>
        <v>EN</v>
      </c>
      <c r="W21683" s="4" t="str">
        <f>HYPERLINK("#Critères_liste_rouge!A$1","B2ab(iv)")</f>
        <v>B2ab(iv)</v>
      </c>
      <c r="X21683" s="5" t="s">
        <v>374</v>
      </c>
      <c r="AB21683" s="4" t="s">
        <v>93</v>
      </c>
      <c r="AH21683" s="4" t="str">
        <f>HYPERLINK("#Statut_biogéographique!A"&amp;_xlfn.XMATCH("P",Statut_biogéographique!A:A,2,1),"P")</f>
        <v>P</v>
      </c>
      <c r="AM21683" s="4" t="s">
        <v>375</v>
      </c>
      <c r="AN21683" s="4" t="s">
        <v>375</v>
      </c>
      <c r="AO21683" s="4" t="s">
        <v>375</v>
      </c>
      <c r="AP21683" s="4" t="s">
        <v>376</v>
      </c>
      <c r="AR21683" s="4" t="s">
        <v>377</v>
      </c>
    </row>
    <row r="21684" spans="1:44" ht="30">
      <c r="A21684" s="4" t="s">
        <v>24364</v>
      </c>
      <c r="B21684" s="4">
        <v>130497</v>
      </c>
      <c r="D21684" s="5" t="s">
        <v>28240</v>
      </c>
      <c r="E21684" s="6" t="str">
        <f>HYPERLINK("https://inpn.mnhn.fr/espece/cd_nom/130497","Xanthoselinum alsaticum (L.) Schur, 1866")</f>
        <v>Xanthoselinum alsaticum (L.) Schur, 1866</v>
      </c>
      <c r="F21684" s="5" t="s">
        <v>28241</v>
      </c>
      <c r="Q21684" s="7" t="str">
        <f>HYPERLINK("#Liste_rouge!A"&amp;_xlfn.XMATCH("LC",Liste_rouge!A:A,2,1),"LC")</f>
        <v>LC</v>
      </c>
      <c r="T21684" s="7" t="str">
        <f>HYPERLINK("#Liste_rouge!A"&amp;_xlfn.XMATCH("CR",Liste_rouge!A:A,2,1),"CR")</f>
        <v>CR</v>
      </c>
      <c r="U21684" s="4" t="str">
        <f>HYPERLINK("#Critères_liste_rouge!A$1","C2a(i)")</f>
        <v>C2a(i)</v>
      </c>
      <c r="X21684" s="5" t="s">
        <v>374</v>
      </c>
      <c r="AB21684" s="4" t="s">
        <v>93</v>
      </c>
      <c r="AH21684" s="4" t="str">
        <f>HYPERLINK("#Statut_biogéographique!A"&amp;_xlfn.XMATCH("P",Statut_biogéographique!A:A,2,1),"P")</f>
        <v>P</v>
      </c>
      <c r="AM21684" s="4" t="s">
        <v>375</v>
      </c>
      <c r="AN21684" s="4" t="s">
        <v>375</v>
      </c>
      <c r="AO21684" s="4" t="s">
        <v>375</v>
      </c>
      <c r="AP21684" s="4" t="s">
        <v>376</v>
      </c>
      <c r="AR21684" s="4" t="s">
        <v>377</v>
      </c>
    </row>
    <row r="21685" spans="1:44" ht="30">
      <c r="A21685" s="4" t="s">
        <v>24364</v>
      </c>
      <c r="B21685" s="4">
        <v>130515</v>
      </c>
      <c r="D21685" s="5" t="s">
        <v>28242</v>
      </c>
      <c r="E21685" s="6" t="str">
        <f>HYPERLINK("https://inpn.mnhn.fr/espece/cd_nom/130515","Xeranthemum cylindraceum Sm., 1813")</f>
        <v>Xeranthemum cylindraceum Sm., 1813</v>
      </c>
      <c r="F21685" s="5" t="s">
        <v>28243</v>
      </c>
      <c r="Q21685" s="7" t="str">
        <f>HYPERLINK("#Liste_rouge!A"&amp;_xlfn.XMATCH("LC",Liste_rouge!A:A,2,1),"LC")</f>
        <v>LC</v>
      </c>
      <c r="T21685" s="7" t="str">
        <f>HYPERLINK("#Liste_rouge!A"&amp;_xlfn.XMATCH("EN",Liste_rouge!A:A,2,1),"EN")</f>
        <v>EN</v>
      </c>
      <c r="U21685" s="4" t="str">
        <f>HYPERLINK("#Critères_liste_rouge!A$1","B2ac(iii,iv)")</f>
        <v>B2ac(iii,iv)</v>
      </c>
      <c r="X21685" s="5" t="s">
        <v>374</v>
      </c>
      <c r="AB21685" s="4" t="s">
        <v>93</v>
      </c>
      <c r="AH21685" s="4" t="str">
        <f>HYPERLINK("#Statut_biogéographique!A"&amp;_xlfn.XMATCH("P",Statut_biogéographique!A:A,2,1),"P")</f>
        <v>P</v>
      </c>
      <c r="AM21685" s="4" t="s">
        <v>375</v>
      </c>
      <c r="AN21685" s="4" t="s">
        <v>375</v>
      </c>
      <c r="AO21685" s="4" t="s">
        <v>375</v>
      </c>
      <c r="AP21685" s="4" t="s">
        <v>376</v>
      </c>
      <c r="AR21685" s="4" t="s">
        <v>377</v>
      </c>
    </row>
    <row r="21686" spans="1:44" ht="30">
      <c r="A21686" s="4" t="s">
        <v>24364</v>
      </c>
      <c r="B21686" s="4">
        <v>130520</v>
      </c>
      <c r="D21686" s="5" t="s">
        <v>28244</v>
      </c>
      <c r="E21686" s="6" t="str">
        <f>HYPERLINK("https://inpn.mnhn.fr/espece/cd_nom/130520","Xeranthemum inapertum (L.) Mill., 1768")</f>
        <v>Xeranthemum inapertum (L.) Mill., 1768</v>
      </c>
      <c r="F21686" s="5" t="s">
        <v>28245</v>
      </c>
      <c r="Q21686" s="7" t="str">
        <f>HYPERLINK("#Liste_rouge!A"&amp;_xlfn.XMATCH("LC",Liste_rouge!A:A,2,1),"LC")</f>
        <v>LC</v>
      </c>
      <c r="T21686" s="7" t="str">
        <f>HYPERLINK("#Liste_rouge!A"&amp;_xlfn.XMATCH("NA",Liste_rouge!A:A,2,1),"NA")</f>
        <v>NA</v>
      </c>
      <c r="AH21686" s="4" t="str">
        <f>HYPERLINK("#Statut_biogéographique!A"&amp;_xlfn.XMATCH("P",Statut_biogéographique!A:A,2,1),"P")</f>
        <v>P</v>
      </c>
      <c r="AP21686" s="4" t="s">
        <v>376</v>
      </c>
      <c r="AR21686" s="4" t="s">
        <v>377</v>
      </c>
    </row>
    <row r="21687" spans="1:44">
      <c r="A21687" s="4" t="s">
        <v>24364</v>
      </c>
      <c r="B21687" s="4">
        <v>130581</v>
      </c>
      <c r="D21687" s="5" t="s">
        <v>28246</v>
      </c>
      <c r="E21687" s="6" t="str">
        <f>HYPERLINK("https://inpn.mnhn.fr/espece/cd_nom/130581","Yucca filamentosa L., 1753")</f>
        <v>Yucca filamentosa L., 1753</v>
      </c>
      <c r="F21687" s="5" t="s">
        <v>28247</v>
      </c>
      <c r="O21687" s="7" t="str">
        <f>HYPERLINK("#Liste_rouge!A"&amp;_xlfn.XMATCH("LC",Liste_rouge!A:A,2,1),"LC")</f>
        <v>LC</v>
      </c>
      <c r="Q21687" s="7" t="str">
        <f>HYPERLINK("#Liste_rouge!A"&amp;_xlfn.XMATCH("NA",Liste_rouge!A:A,2,1),"NA")</f>
        <v>NA</v>
      </c>
      <c r="T21687" s="7" t="str">
        <f>HYPERLINK("#Liste_rouge!A"&amp;_xlfn.XMATCH("NA",Liste_rouge!A:A,2,1),"NA")</f>
        <v>NA</v>
      </c>
      <c r="AH21687" s="4" t="str">
        <f>HYPERLINK("#Statut_biogéographique!A"&amp;_xlfn.XMATCH("M",Statut_biogéographique!A:A,2,1),"M")</f>
        <v>M</v>
      </c>
      <c r="AP21687" s="4" t="s">
        <v>376</v>
      </c>
      <c r="AR21687" s="4" t="s">
        <v>377</v>
      </c>
    </row>
    <row r="21688" spans="1:44" ht="30">
      <c r="A21688" s="4" t="s">
        <v>24364</v>
      </c>
      <c r="B21688" s="4">
        <v>130584</v>
      </c>
      <c r="D21688" s="5" t="s">
        <v>28248</v>
      </c>
      <c r="E21688" s="6" t="str">
        <f>HYPERLINK("https://inpn.mnhn.fr/espece/cd_nom/130584","Yucca gloriosa L., 1753")</f>
        <v>Yucca gloriosa L., 1753</v>
      </c>
      <c r="F21688" s="5" t="s">
        <v>28249</v>
      </c>
      <c r="O21688" s="7" t="str">
        <f>HYPERLINK("#Liste_rouge!A"&amp;_xlfn.XMATCH("LC",Liste_rouge!A:A,2,1),"LC")</f>
        <v>LC</v>
      </c>
      <c r="Q21688" s="7" t="str">
        <f>HYPERLINK("#Liste_rouge!A"&amp;_xlfn.XMATCH("NA",Liste_rouge!A:A,2,1),"NA")</f>
        <v>NA</v>
      </c>
      <c r="T21688" s="7" t="str">
        <f>HYPERLINK("#Liste_rouge!A"&amp;_xlfn.XMATCH("NA",Liste_rouge!A:A,2,1),"NA")</f>
        <v>NA</v>
      </c>
      <c r="AH21688" s="4" t="str">
        <f>HYPERLINK("#Statut_biogéographique!A"&amp;_xlfn.XMATCH("I",Statut_biogéographique!A:A,2,1),"I")</f>
        <v>I</v>
      </c>
      <c r="AP21688" s="4" t="s">
        <v>376</v>
      </c>
      <c r="AR21688" s="4" t="s">
        <v>377</v>
      </c>
    </row>
    <row r="21689" spans="1:44" ht="45">
      <c r="A21689" s="4" t="s">
        <v>24364</v>
      </c>
      <c r="B21689" s="4">
        <v>130599</v>
      </c>
      <c r="D21689" s="5" t="s">
        <v>28250</v>
      </c>
      <c r="E21689" s="6" t="str">
        <f>HYPERLINK("https://inpn.mnhn.fr/espece/cd_nom/130599","Zannichellia palustris L., 1753")</f>
        <v>Zannichellia palustris L., 1753</v>
      </c>
      <c r="F21689" s="5" t="s">
        <v>28251</v>
      </c>
      <c r="O21689" s="7" t="str">
        <f>HYPERLINK("#Liste_rouge!A"&amp;_xlfn.XMATCH("LC",Liste_rouge!A:A,2,1),"LC")</f>
        <v>LC</v>
      </c>
      <c r="P21689" s="7" t="str">
        <f>HYPERLINK("#Liste_rouge!A"&amp;_xlfn.XMATCH("LC",Liste_rouge!A:A,2,1),"LC")</f>
        <v>LC</v>
      </c>
      <c r="Q21689" s="7" t="str">
        <f>HYPERLINK("#Liste_rouge!A"&amp;_xlfn.XMATCH("LC",Liste_rouge!A:A,2,1),"LC")</f>
        <v>LC</v>
      </c>
      <c r="T21689" s="7" t="str">
        <f>HYPERLINK("#Liste_rouge!A"&amp;_xlfn.XMATCH("DD",Liste_rouge!A:A,2,1),"DD (cd_nom 142508) - LC (cd_nom 130599)")</f>
        <v>DD (cd_nom 142508) - LC (cd_nom 130599)</v>
      </c>
      <c r="V21689" s="7" t="str">
        <f>HYPERLINK("#Liste_rouge!A"&amp;_xlfn.XMATCH("LC",Liste_rouge!A:A,2,1),"LC")</f>
        <v>LC</v>
      </c>
      <c r="AB21689" s="4" t="s">
        <v>24545</v>
      </c>
      <c r="AH21689" s="4" t="str">
        <f>HYPERLINK("#Statut_biogéographique!A"&amp;_xlfn.XMATCH("P",Statut_biogéographique!A:A,2,1),"P")</f>
        <v>P</v>
      </c>
      <c r="AM21689" s="4" t="s">
        <v>375</v>
      </c>
      <c r="AN21689" s="4" t="s">
        <v>375</v>
      </c>
      <c r="AO21689" s="4" t="s">
        <v>375</v>
      </c>
      <c r="AP21689" s="4" t="s">
        <v>376</v>
      </c>
      <c r="AR21689" s="4" t="s">
        <v>377</v>
      </c>
    </row>
    <row r="21690" spans="1:44" ht="30">
      <c r="A21690" s="4" t="s">
        <v>24364</v>
      </c>
      <c r="B21690" s="4">
        <v>130601</v>
      </c>
      <c r="D21690" s="5" t="s">
        <v>28252</v>
      </c>
      <c r="E21690" s="6" t="str">
        <f>HYPERLINK("https://inpn.mnhn.fr/espece/cd_nom/130601","Zannichellia pedunculata Rchb., 1829")</f>
        <v>Zannichellia pedunculata Rchb., 1829</v>
      </c>
      <c r="F21690" s="5" t="s">
        <v>28253</v>
      </c>
      <c r="Q21690" s="7" t="str">
        <f>HYPERLINK("#Liste_rouge!A"&amp;_xlfn.XMATCH("LC",Liste_rouge!A:A,2,1),"LC")</f>
        <v>LC</v>
      </c>
      <c r="T21690" s="7" t="str">
        <f>HYPERLINK("#Liste_rouge!A"&amp;_xlfn.XMATCH("DD",Liste_rouge!A:A,2,1),"DD")</f>
        <v>DD</v>
      </c>
      <c r="AH21690" s="4" t="str">
        <f>HYPERLINK("#Statut_biogéographique!A"&amp;_xlfn.XMATCH("P",Statut_biogéographique!A:A,2,1),"P")</f>
        <v>P</v>
      </c>
      <c r="AM21690" s="4" t="s">
        <v>375</v>
      </c>
      <c r="AN21690" s="4" t="s">
        <v>375</v>
      </c>
      <c r="AO21690" s="4" t="s">
        <v>375</v>
      </c>
      <c r="AP21690" s="4" t="s">
        <v>376</v>
      </c>
      <c r="AR21690" s="4" t="s">
        <v>377</v>
      </c>
    </row>
    <row r="21691" spans="1:44" ht="30">
      <c r="A21691" s="4" t="s">
        <v>24364</v>
      </c>
      <c r="B21691" s="4">
        <v>130605</v>
      </c>
      <c r="D21691" s="5" t="s">
        <v>28254</v>
      </c>
      <c r="E21691" s="6" t="str">
        <f>HYPERLINK("https://inpn.mnhn.fr/espece/cd_nom/130605","Zantedeschia aethiopica (L.) Spreng., 1826")</f>
        <v>Zantedeschia aethiopica (L.) Spreng., 1826</v>
      </c>
      <c r="F21691" s="5" t="s">
        <v>28255</v>
      </c>
      <c r="O21691" s="7" t="str">
        <f>HYPERLINK("#Liste_rouge!A"&amp;_xlfn.XMATCH("LC",Liste_rouge!A:A,2,1),"LC")</f>
        <v>LC</v>
      </c>
      <c r="Q21691" s="7" t="str">
        <f>HYPERLINK("#Liste_rouge!A"&amp;_xlfn.XMATCH("NA",Liste_rouge!A:A,2,1),"NA")</f>
        <v>NA</v>
      </c>
      <c r="T21691" s="7" t="str">
        <f>HYPERLINK("#Liste_rouge!A"&amp;_xlfn.XMATCH("NA",Liste_rouge!A:A,2,1),"NA")</f>
        <v>NA</v>
      </c>
      <c r="AH21691" s="4" t="str">
        <f>HYPERLINK("#Statut_biogéographique!A"&amp;_xlfn.XMATCH("I",Statut_biogéographique!A:A,2,1),"I")</f>
        <v>I</v>
      </c>
      <c r="AP21691" s="4" t="s">
        <v>376</v>
      </c>
      <c r="AR21691" s="4" t="s">
        <v>377</v>
      </c>
    </row>
    <row r="21692" spans="1:44" ht="105">
      <c r="A21692" s="4" t="s">
        <v>24364</v>
      </c>
      <c r="B21692" s="4">
        <v>130621</v>
      </c>
      <c r="D21692" s="5" t="s">
        <v>28256</v>
      </c>
      <c r="E21692" s="6" t="str">
        <f>HYPERLINK("https://inpn.mnhn.fr/espece/cd_nom/130621","Zea mays L., 1753")</f>
        <v>Zea mays L., 1753</v>
      </c>
      <c r="F21692" s="5" t="s">
        <v>28257</v>
      </c>
      <c r="Q21692" s="7" t="str">
        <f>HYPERLINK("#Liste_rouge!A"&amp;_xlfn.XMATCH("NA",Liste_rouge!A:A,2,1),"NA")</f>
        <v>NA</v>
      </c>
      <c r="T21692" s="7" t="str">
        <f>HYPERLINK("#Liste_rouge!A"&amp;_xlfn.XMATCH("NA",Liste_rouge!A:A,2,1),"NA")</f>
        <v>NA</v>
      </c>
      <c r="AH21692" s="4" t="str">
        <f>HYPERLINK("#Statut_biogéographique!A"&amp;_xlfn.XMATCH("M",Statut_biogéographique!A:A,2,1),"M")</f>
        <v>M</v>
      </c>
      <c r="AP21692" s="4" t="s">
        <v>376</v>
      </c>
      <c r="AR21692" s="4" t="s">
        <v>377</v>
      </c>
    </row>
    <row r="21693" spans="1:44">
      <c r="A21693" s="4" t="s">
        <v>24364</v>
      </c>
      <c r="B21693" s="4">
        <v>130650</v>
      </c>
      <c r="D21693" s="5" t="s">
        <v>28258</v>
      </c>
      <c r="E21693" s="6" t="str">
        <f>HYPERLINK("https://inpn.mnhn.fr/espece/cd_nom/130650","Zinnia elegans Jacq., 1792 [nom. cons.]")</f>
        <v>Zinnia elegans Jacq., 1792 [nom. cons.]</v>
      </c>
      <c r="F21693" s="5" t="s">
        <v>28259</v>
      </c>
      <c r="Q21693" s="7" t="str">
        <f>HYPERLINK("#Liste_rouge!A"&amp;_xlfn.XMATCH("NA",Liste_rouge!A:A,2,1),"NA")</f>
        <v>NA</v>
      </c>
      <c r="AH21693" s="4" t="str">
        <f>HYPERLINK("#Statut_biogéographique!A"&amp;_xlfn.XMATCH("M",Statut_biogéographique!A:A,2,1),"M")</f>
        <v>M</v>
      </c>
      <c r="AP21693" s="4" t="s">
        <v>376</v>
      </c>
      <c r="AR21693" s="4" t="s">
        <v>377</v>
      </c>
    </row>
    <row r="21694" spans="1:44" ht="30">
      <c r="A21694" s="4" t="s">
        <v>24364</v>
      </c>
      <c r="B21694" s="4">
        <v>130715</v>
      </c>
      <c r="D21694" s="5">
        <v>130715</v>
      </c>
      <c r="E21694" s="6" t="str">
        <f>HYPERLINK("https://inpn.mnhn.fr/espece/cd_nom/130715","Acer opalus subsp. opalus Mill., 1768")</f>
        <v>Acer opalus subsp. opalus Mill., 1768</v>
      </c>
      <c r="F21694" s="5" t="s">
        <v>28260</v>
      </c>
      <c r="Q21694" s="7" t="str">
        <f>HYPERLINK("#Liste_rouge!A"&amp;_xlfn.XMATCH("LC",Liste_rouge!A:A,2,1),"LC")</f>
        <v>LC</v>
      </c>
      <c r="T21694" s="7" t="str">
        <f>HYPERLINK("#Liste_rouge!A"&amp;_xlfn.XMATCH("DD",Liste_rouge!A:A,2,1),"DD")</f>
        <v>DD</v>
      </c>
      <c r="AH21694" s="4" t="str">
        <f>HYPERLINK("#Statut_biogéographique!A"&amp;_xlfn.XMATCH("P",Statut_biogéographique!A:A,2,1),"P")</f>
        <v>P</v>
      </c>
      <c r="AP21694" s="4" t="s">
        <v>376</v>
      </c>
      <c r="AR21694" s="4" t="s">
        <v>377</v>
      </c>
    </row>
    <row r="21695" spans="1:44">
      <c r="A21695" s="4" t="s">
        <v>24364</v>
      </c>
      <c r="B21695" s="4">
        <v>130746</v>
      </c>
      <c r="D21695" s="5">
        <v>130746</v>
      </c>
      <c r="E21695" s="6" t="str">
        <f>HYPERLINK("https://inpn.mnhn.fr/espece/cd_nom/130746","Achillea nobilis subsp. nobilis L., 1753")</f>
        <v>Achillea nobilis subsp. nobilis L., 1753</v>
      </c>
      <c r="F21695" s="5" t="s">
        <v>28261</v>
      </c>
      <c r="T21695" s="7" t="str">
        <f>HYPERLINK("#Liste_rouge!A"&amp;_xlfn.XMATCH("NA",Liste_rouge!A:A,2,1),"NA")</f>
        <v>NA</v>
      </c>
      <c r="AH21695" s="4" t="str">
        <f>HYPERLINK("#Statut_biogéographique!A"&amp;_xlfn.XMATCH("P",Statut_biogéographique!A:A,2,1),"P")</f>
        <v>P</v>
      </c>
      <c r="AP21695" s="4" t="s">
        <v>376</v>
      </c>
      <c r="AR21695" s="4" t="s">
        <v>377</v>
      </c>
    </row>
    <row r="21696" spans="1:44" ht="30">
      <c r="A21696" s="4" t="s">
        <v>24364</v>
      </c>
      <c r="B21696" s="4">
        <v>130749</v>
      </c>
      <c r="D21696" s="5" t="s">
        <v>28262</v>
      </c>
      <c r="E21696" s="6" t="str">
        <f>HYPERLINK("https://inpn.mnhn.fr/espece/cd_nom/130749","Achillea ptarmica subsp. ptarmica L., 1753")</f>
        <v>Achillea ptarmica subsp. ptarmica L., 1753</v>
      </c>
      <c r="F21696" s="5" t="s">
        <v>28263</v>
      </c>
      <c r="Q21696" s="7" t="str">
        <f>HYPERLINK("#Liste_rouge!A"&amp;_xlfn.XMATCH("LC",Liste_rouge!A:A,2,1),"LC")</f>
        <v>LC</v>
      </c>
      <c r="T21696" s="7" t="str">
        <f>HYPERLINK("#Liste_rouge!A"&amp;_xlfn.XMATCH("NE",Liste_rouge!A:A,2,1),"NE")</f>
        <v>NE</v>
      </c>
      <c r="AH21696" s="4" t="str">
        <f>HYPERLINK("#Statut_biogéographique!A"&amp;_xlfn.XMATCH("P",Statut_biogéographique!A:A,2,1),"P")</f>
        <v>P</v>
      </c>
      <c r="AP21696" s="4" t="s">
        <v>376</v>
      </c>
      <c r="AR21696" s="4" t="s">
        <v>377</v>
      </c>
    </row>
    <row r="21697" spans="1:44" ht="90">
      <c r="A21697" s="4" t="s">
        <v>24364</v>
      </c>
      <c r="B21697" s="4">
        <v>130772</v>
      </c>
      <c r="D21697" s="5" t="s">
        <v>28264</v>
      </c>
      <c r="E21697" s="6" t="str">
        <f>HYPERLINK("https://inpn.mnhn.fr/espece/cd_nom/130772","Aconitum lycoctonum subsp. neapolitanum (Ten.) Nyman, 1878")</f>
        <v>Aconitum lycoctonum subsp. neapolitanum (Ten.) Nyman, 1878</v>
      </c>
      <c r="F21697" s="5" t="s">
        <v>28265</v>
      </c>
      <c r="N21697" s="4" t="str">
        <f>HYPERLINK("#Réglementation!A"&amp;_xlfn.XMATCH("V39P1",Réglementation!A:A,2,1),"V39P1")</f>
        <v>V39P1</v>
      </c>
      <c r="Q21697" s="7" t="str">
        <f>HYPERLINK("#Liste_rouge!A"&amp;_xlfn.XMATCH("LC",Liste_rouge!A:A,2,1),"LC")</f>
        <v>LC</v>
      </c>
      <c r="AH21697" s="4" t="str">
        <f>HYPERLINK("#Statut_biogéographique!A"&amp;_xlfn.XMATCH("P",Statut_biogéographique!A:A,2,1),"P")</f>
        <v>P</v>
      </c>
      <c r="AK21697" s="4" t="str">
        <f>HYPERLINK("#Réglementation!A"&amp;_xlfn.XMATCH("V39P6",Réglementation!A:A,2,1),"V39P6")</f>
        <v>V39P6</v>
      </c>
      <c r="AP21697" s="4" t="s">
        <v>376</v>
      </c>
      <c r="AR21697" s="4" t="s">
        <v>377</v>
      </c>
    </row>
    <row r="21698" spans="1:44" ht="60">
      <c r="A21698" s="4" t="s">
        <v>24364</v>
      </c>
      <c r="B21698" s="4">
        <v>130787</v>
      </c>
      <c r="D21698" s="5" t="s">
        <v>28266</v>
      </c>
      <c r="E21698" s="6" t="str">
        <f>HYPERLINK("https://inpn.mnhn.fr/espece/cd_nom/130787","Aconitum napellus subsp. lusitanicum Rouy, 1884")</f>
        <v>Aconitum napellus subsp. lusitanicum Rouy, 1884</v>
      </c>
      <c r="F21698" s="5" t="s">
        <v>28267</v>
      </c>
      <c r="N21698" s="4" t="str">
        <f>HYPERLINK("#Réglementation!A"&amp;_xlfn.XMATCH("V39P1",Réglementation!A:A,2,1),"V39P1")</f>
        <v>V39P1</v>
      </c>
      <c r="Q21698" s="7" t="str">
        <f>HYPERLINK("#Liste_rouge!A"&amp;_xlfn.XMATCH("NT",Liste_rouge!A:A,2,1),"NT")</f>
        <v>NT</v>
      </c>
      <c r="T21698" s="7" t="str">
        <f>HYPERLINK("#Liste_rouge!A"&amp;_xlfn.XMATCH("DD",Liste_rouge!A:A,2,1),"DD")</f>
        <v>DD</v>
      </c>
      <c r="X21698" s="5" t="s">
        <v>374</v>
      </c>
      <c r="AB21698" s="4" t="s">
        <v>93</v>
      </c>
      <c r="AH21698" s="4" t="str">
        <f>HYPERLINK("#Statut_biogéographique!A"&amp;_xlfn.XMATCH("P",Statut_biogéographique!A:A,2,1),"P")</f>
        <v>P</v>
      </c>
      <c r="AK21698" s="4" t="str">
        <f>HYPERLINK("#Réglementation!A"&amp;_xlfn.XMATCH("V39P6",Réglementation!A:A,2,1),"V39P6")</f>
        <v>V39P6</v>
      </c>
      <c r="AP21698" s="4" t="s">
        <v>376</v>
      </c>
      <c r="AR21698" s="4" t="s">
        <v>377</v>
      </c>
    </row>
    <row r="21699" spans="1:44" ht="45">
      <c r="A21699" s="4" t="s">
        <v>24364</v>
      </c>
      <c r="B21699" s="4">
        <v>130792</v>
      </c>
      <c r="D21699" s="5" t="s">
        <v>28268</v>
      </c>
      <c r="E21699" s="6" t="str">
        <f>HYPERLINK("https://inpn.mnhn.fr/espece/cd_nom/130792","Aconitum napellus subsp. vulgare Rouy &amp; Foucaud, 1893")</f>
        <v>Aconitum napellus subsp. vulgare Rouy &amp; Foucaud, 1893</v>
      </c>
      <c r="F21699" s="5" t="s">
        <v>28269</v>
      </c>
      <c r="N21699" s="4" t="str">
        <f>HYPERLINK("#Réglementation!A"&amp;_xlfn.XMATCH("V39P1",Réglementation!A:A,2,1),"V39P1 - V25P1 - V70P1")</f>
        <v>V39P1 - V25P1 - V70P1</v>
      </c>
      <c r="Q21699" s="7" t="str">
        <f>HYPERLINK("#Liste_rouge!A"&amp;_xlfn.XMATCH("LC",Liste_rouge!A:A,2,1),"LC")</f>
        <v>LC</v>
      </c>
      <c r="AH21699" s="4" t="str">
        <f>HYPERLINK("#Statut_biogéographique!A"&amp;_xlfn.XMATCH("P",Statut_biogéographique!A:A,2,1),"P")</f>
        <v>P</v>
      </c>
      <c r="AK21699" s="4" t="str">
        <f>HYPERLINK("#Réglementation!A"&amp;_xlfn.XMATCH("V39P6",Réglementation!A:A,2,1),"V39P6 - V25P1 - V70P1")</f>
        <v>V39P6 - V25P1 - V70P1</v>
      </c>
      <c r="AP21699" s="4" t="s">
        <v>376</v>
      </c>
      <c r="AR21699" s="4" t="s">
        <v>377</v>
      </c>
    </row>
    <row r="21700" spans="1:44" ht="30">
      <c r="A21700" s="4" t="s">
        <v>24364</v>
      </c>
      <c r="B21700" s="4">
        <v>130823</v>
      </c>
      <c r="D21700" s="5" t="s">
        <v>28270</v>
      </c>
      <c r="E21700" s="6" t="str">
        <f>HYPERLINK("https://inpn.mnhn.fr/espece/cd_nom/130823","Adenocarpus complicatus subsp. parvifolius (DC.) García Adá, G.López &amp; P.Vargas, 1996")</f>
        <v>Adenocarpus complicatus subsp. parvifolius (DC.) García Adá, G.López &amp; P.Vargas, 1996</v>
      </c>
      <c r="F21700" s="5" t="s">
        <v>28271</v>
      </c>
      <c r="M21700" s="4" t="str">
        <f>HYPERLINK("#Réglementation!A"&amp;_xlfn.XMATCH("RV43",Réglementation!A:A,2,1),"RV43")</f>
        <v>RV43</v>
      </c>
      <c r="Q21700" s="7" t="str">
        <f>HYPERLINK("#Liste_rouge!A"&amp;_xlfn.XMATCH("LC",Liste_rouge!A:A,2,1),"LC")</f>
        <v>LC</v>
      </c>
      <c r="T21700" s="7" t="str">
        <f>HYPERLINK("#Liste_rouge!A"&amp;_xlfn.XMATCH("CR",Liste_rouge!A:A,2,1),"CR")</f>
        <v>CR</v>
      </c>
      <c r="U21700" s="4" t="str">
        <f>HYPERLINK("#Critères_liste_rouge!A$1","B1 B2ab(ii,iv,v) C2a(i) D1")</f>
        <v>B1 B2ab(ii,iv,v) C2a(i) D1</v>
      </c>
      <c r="AH21700" s="4" t="str">
        <f>HYPERLINK("#Statut_biogéographique!A"&amp;_xlfn.XMATCH("P",Statut_biogéographique!A:A,2,1),"P")</f>
        <v>P</v>
      </c>
      <c r="AP21700" s="4" t="s">
        <v>376</v>
      </c>
      <c r="AR21700" s="4" t="s">
        <v>377</v>
      </c>
    </row>
    <row r="21701" spans="1:44" ht="30">
      <c r="A21701" s="4" t="s">
        <v>24364</v>
      </c>
      <c r="B21701" s="4">
        <v>130834</v>
      </c>
      <c r="D21701" s="5">
        <v>130834</v>
      </c>
      <c r="E21701" s="6" t="str">
        <f>HYPERLINK("https://inpn.mnhn.fr/espece/cd_nom/130834","Adenostyles alpina subsp. alpina (L.) Bluff &amp; Fingerh., 1825")</f>
        <v>Adenostyles alpina subsp. alpina (L.) Bluff &amp; Fingerh., 1825</v>
      </c>
      <c r="F21701" s="5" t="s">
        <v>28272</v>
      </c>
      <c r="Q21701" s="7" t="str">
        <f>HYPERLINK("#Liste_rouge!A"&amp;_xlfn.XMATCH("LC",Liste_rouge!A:A,2,1),"LC")</f>
        <v>LC</v>
      </c>
      <c r="AH21701" s="4" t="str">
        <f>HYPERLINK("#Statut_biogéographique!A"&amp;_xlfn.XMATCH("P",Statut_biogéographique!A:A,2,1),"P")</f>
        <v>P</v>
      </c>
      <c r="AP21701" s="4" t="s">
        <v>376</v>
      </c>
      <c r="AR21701" s="4" t="s">
        <v>377</v>
      </c>
    </row>
    <row r="21702" spans="1:44" ht="45">
      <c r="A21702" s="4" t="s">
        <v>24364</v>
      </c>
      <c r="B21702" s="4">
        <v>130873</v>
      </c>
      <c r="D21702" s="5" t="s">
        <v>28273</v>
      </c>
      <c r="E21702" s="6" t="str">
        <f>HYPERLINK("https://inpn.mnhn.fr/espece/cd_nom/130873","Aethusa cynapium subsp. cynapium L., 1753")</f>
        <v>Aethusa cynapium subsp. cynapium L., 1753</v>
      </c>
      <c r="F21702" s="5" t="s">
        <v>28274</v>
      </c>
      <c r="Q21702" s="7" t="str">
        <f>HYPERLINK("#Liste_rouge!A"&amp;_xlfn.XMATCH("LC",Liste_rouge!A:A,2,1),"LC")</f>
        <v>LC</v>
      </c>
      <c r="T21702" s="7" t="str">
        <f>HYPERLINK("#Liste_rouge!A"&amp;_xlfn.XMATCH("LC",Liste_rouge!A:A,2,1),"LC")</f>
        <v>LC</v>
      </c>
      <c r="AH21702" s="4" t="str">
        <f>HYPERLINK("#Statut_biogéographique!A"&amp;_xlfn.XMATCH("P",Statut_biogéographique!A:A,2,1),"P")</f>
        <v>P</v>
      </c>
      <c r="AP21702" s="4" t="s">
        <v>376</v>
      </c>
      <c r="AR21702" s="4" t="s">
        <v>377</v>
      </c>
    </row>
    <row r="21703" spans="1:44" ht="30">
      <c r="A21703" s="4" t="s">
        <v>24364</v>
      </c>
      <c r="B21703" s="4">
        <v>130876</v>
      </c>
      <c r="D21703" s="5">
        <v>130876</v>
      </c>
      <c r="E21703" s="6" t="str">
        <f>HYPERLINK("https://inpn.mnhn.fr/espece/cd_nom/130876","Agrimonia eupatoria subsp. eupatoria L., 1753")</f>
        <v>Agrimonia eupatoria subsp. eupatoria L., 1753</v>
      </c>
      <c r="F21703" s="5" t="s">
        <v>28275</v>
      </c>
      <c r="Q21703" s="7" t="str">
        <f>HYPERLINK("#Liste_rouge!A"&amp;_xlfn.XMATCH("LC",Liste_rouge!A:A,2,1),"LC")</f>
        <v>LC</v>
      </c>
      <c r="T21703" s="7" t="str">
        <f>HYPERLINK("#Liste_rouge!A"&amp;_xlfn.XMATCH("LC",Liste_rouge!A:A,2,1),"LC")</f>
        <v>LC</v>
      </c>
      <c r="AH21703" s="4" t="str">
        <f>HYPERLINK("#Statut_biogéographique!A"&amp;_xlfn.XMATCH("P",Statut_biogéographique!A:A,2,1),"P")</f>
        <v>P</v>
      </c>
      <c r="AP21703" s="4" t="s">
        <v>376</v>
      </c>
      <c r="AR21703" s="4" t="s">
        <v>377</v>
      </c>
    </row>
    <row r="21704" spans="1:44" ht="30">
      <c r="A21704" s="4" t="s">
        <v>24364</v>
      </c>
      <c r="B21704" s="4">
        <v>130877</v>
      </c>
      <c r="D21704" s="5" t="s">
        <v>28276</v>
      </c>
      <c r="E21704" s="6" t="str">
        <f>HYPERLINK("https://inpn.mnhn.fr/espece/cd_nom/130877","Agrimonia eupatoria subsp. grandis (Andrz. ex Asch. &amp; Graebn.) Bornm., 1940")</f>
        <v>Agrimonia eupatoria subsp. grandis (Andrz. ex Asch. &amp; Graebn.) Bornm., 1940</v>
      </c>
      <c r="F21704" s="5" t="s">
        <v>28277</v>
      </c>
      <c r="Q21704" s="7" t="str">
        <f>HYPERLINK("#Liste_rouge!A"&amp;_xlfn.XMATCH("LC",Liste_rouge!A:A,2,1),"LC")</f>
        <v>LC</v>
      </c>
      <c r="AH21704" s="4" t="str">
        <f>HYPERLINK("#Statut_biogéographique!A"&amp;_xlfn.XMATCH("P",Statut_biogéographique!A:A,2,1),"P")</f>
        <v>P</v>
      </c>
      <c r="AP21704" s="4" t="s">
        <v>376</v>
      </c>
      <c r="AR21704" s="4" t="s">
        <v>377</v>
      </c>
    </row>
    <row r="21705" spans="1:44" ht="45">
      <c r="A21705" s="4" t="s">
        <v>24364</v>
      </c>
      <c r="B21705" s="4">
        <v>130953</v>
      </c>
      <c r="D21705" s="5" t="s">
        <v>28278</v>
      </c>
      <c r="E21705" s="6" t="str">
        <f>HYPERLINK("https://inpn.mnhn.fr/espece/cd_nom/130953","Agrostis capillaris var. capillaris L., 1753")</f>
        <v>Agrostis capillaris var. capillaris L., 1753</v>
      </c>
      <c r="F21705" s="5" t="s">
        <v>28279</v>
      </c>
      <c r="T21705" s="7" t="str">
        <f>HYPERLINK("#Liste_rouge!A"&amp;_xlfn.XMATCH("DD",Liste_rouge!A:A,2,1),"DD")</f>
        <v>DD</v>
      </c>
      <c r="AH21705" s="4" t="str">
        <f>HYPERLINK("#Statut_biogéographique!A"&amp;_xlfn.XMATCH("P",Statut_biogéographique!A:A,2,1),"P")</f>
        <v>P</v>
      </c>
      <c r="AP21705" s="4" t="s">
        <v>376</v>
      </c>
      <c r="AR21705" s="4" t="s">
        <v>377</v>
      </c>
    </row>
    <row r="21706" spans="1:44" ht="30">
      <c r="A21706" s="4" t="s">
        <v>24364</v>
      </c>
      <c r="B21706" s="4">
        <v>131033</v>
      </c>
      <c r="D21706" s="5">
        <v>131033</v>
      </c>
      <c r="E21706" s="6" t="str">
        <f>HYPERLINK("https://inpn.mnhn.fr/espece/cd_nom/131033","Ajuga chamaepitys subsp. chamaepitys (L.) Schreb., 1773")</f>
        <v>Ajuga chamaepitys subsp. chamaepitys (L.) Schreb., 1773</v>
      </c>
      <c r="F21706" s="5" t="s">
        <v>28280</v>
      </c>
      <c r="T21706" s="7" t="str">
        <f>HYPERLINK("#Liste_rouge!A"&amp;_xlfn.XMATCH("DD",Liste_rouge!A:A,2,1),"DD")</f>
        <v>DD</v>
      </c>
      <c r="AH21706" s="4" t="str">
        <f>HYPERLINK("#Statut_biogéographique!A"&amp;_xlfn.XMATCH("P",Statut_biogéographique!A:A,2,1),"P")</f>
        <v>P</v>
      </c>
      <c r="AM21706" s="4" t="s">
        <v>375</v>
      </c>
      <c r="AN21706" s="4" t="s">
        <v>375</v>
      </c>
      <c r="AO21706" s="4" t="s">
        <v>375</v>
      </c>
      <c r="AP21706" s="4" t="s">
        <v>376</v>
      </c>
      <c r="AR21706" s="4" t="s">
        <v>377</v>
      </c>
    </row>
    <row r="21707" spans="1:44" ht="30">
      <c r="A21707" s="4" t="s">
        <v>24364</v>
      </c>
      <c r="B21707" s="4">
        <v>131212</v>
      </c>
      <c r="D21707" s="5">
        <v>131212</v>
      </c>
      <c r="E21707" s="6" t="str">
        <f>HYPERLINK("https://inpn.mnhn.fr/espece/cd_nom/131212","Allium sphaerocephalon subsp. sphaerocephalon L., 1753")</f>
        <v>Allium sphaerocephalon subsp. sphaerocephalon L., 1753</v>
      </c>
      <c r="F21707" s="5" t="s">
        <v>28281</v>
      </c>
      <c r="AH21707" s="4" t="str">
        <f>HYPERLINK("#Statut_biogéographique!A"&amp;_xlfn.XMATCH("P",Statut_biogéographique!A:A,2,1),"P")</f>
        <v>P</v>
      </c>
      <c r="AP21707" s="4" t="s">
        <v>376</v>
      </c>
      <c r="AR21707" s="4" t="s">
        <v>377</v>
      </c>
    </row>
    <row r="21708" spans="1:44" ht="30">
      <c r="A21708" s="4" t="s">
        <v>24364</v>
      </c>
      <c r="B21708" s="4">
        <v>131230</v>
      </c>
      <c r="D21708" s="5">
        <v>131230</v>
      </c>
      <c r="E21708" s="6" t="str">
        <f>HYPERLINK("https://inpn.mnhn.fr/espece/cd_nom/131230","Alnus incana subsp. incana (L.) Moench, 1794")</f>
        <v>Alnus incana subsp. incana (L.) Moench, 1794</v>
      </c>
      <c r="F21708" s="5" t="s">
        <v>28282</v>
      </c>
      <c r="T21708" s="7" t="str">
        <f>HYPERLINK("#Liste_rouge!A"&amp;_xlfn.XMATCH("NE",Liste_rouge!A:A,2,1),"NE")</f>
        <v>NE</v>
      </c>
      <c r="AH21708" s="4" t="str">
        <f>HYPERLINK("#Statut_biogéographique!A"&amp;_xlfn.XMATCH("P",Statut_biogéographique!A:A,2,1),"P")</f>
        <v>P</v>
      </c>
      <c r="AP21708" s="4" t="s">
        <v>376</v>
      </c>
      <c r="AR21708" s="4" t="s">
        <v>377</v>
      </c>
    </row>
    <row r="21709" spans="1:44" ht="30">
      <c r="A21709" s="4" t="s">
        <v>24364</v>
      </c>
      <c r="B21709" s="4">
        <v>131242</v>
      </c>
      <c r="D21709" s="5">
        <v>131242</v>
      </c>
      <c r="E21709" s="6" t="str">
        <f>HYPERLINK("https://inpn.mnhn.fr/espece/cd_nom/131242","Alopecurus pratensis subsp. pratensis L., 1753")</f>
        <v>Alopecurus pratensis subsp. pratensis L., 1753</v>
      </c>
      <c r="F21709" s="5" t="s">
        <v>28283</v>
      </c>
      <c r="AH21709" s="4" t="str">
        <f>HYPERLINK("#Statut_biogéographique!A"&amp;_xlfn.XMATCH("P",Statut_biogéographique!A:A,2,1),"P")</f>
        <v>P</v>
      </c>
      <c r="AP21709" s="4" t="s">
        <v>376</v>
      </c>
      <c r="AR21709" s="4" t="s">
        <v>377</v>
      </c>
    </row>
    <row r="21710" spans="1:44" ht="45">
      <c r="A21710" s="4" t="s">
        <v>24364</v>
      </c>
      <c r="B21710" s="4">
        <v>131285</v>
      </c>
      <c r="D21710" s="5" t="s">
        <v>28284</v>
      </c>
      <c r="E21710" s="6" t="str">
        <f>HYPERLINK("https://inpn.mnhn.fr/espece/cd_nom/131285","Amaranthus blitum subsp. blitum L., 1753")</f>
        <v>Amaranthus blitum subsp. blitum L., 1753</v>
      </c>
      <c r="F21710" s="5" t="s">
        <v>28285</v>
      </c>
      <c r="Q21710" s="7" t="str">
        <f>HYPERLINK("#Liste_rouge!A"&amp;_xlfn.XMATCH("LC",Liste_rouge!A:A,2,1),"LC")</f>
        <v>LC</v>
      </c>
      <c r="AH21710" s="4" t="str">
        <f>HYPERLINK("#Statut_biogéographique!A"&amp;_xlfn.XMATCH("P",Statut_biogéographique!A:A,2,1),"P")</f>
        <v>P</v>
      </c>
      <c r="AP21710" s="4" t="s">
        <v>376</v>
      </c>
      <c r="AR21710" s="4" t="s">
        <v>377</v>
      </c>
    </row>
    <row r="21711" spans="1:44" ht="45">
      <c r="A21711" s="4" t="s">
        <v>24364</v>
      </c>
      <c r="B21711" s="4">
        <v>131286</v>
      </c>
      <c r="D21711" s="5" t="s">
        <v>28286</v>
      </c>
      <c r="E21711" s="6" t="str">
        <f>HYPERLINK("https://inpn.mnhn.fr/espece/cd_nom/131286","Amaranthus blitum subsp. emarginatus (Salzm. ex Uline &amp; W.L.Bray) Carretero, Muñoz Garm. &amp; Pedrol, 1987")</f>
        <v>Amaranthus blitum subsp. emarginatus (Salzm. ex Uline &amp; W.L.Bray) Carretero, Muñoz Garm. &amp; Pedrol, 1987</v>
      </c>
      <c r="F21711" s="5" t="s">
        <v>28287</v>
      </c>
      <c r="Q21711" s="7" t="str">
        <f>HYPERLINK("#Liste_rouge!A"&amp;_xlfn.XMATCH("LC",Liste_rouge!A:A,2,1),"LC")</f>
        <v>LC</v>
      </c>
      <c r="T21711" s="7" t="str">
        <f>HYPERLINK("#Liste_rouge!A"&amp;_xlfn.XMATCH("NA",Liste_rouge!A:A,2,1),"NA")</f>
        <v>NA</v>
      </c>
      <c r="AH21711" s="4" t="str">
        <f>HYPERLINK("#Statut_biogéographique!A"&amp;_xlfn.XMATCH("I",Statut_biogéographique!A:A,2,1),"I")</f>
        <v>I</v>
      </c>
      <c r="AP21711" s="4" t="s">
        <v>376</v>
      </c>
      <c r="AR21711" s="4" t="s">
        <v>377</v>
      </c>
    </row>
    <row r="21712" spans="1:44" ht="30">
      <c r="A21712" s="4" t="s">
        <v>24364</v>
      </c>
      <c r="B21712" s="4">
        <v>131292</v>
      </c>
      <c r="D21712" s="5" t="s">
        <v>28288</v>
      </c>
      <c r="E21712" s="6" t="str">
        <f>HYPERLINK("https://inpn.mnhn.fr/espece/cd_nom/131292","Amaranthus graecizans subsp. silvestris (Vill.) Brenan, 1961")</f>
        <v>Amaranthus graecizans subsp. silvestris (Vill.) Brenan, 1961</v>
      </c>
      <c r="F21712" s="5" t="s">
        <v>28289</v>
      </c>
      <c r="Q21712" s="7" t="str">
        <f>HYPERLINK("#Liste_rouge!A"&amp;_xlfn.XMATCH("LC",Liste_rouge!A:A,2,1),"LC")</f>
        <v>LC</v>
      </c>
      <c r="T21712" s="7" t="str">
        <f>HYPERLINK("#Liste_rouge!A"&amp;_xlfn.XMATCH("NA",Liste_rouge!A:A,2,1),"NA")</f>
        <v>NA</v>
      </c>
      <c r="AH21712" s="4" t="str">
        <f>HYPERLINK("#Statut_biogéographique!A"&amp;_xlfn.XMATCH("P",Statut_biogéographique!A:A,2,1),"P")</f>
        <v>P</v>
      </c>
      <c r="AP21712" s="4" t="s">
        <v>376</v>
      </c>
      <c r="AR21712" s="4" t="s">
        <v>377</v>
      </c>
    </row>
    <row r="21713" spans="1:44" ht="30">
      <c r="A21713" s="4" t="s">
        <v>24364</v>
      </c>
      <c r="B21713" s="4">
        <v>131308</v>
      </c>
      <c r="D21713" s="5" t="s">
        <v>28290</v>
      </c>
      <c r="E21713" s="6" t="str">
        <f>HYPERLINK("https://inpn.mnhn.fr/espece/cd_nom/131308","Amelanchier ovalis subsp. ovalis Medik., 1793")</f>
        <v>Amelanchier ovalis subsp. ovalis Medik., 1793</v>
      </c>
      <c r="F21713" s="5" t="s">
        <v>28291</v>
      </c>
      <c r="AH21713" s="4" t="str">
        <f>HYPERLINK("#Statut_biogéographique!A"&amp;_xlfn.XMATCH("P",Statut_biogéographique!A:A,2,1),"P")</f>
        <v>P</v>
      </c>
      <c r="AP21713" s="4" t="s">
        <v>376</v>
      </c>
      <c r="AR21713" s="4" t="s">
        <v>377</v>
      </c>
    </row>
    <row r="21714" spans="1:44" ht="45">
      <c r="A21714" s="4" t="s">
        <v>24364</v>
      </c>
      <c r="B21714" s="4">
        <v>131419</v>
      </c>
      <c r="D21714" s="5">
        <v>131419</v>
      </c>
      <c r="E21714" s="6" t="str">
        <f>HYPERLINK("https://inpn.mnhn.fr/espece/cd_nom/131419","Anthemis arvensis subsp. arvensis L., 1753")</f>
        <v>Anthemis arvensis subsp. arvensis L., 1753</v>
      </c>
      <c r="F21714" s="5" t="s">
        <v>28292</v>
      </c>
      <c r="Q21714" s="7" t="str">
        <f>HYPERLINK("#Liste_rouge!A"&amp;_xlfn.XMATCH("LC",Liste_rouge!A:A,2,1),"LC")</f>
        <v>LC</v>
      </c>
      <c r="AH21714" s="4" t="str">
        <f>HYPERLINK("#Statut_biogéographique!A"&amp;_xlfn.XMATCH("P",Statut_biogéographique!A:A,2,1),"P")</f>
        <v>P</v>
      </c>
      <c r="AP21714" s="4" t="s">
        <v>376</v>
      </c>
      <c r="AR21714" s="4" t="s">
        <v>377</v>
      </c>
    </row>
    <row r="21715" spans="1:44" ht="30">
      <c r="A21715" s="4" t="s">
        <v>24364</v>
      </c>
      <c r="B21715" s="4">
        <v>131432</v>
      </c>
      <c r="D21715" s="5" t="s">
        <v>28293</v>
      </c>
      <c r="E21715" s="6" t="str">
        <f>HYPERLINK("https://inpn.mnhn.fr/espece/cd_nom/131432","Anthemis cretica subsp. saxatilis (DC. ex Willd.) R.Fern., 1975")</f>
        <v>Anthemis cretica subsp. saxatilis (DC. ex Willd.) R.Fern., 1975</v>
      </c>
      <c r="F21715" s="5" t="s">
        <v>28294</v>
      </c>
      <c r="Q21715" s="7" t="str">
        <f>HYPERLINK("#Liste_rouge!A"&amp;_xlfn.XMATCH("LC",Liste_rouge!A:A,2,1),"LC")</f>
        <v>LC</v>
      </c>
      <c r="T21715" s="7" t="str">
        <f>HYPERLINK("#Liste_rouge!A"&amp;_xlfn.XMATCH("CR",Liste_rouge!A:A,2,1),"CR")</f>
        <v>CR</v>
      </c>
      <c r="U21715" s="4" t="str">
        <f>HYPERLINK("#Critères_liste_rouge!A$1","B1 B2ab(i,ii,iv)")</f>
        <v>B1 B2ab(i,ii,iv)</v>
      </c>
      <c r="AH21715" s="4" t="str">
        <f>HYPERLINK("#Statut_biogéographique!A"&amp;_xlfn.XMATCH("P",Statut_biogéographique!A:A,2,1),"P")</f>
        <v>P</v>
      </c>
      <c r="AP21715" s="4" t="s">
        <v>376</v>
      </c>
      <c r="AR21715" s="4" t="s">
        <v>377</v>
      </c>
    </row>
    <row r="21716" spans="1:44" ht="30">
      <c r="A21716" s="4" t="s">
        <v>24364</v>
      </c>
      <c r="B21716" s="4">
        <v>131460</v>
      </c>
      <c r="D21716" s="5" t="s">
        <v>28295</v>
      </c>
      <c r="E21716" s="6" t="str">
        <f>HYPERLINK("https://inpn.mnhn.fr/espece/cd_nom/131460","Anthriscus sylvestris subsp. sylvestris (L.) Hoffm., 1814")</f>
        <v>Anthriscus sylvestris subsp. sylvestris (L.) Hoffm., 1814</v>
      </c>
      <c r="F21716" s="5" t="s">
        <v>28296</v>
      </c>
      <c r="Q21716" s="7" t="str">
        <f>HYPERLINK("#Liste_rouge!A"&amp;_xlfn.XMATCH("LC",Liste_rouge!A:A,2,1),"LC")</f>
        <v>LC</v>
      </c>
      <c r="AH21716" s="4" t="str">
        <f>HYPERLINK("#Statut_biogéographique!A"&amp;_xlfn.XMATCH("P",Statut_biogéographique!A:A,2,1),"P")</f>
        <v>P</v>
      </c>
      <c r="AP21716" s="4" t="s">
        <v>376</v>
      </c>
      <c r="AR21716" s="4" t="s">
        <v>377</v>
      </c>
    </row>
    <row r="21717" spans="1:44" ht="30">
      <c r="A21717" s="4" t="s">
        <v>24364</v>
      </c>
      <c r="B21717" s="4">
        <v>131465</v>
      </c>
      <c r="D21717" s="5" t="s">
        <v>28297</v>
      </c>
      <c r="E21717" s="6" t="str">
        <f>HYPERLINK("https://inpn.mnhn.fr/espece/cd_nom/131465","Anthyllis montana subsp. montana L., 1753")</f>
        <v>Anthyllis montana subsp. montana L., 1753</v>
      </c>
      <c r="F21717" s="5" t="s">
        <v>28298</v>
      </c>
      <c r="M21717" s="4" t="str">
        <f>HYPERLINK("#Réglementation!A"&amp;_xlfn.XMATCH("RV26",Réglementation!A:A,2,1),"RV26 - RV43")</f>
        <v>RV26 - RV43</v>
      </c>
      <c r="AH21717" s="4" t="str">
        <f>HYPERLINK("#Statut_biogéographique!A"&amp;_xlfn.XMATCH("P",Statut_biogéographique!A:A,2,1),"P")</f>
        <v>P</v>
      </c>
      <c r="AP21717" s="4" t="s">
        <v>376</v>
      </c>
      <c r="AR21717" s="4" t="s">
        <v>377</v>
      </c>
    </row>
    <row r="21718" spans="1:44" ht="60">
      <c r="A21718" s="4" t="s">
        <v>24364</v>
      </c>
      <c r="B21718" s="4">
        <v>131467</v>
      </c>
      <c r="D21718" s="5" t="s">
        <v>28299</v>
      </c>
      <c r="E21718" s="6" t="str">
        <f>HYPERLINK("https://inpn.mnhn.fr/espece/cd_nom/131467","Anthyllis vulneraria subsp. alpestris (Kit. ex Schult.) Asch. &amp; Graebn., 1908")</f>
        <v>Anthyllis vulneraria subsp. alpestris (Kit. ex Schult.) Asch. &amp; Graebn., 1908</v>
      </c>
      <c r="F21718" s="5" t="s">
        <v>28300</v>
      </c>
      <c r="Q21718" s="7" t="str">
        <f>HYPERLINK("#Liste_rouge!A"&amp;_xlfn.XMATCH("LC",Liste_rouge!A:A,2,1),"LC")</f>
        <v>LC</v>
      </c>
      <c r="AH21718" s="4" t="str">
        <f>HYPERLINK("#Statut_biogéographique!A"&amp;_xlfn.XMATCH("P",Statut_biogéographique!A:A,2,1),"P")</f>
        <v>P</v>
      </c>
      <c r="AP21718" s="4" t="s">
        <v>376</v>
      </c>
      <c r="AR21718" s="4" t="s">
        <v>377</v>
      </c>
    </row>
    <row r="21719" spans="1:44" ht="135">
      <c r="A21719" s="4" t="s">
        <v>24364</v>
      </c>
      <c r="B21719" s="4">
        <v>131493</v>
      </c>
      <c r="D21719" s="5" t="s">
        <v>28301</v>
      </c>
      <c r="E21719" s="6" t="str">
        <f>HYPERLINK("https://inpn.mnhn.fr/espece/cd_nom/131493","Anthyllis vulneraria subsp. vulneraria L., 1753")</f>
        <v>Anthyllis vulneraria subsp. vulneraria L., 1753</v>
      </c>
      <c r="F21719" s="5" t="s">
        <v>28302</v>
      </c>
      <c r="Q21719" s="7" t="str">
        <f>HYPERLINK("#Liste_rouge!A"&amp;_xlfn.XMATCH("LC",Liste_rouge!A:A,2,1),"LC")</f>
        <v>LC</v>
      </c>
      <c r="T21719" s="7" t="str">
        <f>HYPERLINK("#Liste_rouge!A"&amp;_xlfn.XMATCH("NA",Liste_rouge!A:A,2,1),"NA (cd_nom 131472) - DD (cd_nom 131485)")</f>
        <v>NA (cd_nom 131472) - DD (cd_nom 131485)</v>
      </c>
      <c r="AH21719" s="4" t="str">
        <f>HYPERLINK("#Statut_biogéographique!A"&amp;_xlfn.XMATCH("P",Statut_biogéographique!A:A,2,1),"P")</f>
        <v>P</v>
      </c>
      <c r="AP21719" s="4" t="s">
        <v>376</v>
      </c>
      <c r="AR21719" s="4" t="s">
        <v>377</v>
      </c>
    </row>
    <row r="21720" spans="1:44" ht="45">
      <c r="A21720" s="4" t="s">
        <v>24364</v>
      </c>
      <c r="B21720" s="4">
        <v>131495</v>
      </c>
      <c r="D21720" s="5">
        <v>131495</v>
      </c>
      <c r="E21720" s="6" t="str">
        <f>HYPERLINK("https://inpn.mnhn.fr/espece/cd_nom/131495","Antinoria agrostidea subsp. agrostidea (DC.) Parl., 1845")</f>
        <v>Antinoria agrostidea subsp. agrostidea (DC.) Parl., 1845</v>
      </c>
      <c r="F21720" s="5" t="s">
        <v>28303</v>
      </c>
      <c r="T21720" s="7" t="str">
        <f>HYPERLINK("#Liste_rouge!A"&amp;_xlfn.XMATCH("NA",Liste_rouge!A:A,2,1),"NA")</f>
        <v>NA</v>
      </c>
      <c r="AH21720" s="4" t="str">
        <f>HYPERLINK("#Statut_biogéographique!A"&amp;_xlfn.XMATCH("P",Statut_biogéographique!A:A,2,1),"P")</f>
        <v>P</v>
      </c>
      <c r="AP21720" s="4" t="s">
        <v>389</v>
      </c>
      <c r="AR21720" s="4" t="s">
        <v>377</v>
      </c>
    </row>
    <row r="21721" spans="1:44" ht="30">
      <c r="A21721" s="4" t="s">
        <v>24364</v>
      </c>
      <c r="B21721" s="4">
        <v>131507</v>
      </c>
      <c r="D21721" s="5">
        <v>131507</v>
      </c>
      <c r="E21721" s="6" t="str">
        <f>HYPERLINK("https://inpn.mnhn.fr/espece/cd_nom/131507","Apera spica-venti subsp. spica-venti (L.) P.Beauv., 1812")</f>
        <v>Apera spica-venti subsp. spica-venti (L.) P.Beauv., 1812</v>
      </c>
      <c r="F21721" s="5" t="s">
        <v>28304</v>
      </c>
      <c r="T21721" s="7" t="str">
        <f>HYPERLINK("#Liste_rouge!A"&amp;_xlfn.XMATCH("DD",Liste_rouge!A:A,2,1),"DD")</f>
        <v>DD</v>
      </c>
      <c r="AH21721" s="4" t="str">
        <f>HYPERLINK("#Statut_biogéographique!A"&amp;_xlfn.XMATCH("P",Statut_biogéographique!A:A,2,1),"P")</f>
        <v>P</v>
      </c>
      <c r="AP21721" s="4" t="s">
        <v>376</v>
      </c>
      <c r="AR21721" s="4" t="s">
        <v>377</v>
      </c>
    </row>
    <row r="21722" spans="1:44" ht="30">
      <c r="A21722" s="4" t="s">
        <v>24364</v>
      </c>
      <c r="B21722" s="4">
        <v>131526</v>
      </c>
      <c r="D21722" s="5">
        <v>131526</v>
      </c>
      <c r="E21722" s="6" t="str">
        <f>HYPERLINK("https://inpn.mnhn.fr/espece/cd_nom/131526","Aquilegia vulgaris subsp. vulgaris L., 1753")</f>
        <v>Aquilegia vulgaris subsp. vulgaris L., 1753</v>
      </c>
      <c r="F21722" s="5" t="s">
        <v>28305</v>
      </c>
      <c r="T21722" s="7" t="str">
        <f>HYPERLINK("#Liste_rouge!A"&amp;_xlfn.XMATCH("LC",Liste_rouge!A:A,2,1),"LC")</f>
        <v>LC</v>
      </c>
      <c r="AH21722" s="4" t="str">
        <f>HYPERLINK("#Statut_biogéographique!A"&amp;_xlfn.XMATCH("P",Statut_biogéographique!A:A,2,1),"P")</f>
        <v>P</v>
      </c>
      <c r="AP21722" s="4" t="s">
        <v>376</v>
      </c>
      <c r="AR21722" s="4" t="s">
        <v>377</v>
      </c>
    </row>
    <row r="21723" spans="1:44" ht="30">
      <c r="A21723" s="4" t="s">
        <v>24364</v>
      </c>
      <c r="B21723" s="4">
        <v>131542</v>
      </c>
      <c r="D21723" s="5" t="s">
        <v>28306</v>
      </c>
      <c r="E21723" s="6" t="str">
        <f>HYPERLINK("https://inpn.mnhn.fr/espece/cd_nom/131542","Arabis collina subsp. rosea (DC.) Minuto, 1992")</f>
        <v>Arabis collina subsp. rosea (DC.) Minuto, 1992</v>
      </c>
      <c r="F21723" s="5" t="s">
        <v>28307</v>
      </c>
      <c r="Q21723" s="7" t="str">
        <f>HYPERLINK("#Liste_rouge!A"&amp;_xlfn.XMATCH("NA",Liste_rouge!A:A,2,1),"NA")</f>
        <v>NA</v>
      </c>
      <c r="AH21723" s="4" t="str">
        <f>HYPERLINK("#Statut_biogéographique!A"&amp;_xlfn.XMATCH("I",Statut_biogéographique!A:A,2,1),"I")</f>
        <v>I</v>
      </c>
      <c r="AM21723" s="4" t="s">
        <v>375</v>
      </c>
      <c r="AN21723" s="4" t="s">
        <v>375</v>
      </c>
      <c r="AO21723" s="4" t="s">
        <v>375</v>
      </c>
      <c r="AP21723" s="4" t="s">
        <v>376</v>
      </c>
      <c r="AR21723" s="4" t="s">
        <v>377</v>
      </c>
    </row>
    <row r="21724" spans="1:44">
      <c r="A21724" s="4" t="s">
        <v>24364</v>
      </c>
      <c r="B21724" s="4">
        <v>131601</v>
      </c>
      <c r="D21724" s="5">
        <v>131601</v>
      </c>
      <c r="E21724" s="6" t="str">
        <f>HYPERLINK("https://inpn.mnhn.fr/espece/cd_nom/131601","Arenaria montana subsp. montana L., 1755")</f>
        <v>Arenaria montana subsp. montana L., 1755</v>
      </c>
      <c r="F21724" s="5" t="s">
        <v>28308</v>
      </c>
      <c r="T21724" s="7" t="str">
        <f>HYPERLINK("#Liste_rouge!A"&amp;_xlfn.XMATCH("NA",Liste_rouge!A:A,2,1),"NA")</f>
        <v>NA</v>
      </c>
      <c r="AH21724" s="4" t="str">
        <f>HYPERLINK("#Statut_biogéographique!A"&amp;_xlfn.XMATCH("P",Statut_biogéographique!A:A,2,1),"P")</f>
        <v>P</v>
      </c>
      <c r="AP21724" s="4" t="s">
        <v>376</v>
      </c>
      <c r="AR21724" s="4" t="s">
        <v>377</v>
      </c>
    </row>
    <row r="21725" spans="1:44" ht="45">
      <c r="A21725" s="4" t="s">
        <v>24364</v>
      </c>
      <c r="B21725" s="4">
        <v>131641</v>
      </c>
      <c r="D21725" s="5" t="s">
        <v>28309</v>
      </c>
      <c r="E21725" s="6" t="str">
        <f>HYPERLINK("https://inpn.mnhn.fr/espece/cd_nom/131641","Armeria arenaria subsp. arenaria (Pers.) Schult., 1820")</f>
        <v>Armeria arenaria subsp. arenaria (Pers.) Schult., 1820</v>
      </c>
      <c r="F21725" s="5" t="s">
        <v>28310</v>
      </c>
      <c r="Q21725" s="7" t="str">
        <f>HYPERLINK("#Liste_rouge!A"&amp;_xlfn.XMATCH("LC",Liste_rouge!A:A,2,1),"LC")</f>
        <v>LC</v>
      </c>
      <c r="T21725" s="7" t="str">
        <f>HYPERLINK("#Liste_rouge!A"&amp;_xlfn.XMATCH("DD",Liste_rouge!A:A,2,1),"DD")</f>
        <v>DD</v>
      </c>
      <c r="AH21725" s="4" t="str">
        <f>HYPERLINK("#Statut_biogéographique!A"&amp;_xlfn.XMATCH("P",Statut_biogéographique!A:A,2,1),"P")</f>
        <v>P</v>
      </c>
      <c r="AP21725" s="4" t="s">
        <v>376</v>
      </c>
      <c r="AR21725" s="4" t="s">
        <v>377</v>
      </c>
    </row>
    <row r="21726" spans="1:44" ht="90">
      <c r="A21726" s="4" t="s">
        <v>24364</v>
      </c>
      <c r="B21726" s="4">
        <v>131692</v>
      </c>
      <c r="D21726" s="5" t="s">
        <v>28311</v>
      </c>
      <c r="E21726" s="6" t="str">
        <f>HYPERLINK("https://inpn.mnhn.fr/espece/cd_nom/131692","Arrhenatherum elatius subsp. bulbosum (Willd.) Schübl. &amp; G.Martens, 1834")</f>
        <v>Arrhenatherum elatius subsp. bulbosum (Willd.) Schübl. &amp; G.Martens, 1834</v>
      </c>
      <c r="F21726" s="5" t="s">
        <v>28312</v>
      </c>
      <c r="Q21726" s="7" t="str">
        <f>HYPERLINK("#Liste_rouge!A"&amp;_xlfn.XMATCH("LC",Liste_rouge!A:A,2,1),"LC")</f>
        <v>LC</v>
      </c>
      <c r="T21726" s="7" t="str">
        <f>HYPERLINK("#Liste_rouge!A"&amp;_xlfn.XMATCH("DD",Liste_rouge!A:A,2,1),"DD")</f>
        <v>DD</v>
      </c>
      <c r="AH21726" s="4" t="str">
        <f>HYPERLINK("#Statut_biogéographique!A"&amp;_xlfn.XMATCH("C",Statut_biogéographique!A:A,2,1),"C")</f>
        <v>C</v>
      </c>
      <c r="AI21726" s="8" t="s">
        <v>28313</v>
      </c>
      <c r="AJ21726" s="4" t="s">
        <v>12248</v>
      </c>
      <c r="AP21726" s="4" t="s">
        <v>376</v>
      </c>
      <c r="AR21726" s="4" t="s">
        <v>377</v>
      </c>
    </row>
    <row r="21727" spans="1:44" ht="30">
      <c r="A21727" s="4" t="s">
        <v>24364</v>
      </c>
      <c r="B21727" s="4">
        <v>131693</v>
      </c>
      <c r="D21727" s="5" t="s">
        <v>28314</v>
      </c>
      <c r="E21727" s="6" t="str">
        <f>HYPERLINK("https://inpn.mnhn.fr/espece/cd_nom/131693","Arrhenatherum elatius subsp. elatius (L.) P.Beauv. ex J.Presl &amp; C.Presl, 1819")</f>
        <v>Arrhenatherum elatius subsp. elatius (L.) P.Beauv. ex J.Presl &amp; C.Presl, 1819</v>
      </c>
      <c r="F21727" s="5" t="s">
        <v>28315</v>
      </c>
      <c r="Q21727" s="7" t="str">
        <f>HYPERLINK("#Liste_rouge!A"&amp;_xlfn.XMATCH("LC",Liste_rouge!A:A,2,1),"LC")</f>
        <v>LC</v>
      </c>
      <c r="T21727" s="7" t="str">
        <f>HYPERLINK("#Liste_rouge!A"&amp;_xlfn.XMATCH("LC",Liste_rouge!A:A,2,1),"LC")</f>
        <v>LC</v>
      </c>
      <c r="AH21727" s="4" t="str">
        <f>HYPERLINK("#Statut_biogéographique!A"&amp;_xlfn.XMATCH("P",Statut_biogéographique!A:A,2,1),"P")</f>
        <v>P</v>
      </c>
      <c r="AP21727" s="4" t="s">
        <v>376</v>
      </c>
      <c r="AR21727" s="4" t="s">
        <v>377</v>
      </c>
    </row>
    <row r="21728" spans="1:44" ht="30">
      <c r="A21728" s="4" t="s">
        <v>24364</v>
      </c>
      <c r="B21728" s="4">
        <v>131709</v>
      </c>
      <c r="D21728" s="5" t="s">
        <v>28316</v>
      </c>
      <c r="E21728" s="6" t="str">
        <f>HYPERLINK("https://inpn.mnhn.fr/espece/cd_nom/131709","Artemisia caerulescens subsp. gallica (Willd.) K.Perss., 1974")</f>
        <v>Artemisia caerulescens subsp. gallica (Willd.) K.Perss., 1974</v>
      </c>
      <c r="F21728" s="5" t="s">
        <v>28317</v>
      </c>
      <c r="Q21728" s="7" t="str">
        <f>HYPERLINK("#Liste_rouge!A"&amp;_xlfn.XMATCH("LC",Liste_rouge!A:A,2,1),"LC")</f>
        <v>LC</v>
      </c>
      <c r="T21728" s="7" t="str">
        <f>HYPERLINK("#Liste_rouge!A"&amp;_xlfn.XMATCH("NA",Liste_rouge!A:A,2,1),"NA")</f>
        <v>NA</v>
      </c>
      <c r="AH21728" s="4" t="str">
        <f>HYPERLINK("#Statut_biogéographique!A"&amp;_xlfn.XMATCH("P",Statut_biogéographique!A:A,2,1),"P")</f>
        <v>P</v>
      </c>
      <c r="AP21728" s="4" t="s">
        <v>376</v>
      </c>
      <c r="AR21728" s="4" t="s">
        <v>377</v>
      </c>
    </row>
    <row r="21729" spans="1:44" ht="30">
      <c r="A21729" s="4" t="s">
        <v>24364</v>
      </c>
      <c r="B21729" s="4">
        <v>131756</v>
      </c>
      <c r="D21729" s="5" t="s">
        <v>28318</v>
      </c>
      <c r="E21729" s="6" t="str">
        <f>HYPERLINK("https://inpn.mnhn.fr/espece/cd_nom/131756","Asparagus officinalis subsp. officinalis L., 1753")</f>
        <v>Asparagus officinalis subsp. officinalis L., 1753</v>
      </c>
      <c r="F21729" s="5" t="s">
        <v>28319</v>
      </c>
      <c r="Q21729" s="7" t="str">
        <f>HYPERLINK("#Liste_rouge!A"&amp;_xlfn.XMATCH("LC",Liste_rouge!A:A,2,1),"LC")</f>
        <v>LC</v>
      </c>
      <c r="T21729" s="7" t="str">
        <f>HYPERLINK("#Liste_rouge!A"&amp;_xlfn.XMATCH("LC",Liste_rouge!A:A,2,1),"LC")</f>
        <v>LC</v>
      </c>
      <c r="AH21729" s="4" t="str">
        <f>HYPERLINK("#Statut_biogéographique!A"&amp;_xlfn.XMATCH("I",Statut_biogéographique!A:A,2,1),"I")</f>
        <v>I</v>
      </c>
      <c r="AP21729" s="4" t="s">
        <v>376</v>
      </c>
      <c r="AR21729" s="4" t="s">
        <v>377</v>
      </c>
    </row>
    <row r="21730" spans="1:44">
      <c r="A21730" s="4" t="s">
        <v>24364</v>
      </c>
      <c r="B21730" s="4">
        <v>131812</v>
      </c>
      <c r="D21730" s="5">
        <v>131812</v>
      </c>
      <c r="E21730" s="6" t="str">
        <f>HYPERLINK("https://inpn.mnhn.fr/espece/cd_nom/131812","Asplenium ceterach subsp. ceterach L., 1753")</f>
        <v>Asplenium ceterach subsp. ceterach L., 1753</v>
      </c>
      <c r="F21730" s="5" t="s">
        <v>28320</v>
      </c>
      <c r="T21730" s="7" t="str">
        <f>HYPERLINK("#Liste_rouge!A"&amp;_xlfn.XMATCH("DD",Liste_rouge!A:A,2,1),"DD")</f>
        <v>DD</v>
      </c>
      <c r="AH21730" s="4" t="str">
        <f>HYPERLINK("#Statut_biogéographique!A"&amp;_xlfn.XMATCH("P",Statut_biogéographique!A:A,2,1),"P")</f>
        <v>P</v>
      </c>
      <c r="AP21730" s="4" t="s">
        <v>376</v>
      </c>
      <c r="AR21730" s="4" t="s">
        <v>377</v>
      </c>
    </row>
    <row r="21731" spans="1:44" ht="30">
      <c r="A21731" s="4" t="s">
        <v>24364</v>
      </c>
      <c r="B21731" s="4">
        <v>131815</v>
      </c>
      <c r="D21731" s="5">
        <v>131815</v>
      </c>
      <c r="E21731" s="6" t="str">
        <f>HYPERLINK("https://inpn.mnhn.fr/espece/cd_nom/131815","Asplenium fontanum subsp. fontanum (L.) Bernh., 1799")</f>
        <v>Asplenium fontanum subsp. fontanum (L.) Bernh., 1799</v>
      </c>
      <c r="F21731" s="5" t="s">
        <v>28321</v>
      </c>
      <c r="T21731" s="7" t="str">
        <f>HYPERLINK("#Liste_rouge!A"&amp;_xlfn.XMATCH("DD",Liste_rouge!A:A,2,1),"DD")</f>
        <v>DD</v>
      </c>
      <c r="AH21731" s="4" t="str">
        <f>HYPERLINK("#Statut_biogéographique!A"&amp;_xlfn.XMATCH("P",Statut_biogéographique!A:A,2,1),"P")</f>
        <v>P</v>
      </c>
      <c r="AP21731" s="4" t="s">
        <v>376</v>
      </c>
      <c r="AR21731" s="4" t="s">
        <v>377</v>
      </c>
    </row>
    <row r="21732" spans="1:44" ht="45">
      <c r="A21732" s="4" t="s">
        <v>24364</v>
      </c>
      <c r="B21732" s="4">
        <v>131829</v>
      </c>
      <c r="D21732" s="5" t="s">
        <v>28322</v>
      </c>
      <c r="E21732" s="6" t="str">
        <f>HYPERLINK("https://inpn.mnhn.fr/espece/cd_nom/131829","Asplenium obovatum subsp. billotii (F.W.Schultz) O.Bolòs, Vigo, Massales &amp; Ninot, 1990")</f>
        <v>Asplenium obovatum subsp. billotii (F.W.Schultz) O.Bolòs, Vigo, Massales &amp; Ninot, 1990</v>
      </c>
      <c r="F21732" s="5" t="s">
        <v>28323</v>
      </c>
      <c r="M21732" s="4" t="str">
        <f>HYPERLINK("#Réglementation!A"&amp;_xlfn.XMATCH("RV26",Réglementation!A:A,2,1),"RV26")</f>
        <v>RV26</v>
      </c>
      <c r="Q21732" s="7" t="str">
        <f>HYPERLINK("#Liste_rouge!A"&amp;_xlfn.XMATCH("LC",Liste_rouge!A:A,2,1),"LC")</f>
        <v>LC</v>
      </c>
      <c r="T21732" s="7" t="str">
        <f>HYPERLINK("#Liste_rouge!A"&amp;_xlfn.XMATCH("DD",Liste_rouge!A:A,2,1),"DD")</f>
        <v>DD</v>
      </c>
      <c r="AH21732" s="4" t="str">
        <f>HYPERLINK("#Statut_biogéographique!A"&amp;_xlfn.XMATCH("P",Statut_biogéographique!A:A,2,1),"P")</f>
        <v>P</v>
      </c>
      <c r="AM21732" s="4" t="s">
        <v>375</v>
      </c>
      <c r="AN21732" s="4" t="s">
        <v>375</v>
      </c>
      <c r="AO21732" s="4" t="s">
        <v>375</v>
      </c>
      <c r="AP21732" s="4" t="s">
        <v>376</v>
      </c>
      <c r="AR21732" s="4" t="s">
        <v>377</v>
      </c>
    </row>
    <row r="21733" spans="1:44" ht="30">
      <c r="A21733" s="4" t="s">
        <v>24364</v>
      </c>
      <c r="B21733" s="4">
        <v>131840</v>
      </c>
      <c r="D21733" s="5">
        <v>131840</v>
      </c>
      <c r="E21733" s="6" t="str">
        <f>HYPERLINK("https://inpn.mnhn.fr/espece/cd_nom/131840","Asplenium ruta-muraria subsp. ruta-muraria L., 1753")</f>
        <v>Asplenium ruta-muraria subsp. ruta-muraria L., 1753</v>
      </c>
      <c r="F21733" s="5" t="s">
        <v>28324</v>
      </c>
      <c r="Q21733" s="7" t="str">
        <f>HYPERLINK("#Liste_rouge!A"&amp;_xlfn.XMATCH("LC",Liste_rouge!A:A,2,1),"LC")</f>
        <v>LC</v>
      </c>
      <c r="T21733" s="7" t="str">
        <f>HYPERLINK("#Liste_rouge!A"&amp;_xlfn.XMATCH("DD",Liste_rouge!A:A,2,1),"DD")</f>
        <v>DD</v>
      </c>
      <c r="AH21733" s="4" t="str">
        <f>HYPERLINK("#Statut_biogéographique!A"&amp;_xlfn.XMATCH("P",Statut_biogéographique!A:A,2,1),"P")</f>
        <v>P</v>
      </c>
      <c r="AP21733" s="4" t="s">
        <v>376</v>
      </c>
      <c r="AR21733" s="4" t="s">
        <v>377</v>
      </c>
    </row>
    <row r="21734" spans="1:44" ht="30">
      <c r="A21734" s="4" t="s">
        <v>24364</v>
      </c>
      <c r="B21734" s="4">
        <v>131846</v>
      </c>
      <c r="D21734" s="5">
        <v>131846</v>
      </c>
      <c r="E21734" s="6" t="str">
        <f>HYPERLINK("https://inpn.mnhn.fr/espece/cd_nom/131846","Asplenium septentrionale subsp. septentrionale (L.) Hoffm., 1796")</f>
        <v>Asplenium septentrionale subsp. septentrionale (L.) Hoffm., 1796</v>
      </c>
      <c r="F21734" s="5" t="s">
        <v>28325</v>
      </c>
      <c r="T21734" s="7" t="str">
        <f>HYPERLINK("#Liste_rouge!A"&amp;_xlfn.XMATCH("DD",Liste_rouge!A:A,2,1),"DD")</f>
        <v>DD</v>
      </c>
      <c r="AH21734" s="4" t="str">
        <f>HYPERLINK("#Statut_biogéographique!A"&amp;_xlfn.XMATCH("P",Statut_biogéographique!A:A,2,1),"P")</f>
        <v>P</v>
      </c>
      <c r="AP21734" s="4" t="s">
        <v>376</v>
      </c>
      <c r="AR21734" s="4" t="s">
        <v>377</v>
      </c>
    </row>
    <row r="21735" spans="1:44" ht="30">
      <c r="A21735" s="4" t="s">
        <v>24364</v>
      </c>
      <c r="B21735" s="4">
        <v>131848</v>
      </c>
      <c r="D21735" s="5" t="s">
        <v>28326</v>
      </c>
      <c r="E21735" s="6" t="str">
        <f>HYPERLINK("https://inpn.mnhn.fr/espece/cd_nom/131848","Asplenium trichomanes subsp. hastatum (Christ) S.Jess., 1995")</f>
        <v>Asplenium trichomanes subsp. hastatum (Christ) S.Jess., 1995</v>
      </c>
      <c r="F21735" s="5" t="s">
        <v>28327</v>
      </c>
      <c r="Q21735" s="7" t="str">
        <f>HYPERLINK("#Liste_rouge!A"&amp;_xlfn.XMATCH("LC",Liste_rouge!A:A,2,1),"LC")</f>
        <v>LC</v>
      </c>
      <c r="T21735" s="7" t="str">
        <f>HYPERLINK("#Liste_rouge!A"&amp;_xlfn.XMATCH("DD",Liste_rouge!A:A,2,1),"DD")</f>
        <v>DD</v>
      </c>
      <c r="AB21735" s="4" t="s">
        <v>28328</v>
      </c>
      <c r="AH21735" s="4" t="str">
        <f>HYPERLINK("#Statut_biogéographique!A"&amp;_xlfn.XMATCH("P",Statut_biogéographique!A:A,2,1),"P")</f>
        <v>P</v>
      </c>
      <c r="AM21735" s="4" t="s">
        <v>375</v>
      </c>
      <c r="AN21735" s="4" t="s">
        <v>375</v>
      </c>
      <c r="AO21735" s="4" t="s">
        <v>375</v>
      </c>
      <c r="AP21735" s="4" t="s">
        <v>376</v>
      </c>
      <c r="AR21735" s="4" t="s">
        <v>377</v>
      </c>
    </row>
    <row r="21736" spans="1:44" ht="30">
      <c r="A21736" s="4" t="s">
        <v>24364</v>
      </c>
      <c r="B21736" s="4">
        <v>131851</v>
      </c>
      <c r="D21736" s="5">
        <v>131851</v>
      </c>
      <c r="E21736" s="6" t="str">
        <f>HYPERLINK("https://inpn.mnhn.fr/espece/cd_nom/131851","Asplenium trichomanes nothosubsp. lovisianum S.Jess., 1995")</f>
        <v>Asplenium trichomanes nothosubsp. lovisianum S.Jess., 1995</v>
      </c>
      <c r="F21736" s="5" t="s">
        <v>28329</v>
      </c>
      <c r="T21736" s="7" t="str">
        <f>HYPERLINK("#Liste_rouge!A"&amp;_xlfn.XMATCH("DD",Liste_rouge!A:A,2,1),"DD")</f>
        <v>DD</v>
      </c>
      <c r="AB21736" s="4" t="s">
        <v>24634</v>
      </c>
      <c r="AH21736" s="4" t="str">
        <f>HYPERLINK("#Statut_biogéographique!A"&amp;_xlfn.XMATCH("P",Statut_biogéographique!A:A,2,1),"P")</f>
        <v>P</v>
      </c>
      <c r="AM21736" s="4" t="s">
        <v>375</v>
      </c>
      <c r="AN21736" s="4" t="s">
        <v>375</v>
      </c>
      <c r="AO21736" s="4" t="s">
        <v>375</v>
      </c>
      <c r="AP21736" s="4" t="s">
        <v>376</v>
      </c>
      <c r="AR21736" s="4" t="s">
        <v>377</v>
      </c>
    </row>
    <row r="21737" spans="1:44" ht="30">
      <c r="A21737" s="4" t="s">
        <v>24364</v>
      </c>
      <c r="B21737" s="4">
        <v>131854</v>
      </c>
      <c r="D21737" s="5" t="s">
        <v>28330</v>
      </c>
      <c r="E21737" s="6" t="str">
        <f>HYPERLINK("https://inpn.mnhn.fr/espece/cd_nom/131854","Asplenium trichomanes nothosubsp. lusaticum (D.E.Mey.) Lawalrée, 1978")</f>
        <v>Asplenium trichomanes nothosubsp. lusaticum (D.E.Mey.) Lawalrée, 1978</v>
      </c>
      <c r="F21737" s="5" t="s">
        <v>28331</v>
      </c>
      <c r="AH21737" s="4" t="str">
        <f>HYPERLINK("#Statut_biogéographique!A"&amp;_xlfn.XMATCH("P",Statut_biogéographique!A:A,2,1),"P")</f>
        <v>P</v>
      </c>
      <c r="AM21737" s="4" t="s">
        <v>375</v>
      </c>
      <c r="AN21737" s="4" t="s">
        <v>375</v>
      </c>
      <c r="AO21737" s="4" t="s">
        <v>375</v>
      </c>
      <c r="AP21737" s="4" t="s">
        <v>376</v>
      </c>
      <c r="AR21737" s="4" t="s">
        <v>377</v>
      </c>
    </row>
    <row r="21738" spans="1:44" ht="30">
      <c r="A21738" s="4" t="s">
        <v>24364</v>
      </c>
      <c r="B21738" s="4">
        <v>131858</v>
      </c>
      <c r="D21738" s="5" t="s">
        <v>28332</v>
      </c>
      <c r="E21738" s="6" t="str">
        <f>HYPERLINK("https://inpn.mnhn.fr/espece/cd_nom/131858","Asplenium trichomanes subsp. pachyrachis (Christ) Lovis &amp; Reichst., 1980")</f>
        <v>Asplenium trichomanes subsp. pachyrachis (Christ) Lovis &amp; Reichst., 1980</v>
      </c>
      <c r="F21738" s="5" t="s">
        <v>28333</v>
      </c>
      <c r="Q21738" s="7" t="str">
        <f>HYPERLINK("#Liste_rouge!A"&amp;_xlfn.XMATCH("LC",Liste_rouge!A:A,2,1),"LC")</f>
        <v>LC</v>
      </c>
      <c r="T21738" s="7" t="str">
        <f>HYPERLINK("#Liste_rouge!A"&amp;_xlfn.XMATCH("DD",Liste_rouge!A:A,2,1),"DD")</f>
        <v>DD</v>
      </c>
      <c r="AH21738" s="4" t="str">
        <f>HYPERLINK("#Statut_biogéographique!A"&amp;_xlfn.XMATCH("P",Statut_biogéographique!A:A,2,1),"P")</f>
        <v>P</v>
      </c>
      <c r="AM21738" s="4" t="s">
        <v>375</v>
      </c>
      <c r="AN21738" s="4" t="s">
        <v>375</v>
      </c>
      <c r="AO21738" s="4" t="s">
        <v>375</v>
      </c>
      <c r="AP21738" s="4" t="s">
        <v>376</v>
      </c>
      <c r="AR21738" s="4" t="s">
        <v>377</v>
      </c>
    </row>
    <row r="21739" spans="1:44" ht="30">
      <c r="A21739" s="4" t="s">
        <v>24364</v>
      </c>
      <c r="B21739" s="4">
        <v>131859</v>
      </c>
      <c r="D21739" s="5" t="s">
        <v>28334</v>
      </c>
      <c r="E21739" s="6" t="str">
        <f>HYPERLINK("https://inpn.mnhn.fr/espece/cd_nom/131859","Asplenium trichomanes subsp. quadrivalens D.E.Mey., 1964")</f>
        <v>Asplenium trichomanes subsp. quadrivalens D.E.Mey., 1964</v>
      </c>
      <c r="F21739" s="5" t="s">
        <v>28335</v>
      </c>
      <c r="Q21739" s="7" t="str">
        <f>HYPERLINK("#Liste_rouge!A"&amp;_xlfn.XMATCH("LC",Liste_rouge!A:A,2,1),"LC")</f>
        <v>LC</v>
      </c>
      <c r="T21739" s="7" t="str">
        <f>HYPERLINK("#Liste_rouge!A"&amp;_xlfn.XMATCH("LC",Liste_rouge!A:A,2,1),"LC")</f>
        <v>LC</v>
      </c>
      <c r="AH21739" s="4" t="str">
        <f>HYPERLINK("#Statut_biogéographique!A"&amp;_xlfn.XMATCH("P",Statut_biogéographique!A:A,2,1),"P")</f>
        <v>P</v>
      </c>
      <c r="AP21739" s="4" t="s">
        <v>376</v>
      </c>
      <c r="AR21739" s="4" t="s">
        <v>377</v>
      </c>
    </row>
    <row r="21740" spans="1:44" ht="30">
      <c r="A21740" s="4" t="s">
        <v>24364</v>
      </c>
      <c r="B21740" s="4">
        <v>131861</v>
      </c>
      <c r="D21740" s="5" t="s">
        <v>28336</v>
      </c>
      <c r="E21740" s="6" t="str">
        <f>HYPERLINK("https://inpn.mnhn.fr/espece/cd_nom/131861","Asplenium trichomanes nothosubsp. staufferi Lovis &amp; Reichst., 1985")</f>
        <v>Asplenium trichomanes nothosubsp. staufferi Lovis &amp; Reichst., 1985</v>
      </c>
      <c r="F21740" s="5" t="s">
        <v>28337</v>
      </c>
      <c r="T21740" s="7" t="str">
        <f>HYPERLINK("#Liste_rouge!A"&amp;_xlfn.XMATCH("NE",Liste_rouge!A:A,2,1),"NE")</f>
        <v>NE</v>
      </c>
      <c r="AH21740" s="4" t="str">
        <f>HYPERLINK("#Statut_biogéographique!A"&amp;_xlfn.XMATCH("P",Statut_biogéographique!A:A,2,1),"P")</f>
        <v>P</v>
      </c>
      <c r="AM21740" s="4" t="s">
        <v>375</v>
      </c>
      <c r="AN21740" s="4" t="s">
        <v>375</v>
      </c>
      <c r="AO21740" s="4" t="s">
        <v>375</v>
      </c>
      <c r="AP21740" s="4" t="s">
        <v>376</v>
      </c>
      <c r="AR21740" s="4" t="s">
        <v>377</v>
      </c>
    </row>
    <row r="21741" spans="1:44" ht="30">
      <c r="A21741" s="4" t="s">
        <v>24364</v>
      </c>
      <c r="B21741" s="4">
        <v>131863</v>
      </c>
      <c r="D21741" s="5" t="s">
        <v>28338</v>
      </c>
      <c r="E21741" s="6" t="str">
        <f>HYPERLINK("https://inpn.mnhn.fr/espece/cd_nom/131863","Asplenium trichomanes subsp. trichomanes L., 1753")</f>
        <v>Asplenium trichomanes subsp. trichomanes L., 1753</v>
      </c>
      <c r="F21741" s="5" t="s">
        <v>28339</v>
      </c>
      <c r="Q21741" s="7" t="str">
        <f>HYPERLINK("#Liste_rouge!A"&amp;_xlfn.XMATCH("LC",Liste_rouge!A:A,2,1),"LC")</f>
        <v>LC</v>
      </c>
      <c r="T21741" s="7" t="str">
        <f>HYPERLINK("#Liste_rouge!A"&amp;_xlfn.XMATCH("LC",Liste_rouge!A:A,2,1),"LC")</f>
        <v>LC</v>
      </c>
      <c r="AH21741" s="4" t="str">
        <f>HYPERLINK("#Statut_biogéographique!A"&amp;_xlfn.XMATCH("P",Statut_biogéographique!A:A,2,1),"P")</f>
        <v>P</v>
      </c>
      <c r="AP21741" s="4" t="s">
        <v>376</v>
      </c>
      <c r="AR21741" s="4" t="s">
        <v>377</v>
      </c>
    </row>
    <row r="21742" spans="1:44" ht="45">
      <c r="A21742" s="4" t="s">
        <v>24364</v>
      </c>
      <c r="B21742" s="4">
        <v>131866</v>
      </c>
      <c r="D21742" s="5" t="s">
        <v>28340</v>
      </c>
      <c r="E21742" s="6" t="str">
        <f>HYPERLINK("https://inpn.mnhn.fr/espece/cd_nom/131866","Asplenium x alternifolium nothosubsp. heufleri (Reichardt) Aizpuru, Catalán &amp; Salvo, 1985")</f>
        <v>Asplenium x alternifolium nothosubsp. heufleri (Reichardt) Aizpuru, Catalán &amp; Salvo, 1985</v>
      </c>
      <c r="F21742" s="5" t="s">
        <v>28341</v>
      </c>
      <c r="AH21742" s="4" t="str">
        <f>HYPERLINK("#Statut_biogéographique!A"&amp;_xlfn.XMATCH("P",Statut_biogéographique!A:A,2,1),"P")</f>
        <v>P</v>
      </c>
      <c r="AP21742" s="4" t="s">
        <v>376</v>
      </c>
      <c r="AR21742" s="4" t="s">
        <v>377</v>
      </c>
    </row>
    <row r="21743" spans="1:44" ht="45">
      <c r="A21743" s="4" t="s">
        <v>24364</v>
      </c>
      <c r="B21743" s="4">
        <v>131867</v>
      </c>
      <c r="D21743" s="5">
        <v>131867</v>
      </c>
      <c r="E21743" s="6" t="str">
        <f>HYPERLINK("https://inpn.mnhn.fr/espece/cd_nom/131867","Asplenium x alternifolium nothosubsp. alternifolium Wulfen, 1781")</f>
        <v>Asplenium x alternifolium nothosubsp. alternifolium Wulfen, 1781</v>
      </c>
      <c r="F21743" s="5" t="s">
        <v>28342</v>
      </c>
      <c r="AH21743" s="4" t="str">
        <f>HYPERLINK("#Statut_biogéographique!A"&amp;_xlfn.XMATCH("P",Statut_biogéographique!A:A,2,1),"P")</f>
        <v>P</v>
      </c>
      <c r="AP21743" s="4" t="s">
        <v>376</v>
      </c>
      <c r="AR21743" s="4" t="s">
        <v>377</v>
      </c>
    </row>
    <row r="21744" spans="1:44" ht="30">
      <c r="A21744" s="4" t="s">
        <v>24364</v>
      </c>
      <c r="B21744" s="4">
        <v>131932</v>
      </c>
      <c r="D21744" s="5" t="s">
        <v>28343</v>
      </c>
      <c r="E21744" s="6" t="str">
        <f>HYPERLINK("https://inpn.mnhn.fr/espece/cd_nom/131932","Astrantia major subsp. involucrata (W.D.J.Koch) Ces., 1844")</f>
        <v>Astrantia major subsp. involucrata (W.D.J.Koch) Ces., 1844</v>
      </c>
      <c r="F21744" s="5" t="s">
        <v>28344</v>
      </c>
      <c r="Q21744" s="7" t="str">
        <f>HYPERLINK("#Liste_rouge!A"&amp;_xlfn.XMATCH("LC",Liste_rouge!A:A,2,1),"LC")</f>
        <v>LC</v>
      </c>
      <c r="AH21744" s="4" t="str">
        <f>HYPERLINK("#Statut_biogéographique!A"&amp;_xlfn.XMATCH("P",Statut_biogéographique!A:A,2,1),"P")</f>
        <v>P</v>
      </c>
      <c r="AM21744" s="4" t="s">
        <v>375</v>
      </c>
      <c r="AN21744" s="4" t="s">
        <v>375</v>
      </c>
      <c r="AO21744" s="4" t="s">
        <v>375</v>
      </c>
      <c r="AP21744" s="4" t="s">
        <v>376</v>
      </c>
      <c r="AR21744" s="4" t="s">
        <v>377</v>
      </c>
    </row>
    <row r="21745" spans="1:44" ht="30">
      <c r="A21745" s="4" t="s">
        <v>24364</v>
      </c>
      <c r="B21745" s="4">
        <v>131933</v>
      </c>
      <c r="D21745" s="5" t="s">
        <v>28345</v>
      </c>
      <c r="E21745" s="6" t="str">
        <f>HYPERLINK("https://inpn.mnhn.fr/espece/cd_nom/131933","Astrantia major subsp. major L., 1753")</f>
        <v>Astrantia major subsp. major L., 1753</v>
      </c>
      <c r="F21745" s="5" t="s">
        <v>28346</v>
      </c>
      <c r="Q21745" s="7" t="str">
        <f>HYPERLINK("#Liste_rouge!A"&amp;_xlfn.XMATCH("LC",Liste_rouge!A:A,2,1),"LC")</f>
        <v>LC</v>
      </c>
      <c r="AH21745" s="4" t="str">
        <f>HYPERLINK("#Statut_biogéographique!A"&amp;_xlfn.XMATCH("P",Statut_biogéographique!A:A,2,1),"P")</f>
        <v>P</v>
      </c>
      <c r="AM21745" s="4" t="s">
        <v>375</v>
      </c>
      <c r="AN21745" s="4" t="s">
        <v>375</v>
      </c>
      <c r="AO21745" s="4" t="s">
        <v>375</v>
      </c>
      <c r="AP21745" s="4" t="s">
        <v>376</v>
      </c>
      <c r="AR21745" s="4" t="s">
        <v>377</v>
      </c>
    </row>
    <row r="21746" spans="1:44">
      <c r="A21746" s="4" t="s">
        <v>24364</v>
      </c>
      <c r="B21746" s="4">
        <v>131985</v>
      </c>
      <c r="D21746" s="5">
        <v>131985</v>
      </c>
      <c r="E21746" s="6" t="str">
        <f>HYPERLINK("https://inpn.mnhn.fr/espece/cd_nom/131985","Avena fatua subsp. fatua L., 1753")</f>
        <v>Avena fatua subsp. fatua L., 1753</v>
      </c>
      <c r="F21746" s="5" t="s">
        <v>28347</v>
      </c>
      <c r="T21746" s="7" t="str">
        <f>HYPERLINK("#Liste_rouge!A"&amp;_xlfn.XMATCH("LC",Liste_rouge!A:A,2,1),"LC")</f>
        <v>LC</v>
      </c>
      <c r="AH21746" s="4" t="str">
        <f>HYPERLINK("#Statut_biogéographique!A"&amp;_xlfn.XMATCH("P",Statut_biogéographique!A:A,2,1),"P")</f>
        <v>P</v>
      </c>
      <c r="AP21746" s="4" t="s">
        <v>376</v>
      </c>
      <c r="AR21746" s="4" t="s">
        <v>377</v>
      </c>
    </row>
    <row r="21747" spans="1:44">
      <c r="A21747" s="4" t="s">
        <v>24364</v>
      </c>
      <c r="B21747" s="4">
        <v>132016</v>
      </c>
      <c r="D21747" s="5" t="s">
        <v>28348</v>
      </c>
      <c r="E21747" s="6" t="str">
        <f>HYPERLINK("https://inpn.mnhn.fr/espece/cd_nom/132016","Avena sativa subsp. sativa L., 1753")</f>
        <v>Avena sativa subsp. sativa L., 1753</v>
      </c>
      <c r="F21747" s="5" t="s">
        <v>28349</v>
      </c>
      <c r="Q21747" s="7" t="str">
        <f>HYPERLINK("#Liste_rouge!A"&amp;_xlfn.XMATCH("NA",Liste_rouge!A:A,2,1),"NA")</f>
        <v>NA</v>
      </c>
      <c r="T21747" s="7" t="str">
        <f>HYPERLINK("#Liste_rouge!A"&amp;_xlfn.XMATCH("NA",Liste_rouge!A:A,2,1),"NA")</f>
        <v>NA</v>
      </c>
      <c r="AH21747" s="4" t="str">
        <f>HYPERLINK("#Statut_biogéographique!A"&amp;_xlfn.XMATCH("M",Statut_biogéographique!A:A,2,1),"M")</f>
        <v>M</v>
      </c>
      <c r="AP21747" s="4" t="s">
        <v>376</v>
      </c>
      <c r="AR21747" s="4" t="s">
        <v>377</v>
      </c>
    </row>
    <row r="21748" spans="1:44">
      <c r="A21748" s="4" t="s">
        <v>24364</v>
      </c>
      <c r="B21748" s="4">
        <v>132033</v>
      </c>
      <c r="D21748" s="5" t="s">
        <v>28350</v>
      </c>
      <c r="E21748" s="6" t="str">
        <f>HYPERLINK("https://inpn.mnhn.fr/espece/cd_nom/132033","Avena sterilis subsp. sterilis L., 1762")</f>
        <v>Avena sterilis subsp. sterilis L., 1762</v>
      </c>
      <c r="F21748" s="5" t="s">
        <v>28351</v>
      </c>
      <c r="Q21748" s="7" t="str">
        <f>HYPERLINK("#Liste_rouge!A"&amp;_xlfn.XMATCH("LC",Liste_rouge!A:A,2,1),"LC")</f>
        <v>LC</v>
      </c>
      <c r="T21748" s="7" t="str">
        <f>HYPERLINK("#Liste_rouge!A"&amp;_xlfn.XMATCH("DD",Liste_rouge!A:A,2,1),"DD")</f>
        <v>DD</v>
      </c>
      <c r="AH21748" s="4" t="str">
        <f>HYPERLINK("#Statut_biogéographique!A"&amp;_xlfn.XMATCH("P",Statut_biogéographique!A:A,2,1),"P")</f>
        <v>P</v>
      </c>
      <c r="AM21748" s="4" t="s">
        <v>375</v>
      </c>
      <c r="AN21748" s="4" t="s">
        <v>375</v>
      </c>
      <c r="AO21748" s="4" t="s">
        <v>375</v>
      </c>
      <c r="AP21748" s="4" t="s">
        <v>376</v>
      </c>
      <c r="AR21748" s="4" t="s">
        <v>377</v>
      </c>
    </row>
    <row r="21749" spans="1:44" ht="30">
      <c r="A21749" s="4" t="s">
        <v>24364</v>
      </c>
      <c r="B21749" s="4">
        <v>132053</v>
      </c>
      <c r="D21749" s="5">
        <v>132053</v>
      </c>
      <c r="E21749" s="6" t="str">
        <f>HYPERLINK("https://inpn.mnhn.fr/espece/cd_nom/132053","Avenula pubescens subsp. pubescens (Huds.) Dumort., 1868")</f>
        <v>Avenula pubescens subsp. pubescens (Huds.) Dumort., 1868</v>
      </c>
      <c r="F21749" s="5" t="s">
        <v>28352</v>
      </c>
      <c r="Q21749" s="7" t="str">
        <f>HYPERLINK("#Liste_rouge!A"&amp;_xlfn.XMATCH("LC",Liste_rouge!A:A,2,1),"LC")</f>
        <v>LC</v>
      </c>
      <c r="T21749" s="7" t="str">
        <f>HYPERLINK("#Liste_rouge!A"&amp;_xlfn.XMATCH("DD",Liste_rouge!A:A,2,1),"DD")</f>
        <v>DD</v>
      </c>
      <c r="AH21749" s="4" t="str">
        <f>HYPERLINK("#Statut_biogéographique!A"&amp;_xlfn.XMATCH("P",Statut_biogéographique!A:A,2,1),"P")</f>
        <v>P</v>
      </c>
      <c r="AP21749" s="4" t="s">
        <v>376</v>
      </c>
      <c r="AR21749" s="4" t="s">
        <v>377</v>
      </c>
    </row>
    <row r="21750" spans="1:44" ht="30">
      <c r="A21750" s="4" t="s">
        <v>24364</v>
      </c>
      <c r="B21750" s="4">
        <v>132060</v>
      </c>
      <c r="D21750" s="5" t="s">
        <v>28353</v>
      </c>
      <c r="E21750" s="6" t="str">
        <f>HYPERLINK("https://inpn.mnhn.fr/espece/cd_nom/132060","Ballota nigra subsp. foetida (Vis.) Hayek, 1929")</f>
        <v>Ballota nigra subsp. foetida (Vis.) Hayek, 1929</v>
      </c>
      <c r="F21750" s="5" t="s">
        <v>28354</v>
      </c>
      <c r="Q21750" s="7" t="str">
        <f>HYPERLINK("#Liste_rouge!A"&amp;_xlfn.XMATCH("LC",Liste_rouge!A:A,2,1),"LC")</f>
        <v>LC</v>
      </c>
      <c r="T21750" s="7" t="str">
        <f>HYPERLINK("#Liste_rouge!A"&amp;_xlfn.XMATCH("LC",Liste_rouge!A:A,2,1),"LC")</f>
        <v>LC</v>
      </c>
      <c r="AB21750" s="4" t="s">
        <v>24447</v>
      </c>
      <c r="AH21750" s="4" t="str">
        <f>HYPERLINK("#Statut_biogéographique!A"&amp;_xlfn.XMATCH("P",Statut_biogéographique!A:A,2,1),"P")</f>
        <v>P</v>
      </c>
      <c r="AM21750" s="4" t="s">
        <v>375</v>
      </c>
      <c r="AN21750" s="4" t="s">
        <v>375</v>
      </c>
      <c r="AO21750" s="4" t="s">
        <v>375</v>
      </c>
      <c r="AP21750" s="4" t="s">
        <v>376</v>
      </c>
      <c r="AR21750" s="4" t="s">
        <v>377</v>
      </c>
    </row>
    <row r="21751" spans="1:44">
      <c r="A21751" s="4" t="s">
        <v>24364</v>
      </c>
      <c r="B21751" s="4">
        <v>132062</v>
      </c>
      <c r="D21751" s="5">
        <v>132062</v>
      </c>
      <c r="E21751" s="6" t="str">
        <f>HYPERLINK("https://inpn.mnhn.fr/espece/cd_nom/132062","Ballota nigra subsp. nigra L., 1753")</f>
        <v>Ballota nigra subsp. nigra L., 1753</v>
      </c>
      <c r="F21751" s="5" t="s">
        <v>28355</v>
      </c>
      <c r="Q21751" s="7" t="str">
        <f>HYPERLINK("#Liste_rouge!A"&amp;_xlfn.XMATCH("NA",Liste_rouge!A:A,2,1),"NA")</f>
        <v>NA</v>
      </c>
      <c r="AH21751" s="4" t="str">
        <f>HYPERLINK("#Statut_biogéographique!A"&amp;_xlfn.XMATCH("I",Statut_biogéographique!A:A,2,1),"I")</f>
        <v>I</v>
      </c>
      <c r="AP21751" s="4" t="s">
        <v>376</v>
      </c>
      <c r="AR21751" s="4" t="s">
        <v>377</v>
      </c>
    </row>
    <row r="21752" spans="1:44" ht="30">
      <c r="A21752" s="4" t="s">
        <v>24364</v>
      </c>
      <c r="B21752" s="4">
        <v>132119</v>
      </c>
      <c r="D21752" s="5" t="s">
        <v>28356</v>
      </c>
      <c r="E21752" s="6" t="str">
        <f>HYPERLINK("https://inpn.mnhn.fr/espece/cd_nom/132119","Beta vulgaris subsp. maritima (L.) Arcang., 1882")</f>
        <v>Beta vulgaris subsp. maritima (L.) Arcang., 1882</v>
      </c>
      <c r="F21752" s="5" t="s">
        <v>28357</v>
      </c>
      <c r="Q21752" s="7" t="str">
        <f>HYPERLINK("#Liste_rouge!A"&amp;_xlfn.XMATCH("LC",Liste_rouge!A:A,2,1),"LC")</f>
        <v>LC</v>
      </c>
      <c r="T21752" s="7" t="str">
        <f>HYPERLINK("#Liste_rouge!A"&amp;_xlfn.XMATCH("NA",Liste_rouge!A:A,2,1),"NA")</f>
        <v>NA</v>
      </c>
      <c r="AH21752" s="4" t="str">
        <f>HYPERLINK("#Statut_biogéographique!A"&amp;_xlfn.XMATCH("P",Statut_biogéographique!A:A,2,1),"P")</f>
        <v>P</v>
      </c>
      <c r="AP21752" s="4" t="s">
        <v>376</v>
      </c>
      <c r="AR21752" s="4" t="s">
        <v>377</v>
      </c>
    </row>
    <row r="21753" spans="1:44" ht="60">
      <c r="A21753" s="4" t="s">
        <v>24364</v>
      </c>
      <c r="B21753" s="4">
        <v>132121</v>
      </c>
      <c r="D21753" s="5" t="s">
        <v>28358</v>
      </c>
      <c r="E21753" s="6" t="str">
        <f>HYPERLINK("https://inpn.mnhn.fr/espece/cd_nom/132121","Beta vulgaris subsp. vulgaris L., 1753")</f>
        <v>Beta vulgaris subsp. vulgaris L., 1753</v>
      </c>
      <c r="F21753" s="5" t="s">
        <v>28359</v>
      </c>
      <c r="Q21753" s="7" t="str">
        <f>HYPERLINK("#Liste_rouge!A"&amp;_xlfn.XMATCH("NA",Liste_rouge!A:A,2,1),"NA")</f>
        <v>NA</v>
      </c>
      <c r="T21753" s="7" t="str">
        <f>HYPERLINK("#Liste_rouge!A"&amp;_xlfn.XMATCH("NA",Liste_rouge!A:A,2,1),"NA")</f>
        <v>NA</v>
      </c>
      <c r="AH21753" s="4" t="str">
        <f>HYPERLINK("#Statut_biogéographique!A"&amp;_xlfn.XMATCH("M",Statut_biogéographique!A:A,2,1),"M")</f>
        <v>M</v>
      </c>
      <c r="AP21753" s="4" t="s">
        <v>376</v>
      </c>
      <c r="AR21753" s="4" t="s">
        <v>377</v>
      </c>
    </row>
    <row r="21754" spans="1:44" ht="30">
      <c r="A21754" s="4" t="s">
        <v>24364</v>
      </c>
      <c r="B21754" s="4">
        <v>132135</v>
      </c>
      <c r="D21754" s="5" t="s">
        <v>28360</v>
      </c>
      <c r="E21754" s="6" t="str">
        <f>HYPERLINK("https://inpn.mnhn.fr/espece/cd_nom/132135","Bidens tripartita subsp. bullata (L.) Rouy, 1903")</f>
        <v>Bidens tripartita subsp. bullata (L.) Rouy, 1903</v>
      </c>
      <c r="F21754" s="5" t="s">
        <v>28361</v>
      </c>
      <c r="Q21754" s="7" t="str">
        <f>HYPERLINK("#Liste_rouge!A"&amp;_xlfn.XMATCH("DD",Liste_rouge!A:A,2,1),"DD")</f>
        <v>DD</v>
      </c>
      <c r="AH21754" s="4" t="str">
        <f>HYPERLINK("#Statut_biogéographique!A"&amp;_xlfn.XMATCH("P",Statut_biogéographique!A:A,2,1),"P")</f>
        <v>P</v>
      </c>
      <c r="AP21754" s="4" t="s">
        <v>376</v>
      </c>
      <c r="AR21754" s="4" t="s">
        <v>377</v>
      </c>
    </row>
    <row r="21755" spans="1:44" ht="30">
      <c r="A21755" s="4" t="s">
        <v>24364</v>
      </c>
      <c r="B21755" s="4">
        <v>132137</v>
      </c>
      <c r="D21755" s="5">
        <v>132137</v>
      </c>
      <c r="E21755" s="6" t="str">
        <f>HYPERLINK("https://inpn.mnhn.fr/espece/cd_nom/132137","Bidens tripartita subsp. tripartita L., 1753")</f>
        <v>Bidens tripartita subsp. tripartita L., 1753</v>
      </c>
      <c r="F21755" s="5" t="s">
        <v>28362</v>
      </c>
      <c r="Q21755" s="7" t="str">
        <f>HYPERLINK("#Liste_rouge!A"&amp;_xlfn.XMATCH("LC",Liste_rouge!A:A,2,1),"LC")</f>
        <v>LC</v>
      </c>
      <c r="T21755" s="7" t="str">
        <f>HYPERLINK("#Liste_rouge!A"&amp;_xlfn.XMATCH("LC",Liste_rouge!A:A,2,1),"LC")</f>
        <v>LC</v>
      </c>
      <c r="AH21755" s="4" t="str">
        <f>HYPERLINK("#Statut_biogéographique!A"&amp;_xlfn.XMATCH("P",Statut_biogéographique!A:A,2,1),"P")</f>
        <v>P</v>
      </c>
      <c r="AP21755" s="4" t="s">
        <v>376</v>
      </c>
      <c r="AR21755" s="4" t="s">
        <v>377</v>
      </c>
    </row>
    <row r="21756" spans="1:44" ht="60">
      <c r="A21756" s="4" t="s">
        <v>24364</v>
      </c>
      <c r="B21756" s="4">
        <v>132159</v>
      </c>
      <c r="D21756" s="5" t="s">
        <v>28363</v>
      </c>
      <c r="E21756" s="6" t="str">
        <f>HYPERLINK("https://inpn.mnhn.fr/espece/cd_nom/132159","Biscutella laevigata subsp. varia (Dumort.) Rouy &amp; Foucaud, 1895")</f>
        <v>Biscutella laevigata subsp. varia (Dumort.) Rouy &amp; Foucaud, 1895</v>
      </c>
      <c r="F21756" s="5" t="s">
        <v>28364</v>
      </c>
      <c r="I21756" s="4" t="str">
        <f>HYPERLINK("#Réglementation!A"&amp;_xlfn.XMATCH("IBE1",Réglementation!A:A,2,1),"IBE1")</f>
        <v>IBE1</v>
      </c>
      <c r="K21756" s="4" t="str">
        <f>HYPERLINK("#Réglementation!A"&amp;_xlfn.XMATCH("CDH2",Réglementation!A:A,2,1),"CDH2 - CDH4")</f>
        <v>CDH2 - CDH4</v>
      </c>
      <c r="L21756" s="4" t="str">
        <f>HYPERLINK("#Réglementation!A"&amp;_xlfn.XMATCH("NV1",Réglementation!A:A,2,1),"NV1")</f>
        <v>NV1</v>
      </c>
      <c r="M21756" s="4" t="str">
        <f>HYPERLINK("#Réglementation!A"&amp;_xlfn.XMATCH("RV26",Réglementation!A:A,2,1),"RV26")</f>
        <v>RV26</v>
      </c>
      <c r="O21756" s="7" t="str">
        <f>HYPERLINK("#Liste_rouge!A"&amp;_xlfn.XMATCH("VU",Liste_rouge!A:A,2,1),"VU")</f>
        <v>VU</v>
      </c>
      <c r="P21756" s="7" t="str">
        <f>HYPERLINK("#Liste_rouge!A"&amp;_xlfn.XMATCH("VU",Liste_rouge!A:A,2,1),"VU")</f>
        <v>VU</v>
      </c>
      <c r="Q21756" s="7" t="str">
        <f>HYPERLINK("#Liste_rouge!A"&amp;_xlfn.XMATCH("DD",Liste_rouge!A:A,2,1),"DD")</f>
        <v>DD</v>
      </c>
      <c r="T21756" s="7" t="str">
        <f>HYPERLINK("#Liste_rouge!A"&amp;_xlfn.XMATCH("CR",Liste_rouge!A:A,2,1),"CR (cd_nom 86029) - DD (cd_nom 132159)")</f>
        <v>CR (cd_nom 86029) - DD (cd_nom 132159)</v>
      </c>
      <c r="U21756" s="4" t="str">
        <f>HYPERLINK("#Critères_liste_rouge!A$1","EN (B1 B2ab(i,ii,iii) C2a(i)) + 1 (cd_nom 86029)")</f>
        <v>EN (B1 B2ab(i,ii,iii) C2a(i)) + 1 (cd_nom 86029)</v>
      </c>
      <c r="AE21756" s="4" t="str">
        <f>HYPERLINK("#SCAP!A"&amp;_xlfn.XMATCH("1+",SCAP!A:A,2,1),"1+")</f>
        <v>1+</v>
      </c>
      <c r="AH21756" s="4" t="str">
        <f>HYPERLINK("#Statut_biogéographique!A"&amp;_xlfn.XMATCH("P",Statut_biogéographique!A:A,2,1),"P")</f>
        <v>P</v>
      </c>
      <c r="AP21756" s="4" t="s">
        <v>376</v>
      </c>
      <c r="AR21756" s="4" t="s">
        <v>377</v>
      </c>
    </row>
    <row r="21757" spans="1:44" ht="30">
      <c r="A21757" s="4" t="s">
        <v>24364</v>
      </c>
      <c r="B21757" s="4">
        <v>132169</v>
      </c>
      <c r="D21757" s="5">
        <v>132169</v>
      </c>
      <c r="E21757" s="6" t="str">
        <f>HYPERLINK("https://inpn.mnhn.fr/espece/cd_nom/132169","Blackstonia perfoliata subsp. perfoliata (L.) Huds., 1762")</f>
        <v>Blackstonia perfoliata subsp. perfoliata (L.) Huds., 1762</v>
      </c>
      <c r="F21757" s="5" t="s">
        <v>28365</v>
      </c>
      <c r="Q21757" s="7" t="str">
        <f>HYPERLINK("#Liste_rouge!A"&amp;_xlfn.XMATCH("LC",Liste_rouge!A:A,2,1),"LC")</f>
        <v>LC</v>
      </c>
      <c r="T21757" s="7" t="str">
        <f>HYPERLINK("#Liste_rouge!A"&amp;_xlfn.XMATCH("DD",Liste_rouge!A:A,2,1),"DD")</f>
        <v>DD</v>
      </c>
      <c r="AH21757" s="4" t="str">
        <f>HYPERLINK("#Statut_biogéographique!A"&amp;_xlfn.XMATCH("P",Statut_biogéographique!A:A,2,1),"P")</f>
        <v>P</v>
      </c>
      <c r="AP21757" s="4" t="s">
        <v>376</v>
      </c>
      <c r="AR21757" s="4" t="s">
        <v>377</v>
      </c>
    </row>
    <row r="21758" spans="1:44" ht="30">
      <c r="A21758" s="4" t="s">
        <v>24364</v>
      </c>
      <c r="B21758" s="4">
        <v>132195</v>
      </c>
      <c r="D21758" s="5">
        <v>132195</v>
      </c>
      <c r="E21758" s="6" t="str">
        <f>HYPERLINK("https://inpn.mnhn.fr/espece/cd_nom/132195","Brassica elongata subsp. elongata Ehrh., 1792")</f>
        <v>Brassica elongata subsp. elongata Ehrh., 1792</v>
      </c>
      <c r="F21758" s="5" t="s">
        <v>28366</v>
      </c>
      <c r="T21758" s="7" t="str">
        <f>HYPERLINK("#Liste_rouge!A"&amp;_xlfn.XMATCH("NA",Liste_rouge!A:A,2,1),"NA")</f>
        <v>NA</v>
      </c>
      <c r="AH21758" s="4" t="str">
        <f>HYPERLINK("#Statut_biogéographique!A"&amp;_xlfn.XMATCH("M",Statut_biogéographique!A:A,2,1),"M")</f>
        <v>M</v>
      </c>
      <c r="AP21758" s="4" t="s">
        <v>376</v>
      </c>
      <c r="AR21758" s="4" t="s">
        <v>377</v>
      </c>
    </row>
    <row r="21759" spans="1:44" ht="30">
      <c r="A21759" s="4" t="s">
        <v>24364</v>
      </c>
      <c r="B21759" s="4">
        <v>132196</v>
      </c>
      <c r="D21759" s="5" t="s">
        <v>28367</v>
      </c>
      <c r="E21759" s="6" t="str">
        <f>HYPERLINK("https://inpn.mnhn.fr/espece/cd_nom/132196","Brassica elongata subsp. integrifolia (Boiss.) Breistr., 1942")</f>
        <v>Brassica elongata subsp. integrifolia (Boiss.) Breistr., 1942</v>
      </c>
      <c r="F21759" s="5" t="s">
        <v>28368</v>
      </c>
      <c r="T21759" s="7" t="str">
        <f>HYPERLINK("#Liste_rouge!A"&amp;_xlfn.XMATCH("NA",Liste_rouge!A:A,2,1),"NA")</f>
        <v>NA</v>
      </c>
      <c r="AH21759" s="4" t="str">
        <f>HYPERLINK("#Statut_biogéographique!A"&amp;_xlfn.XMATCH("P",Statut_biogéographique!A:A,2,1),"P")</f>
        <v>P</v>
      </c>
      <c r="AP21759" s="4" t="s">
        <v>376</v>
      </c>
      <c r="AR21759" s="4" t="s">
        <v>377</v>
      </c>
    </row>
    <row r="21760" spans="1:44" ht="30">
      <c r="A21760" s="4" t="s">
        <v>24364</v>
      </c>
      <c r="B21760" s="4">
        <v>132199</v>
      </c>
      <c r="D21760" s="5" t="s">
        <v>28369</v>
      </c>
      <c r="E21760" s="6" t="str">
        <f>HYPERLINK("https://inpn.mnhn.fr/espece/cd_nom/132199","Brassica napus var. napus L., 1753")</f>
        <v>Brassica napus var. napus L., 1753</v>
      </c>
      <c r="F21760" s="5" t="s">
        <v>28370</v>
      </c>
      <c r="T21760" s="7" t="str">
        <f>HYPERLINK("#Liste_rouge!A"&amp;_xlfn.XMATCH("NA",Liste_rouge!A:A,2,1),"NA")</f>
        <v>NA</v>
      </c>
      <c r="AH21760" s="4" t="str">
        <f>HYPERLINK("#Statut_biogéographique!A"&amp;_xlfn.XMATCH("M",Statut_biogéographique!A:A,2,1),"M")</f>
        <v>M</v>
      </c>
      <c r="AP21760" s="4" t="s">
        <v>376</v>
      </c>
      <c r="AR21760" s="4" t="s">
        <v>377</v>
      </c>
    </row>
    <row r="21761" spans="1:44" ht="30">
      <c r="A21761" s="4" t="s">
        <v>24364</v>
      </c>
      <c r="B21761" s="4">
        <v>132229</v>
      </c>
      <c r="D21761" s="5">
        <v>132229</v>
      </c>
      <c r="E21761" s="6" t="str">
        <f>HYPERLINK("https://inpn.mnhn.fr/espece/cd_nom/132229","Briza media subsp. media L., 1753")</f>
        <v>Briza media subsp. media L., 1753</v>
      </c>
      <c r="F21761" s="5" t="s">
        <v>28371</v>
      </c>
      <c r="T21761" s="7" t="str">
        <f>HYPERLINK("#Liste_rouge!A"&amp;_xlfn.XMATCH("DD",Liste_rouge!A:A,2,1),"DD")</f>
        <v>DD</v>
      </c>
      <c r="AH21761" s="4" t="str">
        <f>HYPERLINK("#Statut_biogéographique!A"&amp;_xlfn.XMATCH("P",Statut_biogéographique!A:A,2,1),"P")</f>
        <v>P</v>
      </c>
      <c r="AP21761" s="4" t="s">
        <v>376</v>
      </c>
      <c r="AR21761" s="4" t="s">
        <v>377</v>
      </c>
    </row>
    <row r="21762" spans="1:44">
      <c r="A21762" s="4" t="s">
        <v>24364</v>
      </c>
      <c r="B21762" s="4">
        <v>132235</v>
      </c>
      <c r="D21762" s="5">
        <v>132235</v>
      </c>
      <c r="E21762" s="6" t="str">
        <f>HYPERLINK("https://inpn.mnhn.fr/espece/cd_nom/132235","Bromus arvensis subsp. arvensis L., 1753")</f>
        <v>Bromus arvensis subsp. arvensis L., 1753</v>
      </c>
      <c r="F21762" s="5" t="s">
        <v>28372</v>
      </c>
      <c r="AH21762" s="4" t="str">
        <f>HYPERLINK("#Statut_biogéographique!A"&amp;_xlfn.XMATCH("P",Statut_biogéographique!A:A,2,1),"P")</f>
        <v>P</v>
      </c>
      <c r="AP21762" s="4" t="s">
        <v>376</v>
      </c>
      <c r="AR21762" s="4" t="s">
        <v>377</v>
      </c>
    </row>
    <row r="21763" spans="1:44" ht="30">
      <c r="A21763" s="4" t="s">
        <v>24364</v>
      </c>
      <c r="B21763" s="4">
        <v>132243</v>
      </c>
      <c r="D21763" s="5" t="s">
        <v>28373</v>
      </c>
      <c r="E21763" s="6" t="str">
        <f>HYPERLINK("https://inpn.mnhn.fr/espece/cd_nom/132243","Bromus commutatus subsp. commutatus Schrad., 1806")</f>
        <v>Bromus commutatus subsp. commutatus Schrad., 1806</v>
      </c>
      <c r="F21763" s="5" t="s">
        <v>28374</v>
      </c>
      <c r="Q21763" s="7" t="str">
        <f>HYPERLINK("#Liste_rouge!A"&amp;_xlfn.XMATCH("LC",Liste_rouge!A:A,2,1),"LC")</f>
        <v>LC</v>
      </c>
      <c r="T21763" s="7" t="str">
        <f>HYPERLINK("#Liste_rouge!A"&amp;_xlfn.XMATCH("LC",Liste_rouge!A:A,2,1),"LC")</f>
        <v>LC</v>
      </c>
      <c r="AH21763" s="4" t="str">
        <f>HYPERLINK("#Statut_biogéographique!A"&amp;_xlfn.XMATCH("P",Statut_biogéographique!A:A,2,1),"P")</f>
        <v>P</v>
      </c>
      <c r="AP21763" s="4" t="s">
        <v>376</v>
      </c>
      <c r="AR21763" s="4" t="s">
        <v>377</v>
      </c>
    </row>
    <row r="21764" spans="1:44" ht="45">
      <c r="A21764" s="4" t="s">
        <v>24364</v>
      </c>
      <c r="B21764" s="4">
        <v>132258</v>
      </c>
      <c r="D21764" s="5" t="s">
        <v>28375</v>
      </c>
      <c r="E21764" s="6" t="str">
        <f>HYPERLINK("https://inpn.mnhn.fr/espece/cd_nom/132258","Bromus hordeaceus subsp. hordeaceus L., 1753")</f>
        <v>Bromus hordeaceus subsp. hordeaceus L., 1753</v>
      </c>
      <c r="F21764" s="5" t="s">
        <v>28376</v>
      </c>
      <c r="Q21764" s="7" t="str">
        <f>HYPERLINK("#Liste_rouge!A"&amp;_xlfn.XMATCH("LC",Liste_rouge!A:A,2,1),"LC")</f>
        <v>LC</v>
      </c>
      <c r="T21764" s="7" t="str">
        <f>HYPERLINK("#Liste_rouge!A"&amp;_xlfn.XMATCH("LC",Liste_rouge!A:A,2,1),"LC")</f>
        <v>LC</v>
      </c>
      <c r="AH21764" s="4" t="str">
        <f>HYPERLINK("#Statut_biogéographique!A"&amp;_xlfn.XMATCH("P",Statut_biogéographique!A:A,2,1),"P")</f>
        <v>P</v>
      </c>
      <c r="AP21764" s="4" t="s">
        <v>376</v>
      </c>
      <c r="AR21764" s="4" t="s">
        <v>377</v>
      </c>
    </row>
    <row r="21765" spans="1:44" ht="75">
      <c r="A21765" s="4" t="s">
        <v>24364</v>
      </c>
      <c r="B21765" s="4">
        <v>132264</v>
      </c>
      <c r="D21765" s="5" t="s">
        <v>28377</v>
      </c>
      <c r="E21765" s="6" t="str">
        <f>HYPERLINK("https://inpn.mnhn.fr/espece/cd_nom/132264","Bromus hordeaceus subsp. thominei (Hardouin) Braun-Blanq., 1929")</f>
        <v>Bromus hordeaceus subsp. thominei (Hardouin) Braun-Blanq., 1929</v>
      </c>
      <c r="F21765" s="5" t="s">
        <v>28378</v>
      </c>
      <c r="Q21765" s="7" t="str">
        <f>HYPERLINK("#Liste_rouge!A"&amp;_xlfn.XMATCH("LC",Liste_rouge!A:A,2,1),"LC")</f>
        <v>LC</v>
      </c>
      <c r="AH21765" s="4" t="str">
        <f>HYPERLINK("#Statut_biogéographique!A"&amp;_xlfn.XMATCH("P",Statut_biogéographique!A:A,2,1),"P")</f>
        <v>P</v>
      </c>
      <c r="AP21765" s="4" t="s">
        <v>376</v>
      </c>
      <c r="AR21765" s="4" t="s">
        <v>377</v>
      </c>
    </row>
    <row r="21766" spans="1:44" ht="45">
      <c r="A21766" s="4" t="s">
        <v>24364</v>
      </c>
      <c r="B21766" s="4">
        <v>132350</v>
      </c>
      <c r="D21766" s="5">
        <v>132350</v>
      </c>
      <c r="E21766" s="6" t="str">
        <f>HYPERLINK("https://inpn.mnhn.fr/espece/cd_nom/132350","Bupleurum longifolium subsp. longifolium L., 1753")</f>
        <v>Bupleurum longifolium subsp. longifolium L., 1753</v>
      </c>
      <c r="F21766" s="5" t="s">
        <v>28379</v>
      </c>
      <c r="AH21766" s="4" t="str">
        <f>HYPERLINK("#Statut_biogéographique!A"&amp;_xlfn.XMATCH("P",Statut_biogéographique!A:A,2,1),"P")</f>
        <v>P</v>
      </c>
      <c r="AP21766" s="4" t="s">
        <v>376</v>
      </c>
      <c r="AR21766" s="4" t="s">
        <v>377</v>
      </c>
    </row>
    <row r="21767" spans="1:44" ht="60">
      <c r="A21767" s="4" t="s">
        <v>24364</v>
      </c>
      <c r="B21767" s="4">
        <v>132377</v>
      </c>
      <c r="D21767" s="5">
        <v>132377</v>
      </c>
      <c r="E21767" s="6" t="str">
        <f>HYPERLINK("https://inpn.mnhn.fr/espece/cd_nom/132377","Calamagrostis canescens subsp. canescens (Weber) Roth, 1789")</f>
        <v>Calamagrostis canescens subsp. canescens (Weber) Roth, 1789</v>
      </c>
      <c r="F21767" s="5" t="s">
        <v>28380</v>
      </c>
      <c r="T21767" s="7" t="str">
        <f>HYPERLINK("#Liste_rouge!A"&amp;_xlfn.XMATCH("DD",Liste_rouge!A:A,2,1),"DD")</f>
        <v>DD</v>
      </c>
      <c r="AH21767" s="4" t="str">
        <f>HYPERLINK("#Statut_biogéographique!A"&amp;_xlfn.XMATCH("P",Statut_biogéographique!A:A,2,1),"P")</f>
        <v>P</v>
      </c>
      <c r="AP21767" s="4" t="s">
        <v>376</v>
      </c>
      <c r="AR21767" s="4" t="s">
        <v>377</v>
      </c>
    </row>
    <row r="21768" spans="1:44" ht="45">
      <c r="A21768" s="4" t="s">
        <v>24364</v>
      </c>
      <c r="B21768" s="4">
        <v>132379</v>
      </c>
      <c r="D21768" s="5" t="s">
        <v>28381</v>
      </c>
      <c r="E21768" s="6" t="str">
        <f>HYPERLINK("https://inpn.mnhn.fr/espece/cd_nom/132379","Calamagrostis epigejos subsp. epigejos (L.) Roth, 1788")</f>
        <v>Calamagrostis epigejos subsp. epigejos (L.) Roth, 1788</v>
      </c>
      <c r="F21768" s="5" t="s">
        <v>28382</v>
      </c>
      <c r="AH21768" s="4" t="str">
        <f>HYPERLINK("#Statut_biogéographique!A"&amp;_xlfn.XMATCH("P",Statut_biogéographique!A:A,2,1),"P")</f>
        <v>P</v>
      </c>
      <c r="AP21768" s="4" t="s">
        <v>376</v>
      </c>
      <c r="AR21768" s="4" t="s">
        <v>377</v>
      </c>
    </row>
    <row r="21769" spans="1:44" ht="45">
      <c r="A21769" s="4" t="s">
        <v>24364</v>
      </c>
      <c r="B21769" s="4">
        <v>132395</v>
      </c>
      <c r="D21769" s="5">
        <v>132395</v>
      </c>
      <c r="E21769" s="6" t="str">
        <f>HYPERLINK("https://inpn.mnhn.fr/espece/cd_nom/132395","Calamagrostis varia subsp. varia (Schrad.) Host, 1809")</f>
        <v>Calamagrostis varia subsp. varia (Schrad.) Host, 1809</v>
      </c>
      <c r="F21769" s="5" t="s">
        <v>28383</v>
      </c>
      <c r="Q21769" s="7" t="str">
        <f>HYPERLINK("#Liste_rouge!A"&amp;_xlfn.XMATCH("LC",Liste_rouge!A:A,2,1),"LC")</f>
        <v>LC</v>
      </c>
      <c r="AH21769" s="4" t="str">
        <f>HYPERLINK("#Statut_biogéographique!A"&amp;_xlfn.XMATCH("P",Statut_biogéographique!A:A,2,1),"P")</f>
        <v>P</v>
      </c>
      <c r="AP21769" s="4" t="s">
        <v>376</v>
      </c>
      <c r="AR21769" s="4" t="s">
        <v>377</v>
      </c>
    </row>
    <row r="21770" spans="1:44" ht="30">
      <c r="A21770" s="4" t="s">
        <v>24364</v>
      </c>
      <c r="B21770" s="4">
        <v>132443</v>
      </c>
      <c r="D21770" s="5" t="s">
        <v>28384</v>
      </c>
      <c r="E21770" s="6" t="str">
        <f>HYPERLINK("https://inpn.mnhn.fr/espece/cd_nom/132443","Callitriche truncata subsp. occidentalis (Rouy) Braun-Blanq., 1929")</f>
        <v>Callitriche truncata subsp. occidentalis (Rouy) Braun-Blanq., 1929</v>
      </c>
      <c r="F21770" s="5" t="s">
        <v>28385</v>
      </c>
      <c r="Q21770" s="7" t="str">
        <f>HYPERLINK("#Liste_rouge!A"&amp;_xlfn.XMATCH("LC",Liste_rouge!A:A,2,1),"LC")</f>
        <v>LC</v>
      </c>
      <c r="T21770" s="7" t="str">
        <f>HYPERLINK("#Liste_rouge!A"&amp;_xlfn.XMATCH("NE",Liste_rouge!A:A,2,1),"NE")</f>
        <v>NE</v>
      </c>
      <c r="X21770" s="5" t="s">
        <v>374</v>
      </c>
      <c r="AB21770" s="4" t="s">
        <v>93</v>
      </c>
      <c r="AH21770" s="4" t="str">
        <f>HYPERLINK("#Statut_biogéographique!A"&amp;_xlfn.XMATCH("P",Statut_biogéographique!A:A,2,1),"P")</f>
        <v>P</v>
      </c>
      <c r="AM21770" s="4" t="s">
        <v>375</v>
      </c>
      <c r="AN21770" s="4" t="s">
        <v>375</v>
      </c>
      <c r="AO21770" s="4" t="s">
        <v>375</v>
      </c>
      <c r="AP21770" s="4" t="s">
        <v>376</v>
      </c>
      <c r="AR21770" s="4" t="s">
        <v>377</v>
      </c>
    </row>
    <row r="21771" spans="1:44" ht="30">
      <c r="A21771" s="4" t="s">
        <v>24364</v>
      </c>
      <c r="B21771" s="4">
        <v>132515</v>
      </c>
      <c r="D21771" s="5" t="s">
        <v>28386</v>
      </c>
      <c r="E21771" s="6" t="str">
        <f>HYPERLINK("https://inpn.mnhn.fr/espece/cd_nom/132515","Campanula rotundifolia subsp. rotundifolia L., 1753")</f>
        <v>Campanula rotundifolia subsp. rotundifolia L., 1753</v>
      </c>
      <c r="F21771" s="5" t="s">
        <v>28387</v>
      </c>
      <c r="Q21771" s="7" t="str">
        <f>HYPERLINK("#Liste_rouge!A"&amp;_xlfn.XMATCH("LC",Liste_rouge!A:A,2,1),"LC")</f>
        <v>LC</v>
      </c>
      <c r="AH21771" s="4" t="str">
        <f>HYPERLINK("#Statut_biogéographique!A"&amp;_xlfn.XMATCH("P",Statut_biogéographique!A:A,2,1),"P")</f>
        <v>P</v>
      </c>
      <c r="AP21771" s="4" t="s">
        <v>376</v>
      </c>
      <c r="AR21771" s="4" t="s">
        <v>377</v>
      </c>
    </row>
    <row r="21772" spans="1:44" ht="30">
      <c r="A21772" s="4" t="s">
        <v>24364</v>
      </c>
      <c r="B21772" s="4">
        <v>132529</v>
      </c>
      <c r="D21772" s="5">
        <v>132529</v>
      </c>
      <c r="E21772" s="6" t="str">
        <f>HYPERLINK("https://inpn.mnhn.fr/espece/cd_nom/132529","Campanula trachelium subsp. trachelium L., 1753")</f>
        <v>Campanula trachelium subsp. trachelium L., 1753</v>
      </c>
      <c r="F21772" s="5" t="s">
        <v>28388</v>
      </c>
      <c r="AH21772" s="4" t="str">
        <f>HYPERLINK("#Statut_biogéographique!A"&amp;_xlfn.XMATCH("P",Statut_biogéographique!A:A,2,1),"P")</f>
        <v>P</v>
      </c>
      <c r="AP21772" s="4" t="s">
        <v>376</v>
      </c>
      <c r="AR21772" s="4" t="s">
        <v>377</v>
      </c>
    </row>
    <row r="21773" spans="1:44">
      <c r="A21773" s="4" t="s">
        <v>24364</v>
      </c>
      <c r="B21773" s="4">
        <v>132549</v>
      </c>
      <c r="D21773" s="5">
        <v>132549</v>
      </c>
      <c r="E21773" s="6" t="str">
        <f>HYPERLINK("https://inpn.mnhn.fr/espece/cd_nom/132549","Cardamine amara subsp. amara L., 1753")</f>
        <v>Cardamine amara subsp. amara L., 1753</v>
      </c>
      <c r="F21773" s="5" t="s">
        <v>28389</v>
      </c>
      <c r="Q21773" s="7" t="str">
        <f>HYPERLINK("#Liste_rouge!A"&amp;_xlfn.XMATCH("LC",Liste_rouge!A:A,2,1),"LC")</f>
        <v>LC</v>
      </c>
      <c r="T21773" s="7" t="str">
        <f>HYPERLINK("#Liste_rouge!A"&amp;_xlfn.XMATCH("DD",Liste_rouge!A:A,2,1),"DD")</f>
        <v>DD</v>
      </c>
      <c r="AH21773" s="4" t="str">
        <f>HYPERLINK("#Statut_biogéographique!A"&amp;_xlfn.XMATCH("P",Statut_biogéographique!A:A,2,1),"P")</f>
        <v>P</v>
      </c>
      <c r="AP21773" s="4" t="s">
        <v>376</v>
      </c>
      <c r="AR21773" s="4" t="s">
        <v>377</v>
      </c>
    </row>
    <row r="21774" spans="1:44" ht="75">
      <c r="A21774" s="4" t="s">
        <v>24364</v>
      </c>
      <c r="B21774" s="4">
        <v>132593</v>
      </c>
      <c r="D21774" s="5" t="s">
        <v>28390</v>
      </c>
      <c r="E21774" s="6" t="str">
        <f>HYPERLINK("https://inpn.mnhn.fr/espece/cd_nom/132593","Carduus defloratus subsp. defloratus L., 1759")</f>
        <v>Carduus defloratus subsp. defloratus L., 1759</v>
      </c>
      <c r="F21774" s="5" t="s">
        <v>28391</v>
      </c>
      <c r="M21774" s="4" t="str">
        <f>HYPERLINK("#Réglementation!A"&amp;_xlfn.XMATCH("RV26",Réglementation!A:A,2,1),"RV26")</f>
        <v>RV26</v>
      </c>
      <c r="Q21774" s="7" t="str">
        <f>HYPERLINK("#Liste_rouge!A"&amp;_xlfn.XMATCH("LC",Liste_rouge!A:A,2,1),"LC")</f>
        <v>LC</v>
      </c>
      <c r="AH21774" s="4" t="str">
        <f>HYPERLINK("#Statut_biogéographique!A"&amp;_xlfn.XMATCH("P",Statut_biogéographique!A:A,2,1),"P")</f>
        <v>P</v>
      </c>
      <c r="AP21774" s="4" t="s">
        <v>376</v>
      </c>
      <c r="AR21774" s="4" t="s">
        <v>377</v>
      </c>
    </row>
    <row r="21775" spans="1:44">
      <c r="A21775" s="4" t="s">
        <v>24364</v>
      </c>
      <c r="B21775" s="4">
        <v>132611</v>
      </c>
      <c r="D21775" s="5">
        <v>132611</v>
      </c>
      <c r="E21775" s="6" t="str">
        <f>HYPERLINK("https://inpn.mnhn.fr/espece/cd_nom/132611","Carduus nutans subsp. nutans L., 1753")</f>
        <v>Carduus nutans subsp. nutans L., 1753</v>
      </c>
      <c r="F21775" s="5" t="s">
        <v>28392</v>
      </c>
      <c r="Q21775" s="7" t="str">
        <f>HYPERLINK("#Liste_rouge!A"&amp;_xlfn.XMATCH("LC",Liste_rouge!A:A,2,1),"LC")</f>
        <v>LC</v>
      </c>
      <c r="T21775" s="7" t="str">
        <f>HYPERLINK("#Liste_rouge!A"&amp;_xlfn.XMATCH("DD",Liste_rouge!A:A,2,1),"DD")</f>
        <v>DD</v>
      </c>
      <c r="AH21775" s="4" t="str">
        <f>HYPERLINK("#Statut_biogéographique!A"&amp;_xlfn.XMATCH("P",Statut_biogéographique!A:A,2,1),"P")</f>
        <v>P</v>
      </c>
      <c r="AP21775" s="4" t="s">
        <v>376</v>
      </c>
      <c r="AR21775" s="4" t="s">
        <v>377</v>
      </c>
    </row>
    <row r="21776" spans="1:44" ht="30">
      <c r="A21776" s="4" t="s">
        <v>24364</v>
      </c>
      <c r="B21776" s="4">
        <v>132618</v>
      </c>
      <c r="D21776" s="5" t="s">
        <v>28393</v>
      </c>
      <c r="E21776" s="6" t="str">
        <f>HYPERLINK("https://inpn.mnhn.fr/espece/cd_nom/132618","Carduus pycnocephalus subsp. pycnocephalus L., 1763")</f>
        <v>Carduus pycnocephalus subsp. pycnocephalus L., 1763</v>
      </c>
      <c r="F21776" s="5" t="s">
        <v>28394</v>
      </c>
      <c r="T21776" s="7" t="str">
        <f>HYPERLINK("#Liste_rouge!A"&amp;_xlfn.XMATCH("NA",Liste_rouge!A:A,2,1),"NA")</f>
        <v>NA</v>
      </c>
      <c r="AH21776" s="4" t="str">
        <f>HYPERLINK("#Statut_biogéographique!A"&amp;_xlfn.XMATCH("P",Statut_biogéographique!A:A,2,1),"P")</f>
        <v>P</v>
      </c>
      <c r="AP21776" s="4" t="s">
        <v>376</v>
      </c>
      <c r="AR21776" s="4" t="s">
        <v>377</v>
      </c>
    </row>
    <row r="21777" spans="1:44">
      <c r="A21777" s="4" t="s">
        <v>24364</v>
      </c>
      <c r="B21777" s="4">
        <v>132695</v>
      </c>
      <c r="D21777" s="5">
        <v>132695</v>
      </c>
      <c r="E21777" s="6" t="str">
        <f>HYPERLINK("https://inpn.mnhn.fr/espece/cd_nom/132695","Carex elata subsp. elata All., 1785")</f>
        <v>Carex elata subsp. elata All., 1785</v>
      </c>
      <c r="F21777" s="5" t="s">
        <v>28395</v>
      </c>
      <c r="T21777" s="7" t="str">
        <f>HYPERLINK("#Liste_rouge!A"&amp;_xlfn.XMATCH("LC",Liste_rouge!A:A,2,1),"LC")</f>
        <v>LC</v>
      </c>
      <c r="AH21777" s="4" t="str">
        <f>HYPERLINK("#Statut_biogéographique!A"&amp;_xlfn.XMATCH("P",Statut_biogéographique!A:A,2,1),"P")</f>
        <v>P</v>
      </c>
      <c r="AP21777" s="4" t="s">
        <v>376</v>
      </c>
      <c r="AR21777" s="4" t="s">
        <v>377</v>
      </c>
    </row>
    <row r="21778" spans="1:44" ht="45">
      <c r="A21778" s="4" t="s">
        <v>24364</v>
      </c>
      <c r="B21778" s="4">
        <v>132707</v>
      </c>
      <c r="D21778" s="5" t="s">
        <v>28396</v>
      </c>
      <c r="E21778" s="6" t="str">
        <f>HYPERLINK("https://inpn.mnhn.fr/espece/cd_nom/132707","Carex flacca subsp. flacca Schreb., 1771")</f>
        <v>Carex flacca subsp. flacca Schreb., 1771</v>
      </c>
      <c r="F21778" s="5" t="s">
        <v>28397</v>
      </c>
      <c r="Q21778" s="7" t="str">
        <f>HYPERLINK("#Liste_rouge!A"&amp;_xlfn.XMATCH("LC",Liste_rouge!A:A,2,1),"LC")</f>
        <v>LC</v>
      </c>
      <c r="T21778" s="7" t="str">
        <f>HYPERLINK("#Liste_rouge!A"&amp;_xlfn.XMATCH("DD",Liste_rouge!A:A,2,1),"DD")</f>
        <v>DD</v>
      </c>
      <c r="AH21778" s="4" t="str">
        <f>HYPERLINK("#Statut_biogéographique!A"&amp;_xlfn.XMATCH("P",Statut_biogéographique!A:A,2,1),"P")</f>
        <v>P</v>
      </c>
      <c r="AP21778" s="4" t="s">
        <v>376</v>
      </c>
      <c r="AR21778" s="4" t="s">
        <v>377</v>
      </c>
    </row>
    <row r="21779" spans="1:44" ht="30">
      <c r="A21779" s="4" t="s">
        <v>24364</v>
      </c>
      <c r="B21779" s="4">
        <v>132775</v>
      </c>
      <c r="D21779" s="5">
        <v>132775</v>
      </c>
      <c r="E21779" s="6" t="str">
        <f>HYPERLINK("https://inpn.mnhn.fr/espece/cd_nom/132775","Carex ornithopoda subsp. ornithopoda Willd., 1805")</f>
        <v>Carex ornithopoda subsp. ornithopoda Willd., 1805</v>
      </c>
      <c r="F21779" s="5" t="s">
        <v>28398</v>
      </c>
      <c r="Q21779" s="7" t="str">
        <f>HYPERLINK("#Liste_rouge!A"&amp;_xlfn.XMATCH("LC",Liste_rouge!A:A,2,1),"LC")</f>
        <v>LC</v>
      </c>
      <c r="AH21779" s="4" t="str">
        <f>HYPERLINK("#Statut_biogéographique!A"&amp;_xlfn.XMATCH("P",Statut_biogéographique!A:A,2,1),"P")</f>
        <v>P</v>
      </c>
      <c r="AP21779" s="4" t="s">
        <v>376</v>
      </c>
      <c r="AR21779" s="4" t="s">
        <v>377</v>
      </c>
    </row>
    <row r="21780" spans="1:44" ht="30">
      <c r="A21780" s="4" t="s">
        <v>24364</v>
      </c>
      <c r="B21780" s="4">
        <v>132786</v>
      </c>
      <c r="D21780" s="5" t="s">
        <v>28399</v>
      </c>
      <c r="E21780" s="6" t="str">
        <f>HYPERLINK("https://inpn.mnhn.fr/espece/cd_nom/132786","Carex paniculata subsp. paniculata L., 1755")</f>
        <v>Carex paniculata subsp. paniculata L., 1755</v>
      </c>
      <c r="F21780" s="5" t="s">
        <v>28400</v>
      </c>
      <c r="Q21780" s="7" t="str">
        <f>HYPERLINK("#Liste_rouge!A"&amp;_xlfn.XMATCH("LC",Liste_rouge!A:A,2,1),"LC")</f>
        <v>LC</v>
      </c>
      <c r="AH21780" s="4" t="str">
        <f>HYPERLINK("#Statut_biogéographique!A"&amp;_xlfn.XMATCH("P",Statut_biogéographique!A:A,2,1),"P")</f>
        <v>P</v>
      </c>
      <c r="AP21780" s="4" t="s">
        <v>376</v>
      </c>
      <c r="AR21780" s="4" t="s">
        <v>377</v>
      </c>
    </row>
    <row r="21781" spans="1:44">
      <c r="A21781" s="4" t="s">
        <v>24364</v>
      </c>
      <c r="B21781" s="4">
        <v>132790</v>
      </c>
      <c r="D21781" s="5">
        <v>132790</v>
      </c>
      <c r="E21781" s="6" t="str">
        <f>HYPERLINK("https://inpn.mnhn.fr/espece/cd_nom/132790","Carex pilulifera subsp. pilulifera L., 1753")</f>
        <v>Carex pilulifera subsp. pilulifera L., 1753</v>
      </c>
      <c r="F21781" s="5" t="s">
        <v>28401</v>
      </c>
      <c r="AH21781" s="4" t="str">
        <f>HYPERLINK("#Statut_biogéographique!A"&amp;_xlfn.XMATCH("P",Statut_biogéographique!A:A,2,1),"P")</f>
        <v>P</v>
      </c>
      <c r="AP21781" s="4" t="s">
        <v>376</v>
      </c>
      <c r="AR21781" s="4" t="s">
        <v>377</v>
      </c>
    </row>
    <row r="21782" spans="1:44" ht="30">
      <c r="A21782" s="4" t="s">
        <v>24364</v>
      </c>
      <c r="B21782" s="4">
        <v>132810</v>
      </c>
      <c r="D21782" s="5" t="s">
        <v>28402</v>
      </c>
      <c r="E21782" s="6" t="str">
        <f>HYPERLINK("https://inpn.mnhn.fr/espece/cd_nom/132810","Carex sempervirens subsp. sempervirens Vill., 1787")</f>
        <v>Carex sempervirens subsp. sempervirens Vill., 1787</v>
      </c>
      <c r="F21782" s="5" t="s">
        <v>28403</v>
      </c>
      <c r="Q21782" s="7" t="str">
        <f>HYPERLINK("#Liste_rouge!A"&amp;_xlfn.XMATCH("LC",Liste_rouge!A:A,2,1),"LC")</f>
        <v>LC</v>
      </c>
      <c r="AH21782" s="4" t="str">
        <f>HYPERLINK("#Statut_biogéographique!A"&amp;_xlfn.XMATCH("P",Statut_biogéographique!A:A,2,1),"P")</f>
        <v>P</v>
      </c>
      <c r="AP21782" s="4" t="s">
        <v>376</v>
      </c>
      <c r="AR21782" s="4" t="s">
        <v>377</v>
      </c>
    </row>
    <row r="21783" spans="1:44">
      <c r="A21783" s="4" t="s">
        <v>24364</v>
      </c>
      <c r="B21783" s="4">
        <v>132818</v>
      </c>
      <c r="D21783" s="5" t="s">
        <v>28404</v>
      </c>
      <c r="E21783" s="6" t="str">
        <f>HYPERLINK("https://inpn.mnhn.fr/espece/cd_nom/132818","Carex sylvatica subsp. sylvatica Huds., 1762")</f>
        <v>Carex sylvatica subsp. sylvatica Huds., 1762</v>
      </c>
      <c r="F21783" s="5" t="s">
        <v>28405</v>
      </c>
      <c r="AH21783" s="4" t="str">
        <f>HYPERLINK("#Statut_biogéographique!A"&amp;_xlfn.XMATCH("P",Statut_biogéographique!A:A,2,1),"P")</f>
        <v>P</v>
      </c>
      <c r="AP21783" s="4" t="s">
        <v>376</v>
      </c>
      <c r="AR21783" s="4" t="s">
        <v>377</v>
      </c>
    </row>
    <row r="21784" spans="1:44" ht="45">
      <c r="A21784" s="4" t="s">
        <v>24364</v>
      </c>
      <c r="B21784" s="4">
        <v>132843</v>
      </c>
      <c r="D21784" s="5" t="s">
        <v>28406</v>
      </c>
      <c r="E21784" s="6" t="str">
        <f>HYPERLINK("https://inpn.mnhn.fr/espece/cd_nom/132843","Carlina acaulis subsp. caulescens (Lam.) Schübl. &amp; G.Martens, 1834")</f>
        <v>Carlina acaulis subsp. caulescens (Lam.) Schübl. &amp; G.Martens, 1834</v>
      </c>
      <c r="F21784" s="5" t="s">
        <v>28407</v>
      </c>
      <c r="M21784" s="4" t="str">
        <f>HYPERLINK("#Réglementation!A"&amp;_xlfn.XMATCH("RV26",Réglementation!A:A,2,1),"RV26")</f>
        <v>RV26</v>
      </c>
      <c r="Q21784" s="7" t="str">
        <f>HYPERLINK("#Liste_rouge!A"&amp;_xlfn.XMATCH("LC",Liste_rouge!A:A,2,1),"LC")</f>
        <v>LC</v>
      </c>
      <c r="T21784" s="7" t="str">
        <f>HYPERLINK("#Liste_rouge!A"&amp;_xlfn.XMATCH("DD",Liste_rouge!A:A,2,1),"DD")</f>
        <v>DD</v>
      </c>
      <c r="AH21784" s="4" t="str">
        <f>HYPERLINK("#Statut_biogéographique!A"&amp;_xlfn.XMATCH("P",Statut_biogéographique!A:A,2,1),"P")</f>
        <v>P</v>
      </c>
      <c r="AM21784" s="4" t="s">
        <v>375</v>
      </c>
      <c r="AN21784" s="4" t="s">
        <v>375</v>
      </c>
      <c r="AO21784" s="4" t="s">
        <v>375</v>
      </c>
      <c r="AP21784" s="4" t="s">
        <v>376</v>
      </c>
      <c r="AR21784" s="4" t="s">
        <v>377</v>
      </c>
    </row>
    <row r="21785" spans="1:44" ht="30">
      <c r="A21785" s="4" t="s">
        <v>24364</v>
      </c>
      <c r="B21785" s="4">
        <v>132906</v>
      </c>
      <c r="D21785" s="5" t="s">
        <v>28408</v>
      </c>
      <c r="E21785" s="6" t="str">
        <f>HYPERLINK("https://inpn.mnhn.fr/espece/cd_nom/132906","Centaurea jacea subsp. gaudinii (Boiss. &amp; Reut.) Gremli, 1874")</f>
        <v>Centaurea jacea subsp. gaudinii (Boiss. &amp; Reut.) Gremli, 1874</v>
      </c>
      <c r="F21785" s="5" t="s">
        <v>28409</v>
      </c>
      <c r="AH21785" s="4" t="str">
        <f>HYPERLINK("#Statut_biogéographique!A"&amp;_xlfn.XMATCH("Q",Statut_biogéographique!A:A,2,1),"Q")</f>
        <v>Q</v>
      </c>
      <c r="AP21785" s="4" t="s">
        <v>376</v>
      </c>
      <c r="AR21785" s="4" t="s">
        <v>377</v>
      </c>
    </row>
    <row r="21786" spans="1:44" ht="30">
      <c r="A21786" s="4" t="s">
        <v>24364</v>
      </c>
      <c r="B21786" s="4">
        <v>132917</v>
      </c>
      <c r="D21786" s="5" t="s">
        <v>28410</v>
      </c>
      <c r="E21786" s="6" t="str">
        <f>HYPERLINK("https://inpn.mnhn.fr/espece/cd_nom/132917","Centaurea jacea subsp. timbalii (Martrin-Donos) Braun-Blanq., 1952")</f>
        <v>Centaurea jacea subsp. timbalii (Martrin-Donos) Braun-Blanq., 1952</v>
      </c>
      <c r="F21786" s="5" t="s">
        <v>28411</v>
      </c>
      <c r="Q21786" s="7" t="str">
        <f>HYPERLINK("#Liste_rouge!A"&amp;_xlfn.XMATCH("LC",Liste_rouge!A:A,2,1),"LC")</f>
        <v>LC</v>
      </c>
      <c r="T21786" s="7" t="str">
        <f>HYPERLINK("#Liste_rouge!A"&amp;_xlfn.XMATCH("LC",Liste_rouge!A:A,2,1),"LC")</f>
        <v>LC</v>
      </c>
      <c r="AH21786" s="4" t="str">
        <f>HYPERLINK("#Statut_biogéographique!A"&amp;_xlfn.XMATCH("P",Statut_biogéographique!A:A,2,1),"P")</f>
        <v>P</v>
      </c>
      <c r="AP21786" s="4" t="s">
        <v>376</v>
      </c>
      <c r="AR21786" s="4" t="s">
        <v>377</v>
      </c>
    </row>
    <row r="21787" spans="1:44" ht="30">
      <c r="A21787" s="4" t="s">
        <v>24364</v>
      </c>
      <c r="B21787" s="4">
        <v>132971</v>
      </c>
      <c r="D21787" s="5" t="s">
        <v>28412</v>
      </c>
      <c r="E21787" s="6" t="str">
        <f>HYPERLINK("https://inpn.mnhn.fr/espece/cd_nom/132971","Centaurea paniculata subsp. paniculata L., 1753")</f>
        <v>Centaurea paniculata subsp. paniculata L., 1753</v>
      </c>
      <c r="F21787" s="5" t="s">
        <v>28413</v>
      </c>
      <c r="Q21787" s="7" t="str">
        <f>HYPERLINK("#Liste_rouge!A"&amp;_xlfn.XMATCH("LC",Liste_rouge!A:A,2,1),"LC")</f>
        <v>LC</v>
      </c>
      <c r="T21787" s="7" t="str">
        <f>HYPERLINK("#Liste_rouge!A"&amp;_xlfn.XMATCH("NA",Liste_rouge!A:A,2,1),"NA")</f>
        <v>NA</v>
      </c>
      <c r="AE21787" s="4" t="str">
        <f>HYPERLINK("#SCAP!A"&amp;_xlfn.XMATCH("1-",SCAP!A:A,2,1),"1-")</f>
        <v>1-</v>
      </c>
      <c r="AH21787" s="4" t="str">
        <f>HYPERLINK("#Statut_biogéographique!A"&amp;_xlfn.XMATCH("P",Statut_biogéographique!A:A,2,1),"P")</f>
        <v>P</v>
      </c>
      <c r="AP21787" s="4" t="s">
        <v>376</v>
      </c>
      <c r="AR21787" s="4" t="s">
        <v>377</v>
      </c>
    </row>
    <row r="21788" spans="1:44" ht="60">
      <c r="A21788" s="4" t="s">
        <v>24364</v>
      </c>
      <c r="B21788" s="4">
        <v>132998</v>
      </c>
      <c r="D21788" s="5" t="s">
        <v>28414</v>
      </c>
      <c r="E21788" s="6" t="str">
        <f>HYPERLINK("https://inpn.mnhn.fr/espece/cd_nom/132998","Centaurea scabiosa subsp. alpestris (Hegetschw.) Nyman, 1879")</f>
        <v>Centaurea scabiosa subsp. alpestris (Hegetschw.) Nyman, 1879</v>
      </c>
      <c r="F21788" s="5" t="s">
        <v>28415</v>
      </c>
      <c r="Q21788" s="7" t="str">
        <f>HYPERLINK("#Liste_rouge!A"&amp;_xlfn.XMATCH("LC",Liste_rouge!A:A,2,1),"LC")</f>
        <v>LC</v>
      </c>
      <c r="AH21788" s="4" t="str">
        <f>HYPERLINK("#Statut_biogéographique!A"&amp;_xlfn.XMATCH("P",Statut_biogéographique!A:A,2,1),"P")</f>
        <v>P</v>
      </c>
      <c r="AM21788" s="4" t="s">
        <v>375</v>
      </c>
      <c r="AN21788" s="4" t="s">
        <v>375</v>
      </c>
      <c r="AO21788" s="4" t="s">
        <v>375</v>
      </c>
      <c r="AP21788" s="4" t="s">
        <v>376</v>
      </c>
      <c r="AR21788" s="4" t="s">
        <v>377</v>
      </c>
    </row>
    <row r="21789" spans="1:44" ht="30">
      <c r="A21789" s="4" t="s">
        <v>24364</v>
      </c>
      <c r="B21789" s="4">
        <v>133001</v>
      </c>
      <c r="D21789" s="5" t="s">
        <v>28416</v>
      </c>
      <c r="E21789" s="6" t="str">
        <f>HYPERLINK("https://inpn.mnhn.fr/espece/cd_nom/133001","Centaurea scabiosa subsp. grinensis (Reut.) Nyman, 1879")</f>
        <v>Centaurea scabiosa subsp. grinensis (Reut.) Nyman, 1879</v>
      </c>
      <c r="F21789" s="5" t="s">
        <v>28417</v>
      </c>
      <c r="T21789" s="7" t="str">
        <f>HYPERLINK("#Liste_rouge!A"&amp;_xlfn.XMATCH("VU",Liste_rouge!A:A,2,1),"VU")</f>
        <v>VU</v>
      </c>
      <c r="U21789" s="4" t="str">
        <f>HYPERLINK("#Critères_liste_rouge!A$1","D2")</f>
        <v>D2</v>
      </c>
      <c r="AH21789" s="4" t="str">
        <f>HYPERLINK("#Statut_biogéographique!A"&amp;_xlfn.XMATCH("Q",Statut_biogéographique!A:A,2,1),"Q")</f>
        <v>Q</v>
      </c>
      <c r="AP21789" s="4" t="s">
        <v>376</v>
      </c>
      <c r="AR21789" s="4" t="s">
        <v>377</v>
      </c>
    </row>
    <row r="21790" spans="1:44" ht="75">
      <c r="A21790" s="4" t="s">
        <v>24364</v>
      </c>
      <c r="B21790" s="4">
        <v>133004</v>
      </c>
      <c r="D21790" s="5" t="s">
        <v>28418</v>
      </c>
      <c r="E21790" s="6" t="str">
        <f>HYPERLINK("https://inpn.mnhn.fr/espece/cd_nom/133004","Centaurea scabiosa subsp. scabiosa L., 1753")</f>
        <v>Centaurea scabiosa subsp. scabiosa L., 1753</v>
      </c>
      <c r="F21790" s="5" t="s">
        <v>28419</v>
      </c>
      <c r="Q21790" s="7" t="str">
        <f>HYPERLINK("#Liste_rouge!A"&amp;_xlfn.XMATCH("LC",Liste_rouge!A:A,2,1),"LC")</f>
        <v>LC</v>
      </c>
      <c r="T21790" s="7" t="str">
        <f>HYPERLINK("#Liste_rouge!A"&amp;_xlfn.XMATCH("LC",Liste_rouge!A:A,2,1),"LC")</f>
        <v>LC</v>
      </c>
      <c r="AH21790" s="4" t="str">
        <f>HYPERLINK("#Statut_biogéographique!A"&amp;_xlfn.XMATCH("P",Statut_biogéographique!A:A,2,1),"P")</f>
        <v>P</v>
      </c>
      <c r="AP21790" s="4" t="s">
        <v>376</v>
      </c>
      <c r="AR21790" s="4" t="s">
        <v>377</v>
      </c>
    </row>
    <row r="21791" spans="1:44" ht="45">
      <c r="A21791" s="4" t="s">
        <v>24364</v>
      </c>
      <c r="B21791" s="4">
        <v>133028</v>
      </c>
      <c r="D21791" s="5" t="s">
        <v>28420</v>
      </c>
      <c r="E21791" s="6" t="str">
        <f>HYPERLINK("https://inpn.mnhn.fr/espece/cd_nom/133028","Centaurium erythraea subsp. erythraea Rafn, 1800")</f>
        <v>Centaurium erythraea subsp. erythraea Rafn, 1800</v>
      </c>
      <c r="F21791" s="5" t="s">
        <v>28421</v>
      </c>
      <c r="Q21791" s="7" t="str">
        <f>HYPERLINK("#Liste_rouge!A"&amp;_xlfn.XMATCH("LC",Liste_rouge!A:A,2,1),"LC")</f>
        <v>LC</v>
      </c>
      <c r="T21791" s="7" t="str">
        <f>HYPERLINK("#Liste_rouge!A"&amp;_xlfn.XMATCH("DD",Liste_rouge!A:A,2,1),"DD")</f>
        <v>DD</v>
      </c>
      <c r="AH21791" s="4" t="str">
        <f>HYPERLINK("#Statut_biogéographique!A"&amp;_xlfn.XMATCH("P",Statut_biogéographique!A:A,2,1),"P")</f>
        <v>P</v>
      </c>
      <c r="AP21791" s="4" t="s">
        <v>376</v>
      </c>
      <c r="AR21791" s="4" t="s">
        <v>377</v>
      </c>
    </row>
    <row r="21792" spans="1:44">
      <c r="A21792" s="4" t="s">
        <v>24364</v>
      </c>
      <c r="B21792" s="4">
        <v>133059</v>
      </c>
      <c r="D21792" s="5">
        <v>133059</v>
      </c>
      <c r="E21792" s="6" t="str">
        <f>HYPERLINK("https://inpn.mnhn.fr/espece/cd_nom/133059","Centranthus lecoqii subsp. lecoqii Jord., 1852")</f>
        <v>Centranthus lecoqii subsp. lecoqii Jord., 1852</v>
      </c>
      <c r="F21792" s="5" t="s">
        <v>28422</v>
      </c>
      <c r="T21792" s="7" t="str">
        <f>HYPERLINK("#Liste_rouge!A"&amp;_xlfn.XMATCH("NE",Liste_rouge!A:A,2,1),"NE")</f>
        <v>NE</v>
      </c>
      <c r="AH21792" s="4" t="str">
        <f>HYPERLINK("#Statut_biogéographique!A"&amp;_xlfn.XMATCH("P",Statut_biogéographique!A:A,2,1),"P")</f>
        <v>P</v>
      </c>
      <c r="AP21792" s="4" t="s">
        <v>376</v>
      </c>
      <c r="AR21792" s="4" t="s">
        <v>377</v>
      </c>
    </row>
    <row r="21793" spans="1:44" ht="30">
      <c r="A21793" s="4" t="s">
        <v>24364</v>
      </c>
      <c r="B21793" s="4">
        <v>133061</v>
      </c>
      <c r="D21793" s="5">
        <v>133061</v>
      </c>
      <c r="E21793" s="6" t="str">
        <f>HYPERLINK("https://inpn.mnhn.fr/espece/cd_nom/133061","Centranthus ruber subsp. ruber (L.) DC., 1805")</f>
        <v>Centranthus ruber subsp. ruber (L.) DC., 1805</v>
      </c>
      <c r="F21793" s="5" t="s">
        <v>28423</v>
      </c>
      <c r="T21793" s="7" t="str">
        <f>HYPERLINK("#Liste_rouge!A"&amp;_xlfn.XMATCH("NA",Liste_rouge!A:A,2,1),"NA")</f>
        <v>NA</v>
      </c>
      <c r="AH21793" s="4" t="str">
        <f>HYPERLINK("#Statut_biogéographique!A"&amp;_xlfn.XMATCH("P",Statut_biogéographique!A:A,2,1),"P")</f>
        <v>P</v>
      </c>
      <c r="AP21793" s="4" t="s">
        <v>376</v>
      </c>
      <c r="AR21793" s="4" t="s">
        <v>377</v>
      </c>
    </row>
    <row r="21794" spans="1:44">
      <c r="A21794" s="4" t="s">
        <v>24364</v>
      </c>
      <c r="B21794" s="4">
        <v>133076</v>
      </c>
      <c r="D21794" s="5">
        <v>133076</v>
      </c>
      <c r="E21794" s="6" t="str">
        <f>HYPERLINK("https://inpn.mnhn.fr/espece/cd_nom/133076","Cerastium arvense subsp. arvense L., 1753")</f>
        <v>Cerastium arvense subsp. arvense L., 1753</v>
      </c>
      <c r="F21794" s="5" t="s">
        <v>28424</v>
      </c>
      <c r="Q21794" s="7" t="str">
        <f>HYPERLINK("#Liste_rouge!A"&amp;_xlfn.XMATCH("LC",Liste_rouge!A:A,2,1),"LC")</f>
        <v>LC</v>
      </c>
      <c r="T21794" s="7" t="str">
        <f>HYPERLINK("#Liste_rouge!A"&amp;_xlfn.XMATCH("DD",Liste_rouge!A:A,2,1),"DD")</f>
        <v>DD</v>
      </c>
      <c r="AB21794" s="4" t="s">
        <v>24410</v>
      </c>
      <c r="AH21794" s="4" t="str">
        <f>HYPERLINK("#Statut_biogéographique!A"&amp;_xlfn.XMATCH("P",Statut_biogéographique!A:A,2,1),"P")</f>
        <v>P</v>
      </c>
      <c r="AM21794" s="4" t="s">
        <v>375</v>
      </c>
      <c r="AN21794" s="4" t="s">
        <v>375</v>
      </c>
      <c r="AO21794" s="4" t="s">
        <v>375</v>
      </c>
      <c r="AP21794" s="4" t="s">
        <v>376</v>
      </c>
      <c r="AR21794" s="4" t="s">
        <v>377</v>
      </c>
    </row>
    <row r="21795" spans="1:44" ht="135">
      <c r="A21795" s="4" t="s">
        <v>24364</v>
      </c>
      <c r="B21795" s="4">
        <v>133087</v>
      </c>
      <c r="D21795" s="5" t="s">
        <v>28425</v>
      </c>
      <c r="E21795" s="6" t="str">
        <f>HYPERLINK("https://inpn.mnhn.fr/espece/cd_nom/133087","Cerastium arvense subsp. strictum Gaudin, 1828")</f>
        <v>Cerastium arvense subsp. strictum Gaudin, 1828</v>
      </c>
      <c r="F21795" s="5" t="s">
        <v>28426</v>
      </c>
      <c r="Q21795" s="7" t="str">
        <f>HYPERLINK("#Liste_rouge!A"&amp;_xlfn.XMATCH("LC",Liste_rouge!A:A,2,1),"LC")</f>
        <v>LC</v>
      </c>
      <c r="AH21795" s="4" t="str">
        <f>HYPERLINK("#Statut_biogéographique!A"&amp;_xlfn.XMATCH("P",Statut_biogéographique!A:A,2,1),"P")</f>
        <v>P</v>
      </c>
      <c r="AM21795" s="4" t="s">
        <v>375</v>
      </c>
      <c r="AN21795" s="4" t="s">
        <v>375</v>
      </c>
      <c r="AO21795" s="4" t="s">
        <v>375</v>
      </c>
      <c r="AP21795" s="4" t="s">
        <v>376</v>
      </c>
      <c r="AR21795" s="4" t="s">
        <v>377</v>
      </c>
    </row>
    <row r="21796" spans="1:44" ht="45">
      <c r="A21796" s="4" t="s">
        <v>24364</v>
      </c>
      <c r="B21796" s="4">
        <v>133089</v>
      </c>
      <c r="D21796" s="5" t="s">
        <v>28427</v>
      </c>
      <c r="E21796" s="6" t="str">
        <f>HYPERLINK("https://inpn.mnhn.fr/espece/cd_nom/133089","Cerastium brachypetalum subsp. brachypetalum Pers., 1805")</f>
        <v>Cerastium brachypetalum subsp. brachypetalum Pers., 1805</v>
      </c>
      <c r="F21796" s="5" t="s">
        <v>28428</v>
      </c>
      <c r="Q21796" s="7" t="str">
        <f>HYPERLINK("#Liste_rouge!A"&amp;_xlfn.XMATCH("LC",Liste_rouge!A:A,2,1),"LC")</f>
        <v>LC</v>
      </c>
      <c r="T21796" s="7" t="str">
        <f>HYPERLINK("#Liste_rouge!A"&amp;_xlfn.XMATCH("DD",Liste_rouge!A:A,2,1),"DD (cd_nom 133089) - LC (cd_nom 133090)")</f>
        <v>DD (cd_nom 133089) - LC (cd_nom 133090)</v>
      </c>
      <c r="AH21796" s="4" t="str">
        <f>HYPERLINK("#Statut_biogéographique!A"&amp;_xlfn.XMATCH("P",Statut_biogéographique!A:A,2,1),"P")</f>
        <v>P</v>
      </c>
      <c r="AM21796" s="4" t="s">
        <v>375</v>
      </c>
      <c r="AN21796" s="4" t="s">
        <v>375</v>
      </c>
      <c r="AO21796" s="4" t="s">
        <v>375</v>
      </c>
      <c r="AP21796" s="4" t="s">
        <v>376</v>
      </c>
      <c r="AR21796" s="4" t="s">
        <v>377</v>
      </c>
    </row>
    <row r="21797" spans="1:44" ht="30">
      <c r="A21797" s="4" t="s">
        <v>24364</v>
      </c>
      <c r="B21797" s="4">
        <v>133103</v>
      </c>
      <c r="D21797" s="5" t="s">
        <v>28429</v>
      </c>
      <c r="E21797" s="6" t="str">
        <f>HYPERLINK("https://inpn.mnhn.fr/espece/cd_nom/133103","Cerastium fontanum subsp. lucorum (Schur) Soó, 1970")</f>
        <v>Cerastium fontanum subsp. lucorum (Schur) Soó, 1970</v>
      </c>
      <c r="F21797" s="5" t="s">
        <v>28430</v>
      </c>
      <c r="Q21797" s="7" t="str">
        <f>HYPERLINK("#Liste_rouge!A"&amp;_xlfn.XMATCH("DD",Liste_rouge!A:A,2,1),"DD")</f>
        <v>DD</v>
      </c>
      <c r="AH21797" s="4" t="str">
        <f>HYPERLINK("#Statut_biogéographique!A"&amp;_xlfn.XMATCH("P",Statut_biogéographique!A:A,2,1),"P")</f>
        <v>P</v>
      </c>
      <c r="AM21797" s="4" t="s">
        <v>375</v>
      </c>
      <c r="AN21797" s="4" t="s">
        <v>375</v>
      </c>
      <c r="AO21797" s="4" t="s">
        <v>375</v>
      </c>
      <c r="AP21797" s="4" t="s">
        <v>376</v>
      </c>
      <c r="AR21797" s="4" t="s">
        <v>377</v>
      </c>
    </row>
    <row r="21798" spans="1:44" ht="135">
      <c r="A21798" s="4" t="s">
        <v>24364</v>
      </c>
      <c r="B21798" s="4">
        <v>133108</v>
      </c>
      <c r="D21798" s="5" t="s">
        <v>28431</v>
      </c>
      <c r="E21798" s="6" t="str">
        <f>HYPERLINK("https://inpn.mnhn.fr/espece/cd_nom/133108","Cerastium fontanum subsp. vulgare (Hartm.) Greuter &amp; Burdet, 1982")</f>
        <v>Cerastium fontanum subsp. vulgare (Hartm.) Greuter &amp; Burdet, 1982</v>
      </c>
      <c r="F21798" s="5" t="s">
        <v>28432</v>
      </c>
      <c r="Q21798" s="7" t="str">
        <f>HYPERLINK("#Liste_rouge!A"&amp;_xlfn.XMATCH("LC",Liste_rouge!A:A,2,1),"LC")</f>
        <v>LC</v>
      </c>
      <c r="T21798" s="7" t="str">
        <f>HYPERLINK("#Liste_rouge!A"&amp;_xlfn.XMATCH("LC",Liste_rouge!A:A,2,1),"LC")</f>
        <v>LC</v>
      </c>
      <c r="AH21798" s="4" t="str">
        <f>HYPERLINK("#Statut_biogéographique!A"&amp;_xlfn.XMATCH("P",Statut_biogéographique!A:A,2,1),"P")</f>
        <v>P</v>
      </c>
      <c r="AP21798" s="4" t="s">
        <v>376</v>
      </c>
      <c r="AR21798" s="4" t="s">
        <v>377</v>
      </c>
    </row>
    <row r="21799" spans="1:44" ht="30">
      <c r="A21799" s="4" t="s">
        <v>24364</v>
      </c>
      <c r="B21799" s="4">
        <v>133121</v>
      </c>
      <c r="D21799" s="5">
        <v>133121</v>
      </c>
      <c r="E21799" s="6" t="str">
        <f>HYPERLINK("https://inpn.mnhn.fr/espece/cd_nom/133121","Cerastium ligusticum subsp. ligusticum Viv., 1802")</f>
        <v>Cerastium ligusticum subsp. ligusticum Viv., 1802</v>
      </c>
      <c r="F21799" s="5" t="s">
        <v>28433</v>
      </c>
      <c r="Q21799" s="7" t="str">
        <f>HYPERLINK("#Liste_rouge!A"&amp;_xlfn.XMATCH("NA",Liste_rouge!A:A,2,1),"NA")</f>
        <v>NA</v>
      </c>
      <c r="T21799" s="7" t="str">
        <f>HYPERLINK("#Liste_rouge!A"&amp;_xlfn.XMATCH("NA",Liste_rouge!A:A,2,1),"NA")</f>
        <v>NA</v>
      </c>
      <c r="AH21799" s="4" t="str">
        <f>HYPERLINK("#Statut_biogéographique!A"&amp;_xlfn.XMATCH("I",Statut_biogéographique!A:A,2,1),"I")</f>
        <v>I</v>
      </c>
      <c r="AP21799" s="4" t="s">
        <v>376</v>
      </c>
      <c r="AR21799" s="4" t="s">
        <v>377</v>
      </c>
    </row>
    <row r="21800" spans="1:44">
      <c r="A21800" s="4" t="s">
        <v>24364</v>
      </c>
      <c r="B21800" s="4">
        <v>133172</v>
      </c>
      <c r="D21800" s="5">
        <v>133172</v>
      </c>
      <c r="E21800" s="6" t="str">
        <f>HYPERLINK("https://inpn.mnhn.fr/espece/cd_nom/133172","Cerinthe glabra subsp. glabra Mill., 1768")</f>
        <v>Cerinthe glabra subsp. glabra Mill., 1768</v>
      </c>
      <c r="F21800" s="5" t="s">
        <v>28434</v>
      </c>
      <c r="AH21800" s="4" t="str">
        <f>HYPERLINK("#Statut_biogéographique!A"&amp;_xlfn.XMATCH("P",Statut_biogéographique!A:A,2,1),"P")</f>
        <v>P</v>
      </c>
      <c r="AP21800" s="4" t="s">
        <v>376</v>
      </c>
      <c r="AR21800" s="4" t="s">
        <v>377</v>
      </c>
    </row>
    <row r="21801" spans="1:44" ht="30">
      <c r="A21801" s="4" t="s">
        <v>24364</v>
      </c>
      <c r="B21801" s="4">
        <v>133182</v>
      </c>
      <c r="D21801" s="5">
        <v>133182</v>
      </c>
      <c r="E21801" s="6" t="str">
        <f>HYPERLINK("https://inpn.mnhn.fr/espece/cd_nom/133182","Cerinthe minor subsp. minor L., 1753")</f>
        <v>Cerinthe minor subsp. minor L., 1753</v>
      </c>
      <c r="F21801" s="5" t="s">
        <v>28435</v>
      </c>
      <c r="AH21801" s="4" t="str">
        <f>HYPERLINK("#Statut_biogéographique!A"&amp;_xlfn.XMATCH("I",Statut_biogéographique!A:A,2,1),"I")</f>
        <v>I</v>
      </c>
      <c r="AP21801" s="4" t="s">
        <v>376</v>
      </c>
      <c r="AR21801" s="4" t="s">
        <v>377</v>
      </c>
    </row>
    <row r="21802" spans="1:44" ht="30">
      <c r="A21802" s="4" t="s">
        <v>24364</v>
      </c>
      <c r="B21802" s="4">
        <v>133183</v>
      </c>
      <c r="D21802" s="5">
        <v>133183</v>
      </c>
      <c r="E21802" s="6" t="str">
        <f>HYPERLINK("https://inpn.mnhn.fr/espece/cd_nom/133183","Chaenorhinum minus subsp. minus (L.) Lange, 1870")</f>
        <v>Chaenorhinum minus subsp. minus (L.) Lange, 1870</v>
      </c>
      <c r="F21802" s="5" t="s">
        <v>28436</v>
      </c>
      <c r="Q21802" s="7" t="str">
        <f>HYPERLINK("#Liste_rouge!A"&amp;_xlfn.XMATCH("LC",Liste_rouge!A:A,2,1),"LC")</f>
        <v>LC</v>
      </c>
      <c r="T21802" s="7" t="str">
        <f>HYPERLINK("#Liste_rouge!A"&amp;_xlfn.XMATCH("DD",Liste_rouge!A:A,2,1),"DD")</f>
        <v>DD</v>
      </c>
      <c r="AH21802" s="4" t="str">
        <f>HYPERLINK("#Statut_biogéographique!A"&amp;_xlfn.XMATCH("P",Statut_biogéographique!A:A,2,1),"P")</f>
        <v>P</v>
      </c>
      <c r="AP21802" s="4" t="s">
        <v>376</v>
      </c>
      <c r="AR21802" s="4" t="s">
        <v>377</v>
      </c>
    </row>
    <row r="21803" spans="1:44">
      <c r="A21803" s="4" t="s">
        <v>24364</v>
      </c>
      <c r="B21803" s="4">
        <v>133219</v>
      </c>
      <c r="D21803" s="5">
        <v>133219</v>
      </c>
      <c r="E21803" s="6" t="str">
        <f>HYPERLINK("https://inpn.mnhn.fr/espece/cd_nom/133219","Chenopodium album subsp. album L., 1753")</f>
        <v>Chenopodium album subsp. album L., 1753</v>
      </c>
      <c r="F21803" s="5" t="s">
        <v>28437</v>
      </c>
      <c r="Q21803" s="7" t="str">
        <f>HYPERLINK("#Liste_rouge!A"&amp;_xlfn.XMATCH("LC",Liste_rouge!A:A,2,1),"LC")</f>
        <v>LC</v>
      </c>
      <c r="T21803" s="7" t="str">
        <f>HYPERLINK("#Liste_rouge!A"&amp;_xlfn.XMATCH("LC",Liste_rouge!A:A,2,1),"LC")</f>
        <v>LC</v>
      </c>
      <c r="AH21803" s="4" t="str">
        <f>HYPERLINK("#Statut_biogéographique!A"&amp;_xlfn.XMATCH("P",Statut_biogéographique!A:A,2,1),"P")</f>
        <v>P</v>
      </c>
      <c r="AP21803" s="4" t="s">
        <v>376</v>
      </c>
      <c r="AR21803" s="4" t="s">
        <v>377</v>
      </c>
    </row>
    <row r="21804" spans="1:44" ht="30">
      <c r="A21804" s="4" t="s">
        <v>24364</v>
      </c>
      <c r="B21804" s="4">
        <v>133225</v>
      </c>
      <c r="D21804" s="5" t="s">
        <v>28438</v>
      </c>
      <c r="E21804" s="6" t="str">
        <f>HYPERLINK("https://inpn.mnhn.fr/espece/cd_nom/133225","Chenopodium album subsp. opulifolium (Schrad.ex W.D.J.Koch &amp; Ziz) Čelak., 1871")</f>
        <v>Chenopodium album subsp. opulifolium (Schrad.ex W.D.J.Koch &amp; Ziz) Čelak., 1871</v>
      </c>
      <c r="F21804" s="5" t="s">
        <v>28439</v>
      </c>
      <c r="Q21804" s="7" t="str">
        <f>HYPERLINK("#Liste_rouge!A"&amp;_xlfn.XMATCH("LC",Liste_rouge!A:A,2,1),"LC")</f>
        <v>LC</v>
      </c>
      <c r="T21804" s="7" t="str">
        <f>HYPERLINK("#Liste_rouge!A"&amp;_xlfn.XMATCH("EN",Liste_rouge!A:A,2,1),"EN")</f>
        <v>EN</v>
      </c>
      <c r="U21804" s="4" t="str">
        <f>HYPERLINK("#Critères_liste_rouge!A$1","B2a")</f>
        <v>B2a</v>
      </c>
      <c r="AB21804" s="4" t="s">
        <v>24634</v>
      </c>
      <c r="AH21804" s="4" t="str">
        <f>HYPERLINK("#Statut_biogéographique!A"&amp;_xlfn.XMATCH("P",Statut_biogéographique!A:A,2,1),"P")</f>
        <v>P</v>
      </c>
      <c r="AM21804" s="4" t="s">
        <v>375</v>
      </c>
      <c r="AN21804" s="4" t="s">
        <v>375</v>
      </c>
      <c r="AO21804" s="4" t="s">
        <v>375</v>
      </c>
      <c r="AP21804" s="4" t="s">
        <v>376</v>
      </c>
      <c r="AR21804" s="4" t="s">
        <v>377</v>
      </c>
    </row>
    <row r="21805" spans="1:44">
      <c r="A21805" s="4" t="s">
        <v>24364</v>
      </c>
      <c r="B21805" s="4">
        <v>133298</v>
      </c>
      <c r="D21805" s="5">
        <v>133298</v>
      </c>
      <c r="E21805" s="6" t="str">
        <f>HYPERLINK("https://inpn.mnhn.fr/espece/cd_nom/133298","Circaea alpina subsp. alpina L., 1753")</f>
        <v>Circaea alpina subsp. alpina L., 1753</v>
      </c>
      <c r="F21805" s="5" t="s">
        <v>28440</v>
      </c>
      <c r="M21805" s="4" t="str">
        <f>HYPERLINK("#Réglementation!A"&amp;_xlfn.XMATCH("RV43",Réglementation!A:A,2,1),"RV43")</f>
        <v>RV43</v>
      </c>
      <c r="AH21805" s="4" t="str">
        <f>HYPERLINK("#Statut_biogéographique!A"&amp;_xlfn.XMATCH("P",Statut_biogéographique!A:A,2,1),"P")</f>
        <v>P</v>
      </c>
      <c r="AP21805" s="4" t="s">
        <v>376</v>
      </c>
      <c r="AR21805" s="4" t="s">
        <v>377</v>
      </c>
    </row>
    <row r="21806" spans="1:44" ht="90">
      <c r="A21806" s="4" t="s">
        <v>24364</v>
      </c>
      <c r="B21806" s="4">
        <v>133346</v>
      </c>
      <c r="D21806" s="5" t="s">
        <v>28441</v>
      </c>
      <c r="E21806" s="6" t="str">
        <f>HYPERLINK("https://inpn.mnhn.fr/espece/cd_nom/133346","Cirsium vulgare subsp. vulgare (Savi) Ten., 1838")</f>
        <v>Cirsium vulgare subsp. vulgare (Savi) Ten., 1838</v>
      </c>
      <c r="F21806" s="5" t="s">
        <v>28442</v>
      </c>
      <c r="Q21806" s="7" t="str">
        <f>HYPERLINK("#Liste_rouge!A"&amp;_xlfn.XMATCH("LC",Liste_rouge!A:A,2,1),"LC")</f>
        <v>LC</v>
      </c>
      <c r="T21806" s="7" t="str">
        <f>HYPERLINK("#Liste_rouge!A"&amp;_xlfn.XMATCH("DD",Liste_rouge!A:A,2,1),"DD")</f>
        <v>DD</v>
      </c>
      <c r="AH21806" s="4" t="str">
        <f>HYPERLINK("#Statut_biogéographique!A"&amp;_xlfn.XMATCH("P",Statut_biogéographique!A:A,2,1),"P")</f>
        <v>P</v>
      </c>
      <c r="AP21806" s="4" t="s">
        <v>376</v>
      </c>
      <c r="AR21806" s="4" t="s">
        <v>377</v>
      </c>
    </row>
    <row r="21807" spans="1:44" ht="240">
      <c r="A21807" s="4" t="s">
        <v>24364</v>
      </c>
      <c r="B21807" s="4">
        <v>133401</v>
      </c>
      <c r="D21807" s="5" t="s">
        <v>28443</v>
      </c>
      <c r="E21807" s="6" t="str">
        <f>HYPERLINK("https://inpn.mnhn.fr/espece/cd_nom/133401","Coincya monensis subsp. cheiranthos (Vill.) Aedo, Leadlay &amp; Muñoz Garm., 1993")</f>
        <v>Coincya monensis subsp. cheiranthos (Vill.) Aedo, Leadlay &amp; Muñoz Garm., 1993</v>
      </c>
      <c r="F21807" s="5" t="s">
        <v>28444</v>
      </c>
      <c r="Q21807" s="7" t="str">
        <f>HYPERLINK("#Liste_rouge!A"&amp;_xlfn.XMATCH("LC",Liste_rouge!A:A,2,1),"LC")</f>
        <v>LC</v>
      </c>
      <c r="T21807" s="7" t="str">
        <f>HYPERLINK("#Liste_rouge!A"&amp;_xlfn.XMATCH("DD",Liste_rouge!A:A,2,1),"DD")</f>
        <v>DD</v>
      </c>
      <c r="X21807" s="5" t="s">
        <v>374</v>
      </c>
      <c r="AB21807" s="4" t="s">
        <v>93</v>
      </c>
      <c r="AH21807" s="4" t="str">
        <f>HYPERLINK("#Statut_biogéographique!A"&amp;_xlfn.XMATCH("P",Statut_biogéographique!A:A,2,1),"P")</f>
        <v>P</v>
      </c>
      <c r="AM21807" s="4" t="s">
        <v>375</v>
      </c>
      <c r="AN21807" s="4" t="s">
        <v>375</v>
      </c>
      <c r="AO21807" s="4" t="s">
        <v>375</v>
      </c>
      <c r="AP21807" s="4" t="s">
        <v>376</v>
      </c>
      <c r="AR21807" s="4" t="s">
        <v>377</v>
      </c>
    </row>
    <row r="21808" spans="1:44" ht="30">
      <c r="A21808" s="4" t="s">
        <v>24364</v>
      </c>
      <c r="B21808" s="4">
        <v>133432</v>
      </c>
      <c r="D21808" s="5">
        <v>133432</v>
      </c>
      <c r="E21808" s="6" t="str">
        <f>HYPERLINK("https://inpn.mnhn.fr/espece/cd_nom/133432","Cornus sanguinea subsp. sanguinea L., 1753")</f>
        <v>Cornus sanguinea subsp. sanguinea L., 1753</v>
      </c>
      <c r="F21808" s="5" t="s">
        <v>28445</v>
      </c>
      <c r="Q21808" s="7" t="str">
        <f>HYPERLINK("#Liste_rouge!A"&amp;_xlfn.XMATCH("LC",Liste_rouge!A:A,2,1),"LC")</f>
        <v>LC</v>
      </c>
      <c r="T21808" s="7" t="str">
        <f>HYPERLINK("#Liste_rouge!A"&amp;_xlfn.XMATCH("LC",Liste_rouge!A:A,2,1),"LC")</f>
        <v>LC</v>
      </c>
      <c r="AH21808" s="4" t="str">
        <f>HYPERLINK("#Statut_biogéographique!A"&amp;_xlfn.XMATCH("P",Statut_biogéographique!A:A,2,1),"P")</f>
        <v>P</v>
      </c>
      <c r="AP21808" s="4" t="s">
        <v>376</v>
      </c>
      <c r="AR21808" s="4" t="s">
        <v>377</v>
      </c>
    </row>
    <row r="21809" spans="1:44" ht="30">
      <c r="A21809" s="4" t="s">
        <v>24364</v>
      </c>
      <c r="B21809" s="4">
        <v>133436</v>
      </c>
      <c r="D21809" s="5" t="s">
        <v>28446</v>
      </c>
      <c r="E21809" s="6" t="str">
        <f>HYPERLINK("https://inpn.mnhn.fr/espece/cd_nom/133436","Coronilla minima subsp. minima L., 1756")</f>
        <v>Coronilla minima subsp. minima L., 1756</v>
      </c>
      <c r="F21809" s="5" t="s">
        <v>28447</v>
      </c>
      <c r="Q21809" s="7" t="str">
        <f>HYPERLINK("#Liste_rouge!A"&amp;_xlfn.XMATCH("LC",Liste_rouge!A:A,2,1),"LC")</f>
        <v>LC</v>
      </c>
      <c r="AH21809" s="4" t="str">
        <f>HYPERLINK("#Statut_biogéographique!A"&amp;_xlfn.XMATCH("P",Statut_biogéographique!A:A,2,1),"P")</f>
        <v>P</v>
      </c>
      <c r="AP21809" s="4" t="s">
        <v>376</v>
      </c>
      <c r="AR21809" s="4" t="s">
        <v>377</v>
      </c>
    </row>
    <row r="21810" spans="1:44" ht="30">
      <c r="A21810" s="4" t="s">
        <v>24364</v>
      </c>
      <c r="B21810" s="4">
        <v>133443</v>
      </c>
      <c r="D21810" s="5" t="s">
        <v>28448</v>
      </c>
      <c r="E21810" s="6" t="str">
        <f>HYPERLINK("https://inpn.mnhn.fr/espece/cd_nom/133443","Corrigiola litoralis subsp. litoralis L., 1753")</f>
        <v>Corrigiola litoralis subsp. litoralis L., 1753</v>
      </c>
      <c r="F21810" s="5" t="s">
        <v>28449</v>
      </c>
      <c r="AH21810" s="4" t="str">
        <f>HYPERLINK("#Statut_biogéographique!A"&amp;_xlfn.XMATCH("P",Statut_biogéographique!A:A,2,1),"P")</f>
        <v>P</v>
      </c>
      <c r="AP21810" s="4" t="s">
        <v>376</v>
      </c>
      <c r="AR21810" s="4" t="s">
        <v>377</v>
      </c>
    </row>
    <row r="21811" spans="1:44">
      <c r="A21811" s="4" t="s">
        <v>24364</v>
      </c>
      <c r="B21811" s="4">
        <v>133500</v>
      </c>
      <c r="D21811" s="5">
        <v>133500</v>
      </c>
      <c r="E21811" s="6" t="str">
        <f>HYPERLINK("https://inpn.mnhn.fr/espece/cd_nom/133500","Crepis aurea subsp. aurea (L.) Tausch, 1828")</f>
        <v>Crepis aurea subsp. aurea (L.) Tausch, 1828</v>
      </c>
      <c r="F21811" s="5" t="s">
        <v>28450</v>
      </c>
      <c r="M21811" s="4" t="str">
        <f>HYPERLINK("#Réglementation!A"&amp;_xlfn.XMATCH("RV43",Réglementation!A:A,2,1),"RV43")</f>
        <v>RV43</v>
      </c>
      <c r="AH21811" s="4" t="str">
        <f>HYPERLINK("#Statut_biogéographique!A"&amp;_xlfn.XMATCH("P",Statut_biogéographique!A:A,2,1),"P")</f>
        <v>P</v>
      </c>
      <c r="AP21811" s="4" t="s">
        <v>376</v>
      </c>
      <c r="AR21811" s="4" t="s">
        <v>377</v>
      </c>
    </row>
    <row r="21812" spans="1:44" ht="75">
      <c r="A21812" s="4" t="s">
        <v>24364</v>
      </c>
      <c r="B21812" s="4">
        <v>133503</v>
      </c>
      <c r="D21812" s="5" t="s">
        <v>28451</v>
      </c>
      <c r="E21812" s="6" t="str">
        <f>HYPERLINK("https://inpn.mnhn.fr/espece/cd_nom/133503","Crepis foetida subsp. foetida L., 1753")</f>
        <v>Crepis foetida subsp. foetida L., 1753</v>
      </c>
      <c r="F21812" s="5" t="s">
        <v>28452</v>
      </c>
      <c r="Q21812" s="7" t="str">
        <f>HYPERLINK("#Liste_rouge!A"&amp;_xlfn.XMATCH("LC",Liste_rouge!A:A,2,1),"LC")</f>
        <v>LC</v>
      </c>
      <c r="T21812" s="7" t="str">
        <f>HYPERLINK("#Liste_rouge!A"&amp;_xlfn.XMATCH("DD",Liste_rouge!A:A,2,1),"DD")</f>
        <v>DD</v>
      </c>
      <c r="AH21812" s="4" t="str">
        <f>HYPERLINK("#Statut_biogéographique!A"&amp;_xlfn.XMATCH("P",Statut_biogéographique!A:A,2,1),"P")</f>
        <v>P</v>
      </c>
      <c r="AM21812" s="4" t="s">
        <v>375</v>
      </c>
      <c r="AN21812" s="4" t="s">
        <v>375</v>
      </c>
      <c r="AO21812" s="4" t="s">
        <v>375</v>
      </c>
      <c r="AP21812" s="4" t="s">
        <v>376</v>
      </c>
      <c r="AR21812" s="4" t="s">
        <v>377</v>
      </c>
    </row>
    <row r="21813" spans="1:44" ht="30">
      <c r="A21813" s="4" t="s">
        <v>24364</v>
      </c>
      <c r="B21813" s="4">
        <v>133504</v>
      </c>
      <c r="D21813" s="5" t="s">
        <v>28453</v>
      </c>
      <c r="E21813" s="6" t="str">
        <f>HYPERLINK("https://inpn.mnhn.fr/espece/cd_nom/133504","Crepis foetida subsp. glandulosa (C.Presl) Arcang., 1882")</f>
        <v>Crepis foetida subsp. glandulosa (C.Presl) Arcang., 1882</v>
      </c>
      <c r="F21813" s="5" t="s">
        <v>28454</v>
      </c>
      <c r="Q21813" s="7" t="str">
        <f>HYPERLINK("#Liste_rouge!A"&amp;_xlfn.XMATCH("LC",Liste_rouge!A:A,2,1),"LC")</f>
        <v>LC</v>
      </c>
      <c r="AH21813" s="4" t="str">
        <f>HYPERLINK("#Statut_biogéographique!A"&amp;_xlfn.XMATCH("P",Statut_biogéographique!A:A,2,1),"P")</f>
        <v>P</v>
      </c>
      <c r="AP21813" s="4" t="s">
        <v>376</v>
      </c>
      <c r="AR21813" s="4" t="s">
        <v>377</v>
      </c>
    </row>
    <row r="21814" spans="1:44" ht="150">
      <c r="A21814" s="4" t="s">
        <v>24364</v>
      </c>
      <c r="B21814" s="4">
        <v>133531</v>
      </c>
      <c r="D21814" s="5" t="s">
        <v>28455</v>
      </c>
      <c r="E21814" s="6" t="str">
        <f>HYPERLINK("https://inpn.mnhn.fr/espece/cd_nom/133531","Crepis vesicaria subsp. taraxacifolia (Thuill.) Thell., 1914")</f>
        <v>Crepis vesicaria subsp. taraxacifolia (Thuill.) Thell., 1914</v>
      </c>
      <c r="F21814" s="5" t="s">
        <v>28456</v>
      </c>
      <c r="Q21814" s="7" t="str">
        <f>HYPERLINK("#Liste_rouge!A"&amp;_xlfn.XMATCH("LC",Liste_rouge!A:A,2,1),"LC")</f>
        <v>LC</v>
      </c>
      <c r="T21814" s="7" t="str">
        <f>HYPERLINK("#Liste_rouge!A"&amp;_xlfn.XMATCH("DD",Liste_rouge!A:A,2,1),"DD")</f>
        <v>DD</v>
      </c>
      <c r="V21814" s="7" t="str">
        <f>HYPERLINK("#Liste_rouge!A"&amp;_xlfn.XMATCH("LC",Liste_rouge!A:A,2,1),"LC")</f>
        <v>LC</v>
      </c>
      <c r="AH21814" s="4" t="str">
        <f>HYPERLINK("#Statut_biogéographique!A"&amp;_xlfn.XMATCH("I",Statut_biogéographique!A:A,2,1),"I")</f>
        <v>I</v>
      </c>
      <c r="AM21814" s="4" t="s">
        <v>375</v>
      </c>
      <c r="AN21814" s="4" t="s">
        <v>375</v>
      </c>
      <c r="AO21814" s="4" t="s">
        <v>375</v>
      </c>
      <c r="AP21814" s="4" t="s">
        <v>376</v>
      </c>
      <c r="AR21814" s="4" t="s">
        <v>377</v>
      </c>
    </row>
    <row r="21815" spans="1:44">
      <c r="A21815" s="4" t="s">
        <v>24364</v>
      </c>
      <c r="B21815" s="4">
        <v>133532</v>
      </c>
      <c r="D21815" s="5">
        <v>133532</v>
      </c>
      <c r="E21815" s="6" t="str">
        <f>HYPERLINK("https://inpn.mnhn.fr/espece/cd_nom/133532","Crepis vesicaria subsp. vesicaria L., 1753")</f>
        <v>Crepis vesicaria subsp. vesicaria L., 1753</v>
      </c>
      <c r="F21815" s="5" t="s">
        <v>28457</v>
      </c>
      <c r="AH21815" s="4" t="str">
        <f>HYPERLINK("#Statut_biogéographique!A"&amp;_xlfn.XMATCH("Y",Statut_biogéographique!A:A,2,1),"Y")</f>
        <v>Y</v>
      </c>
      <c r="AP21815" s="4" t="s">
        <v>376</v>
      </c>
      <c r="AR21815" s="4" t="s">
        <v>377</v>
      </c>
    </row>
    <row r="21816" spans="1:44" ht="45">
      <c r="A21816" s="4" t="s">
        <v>24364</v>
      </c>
      <c r="B21816" s="4">
        <v>133565</v>
      </c>
      <c r="D21816" s="5" t="s">
        <v>28458</v>
      </c>
      <c r="E21816" s="6" t="str">
        <f>HYPERLINK("https://inpn.mnhn.fr/espece/cd_nom/133565","Cuscuta epithymum subsp. epithymum (L.) L., 1774")</f>
        <v>Cuscuta epithymum subsp. epithymum (L.) L., 1774</v>
      </c>
      <c r="F21816" s="5" t="s">
        <v>28459</v>
      </c>
      <c r="Q21816" s="7" t="str">
        <f>HYPERLINK("#Liste_rouge!A"&amp;_xlfn.XMATCH("LC",Liste_rouge!A:A,2,1),"LC")</f>
        <v>LC</v>
      </c>
      <c r="T21816" s="7" t="str">
        <f>HYPERLINK("#Liste_rouge!A"&amp;_xlfn.XMATCH("DD",Liste_rouge!A:A,2,1),"DD")</f>
        <v>DD</v>
      </c>
      <c r="AH21816" s="4" t="str">
        <f>HYPERLINK("#Statut_biogéographique!A"&amp;_xlfn.XMATCH("P",Statut_biogéographique!A:A,2,1),"P")</f>
        <v>P</v>
      </c>
      <c r="AM21816" s="4" t="s">
        <v>375</v>
      </c>
      <c r="AN21816" s="4" t="s">
        <v>375</v>
      </c>
      <c r="AO21816" s="4" t="s">
        <v>375</v>
      </c>
      <c r="AP21816" s="4" t="s">
        <v>376</v>
      </c>
      <c r="AR21816" s="4" t="s">
        <v>377</v>
      </c>
    </row>
    <row r="21817" spans="1:44" ht="90">
      <c r="A21817" s="4" t="s">
        <v>24364</v>
      </c>
      <c r="B21817" s="4">
        <v>133646</v>
      </c>
      <c r="D21817" s="5" t="s">
        <v>28460</v>
      </c>
      <c r="E21817" s="6" t="str">
        <f>HYPERLINK("https://inpn.mnhn.fr/espece/cd_nom/133646","Cytisus scoparius subsp. scoparius (L.) Link, 1822")</f>
        <v>Cytisus scoparius subsp. scoparius (L.) Link, 1822</v>
      </c>
      <c r="F21817" s="5" t="s">
        <v>28461</v>
      </c>
      <c r="Q21817" s="7" t="str">
        <f>HYPERLINK("#Liste_rouge!A"&amp;_xlfn.XMATCH("LC",Liste_rouge!A:A,2,1),"LC")</f>
        <v>LC</v>
      </c>
      <c r="T21817" s="7" t="str">
        <f>HYPERLINK("#Liste_rouge!A"&amp;_xlfn.XMATCH("DD",Liste_rouge!A:A,2,1),"DD")</f>
        <v>DD</v>
      </c>
      <c r="AH21817" s="4" t="str">
        <f>HYPERLINK("#Statut_biogéographique!A"&amp;_xlfn.XMATCH("P",Statut_biogéographique!A:A,2,1),"P")</f>
        <v>P</v>
      </c>
      <c r="AM21817" s="4" t="s">
        <v>375</v>
      </c>
      <c r="AN21817" s="4" t="s">
        <v>375</v>
      </c>
      <c r="AO21817" s="4" t="s">
        <v>375</v>
      </c>
      <c r="AP21817" s="4" t="s">
        <v>376</v>
      </c>
      <c r="AR21817" s="4" t="s">
        <v>377</v>
      </c>
    </row>
    <row r="21818" spans="1:44" ht="120">
      <c r="A21818" s="4" t="s">
        <v>24364</v>
      </c>
      <c r="B21818" s="4">
        <v>133652</v>
      </c>
      <c r="D21818" s="5" t="s">
        <v>28462</v>
      </c>
      <c r="E21818" s="6" t="str">
        <f>HYPERLINK("https://inpn.mnhn.fr/espece/cd_nom/133652","Dactylis glomerata subsp. glomerata L., 1753")</f>
        <v>Dactylis glomerata subsp. glomerata L., 1753</v>
      </c>
      <c r="F21818" s="5" t="s">
        <v>28463</v>
      </c>
      <c r="Q21818" s="7" t="str">
        <f>HYPERLINK("#Liste_rouge!A"&amp;_xlfn.XMATCH("LC",Liste_rouge!A:A,2,1),"LC")</f>
        <v>LC</v>
      </c>
      <c r="T21818" s="7" t="str">
        <f>HYPERLINK("#Liste_rouge!A"&amp;_xlfn.XMATCH("LC",Liste_rouge!A:A,2,1),"LC")</f>
        <v>LC</v>
      </c>
      <c r="AH21818" s="4" t="str">
        <f>HYPERLINK("#Statut_biogéographique!A"&amp;_xlfn.XMATCH("P",Statut_biogéographique!A:A,2,1),"P")</f>
        <v>P</v>
      </c>
      <c r="AP21818" s="4" t="s">
        <v>376</v>
      </c>
      <c r="AR21818" s="4" t="s">
        <v>377</v>
      </c>
    </row>
    <row r="21819" spans="1:44" ht="120">
      <c r="A21819" s="4" t="s">
        <v>24364</v>
      </c>
      <c r="B21819" s="4">
        <v>133655</v>
      </c>
      <c r="D21819" s="5" t="s">
        <v>28464</v>
      </c>
      <c r="E21819" s="6" t="str">
        <f>HYPERLINK("https://inpn.mnhn.fr/espece/cd_nom/133655","Dactylis glomerata subsp. lobata (Drejer) H.Lindb., 1906")</f>
        <v>Dactylis glomerata subsp. lobata (Drejer) H.Lindb., 1906</v>
      </c>
      <c r="F21819" s="5" t="s">
        <v>28465</v>
      </c>
      <c r="Q21819" s="7" t="str">
        <f>HYPERLINK("#Liste_rouge!A"&amp;_xlfn.XMATCH("DD",Liste_rouge!A:A,2,1),"DD")</f>
        <v>DD</v>
      </c>
      <c r="T21819" s="7" t="str">
        <f>HYPERLINK("#Liste_rouge!A"&amp;_xlfn.XMATCH("NA",Liste_rouge!A:A,2,1),"NA")</f>
        <v>NA</v>
      </c>
      <c r="AH21819" s="4" t="str">
        <f>HYPERLINK("#Statut_biogéographique!A"&amp;_xlfn.XMATCH("P",Statut_biogéographique!A:A,2,1),"P")</f>
        <v>P</v>
      </c>
      <c r="AM21819" s="4" t="s">
        <v>375</v>
      </c>
      <c r="AN21819" s="4" t="s">
        <v>375</v>
      </c>
      <c r="AO21819" s="4" t="s">
        <v>375</v>
      </c>
      <c r="AP21819" s="4" t="s">
        <v>376</v>
      </c>
      <c r="AR21819" s="4" t="s">
        <v>377</v>
      </c>
    </row>
    <row r="21820" spans="1:44" ht="30">
      <c r="A21820" s="4" t="s">
        <v>24364</v>
      </c>
      <c r="B21820" s="4">
        <v>133675</v>
      </c>
      <c r="D21820" s="5" t="s">
        <v>28466</v>
      </c>
      <c r="E21820" s="6" t="str">
        <f>HYPERLINK("https://inpn.mnhn.fr/espece/cd_nom/133675","Dactylorhiza incarnata subsp. incarnata (L.) Soó, 1962")</f>
        <v>Dactylorhiza incarnata subsp. incarnata (L.) Soó, 1962</v>
      </c>
      <c r="F21820" s="5" t="s">
        <v>28467</v>
      </c>
      <c r="G21820" s="4" t="str">
        <f>HYPERLINK("[#Réglementation!A"&amp;_xlfn.XMATCH("CCB",Réglementation!A:A,2,1),"CCB")</f>
        <v>CCB</v>
      </c>
      <c r="M21820" s="4" t="str">
        <f>HYPERLINK("#Réglementation!A"&amp;_xlfn.XMATCH("RV26",Réglementation!A:A,2,1),"RV26")</f>
        <v>RV26</v>
      </c>
      <c r="Q21820" s="7" t="str">
        <f>HYPERLINK("#Liste_rouge!A"&amp;_xlfn.XMATCH("NT",Liste_rouge!A:A,2,1),"NT")</f>
        <v>NT</v>
      </c>
      <c r="T21820" s="7" t="str">
        <f>HYPERLINK("#Liste_rouge!A"&amp;_xlfn.XMATCH("DD",Liste_rouge!A:A,2,1),"DD")</f>
        <v>DD</v>
      </c>
      <c r="AH21820" s="4" t="str">
        <f>HYPERLINK("#Statut_biogéographique!A"&amp;_xlfn.XMATCH("P",Statut_biogéographique!A:A,2,1),"P")</f>
        <v>P</v>
      </c>
      <c r="AP21820" s="4" t="s">
        <v>376</v>
      </c>
      <c r="AR21820" s="4" t="s">
        <v>377</v>
      </c>
    </row>
    <row r="21821" spans="1:44" ht="45">
      <c r="A21821" s="4" t="s">
        <v>24364</v>
      </c>
      <c r="B21821" s="4">
        <v>133721</v>
      </c>
      <c r="D21821" s="5">
        <v>133721</v>
      </c>
      <c r="E21821" s="6" t="str">
        <f>HYPERLINK("https://inpn.mnhn.fr/espece/cd_nom/133721","Danthonia decumbens subsp. decumbens (L.) DC., 1805")</f>
        <v>Danthonia decumbens subsp. decumbens (L.) DC., 1805</v>
      </c>
      <c r="F21821" s="5" t="s">
        <v>28468</v>
      </c>
      <c r="T21821" s="7" t="str">
        <f>HYPERLINK("#Liste_rouge!A"&amp;_xlfn.XMATCH("DD",Liste_rouge!A:A,2,1),"DD")</f>
        <v>DD</v>
      </c>
      <c r="AH21821" s="4" t="str">
        <f>HYPERLINK("#Statut_biogéographique!A"&amp;_xlfn.XMATCH("P",Statut_biogéographique!A:A,2,1),"P")</f>
        <v>P</v>
      </c>
      <c r="AP21821" s="4" t="s">
        <v>376</v>
      </c>
      <c r="AR21821" s="4" t="s">
        <v>377</v>
      </c>
    </row>
    <row r="21822" spans="1:44" ht="30">
      <c r="A21822" s="4" t="s">
        <v>24364</v>
      </c>
      <c r="B21822" s="4">
        <v>133731</v>
      </c>
      <c r="D21822" s="5">
        <v>133731</v>
      </c>
      <c r="E21822" s="6" t="str">
        <f>HYPERLINK("https://inpn.mnhn.fr/espece/cd_nom/133731","Daucus carota subsp. carota L., 1753")</f>
        <v>Daucus carota subsp. carota L., 1753</v>
      </c>
      <c r="F21822" s="5" t="s">
        <v>28469</v>
      </c>
      <c r="Q21822" s="7" t="str">
        <f>HYPERLINK("#Liste_rouge!A"&amp;_xlfn.XMATCH("LC",Liste_rouge!A:A,2,1),"LC")</f>
        <v>LC</v>
      </c>
      <c r="AH21822" s="4" t="str">
        <f>HYPERLINK("#Statut_biogéographique!A"&amp;_xlfn.XMATCH("P",Statut_biogéographique!A:A,2,1),"P")</f>
        <v>P</v>
      </c>
      <c r="AM21822" s="4" t="s">
        <v>375</v>
      </c>
      <c r="AN21822" s="4" t="s">
        <v>375</v>
      </c>
      <c r="AO21822" s="4" t="s">
        <v>375</v>
      </c>
      <c r="AP21822" s="4" t="s">
        <v>376</v>
      </c>
      <c r="AR21822" s="4" t="s">
        <v>377</v>
      </c>
    </row>
    <row r="21823" spans="1:44" ht="30">
      <c r="A21823" s="4" t="s">
        <v>24364</v>
      </c>
      <c r="B21823" s="4">
        <v>133787</v>
      </c>
      <c r="D21823" s="5" t="s">
        <v>28470</v>
      </c>
      <c r="E21823" s="6" t="str">
        <f>HYPERLINK("https://inpn.mnhn.fr/espece/cd_nom/133787","Deschampsia cespitosa subsp. cespitosa (L.) P.Beauv., 1812")</f>
        <v>Deschampsia cespitosa subsp. cespitosa (L.) P.Beauv., 1812</v>
      </c>
      <c r="F21823" s="5" t="s">
        <v>28471</v>
      </c>
      <c r="Q21823" s="7" t="str">
        <f>HYPERLINK("#Liste_rouge!A"&amp;_xlfn.XMATCH("LC",Liste_rouge!A:A,2,1),"LC")</f>
        <v>LC</v>
      </c>
      <c r="T21823" s="7" t="str">
        <f>HYPERLINK("#Liste_rouge!A"&amp;_xlfn.XMATCH("LC",Liste_rouge!A:A,2,1),"LC")</f>
        <v>LC</v>
      </c>
      <c r="AH21823" s="4" t="str">
        <f>HYPERLINK("#Statut_biogéographique!A"&amp;_xlfn.XMATCH("P",Statut_biogéographique!A:A,2,1),"P")</f>
        <v>P</v>
      </c>
      <c r="AP21823" s="4" t="s">
        <v>376</v>
      </c>
      <c r="AR21823" s="4" t="s">
        <v>377</v>
      </c>
    </row>
    <row r="21824" spans="1:44" ht="30">
      <c r="A21824" s="4" t="s">
        <v>24364</v>
      </c>
      <c r="B21824" s="4">
        <v>133795</v>
      </c>
      <c r="D21824" s="5" t="s">
        <v>28472</v>
      </c>
      <c r="E21824" s="6" t="str">
        <f>HYPERLINK("https://inpn.mnhn.fr/espece/cd_nom/133795","Deschampsia cespitosa subsp. parviflora (Thuill.) Dumort., 1824")</f>
        <v>Deschampsia cespitosa subsp. parviflora (Thuill.) Dumort., 1824</v>
      </c>
      <c r="F21824" s="5" t="s">
        <v>28473</v>
      </c>
      <c r="Q21824" s="7" t="str">
        <f>HYPERLINK("#Liste_rouge!A"&amp;_xlfn.XMATCH("LC",Liste_rouge!A:A,2,1),"LC")</f>
        <v>LC</v>
      </c>
      <c r="T21824" s="7" t="str">
        <f>HYPERLINK("#Liste_rouge!A"&amp;_xlfn.XMATCH("DD",Liste_rouge!A:A,2,1),"DD")</f>
        <v>DD</v>
      </c>
      <c r="AH21824" s="4" t="str">
        <f>HYPERLINK("#Statut_biogéographique!A"&amp;_xlfn.XMATCH("P",Statut_biogéographique!A:A,2,1),"P")</f>
        <v>P</v>
      </c>
      <c r="AM21824" s="4" t="s">
        <v>375</v>
      </c>
      <c r="AN21824" s="4" t="s">
        <v>375</v>
      </c>
      <c r="AO21824" s="4" t="s">
        <v>375</v>
      </c>
      <c r="AP21824" s="4" t="s">
        <v>376</v>
      </c>
      <c r="AR21824" s="4" t="s">
        <v>377</v>
      </c>
    </row>
    <row r="21825" spans="1:44" ht="45">
      <c r="A21825" s="4" t="s">
        <v>24364</v>
      </c>
      <c r="B21825" s="4">
        <v>133823</v>
      </c>
      <c r="D21825" s="5" t="s">
        <v>28474</v>
      </c>
      <c r="E21825" s="6" t="str">
        <f>HYPERLINK("https://inpn.mnhn.fr/espece/cd_nom/133823","Dianthus carthusianorum subsp. carthusianorum L., 1753")</f>
        <v>Dianthus carthusianorum subsp. carthusianorum L., 1753</v>
      </c>
      <c r="F21825" s="5" t="s">
        <v>28475</v>
      </c>
      <c r="N21825" s="4" t="str">
        <f>HYPERLINK("#Réglementation!A"&amp;_xlfn.XMATCH("V39P1",Réglementation!A:A,2,1),"V39P1")</f>
        <v>V39P1</v>
      </c>
      <c r="Q21825" s="7" t="str">
        <f>HYPERLINK("#Liste_rouge!A"&amp;_xlfn.XMATCH("LC",Liste_rouge!A:A,2,1),"LC")</f>
        <v>LC</v>
      </c>
      <c r="T21825" s="7" t="str">
        <f>HYPERLINK("#Liste_rouge!A"&amp;_xlfn.XMATCH("DD",Liste_rouge!A:A,2,1),"DD")</f>
        <v>DD</v>
      </c>
      <c r="AH21825" s="4" t="str">
        <f>HYPERLINK("#Statut_biogéographique!A"&amp;_xlfn.XMATCH("P",Statut_biogéographique!A:A,2,1),"P")</f>
        <v>P</v>
      </c>
      <c r="AK21825" s="4" t="str">
        <f>HYPERLINK("#Réglementation!A"&amp;_xlfn.XMATCH("V39P6",Réglementation!A:A,2,1),"V39P6")</f>
        <v>V39P6</v>
      </c>
      <c r="AP21825" s="4" t="s">
        <v>376</v>
      </c>
      <c r="AR21825" s="4" t="s">
        <v>377</v>
      </c>
    </row>
    <row r="21826" spans="1:44" ht="45">
      <c r="A21826" s="4" t="s">
        <v>24364</v>
      </c>
      <c r="B21826" s="4">
        <v>133910</v>
      </c>
      <c r="D21826" s="5">
        <v>133910</v>
      </c>
      <c r="E21826" s="6" t="str">
        <f>HYPERLINK("https://inpn.mnhn.fr/espece/cd_nom/133910","Diplotaxis muralis subsp. muralis (L.) DC., 1821")</f>
        <v>Diplotaxis muralis subsp. muralis (L.) DC., 1821</v>
      </c>
      <c r="F21826" s="5" t="s">
        <v>28476</v>
      </c>
      <c r="AH21826" s="4" t="str">
        <f>HYPERLINK("#Statut_biogéographique!A"&amp;_xlfn.XMATCH("P",Statut_biogéographique!A:A,2,1),"P")</f>
        <v>P</v>
      </c>
      <c r="AP21826" s="4" t="s">
        <v>376</v>
      </c>
      <c r="AR21826" s="4" t="s">
        <v>377</v>
      </c>
    </row>
    <row r="21827" spans="1:44" ht="30">
      <c r="A21827" s="4" t="s">
        <v>24364</v>
      </c>
      <c r="B21827" s="4">
        <v>133968</v>
      </c>
      <c r="D21827" s="5" t="s">
        <v>28477</v>
      </c>
      <c r="E21827" s="6" t="str">
        <f>HYPERLINK("https://inpn.mnhn.fr/espece/cd_nom/133968","Dryopteris affinis subsp. affinis (Lowe) Fraser-Jenk., 1979")</f>
        <v>Dryopteris affinis subsp. affinis (Lowe) Fraser-Jenk., 1979</v>
      </c>
      <c r="F21827" s="5" t="s">
        <v>28478</v>
      </c>
      <c r="Q21827" s="7" t="str">
        <f>HYPERLINK("#Liste_rouge!A"&amp;_xlfn.XMATCH("LC",Liste_rouge!A:A,2,1),"LC")</f>
        <v>LC</v>
      </c>
      <c r="T21827" s="7" t="str">
        <f>HYPERLINK("#Liste_rouge!A"&amp;_xlfn.XMATCH("LC",Liste_rouge!A:A,2,1),"LC")</f>
        <v>LC</v>
      </c>
      <c r="AH21827" s="4" t="str">
        <f>HYPERLINK("#Statut_biogéographique!A"&amp;_xlfn.XMATCH("P",Statut_biogéographique!A:A,2,1),"P")</f>
        <v>P</v>
      </c>
      <c r="AP21827" s="4" t="s">
        <v>376</v>
      </c>
      <c r="AR21827" s="4" t="s">
        <v>377</v>
      </c>
    </row>
    <row r="21828" spans="1:44" ht="75">
      <c r="A21828" s="4" t="s">
        <v>24364</v>
      </c>
      <c r="B21828" s="4">
        <v>133969</v>
      </c>
      <c r="D21828" s="5" t="s">
        <v>28479</v>
      </c>
      <c r="E21828" s="6" t="str">
        <f>HYPERLINK("https://inpn.mnhn.fr/espece/cd_nom/133969","Dryopteris affinis subsp. borreri (Newman) Fraser-Jenk., 1980")</f>
        <v>Dryopteris affinis subsp. borreri (Newman) Fraser-Jenk., 1980</v>
      </c>
      <c r="F21828" s="5" t="s">
        <v>28480</v>
      </c>
      <c r="O21828" s="7" t="str">
        <f>HYPERLINK("#Liste_rouge!A"&amp;_xlfn.XMATCH("LC",Liste_rouge!A:A,2,1),"LC")</f>
        <v>LC</v>
      </c>
      <c r="P21828" s="7" t="str">
        <f>HYPERLINK("#Liste_rouge!A"&amp;_xlfn.XMATCH("LC",Liste_rouge!A:A,2,1),"LC")</f>
        <v>LC</v>
      </c>
      <c r="Q21828" s="7" t="str">
        <f>HYPERLINK("#Liste_rouge!A"&amp;_xlfn.XMATCH("LC",Liste_rouge!A:A,2,1),"LC")</f>
        <v>LC</v>
      </c>
      <c r="T21828" s="7" t="str">
        <f>HYPERLINK("#Liste_rouge!A"&amp;_xlfn.XMATCH("DD",Liste_rouge!A:A,2,1),"DD")</f>
        <v>DD</v>
      </c>
      <c r="AB21828" s="4" t="s">
        <v>24634</v>
      </c>
      <c r="AH21828" s="4" t="str">
        <f>HYPERLINK("#Statut_biogéographique!A"&amp;_xlfn.XMATCH("P",Statut_biogéographique!A:A,2,1),"P")</f>
        <v>P</v>
      </c>
      <c r="AM21828" s="4" t="s">
        <v>375</v>
      </c>
      <c r="AN21828" s="4" t="s">
        <v>375</v>
      </c>
      <c r="AO21828" s="4" t="s">
        <v>375</v>
      </c>
      <c r="AP21828" s="4" t="s">
        <v>376</v>
      </c>
      <c r="AR21828" s="4" t="s">
        <v>377</v>
      </c>
    </row>
    <row r="21829" spans="1:44" ht="30">
      <c r="A21829" s="4" t="s">
        <v>24364</v>
      </c>
      <c r="B21829" s="4">
        <v>133970</v>
      </c>
      <c r="D21829" s="5" t="s">
        <v>28481</v>
      </c>
      <c r="E21829" s="6" t="str">
        <f>HYPERLINK("https://inpn.mnhn.fr/espece/cd_nom/133970","Dryopteris affinis subsp. cambrensis Fraser-Jenk., 1987")</f>
        <v>Dryopteris affinis subsp. cambrensis Fraser-Jenk., 1987</v>
      </c>
      <c r="F21829" s="5" t="s">
        <v>28482</v>
      </c>
      <c r="P21829" s="7" t="str">
        <f>HYPERLINK("#Liste_rouge!A"&amp;_xlfn.XMATCH("LC",Liste_rouge!A:A,2,1),"LC")</f>
        <v>LC</v>
      </c>
      <c r="Q21829" s="7" t="str">
        <f>HYPERLINK("#Liste_rouge!A"&amp;_xlfn.XMATCH("LC",Liste_rouge!A:A,2,1),"LC")</f>
        <v>LC</v>
      </c>
      <c r="AH21829" s="4" t="str">
        <f>HYPERLINK("#Statut_biogéographique!A"&amp;_xlfn.XMATCH("P",Statut_biogéographique!A:A,2,1),"P")</f>
        <v>P</v>
      </c>
      <c r="AM21829" s="4" t="s">
        <v>375</v>
      </c>
      <c r="AN21829" s="4" t="s">
        <v>375</v>
      </c>
      <c r="AO21829" s="4" t="s">
        <v>375</v>
      </c>
      <c r="AP21829" s="4" t="s">
        <v>376</v>
      </c>
      <c r="AR21829" s="4" t="s">
        <v>377</v>
      </c>
    </row>
    <row r="21830" spans="1:44" ht="30">
      <c r="A21830" s="4" t="s">
        <v>24364</v>
      </c>
      <c r="B21830" s="4">
        <v>133991</v>
      </c>
      <c r="D21830" s="5">
        <v>133991</v>
      </c>
      <c r="E21830" s="6" t="str">
        <f>HYPERLINK("https://inpn.mnhn.fr/espece/cd_nom/133991","Dryopteris x complexa nothosubsp. critica Fraser-Jenk., 1987")</f>
        <v>Dryopteris x complexa nothosubsp. critica Fraser-Jenk., 1987</v>
      </c>
      <c r="F21830" s="5" t="s">
        <v>28483</v>
      </c>
      <c r="AH21830" s="4" t="str">
        <f>HYPERLINK("#Statut_biogéographique!A"&amp;_xlfn.XMATCH("P",Statut_biogéographique!A:A,2,1),"P")</f>
        <v>P</v>
      </c>
      <c r="AP21830" s="4" t="s">
        <v>376</v>
      </c>
      <c r="AR21830" s="4" t="s">
        <v>377</v>
      </c>
    </row>
    <row r="21831" spans="1:44" ht="30">
      <c r="A21831" s="4" t="s">
        <v>24364</v>
      </c>
      <c r="B21831" s="4">
        <v>133992</v>
      </c>
      <c r="D21831" s="5">
        <v>133992</v>
      </c>
      <c r="E21831" s="6" t="str">
        <f>HYPERLINK("https://inpn.mnhn.fr/espece/cd_nom/133992","Dryopteris x complexa nothosubsp. complexa Fraser-Jenk., 1987")</f>
        <v>Dryopteris x complexa nothosubsp. complexa Fraser-Jenk., 1987</v>
      </c>
      <c r="F21831" s="5" t="s">
        <v>28484</v>
      </c>
      <c r="T21831" s="7" t="str">
        <f>HYPERLINK("#Liste_rouge!A"&amp;_xlfn.XMATCH("DD",Liste_rouge!A:A,2,1),"DD")</f>
        <v>DD</v>
      </c>
      <c r="AH21831" s="4" t="str">
        <f>HYPERLINK("#Statut_biogéographique!A"&amp;_xlfn.XMATCH("P",Statut_biogéographique!A:A,2,1),"P")</f>
        <v>P</v>
      </c>
      <c r="AP21831" s="4" t="s">
        <v>376</v>
      </c>
      <c r="AR21831" s="4" t="s">
        <v>377</v>
      </c>
    </row>
    <row r="21832" spans="1:44" ht="30">
      <c r="A21832" s="4" t="s">
        <v>24364</v>
      </c>
      <c r="B21832" s="4">
        <v>133994</v>
      </c>
      <c r="D21832" s="5">
        <v>133994</v>
      </c>
      <c r="E21832" s="6" t="str">
        <f>HYPERLINK("https://inpn.mnhn.fr/espece/cd_nom/133994","Ecballium elaterium var. elaterium (L.) A.Rich., 1824")</f>
        <v>Ecballium elaterium var. elaterium (L.) A.Rich., 1824</v>
      </c>
      <c r="F21832" s="5" t="s">
        <v>28485</v>
      </c>
      <c r="T21832" s="7" t="str">
        <f>HYPERLINK("#Liste_rouge!A"&amp;_xlfn.XMATCH("NA",Liste_rouge!A:A,2,1),"NA")</f>
        <v>NA</v>
      </c>
      <c r="AH21832" s="4" t="str">
        <f>HYPERLINK("#Statut_biogéographique!A"&amp;_xlfn.XMATCH("P",Statut_biogéographique!A:A,2,1),"P")</f>
        <v>P</v>
      </c>
      <c r="AP21832" s="4" t="s">
        <v>376</v>
      </c>
      <c r="AR21832" s="4" t="s">
        <v>377</v>
      </c>
    </row>
    <row r="21833" spans="1:44" ht="30">
      <c r="A21833" s="4" t="s">
        <v>24364</v>
      </c>
      <c r="B21833" s="4">
        <v>134053</v>
      </c>
      <c r="D21833" s="5" t="s">
        <v>28486</v>
      </c>
      <c r="E21833" s="6" t="str">
        <f>HYPERLINK("https://inpn.mnhn.fr/espece/cd_nom/134053","Eleocharis mamillata subsp. austriaca (Hayek) Strandh., 1965")</f>
        <v>Eleocharis mamillata subsp. austriaca (Hayek) Strandh., 1965</v>
      </c>
      <c r="F21833" s="5" t="s">
        <v>28487</v>
      </c>
      <c r="P21833" s="7" t="str">
        <f>HYPERLINK("#Liste_rouge!A"&amp;_xlfn.XMATCH("LC",Liste_rouge!A:A,2,1),"LC")</f>
        <v>LC</v>
      </c>
      <c r="Q21833" s="7" t="str">
        <f>HYPERLINK("#Liste_rouge!A"&amp;_xlfn.XMATCH("DD",Liste_rouge!A:A,2,1),"DD")</f>
        <v>DD</v>
      </c>
      <c r="AH21833" s="4" t="str">
        <f>HYPERLINK("#Statut_biogéographique!A"&amp;_xlfn.XMATCH("P",Statut_biogéographique!A:A,2,1),"P")</f>
        <v>P</v>
      </c>
      <c r="AM21833" s="4" t="s">
        <v>375</v>
      </c>
      <c r="AN21833" s="4" t="s">
        <v>375</v>
      </c>
      <c r="AO21833" s="4" t="s">
        <v>375</v>
      </c>
      <c r="AP21833" s="4" t="s">
        <v>376</v>
      </c>
      <c r="AR21833" s="4" t="s">
        <v>377</v>
      </c>
    </row>
    <row r="21834" spans="1:44" ht="60">
      <c r="A21834" s="4" t="s">
        <v>24364</v>
      </c>
      <c r="B21834" s="4">
        <v>134060</v>
      </c>
      <c r="D21834" s="5" t="s">
        <v>28488</v>
      </c>
      <c r="E21834" s="6" t="str">
        <f>HYPERLINK("https://inpn.mnhn.fr/espece/cd_nom/134060","Eleocharis palustris subsp. palustris (L.) Roem. &amp; Schult., 1817")</f>
        <v>Eleocharis palustris subsp. palustris (L.) Roem. &amp; Schult., 1817</v>
      </c>
      <c r="F21834" s="5" t="s">
        <v>28489</v>
      </c>
      <c r="Q21834" s="7" t="str">
        <f>HYPERLINK("#Liste_rouge!A"&amp;_xlfn.XMATCH("LC",Liste_rouge!A:A,2,1),"LC")</f>
        <v>LC</v>
      </c>
      <c r="T21834" s="7" t="str">
        <f>HYPERLINK("#Liste_rouge!A"&amp;_xlfn.XMATCH("DD",Liste_rouge!A:A,2,1),"DD")</f>
        <v>DD</v>
      </c>
      <c r="AH21834" s="4" t="str">
        <f>HYPERLINK("#Statut_biogéographique!A"&amp;_xlfn.XMATCH("P",Statut_biogéographique!A:A,2,1),"P")</f>
        <v>P</v>
      </c>
      <c r="AM21834" s="4" t="s">
        <v>375</v>
      </c>
      <c r="AN21834" s="4" t="s">
        <v>375</v>
      </c>
      <c r="AO21834" s="4" t="s">
        <v>375</v>
      </c>
      <c r="AP21834" s="4" t="s">
        <v>376</v>
      </c>
      <c r="AR21834" s="4" t="s">
        <v>377</v>
      </c>
    </row>
    <row r="21835" spans="1:44" ht="30">
      <c r="A21835" s="4" t="s">
        <v>24364</v>
      </c>
      <c r="B21835" s="4">
        <v>134082</v>
      </c>
      <c r="D21835" s="5">
        <v>134082</v>
      </c>
      <c r="E21835" s="6" t="str">
        <f>HYPERLINK("https://inpn.mnhn.fr/espece/cd_nom/134082","Elytrigia intermedia subsp. intermedia (Host) Nevski, 1933")</f>
        <v>Elytrigia intermedia subsp. intermedia (Host) Nevski, 1933</v>
      </c>
      <c r="F21835" s="5" t="s">
        <v>28490</v>
      </c>
      <c r="Q21835" s="7" t="str">
        <f>HYPERLINK("#Liste_rouge!A"&amp;_xlfn.XMATCH("LC",Liste_rouge!A:A,2,1),"LC")</f>
        <v>LC</v>
      </c>
      <c r="T21835" s="7" t="str">
        <f>HYPERLINK("#Liste_rouge!A"&amp;_xlfn.XMATCH("DD",Liste_rouge!A:A,2,1),"DD")</f>
        <v>DD</v>
      </c>
      <c r="AH21835" s="4" t="str">
        <f>HYPERLINK("#Statut_biogéographique!A"&amp;_xlfn.XMATCH("P",Statut_biogéographique!A:A,2,1),"P")</f>
        <v>P</v>
      </c>
      <c r="AM21835" s="4" t="s">
        <v>375</v>
      </c>
      <c r="AN21835" s="4" t="s">
        <v>375</v>
      </c>
      <c r="AO21835" s="4" t="s">
        <v>375</v>
      </c>
      <c r="AP21835" s="4" t="s">
        <v>376</v>
      </c>
      <c r="AR21835" s="4" t="s">
        <v>377</v>
      </c>
    </row>
    <row r="21836" spans="1:44" ht="30">
      <c r="A21836" s="4" t="s">
        <v>24364</v>
      </c>
      <c r="B21836" s="4">
        <v>134093</v>
      </c>
      <c r="D21836" s="5" t="s">
        <v>28491</v>
      </c>
      <c r="E21836" s="6" t="str">
        <f>HYPERLINK("https://inpn.mnhn.fr/espece/cd_nom/134093","Elytrigia repens subsp. repens (L.) Desv. ex Nevski, 1934")</f>
        <v>Elytrigia repens subsp. repens (L.) Desv. ex Nevski, 1934</v>
      </c>
      <c r="F21836" s="5" t="s">
        <v>28492</v>
      </c>
      <c r="T21836" s="7" t="str">
        <f>HYPERLINK("#Liste_rouge!A"&amp;_xlfn.XMATCH("DD",Liste_rouge!A:A,2,1),"DD")</f>
        <v>DD</v>
      </c>
      <c r="AH21836" s="4" t="str">
        <f>HYPERLINK("#Statut_biogéographique!A"&amp;_xlfn.XMATCH("P",Statut_biogéographique!A:A,2,1),"P")</f>
        <v>P</v>
      </c>
      <c r="AP21836" s="4" t="s">
        <v>376</v>
      </c>
      <c r="AR21836" s="4" t="s">
        <v>377</v>
      </c>
    </row>
    <row r="21837" spans="1:44">
      <c r="A21837" s="4" t="s">
        <v>24364</v>
      </c>
      <c r="B21837" s="4">
        <v>134096</v>
      </c>
      <c r="D21837" s="5">
        <v>134096</v>
      </c>
      <c r="E21837" s="6" t="str">
        <f>HYPERLINK("https://inpn.mnhn.fr/espece/cd_nom/134096","Empetrum nigrum subsp. nigrum L., 1753")</f>
        <v>Empetrum nigrum subsp. nigrum L., 1753</v>
      </c>
      <c r="F21837" s="5" t="s">
        <v>28493</v>
      </c>
      <c r="M21837" s="4" t="str">
        <f>HYPERLINK("#Réglementation!A"&amp;_xlfn.XMATCH("RV43",Réglementation!A:A,2,1),"RV43")</f>
        <v>RV43</v>
      </c>
      <c r="Q21837" s="7" t="str">
        <f>HYPERLINK("#Liste_rouge!A"&amp;_xlfn.XMATCH("NT",Liste_rouge!A:A,2,1),"NT")</f>
        <v>NT</v>
      </c>
      <c r="AH21837" s="4" t="str">
        <f>HYPERLINK("#Statut_biogéographique!A"&amp;_xlfn.XMATCH("P",Statut_biogéographique!A:A,2,1),"P")</f>
        <v>P</v>
      </c>
      <c r="AM21837" s="4" t="s">
        <v>375</v>
      </c>
      <c r="AN21837" s="4" t="s">
        <v>375</v>
      </c>
      <c r="AO21837" s="4" t="s">
        <v>375</v>
      </c>
      <c r="AP21837" s="4" t="s">
        <v>376</v>
      </c>
      <c r="AR21837" s="4" t="s">
        <v>377</v>
      </c>
    </row>
    <row r="21838" spans="1:44" ht="30">
      <c r="A21838" s="4" t="s">
        <v>24364</v>
      </c>
      <c r="B21838" s="4">
        <v>134108</v>
      </c>
      <c r="D21838" s="5" t="s">
        <v>28494</v>
      </c>
      <c r="E21838" s="6" t="str">
        <f>HYPERLINK("https://inpn.mnhn.fr/espece/cd_nom/134108","Epilobium angustifolium subsp. angustifolium L., 1753")</f>
        <v>Epilobium angustifolium subsp. angustifolium L., 1753</v>
      </c>
      <c r="F21838" s="5" t="s">
        <v>28495</v>
      </c>
      <c r="T21838" s="7" t="str">
        <f>HYPERLINK("#Liste_rouge!A"&amp;_xlfn.XMATCH("DD",Liste_rouge!A:A,2,1),"DD")</f>
        <v>DD</v>
      </c>
      <c r="AH21838" s="4" t="str">
        <f>HYPERLINK("#Statut_biogéographique!A"&amp;_xlfn.XMATCH("P",Statut_biogéographique!A:A,2,1),"P")</f>
        <v>P</v>
      </c>
      <c r="AP21838" s="4" t="s">
        <v>376</v>
      </c>
      <c r="AR21838" s="4" t="s">
        <v>377</v>
      </c>
    </row>
    <row r="21839" spans="1:44" ht="30">
      <c r="A21839" s="4" t="s">
        <v>24364</v>
      </c>
      <c r="B21839" s="4">
        <v>134113</v>
      </c>
      <c r="D21839" s="5">
        <v>134113</v>
      </c>
      <c r="E21839" s="6" t="str">
        <f>HYPERLINK("https://inpn.mnhn.fr/espece/cd_nom/134113","Epilobium dodonaei subsp. dodonaei Vill., 1779")</f>
        <v>Epilobium dodonaei subsp. dodonaei Vill., 1779</v>
      </c>
      <c r="F21839" s="5" t="s">
        <v>28496</v>
      </c>
      <c r="Q21839" s="7" t="str">
        <f>HYPERLINK("#Liste_rouge!A"&amp;_xlfn.XMATCH("LC",Liste_rouge!A:A,2,1),"LC")</f>
        <v>LC</v>
      </c>
      <c r="AH21839" s="4" t="str">
        <f>HYPERLINK("#Statut_biogéographique!A"&amp;_xlfn.XMATCH("P",Statut_biogéographique!A:A,2,1),"P")</f>
        <v>P</v>
      </c>
      <c r="AP21839" s="4" t="s">
        <v>376</v>
      </c>
      <c r="AR21839" s="4" t="s">
        <v>377</v>
      </c>
    </row>
    <row r="21840" spans="1:44" ht="30">
      <c r="A21840" s="4" t="s">
        <v>24364</v>
      </c>
      <c r="B21840" s="4">
        <v>134123</v>
      </c>
      <c r="D21840" s="5">
        <v>134123</v>
      </c>
      <c r="E21840" s="6" t="str">
        <f>HYPERLINK("https://inpn.mnhn.fr/espece/cd_nom/134123","Epilobium roseum subsp. roseum Schreb., 1771")</f>
        <v>Epilobium roseum subsp. roseum Schreb., 1771</v>
      </c>
      <c r="F21840" s="5" t="s">
        <v>28497</v>
      </c>
      <c r="AH21840" s="4" t="str">
        <f>HYPERLINK("#Statut_biogéographique!A"&amp;_xlfn.XMATCH("P",Statut_biogéographique!A:A,2,1),"P")</f>
        <v>P</v>
      </c>
      <c r="AP21840" s="4" t="s">
        <v>376</v>
      </c>
      <c r="AR21840" s="4" t="s">
        <v>377</v>
      </c>
    </row>
    <row r="21841" spans="1:44" ht="30">
      <c r="A21841" s="4" t="s">
        <v>24364</v>
      </c>
      <c r="B21841" s="4">
        <v>134129</v>
      </c>
      <c r="D21841" s="5" t="s">
        <v>28498</v>
      </c>
      <c r="E21841" s="6" t="str">
        <f>HYPERLINK("https://inpn.mnhn.fr/espece/cd_nom/134129","Epilobium tetragonum subsp. lamyi (F.W.Schultz) Nyman, 1879")</f>
        <v>Epilobium tetragonum subsp. lamyi (F.W.Schultz) Nyman, 1879</v>
      </c>
      <c r="F21841" s="5" t="s">
        <v>28499</v>
      </c>
      <c r="Q21841" s="7" t="str">
        <f>HYPERLINK("#Liste_rouge!A"&amp;_xlfn.XMATCH("LC",Liste_rouge!A:A,2,1),"LC")</f>
        <v>LC</v>
      </c>
      <c r="T21841" s="7" t="str">
        <f>HYPERLINK("#Liste_rouge!A"&amp;_xlfn.XMATCH("LC",Liste_rouge!A:A,2,1),"LC")</f>
        <v>LC</v>
      </c>
      <c r="AH21841" s="4" t="str">
        <f>HYPERLINK("#Statut_biogéographique!A"&amp;_xlfn.XMATCH("P",Statut_biogéographique!A:A,2,1),"P")</f>
        <v>P</v>
      </c>
      <c r="AP21841" s="4" t="s">
        <v>376</v>
      </c>
      <c r="AR21841" s="4" t="s">
        <v>377</v>
      </c>
    </row>
    <row r="21842" spans="1:44" ht="30">
      <c r="A21842" s="4" t="s">
        <v>24364</v>
      </c>
      <c r="B21842" s="4">
        <v>134131</v>
      </c>
      <c r="D21842" s="5" t="s">
        <v>28500</v>
      </c>
      <c r="E21842" s="6" t="str">
        <f>HYPERLINK("https://inpn.mnhn.fr/espece/cd_nom/134131","Epilobium tetragonum subsp. tetragonum L., 1753")</f>
        <v>Epilobium tetragonum subsp. tetragonum L., 1753</v>
      </c>
      <c r="F21842" s="5" t="s">
        <v>28501</v>
      </c>
      <c r="Q21842" s="7" t="str">
        <f>HYPERLINK("#Liste_rouge!A"&amp;_xlfn.XMATCH("LC",Liste_rouge!A:A,2,1),"LC")</f>
        <v>LC</v>
      </c>
      <c r="T21842" s="7" t="str">
        <f>HYPERLINK("#Liste_rouge!A"&amp;_xlfn.XMATCH("LC",Liste_rouge!A:A,2,1),"LC")</f>
        <v>LC</v>
      </c>
      <c r="AH21842" s="4" t="str">
        <f>HYPERLINK("#Statut_biogéographique!A"&amp;_xlfn.XMATCH("P",Statut_biogéographique!A:A,2,1),"P")</f>
        <v>P</v>
      </c>
      <c r="AP21842" s="4" t="s">
        <v>376</v>
      </c>
      <c r="AR21842" s="4" t="s">
        <v>377</v>
      </c>
    </row>
    <row r="21843" spans="1:44" ht="30">
      <c r="A21843" s="4" t="s">
        <v>24364</v>
      </c>
      <c r="B21843" s="4">
        <v>134132</v>
      </c>
      <c r="D21843" s="5" t="s">
        <v>28502</v>
      </c>
      <c r="E21843" s="6" t="str">
        <f>HYPERLINK("https://inpn.mnhn.fr/espece/cd_nom/134132","Epilobium tetragonum subsp. tournefortii (Michalet) H.Lév., 1896")</f>
        <v>Epilobium tetragonum subsp. tournefortii (Michalet) H.Lév., 1896</v>
      </c>
      <c r="F21843" s="5" t="s">
        <v>28503</v>
      </c>
      <c r="Q21843" s="7" t="str">
        <f>HYPERLINK("#Liste_rouge!A"&amp;_xlfn.XMATCH("DD",Liste_rouge!A:A,2,1),"DD")</f>
        <v>DD</v>
      </c>
      <c r="T21843" s="7" t="str">
        <f>HYPERLINK("#Liste_rouge!A"&amp;_xlfn.XMATCH("NA",Liste_rouge!A:A,2,1),"NA")</f>
        <v>NA</v>
      </c>
      <c r="AH21843" s="4" t="str">
        <f>HYPERLINK("#Statut_biogéographique!A"&amp;_xlfn.XMATCH("P",Statut_biogéographique!A:A,2,1),"P")</f>
        <v>P</v>
      </c>
      <c r="AP21843" s="4" t="s">
        <v>376</v>
      </c>
      <c r="AR21843" s="4" t="s">
        <v>377</v>
      </c>
    </row>
    <row r="21844" spans="1:44" ht="45">
      <c r="A21844" s="4" t="s">
        <v>24364</v>
      </c>
      <c r="B21844" s="4">
        <v>134141</v>
      </c>
      <c r="D21844" s="5" t="s">
        <v>28504</v>
      </c>
      <c r="E21844" s="6" t="str">
        <f>HYPERLINK("https://inpn.mnhn.fr/espece/cd_nom/134141","Epipactis helleborine subsp. helleborine (L.) Crantz, 1769")</f>
        <v>Epipactis helleborine subsp. helleborine (L.) Crantz, 1769</v>
      </c>
      <c r="F21844" s="5" t="s">
        <v>28505</v>
      </c>
      <c r="G21844" s="4" t="str">
        <f>HYPERLINK("[#Réglementation!A"&amp;_xlfn.XMATCH("CCB",Réglementation!A:A,2,1),"CCB")</f>
        <v>CCB</v>
      </c>
      <c r="Q21844" s="7" t="str">
        <f>HYPERLINK("#Liste_rouge!A"&amp;_xlfn.XMATCH("LC",Liste_rouge!A:A,2,1),"LC")</f>
        <v>LC</v>
      </c>
      <c r="T21844" s="7" t="str">
        <f>HYPERLINK("#Liste_rouge!A"&amp;_xlfn.XMATCH("DD",Liste_rouge!A:A,2,1),"DD")</f>
        <v>DD</v>
      </c>
      <c r="AH21844" s="4" t="str">
        <f>HYPERLINK("#Statut_biogéographique!A"&amp;_xlfn.XMATCH("P",Statut_biogéographique!A:A,2,1),"P")</f>
        <v>P</v>
      </c>
      <c r="AM21844" s="4" t="s">
        <v>375</v>
      </c>
      <c r="AN21844" s="4" t="s">
        <v>375</v>
      </c>
      <c r="AO21844" s="4" t="s">
        <v>375</v>
      </c>
      <c r="AP21844" s="4" t="s">
        <v>376</v>
      </c>
      <c r="AR21844" s="4" t="s">
        <v>377</v>
      </c>
    </row>
    <row r="21845" spans="1:44" ht="30">
      <c r="A21845" s="4" t="s">
        <v>24364</v>
      </c>
      <c r="B21845" s="4">
        <v>134159</v>
      </c>
      <c r="D21845" s="5" t="s">
        <v>28506</v>
      </c>
      <c r="E21845" s="6" t="str">
        <f>HYPERLINK("https://inpn.mnhn.fr/espece/cd_nom/134159","Epipactis leptochila subsp. leptochila (Godfery) Godfery, 1921")</f>
        <v>Epipactis leptochila subsp. leptochila (Godfery) Godfery, 1921</v>
      </c>
      <c r="F21845" s="5" t="s">
        <v>28507</v>
      </c>
      <c r="G21845" s="4" t="str">
        <f>HYPERLINK("[#Réglementation!A"&amp;_xlfn.XMATCH("CCB",Réglementation!A:A,2,1),"CCB")</f>
        <v>CCB</v>
      </c>
      <c r="Q21845" s="7" t="str">
        <f>HYPERLINK("#Liste_rouge!A"&amp;_xlfn.XMATCH("LC",Liste_rouge!A:A,2,1),"LC")</f>
        <v>LC</v>
      </c>
      <c r="AH21845" s="4" t="str">
        <f>HYPERLINK("#Statut_biogéographique!A"&amp;_xlfn.XMATCH("P",Statut_biogéographique!A:A,2,1),"P")</f>
        <v>P</v>
      </c>
      <c r="AP21845" s="4" t="s">
        <v>376</v>
      </c>
      <c r="AR21845" s="4" t="s">
        <v>377</v>
      </c>
    </row>
    <row r="21846" spans="1:44" ht="75">
      <c r="A21846" s="4" t="s">
        <v>24364</v>
      </c>
      <c r="B21846" s="4">
        <v>134238</v>
      </c>
      <c r="D21846" s="5" t="s">
        <v>28508</v>
      </c>
      <c r="E21846" s="6" t="str">
        <f>HYPERLINK("https://inpn.mnhn.fr/espece/cd_nom/134238","Erodium cicutarium subsp. cicutarium (L.) L'Hér., 1789")</f>
        <v>Erodium cicutarium subsp. cicutarium (L.) L'Hér., 1789</v>
      </c>
      <c r="F21846" s="5" t="s">
        <v>28509</v>
      </c>
      <c r="Q21846" s="7" t="str">
        <f>HYPERLINK("#Liste_rouge!A"&amp;_xlfn.XMATCH("LC",Liste_rouge!A:A,2,1),"LC")</f>
        <v>LC</v>
      </c>
      <c r="T21846" s="7" t="str">
        <f>HYPERLINK("#Liste_rouge!A"&amp;_xlfn.XMATCH("LC",Liste_rouge!A:A,2,1),"LC")</f>
        <v>LC</v>
      </c>
      <c r="AH21846" s="4" t="str">
        <f>HYPERLINK("#Statut_biogéographique!A"&amp;_xlfn.XMATCH("P",Statut_biogéographique!A:A,2,1),"P")</f>
        <v>P</v>
      </c>
      <c r="AP21846" s="4" t="s">
        <v>376</v>
      </c>
      <c r="AR21846" s="4" t="s">
        <v>377</v>
      </c>
    </row>
    <row r="21847" spans="1:44" ht="30">
      <c r="A21847" s="4" t="s">
        <v>24364</v>
      </c>
      <c r="B21847" s="4">
        <v>134287</v>
      </c>
      <c r="D21847" s="5">
        <v>134287</v>
      </c>
      <c r="E21847" s="6" t="str">
        <f>HYPERLINK("https://inpn.mnhn.fr/espece/cd_nom/134287","Erucastrum nasturtiifolium subsp. nasturtiifolium (Poir.) O.E.Schulz, 1916")</f>
        <v>Erucastrum nasturtiifolium subsp. nasturtiifolium (Poir.) O.E.Schulz, 1916</v>
      </c>
      <c r="F21847" s="5" t="s">
        <v>28510</v>
      </c>
      <c r="Q21847" s="7" t="str">
        <f>HYPERLINK("#Liste_rouge!A"&amp;_xlfn.XMATCH("LC",Liste_rouge!A:A,2,1),"LC")</f>
        <v>LC</v>
      </c>
      <c r="T21847" s="7" t="str">
        <f>HYPERLINK("#Liste_rouge!A"&amp;_xlfn.XMATCH("NA",Liste_rouge!A:A,2,1),"NA")</f>
        <v>NA</v>
      </c>
      <c r="AH21847" s="4" t="str">
        <f>HYPERLINK("#Statut_biogéographique!A"&amp;_xlfn.XMATCH("P",Statut_biogéographique!A:A,2,1),"P")</f>
        <v>P</v>
      </c>
      <c r="AP21847" s="4" t="s">
        <v>376</v>
      </c>
      <c r="AR21847" s="4" t="s">
        <v>377</v>
      </c>
    </row>
    <row r="21848" spans="1:44" ht="30">
      <c r="A21848" s="4" t="s">
        <v>24364</v>
      </c>
      <c r="B21848" s="4">
        <v>134294</v>
      </c>
      <c r="D21848" s="5">
        <v>134294</v>
      </c>
      <c r="E21848" s="6" t="str">
        <f>HYPERLINK("https://inpn.mnhn.fr/espece/cd_nom/134294","Erysimum cheiranthoides subsp. cheiranthoides L., 1753")</f>
        <v>Erysimum cheiranthoides subsp. cheiranthoides L., 1753</v>
      </c>
      <c r="F21848" s="5" t="s">
        <v>28511</v>
      </c>
      <c r="AH21848" s="4" t="str">
        <f>HYPERLINK("#Statut_biogéographique!A"&amp;_xlfn.XMATCH("P",Statut_biogéographique!A:A,2,1),"P")</f>
        <v>P</v>
      </c>
      <c r="AP21848" s="4" t="s">
        <v>376</v>
      </c>
      <c r="AR21848" s="4" t="s">
        <v>377</v>
      </c>
    </row>
    <row r="21849" spans="1:44" ht="30">
      <c r="A21849" s="4" t="s">
        <v>24364</v>
      </c>
      <c r="B21849" s="4">
        <v>134346</v>
      </c>
      <c r="D21849" s="5">
        <v>134346</v>
      </c>
      <c r="E21849" s="6" t="str">
        <f>HYPERLINK("https://inpn.mnhn.fr/espece/cd_nom/134346","Eupatorium cannabinum subsp. cannabinum L., 1753")</f>
        <v>Eupatorium cannabinum subsp. cannabinum L., 1753</v>
      </c>
      <c r="F21849" s="5" t="s">
        <v>28512</v>
      </c>
      <c r="Q21849" s="7" t="str">
        <f>HYPERLINK("#Liste_rouge!A"&amp;_xlfn.XMATCH("LC",Liste_rouge!A:A,2,1),"LC")</f>
        <v>LC</v>
      </c>
      <c r="AH21849" s="4" t="str">
        <f>HYPERLINK("#Statut_biogéographique!A"&amp;_xlfn.XMATCH("P",Statut_biogéographique!A:A,2,1),"P")</f>
        <v>P</v>
      </c>
      <c r="AP21849" s="4" t="s">
        <v>376</v>
      </c>
      <c r="AR21849" s="4" t="s">
        <v>377</v>
      </c>
    </row>
    <row r="21850" spans="1:44" ht="45">
      <c r="A21850" s="4" t="s">
        <v>24364</v>
      </c>
      <c r="B21850" s="4">
        <v>134348</v>
      </c>
      <c r="D21850" s="5" t="s">
        <v>28513</v>
      </c>
      <c r="E21850" s="6" t="str">
        <f>HYPERLINK("https://inpn.mnhn.fr/espece/cd_nom/134348","Euphorbia amygdaloides subsp. amygdaloides L., 1753")</f>
        <v>Euphorbia amygdaloides subsp. amygdaloides L., 1753</v>
      </c>
      <c r="F21850" s="5" t="s">
        <v>28514</v>
      </c>
      <c r="Q21850" s="7" t="str">
        <f>HYPERLINK("#Liste_rouge!A"&amp;_xlfn.XMATCH("LC",Liste_rouge!A:A,2,1),"LC")</f>
        <v>LC</v>
      </c>
      <c r="T21850" s="7" t="str">
        <f>HYPERLINK("#Liste_rouge!A"&amp;_xlfn.XMATCH("DD",Liste_rouge!A:A,2,1),"DD")</f>
        <v>DD</v>
      </c>
      <c r="AH21850" s="4" t="str">
        <f>HYPERLINK("#Statut_biogéographique!A"&amp;_xlfn.XMATCH("P",Statut_biogéographique!A:A,2,1),"P")</f>
        <v>P</v>
      </c>
      <c r="AP21850" s="4" t="s">
        <v>376</v>
      </c>
      <c r="AR21850" s="4" t="s">
        <v>377</v>
      </c>
    </row>
    <row r="21851" spans="1:44" ht="45">
      <c r="A21851" s="4" t="s">
        <v>24364</v>
      </c>
      <c r="B21851" s="4">
        <v>134413</v>
      </c>
      <c r="D21851" s="5" t="s">
        <v>28515</v>
      </c>
      <c r="E21851" s="6" t="str">
        <f>HYPERLINK("https://inpn.mnhn.fr/espece/cd_nom/134413","Euphorbia seguieriana subsp. seguieriana Neck., 1770")</f>
        <v>Euphorbia seguieriana subsp. seguieriana Neck., 1770</v>
      </c>
      <c r="F21851" s="5" t="s">
        <v>28516</v>
      </c>
      <c r="M21851" s="4" t="str">
        <f>HYPERLINK("#Réglementation!A"&amp;_xlfn.XMATCH("RV43",Réglementation!A:A,2,1),"RV43")</f>
        <v>RV43</v>
      </c>
      <c r="Q21851" s="7" t="str">
        <f>HYPERLINK("#Liste_rouge!A"&amp;_xlfn.XMATCH("LC",Liste_rouge!A:A,2,1),"LC")</f>
        <v>LC</v>
      </c>
      <c r="AH21851" s="4" t="str">
        <f>HYPERLINK("#Statut_biogéographique!A"&amp;_xlfn.XMATCH("P",Statut_biogéographique!A:A,2,1),"P")</f>
        <v>P</v>
      </c>
      <c r="AP21851" s="4" t="s">
        <v>376</v>
      </c>
      <c r="AR21851" s="4" t="s">
        <v>377</v>
      </c>
    </row>
    <row r="21852" spans="1:44" ht="45">
      <c r="A21852" s="4" t="s">
        <v>24364</v>
      </c>
      <c r="B21852" s="4">
        <v>134454</v>
      </c>
      <c r="D21852" s="5" t="s">
        <v>28517</v>
      </c>
      <c r="E21852" s="6" t="str">
        <f>HYPERLINK("https://inpn.mnhn.fr/espece/cd_nom/134454","Euphrasia officinalis subsp. rostkoviana (Hayne) F.Towns., 1884")</f>
        <v>Euphrasia officinalis subsp. rostkoviana (Hayne) F.Towns., 1884</v>
      </c>
      <c r="F21852" s="5" t="s">
        <v>28518</v>
      </c>
      <c r="P21852" s="7" t="str">
        <f>HYPERLINK("#Liste_rouge!A"&amp;_xlfn.XMATCH("LC",Liste_rouge!A:A,2,1),"LC")</f>
        <v>LC</v>
      </c>
      <c r="Q21852" s="7" t="str">
        <f>HYPERLINK("#Liste_rouge!A"&amp;_xlfn.XMATCH("LC",Liste_rouge!A:A,2,1),"LC")</f>
        <v>LC</v>
      </c>
      <c r="T21852" s="7" t="str">
        <f>HYPERLINK("#Liste_rouge!A"&amp;_xlfn.XMATCH("DD",Liste_rouge!A:A,2,1),"DD")</f>
        <v>DD</v>
      </c>
      <c r="AB21852" s="4" t="s">
        <v>24803</v>
      </c>
      <c r="AH21852" s="4" t="str">
        <f>HYPERLINK("#Statut_biogéographique!A"&amp;_xlfn.XMATCH("P",Statut_biogéographique!A:A,2,1),"P")</f>
        <v>P</v>
      </c>
      <c r="AM21852" s="4" t="s">
        <v>375</v>
      </c>
      <c r="AN21852" s="4" t="s">
        <v>375</v>
      </c>
      <c r="AO21852" s="4" t="s">
        <v>375</v>
      </c>
      <c r="AP21852" s="4" t="s">
        <v>376</v>
      </c>
      <c r="AR21852" s="4" t="s">
        <v>377</v>
      </c>
    </row>
    <row r="21853" spans="1:44" ht="30">
      <c r="A21853" s="4" t="s">
        <v>24364</v>
      </c>
      <c r="B21853" s="4">
        <v>134483</v>
      </c>
      <c r="D21853" s="5">
        <v>134483</v>
      </c>
      <c r="E21853" s="6" t="str">
        <f>HYPERLINK("https://inpn.mnhn.fr/espece/cd_nom/134483","Festuca amethystina subsp. amethystina L., 1753")</f>
        <v>Festuca amethystina subsp. amethystina L., 1753</v>
      </c>
      <c r="F21853" s="5" t="s">
        <v>28519</v>
      </c>
      <c r="M21853" s="4" t="str">
        <f>HYPERLINK("#Réglementation!A"&amp;_xlfn.XMATCH("RV43",Réglementation!A:A,2,1),"RV43")</f>
        <v>RV43</v>
      </c>
      <c r="AH21853" s="4" t="str">
        <f>HYPERLINK("#Statut_biogéographique!A"&amp;_xlfn.XMATCH("P",Statut_biogéographique!A:A,2,1),"P")</f>
        <v>P</v>
      </c>
      <c r="AP21853" s="4" t="s">
        <v>389</v>
      </c>
      <c r="AR21853" s="4" t="s">
        <v>377</v>
      </c>
    </row>
    <row r="21854" spans="1:44" ht="60">
      <c r="A21854" s="4" t="s">
        <v>24364</v>
      </c>
      <c r="B21854" s="4">
        <v>134555</v>
      </c>
      <c r="D21854" s="5" t="s">
        <v>28520</v>
      </c>
      <c r="E21854" s="6" t="str">
        <f>HYPERLINK("https://inpn.mnhn.fr/espece/cd_nom/134555","Festuca marginata subsp. marginata (Hack.) K.Richt., 1890")</f>
        <v>Festuca marginata subsp. marginata (Hack.) K.Richt., 1890</v>
      </c>
      <c r="F21854" s="5" t="s">
        <v>28521</v>
      </c>
      <c r="Q21854" s="7" t="str">
        <f>HYPERLINK("#Liste_rouge!A"&amp;_xlfn.XMATCH("LC",Liste_rouge!A:A,2,1),"LC")</f>
        <v>LC</v>
      </c>
      <c r="T21854" s="7" t="str">
        <f>HYPERLINK("#Liste_rouge!A"&amp;_xlfn.XMATCH("DD",Liste_rouge!A:A,2,1),"DD")</f>
        <v>DD</v>
      </c>
      <c r="AH21854" s="4" t="str">
        <f>HYPERLINK("#Statut_biogéographique!A"&amp;_xlfn.XMATCH("P",Statut_biogéographique!A:A,2,1),"P")</f>
        <v>P</v>
      </c>
      <c r="AM21854" s="4" t="s">
        <v>375</v>
      </c>
      <c r="AN21854" s="4" t="s">
        <v>375</v>
      </c>
      <c r="AO21854" s="4" t="s">
        <v>375</v>
      </c>
      <c r="AP21854" s="4" t="s">
        <v>376</v>
      </c>
      <c r="AR21854" s="4" t="s">
        <v>377</v>
      </c>
    </row>
    <row r="21855" spans="1:44" ht="45">
      <c r="A21855" s="4" t="s">
        <v>24364</v>
      </c>
      <c r="B21855" s="4">
        <v>134579</v>
      </c>
      <c r="D21855" s="5" t="s">
        <v>28522</v>
      </c>
      <c r="E21855" s="6" t="str">
        <f>HYPERLINK("https://inpn.mnhn.fr/espece/cd_nom/134579","Festuca ovina subsp. guestfalica (Boenn. ex Rchb.) K.Richt., 1890")</f>
        <v>Festuca ovina subsp. guestfalica (Boenn. ex Rchb.) K.Richt., 1890</v>
      </c>
      <c r="F21855" s="5" t="s">
        <v>28523</v>
      </c>
      <c r="Q21855" s="7" t="str">
        <f>HYPERLINK("#Liste_rouge!A"&amp;_xlfn.XMATCH("LC",Liste_rouge!A:A,2,1),"LC")</f>
        <v>LC</v>
      </c>
      <c r="T21855" s="7" t="str">
        <f>HYPERLINK("#Liste_rouge!A"&amp;_xlfn.XMATCH("EN",Liste_rouge!A:A,2,1),"EN")</f>
        <v>EN</v>
      </c>
      <c r="U21855" s="4" t="str">
        <f>HYPERLINK("#Critères_liste_rouge!A$1","B2ab(ii,iii,iv)")</f>
        <v>B2ab(ii,iii,iv)</v>
      </c>
      <c r="AB21855" s="4" t="s">
        <v>24803</v>
      </c>
      <c r="AH21855" s="4" t="str">
        <f>HYPERLINK("#Statut_biogéographique!A"&amp;_xlfn.XMATCH("P",Statut_biogéographique!A:A,2,1),"P")</f>
        <v>P</v>
      </c>
      <c r="AM21855" s="4" t="s">
        <v>375</v>
      </c>
      <c r="AN21855" s="4" t="s">
        <v>375</v>
      </c>
      <c r="AO21855" s="4" t="s">
        <v>375</v>
      </c>
      <c r="AP21855" s="4" t="s">
        <v>376</v>
      </c>
      <c r="AR21855" s="4" t="s">
        <v>377</v>
      </c>
    </row>
    <row r="21856" spans="1:44" ht="60">
      <c r="A21856" s="4" t="s">
        <v>24364</v>
      </c>
      <c r="B21856" s="4">
        <v>134619</v>
      </c>
      <c r="D21856" s="5" t="s">
        <v>28524</v>
      </c>
      <c r="E21856" s="6" t="str">
        <f>HYPERLINK("https://inpn.mnhn.fr/espece/cd_nom/134619","Festuca rubra subsp. juncea (Hack.) K.Richt., 1890")</f>
        <v>Festuca rubra subsp. juncea (Hack.) K.Richt., 1890</v>
      </c>
      <c r="F21856" s="5" t="s">
        <v>28525</v>
      </c>
      <c r="Q21856" s="7" t="str">
        <f>HYPERLINK("#Liste_rouge!A"&amp;_xlfn.XMATCH("LC",Liste_rouge!A:A,2,1),"LC")</f>
        <v>LC</v>
      </c>
      <c r="T21856" s="7" t="str">
        <f>HYPERLINK("#Liste_rouge!A"&amp;_xlfn.XMATCH("DD",Liste_rouge!A:A,2,1),"DD")</f>
        <v>DD</v>
      </c>
      <c r="AH21856" s="4" t="str">
        <f>HYPERLINK("#Statut_biogéographique!A"&amp;_xlfn.XMATCH("P",Statut_biogéographique!A:A,2,1),"P")</f>
        <v>P</v>
      </c>
      <c r="AM21856" s="4" t="s">
        <v>375</v>
      </c>
      <c r="AN21856" s="4" t="s">
        <v>375</v>
      </c>
      <c r="AO21856" s="4" t="s">
        <v>375</v>
      </c>
      <c r="AP21856" s="4" t="s">
        <v>376</v>
      </c>
      <c r="AR21856" s="4" t="s">
        <v>377</v>
      </c>
    </row>
    <row r="21857" spans="1:44">
      <c r="A21857" s="4" t="s">
        <v>24364</v>
      </c>
      <c r="B21857" s="4">
        <v>134631</v>
      </c>
      <c r="D21857" s="5" t="s">
        <v>28526</v>
      </c>
      <c r="E21857" s="6" t="str">
        <f>HYPERLINK("https://inpn.mnhn.fr/espece/cd_nom/134631","Festuca rubra subsp. rubra L., 1753")</f>
        <v>Festuca rubra subsp. rubra L., 1753</v>
      </c>
      <c r="F21857" s="5" t="s">
        <v>28527</v>
      </c>
      <c r="Q21857" s="7" t="str">
        <f>HYPERLINK("#Liste_rouge!A"&amp;_xlfn.XMATCH("LC",Liste_rouge!A:A,2,1),"LC")</f>
        <v>LC</v>
      </c>
      <c r="T21857" s="7" t="str">
        <f>HYPERLINK("#Liste_rouge!A"&amp;_xlfn.XMATCH("DD",Liste_rouge!A:A,2,1),"DD")</f>
        <v>DD</v>
      </c>
      <c r="AH21857" s="4" t="str">
        <f>HYPERLINK("#Statut_biogéographique!A"&amp;_xlfn.XMATCH("P",Statut_biogéographique!A:A,2,1),"P")</f>
        <v>P</v>
      </c>
      <c r="AM21857" s="4" t="s">
        <v>375</v>
      </c>
      <c r="AN21857" s="4" t="s">
        <v>375</v>
      </c>
      <c r="AO21857" s="4" t="s">
        <v>375</v>
      </c>
      <c r="AP21857" s="4" t="s">
        <v>376</v>
      </c>
      <c r="AR21857" s="4" t="s">
        <v>377</v>
      </c>
    </row>
    <row r="21858" spans="1:44" ht="45">
      <c r="A21858" s="4" t="s">
        <v>24364</v>
      </c>
      <c r="B21858" s="4">
        <v>134666</v>
      </c>
      <c r="D21858" s="5" t="s">
        <v>28528</v>
      </c>
      <c r="E21858" s="6" t="str">
        <f>HYPERLINK("https://inpn.mnhn.fr/espece/cd_nom/134666","Ficaria verna subsp. grandiflora (Robert) Hayek, 1924")</f>
        <v>Ficaria verna subsp. grandiflora (Robert) Hayek, 1924</v>
      </c>
      <c r="F21858" s="5" t="s">
        <v>28529</v>
      </c>
      <c r="Q21858" s="7" t="str">
        <f>HYPERLINK("#Liste_rouge!A"&amp;_xlfn.XMATCH("DD",Liste_rouge!A:A,2,1),"DD")</f>
        <v>DD</v>
      </c>
      <c r="AH21858" s="4" t="str">
        <f>HYPERLINK("#Statut_biogéographique!A"&amp;_xlfn.XMATCH("P",Statut_biogéographique!A:A,2,1),"P")</f>
        <v>P</v>
      </c>
      <c r="AP21858" s="4" t="s">
        <v>376</v>
      </c>
      <c r="AR21858" s="4" t="s">
        <v>377</v>
      </c>
    </row>
    <row r="21859" spans="1:44">
      <c r="A21859" s="4" t="s">
        <v>24364</v>
      </c>
      <c r="B21859" s="4">
        <v>134682</v>
      </c>
      <c r="D21859" s="5">
        <v>134682</v>
      </c>
      <c r="E21859" s="6" t="str">
        <f>HYPERLINK("https://inpn.mnhn.fr/espece/cd_nom/134682","Filago lutescens subsp. lutescens Jord., 1846")</f>
        <v>Filago lutescens subsp. lutescens Jord., 1846</v>
      </c>
      <c r="F21859" s="5" t="s">
        <v>28530</v>
      </c>
      <c r="T21859" s="7" t="str">
        <f>HYPERLINK("#Liste_rouge!A"&amp;_xlfn.XMATCH("DD",Liste_rouge!A:A,2,1),"DD")</f>
        <v>DD</v>
      </c>
      <c r="AH21859" s="4" t="str">
        <f>HYPERLINK("#Statut_biogéographique!A"&amp;_xlfn.XMATCH("P",Statut_biogéographique!A:A,2,1),"P")</f>
        <v>P</v>
      </c>
      <c r="AP21859" s="4" t="s">
        <v>376</v>
      </c>
      <c r="AR21859" s="4" t="s">
        <v>377</v>
      </c>
    </row>
    <row r="21860" spans="1:44" ht="45">
      <c r="A21860" s="4" t="s">
        <v>24364</v>
      </c>
      <c r="B21860" s="4">
        <v>134696</v>
      </c>
      <c r="D21860" s="5" t="s">
        <v>28531</v>
      </c>
      <c r="E21860" s="6" t="str">
        <f>HYPERLINK("https://inpn.mnhn.fr/espece/cd_nom/134696","Foeniculum vulgare subsp. vulgare Mill., 1768")</f>
        <v>Foeniculum vulgare subsp. vulgare Mill., 1768</v>
      </c>
      <c r="F21860" s="5" t="s">
        <v>28532</v>
      </c>
      <c r="Q21860" s="7" t="str">
        <f>HYPERLINK("#Liste_rouge!A"&amp;_xlfn.XMATCH("LC",Liste_rouge!A:A,2,1),"LC")</f>
        <v>LC</v>
      </c>
      <c r="T21860" s="7" t="str">
        <f>HYPERLINK("#Liste_rouge!A"&amp;_xlfn.XMATCH("NA",Liste_rouge!A:A,2,1),"NA")</f>
        <v>NA</v>
      </c>
      <c r="AH21860" s="4" t="str">
        <f>HYPERLINK("#Statut_biogéographique!A"&amp;_xlfn.XMATCH("P",Statut_biogéographique!A:A,2,1),"P")</f>
        <v>P</v>
      </c>
      <c r="AP21860" s="4" t="s">
        <v>376</v>
      </c>
      <c r="AR21860" s="4" t="s">
        <v>377</v>
      </c>
    </row>
    <row r="21861" spans="1:44">
      <c r="A21861" s="4" t="s">
        <v>24364</v>
      </c>
      <c r="B21861" s="4">
        <v>134701</v>
      </c>
      <c r="D21861" s="5">
        <v>134701</v>
      </c>
      <c r="E21861" s="6" t="str">
        <f>HYPERLINK("https://inpn.mnhn.fr/espece/cd_nom/134701","Fragaria viridis subsp. viridis Weston, 1771")</f>
        <v>Fragaria viridis subsp. viridis Weston, 1771</v>
      </c>
      <c r="F21861" s="5" t="s">
        <v>28533</v>
      </c>
      <c r="T21861" s="7" t="str">
        <f>HYPERLINK("#Liste_rouge!A"&amp;_xlfn.XMATCH("DD",Liste_rouge!A:A,2,1),"DD")</f>
        <v>DD</v>
      </c>
      <c r="AH21861" s="4" t="str">
        <f>HYPERLINK("#Statut_biogéographique!A"&amp;_xlfn.XMATCH("P",Statut_biogéographique!A:A,2,1),"P")</f>
        <v>P</v>
      </c>
      <c r="AP21861" s="4" t="s">
        <v>376</v>
      </c>
      <c r="AR21861" s="4" t="s">
        <v>377</v>
      </c>
    </row>
    <row r="21862" spans="1:44" ht="30">
      <c r="A21862" s="4" t="s">
        <v>24364</v>
      </c>
      <c r="B21862" s="4">
        <v>134708</v>
      </c>
      <c r="D21862" s="5">
        <v>134708</v>
      </c>
      <c r="E21862" s="6" t="str">
        <f>HYPERLINK("https://inpn.mnhn.fr/espece/cd_nom/134708","Fraxinus angustifolia subsp. angustifolia Vahl, 1804")</f>
        <v>Fraxinus angustifolia subsp. angustifolia Vahl, 1804</v>
      </c>
      <c r="F21862" s="5" t="s">
        <v>28534</v>
      </c>
      <c r="T21862" s="7" t="str">
        <f>HYPERLINK("#Liste_rouge!A"&amp;_xlfn.XMATCH("DD",Liste_rouge!A:A,2,1),"DD")</f>
        <v>DD</v>
      </c>
      <c r="AH21862" s="4" t="str">
        <f>HYPERLINK("#Statut_biogéographique!A"&amp;_xlfn.XMATCH("P",Statut_biogéographique!A:A,2,1),"P")</f>
        <v>P</v>
      </c>
      <c r="AP21862" s="4" t="s">
        <v>376</v>
      </c>
      <c r="AR21862" s="4" t="s">
        <v>377</v>
      </c>
    </row>
    <row r="21863" spans="1:44" ht="45">
      <c r="A21863" s="4" t="s">
        <v>24364</v>
      </c>
      <c r="B21863" s="4">
        <v>134709</v>
      </c>
      <c r="D21863" s="5" t="s">
        <v>28535</v>
      </c>
      <c r="E21863" s="6" t="str">
        <f>HYPERLINK("https://inpn.mnhn.fr/espece/cd_nom/134709","Fraxinus angustifolia subsp. oxycarpa (M.Bieb. ex Willd.) Franco &amp; Rocha Afonso, 1971")</f>
        <v>Fraxinus angustifolia subsp. oxycarpa (M.Bieb. ex Willd.) Franco &amp; Rocha Afonso, 1971</v>
      </c>
      <c r="F21863" s="5" t="s">
        <v>28536</v>
      </c>
      <c r="AH21863" s="4" t="str">
        <f>HYPERLINK("#Statut_biogéographique!A"&amp;_xlfn.XMATCH("Q",Statut_biogéographique!A:A,2,1),"Q")</f>
        <v>Q</v>
      </c>
      <c r="AP21863" s="4" t="s">
        <v>376</v>
      </c>
      <c r="AR21863" s="4" t="s">
        <v>377</v>
      </c>
    </row>
    <row r="21864" spans="1:44" ht="30">
      <c r="A21864" s="4" t="s">
        <v>24364</v>
      </c>
      <c r="B21864" s="4">
        <v>134718</v>
      </c>
      <c r="D21864" s="5">
        <v>134718</v>
      </c>
      <c r="E21864" s="6" t="str">
        <f>HYPERLINK("https://inpn.mnhn.fr/espece/cd_nom/134718","Fraxinus ornus subsp. ornus L., 1753")</f>
        <v>Fraxinus ornus subsp. ornus L., 1753</v>
      </c>
      <c r="F21864" s="5" t="s">
        <v>28537</v>
      </c>
      <c r="T21864" s="7" t="str">
        <f>HYPERLINK("#Liste_rouge!A"&amp;_xlfn.XMATCH("NA",Liste_rouge!A:A,2,1),"NA")</f>
        <v>NA</v>
      </c>
      <c r="AH21864" s="4" t="str">
        <f>HYPERLINK("#Statut_biogéographique!A"&amp;_xlfn.XMATCH("P",Statut_biogéographique!A:A,2,1),"P")</f>
        <v>P</v>
      </c>
      <c r="AM21864" s="4" t="s">
        <v>375</v>
      </c>
      <c r="AN21864" s="4" t="s">
        <v>375</v>
      </c>
      <c r="AO21864" s="4" t="s">
        <v>375</v>
      </c>
      <c r="AP21864" s="4" t="s">
        <v>376</v>
      </c>
      <c r="AR21864" s="4" t="s">
        <v>377</v>
      </c>
    </row>
    <row r="21865" spans="1:44">
      <c r="A21865" s="4" t="s">
        <v>24364</v>
      </c>
      <c r="B21865" s="4">
        <v>134957</v>
      </c>
      <c r="D21865" s="5">
        <v>134957</v>
      </c>
      <c r="E21865" s="6" t="str">
        <f>HYPERLINK("https://inpn.mnhn.fr/espece/cd_nom/134957","Galium verum subsp. verum L., 1753")</f>
        <v>Galium verum subsp. verum L., 1753</v>
      </c>
      <c r="F21865" s="5" t="s">
        <v>28538</v>
      </c>
      <c r="Q21865" s="7" t="str">
        <f>HYPERLINK("#Liste_rouge!A"&amp;_xlfn.XMATCH("LC",Liste_rouge!A:A,2,1),"LC")</f>
        <v>LC</v>
      </c>
      <c r="T21865" s="7" t="str">
        <f>HYPERLINK("#Liste_rouge!A"&amp;_xlfn.XMATCH("LC",Liste_rouge!A:A,2,1),"LC")</f>
        <v>LC</v>
      </c>
      <c r="AH21865" s="4" t="str">
        <f>HYPERLINK("#Statut_biogéographique!A"&amp;_xlfn.XMATCH("P",Statut_biogéographique!A:A,2,1),"P")</f>
        <v>P</v>
      </c>
      <c r="AP21865" s="4" t="s">
        <v>376</v>
      </c>
      <c r="AR21865" s="4" t="s">
        <v>377</v>
      </c>
    </row>
    <row r="21866" spans="1:44" ht="30">
      <c r="A21866" s="4" t="s">
        <v>24364</v>
      </c>
      <c r="B21866" s="4">
        <v>134958</v>
      </c>
      <c r="D21866" s="5" t="s">
        <v>28539</v>
      </c>
      <c r="E21866" s="6" t="str">
        <f>HYPERLINK("https://inpn.mnhn.fr/espece/cd_nom/134958","Galium verum subsp. wirtgenii (F.W.Schultz) Oborny, 1885")</f>
        <v>Galium verum subsp. wirtgenii (F.W.Schultz) Oborny, 1885</v>
      </c>
      <c r="F21866" s="5" t="s">
        <v>28540</v>
      </c>
      <c r="Q21866" s="7" t="str">
        <f>HYPERLINK("#Liste_rouge!A"&amp;_xlfn.XMATCH("DD",Liste_rouge!A:A,2,1),"DD")</f>
        <v>DD</v>
      </c>
      <c r="T21866" s="7" t="str">
        <f>HYPERLINK("#Liste_rouge!A"&amp;_xlfn.XMATCH("DD",Liste_rouge!A:A,2,1),"DD")</f>
        <v>DD</v>
      </c>
      <c r="AH21866" s="4" t="str">
        <f>HYPERLINK("#Statut_biogéographique!A"&amp;_xlfn.XMATCH("P",Statut_biogéographique!A:A,2,1),"P")</f>
        <v>P</v>
      </c>
      <c r="AM21866" s="4" t="s">
        <v>375</v>
      </c>
      <c r="AN21866" s="4" t="s">
        <v>375</v>
      </c>
      <c r="AO21866" s="4" t="s">
        <v>375</v>
      </c>
      <c r="AP21866" s="4" t="s">
        <v>376</v>
      </c>
      <c r="AR21866" s="4" t="s">
        <v>377</v>
      </c>
    </row>
    <row r="21867" spans="1:44" ht="30">
      <c r="A21867" s="4" t="s">
        <v>24364</v>
      </c>
      <c r="B21867" s="4">
        <v>134984</v>
      </c>
      <c r="D21867" s="5" t="s">
        <v>28541</v>
      </c>
      <c r="E21867" s="6" t="str">
        <f>HYPERLINK("https://inpn.mnhn.fr/espece/cd_nom/134984","Genista pilosa subsp. pilosa L., 1753")</f>
        <v>Genista pilosa subsp. pilosa L., 1753</v>
      </c>
      <c r="F21867" s="5" t="s">
        <v>28542</v>
      </c>
      <c r="Q21867" s="7" t="str">
        <f>HYPERLINK("#Liste_rouge!A"&amp;_xlfn.XMATCH("LC",Liste_rouge!A:A,2,1),"LC")</f>
        <v>LC</v>
      </c>
      <c r="T21867" s="7" t="str">
        <f>HYPERLINK("#Liste_rouge!A"&amp;_xlfn.XMATCH("DD",Liste_rouge!A:A,2,1),"DD")</f>
        <v>DD</v>
      </c>
      <c r="AH21867" s="4" t="str">
        <f>HYPERLINK("#Statut_biogéographique!A"&amp;_xlfn.XMATCH("P",Statut_biogéographique!A:A,2,1),"P")</f>
        <v>P</v>
      </c>
      <c r="AM21867" s="4" t="s">
        <v>375</v>
      </c>
      <c r="AN21867" s="4" t="s">
        <v>375</v>
      </c>
      <c r="AO21867" s="4" t="s">
        <v>375</v>
      </c>
      <c r="AP21867" s="4" t="s">
        <v>376</v>
      </c>
      <c r="AR21867" s="4" t="s">
        <v>377</v>
      </c>
    </row>
    <row r="21868" spans="1:44">
      <c r="A21868" s="4" t="s">
        <v>24364</v>
      </c>
      <c r="B21868" s="4">
        <v>135036</v>
      </c>
      <c r="D21868" s="5" t="s">
        <v>28543</v>
      </c>
      <c r="E21868" s="6" t="str">
        <f>HYPERLINK("https://inpn.mnhn.fr/espece/cd_nom/135036","Gentiana lutea subsp. lutea L., 1753")</f>
        <v>Gentiana lutea subsp. lutea L., 1753</v>
      </c>
      <c r="F21868" s="5" t="s">
        <v>28544</v>
      </c>
      <c r="K21868" s="4" t="str">
        <f>HYPERLINK("#Réglementation!A"&amp;_xlfn.XMATCH("CDH5",Réglementation!A:A,2,1),"CDH5")</f>
        <v>CDH5</v>
      </c>
      <c r="AH21868" s="4" t="str">
        <f>HYPERLINK("#Statut_biogéographique!A"&amp;_xlfn.XMATCH("P",Statut_biogéographique!A:A,2,1),"P")</f>
        <v>P</v>
      </c>
      <c r="AK21868" s="4" t="str">
        <f>HYPERLINK("#Réglementation!A"&amp;_xlfn.XMATCH("V39P5",Réglementation!A:A,2,1),"V39P5")</f>
        <v>V39P5</v>
      </c>
      <c r="AP21868" s="4" t="s">
        <v>376</v>
      </c>
      <c r="AR21868" s="4" t="s">
        <v>377</v>
      </c>
    </row>
    <row r="21869" spans="1:44" ht="30">
      <c r="A21869" s="4" t="s">
        <v>24364</v>
      </c>
      <c r="B21869" s="4">
        <v>135065</v>
      </c>
      <c r="D21869" s="5" t="s">
        <v>28545</v>
      </c>
      <c r="E21869" s="6" t="str">
        <f>HYPERLINK("https://inpn.mnhn.fr/espece/cd_nom/135065","Geranium pyrenaicum subsp. pyrenaicum Burm.f., 1759")</f>
        <v>Geranium pyrenaicum subsp. pyrenaicum Burm.f., 1759</v>
      </c>
      <c r="F21869" s="5" t="s">
        <v>24400</v>
      </c>
      <c r="AH21869" s="4" t="str">
        <f>HYPERLINK("#Statut_biogéographique!A"&amp;_xlfn.XMATCH("P",Statut_biogéographique!A:A,2,1),"P")</f>
        <v>P</v>
      </c>
      <c r="AP21869" s="4" t="s">
        <v>376</v>
      </c>
      <c r="AR21869" s="4" t="s">
        <v>377</v>
      </c>
    </row>
    <row r="21870" spans="1:44" ht="30">
      <c r="A21870" s="4" t="s">
        <v>24364</v>
      </c>
      <c r="B21870" s="4">
        <v>135069</v>
      </c>
      <c r="D21870" s="5" t="s">
        <v>28546</v>
      </c>
      <c r="E21870" s="6" t="str">
        <f>HYPERLINK("https://inpn.mnhn.fr/espece/cd_nom/135069","Geranium robertianum subsp. robertianum L., 1753")</f>
        <v>Geranium robertianum subsp. robertianum L., 1753</v>
      </c>
      <c r="F21870" s="5" t="s">
        <v>28547</v>
      </c>
      <c r="T21870" s="7" t="str">
        <f>HYPERLINK("#Liste_rouge!A"&amp;_xlfn.XMATCH("LC",Liste_rouge!A:A,2,1),"LC")</f>
        <v>LC</v>
      </c>
      <c r="AH21870" s="4" t="str">
        <f>HYPERLINK("#Statut_biogéographique!A"&amp;_xlfn.XMATCH("P",Statut_biogéographique!A:A,2,1),"P")</f>
        <v>P</v>
      </c>
      <c r="AM21870" s="4" t="s">
        <v>375</v>
      </c>
      <c r="AN21870" s="4" t="s">
        <v>375</v>
      </c>
      <c r="AO21870" s="4" t="s">
        <v>375</v>
      </c>
      <c r="AP21870" s="4" t="s">
        <v>376</v>
      </c>
      <c r="AR21870" s="4" t="s">
        <v>377</v>
      </c>
    </row>
    <row r="21871" spans="1:44" ht="60">
      <c r="A21871" s="4" t="s">
        <v>24364</v>
      </c>
      <c r="B21871" s="4">
        <v>135166</v>
      </c>
      <c r="D21871" s="5" t="s">
        <v>28548</v>
      </c>
      <c r="E21871" s="6" t="str">
        <f>HYPERLINK("https://inpn.mnhn.fr/espece/cd_nom/135166","Helianthemum apenninum subsp. apenninum (L.) Mill., 1768")</f>
        <v>Helianthemum apenninum subsp. apenninum (L.) Mill., 1768</v>
      </c>
      <c r="F21871" s="5" t="s">
        <v>28549</v>
      </c>
      <c r="M21871" s="4" t="str">
        <f>HYPERLINK("#Réglementation!A"&amp;_xlfn.XMATCH("RV43",Réglementation!A:A,2,1),"RV43")</f>
        <v>RV43</v>
      </c>
      <c r="T21871" s="7" t="str">
        <f>HYPERLINK("#Liste_rouge!A"&amp;_xlfn.XMATCH("DD",Liste_rouge!A:A,2,1),"DD")</f>
        <v>DD</v>
      </c>
      <c r="AH21871" s="4" t="str">
        <f>HYPERLINK("#Statut_biogéographique!A"&amp;_xlfn.XMATCH("P",Statut_biogéographique!A:A,2,1),"P")</f>
        <v>P</v>
      </c>
      <c r="AM21871" s="4" t="s">
        <v>375</v>
      </c>
      <c r="AN21871" s="4" t="s">
        <v>375</v>
      </c>
      <c r="AO21871" s="4" t="s">
        <v>375</v>
      </c>
      <c r="AP21871" s="4" t="s">
        <v>376</v>
      </c>
      <c r="AR21871" s="4" t="s">
        <v>377</v>
      </c>
    </row>
    <row r="21872" spans="1:44" ht="60">
      <c r="A21872" s="4" t="s">
        <v>24364</v>
      </c>
      <c r="B21872" s="4">
        <v>135297</v>
      </c>
      <c r="D21872" s="5" t="s">
        <v>28550</v>
      </c>
      <c r="E21872" s="6" t="str">
        <f>HYPERLINK("https://inpn.mnhn.fr/espece/cd_nom/135297","Heracleum sphondylium subsp. elegans (Crantz) Schübl. &amp; G.Martens, 1834")</f>
        <v>Heracleum sphondylium subsp. elegans (Crantz) Schübl. &amp; G.Martens, 1834</v>
      </c>
      <c r="F21872" s="5" t="s">
        <v>28551</v>
      </c>
      <c r="Q21872" s="7" t="str">
        <f>HYPERLINK("#Liste_rouge!A"&amp;_xlfn.XMATCH("LC",Liste_rouge!A:A,2,1),"LC")</f>
        <v>LC</v>
      </c>
      <c r="T21872" s="7" t="str">
        <f>HYPERLINK("#Liste_rouge!A"&amp;_xlfn.XMATCH("NE",Liste_rouge!A:A,2,1),"NE")</f>
        <v>NE</v>
      </c>
      <c r="X21872" s="5" t="s">
        <v>374</v>
      </c>
      <c r="AB21872" s="4" t="s">
        <v>93</v>
      </c>
      <c r="AH21872" s="4" t="str">
        <f>HYPERLINK("#Statut_biogéographique!A"&amp;_xlfn.XMATCH("P",Statut_biogéographique!A:A,2,1),"P")</f>
        <v>P</v>
      </c>
      <c r="AM21872" s="4" t="s">
        <v>375</v>
      </c>
      <c r="AN21872" s="4" t="s">
        <v>375</v>
      </c>
      <c r="AO21872" s="4" t="s">
        <v>375</v>
      </c>
      <c r="AP21872" s="4" t="s">
        <v>376</v>
      </c>
      <c r="AR21872" s="4" t="s">
        <v>377</v>
      </c>
    </row>
    <row r="21873" spans="1:44" ht="75">
      <c r="A21873" s="4" t="s">
        <v>24364</v>
      </c>
      <c r="B21873" s="4">
        <v>135306</v>
      </c>
      <c r="D21873" s="5" t="s">
        <v>28552</v>
      </c>
      <c r="E21873" s="6" t="str">
        <f>HYPERLINK("https://inpn.mnhn.fr/espece/cd_nom/135306","Heracleum sphondylium subsp. sphondylium L., 1753")</f>
        <v>Heracleum sphondylium subsp. sphondylium L., 1753</v>
      </c>
      <c r="F21873" s="5" t="s">
        <v>24553</v>
      </c>
      <c r="Q21873" s="7" t="str">
        <f>HYPERLINK("#Liste_rouge!A"&amp;_xlfn.XMATCH("LC",Liste_rouge!A:A,2,1),"LC")</f>
        <v>LC</v>
      </c>
      <c r="AH21873" s="4" t="str">
        <f>HYPERLINK("#Statut_biogéographique!A"&amp;_xlfn.XMATCH("P",Statut_biogéographique!A:A,2,1),"P")</f>
        <v>P</v>
      </c>
      <c r="AP21873" s="4" t="s">
        <v>376</v>
      </c>
      <c r="AR21873" s="4" t="s">
        <v>377</v>
      </c>
    </row>
    <row r="21874" spans="1:44" ht="30">
      <c r="A21874" s="4" t="s">
        <v>24364</v>
      </c>
      <c r="B21874" s="4">
        <v>135333</v>
      </c>
      <c r="D21874" s="5" t="s">
        <v>28553</v>
      </c>
      <c r="E21874" s="6" t="str">
        <f>HYPERLINK("https://inpn.mnhn.fr/espece/cd_nom/135333","Hesperis matronalis subsp. inodora (L.) P.Fourn., 1936")</f>
        <v>Hesperis matronalis subsp. inodora (L.) P.Fourn., 1936</v>
      </c>
      <c r="F21874" s="5" t="s">
        <v>28554</v>
      </c>
      <c r="T21874" s="7" t="str">
        <f>HYPERLINK("#Liste_rouge!A"&amp;_xlfn.XMATCH("NA",Liste_rouge!A:A,2,1),"NA")</f>
        <v>NA</v>
      </c>
      <c r="AH21874" s="4" t="str">
        <f>HYPERLINK("#Statut_biogéographique!A"&amp;_xlfn.XMATCH("D",Statut_biogéographique!A:A,2,1),"D")</f>
        <v>D</v>
      </c>
      <c r="AP21874" s="4" t="s">
        <v>376</v>
      </c>
      <c r="AR21874" s="4" t="s">
        <v>377</v>
      </c>
    </row>
    <row r="21875" spans="1:44" ht="30">
      <c r="A21875" s="4" t="s">
        <v>24364</v>
      </c>
      <c r="B21875" s="4">
        <v>135335</v>
      </c>
      <c r="D21875" s="5">
        <v>135335</v>
      </c>
      <c r="E21875" s="6" t="str">
        <f>HYPERLINK("https://inpn.mnhn.fr/espece/cd_nom/135335","Hesperis matronalis subsp. matronalis L., 1753")</f>
        <v>Hesperis matronalis subsp. matronalis L., 1753</v>
      </c>
      <c r="F21875" s="5" t="s">
        <v>24561</v>
      </c>
      <c r="Q21875" s="7" t="str">
        <f>HYPERLINK("#Liste_rouge!A"&amp;_xlfn.XMATCH("NA",Liste_rouge!A:A,2,1),"NA")</f>
        <v>NA</v>
      </c>
      <c r="AH21875" s="4" t="str">
        <f>HYPERLINK("#Statut_biogéographique!A"&amp;_xlfn.XMATCH("I",Statut_biogéographique!A:A,2,1),"I")</f>
        <v>I</v>
      </c>
      <c r="AM21875" s="4" t="s">
        <v>375</v>
      </c>
      <c r="AN21875" s="4" t="s">
        <v>375</v>
      </c>
      <c r="AO21875" s="4" t="s">
        <v>375</v>
      </c>
      <c r="AP21875" s="4" t="s">
        <v>376</v>
      </c>
      <c r="AR21875" s="4" t="s">
        <v>377</v>
      </c>
    </row>
    <row r="21876" spans="1:44" ht="30">
      <c r="A21876" s="4" t="s">
        <v>24364</v>
      </c>
      <c r="B21876" s="4">
        <v>135922</v>
      </c>
      <c r="D21876" s="5">
        <v>135922</v>
      </c>
      <c r="E21876" s="6" t="str">
        <f>HYPERLINK("https://inpn.mnhn.fr/espece/cd_nom/135922","Hieracium maculatum subsp. schistogenes Sudre, 1902")</f>
        <v>Hieracium maculatum subsp. schistogenes Sudre, 1902</v>
      </c>
      <c r="Q21876" s="7" t="str">
        <f>HYPERLINK("#Liste_rouge!A"&amp;_xlfn.XMATCH("LC",Liste_rouge!A:A,2,1),"LC")</f>
        <v>LC</v>
      </c>
      <c r="T21876" s="7" t="str">
        <f>HYPERLINK("#Liste_rouge!A"&amp;_xlfn.XMATCH("NE",Liste_rouge!A:A,2,1),"NE")</f>
        <v>NE</v>
      </c>
      <c r="AH21876" s="4" t="str">
        <f>HYPERLINK("#Statut_biogéographique!A"&amp;_xlfn.XMATCH("P",Statut_biogéographique!A:A,2,1),"P")</f>
        <v>P</v>
      </c>
      <c r="AM21876" s="4" t="s">
        <v>375</v>
      </c>
      <c r="AN21876" s="4" t="s">
        <v>375</v>
      </c>
      <c r="AO21876" s="4" t="s">
        <v>375</v>
      </c>
      <c r="AP21876" s="4" t="s">
        <v>376</v>
      </c>
      <c r="AR21876" s="4" t="s">
        <v>377</v>
      </c>
    </row>
    <row r="21877" spans="1:44" ht="45">
      <c r="A21877" s="4" t="s">
        <v>24364</v>
      </c>
      <c r="B21877" s="4">
        <v>136643</v>
      </c>
      <c r="D21877" s="5" t="s">
        <v>28555</v>
      </c>
      <c r="E21877" s="6" t="str">
        <f>HYPERLINK("https://inpn.mnhn.fr/espece/cd_nom/136643","Hippocrepis emerus subsp. emerus (L.) Lassen, 1989")</f>
        <v>Hippocrepis emerus subsp. emerus (L.) Lassen, 1989</v>
      </c>
      <c r="F21877" s="5" t="s">
        <v>24718</v>
      </c>
      <c r="M21877" s="4" t="str">
        <f>HYPERLINK("#Réglementation!A"&amp;_xlfn.XMATCH("RV26",Réglementation!A:A,2,1),"RV26")</f>
        <v>RV26</v>
      </c>
      <c r="T21877" s="7" t="str">
        <f>HYPERLINK("#Liste_rouge!A"&amp;_xlfn.XMATCH("DD",Liste_rouge!A:A,2,1),"DD")</f>
        <v>DD</v>
      </c>
      <c r="AH21877" s="4" t="str">
        <f>HYPERLINK("#Statut_biogéographique!A"&amp;_xlfn.XMATCH("P",Statut_biogéographique!A:A,2,1),"P")</f>
        <v>P</v>
      </c>
      <c r="AP21877" s="4" t="s">
        <v>376</v>
      </c>
      <c r="AR21877" s="4" t="s">
        <v>377</v>
      </c>
    </row>
    <row r="21878" spans="1:44" ht="30">
      <c r="A21878" s="4" t="s">
        <v>24364</v>
      </c>
      <c r="B21878" s="4">
        <v>136646</v>
      </c>
      <c r="D21878" s="5" t="s">
        <v>28556</v>
      </c>
      <c r="E21878" s="6" t="str">
        <f>HYPERLINK("https://inpn.mnhn.fr/espece/cd_nom/136646","Hippophae rhamnoides subsp. fluviatilis Soest, 1952")</f>
        <v>Hippophae rhamnoides subsp. fluviatilis Soest, 1952</v>
      </c>
      <c r="F21878" s="5" t="s">
        <v>28557</v>
      </c>
      <c r="Q21878" s="7" t="str">
        <f>HYPERLINK("#Liste_rouge!A"&amp;_xlfn.XMATCH("LC",Liste_rouge!A:A,2,1),"LC")</f>
        <v>LC</v>
      </c>
      <c r="AH21878" s="4" t="str">
        <f>HYPERLINK("#Statut_biogéographique!A"&amp;_xlfn.XMATCH("P",Statut_biogéographique!A:A,2,1),"P")</f>
        <v>P</v>
      </c>
      <c r="AP21878" s="4" t="s">
        <v>376</v>
      </c>
      <c r="AR21878" s="4" t="s">
        <v>377</v>
      </c>
    </row>
    <row r="21879" spans="1:44">
      <c r="A21879" s="4" t="s">
        <v>24364</v>
      </c>
      <c r="B21879" s="4">
        <v>136654</v>
      </c>
      <c r="D21879" s="5">
        <v>136654</v>
      </c>
      <c r="E21879" s="6" t="str">
        <f>HYPERLINK("https://inpn.mnhn.fr/espece/cd_nom/136654","Holcus mollis subsp. mollis L., 1759")</f>
        <v>Holcus mollis subsp. mollis L., 1759</v>
      </c>
      <c r="F21879" s="5" t="s">
        <v>24729</v>
      </c>
      <c r="AH21879" s="4" t="str">
        <f>HYPERLINK("#Statut_biogéographique!A"&amp;_xlfn.XMATCH("P",Statut_biogéographique!A:A,2,1),"P")</f>
        <v>P</v>
      </c>
      <c r="AP21879" s="4" t="s">
        <v>376</v>
      </c>
      <c r="AR21879" s="4" t="s">
        <v>377</v>
      </c>
    </row>
    <row r="21880" spans="1:44" ht="30">
      <c r="A21880" s="4" t="s">
        <v>24364</v>
      </c>
      <c r="B21880" s="4">
        <v>136671</v>
      </c>
      <c r="D21880" s="5" t="s">
        <v>28558</v>
      </c>
      <c r="E21880" s="6" t="str">
        <f>HYPERLINK("https://inpn.mnhn.fr/espece/cd_nom/136671","Hordeum murinum subsp. glaucum (Steud.) Tzvelev, 1972")</f>
        <v>Hordeum murinum subsp. glaucum (Steud.) Tzvelev, 1972</v>
      </c>
      <c r="F21880" s="5" t="s">
        <v>28559</v>
      </c>
      <c r="Q21880" s="7" t="str">
        <f>HYPERLINK("#Liste_rouge!A"&amp;_xlfn.XMATCH("LC",Liste_rouge!A:A,2,1),"LC")</f>
        <v>LC</v>
      </c>
      <c r="AH21880" s="4" t="str">
        <f>HYPERLINK("#Statut_biogéographique!A"&amp;_xlfn.XMATCH("P",Statut_biogéographique!A:A,2,1),"P")</f>
        <v>P</v>
      </c>
      <c r="AP21880" s="4" t="s">
        <v>376</v>
      </c>
      <c r="AR21880" s="4" t="s">
        <v>377</v>
      </c>
    </row>
    <row r="21881" spans="1:44" ht="30">
      <c r="A21881" s="4" t="s">
        <v>24364</v>
      </c>
      <c r="B21881" s="4">
        <v>136673</v>
      </c>
      <c r="D21881" s="5" t="s">
        <v>28560</v>
      </c>
      <c r="E21881" s="6" t="str">
        <f>HYPERLINK("https://inpn.mnhn.fr/espece/cd_nom/136673","Hordeum murinum subsp. murinum L., 1753")</f>
        <v>Hordeum murinum subsp. murinum L., 1753</v>
      </c>
      <c r="F21881" s="5" t="s">
        <v>24744</v>
      </c>
      <c r="Q21881" s="7" t="str">
        <f>HYPERLINK("#Liste_rouge!A"&amp;_xlfn.XMATCH("LC",Liste_rouge!A:A,2,1),"LC")</f>
        <v>LC</v>
      </c>
      <c r="AH21881" s="4" t="str">
        <f>HYPERLINK("#Statut_biogéographique!A"&amp;_xlfn.XMATCH("P",Statut_biogéographique!A:A,2,1),"P")</f>
        <v>P</v>
      </c>
      <c r="AM21881" s="4" t="s">
        <v>375</v>
      </c>
      <c r="AN21881" s="4" t="s">
        <v>375</v>
      </c>
      <c r="AO21881" s="4" t="s">
        <v>375</v>
      </c>
      <c r="AP21881" s="4" t="s">
        <v>376</v>
      </c>
      <c r="AR21881" s="4" t="s">
        <v>377</v>
      </c>
    </row>
    <row r="21882" spans="1:44" ht="30">
      <c r="A21882" s="4" t="s">
        <v>24364</v>
      </c>
      <c r="B21882" s="4">
        <v>136736</v>
      </c>
      <c r="D21882" s="5" t="s">
        <v>28561</v>
      </c>
      <c r="E21882" s="6" t="str">
        <f>HYPERLINK("https://inpn.mnhn.fr/espece/cd_nom/136736","Hypericum x desetangsii nothosubsp. carinthiacum (A.Fröhl.) N.Robson, 1998")</f>
        <v>Hypericum x desetangsii nothosubsp. carinthiacum (A.Fröhl.) N.Robson, 1998</v>
      </c>
      <c r="F21882" s="5" t="s">
        <v>28562</v>
      </c>
      <c r="AH21882" s="4" t="str">
        <f>HYPERLINK("#Statut_biogéographique!A"&amp;_xlfn.XMATCH("D",Statut_biogéographique!A:A,2,1),"D")</f>
        <v>D</v>
      </c>
      <c r="AP21882" s="4" t="s">
        <v>376</v>
      </c>
      <c r="AR21882" s="4" t="s">
        <v>377</v>
      </c>
    </row>
    <row r="21883" spans="1:44" ht="30">
      <c r="A21883" s="4" t="s">
        <v>24364</v>
      </c>
      <c r="B21883" s="4">
        <v>136750</v>
      </c>
      <c r="D21883" s="5" t="s">
        <v>28563</v>
      </c>
      <c r="E21883" s="6" t="str">
        <f>HYPERLINK("https://inpn.mnhn.fr/espece/cd_nom/136750","Hypericum maculatum subsp. maculatum Crantz, 1763")</f>
        <v>Hypericum maculatum subsp. maculatum Crantz, 1763</v>
      </c>
      <c r="F21883" s="5" t="s">
        <v>24802</v>
      </c>
      <c r="Q21883" s="7" t="str">
        <f>HYPERLINK("#Liste_rouge!A"&amp;_xlfn.XMATCH("LC",Liste_rouge!A:A,2,1),"LC")</f>
        <v>LC</v>
      </c>
      <c r="AH21883" s="4" t="str">
        <f>HYPERLINK("#Statut_biogéographique!A"&amp;_xlfn.XMATCH("P",Statut_biogéographique!A:A,2,1),"P")</f>
        <v>P</v>
      </c>
      <c r="AM21883" s="4" t="s">
        <v>375</v>
      </c>
      <c r="AN21883" s="4" t="s">
        <v>375</v>
      </c>
      <c r="AO21883" s="4" t="s">
        <v>375</v>
      </c>
      <c r="AP21883" s="4" t="s">
        <v>376</v>
      </c>
      <c r="AR21883" s="4" t="s">
        <v>377</v>
      </c>
    </row>
    <row r="21884" spans="1:44" ht="45">
      <c r="A21884" s="4" t="s">
        <v>24364</v>
      </c>
      <c r="B21884" s="4">
        <v>136751</v>
      </c>
      <c r="D21884" s="5" t="s">
        <v>28564</v>
      </c>
      <c r="E21884" s="6" t="str">
        <f>HYPERLINK("https://inpn.mnhn.fr/espece/cd_nom/136751","Hypericum maculatum subsp. obtusiusculum (Tourlet) Hayek, 1912")</f>
        <v>Hypericum maculatum subsp. obtusiusculum (Tourlet) Hayek, 1912</v>
      </c>
      <c r="F21884" s="5" t="s">
        <v>28565</v>
      </c>
      <c r="Q21884" s="7" t="str">
        <f>HYPERLINK("#Liste_rouge!A"&amp;_xlfn.XMATCH("LC",Liste_rouge!A:A,2,1),"LC")</f>
        <v>LC</v>
      </c>
      <c r="T21884" s="7" t="str">
        <f>HYPERLINK("#Liste_rouge!A"&amp;_xlfn.XMATCH("DD",Liste_rouge!A:A,2,1),"DD")</f>
        <v>DD</v>
      </c>
      <c r="AH21884" s="4" t="str">
        <f>HYPERLINK("#Statut_biogéographique!A"&amp;_xlfn.XMATCH("P",Statut_biogéographique!A:A,2,1),"P")</f>
        <v>P</v>
      </c>
      <c r="AM21884" s="4" t="s">
        <v>375</v>
      </c>
      <c r="AN21884" s="4" t="s">
        <v>375</v>
      </c>
      <c r="AO21884" s="4" t="s">
        <v>375</v>
      </c>
      <c r="AP21884" s="4" t="s">
        <v>376</v>
      </c>
      <c r="AR21884" s="4" t="s">
        <v>377</v>
      </c>
    </row>
    <row r="21885" spans="1:44" ht="30">
      <c r="A21885" s="4" t="s">
        <v>24364</v>
      </c>
      <c r="B21885" s="4">
        <v>136759</v>
      </c>
      <c r="D21885" s="5" t="s">
        <v>28566</v>
      </c>
      <c r="E21885" s="6" t="str">
        <f>HYPERLINK("https://inpn.mnhn.fr/espece/cd_nom/136759","Hypericum perforatum subsp. perforatum L., 1753")</f>
        <v>Hypericum perforatum subsp. perforatum L., 1753</v>
      </c>
      <c r="F21885" s="5" t="s">
        <v>24811</v>
      </c>
      <c r="T21885" s="7" t="str">
        <f>HYPERLINK("#Liste_rouge!A"&amp;_xlfn.XMATCH("DD",Liste_rouge!A:A,2,1),"DD")</f>
        <v>DD</v>
      </c>
      <c r="AH21885" s="4" t="str">
        <f>HYPERLINK("#Statut_biogéographique!A"&amp;_xlfn.XMATCH("P",Statut_biogéographique!A:A,2,1),"P")</f>
        <v>P</v>
      </c>
      <c r="AP21885" s="4" t="s">
        <v>376</v>
      </c>
      <c r="AR21885" s="4" t="s">
        <v>377</v>
      </c>
    </row>
    <row r="21886" spans="1:44" ht="45">
      <c r="A21886" s="4" t="s">
        <v>24364</v>
      </c>
      <c r="B21886" s="4">
        <v>136761</v>
      </c>
      <c r="D21886" s="5" t="s">
        <v>28567</v>
      </c>
      <c r="E21886" s="6" t="str">
        <f>HYPERLINK("https://inpn.mnhn.fr/espece/cd_nom/136761","Hypericum perforatum subsp. veronense (Schrank) H.Lindb., 1906")</f>
        <v>Hypericum perforatum subsp. veronense (Schrank) H.Lindb., 1906</v>
      </c>
      <c r="F21886" s="5" t="s">
        <v>28568</v>
      </c>
      <c r="T21886" s="7" t="str">
        <f>HYPERLINK("#Liste_rouge!A"&amp;_xlfn.XMATCH("NA",Liste_rouge!A:A,2,1),"NA")</f>
        <v>NA</v>
      </c>
      <c r="AH21886" s="4" t="str">
        <f>HYPERLINK("#Statut_biogéographique!A"&amp;_xlfn.XMATCH("P",Statut_biogéographique!A:A,2,1),"P")</f>
        <v>P</v>
      </c>
      <c r="AP21886" s="4" t="s">
        <v>376</v>
      </c>
      <c r="AR21886" s="4" t="s">
        <v>377</v>
      </c>
    </row>
    <row r="21887" spans="1:44" ht="30">
      <c r="A21887" s="4" t="s">
        <v>24364</v>
      </c>
      <c r="B21887" s="4">
        <v>136771</v>
      </c>
      <c r="D21887" s="5" t="s">
        <v>28569</v>
      </c>
      <c r="E21887" s="6" t="str">
        <f>HYPERLINK("https://inpn.mnhn.fr/espece/cd_nom/136771","Hypericum richeri subsp. burseri (DC.) Nyman, 1878")</f>
        <v>Hypericum richeri subsp. burseri (DC.) Nyman, 1878</v>
      </c>
      <c r="F21887" s="5" t="s">
        <v>28570</v>
      </c>
      <c r="M21887" s="4" t="str">
        <f>HYPERLINK("#Réglementation!A"&amp;_xlfn.XMATCH("RV43",Réglementation!A:A,2,1),"RV43")</f>
        <v>RV43</v>
      </c>
      <c r="Q21887" s="7" t="str">
        <f>HYPERLINK("#Liste_rouge!A"&amp;_xlfn.XMATCH("LC",Liste_rouge!A:A,2,1),"LC")</f>
        <v>LC</v>
      </c>
      <c r="AH21887" s="4" t="str">
        <f>HYPERLINK("#Statut_biogéographique!A"&amp;_xlfn.XMATCH("P",Statut_biogéographique!A:A,2,1),"P")</f>
        <v>P</v>
      </c>
      <c r="AP21887" s="4" t="s">
        <v>376</v>
      </c>
      <c r="AR21887" s="4" t="s">
        <v>377</v>
      </c>
    </row>
    <row r="21888" spans="1:44" ht="30">
      <c r="A21888" s="4" t="s">
        <v>24364</v>
      </c>
      <c r="B21888" s="4">
        <v>136772</v>
      </c>
      <c r="D21888" s="5" t="s">
        <v>28571</v>
      </c>
      <c r="E21888" s="6" t="str">
        <f>HYPERLINK("https://inpn.mnhn.fr/espece/cd_nom/136772","Hypericum richeri subsp. richeri Vill., 1779")</f>
        <v>Hypericum richeri subsp. richeri Vill., 1779</v>
      </c>
      <c r="F21888" s="5" t="s">
        <v>24814</v>
      </c>
      <c r="M21888" s="4" t="str">
        <f>HYPERLINK("#Réglementation!A"&amp;_xlfn.XMATCH("RV43",Réglementation!A:A,2,1),"RV43")</f>
        <v>RV43</v>
      </c>
      <c r="Q21888" s="7" t="str">
        <f>HYPERLINK("#Liste_rouge!A"&amp;_xlfn.XMATCH("LC",Liste_rouge!A:A,2,1),"LC")</f>
        <v>LC</v>
      </c>
      <c r="AH21888" s="4" t="str">
        <f>HYPERLINK("#Statut_biogéographique!A"&amp;_xlfn.XMATCH("P",Statut_biogéographique!A:A,2,1),"P")</f>
        <v>P</v>
      </c>
      <c r="AP21888" s="4" t="s">
        <v>376</v>
      </c>
      <c r="AR21888" s="4" t="s">
        <v>377</v>
      </c>
    </row>
    <row r="21889" spans="1:44" ht="120">
      <c r="A21889" s="4" t="s">
        <v>24364</v>
      </c>
      <c r="B21889" s="4">
        <v>136812</v>
      </c>
      <c r="D21889" s="5" t="s">
        <v>28572</v>
      </c>
      <c r="E21889" s="6" t="str">
        <f>HYPERLINK("https://inpn.mnhn.fr/espece/cd_nom/136812","Iberis intermedia subsp. violletii (Soy.-Will. ex Godr.) Rouy &amp; Foucaud, 1895")</f>
        <v>Iberis intermedia subsp. violletii (Soy.-Will. ex Godr.) Rouy &amp; Foucaud, 1895</v>
      </c>
      <c r="F21889" s="5" t="s">
        <v>28573</v>
      </c>
      <c r="M21889" s="4" t="str">
        <f>HYPERLINK("#Réglementation!A"&amp;_xlfn.XMATCH("RV26",Réglementation!A:A,2,1),"RV26 - RV43")</f>
        <v>RV26 - RV43</v>
      </c>
      <c r="Q21889" s="7" t="str">
        <f>HYPERLINK("#Liste_rouge!A"&amp;_xlfn.XMATCH("LC",Liste_rouge!A:A,2,1),"LC")</f>
        <v>LC</v>
      </c>
      <c r="T21889" s="7" t="str">
        <f>HYPERLINK("#Liste_rouge!A"&amp;_xlfn.XMATCH("EN",Liste_rouge!A:A,2,1),"EN")</f>
        <v>EN</v>
      </c>
      <c r="U21889" s="4" t="str">
        <f>HYPERLINK("#Critères_liste_rouge!A$1","A2ac")</f>
        <v>A2ac</v>
      </c>
      <c r="AE21889" s="4" t="str">
        <f>HYPERLINK("#SCAP!A"&amp;_xlfn.XMATCH("1-",SCAP!A:A,2,1),"1-")</f>
        <v>1-</v>
      </c>
      <c r="AH21889" s="4" t="str">
        <f>HYPERLINK("#Statut_biogéographique!A"&amp;_xlfn.XMATCH("P",Statut_biogéographique!A:A,2,1),"P")</f>
        <v>P</v>
      </c>
      <c r="AM21889" s="4" t="s">
        <v>375</v>
      </c>
      <c r="AN21889" s="4" t="s">
        <v>375</v>
      </c>
      <c r="AO21889" s="4" t="s">
        <v>375</v>
      </c>
      <c r="AP21889" s="4" t="s">
        <v>376</v>
      </c>
      <c r="AR21889" s="4" t="s">
        <v>377</v>
      </c>
    </row>
    <row r="21890" spans="1:44" ht="30">
      <c r="A21890" s="4" t="s">
        <v>24364</v>
      </c>
      <c r="B21890" s="4">
        <v>136829</v>
      </c>
      <c r="D21890" s="5">
        <v>136829</v>
      </c>
      <c r="E21890" s="6" t="str">
        <f>HYPERLINK("https://inpn.mnhn.fr/espece/cd_nom/136829","Iberis saxatilis subsp. saxatilis L., 1756")</f>
        <v>Iberis saxatilis subsp. saxatilis L., 1756</v>
      </c>
      <c r="F21890" s="5" t="s">
        <v>24836</v>
      </c>
      <c r="M21890" s="4" t="str">
        <f>HYPERLINK("#Réglementation!A"&amp;_xlfn.XMATCH("RV43",Réglementation!A:A,2,1),"RV43")</f>
        <v>RV43</v>
      </c>
      <c r="AH21890" s="4" t="str">
        <f>HYPERLINK("#Statut_biogéographique!A"&amp;_xlfn.XMATCH("P",Statut_biogéographique!A:A,2,1),"P")</f>
        <v>P</v>
      </c>
      <c r="AP21890" s="4" t="s">
        <v>376</v>
      </c>
      <c r="AR21890" s="4" t="s">
        <v>377</v>
      </c>
    </row>
    <row r="21891" spans="1:44" ht="75">
      <c r="A21891" s="4" t="s">
        <v>24364</v>
      </c>
      <c r="B21891" s="4">
        <v>136899</v>
      </c>
      <c r="D21891" s="5" t="s">
        <v>28574</v>
      </c>
      <c r="E21891" s="6" t="str">
        <f>HYPERLINK("https://inpn.mnhn.fr/espece/cd_nom/136899","Juncus alpinoarticulatus subsp. alpinoarticulatus Chaix, 1785")</f>
        <v>Juncus alpinoarticulatus subsp. alpinoarticulatus Chaix, 1785</v>
      </c>
      <c r="F21891" s="5" t="s">
        <v>24921</v>
      </c>
      <c r="Q21891" s="7" t="str">
        <f>HYPERLINK("#Liste_rouge!A"&amp;_xlfn.XMATCH("LC",Liste_rouge!A:A,2,1),"LC")</f>
        <v>LC</v>
      </c>
      <c r="AH21891" s="4" t="str">
        <f>HYPERLINK("#Statut_biogéographique!A"&amp;_xlfn.XMATCH("P",Statut_biogéographique!A:A,2,1),"P")</f>
        <v>P</v>
      </c>
      <c r="AP21891" s="4" t="s">
        <v>376</v>
      </c>
      <c r="AR21891" s="4" t="s">
        <v>377</v>
      </c>
    </row>
    <row r="21892" spans="1:44" ht="30">
      <c r="A21892" s="4" t="s">
        <v>24364</v>
      </c>
      <c r="B21892" s="4">
        <v>136903</v>
      </c>
      <c r="D21892" s="5" t="s">
        <v>28575</v>
      </c>
      <c r="E21892" s="6" t="str">
        <f>HYPERLINK("https://inpn.mnhn.fr/espece/cd_nom/136903","Juncus alpinoarticulatus subsp. fuscoater (Schreb.) O.Schwarz, 1949")</f>
        <v>Juncus alpinoarticulatus subsp. fuscoater (Schreb.) O.Schwarz, 1949</v>
      </c>
      <c r="F21892" s="5" t="s">
        <v>28576</v>
      </c>
      <c r="Q21892" s="7" t="str">
        <f>HYPERLINK("#Liste_rouge!A"&amp;_xlfn.XMATCH("LC",Liste_rouge!A:A,2,1),"LC")</f>
        <v>LC</v>
      </c>
      <c r="AH21892" s="4" t="str">
        <f>HYPERLINK("#Statut_biogéographique!A"&amp;_xlfn.XMATCH("P",Statut_biogéographique!A:A,2,1),"P")</f>
        <v>P</v>
      </c>
      <c r="AP21892" s="4" t="s">
        <v>376</v>
      </c>
      <c r="AR21892" s="4" t="s">
        <v>377</v>
      </c>
    </row>
    <row r="21893" spans="1:44" ht="30">
      <c r="A21893" s="4" t="s">
        <v>24364</v>
      </c>
      <c r="B21893" s="4">
        <v>136913</v>
      </c>
      <c r="D21893" s="5" t="s">
        <v>28577</v>
      </c>
      <c r="E21893" s="6" t="str">
        <f>HYPERLINK("https://inpn.mnhn.fr/espece/cd_nom/136913","Juncus articulatus subsp. articulatus L., 1753")</f>
        <v>Juncus articulatus subsp. articulatus L., 1753</v>
      </c>
      <c r="F21893" s="5" t="s">
        <v>24925</v>
      </c>
      <c r="T21893" s="7" t="str">
        <f>HYPERLINK("#Liste_rouge!A"&amp;_xlfn.XMATCH("DD",Liste_rouge!A:A,2,1),"DD")</f>
        <v>DD</v>
      </c>
      <c r="AH21893" s="4" t="str">
        <f>HYPERLINK("#Statut_biogéographique!A"&amp;_xlfn.XMATCH("P",Statut_biogéographique!A:A,2,1),"P")</f>
        <v>P</v>
      </c>
      <c r="AP21893" s="4" t="s">
        <v>376</v>
      </c>
      <c r="AR21893" s="4" t="s">
        <v>377</v>
      </c>
    </row>
    <row r="21894" spans="1:44" ht="90">
      <c r="A21894" s="4" t="s">
        <v>24364</v>
      </c>
      <c r="B21894" s="4">
        <v>136927</v>
      </c>
      <c r="D21894" s="5" t="s">
        <v>28578</v>
      </c>
      <c r="E21894" s="6" t="str">
        <f>HYPERLINK("https://inpn.mnhn.fr/espece/cd_nom/136927","Juncus bulbosus subsp. bulbosus L., 1753")</f>
        <v>Juncus bulbosus subsp. bulbosus L., 1753</v>
      </c>
      <c r="F21894" s="5" t="s">
        <v>24929</v>
      </c>
      <c r="Q21894" s="7" t="str">
        <f>HYPERLINK("#Liste_rouge!A"&amp;_xlfn.XMATCH("LC",Liste_rouge!A:A,2,1),"LC")</f>
        <v>LC</v>
      </c>
      <c r="T21894" s="7" t="str">
        <f>HYPERLINK("#Liste_rouge!A"&amp;_xlfn.XMATCH("DD",Liste_rouge!A:A,2,1),"DD")</f>
        <v>DD</v>
      </c>
      <c r="AH21894" s="4" t="str">
        <f>HYPERLINK("#Statut_biogéographique!A"&amp;_xlfn.XMATCH("P",Statut_biogéographique!A:A,2,1),"P")</f>
        <v>P</v>
      </c>
      <c r="AM21894" s="4" t="s">
        <v>375</v>
      </c>
      <c r="AN21894" s="4" t="s">
        <v>375</v>
      </c>
      <c r="AO21894" s="4" t="s">
        <v>375</v>
      </c>
      <c r="AP21894" s="4" t="s">
        <v>376</v>
      </c>
      <c r="AR21894" s="4" t="s">
        <v>377</v>
      </c>
    </row>
    <row r="21895" spans="1:44" ht="30">
      <c r="A21895" s="4" t="s">
        <v>24364</v>
      </c>
      <c r="B21895" s="4">
        <v>136928</v>
      </c>
      <c r="D21895" s="5" t="s">
        <v>28579</v>
      </c>
      <c r="E21895" s="6" t="str">
        <f>HYPERLINK("https://inpn.mnhn.fr/espece/cd_nom/136928","Juncus bulbosus subsp. kochii (F.W.Schultz) Reichg., 1964")</f>
        <v>Juncus bulbosus subsp. kochii (F.W.Schultz) Reichg., 1964</v>
      </c>
      <c r="F21895" s="5" t="s">
        <v>28580</v>
      </c>
      <c r="Q21895" s="7" t="str">
        <f>HYPERLINK("#Liste_rouge!A"&amp;_xlfn.XMATCH("DD",Liste_rouge!A:A,2,1),"DD")</f>
        <v>DD</v>
      </c>
      <c r="T21895" s="7" t="str">
        <f>HYPERLINK("#Liste_rouge!A"&amp;_xlfn.XMATCH("NE",Liste_rouge!A:A,2,1),"NE")</f>
        <v>NE</v>
      </c>
      <c r="AH21895" s="4" t="str">
        <f>HYPERLINK("#Statut_biogéographique!A"&amp;_xlfn.XMATCH("P",Statut_biogéographique!A:A,2,1),"P")</f>
        <v>P</v>
      </c>
      <c r="AM21895" s="4" t="s">
        <v>375</v>
      </c>
      <c r="AN21895" s="4" t="s">
        <v>375</v>
      </c>
      <c r="AO21895" s="4" t="s">
        <v>375</v>
      </c>
      <c r="AP21895" s="4" t="s">
        <v>376</v>
      </c>
      <c r="AR21895" s="4" t="s">
        <v>377</v>
      </c>
    </row>
    <row r="21896" spans="1:44" ht="30">
      <c r="A21896" s="4" t="s">
        <v>24364</v>
      </c>
      <c r="B21896" s="4">
        <v>136969</v>
      </c>
      <c r="D21896" s="5" t="s">
        <v>28581</v>
      </c>
      <c r="E21896" s="6" t="str">
        <f>HYPERLINK("https://inpn.mnhn.fr/espece/cd_nom/136969","Juniperus communis subsp. communis L., 1753")</f>
        <v>Juniperus communis subsp. communis L., 1753</v>
      </c>
      <c r="F21896" s="5" t="s">
        <v>24963</v>
      </c>
      <c r="Q21896" s="7" t="str">
        <f>HYPERLINK("#Liste_rouge!A"&amp;_xlfn.XMATCH("LC",Liste_rouge!A:A,2,1),"LC")</f>
        <v>LC</v>
      </c>
      <c r="T21896" s="7" t="str">
        <f>HYPERLINK("#Liste_rouge!A"&amp;_xlfn.XMATCH("DD",Liste_rouge!A:A,2,1),"DD")</f>
        <v>DD</v>
      </c>
      <c r="AB21896" s="4" t="s">
        <v>24536</v>
      </c>
      <c r="AH21896" s="4" t="str">
        <f>HYPERLINK("#Statut_biogéographique!A"&amp;_xlfn.XMATCH("P",Statut_biogéographique!A:A,2,1),"P")</f>
        <v>P</v>
      </c>
      <c r="AM21896" s="4" t="s">
        <v>375</v>
      </c>
      <c r="AN21896" s="4" t="s">
        <v>375</v>
      </c>
      <c r="AO21896" s="4" t="s">
        <v>375</v>
      </c>
      <c r="AP21896" s="4" t="s">
        <v>376</v>
      </c>
      <c r="AR21896" s="4" t="s">
        <v>377</v>
      </c>
    </row>
    <row r="21897" spans="1:44" ht="30">
      <c r="A21897" s="4" t="s">
        <v>24364</v>
      </c>
      <c r="B21897" s="4">
        <v>136974</v>
      </c>
      <c r="D21897" s="5" t="s">
        <v>28582</v>
      </c>
      <c r="E21897" s="6" t="str">
        <f>HYPERLINK("https://inpn.mnhn.fr/espece/cd_nom/136974","Juniperus communis subsp. nana (Hook.) Syme, 1868")</f>
        <v>Juniperus communis subsp. nana (Hook.) Syme, 1868</v>
      </c>
      <c r="F21897" s="5" t="s">
        <v>28583</v>
      </c>
      <c r="Q21897" s="7" t="str">
        <f>HYPERLINK("#Liste_rouge!A"&amp;_xlfn.XMATCH("LC",Liste_rouge!A:A,2,1),"LC")</f>
        <v>LC</v>
      </c>
      <c r="X21897" s="5" t="s">
        <v>374</v>
      </c>
      <c r="AB21897" s="4" t="s">
        <v>93</v>
      </c>
      <c r="AH21897" s="4" t="str">
        <f>HYPERLINK("#Statut_biogéographique!A"&amp;_xlfn.XMATCH("P",Statut_biogéographique!A:A,2,1),"P")</f>
        <v>P</v>
      </c>
      <c r="AM21897" s="4" t="s">
        <v>375</v>
      </c>
      <c r="AN21897" s="4" t="s">
        <v>375</v>
      </c>
      <c r="AO21897" s="4" t="s">
        <v>375</v>
      </c>
      <c r="AP21897" s="4" t="s">
        <v>376</v>
      </c>
      <c r="AR21897" s="4" t="s">
        <v>377</v>
      </c>
    </row>
    <row r="21898" spans="1:44" ht="30">
      <c r="A21898" s="4" t="s">
        <v>24364</v>
      </c>
      <c r="B21898" s="4">
        <v>136995</v>
      </c>
      <c r="D21898" s="5">
        <v>136995</v>
      </c>
      <c r="E21898" s="6" t="str">
        <f>HYPERLINK("https://inpn.mnhn.fr/espece/cd_nom/136995","Kickxia elatine subsp. elatine (L.) Dumort., 1827")</f>
        <v>Kickxia elatine subsp. elatine (L.) Dumort., 1827</v>
      </c>
      <c r="F21898" s="5" t="s">
        <v>24975</v>
      </c>
      <c r="Q21898" s="7" t="str">
        <f>HYPERLINK("#Liste_rouge!A"&amp;_xlfn.XMATCH("LC",Liste_rouge!A:A,2,1),"LC")</f>
        <v>LC</v>
      </c>
      <c r="T21898" s="7" t="str">
        <f>HYPERLINK("#Liste_rouge!A"&amp;_xlfn.XMATCH("DD",Liste_rouge!A:A,2,1),"DD")</f>
        <v>DD</v>
      </c>
      <c r="AH21898" s="4" t="str">
        <f>HYPERLINK("#Statut_biogéographique!A"&amp;_xlfn.XMATCH("P",Statut_biogéographique!A:A,2,1),"P")</f>
        <v>P</v>
      </c>
      <c r="AP21898" s="4" t="s">
        <v>376</v>
      </c>
      <c r="AR21898" s="4" t="s">
        <v>377</v>
      </c>
    </row>
    <row r="21899" spans="1:44" ht="60">
      <c r="A21899" s="4" t="s">
        <v>24364</v>
      </c>
      <c r="B21899" s="4">
        <v>137044</v>
      </c>
      <c r="D21899" s="5" t="s">
        <v>28584</v>
      </c>
      <c r="E21899" s="6" t="str">
        <f>HYPERLINK("https://inpn.mnhn.fr/espece/cd_nom/137044","Koeleria vallesiana subsp. vallesiana (Honck.) Gaudin, 1808")</f>
        <v>Koeleria vallesiana subsp. vallesiana (Honck.) Gaudin, 1808</v>
      </c>
      <c r="F21899" s="5" t="s">
        <v>24997</v>
      </c>
      <c r="Q21899" s="7" t="str">
        <f>HYPERLINK("#Liste_rouge!A"&amp;_xlfn.XMATCH("LC",Liste_rouge!A:A,2,1),"LC")</f>
        <v>LC</v>
      </c>
      <c r="T21899" s="7" t="str">
        <f>HYPERLINK("#Liste_rouge!A"&amp;_xlfn.XMATCH("DD",Liste_rouge!A:A,2,1),"DD")</f>
        <v>DD</v>
      </c>
      <c r="AH21899" s="4" t="str">
        <f>HYPERLINK("#Statut_biogéographique!A"&amp;_xlfn.XMATCH("P",Statut_biogéographique!A:A,2,1),"P")</f>
        <v>P</v>
      </c>
      <c r="AM21899" s="4" t="s">
        <v>375</v>
      </c>
      <c r="AN21899" s="4" t="s">
        <v>375</v>
      </c>
      <c r="AO21899" s="4" t="s">
        <v>375</v>
      </c>
      <c r="AP21899" s="4" t="s">
        <v>376</v>
      </c>
      <c r="AR21899" s="4" t="s">
        <v>377</v>
      </c>
    </row>
    <row r="21900" spans="1:44" ht="30">
      <c r="A21900" s="4" t="s">
        <v>24364</v>
      </c>
      <c r="B21900" s="4">
        <v>137061</v>
      </c>
      <c r="D21900" s="5" t="s">
        <v>28585</v>
      </c>
      <c r="E21900" s="6" t="str">
        <f>HYPERLINK("https://inpn.mnhn.fr/espece/cd_nom/137061","Lactuca viminea subsp. chondrilliflora (Boreau) Bonnier, 1923")</f>
        <v>Lactuca viminea subsp. chondrilliflora (Boreau) Bonnier, 1923</v>
      </c>
      <c r="F21900" s="5" t="s">
        <v>28586</v>
      </c>
      <c r="Q21900" s="7" t="str">
        <f>HYPERLINK("#Liste_rouge!A"&amp;_xlfn.XMATCH("LC",Liste_rouge!A:A,2,1),"LC")</f>
        <v>LC</v>
      </c>
      <c r="T21900" s="7" t="str">
        <f>HYPERLINK("#Liste_rouge!A"&amp;_xlfn.XMATCH("DD",Liste_rouge!A:A,2,1),"DD")</f>
        <v>DD</v>
      </c>
      <c r="AH21900" s="4" t="str">
        <f>HYPERLINK("#Statut_biogéographique!A"&amp;_xlfn.XMATCH("P",Statut_biogéographique!A:A,2,1),"P")</f>
        <v>P</v>
      </c>
      <c r="AM21900" s="4" t="s">
        <v>375</v>
      </c>
      <c r="AN21900" s="4" t="s">
        <v>375</v>
      </c>
      <c r="AO21900" s="4" t="s">
        <v>375</v>
      </c>
      <c r="AP21900" s="4" t="s">
        <v>376</v>
      </c>
      <c r="AR21900" s="4" t="s">
        <v>377</v>
      </c>
    </row>
    <row r="21901" spans="1:44" ht="30">
      <c r="A21901" s="4" t="s">
        <v>24364</v>
      </c>
      <c r="B21901" s="4">
        <v>137071</v>
      </c>
      <c r="D21901" s="5" t="s">
        <v>28587</v>
      </c>
      <c r="E21901" s="6" t="str">
        <f>HYPERLINK("https://inpn.mnhn.fr/espece/cd_nom/137071","Lamium galeobdolon subsp. argentatum (Smejkal) J.Duvign., 1987")</f>
        <v>Lamium galeobdolon subsp. argentatum (Smejkal) J.Duvign., 1987</v>
      </c>
      <c r="F21901" s="5" t="s">
        <v>28588</v>
      </c>
      <c r="Q21901" s="7" t="str">
        <f>HYPERLINK("#Liste_rouge!A"&amp;_xlfn.XMATCH("NA",Liste_rouge!A:A,2,1),"NA")</f>
        <v>NA</v>
      </c>
      <c r="T21901" s="7" t="str">
        <f>HYPERLINK("#Liste_rouge!A"&amp;_xlfn.XMATCH("NA",Liste_rouge!A:A,2,1),"NA")</f>
        <v>NA</v>
      </c>
      <c r="AH21901" s="4" t="str">
        <f>HYPERLINK("#Statut_biogéographique!A"&amp;_xlfn.XMATCH("I",Statut_biogéographique!A:A,2,1),"I")</f>
        <v>I</v>
      </c>
      <c r="AP21901" s="4" t="s">
        <v>376</v>
      </c>
      <c r="AR21901" s="4" t="s">
        <v>377</v>
      </c>
    </row>
    <row r="21902" spans="1:44" ht="30">
      <c r="A21902" s="4" t="s">
        <v>24364</v>
      </c>
      <c r="B21902" s="4">
        <v>137072</v>
      </c>
      <c r="D21902" s="5" t="s">
        <v>28589</v>
      </c>
      <c r="E21902" s="6" t="str">
        <f>HYPERLINK("https://inpn.mnhn.fr/espece/cd_nom/137072","Lamium galeobdolon subsp. galeobdolon (L.) L., 1759")</f>
        <v>Lamium galeobdolon subsp. galeobdolon (L.) L., 1759</v>
      </c>
      <c r="F21902" s="5" t="s">
        <v>25029</v>
      </c>
      <c r="AH21902" s="4" t="str">
        <f>HYPERLINK("#Statut_biogéographique!A"&amp;_xlfn.XMATCH("Q",Statut_biogéographique!A:A,2,1),"Q")</f>
        <v>Q</v>
      </c>
      <c r="AP21902" s="4" t="s">
        <v>376</v>
      </c>
      <c r="AR21902" s="4" t="s">
        <v>377</v>
      </c>
    </row>
    <row r="21903" spans="1:44" ht="45">
      <c r="A21903" s="4" t="s">
        <v>24364</v>
      </c>
      <c r="B21903" s="4">
        <v>137073</v>
      </c>
      <c r="D21903" s="5" t="s">
        <v>28590</v>
      </c>
      <c r="E21903" s="6" t="str">
        <f>HYPERLINK("https://inpn.mnhn.fr/espece/cd_nom/137073","Lamium galeobdolon subsp. montanum (Pers.) Hayek, 1929")</f>
        <v>Lamium galeobdolon subsp. montanum (Pers.) Hayek, 1929</v>
      </c>
      <c r="F21903" s="5" t="s">
        <v>28591</v>
      </c>
      <c r="Q21903" s="7" t="str">
        <f>HYPERLINK("#Liste_rouge!A"&amp;_xlfn.XMATCH("LC",Liste_rouge!A:A,2,1),"LC")</f>
        <v>LC</v>
      </c>
      <c r="T21903" s="7" t="str">
        <f>HYPERLINK("#Liste_rouge!A"&amp;_xlfn.XMATCH("DD",Liste_rouge!A:A,2,1),"DD")</f>
        <v>DD</v>
      </c>
      <c r="AH21903" s="4" t="str">
        <f>HYPERLINK("#Statut_biogéographique!A"&amp;_xlfn.XMATCH("P",Statut_biogéographique!A:A,2,1),"P")</f>
        <v>P</v>
      </c>
      <c r="AM21903" s="4" t="s">
        <v>375</v>
      </c>
      <c r="AN21903" s="4" t="s">
        <v>375</v>
      </c>
      <c r="AO21903" s="4" t="s">
        <v>375</v>
      </c>
      <c r="AP21903" s="4" t="s">
        <v>376</v>
      </c>
      <c r="AR21903" s="4" t="s">
        <v>377</v>
      </c>
    </row>
    <row r="21904" spans="1:44" ht="45">
      <c r="A21904" s="4" t="s">
        <v>24364</v>
      </c>
      <c r="B21904" s="4">
        <v>137076</v>
      </c>
      <c r="D21904" s="5" t="s">
        <v>28592</v>
      </c>
      <c r="E21904" s="6" t="str">
        <f>HYPERLINK("https://inpn.mnhn.fr/espece/cd_nom/137076","Lamium garganicum subsp. garganicum L., 1763")</f>
        <v>Lamium garganicum subsp. garganicum L., 1763</v>
      </c>
      <c r="F21904" s="5" t="s">
        <v>28593</v>
      </c>
      <c r="Q21904" s="7" t="str">
        <f>HYPERLINK("#Liste_rouge!A"&amp;_xlfn.XMATCH("LC",Liste_rouge!A:A,2,1),"LC")</f>
        <v>LC</v>
      </c>
      <c r="AH21904" s="4" t="str">
        <f>HYPERLINK("#Statut_biogéographique!A"&amp;_xlfn.XMATCH("P",Statut_biogéographique!A:A,2,1),"P")</f>
        <v>P</v>
      </c>
      <c r="AP21904" s="4" t="s">
        <v>376</v>
      </c>
      <c r="AR21904" s="4" t="s">
        <v>377</v>
      </c>
    </row>
    <row r="21905" spans="1:44" ht="30">
      <c r="A21905" s="4" t="s">
        <v>24364</v>
      </c>
      <c r="B21905" s="4">
        <v>137096</v>
      </c>
      <c r="D21905" s="5" t="s">
        <v>28594</v>
      </c>
      <c r="E21905" s="6" t="str">
        <f>HYPERLINK("https://inpn.mnhn.fr/espece/cd_nom/137096","Lapsana communis subsp. communis L., 1753")</f>
        <v>Lapsana communis subsp. communis L., 1753</v>
      </c>
      <c r="F21905" s="5" t="s">
        <v>28595</v>
      </c>
      <c r="Q21905" s="7" t="str">
        <f>HYPERLINK("#Liste_rouge!A"&amp;_xlfn.XMATCH("LC",Liste_rouge!A:A,2,1),"LC")</f>
        <v>LC</v>
      </c>
      <c r="T21905" s="7" t="str">
        <f>HYPERLINK("#Liste_rouge!A"&amp;_xlfn.XMATCH("LC",Liste_rouge!A:A,2,1),"LC")</f>
        <v>LC</v>
      </c>
      <c r="AH21905" s="4" t="str">
        <f>HYPERLINK("#Statut_biogéographique!A"&amp;_xlfn.XMATCH("P",Statut_biogéographique!A:A,2,1),"P")</f>
        <v>P</v>
      </c>
      <c r="AP21905" s="4" t="s">
        <v>376</v>
      </c>
      <c r="AR21905" s="4" t="s">
        <v>377</v>
      </c>
    </row>
    <row r="21906" spans="1:44" ht="30">
      <c r="A21906" s="4" t="s">
        <v>24364</v>
      </c>
      <c r="B21906" s="4">
        <v>137097</v>
      </c>
      <c r="D21906" s="5" t="s">
        <v>28596</v>
      </c>
      <c r="E21906" s="6" t="str">
        <f>HYPERLINK("https://inpn.mnhn.fr/espece/cd_nom/137097","Lapsana communis subsp. intermedia (M.Bieb.) Hayek, 1931")</f>
        <v>Lapsana communis subsp. intermedia (M.Bieb.) Hayek, 1931</v>
      </c>
      <c r="F21906" s="5" t="s">
        <v>28597</v>
      </c>
      <c r="Q21906" s="7" t="str">
        <f>HYPERLINK("#Liste_rouge!A"&amp;_xlfn.XMATCH("NA",Liste_rouge!A:A,2,1),"NA")</f>
        <v>NA</v>
      </c>
      <c r="T21906" s="7" t="str">
        <f>HYPERLINK("#Liste_rouge!A"&amp;_xlfn.XMATCH("DD",Liste_rouge!A:A,2,1),"DD")</f>
        <v>DD</v>
      </c>
      <c r="AH21906" s="4" t="str">
        <f>HYPERLINK("#Statut_biogéographique!A"&amp;_xlfn.XMATCH("I",Statut_biogéographique!A:A,2,1),"I")</f>
        <v>I</v>
      </c>
      <c r="AM21906" s="4" t="s">
        <v>375</v>
      </c>
      <c r="AN21906" s="4" t="s">
        <v>375</v>
      </c>
      <c r="AO21906" s="4" t="s">
        <v>375</v>
      </c>
      <c r="AP21906" s="4" t="s">
        <v>376</v>
      </c>
      <c r="AR21906" s="4" t="s">
        <v>377</v>
      </c>
    </row>
    <row r="21907" spans="1:44" ht="30">
      <c r="A21907" s="4" t="s">
        <v>24364</v>
      </c>
      <c r="B21907" s="4">
        <v>137099</v>
      </c>
      <c r="D21907" s="5">
        <v>137099</v>
      </c>
      <c r="E21907" s="6" t="str">
        <f>HYPERLINK("https://inpn.mnhn.fr/espece/cd_nom/137099","Larix decidua subsp. decidua Mill., 1768")</f>
        <v>Larix decidua subsp. decidua Mill., 1768</v>
      </c>
      <c r="F21907" s="5" t="s">
        <v>25041</v>
      </c>
      <c r="T21907" s="7" t="str">
        <f>HYPERLINK("#Liste_rouge!A"&amp;_xlfn.XMATCH("NA",Liste_rouge!A:A,2,1),"NA")</f>
        <v>NA</v>
      </c>
      <c r="AH21907" s="4" t="str">
        <f>HYPERLINK("#Statut_biogéographique!A"&amp;_xlfn.XMATCH("P",Statut_biogéographique!A:A,2,1),"P")</f>
        <v>P</v>
      </c>
      <c r="AP21907" s="4" t="s">
        <v>376</v>
      </c>
      <c r="AR21907" s="4" t="s">
        <v>377</v>
      </c>
    </row>
    <row r="21908" spans="1:44" ht="30">
      <c r="A21908" s="4" t="s">
        <v>24364</v>
      </c>
      <c r="B21908" s="4">
        <v>137107</v>
      </c>
      <c r="D21908" s="5">
        <v>137107</v>
      </c>
      <c r="E21908" s="6" t="str">
        <f>HYPERLINK("https://inpn.mnhn.fr/espece/cd_nom/137107","Laserpitium prutenicum subsp. prutenicum L., 1753")</f>
        <v>Laserpitium prutenicum subsp. prutenicum L., 1753</v>
      </c>
      <c r="F21908" s="5" t="s">
        <v>25053</v>
      </c>
      <c r="Q21908" s="7" t="str">
        <f>HYPERLINK("#Liste_rouge!A"&amp;_xlfn.XMATCH("NT",Liste_rouge!A:A,2,1),"NT")</f>
        <v>NT</v>
      </c>
      <c r="AH21908" s="4" t="str">
        <f>HYPERLINK("#Statut_biogéographique!A"&amp;_xlfn.XMATCH("P",Statut_biogéographique!A:A,2,1),"P")</f>
        <v>P</v>
      </c>
      <c r="AP21908" s="4" t="s">
        <v>376</v>
      </c>
      <c r="AR21908" s="4" t="s">
        <v>377</v>
      </c>
    </row>
    <row r="21909" spans="1:44" ht="30">
      <c r="A21909" s="4" t="s">
        <v>24364</v>
      </c>
      <c r="B21909" s="4">
        <v>137134</v>
      </c>
      <c r="D21909" s="5" t="s">
        <v>28598</v>
      </c>
      <c r="E21909" s="6" t="str">
        <f>HYPERLINK("https://inpn.mnhn.fr/espece/cd_nom/137134","Lathyrus niger subsp. niger (L.) Bernh., 1800")</f>
        <v>Lathyrus niger subsp. niger (L.) Bernh., 1800</v>
      </c>
      <c r="F21909" s="5" t="s">
        <v>25078</v>
      </c>
      <c r="T21909" s="7" t="str">
        <f>HYPERLINK("#Liste_rouge!A"&amp;_xlfn.XMATCH("DD",Liste_rouge!A:A,2,1),"DD")</f>
        <v>DD</v>
      </c>
      <c r="AH21909" s="4" t="str">
        <f>HYPERLINK("#Statut_biogéographique!A"&amp;_xlfn.XMATCH("P",Statut_biogéographique!A:A,2,1),"P")</f>
        <v>P</v>
      </c>
      <c r="AM21909" s="4" t="s">
        <v>375</v>
      </c>
      <c r="AN21909" s="4" t="s">
        <v>375</v>
      </c>
      <c r="AO21909" s="4" t="s">
        <v>375</v>
      </c>
      <c r="AP21909" s="4" t="s">
        <v>376</v>
      </c>
      <c r="AR21909" s="4" t="s">
        <v>377</v>
      </c>
    </row>
    <row r="21910" spans="1:44" ht="30">
      <c r="A21910" s="4" t="s">
        <v>24364</v>
      </c>
      <c r="B21910" s="4">
        <v>137161</v>
      </c>
      <c r="D21910" s="5">
        <v>137161</v>
      </c>
      <c r="E21910" s="6" t="str">
        <f>HYPERLINK("https://inpn.mnhn.fr/espece/cd_nom/137161","Lavandula angustifolia subsp. angustifolia Mill., 1768")</f>
        <v>Lavandula angustifolia subsp. angustifolia Mill., 1768</v>
      </c>
      <c r="F21910" s="5" t="s">
        <v>25105</v>
      </c>
      <c r="Q21910" s="7" t="str">
        <f>HYPERLINK("#Liste_rouge!A"&amp;_xlfn.XMATCH("LC",Liste_rouge!A:A,2,1),"LC")</f>
        <v>LC</v>
      </c>
      <c r="T21910" s="7" t="str">
        <f>HYPERLINK("#Liste_rouge!A"&amp;_xlfn.XMATCH("NA",Liste_rouge!A:A,2,1),"NA")</f>
        <v>NA</v>
      </c>
      <c r="AH21910" s="4" t="str">
        <f>HYPERLINK("#Statut_biogéographique!A"&amp;_xlfn.XMATCH("P",Statut_biogéographique!A:A,2,1),"P")</f>
        <v>P</v>
      </c>
      <c r="AP21910" s="4" t="s">
        <v>376</v>
      </c>
      <c r="AR21910" s="4" t="s">
        <v>377</v>
      </c>
    </row>
    <row r="21911" spans="1:44" ht="75">
      <c r="A21911" s="4" t="s">
        <v>24364</v>
      </c>
      <c r="B21911" s="4">
        <v>137189</v>
      </c>
      <c r="D21911" s="5" t="s">
        <v>28599</v>
      </c>
      <c r="E21911" s="6" t="str">
        <f>HYPERLINK("https://inpn.mnhn.fr/espece/cd_nom/137189","Leontodon hispidus subsp. hispidus L., 1753")</f>
        <v>Leontodon hispidus subsp. hispidus L., 1753</v>
      </c>
      <c r="F21911" s="5" t="s">
        <v>25124</v>
      </c>
      <c r="Q21911" s="7" t="str">
        <f>HYPERLINK("#Liste_rouge!A"&amp;_xlfn.XMATCH("LC",Liste_rouge!A:A,2,1),"LC")</f>
        <v>LC</v>
      </c>
      <c r="T21911" s="7" t="str">
        <f>HYPERLINK("#Liste_rouge!A"&amp;_xlfn.XMATCH("LC",Liste_rouge!A:A,2,1),"LC")</f>
        <v>LC</v>
      </c>
      <c r="AH21911" s="4" t="str">
        <f>HYPERLINK("#Statut_biogéographique!A"&amp;_xlfn.XMATCH("P",Statut_biogéographique!A:A,2,1),"P")</f>
        <v>P</v>
      </c>
      <c r="AP21911" s="4" t="s">
        <v>376</v>
      </c>
      <c r="AR21911" s="4" t="s">
        <v>377</v>
      </c>
    </row>
    <row r="21912" spans="1:44" ht="30">
      <c r="A21912" s="4" t="s">
        <v>24364</v>
      </c>
      <c r="B21912" s="4">
        <v>137190</v>
      </c>
      <c r="D21912" s="5" t="s">
        <v>28600</v>
      </c>
      <c r="E21912" s="6" t="str">
        <f>HYPERLINK("https://inpn.mnhn.fr/espece/cd_nom/137190","Leontodon hispidus subsp. hyoseroides (Welw. ex Rchb.) Gremli, 1885")</f>
        <v>Leontodon hispidus subsp. hyoseroides (Welw. ex Rchb.) Gremli, 1885</v>
      </c>
      <c r="F21912" s="5" t="s">
        <v>28601</v>
      </c>
      <c r="Q21912" s="7" t="str">
        <f>HYPERLINK("#Liste_rouge!A"&amp;_xlfn.XMATCH("LC",Liste_rouge!A:A,2,1),"LC")</f>
        <v>LC</v>
      </c>
      <c r="T21912" s="7" t="str">
        <f>HYPERLINK("#Liste_rouge!A"&amp;_xlfn.XMATCH("EN",Liste_rouge!A:A,2,1),"EN (cd_nom 137190) - DD (cd_nom 613667)")</f>
        <v>EN (cd_nom 137190) - DD (cd_nom 613667)</v>
      </c>
      <c r="U21912" s="4" t="str">
        <f>HYPERLINK("#Critères_liste_rouge!A$1","B2ab(ii,iii,iv) (cd_nom 137190)")</f>
        <v>B2ab(ii,iii,iv) (cd_nom 137190)</v>
      </c>
      <c r="AB21912" s="4" t="s">
        <v>24495</v>
      </c>
      <c r="AH21912" s="4" t="str">
        <f>HYPERLINK("#Statut_biogéographique!A"&amp;_xlfn.XMATCH("P",Statut_biogéographique!A:A,2,1),"P")</f>
        <v>P</v>
      </c>
      <c r="AM21912" s="4" t="s">
        <v>375</v>
      </c>
      <c r="AN21912" s="4" t="s">
        <v>375</v>
      </c>
      <c r="AO21912" s="4" t="s">
        <v>375</v>
      </c>
      <c r="AP21912" s="4" t="s">
        <v>376</v>
      </c>
      <c r="AR21912" s="4" t="s">
        <v>377</v>
      </c>
    </row>
    <row r="21913" spans="1:44" ht="75">
      <c r="A21913" s="4" t="s">
        <v>24364</v>
      </c>
      <c r="B21913" s="4">
        <v>137205</v>
      </c>
      <c r="D21913" s="5" t="s">
        <v>28602</v>
      </c>
      <c r="E21913" s="6" t="str">
        <f>HYPERLINK("https://inpn.mnhn.fr/espece/cd_nom/137205","Leontodon saxatilis subsp. saxatilis Lam., 1779")</f>
        <v>Leontodon saxatilis subsp. saxatilis Lam., 1779</v>
      </c>
      <c r="F21913" s="5" t="s">
        <v>25126</v>
      </c>
      <c r="Q21913" s="7" t="str">
        <f>HYPERLINK("#Liste_rouge!A"&amp;_xlfn.XMATCH("LC",Liste_rouge!A:A,2,1),"LC")</f>
        <v>LC</v>
      </c>
      <c r="T21913" s="7" t="str">
        <f>HYPERLINK("#Liste_rouge!A"&amp;_xlfn.XMATCH("VU",Liste_rouge!A:A,2,1),"VU")</f>
        <v>VU</v>
      </c>
      <c r="U21913" s="4" t="str">
        <f>HYPERLINK("#Critères_liste_rouge!A$1","D2")</f>
        <v>D2</v>
      </c>
      <c r="AB21913" s="4" t="s">
        <v>24803</v>
      </c>
      <c r="AH21913" s="4" t="str">
        <f>HYPERLINK("#Statut_biogéographique!A"&amp;_xlfn.XMATCH("P",Statut_biogéographique!A:A,2,1),"P")</f>
        <v>P</v>
      </c>
      <c r="AM21913" s="4" t="s">
        <v>375</v>
      </c>
      <c r="AN21913" s="4" t="s">
        <v>375</v>
      </c>
      <c r="AO21913" s="4" t="s">
        <v>375</v>
      </c>
      <c r="AP21913" s="4" t="s">
        <v>376</v>
      </c>
      <c r="AR21913" s="4" t="s">
        <v>377</v>
      </c>
    </row>
    <row r="21914" spans="1:44" ht="60">
      <c r="A21914" s="4" t="s">
        <v>24364</v>
      </c>
      <c r="B21914" s="4">
        <v>137388</v>
      </c>
      <c r="D21914" s="5" t="s">
        <v>28603</v>
      </c>
      <c r="E21914" s="6" t="str">
        <f>HYPERLINK("https://inpn.mnhn.fr/espece/cd_nom/137388","Linum usitatissimum subsp. angustifolium (Huds.) Thell., 1912")</f>
        <v>Linum usitatissimum subsp. angustifolium (Huds.) Thell., 1912</v>
      </c>
      <c r="F21914" s="5" t="s">
        <v>28604</v>
      </c>
      <c r="Q21914" s="7" t="str">
        <f>HYPERLINK("#Liste_rouge!A"&amp;_xlfn.XMATCH("LC",Liste_rouge!A:A,2,1),"LC")</f>
        <v>LC</v>
      </c>
      <c r="T21914" s="7" t="str">
        <f>HYPERLINK("#Liste_rouge!A"&amp;_xlfn.XMATCH("VU",Liste_rouge!A:A,2,1),"VU")</f>
        <v>VU</v>
      </c>
      <c r="U21914" s="4" t="str">
        <f>HYPERLINK("#Critères_liste_rouge!A$1","D2")</f>
        <v>D2</v>
      </c>
      <c r="AB21914" s="4" t="s">
        <v>24803</v>
      </c>
      <c r="AH21914" s="4" t="str">
        <f>HYPERLINK("#Statut_biogéographique!A"&amp;_xlfn.XMATCH("P",Statut_biogéographique!A:A,2,1),"P")</f>
        <v>P</v>
      </c>
      <c r="AM21914" s="4" t="s">
        <v>375</v>
      </c>
      <c r="AN21914" s="4" t="s">
        <v>375</v>
      </c>
      <c r="AO21914" s="4" t="s">
        <v>375</v>
      </c>
      <c r="AP21914" s="4" t="s">
        <v>376</v>
      </c>
      <c r="AR21914" s="4" t="s">
        <v>377</v>
      </c>
    </row>
    <row r="21915" spans="1:44" ht="45">
      <c r="A21915" s="4" t="s">
        <v>24364</v>
      </c>
      <c r="B21915" s="4">
        <v>137412</v>
      </c>
      <c r="D21915" s="5" t="s">
        <v>28605</v>
      </c>
      <c r="E21915" s="6" t="str">
        <f>HYPERLINK("https://inpn.mnhn.fr/espece/cd_nom/137412","Lolium rigidum subsp. rigidum Gaudin, 1811")</f>
        <v>Lolium rigidum subsp. rigidum Gaudin, 1811</v>
      </c>
      <c r="F21915" s="5" t="s">
        <v>25250</v>
      </c>
      <c r="Q21915" s="7" t="str">
        <f>HYPERLINK("#Liste_rouge!A"&amp;_xlfn.XMATCH("LC",Liste_rouge!A:A,2,1),"LC")</f>
        <v>LC</v>
      </c>
      <c r="AH21915" s="4" t="str">
        <f>HYPERLINK("#Statut_biogéographique!A"&amp;_xlfn.XMATCH("P",Statut_biogéographique!A:A,2,1),"P")</f>
        <v>P</v>
      </c>
      <c r="AP21915" s="4" t="s">
        <v>376</v>
      </c>
      <c r="AR21915" s="4" t="s">
        <v>377</v>
      </c>
    </row>
    <row r="21916" spans="1:44">
      <c r="A21916" s="4" t="s">
        <v>24364</v>
      </c>
      <c r="B21916" s="4">
        <v>137428</v>
      </c>
      <c r="D21916" s="5">
        <v>137428</v>
      </c>
      <c r="E21916" s="6" t="str">
        <f>HYPERLINK("https://inpn.mnhn.fr/espece/cd_nom/137428","Lonicera alpigena subsp. alpigena L., 1753")</f>
        <v>Lonicera alpigena subsp. alpigena L., 1753</v>
      </c>
      <c r="F21916" s="5" t="s">
        <v>28606</v>
      </c>
      <c r="AH21916" s="4" t="str">
        <f>HYPERLINK("#Statut_biogéographique!A"&amp;_xlfn.XMATCH("P",Statut_biogéographique!A:A,2,1),"P")</f>
        <v>P</v>
      </c>
      <c r="AP21916" s="4" t="s">
        <v>376</v>
      </c>
      <c r="AR21916" s="4" t="s">
        <v>377</v>
      </c>
    </row>
    <row r="21917" spans="1:44">
      <c r="A21917" s="4" t="s">
        <v>24364</v>
      </c>
      <c r="B21917" s="4">
        <v>137429</v>
      </c>
      <c r="D21917" s="5">
        <v>137429</v>
      </c>
      <c r="E21917" s="6" t="str">
        <f>HYPERLINK("https://inpn.mnhn.fr/espece/cd_nom/137429","Lonicera caerulea subsp. caerulea L., 1753")</f>
        <v>Lonicera caerulea subsp. caerulea L., 1753</v>
      </c>
      <c r="F21917" s="5" t="s">
        <v>28607</v>
      </c>
      <c r="M21917" s="4" t="str">
        <f>HYPERLINK("#Réglementation!A"&amp;_xlfn.XMATCH("RV43",Réglementation!A:A,2,1),"RV43")</f>
        <v>RV43</v>
      </c>
      <c r="AH21917" s="4" t="str">
        <f>HYPERLINK("#Statut_biogéographique!A"&amp;_xlfn.XMATCH("P",Statut_biogéographique!A:A,2,1),"P")</f>
        <v>P</v>
      </c>
      <c r="AP21917" s="4" t="s">
        <v>376</v>
      </c>
      <c r="AR21917" s="4" t="s">
        <v>377</v>
      </c>
    </row>
    <row r="21918" spans="1:44" ht="30">
      <c r="A21918" s="4" t="s">
        <v>24364</v>
      </c>
      <c r="B21918" s="4">
        <v>137432</v>
      </c>
      <c r="D21918" s="5">
        <v>137432</v>
      </c>
      <c r="E21918" s="6" t="str">
        <f>HYPERLINK("https://inpn.mnhn.fr/espece/cd_nom/137432","Lonicera periclymenum subsp. periclymenum L., 1753")</f>
        <v>Lonicera periclymenum subsp. periclymenum L., 1753</v>
      </c>
      <c r="F21918" s="5" t="s">
        <v>28608</v>
      </c>
      <c r="AH21918" s="4" t="str">
        <f>HYPERLINK("#Statut_biogéographique!A"&amp;_xlfn.XMATCH("P",Statut_biogéographique!A:A,2,1),"P")</f>
        <v>P</v>
      </c>
      <c r="AP21918" s="4" t="s">
        <v>376</v>
      </c>
      <c r="AR21918" s="4" t="s">
        <v>377</v>
      </c>
    </row>
    <row r="21919" spans="1:44" ht="90">
      <c r="A21919" s="4" t="s">
        <v>24364</v>
      </c>
      <c r="B21919" s="4">
        <v>137440</v>
      </c>
      <c r="D21919" s="5" t="s">
        <v>28609</v>
      </c>
      <c r="E21919" s="6" t="str">
        <f>HYPERLINK("https://inpn.mnhn.fr/espece/cd_nom/137440","Lotus corniculatus subsp. corniculatus L., 1753")</f>
        <v>Lotus corniculatus subsp. corniculatus L., 1753</v>
      </c>
      <c r="F21919" s="5" t="s">
        <v>25283</v>
      </c>
      <c r="Q21919" s="7" t="str">
        <f>HYPERLINK("#Liste_rouge!A"&amp;_xlfn.XMATCH("LC",Liste_rouge!A:A,2,1),"LC")</f>
        <v>LC</v>
      </c>
      <c r="T21919" s="7" t="str">
        <f>HYPERLINK("#Liste_rouge!A"&amp;_xlfn.XMATCH("DD",Liste_rouge!A:A,2,1),"DD")</f>
        <v>DD</v>
      </c>
      <c r="AH21919" s="4" t="str">
        <f>HYPERLINK("#Statut_biogéographique!A"&amp;_xlfn.XMATCH("P",Statut_biogéographique!A:A,2,1),"P")</f>
        <v>P</v>
      </c>
      <c r="AM21919" s="4" t="s">
        <v>375</v>
      </c>
      <c r="AN21919" s="4" t="s">
        <v>375</v>
      </c>
      <c r="AO21919" s="4" t="s">
        <v>375</v>
      </c>
      <c r="AP21919" s="4" t="s">
        <v>376</v>
      </c>
      <c r="AR21919" s="4" t="s">
        <v>377</v>
      </c>
    </row>
    <row r="21920" spans="1:44" ht="30">
      <c r="A21920" s="4" t="s">
        <v>24364</v>
      </c>
      <c r="B21920" s="4">
        <v>137441</v>
      </c>
      <c r="D21920" s="5" t="s">
        <v>28610</v>
      </c>
      <c r="E21920" s="6" t="str">
        <f>HYPERLINK("https://inpn.mnhn.fr/espece/cd_nom/137441","Lotus corniculatus subsp. delortii (Timb.-Lagr. ex F.W.Schultz) Nyman, 1878")</f>
        <v>Lotus corniculatus subsp. delortii (Timb.-Lagr. ex F.W.Schultz) Nyman, 1878</v>
      </c>
      <c r="F21920" s="5" t="s">
        <v>28611</v>
      </c>
      <c r="Q21920" s="7" t="str">
        <f>HYPERLINK("#Liste_rouge!A"&amp;_xlfn.XMATCH("LC",Liste_rouge!A:A,2,1),"LC")</f>
        <v>LC</v>
      </c>
      <c r="AH21920" s="4" t="str">
        <f>HYPERLINK("#Statut_biogéographique!A"&amp;_xlfn.XMATCH("P",Statut_biogéographique!A:A,2,1),"P")</f>
        <v>P</v>
      </c>
      <c r="AM21920" s="4" t="s">
        <v>375</v>
      </c>
      <c r="AN21920" s="4" t="s">
        <v>375</v>
      </c>
      <c r="AO21920" s="4" t="s">
        <v>375</v>
      </c>
      <c r="AP21920" s="4" t="s">
        <v>376</v>
      </c>
      <c r="AR21920" s="4" t="s">
        <v>377</v>
      </c>
    </row>
    <row r="21921" spans="1:44" ht="60">
      <c r="A21921" s="4" t="s">
        <v>24364</v>
      </c>
      <c r="B21921" s="4">
        <v>137507</v>
      </c>
      <c r="D21921" s="5" t="s">
        <v>28612</v>
      </c>
      <c r="E21921" s="6" t="str">
        <f>HYPERLINK("https://inpn.mnhn.fr/espece/cd_nom/137507","Luzula multiflora subsp. multiflora (Ehrh.) Lej., 1811")</f>
        <v>Luzula multiflora subsp. multiflora (Ehrh.) Lej., 1811</v>
      </c>
      <c r="F21921" s="5" t="s">
        <v>25334</v>
      </c>
      <c r="T21921" s="7" t="str">
        <f>HYPERLINK("#Liste_rouge!A"&amp;_xlfn.XMATCH("DD",Liste_rouge!A:A,2,1),"DD")</f>
        <v>DD</v>
      </c>
      <c r="AH21921" s="4" t="str">
        <f>HYPERLINK("#Statut_biogéographique!A"&amp;_xlfn.XMATCH("P",Statut_biogéographique!A:A,2,1),"P")</f>
        <v>P</v>
      </c>
      <c r="AP21921" s="4" t="s">
        <v>376</v>
      </c>
      <c r="AR21921" s="4" t="s">
        <v>377</v>
      </c>
    </row>
    <row r="21922" spans="1:44">
      <c r="A21922" s="4" t="s">
        <v>24364</v>
      </c>
      <c r="B21922" s="4">
        <v>137520</v>
      </c>
      <c r="D21922" s="5" t="s">
        <v>28613</v>
      </c>
      <c r="E21922" s="6" t="str">
        <f>HYPERLINK("https://inpn.mnhn.fr/espece/cd_nom/137520","Luzula spicata subsp. spicata (L.) DC., 1805")</f>
        <v>Luzula spicata subsp. spicata (L.) DC., 1805</v>
      </c>
      <c r="F21922" s="5" t="s">
        <v>25342</v>
      </c>
      <c r="Q21922" s="7" t="str">
        <f>HYPERLINK("#Liste_rouge!A"&amp;_xlfn.XMATCH("LC",Liste_rouge!A:A,2,1),"LC")</f>
        <v>LC</v>
      </c>
      <c r="AH21922" s="4" t="str">
        <f>HYPERLINK("#Statut_biogéographique!A"&amp;_xlfn.XMATCH("P",Statut_biogéographique!A:A,2,1),"P")</f>
        <v>P</v>
      </c>
      <c r="AP21922" s="4" t="s">
        <v>376</v>
      </c>
      <c r="AR21922" s="4" t="s">
        <v>377</v>
      </c>
    </row>
    <row r="21923" spans="1:44" ht="30">
      <c r="A21923" s="4" t="s">
        <v>24364</v>
      </c>
      <c r="B21923" s="4">
        <v>137521</v>
      </c>
      <c r="D21923" s="5" t="s">
        <v>28614</v>
      </c>
      <c r="E21923" s="6" t="str">
        <f>HYPERLINK("https://inpn.mnhn.fr/espece/cd_nom/137521","Luzula sylvatica subsp. sieberi (Tausch) K.Richt., 1890")</f>
        <v>Luzula sylvatica subsp. sieberi (Tausch) K.Richt., 1890</v>
      </c>
      <c r="F21923" s="5" t="s">
        <v>28615</v>
      </c>
      <c r="Q21923" s="7" t="str">
        <f>HYPERLINK("#Liste_rouge!A"&amp;_xlfn.XMATCH("LC",Liste_rouge!A:A,2,1),"LC")</f>
        <v>LC</v>
      </c>
      <c r="AH21923" s="4" t="str">
        <f>HYPERLINK("#Statut_biogéographique!A"&amp;_xlfn.XMATCH("P",Statut_biogéographique!A:A,2,1),"P")</f>
        <v>P</v>
      </c>
      <c r="AM21923" s="4" t="s">
        <v>375</v>
      </c>
      <c r="AN21923" s="4" t="s">
        <v>375</v>
      </c>
      <c r="AO21923" s="4" t="s">
        <v>375</v>
      </c>
      <c r="AP21923" s="4" t="s">
        <v>376</v>
      </c>
      <c r="AR21923" s="4" t="s">
        <v>377</v>
      </c>
    </row>
    <row r="21924" spans="1:44" ht="30">
      <c r="A21924" s="4" t="s">
        <v>24364</v>
      </c>
      <c r="B21924" s="4">
        <v>137522</v>
      </c>
      <c r="D21924" s="5" t="s">
        <v>28616</v>
      </c>
      <c r="E21924" s="6" t="str">
        <f>HYPERLINK("https://inpn.mnhn.fr/espece/cd_nom/137522","Luzula sylvatica subsp. sylvatica (Huds.) Gaudin, 1811")</f>
        <v>Luzula sylvatica subsp. sylvatica (Huds.) Gaudin, 1811</v>
      </c>
      <c r="F21924" s="5" t="s">
        <v>25344</v>
      </c>
      <c r="Q21924" s="7" t="str">
        <f>HYPERLINK("#Liste_rouge!A"&amp;_xlfn.XMATCH("LC",Liste_rouge!A:A,2,1),"LC")</f>
        <v>LC</v>
      </c>
      <c r="T21924" s="7" t="str">
        <f>HYPERLINK("#Liste_rouge!A"&amp;_xlfn.XMATCH("DD",Liste_rouge!A:A,2,1),"DD")</f>
        <v>DD</v>
      </c>
      <c r="AH21924" s="4" t="str">
        <f>HYPERLINK("#Statut_biogéographique!A"&amp;_xlfn.XMATCH("P",Statut_biogéographique!A:A,2,1),"P")</f>
        <v>P</v>
      </c>
      <c r="AM21924" s="4" t="s">
        <v>375</v>
      </c>
      <c r="AN21924" s="4" t="s">
        <v>375</v>
      </c>
      <c r="AO21924" s="4" t="s">
        <v>375</v>
      </c>
      <c r="AP21924" s="4" t="s">
        <v>376</v>
      </c>
      <c r="AR21924" s="4" t="s">
        <v>377</v>
      </c>
    </row>
    <row r="21925" spans="1:44" ht="45">
      <c r="A21925" s="4" t="s">
        <v>24364</v>
      </c>
      <c r="B21925" s="4">
        <v>137593</v>
      </c>
      <c r="D21925" s="5">
        <v>137593</v>
      </c>
      <c r="E21925" s="6" t="str">
        <f>HYPERLINK("https://inpn.mnhn.fr/espece/cd_nom/137593","Matthiola incana subsp. incana (L.) W.T.Aiton, 1812")</f>
        <v>Matthiola incana subsp. incana (L.) W.T.Aiton, 1812</v>
      </c>
      <c r="F21925" s="5" t="s">
        <v>25433</v>
      </c>
      <c r="T21925" s="7" t="str">
        <f>HYPERLINK("#Liste_rouge!A"&amp;_xlfn.XMATCH("NE",Liste_rouge!A:A,2,1),"NE")</f>
        <v>NE</v>
      </c>
      <c r="AH21925" s="4" t="str">
        <f>HYPERLINK("#Statut_biogéographique!A"&amp;_xlfn.XMATCH("P",Statut_biogéographique!A:A,2,1),"P")</f>
        <v>P</v>
      </c>
      <c r="AP21925" s="4" t="s">
        <v>376</v>
      </c>
      <c r="AR21925" s="4" t="s">
        <v>377</v>
      </c>
    </row>
    <row r="21926" spans="1:44" ht="75">
      <c r="A21926" s="4" t="s">
        <v>24364</v>
      </c>
      <c r="B21926" s="4">
        <v>137666</v>
      </c>
      <c r="D21926" s="5" t="s">
        <v>28617</v>
      </c>
      <c r="E21926" s="6" t="str">
        <f>HYPERLINK("https://inpn.mnhn.fr/espece/cd_nom/137666","Medicago sativa subsp. falcata (L.) Arcang., 1882")</f>
        <v>Medicago sativa subsp. falcata (L.) Arcang., 1882</v>
      </c>
      <c r="F21926" s="5" t="s">
        <v>28618</v>
      </c>
      <c r="P21926" s="7" t="str">
        <f>HYPERLINK("#Liste_rouge!A"&amp;_xlfn.XMATCH("VU",Liste_rouge!A:A,2,1),"VU (cd_nom 107618) - DD (cd_nom 107694)")</f>
        <v>VU (cd_nom 107618) - DD (cd_nom 107694)</v>
      </c>
      <c r="Q21926" s="7" t="str">
        <f>HYPERLINK("#Liste_rouge!A"&amp;_xlfn.XMATCH("LC",Liste_rouge!A:A,2,1),"LC")</f>
        <v>LC</v>
      </c>
      <c r="T21926" s="7" t="str">
        <f>HYPERLINK("#Liste_rouge!A"&amp;_xlfn.XMATCH("DD",Liste_rouge!A:A,2,1),"DD")</f>
        <v>DD</v>
      </c>
      <c r="AH21926" s="4" t="str">
        <f>HYPERLINK("#Statut_biogéographique!A"&amp;_xlfn.XMATCH("P",Statut_biogéographique!A:A,2,1),"P")</f>
        <v>P</v>
      </c>
      <c r="AM21926" s="4" t="s">
        <v>375</v>
      </c>
      <c r="AN21926" s="4" t="s">
        <v>375</v>
      </c>
      <c r="AO21926" s="4" t="s">
        <v>375</v>
      </c>
      <c r="AP21926" s="4" t="s">
        <v>376</v>
      </c>
      <c r="AR21926" s="4" t="s">
        <v>377</v>
      </c>
    </row>
    <row r="21927" spans="1:44" ht="90">
      <c r="A21927" s="4" t="s">
        <v>24364</v>
      </c>
      <c r="B21927" s="4">
        <v>137671</v>
      </c>
      <c r="D21927" s="5" t="s">
        <v>28619</v>
      </c>
      <c r="E21927" s="6" t="str">
        <f>HYPERLINK("https://inpn.mnhn.fr/espece/cd_nom/137671","Medicago sativa nothosubsp. media (Pers.) Schübl. &amp; G.Martens, 1834")</f>
        <v>Medicago sativa nothosubsp. media (Pers.) Schübl. &amp; G.Martens, 1834</v>
      </c>
      <c r="F21927" s="5" t="s">
        <v>28620</v>
      </c>
      <c r="T21927" s="7" t="str">
        <f>HYPERLINK("#Liste_rouge!A"&amp;_xlfn.XMATCH("DD",Liste_rouge!A:A,2,1),"DD")</f>
        <v>DD</v>
      </c>
      <c r="AH21927" s="4" t="str">
        <f>HYPERLINK("#Statut_biogéographique!A"&amp;_xlfn.XMATCH("P",Statut_biogéographique!A:A,2,1),"P")</f>
        <v>P</v>
      </c>
      <c r="AM21927" s="4" t="s">
        <v>375</v>
      </c>
      <c r="AN21927" s="4" t="s">
        <v>375</v>
      </c>
      <c r="AO21927" s="4" t="s">
        <v>375</v>
      </c>
      <c r="AP21927" s="4" t="s">
        <v>376</v>
      </c>
      <c r="AR21927" s="4" t="s">
        <v>377</v>
      </c>
    </row>
    <row r="21928" spans="1:44" ht="60">
      <c r="A21928" s="4" t="s">
        <v>24364</v>
      </c>
      <c r="B21928" s="4">
        <v>137673</v>
      </c>
      <c r="D21928" s="5" t="s">
        <v>28621</v>
      </c>
      <c r="E21928" s="6" t="str">
        <f>HYPERLINK("https://inpn.mnhn.fr/espece/cd_nom/137673","Medicago sativa subsp. sativa L., 1753")</f>
        <v>Medicago sativa subsp. sativa L., 1753</v>
      </c>
      <c r="F21928" s="5" t="s">
        <v>25452</v>
      </c>
      <c r="Q21928" s="7" t="str">
        <f>HYPERLINK("#Liste_rouge!A"&amp;_xlfn.XMATCH("NA",Liste_rouge!A:A,2,1),"NA")</f>
        <v>NA</v>
      </c>
      <c r="T21928" s="7" t="str">
        <f>HYPERLINK("#Liste_rouge!A"&amp;_xlfn.XMATCH("NA",Liste_rouge!A:A,2,1),"NA")</f>
        <v>NA</v>
      </c>
      <c r="AH21928" s="4" t="str">
        <f>HYPERLINK("#Statut_biogéographique!A"&amp;_xlfn.XMATCH("I",Statut_biogéographique!A:A,2,1),"I")</f>
        <v>I</v>
      </c>
      <c r="AM21928" s="4" t="s">
        <v>375</v>
      </c>
      <c r="AN21928" s="4" t="s">
        <v>375</v>
      </c>
      <c r="AO21928" s="4" t="s">
        <v>375</v>
      </c>
      <c r="AP21928" s="4" t="s">
        <v>376</v>
      </c>
      <c r="AR21928" s="4" t="s">
        <v>377</v>
      </c>
    </row>
    <row r="21929" spans="1:44" ht="90">
      <c r="A21929" s="4" t="s">
        <v>24364</v>
      </c>
      <c r="B21929" s="4">
        <v>137719</v>
      </c>
      <c r="D21929" s="5" t="s">
        <v>28622</v>
      </c>
      <c r="E21929" s="6" t="str">
        <f>HYPERLINK("https://inpn.mnhn.fr/espece/cd_nom/137719","Melica ciliata subsp. ciliata L., 1753")</f>
        <v>Melica ciliata subsp. ciliata L., 1753</v>
      </c>
      <c r="F21929" s="5" t="s">
        <v>25470</v>
      </c>
      <c r="O21929" s="7" t="str">
        <f>HYPERLINK("#Liste_rouge!A"&amp;_xlfn.XMATCH("LC",Liste_rouge!A:A,2,1),"LC")</f>
        <v>LC</v>
      </c>
      <c r="Q21929" s="7" t="str">
        <f>HYPERLINK("#Liste_rouge!A"&amp;_xlfn.XMATCH("LC",Liste_rouge!A:A,2,1),"LC")</f>
        <v>LC</v>
      </c>
      <c r="T21929" s="7" t="str">
        <f>HYPERLINK("#Liste_rouge!A"&amp;_xlfn.XMATCH("DD",Liste_rouge!A:A,2,1),"DD")</f>
        <v>DD</v>
      </c>
      <c r="AB21929" s="4" t="s">
        <v>24410</v>
      </c>
      <c r="AH21929" s="4" t="str">
        <f>HYPERLINK("#Statut_biogéographique!A"&amp;_xlfn.XMATCH("P",Statut_biogéographique!A:A,2,1),"P")</f>
        <v>P</v>
      </c>
      <c r="AM21929" s="4" t="s">
        <v>375</v>
      </c>
      <c r="AN21929" s="4" t="s">
        <v>375</v>
      </c>
      <c r="AO21929" s="4" t="s">
        <v>375</v>
      </c>
      <c r="AP21929" s="4" t="s">
        <v>376</v>
      </c>
      <c r="AR21929" s="4" t="s">
        <v>377</v>
      </c>
    </row>
    <row r="21930" spans="1:44" ht="30">
      <c r="A21930" s="4" t="s">
        <v>24364</v>
      </c>
      <c r="B21930" s="4">
        <v>137723</v>
      </c>
      <c r="D21930" s="5" t="s">
        <v>28623</v>
      </c>
      <c r="E21930" s="6" t="str">
        <f>HYPERLINK("https://inpn.mnhn.fr/espece/cd_nom/137723","Melica ciliata subsp. magnolii (Godr. &amp; Gren.) K.Richt., 1890")</f>
        <v>Melica ciliata subsp. magnolii (Godr. &amp; Gren.) K.Richt., 1890</v>
      </c>
      <c r="F21930" s="5" t="s">
        <v>28624</v>
      </c>
      <c r="Q21930" s="7" t="str">
        <f>HYPERLINK("#Liste_rouge!A"&amp;_xlfn.XMATCH("LC",Liste_rouge!A:A,2,1),"LC")</f>
        <v>LC</v>
      </c>
      <c r="T21930" s="7" t="str">
        <f>HYPERLINK("#Liste_rouge!A"&amp;_xlfn.XMATCH("NA",Liste_rouge!A:A,2,1),"NA")</f>
        <v>NA</v>
      </c>
      <c r="AH21930" s="4" t="str">
        <f>HYPERLINK("#Statut_biogéographique!A"&amp;_xlfn.XMATCH("P",Statut_biogéographique!A:A,2,1),"P")</f>
        <v>P</v>
      </c>
      <c r="AP21930" s="4" t="s">
        <v>376</v>
      </c>
      <c r="AR21930" s="4" t="s">
        <v>377</v>
      </c>
    </row>
    <row r="21931" spans="1:44" ht="30">
      <c r="A21931" s="4" t="s">
        <v>24364</v>
      </c>
      <c r="B21931" s="4">
        <v>137741</v>
      </c>
      <c r="D21931" s="5" t="s">
        <v>28625</v>
      </c>
      <c r="E21931" s="6" t="str">
        <f>HYPERLINK("https://inpn.mnhn.fr/espece/cd_nom/137741","Melissa officinalis subsp. officinalis L., 1753")</f>
        <v>Melissa officinalis subsp. officinalis L., 1753</v>
      </c>
      <c r="F21931" s="5" t="s">
        <v>25488</v>
      </c>
      <c r="Q21931" s="7" t="str">
        <f>HYPERLINK("#Liste_rouge!A"&amp;_xlfn.XMATCH("NA",Liste_rouge!A:A,2,1),"NA")</f>
        <v>NA</v>
      </c>
      <c r="AH21931" s="4" t="str">
        <f>HYPERLINK("#Statut_biogéographique!A"&amp;_xlfn.XMATCH("I",Statut_biogéographique!A:A,2,1),"I")</f>
        <v>I</v>
      </c>
      <c r="AP21931" s="4" t="s">
        <v>376</v>
      </c>
      <c r="AR21931" s="4" t="s">
        <v>377</v>
      </c>
    </row>
    <row r="21932" spans="1:44" ht="30">
      <c r="A21932" s="4" t="s">
        <v>24364</v>
      </c>
      <c r="B21932" s="4">
        <v>137742</v>
      </c>
      <c r="D21932" s="5">
        <v>137742</v>
      </c>
      <c r="E21932" s="6" t="str">
        <f>HYPERLINK("https://inpn.mnhn.fr/espece/cd_nom/137742","Melittis melissophyllum subsp. melissophyllum L., 1753")</f>
        <v>Melittis melissophyllum subsp. melissophyllum L., 1753</v>
      </c>
      <c r="F21932" s="5" t="s">
        <v>25490</v>
      </c>
      <c r="AH21932" s="4" t="str">
        <f>HYPERLINK("#Statut_biogéographique!A"&amp;_xlfn.XMATCH("P",Statut_biogéographique!A:A,2,1),"P")</f>
        <v>P</v>
      </c>
      <c r="AP21932" s="4" t="s">
        <v>376</v>
      </c>
      <c r="AR21932" s="4" t="s">
        <v>377</v>
      </c>
    </row>
    <row r="21933" spans="1:44" ht="30">
      <c r="A21933" s="4" t="s">
        <v>24364</v>
      </c>
      <c r="B21933" s="4">
        <v>137759</v>
      </c>
      <c r="D21933" s="5">
        <v>137759</v>
      </c>
      <c r="E21933" s="6" t="str">
        <f>HYPERLINK("https://inpn.mnhn.fr/espece/cd_nom/137759","Mentha longifolia subsp. longifolia (L.) Huds., 1762")</f>
        <v>Mentha longifolia subsp. longifolia (L.) Huds., 1762</v>
      </c>
      <c r="F21933" s="5" t="s">
        <v>25498</v>
      </c>
      <c r="T21933" s="7" t="str">
        <f>HYPERLINK("#Liste_rouge!A"&amp;_xlfn.XMATCH("DD",Liste_rouge!A:A,2,1),"DD")</f>
        <v>DD</v>
      </c>
      <c r="AH21933" s="4" t="str">
        <f>HYPERLINK("#Statut_biogéographique!A"&amp;_xlfn.XMATCH("P",Statut_biogéographique!A:A,2,1),"P")</f>
        <v>P</v>
      </c>
      <c r="AM21933" s="4" t="s">
        <v>375</v>
      </c>
      <c r="AN21933" s="4" t="s">
        <v>375</v>
      </c>
      <c r="AO21933" s="4" t="s">
        <v>375</v>
      </c>
      <c r="AP21933" s="4" t="s">
        <v>376</v>
      </c>
      <c r="AR21933" s="4" t="s">
        <v>377</v>
      </c>
    </row>
    <row r="21934" spans="1:44" ht="30">
      <c r="A21934" s="4" t="s">
        <v>24364</v>
      </c>
      <c r="B21934" s="4">
        <v>137768</v>
      </c>
      <c r="D21934" s="5" t="s">
        <v>28626</v>
      </c>
      <c r="E21934" s="6" t="str">
        <f>HYPERLINK("https://inpn.mnhn.fr/espece/cd_nom/137768","Mentha spicata subsp. glabrata (Lej. &amp; Courtois) Lebeau, 1973")</f>
        <v>Mentha spicata subsp. glabrata (Lej. &amp; Courtois) Lebeau, 1973</v>
      </c>
      <c r="F21934" s="5" t="s">
        <v>28627</v>
      </c>
      <c r="T21934" s="7" t="str">
        <f>HYPERLINK("#Liste_rouge!A"&amp;_xlfn.XMATCH("NA",Liste_rouge!A:A,2,1),"NA")</f>
        <v>NA</v>
      </c>
      <c r="AH21934" s="4" t="str">
        <f>HYPERLINK("#Statut_biogéographique!A"&amp;_xlfn.XMATCH("M",Statut_biogéographique!A:A,2,1),"M")</f>
        <v>M</v>
      </c>
      <c r="AP21934" s="4" t="s">
        <v>376</v>
      </c>
      <c r="AR21934" s="4" t="s">
        <v>377</v>
      </c>
    </row>
    <row r="21935" spans="1:44">
      <c r="A21935" s="4" t="s">
        <v>24364</v>
      </c>
      <c r="B21935" s="4">
        <v>137769</v>
      </c>
      <c r="D21935" s="5">
        <v>137769</v>
      </c>
      <c r="E21935" s="6" t="str">
        <f>HYPERLINK("https://inpn.mnhn.fr/espece/cd_nom/137769","Mentha spicata subsp. spicata L., 1753")</f>
        <v>Mentha spicata subsp. spicata L., 1753</v>
      </c>
      <c r="F21935" s="5" t="s">
        <v>25502</v>
      </c>
      <c r="T21935" s="7" t="str">
        <f>HYPERLINK("#Liste_rouge!A"&amp;_xlfn.XMATCH("NE",Liste_rouge!A:A,2,1),"NE")</f>
        <v>NE</v>
      </c>
      <c r="AH21935" s="4" t="str">
        <f>HYPERLINK("#Statut_biogéographique!A"&amp;_xlfn.XMATCH("M",Statut_biogéographique!A:A,2,1),"M")</f>
        <v>M</v>
      </c>
      <c r="AM21935" s="4" t="s">
        <v>375</v>
      </c>
      <c r="AN21935" s="4" t="s">
        <v>375</v>
      </c>
      <c r="AO21935" s="4" t="s">
        <v>375</v>
      </c>
      <c r="AP21935" s="4" t="s">
        <v>376</v>
      </c>
      <c r="AR21935" s="4" t="s">
        <v>377</v>
      </c>
    </row>
    <row r="21936" spans="1:44" ht="30">
      <c r="A21936" s="4" t="s">
        <v>24364</v>
      </c>
      <c r="B21936" s="4">
        <v>137771</v>
      </c>
      <c r="D21936" s="5">
        <v>137771</v>
      </c>
      <c r="E21936" s="6" t="str">
        <f>HYPERLINK("https://inpn.mnhn.fr/espece/cd_nom/137771","Mentha suaveolens subsp. suaveolens Ehrh., 1792")</f>
        <v>Mentha suaveolens subsp. suaveolens Ehrh., 1792</v>
      </c>
      <c r="F21936" s="5" t="s">
        <v>28628</v>
      </c>
      <c r="Q21936" s="7" t="str">
        <f>HYPERLINK("#Liste_rouge!A"&amp;_xlfn.XMATCH("LC",Liste_rouge!A:A,2,1),"LC")</f>
        <v>LC</v>
      </c>
      <c r="T21936" s="7" t="str">
        <f>HYPERLINK("#Liste_rouge!A"&amp;_xlfn.XMATCH("DD",Liste_rouge!A:A,2,1),"DD")</f>
        <v>DD</v>
      </c>
      <c r="AH21936" s="4" t="str">
        <f>HYPERLINK("#Statut_biogéographique!A"&amp;_xlfn.XMATCH("P",Statut_biogéographique!A:A,2,1),"P")</f>
        <v>P</v>
      </c>
      <c r="AP21936" s="4" t="s">
        <v>376</v>
      </c>
      <c r="AR21936" s="4" t="s">
        <v>377</v>
      </c>
    </row>
    <row r="21937" spans="1:44" ht="45">
      <c r="A21937" s="4" t="s">
        <v>24364</v>
      </c>
      <c r="B21937" s="4">
        <v>137877</v>
      </c>
      <c r="D21937" s="5" t="s">
        <v>28629</v>
      </c>
      <c r="E21937" s="6" t="str">
        <f>HYPERLINK("https://inpn.mnhn.fr/espece/cd_nom/137877","Montia fontana subsp. amporitana Sennen, 1911")</f>
        <v>Montia fontana subsp. amporitana Sennen, 1911</v>
      </c>
      <c r="F21937" s="5" t="s">
        <v>28630</v>
      </c>
      <c r="Q21937" s="7" t="str">
        <f>HYPERLINK("#Liste_rouge!A"&amp;_xlfn.XMATCH("LC",Liste_rouge!A:A,2,1),"LC")</f>
        <v>LC</v>
      </c>
      <c r="T21937" s="7" t="str">
        <f>HYPERLINK("#Liste_rouge!A"&amp;_xlfn.XMATCH("VU",Liste_rouge!A:A,2,1),"VU")</f>
        <v>VU</v>
      </c>
      <c r="U21937" s="4" t="str">
        <f>HYPERLINK("#Critères_liste_rouge!A$1","D2")</f>
        <v>D2</v>
      </c>
      <c r="X21937" s="5" t="s">
        <v>374</v>
      </c>
      <c r="AB21937" s="4" t="s">
        <v>93</v>
      </c>
      <c r="AH21937" s="4" t="str">
        <f>HYPERLINK("#Statut_biogéographique!A"&amp;_xlfn.XMATCH("P",Statut_biogéographique!A:A,2,1),"P")</f>
        <v>P</v>
      </c>
      <c r="AM21937" s="4" t="s">
        <v>375</v>
      </c>
      <c r="AN21937" s="4" t="s">
        <v>375</v>
      </c>
      <c r="AO21937" s="4" t="s">
        <v>375</v>
      </c>
      <c r="AP21937" s="4" t="s">
        <v>376</v>
      </c>
      <c r="AR21937" s="4" t="s">
        <v>377</v>
      </c>
    </row>
    <row r="21938" spans="1:44">
      <c r="A21938" s="4" t="s">
        <v>24364</v>
      </c>
      <c r="B21938" s="4">
        <v>137879</v>
      </c>
      <c r="D21938" s="5" t="s">
        <v>28631</v>
      </c>
      <c r="E21938" s="6" t="str">
        <f>HYPERLINK("https://inpn.mnhn.fr/espece/cd_nom/137879","Montia fontana subsp. fontana L., 1753")</f>
        <v>Montia fontana subsp. fontana L., 1753</v>
      </c>
      <c r="F21938" s="5" t="s">
        <v>25564</v>
      </c>
      <c r="AH21938" s="4" t="str">
        <f>HYPERLINK("#Statut_biogéographique!A"&amp;_xlfn.XMATCH("P",Statut_biogéographique!A:A,2,1),"P")</f>
        <v>P</v>
      </c>
      <c r="AP21938" s="4" t="s">
        <v>376</v>
      </c>
      <c r="AR21938" s="4" t="s">
        <v>377</v>
      </c>
    </row>
    <row r="21939" spans="1:44" ht="45">
      <c r="A21939" s="4" t="s">
        <v>24364</v>
      </c>
      <c r="B21939" s="4">
        <v>137883</v>
      </c>
      <c r="D21939" s="5" t="s">
        <v>28632</v>
      </c>
      <c r="E21939" s="6" t="str">
        <f>HYPERLINK("https://inpn.mnhn.fr/espece/cd_nom/137883","Montia fontana subsp. minor (C.C.Gmel.) Schübl. &amp; G.Martens, 1834")</f>
        <v>Montia fontana subsp. minor (C.C.Gmel.) Schübl. &amp; G.Martens, 1834</v>
      </c>
      <c r="F21939" s="5" t="s">
        <v>28633</v>
      </c>
      <c r="Q21939" s="7" t="str">
        <f>HYPERLINK("#Liste_rouge!A"&amp;_xlfn.XMATCH("LC",Liste_rouge!A:A,2,1),"LC")</f>
        <v>LC</v>
      </c>
      <c r="T21939" s="7" t="str">
        <f>HYPERLINK("#Liste_rouge!A"&amp;_xlfn.XMATCH("LC",Liste_rouge!A:A,2,1),"LC")</f>
        <v>LC</v>
      </c>
      <c r="V21939" s="7" t="str">
        <f>HYPERLINK("#Liste_rouge!A"&amp;_xlfn.XMATCH("NT",Liste_rouge!A:A,2,1),"NT")</f>
        <v>NT</v>
      </c>
      <c r="W21939" s="4" t="str">
        <f>HYPERLINK("#Critères_liste_rouge!A$1","pr. D2")</f>
        <v>pr. D2</v>
      </c>
      <c r="AB21939" s="4" t="s">
        <v>28634</v>
      </c>
      <c r="AH21939" s="4" t="str">
        <f>HYPERLINK("#Statut_biogéographique!A"&amp;_xlfn.XMATCH("P",Statut_biogéographique!A:A,2,1),"P")</f>
        <v>P</v>
      </c>
      <c r="AM21939" s="4" t="s">
        <v>375</v>
      </c>
      <c r="AN21939" s="4" t="s">
        <v>375</v>
      </c>
      <c r="AO21939" s="4" t="s">
        <v>375</v>
      </c>
      <c r="AP21939" s="4" t="s">
        <v>376</v>
      </c>
      <c r="AR21939" s="4" t="s">
        <v>377</v>
      </c>
    </row>
    <row r="21940" spans="1:44" ht="60">
      <c r="A21940" s="4" t="s">
        <v>24364</v>
      </c>
      <c r="B21940" s="4">
        <v>137914</v>
      </c>
      <c r="D21940" s="5" t="s">
        <v>28635</v>
      </c>
      <c r="E21940" s="6" t="str">
        <f>HYPERLINK("https://inpn.mnhn.fr/espece/cd_nom/137914","Myosotis laxa subsp. cespitosa (Schultz) Hyl. ex Nordh., 1940")</f>
        <v>Myosotis laxa subsp. cespitosa (Schultz) Hyl. ex Nordh., 1940</v>
      </c>
      <c r="F21940" s="5" t="s">
        <v>28636</v>
      </c>
      <c r="Q21940" s="7" t="str">
        <f>HYPERLINK("#Liste_rouge!A"&amp;_xlfn.XMATCH("LC",Liste_rouge!A:A,2,1),"LC")</f>
        <v>LC</v>
      </c>
      <c r="T21940" s="7" t="str">
        <f>HYPERLINK("#Liste_rouge!A"&amp;_xlfn.XMATCH("LC",Liste_rouge!A:A,2,1),"LC")</f>
        <v>LC</v>
      </c>
      <c r="AH21940" s="4" t="str">
        <f>HYPERLINK("#Statut_biogéographique!A"&amp;_xlfn.XMATCH("P",Statut_biogéographique!A:A,2,1),"P")</f>
        <v>P</v>
      </c>
      <c r="AM21940" s="4" t="s">
        <v>375</v>
      </c>
      <c r="AN21940" s="4" t="s">
        <v>375</v>
      </c>
      <c r="AO21940" s="4" t="s">
        <v>375</v>
      </c>
      <c r="AP21940" s="4" t="s">
        <v>376</v>
      </c>
      <c r="AR21940" s="4" t="s">
        <v>377</v>
      </c>
    </row>
    <row r="21941" spans="1:44" ht="45">
      <c r="A21941" s="4" t="s">
        <v>24364</v>
      </c>
      <c r="B21941" s="4">
        <v>137933</v>
      </c>
      <c r="D21941" s="5" t="s">
        <v>28637</v>
      </c>
      <c r="E21941" s="6" t="str">
        <f>HYPERLINK("https://inpn.mnhn.fr/espece/cd_nom/137933","Myosotis ramosissima subsp. lebelii (Nyman) Blaise, 1969")</f>
        <v>Myosotis ramosissima subsp. lebelii (Nyman) Blaise, 1969</v>
      </c>
      <c r="F21941" s="5" t="s">
        <v>28638</v>
      </c>
      <c r="Q21941" s="7" t="str">
        <f>HYPERLINK("#Liste_rouge!A"&amp;_xlfn.XMATCH("LC",Liste_rouge!A:A,2,1),"LC")</f>
        <v>LC</v>
      </c>
      <c r="T21941" s="7" t="str">
        <f>HYPERLINK("#Liste_rouge!A"&amp;_xlfn.XMATCH("NE",Liste_rouge!A:A,2,1),"NE")</f>
        <v>NE</v>
      </c>
      <c r="AH21941" s="4" t="str">
        <f>HYPERLINK("#Statut_biogéographique!A"&amp;_xlfn.XMATCH("P",Statut_biogéographique!A:A,2,1),"P")</f>
        <v>P</v>
      </c>
      <c r="AP21941" s="4" t="s">
        <v>376</v>
      </c>
      <c r="AR21941" s="4" t="s">
        <v>377</v>
      </c>
    </row>
    <row r="21942" spans="1:44" ht="30">
      <c r="A21942" s="4" t="s">
        <v>24364</v>
      </c>
      <c r="B21942" s="4">
        <v>137934</v>
      </c>
      <c r="D21942" s="5">
        <v>137934</v>
      </c>
      <c r="E21942" s="6" t="str">
        <f>HYPERLINK("https://inpn.mnhn.fr/espece/cd_nom/137934","Myosotis ramosissima subsp. ramosissima Rochel, 1814")</f>
        <v>Myosotis ramosissima subsp. ramosissima Rochel, 1814</v>
      </c>
      <c r="F21942" s="5" t="s">
        <v>25596</v>
      </c>
      <c r="Q21942" s="7" t="str">
        <f>HYPERLINK("#Liste_rouge!A"&amp;_xlfn.XMATCH("LC",Liste_rouge!A:A,2,1),"LC")</f>
        <v>LC</v>
      </c>
      <c r="T21942" s="7" t="str">
        <f>HYPERLINK("#Liste_rouge!A"&amp;_xlfn.XMATCH("DD",Liste_rouge!A:A,2,1),"DD")</f>
        <v>DD</v>
      </c>
      <c r="AH21942" s="4" t="str">
        <f>HYPERLINK("#Statut_biogéographique!A"&amp;_xlfn.XMATCH("P",Statut_biogéographique!A:A,2,1),"P")</f>
        <v>P</v>
      </c>
      <c r="AM21942" s="4" t="s">
        <v>375</v>
      </c>
      <c r="AN21942" s="4" t="s">
        <v>375</v>
      </c>
      <c r="AO21942" s="4" t="s">
        <v>375</v>
      </c>
      <c r="AP21942" s="4" t="s">
        <v>376</v>
      </c>
      <c r="AR21942" s="4" t="s">
        <v>377</v>
      </c>
    </row>
    <row r="21943" spans="1:44" ht="45">
      <c r="A21943" s="4" t="s">
        <v>24364</v>
      </c>
      <c r="B21943" s="4">
        <v>137968</v>
      </c>
      <c r="D21943" s="5" t="s">
        <v>28639</v>
      </c>
      <c r="E21943" s="6" t="str">
        <f>HYPERLINK("https://inpn.mnhn.fr/espece/cd_nom/137968","Najas marina subsp. marina L., 1753")</f>
        <v>Najas marina subsp. marina L., 1753</v>
      </c>
      <c r="F21943" s="5" t="s">
        <v>25620</v>
      </c>
      <c r="M21943" s="4" t="str">
        <f>HYPERLINK("#Réglementation!A"&amp;_xlfn.XMATCH("RV43",Réglementation!A:A,2,1),"RV43")</f>
        <v>RV43</v>
      </c>
      <c r="Q21943" s="7" t="str">
        <f>HYPERLINK("#Liste_rouge!A"&amp;_xlfn.XMATCH("LC",Liste_rouge!A:A,2,1),"LC")</f>
        <v>LC</v>
      </c>
      <c r="T21943" s="7" t="str">
        <f>HYPERLINK("#Liste_rouge!A"&amp;_xlfn.XMATCH("DD",Liste_rouge!A:A,2,1),"DD")</f>
        <v>DD</v>
      </c>
      <c r="AH21943" s="4" t="str">
        <f>HYPERLINK("#Statut_biogéographique!A"&amp;_xlfn.XMATCH("P",Statut_biogéographique!A:A,2,1),"P")</f>
        <v>P</v>
      </c>
      <c r="AM21943" s="4" t="s">
        <v>375</v>
      </c>
      <c r="AN21943" s="4" t="s">
        <v>375</v>
      </c>
      <c r="AO21943" s="4" t="s">
        <v>375</v>
      </c>
      <c r="AP21943" s="4" t="s">
        <v>376</v>
      </c>
      <c r="AR21943" s="4" t="s">
        <v>377</v>
      </c>
    </row>
    <row r="21944" spans="1:44" ht="135">
      <c r="A21944" s="4" t="s">
        <v>24364</v>
      </c>
      <c r="B21944" s="4">
        <v>138006</v>
      </c>
      <c r="D21944" s="5" t="s">
        <v>28640</v>
      </c>
      <c r="E21944" s="6" t="str">
        <f>HYPERLINK("https://inpn.mnhn.fr/espece/cd_nom/138006","Narcissus pseudonarcissus subsp. pseudonarcissus L., 1753")</f>
        <v>Narcissus pseudonarcissus subsp. pseudonarcissus L., 1753</v>
      </c>
      <c r="F21944" s="5" t="s">
        <v>25627</v>
      </c>
      <c r="Q21944" s="7" t="str">
        <f>HYPERLINK("#Liste_rouge!A"&amp;_xlfn.XMATCH("LC",Liste_rouge!A:A,2,1),"LC")</f>
        <v>LC</v>
      </c>
      <c r="T21944" s="7" t="str">
        <f>HYPERLINK("#Liste_rouge!A"&amp;_xlfn.XMATCH("DD",Liste_rouge!A:A,2,1),"DD (cd_nom 138006) - NA (cd_nom 138001)")</f>
        <v>DD (cd_nom 138006) - NA (cd_nom 138001)</v>
      </c>
      <c r="AH21944" s="4" t="str">
        <f>HYPERLINK("#Statut_biogéographique!A"&amp;_xlfn.XMATCH("P",Statut_biogéographique!A:A,2,1),"P")</f>
        <v>P</v>
      </c>
      <c r="AK21944" s="4" t="str">
        <f>HYPERLINK("#Réglementation!A"&amp;_xlfn.XMATCH("V39P2",Réglementation!A:A,2,1),"V39P2 - V39P6")</f>
        <v>V39P2 - V39P6</v>
      </c>
      <c r="AP21944" s="4" t="s">
        <v>376</v>
      </c>
      <c r="AR21944" s="4" t="s">
        <v>377</v>
      </c>
    </row>
    <row r="21945" spans="1:44" ht="45">
      <c r="A21945" s="4" t="s">
        <v>24364</v>
      </c>
      <c r="B21945" s="4">
        <v>138067</v>
      </c>
      <c r="D21945" s="5" t="s">
        <v>28641</v>
      </c>
      <c r="E21945" s="6" t="str">
        <f>HYPERLINK("https://inpn.mnhn.fr/espece/cd_nom/138067","Neslia paniculata subsp. thracica (Velen.) Bornm., 1894")</f>
        <v>Neslia paniculata subsp. thracica (Velen.) Bornm., 1894</v>
      </c>
      <c r="F21945" s="5" t="s">
        <v>28642</v>
      </c>
      <c r="Q21945" s="7" t="str">
        <f>HYPERLINK("#Liste_rouge!A"&amp;_xlfn.XMATCH("NT",Liste_rouge!A:A,2,1),"NT")</f>
        <v>NT</v>
      </c>
      <c r="T21945" s="7" t="str">
        <f>HYPERLINK("#Liste_rouge!A"&amp;_xlfn.XMATCH("EN",Liste_rouge!A:A,2,1),"EN")</f>
        <v>EN</v>
      </c>
      <c r="U21945" s="4" t="str">
        <f>HYPERLINK("#Critères_liste_rouge!A$1","B2ab(iii,iv,v)c(iii,iv)")</f>
        <v>B2ab(iii,iv,v)c(iii,iv)</v>
      </c>
      <c r="AH21945" s="4" t="str">
        <f>HYPERLINK("#Statut_biogéographique!A"&amp;_xlfn.XMATCH("P",Statut_biogéographique!A:A,2,1),"P")</f>
        <v>P</v>
      </c>
      <c r="AI21945" s="8" t="s">
        <v>28643</v>
      </c>
      <c r="AJ21945" s="4" t="s">
        <v>12248</v>
      </c>
      <c r="AP21945" s="4" t="s">
        <v>376</v>
      </c>
      <c r="AR21945" s="4" t="s">
        <v>377</v>
      </c>
    </row>
    <row r="21946" spans="1:44" ht="30">
      <c r="A21946" s="4" t="s">
        <v>24364</v>
      </c>
      <c r="B21946" s="4">
        <v>138068</v>
      </c>
      <c r="D21946" s="5" t="s">
        <v>28644</v>
      </c>
      <c r="E21946" s="6" t="str">
        <f>HYPERLINK("https://inpn.mnhn.fr/espece/cd_nom/138068","Nigella arvensis subsp. arvensis L., 1753")</f>
        <v>Nigella arvensis subsp. arvensis L., 1753</v>
      </c>
      <c r="F21946" s="5" t="s">
        <v>25660</v>
      </c>
      <c r="AH21946" s="4" t="str">
        <f>HYPERLINK("#Statut_biogéographique!A"&amp;_xlfn.XMATCH("P",Statut_biogéographique!A:A,2,1),"P")</f>
        <v>P</v>
      </c>
      <c r="AP21946" s="4" t="s">
        <v>389</v>
      </c>
      <c r="AR21946" s="4" t="s">
        <v>377</v>
      </c>
    </row>
    <row r="21947" spans="1:44" ht="120">
      <c r="A21947" s="4" t="s">
        <v>24364</v>
      </c>
      <c r="B21947" s="4">
        <v>138090</v>
      </c>
      <c r="D21947" s="5" t="s">
        <v>28645</v>
      </c>
      <c r="E21947" s="6" t="str">
        <f>HYPERLINK("https://inpn.mnhn.fr/espece/cd_nom/138090","Noccaea caerulescens subsp. caerulescens (J.Presl &amp; C.Presl) F.K.Mey., 1973")</f>
        <v>Noccaea caerulescens subsp. caerulescens (J.Presl &amp; C.Presl) F.K.Mey., 1973</v>
      </c>
      <c r="F21947" s="5" t="s">
        <v>25668</v>
      </c>
      <c r="M21947" s="4" t="str">
        <f>HYPERLINK("#Réglementation!A"&amp;_xlfn.XMATCH("RV26",Réglementation!A:A,2,1),"RV26")</f>
        <v>RV26</v>
      </c>
      <c r="Q21947" s="7" t="str">
        <f>HYPERLINK("#Liste_rouge!A"&amp;_xlfn.XMATCH("LC",Liste_rouge!A:A,2,1),"LC")</f>
        <v>LC</v>
      </c>
      <c r="T21947" s="7" t="str">
        <f>HYPERLINK("#Liste_rouge!A"&amp;_xlfn.XMATCH("DD",Liste_rouge!A:A,2,1),"DD")</f>
        <v>DD</v>
      </c>
      <c r="AE21947" s="4" t="str">
        <f>HYPERLINK("#SCAP!A"&amp;_xlfn.XMATCH("1-",SCAP!A:A,2,1),"1-")</f>
        <v>1-</v>
      </c>
      <c r="AH21947" s="4" t="str">
        <f>HYPERLINK("#Statut_biogéographique!A"&amp;_xlfn.XMATCH("P",Statut_biogéographique!A:A,2,1),"P")</f>
        <v>P</v>
      </c>
      <c r="AP21947" s="4" t="s">
        <v>376</v>
      </c>
      <c r="AR21947" s="4" t="s">
        <v>377</v>
      </c>
    </row>
    <row r="21948" spans="1:44" ht="45">
      <c r="A21948" s="4" t="s">
        <v>24364</v>
      </c>
      <c r="B21948" s="4">
        <v>138094</v>
      </c>
      <c r="D21948" s="5" t="s">
        <v>28646</v>
      </c>
      <c r="E21948" s="6" t="str">
        <f>HYPERLINK("https://inpn.mnhn.fr/espece/cd_nom/138094","Noccaea caerulescens subsp. virens (Jord.) Kerguélen, 1993")</f>
        <v>Noccaea caerulescens subsp. virens (Jord.) Kerguélen, 1993</v>
      </c>
      <c r="F21948" s="5" t="s">
        <v>28647</v>
      </c>
      <c r="Q21948" s="7" t="str">
        <f>HYPERLINK("#Liste_rouge!A"&amp;_xlfn.XMATCH("LC",Liste_rouge!A:A,2,1),"LC")</f>
        <v>LC</v>
      </c>
      <c r="T21948" s="7" t="str">
        <f>HYPERLINK("#Liste_rouge!A"&amp;_xlfn.XMATCH("NE",Liste_rouge!A:A,2,1),"NE")</f>
        <v>NE</v>
      </c>
      <c r="AH21948" s="4" t="str">
        <f>HYPERLINK("#Statut_biogéographique!A"&amp;_xlfn.XMATCH("P",Statut_biogéographique!A:A,2,1),"P")</f>
        <v>P</v>
      </c>
      <c r="AP21948" s="4" t="s">
        <v>376</v>
      </c>
      <c r="AR21948" s="4" t="s">
        <v>377</v>
      </c>
    </row>
    <row r="21949" spans="1:44" ht="30">
      <c r="A21949" s="4" t="s">
        <v>24364</v>
      </c>
      <c r="B21949" s="4">
        <v>138095</v>
      </c>
      <c r="D21949" s="5" t="s">
        <v>28648</v>
      </c>
      <c r="E21949" s="6" t="str">
        <f>HYPERLINK("https://inpn.mnhn.fr/espece/cd_nom/138095","Noccaea montana subsp. montana (L.) F.K.Mey., 1973")</f>
        <v>Noccaea montana subsp. montana (L.) F.K.Mey., 1973</v>
      </c>
      <c r="F21949" s="5" t="s">
        <v>25670</v>
      </c>
      <c r="Q21949" s="7" t="str">
        <f>HYPERLINK("#Liste_rouge!A"&amp;_xlfn.XMATCH("LC",Liste_rouge!A:A,2,1),"LC")</f>
        <v>LC</v>
      </c>
      <c r="T21949" s="7" t="str">
        <f>HYPERLINK("#Liste_rouge!A"&amp;_xlfn.XMATCH("DD",Liste_rouge!A:A,2,1),"DD")</f>
        <v>DD</v>
      </c>
      <c r="AH21949" s="4" t="str">
        <f>HYPERLINK("#Statut_biogéographique!A"&amp;_xlfn.XMATCH("P",Statut_biogéographique!A:A,2,1),"P")</f>
        <v>P</v>
      </c>
      <c r="AM21949" s="4" t="s">
        <v>375</v>
      </c>
      <c r="AN21949" s="4" t="s">
        <v>375</v>
      </c>
      <c r="AO21949" s="4" t="s">
        <v>375</v>
      </c>
      <c r="AP21949" s="4" t="s">
        <v>376</v>
      </c>
      <c r="AR21949" s="4" t="s">
        <v>377</v>
      </c>
    </row>
    <row r="21950" spans="1:44" ht="30">
      <c r="A21950" s="4" t="s">
        <v>24364</v>
      </c>
      <c r="B21950" s="4">
        <v>138122</v>
      </c>
      <c r="D21950" s="5">
        <v>138122</v>
      </c>
      <c r="E21950" s="6" t="str">
        <f>HYPERLINK("https://inpn.mnhn.fr/espece/cd_nom/138122","Odontites jaubertianus var. jaubertianus (Boreau) D.Dietr. ex Walp., 1844")</f>
        <v>Odontites jaubertianus var. jaubertianus (Boreau) D.Dietr. ex Walp., 1844</v>
      </c>
      <c r="F21950" s="5" t="s">
        <v>25685</v>
      </c>
      <c r="L21950" s="4" t="str">
        <f>HYPERLINK("#Réglementation!A"&amp;_xlfn.XMATCH("NV1",Réglementation!A:A,2,1),"NV1")</f>
        <v>NV1</v>
      </c>
      <c r="T21950" s="7" t="str">
        <f>HYPERLINK("#Liste_rouge!A"&amp;_xlfn.XMATCH("CR",Liste_rouge!A:A,2,1),"CR")</f>
        <v>CR</v>
      </c>
      <c r="U21950" s="4" t="str">
        <f>HYPERLINK("#Critères_liste_rouge!A$1","D1")</f>
        <v>D1</v>
      </c>
      <c r="AH21950" s="4" t="str">
        <f>HYPERLINK("#Statut_biogéographique!A"&amp;_xlfn.XMATCH("P",Statut_biogéographique!A:A,2,1),"P")</f>
        <v>P</v>
      </c>
      <c r="AP21950" s="4" t="s">
        <v>376</v>
      </c>
      <c r="AR21950" s="4" t="s">
        <v>377</v>
      </c>
    </row>
    <row r="21951" spans="1:44" ht="30">
      <c r="A21951" s="4" t="s">
        <v>24364</v>
      </c>
      <c r="B21951" s="4">
        <v>138127</v>
      </c>
      <c r="D21951" s="5" t="s">
        <v>28649</v>
      </c>
      <c r="E21951" s="6" t="str">
        <f>HYPERLINK("https://inpn.mnhn.fr/espece/cd_nom/138127","Odontites luteus subsp. luteus (L.) Clairv., 1811")</f>
        <v>Odontites luteus subsp. luteus (L.) Clairv., 1811</v>
      </c>
      <c r="F21951" s="5" t="s">
        <v>25687</v>
      </c>
      <c r="Q21951" s="7" t="str">
        <f>HYPERLINK("#Liste_rouge!A"&amp;_xlfn.XMATCH("LC",Liste_rouge!A:A,2,1),"LC")</f>
        <v>LC</v>
      </c>
      <c r="T21951" s="7" t="str">
        <f>HYPERLINK("#Liste_rouge!A"&amp;_xlfn.XMATCH("DD",Liste_rouge!A:A,2,1),"DD")</f>
        <v>DD</v>
      </c>
      <c r="AH21951" s="4" t="str">
        <f>HYPERLINK("#Statut_biogéographique!A"&amp;_xlfn.XMATCH("P",Statut_biogéographique!A:A,2,1),"P")</f>
        <v>P</v>
      </c>
      <c r="AM21951" s="4" t="s">
        <v>375</v>
      </c>
      <c r="AN21951" s="4" t="s">
        <v>375</v>
      </c>
      <c r="AO21951" s="4" t="s">
        <v>375</v>
      </c>
      <c r="AP21951" s="4" t="s">
        <v>376</v>
      </c>
      <c r="AR21951" s="4" t="s">
        <v>377</v>
      </c>
    </row>
    <row r="21952" spans="1:44" ht="60">
      <c r="A21952" s="4" t="s">
        <v>24364</v>
      </c>
      <c r="B21952" s="4">
        <v>138136</v>
      </c>
      <c r="D21952" s="5" t="s">
        <v>28650</v>
      </c>
      <c r="E21952" s="6" t="str">
        <f>HYPERLINK("https://inpn.mnhn.fr/espece/cd_nom/138136","Odontites vernus subsp. serotinus (Coss. &amp; Germ.) Corb., 1894")</f>
        <v>Odontites vernus subsp. serotinus (Coss. &amp; Germ.) Corb., 1894</v>
      </c>
      <c r="F21952" s="5" t="s">
        <v>28651</v>
      </c>
      <c r="Q21952" s="7" t="str">
        <f>HYPERLINK("#Liste_rouge!A"&amp;_xlfn.XMATCH("LC",Liste_rouge!A:A,2,1),"LC")</f>
        <v>LC</v>
      </c>
      <c r="T21952" s="7" t="str">
        <f>HYPERLINK("#Liste_rouge!A"&amp;_xlfn.XMATCH("LC",Liste_rouge!A:A,2,1),"LC")</f>
        <v>LC</v>
      </c>
      <c r="AH21952" s="4" t="str">
        <f>HYPERLINK("#Statut_biogéographique!A"&amp;_xlfn.XMATCH("P",Statut_biogéographique!A:A,2,1),"P")</f>
        <v>P</v>
      </c>
      <c r="AP21952" s="4" t="s">
        <v>376</v>
      </c>
      <c r="AR21952" s="4" t="s">
        <v>377</v>
      </c>
    </row>
    <row r="21953" spans="1:44" ht="45">
      <c r="A21953" s="4" t="s">
        <v>24364</v>
      </c>
      <c r="B21953" s="4">
        <v>138137</v>
      </c>
      <c r="D21953" s="5" t="s">
        <v>28652</v>
      </c>
      <c r="E21953" s="6" t="str">
        <f>HYPERLINK("https://inpn.mnhn.fr/espece/cd_nom/138137","Odontites vernus subsp. vernus (Bellardi) Dumort., 1827")</f>
        <v>Odontites vernus subsp. vernus (Bellardi) Dumort., 1827</v>
      </c>
      <c r="F21953" s="5" t="s">
        <v>25690</v>
      </c>
      <c r="Q21953" s="7" t="str">
        <f>HYPERLINK("#Liste_rouge!A"&amp;_xlfn.XMATCH("LC",Liste_rouge!A:A,2,1),"LC")</f>
        <v>LC</v>
      </c>
      <c r="T21953" s="7" t="str">
        <f>HYPERLINK("#Liste_rouge!A"&amp;_xlfn.XMATCH("NT",Liste_rouge!A:A,2,1),"NT")</f>
        <v>NT</v>
      </c>
      <c r="U21953" s="4" t="str">
        <f>HYPERLINK("#Critères_liste_rouge!A$1","pr. D2")</f>
        <v>pr. D2</v>
      </c>
      <c r="X21953" s="5" t="s">
        <v>374</v>
      </c>
      <c r="AB21953" s="4" t="s">
        <v>93</v>
      </c>
      <c r="AH21953" s="4" t="str">
        <f>HYPERLINK("#Statut_biogéographique!A"&amp;_xlfn.XMATCH("P",Statut_biogéographique!A:A,2,1),"P")</f>
        <v>P</v>
      </c>
      <c r="AM21953" s="4" t="s">
        <v>375</v>
      </c>
      <c r="AN21953" s="4" t="s">
        <v>375</v>
      </c>
      <c r="AO21953" s="4" t="s">
        <v>375</v>
      </c>
      <c r="AP21953" s="4" t="s">
        <v>376</v>
      </c>
      <c r="AR21953" s="4" t="s">
        <v>377</v>
      </c>
    </row>
    <row r="21954" spans="1:44" ht="30">
      <c r="A21954" s="4" t="s">
        <v>24364</v>
      </c>
      <c r="B21954" s="4">
        <v>138166</v>
      </c>
      <c r="D21954" s="5">
        <v>138166</v>
      </c>
      <c r="E21954" s="6" t="str">
        <f>HYPERLINK("https://inpn.mnhn.fr/espece/cd_nom/138166","Onobrychis arenaria subsp. arenaria (Kit. ex Willd.) DC., 1825")</f>
        <v>Onobrychis arenaria subsp. arenaria (Kit. ex Willd.) DC., 1825</v>
      </c>
      <c r="F21954" s="5" t="s">
        <v>25739</v>
      </c>
      <c r="AH21954" s="4" t="str">
        <f>HYPERLINK("#Statut_biogéographique!A"&amp;_xlfn.XMATCH("P",Statut_biogéographique!A:A,2,1),"P")</f>
        <v>P</v>
      </c>
      <c r="AM21954" s="4" t="s">
        <v>375</v>
      </c>
      <c r="AN21954" s="4" t="s">
        <v>375</v>
      </c>
      <c r="AO21954" s="4" t="s">
        <v>375</v>
      </c>
      <c r="AP21954" s="4" t="s">
        <v>389</v>
      </c>
      <c r="AR21954" s="4" t="s">
        <v>377</v>
      </c>
    </row>
    <row r="21955" spans="1:44" ht="90">
      <c r="A21955" s="4" t="s">
        <v>24364</v>
      </c>
      <c r="B21955" s="4">
        <v>138212</v>
      </c>
      <c r="D21955" s="5" t="s">
        <v>28653</v>
      </c>
      <c r="E21955" s="6" t="str">
        <f>HYPERLINK("https://inpn.mnhn.fr/espece/cd_nom/138212","Ononis spinosa subsp. procurrens (Wallr.) Briq., 1913")</f>
        <v>Ononis spinosa subsp. procurrens (Wallr.) Briq., 1913</v>
      </c>
      <c r="F21955" s="5" t="s">
        <v>28654</v>
      </c>
      <c r="Q21955" s="7" t="str">
        <f>HYPERLINK("#Liste_rouge!A"&amp;_xlfn.XMATCH("LC",Liste_rouge!A:A,2,1),"LC")</f>
        <v>LC</v>
      </c>
      <c r="T21955" s="7" t="str">
        <f>HYPERLINK("#Liste_rouge!A"&amp;_xlfn.XMATCH("LC",Liste_rouge!A:A,2,1),"LC")</f>
        <v>LC</v>
      </c>
      <c r="AH21955" s="4" t="str">
        <f>HYPERLINK("#Statut_biogéographique!A"&amp;_xlfn.XMATCH("P",Statut_biogéographique!A:A,2,1),"P")</f>
        <v>P</v>
      </c>
      <c r="AP21955" s="4" t="s">
        <v>376</v>
      </c>
      <c r="AR21955" s="4" t="s">
        <v>377</v>
      </c>
    </row>
    <row r="21956" spans="1:44" ht="60">
      <c r="A21956" s="4" t="s">
        <v>24364</v>
      </c>
      <c r="B21956" s="4">
        <v>138213</v>
      </c>
      <c r="D21956" s="5" t="s">
        <v>28655</v>
      </c>
      <c r="E21956" s="6" t="str">
        <f>HYPERLINK("https://inpn.mnhn.fr/espece/cd_nom/138213","Ononis spinosa subsp. spinosa L., 1753")</f>
        <v>Ononis spinosa subsp. spinosa L., 1753</v>
      </c>
      <c r="F21956" s="5" t="s">
        <v>25750</v>
      </c>
      <c r="Q21956" s="7" t="str">
        <f>HYPERLINK("#Liste_rouge!A"&amp;_xlfn.XMATCH("LC",Liste_rouge!A:A,2,1),"LC")</f>
        <v>LC</v>
      </c>
      <c r="T21956" s="7" t="str">
        <f>HYPERLINK("#Liste_rouge!A"&amp;_xlfn.XMATCH("DD",Liste_rouge!A:A,2,1),"DD")</f>
        <v>DD</v>
      </c>
      <c r="AH21956" s="4" t="str">
        <f>HYPERLINK("#Statut_biogéographique!A"&amp;_xlfn.XMATCH("P",Statut_biogéographique!A:A,2,1),"P")</f>
        <v>P</v>
      </c>
      <c r="AM21956" s="4" t="s">
        <v>375</v>
      </c>
      <c r="AN21956" s="4" t="s">
        <v>375</v>
      </c>
      <c r="AO21956" s="4" t="s">
        <v>375</v>
      </c>
      <c r="AP21956" s="4" t="s">
        <v>376</v>
      </c>
      <c r="AR21956" s="4" t="s">
        <v>377</v>
      </c>
    </row>
    <row r="21957" spans="1:44" ht="30">
      <c r="A21957" s="4" t="s">
        <v>24364</v>
      </c>
      <c r="B21957" s="4">
        <v>138286</v>
      </c>
      <c r="D21957" s="5" t="s">
        <v>28656</v>
      </c>
      <c r="E21957" s="6" t="str">
        <f>HYPERLINK("https://inpn.mnhn.fr/espece/cd_nom/138286","Ophrys fuciflora subsp. fuciflora (F.W.Schmidt) Moench, 1802")</f>
        <v>Ophrys fuciflora subsp. fuciflora (F.W.Schmidt) Moench, 1802</v>
      </c>
      <c r="F21957" s="5" t="s">
        <v>25765</v>
      </c>
      <c r="G21957" s="4" t="str">
        <f>HYPERLINK("[#Réglementation!A"&amp;_xlfn.XMATCH("CCB",Réglementation!A:A,2,1),"CCB")</f>
        <v>CCB</v>
      </c>
      <c r="Q21957" s="7" t="str">
        <f>HYPERLINK("#Liste_rouge!A"&amp;_xlfn.XMATCH("LC",Liste_rouge!A:A,2,1),"LC")</f>
        <v>LC</v>
      </c>
      <c r="T21957" s="7" t="str">
        <f>HYPERLINK("#Liste_rouge!A"&amp;_xlfn.XMATCH("DD",Liste_rouge!A:A,2,1),"DD")</f>
        <v>DD</v>
      </c>
      <c r="AH21957" s="4" t="str">
        <f>HYPERLINK("#Statut_biogéographique!A"&amp;_xlfn.XMATCH("P",Statut_biogéographique!A:A,2,1),"P")</f>
        <v>P</v>
      </c>
      <c r="AM21957" s="4" t="s">
        <v>375</v>
      </c>
      <c r="AN21957" s="4" t="s">
        <v>375</v>
      </c>
      <c r="AO21957" s="4" t="s">
        <v>375</v>
      </c>
      <c r="AP21957" s="4" t="s">
        <v>376</v>
      </c>
      <c r="AR21957" s="4" t="s">
        <v>377</v>
      </c>
    </row>
    <row r="21958" spans="1:44" ht="60">
      <c r="A21958" s="4" t="s">
        <v>24364</v>
      </c>
      <c r="B21958" s="4">
        <v>138392</v>
      </c>
      <c r="D21958" s="5" t="s">
        <v>28657</v>
      </c>
      <c r="E21958" s="6" t="str">
        <f>HYPERLINK("https://inpn.mnhn.fr/espece/cd_nom/138392","Orchis mascula subsp. mascula (L.) L., 1755")</f>
        <v>Orchis mascula subsp. mascula (L.) L., 1755</v>
      </c>
      <c r="F21958" s="5" t="s">
        <v>25793</v>
      </c>
      <c r="G21958" s="4" t="str">
        <f>HYPERLINK("[#Réglementation!A"&amp;_xlfn.XMATCH("CCB",Réglementation!A:A,2,1),"CCB")</f>
        <v>CCB</v>
      </c>
      <c r="T21958" s="7" t="str">
        <f>HYPERLINK("#Liste_rouge!A"&amp;_xlfn.XMATCH("DD",Liste_rouge!A:A,2,1),"DD")</f>
        <v>DD</v>
      </c>
      <c r="AH21958" s="4" t="str">
        <f>HYPERLINK("#Statut_biogéographique!A"&amp;_xlfn.XMATCH("P",Statut_biogéographique!A:A,2,1),"P")</f>
        <v>P</v>
      </c>
      <c r="AL21958" s="5" t="str">
        <f>HYPERLINK("#Réglementation!A"&amp;_xlfn.XMATCH("UEintro",Réglementation!A:A,2,1),"UEintro")</f>
        <v>UEintro</v>
      </c>
      <c r="AP21958" s="4" t="s">
        <v>376</v>
      </c>
      <c r="AR21958" s="4" t="s">
        <v>377</v>
      </c>
    </row>
    <row r="21959" spans="1:44" ht="60">
      <c r="A21959" s="4" t="s">
        <v>24364</v>
      </c>
      <c r="B21959" s="4">
        <v>138443</v>
      </c>
      <c r="D21959" s="5" t="s">
        <v>28658</v>
      </c>
      <c r="E21959" s="6" t="str">
        <f>HYPERLINK("https://inpn.mnhn.fr/espece/cd_nom/138443","Origanum vulgare subsp. viridulum (Martrin-Donos) Nyman, 1881")</f>
        <v>Origanum vulgare subsp. viridulum (Martrin-Donos) Nyman, 1881</v>
      </c>
      <c r="F21959" s="5" t="s">
        <v>28659</v>
      </c>
      <c r="Q21959" s="7" t="str">
        <f>HYPERLINK("#Liste_rouge!A"&amp;_xlfn.XMATCH("NA",Liste_rouge!A:A,2,1),"NA")</f>
        <v>NA</v>
      </c>
      <c r="AH21959" s="4" t="str">
        <f>HYPERLINK("#Statut_biogéographique!A"&amp;_xlfn.XMATCH("P",Statut_biogéographique!A:A,2,1),"P")</f>
        <v>P</v>
      </c>
      <c r="AP21959" s="4" t="s">
        <v>376</v>
      </c>
      <c r="AR21959" s="4" t="s">
        <v>377</v>
      </c>
    </row>
    <row r="21960" spans="1:44">
      <c r="A21960" s="4" t="s">
        <v>24364</v>
      </c>
      <c r="B21960" s="4">
        <v>138444</v>
      </c>
      <c r="D21960" s="5">
        <v>138444</v>
      </c>
      <c r="E21960" s="6" t="str">
        <f>HYPERLINK("https://inpn.mnhn.fr/espece/cd_nom/138444","Origanum vulgare subsp. vulgare L., 1753")</f>
        <v>Origanum vulgare subsp. vulgare L., 1753</v>
      </c>
      <c r="F21960" s="5" t="s">
        <v>25824</v>
      </c>
      <c r="Q21960" s="7" t="str">
        <f>HYPERLINK("#Liste_rouge!A"&amp;_xlfn.XMATCH("LC",Liste_rouge!A:A,2,1),"LC")</f>
        <v>LC</v>
      </c>
      <c r="AH21960" s="4" t="str">
        <f>HYPERLINK("#Statut_biogéographique!A"&amp;_xlfn.XMATCH("P",Statut_biogéographique!A:A,2,1),"P")</f>
        <v>P</v>
      </c>
      <c r="AP21960" s="4" t="s">
        <v>376</v>
      </c>
      <c r="AR21960" s="4" t="s">
        <v>377</v>
      </c>
    </row>
    <row r="21961" spans="1:44" ht="30">
      <c r="A21961" s="4" t="s">
        <v>24364</v>
      </c>
      <c r="B21961" s="4">
        <v>138532</v>
      </c>
      <c r="D21961" s="5">
        <v>138532</v>
      </c>
      <c r="E21961" s="6" t="str">
        <f>HYPERLINK("https://inpn.mnhn.fr/espece/cd_nom/138532","Paeonia mascula subsp. mascula (L.) Mill., 1768")</f>
        <v>Paeonia mascula subsp. mascula (L.) Mill., 1768</v>
      </c>
      <c r="F21961" s="5" t="s">
        <v>28660</v>
      </c>
      <c r="L21961" s="4" t="str">
        <f>HYPERLINK("#Réglementation!A"&amp;_xlfn.XMATCH("NV2",Réglementation!A:A,2,1),"NV2 - NV3")</f>
        <v>NV2 - NV3</v>
      </c>
      <c r="T21961" s="7" t="str">
        <f>HYPERLINK("#Liste_rouge!A"&amp;_xlfn.XMATCH("DD",Liste_rouge!A:A,2,1),"DD")</f>
        <v>DD</v>
      </c>
      <c r="AH21961" s="4" t="str">
        <f>HYPERLINK("#Statut_biogéographique!A"&amp;_xlfn.XMATCH("P",Statut_biogéographique!A:A,2,1),"P")</f>
        <v>P</v>
      </c>
      <c r="AM21961" s="4" t="s">
        <v>375</v>
      </c>
      <c r="AN21961" s="4" t="s">
        <v>375</v>
      </c>
      <c r="AO21961" s="4" t="s">
        <v>375</v>
      </c>
      <c r="AP21961" s="4" t="s">
        <v>389</v>
      </c>
      <c r="AR21961" s="4" t="s">
        <v>377</v>
      </c>
    </row>
    <row r="21962" spans="1:44" ht="30">
      <c r="A21962" s="4" t="s">
        <v>24364</v>
      </c>
      <c r="B21962" s="4">
        <v>138542</v>
      </c>
      <c r="D21962" s="5" t="s">
        <v>28661</v>
      </c>
      <c r="E21962" s="6" t="str">
        <f>HYPERLINK("https://inpn.mnhn.fr/espece/cd_nom/138542","Panicum miliaceum subsp. miliaceum L., 1753")</f>
        <v>Panicum miliaceum subsp. miliaceum L., 1753</v>
      </c>
      <c r="F21962" s="5" t="s">
        <v>25897</v>
      </c>
      <c r="Q21962" s="7" t="str">
        <f>HYPERLINK("#Liste_rouge!A"&amp;_xlfn.XMATCH("NA",Liste_rouge!A:A,2,1),"NA")</f>
        <v>NA</v>
      </c>
      <c r="AH21962" s="4" t="str">
        <f>HYPERLINK("#Statut_biogéographique!A"&amp;_xlfn.XMATCH("M",Statut_biogéographique!A:A,2,1),"M")</f>
        <v>M</v>
      </c>
      <c r="AP21962" s="4" t="s">
        <v>376</v>
      </c>
      <c r="AR21962" s="4" t="s">
        <v>377</v>
      </c>
    </row>
    <row r="21963" spans="1:44">
      <c r="A21963" s="4" t="s">
        <v>24364</v>
      </c>
      <c r="B21963" s="4">
        <v>138559</v>
      </c>
      <c r="D21963" s="5" t="s">
        <v>28662</v>
      </c>
      <c r="E21963" s="6" t="str">
        <f>HYPERLINK("https://inpn.mnhn.fr/espece/cd_nom/138559","Papaver argemone subsp. argemone L., 1753")</f>
        <v>Papaver argemone subsp. argemone L., 1753</v>
      </c>
      <c r="F21963" s="5" t="s">
        <v>25903</v>
      </c>
      <c r="T21963" s="7" t="str">
        <f>HYPERLINK("#Liste_rouge!A"&amp;_xlfn.XMATCH("DD",Liste_rouge!A:A,2,1),"DD")</f>
        <v>DD</v>
      </c>
      <c r="AH21963" s="4" t="str">
        <f>HYPERLINK("#Statut_biogéographique!A"&amp;_xlfn.XMATCH("P",Statut_biogéographique!A:A,2,1),"P")</f>
        <v>P</v>
      </c>
      <c r="AP21963" s="4" t="s">
        <v>376</v>
      </c>
      <c r="AR21963" s="4" t="s">
        <v>377</v>
      </c>
    </row>
    <row r="21964" spans="1:44">
      <c r="A21964" s="4" t="s">
        <v>24364</v>
      </c>
      <c r="B21964" s="4">
        <v>138564</v>
      </c>
      <c r="D21964" s="5">
        <v>138564</v>
      </c>
      <c r="E21964" s="6" t="str">
        <f>HYPERLINK("https://inpn.mnhn.fr/espece/cd_nom/138564","Papaver dubium subsp. dubium L., 1753")</f>
        <v>Papaver dubium subsp. dubium L., 1753</v>
      </c>
      <c r="F21964" s="5" t="s">
        <v>25908</v>
      </c>
      <c r="Q21964" s="7" t="str">
        <f>HYPERLINK("#Liste_rouge!A"&amp;_xlfn.XMATCH("LC",Liste_rouge!A:A,2,1),"LC")</f>
        <v>LC</v>
      </c>
      <c r="T21964" s="7" t="str">
        <f>HYPERLINK("#Liste_rouge!A"&amp;_xlfn.XMATCH("DD",Liste_rouge!A:A,2,1),"DD")</f>
        <v>DD</v>
      </c>
      <c r="AH21964" s="4" t="str">
        <f>HYPERLINK("#Statut_biogéographique!A"&amp;_xlfn.XMATCH("P",Statut_biogéographique!A:A,2,1),"P")</f>
        <v>P</v>
      </c>
      <c r="AM21964" s="4" t="s">
        <v>375</v>
      </c>
      <c r="AN21964" s="4" t="s">
        <v>375</v>
      </c>
      <c r="AO21964" s="4" t="s">
        <v>375</v>
      </c>
      <c r="AP21964" s="4" t="s">
        <v>376</v>
      </c>
      <c r="AR21964" s="4" t="s">
        <v>377</v>
      </c>
    </row>
    <row r="21965" spans="1:44" ht="45">
      <c r="A21965" s="4" t="s">
        <v>24364</v>
      </c>
      <c r="B21965" s="4">
        <v>138566</v>
      </c>
      <c r="D21965" s="5" t="s">
        <v>28663</v>
      </c>
      <c r="E21965" s="6" t="str">
        <f>HYPERLINK("https://inpn.mnhn.fr/espece/cd_nom/138566","Papaver dubium subsp. lecoqii (Lamotte) Syme, 1863")</f>
        <v>Papaver dubium subsp. lecoqii (Lamotte) Syme, 1863</v>
      </c>
      <c r="F21965" s="5" t="s">
        <v>28664</v>
      </c>
      <c r="Q21965" s="7" t="str">
        <f>HYPERLINK("#Liste_rouge!A"&amp;_xlfn.XMATCH("LC",Liste_rouge!A:A,2,1),"LC")</f>
        <v>LC</v>
      </c>
      <c r="T21965" s="7" t="str">
        <f>HYPERLINK("#Liste_rouge!A"&amp;_xlfn.XMATCH("LC",Liste_rouge!A:A,2,1),"LC")</f>
        <v>LC</v>
      </c>
      <c r="AH21965" s="4" t="str">
        <f>HYPERLINK("#Statut_biogéographique!A"&amp;_xlfn.XMATCH("P",Statut_biogéographique!A:A,2,1),"P")</f>
        <v>P</v>
      </c>
      <c r="AM21965" s="4" t="s">
        <v>375</v>
      </c>
      <c r="AN21965" s="4" t="s">
        <v>375</v>
      </c>
      <c r="AO21965" s="4" t="s">
        <v>375</v>
      </c>
      <c r="AP21965" s="4" t="s">
        <v>376</v>
      </c>
      <c r="AR21965" s="4" t="s">
        <v>377</v>
      </c>
    </row>
    <row r="21966" spans="1:44" ht="30">
      <c r="A21966" s="4" t="s">
        <v>24364</v>
      </c>
      <c r="B21966" s="4">
        <v>138616</v>
      </c>
      <c r="D21966" s="5" t="s">
        <v>28665</v>
      </c>
      <c r="E21966" s="6" t="str">
        <f>HYPERLINK("https://inpn.mnhn.fr/espece/cd_nom/138616","Paronychia kapela subsp. serpyllifolia (Chaix) Graebn., 1919")</f>
        <v>Paronychia kapela subsp. serpyllifolia (Chaix) Graebn., 1919</v>
      </c>
      <c r="F21966" s="5" t="s">
        <v>28666</v>
      </c>
      <c r="Q21966" s="7" t="str">
        <f>HYPERLINK("#Liste_rouge!A"&amp;_xlfn.XMATCH("LC",Liste_rouge!A:A,2,1),"LC")</f>
        <v>LC</v>
      </c>
      <c r="AH21966" s="4" t="str">
        <f>HYPERLINK("#Statut_biogéographique!A"&amp;_xlfn.XMATCH("P",Statut_biogéographique!A:A,2,1),"P")</f>
        <v>P</v>
      </c>
      <c r="AP21966" s="4" t="s">
        <v>376</v>
      </c>
      <c r="AR21966" s="4" t="s">
        <v>377</v>
      </c>
    </row>
    <row r="21967" spans="1:44">
      <c r="A21967" s="4" t="s">
        <v>24364</v>
      </c>
      <c r="B21967" s="4">
        <v>138623</v>
      </c>
      <c r="D21967" s="5">
        <v>138623</v>
      </c>
      <c r="E21967" s="6" t="str">
        <f>HYPERLINK("https://inpn.mnhn.fr/espece/cd_nom/138623","Pastinaca sativa subsp. sativa L., 1753")</f>
        <v>Pastinaca sativa subsp. sativa L., 1753</v>
      </c>
      <c r="F21967" s="5" t="s">
        <v>25937</v>
      </c>
      <c r="Q21967" s="7" t="str">
        <f>HYPERLINK("#Liste_rouge!A"&amp;_xlfn.XMATCH("LC",Liste_rouge!A:A,2,1),"LC")</f>
        <v>LC</v>
      </c>
      <c r="AH21967" s="4" t="str">
        <f>HYPERLINK("#Statut_biogéographique!A"&amp;_xlfn.XMATCH("P",Statut_biogéographique!A:A,2,1),"P")</f>
        <v>P</v>
      </c>
      <c r="AM21967" s="4" t="s">
        <v>375</v>
      </c>
      <c r="AN21967" s="4" t="s">
        <v>375</v>
      </c>
      <c r="AO21967" s="4" t="s">
        <v>375</v>
      </c>
      <c r="AP21967" s="4" t="s">
        <v>376</v>
      </c>
      <c r="AR21967" s="4" t="s">
        <v>377</v>
      </c>
    </row>
    <row r="21968" spans="1:44" ht="45">
      <c r="A21968" s="4" t="s">
        <v>24364</v>
      </c>
      <c r="B21968" s="4">
        <v>138626</v>
      </c>
      <c r="D21968" s="5" t="s">
        <v>28667</v>
      </c>
      <c r="E21968" s="6" t="str">
        <f>HYPERLINK("https://inpn.mnhn.fr/espece/cd_nom/138626","Pastinaca sativa subsp. urens (Req. ex Godr.) Čelak., 1875")</f>
        <v>Pastinaca sativa subsp. urens (Req. ex Godr.) Čelak., 1875</v>
      </c>
      <c r="F21968" s="5" t="s">
        <v>28668</v>
      </c>
      <c r="Q21968" s="7" t="str">
        <f>HYPERLINK("#Liste_rouge!A"&amp;_xlfn.XMATCH("LC",Liste_rouge!A:A,2,1),"LC")</f>
        <v>LC</v>
      </c>
      <c r="T21968" s="7" t="str">
        <f>HYPERLINK("#Liste_rouge!A"&amp;_xlfn.XMATCH("DD",Liste_rouge!A:A,2,1),"DD")</f>
        <v>DD</v>
      </c>
      <c r="AH21968" s="4" t="str">
        <f>HYPERLINK("#Statut_biogéographique!A"&amp;_xlfn.XMATCH("P",Statut_biogéographique!A:A,2,1),"P")</f>
        <v>P</v>
      </c>
      <c r="AM21968" s="4" t="s">
        <v>375</v>
      </c>
      <c r="AN21968" s="4" t="s">
        <v>375</v>
      </c>
      <c r="AO21968" s="4" t="s">
        <v>375</v>
      </c>
      <c r="AP21968" s="4" t="s">
        <v>376</v>
      </c>
      <c r="AR21968" s="4" t="s">
        <v>377</v>
      </c>
    </row>
    <row r="21969" spans="1:44">
      <c r="A21969" s="4" t="s">
        <v>24364</v>
      </c>
      <c r="B21969" s="4">
        <v>138634</v>
      </c>
      <c r="D21969" s="5">
        <v>138634</v>
      </c>
      <c r="E21969" s="6" t="str">
        <f>HYPERLINK("https://inpn.mnhn.fr/espece/cd_nom/138634","Pedicularis palustris subsp. palustris L., 1753")</f>
        <v>Pedicularis palustris subsp. palustris L., 1753</v>
      </c>
      <c r="F21969" s="5" t="s">
        <v>25943</v>
      </c>
      <c r="M21969" s="4" t="str">
        <f>HYPERLINK("#Réglementation!A"&amp;_xlfn.XMATCH("RV26",Réglementation!A:A,2,1),"RV26")</f>
        <v>RV26</v>
      </c>
      <c r="AH21969" s="4" t="str">
        <f>HYPERLINK("#Statut_biogéographique!A"&amp;_xlfn.XMATCH("P",Statut_biogéographique!A:A,2,1),"P")</f>
        <v>P</v>
      </c>
      <c r="AP21969" s="4" t="s">
        <v>376</v>
      </c>
      <c r="AR21969" s="4" t="s">
        <v>377</v>
      </c>
    </row>
    <row r="21970" spans="1:44" ht="30">
      <c r="A21970" s="4" t="s">
        <v>24364</v>
      </c>
      <c r="B21970" s="4">
        <v>138658</v>
      </c>
      <c r="D21970" s="5" t="s">
        <v>28669</v>
      </c>
      <c r="E21970" s="6" t="str">
        <f>HYPERLINK("https://inpn.mnhn.fr/espece/cd_nom/138658","Petrorhagia saxifraga subsp. saxifraga (L.) Link, 1829")</f>
        <v>Petrorhagia saxifraga subsp. saxifraga (L.) Link, 1829</v>
      </c>
      <c r="F21970" s="5" t="s">
        <v>28670</v>
      </c>
      <c r="Q21970" s="7" t="str">
        <f>HYPERLINK("#Liste_rouge!A"&amp;_xlfn.XMATCH("LC",Liste_rouge!A:A,2,1),"LC")</f>
        <v>LC</v>
      </c>
      <c r="AH21970" s="4" t="str">
        <f>HYPERLINK("#Statut_biogéographique!A"&amp;_xlfn.XMATCH("P",Statut_biogéographique!A:A,2,1),"P")</f>
        <v>P</v>
      </c>
      <c r="AP21970" s="4" t="s">
        <v>376</v>
      </c>
      <c r="AR21970" s="4" t="s">
        <v>377</v>
      </c>
    </row>
    <row r="21971" spans="1:44" ht="60">
      <c r="A21971" s="4" t="s">
        <v>24364</v>
      </c>
      <c r="B21971" s="4">
        <v>138682</v>
      </c>
      <c r="D21971" s="5" t="s">
        <v>28671</v>
      </c>
      <c r="E21971" s="6" t="str">
        <f>HYPERLINK("https://inpn.mnhn.fr/espece/cd_nom/138682","Phalaris arundinacea subsp. arundinacea L., 1753")</f>
        <v>Phalaris arundinacea subsp. arundinacea L., 1753</v>
      </c>
      <c r="F21971" s="5" t="s">
        <v>26004</v>
      </c>
      <c r="Q21971" s="7" t="str">
        <f>HYPERLINK("#Liste_rouge!A"&amp;_xlfn.XMATCH("LC",Liste_rouge!A:A,2,1),"LC")</f>
        <v>LC</v>
      </c>
      <c r="T21971" s="7" t="str">
        <f>HYPERLINK("#Liste_rouge!A"&amp;_xlfn.XMATCH("DD",Liste_rouge!A:A,2,1),"DD")</f>
        <v>DD</v>
      </c>
      <c r="AH21971" s="4" t="str">
        <f>HYPERLINK("#Statut_biogéographique!A"&amp;_xlfn.XMATCH("P",Statut_biogéographique!A:A,2,1),"P")</f>
        <v>P</v>
      </c>
      <c r="AM21971" s="4" t="s">
        <v>375</v>
      </c>
      <c r="AN21971" s="4" t="s">
        <v>375</v>
      </c>
      <c r="AO21971" s="4" t="s">
        <v>375</v>
      </c>
      <c r="AP21971" s="4" t="s">
        <v>376</v>
      </c>
      <c r="AR21971" s="4" t="s">
        <v>377</v>
      </c>
    </row>
    <row r="21972" spans="1:44" ht="75">
      <c r="A21972" s="4" t="s">
        <v>24364</v>
      </c>
      <c r="B21972" s="4">
        <v>138764</v>
      </c>
      <c r="D21972" s="5" t="s">
        <v>28672</v>
      </c>
      <c r="E21972" s="6" t="str">
        <f>HYPERLINK("https://inpn.mnhn.fr/espece/cd_nom/138764","Phyteuma orbiculare subsp. orbiculare L., 1753")</f>
        <v>Phyteuma orbiculare subsp. orbiculare L., 1753</v>
      </c>
      <c r="F21972" s="5" t="s">
        <v>26055</v>
      </c>
      <c r="Q21972" s="7" t="str">
        <f>HYPERLINK("#Liste_rouge!A"&amp;_xlfn.XMATCH("LC",Liste_rouge!A:A,2,1),"LC")</f>
        <v>LC</v>
      </c>
      <c r="T21972" s="7" t="str">
        <f>HYPERLINK("#Liste_rouge!A"&amp;_xlfn.XMATCH("DD",Liste_rouge!A:A,2,1),"DD")</f>
        <v>DD</v>
      </c>
      <c r="AH21972" s="4" t="str">
        <f>HYPERLINK("#Statut_biogéographique!A"&amp;_xlfn.XMATCH("P",Statut_biogéographique!A:A,2,1),"P")</f>
        <v>P</v>
      </c>
      <c r="AM21972" s="4" t="s">
        <v>375</v>
      </c>
      <c r="AN21972" s="4" t="s">
        <v>375</v>
      </c>
      <c r="AO21972" s="4" t="s">
        <v>375</v>
      </c>
      <c r="AP21972" s="4" t="s">
        <v>376</v>
      </c>
      <c r="AR21972" s="4" t="s">
        <v>377</v>
      </c>
    </row>
    <row r="21973" spans="1:44" ht="30">
      <c r="A21973" s="4" t="s">
        <v>24364</v>
      </c>
      <c r="B21973" s="4">
        <v>138765</v>
      </c>
      <c r="D21973" s="5" t="s">
        <v>28673</v>
      </c>
      <c r="E21973" s="6" t="str">
        <f>HYPERLINK("https://inpn.mnhn.fr/espece/cd_nom/138765","Phyteuma orbiculare subsp. tenerum (Rich.Schulz) Braun-Blanq., 1933")</f>
        <v>Phyteuma orbiculare subsp. tenerum (Rich.Schulz) Braun-Blanq., 1933</v>
      </c>
      <c r="F21973" s="5" t="s">
        <v>28674</v>
      </c>
      <c r="Q21973" s="7" t="str">
        <f>HYPERLINK("#Liste_rouge!A"&amp;_xlfn.XMATCH("LC",Liste_rouge!A:A,2,1),"LC")</f>
        <v>LC</v>
      </c>
      <c r="T21973" s="7" t="str">
        <f>HYPERLINK("#Liste_rouge!A"&amp;_xlfn.XMATCH("EN",Liste_rouge!A:A,2,1),"EN")</f>
        <v>EN</v>
      </c>
      <c r="U21973" s="4" t="str">
        <f>HYPERLINK("#Critères_liste_rouge!A$1","C2a(i)")</f>
        <v>C2a(i)</v>
      </c>
      <c r="AB21973" s="4" t="s">
        <v>25854</v>
      </c>
      <c r="AH21973" s="4" t="str">
        <f>HYPERLINK("#Statut_biogéographique!A"&amp;_xlfn.XMATCH("P",Statut_biogéographique!A:A,2,1),"P")</f>
        <v>P</v>
      </c>
      <c r="AM21973" s="4" t="s">
        <v>375</v>
      </c>
      <c r="AN21973" s="4" t="s">
        <v>375</v>
      </c>
      <c r="AO21973" s="4" t="s">
        <v>375</v>
      </c>
      <c r="AP21973" s="4" t="s">
        <v>376</v>
      </c>
      <c r="AR21973" s="4" t="s">
        <v>377</v>
      </c>
    </row>
    <row r="21974" spans="1:44" ht="75">
      <c r="A21974" s="4" t="s">
        <v>24364</v>
      </c>
      <c r="B21974" s="4">
        <v>138785</v>
      </c>
      <c r="D21974" s="5" t="s">
        <v>28675</v>
      </c>
      <c r="E21974" s="6" t="str">
        <f>HYPERLINK("https://inpn.mnhn.fr/espece/cd_nom/138785","Picris hieracioides subsp. hieracioides L., 1753")</f>
        <v>Picris hieracioides subsp. hieracioides L., 1753</v>
      </c>
      <c r="F21974" s="5" t="s">
        <v>26071</v>
      </c>
      <c r="Q21974" s="7" t="str">
        <f>HYPERLINK("#Liste_rouge!A"&amp;_xlfn.XMATCH("LC",Liste_rouge!A:A,2,1),"LC")</f>
        <v>LC</v>
      </c>
      <c r="T21974" s="7" t="str">
        <f>HYPERLINK("#Liste_rouge!A"&amp;_xlfn.XMATCH("LC",Liste_rouge!A:A,2,1),"LC (cd_nom 138785) - NA (cd_nom 138788)")</f>
        <v>LC (cd_nom 138785) - NA (cd_nom 138788)</v>
      </c>
      <c r="AH21974" s="4" t="str">
        <f>HYPERLINK("#Statut_biogéographique!A"&amp;_xlfn.XMATCH("P",Statut_biogéographique!A:A,2,1),"P")</f>
        <v>P</v>
      </c>
      <c r="AP21974" s="4" t="s">
        <v>376</v>
      </c>
      <c r="AR21974" s="4" t="s">
        <v>377</v>
      </c>
    </row>
    <row r="21975" spans="1:44" ht="60">
      <c r="A21975" s="4" t="s">
        <v>24364</v>
      </c>
      <c r="B21975" s="4">
        <v>138811</v>
      </c>
      <c r="D21975" s="5" t="s">
        <v>28676</v>
      </c>
      <c r="E21975" s="6" t="str">
        <f>HYPERLINK("https://inpn.mnhn.fr/espece/cd_nom/138811","Pimpinella saxifraga subsp. saxifraga L., 1753")</f>
        <v>Pimpinella saxifraga subsp. saxifraga L., 1753</v>
      </c>
      <c r="F21975" s="5" t="s">
        <v>26096</v>
      </c>
      <c r="Q21975" s="7" t="str">
        <f>HYPERLINK("#Liste_rouge!A"&amp;_xlfn.XMATCH("LC",Liste_rouge!A:A,2,1),"LC")</f>
        <v>LC</v>
      </c>
      <c r="T21975" s="7" t="str">
        <f>HYPERLINK("#Liste_rouge!A"&amp;_xlfn.XMATCH("DD",Liste_rouge!A:A,2,1),"DD")</f>
        <v>DD</v>
      </c>
      <c r="AH21975" s="4" t="str">
        <f>HYPERLINK("#Statut_biogéographique!A"&amp;_xlfn.XMATCH("P",Statut_biogéographique!A:A,2,1),"P")</f>
        <v>P</v>
      </c>
      <c r="AM21975" s="4" t="s">
        <v>375</v>
      </c>
      <c r="AN21975" s="4" t="s">
        <v>375</v>
      </c>
      <c r="AO21975" s="4" t="s">
        <v>375</v>
      </c>
      <c r="AP21975" s="4" t="s">
        <v>376</v>
      </c>
      <c r="AR21975" s="4" t="s">
        <v>377</v>
      </c>
    </row>
    <row r="21976" spans="1:44" ht="60">
      <c r="A21976" s="4" t="s">
        <v>24364</v>
      </c>
      <c r="B21976" s="4">
        <v>138840</v>
      </c>
      <c r="D21976" s="5" t="s">
        <v>28677</v>
      </c>
      <c r="E21976" s="6" t="str">
        <f>HYPERLINK("https://inpn.mnhn.fr/espece/cd_nom/138840","Pinus mugo subsp. uncinata (Ramond ex DC.) Domin, 1936")</f>
        <v>Pinus mugo subsp. uncinata (Ramond ex DC.) Domin, 1936</v>
      </c>
      <c r="F21976" s="5" t="s">
        <v>28678</v>
      </c>
      <c r="O21976" s="7" t="str">
        <f>HYPERLINK("#Liste_rouge!A"&amp;_xlfn.XMATCH("LC",Liste_rouge!A:A,2,1),"LC")</f>
        <v>LC</v>
      </c>
      <c r="P21976" s="7" t="str">
        <f>HYPERLINK("#Liste_rouge!A"&amp;_xlfn.XMATCH("LC",Liste_rouge!A:A,2,1),"LC")</f>
        <v>LC</v>
      </c>
      <c r="Q21976" s="7" t="str">
        <f>HYPERLINK("#Liste_rouge!A"&amp;_xlfn.XMATCH("LC",Liste_rouge!A:A,2,1),"LC")</f>
        <v>LC</v>
      </c>
      <c r="AH21976" s="4" t="str">
        <f>HYPERLINK("#Statut_biogéographique!A"&amp;_xlfn.XMATCH("P",Statut_biogéographique!A:A,2,1),"P")</f>
        <v>P</v>
      </c>
      <c r="AM21976" s="4" t="s">
        <v>375</v>
      </c>
      <c r="AN21976" s="4" t="s">
        <v>375</v>
      </c>
      <c r="AO21976" s="4" t="s">
        <v>375</v>
      </c>
      <c r="AP21976" s="4" t="s">
        <v>376</v>
      </c>
      <c r="AR21976" s="4" t="s">
        <v>377</v>
      </c>
    </row>
    <row r="21977" spans="1:44" ht="60">
      <c r="A21977" s="4" t="s">
        <v>24364</v>
      </c>
      <c r="B21977" s="4">
        <v>138841</v>
      </c>
      <c r="D21977" s="5" t="s">
        <v>28679</v>
      </c>
      <c r="E21977" s="6" t="str">
        <f>HYPERLINK("https://inpn.mnhn.fr/espece/cd_nom/138841","Pinus nigra subsp. laricio Palib. ex Maire, 1928")</f>
        <v>Pinus nigra subsp. laricio Palib. ex Maire, 1928</v>
      </c>
      <c r="F21977" s="5" t="s">
        <v>28680</v>
      </c>
      <c r="Q21977" s="7" t="str">
        <f>HYPERLINK("#Liste_rouge!A"&amp;_xlfn.XMATCH("LC",Liste_rouge!A:A,2,1),"LC")</f>
        <v>LC</v>
      </c>
      <c r="T21977" s="7" t="str">
        <f>HYPERLINK("#Liste_rouge!A"&amp;_xlfn.XMATCH("NA",Liste_rouge!A:A,2,1),"NA")</f>
        <v>NA</v>
      </c>
      <c r="AH21977" s="4" t="str">
        <f>HYPERLINK("#Statut_biogéographique!A"&amp;_xlfn.XMATCH("P",Statut_biogéographique!A:A,2,1),"P")</f>
        <v>P</v>
      </c>
      <c r="AP21977" s="4" t="s">
        <v>376</v>
      </c>
      <c r="AR21977" s="4" t="s">
        <v>377</v>
      </c>
    </row>
    <row r="21978" spans="1:44" ht="30">
      <c r="A21978" s="4" t="s">
        <v>24364</v>
      </c>
      <c r="B21978" s="4">
        <v>138843</v>
      </c>
      <c r="D21978" s="5" t="s">
        <v>28681</v>
      </c>
      <c r="E21978" s="6" t="str">
        <f>HYPERLINK("https://inpn.mnhn.fr/espece/cd_nom/138843","Pinus nigra subsp. nigra J.F.Arnold, 1785")</f>
        <v>Pinus nigra subsp. nigra J.F.Arnold, 1785</v>
      </c>
      <c r="F21978" s="5" t="s">
        <v>26107</v>
      </c>
      <c r="Q21978" s="7" t="str">
        <f>HYPERLINK("#Liste_rouge!A"&amp;_xlfn.XMATCH("NA",Liste_rouge!A:A,2,1),"NA")</f>
        <v>NA</v>
      </c>
      <c r="T21978" s="7" t="str">
        <f>HYPERLINK("#Liste_rouge!A"&amp;_xlfn.XMATCH("NA",Liste_rouge!A:A,2,1),"NA")</f>
        <v>NA</v>
      </c>
      <c r="AH21978" s="4" t="str">
        <f>HYPERLINK("#Statut_biogéographique!A"&amp;_xlfn.XMATCH("I",Statut_biogéographique!A:A,2,1),"I")</f>
        <v>I</v>
      </c>
      <c r="AP21978" s="4" t="s">
        <v>376</v>
      </c>
      <c r="AR21978" s="4" t="s">
        <v>377</v>
      </c>
    </row>
    <row r="21979" spans="1:44" ht="45">
      <c r="A21979" s="4" t="s">
        <v>24364</v>
      </c>
      <c r="B21979" s="4">
        <v>138844</v>
      </c>
      <c r="D21979" s="5" t="s">
        <v>28682</v>
      </c>
      <c r="E21979" s="6" t="str">
        <f>HYPERLINK("https://inpn.mnhn.fr/espece/cd_nom/138844","Pinus nigra subsp. salzmannii (Dunal) Franco, 1943")</f>
        <v>Pinus nigra subsp. salzmannii (Dunal) Franco, 1943</v>
      </c>
      <c r="F21979" s="5" t="s">
        <v>28683</v>
      </c>
      <c r="Q21979" s="7" t="str">
        <f>HYPERLINK("#Liste_rouge!A"&amp;_xlfn.XMATCH("NT",Liste_rouge!A:A,2,1),"NT")</f>
        <v>NT</v>
      </c>
      <c r="AH21979" s="4" t="str">
        <f>HYPERLINK("#Statut_biogéographique!A"&amp;_xlfn.XMATCH("P",Statut_biogéographique!A:A,2,1),"P")</f>
        <v>P</v>
      </c>
      <c r="AP21979" s="4" t="s">
        <v>376</v>
      </c>
      <c r="AR21979" s="4" t="s">
        <v>377</v>
      </c>
    </row>
    <row r="21980" spans="1:44" ht="45">
      <c r="A21980" s="4" t="s">
        <v>24364</v>
      </c>
      <c r="B21980" s="4">
        <v>138865</v>
      </c>
      <c r="D21980" s="5" t="s">
        <v>28684</v>
      </c>
      <c r="E21980" s="6" t="str">
        <f>HYPERLINK("https://inpn.mnhn.fr/espece/cd_nom/138865","Pisum sativum subsp. biflorum (Raf.) Soldano, 1992")</f>
        <v>Pisum sativum subsp. biflorum (Raf.) Soldano, 1992</v>
      </c>
      <c r="F21980" s="5" t="s">
        <v>28685</v>
      </c>
      <c r="Q21980" s="7" t="str">
        <f>HYPERLINK("#Liste_rouge!A"&amp;_xlfn.XMATCH("LC",Liste_rouge!A:A,2,1),"LC")</f>
        <v>LC</v>
      </c>
      <c r="T21980" s="7" t="str">
        <f>HYPERLINK("#Liste_rouge!A"&amp;_xlfn.XMATCH("NA",Liste_rouge!A:A,2,1),"NA")</f>
        <v>NA</v>
      </c>
      <c r="AH21980" s="4" t="str">
        <f>HYPERLINK("#Statut_biogéographique!A"&amp;_xlfn.XMATCH("P",Statut_biogéographique!A:A,2,1),"P")</f>
        <v>P</v>
      </c>
      <c r="AP21980" s="4" t="s">
        <v>376</v>
      </c>
      <c r="AR21980" s="4" t="s">
        <v>377</v>
      </c>
    </row>
    <row r="21981" spans="1:44" ht="45">
      <c r="A21981" s="4" t="s">
        <v>24364</v>
      </c>
      <c r="B21981" s="4">
        <v>138869</v>
      </c>
      <c r="D21981" s="5" t="s">
        <v>28686</v>
      </c>
      <c r="E21981" s="6" t="str">
        <f>HYPERLINK("https://inpn.mnhn.fr/espece/cd_nom/138869","Pisum sativum subsp. sativum L., 1753")</f>
        <v>Pisum sativum subsp. sativum L., 1753</v>
      </c>
      <c r="F21981" s="5" t="s">
        <v>28687</v>
      </c>
      <c r="Q21981" s="7" t="str">
        <f>HYPERLINK("#Liste_rouge!A"&amp;_xlfn.XMATCH("NA",Liste_rouge!A:A,2,1),"NA")</f>
        <v>NA</v>
      </c>
      <c r="T21981" s="7" t="str">
        <f>HYPERLINK("#Liste_rouge!A"&amp;_xlfn.XMATCH("NA",Liste_rouge!A:A,2,1),"NA")</f>
        <v>NA</v>
      </c>
      <c r="AH21981" s="4" t="str">
        <f>HYPERLINK("#Statut_biogéographique!A"&amp;_xlfn.XMATCH("M",Statut_biogéographique!A:A,2,1),"M")</f>
        <v>M</v>
      </c>
      <c r="AP21981" s="4" t="s">
        <v>376</v>
      </c>
      <c r="AR21981" s="4" t="s">
        <v>377</v>
      </c>
    </row>
    <row r="21982" spans="1:44" ht="30">
      <c r="A21982" s="4" t="s">
        <v>24364</v>
      </c>
      <c r="B21982" s="4">
        <v>138872</v>
      </c>
      <c r="D21982" s="5" t="s">
        <v>28688</v>
      </c>
      <c r="E21982" s="6" t="str">
        <f>HYPERLINK("https://inpn.mnhn.fr/espece/cd_nom/138872","Plantago atrata subsp. atrata Hoppe, 1799")</f>
        <v>Plantago atrata subsp. atrata Hoppe, 1799</v>
      </c>
      <c r="F21982" s="5" t="s">
        <v>26125</v>
      </c>
      <c r="Q21982" s="7" t="str">
        <f>HYPERLINK("#Liste_rouge!A"&amp;_xlfn.XMATCH("LC",Liste_rouge!A:A,2,1),"LC")</f>
        <v>LC</v>
      </c>
      <c r="AH21982" s="4" t="str">
        <f>HYPERLINK("#Statut_biogéographique!A"&amp;_xlfn.XMATCH("P",Statut_biogéographique!A:A,2,1),"P")</f>
        <v>P</v>
      </c>
      <c r="AP21982" s="4" t="s">
        <v>376</v>
      </c>
      <c r="AR21982" s="4" t="s">
        <v>377</v>
      </c>
    </row>
    <row r="21983" spans="1:44" ht="60">
      <c r="A21983" s="4" t="s">
        <v>24364</v>
      </c>
      <c r="B21983" s="4">
        <v>138881</v>
      </c>
      <c r="D21983" s="5" t="s">
        <v>28689</v>
      </c>
      <c r="E21983" s="6" t="str">
        <f>HYPERLINK("https://inpn.mnhn.fr/espece/cd_nom/138881","Plantago coronopus subsp. coronopus L., 1753")</f>
        <v>Plantago coronopus subsp. coronopus L., 1753</v>
      </c>
      <c r="F21983" s="5" t="s">
        <v>26131</v>
      </c>
      <c r="Q21983" s="7" t="str">
        <f>HYPERLINK("#Liste_rouge!A"&amp;_xlfn.XMATCH("LC",Liste_rouge!A:A,2,1),"LC")</f>
        <v>LC</v>
      </c>
      <c r="T21983" s="7" t="str">
        <f>HYPERLINK("#Liste_rouge!A"&amp;_xlfn.XMATCH("DD",Liste_rouge!A:A,2,1),"DD")</f>
        <v>DD</v>
      </c>
      <c r="AH21983" s="4" t="str">
        <f>HYPERLINK("#Statut_biogéographique!A"&amp;_xlfn.XMATCH("P",Statut_biogéographique!A:A,2,1),"P")</f>
        <v>P</v>
      </c>
      <c r="AM21983" s="4" t="s">
        <v>375</v>
      </c>
      <c r="AN21983" s="4" t="s">
        <v>375</v>
      </c>
      <c r="AO21983" s="4" t="s">
        <v>375</v>
      </c>
      <c r="AP21983" s="4" t="s">
        <v>376</v>
      </c>
      <c r="AR21983" s="4" t="s">
        <v>377</v>
      </c>
    </row>
    <row r="21984" spans="1:44" ht="30">
      <c r="A21984" s="4" t="s">
        <v>24364</v>
      </c>
      <c r="B21984" s="4">
        <v>138901</v>
      </c>
      <c r="D21984" s="5" t="s">
        <v>28690</v>
      </c>
      <c r="E21984" s="6" t="str">
        <f>HYPERLINK("https://inpn.mnhn.fr/espece/cd_nom/138901","Plantago major subsp. major L., 1753")</f>
        <v>Plantago major subsp. major L., 1753</v>
      </c>
      <c r="F21984" s="5" t="s">
        <v>26135</v>
      </c>
      <c r="Q21984" s="7" t="str">
        <f>HYPERLINK("#Liste_rouge!A"&amp;_xlfn.XMATCH("LC",Liste_rouge!A:A,2,1),"LC")</f>
        <v>LC</v>
      </c>
      <c r="T21984" s="7" t="str">
        <f>HYPERLINK("#Liste_rouge!A"&amp;_xlfn.XMATCH("LC",Liste_rouge!A:A,2,1),"LC")</f>
        <v>LC</v>
      </c>
      <c r="AH21984" s="4" t="str">
        <f>HYPERLINK("#Statut_biogéographique!A"&amp;_xlfn.XMATCH("P",Statut_biogéographique!A:A,2,1),"P")</f>
        <v>P</v>
      </c>
      <c r="AP21984" s="4" t="s">
        <v>376</v>
      </c>
      <c r="AR21984" s="4" t="s">
        <v>377</v>
      </c>
    </row>
    <row r="21985" spans="1:44" ht="75">
      <c r="A21985" s="4" t="s">
        <v>24364</v>
      </c>
      <c r="B21985" s="4">
        <v>138903</v>
      </c>
      <c r="D21985" s="5" t="s">
        <v>28691</v>
      </c>
      <c r="E21985" s="6" t="str">
        <f>HYPERLINK("https://inpn.mnhn.fr/espece/cd_nom/138903","Plantago major subsp. pleiosperma Pilg., 1937")</f>
        <v>Plantago major subsp. pleiosperma Pilg., 1937</v>
      </c>
      <c r="F21985" s="5" t="s">
        <v>28692</v>
      </c>
      <c r="Q21985" s="7" t="str">
        <f>HYPERLINK("#Liste_rouge!A"&amp;_xlfn.XMATCH("LC",Liste_rouge!A:A,2,1),"LC")</f>
        <v>LC</v>
      </c>
      <c r="T21985" s="7" t="str">
        <f>HYPERLINK("#Liste_rouge!A"&amp;_xlfn.XMATCH("LC",Liste_rouge!A:A,2,1),"LC")</f>
        <v>LC</v>
      </c>
      <c r="AH21985" s="4" t="str">
        <f>HYPERLINK("#Statut_biogéographique!A"&amp;_xlfn.XMATCH("P",Statut_biogéographique!A:A,2,1),"P")</f>
        <v>P</v>
      </c>
      <c r="AM21985" s="4" t="s">
        <v>375</v>
      </c>
      <c r="AN21985" s="4" t="s">
        <v>375</v>
      </c>
      <c r="AO21985" s="4" t="s">
        <v>375</v>
      </c>
      <c r="AP21985" s="4" t="s">
        <v>376</v>
      </c>
      <c r="AR21985" s="4" t="s">
        <v>377</v>
      </c>
    </row>
    <row r="21986" spans="1:44" ht="30">
      <c r="A21986" s="4" t="s">
        <v>24364</v>
      </c>
      <c r="B21986" s="4">
        <v>138908</v>
      </c>
      <c r="D21986" s="5" t="s">
        <v>28693</v>
      </c>
      <c r="E21986" s="6" t="str">
        <f>HYPERLINK("https://inpn.mnhn.fr/espece/cd_nom/138908","Plantago maritima subsp. serpentina (All.) Arcang., 1882")</f>
        <v>Plantago maritima subsp. serpentina (All.) Arcang., 1882</v>
      </c>
      <c r="F21986" s="5" t="s">
        <v>28694</v>
      </c>
      <c r="M21986" s="4" t="str">
        <f>HYPERLINK("#Réglementation!A"&amp;_xlfn.XMATCH("RV43",Réglementation!A:A,2,1),"RV43")</f>
        <v>RV43</v>
      </c>
      <c r="Q21986" s="7" t="str">
        <f>HYPERLINK("#Liste_rouge!A"&amp;_xlfn.XMATCH("LC",Liste_rouge!A:A,2,1),"LC")</f>
        <v>LC</v>
      </c>
      <c r="X21986" s="5" t="s">
        <v>374</v>
      </c>
      <c r="AB21986" s="4" t="s">
        <v>93</v>
      </c>
      <c r="AH21986" s="4" t="str">
        <f>HYPERLINK("#Statut_biogéographique!A"&amp;_xlfn.XMATCH("P",Statut_biogéographique!A:A,2,1),"P")</f>
        <v>P</v>
      </c>
      <c r="AM21986" s="4" t="s">
        <v>375</v>
      </c>
      <c r="AN21986" s="4" t="s">
        <v>375</v>
      </c>
      <c r="AO21986" s="4" t="s">
        <v>375</v>
      </c>
      <c r="AP21986" s="4" t="s">
        <v>376</v>
      </c>
      <c r="AR21986" s="4" t="s">
        <v>377</v>
      </c>
    </row>
    <row r="21987" spans="1:44" ht="45">
      <c r="A21987" s="4" t="s">
        <v>24364</v>
      </c>
      <c r="B21987" s="4">
        <v>138909</v>
      </c>
      <c r="D21987" s="5" t="s">
        <v>28695</v>
      </c>
      <c r="E21987" s="6" t="str">
        <f>HYPERLINK("https://inpn.mnhn.fr/espece/cd_nom/138909","Plantago media subsp. media L., 1753")</f>
        <v>Plantago media subsp. media L., 1753</v>
      </c>
      <c r="F21987" s="5" t="s">
        <v>26139</v>
      </c>
      <c r="AH21987" s="4" t="str">
        <f>HYPERLINK("#Statut_biogéographique!A"&amp;_xlfn.XMATCH("P",Statut_biogéographique!A:A,2,1),"P")</f>
        <v>P</v>
      </c>
      <c r="AP21987" s="4" t="s">
        <v>376</v>
      </c>
      <c r="AR21987" s="4" t="s">
        <v>377</v>
      </c>
    </row>
    <row r="21988" spans="1:44">
      <c r="A21988" s="4" t="s">
        <v>24364</v>
      </c>
      <c r="B21988" s="4">
        <v>138929</v>
      </c>
      <c r="D21988" s="5">
        <v>138929</v>
      </c>
      <c r="E21988" s="6" t="str">
        <f>HYPERLINK("https://inpn.mnhn.fr/espece/cd_nom/138929","Poa alpina subsp. alpina L., 1753")</f>
        <v>Poa alpina subsp. alpina L., 1753</v>
      </c>
      <c r="F21988" s="5" t="s">
        <v>26155</v>
      </c>
      <c r="AH21988" s="4" t="str">
        <f>HYPERLINK("#Statut_biogéographique!A"&amp;_xlfn.XMATCH("P",Statut_biogéographique!A:A,2,1),"P")</f>
        <v>P</v>
      </c>
      <c r="AP21988" s="4" t="s">
        <v>376</v>
      </c>
      <c r="AR21988" s="4" t="s">
        <v>377</v>
      </c>
    </row>
    <row r="21989" spans="1:44">
      <c r="A21989" s="4" t="s">
        <v>24364</v>
      </c>
      <c r="B21989" s="4">
        <v>138958</v>
      </c>
      <c r="D21989" s="5">
        <v>138958</v>
      </c>
      <c r="E21989" s="6" t="str">
        <f>HYPERLINK("https://inpn.mnhn.fr/espece/cd_nom/138958","Poa bulbosa subsp. bulbosa L., 1753")</f>
        <v>Poa bulbosa subsp. bulbosa L., 1753</v>
      </c>
      <c r="F21989" s="5" t="s">
        <v>26163</v>
      </c>
      <c r="AH21989" s="4" t="str">
        <f>HYPERLINK("#Statut_biogéographique!A"&amp;_xlfn.XMATCH("P",Statut_biogéographique!A:A,2,1),"P")</f>
        <v>P</v>
      </c>
      <c r="AP21989" s="4" t="s">
        <v>376</v>
      </c>
      <c r="AR21989" s="4" t="s">
        <v>377</v>
      </c>
    </row>
    <row r="21990" spans="1:44" ht="135">
      <c r="A21990" s="4" t="s">
        <v>24364</v>
      </c>
      <c r="B21990" s="4">
        <v>138998</v>
      </c>
      <c r="D21990" s="5" t="s">
        <v>28696</v>
      </c>
      <c r="E21990" s="6" t="str">
        <f>HYPERLINK("https://inpn.mnhn.fr/espece/cd_nom/138998","Poa nemoralis subsp. nemoralis L., 1753")</f>
        <v>Poa nemoralis subsp. nemoralis L., 1753</v>
      </c>
      <c r="F21990" s="5" t="s">
        <v>26174</v>
      </c>
      <c r="AH21990" s="4" t="str">
        <f>HYPERLINK("#Statut_biogéographique!A"&amp;_xlfn.XMATCH("P",Statut_biogéographique!A:A,2,1),"P")</f>
        <v>P</v>
      </c>
      <c r="AP21990" s="4" t="s">
        <v>376</v>
      </c>
      <c r="AR21990" s="4" t="s">
        <v>377</v>
      </c>
    </row>
    <row r="21991" spans="1:44" ht="120">
      <c r="A21991" s="4" t="s">
        <v>24364</v>
      </c>
      <c r="B21991" s="4">
        <v>139008</v>
      </c>
      <c r="D21991" s="5" t="s">
        <v>28697</v>
      </c>
      <c r="E21991" s="6" t="str">
        <f>HYPERLINK("https://inpn.mnhn.fr/espece/cd_nom/139008","Poa pratensis subsp. angustifolia (L.) Dumort., 1824")</f>
        <v>Poa pratensis subsp. angustifolia (L.) Dumort., 1824</v>
      </c>
      <c r="F21991" s="5" t="s">
        <v>28698</v>
      </c>
      <c r="O21991" s="7" t="str">
        <f>HYPERLINK("#Liste_rouge!A"&amp;_xlfn.XMATCH("LC",Liste_rouge!A:A,2,1),"LC")</f>
        <v>LC</v>
      </c>
      <c r="Q21991" s="7" t="str">
        <f>HYPERLINK("#Liste_rouge!A"&amp;_xlfn.XMATCH("LC",Liste_rouge!A:A,2,1),"LC")</f>
        <v>LC</v>
      </c>
      <c r="T21991" s="7" t="str">
        <f>HYPERLINK("#Liste_rouge!A"&amp;_xlfn.XMATCH("LC",Liste_rouge!A:A,2,1),"LC")</f>
        <v>LC</v>
      </c>
      <c r="AH21991" s="4" t="str">
        <f>HYPERLINK("#Statut_biogéographique!A"&amp;_xlfn.XMATCH("P",Statut_biogéographique!A:A,2,1),"P")</f>
        <v>P</v>
      </c>
      <c r="AP21991" s="4" t="s">
        <v>376</v>
      </c>
      <c r="AR21991" s="4" t="s">
        <v>377</v>
      </c>
    </row>
    <row r="21992" spans="1:44" ht="135">
      <c r="A21992" s="4" t="s">
        <v>24364</v>
      </c>
      <c r="B21992" s="4">
        <v>139009</v>
      </c>
      <c r="D21992" s="5" t="s">
        <v>28699</v>
      </c>
      <c r="E21992" s="6" t="str">
        <f>HYPERLINK("https://inpn.mnhn.fr/espece/cd_nom/139009","Poa pratensis subsp. irrigata (Lindm.) H.Lindb., 1916")</f>
        <v>Poa pratensis subsp. irrigata (Lindm.) H.Lindb., 1916</v>
      </c>
      <c r="F21992" s="5" t="s">
        <v>28700</v>
      </c>
      <c r="Q21992" s="7" t="str">
        <f>HYPERLINK("#Liste_rouge!A"&amp;_xlfn.XMATCH("LC",Liste_rouge!A:A,2,1),"LC")</f>
        <v>LC</v>
      </c>
      <c r="AH21992" s="4" t="str">
        <f>HYPERLINK("#Statut_biogéographique!A"&amp;_xlfn.XMATCH("P",Statut_biogéographique!A:A,2,1),"P")</f>
        <v>P</v>
      </c>
      <c r="AP21992" s="4" t="s">
        <v>376</v>
      </c>
      <c r="AR21992" s="4" t="s">
        <v>377</v>
      </c>
    </row>
    <row r="21993" spans="1:44" ht="195">
      <c r="A21993" s="4" t="s">
        <v>24364</v>
      </c>
      <c r="B21993" s="4">
        <v>139024</v>
      </c>
      <c r="D21993" s="5" t="s">
        <v>28701</v>
      </c>
      <c r="E21993" s="6" t="str">
        <f>HYPERLINK("https://inpn.mnhn.fr/espece/cd_nom/139024","Poa trivialis subsp. trivialis L., 1753")</f>
        <v>Poa trivialis subsp. trivialis L., 1753</v>
      </c>
      <c r="F21993" s="5" t="s">
        <v>26182</v>
      </c>
      <c r="Q21993" s="7" t="str">
        <f>HYPERLINK("#Liste_rouge!A"&amp;_xlfn.XMATCH("LC",Liste_rouge!A:A,2,1),"LC")</f>
        <v>LC</v>
      </c>
      <c r="T21993" s="7" t="str">
        <f>HYPERLINK("#Liste_rouge!A"&amp;_xlfn.XMATCH("DD",Liste_rouge!A:A,2,1),"DD")</f>
        <v>DD</v>
      </c>
      <c r="AH21993" s="4" t="str">
        <f>HYPERLINK("#Statut_biogéographique!A"&amp;_xlfn.XMATCH("P",Statut_biogéographique!A:A,2,1),"P")</f>
        <v>P</v>
      </c>
      <c r="AP21993" s="4" t="s">
        <v>376</v>
      </c>
      <c r="AR21993" s="4" t="s">
        <v>377</v>
      </c>
    </row>
    <row r="21994" spans="1:44" ht="30">
      <c r="A21994" s="4" t="s">
        <v>24364</v>
      </c>
      <c r="B21994" s="4">
        <v>139033</v>
      </c>
      <c r="D21994" s="5" t="s">
        <v>28702</v>
      </c>
      <c r="E21994" s="6" t="str">
        <f>HYPERLINK("https://inpn.mnhn.fr/espece/cd_nom/139033","Polycarpon tetraphyllum subsp. tetraphyllum (L.) L., 1759")</f>
        <v>Polycarpon tetraphyllum subsp. tetraphyllum (L.) L., 1759</v>
      </c>
      <c r="F21994" s="5" t="s">
        <v>26188</v>
      </c>
      <c r="Q21994" s="7" t="str">
        <f>HYPERLINK("#Liste_rouge!A"&amp;_xlfn.XMATCH("LC",Liste_rouge!A:A,2,1),"LC")</f>
        <v>LC</v>
      </c>
      <c r="AH21994" s="4" t="str">
        <f>HYPERLINK("#Statut_biogéographique!A"&amp;_xlfn.XMATCH("P",Statut_biogéographique!A:A,2,1),"P")</f>
        <v>P</v>
      </c>
      <c r="AP21994" s="4" t="s">
        <v>376</v>
      </c>
      <c r="AR21994" s="4" t="s">
        <v>377</v>
      </c>
    </row>
    <row r="21995" spans="1:44" ht="30">
      <c r="A21995" s="4" t="s">
        <v>24364</v>
      </c>
      <c r="B21995" s="4">
        <v>139069</v>
      </c>
      <c r="D21995" s="5" t="s">
        <v>28703</v>
      </c>
      <c r="E21995" s="6" t="str">
        <f>HYPERLINK("https://inpn.mnhn.fr/espece/cd_nom/139069","Polygala vulgaris subsp. oxyptera (Rchb.) Schübl. &amp; G.Martens, 1834")</f>
        <v>Polygala vulgaris subsp. oxyptera (Rchb.) Schübl. &amp; G.Martens, 1834</v>
      </c>
      <c r="F21995" s="5" t="s">
        <v>28704</v>
      </c>
      <c r="AH21995" s="4" t="str">
        <f>HYPERLINK("#Statut_biogéographique!A"&amp;_xlfn.XMATCH("Q",Statut_biogéographique!A:A,2,1),"Q")</f>
        <v>Q</v>
      </c>
      <c r="AP21995" s="4" t="s">
        <v>376</v>
      </c>
      <c r="AR21995" s="4" t="s">
        <v>377</v>
      </c>
    </row>
    <row r="21996" spans="1:44" ht="75">
      <c r="A21996" s="4" t="s">
        <v>24364</v>
      </c>
      <c r="B21996" s="4">
        <v>139075</v>
      </c>
      <c r="D21996" s="5" t="s">
        <v>28705</v>
      </c>
      <c r="E21996" s="6" t="str">
        <f>HYPERLINK("https://inpn.mnhn.fr/espece/cd_nom/139075","Polygala vulgaris subsp. vulgaris L., 1753")</f>
        <v>Polygala vulgaris subsp. vulgaris L., 1753</v>
      </c>
      <c r="F21996" s="5" t="s">
        <v>26208</v>
      </c>
      <c r="T21996" s="7" t="str">
        <f>HYPERLINK("#Liste_rouge!A"&amp;_xlfn.XMATCH("LC",Liste_rouge!A:A,2,1),"LC")</f>
        <v>LC</v>
      </c>
      <c r="AH21996" s="4" t="str">
        <f>HYPERLINK("#Statut_biogéographique!A"&amp;_xlfn.XMATCH("P",Statut_biogéographique!A:A,2,1),"P")</f>
        <v>P</v>
      </c>
      <c r="AP21996" s="4" t="s">
        <v>376</v>
      </c>
      <c r="AR21996" s="4" t="s">
        <v>377</v>
      </c>
    </row>
    <row r="21997" spans="1:44" ht="105">
      <c r="A21997" s="4" t="s">
        <v>24364</v>
      </c>
      <c r="B21997" s="4">
        <v>139086</v>
      </c>
      <c r="D21997" s="5" t="s">
        <v>28706</v>
      </c>
      <c r="E21997" s="6" t="str">
        <f>HYPERLINK("https://inpn.mnhn.fr/espece/cd_nom/139086","Polygonum aviculare subsp. aviculare L., 1753")</f>
        <v>Polygonum aviculare subsp. aviculare L., 1753</v>
      </c>
      <c r="F21997" s="5" t="s">
        <v>26218</v>
      </c>
      <c r="Q21997" s="7" t="str">
        <f>HYPERLINK("#Liste_rouge!A"&amp;_xlfn.XMATCH("LC",Liste_rouge!A:A,2,1),"LC")</f>
        <v>LC</v>
      </c>
      <c r="T21997" s="7" t="str">
        <f>HYPERLINK("#Liste_rouge!A"&amp;_xlfn.XMATCH("LC",Liste_rouge!A:A,2,1),"LC")</f>
        <v>LC</v>
      </c>
      <c r="AH21997" s="4" t="str">
        <f>HYPERLINK("#Statut_biogéographique!A"&amp;_xlfn.XMATCH("P",Statut_biogéographique!A:A,2,1),"P")</f>
        <v>P</v>
      </c>
      <c r="AP21997" s="4" t="s">
        <v>376</v>
      </c>
      <c r="AR21997" s="4" t="s">
        <v>377</v>
      </c>
    </row>
    <row r="21998" spans="1:44" ht="60">
      <c r="A21998" s="4" t="s">
        <v>24364</v>
      </c>
      <c r="B21998" s="4">
        <v>139089</v>
      </c>
      <c r="D21998" s="5" t="s">
        <v>28707</v>
      </c>
      <c r="E21998" s="6" t="str">
        <f>HYPERLINK("https://inpn.mnhn.fr/espece/cd_nom/139089","Polygonum aviculare subsp. depressum (Meisn.) Arcang., 1882")</f>
        <v>Polygonum aviculare subsp. depressum (Meisn.) Arcang., 1882</v>
      </c>
      <c r="F21998" s="5" t="s">
        <v>28708</v>
      </c>
      <c r="Q21998" s="7" t="str">
        <f>HYPERLINK("#Liste_rouge!A"&amp;_xlfn.XMATCH("LC",Liste_rouge!A:A,2,1),"LC")</f>
        <v>LC</v>
      </c>
      <c r="T21998" s="7" t="str">
        <f>HYPERLINK("#Liste_rouge!A"&amp;_xlfn.XMATCH("DD",Liste_rouge!A:A,2,1),"DD")</f>
        <v>DD</v>
      </c>
      <c r="AH21998" s="4" t="str">
        <f>HYPERLINK("#Statut_biogéographique!A"&amp;_xlfn.XMATCH("P",Statut_biogéographique!A:A,2,1),"P")</f>
        <v>P</v>
      </c>
      <c r="AM21998" s="4" t="s">
        <v>375</v>
      </c>
      <c r="AN21998" s="4" t="s">
        <v>375</v>
      </c>
      <c r="AO21998" s="4" t="s">
        <v>375</v>
      </c>
      <c r="AP21998" s="4" t="s">
        <v>376</v>
      </c>
      <c r="AR21998" s="4" t="s">
        <v>377</v>
      </c>
    </row>
    <row r="21999" spans="1:44" ht="30">
      <c r="A21999" s="4" t="s">
        <v>24364</v>
      </c>
      <c r="B21999" s="4">
        <v>139103</v>
      </c>
      <c r="D21999" s="5" t="s">
        <v>28709</v>
      </c>
      <c r="E21999" s="6" t="str">
        <f>HYPERLINK("https://inpn.mnhn.fr/espece/cd_nom/139103","Polygonum aviculare subsp. rurivagum (Jord. ex Boreau) Berher, 1887")</f>
        <v>Polygonum aviculare subsp. rurivagum (Jord. ex Boreau) Berher, 1887</v>
      </c>
      <c r="F21999" s="5" t="s">
        <v>28710</v>
      </c>
      <c r="Q21999" s="7" t="str">
        <f>HYPERLINK("#Liste_rouge!A"&amp;_xlfn.XMATCH("LC",Liste_rouge!A:A,2,1),"LC")</f>
        <v>LC</v>
      </c>
      <c r="T21999" s="7" t="str">
        <f>HYPERLINK("#Liste_rouge!A"&amp;_xlfn.XMATCH("LC",Liste_rouge!A:A,2,1),"LC")</f>
        <v>LC</v>
      </c>
      <c r="AH21999" s="4" t="str">
        <f>HYPERLINK("#Statut_biogéographique!A"&amp;_xlfn.XMATCH("P",Statut_biogéographique!A:A,2,1),"P")</f>
        <v>P</v>
      </c>
      <c r="AM21999" s="4" t="s">
        <v>375</v>
      </c>
      <c r="AN21999" s="4" t="s">
        <v>375</v>
      </c>
      <c r="AO21999" s="4" t="s">
        <v>375</v>
      </c>
      <c r="AP21999" s="4" t="s">
        <v>376</v>
      </c>
      <c r="AR21999" s="4" t="s">
        <v>377</v>
      </c>
    </row>
    <row r="22000" spans="1:44" ht="30">
      <c r="A22000" s="4" t="s">
        <v>24364</v>
      </c>
      <c r="B22000" s="4">
        <v>139147</v>
      </c>
      <c r="D22000" s="5">
        <v>139147</v>
      </c>
      <c r="E22000" s="6" t="str">
        <f>HYPERLINK("https://inpn.mnhn.fr/espece/cd_nom/139147","Polypodium cambricum subsp. cambricum L., 1753")</f>
        <v>Polypodium cambricum subsp. cambricum L., 1753</v>
      </c>
      <c r="F22000" s="5" t="s">
        <v>26225</v>
      </c>
      <c r="AH22000" s="4" t="str">
        <f>HYPERLINK("#Statut_biogéographique!A"&amp;_xlfn.XMATCH("P",Statut_biogéographique!A:A,2,1),"P")</f>
        <v>P</v>
      </c>
      <c r="AP22000" s="4" t="s">
        <v>376</v>
      </c>
      <c r="AR22000" s="4" t="s">
        <v>377</v>
      </c>
    </row>
    <row r="22001" spans="1:44" ht="30">
      <c r="A22001" s="4" t="s">
        <v>24364</v>
      </c>
      <c r="B22001" s="4">
        <v>139169</v>
      </c>
      <c r="D22001" s="5" t="s">
        <v>28711</v>
      </c>
      <c r="E22001" s="6" t="str">
        <f>HYPERLINK("https://inpn.mnhn.fr/espece/cd_nom/139169","Populus nigra subsp. betulifolia (Pursh) W.Wettst., 1952")</f>
        <v>Populus nigra subsp. betulifolia (Pursh) W.Wettst., 1952</v>
      </c>
      <c r="F22001" s="5" t="s">
        <v>28712</v>
      </c>
      <c r="Q22001" s="7" t="str">
        <f>HYPERLINK("#Liste_rouge!A"&amp;_xlfn.XMATCH("LC",Liste_rouge!A:A,2,1),"LC")</f>
        <v>LC</v>
      </c>
      <c r="AH22001" s="4" t="str">
        <f>HYPERLINK("#Statut_biogéographique!A"&amp;_xlfn.XMATCH("P",Statut_biogéographique!A:A,2,1),"P")</f>
        <v>P</v>
      </c>
      <c r="AM22001" s="4" t="s">
        <v>375</v>
      </c>
      <c r="AN22001" s="4" t="s">
        <v>375</v>
      </c>
      <c r="AO22001" s="4" t="s">
        <v>375</v>
      </c>
      <c r="AP22001" s="4" t="s">
        <v>376</v>
      </c>
      <c r="AR22001" s="4" t="s">
        <v>377</v>
      </c>
    </row>
    <row r="22002" spans="1:44">
      <c r="A22002" s="4" t="s">
        <v>24364</v>
      </c>
      <c r="B22002" s="4">
        <v>139173</v>
      </c>
      <c r="D22002" s="5" t="s">
        <v>28713</v>
      </c>
      <c r="E22002" s="6" t="str">
        <f>HYPERLINK("https://inpn.mnhn.fr/espece/cd_nom/139173","Populus nigra subsp. nigra L., 1753")</f>
        <v>Populus nigra subsp. nigra L., 1753</v>
      </c>
      <c r="F22002" s="5" t="s">
        <v>28714</v>
      </c>
      <c r="Q22002" s="7" t="str">
        <f>HYPERLINK("#Liste_rouge!A"&amp;_xlfn.XMATCH("NA",Liste_rouge!A:A,2,1),"NA")</f>
        <v>NA</v>
      </c>
      <c r="AH22002" s="4" t="str">
        <f>HYPERLINK("#Statut_biogéographique!A"&amp;_xlfn.XMATCH("I",Statut_biogéographique!A:A,2,1),"I")</f>
        <v>I</v>
      </c>
      <c r="AM22002" s="4" t="s">
        <v>375</v>
      </c>
      <c r="AN22002" s="4" t="s">
        <v>375</v>
      </c>
      <c r="AO22002" s="4" t="s">
        <v>375</v>
      </c>
      <c r="AP22002" s="4" t="s">
        <v>376</v>
      </c>
      <c r="AR22002" s="4" t="s">
        <v>377</v>
      </c>
    </row>
    <row r="22003" spans="1:44" ht="30">
      <c r="A22003" s="4" t="s">
        <v>24364</v>
      </c>
      <c r="B22003" s="4">
        <v>139230</v>
      </c>
      <c r="D22003" s="5" t="s">
        <v>28715</v>
      </c>
      <c r="E22003" s="6" t="str">
        <f>HYPERLINK("https://inpn.mnhn.fr/espece/cd_nom/139230","Potentilla anglica subsp. anglica Laichard., 1790")</f>
        <v>Potentilla anglica subsp. anglica Laichard., 1790</v>
      </c>
      <c r="F22003" s="5" t="s">
        <v>26330</v>
      </c>
      <c r="Q22003" s="7" t="str">
        <f>HYPERLINK("#Liste_rouge!A"&amp;_xlfn.XMATCH("LC",Liste_rouge!A:A,2,1),"LC")</f>
        <v>LC</v>
      </c>
      <c r="T22003" s="7" t="str">
        <f>HYPERLINK("#Liste_rouge!A"&amp;_xlfn.XMATCH("NE",Liste_rouge!A:A,2,1),"NE")</f>
        <v>NE</v>
      </c>
      <c r="AH22003" s="4" t="str">
        <f>HYPERLINK("#Statut_biogéographique!A"&amp;_xlfn.XMATCH("P",Statut_biogéographique!A:A,2,1),"P")</f>
        <v>P</v>
      </c>
      <c r="AP22003" s="4" t="s">
        <v>376</v>
      </c>
      <c r="AR22003" s="4" t="s">
        <v>377</v>
      </c>
    </row>
    <row r="22004" spans="1:44">
      <c r="A22004" s="4" t="s">
        <v>24364</v>
      </c>
      <c r="B22004" s="4">
        <v>139249</v>
      </c>
      <c r="D22004" s="5">
        <v>139249</v>
      </c>
      <c r="E22004" s="6" t="str">
        <f>HYPERLINK("https://inpn.mnhn.fr/espece/cd_nom/139249","Potentilla aurea subsp. aurea L., 1756")</f>
        <v>Potentilla aurea subsp. aurea L., 1756</v>
      </c>
      <c r="F22004" s="5" t="s">
        <v>26334</v>
      </c>
      <c r="AH22004" s="4" t="str">
        <f>HYPERLINK("#Statut_biogéographique!A"&amp;_xlfn.XMATCH("P",Statut_biogéographique!A:A,2,1),"P")</f>
        <v>P</v>
      </c>
      <c r="AP22004" s="4" t="s">
        <v>376</v>
      </c>
      <c r="AR22004" s="4" t="s">
        <v>377</v>
      </c>
    </row>
    <row r="22005" spans="1:44" ht="45">
      <c r="A22005" s="4" t="s">
        <v>24364</v>
      </c>
      <c r="B22005" s="4">
        <v>139257</v>
      </c>
      <c r="D22005" s="5" t="s">
        <v>28716</v>
      </c>
      <c r="E22005" s="6" t="str">
        <f>HYPERLINK("https://inpn.mnhn.fr/espece/cd_nom/139257","Potentilla caulescens subsp. petiolulata (Gaudin) Nyman, 1878")</f>
        <v>Potentilla caulescens subsp. petiolulata (Gaudin) Nyman, 1878</v>
      </c>
      <c r="F22005" s="5" t="s">
        <v>28717</v>
      </c>
      <c r="M22005" s="4" t="str">
        <f>HYPERLINK("#Réglementation!A"&amp;_xlfn.XMATCH("RV43",Réglementation!A:A,2,1),"RV43")</f>
        <v>RV43</v>
      </c>
      <c r="Q22005" s="7" t="str">
        <f>HYPERLINK("#Liste_rouge!A"&amp;_xlfn.XMATCH("LC",Liste_rouge!A:A,2,1),"LC")</f>
        <v>LC</v>
      </c>
      <c r="X22005" s="5" t="s">
        <v>374</v>
      </c>
      <c r="AB22005" s="4" t="s">
        <v>93</v>
      </c>
      <c r="AH22005" s="4" t="str">
        <f>HYPERLINK("#Statut_biogéographique!A"&amp;_xlfn.XMATCH("P",Statut_biogéographique!A:A,2,1),"P")</f>
        <v>P</v>
      </c>
      <c r="AM22005" s="4" t="s">
        <v>375</v>
      </c>
      <c r="AN22005" s="4" t="s">
        <v>375</v>
      </c>
      <c r="AO22005" s="4" t="s">
        <v>375</v>
      </c>
      <c r="AP22005" s="4" t="s">
        <v>376</v>
      </c>
      <c r="AR22005" s="4" t="s">
        <v>377</v>
      </c>
    </row>
    <row r="22006" spans="1:44" ht="30">
      <c r="A22006" s="4" t="s">
        <v>24364</v>
      </c>
      <c r="B22006" s="4">
        <v>139364</v>
      </c>
      <c r="D22006" s="5" t="s">
        <v>28718</v>
      </c>
      <c r="E22006" s="6" t="str">
        <f>HYPERLINK("https://inpn.mnhn.fr/espece/cd_nom/139364","Primula elatior subsp. elatior (L.) Hill, 1765")</f>
        <v>Primula elatior subsp. elatior (L.) Hill, 1765</v>
      </c>
      <c r="F22006" s="5" t="s">
        <v>26385</v>
      </c>
      <c r="Q22006" s="7" t="str">
        <f>HYPERLINK("#Liste_rouge!A"&amp;_xlfn.XMATCH("LC",Liste_rouge!A:A,2,1),"LC")</f>
        <v>LC</v>
      </c>
      <c r="AH22006" s="4" t="str">
        <f>HYPERLINK("#Statut_biogéographique!A"&amp;_xlfn.XMATCH("P",Statut_biogéographique!A:A,2,1),"P")</f>
        <v>P</v>
      </c>
      <c r="AP22006" s="4" t="s">
        <v>376</v>
      </c>
      <c r="AR22006" s="4" t="s">
        <v>377</v>
      </c>
    </row>
    <row r="22007" spans="1:44" ht="30">
      <c r="A22007" s="4" t="s">
        <v>24364</v>
      </c>
      <c r="B22007" s="4">
        <v>139393</v>
      </c>
      <c r="D22007" s="5" t="s">
        <v>28719</v>
      </c>
      <c r="E22007" s="6" t="str">
        <f>HYPERLINK("https://inpn.mnhn.fr/espece/cd_nom/139393","Primula vulgaris subsp. rubra (Sm.) Arcang., 1882")</f>
        <v>Primula vulgaris subsp. rubra (Sm.) Arcang., 1882</v>
      </c>
      <c r="F22007" s="5" t="s">
        <v>28720</v>
      </c>
      <c r="Q22007" s="7" t="str">
        <f>HYPERLINK("#Liste_rouge!A"&amp;_xlfn.XMATCH("NA",Liste_rouge!A:A,2,1),"NA")</f>
        <v>NA</v>
      </c>
      <c r="T22007" s="7" t="str">
        <f>HYPERLINK("#Liste_rouge!A"&amp;_xlfn.XMATCH("NA",Liste_rouge!A:A,2,1),"NA")</f>
        <v>NA</v>
      </c>
      <c r="AH22007" s="4" t="str">
        <f>HYPERLINK("#Statut_biogéographique!A"&amp;_xlfn.XMATCH("M",Statut_biogéographique!A:A,2,1),"M")</f>
        <v>M</v>
      </c>
      <c r="AP22007" s="4" t="s">
        <v>376</v>
      </c>
      <c r="AR22007" s="4" t="s">
        <v>377</v>
      </c>
    </row>
    <row r="22008" spans="1:44" ht="45">
      <c r="A22008" s="4" t="s">
        <v>24364</v>
      </c>
      <c r="B22008" s="4">
        <v>139395</v>
      </c>
      <c r="D22008" s="5" t="s">
        <v>28721</v>
      </c>
      <c r="E22008" s="6" t="str">
        <f>HYPERLINK("https://inpn.mnhn.fr/espece/cd_nom/139395","Primula vulgaris subsp. vulgaris Huds., 1762")</f>
        <v>Primula vulgaris subsp. vulgaris Huds., 1762</v>
      </c>
      <c r="F22008" s="5" t="s">
        <v>26393</v>
      </c>
      <c r="Q22008" s="7" t="str">
        <f>HYPERLINK("#Liste_rouge!A"&amp;_xlfn.XMATCH("LC",Liste_rouge!A:A,2,1),"LC")</f>
        <v>LC</v>
      </c>
      <c r="T22008" s="7" t="str">
        <f>HYPERLINK("#Liste_rouge!A"&amp;_xlfn.XMATCH("LC",Liste_rouge!A:A,2,1),"LC")</f>
        <v>LC</v>
      </c>
      <c r="AH22008" s="4" t="str">
        <f>HYPERLINK("#Statut_biogéographique!A"&amp;_xlfn.XMATCH("P",Statut_biogéographique!A:A,2,1),"P")</f>
        <v>P</v>
      </c>
      <c r="AM22008" s="4" t="s">
        <v>375</v>
      </c>
      <c r="AN22008" s="4" t="s">
        <v>375</v>
      </c>
      <c r="AO22008" s="4" t="s">
        <v>375</v>
      </c>
      <c r="AP22008" s="4" t="s">
        <v>376</v>
      </c>
      <c r="AR22008" s="4" t="s">
        <v>377</v>
      </c>
    </row>
    <row r="22009" spans="1:44">
      <c r="A22009" s="4" t="s">
        <v>24364</v>
      </c>
      <c r="B22009" s="4">
        <v>139415</v>
      </c>
      <c r="D22009" s="5">
        <v>139415</v>
      </c>
      <c r="E22009" s="6" t="str">
        <f>HYPERLINK("https://inpn.mnhn.fr/espece/cd_nom/139415","Prunella vulgaris subsp. vulgaris L., 1753")</f>
        <v>Prunella vulgaris subsp. vulgaris L., 1753</v>
      </c>
      <c r="F22009" s="5" t="s">
        <v>28722</v>
      </c>
      <c r="AH22009" s="4" t="str">
        <f>HYPERLINK("#Statut_biogéographique!A"&amp;_xlfn.XMATCH("P",Statut_biogéographique!A:A,2,1),"P")</f>
        <v>P</v>
      </c>
      <c r="AM22009" s="4" t="s">
        <v>375</v>
      </c>
      <c r="AN22009" s="4" t="s">
        <v>375</v>
      </c>
      <c r="AO22009" s="4" t="s">
        <v>375</v>
      </c>
      <c r="AP22009" s="4" t="s">
        <v>376</v>
      </c>
      <c r="AR22009" s="4" t="s">
        <v>377</v>
      </c>
    </row>
    <row r="22010" spans="1:44" ht="30">
      <c r="A22010" s="4" t="s">
        <v>24364</v>
      </c>
      <c r="B22010" s="4">
        <v>139444</v>
      </c>
      <c r="D22010" s="5">
        <v>139444</v>
      </c>
      <c r="E22010" s="6" t="str">
        <f>HYPERLINK("https://inpn.mnhn.fr/espece/cd_nom/139444","Prunus padus var. padus L., 1753")</f>
        <v>Prunus padus var. padus L., 1753</v>
      </c>
      <c r="F22010" s="5" t="s">
        <v>26431</v>
      </c>
      <c r="M22010" s="4" t="str">
        <f>HYPERLINK("#Réglementation!A"&amp;_xlfn.XMATCH("RV26",Réglementation!A:A,2,1),"RV26")</f>
        <v>RV26</v>
      </c>
      <c r="T22010" s="7" t="str">
        <f>HYPERLINK("#Liste_rouge!A"&amp;_xlfn.XMATCH("DD",Liste_rouge!A:A,2,1),"DD")</f>
        <v>DD</v>
      </c>
      <c r="AH22010" s="4" t="str">
        <f>HYPERLINK("#Statut_biogéographique!A"&amp;_xlfn.XMATCH("P",Statut_biogéographique!A:A,2,1),"P")</f>
        <v>P</v>
      </c>
      <c r="AP22010" s="4" t="s">
        <v>376</v>
      </c>
      <c r="AR22010" s="4" t="s">
        <v>377</v>
      </c>
    </row>
    <row r="22011" spans="1:44" ht="30">
      <c r="A22011" s="4" t="s">
        <v>24364</v>
      </c>
      <c r="B22011" s="4">
        <v>139458</v>
      </c>
      <c r="D22011" s="5">
        <v>139458</v>
      </c>
      <c r="E22011" s="6" t="str">
        <f>HYPERLINK("https://inpn.mnhn.fr/espece/cd_nom/139458","Pseudofumaria alba subsp. alba (Mill.) Lidén, 1986")</f>
        <v>Pseudofumaria alba subsp. alba (Mill.) Lidén, 1986</v>
      </c>
      <c r="F22011" s="5" t="s">
        <v>26443</v>
      </c>
      <c r="T22011" s="7" t="str">
        <f>HYPERLINK("#Liste_rouge!A"&amp;_xlfn.XMATCH("NA",Liste_rouge!A:A,2,1),"NA")</f>
        <v>NA</v>
      </c>
      <c r="AH22011" s="4" t="str">
        <f>HYPERLINK("#Statut_biogéographique!A"&amp;_xlfn.XMATCH("D",Statut_biogéographique!A:A,2,1),"D")</f>
        <v>D</v>
      </c>
      <c r="AM22011" s="4" t="s">
        <v>375</v>
      </c>
      <c r="AN22011" s="4" t="s">
        <v>375</v>
      </c>
      <c r="AO22011" s="4" t="s">
        <v>375</v>
      </c>
      <c r="AP22011" s="4" t="s">
        <v>376</v>
      </c>
      <c r="AR22011" s="4" t="s">
        <v>377</v>
      </c>
    </row>
    <row r="22012" spans="1:44" ht="30">
      <c r="A22012" s="4" t="s">
        <v>24364</v>
      </c>
      <c r="B22012" s="4">
        <v>139468</v>
      </c>
      <c r="D22012" s="5">
        <v>139468</v>
      </c>
      <c r="E22012" s="6" t="str">
        <f>HYPERLINK("https://inpn.mnhn.fr/espece/cd_nom/139468","Pteridium aquilinum subsp. aquilinum (L.) Kuhn, 1879")</f>
        <v>Pteridium aquilinum subsp. aquilinum (L.) Kuhn, 1879</v>
      </c>
      <c r="F22012" s="5" t="s">
        <v>28723</v>
      </c>
      <c r="AH22012" s="4" t="str">
        <f>HYPERLINK("#Statut_biogéographique!A"&amp;_xlfn.XMATCH("P",Statut_biogéographique!A:A,2,1),"P")</f>
        <v>P</v>
      </c>
      <c r="AM22012" s="4" t="s">
        <v>375</v>
      </c>
      <c r="AN22012" s="4" t="s">
        <v>375</v>
      </c>
      <c r="AO22012" s="4" t="s">
        <v>375</v>
      </c>
      <c r="AP22012" s="4" t="s">
        <v>376</v>
      </c>
      <c r="AR22012" s="4" t="s">
        <v>377</v>
      </c>
    </row>
    <row r="22013" spans="1:44" ht="30">
      <c r="A22013" s="4" t="s">
        <v>24364</v>
      </c>
      <c r="B22013" s="4">
        <v>139476</v>
      </c>
      <c r="D22013" s="5" t="s">
        <v>28724</v>
      </c>
      <c r="E22013" s="6" t="str">
        <f>HYPERLINK("https://inpn.mnhn.fr/espece/cd_nom/139476","Puccinellia distans subsp. distans (Jacq.) Parl., 1848")</f>
        <v>Puccinellia distans subsp. distans (Jacq.) Parl., 1848</v>
      </c>
      <c r="F22013" s="5" t="s">
        <v>28725</v>
      </c>
      <c r="Q22013" s="7" t="str">
        <f>HYPERLINK("#Liste_rouge!A"&amp;_xlfn.XMATCH("DD",Liste_rouge!A:A,2,1),"DD")</f>
        <v>DD</v>
      </c>
      <c r="AH22013" s="4" t="str">
        <f>HYPERLINK("#Statut_biogéographique!A"&amp;_xlfn.XMATCH("P",Statut_biogéographique!A:A,2,1),"P")</f>
        <v>P</v>
      </c>
      <c r="AM22013" s="4" t="s">
        <v>375</v>
      </c>
      <c r="AN22013" s="4" t="s">
        <v>375</v>
      </c>
      <c r="AO22013" s="4" t="s">
        <v>375</v>
      </c>
      <c r="AP22013" s="4" t="s">
        <v>376</v>
      </c>
      <c r="AR22013" s="4" t="s">
        <v>377</v>
      </c>
    </row>
    <row r="22014" spans="1:44" ht="30">
      <c r="A22014" s="4" t="s">
        <v>24364</v>
      </c>
      <c r="B22014" s="4">
        <v>139495</v>
      </c>
      <c r="D22014" s="5">
        <v>139495</v>
      </c>
      <c r="E22014" s="6" t="str">
        <f>HYPERLINK("https://inpn.mnhn.fr/espece/cd_nom/139495","Pulmonaria longifolia subsp. longifolia (Bastard) Boreau, 1857")</f>
        <v>Pulmonaria longifolia subsp. longifolia (Bastard) Boreau, 1857</v>
      </c>
      <c r="F22014" s="5" t="s">
        <v>26467</v>
      </c>
      <c r="Q22014" s="7" t="str">
        <f>HYPERLINK("#Liste_rouge!A"&amp;_xlfn.XMATCH("LC",Liste_rouge!A:A,2,1),"LC")</f>
        <v>LC</v>
      </c>
      <c r="T22014" s="7" t="str">
        <f>HYPERLINK("#Liste_rouge!A"&amp;_xlfn.XMATCH("DD",Liste_rouge!A:A,2,1),"DD")</f>
        <v>DD</v>
      </c>
      <c r="AH22014" s="4" t="str">
        <f>HYPERLINK("#Statut_biogéographique!A"&amp;_xlfn.XMATCH("P",Statut_biogéographique!A:A,2,1),"P")</f>
        <v>P</v>
      </c>
      <c r="AM22014" s="4" t="s">
        <v>375</v>
      </c>
      <c r="AN22014" s="4" t="s">
        <v>375</v>
      </c>
      <c r="AO22014" s="4" t="s">
        <v>375</v>
      </c>
      <c r="AP22014" s="4" t="s">
        <v>376</v>
      </c>
      <c r="AR22014" s="4" t="s">
        <v>377</v>
      </c>
    </row>
    <row r="22015" spans="1:44" ht="30">
      <c r="A22015" s="4" t="s">
        <v>24364</v>
      </c>
      <c r="B22015" s="4">
        <v>139498</v>
      </c>
      <c r="D22015" s="5" t="s">
        <v>28726</v>
      </c>
      <c r="E22015" s="6" t="str">
        <f>HYPERLINK("https://inpn.mnhn.fr/espece/cd_nom/139498","Pulmonaria montana subsp. jurana (Graber) W.Sauer, 1974")</f>
        <v>Pulmonaria montana subsp. jurana (Graber) W.Sauer, 1974</v>
      </c>
      <c r="F22015" s="5" t="s">
        <v>28727</v>
      </c>
      <c r="Q22015" s="7" t="str">
        <f>HYPERLINK("#Liste_rouge!A"&amp;_xlfn.XMATCH("DD",Liste_rouge!A:A,2,1),"DD")</f>
        <v>DD</v>
      </c>
      <c r="X22015" s="5" t="s">
        <v>374</v>
      </c>
      <c r="AB22015" s="4" t="s">
        <v>93</v>
      </c>
      <c r="AH22015" s="4" t="str">
        <f>HYPERLINK("#Statut_biogéographique!A"&amp;_xlfn.XMATCH("P",Statut_biogéographique!A:A,2,1),"P")</f>
        <v>P</v>
      </c>
      <c r="AM22015" s="4" t="s">
        <v>375</v>
      </c>
      <c r="AN22015" s="4" t="s">
        <v>375</v>
      </c>
      <c r="AO22015" s="4" t="s">
        <v>375</v>
      </c>
      <c r="AP22015" s="4" t="s">
        <v>376</v>
      </c>
      <c r="AR22015" s="4" t="s">
        <v>377</v>
      </c>
    </row>
    <row r="22016" spans="1:44" ht="30">
      <c r="A22016" s="4" t="s">
        <v>24364</v>
      </c>
      <c r="B22016" s="4">
        <v>139500</v>
      </c>
      <c r="D22016" s="5">
        <v>139500</v>
      </c>
      <c r="E22016" s="6" t="str">
        <f>HYPERLINK("https://inpn.mnhn.fr/espece/cd_nom/139500","Pulmonaria montana subsp. montana Lej., 1811")</f>
        <v>Pulmonaria montana subsp. montana Lej., 1811</v>
      </c>
      <c r="F22016" s="5" t="s">
        <v>26469</v>
      </c>
      <c r="Q22016" s="7" t="str">
        <f>HYPERLINK("#Liste_rouge!A"&amp;_xlfn.XMATCH("LC",Liste_rouge!A:A,2,1),"LC")</f>
        <v>LC</v>
      </c>
      <c r="T22016" s="7" t="str">
        <f>HYPERLINK("#Liste_rouge!A"&amp;_xlfn.XMATCH("DD",Liste_rouge!A:A,2,1),"DD")</f>
        <v>DD</v>
      </c>
      <c r="AH22016" s="4" t="str">
        <f>HYPERLINK("#Statut_biogéographique!A"&amp;_xlfn.XMATCH("P",Statut_biogéographique!A:A,2,1),"P")</f>
        <v>P</v>
      </c>
      <c r="AM22016" s="4" t="s">
        <v>375</v>
      </c>
      <c r="AN22016" s="4" t="s">
        <v>375</v>
      </c>
      <c r="AO22016" s="4" t="s">
        <v>375</v>
      </c>
      <c r="AP22016" s="4" t="s">
        <v>376</v>
      </c>
      <c r="AR22016" s="4" t="s">
        <v>377</v>
      </c>
    </row>
    <row r="22017" spans="1:44" ht="60">
      <c r="A22017" s="4" t="s">
        <v>24364</v>
      </c>
      <c r="B22017" s="4">
        <v>139512</v>
      </c>
      <c r="D22017" s="5" t="s">
        <v>28728</v>
      </c>
      <c r="E22017" s="6" t="str">
        <f>HYPERLINK("https://inpn.mnhn.fr/espece/cd_nom/139512","Pulsatilla alpina subsp. alpina (L.) Delarbre, 1800")</f>
        <v>Pulsatilla alpina subsp. alpina (L.) Delarbre, 1800</v>
      </c>
      <c r="F22017" s="5" t="s">
        <v>28729</v>
      </c>
      <c r="M22017" s="4" t="str">
        <f>HYPERLINK("#Réglementation!A"&amp;_xlfn.XMATCH("RV43",Réglementation!A:A,2,1),"RV43")</f>
        <v>RV43</v>
      </c>
      <c r="Q22017" s="7" t="str">
        <f>HYPERLINK("#Liste_rouge!A"&amp;_xlfn.XMATCH("LC",Liste_rouge!A:A,2,1),"LC")</f>
        <v>LC</v>
      </c>
      <c r="AH22017" s="4" t="str">
        <f>HYPERLINK("#Statut_biogéographique!A"&amp;_xlfn.XMATCH("P",Statut_biogéographique!A:A,2,1),"P")</f>
        <v>P</v>
      </c>
      <c r="AP22017" s="4" t="s">
        <v>376</v>
      </c>
      <c r="AR22017" s="4" t="s">
        <v>377</v>
      </c>
    </row>
    <row r="22018" spans="1:44" ht="30">
      <c r="A22018" s="4" t="s">
        <v>24364</v>
      </c>
      <c r="B22018" s="4">
        <v>139531</v>
      </c>
      <c r="D22018" s="5" t="s">
        <v>28730</v>
      </c>
      <c r="E22018" s="6" t="str">
        <f>HYPERLINK("https://inpn.mnhn.fr/espece/cd_nom/139531","Pyrola rotundifolia subsp. rotundifolia L., 1753")</f>
        <v>Pyrola rotundifolia subsp. rotundifolia L., 1753</v>
      </c>
      <c r="F22018" s="5" t="s">
        <v>26491</v>
      </c>
      <c r="T22018" s="7" t="str">
        <f>HYPERLINK("#Liste_rouge!A"&amp;_xlfn.XMATCH("DD",Liste_rouge!A:A,2,1),"DD")</f>
        <v>DD</v>
      </c>
      <c r="AH22018" s="4" t="str">
        <f>HYPERLINK("#Statut_biogéographique!A"&amp;_xlfn.XMATCH("P",Statut_biogéographique!A:A,2,1),"P")</f>
        <v>P</v>
      </c>
      <c r="AP22018" s="4" t="s">
        <v>376</v>
      </c>
      <c r="AR22018" s="4" t="s">
        <v>377</v>
      </c>
    </row>
    <row r="22019" spans="1:44" ht="60">
      <c r="A22019" s="4" t="s">
        <v>24364</v>
      </c>
      <c r="B22019" s="4">
        <v>139545</v>
      </c>
      <c r="D22019" s="5" t="s">
        <v>28731</v>
      </c>
      <c r="E22019" s="6" t="str">
        <f>HYPERLINK("https://inpn.mnhn.fr/espece/cd_nom/139545","Pyrus communis subsp. pyraster (L.) Ehrh., 1780")</f>
        <v>Pyrus communis subsp. pyraster (L.) Ehrh., 1780</v>
      </c>
      <c r="F22019" s="5" t="s">
        <v>28732</v>
      </c>
      <c r="Q22019" s="7" t="str">
        <f>HYPERLINK("#Liste_rouge!A"&amp;_xlfn.XMATCH("LC",Liste_rouge!A:A,2,1),"LC")</f>
        <v>LC</v>
      </c>
      <c r="T22019" s="7" t="str">
        <f>HYPERLINK("#Liste_rouge!A"&amp;_xlfn.XMATCH("LC",Liste_rouge!A:A,2,1),"LC")</f>
        <v>LC</v>
      </c>
      <c r="AH22019" s="4" t="str">
        <f>HYPERLINK("#Statut_biogéographique!A"&amp;_xlfn.XMATCH("P",Statut_biogéographique!A:A,2,1),"P")</f>
        <v>P</v>
      </c>
      <c r="AM22019" s="4" t="s">
        <v>375</v>
      </c>
      <c r="AN22019" s="4" t="s">
        <v>375</v>
      </c>
      <c r="AO22019" s="4" t="s">
        <v>375</v>
      </c>
      <c r="AP22019" s="4" t="s">
        <v>376</v>
      </c>
      <c r="AR22019" s="4" t="s">
        <v>377</v>
      </c>
    </row>
    <row r="22020" spans="1:44" ht="60">
      <c r="A22020" s="4" t="s">
        <v>24364</v>
      </c>
      <c r="B22020" s="4">
        <v>139584</v>
      </c>
      <c r="D22020" s="5" t="s">
        <v>28733</v>
      </c>
      <c r="E22020" s="6" t="str">
        <f>HYPERLINK("https://inpn.mnhn.fr/espece/cd_nom/139584","Quercus petraea subsp. petraea (Matt.) Liebl., 1784")</f>
        <v>Quercus petraea subsp. petraea (Matt.) Liebl., 1784</v>
      </c>
      <c r="F22020" s="5" t="s">
        <v>28734</v>
      </c>
      <c r="T22020" s="7" t="str">
        <f>HYPERLINK("#Liste_rouge!A"&amp;_xlfn.XMATCH("DD",Liste_rouge!A:A,2,1),"DD")</f>
        <v>DD</v>
      </c>
      <c r="AH22020" s="4" t="str">
        <f>HYPERLINK("#Statut_biogéographique!A"&amp;_xlfn.XMATCH("P",Statut_biogéographique!A:A,2,1),"P")</f>
        <v>P</v>
      </c>
      <c r="AP22020" s="4" t="s">
        <v>376</v>
      </c>
      <c r="AR22020" s="4" t="s">
        <v>377</v>
      </c>
    </row>
    <row r="22021" spans="1:44">
      <c r="A22021" s="4" t="s">
        <v>24364</v>
      </c>
      <c r="B22021" s="4">
        <v>139605</v>
      </c>
      <c r="D22021" s="5">
        <v>139605</v>
      </c>
      <c r="E22021" s="6" t="str">
        <f>HYPERLINK("https://inpn.mnhn.fr/espece/cd_nom/139605","Ranunculus acris subsp. acris L., 1753")</f>
        <v>Ranunculus acris subsp. acris L., 1753</v>
      </c>
      <c r="F22021" s="5" t="s">
        <v>26520</v>
      </c>
      <c r="Q22021" s="7" t="str">
        <f>HYPERLINK("#Liste_rouge!A"&amp;_xlfn.XMATCH("LC",Liste_rouge!A:A,2,1),"LC")</f>
        <v>LC</v>
      </c>
      <c r="T22021" s="7" t="str">
        <f>HYPERLINK("#Liste_rouge!A"&amp;_xlfn.XMATCH("DD",Liste_rouge!A:A,2,1),"DD")</f>
        <v>DD</v>
      </c>
      <c r="AH22021" s="4" t="str">
        <f>HYPERLINK("#Statut_biogéographique!A"&amp;_xlfn.XMATCH("P",Statut_biogéographique!A:A,2,1),"P")</f>
        <v>P</v>
      </c>
      <c r="AM22021" s="4" t="s">
        <v>375</v>
      </c>
      <c r="AN22021" s="4" t="s">
        <v>375</v>
      </c>
      <c r="AO22021" s="4" t="s">
        <v>375</v>
      </c>
      <c r="AP22021" s="4" t="s">
        <v>376</v>
      </c>
      <c r="AR22021" s="4" t="s">
        <v>377</v>
      </c>
    </row>
    <row r="22022" spans="1:44" ht="60">
      <c r="A22022" s="4" t="s">
        <v>24364</v>
      </c>
      <c r="B22022" s="4">
        <v>139608</v>
      </c>
      <c r="D22022" s="5" t="s">
        <v>28735</v>
      </c>
      <c r="E22022" s="6" t="str">
        <f>HYPERLINK("https://inpn.mnhn.fr/espece/cd_nom/139608","Ranunculus acris subsp. friesianus (Jord.) Syme, 1863")</f>
        <v>Ranunculus acris subsp. friesianus (Jord.) Syme, 1863</v>
      </c>
      <c r="F22022" s="5" t="s">
        <v>28736</v>
      </c>
      <c r="Q22022" s="7" t="str">
        <f>HYPERLINK("#Liste_rouge!A"&amp;_xlfn.XMATCH("LC",Liste_rouge!A:A,2,1),"LC")</f>
        <v>LC</v>
      </c>
      <c r="T22022" s="7" t="str">
        <f>HYPERLINK("#Liste_rouge!A"&amp;_xlfn.XMATCH("LC",Liste_rouge!A:A,2,1),"LC")</f>
        <v>LC</v>
      </c>
      <c r="AH22022" s="4" t="str">
        <f>HYPERLINK("#Statut_biogéographique!A"&amp;_xlfn.XMATCH("P",Statut_biogéographique!A:A,2,1),"P")</f>
        <v>P</v>
      </c>
      <c r="AP22022" s="4" t="s">
        <v>376</v>
      </c>
      <c r="AR22022" s="4" t="s">
        <v>377</v>
      </c>
    </row>
    <row r="22023" spans="1:44" ht="45">
      <c r="A22023" s="4" t="s">
        <v>24364</v>
      </c>
      <c r="B22023" s="4">
        <v>139706</v>
      </c>
      <c r="D22023" s="5" t="s">
        <v>28737</v>
      </c>
      <c r="E22023" s="6" t="str">
        <f>HYPERLINK("https://inpn.mnhn.fr/espece/cd_nom/139706","Ranunculus flammula var. flammula L., 1753")</f>
        <v>Ranunculus flammula var. flammula L., 1753</v>
      </c>
      <c r="F22023" s="5" t="s">
        <v>26539</v>
      </c>
      <c r="AH22023" s="4" t="str">
        <f>HYPERLINK("#Statut_biogéographique!A"&amp;_xlfn.XMATCH("P",Statut_biogéographique!A:A,2,1),"P")</f>
        <v>P</v>
      </c>
      <c r="AP22023" s="4" t="s">
        <v>376</v>
      </c>
      <c r="AR22023" s="4" t="s">
        <v>377</v>
      </c>
    </row>
    <row r="22024" spans="1:44" ht="60">
      <c r="A22024" s="4" t="s">
        <v>24364</v>
      </c>
      <c r="B22024" s="4">
        <v>139770</v>
      </c>
      <c r="D22024" s="5" t="s">
        <v>28738</v>
      </c>
      <c r="E22024" s="6" t="str">
        <f>HYPERLINK("https://inpn.mnhn.fr/espece/cd_nom/139770","Ranunculus peltatus subsp. baudotii (Godr.) Meikle ex C.D.K.Cook, 1984")</f>
        <v>Ranunculus peltatus subsp. baudotii (Godr.) Meikle ex C.D.K.Cook, 1984</v>
      </c>
      <c r="F22024" s="5" t="s">
        <v>28739</v>
      </c>
      <c r="O22024" s="7" t="str">
        <f>HYPERLINK("#Liste_rouge!A"&amp;_xlfn.XMATCH("LC",Liste_rouge!A:A,2,1),"LC")</f>
        <v>LC</v>
      </c>
      <c r="P22024" s="7" t="str">
        <f>HYPERLINK("#Liste_rouge!A"&amp;_xlfn.XMATCH("LC",Liste_rouge!A:A,2,1),"LC")</f>
        <v>LC</v>
      </c>
      <c r="Q22024" s="7" t="str">
        <f>HYPERLINK("#Liste_rouge!A"&amp;_xlfn.XMATCH("LC",Liste_rouge!A:A,2,1),"LC")</f>
        <v>LC</v>
      </c>
      <c r="T22024" s="7" t="str">
        <f>HYPERLINK("#Liste_rouge!A"&amp;_xlfn.XMATCH("CR",Liste_rouge!A:A,2,1),"CR")</f>
        <v>CR</v>
      </c>
      <c r="U22024" s="4" t="str">
        <f>HYPERLINK("#Critères_liste_rouge!A$1","B1 B2ab(ii,iii,iv) C2a(i) D1")</f>
        <v>B1 B2ab(ii,iii,iv) C2a(i) D1</v>
      </c>
      <c r="X22024" s="5" t="s">
        <v>374</v>
      </c>
      <c r="AB22024" s="4" t="s">
        <v>93</v>
      </c>
      <c r="AH22024" s="4" t="str">
        <f>HYPERLINK("#Statut_biogéographique!A"&amp;_xlfn.XMATCH("P",Statut_biogéographique!A:A,2,1),"P")</f>
        <v>P</v>
      </c>
      <c r="AM22024" s="4" t="s">
        <v>375</v>
      </c>
      <c r="AN22024" s="4" t="s">
        <v>375</v>
      </c>
      <c r="AO22024" s="4" t="s">
        <v>375</v>
      </c>
      <c r="AP22024" s="4" t="s">
        <v>376</v>
      </c>
      <c r="AR22024" s="4" t="s">
        <v>377</v>
      </c>
    </row>
    <row r="22025" spans="1:44" ht="45">
      <c r="A22025" s="4" t="s">
        <v>24364</v>
      </c>
      <c r="B22025" s="4">
        <v>139771</v>
      </c>
      <c r="D22025" s="5" t="s">
        <v>28740</v>
      </c>
      <c r="E22025" s="6" t="str">
        <f>HYPERLINK("https://inpn.mnhn.fr/espece/cd_nom/139771","Ranunculus peltatus subsp. fucoides (Freyn) Muñoz Garm., 1985")</f>
        <v>Ranunculus peltatus subsp. fucoides (Freyn) Muñoz Garm., 1985</v>
      </c>
      <c r="F22025" s="5" t="s">
        <v>28741</v>
      </c>
      <c r="O22025" s="7" t="str">
        <f>HYPERLINK("#Liste_rouge!A"&amp;_xlfn.XMATCH("LC",Liste_rouge!A:A,2,1),"LC")</f>
        <v>LC</v>
      </c>
      <c r="P22025" s="7" t="str">
        <f>HYPERLINK("#Liste_rouge!A"&amp;_xlfn.XMATCH("LC",Liste_rouge!A:A,2,1),"LC")</f>
        <v>LC</v>
      </c>
      <c r="Q22025" s="7" t="str">
        <f>HYPERLINK("#Liste_rouge!A"&amp;_xlfn.XMATCH("DD",Liste_rouge!A:A,2,1),"DD")</f>
        <v>DD</v>
      </c>
      <c r="AH22025" s="4" t="str">
        <f>HYPERLINK("#Statut_biogéographique!A"&amp;_xlfn.XMATCH("P",Statut_biogéographique!A:A,2,1),"P")</f>
        <v>P</v>
      </c>
      <c r="AP22025" s="4" t="s">
        <v>376</v>
      </c>
      <c r="AR22025" s="4" t="s">
        <v>377</v>
      </c>
    </row>
    <row r="22026" spans="1:44" ht="90">
      <c r="A22026" s="4" t="s">
        <v>24364</v>
      </c>
      <c r="B22026" s="4">
        <v>139772</v>
      </c>
      <c r="D22026" s="5" t="s">
        <v>28742</v>
      </c>
      <c r="E22026" s="6" t="str">
        <f>HYPERLINK("https://inpn.mnhn.fr/espece/cd_nom/139772","Ranunculus peltatus subsp. peltatus Schrank, 1789")</f>
        <v>Ranunculus peltatus subsp. peltatus Schrank, 1789</v>
      </c>
      <c r="F22026" s="5" t="s">
        <v>26563</v>
      </c>
      <c r="Q22026" s="7" t="str">
        <f>HYPERLINK("#Liste_rouge!A"&amp;_xlfn.XMATCH("LC",Liste_rouge!A:A,2,1),"LC")</f>
        <v>LC</v>
      </c>
      <c r="T22026" s="7" t="str">
        <f>HYPERLINK("#Liste_rouge!A"&amp;_xlfn.XMATCH("DD",Liste_rouge!A:A,2,1),"DD")</f>
        <v>DD</v>
      </c>
      <c r="AH22026" s="4" t="str">
        <f>HYPERLINK("#Statut_biogéographique!A"&amp;_xlfn.XMATCH("P",Statut_biogéographique!A:A,2,1),"P")</f>
        <v>P</v>
      </c>
      <c r="AM22026" s="4" t="s">
        <v>375</v>
      </c>
      <c r="AN22026" s="4" t="s">
        <v>375</v>
      </c>
      <c r="AO22026" s="4" t="s">
        <v>375</v>
      </c>
      <c r="AP22026" s="4" t="s">
        <v>376</v>
      </c>
      <c r="AR22026" s="4" t="s">
        <v>377</v>
      </c>
    </row>
    <row r="22027" spans="1:44" ht="30">
      <c r="A22027" s="4" t="s">
        <v>24364</v>
      </c>
      <c r="B22027" s="4">
        <v>139775</v>
      </c>
      <c r="D22027" s="5" t="s">
        <v>28743</v>
      </c>
      <c r="E22027" s="6" t="str">
        <f>HYPERLINK("https://inpn.mnhn.fr/espece/cd_nom/139775","Ranunculus penicillatus subsp. penicillatus (Dumort.) Bab., 1874")</f>
        <v>Ranunculus penicillatus subsp. penicillatus (Dumort.) Bab., 1874</v>
      </c>
      <c r="F22027" s="5" t="s">
        <v>26565</v>
      </c>
      <c r="Q22027" s="7" t="str">
        <f>HYPERLINK("#Liste_rouge!A"&amp;_xlfn.XMATCH("LC",Liste_rouge!A:A,2,1),"LC")</f>
        <v>LC</v>
      </c>
      <c r="T22027" s="7" t="str">
        <f>HYPERLINK("#Liste_rouge!A"&amp;_xlfn.XMATCH("DD",Liste_rouge!A:A,2,1),"DD")</f>
        <v>DD</v>
      </c>
      <c r="AH22027" s="4" t="str">
        <f>HYPERLINK("#Statut_biogéographique!A"&amp;_xlfn.XMATCH("P",Statut_biogéographique!A:A,2,1),"P")</f>
        <v>P</v>
      </c>
      <c r="AM22027" s="4" t="s">
        <v>375</v>
      </c>
      <c r="AN22027" s="4" t="s">
        <v>375</v>
      </c>
      <c r="AO22027" s="4" t="s">
        <v>375</v>
      </c>
      <c r="AP22027" s="4" t="s">
        <v>376</v>
      </c>
      <c r="AR22027" s="4" t="s">
        <v>377</v>
      </c>
    </row>
    <row r="22028" spans="1:44" ht="45">
      <c r="A22028" s="4" t="s">
        <v>24364</v>
      </c>
      <c r="B22028" s="4">
        <v>139776</v>
      </c>
      <c r="D22028" s="5" t="s">
        <v>28744</v>
      </c>
      <c r="E22028" s="6" t="str">
        <f>HYPERLINK("https://inpn.mnhn.fr/espece/cd_nom/139776","Ranunculus penicillatus subsp. pseudofluitans (Syme) S.D.Webster, 1988")</f>
        <v>Ranunculus penicillatus subsp. pseudofluitans (Syme) S.D.Webster, 1988</v>
      </c>
      <c r="F22028" s="5" t="s">
        <v>28745</v>
      </c>
      <c r="Q22028" s="7" t="str">
        <f>HYPERLINK("#Liste_rouge!A"&amp;_xlfn.XMATCH("LC",Liste_rouge!A:A,2,1),"LC")</f>
        <v>LC</v>
      </c>
      <c r="T22028" s="7" t="str">
        <f>HYPERLINK("#Liste_rouge!A"&amp;_xlfn.XMATCH("NT",Liste_rouge!A:A,2,1),"NT")</f>
        <v>NT</v>
      </c>
      <c r="U22028" s="4" t="str">
        <f>HYPERLINK("#Critères_liste_rouge!A$1","pr. D2")</f>
        <v>pr. D2</v>
      </c>
      <c r="AB22028" s="4" t="s">
        <v>24803</v>
      </c>
      <c r="AH22028" s="4" t="str">
        <f>HYPERLINK("#Statut_biogéographique!A"&amp;_xlfn.XMATCH("P",Statut_biogéographique!A:A,2,1),"P")</f>
        <v>P</v>
      </c>
      <c r="AM22028" s="4" t="s">
        <v>375</v>
      </c>
      <c r="AN22028" s="4" t="s">
        <v>375</v>
      </c>
      <c r="AO22028" s="4" t="s">
        <v>375</v>
      </c>
      <c r="AP22028" s="4" t="s">
        <v>376</v>
      </c>
      <c r="AR22028" s="4" t="s">
        <v>377</v>
      </c>
    </row>
    <row r="22029" spans="1:44" ht="30">
      <c r="A22029" s="4" t="s">
        <v>24364</v>
      </c>
      <c r="B22029" s="4">
        <v>139802</v>
      </c>
      <c r="D22029" s="5" t="s">
        <v>28746</v>
      </c>
      <c r="E22029" s="6" t="str">
        <f>HYPERLINK("https://inpn.mnhn.fr/espece/cd_nom/139802","Ranunculus sceleratus subsp. sceleratus L., 1753")</f>
        <v>Ranunculus sceleratus subsp. sceleratus L., 1753</v>
      </c>
      <c r="F22029" s="5" t="s">
        <v>26575</v>
      </c>
      <c r="AH22029" s="4" t="str">
        <f>HYPERLINK("#Statut_biogéographique!A"&amp;_xlfn.XMATCH("P",Statut_biogéographique!A:A,2,1),"P")</f>
        <v>P</v>
      </c>
      <c r="AP22029" s="4" t="s">
        <v>376</v>
      </c>
      <c r="AR22029" s="4" t="s">
        <v>377</v>
      </c>
    </row>
    <row r="22030" spans="1:44" ht="45">
      <c r="A22030" s="4" t="s">
        <v>24364</v>
      </c>
      <c r="B22030" s="4">
        <v>139828</v>
      </c>
      <c r="D22030" s="5" t="s">
        <v>28747</v>
      </c>
      <c r="E22030" s="6" t="str">
        <f>HYPERLINK("https://inpn.mnhn.fr/espece/cd_nom/139828","Ranunculus trichophyllus subsp. trichophyllus Chaix, 1785")</f>
        <v>Ranunculus trichophyllus subsp. trichophyllus Chaix, 1785</v>
      </c>
      <c r="F22030" s="5" t="s">
        <v>26579</v>
      </c>
      <c r="Q22030" s="7" t="str">
        <f>HYPERLINK("#Liste_rouge!A"&amp;_xlfn.XMATCH("LC",Liste_rouge!A:A,2,1),"LC")</f>
        <v>LC</v>
      </c>
      <c r="T22030" s="7" t="str">
        <f>HYPERLINK("#Liste_rouge!A"&amp;_xlfn.XMATCH("DD",Liste_rouge!A:A,2,1),"DD")</f>
        <v>DD</v>
      </c>
      <c r="AH22030" s="4" t="str">
        <f>HYPERLINK("#Statut_biogéographique!A"&amp;_xlfn.XMATCH("P",Statut_biogéographique!A:A,2,1),"P")</f>
        <v>P</v>
      </c>
      <c r="AM22030" s="4" t="s">
        <v>375</v>
      </c>
      <c r="AN22030" s="4" t="s">
        <v>375</v>
      </c>
      <c r="AO22030" s="4" t="s">
        <v>375</v>
      </c>
      <c r="AP22030" s="4" t="s">
        <v>376</v>
      </c>
      <c r="AR22030" s="4" t="s">
        <v>377</v>
      </c>
    </row>
    <row r="22031" spans="1:44" ht="30">
      <c r="A22031" s="4" t="s">
        <v>24364</v>
      </c>
      <c r="B22031" s="4">
        <v>139841</v>
      </c>
      <c r="D22031" s="5" t="s">
        <v>28748</v>
      </c>
      <c r="E22031" s="6" t="str">
        <f>HYPERLINK("https://inpn.mnhn.fr/espece/cd_nom/139841","Raphanus raphanistrum subsp. raphanistrum L., 1753")</f>
        <v>Raphanus raphanistrum subsp. raphanistrum L., 1753</v>
      </c>
      <c r="F22031" s="5" t="s">
        <v>26583</v>
      </c>
      <c r="Q22031" s="7" t="str">
        <f>HYPERLINK("#Liste_rouge!A"&amp;_xlfn.XMATCH("LC",Liste_rouge!A:A,2,1),"LC")</f>
        <v>LC</v>
      </c>
      <c r="T22031" s="7" t="str">
        <f>HYPERLINK("#Liste_rouge!A"&amp;_xlfn.XMATCH("DD",Liste_rouge!A:A,2,1),"DD")</f>
        <v>DD</v>
      </c>
      <c r="AH22031" s="4" t="str">
        <f>HYPERLINK("#Statut_biogéographique!A"&amp;_xlfn.XMATCH("P",Statut_biogéographique!A:A,2,1),"P")</f>
        <v>P</v>
      </c>
      <c r="AM22031" s="4" t="s">
        <v>375</v>
      </c>
      <c r="AN22031" s="4" t="s">
        <v>375</v>
      </c>
      <c r="AO22031" s="4" t="s">
        <v>375</v>
      </c>
      <c r="AP22031" s="4" t="s">
        <v>376</v>
      </c>
      <c r="AR22031" s="4" t="s">
        <v>377</v>
      </c>
    </row>
    <row r="22032" spans="1:44" ht="75">
      <c r="A22032" s="4" t="s">
        <v>24364</v>
      </c>
      <c r="B22032" s="4">
        <v>139849</v>
      </c>
      <c r="D22032" s="5" t="s">
        <v>28749</v>
      </c>
      <c r="E22032" s="6" t="str">
        <f>HYPERLINK("https://inpn.mnhn.fr/espece/cd_nom/139849","Rapistrum rugosum subsp. orientale (L.) Arcang., 1882")</f>
        <v>Rapistrum rugosum subsp. orientale (L.) Arcang., 1882</v>
      </c>
      <c r="F22032" s="5" t="s">
        <v>28750</v>
      </c>
      <c r="Q22032" s="7" t="str">
        <f>HYPERLINK("#Liste_rouge!A"&amp;_xlfn.XMATCH("LC",Liste_rouge!A:A,2,1),"LC")</f>
        <v>LC</v>
      </c>
      <c r="T22032" s="7" t="str">
        <f>HYPERLINK("#Liste_rouge!A"&amp;_xlfn.XMATCH("NA",Liste_rouge!A:A,2,1),"NA")</f>
        <v>NA</v>
      </c>
      <c r="AH22032" s="4" t="str">
        <f>HYPERLINK("#Statut_biogéographique!A"&amp;_xlfn.XMATCH("P",Statut_biogéographique!A:A,2,1),"P")</f>
        <v>P</v>
      </c>
      <c r="AP22032" s="4" t="s">
        <v>376</v>
      </c>
      <c r="AR22032" s="4" t="s">
        <v>377</v>
      </c>
    </row>
    <row r="22033" spans="1:44" ht="45">
      <c r="A22033" s="4" t="s">
        <v>24364</v>
      </c>
      <c r="B22033" s="4">
        <v>139857</v>
      </c>
      <c r="D22033" s="5" t="s">
        <v>28751</v>
      </c>
      <c r="E22033" s="6" t="str">
        <f>HYPERLINK("https://inpn.mnhn.fr/espece/cd_nom/139857","Reseda lutea subsp. lutea L., 1753")</f>
        <v>Reseda lutea subsp. lutea L., 1753</v>
      </c>
      <c r="F22033" s="5" t="s">
        <v>28752</v>
      </c>
      <c r="AH22033" s="4" t="str">
        <f>HYPERLINK("#Statut_biogéographique!A"&amp;_xlfn.XMATCH("P",Statut_biogéographique!A:A,2,1),"P")</f>
        <v>P</v>
      </c>
      <c r="AP22033" s="4" t="s">
        <v>376</v>
      </c>
      <c r="AR22033" s="4" t="s">
        <v>377</v>
      </c>
    </row>
    <row r="22034" spans="1:44">
      <c r="A22034" s="4" t="s">
        <v>24364</v>
      </c>
      <c r="B22034" s="4">
        <v>139873</v>
      </c>
      <c r="D22034" s="5" t="s">
        <v>28753</v>
      </c>
      <c r="E22034" s="6" t="str">
        <f>HYPERLINK("https://inpn.mnhn.fr/espece/cd_nom/139873","Rhamnus alpina subsp. alpina L., 1753")</f>
        <v>Rhamnus alpina subsp. alpina L., 1753</v>
      </c>
      <c r="F22034" s="5" t="s">
        <v>26610</v>
      </c>
      <c r="AH22034" s="4" t="str">
        <f>HYPERLINK("#Statut_biogéographique!A"&amp;_xlfn.XMATCH("P",Statut_biogéographique!A:A,2,1),"P")</f>
        <v>P</v>
      </c>
      <c r="AP22034" s="4" t="s">
        <v>376</v>
      </c>
      <c r="AR22034" s="4" t="s">
        <v>377</v>
      </c>
    </row>
    <row r="22035" spans="1:44" ht="30">
      <c r="A22035" s="4" t="s">
        <v>24364</v>
      </c>
      <c r="B22035" s="4">
        <v>139914</v>
      </c>
      <c r="D22035" s="5">
        <v>139914</v>
      </c>
      <c r="E22035" s="6" t="str">
        <f>HYPERLINK("https://inpn.mnhn.fr/espece/cd_nom/139914","Rhinanthus glacialis subsp. glacialis Personnat, 1863")</f>
        <v>Rhinanthus glacialis subsp. glacialis Personnat, 1863</v>
      </c>
      <c r="F22035" s="5" t="s">
        <v>26624</v>
      </c>
      <c r="AH22035" s="4" t="str">
        <f>HYPERLINK("#Statut_biogéographique!A"&amp;_xlfn.XMATCH("P",Statut_biogéographique!A:A,2,1),"P")</f>
        <v>P</v>
      </c>
      <c r="AP22035" s="4" t="s">
        <v>376</v>
      </c>
      <c r="AR22035" s="4" t="s">
        <v>377</v>
      </c>
    </row>
    <row r="22036" spans="1:44" ht="30">
      <c r="A22036" s="4" t="s">
        <v>24364</v>
      </c>
      <c r="B22036" s="4">
        <v>139978</v>
      </c>
      <c r="D22036" s="5">
        <v>139978</v>
      </c>
      <c r="E22036" s="6" t="str">
        <f>HYPERLINK("https://inpn.mnhn.fr/espece/cd_nom/139978","Roemeria hybrida subsp. hybrida (L.) DC., 1821")</f>
        <v>Roemeria hybrida subsp. hybrida (L.) DC., 1821</v>
      </c>
      <c r="F22036" s="5" t="s">
        <v>26658</v>
      </c>
      <c r="T22036" s="7" t="str">
        <f>HYPERLINK("#Liste_rouge!A"&amp;_xlfn.XMATCH("NA",Liste_rouge!A:A,2,1),"NA")</f>
        <v>NA</v>
      </c>
      <c r="AH22036" s="4" t="str">
        <f>HYPERLINK("#Statut_biogéographique!A"&amp;_xlfn.XMATCH("P",Statut_biogéographique!A:A,2,1),"P")</f>
        <v>P</v>
      </c>
      <c r="AP22036" s="4" t="s">
        <v>376</v>
      </c>
      <c r="AR22036" s="4" t="s">
        <v>377</v>
      </c>
    </row>
    <row r="22037" spans="1:44" ht="30">
      <c r="A22037" s="4" t="s">
        <v>24364</v>
      </c>
      <c r="B22037" s="4">
        <v>140175</v>
      </c>
      <c r="D22037" s="5" t="s">
        <v>28754</v>
      </c>
      <c r="E22037" s="6" t="str">
        <f>HYPERLINK("https://inpn.mnhn.fr/espece/cd_nom/140175","Rubia peregrina subsp. peregrina L., 1753")</f>
        <v>Rubia peregrina subsp. peregrina L., 1753</v>
      </c>
      <c r="F22037" s="5" t="s">
        <v>26778</v>
      </c>
      <c r="Q22037" s="7" t="str">
        <f>HYPERLINK("#Liste_rouge!A"&amp;_xlfn.XMATCH("LC",Liste_rouge!A:A,2,1),"LC")</f>
        <v>LC</v>
      </c>
      <c r="AH22037" s="4" t="str">
        <f>HYPERLINK("#Statut_biogéographique!A"&amp;_xlfn.XMATCH("P",Statut_biogéographique!A:A,2,1),"P")</f>
        <v>P</v>
      </c>
      <c r="AP22037" s="4" t="s">
        <v>376</v>
      </c>
      <c r="AR22037" s="4" t="s">
        <v>377</v>
      </c>
    </row>
    <row r="22038" spans="1:44" ht="45">
      <c r="A22038" s="4" t="s">
        <v>24364</v>
      </c>
      <c r="B22038" s="4">
        <v>140321</v>
      </c>
      <c r="D22038" s="5" t="s">
        <v>28755</v>
      </c>
      <c r="E22038" s="6" t="str">
        <f>HYPERLINK("https://inpn.mnhn.fr/espece/cd_nom/140321","Rumex acetosa subsp. acetosa L., 1753")</f>
        <v>Rumex acetosa subsp. acetosa L., 1753</v>
      </c>
      <c r="F22038" s="5" t="s">
        <v>26958</v>
      </c>
      <c r="Q22038" s="7" t="str">
        <f>HYPERLINK("#Liste_rouge!A"&amp;_xlfn.XMATCH("LC",Liste_rouge!A:A,2,1),"LC")</f>
        <v>LC</v>
      </c>
      <c r="AH22038" s="4" t="str">
        <f>HYPERLINK("#Statut_biogéographique!A"&amp;_xlfn.XMATCH("P",Statut_biogéographique!A:A,2,1),"P")</f>
        <v>P</v>
      </c>
      <c r="AP22038" s="4" t="s">
        <v>376</v>
      </c>
      <c r="AR22038" s="4" t="s">
        <v>377</v>
      </c>
    </row>
    <row r="22039" spans="1:44" ht="45">
      <c r="A22039" s="4" t="s">
        <v>24364</v>
      </c>
      <c r="B22039" s="4">
        <v>140362</v>
      </c>
      <c r="D22039" s="5" t="s">
        <v>28756</v>
      </c>
      <c r="E22039" s="6" t="str">
        <f>HYPERLINK("https://inpn.mnhn.fr/espece/cd_nom/140362","Rumex crispus var. crispus L., 1753")</f>
        <v>Rumex crispus var. crispus L., 1753</v>
      </c>
      <c r="F22039" s="5" t="s">
        <v>28757</v>
      </c>
      <c r="AH22039" s="4" t="str">
        <f>HYPERLINK("#Statut_biogéographique!A"&amp;_xlfn.XMATCH("P",Statut_biogéographique!A:A,2,1),"P")</f>
        <v>P</v>
      </c>
      <c r="AP22039" s="4" t="s">
        <v>376</v>
      </c>
      <c r="AR22039" s="4" t="s">
        <v>377</v>
      </c>
    </row>
    <row r="22040" spans="1:44" ht="60">
      <c r="A22040" s="4" t="s">
        <v>24364</v>
      </c>
      <c r="B22040" s="4">
        <v>140371</v>
      </c>
      <c r="D22040" s="5" t="s">
        <v>28758</v>
      </c>
      <c r="E22040" s="6" t="str">
        <f>HYPERLINK("https://inpn.mnhn.fr/espece/cd_nom/140371","Rumex obtusifolius subsp. obtusifolius L., 1753")</f>
        <v>Rumex obtusifolius subsp. obtusifolius L., 1753</v>
      </c>
      <c r="F22040" s="5" t="s">
        <v>26978</v>
      </c>
      <c r="Q22040" s="7" t="str">
        <f>HYPERLINK("#Liste_rouge!A"&amp;_xlfn.XMATCH("LC",Liste_rouge!A:A,2,1),"LC")</f>
        <v>LC</v>
      </c>
      <c r="T22040" s="7" t="str">
        <f>HYPERLINK("#Liste_rouge!A"&amp;_xlfn.XMATCH("LC",Liste_rouge!A:A,2,1),"LC")</f>
        <v>LC</v>
      </c>
      <c r="AH22040" s="4" t="str">
        <f>HYPERLINK("#Statut_biogéographique!A"&amp;_xlfn.XMATCH("P",Statut_biogéographique!A:A,2,1),"P")</f>
        <v>P</v>
      </c>
      <c r="AM22040" s="4" t="s">
        <v>375</v>
      </c>
      <c r="AN22040" s="4" t="s">
        <v>375</v>
      </c>
      <c r="AO22040" s="4" t="s">
        <v>375</v>
      </c>
      <c r="AP22040" s="4" t="s">
        <v>376</v>
      </c>
      <c r="AR22040" s="4" t="s">
        <v>377</v>
      </c>
    </row>
    <row r="22041" spans="1:44" ht="30">
      <c r="A22041" s="4" t="s">
        <v>24364</v>
      </c>
      <c r="B22041" s="4">
        <v>140374</v>
      </c>
      <c r="D22041" s="5" t="s">
        <v>28759</v>
      </c>
      <c r="E22041" s="6" t="str">
        <f>HYPERLINK("https://inpn.mnhn.fr/espece/cd_nom/140374","Rumex obtusifolius subsp. transiens (Simonk.) Rech.f., 1932")</f>
        <v>Rumex obtusifolius subsp. transiens (Simonk.) Rech.f., 1932</v>
      </c>
      <c r="F22041" s="5" t="s">
        <v>28760</v>
      </c>
      <c r="Q22041" s="7" t="str">
        <f>HYPERLINK("#Liste_rouge!A"&amp;_xlfn.XMATCH("DD",Liste_rouge!A:A,2,1),"DD")</f>
        <v>DD</v>
      </c>
      <c r="AH22041" s="4" t="str">
        <f>HYPERLINK("#Statut_biogéographique!A"&amp;_xlfn.XMATCH("P",Statut_biogéographique!A:A,2,1),"P")</f>
        <v>P</v>
      </c>
      <c r="AM22041" s="4" t="s">
        <v>375</v>
      </c>
      <c r="AN22041" s="4" t="s">
        <v>375</v>
      </c>
      <c r="AO22041" s="4" t="s">
        <v>375</v>
      </c>
      <c r="AP22041" s="4" t="s">
        <v>376</v>
      </c>
      <c r="AR22041" s="4" t="s">
        <v>377</v>
      </c>
    </row>
    <row r="22042" spans="1:44" ht="30">
      <c r="A22042" s="4" t="s">
        <v>24364</v>
      </c>
      <c r="B22042" s="4">
        <v>140383</v>
      </c>
      <c r="D22042" s="5" t="s">
        <v>28761</v>
      </c>
      <c r="E22042" s="6" t="str">
        <f>HYPERLINK("https://inpn.mnhn.fr/espece/cd_nom/140383","Rumex pulcher subsp. pulcher L., 1753")</f>
        <v>Rumex pulcher subsp. pulcher L., 1753</v>
      </c>
      <c r="F22042" s="5" t="s">
        <v>26984</v>
      </c>
      <c r="Q22042" s="7" t="str">
        <f>HYPERLINK("#Liste_rouge!A"&amp;_xlfn.XMATCH("LC",Liste_rouge!A:A,2,1),"LC")</f>
        <v>LC</v>
      </c>
      <c r="AH22042" s="4" t="str">
        <f>HYPERLINK("#Statut_biogéographique!A"&amp;_xlfn.XMATCH("P",Statut_biogéographique!A:A,2,1),"P")</f>
        <v>P</v>
      </c>
      <c r="AP22042" s="4" t="s">
        <v>376</v>
      </c>
      <c r="AR22042" s="4" t="s">
        <v>377</v>
      </c>
    </row>
    <row r="22043" spans="1:44" ht="105">
      <c r="A22043" s="4" t="s">
        <v>24364</v>
      </c>
      <c r="B22043" s="4">
        <v>140410</v>
      </c>
      <c r="D22043" s="5" t="s">
        <v>28762</v>
      </c>
      <c r="E22043" s="6" t="str">
        <f>HYPERLINK("https://inpn.mnhn.fr/espece/cd_nom/140410","Sagina apetala subsp. apetala Ard., 1763")</f>
        <v>Sagina apetala subsp. apetala Ard., 1763</v>
      </c>
      <c r="F22043" s="5" t="s">
        <v>27015</v>
      </c>
      <c r="Q22043" s="7" t="str">
        <f>HYPERLINK("#Liste_rouge!A"&amp;_xlfn.XMATCH("LC",Liste_rouge!A:A,2,1),"LC")</f>
        <v>LC</v>
      </c>
      <c r="T22043" s="7" t="str">
        <f>HYPERLINK("#Liste_rouge!A"&amp;_xlfn.XMATCH("DD",Liste_rouge!A:A,2,1),"DD")</f>
        <v>DD</v>
      </c>
      <c r="AH22043" s="4" t="str">
        <f>HYPERLINK("#Statut_biogéographique!A"&amp;_xlfn.XMATCH("P",Statut_biogéographique!A:A,2,1),"P")</f>
        <v>P</v>
      </c>
      <c r="AM22043" s="4" t="s">
        <v>375</v>
      </c>
      <c r="AN22043" s="4" t="s">
        <v>375</v>
      </c>
      <c r="AO22043" s="4" t="s">
        <v>375</v>
      </c>
      <c r="AP22043" s="4" t="s">
        <v>376</v>
      </c>
      <c r="AR22043" s="4" t="s">
        <v>377</v>
      </c>
    </row>
    <row r="22044" spans="1:44" ht="30">
      <c r="A22044" s="4" t="s">
        <v>24364</v>
      </c>
      <c r="B22044" s="4">
        <v>140414</v>
      </c>
      <c r="D22044" s="5" t="s">
        <v>28763</v>
      </c>
      <c r="E22044" s="6" t="str">
        <f>HYPERLINK("https://inpn.mnhn.fr/espece/cd_nom/140414","Sagina apetala subsp. erecta (Hornem.) F.Herm., 1912")</f>
        <v>Sagina apetala subsp. erecta (Hornem.) F.Herm., 1912</v>
      </c>
      <c r="F22044" s="5" t="s">
        <v>28764</v>
      </c>
      <c r="Q22044" s="7" t="str">
        <f>HYPERLINK("#Liste_rouge!A"&amp;_xlfn.XMATCH("LC",Liste_rouge!A:A,2,1),"LC")</f>
        <v>LC</v>
      </c>
      <c r="T22044" s="7" t="str">
        <f>HYPERLINK("#Liste_rouge!A"&amp;_xlfn.XMATCH("DD",Liste_rouge!A:A,2,1),"DD")</f>
        <v>DD</v>
      </c>
      <c r="AH22044" s="4" t="str">
        <f>HYPERLINK("#Statut_biogéographique!A"&amp;_xlfn.XMATCH("P",Statut_biogéographique!A:A,2,1),"P")</f>
        <v>P</v>
      </c>
      <c r="AM22044" s="4" t="s">
        <v>375</v>
      </c>
      <c r="AN22044" s="4" t="s">
        <v>375</v>
      </c>
      <c r="AO22044" s="4" t="s">
        <v>375</v>
      </c>
      <c r="AP22044" s="4" t="s">
        <v>376</v>
      </c>
      <c r="AR22044" s="4" t="s">
        <v>377</v>
      </c>
    </row>
    <row r="22045" spans="1:44" ht="30">
      <c r="A22045" s="4" t="s">
        <v>24364</v>
      </c>
      <c r="B22045" s="4">
        <v>140478</v>
      </c>
      <c r="D22045" s="5" t="s">
        <v>28765</v>
      </c>
      <c r="E22045" s="6" t="str">
        <f>HYPERLINK("https://inpn.mnhn.fr/espece/cd_nom/140478","Salix repens subsp. repens L., 1753")</f>
        <v>Salix repens subsp. repens L., 1753</v>
      </c>
      <c r="F22045" s="5" t="s">
        <v>28766</v>
      </c>
      <c r="M22045" s="4" t="str">
        <f>HYPERLINK("#Réglementation!A"&amp;_xlfn.XMATCH("RV26",Réglementation!A:A,2,1),"RV26")</f>
        <v>RV26</v>
      </c>
      <c r="AH22045" s="4" t="str">
        <f>HYPERLINK("#Statut_biogéographique!A"&amp;_xlfn.XMATCH("P",Statut_biogéographique!A:A,2,1),"P")</f>
        <v>P</v>
      </c>
      <c r="AP22045" s="4" t="s">
        <v>376</v>
      </c>
      <c r="AR22045" s="4" t="s">
        <v>377</v>
      </c>
    </row>
    <row r="22046" spans="1:44" ht="30">
      <c r="A22046" s="4" t="s">
        <v>24364</v>
      </c>
      <c r="B22046" s="4">
        <v>140479</v>
      </c>
      <c r="D22046" s="5" t="s">
        <v>28767</v>
      </c>
      <c r="E22046" s="6" t="str">
        <f>HYPERLINK("https://inpn.mnhn.fr/espece/cd_nom/140479","Salix repens subsp. rosmarinifolia (L.) Čelak., 1871")</f>
        <v>Salix repens subsp. rosmarinifolia (L.) Čelak., 1871</v>
      </c>
      <c r="F22046" s="5" t="s">
        <v>28768</v>
      </c>
      <c r="AH22046" s="4" t="str">
        <f>HYPERLINK("#Statut_biogéographique!A"&amp;_xlfn.XMATCH("Q",Statut_biogéographique!A:A,2,1),"Q")</f>
        <v>Q</v>
      </c>
      <c r="AM22046" s="4" t="s">
        <v>375</v>
      </c>
      <c r="AN22046" s="4" t="s">
        <v>375</v>
      </c>
      <c r="AO22046" s="4" t="s">
        <v>375</v>
      </c>
      <c r="AP22046" s="4" t="s">
        <v>376</v>
      </c>
      <c r="AR22046" s="4" t="s">
        <v>377</v>
      </c>
    </row>
    <row r="22047" spans="1:44">
      <c r="A22047" s="4" t="s">
        <v>24364</v>
      </c>
      <c r="B22047" s="4">
        <v>140522</v>
      </c>
      <c r="D22047" s="5">
        <v>140522</v>
      </c>
      <c r="E22047" s="6" t="str">
        <f>HYPERLINK("https://inpn.mnhn.fr/espece/cd_nom/140522","Salvia pratensis subsp. pratensis L., 1753")</f>
        <v>Salvia pratensis subsp. pratensis L., 1753</v>
      </c>
      <c r="F22047" s="5" t="s">
        <v>27118</v>
      </c>
      <c r="AH22047" s="4" t="str">
        <f>HYPERLINK("#Statut_biogéographique!A"&amp;_xlfn.XMATCH("P",Statut_biogéographique!A:A,2,1),"P")</f>
        <v>P</v>
      </c>
      <c r="AP22047" s="4" t="s">
        <v>376</v>
      </c>
      <c r="AR22047" s="4" t="s">
        <v>377</v>
      </c>
    </row>
    <row r="22048" spans="1:44" ht="30">
      <c r="A22048" s="4" t="s">
        <v>24364</v>
      </c>
      <c r="B22048" s="4">
        <v>140527</v>
      </c>
      <c r="D22048" s="5" t="s">
        <v>28769</v>
      </c>
      <c r="E22048" s="6" t="str">
        <f>HYPERLINK("https://inpn.mnhn.fr/espece/cd_nom/140527","Salvia verbenaca subsp. clandestina (L.) Batt., 1890")</f>
        <v>Salvia verbenaca subsp. clandestina (L.) Batt., 1890</v>
      </c>
      <c r="F22048" s="5" t="s">
        <v>28770</v>
      </c>
      <c r="Q22048" s="7" t="str">
        <f>HYPERLINK("#Liste_rouge!A"&amp;_xlfn.XMATCH("DD",Liste_rouge!A:A,2,1),"DD")</f>
        <v>DD</v>
      </c>
      <c r="AH22048" s="4" t="str">
        <f>HYPERLINK("#Statut_biogéographique!A"&amp;_xlfn.XMATCH("P",Statut_biogéographique!A:A,2,1),"P")</f>
        <v>P</v>
      </c>
      <c r="AP22048" s="4" t="s">
        <v>376</v>
      </c>
      <c r="AR22048" s="4" t="s">
        <v>377</v>
      </c>
    </row>
    <row r="22049" spans="1:44">
      <c r="A22049" s="4" t="s">
        <v>24364</v>
      </c>
      <c r="B22049" s="4">
        <v>140536</v>
      </c>
      <c r="D22049" s="5">
        <v>140536</v>
      </c>
      <c r="E22049" s="6" t="str">
        <f>HYPERLINK("https://inpn.mnhn.fr/espece/cd_nom/140536","Salvia verticillata subsp. verticillata L., 1753")</f>
        <v>Salvia verticillata subsp. verticillata L., 1753</v>
      </c>
      <c r="F22049" s="5" t="s">
        <v>27126</v>
      </c>
      <c r="AH22049" s="4" t="str">
        <f>HYPERLINK("#Statut_biogéographique!A"&amp;_xlfn.XMATCH("P",Statut_biogéographique!A:A,2,1),"P")</f>
        <v>P</v>
      </c>
      <c r="AP22049" s="4" t="s">
        <v>376</v>
      </c>
      <c r="AR22049" s="4" t="s">
        <v>377</v>
      </c>
    </row>
    <row r="22050" spans="1:44" ht="30">
      <c r="A22050" s="4" t="s">
        <v>24364</v>
      </c>
      <c r="B22050" s="4">
        <v>140539</v>
      </c>
      <c r="D22050" s="5" t="s">
        <v>28771</v>
      </c>
      <c r="E22050" s="6" t="str">
        <f>HYPERLINK("https://inpn.mnhn.fr/espece/cd_nom/140539","Sambucus racemosa subsp. racemosa L., 1753")</f>
        <v>Sambucus racemosa subsp. racemosa L., 1753</v>
      </c>
      <c r="F22050" s="5" t="s">
        <v>27136</v>
      </c>
      <c r="AH22050" s="4" t="str">
        <f>HYPERLINK("#Statut_biogéographique!A"&amp;_xlfn.XMATCH("P",Statut_biogéographique!A:A,2,1),"P")</f>
        <v>P</v>
      </c>
      <c r="AP22050" s="4" t="s">
        <v>376</v>
      </c>
      <c r="AR22050" s="4" t="s">
        <v>377</v>
      </c>
    </row>
    <row r="22051" spans="1:44" ht="30">
      <c r="A22051" s="4" t="s">
        <v>24364</v>
      </c>
      <c r="B22051" s="4">
        <v>140569</v>
      </c>
      <c r="D22051" s="5" t="s">
        <v>28772</v>
      </c>
      <c r="E22051" s="6" t="str">
        <f>HYPERLINK("https://inpn.mnhn.fr/espece/cd_nom/140569","Saponaria ocymoides subsp. ocymoides L., 1753")</f>
        <v>Saponaria ocymoides subsp. ocymoides L., 1753</v>
      </c>
      <c r="F22051" s="5" t="s">
        <v>27148</v>
      </c>
      <c r="Q22051" s="7" t="str">
        <f>HYPERLINK("#Liste_rouge!A"&amp;_xlfn.XMATCH("LC",Liste_rouge!A:A,2,1),"LC")</f>
        <v>LC</v>
      </c>
      <c r="AH22051" s="4" t="str">
        <f>HYPERLINK("#Statut_biogéographique!A"&amp;_xlfn.XMATCH("P",Statut_biogéographique!A:A,2,1),"P")</f>
        <v>P</v>
      </c>
      <c r="AP22051" s="4" t="s">
        <v>376</v>
      </c>
      <c r="AR22051" s="4" t="s">
        <v>377</v>
      </c>
    </row>
    <row r="22052" spans="1:44" ht="30">
      <c r="A22052" s="4" t="s">
        <v>24364</v>
      </c>
      <c r="B22052" s="4">
        <v>140616</v>
      </c>
      <c r="D22052" s="5" t="s">
        <v>28773</v>
      </c>
      <c r="E22052" s="6" t="str">
        <f>HYPERLINK("https://inpn.mnhn.fr/espece/cd_nom/140616","Saxifraga cuneifolia subsp. robusta D.A.Webb, 1988")</f>
        <v>Saxifraga cuneifolia subsp. robusta D.A.Webb, 1988</v>
      </c>
      <c r="F22052" s="5" t="s">
        <v>28774</v>
      </c>
      <c r="Q22052" s="7" t="str">
        <f>HYPERLINK("#Liste_rouge!A"&amp;_xlfn.XMATCH("LC",Liste_rouge!A:A,2,1),"LC")</f>
        <v>LC</v>
      </c>
      <c r="AH22052" s="4" t="str">
        <f>HYPERLINK("#Statut_biogéographique!A"&amp;_xlfn.XMATCH("P",Statut_biogéographique!A:A,2,1),"P")</f>
        <v>P</v>
      </c>
      <c r="AM22052" s="4" t="s">
        <v>375</v>
      </c>
      <c r="AN22052" s="4" t="s">
        <v>375</v>
      </c>
      <c r="AO22052" s="4" t="s">
        <v>375</v>
      </c>
      <c r="AP22052" s="4" t="s">
        <v>376</v>
      </c>
      <c r="AR22052" s="4" t="s">
        <v>377</v>
      </c>
    </row>
    <row r="22053" spans="1:44" ht="30">
      <c r="A22053" s="4" t="s">
        <v>24364</v>
      </c>
      <c r="B22053" s="4">
        <v>140685</v>
      </c>
      <c r="D22053" s="5">
        <v>140685</v>
      </c>
      <c r="E22053" s="6" t="str">
        <f>HYPERLINK("https://inpn.mnhn.fr/espece/cd_nom/140685","Saxifraga rosacea subsp. rosacea Moench, 1794")</f>
        <v>Saxifraga rosacea subsp. rosacea Moench, 1794</v>
      </c>
      <c r="F22053" s="5" t="s">
        <v>27172</v>
      </c>
      <c r="Q22053" s="7" t="str">
        <f>HYPERLINK("#Liste_rouge!A"&amp;_xlfn.XMATCH("CR",Liste_rouge!A:A,2,1),"CR")</f>
        <v>CR</v>
      </c>
      <c r="AH22053" s="4" t="str">
        <f>HYPERLINK("#Statut_biogéographique!A"&amp;_xlfn.XMATCH("P",Statut_biogéographique!A:A,2,1),"P")</f>
        <v>P</v>
      </c>
      <c r="AP22053" s="4" t="s">
        <v>389</v>
      </c>
      <c r="AR22053" s="4" t="s">
        <v>377</v>
      </c>
    </row>
    <row r="22054" spans="1:44" ht="60">
      <c r="A22054" s="4" t="s">
        <v>24364</v>
      </c>
      <c r="B22054" s="4">
        <v>140686</v>
      </c>
      <c r="D22054" s="5" t="s">
        <v>28775</v>
      </c>
      <c r="E22054" s="6" t="str">
        <f>HYPERLINK("https://inpn.mnhn.fr/espece/cd_nom/140686","Saxifraga rosacea subsp. sponhemica (C.C.Gmel.) D.A.Webb, 1963")</f>
        <v>Saxifraga rosacea subsp. sponhemica (C.C.Gmel.) D.A.Webb, 1963</v>
      </c>
      <c r="F22054" s="5" t="s">
        <v>28776</v>
      </c>
      <c r="M22054" s="4" t="str">
        <f>HYPERLINK("#Réglementation!A"&amp;_xlfn.XMATCH("RV43",Réglementation!A:A,2,1),"RV43")</f>
        <v>RV43</v>
      </c>
      <c r="Q22054" s="7" t="str">
        <f>HYPERLINK("#Liste_rouge!A"&amp;_xlfn.XMATCH("CR",Liste_rouge!A:A,2,1),"CR")</f>
        <v>CR</v>
      </c>
      <c r="AH22054" s="4" t="str">
        <f>HYPERLINK("#Statut_biogéographique!A"&amp;_xlfn.XMATCH("P",Statut_biogéographique!A:A,2,1),"P")</f>
        <v>P</v>
      </c>
      <c r="AP22054" s="4" t="s">
        <v>389</v>
      </c>
      <c r="AR22054" s="4" t="s">
        <v>377</v>
      </c>
    </row>
    <row r="22055" spans="1:44" ht="30">
      <c r="A22055" s="4" t="s">
        <v>24364</v>
      </c>
      <c r="B22055" s="4">
        <v>140688</v>
      </c>
      <c r="D22055" s="5">
        <v>140688</v>
      </c>
      <c r="E22055" s="6" t="str">
        <f>HYPERLINK("https://inpn.mnhn.fr/espece/cd_nom/140688","Saxifraga rotundifolia subsp. rotundifolia L., 1753")</f>
        <v>Saxifraga rotundifolia subsp. rotundifolia L., 1753</v>
      </c>
      <c r="F22055" s="5" t="s">
        <v>27174</v>
      </c>
      <c r="AH22055" s="4" t="str">
        <f>HYPERLINK("#Statut_biogéographique!A"&amp;_xlfn.XMATCH("P",Statut_biogéographique!A:A,2,1),"P")</f>
        <v>P</v>
      </c>
      <c r="AP22055" s="4" t="s">
        <v>376</v>
      </c>
      <c r="AR22055" s="4" t="s">
        <v>377</v>
      </c>
    </row>
    <row r="22056" spans="1:44" ht="30">
      <c r="A22056" s="4" t="s">
        <v>24364</v>
      </c>
      <c r="B22056" s="4">
        <v>140752</v>
      </c>
      <c r="D22056" s="5">
        <v>140752</v>
      </c>
      <c r="E22056" s="6" t="str">
        <f>HYPERLINK("https://inpn.mnhn.fr/espece/cd_nom/140752","Scandix pecten-veneris subsp. pecten-veneris L., 1753")</f>
        <v>Scandix pecten-veneris subsp. pecten-veneris L., 1753</v>
      </c>
      <c r="F22056" s="5" t="s">
        <v>27188</v>
      </c>
      <c r="Q22056" s="7" t="str">
        <f>HYPERLINK("#Liste_rouge!A"&amp;_xlfn.XMATCH("LC",Liste_rouge!A:A,2,1),"LC")</f>
        <v>LC</v>
      </c>
      <c r="AH22056" s="4" t="str">
        <f>HYPERLINK("#Statut_biogéographique!A"&amp;_xlfn.XMATCH("P",Statut_biogéographique!A:A,2,1),"P")</f>
        <v>P</v>
      </c>
      <c r="AP22056" s="4" t="s">
        <v>376</v>
      </c>
      <c r="AR22056" s="4" t="s">
        <v>377</v>
      </c>
    </row>
    <row r="22057" spans="1:44">
      <c r="A22057" s="4" t="s">
        <v>24364</v>
      </c>
      <c r="B22057" s="4">
        <v>140781</v>
      </c>
      <c r="D22057" s="5">
        <v>140781</v>
      </c>
      <c r="E22057" s="6" t="str">
        <f>HYPERLINK("https://inpn.mnhn.fr/espece/cd_nom/140781","Scleranthus annuus subsp. annuus L., 1753")</f>
        <v>Scleranthus annuus subsp. annuus L., 1753</v>
      </c>
      <c r="F22057" s="5" t="s">
        <v>27218</v>
      </c>
      <c r="Q22057" s="7" t="str">
        <f>HYPERLINK("#Liste_rouge!A"&amp;_xlfn.XMATCH("LC",Liste_rouge!A:A,2,1),"LC")</f>
        <v>LC</v>
      </c>
      <c r="T22057" s="7" t="str">
        <f>HYPERLINK("#Liste_rouge!A"&amp;_xlfn.XMATCH("DD",Liste_rouge!A:A,2,1),"DD")</f>
        <v>DD</v>
      </c>
      <c r="AB22057" s="4" t="s">
        <v>26206</v>
      </c>
      <c r="AH22057" s="4" t="str">
        <f>HYPERLINK("#Statut_biogéographique!A"&amp;_xlfn.XMATCH("P",Statut_biogéographique!A:A,2,1),"P")</f>
        <v>P</v>
      </c>
      <c r="AM22057" s="4" t="s">
        <v>375</v>
      </c>
      <c r="AN22057" s="4" t="s">
        <v>375</v>
      </c>
      <c r="AO22057" s="4" t="s">
        <v>375</v>
      </c>
      <c r="AP22057" s="4" t="s">
        <v>376</v>
      </c>
      <c r="AR22057" s="4" t="s">
        <v>377</v>
      </c>
    </row>
    <row r="22058" spans="1:44" ht="30">
      <c r="A22058" s="4" t="s">
        <v>24364</v>
      </c>
      <c r="B22058" s="4">
        <v>140786</v>
      </c>
      <c r="D22058" s="5" t="s">
        <v>28777</v>
      </c>
      <c r="E22058" s="6" t="str">
        <f>HYPERLINK("https://inpn.mnhn.fr/espece/cd_nom/140786","Scleranthus annuus subsp. polycarpos (L.) Bonnier &amp; Layens, 1894")</f>
        <v>Scleranthus annuus subsp. polycarpos (L.) Bonnier &amp; Layens, 1894</v>
      </c>
      <c r="F22058" s="5" t="s">
        <v>28778</v>
      </c>
      <c r="Q22058" s="7" t="str">
        <f>HYPERLINK("#Liste_rouge!A"&amp;_xlfn.XMATCH("LC",Liste_rouge!A:A,2,1),"LC")</f>
        <v>LC</v>
      </c>
      <c r="T22058" s="7" t="str">
        <f>HYPERLINK("#Liste_rouge!A"&amp;_xlfn.XMATCH("NT",Liste_rouge!A:A,2,1),"NT")</f>
        <v>NT</v>
      </c>
      <c r="U22058" s="4" t="str">
        <f>HYPERLINK("#Critères_liste_rouge!A$1","pr. D2")</f>
        <v>pr. D2</v>
      </c>
      <c r="AB22058" s="4" t="s">
        <v>24733</v>
      </c>
      <c r="AH22058" s="4" t="str">
        <f>HYPERLINK("#Statut_biogéographique!A"&amp;_xlfn.XMATCH("P",Statut_biogéographique!A:A,2,1),"P")</f>
        <v>P</v>
      </c>
      <c r="AM22058" s="4" t="s">
        <v>375</v>
      </c>
      <c r="AN22058" s="4" t="s">
        <v>375</v>
      </c>
      <c r="AO22058" s="4" t="s">
        <v>375</v>
      </c>
      <c r="AP22058" s="4" t="s">
        <v>376</v>
      </c>
      <c r="AR22058" s="4" t="s">
        <v>377</v>
      </c>
    </row>
    <row r="22059" spans="1:44" ht="75">
      <c r="A22059" s="4" t="s">
        <v>24364</v>
      </c>
      <c r="B22059" s="4">
        <v>140790</v>
      </c>
      <c r="D22059" s="5" t="s">
        <v>28779</v>
      </c>
      <c r="E22059" s="6" t="str">
        <f>HYPERLINK("https://inpn.mnhn.fr/espece/cd_nom/140790","Scleranthus annuus subsp. verticillatus (Tausch) Arcang., 1882")</f>
        <v>Scleranthus annuus subsp. verticillatus (Tausch) Arcang., 1882</v>
      </c>
      <c r="F22059" s="5" t="s">
        <v>28780</v>
      </c>
      <c r="Q22059" s="7" t="str">
        <f>HYPERLINK("#Liste_rouge!A"&amp;_xlfn.XMATCH("DD",Liste_rouge!A:A,2,1),"DD")</f>
        <v>DD</v>
      </c>
      <c r="T22059" s="7" t="str">
        <f>HYPERLINK("#Liste_rouge!A"&amp;_xlfn.XMATCH("RE",Liste_rouge!A:A,2,1),"RE")</f>
        <v>RE</v>
      </c>
      <c r="AH22059" s="4" t="str">
        <f>HYPERLINK("#Statut_biogéographique!A"&amp;_xlfn.XMATCH("P",Statut_biogéographique!A:A,2,1),"P")</f>
        <v>P</v>
      </c>
      <c r="AM22059" s="4" t="s">
        <v>375</v>
      </c>
      <c r="AN22059" s="4" t="s">
        <v>375</v>
      </c>
      <c r="AO22059" s="4" t="s">
        <v>375</v>
      </c>
      <c r="AP22059" s="4" t="s">
        <v>376</v>
      </c>
      <c r="AR22059" s="4" t="s">
        <v>377</v>
      </c>
    </row>
    <row r="22060" spans="1:44">
      <c r="A22060" s="4" t="s">
        <v>24364</v>
      </c>
      <c r="B22060" s="4">
        <v>140793</v>
      </c>
      <c r="D22060" s="5" t="s">
        <v>28781</v>
      </c>
      <c r="E22060" s="6" t="str">
        <f>HYPERLINK("https://inpn.mnhn.fr/espece/cd_nom/140793","Scleranthus perennis subsp. perennis L., 1753")</f>
        <v>Scleranthus perennis subsp. perennis L., 1753</v>
      </c>
      <c r="F22060" s="5" t="s">
        <v>27220</v>
      </c>
      <c r="Q22060" s="7" t="str">
        <f>HYPERLINK("#Liste_rouge!A"&amp;_xlfn.XMATCH("LC",Liste_rouge!A:A,2,1),"LC")</f>
        <v>LC</v>
      </c>
      <c r="AH22060" s="4" t="str">
        <f>HYPERLINK("#Statut_biogéographique!A"&amp;_xlfn.XMATCH("P",Statut_biogéographique!A:A,2,1),"P")</f>
        <v>P</v>
      </c>
      <c r="AP22060" s="4" t="s">
        <v>376</v>
      </c>
      <c r="AR22060" s="4" t="s">
        <v>377</v>
      </c>
    </row>
    <row r="22061" spans="1:44" ht="30">
      <c r="A22061" s="4" t="s">
        <v>24364</v>
      </c>
      <c r="B22061" s="4">
        <v>140807</v>
      </c>
      <c r="D22061" s="5" t="s">
        <v>28782</v>
      </c>
      <c r="E22061" s="6" t="str">
        <f>HYPERLINK("https://inpn.mnhn.fr/espece/cd_nom/140807","Scorzonera hispanica subsp. asphodeloides (Wallr.) Arcang., 1882")</f>
        <v>Scorzonera hispanica subsp. asphodeloides (Wallr.) Arcang., 1882</v>
      </c>
      <c r="F22061" s="5" t="s">
        <v>28783</v>
      </c>
      <c r="M22061" s="4" t="str">
        <f>HYPERLINK("#Réglementation!A"&amp;_xlfn.XMATCH("RV43",Réglementation!A:A,2,1),"RV43")</f>
        <v>RV43</v>
      </c>
      <c r="Q22061" s="7" t="str">
        <f>HYPERLINK("#Liste_rouge!A"&amp;_xlfn.XMATCH("LC",Liste_rouge!A:A,2,1),"LC")</f>
        <v>LC</v>
      </c>
      <c r="X22061" s="5" t="s">
        <v>374</v>
      </c>
      <c r="AB22061" s="4" t="s">
        <v>93</v>
      </c>
      <c r="AH22061" s="4" t="str">
        <f>HYPERLINK("#Statut_biogéographique!A"&amp;_xlfn.XMATCH("P",Statut_biogéographique!A:A,2,1),"P")</f>
        <v>P</v>
      </c>
      <c r="AM22061" s="4" t="s">
        <v>375</v>
      </c>
      <c r="AN22061" s="4" t="s">
        <v>375</v>
      </c>
      <c r="AO22061" s="4" t="s">
        <v>375</v>
      </c>
      <c r="AP22061" s="4" t="s">
        <v>376</v>
      </c>
      <c r="AR22061" s="4" t="s">
        <v>377</v>
      </c>
    </row>
    <row r="22062" spans="1:44" ht="45">
      <c r="A22062" s="4" t="s">
        <v>24364</v>
      </c>
      <c r="B22062" s="4">
        <v>140822</v>
      </c>
      <c r="D22062" s="5" t="s">
        <v>28784</v>
      </c>
      <c r="E22062" s="6" t="str">
        <f>HYPERLINK("https://inpn.mnhn.fr/espece/cd_nom/140822","Scrophularia canina subsp. canina L., 1753")</f>
        <v>Scrophularia canina subsp. canina L., 1753</v>
      </c>
      <c r="F22062" s="5" t="s">
        <v>27241</v>
      </c>
      <c r="Q22062" s="7" t="str">
        <f>HYPERLINK("#Liste_rouge!A"&amp;_xlfn.XMATCH("LC",Liste_rouge!A:A,2,1),"LC")</f>
        <v>LC</v>
      </c>
      <c r="T22062" s="7" t="str">
        <f>HYPERLINK("#Liste_rouge!A"&amp;_xlfn.XMATCH("VU",Liste_rouge!A:A,2,1),"VU")</f>
        <v>VU</v>
      </c>
      <c r="U22062" s="4" t="str">
        <f>HYPERLINK("#Critères_liste_rouge!A$1","D2")</f>
        <v>D2</v>
      </c>
      <c r="AH22062" s="4" t="str">
        <f>HYPERLINK("#Statut_biogéographique!A"&amp;_xlfn.XMATCH("P",Statut_biogéographique!A:A,2,1),"P")</f>
        <v>P</v>
      </c>
      <c r="AP22062" s="4" t="s">
        <v>376</v>
      </c>
      <c r="AR22062" s="4" t="s">
        <v>377</v>
      </c>
    </row>
    <row r="22063" spans="1:44" ht="30">
      <c r="A22063" s="4" t="s">
        <v>24364</v>
      </c>
      <c r="B22063" s="4">
        <v>140824</v>
      </c>
      <c r="D22063" s="5" t="s">
        <v>28785</v>
      </c>
      <c r="E22063" s="6" t="str">
        <f>HYPERLINK("https://inpn.mnhn.fr/espece/cd_nom/140824","Scrophularia canina subsp. hoppei (W.D.J.Koch) P.Fourn., 1937")</f>
        <v>Scrophularia canina subsp. hoppei (W.D.J.Koch) P.Fourn., 1937</v>
      </c>
      <c r="F22063" s="5" t="s">
        <v>28786</v>
      </c>
      <c r="Q22063" s="7" t="str">
        <f>HYPERLINK("#Liste_rouge!A"&amp;_xlfn.XMATCH("LC",Liste_rouge!A:A,2,1),"LC")</f>
        <v>LC</v>
      </c>
      <c r="T22063" s="7" t="str">
        <f>HYPERLINK("#Liste_rouge!A"&amp;_xlfn.XMATCH("EN",Liste_rouge!A:A,2,1),"EN")</f>
        <v>EN</v>
      </c>
      <c r="U22063" s="4" t="str">
        <f>HYPERLINK("#Critères_liste_rouge!A$1","C2a(i)")</f>
        <v>C2a(i)</v>
      </c>
      <c r="X22063" s="5" t="s">
        <v>374</v>
      </c>
      <c r="AB22063" s="4" t="s">
        <v>93</v>
      </c>
      <c r="AH22063" s="4" t="str">
        <f>HYPERLINK("#Statut_biogéographique!A"&amp;_xlfn.XMATCH("P",Statut_biogéographique!A:A,2,1),"P")</f>
        <v>P</v>
      </c>
      <c r="AM22063" s="4" t="s">
        <v>375</v>
      </c>
      <c r="AN22063" s="4" t="s">
        <v>375</v>
      </c>
      <c r="AO22063" s="4" t="s">
        <v>375</v>
      </c>
      <c r="AP22063" s="4" t="s">
        <v>376</v>
      </c>
      <c r="AR22063" s="4" t="s">
        <v>377</v>
      </c>
    </row>
    <row r="22064" spans="1:44" ht="30">
      <c r="A22064" s="4" t="s">
        <v>24364</v>
      </c>
      <c r="B22064" s="4">
        <v>140827</v>
      </c>
      <c r="D22064" s="5" t="s">
        <v>28787</v>
      </c>
      <c r="E22064" s="6" t="str">
        <f>HYPERLINK("https://inpn.mnhn.fr/espece/cd_nom/140827","Scrophularia canina subsp. ramosissima (Loisel.) Bonnier &amp; Layens, 1894")</f>
        <v>Scrophularia canina subsp. ramosissima (Loisel.) Bonnier &amp; Layens, 1894</v>
      </c>
      <c r="F22064" s="5" t="s">
        <v>28788</v>
      </c>
      <c r="Q22064" s="7" t="str">
        <f>HYPERLINK("#Liste_rouge!A"&amp;_xlfn.XMATCH("LC",Liste_rouge!A:A,2,1),"LC")</f>
        <v>LC</v>
      </c>
      <c r="T22064" s="7" t="str">
        <f>HYPERLINK("#Liste_rouge!A"&amp;_xlfn.XMATCH("NE",Liste_rouge!A:A,2,1),"NE")</f>
        <v>NE</v>
      </c>
      <c r="AH22064" s="4" t="str">
        <f>HYPERLINK("#Statut_biogéographique!A"&amp;_xlfn.XMATCH("P",Statut_biogéographique!A:A,2,1),"P")</f>
        <v>P</v>
      </c>
      <c r="AP22064" s="4" t="s">
        <v>376</v>
      </c>
      <c r="AR22064" s="4" t="s">
        <v>377</v>
      </c>
    </row>
    <row r="22065" spans="1:44" ht="75">
      <c r="A22065" s="4" t="s">
        <v>24364</v>
      </c>
      <c r="B22065" s="4">
        <v>140831</v>
      </c>
      <c r="D22065" s="5" t="s">
        <v>28789</v>
      </c>
      <c r="E22065" s="6" t="str">
        <f>HYPERLINK("https://inpn.mnhn.fr/espece/cd_nom/140831","Scrophularia oblongifolia subsp. umbrosa (Dumort.) Gamisans, 1992")</f>
        <v>Scrophularia oblongifolia subsp. umbrosa (Dumort.) Gamisans, 1992</v>
      </c>
      <c r="F22065" s="5" t="s">
        <v>28790</v>
      </c>
      <c r="O22065" s="7" t="str">
        <f>HYPERLINK("#Liste_rouge!A"&amp;_xlfn.XMATCH("LC",Liste_rouge!A:A,2,1),"LC")</f>
        <v>LC</v>
      </c>
      <c r="Q22065" s="7" t="str">
        <f>HYPERLINK("#Liste_rouge!A"&amp;_xlfn.XMATCH("DD",Liste_rouge!A:A,2,1),"DD")</f>
        <v>DD</v>
      </c>
      <c r="T22065" s="7" t="str">
        <f>HYPERLINK("#Liste_rouge!A"&amp;_xlfn.XMATCH("DD",Liste_rouge!A:A,2,1),"DD")</f>
        <v>DD</v>
      </c>
      <c r="AB22065" s="4" t="s">
        <v>24536</v>
      </c>
      <c r="AH22065" s="4" t="str">
        <f>HYPERLINK("#Statut_biogéographique!A"&amp;_xlfn.XMATCH("P",Statut_biogéographique!A:A,2,1),"P")</f>
        <v>P</v>
      </c>
      <c r="AM22065" s="4" t="s">
        <v>375</v>
      </c>
      <c r="AN22065" s="4" t="s">
        <v>375</v>
      </c>
      <c r="AO22065" s="4" t="s">
        <v>375</v>
      </c>
      <c r="AP22065" s="4" t="s">
        <v>376</v>
      </c>
      <c r="AR22065" s="4" t="s">
        <v>377</v>
      </c>
    </row>
    <row r="22066" spans="1:44" ht="30">
      <c r="A22066" s="4" t="s">
        <v>24364</v>
      </c>
      <c r="B22066" s="4">
        <v>140979</v>
      </c>
      <c r="D22066" s="5" t="s">
        <v>28791</v>
      </c>
      <c r="E22066" s="6" t="str">
        <f>HYPERLINK("https://inpn.mnhn.fr/espece/cd_nom/140979","Senecio ovatus subsp. alpestris (Gaudin) Herborg, 1987")</f>
        <v>Senecio ovatus subsp. alpestris (Gaudin) Herborg, 1987</v>
      </c>
      <c r="F22066" s="5" t="s">
        <v>28792</v>
      </c>
      <c r="Q22066" s="7" t="str">
        <f>HYPERLINK("#Liste_rouge!A"&amp;_xlfn.XMATCH("LC",Liste_rouge!A:A,2,1),"LC")</f>
        <v>LC</v>
      </c>
      <c r="T22066" s="7" t="str">
        <f>HYPERLINK("#Liste_rouge!A"&amp;_xlfn.XMATCH("DD",Liste_rouge!A:A,2,1),"DD")</f>
        <v>DD</v>
      </c>
      <c r="AB22066" s="4" t="s">
        <v>24495</v>
      </c>
      <c r="AH22066" s="4" t="str">
        <f>HYPERLINK("#Statut_biogéographique!A"&amp;_xlfn.XMATCH("P",Statut_biogéographique!A:A,2,1),"P")</f>
        <v>P</v>
      </c>
      <c r="AM22066" s="4" t="s">
        <v>375</v>
      </c>
      <c r="AN22066" s="4" t="s">
        <v>375</v>
      </c>
      <c r="AO22066" s="4" t="s">
        <v>375</v>
      </c>
      <c r="AP22066" s="4" t="s">
        <v>376</v>
      </c>
      <c r="AR22066" s="4" t="s">
        <v>377</v>
      </c>
    </row>
    <row r="22067" spans="1:44" ht="30">
      <c r="A22067" s="4" t="s">
        <v>24364</v>
      </c>
      <c r="B22067" s="4">
        <v>140980</v>
      </c>
      <c r="D22067" s="5">
        <v>140980</v>
      </c>
      <c r="E22067" s="6" t="str">
        <f>HYPERLINK("https://inpn.mnhn.fr/espece/cd_nom/140980","Senecio ovatus subsp. ovatus (G.Gaertn., B.Mey. &amp; Scherb.) Willd., 1803")</f>
        <v>Senecio ovatus subsp. ovatus (G.Gaertn., B.Mey. &amp; Scherb.) Willd., 1803</v>
      </c>
      <c r="F22067" s="5" t="s">
        <v>27315</v>
      </c>
      <c r="Q22067" s="7" t="str">
        <f>HYPERLINK("#Liste_rouge!A"&amp;_xlfn.XMATCH("LC",Liste_rouge!A:A,2,1),"LC")</f>
        <v>LC</v>
      </c>
      <c r="AH22067" s="4" t="str">
        <f>HYPERLINK("#Statut_biogéographique!A"&amp;_xlfn.XMATCH("P",Statut_biogéographique!A:A,2,1),"P")</f>
        <v>P</v>
      </c>
      <c r="AM22067" s="4" t="s">
        <v>375</v>
      </c>
      <c r="AN22067" s="4" t="s">
        <v>375</v>
      </c>
      <c r="AO22067" s="4" t="s">
        <v>375</v>
      </c>
      <c r="AP22067" s="4" t="s">
        <v>376</v>
      </c>
      <c r="AR22067" s="4" t="s">
        <v>377</v>
      </c>
    </row>
    <row r="22068" spans="1:44">
      <c r="A22068" s="4" t="s">
        <v>24364</v>
      </c>
      <c r="B22068" s="4">
        <v>140994</v>
      </c>
      <c r="D22068" s="5" t="s">
        <v>28793</v>
      </c>
      <c r="E22068" s="6" t="str">
        <f>HYPERLINK("https://inpn.mnhn.fr/espece/cd_nom/140994","Senecio vulgaris subsp. vulgaris L., 1753")</f>
        <v>Senecio vulgaris subsp. vulgaris L., 1753</v>
      </c>
      <c r="F22068" s="5" t="s">
        <v>28794</v>
      </c>
      <c r="Q22068" s="7" t="str">
        <f>HYPERLINK("#Liste_rouge!A"&amp;_xlfn.XMATCH("LC",Liste_rouge!A:A,2,1),"LC")</f>
        <v>LC</v>
      </c>
      <c r="AH22068" s="4" t="str">
        <f>HYPERLINK("#Statut_biogéographique!A"&amp;_xlfn.XMATCH("P",Statut_biogéographique!A:A,2,1),"P")</f>
        <v>P</v>
      </c>
      <c r="AP22068" s="4" t="s">
        <v>376</v>
      </c>
      <c r="AR22068" s="4" t="s">
        <v>377</v>
      </c>
    </row>
    <row r="22069" spans="1:44" ht="30">
      <c r="A22069" s="4" t="s">
        <v>24364</v>
      </c>
      <c r="B22069" s="4">
        <v>141033</v>
      </c>
      <c r="D22069" s="5">
        <v>141033</v>
      </c>
      <c r="E22069" s="6" t="str">
        <f>HYPERLINK("https://inpn.mnhn.fr/espece/cd_nom/141033","Seseli annuum subsp. annuum L., 1753")</f>
        <v>Seseli annuum subsp. annuum L., 1753</v>
      </c>
      <c r="F22069" s="5" t="s">
        <v>27334</v>
      </c>
      <c r="Q22069" s="7" t="str">
        <f>HYPERLINK("#Liste_rouge!A"&amp;_xlfn.XMATCH("NT",Liste_rouge!A:A,2,1),"NT")</f>
        <v>NT</v>
      </c>
      <c r="T22069" s="7" t="str">
        <f>HYPERLINK("#Liste_rouge!A"&amp;_xlfn.XMATCH("NE",Liste_rouge!A:A,2,1),"NE")</f>
        <v>NE</v>
      </c>
      <c r="AH22069" s="4" t="str">
        <f>HYPERLINK("#Statut_biogéographique!A"&amp;_xlfn.XMATCH("P",Statut_biogéographique!A:A,2,1),"P")</f>
        <v>P</v>
      </c>
      <c r="AP22069" s="4" t="s">
        <v>376</v>
      </c>
      <c r="AR22069" s="4" t="s">
        <v>377</v>
      </c>
    </row>
    <row r="22070" spans="1:44">
      <c r="A22070" s="4" t="s">
        <v>24364</v>
      </c>
      <c r="B22070" s="4">
        <v>141045</v>
      </c>
      <c r="D22070" s="5">
        <v>141045</v>
      </c>
      <c r="E22070" s="6" t="str">
        <f>HYPERLINK("https://inpn.mnhn.fr/espece/cd_nom/141045","Seseli montanum subsp. montanum L., 1753")</f>
        <v>Seseli montanum subsp. montanum L., 1753</v>
      </c>
      <c r="F22070" s="5" t="s">
        <v>27336</v>
      </c>
      <c r="Q22070" s="7" t="str">
        <f>HYPERLINK("#Liste_rouge!A"&amp;_xlfn.XMATCH("LC",Liste_rouge!A:A,2,1),"LC")</f>
        <v>LC</v>
      </c>
      <c r="AH22070" s="4" t="str">
        <f>HYPERLINK("#Statut_biogéographique!A"&amp;_xlfn.XMATCH("P",Statut_biogéographique!A:A,2,1),"P")</f>
        <v>P</v>
      </c>
      <c r="AP22070" s="4" t="s">
        <v>376</v>
      </c>
      <c r="AR22070" s="4" t="s">
        <v>377</v>
      </c>
    </row>
    <row r="22071" spans="1:44" ht="30">
      <c r="A22071" s="4" t="s">
        <v>24364</v>
      </c>
      <c r="B22071" s="4">
        <v>141049</v>
      </c>
      <c r="D22071" s="5">
        <v>141049</v>
      </c>
      <c r="E22071" s="6" t="str">
        <f>HYPERLINK("https://inpn.mnhn.fr/espece/cd_nom/141049","Sesleria caerulea subsp. caerulea (L.) Ard., 1763")</f>
        <v>Sesleria caerulea subsp. caerulea (L.) Ard., 1763</v>
      </c>
      <c r="F22071" s="5" t="s">
        <v>27338</v>
      </c>
      <c r="T22071" s="7" t="str">
        <f>HYPERLINK("#Liste_rouge!A"&amp;_xlfn.XMATCH("DD",Liste_rouge!A:A,2,1),"DD")</f>
        <v>DD</v>
      </c>
      <c r="AH22071" s="4" t="str">
        <f>HYPERLINK("#Statut_biogéographique!A"&amp;_xlfn.XMATCH("P",Statut_biogéographique!A:A,2,1),"P")</f>
        <v>P</v>
      </c>
      <c r="AP22071" s="4" t="s">
        <v>376</v>
      </c>
      <c r="AR22071" s="4" t="s">
        <v>377</v>
      </c>
    </row>
    <row r="22072" spans="1:44" ht="45">
      <c r="A22072" s="4" t="s">
        <v>24364</v>
      </c>
      <c r="B22072" s="4">
        <v>141058</v>
      </c>
      <c r="D22072" s="5" t="s">
        <v>28795</v>
      </c>
      <c r="E22072" s="6" t="str">
        <f>HYPERLINK("https://inpn.mnhn.fr/espece/cd_nom/141058","Setaria italica subsp. pycnocoma (Steud.) de Wet, 1981")</f>
        <v>Setaria italica subsp. pycnocoma (Steud.) de Wet, 1981</v>
      </c>
      <c r="F22072" s="5" t="s">
        <v>28796</v>
      </c>
      <c r="Q22072" s="7" t="str">
        <f>HYPERLINK("#Liste_rouge!A"&amp;_xlfn.XMATCH("LC",Liste_rouge!A:A,2,1),"LC")</f>
        <v>LC</v>
      </c>
      <c r="T22072" s="7" t="str">
        <f>HYPERLINK("#Liste_rouge!A"&amp;_xlfn.XMATCH("LC",Liste_rouge!A:A,2,1),"LC")</f>
        <v>LC</v>
      </c>
      <c r="AH22072" s="4" t="str">
        <f>HYPERLINK("#Statut_biogéographique!A"&amp;_xlfn.XMATCH("I",Statut_biogéographique!A:A,2,1),"I")</f>
        <v>I</v>
      </c>
      <c r="AM22072" s="4" t="s">
        <v>375</v>
      </c>
      <c r="AN22072" s="4" t="s">
        <v>375</v>
      </c>
      <c r="AO22072" s="4" t="s">
        <v>375</v>
      </c>
      <c r="AP22072" s="4" t="s">
        <v>376</v>
      </c>
      <c r="AR22072" s="4" t="s">
        <v>377</v>
      </c>
    </row>
    <row r="22073" spans="1:44" ht="120">
      <c r="A22073" s="4" t="s">
        <v>24364</v>
      </c>
      <c r="B22073" s="4">
        <v>141090</v>
      </c>
      <c r="D22073" s="5" t="s">
        <v>28797</v>
      </c>
      <c r="E22073" s="6" t="str">
        <f>HYPERLINK("https://inpn.mnhn.fr/espece/cd_nom/141090","Sideritis hyssopifolia subsp. hyssopifolia L., 1753")</f>
        <v>Sideritis hyssopifolia subsp. hyssopifolia L., 1753</v>
      </c>
      <c r="F22073" s="5" t="s">
        <v>27348</v>
      </c>
      <c r="Q22073" s="7" t="str">
        <f>HYPERLINK("#Liste_rouge!A"&amp;_xlfn.XMATCH("LC",Liste_rouge!A:A,2,1),"LC")</f>
        <v>LC</v>
      </c>
      <c r="AH22073" s="4" t="str">
        <f>HYPERLINK("#Statut_biogéographique!A"&amp;_xlfn.XMATCH("P",Statut_biogéographique!A:A,2,1),"P")</f>
        <v>P</v>
      </c>
      <c r="AP22073" s="4" t="s">
        <v>376</v>
      </c>
      <c r="AR22073" s="4" t="s">
        <v>377</v>
      </c>
    </row>
    <row r="22074" spans="1:44" ht="75">
      <c r="A22074" s="4" t="s">
        <v>24364</v>
      </c>
      <c r="B22074" s="4">
        <v>141182</v>
      </c>
      <c r="D22074" s="5" t="s">
        <v>28798</v>
      </c>
      <c r="E22074" s="6" t="str">
        <f>HYPERLINK("https://inpn.mnhn.fr/espece/cd_nom/141182","Silene nutans subsp. nutans L., 1753")</f>
        <v>Silene nutans subsp. nutans L., 1753</v>
      </c>
      <c r="F22074" s="5" t="s">
        <v>27380</v>
      </c>
      <c r="Q22074" s="7" t="str">
        <f>HYPERLINK("#Liste_rouge!A"&amp;_xlfn.XMATCH("LC",Liste_rouge!A:A,2,1),"LC")</f>
        <v>LC</v>
      </c>
      <c r="T22074" s="7" t="str">
        <f>HYPERLINK("#Liste_rouge!A"&amp;_xlfn.XMATCH("LC",Liste_rouge!A:A,2,1),"LC")</f>
        <v>LC</v>
      </c>
      <c r="AH22074" s="4" t="str">
        <f>HYPERLINK("#Statut_biogéographique!A"&amp;_xlfn.XMATCH("P",Statut_biogéographique!A:A,2,1),"P")</f>
        <v>P</v>
      </c>
      <c r="AP22074" s="4" t="s">
        <v>376</v>
      </c>
      <c r="AR22074" s="4" t="s">
        <v>377</v>
      </c>
    </row>
    <row r="22075" spans="1:44" ht="30">
      <c r="A22075" s="4" t="s">
        <v>24364</v>
      </c>
      <c r="B22075" s="4">
        <v>141205</v>
      </c>
      <c r="D22075" s="5" t="s">
        <v>28799</v>
      </c>
      <c r="E22075" s="6" t="str">
        <f>HYPERLINK("https://inpn.mnhn.fr/espece/cd_nom/141205","Silene vulgaris subsp. commutata (Guss.) Hayek, 1924")</f>
        <v>Silene vulgaris subsp. commutata (Guss.) Hayek, 1924</v>
      </c>
      <c r="F22075" s="5" t="s">
        <v>28800</v>
      </c>
      <c r="Q22075" s="7" t="str">
        <f>HYPERLINK("#Liste_rouge!A"&amp;_xlfn.XMATCH("DD",Liste_rouge!A:A,2,1),"DD")</f>
        <v>DD</v>
      </c>
      <c r="AH22075" s="4" t="str">
        <f>HYPERLINK("#Statut_biogéographique!A"&amp;_xlfn.XMATCH("P",Statut_biogéographique!A:A,2,1),"P")</f>
        <v>P</v>
      </c>
      <c r="AP22075" s="4" t="s">
        <v>376</v>
      </c>
      <c r="AR22075" s="4" t="s">
        <v>377</v>
      </c>
    </row>
    <row r="22076" spans="1:44" ht="90">
      <c r="A22076" s="4" t="s">
        <v>24364</v>
      </c>
      <c r="B22076" s="4">
        <v>141212</v>
      </c>
      <c r="D22076" s="5" t="s">
        <v>28801</v>
      </c>
      <c r="E22076" s="6" t="str">
        <f>HYPERLINK("https://inpn.mnhn.fr/espece/cd_nom/141212","Silene vulgaris subsp. prostrata (Gaudin) Schinz &amp; Thell., 1923")</f>
        <v>Silene vulgaris subsp. prostrata (Gaudin) Schinz &amp; Thell., 1923</v>
      </c>
      <c r="F22076" s="5" t="s">
        <v>28802</v>
      </c>
      <c r="Q22076" s="7" t="str">
        <f>HYPERLINK("#Liste_rouge!A"&amp;_xlfn.XMATCH("LC",Liste_rouge!A:A,2,1),"LC")</f>
        <v>LC</v>
      </c>
      <c r="T22076" s="7" t="str">
        <f>HYPERLINK("#Liste_rouge!A"&amp;_xlfn.XMATCH("NT",Liste_rouge!A:A,2,1),"NT")</f>
        <v>NT</v>
      </c>
      <c r="U22076" s="4" t="str">
        <f>HYPERLINK("#Critères_liste_rouge!A$1","pr. D2")</f>
        <v>pr. D2</v>
      </c>
      <c r="X22076" s="5" t="s">
        <v>374</v>
      </c>
      <c r="AB22076" s="4" t="s">
        <v>93</v>
      </c>
      <c r="AH22076" s="4" t="str">
        <f>HYPERLINK("#Statut_biogéographique!A"&amp;_xlfn.XMATCH("P",Statut_biogéographique!A:A,2,1),"P")</f>
        <v>P</v>
      </c>
      <c r="AM22076" s="4" t="s">
        <v>375</v>
      </c>
      <c r="AN22076" s="4" t="s">
        <v>375</v>
      </c>
      <c r="AO22076" s="4" t="s">
        <v>375</v>
      </c>
      <c r="AP22076" s="4" t="s">
        <v>376</v>
      </c>
      <c r="AR22076" s="4" t="s">
        <v>377</v>
      </c>
    </row>
    <row r="22077" spans="1:44" ht="165">
      <c r="A22077" s="4" t="s">
        <v>24364</v>
      </c>
      <c r="B22077" s="4">
        <v>141214</v>
      </c>
      <c r="D22077" s="5" t="s">
        <v>28803</v>
      </c>
      <c r="E22077" s="6" t="str">
        <f>HYPERLINK("https://inpn.mnhn.fr/espece/cd_nom/141214","Silene vulgaris subsp. vulgaris (Moench) Garcke, 1869")</f>
        <v>Silene vulgaris subsp. vulgaris (Moench) Garcke, 1869</v>
      </c>
      <c r="F22077" s="5" t="s">
        <v>27386</v>
      </c>
      <c r="Q22077" s="7" t="str">
        <f>HYPERLINK("#Liste_rouge!A"&amp;_xlfn.XMATCH("LC",Liste_rouge!A:A,2,1),"LC")</f>
        <v>LC</v>
      </c>
      <c r="T22077" s="7" t="str">
        <f>HYPERLINK("#Liste_rouge!A"&amp;_xlfn.XMATCH("LC",Liste_rouge!A:A,2,1),"LC")</f>
        <v>LC</v>
      </c>
      <c r="AH22077" s="4" t="str">
        <f>HYPERLINK("#Statut_biogéographique!A"&amp;_xlfn.XMATCH("P",Statut_biogéographique!A:A,2,1),"P")</f>
        <v>P</v>
      </c>
      <c r="AP22077" s="4" t="s">
        <v>376</v>
      </c>
      <c r="AR22077" s="4" t="s">
        <v>377</v>
      </c>
    </row>
    <row r="22078" spans="1:44">
      <c r="A22078" s="4" t="s">
        <v>24364</v>
      </c>
      <c r="B22078" s="4">
        <v>141221</v>
      </c>
      <c r="D22078" s="5">
        <v>141221</v>
      </c>
      <c r="E22078" s="6" t="str">
        <f>HYPERLINK("https://inpn.mnhn.fr/espece/cd_nom/141221","Sinapis arvensis subsp. arvensis L., 1753")</f>
        <v>Sinapis arvensis subsp. arvensis L., 1753</v>
      </c>
      <c r="F22078" s="5" t="s">
        <v>27397</v>
      </c>
      <c r="AH22078" s="4" t="str">
        <f>HYPERLINK("#Statut_biogéographique!A"&amp;_xlfn.XMATCH("P",Statut_biogéographique!A:A,2,1),"P")</f>
        <v>P</v>
      </c>
      <c r="AM22078" s="4" t="s">
        <v>375</v>
      </c>
      <c r="AN22078" s="4" t="s">
        <v>375</v>
      </c>
      <c r="AO22078" s="4" t="s">
        <v>375</v>
      </c>
      <c r="AP22078" s="4" t="s">
        <v>376</v>
      </c>
      <c r="AR22078" s="4" t="s">
        <v>377</v>
      </c>
    </row>
    <row r="22079" spans="1:44" ht="30">
      <c r="A22079" s="4" t="s">
        <v>24364</v>
      </c>
      <c r="B22079" s="4">
        <v>141230</v>
      </c>
      <c r="D22079" s="5" t="s">
        <v>28804</v>
      </c>
      <c r="E22079" s="6" t="str">
        <f>HYPERLINK("https://inpn.mnhn.fr/espece/cd_nom/141230","Sisymbrella aspera subsp. aspera (L.) Spach, 1838")</f>
        <v>Sisymbrella aspera subsp. aspera (L.) Spach, 1838</v>
      </c>
      <c r="F22079" s="5" t="s">
        <v>27404</v>
      </c>
      <c r="Q22079" s="7" t="str">
        <f>HYPERLINK("#Liste_rouge!A"&amp;_xlfn.XMATCH("LC",Liste_rouge!A:A,2,1),"LC")</f>
        <v>LC</v>
      </c>
      <c r="T22079" s="7" t="str">
        <f>HYPERLINK("#Liste_rouge!A"&amp;_xlfn.XMATCH("DD",Liste_rouge!A:A,2,1),"DD")</f>
        <v>DD</v>
      </c>
      <c r="AH22079" s="4" t="str">
        <f>HYPERLINK("#Statut_biogéographique!A"&amp;_xlfn.XMATCH("P",Statut_biogéographique!A:A,2,1),"P")</f>
        <v>P</v>
      </c>
      <c r="AM22079" s="4" t="s">
        <v>375</v>
      </c>
      <c r="AN22079" s="4" t="s">
        <v>375</v>
      </c>
      <c r="AO22079" s="4" t="s">
        <v>375</v>
      </c>
      <c r="AP22079" s="4" t="s">
        <v>376</v>
      </c>
      <c r="AR22079" s="4" t="s">
        <v>377</v>
      </c>
    </row>
    <row r="22080" spans="1:44" ht="60">
      <c r="A22080" s="4" t="s">
        <v>24364</v>
      </c>
      <c r="B22080" s="4">
        <v>141250</v>
      </c>
      <c r="D22080" s="5" t="s">
        <v>28805</v>
      </c>
      <c r="E22080" s="6" t="str">
        <f>HYPERLINK("https://inpn.mnhn.fr/espece/cd_nom/141250","Sisymbrium orientale subsp. orientale L., 1756")</f>
        <v>Sisymbrium orientale subsp. orientale L., 1756</v>
      </c>
      <c r="F22080" s="5" t="s">
        <v>27416</v>
      </c>
      <c r="Q22080" s="7" t="str">
        <f>HYPERLINK("#Liste_rouge!A"&amp;_xlfn.XMATCH("LC",Liste_rouge!A:A,2,1),"LC")</f>
        <v>LC</v>
      </c>
      <c r="T22080" s="7" t="str">
        <f>HYPERLINK("#Liste_rouge!A"&amp;_xlfn.XMATCH("NA",Liste_rouge!A:A,2,1),"NA")</f>
        <v>NA</v>
      </c>
      <c r="AH22080" s="4" t="str">
        <f>HYPERLINK("#Statut_biogéographique!A"&amp;_xlfn.XMATCH("P",Statut_biogéographique!A:A,2,1),"P")</f>
        <v>P</v>
      </c>
      <c r="AP22080" s="4" t="s">
        <v>376</v>
      </c>
      <c r="AR22080" s="4" t="s">
        <v>377</v>
      </c>
    </row>
    <row r="22081" spans="1:44" ht="135">
      <c r="A22081" s="4" t="s">
        <v>24364</v>
      </c>
      <c r="B22081" s="4">
        <v>141273</v>
      </c>
      <c r="D22081" s="5" t="s">
        <v>28806</v>
      </c>
      <c r="E22081" s="6" t="str">
        <f>HYPERLINK("https://inpn.mnhn.fr/espece/cd_nom/141273","Solanum nigrum subsp. nigrum L., 1753")</f>
        <v>Solanum nigrum subsp. nigrum L., 1753</v>
      </c>
      <c r="F22081" s="5" t="s">
        <v>27428</v>
      </c>
      <c r="Q22081" s="7" t="str">
        <f>HYPERLINK("#Liste_rouge!A"&amp;_xlfn.XMATCH("LC",Liste_rouge!A:A,2,1),"LC")</f>
        <v>LC</v>
      </c>
      <c r="T22081" s="7" t="str">
        <f>HYPERLINK("#Liste_rouge!A"&amp;_xlfn.XMATCH("LC",Liste_rouge!A:A,2,1),"LC")</f>
        <v>LC</v>
      </c>
      <c r="AH22081" s="4" t="str">
        <f>HYPERLINK("#Statut_biogéographique!A"&amp;_xlfn.XMATCH("P",Statut_biogéographique!A:A,2,1),"P")</f>
        <v>P</v>
      </c>
      <c r="AM22081" s="4" t="s">
        <v>375</v>
      </c>
      <c r="AN22081" s="4" t="s">
        <v>375</v>
      </c>
      <c r="AO22081" s="4" t="s">
        <v>375</v>
      </c>
      <c r="AP22081" s="4" t="s">
        <v>376</v>
      </c>
      <c r="AR22081" s="4" t="s">
        <v>377</v>
      </c>
    </row>
    <row r="22082" spans="1:44" ht="30">
      <c r="A22082" s="4" t="s">
        <v>24364</v>
      </c>
      <c r="B22082" s="4">
        <v>141275</v>
      </c>
      <c r="D22082" s="5" t="s">
        <v>28807</v>
      </c>
      <c r="E22082" s="6" t="str">
        <f>HYPERLINK("https://inpn.mnhn.fr/espece/cd_nom/141275","Solanum nigrum subsp. schultesii (Opiz) Wessely, 1961")</f>
        <v>Solanum nigrum subsp. schultesii (Opiz) Wessely, 1961</v>
      </c>
      <c r="F22082" s="5" t="s">
        <v>28808</v>
      </c>
      <c r="Q22082" s="7" t="str">
        <f>HYPERLINK("#Liste_rouge!A"&amp;_xlfn.XMATCH("LC",Liste_rouge!A:A,2,1),"LC")</f>
        <v>LC</v>
      </c>
      <c r="T22082" s="7" t="str">
        <f>HYPERLINK("#Liste_rouge!A"&amp;_xlfn.XMATCH("NA",Liste_rouge!A:A,2,1),"NA")</f>
        <v>NA</v>
      </c>
      <c r="AH22082" s="4" t="str">
        <f>HYPERLINK("#Statut_biogéographique!A"&amp;_xlfn.XMATCH("P",Statut_biogéographique!A:A,2,1),"P")</f>
        <v>P</v>
      </c>
      <c r="AP22082" s="4" t="s">
        <v>376</v>
      </c>
      <c r="AR22082" s="4" t="s">
        <v>377</v>
      </c>
    </row>
    <row r="22083" spans="1:44" ht="60">
      <c r="A22083" s="4" t="s">
        <v>24364</v>
      </c>
      <c r="B22083" s="4">
        <v>141281</v>
      </c>
      <c r="D22083" s="5" t="s">
        <v>28809</v>
      </c>
      <c r="E22083" s="6" t="str">
        <f>HYPERLINK("https://inpn.mnhn.fr/espece/cd_nom/141281","Solanum villosum subsp. miniatum (Bernh. ex Willd.) Edmonds, 1984")</f>
        <v>Solanum villosum subsp. miniatum (Bernh. ex Willd.) Edmonds, 1984</v>
      </c>
      <c r="F22083" s="5" t="s">
        <v>28810</v>
      </c>
      <c r="Q22083" s="7" t="str">
        <f>HYPERLINK("#Liste_rouge!A"&amp;_xlfn.XMATCH("LC",Liste_rouge!A:A,2,1),"LC")</f>
        <v>LC</v>
      </c>
      <c r="T22083" s="7" t="str">
        <f>HYPERLINK("#Liste_rouge!A"&amp;_xlfn.XMATCH("NA",Liste_rouge!A:A,2,1),"NA")</f>
        <v>NA</v>
      </c>
      <c r="AH22083" s="4" t="str">
        <f>HYPERLINK("#Statut_biogéographique!A"&amp;_xlfn.XMATCH("P",Statut_biogéographique!A:A,2,1),"P")</f>
        <v>P</v>
      </c>
      <c r="AP22083" s="4" t="s">
        <v>376</v>
      </c>
      <c r="AR22083" s="4" t="s">
        <v>377</v>
      </c>
    </row>
    <row r="22084" spans="1:44">
      <c r="A22084" s="4" t="s">
        <v>24364</v>
      </c>
      <c r="B22084" s="4">
        <v>141284</v>
      </c>
      <c r="D22084" s="5" t="s">
        <v>28811</v>
      </c>
      <c r="E22084" s="6" t="str">
        <f>HYPERLINK("https://inpn.mnhn.fr/espece/cd_nom/141284","Solanum villosum subsp. villosum Mill., 1768")</f>
        <v>Solanum villosum subsp. villosum Mill., 1768</v>
      </c>
      <c r="F22084" s="5" t="s">
        <v>27436</v>
      </c>
      <c r="Q22084" s="7" t="str">
        <f>HYPERLINK("#Liste_rouge!A"&amp;_xlfn.XMATCH("LC",Liste_rouge!A:A,2,1),"LC")</f>
        <v>LC</v>
      </c>
      <c r="T22084" s="7" t="str">
        <f>HYPERLINK("#Liste_rouge!A"&amp;_xlfn.XMATCH("NA",Liste_rouge!A:A,2,1),"NA")</f>
        <v>NA</v>
      </c>
      <c r="AH22084" s="4" t="str">
        <f>HYPERLINK("#Statut_biogéographique!A"&amp;_xlfn.XMATCH("P",Statut_biogéographique!A:A,2,1),"P")</f>
        <v>P</v>
      </c>
      <c r="AP22084" s="4" t="s">
        <v>376</v>
      </c>
      <c r="AR22084" s="4" t="s">
        <v>377</v>
      </c>
    </row>
    <row r="22085" spans="1:44" ht="75">
      <c r="A22085" s="4" t="s">
        <v>24364</v>
      </c>
      <c r="B22085" s="4">
        <v>141296</v>
      </c>
      <c r="D22085" s="5" t="s">
        <v>28812</v>
      </c>
      <c r="E22085" s="6" t="str">
        <f>HYPERLINK("https://inpn.mnhn.fr/espece/cd_nom/141296","Solidago virgaurea subsp. minuta (L.) Arcang., 1882")</f>
        <v>Solidago virgaurea subsp. minuta (L.) Arcang., 1882</v>
      </c>
      <c r="F22085" s="5" t="s">
        <v>28813</v>
      </c>
      <c r="Q22085" s="7" t="str">
        <f>HYPERLINK("#Liste_rouge!A"&amp;_xlfn.XMATCH("LC",Liste_rouge!A:A,2,1),"LC")</f>
        <v>LC</v>
      </c>
      <c r="AH22085" s="4" t="str">
        <f>HYPERLINK("#Statut_biogéographique!A"&amp;_xlfn.XMATCH("P",Statut_biogéographique!A:A,2,1),"P")</f>
        <v>P</v>
      </c>
      <c r="AM22085" s="4" t="s">
        <v>375</v>
      </c>
      <c r="AN22085" s="4" t="s">
        <v>375</v>
      </c>
      <c r="AO22085" s="4" t="s">
        <v>375</v>
      </c>
      <c r="AP22085" s="4" t="s">
        <v>376</v>
      </c>
      <c r="AR22085" s="4" t="s">
        <v>377</v>
      </c>
    </row>
    <row r="22086" spans="1:44" ht="45">
      <c r="A22086" s="4" t="s">
        <v>24364</v>
      </c>
      <c r="B22086" s="4">
        <v>141299</v>
      </c>
      <c r="D22086" s="5" t="s">
        <v>28814</v>
      </c>
      <c r="E22086" s="6" t="str">
        <f>HYPERLINK("https://inpn.mnhn.fr/espece/cd_nom/141299","Solidago virgaurea subsp. virgaurea L., 1753")</f>
        <v>Solidago virgaurea subsp. virgaurea L., 1753</v>
      </c>
      <c r="F22086" s="5" t="s">
        <v>27443</v>
      </c>
      <c r="Q22086" s="7" t="str">
        <f>HYPERLINK("#Liste_rouge!A"&amp;_xlfn.XMATCH("LC",Liste_rouge!A:A,2,1),"LC")</f>
        <v>LC</v>
      </c>
      <c r="T22086" s="7" t="str">
        <f>HYPERLINK("#Liste_rouge!A"&amp;_xlfn.XMATCH("LC",Liste_rouge!A:A,2,1),"LC")</f>
        <v>LC</v>
      </c>
      <c r="AE22086" s="4" t="str">
        <f>HYPERLINK("#SCAP!A"&amp;_xlfn.XMATCH("2+",SCAP!A:A,2,1),"2+")</f>
        <v>2+</v>
      </c>
      <c r="AH22086" s="4" t="str">
        <f>HYPERLINK("#Statut_biogéographique!A"&amp;_xlfn.XMATCH("P",Statut_biogéographique!A:A,2,1),"P")</f>
        <v>P</v>
      </c>
      <c r="AP22086" s="4" t="s">
        <v>376</v>
      </c>
      <c r="AR22086" s="4" t="s">
        <v>377</v>
      </c>
    </row>
    <row r="22087" spans="1:44">
      <c r="A22087" s="4" t="s">
        <v>24364</v>
      </c>
      <c r="B22087" s="4">
        <v>141301</v>
      </c>
      <c r="D22087" s="5">
        <v>141301</v>
      </c>
      <c r="E22087" s="6" t="str">
        <f>HYPERLINK("https://inpn.mnhn.fr/espece/cd_nom/141301","Sonchus arvensis subsp. arvensis L., 1753")</f>
        <v>Sonchus arvensis subsp. arvensis L., 1753</v>
      </c>
      <c r="F22087" s="5" t="s">
        <v>27446</v>
      </c>
      <c r="Q22087" s="7" t="str">
        <f>HYPERLINK("#Liste_rouge!A"&amp;_xlfn.XMATCH("LC",Liste_rouge!A:A,2,1),"LC")</f>
        <v>LC</v>
      </c>
      <c r="T22087" s="7" t="str">
        <f>HYPERLINK("#Liste_rouge!A"&amp;_xlfn.XMATCH("DD",Liste_rouge!A:A,2,1),"DD")</f>
        <v>DD</v>
      </c>
      <c r="AH22087" s="4" t="str">
        <f>HYPERLINK("#Statut_biogéographique!A"&amp;_xlfn.XMATCH("P",Statut_biogéographique!A:A,2,1),"P")</f>
        <v>P</v>
      </c>
      <c r="AM22087" s="4" t="s">
        <v>375</v>
      </c>
      <c r="AN22087" s="4" t="s">
        <v>375</v>
      </c>
      <c r="AO22087" s="4" t="s">
        <v>375</v>
      </c>
      <c r="AP22087" s="4" t="s">
        <v>376</v>
      </c>
      <c r="AR22087" s="4" t="s">
        <v>377</v>
      </c>
    </row>
    <row r="22088" spans="1:44" ht="30">
      <c r="A22088" s="4" t="s">
        <v>24364</v>
      </c>
      <c r="B22088" s="4">
        <v>141303</v>
      </c>
      <c r="D22088" s="5" t="s">
        <v>28815</v>
      </c>
      <c r="E22088" s="6" t="str">
        <f>HYPERLINK("https://inpn.mnhn.fr/espece/cd_nom/141303","Sonchus arvensis subsp. uliginosus (M.Bieb.) Nyman, 1879")</f>
        <v>Sonchus arvensis subsp. uliginosus (M.Bieb.) Nyman, 1879</v>
      </c>
      <c r="F22088" s="5" t="s">
        <v>28816</v>
      </c>
      <c r="Q22088" s="7" t="str">
        <f>HYPERLINK("#Liste_rouge!A"&amp;_xlfn.XMATCH("DD",Liste_rouge!A:A,2,1),"DD")</f>
        <v>DD</v>
      </c>
      <c r="AH22088" s="4" t="str">
        <f>HYPERLINK("#Statut_biogéographique!A"&amp;_xlfn.XMATCH("P",Statut_biogéographique!A:A,2,1),"P")</f>
        <v>P</v>
      </c>
      <c r="AM22088" s="4" t="s">
        <v>375</v>
      </c>
      <c r="AN22088" s="4" t="s">
        <v>375</v>
      </c>
      <c r="AO22088" s="4" t="s">
        <v>375</v>
      </c>
      <c r="AP22088" s="4" t="s">
        <v>376</v>
      </c>
      <c r="AR22088" s="4" t="s">
        <v>377</v>
      </c>
    </row>
    <row r="22089" spans="1:44" ht="30">
      <c r="A22089" s="4" t="s">
        <v>24364</v>
      </c>
      <c r="B22089" s="4">
        <v>141304</v>
      </c>
      <c r="D22089" s="5" t="s">
        <v>28817</v>
      </c>
      <c r="E22089" s="6" t="str">
        <f>HYPERLINK("https://inpn.mnhn.fr/espece/cd_nom/141304","Sonchus asper subsp. asper (L.) Hill, 1769")</f>
        <v>Sonchus asper subsp. asper (L.) Hill, 1769</v>
      </c>
      <c r="F22089" s="5" t="s">
        <v>28818</v>
      </c>
      <c r="Q22089" s="7" t="str">
        <f>HYPERLINK("#Liste_rouge!A"&amp;_xlfn.XMATCH("LC",Liste_rouge!A:A,2,1),"LC")</f>
        <v>LC</v>
      </c>
      <c r="T22089" s="7" t="str">
        <f>HYPERLINK("#Liste_rouge!A"&amp;_xlfn.XMATCH("DD",Liste_rouge!A:A,2,1),"DD")</f>
        <v>DD</v>
      </c>
      <c r="AH22089" s="4" t="str">
        <f>HYPERLINK("#Statut_biogéographique!A"&amp;_xlfn.XMATCH("P",Statut_biogéographique!A:A,2,1),"P")</f>
        <v>P</v>
      </c>
      <c r="AP22089" s="4" t="s">
        <v>376</v>
      </c>
      <c r="AR22089" s="4" t="s">
        <v>377</v>
      </c>
    </row>
    <row r="22090" spans="1:44" ht="30">
      <c r="A22090" s="4" t="s">
        <v>24364</v>
      </c>
      <c r="B22090" s="4">
        <v>141317</v>
      </c>
      <c r="D22090" s="5" t="s">
        <v>28819</v>
      </c>
      <c r="E22090" s="6" t="str">
        <f>HYPERLINK("https://inpn.mnhn.fr/espece/cd_nom/141317","Sorbus aucuparia subsp. aucuparia L., 1753")</f>
        <v>Sorbus aucuparia subsp. aucuparia L., 1753</v>
      </c>
      <c r="F22090" s="5" t="s">
        <v>27459</v>
      </c>
      <c r="Q22090" s="7" t="str">
        <f>HYPERLINK("#Liste_rouge!A"&amp;_xlfn.XMATCH("LC",Liste_rouge!A:A,2,1),"LC")</f>
        <v>LC</v>
      </c>
      <c r="AH22090" s="4" t="str">
        <f>HYPERLINK("#Statut_biogéographique!A"&amp;_xlfn.XMATCH("P",Statut_biogéographique!A:A,2,1),"P")</f>
        <v>P</v>
      </c>
      <c r="AP22090" s="4" t="s">
        <v>376</v>
      </c>
      <c r="AR22090" s="4" t="s">
        <v>377</v>
      </c>
    </row>
    <row r="22091" spans="1:44">
      <c r="A22091" s="4" t="s">
        <v>24364</v>
      </c>
      <c r="B22091" s="4">
        <v>141406</v>
      </c>
      <c r="D22091" s="5">
        <v>141406</v>
      </c>
      <c r="E22091" s="6" t="str">
        <f>HYPERLINK("https://inpn.mnhn.fr/espece/cd_nom/141406","Stachys germanica subsp. germanica L., 1753")</f>
        <v>Stachys germanica subsp. germanica L., 1753</v>
      </c>
      <c r="F22091" s="5" t="s">
        <v>27537</v>
      </c>
      <c r="Q22091" s="7" t="str">
        <f>HYPERLINK("#Liste_rouge!A"&amp;_xlfn.XMATCH("LC",Liste_rouge!A:A,2,1),"LC")</f>
        <v>LC</v>
      </c>
      <c r="T22091" s="7" t="str">
        <f>HYPERLINK("#Liste_rouge!A"&amp;_xlfn.XMATCH("DD",Liste_rouge!A:A,2,1),"DD")</f>
        <v>DD</v>
      </c>
      <c r="AH22091" s="4" t="str">
        <f>HYPERLINK("#Statut_biogéographique!A"&amp;_xlfn.XMATCH("P",Statut_biogéographique!A:A,2,1),"P")</f>
        <v>P</v>
      </c>
      <c r="AM22091" s="4" t="s">
        <v>375</v>
      </c>
      <c r="AN22091" s="4" t="s">
        <v>375</v>
      </c>
      <c r="AO22091" s="4" t="s">
        <v>375</v>
      </c>
      <c r="AP22091" s="4" t="s">
        <v>376</v>
      </c>
      <c r="AR22091" s="4" t="s">
        <v>377</v>
      </c>
    </row>
    <row r="22092" spans="1:44">
      <c r="A22092" s="4" t="s">
        <v>24364</v>
      </c>
      <c r="B22092" s="4">
        <v>141418</v>
      </c>
      <c r="D22092" s="5" t="s">
        <v>28820</v>
      </c>
      <c r="E22092" s="6" t="str">
        <f>HYPERLINK("https://inpn.mnhn.fr/espece/cd_nom/141418","Stachys recta subsp. recta L., 1767")</f>
        <v>Stachys recta subsp. recta L., 1767</v>
      </c>
      <c r="F22092" s="5" t="s">
        <v>27545</v>
      </c>
      <c r="AH22092" s="4" t="str">
        <f>HYPERLINK("#Statut_biogéographique!A"&amp;_xlfn.XMATCH("P",Statut_biogéographique!A:A,2,1),"P")</f>
        <v>P</v>
      </c>
      <c r="AM22092" s="4" t="s">
        <v>375</v>
      </c>
      <c r="AN22092" s="4" t="s">
        <v>375</v>
      </c>
      <c r="AO22092" s="4" t="s">
        <v>375</v>
      </c>
      <c r="AP22092" s="4" t="s">
        <v>376</v>
      </c>
      <c r="AR22092" s="4" t="s">
        <v>377</v>
      </c>
    </row>
    <row r="22093" spans="1:44" ht="30">
      <c r="A22093" s="4" t="s">
        <v>24364</v>
      </c>
      <c r="B22093" s="4">
        <v>141461</v>
      </c>
      <c r="D22093" s="5" t="s">
        <v>28821</v>
      </c>
      <c r="E22093" s="6" t="str">
        <f>HYPERLINK("https://inpn.mnhn.fr/espece/cd_nom/141461","Stellaria nemorum subsp. montana Berher, 1887")</f>
        <v>Stellaria nemorum subsp. montana Berher, 1887</v>
      </c>
      <c r="F22093" s="5" t="s">
        <v>28822</v>
      </c>
      <c r="Q22093" s="7" t="str">
        <f>HYPERLINK("#Liste_rouge!A"&amp;_xlfn.XMATCH("LC",Liste_rouge!A:A,2,1),"LC")</f>
        <v>LC</v>
      </c>
      <c r="T22093" s="7" t="str">
        <f>HYPERLINK("#Liste_rouge!A"&amp;_xlfn.XMATCH("DD",Liste_rouge!A:A,2,1),"DD")</f>
        <v>DD</v>
      </c>
      <c r="AH22093" s="4" t="str">
        <f>HYPERLINK("#Statut_biogéographique!A"&amp;_xlfn.XMATCH("P",Statut_biogéographique!A:A,2,1),"P")</f>
        <v>P</v>
      </c>
      <c r="AM22093" s="4" t="s">
        <v>375</v>
      </c>
      <c r="AN22093" s="4" t="s">
        <v>375</v>
      </c>
      <c r="AO22093" s="4" t="s">
        <v>375</v>
      </c>
      <c r="AP22093" s="4" t="s">
        <v>376</v>
      </c>
      <c r="AR22093" s="4" t="s">
        <v>377</v>
      </c>
    </row>
    <row r="22094" spans="1:44">
      <c r="A22094" s="4" t="s">
        <v>24364</v>
      </c>
      <c r="B22094" s="4">
        <v>141462</v>
      </c>
      <c r="D22094" s="5" t="s">
        <v>28823</v>
      </c>
      <c r="E22094" s="6" t="str">
        <f>HYPERLINK("https://inpn.mnhn.fr/espece/cd_nom/141462","Stellaria nemorum subsp. nemorum L., 1753")</f>
        <v>Stellaria nemorum subsp. nemorum L., 1753</v>
      </c>
      <c r="F22094" s="5" t="s">
        <v>27566</v>
      </c>
      <c r="Q22094" s="7" t="str">
        <f>HYPERLINK("#Liste_rouge!A"&amp;_xlfn.XMATCH("LC",Liste_rouge!A:A,2,1),"LC")</f>
        <v>LC</v>
      </c>
      <c r="T22094" s="7" t="str">
        <f>HYPERLINK("#Liste_rouge!A"&amp;_xlfn.XMATCH("DD",Liste_rouge!A:A,2,1),"DD")</f>
        <v>DD</v>
      </c>
      <c r="AH22094" s="4" t="str">
        <f>HYPERLINK("#Statut_biogéographique!A"&amp;_xlfn.XMATCH("P",Statut_biogéographique!A:A,2,1),"P")</f>
        <v>P</v>
      </c>
      <c r="AM22094" s="4" t="s">
        <v>375</v>
      </c>
      <c r="AN22094" s="4" t="s">
        <v>375</v>
      </c>
      <c r="AO22094" s="4" t="s">
        <v>375</v>
      </c>
      <c r="AP22094" s="4" t="s">
        <v>376</v>
      </c>
      <c r="AR22094" s="4" t="s">
        <v>377</v>
      </c>
    </row>
    <row r="22095" spans="1:44" ht="30">
      <c r="A22095" s="4" t="s">
        <v>24364</v>
      </c>
      <c r="B22095" s="4">
        <v>141499</v>
      </c>
      <c r="D22095" s="5">
        <v>141499</v>
      </c>
      <c r="E22095" s="6" t="str">
        <f>HYPERLINK("https://inpn.mnhn.fr/espece/cd_nom/141499","Symphytum officinale subsp. officinale L., 1753")</f>
        <v>Symphytum officinale subsp. officinale L., 1753</v>
      </c>
      <c r="F22095" s="5" t="s">
        <v>27596</v>
      </c>
      <c r="AH22095" s="4" t="str">
        <f>HYPERLINK("#Statut_biogéographique!A"&amp;_xlfn.XMATCH("P",Statut_biogéographique!A:A,2,1),"P")</f>
        <v>P</v>
      </c>
      <c r="AP22095" s="4" t="s">
        <v>376</v>
      </c>
      <c r="AR22095" s="4" t="s">
        <v>377</v>
      </c>
    </row>
    <row r="22096" spans="1:44">
      <c r="A22096" s="4" t="s">
        <v>24364</v>
      </c>
      <c r="B22096" s="4">
        <v>141540</v>
      </c>
      <c r="D22096" s="5" t="s">
        <v>28824</v>
      </c>
      <c r="E22096" s="6" t="str">
        <f>HYPERLINK("https://inpn.mnhn.fr/espece/cd_nom/141540","Telephium imperati subsp. imperati L., 1753")</f>
        <v>Telephium imperati subsp. imperati L., 1753</v>
      </c>
      <c r="F22096" s="5" t="s">
        <v>27656</v>
      </c>
      <c r="M22096" s="4" t="str">
        <f>HYPERLINK("#Réglementation!A"&amp;_xlfn.XMATCH("RV43",Réglementation!A:A,2,1),"RV43")</f>
        <v>RV43</v>
      </c>
      <c r="AH22096" s="4" t="str">
        <f>HYPERLINK("#Statut_biogéographique!A"&amp;_xlfn.XMATCH("P",Statut_biogéographique!A:A,2,1),"P")</f>
        <v>P</v>
      </c>
      <c r="AP22096" s="4" t="s">
        <v>376</v>
      </c>
      <c r="AR22096" s="4" t="s">
        <v>377</v>
      </c>
    </row>
    <row r="22097" spans="1:44" ht="60">
      <c r="A22097" s="4" t="s">
        <v>24364</v>
      </c>
      <c r="B22097" s="4">
        <v>141543</v>
      </c>
      <c r="D22097" s="5" t="s">
        <v>28825</v>
      </c>
      <c r="E22097" s="6" t="str">
        <f>HYPERLINK("https://inpn.mnhn.fr/espece/cd_nom/141543","Tephroseris helenitis subsp. helenitis (L.) B.Nord., 1978")</f>
        <v>Tephroseris helenitis subsp. helenitis (L.) B.Nord., 1978</v>
      </c>
      <c r="F22097" s="5" t="s">
        <v>27658</v>
      </c>
      <c r="M22097" s="4" t="str">
        <f>HYPERLINK("#Réglementation!A"&amp;_xlfn.XMATCH("RV26",Réglementation!A:A,2,1),"RV26 - RV43")</f>
        <v>RV26 - RV43</v>
      </c>
      <c r="Q22097" s="7" t="str">
        <f>HYPERLINK("#Liste_rouge!A"&amp;_xlfn.XMATCH("LC",Liste_rouge!A:A,2,1),"LC")</f>
        <v>LC</v>
      </c>
      <c r="T22097" s="7" t="str">
        <f>HYPERLINK("#Liste_rouge!A"&amp;_xlfn.XMATCH("DD",Liste_rouge!A:A,2,1),"DD")</f>
        <v>DD</v>
      </c>
      <c r="AH22097" s="4" t="str">
        <f>HYPERLINK("#Statut_biogéographique!A"&amp;_xlfn.XMATCH("P",Statut_biogéographique!A:A,2,1),"P")</f>
        <v>P</v>
      </c>
      <c r="AM22097" s="4" t="s">
        <v>375</v>
      </c>
      <c r="AN22097" s="4" t="s">
        <v>375</v>
      </c>
      <c r="AO22097" s="4" t="s">
        <v>375</v>
      </c>
      <c r="AP22097" s="4" t="s">
        <v>376</v>
      </c>
      <c r="AR22097" s="4" t="s">
        <v>377</v>
      </c>
    </row>
    <row r="22098" spans="1:44" ht="45">
      <c r="A22098" s="4" t="s">
        <v>24364</v>
      </c>
      <c r="B22098" s="4">
        <v>141546</v>
      </c>
      <c r="D22098" s="5" t="s">
        <v>28826</v>
      </c>
      <c r="E22098" s="6" t="str">
        <f>HYPERLINK("https://inpn.mnhn.fr/espece/cd_nom/141546","Tephroseris integrifolia subsp. integrifolia (L.) Holub, 1973")</f>
        <v>Tephroseris integrifolia subsp. integrifolia (L.) Holub, 1973</v>
      </c>
      <c r="F22098" s="5" t="s">
        <v>27660</v>
      </c>
      <c r="Q22098" s="7" t="str">
        <f>HYPERLINK("#Liste_rouge!A"&amp;_xlfn.XMATCH("LC",Liste_rouge!A:A,2,1),"LC")</f>
        <v>LC</v>
      </c>
      <c r="AH22098" s="4" t="str">
        <f>HYPERLINK("#Statut_biogéographique!A"&amp;_xlfn.XMATCH("P",Statut_biogéographique!A:A,2,1),"P")</f>
        <v>P</v>
      </c>
      <c r="AP22098" s="4" t="s">
        <v>376</v>
      </c>
      <c r="AR22098" s="4" t="s">
        <v>377</v>
      </c>
    </row>
    <row r="22099" spans="1:44" ht="285">
      <c r="A22099" s="4" t="s">
        <v>24364</v>
      </c>
      <c r="B22099" s="4">
        <v>141630</v>
      </c>
      <c r="D22099" s="5" t="s">
        <v>28827</v>
      </c>
      <c r="E22099" s="6" t="str">
        <f>HYPERLINK("https://inpn.mnhn.fr/espece/cd_nom/141630","Thalictrum minus subsp. saxatile (Schleich. ex DC.) Ces., 1844")</f>
        <v>Thalictrum minus subsp. saxatile (Schleich. ex DC.) Ces., 1844</v>
      </c>
      <c r="F22099" s="5" t="s">
        <v>28828</v>
      </c>
      <c r="Q22099" s="7" t="str">
        <f>HYPERLINK("#Liste_rouge!A"&amp;_xlfn.XMATCH("LC",Liste_rouge!A:A,2,1),"LC")</f>
        <v>LC</v>
      </c>
      <c r="T22099" s="7" t="str">
        <f>HYPERLINK("#Liste_rouge!A"&amp;_xlfn.XMATCH("NT",Liste_rouge!A:A,2,1),"NT")</f>
        <v>NT</v>
      </c>
      <c r="U22099" s="4" t="str">
        <f>HYPERLINK("#Critères_liste_rouge!A$1","pr. D2")</f>
        <v>pr. D2</v>
      </c>
      <c r="AB22099" s="4" t="s">
        <v>25757</v>
      </c>
      <c r="AH22099" s="4" t="str">
        <f>HYPERLINK("#Statut_biogéographique!A"&amp;_xlfn.XMATCH("P",Statut_biogéographique!A:A,2,1),"P")</f>
        <v>P</v>
      </c>
      <c r="AM22099" s="4" t="s">
        <v>375</v>
      </c>
      <c r="AN22099" s="4" t="s">
        <v>375</v>
      </c>
      <c r="AO22099" s="4" t="s">
        <v>375</v>
      </c>
      <c r="AP22099" s="4" t="s">
        <v>376</v>
      </c>
      <c r="AR22099" s="4" t="s">
        <v>377</v>
      </c>
    </row>
    <row r="22100" spans="1:44" ht="30">
      <c r="A22100" s="4" t="s">
        <v>24364</v>
      </c>
      <c r="B22100" s="4">
        <v>141636</v>
      </c>
      <c r="D22100" s="5" t="s">
        <v>28829</v>
      </c>
      <c r="E22100" s="6" t="str">
        <f>HYPERLINK("https://inpn.mnhn.fr/espece/cd_nom/141636","Thalictrum simplex subsp. galioides (DC.) Korsh., 1893")</f>
        <v>Thalictrum simplex subsp. galioides (DC.) Korsh., 1893</v>
      </c>
      <c r="F22100" s="5" t="s">
        <v>28830</v>
      </c>
      <c r="Q22100" s="7" t="str">
        <f>HYPERLINK("#Liste_rouge!A"&amp;_xlfn.XMATCH("DD",Liste_rouge!A:A,2,1),"DD")</f>
        <v>DD</v>
      </c>
      <c r="AH22100" s="4" t="str">
        <f>HYPERLINK("#Statut_biogéographique!A"&amp;_xlfn.XMATCH("P",Statut_biogéographique!A:A,2,1),"P")</f>
        <v>P</v>
      </c>
      <c r="AP22100" s="4" t="s">
        <v>376</v>
      </c>
      <c r="AR22100" s="4" t="s">
        <v>377</v>
      </c>
    </row>
    <row r="22101" spans="1:44" ht="30">
      <c r="A22101" s="4" t="s">
        <v>24364</v>
      </c>
      <c r="B22101" s="4">
        <v>141645</v>
      </c>
      <c r="D22101" s="5" t="s">
        <v>28831</v>
      </c>
      <c r="E22101" s="6" t="str">
        <f>HYPERLINK("https://inpn.mnhn.fr/espece/cd_nom/141645","Thesium humifusum subsp. divaricatum (Mert. &amp; W.D.J.Koch) Bonnier &amp; Layens, 1894")</f>
        <v>Thesium humifusum subsp. divaricatum (Mert. &amp; W.D.J.Koch) Bonnier &amp; Layens, 1894</v>
      </c>
      <c r="F22101" s="5" t="s">
        <v>28832</v>
      </c>
      <c r="M22101" s="4" t="str">
        <f>HYPERLINK("#Réglementation!A"&amp;_xlfn.XMATCH("RV43",Réglementation!A:A,2,1),"RV43")</f>
        <v>RV43</v>
      </c>
      <c r="Q22101" s="7" t="str">
        <f>HYPERLINK("#Liste_rouge!A"&amp;_xlfn.XMATCH("LC",Liste_rouge!A:A,2,1),"LC")</f>
        <v>LC</v>
      </c>
      <c r="T22101" s="7" t="str">
        <f>HYPERLINK("#Liste_rouge!A"&amp;_xlfn.XMATCH("NT",Liste_rouge!A:A,2,1),"NT")</f>
        <v>NT</v>
      </c>
      <c r="U22101" s="4" t="str">
        <f>HYPERLINK("#Critères_liste_rouge!A$1","pr. B2a")</f>
        <v>pr. B2a</v>
      </c>
      <c r="AB22101" s="4" t="s">
        <v>24767</v>
      </c>
      <c r="AH22101" s="4" t="str">
        <f>HYPERLINK("#Statut_biogéographique!A"&amp;_xlfn.XMATCH("P",Statut_biogéographique!A:A,2,1),"P")</f>
        <v>P</v>
      </c>
      <c r="AM22101" s="4" t="s">
        <v>375</v>
      </c>
      <c r="AN22101" s="4" t="s">
        <v>375</v>
      </c>
      <c r="AO22101" s="4" t="s">
        <v>375</v>
      </c>
      <c r="AP22101" s="4" t="s">
        <v>376</v>
      </c>
      <c r="AR22101" s="4" t="s">
        <v>377</v>
      </c>
    </row>
    <row r="22102" spans="1:44" ht="30">
      <c r="A22102" s="4" t="s">
        <v>24364</v>
      </c>
      <c r="B22102" s="4">
        <v>141650</v>
      </c>
      <c r="D22102" s="5" t="s">
        <v>28833</v>
      </c>
      <c r="E22102" s="6" t="str">
        <f>HYPERLINK("https://inpn.mnhn.fr/espece/cd_nom/141650","Thesium pyrenaicum subsp. pyrenaicum Pourr., 1788")</f>
        <v>Thesium pyrenaicum subsp. pyrenaicum Pourr., 1788</v>
      </c>
      <c r="F22102" s="5" t="s">
        <v>27696</v>
      </c>
      <c r="T22102" s="7" t="str">
        <f>HYPERLINK("#Liste_rouge!A"&amp;_xlfn.XMATCH("NE",Liste_rouge!A:A,2,1),"NE")</f>
        <v>NE</v>
      </c>
      <c r="AH22102" s="4" t="str">
        <f>HYPERLINK("#Statut_biogéographique!A"&amp;_xlfn.XMATCH("P",Statut_biogéographique!A:A,2,1),"P")</f>
        <v>P</v>
      </c>
      <c r="AP22102" s="4" t="s">
        <v>376</v>
      </c>
      <c r="AR22102" s="4" t="s">
        <v>377</v>
      </c>
    </row>
    <row r="22103" spans="1:44" ht="30">
      <c r="A22103" s="4" t="s">
        <v>24364</v>
      </c>
      <c r="B22103" s="4">
        <v>141689</v>
      </c>
      <c r="D22103" s="5" t="s">
        <v>28834</v>
      </c>
      <c r="E22103" s="6" t="str">
        <f>HYPERLINK("https://inpn.mnhn.fr/espece/cd_nom/141689","Thymelaea passerina subsp. pubescens (Guss.) Meikle, 1985")</f>
        <v>Thymelaea passerina subsp. pubescens (Guss.) Meikle, 1985</v>
      </c>
      <c r="F22103" s="5" t="s">
        <v>28835</v>
      </c>
      <c r="Q22103" s="7" t="str">
        <f>HYPERLINK("#Liste_rouge!A"&amp;_xlfn.XMATCH("LC",Liste_rouge!A:A,2,1),"LC")</f>
        <v>LC</v>
      </c>
      <c r="AH22103" s="4" t="str">
        <f>HYPERLINK("#Statut_biogéographique!A"&amp;_xlfn.XMATCH("P",Statut_biogéographique!A:A,2,1),"P")</f>
        <v>P</v>
      </c>
      <c r="AP22103" s="4" t="s">
        <v>376</v>
      </c>
      <c r="AR22103" s="4" t="s">
        <v>377</v>
      </c>
    </row>
    <row r="22104" spans="1:44" ht="30">
      <c r="A22104" s="4" t="s">
        <v>24364</v>
      </c>
      <c r="B22104" s="4">
        <v>141709</v>
      </c>
      <c r="D22104" s="5" t="s">
        <v>28836</v>
      </c>
      <c r="E22104" s="6" t="str">
        <f>HYPERLINK("https://inpn.mnhn.fr/espece/cd_nom/141709","Thymus praecox subsp. praecox Opiz, 1824")</f>
        <v>Thymus praecox subsp. praecox Opiz, 1824</v>
      </c>
      <c r="F22104" s="5" t="s">
        <v>27714</v>
      </c>
      <c r="T22104" s="7" t="str">
        <f>HYPERLINK("#Liste_rouge!A"&amp;_xlfn.XMATCH("DD",Liste_rouge!A:A,2,1),"DD")</f>
        <v>DD</v>
      </c>
      <c r="AH22104" s="4" t="str">
        <f>HYPERLINK("#Statut_biogéographique!A"&amp;_xlfn.XMATCH("Q",Statut_biogéographique!A:A,2,1),"Q")</f>
        <v>Q</v>
      </c>
      <c r="AM22104" s="4" t="s">
        <v>375</v>
      </c>
      <c r="AN22104" s="4" t="s">
        <v>375</v>
      </c>
      <c r="AO22104" s="4" t="s">
        <v>375</v>
      </c>
      <c r="AP22104" s="4" t="s">
        <v>376</v>
      </c>
      <c r="AR22104" s="4" t="s">
        <v>377</v>
      </c>
    </row>
    <row r="22105" spans="1:44" ht="45">
      <c r="A22105" s="4" t="s">
        <v>24364</v>
      </c>
      <c r="B22105" s="4">
        <v>141718</v>
      </c>
      <c r="D22105" s="5" t="s">
        <v>28837</v>
      </c>
      <c r="E22105" s="6" t="str">
        <f>HYPERLINK("https://inpn.mnhn.fr/espece/cd_nom/141718","Thymus pulegioides subsp. pulegioides L., 1753")</f>
        <v>Thymus pulegioides subsp. pulegioides L., 1753</v>
      </c>
      <c r="F22105" s="5" t="s">
        <v>27718</v>
      </c>
      <c r="AH22105" s="4" t="str">
        <f>HYPERLINK("#Statut_biogéographique!A"&amp;_xlfn.XMATCH("P",Statut_biogéographique!A:A,2,1),"P")</f>
        <v>P</v>
      </c>
      <c r="AM22105" s="4" t="s">
        <v>375</v>
      </c>
      <c r="AN22105" s="4" t="s">
        <v>375</v>
      </c>
      <c r="AO22105" s="4" t="s">
        <v>375</v>
      </c>
      <c r="AP22105" s="4" t="s">
        <v>376</v>
      </c>
      <c r="AR22105" s="4" t="s">
        <v>377</v>
      </c>
    </row>
    <row r="22106" spans="1:44" ht="45">
      <c r="A22106" s="4" t="s">
        <v>24364</v>
      </c>
      <c r="B22106" s="4">
        <v>141766</v>
      </c>
      <c r="D22106" s="5" t="s">
        <v>28838</v>
      </c>
      <c r="E22106" s="6" t="str">
        <f>HYPERLINK("https://inpn.mnhn.fr/espece/cd_nom/141766","Tilia platyphyllos subsp. cordifolia C.K.Schneid., 1909")</f>
        <v>Tilia platyphyllos subsp. cordifolia C.K.Schneid., 1909</v>
      </c>
      <c r="F22106" s="5" t="s">
        <v>28839</v>
      </c>
      <c r="Q22106" s="7" t="str">
        <f>HYPERLINK("#Liste_rouge!A"&amp;_xlfn.XMATCH("LC",Liste_rouge!A:A,2,1),"LC")</f>
        <v>LC</v>
      </c>
      <c r="T22106" s="7" t="str">
        <f>HYPERLINK("#Liste_rouge!A"&amp;_xlfn.XMATCH("DD",Liste_rouge!A:A,2,1),"DD")</f>
        <v>DD</v>
      </c>
      <c r="AH22106" s="4" t="str">
        <f>HYPERLINK("#Statut_biogéographique!A"&amp;_xlfn.XMATCH("P",Statut_biogéographique!A:A,2,1),"P")</f>
        <v>P</v>
      </c>
      <c r="AM22106" s="4" t="s">
        <v>375</v>
      </c>
      <c r="AN22106" s="4" t="s">
        <v>375</v>
      </c>
      <c r="AO22106" s="4" t="s">
        <v>375</v>
      </c>
      <c r="AP22106" s="4" t="s">
        <v>376</v>
      </c>
      <c r="AR22106" s="4" t="s">
        <v>377</v>
      </c>
    </row>
    <row r="22107" spans="1:44" ht="30">
      <c r="A22107" s="4" t="s">
        <v>24364</v>
      </c>
      <c r="B22107" s="4">
        <v>141793</v>
      </c>
      <c r="D22107" s="5" t="s">
        <v>28840</v>
      </c>
      <c r="E22107" s="6" t="str">
        <f>HYPERLINK("https://inpn.mnhn.fr/espece/cd_nom/141793","Torilis arvensis subsp. arvensis (Huds.) Link, 1821")</f>
        <v>Torilis arvensis subsp. arvensis (Huds.) Link, 1821</v>
      </c>
      <c r="F22107" s="5" t="s">
        <v>27743</v>
      </c>
      <c r="Q22107" s="7" t="str">
        <f>HYPERLINK("#Liste_rouge!A"&amp;_xlfn.XMATCH("LC",Liste_rouge!A:A,2,1),"LC")</f>
        <v>LC</v>
      </c>
      <c r="T22107" s="7" t="str">
        <f>HYPERLINK("#Liste_rouge!A"&amp;_xlfn.XMATCH("DD",Liste_rouge!A:A,2,1),"DD")</f>
        <v>DD</v>
      </c>
      <c r="AH22107" s="4" t="str">
        <f>HYPERLINK("#Statut_biogéographique!A"&amp;_xlfn.XMATCH("P",Statut_biogéographique!A:A,2,1),"P")</f>
        <v>P</v>
      </c>
      <c r="AP22107" s="4" t="s">
        <v>376</v>
      </c>
      <c r="AR22107" s="4" t="s">
        <v>377</v>
      </c>
    </row>
    <row r="22108" spans="1:44" ht="45">
      <c r="A22108" s="4" t="s">
        <v>24364</v>
      </c>
      <c r="B22108" s="4">
        <v>141797</v>
      </c>
      <c r="D22108" s="5" t="s">
        <v>28841</v>
      </c>
      <c r="E22108" s="6" t="str">
        <f>HYPERLINK("https://inpn.mnhn.fr/espece/cd_nom/141797","Torilis arvensis subsp. neglecta (Rouy &amp; E.G.Camus) Thell., 1912")</f>
        <v>Torilis arvensis subsp. neglecta (Rouy &amp; E.G.Camus) Thell., 1912</v>
      </c>
      <c r="F22108" s="5" t="s">
        <v>28842</v>
      </c>
      <c r="Q22108" s="7" t="str">
        <f>HYPERLINK("#Liste_rouge!A"&amp;_xlfn.XMATCH("NA",Liste_rouge!A:A,2,1),"NA")</f>
        <v>NA</v>
      </c>
      <c r="T22108" s="7" t="str">
        <f>HYPERLINK("#Liste_rouge!A"&amp;_xlfn.XMATCH("NA",Liste_rouge!A:A,2,1),"NA")</f>
        <v>NA</v>
      </c>
      <c r="AH22108" s="4" t="str">
        <f>HYPERLINK("#Statut_biogéographique!A"&amp;_xlfn.XMATCH("I",Statut_biogéographique!A:A,2,1),"I")</f>
        <v>I</v>
      </c>
      <c r="AP22108" s="4" t="s">
        <v>376</v>
      </c>
      <c r="AR22108" s="4" t="s">
        <v>377</v>
      </c>
    </row>
    <row r="22109" spans="1:44" ht="30">
      <c r="A22109" s="4" t="s">
        <v>24364</v>
      </c>
      <c r="B22109" s="4">
        <v>141803</v>
      </c>
      <c r="D22109" s="5">
        <v>141803</v>
      </c>
      <c r="E22109" s="6" t="str">
        <f>HYPERLINK("https://inpn.mnhn.fr/espece/cd_nom/141803","Torilis nodosa subsp. nodosa (L.) Gaertn., 1788")</f>
        <v>Torilis nodosa subsp. nodosa (L.) Gaertn., 1788</v>
      </c>
      <c r="F22109" s="5" t="s">
        <v>27750</v>
      </c>
      <c r="Q22109" s="7" t="str">
        <f>HYPERLINK("#Liste_rouge!A"&amp;_xlfn.XMATCH("LC",Liste_rouge!A:A,2,1),"LC")</f>
        <v>LC</v>
      </c>
      <c r="AH22109" s="4" t="str">
        <f>HYPERLINK("#Statut_biogéographique!A"&amp;_xlfn.XMATCH("P",Statut_biogéographique!A:A,2,1),"P")</f>
        <v>P</v>
      </c>
      <c r="AM22109" s="4" t="s">
        <v>375</v>
      </c>
      <c r="AN22109" s="4" t="s">
        <v>375</v>
      </c>
      <c r="AO22109" s="4" t="s">
        <v>375</v>
      </c>
      <c r="AP22109" s="4" t="s">
        <v>376</v>
      </c>
      <c r="AR22109" s="4" t="s">
        <v>377</v>
      </c>
    </row>
    <row r="22110" spans="1:44" ht="30">
      <c r="A22110" s="4" t="s">
        <v>24364</v>
      </c>
      <c r="B22110" s="4">
        <v>141819</v>
      </c>
      <c r="D22110" s="5" t="s">
        <v>28843</v>
      </c>
      <c r="E22110" s="6" t="str">
        <f>HYPERLINK("https://inpn.mnhn.fr/espece/cd_nom/141819","Tragopogon pratensis subsp. minor (Mill.) Hartm., 1846")</f>
        <v>Tragopogon pratensis subsp. minor (Mill.) Hartm., 1846</v>
      </c>
      <c r="F22110" s="5" t="s">
        <v>28844</v>
      </c>
      <c r="Q22110" s="7" t="str">
        <f>HYPERLINK("#Liste_rouge!A"&amp;_xlfn.XMATCH("DD",Liste_rouge!A:A,2,1),"DD")</f>
        <v>DD</v>
      </c>
      <c r="T22110" s="7" t="str">
        <f>HYPERLINK("#Liste_rouge!A"&amp;_xlfn.XMATCH("LC",Liste_rouge!A:A,2,1),"LC")</f>
        <v>LC</v>
      </c>
      <c r="AH22110" s="4" t="str">
        <f>HYPERLINK("#Statut_biogéographique!A"&amp;_xlfn.XMATCH("P",Statut_biogéographique!A:A,2,1),"P")</f>
        <v>P</v>
      </c>
      <c r="AM22110" s="4" t="s">
        <v>375</v>
      </c>
      <c r="AN22110" s="4" t="s">
        <v>375</v>
      </c>
      <c r="AO22110" s="4" t="s">
        <v>375</v>
      </c>
      <c r="AP22110" s="4" t="s">
        <v>376</v>
      </c>
      <c r="AR22110" s="4" t="s">
        <v>377</v>
      </c>
    </row>
    <row r="22111" spans="1:44" ht="45">
      <c r="A22111" s="4" t="s">
        <v>24364</v>
      </c>
      <c r="B22111" s="4">
        <v>141820</v>
      </c>
      <c r="D22111" s="5" t="s">
        <v>28845</v>
      </c>
      <c r="E22111" s="6" t="str">
        <f>HYPERLINK("https://inpn.mnhn.fr/espece/cd_nom/141820","Tragopogon pratensis subsp. orientalis (L.) Čelak., 1871")</f>
        <v>Tragopogon pratensis subsp. orientalis (L.) Čelak., 1871</v>
      </c>
      <c r="F22111" s="5" t="s">
        <v>28846</v>
      </c>
      <c r="Q22111" s="7" t="str">
        <f>HYPERLINK("#Liste_rouge!A"&amp;_xlfn.XMATCH("LC",Liste_rouge!A:A,2,1),"LC")</f>
        <v>LC</v>
      </c>
      <c r="T22111" s="7" t="str">
        <f>HYPERLINK("#Liste_rouge!A"&amp;_xlfn.XMATCH("LC",Liste_rouge!A:A,2,1),"LC")</f>
        <v>LC</v>
      </c>
      <c r="AH22111" s="4" t="str">
        <f>HYPERLINK("#Statut_biogéographique!A"&amp;_xlfn.XMATCH("P",Statut_biogéographique!A:A,2,1),"P")</f>
        <v>P</v>
      </c>
      <c r="AM22111" s="4" t="s">
        <v>375</v>
      </c>
      <c r="AN22111" s="4" t="s">
        <v>375</v>
      </c>
      <c r="AO22111" s="4" t="s">
        <v>375</v>
      </c>
      <c r="AP22111" s="4" t="s">
        <v>376</v>
      </c>
      <c r="AR22111" s="4" t="s">
        <v>377</v>
      </c>
    </row>
    <row r="22112" spans="1:44" ht="30">
      <c r="A22112" s="4" t="s">
        <v>24364</v>
      </c>
      <c r="B22112" s="4">
        <v>141821</v>
      </c>
      <c r="D22112" s="5" t="s">
        <v>28847</v>
      </c>
      <c r="E22112" s="6" t="str">
        <f>HYPERLINK("https://inpn.mnhn.fr/espece/cd_nom/141821","Tragopogon pratensis subsp. pratensis L., 1753")</f>
        <v>Tragopogon pratensis subsp. pratensis L., 1753</v>
      </c>
      <c r="F22112" s="5" t="s">
        <v>27759</v>
      </c>
      <c r="Q22112" s="7" t="str">
        <f>HYPERLINK("#Liste_rouge!A"&amp;_xlfn.XMATCH("LC",Liste_rouge!A:A,2,1),"LC")</f>
        <v>LC</v>
      </c>
      <c r="T22112" s="7" t="str">
        <f>HYPERLINK("#Liste_rouge!A"&amp;_xlfn.XMATCH("LC",Liste_rouge!A:A,2,1),"LC")</f>
        <v>LC</v>
      </c>
      <c r="AH22112" s="4" t="str">
        <f>HYPERLINK("#Statut_biogéographique!A"&amp;_xlfn.XMATCH("P",Statut_biogéographique!A:A,2,1),"P")</f>
        <v>P</v>
      </c>
      <c r="AM22112" s="4" t="s">
        <v>375</v>
      </c>
      <c r="AN22112" s="4" t="s">
        <v>375</v>
      </c>
      <c r="AO22112" s="4" t="s">
        <v>375</v>
      </c>
      <c r="AP22112" s="4" t="s">
        <v>376</v>
      </c>
      <c r="AR22112" s="4" t="s">
        <v>377</v>
      </c>
    </row>
    <row r="22113" spans="1:44" ht="30">
      <c r="A22113" s="4" t="s">
        <v>24364</v>
      </c>
      <c r="B22113" s="4">
        <v>141824</v>
      </c>
      <c r="D22113" s="5" t="s">
        <v>28848</v>
      </c>
      <c r="E22113" s="6" t="str">
        <f>HYPERLINK("https://inpn.mnhn.fr/espece/cd_nom/141824","Trichophorum cespitosum subsp. cespitosum (L.) Hartm., 1849")</f>
        <v>Trichophorum cespitosum subsp. cespitosum (L.) Hartm., 1849</v>
      </c>
      <c r="F22113" s="5" t="s">
        <v>27769</v>
      </c>
      <c r="M22113" s="4" t="str">
        <f>HYPERLINK("#Réglementation!A"&amp;_xlfn.XMATCH("RV26",Réglementation!A:A,2,1),"RV26")</f>
        <v>RV26</v>
      </c>
      <c r="Q22113" s="7" t="str">
        <f>HYPERLINK("#Liste_rouge!A"&amp;_xlfn.XMATCH("LC",Liste_rouge!A:A,2,1),"LC")</f>
        <v>LC</v>
      </c>
      <c r="T22113" s="7" t="str">
        <f>HYPERLINK("#Liste_rouge!A"&amp;_xlfn.XMATCH("DD",Liste_rouge!A:A,2,1),"DD")</f>
        <v>DD</v>
      </c>
      <c r="AH22113" s="4" t="str">
        <f>HYPERLINK("#Statut_biogéographique!A"&amp;_xlfn.XMATCH("P",Statut_biogéographique!A:A,2,1),"P")</f>
        <v>P</v>
      </c>
      <c r="AP22113" s="4" t="s">
        <v>376</v>
      </c>
      <c r="AR22113" s="4" t="s">
        <v>377</v>
      </c>
    </row>
    <row r="22114" spans="1:44" ht="30">
      <c r="A22114" s="4" t="s">
        <v>24364</v>
      </c>
      <c r="B22114" s="4">
        <v>141825</v>
      </c>
      <c r="D22114" s="5" t="s">
        <v>28849</v>
      </c>
      <c r="E22114" s="6" t="str">
        <f>HYPERLINK("https://inpn.mnhn.fr/espece/cd_nom/141825","Trichophorum cespitosum subsp. germanicum (Palla) Hegi, 1908")</f>
        <v>Trichophorum cespitosum subsp. germanicum (Palla) Hegi, 1908</v>
      </c>
      <c r="F22114" s="5" t="s">
        <v>28850</v>
      </c>
      <c r="M22114" s="4" t="str">
        <f>HYPERLINK("#Réglementation!A"&amp;_xlfn.XMATCH("RV26",Réglementation!A:A,2,1),"RV26")</f>
        <v>RV26</v>
      </c>
      <c r="Q22114" s="7" t="str">
        <f>HYPERLINK("#Liste_rouge!A"&amp;_xlfn.XMATCH("LC",Liste_rouge!A:A,2,1),"LC")</f>
        <v>LC</v>
      </c>
      <c r="AH22114" s="4" t="str">
        <f>HYPERLINK("#Statut_biogéographique!A"&amp;_xlfn.XMATCH("P",Statut_biogéographique!A:A,2,1),"P")</f>
        <v>P</v>
      </c>
      <c r="AM22114" s="4" t="s">
        <v>375</v>
      </c>
      <c r="AN22114" s="4" t="s">
        <v>375</v>
      </c>
      <c r="AO22114" s="4" t="s">
        <v>375</v>
      </c>
      <c r="AP22114" s="4" t="s">
        <v>376</v>
      </c>
      <c r="AR22114" s="4" t="s">
        <v>377</v>
      </c>
    </row>
    <row r="22115" spans="1:44" ht="30">
      <c r="A22115" s="4" t="s">
        <v>24364</v>
      </c>
      <c r="B22115" s="4">
        <v>141838</v>
      </c>
      <c r="D22115" s="5" t="s">
        <v>28851</v>
      </c>
      <c r="E22115" s="6" t="str">
        <f>HYPERLINK("https://inpn.mnhn.fr/espece/cd_nom/141838","Trifolium arvense var. arvense L., 1753")</f>
        <v>Trifolium arvense var. arvense L., 1753</v>
      </c>
      <c r="F22115" s="5" t="s">
        <v>27776</v>
      </c>
      <c r="T22115" s="7" t="str">
        <f>HYPERLINK("#Liste_rouge!A"&amp;_xlfn.XMATCH("LC",Liste_rouge!A:A,2,1),"LC")</f>
        <v>LC</v>
      </c>
      <c r="AH22115" s="4" t="str">
        <f>HYPERLINK("#Statut_biogéographique!A"&amp;_xlfn.XMATCH("P",Statut_biogéographique!A:A,2,1),"P")</f>
        <v>P</v>
      </c>
      <c r="AP22115" s="4" t="s">
        <v>376</v>
      </c>
      <c r="AR22115" s="4" t="s">
        <v>377</v>
      </c>
    </row>
    <row r="22116" spans="1:44" ht="30">
      <c r="A22116" s="4" t="s">
        <v>24364</v>
      </c>
      <c r="B22116" s="4">
        <v>141860</v>
      </c>
      <c r="D22116" s="5" t="s">
        <v>28852</v>
      </c>
      <c r="E22116" s="6" t="str">
        <f>HYPERLINK("https://inpn.mnhn.fr/espece/cd_nom/141860","Trifolium hybridum var. hybridum L., 1753")</f>
        <v>Trifolium hybridum var. hybridum L., 1753</v>
      </c>
      <c r="F22116" s="5" t="s">
        <v>27788</v>
      </c>
      <c r="T22116" s="7" t="str">
        <f>HYPERLINK("#Liste_rouge!A"&amp;_xlfn.XMATCH("NE",Liste_rouge!A:A,2,1),"NE")</f>
        <v>NE</v>
      </c>
      <c r="AH22116" s="4" t="str">
        <f>HYPERLINK("#Statut_biogéographique!A"&amp;_xlfn.XMATCH("I",Statut_biogéographique!A:A,2,1),"I")</f>
        <v>I</v>
      </c>
      <c r="AP22116" s="4" t="s">
        <v>376</v>
      </c>
      <c r="AR22116" s="4" t="s">
        <v>377</v>
      </c>
    </row>
    <row r="22117" spans="1:44" ht="30">
      <c r="A22117" s="4" t="s">
        <v>24364</v>
      </c>
      <c r="B22117" s="4">
        <v>141861</v>
      </c>
      <c r="D22117" s="5" t="s">
        <v>28853</v>
      </c>
      <c r="E22117" s="6" t="str">
        <f>HYPERLINK("https://inpn.mnhn.fr/espece/cd_nom/141861","Trifolium incarnatum var. incarnatum L., 1753")</f>
        <v>Trifolium incarnatum var. incarnatum L., 1753</v>
      </c>
      <c r="F22117" s="5" t="s">
        <v>27789</v>
      </c>
      <c r="T22117" s="7" t="str">
        <f>HYPERLINK("#Liste_rouge!A"&amp;_xlfn.XMATCH("NA",Liste_rouge!A:A,2,1),"NA")</f>
        <v>NA</v>
      </c>
      <c r="AH22117" s="4" t="str">
        <f>HYPERLINK("#Statut_biogéographique!A"&amp;_xlfn.XMATCH("M",Statut_biogéographique!A:A,2,1),"M")</f>
        <v>M</v>
      </c>
      <c r="AP22117" s="4" t="s">
        <v>376</v>
      </c>
      <c r="AR22117" s="4" t="s">
        <v>377</v>
      </c>
    </row>
    <row r="22118" spans="1:44">
      <c r="A22118" s="4" t="s">
        <v>24364</v>
      </c>
      <c r="B22118" s="4">
        <v>141872</v>
      </c>
      <c r="D22118" s="5">
        <v>141872</v>
      </c>
      <c r="E22118" s="6" t="str">
        <f>HYPERLINK("https://inpn.mnhn.fr/espece/cd_nom/141872","Trifolium medium subsp. medium L., 1759")</f>
        <v>Trifolium medium subsp. medium L., 1759</v>
      </c>
      <c r="F22118" s="5" t="s">
        <v>27791</v>
      </c>
      <c r="AH22118" s="4" t="str">
        <f>HYPERLINK("#Statut_biogéographique!A"&amp;_xlfn.XMATCH("P",Statut_biogéographique!A:A,2,1),"P")</f>
        <v>P</v>
      </c>
      <c r="AP22118" s="4" t="s">
        <v>376</v>
      </c>
      <c r="AR22118" s="4" t="s">
        <v>377</v>
      </c>
    </row>
    <row r="22119" spans="1:44" ht="30">
      <c r="A22119" s="4" t="s">
        <v>24364</v>
      </c>
      <c r="B22119" s="4">
        <v>141876</v>
      </c>
      <c r="D22119" s="5" t="s">
        <v>28854</v>
      </c>
      <c r="E22119" s="6" t="str">
        <f>HYPERLINK("https://inpn.mnhn.fr/espece/cd_nom/141876","Trifolium montanum subsp. montanum L., 1753")</f>
        <v>Trifolium montanum subsp. montanum L., 1753</v>
      </c>
      <c r="F22119" s="5" t="s">
        <v>27797</v>
      </c>
      <c r="Q22119" s="7" t="str">
        <f>HYPERLINK("#Liste_rouge!A"&amp;_xlfn.XMATCH("LC",Liste_rouge!A:A,2,1),"LC")</f>
        <v>LC</v>
      </c>
      <c r="AH22119" s="4" t="str">
        <f>HYPERLINK("#Statut_biogéographique!A"&amp;_xlfn.XMATCH("P",Statut_biogéographique!A:A,2,1),"P")</f>
        <v>P</v>
      </c>
      <c r="AP22119" s="4" t="s">
        <v>376</v>
      </c>
      <c r="AR22119" s="4" t="s">
        <v>377</v>
      </c>
    </row>
    <row r="22120" spans="1:44" ht="30">
      <c r="A22120" s="4" t="s">
        <v>24364</v>
      </c>
      <c r="B22120" s="4">
        <v>141905</v>
      </c>
      <c r="D22120" s="5" t="s">
        <v>28855</v>
      </c>
      <c r="E22120" s="6" t="str">
        <f>HYPERLINK("https://inpn.mnhn.fr/espece/cd_nom/141905","Trifolium resupinatum var. resupinatum L., 1753")</f>
        <v>Trifolium resupinatum var. resupinatum L., 1753</v>
      </c>
      <c r="F22120" s="5" t="s">
        <v>27813</v>
      </c>
      <c r="AH22120" s="4" t="str">
        <f>HYPERLINK("#Statut_biogéographique!A"&amp;_xlfn.XMATCH("P",Statut_biogéographique!A:A,2,1),"P")</f>
        <v>P</v>
      </c>
      <c r="AP22120" s="4" t="s">
        <v>376</v>
      </c>
      <c r="AR22120" s="4" t="s">
        <v>377</v>
      </c>
    </row>
    <row r="22121" spans="1:44">
      <c r="A22121" s="4" t="s">
        <v>24364</v>
      </c>
      <c r="B22121" s="4">
        <v>141911</v>
      </c>
      <c r="D22121" s="5">
        <v>141911</v>
      </c>
      <c r="E22121" s="6" t="str">
        <f>HYPERLINK("https://inpn.mnhn.fr/espece/cd_nom/141911","Trifolium scabrum subsp. scabrum L., 1753")</f>
        <v>Trifolium scabrum subsp. scabrum L., 1753</v>
      </c>
      <c r="F22121" s="5" t="s">
        <v>27817</v>
      </c>
      <c r="Q22121" s="7" t="str">
        <f>HYPERLINK("#Liste_rouge!A"&amp;_xlfn.XMATCH("LC",Liste_rouge!A:A,2,1),"LC")</f>
        <v>LC</v>
      </c>
      <c r="AH22121" s="4" t="str">
        <f>HYPERLINK("#Statut_biogéographique!A"&amp;_xlfn.XMATCH("P",Statut_biogéographique!A:A,2,1),"P")</f>
        <v>P</v>
      </c>
      <c r="AP22121" s="4" t="s">
        <v>376</v>
      </c>
      <c r="AR22121" s="4" t="s">
        <v>377</v>
      </c>
    </row>
    <row r="22122" spans="1:44" ht="30">
      <c r="A22122" s="4" t="s">
        <v>24364</v>
      </c>
      <c r="B22122" s="4">
        <v>141949</v>
      </c>
      <c r="D22122" s="5" t="s">
        <v>28856</v>
      </c>
      <c r="E22122" s="6" t="str">
        <f>HYPERLINK("https://inpn.mnhn.fr/espece/cd_nom/141949","Trisetum flavescens subsp. flavescens (L.) P.Beauv., 1812")</f>
        <v>Trisetum flavescens subsp. flavescens (L.) P.Beauv., 1812</v>
      </c>
      <c r="F22122" s="5" t="s">
        <v>27849</v>
      </c>
      <c r="Q22122" s="7" t="str">
        <f>HYPERLINK("#Liste_rouge!A"&amp;_xlfn.XMATCH("LC",Liste_rouge!A:A,2,1),"LC")</f>
        <v>LC</v>
      </c>
      <c r="T22122" s="7" t="str">
        <f>HYPERLINK("#Liste_rouge!A"&amp;_xlfn.XMATCH("LC",Liste_rouge!A:A,2,1),"LC")</f>
        <v>LC</v>
      </c>
      <c r="AH22122" s="4" t="str">
        <f>HYPERLINK("#Statut_biogéographique!A"&amp;_xlfn.XMATCH("P",Statut_biogéographique!A:A,2,1),"P")</f>
        <v>P</v>
      </c>
      <c r="AP22122" s="4" t="s">
        <v>376</v>
      </c>
      <c r="AR22122" s="4" t="s">
        <v>377</v>
      </c>
    </row>
    <row r="22123" spans="1:44" ht="45">
      <c r="A22123" s="4" t="s">
        <v>24364</v>
      </c>
      <c r="B22123" s="4">
        <v>141957</v>
      </c>
      <c r="D22123" s="5" t="s">
        <v>28857</v>
      </c>
      <c r="E22123" s="6" t="str">
        <f>HYPERLINK("https://inpn.mnhn.fr/espece/cd_nom/141957","Triticum aestivum subsp. spelta (L.) Thell., 1912")</f>
        <v>Triticum aestivum subsp. spelta (L.) Thell., 1912</v>
      </c>
      <c r="F22123" s="5" t="s">
        <v>28858</v>
      </c>
      <c r="Q22123" s="7" t="str">
        <f>HYPERLINK("#Liste_rouge!A"&amp;_xlfn.XMATCH("NA",Liste_rouge!A:A,2,1),"NA")</f>
        <v>NA</v>
      </c>
      <c r="T22123" s="7" t="str">
        <f>HYPERLINK("#Liste_rouge!A"&amp;_xlfn.XMATCH("NA",Liste_rouge!A:A,2,1),"NA")</f>
        <v>NA</v>
      </c>
      <c r="AH22123" s="4" t="str">
        <f>HYPERLINK("#Statut_biogéographique!A"&amp;_xlfn.XMATCH("M",Statut_biogéographique!A:A,2,1),"M")</f>
        <v>M</v>
      </c>
      <c r="AP22123" s="4" t="s">
        <v>376</v>
      </c>
      <c r="AR22123" s="4" t="s">
        <v>377</v>
      </c>
    </row>
    <row r="22124" spans="1:44" ht="60">
      <c r="A22124" s="4" t="s">
        <v>24364</v>
      </c>
      <c r="B22124" s="4">
        <v>141978</v>
      </c>
      <c r="D22124" s="5" t="s">
        <v>28859</v>
      </c>
      <c r="E22124" s="6" t="str">
        <f>HYPERLINK("https://inpn.mnhn.fr/espece/cd_nom/141978","Triticum turgidum subsp. durum (Desf.) Husn., 1899")</f>
        <v>Triticum turgidum subsp. durum (Desf.) Husn., 1899</v>
      </c>
      <c r="F22124" s="5" t="s">
        <v>28860</v>
      </c>
      <c r="Q22124" s="7" t="str">
        <f>HYPERLINK("#Liste_rouge!A"&amp;_xlfn.XMATCH("NA",Liste_rouge!A:A,2,1),"NA")</f>
        <v>NA</v>
      </c>
      <c r="T22124" s="7" t="str">
        <f>HYPERLINK("#Liste_rouge!A"&amp;_xlfn.XMATCH("NA",Liste_rouge!A:A,2,1),"NA")</f>
        <v>NA</v>
      </c>
      <c r="AH22124" s="4" t="str">
        <f>HYPERLINK("#Statut_biogéographique!A"&amp;_xlfn.XMATCH("M",Statut_biogéographique!A:A,2,1),"M")</f>
        <v>M</v>
      </c>
      <c r="AP22124" s="4" t="s">
        <v>376</v>
      </c>
      <c r="AR22124" s="4" t="s">
        <v>377</v>
      </c>
    </row>
    <row r="22125" spans="1:44" ht="45">
      <c r="A22125" s="4" t="s">
        <v>24364</v>
      </c>
      <c r="B22125" s="4">
        <v>142006</v>
      </c>
      <c r="D22125" s="5" t="s">
        <v>28861</v>
      </c>
      <c r="E22125" s="6" t="str">
        <f>HYPERLINK("https://inpn.mnhn.fr/espece/cd_nom/142006","Tulipa sylvestris subsp. sylvestris L., 1753")</f>
        <v>Tulipa sylvestris subsp. sylvestris L., 1753</v>
      </c>
      <c r="F22125" s="5" t="s">
        <v>27865</v>
      </c>
      <c r="L22125" s="4" t="str">
        <f>HYPERLINK("#Réglementation!A"&amp;_xlfn.XMATCH("NV1",Réglementation!A:A,2,1),"NV1")</f>
        <v>NV1</v>
      </c>
      <c r="Q22125" s="7" t="str">
        <f>HYPERLINK("#Liste_rouge!A"&amp;_xlfn.XMATCH("LC",Liste_rouge!A:A,2,1),"LC")</f>
        <v>LC</v>
      </c>
      <c r="T22125" s="7" t="str">
        <f>HYPERLINK("#Liste_rouge!A"&amp;_xlfn.XMATCH("DD",Liste_rouge!A:A,2,1),"DD")</f>
        <v>DD</v>
      </c>
      <c r="AB22125" s="4" t="s">
        <v>25757</v>
      </c>
      <c r="AH22125" s="4" t="str">
        <f>HYPERLINK("#Statut_biogéographique!A"&amp;_xlfn.XMATCH("P",Statut_biogéographique!A:A,2,1),"P")</f>
        <v>P</v>
      </c>
      <c r="AI22125" s="8" t="s">
        <v>28862</v>
      </c>
      <c r="AJ22125" s="4" t="s">
        <v>12248</v>
      </c>
      <c r="AM22125" s="4" t="s">
        <v>375</v>
      </c>
      <c r="AN22125" s="4" t="s">
        <v>375</v>
      </c>
      <c r="AO22125" s="4" t="s">
        <v>375</v>
      </c>
      <c r="AP22125" s="4" t="s">
        <v>376</v>
      </c>
      <c r="AR22125" s="4" t="s">
        <v>377</v>
      </c>
    </row>
    <row r="22126" spans="1:44" ht="30">
      <c r="A22126" s="4" t="s">
        <v>24364</v>
      </c>
      <c r="B22126" s="4">
        <v>142037</v>
      </c>
      <c r="D22126" s="5" t="s">
        <v>28863</v>
      </c>
      <c r="E22126" s="6" t="str">
        <f>HYPERLINK("https://inpn.mnhn.fr/espece/cd_nom/142037","Urtica dioica subsp. dioica L., 1753")</f>
        <v>Urtica dioica subsp. dioica L., 1753</v>
      </c>
      <c r="F22126" s="5" t="s">
        <v>27897</v>
      </c>
      <c r="Q22126" s="7" t="str">
        <f>HYPERLINK("#Liste_rouge!A"&amp;_xlfn.XMATCH("LC",Liste_rouge!A:A,2,1),"LC")</f>
        <v>LC</v>
      </c>
      <c r="T22126" s="7" t="str">
        <f>HYPERLINK("#Liste_rouge!A"&amp;_xlfn.XMATCH("LC",Liste_rouge!A:A,2,1),"LC")</f>
        <v>LC</v>
      </c>
      <c r="AH22126" s="4" t="str">
        <f>HYPERLINK("#Statut_biogéographique!A"&amp;_xlfn.XMATCH("P",Statut_biogéographique!A:A,2,1),"P")</f>
        <v>P</v>
      </c>
      <c r="AP22126" s="4" t="s">
        <v>376</v>
      </c>
      <c r="AR22126" s="4" t="s">
        <v>377</v>
      </c>
    </row>
    <row r="22127" spans="1:44" ht="30">
      <c r="A22127" s="4" t="s">
        <v>24364</v>
      </c>
      <c r="B22127" s="4">
        <v>142038</v>
      </c>
      <c r="D22127" s="5" t="s">
        <v>28864</v>
      </c>
      <c r="E22127" s="6" t="str">
        <f>HYPERLINK("https://inpn.mnhn.fr/espece/cd_nom/142038","Urtica dioica subsp. galeopsifolia (Wierzb. ex Opiz) Chrtek, 1982")</f>
        <v>Urtica dioica subsp. galeopsifolia (Wierzb. ex Opiz) Chrtek, 1982</v>
      </c>
      <c r="F22127" s="5" t="s">
        <v>28865</v>
      </c>
      <c r="Q22127" s="7" t="str">
        <f>HYPERLINK("#Liste_rouge!A"&amp;_xlfn.XMATCH("DD",Liste_rouge!A:A,2,1),"DD")</f>
        <v>DD</v>
      </c>
      <c r="AH22127" s="4" t="str">
        <f>HYPERLINK("#Statut_biogéographique!A"&amp;_xlfn.XMATCH("P",Statut_biogéographique!A:A,2,1),"P")</f>
        <v>P</v>
      </c>
      <c r="AM22127" s="4" t="s">
        <v>375</v>
      </c>
      <c r="AN22127" s="4" t="s">
        <v>375</v>
      </c>
      <c r="AO22127" s="4" t="s">
        <v>375</v>
      </c>
      <c r="AP22127" s="4" t="s">
        <v>376</v>
      </c>
      <c r="AR22127" s="4" t="s">
        <v>377</v>
      </c>
    </row>
    <row r="22128" spans="1:44" ht="30">
      <c r="A22128" s="4" t="s">
        <v>24364</v>
      </c>
      <c r="B22128" s="4">
        <v>142047</v>
      </c>
      <c r="D22128" s="5" t="s">
        <v>28866</v>
      </c>
      <c r="E22128" s="6" t="str">
        <f>HYPERLINK("https://inpn.mnhn.fr/espece/cd_nom/142047","Vaccinium uliginosum subsp. microphyllum (Lange) Tolm., 1936")</f>
        <v>Vaccinium uliginosum subsp. microphyllum (Lange) Tolm., 1936</v>
      </c>
      <c r="F22128" s="5" t="s">
        <v>28867</v>
      </c>
      <c r="Q22128" s="7" t="str">
        <f>HYPERLINK("#Liste_rouge!A"&amp;_xlfn.XMATCH("LC",Liste_rouge!A:A,2,1),"LC")</f>
        <v>LC</v>
      </c>
      <c r="AH22128" s="4" t="str">
        <f>HYPERLINK("#Statut_biogéographique!A"&amp;_xlfn.XMATCH("P",Statut_biogéographique!A:A,2,1),"P")</f>
        <v>P</v>
      </c>
      <c r="AK22128" s="4" t="str">
        <f>HYPERLINK("#Réglementation!A"&amp;_xlfn.XMATCH("V39P3",Réglementation!A:A,2,1),"V39P3")</f>
        <v>V39P3</v>
      </c>
      <c r="AP22128" s="4" t="s">
        <v>376</v>
      </c>
      <c r="AR22128" s="4" t="s">
        <v>377</v>
      </c>
    </row>
    <row r="22129" spans="1:44" ht="30">
      <c r="A22129" s="4" t="s">
        <v>24364</v>
      </c>
      <c r="B22129" s="4">
        <v>142048</v>
      </c>
      <c r="D22129" s="5">
        <v>142048</v>
      </c>
      <c r="E22129" s="6" t="str">
        <f>HYPERLINK("https://inpn.mnhn.fr/espece/cd_nom/142048","Vaccinium uliginosum subsp. uliginosum L., 1753")</f>
        <v>Vaccinium uliginosum subsp. uliginosum L., 1753</v>
      </c>
      <c r="F22129" s="5" t="s">
        <v>27917</v>
      </c>
      <c r="Q22129" s="7" t="str">
        <f>HYPERLINK("#Liste_rouge!A"&amp;_xlfn.XMATCH("LC",Liste_rouge!A:A,2,1),"LC")</f>
        <v>LC</v>
      </c>
      <c r="AH22129" s="4" t="str">
        <f>HYPERLINK("#Statut_biogéographique!A"&amp;_xlfn.XMATCH("P",Statut_biogéographique!A:A,2,1),"P")</f>
        <v>P</v>
      </c>
      <c r="AK22129" s="4" t="str">
        <f>HYPERLINK("#Réglementation!A"&amp;_xlfn.XMATCH("V39P3",Réglementation!A:A,2,1),"V39P3")</f>
        <v>V39P3</v>
      </c>
      <c r="AM22129" s="4" t="s">
        <v>375</v>
      </c>
      <c r="AN22129" s="4" t="s">
        <v>375</v>
      </c>
      <c r="AO22129" s="4" t="s">
        <v>375</v>
      </c>
      <c r="AP22129" s="4" t="s">
        <v>376</v>
      </c>
      <c r="AR22129" s="4" t="s">
        <v>377</v>
      </c>
    </row>
    <row r="22130" spans="1:44">
      <c r="A22130" s="4" t="s">
        <v>24364</v>
      </c>
      <c r="B22130" s="4">
        <v>142052</v>
      </c>
      <c r="D22130" s="5">
        <v>142052</v>
      </c>
      <c r="E22130" s="6" t="str">
        <f>HYPERLINK("https://inpn.mnhn.fr/espece/cd_nom/142052","Valeriana dioica subsp. dioica L., 1753")</f>
        <v>Valeriana dioica subsp. dioica L., 1753</v>
      </c>
      <c r="F22130" s="5" t="s">
        <v>27923</v>
      </c>
      <c r="AH22130" s="4" t="str">
        <f>HYPERLINK("#Statut_biogéographique!A"&amp;_xlfn.XMATCH("P",Statut_biogéographique!A:A,2,1),"P")</f>
        <v>P</v>
      </c>
      <c r="AP22130" s="4" t="s">
        <v>376</v>
      </c>
      <c r="AR22130" s="4" t="s">
        <v>377</v>
      </c>
    </row>
    <row r="22131" spans="1:44">
      <c r="A22131" s="4" t="s">
        <v>24364</v>
      </c>
      <c r="B22131" s="4">
        <v>142096</v>
      </c>
      <c r="D22131" s="5">
        <v>142096</v>
      </c>
      <c r="E22131" s="6" t="str">
        <f>HYPERLINK("https://inpn.mnhn.fr/espece/cd_nom/142096","Verbascum nigrum subsp. nigrum L., 1753")</f>
        <v>Verbascum nigrum subsp. nigrum L., 1753</v>
      </c>
      <c r="F22131" s="5" t="s">
        <v>27964</v>
      </c>
      <c r="AH22131" s="4" t="str">
        <f>HYPERLINK("#Statut_biogéographique!A"&amp;_xlfn.XMATCH("P",Statut_biogéographique!A:A,2,1),"P")</f>
        <v>P</v>
      </c>
      <c r="AP22131" s="4" t="s">
        <v>376</v>
      </c>
      <c r="AR22131" s="4" t="s">
        <v>377</v>
      </c>
    </row>
    <row r="22132" spans="1:44" ht="45">
      <c r="A22132" s="4" t="s">
        <v>24364</v>
      </c>
      <c r="B22132" s="4">
        <v>142108</v>
      </c>
      <c r="D22132" s="5" t="s">
        <v>28868</v>
      </c>
      <c r="E22132" s="6" t="str">
        <f>HYPERLINK("https://inpn.mnhn.fr/espece/cd_nom/142108","Verbascum thapsus subsp. montanum (Schrad.) Bonnier &amp; Layens, 1894")</f>
        <v>Verbascum thapsus subsp. montanum (Schrad.) Bonnier &amp; Layens, 1894</v>
      </c>
      <c r="F22132" s="5" t="s">
        <v>28869</v>
      </c>
      <c r="Q22132" s="7" t="str">
        <f>HYPERLINK("#Liste_rouge!A"&amp;_xlfn.XMATCH("LC",Liste_rouge!A:A,2,1),"LC")</f>
        <v>LC</v>
      </c>
      <c r="T22132" s="7" t="str">
        <f>HYPERLINK("#Liste_rouge!A"&amp;_xlfn.XMATCH("DD",Liste_rouge!A:A,2,1),"DD")</f>
        <v>DD</v>
      </c>
      <c r="AH22132" s="4" t="str">
        <f>HYPERLINK("#Statut_biogéographique!A"&amp;_xlfn.XMATCH("P",Statut_biogéographique!A:A,2,1),"P")</f>
        <v>P</v>
      </c>
      <c r="AM22132" s="4" t="s">
        <v>375</v>
      </c>
      <c r="AN22132" s="4" t="s">
        <v>375</v>
      </c>
      <c r="AO22132" s="4" t="s">
        <v>375</v>
      </c>
      <c r="AP22132" s="4" t="s">
        <v>376</v>
      </c>
      <c r="AR22132" s="4" t="s">
        <v>377</v>
      </c>
    </row>
    <row r="22133" spans="1:44" ht="30">
      <c r="A22133" s="4" t="s">
        <v>24364</v>
      </c>
      <c r="B22133" s="4">
        <v>142111</v>
      </c>
      <c r="D22133" s="5">
        <v>142111</v>
      </c>
      <c r="E22133" s="6" t="str">
        <f>HYPERLINK("https://inpn.mnhn.fr/espece/cd_nom/142111","Verbascum thapsus subsp. thapsus L., 1753")</f>
        <v>Verbascum thapsus subsp. thapsus L., 1753</v>
      </c>
      <c r="F22133" s="5" t="s">
        <v>27974</v>
      </c>
      <c r="Q22133" s="7" t="str">
        <f>HYPERLINK("#Liste_rouge!A"&amp;_xlfn.XMATCH("LC",Liste_rouge!A:A,2,1),"LC")</f>
        <v>LC</v>
      </c>
      <c r="T22133" s="7" t="str">
        <f>HYPERLINK("#Liste_rouge!A"&amp;_xlfn.XMATCH("DD",Liste_rouge!A:A,2,1),"DD")</f>
        <v>DD</v>
      </c>
      <c r="AH22133" s="4" t="str">
        <f>HYPERLINK("#Statut_biogéographique!A"&amp;_xlfn.XMATCH("P",Statut_biogéographique!A:A,2,1),"P")</f>
        <v>P</v>
      </c>
      <c r="AM22133" s="4" t="s">
        <v>375</v>
      </c>
      <c r="AN22133" s="4" t="s">
        <v>375</v>
      </c>
      <c r="AO22133" s="4" t="s">
        <v>375</v>
      </c>
      <c r="AP22133" s="4" t="s">
        <v>376</v>
      </c>
      <c r="AR22133" s="4" t="s">
        <v>377</v>
      </c>
    </row>
    <row r="22134" spans="1:44" ht="45">
      <c r="A22134" s="4" t="s">
        <v>24364</v>
      </c>
      <c r="B22134" s="4">
        <v>142142</v>
      </c>
      <c r="D22134" s="5">
        <v>142142</v>
      </c>
      <c r="E22134" s="6" t="str">
        <f>HYPERLINK("https://inpn.mnhn.fr/espece/cd_nom/142142","Veronica beccabunga subsp. beccabunga L., 1753")</f>
        <v>Veronica beccabunga subsp. beccabunga L., 1753</v>
      </c>
      <c r="F22134" s="5" t="s">
        <v>28024</v>
      </c>
      <c r="AH22134" s="4" t="str">
        <f>HYPERLINK("#Statut_biogéographique!A"&amp;_xlfn.XMATCH("P",Statut_biogéographique!A:A,2,1),"P")</f>
        <v>P</v>
      </c>
      <c r="AP22134" s="4" t="s">
        <v>376</v>
      </c>
      <c r="AR22134" s="4" t="s">
        <v>377</v>
      </c>
    </row>
    <row r="22135" spans="1:44" ht="45">
      <c r="A22135" s="4" t="s">
        <v>24364</v>
      </c>
      <c r="B22135" s="4">
        <v>142160</v>
      </c>
      <c r="D22135" s="5" t="s">
        <v>28870</v>
      </c>
      <c r="E22135" s="6" t="str">
        <f>HYPERLINK("https://inpn.mnhn.fr/espece/cd_nom/142160","Veronica serpyllifolia subsp. humifusa (Dicks.) Syme, 1866")</f>
        <v>Veronica serpyllifolia subsp. humifusa (Dicks.) Syme, 1866</v>
      </c>
      <c r="F22135" s="5" t="s">
        <v>28871</v>
      </c>
      <c r="Q22135" s="7" t="str">
        <f>HYPERLINK("#Liste_rouge!A"&amp;_xlfn.XMATCH("LC",Liste_rouge!A:A,2,1),"LC")</f>
        <v>LC</v>
      </c>
      <c r="AH22135" s="4" t="str">
        <f>HYPERLINK("#Statut_biogéographique!A"&amp;_xlfn.XMATCH("P",Statut_biogéographique!A:A,2,1),"P")</f>
        <v>P</v>
      </c>
      <c r="AM22135" s="4" t="s">
        <v>375</v>
      </c>
      <c r="AN22135" s="4" t="s">
        <v>375</v>
      </c>
      <c r="AO22135" s="4" t="s">
        <v>375</v>
      </c>
      <c r="AP22135" s="4" t="s">
        <v>376</v>
      </c>
      <c r="AR22135" s="4" t="s">
        <v>377</v>
      </c>
    </row>
    <row r="22136" spans="1:44" ht="30">
      <c r="A22136" s="4" t="s">
        <v>24364</v>
      </c>
      <c r="B22136" s="4">
        <v>142164</v>
      </c>
      <c r="D22136" s="5" t="s">
        <v>28872</v>
      </c>
      <c r="E22136" s="6" t="str">
        <f>HYPERLINK("https://inpn.mnhn.fr/espece/cd_nom/142164","Veronica serpyllifolia subsp. serpyllifolia L., 1753")</f>
        <v>Veronica serpyllifolia subsp. serpyllifolia L., 1753</v>
      </c>
      <c r="F22136" s="5" t="s">
        <v>28063</v>
      </c>
      <c r="Q22136" s="7" t="str">
        <f>HYPERLINK("#Liste_rouge!A"&amp;_xlfn.XMATCH("LC",Liste_rouge!A:A,2,1),"LC")</f>
        <v>LC</v>
      </c>
      <c r="AH22136" s="4" t="str">
        <f>HYPERLINK("#Statut_biogéographique!A"&amp;_xlfn.XMATCH("P",Statut_biogéographique!A:A,2,1),"P")</f>
        <v>P</v>
      </c>
      <c r="AM22136" s="4" t="s">
        <v>375</v>
      </c>
      <c r="AN22136" s="4" t="s">
        <v>375</v>
      </c>
      <c r="AO22136" s="4" t="s">
        <v>375</v>
      </c>
      <c r="AP22136" s="4" t="s">
        <v>376</v>
      </c>
      <c r="AR22136" s="4" t="s">
        <v>377</v>
      </c>
    </row>
    <row r="22137" spans="1:44">
      <c r="A22137" s="4" t="s">
        <v>24364</v>
      </c>
      <c r="B22137" s="4">
        <v>142170</v>
      </c>
      <c r="D22137" s="5" t="s">
        <v>28873</v>
      </c>
      <c r="E22137" s="6" t="str">
        <f>HYPERLINK("https://inpn.mnhn.fr/espece/cd_nom/142170","Veronica spicata subsp. spicata L., 1753")</f>
        <v>Veronica spicata subsp. spicata L., 1753</v>
      </c>
      <c r="F22137" s="5" t="s">
        <v>28065</v>
      </c>
      <c r="AH22137" s="4" t="str">
        <f>HYPERLINK("#Statut_biogéographique!A"&amp;_xlfn.XMATCH("P",Statut_biogéographique!A:A,2,1),"P")</f>
        <v>P</v>
      </c>
      <c r="AP22137" s="4" t="s">
        <v>376</v>
      </c>
      <c r="AR22137" s="4" t="s">
        <v>377</v>
      </c>
    </row>
    <row r="22138" spans="1:44" ht="30">
      <c r="A22138" s="4" t="s">
        <v>24364</v>
      </c>
      <c r="B22138" s="4">
        <v>142185</v>
      </c>
      <c r="D22138" s="5">
        <v>142185</v>
      </c>
      <c r="E22138" s="6" t="str">
        <f>HYPERLINK("https://inpn.mnhn.fr/espece/cd_nom/142185","Veronica verna subsp. verna L., 1753")</f>
        <v>Veronica verna subsp. verna L., 1753</v>
      </c>
      <c r="F22138" s="5" t="s">
        <v>28076</v>
      </c>
      <c r="Q22138" s="7" t="str">
        <f>HYPERLINK("#Liste_rouge!A"&amp;_xlfn.XMATCH("LC",Liste_rouge!A:A,2,1),"LC")</f>
        <v>LC</v>
      </c>
      <c r="AH22138" s="4" t="str">
        <f>HYPERLINK("#Statut_biogéographique!A"&amp;_xlfn.XMATCH("P",Statut_biogéographique!A:A,2,1),"P")</f>
        <v>P</v>
      </c>
      <c r="AP22138" s="4" t="s">
        <v>376</v>
      </c>
      <c r="AR22138" s="4" t="s">
        <v>377</v>
      </c>
    </row>
    <row r="22139" spans="1:44" ht="45">
      <c r="A22139" s="4" t="s">
        <v>24364</v>
      </c>
      <c r="B22139" s="4">
        <v>142212</v>
      </c>
      <c r="D22139" s="5" t="s">
        <v>28874</v>
      </c>
      <c r="E22139" s="6" t="str">
        <f>HYPERLINK("https://inpn.mnhn.fr/espece/cd_nom/142212","Vicia lutea subsp. lutea L., 1753")</f>
        <v>Vicia lutea subsp. lutea L., 1753</v>
      </c>
      <c r="F22139" s="5" t="s">
        <v>28110</v>
      </c>
      <c r="AH22139" s="4" t="str">
        <f>HYPERLINK("#Statut_biogéographique!A"&amp;_xlfn.XMATCH("P",Statut_biogéographique!A:A,2,1),"P")</f>
        <v>P</v>
      </c>
      <c r="AP22139" s="4" t="s">
        <v>376</v>
      </c>
      <c r="AR22139" s="4" t="s">
        <v>377</v>
      </c>
    </row>
    <row r="22140" spans="1:44" ht="30">
      <c r="A22140" s="4" t="s">
        <v>24364</v>
      </c>
      <c r="B22140" s="4">
        <v>142264</v>
      </c>
      <c r="D22140" s="5">
        <v>142264</v>
      </c>
      <c r="E22140" s="6" t="str">
        <f>HYPERLINK("https://inpn.mnhn.fr/espece/cd_nom/142264","Vinca major subsp. major L., 1753")</f>
        <v>Vinca major subsp. major L., 1753</v>
      </c>
      <c r="F22140" s="5" t="s">
        <v>28138</v>
      </c>
      <c r="AH22140" s="4" t="str">
        <f>HYPERLINK("#Statut_biogéographique!A"&amp;_xlfn.XMATCH("I",Statut_biogéographique!A:A,2,1),"I")</f>
        <v>I</v>
      </c>
      <c r="AP22140" s="4" t="s">
        <v>376</v>
      </c>
      <c r="AR22140" s="4" t="s">
        <v>377</v>
      </c>
    </row>
    <row r="22141" spans="1:44">
      <c r="A22141" s="4" t="s">
        <v>24364</v>
      </c>
      <c r="B22141" s="4">
        <v>142273</v>
      </c>
      <c r="D22141" s="5">
        <v>142273</v>
      </c>
      <c r="E22141" s="6" t="str">
        <f>HYPERLINK("https://inpn.mnhn.fr/espece/cd_nom/142273","Viola alba subsp. alba Besser, 1809")</f>
        <v>Viola alba subsp. alba Besser, 1809</v>
      </c>
      <c r="F22141" s="5" t="s">
        <v>28146</v>
      </c>
      <c r="T22141" s="7" t="str">
        <f>HYPERLINK("#Liste_rouge!A"&amp;_xlfn.XMATCH("VU",Liste_rouge!A:A,2,1),"VU")</f>
        <v>VU</v>
      </c>
      <c r="U22141" s="4" t="str">
        <f>HYPERLINK("#Critères_liste_rouge!A$1","D2")</f>
        <v>D2</v>
      </c>
      <c r="AH22141" s="4" t="str">
        <f>HYPERLINK("#Statut_biogéographique!A"&amp;_xlfn.XMATCH("P",Statut_biogéographique!A:A,2,1),"P")</f>
        <v>P</v>
      </c>
      <c r="AM22141" s="4" t="s">
        <v>375</v>
      </c>
      <c r="AN22141" s="4" t="s">
        <v>375</v>
      </c>
      <c r="AO22141" s="4" t="s">
        <v>375</v>
      </c>
      <c r="AP22141" s="4" t="s">
        <v>376</v>
      </c>
      <c r="AR22141" s="4" t="s">
        <v>377</v>
      </c>
    </row>
    <row r="22142" spans="1:44" ht="60">
      <c r="A22142" s="4" t="s">
        <v>24364</v>
      </c>
      <c r="B22142" s="4">
        <v>142299</v>
      </c>
      <c r="D22142" s="5" t="s">
        <v>28875</v>
      </c>
      <c r="E22142" s="6" t="str">
        <f>HYPERLINK("https://inpn.mnhn.fr/espece/cd_nom/142299","Viola calcarata subsp. calcarata L., 1753")</f>
        <v>Viola calcarata subsp. calcarata L., 1753</v>
      </c>
      <c r="F22142" s="5" t="s">
        <v>28154</v>
      </c>
      <c r="AH22142" s="4" t="str">
        <f>HYPERLINK("#Statut_biogéographique!A"&amp;_xlfn.XMATCH("P",Statut_biogéographique!A:A,2,1),"P")</f>
        <v>P</v>
      </c>
      <c r="AP22142" s="4" t="s">
        <v>376</v>
      </c>
      <c r="AR22142" s="4" t="s">
        <v>377</v>
      </c>
    </row>
    <row r="22143" spans="1:44" ht="30">
      <c r="A22143" s="4" t="s">
        <v>24364</v>
      </c>
      <c r="B22143" s="4">
        <v>142305</v>
      </c>
      <c r="D22143" s="5" t="s">
        <v>28876</v>
      </c>
      <c r="E22143" s="6" t="str">
        <f>HYPERLINK("https://inpn.mnhn.fr/espece/cd_nom/142305","Viola canina subsp. canina L., 1753")</f>
        <v>Viola canina subsp. canina L., 1753</v>
      </c>
      <c r="F22143" s="5" t="s">
        <v>28156</v>
      </c>
      <c r="Q22143" s="7" t="str">
        <f>HYPERLINK("#Liste_rouge!A"&amp;_xlfn.XMATCH("LC",Liste_rouge!A:A,2,1),"LC")</f>
        <v>LC</v>
      </c>
      <c r="T22143" s="7" t="str">
        <f>HYPERLINK("#Liste_rouge!A"&amp;_xlfn.XMATCH("DD",Liste_rouge!A:A,2,1),"DD")</f>
        <v>DD</v>
      </c>
      <c r="AH22143" s="4" t="str">
        <f>HYPERLINK("#Statut_biogéographique!A"&amp;_xlfn.XMATCH("P",Statut_biogéographique!A:A,2,1),"P")</f>
        <v>P</v>
      </c>
      <c r="AM22143" s="4" t="s">
        <v>375</v>
      </c>
      <c r="AN22143" s="4" t="s">
        <v>375</v>
      </c>
      <c r="AO22143" s="4" t="s">
        <v>375</v>
      </c>
      <c r="AP22143" s="4" t="s">
        <v>376</v>
      </c>
      <c r="AR22143" s="4" t="s">
        <v>377</v>
      </c>
    </row>
    <row r="22144" spans="1:44" ht="45">
      <c r="A22144" s="4" t="s">
        <v>24364</v>
      </c>
      <c r="B22144" s="4">
        <v>142317</v>
      </c>
      <c r="D22144" s="5" t="s">
        <v>28877</v>
      </c>
      <c r="E22144" s="6" t="str">
        <f>HYPERLINK("https://inpn.mnhn.fr/espece/cd_nom/142317","Viola canina subsp. ruppii (All.) Schübl. &amp; G.Martens, 1834")</f>
        <v>Viola canina subsp. ruppii (All.) Schübl. &amp; G.Martens, 1834</v>
      </c>
      <c r="F22144" s="5" t="s">
        <v>28878</v>
      </c>
      <c r="Q22144" s="7" t="str">
        <f>HYPERLINK("#Liste_rouge!A"&amp;_xlfn.XMATCH("LC",Liste_rouge!A:A,2,1),"LC")</f>
        <v>LC</v>
      </c>
      <c r="AB22144" s="4" t="s">
        <v>24909</v>
      </c>
      <c r="AH22144" s="4" t="str">
        <f>HYPERLINK("#Statut_biogéographique!A"&amp;_xlfn.XMATCH("P",Statut_biogéographique!A:A,2,1),"P")</f>
        <v>P</v>
      </c>
      <c r="AM22144" s="4" t="s">
        <v>375</v>
      </c>
      <c r="AN22144" s="4" t="s">
        <v>375</v>
      </c>
      <c r="AO22144" s="4" t="s">
        <v>375</v>
      </c>
      <c r="AP22144" s="4" t="s">
        <v>376</v>
      </c>
      <c r="AR22144" s="4" t="s">
        <v>377</v>
      </c>
    </row>
    <row r="22145" spans="1:44" ht="45">
      <c r="A22145" s="4" t="s">
        <v>24364</v>
      </c>
      <c r="B22145" s="4">
        <v>142347</v>
      </c>
      <c r="D22145" s="5" t="s">
        <v>28879</v>
      </c>
      <c r="E22145" s="6" t="str">
        <f>HYPERLINK("https://inpn.mnhn.fr/espece/cd_nom/142347","Viola lutea subsp. lutea Huds., 1762")</f>
        <v>Viola lutea subsp. lutea Huds., 1762</v>
      </c>
      <c r="F22145" s="5" t="s">
        <v>28168</v>
      </c>
      <c r="Q22145" s="7" t="str">
        <f>HYPERLINK("#Liste_rouge!A"&amp;_xlfn.XMATCH("LC",Liste_rouge!A:A,2,1),"LC")</f>
        <v>LC</v>
      </c>
      <c r="AH22145" s="4" t="str">
        <f>HYPERLINK("#Statut_biogéographique!A"&amp;_xlfn.XMATCH("P",Statut_biogéographique!A:A,2,1),"P")</f>
        <v>P</v>
      </c>
      <c r="AP22145" s="4" t="s">
        <v>376</v>
      </c>
      <c r="AR22145" s="4" t="s">
        <v>377</v>
      </c>
    </row>
    <row r="22146" spans="1:44" ht="120">
      <c r="A22146" s="4" t="s">
        <v>24364</v>
      </c>
      <c r="B22146" s="4">
        <v>142431</v>
      </c>
      <c r="D22146" s="5" t="s">
        <v>28880</v>
      </c>
      <c r="E22146" s="6" t="str">
        <f>HYPERLINK("https://inpn.mnhn.fr/espece/cd_nom/142431","Viola tricolor subsp. saxatilis (F.W.Schmidt) Arcang., 1882")</f>
        <v>Viola tricolor subsp. saxatilis (F.W.Schmidt) Arcang., 1882</v>
      </c>
      <c r="F22146" s="5" t="s">
        <v>28881</v>
      </c>
      <c r="Q22146" s="7" t="str">
        <f>HYPERLINK("#Liste_rouge!A"&amp;_xlfn.XMATCH("LC",Liste_rouge!A:A,2,1),"LC")</f>
        <v>LC</v>
      </c>
      <c r="T22146" s="7" t="str">
        <f>HYPERLINK("#Liste_rouge!A"&amp;_xlfn.XMATCH("EN",Liste_rouge!A:A,2,1),"EN")</f>
        <v>EN</v>
      </c>
      <c r="U22146" s="4" t="str">
        <f>HYPERLINK("#Critères_liste_rouge!A$1","D1")</f>
        <v>D1</v>
      </c>
      <c r="AB22146" s="4" t="s">
        <v>28882</v>
      </c>
      <c r="AH22146" s="4" t="str">
        <f>HYPERLINK("#Statut_biogéographique!A"&amp;_xlfn.XMATCH("P",Statut_biogéographique!A:A,2,1),"P")</f>
        <v>P</v>
      </c>
      <c r="AM22146" s="4" t="s">
        <v>375</v>
      </c>
      <c r="AN22146" s="4" t="s">
        <v>375</v>
      </c>
      <c r="AO22146" s="4" t="s">
        <v>375</v>
      </c>
      <c r="AP22146" s="4" t="s">
        <v>376</v>
      </c>
      <c r="AR22146" s="4" t="s">
        <v>377</v>
      </c>
    </row>
    <row r="22147" spans="1:44" ht="30">
      <c r="A22147" s="4" t="s">
        <v>24364</v>
      </c>
      <c r="B22147" s="4">
        <v>142433</v>
      </c>
      <c r="D22147" s="5" t="s">
        <v>28883</v>
      </c>
      <c r="E22147" s="6" t="str">
        <f>HYPERLINK("https://inpn.mnhn.fr/espece/cd_nom/142433","Viola tricolor subsp. tricolor L., 1753")</f>
        <v>Viola tricolor subsp. tricolor L., 1753</v>
      </c>
      <c r="F22147" s="5" t="s">
        <v>28185</v>
      </c>
      <c r="Q22147" s="7" t="str">
        <f>HYPERLINK("#Liste_rouge!A"&amp;_xlfn.XMATCH("LC",Liste_rouge!A:A,2,1),"LC")</f>
        <v>LC</v>
      </c>
      <c r="T22147" s="7" t="str">
        <f>HYPERLINK("#Liste_rouge!A"&amp;_xlfn.XMATCH("DD",Liste_rouge!A:A,2,1),"DD")</f>
        <v>DD</v>
      </c>
      <c r="AH22147" s="4" t="str">
        <f>HYPERLINK("#Statut_biogéographique!A"&amp;_xlfn.XMATCH("P",Statut_biogéographique!A:A,2,1),"P")</f>
        <v>P</v>
      </c>
      <c r="AM22147" s="4" t="s">
        <v>375</v>
      </c>
      <c r="AN22147" s="4" t="s">
        <v>375</v>
      </c>
      <c r="AO22147" s="4" t="s">
        <v>375</v>
      </c>
      <c r="AP22147" s="4" t="s">
        <v>376</v>
      </c>
      <c r="AR22147" s="4" t="s">
        <v>377</v>
      </c>
    </row>
    <row r="22148" spans="1:44" ht="30">
      <c r="A22148" s="4" t="s">
        <v>24364</v>
      </c>
      <c r="B22148" s="4">
        <v>142438</v>
      </c>
      <c r="D22148" s="5" t="s">
        <v>28884</v>
      </c>
      <c r="E22148" s="6" t="str">
        <f>HYPERLINK("https://inpn.mnhn.fr/espece/cd_nom/142438","Viscum album subsp. abietis (Wiesb.) Abrom., 1928")</f>
        <v>Viscum album subsp. abietis (Wiesb.) Abrom., 1928</v>
      </c>
      <c r="F22148" s="5" t="s">
        <v>28885</v>
      </c>
      <c r="Q22148" s="7" t="str">
        <f>HYPERLINK("#Liste_rouge!A"&amp;_xlfn.XMATCH("LC",Liste_rouge!A:A,2,1),"LC")</f>
        <v>LC</v>
      </c>
      <c r="AH22148" s="4" t="str">
        <f>HYPERLINK("#Statut_biogéographique!A"&amp;_xlfn.XMATCH("P",Statut_biogéographique!A:A,2,1),"P")</f>
        <v>P</v>
      </c>
      <c r="AM22148" s="4" t="s">
        <v>375</v>
      </c>
      <c r="AN22148" s="4" t="s">
        <v>375</v>
      </c>
      <c r="AO22148" s="4" t="s">
        <v>375</v>
      </c>
      <c r="AP22148" s="4" t="s">
        <v>376</v>
      </c>
      <c r="AR22148" s="4" t="s">
        <v>377</v>
      </c>
    </row>
    <row r="22149" spans="1:44" ht="30">
      <c r="A22149" s="4" t="s">
        <v>24364</v>
      </c>
      <c r="B22149" s="4">
        <v>142440</v>
      </c>
      <c r="D22149" s="5" t="s">
        <v>28886</v>
      </c>
      <c r="E22149" s="6" t="str">
        <f>HYPERLINK("https://inpn.mnhn.fr/espece/cd_nom/142440","Viscum album subsp. album L., 1753")</f>
        <v>Viscum album subsp. album L., 1753</v>
      </c>
      <c r="F22149" s="5" t="s">
        <v>28200</v>
      </c>
      <c r="Q22149" s="7" t="str">
        <f>HYPERLINK("#Liste_rouge!A"&amp;_xlfn.XMATCH("LC",Liste_rouge!A:A,2,1),"LC")</f>
        <v>LC</v>
      </c>
      <c r="AH22149" s="4" t="str">
        <f>HYPERLINK("#Statut_biogéographique!A"&amp;_xlfn.XMATCH("P",Statut_biogéographique!A:A,2,1),"P")</f>
        <v>P</v>
      </c>
      <c r="AM22149" s="4" t="s">
        <v>375</v>
      </c>
      <c r="AN22149" s="4" t="s">
        <v>375</v>
      </c>
      <c r="AO22149" s="4" t="s">
        <v>375</v>
      </c>
      <c r="AP22149" s="4" t="s">
        <v>376</v>
      </c>
      <c r="AR22149" s="4" t="s">
        <v>377</v>
      </c>
    </row>
    <row r="22150" spans="1:44" ht="30">
      <c r="A22150" s="4" t="s">
        <v>24364</v>
      </c>
      <c r="B22150" s="4">
        <v>142451</v>
      </c>
      <c r="D22150" s="5" t="s">
        <v>28887</v>
      </c>
      <c r="E22150" s="6" t="str">
        <f>HYPERLINK("https://inpn.mnhn.fr/espece/cd_nom/142451","Vitis vinifera subsp. sylvestris (C.C.Gmel.) Hegi, 1925")</f>
        <v>Vitis vinifera subsp. sylvestris (C.C.Gmel.) Hegi, 1925</v>
      </c>
      <c r="F22150" s="5" t="s">
        <v>28888</v>
      </c>
      <c r="L22150" s="4" t="str">
        <f>HYPERLINK("#Réglementation!A"&amp;_xlfn.XMATCH("NV1",Réglementation!A:A,2,1),"NV1")</f>
        <v>NV1</v>
      </c>
      <c r="Q22150" s="7" t="str">
        <f>HYPERLINK("#Liste_rouge!A"&amp;_xlfn.XMATCH("LC",Liste_rouge!A:A,2,1),"LC")</f>
        <v>LC</v>
      </c>
      <c r="X22150" s="5" t="s">
        <v>374</v>
      </c>
      <c r="AB22150" s="4" t="s">
        <v>93</v>
      </c>
      <c r="AH22150" s="4" t="str">
        <f>HYPERLINK("#Statut_biogéographique!A"&amp;_xlfn.XMATCH("P",Statut_biogéographique!A:A,2,1),"P")</f>
        <v>P</v>
      </c>
      <c r="AM22150" s="4" t="s">
        <v>375</v>
      </c>
      <c r="AN22150" s="4" t="s">
        <v>375</v>
      </c>
      <c r="AO22150" s="4" t="s">
        <v>375</v>
      </c>
      <c r="AP22150" s="4" t="s">
        <v>376</v>
      </c>
      <c r="AR22150" s="4" t="s">
        <v>377</v>
      </c>
    </row>
    <row r="22151" spans="1:44" ht="45">
      <c r="A22151" s="4" t="s">
        <v>24364</v>
      </c>
      <c r="B22151" s="4">
        <v>142452</v>
      </c>
      <c r="D22151" s="5" t="s">
        <v>28889</v>
      </c>
      <c r="E22151" s="6" t="str">
        <f>HYPERLINK("https://inpn.mnhn.fr/espece/cd_nom/142452","Vitis vinifera subsp. vinifera L., 1753")</f>
        <v>Vitis vinifera subsp. vinifera L., 1753</v>
      </c>
      <c r="F22151" s="5" t="s">
        <v>28890</v>
      </c>
      <c r="Q22151" s="7" t="str">
        <f>HYPERLINK("#Liste_rouge!A"&amp;_xlfn.XMATCH("NA",Liste_rouge!A:A,2,1),"NA")</f>
        <v>NA</v>
      </c>
      <c r="T22151" s="7" t="str">
        <f>HYPERLINK("#Liste_rouge!A"&amp;_xlfn.XMATCH("NA",Liste_rouge!A:A,2,1),"NA")</f>
        <v>NA</v>
      </c>
      <c r="AH22151" s="4" t="str">
        <f>HYPERLINK("#Statut_biogéographique!A"&amp;_xlfn.XMATCH("M",Statut_biogéographique!A:A,2,1),"M")</f>
        <v>M</v>
      </c>
      <c r="AP22151" s="4" t="s">
        <v>376</v>
      </c>
      <c r="AR22151" s="4" t="s">
        <v>377</v>
      </c>
    </row>
    <row r="22152" spans="1:44" ht="45">
      <c r="A22152" s="4" t="s">
        <v>24364</v>
      </c>
      <c r="B22152" s="4">
        <v>142460</v>
      </c>
      <c r="D22152" s="5" t="s">
        <v>28891</v>
      </c>
      <c r="E22152" s="6" t="str">
        <f>HYPERLINK("https://inpn.mnhn.fr/espece/cd_nom/142460","Vulpia ciliata subsp. ciliata Dumort., 1824")</f>
        <v>Vulpia ciliata subsp. ciliata Dumort., 1824</v>
      </c>
      <c r="F22152" s="5" t="s">
        <v>28213</v>
      </c>
      <c r="Q22152" s="7" t="str">
        <f>HYPERLINK("#Liste_rouge!A"&amp;_xlfn.XMATCH("LC",Liste_rouge!A:A,2,1),"LC")</f>
        <v>LC</v>
      </c>
      <c r="T22152" s="7" t="str">
        <f>HYPERLINK("#Liste_rouge!A"&amp;_xlfn.XMATCH("DD",Liste_rouge!A:A,2,1),"DD")</f>
        <v>DD</v>
      </c>
      <c r="AH22152" s="4" t="str">
        <f>HYPERLINK("#Statut_biogéographique!A"&amp;_xlfn.XMATCH("P",Statut_biogéographique!A:A,2,1),"P")</f>
        <v>P</v>
      </c>
      <c r="AM22152" s="4" t="s">
        <v>375</v>
      </c>
      <c r="AN22152" s="4" t="s">
        <v>375</v>
      </c>
      <c r="AO22152" s="4" t="s">
        <v>375</v>
      </c>
      <c r="AP22152" s="4" t="s">
        <v>376</v>
      </c>
      <c r="AR22152" s="4" t="s">
        <v>377</v>
      </c>
    </row>
    <row r="22153" spans="1:44" ht="30">
      <c r="A22153" s="4" t="s">
        <v>24364</v>
      </c>
      <c r="B22153" s="4">
        <v>142499</v>
      </c>
      <c r="D22153" s="5">
        <v>142499</v>
      </c>
      <c r="E22153" s="6" t="str">
        <f>HYPERLINK("https://inpn.mnhn.fr/espece/cd_nom/142499","Xanthoselinum alsaticum subsp. alsaticum (L.) Schur, 1866")</f>
        <v>Xanthoselinum alsaticum subsp. alsaticum (L.) Schur, 1866</v>
      </c>
      <c r="F22153" s="5" t="s">
        <v>28241</v>
      </c>
      <c r="Q22153" s="7" t="str">
        <f>HYPERLINK("#Liste_rouge!A"&amp;_xlfn.XMATCH("LC",Liste_rouge!A:A,2,1),"LC")</f>
        <v>LC</v>
      </c>
      <c r="T22153" s="7" t="str">
        <f>HYPERLINK("#Liste_rouge!A"&amp;_xlfn.XMATCH("DD",Liste_rouge!A:A,2,1),"DD")</f>
        <v>DD</v>
      </c>
      <c r="AH22153" s="4" t="str">
        <f>HYPERLINK("#Statut_biogéographique!A"&amp;_xlfn.XMATCH("P",Statut_biogéographique!A:A,2,1),"P")</f>
        <v>P</v>
      </c>
      <c r="AP22153" s="4" t="s">
        <v>376</v>
      </c>
      <c r="AR22153" s="4" t="s">
        <v>377</v>
      </c>
    </row>
    <row r="22154" spans="1:44" ht="30">
      <c r="A22154" s="4" t="s">
        <v>24364</v>
      </c>
      <c r="B22154" s="4">
        <v>142987</v>
      </c>
      <c r="D22154" s="5" t="s">
        <v>28892</v>
      </c>
      <c r="E22154" s="6" t="str">
        <f>HYPERLINK("https://inpn.mnhn.fr/espece/cd_nom/142987","Agrostis stolonifera var. stolonifera L., 1753")</f>
        <v>Agrostis stolonifera var. stolonifera L., 1753</v>
      </c>
      <c r="F22154" s="5" t="s">
        <v>28893</v>
      </c>
      <c r="AH22154" s="4" t="str">
        <f>HYPERLINK("#Statut_biogéographique!A"&amp;_xlfn.XMATCH("P",Statut_biogéographique!A:A,2,1),"P")</f>
        <v>P</v>
      </c>
      <c r="AP22154" s="4" t="s">
        <v>376</v>
      </c>
      <c r="AR22154" s="4" t="s">
        <v>377</v>
      </c>
    </row>
    <row r="22155" spans="1:44" ht="30">
      <c r="A22155" s="4" t="s">
        <v>24364</v>
      </c>
      <c r="B22155" s="4">
        <v>143439</v>
      </c>
      <c r="D22155" s="5">
        <v>143439</v>
      </c>
      <c r="E22155" s="6" t="str">
        <f>HYPERLINK("https://inpn.mnhn.fr/espece/cd_nom/143439","Amaranthus blitum var. blitum L., 1753")</f>
        <v>Amaranthus blitum var. blitum L., 1753</v>
      </c>
      <c r="F22155" s="5" t="s">
        <v>28285</v>
      </c>
      <c r="T22155" s="7" t="str">
        <f>HYPERLINK("#Liste_rouge!A"&amp;_xlfn.XMATCH("NA",Liste_rouge!A:A,2,1),"NA")</f>
        <v>NA</v>
      </c>
      <c r="AH22155" s="4" t="str">
        <f>HYPERLINK("#Statut_biogéographique!A"&amp;_xlfn.XMATCH("P",Statut_biogéographique!A:A,2,1),"P")</f>
        <v>P</v>
      </c>
      <c r="AP22155" s="4" t="s">
        <v>376</v>
      </c>
      <c r="AR22155" s="4" t="s">
        <v>377</v>
      </c>
    </row>
    <row r="22156" spans="1:44" ht="30">
      <c r="A22156" s="4" t="s">
        <v>24364</v>
      </c>
      <c r="B22156" s="4">
        <v>143623</v>
      </c>
      <c r="D22156" s="5">
        <v>143623</v>
      </c>
      <c r="E22156" s="6" t="str">
        <f>HYPERLINK("https://inpn.mnhn.fr/espece/cd_nom/143623","Anthriscus caucalis var. caucalis M.Bieb., 1808")</f>
        <v>Anthriscus caucalis var. caucalis M.Bieb., 1808</v>
      </c>
      <c r="F22156" s="5" t="s">
        <v>28894</v>
      </c>
      <c r="T22156" s="7" t="str">
        <f>HYPERLINK("#Liste_rouge!A"&amp;_xlfn.XMATCH("DD",Liste_rouge!A:A,2,1),"DD")</f>
        <v>DD</v>
      </c>
      <c r="AH22156" s="4" t="str">
        <f>HYPERLINK("#Statut_biogéographique!A"&amp;_xlfn.XMATCH("P",Statut_biogéographique!A:A,2,1),"P")</f>
        <v>P</v>
      </c>
      <c r="AP22156" s="4" t="s">
        <v>376</v>
      </c>
      <c r="AR22156" s="4" t="s">
        <v>377</v>
      </c>
    </row>
    <row r="22157" spans="1:44" ht="30">
      <c r="A22157" s="4" t="s">
        <v>24364</v>
      </c>
      <c r="B22157" s="4">
        <v>143975</v>
      </c>
      <c r="D22157" s="5" t="s">
        <v>28895</v>
      </c>
      <c r="E22157" s="6" t="str">
        <f>HYPERLINK("https://inpn.mnhn.fr/espece/cd_nom/143975","Asplenium adiantum-nigrum var. adiantum-nigrum L., 1753")</f>
        <v>Asplenium adiantum-nigrum var. adiantum-nigrum L., 1753</v>
      </c>
      <c r="F22157" s="5" t="s">
        <v>28896</v>
      </c>
      <c r="AH22157" s="4" t="str">
        <f>HYPERLINK("#Statut_biogéographique!A"&amp;_xlfn.XMATCH("P",Statut_biogéographique!A:A,2,1),"P")</f>
        <v>P</v>
      </c>
      <c r="AP22157" s="4" t="s">
        <v>376</v>
      </c>
      <c r="AR22157" s="4" t="s">
        <v>377</v>
      </c>
    </row>
    <row r="22158" spans="1:44" ht="30">
      <c r="A22158" s="4" t="s">
        <v>24364</v>
      </c>
      <c r="B22158" s="4">
        <v>144242</v>
      </c>
      <c r="D22158" s="5" t="s">
        <v>28897</v>
      </c>
      <c r="E22158" s="6" t="str">
        <f>HYPERLINK("https://inpn.mnhn.fr/espece/cd_nom/144242","Barbarea vulgaris var. rivularis (Martrin-Donos) P.Fourn., 1936")</f>
        <v>Barbarea vulgaris var. rivularis (Martrin-Donos) P.Fourn., 1936</v>
      </c>
      <c r="F22158" s="5" t="s">
        <v>28898</v>
      </c>
      <c r="AH22158" s="4" t="str">
        <f>HYPERLINK("#Statut_biogéographique!A"&amp;_xlfn.XMATCH("P",Statut_biogéographique!A:A,2,1),"P")</f>
        <v>P</v>
      </c>
      <c r="AP22158" s="4" t="s">
        <v>376</v>
      </c>
      <c r="AR22158" s="4" t="s">
        <v>377</v>
      </c>
    </row>
    <row r="22159" spans="1:44" ht="30">
      <c r="A22159" s="4" t="s">
        <v>24364</v>
      </c>
      <c r="B22159" s="4">
        <v>144243</v>
      </c>
      <c r="D22159" s="5" t="s">
        <v>28899</v>
      </c>
      <c r="E22159" s="6" t="str">
        <f>HYPERLINK("https://inpn.mnhn.fr/espece/cd_nom/144243","Barbarea vulgaris var. vulgaris W.T.Aiton, 1812")</f>
        <v>Barbarea vulgaris var. vulgaris W.T.Aiton, 1812</v>
      </c>
      <c r="F22159" s="5" t="s">
        <v>28900</v>
      </c>
      <c r="AH22159" s="4" t="str">
        <f>HYPERLINK("#Statut_biogéographique!A"&amp;_xlfn.XMATCH("P",Statut_biogéographique!A:A,2,1),"P")</f>
        <v>P</v>
      </c>
      <c r="AP22159" s="4" t="s">
        <v>376</v>
      </c>
      <c r="AR22159" s="4" t="s">
        <v>377</v>
      </c>
    </row>
    <row r="22160" spans="1:44" ht="45">
      <c r="A22160" s="4" t="s">
        <v>24364</v>
      </c>
      <c r="B22160" s="4">
        <v>144251</v>
      </c>
      <c r="D22160" s="5" t="s">
        <v>28901</v>
      </c>
      <c r="E22160" s="6" t="str">
        <f>HYPERLINK("https://inpn.mnhn.fr/espece/cd_nom/144251","Bassia scoparia var. scoparia (L.) Voss, 1903")</f>
        <v>Bassia scoparia var. scoparia (L.) Voss, 1903</v>
      </c>
      <c r="F22160" s="5" t="s">
        <v>28902</v>
      </c>
      <c r="AH22160" s="4" t="str">
        <f>HYPERLINK("#Statut_biogéographique!A"&amp;_xlfn.XMATCH("I",Statut_biogéographique!A:A,2,1),"I")</f>
        <v>I</v>
      </c>
      <c r="AP22160" s="4" t="s">
        <v>376</v>
      </c>
      <c r="AR22160" s="4" t="s">
        <v>377</v>
      </c>
    </row>
    <row r="22161" spans="1:44" ht="30">
      <c r="A22161" s="4" t="s">
        <v>24364</v>
      </c>
      <c r="B22161" s="4">
        <v>144382</v>
      </c>
      <c r="D22161" s="5" t="s">
        <v>28903</v>
      </c>
      <c r="E22161" s="6" t="str">
        <f>HYPERLINK("https://inpn.mnhn.fr/espece/cd_nom/144382","Brassica napus var. napobrassica (L.) Rchb., 1833")</f>
        <v>Brassica napus var. napobrassica (L.) Rchb., 1833</v>
      </c>
      <c r="F22161" s="5" t="s">
        <v>28904</v>
      </c>
      <c r="T22161" s="7" t="str">
        <f>HYPERLINK("#Liste_rouge!A"&amp;_xlfn.XMATCH("NA",Liste_rouge!A:A,2,1),"NA")</f>
        <v>NA</v>
      </c>
      <c r="AH22161" s="4" t="str">
        <f>HYPERLINK("#Statut_biogéographique!A"&amp;_xlfn.XMATCH("M",Statut_biogéographique!A:A,2,1),"M")</f>
        <v>M</v>
      </c>
      <c r="AP22161" s="4" t="s">
        <v>376</v>
      </c>
      <c r="AR22161" s="4" t="s">
        <v>377</v>
      </c>
    </row>
    <row r="22162" spans="1:44" ht="30">
      <c r="A22162" s="4" t="s">
        <v>24364</v>
      </c>
      <c r="B22162" s="4">
        <v>144384</v>
      </c>
      <c r="D22162" s="5" t="s">
        <v>28905</v>
      </c>
      <c r="E22162" s="6" t="str">
        <f>HYPERLINK("https://inpn.mnhn.fr/espece/cd_nom/144384","Brassica oleracea var. capitata L., 1753")</f>
        <v>Brassica oleracea var. capitata L., 1753</v>
      </c>
      <c r="F22162" s="5" t="s">
        <v>28906</v>
      </c>
      <c r="AH22162" s="4" t="str">
        <f>HYPERLINK("#Statut_biogéographique!A"&amp;_xlfn.XMATCH("M",Statut_biogéographique!A:A,2,1),"M")</f>
        <v>M</v>
      </c>
      <c r="AP22162" s="4" t="s">
        <v>376</v>
      </c>
      <c r="AR22162" s="4" t="s">
        <v>377</v>
      </c>
    </row>
    <row r="22163" spans="1:44" ht="45">
      <c r="A22163" s="4" t="s">
        <v>24364</v>
      </c>
      <c r="B22163" s="4">
        <v>144396</v>
      </c>
      <c r="D22163" s="5" t="s">
        <v>28907</v>
      </c>
      <c r="E22163" s="6" t="str">
        <f>HYPERLINK("https://inpn.mnhn.fr/espece/cd_nom/144396","Brassica rapa var. oleifera DC., 1821")</f>
        <v>Brassica rapa var. oleifera DC., 1821</v>
      </c>
      <c r="F22163" s="5" t="s">
        <v>28908</v>
      </c>
      <c r="T22163" s="7" t="str">
        <f>HYPERLINK("#Liste_rouge!A"&amp;_xlfn.XMATCH("NA",Liste_rouge!A:A,2,1),"NA")</f>
        <v>NA</v>
      </c>
      <c r="AH22163" s="4" t="str">
        <f>HYPERLINK("#Statut_biogéographique!A"&amp;_xlfn.XMATCH("M",Statut_biogéographique!A:A,2,1),"M")</f>
        <v>M</v>
      </c>
      <c r="AP22163" s="4" t="s">
        <v>376</v>
      </c>
      <c r="AR22163" s="4" t="s">
        <v>377</v>
      </c>
    </row>
    <row r="22164" spans="1:44" ht="30">
      <c r="A22164" s="4" t="s">
        <v>24364</v>
      </c>
      <c r="B22164" s="4">
        <v>144832</v>
      </c>
      <c r="D22164" s="5">
        <v>144832</v>
      </c>
      <c r="E22164" s="6" t="str">
        <f>HYPERLINK("https://inpn.mnhn.fr/espece/cd_nom/144832","Bunium bulbocastanum var. bulbocastanum L., 1753")</f>
        <v>Bunium bulbocastanum var. bulbocastanum L., 1753</v>
      </c>
      <c r="F22164" s="5" t="s">
        <v>28909</v>
      </c>
      <c r="T22164" s="7" t="str">
        <f>HYPERLINK("#Liste_rouge!A"&amp;_xlfn.XMATCH("DD",Liste_rouge!A:A,2,1),"DD")</f>
        <v>DD</v>
      </c>
      <c r="AH22164" s="4" t="str">
        <f>HYPERLINK("#Statut_biogéographique!A"&amp;_xlfn.XMATCH("P",Statut_biogéographique!A:A,2,1),"P")</f>
        <v>P</v>
      </c>
      <c r="AP22164" s="4" t="s">
        <v>376</v>
      </c>
      <c r="AR22164" s="4" t="s">
        <v>377</v>
      </c>
    </row>
    <row r="22165" spans="1:44" ht="45">
      <c r="A22165" s="4" t="s">
        <v>24364</v>
      </c>
      <c r="B22165" s="4">
        <v>144859</v>
      </c>
      <c r="D22165" s="5" t="s">
        <v>28910</v>
      </c>
      <c r="E22165" s="6" t="str">
        <f>HYPERLINK("https://inpn.mnhn.fr/espece/cd_nom/144859","Bupleurum ranunculoides var. gramineum (Vill.) Lapeyr. ex Briq., 1897")</f>
        <v>Bupleurum ranunculoides var. gramineum (Vill.) Lapeyr. ex Briq., 1897</v>
      </c>
      <c r="F22165" s="5" t="s">
        <v>28911</v>
      </c>
      <c r="M22165" s="4" t="str">
        <f>HYPERLINK("#Réglementation!A"&amp;_xlfn.XMATCH("RV43",Réglementation!A:A,2,1),"RV43")</f>
        <v>RV43</v>
      </c>
      <c r="AH22165" s="4" t="str">
        <f>HYPERLINK("#Statut_biogéographique!A"&amp;_xlfn.XMATCH("P",Statut_biogéographique!A:A,2,1),"P")</f>
        <v>P</v>
      </c>
      <c r="AP22165" s="4" t="s">
        <v>376</v>
      </c>
      <c r="AR22165" s="4" t="s">
        <v>377</v>
      </c>
    </row>
    <row r="22166" spans="1:44" ht="45">
      <c r="A22166" s="4" t="s">
        <v>24364</v>
      </c>
      <c r="B22166" s="4">
        <v>145374</v>
      </c>
      <c r="D22166" s="5">
        <v>145374</v>
      </c>
      <c r="E22166" s="6" t="str">
        <f>HYPERLINK("https://inpn.mnhn.fr/espece/cd_nom/145374","Centaurium erythraea var. erythraea Rafn, 1800")</f>
        <v>Centaurium erythraea var. erythraea Rafn, 1800</v>
      </c>
      <c r="F22166" s="5" t="s">
        <v>28912</v>
      </c>
      <c r="T22166" s="7" t="str">
        <f>HYPERLINK("#Liste_rouge!A"&amp;_xlfn.XMATCH("DD",Liste_rouge!A:A,2,1),"DD")</f>
        <v>DD</v>
      </c>
      <c r="AH22166" s="4" t="str">
        <f>HYPERLINK("#Statut_biogéographique!A"&amp;_xlfn.XMATCH("P",Statut_biogéographique!A:A,2,1),"P")</f>
        <v>P</v>
      </c>
      <c r="AP22166" s="4" t="s">
        <v>376</v>
      </c>
      <c r="AR22166" s="4" t="s">
        <v>377</v>
      </c>
    </row>
    <row r="22167" spans="1:44" ht="30">
      <c r="A22167" s="4" t="s">
        <v>24364</v>
      </c>
      <c r="B22167" s="4">
        <v>145855</v>
      </c>
      <c r="D22167" s="5" t="s">
        <v>28913</v>
      </c>
      <c r="E22167" s="6" t="str">
        <f>HYPERLINK("https://inpn.mnhn.fr/espece/cd_nom/145855","Cyperus esculentus var. esculentus L., 1753")</f>
        <v>Cyperus esculentus var. esculentus L., 1753</v>
      </c>
      <c r="F22167" s="5" t="s">
        <v>28914</v>
      </c>
      <c r="T22167" s="7" t="str">
        <f>HYPERLINK("#Liste_rouge!A"&amp;_xlfn.XMATCH("NA",Liste_rouge!A:A,2,1),"NA")</f>
        <v>NA</v>
      </c>
      <c r="AH22167" s="4" t="str">
        <f>HYPERLINK("#Statut_biogéographique!A"&amp;_xlfn.XMATCH("P",Statut_biogéographique!A:A,2,1),"P")</f>
        <v>P</v>
      </c>
      <c r="AP22167" s="4" t="s">
        <v>376</v>
      </c>
      <c r="AR22167" s="4" t="s">
        <v>377</v>
      </c>
    </row>
    <row r="22168" spans="1:44" ht="30">
      <c r="A22168" s="4" t="s">
        <v>24364</v>
      </c>
      <c r="B22168" s="4">
        <v>145857</v>
      </c>
      <c r="D22168" s="5" t="s">
        <v>28915</v>
      </c>
      <c r="E22168" s="6" t="str">
        <f>HYPERLINK("https://inpn.mnhn.fr/espece/cd_nom/145857","Cyperus esculentus var. leptostachyus Boeckeler, 1870")</f>
        <v>Cyperus esculentus var. leptostachyus Boeckeler, 1870</v>
      </c>
      <c r="F22168" s="5" t="s">
        <v>28916</v>
      </c>
      <c r="AH22168" s="4" t="str">
        <f>HYPERLINK("#Statut_biogéographique!A"&amp;_xlfn.XMATCH("I",Statut_biogéographique!A:A,2,1),"I")</f>
        <v>I</v>
      </c>
      <c r="AP22168" s="4" t="s">
        <v>376</v>
      </c>
      <c r="AR22168" s="4" t="s">
        <v>377</v>
      </c>
    </row>
    <row r="22169" spans="1:44" ht="30">
      <c r="A22169" s="4" t="s">
        <v>24364</v>
      </c>
      <c r="B22169" s="4">
        <v>145876</v>
      </c>
      <c r="D22169" s="5">
        <v>145876</v>
      </c>
      <c r="E22169" s="6" t="str">
        <f>HYPERLINK("https://inpn.mnhn.fr/espece/cd_nom/145876","Cystopteris fragilis var. fragilis (L.) Bernh., 1805")</f>
        <v>Cystopteris fragilis var. fragilis (L.) Bernh., 1805</v>
      </c>
      <c r="F22169" s="5" t="s">
        <v>28917</v>
      </c>
      <c r="AH22169" s="4" t="str">
        <f>HYPERLINK("#Statut_biogéographique!A"&amp;_xlfn.XMATCH("P",Statut_biogéographique!A:A,2,1),"P")</f>
        <v>P</v>
      </c>
      <c r="AP22169" s="4" t="s">
        <v>376</v>
      </c>
      <c r="AR22169" s="4" t="s">
        <v>377</v>
      </c>
    </row>
    <row r="22170" spans="1:44" ht="30">
      <c r="A22170" s="4" t="s">
        <v>24364</v>
      </c>
      <c r="B22170" s="4">
        <v>146305</v>
      </c>
      <c r="D22170" s="5" t="s">
        <v>28918</v>
      </c>
      <c r="E22170" s="6" t="str">
        <f>HYPERLINK("https://inpn.mnhn.fr/espece/cd_nom/146305","Echinochloa muricata var. microstachya Wiegand, 1921")</f>
        <v>Echinochloa muricata var. microstachya Wiegand, 1921</v>
      </c>
      <c r="F22170" s="5" t="s">
        <v>28919</v>
      </c>
      <c r="T22170" s="7" t="str">
        <f>HYPERLINK("#Liste_rouge!A"&amp;_xlfn.XMATCH("NA",Liste_rouge!A:A,2,1),"NA")</f>
        <v>NA</v>
      </c>
      <c r="AH22170" s="4" t="str">
        <f>HYPERLINK("#Statut_biogéographique!A"&amp;_xlfn.XMATCH("I",Statut_biogéographique!A:A,2,1),"I")</f>
        <v>I</v>
      </c>
      <c r="AP22170" s="4" t="s">
        <v>376</v>
      </c>
      <c r="AR22170" s="4" t="s">
        <v>377</v>
      </c>
    </row>
    <row r="22171" spans="1:44" ht="30">
      <c r="A22171" s="4" t="s">
        <v>24364</v>
      </c>
      <c r="B22171" s="4">
        <v>146306</v>
      </c>
      <c r="D22171" s="5">
        <v>146306</v>
      </c>
      <c r="E22171" s="6" t="str">
        <f>HYPERLINK("https://inpn.mnhn.fr/espece/cd_nom/146306","Echinochloa muricata var. muricata (P.Beauv.) Fernald, 1915")</f>
        <v>Echinochloa muricata var. muricata (P.Beauv.) Fernald, 1915</v>
      </c>
      <c r="F22171" s="5" t="s">
        <v>28920</v>
      </c>
      <c r="T22171" s="7" t="str">
        <f>HYPERLINK("#Liste_rouge!A"&amp;_xlfn.XMATCH("NA",Liste_rouge!A:A,2,1),"NA")</f>
        <v>NA</v>
      </c>
      <c r="AH22171" s="4" t="str">
        <f>HYPERLINK("#Statut_biogéographique!A"&amp;_xlfn.XMATCH("I",Statut_biogéographique!A:A,2,1),"I")</f>
        <v>I</v>
      </c>
      <c r="AP22171" s="4" t="s">
        <v>376</v>
      </c>
      <c r="AR22171" s="4" t="s">
        <v>377</v>
      </c>
    </row>
    <row r="22172" spans="1:44" ht="30">
      <c r="A22172" s="4" t="s">
        <v>24364</v>
      </c>
      <c r="B22172" s="4">
        <v>146508</v>
      </c>
      <c r="D22172" s="5">
        <v>146508</v>
      </c>
      <c r="E22172" s="6" t="str">
        <f>HYPERLINK("https://inpn.mnhn.fr/espece/cd_nom/146508","Erodium cicutarium var. cicutarium (L.) L'Hér., 1789")</f>
        <v>Erodium cicutarium var. cicutarium (L.) L'Hér., 1789</v>
      </c>
      <c r="F22172" s="5" t="s">
        <v>28509</v>
      </c>
      <c r="T22172" s="7" t="str">
        <f>HYPERLINK("#Liste_rouge!A"&amp;_xlfn.XMATCH("LC",Liste_rouge!A:A,2,1),"LC")</f>
        <v>LC</v>
      </c>
      <c r="AH22172" s="4" t="str">
        <f>HYPERLINK("#Statut_biogéographique!A"&amp;_xlfn.XMATCH("P",Statut_biogéographique!A:A,2,1),"P")</f>
        <v>P</v>
      </c>
      <c r="AP22172" s="4" t="s">
        <v>376</v>
      </c>
      <c r="AR22172" s="4" t="s">
        <v>377</v>
      </c>
    </row>
    <row r="22173" spans="1:44">
      <c r="A22173" s="4" t="s">
        <v>24364</v>
      </c>
      <c r="B22173" s="4">
        <v>147342</v>
      </c>
      <c r="D22173" s="5">
        <v>147342</v>
      </c>
      <c r="E22173" s="6" t="str">
        <f>HYPERLINK("https://inpn.mnhn.fr/espece/cd_nom/147342","Galium verum var. verum L., 1753")</f>
        <v>Galium verum var. verum L., 1753</v>
      </c>
      <c r="F22173" s="5" t="s">
        <v>28538</v>
      </c>
      <c r="AH22173" s="4" t="str">
        <f>HYPERLINK("#Statut_biogéographique!A"&amp;_xlfn.XMATCH("P",Statut_biogéographique!A:A,2,1),"P")</f>
        <v>P</v>
      </c>
      <c r="AP22173" s="4" t="s">
        <v>376</v>
      </c>
      <c r="AR22173" s="4" t="s">
        <v>377</v>
      </c>
    </row>
    <row r="22174" spans="1:44">
      <c r="A22174" s="4" t="s">
        <v>24364</v>
      </c>
      <c r="B22174" s="4">
        <v>147897</v>
      </c>
      <c r="D22174" s="5" t="s">
        <v>28921</v>
      </c>
      <c r="E22174" s="6" t="str">
        <f>HYPERLINK("https://inpn.mnhn.fr/espece/cd_nom/147897","Juncus bufonius var. bufonius L., 1753")</f>
        <v>Juncus bufonius var. bufonius L., 1753</v>
      </c>
      <c r="F22174" s="5" t="s">
        <v>24927</v>
      </c>
      <c r="AH22174" s="4" t="str">
        <f>HYPERLINK("#Statut_biogéographique!A"&amp;_xlfn.XMATCH("P",Statut_biogéographique!A:A,2,1),"P")</f>
        <v>P</v>
      </c>
      <c r="AP22174" s="4" t="s">
        <v>376</v>
      </c>
      <c r="AR22174" s="4" t="s">
        <v>377</v>
      </c>
    </row>
    <row r="22175" spans="1:44" ht="30">
      <c r="A22175" s="4" t="s">
        <v>24364</v>
      </c>
      <c r="B22175" s="4">
        <v>148086</v>
      </c>
      <c r="D22175" s="5">
        <v>148086</v>
      </c>
      <c r="E22175" s="6" t="str">
        <f>HYPERLINK("https://inpn.mnhn.fr/espece/cd_nom/148086","Lathyrus latifolius var. latifolius L., 1753")</f>
        <v>Lathyrus latifolius var. latifolius L., 1753</v>
      </c>
      <c r="F22175" s="5" t="s">
        <v>25074</v>
      </c>
      <c r="T22175" s="7" t="str">
        <f>HYPERLINK("#Liste_rouge!A"&amp;_xlfn.XMATCH("NA",Liste_rouge!A:A,2,1),"NA")</f>
        <v>NA</v>
      </c>
      <c r="AH22175" s="4" t="str">
        <f>HYPERLINK("#Statut_biogéographique!A"&amp;_xlfn.XMATCH("P",Statut_biogéographique!A:A,2,1),"P")</f>
        <v>P</v>
      </c>
      <c r="AP22175" s="4" t="s">
        <v>376</v>
      </c>
      <c r="AR22175" s="4" t="s">
        <v>377</v>
      </c>
    </row>
    <row r="22176" spans="1:44" ht="30">
      <c r="A22176" s="4" t="s">
        <v>24364</v>
      </c>
      <c r="B22176" s="4">
        <v>148192</v>
      </c>
      <c r="D22176" s="5">
        <v>148192</v>
      </c>
      <c r="E22176" s="6" t="str">
        <f>HYPERLINK("https://inpn.mnhn.fr/espece/cd_nom/148192","Leucanthemum vulgare var. vulgare Lam., 1779")</f>
        <v>Leucanthemum vulgare var. vulgare Lam., 1779</v>
      </c>
      <c r="F22176" s="5" t="s">
        <v>25159</v>
      </c>
      <c r="AH22176" s="4" t="str">
        <f>HYPERLINK("#Statut_biogéographique!A"&amp;_xlfn.XMATCH("P",Statut_biogéographique!A:A,2,1),"P")</f>
        <v>P</v>
      </c>
      <c r="AP22176" s="4" t="s">
        <v>376</v>
      </c>
      <c r="AR22176" s="4" t="s">
        <v>377</v>
      </c>
    </row>
    <row r="22177" spans="1:44" ht="30">
      <c r="A22177" s="4" t="s">
        <v>24364</v>
      </c>
      <c r="B22177" s="4">
        <v>148200</v>
      </c>
      <c r="D22177" s="5" t="s">
        <v>28922</v>
      </c>
      <c r="E22177" s="6" t="str">
        <f>HYPERLINK("https://inpn.mnhn.fr/espece/cd_nom/148200","Lilium bulbiferum var. croceum (Chaix) Pers., 1805")</f>
        <v>Lilium bulbiferum var. croceum (Chaix) Pers., 1805</v>
      </c>
      <c r="F22177" s="5" t="s">
        <v>28923</v>
      </c>
      <c r="T22177" s="7" t="str">
        <f>HYPERLINK("#Liste_rouge!A"&amp;_xlfn.XMATCH("NA",Liste_rouge!A:A,2,1),"NA")</f>
        <v>NA</v>
      </c>
      <c r="AH22177" s="4" t="str">
        <f>HYPERLINK("#Statut_biogéographique!A"&amp;_xlfn.XMATCH("P",Statut_biogéographique!A:A,2,1),"P")</f>
        <v>P</v>
      </c>
      <c r="AP22177" s="4" t="s">
        <v>376</v>
      </c>
      <c r="AR22177" s="4" t="s">
        <v>377</v>
      </c>
    </row>
    <row r="22178" spans="1:44">
      <c r="A22178" s="4" t="s">
        <v>24364</v>
      </c>
      <c r="B22178" s="4">
        <v>148252</v>
      </c>
      <c r="D22178" s="5">
        <v>148252</v>
      </c>
      <c r="E22178" s="6" t="str">
        <f>HYPERLINK("https://inpn.mnhn.fr/espece/cd_nom/148252","Linum catharticum var. catharticum L., 1753")</f>
        <v>Linum catharticum var. catharticum L., 1753</v>
      </c>
      <c r="F22178" s="5" t="s">
        <v>25208</v>
      </c>
      <c r="AH22178" s="4" t="str">
        <f>HYPERLINK("#Statut_biogéographique!A"&amp;_xlfn.XMATCH("P",Statut_biogéographique!A:A,2,1),"P")</f>
        <v>P</v>
      </c>
      <c r="AP22178" s="4" t="s">
        <v>376</v>
      </c>
      <c r="AR22178" s="4" t="s">
        <v>377</v>
      </c>
    </row>
    <row r="22179" spans="1:44">
      <c r="A22179" s="4" t="s">
        <v>24364</v>
      </c>
      <c r="B22179" s="4">
        <v>148436</v>
      </c>
      <c r="D22179" s="5" t="s">
        <v>28924</v>
      </c>
      <c r="E22179" s="6" t="str">
        <f>HYPERLINK("https://inpn.mnhn.fr/espece/cd_nom/148436","Lotus maritimus var. maritimus L., 1753")</f>
        <v>Lotus maritimus var. maritimus L., 1753</v>
      </c>
      <c r="F22179" s="5" t="s">
        <v>28925</v>
      </c>
      <c r="T22179" s="7" t="str">
        <f>HYPERLINK("#Liste_rouge!A"&amp;_xlfn.XMATCH("DD",Liste_rouge!A:A,2,1),"DD")</f>
        <v>DD</v>
      </c>
      <c r="AH22179" s="4" t="str">
        <f>HYPERLINK("#Statut_biogéographique!A"&amp;_xlfn.XMATCH("P",Statut_biogéographique!A:A,2,1),"P")</f>
        <v>P</v>
      </c>
      <c r="AP22179" s="4" t="s">
        <v>376</v>
      </c>
      <c r="AR22179" s="4" t="s">
        <v>377</v>
      </c>
    </row>
    <row r="22180" spans="1:44">
      <c r="A22180" s="4" t="s">
        <v>24364</v>
      </c>
      <c r="B22180" s="4">
        <v>148552</v>
      </c>
      <c r="D22180" s="5" t="s">
        <v>28926</v>
      </c>
      <c r="E22180" s="6" t="str">
        <f>HYPERLINK("https://inpn.mnhn.fr/espece/cd_nom/148552","Medicago lupulina var. lupulina L., 1753")</f>
        <v>Medicago lupulina var. lupulina L., 1753</v>
      </c>
      <c r="F22180" s="5" t="s">
        <v>28927</v>
      </c>
      <c r="T22180" s="7" t="str">
        <f>HYPERLINK("#Liste_rouge!A"&amp;_xlfn.XMATCH("LC",Liste_rouge!A:A,2,1),"LC (cd_nom 148552) - NE (cd_nom 148550)")</f>
        <v>LC (cd_nom 148552) - NE (cd_nom 148550)</v>
      </c>
      <c r="AH22180" s="4" t="str">
        <f>HYPERLINK("#Statut_biogéographique!A"&amp;_xlfn.XMATCH("P",Statut_biogéographique!A:A,2,1),"P")</f>
        <v>P</v>
      </c>
      <c r="AP22180" s="4" t="s">
        <v>376</v>
      </c>
      <c r="AR22180" s="4" t="s">
        <v>377</v>
      </c>
    </row>
    <row r="22181" spans="1:44" ht="30">
      <c r="A22181" s="4" t="s">
        <v>24364</v>
      </c>
      <c r="B22181" s="4">
        <v>148553</v>
      </c>
      <c r="D22181" s="5" t="s">
        <v>28928</v>
      </c>
      <c r="E22181" s="6" t="str">
        <f>HYPERLINK("https://inpn.mnhn.fr/espece/cd_nom/148553","Medicago lupulina var. willdenowiana W.D.J.Koch, 1835")</f>
        <v>Medicago lupulina var. willdenowiana W.D.J.Koch, 1835</v>
      </c>
      <c r="F22181" s="5" t="s">
        <v>28929</v>
      </c>
      <c r="T22181" s="7" t="str">
        <f>HYPERLINK("#Liste_rouge!A"&amp;_xlfn.XMATCH("NA",Liste_rouge!A:A,2,1),"NA")</f>
        <v>NA</v>
      </c>
      <c r="AH22181" s="4" t="str">
        <f>HYPERLINK("#Statut_biogéographique!A"&amp;_xlfn.XMATCH("P",Statut_biogéographique!A:A,2,1),"P")</f>
        <v>P</v>
      </c>
      <c r="AP22181" s="4" t="s">
        <v>376</v>
      </c>
      <c r="AR22181" s="4" t="s">
        <v>377</v>
      </c>
    </row>
    <row r="22182" spans="1:44" ht="30">
      <c r="A22182" s="4" t="s">
        <v>24364</v>
      </c>
      <c r="B22182" s="4">
        <v>148576</v>
      </c>
      <c r="D22182" s="5" t="s">
        <v>28930</v>
      </c>
      <c r="E22182" s="6" t="str">
        <f>HYPERLINK("https://inpn.mnhn.fr/espece/cd_nom/148576","Medicago orbicularis var. orbicularis (L.) Bartal., 1776")</f>
        <v>Medicago orbicularis var. orbicularis (L.) Bartal., 1776</v>
      </c>
      <c r="F22182" s="5" t="s">
        <v>25446</v>
      </c>
      <c r="T22182" s="7" t="str">
        <f>HYPERLINK("#Liste_rouge!A"&amp;_xlfn.XMATCH("CR",Liste_rouge!A:A,2,1),"CR")</f>
        <v>CR</v>
      </c>
      <c r="U22182" s="4" t="str">
        <f>HYPERLINK("#Critères_liste_rouge!A$1","C2a(i)")</f>
        <v>C2a(i)</v>
      </c>
      <c r="AH22182" s="4" t="str">
        <f>HYPERLINK("#Statut_biogéographique!A"&amp;_xlfn.XMATCH("P",Statut_biogéographique!A:A,2,1),"P")</f>
        <v>P</v>
      </c>
      <c r="AP22182" s="4" t="s">
        <v>376</v>
      </c>
      <c r="AR22182" s="4" t="s">
        <v>377</v>
      </c>
    </row>
    <row r="22183" spans="1:44">
      <c r="A22183" s="4" t="s">
        <v>24364</v>
      </c>
      <c r="B22183" s="4">
        <v>149441</v>
      </c>
      <c r="D22183" s="5" t="s">
        <v>28931</v>
      </c>
      <c r="E22183" s="6" t="str">
        <f>HYPERLINK("https://inpn.mnhn.fr/espece/cd_nom/149441","Physalis alkekengi var. alkekengi L., 1753")</f>
        <v>Physalis alkekengi var. alkekengi L., 1753</v>
      </c>
      <c r="F22183" s="5" t="s">
        <v>28932</v>
      </c>
      <c r="T22183" s="7" t="str">
        <f>HYPERLINK("#Liste_rouge!A"&amp;_xlfn.XMATCH("VU",Liste_rouge!A:A,2,1),"VU")</f>
        <v>VU</v>
      </c>
      <c r="U22183" s="4" t="str">
        <f>HYPERLINK("#Critères_liste_rouge!A$1","D2")</f>
        <v>D2</v>
      </c>
      <c r="AH22183" s="4" t="str">
        <f>HYPERLINK("#Statut_biogéographique!A"&amp;_xlfn.XMATCH("I",Statut_biogéographique!A:A,2,1),"I")</f>
        <v>I</v>
      </c>
      <c r="AP22183" s="4" t="s">
        <v>376</v>
      </c>
      <c r="AR22183" s="4" t="s">
        <v>377</v>
      </c>
    </row>
    <row r="22184" spans="1:44" ht="30">
      <c r="A22184" s="4" t="s">
        <v>24364</v>
      </c>
      <c r="B22184" s="4">
        <v>149442</v>
      </c>
      <c r="D22184" s="5" t="s">
        <v>28933</v>
      </c>
      <c r="E22184" s="6" t="str">
        <f>HYPERLINK("https://inpn.mnhn.fr/espece/cd_nom/149442","Physalis alkekengi var. franchetii (Mast.) Makino, 1908")</f>
        <v>Physalis alkekengi var. franchetii (Mast.) Makino, 1908</v>
      </c>
      <c r="F22184" s="5" t="s">
        <v>28934</v>
      </c>
      <c r="T22184" s="7" t="str">
        <f>HYPERLINK("#Liste_rouge!A"&amp;_xlfn.XMATCH("NA",Liste_rouge!A:A,2,1),"NA")</f>
        <v>NA</v>
      </c>
      <c r="AH22184" s="4" t="str">
        <f>HYPERLINK("#Statut_biogéographique!A"&amp;_xlfn.XMATCH("I",Statut_biogéographique!A:A,2,1),"I")</f>
        <v>I</v>
      </c>
      <c r="AP22184" s="4" t="s">
        <v>376</v>
      </c>
      <c r="AR22184" s="4" t="s">
        <v>377</v>
      </c>
    </row>
    <row r="22185" spans="1:44">
      <c r="A22185" s="4" t="s">
        <v>24364</v>
      </c>
      <c r="B22185" s="4">
        <v>149531</v>
      </c>
      <c r="D22185" s="5">
        <v>149531</v>
      </c>
      <c r="E22185" s="6" t="str">
        <f>HYPERLINK("https://inpn.mnhn.fr/espece/cd_nom/149531","Plantago lanceolata var. lanceolata L., 1753")</f>
        <v>Plantago lanceolata var. lanceolata L., 1753</v>
      </c>
      <c r="T22185" s="7" t="str">
        <f>HYPERLINK("#Liste_rouge!A"&amp;_xlfn.XMATCH("LC",Liste_rouge!A:A,2,1),"LC")</f>
        <v>LC</v>
      </c>
      <c r="AH22185" s="4" t="str">
        <f>HYPERLINK("#Statut_biogéographique!A"&amp;_xlfn.XMATCH("P",Statut_biogéographique!A:A,2,1),"P")</f>
        <v>P</v>
      </c>
      <c r="AP22185" s="4" t="s">
        <v>376</v>
      </c>
      <c r="AR22185" s="4" t="s">
        <v>377</v>
      </c>
    </row>
    <row r="22186" spans="1:44" ht="30">
      <c r="A22186" s="4" t="s">
        <v>24364</v>
      </c>
      <c r="B22186" s="4">
        <v>149532</v>
      </c>
      <c r="D22186" s="5" t="s">
        <v>28935</v>
      </c>
      <c r="E22186" s="6" t="str">
        <f>HYPERLINK("https://inpn.mnhn.fr/espece/cd_nom/149532","Plantago lanceolata var. lanuginosa Bluff &amp; Fingerh., 1825")</f>
        <v>Plantago lanceolata var. lanuginosa Bluff &amp; Fingerh., 1825</v>
      </c>
      <c r="T22186" s="7" t="str">
        <f>HYPERLINK("#Liste_rouge!A"&amp;_xlfn.XMATCH("NE",Liste_rouge!A:A,2,1),"NE")</f>
        <v>NE</v>
      </c>
      <c r="AH22186" s="4" t="str">
        <f>HYPERLINK("#Statut_biogéographique!A"&amp;_xlfn.XMATCH("P",Statut_biogéographique!A:A,2,1),"P")</f>
        <v>P</v>
      </c>
      <c r="AP22186" s="4" t="s">
        <v>376</v>
      </c>
      <c r="AR22186" s="4" t="s">
        <v>377</v>
      </c>
    </row>
    <row r="22187" spans="1:44" ht="30">
      <c r="A22187" s="4" t="s">
        <v>24364</v>
      </c>
      <c r="B22187" s="4">
        <v>149536</v>
      </c>
      <c r="D22187" s="5" t="s">
        <v>28936</v>
      </c>
      <c r="E22187" s="6" t="str">
        <f>HYPERLINK("https://inpn.mnhn.fr/espece/cd_nom/149536","Plantago lanceolata var. sphaerostachya Mert. &amp; W.D.J.Koch, 1823")</f>
        <v>Plantago lanceolata var. sphaerostachya Mert. &amp; W.D.J.Koch, 1823</v>
      </c>
      <c r="T22187" s="7" t="str">
        <f>HYPERLINK("#Liste_rouge!A"&amp;_xlfn.XMATCH("NE",Liste_rouge!A:A,2,1),"NE")</f>
        <v>NE</v>
      </c>
      <c r="AH22187" s="4" t="str">
        <f>HYPERLINK("#Statut_biogéographique!A"&amp;_xlfn.XMATCH("P",Statut_biogéographique!A:A,2,1),"P")</f>
        <v>P</v>
      </c>
      <c r="AP22187" s="4" t="s">
        <v>376</v>
      </c>
      <c r="AR22187" s="4" t="s">
        <v>377</v>
      </c>
    </row>
    <row r="22188" spans="1:44" ht="30">
      <c r="A22188" s="4" t="s">
        <v>24364</v>
      </c>
      <c r="B22188" s="4">
        <v>149537</v>
      </c>
      <c r="D22188" s="5" t="s">
        <v>28937</v>
      </c>
      <c r="E22188" s="6" t="str">
        <f>HYPERLINK("https://inpn.mnhn.fr/espece/cd_nom/149537","Plantago lanceolata var. timbalii (Jord.) Gaut., 1898")</f>
        <v>Plantago lanceolata var. timbalii (Jord.) Gaut., 1898</v>
      </c>
      <c r="AH22188" s="4" t="str">
        <f>HYPERLINK("#Statut_biogéographique!A"&amp;_xlfn.XMATCH("P",Statut_biogéographique!A:A,2,1),"P")</f>
        <v>P</v>
      </c>
      <c r="AP22188" s="4" t="s">
        <v>376</v>
      </c>
      <c r="AR22188" s="4" t="s">
        <v>377</v>
      </c>
    </row>
    <row r="22189" spans="1:44">
      <c r="A22189" s="4" t="s">
        <v>24364</v>
      </c>
      <c r="B22189" s="4">
        <v>149611</v>
      </c>
      <c r="D22189" s="5" t="s">
        <v>28938</v>
      </c>
      <c r="E22189" s="6" t="str">
        <f>HYPERLINK("https://inpn.mnhn.fr/espece/cd_nom/149611","Poa annua var. reptans Hausskn., 1891")</f>
        <v>Poa annua var. reptans Hausskn., 1891</v>
      </c>
      <c r="F22189" s="5" t="s">
        <v>28939</v>
      </c>
      <c r="AH22189" s="4" t="str">
        <f>HYPERLINK("#Statut_biogéographique!A"&amp;_xlfn.XMATCH("P",Statut_biogéographique!A:A,2,1),"P")</f>
        <v>P</v>
      </c>
      <c r="AP22189" s="4" t="s">
        <v>376</v>
      </c>
      <c r="AR22189" s="4" t="s">
        <v>377</v>
      </c>
    </row>
    <row r="22190" spans="1:44">
      <c r="A22190" s="4" t="s">
        <v>24364</v>
      </c>
      <c r="B22190" s="4">
        <v>149630</v>
      </c>
      <c r="D22190" s="5">
        <v>149630</v>
      </c>
      <c r="E22190" s="6" t="str">
        <f>HYPERLINK("https://inpn.mnhn.fr/espece/cd_nom/149630","Poa bulbosa var. bulbosa L., 1753")</f>
        <v>Poa bulbosa var. bulbosa L., 1753</v>
      </c>
      <c r="F22190" s="5" t="s">
        <v>26163</v>
      </c>
      <c r="T22190" s="7" t="str">
        <f>HYPERLINK("#Liste_rouge!A"&amp;_xlfn.XMATCH("DD",Liste_rouge!A:A,2,1),"DD")</f>
        <v>DD</v>
      </c>
      <c r="AH22190" s="4" t="str">
        <f>HYPERLINK("#Statut_biogéographique!A"&amp;_xlfn.XMATCH("P",Statut_biogéographique!A:A,2,1),"P")</f>
        <v>P</v>
      </c>
      <c r="AP22190" s="4" t="s">
        <v>376</v>
      </c>
      <c r="AR22190" s="4" t="s">
        <v>377</v>
      </c>
    </row>
    <row r="22191" spans="1:44" ht="30">
      <c r="A22191" s="4" t="s">
        <v>24364</v>
      </c>
      <c r="B22191" s="4">
        <v>149631</v>
      </c>
      <c r="D22191" s="5" t="s">
        <v>28940</v>
      </c>
      <c r="E22191" s="6" t="str">
        <f>HYPERLINK("https://inpn.mnhn.fr/espece/cd_nom/149631","Poa bulbosa var. vivipara Koeler, 1802")</f>
        <v>Poa bulbosa var. vivipara Koeler, 1802</v>
      </c>
      <c r="F22191" s="5" t="s">
        <v>28941</v>
      </c>
      <c r="T22191" s="7" t="str">
        <f>HYPERLINK("#Liste_rouge!A"&amp;_xlfn.XMATCH("DD",Liste_rouge!A:A,2,1),"DD")</f>
        <v>DD</v>
      </c>
      <c r="AH22191" s="4" t="str">
        <f>HYPERLINK("#Statut_biogéographique!A"&amp;_xlfn.XMATCH("P",Statut_biogéographique!A:A,2,1),"P")</f>
        <v>P</v>
      </c>
      <c r="AP22191" s="4" t="s">
        <v>376</v>
      </c>
      <c r="AR22191" s="4" t="s">
        <v>377</v>
      </c>
    </row>
    <row r="22192" spans="1:44">
      <c r="A22192" s="4" t="s">
        <v>24364</v>
      </c>
      <c r="B22192" s="4">
        <v>149743</v>
      </c>
      <c r="D22192" s="5">
        <v>149743</v>
      </c>
      <c r="E22192" s="6" t="str">
        <f>HYPERLINK("https://inpn.mnhn.fr/espece/cd_nom/149743","Poa nemoralis var. nemoralis L., 1753")</f>
        <v>Poa nemoralis var. nemoralis L., 1753</v>
      </c>
      <c r="F22192" s="5" t="s">
        <v>26174</v>
      </c>
      <c r="AH22192" s="4" t="str">
        <f>HYPERLINK("#Statut_biogéographique!A"&amp;_xlfn.XMATCH("P",Statut_biogéographique!A:A,2,1),"P")</f>
        <v>P</v>
      </c>
      <c r="AP22192" s="4" t="s">
        <v>376</v>
      </c>
      <c r="AR22192" s="4" t="s">
        <v>377</v>
      </c>
    </row>
    <row r="22193" spans="1:44" ht="45">
      <c r="A22193" s="4" t="s">
        <v>24364</v>
      </c>
      <c r="B22193" s="4">
        <v>149992</v>
      </c>
      <c r="D22193" s="5" t="s">
        <v>28942</v>
      </c>
      <c r="E22193" s="6" t="str">
        <f>HYPERLINK("https://inpn.mnhn.fr/espece/cd_nom/149992","Populus nigra var. italica Du Roi, 1772")</f>
        <v>Populus nigra var. italica Du Roi, 1772</v>
      </c>
      <c r="F22193" s="5" t="s">
        <v>28943</v>
      </c>
      <c r="T22193" s="7" t="str">
        <f>HYPERLINK("#Liste_rouge!A"&amp;_xlfn.XMATCH("NA",Liste_rouge!A:A,2,1),"NA")</f>
        <v>NA</v>
      </c>
      <c r="AH22193" s="4" t="str">
        <f>HYPERLINK("#Statut_biogéographique!A"&amp;_xlfn.XMATCH("M",Statut_biogéographique!A:A,2,1),"M")</f>
        <v>M</v>
      </c>
      <c r="AP22193" s="4" t="s">
        <v>376</v>
      </c>
      <c r="AR22193" s="4" t="s">
        <v>377</v>
      </c>
    </row>
    <row r="22194" spans="1:44" ht="45">
      <c r="A22194" s="4" t="s">
        <v>24364</v>
      </c>
      <c r="B22194" s="4">
        <v>150261</v>
      </c>
      <c r="D22194" s="5" t="s">
        <v>28944</v>
      </c>
      <c r="E22194" s="6" t="str">
        <f>HYPERLINK("https://inpn.mnhn.fr/espece/cd_nom/150261","Prunus cerasus var. acida (Ehrh.) Willd., 1796")</f>
        <v>Prunus cerasus var. acida (Ehrh.) Willd., 1796</v>
      </c>
      <c r="F22194" s="5" t="s">
        <v>28945</v>
      </c>
      <c r="T22194" s="7" t="str">
        <f>HYPERLINK("#Liste_rouge!A"&amp;_xlfn.XMATCH("NA",Liste_rouge!A:A,2,1),"NA")</f>
        <v>NA</v>
      </c>
      <c r="AH22194" s="4" t="str">
        <f>HYPERLINK("#Statut_biogéographique!A"&amp;_xlfn.XMATCH("M",Statut_biogéographique!A:A,2,1),"M")</f>
        <v>M</v>
      </c>
      <c r="AP22194" s="4" t="s">
        <v>376</v>
      </c>
      <c r="AR22194" s="4" t="s">
        <v>377</v>
      </c>
    </row>
    <row r="22195" spans="1:44">
      <c r="A22195" s="4" t="s">
        <v>24364</v>
      </c>
      <c r="B22195" s="4">
        <v>150265</v>
      </c>
      <c r="D22195" s="5" t="s">
        <v>28946</v>
      </c>
      <c r="E22195" s="6" t="str">
        <f>HYPERLINK("https://inpn.mnhn.fr/espece/cd_nom/150265","Prunus cerasus var. caproniana L., 1753")</f>
        <v>Prunus cerasus var. caproniana L., 1753</v>
      </c>
      <c r="F22195" s="5" t="s">
        <v>28947</v>
      </c>
      <c r="AH22195" s="4" t="str">
        <f>HYPERLINK("#Statut_biogéographique!A"&amp;_xlfn.XMATCH("M",Statut_biogéographique!A:A,2,1),"M")</f>
        <v>M</v>
      </c>
      <c r="AP22195" s="4" t="s">
        <v>376</v>
      </c>
      <c r="AR22195" s="4" t="s">
        <v>377</v>
      </c>
    </row>
    <row r="22196" spans="1:44">
      <c r="A22196" s="4" t="s">
        <v>24364</v>
      </c>
      <c r="B22196" s="4">
        <v>150266</v>
      </c>
      <c r="D22196" s="5">
        <v>150266</v>
      </c>
      <c r="E22196" s="6" t="str">
        <f>HYPERLINK("https://inpn.mnhn.fr/espece/cd_nom/150266","Prunus cerasus var. cerasus L., 1753")</f>
        <v>Prunus cerasus var. cerasus L., 1753</v>
      </c>
      <c r="F22196" s="5" t="s">
        <v>28948</v>
      </c>
      <c r="T22196" s="7" t="str">
        <f>HYPERLINK("#Liste_rouge!A"&amp;_xlfn.XMATCH("NA",Liste_rouge!A:A,2,1),"NA")</f>
        <v>NA</v>
      </c>
      <c r="AH22196" s="4" t="str">
        <f>HYPERLINK("#Statut_biogéographique!A"&amp;_xlfn.XMATCH("M",Statut_biogéographique!A:A,2,1),"M")</f>
        <v>M</v>
      </c>
      <c r="AP22196" s="4" t="s">
        <v>376</v>
      </c>
      <c r="AR22196" s="4" t="s">
        <v>377</v>
      </c>
    </row>
    <row r="22197" spans="1:44" ht="45">
      <c r="A22197" s="4" t="s">
        <v>24364</v>
      </c>
      <c r="B22197" s="4">
        <v>150303</v>
      </c>
      <c r="D22197" s="5" t="s">
        <v>28949</v>
      </c>
      <c r="E22197" s="6" t="str">
        <f>HYPERLINK("https://inpn.mnhn.fr/espece/cd_nom/150303","Prunus spinosa var. fruticans (Weihe) Coss. &amp; Germ., 1861")</f>
        <v>Prunus spinosa var. fruticans (Weihe) Coss. &amp; Germ., 1861</v>
      </c>
      <c r="F22197" s="5" t="s">
        <v>28950</v>
      </c>
      <c r="T22197" s="7" t="str">
        <f>HYPERLINK("#Liste_rouge!A"&amp;_xlfn.XMATCH("LC",Liste_rouge!A:A,2,1),"LC")</f>
        <v>LC</v>
      </c>
      <c r="AH22197" s="4" t="str">
        <f>HYPERLINK("#Statut_biogéographique!A"&amp;_xlfn.XMATCH("P",Statut_biogéographique!A:A,2,1),"P")</f>
        <v>P</v>
      </c>
      <c r="AP22197" s="4" t="s">
        <v>376</v>
      </c>
      <c r="AR22197" s="4" t="s">
        <v>377</v>
      </c>
    </row>
    <row r="22198" spans="1:44" ht="60">
      <c r="A22198" s="4" t="s">
        <v>24364</v>
      </c>
      <c r="B22198" s="4">
        <v>151646</v>
      </c>
      <c r="D22198" s="5" t="s">
        <v>28951</v>
      </c>
      <c r="E22198" s="6" t="str">
        <f>HYPERLINK("https://inpn.mnhn.fr/espece/cd_nom/151646","Setaria verticillata var. ambigua (Guss.) Parl., 1845")</f>
        <v>Setaria verticillata var. ambigua (Guss.) Parl., 1845</v>
      </c>
      <c r="F22198" s="5" t="s">
        <v>28952</v>
      </c>
      <c r="T22198" s="7" t="str">
        <f>HYPERLINK("#Liste_rouge!A"&amp;_xlfn.XMATCH("DD",Liste_rouge!A:A,2,1),"DD")</f>
        <v>DD</v>
      </c>
      <c r="AH22198" s="4" t="str">
        <f>HYPERLINK("#Statut_biogéographique!A"&amp;_xlfn.XMATCH("I",Statut_biogéographique!A:A,2,1),"I")</f>
        <v>I</v>
      </c>
      <c r="AP22198" s="4" t="s">
        <v>376</v>
      </c>
      <c r="AR22198" s="4" t="s">
        <v>377</v>
      </c>
    </row>
    <row r="22199" spans="1:44" ht="45">
      <c r="A22199" s="4" t="s">
        <v>24364</v>
      </c>
      <c r="B22199" s="4">
        <v>151657</v>
      </c>
      <c r="D22199" s="5" t="s">
        <v>28953</v>
      </c>
      <c r="E22199" s="6" t="str">
        <f>HYPERLINK("https://inpn.mnhn.fr/espece/cd_nom/151657","Setaria verticillata var. verticillata (L.) P.Beauv., 1812")</f>
        <v>Setaria verticillata var. verticillata (L.) P.Beauv., 1812</v>
      </c>
      <c r="F22199" s="5" t="s">
        <v>28954</v>
      </c>
      <c r="T22199" s="7" t="str">
        <f>HYPERLINK("#Liste_rouge!A"&amp;_xlfn.XMATCH("DD",Liste_rouge!A:A,2,1),"DD")</f>
        <v>DD</v>
      </c>
      <c r="AH22199" s="4" t="str">
        <f>HYPERLINK("#Statut_biogéographique!A"&amp;_xlfn.XMATCH("P",Statut_biogéographique!A:A,2,1),"P")</f>
        <v>P</v>
      </c>
      <c r="AP22199" s="4" t="s">
        <v>376</v>
      </c>
      <c r="AR22199" s="4" t="s">
        <v>377</v>
      </c>
    </row>
    <row r="22200" spans="1:44" ht="75">
      <c r="A22200" s="4" t="s">
        <v>24364</v>
      </c>
      <c r="B22200" s="4">
        <v>151786</v>
      </c>
      <c r="D22200" s="5" t="s">
        <v>28955</v>
      </c>
      <c r="E22200" s="6" t="str">
        <f>HYPERLINK("https://inpn.mnhn.fr/espece/cd_nom/151786","Silene dioica var. dioica (L.) Clairv., 1811")</f>
        <v>Silene dioica var. dioica (L.) Clairv., 1811</v>
      </c>
      <c r="F22200" s="5" t="s">
        <v>27363</v>
      </c>
      <c r="T22200" s="7" t="str">
        <f>HYPERLINK("#Liste_rouge!A"&amp;_xlfn.XMATCH("DD",Liste_rouge!A:A,2,1),"DD")</f>
        <v>DD</v>
      </c>
      <c r="AH22200" s="4" t="str">
        <f>HYPERLINK("#Statut_biogéographique!A"&amp;_xlfn.XMATCH("P",Statut_biogéographique!A:A,2,1),"P")</f>
        <v>P</v>
      </c>
      <c r="AP22200" s="4" t="s">
        <v>376</v>
      </c>
      <c r="AR22200" s="4" t="s">
        <v>377</v>
      </c>
    </row>
    <row r="22201" spans="1:44" ht="30">
      <c r="A22201" s="4" t="s">
        <v>24364</v>
      </c>
      <c r="B22201" s="4">
        <v>152064</v>
      </c>
      <c r="D22201" s="5" t="s">
        <v>28956</v>
      </c>
      <c r="E22201" s="6" t="str">
        <f>HYPERLINK("https://inpn.mnhn.fr/espece/cd_nom/152064","Symphoricarpos albus var. laevigatus (Fernald) S.F.Blake, 1914")</f>
        <v>Symphoricarpos albus var. laevigatus (Fernald) S.F.Blake, 1914</v>
      </c>
      <c r="F22201" s="5" t="s">
        <v>28957</v>
      </c>
      <c r="T22201" s="7" t="str">
        <f>HYPERLINK("#Liste_rouge!A"&amp;_xlfn.XMATCH("NA",Liste_rouge!A:A,2,1),"NA")</f>
        <v>NA</v>
      </c>
      <c r="AH22201" s="4" t="str">
        <f>HYPERLINK("#Statut_biogéographique!A"&amp;_xlfn.XMATCH("I",Statut_biogéographique!A:A,2,1),"I")</f>
        <v>I</v>
      </c>
      <c r="AP22201" s="4" t="s">
        <v>376</v>
      </c>
      <c r="AR22201" s="4" t="s">
        <v>377</v>
      </c>
    </row>
    <row r="22202" spans="1:44" ht="60">
      <c r="A22202" s="4" t="s">
        <v>24364</v>
      </c>
      <c r="B22202" s="4">
        <v>152082</v>
      </c>
      <c r="D22202" s="5" t="s">
        <v>28958</v>
      </c>
      <c r="E22202" s="6" t="str">
        <f>HYPERLINK("https://inpn.mnhn.fr/espece/cd_nom/152082","Tephroseris helenitis var. helenitis (L.) B.Nord., 1978")</f>
        <v>Tephroseris helenitis var. helenitis (L.) B.Nord., 1978</v>
      </c>
      <c r="F22202" s="5" t="s">
        <v>27658</v>
      </c>
      <c r="M22202" s="4" t="str">
        <f>HYPERLINK("#Réglementation!A"&amp;_xlfn.XMATCH("RV26",Réglementation!A:A,2,1),"RV26 - RV43")</f>
        <v>RV26 - RV43</v>
      </c>
      <c r="T22202" s="7" t="str">
        <f>HYPERLINK("#Liste_rouge!A"&amp;_xlfn.XMATCH("DD",Liste_rouge!A:A,2,1),"DD")</f>
        <v>DD</v>
      </c>
      <c r="AH22202" s="4" t="str">
        <f>HYPERLINK("#Statut_biogéographique!A"&amp;_xlfn.XMATCH("P",Statut_biogéographique!A:A,2,1),"P")</f>
        <v>P</v>
      </c>
      <c r="AP22202" s="4" t="s">
        <v>376</v>
      </c>
      <c r="AR22202" s="4" t="s">
        <v>377</v>
      </c>
    </row>
    <row r="22203" spans="1:44">
      <c r="A22203" s="4" t="s">
        <v>24364</v>
      </c>
      <c r="B22203" s="4">
        <v>152117</v>
      </c>
      <c r="D22203" s="5">
        <v>152117</v>
      </c>
      <c r="E22203" s="6" t="str">
        <f>HYPERLINK("https://inpn.mnhn.fr/espece/cd_nom/152117","Thesium alpinum var. alpinum L., 1753")</f>
        <v>Thesium alpinum var. alpinum L., 1753</v>
      </c>
      <c r="F22203" s="5" t="s">
        <v>27689</v>
      </c>
      <c r="AH22203" s="4" t="str">
        <f>HYPERLINK("#Statut_biogéographique!A"&amp;_xlfn.XMATCH("P",Statut_biogéographique!A:A,2,1),"P")</f>
        <v>P</v>
      </c>
      <c r="AP22203" s="4" t="s">
        <v>376</v>
      </c>
      <c r="AR22203" s="4" t="s">
        <v>377</v>
      </c>
    </row>
    <row r="22204" spans="1:44" ht="45">
      <c r="A22204" s="4" t="s">
        <v>24364</v>
      </c>
      <c r="B22204" s="4">
        <v>152118</v>
      </c>
      <c r="D22204" s="5" t="s">
        <v>28959</v>
      </c>
      <c r="E22204" s="6" t="str">
        <f>HYPERLINK("https://inpn.mnhn.fr/espece/cd_nom/152118","Thesium alpinum var. tenuifolium Saut. ex W.D.J.Koch, 1844")</f>
        <v>Thesium alpinum var. tenuifolium Saut. ex W.D.J.Koch, 1844</v>
      </c>
      <c r="F22204" s="5" t="s">
        <v>28960</v>
      </c>
      <c r="AH22204" s="4" t="str">
        <f>HYPERLINK("#Statut_biogéographique!A"&amp;_xlfn.XMATCH("P",Statut_biogéographique!A:A,2,1),"P")</f>
        <v>P</v>
      </c>
      <c r="AP22204" s="4" t="s">
        <v>376</v>
      </c>
      <c r="AR22204" s="4" t="s">
        <v>377</v>
      </c>
    </row>
    <row r="22205" spans="1:44" ht="30">
      <c r="A22205" s="4" t="s">
        <v>24364</v>
      </c>
      <c r="B22205" s="4">
        <v>152163</v>
      </c>
      <c r="D22205" s="5" t="s">
        <v>28961</v>
      </c>
      <c r="E22205" s="6" t="str">
        <f>HYPERLINK("https://inpn.mnhn.fr/espece/cd_nom/152163","Trifolium arvense var. gracile (Thuill.) DC., 1805")</f>
        <v>Trifolium arvense var. gracile (Thuill.) DC., 1805</v>
      </c>
      <c r="F22205" s="5" t="s">
        <v>28962</v>
      </c>
      <c r="T22205" s="7" t="str">
        <f>HYPERLINK("#Liste_rouge!A"&amp;_xlfn.XMATCH("NE",Liste_rouge!A:A,2,1),"NE")</f>
        <v>NE</v>
      </c>
      <c r="AH22205" s="4" t="str">
        <f>HYPERLINK("#Statut_biogéographique!A"&amp;_xlfn.XMATCH("P",Statut_biogéographique!A:A,2,1),"P")</f>
        <v>P</v>
      </c>
      <c r="AP22205" s="4" t="s">
        <v>376</v>
      </c>
      <c r="AR22205" s="4" t="s">
        <v>377</v>
      </c>
    </row>
    <row r="22206" spans="1:44" ht="30">
      <c r="A22206" s="4" t="s">
        <v>24364</v>
      </c>
      <c r="B22206" s="4">
        <v>152182</v>
      </c>
      <c r="D22206" s="5" t="s">
        <v>28963</v>
      </c>
      <c r="E22206" s="6" t="str">
        <f>HYPERLINK("https://inpn.mnhn.fr/espece/cd_nom/152182","Trifolium incarnatum var. molinerii (Balb. ex Hornem.) DC., 1815")</f>
        <v>Trifolium incarnatum var. molinerii (Balb. ex Hornem.) DC., 1815</v>
      </c>
      <c r="F22206" s="5" t="s">
        <v>28964</v>
      </c>
      <c r="T22206" s="7" t="str">
        <f>HYPERLINK("#Liste_rouge!A"&amp;_xlfn.XMATCH("VU",Liste_rouge!A:A,2,1),"VU")</f>
        <v>VU</v>
      </c>
      <c r="U22206" s="4" t="str">
        <f>HYPERLINK("#Critères_liste_rouge!A$1","D2")</f>
        <v>D2</v>
      </c>
      <c r="AH22206" s="4" t="str">
        <f>HYPERLINK("#Statut_biogéographique!A"&amp;_xlfn.XMATCH("P",Statut_biogéographique!A:A,2,1),"P")</f>
        <v>P</v>
      </c>
      <c r="AP22206" s="4" t="s">
        <v>376</v>
      </c>
      <c r="AR22206" s="4" t="s">
        <v>377</v>
      </c>
    </row>
    <row r="22207" spans="1:44" ht="30">
      <c r="A22207" s="4" t="s">
        <v>24364</v>
      </c>
      <c r="B22207" s="4">
        <v>152213</v>
      </c>
      <c r="D22207" s="5" t="s">
        <v>28965</v>
      </c>
      <c r="E22207" s="6" t="str">
        <f>HYPERLINK("https://inpn.mnhn.fr/espece/cd_nom/152213","Trifolium pratense var. sativum Schreb., 1804")</f>
        <v>Trifolium pratense var. sativum Schreb., 1804</v>
      </c>
      <c r="F22207" s="5" t="s">
        <v>28966</v>
      </c>
      <c r="T22207" s="7" t="str">
        <f>HYPERLINK("#Liste_rouge!A"&amp;_xlfn.XMATCH("NA",Liste_rouge!A:A,2,1),"NA")</f>
        <v>NA</v>
      </c>
      <c r="AH22207" s="4" t="str">
        <f>HYPERLINK("#Statut_biogéographique!A"&amp;_xlfn.XMATCH("M",Statut_biogéographique!A:A,2,1),"M")</f>
        <v>M</v>
      </c>
      <c r="AP22207" s="4" t="s">
        <v>376</v>
      </c>
      <c r="AR22207" s="4" t="s">
        <v>377</v>
      </c>
    </row>
    <row r="22208" spans="1:44">
      <c r="A22208" s="4" t="s">
        <v>24364</v>
      </c>
      <c r="B22208" s="4">
        <v>152218</v>
      </c>
      <c r="D22208" s="5">
        <v>152218</v>
      </c>
      <c r="E22208" s="6" t="str">
        <f>HYPERLINK("https://inpn.mnhn.fr/espece/cd_nom/152218","Trifolium pratense var. pratense L., 1753")</f>
        <v>Trifolium pratense var. pratense L., 1753</v>
      </c>
      <c r="F22208" s="5" t="s">
        <v>28967</v>
      </c>
      <c r="T22208" s="7" t="str">
        <f>HYPERLINK("#Liste_rouge!A"&amp;_xlfn.XMATCH("DD",Liste_rouge!A:A,2,1),"DD")</f>
        <v>DD</v>
      </c>
      <c r="AH22208" s="4" t="str">
        <f>HYPERLINK("#Statut_biogéographique!A"&amp;_xlfn.XMATCH("P",Statut_biogéographique!A:A,2,1),"P")</f>
        <v>P</v>
      </c>
      <c r="AP22208" s="4" t="s">
        <v>376</v>
      </c>
      <c r="AR22208" s="4" t="s">
        <v>377</v>
      </c>
    </row>
    <row r="22209" spans="1:44" ht="45">
      <c r="A22209" s="4" t="s">
        <v>24364</v>
      </c>
      <c r="B22209" s="4">
        <v>152221</v>
      </c>
      <c r="D22209" s="5" t="s">
        <v>28968</v>
      </c>
      <c r="E22209" s="6" t="str">
        <f>HYPERLINK("https://inpn.mnhn.fr/espece/cd_nom/152221","Trifolium repens var. biasolettii (Steud. &amp; Hochst.) Asch. &amp; Graebn., 1907")</f>
        <v>Trifolium repens var. biasolettii (Steud. &amp; Hochst.) Asch. &amp; Graebn., 1907</v>
      </c>
      <c r="F22209" s="5" t="s">
        <v>28969</v>
      </c>
      <c r="T22209" s="7" t="str">
        <f>HYPERLINK("#Liste_rouge!A"&amp;_xlfn.XMATCH("NA",Liste_rouge!A:A,2,1),"NA")</f>
        <v>NA</v>
      </c>
      <c r="AH22209" s="4" t="str">
        <f>HYPERLINK("#Statut_biogéographique!A"&amp;_xlfn.XMATCH("P",Statut_biogéographique!A:A,2,1),"P")</f>
        <v>P</v>
      </c>
      <c r="AP22209" s="4" t="s">
        <v>376</v>
      </c>
      <c r="AR22209" s="4" t="s">
        <v>377</v>
      </c>
    </row>
    <row r="22210" spans="1:44" ht="30">
      <c r="A22210" s="4" t="s">
        <v>24364</v>
      </c>
      <c r="B22210" s="4">
        <v>152226</v>
      </c>
      <c r="D22210" s="5" t="s">
        <v>28970</v>
      </c>
      <c r="E22210" s="6" t="str">
        <f>HYPERLINK("https://inpn.mnhn.fr/espece/cd_nom/152226","Trifolium repens var. repens L., 1753")</f>
        <v>Trifolium repens var. repens L., 1753</v>
      </c>
      <c r="F22210" s="5" t="s">
        <v>27811</v>
      </c>
      <c r="AH22210" s="4" t="str">
        <f>HYPERLINK("#Statut_biogéographique!A"&amp;_xlfn.XMATCH("P",Statut_biogéographique!A:A,2,1),"P")</f>
        <v>P</v>
      </c>
      <c r="AP22210" s="4" t="s">
        <v>376</v>
      </c>
      <c r="AR22210" s="4" t="s">
        <v>377</v>
      </c>
    </row>
    <row r="22211" spans="1:44" ht="30">
      <c r="A22211" s="4" t="s">
        <v>24364</v>
      </c>
      <c r="B22211" s="4">
        <v>152247</v>
      </c>
      <c r="D22211" s="5" t="s">
        <v>28971</v>
      </c>
      <c r="E22211" s="6" t="str">
        <f>HYPERLINK("https://inpn.mnhn.fr/espece/cd_nom/152247","Trifolium subterraneum var. subterraneum L., 1753")</f>
        <v>Trifolium subterraneum var. subterraneum L., 1753</v>
      </c>
      <c r="F22211" s="5" t="s">
        <v>27827</v>
      </c>
      <c r="M22211" s="4" t="str">
        <f>HYPERLINK("#Réglementation!A"&amp;_xlfn.XMATCH("RV26",Réglementation!A:A,2,1),"RV26")</f>
        <v>RV26</v>
      </c>
      <c r="T22211" s="7" t="str">
        <f>HYPERLINK("#Liste_rouge!A"&amp;_xlfn.XMATCH("NT",Liste_rouge!A:A,2,1),"NT")</f>
        <v>NT</v>
      </c>
      <c r="U22211" s="4" t="str">
        <f>HYPERLINK("#Critères_liste_rouge!A$1","VU (A2ac) - 1")</f>
        <v>VU (A2ac) - 1</v>
      </c>
      <c r="AH22211" s="4" t="str">
        <f>HYPERLINK("#Statut_biogéographique!A"&amp;_xlfn.XMATCH("P",Statut_biogéographique!A:A,2,1),"P")</f>
        <v>P</v>
      </c>
      <c r="AM22211" s="4" t="s">
        <v>375</v>
      </c>
      <c r="AN22211" s="4" t="s">
        <v>375</v>
      </c>
      <c r="AO22211" s="4" t="s">
        <v>375</v>
      </c>
      <c r="AP22211" s="4" t="s">
        <v>376</v>
      </c>
      <c r="AR22211" s="4" t="s">
        <v>377</v>
      </c>
    </row>
    <row r="22212" spans="1:44" ht="30">
      <c r="A22212" s="4" t="s">
        <v>24364</v>
      </c>
      <c r="B22212" s="4">
        <v>154276</v>
      </c>
      <c r="D22212" s="5">
        <v>154276</v>
      </c>
      <c r="E22212" s="6" t="str">
        <f>HYPERLINK("https://inpn.mnhn.fr/espece/cd_nom/154276","Amaranthus blitum var. emarginatus (Salzm. ex Uline &amp; W.L.Bray) Lambinon, 1993")</f>
        <v>Amaranthus blitum var. emarginatus (Salzm. ex Uline &amp; W.L.Bray) Lambinon, 1993</v>
      </c>
      <c r="F22212" s="5" t="s">
        <v>28972</v>
      </c>
      <c r="AH22212" s="4" t="str">
        <f>HYPERLINK("#Statut_biogéographique!A"&amp;_xlfn.XMATCH("I",Statut_biogéographique!A:A,2,1),"I")</f>
        <v>I</v>
      </c>
      <c r="AP22212" s="4" t="s">
        <v>376</v>
      </c>
      <c r="AR22212" s="4" t="s">
        <v>377</v>
      </c>
    </row>
    <row r="22213" spans="1:44" ht="30">
      <c r="A22213" s="4" t="s">
        <v>24364</v>
      </c>
      <c r="B22213" s="4">
        <v>154509</v>
      </c>
      <c r="D22213" s="5">
        <v>154509</v>
      </c>
      <c r="E22213" s="6" t="str">
        <f>HYPERLINK("https://inpn.mnhn.fr/espece/cd_nom/154509","Prunus avium var. avium (L.) L., 1755")</f>
        <v>Prunus avium var. avium (L.) L., 1755</v>
      </c>
      <c r="F22213" s="5" t="s">
        <v>28973</v>
      </c>
      <c r="T22213" s="7" t="str">
        <f>HYPERLINK("#Liste_rouge!A"&amp;_xlfn.XMATCH("DD",Liste_rouge!A:A,2,1),"DD")</f>
        <v>DD</v>
      </c>
      <c r="AH22213" s="4" t="str">
        <f>HYPERLINK("#Statut_biogéographique!A"&amp;_xlfn.XMATCH("P",Statut_biogéographique!A:A,2,1),"P")</f>
        <v>P</v>
      </c>
      <c r="AP22213" s="4" t="s">
        <v>376</v>
      </c>
      <c r="AR22213" s="4" t="s">
        <v>377</v>
      </c>
    </row>
    <row r="22214" spans="1:44" ht="60">
      <c r="A22214" s="4" t="s">
        <v>24364</v>
      </c>
      <c r="B22214" s="4">
        <v>154843</v>
      </c>
      <c r="D22214" s="5" t="s">
        <v>28974</v>
      </c>
      <c r="E22214" s="6" t="str">
        <f>HYPERLINK("https://inpn.mnhn.fr/espece/cd_nom/154843","Erysimum nevadense subsp. collisparsum (Jord.) P.W.Ball, 1990")</f>
        <v>Erysimum nevadense subsp. collisparsum (Jord.) P.W.Ball, 1990</v>
      </c>
      <c r="F22214" s="5" t="s">
        <v>28975</v>
      </c>
      <c r="Q22214" s="7" t="str">
        <f>HYPERLINK("#Liste_rouge!A"&amp;_xlfn.XMATCH("LC",Liste_rouge!A:A,2,1),"LC")</f>
        <v>LC</v>
      </c>
      <c r="T22214" s="7" t="str">
        <f>HYPERLINK("#Liste_rouge!A"&amp;_xlfn.XMATCH("NA",Liste_rouge!A:A,2,1),"NA")</f>
        <v>NA</v>
      </c>
      <c r="AH22214" s="4" t="str">
        <f>HYPERLINK("#Statut_biogéographique!A"&amp;_xlfn.XMATCH("P",Statut_biogéographique!A:A,2,1),"P")</f>
        <v>P</v>
      </c>
      <c r="AP22214" s="4" t="s">
        <v>376</v>
      </c>
      <c r="AR22214" s="4" t="s">
        <v>377</v>
      </c>
    </row>
    <row r="22215" spans="1:44" ht="45">
      <c r="A22215" s="4" t="s">
        <v>24364</v>
      </c>
      <c r="B22215" s="4">
        <v>155051</v>
      </c>
      <c r="D22215" s="5" t="s">
        <v>28976</v>
      </c>
      <c r="E22215" s="6" t="str">
        <f>HYPERLINK("https://inpn.mnhn.fr/espece/cd_nom/155051","Spiraea hypericifolia subsp. obovata (Waldst. &amp; Kit. ex Willd.) H.Huber, 1964")</f>
        <v>Spiraea hypericifolia subsp. obovata (Waldst. &amp; Kit. ex Willd.) H.Huber, 1964</v>
      </c>
      <c r="F22215" s="5" t="s">
        <v>28977</v>
      </c>
      <c r="Q22215" s="7" t="str">
        <f>HYPERLINK("#Liste_rouge!A"&amp;_xlfn.XMATCH("LC",Liste_rouge!A:A,2,1),"LC")</f>
        <v>LC</v>
      </c>
      <c r="T22215" s="7" t="str">
        <f>HYPERLINK("#Liste_rouge!A"&amp;_xlfn.XMATCH("NE",Liste_rouge!A:A,2,1),"NE")</f>
        <v>NE</v>
      </c>
      <c r="AH22215" s="4" t="str">
        <f>HYPERLINK("#Statut_biogéographique!A"&amp;_xlfn.XMATCH("P",Statut_biogéographique!A:A,2,1),"P")</f>
        <v>P</v>
      </c>
      <c r="AM22215" s="4" t="s">
        <v>375</v>
      </c>
      <c r="AN22215" s="4" t="s">
        <v>375</v>
      </c>
      <c r="AO22215" s="4" t="s">
        <v>375</v>
      </c>
      <c r="AP22215" s="4" t="s">
        <v>376</v>
      </c>
      <c r="AR22215" s="4" t="s">
        <v>377</v>
      </c>
    </row>
    <row r="22216" spans="1:44" ht="30">
      <c r="A22216" s="4" t="s">
        <v>24364</v>
      </c>
      <c r="B22216" s="4">
        <v>159445</v>
      </c>
      <c r="D22216" s="5" t="s">
        <v>28978</v>
      </c>
      <c r="E22216" s="6" t="str">
        <f>HYPERLINK("https://inpn.mnhn.fr/espece/cd_nom/159445","Hamatocaulis vernicosus (Mitt.) Hedenäs, 1989")</f>
        <v>Hamatocaulis vernicosus (Mitt.) Hedenäs, 1989</v>
      </c>
      <c r="F22216" s="5" t="s">
        <v>28979</v>
      </c>
      <c r="I22216" s="4" t="str">
        <f>HYPERLINK("#Réglementation!A"&amp;_xlfn.XMATCH("IBE1",Réglementation!A:A,2,1),"IBE1")</f>
        <v>IBE1</v>
      </c>
      <c r="K22216" s="4" t="str">
        <f>HYPERLINK("#Réglementation!A"&amp;_xlfn.XMATCH("CDH2",Réglementation!A:A,2,1),"CDH2")</f>
        <v>CDH2</v>
      </c>
      <c r="L22216" s="4" t="str">
        <f>HYPERLINK("#Réglementation!A"&amp;_xlfn.XMATCH("NV1",Réglementation!A:A,2,1),"NV1")</f>
        <v>NV1</v>
      </c>
      <c r="P22216" s="7" t="str">
        <f>HYPERLINK("#Liste_rouge!A"&amp;_xlfn.XMATCH("VU",Liste_rouge!A:A,2,1),"VU")</f>
        <v>VU</v>
      </c>
      <c r="T22216" s="7" t="str">
        <f>HYPERLINK("#Liste_rouge!A"&amp;_xlfn.XMATCH("CR",Liste_rouge!A:A,2,1),"CR")</f>
        <v>CR</v>
      </c>
      <c r="V22216" s="7" t="str">
        <f>HYPERLINK("#Liste_rouge!A"&amp;_xlfn.XMATCH("NT",Liste_rouge!A:A,2,1),"NT")</f>
        <v>NT</v>
      </c>
      <c r="X22216" s="5" t="s">
        <v>374</v>
      </c>
      <c r="AB22216" s="4" t="s">
        <v>93</v>
      </c>
      <c r="AE22216" s="4" t="str">
        <f>HYPERLINK("#SCAP!A"&amp;_xlfn.XMATCH("1+",SCAP!A:A,2,1),"1+")</f>
        <v>1+</v>
      </c>
      <c r="AF22216" s="4" t="str">
        <f>HYPERLINK("#SCAP!A"&amp;_xlfn.XMATCH("NP",SCAP!A:A,2,1),"NP")</f>
        <v>NP</v>
      </c>
      <c r="AG22216" s="4" t="str">
        <f>HYPERLINK("#SCAP!A"&amp;_xlfn.XMATCH("2-",SCAP!A:A,2,1),"2-")</f>
        <v>2-</v>
      </c>
      <c r="AH22216" s="4" t="str">
        <f>HYPERLINK("#Statut_biogéographique!A"&amp;_xlfn.XMATCH("P",Statut_biogéographique!A:A,2,1),"P")</f>
        <v>P</v>
      </c>
      <c r="AP22216" s="4" t="s">
        <v>376</v>
      </c>
      <c r="AR22216" s="4" t="s">
        <v>377</v>
      </c>
    </row>
    <row r="22217" spans="1:44" ht="30">
      <c r="A22217" s="4" t="s">
        <v>24364</v>
      </c>
      <c r="B22217" s="4">
        <v>159536</v>
      </c>
      <c r="D22217" s="5" t="s">
        <v>28980</v>
      </c>
      <c r="E22217" s="6" t="str">
        <f>HYPERLINK("https://inpn.mnhn.fr/espece/cd_nom/159536","Angelica sylvestris subsp. sylvestris L., 1753")</f>
        <v>Angelica sylvestris subsp. sylvestris L., 1753</v>
      </c>
      <c r="F22217" s="5" t="s">
        <v>28981</v>
      </c>
      <c r="Q22217" s="7" t="str">
        <f>HYPERLINK("#Liste_rouge!A"&amp;_xlfn.XMATCH("LC",Liste_rouge!A:A,2,1),"LC")</f>
        <v>LC</v>
      </c>
      <c r="T22217" s="7" t="str">
        <f>HYPERLINK("#Liste_rouge!A"&amp;_xlfn.XMATCH("LC",Liste_rouge!A:A,2,1),"LC")</f>
        <v>LC</v>
      </c>
      <c r="AH22217" s="4" t="str">
        <f>HYPERLINK("#Statut_biogéographique!A"&amp;_xlfn.XMATCH("P",Statut_biogéographique!A:A,2,1),"P")</f>
        <v>P</v>
      </c>
      <c r="AP22217" s="4" t="s">
        <v>376</v>
      </c>
      <c r="AR22217" s="4" t="s">
        <v>377</v>
      </c>
    </row>
    <row r="22218" spans="1:44">
      <c r="A22218" s="4" t="s">
        <v>24364</v>
      </c>
      <c r="B22218" s="4">
        <v>159542</v>
      </c>
      <c r="D22218" s="5" t="s">
        <v>28982</v>
      </c>
      <c r="E22218" s="6" t="str">
        <f>HYPERLINK("https://inpn.mnhn.fr/espece/cd_nom/159542","Arabis nemorensis Rchb., 1832")</f>
        <v>Arabis nemorensis Rchb., 1832</v>
      </c>
      <c r="F22218" s="5" t="s">
        <v>28983</v>
      </c>
      <c r="AH22218" s="4" t="str">
        <f>HYPERLINK("#Statut_biogéographique!A"&amp;_xlfn.XMATCH("Q",Statut_biogéographique!A:A,2,1),"Q")</f>
        <v>Q</v>
      </c>
      <c r="AP22218" s="4" t="s">
        <v>376</v>
      </c>
      <c r="AR22218" s="4" t="s">
        <v>377</v>
      </c>
    </row>
    <row r="22219" spans="1:44" ht="75">
      <c r="A22219" s="4" t="s">
        <v>24364</v>
      </c>
      <c r="B22219" s="4">
        <v>159574</v>
      </c>
      <c r="D22219" s="5" t="s">
        <v>28984</v>
      </c>
      <c r="E22219" s="6" t="str">
        <f>HYPERLINK("https://inpn.mnhn.fr/espece/cd_nom/159574","Calamagrostis neglecta (Ehrh.) G.Gaertn., B.Mey. &amp; Scherb., 1799")</f>
        <v>Calamagrostis neglecta (Ehrh.) G.Gaertn., B.Mey. &amp; Scherb., 1799</v>
      </c>
      <c r="F22219" s="5" t="s">
        <v>28985</v>
      </c>
      <c r="M22219" s="4" t="str">
        <f>HYPERLINK("#Réglementation!A"&amp;_xlfn.XMATCH("RV43",Réglementation!A:A,2,1),"RV43")</f>
        <v>RV43</v>
      </c>
      <c r="Q22219" s="7" t="str">
        <f>HYPERLINK("#Liste_rouge!A"&amp;_xlfn.XMATCH("EN",Liste_rouge!A:A,2,1),"EN")</f>
        <v>EN</v>
      </c>
      <c r="V22219" s="7" t="str">
        <f>HYPERLINK("#Liste_rouge!A"&amp;_xlfn.XMATCH("EN",Liste_rouge!A:A,2,1),"EN")</f>
        <v>EN</v>
      </c>
      <c r="W22219" s="4" t="str">
        <f>HYPERLINK("#Critères_liste_rouge!A$1","B2ac(iv)")</f>
        <v>B2ac(iv)</v>
      </c>
      <c r="X22219" s="5" t="s">
        <v>374</v>
      </c>
      <c r="AB22219" s="4" t="s">
        <v>93</v>
      </c>
      <c r="AE22219" s="4" t="str">
        <f>HYPERLINK("#SCAP!A"&amp;_xlfn.XMATCH("A",SCAP!A:A,2,1),"A")</f>
        <v>A</v>
      </c>
      <c r="AH22219" s="4" t="str">
        <f>HYPERLINK("#Statut_biogéographique!A"&amp;_xlfn.XMATCH("P",Statut_biogéographique!A:A,2,1),"P")</f>
        <v>P</v>
      </c>
      <c r="AM22219" s="4" t="s">
        <v>375</v>
      </c>
      <c r="AN22219" s="4" t="s">
        <v>375</v>
      </c>
      <c r="AO22219" s="4" t="s">
        <v>375</v>
      </c>
      <c r="AP22219" s="4" t="s">
        <v>389</v>
      </c>
      <c r="AR22219" s="4" t="s">
        <v>377</v>
      </c>
    </row>
    <row r="22220" spans="1:44">
      <c r="A22220" s="4" t="s">
        <v>24364</v>
      </c>
      <c r="B22220" s="4">
        <v>159654</v>
      </c>
      <c r="D22220" s="5" t="s">
        <v>28986</v>
      </c>
      <c r="E22220" s="6" t="str">
        <f>HYPERLINK("https://inpn.mnhn.fr/espece/cd_nom/159654","Erysimum nevadense Reut., 1855")</f>
        <v>Erysimum nevadense Reut., 1855</v>
      </c>
      <c r="F22220" s="5" t="s">
        <v>28987</v>
      </c>
      <c r="Q22220" s="7" t="str">
        <f>HYPERLINK("#Liste_rouge!A"&amp;_xlfn.XMATCH("LC",Liste_rouge!A:A,2,1),"LC")</f>
        <v>LC</v>
      </c>
      <c r="T22220" s="7" t="str">
        <f>HYPERLINK("#Liste_rouge!A"&amp;_xlfn.XMATCH("NA",Liste_rouge!A:A,2,1),"NA")</f>
        <v>NA</v>
      </c>
      <c r="AH22220" s="4" t="str">
        <f>HYPERLINK("#Statut_biogéographique!A"&amp;_xlfn.XMATCH("P",Statut_biogéographique!A:A,2,1),"P")</f>
        <v>P</v>
      </c>
      <c r="AP22220" s="4" t="s">
        <v>376</v>
      </c>
      <c r="AR22220" s="4" t="s">
        <v>377</v>
      </c>
    </row>
    <row r="22221" spans="1:44" ht="75">
      <c r="A22221" s="4" t="s">
        <v>24364</v>
      </c>
      <c r="B22221" s="4">
        <v>159690</v>
      </c>
      <c r="D22221" s="5" t="s">
        <v>28988</v>
      </c>
      <c r="E22221" s="6" t="str">
        <f>HYPERLINK("https://inpn.mnhn.fr/espece/cd_nom/159690","Glyceria striata (Lam.) Hitchc., 1928")</f>
        <v>Glyceria striata (Lam.) Hitchc., 1928</v>
      </c>
      <c r="F22221" s="5" t="s">
        <v>28989</v>
      </c>
      <c r="Q22221" s="7" t="str">
        <f>HYPERLINK("#Liste_rouge!A"&amp;_xlfn.XMATCH("NA",Liste_rouge!A:A,2,1),"NA")</f>
        <v>NA</v>
      </c>
      <c r="AH22221" s="4" t="str">
        <f>HYPERLINK("#Statut_biogéographique!A"&amp;_xlfn.XMATCH("I",Statut_biogéographique!A:A,2,1),"I")</f>
        <v>I</v>
      </c>
      <c r="AM22221" s="4" t="s">
        <v>375</v>
      </c>
      <c r="AN22221" s="4" t="s">
        <v>375</v>
      </c>
      <c r="AO22221" s="4" t="s">
        <v>375</v>
      </c>
      <c r="AP22221" s="4" t="s">
        <v>376</v>
      </c>
      <c r="AR22221" s="4" t="s">
        <v>377</v>
      </c>
    </row>
    <row r="22222" spans="1:44">
      <c r="A22222" s="4" t="s">
        <v>24364</v>
      </c>
      <c r="B22222" s="4">
        <v>159853</v>
      </c>
      <c r="D22222" s="5">
        <v>159853</v>
      </c>
      <c r="E22222" s="6" t="str">
        <f>HYPERLINK("https://inpn.mnhn.fr/espece/cd_nom/159853","Spiraea hypericifolia L., 1753")</f>
        <v>Spiraea hypericifolia L., 1753</v>
      </c>
      <c r="F22222" s="5" t="s">
        <v>28990</v>
      </c>
      <c r="Q22222" s="7" t="str">
        <f>HYPERLINK("#Liste_rouge!A"&amp;_xlfn.XMATCH("LC",Liste_rouge!A:A,2,1),"LC")</f>
        <v>LC</v>
      </c>
      <c r="T22222" s="7" t="str">
        <f>HYPERLINK("#Liste_rouge!A"&amp;_xlfn.XMATCH("RE",Liste_rouge!A:A,2,1),"RE")</f>
        <v>RE</v>
      </c>
      <c r="AH22222" s="4" t="str">
        <f>HYPERLINK("#Statut_biogéographique!A"&amp;_xlfn.XMATCH("P",Statut_biogéographique!A:A,2,1),"P")</f>
        <v>P</v>
      </c>
      <c r="AM22222" s="4" t="s">
        <v>375</v>
      </c>
      <c r="AN22222" s="4" t="s">
        <v>375</v>
      </c>
      <c r="AO22222" s="4" t="s">
        <v>375</v>
      </c>
      <c r="AP22222" s="4" t="s">
        <v>376</v>
      </c>
      <c r="AR22222" s="4" t="s">
        <v>377</v>
      </c>
    </row>
    <row r="22223" spans="1:44" ht="150">
      <c r="A22223" s="4" t="s">
        <v>24364</v>
      </c>
      <c r="B22223" s="4">
        <v>159892</v>
      </c>
      <c r="D22223" s="5" t="s">
        <v>28991</v>
      </c>
      <c r="E22223" s="6" t="str">
        <f>HYPERLINK("https://inpn.mnhn.fr/espece/cd_nom/159892","Poa pratensis subsp. pratensis L., 1753")</f>
        <v>Poa pratensis subsp. pratensis L., 1753</v>
      </c>
      <c r="F22223" s="5" t="s">
        <v>26178</v>
      </c>
      <c r="Q22223" s="7" t="str">
        <f>HYPERLINK("#Liste_rouge!A"&amp;_xlfn.XMATCH("LC",Liste_rouge!A:A,2,1),"LC")</f>
        <v>LC</v>
      </c>
      <c r="T22223" s="7" t="str">
        <f>HYPERLINK("#Liste_rouge!A"&amp;_xlfn.XMATCH("LC",Liste_rouge!A:A,2,1),"LC")</f>
        <v>LC</v>
      </c>
      <c r="AH22223" s="4" t="str">
        <f>HYPERLINK("#Statut_biogéographique!A"&amp;_xlfn.XMATCH("P",Statut_biogéographique!A:A,2,1),"P")</f>
        <v>P</v>
      </c>
      <c r="AP22223" s="4" t="s">
        <v>376</v>
      </c>
      <c r="AR22223" s="4" t="s">
        <v>377</v>
      </c>
    </row>
    <row r="22224" spans="1:44">
      <c r="A22224" s="4" t="s">
        <v>24364</v>
      </c>
      <c r="B22224" s="4">
        <v>159899</v>
      </c>
      <c r="D22224" s="5" t="s">
        <v>28992</v>
      </c>
      <c r="E22224" s="6" t="str">
        <f>HYPERLINK("https://inpn.mnhn.fr/espece/cd_nom/159899","Tsuga canadensis (L.) Carrière, 1855")</f>
        <v>Tsuga canadensis (L.) Carrière, 1855</v>
      </c>
      <c r="F22224" s="5" t="s">
        <v>28993</v>
      </c>
      <c r="O22224" s="7" t="str">
        <f>HYPERLINK("#Liste_rouge!A"&amp;_xlfn.XMATCH("NT",Liste_rouge!A:A,2,1),"NT")</f>
        <v>NT</v>
      </c>
      <c r="T22224" s="7" t="str">
        <f>HYPERLINK("#Liste_rouge!A"&amp;_xlfn.XMATCH("NA",Liste_rouge!A:A,2,1),"NA")</f>
        <v>NA</v>
      </c>
      <c r="AH22224" s="4" t="str">
        <f>HYPERLINK("#Statut_biogéographique!A"&amp;_xlfn.XMATCH("M",Statut_biogéographique!A:A,2,1),"M")</f>
        <v>M</v>
      </c>
      <c r="AP22224" s="4" t="s">
        <v>376</v>
      </c>
      <c r="AR22224" s="4" t="s">
        <v>377</v>
      </c>
    </row>
    <row r="22225" spans="1:44">
      <c r="A22225" s="4" t="s">
        <v>24364</v>
      </c>
      <c r="B22225" s="4">
        <v>159900</v>
      </c>
      <c r="D22225" s="5" t="s">
        <v>28994</v>
      </c>
      <c r="E22225" s="6" t="str">
        <f>HYPERLINK("https://inpn.mnhn.fr/espece/cd_nom/159900","Pinus banksiana Lamb., 1803")</f>
        <v>Pinus banksiana Lamb., 1803</v>
      </c>
      <c r="F22225" s="5" t="s">
        <v>28995</v>
      </c>
      <c r="O22225" s="7" t="str">
        <f>HYPERLINK("#Liste_rouge!A"&amp;_xlfn.XMATCH("LC",Liste_rouge!A:A,2,1),"LC")</f>
        <v>LC</v>
      </c>
      <c r="Q22225" s="7" t="str">
        <f>HYPERLINK("#Liste_rouge!A"&amp;_xlfn.XMATCH("NA",Liste_rouge!A:A,2,1),"NA")</f>
        <v>NA</v>
      </c>
      <c r="T22225" s="7" t="str">
        <f>HYPERLINK("#Liste_rouge!A"&amp;_xlfn.XMATCH("NA",Liste_rouge!A:A,2,1),"NA")</f>
        <v>NA</v>
      </c>
      <c r="AH22225" s="4" t="str">
        <f>HYPERLINK("#Statut_biogéographique!A"&amp;_xlfn.XMATCH("I",Statut_biogéographique!A:A,2,1),"I")</f>
        <v>I</v>
      </c>
      <c r="AP22225" s="4" t="s">
        <v>376</v>
      </c>
      <c r="AR22225" s="4" t="s">
        <v>377</v>
      </c>
    </row>
    <row r="22226" spans="1:44" ht="105">
      <c r="A22226" s="4" t="s">
        <v>24364</v>
      </c>
      <c r="B22226" s="4">
        <v>159937</v>
      </c>
      <c r="D22226" s="5" t="s">
        <v>28996</v>
      </c>
      <c r="E22226" s="6" t="str">
        <f>HYPERLINK("https://inpn.mnhn.fr/espece/cd_nom/159937","Cornus sericea L., 1771")</f>
        <v>Cornus sericea L., 1771</v>
      </c>
      <c r="F22226" s="5" t="s">
        <v>28997</v>
      </c>
      <c r="Q22226" s="7" t="str">
        <f>HYPERLINK("#Liste_rouge!A"&amp;_xlfn.XMATCH("NA",Liste_rouge!A:A,2,1),"NA")</f>
        <v>NA</v>
      </c>
      <c r="AH22226" s="4" t="str">
        <f>HYPERLINK("#Statut_biogéographique!A"&amp;_xlfn.XMATCH("I",Statut_biogéographique!A:A,2,1),"I")</f>
        <v>I</v>
      </c>
      <c r="AM22226" s="4" t="s">
        <v>375</v>
      </c>
      <c r="AN22226" s="4" t="s">
        <v>375</v>
      </c>
      <c r="AO22226" s="4" t="s">
        <v>375</v>
      </c>
      <c r="AP22226" s="4" t="s">
        <v>376</v>
      </c>
      <c r="AR22226" s="4" t="s">
        <v>377</v>
      </c>
    </row>
    <row r="22227" spans="1:44">
      <c r="A22227" s="4" t="s">
        <v>24364</v>
      </c>
      <c r="B22227" s="4">
        <v>159942</v>
      </c>
      <c r="D22227" s="5">
        <v>159942</v>
      </c>
      <c r="E22227" s="6" t="str">
        <f>HYPERLINK("https://inpn.mnhn.fr/espece/cd_nom/159942","Trifolium alexandrinum L., 1755")</f>
        <v>Trifolium alexandrinum L., 1755</v>
      </c>
      <c r="F22227" s="5" t="s">
        <v>28998</v>
      </c>
      <c r="Q22227" s="7" t="str">
        <f>HYPERLINK("#Liste_rouge!A"&amp;_xlfn.XMATCH("NA",Liste_rouge!A:A,2,1),"NA")</f>
        <v>NA</v>
      </c>
      <c r="AH22227" s="4" t="str">
        <f>HYPERLINK("#Statut_biogéographique!A"&amp;_xlfn.XMATCH("M",Statut_biogéographique!A:A,2,1),"M")</f>
        <v>M</v>
      </c>
      <c r="AP22227" s="4" t="s">
        <v>376</v>
      </c>
      <c r="AR22227" s="4" t="s">
        <v>377</v>
      </c>
    </row>
    <row r="22228" spans="1:44" ht="30">
      <c r="A22228" s="4" t="s">
        <v>24364</v>
      </c>
      <c r="B22228" s="4">
        <v>160249</v>
      </c>
      <c r="D22228" s="5" t="s">
        <v>28999</v>
      </c>
      <c r="E22228" s="6" t="str">
        <f>HYPERLINK("https://inpn.mnhn.fr/espece/cd_nom/160249","Toxicodendron vernicifluum (Stokes) F.A.Barkley, 1940")</f>
        <v>Toxicodendron vernicifluum (Stokes) F.A.Barkley, 1940</v>
      </c>
      <c r="F22228" s="5" t="s">
        <v>29000</v>
      </c>
      <c r="O22228" s="7" t="str">
        <f>HYPERLINK("#Liste_rouge!A"&amp;_xlfn.XMATCH("LC",Liste_rouge!A:A,2,1),"LC")</f>
        <v>LC</v>
      </c>
      <c r="AH22228" s="4" t="str">
        <f>HYPERLINK("#Statut_biogéographique!A"&amp;_xlfn.XMATCH("M",Statut_biogéographique!A:A,2,1),"M")</f>
        <v>M</v>
      </c>
      <c r="AP22228" s="4" t="s">
        <v>376</v>
      </c>
      <c r="AR22228" s="4" t="s">
        <v>377</v>
      </c>
    </row>
    <row r="22229" spans="1:44">
      <c r="A22229" s="4" t="s">
        <v>24364</v>
      </c>
      <c r="B22229" s="4">
        <v>160311</v>
      </c>
      <c r="D22229" s="5">
        <v>160311</v>
      </c>
      <c r="E22229" s="6" t="str">
        <f>HYPERLINK("https://inpn.mnhn.fr/espece/cd_nom/160311","Symphytum caucasicum M.Bieb., 1808")</f>
        <v>Symphytum caucasicum M.Bieb., 1808</v>
      </c>
      <c r="F22229" s="5" t="s">
        <v>29001</v>
      </c>
      <c r="Q22229" s="7" t="str">
        <f>HYPERLINK("#Liste_rouge!A"&amp;_xlfn.XMATCH("NA",Liste_rouge!A:A,2,1),"NA")</f>
        <v>NA</v>
      </c>
      <c r="T22229" s="7" t="str">
        <f>HYPERLINK("#Liste_rouge!A"&amp;_xlfn.XMATCH("NA",Liste_rouge!A:A,2,1),"NA")</f>
        <v>NA</v>
      </c>
      <c r="AH22229" s="4" t="str">
        <f>HYPERLINK("#Statut_biogéographique!A"&amp;_xlfn.XMATCH("I",Statut_biogéographique!A:A,2,1),"I")</f>
        <v>I</v>
      </c>
      <c r="AP22229" s="4" t="s">
        <v>376</v>
      </c>
      <c r="AR22229" s="4" t="s">
        <v>377</v>
      </c>
    </row>
    <row r="22230" spans="1:44" ht="30">
      <c r="A22230" s="4" t="s">
        <v>24364</v>
      </c>
      <c r="B22230" s="4">
        <v>160395</v>
      </c>
      <c r="D22230" s="5">
        <v>160395</v>
      </c>
      <c r="E22230" s="6" t="str">
        <f>HYPERLINK("https://inpn.mnhn.fr/espece/cd_nom/160395","Thymelaea passerina subsp. passerina (L.) Coss. &amp; Germ., 1861")</f>
        <v>Thymelaea passerina subsp. passerina (L.) Coss. &amp; Germ., 1861</v>
      </c>
      <c r="F22230" s="5" t="s">
        <v>27707</v>
      </c>
      <c r="Q22230" s="7" t="str">
        <f>HYPERLINK("#Liste_rouge!A"&amp;_xlfn.XMATCH("LC",Liste_rouge!A:A,2,1),"LC")</f>
        <v>LC</v>
      </c>
      <c r="X22230" s="5" t="s">
        <v>374</v>
      </c>
      <c r="AB22230" s="4" t="s">
        <v>93</v>
      </c>
      <c r="AH22230" s="4" t="str">
        <f>HYPERLINK("#Statut_biogéographique!A"&amp;_xlfn.XMATCH("P",Statut_biogéographique!A:A,2,1),"P")</f>
        <v>P</v>
      </c>
      <c r="AM22230" s="4" t="s">
        <v>375</v>
      </c>
      <c r="AN22230" s="4" t="s">
        <v>375</v>
      </c>
      <c r="AO22230" s="4" t="s">
        <v>375</v>
      </c>
      <c r="AP22230" s="4" t="s">
        <v>376</v>
      </c>
      <c r="AR22230" s="4" t="s">
        <v>377</v>
      </c>
    </row>
    <row r="22231" spans="1:44" ht="30">
      <c r="A22231" s="4" t="s">
        <v>24364</v>
      </c>
      <c r="B22231" s="4">
        <v>160459</v>
      </c>
      <c r="D22231" s="5" t="s">
        <v>29002</v>
      </c>
      <c r="E22231" s="6" t="str">
        <f>HYPERLINK("https://inpn.mnhn.fr/espece/cd_nom/160459","Melampyrum catalaunicum Freyn, 1884")</f>
        <v>Melampyrum catalaunicum Freyn, 1884</v>
      </c>
      <c r="F22231" s="5" t="s">
        <v>29003</v>
      </c>
      <c r="Q22231" s="7" t="str">
        <f>HYPERLINK("#Liste_rouge!A"&amp;_xlfn.XMATCH("LC",Liste_rouge!A:A,2,1),"LC")</f>
        <v>LC</v>
      </c>
      <c r="T22231" s="7" t="str">
        <f>HYPERLINK("#Liste_rouge!A"&amp;_xlfn.XMATCH("EN",Liste_rouge!A:A,2,1),"EN")</f>
        <v>EN</v>
      </c>
      <c r="U22231" s="4" t="str">
        <f>HYPERLINK("#Critères_liste_rouge!A$1","D1")</f>
        <v>D1</v>
      </c>
      <c r="X22231" s="5" t="s">
        <v>374</v>
      </c>
      <c r="AB22231" s="4" t="s">
        <v>93</v>
      </c>
      <c r="AH22231" s="4" t="str">
        <f>HYPERLINK("#Statut_biogéographique!A"&amp;_xlfn.XMATCH("P",Statut_biogéographique!A:A,2,1),"P")</f>
        <v>P</v>
      </c>
      <c r="AM22231" s="4" t="s">
        <v>375</v>
      </c>
      <c r="AN22231" s="4" t="s">
        <v>375</v>
      </c>
      <c r="AO22231" s="4" t="s">
        <v>375</v>
      </c>
      <c r="AP22231" s="4" t="s">
        <v>376</v>
      </c>
      <c r="AR22231" s="4" t="s">
        <v>377</v>
      </c>
    </row>
    <row r="22232" spans="1:44">
      <c r="A22232" s="4" t="s">
        <v>24364</v>
      </c>
      <c r="B22232" s="4">
        <v>160554</v>
      </c>
      <c r="D22232" s="5">
        <v>160554</v>
      </c>
      <c r="E22232" s="6" t="str">
        <f>HYPERLINK("https://inpn.mnhn.fr/espece/cd_nom/160554","Juniperus drupacea Labill., 1791")</f>
        <v>Juniperus drupacea Labill., 1791</v>
      </c>
      <c r="F22232" s="5" t="s">
        <v>29004</v>
      </c>
      <c r="O22232" s="7" t="str">
        <f>HYPERLINK("#Liste_rouge!A"&amp;_xlfn.XMATCH("LC",Liste_rouge!A:A,2,1),"LC")</f>
        <v>LC</v>
      </c>
      <c r="P22232" s="7" t="str">
        <f>HYPERLINK("#Liste_rouge!A"&amp;_xlfn.XMATCH("EN",Liste_rouge!A:A,2,1),"EN")</f>
        <v>EN</v>
      </c>
      <c r="AH22232" s="4" t="str">
        <f>HYPERLINK("#Statut_biogéographique!A"&amp;_xlfn.XMATCH("M",Statut_biogéographique!A:A,2,1),"M")</f>
        <v>M</v>
      </c>
      <c r="AP22232" s="4" t="s">
        <v>376</v>
      </c>
      <c r="AR22232" s="4" t="s">
        <v>377</v>
      </c>
    </row>
    <row r="22233" spans="1:44">
      <c r="A22233" s="4" t="s">
        <v>24364</v>
      </c>
      <c r="B22233" s="4">
        <v>160921</v>
      </c>
      <c r="D22233" s="5">
        <v>160921</v>
      </c>
      <c r="E22233" s="6" t="str">
        <f>HYPERLINK("https://inpn.mnhn.fr/espece/cd_nom/160921","Celtis occidentalis L., 1753")</f>
        <v>Celtis occidentalis L., 1753</v>
      </c>
      <c r="F22233" s="5" t="s">
        <v>29005</v>
      </c>
      <c r="Q22233" s="7" t="str">
        <f>HYPERLINK("#Liste_rouge!A"&amp;_xlfn.XMATCH("NA",Liste_rouge!A:A,2,1),"NA")</f>
        <v>NA</v>
      </c>
      <c r="AH22233" s="4" t="str">
        <f>HYPERLINK("#Statut_biogéographique!A"&amp;_xlfn.XMATCH("I",Statut_biogéographique!A:A,2,1),"I")</f>
        <v>I</v>
      </c>
      <c r="AP22233" s="4" t="s">
        <v>376</v>
      </c>
      <c r="AR22233" s="4" t="s">
        <v>377</v>
      </c>
    </row>
    <row r="22234" spans="1:44">
      <c r="A22234" s="4" t="s">
        <v>24364</v>
      </c>
      <c r="B22234" s="4">
        <v>160956</v>
      </c>
      <c r="D22234" s="5">
        <v>160956</v>
      </c>
      <c r="E22234" s="6" t="str">
        <f>HYPERLINK("https://inpn.mnhn.fr/espece/cd_nom/160956","Cercis canadensis L., 1753")</f>
        <v>Cercis canadensis L., 1753</v>
      </c>
      <c r="F22234" s="5" t="s">
        <v>29006</v>
      </c>
      <c r="O22234" s="7" t="str">
        <f>HYPERLINK("#Liste_rouge!A"&amp;_xlfn.XMATCH("LC",Liste_rouge!A:A,2,1),"LC")</f>
        <v>LC</v>
      </c>
      <c r="AH22234" s="4" t="str">
        <f>HYPERLINK("#Statut_biogéographique!A"&amp;_xlfn.XMATCH("M",Statut_biogéographique!A:A,2,1),"M")</f>
        <v>M</v>
      </c>
      <c r="AP22234" s="4" t="s">
        <v>376</v>
      </c>
      <c r="AR22234" s="4" t="s">
        <v>377</v>
      </c>
    </row>
    <row r="22235" spans="1:44" ht="30">
      <c r="A22235" s="4" t="s">
        <v>24364</v>
      </c>
      <c r="B22235" s="4">
        <v>161014</v>
      </c>
      <c r="D22235" s="5" t="s">
        <v>29007</v>
      </c>
      <c r="E22235" s="6" t="str">
        <f>HYPERLINK("https://inpn.mnhn.fr/espece/cd_nom/161014","Tilia x europaea L., 1753")</f>
        <v>Tilia x europaea L., 1753</v>
      </c>
      <c r="F22235" s="5" t="s">
        <v>29008</v>
      </c>
      <c r="T22235" s="7" t="str">
        <f>HYPERLINK("#Liste_rouge!A"&amp;_xlfn.XMATCH("NA",Liste_rouge!A:A,2,1),"NA")</f>
        <v>NA</v>
      </c>
      <c r="AH22235" s="4" t="str">
        <f>HYPERLINK("#Statut_biogéographique!A"&amp;_xlfn.XMATCH("M",Statut_biogéographique!A:A,2,1),"M")</f>
        <v>M</v>
      </c>
      <c r="AP22235" s="4" t="s">
        <v>376</v>
      </c>
      <c r="AR22235" s="4" t="s">
        <v>377</v>
      </c>
    </row>
    <row r="22236" spans="1:44">
      <c r="A22236" s="4" t="s">
        <v>24364</v>
      </c>
      <c r="B22236" s="4">
        <v>161046</v>
      </c>
      <c r="D22236" s="5">
        <v>161046</v>
      </c>
      <c r="E22236" s="6" t="str">
        <f>HYPERLINK("https://inpn.mnhn.fr/espece/cd_nom/161046","Solanum dulcamara var. dulcamara L., 1753")</f>
        <v>Solanum dulcamara var. dulcamara L., 1753</v>
      </c>
      <c r="F22236" s="5" t="s">
        <v>29009</v>
      </c>
      <c r="AH22236" s="4" t="str">
        <f>HYPERLINK("#Statut_biogéographique!A"&amp;_xlfn.XMATCH("P",Statut_biogéographique!A:A,2,1),"P")</f>
        <v>P</v>
      </c>
      <c r="AP22236" s="4" t="s">
        <v>376</v>
      </c>
      <c r="AR22236" s="4" t="s">
        <v>377</v>
      </c>
    </row>
    <row r="22237" spans="1:44" ht="30">
      <c r="A22237" s="4" t="s">
        <v>24364</v>
      </c>
      <c r="B22237" s="4">
        <v>161380</v>
      </c>
      <c r="D22237" s="5">
        <v>161380</v>
      </c>
      <c r="E22237" s="6" t="str">
        <f>HYPERLINK("https://inpn.mnhn.fr/espece/cd_nom/161380","Centaurea jacea subsp. jacea L., 1753")</f>
        <v>Centaurea jacea subsp. jacea L., 1753</v>
      </c>
      <c r="F22237" s="5" t="s">
        <v>29010</v>
      </c>
      <c r="Q22237" s="7" t="str">
        <f>HYPERLINK("#Liste_rouge!A"&amp;_xlfn.XMATCH("LC",Liste_rouge!A:A,2,1),"LC")</f>
        <v>LC</v>
      </c>
      <c r="T22237" s="7" t="str">
        <f>HYPERLINK("#Liste_rouge!A"&amp;_xlfn.XMATCH("LC",Liste_rouge!A:A,2,1),"LC")</f>
        <v>LC</v>
      </c>
      <c r="AH22237" s="4" t="str">
        <f>HYPERLINK("#Statut_biogéographique!A"&amp;_xlfn.XMATCH("P",Statut_biogéographique!A:A,2,1),"P")</f>
        <v>P</v>
      </c>
      <c r="AP22237" s="4" t="s">
        <v>376</v>
      </c>
      <c r="AR22237" s="4" t="s">
        <v>377</v>
      </c>
    </row>
    <row r="22238" spans="1:44">
      <c r="A22238" s="4" t="s">
        <v>24364</v>
      </c>
      <c r="B22238" s="4">
        <v>161479</v>
      </c>
      <c r="D22238" s="5" t="s">
        <v>29011</v>
      </c>
      <c r="E22238" s="6" t="str">
        <f>HYPERLINK("https://inpn.mnhn.fr/espece/cd_nom/161479","Nonea lutea (Desr.) DC., 1805")</f>
        <v>Nonea lutea (Desr.) DC., 1805</v>
      </c>
      <c r="F22238" s="5" t="s">
        <v>29012</v>
      </c>
      <c r="Q22238" s="7" t="str">
        <f>HYPERLINK("#Liste_rouge!A"&amp;_xlfn.XMATCH("NA",Liste_rouge!A:A,2,1),"NA")</f>
        <v>NA</v>
      </c>
      <c r="T22238" s="7" t="str">
        <f>HYPERLINK("#Liste_rouge!A"&amp;_xlfn.XMATCH("NA",Liste_rouge!A:A,2,1),"NA")</f>
        <v>NA</v>
      </c>
      <c r="AH22238" s="4" t="str">
        <f>HYPERLINK("#Statut_biogéographique!A"&amp;_xlfn.XMATCH("M",Statut_biogéographique!A:A,2,1),"M")</f>
        <v>M</v>
      </c>
      <c r="AP22238" s="4" t="s">
        <v>376</v>
      </c>
      <c r="AR22238" s="4" t="s">
        <v>377</v>
      </c>
    </row>
    <row r="22239" spans="1:44">
      <c r="A22239" s="4" t="s">
        <v>24364</v>
      </c>
      <c r="B22239" s="4">
        <v>161575</v>
      </c>
      <c r="D22239" s="5">
        <v>161575</v>
      </c>
      <c r="E22239" s="6" t="str">
        <f>HYPERLINK("https://inpn.mnhn.fr/espece/cd_nom/161575","Elaeagnus multiflora Thunb., 1784")</f>
        <v>Elaeagnus multiflora Thunb., 1784</v>
      </c>
      <c r="F22239" s="5" t="s">
        <v>29013</v>
      </c>
      <c r="O22239" s="7" t="str">
        <f>HYPERLINK("#Liste_rouge!A"&amp;_xlfn.XMATCH("LC",Liste_rouge!A:A,2,1),"LC")</f>
        <v>LC</v>
      </c>
      <c r="T22239" s="7" t="str">
        <f>HYPERLINK("#Liste_rouge!A"&amp;_xlfn.XMATCH("NA",Liste_rouge!A:A,2,1),"NA")</f>
        <v>NA</v>
      </c>
      <c r="AH22239" s="4" t="str">
        <f>HYPERLINK("#Statut_biogéographique!A"&amp;_xlfn.XMATCH("M",Statut_biogéographique!A:A,2,1),"M")</f>
        <v>M</v>
      </c>
      <c r="AP22239" s="4" t="s">
        <v>376</v>
      </c>
      <c r="AR22239" s="4" t="s">
        <v>377</v>
      </c>
    </row>
    <row r="22240" spans="1:44" ht="30">
      <c r="A22240" s="4" t="s">
        <v>24364</v>
      </c>
      <c r="B22240" s="4">
        <v>161674</v>
      </c>
      <c r="D22240" s="5" t="s">
        <v>29014</v>
      </c>
      <c r="E22240" s="6" t="str">
        <f>HYPERLINK("https://inpn.mnhn.fr/espece/cd_nom/161674","Sabulina stricta (Sw.) Rchb., 1832")</f>
        <v>Sabulina stricta (Sw.) Rchb., 1832</v>
      </c>
      <c r="F22240" s="5" t="s">
        <v>29015</v>
      </c>
      <c r="L22240" s="4" t="str">
        <f>HYPERLINK("#Réglementation!A"&amp;_xlfn.XMATCH("NV1",Réglementation!A:A,2,1),"NV1")</f>
        <v>NV1</v>
      </c>
      <c r="Q22240" s="7" t="str">
        <f>HYPERLINK("#Liste_rouge!A"&amp;_xlfn.XMATCH("RE",Liste_rouge!A:A,2,1),"RE")</f>
        <v>RE</v>
      </c>
      <c r="V22240" s="7" t="str">
        <f>HYPERLINK("#Liste_rouge!A"&amp;_xlfn.XMATCH("RE",Liste_rouge!A:A,2,1),"RE")</f>
        <v>RE</v>
      </c>
      <c r="AH22240" s="4" t="str">
        <f>HYPERLINK("#Statut_biogéographique!A"&amp;_xlfn.XMATCH("W",Statut_biogéographique!A:A,2,1),"W")</f>
        <v>W</v>
      </c>
      <c r="AM22240" s="4" t="s">
        <v>375</v>
      </c>
      <c r="AN22240" s="4" t="s">
        <v>375</v>
      </c>
      <c r="AO22240" s="4" t="s">
        <v>375</v>
      </c>
      <c r="AP22240" s="4" t="s">
        <v>376</v>
      </c>
      <c r="AR22240" s="4" t="s">
        <v>377</v>
      </c>
    </row>
    <row r="22241" spans="1:44" ht="30">
      <c r="A22241" s="4" t="s">
        <v>24364</v>
      </c>
      <c r="B22241" s="4">
        <v>161684</v>
      </c>
      <c r="D22241" s="5" t="s">
        <v>29016</v>
      </c>
      <c r="E22241" s="6" t="str">
        <f>HYPERLINK("https://inpn.mnhn.fr/espece/cd_nom/161684","Hieracium jurassicum Griseb., 1853")</f>
        <v>Hieracium jurassicum Griseb., 1853</v>
      </c>
      <c r="F22241" s="5" t="s">
        <v>29017</v>
      </c>
      <c r="Q22241" s="7" t="str">
        <f>HYPERLINK("#Liste_rouge!A"&amp;_xlfn.XMATCH("LC",Liste_rouge!A:A,2,1),"LC")</f>
        <v>LC</v>
      </c>
      <c r="V22241" s="7" t="str">
        <f>HYPERLINK("#Liste_rouge!A"&amp;_xlfn.XMATCH("LC",Liste_rouge!A:A,2,1),"LC")</f>
        <v>LC</v>
      </c>
      <c r="AH22241" s="4" t="str">
        <f>HYPERLINK("#Statut_biogéographique!A"&amp;_xlfn.XMATCH("P",Statut_biogéographique!A:A,2,1),"P")</f>
        <v>P</v>
      </c>
      <c r="AM22241" s="4" t="s">
        <v>375</v>
      </c>
      <c r="AN22241" s="4" t="s">
        <v>375</v>
      </c>
      <c r="AO22241" s="4" t="s">
        <v>375</v>
      </c>
      <c r="AP22241" s="4" t="s">
        <v>376</v>
      </c>
      <c r="AR22241" s="4" t="s">
        <v>377</v>
      </c>
    </row>
    <row r="22242" spans="1:44" ht="30">
      <c r="A22242" s="4" t="s">
        <v>24364</v>
      </c>
      <c r="B22242" s="4">
        <v>161785</v>
      </c>
      <c r="D22242" s="5" t="s">
        <v>29018</v>
      </c>
      <c r="E22242" s="6" t="str">
        <f>HYPERLINK("https://inpn.mnhn.fr/espece/cd_nom/161785","Tractema verna (Huds.) Speta, 1998")</f>
        <v>Tractema verna (Huds.) Speta, 1998</v>
      </c>
      <c r="F22242" s="5" t="s">
        <v>29019</v>
      </c>
      <c r="Q22242" s="7" t="str">
        <f>HYPERLINK("#Liste_rouge!A"&amp;_xlfn.XMATCH("LC",Liste_rouge!A:A,2,1),"LC")</f>
        <v>LC</v>
      </c>
      <c r="AH22242" s="4" t="str">
        <f>HYPERLINK("#Statut_biogéographique!A"&amp;_xlfn.XMATCH("P",Statut_biogéographique!A:A,2,1),"P")</f>
        <v>P</v>
      </c>
      <c r="AP22242" s="4" t="s">
        <v>376</v>
      </c>
      <c r="AR22242" s="4" t="s">
        <v>377</v>
      </c>
    </row>
    <row r="22243" spans="1:44">
      <c r="A22243" s="4" t="s">
        <v>24364</v>
      </c>
      <c r="B22243" s="4">
        <v>161872</v>
      </c>
      <c r="D22243" s="5">
        <v>161872</v>
      </c>
      <c r="E22243" s="6" t="str">
        <f>HYPERLINK("https://inpn.mnhn.fr/espece/cd_nom/161872","Koelreuteria paniculata Laxm., 1772")</f>
        <v>Koelreuteria paniculata Laxm., 1772</v>
      </c>
      <c r="F22243" s="5" t="s">
        <v>29020</v>
      </c>
      <c r="O22243" s="7" t="str">
        <f>HYPERLINK("#Liste_rouge!A"&amp;_xlfn.XMATCH("LC",Liste_rouge!A:A,2,1),"LC")</f>
        <v>LC</v>
      </c>
      <c r="Q22243" s="7" t="str">
        <f>HYPERLINK("#Liste_rouge!A"&amp;_xlfn.XMATCH("NA",Liste_rouge!A:A,2,1),"NA")</f>
        <v>NA</v>
      </c>
      <c r="AH22243" s="4" t="str">
        <f>HYPERLINK("#Statut_biogéographique!A"&amp;_xlfn.XMATCH("M",Statut_biogéographique!A:A,2,1),"M")</f>
        <v>M</v>
      </c>
      <c r="AP22243" s="4" t="s">
        <v>376</v>
      </c>
      <c r="AR22243" s="4" t="s">
        <v>377</v>
      </c>
    </row>
    <row r="22244" spans="1:44" ht="30">
      <c r="A22244" s="4" t="s">
        <v>24364</v>
      </c>
      <c r="B22244" s="4">
        <v>162125</v>
      </c>
      <c r="D22244" s="5" t="s">
        <v>29021</v>
      </c>
      <c r="E22244" s="6" t="str">
        <f>HYPERLINK("https://inpn.mnhn.fr/espece/cd_nom/162125","Pulsatilla x bogenhardiana Rchb., 1840")</f>
        <v>Pulsatilla x bogenhardiana Rchb., 1840</v>
      </c>
      <c r="F22244" s="5" t="s">
        <v>29022</v>
      </c>
      <c r="Q22244" s="7" t="str">
        <f>HYPERLINK("#Liste_rouge!A"&amp;_xlfn.XMATCH("DD",Liste_rouge!A:A,2,1),"DD")</f>
        <v>DD</v>
      </c>
      <c r="AH22244" s="4" t="str">
        <f>HYPERLINK("#Statut_biogéographique!A"&amp;_xlfn.XMATCH("P",Statut_biogéographique!A:A,2,1),"P")</f>
        <v>P</v>
      </c>
      <c r="AP22244" s="4" t="s">
        <v>376</v>
      </c>
      <c r="AR22244" s="4" t="s">
        <v>377</v>
      </c>
    </row>
    <row r="22245" spans="1:44" ht="45">
      <c r="A22245" s="4" t="s">
        <v>24364</v>
      </c>
      <c r="B22245" s="4">
        <v>162131</v>
      </c>
      <c r="D22245" s="5" t="s">
        <v>29023</v>
      </c>
      <c r="E22245" s="6" t="str">
        <f>HYPERLINK("https://inpn.mnhn.fr/espece/cd_nom/162131","Himantoglossum robertianum (Loisel.) P.Delforge, 1999")</f>
        <v>Himantoglossum robertianum (Loisel.) P.Delforge, 1999</v>
      </c>
      <c r="F22245" s="5" t="s">
        <v>29024</v>
      </c>
      <c r="G22245" s="4" t="str">
        <f>HYPERLINK("[#Réglementation!A"&amp;_xlfn.XMATCH("CCB",Réglementation!A:A,2,1),"CCB")</f>
        <v>CCB</v>
      </c>
      <c r="P22245" s="7" t="str">
        <f>HYPERLINK("#Liste_rouge!A"&amp;_xlfn.XMATCH("LC",Liste_rouge!A:A,2,1),"LC")</f>
        <v>LC</v>
      </c>
      <c r="Q22245" s="7" t="str">
        <f>HYPERLINK("#Liste_rouge!A"&amp;_xlfn.XMATCH("LC",Liste_rouge!A:A,2,1),"LC")</f>
        <v>LC</v>
      </c>
      <c r="T22245" s="7" t="str">
        <f>HYPERLINK("#Liste_rouge!A"&amp;_xlfn.XMATCH("NA",Liste_rouge!A:A,2,1),"NA")</f>
        <v>NA</v>
      </c>
      <c r="AH22245" s="4" t="str">
        <f>HYPERLINK("#Statut_biogéographique!A"&amp;_xlfn.XMATCH("P",Statut_biogéographique!A:A,2,1),"P")</f>
        <v>P</v>
      </c>
      <c r="AL22245" s="5" t="str">
        <f>HYPERLINK("#Réglementation!A"&amp;_xlfn.XMATCH("UEintro",Réglementation!A:A,2,1),"UEintro")</f>
        <v>UEintro</v>
      </c>
      <c r="AP22245" s="4" t="s">
        <v>376</v>
      </c>
      <c r="AR22245" s="4" t="s">
        <v>377</v>
      </c>
    </row>
    <row r="22246" spans="1:44" ht="45">
      <c r="A22246" s="4" t="s">
        <v>24364</v>
      </c>
      <c r="B22246" s="4">
        <v>162132</v>
      </c>
      <c r="D22246" s="5" t="s">
        <v>29025</v>
      </c>
      <c r="E22246" s="6" t="str">
        <f>HYPERLINK("https://inpn.mnhn.fr/espece/cd_nom/162132","Anacamptis coriophora subsp. coriophora (L.) R.M.Bateman, Pridgeon &amp; M.W.Chase, 1997")</f>
        <v>Anacamptis coriophora subsp. coriophora (L.) R.M.Bateman, Pridgeon &amp; M.W.Chase, 1997</v>
      </c>
      <c r="F22246" s="5" t="s">
        <v>29026</v>
      </c>
      <c r="G22246" s="4" t="str">
        <f>HYPERLINK("[#Réglementation!A"&amp;_xlfn.XMATCH("CCB",Réglementation!A:A,2,1),"CCB")</f>
        <v>CCB</v>
      </c>
      <c r="L22246" s="4" t="str">
        <f>HYPERLINK("#Réglementation!A"&amp;_xlfn.XMATCH("NV1",Réglementation!A:A,2,1),"NV1")</f>
        <v>NV1</v>
      </c>
      <c r="Q22246" s="7" t="str">
        <f>HYPERLINK("#Liste_rouge!A"&amp;_xlfn.XMATCH("NT",Liste_rouge!A:A,2,1),"NT")</f>
        <v>NT</v>
      </c>
      <c r="X22246" s="5" t="s">
        <v>374</v>
      </c>
      <c r="AB22246" s="4" t="s">
        <v>93</v>
      </c>
      <c r="AE22246" s="4" t="str">
        <f>HYPERLINK("#SCAP!A"&amp;_xlfn.XMATCH("A",SCAP!A:A,2,1),"A")</f>
        <v>A</v>
      </c>
      <c r="AH22246" s="4" t="str">
        <f>HYPERLINK("#Statut_biogéographique!A"&amp;_xlfn.XMATCH("P",Statut_biogéographique!A:A,2,1),"P")</f>
        <v>P</v>
      </c>
      <c r="AL22246" s="5" t="str">
        <f>HYPERLINK("#Réglementation!A"&amp;_xlfn.XMATCH("UEintro",Réglementation!A:A,2,1),"UEintro")</f>
        <v>UEintro</v>
      </c>
      <c r="AM22246" s="4" t="s">
        <v>375</v>
      </c>
      <c r="AN22246" s="4" t="s">
        <v>375</v>
      </c>
      <c r="AO22246" s="4" t="s">
        <v>375</v>
      </c>
      <c r="AP22246" s="4" t="s">
        <v>376</v>
      </c>
      <c r="AR22246" s="4" t="s">
        <v>377</v>
      </c>
    </row>
    <row r="22247" spans="1:44" ht="30">
      <c r="A22247" s="4" t="s">
        <v>24364</v>
      </c>
      <c r="B22247" s="4">
        <v>162137</v>
      </c>
      <c r="D22247" s="5" t="s">
        <v>29027</v>
      </c>
      <c r="E22247" s="6" t="str">
        <f>HYPERLINK("https://inpn.mnhn.fr/espece/cd_nom/162137","Neotinea ustulata var. ustulata (L.) R.M.Bateman, Pridgeon &amp; M.W.Chase, 1997")</f>
        <v>Neotinea ustulata var. ustulata (L.) R.M.Bateman, Pridgeon &amp; M.W.Chase, 1997</v>
      </c>
      <c r="F22247" s="5" t="s">
        <v>25639</v>
      </c>
      <c r="G22247" s="4" t="str">
        <f>HYPERLINK("[#Réglementation!A"&amp;_xlfn.XMATCH("CCB",Réglementation!A:A,2,1),"CCB")</f>
        <v>CCB</v>
      </c>
      <c r="T22247" s="7" t="str">
        <f>HYPERLINK("#Liste_rouge!A"&amp;_xlfn.XMATCH("DD",Liste_rouge!A:A,2,1),"DD")</f>
        <v>DD</v>
      </c>
      <c r="AH22247" s="4" t="str">
        <f>HYPERLINK("#Statut_biogéographique!A"&amp;_xlfn.XMATCH("P",Statut_biogéographique!A:A,2,1),"P")</f>
        <v>P</v>
      </c>
      <c r="AL22247" s="5" t="str">
        <f>HYPERLINK("#Réglementation!A"&amp;_xlfn.XMATCH("UEintro",Réglementation!A:A,2,1),"UEintro")</f>
        <v>UEintro</v>
      </c>
      <c r="AP22247" s="4" t="s">
        <v>376</v>
      </c>
      <c r="AR22247" s="4" t="s">
        <v>377</v>
      </c>
    </row>
    <row r="22248" spans="1:44" ht="30">
      <c r="A22248" s="4" t="s">
        <v>24364</v>
      </c>
      <c r="B22248" s="4">
        <v>162182</v>
      </c>
      <c r="D22248" s="5" t="s">
        <v>29028</v>
      </c>
      <c r="E22248" s="6" t="str">
        <f>HYPERLINK("https://inpn.mnhn.fr/espece/cd_nom/162182","Anacamptis x alata (Fleury) H.Kretzschmar, Eccarius &amp; H.Dietr., 2007")</f>
        <v>Anacamptis x alata (Fleury) H.Kretzschmar, Eccarius &amp; H.Dietr., 2007</v>
      </c>
      <c r="F22248" s="5" t="s">
        <v>29029</v>
      </c>
      <c r="G22248" s="4" t="str">
        <f>HYPERLINK("[#Réglementation!A"&amp;_xlfn.XMATCH("CCB",Réglementation!A:A,2,1),"CCB")</f>
        <v>CCB</v>
      </c>
      <c r="T22248" s="7" t="str">
        <f>HYPERLINK("#Liste_rouge!A"&amp;_xlfn.XMATCH("DD",Liste_rouge!A:A,2,1),"DD")</f>
        <v>DD</v>
      </c>
      <c r="AH22248" s="4" t="str">
        <f>HYPERLINK("#Statut_biogéographique!A"&amp;_xlfn.XMATCH("P",Statut_biogéographique!A:A,2,1),"P")</f>
        <v>P</v>
      </c>
      <c r="AP22248" s="4" t="s">
        <v>376</v>
      </c>
      <c r="AR22248" s="4" t="s">
        <v>377</v>
      </c>
    </row>
    <row r="22249" spans="1:44" ht="45">
      <c r="A22249" s="4" t="s">
        <v>24364</v>
      </c>
      <c r="B22249" s="4">
        <v>162206</v>
      </c>
      <c r="D22249" s="5" t="s">
        <v>29030</v>
      </c>
      <c r="E22249" s="6" t="str">
        <f>HYPERLINK("https://inpn.mnhn.fr/espece/cd_nom/162206","Neotinea tridentata (Scop.) R.M.Bateman, Pridgeon &amp; M.W.Chase, 1997")</f>
        <v>Neotinea tridentata (Scop.) R.M.Bateman, Pridgeon &amp; M.W.Chase, 1997</v>
      </c>
      <c r="F22249" s="5" t="s">
        <v>29031</v>
      </c>
      <c r="G22249" s="4" t="str">
        <f>HYPERLINK("[#Réglementation!A"&amp;_xlfn.XMATCH("CCB",Réglementation!A:A,2,1),"CCB")</f>
        <v>CCB</v>
      </c>
      <c r="P22249" s="7" t="str">
        <f>HYPERLINK("#Liste_rouge!A"&amp;_xlfn.XMATCH("LC",Liste_rouge!A:A,2,1),"LC")</f>
        <v>LC</v>
      </c>
      <c r="Q22249" s="7" t="str">
        <f>HYPERLINK("#Liste_rouge!A"&amp;_xlfn.XMATCH("LC",Liste_rouge!A:A,2,1),"LC")</f>
        <v>LC</v>
      </c>
      <c r="T22249" s="7" t="str">
        <f>HYPERLINK("#Liste_rouge!A"&amp;_xlfn.XMATCH("NE",Liste_rouge!A:A,2,1),"NE")</f>
        <v>NE</v>
      </c>
      <c r="AH22249" s="4" t="str">
        <f>HYPERLINK("#Statut_biogéographique!A"&amp;_xlfn.XMATCH("P",Statut_biogéographique!A:A,2,1),"P")</f>
        <v>P</v>
      </c>
      <c r="AL22249" s="5" t="str">
        <f>HYPERLINK("#Réglementation!A"&amp;_xlfn.XMATCH("UEintro",Réglementation!A:A,2,1),"UEintro")</f>
        <v>UEintro</v>
      </c>
      <c r="AP22249" s="4" t="s">
        <v>376</v>
      </c>
      <c r="AR22249" s="4" t="s">
        <v>377</v>
      </c>
    </row>
    <row r="22250" spans="1:44" ht="30">
      <c r="A22250" s="4" t="s">
        <v>24364</v>
      </c>
      <c r="B22250" s="4">
        <v>162237</v>
      </c>
      <c r="D22250" s="5" t="s">
        <v>29032</v>
      </c>
      <c r="E22250" s="6" t="str">
        <f>HYPERLINK("https://inpn.mnhn.fr/espece/cd_nom/162237","x Anacamptorchis morioides (Brand) Stace, 2009")</f>
        <v>x Anacamptorchis morioides (Brand) Stace, 2009</v>
      </c>
      <c r="F22250" s="5" t="s">
        <v>29033</v>
      </c>
      <c r="G22250" s="4" t="str">
        <f>HYPERLINK("[#Réglementation!A"&amp;_xlfn.XMATCH("CCB",Réglementation!A:A,2,1),"CCB")</f>
        <v>CCB</v>
      </c>
      <c r="T22250" s="7" t="str">
        <f>HYPERLINK("#Liste_rouge!A"&amp;_xlfn.XMATCH("NE",Liste_rouge!A:A,2,1),"NE")</f>
        <v>NE</v>
      </c>
      <c r="AH22250" s="4" t="str">
        <f>HYPERLINK("#Statut_biogéographique!A"&amp;_xlfn.XMATCH("P",Statut_biogéographique!A:A,2,1),"P")</f>
        <v>P</v>
      </c>
      <c r="AP22250" s="4" t="s">
        <v>376</v>
      </c>
      <c r="AR22250" s="4" t="s">
        <v>377</v>
      </c>
    </row>
    <row r="22251" spans="1:44" ht="30">
      <c r="A22251" s="4" t="s">
        <v>24364</v>
      </c>
      <c r="B22251" s="4">
        <v>162239</v>
      </c>
      <c r="D22251" s="5" t="s">
        <v>29034</v>
      </c>
      <c r="E22251" s="6" t="str">
        <f>HYPERLINK("https://inpn.mnhn.fr/espece/cd_nom/162239","x Dactylocamptis boudieri (E.G.Camus) B.Bock, 2012")</f>
        <v>x Dactylocamptis boudieri (E.G.Camus) B.Bock, 2012</v>
      </c>
      <c r="F22251" s="5" t="s">
        <v>29035</v>
      </c>
      <c r="G22251" s="4" t="str">
        <f>HYPERLINK("[#Réglementation!A"&amp;_xlfn.XMATCH("CCB",Réglementation!A:A,2,1),"CCB")</f>
        <v>CCB</v>
      </c>
      <c r="T22251" s="7" t="str">
        <f>HYPERLINK("#Liste_rouge!A"&amp;_xlfn.XMATCH("NE",Liste_rouge!A:A,2,1),"NE")</f>
        <v>NE</v>
      </c>
      <c r="AH22251" s="4" t="str">
        <f>HYPERLINK("#Statut_biogéographique!A"&amp;_xlfn.XMATCH("P",Statut_biogéographique!A:A,2,1),"P")</f>
        <v>P</v>
      </c>
      <c r="AP22251" s="4" t="s">
        <v>376</v>
      </c>
      <c r="AR22251" s="4" t="s">
        <v>377</v>
      </c>
    </row>
    <row r="22252" spans="1:44" ht="30">
      <c r="A22252" s="4" t="s">
        <v>24364</v>
      </c>
      <c r="B22252" s="4">
        <v>162331</v>
      </c>
      <c r="D22252" s="5" t="s">
        <v>29036</v>
      </c>
      <c r="E22252" s="6" t="str">
        <f>HYPERLINK("https://inpn.mnhn.fr/espece/cd_nom/162331","Ophrys aranifera subsp. aranifera Huds., 1778")</f>
        <v>Ophrys aranifera subsp. aranifera Huds., 1778</v>
      </c>
      <c r="F22252" s="5" t="s">
        <v>25761</v>
      </c>
      <c r="G22252" s="4" t="str">
        <f>HYPERLINK("[#Réglementation!A"&amp;_xlfn.XMATCH("CCB",Réglementation!A:A,2,1),"CCB")</f>
        <v>CCB</v>
      </c>
      <c r="M22252" s="4" t="str">
        <f>HYPERLINK("#Réglementation!A"&amp;_xlfn.XMATCH("RV43",Réglementation!A:A,2,1),"RV43")</f>
        <v>RV43</v>
      </c>
      <c r="Q22252" s="7" t="str">
        <f>HYPERLINK("#Liste_rouge!A"&amp;_xlfn.XMATCH("LC",Liste_rouge!A:A,2,1),"LC")</f>
        <v>LC</v>
      </c>
      <c r="T22252" s="7" t="str">
        <f>HYPERLINK("#Liste_rouge!A"&amp;_xlfn.XMATCH("DD",Liste_rouge!A:A,2,1),"DD")</f>
        <v>DD</v>
      </c>
      <c r="AH22252" s="4" t="str">
        <f>HYPERLINK("#Statut_biogéographique!A"&amp;_xlfn.XMATCH("P",Statut_biogéographique!A:A,2,1),"P")</f>
        <v>P</v>
      </c>
      <c r="AL22252" s="5" t="str">
        <f>HYPERLINK("#Réglementation!A"&amp;_xlfn.XMATCH("UEintro",Réglementation!A:A,2,1),"UEintro")</f>
        <v>UEintro</v>
      </c>
      <c r="AM22252" s="4" t="s">
        <v>375</v>
      </c>
      <c r="AN22252" s="4" t="s">
        <v>375</v>
      </c>
      <c r="AO22252" s="4" t="s">
        <v>375</v>
      </c>
      <c r="AP22252" s="4" t="s">
        <v>376</v>
      </c>
      <c r="AR22252" s="4" t="s">
        <v>377</v>
      </c>
    </row>
    <row r="22253" spans="1:44" ht="105">
      <c r="A22253" s="4" t="s">
        <v>24364</v>
      </c>
      <c r="B22253" s="4">
        <v>162353</v>
      </c>
      <c r="D22253" s="5" t="s">
        <v>29037</v>
      </c>
      <c r="E22253" s="6" t="str">
        <f>HYPERLINK("https://inpn.mnhn.fr/espece/cd_nom/162353","Poa annua var. annua L., 1753")</f>
        <v>Poa annua var. annua L., 1753</v>
      </c>
      <c r="F22253" s="5" t="s">
        <v>26159</v>
      </c>
      <c r="AH22253" s="4" t="str">
        <f>HYPERLINK("#Statut_biogéographique!A"&amp;_xlfn.XMATCH("P",Statut_biogéographique!A:A,2,1),"P")</f>
        <v>P</v>
      </c>
      <c r="AP22253" s="4" t="s">
        <v>376</v>
      </c>
      <c r="AR22253" s="4" t="s">
        <v>377</v>
      </c>
    </row>
    <row r="22254" spans="1:44" ht="30">
      <c r="A22254" s="4" t="s">
        <v>24364</v>
      </c>
      <c r="B22254" s="4">
        <v>162545</v>
      </c>
      <c r="D22254" s="5">
        <v>162545</v>
      </c>
      <c r="E22254" s="6" t="str">
        <f>HYPERLINK("https://inpn.mnhn.fr/espece/cd_nom/162545","Hieracium glaucinum subsp. glaucinum Jord., 1848")</f>
        <v>Hieracium glaucinum subsp. glaucinum Jord., 1848</v>
      </c>
      <c r="AH22254" s="4" t="str">
        <f>HYPERLINK("#Statut_biogéographique!A"&amp;_xlfn.XMATCH("P",Statut_biogéographique!A:A,2,1),"P")</f>
        <v>P</v>
      </c>
      <c r="AP22254" s="4" t="s">
        <v>376</v>
      </c>
      <c r="AR22254" s="4" t="s">
        <v>377</v>
      </c>
    </row>
    <row r="22255" spans="1:44">
      <c r="A22255" s="4" t="s">
        <v>24364</v>
      </c>
      <c r="B22255" s="4">
        <v>162566</v>
      </c>
      <c r="D22255" s="5">
        <v>162566</v>
      </c>
      <c r="E22255" s="6" t="str">
        <f>HYPERLINK("https://inpn.mnhn.fr/espece/cd_nom/162566","Hieracium murorum subsp. murorum L., 1753")</f>
        <v>Hieracium murorum subsp. murorum L., 1753</v>
      </c>
      <c r="AH22255" s="4" t="str">
        <f>HYPERLINK("#Statut_biogéographique!A"&amp;_xlfn.XMATCH("P",Statut_biogéographique!A:A,2,1),"P")</f>
        <v>P</v>
      </c>
      <c r="AP22255" s="4" t="s">
        <v>376</v>
      </c>
      <c r="AR22255" s="4" t="s">
        <v>377</v>
      </c>
    </row>
    <row r="22256" spans="1:44">
      <c r="A22256" s="4" t="s">
        <v>24364</v>
      </c>
      <c r="B22256" s="4">
        <v>162649</v>
      </c>
      <c r="D22256" s="5" t="s">
        <v>29038</v>
      </c>
      <c r="E22256" s="6" t="str">
        <f>HYPERLINK("https://inpn.mnhn.fr/espece/cd_nom/162649","Amelanchier spicata (Lam.) K.Koch, 1869")</f>
        <v>Amelanchier spicata (Lam.) K.Koch, 1869</v>
      </c>
      <c r="F22256" s="5" t="s">
        <v>29039</v>
      </c>
      <c r="Q22256" s="7" t="str">
        <f>HYPERLINK("#Liste_rouge!A"&amp;_xlfn.XMATCH("NA",Liste_rouge!A:A,2,1),"NA")</f>
        <v>NA</v>
      </c>
      <c r="T22256" s="7" t="str">
        <f>HYPERLINK("#Liste_rouge!A"&amp;_xlfn.XMATCH("NA",Liste_rouge!A:A,2,1),"NA")</f>
        <v>NA</v>
      </c>
      <c r="AH22256" s="4" t="str">
        <f>HYPERLINK("#Statut_biogéographique!A"&amp;_xlfn.XMATCH("M",Statut_biogéographique!A:A,2,1),"M")</f>
        <v>M</v>
      </c>
      <c r="AP22256" s="4" t="s">
        <v>376</v>
      </c>
      <c r="AR22256" s="4" t="s">
        <v>377</v>
      </c>
    </row>
    <row r="22257" spans="1:44">
      <c r="A22257" s="4" t="s">
        <v>24364</v>
      </c>
      <c r="B22257" s="4">
        <v>3842</v>
      </c>
      <c r="D22257" s="5" t="s">
        <v>29040</v>
      </c>
      <c r="E22257" s="6" t="str">
        <f>HYPERLINK("https://inpn.mnhn.fr/espece/cd_nom/3842","Tetraphis pellucida Hedw., 1801")</f>
        <v>Tetraphis pellucida Hedw., 1801</v>
      </c>
      <c r="P22257" s="7" t="str">
        <f>HYPERLINK("#Liste_rouge!A"&amp;_xlfn.XMATCH("LC",Liste_rouge!A:A,2,1),"LC")</f>
        <v>LC</v>
      </c>
      <c r="T22257" s="7" t="str">
        <f>HYPERLINK("#Liste_rouge!A"&amp;_xlfn.XMATCH("LC",Liste_rouge!A:A,2,1),"LC")</f>
        <v>LC</v>
      </c>
      <c r="V22257" s="7" t="str">
        <f>HYPERLINK("#Liste_rouge!A"&amp;_xlfn.XMATCH("LC",Liste_rouge!A:A,2,1),"LC")</f>
        <v>LC</v>
      </c>
      <c r="AH22257" s="4" t="str">
        <f>HYPERLINK("#Statut_biogéographique!A"&amp;_xlfn.XMATCH("P",Statut_biogéographique!A:A,2,1),"P")</f>
        <v>P</v>
      </c>
      <c r="AP22257" s="4" t="s">
        <v>376</v>
      </c>
      <c r="AR22257" s="4" t="s">
        <v>377</v>
      </c>
    </row>
    <row r="22258" spans="1:44" ht="30">
      <c r="A22258" s="4" t="s">
        <v>24364</v>
      </c>
      <c r="B22258" s="4">
        <v>3849</v>
      </c>
      <c r="D22258" s="5" t="s">
        <v>29041</v>
      </c>
      <c r="E22258" s="6" t="str">
        <f>HYPERLINK("https://inpn.mnhn.fr/espece/cd_nom/3849","Atrichum angustatum (Brid.) Bruch &amp; Schimp., 1844")</f>
        <v>Atrichum angustatum (Brid.) Bruch &amp; Schimp., 1844</v>
      </c>
      <c r="P22258" s="7" t="str">
        <f>HYPERLINK("#Liste_rouge!A"&amp;_xlfn.XMATCH("VU",Liste_rouge!A:A,2,1),"VU")</f>
        <v>VU</v>
      </c>
      <c r="T22258" s="7" t="str">
        <f>HYPERLINK("#Liste_rouge!A"&amp;_xlfn.XMATCH("CR",Liste_rouge!A:A,2,1),"CR")</f>
        <v>CR</v>
      </c>
      <c r="V22258" s="7" t="str">
        <f>HYPERLINK("#Liste_rouge!A"&amp;_xlfn.XMATCH("DD",Liste_rouge!A:A,2,1),"DD")</f>
        <v>DD</v>
      </c>
      <c r="X22258" s="5" t="s">
        <v>374</v>
      </c>
      <c r="AB22258" s="4" t="s">
        <v>93</v>
      </c>
      <c r="AH22258" s="4" t="str">
        <f>HYPERLINK("#Statut_biogéographique!A"&amp;_xlfn.XMATCH("P",Statut_biogéographique!A:A,2,1),"P")</f>
        <v>P</v>
      </c>
      <c r="AP22258" s="4" t="s">
        <v>376</v>
      </c>
      <c r="AR22258" s="4" t="s">
        <v>377</v>
      </c>
    </row>
    <row r="22259" spans="1:44" ht="30">
      <c r="A22259" s="4" t="s">
        <v>24364</v>
      </c>
      <c r="B22259" s="4">
        <v>3851</v>
      </c>
      <c r="D22259" s="5" t="s">
        <v>29042</v>
      </c>
      <c r="E22259" s="6" t="str">
        <f>HYPERLINK("https://inpn.mnhn.fr/espece/cd_nom/3851","Atrichum tenellum (Röhl.) Bruch &amp; Schimp., 1844")</f>
        <v>Atrichum tenellum (Röhl.) Bruch &amp; Schimp., 1844</v>
      </c>
      <c r="P22259" s="7" t="str">
        <f>HYPERLINK("#Liste_rouge!A"&amp;_xlfn.XMATCH("LC",Liste_rouge!A:A,2,1),"LC")</f>
        <v>LC</v>
      </c>
      <c r="T22259" s="7" t="str">
        <f>HYPERLINK("#Liste_rouge!A"&amp;_xlfn.XMATCH("EN",Liste_rouge!A:A,2,1),"EN")</f>
        <v>EN</v>
      </c>
      <c r="V22259" s="7" t="str">
        <f>HYPERLINK("#Liste_rouge!A"&amp;_xlfn.XMATCH("VU",Liste_rouge!A:A,2,1),"VU")</f>
        <v>VU</v>
      </c>
      <c r="X22259" s="5" t="s">
        <v>374</v>
      </c>
      <c r="AB22259" s="4" t="s">
        <v>93</v>
      </c>
      <c r="AH22259" s="4" t="str">
        <f>HYPERLINK("#Statut_biogéographique!A"&amp;_xlfn.XMATCH("P",Statut_biogéographique!A:A,2,1),"P")</f>
        <v>P</v>
      </c>
      <c r="AP22259" s="4" t="s">
        <v>376</v>
      </c>
      <c r="AR22259" s="4" t="s">
        <v>377</v>
      </c>
    </row>
    <row r="22260" spans="1:44">
      <c r="A22260" s="4" t="s">
        <v>24364</v>
      </c>
      <c r="B22260" s="4">
        <v>3853</v>
      </c>
      <c r="D22260" s="5" t="s">
        <v>29043</v>
      </c>
      <c r="E22260" s="6" t="str">
        <f>HYPERLINK("https://inpn.mnhn.fr/espece/cd_nom/3853","Atrichum undulatum (Hedw.) P.Beauv., 1805")</f>
        <v>Atrichum undulatum (Hedw.) P.Beauv., 1805</v>
      </c>
      <c r="P22260" s="7" t="str">
        <f>HYPERLINK("#Liste_rouge!A"&amp;_xlfn.XMATCH("LC",Liste_rouge!A:A,2,1),"LC")</f>
        <v>LC</v>
      </c>
      <c r="T22260" s="7" t="str">
        <f>HYPERLINK("#Liste_rouge!A"&amp;_xlfn.XMATCH("LC",Liste_rouge!A:A,2,1),"LC")</f>
        <v>LC</v>
      </c>
      <c r="V22260" s="7" t="str">
        <f>HYPERLINK("#Liste_rouge!A"&amp;_xlfn.XMATCH("LC",Liste_rouge!A:A,2,1),"LC")</f>
        <v>LC</v>
      </c>
      <c r="AH22260" s="4" t="str">
        <f>HYPERLINK("#Statut_biogéographique!A"&amp;_xlfn.XMATCH("P",Statut_biogéographique!A:A,2,1),"P")</f>
        <v>P</v>
      </c>
      <c r="AP22260" s="4" t="s">
        <v>376</v>
      </c>
      <c r="AR22260" s="4" t="s">
        <v>377</v>
      </c>
    </row>
    <row r="22261" spans="1:44" ht="30">
      <c r="A22261" s="4" t="s">
        <v>24364</v>
      </c>
      <c r="B22261" s="4">
        <v>3856</v>
      </c>
      <c r="D22261" s="5" t="s">
        <v>29044</v>
      </c>
      <c r="E22261" s="6" t="str">
        <f>HYPERLINK("https://inpn.mnhn.fr/espece/cd_nom/3856","Oligotrichum hercynicum (Hedw.) Lam. &amp; DC., 1805")</f>
        <v>Oligotrichum hercynicum (Hedw.) Lam. &amp; DC., 1805</v>
      </c>
      <c r="P22261" s="7" t="str">
        <f>HYPERLINK("#Liste_rouge!A"&amp;_xlfn.XMATCH("LC",Liste_rouge!A:A,2,1),"LC")</f>
        <v>LC</v>
      </c>
      <c r="T22261" s="7" t="str">
        <f>HYPERLINK("#Liste_rouge!A"&amp;_xlfn.XMATCH("EN",Liste_rouge!A:A,2,1),"EN")</f>
        <v>EN</v>
      </c>
      <c r="V22261" s="7" t="str">
        <f>HYPERLINK("#Liste_rouge!A"&amp;_xlfn.XMATCH("NT",Liste_rouge!A:A,2,1),"NT")</f>
        <v>NT</v>
      </c>
      <c r="X22261" s="5" t="s">
        <v>374</v>
      </c>
      <c r="AB22261" s="4" t="s">
        <v>93</v>
      </c>
      <c r="AH22261" s="4" t="str">
        <f>HYPERLINK("#Statut_biogéographique!A"&amp;_xlfn.XMATCH("P",Statut_biogéographique!A:A,2,1),"P")</f>
        <v>P</v>
      </c>
      <c r="AP22261" s="4" t="s">
        <v>376</v>
      </c>
      <c r="AR22261" s="4" t="s">
        <v>377</v>
      </c>
    </row>
    <row r="22262" spans="1:44">
      <c r="A22262" s="4" t="s">
        <v>24364</v>
      </c>
      <c r="B22262" s="4">
        <v>3858</v>
      </c>
      <c r="D22262" s="5" t="s">
        <v>29045</v>
      </c>
      <c r="E22262" s="6" t="str">
        <f>HYPERLINK("https://inpn.mnhn.fr/espece/cd_nom/3858","Pogonatum aloides (Hedw.) P.Beauv., 1805")</f>
        <v>Pogonatum aloides (Hedw.) P.Beauv., 1805</v>
      </c>
      <c r="P22262" s="7" t="str">
        <f>HYPERLINK("#Liste_rouge!A"&amp;_xlfn.XMATCH("LC",Liste_rouge!A:A,2,1),"LC")</f>
        <v>LC</v>
      </c>
      <c r="T22262" s="7" t="str">
        <f>HYPERLINK("#Liste_rouge!A"&amp;_xlfn.XMATCH("LC",Liste_rouge!A:A,2,1),"LC")</f>
        <v>LC</v>
      </c>
      <c r="V22262" s="7" t="str">
        <f>HYPERLINK("#Liste_rouge!A"&amp;_xlfn.XMATCH("LC",Liste_rouge!A:A,2,1),"LC")</f>
        <v>LC</v>
      </c>
      <c r="AH22262" s="4" t="str">
        <f>HYPERLINK("#Statut_biogéographique!A"&amp;_xlfn.XMATCH("P",Statut_biogéographique!A:A,2,1),"P")</f>
        <v>P</v>
      </c>
      <c r="AP22262" s="4" t="s">
        <v>376</v>
      </c>
      <c r="AR22262" s="4" t="s">
        <v>377</v>
      </c>
    </row>
    <row r="22263" spans="1:44" ht="30">
      <c r="A22263" s="4" t="s">
        <v>24364</v>
      </c>
      <c r="B22263" s="4">
        <v>3859</v>
      </c>
      <c r="D22263" s="5" t="s">
        <v>29046</v>
      </c>
      <c r="E22263" s="6" t="str">
        <f>HYPERLINK("https://inpn.mnhn.fr/espece/cd_nom/3859","Pogonatum nanum (Schreb. ex Hedw.) P.Beauv., 1805")</f>
        <v>Pogonatum nanum (Schreb. ex Hedw.) P.Beauv., 1805</v>
      </c>
      <c r="P22263" s="7" t="str">
        <f>HYPERLINK("#Liste_rouge!A"&amp;_xlfn.XMATCH("LC",Liste_rouge!A:A,2,1),"LC")</f>
        <v>LC</v>
      </c>
      <c r="T22263" s="7" t="str">
        <f>HYPERLINK("#Liste_rouge!A"&amp;_xlfn.XMATCH("VU",Liste_rouge!A:A,2,1),"VU")</f>
        <v>VU</v>
      </c>
      <c r="V22263" s="7" t="str">
        <f>HYPERLINK("#Liste_rouge!A"&amp;_xlfn.XMATCH("NT",Liste_rouge!A:A,2,1),"NT")</f>
        <v>NT</v>
      </c>
      <c r="X22263" s="5" t="s">
        <v>374</v>
      </c>
      <c r="AB22263" s="4" t="s">
        <v>93</v>
      </c>
      <c r="AH22263" s="4" t="str">
        <f>HYPERLINK("#Statut_biogéographique!A"&amp;_xlfn.XMATCH("P",Statut_biogéographique!A:A,2,1),"P")</f>
        <v>P</v>
      </c>
      <c r="AP22263" s="4" t="s">
        <v>376</v>
      </c>
      <c r="AR22263" s="4" t="s">
        <v>377</v>
      </c>
    </row>
    <row r="22264" spans="1:44" ht="30">
      <c r="A22264" s="4" t="s">
        <v>24364</v>
      </c>
      <c r="B22264" s="4">
        <v>3860</v>
      </c>
      <c r="D22264" s="5" t="s">
        <v>29047</v>
      </c>
      <c r="E22264" s="6" t="str">
        <f>HYPERLINK("https://inpn.mnhn.fr/espece/cd_nom/3860","Pogonatum urnigerum (Hedw.) P.Beauv., 1805")</f>
        <v>Pogonatum urnigerum (Hedw.) P.Beauv., 1805</v>
      </c>
      <c r="P22264" s="7" t="str">
        <f>HYPERLINK("#Liste_rouge!A"&amp;_xlfn.XMATCH("LC",Liste_rouge!A:A,2,1),"LC")</f>
        <v>LC</v>
      </c>
      <c r="T22264" s="7" t="str">
        <f>HYPERLINK("#Liste_rouge!A"&amp;_xlfn.XMATCH("LC",Liste_rouge!A:A,2,1),"LC")</f>
        <v>LC</v>
      </c>
      <c r="V22264" s="7" t="str">
        <f>HYPERLINK("#Liste_rouge!A"&amp;_xlfn.XMATCH("LC",Liste_rouge!A:A,2,1),"LC")</f>
        <v>LC</v>
      </c>
      <c r="AH22264" s="4" t="str">
        <f>HYPERLINK("#Statut_biogéographique!A"&amp;_xlfn.XMATCH("P",Statut_biogéographique!A:A,2,1),"P")</f>
        <v>P</v>
      </c>
      <c r="AP22264" s="4" t="s">
        <v>376</v>
      </c>
      <c r="AR22264" s="4" t="s">
        <v>377</v>
      </c>
    </row>
    <row r="22265" spans="1:44">
      <c r="A22265" s="4" t="s">
        <v>24364</v>
      </c>
      <c r="B22265" s="4">
        <v>3864</v>
      </c>
      <c r="D22265" s="5" t="s">
        <v>29048</v>
      </c>
      <c r="E22265" s="6" t="str">
        <f>HYPERLINK("https://inpn.mnhn.fr/espece/cd_nom/3864","Polytrichum commune Hedw., 1801")</f>
        <v>Polytrichum commune Hedw., 1801</v>
      </c>
      <c r="P22265" s="7" t="str">
        <f>HYPERLINK("#Liste_rouge!A"&amp;_xlfn.XMATCH("LC",Liste_rouge!A:A,2,1),"LC")</f>
        <v>LC</v>
      </c>
      <c r="T22265" s="7" t="str">
        <f>HYPERLINK("#Liste_rouge!A"&amp;_xlfn.XMATCH("LC",Liste_rouge!A:A,2,1),"LC")</f>
        <v>LC</v>
      </c>
      <c r="V22265" s="7" t="str">
        <f>HYPERLINK("#Liste_rouge!A"&amp;_xlfn.XMATCH("LC",Liste_rouge!A:A,2,1),"LC")</f>
        <v>LC</v>
      </c>
      <c r="AH22265" s="4" t="str">
        <f>HYPERLINK("#Statut_biogéographique!A"&amp;_xlfn.XMATCH("P",Statut_biogéographique!A:A,2,1),"P")</f>
        <v>P</v>
      </c>
      <c r="AP22265" s="4" t="s">
        <v>376</v>
      </c>
      <c r="AR22265" s="4" t="s">
        <v>377</v>
      </c>
    </row>
    <row r="22266" spans="1:44">
      <c r="A22266" s="4" t="s">
        <v>24364</v>
      </c>
      <c r="B22266" s="4">
        <v>3865</v>
      </c>
      <c r="D22266" s="5" t="s">
        <v>29049</v>
      </c>
      <c r="E22266" s="6" t="str">
        <f>HYPERLINK("https://inpn.mnhn.fr/espece/cd_nom/3865","Polytrichum formosum Hedw., 1801")</f>
        <v>Polytrichum formosum Hedw., 1801</v>
      </c>
      <c r="P22266" s="7" t="str">
        <f>HYPERLINK("#Liste_rouge!A"&amp;_xlfn.XMATCH("LC",Liste_rouge!A:A,2,1),"LC")</f>
        <v>LC</v>
      </c>
      <c r="T22266" s="7" t="str">
        <f>HYPERLINK("#Liste_rouge!A"&amp;_xlfn.XMATCH("LC",Liste_rouge!A:A,2,1),"LC")</f>
        <v>LC</v>
      </c>
      <c r="V22266" s="7" t="str">
        <f>HYPERLINK("#Liste_rouge!A"&amp;_xlfn.XMATCH("LC",Liste_rouge!A:A,2,1),"LC")</f>
        <v>LC</v>
      </c>
      <c r="AH22266" s="4" t="str">
        <f>HYPERLINK("#Statut_biogéographique!A"&amp;_xlfn.XMATCH("P",Statut_biogéographique!A:A,2,1),"P")</f>
        <v>P</v>
      </c>
      <c r="AP22266" s="4" t="s">
        <v>376</v>
      </c>
      <c r="AR22266" s="4" t="s">
        <v>377</v>
      </c>
    </row>
    <row r="22267" spans="1:44">
      <c r="A22267" s="4" t="s">
        <v>24364</v>
      </c>
      <c r="B22267" s="4">
        <v>3867</v>
      </c>
      <c r="D22267" s="5" t="s">
        <v>29050</v>
      </c>
      <c r="E22267" s="6" t="str">
        <f>HYPERLINK("https://inpn.mnhn.fr/espece/cd_nom/3867","Polytrichum juniperinum Hedw., 1801")</f>
        <v>Polytrichum juniperinum Hedw., 1801</v>
      </c>
      <c r="P22267" s="7" t="str">
        <f>HYPERLINK("#Liste_rouge!A"&amp;_xlfn.XMATCH("LC",Liste_rouge!A:A,2,1),"LC")</f>
        <v>LC</v>
      </c>
      <c r="T22267" s="7" t="str">
        <f>HYPERLINK("#Liste_rouge!A"&amp;_xlfn.XMATCH("LC",Liste_rouge!A:A,2,1),"LC")</f>
        <v>LC</v>
      </c>
      <c r="V22267" s="7" t="str">
        <f>HYPERLINK("#Liste_rouge!A"&amp;_xlfn.XMATCH("LC",Liste_rouge!A:A,2,1),"LC")</f>
        <v>LC</v>
      </c>
      <c r="AH22267" s="4" t="str">
        <f>HYPERLINK("#Statut_biogéographique!A"&amp;_xlfn.XMATCH("P",Statut_biogéographique!A:A,2,1),"P")</f>
        <v>P</v>
      </c>
      <c r="AP22267" s="4" t="s">
        <v>376</v>
      </c>
      <c r="AR22267" s="4" t="s">
        <v>377</v>
      </c>
    </row>
    <row r="22268" spans="1:44">
      <c r="A22268" s="4" t="s">
        <v>24364</v>
      </c>
      <c r="B22268" s="4">
        <v>3870</v>
      </c>
      <c r="D22268" s="5" t="s">
        <v>29051</v>
      </c>
      <c r="E22268" s="6" t="str">
        <f>HYPERLINK("https://inpn.mnhn.fr/espece/cd_nom/3870","Polytrichum longisetum Sw. ex Brid., 1801")</f>
        <v>Polytrichum longisetum Sw. ex Brid., 1801</v>
      </c>
      <c r="P22268" s="7" t="str">
        <f>HYPERLINK("#Liste_rouge!A"&amp;_xlfn.XMATCH("LC",Liste_rouge!A:A,2,1),"LC")</f>
        <v>LC</v>
      </c>
      <c r="T22268" s="7" t="str">
        <f>HYPERLINK("#Liste_rouge!A"&amp;_xlfn.XMATCH("CR",Liste_rouge!A:A,2,1),"CR")</f>
        <v>CR</v>
      </c>
      <c r="V22268" s="7" t="str">
        <f>HYPERLINK("#Liste_rouge!A"&amp;_xlfn.XMATCH("LC",Liste_rouge!A:A,2,1),"LC")</f>
        <v>LC</v>
      </c>
      <c r="AB22268" s="4" t="s">
        <v>29052</v>
      </c>
      <c r="AH22268" s="4" t="str">
        <f>HYPERLINK("#Statut_biogéographique!A"&amp;_xlfn.XMATCH("P",Statut_biogéographique!A:A,2,1),"P")</f>
        <v>P</v>
      </c>
      <c r="AP22268" s="4" t="s">
        <v>376</v>
      </c>
      <c r="AR22268" s="4" t="s">
        <v>377</v>
      </c>
    </row>
    <row r="22269" spans="1:44">
      <c r="A22269" s="4" t="s">
        <v>24364</v>
      </c>
      <c r="B22269" s="4">
        <v>3875</v>
      </c>
      <c r="D22269" s="5" t="s">
        <v>29053</v>
      </c>
      <c r="E22269" s="6" t="str">
        <f>HYPERLINK("https://inpn.mnhn.fr/espece/cd_nom/3875","Polytrichum piliferum Hedw., 1801")</f>
        <v>Polytrichum piliferum Hedw., 1801</v>
      </c>
      <c r="P22269" s="7" t="str">
        <f>HYPERLINK("#Liste_rouge!A"&amp;_xlfn.XMATCH("LC",Liste_rouge!A:A,2,1),"LC")</f>
        <v>LC</v>
      </c>
      <c r="T22269" s="7" t="str">
        <f>HYPERLINK("#Liste_rouge!A"&amp;_xlfn.XMATCH("LC",Liste_rouge!A:A,2,1),"LC")</f>
        <v>LC</v>
      </c>
      <c r="V22269" s="7" t="str">
        <f>HYPERLINK("#Liste_rouge!A"&amp;_xlfn.XMATCH("LC",Liste_rouge!A:A,2,1),"LC")</f>
        <v>LC</v>
      </c>
      <c r="AB22269" s="4" t="s">
        <v>25106</v>
      </c>
      <c r="AH22269" s="4" t="str">
        <f>HYPERLINK("#Statut_biogéographique!A"&amp;_xlfn.XMATCH("P",Statut_biogéographique!A:A,2,1),"P")</f>
        <v>P</v>
      </c>
      <c r="AP22269" s="4" t="s">
        <v>376</v>
      </c>
      <c r="AR22269" s="4" t="s">
        <v>377</v>
      </c>
    </row>
    <row r="22270" spans="1:44">
      <c r="A22270" s="4" t="s">
        <v>24364</v>
      </c>
      <c r="B22270" s="4">
        <v>3879</v>
      </c>
      <c r="D22270" s="5" t="s">
        <v>29054</v>
      </c>
      <c r="E22270" s="6" t="str">
        <f>HYPERLINK("https://inpn.mnhn.fr/espece/cd_nom/3879","Polytrichum strictum Menzies ex Brid., 1801")</f>
        <v>Polytrichum strictum Menzies ex Brid., 1801</v>
      </c>
      <c r="P22270" s="7" t="str">
        <f>HYPERLINK("#Liste_rouge!A"&amp;_xlfn.XMATCH("LC",Liste_rouge!A:A,2,1),"LC")</f>
        <v>LC</v>
      </c>
      <c r="T22270" s="7" t="str">
        <f>HYPERLINK("#Liste_rouge!A"&amp;_xlfn.XMATCH("VU",Liste_rouge!A:A,2,1),"VU")</f>
        <v>VU</v>
      </c>
      <c r="V22270" s="7" t="str">
        <f>HYPERLINK("#Liste_rouge!A"&amp;_xlfn.XMATCH("LC",Liste_rouge!A:A,2,1),"LC")</f>
        <v>LC</v>
      </c>
      <c r="AB22270" s="4" t="s">
        <v>24803</v>
      </c>
      <c r="AH22270" s="4" t="str">
        <f>HYPERLINK("#Statut_biogéographique!A"&amp;_xlfn.XMATCH("P",Statut_biogéographique!A:A,2,1),"P")</f>
        <v>P</v>
      </c>
      <c r="AP22270" s="4" t="s">
        <v>376</v>
      </c>
      <c r="AR22270" s="4" t="s">
        <v>377</v>
      </c>
    </row>
    <row r="22271" spans="1:44">
      <c r="A22271" s="4" t="s">
        <v>24364</v>
      </c>
      <c r="B22271" s="4">
        <v>3884</v>
      </c>
      <c r="D22271" s="5">
        <v>3884</v>
      </c>
      <c r="E22271" s="6" t="str">
        <f>HYPERLINK("https://inpn.mnhn.fr/espece/cd_nom/3884","Buxbaumia aphylla Hedw., 1801")</f>
        <v>Buxbaumia aphylla Hedw., 1801</v>
      </c>
      <c r="P22271" s="7" t="str">
        <f>HYPERLINK("#Liste_rouge!A"&amp;_xlfn.XMATCH("LC",Liste_rouge!A:A,2,1),"LC")</f>
        <v>LC</v>
      </c>
      <c r="T22271" s="7" t="str">
        <f>HYPERLINK("#Liste_rouge!A"&amp;_xlfn.XMATCH("EN",Liste_rouge!A:A,2,1),"EN")</f>
        <v>EN</v>
      </c>
      <c r="V22271" s="7" t="str">
        <f>HYPERLINK("#Liste_rouge!A"&amp;_xlfn.XMATCH("VU",Liste_rouge!A:A,2,1),"VU")</f>
        <v>VU</v>
      </c>
      <c r="X22271" s="5" t="s">
        <v>374</v>
      </c>
      <c r="AB22271" s="4" t="s">
        <v>93</v>
      </c>
      <c r="AH22271" s="4" t="str">
        <f>HYPERLINK("#Statut_biogéographique!A"&amp;_xlfn.XMATCH("P",Statut_biogéographique!A:A,2,1),"P")</f>
        <v>P</v>
      </c>
      <c r="AP22271" s="4" t="s">
        <v>376</v>
      </c>
      <c r="AR22271" s="4" t="s">
        <v>377</v>
      </c>
    </row>
    <row r="22272" spans="1:44" ht="30">
      <c r="A22272" s="4" t="s">
        <v>24364</v>
      </c>
      <c r="B22272" s="4">
        <v>3885</v>
      </c>
      <c r="D22272" s="5" t="s">
        <v>29055</v>
      </c>
      <c r="E22272" s="6" t="str">
        <f>HYPERLINK("https://inpn.mnhn.fr/espece/cd_nom/3885","Buxbaumia viridis (Moug. ex Lam. &amp; DC.) Brid. ex Moug. &amp; Nestl.")</f>
        <v>Buxbaumia viridis (Moug. ex Lam. &amp; DC.) Brid. ex Moug. &amp; Nestl.</v>
      </c>
      <c r="I22272" s="4" t="str">
        <f>HYPERLINK("#Réglementation!A"&amp;_xlfn.XMATCH("IBE1",Réglementation!A:A,2,1),"IBE1")</f>
        <v>IBE1</v>
      </c>
      <c r="K22272" s="4" t="str">
        <f>HYPERLINK("#Réglementation!A"&amp;_xlfn.XMATCH("CDH2",Réglementation!A:A,2,1),"CDH2")</f>
        <v>CDH2</v>
      </c>
      <c r="L22272" s="4" t="str">
        <f>HYPERLINK("#Réglementation!A"&amp;_xlfn.XMATCH("NV1",Réglementation!A:A,2,1),"NV1")</f>
        <v>NV1</v>
      </c>
      <c r="T22272" s="7" t="str">
        <f>HYPERLINK("#Liste_rouge!A"&amp;_xlfn.XMATCH("CR",Liste_rouge!A:A,2,1),"CR")</f>
        <v>CR</v>
      </c>
      <c r="V22272" s="7" t="str">
        <f>HYPERLINK("#Liste_rouge!A"&amp;_xlfn.XMATCH("LC",Liste_rouge!A:A,2,1),"LC")</f>
        <v>LC</v>
      </c>
      <c r="X22272" s="5" t="s">
        <v>374</v>
      </c>
      <c r="AB22272" s="4" t="s">
        <v>93</v>
      </c>
      <c r="AE22272" s="4" t="str">
        <f>HYPERLINK("#SCAP!A"&amp;_xlfn.XMATCH("3",SCAP!A:A,2,1),"3")</f>
        <v>3</v>
      </c>
      <c r="AF22272" s="4" t="str">
        <f>HYPERLINK("#SCAP!A"&amp;_xlfn.XMATCH("NP",SCAP!A:A,2,1),"NP")</f>
        <v>NP</v>
      </c>
      <c r="AG22272" s="4" t="str">
        <f>HYPERLINK("#SCAP!A"&amp;_xlfn.XMATCH("3",SCAP!A:A,2,1),"3")</f>
        <v>3</v>
      </c>
      <c r="AH22272" s="4" t="str">
        <f>HYPERLINK("#Statut_biogéographique!A"&amp;_xlfn.XMATCH("P",Statut_biogéographique!A:A,2,1),"P")</f>
        <v>P</v>
      </c>
      <c r="AP22272" s="4" t="s">
        <v>376</v>
      </c>
      <c r="AR22272" s="4" t="s">
        <v>377</v>
      </c>
    </row>
    <row r="22273" spans="1:44">
      <c r="A22273" s="4" t="s">
        <v>24364</v>
      </c>
      <c r="B22273" s="4">
        <v>3888</v>
      </c>
      <c r="D22273" s="5" t="s">
        <v>29056</v>
      </c>
      <c r="E22273" s="6" t="str">
        <f>HYPERLINK("https://inpn.mnhn.fr/espece/cd_nom/3888","Diphyscium foliosum (Hedw.) D.Mohr, 1803")</f>
        <v>Diphyscium foliosum (Hedw.) D.Mohr, 1803</v>
      </c>
      <c r="P22273" s="7" t="str">
        <f>HYPERLINK("#Liste_rouge!A"&amp;_xlfn.XMATCH("LC",Liste_rouge!A:A,2,1),"LC")</f>
        <v>LC</v>
      </c>
      <c r="T22273" s="7" t="str">
        <f>HYPERLINK("#Liste_rouge!A"&amp;_xlfn.XMATCH("LC",Liste_rouge!A:A,2,1),"LC")</f>
        <v>LC</v>
      </c>
      <c r="V22273" s="7" t="str">
        <f>HYPERLINK("#Liste_rouge!A"&amp;_xlfn.XMATCH("LC",Liste_rouge!A:A,2,1),"LC")</f>
        <v>LC</v>
      </c>
      <c r="AB22273" s="4" t="s">
        <v>29057</v>
      </c>
      <c r="AH22273" s="4" t="str">
        <f>HYPERLINK("#Statut_biogéographique!A"&amp;_xlfn.XMATCH("P",Statut_biogéographique!A:A,2,1),"P")</f>
        <v>P</v>
      </c>
      <c r="AP22273" s="4" t="s">
        <v>376</v>
      </c>
      <c r="AR22273" s="4" t="s">
        <v>377</v>
      </c>
    </row>
    <row r="22274" spans="1:44" ht="30">
      <c r="A22274" s="4" t="s">
        <v>24364</v>
      </c>
      <c r="B22274" s="4">
        <v>388800</v>
      </c>
      <c r="D22274" s="5" t="s">
        <v>29058</v>
      </c>
      <c r="E22274" s="6" t="str">
        <f>HYPERLINK("https://inpn.mnhn.fr/espece/cd_nom/388800","Heterocladium flaccidum (Schimp.) A.J.E.Sm., 2006")</f>
        <v>Heterocladium flaccidum (Schimp.) A.J.E.Sm., 2006</v>
      </c>
      <c r="O22274" s="7" t="str">
        <f>HYPERLINK("#Liste_rouge!A"&amp;_xlfn.XMATCH("LC",Liste_rouge!A:A,2,1),"LC")</f>
        <v>LC</v>
      </c>
      <c r="P22274" s="7" t="str">
        <f>HYPERLINK("#Liste_rouge!A"&amp;_xlfn.XMATCH("LC",Liste_rouge!A:A,2,1),"LC")</f>
        <v>LC</v>
      </c>
      <c r="T22274" s="7" t="str">
        <f>HYPERLINK("#Liste_rouge!A"&amp;_xlfn.XMATCH("LC",Liste_rouge!A:A,2,1),"LC")</f>
        <v>LC</v>
      </c>
      <c r="V22274" s="7" t="str">
        <f>HYPERLINK("#Liste_rouge!A"&amp;_xlfn.XMATCH("DD",Liste_rouge!A:A,2,1),"DD")</f>
        <v>DD</v>
      </c>
      <c r="AB22274" s="4" t="s">
        <v>24719</v>
      </c>
      <c r="AH22274" s="4" t="str">
        <f>HYPERLINK("#Statut_biogéographique!A"&amp;_xlfn.XMATCH("P",Statut_biogéographique!A:A,2,1),"P")</f>
        <v>P</v>
      </c>
      <c r="AP22274" s="4" t="s">
        <v>376</v>
      </c>
      <c r="AR22274" s="4" t="s">
        <v>377</v>
      </c>
    </row>
    <row r="22275" spans="1:44">
      <c r="A22275" s="4" t="s">
        <v>24364</v>
      </c>
      <c r="B22275" s="4">
        <v>3892</v>
      </c>
      <c r="D22275" s="5" t="s">
        <v>29059</v>
      </c>
      <c r="E22275" s="6" t="str">
        <f>HYPERLINK("https://inpn.mnhn.fr/espece/cd_nom/3892","Archidium alternifolium (Hedw.) Mitt., 1851")</f>
        <v>Archidium alternifolium (Hedw.) Mitt., 1851</v>
      </c>
      <c r="P22275" s="7" t="str">
        <f>HYPERLINK("#Liste_rouge!A"&amp;_xlfn.XMATCH("LC",Liste_rouge!A:A,2,1),"LC")</f>
        <v>LC</v>
      </c>
      <c r="T22275" s="7" t="str">
        <f>HYPERLINK("#Liste_rouge!A"&amp;_xlfn.XMATCH("DD",Liste_rouge!A:A,2,1),"DD")</f>
        <v>DD</v>
      </c>
      <c r="V22275" s="7" t="str">
        <f>HYPERLINK("#Liste_rouge!A"&amp;_xlfn.XMATCH("DD",Liste_rouge!A:A,2,1),"DD")</f>
        <v>DD</v>
      </c>
      <c r="AH22275" s="4" t="str">
        <f>HYPERLINK("#Statut_biogéographique!A"&amp;_xlfn.XMATCH("P",Statut_biogéographique!A:A,2,1),"P")</f>
        <v>P</v>
      </c>
      <c r="AP22275" s="4" t="s">
        <v>376</v>
      </c>
      <c r="AR22275" s="4" t="s">
        <v>377</v>
      </c>
    </row>
    <row r="22276" spans="1:44">
      <c r="A22276" s="4" t="s">
        <v>24364</v>
      </c>
      <c r="B22276" s="4">
        <v>3896</v>
      </c>
      <c r="D22276" s="5" t="s">
        <v>29060</v>
      </c>
      <c r="E22276" s="6" t="str">
        <f>HYPERLINK("https://inpn.mnhn.fr/espece/cd_nom/3896","Fissidens adianthoides Hedw., 1801")</f>
        <v>Fissidens adianthoides Hedw., 1801</v>
      </c>
      <c r="P22276" s="7" t="str">
        <f>HYPERLINK("#Liste_rouge!A"&amp;_xlfn.XMATCH("LC",Liste_rouge!A:A,2,1),"LC")</f>
        <v>LC</v>
      </c>
      <c r="T22276" s="7" t="str">
        <f>HYPERLINK("#Liste_rouge!A"&amp;_xlfn.XMATCH("LC",Liste_rouge!A:A,2,1),"LC")</f>
        <v>LC</v>
      </c>
      <c r="V22276" s="7" t="str">
        <f>HYPERLINK("#Liste_rouge!A"&amp;_xlfn.XMATCH("LC",Liste_rouge!A:A,2,1),"LC")</f>
        <v>LC</v>
      </c>
      <c r="AH22276" s="4" t="str">
        <f>HYPERLINK("#Statut_biogéographique!A"&amp;_xlfn.XMATCH("P",Statut_biogéographique!A:A,2,1),"P")</f>
        <v>P</v>
      </c>
      <c r="AP22276" s="4" t="s">
        <v>376</v>
      </c>
      <c r="AR22276" s="4" t="s">
        <v>377</v>
      </c>
    </row>
    <row r="22277" spans="1:44">
      <c r="A22277" s="4" t="s">
        <v>24364</v>
      </c>
      <c r="B22277" s="4">
        <v>3899</v>
      </c>
      <c r="D22277" s="5" t="s">
        <v>29061</v>
      </c>
      <c r="E22277" s="6" t="str">
        <f>HYPERLINK("https://inpn.mnhn.fr/espece/cd_nom/3899","Fissidens bryoides Hedw., 1801")</f>
        <v>Fissidens bryoides Hedw., 1801</v>
      </c>
      <c r="P22277" s="7" t="str">
        <f>HYPERLINK("#Liste_rouge!A"&amp;_xlfn.XMATCH("LC",Liste_rouge!A:A,2,1),"LC")</f>
        <v>LC</v>
      </c>
      <c r="T22277" s="7" t="str">
        <f>HYPERLINK("#Liste_rouge!A"&amp;_xlfn.XMATCH("LC",Liste_rouge!A:A,2,1),"LC")</f>
        <v>LC</v>
      </c>
      <c r="V22277" s="7" t="str">
        <f>HYPERLINK("#Liste_rouge!A"&amp;_xlfn.XMATCH("LC",Liste_rouge!A:A,2,1),"LC")</f>
        <v>LC</v>
      </c>
      <c r="AH22277" s="4" t="str">
        <f>HYPERLINK("#Statut_biogéographique!A"&amp;_xlfn.XMATCH("P",Statut_biogéographique!A:A,2,1),"P")</f>
        <v>P</v>
      </c>
      <c r="AP22277" s="4" t="s">
        <v>376</v>
      </c>
      <c r="AR22277" s="4" t="s">
        <v>377</v>
      </c>
    </row>
    <row r="22278" spans="1:44">
      <c r="A22278" s="4" t="s">
        <v>24364</v>
      </c>
      <c r="B22278" s="4">
        <v>3900</v>
      </c>
      <c r="D22278" s="5">
        <v>3900</v>
      </c>
      <c r="E22278" s="6" t="str">
        <f>HYPERLINK("https://inpn.mnhn.fr/espece/cd_nom/3900","Fissidens celticus Paton, 1965")</f>
        <v>Fissidens celticus Paton, 1965</v>
      </c>
      <c r="O22278" s="7" t="str">
        <f>HYPERLINK("#Liste_rouge!A"&amp;_xlfn.XMATCH("LC",Liste_rouge!A:A,2,1),"LC")</f>
        <v>LC</v>
      </c>
      <c r="P22278" s="7" t="str">
        <f>HYPERLINK("#Liste_rouge!A"&amp;_xlfn.XMATCH("LC",Liste_rouge!A:A,2,1),"LC")</f>
        <v>LC</v>
      </c>
      <c r="V22278" s="7" t="str">
        <f>HYPERLINK("#Liste_rouge!A"&amp;_xlfn.XMATCH("DD",Liste_rouge!A:A,2,1),"DD")</f>
        <v>DD</v>
      </c>
      <c r="X22278" s="5" t="s">
        <v>374</v>
      </c>
      <c r="AB22278" s="4" t="s">
        <v>93</v>
      </c>
      <c r="AH22278" s="4" t="str">
        <f>HYPERLINK("#Statut_biogéographique!A"&amp;_xlfn.XMATCH("P",Statut_biogéographique!A:A,2,1),"P")</f>
        <v>P</v>
      </c>
      <c r="AP22278" s="4" t="s">
        <v>376</v>
      </c>
      <c r="AR22278" s="4" t="s">
        <v>377</v>
      </c>
    </row>
    <row r="22279" spans="1:44" ht="30">
      <c r="A22279" s="4" t="s">
        <v>24364</v>
      </c>
      <c r="B22279" s="4">
        <v>3901</v>
      </c>
      <c r="D22279" s="5">
        <v>3901</v>
      </c>
      <c r="E22279" s="6" t="str">
        <f>HYPERLINK("https://inpn.mnhn.fr/espece/cd_nom/3901","Fissidens crassipes Wilson ex Bruch &amp; Schimp., 1849")</f>
        <v>Fissidens crassipes Wilson ex Bruch &amp; Schimp., 1849</v>
      </c>
      <c r="P22279" s="7" t="str">
        <f>HYPERLINK("#Liste_rouge!A"&amp;_xlfn.XMATCH("LC",Liste_rouge!A:A,2,1),"LC")</f>
        <v>LC</v>
      </c>
      <c r="T22279" s="7" t="str">
        <f>HYPERLINK("#Liste_rouge!A"&amp;_xlfn.XMATCH("LC",Liste_rouge!A:A,2,1),"LC")</f>
        <v>LC</v>
      </c>
      <c r="V22279" s="7" t="str">
        <f>HYPERLINK("#Liste_rouge!A"&amp;_xlfn.XMATCH("LC",Liste_rouge!A:A,2,1),"LC")</f>
        <v>LC</v>
      </c>
      <c r="AH22279" s="4" t="str">
        <f>HYPERLINK("#Statut_biogéographique!A"&amp;_xlfn.XMATCH("P",Statut_biogéographique!A:A,2,1),"P")</f>
        <v>P</v>
      </c>
      <c r="AP22279" s="4" t="s">
        <v>376</v>
      </c>
      <c r="AR22279" s="4" t="s">
        <v>377</v>
      </c>
    </row>
    <row r="22280" spans="1:44">
      <c r="A22280" s="4" t="s">
        <v>24364</v>
      </c>
      <c r="B22280" s="4">
        <v>3905</v>
      </c>
      <c r="D22280" s="5" t="s">
        <v>29062</v>
      </c>
      <c r="E22280" s="6" t="str">
        <f>HYPERLINK("https://inpn.mnhn.fr/espece/cd_nom/3905","Fissidens crispus Mont., 1838")</f>
        <v>Fissidens crispus Mont., 1838</v>
      </c>
      <c r="P22280" s="7" t="str">
        <f>HYPERLINK("#Liste_rouge!A"&amp;_xlfn.XMATCH("LC",Liste_rouge!A:A,2,1),"LC")</f>
        <v>LC</v>
      </c>
      <c r="V22280" s="7" t="str">
        <f>HYPERLINK("#Liste_rouge!A"&amp;_xlfn.XMATCH("DD",Liste_rouge!A:A,2,1),"DD")</f>
        <v>DD</v>
      </c>
      <c r="X22280" s="5" t="s">
        <v>374</v>
      </c>
      <c r="AB22280" s="4" t="s">
        <v>93</v>
      </c>
      <c r="AH22280" s="4" t="str">
        <f>HYPERLINK("#Statut_biogéographique!A"&amp;_xlfn.XMATCH("P",Statut_biogéographique!A:A,2,1),"P")</f>
        <v>P</v>
      </c>
      <c r="AP22280" s="4" t="s">
        <v>376</v>
      </c>
      <c r="AR22280" s="4" t="s">
        <v>377</v>
      </c>
    </row>
    <row r="22281" spans="1:44">
      <c r="A22281" s="4" t="s">
        <v>24364</v>
      </c>
      <c r="B22281" s="4">
        <v>3908</v>
      </c>
      <c r="D22281" s="5" t="s">
        <v>29063</v>
      </c>
      <c r="E22281" s="6" t="str">
        <f>HYPERLINK("https://inpn.mnhn.fr/espece/cd_nom/3908","Fissidens dubius P.Beauv., 1805")</f>
        <v>Fissidens dubius P.Beauv., 1805</v>
      </c>
      <c r="P22281" s="7" t="str">
        <f>HYPERLINK("#Liste_rouge!A"&amp;_xlfn.XMATCH("LC",Liste_rouge!A:A,2,1),"LC")</f>
        <v>LC</v>
      </c>
      <c r="T22281" s="7" t="str">
        <f>HYPERLINK("#Liste_rouge!A"&amp;_xlfn.XMATCH("LC",Liste_rouge!A:A,2,1),"LC")</f>
        <v>LC</v>
      </c>
      <c r="V22281" s="7" t="str">
        <f>HYPERLINK("#Liste_rouge!A"&amp;_xlfn.XMATCH("LC",Liste_rouge!A:A,2,1),"LC")</f>
        <v>LC</v>
      </c>
      <c r="AH22281" s="4" t="str">
        <f>HYPERLINK("#Statut_biogéographique!A"&amp;_xlfn.XMATCH("P",Statut_biogéographique!A:A,2,1),"P")</f>
        <v>P</v>
      </c>
      <c r="AP22281" s="4" t="s">
        <v>376</v>
      </c>
      <c r="AR22281" s="4" t="s">
        <v>377</v>
      </c>
    </row>
    <row r="22282" spans="1:44">
      <c r="A22282" s="4" t="s">
        <v>24364</v>
      </c>
      <c r="B22282" s="4">
        <v>3910</v>
      </c>
      <c r="D22282" s="5" t="s">
        <v>29064</v>
      </c>
      <c r="E22282" s="6" t="str">
        <f>HYPERLINK("https://inpn.mnhn.fr/espece/cd_nom/3910","Aloina rigida (Hedw.) Limpr., 1888")</f>
        <v>Aloina rigida (Hedw.) Limpr., 1888</v>
      </c>
      <c r="P22282" s="7" t="str">
        <f>HYPERLINK("#Liste_rouge!A"&amp;_xlfn.XMATCH("LC",Liste_rouge!A:A,2,1),"LC")</f>
        <v>LC</v>
      </c>
      <c r="T22282" s="7" t="str">
        <f>HYPERLINK("#Liste_rouge!A"&amp;_xlfn.XMATCH("EN",Liste_rouge!A:A,2,1),"EN")</f>
        <v>EN</v>
      </c>
      <c r="V22282" s="7" t="str">
        <f>HYPERLINK("#Liste_rouge!A"&amp;_xlfn.XMATCH("VU",Liste_rouge!A:A,2,1),"VU")</f>
        <v>VU</v>
      </c>
      <c r="X22282" s="5" t="s">
        <v>374</v>
      </c>
      <c r="AB22282" s="4" t="s">
        <v>93</v>
      </c>
      <c r="AH22282" s="4" t="str">
        <f>HYPERLINK("#Statut_biogéographique!A"&amp;_xlfn.XMATCH("P",Statut_biogéographique!A:A,2,1),"P")</f>
        <v>P</v>
      </c>
      <c r="AP22282" s="4" t="s">
        <v>376</v>
      </c>
      <c r="AR22282" s="4" t="s">
        <v>377</v>
      </c>
    </row>
    <row r="22283" spans="1:44">
      <c r="A22283" s="4" t="s">
        <v>24364</v>
      </c>
      <c r="B22283" s="4">
        <v>3915</v>
      </c>
      <c r="D22283" s="5" t="s">
        <v>29065</v>
      </c>
      <c r="E22283" s="6" t="str">
        <f>HYPERLINK("https://inpn.mnhn.fr/espece/cd_nom/3915","Crossidium squamiferum (Viv.) Jur., 1882")</f>
        <v>Crossidium squamiferum (Viv.) Jur., 1882</v>
      </c>
      <c r="P22283" s="7" t="str">
        <f>HYPERLINK("#Liste_rouge!A"&amp;_xlfn.XMATCH("LC",Liste_rouge!A:A,2,1),"LC")</f>
        <v>LC</v>
      </c>
      <c r="T22283" s="7" t="str">
        <f>HYPERLINK("#Liste_rouge!A"&amp;_xlfn.XMATCH("VU",Liste_rouge!A:A,2,1),"VU")</f>
        <v>VU</v>
      </c>
      <c r="V22283" s="7" t="str">
        <f>HYPERLINK("#Liste_rouge!A"&amp;_xlfn.XMATCH("VU",Liste_rouge!A:A,2,1),"VU")</f>
        <v>VU</v>
      </c>
      <c r="X22283" s="5" t="s">
        <v>374</v>
      </c>
      <c r="AB22283" s="4" t="s">
        <v>93</v>
      </c>
      <c r="AH22283" s="4" t="str">
        <f>HYPERLINK("#Statut_biogéographique!A"&amp;_xlfn.XMATCH("P",Statut_biogéographique!A:A,2,1),"P")</f>
        <v>P</v>
      </c>
      <c r="AP22283" s="4" t="s">
        <v>376</v>
      </c>
      <c r="AR22283" s="4" t="s">
        <v>377</v>
      </c>
    </row>
    <row r="22284" spans="1:44" ht="45">
      <c r="A22284" s="4" t="s">
        <v>24364</v>
      </c>
      <c r="B22284" s="4">
        <v>433975</v>
      </c>
      <c r="D22284" s="5" t="s">
        <v>29066</v>
      </c>
      <c r="E22284" s="6" t="str">
        <f>HYPERLINK("https://inpn.mnhn.fr/espece/cd_nom/433975","Polytrichastrum alpinum (Hedw.) G.L.Sm., 1971")</f>
        <v>Polytrichastrum alpinum (Hedw.) G.L.Sm., 1971</v>
      </c>
      <c r="P22284" s="7" t="str">
        <f>HYPERLINK("#Liste_rouge!A"&amp;_xlfn.XMATCH("LC",Liste_rouge!A:A,2,1),"LC")</f>
        <v>LC</v>
      </c>
      <c r="T22284" s="7" t="str">
        <f>HYPERLINK("#Liste_rouge!A"&amp;_xlfn.XMATCH("RE",Liste_rouge!A:A,2,1),"RE")</f>
        <v>RE</v>
      </c>
      <c r="V22284" s="7" t="str">
        <f>HYPERLINK("#Liste_rouge!A"&amp;_xlfn.XMATCH("VU",Liste_rouge!A:A,2,1),"VU")</f>
        <v>VU</v>
      </c>
      <c r="X22284" s="5" t="s">
        <v>374</v>
      </c>
      <c r="AB22284" s="4" t="s">
        <v>93</v>
      </c>
      <c r="AH22284" s="4" t="str">
        <f>HYPERLINK("#Statut_biogéographique!A"&amp;_xlfn.XMATCH("P",Statut_biogéographique!A:A,2,1),"P")</f>
        <v>P</v>
      </c>
      <c r="AP22284" s="4" t="s">
        <v>376</v>
      </c>
      <c r="AR22284" s="4" t="s">
        <v>377</v>
      </c>
    </row>
    <row r="22285" spans="1:44">
      <c r="A22285" s="4" t="s">
        <v>24364</v>
      </c>
      <c r="B22285" s="4">
        <v>433994</v>
      </c>
      <c r="D22285" s="5" t="s">
        <v>29067</v>
      </c>
      <c r="E22285" s="6" t="str">
        <f>HYPERLINK("https://inpn.mnhn.fr/espece/cd_nom/433994","Encalypta longicolla Bruch")</f>
        <v>Encalypta longicolla Bruch</v>
      </c>
      <c r="P22285" s="7" t="str">
        <f>HYPERLINK("#Liste_rouge!A"&amp;_xlfn.XMATCH("LC",Liste_rouge!A:A,2,1),"LC")</f>
        <v>LC</v>
      </c>
      <c r="V22285" s="7" t="str">
        <f>HYPERLINK("#Liste_rouge!A"&amp;_xlfn.XMATCH("DD",Liste_rouge!A:A,2,1),"DD")</f>
        <v>DD</v>
      </c>
      <c r="X22285" s="5" t="s">
        <v>374</v>
      </c>
      <c r="AB22285" s="4" t="s">
        <v>93</v>
      </c>
      <c r="AH22285" s="4" t="str">
        <f>HYPERLINK("#Statut_biogéographique!A"&amp;_xlfn.XMATCH("P",Statut_biogéographique!A:A,2,1),"P")</f>
        <v>P</v>
      </c>
      <c r="AP22285" s="4" t="s">
        <v>376</v>
      </c>
      <c r="AR22285" s="4" t="s">
        <v>377</v>
      </c>
    </row>
    <row r="22286" spans="1:44" ht="30">
      <c r="A22286" s="4" t="s">
        <v>24364</v>
      </c>
      <c r="B22286" s="4">
        <v>433999</v>
      </c>
      <c r="D22286" s="5" t="s">
        <v>29068</v>
      </c>
      <c r="E22286" s="6" t="str">
        <f>HYPERLINK("https://inpn.mnhn.fr/espece/cd_nom/433999","Entosthodon muhlenbergii (Turner) Fife, 1985")</f>
        <v>Entosthodon muhlenbergii (Turner) Fife, 1985</v>
      </c>
      <c r="P22286" s="7" t="str">
        <f>HYPERLINK("#Liste_rouge!A"&amp;_xlfn.XMATCH("NT",Liste_rouge!A:A,2,1),"NT")</f>
        <v>NT</v>
      </c>
      <c r="T22286" s="7" t="str">
        <f>HYPERLINK("#Liste_rouge!A"&amp;_xlfn.XMATCH("CR",Liste_rouge!A:A,2,1),"CR")</f>
        <v>CR</v>
      </c>
      <c r="V22286" s="7" t="str">
        <f>HYPERLINK("#Liste_rouge!A"&amp;_xlfn.XMATCH("DD",Liste_rouge!A:A,2,1),"DD")</f>
        <v>DD</v>
      </c>
      <c r="X22286" s="5" t="s">
        <v>374</v>
      </c>
      <c r="AB22286" s="4" t="s">
        <v>93</v>
      </c>
      <c r="AH22286" s="4" t="str">
        <f>HYPERLINK("#Statut_biogéographique!A"&amp;_xlfn.XMATCH("P",Statut_biogéographique!A:A,2,1),"P")</f>
        <v>P</v>
      </c>
      <c r="AP22286" s="4" t="s">
        <v>376</v>
      </c>
      <c r="AR22286" s="4" t="s">
        <v>377</v>
      </c>
    </row>
    <row r="22287" spans="1:44">
      <c r="A22287" s="4" t="s">
        <v>24364</v>
      </c>
      <c r="B22287" s="4">
        <v>434000</v>
      </c>
      <c r="D22287" s="5" t="s">
        <v>29069</v>
      </c>
      <c r="E22287" s="6" t="str">
        <f>HYPERLINK("https://inpn.mnhn.fr/espece/cd_nom/434000","Entosthodon pulchellus (H.Philib.) Brugués")</f>
        <v>Entosthodon pulchellus (H.Philib.) Brugués</v>
      </c>
      <c r="P22287" s="7" t="str">
        <f>HYPERLINK("#Liste_rouge!A"&amp;_xlfn.XMATCH("LC",Liste_rouge!A:A,2,1),"LC")</f>
        <v>LC</v>
      </c>
      <c r="V22287" s="7" t="str">
        <f>HYPERLINK("#Liste_rouge!A"&amp;_xlfn.XMATCH("VU",Liste_rouge!A:A,2,1),"VU")</f>
        <v>VU</v>
      </c>
      <c r="X22287" s="5" t="s">
        <v>374</v>
      </c>
      <c r="AB22287" s="4" t="s">
        <v>93</v>
      </c>
      <c r="AH22287" s="4" t="str">
        <f>HYPERLINK("#Statut_biogéographique!A"&amp;_xlfn.XMATCH("P",Statut_biogéographique!A:A,2,1),"P")</f>
        <v>P</v>
      </c>
      <c r="AP22287" s="4" t="s">
        <v>376</v>
      </c>
      <c r="AR22287" s="4" t="s">
        <v>377</v>
      </c>
    </row>
    <row r="22288" spans="1:44">
      <c r="A22288" s="4" t="s">
        <v>24364</v>
      </c>
      <c r="B22288" s="4">
        <v>434014</v>
      </c>
      <c r="D22288" s="5">
        <v>434014</v>
      </c>
      <c r="E22288" s="6" t="str">
        <f>HYPERLINK("https://inpn.mnhn.fr/espece/cd_nom/434014","Grimmia dissimulata E.Maier, 2002")</f>
        <v>Grimmia dissimulata E.Maier, 2002</v>
      </c>
      <c r="P22288" s="7" t="str">
        <f>HYPERLINK("#Liste_rouge!A"&amp;_xlfn.XMATCH("LC",Liste_rouge!A:A,2,1),"LC")</f>
        <v>LC</v>
      </c>
      <c r="T22288" s="7" t="str">
        <f>HYPERLINK("#Liste_rouge!A"&amp;_xlfn.XMATCH("LC",Liste_rouge!A:A,2,1),"LC")</f>
        <v>LC</v>
      </c>
      <c r="V22288" s="7" t="str">
        <f>HYPERLINK("#Liste_rouge!A"&amp;_xlfn.XMATCH("DD",Liste_rouge!A:A,2,1),"DD")</f>
        <v>DD</v>
      </c>
      <c r="AH22288" s="4" t="str">
        <f>HYPERLINK("#Statut_biogéographique!A"&amp;_xlfn.XMATCH("P",Statut_biogéographique!A:A,2,1),"P")</f>
        <v>P</v>
      </c>
      <c r="AP22288" s="4" t="s">
        <v>376</v>
      </c>
      <c r="AR22288" s="4" t="s">
        <v>377</v>
      </c>
    </row>
    <row r="22289" spans="1:44">
      <c r="A22289" s="4" t="s">
        <v>24364</v>
      </c>
      <c r="B22289" s="4">
        <v>434016</v>
      </c>
      <c r="D22289" s="5" t="s">
        <v>29070</v>
      </c>
      <c r="E22289" s="6" t="str">
        <f>HYPERLINK("https://inpn.mnhn.fr/espece/cd_nom/434016","Grimmia lisae De Not., 1837")</f>
        <v>Grimmia lisae De Not., 1837</v>
      </c>
      <c r="P22289" s="7" t="str">
        <f>HYPERLINK("#Liste_rouge!A"&amp;_xlfn.XMATCH("LC",Liste_rouge!A:A,2,1),"LC")</f>
        <v>LC</v>
      </c>
      <c r="T22289" s="7" t="str">
        <f>HYPERLINK("#Liste_rouge!A"&amp;_xlfn.XMATCH("VU",Liste_rouge!A:A,2,1),"VU")</f>
        <v>VU</v>
      </c>
      <c r="X22289" s="5" t="s">
        <v>374</v>
      </c>
      <c r="AB22289" s="4" t="s">
        <v>93</v>
      </c>
      <c r="AH22289" s="4" t="str">
        <f>HYPERLINK("#Statut_biogéographique!A"&amp;_xlfn.XMATCH("P",Statut_biogéographique!A:A,2,1),"P")</f>
        <v>P</v>
      </c>
      <c r="AP22289" s="4" t="s">
        <v>376</v>
      </c>
      <c r="AR22289" s="4" t="s">
        <v>377</v>
      </c>
    </row>
    <row r="22290" spans="1:44">
      <c r="A22290" s="4" t="s">
        <v>24364</v>
      </c>
      <c r="B22290" s="4">
        <v>434017</v>
      </c>
      <c r="D22290" s="5" t="s">
        <v>29071</v>
      </c>
      <c r="E22290" s="6" t="str">
        <f>HYPERLINK("https://inpn.mnhn.fr/espece/cd_nom/434017","Grimmia longirostris Hook., 1818")</f>
        <v>Grimmia longirostris Hook., 1818</v>
      </c>
      <c r="P22290" s="7" t="str">
        <f>HYPERLINK("#Liste_rouge!A"&amp;_xlfn.XMATCH("LC",Liste_rouge!A:A,2,1),"LC")</f>
        <v>LC</v>
      </c>
      <c r="T22290" s="7" t="str">
        <f>HYPERLINK("#Liste_rouge!A"&amp;_xlfn.XMATCH("CR",Liste_rouge!A:A,2,1),"CR")</f>
        <v>CR</v>
      </c>
      <c r="X22290" s="5" t="s">
        <v>374</v>
      </c>
      <c r="AB22290" s="4" t="s">
        <v>93</v>
      </c>
      <c r="AH22290" s="4" t="str">
        <f>HYPERLINK("#Statut_biogéographique!A"&amp;_xlfn.XMATCH("P",Statut_biogéographique!A:A,2,1),"P")</f>
        <v>P</v>
      </c>
      <c r="AP22290" s="4" t="s">
        <v>376</v>
      </c>
      <c r="AR22290" s="4" t="s">
        <v>377</v>
      </c>
    </row>
    <row r="22291" spans="1:44" ht="30">
      <c r="A22291" s="4" t="s">
        <v>24364</v>
      </c>
      <c r="B22291" s="4">
        <v>434020</v>
      </c>
      <c r="D22291" s="5" t="s">
        <v>29072</v>
      </c>
      <c r="E22291" s="6" t="str">
        <f>HYPERLINK("https://inpn.mnhn.fr/espece/cd_nom/434020","Grimmia ramondii (Lam. &amp; DC.) Margad., 1972")</f>
        <v>Grimmia ramondii (Lam. &amp; DC.) Margad., 1972</v>
      </c>
      <c r="P22291" s="7" t="str">
        <f>HYPERLINK("#Liste_rouge!A"&amp;_xlfn.XMATCH("LC",Liste_rouge!A:A,2,1),"LC")</f>
        <v>LC</v>
      </c>
      <c r="T22291" s="7" t="str">
        <f>HYPERLINK("#Liste_rouge!A"&amp;_xlfn.XMATCH("CR",Liste_rouge!A:A,2,1),"CR")</f>
        <v>CR</v>
      </c>
      <c r="V22291" s="7" t="str">
        <f>HYPERLINK("#Liste_rouge!A"&amp;_xlfn.XMATCH("DD",Liste_rouge!A:A,2,1),"DD")</f>
        <v>DD</v>
      </c>
      <c r="X22291" s="5" t="s">
        <v>374</v>
      </c>
      <c r="AB22291" s="4" t="s">
        <v>93</v>
      </c>
      <c r="AH22291" s="4" t="str">
        <f>HYPERLINK("#Statut_biogéographique!A"&amp;_xlfn.XMATCH("P",Statut_biogéographique!A:A,2,1),"P")</f>
        <v>P</v>
      </c>
      <c r="AP22291" s="4" t="s">
        <v>376</v>
      </c>
      <c r="AR22291" s="4" t="s">
        <v>377</v>
      </c>
    </row>
    <row r="22292" spans="1:44" ht="30">
      <c r="A22292" s="4" t="s">
        <v>24364</v>
      </c>
      <c r="B22292" s="4">
        <v>434028</v>
      </c>
      <c r="D22292" s="5" t="s">
        <v>29073</v>
      </c>
      <c r="E22292" s="6" t="str">
        <f>HYPERLINK("https://inpn.mnhn.fr/espece/cd_nom/434028","Racomitrium affine (F.Weber &amp; D.Mohr) Lindb.")</f>
        <v>Racomitrium affine (F.Weber &amp; D.Mohr) Lindb.</v>
      </c>
      <c r="P22292" s="7" t="str">
        <f>HYPERLINK("#Liste_rouge!A"&amp;_xlfn.XMATCH("LC",Liste_rouge!A:A,2,1),"LC")</f>
        <v>LC</v>
      </c>
      <c r="T22292" s="7" t="str">
        <f>HYPERLINK("#Liste_rouge!A"&amp;_xlfn.XMATCH("LC",Liste_rouge!A:A,2,1),"LC")</f>
        <v>LC</v>
      </c>
      <c r="V22292" s="7" t="str">
        <f>HYPERLINK("#Liste_rouge!A"&amp;_xlfn.XMATCH("VU",Liste_rouge!A:A,2,1),"VU")</f>
        <v>VU</v>
      </c>
      <c r="AB22292" s="4" t="s">
        <v>29074</v>
      </c>
      <c r="AH22292" s="4" t="str">
        <f>HYPERLINK("#Statut_biogéographique!A"&amp;_xlfn.XMATCH("P",Statut_biogéographique!A:A,2,1),"P")</f>
        <v>P</v>
      </c>
      <c r="AP22292" s="4" t="s">
        <v>376</v>
      </c>
      <c r="AR22292" s="4" t="s">
        <v>377</v>
      </c>
    </row>
    <row r="22293" spans="1:44">
      <c r="A22293" s="4" t="s">
        <v>24364</v>
      </c>
      <c r="B22293" s="4">
        <v>434036</v>
      </c>
      <c r="D22293" s="5" t="s">
        <v>29075</v>
      </c>
      <c r="E22293" s="6" t="str">
        <f>HYPERLINK("https://inpn.mnhn.fr/espece/cd_nom/434036","Schistidium brunnescens Limpr., 1889")</f>
        <v>Schistidium brunnescens Limpr., 1889</v>
      </c>
      <c r="P22293" s="7" t="str">
        <f>HYPERLINK("#Liste_rouge!A"&amp;_xlfn.XMATCH("LC",Liste_rouge!A:A,2,1),"LC")</f>
        <v>LC</v>
      </c>
      <c r="T22293" s="7" t="str">
        <f>HYPERLINK("#Liste_rouge!A"&amp;_xlfn.XMATCH("DD",Liste_rouge!A:A,2,1),"DD")</f>
        <v>DD</v>
      </c>
      <c r="V22293" s="7" t="str">
        <f>HYPERLINK("#Liste_rouge!A"&amp;_xlfn.XMATCH("DD",Liste_rouge!A:A,2,1),"DD")</f>
        <v>DD</v>
      </c>
      <c r="AH22293" s="4" t="str">
        <f>HYPERLINK("#Statut_biogéographique!A"&amp;_xlfn.XMATCH("P",Statut_biogéographique!A:A,2,1),"P")</f>
        <v>P</v>
      </c>
      <c r="AP22293" s="4" t="s">
        <v>376</v>
      </c>
      <c r="AR22293" s="4" t="s">
        <v>377</v>
      </c>
    </row>
    <row r="22294" spans="1:44">
      <c r="A22294" s="4" t="s">
        <v>24364</v>
      </c>
      <c r="B22294" s="4">
        <v>434039</v>
      </c>
      <c r="D22294" s="5">
        <v>434039</v>
      </c>
      <c r="E22294" s="6" t="str">
        <f>HYPERLINK("https://inpn.mnhn.fr/espece/cd_nom/434039","Schistidium crassipilum H.H.Blom, 1996")</f>
        <v>Schistidium crassipilum H.H.Blom, 1996</v>
      </c>
      <c r="P22294" s="7" t="str">
        <f>HYPERLINK("#Liste_rouge!A"&amp;_xlfn.XMATCH("LC",Liste_rouge!A:A,2,1),"LC")</f>
        <v>LC</v>
      </c>
      <c r="T22294" s="7" t="str">
        <f>HYPERLINK("#Liste_rouge!A"&amp;_xlfn.XMATCH("LC",Liste_rouge!A:A,2,1),"LC")</f>
        <v>LC</v>
      </c>
      <c r="V22294" s="7" t="str">
        <f>HYPERLINK("#Liste_rouge!A"&amp;_xlfn.XMATCH("LC",Liste_rouge!A:A,2,1),"LC")</f>
        <v>LC</v>
      </c>
      <c r="AH22294" s="4" t="str">
        <f>HYPERLINK("#Statut_biogéographique!A"&amp;_xlfn.XMATCH("P",Statut_biogéographique!A:A,2,1),"P")</f>
        <v>P</v>
      </c>
      <c r="AP22294" s="4" t="s">
        <v>376</v>
      </c>
      <c r="AR22294" s="4" t="s">
        <v>377</v>
      </c>
    </row>
    <row r="22295" spans="1:44">
      <c r="A22295" s="4" t="s">
        <v>24364</v>
      </c>
      <c r="B22295" s="4">
        <v>434042</v>
      </c>
      <c r="D22295" s="5">
        <v>434042</v>
      </c>
      <c r="E22295" s="6" t="str">
        <f>HYPERLINK("https://inpn.mnhn.fr/espece/cd_nom/434042","Schistidium elegantulum H.H.Blom, 1996")</f>
        <v>Schistidium elegantulum H.H.Blom, 1996</v>
      </c>
      <c r="P22295" s="7" t="str">
        <f>HYPERLINK("#Liste_rouge!A"&amp;_xlfn.XMATCH("LC",Liste_rouge!A:A,2,1),"LC")</f>
        <v>LC</v>
      </c>
      <c r="T22295" s="7" t="str">
        <f>HYPERLINK("#Liste_rouge!A"&amp;_xlfn.XMATCH("LC",Liste_rouge!A:A,2,1),"LC")</f>
        <v>LC</v>
      </c>
      <c r="V22295" s="7" t="str">
        <f>HYPERLINK("#Liste_rouge!A"&amp;_xlfn.XMATCH("LC",Liste_rouge!A:A,2,1),"LC")</f>
        <v>LC</v>
      </c>
      <c r="AH22295" s="4" t="str">
        <f>HYPERLINK("#Statut_biogéographique!A"&amp;_xlfn.XMATCH("P",Statut_biogéographique!A:A,2,1),"P")</f>
        <v>P</v>
      </c>
      <c r="AP22295" s="4" t="s">
        <v>376</v>
      </c>
      <c r="AR22295" s="4" t="s">
        <v>377</v>
      </c>
    </row>
    <row r="22296" spans="1:44" ht="30">
      <c r="A22296" s="4" t="s">
        <v>24364</v>
      </c>
      <c r="B22296" s="4">
        <v>434048</v>
      </c>
      <c r="D22296" s="5" t="s">
        <v>29076</v>
      </c>
      <c r="E22296" s="6" t="str">
        <f>HYPERLINK("https://inpn.mnhn.fr/espece/cd_nom/434048","Schistidium helveticum (Schkuhr) Deguchi, 1979")</f>
        <v>Schistidium helveticum (Schkuhr) Deguchi, 1979</v>
      </c>
      <c r="P22296" s="7" t="str">
        <f>HYPERLINK("#Liste_rouge!A"&amp;_xlfn.XMATCH("LC",Liste_rouge!A:A,2,1),"LC")</f>
        <v>LC</v>
      </c>
      <c r="T22296" s="7" t="str">
        <f>HYPERLINK("#Liste_rouge!A"&amp;_xlfn.XMATCH("DD",Liste_rouge!A:A,2,1),"DD")</f>
        <v>DD</v>
      </c>
      <c r="X22296" s="5" t="s">
        <v>374</v>
      </c>
      <c r="AB22296" s="4" t="s">
        <v>93</v>
      </c>
      <c r="AH22296" s="4" t="str">
        <f>HYPERLINK("#Statut_biogéographique!A"&amp;_xlfn.XMATCH("P",Statut_biogéographique!A:A,2,1),"P")</f>
        <v>P</v>
      </c>
      <c r="AP22296" s="4" t="s">
        <v>376</v>
      </c>
      <c r="AR22296" s="4" t="s">
        <v>377</v>
      </c>
    </row>
    <row r="22297" spans="1:44">
      <c r="A22297" s="4" t="s">
        <v>24364</v>
      </c>
      <c r="B22297" s="4">
        <v>434052</v>
      </c>
      <c r="D22297" s="5" t="s">
        <v>29077</v>
      </c>
      <c r="E22297" s="6" t="str">
        <f>HYPERLINK("https://inpn.mnhn.fr/espece/cd_nom/434052","Schistidium papillosum Culm., 1918")</f>
        <v>Schistidium papillosum Culm., 1918</v>
      </c>
      <c r="P22297" s="7" t="str">
        <f>HYPERLINK("#Liste_rouge!A"&amp;_xlfn.XMATCH("LC",Liste_rouge!A:A,2,1),"LC")</f>
        <v>LC</v>
      </c>
      <c r="T22297" s="7" t="str">
        <f>HYPERLINK("#Liste_rouge!A"&amp;_xlfn.XMATCH("DD",Liste_rouge!A:A,2,1),"DD")</f>
        <v>DD</v>
      </c>
      <c r="V22297" s="7" t="str">
        <f>HYPERLINK("#Liste_rouge!A"&amp;_xlfn.XMATCH("DD",Liste_rouge!A:A,2,1),"DD")</f>
        <v>DD</v>
      </c>
      <c r="AH22297" s="4" t="str">
        <f>HYPERLINK("#Statut_biogéographique!A"&amp;_xlfn.XMATCH("P",Statut_biogéographique!A:A,2,1),"P")</f>
        <v>P</v>
      </c>
      <c r="AP22297" s="4" t="s">
        <v>376</v>
      </c>
      <c r="AR22297" s="4" t="s">
        <v>377</v>
      </c>
    </row>
    <row r="22298" spans="1:44">
      <c r="A22298" s="4" t="s">
        <v>24364</v>
      </c>
      <c r="B22298" s="4">
        <v>434053</v>
      </c>
      <c r="D22298" s="5" t="s">
        <v>29078</v>
      </c>
      <c r="E22298" s="6" t="str">
        <f>HYPERLINK("https://inpn.mnhn.fr/espece/cd_nom/434053","Schistidium platyphyllum (Mitt.) H.Perss.")</f>
        <v>Schistidium platyphyllum (Mitt.) H.Perss.</v>
      </c>
      <c r="P22298" s="7" t="str">
        <f>HYPERLINK("#Liste_rouge!A"&amp;_xlfn.XMATCH("LC",Liste_rouge!A:A,2,1),"LC")</f>
        <v>LC</v>
      </c>
      <c r="V22298" s="7" t="str">
        <f>HYPERLINK("#Liste_rouge!A"&amp;_xlfn.XMATCH("CR",Liste_rouge!A:A,2,1),"CR")</f>
        <v>CR</v>
      </c>
      <c r="X22298" s="5" t="s">
        <v>374</v>
      </c>
      <c r="AB22298" s="4" t="s">
        <v>93</v>
      </c>
      <c r="AH22298" s="4" t="str">
        <f>HYPERLINK("#Statut_biogéographique!A"&amp;_xlfn.XMATCH("P",Statut_biogéographique!A:A,2,1),"P")</f>
        <v>P</v>
      </c>
      <c r="AP22298" s="4" t="s">
        <v>376</v>
      </c>
      <c r="AR22298" s="4" t="s">
        <v>377</v>
      </c>
    </row>
    <row r="22299" spans="1:44" ht="30">
      <c r="A22299" s="4" t="s">
        <v>24364</v>
      </c>
      <c r="B22299" s="4">
        <v>434058</v>
      </c>
      <c r="D22299" s="5" t="s">
        <v>29079</v>
      </c>
      <c r="E22299" s="6" t="str">
        <f>HYPERLINK("https://inpn.mnhn.fr/espece/cd_nom/434058","Schistidium robustum (Nees &amp; Hornsch.) H.H.Blom, 1996")</f>
        <v>Schistidium robustum (Nees &amp; Hornsch.) H.H.Blom, 1996</v>
      </c>
      <c r="P22299" s="7" t="str">
        <f>HYPERLINK("#Liste_rouge!A"&amp;_xlfn.XMATCH("LC",Liste_rouge!A:A,2,1),"LC")</f>
        <v>LC</v>
      </c>
      <c r="V22299" s="7" t="str">
        <f>HYPERLINK("#Liste_rouge!A"&amp;_xlfn.XMATCH("LC",Liste_rouge!A:A,2,1),"LC")</f>
        <v>LC</v>
      </c>
      <c r="AH22299" s="4" t="str">
        <f>HYPERLINK("#Statut_biogéographique!A"&amp;_xlfn.XMATCH("P",Statut_biogéographique!A:A,2,1),"P")</f>
        <v>P</v>
      </c>
      <c r="AP22299" s="4" t="s">
        <v>376</v>
      </c>
      <c r="AR22299" s="4" t="s">
        <v>377</v>
      </c>
    </row>
    <row r="22300" spans="1:44" ht="30">
      <c r="A22300" s="4" t="s">
        <v>24364</v>
      </c>
      <c r="B22300" s="4">
        <v>434074</v>
      </c>
      <c r="D22300" s="5" t="s">
        <v>29080</v>
      </c>
      <c r="E22300" s="6" t="str">
        <f>HYPERLINK("https://inpn.mnhn.fr/espece/cd_nom/434074","Seligeria carniolica (Breidl. &amp; Beck) Nyholm, 1969")</f>
        <v>Seligeria carniolica (Breidl. &amp; Beck) Nyholm, 1969</v>
      </c>
      <c r="O22300" s="7" t="str">
        <f>HYPERLINK("#Liste_rouge!A"&amp;_xlfn.XMATCH("EN",Liste_rouge!A:A,2,1),"EN")</f>
        <v>EN</v>
      </c>
      <c r="P22300" s="7" t="str">
        <f>HYPERLINK("#Liste_rouge!A"&amp;_xlfn.XMATCH("EN",Liste_rouge!A:A,2,1),"EN")</f>
        <v>EN</v>
      </c>
      <c r="V22300" s="7" t="str">
        <f>HYPERLINK("#Liste_rouge!A"&amp;_xlfn.XMATCH("VU",Liste_rouge!A:A,2,1),"VU")</f>
        <v>VU</v>
      </c>
      <c r="X22300" s="5" t="s">
        <v>374</v>
      </c>
      <c r="AB22300" s="4" t="s">
        <v>93</v>
      </c>
      <c r="AH22300" s="4" t="str">
        <f>HYPERLINK("#Statut_biogéographique!A"&amp;_xlfn.XMATCH("P",Statut_biogéographique!A:A,2,1),"P")</f>
        <v>P</v>
      </c>
      <c r="AP22300" s="4" t="s">
        <v>376</v>
      </c>
      <c r="AR22300" s="4" t="s">
        <v>377</v>
      </c>
    </row>
    <row r="22301" spans="1:44">
      <c r="A22301" s="4" t="s">
        <v>24364</v>
      </c>
      <c r="B22301" s="4">
        <v>434079</v>
      </c>
      <c r="D22301" s="5" t="s">
        <v>29081</v>
      </c>
      <c r="E22301" s="6" t="str">
        <f>HYPERLINK("https://inpn.mnhn.fr/espece/cd_nom/434079","Fissidens fontanus (Bach.Pyl.) Steud., 1824")</f>
        <v>Fissidens fontanus (Bach.Pyl.) Steud., 1824</v>
      </c>
      <c r="P22301" s="7" t="str">
        <f>HYPERLINK("#Liste_rouge!A"&amp;_xlfn.XMATCH("LC",Liste_rouge!A:A,2,1),"LC")</f>
        <v>LC</v>
      </c>
      <c r="T22301" s="7" t="str">
        <f>HYPERLINK("#Liste_rouge!A"&amp;_xlfn.XMATCH("LC",Liste_rouge!A:A,2,1),"LC")</f>
        <v>LC</v>
      </c>
      <c r="V22301" s="7" t="str">
        <f>HYPERLINK("#Liste_rouge!A"&amp;_xlfn.XMATCH("LC",Liste_rouge!A:A,2,1),"LC")</f>
        <v>LC</v>
      </c>
      <c r="AH22301" s="4" t="str">
        <f>HYPERLINK("#Statut_biogéographique!A"&amp;_xlfn.XMATCH("P",Statut_biogéographique!A:A,2,1),"P")</f>
        <v>P</v>
      </c>
      <c r="AP22301" s="4" t="s">
        <v>376</v>
      </c>
      <c r="AR22301" s="4" t="s">
        <v>377</v>
      </c>
    </row>
    <row r="22302" spans="1:44">
      <c r="A22302" s="4" t="s">
        <v>24364</v>
      </c>
      <c r="B22302" s="4">
        <v>434083</v>
      </c>
      <c r="D22302" s="5" t="s">
        <v>29082</v>
      </c>
      <c r="E22302" s="6" t="str">
        <f>HYPERLINK("https://inpn.mnhn.fr/espece/cd_nom/434083","Fissidens gymnandrus Buse, 1869")</f>
        <v>Fissidens gymnandrus Buse, 1869</v>
      </c>
      <c r="P22302" s="7" t="str">
        <f>HYPERLINK("#Liste_rouge!A"&amp;_xlfn.XMATCH("LC",Liste_rouge!A:A,2,1),"LC")</f>
        <v>LC</v>
      </c>
      <c r="V22302" s="7" t="str">
        <f>HYPERLINK("#Liste_rouge!A"&amp;_xlfn.XMATCH("NE",Liste_rouge!A:A,2,1),"NE")</f>
        <v>NE</v>
      </c>
      <c r="AH22302" s="4" t="str">
        <f>HYPERLINK("#Statut_biogéographique!A"&amp;_xlfn.XMATCH("P",Statut_biogéographique!A:A,2,1),"P")</f>
        <v>P</v>
      </c>
      <c r="AP22302" s="4" t="s">
        <v>376</v>
      </c>
      <c r="AR22302" s="4" t="s">
        <v>377</v>
      </c>
    </row>
    <row r="22303" spans="1:44" ht="30">
      <c r="A22303" s="4" t="s">
        <v>24364</v>
      </c>
      <c r="B22303" s="4">
        <v>434090</v>
      </c>
      <c r="D22303" s="5" t="s">
        <v>29083</v>
      </c>
      <c r="E22303" s="6" t="str">
        <f>HYPERLINK("https://inpn.mnhn.fr/espece/cd_nom/434090","Cleistocarpidium palustre (Bruch &amp; Schimp.) Ochyra &amp; Bedn.-Ochyra, 1996")</f>
        <v>Cleistocarpidium palustre (Bruch &amp; Schimp.) Ochyra &amp; Bedn.-Ochyra, 1996</v>
      </c>
      <c r="P22303" s="7" t="str">
        <f>HYPERLINK("#Liste_rouge!A"&amp;_xlfn.XMATCH("VU",Liste_rouge!A:A,2,1),"VU")</f>
        <v>VU</v>
      </c>
      <c r="T22303" s="7" t="str">
        <f>HYPERLINK("#Liste_rouge!A"&amp;_xlfn.XMATCH("EN",Liste_rouge!A:A,2,1),"EN")</f>
        <v>EN</v>
      </c>
      <c r="V22303" s="7" t="str">
        <f>HYPERLINK("#Liste_rouge!A"&amp;_xlfn.XMATCH("LC",Liste_rouge!A:A,2,1),"LC")</f>
        <v>LC</v>
      </c>
      <c r="X22303" s="5" t="s">
        <v>374</v>
      </c>
      <c r="AB22303" s="4" t="s">
        <v>93</v>
      </c>
      <c r="AH22303" s="4" t="str">
        <f>HYPERLINK("#Statut_biogéographique!A"&amp;_xlfn.XMATCH("P",Statut_biogéographique!A:A,2,1),"P")</f>
        <v>P</v>
      </c>
      <c r="AP22303" s="4" t="s">
        <v>376</v>
      </c>
      <c r="AR22303" s="4" t="s">
        <v>377</v>
      </c>
    </row>
    <row r="22304" spans="1:44">
      <c r="A22304" s="4" t="s">
        <v>24364</v>
      </c>
      <c r="B22304" s="4">
        <v>434128</v>
      </c>
      <c r="D22304" s="5" t="s">
        <v>29084</v>
      </c>
      <c r="E22304" s="6" t="str">
        <f>HYPERLINK("https://inpn.mnhn.fr/espece/cd_nom/434128","Dicranum spadiceum J.E.Zetterst., 1865")</f>
        <v>Dicranum spadiceum J.E.Zetterst., 1865</v>
      </c>
      <c r="P22304" s="7" t="str">
        <f>HYPERLINK("#Liste_rouge!A"&amp;_xlfn.XMATCH("LC",Liste_rouge!A:A,2,1),"LC")</f>
        <v>LC</v>
      </c>
      <c r="V22304" s="7" t="str">
        <f>HYPERLINK("#Liste_rouge!A"&amp;_xlfn.XMATCH("DD",Liste_rouge!A:A,2,1),"DD")</f>
        <v>DD</v>
      </c>
      <c r="X22304" s="5" t="s">
        <v>374</v>
      </c>
      <c r="AB22304" s="4" t="s">
        <v>93</v>
      </c>
      <c r="AH22304" s="4" t="str">
        <f>HYPERLINK("#Statut_biogéographique!A"&amp;_xlfn.XMATCH("P",Statut_biogéographique!A:A,2,1),"P")</f>
        <v>P</v>
      </c>
      <c r="AP22304" s="4" t="s">
        <v>376</v>
      </c>
      <c r="AR22304" s="4" t="s">
        <v>377</v>
      </c>
    </row>
    <row r="22305" spans="1:44">
      <c r="A22305" s="4" t="s">
        <v>24364</v>
      </c>
      <c r="B22305" s="4">
        <v>434193</v>
      </c>
      <c r="D22305" s="5" t="s">
        <v>29085</v>
      </c>
      <c r="E22305" s="6" t="str">
        <f>HYPERLINK("https://inpn.mnhn.fr/espece/cd_nom/434193","Didymodon giganteus (Funck) Jur., 1882")</f>
        <v>Didymodon giganteus (Funck) Jur., 1882</v>
      </c>
      <c r="M22305" s="4" t="str">
        <f>HYPERLINK("#Réglementation!A"&amp;_xlfn.XMATCH("RV43",Réglementation!A:A,2,1),"RV43")</f>
        <v>RV43</v>
      </c>
      <c r="P22305" s="7" t="str">
        <f>HYPERLINK("#Liste_rouge!A"&amp;_xlfn.XMATCH("LC",Liste_rouge!A:A,2,1),"LC")</f>
        <v>LC</v>
      </c>
      <c r="V22305" s="7" t="str">
        <f>HYPERLINK("#Liste_rouge!A"&amp;_xlfn.XMATCH("CR",Liste_rouge!A:A,2,1),"CR")</f>
        <v>CR</v>
      </c>
      <c r="X22305" s="5" t="s">
        <v>374</v>
      </c>
      <c r="AB22305" s="4" t="s">
        <v>93</v>
      </c>
      <c r="AH22305" s="4" t="str">
        <f>HYPERLINK("#Statut_biogéographique!A"&amp;_xlfn.XMATCH("P",Statut_biogéographique!A:A,2,1),"P")</f>
        <v>P</v>
      </c>
      <c r="AP22305" s="4" t="s">
        <v>376</v>
      </c>
      <c r="AR22305" s="4" t="s">
        <v>377</v>
      </c>
    </row>
    <row r="22306" spans="1:44">
      <c r="A22306" s="4" t="s">
        <v>24364</v>
      </c>
      <c r="B22306" s="4">
        <v>434198</v>
      </c>
      <c r="D22306" s="5" t="s">
        <v>29086</v>
      </c>
      <c r="E22306" s="6" t="str">
        <f>HYPERLINK("https://inpn.mnhn.fr/espece/cd_nom/434198","Didymodon nicholsonii Culm., 1907")</f>
        <v>Didymodon nicholsonii Culm., 1907</v>
      </c>
      <c r="P22306" s="7" t="str">
        <f>HYPERLINK("#Liste_rouge!A"&amp;_xlfn.XMATCH("LC",Liste_rouge!A:A,2,1),"LC")</f>
        <v>LC</v>
      </c>
      <c r="T22306" s="7" t="str">
        <f>HYPERLINK("#Liste_rouge!A"&amp;_xlfn.XMATCH("VU",Liste_rouge!A:A,2,1),"VU")</f>
        <v>VU</v>
      </c>
      <c r="X22306" s="5" t="s">
        <v>374</v>
      </c>
      <c r="AB22306" s="4" t="s">
        <v>93</v>
      </c>
      <c r="AH22306" s="4" t="str">
        <f>HYPERLINK("#Statut_biogéographique!A"&amp;_xlfn.XMATCH("P",Statut_biogéographique!A:A,2,1),"P")</f>
        <v>P</v>
      </c>
      <c r="AP22306" s="4" t="s">
        <v>376</v>
      </c>
      <c r="AR22306" s="4" t="s">
        <v>377</v>
      </c>
    </row>
    <row r="22307" spans="1:44">
      <c r="A22307" s="4" t="s">
        <v>24364</v>
      </c>
      <c r="B22307" s="4">
        <v>434203</v>
      </c>
      <c r="D22307" s="5" t="s">
        <v>29087</v>
      </c>
      <c r="E22307" s="6" t="str">
        <f>HYPERLINK("https://inpn.mnhn.fr/espece/cd_nom/434203","Hennediella heimii (Hedw.) R.H.Zander, 1993")</f>
        <v>Hennediella heimii (Hedw.) R.H.Zander, 1993</v>
      </c>
      <c r="P22307" s="7" t="str">
        <f>HYPERLINK("#Liste_rouge!A"&amp;_xlfn.XMATCH("LC",Liste_rouge!A:A,2,1),"LC")</f>
        <v>LC</v>
      </c>
      <c r="AE22307" s="4" t="str">
        <f>HYPERLINK("#SCAP!A"&amp;_xlfn.XMATCH("1+",SCAP!A:A,2,1),"1+")</f>
        <v>1+</v>
      </c>
      <c r="AH22307" s="4" t="str">
        <f>HYPERLINK("#Statut_biogéographique!A"&amp;_xlfn.XMATCH("P",Statut_biogéographique!A:A,2,1),"P")</f>
        <v>P</v>
      </c>
      <c r="AP22307" s="4" t="s">
        <v>376</v>
      </c>
      <c r="AR22307" s="4" t="s">
        <v>377</v>
      </c>
    </row>
    <row r="22308" spans="1:44" ht="30">
      <c r="A22308" s="4" t="s">
        <v>24364</v>
      </c>
      <c r="B22308" s="4">
        <v>434208</v>
      </c>
      <c r="D22308" s="5" t="s">
        <v>29088</v>
      </c>
      <c r="E22308" s="6" t="str">
        <f>HYPERLINK("https://inpn.mnhn.fr/espece/cd_nom/434208","Microbryum curvicollum (Hedw.) R.H.Zander, 1993")</f>
        <v>Microbryum curvicollum (Hedw.) R.H.Zander, 1993</v>
      </c>
      <c r="P22308" s="7" t="str">
        <f>HYPERLINK("#Liste_rouge!A"&amp;_xlfn.XMATCH("LC",Liste_rouge!A:A,2,1),"LC")</f>
        <v>LC</v>
      </c>
      <c r="T22308" s="7" t="str">
        <f>HYPERLINK("#Liste_rouge!A"&amp;_xlfn.XMATCH("LC",Liste_rouge!A:A,2,1),"LC")</f>
        <v>LC</v>
      </c>
      <c r="AH22308" s="4" t="str">
        <f>HYPERLINK("#Statut_biogéographique!A"&amp;_xlfn.XMATCH("P",Statut_biogéographique!A:A,2,1),"P")</f>
        <v>P</v>
      </c>
      <c r="AP22308" s="4" t="s">
        <v>376</v>
      </c>
      <c r="AR22308" s="4" t="s">
        <v>377</v>
      </c>
    </row>
    <row r="22309" spans="1:44" ht="30">
      <c r="A22309" s="4" t="s">
        <v>24364</v>
      </c>
      <c r="B22309" s="4">
        <v>434209</v>
      </c>
      <c r="D22309" s="5" t="s">
        <v>29089</v>
      </c>
      <c r="E22309" s="6" t="str">
        <f>HYPERLINK("https://inpn.mnhn.fr/espece/cd_nom/434209","Microbryum davallianum (Sm.) R.H.Zander, 1993")</f>
        <v>Microbryum davallianum (Sm.) R.H.Zander, 1993</v>
      </c>
      <c r="P22309" s="7" t="str">
        <f>HYPERLINK("#Liste_rouge!A"&amp;_xlfn.XMATCH("LC",Liste_rouge!A:A,2,1),"LC")</f>
        <v>LC</v>
      </c>
      <c r="T22309" s="7" t="str">
        <f>HYPERLINK("#Liste_rouge!A"&amp;_xlfn.XMATCH("LC",Liste_rouge!A:A,2,1),"LC")</f>
        <v>LC</v>
      </c>
      <c r="V22309" s="7" t="str">
        <f>HYPERLINK("#Liste_rouge!A"&amp;_xlfn.XMATCH("DD",Liste_rouge!A:A,2,1),"DD")</f>
        <v>DD</v>
      </c>
      <c r="AH22309" s="4" t="str">
        <f>HYPERLINK("#Statut_biogéographique!A"&amp;_xlfn.XMATCH("P",Statut_biogéographique!A:A,2,1),"P")</f>
        <v>P</v>
      </c>
      <c r="AP22309" s="4" t="s">
        <v>376</v>
      </c>
      <c r="AR22309" s="4" t="s">
        <v>377</v>
      </c>
    </row>
    <row r="22310" spans="1:44" ht="30">
      <c r="A22310" s="4" t="s">
        <v>24364</v>
      </c>
      <c r="B22310" s="4">
        <v>434210</v>
      </c>
      <c r="D22310" s="5" t="s">
        <v>29090</v>
      </c>
      <c r="E22310" s="6" t="str">
        <f>HYPERLINK("https://inpn.mnhn.fr/espece/cd_nom/434210","Microbryum floerkeanum (F.Weber &amp; D.Mohr) Schimp., 1860")</f>
        <v>Microbryum floerkeanum (F.Weber &amp; D.Mohr) Schimp., 1860</v>
      </c>
      <c r="P22310" s="7" t="str">
        <f>HYPERLINK("#Liste_rouge!A"&amp;_xlfn.XMATCH("LC",Liste_rouge!A:A,2,1),"LC")</f>
        <v>LC</v>
      </c>
      <c r="T22310" s="7" t="str">
        <f>HYPERLINK("#Liste_rouge!A"&amp;_xlfn.XMATCH("VU",Liste_rouge!A:A,2,1),"VU")</f>
        <v>VU</v>
      </c>
      <c r="V22310" s="7" t="str">
        <f>HYPERLINK("#Liste_rouge!A"&amp;_xlfn.XMATCH("CR",Liste_rouge!A:A,2,1),"CR")</f>
        <v>CR</v>
      </c>
      <c r="X22310" s="5" t="s">
        <v>374</v>
      </c>
      <c r="AB22310" s="4" t="s">
        <v>93</v>
      </c>
      <c r="AH22310" s="4" t="str">
        <f>HYPERLINK("#Statut_biogéographique!A"&amp;_xlfn.XMATCH("P",Statut_biogéographique!A:A,2,1),"P")</f>
        <v>P</v>
      </c>
      <c r="AP22310" s="4" t="s">
        <v>376</v>
      </c>
      <c r="AR22310" s="4" t="s">
        <v>377</v>
      </c>
    </row>
    <row r="22311" spans="1:44" ht="30">
      <c r="A22311" s="4" t="s">
        <v>24364</v>
      </c>
      <c r="B22311" s="4">
        <v>434214</v>
      </c>
      <c r="D22311" s="5" t="s">
        <v>29091</v>
      </c>
      <c r="E22311" s="6" t="str">
        <f>HYPERLINK("https://inpn.mnhn.fr/espece/cd_nom/434214","Microbryum starckeanum (Hedw.) R.H.Zander, 1993")</f>
        <v>Microbryum starckeanum (Hedw.) R.H.Zander, 1993</v>
      </c>
      <c r="P22311" s="7" t="str">
        <f>HYPERLINK("#Liste_rouge!A"&amp;_xlfn.XMATCH("LC",Liste_rouge!A:A,2,1),"LC")</f>
        <v>LC</v>
      </c>
      <c r="T22311" s="7" t="str">
        <f>HYPERLINK("#Liste_rouge!A"&amp;_xlfn.XMATCH("VU",Liste_rouge!A:A,2,1),"VU")</f>
        <v>VU</v>
      </c>
      <c r="V22311" s="7" t="str">
        <f>HYPERLINK("#Liste_rouge!A"&amp;_xlfn.XMATCH("VU",Liste_rouge!A:A,2,1),"VU")</f>
        <v>VU</v>
      </c>
      <c r="X22311" s="5" t="s">
        <v>374</v>
      </c>
      <c r="AB22311" s="4" t="s">
        <v>93</v>
      </c>
      <c r="AH22311" s="4" t="str">
        <f>HYPERLINK("#Statut_biogéographique!A"&amp;_xlfn.XMATCH("P",Statut_biogéographique!A:A,2,1),"P")</f>
        <v>P</v>
      </c>
      <c r="AP22311" s="4" t="s">
        <v>376</v>
      </c>
      <c r="AR22311" s="4" t="s">
        <v>377</v>
      </c>
    </row>
    <row r="22312" spans="1:44" ht="45">
      <c r="A22312" s="4" t="s">
        <v>24364</v>
      </c>
      <c r="B22312" s="4">
        <v>434227</v>
      </c>
      <c r="D22312" s="5" t="s">
        <v>29092</v>
      </c>
      <c r="E22312" s="6" t="str">
        <f>HYPERLINK("https://inpn.mnhn.fr/espece/cd_nom/434227","Syntrichia calcicola J.J.Amann, 1918")</f>
        <v>Syntrichia calcicola J.J.Amann, 1918</v>
      </c>
      <c r="P22312" s="7" t="str">
        <f>HYPERLINK("#Liste_rouge!A"&amp;_xlfn.XMATCH("LC",Liste_rouge!A:A,2,1),"LC")</f>
        <v>LC</v>
      </c>
      <c r="T22312" s="7" t="str">
        <f>HYPERLINK("#Liste_rouge!A"&amp;_xlfn.XMATCH("LC",Liste_rouge!A:A,2,1),"LC")</f>
        <v>LC</v>
      </c>
      <c r="V22312" s="7" t="str">
        <f>HYPERLINK("#Liste_rouge!A"&amp;_xlfn.XMATCH("LC",Liste_rouge!A:A,2,1),"LC (cd_nom 434227) - NE (cd_nom 434227)")</f>
        <v>LC (cd_nom 434227) - NE (cd_nom 434227)</v>
      </c>
      <c r="AH22312" s="4" t="str">
        <f>HYPERLINK("#Statut_biogéographique!A"&amp;_xlfn.XMATCH("P",Statut_biogéographique!A:A,2,1),"P")</f>
        <v>P</v>
      </c>
      <c r="AP22312" s="4" t="s">
        <v>376</v>
      </c>
      <c r="AR22312" s="4" t="s">
        <v>377</v>
      </c>
    </row>
    <row r="22313" spans="1:44" ht="45">
      <c r="A22313" s="4" t="s">
        <v>24364</v>
      </c>
      <c r="B22313" s="4">
        <v>434233</v>
      </c>
      <c r="D22313" s="5" t="s">
        <v>29093</v>
      </c>
      <c r="E22313" s="6" t="str">
        <f>HYPERLINK("https://inpn.mnhn.fr/espece/cd_nom/434233","Syntrichia laevipila Brid., 1819")</f>
        <v>Syntrichia laevipila Brid., 1819</v>
      </c>
      <c r="P22313" s="7" t="str">
        <f>HYPERLINK("#Liste_rouge!A"&amp;_xlfn.XMATCH("LC",Liste_rouge!A:A,2,1),"LC")</f>
        <v>LC</v>
      </c>
      <c r="T22313" s="7" t="str">
        <f>HYPERLINK("#Liste_rouge!A"&amp;_xlfn.XMATCH("LC",Liste_rouge!A:A,2,1),"LC")</f>
        <v>LC</v>
      </c>
      <c r="V22313" s="7" t="str">
        <f>HYPERLINK("#Liste_rouge!A"&amp;_xlfn.XMATCH("LC",Liste_rouge!A:A,2,1),"LC (cd_nom 434233) - NE (cd_nom 434233)")</f>
        <v>LC (cd_nom 434233) - NE (cd_nom 434233)</v>
      </c>
      <c r="AH22313" s="4" t="str">
        <f>HYPERLINK("#Statut_biogéographique!A"&amp;_xlfn.XMATCH("P",Statut_biogéographique!A:A,2,1),"P")</f>
        <v>P</v>
      </c>
      <c r="AP22313" s="4" t="s">
        <v>376</v>
      </c>
      <c r="AR22313" s="4" t="s">
        <v>377</v>
      </c>
    </row>
    <row r="22314" spans="1:44" ht="30">
      <c r="A22314" s="4" t="s">
        <v>24364</v>
      </c>
      <c r="B22314" s="4">
        <v>434234</v>
      </c>
      <c r="D22314" s="5" t="s">
        <v>29094</v>
      </c>
      <c r="E22314" s="6" t="str">
        <f>HYPERLINK("https://inpn.mnhn.fr/espece/cd_nom/434234","Syntrichia latifolia (Bruch ex Hartm.) Huebener, 1833")</f>
        <v>Syntrichia latifolia (Bruch ex Hartm.) Huebener, 1833</v>
      </c>
      <c r="P22314" s="7" t="str">
        <f>HYPERLINK("#Liste_rouge!A"&amp;_xlfn.XMATCH("LC",Liste_rouge!A:A,2,1),"LC")</f>
        <v>LC</v>
      </c>
      <c r="T22314" s="7" t="str">
        <f>HYPERLINK("#Liste_rouge!A"&amp;_xlfn.XMATCH("LC",Liste_rouge!A:A,2,1),"LC")</f>
        <v>LC</v>
      </c>
      <c r="V22314" s="7" t="str">
        <f>HYPERLINK("#Liste_rouge!A"&amp;_xlfn.XMATCH("LC",Liste_rouge!A:A,2,1),"LC")</f>
        <v>LC</v>
      </c>
      <c r="AH22314" s="4" t="str">
        <f>HYPERLINK("#Statut_biogéographique!A"&amp;_xlfn.XMATCH("P",Statut_biogéographique!A:A,2,1),"P")</f>
        <v>P</v>
      </c>
      <c r="AP22314" s="4" t="s">
        <v>376</v>
      </c>
      <c r="AR22314" s="4" t="s">
        <v>377</v>
      </c>
    </row>
    <row r="22315" spans="1:44">
      <c r="A22315" s="4" t="s">
        <v>24364</v>
      </c>
      <c r="B22315" s="4">
        <v>434236</v>
      </c>
      <c r="D22315" s="5" t="s">
        <v>29095</v>
      </c>
      <c r="E22315" s="6" t="str">
        <f>HYPERLINK("https://inpn.mnhn.fr/espece/cd_nom/434236","Syntrichia montana Nees, 1819")</f>
        <v>Syntrichia montana Nees, 1819</v>
      </c>
      <c r="P22315" s="7" t="str">
        <f>HYPERLINK("#Liste_rouge!A"&amp;_xlfn.XMATCH("LC",Liste_rouge!A:A,2,1),"LC")</f>
        <v>LC</v>
      </c>
      <c r="T22315" s="7" t="str">
        <f>HYPERLINK("#Liste_rouge!A"&amp;_xlfn.XMATCH("LC",Liste_rouge!A:A,2,1),"LC")</f>
        <v>LC</v>
      </c>
      <c r="V22315" s="7" t="str">
        <f>HYPERLINK("#Liste_rouge!A"&amp;_xlfn.XMATCH("LC",Liste_rouge!A:A,2,1),"LC")</f>
        <v>LC</v>
      </c>
      <c r="AH22315" s="4" t="str">
        <f>HYPERLINK("#Statut_biogéographique!A"&amp;_xlfn.XMATCH("P",Statut_biogéographique!A:A,2,1),"P")</f>
        <v>P</v>
      </c>
      <c r="AP22315" s="4" t="s">
        <v>376</v>
      </c>
      <c r="AR22315" s="4" t="s">
        <v>377</v>
      </c>
    </row>
    <row r="22316" spans="1:44">
      <c r="A22316" s="4" t="s">
        <v>24364</v>
      </c>
      <c r="B22316" s="4">
        <v>434237</v>
      </c>
      <c r="D22316" s="5" t="s">
        <v>29096</v>
      </c>
      <c r="E22316" s="6" t="str">
        <f>HYPERLINK("https://inpn.mnhn.fr/espece/cd_nom/434237","Syntrichia norvegica F.Weber, 1804")</f>
        <v>Syntrichia norvegica F.Weber, 1804</v>
      </c>
      <c r="P22316" s="7" t="str">
        <f>HYPERLINK("#Liste_rouge!A"&amp;_xlfn.XMATCH("LC",Liste_rouge!A:A,2,1),"LC")</f>
        <v>LC</v>
      </c>
      <c r="V22316" s="7" t="str">
        <f>HYPERLINK("#Liste_rouge!A"&amp;_xlfn.XMATCH("LC",Liste_rouge!A:A,2,1),"LC")</f>
        <v>LC</v>
      </c>
      <c r="AH22316" s="4" t="str">
        <f>HYPERLINK("#Statut_biogéographique!A"&amp;_xlfn.XMATCH("P",Statut_biogéographique!A:A,2,1),"P")</f>
        <v>P</v>
      </c>
      <c r="AP22316" s="4" t="s">
        <v>376</v>
      </c>
      <c r="AR22316" s="4" t="s">
        <v>377</v>
      </c>
    </row>
    <row r="22317" spans="1:44">
      <c r="A22317" s="4" t="s">
        <v>24364</v>
      </c>
      <c r="B22317" s="4">
        <v>434238</v>
      </c>
      <c r="D22317" s="5" t="s">
        <v>29097</v>
      </c>
      <c r="E22317" s="6" t="str">
        <f>HYPERLINK("https://inpn.mnhn.fr/espece/cd_nom/434238","Syntrichia papillosa (Wilson) Jur., 1882")</f>
        <v>Syntrichia papillosa (Wilson) Jur., 1882</v>
      </c>
      <c r="P22317" s="7" t="str">
        <f>HYPERLINK("#Liste_rouge!A"&amp;_xlfn.XMATCH("LC",Liste_rouge!A:A,2,1),"LC")</f>
        <v>LC</v>
      </c>
      <c r="T22317" s="7" t="str">
        <f>HYPERLINK("#Liste_rouge!A"&amp;_xlfn.XMATCH("LC",Liste_rouge!A:A,2,1),"LC")</f>
        <v>LC</v>
      </c>
      <c r="V22317" s="7" t="str">
        <f>HYPERLINK("#Liste_rouge!A"&amp;_xlfn.XMATCH("LC",Liste_rouge!A:A,2,1),"LC")</f>
        <v>LC</v>
      </c>
      <c r="AH22317" s="4" t="str">
        <f>HYPERLINK("#Statut_biogéographique!A"&amp;_xlfn.XMATCH("P",Statut_biogéographique!A:A,2,1),"P")</f>
        <v>P</v>
      </c>
      <c r="AP22317" s="4" t="s">
        <v>376</v>
      </c>
      <c r="AR22317" s="4" t="s">
        <v>377</v>
      </c>
    </row>
    <row r="22318" spans="1:44">
      <c r="A22318" s="4" t="s">
        <v>24364</v>
      </c>
      <c r="B22318" s="4">
        <v>434240</v>
      </c>
      <c r="D22318" s="5" t="s">
        <v>29098</v>
      </c>
      <c r="E22318" s="6" t="str">
        <f>HYPERLINK("https://inpn.mnhn.fr/espece/cd_nom/434240","Syntrichia princeps (De Not.) Mitt., 1859")</f>
        <v>Syntrichia princeps (De Not.) Mitt., 1859</v>
      </c>
      <c r="P22318" s="7" t="str">
        <f>HYPERLINK("#Liste_rouge!A"&amp;_xlfn.XMATCH("LC",Liste_rouge!A:A,2,1),"LC")</f>
        <v>LC</v>
      </c>
      <c r="AH22318" s="4" t="str">
        <f>HYPERLINK("#Statut_biogéographique!A"&amp;_xlfn.XMATCH("P",Statut_biogéographique!A:A,2,1),"P")</f>
        <v>P</v>
      </c>
      <c r="AP22318" s="4" t="s">
        <v>376</v>
      </c>
      <c r="AR22318" s="4" t="s">
        <v>377</v>
      </c>
    </row>
    <row r="22319" spans="1:44" ht="30">
      <c r="A22319" s="4" t="s">
        <v>24364</v>
      </c>
      <c r="B22319" s="4">
        <v>434242</v>
      </c>
      <c r="D22319" s="5" t="s">
        <v>29099</v>
      </c>
      <c r="E22319" s="6" t="str">
        <f>HYPERLINK("https://inpn.mnhn.fr/espece/cd_nom/434242","Syntrichia ruralis (Hedw.) F.Weber &amp; D.Mohr, 1803")</f>
        <v>Syntrichia ruralis (Hedw.) F.Weber &amp; D.Mohr, 1803</v>
      </c>
      <c r="P22319" s="7" t="str">
        <f>HYPERLINK("#Liste_rouge!A"&amp;_xlfn.XMATCH("LC",Liste_rouge!A:A,2,1),"LC")</f>
        <v>LC</v>
      </c>
      <c r="T22319" s="7" t="str">
        <f>HYPERLINK("#Liste_rouge!A"&amp;_xlfn.XMATCH("LC",Liste_rouge!A:A,2,1),"LC")</f>
        <v>LC</v>
      </c>
      <c r="V22319" s="7" t="str">
        <f>HYPERLINK("#Liste_rouge!A"&amp;_xlfn.XMATCH("LC",Liste_rouge!A:A,2,1),"LC")</f>
        <v>LC</v>
      </c>
      <c r="AH22319" s="4" t="str">
        <f>HYPERLINK("#Statut_biogéographique!A"&amp;_xlfn.XMATCH("P",Statut_biogéographique!A:A,2,1),"P")</f>
        <v>P</v>
      </c>
      <c r="AP22319" s="4" t="s">
        <v>376</v>
      </c>
      <c r="AR22319" s="4" t="s">
        <v>377</v>
      </c>
    </row>
    <row r="22320" spans="1:44" ht="30">
      <c r="A22320" s="4" t="s">
        <v>24364</v>
      </c>
      <c r="B22320" s="4">
        <v>434245</v>
      </c>
      <c r="D22320" s="5" t="s">
        <v>29100</v>
      </c>
      <c r="E22320" s="6" t="str">
        <f>HYPERLINK("https://inpn.mnhn.fr/espece/cd_nom/434245","Syntrichia virescens (De Not.) Ochyra, 1992")</f>
        <v>Syntrichia virescens (De Not.) Ochyra, 1992</v>
      </c>
      <c r="P22320" s="7" t="str">
        <f>HYPERLINK("#Liste_rouge!A"&amp;_xlfn.XMATCH("LC",Liste_rouge!A:A,2,1),"LC")</f>
        <v>LC</v>
      </c>
      <c r="T22320" s="7" t="str">
        <f>HYPERLINK("#Liste_rouge!A"&amp;_xlfn.XMATCH("LC",Liste_rouge!A:A,2,1),"LC")</f>
        <v>LC</v>
      </c>
      <c r="V22320" s="7" t="str">
        <f>HYPERLINK("#Liste_rouge!A"&amp;_xlfn.XMATCH("LC",Liste_rouge!A:A,2,1),"LC")</f>
        <v>LC</v>
      </c>
      <c r="AH22320" s="4" t="str">
        <f>HYPERLINK("#Statut_biogéographique!A"&amp;_xlfn.XMATCH("P",Statut_biogéographique!A:A,2,1),"P")</f>
        <v>P</v>
      </c>
      <c r="AP22320" s="4" t="s">
        <v>376</v>
      </c>
      <c r="AR22320" s="4" t="s">
        <v>377</v>
      </c>
    </row>
    <row r="22321" spans="1:44">
      <c r="A22321" s="4" t="s">
        <v>24364</v>
      </c>
      <c r="B22321" s="4">
        <v>434263</v>
      </c>
      <c r="D22321" s="5" t="s">
        <v>29101</v>
      </c>
      <c r="E22321" s="6" t="str">
        <f>HYPERLINK("https://inpn.mnhn.fr/espece/cd_nom/434263","Tortula truncata (Hedw.) Mitt., 1870")</f>
        <v>Tortula truncata (Hedw.) Mitt., 1870</v>
      </c>
      <c r="P22321" s="7" t="str">
        <f>HYPERLINK("#Liste_rouge!A"&amp;_xlfn.XMATCH("LC",Liste_rouge!A:A,2,1),"LC")</f>
        <v>LC</v>
      </c>
      <c r="T22321" s="7" t="str">
        <f>HYPERLINK("#Liste_rouge!A"&amp;_xlfn.XMATCH("LC",Liste_rouge!A:A,2,1),"LC")</f>
        <v>LC</v>
      </c>
      <c r="V22321" s="7" t="str">
        <f>HYPERLINK("#Liste_rouge!A"&amp;_xlfn.XMATCH("LC",Liste_rouge!A:A,2,1),"LC")</f>
        <v>LC</v>
      </c>
      <c r="AH22321" s="4" t="str">
        <f>HYPERLINK("#Statut_biogéographique!A"&amp;_xlfn.XMATCH("P",Statut_biogéographique!A:A,2,1),"P")</f>
        <v>P</v>
      </c>
      <c r="AP22321" s="4" t="s">
        <v>376</v>
      </c>
      <c r="AR22321" s="4" t="s">
        <v>377</v>
      </c>
    </row>
    <row r="22322" spans="1:44">
      <c r="A22322" s="4" t="s">
        <v>24364</v>
      </c>
      <c r="B22322" s="4">
        <v>434266</v>
      </c>
      <c r="D22322" s="5" t="s">
        <v>29102</v>
      </c>
      <c r="E22322" s="6" t="str">
        <f>HYPERLINK("https://inpn.mnhn.fr/espece/cd_nom/434266","Tortula wilsonii (Hook.) R.H.Zander, 1993")</f>
        <v>Tortula wilsonii (Hook.) R.H.Zander, 1993</v>
      </c>
      <c r="P22322" s="7" t="str">
        <f>HYPERLINK("#Liste_rouge!A"&amp;_xlfn.XMATCH("LC",Liste_rouge!A:A,2,1),"LC")</f>
        <v>LC</v>
      </c>
      <c r="T22322" s="7" t="str">
        <f>HYPERLINK("#Liste_rouge!A"&amp;_xlfn.XMATCH("CR",Liste_rouge!A:A,2,1),"CR")</f>
        <v>CR</v>
      </c>
      <c r="X22322" s="5" t="s">
        <v>374</v>
      </c>
      <c r="AB22322" s="4" t="s">
        <v>93</v>
      </c>
      <c r="AH22322" s="4" t="str">
        <f>HYPERLINK("#Statut_biogéographique!A"&amp;_xlfn.XMATCH("P",Statut_biogéographique!A:A,2,1),"P")</f>
        <v>P</v>
      </c>
      <c r="AP22322" s="4" t="s">
        <v>376</v>
      </c>
      <c r="AR22322" s="4" t="s">
        <v>377</v>
      </c>
    </row>
    <row r="22323" spans="1:44">
      <c r="A22323" s="4" t="s">
        <v>24364</v>
      </c>
      <c r="B22323" s="4">
        <v>434304</v>
      </c>
      <c r="D22323" s="5">
        <v>434304</v>
      </c>
      <c r="E22323" s="6" t="str">
        <f>HYPERLINK("https://inpn.mnhn.fr/espece/cd_nom/434304","Hedwigia stellata Hedenäs")</f>
        <v>Hedwigia stellata Hedenäs</v>
      </c>
      <c r="P22323" s="7" t="str">
        <f>HYPERLINK("#Liste_rouge!A"&amp;_xlfn.XMATCH("LC",Liste_rouge!A:A,2,1),"LC")</f>
        <v>LC</v>
      </c>
      <c r="T22323" s="7" t="str">
        <f>HYPERLINK("#Liste_rouge!A"&amp;_xlfn.XMATCH("LC",Liste_rouge!A:A,2,1),"LC")</f>
        <v>LC</v>
      </c>
      <c r="V22323" s="7" t="str">
        <f>HYPERLINK("#Liste_rouge!A"&amp;_xlfn.XMATCH("NT",Liste_rouge!A:A,2,1),"NT")</f>
        <v>NT</v>
      </c>
      <c r="AB22323" s="4" t="s">
        <v>24909</v>
      </c>
      <c r="AH22323" s="4" t="str">
        <f>HYPERLINK("#Statut_biogéographique!A"&amp;_xlfn.XMATCH("P",Statut_biogéographique!A:A,2,1),"P")</f>
        <v>P</v>
      </c>
      <c r="AP22323" s="4" t="s">
        <v>376</v>
      </c>
      <c r="AR22323" s="4" t="s">
        <v>377</v>
      </c>
    </row>
    <row r="22324" spans="1:44" ht="30">
      <c r="A22324" s="4" t="s">
        <v>24364</v>
      </c>
      <c r="B22324" s="4">
        <v>434313</v>
      </c>
      <c r="D22324" s="5" t="s">
        <v>29103</v>
      </c>
      <c r="E22324" s="6" t="str">
        <f>HYPERLINK("https://inpn.mnhn.fr/espece/cd_nom/434313","Plagiopus oederianus (Sw.) H.A.Crum &amp; L.E.Anderson, 1981")</f>
        <v>Plagiopus oederianus (Sw.) H.A.Crum &amp; L.E.Anderson, 1981</v>
      </c>
      <c r="P22324" s="7" t="str">
        <f>HYPERLINK("#Liste_rouge!A"&amp;_xlfn.XMATCH("LC",Liste_rouge!A:A,2,1),"LC")</f>
        <v>LC</v>
      </c>
      <c r="T22324" s="7" t="str">
        <f>HYPERLINK("#Liste_rouge!A"&amp;_xlfn.XMATCH("EN",Liste_rouge!A:A,2,1),"EN")</f>
        <v>EN</v>
      </c>
      <c r="V22324" s="7" t="str">
        <f>HYPERLINK("#Liste_rouge!A"&amp;_xlfn.XMATCH("LC",Liste_rouge!A:A,2,1),"LC")</f>
        <v>LC</v>
      </c>
      <c r="AB22324" s="4" t="s">
        <v>29052</v>
      </c>
      <c r="AH22324" s="4" t="str">
        <f>HYPERLINK("#Statut_biogéographique!A"&amp;_xlfn.XMATCH("P",Statut_biogéographique!A:A,2,1),"P")</f>
        <v>P</v>
      </c>
      <c r="AP22324" s="4" t="s">
        <v>376</v>
      </c>
      <c r="AR22324" s="4" t="s">
        <v>377</v>
      </c>
    </row>
    <row r="22325" spans="1:44">
      <c r="A22325" s="4" t="s">
        <v>24364</v>
      </c>
      <c r="B22325" s="4">
        <v>434324</v>
      </c>
      <c r="D22325" s="5">
        <v>434324</v>
      </c>
      <c r="E22325" s="6" t="str">
        <f>HYPERLINK("https://inpn.mnhn.fr/espece/cd_nom/434324","Bryum demaretianum Arts, 1992")</f>
        <v>Bryum demaretianum Arts, 1992</v>
      </c>
      <c r="O22325" s="7" t="str">
        <f>HYPERLINK("#Liste_rouge!A"&amp;_xlfn.XMATCH("DD",Liste_rouge!A:A,2,1),"DD")</f>
        <v>DD</v>
      </c>
      <c r="P22325" s="7" t="str">
        <f>HYPERLINK("#Liste_rouge!A"&amp;_xlfn.XMATCH("DD",Liste_rouge!A:A,2,1),"DD")</f>
        <v>DD</v>
      </c>
      <c r="T22325" s="7" t="str">
        <f>HYPERLINK("#Liste_rouge!A"&amp;_xlfn.XMATCH("CR",Liste_rouge!A:A,2,1),"CR")</f>
        <v>CR</v>
      </c>
      <c r="X22325" s="5" t="s">
        <v>374</v>
      </c>
      <c r="AB22325" s="4" t="s">
        <v>93</v>
      </c>
      <c r="AH22325" s="4" t="str">
        <f>HYPERLINK("#Statut_biogéographique!A"&amp;_xlfn.XMATCH("P",Statut_biogéographique!A:A,2,1),"P")</f>
        <v>P</v>
      </c>
      <c r="AP22325" s="4" t="s">
        <v>376</v>
      </c>
      <c r="AR22325" s="4" t="s">
        <v>377</v>
      </c>
    </row>
    <row r="22326" spans="1:44" ht="30">
      <c r="A22326" s="4" t="s">
        <v>24364</v>
      </c>
      <c r="B22326" s="4">
        <v>434325</v>
      </c>
      <c r="D22326" s="5" t="s">
        <v>29104</v>
      </c>
      <c r="E22326" s="6" t="str">
        <f>HYPERLINK("https://inpn.mnhn.fr/espece/cd_nom/434325","Bryum dichotomum Hedw., 1801")</f>
        <v>Bryum dichotomum Hedw., 1801</v>
      </c>
      <c r="P22326" s="7" t="str">
        <f>HYPERLINK("#Liste_rouge!A"&amp;_xlfn.XMATCH("LC",Liste_rouge!A:A,2,1),"LC")</f>
        <v>LC</v>
      </c>
      <c r="T22326" s="7" t="str">
        <f>HYPERLINK("#Liste_rouge!A"&amp;_xlfn.XMATCH("LC",Liste_rouge!A:A,2,1),"LC")</f>
        <v>LC</v>
      </c>
      <c r="V22326" s="7" t="str">
        <f>HYPERLINK("#Liste_rouge!A"&amp;_xlfn.XMATCH("LC",Liste_rouge!A:A,2,1),"LC")</f>
        <v>LC</v>
      </c>
      <c r="AH22326" s="4" t="str">
        <f>HYPERLINK("#Statut_biogéographique!A"&amp;_xlfn.XMATCH("P",Statut_biogéographique!A:A,2,1),"P")</f>
        <v>P</v>
      </c>
      <c r="AP22326" s="4" t="s">
        <v>376</v>
      </c>
      <c r="AR22326" s="4" t="s">
        <v>377</v>
      </c>
    </row>
    <row r="22327" spans="1:44" ht="30">
      <c r="A22327" s="4" t="s">
        <v>24364</v>
      </c>
      <c r="B22327" s="4">
        <v>434328</v>
      </c>
      <c r="D22327" s="5">
        <v>434328</v>
      </c>
      <c r="E22327" s="6" t="str">
        <f>HYPERLINK("https://inpn.mnhn.fr/espece/cd_nom/434328","Bryum gemmiferum R.Wilczek &amp; Demaret, 1976")</f>
        <v>Bryum gemmiferum R.Wilczek &amp; Demaret, 1976</v>
      </c>
      <c r="P22327" s="7" t="str">
        <f>HYPERLINK("#Liste_rouge!A"&amp;_xlfn.XMATCH("LC",Liste_rouge!A:A,2,1),"LC")</f>
        <v>LC</v>
      </c>
      <c r="T22327" s="7" t="str">
        <f>HYPERLINK("#Liste_rouge!A"&amp;_xlfn.XMATCH("DD",Liste_rouge!A:A,2,1),"DD")</f>
        <v>DD</v>
      </c>
      <c r="V22327" s="7" t="str">
        <f>HYPERLINK("#Liste_rouge!A"&amp;_xlfn.XMATCH("LC",Liste_rouge!A:A,2,1),"LC")</f>
        <v>LC</v>
      </c>
      <c r="AH22327" s="4" t="str">
        <f>HYPERLINK("#Statut_biogéographique!A"&amp;_xlfn.XMATCH("P",Statut_biogéographique!A:A,2,1),"P")</f>
        <v>P</v>
      </c>
      <c r="AP22327" s="4" t="s">
        <v>376</v>
      </c>
      <c r="AR22327" s="4" t="s">
        <v>377</v>
      </c>
    </row>
    <row r="22328" spans="1:44" ht="30">
      <c r="A22328" s="4" t="s">
        <v>24364</v>
      </c>
      <c r="B22328" s="4">
        <v>434342</v>
      </c>
      <c r="D22328" s="5">
        <v>434342</v>
      </c>
      <c r="E22328" s="6" t="str">
        <f>HYPERLINK("https://inpn.mnhn.fr/espece/cd_nom/434342","Pohlia sphagnicola (Bruch &amp; Schimp.) Broth., 1903")</f>
        <v>Pohlia sphagnicola (Bruch &amp; Schimp.) Broth., 1903</v>
      </c>
      <c r="P22328" s="7" t="str">
        <f>HYPERLINK("#Liste_rouge!A"&amp;_xlfn.XMATCH("DD",Liste_rouge!A:A,2,1),"DD")</f>
        <v>DD</v>
      </c>
      <c r="V22328" s="7" t="str">
        <f>HYPERLINK("#Liste_rouge!A"&amp;_xlfn.XMATCH("DD",Liste_rouge!A:A,2,1),"DD")</f>
        <v>DD</v>
      </c>
      <c r="X22328" s="5" t="s">
        <v>374</v>
      </c>
      <c r="AB22328" s="4" t="s">
        <v>93</v>
      </c>
      <c r="AH22328" s="4" t="str">
        <f>HYPERLINK("#Statut_biogéographique!A"&amp;_xlfn.XMATCH("P",Statut_biogéographique!A:A,2,1),"P")</f>
        <v>P</v>
      </c>
      <c r="AP22328" s="4" t="s">
        <v>376</v>
      </c>
      <c r="AR22328" s="4" t="s">
        <v>377</v>
      </c>
    </row>
    <row r="22329" spans="1:44" ht="30">
      <c r="A22329" s="4" t="s">
        <v>24364</v>
      </c>
      <c r="B22329" s="4">
        <v>434377</v>
      </c>
      <c r="D22329" s="5" t="s">
        <v>29105</v>
      </c>
      <c r="E22329" s="6" t="str">
        <f>HYPERLINK("https://inpn.mnhn.fr/espece/cd_nom/434377","Campyliadelphus chrysophyllus (Brid.) R.S.Chopra")</f>
        <v>Campyliadelphus chrysophyllus (Brid.) R.S.Chopra</v>
      </c>
      <c r="P22329" s="7" t="str">
        <f>HYPERLINK("#Liste_rouge!A"&amp;_xlfn.XMATCH("LC",Liste_rouge!A:A,2,1),"LC")</f>
        <v>LC</v>
      </c>
      <c r="T22329" s="7" t="str">
        <f>HYPERLINK("#Liste_rouge!A"&amp;_xlfn.XMATCH("LC",Liste_rouge!A:A,2,1),"LC")</f>
        <v>LC</v>
      </c>
      <c r="V22329" s="7" t="str">
        <f>HYPERLINK("#Liste_rouge!A"&amp;_xlfn.XMATCH("LC",Liste_rouge!A:A,2,1),"LC")</f>
        <v>LC</v>
      </c>
      <c r="AH22329" s="4" t="str">
        <f>HYPERLINK("#Statut_biogéographique!A"&amp;_xlfn.XMATCH("P",Statut_biogéographique!A:A,2,1),"P")</f>
        <v>P</v>
      </c>
      <c r="AP22329" s="4" t="s">
        <v>376</v>
      </c>
      <c r="AR22329" s="4" t="s">
        <v>377</v>
      </c>
    </row>
    <row r="22330" spans="1:44">
      <c r="A22330" s="4" t="s">
        <v>24364</v>
      </c>
      <c r="B22330" s="4">
        <v>434378</v>
      </c>
      <c r="D22330" s="5" t="s">
        <v>29106</v>
      </c>
      <c r="E22330" s="6" t="str">
        <f>HYPERLINK("https://inpn.mnhn.fr/espece/cd_nom/434378","Campyliadelphus elodes (Lindb.) Kanda, 1975")</f>
        <v>Campyliadelphus elodes (Lindb.) Kanda, 1975</v>
      </c>
      <c r="P22330" s="7" t="str">
        <f>HYPERLINK("#Liste_rouge!A"&amp;_xlfn.XMATCH("NT",Liste_rouge!A:A,2,1),"NT")</f>
        <v>NT</v>
      </c>
      <c r="T22330" s="7" t="str">
        <f>HYPERLINK("#Liste_rouge!A"&amp;_xlfn.XMATCH("VU",Liste_rouge!A:A,2,1),"VU")</f>
        <v>VU</v>
      </c>
      <c r="V22330" s="7" t="str">
        <f>HYPERLINK("#Liste_rouge!A"&amp;_xlfn.XMATCH("LC",Liste_rouge!A:A,2,1),"LC")</f>
        <v>LC</v>
      </c>
      <c r="AB22330" s="4" t="s">
        <v>28027</v>
      </c>
      <c r="AE22330" s="4" t="str">
        <f>HYPERLINK("#SCAP!A"&amp;_xlfn.XMATCH("1-",SCAP!A:A,2,1),"1-")</f>
        <v>1-</v>
      </c>
      <c r="AF22330" s="4" t="str">
        <f>HYPERLINK("#SCAP!A"&amp;_xlfn.XMATCH("NP",SCAP!A:A,2,1),"NP")</f>
        <v>NP</v>
      </c>
      <c r="AG22330" s="4" t="str">
        <f>HYPERLINK("#SCAP!A"&amp;_xlfn.XMATCH("1-",SCAP!A:A,2,1),"1-")</f>
        <v>1-</v>
      </c>
      <c r="AH22330" s="4" t="str">
        <f>HYPERLINK("#Statut_biogéographique!A"&amp;_xlfn.XMATCH("P",Statut_biogéographique!A:A,2,1),"P")</f>
        <v>P</v>
      </c>
      <c r="AP22330" s="4" t="s">
        <v>376</v>
      </c>
      <c r="AR22330" s="4" t="s">
        <v>377</v>
      </c>
    </row>
    <row r="22331" spans="1:44" ht="30">
      <c r="A22331" s="4" t="s">
        <v>24364</v>
      </c>
      <c r="B22331" s="4">
        <v>434384</v>
      </c>
      <c r="D22331" s="5" t="s">
        <v>29107</v>
      </c>
      <c r="E22331" s="6" t="str">
        <f>HYPERLINK("https://inpn.mnhn.fr/espece/cd_nom/434384","Drepanocladus polygamus (Schimp.) Hedenäs, 1997")</f>
        <v>Drepanocladus polygamus (Schimp.) Hedenäs, 1997</v>
      </c>
      <c r="P22331" s="7" t="str">
        <f>HYPERLINK("#Liste_rouge!A"&amp;_xlfn.XMATCH("LC",Liste_rouge!A:A,2,1),"LC")</f>
        <v>LC</v>
      </c>
      <c r="T22331" s="7" t="str">
        <f>HYPERLINK("#Liste_rouge!A"&amp;_xlfn.XMATCH("EN",Liste_rouge!A:A,2,1),"EN")</f>
        <v>EN</v>
      </c>
      <c r="V22331" s="7" t="str">
        <f>HYPERLINK("#Liste_rouge!A"&amp;_xlfn.XMATCH("VU",Liste_rouge!A:A,2,1),"VU")</f>
        <v>VU</v>
      </c>
      <c r="X22331" s="5" t="s">
        <v>374</v>
      </c>
      <c r="AB22331" s="4" t="s">
        <v>93</v>
      </c>
      <c r="AH22331" s="4" t="str">
        <f>HYPERLINK("#Statut_biogéographique!A"&amp;_xlfn.XMATCH("P",Statut_biogéographique!A:A,2,1),"P")</f>
        <v>P</v>
      </c>
      <c r="AP22331" s="4" t="s">
        <v>376</v>
      </c>
      <c r="AR22331" s="4" t="s">
        <v>377</v>
      </c>
    </row>
    <row r="22332" spans="1:44" ht="30">
      <c r="A22332" s="4" t="s">
        <v>24364</v>
      </c>
      <c r="B22332" s="4">
        <v>434386</v>
      </c>
      <c r="D22332" s="5" t="s">
        <v>29108</v>
      </c>
      <c r="E22332" s="6" t="str">
        <f>HYPERLINK("https://inpn.mnhn.fr/espece/cd_nom/434386","Hygroamblystegium humile (P.Beauv.) Vanderp., Hedenäs &amp; Goffinet, 2003")</f>
        <v>Hygroamblystegium humile (P.Beauv.) Vanderp., Hedenäs &amp; Goffinet, 2003</v>
      </c>
      <c r="P22332" s="7" t="str">
        <f>HYPERLINK("#Liste_rouge!A"&amp;_xlfn.XMATCH("LC",Liste_rouge!A:A,2,1),"LC")</f>
        <v>LC</v>
      </c>
      <c r="T22332" s="7" t="str">
        <f>HYPERLINK("#Liste_rouge!A"&amp;_xlfn.XMATCH("DD",Liste_rouge!A:A,2,1),"DD")</f>
        <v>DD</v>
      </c>
      <c r="V22332" s="7" t="str">
        <f>HYPERLINK("#Liste_rouge!A"&amp;_xlfn.XMATCH("DD",Liste_rouge!A:A,2,1),"DD")</f>
        <v>DD</v>
      </c>
      <c r="AH22332" s="4" t="str">
        <f>HYPERLINK("#Statut_biogéographique!A"&amp;_xlfn.XMATCH("P",Statut_biogéographique!A:A,2,1),"P")</f>
        <v>P</v>
      </c>
      <c r="AP22332" s="4" t="s">
        <v>376</v>
      </c>
      <c r="AR22332" s="4" t="s">
        <v>377</v>
      </c>
    </row>
    <row r="22333" spans="1:44" ht="30">
      <c r="A22333" s="4" t="s">
        <v>24364</v>
      </c>
      <c r="B22333" s="4">
        <v>434387</v>
      </c>
      <c r="D22333" s="5" t="s">
        <v>29109</v>
      </c>
      <c r="E22333" s="6" t="str">
        <f>HYPERLINK("https://inpn.mnhn.fr/espece/cd_nom/434387","Hygroamblystegium varium (Hedw.) Mönk., 1911")</f>
        <v>Hygroamblystegium varium (Hedw.) Mönk., 1911</v>
      </c>
      <c r="P22333" s="7" t="str">
        <f>HYPERLINK("#Liste_rouge!A"&amp;_xlfn.XMATCH("LC",Liste_rouge!A:A,2,1),"LC")</f>
        <v>LC</v>
      </c>
      <c r="T22333" s="7" t="str">
        <f>HYPERLINK("#Liste_rouge!A"&amp;_xlfn.XMATCH("LC",Liste_rouge!A:A,2,1),"LC (cd_nom 434387) - DD (cd_nom 786522)")</f>
        <v>LC (cd_nom 434387) - DD (cd_nom 786522)</v>
      </c>
      <c r="V22333" s="7" t="str">
        <f>HYPERLINK("#Liste_rouge!A"&amp;_xlfn.XMATCH("LC",Liste_rouge!A:A,2,1),"LC")</f>
        <v>LC</v>
      </c>
      <c r="AH22333" s="4" t="str">
        <f>HYPERLINK("#Statut_biogéographique!A"&amp;_xlfn.XMATCH("P",Statut_biogéographique!A:A,2,1),"P")</f>
        <v>P</v>
      </c>
      <c r="AP22333" s="4" t="s">
        <v>376</v>
      </c>
      <c r="AR22333" s="4" t="s">
        <v>377</v>
      </c>
    </row>
    <row r="22334" spans="1:44">
      <c r="A22334" s="4" t="s">
        <v>24364</v>
      </c>
      <c r="B22334" s="4">
        <v>434393</v>
      </c>
      <c r="D22334" s="5" t="s">
        <v>29110</v>
      </c>
      <c r="E22334" s="6" t="str">
        <f>HYPERLINK("https://inpn.mnhn.fr/espece/cd_nom/434393","Palustriella falcata (Brid.) Hedenäs, 1992")</f>
        <v>Palustriella falcata (Brid.) Hedenäs, 1992</v>
      </c>
      <c r="P22334" s="7" t="str">
        <f>HYPERLINK("#Liste_rouge!A"&amp;_xlfn.XMATCH("LC",Liste_rouge!A:A,2,1),"LC")</f>
        <v>LC</v>
      </c>
      <c r="T22334" s="7" t="str">
        <f>HYPERLINK("#Liste_rouge!A"&amp;_xlfn.XMATCH("NT",Liste_rouge!A:A,2,1),"NT")</f>
        <v>NT</v>
      </c>
      <c r="V22334" s="7" t="str">
        <f>HYPERLINK("#Liste_rouge!A"&amp;_xlfn.XMATCH("LC",Liste_rouge!A:A,2,1),"LC")</f>
        <v>LC</v>
      </c>
      <c r="AB22334" s="4" t="s">
        <v>29111</v>
      </c>
      <c r="AH22334" s="4" t="str">
        <f>HYPERLINK("#Statut_biogéographique!A"&amp;_xlfn.XMATCH("P",Statut_biogéographique!A:A,2,1),"P")</f>
        <v>P</v>
      </c>
      <c r="AP22334" s="4" t="s">
        <v>376</v>
      </c>
      <c r="AR22334" s="4" t="s">
        <v>377</v>
      </c>
    </row>
    <row r="22335" spans="1:44">
      <c r="A22335" s="4" t="s">
        <v>24364</v>
      </c>
      <c r="B22335" s="4">
        <v>434405</v>
      </c>
      <c r="D22335" s="5" t="s">
        <v>29112</v>
      </c>
      <c r="E22335" s="6" t="str">
        <f>HYPERLINK("https://inpn.mnhn.fr/espece/cd_nom/434405","Scorpidium cossonii (Schimp.) Hedenäs, 1989")</f>
        <v>Scorpidium cossonii (Schimp.) Hedenäs, 1989</v>
      </c>
      <c r="P22335" s="7" t="str">
        <f>HYPERLINK("#Liste_rouge!A"&amp;_xlfn.XMATCH("LC",Liste_rouge!A:A,2,1),"LC")</f>
        <v>LC</v>
      </c>
      <c r="T22335" s="7" t="str">
        <f>HYPERLINK("#Liste_rouge!A"&amp;_xlfn.XMATCH("VU",Liste_rouge!A:A,2,1),"VU")</f>
        <v>VU</v>
      </c>
      <c r="V22335" s="7" t="str">
        <f>HYPERLINK("#Liste_rouge!A"&amp;_xlfn.XMATCH("LC",Liste_rouge!A:A,2,1),"LC")</f>
        <v>LC</v>
      </c>
      <c r="AB22335" s="4" t="s">
        <v>24803</v>
      </c>
      <c r="AH22335" s="4" t="str">
        <f>HYPERLINK("#Statut_biogéographique!A"&amp;_xlfn.XMATCH("P",Statut_biogéographique!A:A,2,1),"P")</f>
        <v>P</v>
      </c>
      <c r="AP22335" s="4" t="s">
        <v>376</v>
      </c>
      <c r="AR22335" s="4" t="s">
        <v>377</v>
      </c>
    </row>
    <row r="22336" spans="1:44" ht="30">
      <c r="A22336" s="4" t="s">
        <v>24364</v>
      </c>
      <c r="B22336" s="4">
        <v>434406</v>
      </c>
      <c r="D22336" s="5" t="s">
        <v>29113</v>
      </c>
      <c r="E22336" s="6" t="str">
        <f>HYPERLINK("https://inpn.mnhn.fr/espece/cd_nom/434406","Scorpidium revolvens (Sw. ex anon.) Rubers")</f>
        <v>Scorpidium revolvens (Sw. ex anon.) Rubers</v>
      </c>
      <c r="P22336" s="7" t="str">
        <f>HYPERLINK("#Liste_rouge!A"&amp;_xlfn.XMATCH("LC",Liste_rouge!A:A,2,1),"LC")</f>
        <v>LC</v>
      </c>
      <c r="V22336" s="7" t="str">
        <f>HYPERLINK("#Liste_rouge!A"&amp;_xlfn.XMATCH("VU",Liste_rouge!A:A,2,1),"VU")</f>
        <v>VU</v>
      </c>
      <c r="X22336" s="5" t="s">
        <v>374</v>
      </c>
      <c r="AB22336" s="4" t="s">
        <v>93</v>
      </c>
      <c r="AH22336" s="4" t="str">
        <f>HYPERLINK("#Statut_biogéographique!A"&amp;_xlfn.XMATCH("P",Statut_biogéographique!A:A,2,1),"P")</f>
        <v>P</v>
      </c>
      <c r="AP22336" s="4" t="s">
        <v>376</v>
      </c>
      <c r="AR22336" s="4" t="s">
        <v>377</v>
      </c>
    </row>
    <row r="22337" spans="1:44" ht="30">
      <c r="A22337" s="4" t="s">
        <v>24364</v>
      </c>
      <c r="B22337" s="4">
        <v>434407</v>
      </c>
      <c r="D22337" s="5" t="s">
        <v>29114</v>
      </c>
      <c r="E22337" s="6" t="str">
        <f>HYPERLINK("https://inpn.mnhn.fr/espece/cd_nom/434407","Straminergon stramineum (Dicks. ex Brid.) Hedenäs, 1993")</f>
        <v>Straminergon stramineum (Dicks. ex Brid.) Hedenäs, 1993</v>
      </c>
      <c r="P22337" s="7" t="str">
        <f>HYPERLINK("#Liste_rouge!A"&amp;_xlfn.XMATCH("LC",Liste_rouge!A:A,2,1),"LC")</f>
        <v>LC</v>
      </c>
      <c r="T22337" s="7" t="str">
        <f>HYPERLINK("#Liste_rouge!A"&amp;_xlfn.XMATCH("VU",Liste_rouge!A:A,2,1),"VU")</f>
        <v>VU</v>
      </c>
      <c r="V22337" s="7" t="str">
        <f>HYPERLINK("#Liste_rouge!A"&amp;_xlfn.XMATCH("LC",Liste_rouge!A:A,2,1),"LC")</f>
        <v>LC</v>
      </c>
      <c r="AB22337" s="4" t="s">
        <v>29115</v>
      </c>
      <c r="AH22337" s="4" t="str">
        <f>HYPERLINK("#Statut_biogéographique!A"&amp;_xlfn.XMATCH("P",Statut_biogéographique!A:A,2,1),"P")</f>
        <v>P</v>
      </c>
      <c r="AP22337" s="4" t="s">
        <v>376</v>
      </c>
      <c r="AR22337" s="4" t="s">
        <v>377</v>
      </c>
    </row>
    <row r="22338" spans="1:44">
      <c r="A22338" s="4" t="s">
        <v>24364</v>
      </c>
      <c r="B22338" s="4">
        <v>434424</v>
      </c>
      <c r="D22338" s="5" t="s">
        <v>29116</v>
      </c>
      <c r="E22338" s="6" t="str">
        <f>HYPERLINK("https://inpn.mnhn.fr/espece/cd_nom/434424","Thuidium assimile (Mitt.) A.Jaeger")</f>
        <v>Thuidium assimile (Mitt.) A.Jaeger</v>
      </c>
      <c r="P22338" s="7" t="str">
        <f>HYPERLINK("#Liste_rouge!A"&amp;_xlfn.XMATCH("LC",Liste_rouge!A:A,2,1),"LC")</f>
        <v>LC</v>
      </c>
      <c r="T22338" s="7" t="str">
        <f>HYPERLINK("#Liste_rouge!A"&amp;_xlfn.XMATCH("LC",Liste_rouge!A:A,2,1),"LC")</f>
        <v>LC</v>
      </c>
      <c r="V22338" s="7" t="str">
        <f>HYPERLINK("#Liste_rouge!A"&amp;_xlfn.XMATCH("LC",Liste_rouge!A:A,2,1),"LC")</f>
        <v>LC</v>
      </c>
      <c r="AH22338" s="4" t="str">
        <f>HYPERLINK("#Statut_biogéographique!A"&amp;_xlfn.XMATCH("P",Statut_biogéographique!A:A,2,1),"P")</f>
        <v>P</v>
      </c>
      <c r="AP22338" s="4" t="s">
        <v>376</v>
      </c>
      <c r="AR22338" s="4" t="s">
        <v>377</v>
      </c>
    </row>
    <row r="22339" spans="1:44" ht="30">
      <c r="A22339" s="4" t="s">
        <v>24364</v>
      </c>
      <c r="B22339" s="4">
        <v>434437</v>
      </c>
      <c r="D22339" s="5" t="s">
        <v>29117</v>
      </c>
      <c r="E22339" s="6" t="str">
        <f>HYPERLINK("https://inpn.mnhn.fr/espece/cd_nom/434437","Rhynchostegiella teneriffae (Mont.) Dirkse &amp; Bouman, 1995")</f>
        <v>Rhynchostegiella teneriffae (Mont.) Dirkse &amp; Bouman, 1995</v>
      </c>
      <c r="P22339" s="7" t="str">
        <f>HYPERLINK("#Liste_rouge!A"&amp;_xlfn.XMATCH("LC",Liste_rouge!A:A,2,1),"LC")</f>
        <v>LC</v>
      </c>
      <c r="T22339" s="7" t="str">
        <f>HYPERLINK("#Liste_rouge!A"&amp;_xlfn.XMATCH("EN",Liste_rouge!A:A,2,1),"EN")</f>
        <v>EN</v>
      </c>
      <c r="V22339" s="7" t="str">
        <f>HYPERLINK("#Liste_rouge!A"&amp;_xlfn.XMATCH("VU",Liste_rouge!A:A,2,1),"VU")</f>
        <v>VU</v>
      </c>
      <c r="X22339" s="5" t="s">
        <v>374</v>
      </c>
      <c r="AB22339" s="4" t="s">
        <v>93</v>
      </c>
      <c r="AH22339" s="4" t="str">
        <f>HYPERLINK("#Statut_biogéographique!A"&amp;_xlfn.XMATCH("P",Statut_biogéographique!A:A,2,1),"P")</f>
        <v>P</v>
      </c>
      <c r="AP22339" s="4" t="s">
        <v>376</v>
      </c>
      <c r="AR22339" s="4" t="s">
        <v>377</v>
      </c>
    </row>
    <row r="22340" spans="1:44" ht="30">
      <c r="A22340" s="4" t="s">
        <v>24364</v>
      </c>
      <c r="B22340" s="4">
        <v>434439</v>
      </c>
      <c r="D22340" s="5" t="s">
        <v>29118</v>
      </c>
      <c r="E22340" s="6" t="str">
        <f>HYPERLINK("https://inpn.mnhn.fr/espece/cd_nom/434439","Oxyrrhynchium hians (Hedw.) Loeske, 1907")</f>
        <v>Oxyrrhynchium hians (Hedw.) Loeske, 1907</v>
      </c>
      <c r="P22340" s="7" t="str">
        <f>HYPERLINK("#Liste_rouge!A"&amp;_xlfn.XMATCH("LC",Liste_rouge!A:A,2,1),"LC")</f>
        <v>LC</v>
      </c>
      <c r="T22340" s="7" t="str">
        <f>HYPERLINK("#Liste_rouge!A"&amp;_xlfn.XMATCH("LC",Liste_rouge!A:A,2,1),"LC")</f>
        <v>LC</v>
      </c>
      <c r="V22340" s="7" t="str">
        <f>HYPERLINK("#Liste_rouge!A"&amp;_xlfn.XMATCH("LC",Liste_rouge!A:A,2,1),"LC (cd_nom 434439) - NE (cd_nom 434439)")</f>
        <v>LC (cd_nom 434439) - NE (cd_nom 434439)</v>
      </c>
      <c r="AH22340" s="4" t="str">
        <f>HYPERLINK("#Statut_biogéographique!A"&amp;_xlfn.XMATCH("P",Statut_biogéographique!A:A,2,1),"P")</f>
        <v>P</v>
      </c>
      <c r="AP22340" s="4" t="s">
        <v>376</v>
      </c>
      <c r="AR22340" s="4" t="s">
        <v>377</v>
      </c>
    </row>
    <row r="22341" spans="1:44">
      <c r="A22341" s="4" t="s">
        <v>24364</v>
      </c>
      <c r="B22341" s="4">
        <v>434441</v>
      </c>
      <c r="D22341" s="5" t="s">
        <v>29119</v>
      </c>
      <c r="E22341" s="6" t="str">
        <f>HYPERLINK("https://inpn.mnhn.fr/espece/cd_nom/434441","Oxyrrhynchium schleicheri (R.Hedw.) Röll")</f>
        <v>Oxyrrhynchium schleicheri (R.Hedw.) Röll</v>
      </c>
      <c r="P22341" s="7" t="str">
        <f>HYPERLINK("#Liste_rouge!A"&amp;_xlfn.XMATCH("LC",Liste_rouge!A:A,2,1),"LC")</f>
        <v>LC</v>
      </c>
      <c r="T22341" s="7" t="str">
        <f>HYPERLINK("#Liste_rouge!A"&amp;_xlfn.XMATCH("NT",Liste_rouge!A:A,2,1),"NT")</f>
        <v>NT</v>
      </c>
      <c r="V22341" s="7" t="str">
        <f>HYPERLINK("#Liste_rouge!A"&amp;_xlfn.XMATCH("DD",Liste_rouge!A:A,2,1),"DD")</f>
        <v>DD</v>
      </c>
      <c r="AH22341" s="4" t="str">
        <f>HYPERLINK("#Statut_biogéographique!A"&amp;_xlfn.XMATCH("P",Statut_biogéographique!A:A,2,1),"P")</f>
        <v>P</v>
      </c>
      <c r="AP22341" s="4" t="s">
        <v>376</v>
      </c>
      <c r="AR22341" s="4" t="s">
        <v>377</v>
      </c>
    </row>
    <row r="22342" spans="1:44" ht="30">
      <c r="A22342" s="4" t="s">
        <v>24364</v>
      </c>
      <c r="B22342" s="4">
        <v>434442</v>
      </c>
      <c r="D22342" s="5" t="s">
        <v>29120</v>
      </c>
      <c r="E22342" s="6" t="str">
        <f>HYPERLINK("https://inpn.mnhn.fr/espece/cd_nom/434442","Kindbergia praelonga (Hedw.) Ochyra, 1982")</f>
        <v>Kindbergia praelonga (Hedw.) Ochyra, 1982</v>
      </c>
      <c r="P22342" s="7" t="str">
        <f>HYPERLINK("#Liste_rouge!A"&amp;_xlfn.XMATCH("LC",Liste_rouge!A:A,2,1),"LC")</f>
        <v>LC</v>
      </c>
      <c r="T22342" s="7" t="str">
        <f>HYPERLINK("#Liste_rouge!A"&amp;_xlfn.XMATCH("LC",Liste_rouge!A:A,2,1),"LC")</f>
        <v>LC</v>
      </c>
      <c r="V22342" s="7" t="str">
        <f>HYPERLINK("#Liste_rouge!A"&amp;_xlfn.XMATCH("LC",Liste_rouge!A:A,2,1),"LC (cd_nom 434442) - NE (cd_nom 434442)")</f>
        <v>LC (cd_nom 434442) - NE (cd_nom 434442)</v>
      </c>
      <c r="AH22342" s="4" t="str">
        <f>HYPERLINK("#Statut_biogéographique!A"&amp;_xlfn.XMATCH("P",Statut_biogéographique!A:A,2,1),"P")</f>
        <v>P</v>
      </c>
      <c r="AP22342" s="4" t="s">
        <v>376</v>
      </c>
      <c r="AR22342" s="4" t="s">
        <v>377</v>
      </c>
    </row>
    <row r="22343" spans="1:44" ht="30">
      <c r="A22343" s="4" t="s">
        <v>24364</v>
      </c>
      <c r="B22343" s="4">
        <v>434445</v>
      </c>
      <c r="D22343" s="5" t="s">
        <v>29121</v>
      </c>
      <c r="E22343" s="6" t="str">
        <f>HYPERLINK("https://inpn.mnhn.fr/espece/cd_nom/434445","Sciuro-hypnum flotowianum (Sendtn.) Ignatov &amp; Huttunen, 2002")</f>
        <v>Sciuro-hypnum flotowianum (Sendtn.) Ignatov &amp; Huttunen, 2002</v>
      </c>
      <c r="P22343" s="7" t="str">
        <f>HYPERLINK("#Liste_rouge!A"&amp;_xlfn.XMATCH("LC",Liste_rouge!A:A,2,1),"LC")</f>
        <v>LC</v>
      </c>
      <c r="V22343" s="7" t="str">
        <f>HYPERLINK("#Liste_rouge!A"&amp;_xlfn.XMATCH("DD",Liste_rouge!A:A,2,1),"DD")</f>
        <v>DD</v>
      </c>
      <c r="X22343" s="5" t="s">
        <v>374</v>
      </c>
      <c r="AB22343" s="4" t="s">
        <v>93</v>
      </c>
      <c r="AH22343" s="4" t="str">
        <f>HYPERLINK("#Statut_biogéographique!A"&amp;_xlfn.XMATCH("P",Statut_biogéographique!A:A,2,1),"P")</f>
        <v>P</v>
      </c>
      <c r="AP22343" s="4" t="s">
        <v>376</v>
      </c>
      <c r="AR22343" s="4" t="s">
        <v>377</v>
      </c>
    </row>
    <row r="22344" spans="1:44" ht="30">
      <c r="A22344" s="4" t="s">
        <v>24364</v>
      </c>
      <c r="B22344" s="4">
        <v>434446</v>
      </c>
      <c r="D22344" s="5" t="s">
        <v>29122</v>
      </c>
      <c r="E22344" s="6" t="str">
        <f>HYPERLINK("https://inpn.mnhn.fr/espece/cd_nom/434446","Sciuro-hypnum glaciale (Schimp.) Ignatov &amp; Huttunen, 2002")</f>
        <v>Sciuro-hypnum glaciale (Schimp.) Ignatov &amp; Huttunen, 2002</v>
      </c>
      <c r="P22344" s="7" t="str">
        <f>HYPERLINK("#Liste_rouge!A"&amp;_xlfn.XMATCH("LC",Liste_rouge!A:A,2,1),"LC")</f>
        <v>LC</v>
      </c>
      <c r="V22344" s="7" t="str">
        <f>HYPERLINK("#Liste_rouge!A"&amp;_xlfn.XMATCH("CR",Liste_rouge!A:A,2,1),"CR")</f>
        <v>CR</v>
      </c>
      <c r="X22344" s="5" t="s">
        <v>374</v>
      </c>
      <c r="AB22344" s="4" t="s">
        <v>93</v>
      </c>
      <c r="AH22344" s="4" t="str">
        <f>HYPERLINK("#Statut_biogéographique!A"&amp;_xlfn.XMATCH("P",Statut_biogéographique!A:A,2,1),"P")</f>
        <v>P</v>
      </c>
      <c r="AP22344" s="4" t="s">
        <v>376</v>
      </c>
      <c r="AR22344" s="4" t="s">
        <v>377</v>
      </c>
    </row>
    <row r="22345" spans="1:44" ht="30">
      <c r="A22345" s="4" t="s">
        <v>24364</v>
      </c>
      <c r="B22345" s="4">
        <v>434450</v>
      </c>
      <c r="D22345" s="5" t="s">
        <v>29123</v>
      </c>
      <c r="E22345" s="6" t="str">
        <f>HYPERLINK("https://inpn.mnhn.fr/espece/cd_nom/434450","Sciuro-hypnum plumosum (Hedw.) Ignatov &amp; Huttunen, 2002")</f>
        <v>Sciuro-hypnum plumosum (Hedw.) Ignatov &amp; Huttunen, 2002</v>
      </c>
      <c r="P22345" s="7" t="str">
        <f>HYPERLINK("#Liste_rouge!A"&amp;_xlfn.XMATCH("LC",Liste_rouge!A:A,2,1),"LC")</f>
        <v>LC</v>
      </c>
      <c r="T22345" s="7" t="str">
        <f>HYPERLINK("#Liste_rouge!A"&amp;_xlfn.XMATCH("NT",Liste_rouge!A:A,2,1),"NT")</f>
        <v>NT</v>
      </c>
      <c r="V22345" s="7" t="str">
        <f>HYPERLINK("#Liste_rouge!A"&amp;_xlfn.XMATCH("LC",Liste_rouge!A:A,2,1),"LC")</f>
        <v>LC</v>
      </c>
      <c r="AB22345" s="4" t="s">
        <v>26206</v>
      </c>
      <c r="AH22345" s="4" t="str">
        <f>HYPERLINK("#Statut_biogéographique!A"&amp;_xlfn.XMATCH("P",Statut_biogéographique!A:A,2,1),"P")</f>
        <v>P</v>
      </c>
      <c r="AP22345" s="4" t="s">
        <v>376</v>
      </c>
      <c r="AR22345" s="4" t="s">
        <v>377</v>
      </c>
    </row>
    <row r="22346" spans="1:44" ht="30">
      <c r="A22346" s="4" t="s">
        <v>24364</v>
      </c>
      <c r="B22346" s="4">
        <v>434451</v>
      </c>
      <c r="D22346" s="5" t="s">
        <v>29124</v>
      </c>
      <c r="E22346" s="6" t="str">
        <f>HYPERLINK("https://inpn.mnhn.fr/espece/cd_nom/434451","Sciuro-hypnum populeum (Hedw.) Ignatov &amp; Huttunen, 2002")</f>
        <v>Sciuro-hypnum populeum (Hedw.) Ignatov &amp; Huttunen, 2002</v>
      </c>
      <c r="P22346" s="7" t="str">
        <f>HYPERLINK("#Liste_rouge!A"&amp;_xlfn.XMATCH("LC",Liste_rouge!A:A,2,1),"LC")</f>
        <v>LC</v>
      </c>
      <c r="T22346" s="7" t="str">
        <f>HYPERLINK("#Liste_rouge!A"&amp;_xlfn.XMATCH("NT",Liste_rouge!A:A,2,1),"NT")</f>
        <v>NT</v>
      </c>
      <c r="V22346" s="7" t="str">
        <f>HYPERLINK("#Liste_rouge!A"&amp;_xlfn.XMATCH("LC",Liste_rouge!A:A,2,1),"LC")</f>
        <v>LC</v>
      </c>
      <c r="AH22346" s="4" t="str">
        <f>HYPERLINK("#Statut_biogéographique!A"&amp;_xlfn.XMATCH("P",Statut_biogéographique!A:A,2,1),"P")</f>
        <v>P</v>
      </c>
      <c r="AP22346" s="4" t="s">
        <v>376</v>
      </c>
      <c r="AR22346" s="4" t="s">
        <v>377</v>
      </c>
    </row>
    <row r="22347" spans="1:44" ht="30">
      <c r="A22347" s="4" t="s">
        <v>24364</v>
      </c>
      <c r="B22347" s="4">
        <v>434452</v>
      </c>
      <c r="D22347" s="5" t="s">
        <v>29125</v>
      </c>
      <c r="E22347" s="6" t="str">
        <f>HYPERLINK("https://inpn.mnhn.fr/espece/cd_nom/434452","Sciuro-hypnum reflexum (Starke) Ignatov &amp; Huttunen, 2002")</f>
        <v>Sciuro-hypnum reflexum (Starke) Ignatov &amp; Huttunen, 2002</v>
      </c>
      <c r="P22347" s="7" t="str">
        <f>HYPERLINK("#Liste_rouge!A"&amp;_xlfn.XMATCH("LC",Liste_rouge!A:A,2,1),"LC")</f>
        <v>LC</v>
      </c>
      <c r="V22347" s="7" t="str">
        <f>HYPERLINK("#Liste_rouge!A"&amp;_xlfn.XMATCH("LC",Liste_rouge!A:A,2,1),"LC")</f>
        <v>LC</v>
      </c>
      <c r="AH22347" s="4" t="str">
        <f>HYPERLINK("#Statut_biogéographique!A"&amp;_xlfn.XMATCH("P",Statut_biogéographique!A:A,2,1),"P")</f>
        <v>P</v>
      </c>
      <c r="AP22347" s="4" t="s">
        <v>376</v>
      </c>
      <c r="AR22347" s="4" t="s">
        <v>377</v>
      </c>
    </row>
    <row r="22348" spans="1:44" ht="30">
      <c r="A22348" s="4" t="s">
        <v>24364</v>
      </c>
      <c r="B22348" s="4">
        <v>434453</v>
      </c>
      <c r="D22348" s="5" t="s">
        <v>29126</v>
      </c>
      <c r="E22348" s="6" t="str">
        <f>HYPERLINK("https://inpn.mnhn.fr/espece/cd_nom/434453","Sciuro-hypnum starkei (Brid.) Ignatov &amp; Huttunen, 2002")</f>
        <v>Sciuro-hypnum starkei (Brid.) Ignatov &amp; Huttunen, 2002</v>
      </c>
      <c r="P22348" s="7" t="str">
        <f>HYPERLINK("#Liste_rouge!A"&amp;_xlfn.XMATCH("LC",Liste_rouge!A:A,2,1),"LC")</f>
        <v>LC</v>
      </c>
      <c r="T22348" s="7" t="str">
        <f>HYPERLINK("#Liste_rouge!A"&amp;_xlfn.XMATCH("RE",Liste_rouge!A:A,2,1),"RE")</f>
        <v>RE</v>
      </c>
      <c r="V22348" s="7" t="str">
        <f>HYPERLINK("#Liste_rouge!A"&amp;_xlfn.XMATCH("NT",Liste_rouge!A:A,2,1),"NT")</f>
        <v>NT</v>
      </c>
      <c r="X22348" s="5" t="s">
        <v>374</v>
      </c>
      <c r="AB22348" s="4" t="s">
        <v>93</v>
      </c>
      <c r="AH22348" s="4" t="str">
        <f>HYPERLINK("#Statut_biogéographique!A"&amp;_xlfn.XMATCH("P",Statut_biogéographique!A:A,2,1),"P")</f>
        <v>P</v>
      </c>
      <c r="AP22348" s="4" t="s">
        <v>376</v>
      </c>
      <c r="AR22348" s="4" t="s">
        <v>377</v>
      </c>
    </row>
    <row r="22349" spans="1:44">
      <c r="A22349" s="4" t="s">
        <v>24364</v>
      </c>
      <c r="B22349" s="4">
        <v>434456</v>
      </c>
      <c r="D22349" s="5" t="s">
        <v>29127</v>
      </c>
      <c r="E22349" s="6" t="str">
        <f>HYPERLINK("https://inpn.mnhn.fr/espece/cd_nom/434456","Brachythecium laetum (Brid.) Schimp., 1853")</f>
        <v>Brachythecium laetum (Brid.) Schimp., 1853</v>
      </c>
      <c r="P22349" s="7" t="str">
        <f>HYPERLINK("#Liste_rouge!A"&amp;_xlfn.XMATCH("LC",Liste_rouge!A:A,2,1),"LC")</f>
        <v>LC</v>
      </c>
      <c r="T22349" s="7" t="str">
        <f>HYPERLINK("#Liste_rouge!A"&amp;_xlfn.XMATCH("CR",Liste_rouge!A:A,2,1),"CR")</f>
        <v>CR</v>
      </c>
      <c r="V22349" s="7" t="str">
        <f>HYPERLINK("#Liste_rouge!A"&amp;_xlfn.XMATCH("VU",Liste_rouge!A:A,2,1),"VU")</f>
        <v>VU</v>
      </c>
      <c r="X22349" s="5" t="s">
        <v>374</v>
      </c>
      <c r="AB22349" s="4" t="s">
        <v>93</v>
      </c>
      <c r="AH22349" s="4" t="str">
        <f>HYPERLINK("#Statut_biogéographique!A"&amp;_xlfn.XMATCH("P",Statut_biogéographique!A:A,2,1),"P")</f>
        <v>P</v>
      </c>
      <c r="AP22349" s="4" t="s">
        <v>376</v>
      </c>
      <c r="AR22349" s="4" t="s">
        <v>377</v>
      </c>
    </row>
    <row r="22350" spans="1:44" ht="30">
      <c r="A22350" s="4" t="s">
        <v>24364</v>
      </c>
      <c r="B22350" s="4">
        <v>434458</v>
      </c>
      <c r="D22350" s="5" t="s">
        <v>29128</v>
      </c>
      <c r="E22350" s="6" t="str">
        <f>HYPERLINK("https://inpn.mnhn.fr/espece/cd_nom/434458","Brachythecium tommasinii (Sendtn. ex Boulay) Ignatov &amp; Huttunen, 2002")</f>
        <v>Brachythecium tommasinii (Sendtn. ex Boulay) Ignatov &amp; Huttunen, 2002</v>
      </c>
      <c r="P22350" s="7" t="str">
        <f>HYPERLINK("#Liste_rouge!A"&amp;_xlfn.XMATCH("LC",Liste_rouge!A:A,2,1),"LC")</f>
        <v>LC</v>
      </c>
      <c r="T22350" s="7" t="str">
        <f>HYPERLINK("#Liste_rouge!A"&amp;_xlfn.XMATCH("LC",Liste_rouge!A:A,2,1),"LC")</f>
        <v>LC</v>
      </c>
      <c r="V22350" s="7" t="str">
        <f>HYPERLINK("#Liste_rouge!A"&amp;_xlfn.XMATCH("LC",Liste_rouge!A:A,2,1),"LC")</f>
        <v>LC</v>
      </c>
      <c r="AH22350" s="4" t="str">
        <f>HYPERLINK("#Statut_biogéographique!A"&amp;_xlfn.XMATCH("P",Statut_biogéographique!A:A,2,1),"P")</f>
        <v>P</v>
      </c>
      <c r="AP22350" s="4" t="s">
        <v>376</v>
      </c>
      <c r="AR22350" s="4" t="s">
        <v>377</v>
      </c>
    </row>
    <row r="22351" spans="1:44" ht="30">
      <c r="A22351" s="4" t="s">
        <v>24364</v>
      </c>
      <c r="B22351" s="4">
        <v>434459</v>
      </c>
      <c r="D22351" s="5" t="s">
        <v>29129</v>
      </c>
      <c r="E22351" s="6" t="str">
        <f>HYPERLINK("https://inpn.mnhn.fr/espece/cd_nom/434459","Eurhynchiastrum pulchellum (Hedw.) Ignatov &amp; Huttunen, 2002")</f>
        <v>Eurhynchiastrum pulchellum (Hedw.) Ignatov &amp; Huttunen, 2002</v>
      </c>
      <c r="P22351" s="7" t="str">
        <f>HYPERLINK("#Liste_rouge!A"&amp;_xlfn.XMATCH("LC",Liste_rouge!A:A,2,1),"LC")</f>
        <v>LC</v>
      </c>
      <c r="T22351" s="7" t="str">
        <f>HYPERLINK("#Liste_rouge!A"&amp;_xlfn.XMATCH("DD",Liste_rouge!A:A,2,1),"DD (cd_nom 434655) - CR (cd_nom 434459)")</f>
        <v>DD (cd_nom 434655) - CR (cd_nom 434459)</v>
      </c>
      <c r="V22351" s="7" t="str">
        <f>HYPERLINK("#Liste_rouge!A"&amp;_xlfn.XMATCH("DD",Liste_rouge!A:A,2,1),"DD")</f>
        <v>DD</v>
      </c>
      <c r="X22351" s="5" t="s">
        <v>374</v>
      </c>
      <c r="AB22351" s="4" t="s">
        <v>93</v>
      </c>
      <c r="AH22351" s="4" t="str">
        <f>HYPERLINK("#Statut_biogéographique!A"&amp;_xlfn.XMATCH("P",Statut_biogéographique!A:A,2,1),"P")</f>
        <v>P</v>
      </c>
      <c r="AP22351" s="4" t="s">
        <v>376</v>
      </c>
      <c r="AR22351" s="4" t="s">
        <v>377</v>
      </c>
    </row>
    <row r="22352" spans="1:44" ht="45">
      <c r="A22352" s="4" t="s">
        <v>24364</v>
      </c>
      <c r="B22352" s="4">
        <v>434463</v>
      </c>
      <c r="D22352" s="5" t="s">
        <v>29130</v>
      </c>
      <c r="E22352" s="6" t="str">
        <f>HYPERLINK("https://inpn.mnhn.fr/espece/cd_nom/434463","Brachytheciastrum olympicum (Jur.) Vanderp., Ignatov, Huttunen &amp; Goffinet, 2005")</f>
        <v>Brachytheciastrum olympicum (Jur.) Vanderp., Ignatov, Huttunen &amp; Goffinet, 2005</v>
      </c>
      <c r="P22352" s="7" t="str">
        <f>HYPERLINK("#Liste_rouge!A"&amp;_xlfn.XMATCH("VU",Liste_rouge!A:A,2,1),"VU")</f>
        <v>VU</v>
      </c>
      <c r="V22352" s="7" t="str">
        <f>HYPERLINK("#Liste_rouge!A"&amp;_xlfn.XMATCH("NA",Liste_rouge!A:A,2,1),"NA")</f>
        <v>NA</v>
      </c>
      <c r="AH22352" s="4" t="str">
        <f>HYPERLINK("#Statut_biogéographique!A"&amp;_xlfn.XMATCH("P",Statut_biogéographique!A:A,2,1),"P")</f>
        <v>P</v>
      </c>
      <c r="AP22352" s="4" t="s">
        <v>376</v>
      </c>
      <c r="AR22352" s="4" t="s">
        <v>377</v>
      </c>
    </row>
    <row r="22353" spans="1:44" ht="45">
      <c r="A22353" s="4" t="s">
        <v>24364</v>
      </c>
      <c r="B22353" s="4">
        <v>434466</v>
      </c>
      <c r="D22353" s="5" t="s">
        <v>29131</v>
      </c>
      <c r="E22353" s="6" t="str">
        <f>HYPERLINK("https://inpn.mnhn.fr/espece/cd_nom/434466","Brachytheciastrum velutinum (Hedw.) Ignatov &amp; Huttunen, 2002")</f>
        <v>Brachytheciastrum velutinum (Hedw.) Ignatov &amp; Huttunen, 2002</v>
      </c>
      <c r="O22353" s="7" t="str">
        <f>HYPERLINK("#Liste_rouge!A"&amp;_xlfn.XMATCH("EN",Liste_rouge!A:A,2,1),"EN")</f>
        <v>EN</v>
      </c>
      <c r="P22353" s="7" t="str">
        <f>HYPERLINK("#Liste_rouge!A"&amp;_xlfn.XMATCH("LC",Liste_rouge!A:A,2,1),"LC (cd_nom 434466) - EN (cd_nom 434465)")</f>
        <v>LC (cd_nom 434466) - EN (cd_nom 434465)</v>
      </c>
      <c r="T22353" s="7" t="str">
        <f>HYPERLINK("#Liste_rouge!A"&amp;_xlfn.XMATCH("LC",Liste_rouge!A:A,2,1),"LC (cd_nom 434466) - DD (cd_nom 434659)")</f>
        <v>LC (cd_nom 434466) - DD (cd_nom 434659)</v>
      </c>
      <c r="V22353" s="7" t="str">
        <f>HYPERLINK("#Liste_rouge!A"&amp;_xlfn.XMATCH("LC",Liste_rouge!A:A,2,1),"LC")</f>
        <v>LC</v>
      </c>
      <c r="AH22353" s="4" t="str">
        <f>HYPERLINK("#Statut_biogéographique!A"&amp;_xlfn.XMATCH("P",Statut_biogéographique!A:A,2,1),"P")</f>
        <v>P</v>
      </c>
      <c r="AP22353" s="4" t="s">
        <v>376</v>
      </c>
      <c r="AR22353" s="4" t="s">
        <v>377</v>
      </c>
    </row>
    <row r="22354" spans="1:44">
      <c r="A22354" s="4" t="s">
        <v>24364</v>
      </c>
      <c r="B22354" s="4">
        <v>434468</v>
      </c>
      <c r="D22354" s="5" t="s">
        <v>29132</v>
      </c>
      <c r="E22354" s="6" t="str">
        <f>HYPERLINK("https://inpn.mnhn.fr/espece/cd_nom/434468","Calliergonella lindbergii (Mitt.) Hedenäs, 1990")</f>
        <v>Calliergonella lindbergii (Mitt.) Hedenäs, 1990</v>
      </c>
      <c r="P22354" s="7" t="str">
        <f>HYPERLINK("#Liste_rouge!A"&amp;_xlfn.XMATCH("LC",Liste_rouge!A:A,2,1),"LC")</f>
        <v>LC</v>
      </c>
      <c r="T22354" s="7" t="str">
        <f>HYPERLINK("#Liste_rouge!A"&amp;_xlfn.XMATCH("DD",Liste_rouge!A:A,2,1),"DD")</f>
        <v>DD</v>
      </c>
      <c r="V22354" s="7" t="str">
        <f>HYPERLINK("#Liste_rouge!A"&amp;_xlfn.XMATCH("DD",Liste_rouge!A:A,2,1),"DD")</f>
        <v>DD</v>
      </c>
      <c r="AB22354" s="4" t="s">
        <v>24894</v>
      </c>
      <c r="AH22354" s="4" t="str">
        <f>HYPERLINK("#Statut_biogéographique!A"&amp;_xlfn.XMATCH("P",Statut_biogéographique!A:A,2,1),"P")</f>
        <v>P</v>
      </c>
      <c r="AP22354" s="4" t="s">
        <v>376</v>
      </c>
      <c r="AR22354" s="4" t="s">
        <v>377</v>
      </c>
    </row>
    <row r="22355" spans="1:44" ht="30">
      <c r="A22355" s="4" t="s">
        <v>24364</v>
      </c>
      <c r="B22355" s="4">
        <v>434530</v>
      </c>
      <c r="D22355" s="5" t="s">
        <v>29133</v>
      </c>
      <c r="E22355" s="6" t="str">
        <f>HYPERLINK("https://inpn.mnhn.fr/espece/cd_nom/434530","Andreaea rothii subsp. falcata (Schimp.) Lindb., 1879")</f>
        <v>Andreaea rothii subsp. falcata (Schimp.) Lindb., 1879</v>
      </c>
      <c r="T22355" s="7" t="str">
        <f>HYPERLINK("#Liste_rouge!A"&amp;_xlfn.XMATCH("VU",Liste_rouge!A:A,2,1),"VU")</f>
        <v>VU</v>
      </c>
      <c r="V22355" s="7" t="str">
        <f>HYPERLINK("#Liste_rouge!A"&amp;_xlfn.XMATCH("NE",Liste_rouge!A:A,2,1),"NE")</f>
        <v>NE</v>
      </c>
      <c r="AH22355" s="4" t="str">
        <f>HYPERLINK("#Statut_biogéographique!A"&amp;_xlfn.XMATCH("P",Statut_biogéographique!A:A,2,1),"P")</f>
        <v>P</v>
      </c>
      <c r="AP22355" s="4" t="s">
        <v>376</v>
      </c>
      <c r="AR22355" s="4" t="s">
        <v>377</v>
      </c>
    </row>
    <row r="22356" spans="1:44" ht="30">
      <c r="A22356" s="4" t="s">
        <v>24364</v>
      </c>
      <c r="B22356" s="4">
        <v>434531</v>
      </c>
      <c r="D22356" s="5">
        <v>434531</v>
      </c>
      <c r="E22356" s="6" t="str">
        <f>HYPERLINK("https://inpn.mnhn.fr/espece/cd_nom/434531","Andreaea rothii subsp. rothii F.Weber &amp; D.Mohr, 1807")</f>
        <v>Andreaea rothii subsp. rothii F.Weber &amp; D.Mohr, 1807</v>
      </c>
      <c r="T22356" s="7" t="str">
        <f>HYPERLINK("#Liste_rouge!A"&amp;_xlfn.XMATCH("VU",Liste_rouge!A:A,2,1),"VU")</f>
        <v>VU</v>
      </c>
      <c r="AH22356" s="4" t="str">
        <f>HYPERLINK("#Statut_biogéographique!A"&amp;_xlfn.XMATCH("P",Statut_biogéographique!A:A,2,1),"P")</f>
        <v>P</v>
      </c>
      <c r="AP22356" s="4" t="s">
        <v>376</v>
      </c>
      <c r="AR22356" s="4" t="s">
        <v>377</v>
      </c>
    </row>
    <row r="22357" spans="1:44" ht="30">
      <c r="A22357" s="4" t="s">
        <v>24364</v>
      </c>
      <c r="B22357" s="4">
        <v>434532</v>
      </c>
      <c r="D22357" s="5" t="s">
        <v>29134</v>
      </c>
      <c r="E22357" s="6" t="str">
        <f>HYPERLINK("https://inpn.mnhn.fr/espece/cd_nom/434532","Andreaea rupestris var. papillosa (Lindb.) Podp., 1954")</f>
        <v>Andreaea rupestris var. papillosa (Lindb.) Podp., 1954</v>
      </c>
      <c r="AH22357" s="4" t="str">
        <f>HYPERLINK("#Statut_biogéographique!A"&amp;_xlfn.XMATCH("P",Statut_biogéographique!A:A,2,1),"P")</f>
        <v>P</v>
      </c>
      <c r="AP22357" s="4" t="s">
        <v>376</v>
      </c>
      <c r="AR22357" s="4" t="s">
        <v>377</v>
      </c>
    </row>
    <row r="22358" spans="1:44" ht="30">
      <c r="A22358" s="4" t="s">
        <v>24364</v>
      </c>
      <c r="B22358" s="4">
        <v>434544</v>
      </c>
      <c r="D22358" s="5">
        <v>434544</v>
      </c>
      <c r="E22358" s="6" t="str">
        <f>HYPERLINK("https://inpn.mnhn.fr/espece/cd_nom/434544","Schistidium elegantulum subsp. elegantulum H.H.Blom, 1996")</f>
        <v>Schistidium elegantulum subsp. elegantulum H.H.Blom, 1996</v>
      </c>
      <c r="T22358" s="7" t="str">
        <f>HYPERLINK("#Liste_rouge!A"&amp;_xlfn.XMATCH("LC",Liste_rouge!A:A,2,1),"LC")</f>
        <v>LC</v>
      </c>
      <c r="V22358" s="7" t="str">
        <f>HYPERLINK("#Liste_rouge!A"&amp;_xlfn.XMATCH("NE",Liste_rouge!A:A,2,1),"NE")</f>
        <v>NE</v>
      </c>
      <c r="AH22358" s="4" t="str">
        <f>HYPERLINK("#Statut_biogéographique!A"&amp;_xlfn.XMATCH("P",Statut_biogéographique!A:A,2,1),"P")</f>
        <v>P</v>
      </c>
      <c r="AP22358" s="4" t="s">
        <v>376</v>
      </c>
      <c r="AR22358" s="4" t="s">
        <v>377</v>
      </c>
    </row>
    <row r="22359" spans="1:44">
      <c r="A22359" s="4" t="s">
        <v>24364</v>
      </c>
      <c r="B22359" s="4">
        <v>434556</v>
      </c>
      <c r="D22359" s="5">
        <v>434556</v>
      </c>
      <c r="E22359" s="6" t="str">
        <f>HYPERLINK("https://inpn.mnhn.fr/espece/cd_nom/434556","Fissidens bryoides var. bryoides Hedw., 1801")</f>
        <v>Fissidens bryoides var. bryoides Hedw., 1801</v>
      </c>
      <c r="T22359" s="7" t="str">
        <f>HYPERLINK("#Liste_rouge!A"&amp;_xlfn.XMATCH("LC",Liste_rouge!A:A,2,1),"LC")</f>
        <v>LC</v>
      </c>
      <c r="V22359" s="7" t="str">
        <f>HYPERLINK("#Liste_rouge!A"&amp;_xlfn.XMATCH("NE",Liste_rouge!A:A,2,1),"NE")</f>
        <v>NE</v>
      </c>
      <c r="AH22359" s="4" t="str">
        <f>HYPERLINK("#Statut_biogéographique!A"&amp;_xlfn.XMATCH("P",Statut_biogéographique!A:A,2,1),"P")</f>
        <v>P</v>
      </c>
      <c r="AP22359" s="4" t="s">
        <v>376</v>
      </c>
      <c r="AR22359" s="4" t="s">
        <v>377</v>
      </c>
    </row>
    <row r="22360" spans="1:44" ht="30">
      <c r="A22360" s="4" t="s">
        <v>24364</v>
      </c>
      <c r="B22360" s="4">
        <v>434557</v>
      </c>
      <c r="D22360" s="5" t="s">
        <v>29135</v>
      </c>
      <c r="E22360" s="6" t="str">
        <f>HYPERLINK("https://inpn.mnhn.fr/espece/cd_nom/434557","Fissidens bryoides var. caespitans Schimp., 1876")</f>
        <v>Fissidens bryoides var. caespitans Schimp., 1876</v>
      </c>
      <c r="T22360" s="7" t="str">
        <f>HYPERLINK("#Liste_rouge!A"&amp;_xlfn.XMATCH("DD",Liste_rouge!A:A,2,1),"DD")</f>
        <v>DD</v>
      </c>
      <c r="V22360" s="7" t="str">
        <f>HYPERLINK("#Liste_rouge!A"&amp;_xlfn.XMATCH("NE",Liste_rouge!A:A,2,1),"NE")</f>
        <v>NE</v>
      </c>
      <c r="AH22360" s="4" t="str">
        <f>HYPERLINK("#Statut_biogéographique!A"&amp;_xlfn.XMATCH("P",Statut_biogéographique!A:A,2,1),"P")</f>
        <v>P</v>
      </c>
      <c r="AP22360" s="4" t="s">
        <v>376</v>
      </c>
      <c r="AR22360" s="4" t="s">
        <v>377</v>
      </c>
    </row>
    <row r="22361" spans="1:44" ht="30">
      <c r="A22361" s="4" t="s">
        <v>24364</v>
      </c>
      <c r="B22361" s="4">
        <v>434558</v>
      </c>
      <c r="D22361" s="5" t="s">
        <v>29136</v>
      </c>
      <c r="E22361" s="6" t="str">
        <f>HYPERLINK("https://inpn.mnhn.fr/espece/cd_nom/434558","Fissidens crassipes subsp. crassipes Wilson ex Bruch &amp; Schimp., 1849")</f>
        <v>Fissidens crassipes subsp. crassipes Wilson ex Bruch &amp; Schimp., 1849</v>
      </c>
      <c r="T22361" s="7" t="str">
        <f>HYPERLINK("#Liste_rouge!A"&amp;_xlfn.XMATCH("LC",Liste_rouge!A:A,2,1),"LC")</f>
        <v>LC</v>
      </c>
      <c r="V22361" s="7" t="str">
        <f>HYPERLINK("#Liste_rouge!A"&amp;_xlfn.XMATCH("NE",Liste_rouge!A:A,2,1),"NE")</f>
        <v>NE</v>
      </c>
      <c r="AH22361" s="4" t="str">
        <f>HYPERLINK("#Statut_biogéographique!A"&amp;_xlfn.XMATCH("P",Statut_biogéographique!A:A,2,1),"P")</f>
        <v>P</v>
      </c>
      <c r="AP22361" s="4" t="s">
        <v>376</v>
      </c>
      <c r="AR22361" s="4" t="s">
        <v>377</v>
      </c>
    </row>
    <row r="22362" spans="1:44" ht="30">
      <c r="A22362" s="4" t="s">
        <v>24364</v>
      </c>
      <c r="B22362" s="4">
        <v>434562</v>
      </c>
      <c r="D22362" s="5" t="s">
        <v>29137</v>
      </c>
      <c r="E22362" s="6" t="str">
        <f>HYPERLINK("https://inpn.mnhn.fr/espece/cd_nom/434562","Ceratodon purpureus subsp. purpureus (Hedw.) Brid., 1826")</f>
        <v>Ceratodon purpureus subsp. purpureus (Hedw.) Brid., 1826</v>
      </c>
      <c r="V22362" s="7" t="str">
        <f>HYPERLINK("#Liste_rouge!A"&amp;_xlfn.XMATCH("NE",Liste_rouge!A:A,2,1),"NE")</f>
        <v>NE</v>
      </c>
      <c r="AH22362" s="4" t="str">
        <f>HYPERLINK("#Statut_biogéographique!A"&amp;_xlfn.XMATCH("P",Statut_biogéographique!A:A,2,1),"P")</f>
        <v>P</v>
      </c>
      <c r="AP22362" s="4" t="s">
        <v>376</v>
      </c>
      <c r="AR22362" s="4" t="s">
        <v>377</v>
      </c>
    </row>
    <row r="22363" spans="1:44" ht="30">
      <c r="A22363" s="4" t="s">
        <v>24364</v>
      </c>
      <c r="B22363" s="4">
        <v>434577</v>
      </c>
      <c r="D22363" s="5">
        <v>434577</v>
      </c>
      <c r="E22363" s="6" t="str">
        <f>HYPERLINK("https://inpn.mnhn.fr/espece/cd_nom/434577","Tortella tortuosa var. fragilifolia (Jur.) Limpr., 1888")</f>
        <v>Tortella tortuosa var. fragilifolia (Jur.) Limpr., 1888</v>
      </c>
      <c r="T22363" s="7" t="str">
        <f>HYPERLINK("#Liste_rouge!A"&amp;_xlfn.XMATCH("DD",Liste_rouge!A:A,2,1),"DD")</f>
        <v>DD</v>
      </c>
      <c r="V22363" s="7" t="str">
        <f>HYPERLINK("#Liste_rouge!A"&amp;_xlfn.XMATCH("NE",Liste_rouge!A:A,2,1),"NE")</f>
        <v>NE</v>
      </c>
      <c r="AH22363" s="4" t="str">
        <f>HYPERLINK("#Statut_biogéographique!A"&amp;_xlfn.XMATCH("D",Statut_biogéographique!A:A,2,1),"D")</f>
        <v>D</v>
      </c>
      <c r="AP22363" s="4" t="s">
        <v>376</v>
      </c>
      <c r="AR22363" s="4" t="s">
        <v>377</v>
      </c>
    </row>
    <row r="22364" spans="1:44" ht="30">
      <c r="A22364" s="4" t="s">
        <v>24364</v>
      </c>
      <c r="B22364" s="4">
        <v>434578</v>
      </c>
      <c r="D22364" s="5">
        <v>434578</v>
      </c>
      <c r="E22364" s="6" t="str">
        <f>HYPERLINK("https://inpn.mnhn.fr/espece/cd_nom/434578","Tortella tortuosa var. tortuosa (Hedw.) Limpr., 1888")</f>
        <v>Tortella tortuosa var. tortuosa (Hedw.) Limpr., 1888</v>
      </c>
      <c r="T22364" s="7" t="str">
        <f>HYPERLINK("#Liste_rouge!A"&amp;_xlfn.XMATCH("DD",Liste_rouge!A:A,2,1),"DD")</f>
        <v>DD</v>
      </c>
      <c r="AH22364" s="4" t="str">
        <f>HYPERLINK("#Statut_biogéographique!A"&amp;_xlfn.XMATCH("P",Statut_biogéographique!A:A,2,1),"P")</f>
        <v>P</v>
      </c>
      <c r="AP22364" s="4" t="s">
        <v>376</v>
      </c>
      <c r="AR22364" s="4" t="s">
        <v>377</v>
      </c>
    </row>
    <row r="22365" spans="1:44" ht="30">
      <c r="A22365" s="4" t="s">
        <v>24364</v>
      </c>
      <c r="B22365" s="4">
        <v>434581</v>
      </c>
      <c r="D22365" s="5">
        <v>434581</v>
      </c>
      <c r="E22365" s="6" t="str">
        <f>HYPERLINK("https://inpn.mnhn.fr/espece/cd_nom/434581","Weissia controversa var. controversa Hedw., 1801")</f>
        <v>Weissia controversa var. controversa Hedw., 1801</v>
      </c>
      <c r="T22365" s="7" t="str">
        <f>HYPERLINK("#Liste_rouge!A"&amp;_xlfn.XMATCH("DD",Liste_rouge!A:A,2,1),"DD")</f>
        <v>DD</v>
      </c>
      <c r="V22365" s="7" t="str">
        <f>HYPERLINK("#Liste_rouge!A"&amp;_xlfn.XMATCH("NE",Liste_rouge!A:A,2,1),"NE")</f>
        <v>NE</v>
      </c>
      <c r="AH22365" s="4" t="str">
        <f>HYPERLINK("#Statut_biogéographique!A"&amp;_xlfn.XMATCH("P",Statut_biogéographique!A:A,2,1),"P")</f>
        <v>P</v>
      </c>
      <c r="AP22365" s="4" t="s">
        <v>376</v>
      </c>
      <c r="AR22365" s="4" t="s">
        <v>377</v>
      </c>
    </row>
    <row r="22366" spans="1:44" ht="30">
      <c r="A22366" s="4" t="s">
        <v>24364</v>
      </c>
      <c r="B22366" s="4">
        <v>434582</v>
      </c>
      <c r="D22366" s="5" t="s">
        <v>29138</v>
      </c>
      <c r="E22366" s="6" t="str">
        <f>HYPERLINK("https://inpn.mnhn.fr/espece/cd_nom/434582","Weissia controversa var. crispata (Nees &amp; Hornsch.) Nyholm, 1969")</f>
        <v>Weissia controversa var. crispata (Nees &amp; Hornsch.) Nyholm, 1969</v>
      </c>
      <c r="T22366" s="7" t="str">
        <f>HYPERLINK("#Liste_rouge!A"&amp;_xlfn.XMATCH("DD",Liste_rouge!A:A,2,1),"DD")</f>
        <v>DD</v>
      </c>
      <c r="V22366" s="7" t="str">
        <f>HYPERLINK("#Liste_rouge!A"&amp;_xlfn.XMATCH("NE",Liste_rouge!A:A,2,1),"NE")</f>
        <v>NE</v>
      </c>
      <c r="AH22366" s="4" t="str">
        <f>HYPERLINK("#Statut_biogéographique!A"&amp;_xlfn.XMATCH("P",Statut_biogéographique!A:A,2,1),"P")</f>
        <v>P</v>
      </c>
      <c r="AP22366" s="4" t="s">
        <v>376</v>
      </c>
      <c r="AR22366" s="4" t="s">
        <v>377</v>
      </c>
    </row>
    <row r="22367" spans="1:44" ht="30">
      <c r="A22367" s="4" t="s">
        <v>24364</v>
      </c>
      <c r="B22367" s="4">
        <v>434586</v>
      </c>
      <c r="D22367" s="5" t="s">
        <v>29139</v>
      </c>
      <c r="E22367" s="6" t="str">
        <f>HYPERLINK("https://inpn.mnhn.fr/espece/cd_nom/434586","Crossidium squamiferum var. pottioideum (De Not.) Mönk.")</f>
        <v>Crossidium squamiferum var. pottioideum (De Not.) Mönk.</v>
      </c>
      <c r="V22367" s="7" t="str">
        <f>HYPERLINK("#Liste_rouge!A"&amp;_xlfn.XMATCH("NE",Liste_rouge!A:A,2,1),"NE")</f>
        <v>NE</v>
      </c>
      <c r="AH22367" s="4" t="str">
        <f>HYPERLINK("#Statut_biogéographique!A"&amp;_xlfn.XMATCH("P",Statut_biogéographique!A:A,2,1),"P")</f>
        <v>P</v>
      </c>
      <c r="AP22367" s="4" t="s">
        <v>376</v>
      </c>
      <c r="AR22367" s="4" t="s">
        <v>377</v>
      </c>
    </row>
    <row r="22368" spans="1:44" ht="30">
      <c r="A22368" s="4" t="s">
        <v>24364</v>
      </c>
      <c r="B22368" s="4">
        <v>434598</v>
      </c>
      <c r="D22368" s="5" t="s">
        <v>29140</v>
      </c>
      <c r="E22368" s="6" t="str">
        <f>HYPERLINK("https://inpn.mnhn.fr/espece/cd_nom/434598","Syntrichia caninervis var. gypsophila (J.J.Amann ex G.Roth) Ochyra, 1992")</f>
        <v>Syntrichia caninervis var. gypsophila (J.J.Amann ex G.Roth) Ochyra, 1992</v>
      </c>
      <c r="AH22368" s="4" t="str">
        <f>HYPERLINK("#Statut_biogéographique!A"&amp;_xlfn.XMATCH("P",Statut_biogéographique!A:A,2,1),"P")</f>
        <v>P</v>
      </c>
      <c r="AP22368" s="4" t="s">
        <v>376</v>
      </c>
      <c r="AR22368" s="4" t="s">
        <v>377</v>
      </c>
    </row>
    <row r="22369" spans="1:44" ht="30">
      <c r="A22369" s="4" t="s">
        <v>24364</v>
      </c>
      <c r="B22369" s="4">
        <v>434599</v>
      </c>
      <c r="D22369" s="5" t="s">
        <v>29141</v>
      </c>
      <c r="E22369" s="6" t="str">
        <f>HYPERLINK("https://inpn.mnhn.fr/espece/cd_nom/434599","Syntrichia montana var. calva (Durieu &amp; Sagot ex Bruch &amp; Schimp.) J.J.Amann")</f>
        <v>Syntrichia montana var. calva (Durieu &amp; Sagot ex Bruch &amp; Schimp.) J.J.Amann</v>
      </c>
      <c r="T22369" s="7" t="str">
        <f>HYPERLINK("#Liste_rouge!A"&amp;_xlfn.XMATCH("DD",Liste_rouge!A:A,2,1),"DD")</f>
        <v>DD</v>
      </c>
      <c r="V22369" s="7" t="str">
        <f>HYPERLINK("#Liste_rouge!A"&amp;_xlfn.XMATCH("NE",Liste_rouge!A:A,2,1),"NE")</f>
        <v>NE</v>
      </c>
      <c r="AH22369" s="4" t="str">
        <f>HYPERLINK("#Statut_biogéographique!A"&amp;_xlfn.XMATCH("P",Statut_biogéographique!A:A,2,1),"P")</f>
        <v>P</v>
      </c>
      <c r="AP22369" s="4" t="s">
        <v>376</v>
      </c>
      <c r="AR22369" s="4" t="s">
        <v>377</v>
      </c>
    </row>
    <row r="22370" spans="1:44">
      <c r="A22370" s="4" t="s">
        <v>24364</v>
      </c>
      <c r="B22370" s="4">
        <v>434600</v>
      </c>
      <c r="D22370" s="5">
        <v>434600</v>
      </c>
      <c r="E22370" s="6" t="str">
        <f>HYPERLINK("https://inpn.mnhn.fr/espece/cd_nom/434600","Syntrichia montana var. montana Nees, 1819")</f>
        <v>Syntrichia montana var. montana Nees, 1819</v>
      </c>
      <c r="T22370" s="7" t="str">
        <f>HYPERLINK("#Liste_rouge!A"&amp;_xlfn.XMATCH("LC",Liste_rouge!A:A,2,1),"LC")</f>
        <v>LC</v>
      </c>
      <c r="V22370" s="7" t="str">
        <f>HYPERLINK("#Liste_rouge!A"&amp;_xlfn.XMATCH("NE",Liste_rouge!A:A,2,1),"NE")</f>
        <v>NE</v>
      </c>
      <c r="AH22370" s="4" t="str">
        <f>HYPERLINK("#Statut_biogéographique!A"&amp;_xlfn.XMATCH("P",Statut_biogéographique!A:A,2,1),"P")</f>
        <v>P</v>
      </c>
      <c r="AP22370" s="4" t="s">
        <v>376</v>
      </c>
      <c r="AR22370" s="4" t="s">
        <v>377</v>
      </c>
    </row>
    <row r="22371" spans="1:44" ht="30">
      <c r="A22371" s="4" t="s">
        <v>24364</v>
      </c>
      <c r="B22371" s="4">
        <v>434602</v>
      </c>
      <c r="D22371" s="5" t="s">
        <v>29142</v>
      </c>
      <c r="E22371" s="6" t="str">
        <f>HYPERLINK("https://inpn.mnhn.fr/espece/cd_nom/434602","Syntrichia ruralis var. ruralis (Hedw.) F.Weber &amp; D.Mohr, 1803")</f>
        <v>Syntrichia ruralis var. ruralis (Hedw.) F.Weber &amp; D.Mohr, 1803</v>
      </c>
      <c r="T22371" s="7" t="str">
        <f>HYPERLINK("#Liste_rouge!A"&amp;_xlfn.XMATCH("LC",Liste_rouge!A:A,2,1),"LC")</f>
        <v>LC</v>
      </c>
      <c r="V22371" s="7" t="str">
        <f>HYPERLINK("#Liste_rouge!A"&amp;_xlfn.XMATCH("NE",Liste_rouge!A:A,2,1),"NE")</f>
        <v>NE</v>
      </c>
      <c r="AH22371" s="4" t="str">
        <f>HYPERLINK("#Statut_biogéographique!A"&amp;_xlfn.XMATCH("P",Statut_biogéographique!A:A,2,1),"P")</f>
        <v>P</v>
      </c>
      <c r="AP22371" s="4" t="s">
        <v>376</v>
      </c>
      <c r="AR22371" s="4" t="s">
        <v>377</v>
      </c>
    </row>
    <row r="22372" spans="1:44" ht="30">
      <c r="A22372" s="4" t="s">
        <v>24364</v>
      </c>
      <c r="B22372" s="4">
        <v>434604</v>
      </c>
      <c r="D22372" s="5">
        <v>434604</v>
      </c>
      <c r="E22372" s="6" t="str">
        <f>HYPERLINK("https://inpn.mnhn.fr/espece/cd_nom/434604","Orthotrichum cupulatum var. cupulatum Hoffm. ex Brid., 1801")</f>
        <v>Orthotrichum cupulatum var. cupulatum Hoffm. ex Brid., 1801</v>
      </c>
      <c r="T22372" s="7" t="str">
        <f>HYPERLINK("#Liste_rouge!A"&amp;_xlfn.XMATCH("DD",Liste_rouge!A:A,2,1),"DD")</f>
        <v>DD</v>
      </c>
      <c r="V22372" s="7" t="str">
        <f>HYPERLINK("#Liste_rouge!A"&amp;_xlfn.XMATCH("NE",Liste_rouge!A:A,2,1),"NE")</f>
        <v>NE</v>
      </c>
      <c r="AH22372" s="4" t="str">
        <f>HYPERLINK("#Statut_biogéographique!A"&amp;_xlfn.XMATCH("P",Statut_biogéographique!A:A,2,1),"P")</f>
        <v>P</v>
      </c>
      <c r="AP22372" s="4" t="s">
        <v>376</v>
      </c>
      <c r="AR22372" s="4" t="s">
        <v>377</v>
      </c>
    </row>
    <row r="22373" spans="1:44" ht="30">
      <c r="A22373" s="4" t="s">
        <v>24364</v>
      </c>
      <c r="B22373" s="4">
        <v>434606</v>
      </c>
      <c r="D22373" s="5" t="s">
        <v>29143</v>
      </c>
      <c r="E22373" s="6" t="str">
        <f>HYPERLINK("https://inpn.mnhn.fr/espece/cd_nom/434606","Orthotrichum cupulatum var. riparium Huebener, 1833")</f>
        <v>Orthotrichum cupulatum var. riparium Huebener, 1833</v>
      </c>
      <c r="T22373" s="7" t="str">
        <f>HYPERLINK("#Liste_rouge!A"&amp;_xlfn.XMATCH("DD",Liste_rouge!A:A,2,1),"DD")</f>
        <v>DD</v>
      </c>
      <c r="V22373" s="7" t="str">
        <f>HYPERLINK("#Liste_rouge!A"&amp;_xlfn.XMATCH("NE",Liste_rouge!A:A,2,1),"NE")</f>
        <v>NE</v>
      </c>
      <c r="AH22373" s="4" t="str">
        <f>HYPERLINK("#Statut_biogéographique!A"&amp;_xlfn.XMATCH("P",Statut_biogéographique!A:A,2,1),"P")</f>
        <v>P</v>
      </c>
      <c r="AP22373" s="4" t="s">
        <v>376</v>
      </c>
      <c r="AR22373" s="4" t="s">
        <v>377</v>
      </c>
    </row>
    <row r="22374" spans="1:44" ht="30">
      <c r="A22374" s="4" t="s">
        <v>24364</v>
      </c>
      <c r="B22374" s="4">
        <v>434622</v>
      </c>
      <c r="D22374" s="5">
        <v>434622</v>
      </c>
      <c r="E22374" s="6" t="str">
        <f>HYPERLINK("https://inpn.mnhn.fr/espece/cd_nom/434622","Pohlia nutans subsp. nutans (Hedw.) Lindb., 1879")</f>
        <v>Pohlia nutans subsp. nutans (Hedw.) Lindb., 1879</v>
      </c>
      <c r="AH22374" s="4" t="str">
        <f>HYPERLINK("#Statut_biogéographique!A"&amp;_xlfn.XMATCH("D",Statut_biogéographique!A:A,2,1),"D")</f>
        <v>D</v>
      </c>
      <c r="AP22374" s="4" t="s">
        <v>376</v>
      </c>
      <c r="AR22374" s="4" t="s">
        <v>377</v>
      </c>
    </row>
    <row r="22375" spans="1:44" ht="30">
      <c r="A22375" s="4" t="s">
        <v>24364</v>
      </c>
      <c r="B22375" s="4">
        <v>434626</v>
      </c>
      <c r="D22375" s="5">
        <v>434626</v>
      </c>
      <c r="E22375" s="6" t="str">
        <f>HYPERLINK("https://inpn.mnhn.fr/espece/cd_nom/434626","Pohlia wahlenbergii var. calcarea (Warnst.) E.F.Warb., 1962")</f>
        <v>Pohlia wahlenbergii var. calcarea (Warnst.) E.F.Warb., 1962</v>
      </c>
      <c r="T22375" s="7" t="str">
        <f>HYPERLINK("#Liste_rouge!A"&amp;_xlfn.XMATCH("DD",Liste_rouge!A:A,2,1),"DD")</f>
        <v>DD</v>
      </c>
      <c r="AH22375" s="4" t="str">
        <f>HYPERLINK("#Statut_biogéographique!A"&amp;_xlfn.XMATCH("P",Statut_biogéographique!A:A,2,1),"P")</f>
        <v>P</v>
      </c>
      <c r="AP22375" s="4" t="s">
        <v>376</v>
      </c>
      <c r="AR22375" s="4" t="s">
        <v>377</v>
      </c>
    </row>
    <row r="22376" spans="1:44" ht="30">
      <c r="A22376" s="4" t="s">
        <v>24364</v>
      </c>
      <c r="B22376" s="4">
        <v>434629</v>
      </c>
      <c r="D22376" s="5" t="s">
        <v>29144</v>
      </c>
      <c r="E22376" s="6" t="str">
        <f>HYPERLINK("https://inpn.mnhn.fr/espece/cd_nom/434629","Mnium marginatum var. dioicum (H.Müll.) Crundw.")</f>
        <v>Mnium marginatum var. dioicum (H.Müll.) Crundw.</v>
      </c>
      <c r="T22376" s="7" t="str">
        <f>HYPERLINK("#Liste_rouge!A"&amp;_xlfn.XMATCH("DD",Liste_rouge!A:A,2,1),"DD")</f>
        <v>DD</v>
      </c>
      <c r="AH22376" s="4" t="str">
        <f>HYPERLINK("#Statut_biogéographique!A"&amp;_xlfn.XMATCH("P",Statut_biogéographique!A:A,2,1),"P")</f>
        <v>P</v>
      </c>
      <c r="AP22376" s="4" t="s">
        <v>376</v>
      </c>
      <c r="AR22376" s="4" t="s">
        <v>377</v>
      </c>
    </row>
    <row r="22377" spans="1:44" ht="30">
      <c r="A22377" s="4" t="s">
        <v>24364</v>
      </c>
      <c r="B22377" s="4">
        <v>434632</v>
      </c>
      <c r="D22377" s="5">
        <v>434632</v>
      </c>
      <c r="E22377" s="6" t="str">
        <f>HYPERLINK("https://inpn.mnhn.fr/espece/cd_nom/434632","Plagiomnium undulatum var. undulatum (Hedw.) T.J.Kop., 1968")</f>
        <v>Plagiomnium undulatum var. undulatum (Hedw.) T.J.Kop., 1968</v>
      </c>
      <c r="AH22377" s="4" t="str">
        <f>HYPERLINK("#Statut_biogéographique!A"&amp;_xlfn.XMATCH("P",Statut_biogéographique!A:A,2,1),"P")</f>
        <v>P</v>
      </c>
      <c r="AP22377" s="4" t="s">
        <v>376</v>
      </c>
      <c r="AR22377" s="4" t="s">
        <v>377</v>
      </c>
    </row>
    <row r="22378" spans="1:44" ht="30">
      <c r="A22378" s="4" t="s">
        <v>24364</v>
      </c>
      <c r="B22378" s="4">
        <v>434637</v>
      </c>
      <c r="D22378" s="5" t="s">
        <v>29145</v>
      </c>
      <c r="E22378" s="6" t="str">
        <f>HYPERLINK("https://inpn.mnhn.fr/espece/cd_nom/434637","Fontinalis hypnoides var. duriaei (Schimp.) Kindb.")</f>
        <v>Fontinalis hypnoides var. duriaei (Schimp.) Kindb.</v>
      </c>
      <c r="T22378" s="7" t="str">
        <f>HYPERLINK("#Liste_rouge!A"&amp;_xlfn.XMATCH("DD",Liste_rouge!A:A,2,1),"DD")</f>
        <v>DD</v>
      </c>
      <c r="AH22378" s="4" t="str">
        <f>HYPERLINK("#Statut_biogéographique!A"&amp;_xlfn.XMATCH("P",Statut_biogéographique!A:A,2,1),"P")</f>
        <v>P</v>
      </c>
      <c r="AP22378" s="4" t="s">
        <v>376</v>
      </c>
      <c r="AR22378" s="4" t="s">
        <v>377</v>
      </c>
    </row>
    <row r="22379" spans="1:44" ht="30">
      <c r="A22379" s="4" t="s">
        <v>24364</v>
      </c>
      <c r="B22379" s="4">
        <v>434642</v>
      </c>
      <c r="D22379" s="5" t="s">
        <v>29146</v>
      </c>
      <c r="E22379" s="6" t="str">
        <f>HYPERLINK("https://inpn.mnhn.fr/espece/cd_nom/434642","Abietinella abietina var. abietina (Hedw.) M.Fleisch., 1922")</f>
        <v>Abietinella abietina var. abietina (Hedw.) M.Fleisch., 1922</v>
      </c>
      <c r="T22379" s="7" t="str">
        <f>HYPERLINK("#Liste_rouge!A"&amp;_xlfn.XMATCH("DD",Liste_rouge!A:A,2,1),"DD")</f>
        <v>DD</v>
      </c>
      <c r="V22379" s="7" t="str">
        <f>HYPERLINK("#Liste_rouge!A"&amp;_xlfn.XMATCH("LC",Liste_rouge!A:A,2,1),"LC")</f>
        <v>LC</v>
      </c>
      <c r="AH22379" s="4" t="str">
        <f>HYPERLINK("#Statut_biogéographique!A"&amp;_xlfn.XMATCH("P",Statut_biogéographique!A:A,2,1),"P")</f>
        <v>P</v>
      </c>
      <c r="AP22379" s="4" t="s">
        <v>376</v>
      </c>
      <c r="AR22379" s="4" t="s">
        <v>377</v>
      </c>
    </row>
    <row r="22380" spans="1:44" ht="30">
      <c r="A22380" s="4" t="s">
        <v>24364</v>
      </c>
      <c r="B22380" s="4">
        <v>434643</v>
      </c>
      <c r="D22380" s="5" t="s">
        <v>29147</v>
      </c>
      <c r="E22380" s="6" t="str">
        <f>HYPERLINK("https://inpn.mnhn.fr/espece/cd_nom/434643","Abietinella abietina var. hystricosa (Mitt.) Sakurai, 1954")</f>
        <v>Abietinella abietina var. hystricosa (Mitt.) Sakurai, 1954</v>
      </c>
      <c r="T22380" s="7" t="str">
        <f>HYPERLINK("#Liste_rouge!A"&amp;_xlfn.XMATCH("DD",Liste_rouge!A:A,2,1),"DD")</f>
        <v>DD</v>
      </c>
      <c r="V22380" s="7" t="str">
        <f>HYPERLINK("#Liste_rouge!A"&amp;_xlfn.XMATCH("DD",Liste_rouge!A:A,2,1),"DD")</f>
        <v>DD</v>
      </c>
      <c r="AH22380" s="4" t="str">
        <f>HYPERLINK("#Statut_biogéographique!A"&amp;_xlfn.XMATCH("P",Statut_biogéographique!A:A,2,1),"P")</f>
        <v>P</v>
      </c>
      <c r="AP22380" s="4" t="s">
        <v>376</v>
      </c>
      <c r="AR22380" s="4" t="s">
        <v>377</v>
      </c>
    </row>
    <row r="22381" spans="1:44" ht="30">
      <c r="A22381" s="4" t="s">
        <v>24364</v>
      </c>
      <c r="B22381" s="4">
        <v>434653</v>
      </c>
      <c r="D22381" s="5">
        <v>434653</v>
      </c>
      <c r="E22381" s="6" t="str">
        <f>HYPERLINK("https://inpn.mnhn.fr/espece/cd_nom/434653","Brachythecium rutabulum var. rutabulum (Hedw.) Schimp., 1853")</f>
        <v>Brachythecium rutabulum var. rutabulum (Hedw.) Schimp., 1853</v>
      </c>
      <c r="AH22381" s="4" t="str">
        <f>HYPERLINK("#Statut_biogéographique!A"&amp;_xlfn.XMATCH("P",Statut_biogéographique!A:A,2,1),"P")</f>
        <v>P</v>
      </c>
      <c r="AP22381" s="4" t="s">
        <v>376</v>
      </c>
      <c r="AR22381" s="4" t="s">
        <v>377</v>
      </c>
    </row>
    <row r="22382" spans="1:44" ht="30">
      <c r="A22382" s="4" t="s">
        <v>24364</v>
      </c>
      <c r="B22382" s="4">
        <v>434660</v>
      </c>
      <c r="D22382" s="5" t="s">
        <v>29148</v>
      </c>
      <c r="E22382" s="6" t="str">
        <f>HYPERLINK("https://inpn.mnhn.fr/espece/cd_nom/434660","Homalothecium lutescens var. fallax (H. Philib. ex Schimp.) Düll, 1985")</f>
        <v>Homalothecium lutescens var. fallax (H. Philib. ex Schimp.) Düll, 1985</v>
      </c>
      <c r="T22382" s="7" t="str">
        <f>HYPERLINK("#Liste_rouge!A"&amp;_xlfn.XMATCH("DD",Liste_rouge!A:A,2,1),"DD")</f>
        <v>DD</v>
      </c>
      <c r="AH22382" s="4" t="str">
        <f>HYPERLINK("#Statut_biogéographique!A"&amp;_xlfn.XMATCH("P",Statut_biogéographique!A:A,2,1),"P")</f>
        <v>P</v>
      </c>
      <c r="AP22382" s="4" t="s">
        <v>376</v>
      </c>
      <c r="AR22382" s="4" t="s">
        <v>377</v>
      </c>
    </row>
    <row r="22383" spans="1:44" ht="30">
      <c r="A22383" s="4" t="s">
        <v>24364</v>
      </c>
      <c r="B22383" s="4">
        <v>434662</v>
      </c>
      <c r="D22383" s="5" t="s">
        <v>29149</v>
      </c>
      <c r="E22383" s="6" t="str">
        <f>HYPERLINK("https://inpn.mnhn.fr/espece/cd_nom/434662","Hypnum cupressiforme var. cupressiforme Hedw., 1801")</f>
        <v>Hypnum cupressiforme var. cupressiforme Hedw., 1801</v>
      </c>
      <c r="T22383" s="7" t="str">
        <f>HYPERLINK("#Liste_rouge!A"&amp;_xlfn.XMATCH("LC",Liste_rouge!A:A,2,1),"LC")</f>
        <v>LC</v>
      </c>
      <c r="V22383" s="7" t="str">
        <f>HYPERLINK("#Liste_rouge!A"&amp;_xlfn.XMATCH("NE",Liste_rouge!A:A,2,1),"NE")</f>
        <v>NE</v>
      </c>
      <c r="AH22383" s="4" t="str">
        <f>HYPERLINK("#Statut_biogéographique!A"&amp;_xlfn.XMATCH("P",Statut_biogéographique!A:A,2,1),"P")</f>
        <v>P</v>
      </c>
      <c r="AP22383" s="4" t="s">
        <v>376</v>
      </c>
      <c r="AR22383" s="4" t="s">
        <v>377</v>
      </c>
    </row>
    <row r="22384" spans="1:44" ht="30">
      <c r="A22384" s="4" t="s">
        <v>24364</v>
      </c>
      <c r="B22384" s="4">
        <v>434664</v>
      </c>
      <c r="D22384" s="5" t="s">
        <v>29150</v>
      </c>
      <c r="E22384" s="6" t="str">
        <f>HYPERLINK("https://inpn.mnhn.fr/espece/cd_nom/434664","Hypnum cupressiforme var. lacunosum Brid., 1801")</f>
        <v>Hypnum cupressiforme var. lacunosum Brid., 1801</v>
      </c>
      <c r="T22384" s="7" t="str">
        <f>HYPERLINK("#Liste_rouge!A"&amp;_xlfn.XMATCH("LC",Liste_rouge!A:A,2,1),"LC")</f>
        <v>LC</v>
      </c>
      <c r="V22384" s="7" t="str">
        <f>HYPERLINK("#Liste_rouge!A"&amp;_xlfn.XMATCH("LC",Liste_rouge!A:A,2,1),"LC")</f>
        <v>LC</v>
      </c>
      <c r="AH22384" s="4" t="str">
        <f>HYPERLINK("#Statut_biogéographique!A"&amp;_xlfn.XMATCH("P",Statut_biogéographique!A:A,2,1),"P")</f>
        <v>P</v>
      </c>
      <c r="AP22384" s="4" t="s">
        <v>376</v>
      </c>
      <c r="AR22384" s="4" t="s">
        <v>377</v>
      </c>
    </row>
    <row r="22385" spans="1:44" ht="30">
      <c r="A22385" s="4" t="s">
        <v>24364</v>
      </c>
      <c r="B22385" s="4">
        <v>434666</v>
      </c>
      <c r="D22385" s="5" t="s">
        <v>29151</v>
      </c>
      <c r="E22385" s="6" t="str">
        <f>HYPERLINK("https://inpn.mnhn.fr/espece/cd_nom/434666","Hypnum cupressiforme var. subjulaceum Molendo, 1865")</f>
        <v>Hypnum cupressiforme var. subjulaceum Molendo, 1865</v>
      </c>
      <c r="T22385" s="7" t="str">
        <f>HYPERLINK("#Liste_rouge!A"&amp;_xlfn.XMATCH("EN",Liste_rouge!A:A,2,1),"EN")</f>
        <v>EN</v>
      </c>
      <c r="AH22385" s="4" t="str">
        <f>HYPERLINK("#Statut_biogéographique!A"&amp;_xlfn.XMATCH("P",Statut_biogéographique!A:A,2,1),"P")</f>
        <v>P</v>
      </c>
      <c r="AP22385" s="4" t="s">
        <v>376</v>
      </c>
      <c r="AR22385" s="4" t="s">
        <v>377</v>
      </c>
    </row>
    <row r="22386" spans="1:44" ht="30">
      <c r="A22386" s="4" t="s">
        <v>24364</v>
      </c>
      <c r="B22386" s="4">
        <v>434671</v>
      </c>
      <c r="D22386" s="5">
        <v>434671</v>
      </c>
      <c r="E22386" s="6" t="str">
        <f>HYPERLINK("https://inpn.mnhn.fr/espece/cd_nom/434671","Plagiothecium denticulatum var. denticulatum (Hedw.) Schimp., 1851")</f>
        <v>Plagiothecium denticulatum var. denticulatum (Hedw.) Schimp., 1851</v>
      </c>
      <c r="T22386" s="7" t="str">
        <f>HYPERLINK("#Liste_rouge!A"&amp;_xlfn.XMATCH("LC",Liste_rouge!A:A,2,1),"LC")</f>
        <v>LC</v>
      </c>
      <c r="V22386" s="7" t="str">
        <f>HYPERLINK("#Liste_rouge!A"&amp;_xlfn.XMATCH("NE",Liste_rouge!A:A,2,1),"NE")</f>
        <v>NE</v>
      </c>
      <c r="AH22386" s="4" t="str">
        <f>HYPERLINK("#Statut_biogéographique!A"&amp;_xlfn.XMATCH("P",Statut_biogéographique!A:A,2,1),"P")</f>
        <v>P</v>
      </c>
      <c r="AP22386" s="4" t="s">
        <v>376</v>
      </c>
      <c r="AR22386" s="4" t="s">
        <v>377</v>
      </c>
    </row>
    <row r="22387" spans="1:44" ht="30">
      <c r="A22387" s="4" t="s">
        <v>24364</v>
      </c>
      <c r="B22387" s="4">
        <v>434672</v>
      </c>
      <c r="D22387" s="5">
        <v>434672</v>
      </c>
      <c r="E22387" s="6" t="str">
        <f>HYPERLINK("https://inpn.mnhn.fr/espece/cd_nom/434672","Plagiothecium denticulatum var. obtusifolium (Turner) Moore, 1873")</f>
        <v>Plagiothecium denticulatum var. obtusifolium (Turner) Moore, 1873</v>
      </c>
      <c r="V22387" s="7" t="str">
        <f>HYPERLINK("#Liste_rouge!A"&amp;_xlfn.XMATCH("NE",Liste_rouge!A:A,2,1),"NE")</f>
        <v>NE</v>
      </c>
      <c r="AH22387" s="4" t="str">
        <f>HYPERLINK("#Statut_biogéographique!A"&amp;_xlfn.XMATCH("P",Statut_biogéographique!A:A,2,1),"P")</f>
        <v>P</v>
      </c>
      <c r="AP22387" s="4" t="s">
        <v>376</v>
      </c>
      <c r="AR22387" s="4" t="s">
        <v>377</v>
      </c>
    </row>
    <row r="22388" spans="1:44" ht="30">
      <c r="A22388" s="4" t="s">
        <v>24364</v>
      </c>
      <c r="B22388" s="4">
        <v>434673</v>
      </c>
      <c r="D22388" s="5" t="s">
        <v>29152</v>
      </c>
      <c r="E22388" s="6" t="str">
        <f>HYPERLINK("https://inpn.mnhn.fr/espece/cd_nom/434673","Plagiothecium denticulatum var. undulatum R.Ruthe ex Geh., 1877")</f>
        <v>Plagiothecium denticulatum var. undulatum R.Ruthe ex Geh., 1877</v>
      </c>
      <c r="T22388" s="7" t="str">
        <f>HYPERLINK("#Liste_rouge!A"&amp;_xlfn.XMATCH("DD",Liste_rouge!A:A,2,1),"DD")</f>
        <v>DD</v>
      </c>
      <c r="V22388" s="7" t="str">
        <f>HYPERLINK("#Liste_rouge!A"&amp;_xlfn.XMATCH("NE",Liste_rouge!A:A,2,1),"NE")</f>
        <v>NE</v>
      </c>
      <c r="AH22388" s="4" t="str">
        <f>HYPERLINK("#Statut_biogéographique!A"&amp;_xlfn.XMATCH("P",Statut_biogéographique!A:A,2,1),"P")</f>
        <v>P</v>
      </c>
      <c r="AP22388" s="4" t="s">
        <v>376</v>
      </c>
      <c r="AR22388" s="4" t="s">
        <v>377</v>
      </c>
    </row>
    <row r="22389" spans="1:44">
      <c r="A22389" s="4" t="s">
        <v>24364</v>
      </c>
      <c r="B22389" s="4">
        <v>435533</v>
      </c>
      <c r="D22389" s="5" t="s">
        <v>29153</v>
      </c>
      <c r="E22389" s="6" t="str">
        <f>HYPERLINK("https://inpn.mnhn.fr/espece/cd_nom/435533","Polytrichum perigoniale Michx., 1803")</f>
        <v>Polytrichum perigoniale Michx., 1803</v>
      </c>
      <c r="AH22389" s="4" t="str">
        <f>HYPERLINK("#Statut_biogéographique!A"&amp;_xlfn.XMATCH("P",Statut_biogéographique!A:A,2,1),"P")</f>
        <v>P</v>
      </c>
      <c r="AP22389" s="4" t="s">
        <v>376</v>
      </c>
      <c r="AR22389" s="4" t="s">
        <v>377</v>
      </c>
    </row>
    <row r="22390" spans="1:44">
      <c r="A22390" s="4" t="s">
        <v>24364</v>
      </c>
      <c r="B22390" s="4">
        <v>435566</v>
      </c>
      <c r="D22390" s="5" t="s">
        <v>29154</v>
      </c>
      <c r="E22390" s="6" t="str">
        <f>HYPERLINK("https://inpn.mnhn.fr/espece/cd_nom/435566","Physcomitrium patens (Hedw.) Mitt., 1851")</f>
        <v>Physcomitrium patens (Hedw.) Mitt., 1851</v>
      </c>
      <c r="P22390" s="7" t="str">
        <f>HYPERLINK("#Liste_rouge!A"&amp;_xlfn.XMATCH("LC",Liste_rouge!A:A,2,1),"LC")</f>
        <v>LC</v>
      </c>
      <c r="T22390" s="7" t="str">
        <f>HYPERLINK("#Liste_rouge!A"&amp;_xlfn.XMATCH("LC",Liste_rouge!A:A,2,1),"LC")</f>
        <v>LC</v>
      </c>
      <c r="V22390" s="7" t="str">
        <f>HYPERLINK("#Liste_rouge!A"&amp;_xlfn.XMATCH("LC",Liste_rouge!A:A,2,1),"LC")</f>
        <v>LC</v>
      </c>
      <c r="AH22390" s="4" t="str">
        <f>HYPERLINK("#Statut_biogéographique!A"&amp;_xlfn.XMATCH("P",Statut_biogéographique!A:A,2,1),"P")</f>
        <v>P</v>
      </c>
      <c r="AP22390" s="4" t="s">
        <v>376</v>
      </c>
      <c r="AR22390" s="4" t="s">
        <v>377</v>
      </c>
    </row>
    <row r="22391" spans="1:44" ht="30">
      <c r="A22391" s="4" t="s">
        <v>24364</v>
      </c>
      <c r="B22391" s="4">
        <v>435705</v>
      </c>
      <c r="D22391" s="5" t="s">
        <v>29155</v>
      </c>
      <c r="E22391" s="6" t="str">
        <f>HYPERLINK("https://inpn.mnhn.fr/espece/cd_nom/435705","Diobelonella palustris (Dicks.) Ochyra, 2003")</f>
        <v>Diobelonella palustris (Dicks.) Ochyra, 2003</v>
      </c>
      <c r="P22391" s="7" t="str">
        <f>HYPERLINK("#Liste_rouge!A"&amp;_xlfn.XMATCH("LC",Liste_rouge!A:A,2,1),"LC")</f>
        <v>LC</v>
      </c>
      <c r="T22391" s="7" t="str">
        <f>HYPERLINK("#Liste_rouge!A"&amp;_xlfn.XMATCH("RE",Liste_rouge!A:A,2,1),"RE")</f>
        <v>RE</v>
      </c>
      <c r="V22391" s="7" t="str">
        <f>HYPERLINK("#Liste_rouge!A"&amp;_xlfn.XMATCH("NT",Liste_rouge!A:A,2,1),"NT")</f>
        <v>NT</v>
      </c>
      <c r="X22391" s="5" t="s">
        <v>374</v>
      </c>
      <c r="AB22391" s="4" t="s">
        <v>93</v>
      </c>
      <c r="AH22391" s="4" t="str">
        <f>HYPERLINK("#Statut_biogéographique!A"&amp;_xlfn.XMATCH("P",Statut_biogéographique!A:A,2,1),"P")</f>
        <v>P</v>
      </c>
      <c r="AP22391" s="4" t="s">
        <v>376</v>
      </c>
      <c r="AR22391" s="4" t="s">
        <v>377</v>
      </c>
    </row>
    <row r="22392" spans="1:44" ht="30">
      <c r="A22392" s="4" t="s">
        <v>24364</v>
      </c>
      <c r="B22392" s="4">
        <v>435710</v>
      </c>
      <c r="D22392" s="5" t="s">
        <v>29156</v>
      </c>
      <c r="E22392" s="6" t="str">
        <f>HYPERLINK("https://inpn.mnhn.fr/espece/cd_nom/435710","Hymenoloma crispulum (Hedw.) Ochyra, 2003")</f>
        <v>Hymenoloma crispulum (Hedw.) Ochyra, 2003</v>
      </c>
      <c r="P22392" s="7" t="str">
        <f>HYPERLINK("#Liste_rouge!A"&amp;_xlfn.XMATCH("LC",Liste_rouge!A:A,2,1),"LC")</f>
        <v>LC</v>
      </c>
      <c r="T22392" s="7" t="str">
        <f>HYPERLINK("#Liste_rouge!A"&amp;_xlfn.XMATCH("RE",Liste_rouge!A:A,2,1),"RE")</f>
        <v>RE</v>
      </c>
      <c r="V22392" s="7" t="str">
        <f>HYPERLINK("#Liste_rouge!A"&amp;_xlfn.XMATCH("DD",Liste_rouge!A:A,2,1),"DD")</f>
        <v>DD</v>
      </c>
      <c r="X22392" s="5" t="s">
        <v>374</v>
      </c>
      <c r="AB22392" s="4" t="s">
        <v>93</v>
      </c>
      <c r="AH22392" s="4" t="str">
        <f>HYPERLINK("#Statut_biogéographique!A"&amp;_xlfn.XMATCH("P",Statut_biogéographique!A:A,2,1),"P")</f>
        <v>P</v>
      </c>
      <c r="AP22392" s="4" t="s">
        <v>376</v>
      </c>
      <c r="AR22392" s="4" t="s">
        <v>377</v>
      </c>
    </row>
    <row r="22393" spans="1:44" ht="30">
      <c r="A22393" s="4" t="s">
        <v>24364</v>
      </c>
      <c r="B22393" s="4">
        <v>435781</v>
      </c>
      <c r="D22393" s="5" t="s">
        <v>29157</v>
      </c>
      <c r="E22393" s="6" t="str">
        <f>HYPERLINK("https://inpn.mnhn.fr/espece/cd_nom/435781","Tortella densa (Lorentz &amp; Molendo) Crundw. &amp; Nyholm, 1962")</f>
        <v>Tortella densa (Lorentz &amp; Molendo) Crundw. &amp; Nyholm, 1962</v>
      </c>
      <c r="T22393" s="7" t="str">
        <f>HYPERLINK("#Liste_rouge!A"&amp;_xlfn.XMATCH("VU",Liste_rouge!A:A,2,1),"VU")</f>
        <v>VU</v>
      </c>
      <c r="V22393" s="7" t="str">
        <f>HYPERLINK("#Liste_rouge!A"&amp;_xlfn.XMATCH("NE",Liste_rouge!A:A,2,1),"NE")</f>
        <v>NE</v>
      </c>
      <c r="AH22393" s="4" t="str">
        <f>HYPERLINK("#Statut_biogéographique!A"&amp;_xlfn.XMATCH("P",Statut_biogéographique!A:A,2,1),"P")</f>
        <v>P</v>
      </c>
      <c r="AP22393" s="4" t="s">
        <v>376</v>
      </c>
      <c r="AR22393" s="4" t="s">
        <v>377</v>
      </c>
    </row>
    <row r="22394" spans="1:44" ht="30">
      <c r="A22394" s="4" t="s">
        <v>24364</v>
      </c>
      <c r="B22394" s="4">
        <v>435796</v>
      </c>
      <c r="D22394" s="5" t="s">
        <v>29158</v>
      </c>
      <c r="E22394" s="6" t="str">
        <f>HYPERLINK("https://inpn.mnhn.fr/espece/cd_nom/435796","Streblotrichum convolutum (Hedw.) P.Beauv., 1805")</f>
        <v>Streblotrichum convolutum (Hedw.) P.Beauv., 1805</v>
      </c>
      <c r="P22394" s="7" t="str">
        <f>HYPERLINK("#Liste_rouge!A"&amp;_xlfn.XMATCH("LC",Liste_rouge!A:A,2,1),"LC")</f>
        <v>LC</v>
      </c>
      <c r="T22394" s="7" t="str">
        <f>HYPERLINK("#Liste_rouge!A"&amp;_xlfn.XMATCH("LC",Liste_rouge!A:A,2,1),"LC")</f>
        <v>LC</v>
      </c>
      <c r="V22394" s="7" t="str">
        <f>HYPERLINK("#Liste_rouge!A"&amp;_xlfn.XMATCH("LC",Liste_rouge!A:A,2,1),"LC")</f>
        <v>LC</v>
      </c>
      <c r="AH22394" s="4" t="str">
        <f>HYPERLINK("#Statut_biogéographique!A"&amp;_xlfn.XMATCH("P",Statut_biogéographique!A:A,2,1),"P")</f>
        <v>P</v>
      </c>
      <c r="AP22394" s="4" t="s">
        <v>376</v>
      </c>
      <c r="AR22394" s="4" t="s">
        <v>377</v>
      </c>
    </row>
    <row r="22395" spans="1:44" ht="30">
      <c r="A22395" s="4" t="s">
        <v>24364</v>
      </c>
      <c r="B22395" s="4">
        <v>435854</v>
      </c>
      <c r="D22395" s="5" t="s">
        <v>29159</v>
      </c>
      <c r="E22395" s="6" t="str">
        <f>HYPERLINK("https://inpn.mnhn.fr/espece/cd_nom/435854","Tortula acaulon (With.) R.H.Zander, 1993")</f>
        <v>Tortula acaulon (With.) R.H.Zander, 1993</v>
      </c>
      <c r="O22395" s="7" t="str">
        <f>HYPERLINK("#Liste_rouge!A"&amp;_xlfn.XMATCH("DD",Liste_rouge!A:A,2,1),"DD")</f>
        <v>DD</v>
      </c>
      <c r="P22395" s="7" t="str">
        <f>HYPERLINK("#Liste_rouge!A"&amp;_xlfn.XMATCH("LC",Liste_rouge!A:A,2,1),"LC (cd_nom 435854) - DD (cd_nom 5373)")</f>
        <v>LC (cd_nom 435854) - DD (cd_nom 5373)</v>
      </c>
      <c r="T22395" s="7" t="str">
        <f>HYPERLINK("#Liste_rouge!A"&amp;_xlfn.XMATCH("LC",Liste_rouge!A:A,2,1),"LC")</f>
        <v>LC</v>
      </c>
      <c r="V22395" s="7" t="str">
        <f>HYPERLINK("#Liste_rouge!A"&amp;_xlfn.XMATCH("LC",Liste_rouge!A:A,2,1),"LC")</f>
        <v>LC</v>
      </c>
      <c r="AH22395" s="4" t="str">
        <f>HYPERLINK("#Statut_biogéographique!A"&amp;_xlfn.XMATCH("P",Statut_biogéographique!A:A,2,1),"P")</f>
        <v>P</v>
      </c>
      <c r="AP22395" s="4" t="s">
        <v>376</v>
      </c>
      <c r="AR22395" s="4" t="s">
        <v>377</v>
      </c>
    </row>
    <row r="22396" spans="1:44" ht="30">
      <c r="A22396" s="4" t="s">
        <v>24364</v>
      </c>
      <c r="B22396" s="4">
        <v>435860</v>
      </c>
      <c r="D22396" s="5" t="s">
        <v>29160</v>
      </c>
      <c r="E22396" s="6" t="str">
        <f>HYPERLINK("https://inpn.mnhn.fr/espece/cd_nom/435860","Tortula acaulon var. papillosa (Lindb.) R.H.Zander, 1993")</f>
        <v>Tortula acaulon var. papillosa (Lindb.) R.H.Zander, 1993</v>
      </c>
      <c r="T22396" s="7" t="str">
        <f>HYPERLINK("#Liste_rouge!A"&amp;_xlfn.XMATCH("DD",Liste_rouge!A:A,2,1),"DD")</f>
        <v>DD</v>
      </c>
      <c r="AH22396" s="4" t="str">
        <f>HYPERLINK("#Statut_biogéographique!A"&amp;_xlfn.XMATCH("P",Statut_biogéographique!A:A,2,1),"P")</f>
        <v>P</v>
      </c>
      <c r="AP22396" s="4" t="s">
        <v>376</v>
      </c>
      <c r="AR22396" s="4" t="s">
        <v>377</v>
      </c>
    </row>
    <row r="22397" spans="1:44" ht="30">
      <c r="A22397" s="4" t="s">
        <v>24364</v>
      </c>
      <c r="B22397" s="4">
        <v>435862</v>
      </c>
      <c r="D22397" s="5" t="s">
        <v>29161</v>
      </c>
      <c r="E22397" s="6" t="str">
        <f>HYPERLINK("https://inpn.mnhn.fr/espece/cd_nom/435862","Tortula acaulon var. pilifera (Hedw.) R.H.Zander, 1993")</f>
        <v>Tortula acaulon var. pilifera (Hedw.) R.H.Zander, 1993</v>
      </c>
      <c r="T22397" s="7" t="str">
        <f>HYPERLINK("#Liste_rouge!A"&amp;_xlfn.XMATCH("DD",Liste_rouge!A:A,2,1),"DD")</f>
        <v>DD</v>
      </c>
      <c r="V22397" s="7" t="str">
        <f>HYPERLINK("#Liste_rouge!A"&amp;_xlfn.XMATCH("NE",Liste_rouge!A:A,2,1),"NE")</f>
        <v>NE</v>
      </c>
      <c r="AH22397" s="4" t="str">
        <f>HYPERLINK("#Statut_biogéographique!A"&amp;_xlfn.XMATCH("P",Statut_biogéographique!A:A,2,1),"P")</f>
        <v>P</v>
      </c>
      <c r="AP22397" s="4" t="s">
        <v>376</v>
      </c>
      <c r="AR22397" s="4" t="s">
        <v>377</v>
      </c>
    </row>
    <row r="22398" spans="1:44">
      <c r="A22398" s="4" t="s">
        <v>24364</v>
      </c>
      <c r="B22398" s="4">
        <v>435867</v>
      </c>
      <c r="D22398" s="5" t="s">
        <v>29162</v>
      </c>
      <c r="E22398" s="6" t="str">
        <f>HYPERLINK("https://inpn.mnhn.fr/espece/cd_nom/435867","Tortula protobryoides R.H.Zander, 1993")</f>
        <v>Tortula protobryoides R.H.Zander, 1993</v>
      </c>
      <c r="P22398" s="7" t="str">
        <f>HYPERLINK("#Liste_rouge!A"&amp;_xlfn.XMATCH("LC",Liste_rouge!A:A,2,1),"LC")</f>
        <v>LC</v>
      </c>
      <c r="T22398" s="7" t="str">
        <f>HYPERLINK("#Liste_rouge!A"&amp;_xlfn.XMATCH("LC",Liste_rouge!A:A,2,1),"LC")</f>
        <v>LC</v>
      </c>
      <c r="V22398" s="7" t="str">
        <f>HYPERLINK("#Liste_rouge!A"&amp;_xlfn.XMATCH("DD",Liste_rouge!A:A,2,1),"DD")</f>
        <v>DD</v>
      </c>
      <c r="AH22398" s="4" t="str">
        <f>HYPERLINK("#Statut_biogéographique!A"&amp;_xlfn.XMATCH("P",Statut_biogéographique!A:A,2,1),"P")</f>
        <v>P</v>
      </c>
      <c r="AP22398" s="4" t="s">
        <v>376</v>
      </c>
      <c r="AR22398" s="4" t="s">
        <v>377</v>
      </c>
    </row>
    <row r="22399" spans="1:44" ht="30">
      <c r="A22399" s="4" t="s">
        <v>24364</v>
      </c>
      <c r="B22399" s="4">
        <v>435912</v>
      </c>
      <c r="D22399" s="5" t="s">
        <v>29163</v>
      </c>
      <c r="E22399" s="6" t="str">
        <f>HYPERLINK("https://inpn.mnhn.fr/espece/cd_nom/435912","Syntrichia ruraliformis (Besch.) Mans., 1904")</f>
        <v>Syntrichia ruraliformis (Besch.) Mans., 1904</v>
      </c>
      <c r="T22399" s="7" t="str">
        <f>HYPERLINK("#Liste_rouge!A"&amp;_xlfn.XMATCH("LC",Liste_rouge!A:A,2,1),"LC")</f>
        <v>LC</v>
      </c>
      <c r="V22399" s="7" t="str">
        <f>HYPERLINK("#Liste_rouge!A"&amp;_xlfn.XMATCH("LC",Liste_rouge!A:A,2,1),"LC")</f>
        <v>LC</v>
      </c>
      <c r="AH22399" s="4" t="str">
        <f>HYPERLINK("#Statut_biogéographique!A"&amp;_xlfn.XMATCH("P",Statut_biogéographique!A:A,2,1),"P")</f>
        <v>P</v>
      </c>
      <c r="AP22399" s="4" t="s">
        <v>376</v>
      </c>
      <c r="AR22399" s="4" t="s">
        <v>377</v>
      </c>
    </row>
    <row r="22400" spans="1:44" ht="30">
      <c r="A22400" s="4" t="s">
        <v>24364</v>
      </c>
      <c r="B22400" s="4">
        <v>435952</v>
      </c>
      <c r="D22400" s="5" t="s">
        <v>29164</v>
      </c>
      <c r="E22400" s="6" t="str">
        <f>HYPERLINK("https://inpn.mnhn.fr/espece/cd_nom/435952","Codonoblepharon forsteri (Dicks.) Goffinet, 2004")</f>
        <v>Codonoblepharon forsteri (Dicks.) Goffinet, 2004</v>
      </c>
      <c r="P22400" s="7" t="str">
        <f>HYPERLINK("#Liste_rouge!A"&amp;_xlfn.XMATCH("EN",Liste_rouge!A:A,2,1),"EN")</f>
        <v>EN</v>
      </c>
      <c r="T22400" s="7" t="str">
        <f>HYPERLINK("#Liste_rouge!A"&amp;_xlfn.XMATCH("CR",Liste_rouge!A:A,2,1),"CR")</f>
        <v>CR</v>
      </c>
      <c r="X22400" s="5" t="s">
        <v>374</v>
      </c>
      <c r="AB22400" s="4" t="s">
        <v>93</v>
      </c>
      <c r="AE22400" s="4" t="str">
        <f>HYPERLINK("#SCAP!A"&amp;_xlfn.XMATCH("A",SCAP!A:A,2,1),"A")</f>
        <v>A</v>
      </c>
      <c r="AH22400" s="4" t="str">
        <f>HYPERLINK("#Statut_biogéographique!A"&amp;_xlfn.XMATCH("P",Statut_biogéographique!A:A,2,1),"P")</f>
        <v>P</v>
      </c>
      <c r="AP22400" s="4" t="s">
        <v>376</v>
      </c>
      <c r="AR22400" s="4" t="s">
        <v>377</v>
      </c>
    </row>
    <row r="22401" spans="1:44" ht="30">
      <c r="A22401" s="4" t="s">
        <v>24364</v>
      </c>
      <c r="B22401" s="4">
        <v>435975</v>
      </c>
      <c r="D22401" s="5" t="s">
        <v>29165</v>
      </c>
      <c r="E22401" s="6" t="str">
        <f>HYPERLINK("https://inpn.mnhn.fr/espece/cd_nom/435975","Imbribryum alpinum (Huds. ex With.) N.Pedersen, 2005")</f>
        <v>Imbribryum alpinum (Huds. ex With.) N.Pedersen, 2005</v>
      </c>
      <c r="P22401" s="7" t="str">
        <f>HYPERLINK("#Liste_rouge!A"&amp;_xlfn.XMATCH("LC",Liste_rouge!A:A,2,1),"LC")</f>
        <v>LC</v>
      </c>
      <c r="T22401" s="7" t="str">
        <f>HYPERLINK("#Liste_rouge!A"&amp;_xlfn.XMATCH("VU",Liste_rouge!A:A,2,1),"VU")</f>
        <v>VU</v>
      </c>
      <c r="V22401" s="7" t="str">
        <f>HYPERLINK("#Liste_rouge!A"&amp;_xlfn.XMATCH("DD",Liste_rouge!A:A,2,1),"DD")</f>
        <v>DD</v>
      </c>
      <c r="X22401" s="5" t="s">
        <v>374</v>
      </c>
      <c r="AB22401" s="4" t="s">
        <v>93</v>
      </c>
      <c r="AH22401" s="4" t="str">
        <f>HYPERLINK("#Statut_biogéographique!A"&amp;_xlfn.XMATCH("P",Statut_biogéographique!A:A,2,1),"P")</f>
        <v>P</v>
      </c>
      <c r="AP22401" s="4" t="s">
        <v>376</v>
      </c>
      <c r="AR22401" s="4" t="s">
        <v>377</v>
      </c>
    </row>
    <row r="22402" spans="1:44" ht="30">
      <c r="A22402" s="4" t="s">
        <v>24364</v>
      </c>
      <c r="B22402" s="4">
        <v>436028</v>
      </c>
      <c r="D22402" s="5" t="s">
        <v>29166</v>
      </c>
      <c r="E22402" s="6" t="str">
        <f>HYPERLINK("https://inpn.mnhn.fr/espece/cd_nom/436028","Imbribryum muehlenbeckii (Bruch &amp; Schimp.) N.Pedersen, 2005")</f>
        <v>Imbribryum muehlenbeckii (Bruch &amp; Schimp.) N.Pedersen, 2005</v>
      </c>
      <c r="P22402" s="7" t="str">
        <f>HYPERLINK("#Liste_rouge!A"&amp;_xlfn.XMATCH("LC",Liste_rouge!A:A,2,1),"LC")</f>
        <v>LC</v>
      </c>
      <c r="V22402" s="7" t="str">
        <f>HYPERLINK("#Liste_rouge!A"&amp;_xlfn.XMATCH("DD",Liste_rouge!A:A,2,1),"DD")</f>
        <v>DD</v>
      </c>
      <c r="X22402" s="5" t="s">
        <v>374</v>
      </c>
      <c r="AB22402" s="4" t="s">
        <v>93</v>
      </c>
      <c r="AH22402" s="4" t="str">
        <f>HYPERLINK("#Statut_biogéographique!A"&amp;_xlfn.XMATCH("P",Statut_biogéographique!A:A,2,1),"P")</f>
        <v>P</v>
      </c>
      <c r="AP22402" s="4" t="s">
        <v>376</v>
      </c>
      <c r="AR22402" s="4" t="s">
        <v>377</v>
      </c>
    </row>
    <row r="22403" spans="1:44">
      <c r="A22403" s="4" t="s">
        <v>24364</v>
      </c>
      <c r="B22403" s="4">
        <v>436093</v>
      </c>
      <c r="D22403" s="5" t="s">
        <v>29167</v>
      </c>
      <c r="E22403" s="6" t="str">
        <f>HYPERLINK("https://inpn.mnhn.fr/espece/cd_nom/436093","Serpoleskea confervoides (Brid.) Loeske, 1904")</f>
        <v>Serpoleskea confervoides (Brid.) Loeske, 1904</v>
      </c>
      <c r="P22403" s="7" t="str">
        <f>HYPERLINK("#Liste_rouge!A"&amp;_xlfn.XMATCH("LC",Liste_rouge!A:A,2,1),"LC")</f>
        <v>LC</v>
      </c>
      <c r="T22403" s="7" t="str">
        <f>HYPERLINK("#Liste_rouge!A"&amp;_xlfn.XMATCH("LC",Liste_rouge!A:A,2,1),"LC")</f>
        <v>LC</v>
      </c>
      <c r="V22403" s="7" t="str">
        <f>HYPERLINK("#Liste_rouge!A"&amp;_xlfn.XMATCH("LC",Liste_rouge!A:A,2,1),"LC")</f>
        <v>LC</v>
      </c>
      <c r="AH22403" s="4" t="str">
        <f>HYPERLINK("#Statut_biogéographique!A"&amp;_xlfn.XMATCH("P",Statut_biogéographique!A:A,2,1),"P")</f>
        <v>P</v>
      </c>
      <c r="AP22403" s="4" t="s">
        <v>376</v>
      </c>
      <c r="AR22403" s="4" t="s">
        <v>377</v>
      </c>
    </row>
    <row r="22404" spans="1:44" ht="30">
      <c r="A22404" s="4" t="s">
        <v>24364</v>
      </c>
      <c r="B22404" s="4">
        <v>436115</v>
      </c>
      <c r="D22404" s="5" t="s">
        <v>29168</v>
      </c>
      <c r="E22404" s="6" t="str">
        <f>HYPERLINK("https://inpn.mnhn.fr/espece/cd_nom/436115","Pseudohygrohypnum eugyrium (Schimp.) Kanda, 1976")</f>
        <v>Pseudohygrohypnum eugyrium (Schimp.) Kanda, 1976</v>
      </c>
      <c r="P22404" s="7" t="str">
        <f>HYPERLINK("#Liste_rouge!A"&amp;_xlfn.XMATCH("LC",Liste_rouge!A:A,2,1),"LC")</f>
        <v>LC</v>
      </c>
      <c r="T22404" s="7" t="str">
        <f>HYPERLINK("#Liste_rouge!A"&amp;_xlfn.XMATCH("CR",Liste_rouge!A:A,2,1),"CR")</f>
        <v>CR</v>
      </c>
      <c r="V22404" s="7" t="str">
        <f>HYPERLINK("#Liste_rouge!A"&amp;_xlfn.XMATCH("VU",Liste_rouge!A:A,2,1),"VU")</f>
        <v>VU</v>
      </c>
      <c r="X22404" s="5" t="s">
        <v>374</v>
      </c>
      <c r="AB22404" s="4" t="s">
        <v>93</v>
      </c>
      <c r="AH22404" s="4" t="str">
        <f>HYPERLINK("#Statut_biogéographique!A"&amp;_xlfn.XMATCH("P",Statut_biogéographique!A:A,2,1),"P")</f>
        <v>P</v>
      </c>
      <c r="AP22404" s="4" t="s">
        <v>376</v>
      </c>
      <c r="AR22404" s="4" t="s">
        <v>377</v>
      </c>
    </row>
    <row r="22405" spans="1:44" ht="30">
      <c r="A22405" s="4" t="s">
        <v>24364</v>
      </c>
      <c r="B22405" s="4">
        <v>436120</v>
      </c>
      <c r="D22405" s="5" t="s">
        <v>29169</v>
      </c>
      <c r="E22405" s="6" t="str">
        <f>HYPERLINK("https://inpn.mnhn.fr/espece/cd_nom/436120","Hygrohypnella ochracea (Turner ex Wilson) Ignatov &amp; Ignatova, 2004")</f>
        <v>Hygrohypnella ochracea (Turner ex Wilson) Ignatov &amp; Ignatova, 2004</v>
      </c>
      <c r="P22405" s="7" t="str">
        <f>HYPERLINK("#Liste_rouge!A"&amp;_xlfn.XMATCH("LC",Liste_rouge!A:A,2,1),"LC")</f>
        <v>LC</v>
      </c>
      <c r="T22405" s="7" t="str">
        <f>HYPERLINK("#Liste_rouge!A"&amp;_xlfn.XMATCH("CR",Liste_rouge!A:A,2,1),"CR")</f>
        <v>CR</v>
      </c>
      <c r="V22405" s="7" t="str">
        <f>HYPERLINK("#Liste_rouge!A"&amp;_xlfn.XMATCH("NT",Liste_rouge!A:A,2,1),"NT")</f>
        <v>NT</v>
      </c>
      <c r="X22405" s="5" t="s">
        <v>374</v>
      </c>
      <c r="AB22405" s="4" t="s">
        <v>93</v>
      </c>
      <c r="AH22405" s="4" t="str">
        <f>HYPERLINK("#Statut_biogéographique!A"&amp;_xlfn.XMATCH("P",Statut_biogéographique!A:A,2,1),"P")</f>
        <v>P</v>
      </c>
      <c r="AP22405" s="4" t="s">
        <v>376</v>
      </c>
      <c r="AR22405" s="4" t="s">
        <v>377</v>
      </c>
    </row>
    <row r="22406" spans="1:44" ht="30">
      <c r="A22406" s="4" t="s">
        <v>24364</v>
      </c>
      <c r="B22406" s="4">
        <v>436150</v>
      </c>
      <c r="D22406" s="5" t="s">
        <v>29170</v>
      </c>
      <c r="E22406" s="6" t="str">
        <f>HYPERLINK("https://inpn.mnhn.fr/espece/cd_nom/436150","Lescuraea incurvata (Hedw.) E.Lawton, 1957")</f>
        <v>Lescuraea incurvata (Hedw.) E.Lawton, 1957</v>
      </c>
      <c r="P22406" s="7" t="str">
        <f>HYPERLINK("#Liste_rouge!A"&amp;_xlfn.XMATCH("LC",Liste_rouge!A:A,2,1),"LC")</f>
        <v>LC</v>
      </c>
      <c r="V22406" s="7" t="str">
        <f>HYPERLINK("#Liste_rouge!A"&amp;_xlfn.XMATCH("LC",Liste_rouge!A:A,2,1),"LC")</f>
        <v>LC</v>
      </c>
      <c r="AH22406" s="4" t="str">
        <f>HYPERLINK("#Statut_biogéographique!A"&amp;_xlfn.XMATCH("P",Statut_biogéographique!A:A,2,1),"P")</f>
        <v>P</v>
      </c>
      <c r="AP22406" s="4" t="s">
        <v>376</v>
      </c>
      <c r="AR22406" s="4" t="s">
        <v>377</v>
      </c>
    </row>
    <row r="22407" spans="1:44">
      <c r="A22407" s="4" t="s">
        <v>24364</v>
      </c>
      <c r="B22407" s="4">
        <v>436151</v>
      </c>
      <c r="D22407" s="5" t="s">
        <v>29171</v>
      </c>
      <c r="E22407" s="6" t="str">
        <f>HYPERLINK("https://inpn.mnhn.fr/espece/cd_nom/436151","Lescuraea patens Lindb., 1888")</f>
        <v>Lescuraea patens Lindb., 1888</v>
      </c>
      <c r="P22407" s="7" t="str">
        <f>HYPERLINK("#Liste_rouge!A"&amp;_xlfn.XMATCH("LC",Liste_rouge!A:A,2,1),"LC")</f>
        <v>LC</v>
      </c>
      <c r="V22407" s="7" t="str">
        <f>HYPERLINK("#Liste_rouge!A"&amp;_xlfn.XMATCH("VU",Liste_rouge!A:A,2,1),"VU")</f>
        <v>VU</v>
      </c>
      <c r="X22407" s="5" t="s">
        <v>374</v>
      </c>
      <c r="AB22407" s="4" t="s">
        <v>93</v>
      </c>
      <c r="AH22407" s="4" t="str">
        <f>HYPERLINK("#Statut_biogéographique!A"&amp;_xlfn.XMATCH("P",Statut_biogéographique!A:A,2,1),"P")</f>
        <v>P</v>
      </c>
      <c r="AP22407" s="4" t="s">
        <v>376</v>
      </c>
      <c r="AR22407" s="4" t="s">
        <v>377</v>
      </c>
    </row>
    <row r="22408" spans="1:44" ht="30">
      <c r="A22408" s="4" t="s">
        <v>24364</v>
      </c>
      <c r="B22408" s="4">
        <v>436157</v>
      </c>
      <c r="D22408" s="5" t="s">
        <v>29172</v>
      </c>
      <c r="E22408" s="6" t="str">
        <f>HYPERLINK("https://inpn.mnhn.fr/espece/cd_nom/436157","Lescuraea plicata (Schleich. ex F.Weber &amp; D.Mohr) Broth.")</f>
        <v>Lescuraea plicata (Schleich. ex F.Weber &amp; D.Mohr) Broth.</v>
      </c>
      <c r="P22408" s="7" t="str">
        <f>HYPERLINK("#Liste_rouge!A"&amp;_xlfn.XMATCH("LC",Liste_rouge!A:A,2,1),"LC")</f>
        <v>LC</v>
      </c>
      <c r="V22408" s="7" t="str">
        <f>HYPERLINK("#Liste_rouge!A"&amp;_xlfn.XMATCH("LC",Liste_rouge!A:A,2,1),"LC")</f>
        <v>LC</v>
      </c>
      <c r="AH22408" s="4" t="str">
        <f>HYPERLINK("#Statut_biogéographique!A"&amp;_xlfn.XMATCH("P",Statut_biogéographique!A:A,2,1),"P")</f>
        <v>P</v>
      </c>
      <c r="AP22408" s="4" t="s">
        <v>376</v>
      </c>
      <c r="AR22408" s="4" t="s">
        <v>377</v>
      </c>
    </row>
    <row r="22409" spans="1:44">
      <c r="A22409" s="4" t="s">
        <v>24364</v>
      </c>
      <c r="B22409" s="4">
        <v>436226</v>
      </c>
      <c r="D22409" s="5" t="s">
        <v>29173</v>
      </c>
      <c r="E22409" s="6" t="str">
        <f>HYPERLINK("https://inpn.mnhn.fr/espece/cd_nom/436226","Stereodon callichrous (Brid.) Brid., 1827")</f>
        <v>Stereodon callichrous (Brid.) Brid., 1827</v>
      </c>
      <c r="P22409" s="7" t="str">
        <f>HYPERLINK("#Liste_rouge!A"&amp;_xlfn.XMATCH("LC",Liste_rouge!A:A,2,1),"LC")</f>
        <v>LC</v>
      </c>
      <c r="V22409" s="7" t="str">
        <f>HYPERLINK("#Liste_rouge!A"&amp;_xlfn.XMATCH("VU",Liste_rouge!A:A,2,1),"VU")</f>
        <v>VU</v>
      </c>
      <c r="X22409" s="5" t="s">
        <v>374</v>
      </c>
      <c r="AB22409" s="4" t="s">
        <v>93</v>
      </c>
      <c r="AH22409" s="4" t="str">
        <f>HYPERLINK("#Statut_biogéographique!A"&amp;_xlfn.XMATCH("P",Statut_biogéographique!A:A,2,1),"P")</f>
        <v>P</v>
      </c>
      <c r="AP22409" s="4" t="s">
        <v>376</v>
      </c>
      <c r="AR22409" s="4" t="s">
        <v>377</v>
      </c>
    </row>
    <row r="22410" spans="1:44">
      <c r="A22410" s="4" t="s">
        <v>24364</v>
      </c>
      <c r="B22410" s="4">
        <v>436308</v>
      </c>
      <c r="D22410" s="5" t="s">
        <v>29174</v>
      </c>
      <c r="E22410" s="6" t="str">
        <f>HYPERLINK("https://inpn.mnhn.fr/espece/cd_nom/436308","Dicranum undulatum Schrad. ex Brid., 1801")</f>
        <v>Dicranum undulatum Schrad. ex Brid., 1801</v>
      </c>
      <c r="P22410" s="7" t="str">
        <f>HYPERLINK("#Liste_rouge!A"&amp;_xlfn.XMATCH("LC",Liste_rouge!A:A,2,1),"LC")</f>
        <v>LC</v>
      </c>
      <c r="T22410" s="7" t="str">
        <f>HYPERLINK("#Liste_rouge!A"&amp;_xlfn.XMATCH("CR",Liste_rouge!A:A,2,1),"CR")</f>
        <v>CR</v>
      </c>
      <c r="V22410" s="7" t="str">
        <f>HYPERLINK("#Liste_rouge!A"&amp;_xlfn.XMATCH("LC",Liste_rouge!A:A,2,1),"LC")</f>
        <v>LC</v>
      </c>
      <c r="AB22410" s="4" t="s">
        <v>24418</v>
      </c>
      <c r="AH22410" s="4" t="str">
        <f>HYPERLINK("#Statut_biogéographique!A"&amp;_xlfn.XMATCH("P",Statut_biogéographique!A:A,2,1),"P")</f>
        <v>P</v>
      </c>
      <c r="AP22410" s="4" t="s">
        <v>376</v>
      </c>
      <c r="AR22410" s="4" t="s">
        <v>377</v>
      </c>
    </row>
    <row r="22411" spans="1:44">
      <c r="A22411" s="4" t="s">
        <v>24364</v>
      </c>
      <c r="B22411" s="4">
        <v>436548</v>
      </c>
      <c r="D22411" s="5" t="s">
        <v>29175</v>
      </c>
      <c r="E22411" s="6" t="str">
        <f>HYPERLINK("https://inpn.mnhn.fr/espece/cd_nom/436548","Aneura maxima (Schiffn.) Steph., 1899")</f>
        <v>Aneura maxima (Schiffn.) Steph., 1899</v>
      </c>
      <c r="P22411" s="7" t="str">
        <f>HYPERLINK("#Liste_rouge!A"&amp;_xlfn.XMATCH("DD",Liste_rouge!A:A,2,1),"DD")</f>
        <v>DD</v>
      </c>
      <c r="V22411" s="7" t="str">
        <f>HYPERLINK("#Liste_rouge!A"&amp;_xlfn.XMATCH("DD",Liste_rouge!A:A,2,1),"DD")</f>
        <v>DD</v>
      </c>
      <c r="AH22411" s="4" t="str">
        <f>HYPERLINK("#Statut_biogéographique!A"&amp;_xlfn.XMATCH("P",Statut_biogéographique!A:A,2,1),"P")</f>
        <v>P</v>
      </c>
      <c r="AP22411" s="4" t="s">
        <v>376</v>
      </c>
      <c r="AR22411" s="4" t="s">
        <v>377</v>
      </c>
    </row>
    <row r="22412" spans="1:44">
      <c r="A22412" s="4" t="s">
        <v>24364</v>
      </c>
      <c r="B22412" s="4">
        <v>436671</v>
      </c>
      <c r="D22412" s="5" t="s">
        <v>29176</v>
      </c>
      <c r="E22412" s="6" t="str">
        <f>HYPERLINK("https://inpn.mnhn.fr/espece/cd_nom/436671","Porella baueri (Schiffn.) C.E.O.Jensen, 1915")</f>
        <v>Porella baueri (Schiffn.) C.E.O.Jensen, 1915</v>
      </c>
      <c r="P22412" s="7" t="str">
        <f>HYPERLINK("#Liste_rouge!A"&amp;_xlfn.XMATCH("DD",Liste_rouge!A:A,2,1),"DD")</f>
        <v>DD</v>
      </c>
      <c r="T22412" s="7" t="str">
        <f>HYPERLINK("#Liste_rouge!A"&amp;_xlfn.XMATCH("DD",Liste_rouge!A:A,2,1),"DD")</f>
        <v>DD</v>
      </c>
      <c r="V22412" s="7" t="str">
        <f>HYPERLINK("#Liste_rouge!A"&amp;_xlfn.XMATCH("LC",Liste_rouge!A:A,2,1),"LC")</f>
        <v>LC</v>
      </c>
      <c r="AH22412" s="4" t="str">
        <f>HYPERLINK("#Statut_biogéographique!A"&amp;_xlfn.XMATCH("P",Statut_biogéographique!A:A,2,1),"P")</f>
        <v>P</v>
      </c>
      <c r="AP22412" s="4" t="s">
        <v>376</v>
      </c>
      <c r="AR22412" s="4" t="s">
        <v>377</v>
      </c>
    </row>
    <row r="22413" spans="1:44">
      <c r="A22413" s="4" t="s">
        <v>24364</v>
      </c>
      <c r="B22413" s="4">
        <v>4375</v>
      </c>
      <c r="D22413" s="5">
        <v>4375</v>
      </c>
      <c r="E22413" s="6" t="str">
        <f>HYPERLINK("https://inpn.mnhn.fr/espece/cd_nom/4375","Fissidens exilis Hedw., 1801")</f>
        <v>Fissidens exilis Hedw., 1801</v>
      </c>
      <c r="P22413" s="7" t="str">
        <f>HYPERLINK("#Liste_rouge!A"&amp;_xlfn.XMATCH("LC",Liste_rouge!A:A,2,1),"LC")</f>
        <v>LC</v>
      </c>
      <c r="T22413" s="7" t="str">
        <f>HYPERLINK("#Liste_rouge!A"&amp;_xlfn.XMATCH("VU",Liste_rouge!A:A,2,1),"VU")</f>
        <v>VU</v>
      </c>
      <c r="V22413" s="7" t="str">
        <f>HYPERLINK("#Liste_rouge!A"&amp;_xlfn.XMATCH("LC",Liste_rouge!A:A,2,1),"LC")</f>
        <v>LC</v>
      </c>
      <c r="AH22413" s="4" t="str">
        <f>HYPERLINK("#Statut_biogéographique!A"&amp;_xlfn.XMATCH("P",Statut_biogéographique!A:A,2,1),"P")</f>
        <v>P</v>
      </c>
      <c r="AP22413" s="4" t="s">
        <v>376</v>
      </c>
      <c r="AR22413" s="4" t="s">
        <v>377</v>
      </c>
    </row>
    <row r="22414" spans="1:44" ht="30">
      <c r="A22414" s="4" t="s">
        <v>24364</v>
      </c>
      <c r="B22414" s="4">
        <v>4376</v>
      </c>
      <c r="D22414" s="5" t="s">
        <v>29177</v>
      </c>
      <c r="E22414" s="6" t="str">
        <f>HYPERLINK("https://inpn.mnhn.fr/espece/cd_nom/4376","Fissidens gracilifolius Brugg.-Nann. &amp; Nyholm, 1986")</f>
        <v>Fissidens gracilifolius Brugg.-Nann. &amp; Nyholm, 1986</v>
      </c>
      <c r="P22414" s="7" t="str">
        <f>HYPERLINK("#Liste_rouge!A"&amp;_xlfn.XMATCH("LC",Liste_rouge!A:A,2,1),"LC")</f>
        <v>LC</v>
      </c>
      <c r="T22414" s="7" t="str">
        <f>HYPERLINK("#Liste_rouge!A"&amp;_xlfn.XMATCH("LC",Liste_rouge!A:A,2,1),"LC")</f>
        <v>LC</v>
      </c>
      <c r="V22414" s="7" t="str">
        <f>HYPERLINK("#Liste_rouge!A"&amp;_xlfn.XMATCH("LC",Liste_rouge!A:A,2,1),"LC")</f>
        <v>LC</v>
      </c>
      <c r="AH22414" s="4" t="str">
        <f>HYPERLINK("#Statut_biogéographique!A"&amp;_xlfn.XMATCH("P",Statut_biogéographique!A:A,2,1),"P")</f>
        <v>P</v>
      </c>
      <c r="AP22414" s="4" t="s">
        <v>376</v>
      </c>
      <c r="AR22414" s="4" t="s">
        <v>377</v>
      </c>
    </row>
    <row r="22415" spans="1:44">
      <c r="A22415" s="4" t="s">
        <v>24364</v>
      </c>
      <c r="B22415" s="4">
        <v>4379</v>
      </c>
      <c r="D22415" s="5" t="s">
        <v>29178</v>
      </c>
      <c r="E22415" s="6" t="str">
        <f>HYPERLINK("https://inpn.mnhn.fr/espece/cd_nom/4379","Fissidens incurvus Starke ex Röhl., 1813")</f>
        <v>Fissidens incurvus Starke ex Röhl., 1813</v>
      </c>
      <c r="T22415" s="7" t="str">
        <f>HYPERLINK("#Liste_rouge!A"&amp;_xlfn.XMATCH("DD",Liste_rouge!A:A,2,1),"DD")</f>
        <v>DD</v>
      </c>
      <c r="V22415" s="7" t="str">
        <f>HYPERLINK("#Liste_rouge!A"&amp;_xlfn.XMATCH("NE",Liste_rouge!A:A,2,1),"NE")</f>
        <v>NE</v>
      </c>
      <c r="AH22415" s="4" t="str">
        <f>HYPERLINK("#Statut_biogéographique!A"&amp;_xlfn.XMATCH("P",Statut_biogéographique!A:A,2,1),"P")</f>
        <v>P</v>
      </c>
      <c r="AP22415" s="4" t="s">
        <v>376</v>
      </c>
      <c r="AR22415" s="4" t="s">
        <v>377</v>
      </c>
    </row>
    <row r="22416" spans="1:44">
      <c r="A22416" s="4" t="s">
        <v>24364</v>
      </c>
      <c r="B22416" s="4">
        <v>4387</v>
      </c>
      <c r="D22416" s="5">
        <v>4387</v>
      </c>
      <c r="E22416" s="6" t="str">
        <f>HYPERLINK("https://inpn.mnhn.fr/espece/cd_nom/4387","Fissidens monguillonii Thér., 1899")</f>
        <v>Fissidens monguillonii Thér., 1899</v>
      </c>
      <c r="P22416" s="7" t="str">
        <f>HYPERLINK("#Liste_rouge!A"&amp;_xlfn.XMATCH("DD",Liste_rouge!A:A,2,1),"DD")</f>
        <v>DD</v>
      </c>
      <c r="T22416" s="7" t="str">
        <f>HYPERLINK("#Liste_rouge!A"&amp;_xlfn.XMATCH("DD",Liste_rouge!A:A,2,1),"DD")</f>
        <v>DD</v>
      </c>
      <c r="V22416" s="7" t="str">
        <f>HYPERLINK("#Liste_rouge!A"&amp;_xlfn.XMATCH("LC",Liste_rouge!A:A,2,1),"LC")</f>
        <v>LC</v>
      </c>
      <c r="X22416" s="5" t="s">
        <v>374</v>
      </c>
      <c r="AB22416" s="4" t="s">
        <v>93</v>
      </c>
      <c r="AH22416" s="4" t="str">
        <f>HYPERLINK("#Statut_biogéographique!A"&amp;_xlfn.XMATCH("P",Statut_biogéographique!A:A,2,1),"P")</f>
        <v>P</v>
      </c>
      <c r="AP22416" s="4" t="s">
        <v>376</v>
      </c>
      <c r="AR22416" s="4" t="s">
        <v>377</v>
      </c>
    </row>
    <row r="22417" spans="1:44">
      <c r="A22417" s="4" t="s">
        <v>24364</v>
      </c>
      <c r="B22417" s="4">
        <v>4388</v>
      </c>
      <c r="D22417" s="5">
        <v>4388</v>
      </c>
      <c r="E22417" s="6" t="str">
        <f>HYPERLINK("https://inpn.mnhn.fr/espece/cd_nom/4388","Fissidens osmundoides Hedw., 1801")</f>
        <v>Fissidens osmundoides Hedw., 1801</v>
      </c>
      <c r="P22417" s="7" t="str">
        <f>HYPERLINK("#Liste_rouge!A"&amp;_xlfn.XMATCH("LC",Liste_rouge!A:A,2,1),"LC")</f>
        <v>LC</v>
      </c>
      <c r="T22417" s="7" t="str">
        <f>HYPERLINK("#Liste_rouge!A"&amp;_xlfn.XMATCH("CR",Liste_rouge!A:A,2,1),"CR")</f>
        <v>CR</v>
      </c>
      <c r="V22417" s="7" t="str">
        <f>HYPERLINK("#Liste_rouge!A"&amp;_xlfn.XMATCH("LC",Liste_rouge!A:A,2,1),"LC")</f>
        <v>LC</v>
      </c>
      <c r="X22417" s="5" t="s">
        <v>374</v>
      </c>
      <c r="AB22417" s="4" t="s">
        <v>93</v>
      </c>
      <c r="AH22417" s="4" t="str">
        <f>HYPERLINK("#Statut_biogéographique!A"&amp;_xlfn.XMATCH("P",Statut_biogéographique!A:A,2,1),"P")</f>
        <v>P</v>
      </c>
      <c r="AP22417" s="4" t="s">
        <v>376</v>
      </c>
      <c r="AR22417" s="4" t="s">
        <v>377</v>
      </c>
    </row>
    <row r="22418" spans="1:44">
      <c r="A22418" s="4" t="s">
        <v>24364</v>
      </c>
      <c r="B22418" s="4">
        <v>4392</v>
      </c>
      <c r="D22418" s="5" t="s">
        <v>29179</v>
      </c>
      <c r="E22418" s="6" t="str">
        <f>HYPERLINK("https://inpn.mnhn.fr/espece/cd_nom/4392","Fissidens pusillus (Wilson) Milde, 1869")</f>
        <v>Fissidens pusillus (Wilson) Milde, 1869</v>
      </c>
      <c r="P22418" s="7" t="str">
        <f>HYPERLINK("#Liste_rouge!A"&amp;_xlfn.XMATCH("LC",Liste_rouge!A:A,2,1),"LC")</f>
        <v>LC</v>
      </c>
      <c r="T22418" s="7" t="str">
        <f>HYPERLINK("#Liste_rouge!A"&amp;_xlfn.XMATCH("LC",Liste_rouge!A:A,2,1),"LC")</f>
        <v>LC</v>
      </c>
      <c r="V22418" s="7" t="str">
        <f>HYPERLINK("#Liste_rouge!A"&amp;_xlfn.XMATCH("LC",Liste_rouge!A:A,2,1),"LC")</f>
        <v>LC</v>
      </c>
      <c r="AB22418" s="4" t="s">
        <v>25106</v>
      </c>
      <c r="AH22418" s="4" t="str">
        <f>HYPERLINK("#Statut_biogéographique!A"&amp;_xlfn.XMATCH("P",Statut_biogéographique!A:A,2,1),"P")</f>
        <v>P</v>
      </c>
      <c r="AP22418" s="4" t="s">
        <v>376</v>
      </c>
      <c r="AR22418" s="4" t="s">
        <v>377</v>
      </c>
    </row>
    <row r="22419" spans="1:44">
      <c r="A22419" s="4" t="s">
        <v>24364</v>
      </c>
      <c r="B22419" s="4">
        <v>4393</v>
      </c>
      <c r="D22419" s="5">
        <v>4393</v>
      </c>
      <c r="E22419" s="6" t="str">
        <f>HYPERLINK("https://inpn.mnhn.fr/espece/cd_nom/4393","Fissidens rivularis (Spruce) Schimp., 1851")</f>
        <v>Fissidens rivularis (Spruce) Schimp., 1851</v>
      </c>
      <c r="P22419" s="7" t="str">
        <f>HYPERLINK("#Liste_rouge!A"&amp;_xlfn.XMATCH("NT",Liste_rouge!A:A,2,1),"NT")</f>
        <v>NT</v>
      </c>
      <c r="T22419" s="7" t="str">
        <f>HYPERLINK("#Liste_rouge!A"&amp;_xlfn.XMATCH("CR",Liste_rouge!A:A,2,1),"CR")</f>
        <v>CR</v>
      </c>
      <c r="X22419" s="5" t="s">
        <v>374</v>
      </c>
      <c r="AB22419" s="4" t="s">
        <v>93</v>
      </c>
      <c r="AH22419" s="4" t="str">
        <f>HYPERLINK("#Statut_biogéographique!A"&amp;_xlfn.XMATCH("P",Statut_biogéographique!A:A,2,1),"P")</f>
        <v>P</v>
      </c>
      <c r="AP22419" s="4" t="s">
        <v>376</v>
      </c>
      <c r="AR22419" s="4" t="s">
        <v>377</v>
      </c>
    </row>
    <row r="22420" spans="1:44">
      <c r="A22420" s="4" t="s">
        <v>24364</v>
      </c>
      <c r="B22420" s="4">
        <v>4394</v>
      </c>
      <c r="D22420" s="5">
        <v>4394</v>
      </c>
      <c r="E22420" s="6" t="str">
        <f>HYPERLINK("https://inpn.mnhn.fr/espece/cd_nom/4394","Fissidens rufulus Bruch &amp; Schimp., 1851")</f>
        <v>Fissidens rufulus Bruch &amp; Schimp., 1851</v>
      </c>
      <c r="P22420" s="7" t="str">
        <f>HYPERLINK("#Liste_rouge!A"&amp;_xlfn.XMATCH("LC",Liste_rouge!A:A,2,1),"LC")</f>
        <v>LC</v>
      </c>
      <c r="T22420" s="7" t="str">
        <f>HYPERLINK("#Liste_rouge!A"&amp;_xlfn.XMATCH("NT",Liste_rouge!A:A,2,1),"NT")</f>
        <v>NT</v>
      </c>
      <c r="V22420" s="7" t="str">
        <f>HYPERLINK("#Liste_rouge!A"&amp;_xlfn.XMATCH("VU",Liste_rouge!A:A,2,1),"VU")</f>
        <v>VU</v>
      </c>
      <c r="X22420" s="5" t="s">
        <v>374</v>
      </c>
      <c r="AB22420" s="4" t="s">
        <v>93</v>
      </c>
      <c r="AH22420" s="4" t="str">
        <f>HYPERLINK("#Statut_biogéographique!A"&amp;_xlfn.XMATCH("P",Statut_biogéographique!A:A,2,1),"P")</f>
        <v>P</v>
      </c>
      <c r="AP22420" s="4" t="s">
        <v>376</v>
      </c>
      <c r="AR22420" s="4" t="s">
        <v>377</v>
      </c>
    </row>
    <row r="22421" spans="1:44">
      <c r="A22421" s="4" t="s">
        <v>24364</v>
      </c>
      <c r="B22421" s="4">
        <v>4397</v>
      </c>
      <c r="D22421" s="5" t="s">
        <v>29180</v>
      </c>
      <c r="E22421" s="6" t="str">
        <f>HYPERLINK("https://inpn.mnhn.fr/espece/cd_nom/4397","Fissidens taxifolius Hedw., 1801")</f>
        <v>Fissidens taxifolius Hedw., 1801</v>
      </c>
      <c r="P22421" s="7" t="str">
        <f>HYPERLINK("#Liste_rouge!A"&amp;_xlfn.XMATCH("LC",Liste_rouge!A:A,2,1),"LC")</f>
        <v>LC</v>
      </c>
      <c r="T22421" s="7" t="str">
        <f>HYPERLINK("#Liste_rouge!A"&amp;_xlfn.XMATCH("LC",Liste_rouge!A:A,2,1),"LC")</f>
        <v>LC</v>
      </c>
      <c r="V22421" s="7" t="str">
        <f>HYPERLINK("#Liste_rouge!A"&amp;_xlfn.XMATCH("LC",Liste_rouge!A:A,2,1),"LC")</f>
        <v>LC</v>
      </c>
      <c r="AH22421" s="4" t="str">
        <f>HYPERLINK("#Statut_biogéographique!A"&amp;_xlfn.XMATCH("P",Statut_biogéographique!A:A,2,1),"P")</f>
        <v>P</v>
      </c>
      <c r="AP22421" s="4" t="s">
        <v>376</v>
      </c>
      <c r="AR22421" s="4" t="s">
        <v>377</v>
      </c>
    </row>
    <row r="22422" spans="1:44" ht="45">
      <c r="A22422" s="4" t="s">
        <v>24364</v>
      </c>
      <c r="B22422" s="4">
        <v>4400</v>
      </c>
      <c r="D22422" s="5" t="s">
        <v>29181</v>
      </c>
      <c r="E22422" s="6" t="str">
        <f>HYPERLINK("https://inpn.mnhn.fr/espece/cd_nom/4400","Fissidens viridulus (Sw. ex anon.) Wahlenb.")</f>
        <v>Fissidens viridulus (Sw. ex anon.) Wahlenb.</v>
      </c>
      <c r="P22422" s="7" t="str">
        <f>HYPERLINK("#Liste_rouge!A"&amp;_xlfn.XMATCH("LC",Liste_rouge!A:A,2,1),"LC")</f>
        <v>LC</v>
      </c>
      <c r="T22422" s="7" t="str">
        <f>HYPERLINK("#Liste_rouge!A"&amp;_xlfn.XMATCH("LC",Liste_rouge!A:A,2,1),"LC")</f>
        <v>LC</v>
      </c>
      <c r="V22422" s="7" t="str">
        <f>HYPERLINK("#Liste_rouge!A"&amp;_xlfn.XMATCH("DD",Liste_rouge!A:A,2,1),"DD (cd_nom 4400) - NE (cd_nom 4400)")</f>
        <v>DD (cd_nom 4400) - NE (cd_nom 4400)</v>
      </c>
      <c r="AH22422" s="4" t="str">
        <f>HYPERLINK("#Statut_biogéographique!A"&amp;_xlfn.XMATCH("P",Statut_biogéographique!A:A,2,1),"P")</f>
        <v>P</v>
      </c>
      <c r="AP22422" s="4" t="s">
        <v>376</v>
      </c>
      <c r="AR22422" s="4" t="s">
        <v>377</v>
      </c>
    </row>
    <row r="22423" spans="1:44">
      <c r="A22423" s="4" t="s">
        <v>24364</v>
      </c>
      <c r="B22423" s="4">
        <v>4413</v>
      </c>
      <c r="D22423" s="5" t="s">
        <v>29182</v>
      </c>
      <c r="E22423" s="6" t="str">
        <f>HYPERLINK("https://inpn.mnhn.fr/espece/cd_nom/4413","Campylopus atrovirens De Not., 1838")</f>
        <v>Campylopus atrovirens De Not., 1838</v>
      </c>
      <c r="P22423" s="7" t="str">
        <f>HYPERLINK("#Liste_rouge!A"&amp;_xlfn.XMATCH("LC",Liste_rouge!A:A,2,1),"LC")</f>
        <v>LC</v>
      </c>
      <c r="T22423" s="7" t="str">
        <f>HYPERLINK("#Liste_rouge!A"&amp;_xlfn.XMATCH("CR",Liste_rouge!A:A,2,1),"CR")</f>
        <v>CR</v>
      </c>
      <c r="X22423" s="5" t="s">
        <v>374</v>
      </c>
      <c r="AB22423" s="4" t="s">
        <v>93</v>
      </c>
      <c r="AH22423" s="4" t="str">
        <f>HYPERLINK("#Statut_biogéographique!A"&amp;_xlfn.XMATCH("P",Statut_biogéographique!A:A,2,1),"P")</f>
        <v>P</v>
      </c>
      <c r="AP22423" s="4" t="s">
        <v>376</v>
      </c>
      <c r="AR22423" s="4" t="s">
        <v>377</v>
      </c>
    </row>
    <row r="22424" spans="1:44">
      <c r="A22424" s="4" t="s">
        <v>24364</v>
      </c>
      <c r="B22424" s="4">
        <v>4414</v>
      </c>
      <c r="D22424" s="5">
        <v>4414</v>
      </c>
      <c r="E22424" s="6" t="str">
        <f>HYPERLINK("https://inpn.mnhn.fr/espece/cd_nom/4414","Campylopus brevipilus Bruch &amp; Schimp., 1847")</f>
        <v>Campylopus brevipilus Bruch &amp; Schimp., 1847</v>
      </c>
      <c r="P22424" s="7" t="str">
        <f>HYPERLINK("#Liste_rouge!A"&amp;_xlfn.XMATCH("LC",Liste_rouge!A:A,2,1),"LC")</f>
        <v>LC</v>
      </c>
      <c r="T22424" s="7" t="str">
        <f>HYPERLINK("#Liste_rouge!A"&amp;_xlfn.XMATCH("CR",Liste_rouge!A:A,2,1),"CR")</f>
        <v>CR</v>
      </c>
      <c r="X22424" s="5" t="s">
        <v>374</v>
      </c>
      <c r="AB22424" s="4" t="s">
        <v>93</v>
      </c>
      <c r="AH22424" s="4" t="str">
        <f>HYPERLINK("#Statut_biogéographique!A"&amp;_xlfn.XMATCH("P",Statut_biogéographique!A:A,2,1),"P")</f>
        <v>P</v>
      </c>
      <c r="AP22424" s="4" t="s">
        <v>376</v>
      </c>
      <c r="AR22424" s="4" t="s">
        <v>377</v>
      </c>
    </row>
    <row r="22425" spans="1:44">
      <c r="A22425" s="4" t="s">
        <v>24364</v>
      </c>
      <c r="B22425" s="4">
        <v>4415</v>
      </c>
      <c r="D22425" s="5" t="s">
        <v>29183</v>
      </c>
      <c r="E22425" s="6" t="str">
        <f>HYPERLINK("https://inpn.mnhn.fr/espece/cd_nom/4415","Campylopus flexuosus (Hedw.) Brid., 1819")</f>
        <v>Campylopus flexuosus (Hedw.) Brid., 1819</v>
      </c>
      <c r="P22425" s="7" t="str">
        <f>HYPERLINK("#Liste_rouge!A"&amp;_xlfn.XMATCH("LC",Liste_rouge!A:A,2,1),"LC")</f>
        <v>LC</v>
      </c>
      <c r="T22425" s="7" t="str">
        <f>HYPERLINK("#Liste_rouge!A"&amp;_xlfn.XMATCH("LC",Liste_rouge!A:A,2,1),"LC")</f>
        <v>LC</v>
      </c>
      <c r="V22425" s="7" t="str">
        <f>HYPERLINK("#Liste_rouge!A"&amp;_xlfn.XMATCH("LC",Liste_rouge!A:A,2,1),"LC")</f>
        <v>LC</v>
      </c>
      <c r="AH22425" s="4" t="str">
        <f>HYPERLINK("#Statut_biogéographique!A"&amp;_xlfn.XMATCH("P",Statut_biogéographique!A:A,2,1),"P")</f>
        <v>P</v>
      </c>
      <c r="AP22425" s="4" t="s">
        <v>376</v>
      </c>
      <c r="AR22425" s="4" t="s">
        <v>377</v>
      </c>
    </row>
    <row r="22426" spans="1:44" ht="30">
      <c r="A22426" s="4" t="s">
        <v>24364</v>
      </c>
      <c r="B22426" s="4">
        <v>4417</v>
      </c>
      <c r="D22426" s="5">
        <v>4417</v>
      </c>
      <c r="E22426" s="6" t="str">
        <f>HYPERLINK("https://inpn.mnhn.fr/espece/cd_nom/4417","Campylopus fragilis (Brid.) Bruch &amp; Schimp., 1847")</f>
        <v>Campylopus fragilis (Brid.) Bruch &amp; Schimp., 1847</v>
      </c>
      <c r="P22426" s="7" t="str">
        <f>HYPERLINK("#Liste_rouge!A"&amp;_xlfn.XMATCH("LC",Liste_rouge!A:A,2,1),"LC")</f>
        <v>LC</v>
      </c>
      <c r="T22426" s="7" t="str">
        <f>HYPERLINK("#Liste_rouge!A"&amp;_xlfn.XMATCH("NT",Liste_rouge!A:A,2,1),"NT")</f>
        <v>NT</v>
      </c>
      <c r="V22426" s="7" t="str">
        <f>HYPERLINK("#Liste_rouge!A"&amp;_xlfn.XMATCH("VU",Liste_rouge!A:A,2,1),"VU")</f>
        <v>VU</v>
      </c>
      <c r="AB22426" s="4" t="s">
        <v>29184</v>
      </c>
      <c r="AH22426" s="4" t="str">
        <f>HYPERLINK("#Statut_biogéographique!A"&amp;_xlfn.XMATCH("P",Statut_biogéographique!A:A,2,1),"P")</f>
        <v>P</v>
      </c>
      <c r="AP22426" s="4" t="s">
        <v>376</v>
      </c>
      <c r="AR22426" s="4" t="s">
        <v>377</v>
      </c>
    </row>
    <row r="22427" spans="1:44">
      <c r="A22427" s="4" t="s">
        <v>24364</v>
      </c>
      <c r="B22427" s="4">
        <v>4419</v>
      </c>
      <c r="D22427" s="5" t="s">
        <v>29185</v>
      </c>
      <c r="E22427" s="6" t="str">
        <f>HYPERLINK("https://inpn.mnhn.fr/espece/cd_nom/4419","Campylopus introflexus (Hedw.) Brid., 1819")</f>
        <v>Campylopus introflexus (Hedw.) Brid., 1819</v>
      </c>
      <c r="T22427" s="7" t="str">
        <f>HYPERLINK("#Liste_rouge!A"&amp;_xlfn.XMATCH("NA",Liste_rouge!A:A,2,1),"NA")</f>
        <v>NA</v>
      </c>
      <c r="V22427" s="7" t="str">
        <f>HYPERLINK("#Liste_rouge!A"&amp;_xlfn.XMATCH("NA",Liste_rouge!A:A,2,1),"NA")</f>
        <v>NA</v>
      </c>
      <c r="AH22427" s="4" t="str">
        <f>HYPERLINK("#Statut_biogéographique!A"&amp;_xlfn.XMATCH("J",Statut_biogéographique!A:A,2,1),"J")</f>
        <v>J</v>
      </c>
      <c r="AP22427" s="4" t="s">
        <v>376</v>
      </c>
      <c r="AR22427" s="4" t="s">
        <v>377</v>
      </c>
    </row>
    <row r="22428" spans="1:44" ht="30">
      <c r="A22428" s="4" t="s">
        <v>24364</v>
      </c>
      <c r="B22428" s="4">
        <v>4421</v>
      </c>
      <c r="D22428" s="5" t="s">
        <v>29186</v>
      </c>
      <c r="E22428" s="6" t="str">
        <f>HYPERLINK("https://inpn.mnhn.fr/espece/cd_nom/4421","Campylopus oerstedianus (Müll.Hal.) Mitt., 1869")</f>
        <v>Campylopus oerstedianus (Müll.Hal.) Mitt., 1869</v>
      </c>
      <c r="P22428" s="7" t="str">
        <f>HYPERLINK("#Liste_rouge!A"&amp;_xlfn.XMATCH("DD",Liste_rouge!A:A,2,1),"DD")</f>
        <v>DD</v>
      </c>
      <c r="V22428" s="7" t="str">
        <f>HYPERLINK("#Liste_rouge!A"&amp;_xlfn.XMATCH("DD",Liste_rouge!A:A,2,1),"DD")</f>
        <v>DD</v>
      </c>
      <c r="AH22428" s="4" t="str">
        <f>HYPERLINK("#Statut_biogéographique!A"&amp;_xlfn.XMATCH("P",Statut_biogéographique!A:A,2,1),"P")</f>
        <v>P</v>
      </c>
      <c r="AP22428" s="4" t="s">
        <v>376</v>
      </c>
      <c r="AR22428" s="4" t="s">
        <v>377</v>
      </c>
    </row>
    <row r="22429" spans="1:44">
      <c r="A22429" s="4" t="s">
        <v>24364</v>
      </c>
      <c r="B22429" s="4">
        <v>4423</v>
      </c>
      <c r="D22429" s="5" t="s">
        <v>29187</v>
      </c>
      <c r="E22429" s="6" t="str">
        <f>HYPERLINK("https://inpn.mnhn.fr/espece/cd_nom/4423","Campylopus pilifer Brid., 1819")</f>
        <v>Campylopus pilifer Brid., 1819</v>
      </c>
      <c r="P22429" s="7" t="str">
        <f>HYPERLINK("#Liste_rouge!A"&amp;_xlfn.XMATCH("LC",Liste_rouge!A:A,2,1),"LC")</f>
        <v>LC</v>
      </c>
      <c r="T22429" s="7" t="str">
        <f>HYPERLINK("#Liste_rouge!A"&amp;_xlfn.XMATCH("EN",Liste_rouge!A:A,2,1),"EN")</f>
        <v>EN</v>
      </c>
      <c r="X22429" s="5" t="s">
        <v>374</v>
      </c>
      <c r="AB22429" s="4" t="s">
        <v>93</v>
      </c>
      <c r="AH22429" s="4" t="str">
        <f>HYPERLINK("#Statut_biogéographique!A"&amp;_xlfn.XMATCH("P",Statut_biogéographique!A:A,2,1),"P")</f>
        <v>P</v>
      </c>
      <c r="AP22429" s="4" t="s">
        <v>376</v>
      </c>
      <c r="AR22429" s="4" t="s">
        <v>377</v>
      </c>
    </row>
    <row r="22430" spans="1:44" ht="30">
      <c r="A22430" s="4" t="s">
        <v>24364</v>
      </c>
      <c r="B22430" s="4">
        <v>4424</v>
      </c>
      <c r="D22430" s="5" t="s">
        <v>29188</v>
      </c>
      <c r="E22430" s="6" t="str">
        <f>HYPERLINK("https://inpn.mnhn.fr/espece/cd_nom/4424","Campylopus pyriformis (Schultz) Brid., 1826")</f>
        <v>Campylopus pyriformis (Schultz) Brid., 1826</v>
      </c>
      <c r="P22430" s="7" t="str">
        <f>HYPERLINK("#Liste_rouge!A"&amp;_xlfn.XMATCH("LC",Liste_rouge!A:A,2,1),"LC")</f>
        <v>LC</v>
      </c>
      <c r="T22430" s="7" t="str">
        <f>HYPERLINK("#Liste_rouge!A"&amp;_xlfn.XMATCH("LC",Liste_rouge!A:A,2,1),"LC")</f>
        <v>LC</v>
      </c>
      <c r="V22430" s="7" t="str">
        <f>HYPERLINK("#Liste_rouge!A"&amp;_xlfn.XMATCH("LC",Liste_rouge!A:A,2,1),"LC")</f>
        <v>LC</v>
      </c>
      <c r="AH22430" s="4" t="str">
        <f>HYPERLINK("#Statut_biogéographique!A"&amp;_xlfn.XMATCH("P",Statut_biogéographique!A:A,2,1),"P")</f>
        <v>P</v>
      </c>
      <c r="AP22430" s="4" t="s">
        <v>376</v>
      </c>
      <c r="AR22430" s="4" t="s">
        <v>377</v>
      </c>
    </row>
    <row r="22431" spans="1:44" ht="30">
      <c r="A22431" s="4" t="s">
        <v>24364</v>
      </c>
      <c r="B22431" s="4">
        <v>4429</v>
      </c>
      <c r="D22431" s="5" t="s">
        <v>29189</v>
      </c>
      <c r="E22431" s="6" t="str">
        <f>HYPERLINK("https://inpn.mnhn.fr/espece/cd_nom/4429","Campylopus subulatus Schimp. ex Milde, 1862")</f>
        <v>Campylopus subulatus Schimp. ex Milde, 1862</v>
      </c>
      <c r="P22431" s="7" t="str">
        <f>HYPERLINK("#Liste_rouge!A"&amp;_xlfn.XMATCH("DD",Liste_rouge!A:A,2,1),"DD")</f>
        <v>DD</v>
      </c>
      <c r="T22431" s="7" t="str">
        <f>HYPERLINK("#Liste_rouge!A"&amp;_xlfn.XMATCH("CR",Liste_rouge!A:A,2,1),"CR")</f>
        <v>CR</v>
      </c>
      <c r="V22431" s="7" t="str">
        <f>HYPERLINK("#Liste_rouge!A"&amp;_xlfn.XMATCH("DD",Liste_rouge!A:A,2,1),"DD")</f>
        <v>DD</v>
      </c>
      <c r="X22431" s="5" t="s">
        <v>374</v>
      </c>
      <c r="AB22431" s="4" t="s">
        <v>93</v>
      </c>
      <c r="AH22431" s="4" t="str">
        <f>HYPERLINK("#Statut_biogéographique!A"&amp;_xlfn.XMATCH("P",Statut_biogéographique!A:A,2,1),"P")</f>
        <v>P</v>
      </c>
      <c r="AP22431" s="4" t="s">
        <v>376</v>
      </c>
      <c r="AR22431" s="4" t="s">
        <v>377</v>
      </c>
    </row>
    <row r="22432" spans="1:44" ht="30">
      <c r="A22432" s="4" t="s">
        <v>24364</v>
      </c>
      <c r="B22432" s="4">
        <v>4431</v>
      </c>
      <c r="D22432" s="5" t="s">
        <v>29190</v>
      </c>
      <c r="E22432" s="6" t="str">
        <f>HYPERLINK("https://inpn.mnhn.fr/espece/cd_nom/4431","Cynodontium bruntonii (Sm.) Bruch &amp; Schimp., 1846")</f>
        <v>Cynodontium bruntonii (Sm.) Bruch &amp; Schimp., 1846</v>
      </c>
      <c r="P22432" s="7" t="str">
        <f>HYPERLINK("#Liste_rouge!A"&amp;_xlfn.XMATCH("LC",Liste_rouge!A:A,2,1),"LC")</f>
        <v>LC</v>
      </c>
      <c r="T22432" s="7" t="str">
        <f>HYPERLINK("#Liste_rouge!A"&amp;_xlfn.XMATCH("LC",Liste_rouge!A:A,2,1),"LC")</f>
        <v>LC</v>
      </c>
      <c r="V22432" s="7" t="str">
        <f>HYPERLINK("#Liste_rouge!A"&amp;_xlfn.XMATCH("NT",Liste_rouge!A:A,2,1),"NT")</f>
        <v>NT</v>
      </c>
      <c r="AH22432" s="4" t="str">
        <f>HYPERLINK("#Statut_biogéographique!A"&amp;_xlfn.XMATCH("P",Statut_biogéographique!A:A,2,1),"P")</f>
        <v>P</v>
      </c>
      <c r="AP22432" s="4" t="s">
        <v>376</v>
      </c>
      <c r="AR22432" s="4" t="s">
        <v>377</v>
      </c>
    </row>
    <row r="22433" spans="1:44">
      <c r="A22433" s="4" t="s">
        <v>24364</v>
      </c>
      <c r="B22433" s="4">
        <v>4433</v>
      </c>
      <c r="D22433" s="5" t="s">
        <v>29191</v>
      </c>
      <c r="E22433" s="6" t="str">
        <f>HYPERLINK("https://inpn.mnhn.fr/espece/cd_nom/4433","Cynodontium polycarpon (Hedw.) Schimp.")</f>
        <v>Cynodontium polycarpon (Hedw.) Schimp.</v>
      </c>
      <c r="P22433" s="7" t="str">
        <f>HYPERLINK("#Liste_rouge!A"&amp;_xlfn.XMATCH("LC",Liste_rouge!A:A,2,1),"LC")</f>
        <v>LC</v>
      </c>
      <c r="T22433" s="7" t="str">
        <f>HYPERLINK("#Liste_rouge!A"&amp;_xlfn.XMATCH("CR",Liste_rouge!A:A,2,1),"CR")</f>
        <v>CR</v>
      </c>
      <c r="V22433" s="7" t="str">
        <f>HYPERLINK("#Liste_rouge!A"&amp;_xlfn.XMATCH("NT",Liste_rouge!A:A,2,1),"NT")</f>
        <v>NT</v>
      </c>
      <c r="AB22433" s="4" t="s">
        <v>24777</v>
      </c>
      <c r="AH22433" s="4" t="str">
        <f>HYPERLINK("#Statut_biogéographique!A"&amp;_xlfn.XMATCH("P",Statut_biogéographique!A:A,2,1),"P")</f>
        <v>P</v>
      </c>
      <c r="AP22433" s="4" t="s">
        <v>376</v>
      </c>
      <c r="AR22433" s="4" t="s">
        <v>377</v>
      </c>
    </row>
    <row r="22434" spans="1:44" ht="30">
      <c r="A22434" s="4" t="s">
        <v>24364</v>
      </c>
      <c r="B22434" s="4">
        <v>4434</v>
      </c>
      <c r="D22434" s="5" t="s">
        <v>29192</v>
      </c>
      <c r="E22434" s="6" t="str">
        <f>HYPERLINK("https://inpn.mnhn.fr/espece/cd_nom/4434","Cynodontium strumiferum (Hedw.) Lindb., 1864")</f>
        <v>Cynodontium strumiferum (Hedw.) Lindb., 1864</v>
      </c>
      <c r="P22434" s="7" t="str">
        <f>HYPERLINK("#Liste_rouge!A"&amp;_xlfn.XMATCH("LC",Liste_rouge!A:A,2,1),"LC")</f>
        <v>LC</v>
      </c>
      <c r="V22434" s="7" t="str">
        <f>HYPERLINK("#Liste_rouge!A"&amp;_xlfn.XMATCH("VU",Liste_rouge!A:A,2,1),"VU")</f>
        <v>VU</v>
      </c>
      <c r="X22434" s="5" t="s">
        <v>374</v>
      </c>
      <c r="AB22434" s="4" t="s">
        <v>93</v>
      </c>
      <c r="AH22434" s="4" t="str">
        <f>HYPERLINK("#Statut_biogéographique!A"&amp;_xlfn.XMATCH("P",Statut_biogéographique!A:A,2,1),"P")</f>
        <v>P</v>
      </c>
      <c r="AP22434" s="4" t="s">
        <v>376</v>
      </c>
      <c r="AR22434" s="4" t="s">
        <v>377</v>
      </c>
    </row>
    <row r="22435" spans="1:44">
      <c r="A22435" s="4" t="s">
        <v>24364</v>
      </c>
      <c r="B22435" s="4">
        <v>4437</v>
      </c>
      <c r="D22435" s="5" t="s">
        <v>29193</v>
      </c>
      <c r="E22435" s="6" t="str">
        <f>HYPERLINK("https://inpn.mnhn.fr/espece/cd_nom/4437","Dichodontium flavescens (Dicks.) Lindb., 1878")</f>
        <v>Dichodontium flavescens (Dicks.) Lindb., 1878</v>
      </c>
      <c r="P22435" s="7" t="str">
        <f>HYPERLINK("#Liste_rouge!A"&amp;_xlfn.XMATCH("DD",Liste_rouge!A:A,2,1),"DD")</f>
        <v>DD</v>
      </c>
      <c r="AH22435" s="4" t="str">
        <f>HYPERLINK("#Statut_biogéographique!A"&amp;_xlfn.XMATCH("P",Statut_biogéographique!A:A,2,1),"P")</f>
        <v>P</v>
      </c>
      <c r="AP22435" s="4" t="s">
        <v>376</v>
      </c>
      <c r="AR22435" s="4" t="s">
        <v>377</v>
      </c>
    </row>
    <row r="22436" spans="1:44" ht="30">
      <c r="A22436" s="4" t="s">
        <v>24364</v>
      </c>
      <c r="B22436" s="4">
        <v>4439</v>
      </c>
      <c r="D22436" s="5" t="s">
        <v>29194</v>
      </c>
      <c r="E22436" s="6" t="str">
        <f>HYPERLINK("https://inpn.mnhn.fr/espece/cd_nom/4439","Dichodontium pellucidum (Hedw.) Schimp., 1856")</f>
        <v>Dichodontium pellucidum (Hedw.) Schimp., 1856</v>
      </c>
      <c r="P22436" s="7" t="str">
        <f>HYPERLINK("#Liste_rouge!A"&amp;_xlfn.XMATCH("LC",Liste_rouge!A:A,2,1),"LC")</f>
        <v>LC</v>
      </c>
      <c r="T22436" s="7" t="str">
        <f>HYPERLINK("#Liste_rouge!A"&amp;_xlfn.XMATCH("VU",Liste_rouge!A:A,2,1),"VU")</f>
        <v>VU</v>
      </c>
      <c r="V22436" s="7" t="str">
        <f>HYPERLINK("#Liste_rouge!A"&amp;_xlfn.XMATCH("LC",Liste_rouge!A:A,2,1),"LC")</f>
        <v>LC</v>
      </c>
      <c r="AB22436" s="4" t="s">
        <v>24803</v>
      </c>
      <c r="AH22436" s="4" t="str">
        <f>HYPERLINK("#Statut_biogéographique!A"&amp;_xlfn.XMATCH("P",Statut_biogéographique!A:A,2,1),"P")</f>
        <v>P</v>
      </c>
      <c r="AP22436" s="4" t="s">
        <v>376</v>
      </c>
      <c r="AR22436" s="4" t="s">
        <v>377</v>
      </c>
    </row>
    <row r="22437" spans="1:44">
      <c r="A22437" s="4" t="s">
        <v>24364</v>
      </c>
      <c r="B22437" s="4">
        <v>4441</v>
      </c>
      <c r="D22437" s="5" t="s">
        <v>29195</v>
      </c>
      <c r="E22437" s="6" t="str">
        <f>HYPERLINK("https://inpn.mnhn.fr/espece/cd_nom/4441","Dicranella cerviculata (Hedw.) Schimp., 1856")</f>
        <v>Dicranella cerviculata (Hedw.) Schimp., 1856</v>
      </c>
      <c r="P22437" s="7" t="str">
        <f>HYPERLINK("#Liste_rouge!A"&amp;_xlfn.XMATCH("LC",Liste_rouge!A:A,2,1),"LC")</f>
        <v>LC</v>
      </c>
      <c r="T22437" s="7" t="str">
        <f>HYPERLINK("#Liste_rouge!A"&amp;_xlfn.XMATCH("CR",Liste_rouge!A:A,2,1),"CR")</f>
        <v>CR</v>
      </c>
      <c r="V22437" s="7" t="str">
        <f>HYPERLINK("#Liste_rouge!A"&amp;_xlfn.XMATCH("NT",Liste_rouge!A:A,2,1),"NT")</f>
        <v>NT</v>
      </c>
      <c r="X22437" s="5" t="s">
        <v>374</v>
      </c>
      <c r="AB22437" s="4" t="s">
        <v>93</v>
      </c>
      <c r="AH22437" s="4" t="str">
        <f>HYPERLINK("#Statut_biogéographique!A"&amp;_xlfn.XMATCH("P",Statut_biogéographique!A:A,2,1),"P")</f>
        <v>P</v>
      </c>
      <c r="AP22437" s="4" t="s">
        <v>376</v>
      </c>
      <c r="AR22437" s="4" t="s">
        <v>377</v>
      </c>
    </row>
    <row r="22438" spans="1:44">
      <c r="A22438" s="4" t="s">
        <v>24364</v>
      </c>
      <c r="B22438" s="4">
        <v>4444</v>
      </c>
      <c r="D22438" s="5" t="s">
        <v>29196</v>
      </c>
      <c r="E22438" s="6" t="str">
        <f>HYPERLINK("https://inpn.mnhn.fr/espece/cd_nom/4444","Dicranella grevilleana (Brid.) Schimp., 1856")</f>
        <v>Dicranella grevilleana (Brid.) Schimp., 1856</v>
      </c>
      <c r="P22438" s="7" t="str">
        <f>HYPERLINK("#Liste_rouge!A"&amp;_xlfn.XMATCH("LC",Liste_rouge!A:A,2,1),"LC")</f>
        <v>LC</v>
      </c>
      <c r="V22438" s="7" t="str">
        <f>HYPERLINK("#Liste_rouge!A"&amp;_xlfn.XMATCH("DD",Liste_rouge!A:A,2,1),"DD")</f>
        <v>DD</v>
      </c>
      <c r="X22438" s="5" t="s">
        <v>374</v>
      </c>
      <c r="AB22438" s="4" t="s">
        <v>93</v>
      </c>
      <c r="AH22438" s="4" t="str">
        <f>HYPERLINK("#Statut_biogéographique!A"&amp;_xlfn.XMATCH("P",Statut_biogéographique!A:A,2,1),"P")</f>
        <v>P</v>
      </c>
      <c r="AP22438" s="4" t="s">
        <v>376</v>
      </c>
      <c r="AR22438" s="4" t="s">
        <v>377</v>
      </c>
    </row>
    <row r="22439" spans="1:44">
      <c r="A22439" s="4" t="s">
        <v>24364</v>
      </c>
      <c r="B22439" s="4">
        <v>4446</v>
      </c>
      <c r="D22439" s="5" t="s">
        <v>29197</v>
      </c>
      <c r="E22439" s="6" t="str">
        <f>HYPERLINK("https://inpn.mnhn.fr/espece/cd_nom/4446","Dicranella heteromalla (Hedw.) Schimp., 1856")</f>
        <v>Dicranella heteromalla (Hedw.) Schimp., 1856</v>
      </c>
      <c r="P22439" s="7" t="str">
        <f>HYPERLINK("#Liste_rouge!A"&amp;_xlfn.XMATCH("LC",Liste_rouge!A:A,2,1),"LC")</f>
        <v>LC</v>
      </c>
      <c r="T22439" s="7" t="str">
        <f>HYPERLINK("#Liste_rouge!A"&amp;_xlfn.XMATCH("LC",Liste_rouge!A:A,2,1),"LC")</f>
        <v>LC</v>
      </c>
      <c r="V22439" s="7" t="str">
        <f>HYPERLINK("#Liste_rouge!A"&amp;_xlfn.XMATCH("LC",Liste_rouge!A:A,2,1),"LC")</f>
        <v>LC</v>
      </c>
      <c r="AH22439" s="4" t="str">
        <f>HYPERLINK("#Statut_biogéographique!A"&amp;_xlfn.XMATCH("P",Statut_biogéographique!A:A,2,1),"P")</f>
        <v>P</v>
      </c>
      <c r="AP22439" s="4" t="s">
        <v>376</v>
      </c>
      <c r="AR22439" s="4" t="s">
        <v>377</v>
      </c>
    </row>
    <row r="22440" spans="1:44">
      <c r="A22440" s="4" t="s">
        <v>24364</v>
      </c>
      <c r="B22440" s="4">
        <v>4447</v>
      </c>
      <c r="D22440" s="5">
        <v>4447</v>
      </c>
      <c r="E22440" s="6" t="str">
        <f>HYPERLINK("https://inpn.mnhn.fr/espece/cd_nom/4447","Dicranella howei Renauld &amp; Cardot, 1893")</f>
        <v>Dicranella howei Renauld &amp; Cardot, 1893</v>
      </c>
      <c r="P22440" s="7" t="str">
        <f>HYPERLINK("#Liste_rouge!A"&amp;_xlfn.XMATCH("LC",Liste_rouge!A:A,2,1),"LC")</f>
        <v>LC</v>
      </c>
      <c r="T22440" s="7" t="str">
        <f>HYPERLINK("#Liste_rouge!A"&amp;_xlfn.XMATCH("LC",Liste_rouge!A:A,2,1),"LC")</f>
        <v>LC</v>
      </c>
      <c r="V22440" s="7" t="str">
        <f>HYPERLINK("#Liste_rouge!A"&amp;_xlfn.XMATCH("DD",Liste_rouge!A:A,2,1),"DD")</f>
        <v>DD</v>
      </c>
      <c r="AH22440" s="4" t="str">
        <f>HYPERLINK("#Statut_biogéographique!A"&amp;_xlfn.XMATCH("P",Statut_biogéographique!A:A,2,1),"P")</f>
        <v>P</v>
      </c>
      <c r="AP22440" s="4" t="s">
        <v>376</v>
      </c>
      <c r="AR22440" s="4" t="s">
        <v>377</v>
      </c>
    </row>
    <row r="22441" spans="1:44">
      <c r="A22441" s="4" t="s">
        <v>24364</v>
      </c>
      <c r="B22441" s="4">
        <v>4448</v>
      </c>
      <c r="D22441" s="5" t="s">
        <v>29198</v>
      </c>
      <c r="E22441" s="6" t="str">
        <f>HYPERLINK("https://inpn.mnhn.fr/espece/cd_nom/4448","Dicranella humilis R.Ruthe, 1873")</f>
        <v>Dicranella humilis R.Ruthe, 1873</v>
      </c>
      <c r="P22441" s="7" t="str">
        <f>HYPERLINK("#Liste_rouge!A"&amp;_xlfn.XMATCH("LC",Liste_rouge!A:A,2,1),"LC")</f>
        <v>LC</v>
      </c>
      <c r="V22441" s="7" t="str">
        <f>HYPERLINK("#Liste_rouge!A"&amp;_xlfn.XMATCH("NE",Liste_rouge!A:A,2,1),"NE")</f>
        <v>NE</v>
      </c>
      <c r="AH22441" s="4" t="str">
        <f>HYPERLINK("#Statut_biogéographique!A"&amp;_xlfn.XMATCH("P",Statut_biogéographique!A:A,2,1),"P")</f>
        <v>P</v>
      </c>
      <c r="AP22441" s="4" t="s">
        <v>376</v>
      </c>
      <c r="AR22441" s="4" t="s">
        <v>377</v>
      </c>
    </row>
    <row r="22442" spans="1:44">
      <c r="A22442" s="4" t="s">
        <v>24364</v>
      </c>
      <c r="B22442" s="4">
        <v>4452</v>
      </c>
      <c r="D22442" s="5" t="s">
        <v>29199</v>
      </c>
      <c r="E22442" s="6" t="str">
        <f>HYPERLINK("https://inpn.mnhn.fr/espece/cd_nom/4452","Dicranella rufescens (Dicks.) Schimp.")</f>
        <v>Dicranella rufescens (Dicks.) Schimp.</v>
      </c>
      <c r="P22442" s="7" t="str">
        <f>HYPERLINK("#Liste_rouge!A"&amp;_xlfn.XMATCH("LC",Liste_rouge!A:A,2,1),"LC")</f>
        <v>LC</v>
      </c>
      <c r="T22442" s="7" t="str">
        <f>HYPERLINK("#Liste_rouge!A"&amp;_xlfn.XMATCH("VU",Liste_rouge!A:A,2,1),"VU")</f>
        <v>VU</v>
      </c>
      <c r="V22442" s="7" t="str">
        <f>HYPERLINK("#Liste_rouge!A"&amp;_xlfn.XMATCH("LC",Liste_rouge!A:A,2,1),"LC")</f>
        <v>LC</v>
      </c>
      <c r="AB22442" s="4" t="s">
        <v>24803</v>
      </c>
      <c r="AH22442" s="4" t="str">
        <f>HYPERLINK("#Statut_biogéographique!A"&amp;_xlfn.XMATCH("P",Statut_biogéographique!A:A,2,1),"P")</f>
        <v>P</v>
      </c>
      <c r="AP22442" s="4" t="s">
        <v>376</v>
      </c>
      <c r="AR22442" s="4" t="s">
        <v>377</v>
      </c>
    </row>
    <row r="22443" spans="1:44" ht="30">
      <c r="A22443" s="4" t="s">
        <v>24364</v>
      </c>
      <c r="B22443" s="4">
        <v>445494</v>
      </c>
      <c r="D22443" s="5">
        <v>445494</v>
      </c>
      <c r="E22443" s="6" t="str">
        <f>HYPERLINK("https://inpn.mnhn.fr/espece/cd_nom/445494","Impatiens balsamina L., 1753")</f>
        <v>Impatiens balsamina L., 1753</v>
      </c>
      <c r="F22443" s="5" t="s">
        <v>29200</v>
      </c>
      <c r="Q22443" s="7" t="str">
        <f>HYPERLINK("#Liste_rouge!A"&amp;_xlfn.XMATCH("NA",Liste_rouge!A:A,2,1),"NA")</f>
        <v>NA</v>
      </c>
      <c r="AH22443" s="4" t="str">
        <f>HYPERLINK("#Statut_biogéographique!A"&amp;_xlfn.XMATCH("M",Statut_biogéographique!A:A,2,1),"M")</f>
        <v>M</v>
      </c>
      <c r="AP22443" s="4" t="s">
        <v>376</v>
      </c>
      <c r="AR22443" s="4" t="s">
        <v>377</v>
      </c>
    </row>
    <row r="22444" spans="1:44">
      <c r="A22444" s="4" t="s">
        <v>24364</v>
      </c>
      <c r="B22444" s="4">
        <v>447414</v>
      </c>
      <c r="D22444" s="5" t="s">
        <v>29201</v>
      </c>
      <c r="E22444" s="6" t="str">
        <f>HYPERLINK("https://inpn.mnhn.fr/espece/cd_nom/447414","Nelumbo nucifera Gaertn., 1788")</f>
        <v>Nelumbo nucifera Gaertn., 1788</v>
      </c>
      <c r="F22444" s="5" t="s">
        <v>29202</v>
      </c>
      <c r="P22444" s="7" t="str">
        <f>HYPERLINK("#Liste_rouge!A"&amp;_xlfn.XMATCH("DD",Liste_rouge!A:A,2,1),"DD")</f>
        <v>DD</v>
      </c>
      <c r="T22444" s="7" t="str">
        <f>HYPERLINK("#Liste_rouge!A"&amp;_xlfn.XMATCH("NA",Liste_rouge!A:A,2,1),"NA")</f>
        <v>NA</v>
      </c>
      <c r="AH22444" s="4" t="str">
        <f>HYPERLINK("#Statut_biogéographique!A"&amp;_xlfn.XMATCH("I",Statut_biogéographique!A:A,2,1),"I")</f>
        <v>I</v>
      </c>
      <c r="AP22444" s="4" t="s">
        <v>376</v>
      </c>
      <c r="AR22444" s="4" t="s">
        <v>377</v>
      </c>
    </row>
    <row r="22445" spans="1:44" ht="30">
      <c r="A22445" s="4" t="s">
        <v>24364</v>
      </c>
      <c r="B22445" s="4">
        <v>447462</v>
      </c>
      <c r="D22445" s="5" t="s">
        <v>29203</v>
      </c>
      <c r="E22445" s="6" t="str">
        <f>HYPERLINK("https://inpn.mnhn.fr/espece/cd_nom/447462","Punica granatum L., 1753")</f>
        <v>Punica granatum L., 1753</v>
      </c>
      <c r="F22445" s="5" t="s">
        <v>29204</v>
      </c>
      <c r="O22445" s="7" t="str">
        <f>HYPERLINK("#Liste_rouge!A"&amp;_xlfn.XMATCH("LC",Liste_rouge!A:A,2,1),"LC")</f>
        <v>LC</v>
      </c>
      <c r="Q22445" s="7" t="str">
        <f>HYPERLINK("#Liste_rouge!A"&amp;_xlfn.XMATCH("NA",Liste_rouge!A:A,2,1),"NA")</f>
        <v>NA</v>
      </c>
      <c r="T22445" s="7" t="str">
        <f>HYPERLINK("#Liste_rouge!A"&amp;_xlfn.XMATCH("NA",Liste_rouge!A:A,2,1),"NA")</f>
        <v>NA</v>
      </c>
      <c r="AH22445" s="4" t="str">
        <f>HYPERLINK("#Statut_biogéographique!A"&amp;_xlfn.XMATCH("I",Statut_biogéographique!A:A,2,1),"I")</f>
        <v>I</v>
      </c>
      <c r="AP22445" s="4" t="s">
        <v>376</v>
      </c>
      <c r="AR22445" s="4" t="s">
        <v>377</v>
      </c>
    </row>
    <row r="22446" spans="1:44">
      <c r="A22446" s="4" t="s">
        <v>24364</v>
      </c>
      <c r="B22446" s="4">
        <v>447733</v>
      </c>
      <c r="D22446" s="5" t="s">
        <v>29205</v>
      </c>
      <c r="E22446" s="6" t="str">
        <f>HYPERLINK("https://inpn.mnhn.fr/espece/cd_nom/447733","Pistia stratiotes L., 1753")</f>
        <v>Pistia stratiotes L., 1753</v>
      </c>
      <c r="F22446" s="5" t="s">
        <v>29206</v>
      </c>
      <c r="O22446" s="7" t="str">
        <f>HYPERLINK("#Liste_rouge!A"&amp;_xlfn.XMATCH("LC",Liste_rouge!A:A,2,1),"LC")</f>
        <v>LC</v>
      </c>
      <c r="Q22446" s="7" t="str">
        <f>HYPERLINK("#Liste_rouge!A"&amp;_xlfn.XMATCH("NA",Liste_rouge!A:A,2,1),"NA")</f>
        <v>NA</v>
      </c>
      <c r="T22446" s="7" t="str">
        <f>HYPERLINK("#Liste_rouge!A"&amp;_xlfn.XMATCH("NA",Liste_rouge!A:A,2,1),"NA")</f>
        <v>NA</v>
      </c>
      <c r="AH22446" s="4" t="str">
        <f>HYPERLINK("#Statut_biogéographique!A"&amp;_xlfn.XMATCH("M",Statut_biogéographique!A:A,2,1),"M")</f>
        <v>M</v>
      </c>
      <c r="AP22446" s="4" t="s">
        <v>376</v>
      </c>
      <c r="AR22446" s="4" t="s">
        <v>377</v>
      </c>
    </row>
    <row r="22447" spans="1:44" ht="30">
      <c r="A22447" s="4" t="s">
        <v>24364</v>
      </c>
      <c r="B22447" s="4">
        <v>447838</v>
      </c>
      <c r="D22447" s="5" t="s">
        <v>29207</v>
      </c>
      <c r="E22447" s="6" t="str">
        <f>HYPERLINK("https://inpn.mnhn.fr/espece/cd_nom/447838","Ophiopogon japonicus (Thunb.) Ker Gawl., 1807")</f>
        <v>Ophiopogon japonicus (Thunb.) Ker Gawl., 1807</v>
      </c>
      <c r="Q22447" s="7" t="str">
        <f>HYPERLINK("#Liste_rouge!A"&amp;_xlfn.XMATCH("NA",Liste_rouge!A:A,2,1),"NA")</f>
        <v>NA</v>
      </c>
      <c r="AH22447" s="4" t="str">
        <f>HYPERLINK("#Statut_biogéographique!A"&amp;_xlfn.XMATCH("M",Statut_biogéographique!A:A,2,1),"M")</f>
        <v>M</v>
      </c>
      <c r="AP22447" s="4" t="s">
        <v>376</v>
      </c>
      <c r="AR22447" s="4" t="s">
        <v>377</v>
      </c>
    </row>
    <row r="22448" spans="1:44" ht="45">
      <c r="A22448" s="4" t="s">
        <v>24364</v>
      </c>
      <c r="B22448" s="4">
        <v>447951</v>
      </c>
      <c r="D22448" s="5" t="s">
        <v>29208</v>
      </c>
      <c r="E22448" s="6" t="str">
        <f>HYPERLINK("https://inpn.mnhn.fr/espece/cd_nom/447951","Adiantum capillus-veneris L., 1753")</f>
        <v>Adiantum capillus-veneris L., 1753</v>
      </c>
      <c r="F22448" s="5" t="s">
        <v>29209</v>
      </c>
      <c r="M22448" s="4" t="str">
        <f>HYPERLINK("#Réglementation!A"&amp;_xlfn.XMATCH("RV43",Réglementation!A:A,2,1),"RV43")</f>
        <v>RV43</v>
      </c>
      <c r="O22448" s="7" t="str">
        <f>HYPERLINK("#Liste_rouge!A"&amp;_xlfn.XMATCH("LC",Liste_rouge!A:A,2,1),"LC")</f>
        <v>LC</v>
      </c>
      <c r="P22448" s="7" t="str">
        <f>HYPERLINK("#Liste_rouge!A"&amp;_xlfn.XMATCH("LC",Liste_rouge!A:A,2,1),"LC")</f>
        <v>LC</v>
      </c>
      <c r="Q22448" s="7" t="str">
        <f>HYPERLINK("#Liste_rouge!A"&amp;_xlfn.XMATCH("LC",Liste_rouge!A:A,2,1),"LC")</f>
        <v>LC</v>
      </c>
      <c r="T22448" s="7" t="str">
        <f>HYPERLINK("#Liste_rouge!A"&amp;_xlfn.XMATCH("NA",Liste_rouge!A:A,2,1),"NA")</f>
        <v>NA</v>
      </c>
      <c r="V22448" s="7" t="str">
        <f>HYPERLINK("#Liste_rouge!A"&amp;_xlfn.XMATCH("EN",Liste_rouge!A:A,2,1),"EN")</f>
        <v>EN</v>
      </c>
      <c r="W22448" s="4" t="str">
        <f>HYPERLINK("#Critères_liste_rouge!A$1","D")</f>
        <v>D</v>
      </c>
      <c r="AB22448" s="4" t="s">
        <v>25106</v>
      </c>
      <c r="AH22448" s="4" t="str">
        <f>HYPERLINK("#Statut_biogéographique!A"&amp;_xlfn.XMATCH("P",Statut_biogéographique!A:A,2,1),"P")</f>
        <v>P</v>
      </c>
      <c r="AM22448" s="4" t="s">
        <v>375</v>
      </c>
      <c r="AN22448" s="4" t="s">
        <v>375</v>
      </c>
      <c r="AO22448" s="4" t="s">
        <v>375</v>
      </c>
      <c r="AP22448" s="4" t="s">
        <v>389</v>
      </c>
      <c r="AR22448" s="4" t="s">
        <v>377</v>
      </c>
    </row>
    <row r="22449" spans="1:44">
      <c r="A22449" s="4" t="s">
        <v>24364</v>
      </c>
      <c r="B22449" s="4">
        <v>448138</v>
      </c>
      <c r="D22449" s="5" t="s">
        <v>29210</v>
      </c>
      <c r="E22449" s="6" t="str">
        <f>HYPERLINK("https://inpn.mnhn.fr/espece/cd_nom/448138","Euonymus japonicus L.f., 1780")</f>
        <v>Euonymus japonicus L.f., 1780</v>
      </c>
      <c r="F22449" s="5" t="s">
        <v>29211</v>
      </c>
      <c r="Q22449" s="7" t="str">
        <f>HYPERLINK("#Liste_rouge!A"&amp;_xlfn.XMATCH("NA",Liste_rouge!A:A,2,1),"NA")</f>
        <v>NA</v>
      </c>
      <c r="T22449" s="7" t="str">
        <f>HYPERLINK("#Liste_rouge!A"&amp;_xlfn.XMATCH("NA",Liste_rouge!A:A,2,1),"NA")</f>
        <v>NA</v>
      </c>
      <c r="AH22449" s="4" t="str">
        <f>HYPERLINK("#Statut_biogéographique!A"&amp;_xlfn.XMATCH("I",Statut_biogéographique!A:A,2,1),"I")</f>
        <v>I</v>
      </c>
      <c r="AP22449" s="4" t="s">
        <v>376</v>
      </c>
      <c r="AR22449" s="4" t="s">
        <v>377</v>
      </c>
    </row>
    <row r="22450" spans="1:44" ht="30">
      <c r="A22450" s="4" t="s">
        <v>24364</v>
      </c>
      <c r="B22450" s="4">
        <v>448410</v>
      </c>
      <c r="D22450" s="5" t="s">
        <v>29212</v>
      </c>
      <c r="E22450" s="6" t="str">
        <f>HYPERLINK("https://inpn.mnhn.fr/espece/cd_nom/448410","Symphyotrichum laeve (L.) Á.Löve &amp; D.Löve, 1982")</f>
        <v>Symphyotrichum laeve (L.) Á.Löve &amp; D.Löve, 1982</v>
      </c>
      <c r="F22450" s="5" t="s">
        <v>29213</v>
      </c>
      <c r="T22450" s="7" t="str">
        <f>HYPERLINK("#Liste_rouge!A"&amp;_xlfn.XMATCH("NA",Liste_rouge!A:A,2,1),"NA")</f>
        <v>NA</v>
      </c>
      <c r="AH22450" s="4" t="str">
        <f>HYPERLINK("#Statut_biogéographique!A"&amp;_xlfn.XMATCH("M",Statut_biogéographique!A:A,2,1),"M")</f>
        <v>M</v>
      </c>
      <c r="AP22450" s="4" t="s">
        <v>376</v>
      </c>
      <c r="AR22450" s="4" t="s">
        <v>377</v>
      </c>
    </row>
    <row r="22451" spans="1:44" ht="45">
      <c r="A22451" s="4" t="s">
        <v>24364</v>
      </c>
      <c r="B22451" s="4">
        <v>448412</v>
      </c>
      <c r="D22451" s="5" t="s">
        <v>29214</v>
      </c>
      <c r="E22451" s="6" t="str">
        <f>HYPERLINK("https://inpn.mnhn.fr/espece/cd_nom/448412","Symphyotrichum novi-belgii (L.) G.L.Nesom, 1995")</f>
        <v>Symphyotrichum novi-belgii (L.) G.L.Nesom, 1995</v>
      </c>
      <c r="F22451" s="5" t="s">
        <v>29215</v>
      </c>
      <c r="Q22451" s="7" t="str">
        <f>HYPERLINK("#Liste_rouge!A"&amp;_xlfn.XMATCH("NA",Liste_rouge!A:A,2,1),"NA")</f>
        <v>NA</v>
      </c>
      <c r="T22451" s="7" t="str">
        <f>HYPERLINK("#Liste_rouge!A"&amp;_xlfn.XMATCH("NA",Liste_rouge!A:A,2,1),"NA")</f>
        <v>NA</v>
      </c>
      <c r="AH22451" s="4" t="str">
        <f>HYPERLINK("#Statut_biogéographique!A"&amp;_xlfn.XMATCH("M",Statut_biogéographique!A:A,2,1),"M")</f>
        <v>M</v>
      </c>
      <c r="AP22451" s="4" t="s">
        <v>376</v>
      </c>
      <c r="AR22451" s="4" t="s">
        <v>377</v>
      </c>
    </row>
    <row r="22452" spans="1:44">
      <c r="A22452" s="4" t="s">
        <v>24364</v>
      </c>
      <c r="B22452" s="4">
        <v>4696</v>
      </c>
      <c r="D22452" s="5" t="s">
        <v>29216</v>
      </c>
      <c r="E22452" s="6" t="str">
        <f>HYPERLINK("https://inpn.mnhn.fr/espece/cd_nom/4696","Gymnostomum viridulum Brid., 1826")</f>
        <v>Gymnostomum viridulum Brid., 1826</v>
      </c>
      <c r="P22452" s="7" t="str">
        <f>HYPERLINK("#Liste_rouge!A"&amp;_xlfn.XMATCH("LC",Liste_rouge!A:A,2,1),"LC")</f>
        <v>LC</v>
      </c>
      <c r="T22452" s="7" t="str">
        <f>HYPERLINK("#Liste_rouge!A"&amp;_xlfn.XMATCH("VU",Liste_rouge!A:A,2,1),"VU")</f>
        <v>VU</v>
      </c>
      <c r="V22452" s="7" t="str">
        <f>HYPERLINK("#Liste_rouge!A"&amp;_xlfn.XMATCH("VU",Liste_rouge!A:A,2,1),"VU")</f>
        <v>VU</v>
      </c>
      <c r="X22452" s="5" t="s">
        <v>374</v>
      </c>
      <c r="AB22452" s="4" t="s">
        <v>93</v>
      </c>
      <c r="AH22452" s="4" t="str">
        <f>HYPERLINK("#Statut_biogéographique!A"&amp;_xlfn.XMATCH("P",Statut_biogéographique!A:A,2,1),"P")</f>
        <v>P</v>
      </c>
      <c r="AP22452" s="4" t="s">
        <v>376</v>
      </c>
      <c r="AR22452" s="4" t="s">
        <v>377</v>
      </c>
    </row>
    <row r="22453" spans="1:44" ht="30">
      <c r="A22453" s="4" t="s">
        <v>24364</v>
      </c>
      <c r="B22453" s="4">
        <v>4709</v>
      </c>
      <c r="D22453" s="5" t="s">
        <v>29217</v>
      </c>
      <c r="E22453" s="6" t="str">
        <f>HYPERLINK("https://inpn.mnhn.fr/espece/cd_nom/4709","Bryoerythrophyllum recurvirostrum (Hedw.) P.C.Chen, 1941")</f>
        <v>Bryoerythrophyllum recurvirostrum (Hedw.) P.C.Chen, 1941</v>
      </c>
      <c r="P22453" s="7" t="str">
        <f>HYPERLINK("#Liste_rouge!A"&amp;_xlfn.XMATCH("LC",Liste_rouge!A:A,2,1),"LC")</f>
        <v>LC</v>
      </c>
      <c r="T22453" s="7" t="str">
        <f>HYPERLINK("#Liste_rouge!A"&amp;_xlfn.XMATCH("LC",Liste_rouge!A:A,2,1),"LC")</f>
        <v>LC</v>
      </c>
      <c r="V22453" s="7" t="str">
        <f>HYPERLINK("#Liste_rouge!A"&amp;_xlfn.XMATCH("LC",Liste_rouge!A:A,2,1),"LC")</f>
        <v>LC</v>
      </c>
      <c r="AH22453" s="4" t="str">
        <f>HYPERLINK("#Statut_biogéographique!A"&amp;_xlfn.XMATCH("P",Statut_biogéographique!A:A,2,1),"P")</f>
        <v>P</v>
      </c>
      <c r="AP22453" s="4" t="s">
        <v>376</v>
      </c>
      <c r="AR22453" s="4" t="s">
        <v>377</v>
      </c>
    </row>
    <row r="22454" spans="1:44">
      <c r="A22454" s="4" t="s">
        <v>24364</v>
      </c>
      <c r="B22454" s="4">
        <v>4724</v>
      </c>
      <c r="D22454" s="5" t="s">
        <v>29218</v>
      </c>
      <c r="E22454" s="6" t="str">
        <f>HYPERLINK("https://inpn.mnhn.fr/espece/cd_nom/4724","Dicranella staphylina H.Whitehouse, 1969")</f>
        <v>Dicranella staphylina H.Whitehouse, 1969</v>
      </c>
      <c r="P22454" s="7" t="str">
        <f>HYPERLINK("#Liste_rouge!A"&amp;_xlfn.XMATCH("LC",Liste_rouge!A:A,2,1),"LC")</f>
        <v>LC</v>
      </c>
      <c r="T22454" s="7" t="str">
        <f>HYPERLINK("#Liste_rouge!A"&amp;_xlfn.XMATCH("LC",Liste_rouge!A:A,2,1),"LC")</f>
        <v>LC</v>
      </c>
      <c r="V22454" s="7" t="str">
        <f>HYPERLINK("#Liste_rouge!A"&amp;_xlfn.XMATCH("LC",Liste_rouge!A:A,2,1),"LC")</f>
        <v>LC</v>
      </c>
      <c r="AH22454" s="4" t="str">
        <f>HYPERLINK("#Statut_biogéographique!A"&amp;_xlfn.XMATCH("P",Statut_biogéographique!A:A,2,1),"P")</f>
        <v>P</v>
      </c>
      <c r="AP22454" s="4" t="s">
        <v>376</v>
      </c>
      <c r="AR22454" s="4" t="s">
        <v>377</v>
      </c>
    </row>
    <row r="22455" spans="1:44">
      <c r="A22455" s="4" t="s">
        <v>24364</v>
      </c>
      <c r="B22455" s="4">
        <v>4725</v>
      </c>
      <c r="D22455" s="5" t="s">
        <v>29219</v>
      </c>
      <c r="E22455" s="6" t="str">
        <f>HYPERLINK("https://inpn.mnhn.fr/espece/cd_nom/4725","Dicranella subulata (Hedw.) Schimp., 1856")</f>
        <v>Dicranella subulata (Hedw.) Schimp., 1856</v>
      </c>
      <c r="P22455" s="7" t="str">
        <f>HYPERLINK("#Liste_rouge!A"&amp;_xlfn.XMATCH("LC",Liste_rouge!A:A,2,1),"LC")</f>
        <v>LC</v>
      </c>
      <c r="T22455" s="7" t="str">
        <f>HYPERLINK("#Liste_rouge!A"&amp;_xlfn.XMATCH("EN",Liste_rouge!A:A,2,1),"EN")</f>
        <v>EN</v>
      </c>
      <c r="V22455" s="7" t="str">
        <f>HYPERLINK("#Liste_rouge!A"&amp;_xlfn.XMATCH("DD",Liste_rouge!A:A,2,1),"DD")</f>
        <v>DD</v>
      </c>
      <c r="X22455" s="5" t="s">
        <v>374</v>
      </c>
      <c r="AB22455" s="4" t="s">
        <v>93</v>
      </c>
      <c r="AH22455" s="4" t="str">
        <f>HYPERLINK("#Statut_biogéographique!A"&amp;_xlfn.XMATCH("P",Statut_biogéographique!A:A,2,1),"P")</f>
        <v>P</v>
      </c>
      <c r="AP22455" s="4" t="s">
        <v>376</v>
      </c>
      <c r="AR22455" s="4" t="s">
        <v>377</v>
      </c>
    </row>
    <row r="22456" spans="1:44">
      <c r="A22456" s="4" t="s">
        <v>24364</v>
      </c>
      <c r="B22456" s="4">
        <v>4726</v>
      </c>
      <c r="D22456" s="5" t="s">
        <v>29220</v>
      </c>
      <c r="E22456" s="6" t="str">
        <f>HYPERLINK("https://inpn.mnhn.fr/espece/cd_nom/4726","Dicranella varia (Hedw.) Schimp., 1856")</f>
        <v>Dicranella varia (Hedw.) Schimp., 1856</v>
      </c>
      <c r="P22456" s="7" t="str">
        <f>HYPERLINK("#Liste_rouge!A"&amp;_xlfn.XMATCH("LC",Liste_rouge!A:A,2,1),"LC")</f>
        <v>LC</v>
      </c>
      <c r="T22456" s="7" t="str">
        <f>HYPERLINK("#Liste_rouge!A"&amp;_xlfn.XMATCH("LC",Liste_rouge!A:A,2,1),"LC")</f>
        <v>LC</v>
      </c>
      <c r="V22456" s="7" t="str">
        <f>HYPERLINK("#Liste_rouge!A"&amp;_xlfn.XMATCH("LC",Liste_rouge!A:A,2,1),"LC")</f>
        <v>LC</v>
      </c>
      <c r="AH22456" s="4" t="str">
        <f>HYPERLINK("#Statut_biogéographique!A"&amp;_xlfn.XMATCH("P",Statut_biogéographique!A:A,2,1),"P")</f>
        <v>P</v>
      </c>
      <c r="AP22456" s="4" t="s">
        <v>376</v>
      </c>
      <c r="AR22456" s="4" t="s">
        <v>377</v>
      </c>
    </row>
    <row r="22457" spans="1:44" ht="30">
      <c r="A22457" s="4" t="s">
        <v>24364</v>
      </c>
      <c r="B22457" s="4">
        <v>4731</v>
      </c>
      <c r="D22457" s="5" t="s">
        <v>29221</v>
      </c>
      <c r="E22457" s="6" t="str">
        <f>HYPERLINK("https://inpn.mnhn.fr/espece/cd_nom/4731","Dicranodontium denudatum (Brid.) E.Britton, 1913")</f>
        <v>Dicranodontium denudatum (Brid.) E.Britton, 1913</v>
      </c>
      <c r="P22457" s="7" t="str">
        <f>HYPERLINK("#Liste_rouge!A"&amp;_xlfn.XMATCH("LC",Liste_rouge!A:A,2,1),"LC")</f>
        <v>LC</v>
      </c>
      <c r="T22457" s="7" t="str">
        <f>HYPERLINK("#Liste_rouge!A"&amp;_xlfn.XMATCH("VU",Liste_rouge!A:A,2,1),"VU")</f>
        <v>VU</v>
      </c>
      <c r="V22457" s="7" t="str">
        <f>HYPERLINK("#Liste_rouge!A"&amp;_xlfn.XMATCH("LC",Liste_rouge!A:A,2,1),"LC")</f>
        <v>LC</v>
      </c>
      <c r="AB22457" s="4" t="s">
        <v>24803</v>
      </c>
      <c r="AH22457" s="4" t="str">
        <f>HYPERLINK("#Statut_biogéographique!A"&amp;_xlfn.XMATCH("P",Statut_biogéographique!A:A,2,1),"P")</f>
        <v>P</v>
      </c>
      <c r="AP22457" s="4" t="s">
        <v>376</v>
      </c>
      <c r="AR22457" s="4" t="s">
        <v>377</v>
      </c>
    </row>
    <row r="22458" spans="1:44">
      <c r="A22458" s="4" t="s">
        <v>24364</v>
      </c>
      <c r="B22458" s="4">
        <v>4734</v>
      </c>
      <c r="D22458" s="5" t="s">
        <v>29222</v>
      </c>
      <c r="E22458" s="6" t="str">
        <f>HYPERLINK("https://inpn.mnhn.fr/espece/cd_nom/4734","Dicranoweisia cirrata (Hedw.) Lindb., 1869")</f>
        <v>Dicranoweisia cirrata (Hedw.) Lindb., 1869</v>
      </c>
      <c r="P22458" s="7" t="str">
        <f>HYPERLINK("#Liste_rouge!A"&amp;_xlfn.XMATCH("LC",Liste_rouge!A:A,2,1),"LC")</f>
        <v>LC</v>
      </c>
      <c r="T22458" s="7" t="str">
        <f>HYPERLINK("#Liste_rouge!A"&amp;_xlfn.XMATCH("LC",Liste_rouge!A:A,2,1),"LC")</f>
        <v>LC</v>
      </c>
      <c r="V22458" s="7" t="str">
        <f>HYPERLINK("#Liste_rouge!A"&amp;_xlfn.XMATCH("LC",Liste_rouge!A:A,2,1),"LC")</f>
        <v>LC</v>
      </c>
      <c r="AH22458" s="4" t="str">
        <f>HYPERLINK("#Statut_biogéographique!A"&amp;_xlfn.XMATCH("P",Statut_biogéographique!A:A,2,1),"P")</f>
        <v>P</v>
      </c>
      <c r="AP22458" s="4" t="s">
        <v>376</v>
      </c>
      <c r="AR22458" s="4" t="s">
        <v>377</v>
      </c>
    </row>
    <row r="22459" spans="1:44">
      <c r="A22459" s="4" t="s">
        <v>24364</v>
      </c>
      <c r="B22459" s="4">
        <v>4741</v>
      </c>
      <c r="D22459" s="5" t="s">
        <v>29223</v>
      </c>
      <c r="E22459" s="6" t="str">
        <f>HYPERLINK("https://inpn.mnhn.fr/espece/cd_nom/4741","Dicranum bonjeanii De Not., 1837")</f>
        <v>Dicranum bonjeanii De Not., 1837</v>
      </c>
      <c r="P22459" s="7" t="str">
        <f>HYPERLINK("#Liste_rouge!A"&amp;_xlfn.XMATCH("LC",Liste_rouge!A:A,2,1),"LC")</f>
        <v>LC</v>
      </c>
      <c r="T22459" s="7" t="str">
        <f>HYPERLINK("#Liste_rouge!A"&amp;_xlfn.XMATCH("VU",Liste_rouge!A:A,2,1),"VU")</f>
        <v>VU</v>
      </c>
      <c r="V22459" s="7" t="str">
        <f>HYPERLINK("#Liste_rouge!A"&amp;_xlfn.XMATCH("LC",Liste_rouge!A:A,2,1),"LC")</f>
        <v>LC</v>
      </c>
      <c r="AB22459" s="4" t="s">
        <v>25010</v>
      </c>
      <c r="AH22459" s="4" t="str">
        <f>HYPERLINK("#Statut_biogéographique!A"&amp;_xlfn.XMATCH("P",Statut_biogéographique!A:A,2,1),"P")</f>
        <v>P</v>
      </c>
      <c r="AP22459" s="4" t="s">
        <v>376</v>
      </c>
      <c r="AR22459" s="4" t="s">
        <v>377</v>
      </c>
    </row>
    <row r="22460" spans="1:44">
      <c r="A22460" s="4" t="s">
        <v>24364</v>
      </c>
      <c r="B22460" s="4">
        <v>4746</v>
      </c>
      <c r="D22460" s="5" t="s">
        <v>29224</v>
      </c>
      <c r="E22460" s="6" t="str">
        <f>HYPERLINK("https://inpn.mnhn.fr/espece/cd_nom/4746","Dicranum fulvum Hook., 1819")</f>
        <v>Dicranum fulvum Hook., 1819</v>
      </c>
      <c r="P22460" s="7" t="str">
        <f>HYPERLINK("#Liste_rouge!A"&amp;_xlfn.XMATCH("LC",Liste_rouge!A:A,2,1),"LC")</f>
        <v>LC</v>
      </c>
      <c r="T22460" s="7" t="str">
        <f>HYPERLINK("#Liste_rouge!A"&amp;_xlfn.XMATCH("LC",Liste_rouge!A:A,2,1),"LC")</f>
        <v>LC</v>
      </c>
      <c r="V22460" s="7" t="str">
        <f>HYPERLINK("#Liste_rouge!A"&amp;_xlfn.XMATCH("LC",Liste_rouge!A:A,2,1),"LC")</f>
        <v>LC</v>
      </c>
      <c r="AB22460" s="4" t="s">
        <v>24634</v>
      </c>
      <c r="AH22460" s="4" t="str">
        <f>HYPERLINK("#Statut_biogéographique!A"&amp;_xlfn.XMATCH("P",Statut_biogéographique!A:A,2,1),"P")</f>
        <v>P</v>
      </c>
      <c r="AP22460" s="4" t="s">
        <v>376</v>
      </c>
      <c r="AR22460" s="4" t="s">
        <v>377</v>
      </c>
    </row>
    <row r="22461" spans="1:44">
      <c r="A22461" s="4" t="s">
        <v>24364</v>
      </c>
      <c r="B22461" s="4">
        <v>4747</v>
      </c>
      <c r="D22461" s="5" t="s">
        <v>29225</v>
      </c>
      <c r="E22461" s="6" t="str">
        <f>HYPERLINK("https://inpn.mnhn.fr/espece/cd_nom/4747","Dicranum fuscescens Sm.")</f>
        <v>Dicranum fuscescens Sm.</v>
      </c>
      <c r="T22461" s="7" t="str">
        <f>HYPERLINK("#Liste_rouge!A"&amp;_xlfn.XMATCH("VU",Liste_rouge!A:A,2,1),"VU")</f>
        <v>VU</v>
      </c>
      <c r="V22461" s="7" t="str">
        <f>HYPERLINK("#Liste_rouge!A"&amp;_xlfn.XMATCH("LC",Liste_rouge!A:A,2,1),"LC")</f>
        <v>LC</v>
      </c>
      <c r="X22461" s="5" t="s">
        <v>374</v>
      </c>
      <c r="AB22461" s="4" t="s">
        <v>93</v>
      </c>
      <c r="AH22461" s="4" t="str">
        <f>HYPERLINK("#Statut_biogéographique!A"&amp;_xlfn.XMATCH("P",Statut_biogéographique!A:A,2,1),"P")</f>
        <v>P</v>
      </c>
      <c r="AP22461" s="4" t="s">
        <v>376</v>
      </c>
      <c r="AR22461" s="4" t="s">
        <v>377</v>
      </c>
    </row>
    <row r="22462" spans="1:44">
      <c r="A22462" s="4" t="s">
        <v>24364</v>
      </c>
      <c r="B22462" s="4">
        <v>4750</v>
      </c>
      <c r="D22462" s="5">
        <v>4750</v>
      </c>
      <c r="E22462" s="6" t="str">
        <f>HYPERLINK("https://inpn.mnhn.fr/espece/cd_nom/4750","Dicranum majus Sm.")</f>
        <v>Dicranum majus Sm.</v>
      </c>
      <c r="V22462" s="7" t="str">
        <f>HYPERLINK("#Liste_rouge!A"&amp;_xlfn.XMATCH("DD",Liste_rouge!A:A,2,1),"DD")</f>
        <v>DD</v>
      </c>
      <c r="X22462" s="5" t="s">
        <v>374</v>
      </c>
      <c r="AB22462" s="4" t="s">
        <v>93</v>
      </c>
      <c r="AH22462" s="4" t="str">
        <f>HYPERLINK("#Statut_biogéographique!A"&amp;_xlfn.XMATCH("P",Statut_biogéographique!A:A,2,1),"P")</f>
        <v>P</v>
      </c>
      <c r="AP22462" s="4" t="s">
        <v>376</v>
      </c>
      <c r="AR22462" s="4" t="s">
        <v>377</v>
      </c>
    </row>
    <row r="22463" spans="1:44" ht="30">
      <c r="A22463" s="4" t="s">
        <v>24364</v>
      </c>
      <c r="B22463" s="4">
        <v>4751</v>
      </c>
      <c r="D22463" s="5">
        <v>4751</v>
      </c>
      <c r="E22463" s="6" t="str">
        <f>HYPERLINK("https://inpn.mnhn.fr/espece/cd_nom/4751","Dicranum muehlenbeckii Bruch &amp; Schimp., 1847")</f>
        <v>Dicranum muehlenbeckii Bruch &amp; Schimp., 1847</v>
      </c>
      <c r="P22463" s="7" t="str">
        <f>HYPERLINK("#Liste_rouge!A"&amp;_xlfn.XMATCH("VU",Liste_rouge!A:A,2,1),"VU")</f>
        <v>VU</v>
      </c>
      <c r="V22463" s="7" t="str">
        <f>HYPERLINK("#Liste_rouge!A"&amp;_xlfn.XMATCH("DD",Liste_rouge!A:A,2,1),"DD")</f>
        <v>DD</v>
      </c>
      <c r="X22463" s="5" t="s">
        <v>374</v>
      </c>
      <c r="AB22463" s="4" t="s">
        <v>93</v>
      </c>
      <c r="AH22463" s="4" t="str">
        <f>HYPERLINK("#Statut_biogéographique!A"&amp;_xlfn.XMATCH("P",Statut_biogéographique!A:A,2,1),"P")</f>
        <v>P</v>
      </c>
      <c r="AP22463" s="4" t="s">
        <v>376</v>
      </c>
      <c r="AR22463" s="4" t="s">
        <v>377</v>
      </c>
    </row>
    <row r="22464" spans="1:44">
      <c r="A22464" s="4" t="s">
        <v>24364</v>
      </c>
      <c r="B22464" s="4">
        <v>4752</v>
      </c>
      <c r="D22464" s="5" t="s">
        <v>29226</v>
      </c>
      <c r="E22464" s="6" t="str">
        <f>HYPERLINK("https://inpn.mnhn.fr/espece/cd_nom/4752","Dicranum polysetum Sw. ex anon.")</f>
        <v>Dicranum polysetum Sw. ex anon.</v>
      </c>
      <c r="P22464" s="7" t="str">
        <f>HYPERLINK("#Liste_rouge!A"&amp;_xlfn.XMATCH("LC",Liste_rouge!A:A,2,1),"LC")</f>
        <v>LC</v>
      </c>
      <c r="T22464" s="7" t="str">
        <f>HYPERLINK("#Liste_rouge!A"&amp;_xlfn.XMATCH("NT",Liste_rouge!A:A,2,1),"NT")</f>
        <v>NT</v>
      </c>
      <c r="V22464" s="7" t="str">
        <f>HYPERLINK("#Liste_rouge!A"&amp;_xlfn.XMATCH("LC",Liste_rouge!A:A,2,1),"LC")</f>
        <v>LC</v>
      </c>
      <c r="AB22464" s="4" t="s">
        <v>24777</v>
      </c>
      <c r="AH22464" s="4" t="str">
        <f>HYPERLINK("#Statut_biogéographique!A"&amp;_xlfn.XMATCH("P",Statut_biogéographique!A:A,2,1),"P")</f>
        <v>P</v>
      </c>
      <c r="AP22464" s="4" t="s">
        <v>376</v>
      </c>
      <c r="AR22464" s="4" t="s">
        <v>377</v>
      </c>
    </row>
    <row r="22465" spans="1:44" ht="30">
      <c r="A22465" s="4" t="s">
        <v>24364</v>
      </c>
      <c r="B22465" s="4">
        <v>4754</v>
      </c>
      <c r="D22465" s="5" t="s">
        <v>29227</v>
      </c>
      <c r="E22465" s="6" t="str">
        <f>HYPERLINK("https://inpn.mnhn.fr/espece/cd_nom/4754","Dicranum scoparium Hedw., 1801")</f>
        <v>Dicranum scoparium Hedw., 1801</v>
      </c>
      <c r="P22465" s="7" t="str">
        <f>HYPERLINK("#Liste_rouge!A"&amp;_xlfn.XMATCH("LC",Liste_rouge!A:A,2,1),"LC")</f>
        <v>LC</v>
      </c>
      <c r="T22465" s="7" t="str">
        <f>HYPERLINK("#Liste_rouge!A"&amp;_xlfn.XMATCH("LC",Liste_rouge!A:A,2,1),"LC")</f>
        <v>LC</v>
      </c>
      <c r="V22465" s="7" t="str">
        <f>HYPERLINK("#Liste_rouge!A"&amp;_xlfn.XMATCH("LC",Liste_rouge!A:A,2,1),"LC")</f>
        <v>LC</v>
      </c>
      <c r="AH22465" s="4" t="str">
        <f>HYPERLINK("#Statut_biogéographique!A"&amp;_xlfn.XMATCH("P",Statut_biogéographique!A:A,2,1),"P")</f>
        <v>P</v>
      </c>
      <c r="AP22465" s="4" t="s">
        <v>376</v>
      </c>
      <c r="AR22465" s="4" t="s">
        <v>377</v>
      </c>
    </row>
    <row r="22466" spans="1:44">
      <c r="A22466" s="4" t="s">
        <v>24364</v>
      </c>
      <c r="B22466" s="4">
        <v>4759</v>
      </c>
      <c r="D22466" s="5" t="s">
        <v>29228</v>
      </c>
      <c r="E22466" s="6" t="str">
        <f>HYPERLINK("https://inpn.mnhn.fr/espece/cd_nom/4759","Dicranum scottianum Turner, 1804")</f>
        <v>Dicranum scottianum Turner, 1804</v>
      </c>
      <c r="O22466" s="7" t="str">
        <f>HYPERLINK("#Liste_rouge!A"&amp;_xlfn.XMATCH("LC",Liste_rouge!A:A,2,1),"LC")</f>
        <v>LC</v>
      </c>
      <c r="P22466" s="7" t="str">
        <f>HYPERLINK("#Liste_rouge!A"&amp;_xlfn.XMATCH("LC",Liste_rouge!A:A,2,1),"LC")</f>
        <v>LC</v>
      </c>
      <c r="AH22466" s="4" t="str">
        <f>HYPERLINK("#Statut_biogéographique!A"&amp;_xlfn.XMATCH("P",Statut_biogéographique!A:A,2,1),"P")</f>
        <v>P</v>
      </c>
      <c r="AP22466" s="4" t="s">
        <v>376</v>
      </c>
      <c r="AR22466" s="4" t="s">
        <v>377</v>
      </c>
    </row>
    <row r="22467" spans="1:44">
      <c r="A22467" s="4" t="s">
        <v>24364</v>
      </c>
      <c r="B22467" s="4">
        <v>4761</v>
      </c>
      <c r="D22467" s="5">
        <v>4761</v>
      </c>
      <c r="E22467" s="6" t="str">
        <f>HYPERLINK("https://inpn.mnhn.fr/espece/cd_nom/4761","Dicranum spurium Hedw., 1801")</f>
        <v>Dicranum spurium Hedw., 1801</v>
      </c>
      <c r="F22467" s="5" t="s">
        <v>29229</v>
      </c>
      <c r="P22467" s="7" t="str">
        <f>HYPERLINK("#Liste_rouge!A"&amp;_xlfn.XMATCH("LC",Liste_rouge!A:A,2,1),"LC")</f>
        <v>LC</v>
      </c>
      <c r="T22467" s="7" t="str">
        <f>HYPERLINK("#Liste_rouge!A"&amp;_xlfn.XMATCH("CR",Liste_rouge!A:A,2,1),"CR")</f>
        <v>CR</v>
      </c>
      <c r="V22467" s="7" t="str">
        <f>HYPERLINK("#Liste_rouge!A"&amp;_xlfn.XMATCH("VU",Liste_rouge!A:A,2,1),"VU")</f>
        <v>VU</v>
      </c>
      <c r="X22467" s="5" t="s">
        <v>374</v>
      </c>
      <c r="AB22467" s="4" t="s">
        <v>93</v>
      </c>
      <c r="AE22467" s="4" t="str">
        <f>HYPERLINK("#SCAP!A"&amp;_xlfn.XMATCH("1-",SCAP!A:A,2,1),"1-")</f>
        <v>1-</v>
      </c>
      <c r="AF22467" s="4" t="str">
        <f>HYPERLINK("#SCAP!A"&amp;_xlfn.XMATCH("NP",SCAP!A:A,2,1),"NP")</f>
        <v>NP</v>
      </c>
      <c r="AG22467" s="4" t="str">
        <f>HYPERLINK("#SCAP!A"&amp;_xlfn.XMATCH("1-",SCAP!A:A,2,1),"1-")</f>
        <v>1-</v>
      </c>
      <c r="AH22467" s="4" t="str">
        <f>HYPERLINK("#Statut_biogéographique!A"&amp;_xlfn.XMATCH("P",Statut_biogéographique!A:A,2,1),"P")</f>
        <v>P</v>
      </c>
      <c r="AP22467" s="4" t="s">
        <v>376</v>
      </c>
      <c r="AR22467" s="4" t="s">
        <v>377</v>
      </c>
    </row>
    <row r="22468" spans="1:44">
      <c r="A22468" s="4" t="s">
        <v>24364</v>
      </c>
      <c r="B22468" s="4">
        <v>4763</v>
      </c>
      <c r="D22468" s="5" t="s">
        <v>29230</v>
      </c>
      <c r="E22468" s="6" t="str">
        <f>HYPERLINK("https://inpn.mnhn.fr/espece/cd_nom/4763","Dicranum viride (Sull. &amp; Lesq.) Lindb., 1863")</f>
        <v>Dicranum viride (Sull. &amp; Lesq.) Lindb., 1863</v>
      </c>
      <c r="I22468" s="4" t="str">
        <f>HYPERLINK("#Réglementation!A"&amp;_xlfn.XMATCH("IBE1",Réglementation!A:A,2,1),"IBE1")</f>
        <v>IBE1</v>
      </c>
      <c r="K22468" s="4" t="str">
        <f>HYPERLINK("#Réglementation!A"&amp;_xlfn.XMATCH("CDH2",Réglementation!A:A,2,1),"CDH2")</f>
        <v>CDH2</v>
      </c>
      <c r="L22468" s="4" t="str">
        <f>HYPERLINK("#Réglementation!A"&amp;_xlfn.XMATCH("NV1",Réglementation!A:A,2,1),"NV1")</f>
        <v>NV1</v>
      </c>
      <c r="P22468" s="7" t="str">
        <f>HYPERLINK("#Liste_rouge!A"&amp;_xlfn.XMATCH("LC",Liste_rouge!A:A,2,1),"LC")</f>
        <v>LC</v>
      </c>
      <c r="T22468" s="7" t="str">
        <f>HYPERLINK("#Liste_rouge!A"&amp;_xlfn.XMATCH("VU",Liste_rouge!A:A,2,1),"VU")</f>
        <v>VU</v>
      </c>
      <c r="V22468" s="7" t="str">
        <f>HYPERLINK("#Liste_rouge!A"&amp;_xlfn.XMATCH("LC",Liste_rouge!A:A,2,1),"LC")</f>
        <v>LC</v>
      </c>
      <c r="X22468" s="5" t="s">
        <v>374</v>
      </c>
      <c r="AB22468" s="4" t="s">
        <v>93</v>
      </c>
      <c r="AE22468" s="4" t="str">
        <f>HYPERLINK("#SCAP!A"&amp;_xlfn.XMATCH("1+",SCAP!A:A,2,1),"1+")</f>
        <v>1+</v>
      </c>
      <c r="AF22468" s="4" t="str">
        <f>HYPERLINK("#SCAP!A"&amp;_xlfn.XMATCH("NP",SCAP!A:A,2,1),"NP")</f>
        <v>NP</v>
      </c>
      <c r="AG22468" s="4" t="str">
        <f>HYPERLINK("#SCAP!A"&amp;_xlfn.XMATCH("2-",SCAP!A:A,2,1),"2-")</f>
        <v>2-</v>
      </c>
      <c r="AH22468" s="4" t="str">
        <f>HYPERLINK("#Statut_biogéographique!A"&amp;_xlfn.XMATCH("P",Statut_biogéographique!A:A,2,1),"P")</f>
        <v>P</v>
      </c>
      <c r="AP22468" s="4" t="s">
        <v>376</v>
      </c>
      <c r="AR22468" s="4" t="s">
        <v>377</v>
      </c>
    </row>
    <row r="22469" spans="1:44">
      <c r="A22469" s="4" t="s">
        <v>24364</v>
      </c>
      <c r="B22469" s="4">
        <v>4770</v>
      </c>
      <c r="D22469" s="5" t="s">
        <v>29231</v>
      </c>
      <c r="E22469" s="6" t="str">
        <f>HYPERLINK("https://inpn.mnhn.fr/espece/cd_nom/4770","Leucobryum glaucum (Hedw.) Ångstr., 1845")</f>
        <v>Leucobryum glaucum (Hedw.) Ångstr., 1845</v>
      </c>
      <c r="F22469" s="5" t="s">
        <v>29232</v>
      </c>
      <c r="K22469" s="4" t="str">
        <f>HYPERLINK("#Réglementation!A"&amp;_xlfn.XMATCH("CDH5",Réglementation!A:A,2,1),"CDH5")</f>
        <v>CDH5</v>
      </c>
      <c r="P22469" s="7" t="str">
        <f>HYPERLINK("#Liste_rouge!A"&amp;_xlfn.XMATCH("LC",Liste_rouge!A:A,2,1),"LC")</f>
        <v>LC</v>
      </c>
      <c r="T22469" s="7" t="str">
        <f>HYPERLINK("#Liste_rouge!A"&amp;_xlfn.XMATCH("LC",Liste_rouge!A:A,2,1),"LC")</f>
        <v>LC</v>
      </c>
      <c r="V22469" s="7" t="str">
        <f>HYPERLINK("#Liste_rouge!A"&amp;_xlfn.XMATCH("LC",Liste_rouge!A:A,2,1),"LC")</f>
        <v>LC</v>
      </c>
      <c r="AH22469" s="4" t="str">
        <f>HYPERLINK("#Statut_biogéographique!A"&amp;_xlfn.XMATCH("P",Statut_biogéographique!A:A,2,1),"P")</f>
        <v>P</v>
      </c>
      <c r="AK22469" s="4" t="str">
        <f>HYPERLINK("#Réglementation!A"&amp;_xlfn.XMATCH("V39P2",Réglementation!A:A,2,1),"V39P2 - V39P6")</f>
        <v>V39P2 - V39P6</v>
      </c>
      <c r="AP22469" s="4" t="s">
        <v>376</v>
      </c>
      <c r="AR22469" s="4" t="s">
        <v>377</v>
      </c>
    </row>
    <row r="22470" spans="1:44" ht="30">
      <c r="A22470" s="4" t="s">
        <v>24364</v>
      </c>
      <c r="B22470" s="4">
        <v>4771</v>
      </c>
      <c r="D22470" s="5" t="s">
        <v>29233</v>
      </c>
      <c r="E22470" s="6" t="str">
        <f>HYPERLINK("https://inpn.mnhn.fr/espece/cd_nom/4771","Leucobryum juniperoideum (Brid.) Müll.Hal., 1844")</f>
        <v>Leucobryum juniperoideum (Brid.) Müll.Hal., 1844</v>
      </c>
      <c r="P22470" s="7" t="str">
        <f>HYPERLINK("#Liste_rouge!A"&amp;_xlfn.XMATCH("LC",Liste_rouge!A:A,2,1),"LC")</f>
        <v>LC</v>
      </c>
      <c r="T22470" s="7" t="str">
        <f>HYPERLINK("#Liste_rouge!A"&amp;_xlfn.XMATCH("LC",Liste_rouge!A:A,2,1),"LC")</f>
        <v>LC</v>
      </c>
      <c r="V22470" s="7" t="str">
        <f>HYPERLINK("#Liste_rouge!A"&amp;_xlfn.XMATCH("LC",Liste_rouge!A:A,2,1),"LC")</f>
        <v>LC</v>
      </c>
      <c r="AH22470" s="4" t="str">
        <f>HYPERLINK("#Statut_biogéographique!A"&amp;_xlfn.XMATCH("P",Statut_biogéographique!A:A,2,1),"P")</f>
        <v>P</v>
      </c>
      <c r="AP22470" s="4" t="s">
        <v>376</v>
      </c>
      <c r="AR22470" s="4" t="s">
        <v>377</v>
      </c>
    </row>
    <row r="22471" spans="1:44">
      <c r="A22471" s="4" t="s">
        <v>24364</v>
      </c>
      <c r="B22471" s="4">
        <v>4779</v>
      </c>
      <c r="D22471" s="5" t="s">
        <v>29234</v>
      </c>
      <c r="E22471" s="6" t="str">
        <f>HYPERLINK("https://inpn.mnhn.fr/espece/cd_nom/4779","Dicranum flagellare Hedw., 1801")</f>
        <v>Dicranum flagellare Hedw., 1801</v>
      </c>
      <c r="P22471" s="7" t="str">
        <f>HYPERLINK("#Liste_rouge!A"&amp;_xlfn.XMATCH("LC",Liste_rouge!A:A,2,1),"LC")</f>
        <v>LC</v>
      </c>
      <c r="T22471" s="7" t="str">
        <f>HYPERLINK("#Liste_rouge!A"&amp;_xlfn.XMATCH("VU",Liste_rouge!A:A,2,1),"VU")</f>
        <v>VU</v>
      </c>
      <c r="V22471" s="7" t="str">
        <f>HYPERLINK("#Liste_rouge!A"&amp;_xlfn.XMATCH("LC",Liste_rouge!A:A,2,1),"LC")</f>
        <v>LC</v>
      </c>
      <c r="AB22471" s="4" t="s">
        <v>25010</v>
      </c>
      <c r="AH22471" s="4" t="str">
        <f>HYPERLINK("#Statut_biogéographique!A"&amp;_xlfn.XMATCH("P",Statut_biogéographique!A:A,2,1),"P")</f>
        <v>P</v>
      </c>
      <c r="AP22471" s="4" t="s">
        <v>376</v>
      </c>
      <c r="AR22471" s="4" t="s">
        <v>377</v>
      </c>
    </row>
    <row r="22472" spans="1:44">
      <c r="A22472" s="4" t="s">
        <v>24364</v>
      </c>
      <c r="B22472" s="4">
        <v>4781</v>
      </c>
      <c r="D22472" s="5" t="s">
        <v>29235</v>
      </c>
      <c r="E22472" s="6" t="str">
        <f>HYPERLINK("https://inpn.mnhn.fr/espece/cd_nom/4781","Dicranum montanum Hedw., 1801")</f>
        <v>Dicranum montanum Hedw., 1801</v>
      </c>
      <c r="P22472" s="7" t="str">
        <f>HYPERLINK("#Liste_rouge!A"&amp;_xlfn.XMATCH("LC",Liste_rouge!A:A,2,1),"LC")</f>
        <v>LC</v>
      </c>
      <c r="T22472" s="7" t="str">
        <f>HYPERLINK("#Liste_rouge!A"&amp;_xlfn.XMATCH("LC",Liste_rouge!A:A,2,1),"LC")</f>
        <v>LC</v>
      </c>
      <c r="V22472" s="7" t="str">
        <f>HYPERLINK("#Liste_rouge!A"&amp;_xlfn.XMATCH("LC",Liste_rouge!A:A,2,1),"LC")</f>
        <v>LC</v>
      </c>
      <c r="AH22472" s="4" t="str">
        <f>HYPERLINK("#Statut_biogéographique!A"&amp;_xlfn.XMATCH("P",Statut_biogéographique!A:A,2,1),"P")</f>
        <v>P</v>
      </c>
      <c r="AP22472" s="4" t="s">
        <v>376</v>
      </c>
      <c r="AR22472" s="4" t="s">
        <v>377</v>
      </c>
    </row>
    <row r="22473" spans="1:44">
      <c r="A22473" s="4" t="s">
        <v>24364</v>
      </c>
      <c r="B22473" s="4">
        <v>4784</v>
      </c>
      <c r="D22473" s="5" t="s">
        <v>29236</v>
      </c>
      <c r="E22473" s="6" t="str">
        <f>HYPERLINK("https://inpn.mnhn.fr/espece/cd_nom/4784","Dicranum tauricum Sapjegin, 1911")</f>
        <v>Dicranum tauricum Sapjegin, 1911</v>
      </c>
      <c r="P22473" s="7" t="str">
        <f>HYPERLINK("#Liste_rouge!A"&amp;_xlfn.XMATCH("LC",Liste_rouge!A:A,2,1),"LC")</f>
        <v>LC</v>
      </c>
      <c r="T22473" s="7" t="str">
        <f>HYPERLINK("#Liste_rouge!A"&amp;_xlfn.XMATCH("LC",Liste_rouge!A:A,2,1),"LC")</f>
        <v>LC</v>
      </c>
      <c r="V22473" s="7" t="str">
        <f>HYPERLINK("#Liste_rouge!A"&amp;_xlfn.XMATCH("DD",Liste_rouge!A:A,2,1),"DD")</f>
        <v>DD</v>
      </c>
      <c r="AH22473" s="4" t="str">
        <f>HYPERLINK("#Statut_biogéographique!A"&amp;_xlfn.XMATCH("P",Statut_biogéographique!A:A,2,1),"P")</f>
        <v>P</v>
      </c>
      <c r="AP22473" s="4" t="s">
        <v>376</v>
      </c>
      <c r="AR22473" s="4" t="s">
        <v>377</v>
      </c>
    </row>
    <row r="22474" spans="1:44" ht="30">
      <c r="A22474" s="4" t="s">
        <v>24364</v>
      </c>
      <c r="B22474" s="4">
        <v>4787</v>
      </c>
      <c r="D22474" s="5" t="s">
        <v>29237</v>
      </c>
      <c r="E22474" s="6" t="str">
        <f>HYPERLINK("https://inpn.mnhn.fr/espece/cd_nom/4787","Paraleucobryum longifolium (Ehrh. ex Hedw.) Loeske, 1908")</f>
        <v>Paraleucobryum longifolium (Ehrh. ex Hedw.) Loeske, 1908</v>
      </c>
      <c r="P22474" s="7" t="str">
        <f>HYPERLINK("#Liste_rouge!A"&amp;_xlfn.XMATCH("LC",Liste_rouge!A:A,2,1),"LC")</f>
        <v>LC</v>
      </c>
      <c r="T22474" s="7" t="str">
        <f>HYPERLINK("#Liste_rouge!A"&amp;_xlfn.XMATCH("VU",Liste_rouge!A:A,2,1),"VU")</f>
        <v>VU</v>
      </c>
      <c r="V22474" s="7" t="str">
        <f>HYPERLINK("#Liste_rouge!A"&amp;_xlfn.XMATCH("LC",Liste_rouge!A:A,2,1),"LC")</f>
        <v>LC</v>
      </c>
      <c r="AB22474" s="4" t="s">
        <v>29238</v>
      </c>
      <c r="AH22474" s="4" t="str">
        <f>HYPERLINK("#Statut_biogéographique!A"&amp;_xlfn.XMATCH("P",Statut_biogéographique!A:A,2,1),"P")</f>
        <v>P</v>
      </c>
      <c r="AP22474" s="4" t="s">
        <v>376</v>
      </c>
      <c r="AR22474" s="4" t="s">
        <v>377</v>
      </c>
    </row>
    <row r="22475" spans="1:44" ht="30">
      <c r="A22475" s="4" t="s">
        <v>24364</v>
      </c>
      <c r="B22475" s="4">
        <v>4788</v>
      </c>
      <c r="D22475" s="5" t="s">
        <v>29239</v>
      </c>
      <c r="E22475" s="6" t="str">
        <f>HYPERLINK("https://inpn.mnhn.fr/espece/cd_nom/4788","Paraleucobryum sauteri (Bruch &amp; Schimp.) Loeske, 1908")</f>
        <v>Paraleucobryum sauteri (Bruch &amp; Schimp.) Loeske, 1908</v>
      </c>
      <c r="P22475" s="7" t="str">
        <f>HYPERLINK("#Liste_rouge!A"&amp;_xlfn.XMATCH("NT",Liste_rouge!A:A,2,1),"NT")</f>
        <v>NT</v>
      </c>
      <c r="V22475" s="7" t="str">
        <f>HYPERLINK("#Liste_rouge!A"&amp;_xlfn.XMATCH("VU",Liste_rouge!A:A,2,1),"VU")</f>
        <v>VU</v>
      </c>
      <c r="X22475" s="5" t="s">
        <v>374</v>
      </c>
      <c r="AB22475" s="4" t="s">
        <v>93</v>
      </c>
      <c r="AH22475" s="4" t="str">
        <f>HYPERLINK("#Statut_biogéographique!A"&amp;_xlfn.XMATCH("P",Statut_biogéographique!A:A,2,1),"P")</f>
        <v>P</v>
      </c>
      <c r="AP22475" s="4" t="s">
        <v>376</v>
      </c>
      <c r="AR22475" s="4" t="s">
        <v>377</v>
      </c>
    </row>
    <row r="22476" spans="1:44" ht="30">
      <c r="A22476" s="4" t="s">
        <v>24364</v>
      </c>
      <c r="B22476" s="4">
        <v>4790</v>
      </c>
      <c r="D22476" s="5" t="s">
        <v>29240</v>
      </c>
      <c r="E22476" s="6" t="str">
        <f>HYPERLINK("https://inpn.mnhn.fr/espece/cd_nom/4790","Pseudephemerum nitidum (Hedw.) Loeske, 1910")</f>
        <v>Pseudephemerum nitidum (Hedw.) Loeske, 1910</v>
      </c>
      <c r="P22476" s="7" t="str">
        <f>HYPERLINK("#Liste_rouge!A"&amp;_xlfn.XMATCH("LC",Liste_rouge!A:A,2,1),"LC")</f>
        <v>LC</v>
      </c>
      <c r="T22476" s="7" t="str">
        <f>HYPERLINK("#Liste_rouge!A"&amp;_xlfn.XMATCH("LC",Liste_rouge!A:A,2,1),"LC")</f>
        <v>LC</v>
      </c>
      <c r="V22476" s="7" t="str">
        <f>HYPERLINK("#Liste_rouge!A"&amp;_xlfn.XMATCH("LC",Liste_rouge!A:A,2,1),"LC")</f>
        <v>LC</v>
      </c>
      <c r="AH22476" s="4" t="str">
        <f>HYPERLINK("#Statut_biogéographique!A"&amp;_xlfn.XMATCH("P",Statut_biogéographique!A:A,2,1),"P")</f>
        <v>P</v>
      </c>
      <c r="AP22476" s="4" t="s">
        <v>376</v>
      </c>
      <c r="AR22476" s="4" t="s">
        <v>377</v>
      </c>
    </row>
    <row r="22477" spans="1:44">
      <c r="A22477" s="4" t="s">
        <v>24364</v>
      </c>
      <c r="B22477" s="4">
        <v>4797</v>
      </c>
      <c r="D22477" s="5">
        <v>4797</v>
      </c>
      <c r="E22477" s="6" t="str">
        <f>HYPERLINK("https://inpn.mnhn.fr/espece/cd_nom/4797","Bruchia vogesiaca Nestl. ex Schwägr., 1824")</f>
        <v>Bruchia vogesiaca Nestl. ex Schwägr., 1824</v>
      </c>
      <c r="I22477" s="4" t="str">
        <f>HYPERLINK("#Réglementation!A"&amp;_xlfn.XMATCH("IBE1",Réglementation!A:A,2,1),"IBE1")</f>
        <v>IBE1</v>
      </c>
      <c r="K22477" s="4" t="str">
        <f>HYPERLINK("#Réglementation!A"&amp;_xlfn.XMATCH("CDH2",Réglementation!A:A,2,1),"CDH2")</f>
        <v>CDH2</v>
      </c>
      <c r="L22477" s="4" t="str">
        <f>HYPERLINK("#Réglementation!A"&amp;_xlfn.XMATCH("NV1",Réglementation!A:A,2,1),"NV1")</f>
        <v>NV1</v>
      </c>
      <c r="P22477" s="7" t="str">
        <f>HYPERLINK("#Liste_rouge!A"&amp;_xlfn.XMATCH("EN",Liste_rouge!A:A,2,1),"EN")</f>
        <v>EN</v>
      </c>
      <c r="T22477" s="7" t="str">
        <f>HYPERLINK("#Liste_rouge!A"&amp;_xlfn.XMATCH("RE",Liste_rouge!A:A,2,1),"RE")</f>
        <v>RE</v>
      </c>
      <c r="V22477" s="7" t="str">
        <f>HYPERLINK("#Liste_rouge!A"&amp;_xlfn.XMATCH("EN",Liste_rouge!A:A,2,1),"EN")</f>
        <v>EN</v>
      </c>
      <c r="X22477" s="5" t="s">
        <v>374</v>
      </c>
      <c r="AB22477" s="4" t="s">
        <v>93</v>
      </c>
      <c r="AE22477" s="4" t="str">
        <f>HYPERLINK("#SCAP!A"&amp;_xlfn.XMATCH("1+",SCAP!A:A,2,1),"1+")</f>
        <v>1+</v>
      </c>
      <c r="AG22477" s="4" t="str">
        <f>HYPERLINK("#SCAP!A"&amp;_xlfn.XMATCH("1-",SCAP!A:A,2,1),"1-")</f>
        <v>1-</v>
      </c>
      <c r="AH22477" s="4" t="str">
        <f>HYPERLINK("#Statut_biogéographique!A"&amp;_xlfn.XMATCH("P",Statut_biogéographique!A:A,2,1),"P")</f>
        <v>P</v>
      </c>
      <c r="AP22477" s="4" t="s">
        <v>376</v>
      </c>
      <c r="AR22477" s="4" t="s">
        <v>377</v>
      </c>
    </row>
    <row r="22478" spans="1:44">
      <c r="A22478" s="4" t="s">
        <v>24364</v>
      </c>
      <c r="B22478" s="4">
        <v>4802</v>
      </c>
      <c r="D22478" s="5" t="s">
        <v>29241</v>
      </c>
      <c r="E22478" s="6" t="str">
        <f>HYPERLINK("https://inpn.mnhn.fr/espece/cd_nom/4802","Ceratodon purpureus (Hedw.) Brid., 1826")</f>
        <v>Ceratodon purpureus (Hedw.) Brid., 1826</v>
      </c>
      <c r="P22478" s="7" t="str">
        <f>HYPERLINK("#Liste_rouge!A"&amp;_xlfn.XMATCH("LC",Liste_rouge!A:A,2,1),"LC")</f>
        <v>LC</v>
      </c>
      <c r="T22478" s="7" t="str">
        <f>HYPERLINK("#Liste_rouge!A"&amp;_xlfn.XMATCH("LC",Liste_rouge!A:A,2,1),"LC")</f>
        <v>LC</v>
      </c>
      <c r="V22478" s="7" t="str">
        <f>HYPERLINK("#Liste_rouge!A"&amp;_xlfn.XMATCH("LC",Liste_rouge!A:A,2,1),"LC")</f>
        <v>LC</v>
      </c>
      <c r="AH22478" s="4" t="str">
        <f>HYPERLINK("#Statut_biogéographique!A"&amp;_xlfn.XMATCH("P",Statut_biogéographique!A:A,2,1),"P")</f>
        <v>P</v>
      </c>
      <c r="AP22478" s="4" t="s">
        <v>376</v>
      </c>
      <c r="AR22478" s="4" t="s">
        <v>377</v>
      </c>
    </row>
    <row r="22479" spans="1:44" ht="30">
      <c r="A22479" s="4" t="s">
        <v>24364</v>
      </c>
      <c r="B22479" s="4">
        <v>4808</v>
      </c>
      <c r="D22479" s="5" t="s">
        <v>29242</v>
      </c>
      <c r="E22479" s="6" t="str">
        <f>HYPERLINK("https://inpn.mnhn.fr/espece/cd_nom/4808","Distichium capillaceum (Hedw.) Bruch &amp; Schimp., 1846")</f>
        <v>Distichium capillaceum (Hedw.) Bruch &amp; Schimp., 1846</v>
      </c>
      <c r="P22479" s="7" t="str">
        <f>HYPERLINK("#Liste_rouge!A"&amp;_xlfn.XMATCH("LC",Liste_rouge!A:A,2,1),"LC")</f>
        <v>LC</v>
      </c>
      <c r="V22479" s="7" t="str">
        <f>HYPERLINK("#Liste_rouge!A"&amp;_xlfn.XMATCH("LC",Liste_rouge!A:A,2,1),"LC")</f>
        <v>LC</v>
      </c>
      <c r="AH22479" s="4" t="str">
        <f>HYPERLINK("#Statut_biogéographique!A"&amp;_xlfn.XMATCH("P",Statut_biogéographique!A:A,2,1),"P")</f>
        <v>P</v>
      </c>
      <c r="AP22479" s="4" t="s">
        <v>376</v>
      </c>
      <c r="AR22479" s="4" t="s">
        <v>377</v>
      </c>
    </row>
    <row r="22480" spans="1:44" ht="30">
      <c r="A22480" s="4" t="s">
        <v>24364</v>
      </c>
      <c r="B22480" s="4">
        <v>4809</v>
      </c>
      <c r="D22480" s="5">
        <v>4809</v>
      </c>
      <c r="E22480" s="6" t="str">
        <f>HYPERLINK("https://inpn.mnhn.fr/espece/cd_nom/4809","Distichium inclinatum (Hedw.) Bruch &amp; Schimp., 1846")</f>
        <v>Distichium inclinatum (Hedw.) Bruch &amp; Schimp., 1846</v>
      </c>
      <c r="P22480" s="7" t="str">
        <f>HYPERLINK("#Liste_rouge!A"&amp;_xlfn.XMATCH("LC",Liste_rouge!A:A,2,1),"LC")</f>
        <v>LC</v>
      </c>
      <c r="V22480" s="7" t="str">
        <f>HYPERLINK("#Liste_rouge!A"&amp;_xlfn.XMATCH("CR",Liste_rouge!A:A,2,1),"CR")</f>
        <v>CR</v>
      </c>
      <c r="X22480" s="5" t="s">
        <v>374</v>
      </c>
      <c r="AB22480" s="4" t="s">
        <v>93</v>
      </c>
      <c r="AH22480" s="4" t="str">
        <f>HYPERLINK("#Statut_biogéographique!A"&amp;_xlfn.XMATCH("P",Statut_biogéographique!A:A,2,1),"P")</f>
        <v>P</v>
      </c>
      <c r="AP22480" s="4" t="s">
        <v>376</v>
      </c>
      <c r="AR22480" s="4" t="s">
        <v>377</v>
      </c>
    </row>
    <row r="22481" spans="1:44">
      <c r="A22481" s="4" t="s">
        <v>24364</v>
      </c>
      <c r="B22481" s="4">
        <v>4814</v>
      </c>
      <c r="D22481" s="5" t="s">
        <v>29243</v>
      </c>
      <c r="E22481" s="6" t="str">
        <f>HYPERLINK("https://inpn.mnhn.fr/espece/cd_nom/4814","Trichodon cylindricus (Hedw.) Schimp., 1856")</f>
        <v>Trichodon cylindricus (Hedw.) Schimp., 1856</v>
      </c>
      <c r="P22481" s="7" t="str">
        <f>HYPERLINK("#Liste_rouge!A"&amp;_xlfn.XMATCH("LC",Liste_rouge!A:A,2,1),"LC")</f>
        <v>LC</v>
      </c>
      <c r="T22481" s="7" t="str">
        <f>HYPERLINK("#Liste_rouge!A"&amp;_xlfn.XMATCH("LC",Liste_rouge!A:A,2,1),"LC")</f>
        <v>LC</v>
      </c>
      <c r="V22481" s="7" t="str">
        <f>HYPERLINK("#Liste_rouge!A"&amp;_xlfn.XMATCH("LC",Liste_rouge!A:A,2,1),"LC")</f>
        <v>LC</v>
      </c>
      <c r="AH22481" s="4" t="str">
        <f>HYPERLINK("#Statut_biogéographique!A"&amp;_xlfn.XMATCH("P",Statut_biogéographique!A:A,2,1),"P")</f>
        <v>P</v>
      </c>
      <c r="AP22481" s="4" t="s">
        <v>376</v>
      </c>
      <c r="AR22481" s="4" t="s">
        <v>377</v>
      </c>
    </row>
    <row r="22482" spans="1:44" ht="30">
      <c r="A22482" s="4" t="s">
        <v>24364</v>
      </c>
      <c r="B22482" s="4">
        <v>4816</v>
      </c>
      <c r="D22482" s="5" t="s">
        <v>29244</v>
      </c>
      <c r="E22482" s="6" t="str">
        <f>HYPERLINK("https://inpn.mnhn.fr/espece/cd_nom/4816","Ditrichum heteromallum (Hedw.) E.Britton, 1913")</f>
        <v>Ditrichum heteromallum (Hedw.) E.Britton, 1913</v>
      </c>
      <c r="P22482" s="7" t="str">
        <f>HYPERLINK("#Liste_rouge!A"&amp;_xlfn.XMATCH("LC",Liste_rouge!A:A,2,1),"LC")</f>
        <v>LC</v>
      </c>
      <c r="T22482" s="7" t="str">
        <f>HYPERLINK("#Liste_rouge!A"&amp;_xlfn.XMATCH("LC",Liste_rouge!A:A,2,1),"LC")</f>
        <v>LC</v>
      </c>
      <c r="V22482" s="7" t="str">
        <f>HYPERLINK("#Liste_rouge!A"&amp;_xlfn.XMATCH("LC",Liste_rouge!A:A,2,1),"LC")</f>
        <v>LC</v>
      </c>
      <c r="AH22482" s="4" t="str">
        <f>HYPERLINK("#Statut_biogéographique!A"&amp;_xlfn.XMATCH("P",Statut_biogéographique!A:A,2,1),"P")</f>
        <v>P</v>
      </c>
      <c r="AP22482" s="4" t="s">
        <v>376</v>
      </c>
      <c r="AR22482" s="4" t="s">
        <v>377</v>
      </c>
    </row>
    <row r="22483" spans="1:44">
      <c r="A22483" s="4" t="s">
        <v>24364</v>
      </c>
      <c r="B22483" s="4">
        <v>4818</v>
      </c>
      <c r="D22483" s="5" t="s">
        <v>29245</v>
      </c>
      <c r="E22483" s="6" t="str">
        <f>HYPERLINK("https://inpn.mnhn.fr/espece/cd_nom/4818","Ditrichum lineare (Sw.) Lindb., 1871")</f>
        <v>Ditrichum lineare (Sw.) Lindb., 1871</v>
      </c>
      <c r="P22483" s="7" t="str">
        <f>HYPERLINK("#Liste_rouge!A"&amp;_xlfn.XMATCH("LC",Liste_rouge!A:A,2,1),"LC")</f>
        <v>LC</v>
      </c>
      <c r="T22483" s="7" t="str">
        <f>HYPERLINK("#Liste_rouge!A"&amp;_xlfn.XMATCH("EN",Liste_rouge!A:A,2,1),"EN")</f>
        <v>EN</v>
      </c>
      <c r="V22483" s="7" t="str">
        <f>HYPERLINK("#Liste_rouge!A"&amp;_xlfn.XMATCH("VU",Liste_rouge!A:A,2,1),"VU")</f>
        <v>VU</v>
      </c>
      <c r="X22483" s="5" t="s">
        <v>374</v>
      </c>
      <c r="AB22483" s="4" t="s">
        <v>93</v>
      </c>
      <c r="AH22483" s="4" t="str">
        <f>HYPERLINK("#Statut_biogéographique!A"&amp;_xlfn.XMATCH("P",Statut_biogéographique!A:A,2,1),"P")</f>
        <v>P</v>
      </c>
      <c r="AP22483" s="4" t="s">
        <v>376</v>
      </c>
      <c r="AR22483" s="4" t="s">
        <v>377</v>
      </c>
    </row>
    <row r="22484" spans="1:44">
      <c r="A22484" s="4" t="s">
        <v>24364</v>
      </c>
      <c r="B22484" s="4">
        <v>4819</v>
      </c>
      <c r="D22484" s="5" t="s">
        <v>29246</v>
      </c>
      <c r="E22484" s="6" t="str">
        <f>HYPERLINK("https://inpn.mnhn.fr/espece/cd_nom/4819","Ditrichum pallidum (Hedw.) Hampe, 1867")</f>
        <v>Ditrichum pallidum (Hedw.) Hampe, 1867</v>
      </c>
      <c r="P22484" s="7" t="str">
        <f>HYPERLINK("#Liste_rouge!A"&amp;_xlfn.XMATCH("NT",Liste_rouge!A:A,2,1),"NT")</f>
        <v>NT</v>
      </c>
      <c r="T22484" s="7" t="str">
        <f>HYPERLINK("#Liste_rouge!A"&amp;_xlfn.XMATCH("LC",Liste_rouge!A:A,2,1),"LC")</f>
        <v>LC</v>
      </c>
      <c r="V22484" s="7" t="str">
        <f>HYPERLINK("#Liste_rouge!A"&amp;_xlfn.XMATCH("LC",Liste_rouge!A:A,2,1),"LC")</f>
        <v>LC</v>
      </c>
      <c r="AH22484" s="4" t="str">
        <f>HYPERLINK("#Statut_biogéographique!A"&amp;_xlfn.XMATCH("P",Statut_biogéographique!A:A,2,1),"P")</f>
        <v>P</v>
      </c>
      <c r="AP22484" s="4" t="s">
        <v>376</v>
      </c>
      <c r="AR22484" s="4" t="s">
        <v>377</v>
      </c>
    </row>
    <row r="22485" spans="1:44">
      <c r="A22485" s="4" t="s">
        <v>24364</v>
      </c>
      <c r="B22485" s="4">
        <v>4820</v>
      </c>
      <c r="D22485" s="5" t="s">
        <v>29247</v>
      </c>
      <c r="E22485" s="6" t="str">
        <f>HYPERLINK("https://inpn.mnhn.fr/espece/cd_nom/4820","Ditrichum pusillum (Hedw.) Hampe, 1867")</f>
        <v>Ditrichum pusillum (Hedw.) Hampe, 1867</v>
      </c>
      <c r="P22485" s="7" t="str">
        <f>HYPERLINK("#Liste_rouge!A"&amp;_xlfn.XMATCH("LC",Liste_rouge!A:A,2,1),"LC")</f>
        <v>LC</v>
      </c>
      <c r="T22485" s="7" t="str">
        <f>HYPERLINK("#Liste_rouge!A"&amp;_xlfn.XMATCH("VU",Liste_rouge!A:A,2,1),"VU")</f>
        <v>VU</v>
      </c>
      <c r="V22485" s="7" t="str">
        <f>HYPERLINK("#Liste_rouge!A"&amp;_xlfn.XMATCH("DD",Liste_rouge!A:A,2,1),"DD")</f>
        <v>DD</v>
      </c>
      <c r="X22485" s="5" t="s">
        <v>374</v>
      </c>
      <c r="AB22485" s="4" t="s">
        <v>93</v>
      </c>
      <c r="AH22485" s="4" t="str">
        <f>HYPERLINK("#Statut_biogéographique!A"&amp;_xlfn.XMATCH("P",Statut_biogéographique!A:A,2,1),"P")</f>
        <v>P</v>
      </c>
      <c r="AP22485" s="4" t="s">
        <v>376</v>
      </c>
      <c r="AR22485" s="4" t="s">
        <v>377</v>
      </c>
    </row>
    <row r="22486" spans="1:44">
      <c r="A22486" s="4" t="s">
        <v>24364</v>
      </c>
      <c r="B22486" s="4">
        <v>4823</v>
      </c>
      <c r="D22486" s="5">
        <v>4823</v>
      </c>
      <c r="E22486" s="6" t="str">
        <f>HYPERLINK("https://inpn.mnhn.fr/espece/cd_nom/4823","Pleuridium acuminatum Lindb., 1863")</f>
        <v>Pleuridium acuminatum Lindb., 1863</v>
      </c>
      <c r="P22486" s="7" t="str">
        <f>HYPERLINK("#Liste_rouge!A"&amp;_xlfn.XMATCH("LC",Liste_rouge!A:A,2,1),"LC")</f>
        <v>LC</v>
      </c>
      <c r="T22486" s="7" t="str">
        <f>HYPERLINK("#Liste_rouge!A"&amp;_xlfn.XMATCH("LC",Liste_rouge!A:A,2,1),"LC")</f>
        <v>LC</v>
      </c>
      <c r="V22486" s="7" t="str">
        <f>HYPERLINK("#Liste_rouge!A"&amp;_xlfn.XMATCH("LC",Liste_rouge!A:A,2,1),"LC")</f>
        <v>LC</v>
      </c>
      <c r="AH22486" s="4" t="str">
        <f>HYPERLINK("#Statut_biogéographique!A"&amp;_xlfn.XMATCH("P",Statut_biogéographique!A:A,2,1),"P")</f>
        <v>P</v>
      </c>
      <c r="AP22486" s="4" t="s">
        <v>376</v>
      </c>
      <c r="AR22486" s="4" t="s">
        <v>377</v>
      </c>
    </row>
    <row r="22487" spans="1:44">
      <c r="A22487" s="4" t="s">
        <v>24364</v>
      </c>
      <c r="B22487" s="4">
        <v>4826</v>
      </c>
      <c r="D22487" s="5" t="s">
        <v>29248</v>
      </c>
      <c r="E22487" s="6" t="str">
        <f>HYPERLINK("https://inpn.mnhn.fr/espece/cd_nom/4826","Pleuridium subulatum (Hedw.) Rabenh., 1848")</f>
        <v>Pleuridium subulatum (Hedw.) Rabenh., 1848</v>
      </c>
      <c r="P22487" s="7" t="str">
        <f>HYPERLINK("#Liste_rouge!A"&amp;_xlfn.XMATCH("LC",Liste_rouge!A:A,2,1),"LC")</f>
        <v>LC</v>
      </c>
      <c r="T22487" s="7" t="str">
        <f>HYPERLINK("#Liste_rouge!A"&amp;_xlfn.XMATCH("LC",Liste_rouge!A:A,2,1),"LC")</f>
        <v>LC</v>
      </c>
      <c r="V22487" s="7" t="str">
        <f>HYPERLINK("#Liste_rouge!A"&amp;_xlfn.XMATCH("LC",Liste_rouge!A:A,2,1),"LC")</f>
        <v>LC</v>
      </c>
      <c r="AH22487" s="4" t="str">
        <f>HYPERLINK("#Statut_biogéographique!A"&amp;_xlfn.XMATCH("P",Statut_biogéographique!A:A,2,1),"P")</f>
        <v>P</v>
      </c>
      <c r="AP22487" s="4" t="s">
        <v>376</v>
      </c>
      <c r="AR22487" s="4" t="s">
        <v>377</v>
      </c>
    </row>
    <row r="22488" spans="1:44">
      <c r="A22488" s="4" t="s">
        <v>24364</v>
      </c>
      <c r="B22488" s="4">
        <v>4830</v>
      </c>
      <c r="D22488" s="5" t="s">
        <v>29249</v>
      </c>
      <c r="E22488" s="6" t="str">
        <f>HYPERLINK("https://inpn.mnhn.fr/espece/cd_nom/4830","Rhabdoweisia crispata (Dicks.) Lindb.")</f>
        <v>Rhabdoweisia crispata (Dicks.) Lindb.</v>
      </c>
      <c r="P22488" s="7" t="str">
        <f>HYPERLINK("#Liste_rouge!A"&amp;_xlfn.XMATCH("LC",Liste_rouge!A:A,2,1),"LC")</f>
        <v>LC</v>
      </c>
      <c r="T22488" s="7" t="str">
        <f>HYPERLINK("#Liste_rouge!A"&amp;_xlfn.XMATCH("CR",Liste_rouge!A:A,2,1),"CR")</f>
        <v>CR</v>
      </c>
      <c r="V22488" s="7" t="str">
        <f>HYPERLINK("#Liste_rouge!A"&amp;_xlfn.XMATCH("NT",Liste_rouge!A:A,2,1),"NT")</f>
        <v>NT</v>
      </c>
      <c r="X22488" s="5" t="s">
        <v>374</v>
      </c>
      <c r="AB22488" s="4" t="s">
        <v>93</v>
      </c>
      <c r="AH22488" s="4" t="str">
        <f>HYPERLINK("#Statut_biogéographique!A"&amp;_xlfn.XMATCH("P",Statut_biogéographique!A:A,2,1),"P")</f>
        <v>P</v>
      </c>
      <c r="AP22488" s="4" t="s">
        <v>376</v>
      </c>
      <c r="AR22488" s="4" t="s">
        <v>377</v>
      </c>
    </row>
    <row r="22489" spans="1:44" ht="30">
      <c r="A22489" s="4" t="s">
        <v>24364</v>
      </c>
      <c r="B22489" s="4">
        <v>4832</v>
      </c>
      <c r="D22489" s="5" t="s">
        <v>29250</v>
      </c>
      <c r="E22489" s="6" t="str">
        <f>HYPERLINK("https://inpn.mnhn.fr/espece/cd_nom/4832","Rhabdoweisia fugax (Hedw.) Bruch &amp; Schimp., 1846")</f>
        <v>Rhabdoweisia fugax (Hedw.) Bruch &amp; Schimp., 1846</v>
      </c>
      <c r="P22489" s="7" t="str">
        <f>HYPERLINK("#Liste_rouge!A"&amp;_xlfn.XMATCH("LC",Liste_rouge!A:A,2,1),"LC")</f>
        <v>LC</v>
      </c>
      <c r="T22489" s="7" t="str">
        <f>HYPERLINK("#Liste_rouge!A"&amp;_xlfn.XMATCH("LC",Liste_rouge!A:A,2,1),"LC")</f>
        <v>LC</v>
      </c>
      <c r="V22489" s="7" t="str">
        <f>HYPERLINK("#Liste_rouge!A"&amp;_xlfn.XMATCH("LC",Liste_rouge!A:A,2,1),"LC")</f>
        <v>LC</v>
      </c>
      <c r="AB22489" s="4" t="s">
        <v>29251</v>
      </c>
      <c r="AH22489" s="4" t="str">
        <f>HYPERLINK("#Statut_biogéographique!A"&amp;_xlfn.XMATCH("P",Statut_biogéographique!A:A,2,1),"P")</f>
        <v>P</v>
      </c>
      <c r="AP22489" s="4" t="s">
        <v>376</v>
      </c>
      <c r="AR22489" s="4" t="s">
        <v>377</v>
      </c>
    </row>
    <row r="22490" spans="1:44" ht="30">
      <c r="A22490" s="4" t="s">
        <v>24364</v>
      </c>
      <c r="B22490" s="4">
        <v>4837</v>
      </c>
      <c r="D22490" s="5" t="s">
        <v>29252</v>
      </c>
      <c r="E22490" s="6" t="str">
        <f>HYPERLINK("https://inpn.mnhn.fr/espece/cd_nom/4837","Trematodon ambiguus (Hedw.) Hornsch., 1819")</f>
        <v>Trematodon ambiguus (Hedw.) Hornsch., 1819</v>
      </c>
      <c r="P22490" s="7" t="str">
        <f>HYPERLINK("#Liste_rouge!A"&amp;_xlfn.XMATCH("LC",Liste_rouge!A:A,2,1),"LC")</f>
        <v>LC</v>
      </c>
      <c r="V22490" s="7" t="str">
        <f>HYPERLINK("#Liste_rouge!A"&amp;_xlfn.XMATCH("CR",Liste_rouge!A:A,2,1),"CR")</f>
        <v>CR</v>
      </c>
      <c r="X22490" s="5" t="s">
        <v>374</v>
      </c>
      <c r="AB22490" s="4" t="s">
        <v>93</v>
      </c>
      <c r="AH22490" s="4" t="str">
        <f>HYPERLINK("#Statut_biogéographique!A"&amp;_xlfn.XMATCH("P",Statut_biogéographique!A:A,2,1),"P")</f>
        <v>P</v>
      </c>
      <c r="AP22490" s="4" t="s">
        <v>376</v>
      </c>
      <c r="AR22490" s="4" t="s">
        <v>377</v>
      </c>
    </row>
    <row r="22491" spans="1:44">
      <c r="A22491" s="4" t="s">
        <v>24364</v>
      </c>
      <c r="B22491" s="4">
        <v>4846</v>
      </c>
      <c r="D22491" s="5" t="s">
        <v>29253</v>
      </c>
      <c r="E22491" s="6" t="str">
        <f>HYPERLINK("https://inpn.mnhn.fr/espece/cd_nom/4846","Encalypta ciliata Hedw., 1801")</f>
        <v>Encalypta ciliata Hedw., 1801</v>
      </c>
      <c r="P22491" s="7" t="str">
        <f>HYPERLINK("#Liste_rouge!A"&amp;_xlfn.XMATCH("LC",Liste_rouge!A:A,2,1),"LC")</f>
        <v>LC</v>
      </c>
      <c r="T22491" s="7" t="str">
        <f>HYPERLINK("#Liste_rouge!A"&amp;_xlfn.XMATCH("CR",Liste_rouge!A:A,2,1),"CR")</f>
        <v>CR</v>
      </c>
      <c r="V22491" s="7" t="str">
        <f>HYPERLINK("#Liste_rouge!A"&amp;_xlfn.XMATCH("DD",Liste_rouge!A:A,2,1),"DD")</f>
        <v>DD</v>
      </c>
      <c r="X22491" s="5" t="s">
        <v>374</v>
      </c>
      <c r="AB22491" s="4" t="s">
        <v>93</v>
      </c>
      <c r="AH22491" s="4" t="str">
        <f>HYPERLINK("#Statut_biogéographique!A"&amp;_xlfn.XMATCH("P",Statut_biogéographique!A:A,2,1),"P")</f>
        <v>P</v>
      </c>
      <c r="AP22491" s="4" t="s">
        <v>376</v>
      </c>
      <c r="AR22491" s="4" t="s">
        <v>377</v>
      </c>
    </row>
    <row r="22492" spans="1:44">
      <c r="A22492" s="4" t="s">
        <v>24364</v>
      </c>
      <c r="B22492" s="4">
        <v>4849</v>
      </c>
      <c r="D22492" s="5" t="s">
        <v>29254</v>
      </c>
      <c r="E22492" s="6" t="str">
        <f>HYPERLINK("https://inpn.mnhn.fr/espece/cd_nom/4849","Encalypta rhaptocarpa Schwägr., 1811")</f>
        <v>Encalypta rhaptocarpa Schwägr., 1811</v>
      </c>
      <c r="P22492" s="7" t="str">
        <f>HYPERLINK("#Liste_rouge!A"&amp;_xlfn.XMATCH("LC",Liste_rouge!A:A,2,1),"LC")</f>
        <v>LC</v>
      </c>
      <c r="V22492" s="7" t="str">
        <f>HYPERLINK("#Liste_rouge!A"&amp;_xlfn.XMATCH("VU",Liste_rouge!A:A,2,1),"VU")</f>
        <v>VU</v>
      </c>
      <c r="X22492" s="5" t="s">
        <v>374</v>
      </c>
      <c r="AB22492" s="4" t="s">
        <v>93</v>
      </c>
      <c r="AH22492" s="4" t="str">
        <f>HYPERLINK("#Statut_biogéographique!A"&amp;_xlfn.XMATCH("P",Statut_biogéographique!A:A,2,1),"P")</f>
        <v>P</v>
      </c>
      <c r="AP22492" s="4" t="s">
        <v>376</v>
      </c>
      <c r="AR22492" s="4" t="s">
        <v>377</v>
      </c>
    </row>
    <row r="22493" spans="1:44">
      <c r="A22493" s="4" t="s">
        <v>24364</v>
      </c>
      <c r="B22493" s="4">
        <v>4851</v>
      </c>
      <c r="D22493" s="5" t="s">
        <v>29255</v>
      </c>
      <c r="E22493" s="6" t="str">
        <f>HYPERLINK("https://inpn.mnhn.fr/espece/cd_nom/4851","Encalypta streptocarpa Hedw., 1801")</f>
        <v>Encalypta streptocarpa Hedw., 1801</v>
      </c>
      <c r="P22493" s="7" t="str">
        <f>HYPERLINK("#Liste_rouge!A"&amp;_xlfn.XMATCH("LC",Liste_rouge!A:A,2,1),"LC")</f>
        <v>LC</v>
      </c>
      <c r="T22493" s="7" t="str">
        <f>HYPERLINK("#Liste_rouge!A"&amp;_xlfn.XMATCH("LC",Liste_rouge!A:A,2,1),"LC")</f>
        <v>LC</v>
      </c>
      <c r="V22493" s="7" t="str">
        <f>HYPERLINK("#Liste_rouge!A"&amp;_xlfn.XMATCH("LC",Liste_rouge!A:A,2,1),"LC")</f>
        <v>LC</v>
      </c>
      <c r="AH22493" s="4" t="str">
        <f>HYPERLINK("#Statut_biogéographique!A"&amp;_xlfn.XMATCH("P",Statut_biogéographique!A:A,2,1),"P")</f>
        <v>P</v>
      </c>
      <c r="AP22493" s="4" t="s">
        <v>376</v>
      </c>
      <c r="AR22493" s="4" t="s">
        <v>377</v>
      </c>
    </row>
    <row r="22494" spans="1:44">
      <c r="A22494" s="4" t="s">
        <v>24364</v>
      </c>
      <c r="B22494" s="4">
        <v>4852</v>
      </c>
      <c r="D22494" s="5">
        <v>4852</v>
      </c>
      <c r="E22494" s="6" t="str">
        <f>HYPERLINK("https://inpn.mnhn.fr/espece/cd_nom/4852","Encalypta vulgaris Hedw., 1801")</f>
        <v>Encalypta vulgaris Hedw., 1801</v>
      </c>
      <c r="P22494" s="7" t="str">
        <f>HYPERLINK("#Liste_rouge!A"&amp;_xlfn.XMATCH("LC",Liste_rouge!A:A,2,1),"LC")</f>
        <v>LC</v>
      </c>
      <c r="T22494" s="7" t="str">
        <f>HYPERLINK("#Liste_rouge!A"&amp;_xlfn.XMATCH("LC",Liste_rouge!A:A,2,1),"LC")</f>
        <v>LC</v>
      </c>
      <c r="V22494" s="7" t="str">
        <f>HYPERLINK("#Liste_rouge!A"&amp;_xlfn.XMATCH("LC",Liste_rouge!A:A,2,1),"LC")</f>
        <v>LC</v>
      </c>
      <c r="AB22494" s="4" t="s">
        <v>24397</v>
      </c>
      <c r="AH22494" s="4" t="str">
        <f>HYPERLINK("#Statut_biogéographique!A"&amp;_xlfn.XMATCH("P",Statut_biogéographique!A:A,2,1),"P")</f>
        <v>P</v>
      </c>
      <c r="AP22494" s="4" t="s">
        <v>376</v>
      </c>
      <c r="AR22494" s="4" t="s">
        <v>377</v>
      </c>
    </row>
    <row r="22495" spans="1:44">
      <c r="A22495" s="4" t="s">
        <v>24364</v>
      </c>
      <c r="B22495" s="4">
        <v>4859</v>
      </c>
      <c r="D22495" s="5" t="s">
        <v>29256</v>
      </c>
      <c r="E22495" s="6" t="str">
        <f>HYPERLINK("https://inpn.mnhn.fr/espece/cd_nom/4859","Acaulon muticum (Hedw.) Müll.Hal., 1847")</f>
        <v>Acaulon muticum (Hedw.) Müll.Hal., 1847</v>
      </c>
      <c r="P22495" s="7" t="str">
        <f>HYPERLINK("#Liste_rouge!A"&amp;_xlfn.XMATCH("NT",Liste_rouge!A:A,2,1),"NT")</f>
        <v>NT</v>
      </c>
      <c r="T22495" s="7" t="str">
        <f>HYPERLINK("#Liste_rouge!A"&amp;_xlfn.XMATCH("NT",Liste_rouge!A:A,2,1),"NT")</f>
        <v>NT</v>
      </c>
      <c r="V22495" s="7" t="str">
        <f>HYPERLINK("#Liste_rouge!A"&amp;_xlfn.XMATCH("DD",Liste_rouge!A:A,2,1),"DD")</f>
        <v>DD</v>
      </c>
      <c r="AH22495" s="4" t="str">
        <f>HYPERLINK("#Statut_biogéographique!A"&amp;_xlfn.XMATCH("P",Statut_biogéographique!A:A,2,1),"P")</f>
        <v>P</v>
      </c>
      <c r="AP22495" s="4" t="s">
        <v>376</v>
      </c>
      <c r="AR22495" s="4" t="s">
        <v>377</v>
      </c>
    </row>
    <row r="22496" spans="1:44">
      <c r="A22496" s="4" t="s">
        <v>24364</v>
      </c>
      <c r="B22496" s="4">
        <v>4862</v>
      </c>
      <c r="D22496" s="5">
        <v>4862</v>
      </c>
      <c r="E22496" s="6" t="str">
        <f>HYPERLINK("https://inpn.mnhn.fr/espece/cd_nom/4862","Acaulon triquetrum (Spruce) Müll.Hal., 1847")</f>
        <v>Acaulon triquetrum (Spruce) Müll.Hal., 1847</v>
      </c>
      <c r="P22496" s="7" t="str">
        <f>HYPERLINK("#Liste_rouge!A"&amp;_xlfn.XMATCH("LC",Liste_rouge!A:A,2,1),"LC")</f>
        <v>LC</v>
      </c>
      <c r="T22496" s="7" t="str">
        <f>HYPERLINK("#Liste_rouge!A"&amp;_xlfn.XMATCH("EN",Liste_rouge!A:A,2,1),"EN")</f>
        <v>EN</v>
      </c>
      <c r="X22496" s="5" t="s">
        <v>374</v>
      </c>
      <c r="AB22496" s="4" t="s">
        <v>93</v>
      </c>
      <c r="AH22496" s="4" t="str">
        <f>HYPERLINK("#Statut_biogéographique!A"&amp;_xlfn.XMATCH("P",Statut_biogéographique!A:A,2,1),"P")</f>
        <v>P</v>
      </c>
      <c r="AP22496" s="4" t="s">
        <v>376</v>
      </c>
      <c r="AR22496" s="4" t="s">
        <v>377</v>
      </c>
    </row>
    <row r="22497" spans="1:44">
      <c r="A22497" s="4" t="s">
        <v>24364</v>
      </c>
      <c r="B22497" s="4">
        <v>4864</v>
      </c>
      <c r="D22497" s="5" t="s">
        <v>29257</v>
      </c>
      <c r="E22497" s="6" t="str">
        <f>HYPERLINK("https://inpn.mnhn.fr/espece/cd_nom/4864","Aloina aloides (Koch ex Schultz) Kindb., 1883")</f>
        <v>Aloina aloides (Koch ex Schultz) Kindb., 1883</v>
      </c>
      <c r="P22497" s="7" t="str">
        <f>HYPERLINK("#Liste_rouge!A"&amp;_xlfn.XMATCH("LC",Liste_rouge!A:A,2,1),"LC")</f>
        <v>LC</v>
      </c>
      <c r="T22497" s="7" t="str">
        <f>HYPERLINK("#Liste_rouge!A"&amp;_xlfn.XMATCH("LC",Liste_rouge!A:A,2,1),"LC")</f>
        <v>LC</v>
      </c>
      <c r="V22497" s="7" t="str">
        <f>HYPERLINK("#Liste_rouge!A"&amp;_xlfn.XMATCH("LC",Liste_rouge!A:A,2,1),"LC")</f>
        <v>LC</v>
      </c>
      <c r="AH22497" s="4" t="str">
        <f>HYPERLINK("#Statut_biogéographique!A"&amp;_xlfn.XMATCH("P",Statut_biogéographique!A:A,2,1),"P")</f>
        <v>P</v>
      </c>
      <c r="AP22497" s="4" t="s">
        <v>376</v>
      </c>
      <c r="AR22497" s="4" t="s">
        <v>377</v>
      </c>
    </row>
    <row r="22498" spans="1:44" ht="30">
      <c r="A22498" s="4" t="s">
        <v>24364</v>
      </c>
      <c r="B22498" s="4">
        <v>4865</v>
      </c>
      <c r="D22498" s="5" t="s">
        <v>29258</v>
      </c>
      <c r="E22498" s="6" t="str">
        <f>HYPERLINK("https://inpn.mnhn.fr/espece/cd_nom/4865","Aloina ambigua (Bruch &amp; Schimp.) Limpr., 1888")</f>
        <v>Aloina ambigua (Bruch &amp; Schimp.) Limpr., 1888</v>
      </c>
      <c r="P22498" s="7" t="str">
        <f>HYPERLINK("#Liste_rouge!A"&amp;_xlfn.XMATCH("LC",Liste_rouge!A:A,2,1),"LC")</f>
        <v>LC</v>
      </c>
      <c r="T22498" s="7" t="str">
        <f>HYPERLINK("#Liste_rouge!A"&amp;_xlfn.XMATCH("NT",Liste_rouge!A:A,2,1),"NT")</f>
        <v>NT</v>
      </c>
      <c r="V22498" s="7" t="str">
        <f>HYPERLINK("#Liste_rouge!A"&amp;_xlfn.XMATCH("DD",Liste_rouge!A:A,2,1),"DD")</f>
        <v>DD</v>
      </c>
      <c r="AB22498" s="4" t="s">
        <v>29259</v>
      </c>
      <c r="AH22498" s="4" t="str">
        <f>HYPERLINK("#Statut_biogéographique!A"&amp;_xlfn.XMATCH("P",Statut_biogéographique!A:A,2,1),"P")</f>
        <v>P</v>
      </c>
      <c r="AP22498" s="4" t="s">
        <v>376</v>
      </c>
      <c r="AR22498" s="4" t="s">
        <v>377</v>
      </c>
    </row>
    <row r="22499" spans="1:44">
      <c r="A22499" s="4" t="s">
        <v>24364</v>
      </c>
      <c r="B22499" s="4">
        <v>4872</v>
      </c>
      <c r="D22499" s="5" t="s">
        <v>29260</v>
      </c>
      <c r="E22499" s="6" t="str">
        <f>HYPERLINK("https://inpn.mnhn.fr/espece/cd_nom/4872","Orthodontium lineare Schwägr., 1827")</f>
        <v>Orthodontium lineare Schwägr., 1827</v>
      </c>
      <c r="T22499" s="7" t="str">
        <f>HYPERLINK("#Liste_rouge!A"&amp;_xlfn.XMATCH("NA",Liste_rouge!A:A,2,1),"NA")</f>
        <v>NA</v>
      </c>
      <c r="AH22499" s="4" t="str">
        <f>HYPERLINK("#Statut_biogéographique!A"&amp;_xlfn.XMATCH("I",Statut_biogéographique!A:A,2,1),"I")</f>
        <v>I</v>
      </c>
      <c r="AP22499" s="4" t="s">
        <v>376</v>
      </c>
      <c r="AR22499" s="4" t="s">
        <v>377</v>
      </c>
    </row>
    <row r="22500" spans="1:44">
      <c r="A22500" s="4" t="s">
        <v>24364</v>
      </c>
      <c r="B22500" s="4">
        <v>4882</v>
      </c>
      <c r="D22500" s="5">
        <v>4882</v>
      </c>
      <c r="E22500" s="6" t="str">
        <f>HYPERLINK("https://inpn.mnhn.fr/espece/cd_nom/4882","Pohlia bulbifera (Warnst.) Warnst., 1904")</f>
        <v>Pohlia bulbifera (Warnst.) Warnst., 1904</v>
      </c>
      <c r="P22500" s="7" t="str">
        <f>HYPERLINK("#Liste_rouge!A"&amp;_xlfn.XMATCH("LC",Liste_rouge!A:A,2,1),"LC")</f>
        <v>LC</v>
      </c>
      <c r="T22500" s="7" t="str">
        <f>HYPERLINK("#Liste_rouge!A"&amp;_xlfn.XMATCH("CR",Liste_rouge!A:A,2,1),"CR")</f>
        <v>CR</v>
      </c>
      <c r="V22500" s="7" t="str">
        <f>HYPERLINK("#Liste_rouge!A"&amp;_xlfn.XMATCH("VU",Liste_rouge!A:A,2,1),"VU")</f>
        <v>VU</v>
      </c>
      <c r="X22500" s="5" t="s">
        <v>374</v>
      </c>
      <c r="AB22500" s="4" t="s">
        <v>93</v>
      </c>
      <c r="AH22500" s="4" t="str">
        <f>HYPERLINK("#Statut_biogéographique!A"&amp;_xlfn.XMATCH("P",Statut_biogéographique!A:A,2,1),"P")</f>
        <v>P</v>
      </c>
      <c r="AP22500" s="4" t="s">
        <v>376</v>
      </c>
      <c r="AR22500" s="4" t="s">
        <v>377</v>
      </c>
    </row>
    <row r="22501" spans="1:44" ht="30">
      <c r="A22501" s="4" t="s">
        <v>24364</v>
      </c>
      <c r="B22501" s="4">
        <v>4883</v>
      </c>
      <c r="D22501" s="5">
        <v>4883</v>
      </c>
      <c r="E22501" s="6" t="str">
        <f>HYPERLINK("https://inpn.mnhn.fr/espece/cd_nom/4883","Pohlia camptotrachela (Renauld &amp; Cardot) Broth., 1903")</f>
        <v>Pohlia camptotrachela (Renauld &amp; Cardot) Broth., 1903</v>
      </c>
      <c r="P22501" s="7" t="str">
        <f>HYPERLINK("#Liste_rouge!A"&amp;_xlfn.XMATCH("LC",Liste_rouge!A:A,2,1),"LC")</f>
        <v>LC</v>
      </c>
      <c r="V22501" s="7" t="str">
        <f>HYPERLINK("#Liste_rouge!A"&amp;_xlfn.XMATCH("NT",Liste_rouge!A:A,2,1),"NT")</f>
        <v>NT</v>
      </c>
      <c r="X22501" s="5" t="s">
        <v>374</v>
      </c>
      <c r="AB22501" s="4" t="s">
        <v>93</v>
      </c>
      <c r="AH22501" s="4" t="str">
        <f>HYPERLINK("#Statut_biogéographique!A"&amp;_xlfn.XMATCH("P",Statut_biogéographique!A:A,2,1),"P")</f>
        <v>P</v>
      </c>
      <c r="AP22501" s="4" t="s">
        <v>376</v>
      </c>
      <c r="AR22501" s="4" t="s">
        <v>377</v>
      </c>
    </row>
    <row r="22502" spans="1:44">
      <c r="A22502" s="4" t="s">
        <v>24364</v>
      </c>
      <c r="B22502" s="4">
        <v>4884</v>
      </c>
      <c r="D22502" s="5" t="s">
        <v>29261</v>
      </c>
      <c r="E22502" s="6" t="str">
        <f>HYPERLINK("https://inpn.mnhn.fr/espece/cd_nom/4884","Pohlia annotina (Hedw.) Lindb., 1879")</f>
        <v>Pohlia annotina (Hedw.) Lindb., 1879</v>
      </c>
      <c r="P22502" s="7" t="str">
        <f>HYPERLINK("#Liste_rouge!A"&amp;_xlfn.XMATCH("LC",Liste_rouge!A:A,2,1),"LC")</f>
        <v>LC</v>
      </c>
      <c r="T22502" s="7" t="str">
        <f>HYPERLINK("#Liste_rouge!A"&amp;_xlfn.XMATCH("LC",Liste_rouge!A:A,2,1),"LC")</f>
        <v>LC</v>
      </c>
      <c r="V22502" s="7" t="str">
        <f>HYPERLINK("#Liste_rouge!A"&amp;_xlfn.XMATCH("DD",Liste_rouge!A:A,2,1),"DD")</f>
        <v>DD</v>
      </c>
      <c r="AB22502" s="4" t="s">
        <v>25019</v>
      </c>
      <c r="AH22502" s="4" t="str">
        <f>HYPERLINK("#Statut_biogéographique!A"&amp;_xlfn.XMATCH("P",Statut_biogéographique!A:A,2,1),"P")</f>
        <v>P</v>
      </c>
      <c r="AP22502" s="4" t="s">
        <v>376</v>
      </c>
      <c r="AR22502" s="4" t="s">
        <v>377</v>
      </c>
    </row>
    <row r="22503" spans="1:44">
      <c r="A22503" s="4" t="s">
        <v>24364</v>
      </c>
      <c r="B22503" s="4">
        <v>4887</v>
      </c>
      <c r="D22503" s="5" t="s">
        <v>29262</v>
      </c>
      <c r="E22503" s="6" t="str">
        <f>HYPERLINK("https://inpn.mnhn.fr/espece/cd_nom/4887","Pohlia cruda (Hedw.) Lindb., 1879")</f>
        <v>Pohlia cruda (Hedw.) Lindb., 1879</v>
      </c>
      <c r="P22503" s="7" t="str">
        <f>HYPERLINK("#Liste_rouge!A"&amp;_xlfn.XMATCH("LC",Liste_rouge!A:A,2,1),"LC")</f>
        <v>LC</v>
      </c>
      <c r="T22503" s="7" t="str">
        <f>HYPERLINK("#Liste_rouge!A"&amp;_xlfn.XMATCH("CR",Liste_rouge!A:A,2,1),"CR")</f>
        <v>CR</v>
      </c>
      <c r="V22503" s="7" t="str">
        <f>HYPERLINK("#Liste_rouge!A"&amp;_xlfn.XMATCH("LC",Liste_rouge!A:A,2,1),"LC")</f>
        <v>LC</v>
      </c>
      <c r="X22503" s="5" t="s">
        <v>374</v>
      </c>
      <c r="AB22503" s="4" t="s">
        <v>93</v>
      </c>
      <c r="AH22503" s="4" t="str">
        <f>HYPERLINK("#Statut_biogéographique!A"&amp;_xlfn.XMATCH("P",Statut_biogéographique!A:A,2,1),"P")</f>
        <v>P</v>
      </c>
      <c r="AP22503" s="4" t="s">
        <v>376</v>
      </c>
      <c r="AR22503" s="4" t="s">
        <v>377</v>
      </c>
    </row>
    <row r="22504" spans="1:44" ht="30">
      <c r="A22504" s="4" t="s">
        <v>24364</v>
      </c>
      <c r="B22504" s="4">
        <v>4889</v>
      </c>
      <c r="D22504" s="5" t="s">
        <v>29263</v>
      </c>
      <c r="E22504" s="6" t="str">
        <f>HYPERLINK("https://inpn.mnhn.fr/espece/cd_nom/4889","Pohlia drummondii (Müll.Hal.) A.L.Andrews, 1935")</f>
        <v>Pohlia drummondii (Müll.Hal.) A.L.Andrews, 1935</v>
      </c>
      <c r="P22504" s="7" t="str">
        <f>HYPERLINK("#Liste_rouge!A"&amp;_xlfn.XMATCH("LC",Liste_rouge!A:A,2,1),"LC")</f>
        <v>LC</v>
      </c>
      <c r="T22504" s="7" t="str">
        <f>HYPERLINK("#Liste_rouge!A"&amp;_xlfn.XMATCH("CR",Liste_rouge!A:A,2,1),"CR")</f>
        <v>CR</v>
      </c>
      <c r="V22504" s="7" t="str">
        <f>HYPERLINK("#Liste_rouge!A"&amp;_xlfn.XMATCH("DD",Liste_rouge!A:A,2,1),"DD")</f>
        <v>DD</v>
      </c>
      <c r="X22504" s="5" t="s">
        <v>374</v>
      </c>
      <c r="AB22504" s="4" t="s">
        <v>93</v>
      </c>
      <c r="AH22504" s="4" t="str">
        <f>HYPERLINK("#Statut_biogéographique!A"&amp;_xlfn.XMATCH("P",Statut_biogéographique!A:A,2,1),"P")</f>
        <v>P</v>
      </c>
      <c r="AP22504" s="4" t="s">
        <v>376</v>
      </c>
      <c r="AR22504" s="4" t="s">
        <v>377</v>
      </c>
    </row>
    <row r="22505" spans="1:44" ht="30">
      <c r="A22505" s="4" t="s">
        <v>24364</v>
      </c>
      <c r="B22505" s="4">
        <v>4890</v>
      </c>
      <c r="D22505" s="5" t="s">
        <v>29264</v>
      </c>
      <c r="E22505" s="6" t="str">
        <f>HYPERLINK("https://inpn.mnhn.fr/espece/cd_nom/4890","Pohlia elongata Hedw., 1801")</f>
        <v>Pohlia elongata Hedw., 1801</v>
      </c>
      <c r="P22505" s="7" t="str">
        <f>HYPERLINK("#Liste_rouge!A"&amp;_xlfn.XMATCH("LC",Liste_rouge!A:A,2,1),"LC")</f>
        <v>LC</v>
      </c>
      <c r="T22505" s="7" t="str">
        <f>HYPERLINK("#Liste_rouge!A"&amp;_xlfn.XMATCH("CR",Liste_rouge!A:A,2,1),"CR")</f>
        <v>CR</v>
      </c>
      <c r="V22505" s="7" t="str">
        <f>HYPERLINK("#Liste_rouge!A"&amp;_xlfn.XMATCH("DD",Liste_rouge!A:A,2,1),"DD")</f>
        <v>DD</v>
      </c>
      <c r="X22505" s="5" t="s">
        <v>374</v>
      </c>
      <c r="AB22505" s="4" t="s">
        <v>93</v>
      </c>
      <c r="AH22505" s="4" t="str">
        <f>HYPERLINK("#Statut_biogéographique!A"&amp;_xlfn.XMATCH("P",Statut_biogéographique!A:A,2,1),"P")</f>
        <v>P</v>
      </c>
      <c r="AP22505" s="4" t="s">
        <v>376</v>
      </c>
      <c r="AR22505" s="4" t="s">
        <v>377</v>
      </c>
    </row>
    <row r="22506" spans="1:44">
      <c r="A22506" s="4" t="s">
        <v>24364</v>
      </c>
      <c r="B22506" s="4">
        <v>4893</v>
      </c>
      <c r="D22506" s="5" t="s">
        <v>29265</v>
      </c>
      <c r="E22506" s="6" t="str">
        <f>HYPERLINK("https://inpn.mnhn.fr/espece/cd_nom/4893","Pohlia filum (Schimp.) Martensson, 1956")</f>
        <v>Pohlia filum (Schimp.) Martensson, 1956</v>
      </c>
      <c r="P22506" s="7" t="str">
        <f>HYPERLINK("#Liste_rouge!A"&amp;_xlfn.XMATCH("LC",Liste_rouge!A:A,2,1),"LC")</f>
        <v>LC</v>
      </c>
      <c r="T22506" s="7" t="str">
        <f>HYPERLINK("#Liste_rouge!A"&amp;_xlfn.XMATCH("CR",Liste_rouge!A:A,2,1),"CR")</f>
        <v>CR</v>
      </c>
      <c r="V22506" s="7" t="str">
        <f>HYPERLINK("#Liste_rouge!A"&amp;_xlfn.XMATCH("DD",Liste_rouge!A:A,2,1),"DD")</f>
        <v>DD</v>
      </c>
      <c r="X22506" s="5" t="s">
        <v>374</v>
      </c>
      <c r="AB22506" s="4" t="s">
        <v>93</v>
      </c>
      <c r="AH22506" s="4" t="str">
        <f>HYPERLINK("#Statut_biogéographique!A"&amp;_xlfn.XMATCH("P",Statut_biogéographique!A:A,2,1),"P")</f>
        <v>P</v>
      </c>
      <c r="AP22506" s="4" t="s">
        <v>376</v>
      </c>
      <c r="AR22506" s="4" t="s">
        <v>377</v>
      </c>
    </row>
    <row r="22507" spans="1:44">
      <c r="A22507" s="4" t="s">
        <v>24364</v>
      </c>
      <c r="B22507" s="4">
        <v>4895</v>
      </c>
      <c r="D22507" s="5" t="s">
        <v>29266</v>
      </c>
      <c r="E22507" s="6" t="str">
        <f>HYPERLINK("https://inpn.mnhn.fr/espece/cd_nom/4895","Pohlia lescuriana (Sull.) Ochi, 1968")</f>
        <v>Pohlia lescuriana (Sull.) Ochi, 1968</v>
      </c>
      <c r="P22507" s="7" t="str">
        <f>HYPERLINK("#Liste_rouge!A"&amp;_xlfn.XMATCH("LC",Liste_rouge!A:A,2,1),"LC")</f>
        <v>LC</v>
      </c>
      <c r="T22507" s="7" t="str">
        <f>HYPERLINK("#Liste_rouge!A"&amp;_xlfn.XMATCH("VU",Liste_rouge!A:A,2,1),"VU")</f>
        <v>VU</v>
      </c>
      <c r="V22507" s="7" t="str">
        <f>HYPERLINK("#Liste_rouge!A"&amp;_xlfn.XMATCH("NE",Liste_rouge!A:A,2,1),"NE")</f>
        <v>NE</v>
      </c>
      <c r="X22507" s="5" t="s">
        <v>374</v>
      </c>
      <c r="AB22507" s="4" t="s">
        <v>93</v>
      </c>
      <c r="AH22507" s="4" t="str">
        <f>HYPERLINK("#Statut_biogéographique!A"&amp;_xlfn.XMATCH("P",Statut_biogéographique!A:A,2,1),"P")</f>
        <v>P</v>
      </c>
      <c r="AP22507" s="4" t="s">
        <v>376</v>
      </c>
      <c r="AR22507" s="4" t="s">
        <v>377</v>
      </c>
    </row>
    <row r="22508" spans="1:44">
      <c r="A22508" s="4" t="s">
        <v>24364</v>
      </c>
      <c r="B22508" s="4">
        <v>4899</v>
      </c>
      <c r="D22508" s="5" t="s">
        <v>29267</v>
      </c>
      <c r="E22508" s="6" t="str">
        <f>HYPERLINK("https://inpn.mnhn.fr/espece/cd_nom/4899","Pohlia lutescens (Limpr.) H.Lindb., 1899")</f>
        <v>Pohlia lutescens (Limpr.) H.Lindb., 1899</v>
      </c>
      <c r="P22508" s="7" t="str">
        <f>HYPERLINK("#Liste_rouge!A"&amp;_xlfn.XMATCH("LC",Liste_rouge!A:A,2,1),"LC")</f>
        <v>LC</v>
      </c>
      <c r="T22508" s="7" t="str">
        <f>HYPERLINK("#Liste_rouge!A"&amp;_xlfn.XMATCH("DD",Liste_rouge!A:A,2,1),"DD")</f>
        <v>DD</v>
      </c>
      <c r="V22508" s="7" t="str">
        <f>HYPERLINK("#Liste_rouge!A"&amp;_xlfn.XMATCH("DD",Liste_rouge!A:A,2,1),"DD")</f>
        <v>DD</v>
      </c>
      <c r="AH22508" s="4" t="str">
        <f>HYPERLINK("#Statut_biogéographique!A"&amp;_xlfn.XMATCH("P",Statut_biogéographique!A:A,2,1),"P")</f>
        <v>P</v>
      </c>
      <c r="AP22508" s="4" t="s">
        <v>376</v>
      </c>
      <c r="AR22508" s="4" t="s">
        <v>377</v>
      </c>
    </row>
    <row r="22509" spans="1:44" ht="30">
      <c r="A22509" s="4" t="s">
        <v>24364</v>
      </c>
      <c r="B22509" s="4">
        <v>4900</v>
      </c>
      <c r="D22509" s="5" t="s">
        <v>29268</v>
      </c>
      <c r="E22509" s="6" t="str">
        <f>HYPERLINK("https://inpn.mnhn.fr/espece/cd_nom/4900","Pohlia melanodon (Brid.) A.J.Shaw, 1981")</f>
        <v>Pohlia melanodon (Brid.) A.J.Shaw, 1981</v>
      </c>
      <c r="P22509" s="7" t="str">
        <f>HYPERLINK("#Liste_rouge!A"&amp;_xlfn.XMATCH("LC",Liste_rouge!A:A,2,1),"LC")</f>
        <v>LC</v>
      </c>
      <c r="T22509" s="7" t="str">
        <f>HYPERLINK("#Liste_rouge!A"&amp;_xlfn.XMATCH("LC",Liste_rouge!A:A,2,1),"LC")</f>
        <v>LC</v>
      </c>
      <c r="V22509" s="7" t="str">
        <f>HYPERLINK("#Liste_rouge!A"&amp;_xlfn.XMATCH("LC",Liste_rouge!A:A,2,1),"LC")</f>
        <v>LC</v>
      </c>
      <c r="AH22509" s="4" t="str">
        <f>HYPERLINK("#Statut_biogéographique!A"&amp;_xlfn.XMATCH("P",Statut_biogéographique!A:A,2,1),"P")</f>
        <v>P</v>
      </c>
      <c r="AP22509" s="4" t="s">
        <v>376</v>
      </c>
      <c r="AR22509" s="4" t="s">
        <v>377</v>
      </c>
    </row>
    <row r="22510" spans="1:44">
      <c r="A22510" s="4" t="s">
        <v>24364</v>
      </c>
      <c r="B22510" s="4">
        <v>4901</v>
      </c>
      <c r="D22510" s="5" t="s">
        <v>29269</v>
      </c>
      <c r="E22510" s="6" t="str">
        <f>HYPERLINK("https://inpn.mnhn.fr/espece/cd_nom/4901","Pohlia nutans (Hedw.) Lindb., 1879")</f>
        <v>Pohlia nutans (Hedw.) Lindb., 1879</v>
      </c>
      <c r="P22510" s="7" t="str">
        <f>HYPERLINK("#Liste_rouge!A"&amp;_xlfn.XMATCH("LC",Liste_rouge!A:A,2,1),"LC")</f>
        <v>LC</v>
      </c>
      <c r="T22510" s="7" t="str">
        <f>HYPERLINK("#Liste_rouge!A"&amp;_xlfn.XMATCH("LC",Liste_rouge!A:A,2,1),"LC")</f>
        <v>LC</v>
      </c>
      <c r="V22510" s="7" t="str">
        <f>HYPERLINK("#Liste_rouge!A"&amp;_xlfn.XMATCH("LC",Liste_rouge!A:A,2,1),"LC")</f>
        <v>LC</v>
      </c>
      <c r="AH22510" s="4" t="str">
        <f>HYPERLINK("#Statut_biogéographique!A"&amp;_xlfn.XMATCH("P",Statut_biogéographique!A:A,2,1),"P")</f>
        <v>P</v>
      </c>
      <c r="AP22510" s="4" t="s">
        <v>376</v>
      </c>
      <c r="AR22510" s="4" t="s">
        <v>377</v>
      </c>
    </row>
    <row r="22511" spans="1:44">
      <c r="A22511" s="4" t="s">
        <v>24364</v>
      </c>
      <c r="B22511" s="4">
        <v>4903</v>
      </c>
      <c r="D22511" s="5">
        <v>4903</v>
      </c>
      <c r="E22511" s="6" t="str">
        <f>HYPERLINK("https://inpn.mnhn.fr/espece/cd_nom/4903","Pohlia proligera (Kindb.) Lindb. ex Broth.")</f>
        <v>Pohlia proligera (Kindb.) Lindb. ex Broth.</v>
      </c>
      <c r="P22511" s="7" t="str">
        <f>HYPERLINK("#Liste_rouge!A"&amp;_xlfn.XMATCH("LC",Liste_rouge!A:A,2,1),"LC")</f>
        <v>LC</v>
      </c>
      <c r="T22511" s="7" t="str">
        <f>HYPERLINK("#Liste_rouge!A"&amp;_xlfn.XMATCH("CR",Liste_rouge!A:A,2,1),"CR")</f>
        <v>CR</v>
      </c>
      <c r="AH22511" s="4" t="str">
        <f>HYPERLINK("#Statut_biogéographique!A"&amp;_xlfn.XMATCH("P",Statut_biogéographique!A:A,2,1),"P")</f>
        <v>P</v>
      </c>
      <c r="AP22511" s="4" t="s">
        <v>376</v>
      </c>
      <c r="AR22511" s="4" t="s">
        <v>377</v>
      </c>
    </row>
    <row r="22512" spans="1:44" ht="30">
      <c r="A22512" s="4" t="s">
        <v>24364</v>
      </c>
      <c r="B22512" s="4">
        <v>4906</v>
      </c>
      <c r="D22512" s="5" t="s">
        <v>29270</v>
      </c>
      <c r="E22512" s="6" t="str">
        <f>HYPERLINK("https://inpn.mnhn.fr/espece/cd_nom/4906","Pohlia wahlenbergii (F.Weber &amp; D.Mohr) A.L.Andrews, 1935")</f>
        <v>Pohlia wahlenbergii (F.Weber &amp; D.Mohr) A.L.Andrews, 1935</v>
      </c>
      <c r="P22512" s="7" t="str">
        <f>HYPERLINK("#Liste_rouge!A"&amp;_xlfn.XMATCH("LC",Liste_rouge!A:A,2,1),"LC")</f>
        <v>LC</v>
      </c>
      <c r="T22512" s="7" t="str">
        <f>HYPERLINK("#Liste_rouge!A"&amp;_xlfn.XMATCH("VU",Liste_rouge!A:A,2,1),"VU")</f>
        <v>VU</v>
      </c>
      <c r="V22512" s="7" t="str">
        <f>HYPERLINK("#Liste_rouge!A"&amp;_xlfn.XMATCH("LC",Liste_rouge!A:A,2,1),"LC")</f>
        <v>LC</v>
      </c>
      <c r="AB22512" s="4" t="s">
        <v>24803</v>
      </c>
      <c r="AH22512" s="4" t="str">
        <f>HYPERLINK("#Statut_biogéographique!A"&amp;_xlfn.XMATCH("P",Statut_biogéographique!A:A,2,1),"P")</f>
        <v>P</v>
      </c>
      <c r="AP22512" s="4" t="s">
        <v>376</v>
      </c>
      <c r="AR22512" s="4" t="s">
        <v>377</v>
      </c>
    </row>
    <row r="22513" spans="1:44" ht="30">
      <c r="A22513" s="4" t="s">
        <v>24364</v>
      </c>
      <c r="B22513" s="4">
        <v>4909</v>
      </c>
      <c r="D22513" s="5" t="s">
        <v>29271</v>
      </c>
      <c r="E22513" s="6" t="str">
        <f>HYPERLINK("https://inpn.mnhn.fr/espece/cd_nom/4909","Rhodobryum ontariense (Kindb.) Kindb., 1898")</f>
        <v>Rhodobryum ontariense (Kindb.) Kindb., 1898</v>
      </c>
      <c r="P22513" s="7" t="str">
        <f>HYPERLINK("#Liste_rouge!A"&amp;_xlfn.XMATCH("LC",Liste_rouge!A:A,2,1),"LC")</f>
        <v>LC</v>
      </c>
      <c r="T22513" s="7" t="str">
        <f>HYPERLINK("#Liste_rouge!A"&amp;_xlfn.XMATCH("NT",Liste_rouge!A:A,2,1),"NT")</f>
        <v>NT</v>
      </c>
      <c r="V22513" s="7" t="str">
        <f>HYPERLINK("#Liste_rouge!A"&amp;_xlfn.XMATCH("LC",Liste_rouge!A:A,2,1),"LC")</f>
        <v>LC</v>
      </c>
      <c r="X22513" s="5" t="s">
        <v>374</v>
      </c>
      <c r="AB22513" s="4" t="s">
        <v>93</v>
      </c>
      <c r="AH22513" s="4" t="str">
        <f>HYPERLINK("#Statut_biogéographique!A"&amp;_xlfn.XMATCH("P",Statut_biogéographique!A:A,2,1),"P")</f>
        <v>P</v>
      </c>
      <c r="AP22513" s="4" t="s">
        <v>376</v>
      </c>
      <c r="AR22513" s="4" t="s">
        <v>377</v>
      </c>
    </row>
    <row r="22514" spans="1:44">
      <c r="A22514" s="4" t="s">
        <v>24364</v>
      </c>
      <c r="B22514" s="4">
        <v>4910</v>
      </c>
      <c r="D22514" s="5" t="s">
        <v>29272</v>
      </c>
      <c r="E22514" s="6" t="str">
        <f>HYPERLINK("https://inpn.mnhn.fr/espece/cd_nom/4910","Rhodobryum roseum (Hedw.) Limpr., 1892")</f>
        <v>Rhodobryum roseum (Hedw.) Limpr., 1892</v>
      </c>
      <c r="P22514" s="7" t="str">
        <f>HYPERLINK("#Liste_rouge!A"&amp;_xlfn.XMATCH("LC",Liste_rouge!A:A,2,1),"LC")</f>
        <v>LC</v>
      </c>
      <c r="T22514" s="7" t="str">
        <f>HYPERLINK("#Liste_rouge!A"&amp;_xlfn.XMATCH("VU",Liste_rouge!A:A,2,1),"VU")</f>
        <v>VU</v>
      </c>
      <c r="V22514" s="7" t="str">
        <f>HYPERLINK("#Liste_rouge!A"&amp;_xlfn.XMATCH("LC",Liste_rouge!A:A,2,1),"LC")</f>
        <v>LC</v>
      </c>
      <c r="AB22514" s="4" t="s">
        <v>29273</v>
      </c>
      <c r="AE22514" s="4" t="str">
        <f>HYPERLINK("#SCAP!A"&amp;_xlfn.XMATCH("1-",SCAP!A:A,2,1),"1-")</f>
        <v>1-</v>
      </c>
      <c r="AF22514" s="4" t="str">
        <f>HYPERLINK("#SCAP!A"&amp;_xlfn.XMATCH("NP",SCAP!A:A,2,1),"NP")</f>
        <v>NP</v>
      </c>
      <c r="AG22514" s="4" t="str">
        <f>HYPERLINK("#SCAP!A"&amp;_xlfn.XMATCH("2-",SCAP!A:A,2,1),"2-")</f>
        <v>2-</v>
      </c>
      <c r="AH22514" s="4" t="str">
        <f>HYPERLINK("#Statut_biogéographique!A"&amp;_xlfn.XMATCH("P",Statut_biogéographique!A:A,2,1),"P")</f>
        <v>P</v>
      </c>
      <c r="AP22514" s="4" t="s">
        <v>376</v>
      </c>
      <c r="AR22514" s="4" t="s">
        <v>377</v>
      </c>
    </row>
    <row r="22515" spans="1:44">
      <c r="A22515" s="4" t="s">
        <v>24364</v>
      </c>
      <c r="B22515" s="4">
        <v>4913</v>
      </c>
      <c r="D22515" s="5">
        <v>4913</v>
      </c>
      <c r="E22515" s="6" t="str">
        <f>HYPERLINK("https://inpn.mnhn.fr/espece/cd_nom/4913","Cinclidium stygium Sw., 1803")</f>
        <v>Cinclidium stygium Sw., 1803</v>
      </c>
      <c r="M22515" s="4" t="str">
        <f>HYPERLINK("#Réglementation!A"&amp;_xlfn.XMATCH("RV43",Réglementation!A:A,2,1),"RV43")</f>
        <v>RV43</v>
      </c>
      <c r="P22515" s="7" t="str">
        <f>HYPERLINK("#Liste_rouge!A"&amp;_xlfn.XMATCH("LC",Liste_rouge!A:A,2,1),"LC")</f>
        <v>LC</v>
      </c>
      <c r="V22515" s="7" t="str">
        <f>HYPERLINK("#Liste_rouge!A"&amp;_xlfn.XMATCH("NT",Liste_rouge!A:A,2,1),"NT")</f>
        <v>NT</v>
      </c>
      <c r="X22515" s="5" t="s">
        <v>374</v>
      </c>
      <c r="AB22515" s="4" t="s">
        <v>93</v>
      </c>
      <c r="AH22515" s="4" t="str">
        <f>HYPERLINK("#Statut_biogéographique!A"&amp;_xlfn.XMATCH("P",Statut_biogéographique!A:A,2,1),"P")</f>
        <v>P</v>
      </c>
      <c r="AP22515" s="4" t="s">
        <v>376</v>
      </c>
      <c r="AR22515" s="4" t="s">
        <v>377</v>
      </c>
    </row>
    <row r="22516" spans="1:44">
      <c r="A22516" s="4" t="s">
        <v>24364</v>
      </c>
      <c r="B22516" s="4">
        <v>4917</v>
      </c>
      <c r="D22516" s="5" t="s">
        <v>29274</v>
      </c>
      <c r="E22516" s="6" t="str">
        <f>HYPERLINK("https://inpn.mnhn.fr/espece/cd_nom/4917","Mnium hornum Hedw., 1801")</f>
        <v>Mnium hornum Hedw., 1801</v>
      </c>
      <c r="P22516" s="7" t="str">
        <f>HYPERLINK("#Liste_rouge!A"&amp;_xlfn.XMATCH("LC",Liste_rouge!A:A,2,1),"LC")</f>
        <v>LC</v>
      </c>
      <c r="T22516" s="7" t="str">
        <f>HYPERLINK("#Liste_rouge!A"&amp;_xlfn.XMATCH("LC",Liste_rouge!A:A,2,1),"LC")</f>
        <v>LC</v>
      </c>
      <c r="V22516" s="7" t="str">
        <f>HYPERLINK("#Liste_rouge!A"&amp;_xlfn.XMATCH("LC",Liste_rouge!A:A,2,1),"LC")</f>
        <v>LC</v>
      </c>
      <c r="AH22516" s="4" t="str">
        <f>HYPERLINK("#Statut_biogéographique!A"&amp;_xlfn.XMATCH("P",Statut_biogéographique!A:A,2,1),"P")</f>
        <v>P</v>
      </c>
      <c r="AP22516" s="4" t="s">
        <v>376</v>
      </c>
      <c r="AR22516" s="4" t="s">
        <v>377</v>
      </c>
    </row>
    <row r="22517" spans="1:44">
      <c r="A22517" s="4" t="s">
        <v>24364</v>
      </c>
      <c r="B22517" s="4">
        <v>4920</v>
      </c>
      <c r="D22517" s="5" t="s">
        <v>29275</v>
      </c>
      <c r="E22517" s="6" t="str">
        <f>HYPERLINK("https://inpn.mnhn.fr/espece/cd_nom/4920","Mnium marginatum (Dicks.) P.Beauv.")</f>
        <v>Mnium marginatum (Dicks.) P.Beauv.</v>
      </c>
      <c r="P22517" s="7" t="str">
        <f>HYPERLINK("#Liste_rouge!A"&amp;_xlfn.XMATCH("LC",Liste_rouge!A:A,2,1),"LC")</f>
        <v>LC</v>
      </c>
      <c r="T22517" s="7" t="str">
        <f>HYPERLINK("#Liste_rouge!A"&amp;_xlfn.XMATCH("EN",Liste_rouge!A:A,2,1),"EN")</f>
        <v>EN</v>
      </c>
      <c r="V22517" s="7" t="str">
        <f>HYPERLINK("#Liste_rouge!A"&amp;_xlfn.XMATCH("LC",Liste_rouge!A:A,2,1),"LC")</f>
        <v>LC</v>
      </c>
      <c r="AB22517" s="4" t="s">
        <v>29052</v>
      </c>
      <c r="AH22517" s="4" t="str">
        <f>HYPERLINK("#Statut_biogéographique!A"&amp;_xlfn.XMATCH("P",Statut_biogéographique!A:A,2,1),"P")</f>
        <v>P</v>
      </c>
      <c r="AP22517" s="4" t="s">
        <v>376</v>
      </c>
      <c r="AR22517" s="4" t="s">
        <v>377</v>
      </c>
    </row>
    <row r="22518" spans="1:44">
      <c r="A22518" s="4" t="s">
        <v>24364</v>
      </c>
      <c r="B22518" s="4">
        <v>4924</v>
      </c>
      <c r="D22518" s="5" t="s">
        <v>29276</v>
      </c>
      <c r="E22518" s="6" t="str">
        <f>HYPERLINK("https://inpn.mnhn.fr/espece/cd_nom/4924","Mnium spinosum (Voit) Schwägr., 1816")</f>
        <v>Mnium spinosum (Voit) Schwägr., 1816</v>
      </c>
      <c r="P22518" s="7" t="str">
        <f>HYPERLINK("#Liste_rouge!A"&amp;_xlfn.XMATCH("LC",Liste_rouge!A:A,2,1),"LC")</f>
        <v>LC</v>
      </c>
      <c r="V22518" s="7" t="str">
        <f>HYPERLINK("#Liste_rouge!A"&amp;_xlfn.XMATCH("NT",Liste_rouge!A:A,2,1),"NT")</f>
        <v>NT</v>
      </c>
      <c r="X22518" s="5" t="s">
        <v>374</v>
      </c>
      <c r="AB22518" s="4" t="s">
        <v>93</v>
      </c>
      <c r="AH22518" s="4" t="str">
        <f>HYPERLINK("#Statut_biogéographique!A"&amp;_xlfn.XMATCH("P",Statut_biogéographique!A:A,2,1),"P")</f>
        <v>P</v>
      </c>
      <c r="AP22518" s="4" t="s">
        <v>376</v>
      </c>
      <c r="AR22518" s="4" t="s">
        <v>377</v>
      </c>
    </row>
    <row r="22519" spans="1:44">
      <c r="A22519" s="4" t="s">
        <v>24364</v>
      </c>
      <c r="B22519" s="4">
        <v>4925</v>
      </c>
      <c r="D22519" s="5" t="s">
        <v>29277</v>
      </c>
      <c r="E22519" s="6" t="str">
        <f>HYPERLINK("https://inpn.mnhn.fr/espece/cd_nom/4925","Mnium spinulosum Bruch &amp; Schimp., 1846")</f>
        <v>Mnium spinulosum Bruch &amp; Schimp., 1846</v>
      </c>
      <c r="P22519" s="7" t="str">
        <f>HYPERLINK("#Liste_rouge!A"&amp;_xlfn.XMATCH("LC",Liste_rouge!A:A,2,1),"LC")</f>
        <v>LC</v>
      </c>
      <c r="V22519" s="7" t="str">
        <f>HYPERLINK("#Liste_rouge!A"&amp;_xlfn.XMATCH("VU",Liste_rouge!A:A,2,1),"VU")</f>
        <v>VU</v>
      </c>
      <c r="X22519" s="5" t="s">
        <v>374</v>
      </c>
      <c r="AB22519" s="4" t="s">
        <v>93</v>
      </c>
      <c r="AH22519" s="4" t="str">
        <f>HYPERLINK("#Statut_biogéographique!A"&amp;_xlfn.XMATCH("P",Statut_biogéographique!A:A,2,1),"P")</f>
        <v>P</v>
      </c>
      <c r="AP22519" s="4" t="s">
        <v>376</v>
      </c>
      <c r="AR22519" s="4" t="s">
        <v>377</v>
      </c>
    </row>
    <row r="22520" spans="1:44">
      <c r="A22520" s="4" t="s">
        <v>24364</v>
      </c>
      <c r="B22520" s="4">
        <v>4926</v>
      </c>
      <c r="D22520" s="5" t="s">
        <v>29278</v>
      </c>
      <c r="E22520" s="6" t="str">
        <f>HYPERLINK("https://inpn.mnhn.fr/espece/cd_nom/4926","Mnium stellare Hedw., 1801")</f>
        <v>Mnium stellare Hedw., 1801</v>
      </c>
      <c r="P22520" s="7" t="str">
        <f>HYPERLINK("#Liste_rouge!A"&amp;_xlfn.XMATCH("LC",Liste_rouge!A:A,2,1),"LC")</f>
        <v>LC</v>
      </c>
      <c r="T22520" s="7" t="str">
        <f>HYPERLINK("#Liste_rouge!A"&amp;_xlfn.XMATCH("VU",Liste_rouge!A:A,2,1),"VU")</f>
        <v>VU</v>
      </c>
      <c r="V22520" s="7" t="str">
        <f>HYPERLINK("#Liste_rouge!A"&amp;_xlfn.XMATCH("LC",Liste_rouge!A:A,2,1),"LC")</f>
        <v>LC</v>
      </c>
      <c r="AB22520" s="4" t="s">
        <v>28027</v>
      </c>
      <c r="AH22520" s="4" t="str">
        <f>HYPERLINK("#Statut_biogéographique!A"&amp;_xlfn.XMATCH("P",Statut_biogéographique!A:A,2,1),"P")</f>
        <v>P</v>
      </c>
      <c r="AP22520" s="4" t="s">
        <v>376</v>
      </c>
      <c r="AR22520" s="4" t="s">
        <v>377</v>
      </c>
    </row>
    <row r="22521" spans="1:44">
      <c r="A22521" s="4" t="s">
        <v>24364</v>
      </c>
      <c r="B22521" s="4">
        <v>4927</v>
      </c>
      <c r="D22521" s="5" t="s">
        <v>29279</v>
      </c>
      <c r="E22521" s="6" t="str">
        <f>HYPERLINK("https://inpn.mnhn.fr/espece/cd_nom/4927","Mnium thomsonii Schimp., 1876")</f>
        <v>Mnium thomsonii Schimp., 1876</v>
      </c>
      <c r="P22521" s="7" t="str">
        <f>HYPERLINK("#Liste_rouge!A"&amp;_xlfn.XMATCH("LC",Liste_rouge!A:A,2,1),"LC")</f>
        <v>LC</v>
      </c>
      <c r="V22521" s="7" t="str">
        <f>HYPERLINK("#Liste_rouge!A"&amp;_xlfn.XMATCH("LC",Liste_rouge!A:A,2,1),"LC")</f>
        <v>LC</v>
      </c>
      <c r="AB22521" s="4" t="s">
        <v>24410</v>
      </c>
      <c r="AH22521" s="4" t="str">
        <f>HYPERLINK("#Statut_biogéographique!A"&amp;_xlfn.XMATCH("P",Statut_biogéographique!A:A,2,1),"P")</f>
        <v>P</v>
      </c>
      <c r="AP22521" s="4" t="s">
        <v>376</v>
      </c>
      <c r="AR22521" s="4" t="s">
        <v>377</v>
      </c>
    </row>
    <row r="22522" spans="1:44" ht="30">
      <c r="A22522" s="4" t="s">
        <v>24364</v>
      </c>
      <c r="B22522" s="4">
        <v>4932</v>
      </c>
      <c r="D22522" s="5" t="s">
        <v>29280</v>
      </c>
      <c r="E22522" s="6" t="str">
        <f>HYPERLINK("https://inpn.mnhn.fr/espece/cd_nom/4932","Plagiomnium affine (Blandow ex Funck) T.J.Kop., 1968")</f>
        <v>Plagiomnium affine (Blandow ex Funck) T.J.Kop., 1968</v>
      </c>
      <c r="P22522" s="7" t="str">
        <f>HYPERLINK("#Liste_rouge!A"&amp;_xlfn.XMATCH("LC",Liste_rouge!A:A,2,1),"LC")</f>
        <v>LC</v>
      </c>
      <c r="T22522" s="7" t="str">
        <f>HYPERLINK("#Liste_rouge!A"&amp;_xlfn.XMATCH("LC",Liste_rouge!A:A,2,1),"LC")</f>
        <v>LC</v>
      </c>
      <c r="V22522" s="7" t="str">
        <f>HYPERLINK("#Liste_rouge!A"&amp;_xlfn.XMATCH("LC",Liste_rouge!A:A,2,1),"LC")</f>
        <v>LC</v>
      </c>
      <c r="AH22522" s="4" t="str">
        <f>HYPERLINK("#Statut_biogéographique!A"&amp;_xlfn.XMATCH("P",Statut_biogéographique!A:A,2,1),"P")</f>
        <v>P</v>
      </c>
      <c r="AP22522" s="4" t="s">
        <v>376</v>
      </c>
      <c r="AR22522" s="4" t="s">
        <v>377</v>
      </c>
    </row>
    <row r="22523" spans="1:44" ht="30">
      <c r="A22523" s="4" t="s">
        <v>24364</v>
      </c>
      <c r="B22523" s="4">
        <v>4934</v>
      </c>
      <c r="D22523" s="5" t="s">
        <v>29281</v>
      </c>
      <c r="E22523" s="6" t="str">
        <f>HYPERLINK("https://inpn.mnhn.fr/espece/cd_nom/4934","Plagiomnium cuspidatum (Hedw.) T.J.Kop., 1968")</f>
        <v>Plagiomnium cuspidatum (Hedw.) T.J.Kop., 1968</v>
      </c>
      <c r="P22523" s="7" t="str">
        <f>HYPERLINK("#Liste_rouge!A"&amp;_xlfn.XMATCH("LC",Liste_rouge!A:A,2,1),"LC")</f>
        <v>LC</v>
      </c>
      <c r="T22523" s="7" t="str">
        <f>HYPERLINK("#Liste_rouge!A"&amp;_xlfn.XMATCH("VU",Liste_rouge!A:A,2,1),"VU")</f>
        <v>VU</v>
      </c>
      <c r="V22523" s="7" t="str">
        <f>HYPERLINK("#Liste_rouge!A"&amp;_xlfn.XMATCH("LC",Liste_rouge!A:A,2,1),"LC")</f>
        <v>LC</v>
      </c>
      <c r="AB22523" s="4" t="s">
        <v>24803</v>
      </c>
      <c r="AH22523" s="4" t="str">
        <f>HYPERLINK("#Statut_biogéographique!A"&amp;_xlfn.XMATCH("P",Statut_biogéographique!A:A,2,1),"P")</f>
        <v>P</v>
      </c>
      <c r="AP22523" s="4" t="s">
        <v>376</v>
      </c>
      <c r="AR22523" s="4" t="s">
        <v>377</v>
      </c>
    </row>
    <row r="22524" spans="1:44" ht="30">
      <c r="A22524" s="4" t="s">
        <v>24364</v>
      </c>
      <c r="B22524" s="4">
        <v>4936</v>
      </c>
      <c r="D22524" s="5" t="s">
        <v>29282</v>
      </c>
      <c r="E22524" s="6" t="str">
        <f>HYPERLINK("https://inpn.mnhn.fr/espece/cd_nom/4936","Plagiomnium elatum (Bruch &amp; Schimp.) T.J.Kop., 1968")</f>
        <v>Plagiomnium elatum (Bruch &amp; Schimp.) T.J.Kop., 1968</v>
      </c>
      <c r="P22524" s="7" t="str">
        <f>HYPERLINK("#Liste_rouge!A"&amp;_xlfn.XMATCH("LC",Liste_rouge!A:A,2,1),"LC")</f>
        <v>LC</v>
      </c>
      <c r="T22524" s="7" t="str">
        <f>HYPERLINK("#Liste_rouge!A"&amp;_xlfn.XMATCH("LC",Liste_rouge!A:A,2,1),"LC")</f>
        <v>LC</v>
      </c>
      <c r="V22524" s="7" t="str">
        <f>HYPERLINK("#Liste_rouge!A"&amp;_xlfn.XMATCH("LC",Liste_rouge!A:A,2,1),"LC")</f>
        <v>LC</v>
      </c>
      <c r="AB22524" s="4" t="s">
        <v>25294</v>
      </c>
      <c r="AH22524" s="4" t="str">
        <f>HYPERLINK("#Statut_biogéographique!A"&amp;_xlfn.XMATCH("P",Statut_biogéographique!A:A,2,1),"P")</f>
        <v>P</v>
      </c>
      <c r="AP22524" s="4" t="s">
        <v>376</v>
      </c>
      <c r="AR22524" s="4" t="s">
        <v>377</v>
      </c>
    </row>
    <row r="22525" spans="1:44">
      <c r="A22525" s="4" t="s">
        <v>24364</v>
      </c>
      <c r="B22525" s="4">
        <v>4938</v>
      </c>
      <c r="D22525" s="5" t="s">
        <v>29283</v>
      </c>
      <c r="E22525" s="6" t="str">
        <f>HYPERLINK("https://inpn.mnhn.fr/espece/cd_nom/4938","Plagiomnium ellipticum (Brid.) T.J.Kop., 1971")</f>
        <v>Plagiomnium ellipticum (Brid.) T.J.Kop., 1971</v>
      </c>
      <c r="P22525" s="7" t="str">
        <f>HYPERLINK("#Liste_rouge!A"&amp;_xlfn.XMATCH("LC",Liste_rouge!A:A,2,1),"LC")</f>
        <v>LC</v>
      </c>
      <c r="T22525" s="7" t="str">
        <f>HYPERLINK("#Liste_rouge!A"&amp;_xlfn.XMATCH("DD",Liste_rouge!A:A,2,1),"DD")</f>
        <v>DD</v>
      </c>
      <c r="V22525" s="7" t="str">
        <f>HYPERLINK("#Liste_rouge!A"&amp;_xlfn.XMATCH("LC",Liste_rouge!A:A,2,1),"LC")</f>
        <v>LC</v>
      </c>
      <c r="AB22525" s="4" t="s">
        <v>26249</v>
      </c>
      <c r="AH22525" s="4" t="str">
        <f>HYPERLINK("#Statut_biogéographique!A"&amp;_xlfn.XMATCH("P",Statut_biogéographique!A:A,2,1),"P")</f>
        <v>P</v>
      </c>
      <c r="AP22525" s="4" t="s">
        <v>376</v>
      </c>
      <c r="AR22525" s="4" t="s">
        <v>377</v>
      </c>
    </row>
    <row r="22526" spans="1:44" ht="30">
      <c r="A22526" s="4" t="s">
        <v>24364</v>
      </c>
      <c r="B22526" s="4">
        <v>4941</v>
      </c>
      <c r="D22526" s="5" t="s">
        <v>29284</v>
      </c>
      <c r="E22526" s="6" t="str">
        <f>HYPERLINK("https://inpn.mnhn.fr/espece/cd_nom/4941","Plagiomnium medium (Bruch &amp; Schimp.) T.J.Kop., 1968")</f>
        <v>Plagiomnium medium (Bruch &amp; Schimp.) T.J.Kop., 1968</v>
      </c>
      <c r="P22526" s="7" t="str">
        <f>HYPERLINK("#Liste_rouge!A"&amp;_xlfn.XMATCH("LC",Liste_rouge!A:A,2,1),"LC")</f>
        <v>LC</v>
      </c>
      <c r="V22526" s="7" t="str">
        <f>HYPERLINK("#Liste_rouge!A"&amp;_xlfn.XMATCH("LC",Liste_rouge!A:A,2,1),"LC")</f>
        <v>LC</v>
      </c>
      <c r="AH22526" s="4" t="str">
        <f>HYPERLINK("#Statut_biogéographique!A"&amp;_xlfn.XMATCH("P",Statut_biogéographique!A:A,2,1),"P")</f>
        <v>P</v>
      </c>
      <c r="AP22526" s="4" t="s">
        <v>376</v>
      </c>
      <c r="AR22526" s="4" t="s">
        <v>377</v>
      </c>
    </row>
    <row r="22527" spans="1:44" ht="30">
      <c r="A22527" s="4" t="s">
        <v>24364</v>
      </c>
      <c r="B22527" s="4">
        <v>4944</v>
      </c>
      <c r="D22527" s="5" t="s">
        <v>29285</v>
      </c>
      <c r="E22527" s="6" t="str">
        <f>HYPERLINK("https://inpn.mnhn.fr/espece/cd_nom/4944","Plagiomnium rostratum (Schrad.) T.J.Kop., 1968")</f>
        <v>Plagiomnium rostratum (Schrad.) T.J.Kop., 1968</v>
      </c>
      <c r="P22527" s="7" t="str">
        <f>HYPERLINK("#Liste_rouge!A"&amp;_xlfn.XMATCH("LC",Liste_rouge!A:A,2,1),"LC")</f>
        <v>LC</v>
      </c>
      <c r="T22527" s="7" t="str">
        <f>HYPERLINK("#Liste_rouge!A"&amp;_xlfn.XMATCH("LC",Liste_rouge!A:A,2,1),"LC")</f>
        <v>LC</v>
      </c>
      <c r="V22527" s="7" t="str">
        <f>HYPERLINK("#Liste_rouge!A"&amp;_xlfn.XMATCH("LC",Liste_rouge!A:A,2,1),"LC")</f>
        <v>LC</v>
      </c>
      <c r="AH22527" s="4" t="str">
        <f>HYPERLINK("#Statut_biogéographique!A"&amp;_xlfn.XMATCH("P",Statut_biogéographique!A:A,2,1),"P")</f>
        <v>P</v>
      </c>
      <c r="AP22527" s="4" t="s">
        <v>376</v>
      </c>
      <c r="AR22527" s="4" t="s">
        <v>377</v>
      </c>
    </row>
    <row r="22528" spans="1:44" ht="30">
      <c r="A22528" s="4" t="s">
        <v>24364</v>
      </c>
      <c r="B22528" s="4">
        <v>4946</v>
      </c>
      <c r="D22528" s="5" t="s">
        <v>29286</v>
      </c>
      <c r="E22528" s="6" t="str">
        <f>HYPERLINK("https://inpn.mnhn.fr/espece/cd_nom/4946","Plagiomnium undulatum (Hedw.) T.J.Kop., 1968")</f>
        <v>Plagiomnium undulatum (Hedw.) T.J.Kop., 1968</v>
      </c>
      <c r="P22528" s="7" t="str">
        <f>HYPERLINK("#Liste_rouge!A"&amp;_xlfn.XMATCH("LC",Liste_rouge!A:A,2,1),"LC")</f>
        <v>LC</v>
      </c>
      <c r="T22528" s="7" t="str">
        <f>HYPERLINK("#Liste_rouge!A"&amp;_xlfn.XMATCH("LC",Liste_rouge!A:A,2,1),"LC")</f>
        <v>LC</v>
      </c>
      <c r="V22528" s="7" t="str">
        <f>HYPERLINK("#Liste_rouge!A"&amp;_xlfn.XMATCH("LC",Liste_rouge!A:A,2,1),"LC")</f>
        <v>LC</v>
      </c>
      <c r="AH22528" s="4" t="str">
        <f>HYPERLINK("#Statut_biogéographique!A"&amp;_xlfn.XMATCH("P",Statut_biogéographique!A:A,2,1),"P")</f>
        <v>P</v>
      </c>
      <c r="AP22528" s="4" t="s">
        <v>376</v>
      </c>
      <c r="AR22528" s="4" t="s">
        <v>377</v>
      </c>
    </row>
    <row r="22529" spans="1:44" ht="30">
      <c r="A22529" s="4" t="s">
        <v>24364</v>
      </c>
      <c r="B22529" s="4">
        <v>4950</v>
      </c>
      <c r="D22529" s="5" t="s">
        <v>29287</v>
      </c>
      <c r="E22529" s="6" t="str">
        <f>HYPERLINK("https://inpn.mnhn.fr/espece/cd_nom/4950","Rhizomnium magnifolium (Horik.) T.J.Kop., 1973")</f>
        <v>Rhizomnium magnifolium (Horik.) T.J.Kop., 1973</v>
      </c>
      <c r="P22529" s="7" t="str">
        <f>HYPERLINK("#Liste_rouge!A"&amp;_xlfn.XMATCH("LC",Liste_rouge!A:A,2,1),"LC")</f>
        <v>LC</v>
      </c>
      <c r="V22529" s="7" t="str">
        <f>HYPERLINK("#Liste_rouge!A"&amp;_xlfn.XMATCH("VU",Liste_rouge!A:A,2,1),"VU")</f>
        <v>VU</v>
      </c>
      <c r="X22529" s="5" t="s">
        <v>374</v>
      </c>
      <c r="AB22529" s="4" t="s">
        <v>93</v>
      </c>
      <c r="AH22529" s="4" t="str">
        <f>HYPERLINK("#Statut_biogéographique!A"&amp;_xlfn.XMATCH("P",Statut_biogéographique!A:A,2,1),"P")</f>
        <v>P</v>
      </c>
      <c r="AP22529" s="4" t="s">
        <v>376</v>
      </c>
      <c r="AR22529" s="4" t="s">
        <v>377</v>
      </c>
    </row>
    <row r="22530" spans="1:44" ht="30">
      <c r="A22530" s="4" t="s">
        <v>24364</v>
      </c>
      <c r="B22530" s="4">
        <v>4952</v>
      </c>
      <c r="D22530" s="5" t="s">
        <v>29288</v>
      </c>
      <c r="E22530" s="6" t="str">
        <f>HYPERLINK("https://inpn.mnhn.fr/espece/cd_nom/4952","Rhizomnium punctatum (Hedw.) T.J.Kop., 1968")</f>
        <v>Rhizomnium punctatum (Hedw.) T.J.Kop., 1968</v>
      </c>
      <c r="P22530" s="7" t="str">
        <f>HYPERLINK("#Liste_rouge!A"&amp;_xlfn.XMATCH("LC",Liste_rouge!A:A,2,1),"LC")</f>
        <v>LC</v>
      </c>
      <c r="T22530" s="7" t="str">
        <f>HYPERLINK("#Liste_rouge!A"&amp;_xlfn.XMATCH("LC",Liste_rouge!A:A,2,1),"LC")</f>
        <v>LC</v>
      </c>
      <c r="V22530" s="7" t="str">
        <f>HYPERLINK("#Liste_rouge!A"&amp;_xlfn.XMATCH("LC",Liste_rouge!A:A,2,1),"LC")</f>
        <v>LC</v>
      </c>
      <c r="AH22530" s="4" t="str">
        <f>HYPERLINK("#Statut_biogéographique!A"&amp;_xlfn.XMATCH("P",Statut_biogéographique!A:A,2,1),"P")</f>
        <v>P</v>
      </c>
      <c r="AP22530" s="4" t="s">
        <v>376</v>
      </c>
      <c r="AR22530" s="4" t="s">
        <v>377</v>
      </c>
    </row>
    <row r="22531" spans="1:44" ht="30">
      <c r="A22531" s="4" t="s">
        <v>24364</v>
      </c>
      <c r="B22531" s="4">
        <v>4955</v>
      </c>
      <c r="D22531" s="5" t="s">
        <v>29289</v>
      </c>
      <c r="E22531" s="6" t="str">
        <f>HYPERLINK("https://inpn.mnhn.fr/espece/cd_nom/4955","Aulacomnium androgynum (Hedw.) Schwägr., 1827")</f>
        <v>Aulacomnium androgynum (Hedw.) Schwägr., 1827</v>
      </c>
      <c r="P22531" s="7" t="str">
        <f>HYPERLINK("#Liste_rouge!A"&amp;_xlfn.XMATCH("LC",Liste_rouge!A:A,2,1),"LC")</f>
        <v>LC</v>
      </c>
      <c r="T22531" s="7" t="str">
        <f>HYPERLINK("#Liste_rouge!A"&amp;_xlfn.XMATCH("LC",Liste_rouge!A:A,2,1),"LC")</f>
        <v>LC</v>
      </c>
      <c r="V22531" s="7" t="str">
        <f>HYPERLINK("#Liste_rouge!A"&amp;_xlfn.XMATCH("NT",Liste_rouge!A:A,2,1),"NT")</f>
        <v>NT</v>
      </c>
      <c r="AB22531" s="4" t="s">
        <v>24909</v>
      </c>
      <c r="AH22531" s="4" t="str">
        <f>HYPERLINK("#Statut_biogéographique!A"&amp;_xlfn.XMATCH("P",Statut_biogéographique!A:A,2,1),"P")</f>
        <v>P</v>
      </c>
      <c r="AP22531" s="4" t="s">
        <v>376</v>
      </c>
      <c r="AR22531" s="4" t="s">
        <v>377</v>
      </c>
    </row>
    <row r="22532" spans="1:44" ht="30">
      <c r="A22532" s="4" t="s">
        <v>24364</v>
      </c>
      <c r="B22532" s="4">
        <v>4958</v>
      </c>
      <c r="D22532" s="5" t="s">
        <v>29290</v>
      </c>
      <c r="E22532" s="6" t="str">
        <f>HYPERLINK("https://inpn.mnhn.fr/espece/cd_nom/4958","Aulacomnium palustre (Hedw.) Schwägr., 1827")</f>
        <v>Aulacomnium palustre (Hedw.) Schwägr., 1827</v>
      </c>
      <c r="P22532" s="7" t="str">
        <f>HYPERLINK("#Liste_rouge!A"&amp;_xlfn.XMATCH("LC",Liste_rouge!A:A,2,1),"LC")</f>
        <v>LC</v>
      </c>
      <c r="T22532" s="7" t="str">
        <f>HYPERLINK("#Liste_rouge!A"&amp;_xlfn.XMATCH("NT",Liste_rouge!A:A,2,1),"NT")</f>
        <v>NT</v>
      </c>
      <c r="V22532" s="7" t="str">
        <f>HYPERLINK("#Liste_rouge!A"&amp;_xlfn.XMATCH("LC",Liste_rouge!A:A,2,1),"LC")</f>
        <v>LC</v>
      </c>
      <c r="AB22532" s="4" t="s">
        <v>24634</v>
      </c>
      <c r="AH22532" s="4" t="str">
        <f>HYPERLINK("#Statut_biogéographique!A"&amp;_xlfn.XMATCH("P",Statut_biogéographique!A:A,2,1),"P")</f>
        <v>P</v>
      </c>
      <c r="AP22532" s="4" t="s">
        <v>376</v>
      </c>
      <c r="AR22532" s="4" t="s">
        <v>377</v>
      </c>
    </row>
    <row r="22533" spans="1:44" ht="30">
      <c r="A22533" s="4" t="s">
        <v>24364</v>
      </c>
      <c r="B22533" s="4">
        <v>4962</v>
      </c>
      <c r="D22533" s="5">
        <v>4962</v>
      </c>
      <c r="E22533" s="6" t="str">
        <f>HYPERLINK("https://inpn.mnhn.fr/espece/cd_nom/4962","Amblyodon dealbatus (Hedw.) P.Beauv., 1804")</f>
        <v>Amblyodon dealbatus (Hedw.) P.Beauv., 1804</v>
      </c>
      <c r="P22533" s="7" t="str">
        <f>HYPERLINK("#Liste_rouge!A"&amp;_xlfn.XMATCH("LC",Liste_rouge!A:A,2,1),"LC")</f>
        <v>LC</v>
      </c>
      <c r="V22533" s="7" t="str">
        <f>HYPERLINK("#Liste_rouge!A"&amp;_xlfn.XMATCH("CR",Liste_rouge!A:A,2,1),"CR")</f>
        <v>CR</v>
      </c>
      <c r="X22533" s="5" t="s">
        <v>374</v>
      </c>
      <c r="AB22533" s="4" t="s">
        <v>93</v>
      </c>
      <c r="AH22533" s="4" t="str">
        <f>HYPERLINK("#Statut_biogéographique!A"&amp;_xlfn.XMATCH("P",Statut_biogéographique!A:A,2,1),"P")</f>
        <v>P</v>
      </c>
      <c r="AP22533" s="4" t="s">
        <v>376</v>
      </c>
      <c r="AR22533" s="4" t="s">
        <v>377</v>
      </c>
    </row>
    <row r="22534" spans="1:44">
      <c r="A22534" s="4" t="s">
        <v>24364</v>
      </c>
      <c r="B22534" s="4">
        <v>4964</v>
      </c>
      <c r="D22534" s="5" t="s">
        <v>29291</v>
      </c>
      <c r="E22534" s="6" t="str">
        <f>HYPERLINK("https://inpn.mnhn.fr/espece/cd_nom/4964","Meesia longiseta Hedw., 1801")</f>
        <v>Meesia longiseta Hedw., 1801</v>
      </c>
      <c r="I22534" s="4" t="str">
        <f>HYPERLINK("#Réglementation!A"&amp;_xlfn.XMATCH("IBE1",Réglementation!A:A,2,1),"IBE1")</f>
        <v>IBE1</v>
      </c>
      <c r="K22534" s="4" t="str">
        <f>HYPERLINK("#Réglementation!A"&amp;_xlfn.XMATCH("CDH2",Réglementation!A:A,2,1),"CDH2")</f>
        <v>CDH2</v>
      </c>
      <c r="L22534" s="4" t="str">
        <f>HYPERLINK("#Réglementation!A"&amp;_xlfn.XMATCH("NV1",Réglementation!A:A,2,1),"NV1")</f>
        <v>NV1</v>
      </c>
      <c r="P22534" s="7" t="str">
        <f>HYPERLINK("#Liste_rouge!A"&amp;_xlfn.XMATCH("VU",Liste_rouge!A:A,2,1),"VU")</f>
        <v>VU</v>
      </c>
      <c r="T22534" s="7" t="str">
        <f>HYPERLINK("#Liste_rouge!A"&amp;_xlfn.XMATCH("RE",Liste_rouge!A:A,2,1),"RE")</f>
        <v>RE</v>
      </c>
      <c r="V22534" s="7" t="str">
        <f>HYPERLINK("#Liste_rouge!A"&amp;_xlfn.XMATCH("RE",Liste_rouge!A:A,2,1),"RE")</f>
        <v>RE</v>
      </c>
      <c r="AH22534" s="4" t="str">
        <f>HYPERLINK("#Statut_biogéographique!A"&amp;_xlfn.XMATCH("P",Statut_biogéographique!A:A,2,1),"P")</f>
        <v>P</v>
      </c>
      <c r="AP22534" s="4" t="s">
        <v>376</v>
      </c>
      <c r="AR22534" s="4" t="s">
        <v>377</v>
      </c>
    </row>
    <row r="22535" spans="1:44">
      <c r="A22535" s="4" t="s">
        <v>24364</v>
      </c>
      <c r="B22535" s="4">
        <v>4965</v>
      </c>
      <c r="D22535" s="5" t="s">
        <v>29292</v>
      </c>
      <c r="E22535" s="6" t="str">
        <f>HYPERLINK("https://inpn.mnhn.fr/espece/cd_nom/4965","Meesia triquetra (L. ex Jolycl.) Ångstr., 1844")</f>
        <v>Meesia triquetra (L. ex Jolycl.) Ångstr., 1844</v>
      </c>
      <c r="P22535" s="7" t="str">
        <f>HYPERLINK("#Liste_rouge!A"&amp;_xlfn.XMATCH("NT",Liste_rouge!A:A,2,1),"NT")</f>
        <v>NT</v>
      </c>
      <c r="T22535" s="7" t="str">
        <f>HYPERLINK("#Liste_rouge!A"&amp;_xlfn.XMATCH("RE",Liste_rouge!A:A,2,1),"RE")</f>
        <v>RE</v>
      </c>
      <c r="V22535" s="7" t="str">
        <f>HYPERLINK("#Liste_rouge!A"&amp;_xlfn.XMATCH("NT",Liste_rouge!A:A,2,1),"NT")</f>
        <v>NT</v>
      </c>
      <c r="X22535" s="5" t="s">
        <v>374</v>
      </c>
      <c r="AB22535" s="4" t="s">
        <v>93</v>
      </c>
      <c r="AH22535" s="4" t="str">
        <f>HYPERLINK("#Statut_biogéographique!A"&amp;_xlfn.XMATCH("P",Statut_biogéographique!A:A,2,1),"P")</f>
        <v>P</v>
      </c>
      <c r="AP22535" s="4" t="s">
        <v>376</v>
      </c>
      <c r="AR22535" s="4" t="s">
        <v>377</v>
      </c>
    </row>
    <row r="22536" spans="1:44">
      <c r="A22536" s="4" t="s">
        <v>24364</v>
      </c>
      <c r="B22536" s="4">
        <v>4966</v>
      </c>
      <c r="D22536" s="5" t="s">
        <v>29293</v>
      </c>
      <c r="E22536" s="6" t="str">
        <f>HYPERLINK("https://inpn.mnhn.fr/espece/cd_nom/4966","Meesia uliginosa Hedw., 1801")</f>
        <v>Meesia uliginosa Hedw., 1801</v>
      </c>
      <c r="M22536" s="4" t="str">
        <f>HYPERLINK("#Réglementation!A"&amp;_xlfn.XMATCH("RV43",Réglementation!A:A,2,1),"RV43")</f>
        <v>RV43</v>
      </c>
      <c r="P22536" s="7" t="str">
        <f>HYPERLINK("#Liste_rouge!A"&amp;_xlfn.XMATCH("LC",Liste_rouge!A:A,2,1),"LC")</f>
        <v>LC</v>
      </c>
      <c r="T22536" s="7" t="str">
        <f>HYPERLINK("#Liste_rouge!A"&amp;_xlfn.XMATCH("RE",Liste_rouge!A:A,2,1),"RE")</f>
        <v>RE</v>
      </c>
      <c r="V22536" s="7" t="str">
        <f>HYPERLINK("#Liste_rouge!A"&amp;_xlfn.XMATCH("VU",Liste_rouge!A:A,2,1),"VU")</f>
        <v>VU</v>
      </c>
      <c r="X22536" s="5" t="s">
        <v>374</v>
      </c>
      <c r="AB22536" s="4" t="s">
        <v>93</v>
      </c>
      <c r="AH22536" s="4" t="str">
        <f>HYPERLINK("#Statut_biogéographique!A"&amp;_xlfn.XMATCH("P",Statut_biogéographique!A:A,2,1),"P")</f>
        <v>P</v>
      </c>
      <c r="AP22536" s="4" t="s">
        <v>376</v>
      </c>
      <c r="AR22536" s="4" t="s">
        <v>377</v>
      </c>
    </row>
    <row r="22537" spans="1:44">
      <c r="A22537" s="4" t="s">
        <v>24364</v>
      </c>
      <c r="B22537" s="4">
        <v>4968</v>
      </c>
      <c r="D22537" s="5">
        <v>4968</v>
      </c>
      <c r="E22537" s="6" t="str">
        <f>HYPERLINK("https://inpn.mnhn.fr/espece/cd_nom/4968","Paludella squarrosa (Hedw.) Brid., 1817")</f>
        <v>Paludella squarrosa (Hedw.) Brid., 1817</v>
      </c>
      <c r="M22537" s="4" t="str">
        <f>HYPERLINK("#Réglementation!A"&amp;_xlfn.XMATCH("RV43",Réglementation!A:A,2,1),"RV43")</f>
        <v>RV43</v>
      </c>
      <c r="P22537" s="7" t="str">
        <f>HYPERLINK("#Liste_rouge!A"&amp;_xlfn.XMATCH("LC",Liste_rouge!A:A,2,1),"LC")</f>
        <v>LC</v>
      </c>
      <c r="V22537" s="7" t="str">
        <f>HYPERLINK("#Liste_rouge!A"&amp;_xlfn.XMATCH("VU",Liste_rouge!A:A,2,1),"VU")</f>
        <v>VU</v>
      </c>
      <c r="X22537" s="5" t="s">
        <v>374</v>
      </c>
      <c r="AB22537" s="4" t="s">
        <v>93</v>
      </c>
      <c r="AH22537" s="4" t="str">
        <f>HYPERLINK("#Statut_biogéographique!A"&amp;_xlfn.XMATCH("P",Statut_biogéographique!A:A,2,1),"P")</f>
        <v>P</v>
      </c>
      <c r="AP22537" s="4" t="s">
        <v>376</v>
      </c>
      <c r="AR22537" s="4" t="s">
        <v>377</v>
      </c>
    </row>
    <row r="22538" spans="1:44">
      <c r="A22538" s="4" t="s">
        <v>24364</v>
      </c>
      <c r="B22538" s="4">
        <v>4971</v>
      </c>
      <c r="D22538" s="5">
        <v>4971</v>
      </c>
      <c r="E22538" s="6" t="str">
        <f>HYPERLINK("https://inpn.mnhn.fr/espece/cd_nom/4971","Catoscopium nigritum (Hedw.) Brid., 1826")</f>
        <v>Catoscopium nigritum (Hedw.) Brid., 1826</v>
      </c>
      <c r="P22538" s="7" t="str">
        <f>HYPERLINK("#Liste_rouge!A"&amp;_xlfn.XMATCH("LC",Liste_rouge!A:A,2,1),"LC")</f>
        <v>LC</v>
      </c>
      <c r="V22538" s="7" t="str">
        <f>HYPERLINK("#Liste_rouge!A"&amp;_xlfn.XMATCH("CR",Liste_rouge!A:A,2,1),"CR")</f>
        <v>CR</v>
      </c>
      <c r="X22538" s="5" t="s">
        <v>374</v>
      </c>
      <c r="AB22538" s="4" t="s">
        <v>93</v>
      </c>
      <c r="AH22538" s="4" t="str">
        <f>HYPERLINK("#Statut_biogéographique!A"&amp;_xlfn.XMATCH("P",Statut_biogéographique!A:A,2,1),"P")</f>
        <v>P</v>
      </c>
      <c r="AP22538" s="4" t="s">
        <v>376</v>
      </c>
      <c r="AR22538" s="4" t="s">
        <v>377</v>
      </c>
    </row>
    <row r="22539" spans="1:44">
      <c r="A22539" s="4" t="s">
        <v>24364</v>
      </c>
      <c r="B22539" s="4">
        <v>4976</v>
      </c>
      <c r="D22539" s="5" t="s">
        <v>29294</v>
      </c>
      <c r="E22539" s="6" t="str">
        <f>HYPERLINK("https://inpn.mnhn.fr/espece/cd_nom/4976","Bartramia halleriana Hedw., 1801")</f>
        <v>Bartramia halleriana Hedw., 1801</v>
      </c>
      <c r="P22539" s="7" t="str">
        <f>HYPERLINK("#Liste_rouge!A"&amp;_xlfn.XMATCH("LC",Liste_rouge!A:A,2,1),"LC")</f>
        <v>LC</v>
      </c>
      <c r="T22539" s="7" t="str">
        <f>HYPERLINK("#Liste_rouge!A"&amp;_xlfn.XMATCH("EN",Liste_rouge!A:A,2,1),"EN")</f>
        <v>EN</v>
      </c>
      <c r="V22539" s="7" t="str">
        <f>HYPERLINK("#Liste_rouge!A"&amp;_xlfn.XMATCH("LC",Liste_rouge!A:A,2,1),"LC")</f>
        <v>LC</v>
      </c>
      <c r="X22539" s="5" t="s">
        <v>374</v>
      </c>
      <c r="AB22539" s="4" t="s">
        <v>93</v>
      </c>
      <c r="AH22539" s="4" t="str">
        <f>HYPERLINK("#Statut_biogéographique!A"&amp;_xlfn.XMATCH("P",Statut_biogéographique!A:A,2,1),"P")</f>
        <v>P</v>
      </c>
      <c r="AP22539" s="4" t="s">
        <v>376</v>
      </c>
      <c r="AR22539" s="4" t="s">
        <v>377</v>
      </c>
    </row>
    <row r="22540" spans="1:44">
      <c r="A22540" s="4" t="s">
        <v>24364</v>
      </c>
      <c r="B22540" s="4">
        <v>4977</v>
      </c>
      <c r="D22540" s="5" t="s">
        <v>29295</v>
      </c>
      <c r="E22540" s="6" t="str">
        <f>HYPERLINK("https://inpn.mnhn.fr/espece/cd_nom/4977","Bartramia ithyphylla Brid., 1803")</f>
        <v>Bartramia ithyphylla Brid., 1803</v>
      </c>
      <c r="P22540" s="7" t="str">
        <f>HYPERLINK("#Liste_rouge!A"&amp;_xlfn.XMATCH("LC",Liste_rouge!A:A,2,1),"LC")</f>
        <v>LC</v>
      </c>
      <c r="T22540" s="7" t="str">
        <f>HYPERLINK("#Liste_rouge!A"&amp;_xlfn.XMATCH("EN",Liste_rouge!A:A,2,1),"EN")</f>
        <v>EN</v>
      </c>
      <c r="V22540" s="7" t="str">
        <f>HYPERLINK("#Liste_rouge!A"&amp;_xlfn.XMATCH("NT",Liste_rouge!A:A,2,1),"NT")</f>
        <v>NT</v>
      </c>
      <c r="X22540" s="5" t="s">
        <v>374</v>
      </c>
      <c r="AB22540" s="4" t="s">
        <v>93</v>
      </c>
      <c r="AH22540" s="4" t="str">
        <f>HYPERLINK("#Statut_biogéographique!A"&amp;_xlfn.XMATCH("P",Statut_biogéographique!A:A,2,1),"P")</f>
        <v>P</v>
      </c>
      <c r="AP22540" s="4" t="s">
        <v>376</v>
      </c>
      <c r="AR22540" s="4" t="s">
        <v>377</v>
      </c>
    </row>
    <row r="22541" spans="1:44">
      <c r="A22541" s="4" t="s">
        <v>24364</v>
      </c>
      <c r="B22541" s="4">
        <v>4978</v>
      </c>
      <c r="D22541" s="5" t="s">
        <v>29296</v>
      </c>
      <c r="E22541" s="6" t="str">
        <f>HYPERLINK("https://inpn.mnhn.fr/espece/cd_nom/4978","Bartramia pomiformis Hedw., 1801")</f>
        <v>Bartramia pomiformis Hedw., 1801</v>
      </c>
      <c r="P22541" s="7" t="str">
        <f>HYPERLINK("#Liste_rouge!A"&amp;_xlfn.XMATCH("LC",Liste_rouge!A:A,2,1),"LC")</f>
        <v>LC</v>
      </c>
      <c r="T22541" s="7" t="str">
        <f>HYPERLINK("#Liste_rouge!A"&amp;_xlfn.XMATCH("LC",Liste_rouge!A:A,2,1),"LC")</f>
        <v>LC</v>
      </c>
      <c r="V22541" s="7" t="str">
        <f>HYPERLINK("#Liste_rouge!A"&amp;_xlfn.XMATCH("LC",Liste_rouge!A:A,2,1),"LC")</f>
        <v>LC</v>
      </c>
      <c r="AB22541" s="4" t="s">
        <v>24909</v>
      </c>
      <c r="AH22541" s="4" t="str">
        <f>HYPERLINK("#Statut_biogéographique!A"&amp;_xlfn.XMATCH("P",Statut_biogéographique!A:A,2,1),"P")</f>
        <v>P</v>
      </c>
      <c r="AP22541" s="4" t="s">
        <v>376</v>
      </c>
      <c r="AR22541" s="4" t="s">
        <v>377</v>
      </c>
    </row>
    <row r="22542" spans="1:44">
      <c r="A22542" s="4" t="s">
        <v>24364</v>
      </c>
      <c r="B22542" s="4">
        <v>4987</v>
      </c>
      <c r="D22542" s="5">
        <v>4987</v>
      </c>
      <c r="E22542" s="6" t="str">
        <f>HYPERLINK("https://inpn.mnhn.fr/espece/cd_nom/4987","Philonotis caespitosa Jur., 1862")</f>
        <v>Philonotis caespitosa Jur., 1862</v>
      </c>
      <c r="P22542" s="7" t="str">
        <f>HYPERLINK("#Liste_rouge!A"&amp;_xlfn.XMATCH("LC",Liste_rouge!A:A,2,1),"LC")</f>
        <v>LC</v>
      </c>
      <c r="T22542" s="7" t="str">
        <f>HYPERLINK("#Liste_rouge!A"&amp;_xlfn.XMATCH("NT",Liste_rouge!A:A,2,1),"NT")</f>
        <v>NT</v>
      </c>
      <c r="V22542" s="7" t="str">
        <f>HYPERLINK("#Liste_rouge!A"&amp;_xlfn.XMATCH("NT",Liste_rouge!A:A,2,1),"NT")</f>
        <v>NT</v>
      </c>
      <c r="AB22542" s="4" t="s">
        <v>24909</v>
      </c>
      <c r="AH22542" s="4" t="str">
        <f>HYPERLINK("#Statut_biogéographique!A"&amp;_xlfn.XMATCH("P",Statut_biogéographique!A:A,2,1),"P")</f>
        <v>P</v>
      </c>
      <c r="AP22542" s="4" t="s">
        <v>376</v>
      </c>
      <c r="AR22542" s="4" t="s">
        <v>377</v>
      </c>
    </row>
    <row r="22543" spans="1:44" ht="30">
      <c r="A22543" s="4" t="s">
        <v>24364</v>
      </c>
      <c r="B22543" s="4">
        <v>4988</v>
      </c>
      <c r="D22543" s="5">
        <v>4988</v>
      </c>
      <c r="E22543" s="6" t="str">
        <f>HYPERLINK("https://inpn.mnhn.fr/espece/cd_nom/4988","Philonotis calcarea (Bruch &amp; Schimp.) Schimp., 1856")</f>
        <v>Philonotis calcarea (Bruch &amp; Schimp.) Schimp., 1856</v>
      </c>
      <c r="P22543" s="7" t="str">
        <f>HYPERLINK("#Liste_rouge!A"&amp;_xlfn.XMATCH("NT",Liste_rouge!A:A,2,1),"NT")</f>
        <v>NT</v>
      </c>
      <c r="T22543" s="7" t="str">
        <f>HYPERLINK("#Liste_rouge!A"&amp;_xlfn.XMATCH("EN",Liste_rouge!A:A,2,1),"EN")</f>
        <v>EN</v>
      </c>
      <c r="V22543" s="7" t="str">
        <f>HYPERLINK("#Liste_rouge!A"&amp;_xlfn.XMATCH("LC",Liste_rouge!A:A,2,1),"LC")</f>
        <v>LC</v>
      </c>
      <c r="AB22543" s="4" t="s">
        <v>24803</v>
      </c>
      <c r="AH22543" s="4" t="str">
        <f>HYPERLINK("#Statut_biogéographique!A"&amp;_xlfn.XMATCH("P",Statut_biogéographique!A:A,2,1),"P")</f>
        <v>P</v>
      </c>
      <c r="AP22543" s="4" t="s">
        <v>376</v>
      </c>
      <c r="AR22543" s="4" t="s">
        <v>377</v>
      </c>
    </row>
    <row r="22544" spans="1:44">
      <c r="A22544" s="4" t="s">
        <v>24364</v>
      </c>
      <c r="B22544" s="4">
        <v>4989</v>
      </c>
      <c r="D22544" s="5" t="s">
        <v>29297</v>
      </c>
      <c r="E22544" s="6" t="str">
        <f>HYPERLINK("https://inpn.mnhn.fr/espece/cd_nom/4989","Philonotis fontana (Hedw.) Brid., 1827")</f>
        <v>Philonotis fontana (Hedw.) Brid., 1827</v>
      </c>
      <c r="P22544" s="7" t="str">
        <f>HYPERLINK("#Liste_rouge!A"&amp;_xlfn.XMATCH("LC",Liste_rouge!A:A,2,1),"LC")</f>
        <v>LC</v>
      </c>
      <c r="T22544" s="7" t="str">
        <f>HYPERLINK("#Liste_rouge!A"&amp;_xlfn.XMATCH("VU",Liste_rouge!A:A,2,1),"VU")</f>
        <v>VU</v>
      </c>
      <c r="V22544" s="7" t="str">
        <f>HYPERLINK("#Liste_rouge!A"&amp;_xlfn.XMATCH("LC",Liste_rouge!A:A,2,1),"LC")</f>
        <v>LC</v>
      </c>
      <c r="AB22544" s="4" t="s">
        <v>24803</v>
      </c>
      <c r="AH22544" s="4" t="str">
        <f>HYPERLINK("#Statut_biogéographique!A"&amp;_xlfn.XMATCH("P",Statut_biogéographique!A:A,2,1),"P")</f>
        <v>P</v>
      </c>
      <c r="AP22544" s="4" t="s">
        <v>376</v>
      </c>
      <c r="AR22544" s="4" t="s">
        <v>377</v>
      </c>
    </row>
    <row r="22545" spans="1:44">
      <c r="A22545" s="4" t="s">
        <v>24364</v>
      </c>
      <c r="B22545" s="4">
        <v>4990</v>
      </c>
      <c r="D22545" s="5" t="s">
        <v>29298</v>
      </c>
      <c r="E22545" s="6" t="str">
        <f>HYPERLINK("https://inpn.mnhn.fr/espece/cd_nom/4990","Philonotis marchica (Hedw.) Brid., 1827")</f>
        <v>Philonotis marchica (Hedw.) Brid., 1827</v>
      </c>
      <c r="P22545" s="7" t="str">
        <f>HYPERLINK("#Liste_rouge!A"&amp;_xlfn.XMATCH("EN",Liste_rouge!A:A,2,1),"EN")</f>
        <v>EN</v>
      </c>
      <c r="T22545" s="7" t="str">
        <f>HYPERLINK("#Liste_rouge!A"&amp;_xlfn.XMATCH("CR",Liste_rouge!A:A,2,1),"CR")</f>
        <v>CR</v>
      </c>
      <c r="X22545" s="5" t="s">
        <v>374</v>
      </c>
      <c r="AB22545" s="4" t="s">
        <v>93</v>
      </c>
      <c r="AH22545" s="4" t="str">
        <f>HYPERLINK("#Statut_biogéographique!A"&amp;_xlfn.XMATCH("P",Statut_biogéographique!A:A,2,1),"P")</f>
        <v>P</v>
      </c>
      <c r="AP22545" s="4" t="s">
        <v>376</v>
      </c>
      <c r="AR22545" s="4" t="s">
        <v>377</v>
      </c>
    </row>
    <row r="22546" spans="1:44">
      <c r="A22546" s="4" t="s">
        <v>24364</v>
      </c>
      <c r="B22546" s="4">
        <v>4992</v>
      </c>
      <c r="D22546" s="5">
        <v>4992</v>
      </c>
      <c r="E22546" s="6" t="str">
        <f>HYPERLINK("https://inpn.mnhn.fr/espece/cd_nom/4992","Philonotis seriata Mitt., 1859")</f>
        <v>Philonotis seriata Mitt., 1859</v>
      </c>
      <c r="P22546" s="7" t="str">
        <f>HYPERLINK("#Liste_rouge!A"&amp;_xlfn.XMATCH("LC",Liste_rouge!A:A,2,1),"LC")</f>
        <v>LC</v>
      </c>
      <c r="T22546" s="7" t="str">
        <f>HYPERLINK("#Liste_rouge!A"&amp;_xlfn.XMATCH("RE",Liste_rouge!A:A,2,1),"RE")</f>
        <v>RE</v>
      </c>
      <c r="V22546" s="7" t="str">
        <f>HYPERLINK("#Liste_rouge!A"&amp;_xlfn.XMATCH("NT",Liste_rouge!A:A,2,1),"NT")</f>
        <v>NT</v>
      </c>
      <c r="X22546" s="5" t="s">
        <v>374</v>
      </c>
      <c r="AB22546" s="4" t="s">
        <v>93</v>
      </c>
      <c r="AH22546" s="4" t="str">
        <f>HYPERLINK("#Statut_biogéographique!A"&amp;_xlfn.XMATCH("P",Statut_biogéographique!A:A,2,1),"P")</f>
        <v>P</v>
      </c>
      <c r="AP22546" s="4" t="s">
        <v>376</v>
      </c>
      <c r="AR22546" s="4" t="s">
        <v>377</v>
      </c>
    </row>
    <row r="22547" spans="1:44">
      <c r="A22547" s="4" t="s">
        <v>24364</v>
      </c>
      <c r="B22547" s="4">
        <v>5000</v>
      </c>
      <c r="D22547" s="5">
        <v>5000</v>
      </c>
      <c r="E22547" s="6" t="str">
        <f>HYPERLINK("https://inpn.mnhn.fr/espece/cd_nom/5000","Timmia austriaca Hedw., 1801")</f>
        <v>Timmia austriaca Hedw., 1801</v>
      </c>
      <c r="P22547" s="7" t="str">
        <f>HYPERLINK("#Liste_rouge!A"&amp;_xlfn.XMATCH("LC",Liste_rouge!A:A,2,1),"LC")</f>
        <v>LC</v>
      </c>
      <c r="V22547" s="7" t="str">
        <f>HYPERLINK("#Liste_rouge!A"&amp;_xlfn.XMATCH("CR",Liste_rouge!A:A,2,1),"CR")</f>
        <v>CR</v>
      </c>
      <c r="X22547" s="5" t="s">
        <v>374</v>
      </c>
      <c r="AB22547" s="4" t="s">
        <v>93</v>
      </c>
      <c r="AH22547" s="4" t="str">
        <f>HYPERLINK("#Statut_biogéographique!A"&amp;_xlfn.XMATCH("P",Statut_biogéographique!A:A,2,1),"P")</f>
        <v>P</v>
      </c>
      <c r="AP22547" s="4" t="s">
        <v>376</v>
      </c>
      <c r="AR22547" s="4" t="s">
        <v>377</v>
      </c>
    </row>
    <row r="22548" spans="1:44">
      <c r="A22548" s="4" t="s">
        <v>24364</v>
      </c>
      <c r="B22548" s="4">
        <v>5001</v>
      </c>
      <c r="D22548" s="5" t="s">
        <v>29299</v>
      </c>
      <c r="E22548" s="6" t="str">
        <f>HYPERLINK("https://inpn.mnhn.fr/espece/cd_nom/5001","Timmia bavarica Hessl., 1822")</f>
        <v>Timmia bavarica Hessl., 1822</v>
      </c>
      <c r="P22548" s="7" t="str">
        <f>HYPERLINK("#Liste_rouge!A"&amp;_xlfn.XMATCH("LC",Liste_rouge!A:A,2,1),"LC")</f>
        <v>LC</v>
      </c>
      <c r="T22548" s="7" t="str">
        <f>HYPERLINK("#Liste_rouge!A"&amp;_xlfn.XMATCH("CR",Liste_rouge!A:A,2,1),"CR")</f>
        <v>CR</v>
      </c>
      <c r="V22548" s="7" t="str">
        <f>HYPERLINK("#Liste_rouge!A"&amp;_xlfn.XMATCH("VU",Liste_rouge!A:A,2,1),"VU")</f>
        <v>VU</v>
      </c>
      <c r="X22548" s="5" t="s">
        <v>374</v>
      </c>
      <c r="AB22548" s="4" t="s">
        <v>93</v>
      </c>
      <c r="AH22548" s="4" t="str">
        <f>HYPERLINK("#Statut_biogéographique!A"&amp;_xlfn.XMATCH("P",Statut_biogéographique!A:A,2,1),"P")</f>
        <v>P</v>
      </c>
      <c r="AP22548" s="4" t="s">
        <v>376</v>
      </c>
      <c r="AR22548" s="4" t="s">
        <v>377</v>
      </c>
    </row>
    <row r="22549" spans="1:44">
      <c r="A22549" s="4" t="s">
        <v>24364</v>
      </c>
      <c r="B22549" s="4">
        <v>5003</v>
      </c>
      <c r="D22549" s="5" t="s">
        <v>29300</v>
      </c>
      <c r="E22549" s="6" t="str">
        <f>HYPERLINK("https://inpn.mnhn.fr/espece/cd_nom/5003","Timmia megapolitana Hedw., 1801")</f>
        <v>Timmia megapolitana Hedw., 1801</v>
      </c>
      <c r="P22549" s="7" t="str">
        <f>HYPERLINK("#Liste_rouge!A"&amp;_xlfn.XMATCH("LC",Liste_rouge!A:A,2,1),"LC")</f>
        <v>LC</v>
      </c>
      <c r="V22549" s="7" t="str">
        <f>HYPERLINK("#Liste_rouge!A"&amp;_xlfn.XMATCH("NE",Liste_rouge!A:A,2,1),"NE")</f>
        <v>NE</v>
      </c>
      <c r="AH22549" s="4" t="str">
        <f>HYPERLINK("#Statut_biogéographique!A"&amp;_xlfn.XMATCH("P",Statut_biogéographique!A:A,2,1),"P")</f>
        <v>P</v>
      </c>
      <c r="AP22549" s="4" t="s">
        <v>376</v>
      </c>
      <c r="AR22549" s="4" t="s">
        <v>377</v>
      </c>
    </row>
    <row r="22550" spans="1:44">
      <c r="A22550" s="4" t="s">
        <v>24364</v>
      </c>
      <c r="B22550" s="4">
        <v>5004</v>
      </c>
      <c r="D22550" s="5" t="s">
        <v>29301</v>
      </c>
      <c r="E22550" s="6" t="str">
        <f>HYPERLINK("https://inpn.mnhn.fr/espece/cd_nom/5004","Timmia norvegica J.E.Zetterst., 1862")</f>
        <v>Timmia norvegica J.E.Zetterst., 1862</v>
      </c>
      <c r="P22550" s="7" t="str">
        <f>HYPERLINK("#Liste_rouge!A"&amp;_xlfn.XMATCH("LC",Liste_rouge!A:A,2,1),"LC")</f>
        <v>LC</v>
      </c>
      <c r="V22550" s="7" t="str">
        <f>HYPERLINK("#Liste_rouge!A"&amp;_xlfn.XMATCH("CR",Liste_rouge!A:A,2,1),"CR")</f>
        <v>CR</v>
      </c>
      <c r="X22550" s="5" t="s">
        <v>374</v>
      </c>
      <c r="AB22550" s="4" t="s">
        <v>93</v>
      </c>
      <c r="AH22550" s="4" t="str">
        <f>HYPERLINK("#Statut_biogéographique!A"&amp;_xlfn.XMATCH("P",Statut_biogéographique!A:A,2,1),"P")</f>
        <v>P</v>
      </c>
      <c r="AP22550" s="4" t="s">
        <v>376</v>
      </c>
      <c r="AR22550" s="4" t="s">
        <v>377</v>
      </c>
    </row>
    <row r="22551" spans="1:44" ht="30">
      <c r="A22551" s="4" t="s">
        <v>24364</v>
      </c>
      <c r="B22551" s="4">
        <v>5009</v>
      </c>
      <c r="D22551" s="5" t="s">
        <v>29302</v>
      </c>
      <c r="E22551" s="6" t="str">
        <f>HYPERLINK("https://inpn.mnhn.fr/espece/cd_nom/5009","Amphidium mougeotii (Bruch &amp; Schimp.) Schimp., 1856")</f>
        <v>Amphidium mougeotii (Bruch &amp; Schimp.) Schimp., 1856</v>
      </c>
      <c r="P22551" s="7" t="str">
        <f>HYPERLINK("#Liste_rouge!A"&amp;_xlfn.XMATCH("LC",Liste_rouge!A:A,2,1),"LC")</f>
        <v>LC</v>
      </c>
      <c r="T22551" s="7" t="str">
        <f>HYPERLINK("#Liste_rouge!A"&amp;_xlfn.XMATCH("LC",Liste_rouge!A:A,2,1),"LC")</f>
        <v>LC</v>
      </c>
      <c r="V22551" s="7" t="str">
        <f>HYPERLINK("#Liste_rouge!A"&amp;_xlfn.XMATCH("LC",Liste_rouge!A:A,2,1),"LC")</f>
        <v>LC</v>
      </c>
      <c r="AB22551" s="4" t="s">
        <v>29303</v>
      </c>
      <c r="AH22551" s="4" t="str">
        <f>HYPERLINK("#Statut_biogéographique!A"&amp;_xlfn.XMATCH("P",Statut_biogéographique!A:A,2,1),"P")</f>
        <v>P</v>
      </c>
      <c r="AP22551" s="4" t="s">
        <v>376</v>
      </c>
      <c r="AR22551" s="4" t="s">
        <v>377</v>
      </c>
    </row>
    <row r="22552" spans="1:44">
      <c r="A22552" s="4" t="s">
        <v>24364</v>
      </c>
      <c r="B22552" s="4">
        <v>5016</v>
      </c>
      <c r="D22552" s="5">
        <v>5016</v>
      </c>
      <c r="E22552" s="6" t="str">
        <f>HYPERLINK("https://inpn.mnhn.fr/espece/cd_nom/5016","Orthotrichum alpestre Bruch &amp; Schimp.")</f>
        <v>Orthotrichum alpestre Bruch &amp; Schimp.</v>
      </c>
      <c r="P22552" s="7" t="str">
        <f>HYPERLINK("#Liste_rouge!A"&amp;_xlfn.XMATCH("LC",Liste_rouge!A:A,2,1),"LC")</f>
        <v>LC</v>
      </c>
      <c r="T22552" s="7" t="str">
        <f>HYPERLINK("#Liste_rouge!A"&amp;_xlfn.XMATCH("CR",Liste_rouge!A:A,2,1),"CR")</f>
        <v>CR</v>
      </c>
      <c r="V22552" s="7" t="str">
        <f>HYPERLINK("#Liste_rouge!A"&amp;_xlfn.XMATCH("VU",Liste_rouge!A:A,2,1),"VU")</f>
        <v>VU</v>
      </c>
      <c r="X22552" s="5" t="s">
        <v>374</v>
      </c>
      <c r="AB22552" s="4" t="s">
        <v>93</v>
      </c>
      <c r="AH22552" s="4" t="str">
        <f>HYPERLINK("#Statut_biogéographique!A"&amp;_xlfn.XMATCH("P",Statut_biogéographique!A:A,2,1),"P")</f>
        <v>P</v>
      </c>
      <c r="AP22552" s="4" t="s">
        <v>376</v>
      </c>
      <c r="AR22552" s="4" t="s">
        <v>377</v>
      </c>
    </row>
    <row r="22553" spans="1:44">
      <c r="A22553" s="4" t="s">
        <v>24364</v>
      </c>
      <c r="B22553" s="4">
        <v>5017</v>
      </c>
      <c r="D22553" s="5" t="s">
        <v>29304</v>
      </c>
      <c r="E22553" s="6" t="str">
        <f>HYPERLINK("https://inpn.mnhn.fr/espece/cd_nom/5017","Orthotrichum anomalum Hedw., 1801")</f>
        <v>Orthotrichum anomalum Hedw., 1801</v>
      </c>
      <c r="P22553" s="7" t="str">
        <f>HYPERLINK("#Liste_rouge!A"&amp;_xlfn.XMATCH("LC",Liste_rouge!A:A,2,1),"LC")</f>
        <v>LC</v>
      </c>
      <c r="T22553" s="7" t="str">
        <f>HYPERLINK("#Liste_rouge!A"&amp;_xlfn.XMATCH("LC",Liste_rouge!A:A,2,1),"LC")</f>
        <v>LC</v>
      </c>
      <c r="V22553" s="7" t="str">
        <f>HYPERLINK("#Liste_rouge!A"&amp;_xlfn.XMATCH("LC",Liste_rouge!A:A,2,1),"LC")</f>
        <v>LC</v>
      </c>
      <c r="AH22553" s="4" t="str">
        <f>HYPERLINK("#Statut_biogéographique!A"&amp;_xlfn.XMATCH("P",Statut_biogéographique!A:A,2,1),"P")</f>
        <v>P</v>
      </c>
      <c r="AP22553" s="4" t="s">
        <v>376</v>
      </c>
      <c r="AR22553" s="4" t="s">
        <v>377</v>
      </c>
    </row>
    <row r="22554" spans="1:44" ht="30">
      <c r="A22554" s="4" t="s">
        <v>24364</v>
      </c>
      <c r="B22554" s="4">
        <v>5020</v>
      </c>
      <c r="D22554" s="5" t="s">
        <v>29305</v>
      </c>
      <c r="E22554" s="6" t="str">
        <f>HYPERLINK("https://inpn.mnhn.fr/espece/cd_nom/5020","Orthotrichum cupulatum Hoffm. ex Brid., 1801")</f>
        <v>Orthotrichum cupulatum Hoffm. ex Brid., 1801</v>
      </c>
      <c r="P22554" s="7" t="str">
        <f>HYPERLINK("#Liste_rouge!A"&amp;_xlfn.XMATCH("LC",Liste_rouge!A:A,2,1),"LC")</f>
        <v>LC</v>
      </c>
      <c r="T22554" s="7" t="str">
        <f>HYPERLINK("#Liste_rouge!A"&amp;_xlfn.XMATCH("NT",Liste_rouge!A:A,2,1),"NT")</f>
        <v>NT</v>
      </c>
      <c r="V22554" s="7" t="str">
        <f>HYPERLINK("#Liste_rouge!A"&amp;_xlfn.XMATCH("LC",Liste_rouge!A:A,2,1),"LC")</f>
        <v>LC</v>
      </c>
      <c r="AB22554" s="4" t="s">
        <v>24855</v>
      </c>
      <c r="AH22554" s="4" t="str">
        <f>HYPERLINK("#Statut_biogéographique!A"&amp;_xlfn.XMATCH("P",Statut_biogéographique!A:A,2,1),"P")</f>
        <v>P</v>
      </c>
      <c r="AP22554" s="4" t="s">
        <v>376</v>
      </c>
      <c r="AR22554" s="4" t="s">
        <v>377</v>
      </c>
    </row>
    <row r="22555" spans="1:44" ht="30">
      <c r="A22555" s="4" t="s">
        <v>24364</v>
      </c>
      <c r="B22555" s="4">
        <v>5021</v>
      </c>
      <c r="D22555" s="5">
        <v>5021</v>
      </c>
      <c r="E22555" s="6" t="str">
        <f>HYPERLINK("https://inpn.mnhn.fr/espece/cd_nom/5021","Orthotrichum diaphanum Schrad. ex Brid., 1801")</f>
        <v>Orthotrichum diaphanum Schrad. ex Brid., 1801</v>
      </c>
      <c r="P22555" s="7" t="str">
        <f>HYPERLINK("#Liste_rouge!A"&amp;_xlfn.XMATCH("LC",Liste_rouge!A:A,2,1),"LC")</f>
        <v>LC</v>
      </c>
      <c r="T22555" s="7" t="str">
        <f>HYPERLINK("#Liste_rouge!A"&amp;_xlfn.XMATCH("LC",Liste_rouge!A:A,2,1),"LC")</f>
        <v>LC</v>
      </c>
      <c r="V22555" s="7" t="str">
        <f>HYPERLINK("#Liste_rouge!A"&amp;_xlfn.XMATCH("LC",Liste_rouge!A:A,2,1),"LC")</f>
        <v>LC</v>
      </c>
      <c r="AH22555" s="4" t="str">
        <f>HYPERLINK("#Statut_biogéographique!A"&amp;_xlfn.XMATCH("P",Statut_biogéographique!A:A,2,1),"P")</f>
        <v>P</v>
      </c>
      <c r="AP22555" s="4" t="s">
        <v>376</v>
      </c>
      <c r="AR22555" s="4" t="s">
        <v>377</v>
      </c>
    </row>
    <row r="22556" spans="1:44">
      <c r="A22556" s="4" t="s">
        <v>24364</v>
      </c>
      <c r="B22556" s="4">
        <v>5028</v>
      </c>
      <c r="D22556" s="5" t="s">
        <v>29306</v>
      </c>
      <c r="E22556" s="6" t="str">
        <f>HYPERLINK("https://inpn.mnhn.fr/espece/cd_nom/5028","Orthotrichum pallens Bruch ex Brid., 1827")</f>
        <v>Orthotrichum pallens Bruch ex Brid., 1827</v>
      </c>
      <c r="P22556" s="7" t="str">
        <f>HYPERLINK("#Liste_rouge!A"&amp;_xlfn.XMATCH("LC",Liste_rouge!A:A,2,1),"LC")</f>
        <v>LC</v>
      </c>
      <c r="T22556" s="7" t="str">
        <f>HYPERLINK("#Liste_rouge!A"&amp;_xlfn.XMATCH("EN",Liste_rouge!A:A,2,1),"EN")</f>
        <v>EN</v>
      </c>
      <c r="V22556" s="7" t="str">
        <f>HYPERLINK("#Liste_rouge!A"&amp;_xlfn.XMATCH("LC",Liste_rouge!A:A,2,1),"LC")</f>
        <v>LC</v>
      </c>
      <c r="AB22556" s="4" t="s">
        <v>25294</v>
      </c>
      <c r="AH22556" s="4" t="str">
        <f>HYPERLINK("#Statut_biogéographique!A"&amp;_xlfn.XMATCH("P",Statut_biogéographique!A:A,2,1),"P")</f>
        <v>P</v>
      </c>
      <c r="AP22556" s="4" t="s">
        <v>376</v>
      </c>
      <c r="AR22556" s="4" t="s">
        <v>377</v>
      </c>
    </row>
    <row r="22557" spans="1:44">
      <c r="A22557" s="4" t="s">
        <v>24364</v>
      </c>
      <c r="B22557" s="4">
        <v>5029</v>
      </c>
      <c r="D22557" s="5">
        <v>5029</v>
      </c>
      <c r="E22557" s="6" t="str">
        <f>HYPERLINK("https://inpn.mnhn.fr/espece/cd_nom/5029","Orthotrichum patens Bruch ex Brid., 1827")</f>
        <v>Orthotrichum patens Bruch ex Brid., 1827</v>
      </c>
      <c r="P22557" s="7" t="str">
        <f>HYPERLINK("#Liste_rouge!A"&amp;_xlfn.XMATCH("LC",Liste_rouge!A:A,2,1),"LC")</f>
        <v>LC</v>
      </c>
      <c r="T22557" s="7" t="str">
        <f>HYPERLINK("#Liste_rouge!A"&amp;_xlfn.XMATCH("VU",Liste_rouge!A:A,2,1),"VU")</f>
        <v>VU</v>
      </c>
      <c r="V22557" s="7" t="str">
        <f>HYPERLINK("#Liste_rouge!A"&amp;_xlfn.XMATCH("LC",Liste_rouge!A:A,2,1),"LC")</f>
        <v>LC</v>
      </c>
      <c r="AB22557" s="4" t="s">
        <v>24803</v>
      </c>
      <c r="AH22557" s="4" t="str">
        <f>HYPERLINK("#Statut_biogéographique!A"&amp;_xlfn.XMATCH("P",Statut_biogéographique!A:A,2,1),"P")</f>
        <v>P</v>
      </c>
      <c r="AP22557" s="4" t="s">
        <v>376</v>
      </c>
      <c r="AR22557" s="4" t="s">
        <v>377</v>
      </c>
    </row>
    <row r="22558" spans="1:44">
      <c r="A22558" s="4" t="s">
        <v>24364</v>
      </c>
      <c r="B22558" s="4">
        <v>5030</v>
      </c>
      <c r="D22558" s="5">
        <v>5030</v>
      </c>
      <c r="E22558" s="6" t="str">
        <f>HYPERLINK("https://inpn.mnhn.fr/espece/cd_nom/5030","Orthotrichum philibertii Venturi, 1878")</f>
        <v>Orthotrichum philibertii Venturi, 1878</v>
      </c>
      <c r="P22558" s="7" t="str">
        <f>HYPERLINK("#Liste_rouge!A"&amp;_xlfn.XMATCH("LC",Liste_rouge!A:A,2,1),"LC")</f>
        <v>LC</v>
      </c>
      <c r="T22558" s="7" t="str">
        <f>HYPERLINK("#Liste_rouge!A"&amp;_xlfn.XMATCH("EN",Liste_rouge!A:A,2,1),"EN")</f>
        <v>EN</v>
      </c>
      <c r="X22558" s="5" t="s">
        <v>374</v>
      </c>
      <c r="AB22558" s="4" t="s">
        <v>93</v>
      </c>
      <c r="AH22558" s="4" t="str">
        <f>HYPERLINK("#Statut_biogéographique!A"&amp;_xlfn.XMATCH("P",Statut_biogéographique!A:A,2,1),"P")</f>
        <v>P</v>
      </c>
      <c r="AP22558" s="4" t="s">
        <v>376</v>
      </c>
      <c r="AR22558" s="4" t="s">
        <v>377</v>
      </c>
    </row>
    <row r="22559" spans="1:44">
      <c r="A22559" s="4" t="s">
        <v>24364</v>
      </c>
      <c r="B22559" s="4">
        <v>5031</v>
      </c>
      <c r="D22559" s="5" t="s">
        <v>29307</v>
      </c>
      <c r="E22559" s="6" t="str">
        <f>HYPERLINK("https://inpn.mnhn.fr/espece/cd_nom/5031","Orthotrichum pumilum Sw. ex anon.")</f>
        <v>Orthotrichum pumilum Sw. ex anon.</v>
      </c>
      <c r="P22559" s="7" t="str">
        <f>HYPERLINK("#Liste_rouge!A"&amp;_xlfn.XMATCH("LC",Liste_rouge!A:A,2,1),"LC")</f>
        <v>LC</v>
      </c>
      <c r="T22559" s="7" t="str">
        <f>HYPERLINK("#Liste_rouge!A"&amp;_xlfn.XMATCH("DD",Liste_rouge!A:A,2,1),"DD")</f>
        <v>DD</v>
      </c>
      <c r="V22559" s="7" t="str">
        <f>HYPERLINK("#Liste_rouge!A"&amp;_xlfn.XMATCH("DD",Liste_rouge!A:A,2,1),"DD")</f>
        <v>DD</v>
      </c>
      <c r="AH22559" s="4" t="str">
        <f>HYPERLINK("#Statut_biogéographique!A"&amp;_xlfn.XMATCH("P",Statut_biogéographique!A:A,2,1),"P")</f>
        <v>P</v>
      </c>
      <c r="AP22559" s="4" t="s">
        <v>376</v>
      </c>
      <c r="AR22559" s="4" t="s">
        <v>377</v>
      </c>
    </row>
    <row r="22560" spans="1:44">
      <c r="A22560" s="4" t="s">
        <v>24364</v>
      </c>
      <c r="B22560" s="4">
        <v>5034</v>
      </c>
      <c r="D22560" s="5">
        <v>5034</v>
      </c>
      <c r="E22560" s="6" t="str">
        <f>HYPERLINK("https://inpn.mnhn.fr/espece/cd_nom/5034","Orthotrichum pulchellum Brunt., 1807")</f>
        <v>Orthotrichum pulchellum Brunt., 1807</v>
      </c>
      <c r="P22560" s="7" t="str">
        <f>HYPERLINK("#Liste_rouge!A"&amp;_xlfn.XMATCH("LC",Liste_rouge!A:A,2,1),"LC")</f>
        <v>LC</v>
      </c>
      <c r="T22560" s="7" t="str">
        <f>HYPERLINK("#Liste_rouge!A"&amp;_xlfn.XMATCH("NT",Liste_rouge!A:A,2,1),"NT")</f>
        <v>NT</v>
      </c>
      <c r="V22560" s="7" t="str">
        <f>HYPERLINK("#Liste_rouge!A"&amp;_xlfn.XMATCH("LC",Liste_rouge!A:A,2,1),"LC")</f>
        <v>LC</v>
      </c>
      <c r="AB22560" s="4" t="s">
        <v>24956</v>
      </c>
      <c r="AH22560" s="4" t="str">
        <f>HYPERLINK("#Statut_biogéographique!A"&amp;_xlfn.XMATCH("P",Statut_biogéographique!A:A,2,1),"P")</f>
        <v>P</v>
      </c>
      <c r="AP22560" s="4" t="s">
        <v>376</v>
      </c>
      <c r="AR22560" s="4" t="s">
        <v>377</v>
      </c>
    </row>
    <row r="22561" spans="1:44">
      <c r="A22561" s="4" t="s">
        <v>24364</v>
      </c>
      <c r="B22561" s="4">
        <v>5035</v>
      </c>
      <c r="D22561" s="5">
        <v>5035</v>
      </c>
      <c r="E22561" s="6" t="str">
        <f>HYPERLINK("https://inpn.mnhn.fr/espece/cd_nom/5035","Orthotrichum rivulare Turner, 1804")</f>
        <v>Orthotrichum rivulare Turner, 1804</v>
      </c>
      <c r="P22561" s="7" t="str">
        <f>HYPERLINK("#Liste_rouge!A"&amp;_xlfn.XMATCH("LC",Liste_rouge!A:A,2,1),"LC")</f>
        <v>LC</v>
      </c>
      <c r="T22561" s="7" t="str">
        <f>HYPERLINK("#Liste_rouge!A"&amp;_xlfn.XMATCH("VU",Liste_rouge!A:A,2,1),"VU")</f>
        <v>VU</v>
      </c>
      <c r="V22561" s="7" t="str">
        <f>HYPERLINK("#Liste_rouge!A"&amp;_xlfn.XMATCH("CR",Liste_rouge!A:A,2,1),"CR")</f>
        <v>CR</v>
      </c>
      <c r="X22561" s="5" t="s">
        <v>374</v>
      </c>
      <c r="AB22561" s="4" t="s">
        <v>93</v>
      </c>
      <c r="AH22561" s="4" t="str">
        <f>HYPERLINK("#Statut_biogéographique!A"&amp;_xlfn.XMATCH("P",Statut_biogéographique!A:A,2,1),"P")</f>
        <v>P</v>
      </c>
      <c r="AP22561" s="4" t="s">
        <v>376</v>
      </c>
      <c r="AR22561" s="4" t="s">
        <v>377</v>
      </c>
    </row>
    <row r="22562" spans="1:44">
      <c r="A22562" s="4" t="s">
        <v>24364</v>
      </c>
      <c r="B22562" s="4">
        <v>5036</v>
      </c>
      <c r="D22562" s="5" t="s">
        <v>29308</v>
      </c>
      <c r="E22562" s="6" t="str">
        <f>HYPERLINK("https://inpn.mnhn.fr/espece/cd_nom/5036","Orthotrichum rogeri Brid., 1812")</f>
        <v>Orthotrichum rogeri Brid., 1812</v>
      </c>
      <c r="F22562" s="5" t="s">
        <v>29309</v>
      </c>
      <c r="I22562" s="4" t="str">
        <f>HYPERLINK("#Réglementation!A"&amp;_xlfn.XMATCH("IBE1",Réglementation!A:A,2,1),"IBE1")</f>
        <v>IBE1</v>
      </c>
      <c r="K22562" s="4" t="str">
        <f>HYPERLINK("#Réglementation!A"&amp;_xlfn.XMATCH("CDH2",Réglementation!A:A,2,1),"CDH2")</f>
        <v>CDH2</v>
      </c>
      <c r="L22562" s="4" t="str">
        <f>HYPERLINK("#Réglementation!A"&amp;_xlfn.XMATCH("NV1",Réglementation!A:A,2,1),"NV1")</f>
        <v>NV1</v>
      </c>
      <c r="P22562" s="7" t="str">
        <f>HYPERLINK("#Liste_rouge!A"&amp;_xlfn.XMATCH("LC",Liste_rouge!A:A,2,1),"LC")</f>
        <v>LC</v>
      </c>
      <c r="V22562" s="7" t="str">
        <f>HYPERLINK("#Liste_rouge!A"&amp;_xlfn.XMATCH("NT",Liste_rouge!A:A,2,1),"NT")</f>
        <v>NT</v>
      </c>
      <c r="X22562" s="5" t="s">
        <v>374</v>
      </c>
      <c r="AB22562" s="4" t="s">
        <v>93</v>
      </c>
      <c r="AE22562" s="4" t="str">
        <f>HYPERLINK("#SCAP!A"&amp;_xlfn.XMATCH("1+",SCAP!A:A,2,1),"1+")</f>
        <v>1+</v>
      </c>
      <c r="AH22562" s="4" t="str">
        <f>HYPERLINK("#Statut_biogéographique!A"&amp;_xlfn.XMATCH("P",Statut_biogéographique!A:A,2,1),"P")</f>
        <v>P</v>
      </c>
      <c r="AP22562" s="4" t="s">
        <v>376</v>
      </c>
      <c r="AR22562" s="4" t="s">
        <v>377</v>
      </c>
    </row>
    <row r="22563" spans="1:44">
      <c r="A22563" s="4" t="s">
        <v>24364</v>
      </c>
      <c r="B22563" s="4">
        <v>5038</v>
      </c>
      <c r="D22563" s="5" t="s">
        <v>29310</v>
      </c>
      <c r="E22563" s="6" t="str">
        <f>HYPERLINK("https://inpn.mnhn.fr/espece/cd_nom/5038","Orthotrichum scanicum Grönvall, 1885")</f>
        <v>Orthotrichum scanicum Grönvall, 1885</v>
      </c>
      <c r="O22563" s="7" t="str">
        <f>HYPERLINK("#Liste_rouge!A"&amp;_xlfn.XMATCH("LC",Liste_rouge!A:A,2,1),"LC")</f>
        <v>LC</v>
      </c>
      <c r="P22563" s="7" t="str">
        <f>HYPERLINK("#Liste_rouge!A"&amp;_xlfn.XMATCH("LC",Liste_rouge!A:A,2,1),"LC")</f>
        <v>LC</v>
      </c>
      <c r="T22563" s="7" t="str">
        <f>HYPERLINK("#Liste_rouge!A"&amp;_xlfn.XMATCH("CR",Liste_rouge!A:A,2,1),"CR")</f>
        <v>CR</v>
      </c>
      <c r="V22563" s="7" t="str">
        <f>HYPERLINK("#Liste_rouge!A"&amp;_xlfn.XMATCH("DD",Liste_rouge!A:A,2,1),"DD")</f>
        <v>DD</v>
      </c>
      <c r="X22563" s="5" t="s">
        <v>374</v>
      </c>
      <c r="AB22563" s="4" t="s">
        <v>93</v>
      </c>
      <c r="AH22563" s="4" t="str">
        <f>HYPERLINK("#Statut_biogéographique!A"&amp;_xlfn.XMATCH("P",Statut_biogéographique!A:A,2,1),"P")</f>
        <v>P</v>
      </c>
      <c r="AP22563" s="4" t="s">
        <v>376</v>
      </c>
      <c r="AR22563" s="4" t="s">
        <v>377</v>
      </c>
    </row>
    <row r="22564" spans="1:44">
      <c r="A22564" s="4" t="s">
        <v>24364</v>
      </c>
      <c r="B22564" s="4">
        <v>5039</v>
      </c>
      <c r="D22564" s="5">
        <v>5039</v>
      </c>
      <c r="E22564" s="6" t="str">
        <f>HYPERLINK("https://inpn.mnhn.fr/espece/cd_nom/5039","Orthotrichum schimperi Hammar, 1852")</f>
        <v>Orthotrichum schimperi Hammar, 1852</v>
      </c>
      <c r="P22564" s="7" t="str">
        <f>HYPERLINK("#Liste_rouge!A"&amp;_xlfn.XMATCH("LC",Liste_rouge!A:A,2,1),"LC")</f>
        <v>LC</v>
      </c>
      <c r="T22564" s="7" t="str">
        <f>HYPERLINK("#Liste_rouge!A"&amp;_xlfn.XMATCH("LC",Liste_rouge!A:A,2,1),"LC")</f>
        <v>LC</v>
      </c>
      <c r="V22564" s="7" t="str">
        <f>HYPERLINK("#Liste_rouge!A"&amp;_xlfn.XMATCH("LC",Liste_rouge!A:A,2,1),"LC")</f>
        <v>LC</v>
      </c>
      <c r="AH22564" s="4" t="str">
        <f>HYPERLINK("#Statut_biogéographique!A"&amp;_xlfn.XMATCH("P",Statut_biogéographique!A:A,2,1),"P")</f>
        <v>P</v>
      </c>
      <c r="AP22564" s="4" t="s">
        <v>376</v>
      </c>
      <c r="AR22564" s="4" t="s">
        <v>377</v>
      </c>
    </row>
    <row r="22565" spans="1:44">
      <c r="A22565" s="4" t="s">
        <v>24364</v>
      </c>
      <c r="B22565" s="4">
        <v>5042</v>
      </c>
      <c r="D22565" s="5">
        <v>5042</v>
      </c>
      <c r="E22565" s="6" t="str">
        <f>HYPERLINK("https://inpn.mnhn.fr/espece/cd_nom/5042","Orthotrichum sprucei Mont., 1845")</f>
        <v>Orthotrichum sprucei Mont., 1845</v>
      </c>
      <c r="P22565" s="7" t="str">
        <f>HYPERLINK("#Liste_rouge!A"&amp;_xlfn.XMATCH("LC",Liste_rouge!A:A,2,1),"LC")</f>
        <v>LC</v>
      </c>
      <c r="T22565" s="7" t="str">
        <f>HYPERLINK("#Liste_rouge!A"&amp;_xlfn.XMATCH("CR",Liste_rouge!A:A,2,1),"CR")</f>
        <v>CR</v>
      </c>
      <c r="X22565" s="5" t="s">
        <v>374</v>
      </c>
      <c r="AB22565" s="4" t="s">
        <v>93</v>
      </c>
      <c r="AH22565" s="4" t="str">
        <f>HYPERLINK("#Statut_biogéographique!A"&amp;_xlfn.XMATCH("P",Statut_biogéographique!A:A,2,1),"P")</f>
        <v>P</v>
      </c>
      <c r="AP22565" s="4" t="s">
        <v>376</v>
      </c>
      <c r="AR22565" s="4" t="s">
        <v>377</v>
      </c>
    </row>
    <row r="22566" spans="1:44">
      <c r="A22566" s="4" t="s">
        <v>24364</v>
      </c>
      <c r="B22566" s="4">
        <v>5043</v>
      </c>
      <c r="D22566" s="5" t="s">
        <v>29311</v>
      </c>
      <c r="E22566" s="6" t="str">
        <f>HYPERLINK("https://inpn.mnhn.fr/espece/cd_nom/5043","Orthotrichum stellatum Brid., 1826")</f>
        <v>Orthotrichum stellatum Brid., 1826</v>
      </c>
      <c r="P22566" s="7" t="str">
        <f>HYPERLINK("#Liste_rouge!A"&amp;_xlfn.XMATCH("VU",Liste_rouge!A:A,2,1),"VU")</f>
        <v>VU</v>
      </c>
      <c r="V22566" s="7" t="str">
        <f>HYPERLINK("#Liste_rouge!A"&amp;_xlfn.XMATCH("NE",Liste_rouge!A:A,2,1),"NE")</f>
        <v>NE</v>
      </c>
      <c r="AH22566" s="4" t="str">
        <f>HYPERLINK("#Statut_biogéographique!A"&amp;_xlfn.XMATCH("P",Statut_biogéographique!A:A,2,1),"P")</f>
        <v>P</v>
      </c>
      <c r="AP22566" s="4" t="s">
        <v>376</v>
      </c>
      <c r="AR22566" s="4" t="s">
        <v>377</v>
      </c>
    </row>
    <row r="22567" spans="1:44" ht="30">
      <c r="A22567" s="4" t="s">
        <v>24364</v>
      </c>
      <c r="B22567" s="4">
        <v>5044</v>
      </c>
      <c r="D22567" s="5" t="s">
        <v>29312</v>
      </c>
      <c r="E22567" s="6" t="str">
        <f>HYPERLINK("https://inpn.mnhn.fr/espece/cd_nom/5044","Orthotrichum stramineum Hornsch. ex Brid., 1827")</f>
        <v>Orthotrichum stramineum Hornsch. ex Brid., 1827</v>
      </c>
      <c r="P22567" s="7" t="str">
        <f>HYPERLINK("#Liste_rouge!A"&amp;_xlfn.XMATCH("LC",Liste_rouge!A:A,2,1),"LC")</f>
        <v>LC</v>
      </c>
      <c r="T22567" s="7" t="str">
        <f>HYPERLINK("#Liste_rouge!A"&amp;_xlfn.XMATCH("LC",Liste_rouge!A:A,2,1),"LC")</f>
        <v>LC</v>
      </c>
      <c r="V22567" s="7" t="str">
        <f>HYPERLINK("#Liste_rouge!A"&amp;_xlfn.XMATCH("LC",Liste_rouge!A:A,2,1),"LC")</f>
        <v>LC</v>
      </c>
      <c r="AH22567" s="4" t="str">
        <f>HYPERLINK("#Statut_biogéographique!A"&amp;_xlfn.XMATCH("P",Statut_biogéographique!A:A,2,1),"P")</f>
        <v>P</v>
      </c>
      <c r="AP22567" s="4" t="s">
        <v>376</v>
      </c>
      <c r="AR22567" s="4" t="s">
        <v>377</v>
      </c>
    </row>
    <row r="22568" spans="1:44">
      <c r="A22568" s="4" t="s">
        <v>24364</v>
      </c>
      <c r="B22568" s="4">
        <v>5046</v>
      </c>
      <c r="D22568" s="5" t="s">
        <v>29313</v>
      </c>
      <c r="E22568" s="6" t="str">
        <f>HYPERLINK("https://inpn.mnhn.fr/espece/cd_nom/5046","Orthotrichum tenellum Bruch ex Brid., 1827")</f>
        <v>Orthotrichum tenellum Bruch ex Brid., 1827</v>
      </c>
      <c r="P22568" s="7" t="str">
        <f>HYPERLINK("#Liste_rouge!A"&amp;_xlfn.XMATCH("LC",Liste_rouge!A:A,2,1),"LC")</f>
        <v>LC</v>
      </c>
      <c r="T22568" s="7" t="str">
        <f>HYPERLINK("#Liste_rouge!A"&amp;_xlfn.XMATCH("LC",Liste_rouge!A:A,2,1),"LC")</f>
        <v>LC</v>
      </c>
      <c r="V22568" s="7" t="str">
        <f>HYPERLINK("#Liste_rouge!A"&amp;_xlfn.XMATCH("LC",Liste_rouge!A:A,2,1),"LC")</f>
        <v>LC</v>
      </c>
      <c r="AH22568" s="4" t="str">
        <f>HYPERLINK("#Statut_biogéographique!A"&amp;_xlfn.XMATCH("P",Statut_biogéographique!A:A,2,1),"P")</f>
        <v>P</v>
      </c>
      <c r="AP22568" s="4" t="s">
        <v>376</v>
      </c>
      <c r="AR22568" s="4" t="s">
        <v>377</v>
      </c>
    </row>
    <row r="22569" spans="1:44">
      <c r="A22569" s="4" t="s">
        <v>24364</v>
      </c>
      <c r="B22569" s="4">
        <v>5049</v>
      </c>
      <c r="D22569" s="5" t="s">
        <v>29314</v>
      </c>
      <c r="E22569" s="6" t="str">
        <f>HYPERLINK("https://inpn.mnhn.fr/espece/cd_nom/5049","Ulota bruchii Hornsch. ex Brid., 1827")</f>
        <v>Ulota bruchii Hornsch. ex Brid., 1827</v>
      </c>
      <c r="O22569" s="7" t="str">
        <f>HYPERLINK("#Liste_rouge!A"&amp;_xlfn.XMATCH("LC",Liste_rouge!A:A,2,1),"LC")</f>
        <v>LC</v>
      </c>
      <c r="P22569" s="7" t="str">
        <f>HYPERLINK("#Liste_rouge!A"&amp;_xlfn.XMATCH("LC",Liste_rouge!A:A,2,1),"LC")</f>
        <v>LC</v>
      </c>
      <c r="T22569" s="7" t="str">
        <f>HYPERLINK("#Liste_rouge!A"&amp;_xlfn.XMATCH("LC",Liste_rouge!A:A,2,1),"LC")</f>
        <v>LC</v>
      </c>
      <c r="V22569" s="7" t="str">
        <f>HYPERLINK("#Liste_rouge!A"&amp;_xlfn.XMATCH("LC",Liste_rouge!A:A,2,1),"LC")</f>
        <v>LC</v>
      </c>
      <c r="AH22569" s="4" t="str">
        <f>HYPERLINK("#Statut_biogéographique!A"&amp;_xlfn.XMATCH("P",Statut_biogéographique!A:A,2,1),"P")</f>
        <v>P</v>
      </c>
      <c r="AP22569" s="4" t="s">
        <v>376</v>
      </c>
      <c r="AR22569" s="4" t="s">
        <v>377</v>
      </c>
    </row>
    <row r="22570" spans="1:44">
      <c r="A22570" s="4" t="s">
        <v>24364</v>
      </c>
      <c r="B22570" s="4">
        <v>5050</v>
      </c>
      <c r="D22570" s="5" t="s">
        <v>29315</v>
      </c>
      <c r="E22570" s="6" t="str">
        <f>HYPERLINK("https://inpn.mnhn.fr/espece/cd_nom/5050","Ulota coarctata (P.Beauv.) Hammar, 1852")</f>
        <v>Ulota coarctata (P.Beauv.) Hammar, 1852</v>
      </c>
      <c r="P22570" s="7" t="str">
        <f>HYPERLINK("#Liste_rouge!A"&amp;_xlfn.XMATCH("LC",Liste_rouge!A:A,2,1),"LC")</f>
        <v>LC</v>
      </c>
      <c r="T22570" s="7" t="str">
        <f>HYPERLINK("#Liste_rouge!A"&amp;_xlfn.XMATCH("CR",Liste_rouge!A:A,2,1),"CR")</f>
        <v>CR</v>
      </c>
      <c r="V22570" s="7" t="str">
        <f>HYPERLINK("#Liste_rouge!A"&amp;_xlfn.XMATCH("LC",Liste_rouge!A:A,2,1),"LC")</f>
        <v>LC</v>
      </c>
      <c r="AB22570" s="4" t="s">
        <v>29273</v>
      </c>
      <c r="AH22570" s="4" t="str">
        <f>HYPERLINK("#Statut_biogéographique!A"&amp;_xlfn.XMATCH("P",Statut_biogéographique!A:A,2,1),"P")</f>
        <v>P</v>
      </c>
      <c r="AP22570" s="4" t="s">
        <v>376</v>
      </c>
      <c r="AR22570" s="4" t="s">
        <v>377</v>
      </c>
    </row>
    <row r="22571" spans="1:44">
      <c r="A22571" s="4" t="s">
        <v>24364</v>
      </c>
      <c r="B22571" s="4">
        <v>5051</v>
      </c>
      <c r="D22571" s="5" t="s">
        <v>29316</v>
      </c>
      <c r="E22571" s="6" t="str">
        <f>HYPERLINK("https://inpn.mnhn.fr/espece/cd_nom/5051","Ulota crispa (Hedw.) Brid., 1819")</f>
        <v>Ulota crispa (Hedw.) Brid., 1819</v>
      </c>
      <c r="P22571" s="7" t="str">
        <f>HYPERLINK("#Liste_rouge!A"&amp;_xlfn.XMATCH("LC",Liste_rouge!A:A,2,1),"LC")</f>
        <v>LC</v>
      </c>
      <c r="T22571" s="7" t="str">
        <f>HYPERLINK("#Liste_rouge!A"&amp;_xlfn.XMATCH("LC",Liste_rouge!A:A,2,1),"LC")</f>
        <v>LC</v>
      </c>
      <c r="V22571" s="7" t="str">
        <f>HYPERLINK("#Liste_rouge!A"&amp;_xlfn.XMATCH("LC",Liste_rouge!A:A,2,1),"LC")</f>
        <v>LC</v>
      </c>
      <c r="AH22571" s="4" t="str">
        <f>HYPERLINK("#Statut_biogéographique!A"&amp;_xlfn.XMATCH("P",Statut_biogéographique!A:A,2,1),"P")</f>
        <v>P</v>
      </c>
      <c r="AP22571" s="4" t="s">
        <v>376</v>
      </c>
      <c r="AR22571" s="4" t="s">
        <v>377</v>
      </c>
    </row>
    <row r="22572" spans="1:44">
      <c r="A22572" s="4" t="s">
        <v>24364</v>
      </c>
      <c r="B22572" s="4">
        <v>5052</v>
      </c>
      <c r="D22572" s="5">
        <v>5052</v>
      </c>
      <c r="E22572" s="6" t="str">
        <f>HYPERLINK("https://inpn.mnhn.fr/espece/cd_nom/5052","Ulota intermedia Schimp., 1876")</f>
        <v>Ulota intermedia Schimp., 1876</v>
      </c>
      <c r="P22572" s="7" t="str">
        <f>HYPERLINK("#Liste_rouge!A"&amp;_xlfn.XMATCH("LC",Liste_rouge!A:A,2,1),"LC")</f>
        <v>LC</v>
      </c>
      <c r="V22572" s="7" t="str">
        <f>HYPERLINK("#Liste_rouge!A"&amp;_xlfn.XMATCH("DD",Liste_rouge!A:A,2,1),"DD")</f>
        <v>DD</v>
      </c>
      <c r="AH22572" s="4" t="str">
        <f>HYPERLINK("#Statut_biogéographique!A"&amp;_xlfn.XMATCH("P",Statut_biogéographique!A:A,2,1),"P")</f>
        <v>P</v>
      </c>
      <c r="AP22572" s="4" t="s">
        <v>376</v>
      </c>
      <c r="AR22572" s="4" t="s">
        <v>377</v>
      </c>
    </row>
    <row r="22573" spans="1:44">
      <c r="A22573" s="4" t="s">
        <v>24364</v>
      </c>
      <c r="B22573" s="4">
        <v>5056</v>
      </c>
      <c r="D22573" s="5" t="s">
        <v>29317</v>
      </c>
      <c r="E22573" s="6" t="str">
        <f>HYPERLINK("https://inpn.mnhn.fr/espece/cd_nom/5056","Ulota hutchinsiae (Sm.) Hammar, 1852")</f>
        <v>Ulota hutchinsiae (Sm.) Hammar, 1852</v>
      </c>
      <c r="P22573" s="7" t="str">
        <f>HYPERLINK("#Liste_rouge!A"&amp;_xlfn.XMATCH("LC",Liste_rouge!A:A,2,1),"LC")</f>
        <v>LC</v>
      </c>
      <c r="T22573" s="7" t="str">
        <f>HYPERLINK("#Liste_rouge!A"&amp;_xlfn.XMATCH("VU",Liste_rouge!A:A,2,1),"VU")</f>
        <v>VU</v>
      </c>
      <c r="V22573" s="7" t="str">
        <f>HYPERLINK("#Liste_rouge!A"&amp;_xlfn.XMATCH("CR",Liste_rouge!A:A,2,1),"CR")</f>
        <v>CR</v>
      </c>
      <c r="X22573" s="5" t="s">
        <v>374</v>
      </c>
      <c r="AB22573" s="4" t="s">
        <v>93</v>
      </c>
      <c r="AH22573" s="4" t="str">
        <f>HYPERLINK("#Statut_biogéographique!A"&amp;_xlfn.XMATCH("P",Statut_biogéographique!A:A,2,1),"P")</f>
        <v>P</v>
      </c>
      <c r="AP22573" s="4" t="s">
        <v>376</v>
      </c>
      <c r="AR22573" s="4" t="s">
        <v>377</v>
      </c>
    </row>
    <row r="22574" spans="1:44" ht="30">
      <c r="A22574" s="4" t="s">
        <v>24364</v>
      </c>
      <c r="B22574" s="4">
        <v>5063</v>
      </c>
      <c r="D22574" s="5" t="s">
        <v>29318</v>
      </c>
      <c r="E22574" s="6" t="str">
        <f>HYPERLINK("https://inpn.mnhn.fr/espece/cd_nom/5063","Zygodon conoideus (Dicks.) Hook. &amp; Taylor, 1818")</f>
        <v>Zygodon conoideus (Dicks.) Hook. &amp; Taylor, 1818</v>
      </c>
      <c r="P22574" s="7" t="str">
        <f>HYPERLINK("#Liste_rouge!A"&amp;_xlfn.XMATCH("LC",Liste_rouge!A:A,2,1),"LC")</f>
        <v>LC</v>
      </c>
      <c r="T22574" s="7" t="str">
        <f>HYPERLINK("#Liste_rouge!A"&amp;_xlfn.XMATCH("NT",Liste_rouge!A:A,2,1),"NT")</f>
        <v>NT</v>
      </c>
      <c r="V22574" s="7" t="str">
        <f>HYPERLINK("#Liste_rouge!A"&amp;_xlfn.XMATCH("VU",Liste_rouge!A:A,2,1),"VU")</f>
        <v>VU</v>
      </c>
      <c r="AB22574" s="4" t="s">
        <v>29184</v>
      </c>
      <c r="AH22574" s="4" t="str">
        <f>HYPERLINK("#Statut_biogéographique!A"&amp;_xlfn.XMATCH("P",Statut_biogéographique!A:A,2,1),"P")</f>
        <v>P</v>
      </c>
      <c r="AP22574" s="4" t="s">
        <v>376</v>
      </c>
      <c r="AR22574" s="4" t="s">
        <v>377</v>
      </c>
    </row>
    <row r="22575" spans="1:44" ht="30">
      <c r="A22575" s="4" t="s">
        <v>24364</v>
      </c>
      <c r="B22575" s="4">
        <v>5066</v>
      </c>
      <c r="D22575" s="5" t="s">
        <v>29319</v>
      </c>
      <c r="E22575" s="6" t="str">
        <f>HYPERLINK("https://inpn.mnhn.fr/espece/cd_nom/5066","Zygodon rupestris Schimp. ex Lorentz, 1865")</f>
        <v>Zygodon rupestris Schimp. ex Lorentz, 1865</v>
      </c>
      <c r="P22575" s="7" t="str">
        <f>HYPERLINK("#Liste_rouge!A"&amp;_xlfn.XMATCH("LC",Liste_rouge!A:A,2,1),"LC")</f>
        <v>LC</v>
      </c>
      <c r="T22575" s="7" t="str">
        <f>HYPERLINK("#Liste_rouge!A"&amp;_xlfn.XMATCH("LC",Liste_rouge!A:A,2,1),"LC")</f>
        <v>LC</v>
      </c>
      <c r="V22575" s="7" t="str">
        <f>HYPERLINK("#Liste_rouge!A"&amp;_xlfn.XMATCH("LC",Liste_rouge!A:A,2,1),"LC")</f>
        <v>LC</v>
      </c>
      <c r="AH22575" s="4" t="str">
        <f>HYPERLINK("#Statut_biogéographique!A"&amp;_xlfn.XMATCH("P",Statut_biogéographique!A:A,2,1),"P")</f>
        <v>P</v>
      </c>
      <c r="AP22575" s="4" t="s">
        <v>376</v>
      </c>
      <c r="AR22575" s="4" t="s">
        <v>377</v>
      </c>
    </row>
    <row r="22576" spans="1:44">
      <c r="A22576" s="4" t="s">
        <v>24364</v>
      </c>
      <c r="B22576" s="4">
        <v>5067</v>
      </c>
      <c r="D22576" s="5" t="s">
        <v>29320</v>
      </c>
      <c r="E22576" s="6" t="str">
        <f>HYPERLINK("https://inpn.mnhn.fr/espece/cd_nom/5067","Zygodon viridissimus (Dicks.) Brid., 1826")</f>
        <v>Zygodon viridissimus (Dicks.) Brid., 1826</v>
      </c>
      <c r="P22576" s="7" t="str">
        <f>HYPERLINK("#Liste_rouge!A"&amp;_xlfn.XMATCH("LC",Liste_rouge!A:A,2,1),"LC")</f>
        <v>LC</v>
      </c>
      <c r="T22576" s="7" t="str">
        <f>HYPERLINK("#Liste_rouge!A"&amp;_xlfn.XMATCH("LC",Liste_rouge!A:A,2,1),"LC")</f>
        <v>LC</v>
      </c>
      <c r="V22576" s="7" t="str">
        <f>HYPERLINK("#Liste_rouge!A"&amp;_xlfn.XMATCH("LC",Liste_rouge!A:A,2,1),"LC (cd_nom 5067) - NE (cd_nom 5067)")</f>
        <v>LC (cd_nom 5067) - NE (cd_nom 5067)</v>
      </c>
      <c r="AH22576" s="4" t="str">
        <f>HYPERLINK("#Statut_biogéographique!A"&amp;_xlfn.XMATCH("P",Statut_biogéographique!A:A,2,1),"P")</f>
        <v>P</v>
      </c>
      <c r="AP22576" s="4" t="s">
        <v>376</v>
      </c>
      <c r="AR22576" s="4" t="s">
        <v>377</v>
      </c>
    </row>
    <row r="22577" spans="1:44">
      <c r="A22577" s="4" t="s">
        <v>24364</v>
      </c>
      <c r="B22577" s="4">
        <v>5072</v>
      </c>
      <c r="D22577" s="5" t="s">
        <v>29321</v>
      </c>
      <c r="E22577" s="6" t="str">
        <f>HYPERLINK("https://inpn.mnhn.fr/espece/cd_nom/5072","Hedwigia ciliata (Hedw.) P.Beauv., 1805")</f>
        <v>Hedwigia ciliata (Hedw.) P.Beauv., 1805</v>
      </c>
      <c r="P22577" s="7" t="str">
        <f>HYPERLINK("#Liste_rouge!A"&amp;_xlfn.XMATCH("LC",Liste_rouge!A:A,2,1),"LC")</f>
        <v>LC</v>
      </c>
      <c r="T22577" s="7" t="str">
        <f>HYPERLINK("#Liste_rouge!A"&amp;_xlfn.XMATCH("LC",Liste_rouge!A:A,2,1),"LC")</f>
        <v>LC</v>
      </c>
      <c r="V22577" s="7" t="str">
        <f>HYPERLINK("#Liste_rouge!A"&amp;_xlfn.XMATCH("LC",Liste_rouge!A:A,2,1),"LC")</f>
        <v>LC</v>
      </c>
      <c r="AB22577" s="4" t="s">
        <v>24909</v>
      </c>
      <c r="AH22577" s="4" t="str">
        <f>HYPERLINK("#Statut_biogéographique!A"&amp;_xlfn.XMATCH("P",Statut_biogéographique!A:A,2,1),"P")</f>
        <v>P</v>
      </c>
      <c r="AP22577" s="4" t="s">
        <v>376</v>
      </c>
      <c r="AR22577" s="4" t="s">
        <v>377</v>
      </c>
    </row>
    <row r="22578" spans="1:44" ht="45">
      <c r="A22578" s="4" t="s">
        <v>24364</v>
      </c>
      <c r="B22578" s="4">
        <v>5084</v>
      </c>
      <c r="D22578" s="5" t="s">
        <v>29322</v>
      </c>
      <c r="E22578" s="6" t="str">
        <f>HYPERLINK("https://inpn.mnhn.fr/espece/cd_nom/5084","Fontinalis antipyretica Hedw., 1801")</f>
        <v>Fontinalis antipyretica Hedw., 1801</v>
      </c>
      <c r="P22578" s="7" t="str">
        <f>HYPERLINK("#Liste_rouge!A"&amp;_xlfn.XMATCH("LC",Liste_rouge!A:A,2,1),"LC")</f>
        <v>LC</v>
      </c>
      <c r="T22578" s="7" t="str">
        <f>HYPERLINK("#Liste_rouge!A"&amp;_xlfn.XMATCH("LC",Liste_rouge!A:A,2,1),"LC")</f>
        <v>LC</v>
      </c>
      <c r="V22578" s="7" t="str">
        <f>HYPERLINK("#Liste_rouge!A"&amp;_xlfn.XMATCH("LC",Liste_rouge!A:A,2,1),"LC")</f>
        <v>LC</v>
      </c>
      <c r="AH22578" s="4" t="str">
        <f>HYPERLINK("#Statut_biogéographique!A"&amp;_xlfn.XMATCH("P",Statut_biogéographique!A:A,2,1),"P")</f>
        <v>P</v>
      </c>
      <c r="AP22578" s="4" t="s">
        <v>376</v>
      </c>
      <c r="AR22578" s="4" t="s">
        <v>377</v>
      </c>
    </row>
    <row r="22579" spans="1:44">
      <c r="A22579" s="4" t="s">
        <v>24364</v>
      </c>
      <c r="B22579" s="4">
        <v>5087</v>
      </c>
      <c r="D22579" s="5" t="s">
        <v>29323</v>
      </c>
      <c r="E22579" s="6" t="str">
        <f>HYPERLINK("https://inpn.mnhn.fr/espece/cd_nom/5087","Fontinalis hypnoides C.Hartm.")</f>
        <v>Fontinalis hypnoides C.Hartm.</v>
      </c>
      <c r="P22579" s="7" t="str">
        <f>HYPERLINK("#Liste_rouge!A"&amp;_xlfn.XMATCH("LC",Liste_rouge!A:A,2,1),"LC")</f>
        <v>LC</v>
      </c>
      <c r="T22579" s="7" t="str">
        <f>HYPERLINK("#Liste_rouge!A"&amp;_xlfn.XMATCH("EN",Liste_rouge!A:A,2,1),"EN")</f>
        <v>EN</v>
      </c>
      <c r="V22579" s="7" t="str">
        <f>HYPERLINK("#Liste_rouge!A"&amp;_xlfn.XMATCH("NE",Liste_rouge!A:A,2,1),"NE")</f>
        <v>NE</v>
      </c>
      <c r="X22579" s="5" t="s">
        <v>374</v>
      </c>
      <c r="AB22579" s="4" t="s">
        <v>93</v>
      </c>
      <c r="AH22579" s="4" t="str">
        <f>HYPERLINK("#Statut_biogéographique!A"&amp;_xlfn.XMATCH("P",Statut_biogéographique!A:A,2,1),"P")</f>
        <v>P</v>
      </c>
      <c r="AP22579" s="4" t="s">
        <v>376</v>
      </c>
      <c r="AR22579" s="4" t="s">
        <v>377</v>
      </c>
    </row>
    <row r="22580" spans="1:44">
      <c r="A22580" s="4" t="s">
        <v>24364</v>
      </c>
      <c r="B22580" s="4">
        <v>5090</v>
      </c>
      <c r="D22580" s="5" t="s">
        <v>29324</v>
      </c>
      <c r="E22580" s="6" t="str">
        <f>HYPERLINK("https://inpn.mnhn.fr/espece/cd_nom/5090","Fontinalis squamosa Hedw., 1801")</f>
        <v>Fontinalis squamosa Hedw., 1801</v>
      </c>
      <c r="P22580" s="7" t="str">
        <f>HYPERLINK("#Liste_rouge!A"&amp;_xlfn.XMATCH("LC",Liste_rouge!A:A,2,1),"LC")</f>
        <v>LC</v>
      </c>
      <c r="T22580" s="7" t="str">
        <f>HYPERLINK("#Liste_rouge!A"&amp;_xlfn.XMATCH("LC",Liste_rouge!A:A,2,1),"LC")</f>
        <v>LC</v>
      </c>
      <c r="V22580" s="7" t="str">
        <f>HYPERLINK("#Liste_rouge!A"&amp;_xlfn.XMATCH("NT",Liste_rouge!A:A,2,1),"NT")</f>
        <v>NT</v>
      </c>
      <c r="AB22580" s="4" t="s">
        <v>24719</v>
      </c>
      <c r="AH22580" s="4" t="str">
        <f>HYPERLINK("#Statut_biogéographique!A"&amp;_xlfn.XMATCH("P",Statut_biogéographique!A:A,2,1),"P")</f>
        <v>P</v>
      </c>
      <c r="AP22580" s="4" t="s">
        <v>376</v>
      </c>
      <c r="AR22580" s="4" t="s">
        <v>377</v>
      </c>
    </row>
    <row r="22581" spans="1:44" ht="30">
      <c r="A22581" s="4" t="s">
        <v>24364</v>
      </c>
      <c r="B22581" s="4">
        <v>5093</v>
      </c>
      <c r="D22581" s="5" t="s">
        <v>29325</v>
      </c>
      <c r="E22581" s="6" t="str">
        <f>HYPERLINK("https://inpn.mnhn.fr/espece/cd_nom/5093","Climacium dendroides (Hedw.) F.Weber &amp; D.Mohr, 1804")</f>
        <v>Climacium dendroides (Hedw.) F.Weber &amp; D.Mohr, 1804</v>
      </c>
      <c r="P22581" s="7" t="str">
        <f>HYPERLINK("#Liste_rouge!A"&amp;_xlfn.XMATCH("LC",Liste_rouge!A:A,2,1),"LC")</f>
        <v>LC</v>
      </c>
      <c r="T22581" s="7" t="str">
        <f>HYPERLINK("#Liste_rouge!A"&amp;_xlfn.XMATCH("LC",Liste_rouge!A:A,2,1),"LC")</f>
        <v>LC</v>
      </c>
      <c r="V22581" s="7" t="str">
        <f>HYPERLINK("#Liste_rouge!A"&amp;_xlfn.XMATCH("LC",Liste_rouge!A:A,2,1),"LC")</f>
        <v>LC</v>
      </c>
      <c r="AH22581" s="4" t="str">
        <f>HYPERLINK("#Statut_biogéographique!A"&amp;_xlfn.XMATCH("P",Statut_biogéographique!A:A,2,1),"P")</f>
        <v>P</v>
      </c>
      <c r="AP22581" s="4" t="s">
        <v>376</v>
      </c>
      <c r="AR22581" s="4" t="s">
        <v>377</v>
      </c>
    </row>
    <row r="22582" spans="1:44">
      <c r="A22582" s="4" t="s">
        <v>24364</v>
      </c>
      <c r="B22582" s="4">
        <v>5098</v>
      </c>
      <c r="D22582" s="5" t="s">
        <v>29326</v>
      </c>
      <c r="E22582" s="6" t="str">
        <f>HYPERLINK("https://inpn.mnhn.fr/espece/cd_nom/5098","Antitrichia curtipendula (Hedw.) Brid., 1819")</f>
        <v>Antitrichia curtipendula (Hedw.) Brid., 1819</v>
      </c>
      <c r="P22582" s="7" t="str">
        <f>HYPERLINK("#Liste_rouge!A"&amp;_xlfn.XMATCH("LC",Liste_rouge!A:A,2,1),"LC")</f>
        <v>LC</v>
      </c>
      <c r="T22582" s="7" t="str">
        <f>HYPERLINK("#Liste_rouge!A"&amp;_xlfn.XMATCH("LC",Liste_rouge!A:A,2,1),"LC")</f>
        <v>LC</v>
      </c>
      <c r="V22582" s="7" t="str">
        <f>HYPERLINK("#Liste_rouge!A"&amp;_xlfn.XMATCH("LC",Liste_rouge!A:A,2,1),"LC")</f>
        <v>LC</v>
      </c>
      <c r="AH22582" s="4" t="str">
        <f>HYPERLINK("#Statut_biogéographique!A"&amp;_xlfn.XMATCH("P",Statut_biogéographique!A:A,2,1),"P")</f>
        <v>P</v>
      </c>
      <c r="AP22582" s="4" t="s">
        <v>376</v>
      </c>
      <c r="AR22582" s="4" t="s">
        <v>377</v>
      </c>
    </row>
    <row r="22583" spans="1:44">
      <c r="A22583" s="4" t="s">
        <v>24364</v>
      </c>
      <c r="B22583" s="4">
        <v>5100</v>
      </c>
      <c r="D22583" s="5" t="s">
        <v>29327</v>
      </c>
      <c r="E22583" s="6" t="str">
        <f>HYPERLINK("https://inpn.mnhn.fr/espece/cd_nom/5100","Cryphaea heteromalla (Hedw.) D.Mohr, 1814")</f>
        <v>Cryphaea heteromalla (Hedw.) D.Mohr, 1814</v>
      </c>
      <c r="P22583" s="7" t="str">
        <f>HYPERLINK("#Liste_rouge!A"&amp;_xlfn.XMATCH("LC",Liste_rouge!A:A,2,1),"LC")</f>
        <v>LC</v>
      </c>
      <c r="T22583" s="7" t="str">
        <f>HYPERLINK("#Liste_rouge!A"&amp;_xlfn.XMATCH("LC",Liste_rouge!A:A,2,1),"LC")</f>
        <v>LC</v>
      </c>
      <c r="V22583" s="7" t="str">
        <f>HYPERLINK("#Liste_rouge!A"&amp;_xlfn.XMATCH("LC",Liste_rouge!A:A,2,1),"LC")</f>
        <v>LC</v>
      </c>
      <c r="AH22583" s="4" t="str">
        <f>HYPERLINK("#Statut_biogéographique!A"&amp;_xlfn.XMATCH("P",Statut_biogéographique!A:A,2,1),"P")</f>
        <v>P</v>
      </c>
      <c r="AP22583" s="4" t="s">
        <v>376</v>
      </c>
      <c r="AR22583" s="4" t="s">
        <v>377</v>
      </c>
    </row>
    <row r="22584" spans="1:44">
      <c r="A22584" s="4" t="s">
        <v>24364</v>
      </c>
      <c r="B22584" s="4">
        <v>5104</v>
      </c>
      <c r="D22584" s="5" t="s">
        <v>29328</v>
      </c>
      <c r="E22584" s="6" t="str">
        <f>HYPERLINK("https://inpn.mnhn.fr/espece/cd_nom/5104","Leucodon sciuroides (Hedw.) Schwägr., 1816")</f>
        <v>Leucodon sciuroides (Hedw.) Schwägr., 1816</v>
      </c>
      <c r="P22584" s="7" t="str">
        <f>HYPERLINK("#Liste_rouge!A"&amp;_xlfn.XMATCH("LC",Liste_rouge!A:A,2,1),"LC")</f>
        <v>LC</v>
      </c>
      <c r="T22584" s="7" t="str">
        <f>HYPERLINK("#Liste_rouge!A"&amp;_xlfn.XMATCH("LC",Liste_rouge!A:A,2,1),"LC")</f>
        <v>LC</v>
      </c>
      <c r="V22584" s="7" t="str">
        <f>HYPERLINK("#Liste_rouge!A"&amp;_xlfn.XMATCH("LC",Liste_rouge!A:A,2,1),"LC")</f>
        <v>LC</v>
      </c>
      <c r="AH22584" s="4" t="str">
        <f>HYPERLINK("#Statut_biogéographique!A"&amp;_xlfn.XMATCH("P",Statut_biogéographique!A:A,2,1),"P")</f>
        <v>P</v>
      </c>
      <c r="AP22584" s="4" t="s">
        <v>376</v>
      </c>
      <c r="AR22584" s="4" t="s">
        <v>377</v>
      </c>
    </row>
    <row r="22585" spans="1:44">
      <c r="A22585" s="4" t="s">
        <v>24364</v>
      </c>
      <c r="B22585" s="4">
        <v>5118</v>
      </c>
      <c r="D22585" s="5" t="s">
        <v>29329</v>
      </c>
      <c r="E22585" s="6" t="str">
        <f>HYPERLINK("https://inpn.mnhn.fr/espece/cd_nom/5118","Homalia trichomanoides (Hedw.) Brid.")</f>
        <v>Homalia trichomanoides (Hedw.) Brid.</v>
      </c>
      <c r="P22585" s="7" t="str">
        <f>HYPERLINK("#Liste_rouge!A"&amp;_xlfn.XMATCH("LC",Liste_rouge!A:A,2,1),"LC")</f>
        <v>LC</v>
      </c>
      <c r="T22585" s="7" t="str">
        <f>HYPERLINK("#Liste_rouge!A"&amp;_xlfn.XMATCH("LC",Liste_rouge!A:A,2,1),"LC")</f>
        <v>LC</v>
      </c>
      <c r="V22585" s="7" t="str">
        <f>HYPERLINK("#Liste_rouge!A"&amp;_xlfn.XMATCH("LC",Liste_rouge!A:A,2,1),"LC")</f>
        <v>LC</v>
      </c>
      <c r="AH22585" s="4" t="str">
        <f>HYPERLINK("#Statut_biogéographique!A"&amp;_xlfn.XMATCH("P",Statut_biogéographique!A:A,2,1),"P")</f>
        <v>P</v>
      </c>
      <c r="AP22585" s="4" t="s">
        <v>376</v>
      </c>
      <c r="AR22585" s="4" t="s">
        <v>377</v>
      </c>
    </row>
    <row r="22586" spans="1:44" ht="30">
      <c r="A22586" s="4" t="s">
        <v>24364</v>
      </c>
      <c r="B22586" s="4">
        <v>5120</v>
      </c>
      <c r="D22586" s="5">
        <v>5120</v>
      </c>
      <c r="E22586" s="6" t="str">
        <f>HYPERLINK("https://inpn.mnhn.fr/espece/cd_nom/5120","Leptodon smithii (Hedw.) F.Weber &amp; D.Mohr, 1803")</f>
        <v>Leptodon smithii (Hedw.) F.Weber &amp; D.Mohr, 1803</v>
      </c>
      <c r="P22586" s="7" t="str">
        <f>HYPERLINK("#Liste_rouge!A"&amp;_xlfn.XMATCH("LC",Liste_rouge!A:A,2,1),"LC")</f>
        <v>LC</v>
      </c>
      <c r="T22586" s="7" t="str">
        <f>HYPERLINK("#Liste_rouge!A"&amp;_xlfn.XMATCH("CR",Liste_rouge!A:A,2,1),"CR")</f>
        <v>CR</v>
      </c>
      <c r="V22586" s="7" t="str">
        <f>HYPERLINK("#Liste_rouge!A"&amp;_xlfn.XMATCH("VU",Liste_rouge!A:A,2,1),"VU")</f>
        <v>VU</v>
      </c>
      <c r="X22586" s="5" t="s">
        <v>374</v>
      </c>
      <c r="AB22586" s="4" t="s">
        <v>93</v>
      </c>
      <c r="AH22586" s="4" t="str">
        <f>HYPERLINK("#Statut_biogéographique!A"&amp;_xlfn.XMATCH("P",Statut_biogéographique!A:A,2,1),"P")</f>
        <v>P</v>
      </c>
      <c r="AP22586" s="4" t="s">
        <v>376</v>
      </c>
      <c r="AR22586" s="4" t="s">
        <v>377</v>
      </c>
    </row>
    <row r="22587" spans="1:44">
      <c r="A22587" s="4" t="s">
        <v>24364</v>
      </c>
      <c r="B22587" s="4">
        <v>5124</v>
      </c>
      <c r="D22587" s="5" t="s">
        <v>29330</v>
      </c>
      <c r="E22587" s="6" t="str">
        <f>HYPERLINK("https://inpn.mnhn.fr/espece/cd_nom/5124","Neckera pennata Hedw., 1801")</f>
        <v>Neckera pennata Hedw., 1801</v>
      </c>
      <c r="P22587" s="7" t="str">
        <f>HYPERLINK("#Liste_rouge!A"&amp;_xlfn.XMATCH("LC",Liste_rouge!A:A,2,1),"LC")</f>
        <v>LC</v>
      </c>
      <c r="T22587" s="7" t="str">
        <f>HYPERLINK("#Liste_rouge!A"&amp;_xlfn.XMATCH("DD",Liste_rouge!A:A,2,1),"DD")</f>
        <v>DD</v>
      </c>
      <c r="V22587" s="7" t="str">
        <f>HYPERLINK("#Liste_rouge!A"&amp;_xlfn.XMATCH("DD",Liste_rouge!A:A,2,1),"DD")</f>
        <v>DD</v>
      </c>
      <c r="X22587" s="5" t="s">
        <v>374</v>
      </c>
      <c r="AB22587" s="4" t="s">
        <v>93</v>
      </c>
      <c r="AH22587" s="4" t="str">
        <f>HYPERLINK("#Statut_biogéographique!A"&amp;_xlfn.XMATCH("P",Statut_biogéographique!A:A,2,1),"P")</f>
        <v>P</v>
      </c>
      <c r="AP22587" s="4" t="s">
        <v>376</v>
      </c>
      <c r="AR22587" s="4" t="s">
        <v>377</v>
      </c>
    </row>
    <row r="22588" spans="1:44" ht="30">
      <c r="A22588" s="4" t="s">
        <v>24364</v>
      </c>
      <c r="B22588" s="4">
        <v>5125</v>
      </c>
      <c r="D22588" s="5" t="s">
        <v>29331</v>
      </c>
      <c r="E22588" s="6" t="str">
        <f>HYPERLINK("https://inpn.mnhn.fr/espece/cd_nom/5125","Neckera pumila Hedw., 1801")</f>
        <v>Neckera pumila Hedw., 1801</v>
      </c>
      <c r="P22588" s="7" t="str">
        <f>HYPERLINK("#Liste_rouge!A"&amp;_xlfn.XMATCH("LC",Liste_rouge!A:A,2,1),"LC")</f>
        <v>LC</v>
      </c>
      <c r="T22588" s="7" t="str">
        <f>HYPERLINK("#Liste_rouge!A"&amp;_xlfn.XMATCH("VU",Liste_rouge!A:A,2,1),"VU")</f>
        <v>VU</v>
      </c>
      <c r="V22588" s="7" t="str">
        <f>HYPERLINK("#Liste_rouge!A"&amp;_xlfn.XMATCH("LC",Liste_rouge!A:A,2,1),"LC")</f>
        <v>LC</v>
      </c>
      <c r="AB22588" s="4" t="s">
        <v>25010</v>
      </c>
      <c r="AH22588" s="4" t="str">
        <f>HYPERLINK("#Statut_biogéographique!A"&amp;_xlfn.XMATCH("P",Statut_biogéographique!A:A,2,1),"P")</f>
        <v>P</v>
      </c>
      <c r="AP22588" s="4" t="s">
        <v>376</v>
      </c>
      <c r="AR22588" s="4" t="s">
        <v>377</v>
      </c>
    </row>
    <row r="22589" spans="1:44">
      <c r="A22589" s="4" t="s">
        <v>24364</v>
      </c>
      <c r="B22589" s="4">
        <v>5128</v>
      </c>
      <c r="D22589" s="5" t="s">
        <v>29332</v>
      </c>
      <c r="E22589" s="6" t="str">
        <f>HYPERLINK("https://inpn.mnhn.fr/espece/cd_nom/5128","Neckera menziesii Drumm., 1828")</f>
        <v>Neckera menziesii Drumm., 1828</v>
      </c>
      <c r="P22589" s="7" t="str">
        <f>HYPERLINK("#Liste_rouge!A"&amp;_xlfn.XMATCH("LC",Liste_rouge!A:A,2,1),"LC")</f>
        <v>LC</v>
      </c>
      <c r="T22589" s="7" t="str">
        <f>HYPERLINK("#Liste_rouge!A"&amp;_xlfn.XMATCH("CR",Liste_rouge!A:A,2,1),"CR")</f>
        <v>CR</v>
      </c>
      <c r="V22589" s="7" t="str">
        <f>HYPERLINK("#Liste_rouge!A"&amp;_xlfn.XMATCH("VU",Liste_rouge!A:A,2,1),"VU")</f>
        <v>VU</v>
      </c>
      <c r="X22589" s="5" t="s">
        <v>374</v>
      </c>
      <c r="AB22589" s="4" t="s">
        <v>93</v>
      </c>
      <c r="AH22589" s="4" t="str">
        <f>HYPERLINK("#Statut_biogéographique!A"&amp;_xlfn.XMATCH("P",Statut_biogéographique!A:A,2,1),"P")</f>
        <v>P</v>
      </c>
      <c r="AP22589" s="4" t="s">
        <v>376</v>
      </c>
      <c r="AR22589" s="4" t="s">
        <v>377</v>
      </c>
    </row>
    <row r="22590" spans="1:44">
      <c r="A22590" s="4" t="s">
        <v>24364</v>
      </c>
      <c r="B22590" s="4">
        <v>5132</v>
      </c>
      <c r="D22590" s="5" t="s">
        <v>29333</v>
      </c>
      <c r="E22590" s="6" t="str">
        <f>HYPERLINK("https://inpn.mnhn.fr/espece/cd_nom/5132","Hookeria lucens (Hedw.) Sm., 1808")</f>
        <v>Hookeria lucens (Hedw.) Sm., 1808</v>
      </c>
      <c r="P22590" s="7" t="str">
        <f>HYPERLINK("#Liste_rouge!A"&amp;_xlfn.XMATCH("LC",Liste_rouge!A:A,2,1),"LC")</f>
        <v>LC</v>
      </c>
      <c r="T22590" s="7" t="str">
        <f>HYPERLINK("#Liste_rouge!A"&amp;_xlfn.XMATCH("VU",Liste_rouge!A:A,2,1),"VU")</f>
        <v>VU</v>
      </c>
      <c r="V22590" s="7" t="str">
        <f>HYPERLINK("#Liste_rouge!A"&amp;_xlfn.XMATCH("LC",Liste_rouge!A:A,2,1),"LC")</f>
        <v>LC</v>
      </c>
      <c r="AB22590" s="4" t="s">
        <v>29238</v>
      </c>
      <c r="AH22590" s="4" t="str">
        <f>HYPERLINK("#Statut_biogéographique!A"&amp;_xlfn.XMATCH("P",Statut_biogéographique!A:A,2,1),"P")</f>
        <v>P</v>
      </c>
      <c r="AP22590" s="4" t="s">
        <v>376</v>
      </c>
      <c r="AR22590" s="4" t="s">
        <v>377</v>
      </c>
    </row>
    <row r="22591" spans="1:44">
      <c r="A22591" s="4" t="s">
        <v>24364</v>
      </c>
      <c r="B22591" s="4">
        <v>5143</v>
      </c>
      <c r="D22591" s="5">
        <v>5143</v>
      </c>
      <c r="E22591" s="6" t="str">
        <f>HYPERLINK("https://inpn.mnhn.fr/espece/cd_nom/5143","Fabronia pusilla Raddi, 1808")</f>
        <v>Fabronia pusilla Raddi, 1808</v>
      </c>
      <c r="P22591" s="7" t="str">
        <f>HYPERLINK("#Liste_rouge!A"&amp;_xlfn.XMATCH("LC",Liste_rouge!A:A,2,1),"LC")</f>
        <v>LC</v>
      </c>
      <c r="V22591" s="7" t="str">
        <f>HYPERLINK("#Liste_rouge!A"&amp;_xlfn.XMATCH("CR",Liste_rouge!A:A,2,1),"CR")</f>
        <v>CR</v>
      </c>
      <c r="X22591" s="5" t="s">
        <v>374</v>
      </c>
      <c r="AB22591" s="4" t="s">
        <v>93</v>
      </c>
      <c r="AH22591" s="4" t="str">
        <f>HYPERLINK("#Statut_biogéographique!A"&amp;_xlfn.XMATCH("P",Statut_biogéographique!A:A,2,1),"P")</f>
        <v>P</v>
      </c>
      <c r="AP22591" s="4" t="s">
        <v>376</v>
      </c>
      <c r="AR22591" s="4" t="s">
        <v>377</v>
      </c>
    </row>
    <row r="22592" spans="1:44">
      <c r="A22592" s="4" t="s">
        <v>24364</v>
      </c>
      <c r="B22592" s="4">
        <v>5146</v>
      </c>
      <c r="D22592" s="5">
        <v>5146</v>
      </c>
      <c r="E22592" s="6" t="str">
        <f>HYPERLINK("https://inpn.mnhn.fr/espece/cd_nom/5146","Myrinia pulvinata (Wahlenb.) Schimp., 1860")</f>
        <v>Myrinia pulvinata (Wahlenb.) Schimp., 1860</v>
      </c>
      <c r="P22592" s="7" t="str">
        <f>HYPERLINK("#Liste_rouge!A"&amp;_xlfn.XMATCH("NT",Liste_rouge!A:A,2,1),"NT")</f>
        <v>NT</v>
      </c>
      <c r="T22592" s="7" t="str">
        <f>HYPERLINK("#Liste_rouge!A"&amp;_xlfn.XMATCH("RE",Liste_rouge!A:A,2,1),"RE")</f>
        <v>RE</v>
      </c>
      <c r="V22592" s="7" t="str">
        <f>HYPERLINK("#Liste_rouge!A"&amp;_xlfn.XMATCH("CR",Liste_rouge!A:A,2,1),"CR")</f>
        <v>CR</v>
      </c>
      <c r="X22592" s="5" t="s">
        <v>374</v>
      </c>
      <c r="AB22592" s="4" t="s">
        <v>93</v>
      </c>
      <c r="AH22592" s="4" t="str">
        <f>HYPERLINK("#Statut_biogéographique!A"&amp;_xlfn.XMATCH("P",Statut_biogéographique!A:A,2,1),"P")</f>
        <v>P</v>
      </c>
      <c r="AP22592" s="4" t="s">
        <v>376</v>
      </c>
      <c r="AR22592" s="4" t="s">
        <v>377</v>
      </c>
    </row>
    <row r="22593" spans="1:44">
      <c r="A22593" s="4" t="s">
        <v>24364</v>
      </c>
      <c r="B22593" s="4">
        <v>5149</v>
      </c>
      <c r="D22593" s="5" t="s">
        <v>29334</v>
      </c>
      <c r="E22593" s="6" t="str">
        <f>HYPERLINK("https://inpn.mnhn.fr/espece/cd_nom/5149","Habrodon perpusillus (De Not.) Lindb., 1863")</f>
        <v>Habrodon perpusillus (De Not.) Lindb., 1863</v>
      </c>
      <c r="P22593" s="7" t="str">
        <f>HYPERLINK("#Liste_rouge!A"&amp;_xlfn.XMATCH("LC",Liste_rouge!A:A,2,1),"LC")</f>
        <v>LC</v>
      </c>
      <c r="T22593" s="7" t="str">
        <f>HYPERLINK("#Liste_rouge!A"&amp;_xlfn.XMATCH("VU",Liste_rouge!A:A,2,1),"VU")</f>
        <v>VU</v>
      </c>
      <c r="V22593" s="7" t="str">
        <f>HYPERLINK("#Liste_rouge!A"&amp;_xlfn.XMATCH("LC",Liste_rouge!A:A,2,1),"LC")</f>
        <v>LC</v>
      </c>
      <c r="X22593" s="5" t="s">
        <v>374</v>
      </c>
      <c r="AB22593" s="4" t="s">
        <v>93</v>
      </c>
      <c r="AH22593" s="4" t="str">
        <f>HYPERLINK("#Statut_biogéographique!A"&amp;_xlfn.XMATCH("P",Statut_biogéographique!A:A,2,1),"P")</f>
        <v>P</v>
      </c>
      <c r="AP22593" s="4" t="s">
        <v>376</v>
      </c>
      <c r="AR22593" s="4" t="s">
        <v>377</v>
      </c>
    </row>
    <row r="22594" spans="1:44">
      <c r="A22594" s="4" t="s">
        <v>24364</v>
      </c>
      <c r="B22594" s="4">
        <v>5151</v>
      </c>
      <c r="D22594" s="5" t="s">
        <v>29335</v>
      </c>
      <c r="E22594" s="6" t="str">
        <f>HYPERLINK("https://inpn.mnhn.fr/espece/cd_nom/5151","Lescuraea mutabilis (Brid.) Lindb. ex I.Hagen")</f>
        <v>Lescuraea mutabilis (Brid.) Lindb. ex I.Hagen</v>
      </c>
      <c r="P22594" s="7" t="str">
        <f>HYPERLINK("#Liste_rouge!A"&amp;_xlfn.XMATCH("LC",Liste_rouge!A:A,2,1),"LC")</f>
        <v>LC</v>
      </c>
      <c r="T22594" s="7" t="str">
        <f>HYPERLINK("#Liste_rouge!A"&amp;_xlfn.XMATCH("RE",Liste_rouge!A:A,2,1),"RE")</f>
        <v>RE</v>
      </c>
      <c r="V22594" s="7" t="str">
        <f>HYPERLINK("#Liste_rouge!A"&amp;_xlfn.XMATCH("DD",Liste_rouge!A:A,2,1),"DD")</f>
        <v>DD</v>
      </c>
      <c r="X22594" s="5" t="s">
        <v>374</v>
      </c>
      <c r="AB22594" s="4" t="s">
        <v>93</v>
      </c>
      <c r="AH22594" s="4" t="str">
        <f>HYPERLINK("#Statut_biogéographique!A"&amp;_xlfn.XMATCH("P",Statut_biogéographique!A:A,2,1),"P")</f>
        <v>P</v>
      </c>
      <c r="AP22594" s="4" t="s">
        <v>376</v>
      </c>
      <c r="AR22594" s="4" t="s">
        <v>377</v>
      </c>
    </row>
    <row r="22595" spans="1:44">
      <c r="A22595" s="4" t="s">
        <v>24364</v>
      </c>
      <c r="B22595" s="4">
        <v>5155</v>
      </c>
      <c r="D22595" s="5" t="s">
        <v>29336</v>
      </c>
      <c r="E22595" s="6" t="str">
        <f>HYPERLINK("https://inpn.mnhn.fr/espece/cd_nom/5155","Leskea polycarpa Hedw., 1801")</f>
        <v>Leskea polycarpa Hedw., 1801</v>
      </c>
      <c r="P22595" s="7" t="str">
        <f>HYPERLINK("#Liste_rouge!A"&amp;_xlfn.XMATCH("LC",Liste_rouge!A:A,2,1),"LC")</f>
        <v>LC</v>
      </c>
      <c r="T22595" s="7" t="str">
        <f>HYPERLINK("#Liste_rouge!A"&amp;_xlfn.XMATCH("LC",Liste_rouge!A:A,2,1),"LC")</f>
        <v>LC</v>
      </c>
      <c r="V22595" s="7" t="str">
        <f>HYPERLINK("#Liste_rouge!A"&amp;_xlfn.XMATCH("LC",Liste_rouge!A:A,2,1),"LC")</f>
        <v>LC</v>
      </c>
      <c r="AH22595" s="4" t="str">
        <f>HYPERLINK("#Statut_biogéographique!A"&amp;_xlfn.XMATCH("P",Statut_biogéographique!A:A,2,1),"P")</f>
        <v>P</v>
      </c>
      <c r="AP22595" s="4" t="s">
        <v>376</v>
      </c>
      <c r="AR22595" s="4" t="s">
        <v>377</v>
      </c>
    </row>
    <row r="22596" spans="1:44" ht="30">
      <c r="A22596" s="4" t="s">
        <v>24364</v>
      </c>
      <c r="B22596" s="4">
        <v>5161</v>
      </c>
      <c r="D22596" s="5" t="s">
        <v>29337</v>
      </c>
      <c r="E22596" s="6" t="str">
        <f>HYPERLINK("https://inpn.mnhn.fr/espece/cd_nom/5161","Pseudoleskeella catenulata (Brid. ex Schrad.) Kindb., 1897")</f>
        <v>Pseudoleskeella catenulata (Brid. ex Schrad.) Kindb., 1897</v>
      </c>
      <c r="P22596" s="7" t="str">
        <f>HYPERLINK("#Liste_rouge!A"&amp;_xlfn.XMATCH("LC",Liste_rouge!A:A,2,1),"LC")</f>
        <v>LC</v>
      </c>
      <c r="T22596" s="7" t="str">
        <f>HYPERLINK("#Liste_rouge!A"&amp;_xlfn.XMATCH("VU",Liste_rouge!A:A,2,1),"VU")</f>
        <v>VU</v>
      </c>
      <c r="V22596" s="7" t="str">
        <f>HYPERLINK("#Liste_rouge!A"&amp;_xlfn.XMATCH("LC",Liste_rouge!A:A,2,1),"LC")</f>
        <v>LC</v>
      </c>
      <c r="AB22596" s="4" t="s">
        <v>24984</v>
      </c>
      <c r="AH22596" s="4" t="str">
        <f>HYPERLINK("#Statut_biogéographique!A"&amp;_xlfn.XMATCH("P",Statut_biogéographique!A:A,2,1),"P")</f>
        <v>P</v>
      </c>
      <c r="AP22596" s="4" t="s">
        <v>376</v>
      </c>
      <c r="AR22596" s="4" t="s">
        <v>377</v>
      </c>
    </row>
    <row r="22597" spans="1:44">
      <c r="A22597" s="4" t="s">
        <v>24364</v>
      </c>
      <c r="B22597" s="4">
        <v>5162</v>
      </c>
      <c r="D22597" s="5" t="s">
        <v>29338</v>
      </c>
      <c r="E22597" s="6" t="str">
        <f>HYPERLINK("https://inpn.mnhn.fr/espece/cd_nom/5162","Pseudoleskeella nervosa (Brid.) Nyholm, 1969")</f>
        <v>Pseudoleskeella nervosa (Brid.) Nyholm, 1969</v>
      </c>
      <c r="P22597" s="7" t="str">
        <f>HYPERLINK("#Liste_rouge!A"&amp;_xlfn.XMATCH("LC",Liste_rouge!A:A,2,1),"LC")</f>
        <v>LC</v>
      </c>
      <c r="V22597" s="7" t="str">
        <f>HYPERLINK("#Liste_rouge!A"&amp;_xlfn.XMATCH("LC",Liste_rouge!A:A,2,1),"LC")</f>
        <v>LC</v>
      </c>
      <c r="AH22597" s="4" t="str">
        <f>HYPERLINK("#Statut_biogéographique!A"&amp;_xlfn.XMATCH("P",Statut_biogéographique!A:A,2,1),"P")</f>
        <v>P</v>
      </c>
      <c r="AP22597" s="4" t="s">
        <v>376</v>
      </c>
      <c r="AR22597" s="4" t="s">
        <v>377</v>
      </c>
    </row>
    <row r="22598" spans="1:44" ht="30">
      <c r="A22598" s="4" t="s">
        <v>24364</v>
      </c>
      <c r="B22598" s="4">
        <v>5165</v>
      </c>
      <c r="D22598" s="5" t="s">
        <v>29339</v>
      </c>
      <c r="E22598" s="6" t="str">
        <f>HYPERLINK("https://inpn.mnhn.fr/espece/cd_nom/5165","Pseudoleskeella tectorum (Funck ex Brid.) Kindb. ex Broth., 1907")</f>
        <v>Pseudoleskeella tectorum (Funck ex Brid.) Kindb. ex Broth., 1907</v>
      </c>
      <c r="P22598" s="7" t="str">
        <f>HYPERLINK("#Liste_rouge!A"&amp;_xlfn.XMATCH("LC",Liste_rouge!A:A,2,1),"LC")</f>
        <v>LC</v>
      </c>
      <c r="V22598" s="7" t="str">
        <f>HYPERLINK("#Liste_rouge!A"&amp;_xlfn.XMATCH("DD",Liste_rouge!A:A,2,1),"DD (cd_nom 5165) - NE (cd_nom 5165)")</f>
        <v>DD (cd_nom 5165) - NE (cd_nom 5165)</v>
      </c>
      <c r="X22598" s="5" t="s">
        <v>374</v>
      </c>
      <c r="AB22598" s="4" t="s">
        <v>93</v>
      </c>
      <c r="AH22598" s="4" t="str">
        <f>HYPERLINK("#Statut_biogéographique!A"&amp;_xlfn.XMATCH("P",Statut_biogéographique!A:A,2,1),"P")</f>
        <v>P</v>
      </c>
      <c r="AP22598" s="4" t="s">
        <v>376</v>
      </c>
      <c r="AR22598" s="4" t="s">
        <v>377</v>
      </c>
    </row>
    <row r="22599" spans="1:44" ht="45">
      <c r="A22599" s="4" t="s">
        <v>24364</v>
      </c>
      <c r="B22599" s="4">
        <v>5167</v>
      </c>
      <c r="D22599" s="5" t="s">
        <v>29340</v>
      </c>
      <c r="E22599" s="6" t="str">
        <f>HYPERLINK("https://inpn.mnhn.fr/espece/cd_nom/5167","Pterigynandrum filiforme Hedw., 1801")</f>
        <v>Pterigynandrum filiforme Hedw., 1801</v>
      </c>
      <c r="P22599" s="7" t="str">
        <f>HYPERLINK("#Liste_rouge!A"&amp;_xlfn.XMATCH("LC",Liste_rouge!A:A,2,1),"LC")</f>
        <v>LC</v>
      </c>
      <c r="T22599" s="7" t="str">
        <f>HYPERLINK("#Liste_rouge!A"&amp;_xlfn.XMATCH("EN",Liste_rouge!A:A,2,1),"EN")</f>
        <v>EN</v>
      </c>
      <c r="V22599" s="7" t="str">
        <f>HYPERLINK("#Liste_rouge!A"&amp;_xlfn.XMATCH("LC",Liste_rouge!A:A,2,1),"LC (cd_nom 5167) - NE (cd_nom 5167)")</f>
        <v>LC (cd_nom 5167) - NE (cd_nom 5167)</v>
      </c>
      <c r="AB22599" s="4" t="s">
        <v>24803</v>
      </c>
      <c r="AH22599" s="4" t="str">
        <f>HYPERLINK("#Statut_biogéographique!A"&amp;_xlfn.XMATCH("P",Statut_biogéographique!A:A,2,1),"P")</f>
        <v>P</v>
      </c>
      <c r="AP22599" s="4" t="s">
        <v>376</v>
      </c>
      <c r="AR22599" s="4" t="s">
        <v>377</v>
      </c>
    </row>
    <row r="22600" spans="1:44" ht="30">
      <c r="A22600" s="4" t="s">
        <v>24364</v>
      </c>
      <c r="B22600" s="4">
        <v>5173</v>
      </c>
      <c r="D22600" s="5" t="s">
        <v>29341</v>
      </c>
      <c r="E22600" s="6" t="str">
        <f>HYPERLINK("https://inpn.mnhn.fr/espece/cd_nom/5173","Thamnobryum alopecurum (Hedw.) Gangulee")</f>
        <v>Thamnobryum alopecurum (Hedw.) Gangulee</v>
      </c>
      <c r="P22600" s="7" t="str">
        <f>HYPERLINK("#Liste_rouge!A"&amp;_xlfn.XMATCH("LC",Liste_rouge!A:A,2,1),"LC")</f>
        <v>LC</v>
      </c>
      <c r="T22600" s="7" t="str">
        <f>HYPERLINK("#Liste_rouge!A"&amp;_xlfn.XMATCH("LC",Liste_rouge!A:A,2,1),"LC")</f>
        <v>LC</v>
      </c>
      <c r="V22600" s="7" t="str">
        <f>HYPERLINK("#Liste_rouge!A"&amp;_xlfn.XMATCH("LC",Liste_rouge!A:A,2,1),"LC")</f>
        <v>LC</v>
      </c>
      <c r="AH22600" s="4" t="str">
        <f>HYPERLINK("#Statut_biogéographique!A"&amp;_xlfn.XMATCH("P",Statut_biogéographique!A:A,2,1),"P")</f>
        <v>P</v>
      </c>
      <c r="AP22600" s="4" t="s">
        <v>376</v>
      </c>
      <c r="AR22600" s="4" t="s">
        <v>377</v>
      </c>
    </row>
    <row r="22601" spans="1:44" ht="30">
      <c r="A22601" s="4" t="s">
        <v>24364</v>
      </c>
      <c r="B22601" s="4">
        <v>5180</v>
      </c>
      <c r="D22601" s="5" t="s">
        <v>29342</v>
      </c>
      <c r="E22601" s="6" t="str">
        <f>HYPERLINK("https://inpn.mnhn.fr/espece/cd_nom/5180","Anomodon longifolius (Schleich. ex Brid.) Hartm., 1838")</f>
        <v>Anomodon longifolius (Schleich. ex Brid.) Hartm., 1838</v>
      </c>
      <c r="P22601" s="7" t="str">
        <f>HYPERLINK("#Liste_rouge!A"&amp;_xlfn.XMATCH("LC",Liste_rouge!A:A,2,1),"LC")</f>
        <v>LC</v>
      </c>
      <c r="T22601" s="7" t="str">
        <f>HYPERLINK("#Liste_rouge!A"&amp;_xlfn.XMATCH("NT",Liste_rouge!A:A,2,1),"NT")</f>
        <v>NT</v>
      </c>
      <c r="V22601" s="7" t="str">
        <f>HYPERLINK("#Liste_rouge!A"&amp;_xlfn.XMATCH("LC",Liste_rouge!A:A,2,1),"LC")</f>
        <v>LC</v>
      </c>
      <c r="AB22601" s="4" t="s">
        <v>24407</v>
      </c>
      <c r="AH22601" s="4" t="str">
        <f>HYPERLINK("#Statut_biogéographique!A"&amp;_xlfn.XMATCH("P",Statut_biogéographique!A:A,2,1),"P")</f>
        <v>P</v>
      </c>
      <c r="AP22601" s="4" t="s">
        <v>376</v>
      </c>
      <c r="AR22601" s="4" t="s">
        <v>377</v>
      </c>
    </row>
    <row r="22602" spans="1:44">
      <c r="A22602" s="4" t="s">
        <v>24364</v>
      </c>
      <c r="B22602" s="4">
        <v>5182</v>
      </c>
      <c r="D22602" s="5" t="s">
        <v>29343</v>
      </c>
      <c r="E22602" s="6" t="str">
        <f>HYPERLINK("https://inpn.mnhn.fr/espece/cd_nom/5182","Anomodon rugelii (Müll.Hal.) Keissl., 1900")</f>
        <v>Anomodon rugelii (Müll.Hal.) Keissl., 1900</v>
      </c>
      <c r="P22602" s="7" t="str">
        <f>HYPERLINK("#Liste_rouge!A"&amp;_xlfn.XMATCH("NT",Liste_rouge!A:A,2,1),"NT")</f>
        <v>NT</v>
      </c>
      <c r="V22602" s="7" t="str">
        <f>HYPERLINK("#Liste_rouge!A"&amp;_xlfn.XMATCH("CR",Liste_rouge!A:A,2,1),"CR")</f>
        <v>CR</v>
      </c>
      <c r="X22602" s="5" t="s">
        <v>374</v>
      </c>
      <c r="AB22602" s="4" t="s">
        <v>93</v>
      </c>
      <c r="AH22602" s="4" t="str">
        <f>HYPERLINK("#Statut_biogéographique!A"&amp;_xlfn.XMATCH("P",Statut_biogéographique!A:A,2,1),"P")</f>
        <v>P</v>
      </c>
      <c r="AP22602" s="4" t="s">
        <v>376</v>
      </c>
      <c r="AR22602" s="4" t="s">
        <v>377</v>
      </c>
    </row>
    <row r="22603" spans="1:44" ht="30">
      <c r="A22603" s="4" t="s">
        <v>24364</v>
      </c>
      <c r="B22603" s="4">
        <v>5184</v>
      </c>
      <c r="D22603" s="5" t="s">
        <v>29344</v>
      </c>
      <c r="E22603" s="6" t="str">
        <f>HYPERLINK("https://inpn.mnhn.fr/espece/cd_nom/5184","Anomodon viticulosus (Hedw.) Hook. &amp; Taylor, 1818")</f>
        <v>Anomodon viticulosus (Hedw.) Hook. &amp; Taylor, 1818</v>
      </c>
      <c r="P22603" s="7" t="str">
        <f>HYPERLINK("#Liste_rouge!A"&amp;_xlfn.XMATCH("LC",Liste_rouge!A:A,2,1),"LC")</f>
        <v>LC</v>
      </c>
      <c r="T22603" s="7" t="str">
        <f>HYPERLINK("#Liste_rouge!A"&amp;_xlfn.XMATCH("LC",Liste_rouge!A:A,2,1),"LC")</f>
        <v>LC</v>
      </c>
      <c r="V22603" s="7" t="str">
        <f>HYPERLINK("#Liste_rouge!A"&amp;_xlfn.XMATCH("LC",Liste_rouge!A:A,2,1),"LC")</f>
        <v>LC</v>
      </c>
      <c r="AH22603" s="4" t="str">
        <f>HYPERLINK("#Statut_biogéographique!A"&amp;_xlfn.XMATCH("P",Statut_biogéographique!A:A,2,1),"P")</f>
        <v>P</v>
      </c>
      <c r="AP22603" s="4" t="s">
        <v>376</v>
      </c>
      <c r="AR22603" s="4" t="s">
        <v>377</v>
      </c>
    </row>
    <row r="22604" spans="1:44" ht="30">
      <c r="A22604" s="4" t="s">
        <v>24364</v>
      </c>
      <c r="B22604" s="4">
        <v>5190</v>
      </c>
      <c r="D22604" s="5" t="s">
        <v>29345</v>
      </c>
      <c r="E22604" s="6" t="str">
        <f>HYPERLINK("https://inpn.mnhn.fr/espece/cd_nom/5190","Heterocladium heteropterum (Brid.) Schimp., 1852")</f>
        <v>Heterocladium heteropterum (Brid.) Schimp., 1852</v>
      </c>
      <c r="P22604" s="7" t="str">
        <f>HYPERLINK("#Liste_rouge!A"&amp;_xlfn.XMATCH("LC",Liste_rouge!A:A,2,1),"LC")</f>
        <v>LC</v>
      </c>
      <c r="T22604" s="7" t="str">
        <f>HYPERLINK("#Liste_rouge!A"&amp;_xlfn.XMATCH("LC",Liste_rouge!A:A,2,1),"LC")</f>
        <v>LC</v>
      </c>
      <c r="V22604" s="7" t="str">
        <f>HYPERLINK("#Liste_rouge!A"&amp;_xlfn.XMATCH("LC",Liste_rouge!A:A,2,1),"LC")</f>
        <v>LC</v>
      </c>
      <c r="AB22604" s="4" t="s">
        <v>24909</v>
      </c>
      <c r="AH22604" s="4" t="str">
        <f>HYPERLINK("#Statut_biogéographique!A"&amp;_xlfn.XMATCH("P",Statut_biogéographique!A:A,2,1),"P")</f>
        <v>P</v>
      </c>
      <c r="AP22604" s="4" t="s">
        <v>376</v>
      </c>
      <c r="AR22604" s="4" t="s">
        <v>377</v>
      </c>
    </row>
    <row r="22605" spans="1:44" ht="30">
      <c r="A22605" s="4" t="s">
        <v>24364</v>
      </c>
      <c r="B22605" s="4">
        <v>5205</v>
      </c>
      <c r="D22605" s="5" t="s">
        <v>29346</v>
      </c>
      <c r="E22605" s="6" t="str">
        <f>HYPERLINK("https://inpn.mnhn.fr/espece/cd_nom/5205","Pterygoneurum ovatum (Hedw.) Dixon, 1934")</f>
        <v>Pterygoneurum ovatum (Hedw.) Dixon, 1934</v>
      </c>
      <c r="P22605" s="7" t="str">
        <f>HYPERLINK("#Liste_rouge!A"&amp;_xlfn.XMATCH("LC",Liste_rouge!A:A,2,1),"LC")</f>
        <v>LC</v>
      </c>
      <c r="T22605" s="7" t="str">
        <f>HYPERLINK("#Liste_rouge!A"&amp;_xlfn.XMATCH("NT",Liste_rouge!A:A,2,1),"NT")</f>
        <v>NT</v>
      </c>
      <c r="V22605" s="7" t="str">
        <f>HYPERLINK("#Liste_rouge!A"&amp;_xlfn.XMATCH("DD",Liste_rouge!A:A,2,1),"DD (cd_nom 5205) - NE (cd_nom 5205)")</f>
        <v>DD (cd_nom 5205) - NE (cd_nom 5205)</v>
      </c>
      <c r="X22605" s="5" t="s">
        <v>374</v>
      </c>
      <c r="AB22605" s="4" t="s">
        <v>93</v>
      </c>
      <c r="AH22605" s="4" t="str">
        <f>HYPERLINK("#Statut_biogéographique!A"&amp;_xlfn.XMATCH("P",Statut_biogéographique!A:A,2,1),"P")</f>
        <v>P</v>
      </c>
      <c r="AP22605" s="4" t="s">
        <v>376</v>
      </c>
      <c r="AR22605" s="4" t="s">
        <v>377</v>
      </c>
    </row>
    <row r="22606" spans="1:44" ht="30">
      <c r="A22606" s="4" t="s">
        <v>24364</v>
      </c>
      <c r="B22606" s="4">
        <v>5210</v>
      </c>
      <c r="D22606" s="5" t="s">
        <v>29347</v>
      </c>
      <c r="E22606" s="6" t="str">
        <f>HYPERLINK("https://inpn.mnhn.fr/espece/cd_nom/5210","Tortula atrovirens (Sm.) Lindb., 1864")</f>
        <v>Tortula atrovirens (Sm.) Lindb., 1864</v>
      </c>
      <c r="P22606" s="7" t="str">
        <f>HYPERLINK("#Liste_rouge!A"&amp;_xlfn.XMATCH("LC",Liste_rouge!A:A,2,1),"LC")</f>
        <v>LC</v>
      </c>
      <c r="T22606" s="7" t="str">
        <f>HYPERLINK("#Liste_rouge!A"&amp;_xlfn.XMATCH("CR",Liste_rouge!A:A,2,1),"CR")</f>
        <v>CR</v>
      </c>
      <c r="X22606" s="5" t="s">
        <v>374</v>
      </c>
      <c r="AB22606" s="4" t="s">
        <v>93</v>
      </c>
      <c r="AH22606" s="4" t="str">
        <f>HYPERLINK("#Statut_biogéographique!A"&amp;_xlfn.XMATCH("P",Statut_biogéographique!A:A,2,1),"P")</f>
        <v>P</v>
      </c>
      <c r="AP22606" s="4" t="s">
        <v>376</v>
      </c>
      <c r="AR22606" s="4" t="s">
        <v>377</v>
      </c>
    </row>
    <row r="22607" spans="1:44">
      <c r="A22607" s="4" t="s">
        <v>24364</v>
      </c>
      <c r="B22607" s="4">
        <v>5214</v>
      </c>
      <c r="D22607" s="5" t="s">
        <v>29348</v>
      </c>
      <c r="E22607" s="6" t="str">
        <f>HYPERLINK("https://inpn.mnhn.fr/espece/cd_nom/5214","Tortula canescens Mont., 1833")</f>
        <v>Tortula canescens Mont., 1833</v>
      </c>
      <c r="P22607" s="7" t="str">
        <f>HYPERLINK("#Liste_rouge!A"&amp;_xlfn.XMATCH("LC",Liste_rouge!A:A,2,1),"LC")</f>
        <v>LC</v>
      </c>
      <c r="T22607" s="7" t="str">
        <f>HYPERLINK("#Liste_rouge!A"&amp;_xlfn.XMATCH("VU",Liste_rouge!A:A,2,1),"VU")</f>
        <v>VU</v>
      </c>
      <c r="X22607" s="5" t="s">
        <v>374</v>
      </c>
      <c r="AB22607" s="4" t="s">
        <v>93</v>
      </c>
      <c r="AH22607" s="4" t="str">
        <f>HYPERLINK("#Statut_biogéographique!A"&amp;_xlfn.XMATCH("P",Statut_biogéographique!A:A,2,1),"P")</f>
        <v>P</v>
      </c>
      <c r="AP22607" s="4" t="s">
        <v>376</v>
      </c>
      <c r="AR22607" s="4" t="s">
        <v>377</v>
      </c>
    </row>
    <row r="22608" spans="1:44">
      <c r="A22608" s="4" t="s">
        <v>24364</v>
      </c>
      <c r="B22608" s="4">
        <v>5216</v>
      </c>
      <c r="D22608" s="5" t="s">
        <v>29349</v>
      </c>
      <c r="E22608" s="6" t="str">
        <f>HYPERLINK("https://inpn.mnhn.fr/espece/cd_nom/5216","Tortula cuneifolia (Dicks.) Turner, 1804")</f>
        <v>Tortula cuneifolia (Dicks.) Turner, 1804</v>
      </c>
      <c r="P22608" s="7" t="str">
        <f>HYPERLINK("#Liste_rouge!A"&amp;_xlfn.XMATCH("LC",Liste_rouge!A:A,2,1),"LC")</f>
        <v>LC</v>
      </c>
      <c r="T22608" s="7" t="str">
        <f>HYPERLINK("#Liste_rouge!A"&amp;_xlfn.XMATCH("CR",Liste_rouge!A:A,2,1),"CR")</f>
        <v>CR</v>
      </c>
      <c r="AB22608" s="4" t="s">
        <v>24855</v>
      </c>
      <c r="AH22608" s="4" t="str">
        <f>HYPERLINK("#Statut_biogéographique!A"&amp;_xlfn.XMATCH("P",Statut_biogéographique!A:A,2,1),"P")</f>
        <v>P</v>
      </c>
      <c r="AP22608" s="4" t="s">
        <v>376</v>
      </c>
      <c r="AR22608" s="4" t="s">
        <v>377</v>
      </c>
    </row>
    <row r="22609" spans="1:44" ht="45">
      <c r="A22609" s="4" t="s">
        <v>24364</v>
      </c>
      <c r="B22609" s="4">
        <v>521639</v>
      </c>
      <c r="D22609" s="5" t="s">
        <v>29350</v>
      </c>
      <c r="E22609" s="6" t="str">
        <f>HYPERLINK("https://inpn.mnhn.fr/espece/cd_nom/521639","Ipomoea purpurea (L.) Roth, 1787")</f>
        <v>Ipomoea purpurea (L.) Roth, 1787</v>
      </c>
      <c r="F22609" s="5" t="s">
        <v>29351</v>
      </c>
      <c r="Q22609" s="7" t="str">
        <f>HYPERLINK("#Liste_rouge!A"&amp;_xlfn.XMATCH("NA",Liste_rouge!A:A,2,1),"NA")</f>
        <v>NA</v>
      </c>
      <c r="AH22609" s="4" t="str">
        <f>HYPERLINK("#Statut_biogéographique!A"&amp;_xlfn.XMATCH("I",Statut_biogéographique!A:A,2,1),"I")</f>
        <v>I</v>
      </c>
      <c r="AP22609" s="4" t="s">
        <v>376</v>
      </c>
      <c r="AR22609" s="4" t="s">
        <v>377</v>
      </c>
    </row>
    <row r="22610" spans="1:44" ht="30">
      <c r="A22610" s="4" t="s">
        <v>24364</v>
      </c>
      <c r="B22610" s="4">
        <v>521658</v>
      </c>
      <c r="D22610" s="5" t="s">
        <v>29352</v>
      </c>
      <c r="E22610" s="6" t="str">
        <f>HYPERLINK("https://inpn.mnhn.fr/espece/cd_nom/521658","Quercus petraea (Matt.) Liebl., 1784")</f>
        <v>Quercus petraea (Matt.) Liebl., 1784</v>
      </c>
      <c r="F22610" s="5" t="s">
        <v>29353</v>
      </c>
      <c r="O22610" s="7" t="str">
        <f>HYPERLINK("#Liste_rouge!A"&amp;_xlfn.XMATCH("LC",Liste_rouge!A:A,2,1),"LC")</f>
        <v>LC</v>
      </c>
      <c r="P22610" s="7" t="str">
        <f>HYPERLINK("#Liste_rouge!A"&amp;_xlfn.XMATCH("LC",Liste_rouge!A:A,2,1),"LC")</f>
        <v>LC</v>
      </c>
      <c r="Q22610" s="7" t="str">
        <f>HYPERLINK("#Liste_rouge!A"&amp;_xlfn.XMATCH("LC",Liste_rouge!A:A,2,1),"LC")</f>
        <v>LC</v>
      </c>
      <c r="T22610" s="7" t="str">
        <f>HYPERLINK("#Liste_rouge!A"&amp;_xlfn.XMATCH("LC",Liste_rouge!A:A,2,1),"LC")</f>
        <v>LC</v>
      </c>
      <c r="V22610" s="7" t="str">
        <f>HYPERLINK("#Liste_rouge!A"&amp;_xlfn.XMATCH("LC",Liste_rouge!A:A,2,1),"LC")</f>
        <v>LC</v>
      </c>
      <c r="AH22610" s="4" t="str">
        <f>HYPERLINK("#Statut_biogéographique!A"&amp;_xlfn.XMATCH("P",Statut_biogéographique!A:A,2,1),"P")</f>
        <v>P</v>
      </c>
      <c r="AP22610" s="4" t="s">
        <v>376</v>
      </c>
      <c r="AR22610" s="4" t="s">
        <v>377</v>
      </c>
    </row>
    <row r="22611" spans="1:44">
      <c r="A22611" s="4" t="s">
        <v>24364</v>
      </c>
      <c r="B22611" s="4">
        <v>5219</v>
      </c>
      <c r="D22611" s="5" t="s">
        <v>29354</v>
      </c>
      <c r="E22611" s="6" t="str">
        <f>HYPERLINK("https://inpn.mnhn.fr/espece/cd_nom/5219","Tortula inermis (Brid.) Mont., 1832")</f>
        <v>Tortula inermis (Brid.) Mont., 1832</v>
      </c>
      <c r="P22611" s="7" t="str">
        <f>HYPERLINK("#Liste_rouge!A"&amp;_xlfn.XMATCH("LC",Liste_rouge!A:A,2,1),"LC")</f>
        <v>LC</v>
      </c>
      <c r="T22611" s="7" t="str">
        <f>HYPERLINK("#Liste_rouge!A"&amp;_xlfn.XMATCH("NT",Liste_rouge!A:A,2,1),"NT")</f>
        <v>NT</v>
      </c>
      <c r="V22611" s="7" t="str">
        <f>HYPERLINK("#Liste_rouge!A"&amp;_xlfn.XMATCH("DD",Liste_rouge!A:A,2,1),"DD")</f>
        <v>DD</v>
      </c>
      <c r="AB22611" s="4" t="s">
        <v>29355</v>
      </c>
      <c r="AH22611" s="4" t="str">
        <f>HYPERLINK("#Statut_biogéographique!A"&amp;_xlfn.XMATCH("P",Statut_biogéographique!A:A,2,1),"P")</f>
        <v>P</v>
      </c>
      <c r="AP22611" s="4" t="s">
        <v>376</v>
      </c>
      <c r="AR22611" s="4" t="s">
        <v>377</v>
      </c>
    </row>
    <row r="22612" spans="1:44" ht="30">
      <c r="A22612" s="4" t="s">
        <v>24364</v>
      </c>
      <c r="B22612" s="4">
        <v>5223</v>
      </c>
      <c r="D22612" s="5" t="s">
        <v>29356</v>
      </c>
      <c r="E22612" s="6" t="str">
        <f>HYPERLINK("https://inpn.mnhn.fr/espece/cd_nom/5223","Tortula marginata (Bruch &amp; Schimp.) Spruce, 1845")</f>
        <v>Tortula marginata (Bruch &amp; Schimp.) Spruce, 1845</v>
      </c>
      <c r="P22612" s="7" t="str">
        <f>HYPERLINK("#Liste_rouge!A"&amp;_xlfn.XMATCH("LC",Liste_rouge!A:A,2,1),"LC")</f>
        <v>LC</v>
      </c>
      <c r="T22612" s="7" t="str">
        <f>HYPERLINK("#Liste_rouge!A"&amp;_xlfn.XMATCH("CR",Liste_rouge!A:A,2,1),"CR")</f>
        <v>CR</v>
      </c>
      <c r="AB22612" s="4" t="s">
        <v>24397</v>
      </c>
      <c r="AH22612" s="4" t="str">
        <f>HYPERLINK("#Statut_biogéographique!A"&amp;_xlfn.XMATCH("P",Statut_biogéographique!A:A,2,1),"P")</f>
        <v>P</v>
      </c>
      <c r="AP22612" s="4" t="s">
        <v>376</v>
      </c>
      <c r="AR22612" s="4" t="s">
        <v>377</v>
      </c>
    </row>
    <row r="22613" spans="1:44">
      <c r="A22613" s="4" t="s">
        <v>24364</v>
      </c>
      <c r="B22613" s="4">
        <v>5225</v>
      </c>
      <c r="D22613" s="5" t="s">
        <v>29357</v>
      </c>
      <c r="E22613" s="6" t="str">
        <f>HYPERLINK("https://inpn.mnhn.fr/espece/cd_nom/5225","Tortula mucronifolia Schwägr., 1811")</f>
        <v>Tortula mucronifolia Schwägr., 1811</v>
      </c>
      <c r="P22613" s="7" t="str">
        <f>HYPERLINK("#Liste_rouge!A"&amp;_xlfn.XMATCH("NT",Liste_rouge!A:A,2,1),"NT")</f>
        <v>NT</v>
      </c>
      <c r="T22613" s="7" t="str">
        <f>HYPERLINK("#Liste_rouge!A"&amp;_xlfn.XMATCH("CR",Liste_rouge!A:A,2,1),"CR")</f>
        <v>CR</v>
      </c>
      <c r="X22613" s="5" t="s">
        <v>374</v>
      </c>
      <c r="AB22613" s="4" t="s">
        <v>93</v>
      </c>
      <c r="AH22613" s="4" t="str">
        <f>HYPERLINK("#Statut_biogéographique!A"&amp;_xlfn.XMATCH("P",Statut_biogéographique!A:A,2,1),"P")</f>
        <v>P</v>
      </c>
      <c r="AP22613" s="4" t="s">
        <v>376</v>
      </c>
      <c r="AR22613" s="4" t="s">
        <v>377</v>
      </c>
    </row>
    <row r="22614" spans="1:44">
      <c r="A22614" s="4" t="s">
        <v>24364</v>
      </c>
      <c r="B22614" s="4">
        <v>5226</v>
      </c>
      <c r="D22614" s="5" t="s">
        <v>29358</v>
      </c>
      <c r="E22614" s="6" t="str">
        <f>HYPERLINK("https://inpn.mnhn.fr/espece/cd_nom/5226","Tortula muralis Hedw., 1801")</f>
        <v>Tortula muralis Hedw., 1801</v>
      </c>
      <c r="P22614" s="7" t="str">
        <f>HYPERLINK("#Liste_rouge!A"&amp;_xlfn.XMATCH("LC",Liste_rouge!A:A,2,1),"LC")</f>
        <v>LC</v>
      </c>
      <c r="T22614" s="7" t="str">
        <f>HYPERLINK("#Liste_rouge!A"&amp;_xlfn.XMATCH("LC",Liste_rouge!A:A,2,1),"LC")</f>
        <v>LC</v>
      </c>
      <c r="V22614" s="7" t="str">
        <f>HYPERLINK("#Liste_rouge!A"&amp;_xlfn.XMATCH("LC",Liste_rouge!A:A,2,1),"LC (cd_nom 5226) - NE (cd_nom 5226)")</f>
        <v>LC (cd_nom 5226) - NE (cd_nom 5226)</v>
      </c>
      <c r="AH22614" s="4" t="str">
        <f>HYPERLINK("#Statut_biogéographique!A"&amp;_xlfn.XMATCH("P",Statut_biogéographique!A:A,2,1),"P")</f>
        <v>P</v>
      </c>
      <c r="AP22614" s="4" t="s">
        <v>376</v>
      </c>
      <c r="AR22614" s="4" t="s">
        <v>377</v>
      </c>
    </row>
    <row r="22615" spans="1:44" ht="30">
      <c r="A22615" s="4" t="s">
        <v>24364</v>
      </c>
      <c r="B22615" s="4">
        <v>5243</v>
      </c>
      <c r="D22615" s="5" t="s">
        <v>29359</v>
      </c>
      <c r="E22615" s="6" t="str">
        <f>HYPERLINK("https://inpn.mnhn.fr/espece/cd_nom/5243","Tortula subulata Hedw., 1801")</f>
        <v>Tortula subulata Hedw., 1801</v>
      </c>
      <c r="P22615" s="7" t="str">
        <f>HYPERLINK("#Liste_rouge!A"&amp;_xlfn.XMATCH("LC",Liste_rouge!A:A,2,1),"LC")</f>
        <v>LC</v>
      </c>
      <c r="T22615" s="7" t="str">
        <f>HYPERLINK("#Liste_rouge!A"&amp;_xlfn.XMATCH("LC",Liste_rouge!A:A,2,1),"LC")</f>
        <v>LC</v>
      </c>
      <c r="V22615" s="7" t="str">
        <f>HYPERLINK("#Liste_rouge!A"&amp;_xlfn.XMATCH("LC",Liste_rouge!A:A,2,1),"LC")</f>
        <v>LC</v>
      </c>
      <c r="AH22615" s="4" t="str">
        <f>HYPERLINK("#Statut_biogéographique!A"&amp;_xlfn.XMATCH("P",Statut_biogéographique!A:A,2,1),"P")</f>
        <v>P</v>
      </c>
      <c r="AP22615" s="4" t="s">
        <v>376</v>
      </c>
      <c r="AR22615" s="4" t="s">
        <v>377</v>
      </c>
    </row>
    <row r="22616" spans="1:44">
      <c r="A22616" s="4" t="s">
        <v>24364</v>
      </c>
      <c r="B22616" s="4">
        <v>5266</v>
      </c>
      <c r="D22616" s="5">
        <v>5266</v>
      </c>
      <c r="E22616" s="6" t="str">
        <f>HYPERLINK("https://inpn.mnhn.fr/espece/cd_nom/5266","Barbula unguiculata Hedw., 1801")</f>
        <v>Barbula unguiculata Hedw., 1801</v>
      </c>
      <c r="P22616" s="7" t="str">
        <f>HYPERLINK("#Liste_rouge!A"&amp;_xlfn.XMATCH("LC",Liste_rouge!A:A,2,1),"LC")</f>
        <v>LC</v>
      </c>
      <c r="T22616" s="7" t="str">
        <f>HYPERLINK("#Liste_rouge!A"&amp;_xlfn.XMATCH("LC",Liste_rouge!A:A,2,1),"LC")</f>
        <v>LC</v>
      </c>
      <c r="V22616" s="7" t="str">
        <f>HYPERLINK("#Liste_rouge!A"&amp;_xlfn.XMATCH("LC",Liste_rouge!A:A,2,1),"LC")</f>
        <v>LC</v>
      </c>
      <c r="AH22616" s="4" t="str">
        <f>HYPERLINK("#Statut_biogéographique!A"&amp;_xlfn.XMATCH("P",Statut_biogéographique!A:A,2,1),"P")</f>
        <v>P</v>
      </c>
      <c r="AP22616" s="4" t="s">
        <v>376</v>
      </c>
      <c r="AR22616" s="4" t="s">
        <v>377</v>
      </c>
    </row>
    <row r="22617" spans="1:44" ht="30">
      <c r="A22617" s="4" t="s">
        <v>24364</v>
      </c>
      <c r="B22617" s="4">
        <v>5268</v>
      </c>
      <c r="D22617" s="5" t="s">
        <v>29360</v>
      </c>
      <c r="E22617" s="6" t="str">
        <f>HYPERLINK("https://inpn.mnhn.fr/espece/cd_nom/5268","Pseudocrossidium hornschuchianum (Schultz) R.H.Zander, 1979")</f>
        <v>Pseudocrossidium hornschuchianum (Schultz) R.H.Zander, 1979</v>
      </c>
      <c r="P22617" s="7" t="str">
        <f>HYPERLINK("#Liste_rouge!A"&amp;_xlfn.XMATCH("LC",Liste_rouge!A:A,2,1),"LC")</f>
        <v>LC</v>
      </c>
      <c r="T22617" s="7" t="str">
        <f>HYPERLINK("#Liste_rouge!A"&amp;_xlfn.XMATCH("LC",Liste_rouge!A:A,2,1),"LC")</f>
        <v>LC</v>
      </c>
      <c r="V22617" s="7" t="str">
        <f>HYPERLINK("#Liste_rouge!A"&amp;_xlfn.XMATCH("LC",Liste_rouge!A:A,2,1),"LC")</f>
        <v>LC</v>
      </c>
      <c r="AH22617" s="4" t="str">
        <f>HYPERLINK("#Statut_biogéographique!A"&amp;_xlfn.XMATCH("P",Statut_biogéographique!A:A,2,1),"P")</f>
        <v>P</v>
      </c>
      <c r="AP22617" s="4" t="s">
        <v>376</v>
      </c>
      <c r="AR22617" s="4" t="s">
        <v>377</v>
      </c>
    </row>
    <row r="22618" spans="1:44" ht="30">
      <c r="A22618" s="4" t="s">
        <v>24364</v>
      </c>
      <c r="B22618" s="4">
        <v>5270</v>
      </c>
      <c r="D22618" s="5" t="s">
        <v>29361</v>
      </c>
      <c r="E22618" s="6" t="str">
        <f>HYPERLINK("https://inpn.mnhn.fr/espece/cd_nom/5270","Pseudocrossidium revolutum (Brid.) R.H.Zander, 1979")</f>
        <v>Pseudocrossidium revolutum (Brid.) R.H.Zander, 1979</v>
      </c>
      <c r="P22618" s="7" t="str">
        <f>HYPERLINK("#Liste_rouge!A"&amp;_xlfn.XMATCH("LC",Liste_rouge!A:A,2,1),"LC")</f>
        <v>LC</v>
      </c>
      <c r="T22618" s="7" t="str">
        <f>HYPERLINK("#Liste_rouge!A"&amp;_xlfn.XMATCH("LC",Liste_rouge!A:A,2,1),"LC")</f>
        <v>LC</v>
      </c>
      <c r="V22618" s="7" t="str">
        <f>HYPERLINK("#Liste_rouge!A"&amp;_xlfn.XMATCH("LC",Liste_rouge!A:A,2,1),"LC")</f>
        <v>LC</v>
      </c>
      <c r="AH22618" s="4" t="str">
        <f>HYPERLINK("#Statut_biogéographique!A"&amp;_xlfn.XMATCH("P",Statut_biogéographique!A:A,2,1),"P")</f>
        <v>P</v>
      </c>
      <c r="AP22618" s="4" t="s">
        <v>376</v>
      </c>
      <c r="AR22618" s="4" t="s">
        <v>377</v>
      </c>
    </row>
    <row r="22619" spans="1:44">
      <c r="A22619" s="4" t="s">
        <v>24364</v>
      </c>
      <c r="B22619" s="4">
        <v>5273</v>
      </c>
      <c r="D22619" s="5" t="s">
        <v>29362</v>
      </c>
      <c r="E22619" s="6" t="str">
        <f>HYPERLINK("https://inpn.mnhn.fr/espece/cd_nom/5273","Didymodon acutus (Brid.) K.Saito, 1975")</f>
        <v>Didymodon acutus (Brid.) K.Saito, 1975</v>
      </c>
      <c r="P22619" s="7" t="str">
        <f>HYPERLINK("#Liste_rouge!A"&amp;_xlfn.XMATCH("LC",Liste_rouge!A:A,2,1),"LC")</f>
        <v>LC</v>
      </c>
      <c r="T22619" s="7" t="str">
        <f>HYPERLINK("#Liste_rouge!A"&amp;_xlfn.XMATCH("LC",Liste_rouge!A:A,2,1),"LC")</f>
        <v>LC</v>
      </c>
      <c r="V22619" s="7" t="str">
        <f>HYPERLINK("#Liste_rouge!A"&amp;_xlfn.XMATCH("LC",Liste_rouge!A:A,2,1),"LC")</f>
        <v>LC</v>
      </c>
      <c r="AH22619" s="4" t="str">
        <f>HYPERLINK("#Statut_biogéographique!A"&amp;_xlfn.XMATCH("P",Statut_biogéographique!A:A,2,1),"P")</f>
        <v>P</v>
      </c>
      <c r="AP22619" s="4" t="s">
        <v>376</v>
      </c>
      <c r="AR22619" s="4" t="s">
        <v>377</v>
      </c>
    </row>
    <row r="22620" spans="1:44">
      <c r="A22620" s="4" t="s">
        <v>24364</v>
      </c>
      <c r="B22620" s="4">
        <v>5278</v>
      </c>
      <c r="D22620" s="5" t="s">
        <v>29363</v>
      </c>
      <c r="E22620" s="6" t="str">
        <f>HYPERLINK("https://inpn.mnhn.fr/espece/cd_nom/5278","Didymodon cordatus Jur., 1866")</f>
        <v>Didymodon cordatus Jur., 1866</v>
      </c>
      <c r="P22620" s="7" t="str">
        <f>HYPERLINK("#Liste_rouge!A"&amp;_xlfn.XMATCH("LC",Liste_rouge!A:A,2,1),"LC")</f>
        <v>LC</v>
      </c>
      <c r="T22620" s="7" t="str">
        <f>HYPERLINK("#Liste_rouge!A"&amp;_xlfn.XMATCH("DD",Liste_rouge!A:A,2,1),"DD")</f>
        <v>DD</v>
      </c>
      <c r="V22620" s="7" t="str">
        <f>HYPERLINK("#Liste_rouge!A"&amp;_xlfn.XMATCH("VU",Liste_rouge!A:A,2,1),"VU")</f>
        <v>VU</v>
      </c>
      <c r="X22620" s="5" t="s">
        <v>374</v>
      </c>
      <c r="AB22620" s="4" t="s">
        <v>93</v>
      </c>
      <c r="AH22620" s="4" t="str">
        <f>HYPERLINK("#Statut_biogéographique!A"&amp;_xlfn.XMATCH("P",Statut_biogéographique!A:A,2,1),"P")</f>
        <v>P</v>
      </c>
      <c r="AP22620" s="4" t="s">
        <v>376</v>
      </c>
      <c r="AR22620" s="4" t="s">
        <v>377</v>
      </c>
    </row>
    <row r="22621" spans="1:44">
      <c r="A22621" s="4" t="s">
        <v>24364</v>
      </c>
      <c r="B22621" s="4">
        <v>5279</v>
      </c>
      <c r="D22621" s="5" t="s">
        <v>29364</v>
      </c>
      <c r="E22621" s="6" t="str">
        <f>HYPERLINK("https://inpn.mnhn.fr/espece/cd_nom/5279","Didymodon fallax (Hedw.) R.H.Zander, 1978")</f>
        <v>Didymodon fallax (Hedw.) R.H.Zander, 1978</v>
      </c>
      <c r="P22621" s="7" t="str">
        <f>HYPERLINK("#Liste_rouge!A"&amp;_xlfn.XMATCH("LC",Liste_rouge!A:A,2,1),"LC")</f>
        <v>LC</v>
      </c>
      <c r="T22621" s="7" t="str">
        <f>HYPERLINK("#Liste_rouge!A"&amp;_xlfn.XMATCH("LC",Liste_rouge!A:A,2,1),"LC")</f>
        <v>LC</v>
      </c>
      <c r="V22621" s="7" t="str">
        <f>HYPERLINK("#Liste_rouge!A"&amp;_xlfn.XMATCH("LC",Liste_rouge!A:A,2,1),"LC")</f>
        <v>LC</v>
      </c>
      <c r="AH22621" s="4" t="str">
        <f>HYPERLINK("#Statut_biogéographique!A"&amp;_xlfn.XMATCH("P",Statut_biogéographique!A:A,2,1),"P")</f>
        <v>P</v>
      </c>
      <c r="AP22621" s="4" t="s">
        <v>376</v>
      </c>
      <c r="AR22621" s="4" t="s">
        <v>377</v>
      </c>
    </row>
    <row r="22622" spans="1:44" ht="30">
      <c r="A22622" s="4" t="s">
        <v>24364</v>
      </c>
      <c r="B22622" s="4">
        <v>5281</v>
      </c>
      <c r="D22622" s="5" t="s">
        <v>29365</v>
      </c>
      <c r="E22622" s="6" t="str">
        <f>HYPERLINK("https://inpn.mnhn.fr/espece/cd_nom/5281","Didymodon ferrugineus (Schimp. ex Besch.) M.O.Hill, 1981")</f>
        <v>Didymodon ferrugineus (Schimp. ex Besch.) M.O.Hill, 1981</v>
      </c>
      <c r="P22622" s="7" t="str">
        <f>HYPERLINK("#Liste_rouge!A"&amp;_xlfn.XMATCH("LC",Liste_rouge!A:A,2,1),"LC")</f>
        <v>LC</v>
      </c>
      <c r="T22622" s="7" t="str">
        <f>HYPERLINK("#Liste_rouge!A"&amp;_xlfn.XMATCH("LC",Liste_rouge!A:A,2,1),"LC")</f>
        <v>LC</v>
      </c>
      <c r="V22622" s="7" t="str">
        <f>HYPERLINK("#Liste_rouge!A"&amp;_xlfn.XMATCH("LC",Liste_rouge!A:A,2,1),"LC")</f>
        <v>LC</v>
      </c>
      <c r="AH22622" s="4" t="str">
        <f>HYPERLINK("#Statut_biogéographique!A"&amp;_xlfn.XMATCH("P",Statut_biogéographique!A:A,2,1),"P")</f>
        <v>P</v>
      </c>
      <c r="AP22622" s="4" t="s">
        <v>376</v>
      </c>
      <c r="AR22622" s="4" t="s">
        <v>377</v>
      </c>
    </row>
    <row r="22623" spans="1:44" ht="30">
      <c r="A22623" s="4" t="s">
        <v>24364</v>
      </c>
      <c r="B22623" s="4">
        <v>5284</v>
      </c>
      <c r="D22623" s="5" t="s">
        <v>29366</v>
      </c>
      <c r="E22623" s="6" t="str">
        <f>HYPERLINK("https://inpn.mnhn.fr/espece/cd_nom/5284","Didymodon insulanus (De Not.) M.O.Hill, 1981")</f>
        <v>Didymodon insulanus (De Not.) M.O.Hill, 1981</v>
      </c>
      <c r="P22623" s="7" t="str">
        <f>HYPERLINK("#Liste_rouge!A"&amp;_xlfn.XMATCH("LC",Liste_rouge!A:A,2,1),"LC")</f>
        <v>LC</v>
      </c>
      <c r="T22623" s="7" t="str">
        <f>HYPERLINK("#Liste_rouge!A"&amp;_xlfn.XMATCH("LC",Liste_rouge!A:A,2,1),"LC")</f>
        <v>LC</v>
      </c>
      <c r="V22623" s="7" t="str">
        <f>HYPERLINK("#Liste_rouge!A"&amp;_xlfn.XMATCH("LC",Liste_rouge!A:A,2,1),"LC")</f>
        <v>LC</v>
      </c>
      <c r="AH22623" s="4" t="str">
        <f>HYPERLINK("#Statut_biogéographique!A"&amp;_xlfn.XMATCH("P",Statut_biogéographique!A:A,2,1),"P")</f>
        <v>P</v>
      </c>
      <c r="AP22623" s="4" t="s">
        <v>376</v>
      </c>
      <c r="AR22623" s="4" t="s">
        <v>377</v>
      </c>
    </row>
    <row r="22624" spans="1:44">
      <c r="A22624" s="4" t="s">
        <v>24364</v>
      </c>
      <c r="B22624" s="4">
        <v>5289</v>
      </c>
      <c r="D22624" s="5" t="s">
        <v>29367</v>
      </c>
      <c r="E22624" s="6" t="str">
        <f>HYPERLINK("https://inpn.mnhn.fr/espece/cd_nom/5289","Didymodon luridus Hornsch., 1827")</f>
        <v>Didymodon luridus Hornsch., 1827</v>
      </c>
      <c r="P22624" s="7" t="str">
        <f>HYPERLINK("#Liste_rouge!A"&amp;_xlfn.XMATCH("LC",Liste_rouge!A:A,2,1),"LC")</f>
        <v>LC</v>
      </c>
      <c r="T22624" s="7" t="str">
        <f>HYPERLINK("#Liste_rouge!A"&amp;_xlfn.XMATCH("LC",Liste_rouge!A:A,2,1),"LC")</f>
        <v>LC</v>
      </c>
      <c r="V22624" s="7" t="str">
        <f>HYPERLINK("#Liste_rouge!A"&amp;_xlfn.XMATCH("LC",Liste_rouge!A:A,2,1),"LC")</f>
        <v>LC</v>
      </c>
      <c r="AH22624" s="4" t="str">
        <f>HYPERLINK("#Statut_biogéographique!A"&amp;_xlfn.XMATCH("P",Statut_biogéographique!A:A,2,1),"P")</f>
        <v>P</v>
      </c>
      <c r="AP22624" s="4" t="s">
        <v>376</v>
      </c>
      <c r="AR22624" s="4" t="s">
        <v>377</v>
      </c>
    </row>
    <row r="22625" spans="1:44">
      <c r="A22625" s="4" t="s">
        <v>24364</v>
      </c>
      <c r="B22625" s="4">
        <v>5292</v>
      </c>
      <c r="D22625" s="5" t="s">
        <v>29368</v>
      </c>
      <c r="E22625" s="6" t="str">
        <f>HYPERLINK("https://inpn.mnhn.fr/espece/cd_nom/5292","Didymodon rigidulus Hedw., 1801")</f>
        <v>Didymodon rigidulus Hedw., 1801</v>
      </c>
      <c r="P22625" s="7" t="str">
        <f>HYPERLINK("#Liste_rouge!A"&amp;_xlfn.XMATCH("LC",Liste_rouge!A:A,2,1),"LC")</f>
        <v>LC</v>
      </c>
      <c r="T22625" s="7" t="str">
        <f>HYPERLINK("#Liste_rouge!A"&amp;_xlfn.XMATCH("LC",Liste_rouge!A:A,2,1),"LC")</f>
        <v>LC</v>
      </c>
      <c r="V22625" s="7" t="str">
        <f>HYPERLINK("#Liste_rouge!A"&amp;_xlfn.XMATCH("LC",Liste_rouge!A:A,2,1),"LC")</f>
        <v>LC</v>
      </c>
      <c r="AH22625" s="4" t="str">
        <f>HYPERLINK("#Statut_biogéographique!A"&amp;_xlfn.XMATCH("P",Statut_biogéographique!A:A,2,1),"P")</f>
        <v>P</v>
      </c>
      <c r="AP22625" s="4" t="s">
        <v>376</v>
      </c>
      <c r="AR22625" s="4" t="s">
        <v>377</v>
      </c>
    </row>
    <row r="22626" spans="1:44">
      <c r="A22626" s="4" t="s">
        <v>24364</v>
      </c>
      <c r="B22626" s="4">
        <v>5295</v>
      </c>
      <c r="D22626" s="5" t="s">
        <v>29369</v>
      </c>
      <c r="E22626" s="6" t="str">
        <f>HYPERLINK("https://inpn.mnhn.fr/espece/cd_nom/5295","Didymodon sinuosus (Mitt.) Delogne, 1873")</f>
        <v>Didymodon sinuosus (Mitt.) Delogne, 1873</v>
      </c>
      <c r="P22626" s="7" t="str">
        <f>HYPERLINK("#Liste_rouge!A"&amp;_xlfn.XMATCH("LC",Liste_rouge!A:A,2,1),"LC")</f>
        <v>LC</v>
      </c>
      <c r="T22626" s="7" t="str">
        <f>HYPERLINK("#Liste_rouge!A"&amp;_xlfn.XMATCH("LC",Liste_rouge!A:A,2,1),"LC")</f>
        <v>LC</v>
      </c>
      <c r="V22626" s="7" t="str">
        <f>HYPERLINK("#Liste_rouge!A"&amp;_xlfn.XMATCH("LC",Liste_rouge!A:A,2,1),"LC")</f>
        <v>LC</v>
      </c>
      <c r="AH22626" s="4" t="str">
        <f>HYPERLINK("#Statut_biogéographique!A"&amp;_xlfn.XMATCH("P",Statut_biogéographique!A:A,2,1),"P")</f>
        <v>P</v>
      </c>
      <c r="AP22626" s="4" t="s">
        <v>376</v>
      </c>
      <c r="AR22626" s="4" t="s">
        <v>377</v>
      </c>
    </row>
    <row r="22627" spans="1:44" ht="30">
      <c r="A22627" s="4" t="s">
        <v>24364</v>
      </c>
      <c r="B22627" s="4">
        <v>5298</v>
      </c>
      <c r="D22627" s="5" t="s">
        <v>29370</v>
      </c>
      <c r="E22627" s="6" t="str">
        <f>HYPERLINK("https://inpn.mnhn.fr/espece/cd_nom/5298","Didymodon spadiceus (Mitt.) Limpr., 1888")</f>
        <v>Didymodon spadiceus (Mitt.) Limpr., 1888</v>
      </c>
      <c r="P22627" s="7" t="str">
        <f>HYPERLINK("#Liste_rouge!A"&amp;_xlfn.XMATCH("LC",Liste_rouge!A:A,2,1),"LC")</f>
        <v>LC</v>
      </c>
      <c r="T22627" s="7" t="str">
        <f>HYPERLINK("#Liste_rouge!A"&amp;_xlfn.XMATCH("NT",Liste_rouge!A:A,2,1),"NT")</f>
        <v>NT</v>
      </c>
      <c r="V22627" s="7" t="str">
        <f>HYPERLINK("#Liste_rouge!A"&amp;_xlfn.XMATCH("LC",Liste_rouge!A:A,2,1),"LC")</f>
        <v>LC</v>
      </c>
      <c r="AB22627" s="4" t="s">
        <v>26199</v>
      </c>
      <c r="AH22627" s="4" t="str">
        <f>HYPERLINK("#Statut_biogéographique!A"&amp;_xlfn.XMATCH("P",Statut_biogéographique!A:A,2,1),"P")</f>
        <v>P</v>
      </c>
      <c r="AP22627" s="4" t="s">
        <v>376</v>
      </c>
      <c r="AR22627" s="4" t="s">
        <v>377</v>
      </c>
    </row>
    <row r="22628" spans="1:44">
      <c r="A22628" s="4" t="s">
        <v>24364</v>
      </c>
      <c r="B22628" s="4">
        <v>5300</v>
      </c>
      <c r="D22628" s="5" t="s">
        <v>29371</v>
      </c>
      <c r="E22628" s="6" t="str">
        <f>HYPERLINK("https://inpn.mnhn.fr/espece/cd_nom/5300","Didymodon tophaceus (Brid.) Lisa, 1837")</f>
        <v>Didymodon tophaceus (Brid.) Lisa, 1837</v>
      </c>
      <c r="P22628" s="7" t="str">
        <f>HYPERLINK("#Liste_rouge!A"&amp;_xlfn.XMATCH("LC",Liste_rouge!A:A,2,1),"LC")</f>
        <v>LC</v>
      </c>
      <c r="T22628" s="7" t="str">
        <f>HYPERLINK("#Liste_rouge!A"&amp;_xlfn.XMATCH("VU",Liste_rouge!A:A,2,1),"VU")</f>
        <v>VU</v>
      </c>
      <c r="V22628" s="7" t="str">
        <f>HYPERLINK("#Liste_rouge!A"&amp;_xlfn.XMATCH("LC",Liste_rouge!A:A,2,1),"LC")</f>
        <v>LC</v>
      </c>
      <c r="X22628" s="5" t="s">
        <v>374</v>
      </c>
      <c r="AB22628" s="4" t="s">
        <v>93</v>
      </c>
      <c r="AH22628" s="4" t="str">
        <f>HYPERLINK("#Statut_biogéographique!A"&amp;_xlfn.XMATCH("P",Statut_biogéographique!A:A,2,1),"P")</f>
        <v>P</v>
      </c>
      <c r="AP22628" s="4" t="s">
        <v>376</v>
      </c>
      <c r="AR22628" s="4" t="s">
        <v>377</v>
      </c>
    </row>
    <row r="22629" spans="1:44">
      <c r="A22629" s="4" t="s">
        <v>24364</v>
      </c>
      <c r="B22629" s="4">
        <v>5302</v>
      </c>
      <c r="D22629" s="5" t="s">
        <v>29372</v>
      </c>
      <c r="E22629" s="6" t="str">
        <f>HYPERLINK("https://inpn.mnhn.fr/espece/cd_nom/5302","Didymodon vinealis (Brid.) R.H.Zander, 1978")</f>
        <v>Didymodon vinealis (Brid.) R.H.Zander, 1978</v>
      </c>
      <c r="P22629" s="7" t="str">
        <f>HYPERLINK("#Liste_rouge!A"&amp;_xlfn.XMATCH("LC",Liste_rouge!A:A,2,1),"LC")</f>
        <v>LC</v>
      </c>
      <c r="T22629" s="7" t="str">
        <f>HYPERLINK("#Liste_rouge!A"&amp;_xlfn.XMATCH("LC",Liste_rouge!A:A,2,1),"LC")</f>
        <v>LC</v>
      </c>
      <c r="V22629" s="7" t="str">
        <f>HYPERLINK("#Liste_rouge!A"&amp;_xlfn.XMATCH("LC",Liste_rouge!A:A,2,1),"LC")</f>
        <v>LC</v>
      </c>
      <c r="AH22629" s="4" t="str">
        <f>HYPERLINK("#Statut_biogéographique!A"&amp;_xlfn.XMATCH("P",Statut_biogéographique!A:A,2,1),"P")</f>
        <v>P</v>
      </c>
      <c r="AP22629" s="4" t="s">
        <v>376</v>
      </c>
      <c r="AR22629" s="4" t="s">
        <v>377</v>
      </c>
    </row>
    <row r="22630" spans="1:44">
      <c r="A22630" s="4" t="s">
        <v>24364</v>
      </c>
      <c r="B22630" s="4">
        <v>5308</v>
      </c>
      <c r="D22630" s="5" t="s">
        <v>29373</v>
      </c>
      <c r="E22630" s="6" t="str">
        <f>HYPERLINK("https://inpn.mnhn.fr/espece/cd_nom/5308","Leptobarbula berica (De Not.) Schimp., 1876")</f>
        <v>Leptobarbula berica (De Not.) Schimp., 1876</v>
      </c>
      <c r="P22630" s="7" t="str">
        <f>HYPERLINK("#Liste_rouge!A"&amp;_xlfn.XMATCH("LC",Liste_rouge!A:A,2,1),"LC")</f>
        <v>LC</v>
      </c>
      <c r="T22630" s="7" t="str">
        <f>HYPERLINK("#Liste_rouge!A"&amp;_xlfn.XMATCH("VU",Liste_rouge!A:A,2,1),"VU")</f>
        <v>VU</v>
      </c>
      <c r="X22630" s="5" t="s">
        <v>374</v>
      </c>
      <c r="AB22630" s="4" t="s">
        <v>93</v>
      </c>
      <c r="AH22630" s="4" t="str">
        <f>HYPERLINK("#Statut_biogéographique!A"&amp;_xlfn.XMATCH("P",Statut_biogéographique!A:A,2,1),"P")</f>
        <v>P</v>
      </c>
      <c r="AP22630" s="4" t="s">
        <v>376</v>
      </c>
      <c r="AR22630" s="4" t="s">
        <v>377</v>
      </c>
    </row>
    <row r="22631" spans="1:44" ht="30">
      <c r="A22631" s="4" t="s">
        <v>24364</v>
      </c>
      <c r="B22631" s="4">
        <v>5322</v>
      </c>
      <c r="D22631" s="5" t="s">
        <v>29374</v>
      </c>
      <c r="E22631" s="6" t="str">
        <f>HYPERLINK("https://inpn.mnhn.fr/espece/cd_nom/5322","Eucladium verticillatum (With.) Bruch &amp; Schimp., 1846")</f>
        <v>Eucladium verticillatum (With.) Bruch &amp; Schimp., 1846</v>
      </c>
      <c r="P22631" s="7" t="str">
        <f>HYPERLINK("#Liste_rouge!A"&amp;_xlfn.XMATCH("LC",Liste_rouge!A:A,2,1),"LC")</f>
        <v>LC</v>
      </c>
      <c r="T22631" s="7" t="str">
        <f>HYPERLINK("#Liste_rouge!A"&amp;_xlfn.XMATCH("LC",Liste_rouge!A:A,2,1),"LC")</f>
        <v>LC</v>
      </c>
      <c r="V22631" s="7" t="str">
        <f>HYPERLINK("#Liste_rouge!A"&amp;_xlfn.XMATCH("LC",Liste_rouge!A:A,2,1),"LC")</f>
        <v>LC</v>
      </c>
      <c r="AH22631" s="4" t="str">
        <f>HYPERLINK("#Statut_biogéographique!A"&amp;_xlfn.XMATCH("P",Statut_biogéographique!A:A,2,1),"P")</f>
        <v>P</v>
      </c>
      <c r="AP22631" s="4" t="s">
        <v>376</v>
      </c>
      <c r="AR22631" s="4" t="s">
        <v>377</v>
      </c>
    </row>
    <row r="22632" spans="1:44">
      <c r="A22632" s="4" t="s">
        <v>24364</v>
      </c>
      <c r="B22632" s="4">
        <v>5324</v>
      </c>
      <c r="D22632" s="5" t="s">
        <v>29375</v>
      </c>
      <c r="E22632" s="6" t="str">
        <f>HYPERLINK("https://inpn.mnhn.fr/espece/cd_nom/5324","Gymnostomum aeruginosum Sm., 1804")</f>
        <v>Gymnostomum aeruginosum Sm., 1804</v>
      </c>
      <c r="P22632" s="7" t="str">
        <f>HYPERLINK("#Liste_rouge!A"&amp;_xlfn.XMATCH("LC",Liste_rouge!A:A,2,1),"LC")</f>
        <v>LC</v>
      </c>
      <c r="T22632" s="7" t="str">
        <f>HYPERLINK("#Liste_rouge!A"&amp;_xlfn.XMATCH("LC",Liste_rouge!A:A,2,1),"LC")</f>
        <v>LC</v>
      </c>
      <c r="V22632" s="7" t="str">
        <f>HYPERLINK("#Liste_rouge!A"&amp;_xlfn.XMATCH("LC",Liste_rouge!A:A,2,1),"LC")</f>
        <v>LC</v>
      </c>
      <c r="AH22632" s="4" t="str">
        <f>HYPERLINK("#Statut_biogéographique!A"&amp;_xlfn.XMATCH("P",Statut_biogéographique!A:A,2,1),"P")</f>
        <v>P</v>
      </c>
      <c r="AP22632" s="4" t="s">
        <v>376</v>
      </c>
      <c r="AR22632" s="4" t="s">
        <v>377</v>
      </c>
    </row>
    <row r="22633" spans="1:44" ht="30">
      <c r="A22633" s="4" t="s">
        <v>24364</v>
      </c>
      <c r="B22633" s="4">
        <v>5325</v>
      </c>
      <c r="D22633" s="5" t="s">
        <v>29376</v>
      </c>
      <c r="E22633" s="6" t="str">
        <f>HYPERLINK("https://inpn.mnhn.fr/espece/cd_nom/5325","Gymnostomum calcareum Nees &amp; Hornsch., 1823")</f>
        <v>Gymnostomum calcareum Nees &amp; Hornsch., 1823</v>
      </c>
      <c r="P22633" s="7" t="str">
        <f>HYPERLINK("#Liste_rouge!A"&amp;_xlfn.XMATCH("LC",Liste_rouge!A:A,2,1),"LC")</f>
        <v>LC</v>
      </c>
      <c r="T22633" s="7" t="str">
        <f>HYPERLINK("#Liste_rouge!A"&amp;_xlfn.XMATCH("LC",Liste_rouge!A:A,2,1),"LC")</f>
        <v>LC</v>
      </c>
      <c r="V22633" s="7" t="str">
        <f>HYPERLINK("#Liste_rouge!A"&amp;_xlfn.XMATCH("LC",Liste_rouge!A:A,2,1),"LC")</f>
        <v>LC</v>
      </c>
      <c r="AB22633" s="4" t="s">
        <v>26989</v>
      </c>
      <c r="AH22633" s="4" t="str">
        <f>HYPERLINK("#Statut_biogéographique!A"&amp;_xlfn.XMATCH("P",Statut_biogéographique!A:A,2,1),"P")</f>
        <v>P</v>
      </c>
      <c r="AP22633" s="4" t="s">
        <v>376</v>
      </c>
      <c r="AR22633" s="4" t="s">
        <v>377</v>
      </c>
    </row>
    <row r="22634" spans="1:44">
      <c r="A22634" s="4" t="s">
        <v>24364</v>
      </c>
      <c r="B22634" s="4">
        <v>5328</v>
      </c>
      <c r="D22634" s="5" t="s">
        <v>29377</v>
      </c>
      <c r="E22634" s="6" t="str">
        <f>HYPERLINK("https://inpn.mnhn.fr/espece/cd_nom/5328","Gyroweisia tenuis (Hedw.) Schimp., 1876")</f>
        <v>Gyroweisia tenuis (Hedw.) Schimp., 1876</v>
      </c>
      <c r="P22634" s="7" t="str">
        <f>HYPERLINK("#Liste_rouge!A"&amp;_xlfn.XMATCH("LC",Liste_rouge!A:A,2,1),"LC")</f>
        <v>LC</v>
      </c>
      <c r="T22634" s="7" t="str">
        <f>HYPERLINK("#Liste_rouge!A"&amp;_xlfn.XMATCH("EN",Liste_rouge!A:A,2,1),"EN")</f>
        <v>EN</v>
      </c>
      <c r="V22634" s="7" t="str">
        <f>HYPERLINK("#Liste_rouge!A"&amp;_xlfn.XMATCH("VU",Liste_rouge!A:A,2,1),"VU (cd_nom 5328) - NE (cd_nom 5328)")</f>
        <v>VU (cd_nom 5328) - NE (cd_nom 5328)</v>
      </c>
      <c r="X22634" s="5" t="s">
        <v>374</v>
      </c>
      <c r="AB22634" s="4" t="s">
        <v>93</v>
      </c>
      <c r="AH22634" s="4" t="str">
        <f>HYPERLINK("#Statut_biogéographique!A"&amp;_xlfn.XMATCH("P",Statut_biogéographique!A:A,2,1),"P")</f>
        <v>P</v>
      </c>
      <c r="AP22634" s="4" t="s">
        <v>376</v>
      </c>
      <c r="AR22634" s="4" t="s">
        <v>377</v>
      </c>
    </row>
    <row r="22635" spans="1:44" ht="30">
      <c r="A22635" s="4" t="s">
        <v>24364</v>
      </c>
      <c r="B22635" s="4">
        <v>5330</v>
      </c>
      <c r="D22635" s="5" t="s">
        <v>29378</v>
      </c>
      <c r="E22635" s="6" t="str">
        <f>HYPERLINK("https://inpn.mnhn.fr/espece/cd_nom/5330","Hymenostylium recurvirostrum (Hedw.) Dixon, 1933")</f>
        <v>Hymenostylium recurvirostrum (Hedw.) Dixon, 1933</v>
      </c>
      <c r="P22635" s="7" t="str">
        <f>HYPERLINK("#Liste_rouge!A"&amp;_xlfn.XMATCH("LC",Liste_rouge!A:A,2,1),"LC")</f>
        <v>LC</v>
      </c>
      <c r="V22635" s="7" t="str">
        <f>HYPERLINK("#Liste_rouge!A"&amp;_xlfn.XMATCH("LC",Liste_rouge!A:A,2,1),"LC")</f>
        <v>LC</v>
      </c>
      <c r="AH22635" s="4" t="str">
        <f>HYPERLINK("#Statut_biogéographique!A"&amp;_xlfn.XMATCH("P",Statut_biogéographique!A:A,2,1),"P")</f>
        <v>P</v>
      </c>
      <c r="AP22635" s="4" t="s">
        <v>376</v>
      </c>
      <c r="AR22635" s="4" t="s">
        <v>377</v>
      </c>
    </row>
    <row r="22636" spans="1:44">
      <c r="A22636" s="4" t="s">
        <v>24364</v>
      </c>
      <c r="B22636" s="4">
        <v>5344</v>
      </c>
      <c r="D22636" s="5" t="s">
        <v>29379</v>
      </c>
      <c r="E22636" s="6" t="str">
        <f>HYPERLINK("https://inpn.mnhn.fr/espece/cd_nom/5344","Tortella fragilis (Hook. &amp; Wilson) Limpr., 1888")</f>
        <v>Tortella fragilis (Hook. &amp; Wilson) Limpr., 1888</v>
      </c>
      <c r="P22636" s="7" t="str">
        <f>HYPERLINK("#Liste_rouge!A"&amp;_xlfn.XMATCH("LC",Liste_rouge!A:A,2,1),"LC")</f>
        <v>LC</v>
      </c>
      <c r="V22636" s="7" t="str">
        <f>HYPERLINK("#Liste_rouge!A"&amp;_xlfn.XMATCH("VU",Liste_rouge!A:A,2,1),"VU")</f>
        <v>VU</v>
      </c>
      <c r="X22636" s="5" t="s">
        <v>374</v>
      </c>
      <c r="AB22636" s="4" t="s">
        <v>93</v>
      </c>
      <c r="AH22636" s="4" t="str">
        <f>HYPERLINK("#Statut_biogéographique!A"&amp;_xlfn.XMATCH("P",Statut_biogéographique!A:A,2,1),"P")</f>
        <v>P</v>
      </c>
      <c r="AP22636" s="4" t="s">
        <v>376</v>
      </c>
      <c r="AR22636" s="4" t="s">
        <v>377</v>
      </c>
    </row>
    <row r="22637" spans="1:44">
      <c r="A22637" s="4" t="s">
        <v>24364</v>
      </c>
      <c r="B22637" s="4">
        <v>5345</v>
      </c>
      <c r="D22637" s="5" t="s">
        <v>29380</v>
      </c>
      <c r="E22637" s="6" t="str">
        <f>HYPERLINK("https://inpn.mnhn.fr/espece/cd_nom/5345","Tortella humilis (Hedw.) Jenn., 1913")</f>
        <v>Tortella humilis (Hedw.) Jenn., 1913</v>
      </c>
      <c r="P22637" s="7" t="str">
        <f>HYPERLINK("#Liste_rouge!A"&amp;_xlfn.XMATCH("LC",Liste_rouge!A:A,2,1),"LC")</f>
        <v>LC</v>
      </c>
      <c r="T22637" s="7" t="str">
        <f>HYPERLINK("#Liste_rouge!A"&amp;_xlfn.XMATCH("CR",Liste_rouge!A:A,2,1),"CR")</f>
        <v>CR</v>
      </c>
      <c r="X22637" s="5" t="s">
        <v>374</v>
      </c>
      <c r="AB22637" s="4" t="s">
        <v>93</v>
      </c>
      <c r="AH22637" s="4" t="str">
        <f>HYPERLINK("#Statut_biogéographique!A"&amp;_xlfn.XMATCH("P",Statut_biogéographique!A:A,2,1),"P")</f>
        <v>P</v>
      </c>
      <c r="AP22637" s="4" t="s">
        <v>376</v>
      </c>
      <c r="AR22637" s="4" t="s">
        <v>377</v>
      </c>
    </row>
    <row r="22638" spans="1:44">
      <c r="A22638" s="4" t="s">
        <v>24364</v>
      </c>
      <c r="B22638" s="4">
        <v>5347</v>
      </c>
      <c r="D22638" s="5" t="s">
        <v>29381</v>
      </c>
      <c r="E22638" s="6" t="str">
        <f>HYPERLINK("https://inpn.mnhn.fr/espece/cd_nom/5347","Tortella inclinata (R.Hedw.) Limpr., 1888")</f>
        <v>Tortella inclinata (R.Hedw.) Limpr., 1888</v>
      </c>
      <c r="P22638" s="7" t="str">
        <f>HYPERLINK("#Liste_rouge!A"&amp;_xlfn.XMATCH("LC",Liste_rouge!A:A,2,1),"LC")</f>
        <v>LC</v>
      </c>
      <c r="T22638" s="7" t="str">
        <f>HYPERLINK("#Liste_rouge!A"&amp;_xlfn.XMATCH("LC",Liste_rouge!A:A,2,1),"LC")</f>
        <v>LC</v>
      </c>
      <c r="V22638" s="7" t="str">
        <f>HYPERLINK("#Liste_rouge!A"&amp;_xlfn.XMATCH("LC",Liste_rouge!A:A,2,1),"LC")</f>
        <v>LC</v>
      </c>
      <c r="AH22638" s="4" t="str">
        <f>HYPERLINK("#Statut_biogéographique!A"&amp;_xlfn.XMATCH("P",Statut_biogéographique!A:A,2,1),"P")</f>
        <v>P</v>
      </c>
      <c r="AP22638" s="4" t="s">
        <v>376</v>
      </c>
      <c r="AR22638" s="4" t="s">
        <v>377</v>
      </c>
    </row>
    <row r="22639" spans="1:44">
      <c r="A22639" s="4" t="s">
        <v>24364</v>
      </c>
      <c r="B22639" s="4">
        <v>5348</v>
      </c>
      <c r="D22639" s="5">
        <v>5348</v>
      </c>
      <c r="E22639" s="6" t="str">
        <f>HYPERLINK("https://inpn.mnhn.fr/espece/cd_nom/5348","Tortella inflexa (Bruch) Broth., 1902")</f>
        <v>Tortella inflexa (Bruch) Broth., 1902</v>
      </c>
      <c r="P22639" s="7" t="str">
        <f>HYPERLINK("#Liste_rouge!A"&amp;_xlfn.XMATCH("LC",Liste_rouge!A:A,2,1),"LC")</f>
        <v>LC</v>
      </c>
      <c r="AH22639" s="4" t="str">
        <f>HYPERLINK("#Statut_biogéographique!A"&amp;_xlfn.XMATCH("P",Statut_biogéographique!A:A,2,1),"P")</f>
        <v>P</v>
      </c>
      <c r="AP22639" s="4" t="s">
        <v>376</v>
      </c>
      <c r="AR22639" s="4" t="s">
        <v>377</v>
      </c>
    </row>
    <row r="22640" spans="1:44">
      <c r="A22640" s="4" t="s">
        <v>24364</v>
      </c>
      <c r="B22640" s="4">
        <v>5349</v>
      </c>
      <c r="D22640" s="5" t="s">
        <v>29382</v>
      </c>
      <c r="E22640" s="6" t="str">
        <f>HYPERLINK("https://inpn.mnhn.fr/espece/cd_nom/5349","Tortella nitida (Lindb.) Broth., 1902")</f>
        <v>Tortella nitida (Lindb.) Broth., 1902</v>
      </c>
      <c r="M22640" s="4" t="str">
        <f>HYPERLINK("#Réglementation!A"&amp;_xlfn.XMATCH("RV43",Réglementation!A:A,2,1),"RV43")</f>
        <v>RV43</v>
      </c>
      <c r="P22640" s="7" t="str">
        <f>HYPERLINK("#Liste_rouge!A"&amp;_xlfn.XMATCH("LC",Liste_rouge!A:A,2,1),"LC")</f>
        <v>LC</v>
      </c>
      <c r="T22640" s="7" t="str">
        <f>HYPERLINK("#Liste_rouge!A"&amp;_xlfn.XMATCH("VU",Liste_rouge!A:A,2,1),"VU")</f>
        <v>VU</v>
      </c>
      <c r="V22640" s="7" t="str">
        <f>HYPERLINK("#Liste_rouge!A"&amp;_xlfn.XMATCH("LC",Liste_rouge!A:A,2,1),"LC")</f>
        <v>LC</v>
      </c>
      <c r="X22640" s="5" t="s">
        <v>374</v>
      </c>
      <c r="AB22640" s="4" t="s">
        <v>93</v>
      </c>
      <c r="AH22640" s="4" t="str">
        <f>HYPERLINK("#Statut_biogéographique!A"&amp;_xlfn.XMATCH("P",Statut_biogéographique!A:A,2,1),"P")</f>
        <v>P</v>
      </c>
      <c r="AP22640" s="4" t="s">
        <v>376</v>
      </c>
      <c r="AR22640" s="4" t="s">
        <v>377</v>
      </c>
    </row>
    <row r="22641" spans="1:44">
      <c r="A22641" s="4" t="s">
        <v>24364</v>
      </c>
      <c r="B22641" s="4">
        <v>5350</v>
      </c>
      <c r="D22641" s="5" t="s">
        <v>29383</v>
      </c>
      <c r="E22641" s="6" t="str">
        <f>HYPERLINK("https://inpn.mnhn.fr/espece/cd_nom/5350","Tortella tortuosa (Hedw.) Limpr., 1888")</f>
        <v>Tortella tortuosa (Hedw.) Limpr., 1888</v>
      </c>
      <c r="P22641" s="7" t="str">
        <f>HYPERLINK("#Liste_rouge!A"&amp;_xlfn.XMATCH("LC",Liste_rouge!A:A,2,1),"LC")</f>
        <v>LC</v>
      </c>
      <c r="T22641" s="7" t="str">
        <f>HYPERLINK("#Liste_rouge!A"&amp;_xlfn.XMATCH("LC",Liste_rouge!A:A,2,1),"LC")</f>
        <v>LC</v>
      </c>
      <c r="V22641" s="7" t="str">
        <f>HYPERLINK("#Liste_rouge!A"&amp;_xlfn.XMATCH("LC",Liste_rouge!A:A,2,1),"LC")</f>
        <v>LC</v>
      </c>
      <c r="AH22641" s="4" t="str">
        <f>HYPERLINK("#Statut_biogéographique!A"&amp;_xlfn.XMATCH("P",Statut_biogéographique!A:A,2,1),"P")</f>
        <v>P</v>
      </c>
      <c r="AP22641" s="4" t="s">
        <v>376</v>
      </c>
      <c r="AR22641" s="4" t="s">
        <v>377</v>
      </c>
    </row>
    <row r="22642" spans="1:44">
      <c r="A22642" s="4" t="s">
        <v>24364</v>
      </c>
      <c r="B22642" s="4">
        <v>5353</v>
      </c>
      <c r="D22642" s="5" t="s">
        <v>29384</v>
      </c>
      <c r="E22642" s="6" t="str">
        <f>HYPERLINK("https://inpn.mnhn.fr/espece/cd_nom/5353","Trichostomum brachydontium Bruch, 1829")</f>
        <v>Trichostomum brachydontium Bruch, 1829</v>
      </c>
      <c r="P22642" s="7" t="str">
        <f>HYPERLINK("#Liste_rouge!A"&amp;_xlfn.XMATCH("LC",Liste_rouge!A:A,2,1),"LC")</f>
        <v>LC</v>
      </c>
      <c r="T22642" s="7" t="str">
        <f>HYPERLINK("#Liste_rouge!A"&amp;_xlfn.XMATCH("LC",Liste_rouge!A:A,2,1),"LC")</f>
        <v>LC</v>
      </c>
      <c r="V22642" s="7" t="str">
        <f>HYPERLINK("#Liste_rouge!A"&amp;_xlfn.XMATCH("LC",Liste_rouge!A:A,2,1),"LC (cd_nom 5353) - NE (cd_nom 5353)")</f>
        <v>LC (cd_nom 5353) - NE (cd_nom 5353)</v>
      </c>
      <c r="AH22642" s="4" t="str">
        <f>HYPERLINK("#Statut_biogéographique!A"&amp;_xlfn.XMATCH("P",Statut_biogéographique!A:A,2,1),"P")</f>
        <v>P</v>
      </c>
      <c r="AP22642" s="4" t="s">
        <v>376</v>
      </c>
      <c r="AR22642" s="4" t="s">
        <v>377</v>
      </c>
    </row>
    <row r="22643" spans="1:44">
      <c r="A22643" s="4" t="s">
        <v>24364</v>
      </c>
      <c r="B22643" s="4">
        <v>5356</v>
      </c>
      <c r="D22643" s="5" t="s">
        <v>29385</v>
      </c>
      <c r="E22643" s="6" t="str">
        <f>HYPERLINK("https://inpn.mnhn.fr/espece/cd_nom/5356","Trichostomum crispulum Bruch, 1829")</f>
        <v>Trichostomum crispulum Bruch, 1829</v>
      </c>
      <c r="P22643" s="7" t="str">
        <f>HYPERLINK("#Liste_rouge!A"&amp;_xlfn.XMATCH("LC",Liste_rouge!A:A,2,1),"LC")</f>
        <v>LC</v>
      </c>
      <c r="T22643" s="7" t="str">
        <f>HYPERLINK("#Liste_rouge!A"&amp;_xlfn.XMATCH("LC",Liste_rouge!A:A,2,1),"LC")</f>
        <v>LC</v>
      </c>
      <c r="V22643" s="7" t="str">
        <f>HYPERLINK("#Liste_rouge!A"&amp;_xlfn.XMATCH("LC",Liste_rouge!A:A,2,1),"LC")</f>
        <v>LC</v>
      </c>
      <c r="AH22643" s="4" t="str">
        <f>HYPERLINK("#Statut_biogéographique!A"&amp;_xlfn.XMATCH("P",Statut_biogéographique!A:A,2,1),"P")</f>
        <v>P</v>
      </c>
      <c r="AP22643" s="4" t="s">
        <v>376</v>
      </c>
      <c r="AR22643" s="4" t="s">
        <v>377</v>
      </c>
    </row>
    <row r="22644" spans="1:44" ht="30">
      <c r="A22644" s="4" t="s">
        <v>24364</v>
      </c>
      <c r="B22644" s="4">
        <v>5362</v>
      </c>
      <c r="D22644" s="5" t="s">
        <v>29386</v>
      </c>
      <c r="E22644" s="6" t="str">
        <f>HYPERLINK("https://inpn.mnhn.fr/espece/cd_nom/5362","Weissia brachycarpa (Nees &amp; Hornsch.) Jur., 1882")</f>
        <v>Weissia brachycarpa (Nees &amp; Hornsch.) Jur., 1882</v>
      </c>
      <c r="P22644" s="7" t="str">
        <f>HYPERLINK("#Liste_rouge!A"&amp;_xlfn.XMATCH("LC",Liste_rouge!A:A,2,1),"LC")</f>
        <v>LC</v>
      </c>
      <c r="T22644" s="7" t="str">
        <f>HYPERLINK("#Liste_rouge!A"&amp;_xlfn.XMATCH("LC",Liste_rouge!A:A,2,1),"LC")</f>
        <v>LC</v>
      </c>
      <c r="V22644" s="7" t="str">
        <f>HYPERLINK("#Liste_rouge!A"&amp;_xlfn.XMATCH("LC",Liste_rouge!A:A,2,1),"LC")</f>
        <v>LC</v>
      </c>
      <c r="AH22644" s="4" t="str">
        <f>HYPERLINK("#Statut_biogéographique!A"&amp;_xlfn.XMATCH("P",Statut_biogéographique!A:A,2,1),"P")</f>
        <v>P</v>
      </c>
      <c r="AP22644" s="4" t="s">
        <v>376</v>
      </c>
      <c r="AR22644" s="4" t="s">
        <v>377</v>
      </c>
    </row>
    <row r="22645" spans="1:44">
      <c r="A22645" s="4" t="s">
        <v>24364</v>
      </c>
      <c r="B22645" s="4">
        <v>5364</v>
      </c>
      <c r="D22645" s="5" t="s">
        <v>29387</v>
      </c>
      <c r="E22645" s="6" t="str">
        <f>HYPERLINK("https://inpn.mnhn.fr/espece/cd_nom/5364","Weissia condensa (Voit) Lindb., 1863")</f>
        <v>Weissia condensa (Voit) Lindb., 1863</v>
      </c>
      <c r="P22645" s="7" t="str">
        <f>HYPERLINK("#Liste_rouge!A"&amp;_xlfn.XMATCH("LC",Liste_rouge!A:A,2,1),"LC")</f>
        <v>LC</v>
      </c>
      <c r="T22645" s="7" t="str">
        <f>HYPERLINK("#Liste_rouge!A"&amp;_xlfn.XMATCH("LC",Liste_rouge!A:A,2,1),"LC")</f>
        <v>LC</v>
      </c>
      <c r="V22645" s="7" t="str">
        <f>HYPERLINK("#Liste_rouge!A"&amp;_xlfn.XMATCH("LC",Liste_rouge!A:A,2,1),"LC")</f>
        <v>LC</v>
      </c>
      <c r="AH22645" s="4" t="str">
        <f>HYPERLINK("#Statut_biogéographique!A"&amp;_xlfn.XMATCH("P",Statut_biogéographique!A:A,2,1),"P")</f>
        <v>P</v>
      </c>
      <c r="AP22645" s="4" t="s">
        <v>376</v>
      </c>
      <c r="AR22645" s="4" t="s">
        <v>377</v>
      </c>
    </row>
    <row r="22646" spans="1:44">
      <c r="A22646" s="4" t="s">
        <v>24364</v>
      </c>
      <c r="B22646" s="4">
        <v>5366</v>
      </c>
      <c r="D22646" s="5" t="s">
        <v>29388</v>
      </c>
      <c r="E22646" s="6" t="str">
        <f>HYPERLINK("https://inpn.mnhn.fr/espece/cd_nom/5366","Weissia controversa Hedw., 1801")</f>
        <v>Weissia controversa Hedw., 1801</v>
      </c>
      <c r="P22646" s="7" t="str">
        <f>HYPERLINK("#Liste_rouge!A"&amp;_xlfn.XMATCH("LC",Liste_rouge!A:A,2,1),"LC")</f>
        <v>LC</v>
      </c>
      <c r="T22646" s="7" t="str">
        <f>HYPERLINK("#Liste_rouge!A"&amp;_xlfn.XMATCH("LC",Liste_rouge!A:A,2,1),"LC")</f>
        <v>LC</v>
      </c>
      <c r="V22646" s="7" t="str">
        <f>HYPERLINK("#Liste_rouge!A"&amp;_xlfn.XMATCH("LC",Liste_rouge!A:A,2,1),"LC")</f>
        <v>LC</v>
      </c>
      <c r="AH22646" s="4" t="str">
        <f>HYPERLINK("#Statut_biogéographique!A"&amp;_xlfn.XMATCH("P",Statut_biogéographique!A:A,2,1),"P")</f>
        <v>P</v>
      </c>
      <c r="AP22646" s="4" t="s">
        <v>376</v>
      </c>
      <c r="AR22646" s="4" t="s">
        <v>377</v>
      </c>
    </row>
    <row r="22647" spans="1:44">
      <c r="A22647" s="4" t="s">
        <v>24364</v>
      </c>
      <c r="B22647" s="4">
        <v>5371</v>
      </c>
      <c r="D22647" s="5" t="s">
        <v>29389</v>
      </c>
      <c r="E22647" s="6" t="str">
        <f>HYPERLINK("https://inpn.mnhn.fr/espece/cd_nom/5371","Weissia longifolia Mitt., 1851")</f>
        <v>Weissia longifolia Mitt., 1851</v>
      </c>
      <c r="P22647" s="7" t="str">
        <f>HYPERLINK("#Liste_rouge!A"&amp;_xlfn.XMATCH("LC",Liste_rouge!A:A,2,1),"LC")</f>
        <v>LC</v>
      </c>
      <c r="T22647" s="7" t="str">
        <f>HYPERLINK("#Liste_rouge!A"&amp;_xlfn.XMATCH("LC",Liste_rouge!A:A,2,1),"LC")</f>
        <v>LC</v>
      </c>
      <c r="V22647" s="7" t="str">
        <f>HYPERLINK("#Liste_rouge!A"&amp;_xlfn.XMATCH("DD",Liste_rouge!A:A,2,1),"DD")</f>
        <v>DD</v>
      </c>
      <c r="AH22647" s="4" t="str">
        <f>HYPERLINK("#Statut_biogéographique!A"&amp;_xlfn.XMATCH("P",Statut_biogéographique!A:A,2,1),"P")</f>
        <v>P</v>
      </c>
      <c r="AP22647" s="4" t="s">
        <v>376</v>
      </c>
      <c r="AR22647" s="4" t="s">
        <v>377</v>
      </c>
    </row>
    <row r="22648" spans="1:44">
      <c r="A22648" s="4" t="s">
        <v>24364</v>
      </c>
      <c r="B22648" s="4">
        <v>5374</v>
      </c>
      <c r="D22648" s="5" t="s">
        <v>29390</v>
      </c>
      <c r="E22648" s="6" t="str">
        <f>HYPERLINK("https://inpn.mnhn.fr/espece/cd_nom/5374","Weissia rostellata (Brid.) Lindb., 1864")</f>
        <v>Weissia rostellata (Brid.) Lindb., 1864</v>
      </c>
      <c r="P22648" s="7" t="str">
        <f>HYPERLINK("#Liste_rouge!A"&amp;_xlfn.XMATCH("NT",Liste_rouge!A:A,2,1),"NT")</f>
        <v>NT</v>
      </c>
      <c r="T22648" s="7" t="str">
        <f>HYPERLINK("#Liste_rouge!A"&amp;_xlfn.XMATCH("DD",Liste_rouge!A:A,2,1),"DD")</f>
        <v>DD</v>
      </c>
      <c r="V22648" s="7" t="str">
        <f>HYPERLINK("#Liste_rouge!A"&amp;_xlfn.XMATCH("DD",Liste_rouge!A:A,2,1),"DD")</f>
        <v>DD</v>
      </c>
      <c r="X22648" s="5" t="s">
        <v>374</v>
      </c>
      <c r="AB22648" s="4" t="s">
        <v>93</v>
      </c>
      <c r="AH22648" s="4" t="str">
        <f>HYPERLINK("#Statut_biogéographique!A"&amp;_xlfn.XMATCH("P",Statut_biogéographique!A:A,2,1),"P")</f>
        <v>P</v>
      </c>
      <c r="AP22648" s="4" t="s">
        <v>376</v>
      </c>
      <c r="AR22648" s="4" t="s">
        <v>377</v>
      </c>
    </row>
    <row r="22649" spans="1:44" ht="30">
      <c r="A22649" s="4" t="s">
        <v>24364</v>
      </c>
      <c r="B22649" s="4">
        <v>5375</v>
      </c>
      <c r="D22649" s="5" t="s">
        <v>29391</v>
      </c>
      <c r="E22649" s="6" t="str">
        <f>HYPERLINK("https://inpn.mnhn.fr/espece/cd_nom/5375","Weissia squarrosa (Nees &amp; Hornsch.) Müll.Hal., 1849")</f>
        <v>Weissia squarrosa (Nees &amp; Hornsch.) Müll.Hal., 1849</v>
      </c>
      <c r="O22649" s="7" t="str">
        <f>HYPERLINK("#Liste_rouge!A"&amp;_xlfn.XMATCH("VU",Liste_rouge!A:A,2,1),"VU")</f>
        <v>VU</v>
      </c>
      <c r="P22649" s="7" t="str">
        <f>HYPERLINK("#Liste_rouge!A"&amp;_xlfn.XMATCH("VU",Liste_rouge!A:A,2,1),"VU")</f>
        <v>VU</v>
      </c>
      <c r="T22649" s="7" t="str">
        <f>HYPERLINK("#Liste_rouge!A"&amp;_xlfn.XMATCH("CR",Liste_rouge!A:A,2,1),"CR")</f>
        <v>CR</v>
      </c>
      <c r="V22649" s="7" t="str">
        <f>HYPERLINK("#Liste_rouge!A"&amp;_xlfn.XMATCH("DD",Liste_rouge!A:A,2,1),"DD")</f>
        <v>DD</v>
      </c>
      <c r="X22649" s="5" t="s">
        <v>374</v>
      </c>
      <c r="AB22649" s="4" t="s">
        <v>93</v>
      </c>
      <c r="AH22649" s="4" t="str">
        <f>HYPERLINK("#Statut_biogéographique!A"&amp;_xlfn.XMATCH("P",Statut_biogéographique!A:A,2,1),"P")</f>
        <v>P</v>
      </c>
      <c r="AP22649" s="4" t="s">
        <v>376</v>
      </c>
      <c r="AR22649" s="4" t="s">
        <v>377</v>
      </c>
    </row>
    <row r="22650" spans="1:44">
      <c r="A22650" s="4" t="s">
        <v>24364</v>
      </c>
      <c r="B22650" s="4">
        <v>5376</v>
      </c>
      <c r="D22650" s="5">
        <v>5376</v>
      </c>
      <c r="E22650" s="6" t="str">
        <f>HYPERLINK("https://inpn.mnhn.fr/espece/cd_nom/5376","Weissia sterilis W.E.Nicholson, 1903")</f>
        <v>Weissia sterilis W.E.Nicholson, 1903</v>
      </c>
      <c r="O22650" s="7" t="str">
        <f>HYPERLINK("#Liste_rouge!A"&amp;_xlfn.XMATCH("NT",Liste_rouge!A:A,2,1),"NT")</f>
        <v>NT</v>
      </c>
      <c r="P22650" s="7" t="str">
        <f>HYPERLINK("#Liste_rouge!A"&amp;_xlfn.XMATCH("NT",Liste_rouge!A:A,2,1),"NT")</f>
        <v>NT</v>
      </c>
      <c r="T22650" s="7" t="str">
        <f>HYPERLINK("#Liste_rouge!A"&amp;_xlfn.XMATCH("CR",Liste_rouge!A:A,2,1),"CR")</f>
        <v>CR</v>
      </c>
      <c r="AB22650" s="4" t="s">
        <v>24984</v>
      </c>
      <c r="AH22650" s="4" t="str">
        <f>HYPERLINK("#Statut_biogéographique!A"&amp;_xlfn.XMATCH("P",Statut_biogéographique!A:A,2,1),"P")</f>
        <v>P</v>
      </c>
      <c r="AP22650" s="4" t="s">
        <v>376</v>
      </c>
      <c r="AR22650" s="4" t="s">
        <v>377</v>
      </c>
    </row>
    <row r="22651" spans="1:44">
      <c r="A22651" s="4" t="s">
        <v>24364</v>
      </c>
      <c r="B22651" s="4">
        <v>5379</v>
      </c>
      <c r="D22651" s="5" t="s">
        <v>29392</v>
      </c>
      <c r="E22651" s="6" t="str">
        <f>HYPERLINK("https://inpn.mnhn.fr/espece/cd_nom/5379","Weissia rutilans (Hedw.) Lindb., 1863")</f>
        <v>Weissia rutilans (Hedw.) Lindb., 1863</v>
      </c>
      <c r="P22651" s="7" t="str">
        <f>HYPERLINK("#Liste_rouge!A"&amp;_xlfn.XMATCH("LC",Liste_rouge!A:A,2,1),"LC")</f>
        <v>LC</v>
      </c>
      <c r="T22651" s="7" t="str">
        <f>HYPERLINK("#Liste_rouge!A"&amp;_xlfn.XMATCH("CR",Liste_rouge!A:A,2,1),"CR")</f>
        <v>CR</v>
      </c>
      <c r="V22651" s="7" t="str">
        <f>HYPERLINK("#Liste_rouge!A"&amp;_xlfn.XMATCH("DD",Liste_rouge!A:A,2,1),"DD")</f>
        <v>DD</v>
      </c>
      <c r="X22651" s="5" t="s">
        <v>374</v>
      </c>
      <c r="AB22651" s="4" t="s">
        <v>93</v>
      </c>
      <c r="AH22651" s="4" t="str">
        <f>HYPERLINK("#Statut_biogéographique!A"&amp;_xlfn.XMATCH("P",Statut_biogéographique!A:A,2,1),"P")</f>
        <v>P</v>
      </c>
      <c r="AP22651" s="4" t="s">
        <v>376</v>
      </c>
      <c r="AR22651" s="4" t="s">
        <v>377</v>
      </c>
    </row>
    <row r="22652" spans="1:44" ht="30">
      <c r="A22652" s="4" t="s">
        <v>24364</v>
      </c>
      <c r="B22652" s="4">
        <v>5380</v>
      </c>
      <c r="D22652" s="5" t="s">
        <v>29393</v>
      </c>
      <c r="E22652" s="6" t="str">
        <f>HYPERLINK("https://inpn.mnhn.fr/espece/cd_nom/5380","Weissia wimmeriana (Sendtn.) Bruch &amp; Schimp., 1846")</f>
        <v>Weissia wimmeriana (Sendtn.) Bruch &amp; Schimp., 1846</v>
      </c>
      <c r="P22652" s="7" t="str">
        <f>HYPERLINK("#Liste_rouge!A"&amp;_xlfn.XMATCH("LC",Liste_rouge!A:A,2,1),"LC")</f>
        <v>LC</v>
      </c>
      <c r="T22652" s="7" t="str">
        <f>HYPERLINK("#Liste_rouge!A"&amp;_xlfn.XMATCH("DD",Liste_rouge!A:A,2,1),"DD")</f>
        <v>DD</v>
      </c>
      <c r="AH22652" s="4" t="str">
        <f>HYPERLINK("#Statut_biogéographique!A"&amp;_xlfn.XMATCH("P",Statut_biogéographique!A:A,2,1),"P")</f>
        <v>P</v>
      </c>
      <c r="AP22652" s="4" t="s">
        <v>376</v>
      </c>
      <c r="AR22652" s="4" t="s">
        <v>377</v>
      </c>
    </row>
    <row r="22653" spans="1:44" ht="30">
      <c r="A22653" s="4" t="s">
        <v>24364</v>
      </c>
      <c r="B22653" s="4">
        <v>5384</v>
      </c>
      <c r="D22653" s="5" t="s">
        <v>29394</v>
      </c>
      <c r="E22653" s="6" t="str">
        <f>HYPERLINK("https://inpn.mnhn.fr/espece/cd_nom/5384","Cinclidotus aquaticus (Hedw.) Bruch &amp; Schimp., 1842")</f>
        <v>Cinclidotus aquaticus (Hedw.) Bruch &amp; Schimp., 1842</v>
      </c>
      <c r="P22653" s="7" t="str">
        <f>HYPERLINK("#Liste_rouge!A"&amp;_xlfn.XMATCH("LC",Liste_rouge!A:A,2,1),"LC")</f>
        <v>LC</v>
      </c>
      <c r="T22653" s="7" t="str">
        <f>HYPERLINK("#Liste_rouge!A"&amp;_xlfn.XMATCH("DD",Liste_rouge!A:A,2,1),"DD")</f>
        <v>DD</v>
      </c>
      <c r="V22653" s="7" t="str">
        <f>HYPERLINK("#Liste_rouge!A"&amp;_xlfn.XMATCH("LC",Liste_rouge!A:A,2,1),"LC")</f>
        <v>LC</v>
      </c>
      <c r="AB22653" s="4" t="s">
        <v>24410</v>
      </c>
      <c r="AH22653" s="4" t="str">
        <f>HYPERLINK("#Statut_biogéographique!A"&amp;_xlfn.XMATCH("P",Statut_biogéographique!A:A,2,1),"P")</f>
        <v>P</v>
      </c>
      <c r="AP22653" s="4" t="s">
        <v>376</v>
      </c>
      <c r="AR22653" s="4" t="s">
        <v>377</v>
      </c>
    </row>
    <row r="22654" spans="1:44" ht="30">
      <c r="A22654" s="4" t="s">
        <v>24364</v>
      </c>
      <c r="B22654" s="4">
        <v>5385</v>
      </c>
      <c r="D22654" s="5">
        <v>5385</v>
      </c>
      <c r="E22654" s="6" t="str">
        <f>HYPERLINK("https://inpn.mnhn.fr/espece/cd_nom/5385","Cinclidotus danubicus Schiffn. &amp; Baumgartner, 1906")</f>
        <v>Cinclidotus danubicus Schiffn. &amp; Baumgartner, 1906</v>
      </c>
      <c r="P22654" s="7" t="str">
        <f>HYPERLINK("#Liste_rouge!A"&amp;_xlfn.XMATCH("LC",Liste_rouge!A:A,2,1),"LC")</f>
        <v>LC</v>
      </c>
      <c r="T22654" s="7" t="str">
        <f>HYPERLINK("#Liste_rouge!A"&amp;_xlfn.XMATCH("LC",Liste_rouge!A:A,2,1),"LC")</f>
        <v>LC</v>
      </c>
      <c r="V22654" s="7" t="str">
        <f>HYPERLINK("#Liste_rouge!A"&amp;_xlfn.XMATCH("LC",Liste_rouge!A:A,2,1),"LC")</f>
        <v>LC</v>
      </c>
      <c r="AH22654" s="4" t="str">
        <f>HYPERLINK("#Statut_biogéographique!A"&amp;_xlfn.XMATCH("P",Statut_biogéographique!A:A,2,1),"P")</f>
        <v>P</v>
      </c>
      <c r="AP22654" s="4" t="s">
        <v>376</v>
      </c>
      <c r="AR22654" s="4" t="s">
        <v>377</v>
      </c>
    </row>
    <row r="22655" spans="1:44" ht="30">
      <c r="A22655" s="4" t="s">
        <v>24364</v>
      </c>
      <c r="B22655" s="4">
        <v>5386</v>
      </c>
      <c r="D22655" s="5" t="s">
        <v>29395</v>
      </c>
      <c r="E22655" s="6" t="str">
        <f>HYPERLINK("https://inpn.mnhn.fr/espece/cd_nom/5386","Cinclidotus fontinaloides (Hedw.) P.Beauv., 1805")</f>
        <v>Cinclidotus fontinaloides (Hedw.) P.Beauv., 1805</v>
      </c>
      <c r="P22655" s="7" t="str">
        <f>HYPERLINK("#Liste_rouge!A"&amp;_xlfn.XMATCH("LC",Liste_rouge!A:A,2,1),"LC")</f>
        <v>LC</v>
      </c>
      <c r="T22655" s="7" t="str">
        <f>HYPERLINK("#Liste_rouge!A"&amp;_xlfn.XMATCH("LC",Liste_rouge!A:A,2,1),"LC")</f>
        <v>LC</v>
      </c>
      <c r="V22655" s="7" t="str">
        <f>HYPERLINK("#Liste_rouge!A"&amp;_xlfn.XMATCH("LC",Liste_rouge!A:A,2,1),"LC")</f>
        <v>LC</v>
      </c>
      <c r="AH22655" s="4" t="str">
        <f>HYPERLINK("#Statut_biogéographique!A"&amp;_xlfn.XMATCH("P",Statut_biogéographique!A:A,2,1),"P")</f>
        <v>P</v>
      </c>
      <c r="AP22655" s="4" t="s">
        <v>376</v>
      </c>
      <c r="AR22655" s="4" t="s">
        <v>377</v>
      </c>
    </row>
    <row r="22656" spans="1:44" ht="30">
      <c r="A22656" s="4" t="s">
        <v>24364</v>
      </c>
      <c r="B22656" s="4">
        <v>5388</v>
      </c>
      <c r="D22656" s="5" t="s">
        <v>29396</v>
      </c>
      <c r="E22656" s="6" t="str">
        <f>HYPERLINK("https://inpn.mnhn.fr/espece/cd_nom/5388","Dialytrichia mucronata (Brid.) Broth., 1902")</f>
        <v>Dialytrichia mucronata (Brid.) Broth., 1902</v>
      </c>
      <c r="P22656" s="7" t="str">
        <f>HYPERLINK("#Liste_rouge!A"&amp;_xlfn.XMATCH("LC",Liste_rouge!A:A,2,1),"LC")</f>
        <v>LC</v>
      </c>
      <c r="T22656" s="7" t="str">
        <f>HYPERLINK("#Liste_rouge!A"&amp;_xlfn.XMATCH("LC",Liste_rouge!A:A,2,1),"LC")</f>
        <v>LC</v>
      </c>
      <c r="V22656" s="7" t="str">
        <f>HYPERLINK("#Liste_rouge!A"&amp;_xlfn.XMATCH("LC",Liste_rouge!A:A,2,1),"LC")</f>
        <v>LC</v>
      </c>
      <c r="AH22656" s="4" t="str">
        <f>HYPERLINK("#Statut_biogéographique!A"&amp;_xlfn.XMATCH("P",Statut_biogéographique!A:A,2,1),"P")</f>
        <v>P</v>
      </c>
      <c r="AP22656" s="4" t="s">
        <v>376</v>
      </c>
      <c r="AR22656" s="4" t="s">
        <v>377</v>
      </c>
    </row>
    <row r="22657" spans="1:44">
      <c r="A22657" s="4" t="s">
        <v>24364</v>
      </c>
      <c r="B22657" s="4">
        <v>5390</v>
      </c>
      <c r="D22657" s="5" t="s">
        <v>29397</v>
      </c>
      <c r="E22657" s="6" t="str">
        <f>HYPERLINK("https://inpn.mnhn.fr/espece/cd_nom/5390","Cinclidotus riparius (Host ex Brid.) Arn., 1827")</f>
        <v>Cinclidotus riparius (Host ex Brid.) Arn., 1827</v>
      </c>
      <c r="P22657" s="7" t="str">
        <f>HYPERLINK("#Liste_rouge!A"&amp;_xlfn.XMATCH("LC",Liste_rouge!A:A,2,1),"LC")</f>
        <v>LC</v>
      </c>
      <c r="T22657" s="7" t="str">
        <f>HYPERLINK("#Liste_rouge!A"&amp;_xlfn.XMATCH("LC",Liste_rouge!A:A,2,1),"LC")</f>
        <v>LC</v>
      </c>
      <c r="V22657" s="7" t="str">
        <f>HYPERLINK("#Liste_rouge!A"&amp;_xlfn.XMATCH("LC",Liste_rouge!A:A,2,1),"LC")</f>
        <v>LC</v>
      </c>
      <c r="AB22657" s="4" t="s">
        <v>26538</v>
      </c>
      <c r="AH22657" s="4" t="str">
        <f>HYPERLINK("#Statut_biogéographique!A"&amp;_xlfn.XMATCH("P",Statut_biogéographique!A:A,2,1),"P")</f>
        <v>P</v>
      </c>
      <c r="AP22657" s="4" t="s">
        <v>376</v>
      </c>
      <c r="AR22657" s="4" t="s">
        <v>377</v>
      </c>
    </row>
    <row r="22658" spans="1:44">
      <c r="A22658" s="4" t="s">
        <v>24364</v>
      </c>
      <c r="B22658" s="4">
        <v>5395</v>
      </c>
      <c r="D22658" s="5" t="s">
        <v>29398</v>
      </c>
      <c r="E22658" s="6" t="str">
        <f>HYPERLINK("https://inpn.mnhn.fr/espece/cd_nom/5395","Coscinodon cribrosus (Hedw.) Spruce, 1849")</f>
        <v>Coscinodon cribrosus (Hedw.) Spruce, 1849</v>
      </c>
      <c r="P22658" s="7" t="str">
        <f>HYPERLINK("#Liste_rouge!A"&amp;_xlfn.XMATCH("LC",Liste_rouge!A:A,2,1),"LC")</f>
        <v>LC</v>
      </c>
      <c r="T22658" s="7" t="str">
        <f>HYPERLINK("#Liste_rouge!A"&amp;_xlfn.XMATCH("CR",Liste_rouge!A:A,2,1),"CR")</f>
        <v>CR</v>
      </c>
      <c r="V22658" s="7" t="str">
        <f>HYPERLINK("#Liste_rouge!A"&amp;_xlfn.XMATCH("VU",Liste_rouge!A:A,2,1),"VU")</f>
        <v>VU</v>
      </c>
      <c r="X22658" s="5" t="s">
        <v>374</v>
      </c>
      <c r="AB22658" s="4" t="s">
        <v>93</v>
      </c>
      <c r="AH22658" s="4" t="str">
        <f>HYPERLINK("#Statut_biogéographique!A"&amp;_xlfn.XMATCH("P",Statut_biogéographique!A:A,2,1),"P")</f>
        <v>P</v>
      </c>
      <c r="AP22658" s="4" t="s">
        <v>376</v>
      </c>
      <c r="AR22658" s="4" t="s">
        <v>377</v>
      </c>
    </row>
    <row r="22659" spans="1:44" ht="30">
      <c r="A22659" s="4" t="s">
        <v>24364</v>
      </c>
      <c r="B22659" s="4">
        <v>5399</v>
      </c>
      <c r="D22659" s="5" t="s">
        <v>29399</v>
      </c>
      <c r="E22659" s="6" t="str">
        <f>HYPERLINK("https://inpn.mnhn.fr/espece/cd_nom/5399","Schistidium apocarpum (Hedw.) Bruch &amp; Schimp., 1845")</f>
        <v>Schistidium apocarpum (Hedw.) Bruch &amp; Schimp., 1845</v>
      </c>
      <c r="P22659" s="7" t="str">
        <f>HYPERLINK("#Liste_rouge!A"&amp;_xlfn.XMATCH("LC",Liste_rouge!A:A,2,1),"LC")</f>
        <v>LC</v>
      </c>
      <c r="T22659" s="7" t="str">
        <f>HYPERLINK("#Liste_rouge!A"&amp;_xlfn.XMATCH("LC",Liste_rouge!A:A,2,1),"LC")</f>
        <v>LC</v>
      </c>
      <c r="V22659" s="7" t="str">
        <f>HYPERLINK("#Liste_rouge!A"&amp;_xlfn.XMATCH("DD",Liste_rouge!A:A,2,1),"DD")</f>
        <v>DD</v>
      </c>
      <c r="AH22659" s="4" t="str">
        <f>HYPERLINK("#Statut_biogéographique!A"&amp;_xlfn.XMATCH("P",Statut_biogéographique!A:A,2,1),"P")</f>
        <v>P</v>
      </c>
      <c r="AP22659" s="4" t="s">
        <v>376</v>
      </c>
      <c r="AR22659" s="4" t="s">
        <v>377</v>
      </c>
    </row>
    <row r="22660" spans="1:44" ht="30">
      <c r="A22660" s="4" t="s">
        <v>24364</v>
      </c>
      <c r="B22660" s="4">
        <v>5400</v>
      </c>
      <c r="D22660" s="5" t="s">
        <v>29400</v>
      </c>
      <c r="E22660" s="6" t="str">
        <f>HYPERLINK("https://inpn.mnhn.fr/espece/cd_nom/5400","Schistidium confertum (Funck) Bruch &amp; Schimp., 1845")</f>
        <v>Schistidium confertum (Funck) Bruch &amp; Schimp., 1845</v>
      </c>
      <c r="P22660" s="7" t="str">
        <f>HYPERLINK("#Liste_rouge!A"&amp;_xlfn.XMATCH("LC",Liste_rouge!A:A,2,1),"LC")</f>
        <v>LC</v>
      </c>
      <c r="T22660" s="7" t="str">
        <f>HYPERLINK("#Liste_rouge!A"&amp;_xlfn.XMATCH("DD",Liste_rouge!A:A,2,1),"DD")</f>
        <v>DD</v>
      </c>
      <c r="AB22660" s="4" t="s">
        <v>24984</v>
      </c>
      <c r="AH22660" s="4" t="str">
        <f>HYPERLINK("#Statut_biogéographique!A"&amp;_xlfn.XMATCH("P",Statut_biogéographique!A:A,2,1),"P")</f>
        <v>P</v>
      </c>
      <c r="AP22660" s="4" t="s">
        <v>376</v>
      </c>
      <c r="AR22660" s="4" t="s">
        <v>377</v>
      </c>
    </row>
    <row r="22661" spans="1:44" ht="30">
      <c r="A22661" s="4" t="s">
        <v>24364</v>
      </c>
      <c r="B22661" s="4">
        <v>5402</v>
      </c>
      <c r="D22661" s="5" t="s">
        <v>29401</v>
      </c>
      <c r="E22661" s="6" t="str">
        <f>HYPERLINK("https://inpn.mnhn.fr/espece/cd_nom/5402","Schistidium strictum (Turner) Loeske ex Mårtensson, 1956")</f>
        <v>Schistidium strictum (Turner) Loeske ex Mårtensson, 1956</v>
      </c>
      <c r="P22661" s="7" t="str">
        <f>HYPERLINK("#Liste_rouge!A"&amp;_xlfn.XMATCH("LC",Liste_rouge!A:A,2,1),"LC")</f>
        <v>LC</v>
      </c>
      <c r="T22661" s="7" t="str">
        <f>HYPERLINK("#Liste_rouge!A"&amp;_xlfn.XMATCH("DD",Liste_rouge!A:A,2,1),"DD")</f>
        <v>DD</v>
      </c>
      <c r="V22661" s="7" t="str">
        <f>HYPERLINK("#Liste_rouge!A"&amp;_xlfn.XMATCH("DD",Liste_rouge!A:A,2,1),"DD")</f>
        <v>DD</v>
      </c>
      <c r="AH22661" s="4" t="str">
        <f>HYPERLINK("#Statut_biogéographique!A"&amp;_xlfn.XMATCH("P",Statut_biogéographique!A:A,2,1),"P")</f>
        <v>P</v>
      </c>
      <c r="AP22661" s="4" t="s">
        <v>376</v>
      </c>
      <c r="AR22661" s="4" t="s">
        <v>377</v>
      </c>
    </row>
    <row r="22662" spans="1:44" ht="30">
      <c r="A22662" s="4" t="s">
        <v>24364</v>
      </c>
      <c r="B22662" s="4">
        <v>5407</v>
      </c>
      <c r="D22662" s="5" t="s">
        <v>29402</v>
      </c>
      <c r="E22662" s="6" t="str">
        <f>HYPERLINK("https://inpn.mnhn.fr/espece/cd_nom/5407","Schistidium flaccidum (De Not.) Ochyra, 1989")</f>
        <v>Schistidium flaccidum (De Not.) Ochyra, 1989</v>
      </c>
      <c r="P22662" s="7" t="str">
        <f>HYPERLINK("#Liste_rouge!A"&amp;_xlfn.XMATCH("VU",Liste_rouge!A:A,2,1),"VU")</f>
        <v>VU</v>
      </c>
      <c r="T22662" s="7" t="str">
        <f>HYPERLINK("#Liste_rouge!A"&amp;_xlfn.XMATCH("DD",Liste_rouge!A:A,2,1),"DD")</f>
        <v>DD</v>
      </c>
      <c r="V22662" s="7" t="str">
        <f>HYPERLINK("#Liste_rouge!A"&amp;_xlfn.XMATCH("DD",Liste_rouge!A:A,2,1),"DD")</f>
        <v>DD</v>
      </c>
      <c r="X22662" s="5" t="s">
        <v>374</v>
      </c>
      <c r="AB22662" s="4" t="s">
        <v>93</v>
      </c>
      <c r="AH22662" s="4" t="str">
        <f>HYPERLINK("#Statut_biogéographique!A"&amp;_xlfn.XMATCH("P",Statut_biogéographique!A:A,2,1),"P")</f>
        <v>P</v>
      </c>
      <c r="AP22662" s="4" t="s">
        <v>376</v>
      </c>
      <c r="AR22662" s="4" t="s">
        <v>377</v>
      </c>
    </row>
    <row r="22663" spans="1:44">
      <c r="A22663" s="4" t="s">
        <v>24364</v>
      </c>
      <c r="B22663" s="4">
        <v>5409</v>
      </c>
      <c r="D22663" s="5" t="s">
        <v>29403</v>
      </c>
      <c r="E22663" s="6" t="str">
        <f>HYPERLINK("https://inpn.mnhn.fr/espece/cd_nom/5409","Schistidium rivulare (Brid.) Podp., 1911")</f>
        <v>Schistidium rivulare (Brid.) Podp., 1911</v>
      </c>
      <c r="P22663" s="7" t="str">
        <f>HYPERLINK("#Liste_rouge!A"&amp;_xlfn.XMATCH("LC",Liste_rouge!A:A,2,1),"LC")</f>
        <v>LC</v>
      </c>
      <c r="T22663" s="7" t="str">
        <f>HYPERLINK("#Liste_rouge!A"&amp;_xlfn.XMATCH("VU",Liste_rouge!A:A,2,1),"VU")</f>
        <v>VU</v>
      </c>
      <c r="V22663" s="7" t="str">
        <f>HYPERLINK("#Liste_rouge!A"&amp;_xlfn.XMATCH("VU",Liste_rouge!A:A,2,1),"VU")</f>
        <v>VU</v>
      </c>
      <c r="X22663" s="5" t="s">
        <v>374</v>
      </c>
      <c r="AB22663" s="4" t="s">
        <v>93</v>
      </c>
      <c r="AH22663" s="4" t="str">
        <f>HYPERLINK("#Statut_biogéographique!A"&amp;_xlfn.XMATCH("P",Statut_biogéographique!A:A,2,1),"P")</f>
        <v>P</v>
      </c>
      <c r="AP22663" s="4" t="s">
        <v>376</v>
      </c>
      <c r="AR22663" s="4" t="s">
        <v>377</v>
      </c>
    </row>
    <row r="22664" spans="1:44">
      <c r="A22664" s="4" t="s">
        <v>24364</v>
      </c>
      <c r="B22664" s="4">
        <v>5412</v>
      </c>
      <c r="D22664" s="5" t="s">
        <v>29404</v>
      </c>
      <c r="E22664" s="6" t="str">
        <f>HYPERLINK("https://inpn.mnhn.fr/espece/cd_nom/5412","Schistidium trichodon (Brid.) Poelt, 1953")</f>
        <v>Schistidium trichodon (Brid.) Poelt, 1953</v>
      </c>
      <c r="P22664" s="7" t="str">
        <f>HYPERLINK("#Liste_rouge!A"&amp;_xlfn.XMATCH("LC",Liste_rouge!A:A,2,1),"LC")</f>
        <v>LC</v>
      </c>
      <c r="V22664" s="7" t="str">
        <f>HYPERLINK("#Liste_rouge!A"&amp;_xlfn.XMATCH("LC",Liste_rouge!A:A,2,1),"LC")</f>
        <v>LC</v>
      </c>
      <c r="AH22664" s="4" t="str">
        <f>HYPERLINK("#Statut_biogéographique!A"&amp;_xlfn.XMATCH("P",Statut_biogéographique!A:A,2,1),"P")</f>
        <v>P</v>
      </c>
      <c r="AP22664" s="4" t="s">
        <v>376</v>
      </c>
      <c r="AR22664" s="4" t="s">
        <v>377</v>
      </c>
    </row>
    <row r="22665" spans="1:44">
      <c r="A22665" s="4" t="s">
        <v>24364</v>
      </c>
      <c r="B22665" s="4">
        <v>5422</v>
      </c>
      <c r="D22665" s="5" t="s">
        <v>29405</v>
      </c>
      <c r="E22665" s="6" t="str">
        <f>HYPERLINK("https://inpn.mnhn.fr/espece/cd_nom/5422","Abietinella abietina (Hedw.) M.Fleisch., 1922")</f>
        <v>Abietinella abietina (Hedw.) M.Fleisch., 1922</v>
      </c>
      <c r="P22665" s="7" t="str">
        <f>HYPERLINK("#Liste_rouge!A"&amp;_xlfn.XMATCH("LC",Liste_rouge!A:A,2,1),"LC")</f>
        <v>LC</v>
      </c>
      <c r="T22665" s="7" t="str">
        <f>HYPERLINK("#Liste_rouge!A"&amp;_xlfn.XMATCH("LC",Liste_rouge!A:A,2,1),"LC")</f>
        <v>LC</v>
      </c>
      <c r="V22665" s="7" t="str">
        <f>HYPERLINK("#Liste_rouge!A"&amp;_xlfn.XMATCH("LC",Liste_rouge!A:A,2,1),"LC")</f>
        <v>LC</v>
      </c>
      <c r="AH22665" s="4" t="str">
        <f>HYPERLINK("#Statut_biogéographique!A"&amp;_xlfn.XMATCH("P",Statut_biogéographique!A:A,2,1),"P")</f>
        <v>P</v>
      </c>
      <c r="AP22665" s="4" t="s">
        <v>376</v>
      </c>
      <c r="AR22665" s="4" t="s">
        <v>377</v>
      </c>
    </row>
    <row r="22666" spans="1:44">
      <c r="A22666" s="4" t="s">
        <v>24364</v>
      </c>
      <c r="B22666" s="4">
        <v>5423</v>
      </c>
      <c r="D22666" s="5" t="s">
        <v>29406</v>
      </c>
      <c r="E22666" s="6" t="str">
        <f>HYPERLINK("https://inpn.mnhn.fr/espece/cd_nom/5423","Thuidium delicatulum (Hedw.) Schimp., 1852")</f>
        <v>Thuidium delicatulum (Hedw.) Schimp., 1852</v>
      </c>
      <c r="P22666" s="7" t="str">
        <f>HYPERLINK("#Liste_rouge!A"&amp;_xlfn.XMATCH("LC",Liste_rouge!A:A,2,1),"LC")</f>
        <v>LC</v>
      </c>
      <c r="T22666" s="7" t="str">
        <f>HYPERLINK("#Liste_rouge!A"&amp;_xlfn.XMATCH("LC",Liste_rouge!A:A,2,1),"LC")</f>
        <v>LC</v>
      </c>
      <c r="V22666" s="7" t="str">
        <f>HYPERLINK("#Liste_rouge!A"&amp;_xlfn.XMATCH("LC",Liste_rouge!A:A,2,1),"LC")</f>
        <v>LC</v>
      </c>
      <c r="AH22666" s="4" t="str">
        <f>HYPERLINK("#Statut_biogéographique!A"&amp;_xlfn.XMATCH("P",Statut_biogéographique!A:A,2,1),"P")</f>
        <v>P</v>
      </c>
      <c r="AP22666" s="4" t="s">
        <v>376</v>
      </c>
      <c r="AR22666" s="4" t="s">
        <v>377</v>
      </c>
    </row>
    <row r="22667" spans="1:44">
      <c r="A22667" s="4" t="s">
        <v>24364</v>
      </c>
      <c r="B22667" s="4">
        <v>5425</v>
      </c>
      <c r="D22667" s="5">
        <v>5425</v>
      </c>
      <c r="E22667" s="6" t="str">
        <f>HYPERLINK("https://inpn.mnhn.fr/espece/cd_nom/5425","Thuidium recognitum (Hedw.) Lindb., 1874")</f>
        <v>Thuidium recognitum (Hedw.) Lindb., 1874</v>
      </c>
      <c r="P22667" s="7" t="str">
        <f>HYPERLINK("#Liste_rouge!A"&amp;_xlfn.XMATCH("LC",Liste_rouge!A:A,2,1),"LC")</f>
        <v>LC</v>
      </c>
      <c r="T22667" s="7" t="str">
        <f>HYPERLINK("#Liste_rouge!A"&amp;_xlfn.XMATCH("LC",Liste_rouge!A:A,2,1),"LC")</f>
        <v>LC</v>
      </c>
      <c r="V22667" s="7" t="str">
        <f>HYPERLINK("#Liste_rouge!A"&amp;_xlfn.XMATCH("LC",Liste_rouge!A:A,2,1),"LC")</f>
        <v>LC</v>
      </c>
      <c r="AH22667" s="4" t="str">
        <f>HYPERLINK("#Statut_biogéographique!A"&amp;_xlfn.XMATCH("P",Statut_biogéographique!A:A,2,1),"P")</f>
        <v>P</v>
      </c>
      <c r="AP22667" s="4" t="s">
        <v>376</v>
      </c>
      <c r="AR22667" s="4" t="s">
        <v>377</v>
      </c>
    </row>
    <row r="22668" spans="1:44" ht="30">
      <c r="A22668" s="4" t="s">
        <v>24364</v>
      </c>
      <c r="B22668" s="4">
        <v>5426</v>
      </c>
      <c r="D22668" s="5" t="s">
        <v>29407</v>
      </c>
      <c r="E22668" s="6" t="str">
        <f>HYPERLINK("https://inpn.mnhn.fr/espece/cd_nom/5426","Thuidium tamariscinum (Hedw.) Schimp., 1852")</f>
        <v>Thuidium tamariscinum (Hedw.) Schimp., 1852</v>
      </c>
      <c r="P22668" s="7" t="str">
        <f>HYPERLINK("#Liste_rouge!A"&amp;_xlfn.XMATCH("LC",Liste_rouge!A:A,2,1),"LC")</f>
        <v>LC</v>
      </c>
      <c r="T22668" s="7" t="str">
        <f>HYPERLINK("#Liste_rouge!A"&amp;_xlfn.XMATCH("LC",Liste_rouge!A:A,2,1),"LC")</f>
        <v>LC</v>
      </c>
      <c r="V22668" s="7" t="str">
        <f>HYPERLINK("#Liste_rouge!A"&amp;_xlfn.XMATCH("LC",Liste_rouge!A:A,2,1),"LC")</f>
        <v>LC</v>
      </c>
      <c r="AH22668" s="4" t="str">
        <f>HYPERLINK("#Statut_biogéographique!A"&amp;_xlfn.XMATCH("P",Statut_biogéographique!A:A,2,1),"P")</f>
        <v>P</v>
      </c>
      <c r="AP22668" s="4" t="s">
        <v>376</v>
      </c>
      <c r="AR22668" s="4" t="s">
        <v>377</v>
      </c>
    </row>
    <row r="22669" spans="1:44" ht="30">
      <c r="A22669" s="4" t="s">
        <v>24364</v>
      </c>
      <c r="B22669" s="4">
        <v>5431</v>
      </c>
      <c r="D22669" s="5" t="s">
        <v>29408</v>
      </c>
      <c r="E22669" s="6" t="str">
        <f>HYPERLINK("https://inpn.mnhn.fr/espece/cd_nom/5431","Platydictya jungermannioides (Brid.) H.A.Crum, 1964")</f>
        <v>Platydictya jungermannioides (Brid.) H.A.Crum, 1964</v>
      </c>
      <c r="P22669" s="7" t="str">
        <f>HYPERLINK("#Liste_rouge!A"&amp;_xlfn.XMATCH("LC",Liste_rouge!A:A,2,1),"LC")</f>
        <v>LC</v>
      </c>
      <c r="T22669" s="7" t="str">
        <f>HYPERLINK("#Liste_rouge!A"&amp;_xlfn.XMATCH("EN",Liste_rouge!A:A,2,1),"EN")</f>
        <v>EN</v>
      </c>
      <c r="V22669" s="7" t="str">
        <f>HYPERLINK("#Liste_rouge!A"&amp;_xlfn.XMATCH("LC",Liste_rouge!A:A,2,1),"LC")</f>
        <v>LC</v>
      </c>
      <c r="AB22669" s="4" t="s">
        <v>24634</v>
      </c>
      <c r="AH22669" s="4" t="str">
        <f>HYPERLINK("#Statut_biogéographique!A"&amp;_xlfn.XMATCH("P",Statut_biogéographique!A:A,2,1),"P")</f>
        <v>P</v>
      </c>
      <c r="AP22669" s="4" t="s">
        <v>376</v>
      </c>
      <c r="AR22669" s="4" t="s">
        <v>377</v>
      </c>
    </row>
    <row r="22670" spans="1:44" ht="30">
      <c r="A22670" s="4" t="s">
        <v>24364</v>
      </c>
      <c r="B22670" s="4">
        <v>5437</v>
      </c>
      <c r="D22670" s="5" t="s">
        <v>29409</v>
      </c>
      <c r="E22670" s="6" t="str">
        <f>HYPERLINK("https://inpn.mnhn.fr/espece/cd_nom/5437","Hygroamblystegium fluviatile (Hedw.) Loeske, 1903")</f>
        <v>Hygroamblystegium fluviatile (Hedw.) Loeske, 1903</v>
      </c>
      <c r="P22670" s="7" t="str">
        <f>HYPERLINK("#Liste_rouge!A"&amp;_xlfn.XMATCH("LC",Liste_rouge!A:A,2,1),"LC")</f>
        <v>LC</v>
      </c>
      <c r="T22670" s="7" t="str">
        <f>HYPERLINK("#Liste_rouge!A"&amp;_xlfn.XMATCH("LC",Liste_rouge!A:A,2,1),"LC")</f>
        <v>LC</v>
      </c>
      <c r="V22670" s="7" t="str">
        <f>HYPERLINK("#Liste_rouge!A"&amp;_xlfn.XMATCH("LC",Liste_rouge!A:A,2,1),"LC")</f>
        <v>LC</v>
      </c>
      <c r="AH22670" s="4" t="str">
        <f>HYPERLINK("#Statut_biogéographique!A"&amp;_xlfn.XMATCH("P",Statut_biogéographique!A:A,2,1),"P")</f>
        <v>P</v>
      </c>
      <c r="AP22670" s="4" t="s">
        <v>376</v>
      </c>
      <c r="AR22670" s="4" t="s">
        <v>377</v>
      </c>
    </row>
    <row r="22671" spans="1:44" ht="30">
      <c r="A22671" s="4" t="s">
        <v>24364</v>
      </c>
      <c r="B22671" s="4">
        <v>5444</v>
      </c>
      <c r="D22671" s="5" t="s">
        <v>29410</v>
      </c>
      <c r="E22671" s="6" t="str">
        <f>HYPERLINK("https://inpn.mnhn.fr/espece/cd_nom/5444","Leptodictyum riparium (Hedw.) Warnst., 1906")</f>
        <v>Leptodictyum riparium (Hedw.) Warnst., 1906</v>
      </c>
      <c r="P22671" s="7" t="str">
        <f>HYPERLINK("#Liste_rouge!A"&amp;_xlfn.XMATCH("LC",Liste_rouge!A:A,2,1),"LC")</f>
        <v>LC</v>
      </c>
      <c r="T22671" s="7" t="str">
        <f>HYPERLINK("#Liste_rouge!A"&amp;_xlfn.XMATCH("LC",Liste_rouge!A:A,2,1),"LC")</f>
        <v>LC</v>
      </c>
      <c r="V22671" s="7" t="str">
        <f>HYPERLINK("#Liste_rouge!A"&amp;_xlfn.XMATCH("LC",Liste_rouge!A:A,2,1),"LC")</f>
        <v>LC</v>
      </c>
      <c r="AH22671" s="4" t="str">
        <f>HYPERLINK("#Statut_biogéographique!A"&amp;_xlfn.XMATCH("P",Statut_biogéographique!A:A,2,1),"P")</f>
        <v>P</v>
      </c>
      <c r="AP22671" s="4" t="s">
        <v>376</v>
      </c>
      <c r="AR22671" s="4" t="s">
        <v>377</v>
      </c>
    </row>
    <row r="22672" spans="1:44" ht="30">
      <c r="A22672" s="4" t="s">
        <v>24364</v>
      </c>
      <c r="B22672" s="4">
        <v>5446</v>
      </c>
      <c r="D22672" s="5" t="s">
        <v>29411</v>
      </c>
      <c r="E22672" s="6" t="str">
        <f>HYPERLINK("https://inpn.mnhn.fr/espece/cd_nom/5446","Amblystegium serpens (Hedw.) Schimp., 1853")</f>
        <v>Amblystegium serpens (Hedw.) Schimp., 1853</v>
      </c>
      <c r="P22672" s="7" t="str">
        <f>HYPERLINK("#Liste_rouge!A"&amp;_xlfn.XMATCH("LC",Liste_rouge!A:A,2,1),"LC")</f>
        <v>LC</v>
      </c>
      <c r="T22672" s="7" t="str">
        <f>HYPERLINK("#Liste_rouge!A"&amp;_xlfn.XMATCH("LC",Liste_rouge!A:A,2,1),"LC")</f>
        <v>LC</v>
      </c>
      <c r="V22672" s="7" t="str">
        <f>HYPERLINK("#Liste_rouge!A"&amp;_xlfn.XMATCH("LC",Liste_rouge!A:A,2,1),"LC (cd_nom 5446) - NE (cd_nom 5446)")</f>
        <v>LC (cd_nom 5446) - NE (cd_nom 5446)</v>
      </c>
      <c r="AH22672" s="4" t="str">
        <f>HYPERLINK("#Statut_biogéographique!A"&amp;_xlfn.XMATCH("P",Statut_biogéographique!A:A,2,1),"P")</f>
        <v>P</v>
      </c>
      <c r="AP22672" s="4" t="s">
        <v>376</v>
      </c>
      <c r="AR22672" s="4" t="s">
        <v>377</v>
      </c>
    </row>
    <row r="22673" spans="1:44" ht="30">
      <c r="A22673" s="4" t="s">
        <v>24364</v>
      </c>
      <c r="B22673" s="4">
        <v>5452</v>
      </c>
      <c r="D22673" s="5" t="s">
        <v>29412</v>
      </c>
      <c r="E22673" s="6" t="str">
        <f>HYPERLINK("https://inpn.mnhn.fr/espece/cd_nom/5452","Hygroamblystegium tenax (Hedw.) Jenn., 1913")</f>
        <v>Hygroamblystegium tenax (Hedw.) Jenn., 1913</v>
      </c>
      <c r="P22673" s="7" t="str">
        <f>HYPERLINK("#Liste_rouge!A"&amp;_xlfn.XMATCH("LC",Liste_rouge!A:A,2,1),"LC")</f>
        <v>LC</v>
      </c>
      <c r="T22673" s="7" t="str">
        <f>HYPERLINK("#Liste_rouge!A"&amp;_xlfn.XMATCH("DD",Liste_rouge!A:A,2,1),"DD")</f>
        <v>DD</v>
      </c>
      <c r="V22673" s="7" t="str">
        <f>HYPERLINK("#Liste_rouge!A"&amp;_xlfn.XMATCH("LC",Liste_rouge!A:A,2,1),"LC")</f>
        <v>LC</v>
      </c>
      <c r="AH22673" s="4" t="str">
        <f>HYPERLINK("#Statut_biogéographique!A"&amp;_xlfn.XMATCH("P",Statut_biogéographique!A:A,2,1),"P")</f>
        <v>P</v>
      </c>
      <c r="AP22673" s="4" t="s">
        <v>376</v>
      </c>
      <c r="AR22673" s="4" t="s">
        <v>377</v>
      </c>
    </row>
    <row r="22674" spans="1:44">
      <c r="A22674" s="4" t="s">
        <v>24364</v>
      </c>
      <c r="B22674" s="4">
        <v>5458</v>
      </c>
      <c r="D22674" s="5" t="s">
        <v>29413</v>
      </c>
      <c r="E22674" s="6" t="str">
        <f>HYPERLINK("https://inpn.mnhn.fr/espece/cd_nom/5458","Calliergon cordifolium (Hedw.) Kindb., 1894")</f>
        <v>Calliergon cordifolium (Hedw.) Kindb., 1894</v>
      </c>
      <c r="P22674" s="7" t="str">
        <f>HYPERLINK("#Liste_rouge!A"&amp;_xlfn.XMATCH("LC",Liste_rouge!A:A,2,1),"LC")</f>
        <v>LC</v>
      </c>
      <c r="T22674" s="7" t="str">
        <f>HYPERLINK("#Liste_rouge!A"&amp;_xlfn.XMATCH("VU",Liste_rouge!A:A,2,1),"VU")</f>
        <v>VU</v>
      </c>
      <c r="V22674" s="7" t="str">
        <f>HYPERLINK("#Liste_rouge!A"&amp;_xlfn.XMATCH("LC",Liste_rouge!A:A,2,1),"LC")</f>
        <v>LC</v>
      </c>
      <c r="AB22674" s="4" t="s">
        <v>25010</v>
      </c>
      <c r="AH22674" s="4" t="str">
        <f>HYPERLINK("#Statut_biogéographique!A"&amp;_xlfn.XMATCH("P",Statut_biogéographique!A:A,2,1),"P")</f>
        <v>P</v>
      </c>
      <c r="AP22674" s="4" t="s">
        <v>376</v>
      </c>
      <c r="AR22674" s="4" t="s">
        <v>377</v>
      </c>
    </row>
    <row r="22675" spans="1:44">
      <c r="A22675" s="4" t="s">
        <v>24364</v>
      </c>
      <c r="B22675" s="4">
        <v>5464</v>
      </c>
      <c r="D22675" s="5" t="s">
        <v>29414</v>
      </c>
      <c r="E22675" s="6" t="str">
        <f>HYPERLINK("https://inpn.mnhn.fr/espece/cd_nom/5464","Calliergon giganteum (Schimp.) Kindb., 1894")</f>
        <v>Calliergon giganteum (Schimp.) Kindb., 1894</v>
      </c>
      <c r="P22675" s="7" t="str">
        <f>HYPERLINK("#Liste_rouge!A"&amp;_xlfn.XMATCH("LC",Liste_rouge!A:A,2,1),"LC")</f>
        <v>LC</v>
      </c>
      <c r="T22675" s="7" t="str">
        <f>HYPERLINK("#Liste_rouge!A"&amp;_xlfn.XMATCH("CR",Liste_rouge!A:A,2,1),"CR")</f>
        <v>CR</v>
      </c>
      <c r="V22675" s="7" t="str">
        <f>HYPERLINK("#Liste_rouge!A"&amp;_xlfn.XMATCH("LC",Liste_rouge!A:A,2,1),"LC")</f>
        <v>LC</v>
      </c>
      <c r="AB22675" s="4" t="s">
        <v>29273</v>
      </c>
      <c r="AH22675" s="4" t="str">
        <f>HYPERLINK("#Statut_biogéographique!A"&amp;_xlfn.XMATCH("P",Statut_biogéographique!A:A,2,1),"P")</f>
        <v>P</v>
      </c>
      <c r="AP22675" s="4" t="s">
        <v>376</v>
      </c>
      <c r="AR22675" s="4" t="s">
        <v>377</v>
      </c>
    </row>
    <row r="22676" spans="1:44" ht="30">
      <c r="A22676" s="4" t="s">
        <v>24364</v>
      </c>
      <c r="B22676" s="4">
        <v>5476</v>
      </c>
      <c r="D22676" s="5" t="s">
        <v>29415</v>
      </c>
      <c r="E22676" s="6" t="str">
        <f>HYPERLINK("https://inpn.mnhn.fr/espece/cd_nom/5476","Calliergonella cuspidata (Hedw.) Loeske, 1911")</f>
        <v>Calliergonella cuspidata (Hedw.) Loeske, 1911</v>
      </c>
      <c r="P22676" s="7" t="str">
        <f>HYPERLINK("#Liste_rouge!A"&amp;_xlfn.XMATCH("LC",Liste_rouge!A:A,2,1),"LC")</f>
        <v>LC</v>
      </c>
      <c r="T22676" s="7" t="str">
        <f>HYPERLINK("#Liste_rouge!A"&amp;_xlfn.XMATCH("LC",Liste_rouge!A:A,2,1),"LC")</f>
        <v>LC</v>
      </c>
      <c r="V22676" s="7" t="str">
        <f>HYPERLINK("#Liste_rouge!A"&amp;_xlfn.XMATCH("LC",Liste_rouge!A:A,2,1),"LC")</f>
        <v>LC</v>
      </c>
      <c r="AH22676" s="4" t="str">
        <f>HYPERLINK("#Statut_biogéographique!A"&amp;_xlfn.XMATCH("P",Statut_biogéographique!A:A,2,1),"P")</f>
        <v>P</v>
      </c>
      <c r="AP22676" s="4" t="s">
        <v>376</v>
      </c>
      <c r="AR22676" s="4" t="s">
        <v>377</v>
      </c>
    </row>
    <row r="22677" spans="1:44" ht="30">
      <c r="A22677" s="4" t="s">
        <v>24364</v>
      </c>
      <c r="B22677" s="4">
        <v>5487</v>
      </c>
      <c r="D22677" s="5" t="s">
        <v>29416</v>
      </c>
      <c r="E22677" s="6" t="str">
        <f>HYPERLINK("https://inpn.mnhn.fr/espece/cd_nom/5487","Campylophyllum halleri (Hedw.) M.Fleisch., 1914")</f>
        <v>Campylophyllum halleri (Hedw.) M.Fleisch., 1914</v>
      </c>
      <c r="P22677" s="7" t="str">
        <f>HYPERLINK("#Liste_rouge!A"&amp;_xlfn.XMATCH("LC",Liste_rouge!A:A,2,1),"LC")</f>
        <v>LC</v>
      </c>
      <c r="V22677" s="7" t="str">
        <f>HYPERLINK("#Liste_rouge!A"&amp;_xlfn.XMATCH("LC",Liste_rouge!A:A,2,1),"LC")</f>
        <v>LC</v>
      </c>
      <c r="AH22677" s="4" t="str">
        <f>HYPERLINK("#Statut_biogéographique!A"&amp;_xlfn.XMATCH("P",Statut_biogéographique!A:A,2,1),"P")</f>
        <v>P</v>
      </c>
      <c r="AP22677" s="4" t="s">
        <v>376</v>
      </c>
      <c r="AR22677" s="4" t="s">
        <v>377</v>
      </c>
    </row>
    <row r="22678" spans="1:44">
      <c r="A22678" s="4" t="s">
        <v>24364</v>
      </c>
      <c r="B22678" s="4">
        <v>5491</v>
      </c>
      <c r="D22678" s="5" t="s">
        <v>29417</v>
      </c>
      <c r="E22678" s="6" t="str">
        <f>HYPERLINK("https://inpn.mnhn.fr/espece/cd_nom/5491","Campylium protensum (Brid.) Kindb., 1894")</f>
        <v>Campylium protensum (Brid.) Kindb., 1894</v>
      </c>
      <c r="P22678" s="7" t="str">
        <f>HYPERLINK("#Liste_rouge!A"&amp;_xlfn.XMATCH("LC",Liste_rouge!A:A,2,1),"LC")</f>
        <v>LC</v>
      </c>
      <c r="T22678" s="7" t="str">
        <f>HYPERLINK("#Liste_rouge!A"&amp;_xlfn.XMATCH("LC",Liste_rouge!A:A,2,1),"LC")</f>
        <v>LC</v>
      </c>
      <c r="V22678" s="7" t="str">
        <f>HYPERLINK("#Liste_rouge!A"&amp;_xlfn.XMATCH("LC",Liste_rouge!A:A,2,1),"LC")</f>
        <v>LC</v>
      </c>
      <c r="AB22678" s="4" t="s">
        <v>29418</v>
      </c>
      <c r="AH22678" s="4" t="str">
        <f>HYPERLINK("#Statut_biogéographique!A"&amp;_xlfn.XMATCH("P",Statut_biogéographique!A:A,2,1),"P")</f>
        <v>P</v>
      </c>
      <c r="AP22678" s="4" t="s">
        <v>376</v>
      </c>
      <c r="AR22678" s="4" t="s">
        <v>377</v>
      </c>
    </row>
    <row r="22679" spans="1:44" ht="30">
      <c r="A22679" s="4" t="s">
        <v>24364</v>
      </c>
      <c r="B22679" s="4">
        <v>5494</v>
      </c>
      <c r="D22679" s="5" t="s">
        <v>29419</v>
      </c>
      <c r="E22679" s="6" t="str">
        <f>HYPERLINK("https://inpn.mnhn.fr/espece/cd_nom/5494","Campylium stellatum (Hedw.) Lange &amp; C.E.O.Jensen")</f>
        <v>Campylium stellatum (Hedw.) Lange &amp; C.E.O.Jensen</v>
      </c>
      <c r="P22679" s="7" t="str">
        <f>HYPERLINK("#Liste_rouge!A"&amp;_xlfn.XMATCH("LC",Liste_rouge!A:A,2,1),"LC")</f>
        <v>LC</v>
      </c>
      <c r="T22679" s="7" t="str">
        <f>HYPERLINK("#Liste_rouge!A"&amp;_xlfn.XMATCH("VU",Liste_rouge!A:A,2,1),"VU")</f>
        <v>VU</v>
      </c>
      <c r="V22679" s="7" t="str">
        <f>HYPERLINK("#Liste_rouge!A"&amp;_xlfn.XMATCH("LC",Liste_rouge!A:A,2,1),"LC")</f>
        <v>LC</v>
      </c>
      <c r="AB22679" s="4" t="s">
        <v>29273</v>
      </c>
      <c r="AH22679" s="4" t="str">
        <f>HYPERLINK("#Statut_biogéographique!A"&amp;_xlfn.XMATCH("P",Statut_biogéographique!A:A,2,1),"P")</f>
        <v>P</v>
      </c>
      <c r="AP22679" s="4" t="s">
        <v>376</v>
      </c>
      <c r="AR22679" s="4" t="s">
        <v>377</v>
      </c>
    </row>
    <row r="22680" spans="1:44" ht="30">
      <c r="A22680" s="4" t="s">
        <v>24364</v>
      </c>
      <c r="B22680" s="4">
        <v>5502</v>
      </c>
      <c r="D22680" s="5" t="s">
        <v>29420</v>
      </c>
      <c r="E22680" s="6" t="str">
        <f>HYPERLINK("https://inpn.mnhn.fr/espece/cd_nom/5502","Cratoneuron filicinum (Hedw.) Spruce, 1867")</f>
        <v>Cratoneuron filicinum (Hedw.) Spruce, 1867</v>
      </c>
      <c r="P22680" s="7" t="str">
        <f>HYPERLINK("#Liste_rouge!A"&amp;_xlfn.XMATCH("LC",Liste_rouge!A:A,2,1),"LC")</f>
        <v>LC</v>
      </c>
      <c r="T22680" s="7" t="str">
        <f>HYPERLINK("#Liste_rouge!A"&amp;_xlfn.XMATCH("LC",Liste_rouge!A:A,2,1),"LC")</f>
        <v>LC</v>
      </c>
      <c r="V22680" s="7" t="str">
        <f>HYPERLINK("#Liste_rouge!A"&amp;_xlfn.XMATCH("LC",Liste_rouge!A:A,2,1),"LC")</f>
        <v>LC</v>
      </c>
      <c r="AH22680" s="4" t="str">
        <f>HYPERLINK("#Statut_biogéographique!A"&amp;_xlfn.XMATCH("P",Statut_biogéographique!A:A,2,1),"P")</f>
        <v>P</v>
      </c>
      <c r="AP22680" s="4" t="s">
        <v>376</v>
      </c>
      <c r="AR22680" s="4" t="s">
        <v>377</v>
      </c>
    </row>
    <row r="22681" spans="1:44" ht="45">
      <c r="A22681" s="4" t="s">
        <v>24364</v>
      </c>
      <c r="B22681" s="4">
        <v>5506</v>
      </c>
      <c r="D22681" s="5" t="s">
        <v>29421</v>
      </c>
      <c r="E22681" s="6" t="str">
        <f>HYPERLINK("https://inpn.mnhn.fr/espece/cd_nom/5506","Drepanocladus aduncus (Hedw.) Warnst., 1903")</f>
        <v>Drepanocladus aduncus (Hedw.) Warnst., 1903</v>
      </c>
      <c r="P22681" s="7" t="str">
        <f>HYPERLINK("#Liste_rouge!A"&amp;_xlfn.XMATCH("LC",Liste_rouge!A:A,2,1),"LC")</f>
        <v>LC</v>
      </c>
      <c r="T22681" s="7" t="str">
        <f>HYPERLINK("#Liste_rouge!A"&amp;_xlfn.XMATCH("LC",Liste_rouge!A:A,2,1),"LC")</f>
        <v>LC</v>
      </c>
      <c r="V22681" s="7" t="str">
        <f>HYPERLINK("#Liste_rouge!A"&amp;_xlfn.XMATCH("LC",Liste_rouge!A:A,2,1),"LC")</f>
        <v>LC</v>
      </c>
      <c r="AH22681" s="4" t="str">
        <f>HYPERLINK("#Statut_biogéographique!A"&amp;_xlfn.XMATCH("P",Statut_biogéographique!A:A,2,1),"P")</f>
        <v>P</v>
      </c>
      <c r="AP22681" s="4" t="s">
        <v>376</v>
      </c>
      <c r="AR22681" s="4" t="s">
        <v>377</v>
      </c>
    </row>
    <row r="22682" spans="1:44" ht="30">
      <c r="A22682" s="4" t="s">
        <v>24364</v>
      </c>
      <c r="B22682" s="4">
        <v>5514</v>
      </c>
      <c r="D22682" s="5" t="s">
        <v>29422</v>
      </c>
      <c r="E22682" s="6" t="str">
        <f>HYPERLINK("https://inpn.mnhn.fr/espece/cd_nom/5514","Warnstorfia fluitans (Hedw.) Loeske, 1907")</f>
        <v>Warnstorfia fluitans (Hedw.) Loeske, 1907</v>
      </c>
      <c r="P22682" s="7" t="str">
        <f>HYPERLINK("#Liste_rouge!A"&amp;_xlfn.XMATCH("LC",Liste_rouge!A:A,2,1),"LC")</f>
        <v>LC</v>
      </c>
      <c r="T22682" s="7" t="str">
        <f>HYPERLINK("#Liste_rouge!A"&amp;_xlfn.XMATCH("EN",Liste_rouge!A:A,2,1),"EN")</f>
        <v>EN</v>
      </c>
      <c r="V22682" s="7" t="str">
        <f>HYPERLINK("#Liste_rouge!A"&amp;_xlfn.XMATCH("LC",Liste_rouge!A:A,2,1),"LC")</f>
        <v>LC</v>
      </c>
      <c r="AB22682" s="4" t="s">
        <v>24803</v>
      </c>
      <c r="AH22682" s="4" t="str">
        <f>HYPERLINK("#Statut_biogéographique!A"&amp;_xlfn.XMATCH("P",Statut_biogéographique!A:A,2,1),"P")</f>
        <v>P</v>
      </c>
      <c r="AP22682" s="4" t="s">
        <v>376</v>
      </c>
      <c r="AR22682" s="4" t="s">
        <v>377</v>
      </c>
    </row>
    <row r="22683" spans="1:44" ht="30">
      <c r="A22683" s="4" t="s">
        <v>24364</v>
      </c>
      <c r="B22683" s="4">
        <v>5516</v>
      </c>
      <c r="D22683" s="5" t="s">
        <v>29423</v>
      </c>
      <c r="E22683" s="6" t="str">
        <f>HYPERLINK("https://inpn.mnhn.fr/espece/cd_nom/5516","Drepanocladus lycopodioides (Brid.) Warnst., 1903")</f>
        <v>Drepanocladus lycopodioides (Brid.) Warnst., 1903</v>
      </c>
      <c r="P22683" s="7" t="str">
        <f>HYPERLINK("#Liste_rouge!A"&amp;_xlfn.XMATCH("VU",Liste_rouge!A:A,2,1),"VU")</f>
        <v>VU</v>
      </c>
      <c r="V22683" s="7" t="str">
        <f>HYPERLINK("#Liste_rouge!A"&amp;_xlfn.XMATCH("VU",Liste_rouge!A:A,2,1),"VU")</f>
        <v>VU</v>
      </c>
      <c r="X22683" s="5" t="s">
        <v>374</v>
      </c>
      <c r="AB22683" s="4" t="s">
        <v>93</v>
      </c>
      <c r="AH22683" s="4" t="str">
        <f>HYPERLINK("#Statut_biogéographique!A"&amp;_xlfn.XMATCH("P",Statut_biogéographique!A:A,2,1),"P")</f>
        <v>P</v>
      </c>
      <c r="AP22683" s="4" t="s">
        <v>376</v>
      </c>
      <c r="AR22683" s="4" t="s">
        <v>377</v>
      </c>
    </row>
    <row r="22684" spans="1:44" ht="30">
      <c r="A22684" s="4" t="s">
        <v>24364</v>
      </c>
      <c r="B22684" s="4">
        <v>5520</v>
      </c>
      <c r="D22684" s="5" t="s">
        <v>29424</v>
      </c>
      <c r="E22684" s="6" t="str">
        <f>HYPERLINK("https://inpn.mnhn.fr/espece/cd_nom/5520","Drepanocladus sendtneri (Schimp. ex H.Müll.) Warnst.")</f>
        <v>Drepanocladus sendtneri (Schimp. ex H.Müll.) Warnst.</v>
      </c>
      <c r="P22684" s="7" t="str">
        <f>HYPERLINK("#Liste_rouge!A"&amp;_xlfn.XMATCH("VU",Liste_rouge!A:A,2,1),"VU")</f>
        <v>VU</v>
      </c>
      <c r="V22684" s="7" t="str">
        <f>HYPERLINK("#Liste_rouge!A"&amp;_xlfn.XMATCH("EN",Liste_rouge!A:A,2,1),"EN")</f>
        <v>EN</v>
      </c>
      <c r="X22684" s="5" t="s">
        <v>374</v>
      </c>
      <c r="AB22684" s="4" t="s">
        <v>93</v>
      </c>
      <c r="AH22684" s="4" t="str">
        <f>HYPERLINK("#Statut_biogéographique!A"&amp;_xlfn.XMATCH("P",Statut_biogéographique!A:A,2,1),"P")</f>
        <v>P</v>
      </c>
      <c r="AP22684" s="4" t="s">
        <v>376</v>
      </c>
      <c r="AR22684" s="4" t="s">
        <v>377</v>
      </c>
    </row>
    <row r="22685" spans="1:44">
      <c r="A22685" s="4" t="s">
        <v>24364</v>
      </c>
      <c r="B22685" s="4">
        <v>5526</v>
      </c>
      <c r="D22685" s="5" t="s">
        <v>29425</v>
      </c>
      <c r="E22685" s="6" t="str">
        <f>HYPERLINK("https://inpn.mnhn.fr/espece/cd_nom/5526","Grimmia anodon Bruch &amp; Schimp., 1845")</f>
        <v>Grimmia anodon Bruch &amp; Schimp., 1845</v>
      </c>
      <c r="P22685" s="7" t="str">
        <f>HYPERLINK("#Liste_rouge!A"&amp;_xlfn.XMATCH("LC",Liste_rouge!A:A,2,1),"LC")</f>
        <v>LC</v>
      </c>
      <c r="T22685" s="7" t="str">
        <f>HYPERLINK("#Liste_rouge!A"&amp;_xlfn.XMATCH("CR",Liste_rouge!A:A,2,1),"CR")</f>
        <v>CR</v>
      </c>
      <c r="V22685" s="7" t="str">
        <f>HYPERLINK("#Liste_rouge!A"&amp;_xlfn.XMATCH("VU",Liste_rouge!A:A,2,1),"VU")</f>
        <v>VU</v>
      </c>
      <c r="X22685" s="5" t="s">
        <v>374</v>
      </c>
      <c r="AB22685" s="4" t="s">
        <v>93</v>
      </c>
      <c r="AH22685" s="4" t="str">
        <f>HYPERLINK("#Statut_biogéographique!A"&amp;_xlfn.XMATCH("P",Statut_biogéographique!A:A,2,1),"P")</f>
        <v>P</v>
      </c>
      <c r="AP22685" s="4" t="s">
        <v>376</v>
      </c>
      <c r="AR22685" s="4" t="s">
        <v>377</v>
      </c>
    </row>
    <row r="22686" spans="1:44">
      <c r="A22686" s="4" t="s">
        <v>24364</v>
      </c>
      <c r="B22686" s="4">
        <v>5530</v>
      </c>
      <c r="D22686" s="5" t="s">
        <v>29426</v>
      </c>
      <c r="E22686" s="6" t="str">
        <f>HYPERLINK("https://inpn.mnhn.fr/espece/cd_nom/5530","Grimmia crinita Brid., 1806")</f>
        <v>Grimmia crinita Brid., 1806</v>
      </c>
      <c r="P22686" s="7" t="str">
        <f>HYPERLINK("#Liste_rouge!A"&amp;_xlfn.XMATCH("VU",Liste_rouge!A:A,2,1),"VU")</f>
        <v>VU</v>
      </c>
      <c r="T22686" s="7" t="str">
        <f>HYPERLINK("#Liste_rouge!A"&amp;_xlfn.XMATCH("LC",Liste_rouge!A:A,2,1),"LC")</f>
        <v>LC</v>
      </c>
      <c r="V22686" s="7" t="str">
        <f>HYPERLINK("#Liste_rouge!A"&amp;_xlfn.XMATCH("DD",Liste_rouge!A:A,2,1),"DD")</f>
        <v>DD</v>
      </c>
      <c r="AH22686" s="4" t="str">
        <f>HYPERLINK("#Statut_biogéographique!A"&amp;_xlfn.XMATCH("P",Statut_biogéographique!A:A,2,1),"P")</f>
        <v>P</v>
      </c>
      <c r="AP22686" s="4" t="s">
        <v>376</v>
      </c>
      <c r="AR22686" s="4" t="s">
        <v>377</v>
      </c>
    </row>
    <row r="22687" spans="1:44">
      <c r="A22687" s="4" t="s">
        <v>24364</v>
      </c>
      <c r="B22687" s="4">
        <v>5531</v>
      </c>
      <c r="D22687" s="5" t="s">
        <v>29427</v>
      </c>
      <c r="E22687" s="6" t="str">
        <f>HYPERLINK("https://inpn.mnhn.fr/espece/cd_nom/5531","Grimmia decipiens (Schultz) Lindb., 1861")</f>
        <v>Grimmia decipiens (Schultz) Lindb., 1861</v>
      </c>
      <c r="P22687" s="7" t="str">
        <f>HYPERLINK("#Liste_rouge!A"&amp;_xlfn.XMATCH("LC",Liste_rouge!A:A,2,1),"LC")</f>
        <v>LC</v>
      </c>
      <c r="T22687" s="7" t="str">
        <f>HYPERLINK("#Liste_rouge!A"&amp;_xlfn.XMATCH("VU",Liste_rouge!A:A,2,1),"VU")</f>
        <v>VU</v>
      </c>
      <c r="V22687" s="7" t="str">
        <f>HYPERLINK("#Liste_rouge!A"&amp;_xlfn.XMATCH("VU",Liste_rouge!A:A,2,1),"VU")</f>
        <v>VU</v>
      </c>
      <c r="X22687" s="5" t="s">
        <v>374</v>
      </c>
      <c r="AB22687" s="4" t="s">
        <v>93</v>
      </c>
      <c r="AH22687" s="4" t="str">
        <f>HYPERLINK("#Statut_biogéographique!A"&amp;_xlfn.XMATCH("P",Statut_biogéographique!A:A,2,1),"P")</f>
        <v>P</v>
      </c>
      <c r="AP22687" s="4" t="s">
        <v>376</v>
      </c>
      <c r="AR22687" s="4" t="s">
        <v>377</v>
      </c>
    </row>
    <row r="22688" spans="1:44">
      <c r="A22688" s="4" t="s">
        <v>24364</v>
      </c>
      <c r="B22688" s="4">
        <v>5538</v>
      </c>
      <c r="D22688" s="5" t="s">
        <v>29428</v>
      </c>
      <c r="E22688" s="6" t="str">
        <f>HYPERLINK("https://inpn.mnhn.fr/espece/cd_nom/5538","Grimmia hartmanii Schimp., 1860")</f>
        <v>Grimmia hartmanii Schimp., 1860</v>
      </c>
      <c r="P22688" s="7" t="str">
        <f>HYPERLINK("#Liste_rouge!A"&amp;_xlfn.XMATCH("LC",Liste_rouge!A:A,2,1),"LC")</f>
        <v>LC</v>
      </c>
      <c r="T22688" s="7" t="str">
        <f>HYPERLINK("#Liste_rouge!A"&amp;_xlfn.XMATCH("VU",Liste_rouge!A:A,2,1),"VU")</f>
        <v>VU</v>
      </c>
      <c r="V22688" s="7" t="str">
        <f>HYPERLINK("#Liste_rouge!A"&amp;_xlfn.XMATCH("LC",Liste_rouge!A:A,2,1),"LC")</f>
        <v>LC</v>
      </c>
      <c r="AB22688" s="4" t="s">
        <v>29429</v>
      </c>
      <c r="AH22688" s="4" t="str">
        <f>HYPERLINK("#Statut_biogéographique!A"&amp;_xlfn.XMATCH("P",Statut_biogéographique!A:A,2,1),"P")</f>
        <v>P</v>
      </c>
      <c r="AP22688" s="4" t="s">
        <v>376</v>
      </c>
      <c r="AR22688" s="4" t="s">
        <v>377</v>
      </c>
    </row>
    <row r="22689" spans="1:44">
      <c r="A22689" s="4" t="s">
        <v>24364</v>
      </c>
      <c r="B22689" s="4">
        <v>5541</v>
      </c>
      <c r="D22689" s="5" t="s">
        <v>29430</v>
      </c>
      <c r="E22689" s="6" t="str">
        <f>HYPERLINK("https://inpn.mnhn.fr/espece/cd_nom/5541","Grimmia laevigata (Brid.) Brid., 1826")</f>
        <v>Grimmia laevigata (Brid.) Brid., 1826</v>
      </c>
      <c r="P22689" s="7" t="str">
        <f>HYPERLINK("#Liste_rouge!A"&amp;_xlfn.XMATCH("LC",Liste_rouge!A:A,2,1),"LC")</f>
        <v>LC</v>
      </c>
      <c r="T22689" s="7" t="str">
        <f>HYPERLINK("#Liste_rouge!A"&amp;_xlfn.XMATCH("LC",Liste_rouge!A:A,2,1),"LC")</f>
        <v>LC</v>
      </c>
      <c r="V22689" s="7" t="str">
        <f>HYPERLINK("#Liste_rouge!A"&amp;_xlfn.XMATCH("VU",Liste_rouge!A:A,2,1),"VU")</f>
        <v>VU</v>
      </c>
      <c r="AB22689" s="4" t="s">
        <v>29431</v>
      </c>
      <c r="AH22689" s="4" t="str">
        <f>HYPERLINK("#Statut_biogéographique!A"&amp;_xlfn.XMATCH("P",Statut_biogéographique!A:A,2,1),"P")</f>
        <v>P</v>
      </c>
      <c r="AP22689" s="4" t="s">
        <v>376</v>
      </c>
      <c r="AR22689" s="4" t="s">
        <v>377</v>
      </c>
    </row>
    <row r="22690" spans="1:44">
      <c r="A22690" s="4" t="s">
        <v>24364</v>
      </c>
      <c r="B22690" s="4">
        <v>5545</v>
      </c>
      <c r="D22690" s="5" t="s">
        <v>29432</v>
      </c>
      <c r="E22690" s="6" t="str">
        <f>HYPERLINK("https://inpn.mnhn.fr/espece/cd_nom/5545","Grimmia montana Bruch &amp; Schimp., 1845")</f>
        <v>Grimmia montana Bruch &amp; Schimp., 1845</v>
      </c>
      <c r="P22690" s="7" t="str">
        <f>HYPERLINK("#Liste_rouge!A"&amp;_xlfn.XMATCH("LC",Liste_rouge!A:A,2,1),"LC")</f>
        <v>LC</v>
      </c>
      <c r="T22690" s="7" t="str">
        <f>HYPERLINK("#Liste_rouge!A"&amp;_xlfn.XMATCH("LC",Liste_rouge!A:A,2,1),"LC")</f>
        <v>LC</v>
      </c>
      <c r="V22690" s="7" t="str">
        <f>HYPERLINK("#Liste_rouge!A"&amp;_xlfn.XMATCH("NT",Liste_rouge!A:A,2,1),"NT")</f>
        <v>NT</v>
      </c>
      <c r="AB22690" s="4" t="s">
        <v>24909</v>
      </c>
      <c r="AH22690" s="4" t="str">
        <f>HYPERLINK("#Statut_biogéographique!A"&amp;_xlfn.XMATCH("P",Statut_biogéographique!A:A,2,1),"P")</f>
        <v>P</v>
      </c>
      <c r="AP22690" s="4" t="s">
        <v>376</v>
      </c>
      <c r="AR22690" s="4" t="s">
        <v>377</v>
      </c>
    </row>
    <row r="22691" spans="1:44">
      <c r="A22691" s="4" t="s">
        <v>24364</v>
      </c>
      <c r="B22691" s="4">
        <v>5547</v>
      </c>
      <c r="D22691" s="5" t="s">
        <v>29433</v>
      </c>
      <c r="E22691" s="6" t="str">
        <f>HYPERLINK("https://inpn.mnhn.fr/espece/cd_nom/5547","Grimmia orbicularis Bruch ex Wilson, 1844")</f>
        <v>Grimmia orbicularis Bruch ex Wilson, 1844</v>
      </c>
      <c r="P22691" s="7" t="str">
        <f>HYPERLINK("#Liste_rouge!A"&amp;_xlfn.XMATCH("LC",Liste_rouge!A:A,2,1),"LC")</f>
        <v>LC</v>
      </c>
      <c r="T22691" s="7" t="str">
        <f>HYPERLINK("#Liste_rouge!A"&amp;_xlfn.XMATCH("LC",Liste_rouge!A:A,2,1),"LC")</f>
        <v>LC</v>
      </c>
      <c r="V22691" s="7" t="str">
        <f>HYPERLINK("#Liste_rouge!A"&amp;_xlfn.XMATCH("LC",Liste_rouge!A:A,2,1),"LC")</f>
        <v>LC</v>
      </c>
      <c r="AH22691" s="4" t="str">
        <f>HYPERLINK("#Statut_biogéographique!A"&amp;_xlfn.XMATCH("P",Statut_biogéographique!A:A,2,1),"P")</f>
        <v>P</v>
      </c>
      <c r="AP22691" s="4" t="s">
        <v>376</v>
      </c>
      <c r="AR22691" s="4" t="s">
        <v>377</v>
      </c>
    </row>
    <row r="22692" spans="1:44">
      <c r="A22692" s="4" t="s">
        <v>24364</v>
      </c>
      <c r="B22692" s="4">
        <v>5548</v>
      </c>
      <c r="D22692" s="5" t="s">
        <v>29434</v>
      </c>
      <c r="E22692" s="6" t="str">
        <f>HYPERLINK("https://inpn.mnhn.fr/espece/cd_nom/5548","Grimmia ovalis (Hedw.) Lindb., 1871")</f>
        <v>Grimmia ovalis (Hedw.) Lindb., 1871</v>
      </c>
      <c r="P22692" s="7" t="str">
        <f>HYPERLINK("#Liste_rouge!A"&amp;_xlfn.XMATCH("LC",Liste_rouge!A:A,2,1),"LC")</f>
        <v>LC</v>
      </c>
      <c r="T22692" s="7" t="str">
        <f>HYPERLINK("#Liste_rouge!A"&amp;_xlfn.XMATCH("VU",Liste_rouge!A:A,2,1),"VU")</f>
        <v>VU</v>
      </c>
      <c r="V22692" s="7" t="str">
        <f>HYPERLINK("#Liste_rouge!A"&amp;_xlfn.XMATCH("VU",Liste_rouge!A:A,2,1),"VU")</f>
        <v>VU</v>
      </c>
      <c r="X22692" s="5" t="s">
        <v>374</v>
      </c>
      <c r="AB22692" s="4" t="s">
        <v>93</v>
      </c>
      <c r="AH22692" s="4" t="str">
        <f>HYPERLINK("#Statut_biogéographique!A"&amp;_xlfn.XMATCH("P",Statut_biogéographique!A:A,2,1),"P")</f>
        <v>P</v>
      </c>
      <c r="AP22692" s="4" t="s">
        <v>376</v>
      </c>
      <c r="AR22692" s="4" t="s">
        <v>377</v>
      </c>
    </row>
    <row r="22693" spans="1:44">
      <c r="A22693" s="4" t="s">
        <v>24364</v>
      </c>
      <c r="B22693" s="4">
        <v>5554</v>
      </c>
      <c r="D22693" s="5" t="s">
        <v>29435</v>
      </c>
      <c r="E22693" s="6" t="str">
        <f>HYPERLINK("https://inpn.mnhn.fr/espece/cd_nom/5554","Grimmia pulvinata (Hedw.) Sm., 1807")</f>
        <v>Grimmia pulvinata (Hedw.) Sm., 1807</v>
      </c>
      <c r="P22693" s="7" t="str">
        <f>HYPERLINK("#Liste_rouge!A"&amp;_xlfn.XMATCH("LC",Liste_rouge!A:A,2,1),"LC")</f>
        <v>LC</v>
      </c>
      <c r="T22693" s="7" t="str">
        <f>HYPERLINK("#Liste_rouge!A"&amp;_xlfn.XMATCH("LC",Liste_rouge!A:A,2,1),"LC")</f>
        <v>LC</v>
      </c>
      <c r="V22693" s="7" t="str">
        <f>HYPERLINK("#Liste_rouge!A"&amp;_xlfn.XMATCH("LC",Liste_rouge!A:A,2,1),"LC")</f>
        <v>LC</v>
      </c>
      <c r="AH22693" s="4" t="str">
        <f>HYPERLINK("#Statut_biogéographique!A"&amp;_xlfn.XMATCH("P",Statut_biogéographique!A:A,2,1),"P")</f>
        <v>P</v>
      </c>
      <c r="AP22693" s="4" t="s">
        <v>376</v>
      </c>
      <c r="AR22693" s="4" t="s">
        <v>377</v>
      </c>
    </row>
    <row r="22694" spans="1:44" ht="30">
      <c r="A22694" s="4" t="s">
        <v>24364</v>
      </c>
      <c r="B22694" s="4">
        <v>5557</v>
      </c>
      <c r="D22694" s="5" t="s">
        <v>29436</v>
      </c>
      <c r="E22694" s="6" t="str">
        <f>HYPERLINK("https://inpn.mnhn.fr/espece/cd_nom/5557","Grimmia tergestina Tomm. ex Bruch &amp; Schimp., 1845")</f>
        <v>Grimmia tergestina Tomm. ex Bruch &amp; Schimp., 1845</v>
      </c>
      <c r="P22694" s="7" t="str">
        <f>HYPERLINK("#Liste_rouge!A"&amp;_xlfn.XMATCH("LC",Liste_rouge!A:A,2,1),"LC")</f>
        <v>LC</v>
      </c>
      <c r="T22694" s="7" t="str">
        <f>HYPERLINK("#Liste_rouge!A"&amp;_xlfn.XMATCH("NT",Liste_rouge!A:A,2,1),"NT")</f>
        <v>NT</v>
      </c>
      <c r="V22694" s="7" t="str">
        <f>HYPERLINK("#Liste_rouge!A"&amp;_xlfn.XMATCH("NT",Liste_rouge!A:A,2,1),"NT")</f>
        <v>NT</v>
      </c>
      <c r="AB22694" s="4" t="s">
        <v>29437</v>
      </c>
      <c r="AH22694" s="4" t="str">
        <f>HYPERLINK("#Statut_biogéographique!A"&amp;_xlfn.XMATCH("P",Statut_biogéographique!A:A,2,1),"P")</f>
        <v>P</v>
      </c>
      <c r="AP22694" s="4" t="s">
        <v>376</v>
      </c>
      <c r="AR22694" s="4" t="s">
        <v>377</v>
      </c>
    </row>
    <row r="22695" spans="1:44">
      <c r="A22695" s="4" t="s">
        <v>24364</v>
      </c>
      <c r="B22695" s="4">
        <v>5559</v>
      </c>
      <c r="D22695" s="5">
        <v>5559</v>
      </c>
      <c r="E22695" s="6" t="str">
        <f>HYPERLINK("https://inpn.mnhn.fr/espece/cd_nom/5559","Grimmia teretinervis Limpr., 1884")</f>
        <v>Grimmia teretinervis Limpr., 1884</v>
      </c>
      <c r="P22695" s="7" t="str">
        <f>HYPERLINK("#Liste_rouge!A"&amp;_xlfn.XMATCH("NT",Liste_rouge!A:A,2,1),"NT")</f>
        <v>NT</v>
      </c>
      <c r="V22695" s="7" t="str">
        <f>HYPERLINK("#Liste_rouge!A"&amp;_xlfn.XMATCH("LC",Liste_rouge!A:A,2,1),"LC")</f>
        <v>LC</v>
      </c>
      <c r="X22695" s="5" t="s">
        <v>374</v>
      </c>
      <c r="AB22695" s="4" t="s">
        <v>93</v>
      </c>
      <c r="AH22695" s="4" t="str">
        <f>HYPERLINK("#Statut_biogéographique!A"&amp;_xlfn.XMATCH("P",Statut_biogéographique!A:A,2,1),"P")</f>
        <v>P</v>
      </c>
      <c r="AP22695" s="4" t="s">
        <v>376</v>
      </c>
      <c r="AR22695" s="4" t="s">
        <v>377</v>
      </c>
    </row>
    <row r="22696" spans="1:44" ht="45">
      <c r="A22696" s="4" t="s">
        <v>24364</v>
      </c>
      <c r="B22696" s="4">
        <v>5561</v>
      </c>
      <c r="D22696" s="5" t="s">
        <v>29438</v>
      </c>
      <c r="E22696" s="6" t="str">
        <f>HYPERLINK("https://inpn.mnhn.fr/espece/cd_nom/5561","Grimmia trichophylla Grev., 1824")</f>
        <v>Grimmia trichophylla Grev., 1824</v>
      </c>
      <c r="P22696" s="7" t="str">
        <f>HYPERLINK("#Liste_rouge!A"&amp;_xlfn.XMATCH("LC",Liste_rouge!A:A,2,1),"LC")</f>
        <v>LC</v>
      </c>
      <c r="T22696" s="7" t="str">
        <f>HYPERLINK("#Liste_rouge!A"&amp;_xlfn.XMATCH("LC",Liste_rouge!A:A,2,1),"LC")</f>
        <v>LC</v>
      </c>
      <c r="V22696" s="7" t="str">
        <f>HYPERLINK("#Liste_rouge!A"&amp;_xlfn.XMATCH("DD",Liste_rouge!A:A,2,1),"DD")</f>
        <v>DD</v>
      </c>
      <c r="AH22696" s="4" t="str">
        <f>HYPERLINK("#Statut_biogéographique!A"&amp;_xlfn.XMATCH("P",Statut_biogéographique!A:A,2,1),"P")</f>
        <v>P</v>
      </c>
      <c r="AP22696" s="4" t="s">
        <v>376</v>
      </c>
      <c r="AR22696" s="4" t="s">
        <v>377</v>
      </c>
    </row>
    <row r="22697" spans="1:44">
      <c r="A22697" s="4" t="s">
        <v>24364</v>
      </c>
      <c r="B22697" s="4">
        <v>5572</v>
      </c>
      <c r="D22697" s="5" t="s">
        <v>29439</v>
      </c>
      <c r="E22697" s="6" t="str">
        <f>HYPERLINK("https://inpn.mnhn.fr/espece/cd_nom/5572","Racomitrium aciculare (Hedw.) Brid., 1819")</f>
        <v>Racomitrium aciculare (Hedw.) Brid., 1819</v>
      </c>
      <c r="P22697" s="7" t="str">
        <f>HYPERLINK("#Liste_rouge!A"&amp;_xlfn.XMATCH("LC",Liste_rouge!A:A,2,1),"LC")</f>
        <v>LC</v>
      </c>
      <c r="T22697" s="7" t="str">
        <f>HYPERLINK("#Liste_rouge!A"&amp;_xlfn.XMATCH("LC",Liste_rouge!A:A,2,1),"LC")</f>
        <v>LC</v>
      </c>
      <c r="V22697" s="7" t="str">
        <f>HYPERLINK("#Liste_rouge!A"&amp;_xlfn.XMATCH("LC",Liste_rouge!A:A,2,1),"LC")</f>
        <v>LC</v>
      </c>
      <c r="AB22697" s="4" t="s">
        <v>24909</v>
      </c>
      <c r="AH22697" s="4" t="str">
        <f>HYPERLINK("#Statut_biogéographique!A"&amp;_xlfn.XMATCH("P",Statut_biogéographique!A:A,2,1),"P")</f>
        <v>P</v>
      </c>
      <c r="AP22697" s="4" t="s">
        <v>376</v>
      </c>
      <c r="AR22697" s="4" t="s">
        <v>377</v>
      </c>
    </row>
    <row r="22698" spans="1:44" ht="30">
      <c r="A22698" s="4" t="s">
        <v>24364</v>
      </c>
      <c r="B22698" s="4">
        <v>5573</v>
      </c>
      <c r="D22698" s="5" t="s">
        <v>29440</v>
      </c>
      <c r="E22698" s="6" t="str">
        <f>HYPERLINK("https://inpn.mnhn.fr/espece/cd_nom/5573","Racomitrium aquaticum (Brid. ex Schrad.) Brid., 1819")</f>
        <v>Racomitrium aquaticum (Brid. ex Schrad.) Brid., 1819</v>
      </c>
      <c r="P22698" s="7" t="str">
        <f>HYPERLINK("#Liste_rouge!A"&amp;_xlfn.XMATCH("LC",Liste_rouge!A:A,2,1),"LC")</f>
        <v>LC</v>
      </c>
      <c r="T22698" s="7" t="str">
        <f>HYPERLINK("#Liste_rouge!A"&amp;_xlfn.XMATCH("LC",Liste_rouge!A:A,2,1),"LC")</f>
        <v>LC</v>
      </c>
      <c r="V22698" s="7" t="str">
        <f>HYPERLINK("#Liste_rouge!A"&amp;_xlfn.XMATCH("LC",Liste_rouge!A:A,2,1),"LC")</f>
        <v>LC</v>
      </c>
      <c r="AB22698" s="4" t="s">
        <v>24634</v>
      </c>
      <c r="AH22698" s="4" t="str">
        <f>HYPERLINK("#Statut_biogéographique!A"&amp;_xlfn.XMATCH("P",Statut_biogéographique!A:A,2,1),"P")</f>
        <v>P</v>
      </c>
      <c r="AP22698" s="4" t="s">
        <v>376</v>
      </c>
      <c r="AR22698" s="4" t="s">
        <v>377</v>
      </c>
    </row>
    <row r="22699" spans="1:44">
      <c r="A22699" s="4" t="s">
        <v>24364</v>
      </c>
      <c r="B22699" s="4">
        <v>5574</v>
      </c>
      <c r="D22699" s="5" t="s">
        <v>29441</v>
      </c>
      <c r="E22699" s="6" t="str">
        <f>HYPERLINK("https://inpn.mnhn.fr/espece/cd_nom/5574","Racomitrium canescens (Hedw.) Brid., 1819")</f>
        <v>Racomitrium canescens (Hedw.) Brid., 1819</v>
      </c>
      <c r="P22699" s="7" t="str">
        <f>HYPERLINK("#Liste_rouge!A"&amp;_xlfn.XMATCH("LC",Liste_rouge!A:A,2,1),"LC")</f>
        <v>LC</v>
      </c>
      <c r="T22699" s="7" t="str">
        <f>HYPERLINK("#Liste_rouge!A"&amp;_xlfn.XMATCH("LC",Liste_rouge!A:A,2,1),"LC")</f>
        <v>LC</v>
      </c>
      <c r="V22699" s="7" t="str">
        <f>HYPERLINK("#Liste_rouge!A"&amp;_xlfn.XMATCH("LC",Liste_rouge!A:A,2,1),"LC")</f>
        <v>LC</v>
      </c>
      <c r="AH22699" s="4" t="str">
        <f>HYPERLINK("#Statut_biogéographique!A"&amp;_xlfn.XMATCH("P",Statut_biogéographique!A:A,2,1),"P")</f>
        <v>P</v>
      </c>
      <c r="AP22699" s="4" t="s">
        <v>376</v>
      </c>
      <c r="AR22699" s="4" t="s">
        <v>377</v>
      </c>
    </row>
    <row r="22700" spans="1:44">
      <c r="A22700" s="4" t="s">
        <v>24364</v>
      </c>
      <c r="B22700" s="4">
        <v>5577</v>
      </c>
      <c r="D22700" s="5" t="s">
        <v>29442</v>
      </c>
      <c r="E22700" s="6" t="str">
        <f>HYPERLINK("https://inpn.mnhn.fr/espece/cd_nom/5577","Racomitrium ericoides (Brid.) Brid., 1819")</f>
        <v>Racomitrium ericoides (Brid.) Brid., 1819</v>
      </c>
      <c r="P22700" s="7" t="str">
        <f>HYPERLINK("#Liste_rouge!A"&amp;_xlfn.XMATCH("LC",Liste_rouge!A:A,2,1),"LC")</f>
        <v>LC</v>
      </c>
      <c r="V22700" s="7" t="str">
        <f>HYPERLINK("#Liste_rouge!A"&amp;_xlfn.XMATCH("VU",Liste_rouge!A:A,2,1),"VU")</f>
        <v>VU</v>
      </c>
      <c r="X22700" s="5" t="s">
        <v>374</v>
      </c>
      <c r="AB22700" s="4" t="s">
        <v>93</v>
      </c>
      <c r="AH22700" s="4" t="str">
        <f>HYPERLINK("#Statut_biogéographique!A"&amp;_xlfn.XMATCH("P",Statut_biogéographique!A:A,2,1),"P")</f>
        <v>P</v>
      </c>
      <c r="AP22700" s="4" t="s">
        <v>376</v>
      </c>
      <c r="AR22700" s="4" t="s">
        <v>377</v>
      </c>
    </row>
    <row r="22701" spans="1:44" ht="30">
      <c r="A22701" s="4" t="s">
        <v>24364</v>
      </c>
      <c r="B22701" s="4">
        <v>5578</v>
      </c>
      <c r="D22701" s="5" t="s">
        <v>29443</v>
      </c>
      <c r="E22701" s="6" t="str">
        <f>HYPERLINK("https://inpn.mnhn.fr/espece/cd_nom/5578","Racomitrium elongatum Ehrh. ex Frisvoll, 1983")</f>
        <v>Racomitrium elongatum Ehrh. ex Frisvoll, 1983</v>
      </c>
      <c r="P22701" s="7" t="str">
        <f>HYPERLINK("#Liste_rouge!A"&amp;_xlfn.XMATCH("LC",Liste_rouge!A:A,2,1),"LC")</f>
        <v>LC</v>
      </c>
      <c r="T22701" s="7" t="str">
        <f>HYPERLINK("#Liste_rouge!A"&amp;_xlfn.XMATCH("LC",Liste_rouge!A:A,2,1),"LC")</f>
        <v>LC</v>
      </c>
      <c r="V22701" s="7" t="str">
        <f>HYPERLINK("#Liste_rouge!A"&amp;_xlfn.XMATCH("LC",Liste_rouge!A:A,2,1),"LC")</f>
        <v>LC</v>
      </c>
      <c r="AH22701" s="4" t="str">
        <f>HYPERLINK("#Statut_biogéographique!A"&amp;_xlfn.XMATCH("P",Statut_biogéographique!A:A,2,1),"P")</f>
        <v>P</v>
      </c>
      <c r="AP22701" s="4" t="s">
        <v>376</v>
      </c>
      <c r="AR22701" s="4" t="s">
        <v>377</v>
      </c>
    </row>
    <row r="22702" spans="1:44">
      <c r="A22702" s="4" t="s">
        <v>24364</v>
      </c>
      <c r="B22702" s="4">
        <v>5579</v>
      </c>
      <c r="D22702" s="5" t="s">
        <v>29444</v>
      </c>
      <c r="E22702" s="6" t="str">
        <f>HYPERLINK("https://inpn.mnhn.fr/espece/cd_nom/5579","Racomitrium fasciculare (Hedw.) Brid., 1819")</f>
        <v>Racomitrium fasciculare (Hedw.) Brid., 1819</v>
      </c>
      <c r="P22702" s="7" t="str">
        <f>HYPERLINK("#Liste_rouge!A"&amp;_xlfn.XMATCH("LC",Liste_rouge!A:A,2,1),"LC")</f>
        <v>LC</v>
      </c>
      <c r="T22702" s="7" t="str">
        <f>HYPERLINK("#Liste_rouge!A"&amp;_xlfn.XMATCH("EN",Liste_rouge!A:A,2,1),"EN")</f>
        <v>EN</v>
      </c>
      <c r="V22702" s="7" t="str">
        <f>HYPERLINK("#Liste_rouge!A"&amp;_xlfn.XMATCH("VU",Liste_rouge!A:A,2,1),"VU")</f>
        <v>VU</v>
      </c>
      <c r="X22702" s="5" t="s">
        <v>374</v>
      </c>
      <c r="AB22702" s="4" t="s">
        <v>93</v>
      </c>
      <c r="AH22702" s="4" t="str">
        <f>HYPERLINK("#Statut_biogéographique!A"&amp;_xlfn.XMATCH("P",Statut_biogéographique!A:A,2,1),"P")</f>
        <v>P</v>
      </c>
      <c r="AP22702" s="4" t="s">
        <v>376</v>
      </c>
      <c r="AR22702" s="4" t="s">
        <v>377</v>
      </c>
    </row>
    <row r="22703" spans="1:44" ht="30">
      <c r="A22703" s="4" t="s">
        <v>24364</v>
      </c>
      <c r="B22703" s="4">
        <v>5580</v>
      </c>
      <c r="D22703" s="5" t="s">
        <v>29445</v>
      </c>
      <c r="E22703" s="6" t="str">
        <f>HYPERLINK("https://inpn.mnhn.fr/espece/cd_nom/5580","Racomitrium heterostichum (Hedw.) Brid., 1819")</f>
        <v>Racomitrium heterostichum (Hedw.) Brid., 1819</v>
      </c>
      <c r="P22703" s="7" t="str">
        <f>HYPERLINK("#Liste_rouge!A"&amp;_xlfn.XMATCH("LC",Liste_rouge!A:A,2,1),"LC")</f>
        <v>LC</v>
      </c>
      <c r="T22703" s="7" t="str">
        <f>HYPERLINK("#Liste_rouge!A"&amp;_xlfn.XMATCH("LC",Liste_rouge!A:A,2,1),"LC")</f>
        <v>LC</v>
      </c>
      <c r="V22703" s="7" t="str">
        <f>HYPERLINK("#Liste_rouge!A"&amp;_xlfn.XMATCH("LC",Liste_rouge!A:A,2,1),"LC")</f>
        <v>LC</v>
      </c>
      <c r="AB22703" s="4" t="s">
        <v>24909</v>
      </c>
      <c r="AH22703" s="4" t="str">
        <f>HYPERLINK("#Statut_biogéographique!A"&amp;_xlfn.XMATCH("P",Statut_biogéographique!A:A,2,1),"P")</f>
        <v>P</v>
      </c>
      <c r="AP22703" s="4" t="s">
        <v>376</v>
      </c>
      <c r="AR22703" s="4" t="s">
        <v>377</v>
      </c>
    </row>
    <row r="22704" spans="1:44" ht="30">
      <c r="A22704" s="4" t="s">
        <v>24364</v>
      </c>
      <c r="B22704" s="4">
        <v>5581</v>
      </c>
      <c r="D22704" s="5" t="s">
        <v>29446</v>
      </c>
      <c r="E22704" s="6" t="str">
        <f>HYPERLINK("https://inpn.mnhn.fr/espece/cd_nom/5581","Racomitrium lanuginosum (Hedw.) Brid., 1819")</f>
        <v>Racomitrium lanuginosum (Hedw.) Brid., 1819</v>
      </c>
      <c r="P22704" s="7" t="str">
        <f>HYPERLINK("#Liste_rouge!A"&amp;_xlfn.XMATCH("LC",Liste_rouge!A:A,2,1),"LC")</f>
        <v>LC</v>
      </c>
      <c r="T22704" s="7" t="str">
        <f>HYPERLINK("#Liste_rouge!A"&amp;_xlfn.XMATCH("NT",Liste_rouge!A:A,2,1),"NT")</f>
        <v>NT</v>
      </c>
      <c r="V22704" s="7" t="str">
        <f>HYPERLINK("#Liste_rouge!A"&amp;_xlfn.XMATCH("LC",Liste_rouge!A:A,2,1),"LC")</f>
        <v>LC</v>
      </c>
      <c r="AH22704" s="4" t="str">
        <f>HYPERLINK("#Statut_biogéographique!A"&amp;_xlfn.XMATCH("P",Statut_biogéographique!A:A,2,1),"P")</f>
        <v>P</v>
      </c>
      <c r="AP22704" s="4" t="s">
        <v>376</v>
      </c>
      <c r="AR22704" s="4" t="s">
        <v>377</v>
      </c>
    </row>
    <row r="22705" spans="1:44">
      <c r="A22705" s="4" t="s">
        <v>24364</v>
      </c>
      <c r="B22705" s="4">
        <v>5583</v>
      </c>
      <c r="D22705" s="5" t="s">
        <v>29447</v>
      </c>
      <c r="E22705" s="6" t="str">
        <f>HYPERLINK("https://inpn.mnhn.fr/espece/cd_nom/5583","Racomitrium microcarpon (Hedw.) Brid.")</f>
        <v>Racomitrium microcarpon (Hedw.) Brid.</v>
      </c>
      <c r="P22705" s="7" t="str">
        <f>HYPERLINK("#Liste_rouge!A"&amp;_xlfn.XMATCH("LC",Liste_rouge!A:A,2,1),"LC")</f>
        <v>LC</v>
      </c>
      <c r="T22705" s="7" t="str">
        <f>HYPERLINK("#Liste_rouge!A"&amp;_xlfn.XMATCH("DD",Liste_rouge!A:A,2,1),"DD")</f>
        <v>DD</v>
      </c>
      <c r="V22705" s="7" t="str">
        <f>HYPERLINK("#Liste_rouge!A"&amp;_xlfn.XMATCH("VU",Liste_rouge!A:A,2,1),"VU")</f>
        <v>VU</v>
      </c>
      <c r="X22705" s="5" t="s">
        <v>374</v>
      </c>
      <c r="AB22705" s="4" t="s">
        <v>93</v>
      </c>
      <c r="AH22705" s="4" t="str">
        <f>HYPERLINK("#Statut_biogéographique!A"&amp;_xlfn.XMATCH("P",Statut_biogéographique!A:A,2,1),"P")</f>
        <v>P</v>
      </c>
      <c r="AP22705" s="4" t="s">
        <v>376</v>
      </c>
      <c r="AR22705" s="4" t="s">
        <v>377</v>
      </c>
    </row>
    <row r="22706" spans="1:44" ht="30">
      <c r="A22706" s="4" t="s">
        <v>24364</v>
      </c>
      <c r="B22706" s="4">
        <v>5586</v>
      </c>
      <c r="D22706" s="5" t="s">
        <v>29448</v>
      </c>
      <c r="E22706" s="6" t="str">
        <f>HYPERLINK("https://inpn.mnhn.fr/espece/cd_nom/5586","Racomitrium sudeticum (Funck) Bruch &amp; Schimp., 1845")</f>
        <v>Racomitrium sudeticum (Funck) Bruch &amp; Schimp., 1845</v>
      </c>
      <c r="P22706" s="7" t="str">
        <f>HYPERLINK("#Liste_rouge!A"&amp;_xlfn.XMATCH("LC",Liste_rouge!A:A,2,1),"LC")</f>
        <v>LC</v>
      </c>
      <c r="V22706" s="7" t="str">
        <f>HYPERLINK("#Liste_rouge!A"&amp;_xlfn.XMATCH("DD",Liste_rouge!A:A,2,1),"DD")</f>
        <v>DD</v>
      </c>
      <c r="AB22706" s="4" t="s">
        <v>24909</v>
      </c>
      <c r="AH22706" s="4" t="str">
        <f>HYPERLINK("#Statut_biogéographique!A"&amp;_xlfn.XMATCH("P",Statut_biogéographique!A:A,2,1),"P")</f>
        <v>P</v>
      </c>
      <c r="AP22706" s="4" t="s">
        <v>376</v>
      </c>
      <c r="AR22706" s="4" t="s">
        <v>377</v>
      </c>
    </row>
    <row r="22707" spans="1:44" ht="30">
      <c r="A22707" s="4" t="s">
        <v>24364</v>
      </c>
      <c r="B22707" s="4">
        <v>5590</v>
      </c>
      <c r="D22707" s="5">
        <v>5590</v>
      </c>
      <c r="E22707" s="6" t="str">
        <f>HYPERLINK("https://inpn.mnhn.fr/espece/cd_nom/5590","Campylostelium saxicola (F.Weber &amp; D.Mohr) Bruch &amp; Schimp., 1846")</f>
        <v>Campylostelium saxicola (F.Weber &amp; D.Mohr) Bruch &amp; Schimp., 1846</v>
      </c>
      <c r="M22707" s="4" t="str">
        <f>HYPERLINK("#Réglementation!A"&amp;_xlfn.XMATCH("RV43",Réglementation!A:A,2,1),"RV43")</f>
        <v>RV43</v>
      </c>
      <c r="P22707" s="7" t="str">
        <f>HYPERLINK("#Liste_rouge!A"&amp;_xlfn.XMATCH("VU",Liste_rouge!A:A,2,1),"VU")</f>
        <v>VU</v>
      </c>
      <c r="V22707" s="7" t="str">
        <f>HYPERLINK("#Liste_rouge!A"&amp;_xlfn.XMATCH("NT",Liste_rouge!A:A,2,1),"NT")</f>
        <v>NT</v>
      </c>
      <c r="X22707" s="5" t="s">
        <v>374</v>
      </c>
      <c r="AB22707" s="4" t="s">
        <v>93</v>
      </c>
      <c r="AH22707" s="4" t="str">
        <f>HYPERLINK("#Statut_biogéographique!A"&amp;_xlfn.XMATCH("P",Statut_biogéographique!A:A,2,1),"P")</f>
        <v>P</v>
      </c>
      <c r="AP22707" s="4" t="s">
        <v>376</v>
      </c>
      <c r="AR22707" s="4" t="s">
        <v>377</v>
      </c>
    </row>
    <row r="22708" spans="1:44" ht="30">
      <c r="A22708" s="4" t="s">
        <v>24364</v>
      </c>
      <c r="B22708" s="4">
        <v>5596</v>
      </c>
      <c r="D22708" s="5" t="s">
        <v>29449</v>
      </c>
      <c r="E22708" s="6" t="str">
        <f>HYPERLINK("https://inpn.mnhn.fr/espece/cd_nom/5596","Ptychomitrium polyphyllum (Dicks. ex Sw.) Bruch &amp; Schimp., 1837")</f>
        <v>Ptychomitrium polyphyllum (Dicks. ex Sw.) Bruch &amp; Schimp., 1837</v>
      </c>
      <c r="O22708" s="7" t="str">
        <f>HYPERLINK("#Liste_rouge!A"&amp;_xlfn.XMATCH("LC",Liste_rouge!A:A,2,1),"LC")</f>
        <v>LC</v>
      </c>
      <c r="P22708" s="7" t="str">
        <f>HYPERLINK("#Liste_rouge!A"&amp;_xlfn.XMATCH("LC",Liste_rouge!A:A,2,1),"LC")</f>
        <v>LC</v>
      </c>
      <c r="T22708" s="7" t="str">
        <f>HYPERLINK("#Liste_rouge!A"&amp;_xlfn.XMATCH("NT",Liste_rouge!A:A,2,1),"NT")</f>
        <v>NT</v>
      </c>
      <c r="V22708" s="7" t="str">
        <f>HYPERLINK("#Liste_rouge!A"&amp;_xlfn.XMATCH("NT",Liste_rouge!A:A,2,1),"NT")</f>
        <v>NT</v>
      </c>
      <c r="X22708" s="5" t="s">
        <v>374</v>
      </c>
      <c r="AB22708" s="4" t="s">
        <v>93</v>
      </c>
      <c r="AH22708" s="4" t="str">
        <f>HYPERLINK("#Statut_biogéographique!A"&amp;_xlfn.XMATCH("P",Statut_biogéographique!A:A,2,1),"P")</f>
        <v>P</v>
      </c>
      <c r="AP22708" s="4" t="s">
        <v>376</v>
      </c>
      <c r="AR22708" s="4" t="s">
        <v>377</v>
      </c>
    </row>
    <row r="22709" spans="1:44">
      <c r="A22709" s="4" t="s">
        <v>24364</v>
      </c>
      <c r="B22709" s="4">
        <v>5600</v>
      </c>
      <c r="D22709" s="5" t="s">
        <v>29450</v>
      </c>
      <c r="E22709" s="6" t="str">
        <f>HYPERLINK("https://inpn.mnhn.fr/espece/cd_nom/5600","Blindia acuta (Hedw.) Bruch &amp; Schimp., 1846")</f>
        <v>Blindia acuta (Hedw.) Bruch &amp; Schimp., 1846</v>
      </c>
      <c r="P22709" s="7" t="str">
        <f>HYPERLINK("#Liste_rouge!A"&amp;_xlfn.XMATCH("LC",Liste_rouge!A:A,2,1),"LC")</f>
        <v>LC</v>
      </c>
      <c r="T22709" s="7" t="str">
        <f>HYPERLINK("#Liste_rouge!A"&amp;_xlfn.XMATCH("EN",Liste_rouge!A:A,2,1),"EN")</f>
        <v>EN</v>
      </c>
      <c r="V22709" s="7" t="str">
        <f>HYPERLINK("#Liste_rouge!A"&amp;_xlfn.XMATCH("VU",Liste_rouge!A:A,2,1),"VU")</f>
        <v>VU</v>
      </c>
      <c r="X22709" s="5" t="s">
        <v>374</v>
      </c>
      <c r="AB22709" s="4" t="s">
        <v>93</v>
      </c>
      <c r="AH22709" s="4" t="str">
        <f>HYPERLINK("#Statut_biogéographique!A"&amp;_xlfn.XMATCH("P",Statut_biogéographique!A:A,2,1),"P")</f>
        <v>P</v>
      </c>
      <c r="AP22709" s="4" t="s">
        <v>376</v>
      </c>
      <c r="AR22709" s="4" t="s">
        <v>377</v>
      </c>
    </row>
    <row r="22710" spans="1:44" ht="30">
      <c r="A22710" s="4" t="s">
        <v>24364</v>
      </c>
      <c r="B22710" s="4">
        <v>5613</v>
      </c>
      <c r="D22710" s="5" t="s">
        <v>29451</v>
      </c>
      <c r="E22710" s="6" t="str">
        <f>HYPERLINK("https://inpn.mnhn.fr/espece/cd_nom/5613","Brachydontium trichodes (F.Weber) Milde, 1869")</f>
        <v>Brachydontium trichodes (F.Weber) Milde, 1869</v>
      </c>
      <c r="P22710" s="7" t="str">
        <f>HYPERLINK("#Liste_rouge!A"&amp;_xlfn.XMATCH("LC",Liste_rouge!A:A,2,1),"LC")</f>
        <v>LC</v>
      </c>
      <c r="T22710" s="7" t="str">
        <f>HYPERLINK("#Liste_rouge!A"&amp;_xlfn.XMATCH("EN",Liste_rouge!A:A,2,1),"EN")</f>
        <v>EN</v>
      </c>
      <c r="V22710" s="7" t="str">
        <f>HYPERLINK("#Liste_rouge!A"&amp;_xlfn.XMATCH("NT",Liste_rouge!A:A,2,1),"NT")</f>
        <v>NT</v>
      </c>
      <c r="X22710" s="5" t="s">
        <v>374</v>
      </c>
      <c r="AB22710" s="4" t="s">
        <v>93</v>
      </c>
      <c r="AH22710" s="4" t="str">
        <f>HYPERLINK("#Statut_biogéographique!A"&amp;_xlfn.XMATCH("P",Statut_biogéographique!A:A,2,1),"P")</f>
        <v>P</v>
      </c>
      <c r="AP22710" s="4" t="s">
        <v>376</v>
      </c>
      <c r="AR22710" s="4" t="s">
        <v>377</v>
      </c>
    </row>
    <row r="22711" spans="1:44">
      <c r="A22711" s="4" t="s">
        <v>24364</v>
      </c>
      <c r="B22711" s="4">
        <v>5615</v>
      </c>
      <c r="D22711" s="5" t="s">
        <v>29452</v>
      </c>
      <c r="E22711" s="6" t="str">
        <f>HYPERLINK("https://inpn.mnhn.fr/espece/cd_nom/5615","Seligeria acutifolia Lindb., 1864")</f>
        <v>Seligeria acutifolia Lindb., 1864</v>
      </c>
      <c r="P22711" s="7" t="str">
        <f>HYPERLINK("#Liste_rouge!A"&amp;_xlfn.XMATCH("LC",Liste_rouge!A:A,2,1),"LC")</f>
        <v>LC</v>
      </c>
      <c r="T22711" s="7" t="str">
        <f>HYPERLINK("#Liste_rouge!A"&amp;_xlfn.XMATCH("VU",Liste_rouge!A:A,2,1),"VU")</f>
        <v>VU</v>
      </c>
      <c r="V22711" s="7" t="str">
        <f>HYPERLINK("#Liste_rouge!A"&amp;_xlfn.XMATCH("DD",Liste_rouge!A:A,2,1),"DD")</f>
        <v>DD</v>
      </c>
      <c r="X22711" s="5" t="s">
        <v>374</v>
      </c>
      <c r="AB22711" s="4" t="s">
        <v>93</v>
      </c>
      <c r="AH22711" s="4" t="str">
        <f>HYPERLINK("#Statut_biogéographique!A"&amp;_xlfn.XMATCH("P",Statut_biogéographique!A:A,2,1),"P")</f>
        <v>P</v>
      </c>
      <c r="AP22711" s="4" t="s">
        <v>376</v>
      </c>
      <c r="AR22711" s="4" t="s">
        <v>377</v>
      </c>
    </row>
    <row r="22712" spans="1:44" ht="30">
      <c r="A22712" s="4" t="s">
        <v>24364</v>
      </c>
      <c r="B22712" s="4">
        <v>5617</v>
      </c>
      <c r="D22712" s="5" t="s">
        <v>29453</v>
      </c>
      <c r="E22712" s="6" t="str">
        <f>HYPERLINK("https://inpn.mnhn.fr/espece/cd_nom/5617","Seligeria calcarea (Hedw.) Bruch &amp; Schimp., 1849")</f>
        <v>Seligeria calcarea (Hedw.) Bruch &amp; Schimp., 1849</v>
      </c>
      <c r="P22712" s="7" t="str">
        <f>HYPERLINK("#Liste_rouge!A"&amp;_xlfn.XMATCH("LC",Liste_rouge!A:A,2,1),"LC")</f>
        <v>LC</v>
      </c>
      <c r="T22712" s="7" t="str">
        <f>HYPERLINK("#Liste_rouge!A"&amp;_xlfn.XMATCH("LC",Liste_rouge!A:A,2,1),"LC")</f>
        <v>LC</v>
      </c>
      <c r="V22712" s="7" t="str">
        <f>HYPERLINK("#Liste_rouge!A"&amp;_xlfn.XMATCH("DD",Liste_rouge!A:A,2,1),"DD")</f>
        <v>DD</v>
      </c>
      <c r="AB22712" s="4" t="s">
        <v>25106</v>
      </c>
      <c r="AH22712" s="4" t="str">
        <f>HYPERLINK("#Statut_biogéographique!A"&amp;_xlfn.XMATCH("P",Statut_biogéographique!A:A,2,1),"P")</f>
        <v>P</v>
      </c>
      <c r="AP22712" s="4" t="s">
        <v>376</v>
      </c>
      <c r="AR22712" s="4" t="s">
        <v>377</v>
      </c>
    </row>
    <row r="22713" spans="1:44">
      <c r="A22713" s="4" t="s">
        <v>24364</v>
      </c>
      <c r="B22713" s="4">
        <v>5620</v>
      </c>
      <c r="D22713" s="5">
        <v>5620</v>
      </c>
      <c r="E22713" s="6" t="str">
        <f>HYPERLINK("https://inpn.mnhn.fr/espece/cd_nom/5620","Seligeria donniana (Sm.) Müll.Hal., 1848")</f>
        <v>Seligeria donniana (Sm.) Müll.Hal., 1848</v>
      </c>
      <c r="P22713" s="7" t="str">
        <f>HYPERLINK("#Liste_rouge!A"&amp;_xlfn.XMATCH("LC",Liste_rouge!A:A,2,1),"LC")</f>
        <v>LC</v>
      </c>
      <c r="V22713" s="7" t="str">
        <f>HYPERLINK("#Liste_rouge!A"&amp;_xlfn.XMATCH("DD",Liste_rouge!A:A,2,1),"DD")</f>
        <v>DD</v>
      </c>
      <c r="X22713" s="5" t="s">
        <v>374</v>
      </c>
      <c r="AB22713" s="4" t="s">
        <v>93</v>
      </c>
      <c r="AH22713" s="4" t="str">
        <f>HYPERLINK("#Statut_biogéographique!A"&amp;_xlfn.XMATCH("P",Statut_biogéographique!A:A,2,1),"P")</f>
        <v>P</v>
      </c>
      <c r="AP22713" s="4" t="s">
        <v>376</v>
      </c>
      <c r="AR22713" s="4" t="s">
        <v>377</v>
      </c>
    </row>
    <row r="22714" spans="1:44" ht="30">
      <c r="A22714" s="4" t="s">
        <v>24364</v>
      </c>
      <c r="B22714" s="4">
        <v>5621</v>
      </c>
      <c r="D22714" s="5" t="s">
        <v>29454</v>
      </c>
      <c r="E22714" s="6" t="str">
        <f>HYPERLINK("https://inpn.mnhn.fr/espece/cd_nom/5621","Seligeria pusilla (Hedw.) Bruch &amp; Schimp., 1846")</f>
        <v>Seligeria pusilla (Hedw.) Bruch &amp; Schimp., 1846</v>
      </c>
      <c r="P22714" s="7" t="str">
        <f>HYPERLINK("#Liste_rouge!A"&amp;_xlfn.XMATCH("LC",Liste_rouge!A:A,2,1),"LC")</f>
        <v>LC</v>
      </c>
      <c r="T22714" s="7" t="str">
        <f>HYPERLINK("#Liste_rouge!A"&amp;_xlfn.XMATCH("LC",Liste_rouge!A:A,2,1),"LC")</f>
        <v>LC</v>
      </c>
      <c r="V22714" s="7" t="str">
        <f>HYPERLINK("#Liste_rouge!A"&amp;_xlfn.XMATCH("LC",Liste_rouge!A:A,2,1),"LC")</f>
        <v>LC</v>
      </c>
      <c r="AH22714" s="4" t="str">
        <f>HYPERLINK("#Statut_biogéographique!A"&amp;_xlfn.XMATCH("P",Statut_biogéographique!A:A,2,1),"P")</f>
        <v>P</v>
      </c>
      <c r="AP22714" s="4" t="s">
        <v>376</v>
      </c>
      <c r="AR22714" s="4" t="s">
        <v>377</v>
      </c>
    </row>
    <row r="22715" spans="1:44">
      <c r="A22715" s="4" t="s">
        <v>24364</v>
      </c>
      <c r="B22715" s="4">
        <v>5623</v>
      </c>
      <c r="D22715" s="5" t="s">
        <v>29455</v>
      </c>
      <c r="E22715" s="6" t="str">
        <f>HYPERLINK("https://inpn.mnhn.fr/espece/cd_nom/5623","Seligeria patula (Lindb.) I.Hagen")</f>
        <v>Seligeria patula (Lindb.) I.Hagen</v>
      </c>
      <c r="P22715" s="7" t="str">
        <f>HYPERLINK("#Liste_rouge!A"&amp;_xlfn.XMATCH("LC",Liste_rouge!A:A,2,1),"LC")</f>
        <v>LC</v>
      </c>
      <c r="T22715" s="7" t="str">
        <f>HYPERLINK("#Liste_rouge!A"&amp;_xlfn.XMATCH("VU",Liste_rouge!A:A,2,1),"VU")</f>
        <v>VU</v>
      </c>
      <c r="V22715" s="7" t="str">
        <f>HYPERLINK("#Liste_rouge!A"&amp;_xlfn.XMATCH("DD",Liste_rouge!A:A,2,1),"DD")</f>
        <v>DD</v>
      </c>
      <c r="X22715" s="5" t="s">
        <v>374</v>
      </c>
      <c r="AB22715" s="4" t="s">
        <v>93</v>
      </c>
      <c r="AH22715" s="4" t="str">
        <f>HYPERLINK("#Statut_biogéographique!A"&amp;_xlfn.XMATCH("P",Statut_biogéographique!A:A,2,1),"P")</f>
        <v>P</v>
      </c>
      <c r="AP22715" s="4" t="s">
        <v>376</v>
      </c>
      <c r="AR22715" s="4" t="s">
        <v>377</v>
      </c>
    </row>
    <row r="22716" spans="1:44">
      <c r="A22716" s="4" t="s">
        <v>24364</v>
      </c>
      <c r="B22716" s="4">
        <v>5626</v>
      </c>
      <c r="D22716" s="5" t="s">
        <v>29456</v>
      </c>
      <c r="E22716" s="6" t="str">
        <f>HYPERLINK("https://inpn.mnhn.fr/espece/cd_nom/5626","Seligeria trifaria (Brid.) Lindb., 1863")</f>
        <v>Seligeria trifaria (Brid.) Lindb., 1863</v>
      </c>
      <c r="P22716" s="7" t="str">
        <f>HYPERLINK("#Liste_rouge!A"&amp;_xlfn.XMATCH("DD",Liste_rouge!A:A,2,1),"DD")</f>
        <v>DD</v>
      </c>
      <c r="T22716" s="7" t="str">
        <f>HYPERLINK("#Liste_rouge!A"&amp;_xlfn.XMATCH("EN",Liste_rouge!A:A,2,1),"EN")</f>
        <v>EN</v>
      </c>
      <c r="V22716" s="7" t="str">
        <f>HYPERLINK("#Liste_rouge!A"&amp;_xlfn.XMATCH("DD",Liste_rouge!A:A,2,1),"DD")</f>
        <v>DD</v>
      </c>
      <c r="X22716" s="5" t="s">
        <v>374</v>
      </c>
      <c r="AB22716" s="4" t="s">
        <v>93</v>
      </c>
      <c r="AH22716" s="4" t="str">
        <f>HYPERLINK("#Statut_biogéographique!A"&amp;_xlfn.XMATCH("P",Statut_biogéographique!A:A,2,1),"P")</f>
        <v>P</v>
      </c>
      <c r="AP22716" s="4" t="s">
        <v>376</v>
      </c>
      <c r="AR22716" s="4" t="s">
        <v>377</v>
      </c>
    </row>
    <row r="22717" spans="1:44" ht="30">
      <c r="A22717" s="4" t="s">
        <v>24364</v>
      </c>
      <c r="B22717" s="4">
        <v>5642</v>
      </c>
      <c r="D22717" s="5" t="s">
        <v>29457</v>
      </c>
      <c r="E22717" s="6" t="str">
        <f>HYPERLINK("https://inpn.mnhn.fr/espece/cd_nom/5642","Entosthodon fascicularis (Hedw.) Müll.Hal., 1848")</f>
        <v>Entosthodon fascicularis (Hedw.) Müll.Hal., 1848</v>
      </c>
      <c r="P22717" s="7" t="str">
        <f>HYPERLINK("#Liste_rouge!A"&amp;_xlfn.XMATCH("LC",Liste_rouge!A:A,2,1),"LC")</f>
        <v>LC</v>
      </c>
      <c r="T22717" s="7" t="str">
        <f>HYPERLINK("#Liste_rouge!A"&amp;_xlfn.XMATCH("LC",Liste_rouge!A:A,2,1),"LC")</f>
        <v>LC</v>
      </c>
      <c r="V22717" s="7" t="str">
        <f>HYPERLINK("#Liste_rouge!A"&amp;_xlfn.XMATCH("LC",Liste_rouge!A:A,2,1),"LC")</f>
        <v>LC</v>
      </c>
      <c r="AH22717" s="4" t="str">
        <f>HYPERLINK("#Statut_biogéographique!A"&amp;_xlfn.XMATCH("P",Statut_biogéographique!A:A,2,1),"P")</f>
        <v>P</v>
      </c>
      <c r="AP22717" s="4" t="s">
        <v>376</v>
      </c>
      <c r="AR22717" s="4" t="s">
        <v>377</v>
      </c>
    </row>
    <row r="22718" spans="1:44">
      <c r="A22718" s="4" t="s">
        <v>24364</v>
      </c>
      <c r="B22718" s="4">
        <v>5643</v>
      </c>
      <c r="D22718" s="5" t="s">
        <v>29458</v>
      </c>
      <c r="E22718" s="6" t="str">
        <f>HYPERLINK("https://inpn.mnhn.fr/espece/cd_nom/5643","Entosthodon obtusus (Hedw.) Lindb., 1865")</f>
        <v>Entosthodon obtusus (Hedw.) Lindb., 1865</v>
      </c>
      <c r="P22718" s="7" t="str">
        <f>HYPERLINK("#Liste_rouge!A"&amp;_xlfn.XMATCH("LC",Liste_rouge!A:A,2,1),"LC")</f>
        <v>LC</v>
      </c>
      <c r="T22718" s="7" t="str">
        <f>HYPERLINK("#Liste_rouge!A"&amp;_xlfn.XMATCH("CR",Liste_rouge!A:A,2,1),"CR")</f>
        <v>CR</v>
      </c>
      <c r="V22718" s="7" t="str">
        <f>HYPERLINK("#Liste_rouge!A"&amp;_xlfn.XMATCH("VU",Liste_rouge!A:A,2,1),"VU")</f>
        <v>VU</v>
      </c>
      <c r="X22718" s="5" t="s">
        <v>374</v>
      </c>
      <c r="AB22718" s="4" t="s">
        <v>93</v>
      </c>
      <c r="AH22718" s="4" t="str">
        <f>HYPERLINK("#Statut_biogéographique!A"&amp;_xlfn.XMATCH("P",Statut_biogéographique!A:A,2,1),"P")</f>
        <v>P</v>
      </c>
      <c r="AP22718" s="4" t="s">
        <v>376</v>
      </c>
      <c r="AR22718" s="4" t="s">
        <v>377</v>
      </c>
    </row>
    <row r="22719" spans="1:44">
      <c r="A22719" s="4" t="s">
        <v>24364</v>
      </c>
      <c r="B22719" s="4">
        <v>5650</v>
      </c>
      <c r="D22719" s="5" t="s">
        <v>29459</v>
      </c>
      <c r="E22719" s="6" t="str">
        <f>HYPERLINK("https://inpn.mnhn.fr/espece/cd_nom/5650","Funaria hygrometrica Hedw., 1801")</f>
        <v>Funaria hygrometrica Hedw., 1801</v>
      </c>
      <c r="P22719" s="7" t="str">
        <f>HYPERLINK("#Liste_rouge!A"&amp;_xlfn.XMATCH("LC",Liste_rouge!A:A,2,1),"LC")</f>
        <v>LC</v>
      </c>
      <c r="T22719" s="7" t="str">
        <f>HYPERLINK("#Liste_rouge!A"&amp;_xlfn.XMATCH("LC",Liste_rouge!A:A,2,1),"LC")</f>
        <v>LC</v>
      </c>
      <c r="V22719" s="7" t="str">
        <f>HYPERLINK("#Liste_rouge!A"&amp;_xlfn.XMATCH("LC",Liste_rouge!A:A,2,1),"LC")</f>
        <v>LC</v>
      </c>
      <c r="AH22719" s="4" t="str">
        <f>HYPERLINK("#Statut_biogéographique!A"&amp;_xlfn.XMATCH("P",Statut_biogéographique!A:A,2,1),"P")</f>
        <v>P</v>
      </c>
      <c r="AP22719" s="4" t="s">
        <v>376</v>
      </c>
      <c r="AR22719" s="4" t="s">
        <v>377</v>
      </c>
    </row>
    <row r="22720" spans="1:44">
      <c r="A22720" s="4" t="s">
        <v>24364</v>
      </c>
      <c r="B22720" s="4">
        <v>5658</v>
      </c>
      <c r="D22720" s="5" t="s">
        <v>29460</v>
      </c>
      <c r="E22720" s="6" t="str">
        <f>HYPERLINK("https://inpn.mnhn.fr/espece/cd_nom/5658","Physcomitrium eurystomum Sendtn., 1841")</f>
        <v>Physcomitrium eurystomum Sendtn., 1841</v>
      </c>
      <c r="P22720" s="7" t="str">
        <f>HYPERLINK("#Liste_rouge!A"&amp;_xlfn.XMATCH("VU",Liste_rouge!A:A,2,1),"VU")</f>
        <v>VU</v>
      </c>
      <c r="T22720" s="7" t="str">
        <f>HYPERLINK("#Liste_rouge!A"&amp;_xlfn.XMATCH("EN",Liste_rouge!A:A,2,1),"EN")</f>
        <v>EN</v>
      </c>
      <c r="V22720" s="7" t="str">
        <f>HYPERLINK("#Liste_rouge!A"&amp;_xlfn.XMATCH("VU",Liste_rouge!A:A,2,1),"VU")</f>
        <v>VU</v>
      </c>
      <c r="X22720" s="5" t="s">
        <v>374</v>
      </c>
      <c r="AB22720" s="4" t="s">
        <v>93</v>
      </c>
      <c r="AH22720" s="4" t="str">
        <f>HYPERLINK("#Statut_biogéographique!A"&amp;_xlfn.XMATCH("P",Statut_biogéographique!A:A,2,1),"P")</f>
        <v>P</v>
      </c>
      <c r="AP22720" s="4" t="s">
        <v>376</v>
      </c>
      <c r="AR22720" s="4" t="s">
        <v>377</v>
      </c>
    </row>
    <row r="22721" spans="1:44" ht="30">
      <c r="A22721" s="4" t="s">
        <v>24364</v>
      </c>
      <c r="B22721" s="4">
        <v>5659</v>
      </c>
      <c r="D22721" s="5" t="s">
        <v>29461</v>
      </c>
      <c r="E22721" s="6" t="str">
        <f>HYPERLINK("https://inpn.mnhn.fr/espece/cd_nom/5659","Physcomitrium pyriforme (Hedw.) Bruch &amp; Schimp.")</f>
        <v>Physcomitrium pyriforme (Hedw.) Bruch &amp; Schimp.</v>
      </c>
      <c r="P22721" s="7" t="str">
        <f>HYPERLINK("#Liste_rouge!A"&amp;_xlfn.XMATCH("LC",Liste_rouge!A:A,2,1),"LC")</f>
        <v>LC</v>
      </c>
      <c r="T22721" s="7" t="str">
        <f>HYPERLINK("#Liste_rouge!A"&amp;_xlfn.XMATCH("LC",Liste_rouge!A:A,2,1),"LC")</f>
        <v>LC</v>
      </c>
      <c r="V22721" s="7" t="str">
        <f>HYPERLINK("#Liste_rouge!A"&amp;_xlfn.XMATCH("LC",Liste_rouge!A:A,2,1),"LC")</f>
        <v>LC</v>
      </c>
      <c r="AH22721" s="4" t="str">
        <f>HYPERLINK("#Statut_biogéographique!A"&amp;_xlfn.XMATCH("P",Statut_biogéographique!A:A,2,1),"P")</f>
        <v>P</v>
      </c>
      <c r="AP22721" s="4" t="s">
        <v>376</v>
      </c>
      <c r="AR22721" s="4" t="s">
        <v>377</v>
      </c>
    </row>
    <row r="22722" spans="1:44" ht="30">
      <c r="A22722" s="4" t="s">
        <v>24364</v>
      </c>
      <c r="B22722" s="4">
        <v>5660</v>
      </c>
      <c r="D22722" s="5">
        <v>5660</v>
      </c>
      <c r="E22722" s="6" t="str">
        <f>HYPERLINK("https://inpn.mnhn.fr/espece/cd_nom/5660","Physcomitrium sphaericum (C.F.Ludw. ex Schkuhr) Brid.")</f>
        <v>Physcomitrium sphaericum (C.F.Ludw. ex Schkuhr) Brid.</v>
      </c>
      <c r="P22722" s="7" t="str">
        <f>HYPERLINK("#Liste_rouge!A"&amp;_xlfn.XMATCH("VU",Liste_rouge!A:A,2,1),"VU")</f>
        <v>VU</v>
      </c>
      <c r="T22722" s="7" t="str">
        <f>HYPERLINK("#Liste_rouge!A"&amp;_xlfn.XMATCH("CR",Liste_rouge!A:A,2,1),"CR")</f>
        <v>CR</v>
      </c>
      <c r="V22722" s="7" t="str">
        <f>HYPERLINK("#Liste_rouge!A"&amp;_xlfn.XMATCH("VU",Liste_rouge!A:A,2,1),"VU")</f>
        <v>VU</v>
      </c>
      <c r="X22722" s="5" t="s">
        <v>374</v>
      </c>
      <c r="AB22722" s="4" t="s">
        <v>93</v>
      </c>
      <c r="AH22722" s="4" t="str">
        <f>HYPERLINK("#Statut_biogéographique!A"&amp;_xlfn.XMATCH("P",Statut_biogéographique!A:A,2,1),"P")</f>
        <v>P</v>
      </c>
      <c r="AP22722" s="4" t="s">
        <v>376</v>
      </c>
      <c r="AR22722" s="4" t="s">
        <v>377</v>
      </c>
    </row>
    <row r="22723" spans="1:44" ht="30">
      <c r="A22723" s="4" t="s">
        <v>24364</v>
      </c>
      <c r="B22723" s="4">
        <v>5665</v>
      </c>
      <c r="D22723" s="5" t="s">
        <v>29462</v>
      </c>
      <c r="E22723" s="6" t="str">
        <f>HYPERLINK("https://inpn.mnhn.fr/espece/cd_nom/5665","Micromitrium tenerum (Bruch &amp; Schimp.) Crosby, 1968")</f>
        <v>Micromitrium tenerum (Bruch &amp; Schimp.) Crosby, 1968</v>
      </c>
      <c r="P22723" s="7" t="str">
        <f>HYPERLINK("#Liste_rouge!A"&amp;_xlfn.XMATCH("EN",Liste_rouge!A:A,2,1),"EN")</f>
        <v>EN</v>
      </c>
      <c r="T22723" s="7" t="str">
        <f>HYPERLINK("#Liste_rouge!A"&amp;_xlfn.XMATCH("VU",Liste_rouge!A:A,2,1),"VU")</f>
        <v>VU</v>
      </c>
      <c r="X22723" s="5" t="s">
        <v>374</v>
      </c>
      <c r="AB22723" s="4" t="s">
        <v>93</v>
      </c>
      <c r="AH22723" s="4" t="str">
        <f>HYPERLINK("#Statut_biogéographique!A"&amp;_xlfn.XMATCH("P",Statut_biogéographique!A:A,2,1),"P")</f>
        <v>P</v>
      </c>
      <c r="AP22723" s="4" t="s">
        <v>376</v>
      </c>
      <c r="AR22723" s="4" t="s">
        <v>377</v>
      </c>
    </row>
    <row r="22724" spans="1:44">
      <c r="A22724" s="4" t="s">
        <v>24364</v>
      </c>
      <c r="B22724" s="4">
        <v>5669</v>
      </c>
      <c r="D22724" s="5">
        <v>5669</v>
      </c>
      <c r="E22724" s="6" t="str">
        <f>HYPERLINK("https://inpn.mnhn.fr/espece/cd_nom/5669","Ephemerum cohaerens (Hedw.) Hampe, 1837")</f>
        <v>Ephemerum cohaerens (Hedw.) Hampe, 1837</v>
      </c>
      <c r="P22724" s="7" t="str">
        <f>HYPERLINK("#Liste_rouge!A"&amp;_xlfn.XMATCH("VU",Liste_rouge!A:A,2,1),"VU")</f>
        <v>VU</v>
      </c>
      <c r="AH22724" s="4" t="str">
        <f>HYPERLINK("#Statut_biogéographique!A"&amp;_xlfn.XMATCH("P",Statut_biogéographique!A:A,2,1),"P")</f>
        <v>P</v>
      </c>
      <c r="AP22724" s="4" t="s">
        <v>376</v>
      </c>
      <c r="AR22724" s="4" t="s">
        <v>377</v>
      </c>
    </row>
    <row r="22725" spans="1:44" ht="30">
      <c r="A22725" s="4" t="s">
        <v>24364</v>
      </c>
      <c r="B22725" s="4">
        <v>5670</v>
      </c>
      <c r="D22725" s="5" t="s">
        <v>29463</v>
      </c>
      <c r="E22725" s="6" t="str">
        <f>HYPERLINK("https://inpn.mnhn.fr/espece/cd_nom/5670","Ephemerum recurvifolium (Dicks.) Boulay, 1872")</f>
        <v>Ephemerum recurvifolium (Dicks.) Boulay, 1872</v>
      </c>
      <c r="P22725" s="7" t="str">
        <f>HYPERLINK("#Liste_rouge!A"&amp;_xlfn.XMATCH("NT",Liste_rouge!A:A,2,1),"NT")</f>
        <v>NT</v>
      </c>
      <c r="T22725" s="7" t="str">
        <f>HYPERLINK("#Liste_rouge!A"&amp;_xlfn.XMATCH("DD",Liste_rouge!A:A,2,1),"DD")</f>
        <v>DD</v>
      </c>
      <c r="V22725" s="7" t="str">
        <f>HYPERLINK("#Liste_rouge!A"&amp;_xlfn.XMATCH("DD",Liste_rouge!A:A,2,1),"DD")</f>
        <v>DD</v>
      </c>
      <c r="AH22725" s="4" t="str">
        <f>HYPERLINK("#Statut_biogéographique!A"&amp;_xlfn.XMATCH("P",Statut_biogéographique!A:A,2,1),"P")</f>
        <v>P</v>
      </c>
      <c r="AP22725" s="4" t="s">
        <v>376</v>
      </c>
      <c r="AR22725" s="4" t="s">
        <v>377</v>
      </c>
    </row>
    <row r="22726" spans="1:44" ht="30">
      <c r="A22726" s="4" t="s">
        <v>24364</v>
      </c>
      <c r="B22726" s="4">
        <v>5671</v>
      </c>
      <c r="D22726" s="5" t="s">
        <v>29464</v>
      </c>
      <c r="E22726" s="6" t="str">
        <f>HYPERLINK("https://inpn.mnhn.fr/espece/cd_nom/5671","Ephemerum serratum (Hedw.) Hampe, 1837")</f>
        <v>Ephemerum serratum (Hedw.) Hampe, 1837</v>
      </c>
      <c r="P22726" s="7" t="str">
        <f>HYPERLINK("#Liste_rouge!A"&amp;_xlfn.XMATCH("LC",Liste_rouge!A:A,2,1),"LC")</f>
        <v>LC</v>
      </c>
      <c r="T22726" s="7" t="str">
        <f>HYPERLINK("#Liste_rouge!A"&amp;_xlfn.XMATCH("LC",Liste_rouge!A:A,2,1),"LC")</f>
        <v>LC</v>
      </c>
      <c r="V22726" s="7" t="str">
        <f>HYPERLINK("#Liste_rouge!A"&amp;_xlfn.XMATCH("LC",Liste_rouge!A:A,2,1),"LC")</f>
        <v>LC</v>
      </c>
      <c r="AH22726" s="4" t="str">
        <f>HYPERLINK("#Statut_biogéographique!A"&amp;_xlfn.XMATCH("P",Statut_biogéographique!A:A,2,1),"P")</f>
        <v>P</v>
      </c>
      <c r="AP22726" s="4" t="s">
        <v>376</v>
      </c>
      <c r="AR22726" s="4" t="s">
        <v>377</v>
      </c>
    </row>
    <row r="22727" spans="1:44">
      <c r="A22727" s="4" t="s">
        <v>24364</v>
      </c>
      <c r="B22727" s="4">
        <v>5680</v>
      </c>
      <c r="D22727" s="5">
        <v>5680</v>
      </c>
      <c r="E22727" s="6" t="str">
        <f>HYPERLINK("https://inpn.mnhn.fr/espece/cd_nom/5680","Splachnum ampullaceum Hedw., 1801")</f>
        <v>Splachnum ampullaceum Hedw., 1801</v>
      </c>
      <c r="M22727" s="4" t="str">
        <f>HYPERLINK("#Réglementation!A"&amp;_xlfn.XMATCH("RV43",Réglementation!A:A,2,1),"RV43")</f>
        <v>RV43</v>
      </c>
      <c r="P22727" s="7" t="str">
        <f>HYPERLINK("#Liste_rouge!A"&amp;_xlfn.XMATCH("NT",Liste_rouge!A:A,2,1),"NT")</f>
        <v>NT</v>
      </c>
      <c r="T22727" s="7" t="str">
        <f>HYPERLINK("#Liste_rouge!A"&amp;_xlfn.XMATCH("CR",Liste_rouge!A:A,2,1),"CR")</f>
        <v>CR</v>
      </c>
      <c r="V22727" s="7" t="str">
        <f>HYPERLINK("#Liste_rouge!A"&amp;_xlfn.XMATCH("EN",Liste_rouge!A:A,2,1),"EN")</f>
        <v>EN</v>
      </c>
      <c r="X22727" s="5" t="s">
        <v>374</v>
      </c>
      <c r="AB22727" s="4" t="s">
        <v>93</v>
      </c>
      <c r="AE22727" s="4" t="str">
        <f>HYPERLINK("#SCAP!A"&amp;_xlfn.XMATCH("1-",SCAP!A:A,2,1),"1-")</f>
        <v>1-</v>
      </c>
      <c r="AF22727" s="4" t="str">
        <f>HYPERLINK("#SCAP!A"&amp;_xlfn.XMATCH("NP",SCAP!A:A,2,1),"NP")</f>
        <v>NP</v>
      </c>
      <c r="AG22727" s="4" t="str">
        <f>HYPERLINK("#SCAP!A"&amp;_xlfn.XMATCH("1-",SCAP!A:A,2,1),"1-")</f>
        <v>1-</v>
      </c>
      <c r="AH22727" s="4" t="str">
        <f>HYPERLINK("#Statut_biogéographique!A"&amp;_xlfn.XMATCH("P",Statut_biogéographique!A:A,2,1),"P")</f>
        <v>P</v>
      </c>
      <c r="AP22727" s="4" t="s">
        <v>376</v>
      </c>
      <c r="AR22727" s="4" t="s">
        <v>377</v>
      </c>
    </row>
    <row r="22728" spans="1:44">
      <c r="A22728" s="4" t="s">
        <v>24364</v>
      </c>
      <c r="B22728" s="4">
        <v>5681</v>
      </c>
      <c r="D22728" s="5" t="s">
        <v>29465</v>
      </c>
      <c r="E22728" s="6" t="str">
        <f>HYPERLINK("https://inpn.mnhn.fr/espece/cd_nom/5681","Splachnum sphaericum Hedw., 1801")</f>
        <v>Splachnum sphaericum Hedw., 1801</v>
      </c>
      <c r="P22728" s="7" t="str">
        <f>HYPERLINK("#Liste_rouge!A"&amp;_xlfn.XMATCH("LC",Liste_rouge!A:A,2,1),"LC")</f>
        <v>LC</v>
      </c>
      <c r="V22728" s="7" t="str">
        <f>HYPERLINK("#Liste_rouge!A"&amp;_xlfn.XMATCH("RE",Liste_rouge!A:A,2,1),"RE")</f>
        <v>RE</v>
      </c>
      <c r="AH22728" s="4" t="str">
        <f>HYPERLINK("#Statut_biogéographique!A"&amp;_xlfn.XMATCH("P",Statut_biogéographique!A:A,2,1),"P")</f>
        <v>P</v>
      </c>
      <c r="AP22728" s="4" t="s">
        <v>376</v>
      </c>
      <c r="AR22728" s="4" t="s">
        <v>377</v>
      </c>
    </row>
    <row r="22729" spans="1:44">
      <c r="A22729" s="4" t="s">
        <v>24364</v>
      </c>
      <c r="B22729" s="4">
        <v>5689</v>
      </c>
      <c r="D22729" s="5" t="s">
        <v>29466</v>
      </c>
      <c r="E22729" s="6" t="str">
        <f>HYPERLINK("https://inpn.mnhn.fr/espece/cd_nom/5689","Tayloria tenuis (Dicks.) Schimp.")</f>
        <v>Tayloria tenuis (Dicks.) Schimp.</v>
      </c>
      <c r="M22729" s="4" t="str">
        <f>HYPERLINK("#Réglementation!A"&amp;_xlfn.XMATCH("RV43",Réglementation!A:A,2,1),"RV43")</f>
        <v>RV43</v>
      </c>
      <c r="P22729" s="7" t="str">
        <f>HYPERLINK("#Liste_rouge!A"&amp;_xlfn.XMATCH("VU",Liste_rouge!A:A,2,1),"VU")</f>
        <v>VU</v>
      </c>
      <c r="V22729" s="7" t="str">
        <f>HYPERLINK("#Liste_rouge!A"&amp;_xlfn.XMATCH("NT",Liste_rouge!A:A,2,1),"NT")</f>
        <v>NT</v>
      </c>
      <c r="X22729" s="5" t="s">
        <v>374</v>
      </c>
      <c r="AB22729" s="4" t="s">
        <v>93</v>
      </c>
      <c r="AH22729" s="4" t="str">
        <f>HYPERLINK("#Statut_biogéographique!A"&amp;_xlfn.XMATCH("P",Statut_biogéographique!A:A,2,1),"P")</f>
        <v>P</v>
      </c>
      <c r="AP22729" s="4" t="s">
        <v>376</v>
      </c>
      <c r="AR22729" s="4" t="s">
        <v>377</v>
      </c>
    </row>
    <row r="22730" spans="1:44" ht="30">
      <c r="A22730" s="4" t="s">
        <v>24364</v>
      </c>
      <c r="B22730" s="4">
        <v>5692</v>
      </c>
      <c r="D22730" s="5" t="s">
        <v>29467</v>
      </c>
      <c r="E22730" s="6" t="str">
        <f>HYPERLINK("https://inpn.mnhn.fr/espece/cd_nom/5692","Tetraplodon mnioides (Hedw.) Bruch &amp; Schimp., 1844")</f>
        <v>Tetraplodon mnioides (Hedw.) Bruch &amp; Schimp., 1844</v>
      </c>
      <c r="P22730" s="7" t="str">
        <f>HYPERLINK("#Liste_rouge!A"&amp;_xlfn.XMATCH("LC",Liste_rouge!A:A,2,1),"LC")</f>
        <v>LC</v>
      </c>
      <c r="V22730" s="7" t="str">
        <f>HYPERLINK("#Liste_rouge!A"&amp;_xlfn.XMATCH("CR",Liste_rouge!A:A,2,1),"CR")</f>
        <v>CR</v>
      </c>
      <c r="X22730" s="5" t="s">
        <v>374</v>
      </c>
      <c r="AB22730" s="4" t="s">
        <v>93</v>
      </c>
      <c r="AH22730" s="4" t="str">
        <f>HYPERLINK("#Statut_biogéographique!A"&amp;_xlfn.XMATCH("P",Statut_biogéographique!A:A,2,1),"P")</f>
        <v>P</v>
      </c>
      <c r="AP22730" s="4" t="s">
        <v>376</v>
      </c>
      <c r="AR22730" s="4" t="s">
        <v>377</v>
      </c>
    </row>
    <row r="22731" spans="1:44" ht="30">
      <c r="A22731" s="4" t="s">
        <v>24364</v>
      </c>
      <c r="B22731" s="4">
        <v>5697</v>
      </c>
      <c r="D22731" s="5" t="s">
        <v>29468</v>
      </c>
      <c r="E22731" s="6" t="str">
        <f>HYPERLINK("https://inpn.mnhn.fr/espece/cd_nom/5697","Schistostega pennata (Hedw.) F.Weber &amp; D.Mohr, 1803")</f>
        <v>Schistostega pennata (Hedw.) F.Weber &amp; D.Mohr, 1803</v>
      </c>
      <c r="P22731" s="7" t="str">
        <f>HYPERLINK("#Liste_rouge!A"&amp;_xlfn.XMATCH("LC",Liste_rouge!A:A,2,1),"LC")</f>
        <v>LC</v>
      </c>
      <c r="T22731" s="7" t="str">
        <f>HYPERLINK("#Liste_rouge!A"&amp;_xlfn.XMATCH("VU",Liste_rouge!A:A,2,1),"VU")</f>
        <v>VU</v>
      </c>
      <c r="V22731" s="7" t="str">
        <f>HYPERLINK("#Liste_rouge!A"&amp;_xlfn.XMATCH("VU",Liste_rouge!A:A,2,1),"VU")</f>
        <v>VU</v>
      </c>
      <c r="X22731" s="5" t="s">
        <v>374</v>
      </c>
      <c r="AB22731" s="4" t="s">
        <v>93</v>
      </c>
      <c r="AH22731" s="4" t="str">
        <f>HYPERLINK("#Statut_biogéographique!A"&amp;_xlfn.XMATCH("P",Statut_biogéographique!A:A,2,1),"P")</f>
        <v>P</v>
      </c>
      <c r="AP22731" s="4" t="s">
        <v>376</v>
      </c>
      <c r="AR22731" s="4" t="s">
        <v>377</v>
      </c>
    </row>
    <row r="22732" spans="1:44" ht="30">
      <c r="A22732" s="4" t="s">
        <v>24364</v>
      </c>
      <c r="B22732" s="4">
        <v>5705</v>
      </c>
      <c r="D22732" s="5" t="s">
        <v>29469</v>
      </c>
      <c r="E22732" s="6" t="str">
        <f>HYPERLINK("https://inpn.mnhn.fr/espece/cd_nom/5705","Anomobryum julaceum (Schrad. ex G.Gaertn., B.Mey. &amp; Scherb.) Schimp., 1860")</f>
        <v>Anomobryum julaceum (Schrad. ex G.Gaertn., B.Mey. &amp; Scherb.) Schimp., 1860</v>
      </c>
      <c r="P22732" s="7" t="str">
        <f>HYPERLINK("#Liste_rouge!A"&amp;_xlfn.XMATCH("LC",Liste_rouge!A:A,2,1),"LC")</f>
        <v>LC</v>
      </c>
      <c r="V22732" s="7" t="str">
        <f>HYPERLINK("#Liste_rouge!A"&amp;_xlfn.XMATCH("CR",Liste_rouge!A:A,2,1),"CR")</f>
        <v>CR</v>
      </c>
      <c r="X22732" s="5" t="s">
        <v>374</v>
      </c>
      <c r="AB22732" s="4" t="s">
        <v>93</v>
      </c>
      <c r="AH22732" s="4" t="str">
        <f>HYPERLINK("#Statut_biogéographique!A"&amp;_xlfn.XMATCH("P",Statut_biogéographique!A:A,2,1),"P")</f>
        <v>P</v>
      </c>
      <c r="AP22732" s="4" t="s">
        <v>376</v>
      </c>
      <c r="AR22732" s="4" t="s">
        <v>377</v>
      </c>
    </row>
    <row r="22733" spans="1:44" ht="30">
      <c r="A22733" s="4" t="s">
        <v>24364</v>
      </c>
      <c r="B22733" s="4">
        <v>5715</v>
      </c>
      <c r="D22733" s="5" t="s">
        <v>29470</v>
      </c>
      <c r="E22733" s="6" t="str">
        <f>HYPERLINK("https://inpn.mnhn.fr/espece/cd_nom/5715","Bryum argenteum Hedw., 1801")</f>
        <v>Bryum argenteum Hedw., 1801</v>
      </c>
      <c r="P22733" s="7" t="str">
        <f>HYPERLINK("#Liste_rouge!A"&amp;_xlfn.XMATCH("LC",Liste_rouge!A:A,2,1),"LC")</f>
        <v>LC</v>
      </c>
      <c r="T22733" s="7" t="str">
        <f>HYPERLINK("#Liste_rouge!A"&amp;_xlfn.XMATCH("LC",Liste_rouge!A:A,2,1),"LC")</f>
        <v>LC</v>
      </c>
      <c r="V22733" s="7" t="str">
        <f>HYPERLINK("#Liste_rouge!A"&amp;_xlfn.XMATCH("LC",Liste_rouge!A:A,2,1),"LC (cd_nom 5715) - NE (cd_nom 5715)")</f>
        <v>LC (cd_nom 5715) - NE (cd_nom 5715)</v>
      </c>
      <c r="AH22733" s="4" t="str">
        <f>HYPERLINK("#Statut_biogéographique!A"&amp;_xlfn.XMATCH("P",Statut_biogéographique!A:A,2,1),"P")</f>
        <v>P</v>
      </c>
      <c r="AP22733" s="4" t="s">
        <v>376</v>
      </c>
      <c r="AR22733" s="4" t="s">
        <v>377</v>
      </c>
    </row>
    <row r="22734" spans="1:44">
      <c r="A22734" s="4" t="s">
        <v>24364</v>
      </c>
      <c r="B22734" s="4">
        <v>5726</v>
      </c>
      <c r="D22734" s="5" t="s">
        <v>29471</v>
      </c>
      <c r="E22734" s="6" t="str">
        <f>HYPERLINK("https://inpn.mnhn.fr/espece/cd_nom/5726","Bryum canariense Brid., 1817")</f>
        <v>Bryum canariense Brid., 1817</v>
      </c>
      <c r="P22734" s="7" t="str">
        <f>HYPERLINK("#Liste_rouge!A"&amp;_xlfn.XMATCH("LC",Liste_rouge!A:A,2,1),"LC")</f>
        <v>LC</v>
      </c>
      <c r="T22734" s="7" t="str">
        <f>HYPERLINK("#Liste_rouge!A"&amp;_xlfn.XMATCH("VU",Liste_rouge!A:A,2,1),"VU")</f>
        <v>VU</v>
      </c>
      <c r="X22734" s="5" t="s">
        <v>374</v>
      </c>
      <c r="AB22734" s="4" t="s">
        <v>93</v>
      </c>
      <c r="AH22734" s="4" t="str">
        <f>HYPERLINK("#Statut_biogéographique!A"&amp;_xlfn.XMATCH("P",Statut_biogéographique!A:A,2,1),"P")</f>
        <v>P</v>
      </c>
      <c r="AP22734" s="4" t="s">
        <v>376</v>
      </c>
      <c r="AR22734" s="4" t="s">
        <v>377</v>
      </c>
    </row>
    <row r="22735" spans="1:44">
      <c r="A22735" s="4" t="s">
        <v>24364</v>
      </c>
      <c r="B22735" s="4">
        <v>5744</v>
      </c>
      <c r="D22735" s="5" t="s">
        <v>29472</v>
      </c>
      <c r="E22735" s="6" t="str">
        <f>HYPERLINK("https://inpn.mnhn.fr/espece/cd_nom/5744","Bryum gemmiparum De Not., 1865")</f>
        <v>Bryum gemmiparum De Not., 1865</v>
      </c>
      <c r="P22735" s="7" t="str">
        <f>HYPERLINK("#Liste_rouge!A"&amp;_xlfn.XMATCH("LC",Liste_rouge!A:A,2,1),"LC")</f>
        <v>LC</v>
      </c>
      <c r="T22735" s="7" t="str">
        <f>HYPERLINK("#Liste_rouge!A"&amp;_xlfn.XMATCH("DD",Liste_rouge!A:A,2,1),"DD")</f>
        <v>DD</v>
      </c>
      <c r="V22735" s="7" t="str">
        <f>HYPERLINK("#Liste_rouge!A"&amp;_xlfn.XMATCH("DD",Liste_rouge!A:A,2,1),"DD")</f>
        <v>DD</v>
      </c>
      <c r="AH22735" s="4" t="str">
        <f>HYPERLINK("#Statut_biogéographique!A"&amp;_xlfn.XMATCH("P",Statut_biogéographique!A:A,2,1),"P")</f>
        <v>P</v>
      </c>
      <c r="AP22735" s="4" t="s">
        <v>376</v>
      </c>
      <c r="AR22735" s="4" t="s">
        <v>377</v>
      </c>
    </row>
    <row r="22736" spans="1:44" ht="30">
      <c r="A22736" s="4" t="s">
        <v>24364</v>
      </c>
      <c r="B22736" s="4">
        <v>5745</v>
      </c>
      <c r="D22736" s="5">
        <v>5745</v>
      </c>
      <c r="E22736" s="6" t="str">
        <f>HYPERLINK("https://inpn.mnhn.fr/espece/cd_nom/5745","Bryum gemmilucens R.Wilczek &amp; Demaret, 1976")</f>
        <v>Bryum gemmilucens R.Wilczek &amp; Demaret, 1976</v>
      </c>
      <c r="P22736" s="7" t="str">
        <f>HYPERLINK("#Liste_rouge!A"&amp;_xlfn.XMATCH("LC",Liste_rouge!A:A,2,1),"LC")</f>
        <v>LC</v>
      </c>
      <c r="T22736" s="7" t="str">
        <f>HYPERLINK("#Liste_rouge!A"&amp;_xlfn.XMATCH("DD",Liste_rouge!A:A,2,1),"DD")</f>
        <v>DD</v>
      </c>
      <c r="V22736" s="7" t="str">
        <f>HYPERLINK("#Liste_rouge!A"&amp;_xlfn.XMATCH("DD",Liste_rouge!A:A,2,1),"DD")</f>
        <v>DD</v>
      </c>
      <c r="AH22736" s="4" t="str">
        <f>HYPERLINK("#Statut_biogéographique!A"&amp;_xlfn.XMATCH("P",Statut_biogéographique!A:A,2,1),"P")</f>
        <v>P</v>
      </c>
      <c r="AP22736" s="4" t="s">
        <v>376</v>
      </c>
      <c r="AR22736" s="4" t="s">
        <v>377</v>
      </c>
    </row>
    <row r="22737" spans="1:44">
      <c r="A22737" s="4" t="s">
        <v>24364</v>
      </c>
      <c r="B22737" s="4">
        <v>5749</v>
      </c>
      <c r="D22737" s="5">
        <v>5749</v>
      </c>
      <c r="E22737" s="6" t="str">
        <f>HYPERLINK("https://inpn.mnhn.fr/espece/cd_nom/5749","Bryum klinggraeffii Schimp., 1858")</f>
        <v>Bryum klinggraeffii Schimp., 1858</v>
      </c>
      <c r="P22737" s="7" t="str">
        <f>HYPERLINK("#Liste_rouge!A"&amp;_xlfn.XMATCH("LC",Liste_rouge!A:A,2,1),"LC")</f>
        <v>LC</v>
      </c>
      <c r="T22737" s="7" t="str">
        <f>HYPERLINK("#Liste_rouge!A"&amp;_xlfn.XMATCH("LC",Liste_rouge!A:A,2,1),"LC")</f>
        <v>LC</v>
      </c>
      <c r="V22737" s="7" t="str">
        <f>HYPERLINK("#Liste_rouge!A"&amp;_xlfn.XMATCH("LC",Liste_rouge!A:A,2,1),"LC")</f>
        <v>LC</v>
      </c>
      <c r="AH22737" s="4" t="str">
        <f>HYPERLINK("#Statut_biogéographique!A"&amp;_xlfn.XMATCH("P",Statut_biogéographique!A:A,2,1),"P")</f>
        <v>P</v>
      </c>
      <c r="AP22737" s="4" t="s">
        <v>376</v>
      </c>
      <c r="AR22737" s="4" t="s">
        <v>377</v>
      </c>
    </row>
    <row r="22738" spans="1:44">
      <c r="A22738" s="4" t="s">
        <v>24364</v>
      </c>
      <c r="B22738" s="4">
        <v>5763</v>
      </c>
      <c r="D22738" s="5" t="s">
        <v>29473</v>
      </c>
      <c r="E22738" s="6" t="str">
        <f>HYPERLINK("https://inpn.mnhn.fr/espece/cd_nom/5763","Bryum radiculosum Brid., 1817")</f>
        <v>Bryum radiculosum Brid., 1817</v>
      </c>
      <c r="P22738" s="7" t="str">
        <f>HYPERLINK("#Liste_rouge!A"&amp;_xlfn.XMATCH("LC",Liste_rouge!A:A,2,1),"LC")</f>
        <v>LC</v>
      </c>
      <c r="T22738" s="7" t="str">
        <f>HYPERLINK("#Liste_rouge!A"&amp;_xlfn.XMATCH("LC",Liste_rouge!A:A,2,1),"LC")</f>
        <v>LC</v>
      </c>
      <c r="V22738" s="7" t="str">
        <f>HYPERLINK("#Liste_rouge!A"&amp;_xlfn.XMATCH("DD",Liste_rouge!A:A,2,1),"DD")</f>
        <v>DD</v>
      </c>
      <c r="AH22738" s="4" t="str">
        <f>HYPERLINK("#Statut_biogéographique!A"&amp;_xlfn.XMATCH("P",Statut_biogéographique!A:A,2,1),"P")</f>
        <v>P</v>
      </c>
      <c r="AP22738" s="4" t="s">
        <v>376</v>
      </c>
      <c r="AR22738" s="4" t="s">
        <v>377</v>
      </c>
    </row>
    <row r="22739" spans="1:44">
      <c r="A22739" s="4" t="s">
        <v>24364</v>
      </c>
      <c r="B22739" s="4">
        <v>5766</v>
      </c>
      <c r="D22739" s="5">
        <v>5766</v>
      </c>
      <c r="E22739" s="6" t="str">
        <f>HYPERLINK("https://inpn.mnhn.fr/espece/cd_nom/5766","Bryum ruderale Crundw. &amp; Nyholm, 1963")</f>
        <v>Bryum ruderale Crundw. &amp; Nyholm, 1963</v>
      </c>
      <c r="P22739" s="7" t="str">
        <f>HYPERLINK("#Liste_rouge!A"&amp;_xlfn.XMATCH("LC",Liste_rouge!A:A,2,1),"LC")</f>
        <v>LC</v>
      </c>
      <c r="T22739" s="7" t="str">
        <f>HYPERLINK("#Liste_rouge!A"&amp;_xlfn.XMATCH("LC",Liste_rouge!A:A,2,1),"LC")</f>
        <v>LC</v>
      </c>
      <c r="V22739" s="7" t="str">
        <f>HYPERLINK("#Liste_rouge!A"&amp;_xlfn.XMATCH("LC",Liste_rouge!A:A,2,1),"LC")</f>
        <v>LC</v>
      </c>
      <c r="AH22739" s="4" t="str">
        <f>HYPERLINK("#Statut_biogéographique!A"&amp;_xlfn.XMATCH("P",Statut_biogéographique!A:A,2,1),"P")</f>
        <v>P</v>
      </c>
      <c r="AP22739" s="4" t="s">
        <v>376</v>
      </c>
      <c r="AR22739" s="4" t="s">
        <v>377</v>
      </c>
    </row>
    <row r="22740" spans="1:44">
      <c r="A22740" s="4" t="s">
        <v>24364</v>
      </c>
      <c r="B22740" s="4">
        <v>5767</v>
      </c>
      <c r="D22740" s="5">
        <v>5767</v>
      </c>
      <c r="E22740" s="6" t="str">
        <f>HYPERLINK("https://inpn.mnhn.fr/espece/cd_nom/5767","Bryum sauteri Bruch &amp; Schimp., 1846")</f>
        <v>Bryum sauteri Bruch &amp; Schimp., 1846</v>
      </c>
      <c r="P22740" s="7" t="str">
        <f>HYPERLINK("#Liste_rouge!A"&amp;_xlfn.XMATCH("LC",Liste_rouge!A:A,2,1),"LC")</f>
        <v>LC</v>
      </c>
      <c r="V22740" s="7" t="str">
        <f>HYPERLINK("#Liste_rouge!A"&amp;_xlfn.XMATCH("DD",Liste_rouge!A:A,2,1),"DD")</f>
        <v>DD</v>
      </c>
      <c r="AH22740" s="4" t="str">
        <f>HYPERLINK("#Statut_biogéographique!A"&amp;_xlfn.XMATCH("P",Statut_biogéographique!A:A,2,1),"P")</f>
        <v>P</v>
      </c>
      <c r="AP22740" s="4" t="s">
        <v>376</v>
      </c>
      <c r="AR22740" s="4" t="s">
        <v>377</v>
      </c>
    </row>
    <row r="22741" spans="1:44" ht="30">
      <c r="A22741" s="4" t="s">
        <v>24364</v>
      </c>
      <c r="B22741" s="4">
        <v>5775</v>
      </c>
      <c r="D22741" s="5">
        <v>5775</v>
      </c>
      <c r="E22741" s="6" t="str">
        <f>HYPERLINK("https://inpn.mnhn.fr/espece/cd_nom/5775","Bryum versicolor A.Braun ex Bruch &amp; Schimp., 1839")</f>
        <v>Bryum versicolor A.Braun ex Bruch &amp; Schimp., 1839</v>
      </c>
      <c r="O22741" s="7" t="str">
        <f>HYPERLINK("#Liste_rouge!A"&amp;_xlfn.XMATCH("EN",Liste_rouge!A:A,2,1),"EN")</f>
        <v>EN</v>
      </c>
      <c r="P22741" s="7" t="str">
        <f>HYPERLINK("#Liste_rouge!A"&amp;_xlfn.XMATCH("EN",Liste_rouge!A:A,2,1),"EN")</f>
        <v>EN</v>
      </c>
      <c r="V22741" s="7" t="str">
        <f>HYPERLINK("#Liste_rouge!A"&amp;_xlfn.XMATCH("NE",Liste_rouge!A:A,2,1),"NE")</f>
        <v>NE</v>
      </c>
      <c r="AH22741" s="4" t="str">
        <f>HYPERLINK("#Statut_biogéographique!A"&amp;_xlfn.XMATCH("P",Statut_biogéographique!A:A,2,1),"P")</f>
        <v>P</v>
      </c>
      <c r="AP22741" s="4" t="s">
        <v>376</v>
      </c>
      <c r="AR22741" s="4" t="s">
        <v>377</v>
      </c>
    </row>
    <row r="22742" spans="1:44">
      <c r="A22742" s="4" t="s">
        <v>24364</v>
      </c>
      <c r="B22742" s="4">
        <v>5776</v>
      </c>
      <c r="D22742" s="5">
        <v>5776</v>
      </c>
      <c r="E22742" s="6" t="str">
        <f>HYPERLINK("https://inpn.mnhn.fr/espece/cd_nom/5776","Bryum violaceum Crundw. &amp; Nyholm, 1963")</f>
        <v>Bryum violaceum Crundw. &amp; Nyholm, 1963</v>
      </c>
      <c r="P22742" s="7" t="str">
        <f>HYPERLINK("#Liste_rouge!A"&amp;_xlfn.XMATCH("LC",Liste_rouge!A:A,2,1),"LC")</f>
        <v>LC</v>
      </c>
      <c r="T22742" s="7" t="str">
        <f>HYPERLINK("#Liste_rouge!A"&amp;_xlfn.XMATCH("NT",Liste_rouge!A:A,2,1),"NT")</f>
        <v>NT</v>
      </c>
      <c r="V22742" s="7" t="str">
        <f>HYPERLINK("#Liste_rouge!A"&amp;_xlfn.XMATCH("NE",Liste_rouge!A:A,2,1),"NE")</f>
        <v>NE</v>
      </c>
      <c r="AH22742" s="4" t="str">
        <f>HYPERLINK("#Statut_biogéographique!A"&amp;_xlfn.XMATCH("P",Statut_biogéographique!A:A,2,1),"P")</f>
        <v>P</v>
      </c>
      <c r="AP22742" s="4" t="s">
        <v>376</v>
      </c>
      <c r="AR22742" s="4" t="s">
        <v>377</v>
      </c>
    </row>
    <row r="22743" spans="1:44">
      <c r="A22743" s="4" t="s">
        <v>24364</v>
      </c>
      <c r="B22743" s="4">
        <v>5782</v>
      </c>
      <c r="D22743" s="5" t="s">
        <v>29474</v>
      </c>
      <c r="E22743" s="6" t="str">
        <f>HYPERLINK("https://inpn.mnhn.fr/espece/cd_nom/5782","Leptobryum pyriforme (Hedw.) Wilson, 1855")</f>
        <v>Leptobryum pyriforme (Hedw.) Wilson, 1855</v>
      </c>
      <c r="P22743" s="7" t="str">
        <f>HYPERLINK("#Liste_rouge!A"&amp;_xlfn.XMATCH("LC",Liste_rouge!A:A,2,1),"LC")</f>
        <v>LC</v>
      </c>
      <c r="T22743" s="7" t="str">
        <f>HYPERLINK("#Liste_rouge!A"&amp;_xlfn.XMATCH("LC",Liste_rouge!A:A,2,1),"LC")</f>
        <v>LC</v>
      </c>
      <c r="V22743" s="7" t="str">
        <f>HYPERLINK("#Liste_rouge!A"&amp;_xlfn.XMATCH("LC",Liste_rouge!A:A,2,1),"LC")</f>
        <v>LC</v>
      </c>
      <c r="AH22743" s="4" t="str">
        <f>HYPERLINK("#Statut_biogéographique!A"&amp;_xlfn.XMATCH("P",Statut_biogéographique!A:A,2,1),"P")</f>
        <v>P</v>
      </c>
      <c r="AP22743" s="4" t="s">
        <v>376</v>
      </c>
      <c r="AR22743" s="4" t="s">
        <v>377</v>
      </c>
    </row>
    <row r="22744" spans="1:44">
      <c r="A22744" s="4" t="s">
        <v>24364</v>
      </c>
      <c r="B22744" s="4">
        <v>5786</v>
      </c>
      <c r="D22744" s="5" t="s">
        <v>29475</v>
      </c>
      <c r="E22744" s="6" t="str">
        <f>HYPERLINK("https://inpn.mnhn.fr/espece/cd_nom/5786","Sanionia uncinata (Hedw.) Loeske, 1907")</f>
        <v>Sanionia uncinata (Hedw.) Loeske, 1907</v>
      </c>
      <c r="P22744" s="7" t="str">
        <f>HYPERLINK("#Liste_rouge!A"&amp;_xlfn.XMATCH("LC",Liste_rouge!A:A,2,1),"LC")</f>
        <v>LC</v>
      </c>
      <c r="T22744" s="7" t="str">
        <f>HYPERLINK("#Liste_rouge!A"&amp;_xlfn.XMATCH("EN",Liste_rouge!A:A,2,1),"EN")</f>
        <v>EN</v>
      </c>
      <c r="V22744" s="7" t="str">
        <f>HYPERLINK("#Liste_rouge!A"&amp;_xlfn.XMATCH("LC",Liste_rouge!A:A,2,1),"LC")</f>
        <v>LC</v>
      </c>
      <c r="AB22744" s="4" t="s">
        <v>29273</v>
      </c>
      <c r="AH22744" s="4" t="str">
        <f>HYPERLINK("#Statut_biogéographique!A"&amp;_xlfn.XMATCH("P",Statut_biogéographique!A:A,2,1),"P")</f>
        <v>P</v>
      </c>
      <c r="AP22744" s="4" t="s">
        <v>376</v>
      </c>
      <c r="AR22744" s="4" t="s">
        <v>377</v>
      </c>
    </row>
    <row r="22745" spans="1:44" ht="45">
      <c r="A22745" s="4" t="s">
        <v>24364</v>
      </c>
      <c r="B22745" s="4">
        <v>5796</v>
      </c>
      <c r="D22745" s="5" t="s">
        <v>29476</v>
      </c>
      <c r="E22745" s="6" t="str">
        <f>HYPERLINK("https://inpn.mnhn.fr/espece/cd_nom/5796","Hygrohypnum luridum (Hedw.) Jenn., 1913")</f>
        <v>Hygrohypnum luridum (Hedw.) Jenn., 1913</v>
      </c>
      <c r="P22745" s="7" t="str">
        <f>HYPERLINK("#Liste_rouge!A"&amp;_xlfn.XMATCH("LC",Liste_rouge!A:A,2,1),"LC")</f>
        <v>LC</v>
      </c>
      <c r="T22745" s="7" t="str">
        <f>HYPERLINK("#Liste_rouge!A"&amp;_xlfn.XMATCH("VU",Liste_rouge!A:A,2,1),"VU")</f>
        <v>VU</v>
      </c>
      <c r="V22745" s="7" t="str">
        <f>HYPERLINK("#Liste_rouge!A"&amp;_xlfn.XMATCH("LC",Liste_rouge!A:A,2,1),"LC")</f>
        <v>LC</v>
      </c>
      <c r="AB22745" s="4" t="s">
        <v>28027</v>
      </c>
      <c r="AH22745" s="4" t="str">
        <f>HYPERLINK("#Statut_biogéographique!A"&amp;_xlfn.XMATCH("P",Statut_biogéographique!A:A,2,1),"P")</f>
        <v>P</v>
      </c>
      <c r="AP22745" s="4" t="s">
        <v>376</v>
      </c>
      <c r="AR22745" s="4" t="s">
        <v>377</v>
      </c>
    </row>
    <row r="22746" spans="1:44">
      <c r="A22746" s="4" t="s">
        <v>24364</v>
      </c>
      <c r="B22746" s="4">
        <v>5802</v>
      </c>
      <c r="D22746" s="5" t="s">
        <v>29477</v>
      </c>
      <c r="E22746" s="6" t="str">
        <f>HYPERLINK("https://inpn.mnhn.fr/espece/cd_nom/5802","Scorpidium scorpioides (Hedw.) Limpr., 1899")</f>
        <v>Scorpidium scorpioides (Hedw.) Limpr., 1899</v>
      </c>
      <c r="P22746" s="7" t="str">
        <f>HYPERLINK("#Liste_rouge!A"&amp;_xlfn.XMATCH("NT",Liste_rouge!A:A,2,1),"NT")</f>
        <v>NT</v>
      </c>
      <c r="V22746" s="7" t="str">
        <f>HYPERLINK("#Liste_rouge!A"&amp;_xlfn.XMATCH("LC",Liste_rouge!A:A,2,1),"LC")</f>
        <v>LC</v>
      </c>
      <c r="AH22746" s="4" t="str">
        <f>HYPERLINK("#Statut_biogéographique!A"&amp;_xlfn.XMATCH("P",Statut_biogéographique!A:A,2,1),"P")</f>
        <v>P</v>
      </c>
      <c r="AP22746" s="4" t="s">
        <v>376</v>
      </c>
      <c r="AR22746" s="4" t="s">
        <v>377</v>
      </c>
    </row>
    <row r="22747" spans="1:44" ht="30">
      <c r="A22747" s="4" t="s">
        <v>24364</v>
      </c>
      <c r="B22747" s="4">
        <v>5807</v>
      </c>
      <c r="D22747" s="5" t="s">
        <v>29478</v>
      </c>
      <c r="E22747" s="6" t="str">
        <f>HYPERLINK("https://inpn.mnhn.fr/espece/cd_nom/5807","Brachythecium albicans (Hedw.) Schimp., 1853")</f>
        <v>Brachythecium albicans (Hedw.) Schimp., 1853</v>
      </c>
      <c r="P22747" s="7" t="str">
        <f>HYPERLINK("#Liste_rouge!A"&amp;_xlfn.XMATCH("LC",Liste_rouge!A:A,2,1),"LC")</f>
        <v>LC</v>
      </c>
      <c r="T22747" s="7" t="str">
        <f>HYPERLINK("#Liste_rouge!A"&amp;_xlfn.XMATCH("LC",Liste_rouge!A:A,2,1),"LC")</f>
        <v>LC</v>
      </c>
      <c r="V22747" s="7" t="str">
        <f>HYPERLINK("#Liste_rouge!A"&amp;_xlfn.XMATCH("LC",Liste_rouge!A:A,2,1),"LC")</f>
        <v>LC</v>
      </c>
      <c r="AH22747" s="4" t="str">
        <f>HYPERLINK("#Statut_biogéographique!A"&amp;_xlfn.XMATCH("P",Statut_biogéographique!A:A,2,1),"P")</f>
        <v>P</v>
      </c>
      <c r="AP22747" s="4" t="s">
        <v>376</v>
      </c>
      <c r="AR22747" s="4" t="s">
        <v>377</v>
      </c>
    </row>
    <row r="22748" spans="1:44" ht="30">
      <c r="A22748" s="4" t="s">
        <v>24364</v>
      </c>
      <c r="B22748" s="4">
        <v>5809</v>
      </c>
      <c r="D22748" s="5" t="s">
        <v>29479</v>
      </c>
      <c r="E22748" s="6" t="str">
        <f>HYPERLINK("https://inpn.mnhn.fr/espece/cd_nom/5809","Brachythecium campestre (Müll.Hal.) Schimp., 1853")</f>
        <v>Brachythecium campestre (Müll.Hal.) Schimp., 1853</v>
      </c>
      <c r="P22748" s="7" t="str">
        <f>HYPERLINK("#Liste_rouge!A"&amp;_xlfn.XMATCH("LC",Liste_rouge!A:A,2,1),"LC")</f>
        <v>LC</v>
      </c>
      <c r="AH22748" s="4" t="str">
        <f>HYPERLINK("#Statut_biogéographique!A"&amp;_xlfn.XMATCH("P",Statut_biogéographique!A:A,2,1),"P")</f>
        <v>P</v>
      </c>
      <c r="AP22748" s="4" t="s">
        <v>376</v>
      </c>
      <c r="AR22748" s="4" t="s">
        <v>377</v>
      </c>
    </row>
    <row r="22749" spans="1:44" ht="30">
      <c r="A22749" s="4" t="s">
        <v>24364</v>
      </c>
      <c r="B22749" s="4">
        <v>5816</v>
      </c>
      <c r="D22749" s="5" t="s">
        <v>29480</v>
      </c>
      <c r="E22749" s="6" t="str">
        <f>HYPERLINK("https://inpn.mnhn.fr/espece/cd_nom/5816","Brachythecium glareosum (Bruch ex Spruce) Schimp., 1853")</f>
        <v>Brachythecium glareosum (Bruch ex Spruce) Schimp., 1853</v>
      </c>
      <c r="P22749" s="7" t="str">
        <f>HYPERLINK("#Liste_rouge!A"&amp;_xlfn.XMATCH("LC",Liste_rouge!A:A,2,1),"LC")</f>
        <v>LC</v>
      </c>
      <c r="T22749" s="7" t="str">
        <f>HYPERLINK("#Liste_rouge!A"&amp;_xlfn.XMATCH("LC",Liste_rouge!A:A,2,1),"LC")</f>
        <v>LC</v>
      </c>
      <c r="V22749" s="7" t="str">
        <f>HYPERLINK("#Liste_rouge!A"&amp;_xlfn.XMATCH("LC",Liste_rouge!A:A,2,1),"LC")</f>
        <v>LC</v>
      </c>
      <c r="AH22749" s="4" t="str">
        <f>HYPERLINK("#Statut_biogéographique!A"&amp;_xlfn.XMATCH("P",Statut_biogéographique!A:A,2,1),"P")</f>
        <v>P</v>
      </c>
      <c r="AP22749" s="4" t="s">
        <v>376</v>
      </c>
      <c r="AR22749" s="4" t="s">
        <v>377</v>
      </c>
    </row>
    <row r="22750" spans="1:44" ht="30">
      <c r="A22750" s="4" t="s">
        <v>24364</v>
      </c>
      <c r="B22750" s="4">
        <v>5818</v>
      </c>
      <c r="D22750" s="5" t="s">
        <v>29481</v>
      </c>
      <c r="E22750" s="6" t="str">
        <f>HYPERLINK("https://inpn.mnhn.fr/espece/cd_nom/5818","Brachythecium mildeanum (Schimp.) Schimp., 1862")</f>
        <v>Brachythecium mildeanum (Schimp.) Schimp., 1862</v>
      </c>
      <c r="P22750" s="7" t="str">
        <f>HYPERLINK("#Liste_rouge!A"&amp;_xlfn.XMATCH("LC",Liste_rouge!A:A,2,1),"LC")</f>
        <v>LC</v>
      </c>
      <c r="T22750" s="7" t="str">
        <f>HYPERLINK("#Liste_rouge!A"&amp;_xlfn.XMATCH("DD",Liste_rouge!A:A,2,1),"DD")</f>
        <v>DD</v>
      </c>
      <c r="V22750" s="7" t="str">
        <f>HYPERLINK("#Liste_rouge!A"&amp;_xlfn.XMATCH("LC",Liste_rouge!A:A,2,1),"LC")</f>
        <v>LC</v>
      </c>
      <c r="AB22750" s="4" t="s">
        <v>24495</v>
      </c>
      <c r="AH22750" s="4" t="str">
        <f>HYPERLINK("#Statut_biogéographique!A"&amp;_xlfn.XMATCH("P",Statut_biogéographique!A:A,2,1),"P")</f>
        <v>P</v>
      </c>
      <c r="AP22750" s="4" t="s">
        <v>376</v>
      </c>
      <c r="AR22750" s="4" t="s">
        <v>377</v>
      </c>
    </row>
    <row r="22751" spans="1:44">
      <c r="A22751" s="4" t="s">
        <v>24364</v>
      </c>
      <c r="B22751" s="4">
        <v>5825</v>
      </c>
      <c r="D22751" s="5" t="s">
        <v>29482</v>
      </c>
      <c r="E22751" s="6" t="str">
        <f>HYPERLINK("https://inpn.mnhn.fr/espece/cd_nom/5825","Brachythecium rivulare Schimp., 1853")</f>
        <v>Brachythecium rivulare Schimp., 1853</v>
      </c>
      <c r="P22751" s="7" t="str">
        <f>HYPERLINK("#Liste_rouge!A"&amp;_xlfn.XMATCH("LC",Liste_rouge!A:A,2,1),"LC")</f>
        <v>LC</v>
      </c>
      <c r="T22751" s="7" t="str">
        <f>HYPERLINK("#Liste_rouge!A"&amp;_xlfn.XMATCH("LC",Liste_rouge!A:A,2,1),"LC")</f>
        <v>LC</v>
      </c>
      <c r="V22751" s="7" t="str">
        <f>HYPERLINK("#Liste_rouge!A"&amp;_xlfn.XMATCH("LC",Liste_rouge!A:A,2,1),"LC")</f>
        <v>LC</v>
      </c>
      <c r="AH22751" s="4" t="str">
        <f>HYPERLINK("#Statut_biogéographique!A"&amp;_xlfn.XMATCH("P",Statut_biogéographique!A:A,2,1),"P")</f>
        <v>P</v>
      </c>
      <c r="AP22751" s="4" t="s">
        <v>376</v>
      </c>
      <c r="AR22751" s="4" t="s">
        <v>377</v>
      </c>
    </row>
    <row r="22752" spans="1:44" ht="30">
      <c r="A22752" s="4" t="s">
        <v>24364</v>
      </c>
      <c r="B22752" s="4">
        <v>5826</v>
      </c>
      <c r="D22752" s="5" t="s">
        <v>29483</v>
      </c>
      <c r="E22752" s="6" t="str">
        <f>HYPERLINK("https://inpn.mnhn.fr/espece/cd_nom/5826","Brachythecium rutabulum (Hedw.) Schimp., 1853")</f>
        <v>Brachythecium rutabulum (Hedw.) Schimp., 1853</v>
      </c>
      <c r="P22752" s="7" t="str">
        <f>HYPERLINK("#Liste_rouge!A"&amp;_xlfn.XMATCH("LC",Liste_rouge!A:A,2,1),"LC")</f>
        <v>LC</v>
      </c>
      <c r="T22752" s="7" t="str">
        <f>HYPERLINK("#Liste_rouge!A"&amp;_xlfn.XMATCH("LC",Liste_rouge!A:A,2,1),"LC")</f>
        <v>LC</v>
      </c>
      <c r="V22752" s="7" t="str">
        <f>HYPERLINK("#Liste_rouge!A"&amp;_xlfn.XMATCH("LC",Liste_rouge!A:A,2,1),"LC")</f>
        <v>LC</v>
      </c>
      <c r="AH22752" s="4" t="str">
        <f>HYPERLINK("#Statut_biogéographique!A"&amp;_xlfn.XMATCH("P",Statut_biogéographique!A:A,2,1),"P")</f>
        <v>P</v>
      </c>
      <c r="AP22752" s="4" t="s">
        <v>376</v>
      </c>
      <c r="AR22752" s="4" t="s">
        <v>377</v>
      </c>
    </row>
    <row r="22753" spans="1:44" ht="45">
      <c r="A22753" s="4" t="s">
        <v>24364</v>
      </c>
      <c r="B22753" s="4">
        <v>5828</v>
      </c>
      <c r="D22753" s="5" t="s">
        <v>29484</v>
      </c>
      <c r="E22753" s="6" t="str">
        <f>HYPERLINK("https://inpn.mnhn.fr/espece/cd_nom/5828","Brachythecium salebrosum (Hoffm. ex F.Weber &amp; D.Mohr) Schimp., 1853 [nom. cons.]")</f>
        <v>Brachythecium salebrosum (Hoffm. ex F.Weber &amp; D.Mohr) Schimp., 1853 [nom. cons.]</v>
      </c>
      <c r="P22753" s="7" t="str">
        <f>HYPERLINK("#Liste_rouge!A"&amp;_xlfn.XMATCH("LC",Liste_rouge!A:A,2,1),"LC")</f>
        <v>LC</v>
      </c>
      <c r="T22753" s="7" t="str">
        <f>HYPERLINK("#Liste_rouge!A"&amp;_xlfn.XMATCH("LC",Liste_rouge!A:A,2,1),"LC")</f>
        <v>LC</v>
      </c>
      <c r="V22753" s="7" t="str">
        <f>HYPERLINK("#Liste_rouge!A"&amp;_xlfn.XMATCH("LC",Liste_rouge!A:A,2,1),"LC")</f>
        <v>LC</v>
      </c>
      <c r="AH22753" s="4" t="str">
        <f>HYPERLINK("#Statut_biogéographique!A"&amp;_xlfn.XMATCH("P",Statut_biogéographique!A:A,2,1),"P")</f>
        <v>P</v>
      </c>
      <c r="AP22753" s="4" t="s">
        <v>376</v>
      </c>
      <c r="AR22753" s="4" t="s">
        <v>377</v>
      </c>
    </row>
    <row r="22754" spans="1:44">
      <c r="A22754" s="4" t="s">
        <v>24364</v>
      </c>
      <c r="B22754" s="4">
        <v>5839</v>
      </c>
      <c r="D22754" s="5" t="s">
        <v>29485</v>
      </c>
      <c r="E22754" s="6" t="str">
        <f>HYPERLINK("https://inpn.mnhn.fr/espece/cd_nom/5839","Cirriphyllum piliferum (Hedw.) Grout, 1898")</f>
        <v>Cirriphyllum piliferum (Hedw.) Grout, 1898</v>
      </c>
      <c r="P22754" s="7" t="str">
        <f>HYPERLINK("#Liste_rouge!A"&amp;_xlfn.XMATCH("LC",Liste_rouge!A:A,2,1),"LC")</f>
        <v>LC</v>
      </c>
      <c r="T22754" s="7" t="str">
        <f>HYPERLINK("#Liste_rouge!A"&amp;_xlfn.XMATCH("LC",Liste_rouge!A:A,2,1),"LC")</f>
        <v>LC</v>
      </c>
      <c r="V22754" s="7" t="str">
        <f>HYPERLINK("#Liste_rouge!A"&amp;_xlfn.XMATCH("LC",Liste_rouge!A:A,2,1),"LC")</f>
        <v>LC</v>
      </c>
      <c r="AH22754" s="4" t="str">
        <f>HYPERLINK("#Statut_biogéographique!A"&amp;_xlfn.XMATCH("P",Statut_biogéographique!A:A,2,1),"P")</f>
        <v>P</v>
      </c>
      <c r="AP22754" s="4" t="s">
        <v>376</v>
      </c>
      <c r="AR22754" s="4" t="s">
        <v>377</v>
      </c>
    </row>
    <row r="22755" spans="1:44" ht="30">
      <c r="A22755" s="4" t="s">
        <v>24364</v>
      </c>
      <c r="B22755" s="4">
        <v>5844</v>
      </c>
      <c r="D22755" s="5" t="s">
        <v>29486</v>
      </c>
      <c r="E22755" s="6" t="str">
        <f>HYPERLINK("https://inpn.mnhn.fr/espece/cd_nom/5844","Eurhynchium angustirete (Broth.) T.J.Kop., 1967")</f>
        <v>Eurhynchium angustirete (Broth.) T.J.Kop., 1967</v>
      </c>
      <c r="P22755" s="7" t="str">
        <f>HYPERLINK("#Liste_rouge!A"&amp;_xlfn.XMATCH("LC",Liste_rouge!A:A,2,1),"LC")</f>
        <v>LC</v>
      </c>
      <c r="V22755" s="7" t="str">
        <f>HYPERLINK("#Liste_rouge!A"&amp;_xlfn.XMATCH("LC",Liste_rouge!A:A,2,1),"LC")</f>
        <v>LC</v>
      </c>
      <c r="AH22755" s="4" t="str">
        <f>HYPERLINK("#Statut_biogéographique!A"&amp;_xlfn.XMATCH("P",Statut_biogéographique!A:A,2,1),"P")</f>
        <v>P</v>
      </c>
      <c r="AP22755" s="4" t="s">
        <v>376</v>
      </c>
      <c r="AR22755" s="4" t="s">
        <v>377</v>
      </c>
    </row>
    <row r="22756" spans="1:44" ht="30">
      <c r="A22756" s="4" t="s">
        <v>24364</v>
      </c>
      <c r="B22756" s="4">
        <v>5847</v>
      </c>
      <c r="D22756" s="5" t="s">
        <v>29487</v>
      </c>
      <c r="E22756" s="6" t="str">
        <f>HYPERLINK("https://inpn.mnhn.fr/espece/cd_nom/5847","Cirriphyllum crassinervium (Taylor) Loeske &amp; M.Fleisch., 1907")</f>
        <v>Cirriphyllum crassinervium (Taylor) Loeske &amp; M.Fleisch., 1907</v>
      </c>
      <c r="P22756" s="7" t="str">
        <f>HYPERLINK("#Liste_rouge!A"&amp;_xlfn.XMATCH("LC",Liste_rouge!A:A,2,1),"LC")</f>
        <v>LC</v>
      </c>
      <c r="T22756" s="7" t="str">
        <f>HYPERLINK("#Liste_rouge!A"&amp;_xlfn.XMATCH("LC",Liste_rouge!A:A,2,1),"LC")</f>
        <v>LC</v>
      </c>
      <c r="V22756" s="7" t="str">
        <f>HYPERLINK("#Liste_rouge!A"&amp;_xlfn.XMATCH("LC",Liste_rouge!A:A,2,1),"LC")</f>
        <v>LC</v>
      </c>
      <c r="AH22756" s="4" t="str">
        <f>HYPERLINK("#Statut_biogéographique!A"&amp;_xlfn.XMATCH("P",Statut_biogéographique!A:A,2,1),"P")</f>
        <v>P</v>
      </c>
      <c r="AP22756" s="4" t="s">
        <v>376</v>
      </c>
      <c r="AR22756" s="4" t="s">
        <v>377</v>
      </c>
    </row>
    <row r="22757" spans="1:44" ht="30">
      <c r="A22757" s="4" t="s">
        <v>24364</v>
      </c>
      <c r="B22757" s="4">
        <v>5870</v>
      </c>
      <c r="D22757" s="5" t="s">
        <v>29488</v>
      </c>
      <c r="E22757" s="6" t="str">
        <f>HYPERLINK("https://inpn.mnhn.fr/espece/cd_nom/5870","Oxyrrhynchium speciosum (Brid.) Warnst., 1905")</f>
        <v>Oxyrrhynchium speciosum (Brid.) Warnst., 1905</v>
      </c>
      <c r="P22757" s="7" t="str">
        <f>HYPERLINK("#Liste_rouge!A"&amp;_xlfn.XMATCH("LC",Liste_rouge!A:A,2,1),"LC")</f>
        <v>LC</v>
      </c>
      <c r="T22757" s="7" t="str">
        <f>HYPERLINK("#Liste_rouge!A"&amp;_xlfn.XMATCH("LC",Liste_rouge!A:A,2,1),"LC")</f>
        <v>LC</v>
      </c>
      <c r="V22757" s="7" t="str">
        <f>HYPERLINK("#Liste_rouge!A"&amp;_xlfn.XMATCH("DD",Liste_rouge!A:A,2,1),"DD")</f>
        <v>DD</v>
      </c>
      <c r="AH22757" s="4" t="str">
        <f>HYPERLINK("#Statut_biogéographique!A"&amp;_xlfn.XMATCH("P",Statut_biogéographique!A:A,2,1),"P")</f>
        <v>P</v>
      </c>
      <c r="AP22757" s="4" t="s">
        <v>376</v>
      </c>
      <c r="AR22757" s="4" t="s">
        <v>377</v>
      </c>
    </row>
    <row r="22758" spans="1:44" ht="30">
      <c r="A22758" s="4" t="s">
        <v>24364</v>
      </c>
      <c r="B22758" s="4">
        <v>5872</v>
      </c>
      <c r="D22758" s="5" t="s">
        <v>29489</v>
      </c>
      <c r="E22758" s="6" t="str">
        <f>HYPERLINK("https://inpn.mnhn.fr/espece/cd_nom/5872","Plasteurhynchium striatulum (Spruce) M.Fleisch., 1925")</f>
        <v>Plasteurhynchium striatulum (Spruce) M.Fleisch., 1925</v>
      </c>
      <c r="P22758" s="7" t="str">
        <f>HYPERLINK("#Liste_rouge!A"&amp;_xlfn.XMATCH("LC",Liste_rouge!A:A,2,1),"LC")</f>
        <v>LC</v>
      </c>
      <c r="T22758" s="7" t="str">
        <f>HYPERLINK("#Liste_rouge!A"&amp;_xlfn.XMATCH("LC",Liste_rouge!A:A,2,1),"LC")</f>
        <v>LC</v>
      </c>
      <c r="V22758" s="7" t="str">
        <f>HYPERLINK("#Liste_rouge!A"&amp;_xlfn.XMATCH("LC",Liste_rouge!A:A,2,1),"LC")</f>
        <v>LC</v>
      </c>
      <c r="AH22758" s="4" t="str">
        <f>HYPERLINK("#Statut_biogéographique!A"&amp;_xlfn.XMATCH("P",Statut_biogéographique!A:A,2,1),"P")</f>
        <v>P</v>
      </c>
      <c r="AP22758" s="4" t="s">
        <v>376</v>
      </c>
      <c r="AR22758" s="4" t="s">
        <v>377</v>
      </c>
    </row>
    <row r="22759" spans="1:44">
      <c r="A22759" s="4" t="s">
        <v>24364</v>
      </c>
      <c r="B22759" s="4">
        <v>5873</v>
      </c>
      <c r="D22759" s="5" t="s">
        <v>29490</v>
      </c>
      <c r="E22759" s="6" t="str">
        <f>HYPERLINK("https://inpn.mnhn.fr/espece/cd_nom/5873","Eurhynchium striatum (Hedw.) Schimp.")</f>
        <v>Eurhynchium striatum (Hedw.) Schimp.</v>
      </c>
      <c r="P22759" s="7" t="str">
        <f>HYPERLINK("#Liste_rouge!A"&amp;_xlfn.XMATCH("LC",Liste_rouge!A:A,2,1),"LC")</f>
        <v>LC</v>
      </c>
      <c r="T22759" s="7" t="str">
        <f>HYPERLINK("#Liste_rouge!A"&amp;_xlfn.XMATCH("LC",Liste_rouge!A:A,2,1),"LC")</f>
        <v>LC</v>
      </c>
      <c r="V22759" s="7" t="str">
        <f>HYPERLINK("#Liste_rouge!A"&amp;_xlfn.XMATCH("LC",Liste_rouge!A:A,2,1),"LC")</f>
        <v>LC</v>
      </c>
      <c r="AH22759" s="4" t="str">
        <f>HYPERLINK("#Statut_biogéographique!A"&amp;_xlfn.XMATCH("P",Statut_biogéographique!A:A,2,1),"P")</f>
        <v>P</v>
      </c>
      <c r="AP22759" s="4" t="s">
        <v>376</v>
      </c>
      <c r="AR22759" s="4" t="s">
        <v>377</v>
      </c>
    </row>
    <row r="22760" spans="1:44" ht="30">
      <c r="A22760" s="4" t="s">
        <v>24364</v>
      </c>
      <c r="B22760" s="4">
        <v>5878</v>
      </c>
      <c r="D22760" s="5" t="s">
        <v>29491</v>
      </c>
      <c r="E22760" s="6" t="str">
        <f>HYPERLINK("https://inpn.mnhn.fr/espece/cd_nom/5878","Homalothecium lutescens (Hedw.) H.Rob., 1962")</f>
        <v>Homalothecium lutescens (Hedw.) H.Rob., 1962</v>
      </c>
      <c r="P22760" s="7" t="str">
        <f>HYPERLINK("#Liste_rouge!A"&amp;_xlfn.XMATCH("LC",Liste_rouge!A:A,2,1),"LC")</f>
        <v>LC</v>
      </c>
      <c r="T22760" s="7" t="str">
        <f>HYPERLINK("#Liste_rouge!A"&amp;_xlfn.XMATCH("LC",Liste_rouge!A:A,2,1),"LC")</f>
        <v>LC</v>
      </c>
      <c r="V22760" s="7" t="str">
        <f>HYPERLINK("#Liste_rouge!A"&amp;_xlfn.XMATCH("LC",Liste_rouge!A:A,2,1),"LC")</f>
        <v>LC</v>
      </c>
      <c r="AH22760" s="4" t="str">
        <f>HYPERLINK("#Statut_biogéographique!A"&amp;_xlfn.XMATCH("P",Statut_biogéographique!A:A,2,1),"P")</f>
        <v>P</v>
      </c>
      <c r="AP22760" s="4" t="s">
        <v>376</v>
      </c>
      <c r="AR22760" s="4" t="s">
        <v>377</v>
      </c>
    </row>
    <row r="22761" spans="1:44" ht="30">
      <c r="A22761" s="4" t="s">
        <v>24364</v>
      </c>
      <c r="B22761" s="4">
        <v>5881</v>
      </c>
      <c r="D22761" s="5" t="s">
        <v>29492</v>
      </c>
      <c r="E22761" s="6" t="str">
        <f>HYPERLINK("https://inpn.mnhn.fr/espece/cd_nom/5881","Homalothecium philippeanum (Spruce) Schimp., 1851")</f>
        <v>Homalothecium philippeanum (Spruce) Schimp., 1851</v>
      </c>
      <c r="P22761" s="7" t="str">
        <f>HYPERLINK("#Liste_rouge!A"&amp;_xlfn.XMATCH("LC",Liste_rouge!A:A,2,1),"LC")</f>
        <v>LC</v>
      </c>
      <c r="V22761" s="7" t="str">
        <f>HYPERLINK("#Liste_rouge!A"&amp;_xlfn.XMATCH("NT",Liste_rouge!A:A,2,1),"NT")</f>
        <v>NT</v>
      </c>
      <c r="X22761" s="5" t="s">
        <v>374</v>
      </c>
      <c r="AB22761" s="4" t="s">
        <v>93</v>
      </c>
      <c r="AH22761" s="4" t="str">
        <f>HYPERLINK("#Statut_biogéographique!A"&amp;_xlfn.XMATCH("P",Statut_biogéographique!A:A,2,1),"P")</f>
        <v>P</v>
      </c>
      <c r="AP22761" s="4" t="s">
        <v>376</v>
      </c>
      <c r="AR22761" s="4" t="s">
        <v>377</v>
      </c>
    </row>
    <row r="22762" spans="1:44" ht="30">
      <c r="A22762" s="4" t="s">
        <v>24364</v>
      </c>
      <c r="B22762" s="4">
        <v>5882</v>
      </c>
      <c r="D22762" s="5" t="s">
        <v>29493</v>
      </c>
      <c r="E22762" s="6" t="str">
        <f>HYPERLINK("https://inpn.mnhn.fr/espece/cd_nom/5882","Homalothecium sericeum (Hedw.) Schimp., 1851")</f>
        <v>Homalothecium sericeum (Hedw.) Schimp., 1851</v>
      </c>
      <c r="P22762" s="7" t="str">
        <f>HYPERLINK("#Liste_rouge!A"&amp;_xlfn.XMATCH("LC",Liste_rouge!A:A,2,1),"LC")</f>
        <v>LC</v>
      </c>
      <c r="T22762" s="7" t="str">
        <f>HYPERLINK("#Liste_rouge!A"&amp;_xlfn.XMATCH("LC",Liste_rouge!A:A,2,1),"LC")</f>
        <v>LC</v>
      </c>
      <c r="V22762" s="7" t="str">
        <f>HYPERLINK("#Liste_rouge!A"&amp;_xlfn.XMATCH("LC",Liste_rouge!A:A,2,1),"LC")</f>
        <v>LC</v>
      </c>
      <c r="AH22762" s="4" t="str">
        <f>HYPERLINK("#Statut_biogéographique!A"&amp;_xlfn.XMATCH("P",Statut_biogéographique!A:A,2,1),"P")</f>
        <v>P</v>
      </c>
      <c r="AP22762" s="4" t="s">
        <v>376</v>
      </c>
      <c r="AR22762" s="4" t="s">
        <v>377</v>
      </c>
    </row>
    <row r="22763" spans="1:44" ht="30">
      <c r="A22763" s="4" t="s">
        <v>24364</v>
      </c>
      <c r="B22763" s="4">
        <v>5886</v>
      </c>
      <c r="D22763" s="5" t="s">
        <v>29494</v>
      </c>
      <c r="E22763" s="6" t="str">
        <f>HYPERLINK("https://inpn.mnhn.fr/espece/cd_nom/5886","Isothecium alopecuroides (Lam. ex Dubois) Isov., 1981")</f>
        <v>Isothecium alopecuroides (Lam. ex Dubois) Isov., 1981</v>
      </c>
      <c r="P22763" s="7" t="str">
        <f>HYPERLINK("#Liste_rouge!A"&amp;_xlfn.XMATCH("LC",Liste_rouge!A:A,2,1),"LC")</f>
        <v>LC</v>
      </c>
      <c r="T22763" s="7" t="str">
        <f>HYPERLINK("#Liste_rouge!A"&amp;_xlfn.XMATCH("LC",Liste_rouge!A:A,2,1),"LC")</f>
        <v>LC</v>
      </c>
      <c r="V22763" s="7" t="str">
        <f>HYPERLINK("#Liste_rouge!A"&amp;_xlfn.XMATCH("LC",Liste_rouge!A:A,2,1),"LC (cd_nom 5886) - DD (cd_nom 5886)")</f>
        <v>LC (cd_nom 5886) - DD (cd_nom 5886)</v>
      </c>
      <c r="AH22763" s="4" t="str">
        <f>HYPERLINK("#Statut_biogéographique!A"&amp;_xlfn.XMATCH("P",Statut_biogéographique!A:A,2,1),"P")</f>
        <v>P</v>
      </c>
      <c r="AP22763" s="4" t="s">
        <v>376</v>
      </c>
      <c r="AR22763" s="4" t="s">
        <v>377</v>
      </c>
    </row>
    <row r="22764" spans="1:44">
      <c r="A22764" s="4" t="s">
        <v>24364</v>
      </c>
      <c r="B22764" s="4">
        <v>5891</v>
      </c>
      <c r="D22764" s="5" t="s">
        <v>29495</v>
      </c>
      <c r="E22764" s="6" t="str">
        <f>HYPERLINK("https://inpn.mnhn.fr/espece/cd_nom/5891","Isothecium holtii Kindb., 1895")</f>
        <v>Isothecium holtii Kindb., 1895</v>
      </c>
      <c r="P22764" s="7" t="str">
        <f>HYPERLINK("#Liste_rouge!A"&amp;_xlfn.XMATCH("LC",Liste_rouge!A:A,2,1),"LC")</f>
        <v>LC</v>
      </c>
      <c r="V22764" s="7" t="str">
        <f>HYPERLINK("#Liste_rouge!A"&amp;_xlfn.XMATCH("VU",Liste_rouge!A:A,2,1),"VU")</f>
        <v>VU</v>
      </c>
      <c r="X22764" s="5" t="s">
        <v>374</v>
      </c>
      <c r="AB22764" s="4" t="s">
        <v>93</v>
      </c>
      <c r="AH22764" s="4" t="str">
        <f>HYPERLINK("#Statut_biogéographique!A"&amp;_xlfn.XMATCH("P",Statut_biogéographique!A:A,2,1),"P")</f>
        <v>P</v>
      </c>
      <c r="AP22764" s="4" t="s">
        <v>376</v>
      </c>
      <c r="AR22764" s="4" t="s">
        <v>377</v>
      </c>
    </row>
    <row r="22765" spans="1:44" ht="45">
      <c r="A22765" s="4" t="s">
        <v>24364</v>
      </c>
      <c r="B22765" s="4">
        <v>5892</v>
      </c>
      <c r="D22765" s="5" t="s">
        <v>29496</v>
      </c>
      <c r="E22765" s="6" t="str">
        <f>HYPERLINK("https://inpn.mnhn.fr/espece/cd_nom/5892","Isothecium myosuroides Brid., 1827")</f>
        <v>Isothecium myosuroides Brid., 1827</v>
      </c>
      <c r="P22765" s="7" t="str">
        <f>HYPERLINK("#Liste_rouge!A"&amp;_xlfn.XMATCH("LC",Liste_rouge!A:A,2,1),"LC")</f>
        <v>LC</v>
      </c>
      <c r="T22765" s="7" t="str">
        <f>HYPERLINK("#Liste_rouge!A"&amp;_xlfn.XMATCH("LC",Liste_rouge!A:A,2,1),"LC")</f>
        <v>LC</v>
      </c>
      <c r="V22765" s="7" t="str">
        <f>HYPERLINK("#Liste_rouge!A"&amp;_xlfn.XMATCH("LC",Liste_rouge!A:A,2,1),"LC")</f>
        <v>LC</v>
      </c>
      <c r="AH22765" s="4" t="str">
        <f>HYPERLINK("#Statut_biogéographique!A"&amp;_xlfn.XMATCH("P",Statut_biogéographique!A:A,2,1),"P")</f>
        <v>P</v>
      </c>
      <c r="AP22765" s="4" t="s">
        <v>376</v>
      </c>
      <c r="AR22765" s="4" t="s">
        <v>377</v>
      </c>
    </row>
    <row r="22766" spans="1:44" ht="30">
      <c r="A22766" s="4" t="s">
        <v>24364</v>
      </c>
      <c r="B22766" s="4">
        <v>5898</v>
      </c>
      <c r="D22766" s="5" t="s">
        <v>29497</v>
      </c>
      <c r="E22766" s="6" t="str">
        <f>HYPERLINK("https://inpn.mnhn.fr/espece/cd_nom/5898","Rhynchostegiella curviseta (Brid.) Limpr., 1896")</f>
        <v>Rhynchostegiella curviseta (Brid.) Limpr., 1896</v>
      </c>
      <c r="P22766" s="7" t="str">
        <f>HYPERLINK("#Liste_rouge!A"&amp;_xlfn.XMATCH("LC",Liste_rouge!A:A,2,1),"LC")</f>
        <v>LC</v>
      </c>
      <c r="T22766" s="7" t="str">
        <f>HYPERLINK("#Liste_rouge!A"&amp;_xlfn.XMATCH("VU",Liste_rouge!A:A,2,1),"VU")</f>
        <v>VU</v>
      </c>
      <c r="V22766" s="7" t="str">
        <f>HYPERLINK("#Liste_rouge!A"&amp;_xlfn.XMATCH("LC",Liste_rouge!A:A,2,1),"LC")</f>
        <v>LC</v>
      </c>
      <c r="X22766" s="5" t="s">
        <v>374</v>
      </c>
      <c r="AB22766" s="4" t="s">
        <v>93</v>
      </c>
      <c r="AH22766" s="4" t="str">
        <f>HYPERLINK("#Statut_biogéographique!A"&amp;_xlfn.XMATCH("P",Statut_biogéographique!A:A,2,1),"P")</f>
        <v>P</v>
      </c>
      <c r="AP22766" s="4" t="s">
        <v>376</v>
      </c>
      <c r="AR22766" s="4" t="s">
        <v>377</v>
      </c>
    </row>
    <row r="22767" spans="1:44">
      <c r="A22767" s="4" t="s">
        <v>24364</v>
      </c>
      <c r="B22767" s="4">
        <v>5903</v>
      </c>
      <c r="D22767" s="5" t="s">
        <v>29498</v>
      </c>
      <c r="E22767" s="6" t="str">
        <f>HYPERLINK("https://inpn.mnhn.fr/espece/cd_nom/5903","Rhynchostegiella tenella (Dicks.) Limpr., 1890")</f>
        <v>Rhynchostegiella tenella (Dicks.) Limpr., 1890</v>
      </c>
      <c r="P22767" s="7" t="str">
        <f>HYPERLINK("#Liste_rouge!A"&amp;_xlfn.XMATCH("LC",Liste_rouge!A:A,2,1),"LC")</f>
        <v>LC</v>
      </c>
      <c r="T22767" s="7" t="str">
        <f>HYPERLINK("#Liste_rouge!A"&amp;_xlfn.XMATCH("LC",Liste_rouge!A:A,2,1),"LC")</f>
        <v>LC</v>
      </c>
      <c r="V22767" s="7" t="str">
        <f>HYPERLINK("#Liste_rouge!A"&amp;_xlfn.XMATCH("LC",Liste_rouge!A:A,2,1),"LC")</f>
        <v>LC</v>
      </c>
      <c r="AH22767" s="4" t="str">
        <f>HYPERLINK("#Statut_biogéographique!A"&amp;_xlfn.XMATCH("P",Statut_biogéographique!A:A,2,1),"P")</f>
        <v>P</v>
      </c>
      <c r="AP22767" s="4" t="s">
        <v>376</v>
      </c>
      <c r="AR22767" s="4" t="s">
        <v>377</v>
      </c>
    </row>
    <row r="22768" spans="1:44" ht="30">
      <c r="A22768" s="4" t="s">
        <v>24364</v>
      </c>
      <c r="B22768" s="4">
        <v>5907</v>
      </c>
      <c r="D22768" s="5" t="s">
        <v>29499</v>
      </c>
      <c r="E22768" s="6" t="str">
        <f>HYPERLINK("https://inpn.mnhn.fr/espece/cd_nom/5907","Rhynchostegium confertum (Dicks.) Schimp., 1852")</f>
        <v>Rhynchostegium confertum (Dicks.) Schimp., 1852</v>
      </c>
      <c r="P22768" s="7" t="str">
        <f>HYPERLINK("#Liste_rouge!A"&amp;_xlfn.XMATCH("LC",Liste_rouge!A:A,2,1),"LC")</f>
        <v>LC</v>
      </c>
      <c r="T22768" s="7" t="str">
        <f>HYPERLINK("#Liste_rouge!A"&amp;_xlfn.XMATCH("LC",Liste_rouge!A:A,2,1),"LC")</f>
        <v>LC</v>
      </c>
      <c r="V22768" s="7" t="str">
        <f>HYPERLINK("#Liste_rouge!A"&amp;_xlfn.XMATCH("LC",Liste_rouge!A:A,2,1),"LC")</f>
        <v>LC</v>
      </c>
      <c r="AH22768" s="4" t="str">
        <f>HYPERLINK("#Statut_biogéographique!A"&amp;_xlfn.XMATCH("P",Statut_biogéographique!A:A,2,1),"P")</f>
        <v>P</v>
      </c>
      <c r="AP22768" s="4" t="s">
        <v>376</v>
      </c>
      <c r="AR22768" s="4" t="s">
        <v>377</v>
      </c>
    </row>
    <row r="22769" spans="1:44" ht="30">
      <c r="A22769" s="4" t="s">
        <v>24364</v>
      </c>
      <c r="B22769" s="4">
        <v>5908</v>
      </c>
      <c r="D22769" s="5" t="s">
        <v>29500</v>
      </c>
      <c r="E22769" s="6" t="str">
        <f>HYPERLINK("https://inpn.mnhn.fr/espece/cd_nom/5908","Rhynchostegium megapolitanum (Blandow ex F.Weber &amp; D.Mohr) Schimp., 1852")</f>
        <v>Rhynchostegium megapolitanum (Blandow ex F.Weber &amp; D.Mohr) Schimp., 1852</v>
      </c>
      <c r="P22769" s="7" t="str">
        <f>HYPERLINK("#Liste_rouge!A"&amp;_xlfn.XMATCH("LC",Liste_rouge!A:A,2,1),"LC")</f>
        <v>LC</v>
      </c>
      <c r="T22769" s="7" t="str">
        <f>HYPERLINK("#Liste_rouge!A"&amp;_xlfn.XMATCH("EN",Liste_rouge!A:A,2,1),"EN")</f>
        <v>EN</v>
      </c>
      <c r="X22769" s="5" t="s">
        <v>374</v>
      </c>
      <c r="AB22769" s="4" t="s">
        <v>93</v>
      </c>
      <c r="AH22769" s="4" t="str">
        <f>HYPERLINK("#Statut_biogéographique!A"&amp;_xlfn.XMATCH("P",Statut_biogéographique!A:A,2,1),"P")</f>
        <v>P</v>
      </c>
      <c r="AP22769" s="4" t="s">
        <v>376</v>
      </c>
      <c r="AR22769" s="4" t="s">
        <v>377</v>
      </c>
    </row>
    <row r="22770" spans="1:44" ht="30">
      <c r="A22770" s="4" t="s">
        <v>24364</v>
      </c>
      <c r="B22770" s="4">
        <v>5910</v>
      </c>
      <c r="D22770" s="5" t="s">
        <v>29501</v>
      </c>
      <c r="E22770" s="6" t="str">
        <f>HYPERLINK("https://inpn.mnhn.fr/espece/cd_nom/5910","Rhynchostegium murale (Hedw.) Schimp., 1852")</f>
        <v>Rhynchostegium murale (Hedw.) Schimp., 1852</v>
      </c>
      <c r="P22770" s="7" t="str">
        <f>HYPERLINK("#Liste_rouge!A"&amp;_xlfn.XMATCH("LC",Liste_rouge!A:A,2,1),"LC")</f>
        <v>LC</v>
      </c>
      <c r="T22770" s="7" t="str">
        <f>HYPERLINK("#Liste_rouge!A"&amp;_xlfn.XMATCH("LC",Liste_rouge!A:A,2,1),"LC")</f>
        <v>LC</v>
      </c>
      <c r="V22770" s="7" t="str">
        <f>HYPERLINK("#Liste_rouge!A"&amp;_xlfn.XMATCH("LC",Liste_rouge!A:A,2,1),"LC")</f>
        <v>LC</v>
      </c>
      <c r="AH22770" s="4" t="str">
        <f>HYPERLINK("#Statut_biogéographique!A"&amp;_xlfn.XMATCH("P",Statut_biogéographique!A:A,2,1),"P")</f>
        <v>P</v>
      </c>
      <c r="AP22770" s="4" t="s">
        <v>376</v>
      </c>
      <c r="AR22770" s="4" t="s">
        <v>377</v>
      </c>
    </row>
    <row r="22771" spans="1:44" ht="30">
      <c r="A22771" s="4" t="s">
        <v>24364</v>
      </c>
      <c r="B22771" s="4">
        <v>5911</v>
      </c>
      <c r="D22771" s="5" t="s">
        <v>29502</v>
      </c>
      <c r="E22771" s="6" t="str">
        <f>HYPERLINK("https://inpn.mnhn.fr/espece/cd_nom/5911","Rhynchostegium riparioides (Hedw.) Cardot, 1913")</f>
        <v>Rhynchostegium riparioides (Hedw.) Cardot, 1913</v>
      </c>
      <c r="P22771" s="7" t="str">
        <f>HYPERLINK("#Liste_rouge!A"&amp;_xlfn.XMATCH("LC",Liste_rouge!A:A,2,1),"LC")</f>
        <v>LC</v>
      </c>
      <c r="T22771" s="7" t="str">
        <f>HYPERLINK("#Liste_rouge!A"&amp;_xlfn.XMATCH("LC",Liste_rouge!A:A,2,1),"LC")</f>
        <v>LC</v>
      </c>
      <c r="V22771" s="7" t="str">
        <f>HYPERLINK("#Liste_rouge!A"&amp;_xlfn.XMATCH("LC",Liste_rouge!A:A,2,1),"LC")</f>
        <v>LC</v>
      </c>
      <c r="AH22771" s="4" t="str">
        <f>HYPERLINK("#Statut_biogéographique!A"&amp;_xlfn.XMATCH("P",Statut_biogéographique!A:A,2,1),"P")</f>
        <v>P</v>
      </c>
      <c r="AP22771" s="4" t="s">
        <v>376</v>
      </c>
      <c r="AR22771" s="4" t="s">
        <v>377</v>
      </c>
    </row>
    <row r="22772" spans="1:44" ht="30">
      <c r="A22772" s="4" t="s">
        <v>24364</v>
      </c>
      <c r="B22772" s="4">
        <v>5916</v>
      </c>
      <c r="D22772" s="5" t="s">
        <v>29503</v>
      </c>
      <c r="E22772" s="6" t="str">
        <f>HYPERLINK("https://inpn.mnhn.fr/espece/cd_nom/5916","Rhynchostegium rotundifolium (Scop. ex Brid.) Schimp., 1852")</f>
        <v>Rhynchostegium rotundifolium (Scop. ex Brid.) Schimp., 1852</v>
      </c>
      <c r="P22772" s="7" t="str">
        <f>HYPERLINK("#Liste_rouge!A"&amp;_xlfn.XMATCH("LC",Liste_rouge!A:A,2,1),"LC")</f>
        <v>LC</v>
      </c>
      <c r="T22772" s="7" t="str">
        <f>HYPERLINK("#Liste_rouge!A"&amp;_xlfn.XMATCH("CR",Liste_rouge!A:A,2,1),"CR")</f>
        <v>CR</v>
      </c>
      <c r="V22772" s="7" t="str">
        <f>HYPERLINK("#Liste_rouge!A"&amp;_xlfn.XMATCH("VU",Liste_rouge!A:A,2,1),"VU")</f>
        <v>VU</v>
      </c>
      <c r="X22772" s="5" t="s">
        <v>374</v>
      </c>
      <c r="AB22772" s="4" t="s">
        <v>93</v>
      </c>
      <c r="AH22772" s="4" t="str">
        <f>HYPERLINK("#Statut_biogéographique!A"&amp;_xlfn.XMATCH("P",Statut_biogéographique!A:A,2,1),"P")</f>
        <v>P</v>
      </c>
      <c r="AP22772" s="4" t="s">
        <v>376</v>
      </c>
      <c r="AR22772" s="4" t="s">
        <v>377</v>
      </c>
    </row>
    <row r="22773" spans="1:44" ht="30">
      <c r="A22773" s="4" t="s">
        <v>24364</v>
      </c>
      <c r="B22773" s="4">
        <v>5919</v>
      </c>
      <c r="D22773" s="5" t="s">
        <v>29504</v>
      </c>
      <c r="E22773" s="6" t="str">
        <f>HYPERLINK("https://inpn.mnhn.fr/espece/cd_nom/5919","Scleropodium cespitans (Wilson ex Müll.Hal.) L.F.Koch")</f>
        <v>Scleropodium cespitans (Wilson ex Müll.Hal.) L.F.Koch</v>
      </c>
      <c r="P22773" s="7" t="str">
        <f>HYPERLINK("#Liste_rouge!A"&amp;_xlfn.XMATCH("LC",Liste_rouge!A:A,2,1),"LC")</f>
        <v>LC</v>
      </c>
      <c r="T22773" s="7" t="str">
        <f>HYPERLINK("#Liste_rouge!A"&amp;_xlfn.XMATCH("EN",Liste_rouge!A:A,2,1),"EN")</f>
        <v>EN</v>
      </c>
      <c r="X22773" s="5" t="s">
        <v>374</v>
      </c>
      <c r="AB22773" s="4" t="s">
        <v>93</v>
      </c>
      <c r="AH22773" s="4" t="str">
        <f>HYPERLINK("#Statut_biogéographique!A"&amp;_xlfn.XMATCH("P",Statut_biogéographique!A:A,2,1),"P")</f>
        <v>P</v>
      </c>
      <c r="AP22773" s="4" t="s">
        <v>376</v>
      </c>
      <c r="AR22773" s="4" t="s">
        <v>377</v>
      </c>
    </row>
    <row r="22774" spans="1:44" ht="30">
      <c r="A22774" s="4" t="s">
        <v>24364</v>
      </c>
      <c r="B22774" s="4">
        <v>5922</v>
      </c>
      <c r="D22774" s="5" t="s">
        <v>29505</v>
      </c>
      <c r="E22774" s="6" t="str">
        <f>HYPERLINK("https://inpn.mnhn.fr/espece/cd_nom/5922","Pseudoscleropodium purum (Hedw.) M.Fleisch., 1923")</f>
        <v>Pseudoscleropodium purum (Hedw.) M.Fleisch., 1923</v>
      </c>
      <c r="P22774" s="7" t="str">
        <f>HYPERLINK("#Liste_rouge!A"&amp;_xlfn.XMATCH("LC",Liste_rouge!A:A,2,1),"LC")</f>
        <v>LC</v>
      </c>
      <c r="T22774" s="7" t="str">
        <f>HYPERLINK("#Liste_rouge!A"&amp;_xlfn.XMATCH("LC",Liste_rouge!A:A,2,1),"LC")</f>
        <v>LC</v>
      </c>
      <c r="V22774" s="7" t="str">
        <f>HYPERLINK("#Liste_rouge!A"&amp;_xlfn.XMATCH("LC",Liste_rouge!A:A,2,1),"LC")</f>
        <v>LC</v>
      </c>
      <c r="AH22774" s="4" t="str">
        <f>HYPERLINK("#Statut_biogéographique!A"&amp;_xlfn.XMATCH("P",Statut_biogéographique!A:A,2,1),"P")</f>
        <v>P</v>
      </c>
      <c r="AP22774" s="4" t="s">
        <v>376</v>
      </c>
      <c r="AR22774" s="4" t="s">
        <v>377</v>
      </c>
    </row>
    <row r="22775" spans="1:44" ht="30">
      <c r="A22775" s="4" t="s">
        <v>24364</v>
      </c>
      <c r="B22775" s="4">
        <v>5924</v>
      </c>
      <c r="D22775" s="5" t="s">
        <v>29506</v>
      </c>
      <c r="E22775" s="6" t="str">
        <f>HYPERLINK("https://inpn.mnhn.fr/espece/cd_nom/5924","Scleropodium touretii (Brid.) L.F.Koch, 1949")</f>
        <v>Scleropodium touretii (Brid.) L.F.Koch, 1949</v>
      </c>
      <c r="P22775" s="7" t="str">
        <f>HYPERLINK("#Liste_rouge!A"&amp;_xlfn.XMATCH("LC",Liste_rouge!A:A,2,1),"LC")</f>
        <v>LC</v>
      </c>
      <c r="T22775" s="7" t="str">
        <f>HYPERLINK("#Liste_rouge!A"&amp;_xlfn.XMATCH("CR",Liste_rouge!A:A,2,1),"CR")</f>
        <v>CR</v>
      </c>
      <c r="V22775" s="7" t="str">
        <f>HYPERLINK("#Liste_rouge!A"&amp;_xlfn.XMATCH("CR",Liste_rouge!A:A,2,1),"CR")</f>
        <v>CR</v>
      </c>
      <c r="X22775" s="5" t="s">
        <v>374</v>
      </c>
      <c r="AB22775" s="4" t="s">
        <v>93</v>
      </c>
      <c r="AH22775" s="4" t="str">
        <f>HYPERLINK("#Statut_biogéographique!A"&amp;_xlfn.XMATCH("P",Statut_biogéographique!A:A,2,1),"P")</f>
        <v>P</v>
      </c>
      <c r="AP22775" s="4" t="s">
        <v>376</v>
      </c>
      <c r="AR22775" s="4" t="s">
        <v>377</v>
      </c>
    </row>
    <row r="22776" spans="1:44" ht="30">
      <c r="A22776" s="4" t="s">
        <v>24364</v>
      </c>
      <c r="B22776" s="4">
        <v>5926</v>
      </c>
      <c r="D22776" s="5" t="s">
        <v>29507</v>
      </c>
      <c r="E22776" s="6" t="str">
        <f>HYPERLINK("https://inpn.mnhn.fr/espece/cd_nom/5926","Scorpiurium circinatum (Brid.) M.Fleisch. &amp; Loeske, 1907")</f>
        <v>Scorpiurium circinatum (Brid.) M.Fleisch. &amp; Loeske, 1907</v>
      </c>
      <c r="P22776" s="7" t="str">
        <f>HYPERLINK("#Liste_rouge!A"&amp;_xlfn.XMATCH("LC",Liste_rouge!A:A,2,1),"LC")</f>
        <v>LC</v>
      </c>
      <c r="T22776" s="7" t="str">
        <f>HYPERLINK("#Liste_rouge!A"&amp;_xlfn.XMATCH("CR",Liste_rouge!A:A,2,1),"CR")</f>
        <v>CR</v>
      </c>
      <c r="V22776" s="7" t="str">
        <f>HYPERLINK("#Liste_rouge!A"&amp;_xlfn.XMATCH("DD",Liste_rouge!A:A,2,1),"DD")</f>
        <v>DD</v>
      </c>
      <c r="X22776" s="5" t="s">
        <v>374</v>
      </c>
      <c r="AB22776" s="4" t="s">
        <v>93</v>
      </c>
      <c r="AH22776" s="4" t="str">
        <f>HYPERLINK("#Statut_biogéographique!A"&amp;_xlfn.XMATCH("P",Statut_biogéographique!A:A,2,1),"P")</f>
        <v>P</v>
      </c>
      <c r="AP22776" s="4" t="s">
        <v>376</v>
      </c>
      <c r="AR22776" s="4" t="s">
        <v>377</v>
      </c>
    </row>
    <row r="22777" spans="1:44">
      <c r="A22777" s="4" t="s">
        <v>24364</v>
      </c>
      <c r="B22777" s="4">
        <v>5933</v>
      </c>
      <c r="D22777" s="5" t="s">
        <v>29508</v>
      </c>
      <c r="E22777" s="6" t="str">
        <f>HYPERLINK("https://inpn.mnhn.fr/espece/cd_nom/5933","Tomentypnum nitens (Hedw.) Loeske, 1911")</f>
        <v>Tomentypnum nitens (Hedw.) Loeske, 1911</v>
      </c>
      <c r="P22777" s="7" t="str">
        <f>HYPERLINK("#Liste_rouge!A"&amp;_xlfn.XMATCH("NT",Liste_rouge!A:A,2,1),"NT")</f>
        <v>NT</v>
      </c>
      <c r="T22777" s="7" t="str">
        <f>HYPERLINK("#Liste_rouge!A"&amp;_xlfn.XMATCH("EN",Liste_rouge!A:A,2,1),"EN")</f>
        <v>EN</v>
      </c>
      <c r="V22777" s="7" t="str">
        <f>HYPERLINK("#Liste_rouge!A"&amp;_xlfn.XMATCH("LC",Liste_rouge!A:A,2,1),"LC")</f>
        <v>LC</v>
      </c>
      <c r="AB22777" s="4" t="s">
        <v>24803</v>
      </c>
      <c r="AH22777" s="4" t="str">
        <f>HYPERLINK("#Statut_biogéographique!A"&amp;_xlfn.XMATCH("P",Statut_biogéographique!A:A,2,1),"P")</f>
        <v>P</v>
      </c>
      <c r="AP22777" s="4" t="s">
        <v>376</v>
      </c>
      <c r="AR22777" s="4" t="s">
        <v>377</v>
      </c>
    </row>
    <row r="22778" spans="1:44">
      <c r="A22778" s="4" t="s">
        <v>24364</v>
      </c>
      <c r="B22778" s="4">
        <v>5939</v>
      </c>
      <c r="D22778" s="5" t="s">
        <v>29509</v>
      </c>
      <c r="E22778" s="6" t="str">
        <f>HYPERLINK("https://inpn.mnhn.fr/espece/cd_nom/5939","Entodon concinnus (De Not.) Paris, 1904")</f>
        <v>Entodon concinnus (De Not.) Paris, 1904</v>
      </c>
      <c r="P22778" s="7" t="str">
        <f>HYPERLINK("#Liste_rouge!A"&amp;_xlfn.XMATCH("LC",Liste_rouge!A:A,2,1),"LC")</f>
        <v>LC</v>
      </c>
      <c r="T22778" s="7" t="str">
        <f>HYPERLINK("#Liste_rouge!A"&amp;_xlfn.XMATCH("LC",Liste_rouge!A:A,2,1),"LC")</f>
        <v>LC</v>
      </c>
      <c r="V22778" s="7" t="str">
        <f>HYPERLINK("#Liste_rouge!A"&amp;_xlfn.XMATCH("LC",Liste_rouge!A:A,2,1),"LC")</f>
        <v>LC</v>
      </c>
      <c r="AH22778" s="4" t="str">
        <f>HYPERLINK("#Statut_biogéographique!A"&amp;_xlfn.XMATCH("P",Statut_biogéographique!A:A,2,1),"P")</f>
        <v>P</v>
      </c>
      <c r="AP22778" s="4" t="s">
        <v>376</v>
      </c>
      <c r="AR22778" s="4" t="s">
        <v>377</v>
      </c>
    </row>
    <row r="22779" spans="1:44">
      <c r="A22779" s="4" t="s">
        <v>24364</v>
      </c>
      <c r="B22779" s="4">
        <v>5943</v>
      </c>
      <c r="D22779" s="5">
        <v>5943</v>
      </c>
      <c r="E22779" s="6" t="str">
        <f>HYPERLINK("https://inpn.mnhn.fr/espece/cd_nom/5943","Entodon schleicheri (Schimp.) Demet., 1885")</f>
        <v>Entodon schleicheri (Schimp.) Demet., 1885</v>
      </c>
      <c r="P22779" s="7" t="str">
        <f>HYPERLINK("#Liste_rouge!A"&amp;_xlfn.XMATCH("LC",Liste_rouge!A:A,2,1),"LC")</f>
        <v>LC</v>
      </c>
      <c r="V22779" s="7" t="str">
        <f>HYPERLINK("#Liste_rouge!A"&amp;_xlfn.XMATCH("NT",Liste_rouge!A:A,2,1),"NT")</f>
        <v>NT</v>
      </c>
      <c r="X22779" s="5" t="s">
        <v>374</v>
      </c>
      <c r="AB22779" s="4" t="s">
        <v>93</v>
      </c>
      <c r="AH22779" s="4" t="str">
        <f>HYPERLINK("#Statut_biogéographique!A"&amp;_xlfn.XMATCH("P",Statut_biogéographique!A:A,2,1),"P")</f>
        <v>P</v>
      </c>
      <c r="AP22779" s="4" t="s">
        <v>376</v>
      </c>
      <c r="AR22779" s="4" t="s">
        <v>377</v>
      </c>
    </row>
    <row r="22780" spans="1:44" ht="30">
      <c r="A22780" s="4" t="s">
        <v>24364</v>
      </c>
      <c r="B22780" s="4">
        <v>5948</v>
      </c>
      <c r="D22780" s="5" t="s">
        <v>29510</v>
      </c>
      <c r="E22780" s="6" t="str">
        <f>HYPERLINK("https://inpn.mnhn.fr/espece/cd_nom/5948","Pseudotaxiphyllum elegans (Brid.) Z.Iwats., 1987")</f>
        <v>Pseudotaxiphyllum elegans (Brid.) Z.Iwats., 1987</v>
      </c>
      <c r="P22780" s="7" t="str">
        <f>HYPERLINK("#Liste_rouge!A"&amp;_xlfn.XMATCH("LC",Liste_rouge!A:A,2,1),"LC")</f>
        <v>LC</v>
      </c>
      <c r="T22780" s="7" t="str">
        <f>HYPERLINK("#Liste_rouge!A"&amp;_xlfn.XMATCH("LC",Liste_rouge!A:A,2,1),"LC")</f>
        <v>LC</v>
      </c>
      <c r="V22780" s="7" t="str">
        <f>HYPERLINK("#Liste_rouge!A"&amp;_xlfn.XMATCH("LC",Liste_rouge!A:A,2,1),"LC")</f>
        <v>LC</v>
      </c>
      <c r="AH22780" s="4" t="str">
        <f>HYPERLINK("#Statut_biogéographique!A"&amp;_xlfn.XMATCH("P",Statut_biogéographique!A:A,2,1),"P")</f>
        <v>P</v>
      </c>
      <c r="AP22780" s="4" t="s">
        <v>376</v>
      </c>
      <c r="AR22780" s="4" t="s">
        <v>377</v>
      </c>
    </row>
    <row r="22781" spans="1:44" ht="30">
      <c r="A22781" s="4" t="s">
        <v>24364</v>
      </c>
      <c r="B22781" s="4">
        <v>5954</v>
      </c>
      <c r="D22781" s="5" t="s">
        <v>29511</v>
      </c>
      <c r="E22781" s="6" t="str">
        <f>HYPERLINK("https://inpn.mnhn.fr/espece/cd_nom/5954","Taxiphyllum wissgrillii (Garov.) Wijk &amp; Margad., 1960")</f>
        <v>Taxiphyllum wissgrillii (Garov.) Wijk &amp; Margad., 1960</v>
      </c>
      <c r="P22781" s="7" t="str">
        <f>HYPERLINK("#Liste_rouge!A"&amp;_xlfn.XMATCH("LC",Liste_rouge!A:A,2,1),"LC")</f>
        <v>LC</v>
      </c>
      <c r="T22781" s="7" t="str">
        <f>HYPERLINK("#Liste_rouge!A"&amp;_xlfn.XMATCH("LC",Liste_rouge!A:A,2,1),"LC")</f>
        <v>LC</v>
      </c>
      <c r="V22781" s="7" t="str">
        <f>HYPERLINK("#Liste_rouge!A"&amp;_xlfn.XMATCH("LC",Liste_rouge!A:A,2,1),"LC")</f>
        <v>LC</v>
      </c>
      <c r="AH22781" s="4" t="str">
        <f>HYPERLINK("#Statut_biogéographique!A"&amp;_xlfn.XMATCH("P",Statut_biogéographique!A:A,2,1),"P")</f>
        <v>P</v>
      </c>
      <c r="AP22781" s="4" t="s">
        <v>376</v>
      </c>
      <c r="AR22781" s="4" t="s">
        <v>377</v>
      </c>
    </row>
    <row r="22782" spans="1:44" ht="30">
      <c r="A22782" s="4" t="s">
        <v>24364</v>
      </c>
      <c r="B22782" s="4">
        <v>5958</v>
      </c>
      <c r="D22782" s="5" t="s">
        <v>29512</v>
      </c>
      <c r="E22782" s="6" t="str">
        <f>HYPERLINK("https://inpn.mnhn.fr/espece/cd_nom/5958","Plagiothecium cavifolium (Brid.) Z.Iwats., 1970")</f>
        <v>Plagiothecium cavifolium (Brid.) Z.Iwats., 1970</v>
      </c>
      <c r="P22782" s="7" t="str">
        <f>HYPERLINK("#Liste_rouge!A"&amp;_xlfn.XMATCH("LC",Liste_rouge!A:A,2,1),"LC")</f>
        <v>LC</v>
      </c>
      <c r="T22782" s="7" t="str">
        <f>HYPERLINK("#Liste_rouge!A"&amp;_xlfn.XMATCH("LC",Liste_rouge!A:A,2,1),"LC")</f>
        <v>LC</v>
      </c>
      <c r="V22782" s="7" t="str">
        <f>HYPERLINK("#Liste_rouge!A"&amp;_xlfn.XMATCH("NT",Liste_rouge!A:A,2,1),"NT")</f>
        <v>NT</v>
      </c>
      <c r="AB22782" s="4" t="s">
        <v>25106</v>
      </c>
      <c r="AH22782" s="4" t="str">
        <f>HYPERLINK("#Statut_biogéographique!A"&amp;_xlfn.XMATCH("P",Statut_biogéographique!A:A,2,1),"P")</f>
        <v>P</v>
      </c>
      <c r="AP22782" s="4" t="s">
        <v>376</v>
      </c>
      <c r="AR22782" s="4" t="s">
        <v>377</v>
      </c>
    </row>
    <row r="22783" spans="1:44" ht="30">
      <c r="A22783" s="4" t="s">
        <v>24364</v>
      </c>
      <c r="B22783" s="4">
        <v>5961</v>
      </c>
      <c r="D22783" s="5" t="s">
        <v>29513</v>
      </c>
      <c r="E22783" s="6" t="str">
        <f>HYPERLINK("https://inpn.mnhn.fr/espece/cd_nom/5961","Plagiothecium curvifolium Schlieph. ex Limpr., 1897")</f>
        <v>Plagiothecium curvifolium Schlieph. ex Limpr., 1897</v>
      </c>
      <c r="P22783" s="7" t="str">
        <f>HYPERLINK("#Liste_rouge!A"&amp;_xlfn.XMATCH("LC",Liste_rouge!A:A,2,1),"LC")</f>
        <v>LC</v>
      </c>
      <c r="T22783" s="7" t="str">
        <f>HYPERLINK("#Liste_rouge!A"&amp;_xlfn.XMATCH("LC",Liste_rouge!A:A,2,1),"LC")</f>
        <v>LC</v>
      </c>
      <c r="V22783" s="7" t="str">
        <f>HYPERLINK("#Liste_rouge!A"&amp;_xlfn.XMATCH("LC",Liste_rouge!A:A,2,1),"LC")</f>
        <v>LC</v>
      </c>
      <c r="AH22783" s="4" t="str">
        <f>HYPERLINK("#Statut_biogéographique!A"&amp;_xlfn.XMATCH("P",Statut_biogéographique!A:A,2,1),"P")</f>
        <v>P</v>
      </c>
      <c r="AP22783" s="4" t="s">
        <v>376</v>
      </c>
      <c r="AR22783" s="4" t="s">
        <v>377</v>
      </c>
    </row>
    <row r="22784" spans="1:44" ht="30">
      <c r="A22784" s="4" t="s">
        <v>24364</v>
      </c>
      <c r="B22784" s="4">
        <v>5962</v>
      </c>
      <c r="D22784" s="5" t="s">
        <v>29514</v>
      </c>
      <c r="E22784" s="6" t="str">
        <f>HYPERLINK("https://inpn.mnhn.fr/espece/cd_nom/5962","Plagiothecium denticulatum (Hedw.) Schimp., 1851")</f>
        <v>Plagiothecium denticulatum (Hedw.) Schimp., 1851</v>
      </c>
      <c r="P22784" s="7" t="str">
        <f>HYPERLINK("#Liste_rouge!A"&amp;_xlfn.XMATCH("LC",Liste_rouge!A:A,2,1),"LC")</f>
        <v>LC</v>
      </c>
      <c r="T22784" s="7" t="str">
        <f>HYPERLINK("#Liste_rouge!A"&amp;_xlfn.XMATCH("LC",Liste_rouge!A:A,2,1),"LC")</f>
        <v>LC</v>
      </c>
      <c r="V22784" s="7" t="str">
        <f>HYPERLINK("#Liste_rouge!A"&amp;_xlfn.XMATCH("LC",Liste_rouge!A:A,2,1),"LC")</f>
        <v>LC</v>
      </c>
      <c r="AH22784" s="4" t="str">
        <f>HYPERLINK("#Statut_biogéographique!A"&amp;_xlfn.XMATCH("P",Statut_biogéographique!A:A,2,1),"P")</f>
        <v>P</v>
      </c>
      <c r="AP22784" s="4" t="s">
        <v>376</v>
      </c>
      <c r="AR22784" s="4" t="s">
        <v>377</v>
      </c>
    </row>
    <row r="22785" spans="1:44">
      <c r="A22785" s="4" t="s">
        <v>24364</v>
      </c>
      <c r="B22785" s="4">
        <v>5965</v>
      </c>
      <c r="D22785" s="5" t="s">
        <v>29515</v>
      </c>
      <c r="E22785" s="6" t="str">
        <f>HYPERLINK("https://inpn.mnhn.fr/espece/cd_nom/5965","Plagiothecium laetum Schimp., 1851")</f>
        <v>Plagiothecium laetum Schimp., 1851</v>
      </c>
      <c r="P22785" s="7" t="str">
        <f>HYPERLINK("#Liste_rouge!A"&amp;_xlfn.XMATCH("LC",Liste_rouge!A:A,2,1),"LC")</f>
        <v>LC</v>
      </c>
      <c r="T22785" s="7" t="str">
        <f>HYPERLINK("#Liste_rouge!A"&amp;_xlfn.XMATCH("LC",Liste_rouge!A:A,2,1),"LC")</f>
        <v>LC</v>
      </c>
      <c r="V22785" s="7" t="str">
        <f>HYPERLINK("#Liste_rouge!A"&amp;_xlfn.XMATCH("LC",Liste_rouge!A:A,2,1),"LC")</f>
        <v>LC</v>
      </c>
      <c r="AH22785" s="4" t="str">
        <f>HYPERLINK("#Statut_biogéographique!A"&amp;_xlfn.XMATCH("P",Statut_biogéographique!A:A,2,1),"P")</f>
        <v>P</v>
      </c>
      <c r="AP22785" s="4" t="s">
        <v>376</v>
      </c>
      <c r="AR22785" s="4" t="s">
        <v>377</v>
      </c>
    </row>
    <row r="22786" spans="1:44">
      <c r="A22786" s="4" t="s">
        <v>24364</v>
      </c>
      <c r="B22786" s="4">
        <v>5966</v>
      </c>
      <c r="D22786" s="5" t="s">
        <v>29516</v>
      </c>
      <c r="E22786" s="6" t="str">
        <f>HYPERLINK("https://inpn.mnhn.fr/espece/cd_nom/5966","Plagiothecium latebricola Schimp., 1851")</f>
        <v>Plagiothecium latebricola Schimp., 1851</v>
      </c>
      <c r="P22786" s="7" t="str">
        <f>HYPERLINK("#Liste_rouge!A"&amp;_xlfn.XMATCH("LC",Liste_rouge!A:A,2,1),"LC")</f>
        <v>LC</v>
      </c>
      <c r="T22786" s="7" t="str">
        <f>HYPERLINK("#Liste_rouge!A"&amp;_xlfn.XMATCH("EN",Liste_rouge!A:A,2,1),"EN")</f>
        <v>EN</v>
      </c>
      <c r="V22786" s="7" t="str">
        <f>HYPERLINK("#Liste_rouge!A"&amp;_xlfn.XMATCH("VU",Liste_rouge!A:A,2,1),"VU")</f>
        <v>VU</v>
      </c>
      <c r="X22786" s="5" t="s">
        <v>374</v>
      </c>
      <c r="AB22786" s="4" t="s">
        <v>93</v>
      </c>
      <c r="AH22786" s="4" t="str">
        <f>HYPERLINK("#Statut_biogéographique!A"&amp;_xlfn.XMATCH("P",Statut_biogéographique!A:A,2,1),"P")</f>
        <v>P</v>
      </c>
      <c r="AP22786" s="4" t="s">
        <v>376</v>
      </c>
      <c r="AR22786" s="4" t="s">
        <v>377</v>
      </c>
    </row>
    <row r="22787" spans="1:44" ht="30">
      <c r="A22787" s="4" t="s">
        <v>24364</v>
      </c>
      <c r="B22787" s="4">
        <v>5969</v>
      </c>
      <c r="D22787" s="5" t="s">
        <v>29517</v>
      </c>
      <c r="E22787" s="6" t="str">
        <f>HYPERLINK("https://inpn.mnhn.fr/espece/cd_nom/5969","Plagiothecium nemorale (Mitt.) A.Jaeger, 1878")</f>
        <v>Plagiothecium nemorale (Mitt.) A.Jaeger, 1878</v>
      </c>
      <c r="P22787" s="7" t="str">
        <f>HYPERLINK("#Liste_rouge!A"&amp;_xlfn.XMATCH("LC",Liste_rouge!A:A,2,1),"LC")</f>
        <v>LC</v>
      </c>
      <c r="T22787" s="7" t="str">
        <f>HYPERLINK("#Liste_rouge!A"&amp;_xlfn.XMATCH("LC",Liste_rouge!A:A,2,1),"LC")</f>
        <v>LC</v>
      </c>
      <c r="V22787" s="7" t="str">
        <f>HYPERLINK("#Liste_rouge!A"&amp;_xlfn.XMATCH("LC",Liste_rouge!A:A,2,1),"LC")</f>
        <v>LC</v>
      </c>
      <c r="AH22787" s="4" t="str">
        <f>HYPERLINK("#Statut_biogéographique!A"&amp;_xlfn.XMATCH("P",Statut_biogéographique!A:A,2,1),"P")</f>
        <v>P</v>
      </c>
      <c r="AP22787" s="4" t="s">
        <v>376</v>
      </c>
      <c r="AR22787" s="4" t="s">
        <v>377</v>
      </c>
    </row>
    <row r="22788" spans="1:44">
      <c r="A22788" s="4" t="s">
        <v>24364</v>
      </c>
      <c r="B22788" s="4">
        <v>5971</v>
      </c>
      <c r="D22788" s="5" t="s">
        <v>29518</v>
      </c>
      <c r="E22788" s="6" t="str">
        <f>HYPERLINK("https://inpn.mnhn.fr/espece/cd_nom/5971","Plagiothecium piliferum (Sw.) Schimp., 1851")</f>
        <v>Plagiothecium piliferum (Sw.) Schimp., 1851</v>
      </c>
      <c r="P22788" s="7" t="str">
        <f>HYPERLINK("#Liste_rouge!A"&amp;_xlfn.XMATCH("LC",Liste_rouge!A:A,2,1),"LC")</f>
        <v>LC</v>
      </c>
      <c r="AH22788" s="4" t="str">
        <f>HYPERLINK("#Statut_biogéographique!A"&amp;_xlfn.XMATCH("P",Statut_biogéographique!A:A,2,1),"P")</f>
        <v>P</v>
      </c>
      <c r="AP22788" s="4" t="s">
        <v>376</v>
      </c>
      <c r="AR22788" s="4" t="s">
        <v>377</v>
      </c>
    </row>
    <row r="22789" spans="1:44">
      <c r="A22789" s="4" t="s">
        <v>24364</v>
      </c>
      <c r="B22789" s="4">
        <v>5973</v>
      </c>
      <c r="D22789" s="5">
        <v>5973</v>
      </c>
      <c r="E22789" s="6" t="str">
        <f>HYPERLINK("https://inpn.mnhn.fr/espece/cd_nom/5973","Plagiothecium platyphyllum Mönk., 1927")</f>
        <v>Plagiothecium platyphyllum Mönk., 1927</v>
      </c>
      <c r="P22789" s="7" t="str">
        <f>HYPERLINK("#Liste_rouge!A"&amp;_xlfn.XMATCH("LC",Liste_rouge!A:A,2,1),"LC")</f>
        <v>LC</v>
      </c>
      <c r="T22789" s="7" t="str">
        <f>HYPERLINK("#Liste_rouge!A"&amp;_xlfn.XMATCH("CR",Liste_rouge!A:A,2,1),"CR")</f>
        <v>CR</v>
      </c>
      <c r="V22789" s="7" t="str">
        <f>HYPERLINK("#Liste_rouge!A"&amp;_xlfn.XMATCH("LC",Liste_rouge!A:A,2,1),"LC")</f>
        <v>LC</v>
      </c>
      <c r="AB22789" s="4" t="s">
        <v>29429</v>
      </c>
      <c r="AH22789" s="4" t="str">
        <f>HYPERLINK("#Statut_biogéographique!A"&amp;_xlfn.XMATCH("P",Statut_biogéographique!A:A,2,1),"P")</f>
        <v>P</v>
      </c>
      <c r="AP22789" s="4" t="s">
        <v>376</v>
      </c>
      <c r="AR22789" s="4" t="s">
        <v>377</v>
      </c>
    </row>
    <row r="22790" spans="1:44" ht="30">
      <c r="A22790" s="4" t="s">
        <v>24364</v>
      </c>
      <c r="B22790" s="4">
        <v>5975</v>
      </c>
      <c r="D22790" s="5">
        <v>5975</v>
      </c>
      <c r="E22790" s="6" t="str">
        <f>HYPERLINK("https://inpn.mnhn.fr/espece/cd_nom/5975","Plagiothecium succulentum (Wilson) Lindb., 1865")</f>
        <v>Plagiothecium succulentum (Wilson) Lindb., 1865</v>
      </c>
      <c r="P22790" s="7" t="str">
        <f>HYPERLINK("#Liste_rouge!A"&amp;_xlfn.XMATCH("LC",Liste_rouge!A:A,2,1),"LC")</f>
        <v>LC</v>
      </c>
      <c r="T22790" s="7" t="str">
        <f>HYPERLINK("#Liste_rouge!A"&amp;_xlfn.XMATCH("LC",Liste_rouge!A:A,2,1),"LC")</f>
        <v>LC</v>
      </c>
      <c r="V22790" s="7" t="str">
        <f>HYPERLINK("#Liste_rouge!A"&amp;_xlfn.XMATCH("DD",Liste_rouge!A:A,2,1),"DD")</f>
        <v>DD</v>
      </c>
      <c r="AH22790" s="4" t="str">
        <f>HYPERLINK("#Statut_biogéographique!A"&amp;_xlfn.XMATCH("P",Statut_biogéographique!A:A,2,1),"P")</f>
        <v>P</v>
      </c>
      <c r="AP22790" s="4" t="s">
        <v>376</v>
      </c>
      <c r="AR22790" s="4" t="s">
        <v>377</v>
      </c>
    </row>
    <row r="22791" spans="1:44" ht="30">
      <c r="A22791" s="4" t="s">
        <v>24364</v>
      </c>
      <c r="B22791" s="4">
        <v>5980</v>
      </c>
      <c r="D22791" s="5" t="s">
        <v>29519</v>
      </c>
      <c r="E22791" s="6" t="str">
        <f>HYPERLINK("https://inpn.mnhn.fr/espece/cd_nom/5980","Plagiothecium undulatum (Hedw.) Schimp., 1851")</f>
        <v>Plagiothecium undulatum (Hedw.) Schimp., 1851</v>
      </c>
      <c r="P22791" s="7" t="str">
        <f>HYPERLINK("#Liste_rouge!A"&amp;_xlfn.XMATCH("LC",Liste_rouge!A:A,2,1),"LC")</f>
        <v>LC</v>
      </c>
      <c r="T22791" s="7" t="str">
        <f>HYPERLINK("#Liste_rouge!A"&amp;_xlfn.XMATCH("EN",Liste_rouge!A:A,2,1),"EN")</f>
        <v>EN</v>
      </c>
      <c r="V22791" s="7" t="str">
        <f>HYPERLINK("#Liste_rouge!A"&amp;_xlfn.XMATCH("LC",Liste_rouge!A:A,2,1),"LC")</f>
        <v>LC</v>
      </c>
      <c r="AB22791" s="4" t="s">
        <v>29520</v>
      </c>
      <c r="AH22791" s="4" t="str">
        <f>HYPERLINK("#Statut_biogéographique!A"&amp;_xlfn.XMATCH("P",Statut_biogéographique!A:A,2,1),"P")</f>
        <v>P</v>
      </c>
      <c r="AP22791" s="4" t="s">
        <v>376</v>
      </c>
      <c r="AR22791" s="4" t="s">
        <v>377</v>
      </c>
    </row>
    <row r="22792" spans="1:44" ht="30">
      <c r="A22792" s="4" t="s">
        <v>24364</v>
      </c>
      <c r="B22792" s="4">
        <v>5984</v>
      </c>
      <c r="D22792" s="5" t="s">
        <v>29521</v>
      </c>
      <c r="E22792" s="6" t="str">
        <f>HYPERLINK("https://inpn.mnhn.fr/espece/cd_nom/5984","Herzogiella seligeri (Brid.) Z.Iwats., 1970")</f>
        <v>Herzogiella seligeri (Brid.) Z.Iwats., 1970</v>
      </c>
      <c r="P22792" s="7" t="str">
        <f>HYPERLINK("#Liste_rouge!A"&amp;_xlfn.XMATCH("LC",Liste_rouge!A:A,2,1),"LC")</f>
        <v>LC</v>
      </c>
      <c r="T22792" s="7" t="str">
        <f>HYPERLINK("#Liste_rouge!A"&amp;_xlfn.XMATCH("LC",Liste_rouge!A:A,2,1),"LC")</f>
        <v>LC</v>
      </c>
      <c r="V22792" s="7" t="str">
        <f>HYPERLINK("#Liste_rouge!A"&amp;_xlfn.XMATCH("LC",Liste_rouge!A:A,2,1),"LC")</f>
        <v>LC</v>
      </c>
      <c r="AH22792" s="4" t="str">
        <f>HYPERLINK("#Statut_biogéographique!A"&amp;_xlfn.XMATCH("P",Statut_biogéographique!A:A,2,1),"P")</f>
        <v>P</v>
      </c>
      <c r="AP22792" s="4" t="s">
        <v>376</v>
      </c>
      <c r="AR22792" s="4" t="s">
        <v>377</v>
      </c>
    </row>
    <row r="22793" spans="1:44" ht="30">
      <c r="A22793" s="4" t="s">
        <v>24364</v>
      </c>
      <c r="B22793" s="4">
        <v>5990</v>
      </c>
      <c r="D22793" s="5" t="s">
        <v>29522</v>
      </c>
      <c r="E22793" s="6" t="str">
        <f>HYPERLINK("https://inpn.mnhn.fr/espece/cd_nom/5990","Callicladium haldanianum (Grev.) H.A.Crum, 1971")</f>
        <v>Callicladium haldanianum (Grev.) H.A.Crum, 1971</v>
      </c>
      <c r="P22793" s="7" t="str">
        <f>HYPERLINK("#Liste_rouge!A"&amp;_xlfn.XMATCH("LC",Liste_rouge!A:A,2,1),"LC")</f>
        <v>LC</v>
      </c>
      <c r="T22793" s="7" t="str">
        <f>HYPERLINK("#Liste_rouge!A"&amp;_xlfn.XMATCH("CR",Liste_rouge!A:A,2,1),"CR")</f>
        <v>CR</v>
      </c>
      <c r="X22793" s="5" t="s">
        <v>374</v>
      </c>
      <c r="AB22793" s="4" t="s">
        <v>93</v>
      </c>
      <c r="AH22793" s="4" t="str">
        <f>HYPERLINK("#Statut_biogéographique!A"&amp;_xlfn.XMATCH("P",Statut_biogéographique!A:A,2,1),"P")</f>
        <v>P</v>
      </c>
      <c r="AP22793" s="4" t="s">
        <v>376</v>
      </c>
      <c r="AR22793" s="4" t="s">
        <v>377</v>
      </c>
    </row>
    <row r="22794" spans="1:44" ht="30">
      <c r="A22794" s="4" t="s">
        <v>24364</v>
      </c>
      <c r="B22794" s="4">
        <v>5993</v>
      </c>
      <c r="D22794" s="5">
        <v>5993</v>
      </c>
      <c r="E22794" s="6" t="str">
        <f>HYPERLINK("https://inpn.mnhn.fr/espece/cd_nom/5993","Sematophyllum demissum (Wilson) Mitt., 1864")</f>
        <v>Sematophyllum demissum (Wilson) Mitt., 1864</v>
      </c>
      <c r="P22794" s="7" t="str">
        <f>HYPERLINK("#Liste_rouge!A"&amp;_xlfn.XMATCH("LC",Liste_rouge!A:A,2,1),"LC")</f>
        <v>LC</v>
      </c>
      <c r="V22794" s="7" t="str">
        <f>HYPERLINK("#Liste_rouge!A"&amp;_xlfn.XMATCH("NT",Liste_rouge!A:A,2,1),"NT")</f>
        <v>NT</v>
      </c>
      <c r="X22794" s="5" t="s">
        <v>374</v>
      </c>
      <c r="AB22794" s="4" t="s">
        <v>93</v>
      </c>
      <c r="AE22794" s="4" t="str">
        <f>HYPERLINK("#SCAP!A"&amp;_xlfn.XMATCH("1-",SCAP!A:A,2,1),"1-")</f>
        <v>1-</v>
      </c>
      <c r="AG22794" s="4" t="str">
        <f>HYPERLINK("#SCAP!A"&amp;_xlfn.XMATCH("1-",SCAP!A:A,2,1),"1-")</f>
        <v>1-</v>
      </c>
      <c r="AH22794" s="4" t="str">
        <f>HYPERLINK("#Statut_biogéographique!A"&amp;_xlfn.XMATCH("P",Statut_biogéographique!A:A,2,1),"P")</f>
        <v>P</v>
      </c>
      <c r="AP22794" s="4" t="s">
        <v>376</v>
      </c>
      <c r="AR22794" s="4" t="s">
        <v>377</v>
      </c>
    </row>
    <row r="22795" spans="1:44" ht="30">
      <c r="A22795" s="4" t="s">
        <v>24364</v>
      </c>
      <c r="B22795" s="4">
        <v>5995</v>
      </c>
      <c r="D22795" s="5">
        <v>5995</v>
      </c>
      <c r="E22795" s="6" t="str">
        <f>HYPERLINK("https://inpn.mnhn.fr/espece/cd_nom/5995","Sematophyllum substrumulosum (Hampe) E.Britton, 1902")</f>
        <v>Sematophyllum substrumulosum (Hampe) E.Britton, 1902</v>
      </c>
      <c r="P22795" s="7" t="str">
        <f>HYPERLINK("#Liste_rouge!A"&amp;_xlfn.XMATCH("LC",Liste_rouge!A:A,2,1),"LC")</f>
        <v>LC</v>
      </c>
      <c r="AH22795" s="4" t="str">
        <f>HYPERLINK("#Statut_biogéographique!A"&amp;_xlfn.XMATCH("P",Statut_biogéographique!A:A,2,1),"P")</f>
        <v>P</v>
      </c>
      <c r="AP22795" s="4" t="s">
        <v>376</v>
      </c>
      <c r="AR22795" s="4" t="s">
        <v>377</v>
      </c>
    </row>
    <row r="22796" spans="1:44" ht="30">
      <c r="A22796" s="4" t="s">
        <v>24364</v>
      </c>
      <c r="B22796" s="4">
        <v>5998</v>
      </c>
      <c r="D22796" s="5" t="s">
        <v>29523</v>
      </c>
      <c r="E22796" s="6" t="str">
        <f>HYPERLINK("https://inpn.mnhn.fr/espece/cd_nom/5998","Ctenidium molluscum (Hedw.) Mitt., 1869")</f>
        <v>Ctenidium molluscum (Hedw.) Mitt., 1869</v>
      </c>
      <c r="P22796" s="7" t="str">
        <f>HYPERLINK("#Liste_rouge!A"&amp;_xlfn.XMATCH("LC",Liste_rouge!A:A,2,1),"LC")</f>
        <v>LC</v>
      </c>
      <c r="T22796" s="7" t="str">
        <f>HYPERLINK("#Liste_rouge!A"&amp;_xlfn.XMATCH("LC",Liste_rouge!A:A,2,1),"LC")</f>
        <v>LC</v>
      </c>
      <c r="V22796" s="7" t="str">
        <f>HYPERLINK("#Liste_rouge!A"&amp;_xlfn.XMATCH("LC",Liste_rouge!A:A,2,1),"LC (cd_nom 5998) - NE (cd_nom 5998)")</f>
        <v>LC (cd_nom 5998) - NE (cd_nom 5998)</v>
      </c>
      <c r="AH22796" s="4" t="str">
        <f>HYPERLINK("#Statut_biogéographique!A"&amp;_xlfn.XMATCH("P",Statut_biogéographique!A:A,2,1),"P")</f>
        <v>P</v>
      </c>
      <c r="AP22796" s="4" t="s">
        <v>376</v>
      </c>
      <c r="AR22796" s="4" t="s">
        <v>377</v>
      </c>
    </row>
    <row r="22797" spans="1:44" ht="30">
      <c r="A22797" s="4" t="s">
        <v>24364</v>
      </c>
      <c r="B22797" s="4">
        <v>6004</v>
      </c>
      <c r="D22797" s="5" t="s">
        <v>29524</v>
      </c>
      <c r="E22797" s="6" t="str">
        <f>HYPERLINK("https://inpn.mnhn.fr/espece/cd_nom/6004","Homomallium incurvatum (Schrad. ex Brid.) Loeske, 1907")</f>
        <v>Homomallium incurvatum (Schrad. ex Brid.) Loeske, 1907</v>
      </c>
      <c r="P22797" s="7" t="str">
        <f>HYPERLINK("#Liste_rouge!A"&amp;_xlfn.XMATCH("LC",Liste_rouge!A:A,2,1),"LC")</f>
        <v>LC</v>
      </c>
      <c r="T22797" s="7" t="str">
        <f>HYPERLINK("#Liste_rouge!A"&amp;_xlfn.XMATCH("LC",Liste_rouge!A:A,2,1),"LC")</f>
        <v>LC</v>
      </c>
      <c r="V22797" s="7" t="str">
        <f>HYPERLINK("#Liste_rouge!A"&amp;_xlfn.XMATCH("LC",Liste_rouge!A:A,2,1),"LC")</f>
        <v>LC</v>
      </c>
      <c r="AB22797" s="4" t="s">
        <v>24410</v>
      </c>
      <c r="AH22797" s="4" t="str">
        <f>HYPERLINK("#Statut_biogéographique!A"&amp;_xlfn.XMATCH("P",Statut_biogéographique!A:A,2,1),"P")</f>
        <v>P</v>
      </c>
      <c r="AP22797" s="4" t="s">
        <v>376</v>
      </c>
      <c r="AR22797" s="4" t="s">
        <v>377</v>
      </c>
    </row>
    <row r="22798" spans="1:44" ht="30">
      <c r="A22798" s="4" t="s">
        <v>24364</v>
      </c>
      <c r="B22798" s="4">
        <v>6008</v>
      </c>
      <c r="D22798" s="5" t="s">
        <v>29525</v>
      </c>
      <c r="E22798" s="6" t="str">
        <f>HYPERLINK("https://inpn.mnhn.fr/espece/cd_nom/6008","Loeskeobryum brevirostre (Brid.) M.Fleisch., 1925")</f>
        <v>Loeskeobryum brevirostre (Brid.) M.Fleisch., 1925</v>
      </c>
      <c r="P22798" s="7" t="str">
        <f>HYPERLINK("#Liste_rouge!A"&amp;_xlfn.XMATCH("LC",Liste_rouge!A:A,2,1),"LC")</f>
        <v>LC</v>
      </c>
      <c r="T22798" s="7" t="str">
        <f>HYPERLINK("#Liste_rouge!A"&amp;_xlfn.XMATCH("LC",Liste_rouge!A:A,2,1),"LC")</f>
        <v>LC</v>
      </c>
      <c r="V22798" s="7" t="str">
        <f>HYPERLINK("#Liste_rouge!A"&amp;_xlfn.XMATCH("LC",Liste_rouge!A:A,2,1),"LC")</f>
        <v>LC</v>
      </c>
      <c r="AH22798" s="4" t="str">
        <f>HYPERLINK("#Statut_biogéographique!A"&amp;_xlfn.XMATCH("P",Statut_biogéographique!A:A,2,1),"P")</f>
        <v>P</v>
      </c>
      <c r="AP22798" s="4" t="s">
        <v>376</v>
      </c>
      <c r="AR22798" s="4" t="s">
        <v>377</v>
      </c>
    </row>
    <row r="22799" spans="1:44" ht="30">
      <c r="A22799" s="4" t="s">
        <v>24364</v>
      </c>
      <c r="B22799" s="4">
        <v>6011</v>
      </c>
      <c r="D22799" s="5" t="s">
        <v>29526</v>
      </c>
      <c r="E22799" s="6" t="str">
        <f>HYPERLINK("https://inpn.mnhn.fr/espece/cd_nom/6011","Hylocomiastrum pyrenaicum (Spruce) M.Fleisch. ex Broth., 1925")</f>
        <v>Hylocomiastrum pyrenaicum (Spruce) M.Fleisch. ex Broth., 1925</v>
      </c>
      <c r="P22799" s="7" t="str">
        <f>HYPERLINK("#Liste_rouge!A"&amp;_xlfn.XMATCH("LC",Liste_rouge!A:A,2,1),"LC")</f>
        <v>LC</v>
      </c>
      <c r="V22799" s="7" t="str">
        <f>HYPERLINK("#Liste_rouge!A"&amp;_xlfn.XMATCH("VU",Liste_rouge!A:A,2,1),"VU")</f>
        <v>VU</v>
      </c>
      <c r="X22799" s="5" t="s">
        <v>374</v>
      </c>
      <c r="AB22799" s="4" t="s">
        <v>93</v>
      </c>
      <c r="AH22799" s="4" t="str">
        <f>HYPERLINK("#Statut_biogéographique!A"&amp;_xlfn.XMATCH("P",Statut_biogéographique!A:A,2,1),"P")</f>
        <v>P</v>
      </c>
      <c r="AP22799" s="4" t="s">
        <v>376</v>
      </c>
      <c r="AR22799" s="4" t="s">
        <v>377</v>
      </c>
    </row>
    <row r="22800" spans="1:44" ht="30">
      <c r="A22800" s="4" t="s">
        <v>24364</v>
      </c>
      <c r="B22800" s="4">
        <v>6013</v>
      </c>
      <c r="D22800" s="5" t="s">
        <v>29527</v>
      </c>
      <c r="E22800" s="6" t="str">
        <f>HYPERLINK("https://inpn.mnhn.fr/espece/cd_nom/6013","Hylocomium splendens (Hedw.) Schimp., 1852")</f>
        <v>Hylocomium splendens (Hedw.) Schimp., 1852</v>
      </c>
      <c r="P22800" s="7" t="str">
        <f>HYPERLINK("#Liste_rouge!A"&amp;_xlfn.XMATCH("LC",Liste_rouge!A:A,2,1),"LC")</f>
        <v>LC</v>
      </c>
      <c r="T22800" s="7" t="str">
        <f>HYPERLINK("#Liste_rouge!A"&amp;_xlfn.XMATCH("LC",Liste_rouge!A:A,2,1),"LC")</f>
        <v>LC</v>
      </c>
      <c r="V22800" s="7" t="str">
        <f>HYPERLINK("#Liste_rouge!A"&amp;_xlfn.XMATCH("LC",Liste_rouge!A:A,2,1),"LC")</f>
        <v>LC</v>
      </c>
      <c r="AH22800" s="4" t="str">
        <f>HYPERLINK("#Statut_biogéographique!A"&amp;_xlfn.XMATCH("P",Statut_biogéographique!A:A,2,1),"P")</f>
        <v>P</v>
      </c>
      <c r="AP22800" s="4" t="s">
        <v>376</v>
      </c>
      <c r="AR22800" s="4" t="s">
        <v>377</v>
      </c>
    </row>
    <row r="22801" spans="1:44" ht="30">
      <c r="A22801" s="4" t="s">
        <v>24364</v>
      </c>
      <c r="B22801" s="4">
        <v>6018</v>
      </c>
      <c r="D22801" s="5" t="s">
        <v>29528</v>
      </c>
      <c r="E22801" s="6" t="str">
        <f>HYPERLINK("https://inpn.mnhn.fr/espece/cd_nom/6018","Hylocomiastrum umbratum (Hedw.) M.Fleisch. ex Broth., 1925")</f>
        <v>Hylocomiastrum umbratum (Hedw.) M.Fleisch. ex Broth., 1925</v>
      </c>
      <c r="P22801" s="7" t="str">
        <f>HYPERLINK("#Liste_rouge!A"&amp;_xlfn.XMATCH("LC",Liste_rouge!A:A,2,1),"LC")</f>
        <v>LC</v>
      </c>
      <c r="T22801" s="7" t="str">
        <f>HYPERLINK("#Liste_rouge!A"&amp;_xlfn.XMATCH("RE",Liste_rouge!A:A,2,1),"RE")</f>
        <v>RE</v>
      </c>
      <c r="V22801" s="7" t="str">
        <f>HYPERLINK("#Liste_rouge!A"&amp;_xlfn.XMATCH("NT",Liste_rouge!A:A,2,1),"NT")</f>
        <v>NT</v>
      </c>
      <c r="X22801" s="5" t="s">
        <v>374</v>
      </c>
      <c r="AB22801" s="4" t="s">
        <v>93</v>
      </c>
      <c r="AH22801" s="4" t="str">
        <f>HYPERLINK("#Statut_biogéographique!A"&amp;_xlfn.XMATCH("P",Statut_biogéographique!A:A,2,1),"P")</f>
        <v>P</v>
      </c>
      <c r="AP22801" s="4" t="s">
        <v>376</v>
      </c>
      <c r="AR22801" s="4" t="s">
        <v>377</v>
      </c>
    </row>
    <row r="22802" spans="1:44" ht="30">
      <c r="A22802" s="4" t="s">
        <v>24364</v>
      </c>
      <c r="B22802" s="4">
        <v>6020</v>
      </c>
      <c r="D22802" s="5" t="s">
        <v>29529</v>
      </c>
      <c r="E22802" s="6" t="str">
        <f>HYPERLINK("https://inpn.mnhn.fr/espece/cd_nom/6020","Hyocomium armoricum (Brid.) Wijk &amp; Margad., 1961")</f>
        <v>Hyocomium armoricum (Brid.) Wijk &amp; Margad., 1961</v>
      </c>
      <c r="M22802" s="4" t="str">
        <f>HYPERLINK("#Réglementation!A"&amp;_xlfn.XMATCH("RV43",Réglementation!A:A,2,1),"RV43")</f>
        <v>RV43</v>
      </c>
      <c r="P22802" s="7" t="str">
        <f>HYPERLINK("#Liste_rouge!A"&amp;_xlfn.XMATCH("LC",Liste_rouge!A:A,2,1),"LC")</f>
        <v>LC</v>
      </c>
      <c r="T22802" s="7" t="str">
        <f>HYPERLINK("#Liste_rouge!A"&amp;_xlfn.XMATCH("NT",Liste_rouge!A:A,2,1),"NT")</f>
        <v>NT</v>
      </c>
      <c r="V22802" s="7" t="str">
        <f>HYPERLINK("#Liste_rouge!A"&amp;_xlfn.XMATCH("NT",Liste_rouge!A:A,2,1),"NT")</f>
        <v>NT</v>
      </c>
      <c r="X22802" s="5" t="s">
        <v>374</v>
      </c>
      <c r="AB22802" s="4" t="s">
        <v>93</v>
      </c>
      <c r="AH22802" s="4" t="str">
        <f>HYPERLINK("#Statut_biogéographique!A"&amp;_xlfn.XMATCH("P",Statut_biogéographique!A:A,2,1),"P")</f>
        <v>P</v>
      </c>
      <c r="AP22802" s="4" t="s">
        <v>376</v>
      </c>
      <c r="AR22802" s="4" t="s">
        <v>377</v>
      </c>
    </row>
    <row r="22803" spans="1:44">
      <c r="A22803" s="4" t="s">
        <v>24364</v>
      </c>
      <c r="B22803" s="4">
        <v>6026</v>
      </c>
      <c r="D22803" s="5" t="s">
        <v>29530</v>
      </c>
      <c r="E22803" s="6" t="str">
        <f>HYPERLINK("https://inpn.mnhn.fr/espece/cd_nom/6026","Hypnum andoi A.J.E.Sm., 1981")</f>
        <v>Hypnum andoi A.J.E.Sm., 1981</v>
      </c>
      <c r="P22803" s="7" t="str">
        <f>HYPERLINK("#Liste_rouge!A"&amp;_xlfn.XMATCH("LC",Liste_rouge!A:A,2,1),"LC")</f>
        <v>LC</v>
      </c>
      <c r="T22803" s="7" t="str">
        <f>HYPERLINK("#Liste_rouge!A"&amp;_xlfn.XMATCH("LC",Liste_rouge!A:A,2,1),"LC")</f>
        <v>LC</v>
      </c>
      <c r="V22803" s="7" t="str">
        <f>HYPERLINK("#Liste_rouge!A"&amp;_xlfn.XMATCH("LC",Liste_rouge!A:A,2,1),"LC")</f>
        <v>LC</v>
      </c>
      <c r="AH22803" s="4" t="str">
        <f>HYPERLINK("#Statut_biogéographique!A"&amp;_xlfn.XMATCH("P",Statut_biogéographique!A:A,2,1),"P")</f>
        <v>P</v>
      </c>
      <c r="AP22803" s="4" t="s">
        <v>376</v>
      </c>
      <c r="AR22803" s="4" t="s">
        <v>377</v>
      </c>
    </row>
    <row r="22804" spans="1:44">
      <c r="A22804" s="4" t="s">
        <v>24364</v>
      </c>
      <c r="B22804" s="4">
        <v>6033</v>
      </c>
      <c r="D22804" s="5" t="s">
        <v>29531</v>
      </c>
      <c r="E22804" s="6" t="str">
        <f>HYPERLINK("https://inpn.mnhn.fr/espece/cd_nom/6033","Hypnum cupressiforme Hedw., 1801")</f>
        <v>Hypnum cupressiforme Hedw., 1801</v>
      </c>
      <c r="P22804" s="7" t="str">
        <f>HYPERLINK("#Liste_rouge!A"&amp;_xlfn.XMATCH("LC",Liste_rouge!A:A,2,1),"LC")</f>
        <v>LC</v>
      </c>
      <c r="T22804" s="7" t="str">
        <f>HYPERLINK("#Liste_rouge!A"&amp;_xlfn.XMATCH("LC",Liste_rouge!A:A,2,1),"LC")</f>
        <v>LC</v>
      </c>
      <c r="V22804" s="7" t="str">
        <f>HYPERLINK("#Liste_rouge!A"&amp;_xlfn.XMATCH("LC",Liste_rouge!A:A,2,1),"LC")</f>
        <v>LC</v>
      </c>
      <c r="AH22804" s="4" t="str">
        <f>HYPERLINK("#Statut_biogéographique!A"&amp;_xlfn.XMATCH("P",Statut_biogéographique!A:A,2,1),"P")</f>
        <v>P</v>
      </c>
      <c r="AP22804" s="4" t="s">
        <v>376</v>
      </c>
      <c r="AR22804" s="4" t="s">
        <v>377</v>
      </c>
    </row>
    <row r="22805" spans="1:44">
      <c r="A22805" s="4" t="s">
        <v>24364</v>
      </c>
      <c r="B22805" s="4">
        <v>6038</v>
      </c>
      <c r="D22805" s="5" t="s">
        <v>29532</v>
      </c>
      <c r="E22805" s="6" t="str">
        <f>HYPERLINK("https://inpn.mnhn.fr/espece/cd_nom/6038","Hypnum resupinatum Taylor, 1849")</f>
        <v>Hypnum resupinatum Taylor, 1849</v>
      </c>
      <c r="T22805" s="7" t="str">
        <f>HYPERLINK("#Liste_rouge!A"&amp;_xlfn.XMATCH("DD",Liste_rouge!A:A,2,1),"DD")</f>
        <v>DD</v>
      </c>
      <c r="AH22805" s="4" t="str">
        <f>HYPERLINK("#Statut_biogéographique!A"&amp;_xlfn.XMATCH("P",Statut_biogéographique!A:A,2,1),"P")</f>
        <v>P</v>
      </c>
      <c r="AP22805" s="4" t="s">
        <v>376</v>
      </c>
      <c r="AR22805" s="4" t="s">
        <v>377</v>
      </c>
    </row>
    <row r="22806" spans="1:44" ht="30">
      <c r="A22806" s="4" t="s">
        <v>24364</v>
      </c>
      <c r="B22806" s="4">
        <v>6046</v>
      </c>
      <c r="D22806" s="5" t="s">
        <v>29533</v>
      </c>
      <c r="E22806" s="6" t="str">
        <f>HYPERLINK("https://inpn.mnhn.fr/espece/cd_nom/6046","Hypnum cupressiforme var. filiforme Brid., 1801")</f>
        <v>Hypnum cupressiforme var. filiforme Brid., 1801</v>
      </c>
      <c r="T22806" s="7" t="str">
        <f>HYPERLINK("#Liste_rouge!A"&amp;_xlfn.XMATCH("LC",Liste_rouge!A:A,2,1),"LC")</f>
        <v>LC</v>
      </c>
      <c r="V22806" s="7" t="str">
        <f>HYPERLINK("#Liste_rouge!A"&amp;_xlfn.XMATCH("NE",Liste_rouge!A:A,2,1),"NE")</f>
        <v>NE</v>
      </c>
      <c r="AH22806" s="4" t="str">
        <f>HYPERLINK("#Statut_biogéographique!A"&amp;_xlfn.XMATCH("P",Statut_biogéographique!A:A,2,1),"P")</f>
        <v>P</v>
      </c>
      <c r="AP22806" s="4" t="s">
        <v>376</v>
      </c>
      <c r="AR22806" s="4" t="s">
        <v>377</v>
      </c>
    </row>
    <row r="22807" spans="1:44" ht="30">
      <c r="A22807" s="4" t="s">
        <v>24364</v>
      </c>
      <c r="B22807" s="4">
        <v>6058</v>
      </c>
      <c r="D22807" s="5" t="s">
        <v>29534</v>
      </c>
      <c r="E22807" s="6" t="str">
        <f>HYPERLINK("https://inpn.mnhn.fr/espece/cd_nom/6058","Hypnum jutlandicum Holmen &amp; E.Warncke, 1969")</f>
        <v>Hypnum jutlandicum Holmen &amp; E.Warncke, 1969</v>
      </c>
      <c r="P22807" s="7" t="str">
        <f>HYPERLINK("#Liste_rouge!A"&amp;_xlfn.XMATCH("LC",Liste_rouge!A:A,2,1),"LC")</f>
        <v>LC</v>
      </c>
      <c r="T22807" s="7" t="str">
        <f>HYPERLINK("#Liste_rouge!A"&amp;_xlfn.XMATCH("LC",Liste_rouge!A:A,2,1),"LC")</f>
        <v>LC</v>
      </c>
      <c r="V22807" s="7" t="str">
        <f>HYPERLINK("#Liste_rouge!A"&amp;_xlfn.XMATCH("LC",Liste_rouge!A:A,2,1),"LC")</f>
        <v>LC</v>
      </c>
      <c r="AH22807" s="4" t="str">
        <f>HYPERLINK("#Statut_biogéographique!A"&amp;_xlfn.XMATCH("P",Statut_biogéographique!A:A,2,1),"P")</f>
        <v>P</v>
      </c>
      <c r="AP22807" s="4" t="s">
        <v>376</v>
      </c>
      <c r="AR22807" s="4" t="s">
        <v>377</v>
      </c>
    </row>
    <row r="22808" spans="1:44">
      <c r="A22808" s="4" t="s">
        <v>24364</v>
      </c>
      <c r="B22808" s="4">
        <v>608142</v>
      </c>
      <c r="D22808" s="5" t="s">
        <v>29535</v>
      </c>
      <c r="E22808" s="6" t="str">
        <f>HYPERLINK("https://inpn.mnhn.fr/espece/cd_nom/608142","Alchemilla strigosula Buser, 1893")</f>
        <v>Alchemilla strigosula Buser, 1893</v>
      </c>
      <c r="F22808" s="5" t="s">
        <v>29536</v>
      </c>
      <c r="Q22808" s="7" t="str">
        <f>HYPERLINK("#Liste_rouge!A"&amp;_xlfn.XMATCH("LC",Liste_rouge!A:A,2,1),"LC")</f>
        <v>LC</v>
      </c>
      <c r="V22808" s="7" t="str">
        <f>HYPERLINK("#Liste_rouge!A"&amp;_xlfn.XMATCH("DD",Liste_rouge!A:A,2,1),"DD")</f>
        <v>DD</v>
      </c>
      <c r="X22808" s="5" t="s">
        <v>374</v>
      </c>
      <c r="AB22808" s="4" t="s">
        <v>93</v>
      </c>
      <c r="AH22808" s="4" t="str">
        <f>HYPERLINK("#Statut_biogéographique!A"&amp;_xlfn.XMATCH("P",Statut_biogéographique!A:A,2,1),"P")</f>
        <v>P</v>
      </c>
      <c r="AM22808" s="4" t="s">
        <v>375</v>
      </c>
      <c r="AN22808" s="4" t="s">
        <v>375</v>
      </c>
      <c r="AO22808" s="4" t="s">
        <v>375</v>
      </c>
      <c r="AP22808" s="4" t="s">
        <v>376</v>
      </c>
      <c r="AR22808" s="4" t="s">
        <v>377</v>
      </c>
    </row>
    <row r="22809" spans="1:44" ht="30">
      <c r="A22809" s="4" t="s">
        <v>24364</v>
      </c>
      <c r="B22809" s="4">
        <v>608631</v>
      </c>
      <c r="D22809" s="5" t="s">
        <v>29537</v>
      </c>
      <c r="E22809" s="6" t="str">
        <f>HYPERLINK("https://inpn.mnhn.fr/espece/cd_nom/608631","Thujopsis dolabrata (L.f.) Siebold &amp; Zucc., 1846")</f>
        <v>Thujopsis dolabrata (L.f.) Siebold &amp; Zucc., 1846</v>
      </c>
      <c r="F22809" s="5" t="s">
        <v>29538</v>
      </c>
      <c r="O22809" s="7" t="str">
        <f>HYPERLINK("#Liste_rouge!A"&amp;_xlfn.XMATCH("LC",Liste_rouge!A:A,2,1),"LC")</f>
        <v>LC</v>
      </c>
      <c r="AH22809" s="4" t="str">
        <f>HYPERLINK("#Statut_biogéographique!A"&amp;_xlfn.XMATCH("M",Statut_biogéographique!A:A,2,1),"M")</f>
        <v>M</v>
      </c>
      <c r="AP22809" s="4" t="s">
        <v>376</v>
      </c>
      <c r="AR22809" s="4" t="s">
        <v>377</v>
      </c>
    </row>
    <row r="22810" spans="1:44" ht="30">
      <c r="A22810" s="4" t="s">
        <v>24364</v>
      </c>
      <c r="B22810" s="4">
        <v>608746</v>
      </c>
      <c r="D22810" s="5" t="s">
        <v>29539</v>
      </c>
      <c r="E22810" s="6" t="str">
        <f>HYPERLINK("https://inpn.mnhn.fr/espece/cd_nom/608746","Phalaris coerulescens Desf., 1798")</f>
        <v>Phalaris coerulescens Desf., 1798</v>
      </c>
      <c r="F22810" s="5" t="s">
        <v>29540</v>
      </c>
      <c r="Q22810" s="7" t="str">
        <f>HYPERLINK("#Liste_rouge!A"&amp;_xlfn.XMATCH("LC",Liste_rouge!A:A,2,1),"LC")</f>
        <v>LC</v>
      </c>
      <c r="T22810" s="7" t="str">
        <f>HYPERLINK("#Liste_rouge!A"&amp;_xlfn.XMATCH("NA",Liste_rouge!A:A,2,1),"NA")</f>
        <v>NA</v>
      </c>
      <c r="AH22810" s="4" t="str">
        <f>HYPERLINK("#Statut_biogéographique!A"&amp;_xlfn.XMATCH("P",Statut_biogéographique!A:A,2,1),"P")</f>
        <v>P</v>
      </c>
      <c r="AP22810" s="4" t="s">
        <v>376</v>
      </c>
      <c r="AR22810" s="4" t="s">
        <v>377</v>
      </c>
    </row>
    <row r="22811" spans="1:44" ht="30">
      <c r="A22811" s="4" t="s">
        <v>24364</v>
      </c>
      <c r="B22811" s="4">
        <v>608824</v>
      </c>
      <c r="D22811" s="5" t="s">
        <v>29541</v>
      </c>
      <c r="E22811" s="6" t="str">
        <f>HYPERLINK("https://inpn.mnhn.fr/espece/cd_nom/608824","Arabis serpillifolia Vill., 1779")</f>
        <v>Arabis serpillifolia Vill., 1779</v>
      </c>
      <c r="F22811" s="5" t="s">
        <v>29542</v>
      </c>
      <c r="Q22811" s="7" t="str">
        <f>HYPERLINK("#Liste_rouge!A"&amp;_xlfn.XMATCH("LC",Liste_rouge!A:A,2,1),"LC")</f>
        <v>LC</v>
      </c>
      <c r="V22811" s="7" t="str">
        <f>HYPERLINK("#Liste_rouge!A"&amp;_xlfn.XMATCH("CR",Liste_rouge!A:A,2,1),"CR")</f>
        <v>CR</v>
      </c>
      <c r="W22811" s="4" t="str">
        <f>HYPERLINK("#Critères_liste_rouge!A$1","D")</f>
        <v>D</v>
      </c>
      <c r="X22811" s="5" t="s">
        <v>374</v>
      </c>
      <c r="AB22811" s="4" t="s">
        <v>93</v>
      </c>
      <c r="AH22811" s="4" t="str">
        <f>HYPERLINK("#Statut_biogéographique!A"&amp;_xlfn.XMATCH("P",Statut_biogéographique!A:A,2,1),"P")</f>
        <v>P</v>
      </c>
      <c r="AM22811" s="4" t="s">
        <v>375</v>
      </c>
      <c r="AN22811" s="4" t="s">
        <v>375</v>
      </c>
      <c r="AO22811" s="4" t="s">
        <v>375</v>
      </c>
      <c r="AP22811" s="4" t="s">
        <v>376</v>
      </c>
      <c r="AR22811" s="4" t="s">
        <v>377</v>
      </c>
    </row>
    <row r="22812" spans="1:44" ht="30">
      <c r="A22812" s="4" t="s">
        <v>24364</v>
      </c>
      <c r="B22812" s="4">
        <v>6091</v>
      </c>
      <c r="D22812" s="5" t="s">
        <v>29543</v>
      </c>
      <c r="E22812" s="6" t="str">
        <f>HYPERLINK("https://inpn.mnhn.fr/espece/cd_nom/6091","Orthothecium intricatum (Hartm.) Schimp., 1851")</f>
        <v>Orthothecium intricatum (Hartm.) Schimp., 1851</v>
      </c>
      <c r="P22812" s="7" t="str">
        <f>HYPERLINK("#Liste_rouge!A"&amp;_xlfn.XMATCH("LC",Liste_rouge!A:A,2,1),"LC")</f>
        <v>LC</v>
      </c>
      <c r="T22812" s="7" t="str">
        <f>HYPERLINK("#Liste_rouge!A"&amp;_xlfn.XMATCH("LC",Liste_rouge!A:A,2,1),"LC")</f>
        <v>LC</v>
      </c>
      <c r="V22812" s="7" t="str">
        <f>HYPERLINK("#Liste_rouge!A"&amp;_xlfn.XMATCH("LC",Liste_rouge!A:A,2,1),"LC")</f>
        <v>LC</v>
      </c>
      <c r="AB22812" s="4" t="s">
        <v>24719</v>
      </c>
      <c r="AH22812" s="4" t="str">
        <f>HYPERLINK("#Statut_biogéographique!A"&amp;_xlfn.XMATCH("P",Statut_biogéographique!A:A,2,1),"P")</f>
        <v>P</v>
      </c>
      <c r="AP22812" s="4" t="s">
        <v>376</v>
      </c>
      <c r="AR22812" s="4" t="s">
        <v>377</v>
      </c>
    </row>
    <row r="22813" spans="1:44" ht="45">
      <c r="A22813" s="4" t="s">
        <v>24364</v>
      </c>
      <c r="B22813" s="4">
        <v>609224</v>
      </c>
      <c r="D22813" s="5" t="s">
        <v>29544</v>
      </c>
      <c r="E22813" s="6" t="str">
        <f>HYPERLINK("https://inpn.mnhn.fr/espece/cd_nom/609224","Gasparrinia peucedanoides (M.Bieb.) Thell., 1926")</f>
        <v>Gasparrinia peucedanoides (M.Bieb.) Thell., 1926</v>
      </c>
      <c r="F22813" s="5" t="s">
        <v>29545</v>
      </c>
      <c r="M22813" s="4" t="str">
        <f>HYPERLINK("#Réglementation!A"&amp;_xlfn.XMATCH("RV26",Réglementation!A:A,2,1),"RV26")</f>
        <v>RV26</v>
      </c>
      <c r="Q22813" s="7" t="str">
        <f>HYPERLINK("#Liste_rouge!A"&amp;_xlfn.XMATCH("LC",Liste_rouge!A:A,2,1),"LC")</f>
        <v>LC</v>
      </c>
      <c r="T22813" s="7" t="str">
        <f>HYPERLINK("#Liste_rouge!A"&amp;_xlfn.XMATCH("EN",Liste_rouge!A:A,2,1),"EN")</f>
        <v>EN</v>
      </c>
      <c r="U22813" s="4" t="str">
        <f>HYPERLINK("#Critères_liste_rouge!A$1","A2ac")</f>
        <v>A2ac</v>
      </c>
      <c r="X22813" s="5" t="s">
        <v>374</v>
      </c>
      <c r="AB22813" s="4" t="s">
        <v>93</v>
      </c>
      <c r="AH22813" s="4" t="str">
        <f>HYPERLINK("#Statut_biogéographique!A"&amp;_xlfn.XMATCH("P",Statut_biogéographique!A:A,2,1),"P")</f>
        <v>P</v>
      </c>
      <c r="AM22813" s="4" t="s">
        <v>375</v>
      </c>
      <c r="AN22813" s="4" t="s">
        <v>375</v>
      </c>
      <c r="AO22813" s="4" t="s">
        <v>375</v>
      </c>
      <c r="AP22813" s="4" t="s">
        <v>376</v>
      </c>
      <c r="AR22813" s="4" t="s">
        <v>377</v>
      </c>
    </row>
    <row r="22814" spans="1:44" ht="30">
      <c r="A22814" s="4" t="s">
        <v>24364</v>
      </c>
      <c r="B22814" s="4">
        <v>6093</v>
      </c>
      <c r="D22814" s="5" t="s">
        <v>29546</v>
      </c>
      <c r="E22814" s="6" t="str">
        <f>HYPERLINK("https://inpn.mnhn.fr/espece/cd_nom/6093","Orthothecium rufescens (Dicks. ex Brid.) Schimp., 1851")</f>
        <v>Orthothecium rufescens (Dicks. ex Brid.) Schimp., 1851</v>
      </c>
      <c r="P22814" s="7" t="str">
        <f>HYPERLINK("#Liste_rouge!A"&amp;_xlfn.XMATCH("LC",Liste_rouge!A:A,2,1),"LC")</f>
        <v>LC</v>
      </c>
      <c r="T22814" s="7" t="str">
        <f>HYPERLINK("#Liste_rouge!A"&amp;_xlfn.XMATCH("EN",Liste_rouge!A:A,2,1),"EN")</f>
        <v>EN</v>
      </c>
      <c r="V22814" s="7" t="str">
        <f>HYPERLINK("#Liste_rouge!A"&amp;_xlfn.XMATCH("LC",Liste_rouge!A:A,2,1),"LC")</f>
        <v>LC</v>
      </c>
      <c r="AB22814" s="4" t="s">
        <v>24634</v>
      </c>
      <c r="AH22814" s="4" t="str">
        <f>HYPERLINK("#Statut_biogéographique!A"&amp;_xlfn.XMATCH("P",Statut_biogéographique!A:A,2,1),"P")</f>
        <v>P</v>
      </c>
      <c r="AP22814" s="4" t="s">
        <v>376</v>
      </c>
      <c r="AR22814" s="4" t="s">
        <v>377</v>
      </c>
    </row>
    <row r="22815" spans="1:44" ht="30">
      <c r="A22815" s="4" t="s">
        <v>24364</v>
      </c>
      <c r="B22815" s="4">
        <v>6096</v>
      </c>
      <c r="D22815" s="5" t="s">
        <v>29547</v>
      </c>
      <c r="E22815" s="6" t="str">
        <f>HYPERLINK("https://inpn.mnhn.fr/espece/cd_nom/6096","Palustriella commutata (Hedw.) Ochyra, 1989")</f>
        <v>Palustriella commutata (Hedw.) Ochyra, 1989</v>
      </c>
      <c r="P22815" s="7" t="str">
        <f>HYPERLINK("#Liste_rouge!A"&amp;_xlfn.XMATCH("LC",Liste_rouge!A:A,2,1),"LC")</f>
        <v>LC</v>
      </c>
      <c r="T22815" s="7" t="str">
        <f>HYPERLINK("#Liste_rouge!A"&amp;_xlfn.XMATCH("LC",Liste_rouge!A:A,2,1),"LC")</f>
        <v>LC</v>
      </c>
      <c r="V22815" s="7" t="str">
        <f>HYPERLINK("#Liste_rouge!A"&amp;_xlfn.XMATCH("LC",Liste_rouge!A:A,2,1),"LC")</f>
        <v>LC</v>
      </c>
      <c r="AB22815" s="4" t="s">
        <v>24410</v>
      </c>
      <c r="AH22815" s="4" t="str">
        <f>HYPERLINK("#Statut_biogéographique!A"&amp;_xlfn.XMATCH("P",Statut_biogéographique!A:A,2,1),"P")</f>
        <v>P</v>
      </c>
      <c r="AP22815" s="4" t="s">
        <v>376</v>
      </c>
      <c r="AR22815" s="4" t="s">
        <v>377</v>
      </c>
    </row>
    <row r="22816" spans="1:44">
      <c r="A22816" s="4" t="s">
        <v>24364</v>
      </c>
      <c r="B22816" s="4">
        <v>6097</v>
      </c>
      <c r="D22816" s="5" t="s">
        <v>29548</v>
      </c>
      <c r="E22816" s="6" t="str">
        <f>HYPERLINK("https://inpn.mnhn.fr/espece/cd_nom/6097","Palustriella decipiens (De Not.) Ochyra, 1989")</f>
        <v>Palustriella decipiens (De Not.) Ochyra, 1989</v>
      </c>
      <c r="P22816" s="7" t="str">
        <f>HYPERLINK("#Liste_rouge!A"&amp;_xlfn.XMATCH("LC",Liste_rouge!A:A,2,1),"LC")</f>
        <v>LC</v>
      </c>
      <c r="V22816" s="7" t="str">
        <f>HYPERLINK("#Liste_rouge!A"&amp;_xlfn.XMATCH("VU",Liste_rouge!A:A,2,1),"VU")</f>
        <v>VU</v>
      </c>
      <c r="X22816" s="5" t="s">
        <v>374</v>
      </c>
      <c r="AB22816" s="4" t="s">
        <v>93</v>
      </c>
      <c r="AH22816" s="4" t="str">
        <f>HYPERLINK("#Statut_biogéographique!A"&amp;_xlfn.XMATCH("P",Statut_biogéographique!A:A,2,1),"P")</f>
        <v>P</v>
      </c>
      <c r="AP22816" s="4" t="s">
        <v>376</v>
      </c>
      <c r="AR22816" s="4" t="s">
        <v>377</v>
      </c>
    </row>
    <row r="22817" spans="1:44">
      <c r="A22817" s="4" t="s">
        <v>24364</v>
      </c>
      <c r="B22817" s="4">
        <v>6099</v>
      </c>
      <c r="D22817" s="5" t="s">
        <v>29549</v>
      </c>
      <c r="E22817" s="6" t="str">
        <f>HYPERLINK("https://inpn.mnhn.fr/espece/cd_nom/6099","Platygyrium repens (Brid.) Schimp., 1851")</f>
        <v>Platygyrium repens (Brid.) Schimp., 1851</v>
      </c>
      <c r="P22817" s="7" t="str">
        <f>HYPERLINK("#Liste_rouge!A"&amp;_xlfn.XMATCH("LC",Liste_rouge!A:A,2,1),"LC")</f>
        <v>LC</v>
      </c>
      <c r="T22817" s="7" t="str">
        <f>HYPERLINK("#Liste_rouge!A"&amp;_xlfn.XMATCH("LC",Liste_rouge!A:A,2,1),"LC")</f>
        <v>LC</v>
      </c>
      <c r="V22817" s="7" t="str">
        <f>HYPERLINK("#Liste_rouge!A"&amp;_xlfn.XMATCH("LC",Liste_rouge!A:A,2,1),"LC")</f>
        <v>LC</v>
      </c>
      <c r="AH22817" s="4" t="str">
        <f>HYPERLINK("#Statut_biogéographique!A"&amp;_xlfn.XMATCH("P",Statut_biogéographique!A:A,2,1),"P")</f>
        <v>P</v>
      </c>
      <c r="AP22817" s="4" t="s">
        <v>376</v>
      </c>
      <c r="AR22817" s="4" t="s">
        <v>377</v>
      </c>
    </row>
    <row r="22818" spans="1:44" ht="30">
      <c r="A22818" s="4" t="s">
        <v>24364</v>
      </c>
      <c r="B22818" s="4">
        <v>609982</v>
      </c>
      <c r="D22818" s="5" t="s">
        <v>29550</v>
      </c>
      <c r="E22818" s="6" t="str">
        <f>HYPERLINK("https://inpn.mnhn.fr/espece/cd_nom/609982","Euonymus europaeus L., 1753")</f>
        <v>Euonymus europaeus L., 1753</v>
      </c>
      <c r="F22818" s="5" t="s">
        <v>29551</v>
      </c>
      <c r="P22818" s="7" t="str">
        <f>HYPERLINK("#Liste_rouge!A"&amp;_xlfn.XMATCH("LC",Liste_rouge!A:A,2,1),"LC")</f>
        <v>LC</v>
      </c>
      <c r="Q22818" s="7" t="str">
        <f>HYPERLINK("#Liste_rouge!A"&amp;_xlfn.XMATCH("LC",Liste_rouge!A:A,2,1),"LC")</f>
        <v>LC</v>
      </c>
      <c r="T22818" s="7" t="str">
        <f>HYPERLINK("#Liste_rouge!A"&amp;_xlfn.XMATCH("LC",Liste_rouge!A:A,2,1),"LC")</f>
        <v>LC</v>
      </c>
      <c r="V22818" s="7" t="str">
        <f>HYPERLINK("#Liste_rouge!A"&amp;_xlfn.XMATCH("LC",Liste_rouge!A:A,2,1),"LC")</f>
        <v>LC</v>
      </c>
      <c r="AH22818" s="4" t="str">
        <f>HYPERLINK("#Statut_biogéographique!A"&amp;_xlfn.XMATCH("P",Statut_biogéographique!A:A,2,1),"P")</f>
        <v>P</v>
      </c>
      <c r="AM22818" s="4" t="s">
        <v>375</v>
      </c>
      <c r="AN22818" s="4" t="s">
        <v>375</v>
      </c>
      <c r="AO22818" s="4" t="s">
        <v>375</v>
      </c>
      <c r="AP22818" s="4" t="s">
        <v>376</v>
      </c>
      <c r="AR22818" s="4" t="s">
        <v>377</v>
      </c>
    </row>
    <row r="22819" spans="1:44">
      <c r="A22819" s="4" t="s">
        <v>24364</v>
      </c>
      <c r="B22819" s="4">
        <v>609983</v>
      </c>
      <c r="D22819" s="5" t="s">
        <v>29552</v>
      </c>
      <c r="E22819" s="6" t="str">
        <f>HYPERLINK("https://inpn.mnhn.fr/espece/cd_nom/609983","Euonymus latifolius (L.) Mill., 1768")</f>
        <v>Euonymus latifolius (L.) Mill., 1768</v>
      </c>
      <c r="F22819" s="5" t="s">
        <v>29553</v>
      </c>
      <c r="O22819" s="7" t="str">
        <f>HYPERLINK("#Liste_rouge!A"&amp;_xlfn.XMATCH("LC",Liste_rouge!A:A,2,1),"LC")</f>
        <v>LC</v>
      </c>
      <c r="P22819" s="7" t="str">
        <f>HYPERLINK("#Liste_rouge!A"&amp;_xlfn.XMATCH("LC",Liste_rouge!A:A,2,1),"LC")</f>
        <v>LC</v>
      </c>
      <c r="Q22819" s="7" t="str">
        <f>HYPERLINK("#Liste_rouge!A"&amp;_xlfn.XMATCH("LC",Liste_rouge!A:A,2,1),"LC")</f>
        <v>LC</v>
      </c>
      <c r="T22819" s="7" t="str">
        <f>HYPERLINK("#Liste_rouge!A"&amp;_xlfn.XMATCH("NA",Liste_rouge!A:A,2,1),"NA")</f>
        <v>NA</v>
      </c>
      <c r="AH22819" s="4" t="str">
        <f>HYPERLINK("#Statut_biogéographique!A"&amp;_xlfn.XMATCH("P",Statut_biogéographique!A:A,2,1),"P")</f>
        <v>P</v>
      </c>
      <c r="AP22819" s="4" t="s">
        <v>376</v>
      </c>
      <c r="AR22819" s="4" t="s">
        <v>377</v>
      </c>
    </row>
    <row r="22820" spans="1:44" ht="30">
      <c r="A22820" s="4" t="s">
        <v>24364</v>
      </c>
      <c r="B22820" s="4">
        <v>6101</v>
      </c>
      <c r="D22820" s="5" t="s">
        <v>29554</v>
      </c>
      <c r="E22820" s="6" t="str">
        <f>HYPERLINK("https://inpn.mnhn.fr/espece/cd_nom/6101","Pleurozium schreberi (Willd. ex Brid.) Mitt., 1869")</f>
        <v>Pleurozium schreberi (Willd. ex Brid.) Mitt., 1869</v>
      </c>
      <c r="P22820" s="7" t="str">
        <f>HYPERLINK("#Liste_rouge!A"&amp;_xlfn.XMATCH("LC",Liste_rouge!A:A,2,1),"LC")</f>
        <v>LC</v>
      </c>
      <c r="T22820" s="7" t="str">
        <f>HYPERLINK("#Liste_rouge!A"&amp;_xlfn.XMATCH("LC",Liste_rouge!A:A,2,1),"LC")</f>
        <v>LC</v>
      </c>
      <c r="V22820" s="7" t="str">
        <f>HYPERLINK("#Liste_rouge!A"&amp;_xlfn.XMATCH("LC",Liste_rouge!A:A,2,1),"LC")</f>
        <v>LC</v>
      </c>
      <c r="AH22820" s="4" t="str">
        <f>HYPERLINK("#Statut_biogéographique!A"&amp;_xlfn.XMATCH("P",Statut_biogéographique!A:A,2,1),"P")</f>
        <v>P</v>
      </c>
      <c r="AP22820" s="4" t="s">
        <v>376</v>
      </c>
      <c r="AR22820" s="4" t="s">
        <v>377</v>
      </c>
    </row>
    <row r="22821" spans="1:44" ht="30">
      <c r="A22821" s="4" t="s">
        <v>24364</v>
      </c>
      <c r="B22821" s="4">
        <v>6105</v>
      </c>
      <c r="D22821" s="5" t="s">
        <v>29555</v>
      </c>
      <c r="E22821" s="6" t="str">
        <f>HYPERLINK("https://inpn.mnhn.fr/espece/cd_nom/6105","Ptilium crista-castrensis (Hedw.) De Not., 1867")</f>
        <v>Ptilium crista-castrensis (Hedw.) De Not., 1867</v>
      </c>
      <c r="P22821" s="7" t="str">
        <f>HYPERLINK("#Liste_rouge!A"&amp;_xlfn.XMATCH("LC",Liste_rouge!A:A,2,1),"LC")</f>
        <v>LC</v>
      </c>
      <c r="T22821" s="7" t="str">
        <f>HYPERLINK("#Liste_rouge!A"&amp;_xlfn.XMATCH("CR",Liste_rouge!A:A,2,1),"CR")</f>
        <v>CR</v>
      </c>
      <c r="V22821" s="7" t="str">
        <f>HYPERLINK("#Liste_rouge!A"&amp;_xlfn.XMATCH("LC",Liste_rouge!A:A,2,1),"LC")</f>
        <v>LC</v>
      </c>
      <c r="AB22821" s="4" t="s">
        <v>29273</v>
      </c>
      <c r="AH22821" s="4" t="str">
        <f>HYPERLINK("#Statut_biogéographique!A"&amp;_xlfn.XMATCH("P",Statut_biogéographique!A:A,2,1),"P")</f>
        <v>P</v>
      </c>
      <c r="AP22821" s="4" t="s">
        <v>376</v>
      </c>
      <c r="AR22821" s="4" t="s">
        <v>377</v>
      </c>
    </row>
    <row r="22822" spans="1:44" ht="150">
      <c r="A22822" s="4" t="s">
        <v>24364</v>
      </c>
      <c r="B22822" s="4">
        <v>610580</v>
      </c>
      <c r="D22822" s="5" t="s">
        <v>29556</v>
      </c>
      <c r="E22822" s="6" t="str">
        <f>HYPERLINK("https://inpn.mnhn.fr/espece/cd_nom/610580","Libanotis pyrenaica (L.) O.Schwarz, 1949")</f>
        <v>Libanotis pyrenaica (L.) O.Schwarz, 1949</v>
      </c>
      <c r="F22822" s="5" t="s">
        <v>29557</v>
      </c>
      <c r="Q22822" s="7" t="str">
        <f>HYPERLINK("#Liste_rouge!A"&amp;_xlfn.XMATCH("LC",Liste_rouge!A:A,2,1),"LC")</f>
        <v>LC</v>
      </c>
      <c r="T22822" s="7" t="str">
        <f>HYPERLINK("#Liste_rouge!A"&amp;_xlfn.XMATCH("LC",Liste_rouge!A:A,2,1),"LC")</f>
        <v>LC</v>
      </c>
      <c r="V22822" s="7" t="str">
        <f>HYPERLINK("#Liste_rouge!A"&amp;_xlfn.XMATCH("LC",Liste_rouge!A:A,2,1),"LC")</f>
        <v>LC</v>
      </c>
      <c r="AH22822" s="4" t="str">
        <f>HYPERLINK("#Statut_biogéographique!A"&amp;_xlfn.XMATCH("P",Statut_biogéographique!A:A,2,1),"P")</f>
        <v>P</v>
      </c>
      <c r="AM22822" s="4" t="s">
        <v>375</v>
      </c>
      <c r="AN22822" s="4" t="s">
        <v>375</v>
      </c>
      <c r="AO22822" s="4" t="s">
        <v>375</v>
      </c>
      <c r="AP22822" s="4" t="s">
        <v>376</v>
      </c>
      <c r="AR22822" s="4" t="s">
        <v>377</v>
      </c>
    </row>
    <row r="22823" spans="1:44" ht="30">
      <c r="A22823" s="4" t="s">
        <v>24364</v>
      </c>
      <c r="B22823" s="4">
        <v>610602</v>
      </c>
      <c r="D22823" s="5">
        <v>610602</v>
      </c>
      <c r="E22823" s="6" t="str">
        <f>HYPERLINK("https://inpn.mnhn.fr/espece/cd_nom/610602","Lysichiton americanus Hultén &amp; H.St.John, 1931")</f>
        <v>Lysichiton americanus Hultén &amp; H.St.John, 1931</v>
      </c>
      <c r="F22823" s="5" t="s">
        <v>29558</v>
      </c>
      <c r="Q22823" s="7" t="str">
        <f>HYPERLINK("#Liste_rouge!A"&amp;_xlfn.XMATCH("NA",Liste_rouge!A:A,2,1),"NA")</f>
        <v>NA</v>
      </c>
      <c r="AH22823" s="4" t="str">
        <f>HYPERLINK("#Statut_biogéographique!A"&amp;_xlfn.XMATCH("J",Statut_biogéographique!A:A,2,1),"J")</f>
        <v>J</v>
      </c>
      <c r="AL22823" s="5" t="str">
        <f>HYPERLINK("#Réglementation!A"&amp;_xlfn.XMATCH("FRnoEEEV",Réglementation!A:A,2,1),"FRnoEEEV - EEEUE")</f>
        <v>FRnoEEEV - EEEUE</v>
      </c>
      <c r="AP22823" s="4" t="s">
        <v>376</v>
      </c>
      <c r="AR22823" s="4" t="s">
        <v>377</v>
      </c>
    </row>
    <row r="22824" spans="1:44" ht="30">
      <c r="A22824" s="4" t="s">
        <v>24364</v>
      </c>
      <c r="B22824" s="4">
        <v>610643</v>
      </c>
      <c r="D22824" s="5" t="s">
        <v>29559</v>
      </c>
      <c r="E22824" s="6" t="str">
        <f>HYPERLINK("https://inpn.mnhn.fr/espece/cd_nom/610643","Jacobaea maritima (L.) Pelser &amp; Meijden, 2005")</f>
        <v>Jacobaea maritima (L.) Pelser &amp; Meijden, 2005</v>
      </c>
      <c r="F22824" s="5" t="s">
        <v>29560</v>
      </c>
      <c r="Q22824" s="7" t="str">
        <f>HYPERLINK("#Liste_rouge!A"&amp;_xlfn.XMATCH("LC",Liste_rouge!A:A,2,1),"LC")</f>
        <v>LC</v>
      </c>
      <c r="T22824" s="7" t="str">
        <f>HYPERLINK("#Liste_rouge!A"&amp;_xlfn.XMATCH("NA",Liste_rouge!A:A,2,1),"NA")</f>
        <v>NA</v>
      </c>
      <c r="AH22824" s="4" t="str">
        <f>HYPERLINK("#Statut_biogéographique!A"&amp;_xlfn.XMATCH("P",Statut_biogéographique!A:A,2,1),"P")</f>
        <v>P</v>
      </c>
      <c r="AP22824" s="4" t="s">
        <v>376</v>
      </c>
      <c r="AR22824" s="4" t="s">
        <v>377</v>
      </c>
    </row>
    <row r="22825" spans="1:44" ht="45">
      <c r="A22825" s="4" t="s">
        <v>24364</v>
      </c>
      <c r="B22825" s="4">
        <v>610644</v>
      </c>
      <c r="D22825" s="5" t="s">
        <v>29561</v>
      </c>
      <c r="E22825" s="6" t="str">
        <f>HYPERLINK("https://inpn.mnhn.fr/espece/cd_nom/610644","Jacobaea erratica (Bertol.) Fourr., 1868")</f>
        <v>Jacobaea erratica (Bertol.) Fourr., 1868</v>
      </c>
      <c r="F22825" s="5" t="s">
        <v>29562</v>
      </c>
      <c r="Q22825" s="7" t="str">
        <f>HYPERLINK("#Liste_rouge!A"&amp;_xlfn.XMATCH("LC",Liste_rouge!A:A,2,1),"LC")</f>
        <v>LC</v>
      </c>
      <c r="T22825" s="7" t="str">
        <f>HYPERLINK("#Liste_rouge!A"&amp;_xlfn.XMATCH("NT",Liste_rouge!A:A,2,1),"NT")</f>
        <v>NT</v>
      </c>
      <c r="U22825" s="4" t="str">
        <f>HYPERLINK("#Critères_liste_rouge!A$1","pr. B2a")</f>
        <v>pr. B2a</v>
      </c>
      <c r="V22825" s="7" t="str">
        <f>HYPERLINK("#Liste_rouge!A"&amp;_xlfn.XMATCH("LC",Liste_rouge!A:A,2,1),"LC")</f>
        <v>LC</v>
      </c>
      <c r="AB22825" s="4" t="s">
        <v>29563</v>
      </c>
      <c r="AH22825" s="4" t="str">
        <f>HYPERLINK("#Statut_biogéographique!A"&amp;_xlfn.XMATCH("P",Statut_biogéographique!A:A,2,1),"P")</f>
        <v>P</v>
      </c>
      <c r="AM22825" s="4" t="s">
        <v>375</v>
      </c>
      <c r="AN22825" s="4" t="s">
        <v>375</v>
      </c>
      <c r="AO22825" s="4" t="s">
        <v>375</v>
      </c>
      <c r="AP22825" s="4" t="s">
        <v>376</v>
      </c>
      <c r="AR22825" s="4" t="s">
        <v>377</v>
      </c>
    </row>
    <row r="22826" spans="1:44" ht="60">
      <c r="A22826" s="4" t="s">
        <v>24364</v>
      </c>
      <c r="B22826" s="4">
        <v>610646</v>
      </c>
      <c r="D22826" s="5" t="s">
        <v>29564</v>
      </c>
      <c r="E22826" s="6" t="str">
        <f>HYPERLINK("https://inpn.mnhn.fr/espece/cd_nom/610646","Jacobaea vulgaris Gaertn., 1791")</f>
        <v>Jacobaea vulgaris Gaertn., 1791</v>
      </c>
      <c r="F22826" s="5" t="s">
        <v>29565</v>
      </c>
      <c r="Q22826" s="7" t="str">
        <f>HYPERLINK("#Liste_rouge!A"&amp;_xlfn.XMATCH("LC",Liste_rouge!A:A,2,1),"LC")</f>
        <v>LC</v>
      </c>
      <c r="T22826" s="7" t="str">
        <f>HYPERLINK("#Liste_rouge!A"&amp;_xlfn.XMATCH("LC",Liste_rouge!A:A,2,1),"LC")</f>
        <v>LC</v>
      </c>
      <c r="V22826" s="7" t="str">
        <f>HYPERLINK("#Liste_rouge!A"&amp;_xlfn.XMATCH("LC",Liste_rouge!A:A,2,1),"LC")</f>
        <v>LC</v>
      </c>
      <c r="AH22826" s="4" t="str">
        <f>HYPERLINK("#Statut_biogéographique!A"&amp;_xlfn.XMATCH("P",Statut_biogéographique!A:A,2,1),"P")</f>
        <v>P</v>
      </c>
      <c r="AM22826" s="4" t="s">
        <v>375</v>
      </c>
      <c r="AN22826" s="4" t="s">
        <v>375</v>
      </c>
      <c r="AO22826" s="4" t="s">
        <v>375</v>
      </c>
      <c r="AP22826" s="4" t="s">
        <v>376</v>
      </c>
      <c r="AR22826" s="4" t="s">
        <v>377</v>
      </c>
    </row>
    <row r="22827" spans="1:44" ht="30">
      <c r="A22827" s="4" t="s">
        <v>24364</v>
      </c>
      <c r="B22827" s="4">
        <v>610662</v>
      </c>
      <c r="D22827" s="5" t="s">
        <v>29566</v>
      </c>
      <c r="E22827" s="6" t="str">
        <f>HYPERLINK("https://inpn.mnhn.fr/espece/cd_nom/610662","Buglossoides incrassata (Guss.) I.M.Johnst., 1954")</f>
        <v>Buglossoides incrassata (Guss.) I.M.Johnst., 1954</v>
      </c>
      <c r="F22827" s="5" t="s">
        <v>29567</v>
      </c>
      <c r="Q22827" s="7" t="str">
        <f>HYPERLINK("#Liste_rouge!A"&amp;_xlfn.XMATCH("LC",Liste_rouge!A:A,2,1),"LC")</f>
        <v>LC</v>
      </c>
      <c r="T22827" s="7" t="str">
        <f>HYPERLINK("#Liste_rouge!A"&amp;_xlfn.XMATCH("RE",Liste_rouge!A:A,2,1),"RE")</f>
        <v>RE</v>
      </c>
      <c r="AH22827" s="4" t="str">
        <f>HYPERLINK("#Statut_biogéographique!A"&amp;_xlfn.XMATCH("P",Statut_biogéographique!A:A,2,1),"P")</f>
        <v>P</v>
      </c>
      <c r="AM22827" s="4" t="s">
        <v>375</v>
      </c>
      <c r="AN22827" s="4" t="s">
        <v>375</v>
      </c>
      <c r="AO22827" s="4" t="s">
        <v>375</v>
      </c>
      <c r="AP22827" s="4" t="s">
        <v>376</v>
      </c>
      <c r="AR22827" s="4" t="s">
        <v>377</v>
      </c>
    </row>
    <row r="22828" spans="1:44">
      <c r="A22828" s="4" t="s">
        <v>24364</v>
      </c>
      <c r="B22828" s="4">
        <v>610664</v>
      </c>
      <c r="D22828" s="5">
        <v>610664</v>
      </c>
      <c r="E22828" s="6" t="str">
        <f>HYPERLINK("https://inpn.mnhn.fr/espece/cd_nom/610664","Cabomba caroliniana A.Gray, 1848")</f>
        <v>Cabomba caroliniana A.Gray, 1848</v>
      </c>
      <c r="F22828" s="5" t="s">
        <v>29568</v>
      </c>
      <c r="Q22828" s="7" t="str">
        <f>HYPERLINK("#Liste_rouge!A"&amp;_xlfn.XMATCH("NA",Liste_rouge!A:A,2,1),"NA")</f>
        <v>NA</v>
      </c>
      <c r="T22828" s="7" t="str">
        <f>HYPERLINK("#Liste_rouge!A"&amp;_xlfn.XMATCH("NA",Liste_rouge!A:A,2,1),"NA")</f>
        <v>NA</v>
      </c>
      <c r="AH22828" s="4" t="str">
        <f>HYPERLINK("#Statut_biogéographique!A"&amp;_xlfn.XMATCH("J",Statut_biogéographique!A:A,2,1),"J")</f>
        <v>J</v>
      </c>
      <c r="AL22828" s="5" t="str">
        <f>HYPERLINK("#Réglementation!A"&amp;_xlfn.XMATCH("FRnoEEEV",Réglementation!A:A,2,1),"FRnoEEEV - EEEUE")</f>
        <v>FRnoEEEV - EEEUE</v>
      </c>
      <c r="AM22828" s="4" t="s">
        <v>375</v>
      </c>
      <c r="AN22828" s="4" t="s">
        <v>375</v>
      </c>
      <c r="AO22828" s="4" t="s">
        <v>375</v>
      </c>
      <c r="AP22828" s="4" t="s">
        <v>376</v>
      </c>
      <c r="AR22828" s="4" t="s">
        <v>377</v>
      </c>
    </row>
    <row r="22829" spans="1:44" ht="60">
      <c r="A22829" s="4" t="s">
        <v>24364</v>
      </c>
      <c r="B22829" s="4">
        <v>610681</v>
      </c>
      <c r="D22829" s="5" t="s">
        <v>29569</v>
      </c>
      <c r="E22829" s="6" t="str">
        <f>HYPERLINK("https://inpn.mnhn.fr/espece/cd_nom/610681","Laphangium luteoalbum (L.) Tzvelev, 1994")</f>
        <v>Laphangium luteoalbum (L.) Tzvelev, 1994</v>
      </c>
      <c r="F22829" s="5" t="s">
        <v>29570</v>
      </c>
      <c r="Q22829" s="7" t="str">
        <f>HYPERLINK("#Liste_rouge!A"&amp;_xlfn.XMATCH("LC",Liste_rouge!A:A,2,1),"LC")</f>
        <v>LC</v>
      </c>
      <c r="T22829" s="7" t="str">
        <f>HYPERLINK("#Liste_rouge!A"&amp;_xlfn.XMATCH("EN",Liste_rouge!A:A,2,1),"EN")</f>
        <v>EN</v>
      </c>
      <c r="U22829" s="4" t="str">
        <f>HYPERLINK("#Critères_liste_rouge!A$1","B2ab(iii,iv,v)c(iii,iv)")</f>
        <v>B2ab(iii,iv,v)c(iii,iv)</v>
      </c>
      <c r="V22829" s="7" t="str">
        <f>HYPERLINK("#Liste_rouge!A"&amp;_xlfn.XMATCH("VU",Liste_rouge!A:A,2,1),"VU")</f>
        <v>VU</v>
      </c>
      <c r="W22829" s="4" t="str">
        <f>HYPERLINK("#Critères_liste_rouge!A$1","D2")</f>
        <v>D2</v>
      </c>
      <c r="X22829" s="5" t="s">
        <v>374</v>
      </c>
      <c r="AB22829" s="4" t="s">
        <v>93</v>
      </c>
      <c r="AH22829" s="4" t="str">
        <f>HYPERLINK("#Statut_biogéographique!A"&amp;_xlfn.XMATCH("P",Statut_biogéographique!A:A,2,1),"P")</f>
        <v>P</v>
      </c>
      <c r="AM22829" s="4" t="s">
        <v>375</v>
      </c>
      <c r="AN22829" s="4" t="s">
        <v>375</v>
      </c>
      <c r="AO22829" s="4" t="s">
        <v>375</v>
      </c>
      <c r="AP22829" s="4" t="s">
        <v>376</v>
      </c>
      <c r="AR22829" s="4" t="s">
        <v>377</v>
      </c>
    </row>
    <row r="22830" spans="1:44" ht="75">
      <c r="A22830" s="4" t="s">
        <v>24364</v>
      </c>
      <c r="B22830" s="4">
        <v>610738</v>
      </c>
      <c r="D22830" s="5" t="s">
        <v>29571</v>
      </c>
      <c r="E22830" s="6" t="str">
        <f>HYPERLINK("https://inpn.mnhn.fr/espece/cd_nom/610738","Biscutella lima Rchb., 1832")</f>
        <v>Biscutella lima Rchb., 1832</v>
      </c>
      <c r="F22830" s="5" t="s">
        <v>29572</v>
      </c>
      <c r="Q22830" s="7" t="str">
        <f>HYPERLINK("#Liste_rouge!A"&amp;_xlfn.XMATCH("LC",Liste_rouge!A:A,2,1),"LC")</f>
        <v>LC</v>
      </c>
      <c r="T22830" s="7" t="str">
        <f>HYPERLINK("#Liste_rouge!A"&amp;_xlfn.XMATCH("NA",Liste_rouge!A:A,2,1),"NA")</f>
        <v>NA</v>
      </c>
      <c r="AH22830" s="4" t="str">
        <f>HYPERLINK("#Statut_biogéographique!A"&amp;_xlfn.XMATCH("P",Statut_biogéographique!A:A,2,1),"P")</f>
        <v>P</v>
      </c>
      <c r="AP22830" s="4" t="s">
        <v>376</v>
      </c>
      <c r="AR22830" s="4" t="s">
        <v>377</v>
      </c>
    </row>
    <row r="22831" spans="1:44" ht="45">
      <c r="A22831" s="4" t="s">
        <v>24364</v>
      </c>
      <c r="B22831" s="4">
        <v>610746</v>
      </c>
      <c r="D22831" s="5" t="s">
        <v>29573</v>
      </c>
      <c r="E22831" s="6" t="str">
        <f>HYPERLINK("https://inpn.mnhn.fr/espece/cd_nom/610746","Arabidopsis arenosa (L.) Lawalrée, 1960")</f>
        <v>Arabidopsis arenosa (L.) Lawalrée, 1960</v>
      </c>
      <c r="F22831" s="5" t="s">
        <v>29574</v>
      </c>
      <c r="Q22831" s="7" t="str">
        <f>HYPERLINK("#Liste_rouge!A"&amp;_xlfn.XMATCH("LC",Liste_rouge!A:A,2,1),"LC")</f>
        <v>LC</v>
      </c>
      <c r="T22831" s="7" t="str">
        <f>HYPERLINK("#Liste_rouge!A"&amp;_xlfn.XMATCH("LC",Liste_rouge!A:A,2,1),"LC")</f>
        <v>LC</v>
      </c>
      <c r="V22831" s="7" t="str">
        <f>HYPERLINK("#Liste_rouge!A"&amp;_xlfn.XMATCH("LC",Liste_rouge!A:A,2,1),"LC")</f>
        <v>LC</v>
      </c>
      <c r="AH22831" s="4" t="str">
        <f>HYPERLINK("#Statut_biogéographique!A"&amp;_xlfn.XMATCH("P",Statut_biogéographique!A:A,2,1),"P")</f>
        <v>P</v>
      </c>
      <c r="AM22831" s="4" t="s">
        <v>375</v>
      </c>
      <c r="AN22831" s="4" t="s">
        <v>375</v>
      </c>
      <c r="AO22831" s="4" t="s">
        <v>375</v>
      </c>
      <c r="AP22831" s="4" t="s">
        <v>376</v>
      </c>
      <c r="AR22831" s="4" t="s">
        <v>377</v>
      </c>
    </row>
    <row r="22832" spans="1:44">
      <c r="A22832" s="4" t="s">
        <v>24364</v>
      </c>
      <c r="B22832" s="4">
        <v>610791</v>
      </c>
      <c r="D22832" s="5" t="s">
        <v>29575</v>
      </c>
      <c r="E22832" s="6" t="str">
        <f>HYPERLINK("https://inpn.mnhn.fr/espece/cd_nom/610791","Agrostis x gigantifera Portal, 2009")</f>
        <v>Agrostis x gigantifera Portal, 2009</v>
      </c>
      <c r="F22832" s="5" t="s">
        <v>29576</v>
      </c>
      <c r="AH22832" s="4" t="str">
        <f>HYPERLINK("#Statut_biogéographique!A"&amp;_xlfn.XMATCH("P",Statut_biogéographique!A:A,2,1),"P")</f>
        <v>P</v>
      </c>
      <c r="AP22832" s="4" t="s">
        <v>376</v>
      </c>
      <c r="AR22832" s="4" t="s">
        <v>377</v>
      </c>
    </row>
    <row r="22833" spans="1:44">
      <c r="A22833" s="4" t="s">
        <v>24364</v>
      </c>
      <c r="B22833" s="4">
        <v>610820</v>
      </c>
      <c r="D22833" s="5" t="s">
        <v>29577</v>
      </c>
      <c r="E22833" s="6" t="str">
        <f>HYPERLINK("https://inpn.mnhn.fr/espece/cd_nom/610820","Alchemilla mollis (Buser) Rothm., 1934")</f>
        <v>Alchemilla mollis (Buser) Rothm., 1934</v>
      </c>
      <c r="F22833" s="5" t="s">
        <v>29578</v>
      </c>
      <c r="P22833" s="7" t="str">
        <f>HYPERLINK("#Liste_rouge!A"&amp;_xlfn.XMATCH("DD",Liste_rouge!A:A,2,1),"DD")</f>
        <v>DD</v>
      </c>
      <c r="Q22833" s="7" t="str">
        <f>HYPERLINK("#Liste_rouge!A"&amp;_xlfn.XMATCH("NA",Liste_rouge!A:A,2,1),"NA")</f>
        <v>NA</v>
      </c>
      <c r="AH22833" s="4" t="str">
        <f>HYPERLINK("#Statut_biogéographique!A"&amp;_xlfn.XMATCH("I",Statut_biogéographique!A:A,2,1),"I")</f>
        <v>I</v>
      </c>
      <c r="AP22833" s="4" t="s">
        <v>376</v>
      </c>
      <c r="AR22833" s="4" t="s">
        <v>377</v>
      </c>
    </row>
    <row r="22834" spans="1:44" ht="30">
      <c r="A22834" s="4" t="s">
        <v>24364</v>
      </c>
      <c r="B22834" s="4">
        <v>610847</v>
      </c>
      <c r="D22834" s="5" t="s">
        <v>29579</v>
      </c>
      <c r="E22834" s="6" t="str">
        <f>HYPERLINK("https://inpn.mnhn.fr/espece/cd_nom/610847","Ambrosia psilostachya DC., 1836")</f>
        <v>Ambrosia psilostachya DC., 1836</v>
      </c>
      <c r="F22834" s="5" t="s">
        <v>29580</v>
      </c>
      <c r="Q22834" s="7" t="str">
        <f>HYPERLINK("#Liste_rouge!A"&amp;_xlfn.XMATCH("NA",Liste_rouge!A:A,2,1),"NA")</f>
        <v>NA</v>
      </c>
      <c r="T22834" s="7" t="str">
        <f>HYPERLINK("#Liste_rouge!A"&amp;_xlfn.XMATCH("NA",Liste_rouge!A:A,2,1),"NA")</f>
        <v>NA</v>
      </c>
      <c r="AH22834" s="4" t="str">
        <f>HYPERLINK("#Statut_biogéographique!A"&amp;_xlfn.XMATCH("I",Statut_biogéographique!A:A,2,1),"I")</f>
        <v>I</v>
      </c>
      <c r="AL22834" s="5" t="str">
        <f>HYPERLINK("#Réglementation!A"&amp;_xlfn.XMATCH("AMBROISIE",Réglementation!A:A,2,1),"AMBROISIE")</f>
        <v>AMBROISIE</v>
      </c>
      <c r="AP22834" s="4" t="s">
        <v>376</v>
      </c>
      <c r="AR22834" s="4" t="s">
        <v>377</v>
      </c>
    </row>
    <row r="22835" spans="1:44" ht="30">
      <c r="A22835" s="4" t="s">
        <v>24364</v>
      </c>
      <c r="B22835" s="4">
        <v>610868</v>
      </c>
      <c r="D22835" s="5" t="s">
        <v>29581</v>
      </c>
      <c r="E22835" s="6" t="str">
        <f>HYPERLINK("https://inpn.mnhn.fr/espece/cd_nom/610868","Phedimus spurius (M.Bieb) 't Hart, 1995")</f>
        <v>Phedimus spurius (M.Bieb) 't Hart, 1995</v>
      </c>
      <c r="F22835" s="5" t="s">
        <v>29582</v>
      </c>
      <c r="Q22835" s="7" t="str">
        <f>HYPERLINK("#Liste_rouge!A"&amp;_xlfn.XMATCH("NA",Liste_rouge!A:A,2,1),"NA")</f>
        <v>NA</v>
      </c>
      <c r="T22835" s="7" t="str">
        <f>HYPERLINK("#Liste_rouge!A"&amp;_xlfn.XMATCH("NA",Liste_rouge!A:A,2,1),"NA")</f>
        <v>NA</v>
      </c>
      <c r="AH22835" s="4" t="str">
        <f>HYPERLINK("#Statut_biogéographique!A"&amp;_xlfn.XMATCH("I",Statut_biogéographique!A:A,2,1),"I")</f>
        <v>I</v>
      </c>
      <c r="AM22835" s="4" t="s">
        <v>375</v>
      </c>
      <c r="AN22835" s="4" t="s">
        <v>375</v>
      </c>
      <c r="AO22835" s="4" t="s">
        <v>375</v>
      </c>
      <c r="AP22835" s="4" t="s">
        <v>376</v>
      </c>
      <c r="AR22835" s="4" t="s">
        <v>377</v>
      </c>
    </row>
    <row r="22836" spans="1:44">
      <c r="A22836" s="4" t="s">
        <v>24364</v>
      </c>
      <c r="B22836" s="4">
        <v>6109</v>
      </c>
      <c r="D22836" s="5" t="s">
        <v>29583</v>
      </c>
      <c r="E22836" s="6" t="str">
        <f>HYPERLINK("https://inpn.mnhn.fr/espece/cd_nom/6109","Pylaisia polyantha (Hedw.) Schimp., 1851")</f>
        <v>Pylaisia polyantha (Hedw.) Schimp., 1851</v>
      </c>
      <c r="P22836" s="7" t="str">
        <f>HYPERLINK("#Liste_rouge!A"&amp;_xlfn.XMATCH("LC",Liste_rouge!A:A,2,1),"LC")</f>
        <v>LC</v>
      </c>
      <c r="T22836" s="7" t="str">
        <f>HYPERLINK("#Liste_rouge!A"&amp;_xlfn.XMATCH("NT",Liste_rouge!A:A,2,1),"NT")</f>
        <v>NT</v>
      </c>
      <c r="V22836" s="7" t="str">
        <f>HYPERLINK("#Liste_rouge!A"&amp;_xlfn.XMATCH("LC",Liste_rouge!A:A,2,1),"LC")</f>
        <v>LC</v>
      </c>
      <c r="AH22836" s="4" t="str">
        <f>HYPERLINK("#Statut_biogéographique!A"&amp;_xlfn.XMATCH("P",Statut_biogéographique!A:A,2,1),"P")</f>
        <v>P</v>
      </c>
      <c r="AP22836" s="4" t="s">
        <v>376</v>
      </c>
      <c r="AR22836" s="4" t="s">
        <v>377</v>
      </c>
    </row>
    <row r="22837" spans="1:44" ht="45">
      <c r="A22837" s="4" t="s">
        <v>24364</v>
      </c>
      <c r="B22837" s="4">
        <v>610901</v>
      </c>
      <c r="D22837" s="5" t="s">
        <v>29584</v>
      </c>
      <c r="E22837" s="6" t="str">
        <f>HYPERLINK("https://inpn.mnhn.fr/espece/cd_nom/610901","Lotus herbaceus (Vill.) Jauzein, 2010")</f>
        <v>Lotus herbaceus (Vill.) Jauzein, 2010</v>
      </c>
      <c r="F22837" s="5" t="s">
        <v>29585</v>
      </c>
      <c r="O22837" s="7" t="str">
        <f>HYPERLINK("#Liste_rouge!A"&amp;_xlfn.XMATCH("LC",Liste_rouge!A:A,2,1),"LC")</f>
        <v>LC</v>
      </c>
      <c r="Q22837" s="7" t="str">
        <f>HYPERLINK("#Liste_rouge!A"&amp;_xlfn.XMATCH("LC",Liste_rouge!A:A,2,1),"LC")</f>
        <v>LC</v>
      </c>
      <c r="V22837" s="7" t="str">
        <f>HYPERLINK("#Liste_rouge!A"&amp;_xlfn.XMATCH("EN",Liste_rouge!A:A,2,1),"EN")</f>
        <v>EN</v>
      </c>
      <c r="W22837" s="4" t="str">
        <f>HYPERLINK("#Critères_liste_rouge!A$1","D")</f>
        <v>D</v>
      </c>
      <c r="X22837" s="5" t="s">
        <v>374</v>
      </c>
      <c r="AB22837" s="4" t="s">
        <v>93</v>
      </c>
      <c r="AH22837" s="4" t="str">
        <f>HYPERLINK("#Statut_biogéographique!A"&amp;_xlfn.XMATCH("P",Statut_biogéographique!A:A,2,1),"P")</f>
        <v>P</v>
      </c>
      <c r="AM22837" s="4" t="s">
        <v>375</v>
      </c>
      <c r="AN22837" s="4" t="s">
        <v>375</v>
      </c>
      <c r="AO22837" s="4" t="s">
        <v>375</v>
      </c>
      <c r="AP22837" s="4" t="s">
        <v>376</v>
      </c>
      <c r="AR22837" s="4" t="s">
        <v>377</v>
      </c>
    </row>
    <row r="22838" spans="1:44" ht="30">
      <c r="A22838" s="4" t="s">
        <v>24364</v>
      </c>
      <c r="B22838" s="4">
        <v>610909</v>
      </c>
      <c r="D22838" s="5" t="s">
        <v>29586</v>
      </c>
      <c r="E22838" s="6" t="str">
        <f>HYPERLINK("https://inpn.mnhn.fr/espece/cd_nom/610909","Lysimachia arvensis (L.) U.Manns &amp; Anderb., 2009")</f>
        <v>Lysimachia arvensis (L.) U.Manns &amp; Anderb., 2009</v>
      </c>
      <c r="F22838" s="5" t="s">
        <v>29587</v>
      </c>
      <c r="Q22838" s="7" t="str">
        <f>HYPERLINK("#Liste_rouge!A"&amp;_xlfn.XMATCH("LC",Liste_rouge!A:A,2,1),"LC")</f>
        <v>LC</v>
      </c>
      <c r="T22838" s="7" t="str">
        <f>HYPERLINK("#Liste_rouge!A"&amp;_xlfn.XMATCH("LC",Liste_rouge!A:A,2,1),"LC")</f>
        <v>LC</v>
      </c>
      <c r="V22838" s="7" t="str">
        <f>HYPERLINK("#Liste_rouge!A"&amp;_xlfn.XMATCH("LC",Liste_rouge!A:A,2,1),"LC")</f>
        <v>LC</v>
      </c>
      <c r="AH22838" s="4" t="str">
        <f>HYPERLINK("#Statut_biogéographique!A"&amp;_xlfn.XMATCH("P",Statut_biogéographique!A:A,2,1),"P")</f>
        <v>P</v>
      </c>
      <c r="AM22838" s="4" t="s">
        <v>375</v>
      </c>
      <c r="AN22838" s="4" t="s">
        <v>375</v>
      </c>
      <c r="AO22838" s="4" t="s">
        <v>375</v>
      </c>
      <c r="AP22838" s="4" t="s">
        <v>376</v>
      </c>
      <c r="AR22838" s="4" t="s">
        <v>377</v>
      </c>
    </row>
    <row r="22839" spans="1:44" ht="45">
      <c r="A22839" s="4" t="s">
        <v>24364</v>
      </c>
      <c r="B22839" s="4">
        <v>610910</v>
      </c>
      <c r="D22839" s="5" t="s">
        <v>29588</v>
      </c>
      <c r="E22839" s="6" t="str">
        <f>HYPERLINK("https://inpn.mnhn.fr/espece/cd_nom/610910","Lysimachia minima (L.) U.Manns &amp; Anderb., 2009")</f>
        <v>Lysimachia minima (L.) U.Manns &amp; Anderb., 2009</v>
      </c>
      <c r="F22839" s="5" t="s">
        <v>29589</v>
      </c>
      <c r="Q22839" s="7" t="str">
        <f>HYPERLINK("#Liste_rouge!A"&amp;_xlfn.XMATCH("LC",Liste_rouge!A:A,2,1),"LC")</f>
        <v>LC</v>
      </c>
      <c r="T22839" s="7" t="str">
        <f>HYPERLINK("#Liste_rouge!A"&amp;_xlfn.XMATCH("VU",Liste_rouge!A:A,2,1),"VU")</f>
        <v>VU</v>
      </c>
      <c r="U22839" s="4" t="str">
        <f>HYPERLINK("#Critères_liste_rouge!A$1","D2")</f>
        <v>D2</v>
      </c>
      <c r="V22839" s="7" t="str">
        <f>HYPERLINK("#Liste_rouge!A"&amp;_xlfn.XMATCH("NT",Liste_rouge!A:A,2,1),"NT")</f>
        <v>NT</v>
      </c>
      <c r="W22839" s="4" t="str">
        <f>HYPERLINK("#Critères_liste_rouge!A$1","pr. A3c B2b(iii)")</f>
        <v>pr. A3c B2b(iii)</v>
      </c>
      <c r="X22839" s="5" t="s">
        <v>374</v>
      </c>
      <c r="AB22839" s="4" t="s">
        <v>93</v>
      </c>
      <c r="AH22839" s="4" t="str">
        <f>HYPERLINK("#Statut_biogéographique!A"&amp;_xlfn.XMATCH("P",Statut_biogéographique!A:A,2,1),"P")</f>
        <v>P</v>
      </c>
      <c r="AM22839" s="4" t="s">
        <v>375</v>
      </c>
      <c r="AN22839" s="4" t="s">
        <v>375</v>
      </c>
      <c r="AO22839" s="4" t="s">
        <v>375</v>
      </c>
      <c r="AP22839" s="4" t="s">
        <v>376</v>
      </c>
      <c r="AR22839" s="4" t="s">
        <v>377</v>
      </c>
    </row>
    <row r="22840" spans="1:44" ht="30">
      <c r="A22840" s="4" t="s">
        <v>24364</v>
      </c>
      <c r="B22840" s="4">
        <v>610911</v>
      </c>
      <c r="D22840" s="5" t="s">
        <v>29590</v>
      </c>
      <c r="E22840" s="6" t="str">
        <f>HYPERLINK("https://inpn.mnhn.fr/espece/cd_nom/610911","Lysimachia europaea (L.) U.Manns &amp; Anderb., 2009")</f>
        <v>Lysimachia europaea (L.) U.Manns &amp; Anderb., 2009</v>
      </c>
      <c r="F22840" s="5" t="s">
        <v>29591</v>
      </c>
      <c r="L22840" s="4" t="str">
        <f>HYPERLINK("#Réglementation!A"&amp;_xlfn.XMATCH("NV1",Réglementation!A:A,2,1),"NV1")</f>
        <v>NV1</v>
      </c>
      <c r="Q22840" s="7" t="str">
        <f>HYPERLINK("#Liste_rouge!A"&amp;_xlfn.XMATCH("DD",Liste_rouge!A:A,2,1),"DD")</f>
        <v>DD</v>
      </c>
      <c r="AH22840" s="4" t="str">
        <f>HYPERLINK("#Statut_biogéographique!A"&amp;_xlfn.XMATCH("P",Statut_biogéographique!A:A,2,1),"P")</f>
        <v>P</v>
      </c>
      <c r="AM22840" s="4" t="s">
        <v>375</v>
      </c>
      <c r="AN22840" s="4" t="s">
        <v>375</v>
      </c>
      <c r="AO22840" s="4" t="s">
        <v>375</v>
      </c>
      <c r="AP22840" s="4" t="s">
        <v>376</v>
      </c>
      <c r="AR22840" s="4" t="s">
        <v>377</v>
      </c>
    </row>
    <row r="22841" spans="1:44" ht="60">
      <c r="A22841" s="4" t="s">
        <v>24364</v>
      </c>
      <c r="B22841" s="4">
        <v>610963</v>
      </c>
      <c r="D22841" s="5" t="s">
        <v>29592</v>
      </c>
      <c r="E22841" s="6" t="str">
        <f>HYPERLINK("https://inpn.mnhn.fr/espece/cd_nom/610963","Ophrys virescens Philippe, 1859")</f>
        <v>Ophrys virescens Philippe, 1859</v>
      </c>
      <c r="F22841" s="5" t="s">
        <v>29593</v>
      </c>
      <c r="G22841" s="4" t="str">
        <f>HYPERLINK("[#Réglementation!A"&amp;_xlfn.XMATCH("CCB",Réglementation!A:A,2,1),"CCB")</f>
        <v>CCB</v>
      </c>
      <c r="Q22841" s="7" t="str">
        <f>HYPERLINK("#Liste_rouge!A"&amp;_xlfn.XMATCH("LC",Liste_rouge!A:A,2,1),"LC")</f>
        <v>LC</v>
      </c>
      <c r="T22841" s="7" t="str">
        <f>HYPERLINK("#Liste_rouge!A"&amp;_xlfn.XMATCH("EN",Liste_rouge!A:A,2,1),"EN")</f>
        <v>EN</v>
      </c>
      <c r="U22841" s="4" t="str">
        <f>HYPERLINK("#Critères_liste_rouge!A$1","A2ac")</f>
        <v>A2ac</v>
      </c>
      <c r="V22841" s="7" t="str">
        <f>HYPERLINK("#Liste_rouge!A"&amp;_xlfn.XMATCH("NT",Liste_rouge!A:A,2,1),"NT")</f>
        <v>NT</v>
      </c>
      <c r="W22841" s="4" t="str">
        <f>HYPERLINK("#Critères_liste_rouge!A$1","pr. B2b(iii)")</f>
        <v>pr. B2b(iii)</v>
      </c>
      <c r="X22841" s="5" t="s">
        <v>374</v>
      </c>
      <c r="AB22841" s="4" t="s">
        <v>93</v>
      </c>
      <c r="AH22841" s="4" t="str">
        <f>HYPERLINK("#Statut_biogéographique!A"&amp;_xlfn.XMATCH("P",Statut_biogéographique!A:A,2,1),"P")</f>
        <v>P</v>
      </c>
      <c r="AM22841" s="4" t="s">
        <v>375</v>
      </c>
      <c r="AN22841" s="4" t="s">
        <v>375</v>
      </c>
      <c r="AO22841" s="4" t="s">
        <v>375</v>
      </c>
      <c r="AP22841" s="4" t="s">
        <v>376</v>
      </c>
      <c r="AR22841" s="4" t="s">
        <v>377</v>
      </c>
    </row>
    <row r="22842" spans="1:44" ht="30">
      <c r="A22842" s="4" t="s">
        <v>24364</v>
      </c>
      <c r="B22842" s="4">
        <v>610994</v>
      </c>
      <c r="D22842" s="5" t="s">
        <v>29594</v>
      </c>
      <c r="E22842" s="6" t="str">
        <f>HYPERLINK("https://inpn.mnhn.fr/espece/cd_nom/610994","Lactuca plumieri (L.) Gren. &amp; Godr., 1850")</f>
        <v>Lactuca plumieri (L.) Gren. &amp; Godr., 1850</v>
      </c>
      <c r="F22842" s="5" t="s">
        <v>29595</v>
      </c>
      <c r="O22842" s="7" t="str">
        <f>HYPERLINK("#Liste_rouge!A"&amp;_xlfn.XMATCH("DD",Liste_rouge!A:A,2,1),"DD")</f>
        <v>DD</v>
      </c>
      <c r="P22842" s="7" t="str">
        <f>HYPERLINK("#Liste_rouge!A"&amp;_xlfn.XMATCH("DD",Liste_rouge!A:A,2,1),"DD")</f>
        <v>DD</v>
      </c>
      <c r="Q22842" s="7" t="str">
        <f>HYPERLINK("#Liste_rouge!A"&amp;_xlfn.XMATCH("LC",Liste_rouge!A:A,2,1),"LC")</f>
        <v>LC</v>
      </c>
      <c r="T22842" s="7" t="str">
        <f>HYPERLINK("#Liste_rouge!A"&amp;_xlfn.XMATCH("VU",Liste_rouge!A:A,2,1),"VU")</f>
        <v>VU</v>
      </c>
      <c r="U22842" s="4" t="str">
        <f>HYPERLINK("#Critères_liste_rouge!A$1","C2a(i) D2")</f>
        <v>C2a(i) D2</v>
      </c>
      <c r="V22842" s="7" t="str">
        <f>HYPERLINK("#Liste_rouge!A"&amp;_xlfn.XMATCH("NT",Liste_rouge!A:A,2,1),"NT")</f>
        <v>NT</v>
      </c>
      <c r="W22842" s="4" t="str">
        <f>HYPERLINK("#Critères_liste_rouge!A$1","pr. D2")</f>
        <v>pr. D2</v>
      </c>
      <c r="X22842" s="5" t="s">
        <v>374</v>
      </c>
      <c r="AB22842" s="4" t="s">
        <v>93</v>
      </c>
      <c r="AH22842" s="4" t="str">
        <f>HYPERLINK("#Statut_biogéographique!A"&amp;_xlfn.XMATCH("P",Statut_biogéographique!A:A,2,1),"P")</f>
        <v>P</v>
      </c>
      <c r="AM22842" s="4" t="s">
        <v>375</v>
      </c>
      <c r="AN22842" s="4" t="s">
        <v>375</v>
      </c>
      <c r="AO22842" s="4" t="s">
        <v>375</v>
      </c>
      <c r="AP22842" s="4" t="s">
        <v>376</v>
      </c>
      <c r="AR22842" s="4" t="s">
        <v>377</v>
      </c>
    </row>
    <row r="22843" spans="1:44" ht="45">
      <c r="A22843" s="4" t="s">
        <v>24364</v>
      </c>
      <c r="B22843" s="4">
        <v>610995</v>
      </c>
      <c r="D22843" s="5" t="s">
        <v>29596</v>
      </c>
      <c r="E22843" s="6" t="str">
        <f>HYPERLINK("https://inpn.mnhn.fr/espece/cd_nom/610995","Lactuca muralis (L.) Gaertn., 1791")</f>
        <v>Lactuca muralis (L.) Gaertn., 1791</v>
      </c>
      <c r="F22843" s="5" t="s">
        <v>29597</v>
      </c>
      <c r="P22843" s="7" t="str">
        <f>HYPERLINK("#Liste_rouge!A"&amp;_xlfn.XMATCH("LC",Liste_rouge!A:A,2,1),"LC")</f>
        <v>LC</v>
      </c>
      <c r="Q22843" s="7" t="str">
        <f>HYPERLINK("#Liste_rouge!A"&amp;_xlfn.XMATCH("LC",Liste_rouge!A:A,2,1),"LC")</f>
        <v>LC</v>
      </c>
      <c r="T22843" s="7" t="str">
        <f>HYPERLINK("#Liste_rouge!A"&amp;_xlfn.XMATCH("LC",Liste_rouge!A:A,2,1),"LC")</f>
        <v>LC</v>
      </c>
      <c r="V22843" s="7" t="str">
        <f>HYPERLINK("#Liste_rouge!A"&amp;_xlfn.XMATCH("LC",Liste_rouge!A:A,2,1),"LC")</f>
        <v>LC</v>
      </c>
      <c r="AH22843" s="4" t="str">
        <f>HYPERLINK("#Statut_biogéographique!A"&amp;_xlfn.XMATCH("P",Statut_biogéographique!A:A,2,1),"P")</f>
        <v>P</v>
      </c>
      <c r="AM22843" s="4" t="s">
        <v>375</v>
      </c>
      <c r="AN22843" s="4" t="s">
        <v>375</v>
      </c>
      <c r="AO22843" s="4" t="s">
        <v>375</v>
      </c>
      <c r="AP22843" s="4" t="s">
        <v>376</v>
      </c>
      <c r="AR22843" s="4" t="s">
        <v>377</v>
      </c>
    </row>
    <row r="22844" spans="1:44" ht="90">
      <c r="A22844" s="4" t="s">
        <v>24364</v>
      </c>
      <c r="B22844" s="4">
        <v>611009</v>
      </c>
      <c r="D22844" s="5" t="s">
        <v>29598</v>
      </c>
      <c r="E22844" s="6" t="str">
        <f>HYPERLINK("https://inpn.mnhn.fr/espece/cd_nom/611009","Lathyrus ochraceus Kitt., 1844")</f>
        <v>Lathyrus ochraceus Kitt., 1844</v>
      </c>
      <c r="F22844" s="5" t="s">
        <v>29599</v>
      </c>
      <c r="Q22844" s="7" t="str">
        <f>HYPERLINK("#Liste_rouge!A"&amp;_xlfn.XMATCH("LC",Liste_rouge!A:A,2,1),"LC")</f>
        <v>LC</v>
      </c>
      <c r="AH22844" s="4" t="str">
        <f>HYPERLINK("#Statut_biogéographique!A"&amp;_xlfn.XMATCH("P",Statut_biogéographique!A:A,2,1),"P")</f>
        <v>P</v>
      </c>
      <c r="AP22844" s="4" t="s">
        <v>376</v>
      </c>
      <c r="AR22844" s="4" t="s">
        <v>377</v>
      </c>
    </row>
    <row r="22845" spans="1:44">
      <c r="A22845" s="4" t="s">
        <v>24364</v>
      </c>
      <c r="B22845" s="4">
        <v>611043</v>
      </c>
      <c r="D22845" s="5">
        <v>611043</v>
      </c>
      <c r="E22845" s="6" t="str">
        <f>HYPERLINK("https://inpn.mnhn.fr/espece/cd_nom/611043","Lespedeza thunbergii Nakai, 1927")</f>
        <v>Lespedeza thunbergii Nakai, 1927</v>
      </c>
      <c r="F22845" s="5" t="s">
        <v>29600</v>
      </c>
      <c r="O22845" s="7" t="str">
        <f>HYPERLINK("#Liste_rouge!A"&amp;_xlfn.XMATCH("DD",Liste_rouge!A:A,2,1),"DD")</f>
        <v>DD</v>
      </c>
      <c r="AH22845" s="4" t="str">
        <f>HYPERLINK("#Statut_biogéographique!A"&amp;_xlfn.XMATCH("M",Statut_biogéographique!A:A,2,1),"M")</f>
        <v>M</v>
      </c>
      <c r="AP22845" s="4" t="s">
        <v>376</v>
      </c>
      <c r="AR22845" s="4" t="s">
        <v>377</v>
      </c>
    </row>
    <row r="22846" spans="1:44" ht="30">
      <c r="A22846" s="4" t="s">
        <v>24364</v>
      </c>
      <c r="B22846" s="4">
        <v>6111</v>
      </c>
      <c r="D22846" s="5" t="s">
        <v>29601</v>
      </c>
      <c r="E22846" s="6" t="str">
        <f>HYPERLINK("https://inpn.mnhn.fr/espece/cd_nom/6111","Rhytidiadelphus loreus (Hedw.) Warnst., 1906")</f>
        <v>Rhytidiadelphus loreus (Hedw.) Warnst., 1906</v>
      </c>
      <c r="P22846" s="7" t="str">
        <f>HYPERLINK("#Liste_rouge!A"&amp;_xlfn.XMATCH("LC",Liste_rouge!A:A,2,1),"LC")</f>
        <v>LC</v>
      </c>
      <c r="T22846" s="7" t="str">
        <f>HYPERLINK("#Liste_rouge!A"&amp;_xlfn.XMATCH("LC",Liste_rouge!A:A,2,1),"LC")</f>
        <v>LC</v>
      </c>
      <c r="V22846" s="7" t="str">
        <f>HYPERLINK("#Liste_rouge!A"&amp;_xlfn.XMATCH("LC",Liste_rouge!A:A,2,1),"LC")</f>
        <v>LC</v>
      </c>
      <c r="AH22846" s="4" t="str">
        <f>HYPERLINK("#Statut_biogéographique!A"&amp;_xlfn.XMATCH("P",Statut_biogéographique!A:A,2,1),"P")</f>
        <v>P</v>
      </c>
      <c r="AP22846" s="4" t="s">
        <v>376</v>
      </c>
      <c r="AR22846" s="4" t="s">
        <v>377</v>
      </c>
    </row>
    <row r="22847" spans="1:44">
      <c r="A22847" s="4" t="s">
        <v>24364</v>
      </c>
      <c r="B22847" s="4">
        <v>611162</v>
      </c>
      <c r="D22847" s="5" t="s">
        <v>29602</v>
      </c>
      <c r="E22847" s="6" t="str">
        <f>HYPERLINK("https://inpn.mnhn.fr/espece/cd_nom/611162","Doronicum x excelsum (N.E.Br.) Stace, 1991")</f>
        <v>Doronicum x excelsum (N.E.Br.) Stace, 1991</v>
      </c>
      <c r="F22847" s="5" t="s">
        <v>29603</v>
      </c>
      <c r="AH22847" s="4" t="str">
        <f>HYPERLINK("#Statut_biogéographique!A"&amp;_xlfn.XMATCH("M",Statut_biogéographique!A:A,2,1),"M")</f>
        <v>M</v>
      </c>
      <c r="AP22847" s="4" t="s">
        <v>376</v>
      </c>
      <c r="AR22847" s="4" t="s">
        <v>377</v>
      </c>
    </row>
    <row r="22848" spans="1:44" ht="30">
      <c r="A22848" s="4" t="s">
        <v>24364</v>
      </c>
      <c r="B22848" s="4">
        <v>611165</v>
      </c>
      <c r="D22848" s="5" t="s">
        <v>29604</v>
      </c>
      <c r="E22848" s="6" t="str">
        <f>HYPERLINK("https://inpn.mnhn.fr/espece/cd_nom/611165","Hyacinthoides x massartiana Geerinck, 1996")</f>
        <v>Hyacinthoides x massartiana Geerinck, 1996</v>
      </c>
      <c r="F22848" s="5" t="s">
        <v>29605</v>
      </c>
      <c r="T22848" s="7" t="str">
        <f>HYPERLINK("#Liste_rouge!A"&amp;_xlfn.XMATCH("NA",Liste_rouge!A:A,2,1),"NA")</f>
        <v>NA</v>
      </c>
      <c r="AH22848" s="4" t="str">
        <f>HYPERLINK("#Statut_biogéographique!A"&amp;_xlfn.XMATCH("P",Statut_biogéographique!A:A,2,1),"P")</f>
        <v>P</v>
      </c>
      <c r="AP22848" s="4" t="s">
        <v>376</v>
      </c>
      <c r="AR22848" s="4" t="s">
        <v>377</v>
      </c>
    </row>
    <row r="22849" spans="1:44" ht="30">
      <c r="A22849" s="4" t="s">
        <v>24364</v>
      </c>
      <c r="B22849" s="4">
        <v>611239</v>
      </c>
      <c r="D22849" s="5">
        <v>611239</v>
      </c>
      <c r="E22849" s="6" t="str">
        <f>HYPERLINK("https://inpn.mnhn.fr/espece/cd_nom/611239","Elytrigia campestris x Elytrigia intermedia ")</f>
        <v xml:space="preserve">Elytrigia campestris x Elytrigia intermedia </v>
      </c>
      <c r="F22849" s="5" t="s">
        <v>29606</v>
      </c>
      <c r="AH22849" s="4" t="str">
        <f>HYPERLINK("#Statut_biogéographique!A"&amp;_xlfn.XMATCH("P",Statut_biogéographique!A:A,2,1),"P")</f>
        <v>P</v>
      </c>
      <c r="AP22849" s="4" t="s">
        <v>376</v>
      </c>
      <c r="AR22849" s="4" t="s">
        <v>377</v>
      </c>
    </row>
    <row r="22850" spans="1:44" ht="60">
      <c r="A22850" s="4" t="s">
        <v>24364</v>
      </c>
      <c r="B22850" s="4">
        <v>611295</v>
      </c>
      <c r="D22850" s="5" t="s">
        <v>29607</v>
      </c>
      <c r="E22850" s="6" t="str">
        <f>HYPERLINK("https://inpn.mnhn.fr/espece/cd_nom/611295","Glebionis coronaria (L.) Cass. ex Spach, 1841")</f>
        <v>Glebionis coronaria (L.) Cass. ex Spach, 1841</v>
      </c>
      <c r="F22850" s="5" t="s">
        <v>29608</v>
      </c>
      <c r="Q22850" s="7" t="str">
        <f>HYPERLINK("#Liste_rouge!A"&amp;_xlfn.XMATCH("LC",Liste_rouge!A:A,2,1),"LC")</f>
        <v>LC</v>
      </c>
      <c r="T22850" s="7" t="str">
        <f>HYPERLINK("#Liste_rouge!A"&amp;_xlfn.XMATCH("NA",Liste_rouge!A:A,2,1),"NA")</f>
        <v>NA</v>
      </c>
      <c r="AH22850" s="4" t="str">
        <f>HYPERLINK("#Statut_biogéographique!A"&amp;_xlfn.XMATCH("P",Statut_biogéographique!A:A,2,1),"P")</f>
        <v>P</v>
      </c>
      <c r="AP22850" s="4" t="s">
        <v>376</v>
      </c>
      <c r="AR22850" s="4" t="s">
        <v>377</v>
      </c>
    </row>
    <row r="22851" spans="1:44">
      <c r="A22851" s="4" t="s">
        <v>24364</v>
      </c>
      <c r="B22851" s="4">
        <v>611298</v>
      </c>
      <c r="D22851" s="5" t="s">
        <v>29609</v>
      </c>
      <c r="E22851" s="6" t="str">
        <f>HYPERLINK("https://inpn.mnhn.fr/espece/cd_nom/611298","Cirsium x medium All., 1785")</f>
        <v>Cirsium x medium All., 1785</v>
      </c>
      <c r="F22851" s="5" t="s">
        <v>29610</v>
      </c>
      <c r="T22851" s="7" t="str">
        <f>HYPERLINK("#Liste_rouge!A"&amp;_xlfn.XMATCH("NE",Liste_rouge!A:A,2,1),"NE")</f>
        <v>NE</v>
      </c>
      <c r="AH22851" s="4" t="str">
        <f>HYPERLINK("#Statut_biogéographique!A"&amp;_xlfn.XMATCH("D",Statut_biogéographique!A:A,2,1),"D")</f>
        <v>D</v>
      </c>
      <c r="AP22851" s="4" t="s">
        <v>376</v>
      </c>
      <c r="AR22851" s="4" t="s">
        <v>377</v>
      </c>
    </row>
    <row r="22852" spans="1:44" ht="45">
      <c r="A22852" s="4" t="s">
        <v>24364</v>
      </c>
      <c r="B22852" s="4">
        <v>611356</v>
      </c>
      <c r="D22852" s="5" t="s">
        <v>29611</v>
      </c>
      <c r="E22852" s="6" t="str">
        <f>HYPERLINK("https://inpn.mnhn.fr/espece/cd_nom/611356","Scorzoneroides pyrenaica (Gouan) Holub, 1977")</f>
        <v>Scorzoneroides pyrenaica (Gouan) Holub, 1977</v>
      </c>
      <c r="F22852" s="5" t="s">
        <v>29612</v>
      </c>
      <c r="Q22852" s="7" t="str">
        <f>HYPERLINK("#Liste_rouge!A"&amp;_xlfn.XMATCH("LC",Liste_rouge!A:A,2,1),"LC")</f>
        <v>LC</v>
      </c>
      <c r="V22852" s="7" t="str">
        <f>HYPERLINK("#Liste_rouge!A"&amp;_xlfn.XMATCH("VU",Liste_rouge!A:A,2,1),"VU")</f>
        <v>VU</v>
      </c>
      <c r="W22852" s="4" t="str">
        <f>HYPERLINK("#Critères_liste_rouge!A$1","B2ab(iii)")</f>
        <v>B2ab(iii)</v>
      </c>
      <c r="X22852" s="5" t="s">
        <v>374</v>
      </c>
      <c r="AB22852" s="4" t="s">
        <v>93</v>
      </c>
      <c r="AH22852" s="4" t="str">
        <f>HYPERLINK("#Statut_biogéographique!A"&amp;_xlfn.XMATCH("P",Statut_biogéographique!A:A,2,1),"P")</f>
        <v>P</v>
      </c>
      <c r="AM22852" s="4" t="s">
        <v>375</v>
      </c>
      <c r="AN22852" s="4" t="s">
        <v>375</v>
      </c>
      <c r="AO22852" s="4" t="s">
        <v>375</v>
      </c>
      <c r="AP22852" s="4" t="s">
        <v>376</v>
      </c>
      <c r="AR22852" s="4" t="s">
        <v>377</v>
      </c>
    </row>
    <row r="22853" spans="1:44">
      <c r="A22853" s="4" t="s">
        <v>24364</v>
      </c>
      <c r="B22853" s="4">
        <v>611365</v>
      </c>
      <c r="D22853" s="5">
        <v>611365</v>
      </c>
      <c r="E22853" s="6" t="str">
        <f>HYPERLINK("https://inpn.mnhn.fr/espece/cd_nom/611365","Utricularia stygia G.Thor, 1988")</f>
        <v>Utricularia stygia G.Thor, 1988</v>
      </c>
      <c r="F22853" s="5" t="s">
        <v>29613</v>
      </c>
      <c r="P22853" s="7" t="str">
        <f>HYPERLINK("#Liste_rouge!A"&amp;_xlfn.XMATCH("DD",Liste_rouge!A:A,2,1),"DD")</f>
        <v>DD</v>
      </c>
      <c r="Q22853" s="7" t="str">
        <f>HYPERLINK("#Liste_rouge!A"&amp;_xlfn.XMATCH("VU",Liste_rouge!A:A,2,1),"VU")</f>
        <v>VU</v>
      </c>
      <c r="V22853" s="7" t="str">
        <f>HYPERLINK("#Liste_rouge!A"&amp;_xlfn.XMATCH("VU",Liste_rouge!A:A,2,1),"VU")</f>
        <v>VU</v>
      </c>
      <c r="W22853" s="4" t="str">
        <f>HYPERLINK("#Critères_liste_rouge!A$1","D2")</f>
        <v>D2</v>
      </c>
      <c r="X22853" s="5" t="s">
        <v>374</v>
      </c>
      <c r="AB22853" s="4" t="s">
        <v>93</v>
      </c>
      <c r="AH22853" s="4" t="str">
        <f>HYPERLINK("#Statut_biogéographique!A"&amp;_xlfn.XMATCH("P",Statut_biogéographique!A:A,2,1),"P")</f>
        <v>P</v>
      </c>
      <c r="AM22853" s="4" t="s">
        <v>375</v>
      </c>
      <c r="AN22853" s="4" t="s">
        <v>375</v>
      </c>
      <c r="AO22853" s="4" t="s">
        <v>375</v>
      </c>
      <c r="AP22853" s="4" t="s">
        <v>376</v>
      </c>
      <c r="AR22853" s="4" t="s">
        <v>377</v>
      </c>
    </row>
    <row r="22854" spans="1:44" ht="30">
      <c r="A22854" s="4" t="s">
        <v>24364</v>
      </c>
      <c r="B22854" s="4">
        <v>611481</v>
      </c>
      <c r="D22854" s="5" t="s">
        <v>29614</v>
      </c>
      <c r="E22854" s="6" t="str">
        <f>HYPERLINK("https://inpn.mnhn.fr/espece/cd_nom/611481","Sonchus bulbosus (L.) N.Kilian &amp; Greuter, 2003")</f>
        <v>Sonchus bulbosus (L.) N.Kilian &amp; Greuter, 2003</v>
      </c>
      <c r="F22854" s="5" t="s">
        <v>29615</v>
      </c>
      <c r="Q22854" s="7" t="str">
        <f>HYPERLINK("#Liste_rouge!A"&amp;_xlfn.XMATCH("LC",Liste_rouge!A:A,2,1),"LC")</f>
        <v>LC</v>
      </c>
      <c r="AH22854" s="4" t="str">
        <f>HYPERLINK("#Statut_biogéographique!A"&amp;_xlfn.XMATCH("P",Statut_biogéographique!A:A,2,1),"P")</f>
        <v>P</v>
      </c>
      <c r="AP22854" s="4" t="s">
        <v>376</v>
      </c>
      <c r="AR22854" s="4" t="s">
        <v>377</v>
      </c>
    </row>
    <row r="22855" spans="1:44" ht="30">
      <c r="A22855" s="4" t="s">
        <v>24364</v>
      </c>
      <c r="B22855" s="4">
        <v>611499</v>
      </c>
      <c r="D22855" s="5" t="s">
        <v>29616</v>
      </c>
      <c r="E22855" s="6" t="str">
        <f>HYPERLINK("https://inpn.mnhn.fr/espece/cd_nom/611499","Rubus pruinosus Arrh., 1839")</f>
        <v>Rubus pruinosus Arrh., 1839</v>
      </c>
      <c r="F22855" s="5" t="s">
        <v>29617</v>
      </c>
      <c r="T22855" s="7" t="str">
        <f>HYPERLINK("#Liste_rouge!A"&amp;_xlfn.XMATCH("LC",Liste_rouge!A:A,2,1),"LC")</f>
        <v>LC</v>
      </c>
      <c r="AH22855" s="4" t="str">
        <f>HYPERLINK("#Statut_biogéographique!A"&amp;_xlfn.XMATCH("P",Statut_biogéographique!A:A,2,1),"P")</f>
        <v>P</v>
      </c>
      <c r="AM22855" s="4" t="s">
        <v>375</v>
      </c>
      <c r="AN22855" s="4" t="s">
        <v>375</v>
      </c>
      <c r="AO22855" s="4" t="s">
        <v>375</v>
      </c>
      <c r="AP22855" s="4" t="s">
        <v>376</v>
      </c>
      <c r="AR22855" s="4" t="s">
        <v>377</v>
      </c>
    </row>
    <row r="22856" spans="1:44" ht="30">
      <c r="A22856" s="4" t="s">
        <v>24364</v>
      </c>
      <c r="B22856" s="4">
        <v>6115</v>
      </c>
      <c r="D22856" s="5" t="s">
        <v>29618</v>
      </c>
      <c r="E22856" s="6" t="str">
        <f>HYPERLINK("https://inpn.mnhn.fr/espece/cd_nom/6115","Rhytidiadelphus squarrosus (Hedw.) Warnst., 1906")</f>
        <v>Rhytidiadelphus squarrosus (Hedw.) Warnst., 1906</v>
      </c>
      <c r="P22856" s="7" t="str">
        <f>HYPERLINK("#Liste_rouge!A"&amp;_xlfn.XMATCH("LC",Liste_rouge!A:A,2,1),"LC")</f>
        <v>LC</v>
      </c>
      <c r="T22856" s="7" t="str">
        <f>HYPERLINK("#Liste_rouge!A"&amp;_xlfn.XMATCH("LC",Liste_rouge!A:A,2,1),"LC")</f>
        <v>LC</v>
      </c>
      <c r="V22856" s="7" t="str">
        <f>HYPERLINK("#Liste_rouge!A"&amp;_xlfn.XMATCH("LC",Liste_rouge!A:A,2,1),"LC")</f>
        <v>LC</v>
      </c>
      <c r="AH22856" s="4" t="str">
        <f>HYPERLINK("#Statut_biogéographique!A"&amp;_xlfn.XMATCH("P",Statut_biogéographique!A:A,2,1),"P")</f>
        <v>P</v>
      </c>
      <c r="AP22856" s="4" t="s">
        <v>376</v>
      </c>
      <c r="AR22856" s="4" t="s">
        <v>377</v>
      </c>
    </row>
    <row r="22857" spans="1:44">
      <c r="A22857" s="4" t="s">
        <v>24364</v>
      </c>
      <c r="B22857" s="4">
        <v>611507</v>
      </c>
      <c r="D22857" s="5" t="s">
        <v>29619</v>
      </c>
      <c r="E22857" s="6" t="str">
        <f>HYPERLINK("https://inpn.mnhn.fr/espece/cd_nom/611507","Rubus x uncinellus P.J.Müll. &amp; Lefèvre, 1859")</f>
        <v>Rubus x uncinellus P.J.Müll. &amp; Lefèvre, 1859</v>
      </c>
      <c r="F22857" s="5" t="s">
        <v>29620</v>
      </c>
      <c r="T22857" s="7" t="str">
        <f>HYPERLINK("#Liste_rouge!A"&amp;_xlfn.XMATCH("NE",Liste_rouge!A:A,2,1),"NE")</f>
        <v>NE</v>
      </c>
      <c r="AH22857" s="4" t="str">
        <f>HYPERLINK("#Statut_biogéographique!A"&amp;_xlfn.XMATCH("P",Statut_biogéographique!A:A,2,1),"P")</f>
        <v>P</v>
      </c>
      <c r="AP22857" s="4" t="s">
        <v>376</v>
      </c>
      <c r="AR22857" s="4" t="s">
        <v>377</v>
      </c>
    </row>
    <row r="22858" spans="1:44">
      <c r="A22858" s="4" t="s">
        <v>24364</v>
      </c>
      <c r="B22858" s="4">
        <v>611508</v>
      </c>
      <c r="D22858" s="5">
        <v>611508</v>
      </c>
      <c r="E22858" s="6" t="str">
        <f>HYPERLINK("https://inpn.mnhn.fr/espece/cd_nom/611508","Rubus obtusangulus Gremli, 1870")</f>
        <v>Rubus obtusangulus Gremli, 1870</v>
      </c>
      <c r="V22858" s="7" t="str">
        <f>HYPERLINK("#Liste_rouge!A"&amp;_xlfn.XMATCH("DD",Liste_rouge!A:A,2,1),"DD")</f>
        <v>DD</v>
      </c>
      <c r="AH22858" s="4" t="str">
        <f>HYPERLINK("#Statut_biogéographique!A"&amp;_xlfn.XMATCH("D",Statut_biogéographique!A:A,2,1),"D")</f>
        <v>D</v>
      </c>
      <c r="AM22858" s="4" t="s">
        <v>375</v>
      </c>
      <c r="AN22858" s="4" t="s">
        <v>375</v>
      </c>
      <c r="AO22858" s="4" t="s">
        <v>375</v>
      </c>
      <c r="AP22858" s="4" t="s">
        <v>376</v>
      </c>
      <c r="AR22858" s="4" t="s">
        <v>377</v>
      </c>
    </row>
    <row r="22859" spans="1:44" ht="75">
      <c r="A22859" s="4" t="s">
        <v>24364</v>
      </c>
      <c r="B22859" s="4">
        <v>611558</v>
      </c>
      <c r="D22859" s="5" t="s">
        <v>29621</v>
      </c>
      <c r="E22859" s="6" t="str">
        <f>HYPERLINK("https://inpn.mnhn.fr/espece/cd_nom/611558","Salix x holosericea Willd., 1806")</f>
        <v>Salix x holosericea Willd., 1806</v>
      </c>
      <c r="F22859" s="5" t="s">
        <v>29622</v>
      </c>
      <c r="AH22859" s="4" t="str">
        <f>HYPERLINK("#Statut_biogéographique!A"&amp;_xlfn.XMATCH("D",Statut_biogéographique!A:A,2,1),"D")</f>
        <v>D</v>
      </c>
      <c r="AP22859" s="4" t="s">
        <v>376</v>
      </c>
      <c r="AR22859" s="4" t="s">
        <v>377</v>
      </c>
    </row>
    <row r="22860" spans="1:44">
      <c r="A22860" s="4" t="s">
        <v>24364</v>
      </c>
      <c r="B22860" s="4">
        <v>611559</v>
      </c>
      <c r="D22860" s="5">
        <v>611559</v>
      </c>
      <c r="E22860" s="6" t="str">
        <f>HYPERLINK("https://inpn.mnhn.fr/espece/cd_nom/611559","Salvia reflexa Hornem., 1807")</f>
        <v>Salvia reflexa Hornem., 1807</v>
      </c>
      <c r="F22860" s="5" t="s">
        <v>29623</v>
      </c>
      <c r="Q22860" s="7" t="str">
        <f>HYPERLINK("#Liste_rouge!A"&amp;_xlfn.XMATCH("NA",Liste_rouge!A:A,2,1),"NA")</f>
        <v>NA</v>
      </c>
      <c r="T22860" s="7" t="str">
        <f>HYPERLINK("#Liste_rouge!A"&amp;_xlfn.XMATCH("NA",Liste_rouge!A:A,2,1),"NA")</f>
        <v>NA</v>
      </c>
      <c r="AH22860" s="4" t="str">
        <f>HYPERLINK("#Statut_biogéographique!A"&amp;_xlfn.XMATCH("I",Statut_biogéographique!A:A,2,1),"I")</f>
        <v>I</v>
      </c>
      <c r="AP22860" s="4" t="s">
        <v>376</v>
      </c>
      <c r="AR22860" s="4" t="s">
        <v>377</v>
      </c>
    </row>
    <row r="22861" spans="1:44">
      <c r="A22861" s="4" t="s">
        <v>24364</v>
      </c>
      <c r="B22861" s="4">
        <v>611564</v>
      </c>
      <c r="D22861" s="5">
        <v>611564</v>
      </c>
      <c r="E22861" s="6" t="str">
        <f>HYPERLINK("https://inpn.mnhn.fr/espece/cd_nom/611564","Spiraea nipponica Maxim., 1886")</f>
        <v>Spiraea nipponica Maxim., 1886</v>
      </c>
      <c r="F22861" s="5" t="s">
        <v>27506</v>
      </c>
      <c r="AH22861" s="4" t="str">
        <f>HYPERLINK("#Statut_biogéographique!A"&amp;_xlfn.XMATCH("M",Statut_biogéographique!A:A,2,1),"M")</f>
        <v>M</v>
      </c>
      <c r="AP22861" s="4" t="s">
        <v>376</v>
      </c>
      <c r="AR22861" s="4" t="s">
        <v>377</v>
      </c>
    </row>
    <row r="22862" spans="1:44">
      <c r="A22862" s="4" t="s">
        <v>24364</v>
      </c>
      <c r="B22862" s="4">
        <v>611642</v>
      </c>
      <c r="D22862" s="5" t="s">
        <v>29624</v>
      </c>
      <c r="E22862" s="6" t="str">
        <f>HYPERLINK("https://inpn.mnhn.fr/espece/cd_nom/611642","Persicaria x bicolor (Borbás) Soják, 1974")</f>
        <v>Persicaria x bicolor (Borbás) Soják, 1974</v>
      </c>
      <c r="F22862" s="5" t="s">
        <v>29625</v>
      </c>
      <c r="T22862" s="7" t="str">
        <f>HYPERLINK("#Liste_rouge!A"&amp;_xlfn.XMATCH("DD",Liste_rouge!A:A,2,1),"DD")</f>
        <v>DD</v>
      </c>
      <c r="AH22862" s="4" t="str">
        <f>HYPERLINK("#Statut_biogéographique!A"&amp;_xlfn.XMATCH("P",Statut_biogéographique!A:A,2,1),"P")</f>
        <v>P</v>
      </c>
      <c r="AP22862" s="4" t="s">
        <v>376</v>
      </c>
      <c r="AR22862" s="4" t="s">
        <v>377</v>
      </c>
    </row>
    <row r="22863" spans="1:44">
      <c r="A22863" s="4" t="s">
        <v>24364</v>
      </c>
      <c r="B22863" s="4">
        <v>611644</v>
      </c>
      <c r="D22863" s="5" t="s">
        <v>29626</v>
      </c>
      <c r="E22863" s="6" t="str">
        <f>HYPERLINK("https://inpn.mnhn.fr/espece/cd_nom/611644","Nymphaea x marliacea Lat.-Marl., 1888")</f>
        <v>Nymphaea x marliacea Lat.-Marl., 1888</v>
      </c>
      <c r="F22863" s="5" t="s">
        <v>29627</v>
      </c>
      <c r="AH22863" s="4" t="str">
        <f>HYPERLINK("#Statut_biogéographique!A"&amp;_xlfn.XMATCH("M",Statut_biogéographique!A:A,2,1),"M")</f>
        <v>M</v>
      </c>
      <c r="AP22863" s="4" t="s">
        <v>376</v>
      </c>
      <c r="AR22863" s="4" t="s">
        <v>377</v>
      </c>
    </row>
    <row r="22864" spans="1:44" ht="45">
      <c r="A22864" s="4" t="s">
        <v>24364</v>
      </c>
      <c r="B22864" s="4">
        <v>611652</v>
      </c>
      <c r="D22864" s="5" t="s">
        <v>29628</v>
      </c>
      <c r="E22864" s="6" t="str">
        <f>HYPERLINK("https://inpn.mnhn.fr/espece/cd_nom/611652","Dioscorea communis (L.) Caddick &amp; Wilkin, 2002")</f>
        <v>Dioscorea communis (L.) Caddick &amp; Wilkin, 2002</v>
      </c>
      <c r="F22864" s="5" t="s">
        <v>29629</v>
      </c>
      <c r="N22864" s="4" t="str">
        <f>HYPERLINK("#Réglementation!A"&amp;_xlfn.XMATCH("V25P2",Réglementation!A:A,2,1),"V25P2 - V70P2")</f>
        <v>V25P2 - V70P2</v>
      </c>
      <c r="P22864" s="7" t="str">
        <f>HYPERLINK("#Liste_rouge!A"&amp;_xlfn.XMATCH("LC",Liste_rouge!A:A,2,1),"LC")</f>
        <v>LC</v>
      </c>
      <c r="Q22864" s="7" t="str">
        <f>HYPERLINK("#Liste_rouge!A"&amp;_xlfn.XMATCH("LC",Liste_rouge!A:A,2,1),"LC")</f>
        <v>LC</v>
      </c>
      <c r="T22864" s="7" t="str">
        <f>HYPERLINK("#Liste_rouge!A"&amp;_xlfn.XMATCH("LC",Liste_rouge!A:A,2,1),"LC")</f>
        <v>LC</v>
      </c>
      <c r="V22864" s="7" t="str">
        <f>HYPERLINK("#Liste_rouge!A"&amp;_xlfn.XMATCH("LC",Liste_rouge!A:A,2,1),"LC")</f>
        <v>LC</v>
      </c>
      <c r="AH22864" s="4" t="str">
        <f>HYPERLINK("#Statut_biogéographique!A"&amp;_xlfn.XMATCH("P",Statut_biogéographique!A:A,2,1),"P")</f>
        <v>P</v>
      </c>
      <c r="AK22864" s="4" t="str">
        <f>HYPERLINK("#Réglementation!A"&amp;_xlfn.XMATCH("V39P2",Réglementation!A:A,2,1),"V39P2 - V39P6 - V25P2 - V70P2")</f>
        <v>V39P2 - V39P6 - V25P2 - V70P2</v>
      </c>
      <c r="AM22864" s="4" t="s">
        <v>375</v>
      </c>
      <c r="AN22864" s="4" t="s">
        <v>375</v>
      </c>
      <c r="AO22864" s="4" t="s">
        <v>375</v>
      </c>
      <c r="AP22864" s="4" t="s">
        <v>376</v>
      </c>
      <c r="AR22864" s="4" t="s">
        <v>377</v>
      </c>
    </row>
    <row r="22865" spans="1:44" ht="30">
      <c r="A22865" s="4" t="s">
        <v>24364</v>
      </c>
      <c r="B22865" s="4">
        <v>611672</v>
      </c>
      <c r="D22865" s="5" t="s">
        <v>29630</v>
      </c>
      <c r="E22865" s="6" t="str">
        <f>HYPERLINK("https://inpn.mnhn.fr/espece/cd_nom/611672","Taraxacum lacistophylloides Dahlst., 1933")</f>
        <v>Taraxacum lacistophylloides Dahlst., 1933</v>
      </c>
      <c r="F22865" s="5" t="s">
        <v>29631</v>
      </c>
      <c r="Q22865" s="7" t="str">
        <f>HYPERLINK("#Liste_rouge!A"&amp;_xlfn.XMATCH("LC",Liste_rouge!A:A,2,1),"LC")</f>
        <v>LC</v>
      </c>
      <c r="V22865" s="7" t="str">
        <f>HYPERLINK("#Liste_rouge!A"&amp;_xlfn.XMATCH("DD",Liste_rouge!A:A,2,1),"DD")</f>
        <v>DD</v>
      </c>
      <c r="AH22865" s="4" t="str">
        <f>HYPERLINK("#Statut_biogéographique!A"&amp;_xlfn.XMATCH("P",Statut_biogéographique!A:A,2,1),"P")</f>
        <v>P</v>
      </c>
      <c r="AM22865" s="4" t="s">
        <v>375</v>
      </c>
      <c r="AN22865" s="4" t="s">
        <v>375</v>
      </c>
      <c r="AO22865" s="4" t="s">
        <v>375</v>
      </c>
      <c r="AP22865" s="4" t="s">
        <v>376</v>
      </c>
      <c r="AR22865" s="4" t="s">
        <v>377</v>
      </c>
    </row>
    <row r="22866" spans="1:44" ht="30">
      <c r="A22866" s="4" t="s">
        <v>24364</v>
      </c>
      <c r="B22866" s="4">
        <v>611688</v>
      </c>
      <c r="D22866" s="5" t="s">
        <v>29632</v>
      </c>
      <c r="E22866" s="6" t="str">
        <f>HYPERLINK("https://inpn.mnhn.fr/espece/cd_nom/611688","Erigeron acris L., 1753")</f>
        <v>Erigeron acris L., 1753</v>
      </c>
      <c r="F22866" s="5" t="s">
        <v>29633</v>
      </c>
      <c r="Q22866" s="7" t="str">
        <f>HYPERLINK("#Liste_rouge!A"&amp;_xlfn.XMATCH("LC",Liste_rouge!A:A,2,1),"LC")</f>
        <v>LC</v>
      </c>
      <c r="T22866" s="7" t="str">
        <f>HYPERLINK("#Liste_rouge!A"&amp;_xlfn.XMATCH("LC",Liste_rouge!A:A,2,1),"LC")</f>
        <v>LC</v>
      </c>
      <c r="V22866" s="7" t="str">
        <f>HYPERLINK("#Liste_rouge!A"&amp;_xlfn.XMATCH("LC",Liste_rouge!A:A,2,1),"LC")</f>
        <v>LC</v>
      </c>
      <c r="AH22866" s="4" t="str">
        <f>HYPERLINK("#Statut_biogéographique!A"&amp;_xlfn.XMATCH("P",Statut_biogéographique!A:A,2,1),"P")</f>
        <v>P</v>
      </c>
      <c r="AM22866" s="4" t="s">
        <v>375</v>
      </c>
      <c r="AN22866" s="4" t="s">
        <v>375</v>
      </c>
      <c r="AO22866" s="4" t="s">
        <v>375</v>
      </c>
      <c r="AP22866" s="4" t="s">
        <v>376</v>
      </c>
      <c r="AR22866" s="4" t="s">
        <v>377</v>
      </c>
    </row>
    <row r="22867" spans="1:44" ht="45">
      <c r="A22867" s="4" t="s">
        <v>24364</v>
      </c>
      <c r="B22867" s="4">
        <v>611690</v>
      </c>
      <c r="D22867" s="5" t="s">
        <v>29634</v>
      </c>
      <c r="E22867" s="6" t="str">
        <f>HYPERLINK("https://inpn.mnhn.fr/espece/cd_nom/611690","Erigeron floribundus (Kunth) Sch.Bip., 1865")</f>
        <v>Erigeron floribundus (Kunth) Sch.Bip., 1865</v>
      </c>
      <c r="F22867" s="5" t="s">
        <v>29635</v>
      </c>
      <c r="Q22867" s="7" t="str">
        <f>HYPERLINK("#Liste_rouge!A"&amp;_xlfn.XMATCH("NA",Liste_rouge!A:A,2,1),"NA")</f>
        <v>NA</v>
      </c>
      <c r="AH22867" s="4" t="str">
        <f>HYPERLINK("#Statut_biogéographique!A"&amp;_xlfn.XMATCH("I",Statut_biogéographique!A:A,2,1),"I")</f>
        <v>I</v>
      </c>
      <c r="AP22867" s="4" t="s">
        <v>376</v>
      </c>
      <c r="AR22867" s="4" t="s">
        <v>377</v>
      </c>
    </row>
    <row r="22868" spans="1:44" ht="60">
      <c r="A22868" s="4" t="s">
        <v>24364</v>
      </c>
      <c r="B22868" s="4">
        <v>611753</v>
      </c>
      <c r="D22868" s="5" t="s">
        <v>29636</v>
      </c>
      <c r="E22868" s="6" t="str">
        <f>HYPERLINK("https://inpn.mnhn.fr/espece/cd_nom/611753","Dysphania ambrosioides (L.) Mosyakin &amp; Clemants, 2002")</f>
        <v>Dysphania ambrosioides (L.) Mosyakin &amp; Clemants, 2002</v>
      </c>
      <c r="F22868" s="5" t="s">
        <v>29637</v>
      </c>
      <c r="Q22868" s="7" t="str">
        <f>HYPERLINK("#Liste_rouge!A"&amp;_xlfn.XMATCH("NA",Liste_rouge!A:A,2,1),"NA")</f>
        <v>NA</v>
      </c>
      <c r="T22868" s="7" t="str">
        <f>HYPERLINK("#Liste_rouge!A"&amp;_xlfn.XMATCH("NA",Liste_rouge!A:A,2,1),"NA")</f>
        <v>NA</v>
      </c>
      <c r="AH22868" s="4" t="str">
        <f>HYPERLINK("#Statut_biogéographique!A"&amp;_xlfn.XMATCH("J",Statut_biogéographique!A:A,2,1),"J")</f>
        <v>J</v>
      </c>
      <c r="AM22868" s="4" t="s">
        <v>375</v>
      </c>
      <c r="AN22868" s="4" t="s">
        <v>375</v>
      </c>
      <c r="AO22868" s="4" t="s">
        <v>375</v>
      </c>
      <c r="AP22868" s="4" t="s">
        <v>376</v>
      </c>
      <c r="AR22868" s="4" t="s">
        <v>377</v>
      </c>
    </row>
    <row r="22869" spans="1:44" ht="30">
      <c r="A22869" s="4" t="s">
        <v>24364</v>
      </c>
      <c r="B22869" s="4">
        <v>611755</v>
      </c>
      <c r="D22869" s="5" t="s">
        <v>29638</v>
      </c>
      <c r="E22869" s="6" t="str">
        <f>HYPERLINK("https://inpn.mnhn.fr/espece/cd_nom/611755","Dysphania botrys (L.) Mosyakin &amp; Clemants, 2002")</f>
        <v>Dysphania botrys (L.) Mosyakin &amp; Clemants, 2002</v>
      </c>
      <c r="F22869" s="5" t="s">
        <v>29639</v>
      </c>
      <c r="Q22869" s="7" t="str">
        <f>HYPERLINK("#Liste_rouge!A"&amp;_xlfn.XMATCH("LC",Liste_rouge!A:A,2,1),"LC")</f>
        <v>LC</v>
      </c>
      <c r="T22869" s="7" t="str">
        <f>HYPERLINK("#Liste_rouge!A"&amp;_xlfn.XMATCH("NA",Liste_rouge!A:A,2,1),"NA")</f>
        <v>NA</v>
      </c>
      <c r="AH22869" s="4" t="str">
        <f>HYPERLINK("#Statut_biogéographique!A"&amp;_xlfn.XMATCH("P",Statut_biogéographique!A:A,2,1),"P")</f>
        <v>P</v>
      </c>
      <c r="AM22869" s="4" t="s">
        <v>375</v>
      </c>
      <c r="AN22869" s="4" t="s">
        <v>375</v>
      </c>
      <c r="AO22869" s="4" t="s">
        <v>375</v>
      </c>
      <c r="AP22869" s="4" t="s">
        <v>376</v>
      </c>
      <c r="AR22869" s="4" t="s">
        <v>377</v>
      </c>
    </row>
    <row r="22870" spans="1:44" ht="30">
      <c r="A22870" s="4" t="s">
        <v>24364</v>
      </c>
      <c r="B22870" s="4">
        <v>611760</v>
      </c>
      <c r="D22870" s="5" t="s">
        <v>29640</v>
      </c>
      <c r="E22870" s="6" t="str">
        <f>HYPERLINK("https://inpn.mnhn.fr/espece/cd_nom/611760","Dysphania multifida (L.) Mosyakin &amp; Clemants, 2002")</f>
        <v>Dysphania multifida (L.) Mosyakin &amp; Clemants, 2002</v>
      </c>
      <c r="F22870" s="5" t="s">
        <v>29641</v>
      </c>
      <c r="Q22870" s="7" t="str">
        <f>HYPERLINK("#Liste_rouge!A"&amp;_xlfn.XMATCH("NA",Liste_rouge!A:A,2,1),"NA")</f>
        <v>NA</v>
      </c>
      <c r="T22870" s="7" t="str">
        <f>HYPERLINK("#Liste_rouge!A"&amp;_xlfn.XMATCH("NA",Liste_rouge!A:A,2,1),"NA")</f>
        <v>NA</v>
      </c>
      <c r="AH22870" s="4" t="str">
        <f>HYPERLINK("#Statut_biogéographique!A"&amp;_xlfn.XMATCH("I",Statut_biogéographique!A:A,2,1),"I")</f>
        <v>I</v>
      </c>
      <c r="AP22870" s="4" t="s">
        <v>376</v>
      </c>
      <c r="AR22870" s="4" t="s">
        <v>377</v>
      </c>
    </row>
    <row r="22871" spans="1:44" ht="30">
      <c r="A22871" s="4" t="s">
        <v>24364</v>
      </c>
      <c r="B22871" s="4">
        <v>611762</v>
      </c>
      <c r="D22871" s="5" t="s">
        <v>29642</v>
      </c>
      <c r="E22871" s="6" t="str">
        <f>HYPERLINK("https://inpn.mnhn.fr/espece/cd_nom/611762","Filago x intermedia Holuby")</f>
        <v>Filago x intermedia Holuby</v>
      </c>
      <c r="F22871" s="5" t="s">
        <v>29643</v>
      </c>
      <c r="T22871" s="7" t="str">
        <f>HYPERLINK("#Liste_rouge!A"&amp;_xlfn.XMATCH("NE",Liste_rouge!A:A,2,1),"NE")</f>
        <v>NE</v>
      </c>
      <c r="AH22871" s="4" t="str">
        <f>HYPERLINK("#Statut_biogéographique!A"&amp;_xlfn.XMATCH("D",Statut_biogéographique!A:A,2,1),"D")</f>
        <v>D</v>
      </c>
      <c r="AP22871" s="4" t="s">
        <v>376</v>
      </c>
      <c r="AR22871" s="4" t="s">
        <v>377</v>
      </c>
    </row>
    <row r="22872" spans="1:44" ht="30">
      <c r="A22872" s="4" t="s">
        <v>24364</v>
      </c>
      <c r="B22872" s="4">
        <v>6118</v>
      </c>
      <c r="D22872" s="5" t="s">
        <v>29644</v>
      </c>
      <c r="E22872" s="6" t="str">
        <f>HYPERLINK("https://inpn.mnhn.fr/espece/cd_nom/6118","Rhytidiadelphus subpinnatus (Lindb.) T.J.Kop., 1971")</f>
        <v>Rhytidiadelphus subpinnatus (Lindb.) T.J.Kop., 1971</v>
      </c>
      <c r="P22872" s="7" t="str">
        <f>HYPERLINK("#Liste_rouge!A"&amp;_xlfn.XMATCH("LC",Liste_rouge!A:A,2,1),"LC")</f>
        <v>LC</v>
      </c>
      <c r="T22872" s="7" t="str">
        <f>HYPERLINK("#Liste_rouge!A"&amp;_xlfn.XMATCH("CR",Liste_rouge!A:A,2,1),"CR")</f>
        <v>CR</v>
      </c>
      <c r="V22872" s="7" t="str">
        <f>HYPERLINK("#Liste_rouge!A"&amp;_xlfn.XMATCH("LC",Liste_rouge!A:A,2,1),"LC")</f>
        <v>LC</v>
      </c>
      <c r="X22872" s="5" t="s">
        <v>374</v>
      </c>
      <c r="AB22872" s="4" t="s">
        <v>93</v>
      </c>
      <c r="AH22872" s="4" t="str">
        <f>HYPERLINK("#Statut_biogéographique!A"&amp;_xlfn.XMATCH("P",Statut_biogéographique!A:A,2,1),"P")</f>
        <v>P</v>
      </c>
      <c r="AP22872" s="4" t="s">
        <v>376</v>
      </c>
      <c r="AR22872" s="4" t="s">
        <v>377</v>
      </c>
    </row>
    <row r="22873" spans="1:44" ht="45">
      <c r="A22873" s="4" t="s">
        <v>24364</v>
      </c>
      <c r="B22873" s="4">
        <v>611902</v>
      </c>
      <c r="D22873" s="5" t="s">
        <v>29645</v>
      </c>
      <c r="E22873" s="6" t="str">
        <f>HYPERLINK("https://inpn.mnhn.fr/espece/cd_nom/611902","Aethusa cynapium subsp. elata (Friedl. ex Hoffm.) Schübl. &amp; G.Martens, 1834")</f>
        <v>Aethusa cynapium subsp. elata (Friedl. ex Hoffm.) Schübl. &amp; G.Martens, 1834</v>
      </c>
      <c r="F22873" s="5" t="s">
        <v>29646</v>
      </c>
      <c r="Q22873" s="7" t="str">
        <f>HYPERLINK("#Liste_rouge!A"&amp;_xlfn.XMATCH("LC",Liste_rouge!A:A,2,1),"LC")</f>
        <v>LC</v>
      </c>
      <c r="T22873" s="7" t="str">
        <f>HYPERLINK("#Liste_rouge!A"&amp;_xlfn.XMATCH("LC",Liste_rouge!A:A,2,1),"LC")</f>
        <v>LC</v>
      </c>
      <c r="AH22873" s="4" t="str">
        <f>HYPERLINK("#Statut_biogéographique!A"&amp;_xlfn.XMATCH("P",Statut_biogéographique!A:A,2,1),"P")</f>
        <v>P</v>
      </c>
      <c r="AP22873" s="4" t="s">
        <v>376</v>
      </c>
      <c r="AR22873" s="4" t="s">
        <v>377</v>
      </c>
    </row>
    <row r="22874" spans="1:44">
      <c r="A22874" s="4" t="s">
        <v>24364</v>
      </c>
      <c r="B22874" s="4">
        <v>612142</v>
      </c>
      <c r="D22874" s="5" t="s">
        <v>29647</v>
      </c>
      <c r="E22874" s="6" t="str">
        <f>HYPERLINK("https://inpn.mnhn.fr/espece/cd_nom/612142","Juncus tenuis subsp. tenuis Willd., 1799")</f>
        <v>Juncus tenuis subsp. tenuis Willd., 1799</v>
      </c>
      <c r="F22874" s="5" t="s">
        <v>29648</v>
      </c>
      <c r="Q22874" s="7" t="str">
        <f>HYPERLINK("#Liste_rouge!A"&amp;_xlfn.XMATCH("NA",Liste_rouge!A:A,2,1),"NA")</f>
        <v>NA</v>
      </c>
      <c r="T22874" s="7" t="str">
        <f>HYPERLINK("#Liste_rouge!A"&amp;_xlfn.XMATCH("NA",Liste_rouge!A:A,2,1),"NA")</f>
        <v>NA</v>
      </c>
      <c r="AH22874" s="4" t="str">
        <f>HYPERLINK("#Statut_biogéographique!A"&amp;_xlfn.XMATCH("I",Statut_biogéographique!A:A,2,1),"I")</f>
        <v>I</v>
      </c>
      <c r="AP22874" s="4" t="s">
        <v>376</v>
      </c>
      <c r="AR22874" s="4" t="s">
        <v>377</v>
      </c>
    </row>
    <row r="22875" spans="1:44" ht="30">
      <c r="A22875" s="4" t="s">
        <v>24364</v>
      </c>
      <c r="B22875" s="4">
        <v>612282</v>
      </c>
      <c r="D22875" s="5" t="s">
        <v>29649</v>
      </c>
      <c r="E22875" s="6" t="str">
        <f>HYPERLINK("https://inpn.mnhn.fr/espece/cd_nom/612282","Pimpinella saxifraga subsp. nigra (Mill.) Thell., 1926")</f>
        <v>Pimpinella saxifraga subsp. nigra (Mill.) Thell., 1926</v>
      </c>
      <c r="F22875" s="5" t="s">
        <v>29650</v>
      </c>
      <c r="Q22875" s="7" t="str">
        <f>HYPERLINK("#Liste_rouge!A"&amp;_xlfn.XMATCH("DD",Liste_rouge!A:A,2,1),"DD")</f>
        <v>DD</v>
      </c>
      <c r="T22875" s="7" t="str">
        <f>HYPERLINK("#Liste_rouge!A"&amp;_xlfn.XMATCH("NE",Liste_rouge!A:A,2,1),"NE")</f>
        <v>NE</v>
      </c>
      <c r="AH22875" s="4" t="str">
        <f>HYPERLINK("#Statut_biogéographique!A"&amp;_xlfn.XMATCH("P",Statut_biogéographique!A:A,2,1),"P")</f>
        <v>P</v>
      </c>
      <c r="AP22875" s="4" t="s">
        <v>376</v>
      </c>
      <c r="AR22875" s="4" t="s">
        <v>377</v>
      </c>
    </row>
    <row r="22876" spans="1:44" ht="30">
      <c r="A22876" s="4" t="s">
        <v>24364</v>
      </c>
      <c r="B22876" s="4">
        <v>612392</v>
      </c>
      <c r="D22876" s="5" t="s">
        <v>29651</v>
      </c>
      <c r="E22876" s="6" t="str">
        <f>HYPERLINK("https://inpn.mnhn.fr/espece/cd_nom/612392","Angelica sylvestris subsp. bernardae Reduron, 2007")</f>
        <v>Angelica sylvestris subsp. bernardae Reduron, 2007</v>
      </c>
      <c r="F22876" s="5" t="s">
        <v>29652</v>
      </c>
      <c r="Q22876" s="7" t="str">
        <f>HYPERLINK("#Liste_rouge!A"&amp;_xlfn.XMATCH("LC",Liste_rouge!A:A,2,1),"LC")</f>
        <v>LC</v>
      </c>
      <c r="T22876" s="7" t="str">
        <f>HYPERLINK("#Liste_rouge!A"&amp;_xlfn.XMATCH("NE",Liste_rouge!A:A,2,1),"NE")</f>
        <v>NE</v>
      </c>
      <c r="AH22876" s="4" t="str">
        <f>HYPERLINK("#Statut_biogéographique!A"&amp;_xlfn.XMATCH("P",Statut_biogéographique!A:A,2,1),"P")</f>
        <v>P</v>
      </c>
      <c r="AP22876" s="4" t="s">
        <v>376</v>
      </c>
      <c r="AR22876" s="4" t="s">
        <v>377</v>
      </c>
    </row>
    <row r="22877" spans="1:44">
      <c r="A22877" s="4" t="s">
        <v>24364</v>
      </c>
      <c r="B22877" s="4">
        <v>6124</v>
      </c>
      <c r="D22877" s="5" t="s">
        <v>29653</v>
      </c>
      <c r="E22877" s="6" t="str">
        <f>HYPERLINK("https://inpn.mnhn.fr/espece/cd_nom/6124","Rhytidium rugosum (Hedw.) Kindb., 1883")</f>
        <v>Rhytidium rugosum (Hedw.) Kindb., 1883</v>
      </c>
      <c r="P22877" s="7" t="str">
        <f>HYPERLINK("#Liste_rouge!A"&amp;_xlfn.XMATCH("LC",Liste_rouge!A:A,2,1),"LC")</f>
        <v>LC</v>
      </c>
      <c r="T22877" s="7" t="str">
        <f>HYPERLINK("#Liste_rouge!A"&amp;_xlfn.XMATCH("LC",Liste_rouge!A:A,2,1),"LC")</f>
        <v>LC</v>
      </c>
      <c r="V22877" s="7" t="str">
        <f>HYPERLINK("#Liste_rouge!A"&amp;_xlfn.XMATCH("LC",Liste_rouge!A:A,2,1),"LC")</f>
        <v>LC</v>
      </c>
      <c r="AH22877" s="4" t="str">
        <f>HYPERLINK("#Statut_biogéographique!A"&amp;_xlfn.XMATCH("P",Statut_biogéographique!A:A,2,1),"P")</f>
        <v>P</v>
      </c>
      <c r="AP22877" s="4" t="s">
        <v>376</v>
      </c>
      <c r="AR22877" s="4" t="s">
        <v>377</v>
      </c>
    </row>
    <row r="22878" spans="1:44" ht="30">
      <c r="A22878" s="4" t="s">
        <v>24364</v>
      </c>
      <c r="B22878" s="4">
        <v>612420</v>
      </c>
      <c r="D22878" s="5" t="s">
        <v>29654</v>
      </c>
      <c r="E22878" s="6" t="str">
        <f>HYPERLINK("https://inpn.mnhn.fr/espece/cd_nom/612420","Buglossoides arvensis subsp. arvensis (L.) I.M.Johnst., 1954")</f>
        <v>Buglossoides arvensis subsp. arvensis (L.) I.M.Johnst., 1954</v>
      </c>
      <c r="F22878" s="5" t="s">
        <v>29655</v>
      </c>
      <c r="AH22878" s="4" t="str">
        <f>HYPERLINK("#Statut_biogéographique!A"&amp;_xlfn.XMATCH("P",Statut_biogéographique!A:A,2,1),"P")</f>
        <v>P</v>
      </c>
      <c r="AP22878" s="4" t="s">
        <v>376</v>
      </c>
      <c r="AR22878" s="4" t="s">
        <v>377</v>
      </c>
    </row>
    <row r="22879" spans="1:44" ht="45">
      <c r="A22879" s="4" t="s">
        <v>24364</v>
      </c>
      <c r="B22879" s="4">
        <v>612436</v>
      </c>
      <c r="D22879" s="5" t="s">
        <v>29656</v>
      </c>
      <c r="E22879" s="6" t="str">
        <f>HYPERLINK("https://inpn.mnhn.fr/espece/cd_nom/612436","Cistus umbellatus subsp. umbellatus L., 1753")</f>
        <v>Cistus umbellatus subsp. umbellatus L., 1753</v>
      </c>
      <c r="F22879" s="5" t="s">
        <v>29657</v>
      </c>
      <c r="Q22879" s="7" t="str">
        <f>HYPERLINK("#Liste_rouge!A"&amp;_xlfn.XMATCH("LC",Liste_rouge!A:A,2,1),"LC")</f>
        <v>LC</v>
      </c>
      <c r="T22879" s="7" t="str">
        <f>HYPERLINK("#Liste_rouge!A"&amp;_xlfn.XMATCH("NA",Liste_rouge!A:A,2,1),"NA")</f>
        <v>NA</v>
      </c>
      <c r="AH22879" s="4" t="str">
        <f>HYPERLINK("#Statut_biogéographique!A"&amp;_xlfn.XMATCH("P",Statut_biogéographique!A:A,2,1),"P")</f>
        <v>P</v>
      </c>
      <c r="AP22879" s="4" t="s">
        <v>376</v>
      </c>
      <c r="AR22879" s="4" t="s">
        <v>377</v>
      </c>
    </row>
    <row r="22880" spans="1:44" ht="30">
      <c r="A22880" s="4" t="s">
        <v>24364</v>
      </c>
      <c r="B22880" s="4">
        <v>612445</v>
      </c>
      <c r="D22880" s="5">
        <v>612445</v>
      </c>
      <c r="E22880" s="6" t="str">
        <f>HYPERLINK("https://inpn.mnhn.fr/espece/cd_nom/612445","Conium maculatum var. maculatum L., 1753")</f>
        <v>Conium maculatum var. maculatum L., 1753</v>
      </c>
      <c r="F22880" s="5" t="s">
        <v>29658</v>
      </c>
      <c r="AH22880" s="4" t="str">
        <f>HYPERLINK("#Statut_biogéographique!A"&amp;_xlfn.XMATCH("P",Statut_biogéographique!A:A,2,1),"P")</f>
        <v>P</v>
      </c>
      <c r="AP22880" s="4" t="s">
        <v>376</v>
      </c>
      <c r="AR22880" s="4" t="s">
        <v>377</v>
      </c>
    </row>
    <row r="22881" spans="1:44" ht="45">
      <c r="A22881" s="4" t="s">
        <v>24364</v>
      </c>
      <c r="B22881" s="4">
        <v>612462</v>
      </c>
      <c r="D22881" s="5" t="s">
        <v>29659</v>
      </c>
      <c r="E22881" s="6" t="str">
        <f>HYPERLINK("https://inpn.mnhn.fr/espece/cd_nom/612462","Eleocharis palustris subsp. waltersii Bureš &amp; Danihelka, 2008")</f>
        <v>Eleocharis palustris subsp. waltersii Bureš &amp; Danihelka, 2008</v>
      </c>
      <c r="F22881" s="5" t="s">
        <v>29660</v>
      </c>
      <c r="Q22881" s="7" t="str">
        <f>HYPERLINK("#Liste_rouge!A"&amp;_xlfn.XMATCH("LC",Liste_rouge!A:A,2,1),"LC")</f>
        <v>LC</v>
      </c>
      <c r="AH22881" s="4" t="str">
        <f>HYPERLINK("#Statut_biogéographique!A"&amp;_xlfn.XMATCH("P",Statut_biogéographique!A:A,2,1),"P")</f>
        <v>P</v>
      </c>
      <c r="AM22881" s="4" t="s">
        <v>375</v>
      </c>
      <c r="AN22881" s="4" t="s">
        <v>375</v>
      </c>
      <c r="AO22881" s="4" t="s">
        <v>375</v>
      </c>
      <c r="AP22881" s="4" t="s">
        <v>376</v>
      </c>
      <c r="AR22881" s="4" t="s">
        <v>377</v>
      </c>
    </row>
    <row r="22882" spans="1:44" ht="30">
      <c r="A22882" s="4" t="s">
        <v>24364</v>
      </c>
      <c r="B22882" s="4">
        <v>612466</v>
      </c>
      <c r="D22882" s="5" t="s">
        <v>29661</v>
      </c>
      <c r="E22882" s="6" t="str">
        <f>HYPERLINK("https://inpn.mnhn.fr/espece/cd_nom/612466","Euphorbia helioscopia subsp. helioscopia L., 1753")</f>
        <v>Euphorbia helioscopia subsp. helioscopia L., 1753</v>
      </c>
      <c r="F22882" s="5" t="s">
        <v>29662</v>
      </c>
      <c r="AH22882" s="4" t="str">
        <f>HYPERLINK("#Statut_biogéographique!A"&amp;_xlfn.XMATCH("P",Statut_biogéographique!A:A,2,1),"P")</f>
        <v>P</v>
      </c>
      <c r="AP22882" s="4" t="s">
        <v>376</v>
      </c>
      <c r="AR22882" s="4" t="s">
        <v>377</v>
      </c>
    </row>
    <row r="22883" spans="1:44" ht="45">
      <c r="A22883" s="4" t="s">
        <v>24364</v>
      </c>
      <c r="B22883" s="4">
        <v>612471</v>
      </c>
      <c r="D22883" s="5" t="s">
        <v>29663</v>
      </c>
      <c r="E22883" s="6" t="str">
        <f>HYPERLINK("https://inpn.mnhn.fr/espece/cd_nom/612471","Galatella linosyris var. linosyris (L.) Rchb.f., 1854")</f>
        <v>Galatella linosyris var. linosyris (L.) Rchb.f., 1854</v>
      </c>
      <c r="F22883" s="5" t="s">
        <v>29664</v>
      </c>
      <c r="M22883" s="4" t="str">
        <f>HYPERLINK("#Réglementation!A"&amp;_xlfn.XMATCH("RV26",Réglementation!A:A,2,1),"RV26")</f>
        <v>RV26</v>
      </c>
      <c r="T22883" s="7" t="str">
        <f>HYPERLINK("#Liste_rouge!A"&amp;_xlfn.XMATCH("DD",Liste_rouge!A:A,2,1),"DD")</f>
        <v>DD</v>
      </c>
      <c r="AH22883" s="4" t="str">
        <f>HYPERLINK("#Statut_biogéographique!A"&amp;_xlfn.XMATCH("P",Statut_biogéographique!A:A,2,1),"P")</f>
        <v>P</v>
      </c>
      <c r="AP22883" s="4" t="s">
        <v>376</v>
      </c>
      <c r="AR22883" s="4" t="s">
        <v>377</v>
      </c>
    </row>
    <row r="22884" spans="1:44" ht="30">
      <c r="A22884" s="4" t="s">
        <v>24364</v>
      </c>
      <c r="B22884" s="4">
        <v>612482</v>
      </c>
      <c r="D22884" s="5" t="s">
        <v>29665</v>
      </c>
      <c r="E22884" s="6" t="str">
        <f>HYPERLINK("https://inpn.mnhn.fr/espece/cd_nom/612482","Gymnadenia nigra subsp. rhellicani (Teppner &amp; E.Klein) J.-M.Tison, 2010")</f>
        <v>Gymnadenia nigra subsp. rhellicani (Teppner &amp; E.Klein) J.-M.Tison, 2010</v>
      </c>
      <c r="F22884" s="5" t="s">
        <v>29666</v>
      </c>
      <c r="G22884" s="4" t="str">
        <f>HYPERLINK("[#Réglementation!A"&amp;_xlfn.XMATCH("CCB",Réglementation!A:A,2,1),"CCB")</f>
        <v>CCB</v>
      </c>
      <c r="M22884" s="4" t="str">
        <f>HYPERLINK("#Réglementation!A"&amp;_xlfn.XMATCH("RV43",Réglementation!A:A,2,1),"RV43")</f>
        <v>RV43</v>
      </c>
      <c r="O22884" s="7" t="str">
        <f>HYPERLINK("#Liste_rouge!A"&amp;_xlfn.XMATCH("LC",Liste_rouge!A:A,2,1),"LC")</f>
        <v>LC</v>
      </c>
      <c r="P22884" s="7" t="str">
        <f>HYPERLINK("#Liste_rouge!A"&amp;_xlfn.XMATCH("LC",Liste_rouge!A:A,2,1),"LC")</f>
        <v>LC</v>
      </c>
      <c r="Q22884" s="7" t="str">
        <f>HYPERLINK("#Liste_rouge!A"&amp;_xlfn.XMATCH("LC",Liste_rouge!A:A,2,1),"LC")</f>
        <v>LC</v>
      </c>
      <c r="AH22884" s="4" t="str">
        <f>HYPERLINK("#Statut_biogéographique!A"&amp;_xlfn.XMATCH("P",Statut_biogéographique!A:A,2,1),"P")</f>
        <v>P</v>
      </c>
      <c r="AL22884" s="5" t="str">
        <f>HYPERLINK("#Réglementation!A"&amp;_xlfn.XMATCH("UEintro",Réglementation!A:A,2,1),"UEintro")</f>
        <v>UEintro</v>
      </c>
      <c r="AM22884" s="4" t="s">
        <v>375</v>
      </c>
      <c r="AN22884" s="4" t="s">
        <v>375</v>
      </c>
      <c r="AO22884" s="4" t="s">
        <v>375</v>
      </c>
      <c r="AP22884" s="4" t="s">
        <v>376</v>
      </c>
      <c r="AR22884" s="4" t="s">
        <v>377</v>
      </c>
    </row>
    <row r="22885" spans="1:44" ht="45">
      <c r="A22885" s="4" t="s">
        <v>24364</v>
      </c>
      <c r="B22885" s="4">
        <v>612485</v>
      </c>
      <c r="D22885" s="5" t="s">
        <v>29667</v>
      </c>
      <c r="E22885" s="6" t="str">
        <f>HYPERLINK("https://inpn.mnhn.fr/espece/cd_nom/612485","Gymnadenia nigra subsp. austriaca (Teppner &amp; E.Klein) Teppner &amp; E.Klein, 1998")</f>
        <v>Gymnadenia nigra subsp. austriaca (Teppner &amp; E.Klein) Teppner &amp; E.Klein, 1998</v>
      </c>
      <c r="F22885" s="5" t="s">
        <v>29668</v>
      </c>
      <c r="G22885" s="4" t="str">
        <f>HYPERLINK("[#Réglementation!A"&amp;_xlfn.XMATCH("CCB",Réglementation!A:A,2,1),"CCB")</f>
        <v>CCB</v>
      </c>
      <c r="M22885" s="4" t="str">
        <f>HYPERLINK("#Réglementation!A"&amp;_xlfn.XMATCH("RV43",Réglementation!A:A,2,1),"RV43")</f>
        <v>RV43</v>
      </c>
      <c r="Q22885" s="7" t="str">
        <f>HYPERLINK("#Liste_rouge!A"&amp;_xlfn.XMATCH("LC",Liste_rouge!A:A,2,1),"LC")</f>
        <v>LC</v>
      </c>
      <c r="AH22885" s="4" t="str">
        <f>HYPERLINK("#Statut_biogéographique!A"&amp;_xlfn.XMATCH("P",Statut_biogéographique!A:A,2,1),"P")</f>
        <v>P</v>
      </c>
      <c r="AL22885" s="5" t="str">
        <f>HYPERLINK("#Réglementation!A"&amp;_xlfn.XMATCH("UEintro",Réglementation!A:A,2,1),"UEintro")</f>
        <v>UEintro</v>
      </c>
      <c r="AP22885" s="4" t="s">
        <v>376</v>
      </c>
      <c r="AR22885" s="4" t="s">
        <v>377</v>
      </c>
    </row>
    <row r="22886" spans="1:44" ht="45">
      <c r="A22886" s="4" t="s">
        <v>24364</v>
      </c>
      <c r="B22886" s="4">
        <v>612498</v>
      </c>
      <c r="D22886" s="5" t="s">
        <v>29669</v>
      </c>
      <c r="E22886" s="6" t="str">
        <f>HYPERLINK("https://inpn.mnhn.fr/espece/cd_nom/612498","Hordeum vulgare subsp. vulgare L., 1753")</f>
        <v>Hordeum vulgare subsp. vulgare L., 1753</v>
      </c>
      <c r="F22886" s="5" t="s">
        <v>29670</v>
      </c>
      <c r="Q22886" s="7" t="str">
        <f>HYPERLINK("#Liste_rouge!A"&amp;_xlfn.XMATCH("NA",Liste_rouge!A:A,2,1),"NA")</f>
        <v>NA</v>
      </c>
      <c r="T22886" s="7" t="str">
        <f>HYPERLINK("#Liste_rouge!A"&amp;_xlfn.XMATCH("NA",Liste_rouge!A:A,2,1),"NA")</f>
        <v>NA</v>
      </c>
      <c r="AH22886" s="4" t="str">
        <f>HYPERLINK("#Statut_biogéographique!A"&amp;_xlfn.XMATCH("M",Statut_biogéographique!A:A,2,1),"M")</f>
        <v>M</v>
      </c>
      <c r="AP22886" s="4" t="s">
        <v>376</v>
      </c>
      <c r="AR22886" s="4" t="s">
        <v>377</v>
      </c>
    </row>
    <row r="22887" spans="1:44" ht="45">
      <c r="A22887" s="4" t="s">
        <v>24364</v>
      </c>
      <c r="B22887" s="4">
        <v>612505</v>
      </c>
      <c r="D22887" s="5" t="s">
        <v>29671</v>
      </c>
      <c r="E22887" s="6" t="str">
        <f>HYPERLINK("https://inpn.mnhn.fr/espece/cd_nom/612505","Leontodon saxatilis subsp. rothii Maire, 1934")</f>
        <v>Leontodon saxatilis subsp. rothii Maire, 1934</v>
      </c>
      <c r="F22887" s="5" t="s">
        <v>29672</v>
      </c>
      <c r="Q22887" s="7" t="str">
        <f>HYPERLINK("#Liste_rouge!A"&amp;_xlfn.XMATCH("LC",Liste_rouge!A:A,2,1),"LC")</f>
        <v>LC</v>
      </c>
      <c r="T22887" s="7" t="str">
        <f>HYPERLINK("#Liste_rouge!A"&amp;_xlfn.XMATCH("DD",Liste_rouge!A:A,2,1),"DD")</f>
        <v>DD</v>
      </c>
      <c r="AH22887" s="4" t="str">
        <f>HYPERLINK("#Statut_biogéographique!A"&amp;_xlfn.XMATCH("P",Statut_biogéographique!A:A,2,1),"P")</f>
        <v>P</v>
      </c>
      <c r="AM22887" s="4" t="s">
        <v>375</v>
      </c>
      <c r="AN22887" s="4" t="s">
        <v>375</v>
      </c>
      <c r="AO22887" s="4" t="s">
        <v>375</v>
      </c>
      <c r="AP22887" s="4" t="s">
        <v>376</v>
      </c>
      <c r="AR22887" s="4" t="s">
        <v>377</v>
      </c>
    </row>
    <row r="22888" spans="1:44" ht="30">
      <c r="A22888" s="4" t="s">
        <v>24364</v>
      </c>
      <c r="B22888" s="4">
        <v>612510</v>
      </c>
      <c r="D22888" s="5" t="s">
        <v>29673</v>
      </c>
      <c r="E22888" s="6" t="str">
        <f>HYPERLINK("https://inpn.mnhn.fr/espece/cd_nom/612510","Linum usitatissimum subsp. usitatissimum L., 1753")</f>
        <v>Linum usitatissimum subsp. usitatissimum L., 1753</v>
      </c>
      <c r="F22888" s="5" t="s">
        <v>25218</v>
      </c>
      <c r="Q22888" s="7" t="str">
        <f>HYPERLINK("#Liste_rouge!A"&amp;_xlfn.XMATCH("NA",Liste_rouge!A:A,2,1),"NA")</f>
        <v>NA</v>
      </c>
      <c r="T22888" s="7" t="str">
        <f>HYPERLINK("#Liste_rouge!A"&amp;_xlfn.XMATCH("NA",Liste_rouge!A:A,2,1),"NA")</f>
        <v>NA</v>
      </c>
      <c r="AH22888" s="4" t="str">
        <f>HYPERLINK("#Statut_biogéographique!A"&amp;_xlfn.XMATCH("M",Statut_biogéographique!A:A,2,1),"M")</f>
        <v>M</v>
      </c>
      <c r="AM22888" s="4" t="s">
        <v>375</v>
      </c>
      <c r="AN22888" s="4" t="s">
        <v>375</v>
      </c>
      <c r="AO22888" s="4" t="s">
        <v>375</v>
      </c>
      <c r="AP22888" s="4" t="s">
        <v>376</v>
      </c>
      <c r="AR22888" s="4" t="s">
        <v>377</v>
      </c>
    </row>
    <row r="22889" spans="1:44" ht="30">
      <c r="A22889" s="4" t="s">
        <v>24364</v>
      </c>
      <c r="B22889" s="4">
        <v>612512</v>
      </c>
      <c r="D22889" s="5">
        <v>612512</v>
      </c>
      <c r="E22889" s="6" t="str">
        <f>HYPERLINK("https://inpn.mnhn.fr/espece/cd_nom/612512","Loncomelos pyrenaicus subsp. pyrenaicus (L.) Hrouda, 1988")</f>
        <v>Loncomelos pyrenaicus subsp. pyrenaicus (L.) Hrouda, 1988</v>
      </c>
      <c r="F22889" s="5" t="s">
        <v>25263</v>
      </c>
      <c r="AH22889" s="4" t="str">
        <f>HYPERLINK("#Statut_biogéographique!A"&amp;_xlfn.XMATCH("P",Statut_biogéographique!A:A,2,1),"P")</f>
        <v>P</v>
      </c>
      <c r="AK22889" s="4" t="str">
        <f>HYPERLINK("#Réglementation!A"&amp;_xlfn.XMATCH("V39P2",Réglementation!A:A,2,1),"V39P2 - V39P6")</f>
        <v>V39P2 - V39P6</v>
      </c>
      <c r="AP22889" s="4" t="s">
        <v>376</v>
      </c>
      <c r="AR22889" s="4" t="s">
        <v>377</v>
      </c>
    </row>
    <row r="22890" spans="1:44" ht="30">
      <c r="A22890" s="4" t="s">
        <v>24364</v>
      </c>
      <c r="B22890" s="4">
        <v>612513</v>
      </c>
      <c r="D22890" s="5" t="s">
        <v>29674</v>
      </c>
      <c r="E22890" s="6" t="str">
        <f>HYPERLINK("https://inpn.mnhn.fr/espece/cd_nom/612513","Ludwigia grandiflora subsp. hexapetala (Hook. &amp; Arn.) G.L.Nesom &amp; Kartesz, 2000")</f>
        <v>Ludwigia grandiflora subsp. hexapetala (Hook. &amp; Arn.) G.L.Nesom &amp; Kartesz, 2000</v>
      </c>
      <c r="F22890" s="5" t="s">
        <v>29675</v>
      </c>
      <c r="Q22890" s="7" t="str">
        <f>HYPERLINK("#Liste_rouge!A"&amp;_xlfn.XMATCH("NA",Liste_rouge!A:A,2,1),"NA")</f>
        <v>NA</v>
      </c>
      <c r="T22890" s="7" t="str">
        <f>HYPERLINK("#Liste_rouge!A"&amp;_xlfn.XMATCH("NA",Liste_rouge!A:A,2,1),"NA")</f>
        <v>NA</v>
      </c>
      <c r="AH22890" s="4" t="str">
        <f>HYPERLINK("#Statut_biogéographique!A"&amp;_xlfn.XMATCH("J",Statut_biogéographique!A:A,2,1),"J")</f>
        <v>J</v>
      </c>
      <c r="AL22890" s="5" t="str">
        <f>HYPERLINK("#Réglementation!A"&amp;_xlfn.XMATCH("FRnoEEEV",Réglementation!A:A,2,1),"FRnoEEEV - EEEUE")</f>
        <v>FRnoEEEV - EEEUE</v>
      </c>
      <c r="AM22890" s="4" t="s">
        <v>375</v>
      </c>
      <c r="AN22890" s="4" t="s">
        <v>375</v>
      </c>
      <c r="AO22890" s="4" t="s">
        <v>375</v>
      </c>
      <c r="AP22890" s="4" t="s">
        <v>376</v>
      </c>
      <c r="AR22890" s="4" t="s">
        <v>377</v>
      </c>
    </row>
    <row r="22891" spans="1:44" ht="30">
      <c r="A22891" s="4" t="s">
        <v>24364</v>
      </c>
      <c r="B22891" s="4">
        <v>612543</v>
      </c>
      <c r="D22891" s="5">
        <v>612543</v>
      </c>
      <c r="E22891" s="6" t="str">
        <f>HYPERLINK("https://inpn.mnhn.fr/espece/cd_nom/612543","Phelipanche purpurea subsp. purpurea (Jacq.) Soják, 1972")</f>
        <v>Phelipanche purpurea subsp. purpurea (Jacq.) Soják, 1972</v>
      </c>
      <c r="F22891" s="5" t="s">
        <v>29676</v>
      </c>
      <c r="Q22891" s="7" t="str">
        <f>HYPERLINK("#Liste_rouge!A"&amp;_xlfn.XMATCH("LC",Liste_rouge!A:A,2,1),"LC")</f>
        <v>LC</v>
      </c>
      <c r="AH22891" s="4" t="str">
        <f>HYPERLINK("#Statut_biogéographique!A"&amp;_xlfn.XMATCH("P",Statut_biogéographique!A:A,2,1),"P")</f>
        <v>P</v>
      </c>
      <c r="AP22891" s="4" t="s">
        <v>376</v>
      </c>
      <c r="AR22891" s="4" t="s">
        <v>377</v>
      </c>
    </row>
    <row r="22892" spans="1:44" ht="30">
      <c r="A22892" s="4" t="s">
        <v>24364</v>
      </c>
      <c r="B22892" s="4">
        <v>612565</v>
      </c>
      <c r="D22892" s="5">
        <v>612565</v>
      </c>
      <c r="E22892" s="6" t="str">
        <f>HYPERLINK("https://inpn.mnhn.fr/espece/cd_nom/612565","Scrophularia auriculata subsp. auriculata L., 1753")</f>
        <v>Scrophularia auriculata subsp. auriculata L., 1753</v>
      </c>
      <c r="F22892" s="5" t="s">
        <v>29677</v>
      </c>
      <c r="AH22892" s="4" t="str">
        <f>HYPERLINK("#Statut_biogéographique!A"&amp;_xlfn.XMATCH("P",Statut_biogéographique!A:A,2,1),"P")</f>
        <v>P</v>
      </c>
      <c r="AP22892" s="4" t="s">
        <v>376</v>
      </c>
      <c r="AR22892" s="4" t="s">
        <v>377</v>
      </c>
    </row>
    <row r="22893" spans="1:44" ht="60">
      <c r="A22893" s="4" t="s">
        <v>24364</v>
      </c>
      <c r="B22893" s="4">
        <v>612576</v>
      </c>
      <c r="D22893" s="5" t="s">
        <v>29678</v>
      </c>
      <c r="E22893" s="6" t="str">
        <f>HYPERLINK("https://inpn.mnhn.fr/espece/cd_nom/612576","Thalictrum minus subsp. pratense (F.W.Schultz) Hand, 2001")</f>
        <v>Thalictrum minus subsp. pratense (F.W.Schultz) Hand, 2001</v>
      </c>
      <c r="F22893" s="5" t="s">
        <v>29679</v>
      </c>
      <c r="Q22893" s="7" t="str">
        <f>HYPERLINK("#Liste_rouge!A"&amp;_xlfn.XMATCH("DD",Liste_rouge!A:A,2,1),"DD")</f>
        <v>DD</v>
      </c>
      <c r="X22893" s="5" t="s">
        <v>374</v>
      </c>
      <c r="AB22893" s="4" t="s">
        <v>93</v>
      </c>
      <c r="AH22893" s="4" t="str">
        <f>HYPERLINK("#Statut_biogéographique!A"&amp;_xlfn.XMATCH("P",Statut_biogéographique!A:A,2,1),"P")</f>
        <v>P</v>
      </c>
      <c r="AM22893" s="4" t="s">
        <v>375</v>
      </c>
      <c r="AN22893" s="4" t="s">
        <v>375</v>
      </c>
      <c r="AO22893" s="4" t="s">
        <v>375</v>
      </c>
      <c r="AP22893" s="4" t="s">
        <v>376</v>
      </c>
      <c r="AR22893" s="4" t="s">
        <v>377</v>
      </c>
    </row>
    <row r="22894" spans="1:44" ht="30">
      <c r="A22894" s="4" t="s">
        <v>24364</v>
      </c>
      <c r="B22894" s="4">
        <v>612577</v>
      </c>
      <c r="D22894" s="5" t="s">
        <v>29680</v>
      </c>
      <c r="E22894" s="6" t="str">
        <f>HYPERLINK("https://inpn.mnhn.fr/espece/cd_nom/612577","Thesium humifusum subsp. humifusum DC., 1815")</f>
        <v>Thesium humifusum subsp. humifusum DC., 1815</v>
      </c>
      <c r="F22894" s="5" t="s">
        <v>27692</v>
      </c>
      <c r="Q22894" s="7" t="str">
        <f>HYPERLINK("#Liste_rouge!A"&amp;_xlfn.XMATCH("LC",Liste_rouge!A:A,2,1),"LC")</f>
        <v>LC</v>
      </c>
      <c r="T22894" s="7" t="str">
        <f>HYPERLINK("#Liste_rouge!A"&amp;_xlfn.XMATCH("LC",Liste_rouge!A:A,2,1),"LC")</f>
        <v>LC</v>
      </c>
      <c r="AB22894" s="4" t="s">
        <v>25019</v>
      </c>
      <c r="AH22894" s="4" t="str">
        <f>HYPERLINK("#Statut_biogéographique!A"&amp;_xlfn.XMATCH("P",Statut_biogéographique!A:A,2,1),"P")</f>
        <v>P</v>
      </c>
      <c r="AM22894" s="4" t="s">
        <v>375</v>
      </c>
      <c r="AN22894" s="4" t="s">
        <v>375</v>
      </c>
      <c r="AO22894" s="4" t="s">
        <v>375</v>
      </c>
      <c r="AP22894" s="4" t="s">
        <v>376</v>
      </c>
      <c r="AR22894" s="4" t="s">
        <v>377</v>
      </c>
    </row>
    <row r="22895" spans="1:44" ht="60">
      <c r="A22895" s="4" t="s">
        <v>24364</v>
      </c>
      <c r="B22895" s="4">
        <v>612609</v>
      </c>
      <c r="D22895" s="5" t="s">
        <v>29681</v>
      </c>
      <c r="E22895" s="6" t="str">
        <f>HYPERLINK("https://inpn.mnhn.fr/espece/cd_nom/612609","Cistus lasianthus subsp. alyssoides (Lam.) Demoly, 2006")</f>
        <v>Cistus lasianthus subsp. alyssoides (Lam.) Demoly, 2006</v>
      </c>
      <c r="F22895" s="5" t="s">
        <v>29682</v>
      </c>
      <c r="Q22895" s="7" t="str">
        <f>HYPERLINK("#Liste_rouge!A"&amp;_xlfn.XMATCH("LC",Liste_rouge!A:A,2,1),"LC")</f>
        <v>LC</v>
      </c>
      <c r="AH22895" s="4" t="str">
        <f>HYPERLINK("#Statut_biogéographique!A"&amp;_xlfn.XMATCH("P",Statut_biogéographique!A:A,2,1),"P")</f>
        <v>P</v>
      </c>
      <c r="AP22895" s="4" t="s">
        <v>376</v>
      </c>
      <c r="AR22895" s="4" t="s">
        <v>377</v>
      </c>
    </row>
    <row r="22896" spans="1:44" ht="45">
      <c r="A22896" s="4" t="s">
        <v>24364</v>
      </c>
      <c r="B22896" s="4">
        <v>612611</v>
      </c>
      <c r="D22896" s="5" t="s">
        <v>29683</v>
      </c>
      <c r="E22896" s="6" t="str">
        <f>HYPERLINK("https://inpn.mnhn.fr/espece/cd_nom/612611","Petroselinum crispum subsp. crispum (Mill.) Fuss, 1866")</f>
        <v>Petroselinum crispum subsp. crispum (Mill.) Fuss, 1866</v>
      </c>
      <c r="F22896" s="5" t="s">
        <v>29684</v>
      </c>
      <c r="AH22896" s="4" t="str">
        <f>HYPERLINK("#Statut_biogéographique!A"&amp;_xlfn.XMATCH("I",Statut_biogéographique!A:A,2,1),"I")</f>
        <v>I</v>
      </c>
      <c r="AP22896" s="4" t="s">
        <v>376</v>
      </c>
      <c r="AR22896" s="4" t="s">
        <v>377</v>
      </c>
    </row>
    <row r="22897" spans="1:44" ht="45">
      <c r="A22897" s="4" t="s">
        <v>24364</v>
      </c>
      <c r="B22897" s="4">
        <v>612619</v>
      </c>
      <c r="D22897" s="5" t="s">
        <v>29685</v>
      </c>
      <c r="E22897" s="6" t="str">
        <f>HYPERLINK("https://inpn.mnhn.fr/espece/cd_nom/612619","Erigeron acris subsp. acris L., 1753")</f>
        <v>Erigeron acris subsp. acris L., 1753</v>
      </c>
      <c r="F22897" s="5" t="s">
        <v>29633</v>
      </c>
      <c r="Q22897" s="7" t="str">
        <f>HYPERLINK("#Liste_rouge!A"&amp;_xlfn.XMATCH("LC",Liste_rouge!A:A,2,1),"LC")</f>
        <v>LC</v>
      </c>
      <c r="T22897" s="7" t="str">
        <f>HYPERLINK("#Liste_rouge!A"&amp;_xlfn.XMATCH("DD",Liste_rouge!A:A,2,1),"DD")</f>
        <v>DD</v>
      </c>
      <c r="AH22897" s="4" t="str">
        <f>HYPERLINK("#Statut_biogéographique!A"&amp;_xlfn.XMATCH("P",Statut_biogéographique!A:A,2,1),"P")</f>
        <v>P</v>
      </c>
      <c r="AM22897" s="4" t="s">
        <v>375</v>
      </c>
      <c r="AN22897" s="4" t="s">
        <v>375</v>
      </c>
      <c r="AO22897" s="4" t="s">
        <v>375</v>
      </c>
      <c r="AP22897" s="4" t="s">
        <v>376</v>
      </c>
      <c r="AR22897" s="4" t="s">
        <v>377</v>
      </c>
    </row>
    <row r="22898" spans="1:44" ht="30">
      <c r="A22898" s="4" t="s">
        <v>24364</v>
      </c>
      <c r="B22898" s="4">
        <v>612622</v>
      </c>
      <c r="D22898" s="5" t="s">
        <v>29686</v>
      </c>
      <c r="E22898" s="6" t="str">
        <f>HYPERLINK("https://inpn.mnhn.fr/espece/cd_nom/612622","Erigeron acris subsp. serotinus (Weihe ex Rchb.) Greuter, 2003")</f>
        <v>Erigeron acris subsp. serotinus (Weihe ex Rchb.) Greuter, 2003</v>
      </c>
      <c r="F22898" s="5" t="s">
        <v>29687</v>
      </c>
      <c r="Q22898" s="7" t="str">
        <f>HYPERLINK("#Liste_rouge!A"&amp;_xlfn.XMATCH("DD",Liste_rouge!A:A,2,1),"DD")</f>
        <v>DD</v>
      </c>
      <c r="T22898" s="7" t="str">
        <f>HYPERLINK("#Liste_rouge!A"&amp;_xlfn.XMATCH("DD",Liste_rouge!A:A,2,1),"DD")</f>
        <v>DD</v>
      </c>
      <c r="AH22898" s="4" t="str">
        <f>HYPERLINK("#Statut_biogéographique!A"&amp;_xlfn.XMATCH("P",Statut_biogéographique!A:A,2,1),"P")</f>
        <v>P</v>
      </c>
      <c r="AM22898" s="4" t="s">
        <v>375</v>
      </c>
      <c r="AN22898" s="4" t="s">
        <v>375</v>
      </c>
      <c r="AO22898" s="4" t="s">
        <v>375</v>
      </c>
      <c r="AP22898" s="4" t="s">
        <v>376</v>
      </c>
      <c r="AR22898" s="4" t="s">
        <v>377</v>
      </c>
    </row>
    <row r="22899" spans="1:44" ht="30">
      <c r="A22899" s="4" t="s">
        <v>24364</v>
      </c>
      <c r="B22899" s="4">
        <v>612629</v>
      </c>
      <c r="D22899" s="5" t="s">
        <v>29688</v>
      </c>
      <c r="E22899" s="6" t="str">
        <f>HYPERLINK("https://inpn.mnhn.fr/espece/cd_nom/612629","Xanthium orientale subsp. italicum (Moretti) Greuter, 2003")</f>
        <v>Xanthium orientale subsp. italicum (Moretti) Greuter, 2003</v>
      </c>
      <c r="F22899" s="5" t="s">
        <v>29689</v>
      </c>
      <c r="Q22899" s="7" t="str">
        <f>HYPERLINK("#Liste_rouge!A"&amp;_xlfn.XMATCH("NA",Liste_rouge!A:A,2,1),"NA")</f>
        <v>NA</v>
      </c>
      <c r="T22899" s="7" t="str">
        <f>HYPERLINK("#Liste_rouge!A"&amp;_xlfn.XMATCH("NA",Liste_rouge!A:A,2,1),"NA")</f>
        <v>NA</v>
      </c>
      <c r="AH22899" s="4" t="str">
        <f>HYPERLINK("#Statut_biogéographique!A"&amp;_xlfn.XMATCH("I",Statut_biogéographique!A:A,2,1),"I")</f>
        <v>I</v>
      </c>
      <c r="AP22899" s="4" t="s">
        <v>376</v>
      </c>
      <c r="AR22899" s="4" t="s">
        <v>377</v>
      </c>
    </row>
    <row r="22900" spans="1:44">
      <c r="A22900" s="4" t="s">
        <v>24364</v>
      </c>
      <c r="B22900" s="4">
        <v>612631</v>
      </c>
      <c r="D22900" s="5">
        <v>612631</v>
      </c>
      <c r="E22900" s="6" t="str">
        <f>HYPERLINK("https://inpn.mnhn.fr/espece/cd_nom/612631","Xanthium orientale subsp. orientale L., 1763")</f>
        <v>Xanthium orientale subsp. orientale L., 1763</v>
      </c>
      <c r="F22900" s="5" t="s">
        <v>29690</v>
      </c>
      <c r="Q22900" s="7" t="str">
        <f>HYPERLINK("#Liste_rouge!A"&amp;_xlfn.XMATCH("NA",Liste_rouge!A:A,2,1),"NA")</f>
        <v>NA</v>
      </c>
      <c r="T22900" s="7" t="str">
        <f>HYPERLINK("#Liste_rouge!A"&amp;_xlfn.XMATCH("NA",Liste_rouge!A:A,2,1),"NA")</f>
        <v>NA</v>
      </c>
      <c r="AH22900" s="4" t="str">
        <f>HYPERLINK("#Statut_biogéographique!A"&amp;_xlfn.XMATCH("I",Statut_biogéographique!A:A,2,1),"I")</f>
        <v>I</v>
      </c>
      <c r="AM22900" s="4" t="s">
        <v>375</v>
      </c>
      <c r="AN22900" s="4" t="s">
        <v>375</v>
      </c>
      <c r="AO22900" s="4" t="s">
        <v>375</v>
      </c>
      <c r="AP22900" s="4" t="s">
        <v>376</v>
      </c>
      <c r="AR22900" s="4" t="s">
        <v>377</v>
      </c>
    </row>
    <row r="22901" spans="1:44" ht="30">
      <c r="A22901" s="4" t="s">
        <v>24364</v>
      </c>
      <c r="B22901" s="4">
        <v>612632</v>
      </c>
      <c r="D22901" s="5" t="s">
        <v>29691</v>
      </c>
      <c r="E22901" s="6" t="str">
        <f>HYPERLINK("https://inpn.mnhn.fr/espece/cd_nom/612632","Leontopodium nivale subsp. alpinum (Cass.) Greuter, 2003")</f>
        <v>Leontopodium nivale subsp. alpinum (Cass.) Greuter, 2003</v>
      </c>
      <c r="F22901" s="5" t="s">
        <v>29692</v>
      </c>
      <c r="O22901" s="7" t="str">
        <f>HYPERLINK("#Liste_rouge!A"&amp;_xlfn.XMATCH("LC",Liste_rouge!A:A,2,1),"LC")</f>
        <v>LC</v>
      </c>
      <c r="P22901" s="7" t="str">
        <f>HYPERLINK("#Liste_rouge!A"&amp;_xlfn.XMATCH("LC",Liste_rouge!A:A,2,1),"LC")</f>
        <v>LC</v>
      </c>
      <c r="Q22901" s="7" t="str">
        <f>HYPERLINK("#Liste_rouge!A"&amp;_xlfn.XMATCH("LC",Liste_rouge!A:A,2,1),"LC")</f>
        <v>LC</v>
      </c>
      <c r="X22901" s="5" t="s">
        <v>374</v>
      </c>
      <c r="AB22901" s="4" t="s">
        <v>93</v>
      </c>
      <c r="AH22901" s="4" t="str">
        <f>HYPERLINK("#Statut_biogéographique!A"&amp;_xlfn.XMATCH("P",Statut_biogéographique!A:A,2,1),"P")</f>
        <v>P</v>
      </c>
      <c r="AM22901" s="4" t="s">
        <v>375</v>
      </c>
      <c r="AN22901" s="4" t="s">
        <v>375</v>
      </c>
      <c r="AO22901" s="4" t="s">
        <v>375</v>
      </c>
      <c r="AP22901" s="4" t="s">
        <v>376</v>
      </c>
      <c r="AR22901" s="4" t="s">
        <v>377</v>
      </c>
    </row>
    <row r="22902" spans="1:44" ht="60">
      <c r="A22902" s="4" t="s">
        <v>24364</v>
      </c>
      <c r="B22902" s="4">
        <v>612638</v>
      </c>
      <c r="D22902" s="5" t="s">
        <v>29693</v>
      </c>
      <c r="E22902" s="6" t="str">
        <f>HYPERLINK("https://inpn.mnhn.fr/espece/cd_nom/612638","Lysimachia arvensis subsp. arvensis (L.) U.Manns &amp; Anderb., 2009")</f>
        <v>Lysimachia arvensis subsp. arvensis (L.) U.Manns &amp; Anderb., 2009</v>
      </c>
      <c r="F22902" s="5" t="s">
        <v>29694</v>
      </c>
      <c r="Q22902" s="7" t="str">
        <f>HYPERLINK("#Liste_rouge!A"&amp;_xlfn.XMATCH("LC",Liste_rouge!A:A,2,1),"LC")</f>
        <v>LC</v>
      </c>
      <c r="T22902" s="7" t="str">
        <f>HYPERLINK("#Liste_rouge!A"&amp;_xlfn.XMATCH("DD",Liste_rouge!A:A,2,1),"DD")</f>
        <v>DD</v>
      </c>
      <c r="AH22902" s="4" t="str">
        <f>HYPERLINK("#Statut_biogéographique!A"&amp;_xlfn.XMATCH("P",Statut_biogéographique!A:A,2,1),"P")</f>
        <v>P</v>
      </c>
      <c r="AM22902" s="4" t="s">
        <v>375</v>
      </c>
      <c r="AN22902" s="4" t="s">
        <v>375</v>
      </c>
      <c r="AO22902" s="4" t="s">
        <v>375</v>
      </c>
      <c r="AP22902" s="4" t="s">
        <v>376</v>
      </c>
      <c r="AR22902" s="4" t="s">
        <v>377</v>
      </c>
    </row>
    <row r="22903" spans="1:44" ht="30">
      <c r="A22903" s="4" t="s">
        <v>24364</v>
      </c>
      <c r="B22903" s="4">
        <v>612645</v>
      </c>
      <c r="D22903" s="5" t="s">
        <v>29695</v>
      </c>
      <c r="E22903" s="6" t="str">
        <f>HYPERLINK("https://inpn.mnhn.fr/espece/cd_nom/612645","Libanotis pyrenaica subsp. intermedia (Rupr.) Soó, 1952")</f>
        <v>Libanotis pyrenaica subsp. intermedia (Rupr.) Soó, 1952</v>
      </c>
      <c r="F22903" s="5" t="s">
        <v>29696</v>
      </c>
      <c r="AH22903" s="4" t="str">
        <f>HYPERLINK("#Statut_biogéographique!A"&amp;_xlfn.XMATCH("X",Statut_biogéographique!A:A,2,1),"X")</f>
        <v>X</v>
      </c>
      <c r="AP22903" s="4" t="s">
        <v>376</v>
      </c>
      <c r="AR22903" s="4" t="s">
        <v>377</v>
      </c>
    </row>
    <row r="22904" spans="1:44" ht="30">
      <c r="A22904" s="4" t="s">
        <v>24364</v>
      </c>
      <c r="B22904" s="4">
        <v>612646</v>
      </c>
      <c r="D22904" s="5" t="s">
        <v>29697</v>
      </c>
      <c r="E22904" s="6" t="str">
        <f>HYPERLINK("https://inpn.mnhn.fr/espece/cd_nom/612646","Libanotis pyrenaica subsp. pyrenaica (L.) O.Schwarz, 1949")</f>
        <v>Libanotis pyrenaica subsp. pyrenaica (L.) O.Schwarz, 1949</v>
      </c>
      <c r="F22904" s="5" t="s">
        <v>29557</v>
      </c>
      <c r="T22904" s="7" t="str">
        <f>HYPERLINK("#Liste_rouge!A"&amp;_xlfn.XMATCH("DD",Liste_rouge!A:A,2,1),"DD")</f>
        <v>DD</v>
      </c>
      <c r="AH22904" s="4" t="str">
        <f>HYPERLINK("#Statut_biogéographique!A"&amp;_xlfn.XMATCH("P",Statut_biogéographique!A:A,2,1),"P")</f>
        <v>P</v>
      </c>
      <c r="AP22904" s="4" t="s">
        <v>376</v>
      </c>
      <c r="AR22904" s="4" t="s">
        <v>377</v>
      </c>
    </row>
    <row r="22905" spans="1:44" ht="30">
      <c r="A22905" s="4" t="s">
        <v>24364</v>
      </c>
      <c r="B22905" s="4">
        <v>612655</v>
      </c>
      <c r="D22905" s="5" t="s">
        <v>29698</v>
      </c>
      <c r="E22905" s="6" t="str">
        <f>HYPERLINK("https://inpn.mnhn.fr/espece/cd_nom/612655","Jacobaea vulgaris subsp. vulgaris Gaertn., 1791")</f>
        <v>Jacobaea vulgaris subsp. vulgaris Gaertn., 1791</v>
      </c>
      <c r="F22905" s="5" t="s">
        <v>29565</v>
      </c>
      <c r="T22905" s="7" t="str">
        <f>HYPERLINK("#Liste_rouge!A"&amp;_xlfn.XMATCH("LC",Liste_rouge!A:A,2,1),"LC")</f>
        <v>LC</v>
      </c>
      <c r="AH22905" s="4" t="str">
        <f>HYPERLINK("#Statut_biogéographique!A"&amp;_xlfn.XMATCH("P",Statut_biogéographique!A:A,2,1),"P")</f>
        <v>P</v>
      </c>
      <c r="AP22905" s="4" t="s">
        <v>376</v>
      </c>
      <c r="AR22905" s="4" t="s">
        <v>377</v>
      </c>
    </row>
    <row r="22906" spans="1:44" ht="30">
      <c r="A22906" s="4" t="s">
        <v>24364</v>
      </c>
      <c r="B22906" s="4">
        <v>612663</v>
      </c>
      <c r="D22906" s="5" t="s">
        <v>29699</v>
      </c>
      <c r="E22906" s="6" t="str">
        <f>HYPERLINK("https://inpn.mnhn.fr/espece/cd_nom/612663","Arabidopsis arenosa subsp. borbasii (Zapał.) O'Kane &amp; Al-Shehbaz, 1997")</f>
        <v>Arabidopsis arenosa subsp. borbasii (Zapał.) O'Kane &amp; Al-Shehbaz, 1997</v>
      </c>
      <c r="F22906" s="5" t="s">
        <v>29700</v>
      </c>
      <c r="Q22906" s="7" t="str">
        <f>HYPERLINK("#Liste_rouge!A"&amp;_xlfn.XMATCH("LC",Liste_rouge!A:A,2,1),"LC")</f>
        <v>LC</v>
      </c>
      <c r="T22906" s="7" t="str">
        <f>HYPERLINK("#Liste_rouge!A"&amp;_xlfn.XMATCH("LC",Liste_rouge!A:A,2,1),"LC")</f>
        <v>LC</v>
      </c>
      <c r="AH22906" s="4" t="str">
        <f>HYPERLINK("#Statut_biogéographique!A"&amp;_xlfn.XMATCH("P",Statut_biogéographique!A:A,2,1),"P")</f>
        <v>P</v>
      </c>
      <c r="AP22906" s="4" t="s">
        <v>376</v>
      </c>
      <c r="AR22906" s="4" t="s">
        <v>377</v>
      </c>
    </row>
    <row r="22907" spans="1:44" ht="45">
      <c r="A22907" s="4" t="s">
        <v>24364</v>
      </c>
      <c r="B22907" s="4">
        <v>612664</v>
      </c>
      <c r="D22907" s="5" t="s">
        <v>29701</v>
      </c>
      <c r="E22907" s="6" t="str">
        <f>HYPERLINK("https://inpn.mnhn.fr/espece/cd_nom/612664","Arabidopsis arenosa subsp. arenosa (L.) Lawalrée, 1960")</f>
        <v>Arabidopsis arenosa subsp. arenosa (L.) Lawalrée, 1960</v>
      </c>
      <c r="F22907" s="5" t="s">
        <v>29574</v>
      </c>
      <c r="Q22907" s="7" t="str">
        <f>HYPERLINK("#Liste_rouge!A"&amp;_xlfn.XMATCH("LC",Liste_rouge!A:A,2,1),"LC")</f>
        <v>LC</v>
      </c>
      <c r="T22907" s="7" t="str">
        <f>HYPERLINK("#Liste_rouge!A"&amp;_xlfn.XMATCH("LC",Liste_rouge!A:A,2,1),"LC")</f>
        <v>LC</v>
      </c>
      <c r="AH22907" s="4" t="str">
        <f>HYPERLINK("#Statut_biogéographique!A"&amp;_xlfn.XMATCH("P",Statut_biogéographique!A:A,2,1),"P")</f>
        <v>P</v>
      </c>
      <c r="AP22907" s="4" t="s">
        <v>376</v>
      </c>
      <c r="AR22907" s="4" t="s">
        <v>377</v>
      </c>
    </row>
    <row r="22908" spans="1:44" ht="30">
      <c r="A22908" s="4" t="s">
        <v>24364</v>
      </c>
      <c r="B22908" s="4">
        <v>613124</v>
      </c>
      <c r="D22908" s="5" t="s">
        <v>29702</v>
      </c>
      <c r="E22908" s="6" t="str">
        <f>HYPERLINK("https://inpn.mnhn.fr/espece/cd_nom/613124","Ptychotis saxifraga var. saxifraga (L.) Loret &amp; Barrandon, 1876")</f>
        <v>Ptychotis saxifraga var. saxifraga (L.) Loret &amp; Barrandon, 1876</v>
      </c>
      <c r="F22908" s="5" t="s">
        <v>26457</v>
      </c>
      <c r="T22908" s="7" t="str">
        <f>HYPERLINK("#Liste_rouge!A"&amp;_xlfn.XMATCH("DD",Liste_rouge!A:A,2,1),"DD")</f>
        <v>DD</v>
      </c>
      <c r="AH22908" s="4" t="str">
        <f>HYPERLINK("#Statut_biogéographique!A"&amp;_xlfn.XMATCH("P",Statut_biogéographique!A:A,2,1),"P")</f>
        <v>P</v>
      </c>
      <c r="AP22908" s="4" t="s">
        <v>376</v>
      </c>
      <c r="AR22908" s="4" t="s">
        <v>377</v>
      </c>
    </row>
    <row r="22909" spans="1:44" ht="30">
      <c r="A22909" s="4" t="s">
        <v>24364</v>
      </c>
      <c r="B22909" s="4">
        <v>613127</v>
      </c>
      <c r="D22909" s="5">
        <v>613127</v>
      </c>
      <c r="E22909" s="6" t="str">
        <f>HYPERLINK("https://inpn.mnhn.fr/espece/cd_nom/613127","Trinia glauca var. glauca (L.) Dumort., 1827")</f>
        <v>Trinia glauca var. glauca (L.) Dumort., 1827</v>
      </c>
      <c r="F22909" s="5" t="s">
        <v>27839</v>
      </c>
      <c r="M22909" s="4" t="str">
        <f>HYPERLINK("#Réglementation!A"&amp;_xlfn.XMATCH("RV43",Réglementation!A:A,2,1),"RV43")</f>
        <v>RV43</v>
      </c>
      <c r="T22909" s="7" t="str">
        <f>HYPERLINK("#Liste_rouge!A"&amp;_xlfn.XMATCH("DD",Liste_rouge!A:A,2,1),"DD")</f>
        <v>DD</v>
      </c>
      <c r="AH22909" s="4" t="str">
        <f>HYPERLINK("#Statut_biogéographique!A"&amp;_xlfn.XMATCH("P",Statut_biogéographique!A:A,2,1),"P")</f>
        <v>P</v>
      </c>
      <c r="AP22909" s="4" t="s">
        <v>376</v>
      </c>
      <c r="AR22909" s="4" t="s">
        <v>377</v>
      </c>
    </row>
    <row r="22910" spans="1:44" ht="105">
      <c r="A22910" s="4" t="s">
        <v>24364</v>
      </c>
      <c r="B22910" s="4">
        <v>613129</v>
      </c>
      <c r="D22910" s="5" t="s">
        <v>29703</v>
      </c>
      <c r="E22910" s="6" t="str">
        <f>HYPERLINK("https://inpn.mnhn.fr/espece/cd_nom/613129","Viola arvensis var. arvensis Murray, 1770")</f>
        <v>Viola arvensis var. arvensis Murray, 1770</v>
      </c>
      <c r="F22910" s="5" t="s">
        <v>28149</v>
      </c>
      <c r="T22910" s="7" t="str">
        <f>HYPERLINK("#Liste_rouge!A"&amp;_xlfn.XMATCH("DD",Liste_rouge!A:A,2,1),"DD")</f>
        <v>DD</v>
      </c>
      <c r="AH22910" s="4" t="str">
        <f>HYPERLINK("#Statut_biogéographique!A"&amp;_xlfn.XMATCH("P",Statut_biogéographique!A:A,2,1),"P")</f>
        <v>P</v>
      </c>
      <c r="AP22910" s="4" t="s">
        <v>376</v>
      </c>
      <c r="AR22910" s="4" t="s">
        <v>377</v>
      </c>
    </row>
    <row r="22911" spans="1:44" ht="30">
      <c r="A22911" s="4" t="s">
        <v>24364</v>
      </c>
      <c r="B22911" s="4">
        <v>613135</v>
      </c>
      <c r="D22911" s="5" t="s">
        <v>29704</v>
      </c>
      <c r="E22911" s="6" t="str">
        <f>HYPERLINK("https://inpn.mnhn.fr/espece/cd_nom/613135","Luzula luzuloides var. luzuloides (Lam.) Dandy &amp; Wilmott, 1938")</f>
        <v>Luzula luzuloides var. luzuloides (Lam.) Dandy &amp; Wilmott, 1938</v>
      </c>
      <c r="F22911" s="5" t="s">
        <v>25332</v>
      </c>
      <c r="T22911" s="7" t="str">
        <f>HYPERLINK("#Liste_rouge!A"&amp;_xlfn.XMATCH("NE",Liste_rouge!A:A,2,1),"NE")</f>
        <v>NE</v>
      </c>
      <c r="AH22911" s="4" t="str">
        <f>HYPERLINK("#Statut_biogéographique!A"&amp;_xlfn.XMATCH("P",Statut_biogéographique!A:A,2,1),"P")</f>
        <v>P</v>
      </c>
      <c r="AP22911" s="4" t="s">
        <v>376</v>
      </c>
      <c r="AR22911" s="4" t="s">
        <v>377</v>
      </c>
    </row>
    <row r="22912" spans="1:44" ht="30">
      <c r="A22912" s="4" t="s">
        <v>24364</v>
      </c>
      <c r="B22912" s="4">
        <v>613137</v>
      </c>
      <c r="D22912" s="5" t="s">
        <v>29705</v>
      </c>
      <c r="E22912" s="6" t="str">
        <f>HYPERLINK("https://inpn.mnhn.fr/espece/cd_nom/613137","Anacamptis pyramidalis var. pyramidalis (L.) Rich., 1817")</f>
        <v>Anacamptis pyramidalis var. pyramidalis (L.) Rich., 1817</v>
      </c>
      <c r="F22912" s="5" t="s">
        <v>29706</v>
      </c>
      <c r="G22912" s="4" t="str">
        <f>HYPERLINK("[#Réglementation!A"&amp;_xlfn.XMATCH("CCB",Réglementation!A:A,2,1),"CCB")</f>
        <v>CCB</v>
      </c>
      <c r="T22912" s="7" t="str">
        <f>HYPERLINK("#Liste_rouge!A"&amp;_xlfn.XMATCH("DD",Liste_rouge!A:A,2,1),"DD")</f>
        <v>DD</v>
      </c>
      <c r="AH22912" s="4" t="str">
        <f>HYPERLINK("#Statut_biogéographique!A"&amp;_xlfn.XMATCH("P",Statut_biogéographique!A:A,2,1),"P")</f>
        <v>P</v>
      </c>
      <c r="AL22912" s="5" t="str">
        <f>HYPERLINK("#Réglementation!A"&amp;_xlfn.XMATCH("UEintro",Réglementation!A:A,2,1),"UEintro")</f>
        <v>UEintro</v>
      </c>
      <c r="AP22912" s="4" t="s">
        <v>376</v>
      </c>
      <c r="AR22912" s="4" t="s">
        <v>377</v>
      </c>
    </row>
    <row r="22913" spans="1:44" ht="30">
      <c r="A22913" s="4" t="s">
        <v>24364</v>
      </c>
      <c r="B22913" s="4">
        <v>613139</v>
      </c>
      <c r="D22913" s="5">
        <v>613139</v>
      </c>
      <c r="E22913" s="6" t="str">
        <f>HYPERLINK("https://inpn.mnhn.fr/espece/cd_nom/613139","Agrostis canina var. canina L., 1753")</f>
        <v>Agrostis canina var. canina L., 1753</v>
      </c>
      <c r="F22913" s="5" t="s">
        <v>29707</v>
      </c>
      <c r="T22913" s="7" t="str">
        <f>HYPERLINK("#Liste_rouge!A"&amp;_xlfn.XMATCH("LC",Liste_rouge!A:A,2,1),"LC")</f>
        <v>LC</v>
      </c>
      <c r="AH22913" s="4" t="str">
        <f>HYPERLINK("#Statut_biogéographique!A"&amp;_xlfn.XMATCH("P",Statut_biogéographique!A:A,2,1),"P")</f>
        <v>P</v>
      </c>
      <c r="AP22913" s="4" t="s">
        <v>376</v>
      </c>
      <c r="AR22913" s="4" t="s">
        <v>377</v>
      </c>
    </row>
    <row r="22914" spans="1:44" ht="30">
      <c r="A22914" s="4" t="s">
        <v>24364</v>
      </c>
      <c r="B22914" s="4">
        <v>613147</v>
      </c>
      <c r="D22914" s="5" t="s">
        <v>29708</v>
      </c>
      <c r="E22914" s="6" t="str">
        <f>HYPERLINK("https://inpn.mnhn.fr/espece/cd_nom/613147","Carex umbrosa var. umbrosa Host, 1801")</f>
        <v>Carex umbrosa var. umbrosa Host, 1801</v>
      </c>
      <c r="F22914" s="5" t="s">
        <v>29709</v>
      </c>
      <c r="T22914" s="7" t="str">
        <f>HYPERLINK("#Liste_rouge!A"&amp;_xlfn.XMATCH("DD",Liste_rouge!A:A,2,1),"DD")</f>
        <v>DD</v>
      </c>
      <c r="AH22914" s="4" t="str">
        <f>HYPERLINK("#Statut_biogéographique!A"&amp;_xlfn.XMATCH("P",Statut_biogéographique!A:A,2,1),"P")</f>
        <v>P</v>
      </c>
      <c r="AP22914" s="4" t="s">
        <v>376</v>
      </c>
      <c r="AR22914" s="4" t="s">
        <v>377</v>
      </c>
    </row>
    <row r="22915" spans="1:44" ht="30">
      <c r="A22915" s="4" t="s">
        <v>24364</v>
      </c>
      <c r="B22915" s="4">
        <v>613150</v>
      </c>
      <c r="D22915" s="5" t="s">
        <v>29710</v>
      </c>
      <c r="E22915" s="6" t="str">
        <f>HYPERLINK("https://inpn.mnhn.fr/espece/cd_nom/613150","Echium vulgare var. vulgare L., 1753")</f>
        <v>Echium vulgare var. vulgare L., 1753</v>
      </c>
      <c r="F22915" s="5" t="s">
        <v>29711</v>
      </c>
      <c r="T22915" s="7" t="str">
        <f>HYPERLINK("#Liste_rouge!A"&amp;_xlfn.XMATCH("LC",Liste_rouge!A:A,2,1),"LC")</f>
        <v>LC</v>
      </c>
      <c r="AH22915" s="4" t="str">
        <f>HYPERLINK("#Statut_biogéographique!A"&amp;_xlfn.XMATCH("P",Statut_biogéographique!A:A,2,1),"P")</f>
        <v>P</v>
      </c>
      <c r="AP22915" s="4" t="s">
        <v>376</v>
      </c>
      <c r="AR22915" s="4" t="s">
        <v>377</v>
      </c>
    </row>
    <row r="22916" spans="1:44" ht="30">
      <c r="A22916" s="4" t="s">
        <v>24364</v>
      </c>
      <c r="B22916" s="4">
        <v>613486</v>
      </c>
      <c r="D22916" s="5" t="s">
        <v>29712</v>
      </c>
      <c r="E22916" s="6" t="str">
        <f>HYPERLINK("https://inpn.mnhn.fr/espece/cd_nom/613486","Chaerophyllum villarsii var. villarsii W.D.J.Koch, 1837")</f>
        <v>Chaerophyllum villarsii var. villarsii W.D.J.Koch, 1837</v>
      </c>
      <c r="F22916" s="5" t="s">
        <v>29713</v>
      </c>
      <c r="AH22916" s="4" t="str">
        <f>HYPERLINK("#Statut_biogéographique!A"&amp;_xlfn.XMATCH("P",Statut_biogéographique!A:A,2,1),"P")</f>
        <v>P</v>
      </c>
      <c r="AP22916" s="4" t="s">
        <v>376</v>
      </c>
      <c r="AR22916" s="4" t="s">
        <v>377</v>
      </c>
    </row>
    <row r="22917" spans="1:44" ht="30">
      <c r="A22917" s="4" t="s">
        <v>24364</v>
      </c>
      <c r="B22917" s="4">
        <v>613532</v>
      </c>
      <c r="D22917" s="5" t="s">
        <v>29714</v>
      </c>
      <c r="E22917" s="6" t="str">
        <f>HYPERLINK("https://inpn.mnhn.fr/espece/cd_nom/613532","Heracleum sphondylium var. sphondylium L., 1753")</f>
        <v>Heracleum sphondylium var. sphondylium L., 1753</v>
      </c>
      <c r="F22917" s="5" t="s">
        <v>29715</v>
      </c>
      <c r="T22917" s="7" t="str">
        <f>HYPERLINK("#Liste_rouge!A"&amp;_xlfn.XMATCH("LC",Liste_rouge!A:A,2,1),"LC")</f>
        <v>LC</v>
      </c>
      <c r="AH22917" s="4" t="str">
        <f>HYPERLINK("#Statut_biogéographique!A"&amp;_xlfn.XMATCH("P",Statut_biogéographique!A:A,2,1),"P")</f>
        <v>P</v>
      </c>
      <c r="AP22917" s="4" t="s">
        <v>376</v>
      </c>
      <c r="AR22917" s="4" t="s">
        <v>377</v>
      </c>
    </row>
    <row r="22918" spans="1:44">
      <c r="A22918" s="4" t="s">
        <v>24364</v>
      </c>
      <c r="B22918" s="4">
        <v>613547</v>
      </c>
      <c r="D22918" s="5">
        <v>613547</v>
      </c>
      <c r="E22918" s="6" t="str">
        <f>HYPERLINK("https://inpn.mnhn.fr/espece/cd_nom/613547","Liparis loeselii var. loeselii (L.) Rich., 1817")</f>
        <v>Liparis loeselii var. loeselii (L.) Rich., 1817</v>
      </c>
      <c r="F22918" s="5" t="s">
        <v>25220</v>
      </c>
      <c r="G22918" s="4" t="str">
        <f>HYPERLINK("#Réglementation!A"&amp;_xlfn.XMATCH("CCA",Réglementation!A:A,2,1),"CCA - CCB")</f>
        <v>CCA - CCB</v>
      </c>
      <c r="I22918" s="4" t="str">
        <f>HYPERLINK("#Réglementation!A"&amp;_xlfn.XMATCH("IBE1",Réglementation!A:A,2,1),"IBE1")</f>
        <v>IBE1</v>
      </c>
      <c r="K22918" s="4" t="str">
        <f>HYPERLINK("#Réglementation!A"&amp;_xlfn.XMATCH("CDH2",Réglementation!A:A,2,1),"CDH2 - CDH4")</f>
        <v>CDH2 - CDH4</v>
      </c>
      <c r="L22918" s="4" t="str">
        <f>HYPERLINK("#Réglementation!A"&amp;_xlfn.XMATCH("NV1",Réglementation!A:A,2,1),"NV1")</f>
        <v>NV1</v>
      </c>
      <c r="AH22918" s="4" t="str">
        <f>HYPERLINK("#Statut_biogéographique!A"&amp;_xlfn.XMATCH("P",Statut_biogéographique!A:A,2,1),"P")</f>
        <v>P</v>
      </c>
      <c r="AP22918" s="4" t="s">
        <v>376</v>
      </c>
      <c r="AR22918" s="4" t="s">
        <v>377</v>
      </c>
    </row>
    <row r="22919" spans="1:44" ht="30">
      <c r="A22919" s="4" t="s">
        <v>24364</v>
      </c>
      <c r="B22919" s="4">
        <v>613556</v>
      </c>
      <c r="D22919" s="5" t="s">
        <v>29716</v>
      </c>
      <c r="E22919" s="6" t="str">
        <f>HYPERLINK("https://inpn.mnhn.fr/espece/cd_nom/613556","Pastinaca sativa var. arvensis Pers., 1805")</f>
        <v>Pastinaca sativa var. arvensis Pers., 1805</v>
      </c>
      <c r="F22919" s="5" t="s">
        <v>29717</v>
      </c>
      <c r="T22919" s="7" t="str">
        <f>HYPERLINK("#Liste_rouge!A"&amp;_xlfn.XMATCH("LC",Liste_rouge!A:A,2,1),"LC")</f>
        <v>LC</v>
      </c>
      <c r="AH22919" s="4" t="str">
        <f>HYPERLINK("#Statut_biogéographique!A"&amp;_xlfn.XMATCH("P",Statut_biogéographique!A:A,2,1),"P")</f>
        <v>P</v>
      </c>
      <c r="AP22919" s="4" t="s">
        <v>376</v>
      </c>
      <c r="AR22919" s="4" t="s">
        <v>377</v>
      </c>
    </row>
    <row r="22920" spans="1:44">
      <c r="A22920" s="4" t="s">
        <v>24364</v>
      </c>
      <c r="B22920" s="4">
        <v>6136</v>
      </c>
      <c r="D22920" s="5" t="s">
        <v>29718</v>
      </c>
      <c r="E22920" s="6" t="str">
        <f>HYPERLINK("https://inpn.mnhn.fr/espece/cd_nom/6136","Sphaerocarpos michelii Bellardi, 1792")</f>
        <v>Sphaerocarpos michelii Bellardi, 1792</v>
      </c>
      <c r="P22920" s="7" t="str">
        <f>HYPERLINK("#Liste_rouge!A"&amp;_xlfn.XMATCH("LC",Liste_rouge!A:A,2,1),"LC")</f>
        <v>LC</v>
      </c>
      <c r="T22920" s="7" t="str">
        <f>HYPERLINK("#Liste_rouge!A"&amp;_xlfn.XMATCH("DD",Liste_rouge!A:A,2,1),"DD")</f>
        <v>DD</v>
      </c>
      <c r="AH22920" s="4" t="str">
        <f>HYPERLINK("#Statut_biogéographique!A"&amp;_xlfn.XMATCH("P",Statut_biogéographique!A:A,2,1),"P")</f>
        <v>P</v>
      </c>
      <c r="AP22920" s="4" t="s">
        <v>376</v>
      </c>
      <c r="AR22920" s="4" t="s">
        <v>377</v>
      </c>
    </row>
    <row r="22921" spans="1:44" ht="30">
      <c r="A22921" s="4" t="s">
        <v>24364</v>
      </c>
      <c r="B22921" s="4">
        <v>613607</v>
      </c>
      <c r="D22921" s="5" t="s">
        <v>29719</v>
      </c>
      <c r="E22921" s="6" t="str">
        <f>HYPERLINK("https://inpn.mnhn.fr/espece/cd_nom/613607","Silaum silaus var. silaus (L.) Schinz &amp; Thell., 1915")</f>
        <v>Silaum silaus var. silaus (L.) Schinz &amp; Thell., 1915</v>
      </c>
      <c r="F22921" s="5" t="s">
        <v>29720</v>
      </c>
      <c r="AH22921" s="4" t="str">
        <f>HYPERLINK("#Statut_biogéographique!A"&amp;_xlfn.XMATCH("P",Statut_biogéographique!A:A,2,1),"P")</f>
        <v>P</v>
      </c>
      <c r="AP22921" s="4" t="s">
        <v>376</v>
      </c>
      <c r="AR22921" s="4" t="s">
        <v>377</v>
      </c>
    </row>
    <row r="22922" spans="1:44" ht="30">
      <c r="A22922" s="4" t="s">
        <v>24364</v>
      </c>
      <c r="B22922" s="4">
        <v>613609</v>
      </c>
      <c r="D22922" s="5" t="s">
        <v>29721</v>
      </c>
      <c r="E22922" s="6" t="str">
        <f>HYPERLINK("https://inpn.mnhn.fr/espece/cd_nom/613609","Silaum silaus var. angustifolium (Wallr.) Thell., 1926")</f>
        <v>Silaum silaus var. angustifolium (Wallr.) Thell., 1926</v>
      </c>
      <c r="F22922" s="5" t="s">
        <v>29722</v>
      </c>
      <c r="AH22922" s="4" t="str">
        <f>HYPERLINK("#Statut_biogéographique!A"&amp;_xlfn.XMATCH("P",Statut_biogéographique!A:A,2,1),"P")</f>
        <v>P</v>
      </c>
      <c r="AP22922" s="4" t="s">
        <v>376</v>
      </c>
      <c r="AR22922" s="4" t="s">
        <v>377</v>
      </c>
    </row>
    <row r="22923" spans="1:44" ht="30">
      <c r="A22923" s="4" t="s">
        <v>24364</v>
      </c>
      <c r="B22923" s="4">
        <v>613622</v>
      </c>
      <c r="D22923" s="5">
        <v>613622</v>
      </c>
      <c r="E22923" s="6" t="str">
        <f>HYPERLINK("https://inpn.mnhn.fr/espece/cd_nom/613622","Torilis arvensis var. arvensis (Huds.) Link, 1821")</f>
        <v>Torilis arvensis var. arvensis (Huds.) Link, 1821</v>
      </c>
      <c r="F22923" s="5" t="s">
        <v>27743</v>
      </c>
      <c r="AH22923" s="4" t="str">
        <f>HYPERLINK("#Statut_biogéographique!A"&amp;_xlfn.XMATCH("P",Statut_biogéographique!A:A,2,1),"P")</f>
        <v>P</v>
      </c>
      <c r="AP22923" s="4" t="s">
        <v>376</v>
      </c>
      <c r="AR22923" s="4" t="s">
        <v>377</v>
      </c>
    </row>
    <row r="22924" spans="1:44" ht="30">
      <c r="A22924" s="4" t="s">
        <v>24364</v>
      </c>
      <c r="B22924" s="4">
        <v>613626</v>
      </c>
      <c r="D22924" s="5" t="s">
        <v>29723</v>
      </c>
      <c r="E22924" s="6" t="str">
        <f>HYPERLINK("https://inpn.mnhn.fr/espece/cd_nom/613626","Viola arvensis var. contempta (Jord.) Espeut, 2010")</f>
        <v>Viola arvensis var. contempta (Jord.) Espeut, 2010</v>
      </c>
      <c r="F22924" s="5" t="s">
        <v>29724</v>
      </c>
      <c r="T22924" s="7" t="str">
        <f>HYPERLINK("#Liste_rouge!A"&amp;_xlfn.XMATCH("NE",Liste_rouge!A:A,2,1),"NE")</f>
        <v>NE</v>
      </c>
      <c r="AH22924" s="4" t="str">
        <f>HYPERLINK("#Statut_biogéographique!A"&amp;_xlfn.XMATCH("P",Statut_biogéographique!A:A,2,1),"P")</f>
        <v>P</v>
      </c>
      <c r="AP22924" s="4" t="s">
        <v>376</v>
      </c>
      <c r="AR22924" s="4" t="s">
        <v>377</v>
      </c>
    </row>
    <row r="22925" spans="1:44" ht="105">
      <c r="A22925" s="4" t="s">
        <v>24364</v>
      </c>
      <c r="B22925" s="4">
        <v>613631</v>
      </c>
      <c r="D22925" s="5" t="s">
        <v>29725</v>
      </c>
      <c r="E22925" s="6" t="str">
        <f>HYPERLINK("https://inpn.mnhn.fr/espece/cd_nom/613631","Agrostis stolonifera var. arenaria (Gouan) Dobignard &amp; Portal, 2009")</f>
        <v>Agrostis stolonifera var. arenaria (Gouan) Dobignard &amp; Portal, 2009</v>
      </c>
      <c r="F22925" s="5" t="s">
        <v>29726</v>
      </c>
      <c r="AH22925" s="4" t="str">
        <f>HYPERLINK("#Statut_biogéographique!A"&amp;_xlfn.XMATCH("P",Statut_biogéographique!A:A,2,1),"P")</f>
        <v>P</v>
      </c>
      <c r="AP22925" s="4" t="s">
        <v>376</v>
      </c>
      <c r="AR22925" s="4" t="s">
        <v>377</v>
      </c>
    </row>
    <row r="22926" spans="1:44" ht="30">
      <c r="A22926" s="4" t="s">
        <v>24364</v>
      </c>
      <c r="B22926" s="4">
        <v>613671</v>
      </c>
      <c r="D22926" s="5" t="s">
        <v>29727</v>
      </c>
      <c r="E22926" s="6" t="str">
        <f>HYPERLINK("https://inpn.mnhn.fr/espece/cd_nom/613671","Rorippa pyrenaica var. pyrenaica (All.) Rchb., 1838")</f>
        <v>Rorippa pyrenaica var. pyrenaica (All.) Rchb., 1838</v>
      </c>
      <c r="F22926" s="5" t="s">
        <v>26669</v>
      </c>
      <c r="T22926" s="7" t="str">
        <f>HYPERLINK("#Liste_rouge!A"&amp;_xlfn.XMATCH("DD",Liste_rouge!A:A,2,1),"DD")</f>
        <v>DD</v>
      </c>
      <c r="AH22926" s="4" t="str">
        <f>HYPERLINK("#Statut_biogéographique!A"&amp;_xlfn.XMATCH("P",Statut_biogéographique!A:A,2,1),"P")</f>
        <v>P</v>
      </c>
      <c r="AP22926" s="4" t="s">
        <v>376</v>
      </c>
      <c r="AR22926" s="4" t="s">
        <v>377</v>
      </c>
    </row>
    <row r="22927" spans="1:44">
      <c r="A22927" s="4" t="s">
        <v>24364</v>
      </c>
      <c r="B22927" s="4">
        <v>6137</v>
      </c>
      <c r="D22927" s="5" t="s">
        <v>29728</v>
      </c>
      <c r="E22927" s="6" t="str">
        <f>HYPERLINK("https://inpn.mnhn.fr/espece/cd_nom/6137","Sphaerocarpos texanus Austin, 1877")</f>
        <v>Sphaerocarpos texanus Austin, 1877</v>
      </c>
      <c r="T22927" s="7" t="str">
        <f>HYPERLINK("#Liste_rouge!A"&amp;_xlfn.XMATCH("DD",Liste_rouge!A:A,2,1),"DD")</f>
        <v>DD</v>
      </c>
      <c r="AH22927" s="4" t="str">
        <f>HYPERLINK("#Statut_biogéographique!A"&amp;_xlfn.XMATCH("Q",Statut_biogéographique!A:A,2,1),"Q")</f>
        <v>Q</v>
      </c>
      <c r="AP22927" s="4" t="s">
        <v>376</v>
      </c>
      <c r="AR22927" s="4" t="s">
        <v>377</v>
      </c>
    </row>
    <row r="22928" spans="1:44" ht="45">
      <c r="A22928" s="4" t="s">
        <v>24364</v>
      </c>
      <c r="B22928" s="4">
        <v>613805</v>
      </c>
      <c r="D22928" s="5" t="s">
        <v>29729</v>
      </c>
      <c r="E22928" s="6" t="str">
        <f>HYPERLINK("https://inpn.mnhn.fr/espece/cd_nom/613805","Prunus cerasifera f. atropurpurea Diffel, 1893")</f>
        <v>Prunus cerasifera f. atropurpurea Diffel, 1893</v>
      </c>
      <c r="F22928" s="5" t="s">
        <v>29730</v>
      </c>
      <c r="T22928" s="7" t="str">
        <f>HYPERLINK("#Liste_rouge!A"&amp;_xlfn.XMATCH("NA",Liste_rouge!A:A,2,1),"NA")</f>
        <v>NA</v>
      </c>
      <c r="AH22928" s="4" t="str">
        <f>HYPERLINK("#Statut_biogéographique!A"&amp;_xlfn.XMATCH("M",Statut_biogéographique!A:A,2,1),"M")</f>
        <v>M</v>
      </c>
      <c r="AP22928" s="4" t="s">
        <v>376</v>
      </c>
      <c r="AR22928" s="4" t="s">
        <v>377</v>
      </c>
    </row>
    <row r="22929" spans="1:44" ht="30">
      <c r="A22929" s="4" t="s">
        <v>24364</v>
      </c>
      <c r="B22929" s="4">
        <v>613807</v>
      </c>
      <c r="D22929" s="5">
        <v>613807</v>
      </c>
      <c r="E22929" s="6" t="str">
        <f>HYPERLINK("https://inpn.mnhn.fr/espece/cd_nom/613807","Prunus cerasifera f. cerasifera Ehrh., 1784")</f>
        <v>Prunus cerasifera f. cerasifera Ehrh., 1784</v>
      </c>
      <c r="F22929" s="5" t="s">
        <v>29731</v>
      </c>
      <c r="T22929" s="7" t="str">
        <f>HYPERLINK("#Liste_rouge!A"&amp;_xlfn.XMATCH("NA",Liste_rouge!A:A,2,1),"NA")</f>
        <v>NA</v>
      </c>
      <c r="AH22929" s="4" t="str">
        <f>HYPERLINK("#Statut_biogéographique!A"&amp;_xlfn.XMATCH("I",Statut_biogéographique!A:A,2,1),"I")</f>
        <v>I</v>
      </c>
      <c r="AP22929" s="4" t="s">
        <v>376</v>
      </c>
      <c r="AR22929" s="4" t="s">
        <v>377</v>
      </c>
    </row>
    <row r="22930" spans="1:44" ht="30">
      <c r="A22930" s="4" t="s">
        <v>24364</v>
      </c>
      <c r="B22930" s="4">
        <v>6141</v>
      </c>
      <c r="D22930" s="5" t="s">
        <v>29732</v>
      </c>
      <c r="E22930" s="6" t="str">
        <f>HYPERLINK("https://inpn.mnhn.fr/espece/cd_nom/6141","Targionia hypophylla L., 1753")</f>
        <v>Targionia hypophylla L., 1753</v>
      </c>
      <c r="P22930" s="7" t="str">
        <f>HYPERLINK("#Liste_rouge!A"&amp;_xlfn.XMATCH("LC",Liste_rouge!A:A,2,1),"LC")</f>
        <v>LC</v>
      </c>
      <c r="T22930" s="7" t="str">
        <f>HYPERLINK("#Liste_rouge!A"&amp;_xlfn.XMATCH("CR",Liste_rouge!A:A,2,1),"CR")</f>
        <v>CR</v>
      </c>
      <c r="X22930" s="5" t="s">
        <v>374</v>
      </c>
      <c r="AB22930" s="4" t="s">
        <v>93</v>
      </c>
      <c r="AH22930" s="4" t="str">
        <f>HYPERLINK("#Statut_biogéographique!A"&amp;_xlfn.XMATCH("P",Statut_biogéographique!A:A,2,1),"P")</f>
        <v>P</v>
      </c>
      <c r="AP22930" s="4" t="s">
        <v>376</v>
      </c>
      <c r="AR22930" s="4" t="s">
        <v>377</v>
      </c>
    </row>
    <row r="22931" spans="1:44">
      <c r="A22931" s="4" t="s">
        <v>24364</v>
      </c>
      <c r="B22931" s="4">
        <v>614967</v>
      </c>
      <c r="D22931" s="5" t="s">
        <v>29733</v>
      </c>
      <c r="E22931" s="6" t="str">
        <f>HYPERLINK("https://inpn.mnhn.fr/espece/cd_nom/614967","Oenothera oehlkersii Kappus, 1966")</f>
        <v>Oenothera oehlkersii Kappus, 1966</v>
      </c>
      <c r="F22931" s="5" t="s">
        <v>29734</v>
      </c>
      <c r="T22931" s="7" t="str">
        <f>HYPERLINK("#Liste_rouge!A"&amp;_xlfn.XMATCH("NA",Liste_rouge!A:A,2,1),"NA")</f>
        <v>NA</v>
      </c>
      <c r="AH22931" s="4" t="str">
        <f>HYPERLINK("#Statut_biogéographique!A"&amp;_xlfn.XMATCH("I",Statut_biogéographique!A:A,2,1),"I")</f>
        <v>I</v>
      </c>
      <c r="AP22931" s="4" t="s">
        <v>376</v>
      </c>
      <c r="AR22931" s="4" t="s">
        <v>377</v>
      </c>
    </row>
    <row r="22932" spans="1:44" ht="30">
      <c r="A22932" s="4" t="s">
        <v>24364</v>
      </c>
      <c r="B22932" s="4">
        <v>6153</v>
      </c>
      <c r="D22932" s="5" t="s">
        <v>29735</v>
      </c>
      <c r="E22932" s="6" t="str">
        <f>HYPERLINK("https://inpn.mnhn.fr/espece/cd_nom/6153","Reboulia hemisphaerica (L.) Raddi, 1818")</f>
        <v>Reboulia hemisphaerica (L.) Raddi, 1818</v>
      </c>
      <c r="P22932" s="7" t="str">
        <f>HYPERLINK("#Liste_rouge!A"&amp;_xlfn.XMATCH("LC",Liste_rouge!A:A,2,1),"LC")</f>
        <v>LC</v>
      </c>
      <c r="T22932" s="7" t="str">
        <f>HYPERLINK("#Liste_rouge!A"&amp;_xlfn.XMATCH("EN",Liste_rouge!A:A,2,1),"EN")</f>
        <v>EN</v>
      </c>
      <c r="V22932" s="7" t="str">
        <f>HYPERLINK("#Liste_rouge!A"&amp;_xlfn.XMATCH("EN",Liste_rouge!A:A,2,1),"EN")</f>
        <v>EN</v>
      </c>
      <c r="X22932" s="5" t="s">
        <v>374</v>
      </c>
      <c r="AB22932" s="4" t="s">
        <v>93</v>
      </c>
      <c r="AH22932" s="4" t="str">
        <f>HYPERLINK("#Statut_biogéographique!A"&amp;_xlfn.XMATCH("P",Statut_biogéographique!A:A,2,1),"P")</f>
        <v>P</v>
      </c>
      <c r="AP22932" s="4" t="s">
        <v>376</v>
      </c>
      <c r="AR22932" s="4" t="s">
        <v>377</v>
      </c>
    </row>
    <row r="22933" spans="1:44">
      <c r="A22933" s="4" t="s">
        <v>24364</v>
      </c>
      <c r="B22933" s="4">
        <v>6159</v>
      </c>
      <c r="D22933" s="5" t="s">
        <v>29736</v>
      </c>
      <c r="E22933" s="6" t="str">
        <f>HYPERLINK("https://inpn.mnhn.fr/espece/cd_nom/6159","Mannia triandra (Scop.) Grolle, 1975")</f>
        <v>Mannia triandra (Scop.) Grolle, 1975</v>
      </c>
      <c r="I22933" s="4" t="str">
        <f>HYPERLINK("#Réglementation!A"&amp;_xlfn.XMATCH("IBE1",Réglementation!A:A,2,1),"IBE1")</f>
        <v>IBE1</v>
      </c>
      <c r="K22933" s="4" t="str">
        <f>HYPERLINK("#Réglementation!A"&amp;_xlfn.XMATCH("CDH2",Réglementation!A:A,2,1),"CDH2")</f>
        <v>CDH2</v>
      </c>
      <c r="L22933" s="4" t="str">
        <f>HYPERLINK("#Réglementation!A"&amp;_xlfn.XMATCH("NV1",Réglementation!A:A,2,1),"NV1")</f>
        <v>NV1</v>
      </c>
      <c r="P22933" s="7" t="str">
        <f>HYPERLINK("#Liste_rouge!A"&amp;_xlfn.XMATCH("VU",Liste_rouge!A:A,2,1),"VU")</f>
        <v>VU</v>
      </c>
      <c r="V22933" s="7" t="str">
        <f>HYPERLINK("#Liste_rouge!A"&amp;_xlfn.XMATCH("VU",Liste_rouge!A:A,2,1),"VU")</f>
        <v>VU</v>
      </c>
      <c r="X22933" s="5" t="s">
        <v>374</v>
      </c>
      <c r="AB22933" s="4" t="s">
        <v>93</v>
      </c>
      <c r="AE22933" s="4" t="str">
        <f>HYPERLINK("#SCAP!A"&amp;_xlfn.XMATCH("1+",SCAP!A:A,2,1),"1+")</f>
        <v>1+</v>
      </c>
      <c r="AH22933" s="4" t="str">
        <f>HYPERLINK("#Statut_biogéographique!A"&amp;_xlfn.XMATCH("P",Statut_biogéographique!A:A,2,1),"P")</f>
        <v>P</v>
      </c>
      <c r="AP22933" s="4" t="s">
        <v>376</v>
      </c>
      <c r="AR22933" s="4" t="s">
        <v>377</v>
      </c>
    </row>
    <row r="22934" spans="1:44" ht="30">
      <c r="A22934" s="4" t="s">
        <v>24364</v>
      </c>
      <c r="B22934" s="4">
        <v>6163</v>
      </c>
      <c r="D22934" s="5" t="s">
        <v>29737</v>
      </c>
      <c r="E22934" s="6" t="str">
        <f>HYPERLINK("https://inpn.mnhn.fr/espece/cd_nom/6163","Conocephalum conicum (L.) Dumort., 1822")</f>
        <v>Conocephalum conicum (L.) Dumort., 1822</v>
      </c>
      <c r="P22934" s="7" t="str">
        <f>HYPERLINK("#Liste_rouge!A"&amp;_xlfn.XMATCH("LC",Liste_rouge!A:A,2,1),"LC")</f>
        <v>LC</v>
      </c>
      <c r="T22934" s="7" t="str">
        <f>HYPERLINK("#Liste_rouge!A"&amp;_xlfn.XMATCH("LC",Liste_rouge!A:A,2,1),"LC")</f>
        <v>LC</v>
      </c>
      <c r="V22934" s="7" t="str">
        <f>HYPERLINK("#Liste_rouge!A"&amp;_xlfn.XMATCH("LC",Liste_rouge!A:A,2,1),"LC")</f>
        <v>LC</v>
      </c>
      <c r="AH22934" s="4" t="str">
        <f>HYPERLINK("#Statut_biogéographique!A"&amp;_xlfn.XMATCH("P",Statut_biogéographique!A:A,2,1),"P")</f>
        <v>P</v>
      </c>
      <c r="AP22934" s="4" t="s">
        <v>376</v>
      </c>
      <c r="AR22934" s="4" t="s">
        <v>377</v>
      </c>
    </row>
    <row r="22935" spans="1:44" ht="30">
      <c r="A22935" s="4" t="s">
        <v>24364</v>
      </c>
      <c r="B22935" s="4">
        <v>6167</v>
      </c>
      <c r="D22935" s="5" t="s">
        <v>29738</v>
      </c>
      <c r="E22935" s="6" t="str">
        <f>HYPERLINK("https://inpn.mnhn.fr/espece/cd_nom/6167","Lunularia cruciata (L.) Dumort. ex Lindb., 1868")</f>
        <v>Lunularia cruciata (L.) Dumort. ex Lindb., 1868</v>
      </c>
      <c r="P22935" s="7" t="str">
        <f>HYPERLINK("#Liste_rouge!A"&amp;_xlfn.XMATCH("LC",Liste_rouge!A:A,2,1),"LC")</f>
        <v>LC</v>
      </c>
      <c r="T22935" s="7" t="str">
        <f>HYPERLINK("#Liste_rouge!A"&amp;_xlfn.XMATCH("LC",Liste_rouge!A:A,2,1),"LC")</f>
        <v>LC</v>
      </c>
      <c r="V22935" s="7" t="str">
        <f>HYPERLINK("#Liste_rouge!A"&amp;_xlfn.XMATCH("LC",Liste_rouge!A:A,2,1),"LC")</f>
        <v>LC</v>
      </c>
      <c r="AH22935" s="4" t="str">
        <f>HYPERLINK("#Statut_biogéographique!A"&amp;_xlfn.XMATCH("P",Statut_biogéographique!A:A,2,1),"P")</f>
        <v>P</v>
      </c>
      <c r="AP22935" s="4" t="s">
        <v>376</v>
      </c>
      <c r="AR22935" s="4" t="s">
        <v>377</v>
      </c>
    </row>
    <row r="22936" spans="1:44" ht="30">
      <c r="A22936" s="4" t="s">
        <v>24364</v>
      </c>
      <c r="B22936" s="4">
        <v>616766</v>
      </c>
      <c r="D22936" s="5" t="s">
        <v>29739</v>
      </c>
      <c r="E22936" s="6" t="str">
        <f>HYPERLINK("https://inpn.mnhn.fr/espece/cd_nom/616766","Equisetum x mackayi (Newman) Brichan, 1842")</f>
        <v>Equisetum x mackayi (Newman) Brichan, 1842</v>
      </c>
      <c r="F22936" s="5" t="s">
        <v>29740</v>
      </c>
      <c r="T22936" s="7" t="str">
        <f>HYPERLINK("#Liste_rouge!A"&amp;_xlfn.XMATCH("NE",Liste_rouge!A:A,2,1),"NE")</f>
        <v>NE</v>
      </c>
      <c r="AH22936" s="4" t="str">
        <f>HYPERLINK("#Statut_biogéographique!A"&amp;_xlfn.XMATCH("P",Statut_biogéographique!A:A,2,1),"P")</f>
        <v>P</v>
      </c>
      <c r="AM22936" s="4" t="s">
        <v>375</v>
      </c>
      <c r="AN22936" s="4" t="s">
        <v>375</v>
      </c>
      <c r="AO22936" s="4" t="s">
        <v>375</v>
      </c>
      <c r="AP22936" s="4" t="s">
        <v>376</v>
      </c>
      <c r="AR22936" s="4" t="s">
        <v>377</v>
      </c>
    </row>
    <row r="22937" spans="1:44">
      <c r="A22937" s="4" t="s">
        <v>24364</v>
      </c>
      <c r="B22937" s="4">
        <v>6182</v>
      </c>
      <c r="D22937" s="5" t="s">
        <v>29741</v>
      </c>
      <c r="E22937" s="6" t="str">
        <f>HYPERLINK("https://inpn.mnhn.fr/espece/cd_nom/6182","Marchantia polymorpha L., 1753")</f>
        <v>Marchantia polymorpha L., 1753</v>
      </c>
      <c r="P22937" s="7" t="str">
        <f>HYPERLINK("#Liste_rouge!A"&amp;_xlfn.XMATCH("LC",Liste_rouge!A:A,2,1),"LC")</f>
        <v>LC</v>
      </c>
      <c r="T22937" s="7" t="str">
        <f>HYPERLINK("#Liste_rouge!A"&amp;_xlfn.XMATCH("LC",Liste_rouge!A:A,2,1),"LC")</f>
        <v>LC</v>
      </c>
      <c r="V22937" s="7" t="str">
        <f>HYPERLINK("#Liste_rouge!A"&amp;_xlfn.XMATCH("LC",Liste_rouge!A:A,2,1),"LC")</f>
        <v>LC</v>
      </c>
      <c r="AH22937" s="4" t="str">
        <f>HYPERLINK("#Statut_biogéographique!A"&amp;_xlfn.XMATCH("P",Statut_biogéographique!A:A,2,1),"P")</f>
        <v>P</v>
      </c>
      <c r="AP22937" s="4" t="s">
        <v>376</v>
      </c>
      <c r="AR22937" s="4" t="s">
        <v>377</v>
      </c>
    </row>
    <row r="22938" spans="1:44" ht="45">
      <c r="A22938" s="4" t="s">
        <v>24364</v>
      </c>
      <c r="B22938" s="4">
        <v>618756</v>
      </c>
      <c r="D22938" s="5" t="s">
        <v>29742</v>
      </c>
      <c r="E22938" s="6" t="str">
        <f>HYPERLINK("https://inpn.mnhn.fr/espece/cd_nom/618756","Anchusa azurea Mill., 1768")</f>
        <v>Anchusa azurea Mill., 1768</v>
      </c>
      <c r="F22938" s="5" t="s">
        <v>29743</v>
      </c>
      <c r="Q22938" s="7" t="str">
        <f>HYPERLINK("#Liste_rouge!A"&amp;_xlfn.XMATCH("LC",Liste_rouge!A:A,2,1),"LC")</f>
        <v>LC</v>
      </c>
      <c r="T22938" s="7" t="str">
        <f>HYPERLINK("#Liste_rouge!A"&amp;_xlfn.XMATCH("EN",Liste_rouge!A:A,2,1),"EN")</f>
        <v>EN</v>
      </c>
      <c r="U22938" s="4" t="str">
        <f>HYPERLINK("#Critères_liste_rouge!A$1","B2ab(iii,iv,v)c(iii,iv)")</f>
        <v>B2ab(iii,iv,v)c(iii,iv)</v>
      </c>
      <c r="AH22938" s="4" t="str">
        <f>HYPERLINK("#Statut_biogéographique!A"&amp;_xlfn.XMATCH("P",Statut_biogéographique!A:A,2,1),"P")</f>
        <v>P</v>
      </c>
      <c r="AM22938" s="4" t="s">
        <v>375</v>
      </c>
      <c r="AN22938" s="4" t="s">
        <v>375</v>
      </c>
      <c r="AO22938" s="4" t="s">
        <v>375</v>
      </c>
      <c r="AP22938" s="4" t="s">
        <v>376</v>
      </c>
      <c r="AR22938" s="4" t="s">
        <v>377</v>
      </c>
    </row>
    <row r="22939" spans="1:44">
      <c r="A22939" s="4" t="s">
        <v>24364</v>
      </c>
      <c r="B22939" s="4">
        <v>619068</v>
      </c>
      <c r="D22939" s="5" t="s">
        <v>29744</v>
      </c>
      <c r="E22939" s="6" t="str">
        <f>HYPERLINK("https://inpn.mnhn.fr/espece/cd_nom/619068","Centranthus x intermedius Rapin, 1862")</f>
        <v>Centranthus x intermedius Rapin, 1862</v>
      </c>
      <c r="F22939" s="5" t="s">
        <v>29745</v>
      </c>
      <c r="T22939" s="7" t="str">
        <f>HYPERLINK("#Liste_rouge!A"&amp;_xlfn.XMATCH("DD",Liste_rouge!A:A,2,1),"DD")</f>
        <v>DD</v>
      </c>
      <c r="AH22939" s="4" t="str">
        <f>HYPERLINK("#Statut_biogéographique!A"&amp;_xlfn.XMATCH("P",Statut_biogéographique!A:A,2,1),"P")</f>
        <v>P</v>
      </c>
      <c r="AP22939" s="4" t="s">
        <v>376</v>
      </c>
      <c r="AR22939" s="4" t="s">
        <v>377</v>
      </c>
    </row>
    <row r="22940" spans="1:44" ht="30">
      <c r="A22940" s="4" t="s">
        <v>24364</v>
      </c>
      <c r="B22940" s="4">
        <v>619104</v>
      </c>
      <c r="D22940" s="5" t="s">
        <v>29746</v>
      </c>
      <c r="E22940" s="6" t="str">
        <f>HYPERLINK("https://inpn.mnhn.fr/espece/cd_nom/619104","Chenopodium album nothosubsp. borbasii (Murr) Soó, 1964")</f>
        <v>Chenopodium album nothosubsp. borbasii (Murr) Soó, 1964</v>
      </c>
      <c r="F22940" s="5" t="s">
        <v>29747</v>
      </c>
      <c r="T22940" s="7" t="str">
        <f>HYPERLINK("#Liste_rouge!A"&amp;_xlfn.XMATCH("NE",Liste_rouge!A:A,2,1),"NE")</f>
        <v>NE</v>
      </c>
      <c r="AH22940" s="4" t="str">
        <f>HYPERLINK("#Statut_biogéographique!A"&amp;_xlfn.XMATCH("Q",Statut_biogéographique!A:A,2,1),"Q")</f>
        <v>Q</v>
      </c>
      <c r="AM22940" s="4" t="s">
        <v>375</v>
      </c>
      <c r="AN22940" s="4" t="s">
        <v>375</v>
      </c>
      <c r="AO22940" s="4" t="s">
        <v>375</v>
      </c>
      <c r="AP22940" s="4" t="s">
        <v>376</v>
      </c>
      <c r="AR22940" s="4" t="s">
        <v>377</v>
      </c>
    </row>
    <row r="22941" spans="1:44" ht="30">
      <c r="A22941" s="4" t="s">
        <v>24364</v>
      </c>
      <c r="B22941" s="4">
        <v>619256</v>
      </c>
      <c r="D22941" s="5">
        <v>619256</v>
      </c>
      <c r="E22941" s="6" t="str">
        <f>HYPERLINK("https://inpn.mnhn.fr/espece/cd_nom/619256","Deschampsia cespitosa var. cespitosa (L.) P.Beauv., 1812")</f>
        <v>Deschampsia cespitosa var. cespitosa (L.) P.Beauv., 1812</v>
      </c>
      <c r="F22941" s="5" t="s">
        <v>29748</v>
      </c>
      <c r="AH22941" s="4" t="str">
        <f>HYPERLINK("#Statut_biogéographique!A"&amp;_xlfn.XMATCH("P",Statut_biogéographique!A:A,2,1),"P")</f>
        <v>P</v>
      </c>
      <c r="AP22941" s="4" t="s">
        <v>376</v>
      </c>
      <c r="AR22941" s="4" t="s">
        <v>377</v>
      </c>
    </row>
    <row r="22942" spans="1:44" ht="30">
      <c r="A22942" s="4" t="s">
        <v>24364</v>
      </c>
      <c r="B22942" s="4">
        <v>619438</v>
      </c>
      <c r="D22942" s="5" t="s">
        <v>29749</v>
      </c>
      <c r="E22942" s="6" t="str">
        <f>HYPERLINK("https://inpn.mnhn.fr/espece/cd_nom/619438","Euphorbia illirica Lam., 1788")</f>
        <v>Euphorbia illirica Lam., 1788</v>
      </c>
      <c r="F22942" s="5" t="s">
        <v>29750</v>
      </c>
      <c r="Q22942" s="7" t="str">
        <f>HYPERLINK("#Liste_rouge!A"&amp;_xlfn.XMATCH("LC",Liste_rouge!A:A,2,1),"LC")</f>
        <v>LC</v>
      </c>
      <c r="T22942" s="7" t="str">
        <f>HYPERLINK("#Liste_rouge!A"&amp;_xlfn.XMATCH("EN",Liste_rouge!A:A,2,1),"EN")</f>
        <v>EN</v>
      </c>
      <c r="U22942" s="4" t="str">
        <f>HYPERLINK("#Critères_liste_rouge!A$1","D1")</f>
        <v>D1</v>
      </c>
      <c r="X22942" s="5" t="s">
        <v>374</v>
      </c>
      <c r="AB22942" s="4" t="s">
        <v>93</v>
      </c>
      <c r="AH22942" s="4" t="str">
        <f>HYPERLINK("#Statut_biogéographique!A"&amp;_xlfn.XMATCH("P",Statut_biogéographique!A:A,2,1),"P")</f>
        <v>P</v>
      </c>
      <c r="AM22942" s="4" t="s">
        <v>375</v>
      </c>
      <c r="AN22942" s="4" t="s">
        <v>375</v>
      </c>
      <c r="AO22942" s="4" t="s">
        <v>375</v>
      </c>
      <c r="AP22942" s="4" t="s">
        <v>376</v>
      </c>
      <c r="AR22942" s="4" t="s">
        <v>377</v>
      </c>
    </row>
    <row r="22943" spans="1:44" ht="30">
      <c r="A22943" s="4" t="s">
        <v>24364</v>
      </c>
      <c r="B22943" s="4">
        <v>619927</v>
      </c>
      <c r="D22943" s="5" t="s">
        <v>29751</v>
      </c>
      <c r="E22943" s="6" t="str">
        <f>HYPERLINK("https://inpn.mnhn.fr/espece/cd_nom/619927","Mentha x villosa var. alopecuroides (Hull) Briq., 1896")</f>
        <v>Mentha x villosa var. alopecuroides (Hull) Briq., 1896</v>
      </c>
      <c r="T22943" s="7" t="str">
        <f>HYPERLINK("#Liste_rouge!A"&amp;_xlfn.XMATCH("NA",Liste_rouge!A:A,2,1),"NA")</f>
        <v>NA</v>
      </c>
      <c r="AH22943" s="4" t="str">
        <f>HYPERLINK("#Statut_biogéographique!A"&amp;_xlfn.XMATCH("M",Statut_biogéographique!A:A,2,1),"M")</f>
        <v>M</v>
      </c>
      <c r="AP22943" s="4" t="s">
        <v>376</v>
      </c>
      <c r="AR22943" s="4" t="s">
        <v>377</v>
      </c>
    </row>
    <row r="22944" spans="1:44">
      <c r="A22944" s="4" t="s">
        <v>24364</v>
      </c>
      <c r="B22944" s="4">
        <v>619928</v>
      </c>
      <c r="D22944" s="5">
        <v>619928</v>
      </c>
      <c r="E22944" s="6" t="str">
        <f>HYPERLINK("https://inpn.mnhn.fr/espece/cd_nom/619928","Mentha x villosa var. villosa Huds., 1778")</f>
        <v>Mentha x villosa var. villosa Huds., 1778</v>
      </c>
      <c r="F22944" s="5" t="s">
        <v>25520</v>
      </c>
      <c r="T22944" s="7" t="str">
        <f>HYPERLINK("#Liste_rouge!A"&amp;_xlfn.XMATCH("NE",Liste_rouge!A:A,2,1),"NE")</f>
        <v>NE</v>
      </c>
      <c r="AH22944" s="4" t="str">
        <f>HYPERLINK("#Statut_biogéographique!A"&amp;_xlfn.XMATCH("P",Statut_biogéographique!A:A,2,1),"P")</f>
        <v>P</v>
      </c>
      <c r="AP22944" s="4" t="s">
        <v>376</v>
      </c>
      <c r="AR22944" s="4" t="s">
        <v>377</v>
      </c>
    </row>
    <row r="22945" spans="1:44">
      <c r="A22945" s="4" t="s">
        <v>24364</v>
      </c>
      <c r="B22945" s="4">
        <v>620382</v>
      </c>
      <c r="D22945" s="5">
        <v>620382</v>
      </c>
      <c r="E22945" s="6" t="str">
        <f>HYPERLINK("https://inpn.mnhn.fr/espece/cd_nom/620382","Pyrus communis subsp. communis L., 1753")</f>
        <v>Pyrus communis subsp. communis L., 1753</v>
      </c>
      <c r="F22945" s="5" t="s">
        <v>29752</v>
      </c>
      <c r="T22945" s="7" t="str">
        <f>HYPERLINK("#Liste_rouge!A"&amp;_xlfn.XMATCH("NA",Liste_rouge!A:A,2,1),"NA")</f>
        <v>NA</v>
      </c>
      <c r="AH22945" s="4" t="str">
        <f>HYPERLINK("#Statut_biogéographique!A"&amp;_xlfn.XMATCH("M",Statut_biogéographique!A:A,2,1),"M")</f>
        <v>M</v>
      </c>
      <c r="AP22945" s="4" t="s">
        <v>376</v>
      </c>
      <c r="AR22945" s="4" t="s">
        <v>377</v>
      </c>
    </row>
    <row r="22946" spans="1:44">
      <c r="A22946" s="4" t="s">
        <v>24364</v>
      </c>
      <c r="B22946" s="4">
        <v>6204</v>
      </c>
      <c r="D22946" s="5" t="s">
        <v>29753</v>
      </c>
      <c r="E22946" s="6" t="str">
        <f>HYPERLINK("https://inpn.mnhn.fr/espece/cd_nom/6204","Riccia beyrichiana Hampe, 1838")</f>
        <v>Riccia beyrichiana Hampe, 1838</v>
      </c>
      <c r="P22946" s="7" t="str">
        <f>HYPERLINK("#Liste_rouge!A"&amp;_xlfn.XMATCH("LC",Liste_rouge!A:A,2,1),"LC")</f>
        <v>LC</v>
      </c>
      <c r="T22946" s="7" t="str">
        <f>HYPERLINK("#Liste_rouge!A"&amp;_xlfn.XMATCH("EN",Liste_rouge!A:A,2,1),"EN")</f>
        <v>EN</v>
      </c>
      <c r="X22946" s="5" t="s">
        <v>374</v>
      </c>
      <c r="AB22946" s="4" t="s">
        <v>93</v>
      </c>
      <c r="AH22946" s="4" t="str">
        <f>HYPERLINK("#Statut_biogéographique!A"&amp;_xlfn.XMATCH("P",Statut_biogéographique!A:A,2,1),"P")</f>
        <v>P</v>
      </c>
      <c r="AP22946" s="4" t="s">
        <v>376</v>
      </c>
      <c r="AR22946" s="4" t="s">
        <v>377</v>
      </c>
    </row>
    <row r="22947" spans="1:44">
      <c r="A22947" s="4" t="s">
        <v>24364</v>
      </c>
      <c r="B22947" s="4">
        <v>620402</v>
      </c>
      <c r="D22947" s="5">
        <v>620402</v>
      </c>
      <c r="E22947" s="6" t="str">
        <f>HYPERLINK("https://inpn.mnhn.fr/espece/cd_nom/620402","Ranunculus flammula var. major Schulth.")</f>
        <v>Ranunculus flammula var. major Schulth.</v>
      </c>
      <c r="F22947" s="5" t="s">
        <v>29754</v>
      </c>
      <c r="AH22947" s="4" t="str">
        <f>HYPERLINK("#Statut_biogéographique!A"&amp;_xlfn.XMATCH("P",Statut_biogéographique!A:A,2,1),"P")</f>
        <v>P</v>
      </c>
      <c r="AP22947" s="4" t="s">
        <v>376</v>
      </c>
      <c r="AR22947" s="4" t="s">
        <v>377</v>
      </c>
    </row>
    <row r="22948" spans="1:44">
      <c r="A22948" s="4" t="s">
        <v>24364</v>
      </c>
      <c r="B22948" s="4">
        <v>620515</v>
      </c>
      <c r="D22948" s="5" t="s">
        <v>29755</v>
      </c>
      <c r="E22948" s="6" t="str">
        <f>HYPERLINK("https://inpn.mnhn.fr/espece/cd_nom/620515","Rubus constrictus P.J.Müll. &amp; Lefèvre, 1859")</f>
        <v>Rubus constrictus P.J.Müll. &amp; Lefèvre, 1859</v>
      </c>
      <c r="V22948" s="7" t="str">
        <f>HYPERLINK("#Liste_rouge!A"&amp;_xlfn.XMATCH("DD",Liste_rouge!A:A,2,1),"DD")</f>
        <v>DD</v>
      </c>
      <c r="AH22948" s="4" t="str">
        <f>HYPERLINK("#Statut_biogéographique!A"&amp;_xlfn.XMATCH("P",Statut_biogéographique!A:A,2,1),"P")</f>
        <v>P</v>
      </c>
      <c r="AM22948" s="4" t="s">
        <v>375</v>
      </c>
      <c r="AN22948" s="4" t="s">
        <v>375</v>
      </c>
      <c r="AO22948" s="4" t="s">
        <v>375</v>
      </c>
      <c r="AP22948" s="4" t="s">
        <v>376</v>
      </c>
      <c r="AR22948" s="4" t="s">
        <v>377</v>
      </c>
    </row>
    <row r="22949" spans="1:44" ht="105">
      <c r="A22949" s="4" t="s">
        <v>24364</v>
      </c>
      <c r="B22949" s="4">
        <v>620592</v>
      </c>
      <c r="D22949" s="5" t="s">
        <v>29756</v>
      </c>
      <c r="E22949" s="6" t="str">
        <f>HYPERLINK("https://inpn.mnhn.fr/espece/cd_nom/620592","Poterium sanguisorba subsp. sanguisorba L., 1753")</f>
        <v>Poterium sanguisorba subsp. sanguisorba L., 1753</v>
      </c>
      <c r="F22949" s="5" t="s">
        <v>26381</v>
      </c>
      <c r="Q22949" s="7" t="str">
        <f>HYPERLINK("#Liste_rouge!A"&amp;_xlfn.XMATCH("LC",Liste_rouge!A:A,2,1),"LC")</f>
        <v>LC</v>
      </c>
      <c r="T22949" s="7" t="str">
        <f>HYPERLINK("#Liste_rouge!A"&amp;_xlfn.XMATCH("LC",Liste_rouge!A:A,2,1),"LC")</f>
        <v>LC</v>
      </c>
      <c r="AH22949" s="4" t="str">
        <f>HYPERLINK("#Statut_biogéographique!A"&amp;_xlfn.XMATCH("P",Statut_biogéographique!A:A,2,1),"P")</f>
        <v>P</v>
      </c>
      <c r="AP22949" s="4" t="s">
        <v>376</v>
      </c>
      <c r="AR22949" s="4" t="s">
        <v>377</v>
      </c>
    </row>
    <row r="22950" spans="1:44">
      <c r="A22950" s="4" t="s">
        <v>24364</v>
      </c>
      <c r="B22950" s="4">
        <v>6206</v>
      </c>
      <c r="D22950" s="5" t="s">
        <v>29757</v>
      </c>
      <c r="E22950" s="6" t="str">
        <f>HYPERLINK("https://inpn.mnhn.fr/espece/cd_nom/6206","Riccia bifurca Hoffm., 1795")</f>
        <v>Riccia bifurca Hoffm., 1795</v>
      </c>
      <c r="P22950" s="7" t="str">
        <f>HYPERLINK("#Liste_rouge!A"&amp;_xlfn.XMATCH("LC",Liste_rouge!A:A,2,1),"LC")</f>
        <v>LC</v>
      </c>
      <c r="T22950" s="7" t="str">
        <f>HYPERLINK("#Liste_rouge!A"&amp;_xlfn.XMATCH("DD",Liste_rouge!A:A,2,1),"DD")</f>
        <v>DD</v>
      </c>
      <c r="V22950" s="7" t="str">
        <f>HYPERLINK("#Liste_rouge!A"&amp;_xlfn.XMATCH("VU",Liste_rouge!A:A,2,1),"VU")</f>
        <v>VU</v>
      </c>
      <c r="X22950" s="5" t="s">
        <v>374</v>
      </c>
      <c r="AB22950" s="4" t="s">
        <v>93</v>
      </c>
      <c r="AH22950" s="4" t="str">
        <f>HYPERLINK("#Statut_biogéographique!A"&amp;_xlfn.XMATCH("P",Statut_biogéographique!A:A,2,1),"P")</f>
        <v>P</v>
      </c>
      <c r="AP22950" s="4" t="s">
        <v>376</v>
      </c>
      <c r="AR22950" s="4" t="s">
        <v>377</v>
      </c>
    </row>
    <row r="22951" spans="1:44">
      <c r="A22951" s="4" t="s">
        <v>24364</v>
      </c>
      <c r="B22951" s="4">
        <v>6208</v>
      </c>
      <c r="D22951" s="5" t="s">
        <v>29758</v>
      </c>
      <c r="E22951" s="6" t="str">
        <f>HYPERLINK("https://inpn.mnhn.fr/espece/cd_nom/6208","Riccia canaliculata Hoffm., 1796")</f>
        <v>Riccia canaliculata Hoffm., 1796</v>
      </c>
      <c r="P22951" s="7" t="str">
        <f>HYPERLINK("#Liste_rouge!A"&amp;_xlfn.XMATCH("LC",Liste_rouge!A:A,2,1),"LC")</f>
        <v>LC</v>
      </c>
      <c r="T22951" s="7" t="str">
        <f>HYPERLINK("#Liste_rouge!A"&amp;_xlfn.XMATCH("EN",Liste_rouge!A:A,2,1),"EN")</f>
        <v>EN</v>
      </c>
      <c r="V22951" s="7" t="str">
        <f>HYPERLINK("#Liste_rouge!A"&amp;_xlfn.XMATCH("NT",Liste_rouge!A:A,2,1),"NT")</f>
        <v>NT</v>
      </c>
      <c r="X22951" s="5" t="s">
        <v>374</v>
      </c>
      <c r="AB22951" s="4" t="s">
        <v>93</v>
      </c>
      <c r="AH22951" s="4" t="str">
        <f>HYPERLINK("#Statut_biogéographique!A"&amp;_xlfn.XMATCH("P",Statut_biogéographique!A:A,2,1),"P")</f>
        <v>P</v>
      </c>
      <c r="AP22951" s="4" t="s">
        <v>376</v>
      </c>
      <c r="AR22951" s="4" t="s">
        <v>377</v>
      </c>
    </row>
    <row r="22952" spans="1:44" ht="30">
      <c r="A22952" s="4" t="s">
        <v>24364</v>
      </c>
      <c r="B22952" s="4">
        <v>620954</v>
      </c>
      <c r="D22952" s="5" t="s">
        <v>29759</v>
      </c>
      <c r="E22952" s="6" t="str">
        <f>HYPERLINK("https://inpn.mnhn.fr/espece/cd_nom/620954","Trifolium hybridum var. elegans (Savi) Boiss., 1872")</f>
        <v>Trifolium hybridum var. elegans (Savi) Boiss., 1872</v>
      </c>
      <c r="F22952" s="5" t="s">
        <v>29760</v>
      </c>
      <c r="T22952" s="7" t="str">
        <f>HYPERLINK("#Liste_rouge!A"&amp;_xlfn.XMATCH("LC",Liste_rouge!A:A,2,1),"LC")</f>
        <v>LC</v>
      </c>
      <c r="AH22952" s="4" t="str">
        <f>HYPERLINK("#Statut_biogéographique!A"&amp;_xlfn.XMATCH("P",Statut_biogéographique!A:A,2,1),"P")</f>
        <v>P</v>
      </c>
      <c r="AP22952" s="4" t="s">
        <v>376</v>
      </c>
      <c r="AR22952" s="4" t="s">
        <v>377</v>
      </c>
    </row>
    <row r="22953" spans="1:44" ht="30">
      <c r="A22953" s="4" t="s">
        <v>24364</v>
      </c>
      <c r="B22953" s="4">
        <v>6210</v>
      </c>
      <c r="D22953" s="5" t="s">
        <v>29761</v>
      </c>
      <c r="E22953" s="6" t="str">
        <f>HYPERLINK("https://inpn.mnhn.fr/espece/cd_nom/6210","Riccia cavernosa Hoffm., 1796")</f>
        <v>Riccia cavernosa Hoffm., 1796</v>
      </c>
      <c r="P22953" s="7" t="str">
        <f>HYPERLINK("#Liste_rouge!A"&amp;_xlfn.XMATCH("LC",Liste_rouge!A:A,2,1),"LC")</f>
        <v>LC</v>
      </c>
      <c r="T22953" s="7" t="str">
        <f>HYPERLINK("#Liste_rouge!A"&amp;_xlfn.XMATCH("LC",Liste_rouge!A:A,2,1),"LC")</f>
        <v>LC</v>
      </c>
      <c r="V22953" s="7" t="str">
        <f>HYPERLINK("#Liste_rouge!A"&amp;_xlfn.XMATCH("NT",Liste_rouge!A:A,2,1),"NT")</f>
        <v>NT</v>
      </c>
      <c r="AB22953" s="4" t="s">
        <v>24501</v>
      </c>
      <c r="AH22953" s="4" t="str">
        <f>HYPERLINK("#Statut_biogéographique!A"&amp;_xlfn.XMATCH("P",Statut_biogéographique!A:A,2,1),"P")</f>
        <v>P</v>
      </c>
      <c r="AP22953" s="4" t="s">
        <v>376</v>
      </c>
      <c r="AR22953" s="4" t="s">
        <v>377</v>
      </c>
    </row>
    <row r="22954" spans="1:44" ht="45">
      <c r="A22954" s="4" t="s">
        <v>24364</v>
      </c>
      <c r="B22954" s="4">
        <v>621080</v>
      </c>
      <c r="D22954" s="5" t="s">
        <v>29762</v>
      </c>
      <c r="E22954" s="6" t="str">
        <f>HYPERLINK("https://inpn.mnhn.fr/espece/cd_nom/621080","Cirsium acaulon (L.) Scop., 1769")</f>
        <v>Cirsium acaulon (L.) Scop., 1769</v>
      </c>
      <c r="F22954" s="5" t="s">
        <v>29763</v>
      </c>
      <c r="Q22954" s="7" t="str">
        <f>HYPERLINK("#Liste_rouge!A"&amp;_xlfn.XMATCH("LC",Liste_rouge!A:A,2,1),"LC")</f>
        <v>LC</v>
      </c>
      <c r="T22954" s="7" t="str">
        <f>HYPERLINK("#Liste_rouge!A"&amp;_xlfn.XMATCH("NE",Liste_rouge!A:A,2,1),"NE (cd_nom 613780) - LC (cd_nom 621080) - DD (cd_nom 613779)")</f>
        <v>NE (cd_nom 613780) - LC (cd_nom 621080) - DD (cd_nom 613779)</v>
      </c>
      <c r="V22954" s="7" t="str">
        <f>HYPERLINK("#Liste_rouge!A"&amp;_xlfn.XMATCH("LC",Liste_rouge!A:A,2,1),"LC")</f>
        <v>LC</v>
      </c>
      <c r="AH22954" s="4" t="str">
        <f>HYPERLINK("#Statut_biogéographique!A"&amp;_xlfn.XMATCH("P",Statut_biogéographique!A:A,2,1),"P")</f>
        <v>P</v>
      </c>
      <c r="AM22954" s="4" t="s">
        <v>375</v>
      </c>
      <c r="AN22954" s="4" t="s">
        <v>375</v>
      </c>
      <c r="AO22954" s="4" t="s">
        <v>375</v>
      </c>
      <c r="AP22954" s="4" t="s">
        <v>376</v>
      </c>
      <c r="AR22954" s="4" t="s">
        <v>377</v>
      </c>
    </row>
    <row r="22955" spans="1:44" ht="30">
      <c r="A22955" s="4" t="s">
        <v>24364</v>
      </c>
      <c r="B22955" s="4">
        <v>621133</v>
      </c>
      <c r="D22955" s="5" t="s">
        <v>29764</v>
      </c>
      <c r="E22955" s="6" t="str">
        <f>HYPERLINK("https://inpn.mnhn.fr/espece/cd_nom/621133","Bolboschoenus laticarpus Marhold, Hroudová, Ducháček &amp; Zákr., 2004")</f>
        <v>Bolboschoenus laticarpus Marhold, Hroudová, Ducháček &amp; Zákr., 2004</v>
      </c>
      <c r="F22955" s="5" t="s">
        <v>29765</v>
      </c>
      <c r="O22955" s="7" t="str">
        <f>HYPERLINK("#Liste_rouge!A"&amp;_xlfn.XMATCH("LC",Liste_rouge!A:A,2,1),"LC")</f>
        <v>LC</v>
      </c>
      <c r="P22955" s="7" t="str">
        <f>HYPERLINK("#Liste_rouge!A"&amp;_xlfn.XMATCH("LC",Liste_rouge!A:A,2,1),"LC")</f>
        <v>LC</v>
      </c>
      <c r="Q22955" s="7" t="str">
        <f>HYPERLINK("#Liste_rouge!A"&amp;_xlfn.XMATCH("LC",Liste_rouge!A:A,2,1),"LC")</f>
        <v>LC</v>
      </c>
      <c r="V22955" s="7" t="str">
        <f>HYPERLINK("#Liste_rouge!A"&amp;_xlfn.XMATCH("DD",Liste_rouge!A:A,2,1),"DD")</f>
        <v>DD</v>
      </c>
      <c r="X22955" s="5" t="s">
        <v>374</v>
      </c>
      <c r="AB22955" s="4" t="s">
        <v>93</v>
      </c>
      <c r="AH22955" s="4" t="str">
        <f>HYPERLINK("#Statut_biogéographique!A"&amp;_xlfn.XMATCH("P",Statut_biogéographique!A:A,2,1),"P")</f>
        <v>P</v>
      </c>
      <c r="AM22955" s="4" t="s">
        <v>375</v>
      </c>
      <c r="AN22955" s="4" t="s">
        <v>375</v>
      </c>
      <c r="AO22955" s="4" t="s">
        <v>375</v>
      </c>
      <c r="AP22955" s="4" t="s">
        <v>376</v>
      </c>
      <c r="AR22955" s="4" t="s">
        <v>377</v>
      </c>
    </row>
    <row r="22956" spans="1:44" ht="30">
      <c r="A22956" s="4" t="s">
        <v>24364</v>
      </c>
      <c r="B22956" s="4">
        <v>621236</v>
      </c>
      <c r="D22956" s="5" t="s">
        <v>29766</v>
      </c>
      <c r="E22956" s="6" t="str">
        <f>HYPERLINK("https://inpn.mnhn.fr/espece/cd_nom/621236","Triticum turgidum subsp. dicoccon (Schrank) Thell., 1918")</f>
        <v>Triticum turgidum subsp. dicoccon (Schrank) Thell., 1918</v>
      </c>
      <c r="F22956" s="5" t="s">
        <v>29767</v>
      </c>
      <c r="T22956" s="7" t="str">
        <f>HYPERLINK("#Liste_rouge!A"&amp;_xlfn.XMATCH("NA",Liste_rouge!A:A,2,1),"NA")</f>
        <v>NA</v>
      </c>
      <c r="AH22956" s="4" t="str">
        <f>HYPERLINK("#Statut_biogéographique!A"&amp;_xlfn.XMATCH("Y",Statut_biogéographique!A:A,2,1),"Y")</f>
        <v>Y</v>
      </c>
      <c r="AP22956" s="4" t="s">
        <v>376</v>
      </c>
      <c r="AR22956" s="4" t="s">
        <v>377</v>
      </c>
    </row>
    <row r="22957" spans="1:44">
      <c r="A22957" s="4" t="s">
        <v>24364</v>
      </c>
      <c r="B22957" s="4">
        <v>6213</v>
      </c>
      <c r="D22957" s="5">
        <v>6213</v>
      </c>
      <c r="E22957" s="6" t="str">
        <f>HYPERLINK("https://inpn.mnhn.fr/espece/cd_nom/6213","Riccia crozalsii Levier, 1902")</f>
        <v>Riccia crozalsii Levier, 1902</v>
      </c>
      <c r="P22957" s="7" t="str">
        <f>HYPERLINK("#Liste_rouge!A"&amp;_xlfn.XMATCH("LC",Liste_rouge!A:A,2,1),"LC")</f>
        <v>LC</v>
      </c>
      <c r="T22957" s="7" t="str">
        <f>HYPERLINK("#Liste_rouge!A"&amp;_xlfn.XMATCH("EN",Liste_rouge!A:A,2,1),"EN")</f>
        <v>EN</v>
      </c>
      <c r="X22957" s="5" t="s">
        <v>374</v>
      </c>
      <c r="AB22957" s="4" t="s">
        <v>93</v>
      </c>
      <c r="AH22957" s="4" t="str">
        <f>HYPERLINK("#Statut_biogéographique!A"&amp;_xlfn.XMATCH("P",Statut_biogéographique!A:A,2,1),"P")</f>
        <v>P</v>
      </c>
      <c r="AP22957" s="4" t="s">
        <v>376</v>
      </c>
      <c r="AR22957" s="4" t="s">
        <v>377</v>
      </c>
    </row>
    <row r="22958" spans="1:44">
      <c r="A22958" s="4" t="s">
        <v>24364</v>
      </c>
      <c r="B22958" s="4">
        <v>6214</v>
      </c>
      <c r="D22958" s="5">
        <v>6214</v>
      </c>
      <c r="E22958" s="6" t="str">
        <f>HYPERLINK("https://inpn.mnhn.fr/espece/cd_nom/6214","Riccia crustata Trab.")</f>
        <v>Riccia crustata Trab.</v>
      </c>
      <c r="P22958" s="7" t="str">
        <f>HYPERLINK("#Liste_rouge!A"&amp;_xlfn.XMATCH("VU",Liste_rouge!A:A,2,1),"VU")</f>
        <v>VU</v>
      </c>
      <c r="T22958" s="7" t="str">
        <f>HYPERLINK("#Liste_rouge!A"&amp;_xlfn.XMATCH("CR",Liste_rouge!A:A,2,1),"CR")</f>
        <v>CR</v>
      </c>
      <c r="X22958" s="5" t="s">
        <v>374</v>
      </c>
      <c r="AB22958" s="4" t="s">
        <v>93</v>
      </c>
      <c r="AH22958" s="4" t="str">
        <f>HYPERLINK("#Statut_biogéographique!A"&amp;_xlfn.XMATCH("P",Statut_biogéographique!A:A,2,1),"P")</f>
        <v>P</v>
      </c>
      <c r="AP22958" s="4" t="s">
        <v>376</v>
      </c>
      <c r="AR22958" s="4" t="s">
        <v>377</v>
      </c>
    </row>
    <row r="22959" spans="1:44">
      <c r="A22959" s="4" t="s">
        <v>24364</v>
      </c>
      <c r="B22959" s="4">
        <v>6215</v>
      </c>
      <c r="D22959" s="5" t="s">
        <v>29768</v>
      </c>
      <c r="E22959" s="6" t="str">
        <f>HYPERLINK("https://inpn.mnhn.fr/espece/cd_nom/6215","Riccia crystallina L., 1753")</f>
        <v>Riccia crystallina L., 1753</v>
      </c>
      <c r="P22959" s="7" t="str">
        <f>HYPERLINK("#Liste_rouge!A"&amp;_xlfn.XMATCH("LC",Liste_rouge!A:A,2,1),"LC")</f>
        <v>LC</v>
      </c>
      <c r="T22959" s="7" t="str">
        <f>HYPERLINK("#Liste_rouge!A"&amp;_xlfn.XMATCH("DD",Liste_rouge!A:A,2,1),"DD")</f>
        <v>DD</v>
      </c>
      <c r="AB22959" s="4" t="s">
        <v>26166</v>
      </c>
      <c r="AH22959" s="4" t="str">
        <f>HYPERLINK("#Statut_biogéographique!A"&amp;_xlfn.XMATCH("P",Statut_biogéographique!A:A,2,1),"P")</f>
        <v>P</v>
      </c>
      <c r="AP22959" s="4" t="s">
        <v>376</v>
      </c>
      <c r="AR22959" s="4" t="s">
        <v>377</v>
      </c>
    </row>
    <row r="22960" spans="1:44" ht="30">
      <c r="A22960" s="4" t="s">
        <v>24364</v>
      </c>
      <c r="B22960" s="4">
        <v>621586</v>
      </c>
      <c r="D22960" s="5" t="s">
        <v>29769</v>
      </c>
      <c r="E22960" s="6" t="str">
        <f>HYPERLINK("https://inpn.mnhn.fr/espece/cd_nom/621586","Pinus mugo nothosubsp. rotundata (Link) A.E.Murray, 1985")</f>
        <v>Pinus mugo nothosubsp. rotundata (Link) A.E.Murray, 1985</v>
      </c>
      <c r="F22960" s="5" t="s">
        <v>29770</v>
      </c>
      <c r="AH22960" s="4" t="str">
        <f>HYPERLINK("#Statut_biogéographique!A"&amp;_xlfn.XMATCH("P",Statut_biogéographique!A:A,2,1),"P")</f>
        <v>P</v>
      </c>
      <c r="AM22960" s="4" t="s">
        <v>375</v>
      </c>
      <c r="AN22960" s="4" t="s">
        <v>375</v>
      </c>
      <c r="AO22960" s="4" t="s">
        <v>375</v>
      </c>
      <c r="AP22960" s="4" t="s">
        <v>376</v>
      </c>
      <c r="AR22960" s="4" t="s">
        <v>377</v>
      </c>
    </row>
    <row r="22961" spans="1:44">
      <c r="A22961" s="4" t="s">
        <v>24364</v>
      </c>
      <c r="B22961" s="4">
        <v>6216</v>
      </c>
      <c r="D22961" s="5" t="s">
        <v>29771</v>
      </c>
      <c r="E22961" s="6" t="str">
        <f>HYPERLINK("https://inpn.mnhn.fr/espece/cd_nom/6216","Riccia fluitans L., 1753")</f>
        <v>Riccia fluitans L., 1753</v>
      </c>
      <c r="P22961" s="7" t="str">
        <f>HYPERLINK("#Liste_rouge!A"&amp;_xlfn.XMATCH("LC",Liste_rouge!A:A,2,1),"LC")</f>
        <v>LC</v>
      </c>
      <c r="T22961" s="7" t="str">
        <f>HYPERLINK("#Liste_rouge!A"&amp;_xlfn.XMATCH("LC",Liste_rouge!A:A,2,1),"LC")</f>
        <v>LC</v>
      </c>
      <c r="V22961" s="7" t="str">
        <f>HYPERLINK("#Liste_rouge!A"&amp;_xlfn.XMATCH("LC",Liste_rouge!A:A,2,1),"LC")</f>
        <v>LC</v>
      </c>
      <c r="AH22961" s="4" t="str">
        <f>HYPERLINK("#Statut_biogéographique!A"&amp;_xlfn.XMATCH("P",Statut_biogéographique!A:A,2,1),"P")</f>
        <v>P</v>
      </c>
      <c r="AP22961" s="4" t="s">
        <v>376</v>
      </c>
      <c r="AR22961" s="4" t="s">
        <v>377</v>
      </c>
    </row>
    <row r="22962" spans="1:44">
      <c r="A22962" s="4" t="s">
        <v>24364</v>
      </c>
      <c r="B22962" s="4">
        <v>621718</v>
      </c>
      <c r="D22962" s="5" t="s">
        <v>29772</v>
      </c>
      <c r="E22962" s="6" t="str">
        <f>HYPERLINK("https://inpn.mnhn.fr/espece/cd_nom/621718","Pastinaca sativa var. pratensis Pers., 1805")</f>
        <v>Pastinaca sativa var. pratensis Pers., 1805</v>
      </c>
      <c r="F22962" s="5" t="s">
        <v>29773</v>
      </c>
      <c r="AH22962" s="4" t="str">
        <f>HYPERLINK("#Statut_biogéographique!A"&amp;_xlfn.XMATCH("P",Statut_biogéographique!A:A,2,1),"P")</f>
        <v>P</v>
      </c>
      <c r="AP22962" s="4" t="s">
        <v>376</v>
      </c>
      <c r="AR22962" s="4" t="s">
        <v>377</v>
      </c>
    </row>
    <row r="22963" spans="1:44" ht="30">
      <c r="A22963" s="4" t="s">
        <v>24364</v>
      </c>
      <c r="B22963" s="4">
        <v>621765</v>
      </c>
      <c r="D22963" s="5" t="s">
        <v>29774</v>
      </c>
      <c r="E22963" s="6" t="str">
        <f>HYPERLINK("https://inpn.mnhn.fr/espece/cd_nom/621765","Bolboschoenus yagara (Ohwi) A.E.Kozhevn., 1988")</f>
        <v>Bolboschoenus yagara (Ohwi) A.E.Kozhevn., 1988</v>
      </c>
      <c r="F22963" s="5" t="s">
        <v>29775</v>
      </c>
      <c r="P22963" s="7" t="str">
        <f>HYPERLINK("#Liste_rouge!A"&amp;_xlfn.XMATCH("LC",Liste_rouge!A:A,2,1),"LC")</f>
        <v>LC</v>
      </c>
      <c r="Q22963" s="7" t="str">
        <f>HYPERLINK("#Liste_rouge!A"&amp;_xlfn.XMATCH("DD",Liste_rouge!A:A,2,1),"DD")</f>
        <v>DD</v>
      </c>
      <c r="V22963" s="7" t="str">
        <f>HYPERLINK("#Liste_rouge!A"&amp;_xlfn.XMATCH("DD",Liste_rouge!A:A,2,1),"DD")</f>
        <v>DD</v>
      </c>
      <c r="X22963" s="5" t="s">
        <v>374</v>
      </c>
      <c r="AB22963" s="4" t="s">
        <v>93</v>
      </c>
      <c r="AH22963" s="4" t="str">
        <f>HYPERLINK("#Statut_biogéographique!A"&amp;_xlfn.XMATCH("P",Statut_biogéographique!A:A,2,1),"P")</f>
        <v>P</v>
      </c>
      <c r="AM22963" s="4" t="s">
        <v>375</v>
      </c>
      <c r="AN22963" s="4" t="s">
        <v>375</v>
      </c>
      <c r="AO22963" s="4" t="s">
        <v>375</v>
      </c>
      <c r="AP22963" s="4" t="s">
        <v>376</v>
      </c>
      <c r="AR22963" s="4" t="s">
        <v>377</v>
      </c>
    </row>
    <row r="22964" spans="1:44">
      <c r="A22964" s="4" t="s">
        <v>24364</v>
      </c>
      <c r="B22964" s="4">
        <v>6218</v>
      </c>
      <c r="D22964" s="5" t="s">
        <v>29776</v>
      </c>
      <c r="E22964" s="6" t="str">
        <f>HYPERLINK("https://inpn.mnhn.fr/espece/cd_nom/6218","Riccia glauca L., 1753")</f>
        <v>Riccia glauca L., 1753</v>
      </c>
      <c r="P22964" s="7" t="str">
        <f>HYPERLINK("#Liste_rouge!A"&amp;_xlfn.XMATCH("LC",Liste_rouge!A:A,2,1),"LC")</f>
        <v>LC</v>
      </c>
      <c r="T22964" s="7" t="str">
        <f>HYPERLINK("#Liste_rouge!A"&amp;_xlfn.XMATCH("LC",Liste_rouge!A:A,2,1),"LC")</f>
        <v>LC</v>
      </c>
      <c r="V22964" s="7" t="str">
        <f>HYPERLINK("#Liste_rouge!A"&amp;_xlfn.XMATCH("LC",Liste_rouge!A:A,2,1),"LC")</f>
        <v>LC</v>
      </c>
      <c r="AH22964" s="4" t="str">
        <f>HYPERLINK("#Statut_biogéographique!A"&amp;_xlfn.XMATCH("P",Statut_biogéographique!A:A,2,1),"P")</f>
        <v>P</v>
      </c>
      <c r="AP22964" s="4" t="s">
        <v>376</v>
      </c>
      <c r="AR22964" s="4" t="s">
        <v>377</v>
      </c>
    </row>
    <row r="22965" spans="1:44">
      <c r="A22965" s="4" t="s">
        <v>24364</v>
      </c>
      <c r="B22965" s="4">
        <v>6220</v>
      </c>
      <c r="D22965" s="5" t="s">
        <v>29777</v>
      </c>
      <c r="E22965" s="6" t="str">
        <f>HYPERLINK("https://inpn.mnhn.fr/espece/cd_nom/6220","Riccia huebeneriana Lindenb., 1837")</f>
        <v>Riccia huebeneriana Lindenb., 1837</v>
      </c>
      <c r="P22965" s="7" t="str">
        <f>HYPERLINK("#Liste_rouge!A"&amp;_xlfn.XMATCH("LC",Liste_rouge!A:A,2,1),"LC")</f>
        <v>LC</v>
      </c>
      <c r="T22965" s="7" t="str">
        <f>HYPERLINK("#Liste_rouge!A"&amp;_xlfn.XMATCH("VU",Liste_rouge!A:A,2,1),"VU")</f>
        <v>VU</v>
      </c>
      <c r="V22965" s="7" t="str">
        <f>HYPERLINK("#Liste_rouge!A"&amp;_xlfn.XMATCH("NT",Liste_rouge!A:A,2,1),"NT")</f>
        <v>NT</v>
      </c>
      <c r="X22965" s="5" t="s">
        <v>374</v>
      </c>
      <c r="AB22965" s="4" t="s">
        <v>93</v>
      </c>
      <c r="AH22965" s="4" t="str">
        <f>HYPERLINK("#Statut_biogéographique!A"&amp;_xlfn.XMATCH("P",Statut_biogéographique!A:A,2,1),"P")</f>
        <v>P</v>
      </c>
      <c r="AP22965" s="4" t="s">
        <v>376</v>
      </c>
      <c r="AR22965" s="4" t="s">
        <v>377</v>
      </c>
    </row>
    <row r="22966" spans="1:44">
      <c r="A22966" s="4" t="s">
        <v>24364</v>
      </c>
      <c r="B22966" s="4">
        <v>6230</v>
      </c>
      <c r="D22966" s="5" t="s">
        <v>29778</v>
      </c>
      <c r="E22966" s="6" t="str">
        <f>HYPERLINK("https://inpn.mnhn.fr/espece/cd_nom/6230","Riccia sorocarpa Bisch., 1835")</f>
        <v>Riccia sorocarpa Bisch., 1835</v>
      </c>
      <c r="P22966" s="7" t="str">
        <f>HYPERLINK("#Liste_rouge!A"&amp;_xlfn.XMATCH("LC",Liste_rouge!A:A,2,1),"LC")</f>
        <v>LC</v>
      </c>
      <c r="T22966" s="7" t="str">
        <f>HYPERLINK("#Liste_rouge!A"&amp;_xlfn.XMATCH("LC",Liste_rouge!A:A,2,1),"LC")</f>
        <v>LC</v>
      </c>
      <c r="V22966" s="7" t="str">
        <f>HYPERLINK("#Liste_rouge!A"&amp;_xlfn.XMATCH("LC",Liste_rouge!A:A,2,1),"LC")</f>
        <v>LC</v>
      </c>
      <c r="AH22966" s="4" t="str">
        <f>HYPERLINK("#Statut_biogéographique!A"&amp;_xlfn.XMATCH("P",Statut_biogéographique!A:A,2,1),"P")</f>
        <v>P</v>
      </c>
      <c r="AP22966" s="4" t="s">
        <v>376</v>
      </c>
      <c r="AR22966" s="4" t="s">
        <v>377</v>
      </c>
    </row>
    <row r="22967" spans="1:44">
      <c r="A22967" s="4" t="s">
        <v>24364</v>
      </c>
      <c r="B22967" s="4">
        <v>6235</v>
      </c>
      <c r="D22967" s="5" t="s">
        <v>29779</v>
      </c>
      <c r="E22967" s="6" t="str">
        <f>HYPERLINK("https://inpn.mnhn.fr/espece/cd_nom/6235","Riccia warnstorfii Limpr. ex Warnst., 1899")</f>
        <v>Riccia warnstorfii Limpr. ex Warnst., 1899</v>
      </c>
      <c r="P22967" s="7" t="str">
        <f>HYPERLINK("#Liste_rouge!A"&amp;_xlfn.XMATCH("VU",Liste_rouge!A:A,2,1),"VU")</f>
        <v>VU</v>
      </c>
      <c r="T22967" s="7" t="str">
        <f>HYPERLINK("#Liste_rouge!A"&amp;_xlfn.XMATCH("VU",Liste_rouge!A:A,2,1),"VU")</f>
        <v>VU</v>
      </c>
      <c r="V22967" s="7" t="str">
        <f>HYPERLINK("#Liste_rouge!A"&amp;_xlfn.XMATCH("DD",Liste_rouge!A:A,2,1),"DD")</f>
        <v>DD</v>
      </c>
      <c r="X22967" s="5" t="s">
        <v>374</v>
      </c>
      <c r="AB22967" s="4" t="s">
        <v>93</v>
      </c>
      <c r="AH22967" s="4" t="str">
        <f>HYPERLINK("#Statut_biogéographique!A"&amp;_xlfn.XMATCH("P",Statut_biogéographique!A:A,2,1),"P")</f>
        <v>P</v>
      </c>
      <c r="AP22967" s="4" t="s">
        <v>376</v>
      </c>
      <c r="AR22967" s="4" t="s">
        <v>377</v>
      </c>
    </row>
    <row r="22968" spans="1:44">
      <c r="A22968" s="4" t="s">
        <v>24364</v>
      </c>
      <c r="B22968" s="4">
        <v>6237</v>
      </c>
      <c r="D22968" s="5" t="s">
        <v>29780</v>
      </c>
      <c r="E22968" s="6" t="str">
        <f>HYPERLINK("https://inpn.mnhn.fr/espece/cd_nom/6237","Ricciocarpos natans (L.) Corda, 1829")</f>
        <v>Ricciocarpos natans (L.) Corda, 1829</v>
      </c>
      <c r="P22968" s="7" t="str">
        <f>HYPERLINK("#Liste_rouge!A"&amp;_xlfn.XMATCH("LC",Liste_rouge!A:A,2,1),"LC")</f>
        <v>LC</v>
      </c>
      <c r="T22968" s="7" t="str">
        <f>HYPERLINK("#Liste_rouge!A"&amp;_xlfn.XMATCH("EN",Liste_rouge!A:A,2,1),"EN")</f>
        <v>EN</v>
      </c>
      <c r="V22968" s="7" t="str">
        <f>HYPERLINK("#Liste_rouge!A"&amp;_xlfn.XMATCH("VU",Liste_rouge!A:A,2,1),"VU")</f>
        <v>VU</v>
      </c>
      <c r="X22968" s="5" t="s">
        <v>374</v>
      </c>
      <c r="AB22968" s="4" t="s">
        <v>93</v>
      </c>
      <c r="AH22968" s="4" t="str">
        <f>HYPERLINK("#Statut_biogéographique!A"&amp;_xlfn.XMATCH("P",Statut_biogéographique!A:A,2,1),"P")</f>
        <v>P</v>
      </c>
      <c r="AP22968" s="4" t="s">
        <v>376</v>
      </c>
      <c r="AR22968" s="4" t="s">
        <v>377</v>
      </c>
    </row>
    <row r="22969" spans="1:44">
      <c r="A22969" s="4" t="s">
        <v>24364</v>
      </c>
      <c r="B22969" s="4">
        <v>6242</v>
      </c>
      <c r="D22969" s="5" t="s">
        <v>29781</v>
      </c>
      <c r="E22969" s="6" t="str">
        <f>HYPERLINK("https://inpn.mnhn.fr/espece/cd_nom/6242","Metzgeria pubescens (Schrank) Raddi, 1818")</f>
        <v>Metzgeria pubescens (Schrank) Raddi, 1818</v>
      </c>
      <c r="P22969" s="7" t="str">
        <f>HYPERLINK("#Liste_rouge!A"&amp;_xlfn.XMATCH("LC",Liste_rouge!A:A,2,1),"LC")</f>
        <v>LC</v>
      </c>
      <c r="T22969" s="7" t="str">
        <f>HYPERLINK("#Liste_rouge!A"&amp;_xlfn.XMATCH("NT",Liste_rouge!A:A,2,1),"NT")</f>
        <v>NT</v>
      </c>
      <c r="V22969" s="7" t="str">
        <f>HYPERLINK("#Liste_rouge!A"&amp;_xlfn.XMATCH("LC",Liste_rouge!A:A,2,1),"LC")</f>
        <v>LC</v>
      </c>
      <c r="AB22969" s="4" t="s">
        <v>24719</v>
      </c>
      <c r="AH22969" s="4" t="str">
        <f>HYPERLINK("#Statut_biogéographique!A"&amp;_xlfn.XMATCH("P",Statut_biogéographique!A:A,2,1),"P")</f>
        <v>P</v>
      </c>
      <c r="AP22969" s="4" t="s">
        <v>376</v>
      </c>
      <c r="AR22969" s="4" t="s">
        <v>377</v>
      </c>
    </row>
    <row r="22970" spans="1:44">
      <c r="A22970" s="4" t="s">
        <v>24364</v>
      </c>
      <c r="B22970" s="4">
        <v>6244</v>
      </c>
      <c r="D22970" s="5">
        <v>6244</v>
      </c>
      <c r="E22970" s="6" t="str">
        <f>HYPERLINK("https://inpn.mnhn.fr/espece/cd_nom/6244","Metzgeria conjugata Lindb., 1875")</f>
        <v>Metzgeria conjugata Lindb., 1875</v>
      </c>
      <c r="P22970" s="7" t="str">
        <f>HYPERLINK("#Liste_rouge!A"&amp;_xlfn.XMATCH("LC",Liste_rouge!A:A,2,1),"LC")</f>
        <v>LC</v>
      </c>
      <c r="T22970" s="7" t="str">
        <f>HYPERLINK("#Liste_rouge!A"&amp;_xlfn.XMATCH("LC",Liste_rouge!A:A,2,1),"LC")</f>
        <v>LC</v>
      </c>
      <c r="V22970" s="7" t="str">
        <f>HYPERLINK("#Liste_rouge!A"&amp;_xlfn.XMATCH("LC",Liste_rouge!A:A,2,1),"LC")</f>
        <v>LC</v>
      </c>
      <c r="AH22970" s="4" t="str">
        <f>HYPERLINK("#Statut_biogéographique!A"&amp;_xlfn.XMATCH("P",Statut_biogéographique!A:A,2,1),"P")</f>
        <v>P</v>
      </c>
      <c r="AP22970" s="4" t="s">
        <v>376</v>
      </c>
      <c r="AR22970" s="4" t="s">
        <v>377</v>
      </c>
    </row>
    <row r="22971" spans="1:44">
      <c r="A22971" s="4" t="s">
        <v>24364</v>
      </c>
      <c r="B22971" s="4">
        <v>6248</v>
      </c>
      <c r="D22971" s="5">
        <v>6248</v>
      </c>
      <c r="E22971" s="6" t="str">
        <f>HYPERLINK("https://inpn.mnhn.fr/espece/cd_nom/6248","Metzgeria temperata Kuwah., 1976")</f>
        <v>Metzgeria temperata Kuwah., 1976</v>
      </c>
      <c r="T22971" s="7" t="str">
        <f>HYPERLINK("#Liste_rouge!A"&amp;_xlfn.XMATCH("DD",Liste_rouge!A:A,2,1),"DD")</f>
        <v>DD</v>
      </c>
      <c r="V22971" s="7" t="str">
        <f>HYPERLINK("#Liste_rouge!A"&amp;_xlfn.XMATCH("LC",Liste_rouge!A:A,2,1),"LC")</f>
        <v>LC</v>
      </c>
      <c r="AH22971" s="4" t="str">
        <f>HYPERLINK("#Statut_biogéographique!A"&amp;_xlfn.XMATCH("P",Statut_biogéographique!A:A,2,1),"P")</f>
        <v>P</v>
      </c>
      <c r="AP22971" s="4" t="s">
        <v>376</v>
      </c>
      <c r="AR22971" s="4" t="s">
        <v>377</v>
      </c>
    </row>
    <row r="22972" spans="1:44">
      <c r="A22972" s="4" t="s">
        <v>24364</v>
      </c>
      <c r="B22972" s="4">
        <v>6251</v>
      </c>
      <c r="D22972" s="5" t="s">
        <v>29782</v>
      </c>
      <c r="E22972" s="6" t="str">
        <f>HYPERLINK("https://inpn.mnhn.fr/espece/cd_nom/6251","Aneura pinguis (L.) Dumort., 1822")</f>
        <v>Aneura pinguis (L.) Dumort., 1822</v>
      </c>
      <c r="P22972" s="7" t="str">
        <f>HYPERLINK("#Liste_rouge!A"&amp;_xlfn.XMATCH("LC",Liste_rouge!A:A,2,1),"LC")</f>
        <v>LC</v>
      </c>
      <c r="T22972" s="7" t="str">
        <f>HYPERLINK("#Liste_rouge!A"&amp;_xlfn.XMATCH("LC",Liste_rouge!A:A,2,1),"LC")</f>
        <v>LC</v>
      </c>
      <c r="V22972" s="7" t="str">
        <f>HYPERLINK("#Liste_rouge!A"&amp;_xlfn.XMATCH("LC",Liste_rouge!A:A,2,1),"LC")</f>
        <v>LC</v>
      </c>
      <c r="AH22972" s="4" t="str">
        <f>HYPERLINK("#Statut_biogéographique!A"&amp;_xlfn.XMATCH("P",Statut_biogéographique!A:A,2,1),"P")</f>
        <v>P</v>
      </c>
      <c r="AP22972" s="4" t="s">
        <v>376</v>
      </c>
      <c r="AR22972" s="4" t="s">
        <v>377</v>
      </c>
    </row>
    <row r="22973" spans="1:44" ht="30">
      <c r="A22973" s="4" t="s">
        <v>24364</v>
      </c>
      <c r="B22973" s="4">
        <v>6254</v>
      </c>
      <c r="D22973" s="5" t="s">
        <v>29783</v>
      </c>
      <c r="E22973" s="6" t="str">
        <f>HYPERLINK("https://inpn.mnhn.fr/espece/cd_nom/6254","Riccardia chamedryfolia (With.) Grolle, 1969")</f>
        <v>Riccardia chamedryfolia (With.) Grolle, 1969</v>
      </c>
      <c r="P22973" s="7" t="str">
        <f>HYPERLINK("#Liste_rouge!A"&amp;_xlfn.XMATCH("LC",Liste_rouge!A:A,2,1),"LC")</f>
        <v>LC</v>
      </c>
      <c r="T22973" s="7" t="str">
        <f>HYPERLINK("#Liste_rouge!A"&amp;_xlfn.XMATCH("LC",Liste_rouge!A:A,2,1),"LC")</f>
        <v>LC</v>
      </c>
      <c r="V22973" s="7" t="str">
        <f>HYPERLINK("#Liste_rouge!A"&amp;_xlfn.XMATCH("NT",Liste_rouge!A:A,2,1),"NT")</f>
        <v>NT</v>
      </c>
      <c r="AB22973" s="4" t="s">
        <v>24733</v>
      </c>
      <c r="AH22973" s="4" t="str">
        <f>HYPERLINK("#Statut_biogéographique!A"&amp;_xlfn.XMATCH("P",Statut_biogéographique!A:A,2,1),"P")</f>
        <v>P</v>
      </c>
      <c r="AP22973" s="4" t="s">
        <v>376</v>
      </c>
      <c r="AR22973" s="4" t="s">
        <v>377</v>
      </c>
    </row>
    <row r="22974" spans="1:44">
      <c r="A22974" s="4" t="s">
        <v>24364</v>
      </c>
      <c r="B22974" s="4">
        <v>6257</v>
      </c>
      <c r="D22974" s="5" t="s">
        <v>29784</v>
      </c>
      <c r="E22974" s="6" t="str">
        <f>HYPERLINK("https://inpn.mnhn.fr/espece/cd_nom/6257","Riccardia incurvata Lindb., 1878")</f>
        <v>Riccardia incurvata Lindb., 1878</v>
      </c>
      <c r="P22974" s="7" t="str">
        <f>HYPERLINK("#Liste_rouge!A"&amp;_xlfn.XMATCH("LC",Liste_rouge!A:A,2,1),"LC")</f>
        <v>LC</v>
      </c>
      <c r="T22974" s="7" t="str">
        <f>HYPERLINK("#Liste_rouge!A"&amp;_xlfn.XMATCH("EN",Liste_rouge!A:A,2,1),"EN")</f>
        <v>EN</v>
      </c>
      <c r="V22974" s="7" t="str">
        <f>HYPERLINK("#Liste_rouge!A"&amp;_xlfn.XMATCH("VU",Liste_rouge!A:A,2,1),"VU")</f>
        <v>VU</v>
      </c>
      <c r="X22974" s="5" t="s">
        <v>374</v>
      </c>
      <c r="AB22974" s="4" t="s">
        <v>93</v>
      </c>
      <c r="AH22974" s="4" t="str">
        <f>HYPERLINK("#Statut_biogéographique!A"&amp;_xlfn.XMATCH("P",Statut_biogéographique!A:A,2,1),"P")</f>
        <v>P</v>
      </c>
      <c r="AP22974" s="4" t="s">
        <v>376</v>
      </c>
      <c r="AR22974" s="4" t="s">
        <v>377</v>
      </c>
    </row>
    <row r="22975" spans="1:44">
      <c r="A22975" s="4" t="s">
        <v>24364</v>
      </c>
      <c r="B22975" s="4">
        <v>6258</v>
      </c>
      <c r="D22975" s="5" t="s">
        <v>29785</v>
      </c>
      <c r="E22975" s="6" t="str">
        <f>HYPERLINK("https://inpn.mnhn.fr/espece/cd_nom/6258","Riccardia latifrons (Lindb.) Lindb., 1875")</f>
        <v>Riccardia latifrons (Lindb.) Lindb., 1875</v>
      </c>
      <c r="P22975" s="7" t="str">
        <f>HYPERLINK("#Liste_rouge!A"&amp;_xlfn.XMATCH("LC",Liste_rouge!A:A,2,1),"LC")</f>
        <v>LC</v>
      </c>
      <c r="T22975" s="7" t="str">
        <f>HYPERLINK("#Liste_rouge!A"&amp;_xlfn.XMATCH("EN",Liste_rouge!A:A,2,1),"EN")</f>
        <v>EN</v>
      </c>
      <c r="V22975" s="7" t="str">
        <f>HYPERLINK("#Liste_rouge!A"&amp;_xlfn.XMATCH("LC",Liste_rouge!A:A,2,1),"LC")</f>
        <v>LC</v>
      </c>
      <c r="AB22975" s="4" t="s">
        <v>25294</v>
      </c>
      <c r="AH22975" s="4" t="str">
        <f>HYPERLINK("#Statut_biogéographique!A"&amp;_xlfn.XMATCH("P",Statut_biogéographique!A:A,2,1),"P")</f>
        <v>P</v>
      </c>
      <c r="AP22975" s="4" t="s">
        <v>376</v>
      </c>
      <c r="AR22975" s="4" t="s">
        <v>377</v>
      </c>
    </row>
    <row r="22976" spans="1:44">
      <c r="A22976" s="4" t="s">
        <v>24364</v>
      </c>
      <c r="B22976" s="4">
        <v>6259</v>
      </c>
      <c r="D22976" s="5" t="s">
        <v>29786</v>
      </c>
      <c r="E22976" s="6" t="str">
        <f>HYPERLINK("https://inpn.mnhn.fr/espece/cd_nom/6259","Riccardia multifida (L.) Gray, 1821")</f>
        <v>Riccardia multifida (L.) Gray, 1821</v>
      </c>
      <c r="P22976" s="7" t="str">
        <f>HYPERLINK("#Liste_rouge!A"&amp;_xlfn.XMATCH("LC",Liste_rouge!A:A,2,1),"LC")</f>
        <v>LC</v>
      </c>
      <c r="T22976" s="7" t="str">
        <f>HYPERLINK("#Liste_rouge!A"&amp;_xlfn.XMATCH("LC",Liste_rouge!A:A,2,1),"LC")</f>
        <v>LC</v>
      </c>
      <c r="V22976" s="7" t="str">
        <f>HYPERLINK("#Liste_rouge!A"&amp;_xlfn.XMATCH("LC",Liste_rouge!A:A,2,1),"LC")</f>
        <v>LC</v>
      </c>
      <c r="AH22976" s="4" t="str">
        <f>HYPERLINK("#Statut_biogéographique!A"&amp;_xlfn.XMATCH("P",Statut_biogéographique!A:A,2,1),"P")</f>
        <v>P</v>
      </c>
      <c r="AP22976" s="4" t="s">
        <v>376</v>
      </c>
      <c r="AR22976" s="4" t="s">
        <v>377</v>
      </c>
    </row>
    <row r="22977" spans="1:44">
      <c r="A22977" s="4" t="s">
        <v>24364</v>
      </c>
      <c r="B22977" s="4">
        <v>6261</v>
      </c>
      <c r="D22977" s="5" t="s">
        <v>29787</v>
      </c>
      <c r="E22977" s="6" t="str">
        <f>HYPERLINK("https://inpn.mnhn.fr/espece/cd_nom/6261","Riccardia palmata (Hedw.) Carruth., 1865")</f>
        <v>Riccardia palmata (Hedw.) Carruth., 1865</v>
      </c>
      <c r="P22977" s="7" t="str">
        <f>HYPERLINK("#Liste_rouge!A"&amp;_xlfn.XMATCH("LC",Liste_rouge!A:A,2,1),"LC")</f>
        <v>LC</v>
      </c>
      <c r="T22977" s="7" t="str">
        <f>HYPERLINK("#Liste_rouge!A"&amp;_xlfn.XMATCH("VU",Liste_rouge!A:A,2,1),"VU")</f>
        <v>VU</v>
      </c>
      <c r="V22977" s="7" t="str">
        <f>HYPERLINK("#Liste_rouge!A"&amp;_xlfn.XMATCH("LC",Liste_rouge!A:A,2,1),"LC")</f>
        <v>LC</v>
      </c>
      <c r="AB22977" s="4" t="s">
        <v>24634</v>
      </c>
      <c r="AH22977" s="4" t="str">
        <f>HYPERLINK("#Statut_biogéographique!A"&amp;_xlfn.XMATCH("P",Statut_biogéographique!A:A,2,1),"P")</f>
        <v>P</v>
      </c>
      <c r="AP22977" s="4" t="s">
        <v>376</v>
      </c>
      <c r="AR22977" s="4" t="s">
        <v>377</v>
      </c>
    </row>
    <row r="22978" spans="1:44">
      <c r="A22978" s="4" t="s">
        <v>24364</v>
      </c>
      <c r="B22978" s="4">
        <v>6267</v>
      </c>
      <c r="D22978" s="5" t="s">
        <v>29788</v>
      </c>
      <c r="E22978" s="6" t="str">
        <f>HYPERLINK("https://inpn.mnhn.fr/espece/cd_nom/6267","Pellia epiphylla (L.) Corda, 1829")</f>
        <v>Pellia epiphylla (L.) Corda, 1829</v>
      </c>
      <c r="P22978" s="7" t="str">
        <f>HYPERLINK("#Liste_rouge!A"&amp;_xlfn.XMATCH("LC",Liste_rouge!A:A,2,1),"LC")</f>
        <v>LC</v>
      </c>
      <c r="T22978" s="7" t="str">
        <f>HYPERLINK("#Liste_rouge!A"&amp;_xlfn.XMATCH("LC",Liste_rouge!A:A,2,1),"LC")</f>
        <v>LC</v>
      </c>
      <c r="V22978" s="7" t="str">
        <f>HYPERLINK("#Liste_rouge!A"&amp;_xlfn.XMATCH("LC",Liste_rouge!A:A,2,1),"LC")</f>
        <v>LC</v>
      </c>
      <c r="AH22978" s="4" t="str">
        <f>HYPERLINK("#Statut_biogéographique!A"&amp;_xlfn.XMATCH("P",Statut_biogéographique!A:A,2,1),"P")</f>
        <v>P</v>
      </c>
      <c r="AP22978" s="4" t="s">
        <v>376</v>
      </c>
      <c r="AR22978" s="4" t="s">
        <v>377</v>
      </c>
    </row>
    <row r="22979" spans="1:44">
      <c r="A22979" s="4" t="s">
        <v>24364</v>
      </c>
      <c r="B22979" s="4">
        <v>627047</v>
      </c>
      <c r="D22979" s="5" t="s">
        <v>29789</v>
      </c>
      <c r="E22979" s="6" t="str">
        <f>HYPERLINK("https://inpn.mnhn.fr/espece/cd_nom/627047","Thorea hispida (Thore) Desv., 1818")</f>
        <v>Thorea hispida (Thore) Desv., 1818</v>
      </c>
      <c r="AH22979" s="4" t="str">
        <f>HYPERLINK("#Statut_biogéographique!A"&amp;_xlfn.XMATCH("P",Statut_biogéographique!A:A,2,1),"P")</f>
        <v>P</v>
      </c>
      <c r="AP22979" s="4" t="s">
        <v>376</v>
      </c>
      <c r="AR22979" s="4" t="s">
        <v>377</v>
      </c>
    </row>
    <row r="22980" spans="1:44" ht="45">
      <c r="A22980" s="4" t="s">
        <v>24364</v>
      </c>
      <c r="B22980" s="4">
        <v>627092</v>
      </c>
      <c r="D22980" s="5" t="s">
        <v>29790</v>
      </c>
      <c r="E22980" s="6" t="str">
        <f>HYPERLINK("https://inpn.mnhn.fr/espece/cd_nom/627092","Chara virgata Kütz., 1834")</f>
        <v>Chara virgata Kütz., 1834</v>
      </c>
      <c r="AH22980" s="4" t="str">
        <f>HYPERLINK("#Statut_biogéographique!A"&amp;_xlfn.XMATCH("P",Statut_biogéographique!A:A,2,1),"P")</f>
        <v>P</v>
      </c>
      <c r="AP22980" s="4" t="s">
        <v>376</v>
      </c>
      <c r="AR22980" s="4" t="s">
        <v>377</v>
      </c>
    </row>
    <row r="22981" spans="1:44">
      <c r="A22981" s="4" t="s">
        <v>24364</v>
      </c>
      <c r="B22981" s="4">
        <v>6271</v>
      </c>
      <c r="D22981" s="5" t="s">
        <v>29791</v>
      </c>
      <c r="E22981" s="6" t="str">
        <f>HYPERLINK("https://inpn.mnhn.fr/espece/cd_nom/6271","Pellia neesiana (Gottsche) Limpr., 1876")</f>
        <v>Pellia neesiana (Gottsche) Limpr., 1876</v>
      </c>
      <c r="P22981" s="7" t="str">
        <f>HYPERLINK("#Liste_rouge!A"&amp;_xlfn.XMATCH("LC",Liste_rouge!A:A,2,1),"LC")</f>
        <v>LC</v>
      </c>
      <c r="V22981" s="7" t="str">
        <f>HYPERLINK("#Liste_rouge!A"&amp;_xlfn.XMATCH("LC",Liste_rouge!A:A,2,1),"LC")</f>
        <v>LC</v>
      </c>
      <c r="AH22981" s="4" t="str">
        <f>HYPERLINK("#Statut_biogéographique!A"&amp;_xlfn.XMATCH("P",Statut_biogéographique!A:A,2,1),"P")</f>
        <v>P</v>
      </c>
      <c r="AP22981" s="4" t="s">
        <v>376</v>
      </c>
      <c r="AR22981" s="4" t="s">
        <v>377</v>
      </c>
    </row>
    <row r="22982" spans="1:44" ht="45">
      <c r="A22982" s="4" t="s">
        <v>24364</v>
      </c>
      <c r="B22982" s="4">
        <v>627574</v>
      </c>
      <c r="D22982" s="5" t="s">
        <v>29792</v>
      </c>
      <c r="E22982" s="6" t="str">
        <f>HYPERLINK("https://inpn.mnhn.fr/espece/cd_nom/627574","Nitella hyalina (DC.) C.Agardh, 1824")</f>
        <v>Nitella hyalina (DC.) C.Agardh, 1824</v>
      </c>
      <c r="AH22982" s="4" t="str">
        <f>HYPERLINK("#Statut_biogéographique!A"&amp;_xlfn.XMATCH("P",Statut_biogéographique!A:A,2,1),"P")</f>
        <v>P</v>
      </c>
      <c r="AP22982" s="4" t="s">
        <v>376</v>
      </c>
      <c r="AR22982" s="4" t="s">
        <v>377</v>
      </c>
    </row>
    <row r="22983" spans="1:44" ht="45">
      <c r="A22983" s="4" t="s">
        <v>24364</v>
      </c>
      <c r="B22983" s="4">
        <v>627575</v>
      </c>
      <c r="D22983" s="5" t="s">
        <v>29793</v>
      </c>
      <c r="E22983" s="6" t="str">
        <f>HYPERLINK("https://inpn.mnhn.fr/espece/cd_nom/627575","Chara curta E.F.Nolte ex Kütz., 1857")</f>
        <v>Chara curta E.F.Nolte ex Kütz., 1857</v>
      </c>
      <c r="AH22983" s="4" t="str">
        <f>HYPERLINK("#Statut_biogéographique!A"&amp;_xlfn.XMATCH("P",Statut_biogéographique!A:A,2,1),"P")</f>
        <v>P</v>
      </c>
      <c r="AP22983" s="4" t="s">
        <v>376</v>
      </c>
      <c r="AR22983" s="4" t="s">
        <v>377</v>
      </c>
    </row>
    <row r="22984" spans="1:44" ht="105">
      <c r="A22984" s="4" t="s">
        <v>24364</v>
      </c>
      <c r="B22984" s="4">
        <v>627577</v>
      </c>
      <c r="D22984" s="5" t="s">
        <v>29794</v>
      </c>
      <c r="E22984" s="6" t="str">
        <f>HYPERLINK("https://inpn.mnhn.fr/espece/cd_nom/627577","Nitella gracilis (Sm.) C.Agardh, 1824")</f>
        <v>Nitella gracilis (Sm.) C.Agardh, 1824</v>
      </c>
      <c r="AH22984" s="4" t="str">
        <f>HYPERLINK("#Statut_biogéographique!A"&amp;_xlfn.XMATCH("P",Statut_biogéographique!A:A,2,1),"P")</f>
        <v>P</v>
      </c>
      <c r="AP22984" s="4" t="s">
        <v>376</v>
      </c>
      <c r="AR22984" s="4" t="s">
        <v>377</v>
      </c>
    </row>
    <row r="22985" spans="1:44" ht="75">
      <c r="A22985" s="4" t="s">
        <v>24364</v>
      </c>
      <c r="B22985" s="4">
        <v>627578</v>
      </c>
      <c r="D22985" s="5" t="s">
        <v>29795</v>
      </c>
      <c r="E22985" s="6" t="str">
        <f>HYPERLINK("https://inpn.mnhn.fr/espece/cd_nom/627578","Nitella mucronata (A.Braun) Miq., 1840")</f>
        <v>Nitella mucronata (A.Braun) Miq., 1840</v>
      </c>
      <c r="O22985" s="7" t="str">
        <f>HYPERLINK("#Liste_rouge!A"&amp;_xlfn.XMATCH("LC",Liste_rouge!A:A,2,1),"LC")</f>
        <v>LC</v>
      </c>
      <c r="AH22985" s="4" t="str">
        <f>HYPERLINK("#Statut_biogéographique!A"&amp;_xlfn.XMATCH("P",Statut_biogéographique!A:A,2,1),"P")</f>
        <v>P</v>
      </c>
      <c r="AP22985" s="4" t="s">
        <v>376</v>
      </c>
      <c r="AR22985" s="4" t="s">
        <v>377</v>
      </c>
    </row>
    <row r="22986" spans="1:44" ht="45">
      <c r="A22986" s="4" t="s">
        <v>24364</v>
      </c>
      <c r="B22986" s="4">
        <v>627579</v>
      </c>
      <c r="D22986" s="5" t="s">
        <v>29796</v>
      </c>
      <c r="E22986" s="6" t="str">
        <f>HYPERLINK("https://inpn.mnhn.fr/espece/cd_nom/627579","Nitella tenuissima (Desv.) Kützing, 1843")</f>
        <v>Nitella tenuissima (Desv.) Kützing, 1843</v>
      </c>
      <c r="O22986" s="7" t="str">
        <f>HYPERLINK("#Liste_rouge!A"&amp;_xlfn.XMATCH("LC",Liste_rouge!A:A,2,1),"LC")</f>
        <v>LC</v>
      </c>
      <c r="AH22986" s="4" t="str">
        <f>HYPERLINK("#Statut_biogéographique!A"&amp;_xlfn.XMATCH("P",Statut_biogéographique!A:A,2,1),"P")</f>
        <v>P</v>
      </c>
      <c r="AP22986" s="4" t="s">
        <v>376</v>
      </c>
      <c r="AR22986" s="4" t="s">
        <v>377</v>
      </c>
    </row>
    <row r="22987" spans="1:44">
      <c r="A22987" s="4" t="s">
        <v>24364</v>
      </c>
      <c r="B22987" s="4">
        <v>6282</v>
      </c>
      <c r="D22987" s="5" t="s">
        <v>29797</v>
      </c>
      <c r="E22987" s="6" t="str">
        <f>HYPERLINK("https://inpn.mnhn.fr/espece/cd_nom/6282","Blasia pusilla L., 1753")</f>
        <v>Blasia pusilla L., 1753</v>
      </c>
      <c r="P22987" s="7" t="str">
        <f>HYPERLINK("#Liste_rouge!A"&amp;_xlfn.XMATCH("LC",Liste_rouge!A:A,2,1),"LC")</f>
        <v>LC</v>
      </c>
      <c r="T22987" s="7" t="str">
        <f>HYPERLINK("#Liste_rouge!A"&amp;_xlfn.XMATCH("CR",Liste_rouge!A:A,2,1),"CR")</f>
        <v>CR</v>
      </c>
      <c r="V22987" s="7" t="str">
        <f>HYPERLINK("#Liste_rouge!A"&amp;_xlfn.XMATCH("VU",Liste_rouge!A:A,2,1),"VU")</f>
        <v>VU</v>
      </c>
      <c r="X22987" s="5" t="s">
        <v>374</v>
      </c>
      <c r="AB22987" s="4" t="s">
        <v>93</v>
      </c>
      <c r="AH22987" s="4" t="str">
        <f>HYPERLINK("#Statut_biogéographique!A"&amp;_xlfn.XMATCH("P",Statut_biogéographique!A:A,2,1),"P")</f>
        <v>P</v>
      </c>
      <c r="AP22987" s="4" t="s">
        <v>376</v>
      </c>
      <c r="AR22987" s="4" t="s">
        <v>377</v>
      </c>
    </row>
    <row r="22988" spans="1:44">
      <c r="A22988" s="4" t="s">
        <v>24364</v>
      </c>
      <c r="B22988" s="4">
        <v>6289</v>
      </c>
      <c r="D22988" s="5" t="s">
        <v>29798</v>
      </c>
      <c r="E22988" s="6" t="str">
        <f>HYPERLINK("https://inpn.mnhn.fr/espece/cd_nom/6289","Fossombronia foveolata Lindb., 1874")</f>
        <v>Fossombronia foveolata Lindb., 1874</v>
      </c>
      <c r="P22988" s="7" t="str">
        <f>HYPERLINK("#Liste_rouge!A"&amp;_xlfn.XMATCH("LC",Liste_rouge!A:A,2,1),"LC")</f>
        <v>LC</v>
      </c>
      <c r="T22988" s="7" t="str">
        <f>HYPERLINK("#Liste_rouge!A"&amp;_xlfn.XMATCH("EN",Liste_rouge!A:A,2,1),"EN")</f>
        <v>EN</v>
      </c>
      <c r="V22988" s="7" t="str">
        <f>HYPERLINK("#Liste_rouge!A"&amp;_xlfn.XMATCH("NT",Liste_rouge!A:A,2,1),"NT")</f>
        <v>NT</v>
      </c>
      <c r="X22988" s="5" t="s">
        <v>374</v>
      </c>
      <c r="AB22988" s="4" t="s">
        <v>93</v>
      </c>
      <c r="AH22988" s="4" t="str">
        <f>HYPERLINK("#Statut_biogéographique!A"&amp;_xlfn.XMATCH("P",Statut_biogéographique!A:A,2,1),"P")</f>
        <v>P</v>
      </c>
      <c r="AP22988" s="4" t="s">
        <v>376</v>
      </c>
      <c r="AR22988" s="4" t="s">
        <v>377</v>
      </c>
    </row>
    <row r="22989" spans="1:44">
      <c r="A22989" s="4" t="s">
        <v>24364</v>
      </c>
      <c r="B22989" s="4">
        <v>6294</v>
      </c>
      <c r="D22989" s="5" t="s">
        <v>29799</v>
      </c>
      <c r="E22989" s="6" t="str">
        <f>HYPERLINK("https://inpn.mnhn.fr/espece/cd_nom/6294","Fossombronia pusilla (L.) Nees, 1838")</f>
        <v>Fossombronia pusilla (L.) Nees, 1838</v>
      </c>
      <c r="P22989" s="7" t="str">
        <f>HYPERLINK("#Liste_rouge!A"&amp;_xlfn.XMATCH("LC",Liste_rouge!A:A,2,1),"LC")</f>
        <v>LC</v>
      </c>
      <c r="T22989" s="7" t="str">
        <f>HYPERLINK("#Liste_rouge!A"&amp;_xlfn.XMATCH("EN",Liste_rouge!A:A,2,1),"EN")</f>
        <v>EN</v>
      </c>
      <c r="V22989" s="7" t="str">
        <f>HYPERLINK("#Liste_rouge!A"&amp;_xlfn.XMATCH("NT",Liste_rouge!A:A,2,1),"NT")</f>
        <v>NT</v>
      </c>
      <c r="X22989" s="5" t="s">
        <v>374</v>
      </c>
      <c r="AB22989" s="4" t="s">
        <v>93</v>
      </c>
      <c r="AH22989" s="4" t="str">
        <f>HYPERLINK("#Statut_biogéographique!A"&amp;_xlfn.XMATCH("P",Statut_biogéographique!A:A,2,1),"P")</f>
        <v>P</v>
      </c>
      <c r="AP22989" s="4" t="s">
        <v>376</v>
      </c>
      <c r="AR22989" s="4" t="s">
        <v>377</v>
      </c>
    </row>
    <row r="22990" spans="1:44" ht="30">
      <c r="A22990" s="4" t="s">
        <v>24364</v>
      </c>
      <c r="B22990" s="4">
        <v>6296</v>
      </c>
      <c r="D22990" s="5" t="s">
        <v>29800</v>
      </c>
      <c r="E22990" s="6" t="str">
        <f>HYPERLINK("https://inpn.mnhn.fr/espece/cd_nom/6296","Fossombronia wondraczekii (Corda) Dumort. ex Lindb., 1873")</f>
        <v>Fossombronia wondraczekii (Corda) Dumort. ex Lindb., 1873</v>
      </c>
      <c r="P22990" s="7" t="str">
        <f>HYPERLINK("#Liste_rouge!A"&amp;_xlfn.XMATCH("LC",Liste_rouge!A:A,2,1),"LC")</f>
        <v>LC</v>
      </c>
      <c r="T22990" s="7" t="str">
        <f>HYPERLINK("#Liste_rouge!A"&amp;_xlfn.XMATCH("LC",Liste_rouge!A:A,2,1),"LC")</f>
        <v>LC</v>
      </c>
      <c r="V22990" s="7" t="str">
        <f>HYPERLINK("#Liste_rouge!A"&amp;_xlfn.XMATCH("LC",Liste_rouge!A:A,2,1),"LC")</f>
        <v>LC</v>
      </c>
      <c r="AH22990" s="4" t="str">
        <f>HYPERLINK("#Statut_biogéographique!A"&amp;_xlfn.XMATCH("P",Statut_biogéographique!A:A,2,1),"P")</f>
        <v>P</v>
      </c>
      <c r="AP22990" s="4" t="s">
        <v>376</v>
      </c>
      <c r="AR22990" s="4" t="s">
        <v>377</v>
      </c>
    </row>
    <row r="22991" spans="1:44" ht="30">
      <c r="A22991" s="4" t="s">
        <v>24364</v>
      </c>
      <c r="B22991" s="4">
        <v>6314</v>
      </c>
      <c r="D22991" s="5" t="s">
        <v>29801</v>
      </c>
      <c r="E22991" s="6" t="str">
        <f>HYPERLINK("https://inpn.mnhn.fr/espece/cd_nom/6314","Barbilophozia barbata (Schmidel ex Schreb.) Loeske, 1907")</f>
        <v>Barbilophozia barbata (Schmidel ex Schreb.) Loeske, 1907</v>
      </c>
      <c r="P22991" s="7" t="str">
        <f>HYPERLINK("#Liste_rouge!A"&amp;_xlfn.XMATCH("LC",Liste_rouge!A:A,2,1),"LC")</f>
        <v>LC</v>
      </c>
      <c r="T22991" s="7" t="str">
        <f>HYPERLINK("#Liste_rouge!A"&amp;_xlfn.XMATCH("LC",Liste_rouge!A:A,2,1),"LC")</f>
        <v>LC</v>
      </c>
      <c r="V22991" s="7" t="str">
        <f>HYPERLINK("#Liste_rouge!A"&amp;_xlfn.XMATCH("LC",Liste_rouge!A:A,2,1),"LC")</f>
        <v>LC</v>
      </c>
      <c r="AB22991" s="4" t="s">
        <v>24397</v>
      </c>
      <c r="AH22991" s="4" t="str">
        <f>HYPERLINK("#Statut_biogéographique!A"&amp;_xlfn.XMATCH("P",Statut_biogéographique!A:A,2,1),"P")</f>
        <v>P</v>
      </c>
      <c r="AP22991" s="4" t="s">
        <v>376</v>
      </c>
      <c r="AR22991" s="4" t="s">
        <v>377</v>
      </c>
    </row>
    <row r="22992" spans="1:44" ht="30">
      <c r="A22992" s="4" t="s">
        <v>24364</v>
      </c>
      <c r="B22992" s="4">
        <v>6317</v>
      </c>
      <c r="D22992" s="5" t="s">
        <v>29802</v>
      </c>
      <c r="E22992" s="6" t="str">
        <f>HYPERLINK("https://inpn.mnhn.fr/espece/cd_nom/6317","Barbilophozia hatcheri (A.Evans) Loeske, 1907")</f>
        <v>Barbilophozia hatcheri (A.Evans) Loeske, 1907</v>
      </c>
      <c r="P22992" s="7" t="str">
        <f>HYPERLINK("#Liste_rouge!A"&amp;_xlfn.XMATCH("LC",Liste_rouge!A:A,2,1),"LC")</f>
        <v>LC</v>
      </c>
      <c r="V22992" s="7" t="str">
        <f>HYPERLINK("#Liste_rouge!A"&amp;_xlfn.XMATCH("VU",Liste_rouge!A:A,2,1),"VU")</f>
        <v>VU</v>
      </c>
      <c r="X22992" s="5" t="s">
        <v>374</v>
      </c>
      <c r="AB22992" s="4" t="s">
        <v>93</v>
      </c>
      <c r="AH22992" s="4" t="str">
        <f>HYPERLINK("#Statut_biogéographique!A"&amp;_xlfn.XMATCH("P",Statut_biogéographique!A:A,2,1),"P")</f>
        <v>P</v>
      </c>
      <c r="AP22992" s="4" t="s">
        <v>376</v>
      </c>
      <c r="AR22992" s="4" t="s">
        <v>377</v>
      </c>
    </row>
    <row r="22993" spans="1:44" ht="30">
      <c r="A22993" s="4" t="s">
        <v>24364</v>
      </c>
      <c r="B22993" s="4">
        <v>6319</v>
      </c>
      <c r="D22993" s="5" t="s">
        <v>29803</v>
      </c>
      <c r="E22993" s="6" t="str">
        <f>HYPERLINK("https://inpn.mnhn.fr/espece/cd_nom/6319","Barbilophozia lycopodioides (Wallr.) Loeske, 1907")</f>
        <v>Barbilophozia lycopodioides (Wallr.) Loeske, 1907</v>
      </c>
      <c r="P22993" s="7" t="str">
        <f>HYPERLINK("#Liste_rouge!A"&amp;_xlfn.XMATCH("LC",Liste_rouge!A:A,2,1),"LC")</f>
        <v>LC</v>
      </c>
      <c r="V22993" s="7" t="str">
        <f>HYPERLINK("#Liste_rouge!A"&amp;_xlfn.XMATCH("NT",Liste_rouge!A:A,2,1),"NT")</f>
        <v>NT</v>
      </c>
      <c r="X22993" s="5" t="s">
        <v>374</v>
      </c>
      <c r="AB22993" s="4" t="s">
        <v>93</v>
      </c>
      <c r="AH22993" s="4" t="str">
        <f>HYPERLINK("#Statut_biogéographique!A"&amp;_xlfn.XMATCH("P",Statut_biogéographique!A:A,2,1),"P")</f>
        <v>P</v>
      </c>
      <c r="AP22993" s="4" t="s">
        <v>376</v>
      </c>
      <c r="AR22993" s="4" t="s">
        <v>377</v>
      </c>
    </row>
    <row r="22994" spans="1:44">
      <c r="A22994" s="4" t="s">
        <v>24364</v>
      </c>
      <c r="B22994" s="4">
        <v>6326</v>
      </c>
      <c r="D22994" s="5" t="s">
        <v>29804</v>
      </c>
      <c r="E22994" s="6" t="str">
        <f>HYPERLINK("https://inpn.mnhn.fr/espece/cd_nom/6326","Gymnocolea inflata (Huds.) Dumort., 1835")</f>
        <v>Gymnocolea inflata (Huds.) Dumort., 1835</v>
      </c>
      <c r="P22994" s="7" t="str">
        <f>HYPERLINK("#Liste_rouge!A"&amp;_xlfn.XMATCH("LC",Liste_rouge!A:A,2,1),"LC")</f>
        <v>LC</v>
      </c>
      <c r="T22994" s="7" t="str">
        <f>HYPERLINK("#Liste_rouge!A"&amp;_xlfn.XMATCH("EN",Liste_rouge!A:A,2,1),"EN")</f>
        <v>EN</v>
      </c>
      <c r="V22994" s="7" t="str">
        <f>HYPERLINK("#Liste_rouge!A"&amp;_xlfn.XMATCH("EN",Liste_rouge!A:A,2,1),"EN")</f>
        <v>EN</v>
      </c>
      <c r="X22994" s="5" t="s">
        <v>374</v>
      </c>
      <c r="AB22994" s="4" t="s">
        <v>93</v>
      </c>
      <c r="AH22994" s="4" t="str">
        <f>HYPERLINK("#Statut_biogéographique!A"&amp;_xlfn.XMATCH("P",Statut_biogéographique!A:A,2,1),"P")</f>
        <v>P</v>
      </c>
      <c r="AP22994" s="4" t="s">
        <v>376</v>
      </c>
      <c r="AR22994" s="4" t="s">
        <v>377</v>
      </c>
    </row>
    <row r="22995" spans="1:44" ht="30">
      <c r="A22995" s="4" t="s">
        <v>24364</v>
      </c>
      <c r="B22995" s="4">
        <v>6328</v>
      </c>
      <c r="D22995" s="5" t="s">
        <v>29805</v>
      </c>
      <c r="E22995" s="6" t="str">
        <f>HYPERLINK("https://inpn.mnhn.fr/espece/cd_nom/6328","Lophozia ascendens (Warnst.) R.M.Schust., 1952")</f>
        <v>Lophozia ascendens (Warnst.) R.M.Schust., 1952</v>
      </c>
      <c r="P22995" s="7" t="str">
        <f>HYPERLINK("#Liste_rouge!A"&amp;_xlfn.XMATCH("LC",Liste_rouge!A:A,2,1),"LC")</f>
        <v>LC</v>
      </c>
      <c r="V22995" s="7" t="str">
        <f>HYPERLINK("#Liste_rouge!A"&amp;_xlfn.XMATCH("VU",Liste_rouge!A:A,2,1),"VU")</f>
        <v>VU</v>
      </c>
      <c r="X22995" s="5" t="s">
        <v>374</v>
      </c>
      <c r="AB22995" s="4" t="s">
        <v>93</v>
      </c>
      <c r="AH22995" s="4" t="str">
        <f>HYPERLINK("#Statut_biogéographique!A"&amp;_xlfn.XMATCH("P",Statut_biogéographique!A:A,2,1),"P")</f>
        <v>P</v>
      </c>
      <c r="AP22995" s="4" t="s">
        <v>376</v>
      </c>
      <c r="AR22995" s="4" t="s">
        <v>377</v>
      </c>
    </row>
    <row r="22996" spans="1:44" ht="30">
      <c r="A22996" s="4" t="s">
        <v>24364</v>
      </c>
      <c r="B22996" s="4">
        <v>6334</v>
      </c>
      <c r="D22996" s="5" t="s">
        <v>29806</v>
      </c>
      <c r="E22996" s="6" t="str">
        <f>HYPERLINK("https://inpn.mnhn.fr/espece/cd_nom/6334","Isopaches bicrenatus (Schmidel ex Hoffm.) H.Buch.")</f>
        <v>Isopaches bicrenatus (Schmidel ex Hoffm.) H.Buch.</v>
      </c>
      <c r="P22996" s="7" t="str">
        <f>HYPERLINK("#Liste_rouge!A"&amp;_xlfn.XMATCH("LC",Liste_rouge!A:A,2,1),"LC")</f>
        <v>LC</v>
      </c>
      <c r="T22996" s="7" t="str">
        <f>HYPERLINK("#Liste_rouge!A"&amp;_xlfn.XMATCH("NT",Liste_rouge!A:A,2,1),"NT")</f>
        <v>NT</v>
      </c>
      <c r="V22996" s="7" t="str">
        <f>HYPERLINK("#Liste_rouge!A"&amp;_xlfn.XMATCH("VU",Liste_rouge!A:A,2,1),"VU")</f>
        <v>VU</v>
      </c>
      <c r="X22996" s="5" t="s">
        <v>374</v>
      </c>
      <c r="AB22996" s="4" t="s">
        <v>93</v>
      </c>
      <c r="AH22996" s="4" t="str">
        <f>HYPERLINK("#Statut_biogéographique!A"&amp;_xlfn.XMATCH("P",Statut_biogéographique!A:A,2,1),"P")</f>
        <v>P</v>
      </c>
      <c r="AP22996" s="4" t="s">
        <v>376</v>
      </c>
      <c r="AR22996" s="4" t="s">
        <v>377</v>
      </c>
    </row>
    <row r="22997" spans="1:44" ht="30">
      <c r="A22997" s="4" t="s">
        <v>24364</v>
      </c>
      <c r="B22997" s="4">
        <v>6361</v>
      </c>
      <c r="D22997" s="5" t="s">
        <v>29807</v>
      </c>
      <c r="E22997" s="6" t="str">
        <f>HYPERLINK("https://inpn.mnhn.fr/espece/cd_nom/6361","Lophozia ventricosa (Dicks.) Dumort., 1835")</f>
        <v>Lophozia ventricosa (Dicks.) Dumort., 1835</v>
      </c>
      <c r="P22997" s="7" t="str">
        <f>HYPERLINK("#Liste_rouge!A"&amp;_xlfn.XMATCH("LC",Liste_rouge!A:A,2,1),"LC")</f>
        <v>LC</v>
      </c>
      <c r="T22997" s="7" t="str">
        <f>HYPERLINK("#Liste_rouge!A"&amp;_xlfn.XMATCH("LC",Liste_rouge!A:A,2,1),"LC")</f>
        <v>LC</v>
      </c>
      <c r="V22997" s="7" t="str">
        <f>HYPERLINK("#Liste_rouge!A"&amp;_xlfn.XMATCH("DD",Liste_rouge!A:A,2,1),"DD")</f>
        <v>DD</v>
      </c>
      <c r="AH22997" s="4" t="str">
        <f>HYPERLINK("#Statut_biogéographique!A"&amp;_xlfn.XMATCH("P",Statut_biogéographique!A:A,2,1),"P")</f>
        <v>P</v>
      </c>
      <c r="AP22997" s="4" t="s">
        <v>376</v>
      </c>
      <c r="AR22997" s="4" t="s">
        <v>377</v>
      </c>
    </row>
    <row r="22998" spans="1:44">
      <c r="A22998" s="4" t="s">
        <v>24364</v>
      </c>
      <c r="B22998" s="4">
        <v>6362</v>
      </c>
      <c r="D22998" s="5" t="s">
        <v>29808</v>
      </c>
      <c r="E22998" s="6" t="str">
        <f>HYPERLINK("https://inpn.mnhn.fr/espece/cd_nom/6362","Lophozia silvicola H.Buch, 1929")</f>
        <v>Lophozia silvicola H.Buch, 1929</v>
      </c>
      <c r="T22998" s="7" t="str">
        <f>HYPERLINK("#Liste_rouge!A"&amp;_xlfn.XMATCH("NE",Liste_rouge!A:A,2,1),"NE")</f>
        <v>NE</v>
      </c>
      <c r="V22998" s="7" t="str">
        <f>HYPERLINK("#Liste_rouge!A"&amp;_xlfn.XMATCH("LC",Liste_rouge!A:A,2,1),"LC")</f>
        <v>LC</v>
      </c>
      <c r="AH22998" s="4" t="str">
        <f>HYPERLINK("#Statut_biogéographique!A"&amp;_xlfn.XMATCH("P",Statut_biogéographique!A:A,2,1),"P")</f>
        <v>P</v>
      </c>
      <c r="AP22998" s="4" t="s">
        <v>376</v>
      </c>
      <c r="AR22998" s="4" t="s">
        <v>377</v>
      </c>
    </row>
    <row r="22999" spans="1:44" ht="30">
      <c r="A22999" s="4" t="s">
        <v>24364</v>
      </c>
      <c r="B22999" s="4">
        <v>6367</v>
      </c>
      <c r="D22999" s="5" t="s">
        <v>29809</v>
      </c>
      <c r="E22999" s="6" t="str">
        <f>HYPERLINK("https://inpn.mnhn.fr/espece/cd_nom/6367","Tritomaria exsecta (Schmidel ex Schrad.) Schiffn. ex Loeske, 1909")</f>
        <v>Tritomaria exsecta (Schmidel ex Schrad.) Schiffn. ex Loeske, 1909</v>
      </c>
      <c r="P22999" s="7" t="str">
        <f>HYPERLINK("#Liste_rouge!A"&amp;_xlfn.XMATCH("LC",Liste_rouge!A:A,2,1),"LC")</f>
        <v>LC</v>
      </c>
      <c r="T22999" s="7" t="str">
        <f>HYPERLINK("#Liste_rouge!A"&amp;_xlfn.XMATCH("CR",Liste_rouge!A:A,2,1),"CR")</f>
        <v>CR</v>
      </c>
      <c r="V22999" s="7" t="str">
        <f>HYPERLINK("#Liste_rouge!A"&amp;_xlfn.XMATCH("NT",Liste_rouge!A:A,2,1),"NT")</f>
        <v>NT</v>
      </c>
      <c r="X22999" s="5" t="s">
        <v>374</v>
      </c>
      <c r="AB22999" s="4" t="s">
        <v>93</v>
      </c>
      <c r="AH22999" s="4" t="str">
        <f>HYPERLINK("#Statut_biogéographique!A"&amp;_xlfn.XMATCH("P",Statut_biogéographique!A:A,2,1),"P")</f>
        <v>P</v>
      </c>
      <c r="AP22999" s="4" t="s">
        <v>376</v>
      </c>
      <c r="AR22999" s="4" t="s">
        <v>377</v>
      </c>
    </row>
    <row r="23000" spans="1:44" ht="30">
      <c r="A23000" s="4" t="s">
        <v>24364</v>
      </c>
      <c r="B23000" s="4">
        <v>6368</v>
      </c>
      <c r="D23000" s="5" t="s">
        <v>29810</v>
      </c>
      <c r="E23000" s="6" t="str">
        <f>HYPERLINK("https://inpn.mnhn.fr/espece/cd_nom/6368","Tritomaria exsectiformis (Breidl.) Schiffn. ex Loeske, 1909")</f>
        <v>Tritomaria exsectiformis (Breidl.) Schiffn. ex Loeske, 1909</v>
      </c>
      <c r="P23000" s="7" t="str">
        <f>HYPERLINK("#Liste_rouge!A"&amp;_xlfn.XMATCH("LC",Liste_rouge!A:A,2,1),"LC")</f>
        <v>LC</v>
      </c>
      <c r="T23000" s="7" t="str">
        <f>HYPERLINK("#Liste_rouge!A"&amp;_xlfn.XMATCH("EN",Liste_rouge!A:A,2,1),"EN")</f>
        <v>EN</v>
      </c>
      <c r="V23000" s="7" t="str">
        <f>HYPERLINK("#Liste_rouge!A"&amp;_xlfn.XMATCH("NT",Liste_rouge!A:A,2,1),"NT")</f>
        <v>NT</v>
      </c>
      <c r="X23000" s="5" t="s">
        <v>374</v>
      </c>
      <c r="AB23000" s="4" t="s">
        <v>93</v>
      </c>
      <c r="AH23000" s="4" t="str">
        <f>HYPERLINK("#Statut_biogéographique!A"&amp;_xlfn.XMATCH("P",Statut_biogéographique!A:A,2,1),"P")</f>
        <v>P</v>
      </c>
      <c r="AP23000" s="4" t="s">
        <v>376</v>
      </c>
      <c r="AR23000" s="4" t="s">
        <v>377</v>
      </c>
    </row>
    <row r="23001" spans="1:44" ht="45">
      <c r="A23001" s="4" t="s">
        <v>24364</v>
      </c>
      <c r="B23001" s="4">
        <v>6388</v>
      </c>
      <c r="D23001" s="5" t="s">
        <v>29811</v>
      </c>
      <c r="E23001" s="6" t="str">
        <f>HYPERLINK("https://inpn.mnhn.fr/espece/cd_nom/6388","Solenostoma gracillimum (Sm.) R.M.Schust., 1969")</f>
        <v>Solenostoma gracillimum (Sm.) R.M.Schust., 1969</v>
      </c>
      <c r="P23001" s="7" t="str">
        <f>HYPERLINK("#Liste_rouge!A"&amp;_xlfn.XMATCH("LC",Liste_rouge!A:A,2,1),"LC")</f>
        <v>LC</v>
      </c>
      <c r="T23001" s="7" t="str">
        <f>HYPERLINK("#Liste_rouge!A"&amp;_xlfn.XMATCH("LC",Liste_rouge!A:A,2,1),"LC")</f>
        <v>LC</v>
      </c>
      <c r="V23001" s="7" t="str">
        <f>HYPERLINK("#Liste_rouge!A"&amp;_xlfn.XMATCH("LC",Liste_rouge!A:A,2,1),"LC")</f>
        <v>LC</v>
      </c>
      <c r="AH23001" s="4" t="str">
        <f>HYPERLINK("#Statut_biogéographique!A"&amp;_xlfn.XMATCH("P",Statut_biogéographique!A:A,2,1),"P")</f>
        <v>P</v>
      </c>
      <c r="AP23001" s="4" t="s">
        <v>376</v>
      </c>
      <c r="AR23001" s="4" t="s">
        <v>377</v>
      </c>
    </row>
    <row r="23002" spans="1:44" ht="30">
      <c r="A23002" s="4" t="s">
        <v>24364</v>
      </c>
      <c r="B23002" s="4">
        <v>639063</v>
      </c>
      <c r="D23002" s="5" t="s">
        <v>29812</v>
      </c>
      <c r="E23002" s="6" t="str">
        <f>HYPERLINK("https://inpn.mnhn.fr/espece/cd_nom/639063","Oxalis corniculata var. atropurpurea Planch., 1857")</f>
        <v>Oxalis corniculata var. atropurpurea Planch., 1857</v>
      </c>
      <c r="F23002" s="5" t="s">
        <v>29813</v>
      </c>
      <c r="AH23002" s="4" t="str">
        <f>HYPERLINK("#Statut_biogéographique!A"&amp;_xlfn.XMATCH("I",Statut_biogéographique!A:A,2,1),"I")</f>
        <v>I</v>
      </c>
      <c r="AP23002" s="4" t="s">
        <v>376</v>
      </c>
      <c r="AR23002" s="4" t="s">
        <v>377</v>
      </c>
    </row>
    <row r="23003" spans="1:44" ht="30">
      <c r="A23003" s="4" t="s">
        <v>24364</v>
      </c>
      <c r="B23003" s="4">
        <v>639111</v>
      </c>
      <c r="D23003" s="5" t="s">
        <v>29814</v>
      </c>
      <c r="E23003" s="6" t="str">
        <f>HYPERLINK("https://inpn.mnhn.fr/espece/cd_nom/639111","Euphorbia hypericifolia L., 1753")</f>
        <v>Euphorbia hypericifolia L., 1753</v>
      </c>
      <c r="F23003" s="5" t="s">
        <v>29815</v>
      </c>
      <c r="AH23003" s="4" t="str">
        <f>HYPERLINK("#Statut_biogéographique!A"&amp;_xlfn.XMATCH("I",Statut_biogéographique!A:A,2,1),"I")</f>
        <v>I</v>
      </c>
      <c r="AP23003" s="4" t="s">
        <v>376</v>
      </c>
      <c r="AR23003" s="4" t="s">
        <v>377</v>
      </c>
    </row>
    <row r="23004" spans="1:44" ht="30">
      <c r="A23004" s="4" t="s">
        <v>24364</v>
      </c>
      <c r="B23004" s="4">
        <v>6392</v>
      </c>
      <c r="D23004" s="5" t="s">
        <v>29816</v>
      </c>
      <c r="E23004" s="6" t="str">
        <f>HYPERLINK("https://inpn.mnhn.fr/espece/cd_nom/6392","Solenostoma hyalinum (Lyell) Mitt., 1870")</f>
        <v>Solenostoma hyalinum (Lyell) Mitt., 1870</v>
      </c>
      <c r="P23004" s="7" t="str">
        <f>HYPERLINK("#Liste_rouge!A"&amp;_xlfn.XMATCH("LC",Liste_rouge!A:A,2,1),"LC")</f>
        <v>LC</v>
      </c>
      <c r="T23004" s="7" t="str">
        <f>HYPERLINK("#Liste_rouge!A"&amp;_xlfn.XMATCH("DD",Liste_rouge!A:A,2,1),"DD")</f>
        <v>DD</v>
      </c>
      <c r="V23004" s="7" t="str">
        <f>HYPERLINK("#Liste_rouge!A"&amp;_xlfn.XMATCH("EN",Liste_rouge!A:A,2,1),"EN")</f>
        <v>EN</v>
      </c>
      <c r="X23004" s="5" t="s">
        <v>374</v>
      </c>
      <c r="AB23004" s="4" t="s">
        <v>93</v>
      </c>
      <c r="AH23004" s="4" t="str">
        <f>HYPERLINK("#Statut_biogéographique!A"&amp;_xlfn.XMATCH("P",Statut_biogéographique!A:A,2,1),"P")</f>
        <v>P</v>
      </c>
      <c r="AP23004" s="4" t="s">
        <v>376</v>
      </c>
      <c r="AR23004" s="4" t="s">
        <v>377</v>
      </c>
    </row>
    <row r="23005" spans="1:44" ht="45">
      <c r="A23005" s="4" t="s">
        <v>24364</v>
      </c>
      <c r="B23005" s="4">
        <v>6396</v>
      </c>
      <c r="D23005" s="5" t="s">
        <v>29817</v>
      </c>
      <c r="E23005" s="6" t="str">
        <f>HYPERLINK("https://inpn.mnhn.fr/espece/cd_nom/6396","Jungermannia atrovirens Dumort., 1831")</f>
        <v>Jungermannia atrovirens Dumort., 1831</v>
      </c>
      <c r="P23005" s="7" t="str">
        <f>HYPERLINK("#Liste_rouge!A"&amp;_xlfn.XMATCH("LC",Liste_rouge!A:A,2,1),"LC")</f>
        <v>LC</v>
      </c>
      <c r="T23005" s="7" t="str">
        <f>HYPERLINK("#Liste_rouge!A"&amp;_xlfn.XMATCH("LC",Liste_rouge!A:A,2,1),"LC")</f>
        <v>LC</v>
      </c>
      <c r="V23005" s="7" t="str">
        <f>HYPERLINK("#Liste_rouge!A"&amp;_xlfn.XMATCH("LC",Liste_rouge!A:A,2,1),"LC")</f>
        <v>LC</v>
      </c>
      <c r="AH23005" s="4" t="str">
        <f>HYPERLINK("#Statut_biogéographique!A"&amp;_xlfn.XMATCH("P",Statut_biogéographique!A:A,2,1),"P")</f>
        <v>P</v>
      </c>
      <c r="AP23005" s="4" t="s">
        <v>376</v>
      </c>
      <c r="AR23005" s="4" t="s">
        <v>377</v>
      </c>
    </row>
    <row r="23006" spans="1:44" ht="30">
      <c r="A23006" s="4" t="s">
        <v>24364</v>
      </c>
      <c r="B23006" s="4">
        <v>6407</v>
      </c>
      <c r="D23006" s="5" t="s">
        <v>29818</v>
      </c>
      <c r="E23006" s="6" t="str">
        <f>HYPERLINK("https://inpn.mnhn.fr/espece/cd_nom/6407","Jungermannia pumila With., 1796")</f>
        <v>Jungermannia pumila With., 1796</v>
      </c>
      <c r="P23006" s="7" t="str">
        <f>HYPERLINK("#Liste_rouge!A"&amp;_xlfn.XMATCH("LC",Liste_rouge!A:A,2,1),"LC")</f>
        <v>LC</v>
      </c>
      <c r="T23006" s="7" t="str">
        <f>HYPERLINK("#Liste_rouge!A"&amp;_xlfn.XMATCH("EN",Liste_rouge!A:A,2,1),"EN")</f>
        <v>EN</v>
      </c>
      <c r="V23006" s="7" t="str">
        <f>HYPERLINK("#Liste_rouge!A"&amp;_xlfn.XMATCH("NT",Liste_rouge!A:A,2,1),"NT")</f>
        <v>NT</v>
      </c>
      <c r="X23006" s="5" t="s">
        <v>374</v>
      </c>
      <c r="AB23006" s="4" t="s">
        <v>93</v>
      </c>
      <c r="AH23006" s="4" t="str">
        <f>HYPERLINK("#Statut_biogéographique!A"&amp;_xlfn.XMATCH("P",Statut_biogéographique!A:A,2,1),"P")</f>
        <v>P</v>
      </c>
      <c r="AP23006" s="4" t="s">
        <v>376</v>
      </c>
      <c r="AR23006" s="4" t="s">
        <v>377</v>
      </c>
    </row>
    <row r="23007" spans="1:44">
      <c r="A23007" s="4" t="s">
        <v>24364</v>
      </c>
      <c r="B23007" s="4">
        <v>6417</v>
      </c>
      <c r="D23007" s="5" t="s">
        <v>29819</v>
      </c>
      <c r="E23007" s="6" t="str">
        <f>HYPERLINK("https://inpn.mnhn.fr/espece/cd_nom/6417","Mylia anomala (Hook.) Gray, 1821")</f>
        <v>Mylia anomala (Hook.) Gray, 1821</v>
      </c>
      <c r="P23007" s="7" t="str">
        <f>HYPERLINK("#Liste_rouge!A"&amp;_xlfn.XMATCH("LC",Liste_rouge!A:A,2,1),"LC")</f>
        <v>LC</v>
      </c>
      <c r="T23007" s="7" t="str">
        <f>HYPERLINK("#Liste_rouge!A"&amp;_xlfn.XMATCH("CR",Liste_rouge!A:A,2,1),"CR")</f>
        <v>CR</v>
      </c>
      <c r="V23007" s="7" t="str">
        <f>HYPERLINK("#Liste_rouge!A"&amp;_xlfn.XMATCH("LC",Liste_rouge!A:A,2,1),"LC")</f>
        <v>LC</v>
      </c>
      <c r="X23007" s="5" t="s">
        <v>374</v>
      </c>
      <c r="AB23007" s="4" t="s">
        <v>93</v>
      </c>
      <c r="AH23007" s="4" t="str">
        <f>HYPERLINK("#Statut_biogéographique!A"&amp;_xlfn.XMATCH("P",Statut_biogéographique!A:A,2,1),"P")</f>
        <v>P</v>
      </c>
      <c r="AP23007" s="4" t="s">
        <v>376</v>
      </c>
      <c r="AR23007" s="4" t="s">
        <v>377</v>
      </c>
    </row>
    <row r="23008" spans="1:44">
      <c r="A23008" s="4" t="s">
        <v>24364</v>
      </c>
      <c r="B23008" s="4">
        <v>6418</v>
      </c>
      <c r="D23008" s="5" t="s">
        <v>29820</v>
      </c>
      <c r="E23008" s="6" t="str">
        <f>HYPERLINK("https://inpn.mnhn.fr/espece/cd_nom/6418","Mylia taylorii (Hook.) Gray, 1821")</f>
        <v>Mylia taylorii (Hook.) Gray, 1821</v>
      </c>
      <c r="P23008" s="7" t="str">
        <f>HYPERLINK("#Liste_rouge!A"&amp;_xlfn.XMATCH("LC",Liste_rouge!A:A,2,1),"LC")</f>
        <v>LC</v>
      </c>
      <c r="V23008" s="7" t="str">
        <f>HYPERLINK("#Liste_rouge!A"&amp;_xlfn.XMATCH("CR",Liste_rouge!A:A,2,1),"CR")</f>
        <v>CR</v>
      </c>
      <c r="X23008" s="5" t="s">
        <v>374</v>
      </c>
      <c r="AB23008" s="4" t="s">
        <v>93</v>
      </c>
      <c r="AH23008" s="4" t="str">
        <f>HYPERLINK("#Statut_biogéographique!A"&amp;_xlfn.XMATCH("P",Statut_biogéographique!A:A,2,1),"P")</f>
        <v>P</v>
      </c>
      <c r="AP23008" s="4" t="s">
        <v>376</v>
      </c>
      <c r="AR23008" s="4" t="s">
        <v>377</v>
      </c>
    </row>
    <row r="23009" spans="1:44">
      <c r="A23009" s="4" t="s">
        <v>24364</v>
      </c>
      <c r="B23009" s="4">
        <v>6424</v>
      </c>
      <c r="D23009" s="5" t="s">
        <v>29821</v>
      </c>
      <c r="E23009" s="6" t="str">
        <f>HYPERLINK("https://inpn.mnhn.fr/espece/cd_nom/6424","Nardia scalaris Gray, 1821")</f>
        <v>Nardia scalaris Gray, 1821</v>
      </c>
      <c r="P23009" s="7" t="str">
        <f>HYPERLINK("#Liste_rouge!A"&amp;_xlfn.XMATCH("LC",Liste_rouge!A:A,2,1),"LC")</f>
        <v>LC</v>
      </c>
      <c r="T23009" s="7" t="str">
        <f>HYPERLINK("#Liste_rouge!A"&amp;_xlfn.XMATCH("NT",Liste_rouge!A:A,2,1),"NT")</f>
        <v>NT</v>
      </c>
      <c r="V23009" s="7" t="str">
        <f>HYPERLINK("#Liste_rouge!A"&amp;_xlfn.XMATCH("LC",Liste_rouge!A:A,2,1),"LC")</f>
        <v>LC</v>
      </c>
      <c r="AB23009" s="4" t="s">
        <v>26206</v>
      </c>
      <c r="AH23009" s="4" t="str">
        <f>HYPERLINK("#Statut_biogéographique!A"&amp;_xlfn.XMATCH("P",Statut_biogéographique!A:A,2,1),"P")</f>
        <v>P</v>
      </c>
      <c r="AP23009" s="4" t="s">
        <v>376</v>
      </c>
      <c r="AR23009" s="4" t="s">
        <v>377</v>
      </c>
    </row>
    <row r="23010" spans="1:44" ht="45">
      <c r="A23010" s="4" t="s">
        <v>24364</v>
      </c>
      <c r="B23010" s="4">
        <v>6446</v>
      </c>
      <c r="D23010" s="5" t="s">
        <v>29822</v>
      </c>
      <c r="E23010" s="6" t="str">
        <f>HYPERLINK("https://inpn.mnhn.fr/espece/cd_nom/6446","Marsupella emarginata (Ehrh.) Dumort., 1835")</f>
        <v>Marsupella emarginata (Ehrh.) Dumort., 1835</v>
      </c>
      <c r="P23010" s="7" t="str">
        <f>HYPERLINK("#Liste_rouge!A"&amp;_xlfn.XMATCH("LC",Liste_rouge!A:A,2,1),"LC")</f>
        <v>LC</v>
      </c>
      <c r="T23010" s="7" t="str">
        <f>HYPERLINK("#Liste_rouge!A"&amp;_xlfn.XMATCH("LC",Liste_rouge!A:A,2,1),"LC")</f>
        <v>LC</v>
      </c>
      <c r="V23010" s="7" t="str">
        <f>HYPERLINK("#Liste_rouge!A"&amp;_xlfn.XMATCH("LC",Liste_rouge!A:A,2,1),"LC")</f>
        <v>LC</v>
      </c>
      <c r="AB23010" s="4" t="s">
        <v>24634</v>
      </c>
      <c r="AH23010" s="4" t="str">
        <f>HYPERLINK("#Statut_biogéographique!A"&amp;_xlfn.XMATCH("P",Statut_biogéographique!A:A,2,1),"P")</f>
        <v>P</v>
      </c>
      <c r="AP23010" s="4" t="s">
        <v>376</v>
      </c>
      <c r="AR23010" s="4" t="s">
        <v>377</v>
      </c>
    </row>
    <row r="23011" spans="1:44">
      <c r="A23011" s="4" t="s">
        <v>24364</v>
      </c>
      <c r="B23011" s="4">
        <v>6450</v>
      </c>
      <c r="D23011" s="5" t="s">
        <v>29823</v>
      </c>
      <c r="E23011" s="6" t="str">
        <f>HYPERLINK("https://inpn.mnhn.fr/espece/cd_nom/6450","Marsupella aquatica (Lindenb.) Schiffn., 1896")</f>
        <v>Marsupella aquatica (Lindenb.) Schiffn., 1896</v>
      </c>
      <c r="P23011" s="7" t="str">
        <f>HYPERLINK("#Liste_rouge!A"&amp;_xlfn.XMATCH("LC",Liste_rouge!A:A,2,1),"LC")</f>
        <v>LC</v>
      </c>
      <c r="AH23011" s="4" t="str">
        <f>HYPERLINK("#Statut_biogéographique!A"&amp;_xlfn.XMATCH("P",Statut_biogéographique!A:A,2,1),"P")</f>
        <v>P</v>
      </c>
      <c r="AP23011" s="4" t="s">
        <v>376</v>
      </c>
      <c r="AR23011" s="4" t="s">
        <v>377</v>
      </c>
    </row>
    <row r="23012" spans="1:44" ht="30">
      <c r="A23012" s="4" t="s">
        <v>24364</v>
      </c>
      <c r="B23012" s="4">
        <v>6451</v>
      </c>
      <c r="D23012" s="5" t="s">
        <v>29824</v>
      </c>
      <c r="E23012" s="6" t="str">
        <f>HYPERLINK("https://inpn.mnhn.fr/espece/cd_nom/6451","Marsupella funckii (F.Weber &amp; D.Mohr) Dumort., 1835")</f>
        <v>Marsupella funckii (F.Weber &amp; D.Mohr) Dumort., 1835</v>
      </c>
      <c r="P23012" s="7" t="str">
        <f>HYPERLINK("#Liste_rouge!A"&amp;_xlfn.XMATCH("LC",Liste_rouge!A:A,2,1),"LC")</f>
        <v>LC</v>
      </c>
      <c r="T23012" s="7" t="str">
        <f>HYPERLINK("#Liste_rouge!A"&amp;_xlfn.XMATCH("CR",Liste_rouge!A:A,2,1),"CR")</f>
        <v>CR</v>
      </c>
      <c r="V23012" s="7" t="str">
        <f>HYPERLINK("#Liste_rouge!A"&amp;_xlfn.XMATCH("DD",Liste_rouge!A:A,2,1),"DD")</f>
        <v>DD</v>
      </c>
      <c r="X23012" s="5" t="s">
        <v>374</v>
      </c>
      <c r="AB23012" s="4" t="s">
        <v>93</v>
      </c>
      <c r="AH23012" s="4" t="str">
        <f>HYPERLINK("#Statut_biogéographique!A"&amp;_xlfn.XMATCH("P",Statut_biogéographique!A:A,2,1),"P")</f>
        <v>P</v>
      </c>
      <c r="AP23012" s="4" t="s">
        <v>376</v>
      </c>
      <c r="AR23012" s="4" t="s">
        <v>377</v>
      </c>
    </row>
    <row r="23013" spans="1:44" ht="30">
      <c r="A23013" s="4" t="s">
        <v>24364</v>
      </c>
      <c r="B23013" s="4">
        <v>6454</v>
      </c>
      <c r="D23013" s="5" t="s">
        <v>29825</v>
      </c>
      <c r="E23013" s="6" t="str">
        <f>HYPERLINK("https://inpn.mnhn.fr/espece/cd_nom/6454","Marsupella sphacelata (Gieseke ex Lindenb.) Dumort., 1835")</f>
        <v>Marsupella sphacelata (Gieseke ex Lindenb.) Dumort., 1835</v>
      </c>
      <c r="P23013" s="7" t="str">
        <f>HYPERLINK("#Liste_rouge!A"&amp;_xlfn.XMATCH("LC",Liste_rouge!A:A,2,1),"LC")</f>
        <v>LC</v>
      </c>
      <c r="T23013" s="7" t="str">
        <f>HYPERLINK("#Liste_rouge!A"&amp;_xlfn.XMATCH("EN",Liste_rouge!A:A,2,1),"EN")</f>
        <v>EN</v>
      </c>
      <c r="X23013" s="5" t="s">
        <v>374</v>
      </c>
      <c r="AB23013" s="4" t="s">
        <v>93</v>
      </c>
      <c r="AH23013" s="4" t="str">
        <f>HYPERLINK("#Statut_biogéographique!A"&amp;_xlfn.XMATCH("P",Statut_biogéographique!A:A,2,1),"P")</f>
        <v>P</v>
      </c>
      <c r="AP23013" s="4" t="s">
        <v>376</v>
      </c>
      <c r="AR23013" s="4" t="s">
        <v>377</v>
      </c>
    </row>
    <row r="23014" spans="1:44" ht="30">
      <c r="A23014" s="4" t="s">
        <v>24364</v>
      </c>
      <c r="B23014" s="4">
        <v>6455</v>
      </c>
      <c r="D23014" s="5" t="s">
        <v>29826</v>
      </c>
      <c r="E23014" s="6" t="str">
        <f>HYPERLINK("https://inpn.mnhn.fr/espece/cd_nom/6455","Marsupella sprucei (Limpr.) Bernet, 1888")</f>
        <v>Marsupella sprucei (Limpr.) Bernet, 1888</v>
      </c>
      <c r="P23014" s="7" t="str">
        <f>HYPERLINK("#Liste_rouge!A"&amp;_xlfn.XMATCH("LC",Liste_rouge!A:A,2,1),"LC")</f>
        <v>LC</v>
      </c>
      <c r="T23014" s="7" t="str">
        <f>HYPERLINK("#Liste_rouge!A"&amp;_xlfn.XMATCH("EN",Liste_rouge!A:A,2,1),"EN")</f>
        <v>EN</v>
      </c>
      <c r="V23014" s="7" t="str">
        <f>HYPERLINK("#Liste_rouge!A"&amp;_xlfn.XMATCH("VU",Liste_rouge!A:A,2,1),"VU")</f>
        <v>VU</v>
      </c>
      <c r="X23014" s="5" t="s">
        <v>374</v>
      </c>
      <c r="AB23014" s="4" t="s">
        <v>93</v>
      </c>
      <c r="AH23014" s="4" t="str">
        <f>HYPERLINK("#Statut_biogéographique!A"&amp;_xlfn.XMATCH("P",Statut_biogéographique!A:A,2,1),"P")</f>
        <v>P</v>
      </c>
      <c r="AP23014" s="4" t="s">
        <v>376</v>
      </c>
      <c r="AR23014" s="4" t="s">
        <v>377</v>
      </c>
    </row>
    <row r="23015" spans="1:44">
      <c r="A23015" s="4" t="s">
        <v>24364</v>
      </c>
      <c r="B23015" s="4">
        <v>6462</v>
      </c>
      <c r="D23015" s="5" t="s">
        <v>29827</v>
      </c>
      <c r="E23015" s="6" t="str">
        <f>HYPERLINK("https://inpn.mnhn.fr/espece/cd_nom/6462","Southbya nigrella (De Not.) Henriq., 1886")</f>
        <v>Southbya nigrella (De Not.) Henriq., 1886</v>
      </c>
      <c r="P23015" s="7" t="str">
        <f>HYPERLINK("#Liste_rouge!A"&amp;_xlfn.XMATCH("LC",Liste_rouge!A:A,2,1),"LC")</f>
        <v>LC</v>
      </c>
      <c r="T23015" s="7" t="str">
        <f>HYPERLINK("#Liste_rouge!A"&amp;_xlfn.XMATCH("VU",Liste_rouge!A:A,2,1),"VU")</f>
        <v>VU</v>
      </c>
      <c r="X23015" s="5" t="s">
        <v>374</v>
      </c>
      <c r="AB23015" s="4" t="s">
        <v>93</v>
      </c>
      <c r="AH23015" s="4" t="str">
        <f>HYPERLINK("#Statut_biogéographique!A"&amp;_xlfn.XMATCH("P",Statut_biogéographique!A:A,2,1),"P")</f>
        <v>P</v>
      </c>
      <c r="AP23015" s="4" t="s">
        <v>376</v>
      </c>
      <c r="AR23015" s="4" t="s">
        <v>377</v>
      </c>
    </row>
    <row r="23016" spans="1:44" ht="30">
      <c r="A23016" s="4" t="s">
        <v>24364</v>
      </c>
      <c r="B23016" s="4">
        <v>6466</v>
      </c>
      <c r="D23016" s="5" t="s">
        <v>29828</v>
      </c>
      <c r="E23016" s="6" t="str">
        <f>HYPERLINK("https://inpn.mnhn.fr/espece/cd_nom/6466","Pedinophyllum interruptum (Nees) Kaal., 1893")</f>
        <v>Pedinophyllum interruptum (Nees) Kaal., 1893</v>
      </c>
      <c r="P23016" s="7" t="str">
        <f>HYPERLINK("#Liste_rouge!A"&amp;_xlfn.XMATCH("LC",Liste_rouge!A:A,2,1),"LC")</f>
        <v>LC</v>
      </c>
      <c r="T23016" s="7" t="str">
        <f>HYPERLINK("#Liste_rouge!A"&amp;_xlfn.XMATCH("LC",Liste_rouge!A:A,2,1),"LC")</f>
        <v>LC</v>
      </c>
      <c r="V23016" s="7" t="str">
        <f>HYPERLINK("#Liste_rouge!A"&amp;_xlfn.XMATCH("LC",Liste_rouge!A:A,2,1),"LC")</f>
        <v>LC</v>
      </c>
      <c r="AH23016" s="4" t="str">
        <f>HYPERLINK("#Statut_biogéographique!A"&amp;_xlfn.XMATCH("P",Statut_biogéographique!A:A,2,1),"P")</f>
        <v>P</v>
      </c>
      <c r="AP23016" s="4" t="s">
        <v>376</v>
      </c>
      <c r="AR23016" s="4" t="s">
        <v>377</v>
      </c>
    </row>
    <row r="23017" spans="1:44">
      <c r="A23017" s="4" t="s">
        <v>24364</v>
      </c>
      <c r="B23017" s="4">
        <v>6468</v>
      </c>
      <c r="D23017" s="5" t="s">
        <v>29829</v>
      </c>
      <c r="E23017" s="6" t="str">
        <f>HYPERLINK("https://inpn.mnhn.fr/espece/cd_nom/6468","Plagiochila asplenioides (L.) Dumort., 1835")</f>
        <v>Plagiochila asplenioides (L.) Dumort., 1835</v>
      </c>
      <c r="P23017" s="7" t="str">
        <f>HYPERLINK("#Liste_rouge!A"&amp;_xlfn.XMATCH("LC",Liste_rouge!A:A,2,1),"LC")</f>
        <v>LC</v>
      </c>
      <c r="T23017" s="7" t="str">
        <f>HYPERLINK("#Liste_rouge!A"&amp;_xlfn.XMATCH("LC",Liste_rouge!A:A,2,1),"LC")</f>
        <v>LC</v>
      </c>
      <c r="V23017" s="7" t="str">
        <f>HYPERLINK("#Liste_rouge!A"&amp;_xlfn.XMATCH("LC",Liste_rouge!A:A,2,1),"LC")</f>
        <v>LC</v>
      </c>
      <c r="AH23017" s="4" t="str">
        <f>HYPERLINK("#Statut_biogéographique!A"&amp;_xlfn.XMATCH("P",Statut_biogéographique!A:A,2,1),"P")</f>
        <v>P</v>
      </c>
      <c r="AP23017" s="4" t="s">
        <v>376</v>
      </c>
      <c r="AR23017" s="4" t="s">
        <v>377</v>
      </c>
    </row>
    <row r="23018" spans="1:44" ht="30">
      <c r="A23018" s="4" t="s">
        <v>24364</v>
      </c>
      <c r="B23018" s="4">
        <v>6474</v>
      </c>
      <c r="D23018" s="5" t="s">
        <v>29830</v>
      </c>
      <c r="E23018" s="6" t="str">
        <f>HYPERLINK("https://inpn.mnhn.fr/espece/cd_nom/6474","Plagiochila porelloides (Torr. ex Nees) Lindenb., 1840")</f>
        <v>Plagiochila porelloides (Torr. ex Nees) Lindenb., 1840</v>
      </c>
      <c r="P23018" s="7" t="str">
        <f>HYPERLINK("#Liste_rouge!A"&amp;_xlfn.XMATCH("LC",Liste_rouge!A:A,2,1),"LC")</f>
        <v>LC</v>
      </c>
      <c r="T23018" s="7" t="str">
        <f>HYPERLINK("#Liste_rouge!A"&amp;_xlfn.XMATCH("LC",Liste_rouge!A:A,2,1),"LC")</f>
        <v>LC</v>
      </c>
      <c r="V23018" s="7" t="str">
        <f>HYPERLINK("#Liste_rouge!A"&amp;_xlfn.XMATCH("LC",Liste_rouge!A:A,2,1),"LC")</f>
        <v>LC</v>
      </c>
      <c r="AH23018" s="4" t="str">
        <f>HYPERLINK("#Statut_biogéographique!A"&amp;_xlfn.XMATCH("P",Statut_biogéographique!A:A,2,1),"P")</f>
        <v>P</v>
      </c>
      <c r="AP23018" s="4" t="s">
        <v>376</v>
      </c>
      <c r="AR23018" s="4" t="s">
        <v>377</v>
      </c>
    </row>
    <row r="23019" spans="1:44" ht="30">
      <c r="A23019" s="4" t="s">
        <v>24364</v>
      </c>
      <c r="B23019" s="4">
        <v>6479</v>
      </c>
      <c r="D23019" s="5" t="s">
        <v>29831</v>
      </c>
      <c r="E23019" s="6" t="str">
        <f>HYPERLINK("https://inpn.mnhn.fr/espece/cd_nom/6479","Chiloscyphus pallescens (Ehrh. ex Hoffm.) Dumort., 1831")</f>
        <v>Chiloscyphus pallescens (Ehrh. ex Hoffm.) Dumort., 1831</v>
      </c>
      <c r="P23019" s="7" t="str">
        <f>HYPERLINK("#Liste_rouge!A"&amp;_xlfn.XMATCH("LC",Liste_rouge!A:A,2,1),"LC")</f>
        <v>LC</v>
      </c>
      <c r="T23019" s="7" t="str">
        <f>HYPERLINK("#Liste_rouge!A"&amp;_xlfn.XMATCH("DD",Liste_rouge!A:A,2,1),"DD")</f>
        <v>DD</v>
      </c>
      <c r="V23019" s="7" t="str">
        <f>HYPERLINK("#Liste_rouge!A"&amp;_xlfn.XMATCH("LC",Liste_rouge!A:A,2,1),"LC")</f>
        <v>LC</v>
      </c>
      <c r="AB23019" s="4" t="s">
        <v>24382</v>
      </c>
      <c r="AH23019" s="4" t="str">
        <f>HYPERLINK("#Statut_biogéographique!A"&amp;_xlfn.XMATCH("P",Statut_biogéographique!A:A,2,1),"P")</f>
        <v>P</v>
      </c>
      <c r="AP23019" s="4" t="s">
        <v>376</v>
      </c>
      <c r="AR23019" s="4" t="s">
        <v>377</v>
      </c>
    </row>
    <row r="23020" spans="1:44">
      <c r="A23020" s="4" t="s">
        <v>24364</v>
      </c>
      <c r="B23020" s="4">
        <v>6483</v>
      </c>
      <c r="D23020" s="5" t="s">
        <v>29832</v>
      </c>
      <c r="E23020" s="6" t="str">
        <f>HYPERLINK("https://inpn.mnhn.fr/espece/cd_nom/6483","Chiloscyphus polyanthos (L.) Corda, 1829")</f>
        <v>Chiloscyphus polyanthos (L.) Corda, 1829</v>
      </c>
      <c r="P23020" s="7" t="str">
        <f>HYPERLINK("#Liste_rouge!A"&amp;_xlfn.XMATCH("LC",Liste_rouge!A:A,2,1),"LC")</f>
        <v>LC</v>
      </c>
      <c r="T23020" s="7" t="str">
        <f>HYPERLINK("#Liste_rouge!A"&amp;_xlfn.XMATCH("LC",Liste_rouge!A:A,2,1),"LC")</f>
        <v>LC</v>
      </c>
      <c r="V23020" s="7" t="str">
        <f>HYPERLINK("#Liste_rouge!A"&amp;_xlfn.XMATCH("LC",Liste_rouge!A:A,2,1),"LC")</f>
        <v>LC</v>
      </c>
      <c r="AH23020" s="4" t="str">
        <f>HYPERLINK("#Statut_biogéographique!A"&amp;_xlfn.XMATCH("P",Statut_biogéographique!A:A,2,1),"P")</f>
        <v>P</v>
      </c>
      <c r="AP23020" s="4" t="s">
        <v>376</v>
      </c>
      <c r="AR23020" s="4" t="s">
        <v>377</v>
      </c>
    </row>
    <row r="23021" spans="1:44">
      <c r="A23021" s="4" t="s">
        <v>24364</v>
      </c>
      <c r="B23021" s="4">
        <v>648710</v>
      </c>
      <c r="D23021" s="5" t="s">
        <v>29833</v>
      </c>
      <c r="E23021" s="6" t="str">
        <f>HYPERLINK("https://inpn.mnhn.fr/espece/cd_nom/648710","Chara strigosa A.Braun, 1847")</f>
        <v>Chara strigosa A.Braun, 1847</v>
      </c>
      <c r="AH23021" s="4" t="str">
        <f>HYPERLINK("#Statut_biogéographique!A"&amp;_xlfn.XMATCH("P",Statut_biogéographique!A:A,2,1),"P")</f>
        <v>P</v>
      </c>
      <c r="AP23021" s="4" t="s">
        <v>376</v>
      </c>
      <c r="AR23021" s="4" t="s">
        <v>377</v>
      </c>
    </row>
    <row r="23022" spans="1:44" ht="60">
      <c r="A23022" s="4" t="s">
        <v>24364</v>
      </c>
      <c r="B23022" s="4">
        <v>6491</v>
      </c>
      <c r="D23022" s="5" t="s">
        <v>29834</v>
      </c>
      <c r="E23022" s="6" t="str">
        <f>HYPERLINK("https://inpn.mnhn.fr/espece/cd_nom/6491","Lophocolea bidentata (L.) Dumort., 1835")</f>
        <v>Lophocolea bidentata (L.) Dumort., 1835</v>
      </c>
      <c r="P23022" s="7" t="str">
        <f>HYPERLINK("#Liste_rouge!A"&amp;_xlfn.XMATCH("LC",Liste_rouge!A:A,2,1),"LC")</f>
        <v>LC</v>
      </c>
      <c r="T23022" s="7" t="str">
        <f>HYPERLINK("#Liste_rouge!A"&amp;_xlfn.XMATCH("LC",Liste_rouge!A:A,2,1),"LC")</f>
        <v>LC</v>
      </c>
      <c r="V23022" s="7" t="str">
        <f>HYPERLINK("#Liste_rouge!A"&amp;_xlfn.XMATCH("LC",Liste_rouge!A:A,2,1),"LC (cd_nom 6491) - NE (cd_nom 6491)")</f>
        <v>LC (cd_nom 6491) - NE (cd_nom 6491)</v>
      </c>
      <c r="AH23022" s="4" t="str">
        <f>HYPERLINK("#Statut_biogéographique!A"&amp;_xlfn.XMATCH("P",Statut_biogéographique!A:A,2,1),"P")</f>
        <v>P</v>
      </c>
      <c r="AP23022" s="4" t="s">
        <v>376</v>
      </c>
      <c r="AR23022" s="4" t="s">
        <v>377</v>
      </c>
    </row>
    <row r="23023" spans="1:44" ht="30">
      <c r="A23023" s="4" t="s">
        <v>24364</v>
      </c>
      <c r="B23023" s="4">
        <v>6495</v>
      </c>
      <c r="D23023" s="5" t="s">
        <v>29835</v>
      </c>
      <c r="E23023" s="6" t="str">
        <f>HYPERLINK("https://inpn.mnhn.fr/espece/cd_nom/6495","Lophocolea heterophylla (Schrad.) Dumort., 1835")</f>
        <v>Lophocolea heterophylla (Schrad.) Dumort., 1835</v>
      </c>
      <c r="P23023" s="7" t="str">
        <f>HYPERLINK("#Liste_rouge!A"&amp;_xlfn.XMATCH("LC",Liste_rouge!A:A,2,1),"LC")</f>
        <v>LC</v>
      </c>
      <c r="T23023" s="7" t="str">
        <f>HYPERLINK("#Liste_rouge!A"&amp;_xlfn.XMATCH("LC",Liste_rouge!A:A,2,1),"LC")</f>
        <v>LC</v>
      </c>
      <c r="V23023" s="7" t="str">
        <f>HYPERLINK("#Liste_rouge!A"&amp;_xlfn.XMATCH("LC",Liste_rouge!A:A,2,1),"LC")</f>
        <v>LC</v>
      </c>
      <c r="AH23023" s="4" t="str">
        <f>HYPERLINK("#Statut_biogéographique!A"&amp;_xlfn.XMATCH("P",Statut_biogéographique!A:A,2,1),"P")</f>
        <v>P</v>
      </c>
      <c r="AP23023" s="4" t="s">
        <v>376</v>
      </c>
      <c r="AR23023" s="4" t="s">
        <v>377</v>
      </c>
    </row>
    <row r="23024" spans="1:44">
      <c r="A23024" s="4" t="s">
        <v>24364</v>
      </c>
      <c r="B23024" s="4">
        <v>6500</v>
      </c>
      <c r="D23024" s="5" t="s">
        <v>29836</v>
      </c>
      <c r="E23024" s="6" t="str">
        <f>HYPERLINK("https://inpn.mnhn.fr/espece/cd_nom/6500","Lophocolea minor Nees, 1836")</f>
        <v>Lophocolea minor Nees, 1836</v>
      </c>
      <c r="P23024" s="7" t="str">
        <f>HYPERLINK("#Liste_rouge!A"&amp;_xlfn.XMATCH("LC",Liste_rouge!A:A,2,1),"LC")</f>
        <v>LC</v>
      </c>
      <c r="T23024" s="7" t="str">
        <f>HYPERLINK("#Liste_rouge!A"&amp;_xlfn.XMATCH("EN",Liste_rouge!A:A,2,1),"EN")</f>
        <v>EN</v>
      </c>
      <c r="V23024" s="7" t="str">
        <f>HYPERLINK("#Liste_rouge!A"&amp;_xlfn.XMATCH("VU",Liste_rouge!A:A,2,1),"VU")</f>
        <v>VU</v>
      </c>
      <c r="X23024" s="5" t="s">
        <v>374</v>
      </c>
      <c r="AB23024" s="4" t="s">
        <v>93</v>
      </c>
      <c r="AH23024" s="4" t="str">
        <f>HYPERLINK("#Statut_biogéographique!A"&amp;_xlfn.XMATCH("P",Statut_biogéographique!A:A,2,1),"P")</f>
        <v>P</v>
      </c>
      <c r="AP23024" s="4" t="s">
        <v>376</v>
      </c>
      <c r="AR23024" s="4" t="s">
        <v>377</v>
      </c>
    </row>
    <row r="23025" spans="1:44">
      <c r="A23025" s="4" t="s">
        <v>24364</v>
      </c>
      <c r="B23025" s="4">
        <v>6505</v>
      </c>
      <c r="D23025" s="5" t="s">
        <v>29837</v>
      </c>
      <c r="E23025" s="6" t="str">
        <f>HYPERLINK("https://inpn.mnhn.fr/espece/cd_nom/6505","Diplophyllum albicans (L.) Dumort., 1835")</f>
        <v>Diplophyllum albicans (L.) Dumort., 1835</v>
      </c>
      <c r="P23025" s="7" t="str">
        <f>HYPERLINK("#Liste_rouge!A"&amp;_xlfn.XMATCH("LC",Liste_rouge!A:A,2,1),"LC")</f>
        <v>LC</v>
      </c>
      <c r="T23025" s="7" t="str">
        <f>HYPERLINK("#Liste_rouge!A"&amp;_xlfn.XMATCH("LC",Liste_rouge!A:A,2,1),"LC")</f>
        <v>LC</v>
      </c>
      <c r="V23025" s="7" t="str">
        <f>HYPERLINK("#Liste_rouge!A"&amp;_xlfn.XMATCH("LC",Liste_rouge!A:A,2,1),"LC")</f>
        <v>LC</v>
      </c>
      <c r="AH23025" s="4" t="str">
        <f>HYPERLINK("#Statut_biogéographique!A"&amp;_xlfn.XMATCH("P",Statut_biogéographique!A:A,2,1),"P")</f>
        <v>P</v>
      </c>
      <c r="AP23025" s="4" t="s">
        <v>376</v>
      </c>
      <c r="AR23025" s="4" t="s">
        <v>377</v>
      </c>
    </row>
    <row r="23026" spans="1:44" ht="30">
      <c r="A23026" s="4" t="s">
        <v>24364</v>
      </c>
      <c r="B23026" s="4">
        <v>6507</v>
      </c>
      <c r="D23026" s="5" t="s">
        <v>29838</v>
      </c>
      <c r="E23026" s="6" t="str">
        <f>HYPERLINK("https://inpn.mnhn.fr/espece/cd_nom/6507","Diplophyllum obtusifolium (Hook.) Dumort., 1835")</f>
        <v>Diplophyllum obtusifolium (Hook.) Dumort., 1835</v>
      </c>
      <c r="P23026" s="7" t="str">
        <f>HYPERLINK("#Liste_rouge!A"&amp;_xlfn.XMATCH("LC",Liste_rouge!A:A,2,1),"LC")</f>
        <v>LC</v>
      </c>
      <c r="T23026" s="7" t="str">
        <f>HYPERLINK("#Liste_rouge!A"&amp;_xlfn.XMATCH("NT",Liste_rouge!A:A,2,1),"NT")</f>
        <v>NT</v>
      </c>
      <c r="V23026" s="7" t="str">
        <f>HYPERLINK("#Liste_rouge!A"&amp;_xlfn.XMATCH("NT",Liste_rouge!A:A,2,1),"NT")</f>
        <v>NT</v>
      </c>
      <c r="AB23026" s="4" t="s">
        <v>24909</v>
      </c>
      <c r="AH23026" s="4" t="str">
        <f>HYPERLINK("#Statut_biogéographique!A"&amp;_xlfn.XMATCH("P",Statut_biogéographique!A:A,2,1),"P")</f>
        <v>P</v>
      </c>
      <c r="AP23026" s="4" t="s">
        <v>376</v>
      </c>
      <c r="AR23026" s="4" t="s">
        <v>377</v>
      </c>
    </row>
    <row r="23027" spans="1:44" ht="30">
      <c r="A23027" s="4" t="s">
        <v>24364</v>
      </c>
      <c r="B23027" s="4">
        <v>6508</v>
      </c>
      <c r="D23027" s="5" t="s">
        <v>29839</v>
      </c>
      <c r="E23027" s="6" t="str">
        <f>HYPERLINK("https://inpn.mnhn.fr/espece/cd_nom/6508","Diplophyllum taxifolium (Wahlenb.) Dumort., 1835")</f>
        <v>Diplophyllum taxifolium (Wahlenb.) Dumort., 1835</v>
      </c>
      <c r="P23027" s="7" t="str">
        <f>HYPERLINK("#Liste_rouge!A"&amp;_xlfn.XMATCH("LC",Liste_rouge!A:A,2,1),"LC")</f>
        <v>LC</v>
      </c>
      <c r="V23027" s="7" t="str">
        <f>HYPERLINK("#Liste_rouge!A"&amp;_xlfn.XMATCH("VU",Liste_rouge!A:A,2,1),"VU")</f>
        <v>VU</v>
      </c>
      <c r="X23027" s="5" t="s">
        <v>374</v>
      </c>
      <c r="AB23027" s="4" t="s">
        <v>93</v>
      </c>
      <c r="AH23027" s="4" t="str">
        <f>HYPERLINK("#Statut_biogéographique!A"&amp;_xlfn.XMATCH("P",Statut_biogéographique!A:A,2,1),"P")</f>
        <v>P</v>
      </c>
      <c r="AP23027" s="4" t="s">
        <v>376</v>
      </c>
      <c r="AR23027" s="4" t="s">
        <v>377</v>
      </c>
    </row>
    <row r="23028" spans="1:44" ht="30">
      <c r="A23028" s="4" t="s">
        <v>24364</v>
      </c>
      <c r="B23028" s="4">
        <v>6510</v>
      </c>
      <c r="D23028" s="5" t="s">
        <v>29840</v>
      </c>
      <c r="E23028" s="6" t="str">
        <f>HYPERLINK("https://inpn.mnhn.fr/espece/cd_nom/6510","Douinia ovata (Dicks.) H.Buch, 1928")</f>
        <v>Douinia ovata (Dicks.) H.Buch, 1928</v>
      </c>
      <c r="P23028" s="7" t="str">
        <f>HYPERLINK("#Liste_rouge!A"&amp;_xlfn.XMATCH("LC",Liste_rouge!A:A,2,1),"LC")</f>
        <v>LC</v>
      </c>
      <c r="T23028" s="7" t="str">
        <f>HYPERLINK("#Liste_rouge!A"&amp;_xlfn.XMATCH("RE",Liste_rouge!A:A,2,1),"RE")</f>
        <v>RE</v>
      </c>
      <c r="AH23028" s="4" t="str">
        <f>HYPERLINK("#Statut_biogéographique!A"&amp;_xlfn.XMATCH("P",Statut_biogéographique!A:A,2,1),"P")</f>
        <v>P</v>
      </c>
      <c r="AP23028" s="4" t="s">
        <v>376</v>
      </c>
      <c r="AR23028" s="4" t="s">
        <v>377</v>
      </c>
    </row>
    <row r="23029" spans="1:44" ht="30">
      <c r="A23029" s="4" t="s">
        <v>24364</v>
      </c>
      <c r="B23029" s="4">
        <v>6513</v>
      </c>
      <c r="D23029" s="5" t="s">
        <v>29841</v>
      </c>
      <c r="E23029" s="6" t="str">
        <f>HYPERLINK("https://inpn.mnhn.fr/espece/cd_nom/6513","Scapania aequiloba (Schwägr.) Dumort., 1835")</f>
        <v>Scapania aequiloba (Schwägr.) Dumort., 1835</v>
      </c>
      <c r="P23029" s="7" t="str">
        <f>HYPERLINK("#Liste_rouge!A"&amp;_xlfn.XMATCH("LC",Liste_rouge!A:A,2,1),"LC")</f>
        <v>LC</v>
      </c>
      <c r="T23029" s="7" t="str">
        <f>HYPERLINK("#Liste_rouge!A"&amp;_xlfn.XMATCH("CR",Liste_rouge!A:A,2,1),"CR")</f>
        <v>CR</v>
      </c>
      <c r="V23029" s="7" t="str">
        <f>HYPERLINK("#Liste_rouge!A"&amp;_xlfn.XMATCH("LC",Liste_rouge!A:A,2,1),"LC")</f>
        <v>LC</v>
      </c>
      <c r="AB23029" s="4" t="s">
        <v>29842</v>
      </c>
      <c r="AH23029" s="4" t="str">
        <f>HYPERLINK("#Statut_biogéographique!A"&amp;_xlfn.XMATCH("P",Statut_biogéographique!A:A,2,1),"P")</f>
        <v>P</v>
      </c>
      <c r="AP23029" s="4" t="s">
        <v>376</v>
      </c>
      <c r="AR23029" s="4" t="s">
        <v>377</v>
      </c>
    </row>
    <row r="23030" spans="1:44">
      <c r="A23030" s="4" t="s">
        <v>24364</v>
      </c>
      <c r="B23030" s="4">
        <v>6514</v>
      </c>
      <c r="D23030" s="5" t="s">
        <v>29843</v>
      </c>
      <c r="E23030" s="6" t="str">
        <f>HYPERLINK("https://inpn.mnhn.fr/espece/cd_nom/6514","Scapania apiculata Spruce, 1847")</f>
        <v>Scapania apiculata Spruce, 1847</v>
      </c>
      <c r="P23030" s="7" t="str">
        <f>HYPERLINK("#Liste_rouge!A"&amp;_xlfn.XMATCH("NT",Liste_rouge!A:A,2,1),"NT")</f>
        <v>NT</v>
      </c>
      <c r="AH23030" s="4" t="str">
        <f>HYPERLINK("#Statut_biogéographique!A"&amp;_xlfn.XMATCH("P",Statut_biogéographique!A:A,2,1),"P")</f>
        <v>P</v>
      </c>
      <c r="AP23030" s="4" t="s">
        <v>376</v>
      </c>
      <c r="AR23030" s="4" t="s">
        <v>377</v>
      </c>
    </row>
    <row r="23031" spans="1:44">
      <c r="A23031" s="4" t="s">
        <v>24364</v>
      </c>
      <c r="B23031" s="4">
        <v>6517</v>
      </c>
      <c r="D23031" s="5" t="s">
        <v>29844</v>
      </c>
      <c r="E23031" s="6" t="str">
        <f>HYPERLINK("https://inpn.mnhn.fr/espece/cd_nom/6517","Scapania aspera M.Bernet &amp; Bernet, 1888")</f>
        <v>Scapania aspera M.Bernet &amp; Bernet, 1888</v>
      </c>
      <c r="P23031" s="7" t="str">
        <f>HYPERLINK("#Liste_rouge!A"&amp;_xlfn.XMATCH("LC",Liste_rouge!A:A,2,1),"LC")</f>
        <v>LC</v>
      </c>
      <c r="T23031" s="7" t="str">
        <f>HYPERLINK("#Liste_rouge!A"&amp;_xlfn.XMATCH("LC",Liste_rouge!A:A,2,1),"LC")</f>
        <v>LC</v>
      </c>
      <c r="V23031" s="7" t="str">
        <f>HYPERLINK("#Liste_rouge!A"&amp;_xlfn.XMATCH("LC",Liste_rouge!A:A,2,1),"LC")</f>
        <v>LC</v>
      </c>
      <c r="AH23031" s="4" t="str">
        <f>HYPERLINK("#Statut_biogéographique!A"&amp;_xlfn.XMATCH("P",Statut_biogéographique!A:A,2,1),"P")</f>
        <v>P</v>
      </c>
      <c r="AP23031" s="4" t="s">
        <v>376</v>
      </c>
      <c r="AR23031" s="4" t="s">
        <v>377</v>
      </c>
    </row>
    <row r="23032" spans="1:44">
      <c r="A23032" s="4" t="s">
        <v>24364</v>
      </c>
      <c r="B23032" s="4">
        <v>6518</v>
      </c>
      <c r="D23032" s="5" t="s">
        <v>29845</v>
      </c>
      <c r="E23032" s="6" t="str">
        <f>HYPERLINK("https://inpn.mnhn.fr/espece/cd_nom/6518","Scapania compacta (Roth) Dumort., 1835")</f>
        <v>Scapania compacta (Roth) Dumort., 1835</v>
      </c>
      <c r="P23032" s="7" t="str">
        <f>HYPERLINK("#Liste_rouge!A"&amp;_xlfn.XMATCH("LC",Liste_rouge!A:A,2,1),"LC")</f>
        <v>LC</v>
      </c>
      <c r="T23032" s="7" t="str">
        <f>HYPERLINK("#Liste_rouge!A"&amp;_xlfn.XMATCH("NT",Liste_rouge!A:A,2,1),"NT")</f>
        <v>NT</v>
      </c>
      <c r="V23032" s="7" t="str">
        <f>HYPERLINK("#Liste_rouge!A"&amp;_xlfn.XMATCH("VU",Liste_rouge!A:A,2,1),"VU")</f>
        <v>VU</v>
      </c>
      <c r="X23032" s="5" t="s">
        <v>374</v>
      </c>
      <c r="AB23032" s="4" t="s">
        <v>93</v>
      </c>
      <c r="AH23032" s="4" t="str">
        <f>HYPERLINK("#Statut_biogéographique!A"&amp;_xlfn.XMATCH("P",Statut_biogéographique!A:A,2,1),"P")</f>
        <v>P</v>
      </c>
      <c r="AP23032" s="4" t="s">
        <v>376</v>
      </c>
      <c r="AR23032" s="4" t="s">
        <v>377</v>
      </c>
    </row>
    <row r="23033" spans="1:44">
      <c r="A23033" s="4" t="s">
        <v>24364</v>
      </c>
      <c r="B23033" s="4">
        <v>6519</v>
      </c>
      <c r="D23033" s="5" t="s">
        <v>29846</v>
      </c>
      <c r="E23033" s="6" t="str">
        <f>HYPERLINK("https://inpn.mnhn.fr/espece/cd_nom/6519","Scapania curta (Mart.) Dumort., 1835")</f>
        <v>Scapania curta (Mart.) Dumort., 1835</v>
      </c>
      <c r="P23033" s="7" t="str">
        <f>HYPERLINK("#Liste_rouge!A"&amp;_xlfn.XMATCH("LC",Liste_rouge!A:A,2,1),"LC")</f>
        <v>LC</v>
      </c>
      <c r="T23033" s="7" t="str">
        <f>HYPERLINK("#Liste_rouge!A"&amp;_xlfn.XMATCH("EN",Liste_rouge!A:A,2,1),"EN")</f>
        <v>EN</v>
      </c>
      <c r="X23033" s="5" t="s">
        <v>374</v>
      </c>
      <c r="AB23033" s="4" t="s">
        <v>93</v>
      </c>
      <c r="AH23033" s="4" t="str">
        <f>HYPERLINK("#Statut_biogéographique!A"&amp;_xlfn.XMATCH("P",Statut_biogéographique!A:A,2,1),"P")</f>
        <v>P</v>
      </c>
      <c r="AP23033" s="4" t="s">
        <v>376</v>
      </c>
      <c r="AR23033" s="4" t="s">
        <v>377</v>
      </c>
    </row>
    <row r="23034" spans="1:44">
      <c r="A23034" s="4" t="s">
        <v>24364</v>
      </c>
      <c r="B23034" s="4">
        <v>6525</v>
      </c>
      <c r="D23034" s="5" t="s">
        <v>29847</v>
      </c>
      <c r="E23034" s="6" t="str">
        <f>HYPERLINK("https://inpn.mnhn.fr/espece/cd_nom/6525","Scapania irrigua (Nees) Nees, 1844")</f>
        <v>Scapania irrigua (Nees) Nees, 1844</v>
      </c>
      <c r="P23034" s="7" t="str">
        <f>HYPERLINK("#Liste_rouge!A"&amp;_xlfn.XMATCH("LC",Liste_rouge!A:A,2,1),"LC")</f>
        <v>LC</v>
      </c>
      <c r="T23034" s="7" t="str">
        <f>HYPERLINK("#Liste_rouge!A"&amp;_xlfn.XMATCH("EN",Liste_rouge!A:A,2,1),"EN")</f>
        <v>EN</v>
      </c>
      <c r="V23034" s="7" t="str">
        <f>HYPERLINK("#Liste_rouge!A"&amp;_xlfn.XMATCH("LC",Liste_rouge!A:A,2,1),"LC")</f>
        <v>LC</v>
      </c>
      <c r="AB23034" s="4" t="s">
        <v>29842</v>
      </c>
      <c r="AH23034" s="4" t="str">
        <f>HYPERLINK("#Statut_biogéographique!A"&amp;_xlfn.XMATCH("P",Statut_biogéographique!A:A,2,1),"P")</f>
        <v>P</v>
      </c>
      <c r="AP23034" s="4" t="s">
        <v>376</v>
      </c>
      <c r="AR23034" s="4" t="s">
        <v>377</v>
      </c>
    </row>
    <row r="23035" spans="1:44">
      <c r="A23035" s="4" t="s">
        <v>24364</v>
      </c>
      <c r="B23035" s="4">
        <v>6527</v>
      </c>
      <c r="D23035" s="5" t="s">
        <v>29848</v>
      </c>
      <c r="E23035" s="6" t="str">
        <f>HYPERLINK("https://inpn.mnhn.fr/espece/cd_nom/6527","Scapania lingulata H.Buch, 1916")</f>
        <v>Scapania lingulata H.Buch, 1916</v>
      </c>
      <c r="P23035" s="7" t="str">
        <f>HYPERLINK("#Liste_rouge!A"&amp;_xlfn.XMATCH("NT",Liste_rouge!A:A,2,1),"NT")</f>
        <v>NT</v>
      </c>
      <c r="V23035" s="7" t="str">
        <f>HYPERLINK("#Liste_rouge!A"&amp;_xlfn.XMATCH("EN",Liste_rouge!A:A,2,1),"EN")</f>
        <v>EN</v>
      </c>
      <c r="X23035" s="5" t="s">
        <v>374</v>
      </c>
      <c r="AB23035" s="4" t="s">
        <v>93</v>
      </c>
      <c r="AH23035" s="4" t="str">
        <f>HYPERLINK("#Statut_biogéographique!A"&amp;_xlfn.XMATCH("P",Statut_biogéographique!A:A,2,1),"P")</f>
        <v>P</v>
      </c>
      <c r="AP23035" s="4" t="s">
        <v>376</v>
      </c>
      <c r="AR23035" s="4" t="s">
        <v>377</v>
      </c>
    </row>
    <row r="23036" spans="1:44" ht="105">
      <c r="A23036" s="4" t="s">
        <v>24364</v>
      </c>
      <c r="B23036" s="4">
        <v>652780</v>
      </c>
      <c r="D23036" s="5" t="s">
        <v>29849</v>
      </c>
      <c r="E23036" s="6" t="str">
        <f>HYPERLINK("https://inpn.mnhn.fr/espece/cd_nom/652780","Batrachospermum gelatinosum (L.) De Candolle, 1801")</f>
        <v>Batrachospermum gelatinosum (L.) De Candolle, 1801</v>
      </c>
      <c r="AH23036" s="4" t="str">
        <f>HYPERLINK("#Statut_biogéographique!A"&amp;_xlfn.XMATCH("P",Statut_biogéographique!A:A,2,1),"P")</f>
        <v>P</v>
      </c>
      <c r="AP23036" s="4" t="s">
        <v>376</v>
      </c>
      <c r="AR23036" s="4" t="s">
        <v>377</v>
      </c>
    </row>
    <row r="23037" spans="1:44" ht="30">
      <c r="A23037" s="4" t="s">
        <v>24364</v>
      </c>
      <c r="B23037" s="4">
        <v>6529</v>
      </c>
      <c r="D23037" s="5" t="s">
        <v>29850</v>
      </c>
      <c r="E23037" s="6" t="str">
        <f>HYPERLINK("https://inpn.mnhn.fr/espece/cd_nom/6529","Scapania nemorea (L.) Grolle, 1963")</f>
        <v>Scapania nemorea (L.) Grolle, 1963</v>
      </c>
      <c r="P23037" s="7" t="str">
        <f>HYPERLINK("#Liste_rouge!A"&amp;_xlfn.XMATCH("LC",Liste_rouge!A:A,2,1),"LC")</f>
        <v>LC</v>
      </c>
      <c r="T23037" s="7" t="str">
        <f>HYPERLINK("#Liste_rouge!A"&amp;_xlfn.XMATCH("LC",Liste_rouge!A:A,2,1),"LC")</f>
        <v>LC</v>
      </c>
      <c r="V23037" s="7" t="str">
        <f>HYPERLINK("#Liste_rouge!A"&amp;_xlfn.XMATCH("LC",Liste_rouge!A:A,2,1),"LC")</f>
        <v>LC</v>
      </c>
      <c r="AH23037" s="4" t="str">
        <f>HYPERLINK("#Statut_biogéographique!A"&amp;_xlfn.XMATCH("P",Statut_biogéographique!A:A,2,1),"P")</f>
        <v>P</v>
      </c>
      <c r="AP23037" s="4" t="s">
        <v>376</v>
      </c>
      <c r="AR23037" s="4" t="s">
        <v>377</v>
      </c>
    </row>
    <row r="23038" spans="1:44">
      <c r="A23038" s="4" t="s">
        <v>24364</v>
      </c>
      <c r="B23038" s="4">
        <v>6532</v>
      </c>
      <c r="D23038" s="5" t="s">
        <v>29851</v>
      </c>
      <c r="E23038" s="6" t="str">
        <f>HYPERLINK("https://inpn.mnhn.fr/espece/cd_nom/6532","Scapania paludicola Loeske &amp; Müll.Frib., 1915")</f>
        <v>Scapania paludicola Loeske &amp; Müll.Frib., 1915</v>
      </c>
      <c r="P23038" s="7" t="str">
        <f>HYPERLINK("#Liste_rouge!A"&amp;_xlfn.XMATCH("LC",Liste_rouge!A:A,2,1),"LC")</f>
        <v>LC</v>
      </c>
      <c r="V23038" s="7" t="str">
        <f>HYPERLINK("#Liste_rouge!A"&amp;_xlfn.XMATCH("VU",Liste_rouge!A:A,2,1),"VU")</f>
        <v>VU</v>
      </c>
      <c r="X23038" s="5" t="s">
        <v>374</v>
      </c>
      <c r="AB23038" s="4" t="s">
        <v>93</v>
      </c>
      <c r="AH23038" s="4" t="str">
        <f>HYPERLINK("#Statut_biogéographique!A"&amp;_xlfn.XMATCH("P",Statut_biogéographique!A:A,2,1),"P")</f>
        <v>P</v>
      </c>
      <c r="AP23038" s="4" t="s">
        <v>376</v>
      </c>
      <c r="AR23038" s="4" t="s">
        <v>377</v>
      </c>
    </row>
    <row r="23039" spans="1:44" ht="30">
      <c r="A23039" s="4" t="s">
        <v>24364</v>
      </c>
      <c r="B23039" s="4">
        <v>6536</v>
      </c>
      <c r="D23039" s="5" t="s">
        <v>29852</v>
      </c>
      <c r="E23039" s="6" t="str">
        <f>HYPERLINK("https://inpn.mnhn.fr/espece/cd_nom/6536","Scapania subalpina (Nees ex Lindenb.) Dumort., 1835")</f>
        <v>Scapania subalpina (Nees ex Lindenb.) Dumort., 1835</v>
      </c>
      <c r="P23039" s="7" t="str">
        <f>HYPERLINK("#Liste_rouge!A"&amp;_xlfn.XMATCH("LC",Liste_rouge!A:A,2,1),"LC")</f>
        <v>LC</v>
      </c>
      <c r="AH23039" s="4" t="str">
        <f>HYPERLINK("#Statut_biogéographique!A"&amp;_xlfn.XMATCH("P",Statut_biogéographique!A:A,2,1),"P")</f>
        <v>P</v>
      </c>
      <c r="AP23039" s="4" t="s">
        <v>376</v>
      </c>
      <c r="AR23039" s="4" t="s">
        <v>377</v>
      </c>
    </row>
    <row r="23040" spans="1:44" ht="30">
      <c r="A23040" s="4" t="s">
        <v>24364</v>
      </c>
      <c r="B23040" s="4">
        <v>6538</v>
      </c>
      <c r="D23040" s="5" t="s">
        <v>29853</v>
      </c>
      <c r="E23040" s="6" t="str">
        <f>HYPERLINK("https://inpn.mnhn.fr/espece/cd_nom/6538","Scapania paludosa (Müll.Frib.) Müll.Frib., 1902")</f>
        <v>Scapania paludosa (Müll.Frib.) Müll.Frib., 1902</v>
      </c>
      <c r="P23040" s="7" t="str">
        <f>HYPERLINK("#Liste_rouge!A"&amp;_xlfn.XMATCH("LC",Liste_rouge!A:A,2,1),"LC")</f>
        <v>LC</v>
      </c>
      <c r="T23040" s="7" t="str">
        <f>HYPERLINK("#Liste_rouge!A"&amp;_xlfn.XMATCH("CR",Liste_rouge!A:A,2,1),"CR")</f>
        <v>CR</v>
      </c>
      <c r="V23040" s="7" t="str">
        <f>HYPERLINK("#Liste_rouge!A"&amp;_xlfn.XMATCH("VU",Liste_rouge!A:A,2,1),"VU")</f>
        <v>VU</v>
      </c>
      <c r="X23040" s="5" t="s">
        <v>374</v>
      </c>
      <c r="AB23040" s="4" t="s">
        <v>93</v>
      </c>
      <c r="AH23040" s="4" t="str">
        <f>HYPERLINK("#Statut_biogéographique!A"&amp;_xlfn.XMATCH("P",Statut_biogéographique!A:A,2,1),"P")</f>
        <v>P</v>
      </c>
      <c r="AP23040" s="4" t="s">
        <v>376</v>
      </c>
      <c r="AR23040" s="4" t="s">
        <v>377</v>
      </c>
    </row>
    <row r="23041" spans="1:44">
      <c r="A23041" s="4" t="s">
        <v>24364</v>
      </c>
      <c r="B23041" s="4">
        <v>6539</v>
      </c>
      <c r="D23041" s="5" t="s">
        <v>29854</v>
      </c>
      <c r="E23041" s="6" t="str">
        <f>HYPERLINK("https://inpn.mnhn.fr/espece/cd_nom/6539","Scapania umbrosa (Schrad.) Dumort., 1835")</f>
        <v>Scapania umbrosa (Schrad.) Dumort., 1835</v>
      </c>
      <c r="P23041" s="7" t="str">
        <f>HYPERLINK("#Liste_rouge!A"&amp;_xlfn.XMATCH("LC",Liste_rouge!A:A,2,1),"LC")</f>
        <v>LC</v>
      </c>
      <c r="T23041" s="7" t="str">
        <f>HYPERLINK("#Liste_rouge!A"&amp;_xlfn.XMATCH("CR",Liste_rouge!A:A,2,1),"CR")</f>
        <v>CR</v>
      </c>
      <c r="V23041" s="7" t="str">
        <f>HYPERLINK("#Liste_rouge!A"&amp;_xlfn.XMATCH("LC",Liste_rouge!A:A,2,1),"LC")</f>
        <v>LC</v>
      </c>
      <c r="X23041" s="5" t="s">
        <v>374</v>
      </c>
      <c r="AB23041" s="4" t="s">
        <v>93</v>
      </c>
      <c r="AH23041" s="4" t="str">
        <f>HYPERLINK("#Statut_biogéographique!A"&amp;_xlfn.XMATCH("P",Statut_biogéographique!A:A,2,1),"P")</f>
        <v>P</v>
      </c>
      <c r="AP23041" s="4" t="s">
        <v>376</v>
      </c>
      <c r="AR23041" s="4" t="s">
        <v>377</v>
      </c>
    </row>
    <row r="23042" spans="1:44" ht="45">
      <c r="A23042" s="4" t="s">
        <v>24364</v>
      </c>
      <c r="B23042" s="4">
        <v>6540</v>
      </c>
      <c r="D23042" s="5" t="s">
        <v>29855</v>
      </c>
      <c r="E23042" s="6" t="str">
        <f>HYPERLINK("https://inpn.mnhn.fr/espece/cd_nom/6540","Scapania undulata (L.) Dumort., 1835")</f>
        <v>Scapania undulata (L.) Dumort., 1835</v>
      </c>
      <c r="P23042" s="7" t="str">
        <f>HYPERLINK("#Liste_rouge!A"&amp;_xlfn.XMATCH("LC",Liste_rouge!A:A,2,1),"LC")</f>
        <v>LC</v>
      </c>
      <c r="T23042" s="7" t="str">
        <f>HYPERLINK("#Liste_rouge!A"&amp;_xlfn.XMATCH("LC",Liste_rouge!A:A,2,1),"LC")</f>
        <v>LC</v>
      </c>
      <c r="V23042" s="7" t="str">
        <f>HYPERLINK("#Liste_rouge!A"&amp;_xlfn.XMATCH("LC",Liste_rouge!A:A,2,1),"LC (cd_nom 6540) - NE (cd_nom 6540)")</f>
        <v>LC (cd_nom 6540) - NE (cd_nom 6540)</v>
      </c>
      <c r="AH23042" s="4" t="str">
        <f>HYPERLINK("#Statut_biogéographique!A"&amp;_xlfn.XMATCH("P",Statut_biogéographique!A:A,2,1),"P")</f>
        <v>P</v>
      </c>
      <c r="AP23042" s="4" t="s">
        <v>376</v>
      </c>
      <c r="AR23042" s="4" t="s">
        <v>377</v>
      </c>
    </row>
    <row r="23043" spans="1:44">
      <c r="A23043" s="4" t="s">
        <v>24364</v>
      </c>
      <c r="B23043" s="4">
        <v>6550</v>
      </c>
      <c r="D23043" s="5" t="s">
        <v>29856</v>
      </c>
      <c r="E23043" s="6" t="str">
        <f>HYPERLINK("https://inpn.mnhn.fr/espece/cd_nom/6550","Cephaloziella baumgartneri Schiffn., 1905")</f>
        <v>Cephaloziella baumgartneri Schiffn., 1905</v>
      </c>
      <c r="P23043" s="7" t="str">
        <f>HYPERLINK("#Liste_rouge!A"&amp;_xlfn.XMATCH("LC",Liste_rouge!A:A,2,1),"LC")</f>
        <v>LC</v>
      </c>
      <c r="T23043" s="7" t="str">
        <f>HYPERLINK("#Liste_rouge!A"&amp;_xlfn.XMATCH("NT",Liste_rouge!A:A,2,1),"NT")</f>
        <v>NT</v>
      </c>
      <c r="AB23043" s="4" t="s">
        <v>29857</v>
      </c>
      <c r="AH23043" s="4" t="str">
        <f>HYPERLINK("#Statut_biogéographique!A"&amp;_xlfn.XMATCH("P",Statut_biogéographique!A:A,2,1),"P")</f>
        <v>P</v>
      </c>
      <c r="AP23043" s="4" t="s">
        <v>376</v>
      </c>
      <c r="AR23043" s="4" t="s">
        <v>377</v>
      </c>
    </row>
    <row r="23044" spans="1:44" ht="30">
      <c r="A23044" s="4" t="s">
        <v>24364</v>
      </c>
      <c r="B23044" s="4">
        <v>6554</v>
      </c>
      <c r="D23044" s="5" t="s">
        <v>29858</v>
      </c>
      <c r="E23044" s="6" t="str">
        <f>HYPERLINK("https://inpn.mnhn.fr/espece/cd_nom/6554","Cephaloziella divaricata (Sm.) Schiffn., 1909")</f>
        <v>Cephaloziella divaricata (Sm.) Schiffn., 1909</v>
      </c>
      <c r="P23044" s="7" t="str">
        <f>HYPERLINK("#Liste_rouge!A"&amp;_xlfn.XMATCH("LC",Liste_rouge!A:A,2,1),"LC")</f>
        <v>LC</v>
      </c>
      <c r="T23044" s="7" t="str">
        <f>HYPERLINK("#Liste_rouge!A"&amp;_xlfn.XMATCH("LC",Liste_rouge!A:A,2,1),"LC")</f>
        <v>LC</v>
      </c>
      <c r="V23044" s="7" t="str">
        <f>HYPERLINK("#Liste_rouge!A"&amp;_xlfn.XMATCH("LC",Liste_rouge!A:A,2,1),"LC")</f>
        <v>LC</v>
      </c>
      <c r="AH23044" s="4" t="str">
        <f>HYPERLINK("#Statut_biogéographique!A"&amp;_xlfn.XMATCH("P",Statut_biogéographique!A:A,2,1),"P")</f>
        <v>P</v>
      </c>
      <c r="AP23044" s="4" t="s">
        <v>376</v>
      </c>
      <c r="AR23044" s="4" t="s">
        <v>377</v>
      </c>
    </row>
    <row r="23045" spans="1:44" ht="30">
      <c r="A23045" s="4" t="s">
        <v>24364</v>
      </c>
      <c r="B23045" s="4">
        <v>6555</v>
      </c>
      <c r="D23045" s="5" t="s">
        <v>29859</v>
      </c>
      <c r="E23045" s="6" t="str">
        <f>HYPERLINK("https://inpn.mnhn.fr/espece/cd_nom/6555","Cephaloziella elachista (J.B.Jack ex Gottsche &amp; Rabenh.) Schiffn., 1900")</f>
        <v>Cephaloziella elachista (J.B.Jack ex Gottsche &amp; Rabenh.) Schiffn., 1900</v>
      </c>
      <c r="P23045" s="7" t="str">
        <f>HYPERLINK("#Liste_rouge!A"&amp;_xlfn.XMATCH("VU",Liste_rouge!A:A,2,1),"VU")</f>
        <v>VU</v>
      </c>
      <c r="T23045" s="7" t="str">
        <f>HYPERLINK("#Liste_rouge!A"&amp;_xlfn.XMATCH("CR",Liste_rouge!A:A,2,1),"CR")</f>
        <v>CR</v>
      </c>
      <c r="V23045" s="7" t="str">
        <f>HYPERLINK("#Liste_rouge!A"&amp;_xlfn.XMATCH("CR",Liste_rouge!A:A,2,1),"CR")</f>
        <v>CR</v>
      </c>
      <c r="X23045" s="5" t="s">
        <v>374</v>
      </c>
      <c r="AB23045" s="4" t="s">
        <v>93</v>
      </c>
      <c r="AH23045" s="4" t="str">
        <f>HYPERLINK("#Statut_biogéographique!A"&amp;_xlfn.XMATCH("P",Statut_biogéographique!A:A,2,1),"P")</f>
        <v>P</v>
      </c>
      <c r="AP23045" s="4" t="s">
        <v>376</v>
      </c>
      <c r="AR23045" s="4" t="s">
        <v>377</v>
      </c>
    </row>
    <row r="23046" spans="1:44" ht="45">
      <c r="A23046" s="4" t="s">
        <v>24364</v>
      </c>
      <c r="B23046" s="4">
        <v>655656</v>
      </c>
      <c r="D23046" s="5" t="s">
        <v>29860</v>
      </c>
      <c r="E23046" s="6" t="str">
        <f>HYPERLINK("https://inpn.mnhn.fr/espece/cd_nom/655656","Metzgeria furcata (L.) Corda, 1829")</f>
        <v>Metzgeria furcata (L.) Corda, 1829</v>
      </c>
      <c r="P23046" s="7" t="str">
        <f>HYPERLINK("#Liste_rouge!A"&amp;_xlfn.XMATCH("LC",Liste_rouge!A:A,2,1),"LC")</f>
        <v>LC</v>
      </c>
      <c r="T23046" s="7" t="str">
        <f>HYPERLINK("#Liste_rouge!A"&amp;_xlfn.XMATCH("LC",Liste_rouge!A:A,2,1),"LC")</f>
        <v>LC</v>
      </c>
      <c r="V23046" s="7" t="str">
        <f>HYPERLINK("#Liste_rouge!A"&amp;_xlfn.XMATCH("LC",Liste_rouge!A:A,2,1),"LC (cd_nom 655656) - NE (cd_nom 655656)")</f>
        <v>LC (cd_nom 655656) - NE (cd_nom 655656)</v>
      </c>
      <c r="AH23046" s="4" t="str">
        <f>HYPERLINK("#Statut_biogéographique!A"&amp;_xlfn.XMATCH("P",Statut_biogéographique!A:A,2,1),"P")</f>
        <v>P</v>
      </c>
      <c r="AP23046" s="4" t="s">
        <v>376</v>
      </c>
      <c r="AR23046" s="4" t="s">
        <v>377</v>
      </c>
    </row>
    <row r="23047" spans="1:44" ht="30">
      <c r="A23047" s="4" t="s">
        <v>24364</v>
      </c>
      <c r="B23047" s="4">
        <v>6558</v>
      </c>
      <c r="D23047" s="5" t="s">
        <v>29861</v>
      </c>
      <c r="E23047" s="6" t="str">
        <f>HYPERLINK("https://inpn.mnhn.fr/espece/cd_nom/6558","Cephaloziella hampeana (Nees) Schiffn. ex Loeske, 1903")</f>
        <v>Cephaloziella hampeana (Nees) Schiffn. ex Loeske, 1903</v>
      </c>
      <c r="P23047" s="7" t="str">
        <f>HYPERLINK("#Liste_rouge!A"&amp;_xlfn.XMATCH("LC",Liste_rouge!A:A,2,1),"LC")</f>
        <v>LC</v>
      </c>
      <c r="T23047" s="7" t="str">
        <f>HYPERLINK("#Liste_rouge!A"&amp;_xlfn.XMATCH("EN",Liste_rouge!A:A,2,1),"EN")</f>
        <v>EN</v>
      </c>
      <c r="V23047" s="7" t="str">
        <f>HYPERLINK("#Liste_rouge!A"&amp;_xlfn.XMATCH("VU",Liste_rouge!A:A,2,1),"VU")</f>
        <v>VU</v>
      </c>
      <c r="X23047" s="5" t="s">
        <v>374</v>
      </c>
      <c r="AB23047" s="4" t="s">
        <v>93</v>
      </c>
      <c r="AH23047" s="4" t="str">
        <f>HYPERLINK("#Statut_biogéographique!A"&amp;_xlfn.XMATCH("P",Statut_biogéographique!A:A,2,1),"P")</f>
        <v>P</v>
      </c>
      <c r="AP23047" s="4" t="s">
        <v>376</v>
      </c>
      <c r="AR23047" s="4" t="s">
        <v>377</v>
      </c>
    </row>
    <row r="23048" spans="1:44" ht="30">
      <c r="A23048" s="4" t="s">
        <v>24364</v>
      </c>
      <c r="B23048" s="4">
        <v>6563</v>
      </c>
      <c r="D23048" s="5" t="s">
        <v>29862</v>
      </c>
      <c r="E23048" s="6" t="str">
        <f>HYPERLINK("https://inpn.mnhn.fr/espece/cd_nom/6563","Cephaloziella rubella (Nees) Warnst., 1902")</f>
        <v>Cephaloziella rubella (Nees) Warnst., 1902</v>
      </c>
      <c r="P23048" s="7" t="str">
        <f>HYPERLINK("#Liste_rouge!A"&amp;_xlfn.XMATCH("LC",Liste_rouge!A:A,2,1),"LC")</f>
        <v>LC</v>
      </c>
      <c r="T23048" s="7" t="str">
        <f>HYPERLINK("#Liste_rouge!A"&amp;_xlfn.XMATCH("NT",Liste_rouge!A:A,2,1),"NT")</f>
        <v>NT</v>
      </c>
      <c r="V23048" s="7" t="str">
        <f>HYPERLINK("#Liste_rouge!A"&amp;_xlfn.XMATCH("DD",Liste_rouge!A:A,2,1),"DD")</f>
        <v>DD</v>
      </c>
      <c r="AB23048" s="4" t="s">
        <v>29863</v>
      </c>
      <c r="AH23048" s="4" t="str">
        <f>HYPERLINK("#Statut_biogéographique!A"&amp;_xlfn.XMATCH("P",Statut_biogéographique!A:A,2,1),"P")</f>
        <v>P</v>
      </c>
      <c r="AP23048" s="4" t="s">
        <v>376</v>
      </c>
      <c r="AR23048" s="4" t="s">
        <v>377</v>
      </c>
    </row>
    <row r="23049" spans="1:44" ht="30">
      <c r="A23049" s="4" t="s">
        <v>24364</v>
      </c>
      <c r="B23049" s="4">
        <v>6573</v>
      </c>
      <c r="D23049" s="5" t="s">
        <v>29864</v>
      </c>
      <c r="E23049" s="6" t="str">
        <f>HYPERLINK("https://inpn.mnhn.fr/espece/cd_nom/6573","Cephalozia bicuspidata (L.) Dumort., 1835")</f>
        <v>Cephalozia bicuspidata (L.) Dumort., 1835</v>
      </c>
      <c r="P23049" s="7" t="str">
        <f>HYPERLINK("#Liste_rouge!A"&amp;_xlfn.XMATCH("LC",Liste_rouge!A:A,2,1),"LC")</f>
        <v>LC</v>
      </c>
      <c r="T23049" s="7" t="str">
        <f>HYPERLINK("#Liste_rouge!A"&amp;_xlfn.XMATCH("LC",Liste_rouge!A:A,2,1),"LC")</f>
        <v>LC</v>
      </c>
      <c r="V23049" s="7" t="str">
        <f>HYPERLINK("#Liste_rouge!A"&amp;_xlfn.XMATCH("LC",Liste_rouge!A:A,2,1),"LC")</f>
        <v>LC</v>
      </c>
      <c r="AH23049" s="4" t="str">
        <f>HYPERLINK("#Statut_biogéographique!A"&amp;_xlfn.XMATCH("P",Statut_biogéographique!A:A,2,1),"P")</f>
        <v>P</v>
      </c>
      <c r="AP23049" s="4" t="s">
        <v>376</v>
      </c>
      <c r="AR23049" s="4" t="s">
        <v>377</v>
      </c>
    </row>
    <row r="23050" spans="1:44" ht="30">
      <c r="A23050" s="4" t="s">
        <v>24364</v>
      </c>
      <c r="B23050" s="4">
        <v>6577</v>
      </c>
      <c r="D23050" s="5" t="s">
        <v>29865</v>
      </c>
      <c r="E23050" s="6" t="str">
        <f>HYPERLINK("https://inpn.mnhn.fr/espece/cd_nom/6577","Cephalozia bicuspidata subsp. bicuspidata (L.) Dumort., 1835")</f>
        <v>Cephalozia bicuspidata subsp. bicuspidata (L.) Dumort., 1835</v>
      </c>
      <c r="AH23050" s="4" t="str">
        <f>HYPERLINK("#Statut_biogéographique!A"&amp;_xlfn.XMATCH("P",Statut_biogéographique!A:A,2,1),"P")</f>
        <v>P</v>
      </c>
      <c r="AP23050" s="4" t="s">
        <v>376</v>
      </c>
      <c r="AR23050" s="4" t="s">
        <v>377</v>
      </c>
    </row>
    <row r="23051" spans="1:44">
      <c r="A23051" s="4" t="s">
        <v>24364</v>
      </c>
      <c r="B23051" s="4">
        <v>6596</v>
      </c>
      <c r="D23051" s="5" t="s">
        <v>29866</v>
      </c>
      <c r="E23051" s="6" t="str">
        <f>HYPERLINK("https://inpn.mnhn.fr/espece/cd_nom/6596","Nowellia curvifolia (Dicks.) Mitt., 1870")</f>
        <v>Nowellia curvifolia (Dicks.) Mitt., 1870</v>
      </c>
      <c r="P23051" s="7" t="str">
        <f>HYPERLINK("#Liste_rouge!A"&amp;_xlfn.XMATCH("LC",Liste_rouge!A:A,2,1),"LC")</f>
        <v>LC</v>
      </c>
      <c r="T23051" s="7" t="str">
        <f>HYPERLINK("#Liste_rouge!A"&amp;_xlfn.XMATCH("LC",Liste_rouge!A:A,2,1),"LC")</f>
        <v>LC</v>
      </c>
      <c r="V23051" s="7" t="str">
        <f>HYPERLINK("#Liste_rouge!A"&amp;_xlfn.XMATCH("LC",Liste_rouge!A:A,2,1),"LC")</f>
        <v>LC</v>
      </c>
      <c r="AH23051" s="4" t="str">
        <f>HYPERLINK("#Statut_biogéographique!A"&amp;_xlfn.XMATCH("P",Statut_biogéographique!A:A,2,1),"P")</f>
        <v>P</v>
      </c>
      <c r="AP23051" s="4" t="s">
        <v>376</v>
      </c>
      <c r="AR23051" s="4" t="s">
        <v>377</v>
      </c>
    </row>
    <row r="23052" spans="1:44" ht="30">
      <c r="A23052" s="4" t="s">
        <v>24364</v>
      </c>
      <c r="B23052" s="4">
        <v>6598</v>
      </c>
      <c r="D23052" s="5" t="s">
        <v>29867</v>
      </c>
      <c r="E23052" s="6" t="str">
        <f>HYPERLINK("https://inpn.mnhn.fr/espece/cd_nom/6598","Odontoschisma denudatum (Mart.) Dumort., 1835")</f>
        <v>Odontoschisma denudatum (Mart.) Dumort., 1835</v>
      </c>
      <c r="P23052" s="7" t="str">
        <f>HYPERLINK("#Liste_rouge!A"&amp;_xlfn.XMATCH("LC",Liste_rouge!A:A,2,1),"LC")</f>
        <v>LC</v>
      </c>
      <c r="T23052" s="7" t="str">
        <f>HYPERLINK("#Liste_rouge!A"&amp;_xlfn.XMATCH("EN",Liste_rouge!A:A,2,1),"EN")</f>
        <v>EN</v>
      </c>
      <c r="V23052" s="7" t="str">
        <f>HYPERLINK("#Liste_rouge!A"&amp;_xlfn.XMATCH("VU",Liste_rouge!A:A,2,1),"VU")</f>
        <v>VU</v>
      </c>
      <c r="X23052" s="5" t="s">
        <v>374</v>
      </c>
      <c r="AB23052" s="4" t="s">
        <v>93</v>
      </c>
      <c r="AH23052" s="4" t="str">
        <f>HYPERLINK("#Statut_biogéographique!A"&amp;_xlfn.XMATCH("P",Statut_biogéographique!A:A,2,1),"P")</f>
        <v>P</v>
      </c>
      <c r="AP23052" s="4" t="s">
        <v>376</v>
      </c>
      <c r="AR23052" s="4" t="s">
        <v>377</v>
      </c>
    </row>
    <row r="23053" spans="1:44" ht="30">
      <c r="A23053" s="4" t="s">
        <v>24364</v>
      </c>
      <c r="B23053" s="4">
        <v>6600</v>
      </c>
      <c r="D23053" s="5" t="s">
        <v>29868</v>
      </c>
      <c r="E23053" s="6" t="str">
        <f>HYPERLINK("https://inpn.mnhn.fr/espece/cd_nom/6600","Odontoschisma sphagni (Dicks.) Dumort., 1835")</f>
        <v>Odontoschisma sphagni (Dicks.) Dumort., 1835</v>
      </c>
      <c r="P23053" s="7" t="str">
        <f>HYPERLINK("#Liste_rouge!A"&amp;_xlfn.XMATCH("LC",Liste_rouge!A:A,2,1),"LC")</f>
        <v>LC</v>
      </c>
      <c r="T23053" s="7" t="str">
        <f>HYPERLINK("#Liste_rouge!A"&amp;_xlfn.XMATCH("EN",Liste_rouge!A:A,2,1),"EN")</f>
        <v>EN</v>
      </c>
      <c r="V23053" s="7" t="str">
        <f>HYPERLINK("#Liste_rouge!A"&amp;_xlfn.XMATCH("NT",Liste_rouge!A:A,2,1),"NT")</f>
        <v>NT</v>
      </c>
      <c r="X23053" s="5" t="s">
        <v>374</v>
      </c>
      <c r="AB23053" s="4" t="s">
        <v>93</v>
      </c>
      <c r="AH23053" s="4" t="str">
        <f>HYPERLINK("#Statut_biogéographique!A"&amp;_xlfn.XMATCH("P",Statut_biogéographique!A:A,2,1),"P")</f>
        <v>P</v>
      </c>
      <c r="AP23053" s="4" t="s">
        <v>376</v>
      </c>
      <c r="AR23053" s="4" t="s">
        <v>377</v>
      </c>
    </row>
    <row r="23054" spans="1:44" ht="30">
      <c r="A23054" s="4" t="s">
        <v>24364</v>
      </c>
      <c r="B23054" s="4">
        <v>6609</v>
      </c>
      <c r="D23054" s="5" t="s">
        <v>29869</v>
      </c>
      <c r="E23054" s="6" t="str">
        <f>HYPERLINK("https://inpn.mnhn.fr/espece/cd_nom/6609","Bazzania flaccida (Dumort.) Grolle, 1972")</f>
        <v>Bazzania flaccida (Dumort.) Grolle, 1972</v>
      </c>
      <c r="P23054" s="7" t="str">
        <f>HYPERLINK("#Liste_rouge!A"&amp;_xlfn.XMATCH("LC",Liste_rouge!A:A,2,1),"LC")</f>
        <v>LC</v>
      </c>
      <c r="V23054" s="7" t="str">
        <f>HYPERLINK("#Liste_rouge!A"&amp;_xlfn.XMATCH("NT",Liste_rouge!A:A,2,1),"NT")</f>
        <v>NT</v>
      </c>
      <c r="X23054" s="5" t="s">
        <v>374</v>
      </c>
      <c r="AB23054" s="4" t="s">
        <v>93</v>
      </c>
      <c r="AH23054" s="4" t="str">
        <f>HYPERLINK("#Statut_biogéographique!A"&amp;_xlfn.XMATCH("P",Statut_biogéographique!A:A,2,1),"P")</f>
        <v>P</v>
      </c>
      <c r="AP23054" s="4" t="s">
        <v>376</v>
      </c>
      <c r="AR23054" s="4" t="s">
        <v>377</v>
      </c>
    </row>
    <row r="23055" spans="1:44">
      <c r="A23055" s="4" t="s">
        <v>24364</v>
      </c>
      <c r="B23055" s="4">
        <v>6610</v>
      </c>
      <c r="D23055" s="5" t="s">
        <v>29870</v>
      </c>
      <c r="E23055" s="6" t="str">
        <f>HYPERLINK("https://inpn.mnhn.fr/espece/cd_nom/6610","Bazzania tricrenata (Wahlenb.) Lindb., 1872")</f>
        <v>Bazzania tricrenata (Wahlenb.) Lindb., 1872</v>
      </c>
      <c r="P23055" s="7" t="str">
        <f>HYPERLINK("#Liste_rouge!A"&amp;_xlfn.XMATCH("LC",Liste_rouge!A:A,2,1),"LC")</f>
        <v>LC</v>
      </c>
      <c r="T23055" s="7" t="str">
        <f>HYPERLINK("#Liste_rouge!A"&amp;_xlfn.XMATCH("EN",Liste_rouge!A:A,2,1),"EN")</f>
        <v>EN</v>
      </c>
      <c r="V23055" s="7" t="str">
        <f>HYPERLINK("#Liste_rouge!A"&amp;_xlfn.XMATCH("NT",Liste_rouge!A:A,2,1),"NT")</f>
        <v>NT</v>
      </c>
      <c r="X23055" s="5" t="s">
        <v>374</v>
      </c>
      <c r="AB23055" s="4" t="s">
        <v>93</v>
      </c>
      <c r="AH23055" s="4" t="str">
        <f>HYPERLINK("#Statut_biogéographique!A"&amp;_xlfn.XMATCH("P",Statut_biogéographique!A:A,2,1),"P")</f>
        <v>P</v>
      </c>
      <c r="AP23055" s="4" t="s">
        <v>376</v>
      </c>
      <c r="AR23055" s="4" t="s">
        <v>377</v>
      </c>
    </row>
    <row r="23056" spans="1:44">
      <c r="A23056" s="4" t="s">
        <v>24364</v>
      </c>
      <c r="B23056" s="4">
        <v>6611</v>
      </c>
      <c r="D23056" s="5" t="s">
        <v>29871</v>
      </c>
      <c r="E23056" s="6" t="str">
        <f>HYPERLINK("https://inpn.mnhn.fr/espece/cd_nom/6611","Bazzania trilobata (L.) Gray, 1821")</f>
        <v>Bazzania trilobata (L.) Gray, 1821</v>
      </c>
      <c r="P23056" s="7" t="str">
        <f>HYPERLINK("#Liste_rouge!A"&amp;_xlfn.XMATCH("LC",Liste_rouge!A:A,2,1),"LC")</f>
        <v>LC</v>
      </c>
      <c r="T23056" s="7" t="str">
        <f>HYPERLINK("#Liste_rouge!A"&amp;_xlfn.XMATCH("LC",Liste_rouge!A:A,2,1),"LC")</f>
        <v>LC</v>
      </c>
      <c r="V23056" s="7" t="str">
        <f>HYPERLINK("#Liste_rouge!A"&amp;_xlfn.XMATCH("LC",Liste_rouge!A:A,2,1),"LC")</f>
        <v>LC</v>
      </c>
      <c r="AB23056" s="4" t="s">
        <v>25106</v>
      </c>
      <c r="AH23056" s="4" t="str">
        <f>HYPERLINK("#Statut_biogéographique!A"&amp;_xlfn.XMATCH("P",Statut_biogéographique!A:A,2,1),"P")</f>
        <v>P</v>
      </c>
      <c r="AP23056" s="4" t="s">
        <v>376</v>
      </c>
      <c r="AR23056" s="4" t="s">
        <v>377</v>
      </c>
    </row>
    <row r="23057" spans="1:44" ht="30">
      <c r="A23057" s="4" t="s">
        <v>24364</v>
      </c>
      <c r="B23057" s="4">
        <v>6613</v>
      </c>
      <c r="D23057" s="5" t="s">
        <v>29872</v>
      </c>
      <c r="E23057" s="6" t="str">
        <f>HYPERLINK("https://inpn.mnhn.fr/espece/cd_nom/6613","Kurzia pauciflora (Dicks.) Grolle, 1963")</f>
        <v>Kurzia pauciflora (Dicks.) Grolle, 1963</v>
      </c>
      <c r="P23057" s="7" t="str">
        <f>HYPERLINK("#Liste_rouge!A"&amp;_xlfn.XMATCH("LC",Liste_rouge!A:A,2,1),"LC")</f>
        <v>LC</v>
      </c>
      <c r="T23057" s="7" t="str">
        <f>HYPERLINK("#Liste_rouge!A"&amp;_xlfn.XMATCH("EN",Liste_rouge!A:A,2,1),"EN")</f>
        <v>EN</v>
      </c>
      <c r="V23057" s="7" t="str">
        <f>HYPERLINK("#Liste_rouge!A"&amp;_xlfn.XMATCH("LC",Liste_rouge!A:A,2,1),"LC")</f>
        <v>LC</v>
      </c>
      <c r="X23057" s="5" t="s">
        <v>374</v>
      </c>
      <c r="AB23057" s="4" t="s">
        <v>93</v>
      </c>
      <c r="AE23057" s="4" t="str">
        <f>HYPERLINK("#SCAP!A"&amp;_xlfn.XMATCH("1-",SCAP!A:A,2,1),"1-")</f>
        <v>1-</v>
      </c>
      <c r="AG23057" s="4" t="str">
        <f>HYPERLINK("#SCAP!A"&amp;_xlfn.XMATCH("1-",SCAP!A:A,2,1),"1-")</f>
        <v>1-</v>
      </c>
      <c r="AH23057" s="4" t="str">
        <f>HYPERLINK("#Statut_biogéographique!A"&amp;_xlfn.XMATCH("P",Statut_biogéographique!A:A,2,1),"P")</f>
        <v>P</v>
      </c>
      <c r="AP23057" s="4" t="s">
        <v>376</v>
      </c>
      <c r="AR23057" s="4" t="s">
        <v>377</v>
      </c>
    </row>
    <row r="23058" spans="1:44">
      <c r="A23058" s="4" t="s">
        <v>24364</v>
      </c>
      <c r="B23058" s="4">
        <v>6617</v>
      </c>
      <c r="D23058" s="5" t="s">
        <v>29873</v>
      </c>
      <c r="E23058" s="6" t="str">
        <f>HYPERLINK("https://inpn.mnhn.fr/espece/cd_nom/6617","Kurzia sylvatica (A.Evans) Grolle, 1973")</f>
        <v>Kurzia sylvatica (A.Evans) Grolle, 1973</v>
      </c>
      <c r="P23058" s="7" t="str">
        <f>HYPERLINK("#Liste_rouge!A"&amp;_xlfn.XMATCH("LC",Liste_rouge!A:A,2,1),"LC")</f>
        <v>LC</v>
      </c>
      <c r="T23058" s="7" t="str">
        <f>HYPERLINK("#Liste_rouge!A"&amp;_xlfn.XMATCH("CR",Liste_rouge!A:A,2,1),"CR")</f>
        <v>CR</v>
      </c>
      <c r="X23058" s="5" t="s">
        <v>374</v>
      </c>
      <c r="AB23058" s="4" t="s">
        <v>93</v>
      </c>
      <c r="AH23058" s="4" t="str">
        <f>HYPERLINK("#Statut_biogéographique!A"&amp;_xlfn.XMATCH("P",Statut_biogéographique!A:A,2,1),"P")</f>
        <v>P</v>
      </c>
      <c r="AP23058" s="4" t="s">
        <v>376</v>
      </c>
      <c r="AR23058" s="4" t="s">
        <v>377</v>
      </c>
    </row>
    <row r="23059" spans="1:44">
      <c r="A23059" s="4" t="s">
        <v>24364</v>
      </c>
      <c r="B23059" s="4">
        <v>6623</v>
      </c>
      <c r="D23059" s="5" t="s">
        <v>29874</v>
      </c>
      <c r="E23059" s="6" t="str">
        <f>HYPERLINK("https://inpn.mnhn.fr/espece/cd_nom/6623","Lepidozia reptans (L.) Dumort., 1835")</f>
        <v>Lepidozia reptans (L.) Dumort., 1835</v>
      </c>
      <c r="P23059" s="7" t="str">
        <f>HYPERLINK("#Liste_rouge!A"&amp;_xlfn.XMATCH("LC",Liste_rouge!A:A,2,1),"LC")</f>
        <v>LC</v>
      </c>
      <c r="T23059" s="7" t="str">
        <f>HYPERLINK("#Liste_rouge!A"&amp;_xlfn.XMATCH("LC",Liste_rouge!A:A,2,1),"LC")</f>
        <v>LC</v>
      </c>
      <c r="V23059" s="7" t="str">
        <f>HYPERLINK("#Liste_rouge!A"&amp;_xlfn.XMATCH("LC",Liste_rouge!A:A,2,1),"LC")</f>
        <v>LC</v>
      </c>
      <c r="AH23059" s="4" t="str">
        <f>HYPERLINK("#Statut_biogéographique!A"&amp;_xlfn.XMATCH("P",Statut_biogéographique!A:A,2,1),"P")</f>
        <v>P</v>
      </c>
      <c r="AP23059" s="4" t="s">
        <v>376</v>
      </c>
      <c r="AR23059" s="4" t="s">
        <v>377</v>
      </c>
    </row>
    <row r="23060" spans="1:44">
      <c r="A23060" s="4" t="s">
        <v>24364</v>
      </c>
      <c r="B23060" s="4">
        <v>6628</v>
      </c>
      <c r="D23060" s="5" t="s">
        <v>29875</v>
      </c>
      <c r="E23060" s="6" t="str">
        <f>HYPERLINK("https://inpn.mnhn.fr/espece/cd_nom/6628","Calypogeia arguta Nees &amp; Mont., 1838")</f>
        <v>Calypogeia arguta Nees &amp; Mont., 1838</v>
      </c>
      <c r="P23060" s="7" t="str">
        <f>HYPERLINK("#Liste_rouge!A"&amp;_xlfn.XMATCH("LC",Liste_rouge!A:A,2,1),"LC")</f>
        <v>LC</v>
      </c>
      <c r="T23060" s="7" t="str">
        <f>HYPERLINK("#Liste_rouge!A"&amp;_xlfn.XMATCH("LC",Liste_rouge!A:A,2,1),"LC")</f>
        <v>LC</v>
      </c>
      <c r="V23060" s="7" t="str">
        <f>HYPERLINK("#Liste_rouge!A"&amp;_xlfn.XMATCH("LC",Liste_rouge!A:A,2,1),"LC")</f>
        <v>LC</v>
      </c>
      <c r="AH23060" s="4" t="str">
        <f>HYPERLINK("#Statut_biogéographique!A"&amp;_xlfn.XMATCH("P",Statut_biogéographique!A:A,2,1),"P")</f>
        <v>P</v>
      </c>
      <c r="AP23060" s="4" t="s">
        <v>376</v>
      </c>
      <c r="AR23060" s="4" t="s">
        <v>377</v>
      </c>
    </row>
    <row r="23061" spans="1:44">
      <c r="A23061" s="4" t="s">
        <v>24364</v>
      </c>
      <c r="B23061" s="4">
        <v>6629</v>
      </c>
      <c r="D23061" s="5" t="s">
        <v>29876</v>
      </c>
      <c r="E23061" s="6" t="str">
        <f>HYPERLINK("https://inpn.mnhn.fr/espece/cd_nom/6629","Calypogeia azurea Stotler &amp; Crotz, 1983")</f>
        <v>Calypogeia azurea Stotler &amp; Crotz, 1983</v>
      </c>
      <c r="P23061" s="7" t="str">
        <f>HYPERLINK("#Liste_rouge!A"&amp;_xlfn.XMATCH("LC",Liste_rouge!A:A,2,1),"LC")</f>
        <v>LC</v>
      </c>
      <c r="V23061" s="7" t="str">
        <f>HYPERLINK("#Liste_rouge!A"&amp;_xlfn.XMATCH("LC",Liste_rouge!A:A,2,1),"LC")</f>
        <v>LC</v>
      </c>
      <c r="AH23061" s="4" t="str">
        <f>HYPERLINK("#Statut_biogéographique!A"&amp;_xlfn.XMATCH("P",Statut_biogéographique!A:A,2,1),"P")</f>
        <v>P</v>
      </c>
      <c r="AP23061" s="4" t="s">
        <v>376</v>
      </c>
      <c r="AR23061" s="4" t="s">
        <v>377</v>
      </c>
    </row>
    <row r="23062" spans="1:44" ht="30">
      <c r="A23062" s="4" t="s">
        <v>24364</v>
      </c>
      <c r="B23062" s="4">
        <v>6632</v>
      </c>
      <c r="D23062" s="5" t="s">
        <v>29877</v>
      </c>
      <c r="E23062" s="6" t="str">
        <f>HYPERLINK("https://inpn.mnhn.fr/espece/cd_nom/6632","Calypogeia fissa (L.) Raddi, 1818")</f>
        <v>Calypogeia fissa (L.) Raddi, 1818</v>
      </c>
      <c r="P23062" s="7" t="str">
        <f>HYPERLINK("#Liste_rouge!A"&amp;_xlfn.XMATCH("LC",Liste_rouge!A:A,2,1),"LC")</f>
        <v>LC</v>
      </c>
      <c r="T23062" s="7" t="str">
        <f>HYPERLINK("#Liste_rouge!A"&amp;_xlfn.XMATCH("LC",Liste_rouge!A:A,2,1),"LC")</f>
        <v>LC</v>
      </c>
      <c r="V23062" s="7" t="str">
        <f>HYPERLINK("#Liste_rouge!A"&amp;_xlfn.XMATCH("LC",Liste_rouge!A:A,2,1),"LC")</f>
        <v>LC</v>
      </c>
      <c r="AH23062" s="4" t="str">
        <f>HYPERLINK("#Statut_biogéographique!A"&amp;_xlfn.XMATCH("P",Statut_biogéographique!A:A,2,1),"P")</f>
        <v>P</v>
      </c>
      <c r="AP23062" s="4" t="s">
        <v>376</v>
      </c>
      <c r="AR23062" s="4" t="s">
        <v>377</v>
      </c>
    </row>
    <row r="23063" spans="1:44">
      <c r="A23063" s="4" t="s">
        <v>24364</v>
      </c>
      <c r="B23063" s="4">
        <v>6635</v>
      </c>
      <c r="D23063" s="5" t="s">
        <v>29878</v>
      </c>
      <c r="E23063" s="6" t="str">
        <f>HYPERLINK("https://inpn.mnhn.fr/espece/cd_nom/6635","Calypogeia integristipula Steph., 1908")</f>
        <v>Calypogeia integristipula Steph., 1908</v>
      </c>
      <c r="P23063" s="7" t="str">
        <f>HYPERLINK("#Liste_rouge!A"&amp;_xlfn.XMATCH("LC",Liste_rouge!A:A,2,1),"LC")</f>
        <v>LC</v>
      </c>
      <c r="T23063" s="7" t="str">
        <f>HYPERLINK("#Liste_rouge!A"&amp;_xlfn.XMATCH("EN",Liste_rouge!A:A,2,1),"EN")</f>
        <v>EN</v>
      </c>
      <c r="V23063" s="7" t="str">
        <f>HYPERLINK("#Liste_rouge!A"&amp;_xlfn.XMATCH("LC",Liste_rouge!A:A,2,1),"LC")</f>
        <v>LC</v>
      </c>
      <c r="AB23063" s="4" t="s">
        <v>24777</v>
      </c>
      <c r="AH23063" s="4" t="str">
        <f>HYPERLINK("#Statut_biogéographique!A"&amp;_xlfn.XMATCH("P",Statut_biogéographique!A:A,2,1),"P")</f>
        <v>P</v>
      </c>
      <c r="AP23063" s="4" t="s">
        <v>376</v>
      </c>
      <c r="AR23063" s="4" t="s">
        <v>377</v>
      </c>
    </row>
    <row r="23064" spans="1:44" ht="30">
      <c r="A23064" s="4" t="s">
        <v>24364</v>
      </c>
      <c r="B23064" s="4">
        <v>6637</v>
      </c>
      <c r="D23064" s="5" t="s">
        <v>29879</v>
      </c>
      <c r="E23064" s="6" t="str">
        <f>HYPERLINK("https://inpn.mnhn.fr/espece/cd_nom/6637","Calypogeia muelleriana (Schiffn.) Müll.Frib., 1901")</f>
        <v>Calypogeia muelleriana (Schiffn.) Müll.Frib., 1901</v>
      </c>
      <c r="P23064" s="7" t="str">
        <f>HYPERLINK("#Liste_rouge!A"&amp;_xlfn.XMATCH("LC",Liste_rouge!A:A,2,1),"LC")</f>
        <v>LC</v>
      </c>
      <c r="T23064" s="7" t="str">
        <f>HYPERLINK("#Liste_rouge!A"&amp;_xlfn.XMATCH("LC",Liste_rouge!A:A,2,1),"LC")</f>
        <v>LC</v>
      </c>
      <c r="V23064" s="7" t="str">
        <f>HYPERLINK("#Liste_rouge!A"&amp;_xlfn.XMATCH("LC",Liste_rouge!A:A,2,1),"LC")</f>
        <v>LC</v>
      </c>
      <c r="AH23064" s="4" t="str">
        <f>HYPERLINK("#Statut_biogéographique!A"&amp;_xlfn.XMATCH("P",Statut_biogéographique!A:A,2,1),"P")</f>
        <v>P</v>
      </c>
      <c r="AP23064" s="4" t="s">
        <v>376</v>
      </c>
      <c r="AR23064" s="4" t="s">
        <v>377</v>
      </c>
    </row>
    <row r="23065" spans="1:44" ht="30">
      <c r="A23065" s="4" t="s">
        <v>24364</v>
      </c>
      <c r="B23065" s="4">
        <v>6638</v>
      </c>
      <c r="D23065" s="5" t="s">
        <v>29880</v>
      </c>
      <c r="E23065" s="6" t="str">
        <f>HYPERLINK("https://inpn.mnhn.fr/espece/cd_nom/6638","Calypogeia neesiana (C.Massal. &amp; Carestia) Müll.Frib., 1905")</f>
        <v>Calypogeia neesiana (C.Massal. &amp; Carestia) Müll.Frib., 1905</v>
      </c>
      <c r="P23065" s="7" t="str">
        <f>HYPERLINK("#Liste_rouge!A"&amp;_xlfn.XMATCH("LC",Liste_rouge!A:A,2,1),"LC")</f>
        <v>LC</v>
      </c>
      <c r="T23065" s="7" t="str">
        <f>HYPERLINK("#Liste_rouge!A"&amp;_xlfn.XMATCH("EN",Liste_rouge!A:A,2,1),"EN")</f>
        <v>EN</v>
      </c>
      <c r="V23065" s="7" t="str">
        <f>HYPERLINK("#Liste_rouge!A"&amp;_xlfn.XMATCH("LC",Liste_rouge!A:A,2,1),"LC")</f>
        <v>LC</v>
      </c>
      <c r="AB23065" s="4" t="s">
        <v>24777</v>
      </c>
      <c r="AH23065" s="4" t="str">
        <f>HYPERLINK("#Statut_biogéographique!A"&amp;_xlfn.XMATCH("P",Statut_biogéographique!A:A,2,1),"P")</f>
        <v>P</v>
      </c>
      <c r="AP23065" s="4" t="s">
        <v>376</v>
      </c>
      <c r="AR23065" s="4" t="s">
        <v>377</v>
      </c>
    </row>
    <row r="23066" spans="1:44" ht="30">
      <c r="A23066" s="4" t="s">
        <v>24364</v>
      </c>
      <c r="B23066" s="4">
        <v>6640</v>
      </c>
      <c r="D23066" s="5" t="s">
        <v>29881</v>
      </c>
      <c r="E23066" s="6" t="str">
        <f>HYPERLINK("https://inpn.mnhn.fr/espece/cd_nom/6640","Calypogeia sphagnicola (Arnell &amp; J.Perss.) Warnst. &amp; Loeske, 1906")</f>
        <v>Calypogeia sphagnicola (Arnell &amp; J.Perss.) Warnst. &amp; Loeske, 1906</v>
      </c>
      <c r="P23066" s="7" t="str">
        <f>HYPERLINK("#Liste_rouge!A"&amp;_xlfn.XMATCH("LC",Liste_rouge!A:A,2,1),"LC")</f>
        <v>LC</v>
      </c>
      <c r="T23066" s="7" t="str">
        <f>HYPERLINK("#Liste_rouge!A"&amp;_xlfn.XMATCH("CR",Liste_rouge!A:A,2,1),"CR")</f>
        <v>CR</v>
      </c>
      <c r="V23066" s="7" t="str">
        <f>HYPERLINK("#Liste_rouge!A"&amp;_xlfn.XMATCH("NT",Liste_rouge!A:A,2,1),"NT")</f>
        <v>NT</v>
      </c>
      <c r="X23066" s="5" t="s">
        <v>374</v>
      </c>
      <c r="AB23066" s="4" t="s">
        <v>93</v>
      </c>
      <c r="AH23066" s="4" t="str">
        <f>HYPERLINK("#Statut_biogéographique!A"&amp;_xlfn.XMATCH("P",Statut_biogéographique!A:A,2,1),"P")</f>
        <v>P</v>
      </c>
      <c r="AP23066" s="4" t="s">
        <v>376</v>
      </c>
      <c r="AR23066" s="4" t="s">
        <v>377</v>
      </c>
    </row>
    <row r="23067" spans="1:44" ht="30">
      <c r="A23067" s="4" t="s">
        <v>24364</v>
      </c>
      <c r="B23067" s="4">
        <v>6642</v>
      </c>
      <c r="D23067" s="5" t="s">
        <v>29882</v>
      </c>
      <c r="E23067" s="6" t="str">
        <f>HYPERLINK("https://inpn.mnhn.fr/espece/cd_nom/6642","Calypogeia suecica (Arnell &amp; J.Perss.) Müll.Frib., 1904")</f>
        <v>Calypogeia suecica (Arnell &amp; J.Perss.) Müll.Frib., 1904</v>
      </c>
      <c r="P23067" s="7" t="str">
        <f>HYPERLINK("#Liste_rouge!A"&amp;_xlfn.XMATCH("LC",Liste_rouge!A:A,2,1),"LC")</f>
        <v>LC</v>
      </c>
      <c r="T23067" s="7" t="str">
        <f>HYPERLINK("#Liste_rouge!A"&amp;_xlfn.XMATCH("EN",Liste_rouge!A:A,2,1),"EN")</f>
        <v>EN</v>
      </c>
      <c r="V23067" s="7" t="str">
        <f>HYPERLINK("#Liste_rouge!A"&amp;_xlfn.XMATCH("LC",Liste_rouge!A:A,2,1),"LC")</f>
        <v>LC</v>
      </c>
      <c r="AB23067" s="4" t="s">
        <v>24803</v>
      </c>
      <c r="AH23067" s="4" t="str">
        <f>HYPERLINK("#Statut_biogéographique!A"&amp;_xlfn.XMATCH("P",Statut_biogéographique!A:A,2,1),"P")</f>
        <v>P</v>
      </c>
      <c r="AP23067" s="4" t="s">
        <v>376</v>
      </c>
      <c r="AR23067" s="4" t="s">
        <v>377</v>
      </c>
    </row>
    <row r="23068" spans="1:44" ht="30">
      <c r="A23068" s="4" t="s">
        <v>24364</v>
      </c>
      <c r="B23068" s="4">
        <v>6645</v>
      </c>
      <c r="D23068" s="5" t="s">
        <v>29883</v>
      </c>
      <c r="E23068" s="6" t="str">
        <f>HYPERLINK("https://inpn.mnhn.fr/espece/cd_nom/6645","Blepharostoma trichophyllum (L.) Dumort., 1835")</f>
        <v>Blepharostoma trichophyllum (L.) Dumort., 1835</v>
      </c>
      <c r="P23068" s="7" t="str">
        <f>HYPERLINK("#Liste_rouge!A"&amp;_xlfn.XMATCH("LC",Liste_rouge!A:A,2,1),"LC")</f>
        <v>LC</v>
      </c>
      <c r="T23068" s="7" t="str">
        <f>HYPERLINK("#Liste_rouge!A"&amp;_xlfn.XMATCH("LC",Liste_rouge!A:A,2,1),"LC")</f>
        <v>LC</v>
      </c>
      <c r="V23068" s="7" t="str">
        <f>HYPERLINK("#Liste_rouge!A"&amp;_xlfn.XMATCH("LC",Liste_rouge!A:A,2,1),"LC")</f>
        <v>LC</v>
      </c>
      <c r="AH23068" s="4" t="str">
        <f>HYPERLINK("#Statut_biogéographique!A"&amp;_xlfn.XMATCH("P",Statut_biogéographique!A:A,2,1),"P")</f>
        <v>P</v>
      </c>
      <c r="AP23068" s="4" t="s">
        <v>376</v>
      </c>
      <c r="AR23068" s="4" t="s">
        <v>377</v>
      </c>
    </row>
    <row r="23069" spans="1:44">
      <c r="A23069" s="4" t="s">
        <v>24364</v>
      </c>
      <c r="B23069" s="4">
        <v>6650</v>
      </c>
      <c r="D23069" s="5" t="s">
        <v>29884</v>
      </c>
      <c r="E23069" s="6" t="str">
        <f>HYPERLINK("https://inpn.mnhn.fr/espece/cd_nom/6650","Trichocolea tomentella (Ehrh.) Dumort., 1831")</f>
        <v>Trichocolea tomentella (Ehrh.) Dumort., 1831</v>
      </c>
      <c r="P23069" s="7" t="str">
        <f>HYPERLINK("#Liste_rouge!A"&amp;_xlfn.XMATCH("NT",Liste_rouge!A:A,2,1),"NT")</f>
        <v>NT</v>
      </c>
      <c r="T23069" s="7" t="str">
        <f>HYPERLINK("#Liste_rouge!A"&amp;_xlfn.XMATCH("LC",Liste_rouge!A:A,2,1),"LC")</f>
        <v>LC</v>
      </c>
      <c r="V23069" s="7" t="str">
        <f>HYPERLINK("#Liste_rouge!A"&amp;_xlfn.XMATCH("LC",Liste_rouge!A:A,2,1),"LC")</f>
        <v>LC</v>
      </c>
      <c r="AB23069" s="4" t="s">
        <v>25106</v>
      </c>
      <c r="AH23069" s="4" t="str">
        <f>HYPERLINK("#Statut_biogéographique!A"&amp;_xlfn.XMATCH("P",Statut_biogéographique!A:A,2,1),"P")</f>
        <v>P</v>
      </c>
      <c r="AP23069" s="4" t="s">
        <v>376</v>
      </c>
      <c r="AR23069" s="4" t="s">
        <v>377</v>
      </c>
    </row>
    <row r="23070" spans="1:44">
      <c r="A23070" s="4" t="s">
        <v>24364</v>
      </c>
      <c r="B23070" s="4">
        <v>6653</v>
      </c>
      <c r="D23070" s="5" t="s">
        <v>29885</v>
      </c>
      <c r="E23070" s="6" t="str">
        <f>HYPERLINK("https://inpn.mnhn.fr/espece/cd_nom/6653","Ptilidium ciliare (L.) Hampe, 1836")</f>
        <v>Ptilidium ciliare (L.) Hampe, 1836</v>
      </c>
      <c r="P23070" s="7" t="str">
        <f>HYPERLINK("#Liste_rouge!A"&amp;_xlfn.XMATCH("LC",Liste_rouge!A:A,2,1),"LC")</f>
        <v>LC</v>
      </c>
      <c r="T23070" s="7" t="str">
        <f>HYPERLINK("#Liste_rouge!A"&amp;_xlfn.XMATCH("CR",Liste_rouge!A:A,2,1),"CR")</f>
        <v>CR</v>
      </c>
      <c r="V23070" s="7" t="str">
        <f>HYPERLINK("#Liste_rouge!A"&amp;_xlfn.XMATCH("VU",Liste_rouge!A:A,2,1),"VU")</f>
        <v>VU</v>
      </c>
      <c r="X23070" s="5" t="s">
        <v>374</v>
      </c>
      <c r="AB23070" s="4" t="s">
        <v>93</v>
      </c>
      <c r="AH23070" s="4" t="str">
        <f>HYPERLINK("#Statut_biogéographique!A"&amp;_xlfn.XMATCH("P",Statut_biogéographique!A:A,2,1),"P")</f>
        <v>P</v>
      </c>
      <c r="AP23070" s="4" t="s">
        <v>376</v>
      </c>
      <c r="AR23070" s="4" t="s">
        <v>377</v>
      </c>
    </row>
    <row r="23071" spans="1:44">
      <c r="A23071" s="4" t="s">
        <v>24364</v>
      </c>
      <c r="B23071" s="4">
        <v>6654</v>
      </c>
      <c r="D23071" s="5" t="s">
        <v>29886</v>
      </c>
      <c r="E23071" s="6" t="str">
        <f>HYPERLINK("https://inpn.mnhn.fr/espece/cd_nom/6654","Ptilidium pulcherrimum (Weber) Vain.")</f>
        <v>Ptilidium pulcherrimum (Weber) Vain.</v>
      </c>
      <c r="P23071" s="7" t="str">
        <f>HYPERLINK("#Liste_rouge!A"&amp;_xlfn.XMATCH("LC",Liste_rouge!A:A,2,1),"LC")</f>
        <v>LC</v>
      </c>
      <c r="T23071" s="7" t="str">
        <f>HYPERLINK("#Liste_rouge!A"&amp;_xlfn.XMATCH("CR",Liste_rouge!A:A,2,1),"CR")</f>
        <v>CR</v>
      </c>
      <c r="V23071" s="7" t="str">
        <f>HYPERLINK("#Liste_rouge!A"&amp;_xlfn.XMATCH("LC",Liste_rouge!A:A,2,1),"LC")</f>
        <v>LC</v>
      </c>
      <c r="AB23071" s="4" t="s">
        <v>24803</v>
      </c>
      <c r="AH23071" s="4" t="str">
        <f>HYPERLINK("#Statut_biogéographique!A"&amp;_xlfn.XMATCH("P",Statut_biogéographique!A:A,2,1),"P")</f>
        <v>P</v>
      </c>
      <c r="AP23071" s="4" t="s">
        <v>376</v>
      </c>
      <c r="AR23071" s="4" t="s">
        <v>377</v>
      </c>
    </row>
    <row r="23072" spans="1:44">
      <c r="A23072" s="4" t="s">
        <v>24364</v>
      </c>
      <c r="B23072" s="4">
        <v>6657</v>
      </c>
      <c r="D23072" s="5" t="s">
        <v>29887</v>
      </c>
      <c r="E23072" s="6" t="str">
        <f>HYPERLINK("https://inpn.mnhn.fr/espece/cd_nom/6657","Radula complanata (L.) Dumort., 1831")</f>
        <v>Radula complanata (L.) Dumort., 1831</v>
      </c>
      <c r="P23072" s="7" t="str">
        <f>HYPERLINK("#Liste_rouge!A"&amp;_xlfn.XMATCH("LC",Liste_rouge!A:A,2,1),"LC")</f>
        <v>LC</v>
      </c>
      <c r="T23072" s="7" t="str">
        <f>HYPERLINK("#Liste_rouge!A"&amp;_xlfn.XMATCH("LC",Liste_rouge!A:A,2,1),"LC")</f>
        <v>LC</v>
      </c>
      <c r="V23072" s="7" t="str">
        <f>HYPERLINK("#Liste_rouge!A"&amp;_xlfn.XMATCH("LC",Liste_rouge!A:A,2,1),"LC")</f>
        <v>LC</v>
      </c>
      <c r="AH23072" s="4" t="str">
        <f>HYPERLINK("#Statut_biogéographique!A"&amp;_xlfn.XMATCH("P",Statut_biogéographique!A:A,2,1),"P")</f>
        <v>P</v>
      </c>
      <c r="AP23072" s="4" t="s">
        <v>376</v>
      </c>
      <c r="AR23072" s="4" t="s">
        <v>377</v>
      </c>
    </row>
    <row r="23073" spans="1:44">
      <c r="A23073" s="4" t="s">
        <v>24364</v>
      </c>
      <c r="B23073" s="4">
        <v>6662</v>
      </c>
      <c r="D23073" s="5" t="s">
        <v>29888</v>
      </c>
      <c r="E23073" s="6" t="str">
        <f>HYPERLINK("https://inpn.mnhn.fr/espece/cd_nom/6662","Porella arboris-vitae (With.) Grolle, 1969")</f>
        <v>Porella arboris-vitae (With.) Grolle, 1969</v>
      </c>
      <c r="P23073" s="7" t="str">
        <f>HYPERLINK("#Liste_rouge!A"&amp;_xlfn.XMATCH("NT",Liste_rouge!A:A,2,1),"NT")</f>
        <v>NT</v>
      </c>
      <c r="T23073" s="7" t="str">
        <f>HYPERLINK("#Liste_rouge!A"&amp;_xlfn.XMATCH("VU",Liste_rouge!A:A,2,1),"VU")</f>
        <v>VU</v>
      </c>
      <c r="V23073" s="7" t="str">
        <f>HYPERLINK("#Liste_rouge!A"&amp;_xlfn.XMATCH("LC",Liste_rouge!A:A,2,1),"LC")</f>
        <v>LC</v>
      </c>
      <c r="AB23073" s="4" t="s">
        <v>24803</v>
      </c>
      <c r="AH23073" s="4" t="str">
        <f>HYPERLINK("#Statut_biogéographique!A"&amp;_xlfn.XMATCH("P",Statut_biogéographique!A:A,2,1),"P")</f>
        <v>P</v>
      </c>
      <c r="AP23073" s="4" t="s">
        <v>376</v>
      </c>
      <c r="AR23073" s="4" t="s">
        <v>377</v>
      </c>
    </row>
    <row r="23074" spans="1:44">
      <c r="A23074" s="4" t="s">
        <v>24364</v>
      </c>
      <c r="B23074" s="4">
        <v>6665</v>
      </c>
      <c r="D23074" s="5" t="s">
        <v>29889</v>
      </c>
      <c r="E23074" s="6" t="str">
        <f>HYPERLINK("https://inpn.mnhn.fr/espece/cd_nom/6665","Porella cordaeana (Huebener) Moore, 1876")</f>
        <v>Porella cordaeana (Huebener) Moore, 1876</v>
      </c>
      <c r="P23074" s="7" t="str">
        <f>HYPERLINK("#Liste_rouge!A"&amp;_xlfn.XMATCH("LC",Liste_rouge!A:A,2,1),"LC")</f>
        <v>LC</v>
      </c>
      <c r="T23074" s="7" t="str">
        <f>HYPERLINK("#Liste_rouge!A"&amp;_xlfn.XMATCH("NT",Liste_rouge!A:A,2,1),"NT")</f>
        <v>NT</v>
      </c>
      <c r="V23074" s="7" t="str">
        <f>HYPERLINK("#Liste_rouge!A"&amp;_xlfn.XMATCH("LC",Liste_rouge!A:A,2,1),"LC")</f>
        <v>LC</v>
      </c>
      <c r="AB23074" s="4" t="s">
        <v>24956</v>
      </c>
      <c r="AH23074" s="4" t="str">
        <f>HYPERLINK("#Statut_biogéographique!A"&amp;_xlfn.XMATCH("P",Statut_biogéographique!A:A,2,1),"P")</f>
        <v>P</v>
      </c>
      <c r="AP23074" s="4" t="s">
        <v>376</v>
      </c>
      <c r="AR23074" s="4" t="s">
        <v>377</v>
      </c>
    </row>
    <row r="23075" spans="1:44">
      <c r="A23075" s="4" t="s">
        <v>24364</v>
      </c>
      <c r="B23075" s="4">
        <v>6668</v>
      </c>
      <c r="D23075" s="5" t="s">
        <v>29890</v>
      </c>
      <c r="E23075" s="6" t="str">
        <f>HYPERLINK("https://inpn.mnhn.fr/espece/cd_nom/6668","Porella pinnata L., 1753")</f>
        <v>Porella pinnata L., 1753</v>
      </c>
      <c r="P23075" s="7" t="str">
        <f>HYPERLINK("#Liste_rouge!A"&amp;_xlfn.XMATCH("LC",Liste_rouge!A:A,2,1),"LC")</f>
        <v>LC</v>
      </c>
      <c r="T23075" s="7" t="str">
        <f>HYPERLINK("#Liste_rouge!A"&amp;_xlfn.XMATCH("LC",Liste_rouge!A:A,2,1),"LC")</f>
        <v>LC</v>
      </c>
      <c r="AH23075" s="4" t="str">
        <f>HYPERLINK("#Statut_biogéographique!A"&amp;_xlfn.XMATCH("P",Statut_biogéographique!A:A,2,1),"P")</f>
        <v>P</v>
      </c>
      <c r="AP23075" s="4" t="s">
        <v>376</v>
      </c>
      <c r="AR23075" s="4" t="s">
        <v>377</v>
      </c>
    </row>
    <row r="23076" spans="1:44" ht="30">
      <c r="A23076" s="4" t="s">
        <v>24364</v>
      </c>
      <c r="B23076" s="4">
        <v>6669</v>
      </c>
      <c r="D23076" s="5" t="s">
        <v>29891</v>
      </c>
      <c r="E23076" s="6" t="str">
        <f>HYPERLINK("https://inpn.mnhn.fr/espece/cd_nom/6669","Porella platyphylla (L.) Pfeiff., 1855")</f>
        <v>Porella platyphylla (L.) Pfeiff., 1855</v>
      </c>
      <c r="P23076" s="7" t="str">
        <f>HYPERLINK("#Liste_rouge!A"&amp;_xlfn.XMATCH("LC",Liste_rouge!A:A,2,1),"LC")</f>
        <v>LC</v>
      </c>
      <c r="T23076" s="7" t="str">
        <f>HYPERLINK("#Liste_rouge!A"&amp;_xlfn.XMATCH("LC",Liste_rouge!A:A,2,1),"LC")</f>
        <v>LC</v>
      </c>
      <c r="V23076" s="7" t="str">
        <f>HYPERLINK("#Liste_rouge!A"&amp;_xlfn.XMATCH("LC",Liste_rouge!A:A,2,1),"LC")</f>
        <v>LC</v>
      </c>
      <c r="AH23076" s="4" t="str">
        <f>HYPERLINK("#Statut_biogéographique!A"&amp;_xlfn.XMATCH("P",Statut_biogéographique!A:A,2,1),"P")</f>
        <v>P</v>
      </c>
      <c r="AP23076" s="4" t="s">
        <v>376</v>
      </c>
      <c r="AR23076" s="4" t="s">
        <v>377</v>
      </c>
    </row>
    <row r="23077" spans="1:44">
      <c r="A23077" s="4" t="s">
        <v>24364</v>
      </c>
      <c r="B23077" s="4">
        <v>6677</v>
      </c>
      <c r="D23077" s="5" t="s">
        <v>29892</v>
      </c>
      <c r="E23077" s="6" t="str">
        <f>HYPERLINK("https://inpn.mnhn.fr/espece/cd_nom/6677","Frullania dilatata (L.) Dumort., 1835")</f>
        <v>Frullania dilatata (L.) Dumort., 1835</v>
      </c>
      <c r="P23077" s="7" t="str">
        <f>HYPERLINK("#Liste_rouge!A"&amp;_xlfn.XMATCH("LC",Liste_rouge!A:A,2,1),"LC")</f>
        <v>LC</v>
      </c>
      <c r="T23077" s="7" t="str">
        <f>HYPERLINK("#Liste_rouge!A"&amp;_xlfn.XMATCH("LC",Liste_rouge!A:A,2,1),"LC")</f>
        <v>LC</v>
      </c>
      <c r="V23077" s="7" t="str">
        <f>HYPERLINK("#Liste_rouge!A"&amp;_xlfn.XMATCH("LC",Liste_rouge!A:A,2,1),"LC")</f>
        <v>LC</v>
      </c>
      <c r="AH23077" s="4" t="str">
        <f>HYPERLINK("#Statut_biogéographique!A"&amp;_xlfn.XMATCH("P",Statut_biogéographique!A:A,2,1),"P")</f>
        <v>P</v>
      </c>
      <c r="AP23077" s="4" t="s">
        <v>376</v>
      </c>
      <c r="AR23077" s="4" t="s">
        <v>377</v>
      </c>
    </row>
    <row r="23078" spans="1:44" ht="30">
      <c r="A23078" s="4" t="s">
        <v>24364</v>
      </c>
      <c r="B23078" s="4">
        <v>6678</v>
      </c>
      <c r="D23078" s="5" t="s">
        <v>29893</v>
      </c>
      <c r="E23078" s="6" t="str">
        <f>HYPERLINK("https://inpn.mnhn.fr/espece/cd_nom/6678","Frullania fragilifolia (Taylor) Gottsche, Lindenb. &amp; Nees, 1845")</f>
        <v>Frullania fragilifolia (Taylor) Gottsche, Lindenb. &amp; Nees, 1845</v>
      </c>
      <c r="P23078" s="7" t="str">
        <f>HYPERLINK("#Liste_rouge!A"&amp;_xlfn.XMATCH("LC",Liste_rouge!A:A,2,1),"LC")</f>
        <v>LC</v>
      </c>
      <c r="T23078" s="7" t="str">
        <f>HYPERLINK("#Liste_rouge!A"&amp;_xlfn.XMATCH("LC",Liste_rouge!A:A,2,1),"LC")</f>
        <v>LC</v>
      </c>
      <c r="V23078" s="7" t="str">
        <f>HYPERLINK("#Liste_rouge!A"&amp;_xlfn.XMATCH("NT",Liste_rouge!A:A,2,1),"NT")</f>
        <v>NT</v>
      </c>
      <c r="AB23078" s="4" t="s">
        <v>24536</v>
      </c>
      <c r="AH23078" s="4" t="str">
        <f>HYPERLINK("#Statut_biogéographique!A"&amp;_xlfn.XMATCH("P",Statut_biogéographique!A:A,2,1),"P")</f>
        <v>P</v>
      </c>
      <c r="AP23078" s="4" t="s">
        <v>376</v>
      </c>
      <c r="AR23078" s="4" t="s">
        <v>377</v>
      </c>
    </row>
    <row r="23079" spans="1:44" ht="30">
      <c r="A23079" s="4" t="s">
        <v>24364</v>
      </c>
      <c r="B23079" s="4">
        <v>6680</v>
      </c>
      <c r="D23079" s="5" t="s">
        <v>29894</v>
      </c>
      <c r="E23079" s="6" t="str">
        <f>HYPERLINK("https://inpn.mnhn.fr/espece/cd_nom/6680","Frullania microphylla (Gottsche) Pearson, 1894")</f>
        <v>Frullania microphylla (Gottsche) Pearson, 1894</v>
      </c>
      <c r="O23079" s="7" t="str">
        <f>HYPERLINK("#Liste_rouge!A"&amp;_xlfn.XMATCH("LC",Liste_rouge!A:A,2,1),"LC")</f>
        <v>LC</v>
      </c>
      <c r="P23079" s="7" t="str">
        <f>HYPERLINK("#Liste_rouge!A"&amp;_xlfn.XMATCH("LC",Liste_rouge!A:A,2,1),"LC")</f>
        <v>LC</v>
      </c>
      <c r="V23079" s="7" t="str">
        <f>HYPERLINK("#Liste_rouge!A"&amp;_xlfn.XMATCH("CR",Liste_rouge!A:A,2,1),"CR")</f>
        <v>CR</v>
      </c>
      <c r="X23079" s="5" t="s">
        <v>374</v>
      </c>
      <c r="AB23079" s="4" t="s">
        <v>93</v>
      </c>
      <c r="AH23079" s="4" t="str">
        <f>HYPERLINK("#Statut_biogéographique!A"&amp;_xlfn.XMATCH("P",Statut_biogéographique!A:A,2,1),"P")</f>
        <v>P</v>
      </c>
      <c r="AP23079" s="4" t="s">
        <v>376</v>
      </c>
      <c r="AR23079" s="4" t="s">
        <v>377</v>
      </c>
    </row>
    <row r="23080" spans="1:44">
      <c r="A23080" s="4" t="s">
        <v>24364</v>
      </c>
      <c r="B23080" s="4">
        <v>6681</v>
      </c>
      <c r="D23080" s="5" t="s">
        <v>29895</v>
      </c>
      <c r="E23080" s="6" t="str">
        <f>HYPERLINK("https://inpn.mnhn.fr/espece/cd_nom/6681","Frullania riparia Hampe, 1838")</f>
        <v>Frullania riparia Hampe, 1838</v>
      </c>
      <c r="P23080" s="7" t="str">
        <f>HYPERLINK("#Liste_rouge!A"&amp;_xlfn.XMATCH("EN",Liste_rouge!A:A,2,1),"EN")</f>
        <v>EN</v>
      </c>
      <c r="AH23080" s="4" t="str">
        <f>HYPERLINK("#Statut_biogéographique!A"&amp;_xlfn.XMATCH("P",Statut_biogéographique!A:A,2,1),"P")</f>
        <v>P</v>
      </c>
      <c r="AP23080" s="4" t="s">
        <v>376</v>
      </c>
      <c r="AR23080" s="4" t="s">
        <v>377</v>
      </c>
    </row>
    <row r="23081" spans="1:44" ht="45">
      <c r="A23081" s="4" t="s">
        <v>24364</v>
      </c>
      <c r="B23081" s="4">
        <v>6683</v>
      </c>
      <c r="D23081" s="5" t="s">
        <v>29896</v>
      </c>
      <c r="E23081" s="6" t="str">
        <f>HYPERLINK("https://inpn.mnhn.fr/espece/cd_nom/6683","Frullania tamarisci (L.) Dumort., 1835")</f>
        <v>Frullania tamarisci (L.) Dumort., 1835</v>
      </c>
      <c r="P23081" s="7" t="str">
        <f>HYPERLINK("#Liste_rouge!A"&amp;_xlfn.XMATCH("LC",Liste_rouge!A:A,2,1),"LC")</f>
        <v>LC</v>
      </c>
      <c r="T23081" s="7" t="str">
        <f>HYPERLINK("#Liste_rouge!A"&amp;_xlfn.XMATCH("LC",Liste_rouge!A:A,2,1),"LC")</f>
        <v>LC</v>
      </c>
      <c r="V23081" s="7" t="str">
        <f>HYPERLINK("#Liste_rouge!A"&amp;_xlfn.XMATCH("LC",Liste_rouge!A:A,2,1),"LC")</f>
        <v>LC</v>
      </c>
      <c r="AH23081" s="4" t="str">
        <f>HYPERLINK("#Statut_biogéographique!A"&amp;_xlfn.XMATCH("P",Statut_biogéographique!A:A,2,1),"P")</f>
        <v>P</v>
      </c>
      <c r="AP23081" s="4" t="s">
        <v>376</v>
      </c>
      <c r="AR23081" s="4" t="s">
        <v>377</v>
      </c>
    </row>
    <row r="23082" spans="1:44">
      <c r="A23082" s="4" t="s">
        <v>24364</v>
      </c>
      <c r="B23082" s="4">
        <v>6696</v>
      </c>
      <c r="D23082" s="5" t="s">
        <v>29897</v>
      </c>
      <c r="E23082" s="6" t="str">
        <f>HYPERLINK("https://inpn.mnhn.fr/espece/cd_nom/6696","Cololejeunea calcarea (Lib.) Schiffn.")</f>
        <v>Cololejeunea calcarea (Lib.) Schiffn.</v>
      </c>
      <c r="P23082" s="7" t="str">
        <f>HYPERLINK("#Liste_rouge!A"&amp;_xlfn.XMATCH("LC",Liste_rouge!A:A,2,1),"LC")</f>
        <v>LC</v>
      </c>
      <c r="T23082" s="7" t="str">
        <f>HYPERLINK("#Liste_rouge!A"&amp;_xlfn.XMATCH("LC",Liste_rouge!A:A,2,1),"LC")</f>
        <v>LC</v>
      </c>
      <c r="V23082" s="7" t="str">
        <f>HYPERLINK("#Liste_rouge!A"&amp;_xlfn.XMATCH("LC",Liste_rouge!A:A,2,1),"LC")</f>
        <v>LC</v>
      </c>
      <c r="AB23082" s="4" t="s">
        <v>26166</v>
      </c>
      <c r="AH23082" s="4" t="str">
        <f>HYPERLINK("#Statut_biogéographique!A"&amp;_xlfn.XMATCH("P",Statut_biogéographique!A:A,2,1),"P")</f>
        <v>P</v>
      </c>
      <c r="AP23082" s="4" t="s">
        <v>376</v>
      </c>
      <c r="AR23082" s="4" t="s">
        <v>377</v>
      </c>
    </row>
    <row r="23083" spans="1:44" ht="30">
      <c r="A23083" s="4" t="s">
        <v>24364</v>
      </c>
      <c r="B23083" s="4">
        <v>6699</v>
      </c>
      <c r="D23083" s="5" t="s">
        <v>29898</v>
      </c>
      <c r="E23083" s="6" t="str">
        <f>HYPERLINK("https://inpn.mnhn.fr/espece/cd_nom/6699","Cololejeunea rossettiana (C.Massal.) Schiffn., 1893")</f>
        <v>Cololejeunea rossettiana (C.Massal.) Schiffn., 1893</v>
      </c>
      <c r="P23083" s="7" t="str">
        <f>HYPERLINK("#Liste_rouge!A"&amp;_xlfn.XMATCH("LC",Liste_rouge!A:A,2,1),"LC")</f>
        <v>LC</v>
      </c>
      <c r="T23083" s="7" t="str">
        <f>HYPERLINK("#Liste_rouge!A"&amp;_xlfn.XMATCH("EN",Liste_rouge!A:A,2,1),"EN")</f>
        <v>EN</v>
      </c>
      <c r="V23083" s="7" t="str">
        <f>HYPERLINK("#Liste_rouge!A"&amp;_xlfn.XMATCH("VU",Liste_rouge!A:A,2,1),"VU")</f>
        <v>VU</v>
      </c>
      <c r="X23083" s="5" t="s">
        <v>374</v>
      </c>
      <c r="AB23083" s="4" t="s">
        <v>93</v>
      </c>
      <c r="AH23083" s="4" t="str">
        <f>HYPERLINK("#Statut_biogéographique!A"&amp;_xlfn.XMATCH("P",Statut_biogéographique!A:A,2,1),"P")</f>
        <v>P</v>
      </c>
      <c r="AP23083" s="4" t="s">
        <v>376</v>
      </c>
      <c r="AR23083" s="4" t="s">
        <v>377</v>
      </c>
    </row>
    <row r="23084" spans="1:44">
      <c r="A23084" s="4" t="s">
        <v>24364</v>
      </c>
      <c r="B23084" s="4">
        <v>6708</v>
      </c>
      <c r="D23084" s="5" t="s">
        <v>29899</v>
      </c>
      <c r="E23084" s="6" t="str">
        <f>HYPERLINK("https://inpn.mnhn.fr/espece/cd_nom/6708","Lejeunea cavifolia (Ehrh.) Lindb., 1871")</f>
        <v>Lejeunea cavifolia (Ehrh.) Lindb., 1871</v>
      </c>
      <c r="P23084" s="7" t="str">
        <f>HYPERLINK("#Liste_rouge!A"&amp;_xlfn.XMATCH("LC",Liste_rouge!A:A,2,1),"LC")</f>
        <v>LC</v>
      </c>
      <c r="T23084" s="7" t="str">
        <f>HYPERLINK("#Liste_rouge!A"&amp;_xlfn.XMATCH("LC",Liste_rouge!A:A,2,1),"LC")</f>
        <v>LC</v>
      </c>
      <c r="V23084" s="7" t="str">
        <f>HYPERLINK("#Liste_rouge!A"&amp;_xlfn.XMATCH("LC",Liste_rouge!A:A,2,1),"LC")</f>
        <v>LC</v>
      </c>
      <c r="AH23084" s="4" t="str">
        <f>HYPERLINK("#Statut_biogéographique!A"&amp;_xlfn.XMATCH("P",Statut_biogéographique!A:A,2,1),"P")</f>
        <v>P</v>
      </c>
      <c r="AP23084" s="4" t="s">
        <v>376</v>
      </c>
      <c r="AR23084" s="4" t="s">
        <v>377</v>
      </c>
    </row>
    <row r="23085" spans="1:44">
      <c r="A23085" s="4" t="s">
        <v>24364</v>
      </c>
      <c r="B23085" s="4">
        <v>6710</v>
      </c>
      <c r="D23085" s="5" t="s">
        <v>29900</v>
      </c>
      <c r="E23085" s="6" t="str">
        <f>HYPERLINK("https://inpn.mnhn.fr/espece/cd_nom/6710","Lejeunea lamacerina (Steph.) Schiffn., 1902")</f>
        <v>Lejeunea lamacerina (Steph.) Schiffn., 1902</v>
      </c>
      <c r="P23085" s="7" t="str">
        <f>HYPERLINK("#Liste_rouge!A"&amp;_xlfn.XMATCH("LC",Liste_rouge!A:A,2,1),"LC")</f>
        <v>LC</v>
      </c>
      <c r="T23085" s="7" t="str">
        <f>HYPERLINK("#Liste_rouge!A"&amp;_xlfn.XMATCH("EN",Liste_rouge!A:A,2,1),"EN")</f>
        <v>EN</v>
      </c>
      <c r="V23085" s="7" t="str">
        <f>HYPERLINK("#Liste_rouge!A"&amp;_xlfn.XMATCH("VU",Liste_rouge!A:A,2,1),"VU")</f>
        <v>VU</v>
      </c>
      <c r="X23085" s="5" t="s">
        <v>374</v>
      </c>
      <c r="AB23085" s="4" t="s">
        <v>93</v>
      </c>
      <c r="AH23085" s="4" t="str">
        <f>HYPERLINK("#Statut_biogéographique!A"&amp;_xlfn.XMATCH("P",Statut_biogéographique!A:A,2,1),"P")</f>
        <v>P</v>
      </c>
      <c r="AP23085" s="4" t="s">
        <v>376</v>
      </c>
      <c r="AR23085" s="4" t="s">
        <v>377</v>
      </c>
    </row>
    <row r="23086" spans="1:44">
      <c r="A23086" s="4" t="s">
        <v>24364</v>
      </c>
      <c r="B23086" s="4">
        <v>6711</v>
      </c>
      <c r="D23086" s="5">
        <v>6711</v>
      </c>
      <c r="E23086" s="6" t="str">
        <f>HYPERLINK("https://inpn.mnhn.fr/espece/cd_nom/6711","Lejeunea patens Lindb., 1875")</f>
        <v>Lejeunea patens Lindb., 1875</v>
      </c>
      <c r="P23086" s="7" t="str">
        <f>HYPERLINK("#Liste_rouge!A"&amp;_xlfn.XMATCH("LC",Liste_rouge!A:A,2,1),"LC")</f>
        <v>LC</v>
      </c>
      <c r="T23086" s="7" t="str">
        <f>HYPERLINK("#Liste_rouge!A"&amp;_xlfn.XMATCH("CR",Liste_rouge!A:A,2,1),"CR")</f>
        <v>CR</v>
      </c>
      <c r="AH23086" s="4" t="str">
        <f>HYPERLINK("#Statut_biogéographique!A"&amp;_xlfn.XMATCH("P",Statut_biogéographique!A:A,2,1),"P")</f>
        <v>P</v>
      </c>
      <c r="AP23086" s="4" t="s">
        <v>376</v>
      </c>
      <c r="AR23086" s="4" t="s">
        <v>377</v>
      </c>
    </row>
    <row r="23087" spans="1:44">
      <c r="A23087" s="4" t="s">
        <v>24364</v>
      </c>
      <c r="B23087" s="4">
        <v>6713</v>
      </c>
      <c r="D23087" s="5" t="s">
        <v>29901</v>
      </c>
      <c r="E23087" s="6" t="str">
        <f>HYPERLINK("https://inpn.mnhn.fr/espece/cd_nom/6713","Microlejeunea ulicina (Taylor) A.Evans")</f>
        <v>Microlejeunea ulicina (Taylor) A.Evans</v>
      </c>
      <c r="P23087" s="7" t="str">
        <f>HYPERLINK("#Liste_rouge!A"&amp;_xlfn.XMATCH("LC",Liste_rouge!A:A,2,1),"LC")</f>
        <v>LC</v>
      </c>
      <c r="T23087" s="7" t="str">
        <f>HYPERLINK("#Liste_rouge!A"&amp;_xlfn.XMATCH("LC",Liste_rouge!A:A,2,1),"LC")</f>
        <v>LC</v>
      </c>
      <c r="V23087" s="7" t="str">
        <f>HYPERLINK("#Liste_rouge!A"&amp;_xlfn.XMATCH("LC",Liste_rouge!A:A,2,1),"LC")</f>
        <v>LC</v>
      </c>
      <c r="AH23087" s="4" t="str">
        <f>HYPERLINK("#Statut_biogéographique!A"&amp;_xlfn.XMATCH("P",Statut_biogéographique!A:A,2,1),"P")</f>
        <v>P</v>
      </c>
      <c r="AP23087" s="4" t="s">
        <v>376</v>
      </c>
      <c r="AR23087" s="4" t="s">
        <v>377</v>
      </c>
    </row>
    <row r="23088" spans="1:44">
      <c r="A23088" s="4" t="s">
        <v>24364</v>
      </c>
      <c r="B23088" s="4">
        <v>671981</v>
      </c>
      <c r="D23088" s="5" t="s">
        <v>29902</v>
      </c>
      <c r="E23088" s="6" t="str">
        <f>HYPERLINK("https://inpn.mnhn.fr/espece/cd_nom/671981","Homalium rivulare (Vieill.) Briq.")</f>
        <v>Homalium rivulare (Vieill.) Briq.</v>
      </c>
      <c r="AH23088" s="4" t="str">
        <f>HYPERLINK("#Statut_biogéographique!A"&amp;_xlfn.XMATCH("A",Statut_biogéographique!A:A,2,1),"A")</f>
        <v>A</v>
      </c>
      <c r="AP23088" s="4" t="s">
        <v>376</v>
      </c>
      <c r="AR23088" s="4" t="s">
        <v>377</v>
      </c>
    </row>
    <row r="23089" spans="1:44">
      <c r="A23089" s="4" t="s">
        <v>24364</v>
      </c>
      <c r="B23089" s="4">
        <v>6720</v>
      </c>
      <c r="D23089" s="5" t="s">
        <v>29903</v>
      </c>
      <c r="E23089" s="6" t="str">
        <f>HYPERLINK("https://inpn.mnhn.fr/espece/cd_nom/6720","Sphagnum affine Renauld &amp; Cardot, 1885")</f>
        <v>Sphagnum affine Renauld &amp; Cardot, 1885</v>
      </c>
      <c r="K23089" s="4" t="str">
        <f>HYPERLINK("#Réglementation!A"&amp;_xlfn.XMATCH("CDH5",Réglementation!A:A,2,1),"CDH5")</f>
        <v>CDH5</v>
      </c>
      <c r="N23089" s="4" t="str">
        <f>HYPERLINK("#Réglementation!A"&amp;_xlfn.XMATCH("V39P1",Réglementation!A:A,2,1),"V39P1")</f>
        <v>V39P1</v>
      </c>
      <c r="P23089" s="7" t="str">
        <f>HYPERLINK("#Liste_rouge!A"&amp;_xlfn.XMATCH("LC",Liste_rouge!A:A,2,1),"LC")</f>
        <v>LC</v>
      </c>
      <c r="V23089" s="7" t="str">
        <f>HYPERLINK("#Liste_rouge!A"&amp;_xlfn.XMATCH("VU",Liste_rouge!A:A,2,1),"VU")</f>
        <v>VU</v>
      </c>
      <c r="X23089" s="5" t="s">
        <v>374</v>
      </c>
      <c r="AB23089" s="4" t="s">
        <v>93</v>
      </c>
      <c r="AH23089" s="4" t="str">
        <f>HYPERLINK("#Statut_biogéographique!A"&amp;_xlfn.XMATCH("P",Statut_biogéographique!A:A,2,1),"P")</f>
        <v>P</v>
      </c>
      <c r="AK23089" s="4" t="str">
        <f>HYPERLINK("#Réglementation!A"&amp;_xlfn.XMATCH("V39P6",Réglementation!A:A,2,1),"V39P6")</f>
        <v>V39P6</v>
      </c>
      <c r="AP23089" s="4" t="s">
        <v>376</v>
      </c>
      <c r="AR23089" s="4" t="s">
        <v>377</v>
      </c>
    </row>
    <row r="23090" spans="1:44" ht="30">
      <c r="A23090" s="4" t="s">
        <v>24364</v>
      </c>
      <c r="B23090" s="4">
        <v>6722</v>
      </c>
      <c r="D23090" s="5" t="s">
        <v>29904</v>
      </c>
      <c r="E23090" s="6" t="str">
        <f>HYPERLINK("https://inpn.mnhn.fr/espece/cd_nom/6722","Sphagnum angustifolium (C.E.O.Jensen ex Russow) C.E.O.Jensen")</f>
        <v>Sphagnum angustifolium (C.E.O.Jensen ex Russow) C.E.O.Jensen</v>
      </c>
      <c r="K23090" s="4" t="str">
        <f>HYPERLINK("#Réglementation!A"&amp;_xlfn.XMATCH("CDH5",Réglementation!A:A,2,1),"CDH5")</f>
        <v>CDH5</v>
      </c>
      <c r="N23090" s="4" t="str">
        <f>HYPERLINK("#Réglementation!A"&amp;_xlfn.XMATCH("V39P1",Réglementation!A:A,2,1),"V39P1")</f>
        <v>V39P1</v>
      </c>
      <c r="P23090" s="7" t="str">
        <f>HYPERLINK("#Liste_rouge!A"&amp;_xlfn.XMATCH("LC",Liste_rouge!A:A,2,1),"LC")</f>
        <v>LC</v>
      </c>
      <c r="T23090" s="7" t="str">
        <f>HYPERLINK("#Liste_rouge!A"&amp;_xlfn.XMATCH("LC",Liste_rouge!A:A,2,1),"LC")</f>
        <v>LC</v>
      </c>
      <c r="V23090" s="7" t="str">
        <f>HYPERLINK("#Liste_rouge!A"&amp;_xlfn.XMATCH("LC",Liste_rouge!A:A,2,1),"LC")</f>
        <v>LC</v>
      </c>
      <c r="AH23090" s="4" t="str">
        <f>HYPERLINK("#Statut_biogéographique!A"&amp;_xlfn.XMATCH("P",Statut_biogéographique!A:A,2,1),"P")</f>
        <v>P</v>
      </c>
      <c r="AK23090" s="4" t="str">
        <f>HYPERLINK("#Réglementation!A"&amp;_xlfn.XMATCH("V39P6",Réglementation!A:A,2,1),"V39P6")</f>
        <v>V39P6</v>
      </c>
      <c r="AP23090" s="4" t="s">
        <v>376</v>
      </c>
      <c r="AR23090" s="4" t="s">
        <v>377</v>
      </c>
    </row>
    <row r="23091" spans="1:44" ht="30">
      <c r="A23091" s="4" t="s">
        <v>24364</v>
      </c>
      <c r="B23091" s="4">
        <v>6725</v>
      </c>
      <c r="D23091" s="5">
        <v>6725</v>
      </c>
      <c r="E23091" s="6" t="str">
        <f>HYPERLINK("https://inpn.mnhn.fr/espece/cd_nom/6725","Sphagnum balticum (Russow) C.E.O.Jensen, 1890")</f>
        <v>Sphagnum balticum (Russow) C.E.O.Jensen, 1890</v>
      </c>
      <c r="K23091" s="4" t="str">
        <f>HYPERLINK("#Réglementation!A"&amp;_xlfn.XMATCH("CDH5",Réglementation!A:A,2,1),"CDH5")</f>
        <v>CDH5</v>
      </c>
      <c r="N23091" s="4" t="str">
        <f>HYPERLINK("#Réglementation!A"&amp;_xlfn.XMATCH("V39P1",Réglementation!A:A,2,1),"V39P1")</f>
        <v>V39P1</v>
      </c>
      <c r="P23091" s="7" t="str">
        <f>HYPERLINK("#Liste_rouge!A"&amp;_xlfn.XMATCH("LC",Liste_rouge!A:A,2,1),"LC")</f>
        <v>LC</v>
      </c>
      <c r="V23091" s="7" t="str">
        <f>HYPERLINK("#Liste_rouge!A"&amp;_xlfn.XMATCH("DD",Liste_rouge!A:A,2,1),"DD")</f>
        <v>DD</v>
      </c>
      <c r="AH23091" s="4" t="str">
        <f>HYPERLINK("#Statut_biogéographique!A"&amp;_xlfn.XMATCH("P",Statut_biogéographique!A:A,2,1),"P")</f>
        <v>P</v>
      </c>
      <c r="AK23091" s="4" t="str">
        <f>HYPERLINK("#Réglementation!A"&amp;_xlfn.XMATCH("V39P6",Réglementation!A:A,2,1),"V39P6")</f>
        <v>V39P6</v>
      </c>
      <c r="AP23091" s="4" t="s">
        <v>376</v>
      </c>
      <c r="AR23091" s="4" t="s">
        <v>377</v>
      </c>
    </row>
    <row r="23092" spans="1:44" ht="30">
      <c r="A23092" s="4" t="s">
        <v>24364</v>
      </c>
      <c r="B23092" s="4">
        <v>6728</v>
      </c>
      <c r="D23092" s="5" t="s">
        <v>29905</v>
      </c>
      <c r="E23092" s="6" t="str">
        <f>HYPERLINK("https://inpn.mnhn.fr/espece/cd_nom/6728","Sphagnum capillifolium (Ehrh.) Hedw., 1782")</f>
        <v>Sphagnum capillifolium (Ehrh.) Hedw., 1782</v>
      </c>
      <c r="K23092" s="4" t="str">
        <f>HYPERLINK("#Réglementation!A"&amp;_xlfn.XMATCH("CDH5",Réglementation!A:A,2,1),"CDH5")</f>
        <v>CDH5</v>
      </c>
      <c r="N23092" s="4" t="str">
        <f>HYPERLINK("#Réglementation!A"&amp;_xlfn.XMATCH("V39P1",Réglementation!A:A,2,1),"V39P1")</f>
        <v>V39P1</v>
      </c>
      <c r="P23092" s="7" t="str">
        <f>HYPERLINK("#Liste_rouge!A"&amp;_xlfn.XMATCH("LC",Liste_rouge!A:A,2,1),"LC")</f>
        <v>LC</v>
      </c>
      <c r="T23092" s="7" t="str">
        <f>HYPERLINK("#Liste_rouge!A"&amp;_xlfn.XMATCH("LC",Liste_rouge!A:A,2,1),"LC")</f>
        <v>LC</v>
      </c>
      <c r="V23092" s="7" t="str">
        <f>HYPERLINK("#Liste_rouge!A"&amp;_xlfn.XMATCH("LC",Liste_rouge!A:A,2,1),"LC")</f>
        <v>LC</v>
      </c>
      <c r="AB23092" s="4" t="s">
        <v>24634</v>
      </c>
      <c r="AH23092" s="4" t="str">
        <f>HYPERLINK("#Statut_biogéographique!A"&amp;_xlfn.XMATCH("P",Statut_biogéographique!A:A,2,1),"P")</f>
        <v>P</v>
      </c>
      <c r="AK23092" s="4" t="str">
        <f>HYPERLINK("#Réglementation!A"&amp;_xlfn.XMATCH("V39P6",Réglementation!A:A,2,1),"V39P6")</f>
        <v>V39P6</v>
      </c>
      <c r="AP23092" s="4" t="s">
        <v>376</v>
      </c>
      <c r="AR23092" s="4" t="s">
        <v>377</v>
      </c>
    </row>
    <row r="23093" spans="1:44">
      <c r="A23093" s="4" t="s">
        <v>24364</v>
      </c>
      <c r="B23093" s="4">
        <v>6732</v>
      </c>
      <c r="D23093" s="5" t="s">
        <v>29906</v>
      </c>
      <c r="E23093" s="6" t="str">
        <f>HYPERLINK("https://inpn.mnhn.fr/espece/cd_nom/6732","Sphagnum centrale C.E.O.Jensen, 1896")</f>
        <v>Sphagnum centrale C.E.O.Jensen, 1896</v>
      </c>
      <c r="K23093" s="4" t="str">
        <f>HYPERLINK("#Réglementation!A"&amp;_xlfn.XMATCH("CDH5",Réglementation!A:A,2,1),"CDH5")</f>
        <v>CDH5</v>
      </c>
      <c r="N23093" s="4" t="str">
        <f>HYPERLINK("#Réglementation!A"&amp;_xlfn.XMATCH("V39P1",Réglementation!A:A,2,1),"V39P1")</f>
        <v>V39P1</v>
      </c>
      <c r="P23093" s="7" t="str">
        <f>HYPERLINK("#Liste_rouge!A"&amp;_xlfn.XMATCH("LC",Liste_rouge!A:A,2,1),"LC")</f>
        <v>LC</v>
      </c>
      <c r="T23093" s="7" t="str">
        <f>HYPERLINK("#Liste_rouge!A"&amp;_xlfn.XMATCH("DD",Liste_rouge!A:A,2,1),"DD")</f>
        <v>DD</v>
      </c>
      <c r="V23093" s="7" t="str">
        <f>HYPERLINK("#Liste_rouge!A"&amp;_xlfn.XMATCH("LC",Liste_rouge!A:A,2,1),"LC")</f>
        <v>LC</v>
      </c>
      <c r="AB23093" s="4" t="s">
        <v>24719</v>
      </c>
      <c r="AH23093" s="4" t="str">
        <f>HYPERLINK("#Statut_biogéographique!A"&amp;_xlfn.XMATCH("P",Statut_biogéographique!A:A,2,1),"P")</f>
        <v>P</v>
      </c>
      <c r="AK23093" s="4" t="str">
        <f>HYPERLINK("#Réglementation!A"&amp;_xlfn.XMATCH("V39P6",Réglementation!A:A,2,1),"V39P6")</f>
        <v>V39P6</v>
      </c>
      <c r="AP23093" s="4" t="s">
        <v>376</v>
      </c>
      <c r="AR23093" s="4" t="s">
        <v>377</v>
      </c>
    </row>
    <row r="23094" spans="1:44">
      <c r="A23094" s="4" t="s">
        <v>24364</v>
      </c>
      <c r="B23094" s="4">
        <v>6734</v>
      </c>
      <c r="D23094" s="5" t="s">
        <v>29907</v>
      </c>
      <c r="E23094" s="6" t="str">
        <f>HYPERLINK("https://inpn.mnhn.fr/espece/cd_nom/6734","Sphagnum compactum Lam. &amp; DC., 1805")</f>
        <v>Sphagnum compactum Lam. &amp; DC., 1805</v>
      </c>
      <c r="K23094" s="4" t="str">
        <f>HYPERLINK("#Réglementation!A"&amp;_xlfn.XMATCH("CDH5",Réglementation!A:A,2,1),"CDH5")</f>
        <v>CDH5</v>
      </c>
      <c r="N23094" s="4" t="str">
        <f>HYPERLINK("#Réglementation!A"&amp;_xlfn.XMATCH("V39P1",Réglementation!A:A,2,1),"V39P1")</f>
        <v>V39P1</v>
      </c>
      <c r="P23094" s="7" t="str">
        <f>HYPERLINK("#Liste_rouge!A"&amp;_xlfn.XMATCH("LC",Liste_rouge!A:A,2,1),"LC")</f>
        <v>LC</v>
      </c>
      <c r="T23094" s="7" t="str">
        <f>HYPERLINK("#Liste_rouge!A"&amp;_xlfn.XMATCH("CR",Liste_rouge!A:A,2,1),"CR")</f>
        <v>CR</v>
      </c>
      <c r="V23094" s="7" t="str">
        <f>HYPERLINK("#Liste_rouge!A"&amp;_xlfn.XMATCH("LC",Liste_rouge!A:A,2,1),"LC")</f>
        <v>LC</v>
      </c>
      <c r="X23094" s="5" t="s">
        <v>374</v>
      </c>
      <c r="AB23094" s="4" t="s">
        <v>93</v>
      </c>
      <c r="AH23094" s="4" t="str">
        <f>HYPERLINK("#Statut_biogéographique!A"&amp;_xlfn.XMATCH("P",Statut_biogéographique!A:A,2,1),"P")</f>
        <v>P</v>
      </c>
      <c r="AK23094" s="4" t="str">
        <f>HYPERLINK("#Réglementation!A"&amp;_xlfn.XMATCH("V39P6",Réglementation!A:A,2,1),"V39P6")</f>
        <v>V39P6</v>
      </c>
      <c r="AP23094" s="4" t="s">
        <v>376</v>
      </c>
      <c r="AR23094" s="4" t="s">
        <v>377</v>
      </c>
    </row>
    <row r="23095" spans="1:44">
      <c r="A23095" s="4" t="s">
        <v>24364</v>
      </c>
      <c r="B23095" s="4">
        <v>6736</v>
      </c>
      <c r="D23095" s="5" t="s">
        <v>29908</v>
      </c>
      <c r="E23095" s="6" t="str">
        <f>HYPERLINK("https://inpn.mnhn.fr/espece/cd_nom/6736","Sphagnum contortum Schultz, 1819")</f>
        <v>Sphagnum contortum Schultz, 1819</v>
      </c>
      <c r="K23095" s="4" t="str">
        <f>HYPERLINK("#Réglementation!A"&amp;_xlfn.XMATCH("CDH5",Réglementation!A:A,2,1),"CDH5")</f>
        <v>CDH5</v>
      </c>
      <c r="N23095" s="4" t="str">
        <f>HYPERLINK("#Réglementation!A"&amp;_xlfn.XMATCH("V39P1",Réglementation!A:A,2,1),"V39P1")</f>
        <v>V39P1</v>
      </c>
      <c r="P23095" s="7" t="str">
        <f>HYPERLINK("#Liste_rouge!A"&amp;_xlfn.XMATCH("LC",Liste_rouge!A:A,2,1),"LC")</f>
        <v>LC</v>
      </c>
      <c r="T23095" s="7" t="str">
        <f>HYPERLINK("#Liste_rouge!A"&amp;_xlfn.XMATCH("CR",Liste_rouge!A:A,2,1),"CR")</f>
        <v>CR</v>
      </c>
      <c r="V23095" s="7" t="str">
        <f>HYPERLINK("#Liste_rouge!A"&amp;_xlfn.XMATCH("LC",Liste_rouge!A:A,2,1),"LC")</f>
        <v>LC</v>
      </c>
      <c r="AB23095" s="4" t="s">
        <v>29052</v>
      </c>
      <c r="AH23095" s="4" t="str">
        <f>HYPERLINK("#Statut_biogéographique!A"&amp;_xlfn.XMATCH("P",Statut_biogéographique!A:A,2,1),"P")</f>
        <v>P</v>
      </c>
      <c r="AK23095" s="4" t="str">
        <f>HYPERLINK("#Réglementation!A"&amp;_xlfn.XMATCH("V39P6",Réglementation!A:A,2,1),"V39P6")</f>
        <v>V39P6</v>
      </c>
      <c r="AP23095" s="4" t="s">
        <v>376</v>
      </c>
      <c r="AR23095" s="4" t="s">
        <v>377</v>
      </c>
    </row>
    <row r="23096" spans="1:44">
      <c r="A23096" s="4" t="s">
        <v>24364</v>
      </c>
      <c r="B23096" s="4">
        <v>6739</v>
      </c>
      <c r="D23096" s="5" t="s">
        <v>29909</v>
      </c>
      <c r="E23096" s="6" t="str">
        <f>HYPERLINK("https://inpn.mnhn.fr/espece/cd_nom/6739","Sphagnum cuspidatum Ehrh. ex Hoffm., 1796")</f>
        <v>Sphagnum cuspidatum Ehrh. ex Hoffm., 1796</v>
      </c>
      <c r="K23096" s="4" t="str">
        <f>HYPERLINK("#Réglementation!A"&amp;_xlfn.XMATCH("CDH5",Réglementation!A:A,2,1),"CDH5")</f>
        <v>CDH5</v>
      </c>
      <c r="N23096" s="4" t="str">
        <f>HYPERLINK("#Réglementation!A"&amp;_xlfn.XMATCH("V39P1",Réglementation!A:A,2,1),"V39P1")</f>
        <v>V39P1</v>
      </c>
      <c r="P23096" s="7" t="str">
        <f>HYPERLINK("#Liste_rouge!A"&amp;_xlfn.XMATCH("LC",Liste_rouge!A:A,2,1),"LC")</f>
        <v>LC</v>
      </c>
      <c r="T23096" s="7" t="str">
        <f>HYPERLINK("#Liste_rouge!A"&amp;_xlfn.XMATCH("NT",Liste_rouge!A:A,2,1),"NT")</f>
        <v>NT</v>
      </c>
      <c r="V23096" s="7" t="str">
        <f>HYPERLINK("#Liste_rouge!A"&amp;_xlfn.XMATCH("LC",Liste_rouge!A:A,2,1),"LC")</f>
        <v>LC</v>
      </c>
      <c r="AB23096" s="4" t="s">
        <v>24855</v>
      </c>
      <c r="AH23096" s="4" t="str">
        <f>HYPERLINK("#Statut_biogéographique!A"&amp;_xlfn.XMATCH("P",Statut_biogéographique!A:A,2,1),"P")</f>
        <v>P</v>
      </c>
      <c r="AK23096" s="4" t="str">
        <f>HYPERLINK("#Réglementation!A"&amp;_xlfn.XMATCH("V39P6",Réglementation!A:A,2,1),"V39P6")</f>
        <v>V39P6</v>
      </c>
      <c r="AP23096" s="4" t="s">
        <v>376</v>
      </c>
      <c r="AR23096" s="4" t="s">
        <v>377</v>
      </c>
    </row>
    <row r="23097" spans="1:44">
      <c r="A23097" s="4" t="s">
        <v>24364</v>
      </c>
      <c r="B23097" s="4">
        <v>6742</v>
      </c>
      <c r="D23097" s="5" t="s">
        <v>29910</v>
      </c>
      <c r="E23097" s="6" t="str">
        <f>HYPERLINK("https://inpn.mnhn.fr/espece/cd_nom/6742","Sphagnum inundatum Russow, 1894")</f>
        <v>Sphagnum inundatum Russow, 1894</v>
      </c>
      <c r="K23097" s="4" t="str">
        <f>HYPERLINK("#Réglementation!A"&amp;_xlfn.XMATCH("CDH5",Réglementation!A:A,2,1),"CDH5")</f>
        <v>CDH5</v>
      </c>
      <c r="N23097" s="4" t="str">
        <f>HYPERLINK("#Réglementation!A"&amp;_xlfn.XMATCH("V39P1",Réglementation!A:A,2,1),"V39P1")</f>
        <v>V39P1</v>
      </c>
      <c r="P23097" s="7" t="str">
        <f>HYPERLINK("#Liste_rouge!A"&amp;_xlfn.XMATCH("LC",Liste_rouge!A:A,2,1),"LC")</f>
        <v>LC</v>
      </c>
      <c r="T23097" s="7" t="str">
        <f>HYPERLINK("#Liste_rouge!A"&amp;_xlfn.XMATCH("LC",Liste_rouge!A:A,2,1),"LC")</f>
        <v>LC</v>
      </c>
      <c r="V23097" s="7" t="str">
        <f>HYPERLINK("#Liste_rouge!A"&amp;_xlfn.XMATCH("LC",Liste_rouge!A:A,2,1),"LC")</f>
        <v>LC</v>
      </c>
      <c r="AH23097" s="4" t="str">
        <f>HYPERLINK("#Statut_biogéographique!A"&amp;_xlfn.XMATCH("P",Statut_biogéographique!A:A,2,1),"P")</f>
        <v>P</v>
      </c>
      <c r="AK23097" s="4" t="str">
        <f>HYPERLINK("#Réglementation!A"&amp;_xlfn.XMATCH("V39P6",Réglementation!A:A,2,1),"V39P6")</f>
        <v>V39P6</v>
      </c>
      <c r="AP23097" s="4" t="s">
        <v>376</v>
      </c>
      <c r="AR23097" s="4" t="s">
        <v>377</v>
      </c>
    </row>
    <row r="23098" spans="1:44" ht="30">
      <c r="A23098" s="4" t="s">
        <v>24364</v>
      </c>
      <c r="B23098" s="4">
        <v>6746</v>
      </c>
      <c r="D23098" s="5" t="s">
        <v>29911</v>
      </c>
      <c r="E23098" s="6" t="str">
        <f>HYPERLINK("https://inpn.mnhn.fr/espece/cd_nom/6746","Sphagnum fallax (H.Klinggr.) H.Klinggr., 1880")</f>
        <v>Sphagnum fallax (H.Klinggr.) H.Klinggr., 1880</v>
      </c>
      <c r="K23098" s="4" t="str">
        <f>HYPERLINK("#Réglementation!A"&amp;_xlfn.XMATCH("CDH5",Réglementation!A:A,2,1),"CDH5")</f>
        <v>CDH5</v>
      </c>
      <c r="N23098" s="4" t="str">
        <f>HYPERLINK("#Réglementation!A"&amp;_xlfn.XMATCH("V39P1",Réglementation!A:A,2,1),"V39P1")</f>
        <v>V39P1</v>
      </c>
      <c r="P23098" s="7" t="str">
        <f>HYPERLINK("#Liste_rouge!A"&amp;_xlfn.XMATCH("LC",Liste_rouge!A:A,2,1),"LC")</f>
        <v>LC</v>
      </c>
      <c r="T23098" s="7" t="str">
        <f>HYPERLINK("#Liste_rouge!A"&amp;_xlfn.XMATCH("LC",Liste_rouge!A:A,2,1),"LC")</f>
        <v>LC</v>
      </c>
      <c r="V23098" s="7" t="str">
        <f>HYPERLINK("#Liste_rouge!A"&amp;_xlfn.XMATCH("LC",Liste_rouge!A:A,2,1),"LC")</f>
        <v>LC</v>
      </c>
      <c r="AB23098" s="4" t="s">
        <v>24634</v>
      </c>
      <c r="AH23098" s="4" t="str">
        <f>HYPERLINK("#Statut_biogéographique!A"&amp;_xlfn.XMATCH("P",Statut_biogéographique!A:A,2,1),"P")</f>
        <v>P</v>
      </c>
      <c r="AK23098" s="4" t="str">
        <f>HYPERLINK("#Réglementation!A"&amp;_xlfn.XMATCH("V39P6",Réglementation!A:A,2,1),"V39P6")</f>
        <v>V39P6</v>
      </c>
      <c r="AP23098" s="4" t="s">
        <v>376</v>
      </c>
      <c r="AR23098" s="4" t="s">
        <v>377</v>
      </c>
    </row>
    <row r="23099" spans="1:44">
      <c r="A23099" s="4" t="s">
        <v>24364</v>
      </c>
      <c r="B23099" s="4">
        <v>6747</v>
      </c>
      <c r="D23099" s="5">
        <v>6747</v>
      </c>
      <c r="E23099" s="6" t="str">
        <f>HYPERLINK("https://inpn.mnhn.fr/espece/cd_nom/6747","Sphagnum fimbriatum Wilson, 1847")</f>
        <v>Sphagnum fimbriatum Wilson, 1847</v>
      </c>
      <c r="K23099" s="4" t="str">
        <f>HYPERLINK("#Réglementation!A"&amp;_xlfn.XMATCH("CDH5",Réglementation!A:A,2,1),"CDH5")</f>
        <v>CDH5</v>
      </c>
      <c r="N23099" s="4" t="str">
        <f>HYPERLINK("#Réglementation!A"&amp;_xlfn.XMATCH("V39P1",Réglementation!A:A,2,1),"V39P1")</f>
        <v>V39P1</v>
      </c>
      <c r="P23099" s="7" t="str">
        <f>HYPERLINK("#Liste_rouge!A"&amp;_xlfn.XMATCH("LC",Liste_rouge!A:A,2,1),"LC")</f>
        <v>LC</v>
      </c>
      <c r="T23099" s="7" t="str">
        <f>HYPERLINK("#Liste_rouge!A"&amp;_xlfn.XMATCH("LC",Liste_rouge!A:A,2,1),"LC")</f>
        <v>LC</v>
      </c>
      <c r="V23099" s="7" t="str">
        <f>HYPERLINK("#Liste_rouge!A"&amp;_xlfn.XMATCH("LC",Liste_rouge!A:A,2,1),"LC")</f>
        <v>LC</v>
      </c>
      <c r="AB23099" s="4" t="s">
        <v>29057</v>
      </c>
      <c r="AH23099" s="4" t="str">
        <f>HYPERLINK("#Statut_biogéographique!A"&amp;_xlfn.XMATCH("P",Statut_biogéographique!A:A,2,1),"P")</f>
        <v>P</v>
      </c>
      <c r="AK23099" s="4" t="str">
        <f>HYPERLINK("#Réglementation!A"&amp;_xlfn.XMATCH("V39P6",Réglementation!A:A,2,1),"V39P6")</f>
        <v>V39P6</v>
      </c>
      <c r="AP23099" s="4" t="s">
        <v>376</v>
      </c>
      <c r="AR23099" s="4" t="s">
        <v>377</v>
      </c>
    </row>
    <row r="23100" spans="1:44">
      <c r="A23100" s="4" t="s">
        <v>24364</v>
      </c>
      <c r="B23100" s="4">
        <v>6748</v>
      </c>
      <c r="D23100" s="5" t="s">
        <v>29912</v>
      </c>
      <c r="E23100" s="6" t="str">
        <f>HYPERLINK("https://inpn.mnhn.fr/espece/cd_nom/6748","Sphagnum flexuosum Dozy &amp; Molk., 1851")</f>
        <v>Sphagnum flexuosum Dozy &amp; Molk., 1851</v>
      </c>
      <c r="K23100" s="4" t="str">
        <f>HYPERLINK("#Réglementation!A"&amp;_xlfn.XMATCH("CDH5",Réglementation!A:A,2,1),"CDH5")</f>
        <v>CDH5</v>
      </c>
      <c r="N23100" s="4" t="str">
        <f>HYPERLINK("#Réglementation!A"&amp;_xlfn.XMATCH("V39P1",Réglementation!A:A,2,1),"V39P1")</f>
        <v>V39P1</v>
      </c>
      <c r="P23100" s="7" t="str">
        <f>HYPERLINK("#Liste_rouge!A"&amp;_xlfn.XMATCH("LC",Liste_rouge!A:A,2,1),"LC")</f>
        <v>LC</v>
      </c>
      <c r="T23100" s="7" t="str">
        <f>HYPERLINK("#Liste_rouge!A"&amp;_xlfn.XMATCH("LC",Liste_rouge!A:A,2,1),"LC")</f>
        <v>LC</v>
      </c>
      <c r="V23100" s="7" t="str">
        <f>HYPERLINK("#Liste_rouge!A"&amp;_xlfn.XMATCH("LC",Liste_rouge!A:A,2,1),"LC")</f>
        <v>LC</v>
      </c>
      <c r="AH23100" s="4" t="str">
        <f>HYPERLINK("#Statut_biogéographique!A"&amp;_xlfn.XMATCH("P",Statut_biogéographique!A:A,2,1),"P")</f>
        <v>P</v>
      </c>
      <c r="AK23100" s="4" t="str">
        <f>HYPERLINK("#Réglementation!A"&amp;_xlfn.XMATCH("V39P6",Réglementation!A:A,2,1),"V39P6")</f>
        <v>V39P6</v>
      </c>
      <c r="AP23100" s="4" t="s">
        <v>376</v>
      </c>
      <c r="AR23100" s="4" t="s">
        <v>377</v>
      </c>
    </row>
    <row r="23101" spans="1:44">
      <c r="A23101" s="4" t="s">
        <v>24364</v>
      </c>
      <c r="B23101" s="4">
        <v>6750</v>
      </c>
      <c r="D23101" s="5">
        <v>6750</v>
      </c>
      <c r="E23101" s="6" t="str">
        <f>HYPERLINK("https://inpn.mnhn.fr/espece/cd_nom/6750","Sphagnum fuscum (Schimp.) H.Klinggr., 1872")</f>
        <v>Sphagnum fuscum (Schimp.) H.Klinggr., 1872</v>
      </c>
      <c r="K23101" s="4" t="str">
        <f>HYPERLINK("#Réglementation!A"&amp;_xlfn.XMATCH("CDH5",Réglementation!A:A,2,1),"CDH5")</f>
        <v>CDH5</v>
      </c>
      <c r="N23101" s="4" t="str">
        <f>HYPERLINK("#Réglementation!A"&amp;_xlfn.XMATCH("V39P1",Réglementation!A:A,2,1),"V39P1")</f>
        <v>V39P1</v>
      </c>
      <c r="P23101" s="7" t="str">
        <f>HYPERLINK("#Liste_rouge!A"&amp;_xlfn.XMATCH("LC",Liste_rouge!A:A,2,1),"LC")</f>
        <v>LC</v>
      </c>
      <c r="T23101" s="7" t="str">
        <f>HYPERLINK("#Liste_rouge!A"&amp;_xlfn.XMATCH("CR",Liste_rouge!A:A,2,1),"CR")</f>
        <v>CR</v>
      </c>
      <c r="V23101" s="7" t="str">
        <f>HYPERLINK("#Liste_rouge!A"&amp;_xlfn.XMATCH("LC",Liste_rouge!A:A,2,1),"LC")</f>
        <v>LC</v>
      </c>
      <c r="X23101" s="5" t="s">
        <v>374</v>
      </c>
      <c r="AB23101" s="4" t="s">
        <v>93</v>
      </c>
      <c r="AE23101" s="4" t="str">
        <f>HYPERLINK("#SCAP!A"&amp;_xlfn.XMATCH("1-",SCAP!A:A,2,1),"1-")</f>
        <v>1-</v>
      </c>
      <c r="AF23101" s="4" t="str">
        <f>HYPERLINK("#SCAP!A"&amp;_xlfn.XMATCH("NP",SCAP!A:A,2,1),"NP")</f>
        <v>NP</v>
      </c>
      <c r="AG23101" s="4" t="str">
        <f>HYPERLINK("#SCAP!A"&amp;_xlfn.XMATCH("2+",SCAP!A:A,2,1),"2+")</f>
        <v>2+</v>
      </c>
      <c r="AH23101" s="4" t="str">
        <f>HYPERLINK("#Statut_biogéographique!A"&amp;_xlfn.XMATCH("P",Statut_biogéographique!A:A,2,1),"P")</f>
        <v>P</v>
      </c>
      <c r="AK23101" s="4" t="str">
        <f>HYPERLINK("#Réglementation!A"&amp;_xlfn.XMATCH("V39P6",Réglementation!A:A,2,1),"V39P6")</f>
        <v>V39P6</v>
      </c>
      <c r="AP23101" s="4" t="s">
        <v>376</v>
      </c>
      <c r="AR23101" s="4" t="s">
        <v>377</v>
      </c>
    </row>
    <row r="23102" spans="1:44">
      <c r="A23102" s="4" t="s">
        <v>24364</v>
      </c>
      <c r="B23102" s="4">
        <v>6751</v>
      </c>
      <c r="D23102" s="5">
        <v>6751</v>
      </c>
      <c r="E23102" s="6" t="str">
        <f>HYPERLINK("https://inpn.mnhn.fr/espece/cd_nom/6751","Sphagnum girgensohnii Russow, 1865")</f>
        <v>Sphagnum girgensohnii Russow, 1865</v>
      </c>
      <c r="K23102" s="4" t="str">
        <f>HYPERLINK("#Réglementation!A"&amp;_xlfn.XMATCH("CDH5",Réglementation!A:A,2,1),"CDH5")</f>
        <v>CDH5</v>
      </c>
      <c r="N23102" s="4" t="str">
        <f>HYPERLINK("#Réglementation!A"&amp;_xlfn.XMATCH("V39P1",Réglementation!A:A,2,1),"V39P1")</f>
        <v>V39P1</v>
      </c>
      <c r="P23102" s="7" t="str">
        <f>HYPERLINK("#Liste_rouge!A"&amp;_xlfn.XMATCH("LC",Liste_rouge!A:A,2,1),"LC")</f>
        <v>LC</v>
      </c>
      <c r="T23102" s="7" t="str">
        <f>HYPERLINK("#Liste_rouge!A"&amp;_xlfn.XMATCH("VU",Liste_rouge!A:A,2,1),"VU")</f>
        <v>VU</v>
      </c>
      <c r="V23102" s="7" t="str">
        <f>HYPERLINK("#Liste_rouge!A"&amp;_xlfn.XMATCH("LC",Liste_rouge!A:A,2,1),"LC")</f>
        <v>LC</v>
      </c>
      <c r="AB23102" s="4" t="s">
        <v>29429</v>
      </c>
      <c r="AH23102" s="4" t="str">
        <f>HYPERLINK("#Statut_biogéographique!A"&amp;_xlfn.XMATCH("P",Statut_biogéographique!A:A,2,1),"P")</f>
        <v>P</v>
      </c>
      <c r="AK23102" s="4" t="str">
        <f>HYPERLINK("#Réglementation!A"&amp;_xlfn.XMATCH("V39P6",Réglementation!A:A,2,1),"V39P6")</f>
        <v>V39P6</v>
      </c>
      <c r="AP23102" s="4" t="s">
        <v>376</v>
      </c>
      <c r="AR23102" s="4" t="s">
        <v>377</v>
      </c>
    </row>
    <row r="23103" spans="1:44" ht="45">
      <c r="A23103" s="4" t="s">
        <v>24364</v>
      </c>
      <c r="B23103" s="4">
        <v>6754</v>
      </c>
      <c r="D23103" s="5" t="s">
        <v>29913</v>
      </c>
      <c r="E23103" s="6" t="str">
        <f>HYPERLINK("https://inpn.mnhn.fr/espece/cd_nom/6754","Sphagnum auriculatum Schimp., 1857")</f>
        <v>Sphagnum auriculatum Schimp., 1857</v>
      </c>
      <c r="K23103" s="4" t="str">
        <f>HYPERLINK("#Réglementation!A"&amp;_xlfn.XMATCH("CDH5",Réglementation!A:A,2,1),"CDH5")</f>
        <v>CDH5</v>
      </c>
      <c r="N23103" s="4" t="str">
        <f>HYPERLINK("#Réglementation!A"&amp;_xlfn.XMATCH("V39P1",Réglementation!A:A,2,1),"V39P1")</f>
        <v>V39P1</v>
      </c>
      <c r="P23103" s="7" t="str">
        <f>HYPERLINK("#Liste_rouge!A"&amp;_xlfn.XMATCH("LC",Liste_rouge!A:A,2,1),"LC")</f>
        <v>LC</v>
      </c>
      <c r="T23103" s="7" t="str">
        <f>HYPERLINK("#Liste_rouge!A"&amp;_xlfn.XMATCH("LC",Liste_rouge!A:A,2,1),"LC")</f>
        <v>LC</v>
      </c>
      <c r="V23103" s="7" t="str">
        <f>HYPERLINK("#Liste_rouge!A"&amp;_xlfn.XMATCH("LC",Liste_rouge!A:A,2,1),"LC")</f>
        <v>LC</v>
      </c>
      <c r="AH23103" s="4" t="str">
        <f>HYPERLINK("#Statut_biogéographique!A"&amp;_xlfn.XMATCH("P",Statut_biogéographique!A:A,2,1),"P")</f>
        <v>P</v>
      </c>
      <c r="AK23103" s="4" t="str">
        <f>HYPERLINK("#Réglementation!A"&amp;_xlfn.XMATCH("V39P6",Réglementation!A:A,2,1),"V39P6")</f>
        <v>V39P6</v>
      </c>
      <c r="AP23103" s="4" t="s">
        <v>376</v>
      </c>
      <c r="AR23103" s="4" t="s">
        <v>377</v>
      </c>
    </row>
    <row r="23104" spans="1:44">
      <c r="A23104" s="4" t="s">
        <v>24364</v>
      </c>
      <c r="B23104" s="4">
        <v>6760</v>
      </c>
      <c r="D23104" s="5" t="s">
        <v>29914</v>
      </c>
      <c r="E23104" s="6" t="str">
        <f>HYPERLINK("https://inpn.mnhn.fr/espece/cd_nom/6760","Sphagnum magellanicum Brid., 1798")</f>
        <v>Sphagnum magellanicum Brid., 1798</v>
      </c>
      <c r="V23104" s="7" t="str">
        <f>HYPERLINK("#Liste_rouge!A"&amp;_xlfn.XMATCH("LC",Liste_rouge!A:A,2,1),"LC")</f>
        <v>LC</v>
      </c>
      <c r="AH23104" s="4" t="str">
        <f>HYPERLINK("#Statut_biogéographique!A"&amp;_xlfn.XMATCH("Q",Statut_biogéographique!A:A,2,1),"Q")</f>
        <v>Q</v>
      </c>
      <c r="AP23104" s="4" t="s">
        <v>376</v>
      </c>
      <c r="AR23104" s="4" t="s">
        <v>377</v>
      </c>
    </row>
    <row r="23105" spans="1:44">
      <c r="A23105" s="4" t="s">
        <v>24364</v>
      </c>
      <c r="B23105" s="4">
        <v>6762</v>
      </c>
      <c r="D23105" s="5" t="s">
        <v>29915</v>
      </c>
      <c r="E23105" s="6" t="str">
        <f>HYPERLINK("https://inpn.mnhn.fr/espece/cd_nom/6762","Sphagnum medium Limpr., 1881")</f>
        <v>Sphagnum medium Limpr., 1881</v>
      </c>
      <c r="K23105" s="4" t="str">
        <f>HYPERLINK("#Réglementation!A"&amp;_xlfn.XMATCH("CDH5",Réglementation!A:A,2,1),"CDH5")</f>
        <v>CDH5</v>
      </c>
      <c r="N23105" s="4" t="str">
        <f>HYPERLINK("#Réglementation!A"&amp;_xlfn.XMATCH("V39P1",Réglementation!A:A,2,1),"V39P1")</f>
        <v>V39P1</v>
      </c>
      <c r="P23105" s="7" t="str">
        <f>HYPERLINK("#Liste_rouge!A"&amp;_xlfn.XMATCH("LC",Liste_rouge!A:A,2,1),"LC")</f>
        <v>LC</v>
      </c>
      <c r="T23105" s="7" t="str">
        <f>HYPERLINK("#Liste_rouge!A"&amp;_xlfn.XMATCH("CR",Liste_rouge!A:A,2,1),"CR")</f>
        <v>CR</v>
      </c>
      <c r="V23105" s="7" t="str">
        <f>HYPERLINK("#Liste_rouge!A"&amp;_xlfn.XMATCH("DD",Liste_rouge!A:A,2,1),"DD")</f>
        <v>DD</v>
      </c>
      <c r="AH23105" s="4" t="str">
        <f>HYPERLINK("#Statut_biogéographique!A"&amp;_xlfn.XMATCH("P",Statut_biogéographique!A:A,2,1),"P")</f>
        <v>P</v>
      </c>
      <c r="AK23105" s="4" t="str">
        <f>HYPERLINK("#Réglementation!A"&amp;_xlfn.XMATCH("V39P6",Réglementation!A:A,2,1),"V39P6")</f>
        <v>V39P6</v>
      </c>
      <c r="AP23105" s="4" t="s">
        <v>376</v>
      </c>
      <c r="AR23105" s="4" t="s">
        <v>377</v>
      </c>
    </row>
    <row r="23106" spans="1:44" ht="30">
      <c r="A23106" s="4" t="s">
        <v>24364</v>
      </c>
      <c r="B23106" s="4">
        <v>6763</v>
      </c>
      <c r="D23106" s="5" t="s">
        <v>29916</v>
      </c>
      <c r="E23106" s="6" t="str">
        <f>HYPERLINK("https://inpn.mnhn.fr/espece/cd_nom/6763","Sphagnum majus (Russow) C.E.O.Jensen, 1890")</f>
        <v>Sphagnum majus (Russow) C.E.O.Jensen, 1890</v>
      </c>
      <c r="K23106" s="4" t="str">
        <f>HYPERLINK("#Réglementation!A"&amp;_xlfn.XMATCH("CDH5",Réglementation!A:A,2,1),"CDH5")</f>
        <v>CDH5</v>
      </c>
      <c r="N23106" s="4" t="str">
        <f>HYPERLINK("#Réglementation!A"&amp;_xlfn.XMATCH("V39P1",Réglementation!A:A,2,1),"V39P1")</f>
        <v>V39P1</v>
      </c>
      <c r="P23106" s="7" t="str">
        <f>HYPERLINK("#Liste_rouge!A"&amp;_xlfn.XMATCH("LC",Liste_rouge!A:A,2,1),"LC")</f>
        <v>LC</v>
      </c>
      <c r="V23106" s="7" t="str">
        <f>HYPERLINK("#Liste_rouge!A"&amp;_xlfn.XMATCH("VU",Liste_rouge!A:A,2,1),"VU")</f>
        <v>VU</v>
      </c>
      <c r="X23106" s="5" t="s">
        <v>374</v>
      </c>
      <c r="AB23106" s="4" t="s">
        <v>93</v>
      </c>
      <c r="AE23106" s="4" t="str">
        <f>HYPERLINK("#SCAP!A"&amp;_xlfn.XMATCH("1-",SCAP!A:A,2,1),"1-")</f>
        <v>1-</v>
      </c>
      <c r="AG23106" s="4" t="str">
        <f>HYPERLINK("#SCAP!A"&amp;_xlfn.XMATCH("1-",SCAP!A:A,2,1),"1-")</f>
        <v>1-</v>
      </c>
      <c r="AH23106" s="4" t="str">
        <f>HYPERLINK("#Statut_biogéographique!A"&amp;_xlfn.XMATCH("P",Statut_biogéographique!A:A,2,1),"P")</f>
        <v>P</v>
      </c>
      <c r="AK23106" s="4" t="str">
        <f>HYPERLINK("#Réglementation!A"&amp;_xlfn.XMATCH("V39P6",Réglementation!A:A,2,1),"V39P6")</f>
        <v>V39P6</v>
      </c>
      <c r="AP23106" s="4" t="s">
        <v>376</v>
      </c>
      <c r="AR23106" s="4" t="s">
        <v>377</v>
      </c>
    </row>
    <row r="23107" spans="1:44">
      <c r="A23107" s="4" t="s">
        <v>24364</v>
      </c>
      <c r="B23107" s="4">
        <v>6768</v>
      </c>
      <c r="D23107" s="5">
        <v>6768</v>
      </c>
      <c r="E23107" s="6" t="str">
        <f>HYPERLINK("https://inpn.mnhn.fr/espece/cd_nom/6768","Sphagnum obtusum Warnst., 1877")</f>
        <v>Sphagnum obtusum Warnst., 1877</v>
      </c>
      <c r="K23107" s="4" t="str">
        <f>HYPERLINK("#Réglementation!A"&amp;_xlfn.XMATCH("CDH5",Réglementation!A:A,2,1),"CDH5")</f>
        <v>CDH5</v>
      </c>
      <c r="N23107" s="4" t="str">
        <f>HYPERLINK("#Réglementation!A"&amp;_xlfn.XMATCH("V39P1",Réglementation!A:A,2,1),"V39P1")</f>
        <v>V39P1</v>
      </c>
      <c r="P23107" s="7" t="str">
        <f>HYPERLINK("#Liste_rouge!A"&amp;_xlfn.XMATCH("LC",Liste_rouge!A:A,2,1),"LC")</f>
        <v>LC</v>
      </c>
      <c r="V23107" s="7" t="str">
        <f>HYPERLINK("#Liste_rouge!A"&amp;_xlfn.XMATCH("CR",Liste_rouge!A:A,2,1),"CR")</f>
        <v>CR</v>
      </c>
      <c r="X23107" s="5" t="s">
        <v>374</v>
      </c>
      <c r="AB23107" s="4" t="s">
        <v>93</v>
      </c>
      <c r="AH23107" s="4" t="str">
        <f>HYPERLINK("#Statut_biogéographique!A"&amp;_xlfn.XMATCH("P",Statut_biogéographique!A:A,2,1),"P")</f>
        <v>P</v>
      </c>
      <c r="AK23107" s="4" t="str">
        <f>HYPERLINK("#Réglementation!A"&amp;_xlfn.XMATCH("V39P6",Réglementation!A:A,2,1),"V39P6")</f>
        <v>V39P6</v>
      </c>
      <c r="AP23107" s="4" t="s">
        <v>376</v>
      </c>
      <c r="AR23107" s="4" t="s">
        <v>377</v>
      </c>
    </row>
    <row r="23108" spans="1:44">
      <c r="A23108" s="4" t="s">
        <v>24364</v>
      </c>
      <c r="B23108" s="4">
        <v>6769</v>
      </c>
      <c r="D23108" s="5" t="s">
        <v>29917</v>
      </c>
      <c r="E23108" s="6" t="str">
        <f>HYPERLINK("https://inpn.mnhn.fr/espece/cd_nom/6769","Sphagnum palustre L., 1753")</f>
        <v>Sphagnum palustre L., 1753</v>
      </c>
      <c r="K23108" s="4" t="str">
        <f>HYPERLINK("#Réglementation!A"&amp;_xlfn.XMATCH("CDH5",Réglementation!A:A,2,1),"CDH5")</f>
        <v>CDH5</v>
      </c>
      <c r="N23108" s="4" t="str">
        <f>HYPERLINK("#Réglementation!A"&amp;_xlfn.XMATCH("V39P1",Réglementation!A:A,2,1),"V39P1")</f>
        <v>V39P1</v>
      </c>
      <c r="P23108" s="7" t="str">
        <f>HYPERLINK("#Liste_rouge!A"&amp;_xlfn.XMATCH("LC",Liste_rouge!A:A,2,1),"LC")</f>
        <v>LC</v>
      </c>
      <c r="T23108" s="7" t="str">
        <f>HYPERLINK("#Liste_rouge!A"&amp;_xlfn.XMATCH("LC",Liste_rouge!A:A,2,1),"LC")</f>
        <v>LC</v>
      </c>
      <c r="V23108" s="7" t="str">
        <f>HYPERLINK("#Liste_rouge!A"&amp;_xlfn.XMATCH("LC",Liste_rouge!A:A,2,1),"LC")</f>
        <v>LC</v>
      </c>
      <c r="AH23108" s="4" t="str">
        <f>HYPERLINK("#Statut_biogéographique!A"&amp;_xlfn.XMATCH("P",Statut_biogéographique!A:A,2,1),"P")</f>
        <v>P</v>
      </c>
      <c r="AK23108" s="4" t="str">
        <f>HYPERLINK("#Réglementation!A"&amp;_xlfn.XMATCH("V39P6",Réglementation!A:A,2,1),"V39P6")</f>
        <v>V39P6</v>
      </c>
      <c r="AP23108" s="4" t="s">
        <v>376</v>
      </c>
      <c r="AR23108" s="4" t="s">
        <v>377</v>
      </c>
    </row>
    <row r="23109" spans="1:44">
      <c r="A23109" s="4" t="s">
        <v>24364</v>
      </c>
      <c r="B23109" s="4">
        <v>6774</v>
      </c>
      <c r="D23109" s="5" t="s">
        <v>29918</v>
      </c>
      <c r="E23109" s="6" t="str">
        <f>HYPERLINK("https://inpn.mnhn.fr/espece/cd_nom/6774","Sphagnum papillosum Lindb., 1872")</f>
        <v>Sphagnum papillosum Lindb., 1872</v>
      </c>
      <c r="K23109" s="4" t="str">
        <f>HYPERLINK("#Réglementation!A"&amp;_xlfn.XMATCH("CDH5",Réglementation!A:A,2,1),"CDH5")</f>
        <v>CDH5</v>
      </c>
      <c r="N23109" s="4" t="str">
        <f>HYPERLINK("#Réglementation!A"&amp;_xlfn.XMATCH("V39P1",Réglementation!A:A,2,1),"V39P1")</f>
        <v>V39P1</v>
      </c>
      <c r="P23109" s="7" t="str">
        <f>HYPERLINK("#Liste_rouge!A"&amp;_xlfn.XMATCH("LC",Liste_rouge!A:A,2,1),"LC")</f>
        <v>LC</v>
      </c>
      <c r="T23109" s="7" t="str">
        <f>HYPERLINK("#Liste_rouge!A"&amp;_xlfn.XMATCH("LC",Liste_rouge!A:A,2,1),"LC")</f>
        <v>LC</v>
      </c>
      <c r="V23109" s="7" t="str">
        <f>HYPERLINK("#Liste_rouge!A"&amp;_xlfn.XMATCH("LC",Liste_rouge!A:A,2,1),"LC (cd_nom 6774) - NE (cd_nom 6774)")</f>
        <v>LC (cd_nom 6774) - NE (cd_nom 6774)</v>
      </c>
      <c r="AB23109" s="4" t="s">
        <v>24984</v>
      </c>
      <c r="AH23109" s="4" t="str">
        <f>HYPERLINK("#Statut_biogéographique!A"&amp;_xlfn.XMATCH("P",Statut_biogéographique!A:A,2,1),"P")</f>
        <v>P</v>
      </c>
      <c r="AK23109" s="4" t="str">
        <f>HYPERLINK("#Réglementation!A"&amp;_xlfn.XMATCH("V39P6",Réglementation!A:A,2,1),"V39P6")</f>
        <v>V39P6</v>
      </c>
      <c r="AP23109" s="4" t="s">
        <v>376</v>
      </c>
      <c r="AR23109" s="4" t="s">
        <v>377</v>
      </c>
    </row>
    <row r="23110" spans="1:44" ht="30">
      <c r="A23110" s="4" t="s">
        <v>24364</v>
      </c>
      <c r="B23110" s="4">
        <v>6776</v>
      </c>
      <c r="D23110" s="5" t="s">
        <v>29919</v>
      </c>
      <c r="E23110" s="6" t="str">
        <f>HYPERLINK("https://inpn.mnhn.fr/espece/cd_nom/6776","Sphagnum platyphyllum (Lindb. ex Braithw.) Warnst., 1884")</f>
        <v>Sphagnum platyphyllum (Lindb. ex Braithw.) Warnst., 1884</v>
      </c>
      <c r="K23110" s="4" t="str">
        <f>HYPERLINK("#Réglementation!A"&amp;_xlfn.XMATCH("CDH5",Réglementation!A:A,2,1),"CDH5")</f>
        <v>CDH5</v>
      </c>
      <c r="N23110" s="4" t="str">
        <f>HYPERLINK("#Réglementation!A"&amp;_xlfn.XMATCH("V39P1",Réglementation!A:A,2,1),"V39P1")</f>
        <v>V39P1</v>
      </c>
      <c r="P23110" s="7" t="str">
        <f>HYPERLINK("#Liste_rouge!A"&amp;_xlfn.XMATCH("LC",Liste_rouge!A:A,2,1),"LC")</f>
        <v>LC</v>
      </c>
      <c r="T23110" s="7" t="str">
        <f>HYPERLINK("#Liste_rouge!A"&amp;_xlfn.XMATCH("CR",Liste_rouge!A:A,2,1),"CR")</f>
        <v>CR</v>
      </c>
      <c r="V23110" s="7" t="str">
        <f>HYPERLINK("#Liste_rouge!A"&amp;_xlfn.XMATCH("NT",Liste_rouge!A:A,2,1),"NT")</f>
        <v>NT</v>
      </c>
      <c r="X23110" s="5" t="s">
        <v>374</v>
      </c>
      <c r="AB23110" s="4" t="s">
        <v>93</v>
      </c>
      <c r="AH23110" s="4" t="str">
        <f>HYPERLINK("#Statut_biogéographique!A"&amp;_xlfn.XMATCH("P",Statut_biogéographique!A:A,2,1),"P")</f>
        <v>P</v>
      </c>
      <c r="AK23110" s="4" t="str">
        <f>HYPERLINK("#Réglementation!A"&amp;_xlfn.XMATCH("V39P6",Réglementation!A:A,2,1),"V39P6")</f>
        <v>V39P6</v>
      </c>
      <c r="AP23110" s="4" t="s">
        <v>376</v>
      </c>
      <c r="AR23110" s="4" t="s">
        <v>377</v>
      </c>
    </row>
    <row r="23111" spans="1:44" ht="30">
      <c r="A23111" s="4" t="s">
        <v>24364</v>
      </c>
      <c r="B23111" s="4">
        <v>6780</v>
      </c>
      <c r="D23111" s="5">
        <v>6780</v>
      </c>
      <c r="E23111" s="6" t="str">
        <f>HYPERLINK("https://inpn.mnhn.fr/espece/cd_nom/6780","Sphagnum quinquefarium (Lindb. in Braithw.) Warnst., 1886")</f>
        <v>Sphagnum quinquefarium (Lindb. in Braithw.) Warnst., 1886</v>
      </c>
      <c r="K23111" s="4" t="str">
        <f>HYPERLINK("#Réglementation!A"&amp;_xlfn.XMATCH("CDH5",Réglementation!A:A,2,1),"CDH5")</f>
        <v>CDH5</v>
      </c>
      <c r="N23111" s="4" t="str">
        <f>HYPERLINK("#Réglementation!A"&amp;_xlfn.XMATCH("V39P1",Réglementation!A:A,2,1),"V39P1")</f>
        <v>V39P1</v>
      </c>
      <c r="P23111" s="7" t="str">
        <f>HYPERLINK("#Liste_rouge!A"&amp;_xlfn.XMATCH("LC",Liste_rouge!A:A,2,1),"LC")</f>
        <v>LC</v>
      </c>
      <c r="T23111" s="7" t="str">
        <f>HYPERLINK("#Liste_rouge!A"&amp;_xlfn.XMATCH("NT",Liste_rouge!A:A,2,1),"NT")</f>
        <v>NT</v>
      </c>
      <c r="V23111" s="7" t="str">
        <f>HYPERLINK("#Liste_rouge!A"&amp;_xlfn.XMATCH("LC",Liste_rouge!A:A,2,1),"LC")</f>
        <v>LC</v>
      </c>
      <c r="AB23111" s="4" t="s">
        <v>29863</v>
      </c>
      <c r="AH23111" s="4" t="str">
        <f>HYPERLINK("#Statut_biogéographique!A"&amp;_xlfn.XMATCH("P",Statut_biogéographique!A:A,2,1),"P")</f>
        <v>P</v>
      </c>
      <c r="AK23111" s="4" t="str">
        <f>HYPERLINK("#Réglementation!A"&amp;_xlfn.XMATCH("V39P6",Réglementation!A:A,2,1),"V39P6")</f>
        <v>V39P6</v>
      </c>
      <c r="AP23111" s="4" t="s">
        <v>376</v>
      </c>
      <c r="AR23111" s="4" t="s">
        <v>377</v>
      </c>
    </row>
    <row r="23112" spans="1:44">
      <c r="A23112" s="4" t="s">
        <v>24364</v>
      </c>
      <c r="B23112" s="4">
        <v>6781</v>
      </c>
      <c r="D23112" s="5">
        <v>6781</v>
      </c>
      <c r="E23112" s="6" t="str">
        <f>HYPERLINK("https://inpn.mnhn.fr/espece/cd_nom/6781","Sphagnum recurvum P.Beauv., 1805")</f>
        <v>Sphagnum recurvum P.Beauv., 1805</v>
      </c>
      <c r="P23112" s="7" t="str">
        <f>HYPERLINK("#Liste_rouge!A"&amp;_xlfn.XMATCH("EN",Liste_rouge!A:A,2,1),"EN")</f>
        <v>EN</v>
      </c>
      <c r="AH23112" s="4" t="str">
        <f>HYPERLINK("#Statut_biogéographique!A"&amp;_xlfn.XMATCH("Q",Statut_biogéographique!A:A,2,1),"Q")</f>
        <v>Q</v>
      </c>
      <c r="AP23112" s="4" t="s">
        <v>376</v>
      </c>
      <c r="AR23112" s="4" t="s">
        <v>377</v>
      </c>
    </row>
    <row r="23113" spans="1:44">
      <c r="A23113" s="4" t="s">
        <v>24364</v>
      </c>
      <c r="B23113" s="4">
        <v>6783</v>
      </c>
      <c r="D23113" s="5">
        <v>6783</v>
      </c>
      <c r="E23113" s="6" t="str">
        <f>HYPERLINK("https://inpn.mnhn.fr/espece/cd_nom/6783","Sphagnum riparium Ångstr., 1864")</f>
        <v>Sphagnum riparium Ångstr., 1864</v>
      </c>
      <c r="K23113" s="4" t="str">
        <f>HYPERLINK("#Réglementation!A"&amp;_xlfn.XMATCH("CDH5",Réglementation!A:A,2,1),"CDH5")</f>
        <v>CDH5</v>
      </c>
      <c r="N23113" s="4" t="str">
        <f>HYPERLINK("#Réglementation!A"&amp;_xlfn.XMATCH("V39P1",Réglementation!A:A,2,1),"V39P1")</f>
        <v>V39P1</v>
      </c>
      <c r="P23113" s="7" t="str">
        <f>HYPERLINK("#Liste_rouge!A"&amp;_xlfn.XMATCH("LC",Liste_rouge!A:A,2,1),"LC")</f>
        <v>LC</v>
      </c>
      <c r="V23113" s="7" t="str">
        <f>HYPERLINK("#Liste_rouge!A"&amp;_xlfn.XMATCH("CR",Liste_rouge!A:A,2,1),"CR")</f>
        <v>CR</v>
      </c>
      <c r="AH23113" s="4" t="str">
        <f>HYPERLINK("#Statut_biogéographique!A"&amp;_xlfn.XMATCH("P",Statut_biogéographique!A:A,2,1),"P")</f>
        <v>P</v>
      </c>
      <c r="AK23113" s="4" t="str">
        <f>HYPERLINK("#Réglementation!A"&amp;_xlfn.XMATCH("V39P6",Réglementation!A:A,2,1),"V39P6")</f>
        <v>V39P6</v>
      </c>
      <c r="AP23113" s="4" t="s">
        <v>376</v>
      </c>
      <c r="AR23113" s="4" t="s">
        <v>377</v>
      </c>
    </row>
    <row r="23114" spans="1:44">
      <c r="A23114" s="4" t="s">
        <v>24364</v>
      </c>
      <c r="B23114" s="4">
        <v>6784</v>
      </c>
      <c r="D23114" s="5" t="s">
        <v>29920</v>
      </c>
      <c r="E23114" s="6" t="str">
        <f>HYPERLINK("https://inpn.mnhn.fr/espece/cd_nom/6784","Sphagnum rubellum Wilson, 1855")</f>
        <v>Sphagnum rubellum Wilson, 1855</v>
      </c>
      <c r="K23114" s="4" t="str">
        <f>HYPERLINK("#Réglementation!A"&amp;_xlfn.XMATCH("CDH5",Réglementation!A:A,2,1),"CDH5")</f>
        <v>CDH5</v>
      </c>
      <c r="N23114" s="4" t="str">
        <f>HYPERLINK("#Réglementation!A"&amp;_xlfn.XMATCH("V39P1",Réglementation!A:A,2,1),"V39P1")</f>
        <v>V39P1</v>
      </c>
      <c r="P23114" s="7" t="str">
        <f>HYPERLINK("#Liste_rouge!A"&amp;_xlfn.XMATCH("LC",Liste_rouge!A:A,2,1),"LC")</f>
        <v>LC</v>
      </c>
      <c r="T23114" s="7" t="str">
        <f>HYPERLINK("#Liste_rouge!A"&amp;_xlfn.XMATCH("LC",Liste_rouge!A:A,2,1),"LC")</f>
        <v>LC</v>
      </c>
      <c r="V23114" s="7" t="str">
        <f>HYPERLINK("#Liste_rouge!A"&amp;_xlfn.XMATCH("LC",Liste_rouge!A:A,2,1),"LC")</f>
        <v>LC</v>
      </c>
      <c r="AH23114" s="4" t="str">
        <f>HYPERLINK("#Statut_biogéographique!A"&amp;_xlfn.XMATCH("P",Statut_biogéographique!A:A,2,1),"P")</f>
        <v>P</v>
      </c>
      <c r="AK23114" s="4" t="str">
        <f>HYPERLINK("#Réglementation!A"&amp;_xlfn.XMATCH("V39P6",Réglementation!A:A,2,1),"V39P6")</f>
        <v>V39P6</v>
      </c>
      <c r="AP23114" s="4" t="s">
        <v>376</v>
      </c>
      <c r="AR23114" s="4" t="s">
        <v>377</v>
      </c>
    </row>
    <row r="23115" spans="1:44">
      <c r="A23115" s="4" t="s">
        <v>24364</v>
      </c>
      <c r="B23115" s="4">
        <v>6785</v>
      </c>
      <c r="D23115" s="5" t="s">
        <v>29921</v>
      </c>
      <c r="E23115" s="6" t="str">
        <f>HYPERLINK("https://inpn.mnhn.fr/espece/cd_nom/6785","Sphagnum russowii Warnst., 1886")</f>
        <v>Sphagnum russowii Warnst., 1886</v>
      </c>
      <c r="K23115" s="4" t="str">
        <f>HYPERLINK("#Réglementation!A"&amp;_xlfn.XMATCH("CDH5",Réglementation!A:A,2,1),"CDH5")</f>
        <v>CDH5</v>
      </c>
      <c r="N23115" s="4" t="str">
        <f>HYPERLINK("#Réglementation!A"&amp;_xlfn.XMATCH("V39P1",Réglementation!A:A,2,1),"V39P1")</f>
        <v>V39P1</v>
      </c>
      <c r="P23115" s="7" t="str">
        <f>HYPERLINK("#Liste_rouge!A"&amp;_xlfn.XMATCH("LC",Liste_rouge!A:A,2,1),"LC")</f>
        <v>LC</v>
      </c>
      <c r="T23115" s="7" t="str">
        <f>HYPERLINK("#Liste_rouge!A"&amp;_xlfn.XMATCH("EN",Liste_rouge!A:A,2,1),"EN")</f>
        <v>EN</v>
      </c>
      <c r="V23115" s="7" t="str">
        <f>HYPERLINK("#Liste_rouge!A"&amp;_xlfn.XMATCH("LC",Liste_rouge!A:A,2,1),"LC")</f>
        <v>LC</v>
      </c>
      <c r="AB23115" s="4" t="s">
        <v>24777</v>
      </c>
      <c r="AH23115" s="4" t="str">
        <f>HYPERLINK("#Statut_biogéographique!A"&amp;_xlfn.XMATCH("P",Statut_biogéographique!A:A,2,1),"P")</f>
        <v>P</v>
      </c>
      <c r="AK23115" s="4" t="str">
        <f>HYPERLINK("#Réglementation!A"&amp;_xlfn.XMATCH("V39P6",Réglementation!A:A,2,1),"V39P6")</f>
        <v>V39P6</v>
      </c>
      <c r="AP23115" s="4" t="s">
        <v>376</v>
      </c>
      <c r="AR23115" s="4" t="s">
        <v>377</v>
      </c>
    </row>
    <row r="23116" spans="1:44">
      <c r="A23116" s="4" t="s">
        <v>24364</v>
      </c>
      <c r="B23116" s="4">
        <v>6789</v>
      </c>
      <c r="D23116" s="5">
        <v>6789</v>
      </c>
      <c r="E23116" s="6" t="str">
        <f>HYPERLINK("https://inpn.mnhn.fr/espece/cd_nom/6789","Sphagnum squarrosum Crome, 1803")</f>
        <v>Sphagnum squarrosum Crome, 1803</v>
      </c>
      <c r="K23116" s="4" t="str">
        <f>HYPERLINK("#Réglementation!A"&amp;_xlfn.XMATCH("CDH5",Réglementation!A:A,2,1),"CDH5")</f>
        <v>CDH5</v>
      </c>
      <c r="N23116" s="4" t="str">
        <f>HYPERLINK("#Réglementation!A"&amp;_xlfn.XMATCH("V39P1",Réglementation!A:A,2,1),"V39P1")</f>
        <v>V39P1</v>
      </c>
      <c r="P23116" s="7" t="str">
        <f>HYPERLINK("#Liste_rouge!A"&amp;_xlfn.XMATCH("LC",Liste_rouge!A:A,2,1),"LC")</f>
        <v>LC</v>
      </c>
      <c r="T23116" s="7" t="str">
        <f>HYPERLINK("#Liste_rouge!A"&amp;_xlfn.XMATCH("LC",Liste_rouge!A:A,2,1),"LC")</f>
        <v>LC</v>
      </c>
      <c r="V23116" s="7" t="str">
        <f>HYPERLINK("#Liste_rouge!A"&amp;_xlfn.XMATCH("LC",Liste_rouge!A:A,2,1),"LC")</f>
        <v>LC</v>
      </c>
      <c r="AH23116" s="4" t="str">
        <f>HYPERLINK("#Statut_biogéographique!A"&amp;_xlfn.XMATCH("P",Statut_biogéographique!A:A,2,1),"P")</f>
        <v>P</v>
      </c>
      <c r="AK23116" s="4" t="str">
        <f>HYPERLINK("#Réglementation!A"&amp;_xlfn.XMATCH("V39P6",Réglementation!A:A,2,1),"V39P6")</f>
        <v>V39P6</v>
      </c>
      <c r="AP23116" s="4" t="s">
        <v>376</v>
      </c>
      <c r="AR23116" s="4" t="s">
        <v>377</v>
      </c>
    </row>
    <row r="23117" spans="1:44" ht="30">
      <c r="A23117" s="4" t="s">
        <v>24364</v>
      </c>
      <c r="B23117" s="4">
        <v>6790</v>
      </c>
      <c r="D23117" s="5" t="s">
        <v>29922</v>
      </c>
      <c r="E23117" s="6" t="str">
        <f>HYPERLINK("https://inpn.mnhn.fr/espece/cd_nom/6790","Sphagnum subnitens Russow &amp; Warnst., 1888")</f>
        <v>Sphagnum subnitens Russow &amp; Warnst., 1888</v>
      </c>
      <c r="K23117" s="4" t="str">
        <f>HYPERLINK("#Réglementation!A"&amp;_xlfn.XMATCH("CDH5",Réglementation!A:A,2,1),"CDH5")</f>
        <v>CDH5</v>
      </c>
      <c r="N23117" s="4" t="str">
        <f>HYPERLINK("#Réglementation!A"&amp;_xlfn.XMATCH("V39P1",Réglementation!A:A,2,1),"V39P1")</f>
        <v>V39P1</v>
      </c>
      <c r="P23117" s="7" t="str">
        <f>HYPERLINK("#Liste_rouge!A"&amp;_xlfn.XMATCH("LC",Liste_rouge!A:A,2,1),"LC")</f>
        <v>LC</v>
      </c>
      <c r="T23117" s="7" t="str">
        <f>HYPERLINK("#Liste_rouge!A"&amp;_xlfn.XMATCH("LC",Liste_rouge!A:A,2,1),"LC")</f>
        <v>LC</v>
      </c>
      <c r="V23117" s="7" t="str">
        <f>HYPERLINK("#Liste_rouge!A"&amp;_xlfn.XMATCH("LC",Liste_rouge!A:A,2,1),"LC")</f>
        <v>LC</v>
      </c>
      <c r="AB23117" s="4" t="s">
        <v>29923</v>
      </c>
      <c r="AH23117" s="4" t="str">
        <f>HYPERLINK("#Statut_biogéographique!A"&amp;_xlfn.XMATCH("P",Statut_biogéographique!A:A,2,1),"P")</f>
        <v>P</v>
      </c>
      <c r="AK23117" s="4" t="str">
        <f>HYPERLINK("#Réglementation!A"&amp;_xlfn.XMATCH("V39P6",Réglementation!A:A,2,1),"V39P6")</f>
        <v>V39P6</v>
      </c>
      <c r="AP23117" s="4" t="s">
        <v>376</v>
      </c>
      <c r="AR23117" s="4" t="s">
        <v>377</v>
      </c>
    </row>
    <row r="23118" spans="1:44">
      <c r="A23118" s="4" t="s">
        <v>24364</v>
      </c>
      <c r="B23118" s="4">
        <v>6794</v>
      </c>
      <c r="D23118" s="5" t="s">
        <v>29924</v>
      </c>
      <c r="E23118" s="6" t="str">
        <f>HYPERLINK("https://inpn.mnhn.fr/espece/cd_nom/6794","Sphagnum subsecundum Nees, 1819")</f>
        <v>Sphagnum subsecundum Nees, 1819</v>
      </c>
      <c r="K23118" s="4" t="str">
        <f>HYPERLINK("#Réglementation!A"&amp;_xlfn.XMATCH("CDH5",Réglementation!A:A,2,1),"CDH5")</f>
        <v>CDH5</v>
      </c>
      <c r="N23118" s="4" t="str">
        <f>HYPERLINK("#Réglementation!A"&amp;_xlfn.XMATCH("V39P1",Réglementation!A:A,2,1),"V39P1")</f>
        <v>V39P1</v>
      </c>
      <c r="P23118" s="7" t="str">
        <f>HYPERLINK("#Liste_rouge!A"&amp;_xlfn.XMATCH("LC",Liste_rouge!A:A,2,1),"LC")</f>
        <v>LC</v>
      </c>
      <c r="T23118" s="7" t="str">
        <f>HYPERLINK("#Liste_rouge!A"&amp;_xlfn.XMATCH("LC",Liste_rouge!A:A,2,1),"LC")</f>
        <v>LC</v>
      </c>
      <c r="V23118" s="7" t="str">
        <f>HYPERLINK("#Liste_rouge!A"&amp;_xlfn.XMATCH("LC",Liste_rouge!A:A,2,1),"LC")</f>
        <v>LC</v>
      </c>
      <c r="AH23118" s="4" t="str">
        <f>HYPERLINK("#Statut_biogéographique!A"&amp;_xlfn.XMATCH("P",Statut_biogéographique!A:A,2,1),"P")</f>
        <v>P</v>
      </c>
      <c r="AK23118" s="4" t="str">
        <f>HYPERLINK("#Réglementation!A"&amp;_xlfn.XMATCH("V39P6",Réglementation!A:A,2,1),"V39P6")</f>
        <v>V39P6</v>
      </c>
      <c r="AP23118" s="4" t="s">
        <v>376</v>
      </c>
      <c r="AR23118" s="4" t="s">
        <v>377</v>
      </c>
    </row>
    <row r="23119" spans="1:44" ht="30">
      <c r="A23119" s="4" t="s">
        <v>24364</v>
      </c>
      <c r="B23119" s="4">
        <v>6795</v>
      </c>
      <c r="D23119" s="5" t="s">
        <v>29925</v>
      </c>
      <c r="E23119" s="6" t="str">
        <f>HYPERLINK("https://inpn.mnhn.fr/espece/cd_nom/6795","Sphagnum tenellum (Brid.) Pers. ex Brid., 1818")</f>
        <v>Sphagnum tenellum (Brid.) Pers. ex Brid., 1818</v>
      </c>
      <c r="K23119" s="4" t="str">
        <f>HYPERLINK("#Réglementation!A"&amp;_xlfn.XMATCH("CDH5",Réglementation!A:A,2,1),"CDH5")</f>
        <v>CDH5</v>
      </c>
      <c r="N23119" s="4" t="str">
        <f>HYPERLINK("#Réglementation!A"&amp;_xlfn.XMATCH("V39P1",Réglementation!A:A,2,1),"V39P1")</f>
        <v>V39P1</v>
      </c>
      <c r="P23119" s="7" t="str">
        <f>HYPERLINK("#Liste_rouge!A"&amp;_xlfn.XMATCH("LC",Liste_rouge!A:A,2,1),"LC")</f>
        <v>LC</v>
      </c>
      <c r="T23119" s="7" t="str">
        <f>HYPERLINK("#Liste_rouge!A"&amp;_xlfn.XMATCH("CR",Liste_rouge!A:A,2,1),"CR")</f>
        <v>CR</v>
      </c>
      <c r="V23119" s="7" t="str">
        <f>HYPERLINK("#Liste_rouge!A"&amp;_xlfn.XMATCH("LC",Liste_rouge!A:A,2,1),"LC")</f>
        <v>LC</v>
      </c>
      <c r="X23119" s="5" t="s">
        <v>374</v>
      </c>
      <c r="AB23119" s="4" t="s">
        <v>93</v>
      </c>
      <c r="AH23119" s="4" t="str">
        <f>HYPERLINK("#Statut_biogéographique!A"&amp;_xlfn.XMATCH("P",Statut_biogéographique!A:A,2,1),"P")</f>
        <v>P</v>
      </c>
      <c r="AK23119" s="4" t="str">
        <f>HYPERLINK("#Réglementation!A"&amp;_xlfn.XMATCH("V39P6",Réglementation!A:A,2,1),"V39P6")</f>
        <v>V39P6</v>
      </c>
      <c r="AP23119" s="4" t="s">
        <v>376</v>
      </c>
      <c r="AR23119" s="4" t="s">
        <v>377</v>
      </c>
    </row>
    <row r="23120" spans="1:44">
      <c r="A23120" s="4" t="s">
        <v>24364</v>
      </c>
      <c r="B23120" s="4">
        <v>6797</v>
      </c>
      <c r="D23120" s="5" t="s">
        <v>29926</v>
      </c>
      <c r="E23120" s="6" t="str">
        <f>HYPERLINK("https://inpn.mnhn.fr/espece/cd_nom/6797","Sphagnum teres (Schimp.) Ångstr., 1861")</f>
        <v>Sphagnum teres (Schimp.) Ångstr., 1861</v>
      </c>
      <c r="K23120" s="4" t="str">
        <f>HYPERLINK("#Réglementation!A"&amp;_xlfn.XMATCH("CDH5",Réglementation!A:A,2,1),"CDH5")</f>
        <v>CDH5</v>
      </c>
      <c r="N23120" s="4" t="str">
        <f>HYPERLINK("#Réglementation!A"&amp;_xlfn.XMATCH("V39P1",Réglementation!A:A,2,1),"V39P1")</f>
        <v>V39P1</v>
      </c>
      <c r="P23120" s="7" t="str">
        <f>HYPERLINK("#Liste_rouge!A"&amp;_xlfn.XMATCH("LC",Liste_rouge!A:A,2,1),"LC")</f>
        <v>LC</v>
      </c>
      <c r="T23120" s="7" t="str">
        <f>HYPERLINK("#Liste_rouge!A"&amp;_xlfn.XMATCH("VU",Liste_rouge!A:A,2,1),"VU")</f>
        <v>VU</v>
      </c>
      <c r="V23120" s="7" t="str">
        <f>HYPERLINK("#Liste_rouge!A"&amp;_xlfn.XMATCH("LC",Liste_rouge!A:A,2,1),"LC")</f>
        <v>LC</v>
      </c>
      <c r="AB23120" s="4" t="s">
        <v>24418</v>
      </c>
      <c r="AH23120" s="4" t="str">
        <f>HYPERLINK("#Statut_biogéographique!A"&amp;_xlfn.XMATCH("P",Statut_biogéographique!A:A,2,1),"P")</f>
        <v>P</v>
      </c>
      <c r="AK23120" s="4" t="str">
        <f>HYPERLINK("#Réglementation!A"&amp;_xlfn.XMATCH("V39P6",Réglementation!A:A,2,1),"V39P6")</f>
        <v>V39P6</v>
      </c>
      <c r="AP23120" s="4" t="s">
        <v>376</v>
      </c>
      <c r="AR23120" s="4" t="s">
        <v>377</v>
      </c>
    </row>
    <row r="23121" spans="1:44">
      <c r="A23121" s="4" t="s">
        <v>24364</v>
      </c>
      <c r="B23121" s="4">
        <v>6802</v>
      </c>
      <c r="D23121" s="5" t="s">
        <v>29927</v>
      </c>
      <c r="E23121" s="6" t="str">
        <f>HYPERLINK("https://inpn.mnhn.fr/espece/cd_nom/6802","Sphagnum warnstorfii Russow, 1888")</f>
        <v>Sphagnum warnstorfii Russow, 1888</v>
      </c>
      <c r="K23121" s="4" t="str">
        <f>HYPERLINK("#Réglementation!A"&amp;_xlfn.XMATCH("CDH5",Réglementation!A:A,2,1),"CDH5")</f>
        <v>CDH5</v>
      </c>
      <c r="N23121" s="4" t="str">
        <f>HYPERLINK("#Réglementation!A"&amp;_xlfn.XMATCH("V39P1",Réglementation!A:A,2,1),"V39P1")</f>
        <v>V39P1</v>
      </c>
      <c r="P23121" s="7" t="str">
        <f>HYPERLINK("#Liste_rouge!A"&amp;_xlfn.XMATCH("LC",Liste_rouge!A:A,2,1),"LC")</f>
        <v>LC</v>
      </c>
      <c r="V23121" s="7" t="str">
        <f>HYPERLINK("#Liste_rouge!A"&amp;_xlfn.XMATCH("LC",Liste_rouge!A:A,2,1),"LC")</f>
        <v>LC</v>
      </c>
      <c r="AB23121" s="4" t="s">
        <v>24410</v>
      </c>
      <c r="AH23121" s="4" t="str">
        <f>HYPERLINK("#Statut_biogéographique!A"&amp;_xlfn.XMATCH("P",Statut_biogéographique!A:A,2,1),"P")</f>
        <v>P</v>
      </c>
      <c r="AK23121" s="4" t="str">
        <f>HYPERLINK("#Réglementation!A"&amp;_xlfn.XMATCH("V39P6",Réglementation!A:A,2,1),"V39P6")</f>
        <v>V39P6</v>
      </c>
      <c r="AP23121" s="4" t="s">
        <v>376</v>
      </c>
      <c r="AR23121" s="4" t="s">
        <v>377</v>
      </c>
    </row>
    <row r="23122" spans="1:44" ht="30">
      <c r="A23122" s="4" t="s">
        <v>24364</v>
      </c>
      <c r="B23122" s="4">
        <v>6809</v>
      </c>
      <c r="D23122" s="5" t="s">
        <v>29928</v>
      </c>
      <c r="E23122" s="6" t="str">
        <f>HYPERLINK("https://inpn.mnhn.fr/espece/cd_nom/6809","Anthoceros agrestis Paton, 1979")</f>
        <v>Anthoceros agrestis Paton, 1979</v>
      </c>
      <c r="P23122" s="7" t="str">
        <f>HYPERLINK("#Liste_rouge!A"&amp;_xlfn.XMATCH("NT",Liste_rouge!A:A,2,1),"NT")</f>
        <v>NT</v>
      </c>
      <c r="T23122" s="7" t="str">
        <f>HYPERLINK("#Liste_rouge!A"&amp;_xlfn.XMATCH("DD",Liste_rouge!A:A,2,1),"DD")</f>
        <v>DD</v>
      </c>
      <c r="V23122" s="7" t="str">
        <f>HYPERLINK("#Liste_rouge!A"&amp;_xlfn.XMATCH("LC",Liste_rouge!A:A,2,1),"LC")</f>
        <v>LC</v>
      </c>
      <c r="AH23122" s="4" t="str">
        <f>HYPERLINK("#Statut_biogéographique!A"&amp;_xlfn.XMATCH("P",Statut_biogéographique!A:A,2,1),"P")</f>
        <v>P</v>
      </c>
      <c r="AP23122" s="4" t="s">
        <v>376</v>
      </c>
      <c r="AR23122" s="4" t="s">
        <v>377</v>
      </c>
    </row>
    <row r="23123" spans="1:44" ht="30">
      <c r="A23123" s="4" t="s">
        <v>24364</v>
      </c>
      <c r="B23123" s="4">
        <v>6819</v>
      </c>
      <c r="D23123" s="5" t="s">
        <v>29929</v>
      </c>
      <c r="E23123" s="6" t="str">
        <f>HYPERLINK("https://inpn.mnhn.fr/espece/cd_nom/6819","Phaeoceros carolinianus (Michx.) Prosk., 1951")</f>
        <v>Phaeoceros carolinianus (Michx.) Prosk., 1951</v>
      </c>
      <c r="P23123" s="7" t="str">
        <f>HYPERLINK("#Liste_rouge!A"&amp;_xlfn.XMATCH("NT",Liste_rouge!A:A,2,1),"NT")</f>
        <v>NT</v>
      </c>
      <c r="T23123" s="7" t="str">
        <f>HYPERLINK("#Liste_rouge!A"&amp;_xlfn.XMATCH("EN",Liste_rouge!A:A,2,1),"EN")</f>
        <v>EN</v>
      </c>
      <c r="V23123" s="7" t="str">
        <f>HYPERLINK("#Liste_rouge!A"&amp;_xlfn.XMATCH("VU",Liste_rouge!A:A,2,1),"VU")</f>
        <v>VU</v>
      </c>
      <c r="X23123" s="5" t="s">
        <v>374</v>
      </c>
      <c r="AB23123" s="4" t="s">
        <v>93</v>
      </c>
      <c r="AH23123" s="4" t="str">
        <f>HYPERLINK("#Statut_biogéographique!A"&amp;_xlfn.XMATCH("P",Statut_biogéographique!A:A,2,1),"P")</f>
        <v>P</v>
      </c>
      <c r="AP23123" s="4" t="s">
        <v>376</v>
      </c>
      <c r="AR23123" s="4" t="s">
        <v>377</v>
      </c>
    </row>
    <row r="23124" spans="1:44">
      <c r="A23124" s="4" t="s">
        <v>24364</v>
      </c>
      <c r="B23124" s="4">
        <v>6820</v>
      </c>
      <c r="D23124" s="5" t="s">
        <v>29930</v>
      </c>
      <c r="E23124" s="6" t="str">
        <f>HYPERLINK("https://inpn.mnhn.fr/espece/cd_nom/6820","Phaeoceros laevis (L.) Prosk., 1951")</f>
        <v>Phaeoceros laevis (L.) Prosk., 1951</v>
      </c>
      <c r="P23124" s="7" t="str">
        <f>HYPERLINK("#Liste_rouge!A"&amp;_xlfn.XMATCH("LC",Liste_rouge!A:A,2,1),"LC")</f>
        <v>LC</v>
      </c>
      <c r="T23124" s="7" t="str">
        <f>HYPERLINK("#Liste_rouge!A"&amp;_xlfn.XMATCH("VU",Liste_rouge!A:A,2,1),"VU")</f>
        <v>VU</v>
      </c>
      <c r="V23124" s="7" t="str">
        <f>HYPERLINK("#Liste_rouge!A"&amp;_xlfn.XMATCH("NT",Liste_rouge!A:A,2,1),"NT")</f>
        <v>NT</v>
      </c>
      <c r="X23124" s="5" t="s">
        <v>374</v>
      </c>
      <c r="AB23124" s="4" t="s">
        <v>93</v>
      </c>
      <c r="AH23124" s="4" t="str">
        <f>HYPERLINK("#Statut_biogéographique!A"&amp;_xlfn.XMATCH("P",Statut_biogéographique!A:A,2,1),"P")</f>
        <v>P</v>
      </c>
      <c r="AP23124" s="4" t="s">
        <v>376</v>
      </c>
      <c r="AR23124" s="4" t="s">
        <v>377</v>
      </c>
    </row>
    <row r="23125" spans="1:44">
      <c r="A23125" s="4" t="s">
        <v>24364</v>
      </c>
      <c r="B23125" s="4">
        <v>6833</v>
      </c>
      <c r="D23125" s="5" t="s">
        <v>29931</v>
      </c>
      <c r="E23125" s="6" t="str">
        <f>HYPERLINK("https://inpn.mnhn.fr/espece/cd_nom/6833","Andreaea rothii F.Weber &amp; D.Mohr, 1807")</f>
        <v>Andreaea rothii F.Weber &amp; D.Mohr, 1807</v>
      </c>
      <c r="P23125" s="7" t="str">
        <f>HYPERLINK("#Liste_rouge!A"&amp;_xlfn.XMATCH("LC",Liste_rouge!A:A,2,1),"LC")</f>
        <v>LC</v>
      </c>
      <c r="T23125" s="7" t="str">
        <f>HYPERLINK("#Liste_rouge!A"&amp;_xlfn.XMATCH("NT",Liste_rouge!A:A,2,1),"NT")</f>
        <v>NT</v>
      </c>
      <c r="V23125" s="7" t="str">
        <f>HYPERLINK("#Liste_rouge!A"&amp;_xlfn.XMATCH("NT",Liste_rouge!A:A,2,1),"NT")</f>
        <v>NT</v>
      </c>
      <c r="X23125" s="5" t="s">
        <v>374</v>
      </c>
      <c r="AB23125" s="4" t="s">
        <v>93</v>
      </c>
      <c r="AH23125" s="4" t="str">
        <f>HYPERLINK("#Statut_biogéographique!A"&amp;_xlfn.XMATCH("P",Statut_biogéographique!A:A,2,1),"P")</f>
        <v>P</v>
      </c>
      <c r="AP23125" s="4" t="s">
        <v>376</v>
      </c>
      <c r="AR23125" s="4" t="s">
        <v>377</v>
      </c>
    </row>
    <row r="23126" spans="1:44">
      <c r="A23126" s="4" t="s">
        <v>24364</v>
      </c>
      <c r="B23126" s="4">
        <v>6834</v>
      </c>
      <c r="D23126" s="5" t="s">
        <v>29932</v>
      </c>
      <c r="E23126" s="6" t="str">
        <f>HYPERLINK("https://inpn.mnhn.fr/espece/cd_nom/6834","Andreaea rupestris Hedw., 1801")</f>
        <v>Andreaea rupestris Hedw., 1801</v>
      </c>
      <c r="P23126" s="7" t="str">
        <f>HYPERLINK("#Liste_rouge!A"&amp;_xlfn.XMATCH("LC",Liste_rouge!A:A,2,1),"LC")</f>
        <v>LC</v>
      </c>
      <c r="T23126" s="7" t="str">
        <f>HYPERLINK("#Liste_rouge!A"&amp;_xlfn.XMATCH("EN",Liste_rouge!A:A,2,1),"EN")</f>
        <v>EN</v>
      </c>
      <c r="V23126" s="7" t="str">
        <f>HYPERLINK("#Liste_rouge!A"&amp;_xlfn.XMATCH("NT",Liste_rouge!A:A,2,1),"NT")</f>
        <v>NT</v>
      </c>
      <c r="X23126" s="5" t="s">
        <v>374</v>
      </c>
      <c r="AB23126" s="4" t="s">
        <v>93</v>
      </c>
      <c r="AH23126" s="4" t="str">
        <f>HYPERLINK("#Statut_biogéographique!A"&amp;_xlfn.XMATCH("P",Statut_biogéographique!A:A,2,1),"P")</f>
        <v>P</v>
      </c>
      <c r="AP23126" s="4" t="s">
        <v>376</v>
      </c>
      <c r="AR23126" s="4" t="s">
        <v>377</v>
      </c>
    </row>
    <row r="23127" spans="1:44">
      <c r="A23127" s="4" t="s">
        <v>24364</v>
      </c>
      <c r="B23127" s="4">
        <v>706168</v>
      </c>
      <c r="D23127" s="5">
        <v>706168</v>
      </c>
      <c r="E23127" s="6" t="str">
        <f>HYPERLINK("https://inpn.mnhn.fr/espece/cd_nom/706168","Dahlia x hortensis Guillaumin, 1934")</f>
        <v>Dahlia x hortensis Guillaumin, 1934</v>
      </c>
      <c r="F23127" s="5" t="s">
        <v>29933</v>
      </c>
      <c r="AP23127" s="4" t="s">
        <v>376</v>
      </c>
      <c r="AR23127" s="4" t="s">
        <v>377</v>
      </c>
    </row>
    <row r="23128" spans="1:44" ht="30">
      <c r="A23128" s="4" t="s">
        <v>24364</v>
      </c>
      <c r="B23128" s="4">
        <v>706505</v>
      </c>
      <c r="D23128" s="5" t="s">
        <v>29934</v>
      </c>
      <c r="E23128" s="6" t="str">
        <f>HYPERLINK("https://inpn.mnhn.fr/espece/cd_nom/706505","Lysimachia foemina (Mill.) U.Manns &amp; Anderb., 2009")</f>
        <v>Lysimachia foemina (Mill.) U.Manns &amp; Anderb., 2009</v>
      </c>
      <c r="F23128" s="5" t="s">
        <v>29935</v>
      </c>
      <c r="Q23128" s="7" t="str">
        <f>HYPERLINK("#Liste_rouge!A"&amp;_xlfn.XMATCH("LC",Liste_rouge!A:A,2,1),"LC")</f>
        <v>LC</v>
      </c>
      <c r="T23128" s="7" t="str">
        <f>HYPERLINK("#Liste_rouge!A"&amp;_xlfn.XMATCH("LC",Liste_rouge!A:A,2,1),"LC")</f>
        <v>LC</v>
      </c>
      <c r="V23128" s="7" t="str">
        <f>HYPERLINK("#Liste_rouge!A"&amp;_xlfn.XMATCH("LC",Liste_rouge!A:A,2,1),"LC")</f>
        <v>LC</v>
      </c>
      <c r="AH23128" s="4" t="str">
        <f>HYPERLINK("#Statut_biogéographique!A"&amp;_xlfn.XMATCH("P",Statut_biogéographique!A:A,2,1),"P")</f>
        <v>P</v>
      </c>
      <c r="AM23128" s="4" t="s">
        <v>375</v>
      </c>
      <c r="AN23128" s="4" t="s">
        <v>375</v>
      </c>
      <c r="AO23128" s="4" t="s">
        <v>375</v>
      </c>
      <c r="AP23128" s="4" t="s">
        <v>376</v>
      </c>
      <c r="AR23128" s="4" t="s">
        <v>377</v>
      </c>
    </row>
    <row r="23129" spans="1:44" ht="30">
      <c r="A23129" s="4" t="s">
        <v>24364</v>
      </c>
      <c r="B23129" s="4">
        <v>707372</v>
      </c>
      <c r="D23129" s="5" t="s">
        <v>29936</v>
      </c>
      <c r="E23129" s="6" t="str">
        <f>HYPERLINK("https://inpn.mnhn.fr/espece/cd_nom/707372","Hydrodictyon reticulatum (L.) Bory, 1824")</f>
        <v>Hydrodictyon reticulatum (L.) Bory, 1824</v>
      </c>
      <c r="AH23129" s="4" t="str">
        <f>HYPERLINK("#Statut_biogéographique!A"&amp;_xlfn.XMATCH("P",Statut_biogéographique!A:A,2,1),"P")</f>
        <v>P</v>
      </c>
      <c r="AP23129" s="4" t="s">
        <v>376</v>
      </c>
      <c r="AR23129" s="4" t="s">
        <v>377</v>
      </c>
    </row>
    <row r="23130" spans="1:44" ht="30">
      <c r="A23130" s="4" t="s">
        <v>24364</v>
      </c>
      <c r="B23130" s="4">
        <v>717055</v>
      </c>
      <c r="D23130" s="5" t="s">
        <v>29937</v>
      </c>
      <c r="E23130" s="6" t="str">
        <f>HYPERLINK("https://inpn.mnhn.fr/espece/cd_nom/717055","Alchemilla controversa Buser, 1903")</f>
        <v>Alchemilla controversa Buser, 1903</v>
      </c>
      <c r="F23130" s="5" t="s">
        <v>29938</v>
      </c>
      <c r="Q23130" s="7" t="str">
        <f>HYPERLINK("#Liste_rouge!A"&amp;_xlfn.XMATCH("DD",Liste_rouge!A:A,2,1),"DD")</f>
        <v>DD</v>
      </c>
      <c r="V23130" s="7" t="str">
        <f>HYPERLINK("#Liste_rouge!A"&amp;_xlfn.XMATCH("DD",Liste_rouge!A:A,2,1),"DD")</f>
        <v>DD</v>
      </c>
      <c r="X23130" s="5" t="s">
        <v>374</v>
      </c>
      <c r="AB23130" s="4" t="s">
        <v>93</v>
      </c>
      <c r="AH23130" s="4" t="str">
        <f>HYPERLINK("#Statut_biogéographique!A"&amp;_xlfn.XMATCH("P",Statut_biogéographique!A:A,2,1),"P")</f>
        <v>P</v>
      </c>
      <c r="AM23130" s="4" t="s">
        <v>375</v>
      </c>
      <c r="AN23130" s="4" t="s">
        <v>375</v>
      </c>
      <c r="AO23130" s="4" t="s">
        <v>375</v>
      </c>
      <c r="AP23130" s="4" t="s">
        <v>376</v>
      </c>
      <c r="AR23130" s="4" t="s">
        <v>377</v>
      </c>
    </row>
    <row r="23131" spans="1:44">
      <c r="A23131" s="4" t="s">
        <v>24364</v>
      </c>
      <c r="B23131" s="4">
        <v>717063</v>
      </c>
      <c r="D23131" s="5" t="s">
        <v>29939</v>
      </c>
      <c r="E23131" s="6" t="str">
        <f>HYPERLINK("https://inpn.mnhn.fr/espece/cd_nom/717063","Alchemilla obscura Buser, 1903")</f>
        <v>Alchemilla obscura Buser, 1903</v>
      </c>
      <c r="F23131" s="5" t="s">
        <v>29940</v>
      </c>
      <c r="Q23131" s="7" t="str">
        <f>HYPERLINK("#Liste_rouge!A"&amp;_xlfn.XMATCH("DD",Liste_rouge!A:A,2,1),"DD")</f>
        <v>DD</v>
      </c>
      <c r="AH23131" s="4" t="str">
        <f>HYPERLINK("#Statut_biogéographique!A"&amp;_xlfn.XMATCH("P",Statut_biogéographique!A:A,2,1),"P")</f>
        <v>P</v>
      </c>
      <c r="AM23131" s="4" t="s">
        <v>375</v>
      </c>
      <c r="AN23131" s="4" t="s">
        <v>375</v>
      </c>
      <c r="AO23131" s="4" t="s">
        <v>375</v>
      </c>
      <c r="AP23131" s="4" t="s">
        <v>376</v>
      </c>
      <c r="AR23131" s="4" t="s">
        <v>377</v>
      </c>
    </row>
    <row r="23132" spans="1:44">
      <c r="A23132" s="4" t="s">
        <v>24364</v>
      </c>
      <c r="B23132" s="4">
        <v>717112</v>
      </c>
      <c r="D23132" s="5">
        <v>717112</v>
      </c>
      <c r="E23132" s="6" t="str">
        <f>HYPERLINK("https://inpn.mnhn.fr/espece/cd_nom/717112","Callitriche x vigens K.Martinsson, 1991")</f>
        <v>Callitriche x vigens K.Martinsson, 1991</v>
      </c>
      <c r="F23132" s="5" t="s">
        <v>29941</v>
      </c>
      <c r="AH23132" s="4" t="str">
        <f>HYPERLINK("#Statut_biogéographique!A"&amp;_xlfn.XMATCH("P",Statut_biogéographique!A:A,2,1),"P")</f>
        <v>P</v>
      </c>
      <c r="AP23132" s="4" t="s">
        <v>376</v>
      </c>
      <c r="AR23132" s="4" t="s">
        <v>377</v>
      </c>
    </row>
    <row r="23133" spans="1:44" ht="30">
      <c r="A23133" s="4" t="s">
        <v>24364</v>
      </c>
      <c r="B23133" s="4">
        <v>717122</v>
      </c>
      <c r="D23133" s="5" t="s">
        <v>29942</v>
      </c>
      <c r="E23133" s="6" t="str">
        <f>HYPERLINK("https://inpn.mnhn.fr/espece/cd_nom/717122","Cenchrus longisetus M.C.Johnst., 1963")</f>
        <v>Cenchrus longisetus M.C.Johnst., 1963</v>
      </c>
      <c r="F23133" s="5" t="s">
        <v>29943</v>
      </c>
      <c r="Q23133" s="7" t="str">
        <f>HYPERLINK("#Liste_rouge!A"&amp;_xlfn.XMATCH("NA",Liste_rouge!A:A,2,1),"NA")</f>
        <v>NA</v>
      </c>
      <c r="AH23133" s="4" t="str">
        <f>HYPERLINK("#Statut_biogéographique!A"&amp;_xlfn.XMATCH("I",Statut_biogéographique!A:A,2,1),"I")</f>
        <v>I</v>
      </c>
      <c r="AP23133" s="4" t="s">
        <v>376</v>
      </c>
      <c r="AR23133" s="4" t="s">
        <v>377</v>
      </c>
    </row>
    <row r="23134" spans="1:44" ht="30">
      <c r="A23134" s="4" t="s">
        <v>24364</v>
      </c>
      <c r="B23134" s="4">
        <v>717123</v>
      </c>
      <c r="D23134" s="5" t="s">
        <v>29944</v>
      </c>
      <c r="E23134" s="6" t="str">
        <f>HYPERLINK("https://inpn.mnhn.fr/espece/cd_nom/717123","Cenchrus setaceus (Forssk.) Morrone, 2010")</f>
        <v>Cenchrus setaceus (Forssk.) Morrone, 2010</v>
      </c>
      <c r="F23134" s="5" t="s">
        <v>29945</v>
      </c>
      <c r="O23134" s="7" t="str">
        <f>HYPERLINK("#Liste_rouge!A"&amp;_xlfn.XMATCH("LC",Liste_rouge!A:A,2,1),"LC")</f>
        <v>LC</v>
      </c>
      <c r="Q23134" s="7" t="str">
        <f>HYPERLINK("#Liste_rouge!A"&amp;_xlfn.XMATCH("NA",Liste_rouge!A:A,2,1),"NA")</f>
        <v>NA</v>
      </c>
      <c r="AH23134" s="4" t="str">
        <f>HYPERLINK("#Statut_biogéographique!A"&amp;_xlfn.XMATCH("M",Statut_biogéographique!A:A,2,1),"M")</f>
        <v>M</v>
      </c>
      <c r="AL23134" s="5" t="str">
        <f>HYPERLINK("#Réglementation!A"&amp;_xlfn.XMATCH("FRnoEEEV",Réglementation!A:A,2,1),"FRnoEEEV - EEEUE")</f>
        <v>FRnoEEEV - EEEUE</v>
      </c>
      <c r="AP23134" s="4" t="s">
        <v>376</v>
      </c>
      <c r="AR23134" s="4" t="s">
        <v>377</v>
      </c>
    </row>
    <row r="23135" spans="1:44" ht="30">
      <c r="A23135" s="4" t="s">
        <v>24364</v>
      </c>
      <c r="B23135" s="4">
        <v>717136</v>
      </c>
      <c r="D23135" s="5" t="s">
        <v>29946</v>
      </c>
      <c r="E23135" s="6" t="str">
        <f>HYPERLINK("https://inpn.mnhn.fr/espece/cd_nom/717136","Ceratochloa sitchensis (Trin.) Cope &amp; Ryves, 1996")</f>
        <v>Ceratochloa sitchensis (Trin.) Cope &amp; Ryves, 1996</v>
      </c>
      <c r="F23135" s="5" t="s">
        <v>29947</v>
      </c>
      <c r="Q23135" s="7" t="str">
        <f>HYPERLINK("#Liste_rouge!A"&amp;_xlfn.XMATCH("NA",Liste_rouge!A:A,2,1),"NA")</f>
        <v>NA</v>
      </c>
      <c r="AH23135" s="4" t="str">
        <f>HYPERLINK("#Statut_biogéographique!A"&amp;_xlfn.XMATCH("I",Statut_biogéographique!A:A,2,1),"I")</f>
        <v>I</v>
      </c>
      <c r="AP23135" s="4" t="s">
        <v>376</v>
      </c>
      <c r="AR23135" s="4" t="s">
        <v>377</v>
      </c>
    </row>
    <row r="23136" spans="1:44" ht="30">
      <c r="A23136" s="4" t="s">
        <v>24364</v>
      </c>
      <c r="B23136" s="4">
        <v>717137</v>
      </c>
      <c r="D23136" s="5" t="s">
        <v>29948</v>
      </c>
      <c r="E23136" s="6" t="str">
        <f>HYPERLINK("https://inpn.mnhn.fr/espece/cd_nom/717137","Chenopodiastrum hybridum (L.) S.Fuentes, Uotila &amp; Borsch, 2012")</f>
        <v>Chenopodiastrum hybridum (L.) S.Fuentes, Uotila &amp; Borsch, 2012</v>
      </c>
      <c r="F23136" s="5" t="s">
        <v>29949</v>
      </c>
      <c r="Q23136" s="7" t="str">
        <f>HYPERLINK("#Liste_rouge!A"&amp;_xlfn.XMATCH("LC",Liste_rouge!A:A,2,1),"LC")</f>
        <v>LC</v>
      </c>
      <c r="T23136" s="7" t="str">
        <f>HYPERLINK("#Liste_rouge!A"&amp;_xlfn.XMATCH("LC",Liste_rouge!A:A,2,1),"LC")</f>
        <v>LC</v>
      </c>
      <c r="V23136" s="7" t="str">
        <f>HYPERLINK("#Liste_rouge!A"&amp;_xlfn.XMATCH("NT",Liste_rouge!A:A,2,1),"NT")</f>
        <v>NT</v>
      </c>
      <c r="W23136" s="4" t="str">
        <f>HYPERLINK("#Critères_liste_rouge!A$1","pr. A3c B2b(v)")</f>
        <v>pr. A3c B2b(v)</v>
      </c>
      <c r="AB23136" s="4" t="s">
        <v>24501</v>
      </c>
      <c r="AH23136" s="4" t="str">
        <f>HYPERLINK("#Statut_biogéographique!A"&amp;_xlfn.XMATCH("P",Statut_biogéographique!A:A,2,1),"P")</f>
        <v>P</v>
      </c>
      <c r="AM23136" s="4" t="s">
        <v>375</v>
      </c>
      <c r="AN23136" s="4" t="s">
        <v>375</v>
      </c>
      <c r="AO23136" s="4" t="s">
        <v>375</v>
      </c>
      <c r="AP23136" s="4" t="s">
        <v>376</v>
      </c>
      <c r="AR23136" s="4" t="s">
        <v>377</v>
      </c>
    </row>
    <row r="23137" spans="1:44" ht="45">
      <c r="A23137" s="4" t="s">
        <v>24364</v>
      </c>
      <c r="B23137" s="4">
        <v>717138</v>
      </c>
      <c r="D23137" s="5" t="s">
        <v>29950</v>
      </c>
      <c r="E23137" s="6" t="str">
        <f>HYPERLINK("https://inpn.mnhn.fr/espece/cd_nom/717138","Chenopodiastrum murale (L.) S.Fuentes, Uotila &amp; Borsch, 2012")</f>
        <v>Chenopodiastrum murale (L.) S.Fuentes, Uotila &amp; Borsch, 2012</v>
      </c>
      <c r="F23137" s="5" t="s">
        <v>29951</v>
      </c>
      <c r="Q23137" s="7" t="str">
        <f>HYPERLINK("#Liste_rouge!A"&amp;_xlfn.XMATCH("LC",Liste_rouge!A:A,2,1),"LC")</f>
        <v>LC</v>
      </c>
      <c r="T23137" s="7" t="str">
        <f>HYPERLINK("#Liste_rouge!A"&amp;_xlfn.XMATCH("NT",Liste_rouge!A:A,2,1),"NT")</f>
        <v>NT</v>
      </c>
      <c r="U23137" s="4" t="str">
        <f>HYPERLINK("#Critères_liste_rouge!A$1","pr. B2b(ii,iii,iv)")</f>
        <v>pr. B2b(ii,iii,iv)</v>
      </c>
      <c r="V23137" s="7" t="str">
        <f>HYPERLINK("#Liste_rouge!A"&amp;_xlfn.XMATCH("VU",Liste_rouge!A:A,2,1),"VU")</f>
        <v>VU</v>
      </c>
      <c r="W23137" s="4" t="str">
        <f>HYPERLINK("#Critères_liste_rouge!A$1","D1+2")</f>
        <v>D1+2</v>
      </c>
      <c r="AB23137" s="4" t="s">
        <v>24501</v>
      </c>
      <c r="AH23137" s="4" t="str">
        <f>HYPERLINK("#Statut_biogéographique!A"&amp;_xlfn.XMATCH("P",Statut_biogéographique!A:A,2,1),"P")</f>
        <v>P</v>
      </c>
      <c r="AM23137" s="4" t="s">
        <v>375</v>
      </c>
      <c r="AN23137" s="4" t="s">
        <v>375</v>
      </c>
      <c r="AO23137" s="4" t="s">
        <v>375</v>
      </c>
      <c r="AP23137" s="4" t="s">
        <v>376</v>
      </c>
      <c r="AR23137" s="4" t="s">
        <v>377</v>
      </c>
    </row>
    <row r="23138" spans="1:44">
      <c r="A23138" s="4" t="s">
        <v>24364</v>
      </c>
      <c r="B23138" s="4">
        <v>717150</v>
      </c>
      <c r="D23138" s="5" t="s">
        <v>29952</v>
      </c>
      <c r="E23138" s="6" t="str">
        <f>HYPERLINK("https://inpn.mnhn.fr/espece/cd_nom/717150","Cotoneaster coriaceus Franch., 1890")</f>
        <v>Cotoneaster coriaceus Franch., 1890</v>
      </c>
      <c r="F23138" s="5" t="s">
        <v>29953</v>
      </c>
      <c r="Q23138" s="7" t="str">
        <f>HYPERLINK("#Liste_rouge!A"&amp;_xlfn.XMATCH("NA",Liste_rouge!A:A,2,1),"NA")</f>
        <v>NA</v>
      </c>
      <c r="AH23138" s="4" t="str">
        <f>HYPERLINK("#Statut_biogéographique!A"&amp;_xlfn.XMATCH("I",Statut_biogéographique!A:A,2,1),"I")</f>
        <v>I</v>
      </c>
      <c r="AP23138" s="4" t="s">
        <v>376</v>
      </c>
      <c r="AR23138" s="4" t="s">
        <v>377</v>
      </c>
    </row>
    <row r="23139" spans="1:44">
      <c r="A23139" s="4" t="s">
        <v>24364</v>
      </c>
      <c r="B23139" s="4">
        <v>717153</v>
      </c>
      <c r="D23139" s="5" t="s">
        <v>29954</v>
      </c>
      <c r="E23139" s="6" t="str">
        <f>HYPERLINK("https://inpn.mnhn.fr/espece/cd_nom/717153","Cotoneaster uniflorus Bunge, 1830")</f>
        <v>Cotoneaster uniflorus Bunge, 1830</v>
      </c>
      <c r="F23139" s="5" t="s">
        <v>29955</v>
      </c>
      <c r="Q23139" s="7" t="str">
        <f>HYPERLINK("#Liste_rouge!A"&amp;_xlfn.XMATCH("DD",Liste_rouge!A:A,2,1),"DD")</f>
        <v>DD</v>
      </c>
      <c r="V23139" s="7" t="str">
        <f>HYPERLINK("#Liste_rouge!A"&amp;_xlfn.XMATCH("CR",Liste_rouge!A:A,2,1),"CR")</f>
        <v>CR</v>
      </c>
      <c r="W23139" s="4" t="str">
        <f>HYPERLINK("#Critères_liste_rouge!A$1","D")</f>
        <v>D</v>
      </c>
      <c r="X23139" s="5" t="s">
        <v>374</v>
      </c>
      <c r="AB23139" s="4" t="s">
        <v>93</v>
      </c>
      <c r="AH23139" s="4" t="str">
        <f>HYPERLINK("#Statut_biogéographique!A"&amp;_xlfn.XMATCH("P",Statut_biogéographique!A:A,2,1),"P")</f>
        <v>P</v>
      </c>
      <c r="AM23139" s="4" t="s">
        <v>375</v>
      </c>
      <c r="AN23139" s="4" t="s">
        <v>375</v>
      </c>
      <c r="AO23139" s="4" t="s">
        <v>375</v>
      </c>
      <c r="AP23139" s="4" t="s">
        <v>376</v>
      </c>
      <c r="AR23139" s="4" t="s">
        <v>377</v>
      </c>
    </row>
    <row r="23140" spans="1:44" ht="30">
      <c r="A23140" s="4" t="s">
        <v>24364</v>
      </c>
      <c r="B23140" s="4">
        <v>717157</v>
      </c>
      <c r="D23140" s="5" t="s">
        <v>29956</v>
      </c>
      <c r="E23140" s="6" t="str">
        <f>HYPERLINK("https://inpn.mnhn.fr/espece/cd_nom/717157","Crataegus x gillotii (Beck) T.A.Dickinson &amp; E.Y.Y.Lo, 2007")</f>
        <v>Crataegus x gillotii (Beck) T.A.Dickinson &amp; E.Y.Y.Lo, 2007</v>
      </c>
      <c r="F23140" s="5" t="s">
        <v>29957</v>
      </c>
      <c r="T23140" s="7" t="str">
        <f>HYPERLINK("#Liste_rouge!A"&amp;_xlfn.XMATCH("NE",Liste_rouge!A:A,2,1),"NE")</f>
        <v>NE</v>
      </c>
      <c r="AH23140" s="4" t="str">
        <f>HYPERLINK("#Statut_biogéographique!A"&amp;_xlfn.XMATCH("D",Statut_biogéographique!A:A,2,1),"D")</f>
        <v>D</v>
      </c>
      <c r="AP23140" s="4" t="s">
        <v>376</v>
      </c>
      <c r="AR23140" s="4" t="s">
        <v>377</v>
      </c>
    </row>
    <row r="23141" spans="1:44" ht="30">
      <c r="A23141" s="4" t="s">
        <v>24364</v>
      </c>
      <c r="B23141" s="4">
        <v>717169</v>
      </c>
      <c r="D23141" s="5">
        <v>717169</v>
      </c>
      <c r="E23141" s="6" t="str">
        <f>HYPERLINK("https://inpn.mnhn.fr/espece/cd_nom/717169","Epipactis x gevaudanii P.Delforge, 1997")</f>
        <v>Epipactis x gevaudanii P.Delforge, 1997</v>
      </c>
      <c r="F23141" s="5" t="s">
        <v>29958</v>
      </c>
      <c r="G23141" s="4" t="str">
        <f>HYPERLINK("[#Réglementation!A"&amp;_xlfn.XMATCH("CCB",Réglementation!A:A,2,1),"CCB")</f>
        <v>CCB</v>
      </c>
      <c r="AH23141" s="4" t="str">
        <f>HYPERLINK("#Statut_biogéographique!A"&amp;_xlfn.XMATCH("P",Statut_biogéographique!A:A,2,1),"P")</f>
        <v>P</v>
      </c>
      <c r="AP23141" s="4" t="s">
        <v>376</v>
      </c>
      <c r="AR23141" s="4" t="s">
        <v>377</v>
      </c>
    </row>
    <row r="23142" spans="1:44" ht="30">
      <c r="A23142" s="4" t="s">
        <v>24364</v>
      </c>
      <c r="B23142" s="4">
        <v>717179</v>
      </c>
      <c r="D23142" s="5" t="s">
        <v>29959</v>
      </c>
      <c r="E23142" s="6" t="str">
        <f>HYPERLINK("https://inpn.mnhn.fr/espece/cd_nom/717179","Erucastrum supinum (L.) Al-Shehbaz &amp; Warwick, 2003")</f>
        <v>Erucastrum supinum (L.) Al-Shehbaz &amp; Warwick, 2003</v>
      </c>
      <c r="F23142" s="5" t="s">
        <v>29960</v>
      </c>
      <c r="I23142" s="4" t="str">
        <f>HYPERLINK("#Réglementation!A"&amp;_xlfn.XMATCH("IBE1",Réglementation!A:A,2,1),"IBE1")</f>
        <v>IBE1</v>
      </c>
      <c r="K23142" s="4" t="str">
        <f>HYPERLINK("#Réglementation!A"&amp;_xlfn.XMATCH("CDH2",Réglementation!A:A,2,1),"CDH2 - CDH4")</f>
        <v>CDH2 - CDH4</v>
      </c>
      <c r="L23142" s="4" t="str">
        <f>HYPERLINK("#Réglementation!A"&amp;_xlfn.XMATCH("NV1",Réglementation!A:A,2,1),"NV1")</f>
        <v>NV1</v>
      </c>
      <c r="O23142" s="7" t="str">
        <f>HYPERLINK("#Liste_rouge!A"&amp;_xlfn.XMATCH("LC",Liste_rouge!A:A,2,1),"LC")</f>
        <v>LC</v>
      </c>
      <c r="P23142" s="7" t="str">
        <f>HYPERLINK("#Liste_rouge!A"&amp;_xlfn.XMATCH("LC",Liste_rouge!A:A,2,1),"LC")</f>
        <v>LC</v>
      </c>
      <c r="Q23142" s="7" t="str">
        <f>HYPERLINK("#Liste_rouge!A"&amp;_xlfn.XMATCH("NT",Liste_rouge!A:A,2,1),"NT")</f>
        <v>NT</v>
      </c>
      <c r="T23142" s="7" t="str">
        <f>HYPERLINK("#Liste_rouge!A"&amp;_xlfn.XMATCH("RE",Liste_rouge!A:A,2,1),"RE")</f>
        <v>RE</v>
      </c>
      <c r="V23142" s="7" t="str">
        <f>HYPERLINK("#Liste_rouge!A"&amp;_xlfn.XMATCH("RE",Liste_rouge!A:A,2,1),"RE")</f>
        <v>RE</v>
      </c>
      <c r="AE23142" s="4" t="str">
        <f>HYPERLINK("#SCAP!A"&amp;_xlfn.XMATCH("1+",SCAP!A:A,2,1),"1+")</f>
        <v>1+</v>
      </c>
      <c r="AH23142" s="4" t="str">
        <f>HYPERLINK("#Statut_biogéographique!A"&amp;_xlfn.XMATCH("P",Statut_biogéographique!A:A,2,1),"P")</f>
        <v>P</v>
      </c>
      <c r="AM23142" s="4" t="s">
        <v>375</v>
      </c>
      <c r="AN23142" s="4" t="s">
        <v>375</v>
      </c>
      <c r="AO23142" s="4" t="s">
        <v>375</v>
      </c>
      <c r="AP23142" s="4" t="s">
        <v>376</v>
      </c>
      <c r="AR23142" s="4" t="s">
        <v>377</v>
      </c>
    </row>
    <row r="23143" spans="1:44" ht="30">
      <c r="A23143" s="4" t="s">
        <v>24364</v>
      </c>
      <c r="B23143" s="4">
        <v>717180</v>
      </c>
      <c r="D23143" s="5" t="s">
        <v>29961</v>
      </c>
      <c r="E23143" s="6" t="str">
        <f>HYPERLINK("https://inpn.mnhn.fr/espece/cd_nom/717180","Erythranthe guttata (Fisch. ex DC.) G.L.Nesom, 2012")</f>
        <v>Erythranthe guttata (Fisch. ex DC.) G.L.Nesom, 2012</v>
      </c>
      <c r="F23143" s="5" t="s">
        <v>29962</v>
      </c>
      <c r="Q23143" s="7" t="str">
        <f>HYPERLINK("#Liste_rouge!A"&amp;_xlfn.XMATCH("NA",Liste_rouge!A:A,2,1),"NA")</f>
        <v>NA</v>
      </c>
      <c r="T23143" s="7" t="str">
        <f>HYPERLINK("#Liste_rouge!A"&amp;_xlfn.XMATCH("NA",Liste_rouge!A:A,2,1),"NA")</f>
        <v>NA</v>
      </c>
      <c r="AH23143" s="4" t="str">
        <f>HYPERLINK("#Statut_biogéographique!A"&amp;_xlfn.XMATCH("I",Statut_biogéographique!A:A,2,1),"I")</f>
        <v>I</v>
      </c>
      <c r="AM23143" s="4" t="s">
        <v>375</v>
      </c>
      <c r="AN23143" s="4" t="s">
        <v>375</v>
      </c>
      <c r="AO23143" s="4" t="s">
        <v>375</v>
      </c>
      <c r="AP23143" s="4" t="s">
        <v>376</v>
      </c>
      <c r="AR23143" s="4" t="s">
        <v>377</v>
      </c>
    </row>
    <row r="23144" spans="1:44" ht="30">
      <c r="A23144" s="4" t="s">
        <v>24364</v>
      </c>
      <c r="B23144" s="4">
        <v>717182</v>
      </c>
      <c r="D23144" s="5" t="s">
        <v>29963</v>
      </c>
      <c r="E23144" s="6" t="str">
        <f>HYPERLINK("https://inpn.mnhn.fr/espece/cd_nom/717182","Erythranthe moschata (Douglas ex Lindl.) G.L.Nesom, 2012")</f>
        <v>Erythranthe moschata (Douglas ex Lindl.) G.L.Nesom, 2012</v>
      </c>
      <c r="F23144" s="5" t="s">
        <v>29964</v>
      </c>
      <c r="Q23144" s="7" t="str">
        <f>HYPERLINK("#Liste_rouge!A"&amp;_xlfn.XMATCH("NA",Liste_rouge!A:A,2,1),"NA")</f>
        <v>NA</v>
      </c>
      <c r="AH23144" s="4" t="str">
        <f>HYPERLINK("#Statut_biogéographique!A"&amp;_xlfn.XMATCH("I",Statut_biogéographique!A:A,2,1),"I")</f>
        <v>I</v>
      </c>
      <c r="AM23144" s="4" t="s">
        <v>375</v>
      </c>
      <c r="AN23144" s="4" t="s">
        <v>375</v>
      </c>
      <c r="AO23144" s="4" t="s">
        <v>375</v>
      </c>
      <c r="AP23144" s="4" t="s">
        <v>376</v>
      </c>
      <c r="AR23144" s="4" t="s">
        <v>377</v>
      </c>
    </row>
    <row r="23145" spans="1:44" ht="120">
      <c r="A23145" s="4" t="s">
        <v>24364</v>
      </c>
      <c r="B23145" s="4">
        <v>717224</v>
      </c>
      <c r="D23145" s="5" t="s">
        <v>29965</v>
      </c>
      <c r="E23145" s="6" t="str">
        <f>HYPERLINK("https://inpn.mnhn.fr/espece/cd_nom/717224","Helictochloa pratensis (L.) Romero Zarco, 2011")</f>
        <v>Helictochloa pratensis (L.) Romero Zarco, 2011</v>
      </c>
      <c r="F23145" s="5" t="s">
        <v>29966</v>
      </c>
      <c r="Q23145" s="7" t="str">
        <f>HYPERLINK("#Liste_rouge!A"&amp;_xlfn.XMATCH("LC",Liste_rouge!A:A,2,1),"LC")</f>
        <v>LC</v>
      </c>
      <c r="T23145" s="7" t="str">
        <f>HYPERLINK("#Liste_rouge!A"&amp;_xlfn.XMATCH("LC",Liste_rouge!A:A,2,1),"LC")</f>
        <v>LC</v>
      </c>
      <c r="V23145" s="7" t="str">
        <f>HYPERLINK("#Liste_rouge!A"&amp;_xlfn.XMATCH("LC",Liste_rouge!A:A,2,1),"LC")</f>
        <v>LC</v>
      </c>
      <c r="AH23145" s="4" t="str">
        <f>HYPERLINK("#Statut_biogéographique!A"&amp;_xlfn.XMATCH("P",Statut_biogéographique!A:A,2,1),"P")</f>
        <v>P</v>
      </c>
      <c r="AM23145" s="4" t="s">
        <v>375</v>
      </c>
      <c r="AN23145" s="4" t="s">
        <v>375</v>
      </c>
      <c r="AO23145" s="4" t="s">
        <v>375</v>
      </c>
      <c r="AP23145" s="4" t="s">
        <v>376</v>
      </c>
      <c r="AR23145" s="4" t="s">
        <v>377</v>
      </c>
    </row>
    <row r="23146" spans="1:44" ht="30">
      <c r="A23146" s="4" t="s">
        <v>24364</v>
      </c>
      <c r="B23146" s="4">
        <v>717231</v>
      </c>
      <c r="D23146" s="5" t="s">
        <v>29967</v>
      </c>
      <c r="E23146" s="6" t="str">
        <f>HYPERLINK("https://inpn.mnhn.fr/espece/cd_nom/717231","Hieracium callianthum Arv.-Touv., 1880")</f>
        <v>Hieracium callianthum Arv.-Touv., 1880</v>
      </c>
      <c r="F23146" s="5" t="s">
        <v>29968</v>
      </c>
      <c r="Q23146" s="7" t="str">
        <f>HYPERLINK("#Liste_rouge!A"&amp;_xlfn.XMATCH("LC",Liste_rouge!A:A,2,1),"LC")</f>
        <v>LC</v>
      </c>
      <c r="V23146" s="7" t="str">
        <f>HYPERLINK("#Liste_rouge!A"&amp;_xlfn.XMATCH("DD",Liste_rouge!A:A,2,1),"DD")</f>
        <v>DD</v>
      </c>
      <c r="X23146" s="5" t="s">
        <v>374</v>
      </c>
      <c r="AB23146" s="4" t="s">
        <v>93</v>
      </c>
      <c r="AH23146" s="4" t="str">
        <f>HYPERLINK("#Statut_biogéographique!A"&amp;_xlfn.XMATCH("P",Statut_biogéographique!A:A,2,1),"P")</f>
        <v>P</v>
      </c>
      <c r="AM23146" s="4" t="s">
        <v>375</v>
      </c>
      <c r="AN23146" s="4" t="s">
        <v>375</v>
      </c>
      <c r="AO23146" s="4" t="s">
        <v>375</v>
      </c>
      <c r="AP23146" s="4" t="s">
        <v>376</v>
      </c>
      <c r="AR23146" s="4" t="s">
        <v>377</v>
      </c>
    </row>
    <row r="23147" spans="1:44">
      <c r="A23147" s="4" t="s">
        <v>24364</v>
      </c>
      <c r="B23147" s="4">
        <v>717241</v>
      </c>
      <c r="D23147" s="5" t="s">
        <v>29969</v>
      </c>
      <c r="E23147" s="6" t="str">
        <f>HYPERLINK("https://inpn.mnhn.fr/espece/cd_nom/717241","Hieracium godetii Christener ex Godet, 1869")</f>
        <v>Hieracium godetii Christener ex Godet, 1869</v>
      </c>
      <c r="F23147" s="5" t="s">
        <v>29970</v>
      </c>
      <c r="Q23147" s="7" t="str">
        <f>HYPERLINK("#Liste_rouge!A"&amp;_xlfn.XMATCH("LC",Liste_rouge!A:A,2,1),"LC")</f>
        <v>LC</v>
      </c>
      <c r="X23147" s="5" t="s">
        <v>374</v>
      </c>
      <c r="AB23147" s="4" t="s">
        <v>93</v>
      </c>
      <c r="AH23147" s="4" t="str">
        <f>HYPERLINK("#Statut_biogéographique!A"&amp;_xlfn.XMATCH("P",Statut_biogéographique!A:A,2,1),"P")</f>
        <v>P</v>
      </c>
      <c r="AM23147" s="4" t="s">
        <v>375</v>
      </c>
      <c r="AN23147" s="4" t="s">
        <v>375</v>
      </c>
      <c r="AO23147" s="4" t="s">
        <v>375</v>
      </c>
      <c r="AP23147" s="4" t="s">
        <v>376</v>
      </c>
      <c r="AR23147" s="4" t="s">
        <v>377</v>
      </c>
    </row>
    <row r="23148" spans="1:44">
      <c r="A23148" s="4" t="s">
        <v>24364</v>
      </c>
      <c r="B23148" s="4">
        <v>717248</v>
      </c>
      <c r="D23148" s="5" t="s">
        <v>29971</v>
      </c>
      <c r="E23148" s="6" t="str">
        <f>HYPERLINK("https://inpn.mnhn.fr/espece/cd_nom/717248","Hieracium levicaule Jord., 1848")</f>
        <v>Hieracium levicaule Jord., 1848</v>
      </c>
      <c r="F23148" s="5" t="s">
        <v>29972</v>
      </c>
      <c r="Q23148" s="7" t="str">
        <f>HYPERLINK("#Liste_rouge!A"&amp;_xlfn.XMATCH("DD",Liste_rouge!A:A,2,1),"DD")</f>
        <v>DD</v>
      </c>
      <c r="T23148" s="7" t="str">
        <f>HYPERLINK("#Liste_rouge!A"&amp;_xlfn.XMATCH("NE",Liste_rouge!A:A,2,1),"NE")</f>
        <v>NE</v>
      </c>
      <c r="AH23148" s="4" t="str">
        <f>HYPERLINK("#Statut_biogéographique!A"&amp;_xlfn.XMATCH("P",Statut_biogéographique!A:A,2,1),"P")</f>
        <v>P</v>
      </c>
      <c r="AM23148" s="4" t="s">
        <v>375</v>
      </c>
      <c r="AN23148" s="4" t="s">
        <v>375</v>
      </c>
      <c r="AO23148" s="4" t="s">
        <v>375</v>
      </c>
      <c r="AP23148" s="4" t="s">
        <v>376</v>
      </c>
      <c r="AR23148" s="4" t="s">
        <v>377</v>
      </c>
    </row>
    <row r="23149" spans="1:44" ht="30">
      <c r="A23149" s="4" t="s">
        <v>24364</v>
      </c>
      <c r="B23149" s="4">
        <v>717260</v>
      </c>
      <c r="D23149" s="5" t="s">
        <v>29973</v>
      </c>
      <c r="E23149" s="6" t="str">
        <f>HYPERLINK("https://inpn.mnhn.fr/espece/cd_nom/717260","Hieracium schenkii (Griseb.) Schljakov, 1989")</f>
        <v>Hieracium schenkii (Griseb.) Schljakov, 1989</v>
      </c>
      <c r="F23149" s="5" t="s">
        <v>29974</v>
      </c>
      <c r="Q23149" s="7" t="str">
        <f>HYPERLINK("#Liste_rouge!A"&amp;_xlfn.XMATCH("LC",Liste_rouge!A:A,2,1),"LC")</f>
        <v>LC</v>
      </c>
      <c r="V23149" s="7" t="str">
        <f>HYPERLINK("#Liste_rouge!A"&amp;_xlfn.XMATCH("LC",Liste_rouge!A:A,2,1),"LC")</f>
        <v>LC</v>
      </c>
      <c r="X23149" s="5" t="s">
        <v>374</v>
      </c>
      <c r="AB23149" s="4" t="s">
        <v>93</v>
      </c>
      <c r="AH23149" s="4" t="str">
        <f>HYPERLINK("#Statut_biogéographique!A"&amp;_xlfn.XMATCH("P",Statut_biogéographique!A:A,2,1),"P")</f>
        <v>P</v>
      </c>
      <c r="AM23149" s="4" t="s">
        <v>375</v>
      </c>
      <c r="AN23149" s="4" t="s">
        <v>375</v>
      </c>
      <c r="AO23149" s="4" t="s">
        <v>375</v>
      </c>
      <c r="AP23149" s="4" t="s">
        <v>376</v>
      </c>
      <c r="AR23149" s="4" t="s">
        <v>377</v>
      </c>
    </row>
    <row r="23150" spans="1:44" ht="60">
      <c r="A23150" s="4" t="s">
        <v>24364</v>
      </c>
      <c r="B23150" s="4">
        <v>717294</v>
      </c>
      <c r="D23150" s="5" t="s">
        <v>29975</v>
      </c>
      <c r="E23150" s="6" t="str">
        <f>HYPERLINK("https://inpn.mnhn.fr/espece/cd_nom/717294","Lipandra polysperma (L.) S.Fuentes, Uotila &amp; Borsch, 2012")</f>
        <v>Lipandra polysperma (L.) S.Fuentes, Uotila &amp; Borsch, 2012</v>
      </c>
      <c r="F23150" s="5" t="s">
        <v>29976</v>
      </c>
      <c r="Q23150" s="7" t="str">
        <f>HYPERLINK("#Liste_rouge!A"&amp;_xlfn.XMATCH("LC",Liste_rouge!A:A,2,1),"LC")</f>
        <v>LC</v>
      </c>
      <c r="T23150" s="7" t="str">
        <f>HYPERLINK("#Liste_rouge!A"&amp;_xlfn.XMATCH("LC",Liste_rouge!A:A,2,1),"LC")</f>
        <v>LC</v>
      </c>
      <c r="V23150" s="7" t="str">
        <f>HYPERLINK("#Liste_rouge!A"&amp;_xlfn.XMATCH("LC",Liste_rouge!A:A,2,1),"LC")</f>
        <v>LC</v>
      </c>
      <c r="AH23150" s="4" t="str">
        <f>HYPERLINK("#Statut_biogéographique!A"&amp;_xlfn.XMATCH("P",Statut_biogéographique!A:A,2,1),"P")</f>
        <v>P</v>
      </c>
      <c r="AM23150" s="4" t="s">
        <v>375</v>
      </c>
      <c r="AN23150" s="4" t="s">
        <v>375</v>
      </c>
      <c r="AO23150" s="4" t="s">
        <v>375</v>
      </c>
      <c r="AP23150" s="4" t="s">
        <v>376</v>
      </c>
      <c r="AR23150" s="4" t="s">
        <v>377</v>
      </c>
    </row>
    <row r="23151" spans="1:44" ht="30">
      <c r="A23151" s="4" t="s">
        <v>24364</v>
      </c>
      <c r="B23151" s="4">
        <v>717301</v>
      </c>
      <c r="D23151" s="5" t="s">
        <v>29977</v>
      </c>
      <c r="E23151" s="6" t="str">
        <f>HYPERLINK("https://inpn.mnhn.fr/espece/cd_nom/717301","Lysimachia x intermedia (Giraudias) B.Bock, 2012")</f>
        <v>Lysimachia x intermedia (Giraudias) B.Bock, 2012</v>
      </c>
      <c r="F23151" s="5" t="s">
        <v>29978</v>
      </c>
      <c r="T23151" s="7" t="str">
        <f>HYPERLINK("#Liste_rouge!A"&amp;_xlfn.XMATCH("NE",Liste_rouge!A:A,2,1),"NE")</f>
        <v>NE</v>
      </c>
      <c r="AH23151" s="4" t="str">
        <f>HYPERLINK("#Statut_biogéographique!A"&amp;_xlfn.XMATCH("P",Statut_biogéographique!A:A,2,1),"P")</f>
        <v>P</v>
      </c>
      <c r="AP23151" s="4" t="s">
        <v>376</v>
      </c>
      <c r="AR23151" s="4" t="s">
        <v>377</v>
      </c>
    </row>
    <row r="23152" spans="1:44" ht="45">
      <c r="A23152" s="4" t="s">
        <v>24364</v>
      </c>
      <c r="B23152" s="4">
        <v>717304</v>
      </c>
      <c r="D23152" s="5" t="s">
        <v>29979</v>
      </c>
      <c r="E23152" s="6" t="str">
        <f>HYPERLINK("https://inpn.mnhn.fr/espece/cd_nom/717304","Malva trimestris (L.) Salisb., 1796")</f>
        <v>Malva trimestris (L.) Salisb., 1796</v>
      </c>
      <c r="F23152" s="5" t="s">
        <v>29980</v>
      </c>
      <c r="Q23152" s="7" t="str">
        <f>HYPERLINK("#Liste_rouge!A"&amp;_xlfn.XMATCH("NA",Liste_rouge!A:A,2,1),"NA")</f>
        <v>NA</v>
      </c>
      <c r="T23152" s="7" t="str">
        <f>HYPERLINK("#Liste_rouge!A"&amp;_xlfn.XMATCH("NA",Liste_rouge!A:A,2,1),"NA")</f>
        <v>NA</v>
      </c>
      <c r="AH23152" s="4" t="str">
        <f>HYPERLINK("#Statut_biogéographique!A"&amp;_xlfn.XMATCH("P",Statut_biogéographique!A:A,2,1),"P")</f>
        <v>P</v>
      </c>
      <c r="AP23152" s="4" t="s">
        <v>376</v>
      </c>
      <c r="AR23152" s="4" t="s">
        <v>377</v>
      </c>
    </row>
    <row r="23153" spans="1:44" ht="60">
      <c r="A23153" s="4" t="s">
        <v>24364</v>
      </c>
      <c r="B23153" s="4">
        <v>717310</v>
      </c>
      <c r="D23153" s="5" t="s">
        <v>29981</v>
      </c>
      <c r="E23153" s="6" t="str">
        <f>HYPERLINK("https://inpn.mnhn.fr/espece/cd_nom/717310","Micranthes stellaris (L.) Galasso, Banfi &amp; Soldano, 2005")</f>
        <v>Micranthes stellaris (L.) Galasso, Banfi &amp; Soldano, 2005</v>
      </c>
      <c r="F23153" s="5" t="s">
        <v>29982</v>
      </c>
      <c r="Q23153" s="7" t="str">
        <f>HYPERLINK("#Liste_rouge!A"&amp;_xlfn.XMATCH("LC",Liste_rouge!A:A,2,1),"LC")</f>
        <v>LC</v>
      </c>
      <c r="V23153" s="7" t="str">
        <f>HYPERLINK("#Liste_rouge!A"&amp;_xlfn.XMATCH("VU",Liste_rouge!A:A,2,1),"VU")</f>
        <v>VU</v>
      </c>
      <c r="W23153" s="4" t="str">
        <f>HYPERLINK("#Critères_liste_rouge!A$1","D2")</f>
        <v>D2</v>
      </c>
      <c r="X23153" s="5" t="s">
        <v>374</v>
      </c>
      <c r="AB23153" s="4" t="s">
        <v>93</v>
      </c>
      <c r="AH23153" s="4" t="str">
        <f>HYPERLINK("#Statut_biogéographique!A"&amp;_xlfn.XMATCH("P",Statut_biogéographique!A:A,2,1),"P")</f>
        <v>P</v>
      </c>
      <c r="AM23153" s="4" t="s">
        <v>375</v>
      </c>
      <c r="AN23153" s="4" t="s">
        <v>375</v>
      </c>
      <c r="AO23153" s="4" t="s">
        <v>375</v>
      </c>
      <c r="AP23153" s="4" t="s">
        <v>376</v>
      </c>
      <c r="AR23153" s="4" t="s">
        <v>377</v>
      </c>
    </row>
    <row r="23154" spans="1:44" ht="30">
      <c r="A23154" s="4" t="s">
        <v>24364</v>
      </c>
      <c r="B23154" s="4">
        <v>717315</v>
      </c>
      <c r="D23154" s="5">
        <v>717315</v>
      </c>
      <c r="E23154" s="6" t="str">
        <f>HYPERLINK("https://inpn.mnhn.fr/espece/cd_nom/717315","Miscanthus x giganteus J.M.Greef &amp; Deuter ex Hodk. &amp; Renvoize, 2001")</f>
        <v>Miscanthus x giganteus J.M.Greef &amp; Deuter ex Hodk. &amp; Renvoize, 2001</v>
      </c>
      <c r="F23154" s="5" t="s">
        <v>29983</v>
      </c>
      <c r="AH23154" s="4" t="str">
        <f>HYPERLINK("#Statut_biogéographique!A"&amp;_xlfn.XMATCH("M",Statut_biogéographique!A:A,2,1),"M")</f>
        <v>M</v>
      </c>
      <c r="AP23154" s="4" t="s">
        <v>376</v>
      </c>
      <c r="AR23154" s="4" t="s">
        <v>377</v>
      </c>
    </row>
    <row r="23155" spans="1:44" ht="45">
      <c r="A23155" s="4" t="s">
        <v>24364</v>
      </c>
      <c r="B23155" s="4">
        <v>717359</v>
      </c>
      <c r="D23155" s="5" t="s">
        <v>29984</v>
      </c>
      <c r="E23155" s="6" t="str">
        <f>HYPERLINK("https://inpn.mnhn.fr/espece/cd_nom/717359","Oxybasis glauca (L.) S.Fuentes, Uotila &amp; Borsch, 2012")</f>
        <v>Oxybasis glauca (L.) S.Fuentes, Uotila &amp; Borsch, 2012</v>
      </c>
      <c r="F23155" s="5" t="s">
        <v>29985</v>
      </c>
      <c r="Q23155" s="7" t="str">
        <f>HYPERLINK("#Liste_rouge!A"&amp;_xlfn.XMATCH("LC",Liste_rouge!A:A,2,1),"LC")</f>
        <v>LC</v>
      </c>
      <c r="T23155" s="7" t="str">
        <f>HYPERLINK("#Liste_rouge!A"&amp;_xlfn.XMATCH("LC",Liste_rouge!A:A,2,1),"LC")</f>
        <v>LC</v>
      </c>
      <c r="V23155" s="7" t="str">
        <f>HYPERLINK("#Liste_rouge!A"&amp;_xlfn.XMATCH("NT",Liste_rouge!A:A,2,1),"NT")</f>
        <v>NT</v>
      </c>
      <c r="W23155" s="4" t="str">
        <f>HYPERLINK("#Critères_liste_rouge!A$1","pr. A3c B2b(iii)")</f>
        <v>pr. A3c B2b(iii)</v>
      </c>
      <c r="AB23155" s="4" t="s">
        <v>24495</v>
      </c>
      <c r="AH23155" s="4" t="str">
        <f>HYPERLINK("#Statut_biogéographique!A"&amp;_xlfn.XMATCH("P",Statut_biogéographique!A:A,2,1),"P")</f>
        <v>P</v>
      </c>
      <c r="AM23155" s="4" t="s">
        <v>375</v>
      </c>
      <c r="AN23155" s="4" t="s">
        <v>375</v>
      </c>
      <c r="AO23155" s="4" t="s">
        <v>375</v>
      </c>
      <c r="AP23155" s="4" t="s">
        <v>376</v>
      </c>
      <c r="AR23155" s="4" t="s">
        <v>377</v>
      </c>
    </row>
    <row r="23156" spans="1:44" ht="45">
      <c r="A23156" s="4" t="s">
        <v>24364</v>
      </c>
      <c r="B23156" s="4">
        <v>717361</v>
      </c>
      <c r="D23156" s="5" t="s">
        <v>29986</v>
      </c>
      <c r="E23156" s="6" t="str">
        <f>HYPERLINK("https://inpn.mnhn.fr/espece/cd_nom/717361","Oxybasis rubra (L.) S.Fuentes, Uotila &amp; Borsch, 2012")</f>
        <v>Oxybasis rubra (L.) S.Fuentes, Uotila &amp; Borsch, 2012</v>
      </c>
      <c r="F23156" s="5" t="s">
        <v>29987</v>
      </c>
      <c r="Q23156" s="7" t="str">
        <f>HYPERLINK("#Liste_rouge!A"&amp;_xlfn.XMATCH("LC",Liste_rouge!A:A,2,1),"LC")</f>
        <v>LC</v>
      </c>
      <c r="T23156" s="7" t="str">
        <f>HYPERLINK("#Liste_rouge!A"&amp;_xlfn.XMATCH("NT",Liste_rouge!A:A,2,1),"NT")</f>
        <v>NT</v>
      </c>
      <c r="U23156" s="4" t="str">
        <f>HYPERLINK("#Critères_liste_rouge!A$1","pr. D2")</f>
        <v>pr. D2</v>
      </c>
      <c r="V23156" s="7" t="str">
        <f>HYPERLINK("#Liste_rouge!A"&amp;_xlfn.XMATCH("LC",Liste_rouge!A:A,2,1),"LC")</f>
        <v>LC</v>
      </c>
      <c r="AB23156" s="4" t="s">
        <v>24733</v>
      </c>
      <c r="AH23156" s="4" t="str">
        <f>HYPERLINK("#Statut_biogéographique!A"&amp;_xlfn.XMATCH("P",Statut_biogéographique!A:A,2,1),"P")</f>
        <v>P</v>
      </c>
      <c r="AM23156" s="4" t="s">
        <v>375</v>
      </c>
      <c r="AN23156" s="4" t="s">
        <v>375</v>
      </c>
      <c r="AO23156" s="4" t="s">
        <v>375</v>
      </c>
      <c r="AP23156" s="4" t="s">
        <v>376</v>
      </c>
      <c r="AR23156" s="4" t="s">
        <v>377</v>
      </c>
    </row>
    <row r="23157" spans="1:44" ht="45">
      <c r="A23157" s="4" t="s">
        <v>24364</v>
      </c>
      <c r="B23157" s="4">
        <v>717362</v>
      </c>
      <c r="D23157" s="5" t="s">
        <v>29988</v>
      </c>
      <c r="E23157" s="6" t="str">
        <f>HYPERLINK("https://inpn.mnhn.fr/espece/cd_nom/717362","Oxybasis urbica (L.) S.Fuentes, Uotila &amp; Borsch, 2012")</f>
        <v>Oxybasis urbica (L.) S.Fuentes, Uotila &amp; Borsch, 2012</v>
      </c>
      <c r="F23157" s="5" t="s">
        <v>29989</v>
      </c>
      <c r="Q23157" s="7" t="str">
        <f>HYPERLINK("#Liste_rouge!A"&amp;_xlfn.XMATCH("DD",Liste_rouge!A:A,2,1),"DD")</f>
        <v>DD</v>
      </c>
      <c r="V23157" s="7" t="str">
        <f>HYPERLINK("#Liste_rouge!A"&amp;_xlfn.XMATCH("RE",Liste_rouge!A:A,2,1),"RE")</f>
        <v>RE</v>
      </c>
      <c r="AH23157" s="4" t="str">
        <f>HYPERLINK("#Statut_biogéographique!A"&amp;_xlfn.XMATCH("P",Statut_biogéographique!A:A,2,1),"P")</f>
        <v>P</v>
      </c>
      <c r="AM23157" s="4" t="s">
        <v>375</v>
      </c>
      <c r="AN23157" s="4" t="s">
        <v>375</v>
      </c>
      <c r="AO23157" s="4" t="s">
        <v>375</v>
      </c>
      <c r="AP23157" s="4" t="s">
        <v>376</v>
      </c>
      <c r="AR23157" s="4" t="s">
        <v>377</v>
      </c>
    </row>
    <row r="23158" spans="1:44">
      <c r="A23158" s="4" t="s">
        <v>24364</v>
      </c>
      <c r="B23158" s="4">
        <v>717384</v>
      </c>
      <c r="D23158" s="5" t="s">
        <v>29990</v>
      </c>
      <c r="E23158" s="6" t="str">
        <f>HYPERLINK("https://inpn.mnhn.fr/espece/cd_nom/717384","Pilosella periphanoides (Zahn) Soják, 1971")</f>
        <v>Pilosella periphanoides (Zahn) Soják, 1971</v>
      </c>
      <c r="F23158" s="5" t="s">
        <v>29991</v>
      </c>
      <c r="T23158" s="7" t="str">
        <f>HYPERLINK("#Liste_rouge!A"&amp;_xlfn.XMATCH("DD",Liste_rouge!A:A,2,1),"DD")</f>
        <v>DD</v>
      </c>
      <c r="AH23158" s="4" t="str">
        <f>HYPERLINK("#Statut_biogéographique!A"&amp;_xlfn.XMATCH("D",Statut_biogéographique!A:A,2,1),"D")</f>
        <v>D</v>
      </c>
      <c r="AM23158" s="4" t="s">
        <v>375</v>
      </c>
      <c r="AN23158" s="4" t="s">
        <v>375</v>
      </c>
      <c r="AO23158" s="4" t="s">
        <v>375</v>
      </c>
      <c r="AP23158" s="4" t="s">
        <v>376</v>
      </c>
      <c r="AR23158" s="4" t="s">
        <v>377</v>
      </c>
    </row>
    <row r="23159" spans="1:44" ht="30">
      <c r="A23159" s="4" t="s">
        <v>24364</v>
      </c>
      <c r="B23159" s="4">
        <v>717396</v>
      </c>
      <c r="D23159" s="5" t="s">
        <v>29992</v>
      </c>
      <c r="E23159" s="6" t="str">
        <f>HYPERLINK("https://inpn.mnhn.fr/espece/cd_nom/717396","Pilosella x hybrida F.W.Schultz &amp; Sch.Bip., 1862")</f>
        <v>Pilosella x hybrida F.W.Schultz &amp; Sch.Bip., 1862</v>
      </c>
      <c r="F23159" s="5" t="s">
        <v>29993</v>
      </c>
      <c r="AH23159" s="4" t="str">
        <f>HYPERLINK("#Statut_biogéographique!A"&amp;_xlfn.XMATCH("P",Statut_biogéographique!A:A,2,1),"P")</f>
        <v>P</v>
      </c>
      <c r="AP23159" s="4" t="s">
        <v>376</v>
      </c>
      <c r="AR23159" s="4" t="s">
        <v>377</v>
      </c>
    </row>
    <row r="23160" spans="1:44" ht="30">
      <c r="A23160" s="4" t="s">
        <v>24364</v>
      </c>
      <c r="B23160" s="4">
        <v>717432</v>
      </c>
      <c r="D23160" s="5" t="s">
        <v>29994</v>
      </c>
      <c r="E23160" s="6" t="str">
        <f>HYPERLINK("https://inpn.mnhn.fr/espece/cd_nom/717432","Portulaca granulatostellulata (Poelln.) Ricceri &amp; Arrigoni, 2000")</f>
        <v>Portulaca granulatostellulata (Poelln.) Ricceri &amp; Arrigoni, 2000</v>
      </c>
      <c r="F23160" s="5" t="s">
        <v>29995</v>
      </c>
      <c r="Q23160" s="7" t="str">
        <f>HYPERLINK("#Liste_rouge!A"&amp;_xlfn.XMATCH("DD",Liste_rouge!A:A,2,1),"DD")</f>
        <v>DD</v>
      </c>
      <c r="AH23160" s="4" t="str">
        <f>HYPERLINK("#Statut_biogéographique!A"&amp;_xlfn.XMATCH("P",Statut_biogéographique!A:A,2,1),"P")</f>
        <v>P</v>
      </c>
      <c r="AP23160" s="4" t="s">
        <v>376</v>
      </c>
      <c r="AR23160" s="4" t="s">
        <v>377</v>
      </c>
    </row>
    <row r="23161" spans="1:44" ht="30">
      <c r="A23161" s="4" t="s">
        <v>24364</v>
      </c>
      <c r="B23161" s="4">
        <v>717436</v>
      </c>
      <c r="D23161" s="5" t="s">
        <v>29996</v>
      </c>
      <c r="E23161" s="6" t="str">
        <f>HYPERLINK("https://inpn.mnhn.fr/espece/cd_nom/717436","Portulaca trituberculata Danin, Domina &amp; Raimondo, 2008")</f>
        <v>Portulaca trituberculata Danin, Domina &amp; Raimondo, 2008</v>
      </c>
      <c r="F23161" s="5" t="s">
        <v>29997</v>
      </c>
      <c r="Q23161" s="7" t="str">
        <f>HYPERLINK("#Liste_rouge!A"&amp;_xlfn.XMATCH("LC",Liste_rouge!A:A,2,1),"LC")</f>
        <v>LC</v>
      </c>
      <c r="V23161" s="7" t="str">
        <f>HYPERLINK("#Liste_rouge!A"&amp;_xlfn.XMATCH("LC",Liste_rouge!A:A,2,1),"LC")</f>
        <v>LC</v>
      </c>
      <c r="AH23161" s="4" t="str">
        <f>HYPERLINK("#Statut_biogéographique!A"&amp;_xlfn.XMATCH("P",Statut_biogéographique!A:A,2,1),"P")</f>
        <v>P</v>
      </c>
      <c r="AM23161" s="4" t="s">
        <v>375</v>
      </c>
      <c r="AN23161" s="4" t="s">
        <v>375</v>
      </c>
      <c r="AO23161" s="4" t="s">
        <v>375</v>
      </c>
      <c r="AP23161" s="4" t="s">
        <v>376</v>
      </c>
      <c r="AR23161" s="4" t="s">
        <v>377</v>
      </c>
    </row>
    <row r="23162" spans="1:44" ht="45">
      <c r="A23162" s="4" t="s">
        <v>24364</v>
      </c>
      <c r="B23162" s="4">
        <v>717438</v>
      </c>
      <c r="D23162" s="5" t="s">
        <v>29998</v>
      </c>
      <c r="E23162" s="6" t="str">
        <f>HYPERLINK("https://inpn.mnhn.fr/espece/cd_nom/717438","Pseudoturritis turrita (L.) Al-Shehbaz, 2005")</f>
        <v>Pseudoturritis turrita (L.) Al-Shehbaz, 2005</v>
      </c>
      <c r="F23162" s="5" t="s">
        <v>29999</v>
      </c>
      <c r="Q23162" s="7" t="str">
        <f>HYPERLINK("#Liste_rouge!A"&amp;_xlfn.XMATCH("LC",Liste_rouge!A:A,2,1),"LC")</f>
        <v>LC</v>
      </c>
      <c r="T23162" s="7" t="str">
        <f>HYPERLINK("#Liste_rouge!A"&amp;_xlfn.XMATCH("VU",Liste_rouge!A:A,2,1),"VU")</f>
        <v>VU</v>
      </c>
      <c r="U23162" s="4" t="str">
        <f>HYPERLINK("#Critères_liste_rouge!A$1","C2a(i) D2")</f>
        <v>C2a(i) D2</v>
      </c>
      <c r="V23162" s="7" t="str">
        <f>HYPERLINK("#Liste_rouge!A"&amp;_xlfn.XMATCH("LC",Liste_rouge!A:A,2,1),"LC")</f>
        <v>LC</v>
      </c>
      <c r="AB23162" s="4" t="s">
        <v>24984</v>
      </c>
      <c r="AH23162" s="4" t="str">
        <f>HYPERLINK("#Statut_biogéographique!A"&amp;_xlfn.XMATCH("P",Statut_biogéographique!A:A,2,1),"P")</f>
        <v>P</v>
      </c>
      <c r="AM23162" s="4" t="s">
        <v>375</v>
      </c>
      <c r="AN23162" s="4" t="s">
        <v>375</v>
      </c>
      <c r="AO23162" s="4" t="s">
        <v>375</v>
      </c>
      <c r="AP23162" s="4" t="s">
        <v>376</v>
      </c>
      <c r="AR23162" s="4" t="s">
        <v>377</v>
      </c>
    </row>
    <row r="23163" spans="1:44" ht="30">
      <c r="A23163" s="4" t="s">
        <v>24364</v>
      </c>
      <c r="B23163" s="4">
        <v>717451</v>
      </c>
      <c r="D23163" s="5" t="s">
        <v>30000</v>
      </c>
      <c r="E23163" s="6" t="str">
        <f>HYPERLINK("https://inpn.mnhn.fr/espece/cd_nom/717451","Rosa cinnamomea L., 1753 [nom. et typ. cons.]")</f>
        <v>Rosa cinnamomea L., 1753 [nom. et typ. cons.]</v>
      </c>
      <c r="F23163" s="5" t="s">
        <v>30001</v>
      </c>
      <c r="Q23163" s="7" t="str">
        <f>HYPERLINK("#Liste_rouge!A"&amp;_xlfn.XMATCH("DD",Liste_rouge!A:A,2,1),"DD")</f>
        <v>DD</v>
      </c>
      <c r="T23163" s="7" t="str">
        <f>HYPERLINK("#Liste_rouge!A"&amp;_xlfn.XMATCH("NA",Liste_rouge!A:A,2,1),"NA")</f>
        <v>NA</v>
      </c>
      <c r="AH23163" s="4" t="str">
        <f>HYPERLINK("#Statut_biogéographique!A"&amp;_xlfn.XMATCH("I",Statut_biogéographique!A:A,2,1),"I")</f>
        <v>I</v>
      </c>
      <c r="AM23163" s="4" t="s">
        <v>375</v>
      </c>
      <c r="AN23163" s="4" t="s">
        <v>375</v>
      </c>
      <c r="AO23163" s="4" t="s">
        <v>375</v>
      </c>
      <c r="AP23163" s="4" t="s">
        <v>376</v>
      </c>
      <c r="AR23163" s="4" t="s">
        <v>377</v>
      </c>
    </row>
    <row r="23164" spans="1:44" ht="30">
      <c r="A23164" s="4" t="s">
        <v>24364</v>
      </c>
      <c r="B23164" s="4">
        <v>717453</v>
      </c>
      <c r="D23164" s="5" t="s">
        <v>30002</v>
      </c>
      <c r="E23164" s="6" t="str">
        <f>HYPERLINK("https://inpn.mnhn.fr/espece/cd_nom/717453","Rosa pseudoscabriuscula (R.Keller) Henker &amp; G.Schulze, 1993")</f>
        <v>Rosa pseudoscabriuscula (R.Keller) Henker &amp; G.Schulze, 1993</v>
      </c>
      <c r="V23164" s="7" t="str">
        <f>HYPERLINK("#Liste_rouge!A"&amp;_xlfn.XMATCH("LC",Liste_rouge!A:A,2,1),"LC")</f>
        <v>LC</v>
      </c>
      <c r="AH23164" s="4" t="str">
        <f>HYPERLINK("#Statut_biogéographique!A"&amp;_xlfn.XMATCH("P",Statut_biogéographique!A:A,2,1),"P")</f>
        <v>P</v>
      </c>
      <c r="AM23164" s="4" t="s">
        <v>375</v>
      </c>
      <c r="AN23164" s="4" t="s">
        <v>375</v>
      </c>
      <c r="AO23164" s="4" t="s">
        <v>375</v>
      </c>
      <c r="AP23164" s="4" t="s">
        <v>376</v>
      </c>
      <c r="AR23164" s="4" t="s">
        <v>377</v>
      </c>
    </row>
    <row r="23165" spans="1:44">
      <c r="A23165" s="4" t="s">
        <v>24364</v>
      </c>
      <c r="B23165" s="4">
        <v>717457</v>
      </c>
      <c r="D23165" s="5">
        <v>717457</v>
      </c>
      <c r="E23165" s="6" t="str">
        <f>HYPERLINK("https://inpn.mnhn.fr/espece/cd_nom/717457","Rubus ambulans Matzk., 2004")</f>
        <v>Rubus ambulans Matzk., 2004</v>
      </c>
      <c r="V23165" s="7" t="str">
        <f>HYPERLINK("#Liste_rouge!A"&amp;_xlfn.XMATCH("DD",Liste_rouge!A:A,2,1),"DD")</f>
        <v>DD</v>
      </c>
      <c r="AH23165" s="4" t="str">
        <f>HYPERLINK("#Statut_biogéographique!A"&amp;_xlfn.XMATCH("P",Statut_biogéographique!A:A,2,1),"P")</f>
        <v>P</v>
      </c>
      <c r="AM23165" s="4" t="s">
        <v>375</v>
      </c>
      <c r="AN23165" s="4" t="s">
        <v>375</v>
      </c>
      <c r="AO23165" s="4" t="s">
        <v>375</v>
      </c>
      <c r="AP23165" s="4" t="s">
        <v>376</v>
      </c>
      <c r="AR23165" s="4" t="s">
        <v>377</v>
      </c>
    </row>
    <row r="23166" spans="1:44">
      <c r="A23166" s="4" t="s">
        <v>24364</v>
      </c>
      <c r="B23166" s="4">
        <v>717463</v>
      </c>
      <c r="D23166" s="5">
        <v>717463</v>
      </c>
      <c r="E23166" s="6" t="str">
        <f>HYPERLINK("https://inpn.mnhn.fr/espece/cd_nom/717463","Rubus canaliculatus P.J.Müll., 1858")</f>
        <v>Rubus canaliculatus P.J.Müll., 1858</v>
      </c>
      <c r="F23166" s="5" t="s">
        <v>30003</v>
      </c>
      <c r="V23166" s="7" t="str">
        <f>HYPERLINK("#Liste_rouge!A"&amp;_xlfn.XMATCH("DD",Liste_rouge!A:A,2,1),"DD")</f>
        <v>DD</v>
      </c>
      <c r="AH23166" s="4" t="str">
        <f>HYPERLINK("#Statut_biogéographique!A"&amp;_xlfn.XMATCH("P",Statut_biogéographique!A:A,2,1),"P")</f>
        <v>P</v>
      </c>
      <c r="AM23166" s="4" t="s">
        <v>375</v>
      </c>
      <c r="AN23166" s="4" t="s">
        <v>375</v>
      </c>
      <c r="AO23166" s="4" t="s">
        <v>375</v>
      </c>
      <c r="AP23166" s="4" t="s">
        <v>376</v>
      </c>
      <c r="AR23166" s="4" t="s">
        <v>377</v>
      </c>
    </row>
    <row r="23167" spans="1:44">
      <c r="A23167" s="4" t="s">
        <v>24364</v>
      </c>
      <c r="B23167" s="4">
        <v>717465</v>
      </c>
      <c r="D23167" s="5">
        <v>717465</v>
      </c>
      <c r="E23167" s="6" t="str">
        <f>HYPERLINK("https://inpn.mnhn.fr/espece/cd_nom/717465","Rubus confinis P.J.Müll., 1859")</f>
        <v>Rubus confinis P.J.Müll., 1859</v>
      </c>
      <c r="F23167" s="5" t="s">
        <v>30004</v>
      </c>
      <c r="AH23167" s="4" t="str">
        <f>HYPERLINK("#Statut_biogéographique!A"&amp;_xlfn.XMATCH("P",Statut_biogéographique!A:A,2,1),"P")</f>
        <v>P</v>
      </c>
      <c r="AM23167" s="4" t="s">
        <v>375</v>
      </c>
      <c r="AN23167" s="4" t="s">
        <v>375</v>
      </c>
      <c r="AO23167" s="4" t="s">
        <v>375</v>
      </c>
      <c r="AP23167" s="4" t="s">
        <v>376</v>
      </c>
      <c r="AR23167" s="4" t="s">
        <v>377</v>
      </c>
    </row>
    <row r="23168" spans="1:44">
      <c r="A23168" s="4" t="s">
        <v>24364</v>
      </c>
      <c r="B23168" s="4">
        <v>717466</v>
      </c>
      <c r="D23168" s="5">
        <v>717466</v>
      </c>
      <c r="E23168" s="6" t="str">
        <f>HYPERLINK("https://inpn.mnhn.fr/espece/cd_nom/717466","Rubus cuspidatus P.J.Müll., 1858")</f>
        <v>Rubus cuspidatus P.J.Müll., 1858</v>
      </c>
      <c r="F23168" s="5" t="s">
        <v>30005</v>
      </c>
      <c r="V23168" s="7" t="str">
        <f>HYPERLINK("#Liste_rouge!A"&amp;_xlfn.XMATCH("DD",Liste_rouge!A:A,2,1),"DD")</f>
        <v>DD</v>
      </c>
      <c r="AH23168" s="4" t="str">
        <f>HYPERLINK("#Statut_biogéographique!A"&amp;_xlfn.XMATCH("P",Statut_biogéographique!A:A,2,1),"P")</f>
        <v>P</v>
      </c>
      <c r="AM23168" s="4" t="s">
        <v>375</v>
      </c>
      <c r="AN23168" s="4" t="s">
        <v>375</v>
      </c>
      <c r="AO23168" s="4" t="s">
        <v>375</v>
      </c>
      <c r="AP23168" s="4" t="s">
        <v>376</v>
      </c>
      <c r="AR23168" s="4" t="s">
        <v>377</v>
      </c>
    </row>
    <row r="23169" spans="1:44">
      <c r="A23169" s="4" t="s">
        <v>24364</v>
      </c>
      <c r="B23169" s="4">
        <v>717467</v>
      </c>
      <c r="D23169" s="5" t="s">
        <v>30006</v>
      </c>
      <c r="E23169" s="6" t="str">
        <f>HYPERLINK("https://inpn.mnhn.fr/espece/cd_nom/717467","Rubus cuspidiferus P.J.Müll. &amp; Lefèvre, 1859")</f>
        <v>Rubus cuspidiferus P.J.Müll. &amp; Lefèvre, 1859</v>
      </c>
      <c r="AH23169" s="4" t="str">
        <f>HYPERLINK("#Statut_biogéographique!A"&amp;_xlfn.XMATCH("P",Statut_biogéographique!A:A,2,1),"P")</f>
        <v>P</v>
      </c>
      <c r="AP23169" s="4" t="s">
        <v>376</v>
      </c>
      <c r="AR23169" s="4" t="s">
        <v>377</v>
      </c>
    </row>
    <row r="23170" spans="1:44">
      <c r="A23170" s="4" t="s">
        <v>24364</v>
      </c>
      <c r="B23170" s="4">
        <v>717468</v>
      </c>
      <c r="D23170" s="5">
        <v>717468</v>
      </c>
      <c r="E23170" s="6" t="str">
        <f>HYPERLINK("https://inpn.mnhn.fr/espece/cd_nom/717468","Rubus delectus P.J.Müll. &amp; Wirtg., 1860")</f>
        <v>Rubus delectus P.J.Müll. &amp; Wirtg., 1860</v>
      </c>
      <c r="AH23170" s="4" t="str">
        <f>HYPERLINK("#Statut_biogéographique!A"&amp;_xlfn.XMATCH("P",Statut_biogéographique!A:A,2,1),"P")</f>
        <v>P</v>
      </c>
      <c r="AM23170" s="4" t="s">
        <v>375</v>
      </c>
      <c r="AN23170" s="4" t="s">
        <v>375</v>
      </c>
      <c r="AO23170" s="4" t="s">
        <v>375</v>
      </c>
      <c r="AP23170" s="4" t="s">
        <v>376</v>
      </c>
      <c r="AR23170" s="4" t="s">
        <v>377</v>
      </c>
    </row>
    <row r="23171" spans="1:44">
      <c r="A23171" s="4" t="s">
        <v>24364</v>
      </c>
      <c r="B23171" s="4">
        <v>717469</v>
      </c>
      <c r="D23171" s="5">
        <v>717469</v>
      </c>
      <c r="E23171" s="6" t="str">
        <f>HYPERLINK("https://inpn.mnhn.fr/espece/cd_nom/717469","Rubus devitatus Matzk., 2006")</f>
        <v>Rubus devitatus Matzk., 2006</v>
      </c>
      <c r="V23171" s="7" t="str">
        <f>HYPERLINK("#Liste_rouge!A"&amp;_xlfn.XMATCH("DD",Liste_rouge!A:A,2,1),"DD")</f>
        <v>DD</v>
      </c>
      <c r="AH23171" s="4" t="str">
        <f>HYPERLINK("#Statut_biogéographique!A"&amp;_xlfn.XMATCH("P",Statut_biogéographique!A:A,2,1),"P")</f>
        <v>P</v>
      </c>
      <c r="AM23171" s="4" t="s">
        <v>375</v>
      </c>
      <c r="AN23171" s="4" t="s">
        <v>375</v>
      </c>
      <c r="AO23171" s="4" t="s">
        <v>375</v>
      </c>
      <c r="AP23171" s="4" t="s">
        <v>376</v>
      </c>
      <c r="AR23171" s="4" t="s">
        <v>377</v>
      </c>
    </row>
    <row r="23172" spans="1:44">
      <c r="A23172" s="4" t="s">
        <v>24364</v>
      </c>
      <c r="B23172" s="4">
        <v>717470</v>
      </c>
      <c r="D23172" s="5" t="s">
        <v>30007</v>
      </c>
      <c r="E23172" s="6" t="str">
        <f>HYPERLINK("https://inpn.mnhn.fr/espece/cd_nom/717470","Rubus distractus P.J.Müll. ex Wirtg., 1860")</f>
        <v>Rubus distractus P.J.Müll. ex Wirtg., 1860</v>
      </c>
      <c r="V23172" s="7" t="str">
        <f>HYPERLINK("#Liste_rouge!A"&amp;_xlfn.XMATCH("DD",Liste_rouge!A:A,2,1),"DD")</f>
        <v>DD</v>
      </c>
      <c r="AH23172" s="4" t="str">
        <f>HYPERLINK("#Statut_biogéographique!A"&amp;_xlfn.XMATCH("P",Statut_biogéographique!A:A,2,1),"P")</f>
        <v>P</v>
      </c>
      <c r="AM23172" s="4" t="s">
        <v>375</v>
      </c>
      <c r="AN23172" s="4" t="s">
        <v>375</v>
      </c>
      <c r="AO23172" s="4" t="s">
        <v>375</v>
      </c>
      <c r="AP23172" s="4" t="s">
        <v>376</v>
      </c>
      <c r="AR23172" s="4" t="s">
        <v>377</v>
      </c>
    </row>
    <row r="23173" spans="1:44">
      <c r="A23173" s="4" t="s">
        <v>24364</v>
      </c>
      <c r="B23173" s="4">
        <v>717473</v>
      </c>
      <c r="D23173" s="5">
        <v>717473</v>
      </c>
      <c r="E23173" s="6" t="str">
        <f>HYPERLINK("https://inpn.mnhn.fr/espece/cd_nom/717473","Rubus fasciculatus P.J.Müll., 1858")</f>
        <v>Rubus fasciculatus P.J.Müll., 1858</v>
      </c>
      <c r="F23173" s="5" t="s">
        <v>30008</v>
      </c>
      <c r="V23173" s="7" t="str">
        <f>HYPERLINK("#Liste_rouge!A"&amp;_xlfn.XMATCH("DD",Liste_rouge!A:A,2,1),"DD")</f>
        <v>DD</v>
      </c>
      <c r="AH23173" s="4" t="str">
        <f>HYPERLINK("#Statut_biogéographique!A"&amp;_xlfn.XMATCH("P",Statut_biogéographique!A:A,2,1),"P")</f>
        <v>P</v>
      </c>
      <c r="AM23173" s="4" t="s">
        <v>375</v>
      </c>
      <c r="AN23173" s="4" t="s">
        <v>375</v>
      </c>
      <c r="AO23173" s="4" t="s">
        <v>375</v>
      </c>
      <c r="AP23173" s="4" t="s">
        <v>376</v>
      </c>
      <c r="AR23173" s="4" t="s">
        <v>377</v>
      </c>
    </row>
    <row r="23174" spans="1:44">
      <c r="A23174" s="4" t="s">
        <v>24364</v>
      </c>
      <c r="B23174" s="4">
        <v>717483</v>
      </c>
      <c r="D23174" s="5" t="s">
        <v>30009</v>
      </c>
      <c r="E23174" s="6" t="str">
        <f>HYPERLINK("https://inpn.mnhn.fr/espece/cd_nom/717483","Rubus ignoratus H.E.Weber, 1986")</f>
        <v>Rubus ignoratus H.E.Weber, 1986</v>
      </c>
      <c r="AH23174" s="4" t="str">
        <f>HYPERLINK("#Statut_biogéographique!A"&amp;_xlfn.XMATCH("P",Statut_biogéographique!A:A,2,1),"P")</f>
        <v>P</v>
      </c>
      <c r="AP23174" s="4" t="s">
        <v>376</v>
      </c>
      <c r="AR23174" s="4" t="s">
        <v>377</v>
      </c>
    </row>
    <row r="23175" spans="1:44" ht="30">
      <c r="A23175" s="4" t="s">
        <v>24364</v>
      </c>
      <c r="B23175" s="4">
        <v>717484</v>
      </c>
      <c r="D23175" s="5">
        <v>717484</v>
      </c>
      <c r="E23175" s="6" t="str">
        <f>HYPERLINK("https://inpn.mnhn.fr/espece/cd_nom/717484","Rubus indutus Boul. &amp; Vendr. ex Lefèvre, 1877")</f>
        <v>Rubus indutus Boul. &amp; Vendr. ex Lefèvre, 1877</v>
      </c>
      <c r="V23175" s="7" t="str">
        <f>HYPERLINK("#Liste_rouge!A"&amp;_xlfn.XMATCH("DD",Liste_rouge!A:A,2,1),"DD")</f>
        <v>DD</v>
      </c>
      <c r="AH23175" s="4" t="str">
        <f>HYPERLINK("#Statut_biogéographique!A"&amp;_xlfn.XMATCH("P",Statut_biogéographique!A:A,2,1),"P")</f>
        <v>P</v>
      </c>
      <c r="AM23175" s="4" t="s">
        <v>375</v>
      </c>
      <c r="AN23175" s="4" t="s">
        <v>375</v>
      </c>
      <c r="AO23175" s="4" t="s">
        <v>375</v>
      </c>
      <c r="AP23175" s="4" t="s">
        <v>376</v>
      </c>
      <c r="AR23175" s="4" t="s">
        <v>377</v>
      </c>
    </row>
    <row r="23176" spans="1:44">
      <c r="A23176" s="4" t="s">
        <v>24364</v>
      </c>
      <c r="B23176" s="4">
        <v>717490</v>
      </c>
      <c r="D23176" s="5">
        <v>717490</v>
      </c>
      <c r="E23176" s="6" t="str">
        <f>HYPERLINK("https://inpn.mnhn.fr/espece/cd_nom/717490","Rubus loehrii Wirtg., 1856")</f>
        <v>Rubus loehrii Wirtg., 1856</v>
      </c>
      <c r="F23176" s="5" t="s">
        <v>30010</v>
      </c>
      <c r="AH23176" s="4" t="str">
        <f>HYPERLINK("#Statut_biogéographique!A"&amp;_xlfn.XMATCH("P",Statut_biogéographique!A:A,2,1),"P")</f>
        <v>P</v>
      </c>
      <c r="AM23176" s="4" t="s">
        <v>375</v>
      </c>
      <c r="AN23176" s="4" t="s">
        <v>375</v>
      </c>
      <c r="AO23176" s="4" t="s">
        <v>375</v>
      </c>
      <c r="AP23176" s="4" t="s">
        <v>376</v>
      </c>
      <c r="AR23176" s="4" t="s">
        <v>377</v>
      </c>
    </row>
    <row r="23177" spans="1:44" ht="30">
      <c r="A23177" s="4" t="s">
        <v>24364</v>
      </c>
      <c r="B23177" s="4">
        <v>717492</v>
      </c>
      <c r="D23177" s="5">
        <v>717492</v>
      </c>
      <c r="E23177" s="6" t="str">
        <f>HYPERLINK("https://inpn.mnhn.fr/espece/cd_nom/717492","Rubus morvennicus Gillot ex Rouy &amp; E.G.Camus, 1900")</f>
        <v>Rubus morvennicus Gillot ex Rouy &amp; E.G.Camus, 1900</v>
      </c>
      <c r="F23177" s="5" t="s">
        <v>30011</v>
      </c>
      <c r="AH23177" s="4" t="str">
        <f>HYPERLINK("#Statut_biogéographique!A"&amp;_xlfn.XMATCH("P",Statut_biogéographique!A:A,2,1),"P")</f>
        <v>P</v>
      </c>
      <c r="AP23177" s="4" t="s">
        <v>376</v>
      </c>
      <c r="AR23177" s="4" t="s">
        <v>377</v>
      </c>
    </row>
    <row r="23178" spans="1:44">
      <c r="A23178" s="4" t="s">
        <v>24364</v>
      </c>
      <c r="B23178" s="4">
        <v>717493</v>
      </c>
      <c r="D23178" s="5">
        <v>717493</v>
      </c>
      <c r="E23178" s="6" t="str">
        <f>HYPERLINK("https://inpn.mnhn.fr/espece/cd_nom/717493","Rubus mougeotii Billot ex F.W.Schultz, 1848")</f>
        <v>Rubus mougeotii Billot ex F.W.Schultz, 1848</v>
      </c>
      <c r="F23178" s="5" t="s">
        <v>30012</v>
      </c>
      <c r="V23178" s="7" t="str">
        <f>HYPERLINK("#Liste_rouge!A"&amp;_xlfn.XMATCH("DD",Liste_rouge!A:A,2,1),"DD")</f>
        <v>DD</v>
      </c>
      <c r="AH23178" s="4" t="str">
        <f>HYPERLINK("#Statut_biogéographique!A"&amp;_xlfn.XMATCH("P",Statut_biogéographique!A:A,2,1),"P")</f>
        <v>P</v>
      </c>
      <c r="AM23178" s="4" t="s">
        <v>375</v>
      </c>
      <c r="AN23178" s="4" t="s">
        <v>375</v>
      </c>
      <c r="AO23178" s="4" t="s">
        <v>375</v>
      </c>
      <c r="AP23178" s="4" t="s">
        <v>376</v>
      </c>
      <c r="AR23178" s="4" t="s">
        <v>377</v>
      </c>
    </row>
    <row r="23179" spans="1:44">
      <c r="A23179" s="4" t="s">
        <v>24364</v>
      </c>
      <c r="B23179" s="4">
        <v>717496</v>
      </c>
      <c r="D23179" s="5" t="s">
        <v>30013</v>
      </c>
      <c r="E23179" s="6" t="str">
        <f>HYPERLINK("https://inpn.mnhn.fr/espece/cd_nom/717496","Rubus nemophilus Ripart ex Genev., 1869")</f>
        <v>Rubus nemophilus Ripart ex Genev., 1869</v>
      </c>
      <c r="V23179" s="7" t="str">
        <f>HYPERLINK("#Liste_rouge!A"&amp;_xlfn.XMATCH("DD",Liste_rouge!A:A,2,1),"DD")</f>
        <v>DD</v>
      </c>
      <c r="AH23179" s="4" t="str">
        <f>HYPERLINK("#Statut_biogéographique!A"&amp;_xlfn.XMATCH("P",Statut_biogéographique!A:A,2,1),"P")</f>
        <v>P</v>
      </c>
      <c r="AM23179" s="4" t="s">
        <v>375</v>
      </c>
      <c r="AN23179" s="4" t="s">
        <v>375</v>
      </c>
      <c r="AO23179" s="4" t="s">
        <v>375</v>
      </c>
      <c r="AP23179" s="4" t="s">
        <v>376</v>
      </c>
      <c r="AR23179" s="4" t="s">
        <v>377</v>
      </c>
    </row>
    <row r="23180" spans="1:44">
      <c r="A23180" s="4" t="s">
        <v>24364</v>
      </c>
      <c r="B23180" s="4">
        <v>717499</v>
      </c>
      <c r="D23180" s="5" t="s">
        <v>30014</v>
      </c>
      <c r="E23180" s="6" t="str">
        <f>HYPERLINK("https://inpn.mnhn.fr/espece/cd_nom/717499","Rubus orthostachys G.Braun, 1881")</f>
        <v>Rubus orthostachys G.Braun, 1881</v>
      </c>
      <c r="AH23180" s="4" t="str">
        <f>HYPERLINK("#Statut_biogéographique!A"&amp;_xlfn.XMATCH("P",Statut_biogéographique!A:A,2,1),"P")</f>
        <v>P</v>
      </c>
      <c r="AM23180" s="4" t="s">
        <v>375</v>
      </c>
      <c r="AN23180" s="4" t="s">
        <v>375</v>
      </c>
      <c r="AO23180" s="4" t="s">
        <v>375</v>
      </c>
      <c r="AP23180" s="4" t="s">
        <v>376</v>
      </c>
      <c r="AR23180" s="4" t="s">
        <v>377</v>
      </c>
    </row>
    <row r="23181" spans="1:44">
      <c r="A23181" s="4" t="s">
        <v>24364</v>
      </c>
      <c r="B23181" s="4">
        <v>717502</v>
      </c>
      <c r="D23181" s="5">
        <v>717502</v>
      </c>
      <c r="E23181" s="6" t="str">
        <f>HYPERLINK("https://inpn.mnhn.fr/espece/cd_nom/717502","Rubus pericrispatus Holub &amp; Trávn., 2005")</f>
        <v>Rubus pericrispatus Holub &amp; Trávn., 2005</v>
      </c>
      <c r="O23181" s="7" t="str">
        <f>HYPERLINK("#Liste_rouge!A"&amp;_xlfn.XMATCH("LC",Liste_rouge!A:A,2,1),"LC")</f>
        <v>LC</v>
      </c>
      <c r="V23181" s="7" t="str">
        <f>HYPERLINK("#Liste_rouge!A"&amp;_xlfn.XMATCH("DD",Liste_rouge!A:A,2,1),"DD")</f>
        <v>DD</v>
      </c>
      <c r="AH23181" s="4" t="str">
        <f>HYPERLINK("#Statut_biogéographique!A"&amp;_xlfn.XMATCH("P",Statut_biogéographique!A:A,2,1),"P")</f>
        <v>P</v>
      </c>
      <c r="AM23181" s="4" t="s">
        <v>375</v>
      </c>
      <c r="AN23181" s="4" t="s">
        <v>375</v>
      </c>
      <c r="AO23181" s="4" t="s">
        <v>375</v>
      </c>
      <c r="AP23181" s="4" t="s">
        <v>376</v>
      </c>
      <c r="AR23181" s="4" t="s">
        <v>377</v>
      </c>
    </row>
    <row r="23182" spans="1:44">
      <c r="A23182" s="4" t="s">
        <v>24364</v>
      </c>
      <c r="B23182" s="4">
        <v>717506</v>
      </c>
      <c r="D23182" s="5" t="s">
        <v>30015</v>
      </c>
      <c r="E23182" s="6" t="str">
        <f>HYPERLINK("https://inpn.mnhn.fr/espece/cd_nom/717506","Rubus rotundifoliatus Sudre, 1913")</f>
        <v>Rubus rotundifoliatus Sudre, 1913</v>
      </c>
      <c r="F23182" s="5" t="s">
        <v>30016</v>
      </c>
      <c r="AH23182" s="4" t="str">
        <f>HYPERLINK("#Statut_biogéographique!A"&amp;_xlfn.XMATCH("P",Statut_biogéographique!A:A,2,1),"P")</f>
        <v>P</v>
      </c>
      <c r="AP23182" s="4" t="s">
        <v>376</v>
      </c>
      <c r="AR23182" s="4" t="s">
        <v>377</v>
      </c>
    </row>
    <row r="23183" spans="1:44">
      <c r="A23183" s="4" t="s">
        <v>24364</v>
      </c>
      <c r="B23183" s="4">
        <v>717508</v>
      </c>
      <c r="D23183" s="5" t="s">
        <v>30017</v>
      </c>
      <c r="E23183" s="6" t="str">
        <f>HYPERLINK("https://inpn.mnhn.fr/espece/cd_nom/717508","Rubus scabrosus P.J.Müll., 1858")</f>
        <v>Rubus scabrosus P.J.Müll., 1858</v>
      </c>
      <c r="V23183" s="7" t="str">
        <f>HYPERLINK("#Liste_rouge!A"&amp;_xlfn.XMATCH("DD",Liste_rouge!A:A,2,1),"DD")</f>
        <v>DD</v>
      </c>
      <c r="AH23183" s="4" t="str">
        <f>HYPERLINK("#Statut_biogéographique!A"&amp;_xlfn.XMATCH("P",Statut_biogéographique!A:A,2,1),"P")</f>
        <v>P</v>
      </c>
      <c r="AM23183" s="4" t="s">
        <v>375</v>
      </c>
      <c r="AN23183" s="4" t="s">
        <v>375</v>
      </c>
      <c r="AO23183" s="4" t="s">
        <v>375</v>
      </c>
      <c r="AP23183" s="4" t="s">
        <v>376</v>
      </c>
      <c r="AR23183" s="4" t="s">
        <v>377</v>
      </c>
    </row>
    <row r="23184" spans="1:44" ht="30">
      <c r="A23184" s="4" t="s">
        <v>24364</v>
      </c>
      <c r="B23184" s="4">
        <v>717511</v>
      </c>
      <c r="D23184" s="5" t="s">
        <v>30018</v>
      </c>
      <c r="E23184" s="6" t="str">
        <f>HYPERLINK("https://inpn.mnhn.fr/espece/cd_nom/717511","Rubus spina-curva Boul. &amp; Gillot ex Genev., 1880")</f>
        <v>Rubus spina-curva Boul. &amp; Gillot ex Genev., 1880</v>
      </c>
      <c r="AH23184" s="4" t="str">
        <f>HYPERLINK("#Statut_biogéographique!A"&amp;_xlfn.XMATCH("P",Statut_biogéographique!A:A,2,1),"P")</f>
        <v>P</v>
      </c>
      <c r="AP23184" s="4" t="s">
        <v>376</v>
      </c>
      <c r="AR23184" s="4" t="s">
        <v>377</v>
      </c>
    </row>
    <row r="23185" spans="1:44">
      <c r="A23185" s="4" t="s">
        <v>24364</v>
      </c>
      <c r="B23185" s="4">
        <v>717518</v>
      </c>
      <c r="D23185" s="5">
        <v>717518</v>
      </c>
      <c r="E23185" s="6" t="str">
        <f>HYPERLINK("https://inpn.mnhn.fr/espece/cd_nom/717518","Rubus tuberculatus Bab., 1860")</f>
        <v>Rubus tuberculatus Bab., 1860</v>
      </c>
      <c r="F23185" s="5" t="s">
        <v>30019</v>
      </c>
      <c r="AH23185" s="4" t="str">
        <f>HYPERLINK("#Statut_biogéographique!A"&amp;_xlfn.XMATCH("P",Statut_biogéographique!A:A,2,1),"P")</f>
        <v>P</v>
      </c>
      <c r="AM23185" s="4" t="s">
        <v>375</v>
      </c>
      <c r="AN23185" s="4" t="s">
        <v>375</v>
      </c>
      <c r="AO23185" s="4" t="s">
        <v>375</v>
      </c>
      <c r="AP23185" s="4" t="s">
        <v>376</v>
      </c>
      <c r="AR23185" s="4" t="s">
        <v>377</v>
      </c>
    </row>
    <row r="23186" spans="1:44" ht="150">
      <c r="A23186" s="4" t="s">
        <v>24364</v>
      </c>
      <c r="B23186" s="4">
        <v>717533</v>
      </c>
      <c r="D23186" s="5" t="s">
        <v>30020</v>
      </c>
      <c r="E23186" s="6" t="str">
        <f>HYPERLINK("https://inpn.mnhn.fr/espece/cd_nom/717533","Schedonorus arundinaceus (Schreb.) Dumort., 1824 [nom. cons.]")</f>
        <v>Schedonorus arundinaceus (Schreb.) Dumort., 1824 [nom. cons.]</v>
      </c>
      <c r="F23186" s="5" t="s">
        <v>30021</v>
      </c>
      <c r="Q23186" s="7" t="str">
        <f>HYPERLINK("#Liste_rouge!A"&amp;_xlfn.XMATCH("LC",Liste_rouge!A:A,2,1),"LC")</f>
        <v>LC</v>
      </c>
      <c r="T23186" s="7" t="str">
        <f>HYPERLINK("#Liste_rouge!A"&amp;_xlfn.XMATCH("LC",Liste_rouge!A:A,2,1),"LC")</f>
        <v>LC</v>
      </c>
      <c r="V23186" s="7" t="str">
        <f>HYPERLINK("#Liste_rouge!A"&amp;_xlfn.XMATCH("LC",Liste_rouge!A:A,2,1),"LC")</f>
        <v>LC</v>
      </c>
      <c r="AH23186" s="4" t="str">
        <f>HYPERLINK("#Statut_biogéographique!A"&amp;_xlfn.XMATCH("P",Statut_biogéographique!A:A,2,1),"P")</f>
        <v>P</v>
      </c>
      <c r="AM23186" s="4" t="s">
        <v>375</v>
      </c>
      <c r="AN23186" s="4" t="s">
        <v>375</v>
      </c>
      <c r="AO23186" s="4" t="s">
        <v>375</v>
      </c>
      <c r="AP23186" s="4" t="s">
        <v>376</v>
      </c>
      <c r="AR23186" s="4" t="s">
        <v>377</v>
      </c>
    </row>
    <row r="23187" spans="1:44" ht="30">
      <c r="A23187" s="4" t="s">
        <v>24364</v>
      </c>
      <c r="B23187" s="4">
        <v>717572</v>
      </c>
      <c r="D23187" s="5" t="s">
        <v>30022</v>
      </c>
      <c r="E23187" s="6" t="str">
        <f>HYPERLINK("https://inpn.mnhn.fr/espece/cd_nom/717572","Stuckenia filiformis (Pers.) Börner, 1912")</f>
        <v>Stuckenia filiformis (Pers.) Börner, 1912</v>
      </c>
      <c r="F23187" s="5" t="s">
        <v>30023</v>
      </c>
      <c r="M23187" s="4" t="str">
        <f>HYPERLINK("#Réglementation!A"&amp;_xlfn.XMATCH("RV43",Réglementation!A:A,2,1),"RV43")</f>
        <v>RV43</v>
      </c>
      <c r="O23187" s="7" t="str">
        <f>HYPERLINK("#Liste_rouge!A"&amp;_xlfn.XMATCH("LC",Liste_rouge!A:A,2,1),"LC")</f>
        <v>LC</v>
      </c>
      <c r="P23187" s="7" t="str">
        <f>HYPERLINK("#Liste_rouge!A"&amp;_xlfn.XMATCH("LC",Liste_rouge!A:A,2,1),"LC")</f>
        <v>LC</v>
      </c>
      <c r="Q23187" s="7" t="str">
        <f>HYPERLINK("#Liste_rouge!A"&amp;_xlfn.XMATCH("NT",Liste_rouge!A:A,2,1),"NT")</f>
        <v>NT</v>
      </c>
      <c r="V23187" s="7" t="str">
        <f>HYPERLINK("#Liste_rouge!A"&amp;_xlfn.XMATCH("CR",Liste_rouge!A:A,2,1),"CR")</f>
        <v>CR</v>
      </c>
      <c r="W23187" s="4" t="str">
        <f>HYPERLINK("#Critères_liste_rouge!A$1","B2ab(iii)")</f>
        <v>B2ab(iii)</v>
      </c>
      <c r="X23187" s="5" t="s">
        <v>374</v>
      </c>
      <c r="AB23187" s="4" t="s">
        <v>93</v>
      </c>
      <c r="AH23187" s="4" t="str">
        <f>HYPERLINK("#Statut_biogéographique!A"&amp;_xlfn.XMATCH("P",Statut_biogéographique!A:A,2,1),"P")</f>
        <v>P</v>
      </c>
      <c r="AM23187" s="4" t="s">
        <v>375</v>
      </c>
      <c r="AN23187" s="4" t="s">
        <v>375</v>
      </c>
      <c r="AO23187" s="4" t="s">
        <v>375</v>
      </c>
      <c r="AP23187" s="4" t="s">
        <v>376</v>
      </c>
      <c r="AR23187" s="4" t="s">
        <v>377</v>
      </c>
    </row>
    <row r="23188" spans="1:44" ht="90">
      <c r="A23188" s="4" t="s">
        <v>24364</v>
      </c>
      <c r="B23188" s="4">
        <v>717574</v>
      </c>
      <c r="D23188" s="5" t="s">
        <v>30024</v>
      </c>
      <c r="E23188" s="6" t="str">
        <f>HYPERLINK("https://inpn.mnhn.fr/espece/cd_nom/717574","Stuckenia pectinata (L.) Börner, 1912")</f>
        <v>Stuckenia pectinata (L.) Börner, 1912</v>
      </c>
      <c r="F23188" s="5" t="s">
        <v>30025</v>
      </c>
      <c r="O23188" s="7" t="str">
        <f>HYPERLINK("#Liste_rouge!A"&amp;_xlfn.XMATCH("LC",Liste_rouge!A:A,2,1),"LC")</f>
        <v>LC</v>
      </c>
      <c r="P23188" s="7" t="str">
        <f>HYPERLINK("#Liste_rouge!A"&amp;_xlfn.XMATCH("LC",Liste_rouge!A:A,2,1),"LC")</f>
        <v>LC</v>
      </c>
      <c r="Q23188" s="7" t="str">
        <f>HYPERLINK("#Liste_rouge!A"&amp;_xlfn.XMATCH("LC",Liste_rouge!A:A,2,1),"LC")</f>
        <v>LC</v>
      </c>
      <c r="T23188" s="7" t="str">
        <f>HYPERLINK("#Liste_rouge!A"&amp;_xlfn.XMATCH("LC",Liste_rouge!A:A,2,1),"LC")</f>
        <v>LC</v>
      </c>
      <c r="V23188" s="7" t="str">
        <f>HYPERLINK("#Liste_rouge!A"&amp;_xlfn.XMATCH("LC",Liste_rouge!A:A,2,1),"LC")</f>
        <v>LC</v>
      </c>
      <c r="AB23188" s="4" t="s">
        <v>24536</v>
      </c>
      <c r="AH23188" s="4" t="str">
        <f>HYPERLINK("#Statut_biogéographique!A"&amp;_xlfn.XMATCH("P",Statut_biogéographique!A:A,2,1),"P")</f>
        <v>P</v>
      </c>
      <c r="AM23188" s="4" t="s">
        <v>375</v>
      </c>
      <c r="AN23188" s="4" t="s">
        <v>375</v>
      </c>
      <c r="AO23188" s="4" t="s">
        <v>375</v>
      </c>
      <c r="AP23188" s="4" t="s">
        <v>376</v>
      </c>
      <c r="AR23188" s="4" t="s">
        <v>377</v>
      </c>
    </row>
    <row r="23189" spans="1:44">
      <c r="A23189" s="4" t="s">
        <v>24364</v>
      </c>
      <c r="B23189" s="4">
        <v>717575</v>
      </c>
      <c r="D23189" s="5">
        <v>717575</v>
      </c>
      <c r="E23189" s="6" t="str">
        <f>HYPERLINK("https://inpn.mnhn.fr/espece/cd_nom/717575","Symphoricarpos x chenaultii Rehder, 1921")</f>
        <v>Symphoricarpos x chenaultii Rehder, 1921</v>
      </c>
      <c r="F23189" s="5" t="s">
        <v>30026</v>
      </c>
      <c r="AH23189" s="4" t="str">
        <f>HYPERLINK("#Statut_biogéographique!A"&amp;_xlfn.XMATCH("M",Statut_biogéographique!A:A,2,1),"M")</f>
        <v>M</v>
      </c>
      <c r="AP23189" s="4" t="s">
        <v>376</v>
      </c>
      <c r="AR23189" s="4" t="s">
        <v>377</v>
      </c>
    </row>
    <row r="23190" spans="1:44" ht="30">
      <c r="A23190" s="4" t="s">
        <v>24364</v>
      </c>
      <c r="B23190" s="4">
        <v>717577</v>
      </c>
      <c r="D23190" s="5" t="s">
        <v>30027</v>
      </c>
      <c r="E23190" s="6" t="str">
        <f>HYPERLINK("https://inpn.mnhn.fr/espece/cd_nom/717577","Symphyotrichum pilosum (Willd.) G.L.Nesom, 1995")</f>
        <v>Symphyotrichum pilosum (Willd.) G.L.Nesom, 1995</v>
      </c>
      <c r="F23190" s="5" t="s">
        <v>30028</v>
      </c>
      <c r="Q23190" s="7" t="str">
        <f>HYPERLINK("#Liste_rouge!A"&amp;_xlfn.XMATCH("NA",Liste_rouge!A:A,2,1),"NA")</f>
        <v>NA</v>
      </c>
      <c r="AH23190" s="4" t="str">
        <f>HYPERLINK("#Statut_biogéographique!A"&amp;_xlfn.XMATCH("I",Statut_biogéographique!A:A,2,1),"I")</f>
        <v>I</v>
      </c>
      <c r="AP23190" s="4" t="s">
        <v>376</v>
      </c>
      <c r="AR23190" s="4" t="s">
        <v>377</v>
      </c>
    </row>
    <row r="23191" spans="1:44">
      <c r="A23191" s="4" t="s">
        <v>24364</v>
      </c>
      <c r="B23191" s="4">
        <v>717603</v>
      </c>
      <c r="D23191" s="5">
        <v>717603</v>
      </c>
      <c r="E23191" s="6" t="str">
        <f>HYPERLINK("https://inpn.mnhn.fr/espece/cd_nom/717603","Taraxacum ferale Kirschner &amp; Štěpánek, 1998")</f>
        <v>Taraxacum ferale Kirschner &amp; Štěpánek, 1998</v>
      </c>
      <c r="Q23191" s="7" t="str">
        <f>HYPERLINK("#Liste_rouge!A"&amp;_xlfn.XMATCH("CR",Liste_rouge!A:A,2,1),"CR")</f>
        <v>CR</v>
      </c>
      <c r="V23191" s="7" t="str">
        <f>HYPERLINK("#Liste_rouge!A"&amp;_xlfn.XMATCH("CR",Liste_rouge!A:A,2,1),"CR")</f>
        <v>CR</v>
      </c>
      <c r="W23191" s="4" t="str">
        <f>HYPERLINK("#Critères_liste_rouge!A$1","D")</f>
        <v>D</v>
      </c>
      <c r="X23191" s="5" t="s">
        <v>374</v>
      </c>
      <c r="AB23191" s="4" t="s">
        <v>93</v>
      </c>
      <c r="AH23191" s="4" t="str">
        <f>HYPERLINK("#Statut_biogéographique!A"&amp;_xlfn.XMATCH("E",Statut_biogéographique!A:A,2,1),"E")</f>
        <v>E</v>
      </c>
      <c r="AM23191" s="4" t="s">
        <v>375</v>
      </c>
      <c r="AN23191" s="4" t="s">
        <v>375</v>
      </c>
      <c r="AO23191" s="4" t="s">
        <v>375</v>
      </c>
      <c r="AP23191" s="4" t="s">
        <v>376</v>
      </c>
      <c r="AR23191" s="4" t="s">
        <v>377</v>
      </c>
    </row>
    <row r="23192" spans="1:44" ht="30">
      <c r="A23192" s="4" t="s">
        <v>24364</v>
      </c>
      <c r="B23192" s="4">
        <v>717620</v>
      </c>
      <c r="D23192" s="5">
        <v>717620</v>
      </c>
      <c r="E23192" s="6" t="str">
        <f>HYPERLINK("https://inpn.mnhn.fr/espece/cd_nom/717620","Taraxacum madidum Kirschner &amp; Štěpánek, 1994")</f>
        <v>Taraxacum madidum Kirschner &amp; Štěpánek, 1994</v>
      </c>
      <c r="Q23192" s="7" t="str">
        <f>HYPERLINK("#Liste_rouge!A"&amp;_xlfn.XMATCH("NT",Liste_rouge!A:A,2,1),"NT")</f>
        <v>NT</v>
      </c>
      <c r="V23192" s="7" t="str">
        <f>HYPERLINK("#Liste_rouge!A"&amp;_xlfn.XMATCH("DD",Liste_rouge!A:A,2,1),"DD")</f>
        <v>DD</v>
      </c>
      <c r="X23192" s="5" t="s">
        <v>374</v>
      </c>
      <c r="AB23192" s="4" t="s">
        <v>93</v>
      </c>
      <c r="AH23192" s="4" t="str">
        <f>HYPERLINK("#Statut_biogéographique!A"&amp;_xlfn.XMATCH("P",Statut_biogéographique!A:A,2,1),"P")</f>
        <v>P</v>
      </c>
      <c r="AM23192" s="4" t="s">
        <v>375</v>
      </c>
      <c r="AN23192" s="4" t="s">
        <v>375</v>
      </c>
      <c r="AO23192" s="4" t="s">
        <v>375</v>
      </c>
      <c r="AP23192" s="4" t="s">
        <v>376</v>
      </c>
      <c r="AR23192" s="4" t="s">
        <v>377</v>
      </c>
    </row>
    <row r="23193" spans="1:44" ht="30">
      <c r="A23193" s="4" t="s">
        <v>24364</v>
      </c>
      <c r="B23193" s="4">
        <v>717624</v>
      </c>
      <c r="D23193" s="5" t="s">
        <v>30029</v>
      </c>
      <c r="E23193" s="6" t="str">
        <f>HYPERLINK("https://inpn.mnhn.fr/espece/cd_nom/717624","Taraxacum morulum G.E.Haglund &amp; Soest, 1969")</f>
        <v>Taraxacum morulum G.E.Haglund &amp; Soest, 1969</v>
      </c>
      <c r="F23193" s="5" t="s">
        <v>27621</v>
      </c>
      <c r="Q23193" s="7" t="str">
        <f>HYPERLINK("#Liste_rouge!A"&amp;_xlfn.XMATCH("LC",Liste_rouge!A:A,2,1),"LC")</f>
        <v>LC</v>
      </c>
      <c r="AH23193" s="4" t="str">
        <f>HYPERLINK("#Statut_biogéographique!A"&amp;_xlfn.XMATCH("P",Statut_biogéographique!A:A,2,1),"P")</f>
        <v>P</v>
      </c>
      <c r="AM23193" s="4" t="s">
        <v>375</v>
      </c>
      <c r="AN23193" s="4" t="s">
        <v>375</v>
      </c>
      <c r="AO23193" s="4" t="s">
        <v>375</v>
      </c>
      <c r="AP23193" s="4" t="s">
        <v>376</v>
      </c>
      <c r="AR23193" s="4" t="s">
        <v>377</v>
      </c>
    </row>
    <row r="23194" spans="1:44" ht="30">
      <c r="A23194" s="4" t="s">
        <v>24364</v>
      </c>
      <c r="B23194" s="4">
        <v>717629</v>
      </c>
      <c r="D23194" s="5">
        <v>717629</v>
      </c>
      <c r="E23194" s="6" t="str">
        <f>HYPERLINK("https://inpn.mnhn.fr/espece/cd_nom/717629","Taraxacum odiosum Kirschner &amp; Štěpánek, 1998")</f>
        <v>Taraxacum odiosum Kirschner &amp; Štěpánek, 1998</v>
      </c>
      <c r="Q23194" s="7" t="str">
        <f>HYPERLINK("#Liste_rouge!A"&amp;_xlfn.XMATCH("CR",Liste_rouge!A:A,2,1),"CR")</f>
        <v>CR</v>
      </c>
      <c r="V23194" s="7" t="str">
        <f>HYPERLINK("#Liste_rouge!A"&amp;_xlfn.XMATCH("CR",Liste_rouge!A:A,2,1),"CR")</f>
        <v>CR</v>
      </c>
      <c r="W23194" s="4" t="str">
        <f>HYPERLINK("#Critères_liste_rouge!A$1","D")</f>
        <v>D</v>
      </c>
      <c r="X23194" s="5" t="s">
        <v>374</v>
      </c>
      <c r="AB23194" s="4" t="s">
        <v>93</v>
      </c>
      <c r="AH23194" s="4" t="str">
        <f>HYPERLINK("#Statut_biogéographique!A"&amp;_xlfn.XMATCH("E",Statut_biogéographique!A:A,2,1),"E")</f>
        <v>E</v>
      </c>
      <c r="AM23194" s="4" t="s">
        <v>375</v>
      </c>
      <c r="AN23194" s="4" t="s">
        <v>375</v>
      </c>
      <c r="AO23194" s="4" t="s">
        <v>375</v>
      </c>
      <c r="AP23194" s="4" t="s">
        <v>376</v>
      </c>
      <c r="AR23194" s="4" t="s">
        <v>377</v>
      </c>
    </row>
    <row r="23195" spans="1:44" ht="30">
      <c r="A23195" s="4" t="s">
        <v>24364</v>
      </c>
      <c r="B23195" s="4">
        <v>717630</v>
      </c>
      <c r="D23195" s="5" t="s">
        <v>30030</v>
      </c>
      <c r="E23195" s="6" t="str">
        <f>HYPERLINK("https://inpn.mnhn.fr/espece/cd_nom/717630","Taraxacum officinale F.H.Wigg., 1780")</f>
        <v>Taraxacum officinale F.H.Wigg., 1780</v>
      </c>
      <c r="F23195" s="5" t="s">
        <v>30031</v>
      </c>
      <c r="P23195" s="7" t="str">
        <f>HYPERLINK("#Liste_rouge!A"&amp;_xlfn.XMATCH("LC",Liste_rouge!A:A,2,1),"LC")</f>
        <v>LC</v>
      </c>
      <c r="Q23195" s="7" t="str">
        <f>HYPERLINK("#Liste_rouge!A"&amp;_xlfn.XMATCH("LC",Liste_rouge!A:A,2,1),"LC")</f>
        <v>LC</v>
      </c>
      <c r="V23195" s="7" t="str">
        <f>HYPERLINK("#Liste_rouge!A"&amp;_xlfn.XMATCH("LC",Liste_rouge!A:A,2,1),"LC")</f>
        <v>LC</v>
      </c>
      <c r="AH23195" s="4" t="str">
        <f>HYPERLINK("#Statut_biogéographique!A"&amp;_xlfn.XMATCH("P",Statut_biogéographique!A:A,2,1),"P")</f>
        <v>P</v>
      </c>
      <c r="AM23195" s="4" t="s">
        <v>375</v>
      </c>
      <c r="AN23195" s="4" t="s">
        <v>375</v>
      </c>
      <c r="AO23195" s="4" t="s">
        <v>375</v>
      </c>
      <c r="AP23195" s="4" t="s">
        <v>376</v>
      </c>
      <c r="AR23195" s="4" t="s">
        <v>377</v>
      </c>
    </row>
    <row r="23196" spans="1:44" ht="30">
      <c r="A23196" s="4" t="s">
        <v>24364</v>
      </c>
      <c r="B23196" s="4">
        <v>717641</v>
      </c>
      <c r="D23196" s="5" t="s">
        <v>30032</v>
      </c>
      <c r="E23196" s="6" t="str">
        <f>HYPERLINK("https://inpn.mnhn.fr/espece/cd_nom/717641","Taraxacum prionum Hagend., Soest &amp; Zevenb., 1972")</f>
        <v>Taraxacum prionum Hagend., Soest &amp; Zevenb., 1972</v>
      </c>
      <c r="Q23196" s="7" t="str">
        <f>HYPERLINK("#Liste_rouge!A"&amp;_xlfn.XMATCH("LC",Liste_rouge!A:A,2,1),"LC")</f>
        <v>LC</v>
      </c>
      <c r="V23196" s="7" t="str">
        <f>HYPERLINK("#Liste_rouge!A"&amp;_xlfn.XMATCH("DD",Liste_rouge!A:A,2,1),"DD")</f>
        <v>DD</v>
      </c>
      <c r="AH23196" s="4" t="str">
        <f>HYPERLINK("#Statut_biogéographique!A"&amp;_xlfn.XMATCH("P",Statut_biogéographique!A:A,2,1),"P")</f>
        <v>P</v>
      </c>
      <c r="AM23196" s="4" t="s">
        <v>375</v>
      </c>
      <c r="AN23196" s="4" t="s">
        <v>375</v>
      </c>
      <c r="AO23196" s="4" t="s">
        <v>375</v>
      </c>
      <c r="AP23196" s="4" t="s">
        <v>376</v>
      </c>
      <c r="AR23196" s="4" t="s">
        <v>377</v>
      </c>
    </row>
    <row r="23197" spans="1:44" ht="30">
      <c r="A23197" s="4" t="s">
        <v>24364</v>
      </c>
      <c r="B23197" s="4">
        <v>717717</v>
      </c>
      <c r="D23197" s="5">
        <v>717717</v>
      </c>
      <c r="E23197" s="6" t="str">
        <f>HYPERLINK("https://inpn.mnhn.fr/espece/cd_nom/717717","Vitis riparia x Vitis rupestris ")</f>
        <v xml:space="preserve">Vitis riparia x Vitis rupestris </v>
      </c>
      <c r="F23197" s="5" t="s">
        <v>30033</v>
      </c>
      <c r="AH23197" s="4" t="str">
        <f>HYPERLINK("#Statut_biogéographique!A"&amp;_xlfn.XMATCH("I",Statut_biogéographique!A:A,2,1),"I")</f>
        <v>I</v>
      </c>
      <c r="AP23197" s="4" t="s">
        <v>376</v>
      </c>
      <c r="AR23197" s="4" t="s">
        <v>377</v>
      </c>
    </row>
    <row r="23198" spans="1:44">
      <c r="A23198" s="4" t="s">
        <v>24364</v>
      </c>
      <c r="B23198" s="4">
        <v>717721</v>
      </c>
      <c r="D23198" s="5" t="s">
        <v>30034</v>
      </c>
      <c r="E23198" s="6" t="str">
        <f>HYPERLINK("https://inpn.mnhn.fr/espece/cd_nom/717721","Alchemilla petiolulans Buser, 1903")</f>
        <v>Alchemilla petiolulans Buser, 1903</v>
      </c>
      <c r="F23198" s="5" t="s">
        <v>30035</v>
      </c>
      <c r="Q23198" s="7" t="str">
        <f>HYPERLINK("#Liste_rouge!A"&amp;_xlfn.XMATCH("LC",Liste_rouge!A:A,2,1),"LC")</f>
        <v>LC</v>
      </c>
      <c r="V23198" s="7" t="str">
        <f>HYPERLINK("#Liste_rouge!A"&amp;_xlfn.XMATCH("LC",Liste_rouge!A:A,2,1),"LC")</f>
        <v>LC</v>
      </c>
      <c r="AH23198" s="4" t="str">
        <f>HYPERLINK("#Statut_biogéographique!A"&amp;_xlfn.XMATCH("P",Statut_biogéographique!A:A,2,1),"P")</f>
        <v>P</v>
      </c>
      <c r="AM23198" s="4" t="s">
        <v>375</v>
      </c>
      <c r="AN23198" s="4" t="s">
        <v>375</v>
      </c>
      <c r="AO23198" s="4" t="s">
        <v>375</v>
      </c>
      <c r="AP23198" s="4" t="s">
        <v>376</v>
      </c>
      <c r="AR23198" s="4" t="s">
        <v>377</v>
      </c>
    </row>
    <row r="23199" spans="1:44" ht="30">
      <c r="A23199" s="4" t="s">
        <v>24364</v>
      </c>
      <c r="B23199" s="4">
        <v>717731</v>
      </c>
      <c r="D23199" s="5" t="s">
        <v>30036</v>
      </c>
      <c r="E23199" s="6" t="str">
        <f>HYPERLINK("https://inpn.mnhn.fr/espece/cd_nom/717731","Atocion rupestre (L.) Oxelman, 2001")</f>
        <v>Atocion rupestre (L.) Oxelman, 2001</v>
      </c>
      <c r="F23199" s="5" t="s">
        <v>30037</v>
      </c>
      <c r="Q23199" s="7" t="str">
        <f>HYPERLINK("#Liste_rouge!A"&amp;_xlfn.XMATCH("LC",Liste_rouge!A:A,2,1),"LC")</f>
        <v>LC</v>
      </c>
      <c r="T23199" s="7" t="str">
        <f>HYPERLINK("#Liste_rouge!A"&amp;_xlfn.XMATCH("NA",Liste_rouge!A:A,2,1),"NA")</f>
        <v>NA</v>
      </c>
      <c r="V23199" s="7" t="str">
        <f>HYPERLINK("#Liste_rouge!A"&amp;_xlfn.XMATCH("LC",Liste_rouge!A:A,2,1),"LC")</f>
        <v>LC</v>
      </c>
      <c r="AH23199" s="4" t="str">
        <f>HYPERLINK("#Statut_biogéographique!A"&amp;_xlfn.XMATCH("P",Statut_biogéographique!A:A,2,1),"P")</f>
        <v>P</v>
      </c>
      <c r="AM23199" s="4" t="s">
        <v>375</v>
      </c>
      <c r="AN23199" s="4" t="s">
        <v>375</v>
      </c>
      <c r="AO23199" s="4" t="s">
        <v>375</v>
      </c>
      <c r="AP23199" s="4" t="s">
        <v>376</v>
      </c>
      <c r="AR23199" s="4" t="s">
        <v>377</v>
      </c>
    </row>
    <row r="23200" spans="1:44">
      <c r="A23200" s="4" t="s">
        <v>24364</v>
      </c>
      <c r="B23200" s="4">
        <v>717746</v>
      </c>
      <c r="D23200" s="5" t="s">
        <v>30038</v>
      </c>
      <c r="E23200" s="6" t="str">
        <f>HYPERLINK("https://inpn.mnhn.fr/espece/cd_nom/717746","Cyanus lugdunensis (Jord.) Fourr., 1869")</f>
        <v>Cyanus lugdunensis (Jord.) Fourr., 1869</v>
      </c>
      <c r="F23200" s="5" t="s">
        <v>30039</v>
      </c>
      <c r="Q23200" s="7" t="str">
        <f>HYPERLINK("#Liste_rouge!A"&amp;_xlfn.XMATCH("NT",Liste_rouge!A:A,2,1),"NT")</f>
        <v>NT</v>
      </c>
      <c r="V23200" s="7" t="str">
        <f>HYPERLINK("#Liste_rouge!A"&amp;_xlfn.XMATCH("EN",Liste_rouge!A:A,2,1),"EN")</f>
        <v>EN</v>
      </c>
      <c r="W23200" s="4" t="str">
        <f>HYPERLINK("#Critères_liste_rouge!A$1","B2ab(iii)")</f>
        <v>B2ab(iii)</v>
      </c>
      <c r="X23200" s="5" t="s">
        <v>374</v>
      </c>
      <c r="AB23200" s="4" t="s">
        <v>93</v>
      </c>
      <c r="AH23200" s="4" t="str">
        <f>HYPERLINK("#Statut_biogéographique!A"&amp;_xlfn.XMATCH("P",Statut_biogéographique!A:A,2,1),"P")</f>
        <v>P</v>
      </c>
      <c r="AM23200" s="4" t="s">
        <v>375</v>
      </c>
      <c r="AN23200" s="4" t="s">
        <v>375</v>
      </c>
      <c r="AO23200" s="4" t="s">
        <v>375</v>
      </c>
      <c r="AP23200" s="4" t="s">
        <v>376</v>
      </c>
      <c r="AR23200" s="4" t="s">
        <v>377</v>
      </c>
    </row>
    <row r="23201" spans="1:44" ht="75">
      <c r="A23201" s="4" t="s">
        <v>24364</v>
      </c>
      <c r="B23201" s="4">
        <v>717749</v>
      </c>
      <c r="D23201" s="5" t="s">
        <v>30040</v>
      </c>
      <c r="E23201" s="6" t="str">
        <f>HYPERLINK("https://inpn.mnhn.fr/espece/cd_nom/717749","Dichoropetalum carvifolia (Vill.) Pimenov &amp; Kljuykov, 2007")</f>
        <v>Dichoropetalum carvifolia (Vill.) Pimenov &amp; Kljuykov, 2007</v>
      </c>
      <c r="F23201" s="5" t="s">
        <v>30041</v>
      </c>
      <c r="Q23201" s="7" t="str">
        <f>HYPERLINK("#Liste_rouge!A"&amp;_xlfn.XMATCH("LC",Liste_rouge!A:A,2,1),"LC")</f>
        <v>LC</v>
      </c>
      <c r="T23201" s="7" t="str">
        <f>HYPERLINK("#Liste_rouge!A"&amp;_xlfn.XMATCH("NT",Liste_rouge!A:A,2,1),"NT")</f>
        <v>NT</v>
      </c>
      <c r="U23201" s="4" t="str">
        <f>HYPERLINK("#Critères_liste_rouge!A$1","pr. B2a")</f>
        <v>pr. B2a</v>
      </c>
      <c r="V23201" s="7" t="str">
        <f>HYPERLINK("#Liste_rouge!A"&amp;_xlfn.XMATCH("LC",Liste_rouge!A:A,2,1),"LC")</f>
        <v>LC</v>
      </c>
      <c r="AB23201" s="4" t="s">
        <v>30042</v>
      </c>
      <c r="AH23201" s="4" t="str">
        <f>HYPERLINK("#Statut_biogéographique!A"&amp;_xlfn.XMATCH("P",Statut_biogéographique!A:A,2,1),"P")</f>
        <v>P</v>
      </c>
      <c r="AM23201" s="4" t="s">
        <v>375</v>
      </c>
      <c r="AN23201" s="4" t="s">
        <v>375</v>
      </c>
      <c r="AO23201" s="4" t="s">
        <v>375</v>
      </c>
      <c r="AP23201" s="4" t="s">
        <v>376</v>
      </c>
      <c r="AR23201" s="4" t="s">
        <v>377</v>
      </c>
    </row>
    <row r="23202" spans="1:44">
      <c r="A23202" s="4" t="s">
        <v>24364</v>
      </c>
      <c r="B23202" s="4">
        <v>717772</v>
      </c>
      <c r="D23202" s="5">
        <v>717772</v>
      </c>
      <c r="E23202" s="6" t="str">
        <f>HYPERLINK("https://inpn.mnhn.fr/espece/cd_nom/717772","Hieracium peltifolium Arv.-Touv., 1913")</f>
        <v>Hieracium peltifolium Arv.-Touv., 1913</v>
      </c>
      <c r="Q23202" s="7" t="str">
        <f>HYPERLINK("#Liste_rouge!A"&amp;_xlfn.XMATCH("DD",Liste_rouge!A:A,2,1),"DD")</f>
        <v>DD</v>
      </c>
      <c r="AH23202" s="4" t="str">
        <f>HYPERLINK("#Statut_biogéographique!A"&amp;_xlfn.XMATCH("P",Statut_biogéographique!A:A,2,1),"P")</f>
        <v>P</v>
      </c>
      <c r="AM23202" s="4" t="s">
        <v>375</v>
      </c>
      <c r="AN23202" s="4" t="s">
        <v>375</v>
      </c>
      <c r="AO23202" s="4" t="s">
        <v>375</v>
      </c>
      <c r="AP23202" s="4" t="s">
        <v>376</v>
      </c>
      <c r="AR23202" s="4" t="s">
        <v>377</v>
      </c>
    </row>
    <row r="23203" spans="1:44" ht="30">
      <c r="A23203" s="4" t="s">
        <v>24364</v>
      </c>
      <c r="B23203" s="4">
        <v>717783</v>
      </c>
      <c r="D23203" s="5" t="s">
        <v>30043</v>
      </c>
      <c r="E23203" s="6" t="str">
        <f>HYPERLINK("https://inpn.mnhn.fr/espece/cd_nom/717783","Klasea nudicaulis (L.) Fourr., 1869")</f>
        <v>Klasea nudicaulis (L.) Fourr., 1869</v>
      </c>
      <c r="F23203" s="5" t="s">
        <v>30044</v>
      </c>
      <c r="Q23203" s="7" t="str">
        <f>HYPERLINK("#Liste_rouge!A"&amp;_xlfn.XMATCH("LC",Liste_rouge!A:A,2,1),"LC")</f>
        <v>LC</v>
      </c>
      <c r="T23203" s="7" t="str">
        <f>HYPERLINK("#Liste_rouge!A"&amp;_xlfn.XMATCH("CR",Liste_rouge!A:A,2,1),"CR")</f>
        <v>CR</v>
      </c>
      <c r="U23203" s="4" t="str">
        <f>HYPERLINK("#Critères_liste_rouge!A$1","B1 B2ab(iii)")</f>
        <v>B1 B2ab(iii)</v>
      </c>
      <c r="X23203" s="5" t="s">
        <v>374</v>
      </c>
      <c r="AB23203" s="4" t="s">
        <v>93</v>
      </c>
      <c r="AH23203" s="4" t="str">
        <f>HYPERLINK("#Statut_biogéographique!A"&amp;_xlfn.XMATCH("P",Statut_biogéographique!A:A,2,1),"P")</f>
        <v>P</v>
      </c>
      <c r="AM23203" s="4" t="s">
        <v>375</v>
      </c>
      <c r="AN23203" s="4" t="s">
        <v>375</v>
      </c>
      <c r="AO23203" s="4" t="s">
        <v>375</v>
      </c>
      <c r="AP23203" s="4" t="s">
        <v>376</v>
      </c>
      <c r="AR23203" s="4" t="s">
        <v>377</v>
      </c>
    </row>
    <row r="23204" spans="1:44">
      <c r="A23204" s="4" t="s">
        <v>24364</v>
      </c>
      <c r="B23204" s="4">
        <v>717867</v>
      </c>
      <c r="D23204" s="5" t="s">
        <v>30045</v>
      </c>
      <c r="E23204" s="6" t="str">
        <f>HYPERLINK("https://inpn.mnhn.fr/espece/cd_nom/717867","Scirpus hattorianus Makino, 1933")</f>
        <v>Scirpus hattorianus Makino, 1933</v>
      </c>
      <c r="F23204" s="5" t="s">
        <v>30046</v>
      </c>
      <c r="Q23204" s="7" t="str">
        <f>HYPERLINK("#Liste_rouge!A"&amp;_xlfn.XMATCH("NA",Liste_rouge!A:A,2,1),"NA")</f>
        <v>NA</v>
      </c>
      <c r="AH23204" s="4" t="str">
        <f>HYPERLINK("#Statut_biogéographique!A"&amp;_xlfn.XMATCH("I",Statut_biogéographique!A:A,2,1),"I")</f>
        <v>I</v>
      </c>
      <c r="AM23204" s="4" t="s">
        <v>375</v>
      </c>
      <c r="AN23204" s="4" t="s">
        <v>375</v>
      </c>
      <c r="AO23204" s="4" t="s">
        <v>375</v>
      </c>
      <c r="AP23204" s="4" t="s">
        <v>376</v>
      </c>
      <c r="AR23204" s="4" t="s">
        <v>377</v>
      </c>
    </row>
    <row r="23205" spans="1:44">
      <c r="A23205" s="4" t="s">
        <v>24364</v>
      </c>
      <c r="B23205" s="4">
        <v>717876</v>
      </c>
      <c r="D23205" s="5">
        <v>717876</v>
      </c>
      <c r="E23205" s="6" t="str">
        <f>HYPERLINK("https://inpn.mnhn.fr/espece/cd_nom/717876","Symphoricarpos x doorenbosii Krüssm.")</f>
        <v>Symphoricarpos x doorenbosii Krüssm.</v>
      </c>
      <c r="F23205" s="5" t="s">
        <v>30047</v>
      </c>
      <c r="AH23205" s="4" t="str">
        <f>HYPERLINK("#Statut_biogéographique!A"&amp;_xlfn.XMATCH("M",Statut_biogéographique!A:A,2,1),"M")</f>
        <v>M</v>
      </c>
      <c r="AP23205" s="4" t="s">
        <v>376</v>
      </c>
      <c r="AR23205" s="4" t="s">
        <v>377</v>
      </c>
    </row>
    <row r="23206" spans="1:44" ht="30">
      <c r="A23206" s="4" t="s">
        <v>24364</v>
      </c>
      <c r="B23206" s="4">
        <v>717877</v>
      </c>
      <c r="D23206" s="5" t="s">
        <v>30048</v>
      </c>
      <c r="E23206" s="6" t="str">
        <f>HYPERLINK("https://inpn.mnhn.fr/espece/cd_nom/717877","Symphyotrichum x tardiflorum (L.) Greuter, M.V.Agab. &amp; Wagenitz, 2005")</f>
        <v>Symphyotrichum x tardiflorum (L.) Greuter, M.V.Agab. &amp; Wagenitz, 2005</v>
      </c>
      <c r="F23206" s="5" t="s">
        <v>30049</v>
      </c>
      <c r="T23206" s="7" t="str">
        <f>HYPERLINK("#Liste_rouge!A"&amp;_xlfn.XMATCH("NA",Liste_rouge!A:A,2,1),"NA")</f>
        <v>NA</v>
      </c>
      <c r="AH23206" s="4" t="str">
        <f>HYPERLINK("#Statut_biogéographique!A"&amp;_xlfn.XMATCH("M",Statut_biogéographique!A:A,2,1),"M")</f>
        <v>M</v>
      </c>
      <c r="AP23206" s="4" t="s">
        <v>376</v>
      </c>
      <c r="AR23206" s="4" t="s">
        <v>377</v>
      </c>
    </row>
    <row r="23207" spans="1:44" ht="30">
      <c r="A23207" s="4" t="s">
        <v>24364</v>
      </c>
      <c r="B23207" s="4">
        <v>717902</v>
      </c>
      <c r="D23207" s="5">
        <v>717902</v>
      </c>
      <c r="E23207" s="6" t="str">
        <f>HYPERLINK("https://inpn.mnhn.fr/espece/cd_nom/717902","Vitis acerifolia x Vitis riparia ")</f>
        <v xml:space="preserve">Vitis acerifolia x Vitis riparia </v>
      </c>
      <c r="F23207" s="5" t="s">
        <v>30050</v>
      </c>
      <c r="AH23207" s="4" t="str">
        <f>HYPERLINK("#Statut_biogéographique!A"&amp;_xlfn.XMATCH("I",Statut_biogéographique!A:A,2,1),"I")</f>
        <v>I</v>
      </c>
      <c r="AP23207" s="4" t="s">
        <v>376</v>
      </c>
      <c r="AR23207" s="4" t="s">
        <v>377</v>
      </c>
    </row>
    <row r="23208" spans="1:44">
      <c r="A23208" s="4" t="s">
        <v>24364</v>
      </c>
      <c r="B23208" s="4">
        <v>718043</v>
      </c>
      <c r="D23208" s="5">
        <v>718043</v>
      </c>
      <c r="E23208" s="6" t="str">
        <f>HYPERLINK("https://inpn.mnhn.fr/espece/cd_nom/718043","Vitis acerifolia Raf., 1830")</f>
        <v>Vitis acerifolia Raf., 1830</v>
      </c>
      <c r="AH23208" s="4" t="str">
        <f>HYPERLINK("#Statut_biogéographique!A"&amp;_xlfn.XMATCH("M",Statut_biogéographique!A:A,2,1),"M")</f>
        <v>M</v>
      </c>
      <c r="AP23208" s="4" t="s">
        <v>376</v>
      </c>
      <c r="AR23208" s="4" t="s">
        <v>377</v>
      </c>
    </row>
    <row r="23209" spans="1:44" ht="45">
      <c r="A23209" s="4" t="s">
        <v>24364</v>
      </c>
      <c r="B23209" s="4">
        <v>718211</v>
      </c>
      <c r="D23209" s="5" t="s">
        <v>30051</v>
      </c>
      <c r="E23209" s="6" t="str">
        <f>HYPERLINK("https://inpn.mnhn.fr/espece/cd_nom/718211","Baldellia repens subsp. cavanillesii (Molina Abril, A.Galán, Pizarro &amp; Sard.Rosc.) Talavera, 2008")</f>
        <v>Baldellia repens subsp. cavanillesii (Molina Abril, A.Galán, Pizarro &amp; Sard.Rosc.) Talavera, 2008</v>
      </c>
      <c r="F23209" s="5" t="s">
        <v>30052</v>
      </c>
      <c r="Q23209" s="7" t="str">
        <f>HYPERLINK("#Liste_rouge!A"&amp;_xlfn.XMATCH("LC",Liste_rouge!A:A,2,1),"LC")</f>
        <v>LC</v>
      </c>
      <c r="T23209" s="7" t="str">
        <f>HYPERLINK("#Liste_rouge!A"&amp;_xlfn.XMATCH("EN",Liste_rouge!A:A,2,1),"EN")</f>
        <v>EN</v>
      </c>
      <c r="U23209" s="4" t="str">
        <f>HYPERLINK("#Critères_liste_rouge!A$1","B1 B2ab(ii,iii,iv) C2a(i)")</f>
        <v>B1 B2ab(ii,iii,iv) C2a(i)</v>
      </c>
      <c r="AH23209" s="4" t="str">
        <f>HYPERLINK("#Statut_biogéographique!A"&amp;_xlfn.XMATCH("P",Statut_biogéographique!A:A,2,1),"P")</f>
        <v>P</v>
      </c>
      <c r="AP23209" s="4" t="s">
        <v>376</v>
      </c>
      <c r="AR23209" s="4" t="s">
        <v>377</v>
      </c>
    </row>
    <row r="23210" spans="1:44" ht="30">
      <c r="A23210" s="4" t="s">
        <v>24364</v>
      </c>
      <c r="B23210" s="4">
        <v>718213</v>
      </c>
      <c r="D23210" s="5" t="s">
        <v>30053</v>
      </c>
      <c r="E23210" s="6" t="str">
        <f>HYPERLINK("https://inpn.mnhn.fr/espece/cd_nom/718213","Bidens tripartita subsp. comosa (A.Gray) A.Haines, 2010")</f>
        <v>Bidens tripartita subsp. comosa (A.Gray) A.Haines, 2010</v>
      </c>
      <c r="F23210" s="5" t="s">
        <v>30054</v>
      </c>
      <c r="Q23210" s="7" t="str">
        <f>HYPERLINK("#Liste_rouge!A"&amp;_xlfn.XMATCH("NA",Liste_rouge!A:A,2,1),"NA")</f>
        <v>NA</v>
      </c>
      <c r="T23210" s="7" t="str">
        <f>HYPERLINK("#Liste_rouge!A"&amp;_xlfn.XMATCH("NA",Liste_rouge!A:A,2,1),"NA")</f>
        <v>NA</v>
      </c>
      <c r="AH23210" s="4" t="str">
        <f>HYPERLINK("#Statut_biogéographique!A"&amp;_xlfn.XMATCH("I",Statut_biogéographique!A:A,2,1),"I")</f>
        <v>I</v>
      </c>
      <c r="AP23210" s="4" t="s">
        <v>376</v>
      </c>
      <c r="AR23210" s="4" t="s">
        <v>377</v>
      </c>
    </row>
    <row r="23211" spans="1:44" ht="45">
      <c r="A23211" s="4" t="s">
        <v>24364</v>
      </c>
      <c r="B23211" s="4">
        <v>718220</v>
      </c>
      <c r="D23211" s="5" t="s">
        <v>30055</v>
      </c>
      <c r="E23211" s="6" t="str">
        <f>HYPERLINK("https://inpn.mnhn.fr/espece/cd_nom/718220","Clinopodium nepeta subsp. ascendens (Jord.) B.Bock, 2012")</f>
        <v>Clinopodium nepeta subsp. ascendens (Jord.) B.Bock, 2012</v>
      </c>
      <c r="F23211" s="5" t="s">
        <v>30056</v>
      </c>
      <c r="Q23211" s="7" t="str">
        <f>HYPERLINK("#Liste_rouge!A"&amp;_xlfn.XMATCH("LC",Liste_rouge!A:A,2,1),"LC")</f>
        <v>LC</v>
      </c>
      <c r="T23211" s="7" t="str">
        <f>HYPERLINK("#Liste_rouge!A"&amp;_xlfn.XMATCH("NT",Liste_rouge!A:A,2,1),"NT")</f>
        <v>NT</v>
      </c>
      <c r="U23211" s="4" t="str">
        <f>HYPERLINK("#Critères_liste_rouge!A$1","pr. D2")</f>
        <v>pr. D2</v>
      </c>
      <c r="AB23211" s="4" t="s">
        <v>25010</v>
      </c>
      <c r="AH23211" s="4" t="str">
        <f>HYPERLINK("#Statut_biogéographique!A"&amp;_xlfn.XMATCH("P",Statut_biogéographique!A:A,2,1),"P")</f>
        <v>P</v>
      </c>
      <c r="AM23211" s="4" t="s">
        <v>375</v>
      </c>
      <c r="AN23211" s="4" t="s">
        <v>375</v>
      </c>
      <c r="AO23211" s="4" t="s">
        <v>375</v>
      </c>
      <c r="AP23211" s="4" t="s">
        <v>376</v>
      </c>
      <c r="AR23211" s="4" t="s">
        <v>377</v>
      </c>
    </row>
    <row r="23212" spans="1:44" ht="30">
      <c r="A23212" s="4" t="s">
        <v>24364</v>
      </c>
      <c r="B23212" s="4">
        <v>718231</v>
      </c>
      <c r="D23212" s="5" t="s">
        <v>30057</v>
      </c>
      <c r="E23212" s="6" t="str">
        <f>HYPERLINK("https://inpn.mnhn.fr/espece/cd_nom/718231","Ficaria verna subsp. fertilis (A.R.Clapham ex Laegaard) Stace, 2009")</f>
        <v>Ficaria verna subsp. fertilis (A.R.Clapham ex Laegaard) Stace, 2009</v>
      </c>
      <c r="F23212" s="5" t="s">
        <v>30058</v>
      </c>
      <c r="T23212" s="7" t="str">
        <f>HYPERLINK("#Liste_rouge!A"&amp;_xlfn.XMATCH("DD",Liste_rouge!A:A,2,1),"DD")</f>
        <v>DD</v>
      </c>
      <c r="AH23212" s="4" t="str">
        <f>HYPERLINK("#Statut_biogéographique!A"&amp;_xlfn.XMATCH("P",Statut_biogéographique!A:A,2,1),"P")</f>
        <v>P</v>
      </c>
      <c r="AM23212" s="4" t="s">
        <v>375</v>
      </c>
      <c r="AN23212" s="4" t="s">
        <v>375</v>
      </c>
      <c r="AO23212" s="4" t="s">
        <v>375</v>
      </c>
      <c r="AP23212" s="4" t="s">
        <v>376</v>
      </c>
      <c r="AR23212" s="4" t="s">
        <v>377</v>
      </c>
    </row>
    <row r="23213" spans="1:44" ht="75">
      <c r="A23213" s="4" t="s">
        <v>24364</v>
      </c>
      <c r="B23213" s="4">
        <v>718237</v>
      </c>
      <c r="D23213" s="5" t="s">
        <v>30059</v>
      </c>
      <c r="E23213" s="6" t="str">
        <f>HYPERLINK("https://inpn.mnhn.fr/espece/cd_nom/718237","Hordeum vulgare subsp. distichon (L.) Körn., 1882")</f>
        <v>Hordeum vulgare subsp. distichon (L.) Körn., 1882</v>
      </c>
      <c r="F23213" s="5" t="s">
        <v>30060</v>
      </c>
      <c r="Q23213" s="7" t="str">
        <f>HYPERLINK("#Liste_rouge!A"&amp;_xlfn.XMATCH("NA",Liste_rouge!A:A,2,1),"NA")</f>
        <v>NA</v>
      </c>
      <c r="T23213" s="7" t="str">
        <f>HYPERLINK("#Liste_rouge!A"&amp;_xlfn.XMATCH("NA",Liste_rouge!A:A,2,1),"NA")</f>
        <v>NA</v>
      </c>
      <c r="AH23213" s="4" t="str">
        <f>HYPERLINK("#Statut_biogéographique!A"&amp;_xlfn.XMATCH("M",Statut_biogéographique!A:A,2,1),"M")</f>
        <v>M</v>
      </c>
      <c r="AP23213" s="4" t="s">
        <v>376</v>
      </c>
      <c r="AR23213" s="4" t="s">
        <v>377</v>
      </c>
    </row>
    <row r="23214" spans="1:44" ht="30">
      <c r="A23214" s="4" t="s">
        <v>24364</v>
      </c>
      <c r="B23214" s="4">
        <v>718238</v>
      </c>
      <c r="D23214" s="5" t="s">
        <v>30061</v>
      </c>
      <c r="E23214" s="6" t="str">
        <f>HYPERLINK("https://inpn.mnhn.fr/espece/cd_nom/718238","Jacobaea paludosa subsp. angustifolia (Holub) B.Nord. &amp; Greuter, 2006")</f>
        <v>Jacobaea paludosa subsp. angustifolia (Holub) B.Nord. &amp; Greuter, 2006</v>
      </c>
      <c r="F23214" s="5" t="s">
        <v>30062</v>
      </c>
      <c r="Q23214" s="7" t="str">
        <f>HYPERLINK("#Liste_rouge!A"&amp;_xlfn.XMATCH("LC",Liste_rouge!A:A,2,1),"LC")</f>
        <v>LC</v>
      </c>
      <c r="AH23214" s="4" t="str">
        <f>HYPERLINK("#Statut_biogéographique!A"&amp;_xlfn.XMATCH("P",Statut_biogéographique!A:A,2,1),"P")</f>
        <v>P</v>
      </c>
      <c r="AP23214" s="4" t="s">
        <v>376</v>
      </c>
      <c r="AR23214" s="4" t="s">
        <v>377</v>
      </c>
    </row>
    <row r="23215" spans="1:44" ht="30">
      <c r="A23215" s="4" t="s">
        <v>24364</v>
      </c>
      <c r="B23215" s="4">
        <v>718248</v>
      </c>
      <c r="D23215" s="5" t="s">
        <v>30063</v>
      </c>
      <c r="E23215" s="6" t="str">
        <f>HYPERLINK("https://inpn.mnhn.fr/espece/cd_nom/718248","Lysimachia arvensis subsp. parviflora (Hoffmanns. &amp; Link) Peruzzi, 2010")</f>
        <v>Lysimachia arvensis subsp. parviflora (Hoffmanns. &amp; Link) Peruzzi, 2010</v>
      </c>
      <c r="F23215" s="5" t="s">
        <v>30064</v>
      </c>
      <c r="Q23215" s="7" t="str">
        <f>HYPERLINK("#Liste_rouge!A"&amp;_xlfn.XMATCH("LC",Liste_rouge!A:A,2,1),"LC")</f>
        <v>LC</v>
      </c>
      <c r="T23215" s="7" t="str">
        <f>HYPERLINK("#Liste_rouge!A"&amp;_xlfn.XMATCH("NA",Liste_rouge!A:A,2,1),"NA")</f>
        <v>NA</v>
      </c>
      <c r="AH23215" s="4" t="str">
        <f>HYPERLINK("#Statut_biogéographique!A"&amp;_xlfn.XMATCH("P",Statut_biogéographique!A:A,2,1),"P")</f>
        <v>P</v>
      </c>
      <c r="AP23215" s="4" t="s">
        <v>376</v>
      </c>
      <c r="AR23215" s="4" t="s">
        <v>377</v>
      </c>
    </row>
    <row r="23216" spans="1:44" ht="30">
      <c r="A23216" s="4" t="s">
        <v>24364</v>
      </c>
      <c r="B23216" s="4">
        <v>718271</v>
      </c>
      <c r="D23216" s="5" t="s">
        <v>30065</v>
      </c>
      <c r="E23216" s="6" t="str">
        <f>HYPERLINK("https://inpn.mnhn.fr/espece/cd_nom/718271","Pilosella peleteriana subsp. ligerica (Zahn) B.Bock, 2012")</f>
        <v>Pilosella peleteriana subsp. ligerica (Zahn) B.Bock, 2012</v>
      </c>
      <c r="F23216" s="5" t="s">
        <v>30066</v>
      </c>
      <c r="M23216" s="4" t="str">
        <f>HYPERLINK("#Réglementation!A"&amp;_xlfn.XMATCH("RV26",Réglementation!A:A,2,1),"RV26")</f>
        <v>RV26</v>
      </c>
      <c r="Q23216" s="7" t="str">
        <f>HYPERLINK("#Liste_rouge!A"&amp;_xlfn.XMATCH("NT",Liste_rouge!A:A,2,1),"NT")</f>
        <v>NT</v>
      </c>
      <c r="T23216" s="7" t="str">
        <f>HYPERLINK("#Liste_rouge!A"&amp;_xlfn.XMATCH("CR",Liste_rouge!A:A,2,1),"CR")</f>
        <v>CR</v>
      </c>
      <c r="U23216" s="4" t="str">
        <f>HYPERLINK("#Critères_liste_rouge!A$1","A2ac")</f>
        <v>A2ac</v>
      </c>
      <c r="AH23216" s="4" t="str">
        <f>HYPERLINK("#Statut_biogéographique!A"&amp;_xlfn.XMATCH("E",Statut_biogéographique!A:A,2,1),"E")</f>
        <v>E</v>
      </c>
      <c r="AM23216" s="4" t="s">
        <v>375</v>
      </c>
      <c r="AN23216" s="4" t="s">
        <v>375</v>
      </c>
      <c r="AO23216" s="4" t="s">
        <v>375</v>
      </c>
      <c r="AP23216" s="4" t="s">
        <v>376</v>
      </c>
      <c r="AR23216" s="4" t="s">
        <v>377</v>
      </c>
    </row>
    <row r="23217" spans="1:44" ht="45">
      <c r="A23217" s="4" t="s">
        <v>24364</v>
      </c>
      <c r="B23217" s="4">
        <v>718272</v>
      </c>
      <c r="D23217" s="5" t="s">
        <v>30067</v>
      </c>
      <c r="E23217" s="6" t="str">
        <f>HYPERLINK("https://inpn.mnhn.fr/espece/cd_nom/718272","Pilosella piloselloides subsp. bauhinii (Schult.) S.Bräut. &amp; Greuter, 2007")</f>
        <v>Pilosella piloselloides subsp. bauhinii (Schult.) S.Bräut. &amp; Greuter, 2007</v>
      </c>
      <c r="F23217" s="5" t="s">
        <v>30068</v>
      </c>
      <c r="Q23217" s="7" t="str">
        <f>HYPERLINK("#Liste_rouge!A"&amp;_xlfn.XMATCH("DD",Liste_rouge!A:A,2,1),"DD")</f>
        <v>DD</v>
      </c>
      <c r="T23217" s="7" t="str">
        <f>HYPERLINK("#Liste_rouge!A"&amp;_xlfn.XMATCH("NE",Liste_rouge!A:A,2,1),"NE")</f>
        <v>NE</v>
      </c>
      <c r="AH23217" s="4" t="str">
        <f>HYPERLINK("#Statut_biogéographique!A"&amp;_xlfn.XMATCH("P",Statut_biogéographique!A:A,2,1),"P")</f>
        <v>P</v>
      </c>
      <c r="AM23217" s="4" t="s">
        <v>375</v>
      </c>
      <c r="AN23217" s="4" t="s">
        <v>375</v>
      </c>
      <c r="AO23217" s="4" t="s">
        <v>375</v>
      </c>
      <c r="AP23217" s="4" t="s">
        <v>376</v>
      </c>
      <c r="AR23217" s="4" t="s">
        <v>377</v>
      </c>
    </row>
    <row r="23218" spans="1:44" ht="75">
      <c r="A23218" s="4" t="s">
        <v>24364</v>
      </c>
      <c r="B23218" s="4">
        <v>718274</v>
      </c>
      <c r="D23218" s="5" t="s">
        <v>30069</v>
      </c>
      <c r="E23218" s="6" t="str">
        <f>HYPERLINK("https://inpn.mnhn.fr/espece/cd_nom/718274","Pilosella piloselloides subsp. praealta (Vill. ex Gochnat) S.Bräut. &amp; Greuter, 2007")</f>
        <v>Pilosella piloselloides subsp. praealta (Vill. ex Gochnat) S.Bräut. &amp; Greuter, 2007</v>
      </c>
      <c r="F23218" s="5" t="s">
        <v>30070</v>
      </c>
      <c r="Q23218" s="7" t="str">
        <f>HYPERLINK("#Liste_rouge!A"&amp;_xlfn.XMATCH("LC",Liste_rouge!A:A,2,1),"LC")</f>
        <v>LC</v>
      </c>
      <c r="T23218" s="7" t="str">
        <f>HYPERLINK("#Liste_rouge!A"&amp;_xlfn.XMATCH("EN",Liste_rouge!A:A,2,1),"EN")</f>
        <v>EN</v>
      </c>
      <c r="U23218" s="4" t="str">
        <f>HYPERLINK("#Critères_liste_rouge!A$1","D1")</f>
        <v>D1</v>
      </c>
      <c r="AH23218" s="4" t="str">
        <f>HYPERLINK("#Statut_biogéographique!A"&amp;_xlfn.XMATCH("P",Statut_biogéographique!A:A,2,1),"P")</f>
        <v>P</v>
      </c>
      <c r="AM23218" s="4" t="s">
        <v>375</v>
      </c>
      <c r="AN23218" s="4" t="s">
        <v>375</v>
      </c>
      <c r="AO23218" s="4" t="s">
        <v>375</v>
      </c>
      <c r="AP23218" s="4" t="s">
        <v>376</v>
      </c>
      <c r="AR23218" s="4" t="s">
        <v>377</v>
      </c>
    </row>
    <row r="23219" spans="1:44" ht="150">
      <c r="A23219" s="4" t="s">
        <v>24364</v>
      </c>
      <c r="B23219" s="4">
        <v>718277</v>
      </c>
      <c r="D23219" s="5" t="s">
        <v>30071</v>
      </c>
      <c r="E23219" s="6" t="str">
        <f>HYPERLINK("https://inpn.mnhn.fr/espece/cd_nom/718277","Poterium sanguisorba subsp. balearica (Bourg. ex Nyman) Stace, 2009")</f>
        <v>Poterium sanguisorba subsp. balearica (Bourg. ex Nyman) Stace, 2009</v>
      </c>
      <c r="F23219" s="5" t="s">
        <v>30072</v>
      </c>
      <c r="Q23219" s="7" t="str">
        <f>HYPERLINK("#Liste_rouge!A"&amp;_xlfn.XMATCH("LC",Liste_rouge!A:A,2,1),"LC")</f>
        <v>LC</v>
      </c>
      <c r="T23219" s="7" t="str">
        <f>HYPERLINK("#Liste_rouge!A"&amp;_xlfn.XMATCH("LC",Liste_rouge!A:A,2,1),"LC")</f>
        <v>LC</v>
      </c>
      <c r="AH23219" s="4" t="str">
        <f>HYPERLINK("#Statut_biogéographique!A"&amp;_xlfn.XMATCH("P",Statut_biogéographique!A:A,2,1),"P")</f>
        <v>P</v>
      </c>
      <c r="AM23219" s="4" t="s">
        <v>375</v>
      </c>
      <c r="AN23219" s="4" t="s">
        <v>375</v>
      </c>
      <c r="AO23219" s="4" t="s">
        <v>375</v>
      </c>
      <c r="AP23219" s="4" t="s">
        <v>376</v>
      </c>
      <c r="AR23219" s="4" t="s">
        <v>377</v>
      </c>
    </row>
    <row r="23220" spans="1:44" ht="45">
      <c r="A23220" s="4" t="s">
        <v>24364</v>
      </c>
      <c r="B23220" s="4">
        <v>718287</v>
      </c>
      <c r="D23220" s="5" t="s">
        <v>30073</v>
      </c>
      <c r="E23220" s="6" t="str">
        <f>HYPERLINK("https://inpn.mnhn.fr/espece/cd_nom/718287","Schedonorus arundinaceus subsp. uechtritzianus (Wiesb.) H.Scholz &amp; Valdés, 2007")</f>
        <v>Schedonorus arundinaceus subsp. uechtritzianus (Wiesb.) H.Scholz &amp; Valdés, 2007</v>
      </c>
      <c r="F23220" s="5" t="s">
        <v>30074</v>
      </c>
      <c r="T23220" s="7" t="str">
        <f>HYPERLINK("#Liste_rouge!A"&amp;_xlfn.XMATCH("RE",Liste_rouge!A:A,2,1),"RE")</f>
        <v>RE</v>
      </c>
      <c r="AH23220" s="4" t="str">
        <f>HYPERLINK("#Statut_biogéographique!A"&amp;_xlfn.XMATCH("D",Statut_biogéographique!A:A,2,1),"D")</f>
        <v>D</v>
      </c>
      <c r="AM23220" s="4" t="s">
        <v>375</v>
      </c>
      <c r="AN23220" s="4" t="s">
        <v>375</v>
      </c>
      <c r="AO23220" s="4" t="s">
        <v>375</v>
      </c>
      <c r="AP23220" s="4" t="s">
        <v>376</v>
      </c>
      <c r="AR23220" s="4" t="s">
        <v>377</v>
      </c>
    </row>
    <row r="23221" spans="1:44" ht="60">
      <c r="A23221" s="4" t="s">
        <v>24364</v>
      </c>
      <c r="B23221" s="4">
        <v>718288</v>
      </c>
      <c r="D23221" s="5" t="s">
        <v>30075</v>
      </c>
      <c r="E23221" s="6" t="str">
        <f>HYPERLINK("https://inpn.mnhn.fr/espece/cd_nom/718288","Schedonorus pratensis subsp. apenninus (De Not.) H.Scholz &amp; Valdés, 2005")</f>
        <v>Schedonorus pratensis subsp. apenninus (De Not.) H.Scholz &amp; Valdés, 2005</v>
      </c>
      <c r="F23221" s="5" t="s">
        <v>30076</v>
      </c>
      <c r="Q23221" s="7" t="str">
        <f>HYPERLINK("#Liste_rouge!A"&amp;_xlfn.XMATCH("LC",Liste_rouge!A:A,2,1),"LC")</f>
        <v>LC</v>
      </c>
      <c r="AH23221" s="4" t="str">
        <f>HYPERLINK("#Statut_biogéographique!A"&amp;_xlfn.XMATCH("P",Statut_biogéographique!A:A,2,1),"P")</f>
        <v>P</v>
      </c>
      <c r="AP23221" s="4" t="s">
        <v>376</v>
      </c>
      <c r="AR23221" s="4" t="s">
        <v>377</v>
      </c>
    </row>
    <row r="23222" spans="1:44" ht="165">
      <c r="A23222" s="4" t="s">
        <v>24364</v>
      </c>
      <c r="B23222" s="4">
        <v>718292</v>
      </c>
      <c r="D23222" s="5" t="s">
        <v>30077</v>
      </c>
      <c r="E23222" s="6" t="str">
        <f>HYPERLINK("https://inpn.mnhn.fr/espece/cd_nom/718292","Setaria italica subsp. viridis (L.) Thell., 1912")</f>
        <v>Setaria italica subsp. viridis (L.) Thell., 1912</v>
      </c>
      <c r="F23222" s="5" t="s">
        <v>30078</v>
      </c>
      <c r="Q23222" s="7" t="str">
        <f>HYPERLINK("#Liste_rouge!A"&amp;_xlfn.XMATCH("LC",Liste_rouge!A:A,2,1),"LC")</f>
        <v>LC</v>
      </c>
      <c r="T23222" s="7" t="str">
        <f>HYPERLINK("#Liste_rouge!A"&amp;_xlfn.XMATCH("LC",Liste_rouge!A:A,2,1),"LC")</f>
        <v>LC</v>
      </c>
      <c r="AH23222" s="4" t="str">
        <f>HYPERLINK("#Statut_biogéographique!A"&amp;_xlfn.XMATCH("I",Statut_biogéographique!A:A,2,1),"I")</f>
        <v>I</v>
      </c>
      <c r="AM23222" s="4" t="s">
        <v>375</v>
      </c>
      <c r="AN23222" s="4" t="s">
        <v>375</v>
      </c>
      <c r="AO23222" s="4" t="s">
        <v>375</v>
      </c>
      <c r="AP23222" s="4" t="s">
        <v>376</v>
      </c>
      <c r="AR23222" s="4" t="s">
        <v>377</v>
      </c>
    </row>
    <row r="23223" spans="1:44" ht="30">
      <c r="A23223" s="4" t="s">
        <v>24364</v>
      </c>
      <c r="B23223" s="4">
        <v>718297</v>
      </c>
      <c r="D23223" s="5" t="s">
        <v>30079</v>
      </c>
      <c r="E23223" s="6" t="str">
        <f>HYPERLINK("https://inpn.mnhn.fr/espece/cd_nom/718297","Xanthium orientale subsp. saccharatum (Wallr.) B.Bock, 2012")</f>
        <v>Xanthium orientale subsp. saccharatum (Wallr.) B.Bock, 2012</v>
      </c>
      <c r="F23223" s="5" t="s">
        <v>30080</v>
      </c>
      <c r="Q23223" s="7" t="str">
        <f>HYPERLINK("#Liste_rouge!A"&amp;_xlfn.XMATCH("NA",Liste_rouge!A:A,2,1),"NA")</f>
        <v>NA</v>
      </c>
      <c r="T23223" s="7" t="str">
        <f>HYPERLINK("#Liste_rouge!A"&amp;_xlfn.XMATCH("NA",Liste_rouge!A:A,2,1),"NA")</f>
        <v>NA</v>
      </c>
      <c r="AH23223" s="4" t="str">
        <f>HYPERLINK("#Statut_biogéographique!A"&amp;_xlfn.XMATCH("I",Statut_biogéographique!A:A,2,1),"I")</f>
        <v>I</v>
      </c>
      <c r="AM23223" s="4" t="s">
        <v>375</v>
      </c>
      <c r="AN23223" s="4" t="s">
        <v>375</v>
      </c>
      <c r="AO23223" s="4" t="s">
        <v>375</v>
      </c>
      <c r="AP23223" s="4" t="s">
        <v>376</v>
      </c>
      <c r="AR23223" s="4" t="s">
        <v>377</v>
      </c>
    </row>
    <row r="23224" spans="1:44" ht="30">
      <c r="A23224" s="4" t="s">
        <v>24364</v>
      </c>
      <c r="B23224" s="4">
        <v>718299</v>
      </c>
      <c r="D23224" s="5">
        <v>718299</v>
      </c>
      <c r="E23224" s="6" t="str">
        <f>HYPERLINK("https://inpn.mnhn.fr/espece/cd_nom/718299","Allium schoenoprasum subsp. schoenoprasum L., 1753")</f>
        <v>Allium schoenoprasum subsp. schoenoprasum L., 1753</v>
      </c>
      <c r="F23224" s="5" t="s">
        <v>30081</v>
      </c>
      <c r="AH23224" s="4" t="str">
        <f>HYPERLINK("#Statut_biogéographique!A"&amp;_xlfn.XMATCH("P",Statut_biogéographique!A:A,2,1),"P")</f>
        <v>P</v>
      </c>
      <c r="AP23224" s="4" t="s">
        <v>376</v>
      </c>
      <c r="AR23224" s="4" t="s">
        <v>377</v>
      </c>
    </row>
    <row r="23225" spans="1:44" ht="45">
      <c r="A23225" s="4" t="s">
        <v>24364</v>
      </c>
      <c r="B23225" s="4">
        <v>718303</v>
      </c>
      <c r="D23225" s="5">
        <v>718303</v>
      </c>
      <c r="E23225" s="6" t="str">
        <f>HYPERLINK("https://inpn.mnhn.fr/espece/cd_nom/718303","Alopecurus myosuroides subsp. myosuroides Huds., 1762")</f>
        <v>Alopecurus myosuroides subsp. myosuroides Huds., 1762</v>
      </c>
      <c r="F23225" s="5" t="s">
        <v>30082</v>
      </c>
      <c r="AH23225" s="4" t="str">
        <f>HYPERLINK("#Statut_biogéographique!A"&amp;_xlfn.XMATCH("P",Statut_biogéographique!A:A,2,1),"P")</f>
        <v>P</v>
      </c>
      <c r="AP23225" s="4" t="s">
        <v>376</v>
      </c>
      <c r="AR23225" s="4" t="s">
        <v>377</v>
      </c>
    </row>
    <row r="23226" spans="1:44">
      <c r="A23226" s="4" t="s">
        <v>24364</v>
      </c>
      <c r="B23226" s="4">
        <v>718309</v>
      </c>
      <c r="D23226" s="5">
        <v>718309</v>
      </c>
      <c r="E23226" s="6" t="str">
        <f>HYPERLINK("https://inpn.mnhn.fr/espece/cd_nom/718309","Arabis collina subsp. collina Ten., 1815")</f>
        <v>Arabis collina subsp. collina Ten., 1815</v>
      </c>
      <c r="F23226" s="5" t="s">
        <v>30083</v>
      </c>
      <c r="Q23226" s="7" t="str">
        <f>HYPERLINK("#Liste_rouge!A"&amp;_xlfn.XMATCH("LC",Liste_rouge!A:A,2,1),"LC")</f>
        <v>LC</v>
      </c>
      <c r="AH23226" s="4" t="str">
        <f>HYPERLINK("#Statut_biogéographique!A"&amp;_xlfn.XMATCH("P",Statut_biogéographique!A:A,2,1),"P")</f>
        <v>P</v>
      </c>
      <c r="AP23226" s="4" t="s">
        <v>376</v>
      </c>
      <c r="AR23226" s="4" t="s">
        <v>377</v>
      </c>
    </row>
    <row r="23227" spans="1:44" ht="30">
      <c r="A23227" s="4" t="s">
        <v>24364</v>
      </c>
      <c r="B23227" s="4">
        <v>718314</v>
      </c>
      <c r="D23227" s="5" t="s">
        <v>30084</v>
      </c>
      <c r="E23227" s="6" t="str">
        <f>HYPERLINK("https://inpn.mnhn.fr/espece/cd_nom/718314","Avenella flexuosa subsp. flexuosa (L.) Drejer, 1838")</f>
        <v>Avenella flexuosa subsp. flexuosa (L.) Drejer, 1838</v>
      </c>
      <c r="F23227" s="5" t="s">
        <v>30085</v>
      </c>
      <c r="T23227" s="7" t="str">
        <f>HYPERLINK("#Liste_rouge!A"&amp;_xlfn.XMATCH("DD",Liste_rouge!A:A,2,1),"DD")</f>
        <v>DD</v>
      </c>
      <c r="AH23227" s="4" t="str">
        <f>HYPERLINK("#Statut_biogéographique!A"&amp;_xlfn.XMATCH("P",Statut_biogéographique!A:A,2,1),"P")</f>
        <v>P</v>
      </c>
      <c r="AP23227" s="4" t="s">
        <v>376</v>
      </c>
      <c r="AR23227" s="4" t="s">
        <v>377</v>
      </c>
    </row>
    <row r="23228" spans="1:44">
      <c r="A23228" s="4" t="s">
        <v>24364</v>
      </c>
      <c r="B23228" s="4">
        <v>718315</v>
      </c>
      <c r="D23228" s="5" t="s">
        <v>30086</v>
      </c>
      <c r="E23228" s="6" t="str">
        <f>HYPERLINK("https://inpn.mnhn.fr/espece/cd_nom/718315","Betonica officinalis subsp. officinalis L., 1753")</f>
        <v>Betonica officinalis subsp. officinalis L., 1753</v>
      </c>
      <c r="F23228" s="5" t="s">
        <v>30087</v>
      </c>
      <c r="T23228" s="7" t="str">
        <f>HYPERLINK("#Liste_rouge!A"&amp;_xlfn.XMATCH("DD",Liste_rouge!A:A,2,1),"DD")</f>
        <v>DD</v>
      </c>
      <c r="AH23228" s="4" t="str">
        <f>HYPERLINK("#Statut_biogéographique!A"&amp;_xlfn.XMATCH("P",Statut_biogéographique!A:A,2,1),"P")</f>
        <v>P</v>
      </c>
      <c r="AP23228" s="4" t="s">
        <v>376</v>
      </c>
      <c r="AR23228" s="4" t="s">
        <v>377</v>
      </c>
    </row>
    <row r="23229" spans="1:44" ht="30">
      <c r="A23229" s="4" t="s">
        <v>24364</v>
      </c>
      <c r="B23229" s="4">
        <v>718318</v>
      </c>
      <c r="D23229" s="5" t="s">
        <v>30088</v>
      </c>
      <c r="E23229" s="6" t="str">
        <f>HYPERLINK("https://inpn.mnhn.fr/espece/cd_nom/718318","Bromopsis erecta subsp. erecta (Huds.) Fourr., 1869")</f>
        <v>Bromopsis erecta subsp. erecta (Huds.) Fourr., 1869</v>
      </c>
      <c r="F23229" s="5" t="s">
        <v>30089</v>
      </c>
      <c r="AH23229" s="4" t="str">
        <f>HYPERLINK("#Statut_biogéographique!A"&amp;_xlfn.XMATCH("P",Statut_biogéographique!A:A,2,1),"P")</f>
        <v>P</v>
      </c>
      <c r="AP23229" s="4" t="s">
        <v>376</v>
      </c>
      <c r="AR23229" s="4" t="s">
        <v>377</v>
      </c>
    </row>
    <row r="23230" spans="1:44" ht="30">
      <c r="A23230" s="4" t="s">
        <v>24364</v>
      </c>
      <c r="B23230" s="4">
        <v>718319</v>
      </c>
      <c r="D23230" s="5" t="s">
        <v>30090</v>
      </c>
      <c r="E23230" s="6" t="str">
        <f>HYPERLINK("https://inpn.mnhn.fr/espece/cd_nom/718319","Bromopsis inermis subsp. inermis (Leyss.) Holub, 1973")</f>
        <v>Bromopsis inermis subsp. inermis (Leyss.) Holub, 1973</v>
      </c>
      <c r="F23230" s="5" t="s">
        <v>30091</v>
      </c>
      <c r="AH23230" s="4" t="str">
        <f>HYPERLINK("#Statut_biogéographique!A"&amp;_xlfn.XMATCH("I",Statut_biogéographique!A:A,2,1),"I")</f>
        <v>I</v>
      </c>
      <c r="AP23230" s="4" t="s">
        <v>376</v>
      </c>
      <c r="AR23230" s="4" t="s">
        <v>377</v>
      </c>
    </row>
    <row r="23231" spans="1:44" ht="30">
      <c r="A23231" s="4" t="s">
        <v>24364</v>
      </c>
      <c r="B23231" s="4">
        <v>718321</v>
      </c>
      <c r="D23231" s="5" t="s">
        <v>30092</v>
      </c>
      <c r="E23231" s="6" t="str">
        <f>HYPERLINK("https://inpn.mnhn.fr/espece/cd_nom/718321","Bromopsis ramosa subsp. ramosa (Huds.) Holub, 1973")</f>
        <v>Bromopsis ramosa subsp. ramosa (Huds.) Holub, 1973</v>
      </c>
      <c r="F23231" s="5" t="s">
        <v>30093</v>
      </c>
      <c r="T23231" s="7" t="str">
        <f>HYPERLINK("#Liste_rouge!A"&amp;_xlfn.XMATCH("DD",Liste_rouge!A:A,2,1),"DD")</f>
        <v>DD</v>
      </c>
      <c r="AH23231" s="4" t="str">
        <f>HYPERLINK("#Statut_biogéographique!A"&amp;_xlfn.XMATCH("P",Statut_biogéographique!A:A,2,1),"P")</f>
        <v>P</v>
      </c>
      <c r="AP23231" s="4" t="s">
        <v>376</v>
      </c>
      <c r="AR23231" s="4" t="s">
        <v>377</v>
      </c>
    </row>
    <row r="23232" spans="1:44" ht="30">
      <c r="A23232" s="4" t="s">
        <v>24364</v>
      </c>
      <c r="B23232" s="4">
        <v>718323</v>
      </c>
      <c r="D23232" s="5">
        <v>718323</v>
      </c>
      <c r="E23232" s="6" t="str">
        <f>HYPERLINK("https://inpn.mnhn.fr/espece/cd_nom/718323","Calamagrostis neglecta subsp. neglecta (Ehrh.) G.Gaertn., B.Mey. &amp; Scherb., 1799")</f>
        <v>Calamagrostis neglecta subsp. neglecta (Ehrh.) G.Gaertn., B.Mey. &amp; Scherb., 1799</v>
      </c>
      <c r="F23232" s="5" t="s">
        <v>28985</v>
      </c>
      <c r="M23232" s="4" t="str">
        <f>HYPERLINK("#Réglementation!A"&amp;_xlfn.XMATCH("RV43",Réglementation!A:A,2,1),"RV43")</f>
        <v>RV43</v>
      </c>
      <c r="AH23232" s="4" t="str">
        <f>HYPERLINK("#Statut_biogéographique!A"&amp;_xlfn.XMATCH("P",Statut_biogéographique!A:A,2,1),"P")</f>
        <v>P</v>
      </c>
      <c r="AP23232" s="4" t="s">
        <v>389</v>
      </c>
      <c r="AR23232" s="4" t="s">
        <v>377</v>
      </c>
    </row>
    <row r="23233" spans="1:44" ht="45">
      <c r="A23233" s="4" t="s">
        <v>24364</v>
      </c>
      <c r="B23233" s="4">
        <v>718331</v>
      </c>
      <c r="D23233" s="5" t="s">
        <v>30094</v>
      </c>
      <c r="E23233" s="6" t="str">
        <f>HYPERLINK("https://inpn.mnhn.fr/espece/cd_nom/718331","Chelidonium majus subsp. majus L., 1753")</f>
        <v>Chelidonium majus subsp. majus L., 1753</v>
      </c>
      <c r="F23233" s="5" t="s">
        <v>30095</v>
      </c>
      <c r="AH23233" s="4" t="str">
        <f>HYPERLINK("#Statut_biogéographique!A"&amp;_xlfn.XMATCH("P",Statut_biogéographique!A:A,2,1),"P")</f>
        <v>P</v>
      </c>
      <c r="AP23233" s="4" t="s">
        <v>376</v>
      </c>
      <c r="AR23233" s="4" t="s">
        <v>377</v>
      </c>
    </row>
    <row r="23234" spans="1:44" ht="30">
      <c r="A23234" s="4" t="s">
        <v>24364</v>
      </c>
      <c r="B23234" s="4">
        <v>718332</v>
      </c>
      <c r="D23234" s="5">
        <v>718332</v>
      </c>
      <c r="E23234" s="6" t="str">
        <f>HYPERLINK("https://inpn.mnhn.fr/espece/cd_nom/718332","Clinopodium nepeta subsp. nepeta (L.) Kuntze, 1891")</f>
        <v>Clinopodium nepeta subsp. nepeta (L.) Kuntze, 1891</v>
      </c>
      <c r="F23234" s="5" t="s">
        <v>30096</v>
      </c>
      <c r="Q23234" s="7" t="str">
        <f>HYPERLINK("#Liste_rouge!A"&amp;_xlfn.XMATCH("LC",Liste_rouge!A:A,2,1),"LC")</f>
        <v>LC</v>
      </c>
      <c r="AH23234" s="4" t="str">
        <f>HYPERLINK("#Statut_biogéographique!A"&amp;_xlfn.XMATCH("P",Statut_biogéographique!A:A,2,1),"P")</f>
        <v>P</v>
      </c>
      <c r="AP23234" s="4" t="s">
        <v>376</v>
      </c>
      <c r="AR23234" s="4" t="s">
        <v>377</v>
      </c>
    </row>
    <row r="23235" spans="1:44" ht="30">
      <c r="A23235" s="4" t="s">
        <v>24364</v>
      </c>
      <c r="B23235" s="4">
        <v>718333</v>
      </c>
      <c r="D23235" s="5">
        <v>718333</v>
      </c>
      <c r="E23235" s="6" t="str">
        <f>HYPERLINK("https://inpn.mnhn.fr/espece/cd_nom/718333","Conopodium majus subsp. majus (Gouan) Loret, 1886")</f>
        <v>Conopodium majus subsp. majus (Gouan) Loret, 1886</v>
      </c>
      <c r="F23235" s="5" t="s">
        <v>30097</v>
      </c>
      <c r="AH23235" s="4" t="str">
        <f>HYPERLINK("#Statut_biogéographique!A"&amp;_xlfn.XMATCH("P",Statut_biogéographique!A:A,2,1),"P")</f>
        <v>P</v>
      </c>
      <c r="AP23235" s="4" t="s">
        <v>376</v>
      </c>
      <c r="AR23235" s="4" t="s">
        <v>377</v>
      </c>
    </row>
    <row r="23236" spans="1:44" ht="30">
      <c r="A23236" s="4" t="s">
        <v>24364</v>
      </c>
      <c r="B23236" s="4">
        <v>718335</v>
      </c>
      <c r="D23236" s="5">
        <v>718335</v>
      </c>
      <c r="E23236" s="6" t="str">
        <f>HYPERLINK("https://inpn.mnhn.fr/espece/cd_nom/718335","Dactylis glomerata subsp. glomerata x Dactylis glomerata subsp. hispanica ")</f>
        <v xml:space="preserve">Dactylis glomerata subsp. glomerata x Dactylis glomerata subsp. hispanica </v>
      </c>
      <c r="F23236" s="5" t="s">
        <v>30098</v>
      </c>
      <c r="AH23236" s="4" t="str">
        <f>HYPERLINK("#Statut_biogéographique!A"&amp;_xlfn.XMATCH("P",Statut_biogéographique!A:A,2,1),"P")</f>
        <v>P</v>
      </c>
      <c r="AP23236" s="4" t="s">
        <v>376</v>
      </c>
      <c r="AR23236" s="4" t="s">
        <v>377</v>
      </c>
    </row>
    <row r="23237" spans="1:44" ht="30">
      <c r="A23237" s="4" t="s">
        <v>24364</v>
      </c>
      <c r="B23237" s="4">
        <v>718336</v>
      </c>
      <c r="D23237" s="5" t="s">
        <v>30099</v>
      </c>
      <c r="E23237" s="6" t="str">
        <f>HYPERLINK("https://inpn.mnhn.fr/espece/cd_nom/718336","Dactylis glomerata subsp. slovenica (Domin) Domin, 1928")</f>
        <v>Dactylis glomerata subsp. slovenica (Domin) Domin, 1928</v>
      </c>
      <c r="F23237" s="5" t="s">
        <v>30100</v>
      </c>
      <c r="Q23237" s="7" t="str">
        <f>HYPERLINK("#Liste_rouge!A"&amp;_xlfn.XMATCH("LC",Liste_rouge!A:A,2,1),"LC")</f>
        <v>LC</v>
      </c>
      <c r="AH23237" s="4" t="str">
        <f>HYPERLINK("#Statut_biogéographique!A"&amp;_xlfn.XMATCH("P",Statut_biogéographique!A:A,2,1),"P")</f>
        <v>P</v>
      </c>
      <c r="AM23237" s="4" t="s">
        <v>375</v>
      </c>
      <c r="AN23237" s="4" t="s">
        <v>375</v>
      </c>
      <c r="AO23237" s="4" t="s">
        <v>375</v>
      </c>
      <c r="AP23237" s="4" t="s">
        <v>376</v>
      </c>
      <c r="AR23237" s="4" t="s">
        <v>377</v>
      </c>
    </row>
    <row r="23238" spans="1:44" ht="30">
      <c r="A23238" s="4" t="s">
        <v>24364</v>
      </c>
      <c r="B23238" s="4">
        <v>718338</v>
      </c>
      <c r="D23238" s="5" t="s">
        <v>30101</v>
      </c>
      <c r="E23238" s="6" t="str">
        <f>HYPERLINK("https://inpn.mnhn.fr/espece/cd_nom/718338","Delphinium consolida subsp. consolida L., 1753")</f>
        <v>Delphinium consolida subsp. consolida L., 1753</v>
      </c>
      <c r="F23238" s="5" t="s">
        <v>30102</v>
      </c>
      <c r="T23238" s="7" t="str">
        <f>HYPERLINK("#Liste_rouge!A"&amp;_xlfn.XMATCH("DD",Liste_rouge!A:A,2,1),"DD")</f>
        <v>DD</v>
      </c>
      <c r="AH23238" s="4" t="str">
        <f>HYPERLINK("#Statut_biogéographique!A"&amp;_xlfn.XMATCH("P",Statut_biogéographique!A:A,2,1),"P")</f>
        <v>P</v>
      </c>
      <c r="AP23238" s="4" t="s">
        <v>376</v>
      </c>
      <c r="AR23238" s="4" t="s">
        <v>377</v>
      </c>
    </row>
    <row r="23239" spans="1:44" ht="30">
      <c r="A23239" s="4" t="s">
        <v>24364</v>
      </c>
      <c r="B23239" s="4">
        <v>718341</v>
      </c>
      <c r="D23239" s="5" t="s">
        <v>30103</v>
      </c>
      <c r="E23239" s="6" t="str">
        <f>HYPERLINK("https://inpn.mnhn.fr/espece/cd_nom/718341","Elytrigia campestris subsp. campestris (Godr. &amp; Gren.) Kerguélen, 1987")</f>
        <v>Elytrigia campestris subsp. campestris (Godr. &amp; Gren.) Kerguélen, 1987</v>
      </c>
      <c r="F23239" s="5" t="s">
        <v>30104</v>
      </c>
      <c r="Q23239" s="7" t="str">
        <f>HYPERLINK("#Liste_rouge!A"&amp;_xlfn.XMATCH("LC",Liste_rouge!A:A,2,1),"LC")</f>
        <v>LC</v>
      </c>
      <c r="AH23239" s="4" t="str">
        <f>HYPERLINK("#Statut_biogéographique!A"&amp;_xlfn.XMATCH("P",Statut_biogéographique!A:A,2,1),"P")</f>
        <v>P</v>
      </c>
      <c r="AP23239" s="4" t="s">
        <v>376</v>
      </c>
      <c r="AR23239" s="4" t="s">
        <v>377</v>
      </c>
    </row>
    <row r="23240" spans="1:44" ht="30">
      <c r="A23240" s="4" t="s">
        <v>24364</v>
      </c>
      <c r="B23240" s="4">
        <v>718348</v>
      </c>
      <c r="D23240" s="5" t="s">
        <v>30105</v>
      </c>
      <c r="E23240" s="6" t="str">
        <f>HYPERLINK("https://inpn.mnhn.fr/espece/cd_nom/718348","Eriophorum angustifolium subsp. angustifolium Honck., 1782")</f>
        <v>Eriophorum angustifolium subsp. angustifolium Honck., 1782</v>
      </c>
      <c r="F23240" s="5" t="s">
        <v>30106</v>
      </c>
      <c r="AH23240" s="4" t="str">
        <f>HYPERLINK("#Statut_biogéographique!A"&amp;_xlfn.XMATCH("P",Statut_biogéographique!A:A,2,1),"P")</f>
        <v>P</v>
      </c>
      <c r="AP23240" s="4" t="s">
        <v>376</v>
      </c>
      <c r="AR23240" s="4" t="s">
        <v>377</v>
      </c>
    </row>
    <row r="23241" spans="1:44" ht="30">
      <c r="A23241" s="4" t="s">
        <v>24364</v>
      </c>
      <c r="B23241" s="4">
        <v>718355</v>
      </c>
      <c r="D23241" s="5" t="s">
        <v>30107</v>
      </c>
      <c r="E23241" s="6" t="str">
        <f>HYPERLINK("https://inpn.mnhn.fr/espece/cd_nom/718355","Ficaria verna subsp. verna Huds., 1762")</f>
        <v>Ficaria verna subsp. verna Huds., 1762</v>
      </c>
      <c r="F23241" s="5" t="s">
        <v>30108</v>
      </c>
      <c r="Q23241" s="7" t="str">
        <f>HYPERLINK("#Liste_rouge!A"&amp;_xlfn.XMATCH("LC",Liste_rouge!A:A,2,1),"LC")</f>
        <v>LC</v>
      </c>
      <c r="T23241" s="7" t="str">
        <f>HYPERLINK("#Liste_rouge!A"&amp;_xlfn.XMATCH("LC",Liste_rouge!A:A,2,1),"LC")</f>
        <v>LC</v>
      </c>
      <c r="AH23241" s="4" t="str">
        <f>HYPERLINK("#Statut_biogéographique!A"&amp;_xlfn.XMATCH("P",Statut_biogéographique!A:A,2,1),"P")</f>
        <v>P</v>
      </c>
      <c r="AM23241" s="4" t="s">
        <v>375</v>
      </c>
      <c r="AN23241" s="4" t="s">
        <v>375</v>
      </c>
      <c r="AO23241" s="4" t="s">
        <v>375</v>
      </c>
      <c r="AP23241" s="4" t="s">
        <v>376</v>
      </c>
      <c r="AR23241" s="4" t="s">
        <v>377</v>
      </c>
    </row>
    <row r="23242" spans="1:44">
      <c r="A23242" s="4" t="s">
        <v>24364</v>
      </c>
      <c r="B23242" s="4">
        <v>718357</v>
      </c>
      <c r="D23242" s="5">
        <v>718357</v>
      </c>
      <c r="E23242" s="6" t="str">
        <f>HYPERLINK("https://inpn.mnhn.fr/espece/cd_nom/718357","Glyceria striata subsp. difformis Portal, 2014")</f>
        <v>Glyceria striata subsp. difformis Portal, 2014</v>
      </c>
      <c r="F23242" s="5" t="s">
        <v>30109</v>
      </c>
      <c r="Q23242" s="7" t="str">
        <f>HYPERLINK("#Liste_rouge!A"&amp;_xlfn.XMATCH("NA",Liste_rouge!A:A,2,1),"NA")</f>
        <v>NA</v>
      </c>
      <c r="AH23242" s="4" t="str">
        <f>HYPERLINK("#Statut_biogéographique!A"&amp;_xlfn.XMATCH("I",Statut_biogéographique!A:A,2,1),"I")</f>
        <v>I</v>
      </c>
      <c r="AP23242" s="4" t="s">
        <v>376</v>
      </c>
      <c r="AR23242" s="4" t="s">
        <v>377</v>
      </c>
    </row>
    <row r="23243" spans="1:44" ht="30">
      <c r="A23243" s="4" t="s">
        <v>24364</v>
      </c>
      <c r="B23243" s="4">
        <v>718359</v>
      </c>
      <c r="D23243" s="5" t="s">
        <v>30110</v>
      </c>
      <c r="E23243" s="6" t="str">
        <f>HYPERLINK("https://inpn.mnhn.fr/espece/cd_nom/718359","Helictochloa pratensis subsp. pratensis (L.) Romero Zarco, 2011")</f>
        <v>Helictochloa pratensis subsp. pratensis (L.) Romero Zarco, 2011</v>
      </c>
      <c r="F23243" s="5" t="s">
        <v>29966</v>
      </c>
      <c r="Q23243" s="7" t="str">
        <f>HYPERLINK("#Liste_rouge!A"&amp;_xlfn.XMATCH("LC",Liste_rouge!A:A,2,1),"LC")</f>
        <v>LC</v>
      </c>
      <c r="T23243" s="7" t="str">
        <f>HYPERLINK("#Liste_rouge!A"&amp;_xlfn.XMATCH("DD",Liste_rouge!A:A,2,1),"DD")</f>
        <v>DD</v>
      </c>
      <c r="AH23243" s="4" t="str">
        <f>HYPERLINK("#Statut_biogéographique!A"&amp;_xlfn.XMATCH("P",Statut_biogéographique!A:A,2,1),"P")</f>
        <v>P</v>
      </c>
      <c r="AM23243" s="4" t="s">
        <v>375</v>
      </c>
      <c r="AN23243" s="4" t="s">
        <v>375</v>
      </c>
      <c r="AO23243" s="4" t="s">
        <v>375</v>
      </c>
      <c r="AP23243" s="4" t="s">
        <v>376</v>
      </c>
      <c r="AR23243" s="4" t="s">
        <v>377</v>
      </c>
    </row>
    <row r="23244" spans="1:44">
      <c r="A23244" s="4" t="s">
        <v>24364</v>
      </c>
      <c r="B23244" s="4">
        <v>718362</v>
      </c>
      <c r="D23244" s="5">
        <v>718362</v>
      </c>
      <c r="E23244" s="6" t="str">
        <f>HYPERLINK("https://inpn.mnhn.fr/espece/cd_nom/718362","Holcus lanatus subsp. lanatus L., 1753")</f>
        <v>Holcus lanatus subsp. lanatus L., 1753</v>
      </c>
      <c r="F23244" s="5" t="s">
        <v>24727</v>
      </c>
      <c r="AH23244" s="4" t="str">
        <f>HYPERLINK("#Statut_biogéographique!A"&amp;_xlfn.XMATCH("P",Statut_biogéographique!A:A,2,1),"P")</f>
        <v>P</v>
      </c>
      <c r="AP23244" s="4" t="s">
        <v>376</v>
      </c>
      <c r="AR23244" s="4" t="s">
        <v>377</v>
      </c>
    </row>
    <row r="23245" spans="1:44" ht="30">
      <c r="A23245" s="4" t="s">
        <v>24364</v>
      </c>
      <c r="B23245" s="4">
        <v>718364</v>
      </c>
      <c r="D23245" s="5">
        <v>718364</v>
      </c>
      <c r="E23245" s="6" t="str">
        <f>HYPERLINK("https://inpn.mnhn.fr/espece/cd_nom/718364","Hypericum x desetangsii nothosubsp. desetangsii Lamotte, 1874")</f>
        <v>Hypericum x desetangsii nothosubsp. desetangsii Lamotte, 1874</v>
      </c>
      <c r="F23245" s="5" t="s">
        <v>24790</v>
      </c>
      <c r="AH23245" s="4" t="str">
        <f>HYPERLINK("#Statut_biogéographique!A"&amp;_xlfn.XMATCH("P",Statut_biogéographique!A:A,2,1),"P")</f>
        <v>P</v>
      </c>
      <c r="AP23245" s="4" t="s">
        <v>376</v>
      </c>
      <c r="AR23245" s="4" t="s">
        <v>377</v>
      </c>
    </row>
    <row r="23246" spans="1:44" ht="30">
      <c r="A23246" s="4" t="s">
        <v>24364</v>
      </c>
      <c r="B23246" s="4">
        <v>718366</v>
      </c>
      <c r="D23246" s="5">
        <v>718366</v>
      </c>
      <c r="E23246" s="6" t="str">
        <f>HYPERLINK("https://inpn.mnhn.fr/espece/cd_nom/718366","Jacobaea erucifolia subsp. erucifolia (L.) G.Gaertn., B.Mey. &amp; Scherb., 1801")</f>
        <v>Jacobaea erucifolia subsp. erucifolia (L.) G.Gaertn., B.Mey. &amp; Scherb., 1801</v>
      </c>
      <c r="F23246" s="5" t="s">
        <v>24902</v>
      </c>
      <c r="AH23246" s="4" t="str">
        <f>HYPERLINK("#Statut_biogéographique!A"&amp;_xlfn.XMATCH("P",Statut_biogéographique!A:A,2,1),"P")</f>
        <v>P</v>
      </c>
      <c r="AP23246" s="4" t="s">
        <v>376</v>
      </c>
      <c r="AR23246" s="4" t="s">
        <v>377</v>
      </c>
    </row>
    <row r="23247" spans="1:44" ht="30">
      <c r="A23247" s="4" t="s">
        <v>24364</v>
      </c>
      <c r="B23247" s="4">
        <v>718368</v>
      </c>
      <c r="D23247" s="5">
        <v>718368</v>
      </c>
      <c r="E23247" s="6" t="str">
        <f>HYPERLINK("https://inpn.mnhn.fr/espece/cd_nom/718368","Koeleria macrantha subsp. macrantha (Ledeb.) Schult., 1824")</f>
        <v>Koeleria macrantha subsp. macrantha (Ledeb.) Schult., 1824</v>
      </c>
      <c r="F23247" s="5" t="s">
        <v>24993</v>
      </c>
      <c r="AH23247" s="4" t="str">
        <f>HYPERLINK("#Statut_biogéographique!A"&amp;_xlfn.XMATCH("P",Statut_biogéographique!A:A,2,1),"P")</f>
        <v>P</v>
      </c>
      <c r="AP23247" s="4" t="s">
        <v>376</v>
      </c>
      <c r="AR23247" s="4" t="s">
        <v>377</v>
      </c>
    </row>
    <row r="23248" spans="1:44" ht="30">
      <c r="A23248" s="4" t="s">
        <v>24364</v>
      </c>
      <c r="B23248" s="4">
        <v>718369</v>
      </c>
      <c r="D23248" s="5">
        <v>718369</v>
      </c>
      <c r="E23248" s="6" t="str">
        <f>HYPERLINK("https://inpn.mnhn.fr/espece/cd_nom/718369","Koeleria pyramidata subsp. pyramidata (Lam.) P.Beauv., 1812")</f>
        <v>Koeleria pyramidata subsp. pyramidata (Lam.) P.Beauv., 1812</v>
      </c>
      <c r="F23248" s="5" t="s">
        <v>24995</v>
      </c>
      <c r="AH23248" s="4" t="str">
        <f>HYPERLINK("#Statut_biogéographique!A"&amp;_xlfn.XMATCH("P",Statut_biogéographique!A:A,2,1),"P")</f>
        <v>P</v>
      </c>
      <c r="AP23248" s="4" t="s">
        <v>376</v>
      </c>
      <c r="AR23248" s="4" t="s">
        <v>377</v>
      </c>
    </row>
    <row r="23249" spans="1:44" ht="30">
      <c r="A23249" s="4" t="s">
        <v>24364</v>
      </c>
      <c r="B23249" s="4">
        <v>718370</v>
      </c>
      <c r="D23249" s="5">
        <v>718370</v>
      </c>
      <c r="E23249" s="6" t="str">
        <f>HYPERLINK("https://inpn.mnhn.fr/espece/cd_nom/718370","Lagurus ovatus subsp. ovatus L., 1753")</f>
        <v>Lagurus ovatus subsp. ovatus L., 1753</v>
      </c>
      <c r="F23249" s="5" t="s">
        <v>30111</v>
      </c>
      <c r="AH23249" s="4" t="str">
        <f>HYPERLINK("#Statut_biogéographique!A"&amp;_xlfn.XMATCH("P",Statut_biogéographique!A:A,2,1),"P")</f>
        <v>P</v>
      </c>
      <c r="AP23249" s="4" t="s">
        <v>376</v>
      </c>
      <c r="AR23249" s="4" t="s">
        <v>377</v>
      </c>
    </row>
    <row r="23250" spans="1:44" ht="45">
      <c r="A23250" s="4" t="s">
        <v>24364</v>
      </c>
      <c r="B23250" s="4">
        <v>718371</v>
      </c>
      <c r="D23250" s="5" t="s">
        <v>30112</v>
      </c>
      <c r="E23250" s="6" t="str">
        <f>HYPERLINK("https://inpn.mnhn.fr/espece/cd_nom/718371","Laserpitium latifolium subsp. latifolium L., 1753")</f>
        <v>Laserpitium latifolium subsp. latifolium L., 1753</v>
      </c>
      <c r="F23250" s="5" t="s">
        <v>25051</v>
      </c>
      <c r="T23250" s="7" t="str">
        <f>HYPERLINK("#Liste_rouge!A"&amp;_xlfn.XMATCH("DD",Liste_rouge!A:A,2,1),"DD")</f>
        <v>DD</v>
      </c>
      <c r="AH23250" s="4" t="str">
        <f>HYPERLINK("#Statut_biogéographique!A"&amp;_xlfn.XMATCH("P",Statut_biogéographique!A:A,2,1),"P")</f>
        <v>P</v>
      </c>
      <c r="AP23250" s="4" t="s">
        <v>376</v>
      </c>
      <c r="AR23250" s="4" t="s">
        <v>377</v>
      </c>
    </row>
    <row r="23251" spans="1:44" ht="45">
      <c r="A23251" s="4" t="s">
        <v>24364</v>
      </c>
      <c r="B23251" s="4">
        <v>718377</v>
      </c>
      <c r="D23251" s="5" t="s">
        <v>30113</v>
      </c>
      <c r="E23251" s="6" t="str">
        <f>HYPERLINK("https://inpn.mnhn.fr/espece/cd_nom/718377","Luzula campestris subsp. campestris (L.) DC., 1805")</f>
        <v>Luzula campestris subsp. campestris (L.) DC., 1805</v>
      </c>
      <c r="F23251" s="5" t="s">
        <v>25324</v>
      </c>
      <c r="AH23251" s="4" t="str">
        <f>HYPERLINK("#Statut_biogéographique!A"&amp;_xlfn.XMATCH("P",Statut_biogéographique!A:A,2,1),"P")</f>
        <v>P</v>
      </c>
      <c r="AP23251" s="4" t="s">
        <v>376</v>
      </c>
      <c r="AR23251" s="4" t="s">
        <v>377</v>
      </c>
    </row>
    <row r="23252" spans="1:44" ht="30">
      <c r="A23252" s="4" t="s">
        <v>24364</v>
      </c>
      <c r="B23252" s="4">
        <v>718378</v>
      </c>
      <c r="D23252" s="5" t="s">
        <v>30114</v>
      </c>
      <c r="E23252" s="6" t="str">
        <f>HYPERLINK("https://inpn.mnhn.fr/espece/cd_nom/718378","Lychnis flos-cuculi subsp. flos-cuculi L., 1753")</f>
        <v>Lychnis flos-cuculi subsp. flos-cuculi L., 1753</v>
      </c>
      <c r="F23252" s="5" t="s">
        <v>25350</v>
      </c>
      <c r="T23252" s="7" t="str">
        <f>HYPERLINK("#Liste_rouge!A"&amp;_xlfn.XMATCH("LC",Liste_rouge!A:A,2,1),"LC")</f>
        <v>LC</v>
      </c>
      <c r="AH23252" s="4" t="str">
        <f>HYPERLINK("#Statut_biogéographique!A"&amp;_xlfn.XMATCH("P",Statut_biogéographique!A:A,2,1),"P")</f>
        <v>P</v>
      </c>
      <c r="AP23252" s="4" t="s">
        <v>376</v>
      </c>
      <c r="AR23252" s="4" t="s">
        <v>377</v>
      </c>
    </row>
    <row r="23253" spans="1:44" ht="105">
      <c r="A23253" s="4" t="s">
        <v>24364</v>
      </c>
      <c r="B23253" s="4">
        <v>718387</v>
      </c>
      <c r="D23253" s="5" t="s">
        <v>30115</v>
      </c>
      <c r="E23253" s="6" t="str">
        <f>HYPERLINK("https://inpn.mnhn.fr/espece/cd_nom/718387","Picris hieracioides subsp. umbellata (Schrank) Ces., 1844")</f>
        <v>Picris hieracioides subsp. umbellata (Schrank) Ces., 1844</v>
      </c>
      <c r="F23253" s="5" t="s">
        <v>30116</v>
      </c>
      <c r="Q23253" s="7" t="str">
        <f>HYPERLINK("#Liste_rouge!A"&amp;_xlfn.XMATCH("LC",Liste_rouge!A:A,2,1),"LC")</f>
        <v>LC</v>
      </c>
      <c r="AH23253" s="4" t="str">
        <f>HYPERLINK("#Statut_biogéographique!A"&amp;_xlfn.XMATCH("P",Statut_biogéographique!A:A,2,1),"P")</f>
        <v>P</v>
      </c>
      <c r="AM23253" s="4" t="s">
        <v>375</v>
      </c>
      <c r="AN23253" s="4" t="s">
        <v>375</v>
      </c>
      <c r="AO23253" s="4" t="s">
        <v>375</v>
      </c>
      <c r="AP23253" s="4" t="s">
        <v>376</v>
      </c>
      <c r="AR23253" s="4" t="s">
        <v>377</v>
      </c>
    </row>
    <row r="23254" spans="1:44" ht="30">
      <c r="A23254" s="4" t="s">
        <v>24364</v>
      </c>
      <c r="B23254" s="4">
        <v>718388</v>
      </c>
      <c r="D23254" s="5" t="s">
        <v>30117</v>
      </c>
      <c r="E23254" s="6" t="str">
        <f>HYPERLINK("https://inpn.mnhn.fr/espece/cd_nom/718388","Pilosella aurantiaca subsp. aurantiaca (L.) F.W.Schultz &amp; Sch.Bip., 1862")</f>
        <v>Pilosella aurantiaca subsp. aurantiaca (L.) F.W.Schultz &amp; Sch.Bip., 1862</v>
      </c>
      <c r="F23254" s="5" t="s">
        <v>26073</v>
      </c>
      <c r="AH23254" s="4" t="str">
        <f>HYPERLINK("#Statut_biogéographique!A"&amp;_xlfn.XMATCH("P",Statut_biogéographique!A:A,2,1),"P")</f>
        <v>P</v>
      </c>
      <c r="AM23254" s="4" t="s">
        <v>375</v>
      </c>
      <c r="AN23254" s="4" t="s">
        <v>375</v>
      </c>
      <c r="AO23254" s="4" t="s">
        <v>375</v>
      </c>
      <c r="AP23254" s="4" t="s">
        <v>376</v>
      </c>
      <c r="AR23254" s="4" t="s">
        <v>377</v>
      </c>
    </row>
    <row r="23255" spans="1:44" ht="30">
      <c r="A23255" s="4" t="s">
        <v>24364</v>
      </c>
      <c r="B23255" s="4">
        <v>718389</v>
      </c>
      <c r="D23255" s="5" t="s">
        <v>30118</v>
      </c>
      <c r="E23255" s="6" t="str">
        <f>HYPERLINK("https://inpn.mnhn.fr/espece/cd_nom/718389","Pilosella lactucella subsp. lactucella (Wallr.) P.D.Sell &amp; C.West, 1967")</f>
        <v>Pilosella lactucella subsp. lactucella (Wallr.) P.D.Sell &amp; C.West, 1967</v>
      </c>
      <c r="F23255" s="5" t="s">
        <v>26080</v>
      </c>
      <c r="Q23255" s="7" t="str">
        <f>HYPERLINK("#Liste_rouge!A"&amp;_xlfn.XMATCH("LC",Liste_rouge!A:A,2,1),"LC")</f>
        <v>LC</v>
      </c>
      <c r="AH23255" s="4" t="str">
        <f>HYPERLINK("#Statut_biogéographique!A"&amp;_xlfn.XMATCH("P",Statut_biogéographique!A:A,2,1),"P")</f>
        <v>P</v>
      </c>
      <c r="AP23255" s="4" t="s">
        <v>376</v>
      </c>
      <c r="AR23255" s="4" t="s">
        <v>377</v>
      </c>
    </row>
    <row r="23256" spans="1:44" ht="30">
      <c r="A23256" s="4" t="s">
        <v>24364</v>
      </c>
      <c r="B23256" s="4">
        <v>718390</v>
      </c>
      <c r="D23256" s="5" t="s">
        <v>30119</v>
      </c>
      <c r="E23256" s="6" t="str">
        <f>HYPERLINK("https://inpn.mnhn.fr/espece/cd_nom/718390","Pilosella peleteriana subsp. peleteriana (Mérat) F.W.Schultz &amp; Sch.Bip., 1862")</f>
        <v>Pilosella peleteriana subsp. peleteriana (Mérat) F.W.Schultz &amp; Sch.Bip., 1862</v>
      </c>
      <c r="F23256" s="5" t="s">
        <v>26084</v>
      </c>
      <c r="Q23256" s="7" t="str">
        <f>HYPERLINK("#Liste_rouge!A"&amp;_xlfn.XMATCH("DD",Liste_rouge!A:A,2,1),"DD")</f>
        <v>DD</v>
      </c>
      <c r="T23256" s="7" t="str">
        <f>HYPERLINK("#Liste_rouge!A"&amp;_xlfn.XMATCH("EN",Liste_rouge!A:A,2,1),"EN")</f>
        <v>EN</v>
      </c>
      <c r="U23256" s="4" t="str">
        <f>HYPERLINK("#Critères_liste_rouge!A$1","C2a(i)")</f>
        <v>C2a(i)</v>
      </c>
      <c r="AH23256" s="4" t="str">
        <f>HYPERLINK("#Statut_biogéographique!A"&amp;_xlfn.XMATCH("P",Statut_biogéographique!A:A,2,1),"P")</f>
        <v>P</v>
      </c>
      <c r="AP23256" s="4" t="s">
        <v>376</v>
      </c>
      <c r="AR23256" s="4" t="s">
        <v>377</v>
      </c>
    </row>
    <row r="23257" spans="1:44">
      <c r="A23257" s="4" t="s">
        <v>24364</v>
      </c>
      <c r="B23257" s="4">
        <v>718395</v>
      </c>
      <c r="D23257" s="5">
        <v>718395</v>
      </c>
      <c r="E23257" s="6" t="str">
        <f>HYPERLINK("https://inpn.mnhn.fr/espece/cd_nom/718395","Potentilla supina subsp. supina L., 1753")</f>
        <v>Potentilla supina subsp. supina L., 1753</v>
      </c>
      <c r="F23257" s="5" t="s">
        <v>26369</v>
      </c>
      <c r="M23257" s="4" t="str">
        <f>HYPERLINK("#Réglementation!A"&amp;_xlfn.XMATCH("RV43",Réglementation!A:A,2,1),"RV43")</f>
        <v>RV43</v>
      </c>
      <c r="AH23257" s="4" t="str">
        <f>HYPERLINK("#Statut_biogéographique!A"&amp;_xlfn.XMATCH("P",Statut_biogéographique!A:A,2,1),"P")</f>
        <v>P</v>
      </c>
      <c r="AP23257" s="4" t="s">
        <v>376</v>
      </c>
      <c r="AR23257" s="4" t="s">
        <v>377</v>
      </c>
    </row>
    <row r="23258" spans="1:44" ht="30">
      <c r="A23258" s="4" t="s">
        <v>24364</v>
      </c>
      <c r="B23258" s="4">
        <v>718405</v>
      </c>
      <c r="D23258" s="5">
        <v>718405</v>
      </c>
      <c r="E23258" s="6" t="str">
        <f>HYPERLINK("https://inpn.mnhn.fr/espece/cd_nom/718405","Schedonorus arundinaceus subsp. arundinaceus (Schreb.) Dumort., 1824")</f>
        <v>Schedonorus arundinaceus subsp. arundinaceus (Schreb.) Dumort., 1824</v>
      </c>
      <c r="F23258" s="5" t="s">
        <v>30021</v>
      </c>
      <c r="Q23258" s="7" t="str">
        <f>HYPERLINK("#Liste_rouge!A"&amp;_xlfn.XMATCH("LC",Liste_rouge!A:A,2,1),"LC")</f>
        <v>LC</v>
      </c>
      <c r="T23258" s="7" t="str">
        <f>HYPERLINK("#Liste_rouge!A"&amp;_xlfn.XMATCH("DD",Liste_rouge!A:A,2,1),"DD")</f>
        <v>DD</v>
      </c>
      <c r="AH23258" s="4" t="str">
        <f>HYPERLINK("#Statut_biogéographique!A"&amp;_xlfn.XMATCH("P",Statut_biogéographique!A:A,2,1),"P")</f>
        <v>P</v>
      </c>
      <c r="AP23258" s="4" t="s">
        <v>376</v>
      </c>
      <c r="AR23258" s="4" t="s">
        <v>377</v>
      </c>
    </row>
    <row r="23259" spans="1:44" ht="30">
      <c r="A23259" s="4" t="s">
        <v>24364</v>
      </c>
      <c r="B23259" s="4">
        <v>718406</v>
      </c>
      <c r="D23259" s="5" t="s">
        <v>30120</v>
      </c>
      <c r="E23259" s="6" t="str">
        <f>HYPERLINK("https://inpn.mnhn.fr/espece/cd_nom/718406","Schedonorus pratensis subsp. pratensis (Huds.) P.Beauv., 1812")</f>
        <v>Schedonorus pratensis subsp. pratensis (Huds.) P.Beauv., 1812</v>
      </c>
      <c r="F23259" s="5" t="s">
        <v>27193</v>
      </c>
      <c r="Q23259" s="7" t="str">
        <f>HYPERLINK("#Liste_rouge!A"&amp;_xlfn.XMATCH("LC",Liste_rouge!A:A,2,1),"LC")</f>
        <v>LC</v>
      </c>
      <c r="T23259" s="7" t="str">
        <f>HYPERLINK("#Liste_rouge!A"&amp;_xlfn.XMATCH("DD",Liste_rouge!A:A,2,1),"DD")</f>
        <v>DD</v>
      </c>
      <c r="AH23259" s="4" t="str">
        <f>HYPERLINK("#Statut_biogéographique!A"&amp;_xlfn.XMATCH("P",Statut_biogéographique!A:A,2,1),"P")</f>
        <v>P</v>
      </c>
      <c r="AM23259" s="4" t="s">
        <v>375</v>
      </c>
      <c r="AN23259" s="4" t="s">
        <v>375</v>
      </c>
      <c r="AO23259" s="4" t="s">
        <v>375</v>
      </c>
      <c r="AP23259" s="4" t="s">
        <v>376</v>
      </c>
      <c r="AR23259" s="4" t="s">
        <v>377</v>
      </c>
    </row>
    <row r="23260" spans="1:44" ht="30">
      <c r="A23260" s="4" t="s">
        <v>24364</v>
      </c>
      <c r="B23260" s="4">
        <v>718412</v>
      </c>
      <c r="D23260" s="5">
        <v>718412</v>
      </c>
      <c r="E23260" s="6" t="str">
        <f>HYPERLINK("https://inpn.mnhn.fr/espece/cd_nom/718412","Senecio hercynicus subsp. hercynicus Herborg, 1987")</f>
        <v>Senecio hercynicus subsp. hercynicus Herborg, 1987</v>
      </c>
      <c r="F23260" s="5" t="s">
        <v>27309</v>
      </c>
      <c r="AH23260" s="4" t="str">
        <f>HYPERLINK("#Statut_biogéographique!A"&amp;_xlfn.XMATCH("P",Statut_biogéographique!A:A,2,1),"P")</f>
        <v>P</v>
      </c>
      <c r="AP23260" s="4" t="s">
        <v>376</v>
      </c>
      <c r="AR23260" s="4" t="s">
        <v>377</v>
      </c>
    </row>
    <row r="23261" spans="1:44" ht="30">
      <c r="A23261" s="4" t="s">
        <v>24364</v>
      </c>
      <c r="B23261" s="4">
        <v>718414</v>
      </c>
      <c r="D23261" s="5">
        <v>718414</v>
      </c>
      <c r="E23261" s="6" t="str">
        <f>HYPERLINK("https://inpn.mnhn.fr/espece/cd_nom/718414","Setaria italica subsp. italica (L.) P.Beauv., 1812")</f>
        <v>Setaria italica subsp. italica (L.) P.Beauv., 1812</v>
      </c>
      <c r="F23261" s="5" t="s">
        <v>27340</v>
      </c>
      <c r="Q23261" s="7" t="str">
        <f>HYPERLINK("#Liste_rouge!A"&amp;_xlfn.XMATCH("NA",Liste_rouge!A:A,2,1),"NA")</f>
        <v>NA</v>
      </c>
      <c r="AH23261" s="4" t="str">
        <f>HYPERLINK("#Statut_biogéographique!A"&amp;_xlfn.XMATCH("M",Statut_biogéographique!A:A,2,1),"M")</f>
        <v>M</v>
      </c>
      <c r="AP23261" s="4" t="s">
        <v>376</v>
      </c>
      <c r="AR23261" s="4" t="s">
        <v>377</v>
      </c>
    </row>
    <row r="23262" spans="1:44" ht="60">
      <c r="A23262" s="4" t="s">
        <v>24364</v>
      </c>
      <c r="B23262" s="4">
        <v>718422</v>
      </c>
      <c r="D23262" s="5" t="s">
        <v>30121</v>
      </c>
      <c r="E23262" s="6" t="str">
        <f>HYPERLINK("https://inpn.mnhn.fr/espece/cd_nom/718422","Thalictrum simplex subsp. tenuifolium (Sw. ex Hartm.) Sterner, 1938")</f>
        <v>Thalictrum simplex subsp. tenuifolium (Sw. ex Hartm.) Sterner, 1938</v>
      </c>
      <c r="F23262" s="5" t="s">
        <v>30122</v>
      </c>
      <c r="Q23262" s="7" t="str">
        <f>HYPERLINK("#Liste_rouge!A"&amp;_xlfn.XMATCH("DD",Liste_rouge!A:A,2,1),"DD")</f>
        <v>DD</v>
      </c>
      <c r="T23262" s="7" t="str">
        <f>HYPERLINK("#Liste_rouge!A"&amp;_xlfn.XMATCH("NE",Liste_rouge!A:A,2,1),"NE")</f>
        <v>NE</v>
      </c>
      <c r="AH23262" s="4" t="str">
        <f>HYPERLINK("#Statut_biogéographique!A"&amp;_xlfn.XMATCH("P",Statut_biogéographique!A:A,2,1),"P")</f>
        <v>P</v>
      </c>
      <c r="AM23262" s="4" t="s">
        <v>375</v>
      </c>
      <c r="AN23262" s="4" t="s">
        <v>375</v>
      </c>
      <c r="AO23262" s="4" t="s">
        <v>375</v>
      </c>
      <c r="AP23262" s="4" t="s">
        <v>376</v>
      </c>
      <c r="AR23262" s="4" t="s">
        <v>377</v>
      </c>
    </row>
    <row r="23263" spans="1:44" ht="30">
      <c r="A23263" s="4" t="s">
        <v>24364</v>
      </c>
      <c r="B23263" s="4">
        <v>718423</v>
      </c>
      <c r="D23263" s="5">
        <v>718423</v>
      </c>
      <c r="E23263" s="6" t="str">
        <f>HYPERLINK("https://inpn.mnhn.fr/espece/cd_nom/718423","Thesium linophyllon subsp. linophyllon L., 1753")</f>
        <v>Thesium linophyllon subsp. linophyllon L., 1753</v>
      </c>
      <c r="F23263" s="5" t="s">
        <v>27694</v>
      </c>
      <c r="M23263" s="4" t="str">
        <f>HYPERLINK("#Réglementation!A"&amp;_xlfn.XMATCH("RV43",Réglementation!A:A,2,1),"RV43")</f>
        <v>RV43</v>
      </c>
      <c r="Q23263" s="7" t="str">
        <f>HYPERLINK("#Liste_rouge!A"&amp;_xlfn.XMATCH("LC",Liste_rouge!A:A,2,1),"LC")</f>
        <v>LC</v>
      </c>
      <c r="AH23263" s="4" t="str">
        <f>HYPERLINK("#Statut_biogéographique!A"&amp;_xlfn.XMATCH("P",Statut_biogéographique!A:A,2,1),"P")</f>
        <v>P</v>
      </c>
      <c r="AM23263" s="4" t="s">
        <v>375</v>
      </c>
      <c r="AN23263" s="4" t="s">
        <v>375</v>
      </c>
      <c r="AO23263" s="4" t="s">
        <v>375</v>
      </c>
      <c r="AP23263" s="4" t="s">
        <v>376</v>
      </c>
      <c r="AR23263" s="4" t="s">
        <v>377</v>
      </c>
    </row>
    <row r="23264" spans="1:44" ht="30">
      <c r="A23264" s="4" t="s">
        <v>24364</v>
      </c>
      <c r="B23264" s="4">
        <v>718430</v>
      </c>
      <c r="D23264" s="5">
        <v>718430</v>
      </c>
      <c r="E23264" s="6" t="str">
        <f>HYPERLINK("https://inpn.mnhn.fr/espece/cd_nom/718430","Triticum monococcum subsp. monococcum L., 1753")</f>
        <v>Triticum monococcum subsp. monococcum L., 1753</v>
      </c>
      <c r="F23264" s="5" t="s">
        <v>27853</v>
      </c>
      <c r="AH23264" s="4" t="str">
        <f>HYPERLINK("#Statut_biogéographique!A"&amp;_xlfn.XMATCH("M",Statut_biogéographique!A:A,2,1),"M")</f>
        <v>M</v>
      </c>
      <c r="AP23264" s="4" t="s">
        <v>376</v>
      </c>
      <c r="AR23264" s="4" t="s">
        <v>377</v>
      </c>
    </row>
    <row r="23265" spans="1:44">
      <c r="A23265" s="4" t="s">
        <v>24364</v>
      </c>
      <c r="B23265" s="4">
        <v>718537</v>
      </c>
      <c r="D23265" s="5" t="s">
        <v>30123</v>
      </c>
      <c r="E23265" s="6" t="str">
        <f>HYPERLINK("https://inpn.mnhn.fr/espece/cd_nom/718537","Dialytrichia saxicola (Lamy) M.J.Cano, 2007")</f>
        <v>Dialytrichia saxicola (Lamy) M.J.Cano, 2007</v>
      </c>
      <c r="O23265" s="7" t="str">
        <f>HYPERLINK("#Liste_rouge!A"&amp;_xlfn.XMATCH("LC",Liste_rouge!A:A,2,1),"LC")</f>
        <v>LC</v>
      </c>
      <c r="P23265" s="7" t="str">
        <f>HYPERLINK("#Liste_rouge!A"&amp;_xlfn.XMATCH("LC",Liste_rouge!A:A,2,1),"LC")</f>
        <v>LC</v>
      </c>
      <c r="T23265" s="7" t="str">
        <f>HYPERLINK("#Liste_rouge!A"&amp;_xlfn.XMATCH("LC",Liste_rouge!A:A,2,1),"LC")</f>
        <v>LC</v>
      </c>
      <c r="V23265" s="7" t="str">
        <f>HYPERLINK("#Liste_rouge!A"&amp;_xlfn.XMATCH("LC",Liste_rouge!A:A,2,1),"LC")</f>
        <v>LC</v>
      </c>
      <c r="AH23265" s="4" t="str">
        <f>HYPERLINK("#Statut_biogéographique!A"&amp;_xlfn.XMATCH("P",Statut_biogéographique!A:A,2,1),"P")</f>
        <v>P</v>
      </c>
      <c r="AP23265" s="4" t="s">
        <v>376</v>
      </c>
      <c r="AR23265" s="4" t="s">
        <v>377</v>
      </c>
    </row>
    <row r="23266" spans="1:44" ht="30">
      <c r="A23266" s="4" t="s">
        <v>24364</v>
      </c>
      <c r="B23266" s="4">
        <v>718645</v>
      </c>
      <c r="D23266" s="5" t="s">
        <v>30124</v>
      </c>
      <c r="E23266" s="6" t="str">
        <f>HYPERLINK("https://inpn.mnhn.fr/espece/cd_nom/718645","Anthemis cretica var. saxatilis (DC. ex Willd.) R.Fern., 1975")</f>
        <v>Anthemis cretica var. saxatilis (DC. ex Willd.) R.Fern., 1975</v>
      </c>
      <c r="F23266" s="5" t="s">
        <v>30125</v>
      </c>
      <c r="T23266" s="7" t="str">
        <f>HYPERLINK("#Liste_rouge!A"&amp;_xlfn.XMATCH("DD",Liste_rouge!A:A,2,1),"DD")</f>
        <v>DD</v>
      </c>
      <c r="AH23266" s="4" t="str">
        <f>HYPERLINK("#Statut_biogéographique!A"&amp;_xlfn.XMATCH("P",Statut_biogéographique!A:A,2,1),"P")</f>
        <v>P</v>
      </c>
      <c r="AP23266" s="4" t="s">
        <v>376</v>
      </c>
      <c r="AR23266" s="4" t="s">
        <v>377</v>
      </c>
    </row>
    <row r="23267" spans="1:44" ht="30">
      <c r="A23267" s="4" t="s">
        <v>24364</v>
      </c>
      <c r="B23267" s="4">
        <v>718664</v>
      </c>
      <c r="D23267" s="5" t="s">
        <v>30126</v>
      </c>
      <c r="E23267" s="6" t="str">
        <f>HYPERLINK("https://inpn.mnhn.fr/espece/cd_nom/718664","Carex leporina var. leporina L., 1753")</f>
        <v>Carex leporina var. leporina L., 1753</v>
      </c>
      <c r="F23267" s="5" t="s">
        <v>30127</v>
      </c>
      <c r="T23267" s="7" t="str">
        <f>HYPERLINK("#Liste_rouge!A"&amp;_xlfn.XMATCH("LC",Liste_rouge!A:A,2,1),"LC (cd_nom 718664) - NE (cd_nom 154312)")</f>
        <v>LC (cd_nom 718664) - NE (cd_nom 154312)</v>
      </c>
      <c r="AH23267" s="4" t="str">
        <f>HYPERLINK("#Statut_biogéographique!A"&amp;_xlfn.XMATCH("P",Statut_biogéographique!A:A,2,1),"P")</f>
        <v>P</v>
      </c>
      <c r="AP23267" s="4" t="s">
        <v>376</v>
      </c>
      <c r="AR23267" s="4" t="s">
        <v>377</v>
      </c>
    </row>
    <row r="23268" spans="1:44" ht="60">
      <c r="A23268" s="4" t="s">
        <v>24364</v>
      </c>
      <c r="B23268" s="4">
        <v>718670</v>
      </c>
      <c r="D23268" s="5" t="s">
        <v>30128</v>
      </c>
      <c r="E23268" s="6" t="str">
        <f>HYPERLINK("https://inpn.mnhn.fr/espece/cd_nom/718670","Clinopodium nepeta var. glandulosum (Req.) B.Bock, 2012")</f>
        <v>Clinopodium nepeta var. glandulosum (Req.) B.Bock, 2012</v>
      </c>
      <c r="F23268" s="5" t="s">
        <v>30129</v>
      </c>
      <c r="AH23268" s="4" t="str">
        <f>HYPERLINK("#Statut_biogéographique!A"&amp;_xlfn.XMATCH("P",Statut_biogéographique!A:A,2,1),"P")</f>
        <v>P</v>
      </c>
      <c r="AP23268" s="4" t="s">
        <v>376</v>
      </c>
      <c r="AR23268" s="4" t="s">
        <v>377</v>
      </c>
    </row>
    <row r="23269" spans="1:44" ht="30">
      <c r="A23269" s="4" t="s">
        <v>24364</v>
      </c>
      <c r="B23269" s="4">
        <v>718677</v>
      </c>
      <c r="D23269" s="5">
        <v>718677</v>
      </c>
      <c r="E23269" s="6" t="str">
        <f>HYPERLINK("https://inpn.mnhn.fr/espece/cd_nom/718677","Deschampsia cespitosa var. pseudalpina (Syme) Druce")</f>
        <v>Deschampsia cespitosa var. pseudalpina (Syme) Druce</v>
      </c>
      <c r="F23269" s="5" t="s">
        <v>30130</v>
      </c>
      <c r="T23269" s="7" t="str">
        <f>HYPERLINK("#Liste_rouge!A"&amp;_xlfn.XMATCH("DD",Liste_rouge!A:A,2,1),"DD")</f>
        <v>DD</v>
      </c>
      <c r="AH23269" s="4" t="str">
        <f>HYPERLINK("#Statut_biogéographique!A"&amp;_xlfn.XMATCH("P",Statut_biogéographique!A:A,2,1),"P")</f>
        <v>P</v>
      </c>
      <c r="AP23269" s="4" t="s">
        <v>376</v>
      </c>
      <c r="AR23269" s="4" t="s">
        <v>377</v>
      </c>
    </row>
    <row r="23270" spans="1:44" ht="45">
      <c r="A23270" s="4" t="s">
        <v>24364</v>
      </c>
      <c r="B23270" s="4">
        <v>718713</v>
      </c>
      <c r="D23270" s="5" t="s">
        <v>30131</v>
      </c>
      <c r="E23270" s="6" t="str">
        <f>HYPERLINK("https://inpn.mnhn.fr/espece/cd_nom/718713","Luzula luzuloides var. erythranthema (Wallr.) I.Grinț., 1966")</f>
        <v>Luzula luzuloides var. erythranthema (Wallr.) I.Grinț., 1966</v>
      </c>
      <c r="F23270" s="5" t="s">
        <v>30132</v>
      </c>
      <c r="AH23270" s="4" t="str">
        <f>HYPERLINK("#Statut_biogéographique!A"&amp;_xlfn.XMATCH("P",Statut_biogéographique!A:A,2,1),"P")</f>
        <v>P</v>
      </c>
      <c r="AP23270" s="4" t="s">
        <v>376</v>
      </c>
      <c r="AR23270" s="4" t="s">
        <v>377</v>
      </c>
    </row>
    <row r="23271" spans="1:44" ht="30">
      <c r="A23271" s="4" t="s">
        <v>24364</v>
      </c>
      <c r="B23271" s="4">
        <v>718722</v>
      </c>
      <c r="D23271" s="5" t="s">
        <v>30133</v>
      </c>
      <c r="E23271" s="6" t="str">
        <f>HYPERLINK("https://inpn.mnhn.fr/espece/cd_nom/718722","Neotinea ustulata var. aestivalis (Kümpel) Tali, M.F.Fay &amp; R.M.Bateman, 2006")</f>
        <v>Neotinea ustulata var. aestivalis (Kümpel) Tali, M.F.Fay &amp; R.M.Bateman, 2006</v>
      </c>
      <c r="F23271" s="5" t="s">
        <v>30134</v>
      </c>
      <c r="G23271" s="4" t="str">
        <f>HYPERLINK("[#Réglementation!A"&amp;_xlfn.XMATCH("CCB",Réglementation!A:A,2,1),"CCB")</f>
        <v>CCB</v>
      </c>
      <c r="T23271" s="7" t="str">
        <f>HYPERLINK("#Liste_rouge!A"&amp;_xlfn.XMATCH("NA",Liste_rouge!A:A,2,1),"NA")</f>
        <v>NA</v>
      </c>
      <c r="AH23271" s="4" t="str">
        <f>HYPERLINK("#Statut_biogéographique!A"&amp;_xlfn.XMATCH("P",Statut_biogéographique!A:A,2,1),"P")</f>
        <v>P</v>
      </c>
      <c r="AL23271" s="5" t="str">
        <f>HYPERLINK("#Réglementation!A"&amp;_xlfn.XMATCH("UEintro",Réglementation!A:A,2,1),"UEintro")</f>
        <v>UEintro</v>
      </c>
      <c r="AP23271" s="4" t="s">
        <v>376</v>
      </c>
      <c r="AR23271" s="4" t="s">
        <v>377</v>
      </c>
    </row>
    <row r="23272" spans="1:44" ht="30">
      <c r="A23272" s="4" t="s">
        <v>24364</v>
      </c>
      <c r="B23272" s="4">
        <v>718726</v>
      </c>
      <c r="D23272" s="5" t="s">
        <v>30135</v>
      </c>
      <c r="E23272" s="6" t="str">
        <f>HYPERLINK("https://inpn.mnhn.fr/espece/cd_nom/718726","Odontites jaubertianus var. chrysanthus (Boreau) Bolliger")</f>
        <v>Odontites jaubertianus var. chrysanthus (Boreau) Bolliger</v>
      </c>
      <c r="F23272" s="5" t="s">
        <v>30136</v>
      </c>
      <c r="L23272" s="4" t="str">
        <f>HYPERLINK("#Réglementation!A"&amp;_xlfn.XMATCH("NV1",Réglementation!A:A,2,1),"NV1")</f>
        <v>NV1</v>
      </c>
      <c r="T23272" s="7" t="str">
        <f>HYPERLINK("#Liste_rouge!A"&amp;_xlfn.XMATCH("CR",Liste_rouge!A:A,2,1),"CR")</f>
        <v>CR</v>
      </c>
      <c r="U23272" s="4" t="str">
        <f>HYPERLINK("#Critères_liste_rouge!A$1","B1 B2ab(ii,iii,iv) C2a(i)")</f>
        <v>B1 B2ab(ii,iii,iv) C2a(i)</v>
      </c>
      <c r="AH23272" s="4" t="str">
        <f>HYPERLINK("#Statut_biogéographique!A"&amp;_xlfn.XMATCH("P",Statut_biogéographique!A:A,2,1),"P")</f>
        <v>P</v>
      </c>
      <c r="AP23272" s="4" t="s">
        <v>376</v>
      </c>
      <c r="AR23272" s="4" t="s">
        <v>377</v>
      </c>
    </row>
    <row r="23273" spans="1:44" ht="30">
      <c r="A23273" s="4" t="s">
        <v>24364</v>
      </c>
      <c r="B23273" s="4">
        <v>718740</v>
      </c>
      <c r="D23273" s="5" t="s">
        <v>30137</v>
      </c>
      <c r="E23273" s="6" t="str">
        <f>HYPERLINK("https://inpn.mnhn.fr/espece/cd_nom/718740","Oxybasis rubra var. intermedia (Mert. &amp; W.D.J.Koch) B.Bock &amp; J.-M.Tison, 2012")</f>
        <v>Oxybasis rubra var. intermedia (Mert. &amp; W.D.J.Koch) B.Bock &amp; J.-M.Tison, 2012</v>
      </c>
      <c r="F23273" s="5" t="s">
        <v>30138</v>
      </c>
      <c r="T23273" s="7" t="str">
        <f>HYPERLINK("#Liste_rouge!A"&amp;_xlfn.XMATCH("LC",Liste_rouge!A:A,2,1),"LC")</f>
        <v>LC</v>
      </c>
      <c r="AH23273" s="4" t="str">
        <f>HYPERLINK("#Statut_biogéographique!A"&amp;_xlfn.XMATCH("P",Statut_biogéographique!A:A,2,1),"P")</f>
        <v>P</v>
      </c>
      <c r="AP23273" s="4" t="s">
        <v>376</v>
      </c>
      <c r="AR23273" s="4" t="s">
        <v>377</v>
      </c>
    </row>
    <row r="23274" spans="1:44" ht="30">
      <c r="A23274" s="4" t="s">
        <v>24364</v>
      </c>
      <c r="B23274" s="4">
        <v>718741</v>
      </c>
      <c r="D23274" s="5" t="s">
        <v>30139</v>
      </c>
      <c r="E23274" s="6" t="str">
        <f>HYPERLINK("https://inpn.mnhn.fr/espece/cd_nom/718741","Oxybasis rubra var. rubra (L.) S.Fuentes, Uotila &amp; Borsch, 2012")</f>
        <v>Oxybasis rubra var. rubra (L.) S.Fuentes, Uotila &amp; Borsch, 2012</v>
      </c>
      <c r="F23274" s="5" t="s">
        <v>29987</v>
      </c>
      <c r="T23274" s="7" t="str">
        <f>HYPERLINK("#Liste_rouge!A"&amp;_xlfn.XMATCH("DD",Liste_rouge!A:A,2,1),"DD")</f>
        <v>DD</v>
      </c>
      <c r="AH23274" s="4" t="str">
        <f>HYPERLINK("#Statut_biogéographique!A"&amp;_xlfn.XMATCH("P",Statut_biogéographique!A:A,2,1),"P")</f>
        <v>P</v>
      </c>
      <c r="AP23274" s="4" t="s">
        <v>376</v>
      </c>
      <c r="AR23274" s="4" t="s">
        <v>377</v>
      </c>
    </row>
    <row r="23275" spans="1:44">
      <c r="A23275" s="4" t="s">
        <v>24364</v>
      </c>
      <c r="B23275" s="4">
        <v>718748</v>
      </c>
      <c r="D23275" s="5" t="s">
        <v>30140</v>
      </c>
      <c r="E23275" s="6" t="str">
        <f>HYPERLINK("https://inpn.mnhn.fr/espece/cd_nom/718748","Pinguicula vulgaris var. vulgaris L., 1753")</f>
        <v>Pinguicula vulgaris var. vulgaris L., 1753</v>
      </c>
      <c r="F23275" s="5" t="s">
        <v>30141</v>
      </c>
      <c r="M23275" s="4" t="str">
        <f>HYPERLINK("#Réglementation!A"&amp;_xlfn.XMATCH("RV43",Réglementation!A:A,2,1),"RV43")</f>
        <v>RV43</v>
      </c>
      <c r="AH23275" s="4" t="str">
        <f>HYPERLINK("#Statut_biogéographique!A"&amp;_xlfn.XMATCH("P",Statut_biogéographique!A:A,2,1),"P")</f>
        <v>P</v>
      </c>
      <c r="AP23275" s="4" t="s">
        <v>376</v>
      </c>
      <c r="AR23275" s="4" t="s">
        <v>377</v>
      </c>
    </row>
    <row r="23276" spans="1:44" ht="45">
      <c r="A23276" s="4" t="s">
        <v>24364</v>
      </c>
      <c r="B23276" s="4">
        <v>718756</v>
      </c>
      <c r="D23276" s="5" t="s">
        <v>30142</v>
      </c>
      <c r="E23276" s="6" t="str">
        <f>HYPERLINK("https://inpn.mnhn.fr/espece/cd_nom/718756","Primula veris var. columnae (Ten.) B.Bock, 2012")</f>
        <v>Primula veris var. columnae (Ten.) B.Bock, 2012</v>
      </c>
      <c r="F23276" s="5" t="s">
        <v>30143</v>
      </c>
      <c r="T23276" s="7" t="str">
        <f>HYPERLINK("#Liste_rouge!A"&amp;_xlfn.XMATCH("VU",Liste_rouge!A:A,2,1),"VU")</f>
        <v>VU</v>
      </c>
      <c r="U23276" s="4" t="str">
        <f>HYPERLINK("#Critères_liste_rouge!A$1","D2")</f>
        <v>D2</v>
      </c>
      <c r="AH23276" s="4" t="str">
        <f>HYPERLINK("#Statut_biogéographique!A"&amp;_xlfn.XMATCH("P",Statut_biogéographique!A:A,2,1),"P")</f>
        <v>P</v>
      </c>
      <c r="AP23276" s="4" t="s">
        <v>376</v>
      </c>
      <c r="AR23276" s="4" t="s">
        <v>377</v>
      </c>
    </row>
    <row r="23277" spans="1:44" ht="30">
      <c r="A23277" s="4" t="s">
        <v>24364</v>
      </c>
      <c r="B23277" s="4">
        <v>718763</v>
      </c>
      <c r="D23277" s="5" t="s">
        <v>30144</v>
      </c>
      <c r="E23277" s="6" t="str">
        <f>HYPERLINK("https://inpn.mnhn.fr/espece/cd_nom/718763","Ranunculus flammula var. ovalis (Bigelow) L.D.Benson, 1942")</f>
        <v>Ranunculus flammula var. ovalis (Bigelow) L.D.Benson, 1942</v>
      </c>
      <c r="F23277" s="5" t="s">
        <v>30145</v>
      </c>
      <c r="AH23277" s="4" t="str">
        <f>HYPERLINK("#Statut_biogéographique!A"&amp;_xlfn.XMATCH("P",Statut_biogéographique!A:A,2,1),"P")</f>
        <v>P</v>
      </c>
      <c r="AP23277" s="4" t="s">
        <v>376</v>
      </c>
      <c r="AR23277" s="4" t="s">
        <v>377</v>
      </c>
    </row>
    <row r="23278" spans="1:44">
      <c r="A23278" s="4" t="s">
        <v>24364</v>
      </c>
      <c r="B23278" s="4">
        <v>718785</v>
      </c>
      <c r="D23278" s="5">
        <v>718785</v>
      </c>
      <c r="E23278" s="6" t="str">
        <f>HYPERLINK("https://inpn.mnhn.fr/espece/cd_nom/718785","Stellaria neglecta var. neglecta Weihe, 1825")</f>
        <v>Stellaria neglecta var. neglecta Weihe, 1825</v>
      </c>
      <c r="F23278" s="5" t="s">
        <v>27564</v>
      </c>
      <c r="AH23278" s="4" t="str">
        <f>HYPERLINK("#Statut_biogéographique!A"&amp;_xlfn.XMATCH("P",Statut_biogéographique!A:A,2,1),"P")</f>
        <v>P</v>
      </c>
      <c r="AP23278" s="4" t="s">
        <v>376</v>
      </c>
      <c r="AR23278" s="4" t="s">
        <v>377</v>
      </c>
    </row>
    <row r="23279" spans="1:44" ht="30">
      <c r="A23279" s="4" t="s">
        <v>24364</v>
      </c>
      <c r="B23279" s="4">
        <v>718790</v>
      </c>
      <c r="D23279" s="5">
        <v>718790</v>
      </c>
      <c r="E23279" s="6" t="str">
        <f>HYPERLINK("https://inpn.mnhn.fr/espece/cd_nom/718790","Thymus pulegioides var. pulegioides L., 1753")</f>
        <v>Thymus pulegioides var. pulegioides L., 1753</v>
      </c>
      <c r="F23279" s="5" t="s">
        <v>27718</v>
      </c>
      <c r="T23279" s="7" t="str">
        <f>HYPERLINK("#Liste_rouge!A"&amp;_xlfn.XMATCH("DD",Liste_rouge!A:A,2,1),"DD")</f>
        <v>DD</v>
      </c>
      <c r="AH23279" s="4" t="str">
        <f>HYPERLINK("#Statut_biogéographique!A"&amp;_xlfn.XMATCH("P",Statut_biogéographique!A:A,2,1),"P")</f>
        <v>P</v>
      </c>
      <c r="AP23279" s="4" t="s">
        <v>376</v>
      </c>
      <c r="AR23279" s="4" t="s">
        <v>377</v>
      </c>
    </row>
    <row r="23280" spans="1:44">
      <c r="A23280" s="4" t="s">
        <v>24364</v>
      </c>
      <c r="B23280" s="4">
        <v>718798</v>
      </c>
      <c r="D23280" s="5" t="s">
        <v>30146</v>
      </c>
      <c r="E23280" s="6" t="str">
        <f>HYPERLINK("https://inpn.mnhn.fr/espece/cd_nom/718798","Liochlaena lanceolata Nees, 1845")</f>
        <v>Liochlaena lanceolata Nees, 1845</v>
      </c>
      <c r="P23280" s="7" t="str">
        <f>HYPERLINK("#Liste_rouge!A"&amp;_xlfn.XMATCH("LC",Liste_rouge!A:A,2,1),"LC")</f>
        <v>LC</v>
      </c>
      <c r="V23280" s="7" t="str">
        <f>HYPERLINK("#Liste_rouge!A"&amp;_xlfn.XMATCH("VU",Liste_rouge!A:A,2,1),"VU")</f>
        <v>VU</v>
      </c>
      <c r="X23280" s="5" t="s">
        <v>374</v>
      </c>
      <c r="AB23280" s="4" t="s">
        <v>93</v>
      </c>
      <c r="AH23280" s="4" t="str">
        <f>HYPERLINK("#Statut_biogéographique!A"&amp;_xlfn.XMATCH("P",Statut_biogéographique!A:A,2,1),"P")</f>
        <v>P</v>
      </c>
      <c r="AP23280" s="4" t="s">
        <v>376</v>
      </c>
      <c r="AR23280" s="4" t="s">
        <v>377</v>
      </c>
    </row>
    <row r="23281" spans="1:44" ht="30">
      <c r="A23281" s="4" t="s">
        <v>24364</v>
      </c>
      <c r="B23281" s="4">
        <v>718799</v>
      </c>
      <c r="D23281" s="5">
        <v>718799</v>
      </c>
      <c r="E23281" s="6" t="str">
        <f>HYPERLINK("https://inpn.mnhn.fr/espece/cd_nom/718799","Conocephalum salebrosum Szweyk., Buczk.&amp; Odrzyk., 2005")</f>
        <v>Conocephalum salebrosum Szweyk., Buczk.&amp; Odrzyk., 2005</v>
      </c>
      <c r="P23281" s="7" t="str">
        <f>HYPERLINK("#Liste_rouge!A"&amp;_xlfn.XMATCH("LC",Liste_rouge!A:A,2,1),"LC")</f>
        <v>LC</v>
      </c>
      <c r="T23281" s="7" t="str">
        <f>HYPERLINK("#Liste_rouge!A"&amp;_xlfn.XMATCH("EN",Liste_rouge!A:A,2,1),"EN")</f>
        <v>EN</v>
      </c>
      <c r="V23281" s="7" t="str">
        <f>HYPERLINK("#Liste_rouge!A"&amp;_xlfn.XMATCH("LC",Liste_rouge!A:A,2,1),"LC")</f>
        <v>LC</v>
      </c>
      <c r="AB23281" s="4" t="s">
        <v>24634</v>
      </c>
      <c r="AH23281" s="4" t="str">
        <f>HYPERLINK("#Statut_biogéographique!A"&amp;_xlfn.XMATCH("P",Statut_biogéographique!A:A,2,1),"P")</f>
        <v>P</v>
      </c>
      <c r="AP23281" s="4" t="s">
        <v>376</v>
      </c>
      <c r="AR23281" s="4" t="s">
        <v>377</v>
      </c>
    </row>
    <row r="23282" spans="1:44" ht="60">
      <c r="A23282" s="4" t="s">
        <v>24364</v>
      </c>
      <c r="B23282" s="4">
        <v>718804</v>
      </c>
      <c r="D23282" s="5" t="s">
        <v>30147</v>
      </c>
      <c r="E23282" s="6" t="str">
        <f>HYPERLINK("https://inpn.mnhn.fr/espece/cd_nom/718804","Sarmentypnum exannulatum (Schimp.) Hedenäs, 2006")</f>
        <v>Sarmentypnum exannulatum (Schimp.) Hedenäs, 2006</v>
      </c>
      <c r="P23282" s="7" t="str">
        <f>HYPERLINK("#Liste_rouge!A"&amp;_xlfn.XMATCH("LC",Liste_rouge!A:A,2,1),"LC")</f>
        <v>LC</v>
      </c>
      <c r="T23282" s="7" t="str">
        <f>HYPERLINK("#Liste_rouge!A"&amp;_xlfn.XMATCH("EN",Liste_rouge!A:A,2,1),"EN")</f>
        <v>EN</v>
      </c>
      <c r="V23282" s="7" t="str">
        <f>HYPERLINK("#Liste_rouge!A"&amp;_xlfn.XMATCH("LC",Liste_rouge!A:A,2,1),"LC")</f>
        <v>LC</v>
      </c>
      <c r="AB23282" s="4" t="s">
        <v>24803</v>
      </c>
      <c r="AH23282" s="4" t="str">
        <f>HYPERLINK("#Statut_biogéographique!A"&amp;_xlfn.XMATCH("P",Statut_biogéographique!A:A,2,1),"P")</f>
        <v>P</v>
      </c>
      <c r="AP23282" s="4" t="s">
        <v>376</v>
      </c>
      <c r="AR23282" s="4" t="s">
        <v>377</v>
      </c>
    </row>
    <row r="23283" spans="1:44" ht="60">
      <c r="A23283" s="4" t="s">
        <v>24364</v>
      </c>
      <c r="B23283" s="4">
        <v>718836</v>
      </c>
      <c r="D23283" s="5" t="s">
        <v>30148</v>
      </c>
      <c r="E23283" s="6" t="str">
        <f>HYPERLINK("https://inpn.mnhn.fr/espece/cd_nom/718836","Solenostoma obovatum (Nees) C.Massal., 1903")</f>
        <v>Solenostoma obovatum (Nees) C.Massal., 1903</v>
      </c>
      <c r="P23283" s="7" t="str">
        <f>HYPERLINK("#Liste_rouge!A"&amp;_xlfn.XMATCH("LC",Liste_rouge!A:A,2,1),"LC")</f>
        <v>LC</v>
      </c>
      <c r="T23283" s="7" t="str">
        <f>HYPERLINK("#Liste_rouge!A"&amp;_xlfn.XMATCH("DD",Liste_rouge!A:A,2,1),"DD")</f>
        <v>DD</v>
      </c>
      <c r="V23283" s="7" t="str">
        <f>HYPERLINK("#Liste_rouge!A"&amp;_xlfn.XMATCH("VU",Liste_rouge!A:A,2,1),"VU")</f>
        <v>VU</v>
      </c>
      <c r="X23283" s="5" t="s">
        <v>374</v>
      </c>
      <c r="AB23283" s="4" t="s">
        <v>93</v>
      </c>
      <c r="AH23283" s="4" t="str">
        <f>HYPERLINK("#Statut_biogéographique!A"&amp;_xlfn.XMATCH("P",Statut_biogéographique!A:A,2,1),"P")</f>
        <v>P</v>
      </c>
      <c r="AP23283" s="4" t="s">
        <v>376</v>
      </c>
      <c r="AR23283" s="4" t="s">
        <v>377</v>
      </c>
    </row>
    <row r="23284" spans="1:44" ht="60">
      <c r="A23284" s="4" t="s">
        <v>24364</v>
      </c>
      <c r="B23284" s="4">
        <v>718837</v>
      </c>
      <c r="D23284" s="5" t="s">
        <v>30149</v>
      </c>
      <c r="E23284" s="6" t="str">
        <f>HYPERLINK("https://inpn.mnhn.fr/espece/cd_nom/718837","Solenostoma sphaerocarpum (Hook.) Steph., 1901")</f>
        <v>Solenostoma sphaerocarpum (Hook.) Steph., 1901</v>
      </c>
      <c r="P23284" s="7" t="str">
        <f>HYPERLINK("#Liste_rouge!A"&amp;_xlfn.XMATCH("LC",Liste_rouge!A:A,2,1),"LC")</f>
        <v>LC</v>
      </c>
      <c r="V23284" s="7" t="str">
        <f>HYPERLINK("#Liste_rouge!A"&amp;_xlfn.XMATCH("DD",Liste_rouge!A:A,2,1),"DD")</f>
        <v>DD</v>
      </c>
      <c r="X23284" s="5" t="s">
        <v>374</v>
      </c>
      <c r="AB23284" s="4" t="s">
        <v>93</v>
      </c>
      <c r="AH23284" s="4" t="str">
        <f>HYPERLINK("#Statut_biogéographique!A"&amp;_xlfn.XMATCH("P",Statut_biogéographique!A:A,2,1),"P")</f>
        <v>P</v>
      </c>
      <c r="AP23284" s="4" t="s">
        <v>376</v>
      </c>
      <c r="AR23284" s="4" t="s">
        <v>377</v>
      </c>
    </row>
    <row r="23285" spans="1:44" ht="30">
      <c r="A23285" s="4" t="s">
        <v>24364</v>
      </c>
      <c r="B23285" s="4">
        <v>718842</v>
      </c>
      <c r="D23285" s="5" t="s">
        <v>30150</v>
      </c>
      <c r="E23285" s="6" t="str">
        <f>HYPERLINK("https://inpn.mnhn.fr/espece/cd_nom/718842","Marchantia polymorpha subsp. polymorpha L., 1753")</f>
        <v>Marchantia polymorpha subsp. polymorpha L., 1753</v>
      </c>
      <c r="T23285" s="7" t="str">
        <f>HYPERLINK("#Liste_rouge!A"&amp;_xlfn.XMATCH("DD",Liste_rouge!A:A,2,1),"DD")</f>
        <v>DD</v>
      </c>
      <c r="V23285" s="7" t="str">
        <f>HYPERLINK("#Liste_rouge!A"&amp;_xlfn.XMATCH("LC",Liste_rouge!A:A,2,1),"LC")</f>
        <v>LC</v>
      </c>
      <c r="AB23285" s="4" t="s">
        <v>24410</v>
      </c>
      <c r="AH23285" s="4" t="str">
        <f>HYPERLINK("#Statut_biogéographique!A"&amp;_xlfn.XMATCH("P",Statut_biogéographique!A:A,2,1),"P")</f>
        <v>P</v>
      </c>
      <c r="AP23285" s="4" t="s">
        <v>376</v>
      </c>
      <c r="AR23285" s="4" t="s">
        <v>377</v>
      </c>
    </row>
    <row r="23286" spans="1:44" ht="30">
      <c r="A23286" s="4" t="s">
        <v>24364</v>
      </c>
      <c r="B23286" s="4">
        <v>718909</v>
      </c>
      <c r="D23286" s="5" t="s">
        <v>30151</v>
      </c>
      <c r="E23286" s="6" t="str">
        <f>HYPERLINK("https://inpn.mnhn.fr/espece/cd_nom/718909","Baldellia repens (Lam.) Ooststr., 1959")</f>
        <v>Baldellia repens (Lam.) Ooststr., 1959</v>
      </c>
      <c r="F23286" s="5" t="s">
        <v>30152</v>
      </c>
      <c r="P23286" s="7" t="str">
        <f>HYPERLINK("#Liste_rouge!A"&amp;_xlfn.XMATCH("NT",Liste_rouge!A:A,2,1),"NT")</f>
        <v>NT</v>
      </c>
      <c r="Q23286" s="7" t="str">
        <f>HYPERLINK("#Liste_rouge!A"&amp;_xlfn.XMATCH("LC",Liste_rouge!A:A,2,1),"LC")</f>
        <v>LC</v>
      </c>
      <c r="T23286" s="7" t="str">
        <f>HYPERLINK("#Liste_rouge!A"&amp;_xlfn.XMATCH("EN",Liste_rouge!A:A,2,1),"EN")</f>
        <v>EN</v>
      </c>
      <c r="U23286" s="4" t="str">
        <f>HYPERLINK("#Critères_liste_rouge!A$1","B1 B2ab(ii,iii,iv) C2a(i)")</f>
        <v>B1 B2ab(ii,iii,iv) C2a(i)</v>
      </c>
      <c r="X23286" s="5" t="s">
        <v>374</v>
      </c>
      <c r="AB23286" s="4" t="s">
        <v>93</v>
      </c>
      <c r="AH23286" s="4" t="str">
        <f>HYPERLINK("#Statut_biogéographique!A"&amp;_xlfn.XMATCH("P",Statut_biogéographique!A:A,2,1),"P")</f>
        <v>P</v>
      </c>
      <c r="AM23286" s="4" t="s">
        <v>375</v>
      </c>
      <c r="AN23286" s="4" t="s">
        <v>375</v>
      </c>
      <c r="AO23286" s="4" t="s">
        <v>375</v>
      </c>
      <c r="AP23286" s="4" t="s">
        <v>376</v>
      </c>
      <c r="AR23286" s="4" t="s">
        <v>377</v>
      </c>
    </row>
    <row r="23287" spans="1:44" ht="45">
      <c r="A23287" s="4" t="s">
        <v>24364</v>
      </c>
      <c r="B23287" s="4">
        <v>719157</v>
      </c>
      <c r="D23287" s="5" t="s">
        <v>30153</v>
      </c>
      <c r="E23287" s="6" t="str">
        <f>HYPERLINK("https://inpn.mnhn.fr/espece/cd_nom/719157","Spinulum annotinum (L.) A.Haines, 2003")</f>
        <v>Spinulum annotinum (L.) A.Haines, 2003</v>
      </c>
      <c r="F23287" s="5" t="s">
        <v>30154</v>
      </c>
      <c r="M23287" s="4" t="str">
        <f>HYPERLINK("#Réglementation!A"&amp;_xlfn.XMATCH("RV26",Réglementation!A:A,2,1),"RV26")</f>
        <v>RV26</v>
      </c>
      <c r="N23287" s="4" t="str">
        <f>HYPERLINK("#Réglementation!A"&amp;_xlfn.XMATCH("V39P1",Réglementation!A:A,2,1),"V39P1 - V25P1 - V70P1")</f>
        <v>V39P1 - V25P1 - V70P1</v>
      </c>
      <c r="P23287" s="7" t="str">
        <f>HYPERLINK("#Liste_rouge!A"&amp;_xlfn.XMATCH("LC",Liste_rouge!A:A,2,1),"LC")</f>
        <v>LC</v>
      </c>
      <c r="Q23287" s="7" t="str">
        <f>HYPERLINK("#Liste_rouge!A"&amp;_xlfn.XMATCH("LC",Liste_rouge!A:A,2,1),"LC")</f>
        <v>LC</v>
      </c>
      <c r="T23287" s="7" t="str">
        <f>HYPERLINK("#Liste_rouge!A"&amp;_xlfn.XMATCH("CR",Liste_rouge!A:A,2,1),"CR")</f>
        <v>CR</v>
      </c>
      <c r="U23287" s="4" t="str">
        <f>HYPERLINK("#Critères_liste_rouge!A$1","C2a(i)")</f>
        <v>C2a(i)</v>
      </c>
      <c r="V23287" s="7" t="str">
        <f>HYPERLINK("#Liste_rouge!A"&amp;_xlfn.XMATCH("LC",Liste_rouge!A:A,2,1),"LC")</f>
        <v>LC</v>
      </c>
      <c r="X23287" s="5" t="s">
        <v>374</v>
      </c>
      <c r="AB23287" s="4" t="s">
        <v>93</v>
      </c>
      <c r="AE23287" s="4" t="str">
        <f>HYPERLINK("#SCAP!A"&amp;_xlfn.XMATCH("1-",SCAP!A:A,2,1),"1-")</f>
        <v>1-</v>
      </c>
      <c r="AF23287" s="4" t="str">
        <f>HYPERLINK("#SCAP!A"&amp;_xlfn.XMATCH("2+",SCAP!A:A,2,1),"2+")</f>
        <v>2+</v>
      </c>
      <c r="AG23287" s="4" t="str">
        <f>HYPERLINK("#SCAP!A"&amp;_xlfn.XMATCH("2+",SCAP!A:A,2,1),"2+")</f>
        <v>2+</v>
      </c>
      <c r="AH23287" s="4" t="str">
        <f>HYPERLINK("#Statut_biogéographique!A"&amp;_xlfn.XMATCH("P",Statut_biogéographique!A:A,2,1),"P")</f>
        <v>P</v>
      </c>
      <c r="AK23287" s="4" t="str">
        <f>HYPERLINK("#Réglementation!A"&amp;_xlfn.XMATCH("V39P6",Réglementation!A:A,2,1),"V39P6 - V25P1 - V70P1")</f>
        <v>V39P6 - V25P1 - V70P1</v>
      </c>
      <c r="AM23287" s="4" t="s">
        <v>375</v>
      </c>
      <c r="AN23287" s="4" t="s">
        <v>375</v>
      </c>
      <c r="AO23287" s="4" t="s">
        <v>375</v>
      </c>
      <c r="AP23287" s="4" t="s">
        <v>376</v>
      </c>
      <c r="AR23287" s="4" t="s">
        <v>377</v>
      </c>
    </row>
    <row r="23288" spans="1:44" ht="30">
      <c r="A23288" s="4" t="s">
        <v>24364</v>
      </c>
      <c r="B23288" s="4">
        <v>719217</v>
      </c>
      <c r="D23288" s="5">
        <v>719217</v>
      </c>
      <c r="E23288" s="6" t="str">
        <f>HYPERLINK("https://inpn.mnhn.fr/espece/cd_nom/719217","Anacamptis morio subsp. morio (L.) R.M.Bateman, Pridgeon &amp; M.W.Chase, 1997")</f>
        <v>Anacamptis morio subsp. morio (L.) R.M.Bateman, Pridgeon &amp; M.W.Chase, 1997</v>
      </c>
      <c r="F23288" s="5" t="s">
        <v>30155</v>
      </c>
      <c r="G23288" s="4" t="str">
        <f>HYPERLINK("[#Réglementation!A"&amp;_xlfn.XMATCH("CCB",Réglementation!A:A,2,1),"CCB")</f>
        <v>CCB</v>
      </c>
      <c r="Q23288" s="7" t="str">
        <f>HYPERLINK("#Liste_rouge!A"&amp;_xlfn.XMATCH("LC",Liste_rouge!A:A,2,1),"LC")</f>
        <v>LC</v>
      </c>
      <c r="AH23288" s="4" t="str">
        <f>HYPERLINK("#Statut_biogéographique!A"&amp;_xlfn.XMATCH("P",Statut_biogéographique!A:A,2,1),"P")</f>
        <v>P</v>
      </c>
      <c r="AL23288" s="5" t="str">
        <f>HYPERLINK("#Réglementation!A"&amp;_xlfn.XMATCH("UEintro",Réglementation!A:A,2,1),"UEintro")</f>
        <v>UEintro</v>
      </c>
      <c r="AP23288" s="4" t="s">
        <v>376</v>
      </c>
      <c r="AR23288" s="4" t="s">
        <v>377</v>
      </c>
    </row>
    <row r="23289" spans="1:44" ht="45">
      <c r="A23289" s="4" t="s">
        <v>24364</v>
      </c>
      <c r="B23289" s="4">
        <v>719571</v>
      </c>
      <c r="D23289" s="5" t="s">
        <v>30156</v>
      </c>
      <c r="E23289" s="6" t="str">
        <f>HYPERLINK("https://inpn.mnhn.fr/espece/cd_nom/719571","Pallavicinia lyellii (Hook.) Gray, 1821")</f>
        <v>Pallavicinia lyellii (Hook.) Gray, 1821</v>
      </c>
      <c r="P23289" s="7" t="str">
        <f>HYPERLINK("#Liste_rouge!A"&amp;_xlfn.XMATCH("VU",Liste_rouge!A:A,2,1),"VU")</f>
        <v>VU</v>
      </c>
      <c r="T23289" s="7" t="str">
        <f>HYPERLINK("#Liste_rouge!A"&amp;_xlfn.XMATCH("CR",Liste_rouge!A:A,2,1),"CR")</f>
        <v>CR</v>
      </c>
      <c r="V23289" s="7" t="str">
        <f>HYPERLINK("#Liste_rouge!A"&amp;_xlfn.XMATCH("EN",Liste_rouge!A:A,2,1),"EN")</f>
        <v>EN</v>
      </c>
      <c r="X23289" s="5" t="s">
        <v>374</v>
      </c>
      <c r="AB23289" s="4" t="s">
        <v>93</v>
      </c>
      <c r="AE23289" s="4" t="str">
        <f>HYPERLINK("#SCAP!A"&amp;_xlfn.XMATCH("1-",SCAP!A:A,2,1),"1-")</f>
        <v>1-</v>
      </c>
      <c r="AF23289" s="4" t="str">
        <f>HYPERLINK("#SCAP!A"&amp;_xlfn.XMATCH("NP",SCAP!A:A,2,1),"NP")</f>
        <v>NP</v>
      </c>
      <c r="AG23289" s="4" t="str">
        <f>HYPERLINK("#SCAP!A"&amp;_xlfn.XMATCH("1-",SCAP!A:A,2,1),"1-")</f>
        <v>1-</v>
      </c>
      <c r="AH23289" s="4" t="str">
        <f>HYPERLINK("#Statut_biogéographique!A"&amp;_xlfn.XMATCH("P",Statut_biogéographique!A:A,2,1),"P")</f>
        <v>P</v>
      </c>
      <c r="AP23289" s="4" t="s">
        <v>376</v>
      </c>
      <c r="AR23289" s="4" t="s">
        <v>377</v>
      </c>
    </row>
    <row r="23290" spans="1:44">
      <c r="A23290" s="4" t="s">
        <v>24364</v>
      </c>
      <c r="B23290" s="4">
        <v>719778</v>
      </c>
      <c r="D23290" s="5">
        <v>719778</v>
      </c>
      <c r="E23290" s="6" t="str">
        <f>HYPERLINK("https://inpn.mnhn.fr/espece/cd_nom/719778","Trichocolea tomentosa (Sw.) Gottsche, 1863")</f>
        <v>Trichocolea tomentosa (Sw.) Gottsche, 1863</v>
      </c>
      <c r="AP23290" s="4" t="s">
        <v>376</v>
      </c>
      <c r="AR23290" s="4" t="s">
        <v>377</v>
      </c>
    </row>
    <row r="23291" spans="1:44" ht="30">
      <c r="A23291" s="4" t="s">
        <v>24364</v>
      </c>
      <c r="B23291" s="4">
        <v>726237</v>
      </c>
      <c r="D23291" s="5" t="s">
        <v>30157</v>
      </c>
      <c r="E23291" s="6" t="str">
        <f>HYPERLINK("https://inpn.mnhn.fr/espece/cd_nom/726237","Fuscocephaloziopsis crassifolia (Lindenb. &amp; Gottsche) Váňa &amp; L.Söderstr., 2013")</f>
        <v>Fuscocephaloziopsis crassifolia (Lindenb. &amp; Gottsche) Váňa &amp; L.Söderstr., 2013</v>
      </c>
      <c r="P23291" s="7" t="str">
        <f>HYPERLINK("#Liste_rouge!A"&amp;_xlfn.XMATCH("LC",Liste_rouge!A:A,2,1),"LC")</f>
        <v>LC</v>
      </c>
      <c r="AP23291" s="4" t="s">
        <v>376</v>
      </c>
      <c r="AR23291" s="4" t="s">
        <v>377</v>
      </c>
    </row>
    <row r="23292" spans="1:44">
      <c r="A23292" s="4" t="s">
        <v>24364</v>
      </c>
      <c r="B23292" s="4">
        <v>73532</v>
      </c>
      <c r="D23292" s="5" t="s">
        <v>30158</v>
      </c>
      <c r="E23292" s="6" t="str">
        <f>HYPERLINK("https://inpn.mnhn.fr/espece/cd_nom/73532","Chara aculeolata Kütz., 1843")</f>
        <v>Chara aculeolata Kütz., 1843</v>
      </c>
      <c r="AH23292" s="4" t="str">
        <f>HYPERLINK("#Statut_biogéographique!A"&amp;_xlfn.XMATCH("P",Statut_biogéographique!A:A,2,1),"P")</f>
        <v>P</v>
      </c>
      <c r="AP23292" s="4" t="s">
        <v>376</v>
      </c>
      <c r="AR23292" s="4" t="s">
        <v>377</v>
      </c>
    </row>
    <row r="23293" spans="1:44" ht="90">
      <c r="A23293" s="4" t="s">
        <v>24364</v>
      </c>
      <c r="B23293" s="4">
        <v>73533</v>
      </c>
      <c r="D23293" s="5" t="s">
        <v>30159</v>
      </c>
      <c r="E23293" s="6" t="str">
        <f>HYPERLINK("https://inpn.mnhn.fr/espece/cd_nom/73533","Chara aspera Willd., 1809")</f>
        <v>Chara aspera Willd., 1809</v>
      </c>
      <c r="O23293" s="7" t="str">
        <f>HYPERLINK("#Liste_rouge!A"&amp;_xlfn.XMATCH("LC",Liste_rouge!A:A,2,1),"LC")</f>
        <v>LC</v>
      </c>
      <c r="AH23293" s="4" t="str">
        <f>HYPERLINK("#Statut_biogéographique!A"&amp;_xlfn.XMATCH("P",Statut_biogéographique!A:A,2,1),"P")</f>
        <v>P</v>
      </c>
      <c r="AP23293" s="4" t="s">
        <v>376</v>
      </c>
      <c r="AR23293" s="4" t="s">
        <v>377</v>
      </c>
    </row>
    <row r="23294" spans="1:44" ht="75">
      <c r="A23294" s="4" t="s">
        <v>24364</v>
      </c>
      <c r="B23294" s="4">
        <v>73542</v>
      </c>
      <c r="D23294" s="5" t="s">
        <v>30160</v>
      </c>
      <c r="E23294" s="6" t="str">
        <f>HYPERLINK("https://inpn.mnhn.fr/espece/cd_nom/73542","Chara braunii C.C.Gmelin, 1826")</f>
        <v>Chara braunii C.C.Gmelin, 1826</v>
      </c>
      <c r="AH23294" s="4" t="str">
        <f>HYPERLINK("#Statut_biogéographique!A"&amp;_xlfn.XMATCH("P",Statut_biogéographique!A:A,2,1),"P")</f>
        <v>P</v>
      </c>
      <c r="AP23294" s="4" t="s">
        <v>376</v>
      </c>
      <c r="AR23294" s="4" t="s">
        <v>377</v>
      </c>
    </row>
    <row r="23295" spans="1:44" ht="30">
      <c r="A23295" s="4" t="s">
        <v>24364</v>
      </c>
      <c r="B23295" s="4">
        <v>73546</v>
      </c>
      <c r="D23295" s="5" t="s">
        <v>30161</v>
      </c>
      <c r="E23295" s="6" t="str">
        <f>HYPERLINK("https://inpn.mnhn.fr/espece/cd_nom/73546","Chara contraria A.Braun ex Kütz., 1845")</f>
        <v>Chara contraria A.Braun ex Kütz., 1845</v>
      </c>
      <c r="AH23295" s="4" t="str">
        <f>HYPERLINK("#Statut_biogéographique!A"&amp;_xlfn.XMATCH("P",Statut_biogéographique!A:A,2,1),"P")</f>
        <v>P</v>
      </c>
      <c r="AP23295" s="4" t="s">
        <v>376</v>
      </c>
      <c r="AR23295" s="4" t="s">
        <v>377</v>
      </c>
    </row>
    <row r="23296" spans="1:44" ht="150">
      <c r="A23296" s="4" t="s">
        <v>24364</v>
      </c>
      <c r="B23296" s="4">
        <v>73558</v>
      </c>
      <c r="D23296" s="5" t="s">
        <v>30162</v>
      </c>
      <c r="E23296" s="6" t="str">
        <f>HYPERLINK("https://inpn.mnhn.fr/espece/cd_nom/73558","Chara globularis Thuill., 1799")</f>
        <v>Chara globularis Thuill., 1799</v>
      </c>
      <c r="AH23296" s="4" t="str">
        <f>HYPERLINK("#Statut_biogéographique!A"&amp;_xlfn.XMATCH("P",Statut_biogéographique!A:A,2,1),"P")</f>
        <v>P</v>
      </c>
      <c r="AP23296" s="4" t="s">
        <v>376</v>
      </c>
      <c r="AR23296" s="4" t="s">
        <v>377</v>
      </c>
    </row>
    <row r="23297" spans="1:44">
      <c r="A23297" s="4" t="s">
        <v>24364</v>
      </c>
      <c r="B23297" s="4">
        <v>73560</v>
      </c>
      <c r="D23297" s="5" t="s">
        <v>30163</v>
      </c>
      <c r="E23297" s="6" t="str">
        <f>HYPERLINK("https://inpn.mnhn.fr/espece/cd_nom/73560","Chara hispida L., 1753")</f>
        <v>Chara hispida L., 1753</v>
      </c>
      <c r="AH23297" s="4" t="str">
        <f>HYPERLINK("#Statut_biogéographique!A"&amp;_xlfn.XMATCH("P",Statut_biogéographique!A:A,2,1),"P")</f>
        <v>P</v>
      </c>
      <c r="AP23297" s="4" t="s">
        <v>376</v>
      </c>
      <c r="AR23297" s="4" t="s">
        <v>377</v>
      </c>
    </row>
    <row r="23298" spans="1:44" ht="135">
      <c r="A23298" s="4" t="s">
        <v>24364</v>
      </c>
      <c r="B23298" s="4">
        <v>73574</v>
      </c>
      <c r="D23298" s="5" t="s">
        <v>30164</v>
      </c>
      <c r="E23298" s="6" t="str">
        <f>HYPERLINK("https://inpn.mnhn.fr/espece/cd_nom/73574","Chara vulgaris L., 1753")</f>
        <v>Chara vulgaris L., 1753</v>
      </c>
      <c r="AH23298" s="4" t="str">
        <f>HYPERLINK("#Statut_biogéographique!A"&amp;_xlfn.XMATCH("P",Statut_biogéographique!A:A,2,1),"P")</f>
        <v>P</v>
      </c>
      <c r="AP23298" s="4" t="s">
        <v>376</v>
      </c>
      <c r="AR23298" s="4" t="s">
        <v>377</v>
      </c>
    </row>
    <row r="23299" spans="1:44" ht="30">
      <c r="A23299" s="4" t="s">
        <v>24364</v>
      </c>
      <c r="B23299" s="4">
        <v>73577</v>
      </c>
      <c r="D23299" s="5" t="s">
        <v>30165</v>
      </c>
      <c r="E23299" s="6" t="str">
        <f>HYPERLINK("https://inpn.mnhn.fr/espece/cd_nom/73577","Chara vulgaris var. longibracteata (Kütz.) J.Groves &amp; Bullock-Webster, 1924")</f>
        <v>Chara vulgaris var. longibracteata (Kütz.) J.Groves &amp; Bullock-Webster, 1924</v>
      </c>
      <c r="AH23299" s="4" t="str">
        <f>HYPERLINK("#Statut_biogéographique!A"&amp;_xlfn.XMATCH("P",Statut_biogéographique!A:A,2,1),"P")</f>
        <v>P</v>
      </c>
      <c r="AP23299" s="4" t="s">
        <v>376</v>
      </c>
      <c r="AR23299" s="4" t="s">
        <v>377</v>
      </c>
    </row>
    <row r="23300" spans="1:44" ht="30">
      <c r="A23300" s="4" t="s">
        <v>24364</v>
      </c>
      <c r="B23300" s="4">
        <v>74335</v>
      </c>
      <c r="D23300" s="5" t="s">
        <v>30166</v>
      </c>
      <c r="E23300" s="6" t="str">
        <f>HYPERLINK("https://inpn.mnhn.fr/espece/cd_nom/74335","Nitella capillaris (A.J.Krocker) J.Groves &amp; Bull.-Webst., 1920")</f>
        <v>Nitella capillaris (A.J.Krocker) J.Groves &amp; Bull.-Webst., 1920</v>
      </c>
      <c r="AH23300" s="4" t="str">
        <f>HYPERLINK("#Statut_biogéographique!A"&amp;_xlfn.XMATCH("P",Statut_biogéographique!A:A,2,1),"P")</f>
        <v>P</v>
      </c>
      <c r="AP23300" s="4" t="s">
        <v>376</v>
      </c>
      <c r="AR23300" s="4" t="s">
        <v>377</v>
      </c>
    </row>
    <row r="23301" spans="1:44" ht="60">
      <c r="A23301" s="4" t="s">
        <v>24364</v>
      </c>
      <c r="B23301" s="4">
        <v>74338</v>
      </c>
      <c r="D23301" s="5" t="s">
        <v>30167</v>
      </c>
      <c r="E23301" s="6" t="str">
        <f>HYPERLINK("https://inpn.mnhn.fr/espece/cd_nom/74338","Nitella confervacea (Bréb.) A.Braun ex Leonh., 1863")</f>
        <v>Nitella confervacea (Bréb.) A.Braun ex Leonh., 1863</v>
      </c>
      <c r="AH23301" s="4" t="str">
        <f>HYPERLINK("#Statut_biogéographique!A"&amp;_xlfn.XMATCH("P",Statut_biogéographique!A:A,2,1),"P")</f>
        <v>P</v>
      </c>
      <c r="AP23301" s="4" t="s">
        <v>376</v>
      </c>
      <c r="AR23301" s="4" t="s">
        <v>377</v>
      </c>
    </row>
    <row r="23302" spans="1:44" ht="90">
      <c r="A23302" s="4" t="s">
        <v>24364</v>
      </c>
      <c r="B23302" s="4">
        <v>74339</v>
      </c>
      <c r="D23302" s="5" t="s">
        <v>30168</v>
      </c>
      <c r="E23302" s="6" t="str">
        <f>HYPERLINK("https://inpn.mnhn.fr/espece/cd_nom/74339","Nitella flexilis (L.) C.Agardh, 1824")</f>
        <v>Nitella flexilis (L.) C.Agardh, 1824</v>
      </c>
      <c r="O23302" s="7" t="str">
        <f>HYPERLINK("#Liste_rouge!A"&amp;_xlfn.XMATCH("LC",Liste_rouge!A:A,2,1),"LC")</f>
        <v>LC</v>
      </c>
      <c r="AH23302" s="4" t="str">
        <f>HYPERLINK("#Statut_biogéographique!A"&amp;_xlfn.XMATCH("P",Statut_biogéographique!A:A,2,1),"P")</f>
        <v>P</v>
      </c>
      <c r="AP23302" s="4" t="s">
        <v>376</v>
      </c>
      <c r="AR23302" s="4" t="s">
        <v>377</v>
      </c>
    </row>
    <row r="23303" spans="1:44" ht="30">
      <c r="A23303" s="4" t="s">
        <v>24364</v>
      </c>
      <c r="B23303" s="4">
        <v>74346</v>
      </c>
      <c r="D23303" s="5" t="s">
        <v>30169</v>
      </c>
      <c r="E23303" s="6" t="str">
        <f>HYPERLINK("https://inpn.mnhn.fr/espece/cd_nom/74346","Nitella opaca (C.Agardh ex Bruzelius) C.Agardh, 1824")</f>
        <v>Nitella opaca (C.Agardh ex Bruzelius) C.Agardh, 1824</v>
      </c>
      <c r="AH23303" s="4" t="str">
        <f>HYPERLINK("#Statut_biogéographique!A"&amp;_xlfn.XMATCH("P",Statut_biogéographique!A:A,2,1),"P")</f>
        <v>P</v>
      </c>
      <c r="AP23303" s="4" t="s">
        <v>376</v>
      </c>
      <c r="AR23303" s="4" t="s">
        <v>377</v>
      </c>
    </row>
    <row r="23304" spans="1:44">
      <c r="A23304" s="4" t="s">
        <v>24364</v>
      </c>
      <c r="B23304" s="4">
        <v>74353</v>
      </c>
      <c r="D23304" s="5" t="s">
        <v>30170</v>
      </c>
      <c r="E23304" s="6" t="str">
        <f>HYPERLINK("https://inpn.mnhn.fr/espece/cd_nom/74353","Nitella translucens (Pers.) C.Agardh, 1824")</f>
        <v>Nitella translucens (Pers.) C.Agardh, 1824</v>
      </c>
      <c r="AH23304" s="4" t="str">
        <f>HYPERLINK("#Statut_biogéographique!A"&amp;_xlfn.XMATCH("P",Statut_biogéographique!A:A,2,1),"P")</f>
        <v>P</v>
      </c>
      <c r="AP23304" s="4" t="s">
        <v>376</v>
      </c>
      <c r="AR23304" s="4" t="s">
        <v>377</v>
      </c>
    </row>
    <row r="23305" spans="1:44">
      <c r="A23305" s="4" t="s">
        <v>24364</v>
      </c>
      <c r="B23305" s="4">
        <v>74355</v>
      </c>
      <c r="D23305" s="5" t="s">
        <v>30171</v>
      </c>
      <c r="E23305" s="6" t="str">
        <f>HYPERLINK("https://inpn.mnhn.fr/espece/cd_nom/74355","Nitellopsis obtusa (Desv.) J.Groves, 1919")</f>
        <v>Nitellopsis obtusa (Desv.) J.Groves, 1919</v>
      </c>
      <c r="AH23305" s="4" t="str">
        <f>HYPERLINK("#Statut_biogéographique!A"&amp;_xlfn.XMATCH("P",Statut_biogéographique!A:A,2,1),"P")</f>
        <v>P</v>
      </c>
      <c r="AP23305" s="4" t="s">
        <v>376</v>
      </c>
      <c r="AR23305" s="4" t="s">
        <v>377</v>
      </c>
    </row>
    <row r="23306" spans="1:44">
      <c r="A23306" s="4" t="s">
        <v>24364</v>
      </c>
      <c r="B23306" s="4">
        <v>75093</v>
      </c>
      <c r="D23306" s="5" t="s">
        <v>30172</v>
      </c>
      <c r="E23306" s="6" t="str">
        <f>HYPERLINK("https://inpn.mnhn.fr/espece/cd_nom/75093","Tolypella glomerata (Desv.) Leonh., 1863")</f>
        <v>Tolypella glomerata (Desv.) Leonh., 1863</v>
      </c>
      <c r="AH23306" s="4" t="str">
        <f>HYPERLINK("#Statut_biogéographique!A"&amp;_xlfn.XMATCH("P",Statut_biogéographique!A:A,2,1),"P")</f>
        <v>P</v>
      </c>
      <c r="AP23306" s="4" t="s">
        <v>376</v>
      </c>
      <c r="AR23306" s="4" t="s">
        <v>377</v>
      </c>
    </row>
    <row r="23307" spans="1:44" ht="30">
      <c r="A23307" s="4" t="s">
        <v>24364</v>
      </c>
      <c r="B23307" s="4">
        <v>75095</v>
      </c>
      <c r="D23307" s="5" t="s">
        <v>30173</v>
      </c>
      <c r="E23307" s="6" t="str">
        <f>HYPERLINK("https://inpn.mnhn.fr/espece/cd_nom/75095","Tolypella intricata (Trentep. ex Roth) Leonh., 1863")</f>
        <v>Tolypella intricata (Trentep. ex Roth) Leonh., 1863</v>
      </c>
      <c r="AH23307" s="4" t="str">
        <f>HYPERLINK("#Statut_biogéographique!A"&amp;_xlfn.XMATCH("P",Statut_biogéographique!A:A,2,1),"P")</f>
        <v>P</v>
      </c>
      <c r="AP23307" s="4" t="s">
        <v>376</v>
      </c>
      <c r="AR23307" s="4" t="s">
        <v>377</v>
      </c>
    </row>
    <row r="23308" spans="1:44" ht="60">
      <c r="A23308" s="4" t="s">
        <v>24364</v>
      </c>
      <c r="B23308" s="4">
        <v>75102</v>
      </c>
      <c r="D23308" s="5" t="s">
        <v>30174</v>
      </c>
      <c r="E23308" s="6" t="str">
        <f>HYPERLINK("https://inpn.mnhn.fr/espece/cd_nom/75102","Trentepohlia aurea (L.) C.F.P.Martius, 1817")</f>
        <v>Trentepohlia aurea (L.) C.F.P.Martius, 1817</v>
      </c>
      <c r="AH23308" s="4" t="str">
        <f>HYPERLINK("#Statut_biogéographique!A"&amp;_xlfn.XMATCH("P",Statut_biogéographique!A:A,2,1),"P")</f>
        <v>P</v>
      </c>
      <c r="AP23308" s="4" t="s">
        <v>376</v>
      </c>
      <c r="AR23308" s="4" t="s">
        <v>377</v>
      </c>
    </row>
    <row r="23309" spans="1:44" ht="135">
      <c r="A23309" s="4" t="s">
        <v>24364</v>
      </c>
      <c r="B23309" s="4">
        <v>761901</v>
      </c>
      <c r="D23309" s="5" t="s">
        <v>30175</v>
      </c>
      <c r="E23309" s="6" t="str">
        <f>HYPERLINK("https://inpn.mnhn.fr/espece/cd_nom/761901","Puccinellia distans (Jacq.) Parl., 1848")</f>
        <v>Puccinellia distans (Jacq.) Parl., 1848</v>
      </c>
      <c r="F23309" s="5" t="s">
        <v>28725</v>
      </c>
      <c r="Q23309" s="7" t="str">
        <f>HYPERLINK("#Liste_rouge!A"&amp;_xlfn.XMATCH("LC",Liste_rouge!A:A,2,1),"LC")</f>
        <v>LC</v>
      </c>
      <c r="T23309" s="7" t="str">
        <f>HYPERLINK("#Liste_rouge!A"&amp;_xlfn.XMATCH("NA",Liste_rouge!A:A,2,1),"NA")</f>
        <v>NA</v>
      </c>
      <c r="AH23309" s="4" t="str">
        <f>HYPERLINK("#Statut_biogéographique!A"&amp;_xlfn.XMATCH("P",Statut_biogéographique!A:A,2,1),"P")</f>
        <v>P</v>
      </c>
      <c r="AM23309" s="4" t="s">
        <v>375</v>
      </c>
      <c r="AN23309" s="4" t="s">
        <v>375</v>
      </c>
      <c r="AO23309" s="4" t="s">
        <v>375</v>
      </c>
      <c r="AP23309" s="4" t="s">
        <v>376</v>
      </c>
      <c r="AR23309" s="4" t="s">
        <v>377</v>
      </c>
    </row>
    <row r="23310" spans="1:44" ht="90">
      <c r="A23310" s="4" t="s">
        <v>24364</v>
      </c>
      <c r="B23310" s="4">
        <v>761965</v>
      </c>
      <c r="D23310" s="5" t="s">
        <v>30176</v>
      </c>
      <c r="E23310" s="6" t="str">
        <f>HYPERLINK("https://inpn.mnhn.fr/espece/cd_nom/761965","Barbarea vulgaris W.T.Aiton, 1812")</f>
        <v>Barbarea vulgaris W.T.Aiton, 1812</v>
      </c>
      <c r="F23310" s="5" t="s">
        <v>28900</v>
      </c>
      <c r="O23310" s="7" t="str">
        <f>HYPERLINK("#Liste_rouge!A"&amp;_xlfn.XMATCH("LC",Liste_rouge!A:A,2,1),"LC")</f>
        <v>LC</v>
      </c>
      <c r="P23310" s="7" t="str">
        <f>HYPERLINK("#Liste_rouge!A"&amp;_xlfn.XMATCH("LC",Liste_rouge!A:A,2,1),"LC")</f>
        <v>LC</v>
      </c>
      <c r="Q23310" s="7" t="str">
        <f>HYPERLINK("#Liste_rouge!A"&amp;_xlfn.XMATCH("LC",Liste_rouge!A:A,2,1),"LC")</f>
        <v>LC</v>
      </c>
      <c r="T23310" s="7" t="str">
        <f>HYPERLINK("#Liste_rouge!A"&amp;_xlfn.XMATCH("LC",Liste_rouge!A:A,2,1),"LC")</f>
        <v>LC</v>
      </c>
      <c r="V23310" s="7" t="str">
        <f>HYPERLINK("#Liste_rouge!A"&amp;_xlfn.XMATCH("LC",Liste_rouge!A:A,2,1),"LC")</f>
        <v>LC</v>
      </c>
      <c r="AH23310" s="4" t="str">
        <f>HYPERLINK("#Statut_biogéographique!A"&amp;_xlfn.XMATCH("P",Statut_biogéographique!A:A,2,1),"P")</f>
        <v>P</v>
      </c>
      <c r="AM23310" s="4" t="s">
        <v>375</v>
      </c>
      <c r="AN23310" s="4" t="s">
        <v>375</v>
      </c>
      <c r="AO23310" s="4" t="s">
        <v>375</v>
      </c>
      <c r="AP23310" s="4" t="s">
        <v>376</v>
      </c>
      <c r="AR23310" s="4" t="s">
        <v>377</v>
      </c>
    </row>
    <row r="23311" spans="1:44">
      <c r="A23311" s="4" t="s">
        <v>24364</v>
      </c>
      <c r="B23311" s="4">
        <v>762053</v>
      </c>
      <c r="D23311" s="5">
        <v>762053</v>
      </c>
      <c r="E23311" s="6" t="str">
        <f>HYPERLINK("https://inpn.mnhn.fr/espece/cd_nom/762053","Rosa nitida Willd., 1809")</f>
        <v>Rosa nitida Willd., 1809</v>
      </c>
      <c r="AP23311" s="4" t="s">
        <v>376</v>
      </c>
      <c r="AR23311" s="4" t="s">
        <v>377</v>
      </c>
    </row>
    <row r="23312" spans="1:44" ht="105">
      <c r="A23312" s="4" t="s">
        <v>24364</v>
      </c>
      <c r="B23312" s="4">
        <v>762076</v>
      </c>
      <c r="D23312" s="5" t="s">
        <v>30177</v>
      </c>
      <c r="E23312" s="6" t="str">
        <f>HYPERLINK("https://inpn.mnhn.fr/espece/cd_nom/762076","Hypopitys monotropa Crantz, 1766")</f>
        <v>Hypopitys monotropa Crantz, 1766</v>
      </c>
      <c r="F23312" s="5" t="s">
        <v>30178</v>
      </c>
      <c r="Q23312" s="7" t="str">
        <f>HYPERLINK("#Liste_rouge!A"&amp;_xlfn.XMATCH("LC",Liste_rouge!A:A,2,1),"LC")</f>
        <v>LC</v>
      </c>
      <c r="T23312" s="7" t="str">
        <f>HYPERLINK("#Liste_rouge!A"&amp;_xlfn.XMATCH("LC",Liste_rouge!A:A,2,1),"LC (cd_nom 108770) - DD (cd_nom 137875)")</f>
        <v>LC (cd_nom 108770) - DD (cd_nom 137875)</v>
      </c>
      <c r="V23312" s="7" t="str">
        <f>HYPERLINK("#Liste_rouge!A"&amp;_xlfn.XMATCH("LC",Liste_rouge!A:A,2,1),"LC")</f>
        <v>LC</v>
      </c>
      <c r="AH23312" s="4" t="str">
        <f>HYPERLINK("#Statut_biogéographique!A"&amp;_xlfn.XMATCH("P",Statut_biogéographique!A:A,2,1),"P")</f>
        <v>P</v>
      </c>
      <c r="AM23312" s="4" t="s">
        <v>375</v>
      </c>
      <c r="AN23312" s="4" t="s">
        <v>375</v>
      </c>
      <c r="AO23312" s="4" t="s">
        <v>375</v>
      </c>
      <c r="AP23312" s="4" t="s">
        <v>376</v>
      </c>
      <c r="AR23312" s="4" t="s">
        <v>377</v>
      </c>
    </row>
    <row r="23313" spans="1:44" ht="30">
      <c r="A23313" s="4" t="s">
        <v>24364</v>
      </c>
      <c r="B23313" s="4">
        <v>762153</v>
      </c>
      <c r="D23313" s="5" t="s">
        <v>30179</v>
      </c>
      <c r="E23313" s="6" t="str">
        <f>HYPERLINK("https://inpn.mnhn.fr/espece/cd_nom/762153","Digitalis purpurea subsp. purpurea L., 1753")</f>
        <v>Digitalis purpurea subsp. purpurea L., 1753</v>
      </c>
      <c r="F23313" s="5" t="s">
        <v>30180</v>
      </c>
      <c r="AH23313" s="4" t="str">
        <f>HYPERLINK("#Statut_biogéographique!A"&amp;_xlfn.XMATCH("P",Statut_biogéographique!A:A,2,1),"P")</f>
        <v>P</v>
      </c>
      <c r="AP23313" s="4" t="s">
        <v>376</v>
      </c>
      <c r="AR23313" s="4" t="s">
        <v>377</v>
      </c>
    </row>
    <row r="23314" spans="1:44" ht="30">
      <c r="A23314" s="4" t="s">
        <v>24364</v>
      </c>
      <c r="B23314" s="4">
        <v>762187</v>
      </c>
      <c r="D23314" s="5">
        <v>762187</v>
      </c>
      <c r="E23314" s="6" t="str">
        <f>HYPERLINK("https://inpn.mnhn.fr/espece/cd_nom/762187","Equisetum variegatum subsp. variegatum Schleich. ex F.Weber &amp; D.Mohr, 1807")</f>
        <v>Equisetum variegatum subsp. variegatum Schleich. ex F.Weber &amp; D.Mohr, 1807</v>
      </c>
      <c r="F23314" s="5" t="s">
        <v>30181</v>
      </c>
      <c r="M23314" s="4" t="str">
        <f>HYPERLINK("#Réglementation!A"&amp;_xlfn.XMATCH("RV26",Réglementation!A:A,2,1),"RV26 - RV43")</f>
        <v>RV26 - RV43</v>
      </c>
      <c r="AH23314" s="4" t="str">
        <f>HYPERLINK("#Statut_biogéographique!A"&amp;_xlfn.XMATCH("P",Statut_biogéographique!A:A,2,1),"P")</f>
        <v>P</v>
      </c>
      <c r="AP23314" s="4" t="s">
        <v>376</v>
      </c>
      <c r="AR23314" s="4" t="s">
        <v>377</v>
      </c>
    </row>
    <row r="23315" spans="1:44" ht="30">
      <c r="A23315" s="4" t="s">
        <v>24364</v>
      </c>
      <c r="B23315" s="4">
        <v>762284</v>
      </c>
      <c r="D23315" s="5" t="s">
        <v>30182</v>
      </c>
      <c r="E23315" s="6" t="str">
        <f>HYPERLINK("https://inpn.mnhn.fr/espece/cd_nom/762284","Equisetum variegatum Schleich. ex F.Weber &amp; D.Mohr, 1807")</f>
        <v>Equisetum variegatum Schleich. ex F.Weber &amp; D.Mohr, 1807</v>
      </c>
      <c r="F23315" s="5" t="s">
        <v>30181</v>
      </c>
      <c r="M23315" s="4" t="str">
        <f>HYPERLINK("#Réglementation!A"&amp;_xlfn.XMATCH("RV26",Réglementation!A:A,2,1),"RV26 - RV43")</f>
        <v>RV26 - RV43</v>
      </c>
      <c r="P23315" s="7" t="str">
        <f>HYPERLINK("#Liste_rouge!A"&amp;_xlfn.XMATCH("LC",Liste_rouge!A:A,2,1),"LC")</f>
        <v>LC</v>
      </c>
      <c r="Q23315" s="7" t="str">
        <f>HYPERLINK("#Liste_rouge!A"&amp;_xlfn.XMATCH("LC",Liste_rouge!A:A,2,1),"LC")</f>
        <v>LC</v>
      </c>
      <c r="T23315" s="7" t="str">
        <f>HYPERLINK("#Liste_rouge!A"&amp;_xlfn.XMATCH("RE",Liste_rouge!A:A,2,1),"RE")</f>
        <v>RE</v>
      </c>
      <c r="V23315" s="7" t="str">
        <f>HYPERLINK("#Liste_rouge!A"&amp;_xlfn.XMATCH("NT",Liste_rouge!A:A,2,1),"NT")</f>
        <v>NT</v>
      </c>
      <c r="W23315" s="4" t="str">
        <f>HYPERLINK("#Critères_liste_rouge!A$1","pr. B2b(iii,iv)")</f>
        <v>pr. B2b(iii,iv)</v>
      </c>
      <c r="X23315" s="5" t="s">
        <v>374</v>
      </c>
      <c r="AB23315" s="4" t="s">
        <v>93</v>
      </c>
      <c r="AH23315" s="4" t="str">
        <f>HYPERLINK("#Statut_biogéographique!A"&amp;_xlfn.XMATCH("P",Statut_biogéographique!A:A,2,1),"P")</f>
        <v>P</v>
      </c>
      <c r="AM23315" s="4" t="s">
        <v>375</v>
      </c>
      <c r="AN23315" s="4" t="s">
        <v>375</v>
      </c>
      <c r="AO23315" s="4" t="s">
        <v>375</v>
      </c>
      <c r="AP23315" s="4" t="s">
        <v>376</v>
      </c>
      <c r="AR23315" s="4" t="s">
        <v>377</v>
      </c>
    </row>
    <row r="23316" spans="1:44" ht="30">
      <c r="A23316" s="4" t="s">
        <v>24364</v>
      </c>
      <c r="B23316" s="4">
        <v>770367</v>
      </c>
      <c r="D23316" s="5" t="s">
        <v>30183</v>
      </c>
      <c r="E23316" s="6" t="str">
        <f>HYPERLINK("https://inpn.mnhn.fr/espece/cd_nom/770367","Syzygiella autumnalis (DC.) K.Feldberg, Váňa, Hentschel &amp; Heinrichs, 2010")</f>
        <v>Syzygiella autumnalis (DC.) K.Feldberg, Váňa, Hentschel &amp; Heinrichs, 2010</v>
      </c>
      <c r="P23316" s="7" t="str">
        <f>HYPERLINK("#Liste_rouge!A"&amp;_xlfn.XMATCH("LC",Liste_rouge!A:A,2,1),"LC")</f>
        <v>LC</v>
      </c>
      <c r="T23316" s="7" t="str">
        <f>HYPERLINK("#Liste_rouge!A"&amp;_xlfn.XMATCH("LC",Liste_rouge!A:A,2,1),"LC")</f>
        <v>LC</v>
      </c>
      <c r="AB23316" s="4" t="s">
        <v>24634</v>
      </c>
      <c r="AE23316" s="4" t="str">
        <f>HYPERLINK("#SCAP!A"&amp;_xlfn.XMATCH("1-",SCAP!A:A,2,1),"1-")</f>
        <v>1-</v>
      </c>
      <c r="AF23316" s="4" t="str">
        <f>HYPERLINK("#SCAP!A"&amp;_xlfn.XMATCH("NP",SCAP!A:A,2,1),"NP")</f>
        <v>NP</v>
      </c>
      <c r="AH23316" s="4" t="str">
        <f>HYPERLINK("#Statut_biogéographique!A"&amp;_xlfn.XMATCH("P",Statut_biogéographique!A:A,2,1),"P")</f>
        <v>P</v>
      </c>
      <c r="AP23316" s="4" t="s">
        <v>376</v>
      </c>
      <c r="AR23316" s="4" t="s">
        <v>377</v>
      </c>
    </row>
    <row r="23317" spans="1:44" ht="30">
      <c r="A23317" s="4" t="s">
        <v>24364</v>
      </c>
      <c r="B23317" s="4">
        <v>770408</v>
      </c>
      <c r="D23317" s="5" t="s">
        <v>30184</v>
      </c>
      <c r="E23317" s="6" t="str">
        <f>HYPERLINK("https://inpn.mnhn.fr/espece/cd_nom/770408","Mesoptychia collaris (Nees) L.Söderstr. &amp; Váňa, 2012")</f>
        <v>Mesoptychia collaris (Nees) L.Söderstr. &amp; Váňa, 2012</v>
      </c>
      <c r="P23317" s="7" t="str">
        <f>HYPERLINK("#Liste_rouge!A"&amp;_xlfn.XMATCH("LC",Liste_rouge!A:A,2,1),"LC")</f>
        <v>LC</v>
      </c>
      <c r="V23317" s="7" t="str">
        <f>HYPERLINK("#Liste_rouge!A"&amp;_xlfn.XMATCH("LC",Liste_rouge!A:A,2,1),"LC")</f>
        <v>LC</v>
      </c>
      <c r="AH23317" s="4" t="str">
        <f>HYPERLINK("#Statut_biogéographique!A"&amp;_xlfn.XMATCH("P",Statut_biogéographique!A:A,2,1),"P")</f>
        <v>P</v>
      </c>
      <c r="AP23317" s="4" t="s">
        <v>376</v>
      </c>
      <c r="AR23317" s="4" t="s">
        <v>377</v>
      </c>
    </row>
    <row r="23318" spans="1:44" ht="30">
      <c r="A23318" s="4" t="s">
        <v>24364</v>
      </c>
      <c r="B23318" s="4">
        <v>770423</v>
      </c>
      <c r="D23318" s="5" t="s">
        <v>30185</v>
      </c>
      <c r="E23318" s="6" t="str">
        <f>HYPERLINK("https://inpn.mnhn.fr/espece/cd_nom/770423","Fuscocephaloziopsis catenulata (Huebener) Váňa &amp; L.Söderstr., 2013")</f>
        <v>Fuscocephaloziopsis catenulata (Huebener) Váňa &amp; L.Söderstr., 2013</v>
      </c>
      <c r="P23318" s="7" t="str">
        <f>HYPERLINK("#Liste_rouge!A"&amp;_xlfn.XMATCH("LC",Liste_rouge!A:A,2,1),"LC")</f>
        <v>LC</v>
      </c>
      <c r="T23318" s="7" t="str">
        <f>HYPERLINK("#Liste_rouge!A"&amp;_xlfn.XMATCH("CR",Liste_rouge!A:A,2,1),"CR")</f>
        <v>CR</v>
      </c>
      <c r="V23318" s="7" t="str">
        <f>HYPERLINK("#Liste_rouge!A"&amp;_xlfn.XMATCH("LC",Liste_rouge!A:A,2,1),"LC")</f>
        <v>LC</v>
      </c>
      <c r="X23318" s="5" t="s">
        <v>374</v>
      </c>
      <c r="AB23318" s="4" t="s">
        <v>93</v>
      </c>
      <c r="AH23318" s="4" t="str">
        <f>HYPERLINK("#Statut_biogéographique!A"&amp;_xlfn.XMATCH("P",Statut_biogéographique!A:A,2,1),"P")</f>
        <v>P</v>
      </c>
      <c r="AP23318" s="4" t="s">
        <v>376</v>
      </c>
      <c r="AR23318" s="4" t="s">
        <v>377</v>
      </c>
    </row>
    <row r="23319" spans="1:44" ht="30">
      <c r="A23319" s="4" t="s">
        <v>24364</v>
      </c>
      <c r="B23319" s="4">
        <v>770428</v>
      </c>
      <c r="D23319" s="5" t="s">
        <v>30186</v>
      </c>
      <c r="E23319" s="6" t="str">
        <f>HYPERLINK("https://inpn.mnhn.fr/espece/cd_nom/770428","Fuscocephaloziopsis lunulifolia (Dumort.) Váňa &amp; L.Söderstr., 2013")</f>
        <v>Fuscocephaloziopsis lunulifolia (Dumort.) Váňa &amp; L.Söderstr., 2013</v>
      </c>
      <c r="P23319" s="7" t="str">
        <f>HYPERLINK("#Liste_rouge!A"&amp;_xlfn.XMATCH("LC",Liste_rouge!A:A,2,1),"LC")</f>
        <v>LC</v>
      </c>
      <c r="T23319" s="7" t="str">
        <f>HYPERLINK("#Liste_rouge!A"&amp;_xlfn.XMATCH("VU",Liste_rouge!A:A,2,1),"VU")</f>
        <v>VU</v>
      </c>
      <c r="V23319" s="7" t="str">
        <f>HYPERLINK("#Liste_rouge!A"&amp;_xlfn.XMATCH("LC",Liste_rouge!A:A,2,1),"LC")</f>
        <v>LC</v>
      </c>
      <c r="AB23319" s="4" t="s">
        <v>25127</v>
      </c>
      <c r="AH23319" s="4" t="str">
        <f>HYPERLINK("#Statut_biogéographique!A"&amp;_xlfn.XMATCH("P",Statut_biogéographique!A:A,2,1),"P")</f>
        <v>P</v>
      </c>
      <c r="AP23319" s="4" t="s">
        <v>376</v>
      </c>
      <c r="AR23319" s="4" t="s">
        <v>377</v>
      </c>
    </row>
    <row r="23320" spans="1:44" ht="30">
      <c r="A23320" s="4" t="s">
        <v>24364</v>
      </c>
      <c r="B23320" s="4">
        <v>770437</v>
      </c>
      <c r="D23320" s="5" t="s">
        <v>30187</v>
      </c>
      <c r="E23320" s="6" t="str">
        <f>HYPERLINK("https://inpn.mnhn.fr/espece/cd_nom/770437","Odontoschisma fluitans (Nees) L.Söderstr. &amp; Váňa, 2013")</f>
        <v>Odontoschisma fluitans (Nees) L.Söderstr. &amp; Váňa, 2013</v>
      </c>
      <c r="P23320" s="7" t="str">
        <f>HYPERLINK("#Liste_rouge!A"&amp;_xlfn.XMATCH("LC",Liste_rouge!A:A,2,1),"LC")</f>
        <v>LC</v>
      </c>
      <c r="V23320" s="7" t="str">
        <f>HYPERLINK("#Liste_rouge!A"&amp;_xlfn.XMATCH("EN",Liste_rouge!A:A,2,1),"EN")</f>
        <v>EN</v>
      </c>
      <c r="X23320" s="5" t="s">
        <v>374</v>
      </c>
      <c r="AB23320" s="4" t="s">
        <v>93</v>
      </c>
      <c r="AH23320" s="4" t="str">
        <f>HYPERLINK("#Statut_biogéographique!A"&amp;_xlfn.XMATCH("P",Statut_biogéographique!A:A,2,1),"P")</f>
        <v>P</v>
      </c>
      <c r="AP23320" s="4" t="s">
        <v>376</v>
      </c>
      <c r="AR23320" s="4" t="s">
        <v>377</v>
      </c>
    </row>
    <row r="23321" spans="1:44" ht="30">
      <c r="A23321" s="4" t="s">
        <v>24364</v>
      </c>
      <c r="B23321" s="4">
        <v>770790</v>
      </c>
      <c r="D23321" s="5" t="s">
        <v>30188</v>
      </c>
      <c r="E23321" s="6" t="str">
        <f>HYPERLINK("https://inpn.mnhn.fr/espece/cd_nom/770790","Drepanocladus trifarius (F.Weber &amp; D.Mohr) Broth. ex Paris, 1909")</f>
        <v>Drepanocladus trifarius (F.Weber &amp; D.Mohr) Broth. ex Paris, 1909</v>
      </c>
      <c r="M23321" s="4" t="str">
        <f>HYPERLINK("#Réglementation!A"&amp;_xlfn.XMATCH("RV43",Réglementation!A:A,2,1),"RV43")</f>
        <v>RV43</v>
      </c>
      <c r="P23321" s="7" t="str">
        <f>HYPERLINK("#Liste_rouge!A"&amp;_xlfn.XMATCH("LC",Liste_rouge!A:A,2,1),"LC")</f>
        <v>LC</v>
      </c>
      <c r="V23321" s="7" t="str">
        <f>HYPERLINK("#Liste_rouge!A"&amp;_xlfn.XMATCH("NT",Liste_rouge!A:A,2,1),"NT")</f>
        <v>NT</v>
      </c>
      <c r="X23321" s="5" t="s">
        <v>374</v>
      </c>
      <c r="AB23321" s="4" t="s">
        <v>93</v>
      </c>
      <c r="AH23321" s="4" t="str">
        <f>HYPERLINK("#Statut_biogéographique!A"&amp;_xlfn.XMATCH("P",Statut_biogéographique!A:A,2,1),"P")</f>
        <v>P</v>
      </c>
      <c r="AP23321" s="4" t="s">
        <v>376</v>
      </c>
      <c r="AR23321" s="4" t="s">
        <v>377</v>
      </c>
    </row>
    <row r="23322" spans="1:44">
      <c r="A23322" s="4" t="s">
        <v>24364</v>
      </c>
      <c r="B23322" s="4">
        <v>770927</v>
      </c>
      <c r="D23322" s="5" t="s">
        <v>30189</v>
      </c>
      <c r="E23322" s="6" t="str">
        <f>HYPERLINK("https://inpn.mnhn.fr/espece/cd_nom/770927","Ptychostomum compactum Hornsch., 1822")</f>
        <v>Ptychostomum compactum Hornsch., 1822</v>
      </c>
      <c r="P23322" s="7" t="str">
        <f>HYPERLINK("#Liste_rouge!A"&amp;_xlfn.XMATCH("LC",Liste_rouge!A:A,2,1),"LC")</f>
        <v>LC</v>
      </c>
      <c r="T23322" s="7" t="str">
        <f>HYPERLINK("#Liste_rouge!A"&amp;_xlfn.XMATCH("VU",Liste_rouge!A:A,2,1),"VU")</f>
        <v>VU</v>
      </c>
      <c r="X23322" s="5" t="s">
        <v>374</v>
      </c>
      <c r="AB23322" s="4" t="s">
        <v>93</v>
      </c>
      <c r="AH23322" s="4" t="str">
        <f>HYPERLINK("#Statut_biogéographique!A"&amp;_xlfn.XMATCH("P",Statut_biogéographique!A:A,2,1),"P")</f>
        <v>P</v>
      </c>
      <c r="AP23322" s="4" t="s">
        <v>376</v>
      </c>
      <c r="AR23322" s="4" t="s">
        <v>377</v>
      </c>
    </row>
    <row r="23323" spans="1:44" ht="45">
      <c r="A23323" s="4" t="s">
        <v>24364</v>
      </c>
      <c r="B23323" s="4">
        <v>770929</v>
      </c>
      <c r="D23323" s="5" t="s">
        <v>30190</v>
      </c>
      <c r="E23323" s="6" t="str">
        <f>HYPERLINK("https://inpn.mnhn.fr/espece/cd_nom/770929","Ptychostomum pseudotriquetrum (Hedw.) J.R.Spence &amp; H.P.Ramsay ex Holyoak &amp; N.Pedersen, 2007")</f>
        <v>Ptychostomum pseudotriquetrum (Hedw.) J.R.Spence &amp; H.P.Ramsay ex Holyoak &amp; N.Pedersen, 2007</v>
      </c>
      <c r="P23323" s="7" t="str">
        <f>HYPERLINK("#Liste_rouge!A"&amp;_xlfn.XMATCH("LC",Liste_rouge!A:A,2,1),"LC")</f>
        <v>LC</v>
      </c>
      <c r="T23323" s="7" t="str">
        <f>HYPERLINK("#Liste_rouge!A"&amp;_xlfn.XMATCH("LC",Liste_rouge!A:A,2,1),"LC")</f>
        <v>LC</v>
      </c>
      <c r="V23323" s="7" t="str">
        <f>HYPERLINK("#Liste_rouge!A"&amp;_xlfn.XMATCH("LC",Liste_rouge!A:A,2,1),"LC")</f>
        <v>LC</v>
      </c>
      <c r="AH23323" s="4" t="str">
        <f>HYPERLINK("#Statut_biogéographique!A"&amp;_xlfn.XMATCH("P",Statut_biogéographique!A:A,2,1),"P")</f>
        <v>P</v>
      </c>
      <c r="AP23323" s="4" t="s">
        <v>376</v>
      </c>
      <c r="AR23323" s="4" t="s">
        <v>377</v>
      </c>
    </row>
    <row r="23324" spans="1:44" ht="30">
      <c r="A23324" s="4" t="s">
        <v>24364</v>
      </c>
      <c r="B23324" s="4">
        <v>770932</v>
      </c>
      <c r="D23324" s="5" t="s">
        <v>30191</v>
      </c>
      <c r="E23324" s="6" t="str">
        <f>HYPERLINK("https://inpn.mnhn.fr/espece/cd_nom/770932","Ptychostomum pseudotriquetrum var. bimum (Schreb.) Holyoak &amp; N.Pedersen, 2007")</f>
        <v>Ptychostomum pseudotriquetrum var. bimum (Schreb.) Holyoak &amp; N.Pedersen, 2007</v>
      </c>
      <c r="T23324" s="7" t="str">
        <f>HYPERLINK("#Liste_rouge!A"&amp;_xlfn.XMATCH("DD",Liste_rouge!A:A,2,1),"DD")</f>
        <v>DD</v>
      </c>
      <c r="V23324" s="7" t="str">
        <f>HYPERLINK("#Liste_rouge!A"&amp;_xlfn.XMATCH("NE",Liste_rouge!A:A,2,1),"NE")</f>
        <v>NE</v>
      </c>
      <c r="AH23324" s="4" t="str">
        <f>HYPERLINK("#Statut_biogéographique!A"&amp;_xlfn.XMATCH("P",Statut_biogéographique!A:A,2,1),"P")</f>
        <v>P</v>
      </c>
      <c r="AP23324" s="4" t="s">
        <v>376</v>
      </c>
      <c r="AR23324" s="4" t="s">
        <v>377</v>
      </c>
    </row>
    <row r="23325" spans="1:44" ht="30">
      <c r="A23325" s="4" t="s">
        <v>24364</v>
      </c>
      <c r="B23325" s="4">
        <v>770935</v>
      </c>
      <c r="D23325" s="5" t="s">
        <v>30192</v>
      </c>
      <c r="E23325" s="6" t="str">
        <f>HYPERLINK("https://inpn.mnhn.fr/espece/cd_nom/770935","Ptychostomum imbricatulum (Müll.Hal.) Holyoak &amp; N.Pedersen, 2007")</f>
        <v>Ptychostomum imbricatulum (Müll.Hal.) Holyoak &amp; N.Pedersen, 2007</v>
      </c>
      <c r="P23325" s="7" t="str">
        <f>HYPERLINK("#Liste_rouge!A"&amp;_xlfn.XMATCH("LC",Liste_rouge!A:A,2,1),"LC")</f>
        <v>LC</v>
      </c>
      <c r="T23325" s="7" t="str">
        <f>HYPERLINK("#Liste_rouge!A"&amp;_xlfn.XMATCH("LC",Liste_rouge!A:A,2,1),"LC")</f>
        <v>LC</v>
      </c>
      <c r="V23325" s="7" t="str">
        <f>HYPERLINK("#Liste_rouge!A"&amp;_xlfn.XMATCH("LC",Liste_rouge!A:A,2,1),"LC")</f>
        <v>LC</v>
      </c>
      <c r="AH23325" s="4" t="str">
        <f>HYPERLINK("#Statut_biogéographique!A"&amp;_xlfn.XMATCH("P",Statut_biogéographique!A:A,2,1),"P")</f>
        <v>P</v>
      </c>
      <c r="AP23325" s="4" t="s">
        <v>376</v>
      </c>
      <c r="AR23325" s="4" t="s">
        <v>377</v>
      </c>
    </row>
    <row r="23326" spans="1:44" ht="45">
      <c r="A23326" s="4" t="s">
        <v>24364</v>
      </c>
      <c r="B23326" s="4">
        <v>770937</v>
      </c>
      <c r="D23326" s="5" t="s">
        <v>30193</v>
      </c>
      <c r="E23326" s="6" t="str">
        <f>HYPERLINK("https://inpn.mnhn.fr/espece/cd_nom/770937","Ptychostomum capillare (Hedw.) Holyoak &amp; N.Pedersen, 2007")</f>
        <v>Ptychostomum capillare (Hedw.) Holyoak &amp; N.Pedersen, 2007</v>
      </c>
      <c r="P23326" s="7" t="str">
        <f>HYPERLINK("#Liste_rouge!A"&amp;_xlfn.XMATCH("LC",Liste_rouge!A:A,2,1),"LC")</f>
        <v>LC</v>
      </c>
      <c r="T23326" s="7" t="str">
        <f>HYPERLINK("#Liste_rouge!A"&amp;_xlfn.XMATCH("LC",Liste_rouge!A:A,2,1),"LC")</f>
        <v>LC</v>
      </c>
      <c r="V23326" s="7" t="str">
        <f>HYPERLINK("#Liste_rouge!A"&amp;_xlfn.XMATCH("LC",Liste_rouge!A:A,2,1),"LC (cd_nom 770937) - NE (cd_nom 770937)")</f>
        <v>LC (cd_nom 770937) - NE (cd_nom 770937)</v>
      </c>
      <c r="AH23326" s="4" t="str">
        <f>HYPERLINK("#Statut_biogéographique!A"&amp;_xlfn.XMATCH("P",Statut_biogéographique!A:A,2,1),"P")</f>
        <v>P</v>
      </c>
      <c r="AP23326" s="4" t="s">
        <v>376</v>
      </c>
      <c r="AR23326" s="4" t="s">
        <v>377</v>
      </c>
    </row>
    <row r="23327" spans="1:44" ht="30">
      <c r="A23327" s="4" t="s">
        <v>24364</v>
      </c>
      <c r="B23327" s="4">
        <v>771005</v>
      </c>
      <c r="D23327" s="5" t="s">
        <v>30194</v>
      </c>
      <c r="E23327" s="6" t="str">
        <f>HYPERLINK("https://inpn.mnhn.fr/espece/cd_nom/771005","Pseudocampylium radicale (P.Beauv.) Vanderp. &amp; Hedenäs, 2009")</f>
        <v>Pseudocampylium radicale (P.Beauv.) Vanderp. &amp; Hedenäs, 2009</v>
      </c>
      <c r="P23327" s="7" t="str">
        <f>HYPERLINK("#Liste_rouge!A"&amp;_xlfn.XMATCH("LC",Liste_rouge!A:A,2,1),"LC")</f>
        <v>LC</v>
      </c>
      <c r="T23327" s="7" t="str">
        <f>HYPERLINK("#Liste_rouge!A"&amp;_xlfn.XMATCH("EN",Liste_rouge!A:A,2,1),"EN")</f>
        <v>EN</v>
      </c>
      <c r="V23327" s="7" t="str">
        <f>HYPERLINK("#Liste_rouge!A"&amp;_xlfn.XMATCH("DD",Liste_rouge!A:A,2,1),"DD")</f>
        <v>DD</v>
      </c>
      <c r="X23327" s="5" t="s">
        <v>374</v>
      </c>
      <c r="AB23327" s="4" t="s">
        <v>93</v>
      </c>
      <c r="AH23327" s="4" t="str">
        <f>HYPERLINK("#Statut_biogéographique!A"&amp;_xlfn.XMATCH("P",Statut_biogéographique!A:A,2,1),"P")</f>
        <v>P</v>
      </c>
      <c r="AP23327" s="4" t="s">
        <v>376</v>
      </c>
      <c r="AR23327" s="4" t="s">
        <v>377</v>
      </c>
    </row>
    <row r="23328" spans="1:44" ht="30">
      <c r="A23328" s="4" t="s">
        <v>24364</v>
      </c>
      <c r="B23328" s="4">
        <v>771006</v>
      </c>
      <c r="D23328" s="5" t="s">
        <v>30195</v>
      </c>
      <c r="E23328" s="6" t="str">
        <f>HYPERLINK("https://inpn.mnhn.fr/espece/cd_nom/771006","Pseudoamblystegium subtile (Hedw.) Vanderp. &amp; Hedenäs")</f>
        <v>Pseudoamblystegium subtile (Hedw.) Vanderp. &amp; Hedenäs</v>
      </c>
      <c r="P23328" s="7" t="str">
        <f>HYPERLINK("#Liste_rouge!A"&amp;_xlfn.XMATCH("LC",Liste_rouge!A:A,2,1),"LC")</f>
        <v>LC</v>
      </c>
      <c r="T23328" s="7" t="str">
        <f>HYPERLINK("#Liste_rouge!A"&amp;_xlfn.XMATCH("EN",Liste_rouge!A:A,2,1),"EN")</f>
        <v>EN</v>
      </c>
      <c r="V23328" s="7" t="str">
        <f>HYPERLINK("#Liste_rouge!A"&amp;_xlfn.XMATCH("LC",Liste_rouge!A:A,2,1),"LC")</f>
        <v>LC</v>
      </c>
      <c r="AB23328" s="4" t="s">
        <v>24803</v>
      </c>
      <c r="AH23328" s="4" t="str">
        <f>HYPERLINK("#Statut_biogéographique!A"&amp;_xlfn.XMATCH("P",Statut_biogéographique!A:A,2,1),"P")</f>
        <v>P</v>
      </c>
      <c r="AP23328" s="4" t="s">
        <v>376</v>
      </c>
      <c r="AR23328" s="4" t="s">
        <v>377</v>
      </c>
    </row>
    <row r="23329" spans="1:44" ht="30">
      <c r="A23329" s="4" t="s">
        <v>24364</v>
      </c>
      <c r="B23329" s="4">
        <v>771007</v>
      </c>
      <c r="D23329" s="5" t="s">
        <v>30196</v>
      </c>
      <c r="E23329" s="6" t="str">
        <f>HYPERLINK("https://inpn.mnhn.fr/espece/cd_nom/771007","Dicranella schreberiana (Hedw.) Hilf. ex H.A.Crum &amp; L.E.Anderson, 1981")</f>
        <v>Dicranella schreberiana (Hedw.) Hilf. ex H.A.Crum &amp; L.E.Anderson, 1981</v>
      </c>
      <c r="P23329" s="7" t="str">
        <f>HYPERLINK("#Liste_rouge!A"&amp;_xlfn.XMATCH("LC",Liste_rouge!A:A,2,1),"LC")</f>
        <v>LC</v>
      </c>
      <c r="T23329" s="7" t="str">
        <f>HYPERLINK("#Liste_rouge!A"&amp;_xlfn.XMATCH("LC",Liste_rouge!A:A,2,1),"LC")</f>
        <v>LC</v>
      </c>
      <c r="V23329" s="7" t="str">
        <f>HYPERLINK("#Liste_rouge!A"&amp;_xlfn.XMATCH("LC",Liste_rouge!A:A,2,1),"LC")</f>
        <v>LC</v>
      </c>
      <c r="AH23329" s="4" t="str">
        <f>HYPERLINK("#Statut_biogéographique!A"&amp;_xlfn.XMATCH("P",Statut_biogéographique!A:A,2,1),"P")</f>
        <v>P</v>
      </c>
      <c r="AP23329" s="4" t="s">
        <v>376</v>
      </c>
      <c r="AR23329" s="4" t="s">
        <v>377</v>
      </c>
    </row>
    <row r="23330" spans="1:44" ht="30">
      <c r="A23330" s="4" t="s">
        <v>24364</v>
      </c>
      <c r="B23330" s="4">
        <v>771050</v>
      </c>
      <c r="D23330" s="5">
        <v>771050</v>
      </c>
      <c r="E23330" s="6" t="str">
        <f>HYPERLINK("https://inpn.mnhn.fr/espece/cd_nom/771050","Hygrohypnum eugyrium (Schimp.) Loeske, 1905")</f>
        <v>Hygrohypnum eugyrium (Schimp.) Loeske, 1905</v>
      </c>
      <c r="AP23330" s="4" t="s">
        <v>376</v>
      </c>
      <c r="AR23330" s="4" t="s">
        <v>377</v>
      </c>
    </row>
    <row r="23331" spans="1:44" ht="60">
      <c r="A23331" s="4" t="s">
        <v>24364</v>
      </c>
      <c r="B23331" s="4">
        <v>771637</v>
      </c>
      <c r="D23331" s="5" t="s">
        <v>30197</v>
      </c>
      <c r="E23331" s="6" t="str">
        <f>HYPERLINK("https://inpn.mnhn.fr/espece/cd_nom/771637","Carex demissa Hornem., 1806")</f>
        <v>Carex demissa Hornem., 1806</v>
      </c>
      <c r="F23331" s="5" t="s">
        <v>30198</v>
      </c>
      <c r="Q23331" s="7" t="str">
        <f>HYPERLINK("#Liste_rouge!A"&amp;_xlfn.XMATCH("LC",Liste_rouge!A:A,2,1),"LC")</f>
        <v>LC</v>
      </c>
      <c r="T23331" s="7" t="str">
        <f>HYPERLINK("#Liste_rouge!A"&amp;_xlfn.XMATCH("LC",Liste_rouge!A:A,2,1),"LC")</f>
        <v>LC</v>
      </c>
      <c r="V23331" s="7" t="str">
        <f>HYPERLINK("#Liste_rouge!A"&amp;_xlfn.XMATCH("LC",Liste_rouge!A:A,2,1),"LC")</f>
        <v>LC</v>
      </c>
      <c r="AH23331" s="4" t="str">
        <f>HYPERLINK("#Statut_biogéographique!A"&amp;_xlfn.XMATCH("P",Statut_biogéographique!A:A,2,1),"P")</f>
        <v>P</v>
      </c>
      <c r="AM23331" s="4" t="s">
        <v>375</v>
      </c>
      <c r="AN23331" s="4" t="s">
        <v>375</v>
      </c>
      <c r="AO23331" s="4" t="s">
        <v>375</v>
      </c>
      <c r="AP23331" s="4" t="s">
        <v>376</v>
      </c>
      <c r="AR23331" s="4" t="s">
        <v>377</v>
      </c>
    </row>
    <row r="23332" spans="1:44" ht="30">
      <c r="A23332" s="4" t="s">
        <v>24364</v>
      </c>
      <c r="B23332" s="4">
        <v>77286</v>
      </c>
      <c r="D23332" s="5" t="s">
        <v>30199</v>
      </c>
      <c r="E23332" s="6" t="str">
        <f>HYPERLINK("https://inpn.mnhn.fr/espece/cd_nom/77286","Hildenbrandia rivularis (Liebmann) J.Agardh, 1851")</f>
        <v>Hildenbrandia rivularis (Liebmann) J.Agardh, 1851</v>
      </c>
      <c r="AH23332" s="4" t="str">
        <f>HYPERLINK("#Statut_biogéographique!A"&amp;_xlfn.XMATCH("P",Statut_biogéographique!A:A,2,1),"P")</f>
        <v>P</v>
      </c>
      <c r="AP23332" s="4" t="s">
        <v>376</v>
      </c>
      <c r="AR23332" s="4" t="s">
        <v>377</v>
      </c>
    </row>
    <row r="23333" spans="1:44" ht="30">
      <c r="A23333" s="4" t="s">
        <v>24364</v>
      </c>
      <c r="B23333" s="4">
        <v>779733</v>
      </c>
      <c r="D23333" s="5" t="s">
        <v>30200</v>
      </c>
      <c r="E23333" s="6" t="str">
        <f>HYPERLINK("https://inpn.mnhn.fr/espece/cd_nom/779733","Metzgeria violacea (Ach. in F.Weber &amp; D.Mohr) Dumort.")</f>
        <v>Metzgeria violacea (Ach. in F.Weber &amp; D.Mohr) Dumort.</v>
      </c>
      <c r="P23333" s="7" t="str">
        <f>HYPERLINK("#Liste_rouge!A"&amp;_xlfn.XMATCH("LC",Liste_rouge!A:A,2,1),"LC")</f>
        <v>LC</v>
      </c>
      <c r="T23333" s="7" t="str">
        <f>HYPERLINK("#Liste_rouge!A"&amp;_xlfn.XMATCH("DD",Liste_rouge!A:A,2,1),"DD")</f>
        <v>DD</v>
      </c>
      <c r="V23333" s="7" t="str">
        <f>HYPERLINK("#Liste_rouge!A"&amp;_xlfn.XMATCH("LC",Liste_rouge!A:A,2,1),"LC")</f>
        <v>LC</v>
      </c>
      <c r="AH23333" s="4" t="str">
        <f>HYPERLINK("#Statut_biogéographique!A"&amp;_xlfn.XMATCH("P",Statut_biogéographique!A:A,2,1),"P")</f>
        <v>P</v>
      </c>
      <c r="AP23333" s="4" t="s">
        <v>376</v>
      </c>
      <c r="AR23333" s="4" t="s">
        <v>377</v>
      </c>
    </row>
    <row r="23334" spans="1:44" ht="30">
      <c r="A23334" s="4" t="s">
        <v>24364</v>
      </c>
      <c r="B23334" s="4">
        <v>786408</v>
      </c>
      <c r="D23334" s="5" t="s">
        <v>30201</v>
      </c>
      <c r="E23334" s="6" t="str">
        <f>HYPERLINK("https://inpn.mnhn.fr/espece/cd_nom/786408","Alleniella besseri (Lobarz.) S.Olsson, Enroth &amp; D.Quandt, 2011")</f>
        <v>Alleniella besseri (Lobarz.) S.Olsson, Enroth &amp; D.Quandt, 2011</v>
      </c>
      <c r="P23334" s="7" t="str">
        <f>HYPERLINK("#Liste_rouge!A"&amp;_xlfn.XMATCH("LC",Liste_rouge!A:A,2,1),"LC")</f>
        <v>LC</v>
      </c>
      <c r="V23334" s="7" t="str">
        <f>HYPERLINK("#Liste_rouge!A"&amp;_xlfn.XMATCH("EN",Liste_rouge!A:A,2,1),"EN")</f>
        <v>EN</v>
      </c>
      <c r="X23334" s="5" t="s">
        <v>374</v>
      </c>
      <c r="AB23334" s="4" t="s">
        <v>93</v>
      </c>
      <c r="AH23334" s="4" t="str">
        <f>HYPERLINK("#Statut_biogéographique!A"&amp;_xlfn.XMATCH("P",Statut_biogéographique!A:A,2,1),"P")</f>
        <v>P</v>
      </c>
      <c r="AP23334" s="4" t="s">
        <v>376</v>
      </c>
      <c r="AR23334" s="4" t="s">
        <v>377</v>
      </c>
    </row>
    <row r="23335" spans="1:44" ht="30">
      <c r="A23335" s="4" t="s">
        <v>24364</v>
      </c>
      <c r="B23335" s="4">
        <v>786414</v>
      </c>
      <c r="D23335" s="5" t="s">
        <v>30202</v>
      </c>
      <c r="E23335" s="6" t="str">
        <f>HYPERLINK("https://inpn.mnhn.fr/espece/cd_nom/786414","Sciuro-hypnum curtum (Lindb.) Ignatov, 2008")</f>
        <v>Sciuro-hypnum curtum (Lindb.) Ignatov, 2008</v>
      </c>
      <c r="P23335" s="7" t="str">
        <f>HYPERLINK("#Liste_rouge!A"&amp;_xlfn.XMATCH("LC",Liste_rouge!A:A,2,1),"LC")</f>
        <v>LC</v>
      </c>
      <c r="V23335" s="7" t="str">
        <f>HYPERLINK("#Liste_rouge!A"&amp;_xlfn.XMATCH("DD",Liste_rouge!A:A,2,1),"DD")</f>
        <v>DD</v>
      </c>
      <c r="AH23335" s="4" t="str">
        <f>HYPERLINK("#Statut_biogéographique!A"&amp;_xlfn.XMATCH("P",Statut_biogéographique!A:A,2,1),"P")</f>
        <v>P</v>
      </c>
      <c r="AP23335" s="4" t="s">
        <v>376</v>
      </c>
      <c r="AR23335" s="4" t="s">
        <v>377</v>
      </c>
    </row>
    <row r="23336" spans="1:44" ht="30">
      <c r="A23336" s="4" t="s">
        <v>24364</v>
      </c>
      <c r="B23336" s="4">
        <v>786419</v>
      </c>
      <c r="D23336" s="5" t="s">
        <v>30203</v>
      </c>
      <c r="E23336" s="6" t="str">
        <f>HYPERLINK("https://inpn.mnhn.fr/espece/cd_nom/786419","Imbribryum mildeanum (Jur.) J.R.Spence, 2007")</f>
        <v>Imbribryum mildeanum (Jur.) J.R.Spence, 2007</v>
      </c>
      <c r="P23336" s="7" t="str">
        <f>HYPERLINK("#Liste_rouge!A"&amp;_xlfn.XMATCH("LC",Liste_rouge!A:A,2,1),"LC")</f>
        <v>LC</v>
      </c>
      <c r="V23336" s="7" t="str">
        <f>HYPERLINK("#Liste_rouge!A"&amp;_xlfn.XMATCH("DD",Liste_rouge!A:A,2,1),"DD")</f>
        <v>DD</v>
      </c>
      <c r="AH23336" s="4" t="str">
        <f>HYPERLINK("#Statut_biogéographique!A"&amp;_xlfn.XMATCH("P",Statut_biogéographique!A:A,2,1),"P")</f>
        <v>P</v>
      </c>
      <c r="AP23336" s="4" t="s">
        <v>376</v>
      </c>
      <c r="AR23336" s="4" t="s">
        <v>377</v>
      </c>
    </row>
    <row r="23337" spans="1:44">
      <c r="A23337" s="4" t="s">
        <v>24364</v>
      </c>
      <c r="B23337" s="4">
        <v>786420</v>
      </c>
      <c r="D23337" s="5" t="s">
        <v>30204</v>
      </c>
      <c r="E23337" s="6" t="str">
        <f>HYPERLINK("https://inpn.mnhn.fr/espece/cd_nom/786420","Tortella squarrosa (Brid.) Limpr., 1888")</f>
        <v>Tortella squarrosa (Brid.) Limpr., 1888</v>
      </c>
      <c r="P23337" s="7" t="str">
        <f>HYPERLINK("#Liste_rouge!A"&amp;_xlfn.XMATCH("LC",Liste_rouge!A:A,2,1),"LC")</f>
        <v>LC</v>
      </c>
      <c r="T23337" s="7" t="str">
        <f>HYPERLINK("#Liste_rouge!A"&amp;_xlfn.XMATCH("LC",Liste_rouge!A:A,2,1),"LC")</f>
        <v>LC</v>
      </c>
      <c r="V23337" s="7" t="str">
        <f>HYPERLINK("#Liste_rouge!A"&amp;_xlfn.XMATCH("LC",Liste_rouge!A:A,2,1),"LC")</f>
        <v>LC</v>
      </c>
      <c r="AH23337" s="4" t="str">
        <f>HYPERLINK("#Statut_biogéographique!A"&amp;_xlfn.XMATCH("P",Statut_biogéographique!A:A,2,1),"P")</f>
        <v>P</v>
      </c>
      <c r="AP23337" s="4" t="s">
        <v>376</v>
      </c>
      <c r="AR23337" s="4" t="s">
        <v>377</v>
      </c>
    </row>
    <row r="23338" spans="1:44" ht="30">
      <c r="A23338" s="4" t="s">
        <v>24364</v>
      </c>
      <c r="B23338" s="4">
        <v>786421</v>
      </c>
      <c r="D23338" s="5" t="s">
        <v>30205</v>
      </c>
      <c r="E23338" s="6" t="str">
        <f>HYPERLINK("https://inpn.mnhn.fr/espece/cd_nom/786421","Trilophozia quinquedentata (Huds.) Bakalin, 2005")</f>
        <v>Trilophozia quinquedentata (Huds.) Bakalin, 2005</v>
      </c>
      <c r="P23338" s="7" t="str">
        <f>HYPERLINK("#Liste_rouge!A"&amp;_xlfn.XMATCH("LC",Liste_rouge!A:A,2,1),"LC")</f>
        <v>LC</v>
      </c>
      <c r="T23338" s="7" t="str">
        <f>HYPERLINK("#Liste_rouge!A"&amp;_xlfn.XMATCH("EN",Liste_rouge!A:A,2,1),"EN")</f>
        <v>EN</v>
      </c>
      <c r="V23338" s="7" t="str">
        <f>HYPERLINK("#Liste_rouge!A"&amp;_xlfn.XMATCH("LC",Liste_rouge!A:A,2,1),"LC")</f>
        <v>LC</v>
      </c>
      <c r="X23338" s="5" t="s">
        <v>374</v>
      </c>
      <c r="AB23338" s="4" t="s">
        <v>93</v>
      </c>
      <c r="AH23338" s="4" t="str">
        <f>HYPERLINK("#Statut_biogéographique!A"&amp;_xlfn.XMATCH("P",Statut_biogéographique!A:A,2,1),"P")</f>
        <v>P</v>
      </c>
      <c r="AP23338" s="4" t="s">
        <v>376</v>
      </c>
      <c r="AR23338" s="4" t="s">
        <v>377</v>
      </c>
    </row>
    <row r="23339" spans="1:44" ht="30">
      <c r="A23339" s="4" t="s">
        <v>24364</v>
      </c>
      <c r="B23339" s="4">
        <v>786425</v>
      </c>
      <c r="D23339" s="5" t="s">
        <v>30206</v>
      </c>
      <c r="E23339" s="6" t="str">
        <f>HYPERLINK("https://inpn.mnhn.fr/espece/cd_nom/786425","Fuscocephaloziopsis pleniceps (Austin) Váňa &amp; L.Söderstr., 2013")</f>
        <v>Fuscocephaloziopsis pleniceps (Austin) Váňa &amp; L.Söderstr., 2013</v>
      </c>
      <c r="P23339" s="7" t="str">
        <f>HYPERLINK("#Liste_rouge!A"&amp;_xlfn.XMATCH("LC",Liste_rouge!A:A,2,1),"LC")</f>
        <v>LC</v>
      </c>
      <c r="V23339" s="7" t="str">
        <f>HYPERLINK("#Liste_rouge!A"&amp;_xlfn.XMATCH("NT",Liste_rouge!A:A,2,1),"NT")</f>
        <v>NT</v>
      </c>
      <c r="AB23339" s="4" t="s">
        <v>24410</v>
      </c>
      <c r="AH23339" s="4" t="str">
        <f>HYPERLINK("#Statut_biogéographique!A"&amp;_xlfn.XMATCH("P",Statut_biogéographique!A:A,2,1),"P")</f>
        <v>P</v>
      </c>
      <c r="AP23339" s="4" t="s">
        <v>376</v>
      </c>
      <c r="AR23339" s="4" t="s">
        <v>377</v>
      </c>
    </row>
    <row r="23340" spans="1:44" ht="30">
      <c r="A23340" s="4" t="s">
        <v>24364</v>
      </c>
      <c r="B23340" s="4">
        <v>786426</v>
      </c>
      <c r="D23340" s="5" t="s">
        <v>30207</v>
      </c>
      <c r="E23340" s="6" t="str">
        <f>HYPERLINK("https://inpn.mnhn.fr/espece/cd_nom/786426","Fuscocephaloziopsis macrostachya (Kaal.) Váňa &amp; L.Söderstr., 2013")</f>
        <v>Fuscocephaloziopsis macrostachya (Kaal.) Váňa &amp; L.Söderstr., 2013</v>
      </c>
      <c r="P23340" s="7" t="str">
        <f>HYPERLINK("#Liste_rouge!A"&amp;_xlfn.XMATCH("LC",Liste_rouge!A:A,2,1),"LC")</f>
        <v>LC</v>
      </c>
      <c r="V23340" s="7" t="str">
        <f>HYPERLINK("#Liste_rouge!A"&amp;_xlfn.XMATCH("VU",Liste_rouge!A:A,2,1),"VU")</f>
        <v>VU</v>
      </c>
      <c r="X23340" s="5" t="s">
        <v>374</v>
      </c>
      <c r="AB23340" s="4" t="s">
        <v>93</v>
      </c>
      <c r="AH23340" s="4" t="str">
        <f>HYPERLINK("#Statut_biogéographique!A"&amp;_xlfn.XMATCH("P",Statut_biogéographique!A:A,2,1),"P")</f>
        <v>P</v>
      </c>
      <c r="AP23340" s="4" t="s">
        <v>376</v>
      </c>
      <c r="AR23340" s="4" t="s">
        <v>377</v>
      </c>
    </row>
    <row r="23341" spans="1:44" ht="30">
      <c r="A23341" s="4" t="s">
        <v>24364</v>
      </c>
      <c r="B23341" s="4">
        <v>786427</v>
      </c>
      <c r="D23341" s="5" t="s">
        <v>30208</v>
      </c>
      <c r="E23341" s="6" t="str">
        <f>HYPERLINK("https://inpn.mnhn.fr/espece/cd_nom/786427","Fuscocephaloziopsis loitlesbergeri (Schiffn.) Váňa &amp; L.Söderstr., 2013")</f>
        <v>Fuscocephaloziopsis loitlesbergeri (Schiffn.) Váňa &amp; L.Söderstr., 2013</v>
      </c>
      <c r="P23341" s="7" t="str">
        <f>HYPERLINK("#Liste_rouge!A"&amp;_xlfn.XMATCH("LC",Liste_rouge!A:A,2,1),"LC")</f>
        <v>LC</v>
      </c>
      <c r="V23341" s="7" t="str">
        <f>HYPERLINK("#Liste_rouge!A"&amp;_xlfn.XMATCH("CR",Liste_rouge!A:A,2,1),"CR")</f>
        <v>CR</v>
      </c>
      <c r="X23341" s="5" t="s">
        <v>374</v>
      </c>
      <c r="AB23341" s="4" t="s">
        <v>93</v>
      </c>
      <c r="AH23341" s="4" t="str">
        <f>HYPERLINK("#Statut_biogéographique!A"&amp;_xlfn.XMATCH("P",Statut_biogéographique!A:A,2,1),"P")</f>
        <v>P</v>
      </c>
      <c r="AP23341" s="4" t="s">
        <v>376</v>
      </c>
      <c r="AR23341" s="4" t="s">
        <v>377</v>
      </c>
    </row>
    <row r="23342" spans="1:44" ht="30">
      <c r="A23342" s="4" t="s">
        <v>24364</v>
      </c>
      <c r="B23342" s="4">
        <v>786430</v>
      </c>
      <c r="D23342" s="5" t="s">
        <v>30209</v>
      </c>
      <c r="E23342" s="6" t="str">
        <f>HYPERLINK("https://inpn.mnhn.fr/espece/cd_nom/786430","Fuscocephaloziopsis connivens (Dicks.) Váňa &amp; L.Söderstr., 2013")</f>
        <v>Fuscocephaloziopsis connivens (Dicks.) Váňa &amp; L.Söderstr., 2013</v>
      </c>
      <c r="P23342" s="7" t="str">
        <f>HYPERLINK("#Liste_rouge!A"&amp;_xlfn.XMATCH("LC",Liste_rouge!A:A,2,1),"LC")</f>
        <v>LC</v>
      </c>
      <c r="T23342" s="7" t="str">
        <f>HYPERLINK("#Liste_rouge!A"&amp;_xlfn.XMATCH("NT",Liste_rouge!A:A,2,1),"NT")</f>
        <v>NT</v>
      </c>
      <c r="V23342" s="7" t="str">
        <f>HYPERLINK("#Liste_rouge!A"&amp;_xlfn.XMATCH("LC",Liste_rouge!A:A,2,1),"LC")</f>
        <v>LC</v>
      </c>
      <c r="AB23342" s="4" t="s">
        <v>24984</v>
      </c>
      <c r="AH23342" s="4" t="str">
        <f>HYPERLINK("#Statut_biogéographique!A"&amp;_xlfn.XMATCH("P",Statut_biogéographique!A:A,2,1),"P")</f>
        <v>P</v>
      </c>
      <c r="AP23342" s="4" t="s">
        <v>376</v>
      </c>
      <c r="AR23342" s="4" t="s">
        <v>377</v>
      </c>
    </row>
    <row r="23343" spans="1:44" ht="30">
      <c r="A23343" s="4" t="s">
        <v>24364</v>
      </c>
      <c r="B23343" s="4">
        <v>786432</v>
      </c>
      <c r="D23343" s="5" t="s">
        <v>30210</v>
      </c>
      <c r="E23343" s="6" t="str">
        <f>HYPERLINK("https://inpn.mnhn.fr/espece/cd_nom/786432","Biantheridion undulifolium (Nees) Konstant. &amp; Vilnet, 2010")</f>
        <v>Biantheridion undulifolium (Nees) Konstant. &amp; Vilnet, 2010</v>
      </c>
      <c r="O23343" s="7" t="str">
        <f>HYPERLINK("#Liste_rouge!A"&amp;_xlfn.XMATCH("VU",Liste_rouge!A:A,2,1),"VU")</f>
        <v>VU</v>
      </c>
      <c r="P23343" s="7" t="str">
        <f>HYPERLINK("#Liste_rouge!A"&amp;_xlfn.XMATCH("EN",Liste_rouge!A:A,2,1),"EN")</f>
        <v>EN</v>
      </c>
      <c r="T23343" s="7" t="str">
        <f>HYPERLINK("#Liste_rouge!A"&amp;_xlfn.XMATCH("CR",Liste_rouge!A:A,2,1),"CR")</f>
        <v>CR</v>
      </c>
      <c r="V23343" s="7" t="str">
        <f>HYPERLINK("#Liste_rouge!A"&amp;_xlfn.XMATCH("CR",Liste_rouge!A:A,2,1),"CR")</f>
        <v>CR</v>
      </c>
      <c r="X23343" s="5" t="s">
        <v>374</v>
      </c>
      <c r="AB23343" s="4" t="s">
        <v>93</v>
      </c>
      <c r="AE23343" s="4" t="str">
        <f>HYPERLINK("#SCAP!A"&amp;_xlfn.XMATCH("1+",SCAP!A:A,2,1),"1+")</f>
        <v>1+</v>
      </c>
      <c r="AG23343" s="4" t="str">
        <f>HYPERLINK("#SCAP!A"&amp;_xlfn.XMATCH("1-",SCAP!A:A,2,1),"1-")</f>
        <v>1-</v>
      </c>
      <c r="AH23343" s="4" t="str">
        <f>HYPERLINK("#Statut_biogéographique!A"&amp;_xlfn.XMATCH("P",Statut_biogéographique!A:A,2,1),"P")</f>
        <v>P</v>
      </c>
      <c r="AP23343" s="4" t="s">
        <v>376</v>
      </c>
      <c r="AR23343" s="4" t="s">
        <v>377</v>
      </c>
    </row>
    <row r="23344" spans="1:44" ht="30">
      <c r="A23344" s="4" t="s">
        <v>24364</v>
      </c>
      <c r="B23344" s="4">
        <v>786436</v>
      </c>
      <c r="D23344" s="5" t="s">
        <v>30211</v>
      </c>
      <c r="E23344" s="6" t="str">
        <f>HYPERLINK("https://inpn.mnhn.fr/espece/cd_nom/786436","Crossocalyx hellerianus (Nees ex Lindenb.) Meyl., 1939")</f>
        <v>Crossocalyx hellerianus (Nees ex Lindenb.) Meyl., 1939</v>
      </c>
      <c r="P23344" s="7" t="str">
        <f>HYPERLINK("#Liste_rouge!A"&amp;_xlfn.XMATCH("LC",Liste_rouge!A:A,2,1),"LC")</f>
        <v>LC</v>
      </c>
      <c r="T23344" s="7" t="str">
        <f>HYPERLINK("#Liste_rouge!A"&amp;_xlfn.XMATCH("RE",Liste_rouge!A:A,2,1),"RE")</f>
        <v>RE</v>
      </c>
      <c r="AE23344" s="4" t="str">
        <f>HYPERLINK("#SCAP!A"&amp;_xlfn.XMATCH("A",SCAP!A:A,2,1),"A")</f>
        <v>A</v>
      </c>
      <c r="AH23344" s="4" t="str">
        <f>HYPERLINK("#Statut_biogéographique!A"&amp;_xlfn.XMATCH("P",Statut_biogéographique!A:A,2,1),"P")</f>
        <v>P</v>
      </c>
      <c r="AP23344" s="4" t="s">
        <v>376</v>
      </c>
      <c r="AR23344" s="4" t="s">
        <v>377</v>
      </c>
    </row>
    <row r="23345" spans="1:44" ht="30">
      <c r="A23345" s="4" t="s">
        <v>24364</v>
      </c>
      <c r="B23345" s="4">
        <v>786443</v>
      </c>
      <c r="D23345" s="5" t="s">
        <v>30212</v>
      </c>
      <c r="E23345" s="6" t="str">
        <f>HYPERLINK("https://inpn.mnhn.fr/espece/cd_nom/786443","Mesoptychia bantriensis (Hook.) L.Söderstr. &amp; Váňa, 2012")</f>
        <v>Mesoptychia bantriensis (Hook.) L.Söderstr. &amp; Váňa, 2012</v>
      </c>
      <c r="P23345" s="7" t="str">
        <f>HYPERLINK("#Liste_rouge!A"&amp;_xlfn.XMATCH("LC",Liste_rouge!A:A,2,1),"LC")</f>
        <v>LC</v>
      </c>
      <c r="T23345" s="7" t="str">
        <f>HYPERLINK("#Liste_rouge!A"&amp;_xlfn.XMATCH("LC",Liste_rouge!A:A,2,1),"LC")</f>
        <v>LC</v>
      </c>
      <c r="V23345" s="7" t="str">
        <f>HYPERLINK("#Liste_rouge!A"&amp;_xlfn.XMATCH("NT",Liste_rouge!A:A,2,1),"NT")</f>
        <v>NT</v>
      </c>
      <c r="AH23345" s="4" t="str">
        <f>HYPERLINK("#Statut_biogéographique!A"&amp;_xlfn.XMATCH("P",Statut_biogéographique!A:A,2,1),"P")</f>
        <v>P</v>
      </c>
      <c r="AP23345" s="4" t="s">
        <v>376</v>
      </c>
      <c r="AR23345" s="4" t="s">
        <v>377</v>
      </c>
    </row>
    <row r="23346" spans="1:44" ht="30">
      <c r="A23346" s="4" t="s">
        <v>24364</v>
      </c>
      <c r="B23346" s="4">
        <v>786444</v>
      </c>
      <c r="D23346" s="5" t="s">
        <v>30213</v>
      </c>
      <c r="E23346" s="6" t="str">
        <f>HYPERLINK("https://inpn.mnhn.fr/espece/cd_nom/786444","Mesoptychia turbinata (Raddi) L.Söderstr. &amp; Váňa, 2012")</f>
        <v>Mesoptychia turbinata (Raddi) L.Söderstr. &amp; Váňa, 2012</v>
      </c>
      <c r="P23346" s="7" t="str">
        <f>HYPERLINK("#Liste_rouge!A"&amp;_xlfn.XMATCH("LC",Liste_rouge!A:A,2,1),"LC")</f>
        <v>LC</v>
      </c>
      <c r="T23346" s="7" t="str">
        <f>HYPERLINK("#Liste_rouge!A"&amp;_xlfn.XMATCH("DD",Liste_rouge!A:A,2,1),"DD")</f>
        <v>DD</v>
      </c>
      <c r="V23346" s="7" t="str">
        <f>HYPERLINK("#Liste_rouge!A"&amp;_xlfn.XMATCH("EN",Liste_rouge!A:A,2,1),"EN")</f>
        <v>EN</v>
      </c>
      <c r="X23346" s="5" t="s">
        <v>374</v>
      </c>
      <c r="AB23346" s="4" t="s">
        <v>93</v>
      </c>
      <c r="AH23346" s="4" t="str">
        <f>HYPERLINK("#Statut_biogéographique!A"&amp;_xlfn.XMATCH("P",Statut_biogéographique!A:A,2,1),"P")</f>
        <v>P</v>
      </c>
      <c r="AP23346" s="4" t="s">
        <v>376</v>
      </c>
      <c r="AR23346" s="4" t="s">
        <v>377</v>
      </c>
    </row>
    <row r="23347" spans="1:44" ht="30">
      <c r="A23347" s="4" t="s">
        <v>24364</v>
      </c>
      <c r="B23347" s="4">
        <v>786445</v>
      </c>
      <c r="D23347" s="5" t="s">
        <v>30214</v>
      </c>
      <c r="E23347" s="6" t="str">
        <f>HYPERLINK("https://inpn.mnhn.fr/espece/cd_nom/786445","Mesoptychia heterocolpos (Thed. ex Hartm.) L.Söderstr. &amp; Váňa, 2012")</f>
        <v>Mesoptychia heterocolpos (Thed. ex Hartm.) L.Söderstr. &amp; Váňa, 2012</v>
      </c>
      <c r="P23347" s="7" t="str">
        <f>HYPERLINK("#Liste_rouge!A"&amp;_xlfn.XMATCH("LC",Liste_rouge!A:A,2,1),"LC")</f>
        <v>LC</v>
      </c>
      <c r="T23347" s="7" t="str">
        <f>HYPERLINK("#Liste_rouge!A"&amp;_xlfn.XMATCH("RE",Liste_rouge!A:A,2,1),"RE")</f>
        <v>RE</v>
      </c>
      <c r="V23347" s="7" t="str">
        <f>HYPERLINK("#Liste_rouge!A"&amp;_xlfn.XMATCH("VU",Liste_rouge!A:A,2,1),"VU")</f>
        <v>VU</v>
      </c>
      <c r="X23347" s="5" t="s">
        <v>374</v>
      </c>
      <c r="AB23347" s="4" t="s">
        <v>93</v>
      </c>
      <c r="AH23347" s="4" t="str">
        <f>HYPERLINK("#Statut_biogéographique!A"&amp;_xlfn.XMATCH("P",Statut_biogéographique!A:A,2,1),"P")</f>
        <v>P</v>
      </c>
      <c r="AP23347" s="4" t="s">
        <v>376</v>
      </c>
      <c r="AR23347" s="4" t="s">
        <v>377</v>
      </c>
    </row>
    <row r="23348" spans="1:44" ht="30">
      <c r="A23348" s="4" t="s">
        <v>24364</v>
      </c>
      <c r="B23348" s="4">
        <v>786447</v>
      </c>
      <c r="D23348" s="5" t="s">
        <v>30215</v>
      </c>
      <c r="E23348" s="6" t="str">
        <f>HYPERLINK("https://inpn.mnhn.fr/espece/cd_nom/786447","Mesoptychia badensis (Gottsche ex Rabenh.) L.Söderstr. &amp; Váňa, 2012")</f>
        <v>Mesoptychia badensis (Gottsche ex Rabenh.) L.Söderstr. &amp; Váňa, 2012</v>
      </c>
      <c r="P23348" s="7" t="str">
        <f>HYPERLINK("#Liste_rouge!A"&amp;_xlfn.XMATCH("LC",Liste_rouge!A:A,2,1),"LC")</f>
        <v>LC</v>
      </c>
      <c r="T23348" s="7" t="str">
        <f>HYPERLINK("#Liste_rouge!A"&amp;_xlfn.XMATCH("LC",Liste_rouge!A:A,2,1),"LC")</f>
        <v>LC</v>
      </c>
      <c r="V23348" s="7" t="str">
        <f>HYPERLINK("#Liste_rouge!A"&amp;_xlfn.XMATCH("DD",Liste_rouge!A:A,2,1),"DD")</f>
        <v>DD</v>
      </c>
      <c r="AH23348" s="4" t="str">
        <f>HYPERLINK("#Statut_biogéographique!A"&amp;_xlfn.XMATCH("P",Statut_biogéographique!A:A,2,1),"P")</f>
        <v>P</v>
      </c>
      <c r="AP23348" s="4" t="s">
        <v>376</v>
      </c>
      <c r="AR23348" s="4" t="s">
        <v>377</v>
      </c>
    </row>
    <row r="23349" spans="1:44" ht="30">
      <c r="A23349" s="4" t="s">
        <v>24364</v>
      </c>
      <c r="B23349" s="4">
        <v>786448</v>
      </c>
      <c r="D23349" s="5" t="s">
        <v>30216</v>
      </c>
      <c r="E23349" s="6" t="str">
        <f>HYPERLINK("https://inpn.mnhn.fr/espece/cd_nom/786448","Microeurhynchium pumilum (Wilson) Ignatov &amp; Vanderp., 2009")</f>
        <v>Microeurhynchium pumilum (Wilson) Ignatov &amp; Vanderp., 2009</v>
      </c>
      <c r="P23349" s="7" t="str">
        <f>HYPERLINK("#Liste_rouge!A"&amp;_xlfn.XMATCH("LC",Liste_rouge!A:A,2,1),"LC")</f>
        <v>LC</v>
      </c>
      <c r="T23349" s="7" t="str">
        <f>HYPERLINK("#Liste_rouge!A"&amp;_xlfn.XMATCH("LC",Liste_rouge!A:A,2,1),"LC")</f>
        <v>LC</v>
      </c>
      <c r="V23349" s="7" t="str">
        <f>HYPERLINK("#Liste_rouge!A"&amp;_xlfn.XMATCH("LC",Liste_rouge!A:A,2,1),"LC")</f>
        <v>LC</v>
      </c>
      <c r="AH23349" s="4" t="str">
        <f>HYPERLINK("#Statut_biogéographique!A"&amp;_xlfn.XMATCH("P",Statut_biogéographique!A:A,2,1),"P")</f>
        <v>P</v>
      </c>
      <c r="AP23349" s="4" t="s">
        <v>376</v>
      </c>
      <c r="AR23349" s="4" t="s">
        <v>377</v>
      </c>
    </row>
    <row r="23350" spans="1:44">
      <c r="A23350" s="4" t="s">
        <v>24364</v>
      </c>
      <c r="B23350" s="4">
        <v>786449</v>
      </c>
      <c r="D23350" s="5" t="s">
        <v>30217</v>
      </c>
      <c r="E23350" s="6" t="str">
        <f>HYPERLINK("https://inpn.mnhn.fr/espece/cd_nom/786449","Moerckia flotoviana (Nees) Schiffn., 1901")</f>
        <v>Moerckia flotoviana (Nees) Schiffn., 1901</v>
      </c>
      <c r="P23350" s="7" t="str">
        <f>HYPERLINK("#Liste_rouge!A"&amp;_xlfn.XMATCH("NT",Liste_rouge!A:A,2,1),"NT")</f>
        <v>NT</v>
      </c>
      <c r="V23350" s="7" t="str">
        <f>HYPERLINK("#Liste_rouge!A"&amp;_xlfn.XMATCH("CR",Liste_rouge!A:A,2,1),"CR")</f>
        <v>CR</v>
      </c>
      <c r="X23350" s="5" t="s">
        <v>374</v>
      </c>
      <c r="AB23350" s="4" t="s">
        <v>93</v>
      </c>
      <c r="AH23350" s="4" t="str">
        <f>HYPERLINK("#Statut_biogéographique!A"&amp;_xlfn.XMATCH("P",Statut_biogéographique!A:A,2,1),"P")</f>
        <v>P</v>
      </c>
      <c r="AP23350" s="4" t="s">
        <v>376</v>
      </c>
      <c r="AR23350" s="4" t="s">
        <v>377</v>
      </c>
    </row>
    <row r="23351" spans="1:44" ht="30">
      <c r="A23351" s="4" t="s">
        <v>24364</v>
      </c>
      <c r="B23351" s="4">
        <v>786450</v>
      </c>
      <c r="D23351" s="5" t="s">
        <v>30218</v>
      </c>
      <c r="E23351" s="6" t="str">
        <f>HYPERLINK("https://inpn.mnhn.fr/espece/cd_nom/786450","Nyholmiella obtusifolia (Brid.) Holmen &amp; E.Warncke, 1969")</f>
        <v>Nyholmiella obtusifolia (Brid.) Holmen &amp; E.Warncke, 1969</v>
      </c>
      <c r="P23351" s="7" t="str">
        <f>HYPERLINK("#Liste_rouge!A"&amp;_xlfn.XMATCH("LC",Liste_rouge!A:A,2,1),"LC")</f>
        <v>LC</v>
      </c>
      <c r="T23351" s="7" t="str">
        <f>HYPERLINK("#Liste_rouge!A"&amp;_xlfn.XMATCH("LC",Liste_rouge!A:A,2,1),"LC")</f>
        <v>LC</v>
      </c>
      <c r="V23351" s="7" t="str">
        <f>HYPERLINK("#Liste_rouge!A"&amp;_xlfn.XMATCH("LC",Liste_rouge!A:A,2,1),"LC")</f>
        <v>LC</v>
      </c>
      <c r="AH23351" s="4" t="str">
        <f>HYPERLINK("#Statut_biogéographique!A"&amp;_xlfn.XMATCH("P",Statut_biogéographique!A:A,2,1),"P")</f>
        <v>P</v>
      </c>
      <c r="AP23351" s="4" t="s">
        <v>376</v>
      </c>
      <c r="AR23351" s="4" t="s">
        <v>377</v>
      </c>
    </row>
    <row r="23352" spans="1:44" ht="30">
      <c r="A23352" s="4" t="s">
        <v>24364</v>
      </c>
      <c r="B23352" s="4">
        <v>786452</v>
      </c>
      <c r="D23352" s="5" t="s">
        <v>30219</v>
      </c>
      <c r="E23352" s="6" t="str">
        <f>HYPERLINK("https://inpn.mnhn.fr/espece/cd_nom/786452","Obtusifolium obtusum (Lindb.) S.W.Arnell, 1956")</f>
        <v>Obtusifolium obtusum (Lindb.) S.W.Arnell, 1956</v>
      </c>
      <c r="P23352" s="7" t="str">
        <f>HYPERLINK("#Liste_rouge!A"&amp;_xlfn.XMATCH("LC",Liste_rouge!A:A,2,1),"LC")</f>
        <v>LC</v>
      </c>
      <c r="V23352" s="7" t="str">
        <f>HYPERLINK("#Liste_rouge!A"&amp;_xlfn.XMATCH("VU",Liste_rouge!A:A,2,1),"VU")</f>
        <v>VU</v>
      </c>
      <c r="X23352" s="5" t="s">
        <v>374</v>
      </c>
      <c r="AB23352" s="4" t="s">
        <v>93</v>
      </c>
      <c r="AH23352" s="4" t="str">
        <f>HYPERLINK("#Statut_biogéographique!A"&amp;_xlfn.XMATCH("P",Statut_biogéographique!A:A,2,1),"P")</f>
        <v>P</v>
      </c>
      <c r="AP23352" s="4" t="s">
        <v>376</v>
      </c>
      <c r="AR23352" s="4" t="s">
        <v>377</v>
      </c>
    </row>
    <row r="23353" spans="1:44" ht="30">
      <c r="A23353" s="4" t="s">
        <v>24364</v>
      </c>
      <c r="B23353" s="4">
        <v>786454</v>
      </c>
      <c r="D23353" s="5" t="s">
        <v>30220</v>
      </c>
      <c r="E23353" s="6" t="str">
        <f>HYPERLINK("https://inpn.mnhn.fr/espece/cd_nom/786454","Nogopterium gracile (Hedw.) Crosby &amp; W.R.Buck, 2011")</f>
        <v>Nogopterium gracile (Hedw.) Crosby &amp; W.R.Buck, 2011</v>
      </c>
      <c r="P23353" s="7" t="str">
        <f>HYPERLINK("#Liste_rouge!A"&amp;_xlfn.XMATCH("LC",Liste_rouge!A:A,2,1),"LC")</f>
        <v>LC</v>
      </c>
      <c r="T23353" s="7" t="str">
        <f>HYPERLINK("#Liste_rouge!A"&amp;_xlfn.XMATCH("NT",Liste_rouge!A:A,2,1),"NT")</f>
        <v>NT</v>
      </c>
      <c r="V23353" s="7" t="str">
        <f>HYPERLINK("#Liste_rouge!A"&amp;_xlfn.XMATCH("NT",Liste_rouge!A:A,2,1),"NT")</f>
        <v>NT</v>
      </c>
      <c r="AB23353" s="4" t="s">
        <v>30221</v>
      </c>
      <c r="AH23353" s="4" t="str">
        <f>HYPERLINK("#Statut_biogéographique!A"&amp;_xlfn.XMATCH("P",Statut_biogéographique!A:A,2,1),"P")</f>
        <v>P</v>
      </c>
      <c r="AP23353" s="4" t="s">
        <v>376</v>
      </c>
      <c r="AR23353" s="4" t="s">
        <v>377</v>
      </c>
    </row>
    <row r="23354" spans="1:44">
      <c r="A23354" s="4" t="s">
        <v>24364</v>
      </c>
      <c r="B23354" s="4">
        <v>786455</v>
      </c>
      <c r="D23354" s="5" t="s">
        <v>30222</v>
      </c>
      <c r="E23354" s="6" t="str">
        <f>HYPERLINK("https://inpn.mnhn.fr/espece/cd_nom/786455","Orthotrichum columbicum Mitt., 1864")</f>
        <v>Orthotrichum columbicum Mitt., 1864</v>
      </c>
      <c r="P23354" s="7" t="str">
        <f>HYPERLINK("#Liste_rouge!A"&amp;_xlfn.XMATCH("LC",Liste_rouge!A:A,2,1),"LC")</f>
        <v>LC</v>
      </c>
      <c r="V23354" s="7" t="str">
        <f>HYPERLINK("#Liste_rouge!A"&amp;_xlfn.XMATCH("VU",Liste_rouge!A:A,2,1),"VU")</f>
        <v>VU</v>
      </c>
      <c r="X23354" s="5" t="s">
        <v>374</v>
      </c>
      <c r="AB23354" s="4" t="s">
        <v>93</v>
      </c>
      <c r="AH23354" s="4" t="str">
        <f>HYPERLINK("#Statut_biogéographique!A"&amp;_xlfn.XMATCH("P",Statut_biogéographique!A:A,2,1),"P")</f>
        <v>P</v>
      </c>
      <c r="AP23354" s="4" t="s">
        <v>376</v>
      </c>
      <c r="AR23354" s="4" t="s">
        <v>377</v>
      </c>
    </row>
    <row r="23355" spans="1:44" ht="30">
      <c r="A23355" s="4" t="s">
        <v>24364</v>
      </c>
      <c r="B23355" s="4">
        <v>786456</v>
      </c>
      <c r="D23355" s="5" t="s">
        <v>30223</v>
      </c>
      <c r="E23355" s="6" t="str">
        <f>HYPERLINK("https://inpn.mnhn.fr/espece/cd_nom/786456","Lophoziopsis longidens (Lindb.) Konstant. &amp; Vilnet, 2009")</f>
        <v>Lophoziopsis longidens (Lindb.) Konstant. &amp; Vilnet, 2009</v>
      </c>
      <c r="P23355" s="7" t="str">
        <f>HYPERLINK("#Liste_rouge!A"&amp;_xlfn.XMATCH("LC",Liste_rouge!A:A,2,1),"LC")</f>
        <v>LC</v>
      </c>
      <c r="T23355" s="7" t="str">
        <f>HYPERLINK("#Liste_rouge!A"&amp;_xlfn.XMATCH("EN",Liste_rouge!A:A,2,1),"EN")</f>
        <v>EN</v>
      </c>
      <c r="V23355" s="7" t="str">
        <f>HYPERLINK("#Liste_rouge!A"&amp;_xlfn.XMATCH("VU",Liste_rouge!A:A,2,1),"VU")</f>
        <v>VU</v>
      </c>
      <c r="X23355" s="5" t="s">
        <v>374</v>
      </c>
      <c r="AB23355" s="4" t="s">
        <v>93</v>
      </c>
      <c r="AH23355" s="4" t="str">
        <f>HYPERLINK("#Statut_biogéographique!A"&amp;_xlfn.XMATCH("P",Statut_biogéographique!A:A,2,1),"P")</f>
        <v>P</v>
      </c>
      <c r="AP23355" s="4" t="s">
        <v>376</v>
      </c>
      <c r="AR23355" s="4" t="s">
        <v>377</v>
      </c>
    </row>
    <row r="23356" spans="1:44" ht="30">
      <c r="A23356" s="4" t="s">
        <v>24364</v>
      </c>
      <c r="B23356" s="4">
        <v>786457</v>
      </c>
      <c r="D23356" s="5" t="s">
        <v>30224</v>
      </c>
      <c r="E23356" s="6" t="str">
        <f>HYPERLINK("https://inpn.mnhn.fr/espece/cd_nom/786457","Lophoziopsis excisa (Dicks.) Konstant. &amp; Vilnet, 2010")</f>
        <v>Lophoziopsis excisa (Dicks.) Konstant. &amp; Vilnet, 2010</v>
      </c>
      <c r="P23356" s="7" t="str">
        <f>HYPERLINK("#Liste_rouge!A"&amp;_xlfn.XMATCH("LC",Liste_rouge!A:A,2,1),"LC")</f>
        <v>LC</v>
      </c>
      <c r="T23356" s="7" t="str">
        <f>HYPERLINK("#Liste_rouge!A"&amp;_xlfn.XMATCH("EN",Liste_rouge!A:A,2,1),"EN")</f>
        <v>EN</v>
      </c>
      <c r="V23356" s="7" t="str">
        <f>HYPERLINK("#Liste_rouge!A"&amp;_xlfn.XMATCH("VU",Liste_rouge!A:A,2,1),"VU")</f>
        <v>VU</v>
      </c>
      <c r="X23356" s="5" t="s">
        <v>374</v>
      </c>
      <c r="AB23356" s="4" t="s">
        <v>93</v>
      </c>
      <c r="AH23356" s="4" t="str">
        <f>HYPERLINK("#Statut_biogéographique!A"&amp;_xlfn.XMATCH("P",Statut_biogéographique!A:A,2,1),"P")</f>
        <v>P</v>
      </c>
      <c r="AP23356" s="4" t="s">
        <v>376</v>
      </c>
      <c r="AR23356" s="4" t="s">
        <v>377</v>
      </c>
    </row>
    <row r="23357" spans="1:44">
      <c r="A23357" s="4" t="s">
        <v>24364</v>
      </c>
      <c r="B23357" s="4">
        <v>786459</v>
      </c>
      <c r="D23357" s="5" t="s">
        <v>30225</v>
      </c>
      <c r="E23357" s="6" t="str">
        <f>HYPERLINK("https://inpn.mnhn.fr/espece/cd_nom/786459","Philonotis capillaris Lindb., 1867")</f>
        <v>Philonotis capillaris Lindb., 1867</v>
      </c>
      <c r="P23357" s="7" t="str">
        <f>HYPERLINK("#Liste_rouge!A"&amp;_xlfn.XMATCH("LC",Liste_rouge!A:A,2,1),"LC")</f>
        <v>LC</v>
      </c>
      <c r="T23357" s="7" t="str">
        <f>HYPERLINK("#Liste_rouge!A"&amp;_xlfn.XMATCH("CR",Liste_rouge!A:A,2,1),"CR")</f>
        <v>CR</v>
      </c>
      <c r="V23357" s="7" t="str">
        <f>HYPERLINK("#Liste_rouge!A"&amp;_xlfn.XMATCH("VU",Liste_rouge!A:A,2,1),"VU")</f>
        <v>VU</v>
      </c>
      <c r="X23357" s="5" t="s">
        <v>374</v>
      </c>
      <c r="AB23357" s="4" t="s">
        <v>93</v>
      </c>
      <c r="AH23357" s="4" t="str">
        <f>HYPERLINK("#Statut_biogéographique!A"&amp;_xlfn.XMATCH("P",Statut_biogéographique!A:A,2,1),"P")</f>
        <v>P</v>
      </c>
      <c r="AP23357" s="4" t="s">
        <v>376</v>
      </c>
      <c r="AR23357" s="4" t="s">
        <v>377</v>
      </c>
    </row>
    <row r="23358" spans="1:44" ht="30">
      <c r="A23358" s="4" t="s">
        <v>24364</v>
      </c>
      <c r="B23358" s="4">
        <v>786462</v>
      </c>
      <c r="D23358" s="5">
        <v>786462</v>
      </c>
      <c r="E23358" s="6" t="str">
        <f>HYPERLINK("https://inpn.mnhn.fr/espece/cd_nom/786462","Ephemerum crassinervium (Schwägr.) Hampe, 1837")</f>
        <v>Ephemerum crassinervium (Schwägr.) Hampe, 1837</v>
      </c>
      <c r="P23358" s="7" t="str">
        <f>HYPERLINK("#Liste_rouge!A"&amp;_xlfn.XMATCH("NT",Liste_rouge!A:A,2,1),"NT")</f>
        <v>NT</v>
      </c>
      <c r="T23358" s="7" t="str">
        <f>HYPERLINK("#Liste_rouge!A"&amp;_xlfn.XMATCH("EN",Liste_rouge!A:A,2,1),"EN")</f>
        <v>EN</v>
      </c>
      <c r="V23358" s="7" t="str">
        <f>HYPERLINK("#Liste_rouge!A"&amp;_xlfn.XMATCH("DD",Liste_rouge!A:A,2,1),"DD")</f>
        <v>DD</v>
      </c>
      <c r="X23358" s="5" t="s">
        <v>374</v>
      </c>
      <c r="AB23358" s="4" t="s">
        <v>93</v>
      </c>
      <c r="AH23358" s="4" t="str">
        <f>HYPERLINK("#Statut_biogéographique!A"&amp;_xlfn.XMATCH("P",Statut_biogéographique!A:A,2,1),"P")</f>
        <v>P</v>
      </c>
      <c r="AP23358" s="4" t="s">
        <v>376</v>
      </c>
      <c r="AR23358" s="4" t="s">
        <v>377</v>
      </c>
    </row>
    <row r="23359" spans="1:44" ht="30">
      <c r="A23359" s="4" t="s">
        <v>24364</v>
      </c>
      <c r="B23359" s="4">
        <v>786463</v>
      </c>
      <c r="D23359" s="5" t="s">
        <v>30226</v>
      </c>
      <c r="E23359" s="6" t="str">
        <f>HYPERLINK("https://inpn.mnhn.fr/espece/cd_nom/786463","Exsertotheca crispa (Hedw.) S.Olsson, Enroth &amp; D.Quandt, 2011")</f>
        <v>Exsertotheca crispa (Hedw.) S.Olsson, Enroth &amp; D.Quandt, 2011</v>
      </c>
      <c r="P23359" s="7" t="str">
        <f>HYPERLINK("#Liste_rouge!A"&amp;_xlfn.XMATCH("LC",Liste_rouge!A:A,2,1),"LC")</f>
        <v>LC</v>
      </c>
      <c r="T23359" s="7" t="str">
        <f>HYPERLINK("#Liste_rouge!A"&amp;_xlfn.XMATCH("LC",Liste_rouge!A:A,2,1),"LC")</f>
        <v>LC</v>
      </c>
      <c r="V23359" s="7" t="str">
        <f>HYPERLINK("#Liste_rouge!A"&amp;_xlfn.XMATCH("LC",Liste_rouge!A:A,2,1),"LC")</f>
        <v>LC</v>
      </c>
      <c r="AH23359" s="4" t="str">
        <f>HYPERLINK("#Statut_biogéographique!A"&amp;_xlfn.XMATCH("P",Statut_biogéographique!A:A,2,1),"P")</f>
        <v>P</v>
      </c>
      <c r="AP23359" s="4" t="s">
        <v>376</v>
      </c>
      <c r="AR23359" s="4" t="s">
        <v>377</v>
      </c>
    </row>
    <row r="23360" spans="1:44" ht="30">
      <c r="A23360" s="4" t="s">
        <v>24364</v>
      </c>
      <c r="B23360" s="4">
        <v>786465</v>
      </c>
      <c r="D23360" s="5" t="s">
        <v>30227</v>
      </c>
      <c r="E23360" s="6" t="str">
        <f>HYPERLINK("https://inpn.mnhn.fr/espece/cd_nom/786465","Ptychostomum zieri (Hedw.) Holyoak &amp; N.Pedersen, 2007")</f>
        <v>Ptychostomum zieri (Hedw.) Holyoak &amp; N.Pedersen, 2007</v>
      </c>
      <c r="P23360" s="7" t="str">
        <f>HYPERLINK("#Liste_rouge!A"&amp;_xlfn.XMATCH("LC",Liste_rouge!A:A,2,1),"LC")</f>
        <v>LC</v>
      </c>
      <c r="V23360" s="7" t="str">
        <f>HYPERLINK("#Liste_rouge!A"&amp;_xlfn.XMATCH("VU",Liste_rouge!A:A,2,1),"VU")</f>
        <v>VU</v>
      </c>
      <c r="X23360" s="5" t="s">
        <v>374</v>
      </c>
      <c r="AB23360" s="4" t="s">
        <v>93</v>
      </c>
      <c r="AH23360" s="4" t="str">
        <f>HYPERLINK("#Statut_biogéographique!A"&amp;_xlfn.XMATCH("P",Statut_biogéographique!A:A,2,1),"P")</f>
        <v>P</v>
      </c>
      <c r="AP23360" s="4" t="s">
        <v>376</v>
      </c>
      <c r="AR23360" s="4" t="s">
        <v>377</v>
      </c>
    </row>
    <row r="23361" spans="1:44" ht="30">
      <c r="A23361" s="4" t="s">
        <v>24364</v>
      </c>
      <c r="B23361" s="4">
        <v>786466</v>
      </c>
      <c r="D23361" s="5" t="s">
        <v>30228</v>
      </c>
      <c r="E23361" s="6" t="str">
        <f>HYPERLINK("https://inpn.mnhn.fr/espece/cd_nom/786466","Ptychostomum torquescens (Bruch &amp; Schimp.) Ros &amp; Mazimpaka, 2013")</f>
        <v>Ptychostomum torquescens (Bruch &amp; Schimp.) Ros &amp; Mazimpaka, 2013</v>
      </c>
      <c r="P23361" s="7" t="str">
        <f>HYPERLINK("#Liste_rouge!A"&amp;_xlfn.XMATCH("LC",Liste_rouge!A:A,2,1),"LC")</f>
        <v>LC</v>
      </c>
      <c r="T23361" s="7" t="str">
        <f>HYPERLINK("#Liste_rouge!A"&amp;_xlfn.XMATCH("LC",Liste_rouge!A:A,2,1),"LC")</f>
        <v>LC</v>
      </c>
      <c r="V23361" s="7" t="str">
        <f>HYPERLINK("#Liste_rouge!A"&amp;_xlfn.XMATCH("DD",Liste_rouge!A:A,2,1),"DD")</f>
        <v>DD</v>
      </c>
      <c r="AH23361" s="4" t="str">
        <f>HYPERLINK("#Statut_biogéographique!A"&amp;_xlfn.XMATCH("P",Statut_biogéographique!A:A,2,1),"P")</f>
        <v>P</v>
      </c>
      <c r="AP23361" s="4" t="s">
        <v>376</v>
      </c>
      <c r="AR23361" s="4" t="s">
        <v>377</v>
      </c>
    </row>
    <row r="23362" spans="1:44" ht="30">
      <c r="A23362" s="4" t="s">
        <v>24364</v>
      </c>
      <c r="B23362" s="4">
        <v>786467</v>
      </c>
      <c r="D23362" s="5" t="s">
        <v>30229</v>
      </c>
      <c r="E23362" s="6" t="str">
        <f>HYPERLINK("https://inpn.mnhn.fr/espece/cd_nom/786467","Ptychostomum rubens (Mitt.) Holyoak &amp; N.Pedersen, 2007")</f>
        <v>Ptychostomum rubens (Mitt.) Holyoak &amp; N.Pedersen, 2007</v>
      </c>
      <c r="P23362" s="7" t="str">
        <f>HYPERLINK("#Liste_rouge!A"&amp;_xlfn.XMATCH("LC",Liste_rouge!A:A,2,1),"LC")</f>
        <v>LC</v>
      </c>
      <c r="T23362" s="7" t="str">
        <f>HYPERLINK("#Liste_rouge!A"&amp;_xlfn.XMATCH("LC",Liste_rouge!A:A,2,1),"LC")</f>
        <v>LC</v>
      </c>
      <c r="V23362" s="7" t="str">
        <f>HYPERLINK("#Liste_rouge!A"&amp;_xlfn.XMATCH("LC",Liste_rouge!A:A,2,1),"LC")</f>
        <v>LC</v>
      </c>
      <c r="AH23362" s="4" t="str">
        <f>HYPERLINK("#Statut_biogéographique!A"&amp;_xlfn.XMATCH("P",Statut_biogéographique!A:A,2,1),"P")</f>
        <v>P</v>
      </c>
      <c r="AP23362" s="4" t="s">
        <v>376</v>
      </c>
      <c r="AR23362" s="4" t="s">
        <v>377</v>
      </c>
    </row>
    <row r="23363" spans="1:44" ht="30">
      <c r="A23363" s="4" t="s">
        <v>24364</v>
      </c>
      <c r="B23363" s="4">
        <v>786468</v>
      </c>
      <c r="D23363" s="5" t="s">
        <v>30230</v>
      </c>
      <c r="E23363" s="6" t="str">
        <f>HYPERLINK("https://inpn.mnhn.fr/espece/cd_nom/786468","Ptychostomum pallens (Sw.) J.R.Spence, 2005")</f>
        <v>Ptychostomum pallens (Sw.) J.R.Spence, 2005</v>
      </c>
      <c r="P23363" s="7" t="str">
        <f>HYPERLINK("#Liste_rouge!A"&amp;_xlfn.XMATCH("LC",Liste_rouge!A:A,2,1),"LC")</f>
        <v>LC</v>
      </c>
      <c r="T23363" s="7" t="str">
        <f>HYPERLINK("#Liste_rouge!A"&amp;_xlfn.XMATCH("CR",Liste_rouge!A:A,2,1),"CR")</f>
        <v>CR</v>
      </c>
      <c r="V23363" s="7" t="str">
        <f>HYPERLINK("#Liste_rouge!A"&amp;_xlfn.XMATCH("LC",Liste_rouge!A:A,2,1),"LC")</f>
        <v>LC</v>
      </c>
      <c r="AB23363" s="4" t="s">
        <v>24418</v>
      </c>
      <c r="AH23363" s="4" t="str">
        <f>HYPERLINK("#Statut_biogéographique!A"&amp;_xlfn.XMATCH("P",Statut_biogéographique!A:A,2,1),"P")</f>
        <v>P</v>
      </c>
      <c r="AP23363" s="4" t="s">
        <v>376</v>
      </c>
      <c r="AR23363" s="4" t="s">
        <v>377</v>
      </c>
    </row>
    <row r="23364" spans="1:44" ht="30">
      <c r="A23364" s="4" t="s">
        <v>24364</v>
      </c>
      <c r="B23364" s="4">
        <v>786469</v>
      </c>
      <c r="D23364" s="5" t="s">
        <v>30231</v>
      </c>
      <c r="E23364" s="6" t="str">
        <f>HYPERLINK("https://inpn.mnhn.fr/espece/cd_nom/786469","Ptychostomum moravicum (Podp.) Ros &amp; Mazimpaka, 2013")</f>
        <v>Ptychostomum moravicum (Podp.) Ros &amp; Mazimpaka, 2013</v>
      </c>
      <c r="P23364" s="7" t="str">
        <f>HYPERLINK("#Liste_rouge!A"&amp;_xlfn.XMATCH("LC",Liste_rouge!A:A,2,1),"LC")</f>
        <v>LC</v>
      </c>
      <c r="T23364" s="7" t="str">
        <f>HYPERLINK("#Liste_rouge!A"&amp;_xlfn.XMATCH("LC",Liste_rouge!A:A,2,1),"LC")</f>
        <v>LC</v>
      </c>
      <c r="V23364" s="7" t="str">
        <f>HYPERLINK("#Liste_rouge!A"&amp;_xlfn.XMATCH("LC",Liste_rouge!A:A,2,1),"LC")</f>
        <v>LC</v>
      </c>
      <c r="AH23364" s="4" t="str">
        <f>HYPERLINK("#Statut_biogéographique!A"&amp;_xlfn.XMATCH("P",Statut_biogéographique!A:A,2,1),"P")</f>
        <v>P</v>
      </c>
      <c r="AP23364" s="4" t="s">
        <v>376</v>
      </c>
      <c r="AR23364" s="4" t="s">
        <v>377</v>
      </c>
    </row>
    <row r="23365" spans="1:44" ht="30">
      <c r="A23365" s="4" t="s">
        <v>24364</v>
      </c>
      <c r="B23365" s="4">
        <v>786470</v>
      </c>
      <c r="D23365" s="5" t="s">
        <v>30232</v>
      </c>
      <c r="E23365" s="6" t="str">
        <f>HYPERLINK("https://inpn.mnhn.fr/espece/cd_nom/786470","Ptychostomum donianum (Grev.) Holyoak &amp; N.Pedersen, 2007")</f>
        <v>Ptychostomum donianum (Grev.) Holyoak &amp; N.Pedersen, 2007</v>
      </c>
      <c r="P23365" s="7" t="str">
        <f>HYPERLINK("#Liste_rouge!A"&amp;_xlfn.XMATCH("LC",Liste_rouge!A:A,2,1),"LC")</f>
        <v>LC</v>
      </c>
      <c r="T23365" s="7" t="str">
        <f>HYPERLINK("#Liste_rouge!A"&amp;_xlfn.XMATCH("DD",Liste_rouge!A:A,2,1),"DD")</f>
        <v>DD</v>
      </c>
      <c r="AH23365" s="4" t="str">
        <f>HYPERLINK("#Statut_biogéographique!A"&amp;_xlfn.XMATCH("P",Statut_biogéographique!A:A,2,1),"P")</f>
        <v>P</v>
      </c>
      <c r="AP23365" s="4" t="s">
        <v>376</v>
      </c>
      <c r="AR23365" s="4" t="s">
        <v>377</v>
      </c>
    </row>
    <row r="23366" spans="1:44" ht="30">
      <c r="A23366" s="4" t="s">
        <v>24364</v>
      </c>
      <c r="B23366" s="4">
        <v>786472</v>
      </c>
      <c r="D23366" s="5" t="s">
        <v>30233</v>
      </c>
      <c r="E23366" s="6" t="str">
        <f>HYPERLINK("https://inpn.mnhn.fr/espece/cd_nom/786472","Ptychostomum cyclophyllum (Schwägr.) J.R.Spence")</f>
        <v>Ptychostomum cyclophyllum (Schwägr.) J.R.Spence</v>
      </c>
      <c r="M23366" s="4" t="str">
        <f>HYPERLINK("#Réglementation!A"&amp;_xlfn.XMATCH("RV43",Réglementation!A:A,2,1),"RV43")</f>
        <v>RV43</v>
      </c>
      <c r="P23366" s="7" t="str">
        <f>HYPERLINK("#Liste_rouge!A"&amp;_xlfn.XMATCH("LC",Liste_rouge!A:A,2,1),"LC")</f>
        <v>LC</v>
      </c>
      <c r="T23366" s="7" t="str">
        <f>HYPERLINK("#Liste_rouge!A"&amp;_xlfn.XMATCH("CR",Liste_rouge!A:A,2,1),"CR")</f>
        <v>CR</v>
      </c>
      <c r="V23366" s="7" t="str">
        <f>HYPERLINK("#Liste_rouge!A"&amp;_xlfn.XMATCH("VU",Liste_rouge!A:A,2,1),"VU")</f>
        <v>VU</v>
      </c>
      <c r="X23366" s="5" t="s">
        <v>374</v>
      </c>
      <c r="AB23366" s="4" t="s">
        <v>93</v>
      </c>
      <c r="AH23366" s="4" t="str">
        <f>HYPERLINK("#Statut_biogéographique!A"&amp;_xlfn.XMATCH("P",Statut_biogéographique!A:A,2,1),"P")</f>
        <v>P</v>
      </c>
      <c r="AP23366" s="4" t="s">
        <v>376</v>
      </c>
      <c r="AR23366" s="4" t="s">
        <v>377</v>
      </c>
    </row>
    <row r="23367" spans="1:44" ht="30">
      <c r="A23367" s="4" t="s">
        <v>24364</v>
      </c>
      <c r="B23367" s="4">
        <v>786473</v>
      </c>
      <c r="D23367" s="5" t="s">
        <v>30234</v>
      </c>
      <c r="E23367" s="6" t="str">
        <f>HYPERLINK("https://inpn.mnhn.fr/espece/cd_nom/786473","Ptychostomum creberrimum (Taylor) J.R.Spence &amp; H.P.Ramsay, 2005")</f>
        <v>Ptychostomum creberrimum (Taylor) J.R.Spence &amp; H.P.Ramsay, 2005</v>
      </c>
      <c r="P23367" s="7" t="str">
        <f>HYPERLINK("#Liste_rouge!A"&amp;_xlfn.XMATCH("LC",Liste_rouge!A:A,2,1),"LC")</f>
        <v>LC</v>
      </c>
      <c r="T23367" s="7" t="str">
        <f>HYPERLINK("#Liste_rouge!A"&amp;_xlfn.XMATCH("DD",Liste_rouge!A:A,2,1),"DD")</f>
        <v>DD</v>
      </c>
      <c r="V23367" s="7" t="str">
        <f>HYPERLINK("#Liste_rouge!A"&amp;_xlfn.XMATCH("DD",Liste_rouge!A:A,2,1),"DD")</f>
        <v>DD</v>
      </c>
      <c r="AB23367" s="4" t="s">
        <v>24777</v>
      </c>
      <c r="AH23367" s="4" t="str">
        <f>HYPERLINK("#Statut_biogéographique!A"&amp;_xlfn.XMATCH("P",Statut_biogéographique!A:A,2,1),"P")</f>
        <v>P</v>
      </c>
      <c r="AP23367" s="4" t="s">
        <v>376</v>
      </c>
      <c r="AR23367" s="4" t="s">
        <v>377</v>
      </c>
    </row>
    <row r="23368" spans="1:44" ht="30">
      <c r="A23368" s="4" t="s">
        <v>24364</v>
      </c>
      <c r="B23368" s="4">
        <v>786474</v>
      </c>
      <c r="D23368" s="5" t="s">
        <v>30235</v>
      </c>
      <c r="E23368" s="6" t="str">
        <f>HYPERLINK("https://inpn.mnhn.fr/espece/cd_nom/786474","Ptychostomum cernuum (Hedw.) Hornsch., 1822")</f>
        <v>Ptychostomum cernuum (Hedw.) Hornsch., 1822</v>
      </c>
      <c r="P23368" s="7" t="str">
        <f>HYPERLINK("#Liste_rouge!A"&amp;_xlfn.XMATCH("EN",Liste_rouge!A:A,2,1),"EN")</f>
        <v>EN</v>
      </c>
      <c r="AH23368" s="4" t="str">
        <f>HYPERLINK("#Statut_biogéographique!A"&amp;_xlfn.XMATCH("P",Statut_biogéographique!A:A,2,1),"P")</f>
        <v>P</v>
      </c>
      <c r="AP23368" s="4" t="s">
        <v>376</v>
      </c>
      <c r="AR23368" s="4" t="s">
        <v>377</v>
      </c>
    </row>
    <row r="23369" spans="1:44" ht="30">
      <c r="A23369" s="4" t="s">
        <v>24364</v>
      </c>
      <c r="B23369" s="4">
        <v>786475</v>
      </c>
      <c r="D23369" s="5" t="s">
        <v>30236</v>
      </c>
      <c r="E23369" s="6" t="str">
        <f>HYPERLINK("https://inpn.mnhn.fr/espece/cd_nom/786475","Ptychostomum bornholmense (Wink. &amp; R.Ruthe) Holyoak &amp; N.Pedersen, 2007")</f>
        <v>Ptychostomum bornholmense (Wink. &amp; R.Ruthe) Holyoak &amp; N.Pedersen, 2007</v>
      </c>
      <c r="O23369" s="7" t="str">
        <f>HYPERLINK("#Liste_rouge!A"&amp;_xlfn.XMATCH("LC",Liste_rouge!A:A,2,1),"LC")</f>
        <v>LC</v>
      </c>
      <c r="P23369" s="7" t="str">
        <f>HYPERLINK("#Liste_rouge!A"&amp;_xlfn.XMATCH("LC",Liste_rouge!A:A,2,1),"LC")</f>
        <v>LC</v>
      </c>
      <c r="T23369" s="7" t="str">
        <f>HYPERLINK("#Liste_rouge!A"&amp;_xlfn.XMATCH("DD",Liste_rouge!A:A,2,1),"DD")</f>
        <v>DD</v>
      </c>
      <c r="V23369" s="7" t="str">
        <f>HYPERLINK("#Liste_rouge!A"&amp;_xlfn.XMATCH("DD",Liste_rouge!A:A,2,1),"DD")</f>
        <v>DD</v>
      </c>
      <c r="AB23369" s="4" t="s">
        <v>28066</v>
      </c>
      <c r="AH23369" s="4" t="str">
        <f>HYPERLINK("#Statut_biogéographique!A"&amp;_xlfn.XMATCH("P",Statut_biogéographique!A:A,2,1),"P")</f>
        <v>P</v>
      </c>
      <c r="AP23369" s="4" t="s">
        <v>376</v>
      </c>
      <c r="AR23369" s="4" t="s">
        <v>377</v>
      </c>
    </row>
    <row r="23370" spans="1:44" ht="30">
      <c r="A23370" s="4" t="s">
        <v>24364</v>
      </c>
      <c r="B23370" s="4">
        <v>786478</v>
      </c>
      <c r="D23370" s="5" t="s">
        <v>30237</v>
      </c>
      <c r="E23370" s="6" t="str">
        <f>HYPERLINK("https://inpn.mnhn.fr/espece/cd_nom/786478","Hydrogonium croceum (Brid.) Jan Kučera, 2013")</f>
        <v>Hydrogonium croceum (Brid.) Jan Kučera, 2013</v>
      </c>
      <c r="P23370" s="7" t="str">
        <f>HYPERLINK("#Liste_rouge!A"&amp;_xlfn.XMATCH("LC",Liste_rouge!A:A,2,1),"LC")</f>
        <v>LC</v>
      </c>
      <c r="T23370" s="7" t="str">
        <f>HYPERLINK("#Liste_rouge!A"&amp;_xlfn.XMATCH("CR",Liste_rouge!A:A,2,1),"CR")</f>
        <v>CR</v>
      </c>
      <c r="V23370" s="7" t="str">
        <f>HYPERLINK("#Liste_rouge!A"&amp;_xlfn.XMATCH("LC",Liste_rouge!A:A,2,1),"LC")</f>
        <v>LC</v>
      </c>
      <c r="AB23370" s="4" t="s">
        <v>24634</v>
      </c>
      <c r="AH23370" s="4" t="str">
        <f>HYPERLINK("#Statut_biogéographique!A"&amp;_xlfn.XMATCH("P",Statut_biogéographique!A:A,2,1),"P")</f>
        <v>P</v>
      </c>
      <c r="AP23370" s="4" t="s">
        <v>376</v>
      </c>
      <c r="AR23370" s="4" t="s">
        <v>377</v>
      </c>
    </row>
    <row r="23371" spans="1:44" ht="30">
      <c r="A23371" s="4" t="s">
        <v>24364</v>
      </c>
      <c r="B23371" s="4">
        <v>786483</v>
      </c>
      <c r="D23371" s="5" t="s">
        <v>30238</v>
      </c>
      <c r="E23371" s="6" t="str">
        <f>HYPERLINK("https://inpn.mnhn.fr/espece/cd_nom/786483","Schistochilopsis incisa (Schrad.) Konstant., 1994")</f>
        <v>Schistochilopsis incisa (Schrad.) Konstant., 1994</v>
      </c>
      <c r="P23371" s="7" t="str">
        <f>HYPERLINK("#Liste_rouge!A"&amp;_xlfn.XMATCH("LC",Liste_rouge!A:A,2,1),"LC")</f>
        <v>LC</v>
      </c>
      <c r="T23371" s="7" t="str">
        <f>HYPERLINK("#Liste_rouge!A"&amp;_xlfn.XMATCH("CR",Liste_rouge!A:A,2,1),"CR")</f>
        <v>CR</v>
      </c>
      <c r="V23371" s="7" t="str">
        <f>HYPERLINK("#Liste_rouge!A"&amp;_xlfn.XMATCH("LC",Liste_rouge!A:A,2,1),"LC")</f>
        <v>LC</v>
      </c>
      <c r="AB23371" s="4" t="s">
        <v>24803</v>
      </c>
      <c r="AH23371" s="4" t="str">
        <f>HYPERLINK("#Statut_biogéographique!A"&amp;_xlfn.XMATCH("P",Statut_biogéographique!A:A,2,1),"P")</f>
        <v>P</v>
      </c>
      <c r="AP23371" s="4" t="s">
        <v>376</v>
      </c>
      <c r="AR23371" s="4" t="s">
        <v>377</v>
      </c>
    </row>
    <row r="23372" spans="1:44" ht="30">
      <c r="A23372" s="4" t="s">
        <v>24364</v>
      </c>
      <c r="B23372" s="4">
        <v>786485</v>
      </c>
      <c r="D23372" s="5" t="s">
        <v>30239</v>
      </c>
      <c r="E23372" s="6" t="str">
        <f>HYPERLINK("https://inpn.mnhn.fr/espece/cd_nom/786485","Neoorthocaulis floerkei (F.Weber &amp; D.Mohr) L.Söderstr., De Roo &amp; Hedd., 2010")</f>
        <v>Neoorthocaulis floerkei (F.Weber &amp; D.Mohr) L.Söderstr., De Roo &amp; Hedd., 2010</v>
      </c>
      <c r="P23372" s="7" t="str">
        <f>HYPERLINK("#Liste_rouge!A"&amp;_xlfn.XMATCH("LC",Liste_rouge!A:A,2,1),"LC")</f>
        <v>LC</v>
      </c>
      <c r="T23372" s="7" t="str">
        <f>HYPERLINK("#Liste_rouge!A"&amp;_xlfn.XMATCH("RE",Liste_rouge!A:A,2,1),"RE")</f>
        <v>RE</v>
      </c>
      <c r="V23372" s="7" t="str">
        <f>HYPERLINK("#Liste_rouge!A"&amp;_xlfn.XMATCH("VU",Liste_rouge!A:A,2,1),"VU")</f>
        <v>VU</v>
      </c>
      <c r="X23372" s="5" t="s">
        <v>374</v>
      </c>
      <c r="AB23372" s="4" t="s">
        <v>93</v>
      </c>
      <c r="AH23372" s="4" t="str">
        <f>HYPERLINK("#Statut_biogéographique!A"&amp;_xlfn.XMATCH("P",Statut_biogéographique!A:A,2,1),"P")</f>
        <v>P</v>
      </c>
      <c r="AP23372" s="4" t="s">
        <v>376</v>
      </c>
      <c r="AR23372" s="4" t="s">
        <v>377</v>
      </c>
    </row>
    <row r="23373" spans="1:44" ht="30">
      <c r="A23373" s="4" t="s">
        <v>24364</v>
      </c>
      <c r="B23373" s="4">
        <v>786486</v>
      </c>
      <c r="D23373" s="5" t="s">
        <v>30240</v>
      </c>
      <c r="E23373" s="6" t="str">
        <f>HYPERLINK("https://inpn.mnhn.fr/espece/cd_nom/786486","Neoorthocaulis attenuatus (Mart.) L.Söderstr., De Roo &amp; Hedd., 2010")</f>
        <v>Neoorthocaulis attenuatus (Mart.) L.Söderstr., De Roo &amp; Hedd., 2010</v>
      </c>
      <c r="P23373" s="7" t="str">
        <f>HYPERLINK("#Liste_rouge!A"&amp;_xlfn.XMATCH("LC",Liste_rouge!A:A,2,1),"LC")</f>
        <v>LC</v>
      </c>
      <c r="T23373" s="7" t="str">
        <f>HYPERLINK("#Liste_rouge!A"&amp;_xlfn.XMATCH("LC",Liste_rouge!A:A,2,1),"LC")</f>
        <v>LC</v>
      </c>
      <c r="V23373" s="7" t="str">
        <f>HYPERLINK("#Liste_rouge!A"&amp;_xlfn.XMATCH("LC",Liste_rouge!A:A,2,1),"LC")</f>
        <v>LC</v>
      </c>
      <c r="AB23373" s="4" t="s">
        <v>29057</v>
      </c>
      <c r="AH23373" s="4" t="str">
        <f>HYPERLINK("#Statut_biogéographique!A"&amp;_xlfn.XMATCH("P",Statut_biogéographique!A:A,2,1),"P")</f>
        <v>P</v>
      </c>
      <c r="AP23373" s="4" t="s">
        <v>376</v>
      </c>
      <c r="AR23373" s="4" t="s">
        <v>377</v>
      </c>
    </row>
    <row r="23374" spans="1:44" ht="30">
      <c r="A23374" s="4" t="s">
        <v>24364</v>
      </c>
      <c r="B23374" s="4">
        <v>786495</v>
      </c>
      <c r="D23374" s="5" t="s">
        <v>30241</v>
      </c>
      <c r="E23374" s="6" t="str">
        <f>HYPERLINK("https://inpn.mnhn.fr/espece/cd_nom/786495","Alleniella complanata (Hedw.) S.Olsson, Enroth &amp; D.Quandt, 2011")</f>
        <v>Alleniella complanata (Hedw.) S.Olsson, Enroth &amp; D.Quandt, 2011</v>
      </c>
      <c r="P23374" s="7" t="str">
        <f>HYPERLINK("#Liste_rouge!A"&amp;_xlfn.XMATCH("LC",Liste_rouge!A:A,2,1),"LC")</f>
        <v>LC</v>
      </c>
      <c r="T23374" s="7" t="str">
        <f>HYPERLINK("#Liste_rouge!A"&amp;_xlfn.XMATCH("LC",Liste_rouge!A:A,2,1),"LC")</f>
        <v>LC</v>
      </c>
      <c r="V23374" s="7" t="str">
        <f>HYPERLINK("#Liste_rouge!A"&amp;_xlfn.XMATCH("LC",Liste_rouge!A:A,2,1),"LC")</f>
        <v>LC</v>
      </c>
      <c r="AH23374" s="4" t="str">
        <f>HYPERLINK("#Statut_biogéographique!A"&amp;_xlfn.XMATCH("P",Statut_biogéographique!A:A,2,1),"P")</f>
        <v>P</v>
      </c>
      <c r="AP23374" s="4" t="s">
        <v>376</v>
      </c>
      <c r="AR23374" s="4" t="s">
        <v>377</v>
      </c>
    </row>
    <row r="23375" spans="1:44">
      <c r="A23375" s="4" t="s">
        <v>24364</v>
      </c>
      <c r="B23375" s="4">
        <v>786497</v>
      </c>
      <c r="D23375" s="5" t="s">
        <v>30242</v>
      </c>
      <c r="E23375" s="6" t="str">
        <f>HYPERLINK("https://inpn.mnhn.fr/espece/cd_nom/786497","Tortula caucasica Broth.")</f>
        <v>Tortula caucasica Broth.</v>
      </c>
      <c r="P23375" s="7" t="str">
        <f>HYPERLINK("#Liste_rouge!A"&amp;_xlfn.XMATCH("LC",Liste_rouge!A:A,2,1),"LC")</f>
        <v>LC</v>
      </c>
      <c r="T23375" s="7" t="str">
        <f>HYPERLINK("#Liste_rouge!A"&amp;_xlfn.XMATCH("LC",Liste_rouge!A:A,2,1),"LC")</f>
        <v>LC</v>
      </c>
      <c r="V23375" s="7" t="str">
        <f>HYPERLINK("#Liste_rouge!A"&amp;_xlfn.XMATCH("LC",Liste_rouge!A:A,2,1),"LC")</f>
        <v>LC</v>
      </c>
      <c r="AH23375" s="4" t="str">
        <f>HYPERLINK("#Statut_biogéographique!A"&amp;_xlfn.XMATCH("P",Statut_biogéographique!A:A,2,1),"P")</f>
        <v>P</v>
      </c>
      <c r="AP23375" s="4" t="s">
        <v>376</v>
      </c>
      <c r="AR23375" s="4" t="s">
        <v>377</v>
      </c>
    </row>
    <row r="23376" spans="1:44" ht="30">
      <c r="A23376" s="4" t="s">
        <v>24364</v>
      </c>
      <c r="B23376" s="4">
        <v>786499</v>
      </c>
      <c r="D23376" s="5" t="s">
        <v>30243</v>
      </c>
      <c r="E23376" s="6" t="str">
        <f>HYPERLINK("https://inpn.mnhn.fr/espece/cd_nom/786499","Tortula lindbergii Broth., 1892")</f>
        <v>Tortula lindbergii Broth., 1892</v>
      </c>
      <c r="P23376" s="7" t="str">
        <f>HYPERLINK("#Liste_rouge!A"&amp;_xlfn.XMATCH("LC",Liste_rouge!A:A,2,1),"LC")</f>
        <v>LC</v>
      </c>
      <c r="T23376" s="7" t="str">
        <f>HYPERLINK("#Liste_rouge!A"&amp;_xlfn.XMATCH("LC",Liste_rouge!A:A,2,1),"LC")</f>
        <v>LC</v>
      </c>
      <c r="V23376" s="7" t="str">
        <f>HYPERLINK("#Liste_rouge!A"&amp;_xlfn.XMATCH("LC",Liste_rouge!A:A,2,1),"LC")</f>
        <v>LC</v>
      </c>
      <c r="AH23376" s="4" t="str">
        <f>HYPERLINK("#Statut_biogéographique!A"&amp;_xlfn.XMATCH("P",Statut_biogéographique!A:A,2,1),"P")</f>
        <v>P</v>
      </c>
      <c r="AP23376" s="4" t="s">
        <v>376</v>
      </c>
      <c r="AR23376" s="4" t="s">
        <v>377</v>
      </c>
    </row>
    <row r="23377" spans="1:44" ht="30">
      <c r="A23377" s="4" t="s">
        <v>24364</v>
      </c>
      <c r="B23377" s="4">
        <v>786505</v>
      </c>
      <c r="D23377" s="5" t="s">
        <v>30244</v>
      </c>
      <c r="E23377" s="6" t="str">
        <f>HYPERLINK("https://inpn.mnhn.fr/espece/cd_nom/786505","Ephemerum crassinervium subsp. sessile (Bruch) Holyoak, 2010")</f>
        <v>Ephemerum crassinervium subsp. sessile (Bruch) Holyoak, 2010</v>
      </c>
      <c r="T23377" s="7" t="str">
        <f>HYPERLINK("#Liste_rouge!A"&amp;_xlfn.XMATCH("DD",Liste_rouge!A:A,2,1),"DD")</f>
        <v>DD</v>
      </c>
      <c r="V23377" s="7" t="str">
        <f>HYPERLINK("#Liste_rouge!A"&amp;_xlfn.XMATCH("NE",Liste_rouge!A:A,2,1),"NE")</f>
        <v>NE</v>
      </c>
      <c r="AH23377" s="4" t="str">
        <f>HYPERLINK("#Statut_biogéographique!A"&amp;_xlfn.XMATCH("P",Statut_biogéographique!A:A,2,1),"P")</f>
        <v>P</v>
      </c>
      <c r="AP23377" s="4" t="s">
        <v>376</v>
      </c>
      <c r="AR23377" s="4" t="s">
        <v>377</v>
      </c>
    </row>
    <row r="23378" spans="1:44" ht="30">
      <c r="A23378" s="4" t="s">
        <v>24364</v>
      </c>
      <c r="B23378" s="4">
        <v>786506</v>
      </c>
      <c r="D23378" s="5" t="s">
        <v>30245</v>
      </c>
      <c r="E23378" s="6" t="str">
        <f>HYPERLINK("https://inpn.mnhn.fr/espece/cd_nom/786506","Ephemerum crassinervium subsp. rutheanum (Schimp. in Ruthe) Holyoak, 2010")</f>
        <v>Ephemerum crassinervium subsp. rutheanum (Schimp. in Ruthe) Holyoak, 2010</v>
      </c>
      <c r="T23378" s="7" t="str">
        <f>HYPERLINK("#Liste_rouge!A"&amp;_xlfn.XMATCH("DD",Liste_rouge!A:A,2,1),"DD")</f>
        <v>DD</v>
      </c>
      <c r="X23378" s="5" t="s">
        <v>374</v>
      </c>
      <c r="AB23378" s="4" t="s">
        <v>93</v>
      </c>
      <c r="AH23378" s="4" t="str">
        <f>HYPERLINK("#Statut_biogéographique!A"&amp;_xlfn.XMATCH("P",Statut_biogéographique!A:A,2,1),"P")</f>
        <v>P</v>
      </c>
      <c r="AP23378" s="4" t="s">
        <v>376</v>
      </c>
      <c r="AR23378" s="4" t="s">
        <v>377</v>
      </c>
    </row>
    <row r="23379" spans="1:44">
      <c r="A23379" s="4" t="s">
        <v>24364</v>
      </c>
      <c r="B23379" s="4">
        <v>786510</v>
      </c>
      <c r="D23379" s="5">
        <v>786510</v>
      </c>
      <c r="E23379" s="6" t="str">
        <f>HYPERLINK("https://inpn.mnhn.fr/espece/cd_nom/786510","Tortula muralis subsp. muralis Hedw., 1801")</f>
        <v>Tortula muralis subsp. muralis Hedw., 1801</v>
      </c>
      <c r="V23379" s="7" t="str">
        <f>HYPERLINK("#Liste_rouge!A"&amp;_xlfn.XMATCH("NE",Liste_rouge!A:A,2,1),"NE")</f>
        <v>NE</v>
      </c>
      <c r="AH23379" s="4" t="str">
        <f>HYPERLINK("#Statut_biogéographique!A"&amp;_xlfn.XMATCH("P",Statut_biogéographique!A:A,2,1),"P")</f>
        <v>P</v>
      </c>
      <c r="AP23379" s="4" t="s">
        <v>376</v>
      </c>
      <c r="AR23379" s="4" t="s">
        <v>377</v>
      </c>
    </row>
    <row r="23380" spans="1:44" ht="30">
      <c r="A23380" s="4" t="s">
        <v>24364</v>
      </c>
      <c r="B23380" s="4">
        <v>786515</v>
      </c>
      <c r="D23380" s="5" t="s">
        <v>30246</v>
      </c>
      <c r="E23380" s="6" t="str">
        <f>HYPERLINK("https://inpn.mnhn.fr/espece/cd_nom/786515","Marchantia polymorpha subsp. ruderalis Bischl. &amp; Boissel.-Dub., 1991")</f>
        <v>Marchantia polymorpha subsp. ruderalis Bischl. &amp; Boissel.-Dub., 1991</v>
      </c>
      <c r="T23380" s="7" t="str">
        <f>HYPERLINK("#Liste_rouge!A"&amp;_xlfn.XMATCH("LC",Liste_rouge!A:A,2,1),"LC")</f>
        <v>LC</v>
      </c>
      <c r="V23380" s="7" t="str">
        <f>HYPERLINK("#Liste_rouge!A"&amp;_xlfn.XMATCH("LC",Liste_rouge!A:A,2,1),"LC")</f>
        <v>LC</v>
      </c>
      <c r="AH23380" s="4" t="str">
        <f>HYPERLINK("#Statut_biogéographique!A"&amp;_xlfn.XMATCH("P",Statut_biogéographique!A:A,2,1),"P")</f>
        <v>P</v>
      </c>
      <c r="AP23380" s="4" t="s">
        <v>376</v>
      </c>
      <c r="AR23380" s="4" t="s">
        <v>377</v>
      </c>
    </row>
    <row r="23381" spans="1:44" ht="30">
      <c r="A23381" s="4" t="s">
        <v>24364</v>
      </c>
      <c r="B23381" s="4">
        <v>786525</v>
      </c>
      <c r="D23381" s="5" t="s">
        <v>30247</v>
      </c>
      <c r="E23381" s="6" t="str">
        <f>HYPERLINK("https://inpn.mnhn.fr/espece/cd_nom/786525","Ptychostomum compactum var. rutheanum (Warnst.) Holyoak &amp; N.Pedersen, 2007")</f>
        <v>Ptychostomum compactum var. rutheanum (Warnst.) Holyoak &amp; N.Pedersen, 2007</v>
      </c>
      <c r="AH23381" s="4" t="str">
        <f>HYPERLINK("#Statut_biogéographique!A"&amp;_xlfn.XMATCH("P",Statut_biogéographique!A:A,2,1),"P")</f>
        <v>P</v>
      </c>
      <c r="AP23381" s="4" t="s">
        <v>376</v>
      </c>
      <c r="AR23381" s="4" t="s">
        <v>377</v>
      </c>
    </row>
    <row r="23382" spans="1:44" ht="45">
      <c r="A23382" s="4" t="s">
        <v>24364</v>
      </c>
      <c r="B23382" s="4">
        <v>786527</v>
      </c>
      <c r="D23382" s="5" t="s">
        <v>30248</v>
      </c>
      <c r="E23382" s="6" t="str">
        <f>HYPERLINK("https://inpn.mnhn.fr/espece/cd_nom/786527","Ptychostomum pseudotriquetrum var. pseudotriquetrum (Hedw.) J.R.Spence &amp; H.P.Ramsay ex Holyoak &amp; N.Pedersen, 2007")</f>
        <v>Ptychostomum pseudotriquetrum var. pseudotriquetrum (Hedw.) J.R.Spence &amp; H.P.Ramsay ex Holyoak &amp; N.Pedersen, 2007</v>
      </c>
      <c r="T23382" s="7" t="str">
        <f>HYPERLINK("#Liste_rouge!A"&amp;_xlfn.XMATCH("LC",Liste_rouge!A:A,2,1),"LC")</f>
        <v>LC</v>
      </c>
      <c r="V23382" s="7" t="str">
        <f>HYPERLINK("#Liste_rouge!A"&amp;_xlfn.XMATCH("NE",Liste_rouge!A:A,2,1),"NE")</f>
        <v>NE</v>
      </c>
      <c r="AH23382" s="4" t="str">
        <f>HYPERLINK("#Statut_biogéographique!A"&amp;_xlfn.XMATCH("P",Statut_biogéographique!A:A,2,1),"P")</f>
        <v>P</v>
      </c>
      <c r="AP23382" s="4" t="s">
        <v>376</v>
      </c>
      <c r="AR23382" s="4" t="s">
        <v>377</v>
      </c>
    </row>
    <row r="23383" spans="1:44" ht="30">
      <c r="A23383" s="4" t="s">
        <v>24364</v>
      </c>
      <c r="B23383" s="4">
        <v>786528</v>
      </c>
      <c r="D23383" s="5" t="s">
        <v>30249</v>
      </c>
      <c r="E23383" s="6" t="str">
        <f>HYPERLINK("https://inpn.mnhn.fr/espece/cd_nom/786528","Streblotrichum convolutum var. convolutum (Hedw.) P.Beauv., 1805")</f>
        <v>Streblotrichum convolutum var. convolutum (Hedw.) P.Beauv., 1805</v>
      </c>
      <c r="AH23383" s="4" t="str">
        <f>HYPERLINK("#Statut_biogéographique!A"&amp;_xlfn.XMATCH("P",Statut_biogéographique!A:A,2,1),"P")</f>
        <v>P</v>
      </c>
      <c r="AP23383" s="4" t="s">
        <v>376</v>
      </c>
      <c r="AR23383" s="4" t="s">
        <v>377</v>
      </c>
    </row>
    <row r="23384" spans="1:44" ht="30">
      <c r="A23384" s="4" t="s">
        <v>24364</v>
      </c>
      <c r="B23384" s="4">
        <v>786530</v>
      </c>
      <c r="D23384" s="5" t="s">
        <v>30250</v>
      </c>
      <c r="E23384" s="6" t="str">
        <f>HYPERLINK("https://inpn.mnhn.fr/espece/cd_nom/786530","Tortula acaulon var. acaulon (With.) R.H.Zander, 1993")</f>
        <v>Tortula acaulon var. acaulon (With.) R.H.Zander, 1993</v>
      </c>
      <c r="T23384" s="7" t="str">
        <f>HYPERLINK("#Liste_rouge!A"&amp;_xlfn.XMATCH("DD",Liste_rouge!A:A,2,1),"DD")</f>
        <v>DD</v>
      </c>
      <c r="V23384" s="7" t="str">
        <f>HYPERLINK("#Liste_rouge!A"&amp;_xlfn.XMATCH("NE",Liste_rouge!A:A,2,1),"NE")</f>
        <v>NE</v>
      </c>
      <c r="AH23384" s="4" t="str">
        <f>HYPERLINK("#Statut_biogéographique!A"&amp;_xlfn.XMATCH("P",Statut_biogéographique!A:A,2,1),"P")</f>
        <v>P</v>
      </c>
      <c r="AP23384" s="4" t="s">
        <v>376</v>
      </c>
      <c r="AR23384" s="4" t="s">
        <v>377</v>
      </c>
    </row>
    <row r="23385" spans="1:44" ht="30">
      <c r="A23385" s="4" t="s">
        <v>24364</v>
      </c>
      <c r="B23385" s="4">
        <v>786547</v>
      </c>
      <c r="D23385" s="5" t="s">
        <v>30251</v>
      </c>
      <c r="E23385" s="6" t="str">
        <f>HYPERLINK("https://inpn.mnhn.fr/espece/cd_nom/786547","Drepanocladus turgescens (T.Jensen) Broth., 1908")</f>
        <v>Drepanocladus turgescens (T.Jensen) Broth., 1908</v>
      </c>
      <c r="P23385" s="7" t="str">
        <f>HYPERLINK("#Liste_rouge!A"&amp;_xlfn.XMATCH("LC",Liste_rouge!A:A,2,1),"LC")</f>
        <v>LC</v>
      </c>
      <c r="V23385" s="7" t="str">
        <f>HYPERLINK("#Liste_rouge!A"&amp;_xlfn.XMATCH("EN",Liste_rouge!A:A,2,1),"EN")</f>
        <v>EN</v>
      </c>
      <c r="X23385" s="5" t="s">
        <v>374</v>
      </c>
      <c r="AB23385" s="4" t="s">
        <v>93</v>
      </c>
      <c r="AH23385" s="4" t="str">
        <f>HYPERLINK("#Statut_biogéographique!A"&amp;_xlfn.XMATCH("P",Statut_biogéographique!A:A,2,1),"P")</f>
        <v>P</v>
      </c>
      <c r="AP23385" s="4" t="s">
        <v>376</v>
      </c>
      <c r="AR23385" s="4" t="s">
        <v>377</v>
      </c>
    </row>
    <row r="23386" spans="1:44" ht="30">
      <c r="A23386" s="4" t="s">
        <v>24364</v>
      </c>
      <c r="B23386" s="4">
        <v>786836</v>
      </c>
      <c r="D23386" s="5" t="s">
        <v>30252</v>
      </c>
      <c r="E23386" s="6" t="str">
        <f>HYPERLINK("https://inpn.mnhn.fr/espece/cd_nom/786836","Sphenolobus minutus (Schreb. ex D.Crantz) Berggr., 1898")</f>
        <v>Sphenolobus minutus (Schreb. ex D.Crantz) Berggr., 1898</v>
      </c>
      <c r="P23386" s="7" t="str">
        <f>HYPERLINK("#Liste_rouge!A"&amp;_xlfn.XMATCH("LC",Liste_rouge!A:A,2,1),"LC")</f>
        <v>LC</v>
      </c>
      <c r="T23386" s="7" t="str">
        <f>HYPERLINK("#Liste_rouge!A"&amp;_xlfn.XMATCH("LC",Liste_rouge!A:A,2,1),"LC")</f>
        <v>LC</v>
      </c>
      <c r="V23386" s="7" t="str">
        <f>HYPERLINK("#Liste_rouge!A"&amp;_xlfn.XMATCH("LC",Liste_rouge!A:A,2,1),"LC")</f>
        <v>LC</v>
      </c>
      <c r="AB23386" s="4" t="s">
        <v>29057</v>
      </c>
      <c r="AH23386" s="4" t="str">
        <f>HYPERLINK("#Statut_biogéographique!A"&amp;_xlfn.XMATCH("P",Statut_biogéographique!A:A,2,1),"P")</f>
        <v>P</v>
      </c>
      <c r="AP23386" s="4" t="s">
        <v>376</v>
      </c>
      <c r="AR23386" s="4" t="s">
        <v>377</v>
      </c>
    </row>
    <row r="23387" spans="1:44" ht="30">
      <c r="A23387" s="4" t="s">
        <v>24364</v>
      </c>
      <c r="B23387" s="4">
        <v>787264</v>
      </c>
      <c r="D23387" s="5" t="s">
        <v>30253</v>
      </c>
      <c r="E23387" s="6" t="str">
        <f>HYPERLINK("https://inpn.mnhn.fr/espece/cd_nom/787264","Marchantia quadrata Scop., 1772")</f>
        <v>Marchantia quadrata Scop., 1772</v>
      </c>
      <c r="P23387" s="7" t="str">
        <f>HYPERLINK("#Liste_rouge!A"&amp;_xlfn.XMATCH("LC",Liste_rouge!A:A,2,1),"LC")</f>
        <v>LC</v>
      </c>
      <c r="T23387" s="7" t="str">
        <f>HYPERLINK("#Liste_rouge!A"&amp;_xlfn.XMATCH("EN",Liste_rouge!A:A,2,1),"EN")</f>
        <v>EN</v>
      </c>
      <c r="V23387" s="7" t="str">
        <f>HYPERLINK("#Liste_rouge!A"&amp;_xlfn.XMATCH("LC",Liste_rouge!A:A,2,1),"LC")</f>
        <v>LC</v>
      </c>
      <c r="AB23387" s="4" t="s">
        <v>24634</v>
      </c>
      <c r="AH23387" s="4" t="str">
        <f>HYPERLINK("#Statut_biogéographique!A"&amp;_xlfn.XMATCH("P",Statut_biogéographique!A:A,2,1),"P")</f>
        <v>P</v>
      </c>
      <c r="AP23387" s="4" t="s">
        <v>376</v>
      </c>
      <c r="AR23387" s="4" t="s">
        <v>377</v>
      </c>
    </row>
    <row r="23388" spans="1:44" ht="30">
      <c r="A23388" s="4" t="s">
        <v>24364</v>
      </c>
      <c r="B23388" s="4">
        <v>788208</v>
      </c>
      <c r="D23388" s="5" t="s">
        <v>30254</v>
      </c>
      <c r="E23388" s="6" t="str">
        <f>HYPERLINK("https://inpn.mnhn.fr/espece/cd_nom/788208","Cephalozia bicuspidata subsp. lammersiana (Huebener) R.M.Schust., 1974")</f>
        <v>Cephalozia bicuspidata subsp. lammersiana (Huebener) R.M.Schust., 1974</v>
      </c>
      <c r="V23388" s="7" t="str">
        <f>HYPERLINK("#Liste_rouge!A"&amp;_xlfn.XMATCH("NE",Liste_rouge!A:A,2,1),"NE")</f>
        <v>NE</v>
      </c>
      <c r="AH23388" s="4" t="str">
        <f>HYPERLINK("#Statut_biogéographique!A"&amp;_xlfn.XMATCH("P",Statut_biogéographique!A:A,2,1),"P")</f>
        <v>P</v>
      </c>
      <c r="AP23388" s="4" t="s">
        <v>376</v>
      </c>
      <c r="AR23388" s="4" t="s">
        <v>377</v>
      </c>
    </row>
    <row r="23389" spans="1:44" ht="30">
      <c r="A23389" s="4" t="s">
        <v>24364</v>
      </c>
      <c r="B23389" s="4">
        <v>788308</v>
      </c>
      <c r="D23389" s="5">
        <v>788308</v>
      </c>
      <c r="E23389" s="6" t="str">
        <f>HYPERLINK("https://inpn.mnhn.fr/espece/cd_nom/788308","Grimmia trichophylla var. submutica Boulay, 1884")</f>
        <v>Grimmia trichophylla var. submutica Boulay, 1884</v>
      </c>
      <c r="AH23389" s="4" t="str">
        <f>HYPERLINK("#Statut_biogéographique!A"&amp;_xlfn.XMATCH("D",Statut_biogéographique!A:A,2,1),"D")</f>
        <v>D</v>
      </c>
      <c r="AP23389" s="4" t="s">
        <v>376</v>
      </c>
      <c r="AR23389" s="4" t="s">
        <v>377</v>
      </c>
    </row>
    <row r="23390" spans="1:44" ht="30">
      <c r="A23390" s="4" t="s">
        <v>24364</v>
      </c>
      <c r="B23390" s="4">
        <v>788390</v>
      </c>
      <c r="D23390" s="5" t="s">
        <v>30255</v>
      </c>
      <c r="E23390" s="6" t="str">
        <f>HYPERLINK("https://inpn.mnhn.fr/espece/cd_nom/788390","Tortula muralis var. aestiva Brid. ex Hedw., 1801")</f>
        <v>Tortula muralis var. aestiva Brid. ex Hedw., 1801</v>
      </c>
      <c r="V23390" s="7" t="str">
        <f>HYPERLINK("#Liste_rouge!A"&amp;_xlfn.XMATCH("NE",Liste_rouge!A:A,2,1),"NE")</f>
        <v>NE</v>
      </c>
      <c r="AH23390" s="4" t="str">
        <f>HYPERLINK("#Statut_biogéographique!A"&amp;_xlfn.XMATCH("P",Statut_biogéographique!A:A,2,1),"P")</f>
        <v>P</v>
      </c>
      <c r="AP23390" s="4" t="s">
        <v>376</v>
      </c>
      <c r="AR23390" s="4" t="s">
        <v>377</v>
      </c>
    </row>
    <row r="23391" spans="1:44" ht="30">
      <c r="A23391" s="4" t="s">
        <v>24364</v>
      </c>
      <c r="B23391" s="4">
        <v>788437</v>
      </c>
      <c r="D23391" s="5" t="s">
        <v>30256</v>
      </c>
      <c r="E23391" s="6" t="str">
        <f>HYPERLINK("https://inpn.mnhn.fr/espece/cd_nom/788437","Cephaloziella divaricata var. scabra (M.Howe) Haynes")</f>
        <v>Cephaloziella divaricata var. scabra (M.Howe) Haynes</v>
      </c>
      <c r="AH23391" s="4" t="str">
        <f>HYPERLINK("#Statut_biogéographique!A"&amp;_xlfn.XMATCH("P",Statut_biogéographique!A:A,2,1),"P")</f>
        <v>P</v>
      </c>
      <c r="AP23391" s="4" t="s">
        <v>376</v>
      </c>
      <c r="AR23391" s="4" t="s">
        <v>377</v>
      </c>
    </row>
    <row r="23392" spans="1:44" ht="30">
      <c r="A23392" s="4" t="s">
        <v>24364</v>
      </c>
      <c r="B23392" s="4">
        <v>788438</v>
      </c>
      <c r="D23392" s="5" t="s">
        <v>30257</v>
      </c>
      <c r="E23392" s="6" t="str">
        <f>HYPERLINK("https://inpn.mnhn.fr/espece/cd_nom/788438","Chiloscyphus polyanthos var. rivularis (Schrad.) Lindb. &amp; Arnell, 1889")</f>
        <v>Chiloscyphus polyanthos var. rivularis (Schrad.) Lindb. &amp; Arnell, 1889</v>
      </c>
      <c r="AH23392" s="4" t="str">
        <f>HYPERLINK("#Statut_biogéographique!A"&amp;_xlfn.XMATCH("P",Statut_biogéographique!A:A,2,1),"P")</f>
        <v>P</v>
      </c>
      <c r="AP23392" s="4" t="s">
        <v>376</v>
      </c>
      <c r="AR23392" s="4" t="s">
        <v>377</v>
      </c>
    </row>
    <row r="23393" spans="1:44" ht="30">
      <c r="A23393" s="4" t="s">
        <v>24364</v>
      </c>
      <c r="B23393" s="4">
        <v>788439</v>
      </c>
      <c r="D23393" s="5">
        <v>788439</v>
      </c>
      <c r="E23393" s="6" t="str">
        <f>HYPERLINK("https://inpn.mnhn.fr/espece/cd_nom/788439","Chiloscyphus polyanthos var. polyanthos (L.) Corda, 1829")</f>
        <v>Chiloscyphus polyanthos var. polyanthos (L.) Corda, 1829</v>
      </c>
      <c r="AH23393" s="4" t="str">
        <f>HYPERLINK("#Statut_biogéographique!A"&amp;_xlfn.XMATCH("P",Statut_biogéographique!A:A,2,1),"P")</f>
        <v>P</v>
      </c>
      <c r="AP23393" s="4" t="s">
        <v>376</v>
      </c>
      <c r="AR23393" s="4" t="s">
        <v>377</v>
      </c>
    </row>
    <row r="23394" spans="1:44" ht="30">
      <c r="A23394" s="4" t="s">
        <v>24364</v>
      </c>
      <c r="B23394" s="4">
        <v>788786</v>
      </c>
      <c r="D23394" s="5" t="s">
        <v>30258</v>
      </c>
      <c r="E23394" s="6" t="str">
        <f>HYPERLINK("https://inpn.mnhn.fr/espece/cd_nom/788786","Erythranthe x robertsii (Silverside) G.L.Nesom, 2013")</f>
        <v>Erythranthe x robertsii (Silverside) G.L.Nesom, 2013</v>
      </c>
      <c r="F23394" s="5" t="s">
        <v>30259</v>
      </c>
      <c r="AH23394" s="4" t="str">
        <f>HYPERLINK("#Statut_biogéographique!A"&amp;_xlfn.XMATCH("I",Statut_biogéographique!A:A,2,1),"I")</f>
        <v>I</v>
      </c>
      <c r="AP23394" s="4" t="s">
        <v>376</v>
      </c>
      <c r="AR23394" s="4" t="s">
        <v>377</v>
      </c>
    </row>
    <row r="23395" spans="1:44" ht="30">
      <c r="A23395" s="4" t="s">
        <v>24364</v>
      </c>
      <c r="B23395" s="4">
        <v>788792</v>
      </c>
      <c r="D23395" s="5">
        <v>788792</v>
      </c>
      <c r="E23395" s="6" t="str">
        <f>HYPERLINK("https://inpn.mnhn.fr/espece/cd_nom/788792","Rubus platyacanthus P.J.Müll. &amp; Lefèvre, 1859")</f>
        <v>Rubus platyacanthus P.J.Müll. &amp; Lefèvre, 1859</v>
      </c>
      <c r="V23395" s="7" t="str">
        <f>HYPERLINK("#Liste_rouge!A"&amp;_xlfn.XMATCH("DD",Liste_rouge!A:A,2,1),"DD")</f>
        <v>DD</v>
      </c>
      <c r="AH23395" s="4" t="str">
        <f>HYPERLINK("#Statut_biogéographique!A"&amp;_xlfn.XMATCH("D",Statut_biogéographique!A:A,2,1),"D")</f>
        <v>D</v>
      </c>
      <c r="AM23395" s="4" t="s">
        <v>375</v>
      </c>
      <c r="AN23395" s="4" t="s">
        <v>375</v>
      </c>
      <c r="AO23395" s="4" t="s">
        <v>375</v>
      </c>
      <c r="AP23395" s="4" t="s">
        <v>376</v>
      </c>
      <c r="AR23395" s="4" t="s">
        <v>377</v>
      </c>
    </row>
    <row r="23396" spans="1:44" ht="30">
      <c r="A23396" s="4" t="s">
        <v>24364</v>
      </c>
      <c r="B23396" s="4">
        <v>788797</v>
      </c>
      <c r="D23396" s="5" t="s">
        <v>30260</v>
      </c>
      <c r="E23396" s="6" t="str">
        <f>HYPERLINK("https://inpn.mnhn.fr/espece/cd_nom/788797","Amsinckia calycina (Moris) Chater, 1971")</f>
        <v>Amsinckia calycina (Moris) Chater, 1971</v>
      </c>
      <c r="F23396" s="5" t="s">
        <v>30261</v>
      </c>
      <c r="Q23396" s="7" t="str">
        <f>HYPERLINK("#Liste_rouge!A"&amp;_xlfn.XMATCH("NA",Liste_rouge!A:A,2,1),"NA")</f>
        <v>NA</v>
      </c>
      <c r="T23396" s="7" t="str">
        <f>HYPERLINK("#Liste_rouge!A"&amp;_xlfn.XMATCH("NA",Liste_rouge!A:A,2,1),"NA")</f>
        <v>NA</v>
      </c>
      <c r="AH23396" s="4" t="str">
        <f>HYPERLINK("#Statut_biogéographique!A"&amp;_xlfn.XMATCH("I",Statut_biogéographique!A:A,2,1),"I")</f>
        <v>I</v>
      </c>
      <c r="AP23396" s="4" t="s">
        <v>376</v>
      </c>
      <c r="AR23396" s="4" t="s">
        <v>377</v>
      </c>
    </row>
    <row r="23397" spans="1:44">
      <c r="A23397" s="4" t="s">
        <v>24364</v>
      </c>
      <c r="B23397" s="4">
        <v>788859</v>
      </c>
      <c r="D23397" s="5">
        <v>788859</v>
      </c>
      <c r="E23397" s="6" t="str">
        <f>HYPERLINK("https://inpn.mnhn.fr/espece/cd_nom/788859","Phyllostachys aureosulcata McClure, 1945")</f>
        <v>Phyllostachys aureosulcata McClure, 1945</v>
      </c>
      <c r="Q23397" s="7" t="str">
        <f>HYPERLINK("#Liste_rouge!A"&amp;_xlfn.XMATCH("NA",Liste_rouge!A:A,2,1),"NA")</f>
        <v>NA</v>
      </c>
      <c r="AH23397" s="4" t="str">
        <f>HYPERLINK("#Statut_biogéographique!A"&amp;_xlfn.XMATCH("M",Statut_biogéographique!A:A,2,1),"M")</f>
        <v>M</v>
      </c>
      <c r="AP23397" s="4" t="s">
        <v>376</v>
      </c>
      <c r="AR23397" s="4" t="s">
        <v>377</v>
      </c>
    </row>
    <row r="23398" spans="1:44">
      <c r="A23398" s="4" t="s">
        <v>24364</v>
      </c>
      <c r="B23398" s="4">
        <v>788863</v>
      </c>
      <c r="D23398" s="5">
        <v>788863</v>
      </c>
      <c r="E23398" s="6" t="str">
        <f>HYPERLINK("https://inpn.mnhn.fr/espece/cd_nom/788863","Rubus pallidicaulis Boulay &amp; J.B.Cornet, 1881")</f>
        <v>Rubus pallidicaulis Boulay &amp; J.B.Cornet, 1881</v>
      </c>
      <c r="F23398" s="5" t="s">
        <v>30262</v>
      </c>
      <c r="AH23398" s="4" t="str">
        <f>HYPERLINK("#Statut_biogéographique!A"&amp;_xlfn.XMATCH("P",Statut_biogéographique!A:A,2,1),"P")</f>
        <v>P</v>
      </c>
      <c r="AM23398" s="4" t="s">
        <v>375</v>
      </c>
      <c r="AN23398" s="4" t="s">
        <v>375</v>
      </c>
      <c r="AO23398" s="4" t="s">
        <v>375</v>
      </c>
      <c r="AP23398" s="4" t="s">
        <v>376</v>
      </c>
      <c r="AR23398" s="4" t="s">
        <v>377</v>
      </c>
    </row>
    <row r="23399" spans="1:44">
      <c r="A23399" s="4" t="s">
        <v>24364</v>
      </c>
      <c r="B23399" s="4">
        <v>788867</v>
      </c>
      <c r="D23399" s="5">
        <v>788867</v>
      </c>
      <c r="E23399" s="6" t="str">
        <f>HYPERLINK("https://inpn.mnhn.fr/espece/cd_nom/788867","Carex grayi Carey, 1848")</f>
        <v>Carex grayi Carey, 1848</v>
      </c>
      <c r="F23399" s="5" t="s">
        <v>30263</v>
      </c>
      <c r="T23399" s="7" t="str">
        <f>HYPERLINK("#Liste_rouge!A"&amp;_xlfn.XMATCH("NA",Liste_rouge!A:A,2,1),"NA")</f>
        <v>NA</v>
      </c>
      <c r="AH23399" s="4" t="str">
        <f>HYPERLINK("#Statut_biogéographique!A"&amp;_xlfn.XMATCH("M",Statut_biogéographique!A:A,2,1),"M")</f>
        <v>M</v>
      </c>
      <c r="AP23399" s="4" t="s">
        <v>376</v>
      </c>
      <c r="AR23399" s="4" t="s">
        <v>377</v>
      </c>
    </row>
    <row r="23400" spans="1:44">
      <c r="A23400" s="4" t="s">
        <v>24364</v>
      </c>
      <c r="B23400" s="4">
        <v>788896</v>
      </c>
      <c r="D23400" s="5">
        <v>788896</v>
      </c>
      <c r="E23400" s="6" t="str">
        <f>HYPERLINK("https://inpn.mnhn.fr/espece/cd_nom/788896","Alchemilla jaquetiana Buser, 1902")</f>
        <v>Alchemilla jaquetiana Buser, 1902</v>
      </c>
      <c r="F23400" s="5" t="s">
        <v>30264</v>
      </c>
      <c r="V23400" s="7" t="str">
        <f>HYPERLINK("#Liste_rouge!A"&amp;_xlfn.XMATCH("DD",Liste_rouge!A:A,2,1),"DD")</f>
        <v>DD</v>
      </c>
      <c r="X23400" s="5" t="s">
        <v>374</v>
      </c>
      <c r="AB23400" s="4" t="s">
        <v>93</v>
      </c>
      <c r="AH23400" s="4" t="str">
        <f>HYPERLINK("#Statut_biogéographique!A"&amp;_xlfn.XMATCH("P",Statut_biogéographique!A:A,2,1),"P")</f>
        <v>P</v>
      </c>
      <c r="AM23400" s="4" t="s">
        <v>375</v>
      </c>
      <c r="AN23400" s="4" t="s">
        <v>375</v>
      </c>
      <c r="AO23400" s="4" t="s">
        <v>375</v>
      </c>
      <c r="AP23400" s="4" t="s">
        <v>376</v>
      </c>
      <c r="AR23400" s="4" t="s">
        <v>377</v>
      </c>
    </row>
    <row r="23401" spans="1:44">
      <c r="A23401" s="4" t="s">
        <v>24364</v>
      </c>
      <c r="B23401" s="4">
        <v>788903</v>
      </c>
      <c r="D23401" s="5">
        <v>788903</v>
      </c>
      <c r="E23401" s="6" t="str">
        <f>HYPERLINK("https://inpn.mnhn.fr/espece/cd_nom/788903","Rubus atrovinosus H.E.Weber, 1985")</f>
        <v>Rubus atrovinosus H.E.Weber, 1985</v>
      </c>
      <c r="AH23401" s="4" t="str">
        <f>HYPERLINK("#Statut_biogéographique!A"&amp;_xlfn.XMATCH("P",Statut_biogéographique!A:A,2,1),"P")</f>
        <v>P</v>
      </c>
      <c r="AP23401" s="4" t="s">
        <v>376</v>
      </c>
      <c r="AR23401" s="4" t="s">
        <v>377</v>
      </c>
    </row>
    <row r="23402" spans="1:44">
      <c r="A23402" s="4" t="s">
        <v>24364</v>
      </c>
      <c r="B23402" s="4">
        <v>788906</v>
      </c>
      <c r="D23402" s="5">
        <v>788906</v>
      </c>
      <c r="E23402" s="6" t="str">
        <f>HYPERLINK("https://inpn.mnhn.fr/espece/cd_nom/788906","Rubus flaccidifolius P.J.Müll., 1861")</f>
        <v>Rubus flaccidifolius P.J.Müll., 1861</v>
      </c>
      <c r="AH23402" s="4" t="str">
        <f>HYPERLINK("#Statut_biogéographique!A"&amp;_xlfn.XMATCH("P",Statut_biogéographique!A:A,2,1),"P")</f>
        <v>P</v>
      </c>
      <c r="AM23402" s="4" t="s">
        <v>375</v>
      </c>
      <c r="AN23402" s="4" t="s">
        <v>375</v>
      </c>
      <c r="AO23402" s="4" t="s">
        <v>375</v>
      </c>
      <c r="AP23402" s="4" t="s">
        <v>376</v>
      </c>
      <c r="AR23402" s="4" t="s">
        <v>377</v>
      </c>
    </row>
    <row r="23403" spans="1:44">
      <c r="A23403" s="4" t="s">
        <v>24364</v>
      </c>
      <c r="B23403" s="4">
        <v>788964</v>
      </c>
      <c r="D23403" s="5">
        <v>788964</v>
      </c>
      <c r="E23403" s="6" t="str">
        <f>HYPERLINK("https://inpn.mnhn.fr/espece/cd_nom/788964","Ononis arvensis subsp. arvensis L., 1759")</f>
        <v>Ononis arvensis subsp. arvensis L., 1759</v>
      </c>
      <c r="F23403" s="5" t="s">
        <v>25743</v>
      </c>
      <c r="AH23403" s="4" t="str">
        <f>HYPERLINK("#Statut_biogéographique!A"&amp;_xlfn.XMATCH("I",Statut_biogéographique!A:A,2,1),"I")</f>
        <v>I</v>
      </c>
      <c r="AP23403" s="4" t="s">
        <v>376</v>
      </c>
      <c r="AR23403" s="4" t="s">
        <v>377</v>
      </c>
    </row>
    <row r="23404" spans="1:44" ht="30">
      <c r="A23404" s="4" t="s">
        <v>24364</v>
      </c>
      <c r="B23404" s="4">
        <v>788967</v>
      </c>
      <c r="D23404" s="5" t="s">
        <v>30265</v>
      </c>
      <c r="E23404" s="6" t="str">
        <f>HYPERLINK("https://inpn.mnhn.fr/espece/cd_nom/788967","Frangula alnus subsp. alnus Mill., 1768")</f>
        <v>Frangula alnus subsp. alnus Mill., 1768</v>
      </c>
      <c r="F23404" s="5" t="s">
        <v>30266</v>
      </c>
      <c r="T23404" s="7" t="str">
        <f>HYPERLINK("#Liste_rouge!A"&amp;_xlfn.XMATCH("LC",Liste_rouge!A:A,2,1),"LC")</f>
        <v>LC</v>
      </c>
      <c r="AH23404" s="4" t="str">
        <f>HYPERLINK("#Statut_biogéographique!A"&amp;_xlfn.XMATCH("P",Statut_biogéographique!A:A,2,1),"P")</f>
        <v>P</v>
      </c>
      <c r="AP23404" s="4" t="s">
        <v>376</v>
      </c>
      <c r="AR23404" s="4" t="s">
        <v>377</v>
      </c>
    </row>
    <row r="23405" spans="1:44" ht="60">
      <c r="A23405" s="4" t="s">
        <v>24364</v>
      </c>
      <c r="B23405" s="4">
        <v>788968</v>
      </c>
      <c r="D23405" s="5" t="s">
        <v>30267</v>
      </c>
      <c r="E23405" s="6" t="str">
        <f>HYPERLINK("https://inpn.mnhn.fr/espece/cd_nom/788968","Clinopodium nepeta subsp. sylvaticum (Bromf.) Peruzzi &amp; F.Conti, 2008")</f>
        <v>Clinopodium nepeta subsp. sylvaticum (Bromf.) Peruzzi &amp; F.Conti, 2008</v>
      </c>
      <c r="F23405" s="5" t="s">
        <v>30268</v>
      </c>
      <c r="Q23405" s="7" t="str">
        <f>HYPERLINK("#Liste_rouge!A"&amp;_xlfn.XMATCH("LC",Liste_rouge!A:A,2,1),"LC")</f>
        <v>LC</v>
      </c>
      <c r="T23405" s="7" t="str">
        <f>HYPERLINK("#Liste_rouge!A"&amp;_xlfn.XMATCH("LC",Liste_rouge!A:A,2,1),"LC")</f>
        <v>LC</v>
      </c>
      <c r="AH23405" s="4" t="str">
        <f>HYPERLINK("#Statut_biogéographique!A"&amp;_xlfn.XMATCH("P",Statut_biogéographique!A:A,2,1),"P")</f>
        <v>P</v>
      </c>
      <c r="AM23405" s="4" t="s">
        <v>375</v>
      </c>
      <c r="AN23405" s="4" t="s">
        <v>375</v>
      </c>
      <c r="AO23405" s="4" t="s">
        <v>375</v>
      </c>
      <c r="AP23405" s="4" t="s">
        <v>376</v>
      </c>
      <c r="AR23405" s="4" t="s">
        <v>377</v>
      </c>
    </row>
    <row r="23406" spans="1:44" ht="30">
      <c r="A23406" s="4" t="s">
        <v>24364</v>
      </c>
      <c r="B23406" s="4">
        <v>788971</v>
      </c>
      <c r="D23406" s="5">
        <v>788971</v>
      </c>
      <c r="E23406" s="6" t="str">
        <f>HYPERLINK("https://inpn.mnhn.fr/espece/cd_nom/788971","Equisetum telmateia subsp. telmateia Ehrh., 1783")</f>
        <v>Equisetum telmateia subsp. telmateia Ehrh., 1783</v>
      </c>
      <c r="F23406" s="5" t="s">
        <v>30269</v>
      </c>
      <c r="AH23406" s="4" t="str">
        <f>HYPERLINK("#Statut_biogéographique!A"&amp;_xlfn.XMATCH("P",Statut_biogéographique!A:A,2,1),"P")</f>
        <v>P</v>
      </c>
      <c r="AP23406" s="4" t="s">
        <v>376</v>
      </c>
      <c r="AR23406" s="4" t="s">
        <v>377</v>
      </c>
    </row>
    <row r="23407" spans="1:44">
      <c r="A23407" s="4" t="s">
        <v>24364</v>
      </c>
      <c r="B23407" s="4">
        <v>788972</v>
      </c>
      <c r="D23407" s="5">
        <v>788972</v>
      </c>
      <c r="E23407" s="6" t="str">
        <f>HYPERLINK("https://inpn.mnhn.fr/espece/cd_nom/788972","Equisetum hyemale subsp. hyemale L., 1753")</f>
        <v>Equisetum hyemale subsp. hyemale L., 1753</v>
      </c>
      <c r="F23407" s="5" t="s">
        <v>30270</v>
      </c>
      <c r="M23407" s="4" t="str">
        <f>HYPERLINK("#Réglementation!A"&amp;_xlfn.XMATCH("RV26",Réglementation!A:A,2,1),"RV26")</f>
        <v>RV26</v>
      </c>
      <c r="AH23407" s="4" t="str">
        <f>HYPERLINK("#Statut_biogéographique!A"&amp;_xlfn.XMATCH("P",Statut_biogéographique!A:A,2,1),"P")</f>
        <v>P</v>
      </c>
      <c r="AP23407" s="4" t="s">
        <v>376</v>
      </c>
      <c r="AR23407" s="4" t="s">
        <v>377</v>
      </c>
    </row>
    <row r="23408" spans="1:44" ht="30">
      <c r="A23408" s="4" t="s">
        <v>24364</v>
      </c>
      <c r="B23408" s="4">
        <v>788974</v>
      </c>
      <c r="D23408" s="5">
        <v>788974</v>
      </c>
      <c r="E23408" s="6" t="str">
        <f>HYPERLINK("https://inpn.mnhn.fr/espece/cd_nom/788974","Equisetum ramosissimum subsp. ramosissimum Desf., 1799")</f>
        <v>Equisetum ramosissimum subsp. ramosissimum Desf., 1799</v>
      </c>
      <c r="F23408" s="5" t="s">
        <v>30271</v>
      </c>
      <c r="M23408" s="4" t="str">
        <f>HYPERLINK("#Réglementation!A"&amp;_xlfn.XMATCH("RV43",Réglementation!A:A,2,1),"RV43")</f>
        <v>RV43</v>
      </c>
      <c r="AH23408" s="4" t="str">
        <f>HYPERLINK("#Statut_biogéographique!A"&amp;_xlfn.XMATCH("P",Statut_biogéographique!A:A,2,1),"P")</f>
        <v>P</v>
      </c>
      <c r="AP23408" s="4" t="s">
        <v>376</v>
      </c>
      <c r="AR23408" s="4" t="s">
        <v>377</v>
      </c>
    </row>
    <row r="23409" spans="1:44" ht="45">
      <c r="A23409" s="4" t="s">
        <v>24364</v>
      </c>
      <c r="B23409" s="4">
        <v>788978</v>
      </c>
      <c r="D23409" s="5" t="s">
        <v>30272</v>
      </c>
      <c r="E23409" s="6" t="str">
        <f>HYPERLINK("https://inpn.mnhn.fr/espece/cd_nom/788978","Avena sterilis subsp. ludoviciana (Durieu) Gillet &amp; Magne, 1873")</f>
        <v>Avena sterilis subsp. ludoviciana (Durieu) Gillet &amp; Magne, 1873</v>
      </c>
      <c r="F23409" s="5" t="s">
        <v>30273</v>
      </c>
      <c r="Q23409" s="7" t="str">
        <f>HYPERLINK("#Liste_rouge!A"&amp;_xlfn.XMATCH("LC",Liste_rouge!A:A,2,1),"LC")</f>
        <v>LC</v>
      </c>
      <c r="T23409" s="7" t="str">
        <f>HYPERLINK("#Liste_rouge!A"&amp;_xlfn.XMATCH("DD",Liste_rouge!A:A,2,1),"DD")</f>
        <v>DD</v>
      </c>
      <c r="AH23409" s="4" t="str">
        <f>HYPERLINK("#Statut_biogéographique!A"&amp;_xlfn.XMATCH("P",Statut_biogéographique!A:A,2,1),"P")</f>
        <v>P</v>
      </c>
      <c r="AM23409" s="4" t="s">
        <v>375</v>
      </c>
      <c r="AN23409" s="4" t="s">
        <v>375</v>
      </c>
      <c r="AO23409" s="4" t="s">
        <v>375</v>
      </c>
      <c r="AP23409" s="4" t="s">
        <v>376</v>
      </c>
      <c r="AR23409" s="4" t="s">
        <v>377</v>
      </c>
    </row>
    <row r="23410" spans="1:44">
      <c r="A23410" s="4" t="s">
        <v>24364</v>
      </c>
      <c r="B23410" s="4">
        <v>788980</v>
      </c>
      <c r="D23410" s="5">
        <v>788980</v>
      </c>
      <c r="E23410" s="6" t="str">
        <f>HYPERLINK("https://inpn.mnhn.fr/espece/cd_nom/788980","Poa annua subsp. annua L., 1753")</f>
        <v>Poa annua subsp. annua L., 1753</v>
      </c>
      <c r="F23410" s="5" t="s">
        <v>26159</v>
      </c>
      <c r="AH23410" s="4" t="str">
        <f>HYPERLINK("#Statut_biogéographique!A"&amp;_xlfn.XMATCH("P",Statut_biogéographique!A:A,2,1),"P")</f>
        <v>P</v>
      </c>
      <c r="AM23410" s="4" t="s">
        <v>375</v>
      </c>
      <c r="AN23410" s="4" t="s">
        <v>375</v>
      </c>
      <c r="AO23410" s="4" t="s">
        <v>375</v>
      </c>
      <c r="AP23410" s="4" t="s">
        <v>376</v>
      </c>
      <c r="AR23410" s="4" t="s">
        <v>377</v>
      </c>
    </row>
    <row r="23411" spans="1:44">
      <c r="A23411" s="4" t="s">
        <v>24364</v>
      </c>
      <c r="B23411" s="4">
        <v>788985</v>
      </c>
      <c r="D23411" s="5">
        <v>788985</v>
      </c>
      <c r="E23411" s="6" t="str">
        <f>HYPERLINK("https://inpn.mnhn.fr/espece/cd_nom/788985","Salicornia europaea subsp. europaea L., 1753")</f>
        <v>Salicornia europaea subsp. europaea L., 1753</v>
      </c>
      <c r="F23411" s="5" t="s">
        <v>30274</v>
      </c>
      <c r="Q23411" s="7" t="str">
        <f>HYPERLINK("#Liste_rouge!A"&amp;_xlfn.XMATCH("LC",Liste_rouge!A:A,2,1),"LC")</f>
        <v>LC</v>
      </c>
      <c r="AH23411" s="4" t="str">
        <f>HYPERLINK("#Statut_biogéographique!A"&amp;_xlfn.XMATCH("P",Statut_biogéographique!A:A,2,1),"P")</f>
        <v>P</v>
      </c>
      <c r="AM23411" s="4" t="s">
        <v>375</v>
      </c>
      <c r="AN23411" s="4" t="s">
        <v>375</v>
      </c>
      <c r="AO23411" s="4" t="s">
        <v>375</v>
      </c>
      <c r="AP23411" s="4" t="s">
        <v>376</v>
      </c>
      <c r="AR23411" s="4" t="s">
        <v>377</v>
      </c>
    </row>
    <row r="23412" spans="1:44" ht="30">
      <c r="A23412" s="4" t="s">
        <v>24364</v>
      </c>
      <c r="B23412" s="4">
        <v>788987</v>
      </c>
      <c r="D23412" s="5" t="s">
        <v>30275</v>
      </c>
      <c r="E23412" s="6" t="str">
        <f>HYPERLINK("https://inpn.mnhn.fr/espece/cd_nom/788987","Laserpitium gallicum subsp. gallicum L., 1753")</f>
        <v>Laserpitium gallicum subsp. gallicum L., 1753</v>
      </c>
      <c r="F23412" s="5" t="s">
        <v>25049</v>
      </c>
      <c r="M23412" s="4" t="str">
        <f>HYPERLINK("#Réglementation!A"&amp;_xlfn.XMATCH("RV26",Réglementation!A:A,2,1),"RV26")</f>
        <v>RV26</v>
      </c>
      <c r="AH23412" s="4" t="str">
        <f>HYPERLINK("#Statut_biogéographique!A"&amp;_xlfn.XMATCH("P",Statut_biogéographique!A:A,2,1),"P")</f>
        <v>P</v>
      </c>
      <c r="AP23412" s="4" t="s">
        <v>376</v>
      </c>
      <c r="AR23412" s="4" t="s">
        <v>377</v>
      </c>
    </row>
    <row r="23413" spans="1:44" ht="30">
      <c r="A23413" s="4" t="s">
        <v>24364</v>
      </c>
      <c r="B23413" s="4">
        <v>789026</v>
      </c>
      <c r="D23413" s="5" t="s">
        <v>30276</v>
      </c>
      <c r="E23413" s="6" t="str">
        <f>HYPERLINK("https://inpn.mnhn.fr/espece/cd_nom/789026","Primula veris var. veris L., 1753")</f>
        <v>Primula veris var. veris L., 1753</v>
      </c>
      <c r="F23413" s="5" t="s">
        <v>26391</v>
      </c>
      <c r="T23413" s="7" t="str">
        <f>HYPERLINK("#Liste_rouge!A"&amp;_xlfn.XMATCH("LC",Liste_rouge!A:A,2,1),"LC")</f>
        <v>LC</v>
      </c>
      <c r="AH23413" s="4" t="str">
        <f>HYPERLINK("#Statut_biogéographique!A"&amp;_xlfn.XMATCH("P",Statut_biogéographique!A:A,2,1),"P")</f>
        <v>P</v>
      </c>
      <c r="AP23413" s="4" t="s">
        <v>376</v>
      </c>
      <c r="AR23413" s="4" t="s">
        <v>377</v>
      </c>
    </row>
    <row r="23414" spans="1:44">
      <c r="A23414" s="4" t="s">
        <v>24364</v>
      </c>
      <c r="B23414" s="4">
        <v>791817</v>
      </c>
      <c r="D23414" s="5" t="s">
        <v>30277</v>
      </c>
      <c r="E23414" s="6" t="str">
        <f>HYPERLINK("https://inpn.mnhn.fr/espece/cd_nom/791817","Hieracium pallidum Biv., 1838")</f>
        <v>Hieracium pallidum Biv., 1838</v>
      </c>
      <c r="F23414" s="5" t="s">
        <v>30278</v>
      </c>
      <c r="T23414" s="7" t="str">
        <f>HYPERLINK("#Liste_rouge!A"&amp;_xlfn.XMATCH("NE",Liste_rouge!A:A,2,1),"NE")</f>
        <v>NE</v>
      </c>
      <c r="AH23414" s="4" t="str">
        <f>HYPERLINK("#Statut_biogéographique!A"&amp;_xlfn.XMATCH("Q",Statut_biogéographique!A:A,2,1),"Q")</f>
        <v>Q</v>
      </c>
      <c r="AP23414" s="4" t="s">
        <v>376</v>
      </c>
      <c r="AR23414" s="4" t="s">
        <v>377</v>
      </c>
    </row>
    <row r="23415" spans="1:44">
      <c r="A23415" s="4" t="s">
        <v>24364</v>
      </c>
      <c r="B23415" s="4">
        <v>792334</v>
      </c>
      <c r="D23415" s="5" t="s">
        <v>30279</v>
      </c>
      <c r="E23415" s="6" t="str">
        <f>HYPERLINK("https://inpn.mnhn.fr/espece/cd_nom/792334","Plagiogramma laeve (W.Greg.) Ralfs, 1861")</f>
        <v>Plagiogramma laeve (W.Greg.) Ralfs, 1861</v>
      </c>
      <c r="AH23415" s="4" t="str">
        <f>HYPERLINK("#Statut_biogéographique!A"&amp;_xlfn.XMATCH("P",Statut_biogéographique!A:A,2,1),"P")</f>
        <v>P</v>
      </c>
      <c r="AP23415" s="4" t="s">
        <v>376</v>
      </c>
      <c r="AR23415" s="4" t="s">
        <v>377</v>
      </c>
    </row>
    <row r="23416" spans="1:44">
      <c r="A23416" s="4" t="s">
        <v>24364</v>
      </c>
      <c r="B23416" s="4">
        <v>792578</v>
      </c>
      <c r="D23416" s="5">
        <v>792578</v>
      </c>
      <c r="E23416" s="6" t="str">
        <f>HYPERLINK("https://inpn.mnhn.fr/espece/cd_nom/792578","Weissia rutilans var. hillieri Meyl., 1910")</f>
        <v>Weissia rutilans var. hillieri Meyl., 1910</v>
      </c>
      <c r="AH23416" s="4" t="str">
        <f>HYPERLINK("#Statut_biogéographique!A"&amp;_xlfn.XMATCH("D",Statut_biogéographique!A:A,2,1),"D")</f>
        <v>D</v>
      </c>
      <c r="AP23416" s="4" t="s">
        <v>376</v>
      </c>
      <c r="AR23416" s="4" t="s">
        <v>377</v>
      </c>
    </row>
    <row r="23417" spans="1:44" ht="30">
      <c r="A23417" s="4" t="s">
        <v>24364</v>
      </c>
      <c r="B23417" s="4">
        <v>793166</v>
      </c>
      <c r="D23417" s="5" t="s">
        <v>30280</v>
      </c>
      <c r="E23417" s="6" t="str">
        <f>HYPERLINK("https://inpn.mnhn.fr/espece/cd_nom/793166","Scapania irrigua subsp. rufescens (Loeske) R.M.Schust., 1974")</f>
        <v>Scapania irrigua subsp. rufescens (Loeske) R.M.Schust., 1974</v>
      </c>
      <c r="V23417" s="7" t="str">
        <f>HYPERLINK("#Liste_rouge!A"&amp;_xlfn.XMATCH("NE",Liste_rouge!A:A,2,1),"NE")</f>
        <v>NE</v>
      </c>
      <c r="AH23417" s="4" t="str">
        <f>HYPERLINK("#Statut_biogéographique!A"&amp;_xlfn.XMATCH("P",Statut_biogéographique!A:A,2,1),"P")</f>
        <v>P</v>
      </c>
      <c r="AP23417" s="4" t="s">
        <v>376</v>
      </c>
      <c r="AR23417" s="4" t="s">
        <v>377</v>
      </c>
    </row>
    <row r="23418" spans="1:44">
      <c r="A23418" s="4" t="s">
        <v>24364</v>
      </c>
      <c r="B23418" s="4">
        <v>79319</v>
      </c>
      <c r="D23418" s="5" t="s">
        <v>30281</v>
      </c>
      <c r="E23418" s="6" t="str">
        <f>HYPERLINK("https://inpn.mnhn.fr/espece/cd_nom/79319","Abies alba Mill., 1768")</f>
        <v>Abies alba Mill., 1768</v>
      </c>
      <c r="F23418" s="5" t="s">
        <v>30282</v>
      </c>
      <c r="O23418" s="7" t="str">
        <f>HYPERLINK("#Liste_rouge!A"&amp;_xlfn.XMATCH("LC",Liste_rouge!A:A,2,1),"LC")</f>
        <v>LC</v>
      </c>
      <c r="P23418" s="7" t="str">
        <f>HYPERLINK("#Liste_rouge!A"&amp;_xlfn.XMATCH("LC",Liste_rouge!A:A,2,1),"LC")</f>
        <v>LC</v>
      </c>
      <c r="Q23418" s="7" t="str">
        <f>HYPERLINK("#Liste_rouge!A"&amp;_xlfn.XMATCH("LC",Liste_rouge!A:A,2,1),"LC")</f>
        <v>LC</v>
      </c>
      <c r="T23418" s="7" t="str">
        <f>HYPERLINK("#Liste_rouge!A"&amp;_xlfn.XMATCH("NA",Liste_rouge!A:A,2,1),"NA")</f>
        <v>NA</v>
      </c>
      <c r="V23418" s="7" t="str">
        <f>HYPERLINK("#Liste_rouge!A"&amp;_xlfn.XMATCH("LC",Liste_rouge!A:A,2,1),"LC")</f>
        <v>LC</v>
      </c>
      <c r="AH23418" s="4" t="str">
        <f>HYPERLINK("#Statut_biogéographique!A"&amp;_xlfn.XMATCH("P",Statut_biogéographique!A:A,2,1),"P")</f>
        <v>P</v>
      </c>
      <c r="AM23418" s="4" t="s">
        <v>375</v>
      </c>
      <c r="AN23418" s="4" t="s">
        <v>375</v>
      </c>
      <c r="AO23418" s="4" t="s">
        <v>375</v>
      </c>
      <c r="AP23418" s="4" t="s">
        <v>376</v>
      </c>
      <c r="AR23418" s="4" t="s">
        <v>377</v>
      </c>
    </row>
    <row r="23419" spans="1:44">
      <c r="A23419" s="4" t="s">
        <v>24364</v>
      </c>
      <c r="B23419" s="4">
        <v>79325</v>
      </c>
      <c r="D23419" s="5" t="s">
        <v>30283</v>
      </c>
      <c r="E23419" s="6" t="str">
        <f>HYPERLINK("https://inpn.mnhn.fr/espece/cd_nom/79325","Abies cephalonica Loudon, 1838")</f>
        <v>Abies cephalonica Loudon, 1838</v>
      </c>
      <c r="F23419" s="5" t="s">
        <v>30284</v>
      </c>
      <c r="O23419" s="7" t="str">
        <f>HYPERLINK("#Liste_rouge!A"&amp;_xlfn.XMATCH("LC",Liste_rouge!A:A,2,1),"LC")</f>
        <v>LC</v>
      </c>
      <c r="P23419" s="7" t="str">
        <f>HYPERLINK("#Liste_rouge!A"&amp;_xlfn.XMATCH("LC",Liste_rouge!A:A,2,1),"LC")</f>
        <v>LC</v>
      </c>
      <c r="Q23419" s="7" t="str">
        <f>HYPERLINK("#Liste_rouge!A"&amp;_xlfn.XMATCH("NA",Liste_rouge!A:A,2,1),"NA")</f>
        <v>NA</v>
      </c>
      <c r="T23419" s="7" t="str">
        <f>HYPERLINK("#Liste_rouge!A"&amp;_xlfn.XMATCH("NA",Liste_rouge!A:A,2,1),"NA")</f>
        <v>NA</v>
      </c>
      <c r="AH23419" s="4" t="str">
        <f>HYPERLINK("#Statut_biogéographique!A"&amp;_xlfn.XMATCH("I",Statut_biogéographique!A:A,2,1),"I")</f>
        <v>I</v>
      </c>
      <c r="AP23419" s="4" t="s">
        <v>376</v>
      </c>
      <c r="AR23419" s="4" t="s">
        <v>377</v>
      </c>
    </row>
    <row r="23420" spans="1:44" ht="30">
      <c r="A23420" s="4" t="s">
        <v>24364</v>
      </c>
      <c r="B23420" s="4">
        <v>79333</v>
      </c>
      <c r="D23420" s="5" t="s">
        <v>30285</v>
      </c>
      <c r="E23420" s="6" t="str">
        <f>HYPERLINK("https://inpn.mnhn.fr/espece/cd_nom/79333","Abies grandis (Douglas ex D.Don) Lindl., 1833")</f>
        <v>Abies grandis (Douglas ex D.Don) Lindl., 1833</v>
      </c>
      <c r="F23420" s="5" t="s">
        <v>30286</v>
      </c>
      <c r="O23420" s="7" t="str">
        <f>HYPERLINK("#Liste_rouge!A"&amp;_xlfn.XMATCH("LC",Liste_rouge!A:A,2,1),"LC")</f>
        <v>LC</v>
      </c>
      <c r="Q23420" s="7" t="str">
        <f>HYPERLINK("#Liste_rouge!A"&amp;_xlfn.XMATCH("NA",Liste_rouge!A:A,2,1),"NA")</f>
        <v>NA</v>
      </c>
      <c r="T23420" s="7" t="str">
        <f>HYPERLINK("#Liste_rouge!A"&amp;_xlfn.XMATCH("NA",Liste_rouge!A:A,2,1),"NA")</f>
        <v>NA</v>
      </c>
      <c r="AH23420" s="4" t="str">
        <f>HYPERLINK("#Statut_biogéographique!A"&amp;_xlfn.XMATCH("I",Statut_biogéographique!A:A,2,1),"I")</f>
        <v>I</v>
      </c>
      <c r="AP23420" s="4" t="s">
        <v>376</v>
      </c>
      <c r="AR23420" s="4" t="s">
        <v>377</v>
      </c>
    </row>
    <row r="23421" spans="1:44" ht="30">
      <c r="A23421" s="4" t="s">
        <v>24364</v>
      </c>
      <c r="B23421" s="4">
        <v>79345</v>
      </c>
      <c r="D23421" s="5" t="s">
        <v>30287</v>
      </c>
      <c r="E23421" s="6" t="str">
        <f>HYPERLINK("https://inpn.mnhn.fr/espece/cd_nom/79345","Abies nordmanniana (Steven) Spach, 1841")</f>
        <v>Abies nordmanniana (Steven) Spach, 1841</v>
      </c>
      <c r="F23421" s="5" t="s">
        <v>30288</v>
      </c>
      <c r="O23421" s="7" t="str">
        <f>HYPERLINK("#Liste_rouge!A"&amp;_xlfn.XMATCH("LC",Liste_rouge!A:A,2,1),"LC")</f>
        <v>LC</v>
      </c>
      <c r="Q23421" s="7" t="str">
        <f>HYPERLINK("#Liste_rouge!A"&amp;_xlfn.XMATCH("NA",Liste_rouge!A:A,2,1),"NA")</f>
        <v>NA</v>
      </c>
      <c r="T23421" s="7" t="str">
        <f>HYPERLINK("#Liste_rouge!A"&amp;_xlfn.XMATCH("NA",Liste_rouge!A:A,2,1),"NA")</f>
        <v>NA</v>
      </c>
      <c r="AH23421" s="4" t="str">
        <f>HYPERLINK("#Statut_biogéographique!A"&amp;_xlfn.XMATCH("I",Statut_biogéographique!A:A,2,1),"I")</f>
        <v>I</v>
      </c>
      <c r="AP23421" s="4" t="s">
        <v>376</v>
      </c>
      <c r="AR23421" s="4" t="s">
        <v>377</v>
      </c>
    </row>
    <row r="23422" spans="1:44">
      <c r="A23422" s="4" t="s">
        <v>24364</v>
      </c>
      <c r="B23422" s="4">
        <v>79349</v>
      </c>
      <c r="D23422" s="5" t="s">
        <v>30289</v>
      </c>
      <c r="E23422" s="6" t="str">
        <f>HYPERLINK("https://inpn.mnhn.fr/espece/cd_nom/79349","Abies pinsapo Boiss., 1838")</f>
        <v>Abies pinsapo Boiss., 1838</v>
      </c>
      <c r="F23422" s="5" t="s">
        <v>30290</v>
      </c>
      <c r="O23422" s="7" t="str">
        <f>HYPERLINK("#Liste_rouge!A"&amp;_xlfn.XMATCH("EN",Liste_rouge!A:A,2,1),"EN")</f>
        <v>EN</v>
      </c>
      <c r="P23422" s="7" t="str">
        <f>HYPERLINK("#Liste_rouge!A"&amp;_xlfn.XMATCH("EN",Liste_rouge!A:A,2,1),"EN")</f>
        <v>EN</v>
      </c>
      <c r="Q23422" s="7" t="str">
        <f>HYPERLINK("#Liste_rouge!A"&amp;_xlfn.XMATCH("NA",Liste_rouge!A:A,2,1),"NA")</f>
        <v>NA</v>
      </c>
      <c r="T23422" s="7" t="str">
        <f>HYPERLINK("#Liste_rouge!A"&amp;_xlfn.XMATCH("NA",Liste_rouge!A:A,2,1),"NA")</f>
        <v>NA</v>
      </c>
      <c r="AH23422" s="4" t="str">
        <f>HYPERLINK("#Statut_biogéographique!A"&amp;_xlfn.XMATCH("M",Statut_biogéographique!A:A,2,1),"M")</f>
        <v>M</v>
      </c>
      <c r="AP23422" s="4" t="s">
        <v>376</v>
      </c>
      <c r="AR23422" s="4" t="s">
        <v>377</v>
      </c>
    </row>
    <row r="23423" spans="1:44">
      <c r="A23423" s="4" t="s">
        <v>24364</v>
      </c>
      <c r="B23423" s="4">
        <v>79350</v>
      </c>
      <c r="D23423" s="5" t="s">
        <v>30291</v>
      </c>
      <c r="E23423" s="6" t="str">
        <f>HYPERLINK("https://inpn.mnhn.fr/espece/cd_nom/79350","Abies procera Rehder, 1949")</f>
        <v>Abies procera Rehder, 1949</v>
      </c>
      <c r="F23423" s="5" t="s">
        <v>30292</v>
      </c>
      <c r="O23423" s="7" t="str">
        <f>HYPERLINK("#Liste_rouge!A"&amp;_xlfn.XMATCH("LC",Liste_rouge!A:A,2,1),"LC")</f>
        <v>LC</v>
      </c>
      <c r="AH23423" s="4" t="str">
        <f>HYPERLINK("#Statut_biogéographique!A"&amp;_xlfn.XMATCH("M",Statut_biogéographique!A:A,2,1),"M")</f>
        <v>M</v>
      </c>
      <c r="AP23423" s="4" t="s">
        <v>376</v>
      </c>
      <c r="AR23423" s="4" t="s">
        <v>377</v>
      </c>
    </row>
    <row r="23424" spans="1:44" ht="30">
      <c r="A23424" s="4" t="s">
        <v>24364</v>
      </c>
      <c r="B23424" s="4">
        <v>79684</v>
      </c>
      <c r="D23424" s="5" t="s">
        <v>30293</v>
      </c>
      <c r="E23424" s="6" t="str">
        <f>HYPERLINK("https://inpn.mnhn.fr/espece/cd_nom/79684","Abutilon theophrasti Medik., 1787")</f>
        <v>Abutilon theophrasti Medik., 1787</v>
      </c>
      <c r="F23424" s="5" t="s">
        <v>30294</v>
      </c>
      <c r="Q23424" s="7" t="str">
        <f>HYPERLINK("#Liste_rouge!A"&amp;_xlfn.XMATCH("NA",Liste_rouge!A:A,2,1),"NA")</f>
        <v>NA</v>
      </c>
      <c r="T23424" s="7" t="str">
        <f>HYPERLINK("#Liste_rouge!A"&amp;_xlfn.XMATCH("NA",Liste_rouge!A:A,2,1),"NA")</f>
        <v>NA</v>
      </c>
      <c r="AH23424" s="4" t="str">
        <f>HYPERLINK("#Statut_biogéographique!A"&amp;_xlfn.XMATCH("I",Statut_biogéographique!A:A,2,1),"I")</f>
        <v>I</v>
      </c>
      <c r="AP23424" s="4" t="s">
        <v>376</v>
      </c>
      <c r="AR23424" s="4" t="s">
        <v>377</v>
      </c>
    </row>
    <row r="23425" spans="1:44">
      <c r="A23425" s="4" t="s">
        <v>24364</v>
      </c>
      <c r="B23425" s="4">
        <v>79721</v>
      </c>
      <c r="D23425" s="5" t="s">
        <v>30295</v>
      </c>
      <c r="E23425" s="6" t="str">
        <f>HYPERLINK("https://inpn.mnhn.fr/espece/cd_nom/79721","Acanthus mollis L., 1753")</f>
        <v>Acanthus mollis L., 1753</v>
      </c>
      <c r="F23425" s="5" t="s">
        <v>30296</v>
      </c>
      <c r="Q23425" s="7" t="str">
        <f>HYPERLINK("#Liste_rouge!A"&amp;_xlfn.XMATCH("LC",Liste_rouge!A:A,2,1),"LC")</f>
        <v>LC</v>
      </c>
      <c r="T23425" s="7" t="str">
        <f>HYPERLINK("#Liste_rouge!A"&amp;_xlfn.XMATCH("NA",Liste_rouge!A:A,2,1),"NA")</f>
        <v>NA</v>
      </c>
      <c r="AH23425" s="4" t="str">
        <f>HYPERLINK("#Statut_biogéographique!A"&amp;_xlfn.XMATCH("P",Statut_biogéographique!A:A,2,1),"P")</f>
        <v>P</v>
      </c>
      <c r="AP23425" s="4" t="s">
        <v>376</v>
      </c>
      <c r="AR23425" s="4" t="s">
        <v>377</v>
      </c>
    </row>
    <row r="23426" spans="1:44" ht="105">
      <c r="A23426" s="4" t="s">
        <v>24364</v>
      </c>
      <c r="B23426" s="4">
        <v>79734</v>
      </c>
      <c r="D23426" s="5" t="s">
        <v>30297</v>
      </c>
      <c r="E23426" s="6" t="str">
        <f>HYPERLINK("https://inpn.mnhn.fr/espece/cd_nom/79734","Acer campestre L., 1753")</f>
        <v>Acer campestre L., 1753</v>
      </c>
      <c r="F23426" s="5" t="s">
        <v>30298</v>
      </c>
      <c r="O23426" s="7" t="str">
        <f>HYPERLINK("#Liste_rouge!A"&amp;_xlfn.XMATCH("LC",Liste_rouge!A:A,2,1),"LC")</f>
        <v>LC</v>
      </c>
      <c r="P23426" s="7" t="str">
        <f>HYPERLINK("#Liste_rouge!A"&amp;_xlfn.XMATCH("LC",Liste_rouge!A:A,2,1),"LC")</f>
        <v>LC</v>
      </c>
      <c r="Q23426" s="7" t="str">
        <f>HYPERLINK("#Liste_rouge!A"&amp;_xlfn.XMATCH("LC",Liste_rouge!A:A,2,1),"LC")</f>
        <v>LC</v>
      </c>
      <c r="T23426" s="7" t="str">
        <f>HYPERLINK("#Liste_rouge!A"&amp;_xlfn.XMATCH("NE",Liste_rouge!A:A,2,1),"NE (cd_nom 613445) - LC (cd_nom 79734)")</f>
        <v>NE (cd_nom 613445) - LC (cd_nom 79734)</v>
      </c>
      <c r="V23426" s="7" t="str">
        <f>HYPERLINK("#Liste_rouge!A"&amp;_xlfn.XMATCH("LC",Liste_rouge!A:A,2,1),"LC")</f>
        <v>LC</v>
      </c>
      <c r="AH23426" s="4" t="str">
        <f>HYPERLINK("#Statut_biogéographique!A"&amp;_xlfn.XMATCH("P",Statut_biogéographique!A:A,2,1),"P")</f>
        <v>P</v>
      </c>
      <c r="AM23426" s="4" t="s">
        <v>375</v>
      </c>
      <c r="AN23426" s="4" t="s">
        <v>375</v>
      </c>
      <c r="AO23426" s="4" t="s">
        <v>375</v>
      </c>
      <c r="AP23426" s="4" t="s">
        <v>376</v>
      </c>
      <c r="AR23426" s="4" t="s">
        <v>377</v>
      </c>
    </row>
    <row r="23427" spans="1:44" ht="30">
      <c r="A23427" s="4" t="s">
        <v>24364</v>
      </c>
      <c r="B23427" s="4">
        <v>79735</v>
      </c>
      <c r="D23427" s="5" t="s">
        <v>30299</v>
      </c>
      <c r="E23427" s="6" t="str">
        <f>HYPERLINK("https://inpn.mnhn.fr/espece/cd_nom/79735","Acer cappadocicum Gled., 1785")</f>
        <v>Acer cappadocicum Gled., 1785</v>
      </c>
      <c r="F23427" s="5" t="s">
        <v>30300</v>
      </c>
      <c r="O23427" s="7" t="str">
        <f>HYPERLINK("#Liste_rouge!A"&amp;_xlfn.XMATCH("LC",Liste_rouge!A:A,2,1),"LC")</f>
        <v>LC</v>
      </c>
      <c r="Q23427" s="7" t="str">
        <f>HYPERLINK("#Liste_rouge!A"&amp;_xlfn.XMATCH("NA",Liste_rouge!A:A,2,1),"NA")</f>
        <v>NA</v>
      </c>
      <c r="AH23427" s="4" t="str">
        <f>HYPERLINK("#Statut_biogéographique!A"&amp;_xlfn.XMATCH("I",Statut_biogéographique!A:A,2,1),"I")</f>
        <v>I</v>
      </c>
      <c r="AP23427" s="4" t="s">
        <v>376</v>
      </c>
      <c r="AR23427" s="4" t="s">
        <v>377</v>
      </c>
    </row>
    <row r="23428" spans="1:44" ht="30">
      <c r="A23428" s="4" t="s">
        <v>24364</v>
      </c>
      <c r="B23428" s="4">
        <v>79763</v>
      </c>
      <c r="D23428" s="5" t="s">
        <v>30301</v>
      </c>
      <c r="E23428" s="6" t="str">
        <f>HYPERLINK("https://inpn.mnhn.fr/espece/cd_nom/79763","Acer monspessulanum L., 1753")</f>
        <v>Acer monspessulanum L., 1753</v>
      </c>
      <c r="F23428" s="5" t="s">
        <v>30302</v>
      </c>
      <c r="M23428" s="4" t="str">
        <f>HYPERLINK("#Réglementation!A"&amp;_xlfn.XMATCH("RV26",Réglementation!A:A,2,1),"RV26")</f>
        <v>RV26</v>
      </c>
      <c r="O23428" s="7" t="str">
        <f>HYPERLINK("#Liste_rouge!A"&amp;_xlfn.XMATCH("LC",Liste_rouge!A:A,2,1),"LC")</f>
        <v>LC</v>
      </c>
      <c r="P23428" s="7" t="str">
        <f>HYPERLINK("#Liste_rouge!A"&amp;_xlfn.XMATCH("LC",Liste_rouge!A:A,2,1),"LC")</f>
        <v>LC</v>
      </c>
      <c r="Q23428" s="7" t="str">
        <f>HYPERLINK("#Liste_rouge!A"&amp;_xlfn.XMATCH("LC",Liste_rouge!A:A,2,1),"LC")</f>
        <v>LC</v>
      </c>
      <c r="T23428" s="7" t="str">
        <f>HYPERLINK("#Liste_rouge!A"&amp;_xlfn.XMATCH("NT",Liste_rouge!A:A,2,1),"NT")</f>
        <v>NT</v>
      </c>
      <c r="U23428" s="4" t="str">
        <f>HYPERLINK("#Critères_liste_rouge!A$1","pr. D2")</f>
        <v>pr. D2</v>
      </c>
      <c r="AB23428" s="4" t="s">
        <v>24634</v>
      </c>
      <c r="AH23428" s="4" t="str">
        <f>HYPERLINK("#Statut_biogéographique!A"&amp;_xlfn.XMATCH("P",Statut_biogéographique!A:A,2,1),"P")</f>
        <v>P</v>
      </c>
      <c r="AM23428" s="4" t="s">
        <v>375</v>
      </c>
      <c r="AN23428" s="4" t="s">
        <v>375</v>
      </c>
      <c r="AO23428" s="4" t="s">
        <v>375</v>
      </c>
      <c r="AP23428" s="4" t="s">
        <v>376</v>
      </c>
      <c r="AR23428" s="4" t="s">
        <v>377</v>
      </c>
    </row>
    <row r="23429" spans="1:44" ht="30">
      <c r="A23429" s="4" t="s">
        <v>24364</v>
      </c>
      <c r="B23429" s="4">
        <v>79766</v>
      </c>
      <c r="D23429" s="5" t="s">
        <v>30303</v>
      </c>
      <c r="E23429" s="6" t="str">
        <f>HYPERLINK("https://inpn.mnhn.fr/espece/cd_nom/79766","Acer negundo L., 1753")</f>
        <v>Acer negundo L., 1753</v>
      </c>
      <c r="F23429" s="5" t="s">
        <v>30304</v>
      </c>
      <c r="O23429" s="7" t="str">
        <f>HYPERLINK("#Liste_rouge!A"&amp;_xlfn.XMATCH("LC",Liste_rouge!A:A,2,1),"LC")</f>
        <v>LC</v>
      </c>
      <c r="Q23429" s="7" t="str">
        <f>HYPERLINK("#Liste_rouge!A"&amp;_xlfn.XMATCH("NA",Liste_rouge!A:A,2,1),"NA")</f>
        <v>NA</v>
      </c>
      <c r="T23429" s="7" t="str">
        <f>HYPERLINK("#Liste_rouge!A"&amp;_xlfn.XMATCH("NA",Liste_rouge!A:A,2,1),"NA")</f>
        <v>NA</v>
      </c>
      <c r="AH23429" s="4" t="str">
        <f>HYPERLINK("#Statut_biogéographique!A"&amp;_xlfn.XMATCH("J",Statut_biogéographique!A:A,2,1),"J")</f>
        <v>J</v>
      </c>
      <c r="AM23429" s="4" t="s">
        <v>375</v>
      </c>
      <c r="AN23429" s="4" t="s">
        <v>375</v>
      </c>
      <c r="AO23429" s="4" t="s">
        <v>375</v>
      </c>
      <c r="AP23429" s="4" t="s">
        <v>376</v>
      </c>
      <c r="AR23429" s="4" t="s">
        <v>377</v>
      </c>
    </row>
    <row r="23430" spans="1:44" ht="30">
      <c r="A23430" s="4" t="s">
        <v>24364</v>
      </c>
      <c r="B23430" s="4">
        <v>79770</v>
      </c>
      <c r="D23430" s="5" t="s">
        <v>30305</v>
      </c>
      <c r="E23430" s="6" t="str">
        <f>HYPERLINK("https://inpn.mnhn.fr/espece/cd_nom/79770","Acer opalus Mill., 1768")</f>
        <v>Acer opalus Mill., 1768</v>
      </c>
      <c r="F23430" s="5" t="s">
        <v>28260</v>
      </c>
      <c r="O23430" s="7" t="str">
        <f>HYPERLINK("#Liste_rouge!A"&amp;_xlfn.XMATCH("LC",Liste_rouge!A:A,2,1),"LC")</f>
        <v>LC</v>
      </c>
      <c r="P23430" s="7" t="str">
        <f>HYPERLINK("#Liste_rouge!A"&amp;_xlfn.XMATCH("LC",Liste_rouge!A:A,2,1),"LC")</f>
        <v>LC</v>
      </c>
      <c r="Q23430" s="7" t="str">
        <f>HYPERLINK("#Liste_rouge!A"&amp;_xlfn.XMATCH("LC",Liste_rouge!A:A,2,1),"LC")</f>
        <v>LC</v>
      </c>
      <c r="T23430" s="7" t="str">
        <f>HYPERLINK("#Liste_rouge!A"&amp;_xlfn.XMATCH("LC",Liste_rouge!A:A,2,1),"LC")</f>
        <v>LC</v>
      </c>
      <c r="V23430" s="7" t="str">
        <f>HYPERLINK("#Liste_rouge!A"&amp;_xlfn.XMATCH("LC",Liste_rouge!A:A,2,1),"LC")</f>
        <v>LC</v>
      </c>
      <c r="AB23430" s="4" t="s">
        <v>24410</v>
      </c>
      <c r="AH23430" s="4" t="str">
        <f>HYPERLINK("#Statut_biogéographique!A"&amp;_xlfn.XMATCH("P",Statut_biogéographique!A:A,2,1),"P")</f>
        <v>P</v>
      </c>
      <c r="AM23430" s="4" t="s">
        <v>375</v>
      </c>
      <c r="AN23430" s="4" t="s">
        <v>375</v>
      </c>
      <c r="AO23430" s="4" t="s">
        <v>375</v>
      </c>
      <c r="AP23430" s="4" t="s">
        <v>376</v>
      </c>
      <c r="AR23430" s="4" t="s">
        <v>377</v>
      </c>
    </row>
    <row r="23431" spans="1:44" ht="30">
      <c r="A23431" s="4" t="s">
        <v>24364</v>
      </c>
      <c r="B23431" s="4">
        <v>79779</v>
      </c>
      <c r="D23431" s="5" t="s">
        <v>30306</v>
      </c>
      <c r="E23431" s="6" t="str">
        <f>HYPERLINK("https://inpn.mnhn.fr/espece/cd_nom/79779","Acer platanoides L., 1753")</f>
        <v>Acer platanoides L., 1753</v>
      </c>
      <c r="F23431" s="5" t="s">
        <v>30307</v>
      </c>
      <c r="O23431" s="7" t="str">
        <f>HYPERLINK("#Liste_rouge!A"&amp;_xlfn.XMATCH("LC",Liste_rouge!A:A,2,1),"LC")</f>
        <v>LC</v>
      </c>
      <c r="P23431" s="7" t="str">
        <f>HYPERLINK("#Liste_rouge!A"&amp;_xlfn.XMATCH("LC",Liste_rouge!A:A,2,1),"LC")</f>
        <v>LC</v>
      </c>
      <c r="Q23431" s="7" t="str">
        <f>HYPERLINK("#Liste_rouge!A"&amp;_xlfn.XMATCH("LC",Liste_rouge!A:A,2,1),"LC")</f>
        <v>LC</v>
      </c>
      <c r="T23431" s="7" t="str">
        <f>HYPERLINK("#Liste_rouge!A"&amp;_xlfn.XMATCH("LC",Liste_rouge!A:A,2,1),"LC (cd_nom 79779) - NE (cd_nom 130717)")</f>
        <v>LC (cd_nom 79779) - NE (cd_nom 130717)</v>
      </c>
      <c r="V23431" s="7" t="str">
        <f>HYPERLINK("#Liste_rouge!A"&amp;_xlfn.XMATCH("LC",Liste_rouge!A:A,2,1),"LC")</f>
        <v>LC</v>
      </c>
      <c r="AH23431" s="4" t="str">
        <f>HYPERLINK("#Statut_biogéographique!A"&amp;_xlfn.XMATCH("P",Statut_biogéographique!A:A,2,1),"P")</f>
        <v>P</v>
      </c>
      <c r="AM23431" s="4" t="s">
        <v>375</v>
      </c>
      <c r="AN23431" s="4" t="s">
        <v>375</v>
      </c>
      <c r="AO23431" s="4" t="s">
        <v>375</v>
      </c>
      <c r="AP23431" s="4" t="s">
        <v>376</v>
      </c>
      <c r="AR23431" s="4" t="s">
        <v>377</v>
      </c>
    </row>
    <row r="23432" spans="1:44" ht="45">
      <c r="A23432" s="4" t="s">
        <v>24364</v>
      </c>
      <c r="B23432" s="4">
        <v>79783</v>
      </c>
      <c r="D23432" s="5" t="s">
        <v>30308</v>
      </c>
      <c r="E23432" s="6" t="str">
        <f>HYPERLINK("https://inpn.mnhn.fr/espece/cd_nom/79783","Acer pseudoplatanus L., 1753")</f>
        <v>Acer pseudoplatanus L., 1753</v>
      </c>
      <c r="F23432" s="5" t="s">
        <v>30309</v>
      </c>
      <c r="O23432" s="7" t="str">
        <f>HYPERLINK("#Liste_rouge!A"&amp;_xlfn.XMATCH("LC",Liste_rouge!A:A,2,1),"LC")</f>
        <v>LC</v>
      </c>
      <c r="P23432" s="7" t="str">
        <f>HYPERLINK("#Liste_rouge!A"&amp;_xlfn.XMATCH("LC",Liste_rouge!A:A,2,1),"LC")</f>
        <v>LC</v>
      </c>
      <c r="Q23432" s="7" t="str">
        <f>HYPERLINK("#Liste_rouge!A"&amp;_xlfn.XMATCH("LC",Liste_rouge!A:A,2,1),"LC")</f>
        <v>LC</v>
      </c>
      <c r="T23432" s="7" t="str">
        <f>HYPERLINK("#Liste_rouge!A"&amp;_xlfn.XMATCH("LC",Liste_rouge!A:A,2,1),"LC")</f>
        <v>LC</v>
      </c>
      <c r="V23432" s="7" t="str">
        <f>HYPERLINK("#Liste_rouge!A"&amp;_xlfn.XMATCH("LC",Liste_rouge!A:A,2,1),"LC")</f>
        <v>LC</v>
      </c>
      <c r="AH23432" s="4" t="str">
        <f>HYPERLINK("#Statut_biogéographique!A"&amp;_xlfn.XMATCH("P",Statut_biogéographique!A:A,2,1),"P")</f>
        <v>P</v>
      </c>
      <c r="AM23432" s="4" t="s">
        <v>375</v>
      </c>
      <c r="AN23432" s="4" t="s">
        <v>375</v>
      </c>
      <c r="AO23432" s="4" t="s">
        <v>375</v>
      </c>
      <c r="AP23432" s="4" t="s">
        <v>376</v>
      </c>
      <c r="AR23432" s="4" t="s">
        <v>377</v>
      </c>
    </row>
    <row r="23433" spans="1:44" ht="30">
      <c r="A23433" s="4" t="s">
        <v>24364</v>
      </c>
      <c r="B23433" s="4">
        <v>79788</v>
      </c>
      <c r="D23433" s="5" t="s">
        <v>30310</v>
      </c>
      <c r="E23433" s="6" t="str">
        <f>HYPERLINK("https://inpn.mnhn.fr/espece/cd_nom/79788","Acer saccharinum L., 1753")</f>
        <v>Acer saccharinum L., 1753</v>
      </c>
      <c r="F23433" s="5" t="s">
        <v>30311</v>
      </c>
      <c r="O23433" s="7" t="str">
        <f>HYPERLINK("#Liste_rouge!A"&amp;_xlfn.XMATCH("LC",Liste_rouge!A:A,2,1),"LC")</f>
        <v>LC</v>
      </c>
      <c r="Q23433" s="7" t="str">
        <f>HYPERLINK("#Liste_rouge!A"&amp;_xlfn.XMATCH("NA",Liste_rouge!A:A,2,1),"NA")</f>
        <v>NA</v>
      </c>
      <c r="T23433" s="7" t="str">
        <f>HYPERLINK("#Liste_rouge!A"&amp;_xlfn.XMATCH("NA",Liste_rouge!A:A,2,1),"NA")</f>
        <v>NA</v>
      </c>
      <c r="AH23433" s="4" t="str">
        <f>HYPERLINK("#Statut_biogéographique!A"&amp;_xlfn.XMATCH("I",Statut_biogéographique!A:A,2,1),"I")</f>
        <v>I</v>
      </c>
      <c r="AM23433" s="4" t="s">
        <v>375</v>
      </c>
      <c r="AN23433" s="4" t="s">
        <v>375</v>
      </c>
      <c r="AO23433" s="4" t="s">
        <v>375</v>
      </c>
      <c r="AP23433" s="4" t="s">
        <v>376</v>
      </c>
      <c r="AR23433" s="4" t="s">
        <v>377</v>
      </c>
    </row>
    <row r="23434" spans="1:44">
      <c r="A23434" s="4" t="s">
        <v>24364</v>
      </c>
      <c r="B23434" s="4">
        <v>79803</v>
      </c>
      <c r="D23434" s="5" t="s">
        <v>30312</v>
      </c>
      <c r="E23434" s="6" t="str">
        <f>HYPERLINK("https://inpn.mnhn.fr/espece/cd_nom/79803","Acer x bornmuelleri Borbás, 1891")</f>
        <v>Acer x bornmuelleri Borbás, 1891</v>
      </c>
      <c r="F23434" s="5" t="s">
        <v>30313</v>
      </c>
      <c r="T23434" s="7" t="str">
        <f>HYPERLINK("#Liste_rouge!A"&amp;_xlfn.XMATCH("DD",Liste_rouge!A:A,2,1),"DD")</f>
        <v>DD</v>
      </c>
      <c r="AH23434" s="4" t="str">
        <f>HYPERLINK("#Statut_biogéographique!A"&amp;_xlfn.XMATCH("P",Statut_biogéographique!A:A,2,1),"P")</f>
        <v>P</v>
      </c>
      <c r="AP23434" s="4" t="s">
        <v>376</v>
      </c>
      <c r="AR23434" s="4" t="s">
        <v>377</v>
      </c>
    </row>
    <row r="23435" spans="1:44">
      <c r="A23435" s="4" t="s">
        <v>24364</v>
      </c>
      <c r="B23435" s="4">
        <v>79804</v>
      </c>
      <c r="D23435" s="5" t="s">
        <v>30314</v>
      </c>
      <c r="E23435" s="6" t="str">
        <f>HYPERLINK("https://inpn.mnhn.fr/espece/cd_nom/79804","Acer x coriaceum Bosc ex Tausch, 1829")</f>
        <v>Acer x coriaceum Bosc ex Tausch, 1829</v>
      </c>
      <c r="F23435" s="5" t="s">
        <v>30315</v>
      </c>
      <c r="T23435" s="7" t="str">
        <f>HYPERLINK("#Liste_rouge!A"&amp;_xlfn.XMATCH("NE",Liste_rouge!A:A,2,1),"NE")</f>
        <v>NE</v>
      </c>
      <c r="AH23435" s="4" t="str">
        <f>HYPERLINK("#Statut_biogéographique!A"&amp;_xlfn.XMATCH("P",Statut_biogéographique!A:A,2,1),"P")</f>
        <v>P</v>
      </c>
      <c r="AP23435" s="4" t="s">
        <v>376</v>
      </c>
      <c r="AR23435" s="4" t="s">
        <v>377</v>
      </c>
    </row>
    <row r="23436" spans="1:44" ht="30">
      <c r="A23436" s="4" t="s">
        <v>24364</v>
      </c>
      <c r="B23436" s="4">
        <v>79865</v>
      </c>
      <c r="D23436" s="5" t="s">
        <v>30316</v>
      </c>
      <c r="E23436" s="6" t="str">
        <f>HYPERLINK("https://inpn.mnhn.fr/espece/cd_nom/79865","Achillea ageratum L., 1753")</f>
        <v>Achillea ageratum L., 1753</v>
      </c>
      <c r="F23436" s="5" t="s">
        <v>30317</v>
      </c>
      <c r="Q23436" s="7" t="str">
        <f>HYPERLINK("#Liste_rouge!A"&amp;_xlfn.XMATCH("NT",Liste_rouge!A:A,2,1),"NT")</f>
        <v>NT</v>
      </c>
      <c r="AH23436" s="4" t="str">
        <f>HYPERLINK("#Statut_biogéographique!A"&amp;_xlfn.XMATCH("P",Statut_biogéographique!A:A,2,1),"P")</f>
        <v>P</v>
      </c>
      <c r="AP23436" s="4" t="s">
        <v>376</v>
      </c>
      <c r="AR23436" s="4" t="s">
        <v>377</v>
      </c>
    </row>
    <row r="23437" spans="1:44" ht="30">
      <c r="A23437" s="4" t="s">
        <v>24364</v>
      </c>
      <c r="B23437" s="4">
        <v>7990</v>
      </c>
      <c r="D23437" s="5" t="s">
        <v>30318</v>
      </c>
      <c r="E23437" s="6" t="str">
        <f>HYPERLINK("https://inpn.mnhn.fr/espece/cd_nom/7990","Anthoceros punctatus L., 1753")</f>
        <v>Anthoceros punctatus L., 1753</v>
      </c>
      <c r="P23437" s="7" t="str">
        <f>HYPERLINK("#Liste_rouge!A"&amp;_xlfn.XMATCH("LC",Liste_rouge!A:A,2,1),"LC")</f>
        <v>LC</v>
      </c>
      <c r="T23437" s="7" t="str">
        <f>HYPERLINK("#Liste_rouge!A"&amp;_xlfn.XMATCH("DD",Liste_rouge!A:A,2,1),"DD")</f>
        <v>DD</v>
      </c>
      <c r="V23437" s="7" t="str">
        <f>HYPERLINK("#Liste_rouge!A"&amp;_xlfn.XMATCH("NT",Liste_rouge!A:A,2,1),"NT")</f>
        <v>NT</v>
      </c>
      <c r="AH23437" s="4" t="str">
        <f>HYPERLINK("#Statut_biogéographique!A"&amp;_xlfn.XMATCH("P",Statut_biogéographique!A:A,2,1),"P")</f>
        <v>P</v>
      </c>
      <c r="AP23437" s="4" t="s">
        <v>376</v>
      </c>
      <c r="AR23437" s="4" t="s">
        <v>377</v>
      </c>
    </row>
    <row r="23438" spans="1:44" ht="225">
      <c r="A23438" s="4" t="s">
        <v>24364</v>
      </c>
      <c r="B23438" s="4">
        <v>79908</v>
      </c>
      <c r="D23438" s="5" t="s">
        <v>30319</v>
      </c>
      <c r="E23438" s="6" t="str">
        <f>HYPERLINK("https://inpn.mnhn.fr/espece/cd_nom/79908","Achillea millefolium L., 1753")</f>
        <v>Achillea millefolium L., 1753</v>
      </c>
      <c r="F23438" s="5" t="s">
        <v>30320</v>
      </c>
      <c r="O23438" s="7" t="str">
        <f>HYPERLINK("#Liste_rouge!A"&amp;_xlfn.XMATCH("LC",Liste_rouge!A:A,2,1),"LC")</f>
        <v>LC</v>
      </c>
      <c r="P23438" s="7" t="str">
        <f>HYPERLINK("#Liste_rouge!A"&amp;_xlfn.XMATCH("LC",Liste_rouge!A:A,2,1),"LC")</f>
        <v>LC</v>
      </c>
      <c r="Q23438" s="7" t="str">
        <f>HYPERLINK("#Liste_rouge!A"&amp;_xlfn.XMATCH("LC",Liste_rouge!A:A,2,1),"LC")</f>
        <v>LC</v>
      </c>
      <c r="T23438" s="7" t="str">
        <f>HYPERLINK("#Liste_rouge!A"&amp;_xlfn.XMATCH("NE",Liste_rouge!A:A,2,1),"NE (cd_nom 142535) - LC (cd_nom 79908)")</f>
        <v>NE (cd_nom 142535) - LC (cd_nom 79908)</v>
      </c>
      <c r="V23438" s="7" t="str">
        <f>HYPERLINK("#Liste_rouge!A"&amp;_xlfn.XMATCH("LC",Liste_rouge!A:A,2,1),"LC")</f>
        <v>LC</v>
      </c>
      <c r="AH23438" s="4" t="str">
        <f>HYPERLINK("#Statut_biogéographique!A"&amp;_xlfn.XMATCH("P",Statut_biogéographique!A:A,2,1),"P")</f>
        <v>P</v>
      </c>
      <c r="AM23438" s="4" t="s">
        <v>375</v>
      </c>
      <c r="AN23438" s="4" t="s">
        <v>375</v>
      </c>
      <c r="AO23438" s="4" t="s">
        <v>375</v>
      </c>
      <c r="AP23438" s="4" t="s">
        <v>376</v>
      </c>
      <c r="AR23438" s="4" t="s">
        <v>377</v>
      </c>
    </row>
    <row r="23439" spans="1:44">
      <c r="A23439" s="4" t="s">
        <v>24364</v>
      </c>
      <c r="B23439" s="4">
        <v>79913</v>
      </c>
      <c r="D23439" s="5" t="s">
        <v>30321</v>
      </c>
      <c r="E23439" s="6" t="str">
        <f>HYPERLINK("https://inpn.mnhn.fr/espece/cd_nom/79913","Achillea nana L., 1753")</f>
        <v>Achillea nana L., 1753</v>
      </c>
      <c r="F23439" s="5" t="s">
        <v>30322</v>
      </c>
      <c r="Q23439" s="7" t="str">
        <f>HYPERLINK("#Liste_rouge!A"&amp;_xlfn.XMATCH("LC",Liste_rouge!A:A,2,1),"LC")</f>
        <v>LC</v>
      </c>
      <c r="T23439" s="7" t="str">
        <f>HYPERLINK("#Liste_rouge!A"&amp;_xlfn.XMATCH("NA",Liste_rouge!A:A,2,1),"NA")</f>
        <v>NA</v>
      </c>
      <c r="AH23439" s="4" t="str">
        <f>HYPERLINK("#Statut_biogéographique!A"&amp;_xlfn.XMATCH("P",Statut_biogéographique!A:A,2,1),"P")</f>
        <v>P</v>
      </c>
      <c r="AP23439" s="4" t="s">
        <v>376</v>
      </c>
      <c r="AR23439" s="4" t="s">
        <v>377</v>
      </c>
    </row>
    <row r="23440" spans="1:44" ht="30">
      <c r="A23440" s="4" t="s">
        <v>24364</v>
      </c>
      <c r="B23440" s="4">
        <v>79914</v>
      </c>
      <c r="D23440" s="5" t="s">
        <v>30323</v>
      </c>
      <c r="E23440" s="6" t="str">
        <f>HYPERLINK("https://inpn.mnhn.fr/espece/cd_nom/79914","Achillea nobilis L., 1753")</f>
        <v>Achillea nobilis L., 1753</v>
      </c>
      <c r="F23440" s="5" t="s">
        <v>28261</v>
      </c>
      <c r="Q23440" s="7" t="str">
        <f>HYPERLINK("#Liste_rouge!A"&amp;_xlfn.XMATCH("LC",Liste_rouge!A:A,2,1),"LC")</f>
        <v>LC</v>
      </c>
      <c r="T23440" s="7" t="str">
        <f>HYPERLINK("#Liste_rouge!A"&amp;_xlfn.XMATCH("NA",Liste_rouge!A:A,2,1),"NA")</f>
        <v>NA</v>
      </c>
      <c r="AH23440" s="4" t="str">
        <f>HYPERLINK("#Statut_biogéographique!A"&amp;_xlfn.XMATCH("P",Statut_biogéographique!A:A,2,1),"P")</f>
        <v>P</v>
      </c>
      <c r="AM23440" s="4" t="s">
        <v>375</v>
      </c>
      <c r="AN23440" s="4" t="s">
        <v>375</v>
      </c>
      <c r="AO23440" s="4" t="s">
        <v>375</v>
      </c>
      <c r="AP23440" s="4" t="s">
        <v>376</v>
      </c>
      <c r="AR23440" s="4" t="s">
        <v>377</v>
      </c>
    </row>
    <row r="23441" spans="1:44" ht="30">
      <c r="A23441" s="4" t="s">
        <v>24364</v>
      </c>
      <c r="B23441" s="4">
        <v>79921</v>
      </c>
      <c r="D23441" s="5" t="s">
        <v>30324</v>
      </c>
      <c r="E23441" s="6" t="str">
        <f>HYPERLINK("https://inpn.mnhn.fr/espece/cd_nom/79921","Achillea ptarmica L., 1753")</f>
        <v>Achillea ptarmica L., 1753</v>
      </c>
      <c r="F23441" s="5" t="s">
        <v>28263</v>
      </c>
      <c r="O23441" s="7" t="str">
        <f>HYPERLINK("#Liste_rouge!A"&amp;_xlfn.XMATCH("LC",Liste_rouge!A:A,2,1),"LC")</f>
        <v>LC</v>
      </c>
      <c r="P23441" s="7" t="str">
        <f>HYPERLINK("#Liste_rouge!A"&amp;_xlfn.XMATCH("LC",Liste_rouge!A:A,2,1),"LC")</f>
        <v>LC</v>
      </c>
      <c r="Q23441" s="7" t="str">
        <f>HYPERLINK("#Liste_rouge!A"&amp;_xlfn.XMATCH("LC",Liste_rouge!A:A,2,1),"LC")</f>
        <v>LC</v>
      </c>
      <c r="T23441" s="7" t="str">
        <f>HYPERLINK("#Liste_rouge!A"&amp;_xlfn.XMATCH("LC",Liste_rouge!A:A,2,1),"LC")</f>
        <v>LC</v>
      </c>
      <c r="V23441" s="7" t="str">
        <f>HYPERLINK("#Liste_rouge!A"&amp;_xlfn.XMATCH("LC",Liste_rouge!A:A,2,1),"LC")</f>
        <v>LC</v>
      </c>
      <c r="AH23441" s="4" t="str">
        <f>HYPERLINK("#Statut_biogéographique!A"&amp;_xlfn.XMATCH("P",Statut_biogéographique!A:A,2,1),"P")</f>
        <v>P</v>
      </c>
      <c r="AM23441" s="4" t="s">
        <v>375</v>
      </c>
      <c r="AN23441" s="4" t="s">
        <v>375</v>
      </c>
      <c r="AO23441" s="4" t="s">
        <v>375</v>
      </c>
      <c r="AP23441" s="4" t="s">
        <v>376</v>
      </c>
      <c r="AR23441" s="4" t="s">
        <v>377</v>
      </c>
    </row>
    <row r="23442" spans="1:44" ht="60">
      <c r="A23442" s="4" t="s">
        <v>24364</v>
      </c>
      <c r="B23442" s="4">
        <v>79970</v>
      </c>
      <c r="D23442" s="5" t="s">
        <v>30325</v>
      </c>
      <c r="E23442" s="6" t="str">
        <f>HYPERLINK("https://inpn.mnhn.fr/espece/cd_nom/79970","Achnatherum calamagrostis (L.) P.Beauv., 1812")</f>
        <v>Achnatherum calamagrostis (L.) P.Beauv., 1812</v>
      </c>
      <c r="F23442" s="5" t="s">
        <v>30326</v>
      </c>
      <c r="Q23442" s="7" t="str">
        <f>HYPERLINK("#Liste_rouge!A"&amp;_xlfn.XMATCH("LC",Liste_rouge!A:A,2,1),"LC")</f>
        <v>LC</v>
      </c>
      <c r="T23442" s="7" t="str">
        <f>HYPERLINK("#Liste_rouge!A"&amp;_xlfn.XMATCH("NA",Liste_rouge!A:A,2,1),"NA")</f>
        <v>NA</v>
      </c>
      <c r="V23442" s="7" t="str">
        <f>HYPERLINK("#Liste_rouge!A"&amp;_xlfn.XMATCH("LC",Liste_rouge!A:A,2,1),"LC")</f>
        <v>LC</v>
      </c>
      <c r="AH23442" s="4" t="str">
        <f>HYPERLINK("#Statut_biogéographique!A"&amp;_xlfn.XMATCH("P",Statut_biogéographique!A:A,2,1),"P")</f>
        <v>P</v>
      </c>
      <c r="AM23442" s="4" t="s">
        <v>375</v>
      </c>
      <c r="AN23442" s="4" t="s">
        <v>375</v>
      </c>
      <c r="AO23442" s="4" t="s">
        <v>375</v>
      </c>
      <c r="AP23442" s="4" t="s">
        <v>376</v>
      </c>
      <c r="AR23442" s="4" t="s">
        <v>377</v>
      </c>
    </row>
    <row r="23443" spans="1:44" ht="45">
      <c r="A23443" s="4" t="s">
        <v>24364</v>
      </c>
      <c r="B23443" s="4">
        <v>80007</v>
      </c>
      <c r="D23443" s="5" t="s">
        <v>30327</v>
      </c>
      <c r="E23443" s="6" t="str">
        <f>HYPERLINK("https://inpn.mnhn.fr/espece/cd_nom/80007","Aconitum anthora L., 1753")</f>
        <v>Aconitum anthora L., 1753</v>
      </c>
      <c r="F23443" s="5" t="s">
        <v>30328</v>
      </c>
      <c r="M23443" s="4" t="str">
        <f>HYPERLINK("#Réglementation!A"&amp;_xlfn.XMATCH("RV43",Réglementation!A:A,2,1),"RV43")</f>
        <v>RV43</v>
      </c>
      <c r="N23443" s="4" t="str">
        <f>HYPERLINK("#Réglementation!A"&amp;_xlfn.XMATCH("V39P1",Réglementation!A:A,2,1),"V39P1")</f>
        <v>V39P1</v>
      </c>
      <c r="Q23443" s="7" t="str">
        <f>HYPERLINK("#Liste_rouge!A"&amp;_xlfn.XMATCH("LC",Liste_rouge!A:A,2,1),"LC")</f>
        <v>LC</v>
      </c>
      <c r="V23443" s="7" t="str">
        <f>HYPERLINK("#Liste_rouge!A"&amp;_xlfn.XMATCH("LC",Liste_rouge!A:A,2,1),"LC")</f>
        <v>LC</v>
      </c>
      <c r="X23443" s="5" t="s">
        <v>374</v>
      </c>
      <c r="AB23443" s="4" t="s">
        <v>93</v>
      </c>
      <c r="AH23443" s="4" t="str">
        <f>HYPERLINK("#Statut_biogéographique!A"&amp;_xlfn.XMATCH("P",Statut_biogéographique!A:A,2,1),"P")</f>
        <v>P</v>
      </c>
      <c r="AK23443" s="4" t="str">
        <f>HYPERLINK("#Réglementation!A"&amp;_xlfn.XMATCH("V39P6",Réglementation!A:A,2,1),"V39P6")</f>
        <v>V39P6</v>
      </c>
      <c r="AM23443" s="4" t="s">
        <v>375</v>
      </c>
      <c r="AN23443" s="4" t="s">
        <v>375</v>
      </c>
      <c r="AO23443" s="4" t="s">
        <v>375</v>
      </c>
      <c r="AP23443" s="4" t="s">
        <v>376</v>
      </c>
      <c r="AR23443" s="4" t="s">
        <v>377</v>
      </c>
    </row>
    <row r="23444" spans="1:44">
      <c r="A23444" s="4" t="s">
        <v>24364</v>
      </c>
      <c r="B23444" s="4">
        <v>80034</v>
      </c>
      <c r="D23444" s="5" t="s">
        <v>30329</v>
      </c>
      <c r="E23444" s="6" t="str">
        <f>HYPERLINK("https://inpn.mnhn.fr/espece/cd_nom/80034","Aconitum lycoctonum L., 1753")</f>
        <v>Aconitum lycoctonum L., 1753</v>
      </c>
      <c r="F23444" s="5" t="s">
        <v>30330</v>
      </c>
      <c r="N23444" s="4" t="str">
        <f>HYPERLINK("#Réglementation!A"&amp;_xlfn.XMATCH("V39P1",Réglementation!A:A,2,1),"V39P1")</f>
        <v>V39P1</v>
      </c>
      <c r="P23444" s="7" t="str">
        <f>HYPERLINK("#Liste_rouge!A"&amp;_xlfn.XMATCH("LC",Liste_rouge!A:A,2,1),"LC")</f>
        <v>LC</v>
      </c>
      <c r="Q23444" s="7" t="str">
        <f>HYPERLINK("#Liste_rouge!A"&amp;_xlfn.XMATCH("LC",Liste_rouge!A:A,2,1),"LC")</f>
        <v>LC</v>
      </c>
      <c r="T23444" s="7" t="str">
        <f>HYPERLINK("#Liste_rouge!A"&amp;_xlfn.XMATCH("VU",Liste_rouge!A:A,2,1),"VU")</f>
        <v>VU</v>
      </c>
      <c r="U23444" s="4" t="str">
        <f>HYPERLINK("#Critères_liste_rouge!A$1","D2")</f>
        <v>D2</v>
      </c>
      <c r="V23444" s="7" t="str">
        <f>HYPERLINK("#Liste_rouge!A"&amp;_xlfn.XMATCH("LC",Liste_rouge!A:A,2,1),"LC")</f>
        <v>LC</v>
      </c>
      <c r="AB23444" s="4" t="s">
        <v>25177</v>
      </c>
      <c r="AH23444" s="4" t="str">
        <f>HYPERLINK("#Statut_biogéographique!A"&amp;_xlfn.XMATCH("P",Statut_biogéographique!A:A,2,1),"P")</f>
        <v>P</v>
      </c>
      <c r="AK23444" s="4" t="str">
        <f>HYPERLINK("#Réglementation!A"&amp;_xlfn.XMATCH("V39P6",Réglementation!A:A,2,1),"V39P6")</f>
        <v>V39P6</v>
      </c>
      <c r="AM23444" s="4" t="s">
        <v>375</v>
      </c>
      <c r="AN23444" s="4" t="s">
        <v>375</v>
      </c>
      <c r="AO23444" s="4" t="s">
        <v>375</v>
      </c>
      <c r="AP23444" s="4" t="s">
        <v>376</v>
      </c>
      <c r="AR23444" s="4" t="s">
        <v>377</v>
      </c>
    </row>
    <row r="23445" spans="1:44">
      <c r="A23445" s="4" t="s">
        <v>24364</v>
      </c>
      <c r="B23445" s="4">
        <v>80037</v>
      </c>
      <c r="D23445" s="5" t="s">
        <v>30331</v>
      </c>
      <c r="E23445" s="6" t="str">
        <f>HYPERLINK("https://inpn.mnhn.fr/espece/cd_nom/80037","Aconitum napellus L., 1753")</f>
        <v>Aconitum napellus L., 1753</v>
      </c>
      <c r="F23445" s="5" t="s">
        <v>30332</v>
      </c>
      <c r="N23445" s="4" t="str">
        <f>HYPERLINK("#Réglementation!A"&amp;_xlfn.XMATCH("V39P1",Réglementation!A:A,2,1),"V39P1")</f>
        <v>V39P1</v>
      </c>
      <c r="O23445" s="7" t="str">
        <f>HYPERLINK("#Liste_rouge!A"&amp;_xlfn.XMATCH("LC",Liste_rouge!A:A,2,1),"LC")</f>
        <v>LC</v>
      </c>
      <c r="Q23445" s="7" t="str">
        <f>HYPERLINK("#Liste_rouge!A"&amp;_xlfn.XMATCH("LC",Liste_rouge!A:A,2,1),"LC")</f>
        <v>LC</v>
      </c>
      <c r="T23445" s="7" t="str">
        <f>HYPERLINK("#Liste_rouge!A"&amp;_xlfn.XMATCH("VU",Liste_rouge!A:A,2,1),"VU")</f>
        <v>VU</v>
      </c>
      <c r="U23445" s="4" t="str">
        <f>HYPERLINK("#Critères_liste_rouge!A$1","B2ab(iii,iv) C2a(i)")</f>
        <v>B2ab(iii,iv) C2a(i)</v>
      </c>
      <c r="V23445" s="7" t="str">
        <f>HYPERLINK("#Liste_rouge!A"&amp;_xlfn.XMATCH("LC",Liste_rouge!A:A,2,1),"LC")</f>
        <v>LC</v>
      </c>
      <c r="AB23445" s="4" t="s">
        <v>30333</v>
      </c>
      <c r="AH23445" s="4" t="str">
        <f>HYPERLINK("#Statut_biogéographique!A"&amp;_xlfn.XMATCH("P",Statut_biogéographique!A:A,2,1),"P")</f>
        <v>P</v>
      </c>
      <c r="AK23445" s="4" t="str">
        <f>HYPERLINK("#Réglementation!A"&amp;_xlfn.XMATCH("V39P6",Réglementation!A:A,2,1),"V39P6")</f>
        <v>V39P6</v>
      </c>
      <c r="AM23445" s="4" t="s">
        <v>375</v>
      </c>
      <c r="AN23445" s="4" t="s">
        <v>375</v>
      </c>
      <c r="AO23445" s="4" t="s">
        <v>375</v>
      </c>
      <c r="AP23445" s="4" t="s">
        <v>376</v>
      </c>
      <c r="AR23445" s="4" t="s">
        <v>377</v>
      </c>
    </row>
    <row r="23446" spans="1:44" ht="30">
      <c r="A23446" s="4" t="s">
        <v>24364</v>
      </c>
      <c r="B23446" s="4">
        <v>80086</v>
      </c>
      <c r="D23446" s="5" t="s">
        <v>30334</v>
      </c>
      <c r="E23446" s="6" t="str">
        <f>HYPERLINK("https://inpn.mnhn.fr/espece/cd_nom/80086","Acorus calamus L., 1753")</f>
        <v>Acorus calamus L., 1753</v>
      </c>
      <c r="F23446" s="5" t="s">
        <v>30335</v>
      </c>
      <c r="O23446" s="7" t="str">
        <f>HYPERLINK("#Liste_rouge!A"&amp;_xlfn.XMATCH("LC",Liste_rouge!A:A,2,1),"LC")</f>
        <v>LC</v>
      </c>
      <c r="Q23446" s="7" t="str">
        <f>HYPERLINK("#Liste_rouge!A"&amp;_xlfn.XMATCH("NA",Liste_rouge!A:A,2,1),"NA")</f>
        <v>NA</v>
      </c>
      <c r="T23446" s="7" t="str">
        <f>HYPERLINK("#Liste_rouge!A"&amp;_xlfn.XMATCH("NA",Liste_rouge!A:A,2,1),"NA")</f>
        <v>NA</v>
      </c>
      <c r="AH23446" s="4" t="str">
        <f>HYPERLINK("#Statut_biogéographique!A"&amp;_xlfn.XMATCH("I",Statut_biogéographique!A:A,2,1),"I")</f>
        <v>I</v>
      </c>
      <c r="AM23446" s="4" t="s">
        <v>375</v>
      </c>
      <c r="AN23446" s="4" t="s">
        <v>375</v>
      </c>
      <c r="AO23446" s="4" t="s">
        <v>375</v>
      </c>
      <c r="AP23446" s="4" t="s">
        <v>376</v>
      </c>
      <c r="AR23446" s="4" t="s">
        <v>377</v>
      </c>
    </row>
    <row r="23447" spans="1:44">
      <c r="A23447" s="4" t="s">
        <v>24364</v>
      </c>
      <c r="B23447" s="4">
        <v>80137</v>
      </c>
      <c r="D23447" s="5" t="s">
        <v>30336</v>
      </c>
      <c r="E23447" s="6" t="str">
        <f>HYPERLINK("https://inpn.mnhn.fr/espece/cd_nom/80137","Actaea spicata L., 1753")</f>
        <v>Actaea spicata L., 1753</v>
      </c>
      <c r="F23447" s="5" t="s">
        <v>30337</v>
      </c>
      <c r="P23447" s="7" t="str">
        <f>HYPERLINK("#Liste_rouge!A"&amp;_xlfn.XMATCH("LC",Liste_rouge!A:A,2,1),"LC")</f>
        <v>LC</v>
      </c>
      <c r="Q23447" s="7" t="str">
        <f>HYPERLINK("#Liste_rouge!A"&amp;_xlfn.XMATCH("LC",Liste_rouge!A:A,2,1),"LC")</f>
        <v>LC</v>
      </c>
      <c r="T23447" s="7" t="str">
        <f>HYPERLINK("#Liste_rouge!A"&amp;_xlfn.XMATCH("NT",Liste_rouge!A:A,2,1),"NT")</f>
        <v>NT</v>
      </c>
      <c r="U23447" s="4" t="str">
        <f>HYPERLINK("#Critères_liste_rouge!A$1","pr. D2")</f>
        <v>pr. D2</v>
      </c>
      <c r="V23447" s="7" t="str">
        <f>HYPERLINK("#Liste_rouge!A"&amp;_xlfn.XMATCH("LC",Liste_rouge!A:A,2,1),"LC")</f>
        <v>LC</v>
      </c>
      <c r="AB23447" s="4" t="s">
        <v>30338</v>
      </c>
      <c r="AH23447" s="4" t="str">
        <f>HYPERLINK("#Statut_biogéographique!A"&amp;_xlfn.XMATCH("P",Statut_biogéographique!A:A,2,1),"P")</f>
        <v>P</v>
      </c>
      <c r="AM23447" s="4" t="s">
        <v>375</v>
      </c>
      <c r="AN23447" s="4" t="s">
        <v>375</v>
      </c>
      <c r="AO23447" s="4" t="s">
        <v>375</v>
      </c>
      <c r="AP23447" s="4" t="s">
        <v>376</v>
      </c>
      <c r="AR23447" s="4" t="s">
        <v>377</v>
      </c>
    </row>
    <row r="23448" spans="1:44" ht="75">
      <c r="A23448" s="4" t="s">
        <v>24364</v>
      </c>
      <c r="B23448" s="4">
        <v>80155</v>
      </c>
      <c r="D23448" s="5" t="s">
        <v>30339</v>
      </c>
      <c r="E23448" s="6" t="str">
        <f>HYPERLINK("https://inpn.mnhn.fr/espece/cd_nom/80155","Adenocarpus complicatus (L.) J.Gay, 1836")</f>
        <v>Adenocarpus complicatus (L.) J.Gay, 1836</v>
      </c>
      <c r="F23448" s="5" t="s">
        <v>30340</v>
      </c>
      <c r="M23448" s="4" t="str">
        <f>HYPERLINK("#Réglementation!A"&amp;_xlfn.XMATCH("RV43",Réglementation!A:A,2,1),"RV43")</f>
        <v>RV43</v>
      </c>
      <c r="Q23448" s="7" t="str">
        <f>HYPERLINK("#Liste_rouge!A"&amp;_xlfn.XMATCH("LC",Liste_rouge!A:A,2,1),"LC")</f>
        <v>LC</v>
      </c>
      <c r="T23448" s="7" t="str">
        <f>HYPERLINK("#Liste_rouge!A"&amp;_xlfn.XMATCH("CR",Liste_rouge!A:A,2,1),"CR")</f>
        <v>CR</v>
      </c>
      <c r="U23448" s="4" t="str">
        <f>HYPERLINK("#Critères_liste_rouge!A$1","B1 B2ab(ii,iv,v) C2a(i) D1")</f>
        <v>B1 B2ab(ii,iv,v) C2a(i) D1</v>
      </c>
      <c r="V23448" s="7" t="str">
        <f>HYPERLINK("#Liste_rouge!A"&amp;_xlfn.XMATCH("CR",Liste_rouge!A:A,2,1),"CR")</f>
        <v>CR</v>
      </c>
      <c r="W23448" s="4" t="str">
        <f>HYPERLINK("#Critères_liste_rouge!A$1","D")</f>
        <v>D</v>
      </c>
      <c r="X23448" s="5" t="s">
        <v>374</v>
      </c>
      <c r="AB23448" s="4" t="s">
        <v>93</v>
      </c>
      <c r="AH23448" s="4" t="str">
        <f>HYPERLINK("#Statut_biogéographique!A"&amp;_xlfn.XMATCH("P",Statut_biogéographique!A:A,2,1),"P")</f>
        <v>P</v>
      </c>
      <c r="AM23448" s="4" t="s">
        <v>375</v>
      </c>
      <c r="AN23448" s="4" t="s">
        <v>375</v>
      </c>
      <c r="AO23448" s="4" t="s">
        <v>375</v>
      </c>
      <c r="AP23448" s="4" t="s">
        <v>376</v>
      </c>
      <c r="AR23448" s="4" t="s">
        <v>377</v>
      </c>
    </row>
    <row r="23449" spans="1:44" ht="60">
      <c r="A23449" s="4" t="s">
        <v>24364</v>
      </c>
      <c r="B23449" s="4">
        <v>80183</v>
      </c>
      <c r="D23449" s="5" t="s">
        <v>30341</v>
      </c>
      <c r="E23449" s="6" t="str">
        <f>HYPERLINK("https://inpn.mnhn.fr/espece/cd_nom/80183","Adenostyles alliariae (Gouan) A.Kern., 1871")</f>
        <v>Adenostyles alliariae (Gouan) A.Kern., 1871</v>
      </c>
      <c r="F23449" s="5" t="s">
        <v>30342</v>
      </c>
      <c r="Q23449" s="7" t="str">
        <f>HYPERLINK("#Liste_rouge!A"&amp;_xlfn.XMATCH("LC",Liste_rouge!A:A,2,1),"LC")</f>
        <v>LC</v>
      </c>
      <c r="T23449" s="7" t="str">
        <f>HYPERLINK("#Liste_rouge!A"&amp;_xlfn.XMATCH("NA",Liste_rouge!A:A,2,1),"NA")</f>
        <v>NA</v>
      </c>
      <c r="V23449" s="7" t="str">
        <f>HYPERLINK("#Liste_rouge!A"&amp;_xlfn.XMATCH("LC",Liste_rouge!A:A,2,1),"LC")</f>
        <v>LC</v>
      </c>
      <c r="AB23449" s="4" t="s">
        <v>24410</v>
      </c>
      <c r="AH23449" s="4" t="str">
        <f>HYPERLINK("#Statut_biogéographique!A"&amp;_xlfn.XMATCH("P",Statut_biogéographique!A:A,2,1),"P")</f>
        <v>P</v>
      </c>
      <c r="AM23449" s="4" t="s">
        <v>375</v>
      </c>
      <c r="AN23449" s="4" t="s">
        <v>375</v>
      </c>
      <c r="AO23449" s="4" t="s">
        <v>375</v>
      </c>
      <c r="AP23449" s="4" t="s">
        <v>376</v>
      </c>
      <c r="AR23449" s="4" t="s">
        <v>377</v>
      </c>
    </row>
    <row r="23450" spans="1:44" ht="30">
      <c r="A23450" s="4" t="s">
        <v>24364</v>
      </c>
      <c r="B23450" s="4">
        <v>80184</v>
      </c>
      <c r="D23450" s="5" t="s">
        <v>30343</v>
      </c>
      <c r="E23450" s="6" t="str">
        <f>HYPERLINK("https://inpn.mnhn.fr/espece/cd_nom/80184","Adenostyles alpina (L.) Bluff &amp; Fingerh., 1825")</f>
        <v>Adenostyles alpina (L.) Bluff &amp; Fingerh., 1825</v>
      </c>
      <c r="F23450" s="5" t="s">
        <v>28272</v>
      </c>
      <c r="Q23450" s="7" t="str">
        <f>HYPERLINK("#Liste_rouge!A"&amp;_xlfn.XMATCH("LC",Liste_rouge!A:A,2,1),"LC")</f>
        <v>LC</v>
      </c>
      <c r="V23450" s="7" t="str">
        <f>HYPERLINK("#Liste_rouge!A"&amp;_xlfn.XMATCH("LC",Liste_rouge!A:A,2,1),"LC")</f>
        <v>LC</v>
      </c>
      <c r="X23450" s="5" t="s">
        <v>374</v>
      </c>
      <c r="AB23450" s="4" t="s">
        <v>93</v>
      </c>
      <c r="AH23450" s="4" t="str">
        <f>HYPERLINK("#Statut_biogéographique!A"&amp;_xlfn.XMATCH("P",Statut_biogéographique!A:A,2,1),"P")</f>
        <v>P</v>
      </c>
      <c r="AM23450" s="4" t="s">
        <v>375</v>
      </c>
      <c r="AN23450" s="4" t="s">
        <v>375</v>
      </c>
      <c r="AO23450" s="4" t="s">
        <v>375</v>
      </c>
      <c r="AP23450" s="4" t="s">
        <v>376</v>
      </c>
      <c r="AR23450" s="4" t="s">
        <v>377</v>
      </c>
    </row>
    <row r="23451" spans="1:44" ht="60">
      <c r="A23451" s="4" t="s">
        <v>24364</v>
      </c>
      <c r="B23451" s="4">
        <v>80211</v>
      </c>
      <c r="D23451" s="5" t="s">
        <v>30344</v>
      </c>
      <c r="E23451" s="6" t="str">
        <f>HYPERLINK("https://inpn.mnhn.fr/espece/cd_nom/80211","Adonis aestivalis L., 1762")</f>
        <v>Adonis aestivalis L., 1762</v>
      </c>
      <c r="F23451" s="5" t="s">
        <v>30345</v>
      </c>
      <c r="Q23451" s="7" t="str">
        <f>HYPERLINK("#Liste_rouge!A"&amp;_xlfn.XMATCH("NT",Liste_rouge!A:A,2,1),"NT")</f>
        <v>NT</v>
      </c>
      <c r="T23451" s="7" t="str">
        <f>HYPERLINK("#Liste_rouge!A"&amp;_xlfn.XMATCH("CR",Liste_rouge!A:A,2,1),"CR (cd_nom 80211) - NE (cd_nom 130839)")</f>
        <v>CR (cd_nom 80211) - NE (cd_nom 130839)</v>
      </c>
      <c r="U23451" s="4" t="str">
        <f>HYPERLINK("#Critères_liste_rouge!A$1","B2ab(iii,iv,v)c(iii,iv) (cd_nom 80211)")</f>
        <v>B2ab(iii,iv,v)c(iii,iv) (cd_nom 80211)</v>
      </c>
      <c r="V23451" s="7" t="str">
        <f>HYPERLINK("#Liste_rouge!A"&amp;_xlfn.XMATCH("RE",Liste_rouge!A:A,2,1),"RE")</f>
        <v>RE</v>
      </c>
      <c r="X23451" s="5" t="s">
        <v>374</v>
      </c>
      <c r="AB23451" s="4" t="s">
        <v>93</v>
      </c>
      <c r="AH23451" s="4" t="str">
        <f>HYPERLINK("#Statut_biogéographique!A"&amp;_xlfn.XMATCH("P",Statut_biogéographique!A:A,2,1),"P")</f>
        <v>P</v>
      </c>
      <c r="AI23451" s="8" t="s">
        <v>30346</v>
      </c>
      <c r="AJ23451" s="4" t="s">
        <v>12248</v>
      </c>
      <c r="AM23451" s="4" t="s">
        <v>375</v>
      </c>
      <c r="AN23451" s="4" t="s">
        <v>375</v>
      </c>
      <c r="AO23451" s="4" t="s">
        <v>375</v>
      </c>
      <c r="AP23451" s="4" t="s">
        <v>376</v>
      </c>
      <c r="AR23451" s="4" t="s">
        <v>377</v>
      </c>
    </row>
    <row r="23452" spans="1:44" ht="75">
      <c r="A23452" s="4" t="s">
        <v>24364</v>
      </c>
      <c r="B23452" s="4">
        <v>80212</v>
      </c>
      <c r="D23452" s="5" t="s">
        <v>30347</v>
      </c>
      <c r="E23452" s="6" t="str">
        <f>HYPERLINK("https://inpn.mnhn.fr/espece/cd_nom/80212","Adonis annua L., 1753 [nom. et typ. cons.]")</f>
        <v>Adonis annua L., 1753 [nom. et typ. cons.]</v>
      </c>
      <c r="F23452" s="5" t="s">
        <v>30348</v>
      </c>
      <c r="Q23452" s="7" t="str">
        <f>HYPERLINK("#Liste_rouge!A"&amp;_xlfn.XMATCH("LC",Liste_rouge!A:A,2,1),"LC")</f>
        <v>LC</v>
      </c>
      <c r="T23452" s="7" t="str">
        <f>HYPERLINK("#Liste_rouge!A"&amp;_xlfn.XMATCH("EN",Liste_rouge!A:A,2,1),"EN (cd_nom 80212) - DD (cd_nom 613138)")</f>
        <v>EN (cd_nom 80212) - DD (cd_nom 613138)</v>
      </c>
      <c r="U23452" s="4" t="str">
        <f>HYPERLINK("#Critères_liste_rouge!A$1","B2ab(iii,iv,v)c(iii,iv) (cd_nom 80212)")</f>
        <v>B2ab(iii,iv,v)c(iii,iv) (cd_nom 80212)</v>
      </c>
      <c r="V23452" s="7" t="str">
        <f>HYPERLINK("#Liste_rouge!A"&amp;_xlfn.XMATCH("CR",Liste_rouge!A:A,2,1),"CR")</f>
        <v>CR</v>
      </c>
      <c r="W23452" s="4" t="str">
        <f>HYPERLINK("#Critères_liste_rouge!A$1","D")</f>
        <v>D</v>
      </c>
      <c r="X23452" s="5" t="s">
        <v>374</v>
      </c>
      <c r="AB23452" s="4" t="s">
        <v>93</v>
      </c>
      <c r="AH23452" s="4" t="str">
        <f>HYPERLINK("#Statut_biogéographique!A"&amp;_xlfn.XMATCH("P",Statut_biogéographique!A:A,2,1),"P")</f>
        <v>P</v>
      </c>
      <c r="AI23452" s="8" t="s">
        <v>30349</v>
      </c>
      <c r="AJ23452" s="4" t="s">
        <v>12248</v>
      </c>
      <c r="AM23452" s="4" t="s">
        <v>375</v>
      </c>
      <c r="AN23452" s="4" t="s">
        <v>375</v>
      </c>
      <c r="AO23452" s="4" t="s">
        <v>375</v>
      </c>
      <c r="AP23452" s="4" t="s">
        <v>376</v>
      </c>
      <c r="AR23452" s="4" t="s">
        <v>377</v>
      </c>
    </row>
    <row r="23453" spans="1:44" ht="45">
      <c r="A23453" s="4" t="s">
        <v>24364</v>
      </c>
      <c r="B23453" s="4">
        <v>80224</v>
      </c>
      <c r="D23453" s="5" t="s">
        <v>30350</v>
      </c>
      <c r="E23453" s="6" t="str">
        <f>HYPERLINK("https://inpn.mnhn.fr/espece/cd_nom/80224","Adonis flammea Jacq., 1776")</f>
        <v>Adonis flammea Jacq., 1776</v>
      </c>
      <c r="F23453" s="5" t="s">
        <v>30351</v>
      </c>
      <c r="Q23453" s="7" t="str">
        <f>HYPERLINK("#Liste_rouge!A"&amp;_xlfn.XMATCH("NT",Liste_rouge!A:A,2,1),"NT")</f>
        <v>NT</v>
      </c>
      <c r="T23453" s="7" t="str">
        <f>HYPERLINK("#Liste_rouge!A"&amp;_xlfn.XMATCH("EN",Liste_rouge!A:A,2,1),"EN")</f>
        <v>EN</v>
      </c>
      <c r="U23453" s="4" t="str">
        <f>HYPERLINK("#Critères_liste_rouge!A$1","B2ab(iii,iv,v)c(iii,iv) C2a(i)")</f>
        <v>B2ab(iii,iv,v)c(iii,iv) C2a(i)</v>
      </c>
      <c r="V23453" s="7" t="str">
        <f>HYPERLINK("#Liste_rouge!A"&amp;_xlfn.XMATCH("EN",Liste_rouge!A:A,2,1),"EN")</f>
        <v>EN</v>
      </c>
      <c r="W23453" s="4" t="str">
        <f>HYPERLINK("#Critères_liste_rouge!A$1","D")</f>
        <v>D</v>
      </c>
      <c r="X23453" s="5" t="s">
        <v>374</v>
      </c>
      <c r="AB23453" s="4" t="s">
        <v>93</v>
      </c>
      <c r="AH23453" s="4" t="str">
        <f>HYPERLINK("#Statut_biogéographique!A"&amp;_xlfn.XMATCH("P",Statut_biogéographique!A:A,2,1),"P")</f>
        <v>P</v>
      </c>
      <c r="AI23453" s="8" t="s">
        <v>30352</v>
      </c>
      <c r="AJ23453" s="4" t="s">
        <v>12248</v>
      </c>
      <c r="AM23453" s="4" t="s">
        <v>375</v>
      </c>
      <c r="AN23453" s="4" t="s">
        <v>375</v>
      </c>
      <c r="AO23453" s="4" t="s">
        <v>375</v>
      </c>
      <c r="AP23453" s="4" t="s">
        <v>376</v>
      </c>
      <c r="AR23453" s="4" t="s">
        <v>377</v>
      </c>
    </row>
    <row r="23454" spans="1:44" ht="45">
      <c r="A23454" s="4" t="s">
        <v>24364</v>
      </c>
      <c r="B23454" s="4">
        <v>80243</v>
      </c>
      <c r="D23454" s="5" t="s">
        <v>30353</v>
      </c>
      <c r="E23454" s="6" t="str">
        <f>HYPERLINK("https://inpn.mnhn.fr/espece/cd_nom/80243","Adoxa moschatellina L., 1753")</f>
        <v>Adoxa moschatellina L., 1753</v>
      </c>
      <c r="F23454" s="5" t="s">
        <v>30354</v>
      </c>
      <c r="Q23454" s="7" t="str">
        <f>HYPERLINK("#Liste_rouge!A"&amp;_xlfn.XMATCH("LC",Liste_rouge!A:A,2,1),"LC")</f>
        <v>LC</v>
      </c>
      <c r="T23454" s="7" t="str">
        <f>HYPERLINK("#Liste_rouge!A"&amp;_xlfn.XMATCH("LC",Liste_rouge!A:A,2,1),"LC")</f>
        <v>LC</v>
      </c>
      <c r="V23454" s="7" t="str">
        <f>HYPERLINK("#Liste_rouge!A"&amp;_xlfn.XMATCH("LC",Liste_rouge!A:A,2,1),"LC")</f>
        <v>LC</v>
      </c>
      <c r="AH23454" s="4" t="str">
        <f>HYPERLINK("#Statut_biogéographique!A"&amp;_xlfn.XMATCH("P",Statut_biogéographique!A:A,2,1),"P")</f>
        <v>P</v>
      </c>
      <c r="AM23454" s="4" t="s">
        <v>375</v>
      </c>
      <c r="AN23454" s="4" t="s">
        <v>375</v>
      </c>
      <c r="AO23454" s="4" t="s">
        <v>375</v>
      </c>
      <c r="AP23454" s="4" t="s">
        <v>376</v>
      </c>
      <c r="AR23454" s="4" t="s">
        <v>377</v>
      </c>
    </row>
    <row r="23455" spans="1:44" ht="60">
      <c r="A23455" s="4" t="s">
        <v>24364</v>
      </c>
      <c r="B23455" s="4">
        <v>80263</v>
      </c>
      <c r="D23455" s="5" t="s">
        <v>30355</v>
      </c>
      <c r="E23455" s="6" t="str">
        <f>HYPERLINK("https://inpn.mnhn.fr/espece/cd_nom/80263","Aegilops biuncialis Vis., 1842")</f>
        <v>Aegilops biuncialis Vis., 1842</v>
      </c>
      <c r="F23455" s="5" t="s">
        <v>30356</v>
      </c>
      <c r="O23455" s="7" t="str">
        <f>HYPERLINK("#Liste_rouge!A"&amp;_xlfn.XMATCH("LC",Liste_rouge!A:A,2,1),"LC")</f>
        <v>LC</v>
      </c>
      <c r="P23455" s="7" t="str">
        <f>HYPERLINK("#Liste_rouge!A"&amp;_xlfn.XMATCH("LC",Liste_rouge!A:A,2,1),"LC")</f>
        <v>LC</v>
      </c>
      <c r="Q23455" s="7" t="str">
        <f>HYPERLINK("#Liste_rouge!A"&amp;_xlfn.XMATCH("NT",Liste_rouge!A:A,2,1),"NT")</f>
        <v>NT</v>
      </c>
      <c r="T23455" s="7" t="str">
        <f>HYPERLINK("#Liste_rouge!A"&amp;_xlfn.XMATCH("NA",Liste_rouge!A:A,2,1),"NA")</f>
        <v>NA</v>
      </c>
      <c r="AH23455" s="4" t="str">
        <f>HYPERLINK("#Statut_biogéographique!A"&amp;_xlfn.XMATCH("I",Statut_biogéographique!A:A,2,1),"I")</f>
        <v>I</v>
      </c>
      <c r="AP23455" s="4" t="s">
        <v>376</v>
      </c>
      <c r="AR23455" s="4" t="s">
        <v>377</v>
      </c>
    </row>
    <row r="23456" spans="1:44" ht="60">
      <c r="A23456" s="4" t="s">
        <v>24364</v>
      </c>
      <c r="B23456" s="4">
        <v>80270</v>
      </c>
      <c r="D23456" s="5" t="s">
        <v>30357</v>
      </c>
      <c r="E23456" s="6" t="str">
        <f>HYPERLINK("https://inpn.mnhn.fr/espece/cd_nom/80270","Aegilops cylindrica Host, 1802")</f>
        <v>Aegilops cylindrica Host, 1802</v>
      </c>
      <c r="F23456" s="5" t="s">
        <v>30358</v>
      </c>
      <c r="O23456" s="7" t="str">
        <f>HYPERLINK("#Liste_rouge!A"&amp;_xlfn.XMATCH("LC",Liste_rouge!A:A,2,1),"LC")</f>
        <v>LC</v>
      </c>
      <c r="P23456" s="7" t="str">
        <f>HYPERLINK("#Liste_rouge!A"&amp;_xlfn.XMATCH("LC",Liste_rouge!A:A,2,1),"LC")</f>
        <v>LC</v>
      </c>
      <c r="Q23456" s="7" t="str">
        <f>HYPERLINK("#Liste_rouge!A"&amp;_xlfn.XMATCH("NA",Liste_rouge!A:A,2,1),"NA")</f>
        <v>NA</v>
      </c>
      <c r="T23456" s="7" t="str">
        <f>HYPERLINK("#Liste_rouge!A"&amp;_xlfn.XMATCH("NA",Liste_rouge!A:A,2,1),"NA")</f>
        <v>NA</v>
      </c>
      <c r="AH23456" s="4" t="str">
        <f>HYPERLINK("#Statut_biogéographique!A"&amp;_xlfn.XMATCH("I",Statut_biogéographique!A:A,2,1),"I")</f>
        <v>I</v>
      </c>
      <c r="AP23456" s="4" t="s">
        <v>376</v>
      </c>
      <c r="AR23456" s="4" t="s">
        <v>377</v>
      </c>
    </row>
    <row r="23457" spans="1:44" ht="75">
      <c r="A23457" s="4" t="s">
        <v>24364</v>
      </c>
      <c r="B23457" s="4">
        <v>80278</v>
      </c>
      <c r="D23457" s="5" t="s">
        <v>30359</v>
      </c>
      <c r="E23457" s="6" t="str">
        <f>HYPERLINK("https://inpn.mnhn.fr/espece/cd_nom/80278","Aegilops geniculata Roth, 1797")</f>
        <v>Aegilops geniculata Roth, 1797</v>
      </c>
      <c r="F23457" s="5" t="s">
        <v>30360</v>
      </c>
      <c r="O23457" s="7" t="str">
        <f>HYPERLINK("#Liste_rouge!A"&amp;_xlfn.XMATCH("LC",Liste_rouge!A:A,2,1),"LC")</f>
        <v>LC</v>
      </c>
      <c r="P23457" s="7" t="str">
        <f>HYPERLINK("#Liste_rouge!A"&amp;_xlfn.XMATCH("LC",Liste_rouge!A:A,2,1),"LC")</f>
        <v>LC</v>
      </c>
      <c r="Q23457" s="7" t="str">
        <f>HYPERLINK("#Liste_rouge!A"&amp;_xlfn.XMATCH("LC",Liste_rouge!A:A,2,1),"LC")</f>
        <v>LC</v>
      </c>
      <c r="T23457" s="7" t="str">
        <f>HYPERLINK("#Liste_rouge!A"&amp;_xlfn.XMATCH("NA",Liste_rouge!A:A,2,1),"NA")</f>
        <v>NA</v>
      </c>
      <c r="AH23457" s="4" t="str">
        <f>HYPERLINK("#Statut_biogéographique!A"&amp;_xlfn.XMATCH("P",Statut_biogéographique!A:A,2,1),"P")</f>
        <v>P</v>
      </c>
      <c r="AP23457" s="4" t="s">
        <v>376</v>
      </c>
      <c r="AR23457" s="4" t="s">
        <v>377</v>
      </c>
    </row>
    <row r="23458" spans="1:44" ht="75">
      <c r="A23458" s="4" t="s">
        <v>24364</v>
      </c>
      <c r="B23458" s="4">
        <v>80302</v>
      </c>
      <c r="D23458" s="5" t="s">
        <v>30361</v>
      </c>
      <c r="E23458" s="6" t="str">
        <f>HYPERLINK("https://inpn.mnhn.fr/espece/cd_nom/80302","Aegilops triuncialis L., 1753 [nom. et typ. cons.]")</f>
        <v>Aegilops triuncialis L., 1753 [nom. et typ. cons.]</v>
      </c>
      <c r="F23458" s="5" t="s">
        <v>30362</v>
      </c>
      <c r="O23458" s="7" t="str">
        <f>HYPERLINK("#Liste_rouge!A"&amp;_xlfn.XMATCH("LC",Liste_rouge!A:A,2,1),"LC")</f>
        <v>LC</v>
      </c>
      <c r="P23458" s="7" t="str">
        <f>HYPERLINK("#Liste_rouge!A"&amp;_xlfn.XMATCH("LC",Liste_rouge!A:A,2,1),"LC")</f>
        <v>LC</v>
      </c>
      <c r="Q23458" s="7" t="str">
        <f>HYPERLINK("#Liste_rouge!A"&amp;_xlfn.XMATCH("LC",Liste_rouge!A:A,2,1),"LC")</f>
        <v>LC</v>
      </c>
      <c r="T23458" s="7" t="str">
        <f>HYPERLINK("#Liste_rouge!A"&amp;_xlfn.XMATCH("NA",Liste_rouge!A:A,2,1),"NA")</f>
        <v>NA</v>
      </c>
      <c r="AH23458" s="4" t="str">
        <f>HYPERLINK("#Statut_biogéographique!A"&amp;_xlfn.XMATCH("P",Statut_biogéographique!A:A,2,1),"P")</f>
        <v>P</v>
      </c>
      <c r="AP23458" s="4" t="s">
        <v>376</v>
      </c>
      <c r="AR23458" s="4" t="s">
        <v>377</v>
      </c>
    </row>
    <row r="23459" spans="1:44" ht="30">
      <c r="A23459" s="4" t="s">
        <v>24364</v>
      </c>
      <c r="B23459" s="4">
        <v>80304</v>
      </c>
      <c r="D23459" s="5" t="s">
        <v>30363</v>
      </c>
      <c r="E23459" s="6" t="str">
        <f>HYPERLINK("https://inpn.mnhn.fr/espece/cd_nom/80304","Aegilops ventricosa Tausch, 1837")</f>
        <v>Aegilops ventricosa Tausch, 1837</v>
      </c>
      <c r="F23459" s="5" t="s">
        <v>30364</v>
      </c>
      <c r="O23459" s="7" t="str">
        <f>HYPERLINK("#Liste_rouge!A"&amp;_xlfn.XMATCH("LC",Liste_rouge!A:A,2,1),"LC")</f>
        <v>LC</v>
      </c>
      <c r="P23459" s="7" t="str">
        <f>HYPERLINK("#Liste_rouge!A"&amp;_xlfn.XMATCH("LC",Liste_rouge!A:A,2,1),"LC")</f>
        <v>LC</v>
      </c>
      <c r="Q23459" s="7" t="str">
        <f>HYPERLINK("#Liste_rouge!A"&amp;_xlfn.XMATCH("LC",Liste_rouge!A:A,2,1),"LC")</f>
        <v>LC</v>
      </c>
      <c r="T23459" s="7" t="str">
        <f>HYPERLINK("#Liste_rouge!A"&amp;_xlfn.XMATCH("NA",Liste_rouge!A:A,2,1),"NA")</f>
        <v>NA</v>
      </c>
      <c r="AH23459" s="4" t="str">
        <f>HYPERLINK("#Statut_biogéographique!A"&amp;_xlfn.XMATCH("I",Statut_biogéographique!A:A,2,1),"I")</f>
        <v>I</v>
      </c>
      <c r="AP23459" s="4" t="s">
        <v>376</v>
      </c>
      <c r="AR23459" s="4" t="s">
        <v>377</v>
      </c>
    </row>
    <row r="23460" spans="1:44" ht="45">
      <c r="A23460" s="4" t="s">
        <v>24364</v>
      </c>
      <c r="B23460" s="4">
        <v>80317</v>
      </c>
      <c r="D23460" s="5" t="s">
        <v>30365</v>
      </c>
      <c r="E23460" s="6" t="str">
        <f>HYPERLINK("https://inpn.mnhn.fr/espece/cd_nom/80317","Aegonychon purpurocaeruleum (L.) Holub, 1973")</f>
        <v>Aegonychon purpurocaeruleum (L.) Holub, 1973</v>
      </c>
      <c r="F23460" s="5" t="s">
        <v>30366</v>
      </c>
      <c r="Q23460" s="7" t="str">
        <f>HYPERLINK("#Liste_rouge!A"&amp;_xlfn.XMATCH("LC",Liste_rouge!A:A,2,1),"LC")</f>
        <v>LC</v>
      </c>
      <c r="T23460" s="7" t="str">
        <f>HYPERLINK("#Liste_rouge!A"&amp;_xlfn.XMATCH("LC",Liste_rouge!A:A,2,1),"LC")</f>
        <v>LC</v>
      </c>
      <c r="V23460" s="7" t="str">
        <f>HYPERLINK("#Liste_rouge!A"&amp;_xlfn.XMATCH("LC",Liste_rouge!A:A,2,1),"LC")</f>
        <v>LC</v>
      </c>
      <c r="AB23460" s="4" t="s">
        <v>27770</v>
      </c>
      <c r="AH23460" s="4" t="str">
        <f>HYPERLINK("#Statut_biogéographique!A"&amp;_xlfn.XMATCH("P",Statut_biogéographique!A:A,2,1),"P")</f>
        <v>P</v>
      </c>
      <c r="AM23460" s="4" t="s">
        <v>375</v>
      </c>
      <c r="AN23460" s="4" t="s">
        <v>375</v>
      </c>
      <c r="AO23460" s="4" t="s">
        <v>375</v>
      </c>
      <c r="AP23460" s="4" t="s">
        <v>376</v>
      </c>
      <c r="AR23460" s="4" t="s">
        <v>377</v>
      </c>
    </row>
    <row r="23461" spans="1:44" ht="60">
      <c r="A23461" s="4" t="s">
        <v>24364</v>
      </c>
      <c r="B23461" s="4">
        <v>80322</v>
      </c>
      <c r="D23461" s="5" t="s">
        <v>30367</v>
      </c>
      <c r="E23461" s="6" t="str">
        <f>HYPERLINK("https://inpn.mnhn.fr/espece/cd_nom/80322","Aegopodium podagraria L., 1753")</f>
        <v>Aegopodium podagraria L., 1753</v>
      </c>
      <c r="F23461" s="5" t="s">
        <v>30368</v>
      </c>
      <c r="Q23461" s="7" t="str">
        <f>HYPERLINK("#Liste_rouge!A"&amp;_xlfn.XMATCH("LC",Liste_rouge!A:A,2,1),"LC")</f>
        <v>LC</v>
      </c>
      <c r="T23461" s="7" t="str">
        <f>HYPERLINK("#Liste_rouge!A"&amp;_xlfn.XMATCH("LC",Liste_rouge!A:A,2,1),"LC")</f>
        <v>LC</v>
      </c>
      <c r="V23461" s="7" t="str">
        <f>HYPERLINK("#Liste_rouge!A"&amp;_xlfn.XMATCH("LC",Liste_rouge!A:A,2,1),"LC")</f>
        <v>LC</v>
      </c>
      <c r="AH23461" s="4" t="str">
        <f>HYPERLINK("#Statut_biogéographique!A"&amp;_xlfn.XMATCH("P",Statut_biogéographique!A:A,2,1),"P")</f>
        <v>P</v>
      </c>
      <c r="AM23461" s="4" t="s">
        <v>375</v>
      </c>
      <c r="AN23461" s="4" t="s">
        <v>375</v>
      </c>
      <c r="AO23461" s="4" t="s">
        <v>375</v>
      </c>
      <c r="AP23461" s="4" t="s">
        <v>376</v>
      </c>
      <c r="AR23461" s="4" t="s">
        <v>377</v>
      </c>
    </row>
    <row r="23462" spans="1:44">
      <c r="A23462" s="4" t="s">
        <v>24364</v>
      </c>
      <c r="B23462" s="4">
        <v>80334</v>
      </c>
      <c r="D23462" s="5" t="s">
        <v>30369</v>
      </c>
      <c r="E23462" s="6" t="str">
        <f>HYPERLINK("https://inpn.mnhn.fr/espece/cd_nom/80334","Aesculus hippocastanum L., 1753")</f>
        <v>Aesculus hippocastanum L., 1753</v>
      </c>
      <c r="F23462" s="5" t="s">
        <v>30370</v>
      </c>
      <c r="O23462" s="7" t="str">
        <f>HYPERLINK("#Liste_rouge!A"&amp;_xlfn.XMATCH("VU",Liste_rouge!A:A,2,1),"VU")</f>
        <v>VU</v>
      </c>
      <c r="P23462" s="7" t="str">
        <f>HYPERLINK("#Liste_rouge!A"&amp;_xlfn.XMATCH("VU",Liste_rouge!A:A,2,1),"VU")</f>
        <v>VU</v>
      </c>
      <c r="Q23462" s="7" t="str">
        <f>HYPERLINK("#Liste_rouge!A"&amp;_xlfn.XMATCH("NA",Liste_rouge!A:A,2,1),"NA")</f>
        <v>NA</v>
      </c>
      <c r="T23462" s="7" t="str">
        <f>HYPERLINK("#Liste_rouge!A"&amp;_xlfn.XMATCH("NA",Liste_rouge!A:A,2,1),"NA")</f>
        <v>NA</v>
      </c>
      <c r="AH23462" s="4" t="str">
        <f>HYPERLINK("#Statut_biogéographique!A"&amp;_xlfn.XMATCH("I",Statut_biogéographique!A:A,2,1),"I")</f>
        <v>I</v>
      </c>
      <c r="AM23462" s="4" t="s">
        <v>375</v>
      </c>
      <c r="AN23462" s="4" t="s">
        <v>375</v>
      </c>
      <c r="AO23462" s="4" t="s">
        <v>375</v>
      </c>
      <c r="AP23462" s="4" t="s">
        <v>376</v>
      </c>
      <c r="AR23462" s="4" t="s">
        <v>377</v>
      </c>
    </row>
    <row r="23463" spans="1:44">
      <c r="A23463" s="4" t="s">
        <v>24364</v>
      </c>
      <c r="B23463" s="4">
        <v>80335</v>
      </c>
      <c r="D23463" s="5" t="s">
        <v>30371</v>
      </c>
      <c r="E23463" s="6" t="str">
        <f>HYPERLINK("https://inpn.mnhn.fr/espece/cd_nom/80335","Aesculus pavia L., 1753")</f>
        <v>Aesculus pavia L., 1753</v>
      </c>
      <c r="F23463" s="5" t="s">
        <v>30372</v>
      </c>
      <c r="O23463" s="7" t="str">
        <f>HYPERLINK("#Liste_rouge!A"&amp;_xlfn.XMATCH("LC",Liste_rouge!A:A,2,1),"LC")</f>
        <v>LC</v>
      </c>
      <c r="T23463" s="7" t="str">
        <f>HYPERLINK("#Liste_rouge!A"&amp;_xlfn.XMATCH("NA",Liste_rouge!A:A,2,1),"NA")</f>
        <v>NA</v>
      </c>
      <c r="AH23463" s="4" t="str">
        <f>HYPERLINK("#Statut_biogéographique!A"&amp;_xlfn.XMATCH("M",Statut_biogéographique!A:A,2,1),"M")</f>
        <v>M</v>
      </c>
      <c r="AP23463" s="4" t="s">
        <v>376</v>
      </c>
      <c r="AR23463" s="4" t="s">
        <v>377</v>
      </c>
    </row>
    <row r="23464" spans="1:44" ht="30">
      <c r="A23464" s="4" t="s">
        <v>24364</v>
      </c>
      <c r="B23464" s="4">
        <v>80338</v>
      </c>
      <c r="D23464" s="5" t="s">
        <v>30373</v>
      </c>
      <c r="E23464" s="6" t="str">
        <f>HYPERLINK("https://inpn.mnhn.fr/espece/cd_nom/80338","Aesculus carnea Hayne, 1822")</f>
        <v>Aesculus carnea Hayne, 1822</v>
      </c>
      <c r="F23464" s="5" t="s">
        <v>30374</v>
      </c>
      <c r="Q23464" s="7" t="str">
        <f>HYPERLINK("#Liste_rouge!A"&amp;_xlfn.XMATCH("NA",Liste_rouge!A:A,2,1),"NA")</f>
        <v>NA</v>
      </c>
      <c r="T23464" s="7" t="str">
        <f>HYPERLINK("#Liste_rouge!A"&amp;_xlfn.XMATCH("NA",Liste_rouge!A:A,2,1),"NA")</f>
        <v>NA</v>
      </c>
      <c r="AH23464" s="4" t="str">
        <f>HYPERLINK("#Statut_biogéographique!A"&amp;_xlfn.XMATCH("M",Statut_biogéographique!A:A,2,1),"M")</f>
        <v>M</v>
      </c>
      <c r="AP23464" s="4" t="s">
        <v>376</v>
      </c>
      <c r="AR23464" s="4" t="s">
        <v>377</v>
      </c>
    </row>
    <row r="23465" spans="1:44" ht="45">
      <c r="A23465" s="4" t="s">
        <v>24364</v>
      </c>
      <c r="B23465" s="4">
        <v>80358</v>
      </c>
      <c r="D23465" s="5" t="s">
        <v>30375</v>
      </c>
      <c r="E23465" s="6" t="str">
        <f>HYPERLINK("https://inpn.mnhn.fr/espece/cd_nom/80358","Aethusa cynapium L., 1753")</f>
        <v>Aethusa cynapium L., 1753</v>
      </c>
      <c r="F23465" s="5" t="s">
        <v>28274</v>
      </c>
      <c r="Q23465" s="7" t="str">
        <f>HYPERLINK("#Liste_rouge!A"&amp;_xlfn.XMATCH("LC",Liste_rouge!A:A,2,1),"LC")</f>
        <v>LC</v>
      </c>
      <c r="T23465" s="7" t="str">
        <f>HYPERLINK("#Liste_rouge!A"&amp;_xlfn.XMATCH("LC",Liste_rouge!A:A,2,1),"LC")</f>
        <v>LC</v>
      </c>
      <c r="V23465" s="7" t="str">
        <f>HYPERLINK("#Liste_rouge!A"&amp;_xlfn.XMATCH("LC",Liste_rouge!A:A,2,1),"LC")</f>
        <v>LC</v>
      </c>
      <c r="AH23465" s="4" t="str">
        <f>HYPERLINK("#Statut_biogéographique!A"&amp;_xlfn.XMATCH("P",Statut_biogéographique!A:A,2,1),"P")</f>
        <v>P</v>
      </c>
      <c r="AM23465" s="4" t="s">
        <v>375</v>
      </c>
      <c r="AN23465" s="4" t="s">
        <v>375</v>
      </c>
      <c r="AO23465" s="4" t="s">
        <v>375</v>
      </c>
      <c r="AP23465" s="4" t="s">
        <v>376</v>
      </c>
      <c r="AR23465" s="4" t="s">
        <v>377</v>
      </c>
    </row>
    <row r="23466" spans="1:44" ht="30">
      <c r="A23466" s="4" t="s">
        <v>24364</v>
      </c>
      <c r="B23466" s="4">
        <v>80410</v>
      </c>
      <c r="D23466" s="5" t="s">
        <v>30376</v>
      </c>
      <c r="E23466" s="6" t="str">
        <f>HYPERLINK("https://inpn.mnhn.fr/espece/cd_nom/80410","Agrimonia eupatoria L., 1753")</f>
        <v>Agrimonia eupatoria L., 1753</v>
      </c>
      <c r="F23466" s="5" t="s">
        <v>28275</v>
      </c>
      <c r="P23466" s="7" t="str">
        <f>HYPERLINK("#Liste_rouge!A"&amp;_xlfn.XMATCH("LC",Liste_rouge!A:A,2,1),"LC")</f>
        <v>LC</v>
      </c>
      <c r="Q23466" s="7" t="str">
        <f>HYPERLINK("#Liste_rouge!A"&amp;_xlfn.XMATCH("LC",Liste_rouge!A:A,2,1),"LC")</f>
        <v>LC</v>
      </c>
      <c r="T23466" s="7" t="str">
        <f>HYPERLINK("#Liste_rouge!A"&amp;_xlfn.XMATCH("LC",Liste_rouge!A:A,2,1),"LC")</f>
        <v>LC</v>
      </c>
      <c r="V23466" s="7" t="str">
        <f>HYPERLINK("#Liste_rouge!A"&amp;_xlfn.XMATCH("LC",Liste_rouge!A:A,2,1),"LC")</f>
        <v>LC</v>
      </c>
      <c r="AH23466" s="4" t="str">
        <f>HYPERLINK("#Statut_biogéographique!A"&amp;_xlfn.XMATCH("P",Statut_biogéographique!A:A,2,1),"P")</f>
        <v>P</v>
      </c>
      <c r="AM23466" s="4" t="s">
        <v>375</v>
      </c>
      <c r="AN23466" s="4" t="s">
        <v>375</v>
      </c>
      <c r="AO23466" s="4" t="s">
        <v>375</v>
      </c>
      <c r="AP23466" s="4" t="s">
        <v>376</v>
      </c>
      <c r="AR23466" s="4" t="s">
        <v>377</v>
      </c>
    </row>
    <row r="23467" spans="1:44" ht="30">
      <c r="A23467" s="4" t="s">
        <v>24364</v>
      </c>
      <c r="B23467" s="4">
        <v>80417</v>
      </c>
      <c r="D23467" s="5" t="s">
        <v>30377</v>
      </c>
      <c r="E23467" s="6" t="str">
        <f>HYPERLINK("https://inpn.mnhn.fr/espece/cd_nom/80417","Agrimonia procera Wallr., 1840")</f>
        <v>Agrimonia procera Wallr., 1840</v>
      </c>
      <c r="F23467" s="5" t="s">
        <v>30378</v>
      </c>
      <c r="Q23467" s="7" t="str">
        <f>HYPERLINK("#Liste_rouge!A"&amp;_xlfn.XMATCH("LC",Liste_rouge!A:A,2,1),"LC")</f>
        <v>LC</v>
      </c>
      <c r="T23467" s="7" t="str">
        <f>HYPERLINK("#Liste_rouge!A"&amp;_xlfn.XMATCH("LC",Liste_rouge!A:A,2,1),"LC")</f>
        <v>LC</v>
      </c>
      <c r="V23467" s="7" t="str">
        <f>HYPERLINK("#Liste_rouge!A"&amp;_xlfn.XMATCH("DD",Liste_rouge!A:A,2,1),"DD")</f>
        <v>DD</v>
      </c>
      <c r="AH23467" s="4" t="str">
        <f>HYPERLINK("#Statut_biogéographique!A"&amp;_xlfn.XMATCH("P",Statut_biogéographique!A:A,2,1),"P")</f>
        <v>P</v>
      </c>
      <c r="AM23467" s="4" t="s">
        <v>375</v>
      </c>
      <c r="AN23467" s="4" t="s">
        <v>375</v>
      </c>
      <c r="AO23467" s="4" t="s">
        <v>375</v>
      </c>
      <c r="AP23467" s="4" t="s">
        <v>376</v>
      </c>
      <c r="AR23467" s="4" t="s">
        <v>377</v>
      </c>
    </row>
    <row r="23468" spans="1:44" ht="45">
      <c r="A23468" s="4" t="s">
        <v>24364</v>
      </c>
      <c r="B23468" s="4">
        <v>80546</v>
      </c>
      <c r="D23468" s="5" t="s">
        <v>30379</v>
      </c>
      <c r="E23468" s="6" t="str">
        <f>HYPERLINK("https://inpn.mnhn.fr/espece/cd_nom/80546","Agrostemma githago L., 1753")</f>
        <v>Agrostemma githago L., 1753</v>
      </c>
      <c r="F23468" s="5" t="s">
        <v>30380</v>
      </c>
      <c r="Q23468" s="7" t="str">
        <f>HYPERLINK("#Liste_rouge!A"&amp;_xlfn.XMATCH("LC",Liste_rouge!A:A,2,1),"LC")</f>
        <v>LC</v>
      </c>
      <c r="T23468" s="7" t="str">
        <f>HYPERLINK("#Liste_rouge!A"&amp;_xlfn.XMATCH("EN",Liste_rouge!A:A,2,1),"EN")</f>
        <v>EN</v>
      </c>
      <c r="U23468" s="4" t="str">
        <f>HYPERLINK("#Critères_liste_rouge!A$1","B2ab(iii,iv,v)c(iii,iv)")</f>
        <v>B2ab(iii,iv,v)c(iii,iv)</v>
      </c>
      <c r="V23468" s="7" t="str">
        <f>HYPERLINK("#Liste_rouge!A"&amp;_xlfn.XMATCH("RE",Liste_rouge!A:A,2,1),"RE")</f>
        <v>RE</v>
      </c>
      <c r="X23468" s="5" t="s">
        <v>374</v>
      </c>
      <c r="AB23468" s="4" t="s">
        <v>93</v>
      </c>
      <c r="AH23468" s="4" t="str">
        <f>HYPERLINK("#Statut_biogéographique!A"&amp;_xlfn.XMATCH("P",Statut_biogéographique!A:A,2,1),"P")</f>
        <v>P</v>
      </c>
      <c r="AI23468" s="8" t="s">
        <v>30381</v>
      </c>
      <c r="AJ23468" s="4" t="s">
        <v>12248</v>
      </c>
      <c r="AM23468" s="4" t="s">
        <v>375</v>
      </c>
      <c r="AN23468" s="4" t="s">
        <v>375</v>
      </c>
      <c r="AO23468" s="4" t="s">
        <v>375</v>
      </c>
      <c r="AP23468" s="4" t="s">
        <v>376</v>
      </c>
      <c r="AR23468" s="4" t="s">
        <v>377</v>
      </c>
    </row>
    <row r="23469" spans="1:44" ht="150">
      <c r="A23469" s="4" t="s">
        <v>24364</v>
      </c>
      <c r="B23469" s="4">
        <v>80590</v>
      </c>
      <c r="D23469" s="5" t="s">
        <v>30382</v>
      </c>
      <c r="E23469" s="6" t="str">
        <f>HYPERLINK("https://inpn.mnhn.fr/espece/cd_nom/80590","Agrostis canina L., 1753 [nom. et typ. cons.]")</f>
        <v>Agrostis canina L., 1753 [nom. et typ. cons.]</v>
      </c>
      <c r="F23469" s="5" t="s">
        <v>29707</v>
      </c>
      <c r="Q23469" s="7" t="str">
        <f>HYPERLINK("#Liste_rouge!A"&amp;_xlfn.XMATCH("LC",Liste_rouge!A:A,2,1),"LC")</f>
        <v>LC</v>
      </c>
      <c r="T23469" s="7" t="str">
        <f>HYPERLINK("#Liste_rouge!A"&amp;_xlfn.XMATCH("LC",Liste_rouge!A:A,2,1),"LC")</f>
        <v>LC</v>
      </c>
      <c r="V23469" s="7" t="str">
        <f>HYPERLINK("#Liste_rouge!A"&amp;_xlfn.XMATCH("LC",Liste_rouge!A:A,2,1),"LC")</f>
        <v>LC</v>
      </c>
      <c r="AH23469" s="4" t="str">
        <f>HYPERLINK("#Statut_biogéographique!A"&amp;_xlfn.XMATCH("P",Statut_biogéographique!A:A,2,1),"P")</f>
        <v>P</v>
      </c>
      <c r="AM23469" s="4" t="s">
        <v>375</v>
      </c>
      <c r="AN23469" s="4" t="s">
        <v>375</v>
      </c>
      <c r="AO23469" s="4" t="s">
        <v>375</v>
      </c>
      <c r="AP23469" s="4" t="s">
        <v>376</v>
      </c>
      <c r="AR23469" s="4" t="s">
        <v>377</v>
      </c>
    </row>
    <row r="23470" spans="1:44" ht="255">
      <c r="A23470" s="4" t="s">
        <v>24364</v>
      </c>
      <c r="B23470" s="4">
        <v>80591</v>
      </c>
      <c r="D23470" s="5" t="s">
        <v>30383</v>
      </c>
      <c r="E23470" s="6" t="str">
        <f>HYPERLINK("https://inpn.mnhn.fr/espece/cd_nom/80591","Agrostis capillaris L., 1753")</f>
        <v>Agrostis capillaris L., 1753</v>
      </c>
      <c r="F23470" s="5" t="s">
        <v>28279</v>
      </c>
      <c r="Q23470" s="7" t="str">
        <f>HYPERLINK("#Liste_rouge!A"&amp;_xlfn.XMATCH("LC",Liste_rouge!A:A,2,1),"LC")</f>
        <v>LC</v>
      </c>
      <c r="T23470" s="7" t="str">
        <f>HYPERLINK("#Liste_rouge!A"&amp;_xlfn.XMATCH("LC",Liste_rouge!A:A,2,1),"LC")</f>
        <v>LC</v>
      </c>
      <c r="V23470" s="7" t="str">
        <f>HYPERLINK("#Liste_rouge!A"&amp;_xlfn.XMATCH("LC",Liste_rouge!A:A,2,1),"LC")</f>
        <v>LC</v>
      </c>
      <c r="AH23470" s="4" t="str">
        <f>HYPERLINK("#Statut_biogéographique!A"&amp;_xlfn.XMATCH("P",Statut_biogéographique!A:A,2,1),"P")</f>
        <v>P</v>
      </c>
      <c r="AM23470" s="4" t="s">
        <v>375</v>
      </c>
      <c r="AN23470" s="4" t="s">
        <v>375</v>
      </c>
      <c r="AO23470" s="4" t="s">
        <v>375</v>
      </c>
      <c r="AP23470" s="4" t="s">
        <v>376</v>
      </c>
      <c r="AR23470" s="4" t="s">
        <v>377</v>
      </c>
    </row>
    <row r="23471" spans="1:44" ht="45">
      <c r="A23471" s="4" t="s">
        <v>24364</v>
      </c>
      <c r="B23471" s="4">
        <v>80605</v>
      </c>
      <c r="D23471" s="5" t="s">
        <v>30384</v>
      </c>
      <c r="E23471" s="6" t="str">
        <f>HYPERLINK("https://inpn.mnhn.fr/espece/cd_nom/80605","Agrostis curtisii Kerguélen, 1976")</f>
        <v>Agrostis curtisii Kerguélen, 1976</v>
      </c>
      <c r="F23471" s="5" t="s">
        <v>30385</v>
      </c>
      <c r="Q23471" s="7" t="str">
        <f>HYPERLINK("#Liste_rouge!A"&amp;_xlfn.XMATCH("LC",Liste_rouge!A:A,2,1),"LC")</f>
        <v>LC</v>
      </c>
      <c r="T23471" s="7" t="str">
        <f>HYPERLINK("#Liste_rouge!A"&amp;_xlfn.XMATCH("NA",Liste_rouge!A:A,2,1),"NA")</f>
        <v>NA</v>
      </c>
      <c r="AH23471" s="4" t="str">
        <f>HYPERLINK("#Statut_biogéographique!A"&amp;_xlfn.XMATCH("P",Statut_biogéographique!A:A,2,1),"P")</f>
        <v>P</v>
      </c>
      <c r="AP23471" s="4" t="s">
        <v>376</v>
      </c>
      <c r="AR23471" s="4" t="s">
        <v>377</v>
      </c>
    </row>
    <row r="23472" spans="1:44" ht="210">
      <c r="A23472" s="4" t="s">
        <v>24364</v>
      </c>
      <c r="B23472" s="4">
        <v>80639</v>
      </c>
      <c r="D23472" s="5" t="s">
        <v>30386</v>
      </c>
      <c r="E23472" s="6" t="str">
        <f>HYPERLINK("https://inpn.mnhn.fr/espece/cd_nom/80639","Agrostis gigantea Roth, 1788")</f>
        <v>Agrostis gigantea Roth, 1788</v>
      </c>
      <c r="F23472" s="5" t="s">
        <v>30387</v>
      </c>
      <c r="Q23472" s="7" t="str">
        <f>HYPERLINK("#Liste_rouge!A"&amp;_xlfn.XMATCH("LC",Liste_rouge!A:A,2,1),"LC")</f>
        <v>LC</v>
      </c>
      <c r="T23472" s="7" t="str">
        <f>HYPERLINK("#Liste_rouge!A"&amp;_xlfn.XMATCH("LC",Liste_rouge!A:A,2,1),"LC")</f>
        <v>LC</v>
      </c>
      <c r="V23472" s="7" t="str">
        <f>HYPERLINK("#Liste_rouge!A"&amp;_xlfn.XMATCH("LC",Liste_rouge!A:A,2,1),"LC")</f>
        <v>LC</v>
      </c>
      <c r="AH23472" s="4" t="str">
        <f>HYPERLINK("#Statut_biogéographique!A"&amp;_xlfn.XMATCH("P",Statut_biogéographique!A:A,2,1),"P")</f>
        <v>P</v>
      </c>
      <c r="AM23472" s="4" t="s">
        <v>375</v>
      </c>
      <c r="AN23472" s="4" t="s">
        <v>375</v>
      </c>
      <c r="AO23472" s="4" t="s">
        <v>375</v>
      </c>
      <c r="AP23472" s="4" t="s">
        <v>376</v>
      </c>
      <c r="AR23472" s="4" t="s">
        <v>377</v>
      </c>
    </row>
    <row r="23473" spans="1:44" ht="45">
      <c r="A23473" s="4" t="s">
        <v>24364</v>
      </c>
      <c r="B23473" s="4">
        <v>80739</v>
      </c>
      <c r="D23473" s="5" t="s">
        <v>30388</v>
      </c>
      <c r="E23473" s="6" t="str">
        <f>HYPERLINK("https://inpn.mnhn.fr/espece/cd_nom/80739","Agrostis schleicheri Jord. &amp; Verl., 1855")</f>
        <v>Agrostis schleicheri Jord. &amp; Verl., 1855</v>
      </c>
      <c r="F23473" s="5" t="s">
        <v>30389</v>
      </c>
      <c r="Q23473" s="7" t="str">
        <f>HYPERLINK("#Liste_rouge!A"&amp;_xlfn.XMATCH("LC",Liste_rouge!A:A,2,1),"LC")</f>
        <v>LC</v>
      </c>
      <c r="AH23473" s="4" t="str">
        <f>HYPERLINK("#Statut_biogéographique!A"&amp;_xlfn.XMATCH("P",Statut_biogéographique!A:A,2,1),"P")</f>
        <v>P</v>
      </c>
      <c r="AP23473" s="4" t="s">
        <v>376</v>
      </c>
      <c r="AR23473" s="4" t="s">
        <v>377</v>
      </c>
    </row>
    <row r="23474" spans="1:44" ht="300">
      <c r="A23474" s="4" t="s">
        <v>24364</v>
      </c>
      <c r="B23474" s="4">
        <v>80759</v>
      </c>
      <c r="D23474" s="5" t="s">
        <v>30390</v>
      </c>
      <c r="E23474" s="6" t="str">
        <f>HYPERLINK("https://inpn.mnhn.fr/espece/cd_nom/80759","Agrostis stolonifera L., 1753")</f>
        <v>Agrostis stolonifera L., 1753</v>
      </c>
      <c r="F23474" s="5" t="s">
        <v>28893</v>
      </c>
      <c r="O23474" s="7" t="str">
        <f>HYPERLINK("#Liste_rouge!A"&amp;_xlfn.XMATCH("LC",Liste_rouge!A:A,2,1),"LC")</f>
        <v>LC</v>
      </c>
      <c r="P23474" s="7" t="str">
        <f>HYPERLINK("#Liste_rouge!A"&amp;_xlfn.XMATCH("LC",Liste_rouge!A:A,2,1),"LC")</f>
        <v>LC</v>
      </c>
      <c r="Q23474" s="7" t="str">
        <f>HYPERLINK("#Liste_rouge!A"&amp;_xlfn.XMATCH("LC",Liste_rouge!A:A,2,1),"LC")</f>
        <v>LC</v>
      </c>
      <c r="T23474" s="7" t="str">
        <f>HYPERLINK("#Liste_rouge!A"&amp;_xlfn.XMATCH("LC",Liste_rouge!A:A,2,1),"LC")</f>
        <v>LC</v>
      </c>
      <c r="V23474" s="7" t="str">
        <f>HYPERLINK("#Liste_rouge!A"&amp;_xlfn.XMATCH("LC",Liste_rouge!A:A,2,1),"LC")</f>
        <v>LC</v>
      </c>
      <c r="AH23474" s="4" t="str">
        <f>HYPERLINK("#Statut_biogéographique!A"&amp;_xlfn.XMATCH("P",Statut_biogéographique!A:A,2,1),"P")</f>
        <v>P</v>
      </c>
      <c r="AM23474" s="4" t="s">
        <v>375</v>
      </c>
      <c r="AN23474" s="4" t="s">
        <v>375</v>
      </c>
      <c r="AO23474" s="4" t="s">
        <v>375</v>
      </c>
      <c r="AP23474" s="4" t="s">
        <v>376</v>
      </c>
      <c r="AR23474" s="4" t="s">
        <v>377</v>
      </c>
    </row>
    <row r="23475" spans="1:44" ht="195">
      <c r="A23475" s="4" t="s">
        <v>24364</v>
      </c>
      <c r="B23475" s="4">
        <v>80798</v>
      </c>
      <c r="D23475" s="5" t="s">
        <v>30391</v>
      </c>
      <c r="E23475" s="6" t="str">
        <f>HYPERLINK("https://inpn.mnhn.fr/espece/cd_nom/80798","Agrostis vinealis Schreb., 1771")</f>
        <v>Agrostis vinealis Schreb., 1771</v>
      </c>
      <c r="F23475" s="5" t="s">
        <v>30392</v>
      </c>
      <c r="Q23475" s="7" t="str">
        <f>HYPERLINK("#Liste_rouge!A"&amp;_xlfn.XMATCH("LC",Liste_rouge!A:A,2,1),"LC")</f>
        <v>LC</v>
      </c>
      <c r="T23475" s="7" t="str">
        <f>HYPERLINK("#Liste_rouge!A"&amp;_xlfn.XMATCH("VU",Liste_rouge!A:A,2,1),"VU")</f>
        <v>VU</v>
      </c>
      <c r="U23475" s="4" t="str">
        <f>HYPERLINK("#Critères_liste_rouge!A$1","D1")</f>
        <v>D1</v>
      </c>
      <c r="X23475" s="5" t="s">
        <v>374</v>
      </c>
      <c r="AB23475" s="4" t="s">
        <v>93</v>
      </c>
      <c r="AH23475" s="4" t="str">
        <f>HYPERLINK("#Statut_biogéographique!A"&amp;_xlfn.XMATCH("P",Statut_biogéographique!A:A,2,1),"P")</f>
        <v>P</v>
      </c>
      <c r="AM23475" s="4" t="s">
        <v>375</v>
      </c>
      <c r="AN23475" s="4" t="s">
        <v>375</v>
      </c>
      <c r="AO23475" s="4" t="s">
        <v>375</v>
      </c>
      <c r="AP23475" s="4" t="s">
        <v>376</v>
      </c>
      <c r="AR23475" s="4" t="s">
        <v>377</v>
      </c>
    </row>
    <row r="23476" spans="1:44">
      <c r="A23476" s="4" t="s">
        <v>24364</v>
      </c>
      <c r="B23476" s="4">
        <v>80819</v>
      </c>
      <c r="D23476" s="5" t="s">
        <v>30393</v>
      </c>
      <c r="E23476" s="6" t="str">
        <f>HYPERLINK("https://inpn.mnhn.fr/espece/cd_nom/80819","Agrostis x murbeckii Fouill., 1933")</f>
        <v>Agrostis x murbeckii Fouill., 1933</v>
      </c>
      <c r="F23476" s="5" t="s">
        <v>30394</v>
      </c>
      <c r="AH23476" s="4" t="str">
        <f>HYPERLINK("#Statut_biogéographique!A"&amp;_xlfn.XMATCH("P",Statut_biogéographique!A:A,2,1),"P")</f>
        <v>P</v>
      </c>
      <c r="AP23476" s="4" t="s">
        <v>376</v>
      </c>
      <c r="AR23476" s="4" t="s">
        <v>377</v>
      </c>
    </row>
    <row r="23477" spans="1:44" ht="45">
      <c r="A23477" s="4" t="s">
        <v>24364</v>
      </c>
      <c r="B23477" s="4">
        <v>80824</v>
      </c>
      <c r="D23477" s="5" t="s">
        <v>30395</v>
      </c>
      <c r="E23477" s="6" t="str">
        <f>HYPERLINK("https://inpn.mnhn.fr/espece/cd_nom/80824","Ailanthus altissima (Mill.) Swingle, 1916")</f>
        <v>Ailanthus altissima (Mill.) Swingle, 1916</v>
      </c>
      <c r="F23477" s="5" t="s">
        <v>30396</v>
      </c>
      <c r="Q23477" s="7" t="str">
        <f>HYPERLINK("#Liste_rouge!A"&amp;_xlfn.XMATCH("NA",Liste_rouge!A:A,2,1),"NA")</f>
        <v>NA</v>
      </c>
      <c r="T23477" s="7" t="str">
        <f>HYPERLINK("#Liste_rouge!A"&amp;_xlfn.XMATCH("NA",Liste_rouge!A:A,2,1),"NA")</f>
        <v>NA</v>
      </c>
      <c r="AH23477" s="4" t="str">
        <f>HYPERLINK("#Statut_biogéographique!A"&amp;_xlfn.XMATCH("J",Statut_biogéographique!A:A,2,1),"J")</f>
        <v>J</v>
      </c>
      <c r="AL23477" s="5" t="str">
        <f>HYPERLINK("#Réglementation!A"&amp;_xlfn.XMATCH("FRnoEEEV",Réglementation!A:A,2,1),"FRnoEEEV - EEEUE")</f>
        <v>FRnoEEEV - EEEUE</v>
      </c>
      <c r="AM23477" s="4" t="s">
        <v>375</v>
      </c>
      <c r="AN23477" s="4" t="s">
        <v>375</v>
      </c>
      <c r="AO23477" s="4" t="s">
        <v>375</v>
      </c>
      <c r="AP23477" s="4" t="s">
        <v>376</v>
      </c>
      <c r="AR23477" s="4" t="s">
        <v>377</v>
      </c>
    </row>
    <row r="23478" spans="1:44" ht="105">
      <c r="A23478" s="4" t="s">
        <v>24364</v>
      </c>
      <c r="B23478" s="4">
        <v>80857</v>
      </c>
      <c r="D23478" s="5" t="s">
        <v>30397</v>
      </c>
      <c r="E23478" s="6" t="str">
        <f>HYPERLINK("https://inpn.mnhn.fr/espece/cd_nom/80857","Aira caryophyllea L., 1753")</f>
        <v>Aira caryophyllea L., 1753</v>
      </c>
      <c r="F23478" s="5" t="s">
        <v>30398</v>
      </c>
      <c r="Q23478" s="7" t="str">
        <f>HYPERLINK("#Liste_rouge!A"&amp;_xlfn.XMATCH("LC",Liste_rouge!A:A,2,1),"LC")</f>
        <v>LC</v>
      </c>
      <c r="T23478" s="7" t="str">
        <f>HYPERLINK("#Liste_rouge!A"&amp;_xlfn.XMATCH("LC",Liste_rouge!A:A,2,1),"LC")</f>
        <v>LC</v>
      </c>
      <c r="V23478" s="7" t="str">
        <f>HYPERLINK("#Liste_rouge!A"&amp;_xlfn.XMATCH("LC",Liste_rouge!A:A,2,1),"LC")</f>
        <v>LC</v>
      </c>
      <c r="AH23478" s="4" t="str">
        <f>HYPERLINK("#Statut_biogéographique!A"&amp;_xlfn.XMATCH("P",Statut_biogéographique!A:A,2,1),"P")</f>
        <v>P</v>
      </c>
      <c r="AM23478" s="4" t="s">
        <v>375</v>
      </c>
      <c r="AN23478" s="4" t="s">
        <v>375</v>
      </c>
      <c r="AO23478" s="4" t="s">
        <v>375</v>
      </c>
      <c r="AP23478" s="4" t="s">
        <v>376</v>
      </c>
      <c r="AR23478" s="4" t="s">
        <v>377</v>
      </c>
    </row>
    <row r="23479" spans="1:44" ht="90">
      <c r="A23479" s="4" t="s">
        <v>24364</v>
      </c>
      <c r="B23479" s="4">
        <v>80871</v>
      </c>
      <c r="D23479" s="5" t="s">
        <v>30399</v>
      </c>
      <c r="E23479" s="6" t="str">
        <f>HYPERLINK("https://inpn.mnhn.fr/espece/cd_nom/80871","Aira elegantissima Schur, 1853")</f>
        <v>Aira elegantissima Schur, 1853</v>
      </c>
      <c r="F23479" s="5" t="s">
        <v>30400</v>
      </c>
      <c r="Q23479" s="7" t="str">
        <f>HYPERLINK("#Liste_rouge!A"&amp;_xlfn.XMATCH("LC",Liste_rouge!A:A,2,1),"LC")</f>
        <v>LC</v>
      </c>
      <c r="T23479" s="7" t="str">
        <f>HYPERLINK("#Liste_rouge!A"&amp;_xlfn.XMATCH("NA",Liste_rouge!A:A,2,1),"NA")</f>
        <v>NA</v>
      </c>
      <c r="AH23479" s="4" t="str">
        <f>HYPERLINK("#Statut_biogéographique!A"&amp;_xlfn.XMATCH("P",Statut_biogéographique!A:A,2,1),"P")</f>
        <v>P</v>
      </c>
      <c r="AP23479" s="4" t="s">
        <v>376</v>
      </c>
      <c r="AR23479" s="4" t="s">
        <v>377</v>
      </c>
    </row>
    <row r="23480" spans="1:44" ht="75">
      <c r="A23480" s="4" t="s">
        <v>24364</v>
      </c>
      <c r="B23480" s="4">
        <v>80902</v>
      </c>
      <c r="D23480" s="5" t="s">
        <v>30401</v>
      </c>
      <c r="E23480" s="6" t="str">
        <f>HYPERLINK("https://inpn.mnhn.fr/espece/cd_nom/80902","Aira multiculmis Dumort., 1824")</f>
        <v>Aira multiculmis Dumort., 1824</v>
      </c>
      <c r="F23480" s="5" t="s">
        <v>30402</v>
      </c>
      <c r="Q23480" s="7" t="str">
        <f>HYPERLINK("#Liste_rouge!A"&amp;_xlfn.XMATCH("LC",Liste_rouge!A:A,2,1),"LC")</f>
        <v>LC</v>
      </c>
      <c r="T23480" s="7" t="str">
        <f>HYPERLINK("#Liste_rouge!A"&amp;_xlfn.XMATCH("VU",Liste_rouge!A:A,2,1),"VU")</f>
        <v>VU</v>
      </c>
      <c r="U23480" s="4" t="str">
        <f>HYPERLINK("#Critères_liste_rouge!A$1","D2")</f>
        <v>D2</v>
      </c>
      <c r="V23480" s="7" t="str">
        <f>HYPERLINK("#Liste_rouge!A"&amp;_xlfn.XMATCH("RE",Liste_rouge!A:A,2,1),"RE")</f>
        <v>RE</v>
      </c>
      <c r="X23480" s="5" t="s">
        <v>374</v>
      </c>
      <c r="AB23480" s="4" t="s">
        <v>93</v>
      </c>
      <c r="AH23480" s="4" t="str">
        <f>HYPERLINK("#Statut_biogéographique!A"&amp;_xlfn.XMATCH("P",Statut_biogéographique!A:A,2,1),"P")</f>
        <v>P</v>
      </c>
      <c r="AM23480" s="4" t="s">
        <v>375</v>
      </c>
      <c r="AN23480" s="4" t="s">
        <v>375</v>
      </c>
      <c r="AO23480" s="4" t="s">
        <v>375</v>
      </c>
      <c r="AP23480" s="4" t="s">
        <v>376</v>
      </c>
      <c r="AR23480" s="4" t="s">
        <v>377</v>
      </c>
    </row>
    <row r="23481" spans="1:44" ht="45">
      <c r="A23481" s="4" t="s">
        <v>24364</v>
      </c>
      <c r="B23481" s="4">
        <v>80911</v>
      </c>
      <c r="D23481" s="5" t="s">
        <v>30403</v>
      </c>
      <c r="E23481" s="6" t="str">
        <f>HYPERLINK("https://inpn.mnhn.fr/espece/cd_nom/80911","Aira praecox L., 1753 [nom. et typ. cons.]")</f>
        <v>Aira praecox L., 1753 [nom. et typ. cons.]</v>
      </c>
      <c r="F23481" s="5" t="s">
        <v>30404</v>
      </c>
      <c r="Q23481" s="7" t="str">
        <f>HYPERLINK("#Liste_rouge!A"&amp;_xlfn.XMATCH("LC",Liste_rouge!A:A,2,1),"LC")</f>
        <v>LC</v>
      </c>
      <c r="T23481" s="7" t="str">
        <f>HYPERLINK("#Liste_rouge!A"&amp;_xlfn.XMATCH("LC",Liste_rouge!A:A,2,1),"LC")</f>
        <v>LC</v>
      </c>
      <c r="V23481" s="7" t="str">
        <f>HYPERLINK("#Liste_rouge!A"&amp;_xlfn.XMATCH("RE",Liste_rouge!A:A,2,1),"RE")</f>
        <v>RE</v>
      </c>
      <c r="AB23481" s="4" t="s">
        <v>24634</v>
      </c>
      <c r="AH23481" s="4" t="str">
        <f>HYPERLINK("#Statut_biogéographique!A"&amp;_xlfn.XMATCH("P",Statut_biogéographique!A:A,2,1),"P")</f>
        <v>P</v>
      </c>
      <c r="AM23481" s="4" t="s">
        <v>375</v>
      </c>
      <c r="AN23481" s="4" t="s">
        <v>375</v>
      </c>
      <c r="AO23481" s="4" t="s">
        <v>375</v>
      </c>
      <c r="AP23481" s="4" t="s">
        <v>376</v>
      </c>
      <c r="AR23481" s="4" t="s">
        <v>377</v>
      </c>
    </row>
    <row r="23482" spans="1:44" ht="30">
      <c r="A23482" s="4" t="s">
        <v>24364</v>
      </c>
      <c r="B23482" s="4">
        <v>80978</v>
      </c>
      <c r="D23482" s="5" t="s">
        <v>30405</v>
      </c>
      <c r="E23482" s="6" t="str">
        <f>HYPERLINK("https://inpn.mnhn.fr/espece/cd_nom/80978","Ajuga chamaepitys (L.) Schreb., 1773")</f>
        <v>Ajuga chamaepitys (L.) Schreb., 1773</v>
      </c>
      <c r="F23482" s="5" t="s">
        <v>28280</v>
      </c>
      <c r="Q23482" s="7" t="str">
        <f>HYPERLINK("#Liste_rouge!A"&amp;_xlfn.XMATCH("LC",Liste_rouge!A:A,2,1),"LC")</f>
        <v>LC</v>
      </c>
      <c r="T23482" s="7" t="str">
        <f>HYPERLINK("#Liste_rouge!A"&amp;_xlfn.XMATCH("LC",Liste_rouge!A:A,2,1),"LC")</f>
        <v>LC</v>
      </c>
      <c r="V23482" s="7" t="str">
        <f>HYPERLINK("#Liste_rouge!A"&amp;_xlfn.XMATCH("NT",Liste_rouge!A:A,2,1),"NT")</f>
        <v>NT</v>
      </c>
      <c r="W23482" s="4" t="str">
        <f>HYPERLINK("#Critères_liste_rouge!A$1","pr. A3c B2b(iii)")</f>
        <v>pr. A3c B2b(iii)</v>
      </c>
      <c r="AB23482" s="4" t="s">
        <v>30406</v>
      </c>
      <c r="AH23482" s="4" t="str">
        <f>HYPERLINK("#Statut_biogéographique!A"&amp;_xlfn.XMATCH("P",Statut_biogéographique!A:A,2,1),"P")</f>
        <v>P</v>
      </c>
      <c r="AI23482" s="8" t="s">
        <v>30407</v>
      </c>
      <c r="AJ23482" s="4" t="s">
        <v>12248</v>
      </c>
      <c r="AM23482" s="4" t="s">
        <v>375</v>
      </c>
      <c r="AN23482" s="4" t="s">
        <v>375</v>
      </c>
      <c r="AO23482" s="4" t="s">
        <v>375</v>
      </c>
      <c r="AP23482" s="4" t="s">
        <v>376</v>
      </c>
      <c r="AR23482" s="4" t="s">
        <v>377</v>
      </c>
    </row>
    <row r="23483" spans="1:44" ht="45">
      <c r="A23483" s="4" t="s">
        <v>24364</v>
      </c>
      <c r="B23483" s="4">
        <v>80980</v>
      </c>
      <c r="D23483" s="5" t="s">
        <v>30408</v>
      </c>
      <c r="E23483" s="6" t="str">
        <f>HYPERLINK("https://inpn.mnhn.fr/espece/cd_nom/80980","Ajuga genevensis L., 1753")</f>
        <v>Ajuga genevensis L., 1753</v>
      </c>
      <c r="F23483" s="5" t="s">
        <v>30409</v>
      </c>
      <c r="Q23483" s="7" t="str">
        <f>HYPERLINK("#Liste_rouge!A"&amp;_xlfn.XMATCH("LC",Liste_rouge!A:A,2,1),"LC")</f>
        <v>LC</v>
      </c>
      <c r="T23483" s="7" t="str">
        <f>HYPERLINK("#Liste_rouge!A"&amp;_xlfn.XMATCH("LC",Liste_rouge!A:A,2,1),"LC")</f>
        <v>LC</v>
      </c>
      <c r="V23483" s="7" t="str">
        <f>HYPERLINK("#Liste_rouge!A"&amp;_xlfn.XMATCH("LC",Liste_rouge!A:A,2,1),"LC")</f>
        <v>LC</v>
      </c>
      <c r="AB23483" s="4" t="s">
        <v>24719</v>
      </c>
      <c r="AH23483" s="4" t="str">
        <f>HYPERLINK("#Statut_biogéographique!A"&amp;_xlfn.XMATCH("P",Statut_biogéographique!A:A,2,1),"P")</f>
        <v>P</v>
      </c>
      <c r="AM23483" s="4" t="s">
        <v>375</v>
      </c>
      <c r="AN23483" s="4" t="s">
        <v>375</v>
      </c>
      <c r="AO23483" s="4" t="s">
        <v>375</v>
      </c>
      <c r="AP23483" s="4" t="s">
        <v>376</v>
      </c>
      <c r="AR23483" s="4" t="s">
        <v>377</v>
      </c>
    </row>
    <row r="23484" spans="1:44" ht="45">
      <c r="A23484" s="4" t="s">
        <v>24364</v>
      </c>
      <c r="B23484" s="4">
        <v>80990</v>
      </c>
      <c r="D23484" s="5" t="s">
        <v>30410</v>
      </c>
      <c r="E23484" s="6" t="str">
        <f>HYPERLINK("https://inpn.mnhn.fr/espece/cd_nom/80990","Ajuga reptans L., 1753")</f>
        <v>Ajuga reptans L., 1753</v>
      </c>
      <c r="F23484" s="5" t="s">
        <v>30411</v>
      </c>
      <c r="Q23484" s="7" t="str">
        <f>HYPERLINK("#Liste_rouge!A"&amp;_xlfn.XMATCH("LC",Liste_rouge!A:A,2,1),"LC")</f>
        <v>LC</v>
      </c>
      <c r="T23484" s="7" t="str">
        <f>HYPERLINK("#Liste_rouge!A"&amp;_xlfn.XMATCH("LC",Liste_rouge!A:A,2,1),"LC")</f>
        <v>LC</v>
      </c>
      <c r="V23484" s="7" t="str">
        <f>HYPERLINK("#Liste_rouge!A"&amp;_xlfn.XMATCH("LC",Liste_rouge!A:A,2,1),"LC")</f>
        <v>LC</v>
      </c>
      <c r="AH23484" s="4" t="str">
        <f>HYPERLINK("#Statut_biogéographique!A"&amp;_xlfn.XMATCH("P",Statut_biogéographique!A:A,2,1),"P")</f>
        <v>P</v>
      </c>
      <c r="AM23484" s="4" t="s">
        <v>375</v>
      </c>
      <c r="AN23484" s="4" t="s">
        <v>375</v>
      </c>
      <c r="AO23484" s="4" t="s">
        <v>375</v>
      </c>
      <c r="AP23484" s="4" t="s">
        <v>376</v>
      </c>
      <c r="AR23484" s="4" t="s">
        <v>377</v>
      </c>
    </row>
    <row r="23485" spans="1:44" ht="30">
      <c r="A23485" s="4" t="s">
        <v>24364</v>
      </c>
      <c r="B23485" s="4">
        <v>809935</v>
      </c>
      <c r="D23485" s="5" t="s">
        <v>30412</v>
      </c>
      <c r="E23485" s="6" t="str">
        <f>HYPERLINK("https://inpn.mnhn.fr/espece/cd_nom/809935","Brachytheciastrum salicinum (Schimp.) J.D.Orgaz, M.J.Cano &amp; J.Guerra, 2013")</f>
        <v>Brachytheciastrum salicinum (Schimp.) J.D.Orgaz, M.J.Cano &amp; J.Guerra, 2013</v>
      </c>
      <c r="V23485" s="7" t="str">
        <f>HYPERLINK("#Liste_rouge!A"&amp;_xlfn.XMATCH("NE",Liste_rouge!A:A,2,1),"NE")</f>
        <v>NE</v>
      </c>
      <c r="AH23485" s="4" t="str">
        <f>HYPERLINK("#Statut_biogéographique!A"&amp;_xlfn.XMATCH("P",Statut_biogéographique!A:A,2,1),"P")</f>
        <v>P</v>
      </c>
      <c r="AP23485" s="4" t="s">
        <v>376</v>
      </c>
      <c r="AR23485" s="4" t="s">
        <v>377</v>
      </c>
    </row>
    <row r="23486" spans="1:44">
      <c r="A23486" s="4" t="s">
        <v>24364</v>
      </c>
      <c r="B23486" s="4">
        <v>80998</v>
      </c>
      <c r="D23486" s="5" t="s">
        <v>30413</v>
      </c>
      <c r="E23486" s="6" t="str">
        <f>HYPERLINK("https://inpn.mnhn.fr/espece/cd_nom/80998","Ajuga x hybrida A.Kern., 1874")</f>
        <v>Ajuga x hybrida A.Kern., 1874</v>
      </c>
      <c r="F23486" s="5" t="s">
        <v>30414</v>
      </c>
      <c r="T23486" s="7" t="str">
        <f>HYPERLINK("#Liste_rouge!A"&amp;_xlfn.XMATCH("NE",Liste_rouge!A:A,2,1),"NE")</f>
        <v>NE</v>
      </c>
      <c r="AH23486" s="4" t="str">
        <f>HYPERLINK("#Statut_biogéographique!A"&amp;_xlfn.XMATCH("P",Statut_biogéographique!A:A,2,1),"P")</f>
        <v>P</v>
      </c>
      <c r="AP23486" s="4" t="s">
        <v>376</v>
      </c>
      <c r="AR23486" s="4" t="s">
        <v>377</v>
      </c>
    </row>
    <row r="23487" spans="1:44" ht="30">
      <c r="A23487" s="4" t="s">
        <v>24364</v>
      </c>
      <c r="B23487" s="4">
        <v>81023</v>
      </c>
      <c r="D23487" s="5" t="s">
        <v>30415</v>
      </c>
      <c r="E23487" s="6" t="str">
        <f>HYPERLINK("https://inpn.mnhn.fr/espece/cd_nom/81023","Alcea rosea L., 1753")</f>
        <v>Alcea rosea L., 1753</v>
      </c>
      <c r="F23487" s="5" t="s">
        <v>30416</v>
      </c>
      <c r="Q23487" s="7" t="str">
        <f>HYPERLINK("#Liste_rouge!A"&amp;_xlfn.XMATCH("LC",Liste_rouge!A:A,2,1),"LC")</f>
        <v>LC</v>
      </c>
      <c r="T23487" s="7" t="str">
        <f>HYPERLINK("#Liste_rouge!A"&amp;_xlfn.XMATCH("NA",Liste_rouge!A:A,2,1),"NA")</f>
        <v>NA</v>
      </c>
      <c r="AH23487" s="4" t="str">
        <f>HYPERLINK("#Statut_biogéographique!A"&amp;_xlfn.XMATCH("I",Statut_biogéographique!A:A,2,1),"I")</f>
        <v>I</v>
      </c>
      <c r="AP23487" s="4" t="s">
        <v>376</v>
      </c>
      <c r="AR23487" s="4" t="s">
        <v>377</v>
      </c>
    </row>
    <row r="23488" spans="1:44" ht="45">
      <c r="A23488" s="4" t="s">
        <v>24364</v>
      </c>
      <c r="B23488" s="4">
        <v>81027</v>
      </c>
      <c r="D23488" s="5" t="s">
        <v>30417</v>
      </c>
      <c r="E23488" s="6" t="str">
        <f>HYPERLINK("https://inpn.mnhn.fr/espece/cd_nom/81027","Alchemilla acutiloba Opiz, 1838")</f>
        <v>Alchemilla acutiloba Opiz, 1838</v>
      </c>
      <c r="F23488" s="5" t="s">
        <v>30418</v>
      </c>
      <c r="P23488" s="7" t="str">
        <f>HYPERLINK("#Liste_rouge!A"&amp;_xlfn.XMATCH("LC",Liste_rouge!A:A,2,1),"LC")</f>
        <v>LC</v>
      </c>
      <c r="Q23488" s="7" t="str">
        <f>HYPERLINK("#Liste_rouge!A"&amp;_xlfn.XMATCH("LC",Liste_rouge!A:A,2,1),"LC")</f>
        <v>LC</v>
      </c>
      <c r="V23488" s="7" t="str">
        <f>HYPERLINK("#Liste_rouge!A"&amp;_xlfn.XMATCH("LC",Liste_rouge!A:A,2,1),"LC")</f>
        <v>LC</v>
      </c>
      <c r="AH23488" s="4" t="str">
        <f>HYPERLINK("#Statut_biogéographique!A"&amp;_xlfn.XMATCH("P",Statut_biogéographique!A:A,2,1),"P")</f>
        <v>P</v>
      </c>
      <c r="AM23488" s="4" t="s">
        <v>375</v>
      </c>
      <c r="AN23488" s="4" t="s">
        <v>375</v>
      </c>
      <c r="AO23488" s="4" t="s">
        <v>375</v>
      </c>
      <c r="AP23488" s="4" t="s">
        <v>376</v>
      </c>
      <c r="AR23488" s="4" t="s">
        <v>377</v>
      </c>
    </row>
    <row r="23489" spans="1:44" ht="90">
      <c r="A23489" s="4" t="s">
        <v>24364</v>
      </c>
      <c r="B23489" s="4">
        <v>81032</v>
      </c>
      <c r="D23489" s="5" t="s">
        <v>30419</v>
      </c>
      <c r="E23489" s="6" t="str">
        <f>HYPERLINK("https://inpn.mnhn.fr/espece/cd_nom/81032","Alchemilla alpigena Buser, 1894")</f>
        <v>Alchemilla alpigena Buser, 1894</v>
      </c>
      <c r="F23489" s="5" t="s">
        <v>30420</v>
      </c>
      <c r="Q23489" s="7" t="str">
        <f>HYPERLINK("#Liste_rouge!A"&amp;_xlfn.XMATCH("LC",Liste_rouge!A:A,2,1),"LC")</f>
        <v>LC</v>
      </c>
      <c r="V23489" s="7" t="str">
        <f>HYPERLINK("#Liste_rouge!A"&amp;_xlfn.XMATCH("LC",Liste_rouge!A:A,2,1),"LC")</f>
        <v>LC</v>
      </c>
      <c r="AH23489" s="4" t="str">
        <f>HYPERLINK("#Statut_biogéographique!A"&amp;_xlfn.XMATCH("P",Statut_biogéographique!A:A,2,1),"P")</f>
        <v>P</v>
      </c>
      <c r="AM23489" s="4" t="s">
        <v>375</v>
      </c>
      <c r="AN23489" s="4" t="s">
        <v>375</v>
      </c>
      <c r="AO23489" s="4" t="s">
        <v>375</v>
      </c>
      <c r="AP23489" s="4" t="s">
        <v>376</v>
      </c>
      <c r="AR23489" s="4" t="s">
        <v>377</v>
      </c>
    </row>
    <row r="23490" spans="1:44" ht="30">
      <c r="A23490" s="4" t="s">
        <v>24364</v>
      </c>
      <c r="B23490" s="4">
        <v>81033</v>
      </c>
      <c r="D23490" s="5" t="s">
        <v>30421</v>
      </c>
      <c r="E23490" s="6" t="str">
        <f>HYPERLINK("https://inpn.mnhn.fr/espece/cd_nom/81033","Alchemilla alpina L., 1753")</f>
        <v>Alchemilla alpina L., 1753</v>
      </c>
      <c r="F23490" s="5" t="s">
        <v>30422</v>
      </c>
      <c r="Q23490" s="7" t="str">
        <f>HYPERLINK("#Liste_rouge!A"&amp;_xlfn.XMATCH("LC",Liste_rouge!A:A,2,1),"LC")</f>
        <v>LC</v>
      </c>
      <c r="T23490" s="7" t="str">
        <f>HYPERLINK("#Liste_rouge!A"&amp;_xlfn.XMATCH("NA",Liste_rouge!A:A,2,1),"NA")</f>
        <v>NA</v>
      </c>
      <c r="AH23490" s="4" t="str">
        <f>HYPERLINK("#Statut_biogéographique!A"&amp;_xlfn.XMATCH("P",Statut_biogéographique!A:A,2,1),"P")</f>
        <v>P</v>
      </c>
      <c r="AP23490" s="4" t="s">
        <v>376</v>
      </c>
      <c r="AR23490" s="4" t="s">
        <v>377</v>
      </c>
    </row>
    <row r="23491" spans="1:44" ht="30">
      <c r="A23491" s="4" t="s">
        <v>24364</v>
      </c>
      <c r="B23491" s="4">
        <v>81035</v>
      </c>
      <c r="D23491" s="5" t="s">
        <v>30423</v>
      </c>
      <c r="E23491" s="6" t="str">
        <f>HYPERLINK("https://inpn.mnhn.fr/espece/cd_nom/81035","Alchemilla amphisericea Buser, 1906")</f>
        <v>Alchemilla amphisericea Buser, 1906</v>
      </c>
      <c r="F23491" s="5" t="s">
        <v>30424</v>
      </c>
      <c r="Q23491" s="7" t="str">
        <f>HYPERLINK("#Liste_rouge!A"&amp;_xlfn.XMATCH("LC",Liste_rouge!A:A,2,1),"LC")</f>
        <v>LC</v>
      </c>
      <c r="V23491" s="7" t="str">
        <f>HYPERLINK("#Liste_rouge!A"&amp;_xlfn.XMATCH("EN",Liste_rouge!A:A,2,1),"EN")</f>
        <v>EN</v>
      </c>
      <c r="W23491" s="4" t="str">
        <f>HYPERLINK("#Critères_liste_rouge!A$1","D")</f>
        <v>D</v>
      </c>
      <c r="X23491" s="5" t="s">
        <v>374</v>
      </c>
      <c r="AB23491" s="4" t="s">
        <v>93</v>
      </c>
      <c r="AH23491" s="4" t="str">
        <f>HYPERLINK("#Statut_biogéographique!A"&amp;_xlfn.XMATCH("P",Statut_biogéographique!A:A,2,1),"P")</f>
        <v>P</v>
      </c>
      <c r="AM23491" s="4" t="s">
        <v>375</v>
      </c>
      <c r="AN23491" s="4" t="s">
        <v>375</v>
      </c>
      <c r="AO23491" s="4" t="s">
        <v>375</v>
      </c>
      <c r="AP23491" s="4" t="s">
        <v>376</v>
      </c>
      <c r="AR23491" s="4" t="s">
        <v>377</v>
      </c>
    </row>
    <row r="23492" spans="1:44" ht="30">
      <c r="A23492" s="4" t="s">
        <v>24364</v>
      </c>
      <c r="B23492" s="4">
        <v>81057</v>
      </c>
      <c r="D23492" s="5" t="s">
        <v>30425</v>
      </c>
      <c r="E23492" s="6" t="str">
        <f>HYPERLINK("https://inpn.mnhn.fr/espece/cd_nom/81057","Alchemilla conjuncta Bab., 1842")</f>
        <v>Alchemilla conjuncta Bab., 1842</v>
      </c>
      <c r="F23492" s="5" t="s">
        <v>30426</v>
      </c>
      <c r="Q23492" s="7" t="str">
        <f>HYPERLINK("#Liste_rouge!A"&amp;_xlfn.XMATCH("LC",Liste_rouge!A:A,2,1),"LC")</f>
        <v>LC</v>
      </c>
      <c r="AH23492" s="4" t="str">
        <f>HYPERLINK("#Statut_biogéographique!A"&amp;_xlfn.XMATCH("P",Statut_biogéographique!A:A,2,1),"P")</f>
        <v>P</v>
      </c>
      <c r="AM23492" s="4" t="s">
        <v>375</v>
      </c>
      <c r="AN23492" s="4" t="s">
        <v>375</v>
      </c>
      <c r="AO23492" s="4" t="s">
        <v>375</v>
      </c>
      <c r="AP23492" s="4" t="s">
        <v>376</v>
      </c>
      <c r="AR23492" s="4" t="s">
        <v>377</v>
      </c>
    </row>
    <row r="23493" spans="1:44" ht="45">
      <c r="A23493" s="4" t="s">
        <v>24364</v>
      </c>
      <c r="B23493" s="4">
        <v>81058</v>
      </c>
      <c r="D23493" s="5" t="s">
        <v>30427</v>
      </c>
      <c r="E23493" s="6" t="str">
        <f>HYPERLINK("https://inpn.mnhn.fr/espece/cd_nom/81058","Alchemilla connivens Buser, 1894")</f>
        <v>Alchemilla connivens Buser, 1894</v>
      </c>
      <c r="F23493" s="5" t="s">
        <v>30428</v>
      </c>
      <c r="Q23493" s="7" t="str">
        <f>HYPERLINK("#Liste_rouge!A"&amp;_xlfn.XMATCH("LC",Liste_rouge!A:A,2,1),"LC")</f>
        <v>LC</v>
      </c>
      <c r="V23493" s="7" t="str">
        <f>HYPERLINK("#Liste_rouge!A"&amp;_xlfn.XMATCH("DD",Liste_rouge!A:A,2,1),"DD")</f>
        <v>DD</v>
      </c>
      <c r="AH23493" s="4" t="str">
        <f>HYPERLINK("#Statut_biogéographique!A"&amp;_xlfn.XMATCH("P",Statut_biogéographique!A:A,2,1),"P")</f>
        <v>P</v>
      </c>
      <c r="AM23493" s="4" t="s">
        <v>375</v>
      </c>
      <c r="AN23493" s="4" t="s">
        <v>375</v>
      </c>
      <c r="AO23493" s="4" t="s">
        <v>375</v>
      </c>
      <c r="AP23493" s="4" t="s">
        <v>376</v>
      </c>
      <c r="AR23493" s="4" t="s">
        <v>377</v>
      </c>
    </row>
    <row r="23494" spans="1:44" ht="45">
      <c r="A23494" s="4" t="s">
        <v>24364</v>
      </c>
      <c r="B23494" s="4">
        <v>81059</v>
      </c>
      <c r="D23494" s="5" t="s">
        <v>30429</v>
      </c>
      <c r="E23494" s="6" t="str">
        <f>HYPERLINK("https://inpn.mnhn.fr/espece/cd_nom/81059","Alchemilla coriacea Buser, 1891")</f>
        <v>Alchemilla coriacea Buser, 1891</v>
      </c>
      <c r="F23494" s="5" t="s">
        <v>30430</v>
      </c>
      <c r="Q23494" s="7" t="str">
        <f>HYPERLINK("#Liste_rouge!A"&amp;_xlfn.XMATCH("LC",Liste_rouge!A:A,2,1),"LC")</f>
        <v>LC</v>
      </c>
      <c r="V23494" s="7" t="str">
        <f>HYPERLINK("#Liste_rouge!A"&amp;_xlfn.XMATCH("DD",Liste_rouge!A:A,2,1),"DD (cd_nom 81105) - LC (cd_nom 81059)")</f>
        <v>DD (cd_nom 81105) - LC (cd_nom 81059)</v>
      </c>
      <c r="AH23494" s="4" t="str">
        <f>HYPERLINK("#Statut_biogéographique!A"&amp;_xlfn.XMATCH("P",Statut_biogéographique!A:A,2,1),"P")</f>
        <v>P</v>
      </c>
      <c r="AM23494" s="4" t="s">
        <v>375</v>
      </c>
      <c r="AN23494" s="4" t="s">
        <v>375</v>
      </c>
      <c r="AO23494" s="4" t="s">
        <v>375</v>
      </c>
      <c r="AP23494" s="4" t="s">
        <v>376</v>
      </c>
      <c r="AR23494" s="4" t="s">
        <v>377</v>
      </c>
    </row>
    <row r="23495" spans="1:44">
      <c r="A23495" s="4" t="s">
        <v>24364</v>
      </c>
      <c r="B23495" s="4">
        <v>81063</v>
      </c>
      <c r="D23495" s="5">
        <v>81063</v>
      </c>
      <c r="E23495" s="6" t="str">
        <f>HYPERLINK("https://inpn.mnhn.fr/espece/cd_nom/81063","Alchemilla crinita Buser, 1892")</f>
        <v>Alchemilla crinita Buser, 1892</v>
      </c>
      <c r="F23495" s="5" t="s">
        <v>30431</v>
      </c>
      <c r="P23495" s="7" t="str">
        <f>HYPERLINK("#Liste_rouge!A"&amp;_xlfn.XMATCH("DD",Liste_rouge!A:A,2,1),"DD")</f>
        <v>DD</v>
      </c>
      <c r="Q23495" s="7" t="str">
        <f>HYPERLINK("#Liste_rouge!A"&amp;_xlfn.XMATCH("LC",Liste_rouge!A:A,2,1),"LC")</f>
        <v>LC</v>
      </c>
      <c r="T23495" s="7" t="str">
        <f>HYPERLINK("#Liste_rouge!A"&amp;_xlfn.XMATCH("DD",Liste_rouge!A:A,2,1),"DD")</f>
        <v>DD</v>
      </c>
      <c r="V23495" s="7" t="str">
        <f>HYPERLINK("#Liste_rouge!A"&amp;_xlfn.XMATCH("LC",Liste_rouge!A:A,2,1),"LC")</f>
        <v>LC</v>
      </c>
      <c r="AH23495" s="4" t="str">
        <f>HYPERLINK("#Statut_biogéographique!A"&amp;_xlfn.XMATCH("P",Statut_biogéographique!A:A,2,1),"P")</f>
        <v>P</v>
      </c>
      <c r="AM23495" s="4" t="s">
        <v>375</v>
      </c>
      <c r="AN23495" s="4" t="s">
        <v>375</v>
      </c>
      <c r="AO23495" s="4" t="s">
        <v>375</v>
      </c>
      <c r="AP23495" s="4" t="s">
        <v>376</v>
      </c>
      <c r="AR23495" s="4" t="s">
        <v>377</v>
      </c>
    </row>
    <row r="23496" spans="1:44">
      <c r="A23496" s="4" t="s">
        <v>24364</v>
      </c>
      <c r="B23496" s="4">
        <v>81071</v>
      </c>
      <c r="D23496" s="5" t="s">
        <v>30432</v>
      </c>
      <c r="E23496" s="6" t="str">
        <f>HYPERLINK("https://inpn.mnhn.fr/espece/cd_nom/81071","Alchemilla exigua Buser ex Paulin, 1907")</f>
        <v>Alchemilla exigua Buser ex Paulin, 1907</v>
      </c>
      <c r="F23496" s="5" t="s">
        <v>30433</v>
      </c>
      <c r="X23496" s="5" t="s">
        <v>374</v>
      </c>
      <c r="AB23496" s="4" t="s">
        <v>93</v>
      </c>
      <c r="AH23496" s="4" t="str">
        <f>HYPERLINK("#Statut_biogéographique!A"&amp;_xlfn.XMATCH("Q",Statut_biogéographique!A:A,2,1),"Q")</f>
        <v>Q</v>
      </c>
      <c r="AM23496" s="4" t="s">
        <v>375</v>
      </c>
      <c r="AN23496" s="4" t="s">
        <v>375</v>
      </c>
      <c r="AO23496" s="4" t="s">
        <v>375</v>
      </c>
      <c r="AP23496" s="4" t="s">
        <v>376</v>
      </c>
      <c r="AR23496" s="4" t="s">
        <v>377</v>
      </c>
    </row>
    <row r="23497" spans="1:44" ht="60">
      <c r="A23497" s="4" t="s">
        <v>24364</v>
      </c>
      <c r="B23497" s="4">
        <v>81073</v>
      </c>
      <c r="D23497" s="5" t="s">
        <v>30434</v>
      </c>
      <c r="E23497" s="6" t="str">
        <f>HYPERLINK("https://inpn.mnhn.fr/espece/cd_nom/81073","Alchemilla filicaulis Buser, 1893")</f>
        <v>Alchemilla filicaulis Buser, 1893</v>
      </c>
      <c r="F23497" s="5" t="s">
        <v>30435</v>
      </c>
      <c r="Q23497" s="7" t="str">
        <f>HYPERLINK("#Liste_rouge!A"&amp;_xlfn.XMATCH("LC",Liste_rouge!A:A,2,1),"LC")</f>
        <v>LC</v>
      </c>
      <c r="T23497" s="7" t="str">
        <f>HYPERLINK("#Liste_rouge!A"&amp;_xlfn.XMATCH("EN",Liste_rouge!A:A,2,1),"EN (cd_nom 152672) - VU (cd_nom 81073)")</f>
        <v>EN (cd_nom 152672) - VU (cd_nom 81073)</v>
      </c>
      <c r="U23497" s="4" t="str">
        <f>HYPERLINK("#Critères_liste_rouge!A$1","C2a(i) (cd_nom 152672)")</f>
        <v>C2a(i) (cd_nom 152672)</v>
      </c>
      <c r="V23497" s="7" t="str">
        <f>HYPERLINK("#Liste_rouge!A"&amp;_xlfn.XMATCH("LC",Liste_rouge!A:A,2,1),"LC")</f>
        <v>LC</v>
      </c>
      <c r="AB23497" s="4" t="s">
        <v>24777</v>
      </c>
      <c r="AH23497" s="4" t="str">
        <f>HYPERLINK("#Statut_biogéographique!A"&amp;_xlfn.XMATCH("P",Statut_biogéographique!A:A,2,1),"P")</f>
        <v>P</v>
      </c>
      <c r="AM23497" s="4" t="s">
        <v>375</v>
      </c>
      <c r="AN23497" s="4" t="s">
        <v>375</v>
      </c>
      <c r="AO23497" s="4" t="s">
        <v>375</v>
      </c>
      <c r="AP23497" s="4" t="s">
        <v>376</v>
      </c>
      <c r="AR23497" s="4" t="s">
        <v>377</v>
      </c>
    </row>
    <row r="23498" spans="1:44">
      <c r="A23498" s="4" t="s">
        <v>24364</v>
      </c>
      <c r="B23498" s="4">
        <v>81079</v>
      </c>
      <c r="D23498" s="5" t="s">
        <v>30436</v>
      </c>
      <c r="E23498" s="6" t="str">
        <f>HYPERLINK("https://inpn.mnhn.fr/espece/cd_nom/81079","Alchemilla flexicaulis Buser, 1893")</f>
        <v>Alchemilla flexicaulis Buser, 1893</v>
      </c>
      <c r="F23498" s="5" t="s">
        <v>30437</v>
      </c>
      <c r="Q23498" s="7" t="str">
        <f>HYPERLINK("#Liste_rouge!A"&amp;_xlfn.XMATCH("LC",Liste_rouge!A:A,2,1),"LC")</f>
        <v>LC</v>
      </c>
      <c r="V23498" s="7" t="str">
        <f>HYPERLINK("#Liste_rouge!A"&amp;_xlfn.XMATCH("DD",Liste_rouge!A:A,2,1),"DD")</f>
        <v>DD</v>
      </c>
      <c r="AH23498" s="4" t="str">
        <f>HYPERLINK("#Statut_biogéographique!A"&amp;_xlfn.XMATCH("P",Statut_biogéographique!A:A,2,1),"P")</f>
        <v>P</v>
      </c>
      <c r="AM23498" s="4" t="s">
        <v>375</v>
      </c>
      <c r="AN23498" s="4" t="s">
        <v>375</v>
      </c>
      <c r="AO23498" s="4" t="s">
        <v>375</v>
      </c>
      <c r="AP23498" s="4" t="s">
        <v>376</v>
      </c>
      <c r="AR23498" s="4" t="s">
        <v>377</v>
      </c>
    </row>
    <row r="23499" spans="1:44" ht="60">
      <c r="A23499" s="4" t="s">
        <v>24364</v>
      </c>
      <c r="B23499" s="4">
        <v>81088</v>
      </c>
      <c r="D23499" s="5" t="s">
        <v>30438</v>
      </c>
      <c r="E23499" s="6" t="str">
        <f>HYPERLINK("https://inpn.mnhn.fr/espece/cd_nom/81088","Alchemilla glabra Neygenf., 1821")</f>
        <v>Alchemilla glabra Neygenf., 1821</v>
      </c>
      <c r="F23499" s="5" t="s">
        <v>30439</v>
      </c>
      <c r="Q23499" s="7" t="str">
        <f>HYPERLINK("#Liste_rouge!A"&amp;_xlfn.XMATCH("LC",Liste_rouge!A:A,2,1),"LC")</f>
        <v>LC</v>
      </c>
      <c r="T23499" s="7" t="str">
        <f>HYPERLINK("#Liste_rouge!A"&amp;_xlfn.XMATCH("RE",Liste_rouge!A:A,2,1),"RE")</f>
        <v>RE</v>
      </c>
      <c r="V23499" s="7" t="str">
        <f>HYPERLINK("#Liste_rouge!A"&amp;_xlfn.XMATCH("DD",Liste_rouge!A:A,2,1),"DD (cd_nom 81069) - LC (cd_nom 81088)")</f>
        <v>DD (cd_nom 81069) - LC (cd_nom 81088)</v>
      </c>
      <c r="AH23499" s="4" t="str">
        <f>HYPERLINK("#Statut_biogéographique!A"&amp;_xlfn.XMATCH("P",Statut_biogéographique!A:A,2,1),"P")</f>
        <v>P</v>
      </c>
      <c r="AM23499" s="4" t="s">
        <v>375</v>
      </c>
      <c r="AN23499" s="4" t="s">
        <v>375</v>
      </c>
      <c r="AO23499" s="4" t="s">
        <v>375</v>
      </c>
      <c r="AP23499" s="4" t="s">
        <v>376</v>
      </c>
      <c r="AR23499" s="4" t="s">
        <v>377</v>
      </c>
    </row>
    <row r="23500" spans="1:44" ht="30">
      <c r="A23500" s="4" t="s">
        <v>24364</v>
      </c>
      <c r="B23500" s="4">
        <v>810895</v>
      </c>
      <c r="D23500" s="5" t="s">
        <v>30440</v>
      </c>
      <c r="E23500" s="6" t="str">
        <f>HYPERLINK("https://inpn.mnhn.fr/espece/cd_nom/810895","Cornus sanguinea nothosubsp. hungarica (Kárpáti) Soó, 1964")</f>
        <v>Cornus sanguinea nothosubsp. hungarica (Kárpáti) Soó, 1964</v>
      </c>
      <c r="F23500" s="5" t="s">
        <v>30441</v>
      </c>
      <c r="AH23500" s="4" t="str">
        <f>HYPERLINK("#Statut_biogéographique!A"&amp;_xlfn.XMATCH("I",Statut_biogéographique!A:A,2,1),"I")</f>
        <v>I</v>
      </c>
      <c r="AM23500" s="4" t="s">
        <v>375</v>
      </c>
      <c r="AN23500" s="4" t="s">
        <v>375</v>
      </c>
      <c r="AO23500" s="4" t="s">
        <v>375</v>
      </c>
      <c r="AP23500" s="4" t="s">
        <v>376</v>
      </c>
      <c r="AR23500" s="4" t="s">
        <v>377</v>
      </c>
    </row>
    <row r="23501" spans="1:44" ht="30">
      <c r="A23501" s="4" t="s">
        <v>24364</v>
      </c>
      <c r="B23501" s="4">
        <v>81091</v>
      </c>
      <c r="D23501" s="5" t="s">
        <v>30442</v>
      </c>
      <c r="E23501" s="6" t="str">
        <f>HYPERLINK("https://inpn.mnhn.fr/espece/cd_nom/81091","Alchemilla glaucescens Wallr., 1840")</f>
        <v>Alchemilla glaucescens Wallr., 1840</v>
      </c>
      <c r="F23501" s="5" t="s">
        <v>30443</v>
      </c>
      <c r="Q23501" s="7" t="str">
        <f>HYPERLINK("#Liste_rouge!A"&amp;_xlfn.XMATCH("LC",Liste_rouge!A:A,2,1),"LC")</f>
        <v>LC</v>
      </c>
      <c r="V23501" s="7" t="str">
        <f>HYPERLINK("#Liste_rouge!A"&amp;_xlfn.XMATCH("LC",Liste_rouge!A:A,2,1),"LC")</f>
        <v>LC</v>
      </c>
      <c r="AH23501" s="4" t="str">
        <f>HYPERLINK("#Statut_biogéographique!A"&amp;_xlfn.XMATCH("P",Statut_biogéographique!A:A,2,1),"P")</f>
        <v>P</v>
      </c>
      <c r="AM23501" s="4" t="s">
        <v>375</v>
      </c>
      <c r="AN23501" s="4" t="s">
        <v>375</v>
      </c>
      <c r="AO23501" s="4" t="s">
        <v>375</v>
      </c>
      <c r="AP23501" s="4" t="s">
        <v>376</v>
      </c>
      <c r="AR23501" s="4" t="s">
        <v>377</v>
      </c>
    </row>
    <row r="23502" spans="1:44" ht="30">
      <c r="A23502" s="4" t="s">
        <v>24364</v>
      </c>
      <c r="B23502" s="4">
        <v>810952</v>
      </c>
      <c r="D23502" s="5" t="s">
        <v>30444</v>
      </c>
      <c r="E23502" s="6" t="str">
        <f>HYPERLINK("https://inpn.mnhn.fr/espece/cd_nom/810952","Rubus scissoides H.E.Weber, 2013")</f>
        <v>Rubus scissoides H.E.Weber, 2013</v>
      </c>
      <c r="F23502" s="5" t="s">
        <v>26811</v>
      </c>
      <c r="AH23502" s="4" t="str">
        <f>HYPERLINK("#Statut_biogéographique!A"&amp;_xlfn.XMATCH("P",Statut_biogéographique!A:A,2,1),"P")</f>
        <v>P</v>
      </c>
      <c r="AM23502" s="4" t="s">
        <v>375</v>
      </c>
      <c r="AN23502" s="4" t="s">
        <v>375</v>
      </c>
      <c r="AO23502" s="4" t="s">
        <v>375</v>
      </c>
      <c r="AP23502" s="4" t="s">
        <v>376</v>
      </c>
      <c r="AR23502" s="4" t="s">
        <v>377</v>
      </c>
    </row>
    <row r="23503" spans="1:44">
      <c r="A23503" s="4" t="s">
        <v>24364</v>
      </c>
      <c r="B23503" s="4">
        <v>810953</v>
      </c>
      <c r="D23503" s="5" t="s">
        <v>30445</v>
      </c>
      <c r="E23503" s="6" t="str">
        <f>HYPERLINK("https://inpn.mnhn.fr/espece/cd_nom/810953","Rubus vinetorum Holandre, 1829")</f>
        <v>Rubus vinetorum Holandre, 1829</v>
      </c>
      <c r="AH23503" s="4" t="str">
        <f>HYPERLINK("#Statut_biogéographique!A"&amp;_xlfn.XMATCH("P",Statut_biogéographique!A:A,2,1),"P")</f>
        <v>P</v>
      </c>
      <c r="AP23503" s="4" t="s">
        <v>376</v>
      </c>
      <c r="AR23503" s="4" t="s">
        <v>377</v>
      </c>
    </row>
    <row r="23504" spans="1:44" ht="30">
      <c r="A23504" s="4" t="s">
        <v>24364</v>
      </c>
      <c r="B23504" s="4">
        <v>810968</v>
      </c>
      <c r="D23504" s="5" t="s">
        <v>30446</v>
      </c>
      <c r="E23504" s="6" t="str">
        <f>HYPERLINK("https://inpn.mnhn.fr/espece/cd_nom/810968","Carduus crispus subsp. multiflorus (Gaudin) Franco, 1975")</f>
        <v>Carduus crispus subsp. multiflorus (Gaudin) Franco, 1975</v>
      </c>
      <c r="F23504" s="5" t="s">
        <v>30447</v>
      </c>
      <c r="Q23504" s="7" t="str">
        <f>HYPERLINK("#Liste_rouge!A"&amp;_xlfn.XMATCH("LC",Liste_rouge!A:A,2,1),"LC")</f>
        <v>LC</v>
      </c>
      <c r="T23504" s="7" t="str">
        <f>HYPERLINK("#Liste_rouge!A"&amp;_xlfn.XMATCH("NT",Liste_rouge!A:A,2,1),"NT")</f>
        <v>NT</v>
      </c>
      <c r="U23504" s="4" t="str">
        <f>HYPERLINK("#Critères_liste_rouge!A$1","pr. D2")</f>
        <v>pr. D2</v>
      </c>
      <c r="AB23504" s="4" t="s">
        <v>24495</v>
      </c>
      <c r="AH23504" s="4" t="str">
        <f>HYPERLINK("#Statut_biogéographique!A"&amp;_xlfn.XMATCH("P",Statut_biogéographique!A:A,2,1),"P")</f>
        <v>P</v>
      </c>
      <c r="AM23504" s="4" t="s">
        <v>375</v>
      </c>
      <c r="AN23504" s="4" t="s">
        <v>375</v>
      </c>
      <c r="AO23504" s="4" t="s">
        <v>375</v>
      </c>
      <c r="AP23504" s="4" t="s">
        <v>376</v>
      </c>
      <c r="AR23504" s="4" t="s">
        <v>377</v>
      </c>
    </row>
    <row r="23505" spans="1:44" ht="45">
      <c r="A23505" s="4" t="s">
        <v>24364</v>
      </c>
      <c r="B23505" s="4">
        <v>81097</v>
      </c>
      <c r="D23505" s="5" t="s">
        <v>30448</v>
      </c>
      <c r="E23505" s="6" t="str">
        <f>HYPERLINK("https://inpn.mnhn.fr/espece/cd_nom/81097","Alchemilla heteropoda Buser, 1894")</f>
        <v>Alchemilla heteropoda Buser, 1894</v>
      </c>
      <c r="F23505" s="5" t="s">
        <v>30449</v>
      </c>
      <c r="Q23505" s="7" t="str">
        <f>HYPERLINK("#Liste_rouge!A"&amp;_xlfn.XMATCH("LC",Liste_rouge!A:A,2,1),"LC")</f>
        <v>LC</v>
      </c>
      <c r="V23505" s="7" t="str">
        <f>HYPERLINK("#Liste_rouge!A"&amp;_xlfn.XMATCH("DD",Liste_rouge!A:A,2,1),"DD")</f>
        <v>DD</v>
      </c>
      <c r="AH23505" s="4" t="str">
        <f>HYPERLINK("#Statut_biogéographique!A"&amp;_xlfn.XMATCH("P",Statut_biogéographique!A:A,2,1),"P")</f>
        <v>P</v>
      </c>
      <c r="AM23505" s="4" t="s">
        <v>375</v>
      </c>
      <c r="AN23505" s="4" t="s">
        <v>375</v>
      </c>
      <c r="AO23505" s="4" t="s">
        <v>375</v>
      </c>
      <c r="AP23505" s="4" t="s">
        <v>376</v>
      </c>
      <c r="AR23505" s="4" t="s">
        <v>377</v>
      </c>
    </row>
    <row r="23506" spans="1:44" ht="30">
      <c r="A23506" s="4" t="s">
        <v>24364</v>
      </c>
      <c r="B23506" s="4">
        <v>81098</v>
      </c>
      <c r="D23506" s="5" t="s">
        <v>30450</v>
      </c>
      <c r="E23506" s="6" t="str">
        <f>HYPERLINK("https://inpn.mnhn.fr/espece/cd_nom/81098","Alchemilla hoppeana (Rchb.) Dalla Torre, 1882")</f>
        <v>Alchemilla hoppeana (Rchb.) Dalla Torre, 1882</v>
      </c>
      <c r="F23506" s="5" t="s">
        <v>30451</v>
      </c>
      <c r="Q23506" s="7" t="str">
        <f>HYPERLINK("#Liste_rouge!A"&amp;_xlfn.XMATCH("NT",Liste_rouge!A:A,2,1),"NT")</f>
        <v>NT</v>
      </c>
      <c r="V23506" s="7" t="str">
        <f>HYPERLINK("#Liste_rouge!A"&amp;_xlfn.XMATCH("VU",Liste_rouge!A:A,2,1),"VU")</f>
        <v>VU</v>
      </c>
      <c r="W23506" s="4" t="str">
        <f>HYPERLINK("#Critères_liste_rouge!A$1","D2")</f>
        <v>D2</v>
      </c>
      <c r="X23506" s="5" t="s">
        <v>374</v>
      </c>
      <c r="AB23506" s="4" t="s">
        <v>93</v>
      </c>
      <c r="AH23506" s="4" t="str">
        <f>HYPERLINK("#Statut_biogéographique!A"&amp;_xlfn.XMATCH("P",Statut_biogéographique!A:A,2,1),"P")</f>
        <v>P</v>
      </c>
      <c r="AM23506" s="4" t="s">
        <v>375</v>
      </c>
      <c r="AN23506" s="4" t="s">
        <v>375</v>
      </c>
      <c r="AO23506" s="4" t="s">
        <v>375</v>
      </c>
      <c r="AP23506" s="4" t="s">
        <v>376</v>
      </c>
      <c r="AR23506" s="4" t="s">
        <v>377</v>
      </c>
    </row>
    <row r="23507" spans="1:44" ht="60">
      <c r="A23507" s="4" t="s">
        <v>24364</v>
      </c>
      <c r="B23507" s="4">
        <v>81101</v>
      </c>
      <c r="D23507" s="5" t="s">
        <v>30452</v>
      </c>
      <c r="E23507" s="6" t="str">
        <f>HYPERLINK("https://inpn.mnhn.fr/espece/cd_nom/81101","Alchemilla hybrida (L.) L., 1756")</f>
        <v>Alchemilla hybrida (L.) L., 1756</v>
      </c>
      <c r="F23507" s="5" t="s">
        <v>30453</v>
      </c>
      <c r="Q23507" s="7" t="str">
        <f>HYPERLINK("#Liste_rouge!A"&amp;_xlfn.XMATCH("LC",Liste_rouge!A:A,2,1),"LC")</f>
        <v>LC</v>
      </c>
      <c r="T23507" s="7" t="str">
        <f>HYPERLINK("#Liste_rouge!A"&amp;_xlfn.XMATCH("NE",Liste_rouge!A:A,2,1),"NE")</f>
        <v>NE</v>
      </c>
      <c r="AH23507" s="4" t="str">
        <f>HYPERLINK("#Statut_biogéographique!A"&amp;_xlfn.XMATCH("P",Statut_biogéographique!A:A,2,1),"P")</f>
        <v>P</v>
      </c>
      <c r="AP23507" s="4" t="s">
        <v>376</v>
      </c>
      <c r="AR23507" s="4" t="s">
        <v>377</v>
      </c>
    </row>
    <row r="23508" spans="1:44">
      <c r="A23508" s="4" t="s">
        <v>24364</v>
      </c>
      <c r="B23508" s="4">
        <v>81117</v>
      </c>
      <c r="D23508" s="5" t="s">
        <v>30454</v>
      </c>
      <c r="E23508" s="6" t="str">
        <f>HYPERLINK("https://inpn.mnhn.fr/espece/cd_nom/81117","Alchemilla leptoclada Buser, 1894")</f>
        <v>Alchemilla leptoclada Buser, 1894</v>
      </c>
      <c r="F23508" s="5" t="s">
        <v>30455</v>
      </c>
      <c r="Q23508" s="7" t="str">
        <f>HYPERLINK("#Liste_rouge!A"&amp;_xlfn.XMATCH("LC",Liste_rouge!A:A,2,1),"LC")</f>
        <v>LC</v>
      </c>
      <c r="X23508" s="5" t="s">
        <v>374</v>
      </c>
      <c r="AB23508" s="4" t="s">
        <v>93</v>
      </c>
      <c r="AH23508" s="4" t="str">
        <f>HYPERLINK("#Statut_biogéographique!A"&amp;_xlfn.XMATCH("P",Statut_biogéographique!A:A,2,1),"P")</f>
        <v>P</v>
      </c>
      <c r="AM23508" s="4" t="s">
        <v>375</v>
      </c>
      <c r="AN23508" s="4" t="s">
        <v>375</v>
      </c>
      <c r="AO23508" s="4" t="s">
        <v>375</v>
      </c>
      <c r="AP23508" s="4" t="s">
        <v>376</v>
      </c>
      <c r="AR23508" s="4" t="s">
        <v>377</v>
      </c>
    </row>
    <row r="23509" spans="1:44" ht="30">
      <c r="A23509" s="4" t="s">
        <v>24364</v>
      </c>
      <c r="B23509" s="4">
        <v>811241</v>
      </c>
      <c r="D23509" s="5" t="s">
        <v>30456</v>
      </c>
      <c r="E23509" s="6" t="str">
        <f>HYPERLINK("https://inpn.mnhn.fr/espece/cd_nom/811241","Lathyrus pannonicus var. asphodeloides (Gouan) Širj., 1937")</f>
        <v>Lathyrus pannonicus var. asphodeloides (Gouan) Širj., 1937</v>
      </c>
      <c r="F23509" s="5" t="s">
        <v>30457</v>
      </c>
      <c r="M23509" s="4" t="str">
        <f>HYPERLINK("#Réglementation!A"&amp;_xlfn.XMATCH("RV26",Réglementation!A:A,2,1),"RV26")</f>
        <v>RV26</v>
      </c>
      <c r="T23509" s="7" t="str">
        <f>HYPERLINK("#Liste_rouge!A"&amp;_xlfn.XMATCH("DD",Liste_rouge!A:A,2,1),"DD")</f>
        <v>DD</v>
      </c>
      <c r="AH23509" s="4" t="str">
        <f>HYPERLINK("#Statut_biogéographique!A"&amp;_xlfn.XMATCH("P",Statut_biogéographique!A:A,2,1),"P")</f>
        <v>P</v>
      </c>
      <c r="AM23509" s="4" t="s">
        <v>375</v>
      </c>
      <c r="AN23509" s="4" t="s">
        <v>375</v>
      </c>
      <c r="AO23509" s="4" t="s">
        <v>375</v>
      </c>
      <c r="AP23509" s="4" t="s">
        <v>376</v>
      </c>
      <c r="AR23509" s="4" t="s">
        <v>377</v>
      </c>
    </row>
    <row r="23510" spans="1:44" ht="30">
      <c r="A23510" s="4" t="s">
        <v>24364</v>
      </c>
      <c r="B23510" s="4">
        <v>81130</v>
      </c>
      <c r="D23510" s="5" t="s">
        <v>30458</v>
      </c>
      <c r="E23510" s="6" t="str">
        <f>HYPERLINK("https://inpn.mnhn.fr/espece/cd_nom/81130","Alchemilla monticola Opiz, 1838")</f>
        <v>Alchemilla monticola Opiz, 1838</v>
      </c>
      <c r="F23510" s="5" t="s">
        <v>30459</v>
      </c>
      <c r="Q23510" s="7" t="str">
        <f>HYPERLINK("#Liste_rouge!A"&amp;_xlfn.XMATCH("LC",Liste_rouge!A:A,2,1),"LC")</f>
        <v>LC</v>
      </c>
      <c r="V23510" s="7" t="str">
        <f>HYPERLINK("#Liste_rouge!A"&amp;_xlfn.XMATCH("LC",Liste_rouge!A:A,2,1),"LC")</f>
        <v>LC</v>
      </c>
      <c r="AH23510" s="4" t="str">
        <f>HYPERLINK("#Statut_biogéographique!A"&amp;_xlfn.XMATCH("P",Statut_biogéographique!A:A,2,1),"P")</f>
        <v>P</v>
      </c>
      <c r="AM23510" s="4" t="s">
        <v>375</v>
      </c>
      <c r="AN23510" s="4" t="s">
        <v>375</v>
      </c>
      <c r="AO23510" s="4" t="s">
        <v>375</v>
      </c>
      <c r="AP23510" s="4" t="s">
        <v>376</v>
      </c>
      <c r="AR23510" s="4" t="s">
        <v>377</v>
      </c>
    </row>
    <row r="23511" spans="1:44" ht="30">
      <c r="A23511" s="4" t="s">
        <v>24364</v>
      </c>
      <c r="B23511" s="4">
        <v>81137</v>
      </c>
      <c r="D23511" s="5" t="s">
        <v>30460</v>
      </c>
      <c r="E23511" s="6" t="str">
        <f>HYPERLINK("https://inpn.mnhn.fr/espece/cd_nom/81137","Alchemilla pallens Buser, 1892")</f>
        <v>Alchemilla pallens Buser, 1892</v>
      </c>
      <c r="F23511" s="5" t="s">
        <v>30461</v>
      </c>
      <c r="Q23511" s="7" t="str">
        <f>HYPERLINK("#Liste_rouge!A"&amp;_xlfn.XMATCH("LC",Liste_rouge!A:A,2,1),"LC")</f>
        <v>LC</v>
      </c>
      <c r="V23511" s="7" t="str">
        <f>HYPERLINK("#Liste_rouge!A"&amp;_xlfn.XMATCH("NT",Liste_rouge!A:A,2,1),"NT")</f>
        <v>NT</v>
      </c>
      <c r="W23511" s="4" t="str">
        <f>HYPERLINK("#Critères_liste_rouge!A$1","pr. D2")</f>
        <v>pr. D2</v>
      </c>
      <c r="X23511" s="5" t="s">
        <v>374</v>
      </c>
      <c r="AB23511" s="4" t="s">
        <v>93</v>
      </c>
      <c r="AH23511" s="4" t="str">
        <f>HYPERLINK("#Statut_biogéographique!A"&amp;_xlfn.XMATCH("P",Statut_biogéographique!A:A,2,1),"P")</f>
        <v>P</v>
      </c>
      <c r="AM23511" s="4" t="s">
        <v>375</v>
      </c>
      <c r="AN23511" s="4" t="s">
        <v>375</v>
      </c>
      <c r="AO23511" s="4" t="s">
        <v>375</v>
      </c>
      <c r="AP23511" s="4" t="s">
        <v>376</v>
      </c>
      <c r="AR23511" s="4" t="s">
        <v>377</v>
      </c>
    </row>
    <row r="23512" spans="1:44" ht="30">
      <c r="A23512" s="4" t="s">
        <v>24364</v>
      </c>
      <c r="B23512" s="4">
        <v>81142</v>
      </c>
      <c r="D23512" s="5">
        <v>81142</v>
      </c>
      <c r="E23512" s="6" t="str">
        <f>HYPERLINK("https://inpn.mnhn.fr/espece/cd_nom/81142","Alchemilla plicata Buser, 1893")</f>
        <v>Alchemilla plicata Buser, 1893</v>
      </c>
      <c r="F23512" s="5" t="s">
        <v>30462</v>
      </c>
      <c r="Q23512" s="7" t="str">
        <f>HYPERLINK("#Liste_rouge!A"&amp;_xlfn.XMATCH("DD",Liste_rouge!A:A,2,1),"DD")</f>
        <v>DD</v>
      </c>
      <c r="X23512" s="5" t="s">
        <v>374</v>
      </c>
      <c r="AB23512" s="4" t="s">
        <v>93</v>
      </c>
      <c r="AH23512" s="4" t="str">
        <f>HYPERLINK("#Statut_biogéographique!A"&amp;_xlfn.XMATCH("P",Statut_biogéographique!A:A,2,1),"P")</f>
        <v>P</v>
      </c>
      <c r="AM23512" s="4" t="s">
        <v>375</v>
      </c>
      <c r="AN23512" s="4" t="s">
        <v>375</v>
      </c>
      <c r="AO23512" s="4" t="s">
        <v>375</v>
      </c>
      <c r="AP23512" s="4" t="s">
        <v>376</v>
      </c>
      <c r="AR23512" s="4" t="s">
        <v>377</v>
      </c>
    </row>
    <row r="23513" spans="1:44" ht="45">
      <c r="A23513" s="4" t="s">
        <v>24364</v>
      </c>
      <c r="B23513" s="4">
        <v>81153</v>
      </c>
      <c r="D23513" s="5" t="s">
        <v>30463</v>
      </c>
      <c r="E23513" s="6" t="str">
        <f>HYPERLINK("https://inpn.mnhn.fr/espece/cd_nom/81153","Alchemilla reniformis Buser, 1894")</f>
        <v>Alchemilla reniformis Buser, 1894</v>
      </c>
      <c r="F23513" s="5" t="s">
        <v>30464</v>
      </c>
      <c r="Q23513" s="7" t="str">
        <f>HYPERLINK("#Liste_rouge!A"&amp;_xlfn.XMATCH("LC",Liste_rouge!A:A,2,1),"LC")</f>
        <v>LC</v>
      </c>
      <c r="V23513" s="7" t="str">
        <f>HYPERLINK("#Liste_rouge!A"&amp;_xlfn.XMATCH("DD",Liste_rouge!A:A,2,1),"DD")</f>
        <v>DD</v>
      </c>
      <c r="AH23513" s="4" t="str">
        <f>HYPERLINK("#Statut_biogéographique!A"&amp;_xlfn.XMATCH("P",Statut_biogéographique!A:A,2,1),"P")</f>
        <v>P</v>
      </c>
      <c r="AM23513" s="4" t="s">
        <v>375</v>
      </c>
      <c r="AN23513" s="4" t="s">
        <v>375</v>
      </c>
      <c r="AO23513" s="4" t="s">
        <v>375</v>
      </c>
      <c r="AP23513" s="4" t="s">
        <v>376</v>
      </c>
      <c r="AR23513" s="4" t="s">
        <v>377</v>
      </c>
    </row>
    <row r="23514" spans="1:44">
      <c r="A23514" s="4" t="s">
        <v>24364</v>
      </c>
      <c r="B23514" s="4">
        <v>81159</v>
      </c>
      <c r="D23514" s="5" t="s">
        <v>30465</v>
      </c>
      <c r="E23514" s="6" t="str">
        <f>HYPERLINK("https://inpn.mnhn.fr/espece/cd_nom/81159","Alchemilla saxatilis Buser, 1891")</f>
        <v>Alchemilla saxatilis Buser, 1891</v>
      </c>
      <c r="F23514" s="5" t="s">
        <v>30466</v>
      </c>
      <c r="Q23514" s="7" t="str">
        <f>HYPERLINK("#Liste_rouge!A"&amp;_xlfn.XMATCH("LC",Liste_rouge!A:A,2,1),"LC")</f>
        <v>LC</v>
      </c>
      <c r="T23514" s="7" t="str">
        <f>HYPERLINK("#Liste_rouge!A"&amp;_xlfn.XMATCH("NA",Liste_rouge!A:A,2,1),"NA")</f>
        <v>NA</v>
      </c>
      <c r="AH23514" s="4" t="str">
        <f>HYPERLINK("#Statut_biogéographique!A"&amp;_xlfn.XMATCH("P",Statut_biogéographique!A:A,2,1),"P")</f>
        <v>P</v>
      </c>
      <c r="AP23514" s="4" t="s">
        <v>376</v>
      </c>
      <c r="AR23514" s="4" t="s">
        <v>377</v>
      </c>
    </row>
    <row r="23515" spans="1:44">
      <c r="A23515" s="4" t="s">
        <v>24364</v>
      </c>
      <c r="B23515" s="4">
        <v>81161</v>
      </c>
      <c r="D23515" s="5" t="s">
        <v>30467</v>
      </c>
      <c r="E23515" s="6" t="str">
        <f>HYPERLINK("https://inpn.mnhn.fr/espece/cd_nom/81161","Alchemilla schmidelyana Buser, 1891")</f>
        <v>Alchemilla schmidelyana Buser, 1891</v>
      </c>
      <c r="F23515" s="5" t="s">
        <v>30468</v>
      </c>
      <c r="Q23515" s="7" t="str">
        <f>HYPERLINK("#Liste_rouge!A"&amp;_xlfn.XMATCH("LC",Liste_rouge!A:A,2,1),"LC")</f>
        <v>LC</v>
      </c>
      <c r="V23515" s="7" t="str">
        <f>HYPERLINK("#Liste_rouge!A"&amp;_xlfn.XMATCH("LC",Liste_rouge!A:A,2,1),"LC")</f>
        <v>LC</v>
      </c>
      <c r="AH23515" s="4" t="str">
        <f>HYPERLINK("#Statut_biogéographique!A"&amp;_xlfn.XMATCH("P",Statut_biogéographique!A:A,2,1),"P")</f>
        <v>P</v>
      </c>
      <c r="AM23515" s="4" t="s">
        <v>375</v>
      </c>
      <c r="AN23515" s="4" t="s">
        <v>375</v>
      </c>
      <c r="AO23515" s="4" t="s">
        <v>375</v>
      </c>
      <c r="AP23515" s="4" t="s">
        <v>376</v>
      </c>
      <c r="AR23515" s="4" t="s">
        <v>377</v>
      </c>
    </row>
    <row r="23516" spans="1:44">
      <c r="A23516" s="4" t="s">
        <v>24364</v>
      </c>
      <c r="B23516" s="4">
        <v>81166</v>
      </c>
      <c r="D23516" s="5" t="s">
        <v>30469</v>
      </c>
      <c r="E23516" s="6" t="str">
        <f>HYPERLINK("https://inpn.mnhn.fr/espece/cd_nom/81166","Alchemilla splendens Christ ex Favrat, 1889")</f>
        <v>Alchemilla splendens Christ ex Favrat, 1889</v>
      </c>
      <c r="F23516" s="5" t="s">
        <v>30470</v>
      </c>
      <c r="Q23516" s="7" t="str">
        <f>HYPERLINK("#Liste_rouge!A"&amp;_xlfn.XMATCH("DD",Liste_rouge!A:A,2,1),"DD")</f>
        <v>DD</v>
      </c>
      <c r="V23516" s="7" t="str">
        <f>HYPERLINK("#Liste_rouge!A"&amp;_xlfn.XMATCH("DD",Liste_rouge!A:A,2,1),"DD")</f>
        <v>DD</v>
      </c>
      <c r="X23516" s="5" t="s">
        <v>374</v>
      </c>
      <c r="AB23516" s="4" t="s">
        <v>93</v>
      </c>
      <c r="AH23516" s="4" t="str">
        <f>HYPERLINK("#Statut_biogéographique!A"&amp;_xlfn.XMATCH("P",Statut_biogéographique!A:A,2,1),"P")</f>
        <v>P</v>
      </c>
      <c r="AM23516" s="4" t="s">
        <v>375</v>
      </c>
      <c r="AN23516" s="4" t="s">
        <v>375</v>
      </c>
      <c r="AO23516" s="4" t="s">
        <v>375</v>
      </c>
      <c r="AP23516" s="4" t="s">
        <v>376</v>
      </c>
      <c r="AR23516" s="4" t="s">
        <v>377</v>
      </c>
    </row>
    <row r="23517" spans="1:44" ht="30">
      <c r="A23517" s="4" t="s">
        <v>24364</v>
      </c>
      <c r="B23517" s="4">
        <v>811663</v>
      </c>
      <c r="D23517" s="5" t="s">
        <v>30471</v>
      </c>
      <c r="E23517" s="6" t="str">
        <f>HYPERLINK("https://inpn.mnhn.fr/espece/cd_nom/811663","Brachysira intermedia (Østrup) Lange-Bert., 1994")</f>
        <v>Brachysira intermedia (Østrup) Lange-Bert., 1994</v>
      </c>
      <c r="AP23517" s="4" t="s">
        <v>376</v>
      </c>
      <c r="AR23517" s="4" t="s">
        <v>377</v>
      </c>
    </row>
    <row r="23518" spans="1:44" ht="30">
      <c r="A23518" s="4" t="s">
        <v>24364</v>
      </c>
      <c r="B23518" s="4">
        <v>81170</v>
      </c>
      <c r="D23518" s="5" t="s">
        <v>30472</v>
      </c>
      <c r="E23518" s="6" t="str">
        <f>HYPERLINK("https://inpn.mnhn.fr/espece/cd_nom/81170","Alchemilla subcrenata Buser, 1893")</f>
        <v>Alchemilla subcrenata Buser, 1893</v>
      </c>
      <c r="F23518" s="5" t="s">
        <v>30473</v>
      </c>
      <c r="Q23518" s="7" t="str">
        <f>HYPERLINK("#Liste_rouge!A"&amp;_xlfn.XMATCH("LC",Liste_rouge!A:A,2,1),"LC")</f>
        <v>LC</v>
      </c>
      <c r="V23518" s="7" t="str">
        <f>HYPERLINK("#Liste_rouge!A"&amp;_xlfn.XMATCH("LC",Liste_rouge!A:A,2,1),"LC")</f>
        <v>LC</v>
      </c>
      <c r="AH23518" s="4" t="str">
        <f>HYPERLINK("#Statut_biogéographique!A"&amp;_xlfn.XMATCH("P",Statut_biogéographique!A:A,2,1),"P")</f>
        <v>P</v>
      </c>
      <c r="AM23518" s="4" t="s">
        <v>375</v>
      </c>
      <c r="AN23518" s="4" t="s">
        <v>375</v>
      </c>
      <c r="AO23518" s="4" t="s">
        <v>375</v>
      </c>
      <c r="AP23518" s="4" t="s">
        <v>376</v>
      </c>
      <c r="AR23518" s="4" t="s">
        <v>377</v>
      </c>
    </row>
    <row r="23519" spans="1:44" ht="45">
      <c r="A23519" s="4" t="s">
        <v>24364</v>
      </c>
      <c r="B23519" s="4">
        <v>81195</v>
      </c>
      <c r="D23519" s="5" t="s">
        <v>30474</v>
      </c>
      <c r="E23519" s="6" t="str">
        <f>HYPERLINK("https://inpn.mnhn.fr/espece/cd_nom/81195","Alchemilla xanthochlora Rothm., 1937")</f>
        <v>Alchemilla xanthochlora Rothm., 1937</v>
      </c>
      <c r="F23519" s="5" t="s">
        <v>30475</v>
      </c>
      <c r="O23519" s="7" t="str">
        <f>HYPERLINK("#Liste_rouge!A"&amp;_xlfn.XMATCH("LC",Liste_rouge!A:A,2,1),"LC")</f>
        <v>LC</v>
      </c>
      <c r="P23519" s="7" t="str">
        <f>HYPERLINK("#Liste_rouge!A"&amp;_xlfn.XMATCH("LC",Liste_rouge!A:A,2,1),"LC")</f>
        <v>LC</v>
      </c>
      <c r="Q23519" s="7" t="str">
        <f>HYPERLINK("#Liste_rouge!A"&amp;_xlfn.XMATCH("LC",Liste_rouge!A:A,2,1),"LC")</f>
        <v>LC</v>
      </c>
      <c r="T23519" s="7" t="str">
        <f>HYPERLINK("#Liste_rouge!A"&amp;_xlfn.XMATCH("VU",Liste_rouge!A:A,2,1),"VU")</f>
        <v>VU</v>
      </c>
      <c r="U23519" s="4" t="str">
        <f>HYPERLINK("#Critères_liste_rouge!A$1","D2")</f>
        <v>D2</v>
      </c>
      <c r="V23519" s="7" t="str">
        <f>HYPERLINK("#Liste_rouge!A"&amp;_xlfn.XMATCH("LC",Liste_rouge!A:A,2,1),"LC")</f>
        <v>LC</v>
      </c>
      <c r="AB23519" s="4" t="s">
        <v>24984</v>
      </c>
      <c r="AH23519" s="4" t="str">
        <f>HYPERLINK("#Statut_biogéographique!A"&amp;_xlfn.XMATCH("P",Statut_biogéographique!A:A,2,1),"P")</f>
        <v>P</v>
      </c>
      <c r="AM23519" s="4" t="s">
        <v>375</v>
      </c>
      <c r="AN23519" s="4" t="s">
        <v>375</v>
      </c>
      <c r="AO23519" s="4" t="s">
        <v>375</v>
      </c>
      <c r="AP23519" s="4" t="s">
        <v>376</v>
      </c>
      <c r="AR23519" s="4" t="s">
        <v>377</v>
      </c>
    </row>
    <row r="23520" spans="1:44" ht="45">
      <c r="A23520" s="4" t="s">
        <v>24364</v>
      </c>
      <c r="B23520" s="4">
        <v>81260</v>
      </c>
      <c r="D23520" s="5" t="s">
        <v>30476</v>
      </c>
      <c r="E23520" s="6" t="str">
        <f>HYPERLINK("https://inpn.mnhn.fr/espece/cd_nom/81260","Alisma gramineum Lej., 1811")</f>
        <v>Alisma gramineum Lej., 1811</v>
      </c>
      <c r="F23520" s="5" t="s">
        <v>30477</v>
      </c>
      <c r="L23520" s="4" t="str">
        <f>HYPERLINK("#Réglementation!A"&amp;_xlfn.XMATCH("NV2",Réglementation!A:A,2,1),"NV2 - NV3")</f>
        <v>NV2 - NV3</v>
      </c>
      <c r="O23520" s="7" t="str">
        <f>HYPERLINK("#Liste_rouge!A"&amp;_xlfn.XMATCH("DD",Liste_rouge!A:A,2,1),"DD")</f>
        <v>DD</v>
      </c>
      <c r="P23520" s="7" t="str">
        <f>HYPERLINK("#Liste_rouge!A"&amp;_xlfn.XMATCH("LC",Liste_rouge!A:A,2,1),"LC")</f>
        <v>LC</v>
      </c>
      <c r="Q23520" s="7" t="str">
        <f>HYPERLINK("#Liste_rouge!A"&amp;_xlfn.XMATCH("NT",Liste_rouge!A:A,2,1),"NT")</f>
        <v>NT</v>
      </c>
      <c r="T23520" s="7" t="str">
        <f>HYPERLINK("#Liste_rouge!A"&amp;_xlfn.XMATCH("CR",Liste_rouge!A:A,2,1),"CR")</f>
        <v>CR</v>
      </c>
      <c r="U23520" s="4" t="str">
        <f>HYPERLINK("#Critères_liste_rouge!A$1","B1 B2ab(ii,iii)")</f>
        <v>B1 B2ab(ii,iii)</v>
      </c>
      <c r="X23520" s="5" t="s">
        <v>374</v>
      </c>
      <c r="AB23520" s="4" t="s">
        <v>93</v>
      </c>
      <c r="AE23520" s="4" t="str">
        <f>HYPERLINK("#SCAP!A"&amp;_xlfn.XMATCH("A",SCAP!A:A,2,1),"A")</f>
        <v>A</v>
      </c>
      <c r="AH23520" s="4" t="str">
        <f>HYPERLINK("#Statut_biogéographique!A"&amp;_xlfn.XMATCH("P",Statut_biogéographique!A:A,2,1),"P")</f>
        <v>P</v>
      </c>
      <c r="AM23520" s="4" t="s">
        <v>375</v>
      </c>
      <c r="AN23520" s="4" t="s">
        <v>375</v>
      </c>
      <c r="AO23520" s="4" t="s">
        <v>375</v>
      </c>
      <c r="AP23520" s="4" t="s">
        <v>376</v>
      </c>
      <c r="AR23520" s="4" t="s">
        <v>377</v>
      </c>
    </row>
    <row r="23521" spans="1:44" ht="30">
      <c r="A23521" s="4" t="s">
        <v>24364</v>
      </c>
      <c r="B23521" s="4">
        <v>81263</v>
      </c>
      <c r="D23521" s="5" t="s">
        <v>30478</v>
      </c>
      <c r="E23521" s="6" t="str">
        <f>HYPERLINK("https://inpn.mnhn.fr/espece/cd_nom/81263","Alisma lanceolatum With., 1796")</f>
        <v>Alisma lanceolatum With., 1796</v>
      </c>
      <c r="F23521" s="5" t="s">
        <v>30479</v>
      </c>
      <c r="O23521" s="7" t="str">
        <f>HYPERLINK("#Liste_rouge!A"&amp;_xlfn.XMATCH("LC",Liste_rouge!A:A,2,1),"LC")</f>
        <v>LC</v>
      </c>
      <c r="P23521" s="7" t="str">
        <f>HYPERLINK("#Liste_rouge!A"&amp;_xlfn.XMATCH("LC",Liste_rouge!A:A,2,1),"LC")</f>
        <v>LC</v>
      </c>
      <c r="Q23521" s="7" t="str">
        <f>HYPERLINK("#Liste_rouge!A"&amp;_xlfn.XMATCH("LC",Liste_rouge!A:A,2,1),"LC")</f>
        <v>LC</v>
      </c>
      <c r="T23521" s="7" t="str">
        <f>HYPERLINK("#Liste_rouge!A"&amp;_xlfn.XMATCH("LC",Liste_rouge!A:A,2,1),"LC")</f>
        <v>LC</v>
      </c>
      <c r="V23521" s="7" t="str">
        <f>HYPERLINK("#Liste_rouge!A"&amp;_xlfn.XMATCH("LC",Liste_rouge!A:A,2,1),"LC")</f>
        <v>LC</v>
      </c>
      <c r="AB23521" s="4" t="s">
        <v>24447</v>
      </c>
      <c r="AH23521" s="4" t="str">
        <f>HYPERLINK("#Statut_biogéographique!A"&amp;_xlfn.XMATCH("P",Statut_biogéographique!A:A,2,1),"P")</f>
        <v>P</v>
      </c>
      <c r="AM23521" s="4" t="s">
        <v>375</v>
      </c>
      <c r="AN23521" s="4" t="s">
        <v>375</v>
      </c>
      <c r="AO23521" s="4" t="s">
        <v>375</v>
      </c>
      <c r="AP23521" s="4" t="s">
        <v>376</v>
      </c>
      <c r="AR23521" s="4" t="s">
        <v>377</v>
      </c>
    </row>
    <row r="23522" spans="1:44" ht="30">
      <c r="A23522" s="4" t="s">
        <v>24364</v>
      </c>
      <c r="B23522" s="4">
        <v>81272</v>
      </c>
      <c r="D23522" s="5" t="s">
        <v>30480</v>
      </c>
      <c r="E23522" s="6" t="str">
        <f>HYPERLINK("https://inpn.mnhn.fr/espece/cd_nom/81272","Alisma plantago-aquatica L., 1753")</f>
        <v>Alisma plantago-aquatica L., 1753</v>
      </c>
      <c r="F23522" s="5" t="s">
        <v>30481</v>
      </c>
      <c r="O23522" s="7" t="str">
        <f>HYPERLINK("#Liste_rouge!A"&amp;_xlfn.XMATCH("LC",Liste_rouge!A:A,2,1),"LC")</f>
        <v>LC</v>
      </c>
      <c r="P23522" s="7" t="str">
        <f>HYPERLINK("#Liste_rouge!A"&amp;_xlfn.XMATCH("LC",Liste_rouge!A:A,2,1),"LC")</f>
        <v>LC</v>
      </c>
      <c r="Q23522" s="7" t="str">
        <f>HYPERLINK("#Liste_rouge!A"&amp;_xlfn.XMATCH("LC",Liste_rouge!A:A,2,1),"LC")</f>
        <v>LC</v>
      </c>
      <c r="T23522" s="7" t="str">
        <f>HYPERLINK("#Liste_rouge!A"&amp;_xlfn.XMATCH("LC",Liste_rouge!A:A,2,1),"LC")</f>
        <v>LC</v>
      </c>
      <c r="V23522" s="7" t="str">
        <f>HYPERLINK("#Liste_rouge!A"&amp;_xlfn.XMATCH("LC",Liste_rouge!A:A,2,1),"LC")</f>
        <v>LC</v>
      </c>
      <c r="AH23522" s="4" t="str">
        <f>HYPERLINK("#Statut_biogéographique!A"&amp;_xlfn.XMATCH("P",Statut_biogéographique!A:A,2,1),"P")</f>
        <v>P</v>
      </c>
      <c r="AM23522" s="4" t="s">
        <v>375</v>
      </c>
      <c r="AN23522" s="4" t="s">
        <v>375</v>
      </c>
      <c r="AO23522" s="4" t="s">
        <v>375</v>
      </c>
      <c r="AP23522" s="4" t="s">
        <v>376</v>
      </c>
      <c r="AR23522" s="4" t="s">
        <v>377</v>
      </c>
    </row>
    <row r="23523" spans="1:44" ht="30">
      <c r="A23523" s="4" t="s">
        <v>24364</v>
      </c>
      <c r="B23523" s="4">
        <v>81286</v>
      </c>
      <c r="D23523" s="5" t="s">
        <v>30482</v>
      </c>
      <c r="E23523" s="6" t="str">
        <f>HYPERLINK("https://inpn.mnhn.fr/espece/cd_nom/81286","Alkanna lutea Moris, 1845")</f>
        <v>Alkanna lutea Moris, 1845</v>
      </c>
      <c r="F23523" s="5" t="s">
        <v>30483</v>
      </c>
      <c r="Q23523" s="7" t="str">
        <f>HYPERLINK("#Liste_rouge!A"&amp;_xlfn.XMATCH("VU",Liste_rouge!A:A,2,1),"VU")</f>
        <v>VU</v>
      </c>
      <c r="T23523" s="7" t="str">
        <f>HYPERLINK("#Liste_rouge!A"&amp;_xlfn.XMATCH("NA",Liste_rouge!A:A,2,1),"NA")</f>
        <v>NA</v>
      </c>
      <c r="AH23523" s="4" t="str">
        <f>HYPERLINK("#Statut_biogéographique!A"&amp;_xlfn.XMATCH("P",Statut_biogéographique!A:A,2,1),"P")</f>
        <v>P</v>
      </c>
      <c r="AP23523" s="4" t="s">
        <v>389</v>
      </c>
      <c r="AR23523" s="4" t="s">
        <v>377</v>
      </c>
    </row>
    <row r="23524" spans="1:44" ht="45">
      <c r="A23524" s="4" t="s">
        <v>24364</v>
      </c>
      <c r="B23524" s="4">
        <v>81295</v>
      </c>
      <c r="D23524" s="5" t="s">
        <v>30484</v>
      </c>
      <c r="E23524" s="6" t="str">
        <f>HYPERLINK("https://inpn.mnhn.fr/espece/cd_nom/81295","Alliaria petiolata (M.Bieb.) Cavara &amp; Grande, 1913")</f>
        <v>Alliaria petiolata (M.Bieb.) Cavara &amp; Grande, 1913</v>
      </c>
      <c r="F23524" s="5" t="s">
        <v>30485</v>
      </c>
      <c r="Q23524" s="7" t="str">
        <f>HYPERLINK("#Liste_rouge!A"&amp;_xlfn.XMATCH("LC",Liste_rouge!A:A,2,1),"LC")</f>
        <v>LC</v>
      </c>
      <c r="T23524" s="7" t="str">
        <f>HYPERLINK("#Liste_rouge!A"&amp;_xlfn.XMATCH("LC",Liste_rouge!A:A,2,1),"LC")</f>
        <v>LC</v>
      </c>
      <c r="V23524" s="7" t="str">
        <f>HYPERLINK("#Liste_rouge!A"&amp;_xlfn.XMATCH("LC",Liste_rouge!A:A,2,1),"LC")</f>
        <v>LC</v>
      </c>
      <c r="AH23524" s="4" t="str">
        <f>HYPERLINK("#Statut_biogéographique!A"&amp;_xlfn.XMATCH("P",Statut_biogéographique!A:A,2,1),"P")</f>
        <v>P</v>
      </c>
      <c r="AM23524" s="4" t="s">
        <v>375</v>
      </c>
      <c r="AN23524" s="4" t="s">
        <v>375</v>
      </c>
      <c r="AO23524" s="4" t="s">
        <v>375</v>
      </c>
      <c r="AP23524" s="4" t="s">
        <v>376</v>
      </c>
      <c r="AR23524" s="4" t="s">
        <v>377</v>
      </c>
    </row>
    <row r="23525" spans="1:44" ht="60">
      <c r="A23525" s="4" t="s">
        <v>24364</v>
      </c>
      <c r="B23525" s="4">
        <v>81313</v>
      </c>
      <c r="D23525" s="5" t="s">
        <v>30486</v>
      </c>
      <c r="E23525" s="6" t="str">
        <f>HYPERLINK("https://inpn.mnhn.fr/espece/cd_nom/81313","Allium ampeloprasum L., 1753")</f>
        <v>Allium ampeloprasum L., 1753</v>
      </c>
      <c r="F23525" s="5" t="s">
        <v>30487</v>
      </c>
      <c r="O23525" s="7" t="str">
        <f>HYPERLINK("#Liste_rouge!A"&amp;_xlfn.XMATCH("LC",Liste_rouge!A:A,2,1),"LC")</f>
        <v>LC</v>
      </c>
      <c r="P23525" s="7" t="str">
        <f>HYPERLINK("#Liste_rouge!A"&amp;_xlfn.XMATCH("LC",Liste_rouge!A:A,2,1),"LC")</f>
        <v>LC</v>
      </c>
      <c r="Q23525" s="7" t="str">
        <f>HYPERLINK("#Liste_rouge!A"&amp;_xlfn.XMATCH("NA",Liste_rouge!A:A,2,1),"NA")</f>
        <v>NA</v>
      </c>
      <c r="T23525" s="7" t="str">
        <f>HYPERLINK("#Liste_rouge!A"&amp;_xlfn.XMATCH("NA",Liste_rouge!A:A,2,1),"NA")</f>
        <v>NA</v>
      </c>
      <c r="AH23525" s="4" t="str">
        <f>HYPERLINK("#Statut_biogéographique!A"&amp;_xlfn.XMATCH("I",Statut_biogéographique!A:A,2,1),"I")</f>
        <v>I</v>
      </c>
      <c r="AP23525" s="4" t="s">
        <v>376</v>
      </c>
      <c r="AR23525" s="4" t="s">
        <v>377</v>
      </c>
    </row>
    <row r="23526" spans="1:44" ht="45">
      <c r="A23526" s="4" t="s">
        <v>24364</v>
      </c>
      <c r="B23526" s="4">
        <v>81316</v>
      </c>
      <c r="D23526" s="5" t="s">
        <v>30488</v>
      </c>
      <c r="E23526" s="6" t="str">
        <f>HYPERLINK("https://inpn.mnhn.fr/espece/cd_nom/81316","Allium angulosum L., 1753")</f>
        <v>Allium angulosum L., 1753</v>
      </c>
      <c r="F23526" s="5" t="s">
        <v>30489</v>
      </c>
      <c r="P23526" s="7" t="str">
        <f>HYPERLINK("#Liste_rouge!A"&amp;_xlfn.XMATCH("LC",Liste_rouge!A:A,2,1),"LC")</f>
        <v>LC</v>
      </c>
      <c r="Q23526" s="7" t="str">
        <f>HYPERLINK("#Liste_rouge!A"&amp;_xlfn.XMATCH("EN",Liste_rouge!A:A,2,1),"EN")</f>
        <v>EN</v>
      </c>
      <c r="T23526" s="7" t="str">
        <f>HYPERLINK("#Liste_rouge!A"&amp;_xlfn.XMATCH("EN",Liste_rouge!A:A,2,1),"EN")</f>
        <v>EN</v>
      </c>
      <c r="U23526" s="4" t="str">
        <f>HYPERLINK("#Critères_liste_rouge!A$1","B2ab(ii,iii,iv)")</f>
        <v>B2ab(ii,iii,iv)</v>
      </c>
      <c r="V23526" s="7" t="str">
        <f>HYPERLINK("#Liste_rouge!A"&amp;_xlfn.XMATCH("CR",Liste_rouge!A:A,2,1),"CR")</f>
        <v>CR</v>
      </c>
      <c r="W23526" s="4" t="str">
        <f>HYPERLINK("#Critères_liste_rouge!A$1","D")</f>
        <v>D</v>
      </c>
      <c r="X23526" s="5" t="s">
        <v>374</v>
      </c>
      <c r="AB23526" s="4" t="s">
        <v>93</v>
      </c>
      <c r="AH23526" s="4" t="str">
        <f>HYPERLINK("#Statut_biogéographique!A"&amp;_xlfn.XMATCH("P",Statut_biogéographique!A:A,2,1),"P")</f>
        <v>P</v>
      </c>
      <c r="AM23526" s="4" t="s">
        <v>375</v>
      </c>
      <c r="AN23526" s="4" t="s">
        <v>375</v>
      </c>
      <c r="AO23526" s="4" t="s">
        <v>375</v>
      </c>
      <c r="AP23526" s="4" t="s">
        <v>389</v>
      </c>
      <c r="AR23526" s="4" t="s">
        <v>377</v>
      </c>
    </row>
    <row r="23527" spans="1:44">
      <c r="A23527" s="4" t="s">
        <v>24364</v>
      </c>
      <c r="B23527" s="4">
        <v>81336</v>
      </c>
      <c r="D23527" s="5" t="s">
        <v>30490</v>
      </c>
      <c r="E23527" s="6" t="str">
        <f>HYPERLINK("https://inpn.mnhn.fr/espece/cd_nom/81336","Allium carinatum L., 1753")</f>
        <v>Allium carinatum L., 1753</v>
      </c>
      <c r="F23527" s="5" t="s">
        <v>30491</v>
      </c>
      <c r="P23527" s="7" t="str">
        <f>HYPERLINK("#Liste_rouge!A"&amp;_xlfn.XMATCH("LC",Liste_rouge!A:A,2,1),"LC")</f>
        <v>LC</v>
      </c>
      <c r="Q23527" s="7" t="str">
        <f>HYPERLINK("#Liste_rouge!A"&amp;_xlfn.XMATCH("LC",Liste_rouge!A:A,2,1),"LC")</f>
        <v>LC</v>
      </c>
      <c r="T23527" s="7" t="str">
        <f>HYPERLINK("#Liste_rouge!A"&amp;_xlfn.XMATCH("DD",Liste_rouge!A:A,2,1),"DD")</f>
        <v>DD</v>
      </c>
      <c r="V23527" s="7" t="str">
        <f>HYPERLINK("#Liste_rouge!A"&amp;_xlfn.XMATCH("NT",Liste_rouge!A:A,2,1),"NT")</f>
        <v>NT</v>
      </c>
      <c r="W23527" s="4" t="str">
        <f>HYPERLINK("#Critères_liste_rouge!A$1","pr. B2b(iii)")</f>
        <v>pr. B2b(iii)</v>
      </c>
      <c r="AB23527" s="4" t="s">
        <v>24447</v>
      </c>
      <c r="AH23527" s="4" t="str">
        <f>HYPERLINK("#Statut_biogéographique!A"&amp;_xlfn.XMATCH("P",Statut_biogéographique!A:A,2,1),"P")</f>
        <v>P</v>
      </c>
      <c r="AM23527" s="4" t="s">
        <v>375</v>
      </c>
      <c r="AN23527" s="4" t="s">
        <v>375</v>
      </c>
      <c r="AO23527" s="4" t="s">
        <v>375</v>
      </c>
      <c r="AP23527" s="4" t="s">
        <v>376</v>
      </c>
      <c r="AR23527" s="4" t="s">
        <v>377</v>
      </c>
    </row>
    <row r="23528" spans="1:44" ht="30">
      <c r="A23528" s="4" t="s">
        <v>24364</v>
      </c>
      <c r="B23528" s="4">
        <v>81339</v>
      </c>
      <c r="D23528" s="5" t="s">
        <v>30492</v>
      </c>
      <c r="E23528" s="6" t="str">
        <f>HYPERLINK("https://inpn.mnhn.fr/espece/cd_nom/81339","Allium cepa L., 1753")</f>
        <v>Allium cepa L., 1753</v>
      </c>
      <c r="F23528" s="5" t="s">
        <v>30493</v>
      </c>
      <c r="Q23528" s="7" t="str">
        <f>HYPERLINK("#Liste_rouge!A"&amp;_xlfn.XMATCH("NA",Liste_rouge!A:A,2,1),"NA")</f>
        <v>NA</v>
      </c>
      <c r="T23528" s="7" t="str">
        <f>HYPERLINK("#Liste_rouge!A"&amp;_xlfn.XMATCH("NA",Liste_rouge!A:A,2,1),"NA")</f>
        <v>NA</v>
      </c>
      <c r="AH23528" s="4" t="str">
        <f>HYPERLINK("#Statut_biogéographique!A"&amp;_xlfn.XMATCH("M",Statut_biogéographique!A:A,2,1),"M")</f>
        <v>M</v>
      </c>
      <c r="AP23528" s="4" t="s">
        <v>376</v>
      </c>
      <c r="AR23528" s="4" t="s">
        <v>377</v>
      </c>
    </row>
    <row r="23529" spans="1:44" ht="30">
      <c r="A23529" s="4" t="s">
        <v>24364</v>
      </c>
      <c r="B23529" s="4">
        <v>81347</v>
      </c>
      <c r="D23529" s="5" t="s">
        <v>30494</v>
      </c>
      <c r="E23529" s="6" t="str">
        <f>HYPERLINK("https://inpn.mnhn.fr/espece/cd_nom/81347","Allium coloratum Spreng., 1825")</f>
        <v>Allium coloratum Spreng., 1825</v>
      </c>
      <c r="F23529" s="5" t="s">
        <v>30495</v>
      </c>
      <c r="Q23529" s="7" t="str">
        <f>HYPERLINK("#Liste_rouge!A"&amp;_xlfn.XMATCH("LC",Liste_rouge!A:A,2,1),"LC")</f>
        <v>LC</v>
      </c>
      <c r="V23529" s="7" t="str">
        <f>HYPERLINK("#Liste_rouge!A"&amp;_xlfn.XMATCH("NT",Liste_rouge!A:A,2,1),"NT")</f>
        <v>NT</v>
      </c>
      <c r="W23529" s="4" t="str">
        <f>HYPERLINK("#Critères_liste_rouge!A$1","pr. B2b(iii)")</f>
        <v>pr. B2b(iii)</v>
      </c>
      <c r="X23529" s="5" t="s">
        <v>374</v>
      </c>
      <c r="AB23529" s="4" t="s">
        <v>93</v>
      </c>
      <c r="AH23529" s="4" t="str">
        <f>HYPERLINK("#Statut_biogéographique!A"&amp;_xlfn.XMATCH("P",Statut_biogéographique!A:A,2,1),"P")</f>
        <v>P</v>
      </c>
      <c r="AM23529" s="4" t="s">
        <v>375</v>
      </c>
      <c r="AN23529" s="4" t="s">
        <v>375</v>
      </c>
      <c r="AO23529" s="4" t="s">
        <v>375</v>
      </c>
      <c r="AP23529" s="4" t="s">
        <v>376</v>
      </c>
      <c r="AR23529" s="4" t="s">
        <v>377</v>
      </c>
    </row>
    <row r="23530" spans="1:44">
      <c r="A23530" s="4" t="s">
        <v>24364</v>
      </c>
      <c r="B23530" s="4">
        <v>81373</v>
      </c>
      <c r="D23530" s="5" t="s">
        <v>30496</v>
      </c>
      <c r="E23530" s="6" t="str">
        <f>HYPERLINK("https://inpn.mnhn.fr/espece/cd_nom/81373","Allium fistulosum L., 1753")</f>
        <v>Allium fistulosum L., 1753</v>
      </c>
      <c r="F23530" s="5" t="s">
        <v>30497</v>
      </c>
      <c r="O23530" s="7" t="str">
        <f>HYPERLINK("#Liste_rouge!A"&amp;_xlfn.XMATCH("NT",Liste_rouge!A:A,2,1),"NT")</f>
        <v>NT</v>
      </c>
      <c r="Q23530" s="7" t="str">
        <f>HYPERLINK("#Liste_rouge!A"&amp;_xlfn.XMATCH("NA",Liste_rouge!A:A,2,1),"NA")</f>
        <v>NA</v>
      </c>
      <c r="T23530" s="7" t="str">
        <f>HYPERLINK("#Liste_rouge!A"&amp;_xlfn.XMATCH("NA",Liste_rouge!A:A,2,1),"NA")</f>
        <v>NA</v>
      </c>
      <c r="AH23530" s="4" t="str">
        <f>HYPERLINK("#Statut_biogéographique!A"&amp;_xlfn.XMATCH("M",Statut_biogéographique!A:A,2,1),"M")</f>
        <v>M</v>
      </c>
      <c r="AP23530" s="4" t="s">
        <v>376</v>
      </c>
      <c r="AR23530" s="4" t="s">
        <v>377</v>
      </c>
    </row>
    <row r="23531" spans="1:44" ht="30">
      <c r="A23531" s="4" t="s">
        <v>24364</v>
      </c>
      <c r="B23531" s="4">
        <v>81378</v>
      </c>
      <c r="D23531" s="5" t="s">
        <v>30498</v>
      </c>
      <c r="E23531" s="6" t="str">
        <f>HYPERLINK("https://inpn.mnhn.fr/espece/cd_nom/81378","Allium flexum Waldst. &amp; Kit., 1812")</f>
        <v>Allium flexum Waldst. &amp; Kit., 1812</v>
      </c>
      <c r="F23531" s="5" t="s">
        <v>30499</v>
      </c>
      <c r="Q23531" s="7" t="str">
        <f>HYPERLINK("#Liste_rouge!A"&amp;_xlfn.XMATCH("LC",Liste_rouge!A:A,2,1),"LC")</f>
        <v>LC</v>
      </c>
      <c r="V23531" s="7" t="str">
        <f>HYPERLINK("#Liste_rouge!A"&amp;_xlfn.XMATCH("DD",Liste_rouge!A:A,2,1),"DD")</f>
        <v>DD</v>
      </c>
      <c r="X23531" s="5" t="s">
        <v>374</v>
      </c>
      <c r="AB23531" s="4" t="s">
        <v>93</v>
      </c>
      <c r="AH23531" s="4" t="str">
        <f>HYPERLINK("#Statut_biogéographique!A"&amp;_xlfn.XMATCH("P",Statut_biogéographique!A:A,2,1),"P")</f>
        <v>P</v>
      </c>
      <c r="AM23531" s="4" t="s">
        <v>375</v>
      </c>
      <c r="AN23531" s="4" t="s">
        <v>375</v>
      </c>
      <c r="AO23531" s="4" t="s">
        <v>375</v>
      </c>
      <c r="AP23531" s="4" t="s">
        <v>376</v>
      </c>
      <c r="AR23531" s="4" t="s">
        <v>377</v>
      </c>
    </row>
    <row r="23532" spans="1:44" ht="60">
      <c r="A23532" s="4" t="s">
        <v>24364</v>
      </c>
      <c r="B23532" s="4">
        <v>81423</v>
      </c>
      <c r="D23532" s="5" t="s">
        <v>30500</v>
      </c>
      <c r="E23532" s="6" t="str">
        <f>HYPERLINK("https://inpn.mnhn.fr/espece/cd_nom/81423","Allium lusitanicum Lam., 1783")</f>
        <v>Allium lusitanicum Lam., 1783</v>
      </c>
      <c r="F23532" s="5" t="s">
        <v>30501</v>
      </c>
      <c r="Q23532" s="7" t="str">
        <f>HYPERLINK("#Liste_rouge!A"&amp;_xlfn.XMATCH("LC",Liste_rouge!A:A,2,1),"LC")</f>
        <v>LC</v>
      </c>
      <c r="V23532" s="7" t="str">
        <f>HYPERLINK("#Liste_rouge!A"&amp;_xlfn.XMATCH("LC",Liste_rouge!A:A,2,1),"LC")</f>
        <v>LC</v>
      </c>
      <c r="AH23532" s="4" t="str">
        <f>HYPERLINK("#Statut_biogéographique!A"&amp;_xlfn.XMATCH("P",Statut_biogéographique!A:A,2,1),"P")</f>
        <v>P</v>
      </c>
      <c r="AM23532" s="4" t="s">
        <v>375</v>
      </c>
      <c r="AN23532" s="4" t="s">
        <v>375</v>
      </c>
      <c r="AO23532" s="4" t="s">
        <v>375</v>
      </c>
      <c r="AP23532" s="4" t="s">
        <v>376</v>
      </c>
      <c r="AR23532" s="4" t="s">
        <v>377</v>
      </c>
    </row>
    <row r="23533" spans="1:44" ht="45">
      <c r="A23533" s="4" t="s">
        <v>24364</v>
      </c>
      <c r="B23533" s="4">
        <v>81457</v>
      </c>
      <c r="D23533" s="5" t="s">
        <v>30502</v>
      </c>
      <c r="E23533" s="6" t="str">
        <f>HYPERLINK("https://inpn.mnhn.fr/espece/cd_nom/81457","Allium oleraceum L., 1753")</f>
        <v>Allium oleraceum L., 1753</v>
      </c>
      <c r="F23533" s="5" t="s">
        <v>30503</v>
      </c>
      <c r="P23533" s="7" t="str">
        <f>HYPERLINK("#Liste_rouge!A"&amp;_xlfn.XMATCH("LC",Liste_rouge!A:A,2,1),"LC")</f>
        <v>LC</v>
      </c>
      <c r="Q23533" s="7" t="str">
        <f>HYPERLINK("#Liste_rouge!A"&amp;_xlfn.XMATCH("LC",Liste_rouge!A:A,2,1),"LC")</f>
        <v>LC</v>
      </c>
      <c r="T23533" s="7" t="str">
        <f>HYPERLINK("#Liste_rouge!A"&amp;_xlfn.XMATCH("LC",Liste_rouge!A:A,2,1),"LC")</f>
        <v>LC</v>
      </c>
      <c r="V23533" s="7" t="str">
        <f>HYPERLINK("#Liste_rouge!A"&amp;_xlfn.XMATCH("LC",Liste_rouge!A:A,2,1),"LC")</f>
        <v>LC</v>
      </c>
      <c r="AH23533" s="4" t="str">
        <f>HYPERLINK("#Statut_biogéographique!A"&amp;_xlfn.XMATCH("P",Statut_biogéographique!A:A,2,1),"P")</f>
        <v>P</v>
      </c>
      <c r="AM23533" s="4" t="s">
        <v>375</v>
      </c>
      <c r="AN23533" s="4" t="s">
        <v>375</v>
      </c>
      <c r="AO23533" s="4" t="s">
        <v>375</v>
      </c>
      <c r="AP23533" s="4" t="s">
        <v>376</v>
      </c>
      <c r="AR23533" s="4" t="s">
        <v>377</v>
      </c>
    </row>
    <row r="23534" spans="1:44" ht="30">
      <c r="A23534" s="4" t="s">
        <v>24364</v>
      </c>
      <c r="B23534" s="4">
        <v>81467</v>
      </c>
      <c r="D23534" s="5" t="s">
        <v>30504</v>
      </c>
      <c r="E23534" s="6" t="str">
        <f>HYPERLINK("https://inpn.mnhn.fr/espece/cd_nom/81467","Allium paniculatum L., 1759")</f>
        <v>Allium paniculatum L., 1759</v>
      </c>
      <c r="F23534" s="5" t="s">
        <v>30505</v>
      </c>
      <c r="P23534" s="7" t="str">
        <f>HYPERLINK("#Liste_rouge!A"&amp;_xlfn.XMATCH("LC",Liste_rouge!A:A,2,1),"LC")</f>
        <v>LC</v>
      </c>
      <c r="T23534" s="7" t="str">
        <f>HYPERLINK("#Liste_rouge!A"&amp;_xlfn.XMATCH("CR",Liste_rouge!A:A,2,1),"CR")</f>
        <v>CR</v>
      </c>
      <c r="U23534" s="4" t="str">
        <f>HYPERLINK("#Critères_liste_rouge!A$1","B2ab(i,ii,iv)")</f>
        <v>B2ab(i,ii,iv)</v>
      </c>
      <c r="AH23534" s="4" t="str">
        <f>HYPERLINK("#Statut_biogéographique!A"&amp;_xlfn.XMATCH("Q",Statut_biogéographique!A:A,2,1),"Q")</f>
        <v>Q</v>
      </c>
      <c r="AP23534" s="4" t="s">
        <v>376</v>
      </c>
      <c r="AR23534" s="4" t="s">
        <v>377</v>
      </c>
    </row>
    <row r="23535" spans="1:44" ht="30">
      <c r="A23535" s="4" t="s">
        <v>24364</v>
      </c>
      <c r="B23535" s="4">
        <v>81501</v>
      </c>
      <c r="D23535" s="5" t="s">
        <v>30506</v>
      </c>
      <c r="E23535" s="6" t="str">
        <f>HYPERLINK("https://inpn.mnhn.fr/espece/cd_nom/81501","Allium rotundum L., 1762")</f>
        <v>Allium rotundum L., 1762</v>
      </c>
      <c r="F23535" s="5" t="s">
        <v>30507</v>
      </c>
      <c r="Q23535" s="7" t="str">
        <f>HYPERLINK("#Liste_rouge!A"&amp;_xlfn.XMATCH("LC",Liste_rouge!A:A,2,1),"LC")</f>
        <v>LC</v>
      </c>
      <c r="T23535" s="7" t="str">
        <f>HYPERLINK("#Liste_rouge!A"&amp;_xlfn.XMATCH("VU",Liste_rouge!A:A,2,1),"VU")</f>
        <v>VU</v>
      </c>
      <c r="U23535" s="4" t="str">
        <f>HYPERLINK("#Critères_liste_rouge!A$1","C2a(i) D2")</f>
        <v>C2a(i) D2</v>
      </c>
      <c r="V23535" s="7" t="str">
        <f>HYPERLINK("#Liste_rouge!A"&amp;_xlfn.XMATCH("DD",Liste_rouge!A:A,2,1),"DD")</f>
        <v>DD</v>
      </c>
      <c r="X23535" s="5" t="s">
        <v>374</v>
      </c>
      <c r="AB23535" s="4" t="s">
        <v>93</v>
      </c>
      <c r="AH23535" s="4" t="str">
        <f>HYPERLINK("#Statut_biogéographique!A"&amp;_xlfn.XMATCH("P",Statut_biogéographique!A:A,2,1),"P")</f>
        <v>P</v>
      </c>
      <c r="AI23535" s="8" t="s">
        <v>30508</v>
      </c>
      <c r="AJ23535" s="4" t="s">
        <v>12248</v>
      </c>
      <c r="AM23535" s="4" t="s">
        <v>375</v>
      </c>
      <c r="AN23535" s="4" t="s">
        <v>375</v>
      </c>
      <c r="AO23535" s="4" t="s">
        <v>375</v>
      </c>
      <c r="AP23535" s="4" t="s">
        <v>376</v>
      </c>
      <c r="AR23535" s="4" t="s">
        <v>377</v>
      </c>
    </row>
    <row r="23536" spans="1:44" ht="30">
      <c r="A23536" s="4" t="s">
        <v>24364</v>
      </c>
      <c r="B23536" s="4">
        <v>81505</v>
      </c>
      <c r="D23536" s="5" t="s">
        <v>30509</v>
      </c>
      <c r="E23536" s="6" t="str">
        <f>HYPERLINK("https://inpn.mnhn.fr/espece/cd_nom/81505","Allium sativum L., 1753")</f>
        <v>Allium sativum L., 1753</v>
      </c>
      <c r="F23536" s="5" t="s">
        <v>30510</v>
      </c>
      <c r="Q23536" s="7" t="str">
        <f>HYPERLINK("#Liste_rouge!A"&amp;_xlfn.XMATCH("NA",Liste_rouge!A:A,2,1),"NA")</f>
        <v>NA</v>
      </c>
      <c r="T23536" s="7" t="str">
        <f>HYPERLINK("#Liste_rouge!A"&amp;_xlfn.XMATCH("NA",Liste_rouge!A:A,2,1),"NA")</f>
        <v>NA</v>
      </c>
      <c r="AH23536" s="4" t="str">
        <f>HYPERLINK("#Statut_biogéographique!A"&amp;_xlfn.XMATCH("M",Statut_biogéographique!A:A,2,1),"M")</f>
        <v>M</v>
      </c>
      <c r="AP23536" s="4" t="s">
        <v>376</v>
      </c>
      <c r="AR23536" s="4" t="s">
        <v>377</v>
      </c>
    </row>
    <row r="23537" spans="1:44" ht="90">
      <c r="A23537" s="4" t="s">
        <v>24364</v>
      </c>
      <c r="B23537" s="4">
        <v>81508</v>
      </c>
      <c r="D23537" s="5" t="s">
        <v>30511</v>
      </c>
      <c r="E23537" s="6" t="str">
        <f>HYPERLINK("https://inpn.mnhn.fr/espece/cd_nom/81508","Allium schoenoprasum L., 1753")</f>
        <v>Allium schoenoprasum L., 1753</v>
      </c>
      <c r="F23537" s="5" t="s">
        <v>30081</v>
      </c>
      <c r="O23537" s="7" t="str">
        <f>HYPERLINK("#Liste_rouge!A"&amp;_xlfn.XMATCH("DD",Liste_rouge!A:A,2,1),"DD (cd_nom 631402) - LC (cd_nom 81508)")</f>
        <v>DD (cd_nom 631402) - LC (cd_nom 81508)</v>
      </c>
      <c r="P23537" s="7" t="str">
        <f>HYPERLINK("#Liste_rouge!A"&amp;_xlfn.XMATCH("LC",Liste_rouge!A:A,2,1),"LC")</f>
        <v>LC</v>
      </c>
      <c r="Q23537" s="7" t="str">
        <f>HYPERLINK("#Liste_rouge!A"&amp;_xlfn.XMATCH("LC",Liste_rouge!A:A,2,1),"LC")</f>
        <v>LC</v>
      </c>
      <c r="T23537" s="7" t="str">
        <f>HYPERLINK("#Liste_rouge!A"&amp;_xlfn.XMATCH("CR",Liste_rouge!A:A,2,1),"CR")</f>
        <v>CR</v>
      </c>
      <c r="U23537" s="4" t="str">
        <f>HYPERLINK("#Critères_liste_rouge!A$1","C2a(i)")</f>
        <v>C2a(i)</v>
      </c>
      <c r="V23537" s="7" t="str">
        <f>HYPERLINK("#Liste_rouge!A"&amp;_xlfn.XMATCH("LC",Liste_rouge!A:A,2,1),"LC")</f>
        <v>LC</v>
      </c>
      <c r="X23537" s="5" t="s">
        <v>374</v>
      </c>
      <c r="AB23537" s="4" t="s">
        <v>93</v>
      </c>
      <c r="AH23537" s="4" t="str">
        <f>HYPERLINK("#Statut_biogéographique!A"&amp;_xlfn.XMATCH("P",Statut_biogéographique!A:A,2,1),"P")</f>
        <v>P</v>
      </c>
      <c r="AM23537" s="4" t="s">
        <v>375</v>
      </c>
      <c r="AN23537" s="4" t="s">
        <v>375</v>
      </c>
      <c r="AO23537" s="4" t="s">
        <v>375</v>
      </c>
      <c r="AP23537" s="4" t="s">
        <v>376</v>
      </c>
      <c r="AR23537" s="4" t="s">
        <v>377</v>
      </c>
    </row>
    <row r="23538" spans="1:44" ht="30">
      <c r="A23538" s="4" t="s">
        <v>24364</v>
      </c>
      <c r="B23538" s="4">
        <v>81510</v>
      </c>
      <c r="D23538" s="5" t="s">
        <v>30512</v>
      </c>
      <c r="E23538" s="6" t="str">
        <f>HYPERLINK("https://inpn.mnhn.fr/espece/cd_nom/81510","Allium scorodoprasum L., 1753")</f>
        <v>Allium scorodoprasum L., 1753</v>
      </c>
      <c r="F23538" s="5" t="s">
        <v>30513</v>
      </c>
      <c r="P23538" s="7" t="str">
        <f>HYPERLINK("#Liste_rouge!A"&amp;_xlfn.XMATCH("LC",Liste_rouge!A:A,2,1),"LC")</f>
        <v>LC</v>
      </c>
      <c r="Q23538" s="7" t="str">
        <f>HYPERLINK("#Liste_rouge!A"&amp;_xlfn.XMATCH("LC",Liste_rouge!A:A,2,1),"LC")</f>
        <v>LC</v>
      </c>
      <c r="T23538" s="7" t="str">
        <f>HYPERLINK("#Liste_rouge!A"&amp;_xlfn.XMATCH("NA",Liste_rouge!A:A,2,1),"NA")</f>
        <v>NA</v>
      </c>
      <c r="V23538" s="7" t="str">
        <f>HYPERLINK("#Liste_rouge!A"&amp;_xlfn.XMATCH("NT",Liste_rouge!A:A,2,1),"NT")</f>
        <v>NT</v>
      </c>
      <c r="W23538" s="4" t="str">
        <f>HYPERLINK("#Critères_liste_rouge!A$1","pr. B2a")</f>
        <v>pr. B2a</v>
      </c>
      <c r="AB23538" s="4" t="s">
        <v>24501</v>
      </c>
      <c r="AH23538" s="4" t="str">
        <f>HYPERLINK("#Statut_biogéographique!A"&amp;_xlfn.XMATCH("P",Statut_biogéographique!A:A,2,1),"P")</f>
        <v>P</v>
      </c>
      <c r="AM23538" s="4" t="s">
        <v>375</v>
      </c>
      <c r="AN23538" s="4" t="s">
        <v>375</v>
      </c>
      <c r="AO23538" s="4" t="s">
        <v>375</v>
      </c>
      <c r="AP23538" s="4" t="s">
        <v>376</v>
      </c>
      <c r="AR23538" s="4" t="s">
        <v>377</v>
      </c>
    </row>
    <row r="23539" spans="1:44" ht="45">
      <c r="A23539" s="4" t="s">
        <v>24364</v>
      </c>
      <c r="B23539" s="4">
        <v>81520</v>
      </c>
      <c r="D23539" s="5" t="s">
        <v>30514</v>
      </c>
      <c r="E23539" s="6" t="str">
        <f>HYPERLINK("https://inpn.mnhn.fr/espece/cd_nom/81520","Allium sphaerocephalon L., 1753")</f>
        <v>Allium sphaerocephalon L., 1753</v>
      </c>
      <c r="F23539" s="5" t="s">
        <v>28281</v>
      </c>
      <c r="P23539" s="7" t="str">
        <f>HYPERLINK("#Liste_rouge!A"&amp;_xlfn.XMATCH("LC",Liste_rouge!A:A,2,1),"LC")</f>
        <v>LC</v>
      </c>
      <c r="Q23539" s="7" t="str">
        <f>HYPERLINK("#Liste_rouge!A"&amp;_xlfn.XMATCH("LC",Liste_rouge!A:A,2,1),"LC")</f>
        <v>LC</v>
      </c>
      <c r="T23539" s="7" t="str">
        <f>HYPERLINK("#Liste_rouge!A"&amp;_xlfn.XMATCH("LC",Liste_rouge!A:A,2,1),"LC")</f>
        <v>LC</v>
      </c>
      <c r="V23539" s="7" t="str">
        <f>HYPERLINK("#Liste_rouge!A"&amp;_xlfn.XMATCH("LC",Liste_rouge!A:A,2,1),"LC")</f>
        <v>LC</v>
      </c>
      <c r="AB23539" s="4" t="s">
        <v>24719</v>
      </c>
      <c r="AH23539" s="4" t="str">
        <f>HYPERLINK("#Statut_biogéographique!A"&amp;_xlfn.XMATCH("P",Statut_biogéographique!A:A,2,1),"P")</f>
        <v>P</v>
      </c>
      <c r="AM23539" s="4" t="s">
        <v>375</v>
      </c>
      <c r="AN23539" s="4" t="s">
        <v>375</v>
      </c>
      <c r="AO23539" s="4" t="s">
        <v>375</v>
      </c>
      <c r="AP23539" s="4" t="s">
        <v>376</v>
      </c>
      <c r="AR23539" s="4" t="s">
        <v>377</v>
      </c>
    </row>
    <row r="23540" spans="1:44" ht="30">
      <c r="A23540" s="4" t="s">
        <v>24364</v>
      </c>
      <c r="B23540" s="4">
        <v>81541</v>
      </c>
      <c r="D23540" s="5" t="s">
        <v>30515</v>
      </c>
      <c r="E23540" s="6" t="str">
        <f>HYPERLINK("https://inpn.mnhn.fr/espece/cd_nom/81541","Allium ursinum L., 1753")</f>
        <v>Allium ursinum L., 1753</v>
      </c>
      <c r="F23540" s="5" t="s">
        <v>30516</v>
      </c>
      <c r="P23540" s="7" t="str">
        <f>HYPERLINK("#Liste_rouge!A"&amp;_xlfn.XMATCH("LC",Liste_rouge!A:A,2,1),"LC")</f>
        <v>LC</v>
      </c>
      <c r="Q23540" s="7" t="str">
        <f>HYPERLINK("#Liste_rouge!A"&amp;_xlfn.XMATCH("LC",Liste_rouge!A:A,2,1),"LC")</f>
        <v>LC</v>
      </c>
      <c r="T23540" s="7" t="str">
        <f>HYPERLINK("#Liste_rouge!A"&amp;_xlfn.XMATCH("LC",Liste_rouge!A:A,2,1),"LC")</f>
        <v>LC</v>
      </c>
      <c r="V23540" s="7" t="str">
        <f>HYPERLINK("#Liste_rouge!A"&amp;_xlfn.XMATCH("LC",Liste_rouge!A:A,2,1),"LC")</f>
        <v>LC</v>
      </c>
      <c r="AH23540" s="4" t="str">
        <f>HYPERLINK("#Statut_biogéographique!A"&amp;_xlfn.XMATCH("P",Statut_biogéographique!A:A,2,1),"P")</f>
        <v>P</v>
      </c>
      <c r="AM23540" s="4" t="s">
        <v>375</v>
      </c>
      <c r="AN23540" s="4" t="s">
        <v>375</v>
      </c>
      <c r="AO23540" s="4" t="s">
        <v>375</v>
      </c>
      <c r="AP23540" s="4" t="s">
        <v>376</v>
      </c>
      <c r="AR23540" s="4" t="s">
        <v>377</v>
      </c>
    </row>
    <row r="23541" spans="1:44" ht="45">
      <c r="A23541" s="4" t="s">
        <v>24364</v>
      </c>
      <c r="B23541" s="4">
        <v>81543</v>
      </c>
      <c r="D23541" s="5" t="s">
        <v>30517</v>
      </c>
      <c r="E23541" s="6" t="str">
        <f>HYPERLINK("https://inpn.mnhn.fr/espece/cd_nom/81543","Allium victorialis L., 1753")</f>
        <v>Allium victorialis L., 1753</v>
      </c>
      <c r="F23541" s="5" t="s">
        <v>30518</v>
      </c>
      <c r="P23541" s="7" t="str">
        <f>HYPERLINK("#Liste_rouge!A"&amp;_xlfn.XMATCH("LC",Liste_rouge!A:A,2,1),"LC")</f>
        <v>LC</v>
      </c>
      <c r="Q23541" s="7" t="str">
        <f>HYPERLINK("#Liste_rouge!A"&amp;_xlfn.XMATCH("LC",Liste_rouge!A:A,2,1),"LC")</f>
        <v>LC</v>
      </c>
      <c r="T23541" s="7" t="str">
        <f>HYPERLINK("#Liste_rouge!A"&amp;_xlfn.XMATCH("NA",Liste_rouge!A:A,2,1),"NA")</f>
        <v>NA</v>
      </c>
      <c r="V23541" s="7" t="str">
        <f>HYPERLINK("#Liste_rouge!A"&amp;_xlfn.XMATCH("VU",Liste_rouge!A:A,2,1),"VU")</f>
        <v>VU</v>
      </c>
      <c r="W23541" s="4" t="str">
        <f>HYPERLINK("#Critères_liste_rouge!A$1","D2")</f>
        <v>D2</v>
      </c>
      <c r="AB23541" s="4" t="s">
        <v>24733</v>
      </c>
      <c r="AH23541" s="4" t="str">
        <f>HYPERLINK("#Statut_biogéographique!A"&amp;_xlfn.XMATCH("P",Statut_biogéographique!A:A,2,1),"P")</f>
        <v>P</v>
      </c>
      <c r="AM23541" s="4" t="s">
        <v>375</v>
      </c>
      <c r="AN23541" s="4" t="s">
        <v>375</v>
      </c>
      <c r="AO23541" s="4" t="s">
        <v>375</v>
      </c>
      <c r="AP23541" s="4" t="s">
        <v>376</v>
      </c>
      <c r="AR23541" s="4" t="s">
        <v>377</v>
      </c>
    </row>
    <row r="23542" spans="1:44" ht="90">
      <c r="A23542" s="4" t="s">
        <v>24364</v>
      </c>
      <c r="B23542" s="4">
        <v>81544</v>
      </c>
      <c r="D23542" s="5" t="s">
        <v>30519</v>
      </c>
      <c r="E23542" s="6" t="str">
        <f>HYPERLINK("https://inpn.mnhn.fr/espece/cd_nom/81544","Allium vineale L., 1753")</f>
        <v>Allium vineale L., 1753</v>
      </c>
      <c r="F23542" s="5" t="s">
        <v>30520</v>
      </c>
      <c r="P23542" s="7" t="str">
        <f>HYPERLINK("#Liste_rouge!A"&amp;_xlfn.XMATCH("LC",Liste_rouge!A:A,2,1),"LC")</f>
        <v>LC</v>
      </c>
      <c r="Q23542" s="7" t="str">
        <f>HYPERLINK("#Liste_rouge!A"&amp;_xlfn.XMATCH("LC",Liste_rouge!A:A,2,1),"LC")</f>
        <v>LC</v>
      </c>
      <c r="T23542" s="7" t="str">
        <f>HYPERLINK("#Liste_rouge!A"&amp;_xlfn.XMATCH("LC",Liste_rouge!A:A,2,1),"LC")</f>
        <v>LC</v>
      </c>
      <c r="V23542" s="7" t="str">
        <f>HYPERLINK("#Liste_rouge!A"&amp;_xlfn.XMATCH("LC",Liste_rouge!A:A,2,1),"LC")</f>
        <v>LC</v>
      </c>
      <c r="AH23542" s="4" t="str">
        <f>HYPERLINK("#Statut_biogéographique!A"&amp;_xlfn.XMATCH("P",Statut_biogéographique!A:A,2,1),"P")</f>
        <v>P</v>
      </c>
      <c r="AM23542" s="4" t="s">
        <v>375</v>
      </c>
      <c r="AN23542" s="4" t="s">
        <v>375</v>
      </c>
      <c r="AO23542" s="4" t="s">
        <v>375</v>
      </c>
      <c r="AP23542" s="4" t="s">
        <v>376</v>
      </c>
      <c r="AR23542" s="4" t="s">
        <v>377</v>
      </c>
    </row>
    <row r="23543" spans="1:44" ht="60">
      <c r="A23543" s="4" t="s">
        <v>24364</v>
      </c>
      <c r="B23543" s="4">
        <v>81563</v>
      </c>
      <c r="D23543" s="5" t="s">
        <v>30521</v>
      </c>
      <c r="E23543" s="6" t="str">
        <f>HYPERLINK("https://inpn.mnhn.fr/espece/cd_nom/81563","Alnus alnobetula (Ehrh.) K.Koch, 1872")</f>
        <v>Alnus alnobetula (Ehrh.) K.Koch, 1872</v>
      </c>
      <c r="F23543" s="5" t="s">
        <v>30522</v>
      </c>
      <c r="M23543" s="4" t="str">
        <f>HYPERLINK("#Réglementation!A"&amp;_xlfn.XMATCH("RV43",Réglementation!A:A,2,1),"RV43")</f>
        <v>RV43</v>
      </c>
      <c r="P23543" s="7" t="str">
        <f>HYPERLINK("#Liste_rouge!A"&amp;_xlfn.XMATCH("LC",Liste_rouge!A:A,2,1),"LC")</f>
        <v>LC</v>
      </c>
      <c r="Q23543" s="7" t="str">
        <f>HYPERLINK("#Liste_rouge!A"&amp;_xlfn.XMATCH("LC",Liste_rouge!A:A,2,1),"LC")</f>
        <v>LC</v>
      </c>
      <c r="T23543" s="7" t="str">
        <f>HYPERLINK("#Liste_rouge!A"&amp;_xlfn.XMATCH("NA",Liste_rouge!A:A,2,1),"NA")</f>
        <v>NA</v>
      </c>
      <c r="V23543" s="7" t="str">
        <f>HYPERLINK("#Liste_rouge!A"&amp;_xlfn.XMATCH("DD",Liste_rouge!A:A,2,1),"DD")</f>
        <v>DD</v>
      </c>
      <c r="AH23543" s="4" t="str">
        <f>HYPERLINK("#Statut_biogéographique!A"&amp;_xlfn.XMATCH("P",Statut_biogéographique!A:A,2,1),"P")</f>
        <v>P</v>
      </c>
      <c r="AP23543" s="4" t="s">
        <v>376</v>
      </c>
      <c r="AR23543" s="4" t="s">
        <v>377</v>
      </c>
    </row>
    <row r="23544" spans="1:44" ht="30">
      <c r="A23544" s="4" t="s">
        <v>24364</v>
      </c>
      <c r="B23544" s="4">
        <v>81567</v>
      </c>
      <c r="D23544" s="5" t="s">
        <v>30523</v>
      </c>
      <c r="E23544" s="6" t="str">
        <f>HYPERLINK("https://inpn.mnhn.fr/espece/cd_nom/81567","Alnus cordata (Loisel.) Duby, 1828")</f>
        <v>Alnus cordata (Loisel.) Duby, 1828</v>
      </c>
      <c r="F23544" s="5" t="s">
        <v>30524</v>
      </c>
      <c r="O23544" s="7" t="str">
        <f>HYPERLINK("#Liste_rouge!A"&amp;_xlfn.XMATCH("LC",Liste_rouge!A:A,2,1),"LC")</f>
        <v>LC</v>
      </c>
      <c r="P23544" s="7" t="str">
        <f>HYPERLINK("#Liste_rouge!A"&amp;_xlfn.XMATCH("LC",Liste_rouge!A:A,2,1),"LC")</f>
        <v>LC</v>
      </c>
      <c r="Q23544" s="7" t="str">
        <f>HYPERLINK("#Liste_rouge!A"&amp;_xlfn.XMATCH("LC",Liste_rouge!A:A,2,1),"LC")</f>
        <v>LC</v>
      </c>
      <c r="T23544" s="7" t="str">
        <f>HYPERLINK("#Liste_rouge!A"&amp;_xlfn.XMATCH("NA",Liste_rouge!A:A,2,1),"NA")</f>
        <v>NA</v>
      </c>
      <c r="AH23544" s="4" t="str">
        <f>HYPERLINK("#Statut_biogéographique!A"&amp;_xlfn.XMATCH("P",Statut_biogéographique!A:A,2,1),"P")</f>
        <v>P</v>
      </c>
      <c r="AP23544" s="4" t="s">
        <v>376</v>
      </c>
      <c r="AR23544" s="4" t="s">
        <v>377</v>
      </c>
    </row>
    <row r="23545" spans="1:44" ht="45">
      <c r="A23545" s="4" t="s">
        <v>24364</v>
      </c>
      <c r="B23545" s="4">
        <v>81569</v>
      </c>
      <c r="D23545" s="5" t="s">
        <v>30525</v>
      </c>
      <c r="E23545" s="6" t="str">
        <f>HYPERLINK("https://inpn.mnhn.fr/espece/cd_nom/81569","Alnus glutinosa (L.) Gaertn., 1790")</f>
        <v>Alnus glutinosa (L.) Gaertn., 1790</v>
      </c>
      <c r="F23545" s="5" t="s">
        <v>30526</v>
      </c>
      <c r="O23545" s="7" t="str">
        <f>HYPERLINK("#Liste_rouge!A"&amp;_xlfn.XMATCH("LC",Liste_rouge!A:A,2,1),"LC")</f>
        <v>LC</v>
      </c>
      <c r="P23545" s="7" t="str">
        <f>HYPERLINK("#Liste_rouge!A"&amp;_xlfn.XMATCH("LC",Liste_rouge!A:A,2,1),"LC")</f>
        <v>LC</v>
      </c>
      <c r="Q23545" s="7" t="str">
        <f>HYPERLINK("#Liste_rouge!A"&amp;_xlfn.XMATCH("LC",Liste_rouge!A:A,2,1),"LC")</f>
        <v>LC</v>
      </c>
      <c r="T23545" s="7" t="str">
        <f>HYPERLINK("#Liste_rouge!A"&amp;_xlfn.XMATCH("LC",Liste_rouge!A:A,2,1),"LC")</f>
        <v>LC</v>
      </c>
      <c r="V23545" s="7" t="str">
        <f>HYPERLINK("#Liste_rouge!A"&amp;_xlfn.XMATCH("LC",Liste_rouge!A:A,2,1),"LC")</f>
        <v>LC</v>
      </c>
      <c r="AH23545" s="4" t="str">
        <f>HYPERLINK("#Statut_biogéographique!A"&amp;_xlfn.XMATCH("P",Statut_biogéographique!A:A,2,1),"P")</f>
        <v>P</v>
      </c>
      <c r="AM23545" s="4" t="s">
        <v>375</v>
      </c>
      <c r="AN23545" s="4" t="s">
        <v>375</v>
      </c>
      <c r="AO23545" s="4" t="s">
        <v>375</v>
      </c>
      <c r="AP23545" s="4" t="s">
        <v>376</v>
      </c>
      <c r="AR23545" s="4" t="s">
        <v>377</v>
      </c>
    </row>
    <row r="23546" spans="1:44" ht="30">
      <c r="A23546" s="4" t="s">
        <v>24364</v>
      </c>
      <c r="B23546" s="4">
        <v>81570</v>
      </c>
      <c r="D23546" s="5" t="s">
        <v>30527</v>
      </c>
      <c r="E23546" s="6" t="str">
        <f>HYPERLINK("https://inpn.mnhn.fr/espece/cd_nom/81570","Alnus incana (L.) Moench, 1794")</f>
        <v>Alnus incana (L.) Moench, 1794</v>
      </c>
      <c r="F23546" s="5" t="s">
        <v>28282</v>
      </c>
      <c r="O23546" s="7" t="str">
        <f>HYPERLINK("#Liste_rouge!A"&amp;_xlfn.XMATCH("LC",Liste_rouge!A:A,2,1),"LC")</f>
        <v>LC</v>
      </c>
      <c r="P23546" s="7" t="str">
        <f>HYPERLINK("#Liste_rouge!A"&amp;_xlfn.XMATCH("LC",Liste_rouge!A:A,2,1),"LC")</f>
        <v>LC</v>
      </c>
      <c r="Q23546" s="7" t="str">
        <f>HYPERLINK("#Liste_rouge!A"&amp;_xlfn.XMATCH("LC",Liste_rouge!A:A,2,1),"LC")</f>
        <v>LC</v>
      </c>
      <c r="T23546" s="7" t="str">
        <f>HYPERLINK("#Liste_rouge!A"&amp;_xlfn.XMATCH("VU",Liste_rouge!A:A,2,1),"VU")</f>
        <v>VU</v>
      </c>
      <c r="U23546" s="4" t="str">
        <f>HYPERLINK("#Critères_liste_rouge!A$1","D2")</f>
        <v>D2</v>
      </c>
      <c r="V23546" s="7" t="str">
        <f>HYPERLINK("#Liste_rouge!A"&amp;_xlfn.XMATCH("LC",Liste_rouge!A:A,2,1),"LC")</f>
        <v>LC</v>
      </c>
      <c r="AB23546" s="4" t="s">
        <v>25010</v>
      </c>
      <c r="AH23546" s="4" t="str">
        <f>HYPERLINK("#Statut_biogéographique!A"&amp;_xlfn.XMATCH("P",Statut_biogéographique!A:A,2,1),"P")</f>
        <v>P</v>
      </c>
      <c r="AM23546" s="4" t="s">
        <v>375</v>
      </c>
      <c r="AN23546" s="4" t="s">
        <v>375</v>
      </c>
      <c r="AO23546" s="4" t="s">
        <v>375</v>
      </c>
      <c r="AP23546" s="4" t="s">
        <v>376</v>
      </c>
      <c r="AR23546" s="4" t="s">
        <v>377</v>
      </c>
    </row>
    <row r="23547" spans="1:44">
      <c r="A23547" s="4" t="s">
        <v>24364</v>
      </c>
      <c r="B23547" s="4">
        <v>81582</v>
      </c>
      <c r="D23547" s="5" t="s">
        <v>30528</v>
      </c>
      <c r="E23547" s="6" t="str">
        <f>HYPERLINK("https://inpn.mnhn.fr/espece/cd_nom/81582","Alnus x badensis Láng ex Regel, 1864")</f>
        <v>Alnus x badensis Láng ex Regel, 1864</v>
      </c>
      <c r="F23547" s="5" t="s">
        <v>30529</v>
      </c>
      <c r="AH23547" s="4" t="str">
        <f>HYPERLINK("#Statut_biogéographique!A"&amp;_xlfn.XMATCH("P",Statut_biogéographique!A:A,2,1),"P")</f>
        <v>P</v>
      </c>
      <c r="AP23547" s="4" t="s">
        <v>376</v>
      </c>
      <c r="AR23547" s="4" t="s">
        <v>377</v>
      </c>
    </row>
    <row r="23548" spans="1:44" ht="120">
      <c r="A23548" s="4" t="s">
        <v>24364</v>
      </c>
      <c r="B23548" s="4">
        <v>81610</v>
      </c>
      <c r="D23548" s="5" t="s">
        <v>30530</v>
      </c>
      <c r="E23548" s="6" t="str">
        <f>HYPERLINK("https://inpn.mnhn.fr/espece/cd_nom/81610","Alopecurus aequalis Sobol., 1799")</f>
        <v>Alopecurus aequalis Sobol., 1799</v>
      </c>
      <c r="F23548" s="5" t="s">
        <v>30531</v>
      </c>
      <c r="O23548" s="7" t="str">
        <f>HYPERLINK("#Liste_rouge!A"&amp;_xlfn.XMATCH("LC",Liste_rouge!A:A,2,1),"LC")</f>
        <v>LC</v>
      </c>
      <c r="P23548" s="7" t="str">
        <f>HYPERLINK("#Liste_rouge!A"&amp;_xlfn.XMATCH("LC",Liste_rouge!A:A,2,1),"LC")</f>
        <v>LC</v>
      </c>
      <c r="Q23548" s="7" t="str">
        <f>HYPERLINK("#Liste_rouge!A"&amp;_xlfn.XMATCH("LC",Liste_rouge!A:A,2,1),"LC")</f>
        <v>LC</v>
      </c>
      <c r="T23548" s="7" t="str">
        <f>HYPERLINK("#Liste_rouge!A"&amp;_xlfn.XMATCH("LC",Liste_rouge!A:A,2,1),"LC")</f>
        <v>LC</v>
      </c>
      <c r="V23548" s="7" t="str">
        <f>HYPERLINK("#Liste_rouge!A"&amp;_xlfn.XMATCH("LC",Liste_rouge!A:A,2,1),"LC")</f>
        <v>LC</v>
      </c>
      <c r="AB23548" s="4" t="s">
        <v>30532</v>
      </c>
      <c r="AH23548" s="4" t="str">
        <f>HYPERLINK("#Statut_biogéographique!A"&amp;_xlfn.XMATCH("P",Statut_biogéographique!A:A,2,1),"P")</f>
        <v>P</v>
      </c>
      <c r="AM23548" s="4" t="s">
        <v>375</v>
      </c>
      <c r="AN23548" s="4" t="s">
        <v>375</v>
      </c>
      <c r="AO23548" s="4" t="s">
        <v>375</v>
      </c>
      <c r="AP23548" s="4" t="s">
        <v>376</v>
      </c>
      <c r="AR23548" s="4" t="s">
        <v>377</v>
      </c>
    </row>
    <row r="23549" spans="1:44" ht="45">
      <c r="A23549" s="4" t="s">
        <v>24364</v>
      </c>
      <c r="B23549" s="4">
        <v>81637</v>
      </c>
      <c r="D23549" s="5" t="s">
        <v>30533</v>
      </c>
      <c r="E23549" s="6" t="str">
        <f>HYPERLINK("https://inpn.mnhn.fr/espece/cd_nom/81637","Alopecurus geniculatus L., 1753")</f>
        <v>Alopecurus geniculatus L., 1753</v>
      </c>
      <c r="F23549" s="5" t="s">
        <v>30534</v>
      </c>
      <c r="P23549" s="7" t="str">
        <f>HYPERLINK("#Liste_rouge!A"&amp;_xlfn.XMATCH("LC",Liste_rouge!A:A,2,1),"LC")</f>
        <v>LC</v>
      </c>
      <c r="Q23549" s="7" t="str">
        <f>HYPERLINK("#Liste_rouge!A"&amp;_xlfn.XMATCH("LC",Liste_rouge!A:A,2,1),"LC")</f>
        <v>LC</v>
      </c>
      <c r="T23549" s="7" t="str">
        <f>HYPERLINK("#Liste_rouge!A"&amp;_xlfn.XMATCH("LC",Liste_rouge!A:A,2,1),"LC")</f>
        <v>LC</v>
      </c>
      <c r="V23549" s="7" t="str">
        <f>HYPERLINK("#Liste_rouge!A"&amp;_xlfn.XMATCH("LC",Liste_rouge!A:A,2,1),"LC")</f>
        <v>LC</v>
      </c>
      <c r="AH23549" s="4" t="str">
        <f>HYPERLINK("#Statut_biogéographique!A"&amp;_xlfn.XMATCH("P",Statut_biogéographique!A:A,2,1),"P")</f>
        <v>P</v>
      </c>
      <c r="AM23549" s="4" t="s">
        <v>375</v>
      </c>
      <c r="AN23549" s="4" t="s">
        <v>375</v>
      </c>
      <c r="AO23549" s="4" t="s">
        <v>375</v>
      </c>
      <c r="AP23549" s="4" t="s">
        <v>376</v>
      </c>
      <c r="AR23549" s="4" t="s">
        <v>377</v>
      </c>
    </row>
    <row r="23550" spans="1:44" ht="90">
      <c r="A23550" s="4" t="s">
        <v>24364</v>
      </c>
      <c r="B23550" s="4">
        <v>81648</v>
      </c>
      <c r="D23550" s="5" t="s">
        <v>30535</v>
      </c>
      <c r="E23550" s="6" t="str">
        <f>HYPERLINK("https://inpn.mnhn.fr/espece/cd_nom/81648","Alopecurus myosuroides Huds., 1762")</f>
        <v>Alopecurus myosuroides Huds., 1762</v>
      </c>
      <c r="F23550" s="5" t="s">
        <v>30082</v>
      </c>
      <c r="O23550" s="7" t="str">
        <f>HYPERLINK("#Liste_rouge!A"&amp;_xlfn.XMATCH("LC",Liste_rouge!A:A,2,1),"LC")</f>
        <v>LC</v>
      </c>
      <c r="Q23550" s="7" t="str">
        <f>HYPERLINK("#Liste_rouge!A"&amp;_xlfn.XMATCH("LC",Liste_rouge!A:A,2,1),"LC")</f>
        <v>LC</v>
      </c>
      <c r="T23550" s="7" t="str">
        <f>HYPERLINK("#Liste_rouge!A"&amp;_xlfn.XMATCH("LC",Liste_rouge!A:A,2,1),"LC")</f>
        <v>LC</v>
      </c>
      <c r="V23550" s="7" t="str">
        <f>HYPERLINK("#Liste_rouge!A"&amp;_xlfn.XMATCH("LC",Liste_rouge!A:A,2,1),"LC")</f>
        <v>LC</v>
      </c>
      <c r="AH23550" s="4" t="str">
        <f>HYPERLINK("#Statut_biogéographique!A"&amp;_xlfn.XMATCH("P",Statut_biogéographique!A:A,2,1),"P")</f>
        <v>P</v>
      </c>
      <c r="AI23550" s="8" t="s">
        <v>30536</v>
      </c>
      <c r="AJ23550" s="4" t="s">
        <v>12248</v>
      </c>
      <c r="AM23550" s="4" t="s">
        <v>375</v>
      </c>
      <c r="AN23550" s="4" t="s">
        <v>375</v>
      </c>
      <c r="AO23550" s="4" t="s">
        <v>375</v>
      </c>
      <c r="AP23550" s="4" t="s">
        <v>376</v>
      </c>
      <c r="AR23550" s="4" t="s">
        <v>377</v>
      </c>
    </row>
    <row r="23551" spans="1:44" ht="135">
      <c r="A23551" s="4" t="s">
        <v>24364</v>
      </c>
      <c r="B23551" s="4">
        <v>81656</v>
      </c>
      <c r="D23551" s="5" t="s">
        <v>30537</v>
      </c>
      <c r="E23551" s="6" t="str">
        <f>HYPERLINK("https://inpn.mnhn.fr/espece/cd_nom/81656","Alopecurus pratensis L., 1753")</f>
        <v>Alopecurus pratensis L., 1753</v>
      </c>
      <c r="F23551" s="5" t="s">
        <v>28283</v>
      </c>
      <c r="P23551" s="7" t="str">
        <f>HYPERLINK("#Liste_rouge!A"&amp;_xlfn.XMATCH("LC",Liste_rouge!A:A,2,1),"LC")</f>
        <v>LC</v>
      </c>
      <c r="Q23551" s="7" t="str">
        <f>HYPERLINK("#Liste_rouge!A"&amp;_xlfn.XMATCH("LC",Liste_rouge!A:A,2,1),"LC")</f>
        <v>LC</v>
      </c>
      <c r="T23551" s="7" t="str">
        <f>HYPERLINK("#Liste_rouge!A"&amp;_xlfn.XMATCH("LC",Liste_rouge!A:A,2,1),"LC")</f>
        <v>LC</v>
      </c>
      <c r="V23551" s="7" t="str">
        <f>HYPERLINK("#Liste_rouge!A"&amp;_xlfn.XMATCH("LC",Liste_rouge!A:A,2,1),"LC")</f>
        <v>LC</v>
      </c>
      <c r="AH23551" s="4" t="str">
        <f>HYPERLINK("#Statut_biogéographique!A"&amp;_xlfn.XMATCH("P",Statut_biogéographique!A:A,2,1),"P")</f>
        <v>P</v>
      </c>
      <c r="AM23551" s="4" t="s">
        <v>375</v>
      </c>
      <c r="AN23551" s="4" t="s">
        <v>375</v>
      </c>
      <c r="AO23551" s="4" t="s">
        <v>375</v>
      </c>
      <c r="AP23551" s="4" t="s">
        <v>376</v>
      </c>
      <c r="AR23551" s="4" t="s">
        <v>377</v>
      </c>
    </row>
    <row r="23552" spans="1:44" ht="30">
      <c r="A23552" s="4" t="s">
        <v>24364</v>
      </c>
      <c r="B23552" s="4">
        <v>81658</v>
      </c>
      <c r="D23552" s="5" t="s">
        <v>30538</v>
      </c>
      <c r="E23552" s="6" t="str">
        <f>HYPERLINK("https://inpn.mnhn.fr/espece/cd_nom/81658","Alopecurus rendlei Eig, 1937")</f>
        <v>Alopecurus rendlei Eig, 1937</v>
      </c>
      <c r="F23552" s="5" t="s">
        <v>30539</v>
      </c>
      <c r="Q23552" s="7" t="str">
        <f>HYPERLINK("#Liste_rouge!A"&amp;_xlfn.XMATCH("NT",Liste_rouge!A:A,2,1),"NT")</f>
        <v>NT</v>
      </c>
      <c r="T23552" s="7" t="str">
        <f>HYPERLINK("#Liste_rouge!A"&amp;_xlfn.XMATCH("LC",Liste_rouge!A:A,2,1),"LC")</f>
        <v>LC</v>
      </c>
      <c r="V23552" s="7" t="str">
        <f>HYPERLINK("#Liste_rouge!A"&amp;_xlfn.XMATCH("NT",Liste_rouge!A:A,2,1),"NT")</f>
        <v>NT</v>
      </c>
      <c r="W23552" s="4" t="str">
        <f>HYPERLINK("#Critères_liste_rouge!A$1","pr. A3c B2b(iii)")</f>
        <v>pr. A3c B2b(iii)</v>
      </c>
      <c r="AB23552" s="4" t="s">
        <v>30540</v>
      </c>
      <c r="AH23552" s="4" t="str">
        <f>HYPERLINK("#Statut_biogéographique!A"&amp;_xlfn.XMATCH("P",Statut_biogéographique!A:A,2,1),"P")</f>
        <v>P</v>
      </c>
      <c r="AM23552" s="4" t="s">
        <v>375</v>
      </c>
      <c r="AN23552" s="4" t="s">
        <v>375</v>
      </c>
      <c r="AO23552" s="4" t="s">
        <v>375</v>
      </c>
      <c r="AP23552" s="4" t="s">
        <v>376</v>
      </c>
      <c r="AR23552" s="4" t="s">
        <v>377</v>
      </c>
    </row>
    <row r="23553" spans="1:44" ht="30">
      <c r="A23553" s="4" t="s">
        <v>24364</v>
      </c>
      <c r="B23553" s="4">
        <v>81674</v>
      </c>
      <c r="D23553" s="5">
        <v>81674</v>
      </c>
      <c r="E23553" s="6" t="str">
        <f>HYPERLINK("https://inpn.mnhn.fr/espece/cd_nom/81674","Alopecurus x haussknechtianus Asch. &amp; Graebn., 1899")</f>
        <v>Alopecurus x haussknechtianus Asch. &amp; Graebn., 1899</v>
      </c>
      <c r="F23553" s="5" t="s">
        <v>30541</v>
      </c>
      <c r="T23553" s="7" t="str">
        <f>HYPERLINK("#Liste_rouge!A"&amp;_xlfn.XMATCH("DD",Liste_rouge!A:A,2,1),"DD")</f>
        <v>DD</v>
      </c>
      <c r="AH23553" s="4" t="str">
        <f>HYPERLINK("#Statut_biogéographique!A"&amp;_xlfn.XMATCH("P",Statut_biogéographique!A:A,2,1),"P")</f>
        <v>P</v>
      </c>
      <c r="AP23553" s="4" t="s">
        <v>376</v>
      </c>
      <c r="AR23553" s="4" t="s">
        <v>377</v>
      </c>
    </row>
    <row r="23554" spans="1:44" ht="30">
      <c r="A23554" s="4" t="s">
        <v>24364</v>
      </c>
      <c r="B23554" s="4">
        <v>81837</v>
      </c>
      <c r="D23554" s="5" t="s">
        <v>30542</v>
      </c>
      <c r="E23554" s="6" t="str">
        <f>HYPERLINK("https://inpn.mnhn.fr/espece/cd_nom/81837","Althaea cannabina L., 1753")</f>
        <v>Althaea cannabina L., 1753</v>
      </c>
      <c r="F23554" s="5" t="s">
        <v>30543</v>
      </c>
      <c r="Q23554" s="7" t="str">
        <f>HYPERLINK("#Liste_rouge!A"&amp;_xlfn.XMATCH("LC",Liste_rouge!A:A,2,1),"LC")</f>
        <v>LC</v>
      </c>
      <c r="T23554" s="7" t="str">
        <f>HYPERLINK("#Liste_rouge!A"&amp;_xlfn.XMATCH("NA",Liste_rouge!A:A,2,1),"NA")</f>
        <v>NA</v>
      </c>
      <c r="AH23554" s="4" t="str">
        <f>HYPERLINK("#Statut_biogéographique!A"&amp;_xlfn.XMATCH("P",Statut_biogéographique!A:A,2,1),"P")</f>
        <v>P</v>
      </c>
      <c r="AP23554" s="4" t="s">
        <v>376</v>
      </c>
      <c r="AR23554" s="4" t="s">
        <v>377</v>
      </c>
    </row>
    <row r="23555" spans="1:44" ht="30">
      <c r="A23555" s="4" t="s">
        <v>24364</v>
      </c>
      <c r="B23555" s="4">
        <v>81856</v>
      </c>
      <c r="D23555" s="5" t="s">
        <v>30544</v>
      </c>
      <c r="E23555" s="6" t="str">
        <f>HYPERLINK("https://inpn.mnhn.fr/espece/cd_nom/81856","Althaea officinalis L., 1753")</f>
        <v>Althaea officinalis L., 1753</v>
      </c>
      <c r="F23555" s="5" t="s">
        <v>30545</v>
      </c>
      <c r="P23555" s="7" t="str">
        <f>HYPERLINK("#Liste_rouge!A"&amp;_xlfn.XMATCH("LC",Liste_rouge!A:A,2,1),"LC")</f>
        <v>LC</v>
      </c>
      <c r="Q23555" s="7" t="str">
        <f>HYPERLINK("#Liste_rouge!A"&amp;_xlfn.XMATCH("LC",Liste_rouge!A:A,2,1),"LC")</f>
        <v>LC</v>
      </c>
      <c r="T23555" s="7" t="str">
        <f>HYPERLINK("#Liste_rouge!A"&amp;_xlfn.XMATCH("LC",Liste_rouge!A:A,2,1),"LC")</f>
        <v>LC</v>
      </c>
      <c r="V23555" s="7" t="str">
        <f>HYPERLINK("#Liste_rouge!A"&amp;_xlfn.XMATCH("LC",Liste_rouge!A:A,2,1),"LC")</f>
        <v>LC</v>
      </c>
      <c r="AH23555" s="4" t="str">
        <f>HYPERLINK("#Statut_biogéographique!A"&amp;_xlfn.XMATCH("P",Statut_biogéographique!A:A,2,1),"P")</f>
        <v>P</v>
      </c>
      <c r="AM23555" s="4" t="s">
        <v>375</v>
      </c>
      <c r="AN23555" s="4" t="s">
        <v>375</v>
      </c>
      <c r="AO23555" s="4" t="s">
        <v>375</v>
      </c>
      <c r="AP23555" s="4" t="s">
        <v>376</v>
      </c>
      <c r="AR23555" s="4" t="s">
        <v>377</v>
      </c>
    </row>
    <row r="23556" spans="1:44">
      <c r="A23556" s="4" t="s">
        <v>24364</v>
      </c>
      <c r="B23556" s="4">
        <v>81875</v>
      </c>
      <c r="D23556" s="5" t="s">
        <v>30546</v>
      </c>
      <c r="E23556" s="6" t="str">
        <f>HYPERLINK("https://inpn.mnhn.fr/espece/cd_nom/81875","Alyssoides utriculata (L.) Medik., 1789")</f>
        <v>Alyssoides utriculata (L.) Medik., 1789</v>
      </c>
      <c r="F23556" s="5" t="s">
        <v>30547</v>
      </c>
      <c r="Q23556" s="7" t="str">
        <f>HYPERLINK("#Liste_rouge!A"&amp;_xlfn.XMATCH("LC",Liste_rouge!A:A,2,1),"LC")</f>
        <v>LC</v>
      </c>
      <c r="T23556" s="7" t="str">
        <f>HYPERLINK("#Liste_rouge!A"&amp;_xlfn.XMATCH("NA",Liste_rouge!A:A,2,1),"NA")</f>
        <v>NA</v>
      </c>
      <c r="AH23556" s="4" t="str">
        <f>HYPERLINK("#Statut_biogéographique!A"&amp;_xlfn.XMATCH("P",Statut_biogéographique!A:A,2,1),"P")</f>
        <v>P</v>
      </c>
      <c r="AP23556" s="4" t="s">
        <v>376</v>
      </c>
      <c r="AR23556" s="4" t="s">
        <v>377</v>
      </c>
    </row>
    <row r="23557" spans="1:44" ht="75">
      <c r="A23557" s="4" t="s">
        <v>24364</v>
      </c>
      <c r="B23557" s="4">
        <v>81878</v>
      </c>
      <c r="D23557" s="5" t="s">
        <v>30548</v>
      </c>
      <c r="E23557" s="6" t="str">
        <f>HYPERLINK("https://inpn.mnhn.fr/espece/cd_nom/81878","Alyssum alyssoides (L.) L., 1759")</f>
        <v>Alyssum alyssoides (L.) L., 1759</v>
      </c>
      <c r="F23557" s="5" t="s">
        <v>30549</v>
      </c>
      <c r="Q23557" s="7" t="str">
        <f>HYPERLINK("#Liste_rouge!A"&amp;_xlfn.XMATCH("LC",Liste_rouge!A:A,2,1),"LC")</f>
        <v>LC</v>
      </c>
      <c r="T23557" s="7" t="str">
        <f>HYPERLINK("#Liste_rouge!A"&amp;_xlfn.XMATCH("LC",Liste_rouge!A:A,2,1),"LC")</f>
        <v>LC</v>
      </c>
      <c r="V23557" s="7" t="str">
        <f>HYPERLINK("#Liste_rouge!A"&amp;_xlfn.XMATCH("NT",Liste_rouge!A:A,2,1),"NT")</f>
        <v>NT</v>
      </c>
      <c r="W23557" s="4" t="str">
        <f>HYPERLINK("#Critères_liste_rouge!A$1","pr. B2b(iii)")</f>
        <v>pr. B2b(iii)</v>
      </c>
      <c r="AB23557" s="4" t="s">
        <v>27161</v>
      </c>
      <c r="AH23557" s="4" t="str">
        <f>HYPERLINK("#Statut_biogéographique!A"&amp;_xlfn.XMATCH("P",Statut_biogéographique!A:A,2,1),"P")</f>
        <v>P</v>
      </c>
      <c r="AM23557" s="4" t="s">
        <v>375</v>
      </c>
      <c r="AN23557" s="4" t="s">
        <v>375</v>
      </c>
      <c r="AO23557" s="4" t="s">
        <v>375</v>
      </c>
      <c r="AP23557" s="4" t="s">
        <v>376</v>
      </c>
      <c r="AR23557" s="4" t="s">
        <v>377</v>
      </c>
    </row>
    <row r="23558" spans="1:44" ht="75">
      <c r="A23558" s="4" t="s">
        <v>24364</v>
      </c>
      <c r="B23558" s="4">
        <v>81923</v>
      </c>
      <c r="D23558" s="5" t="s">
        <v>30550</v>
      </c>
      <c r="E23558" s="6" t="str">
        <f>HYPERLINK("https://inpn.mnhn.fr/espece/cd_nom/81923","Alyssum montanum L., 1753 [nom. et typ. cons.]")</f>
        <v>Alyssum montanum L., 1753 [nom. et typ. cons.]</v>
      </c>
      <c r="F23558" s="5" t="s">
        <v>30551</v>
      </c>
      <c r="M23558" s="4" t="str">
        <f>HYPERLINK("#Réglementation!A"&amp;_xlfn.XMATCH("RV43",Réglementation!A:A,2,1),"RV43")</f>
        <v>RV43</v>
      </c>
      <c r="Q23558" s="7" t="str">
        <f>HYPERLINK("#Liste_rouge!A"&amp;_xlfn.XMATCH("LC",Liste_rouge!A:A,2,1),"LC")</f>
        <v>LC</v>
      </c>
      <c r="T23558" s="7" t="str">
        <f>HYPERLINK("#Liste_rouge!A"&amp;_xlfn.XMATCH("DD",Liste_rouge!A:A,2,1),"DD (cd_nom 143434) - VU (cd_nom 81923)")</f>
        <v>DD (cd_nom 143434) - VU (cd_nom 81923)</v>
      </c>
      <c r="V23558" s="7" t="str">
        <f>HYPERLINK("#Liste_rouge!A"&amp;_xlfn.XMATCH("VU",Liste_rouge!A:A,2,1),"VU")</f>
        <v>VU</v>
      </c>
      <c r="W23558" s="4" t="str">
        <f>HYPERLINK("#Critères_liste_rouge!A$1","D1+2")</f>
        <v>D1+2</v>
      </c>
      <c r="X23558" s="5" t="s">
        <v>374</v>
      </c>
      <c r="AB23558" s="4" t="s">
        <v>93</v>
      </c>
      <c r="AH23558" s="4" t="str">
        <f>HYPERLINK("#Statut_biogéographique!A"&amp;_xlfn.XMATCH("P",Statut_biogéographique!A:A,2,1),"P")</f>
        <v>P</v>
      </c>
      <c r="AM23558" s="4" t="s">
        <v>375</v>
      </c>
      <c r="AN23558" s="4" t="s">
        <v>375</v>
      </c>
      <c r="AO23558" s="4" t="s">
        <v>375</v>
      </c>
      <c r="AP23558" s="4" t="s">
        <v>376</v>
      </c>
      <c r="AR23558" s="4" t="s">
        <v>377</v>
      </c>
    </row>
    <row r="23559" spans="1:44">
      <c r="A23559" s="4" t="s">
        <v>24364</v>
      </c>
      <c r="B23559" s="4">
        <v>81935</v>
      </c>
      <c r="D23559" s="5" t="s">
        <v>30552</v>
      </c>
      <c r="E23559" s="6" t="str">
        <f>HYPERLINK("https://inpn.mnhn.fr/espece/cd_nom/81935","Alyssum rhodanense Jord. &amp; Fourr., 1868")</f>
        <v>Alyssum rhodanense Jord. &amp; Fourr., 1868</v>
      </c>
      <c r="F23559" s="5" t="s">
        <v>30553</v>
      </c>
      <c r="Q23559" s="7" t="str">
        <f>HYPERLINK("#Liste_rouge!A"&amp;_xlfn.XMATCH("VU",Liste_rouge!A:A,2,1),"VU")</f>
        <v>VU</v>
      </c>
      <c r="AH23559" s="4" t="str">
        <f>HYPERLINK("#Statut_biogéographique!A"&amp;_xlfn.XMATCH("E",Statut_biogéographique!A:A,2,1),"E")</f>
        <v>E</v>
      </c>
      <c r="AP23559" s="4" t="s">
        <v>376</v>
      </c>
      <c r="AR23559" s="4" t="s">
        <v>377</v>
      </c>
    </row>
    <row r="23560" spans="1:44" ht="45">
      <c r="A23560" s="4" t="s">
        <v>24364</v>
      </c>
      <c r="B23560" s="4">
        <v>81944</v>
      </c>
      <c r="D23560" s="5" t="s">
        <v>30554</v>
      </c>
      <c r="E23560" s="6" t="str">
        <f>HYPERLINK("https://inpn.mnhn.fr/espece/cd_nom/81944","Alyssum simplex Rudolphi, 1799")</f>
        <v>Alyssum simplex Rudolphi, 1799</v>
      </c>
      <c r="F23560" s="5" t="s">
        <v>30555</v>
      </c>
      <c r="Q23560" s="7" t="str">
        <f>HYPERLINK("#Liste_rouge!A"&amp;_xlfn.XMATCH("LC",Liste_rouge!A:A,2,1),"LC")</f>
        <v>LC</v>
      </c>
      <c r="T23560" s="7" t="str">
        <f>HYPERLINK("#Liste_rouge!A"&amp;_xlfn.XMATCH("NA",Liste_rouge!A:A,2,1),"NA")</f>
        <v>NA</v>
      </c>
      <c r="AH23560" s="4" t="str">
        <f>HYPERLINK("#Statut_biogéographique!A"&amp;_xlfn.XMATCH("P",Statut_biogéographique!A:A,2,1),"P")</f>
        <v>P</v>
      </c>
      <c r="AP23560" s="4" t="s">
        <v>376</v>
      </c>
      <c r="AR23560" s="4" t="s">
        <v>377</v>
      </c>
    </row>
    <row r="23561" spans="1:44">
      <c r="A23561" s="4" t="s">
        <v>24364</v>
      </c>
      <c r="B23561" s="4">
        <v>819546</v>
      </c>
      <c r="D23561" s="5" t="s">
        <v>30556</v>
      </c>
      <c r="E23561" s="6" t="str">
        <f>HYPERLINK("https://inpn.mnhn.fr/espece/cd_nom/819546","Ulota crispula Bruch, 1827")</f>
        <v>Ulota crispula Bruch, 1827</v>
      </c>
      <c r="P23561" s="7" t="str">
        <f>HYPERLINK("#Liste_rouge!A"&amp;_xlfn.XMATCH("LC",Liste_rouge!A:A,2,1),"LC")</f>
        <v>LC</v>
      </c>
      <c r="T23561" s="7" t="str">
        <f>HYPERLINK("#Liste_rouge!A"&amp;_xlfn.XMATCH("DD",Liste_rouge!A:A,2,1),"DD")</f>
        <v>DD</v>
      </c>
      <c r="V23561" s="7" t="str">
        <f>HYPERLINK("#Liste_rouge!A"&amp;_xlfn.XMATCH("LC",Liste_rouge!A:A,2,1),"LC")</f>
        <v>LC</v>
      </c>
      <c r="AH23561" s="4" t="str">
        <f>HYPERLINK("#Statut_biogéographique!A"&amp;_xlfn.XMATCH("P",Statut_biogéographique!A:A,2,1),"P")</f>
        <v>P</v>
      </c>
      <c r="AP23561" s="4" t="s">
        <v>376</v>
      </c>
      <c r="AR23561" s="4" t="s">
        <v>377</v>
      </c>
    </row>
    <row r="23562" spans="1:44">
      <c r="A23562" s="4" t="s">
        <v>24364</v>
      </c>
      <c r="B23562" s="4">
        <v>81955</v>
      </c>
      <c r="D23562" s="5" t="s">
        <v>30557</v>
      </c>
      <c r="E23562" s="6" t="str">
        <f>HYPERLINK("https://inpn.mnhn.fr/espece/cd_nom/81955","Amaranthus albus L., 1759")</f>
        <v>Amaranthus albus L., 1759</v>
      </c>
      <c r="F23562" s="5" t="s">
        <v>30558</v>
      </c>
      <c r="Q23562" s="7" t="str">
        <f>HYPERLINK("#Liste_rouge!A"&amp;_xlfn.XMATCH("NA",Liste_rouge!A:A,2,1),"NA")</f>
        <v>NA</v>
      </c>
      <c r="T23562" s="7" t="str">
        <f>HYPERLINK("#Liste_rouge!A"&amp;_xlfn.XMATCH("NA",Liste_rouge!A:A,2,1),"NA")</f>
        <v>NA</v>
      </c>
      <c r="AH23562" s="4" t="str">
        <f>HYPERLINK("#Statut_biogéographique!A"&amp;_xlfn.XMATCH("I",Statut_biogéographique!A:A,2,1),"I")</f>
        <v>I</v>
      </c>
      <c r="AM23562" s="4" t="s">
        <v>375</v>
      </c>
      <c r="AN23562" s="4" t="s">
        <v>375</v>
      </c>
      <c r="AO23562" s="4" t="s">
        <v>375</v>
      </c>
      <c r="AP23562" s="4" t="s">
        <v>376</v>
      </c>
      <c r="AR23562" s="4" t="s">
        <v>377</v>
      </c>
    </row>
    <row r="23563" spans="1:44">
      <c r="A23563" s="4" t="s">
        <v>24364</v>
      </c>
      <c r="B23563" s="4">
        <v>81963</v>
      </c>
      <c r="D23563" s="5" t="s">
        <v>30559</v>
      </c>
      <c r="E23563" s="6" t="str">
        <f>HYPERLINK("https://inpn.mnhn.fr/espece/cd_nom/81963","Amaranthus blitoides S.Watson, 1877")</f>
        <v>Amaranthus blitoides S.Watson, 1877</v>
      </c>
      <c r="F23563" s="5" t="s">
        <v>30560</v>
      </c>
      <c r="Q23563" s="7" t="str">
        <f>HYPERLINK("#Liste_rouge!A"&amp;_xlfn.XMATCH("NA",Liste_rouge!A:A,2,1),"NA")</f>
        <v>NA</v>
      </c>
      <c r="T23563" s="7" t="str">
        <f>HYPERLINK("#Liste_rouge!A"&amp;_xlfn.XMATCH("NA",Liste_rouge!A:A,2,1),"NA")</f>
        <v>NA</v>
      </c>
      <c r="AH23563" s="4" t="str">
        <f>HYPERLINK("#Statut_biogéographique!A"&amp;_xlfn.XMATCH("I",Statut_biogéographique!A:A,2,1),"I")</f>
        <v>I</v>
      </c>
      <c r="AP23563" s="4" t="s">
        <v>376</v>
      </c>
      <c r="AR23563" s="4" t="s">
        <v>377</v>
      </c>
    </row>
    <row r="23564" spans="1:44" ht="45">
      <c r="A23564" s="4" t="s">
        <v>24364</v>
      </c>
      <c r="B23564" s="4">
        <v>81966</v>
      </c>
      <c r="D23564" s="5" t="s">
        <v>30561</v>
      </c>
      <c r="E23564" s="6" t="str">
        <f>HYPERLINK("https://inpn.mnhn.fr/espece/cd_nom/81966","Amaranthus blitum L., 1753")</f>
        <v>Amaranthus blitum L., 1753</v>
      </c>
      <c r="F23564" s="5" t="s">
        <v>28287</v>
      </c>
      <c r="Q23564" s="7" t="str">
        <f>HYPERLINK("#Liste_rouge!A"&amp;_xlfn.XMATCH("LC",Liste_rouge!A:A,2,1),"LC")</f>
        <v>LC</v>
      </c>
      <c r="T23564" s="7" t="str">
        <f>HYPERLINK("#Liste_rouge!A"&amp;_xlfn.XMATCH("NA",Liste_rouge!A:A,2,1),"NA")</f>
        <v>NA</v>
      </c>
      <c r="AH23564" s="4" t="str">
        <f>HYPERLINK("#Statut_biogéographique!A"&amp;_xlfn.XMATCH("P",Statut_biogéographique!A:A,2,1),"P")</f>
        <v>P</v>
      </c>
      <c r="AM23564" s="4" t="s">
        <v>375</v>
      </c>
      <c r="AN23564" s="4" t="s">
        <v>375</v>
      </c>
      <c r="AO23564" s="4" t="s">
        <v>375</v>
      </c>
      <c r="AP23564" s="4" t="s">
        <v>376</v>
      </c>
      <c r="AR23564" s="4" t="s">
        <v>377</v>
      </c>
    </row>
    <row r="23565" spans="1:44">
      <c r="A23565" s="4" t="s">
        <v>24364</v>
      </c>
      <c r="B23565" s="4">
        <v>81971</v>
      </c>
      <c r="D23565" s="5" t="s">
        <v>30562</v>
      </c>
      <c r="E23565" s="6" t="str">
        <f>HYPERLINK("https://inpn.mnhn.fr/espece/cd_nom/81971","Amaranthus caudatus L., 1753")</f>
        <v>Amaranthus caudatus L., 1753</v>
      </c>
      <c r="F23565" s="5" t="s">
        <v>30563</v>
      </c>
      <c r="Q23565" s="7" t="str">
        <f>HYPERLINK("#Liste_rouge!A"&amp;_xlfn.XMATCH("NA",Liste_rouge!A:A,2,1),"NA")</f>
        <v>NA</v>
      </c>
      <c r="T23565" s="7" t="str">
        <f>HYPERLINK("#Liste_rouge!A"&amp;_xlfn.XMATCH("NA",Liste_rouge!A:A,2,1),"NA")</f>
        <v>NA</v>
      </c>
      <c r="AH23565" s="4" t="str">
        <f>HYPERLINK("#Statut_biogéographique!A"&amp;_xlfn.XMATCH("M",Statut_biogéographique!A:A,2,1),"M")</f>
        <v>M</v>
      </c>
      <c r="AP23565" s="4" t="s">
        <v>376</v>
      </c>
      <c r="AR23565" s="4" t="s">
        <v>377</v>
      </c>
    </row>
    <row r="23566" spans="1:44" ht="30">
      <c r="A23566" s="4" t="s">
        <v>24364</v>
      </c>
      <c r="B23566" s="4">
        <v>81976</v>
      </c>
      <c r="D23566" s="5" t="s">
        <v>30564</v>
      </c>
      <c r="E23566" s="6" t="str">
        <f>HYPERLINK("https://inpn.mnhn.fr/espece/cd_nom/81976","Amaranthus cruentus L., 1759")</f>
        <v>Amaranthus cruentus L., 1759</v>
      </c>
      <c r="F23566" s="5" t="s">
        <v>30565</v>
      </c>
      <c r="Q23566" s="7" t="str">
        <f>HYPERLINK("#Liste_rouge!A"&amp;_xlfn.XMATCH("NA",Liste_rouge!A:A,2,1),"NA")</f>
        <v>NA</v>
      </c>
      <c r="T23566" s="7" t="str">
        <f>HYPERLINK("#Liste_rouge!A"&amp;_xlfn.XMATCH("NA",Liste_rouge!A:A,2,1),"NA")</f>
        <v>NA</v>
      </c>
      <c r="AH23566" s="4" t="str">
        <f>HYPERLINK("#Statut_biogéographique!A"&amp;_xlfn.XMATCH("M",Statut_biogéographique!A:A,2,1),"M")</f>
        <v>M</v>
      </c>
      <c r="AP23566" s="4" t="s">
        <v>376</v>
      </c>
      <c r="AR23566" s="4" t="s">
        <v>377</v>
      </c>
    </row>
    <row r="23567" spans="1:44" ht="30">
      <c r="A23567" s="4" t="s">
        <v>24364</v>
      </c>
      <c r="B23567" s="4">
        <v>81978</v>
      </c>
      <c r="D23567" s="5" t="s">
        <v>30566</v>
      </c>
      <c r="E23567" s="6" t="str">
        <f>HYPERLINK("https://inpn.mnhn.fr/espece/cd_nom/81978","Amaranthus deflexus L., 1771")</f>
        <v>Amaranthus deflexus L., 1771</v>
      </c>
      <c r="F23567" s="5" t="s">
        <v>30567</v>
      </c>
      <c r="Q23567" s="7" t="str">
        <f>HYPERLINK("#Liste_rouge!A"&amp;_xlfn.XMATCH("NA",Liste_rouge!A:A,2,1),"NA")</f>
        <v>NA</v>
      </c>
      <c r="T23567" s="7" t="str">
        <f>HYPERLINK("#Liste_rouge!A"&amp;_xlfn.XMATCH("NA",Liste_rouge!A:A,2,1),"NA")</f>
        <v>NA</v>
      </c>
      <c r="AH23567" s="4" t="str">
        <f>HYPERLINK("#Statut_biogéographique!A"&amp;_xlfn.XMATCH("I",Statut_biogéographique!A:A,2,1),"I")</f>
        <v>I</v>
      </c>
      <c r="AM23567" s="4" t="s">
        <v>375</v>
      </c>
      <c r="AN23567" s="4" t="s">
        <v>375</v>
      </c>
      <c r="AO23567" s="4" t="s">
        <v>375</v>
      </c>
      <c r="AP23567" s="4" t="s">
        <v>376</v>
      </c>
      <c r="AR23567" s="4" t="s">
        <v>377</v>
      </c>
    </row>
    <row r="23568" spans="1:44">
      <c r="A23568" s="4" t="s">
        <v>24364</v>
      </c>
      <c r="B23568" s="4">
        <v>81991</v>
      </c>
      <c r="D23568" s="5" t="s">
        <v>30568</v>
      </c>
      <c r="E23568" s="6" t="str">
        <f>HYPERLINK("https://inpn.mnhn.fr/espece/cd_nom/81991","Amaranthus graecizans L., 1753")</f>
        <v>Amaranthus graecizans L., 1753</v>
      </c>
      <c r="F23568" s="5" t="s">
        <v>30569</v>
      </c>
      <c r="Q23568" s="7" t="str">
        <f>HYPERLINK("#Liste_rouge!A"&amp;_xlfn.XMATCH("LC",Liste_rouge!A:A,2,1),"LC")</f>
        <v>LC</v>
      </c>
      <c r="T23568" s="7" t="str">
        <f>HYPERLINK("#Liste_rouge!A"&amp;_xlfn.XMATCH("NA",Liste_rouge!A:A,2,1),"NA")</f>
        <v>NA</v>
      </c>
      <c r="AH23568" s="4" t="str">
        <f>HYPERLINK("#Statut_biogéographique!A"&amp;_xlfn.XMATCH("P",Statut_biogéographique!A:A,2,1),"P")</f>
        <v>P</v>
      </c>
      <c r="AM23568" s="4" t="s">
        <v>375</v>
      </c>
      <c r="AN23568" s="4" t="s">
        <v>375</v>
      </c>
      <c r="AO23568" s="4" t="s">
        <v>375</v>
      </c>
      <c r="AP23568" s="4" t="s">
        <v>376</v>
      </c>
      <c r="AR23568" s="4" t="s">
        <v>377</v>
      </c>
    </row>
    <row r="23569" spans="1:44" ht="60">
      <c r="A23569" s="4" t="s">
        <v>24364</v>
      </c>
      <c r="B23569" s="4">
        <v>81992</v>
      </c>
      <c r="D23569" s="5" t="s">
        <v>30570</v>
      </c>
      <c r="E23569" s="6" t="str">
        <f>HYPERLINK("https://inpn.mnhn.fr/espece/cd_nom/81992","Amaranthus hybridus L., 1753")</f>
        <v>Amaranthus hybridus L., 1753</v>
      </c>
      <c r="F23569" s="5" t="s">
        <v>30571</v>
      </c>
      <c r="Q23569" s="7" t="str">
        <f>HYPERLINK("#Liste_rouge!A"&amp;_xlfn.XMATCH("NA",Liste_rouge!A:A,2,1),"NA")</f>
        <v>NA</v>
      </c>
      <c r="T23569" s="7" t="str">
        <f>HYPERLINK("#Liste_rouge!A"&amp;_xlfn.XMATCH("NA",Liste_rouge!A:A,2,1),"NA")</f>
        <v>NA</v>
      </c>
      <c r="AH23569" s="4" t="str">
        <f>HYPERLINK("#Statut_biogéographique!A"&amp;_xlfn.XMATCH("I",Statut_biogéographique!A:A,2,1),"I")</f>
        <v>I</v>
      </c>
      <c r="AM23569" s="4" t="s">
        <v>375</v>
      </c>
      <c r="AN23569" s="4" t="s">
        <v>375</v>
      </c>
      <c r="AO23569" s="4" t="s">
        <v>375</v>
      </c>
      <c r="AP23569" s="4" t="s">
        <v>376</v>
      </c>
      <c r="AR23569" s="4" t="s">
        <v>377</v>
      </c>
    </row>
    <row r="23570" spans="1:44" ht="45">
      <c r="A23570" s="4" t="s">
        <v>24364</v>
      </c>
      <c r="B23570" s="4">
        <v>81994</v>
      </c>
      <c r="D23570" s="5" t="s">
        <v>30572</v>
      </c>
      <c r="E23570" s="6" t="str">
        <f>HYPERLINK("https://inpn.mnhn.fr/espece/cd_nom/81994","Amaranthus hypochondriacus L., 1753")</f>
        <v>Amaranthus hypochondriacus L., 1753</v>
      </c>
      <c r="F23570" s="5" t="s">
        <v>30573</v>
      </c>
      <c r="Q23570" s="7" t="str">
        <f>HYPERLINK("#Liste_rouge!A"&amp;_xlfn.XMATCH("NA",Liste_rouge!A:A,2,1),"NA")</f>
        <v>NA</v>
      </c>
      <c r="T23570" s="7" t="str">
        <f>HYPERLINK("#Liste_rouge!A"&amp;_xlfn.XMATCH("NA",Liste_rouge!A:A,2,1),"NA")</f>
        <v>NA</v>
      </c>
      <c r="AH23570" s="4" t="str">
        <f>HYPERLINK("#Statut_biogéographique!A"&amp;_xlfn.XMATCH("M",Statut_biogéographique!A:A,2,1),"M")</f>
        <v>M</v>
      </c>
      <c r="AP23570" s="4" t="s">
        <v>376</v>
      </c>
      <c r="AR23570" s="4" t="s">
        <v>377</v>
      </c>
    </row>
    <row r="23571" spans="1:44" ht="30">
      <c r="A23571" s="4" t="s">
        <v>24364</v>
      </c>
      <c r="B23571" s="4">
        <v>82015</v>
      </c>
      <c r="D23571" s="5" t="s">
        <v>30574</v>
      </c>
      <c r="E23571" s="6" t="str">
        <f>HYPERLINK("https://inpn.mnhn.fr/espece/cd_nom/82015","Amaranthus powellii S.Watson, 1875")</f>
        <v>Amaranthus powellii S.Watson, 1875</v>
      </c>
      <c r="T23571" s="7" t="str">
        <f>HYPERLINK("#Liste_rouge!A"&amp;_xlfn.XMATCH("NA",Liste_rouge!A:A,2,1),"NA")</f>
        <v>NA</v>
      </c>
      <c r="AH23571" s="4" t="str">
        <f>HYPERLINK("#Statut_biogéographique!A"&amp;_xlfn.XMATCH("I",Statut_biogéographique!A:A,2,1),"I")</f>
        <v>I</v>
      </c>
      <c r="AP23571" s="4" t="s">
        <v>376</v>
      </c>
      <c r="AR23571" s="4" t="s">
        <v>377</v>
      </c>
    </row>
    <row r="23572" spans="1:44" ht="30">
      <c r="A23572" s="4" t="s">
        <v>24364</v>
      </c>
      <c r="B23572" s="4">
        <v>82018</v>
      </c>
      <c r="D23572" s="5" t="s">
        <v>30575</v>
      </c>
      <c r="E23572" s="6" t="str">
        <f>HYPERLINK("https://inpn.mnhn.fr/espece/cd_nom/82018","Amaranthus retroflexus L., 1753")</f>
        <v>Amaranthus retroflexus L., 1753</v>
      </c>
      <c r="F23572" s="5" t="s">
        <v>30576</v>
      </c>
      <c r="Q23572" s="7" t="str">
        <f>HYPERLINK("#Liste_rouge!A"&amp;_xlfn.XMATCH("NA",Liste_rouge!A:A,2,1),"NA")</f>
        <v>NA</v>
      </c>
      <c r="T23572" s="7" t="str">
        <f>HYPERLINK("#Liste_rouge!A"&amp;_xlfn.XMATCH("NA",Liste_rouge!A:A,2,1),"NA")</f>
        <v>NA</v>
      </c>
      <c r="AH23572" s="4" t="str">
        <f>HYPERLINK("#Statut_biogéographique!A"&amp;_xlfn.XMATCH("I",Statut_biogéographique!A:A,2,1),"I")</f>
        <v>I</v>
      </c>
      <c r="AM23572" s="4" t="s">
        <v>375</v>
      </c>
      <c r="AN23572" s="4" t="s">
        <v>375</v>
      </c>
      <c r="AO23572" s="4" t="s">
        <v>375</v>
      </c>
      <c r="AP23572" s="4" t="s">
        <v>376</v>
      </c>
      <c r="AR23572" s="4" t="s">
        <v>377</v>
      </c>
    </row>
    <row r="23573" spans="1:44" ht="45">
      <c r="A23573" s="4" t="s">
        <v>24364</v>
      </c>
      <c r="B23573" s="4">
        <v>82033</v>
      </c>
      <c r="D23573" s="5" t="s">
        <v>30577</v>
      </c>
      <c r="E23573" s="6" t="str">
        <f>HYPERLINK("https://inpn.mnhn.fr/espece/cd_nom/82033","Amaranthus viridis L., 1763")</f>
        <v>Amaranthus viridis L., 1763</v>
      </c>
      <c r="F23573" s="5" t="s">
        <v>30578</v>
      </c>
      <c r="Q23573" s="7" t="str">
        <f>HYPERLINK("#Liste_rouge!A"&amp;_xlfn.XMATCH("NA",Liste_rouge!A:A,2,1),"NA")</f>
        <v>NA</v>
      </c>
      <c r="T23573" s="7" t="str">
        <f>HYPERLINK("#Liste_rouge!A"&amp;_xlfn.XMATCH("NA",Liste_rouge!A:A,2,1),"NA")</f>
        <v>NA</v>
      </c>
      <c r="AH23573" s="4" t="str">
        <f>HYPERLINK("#Statut_biogéographique!A"&amp;_xlfn.XMATCH("I",Statut_biogéographique!A:A,2,1),"I")</f>
        <v>I</v>
      </c>
      <c r="AP23573" s="4" t="s">
        <v>376</v>
      </c>
      <c r="AR23573" s="4" t="s">
        <v>377</v>
      </c>
    </row>
    <row r="23574" spans="1:44">
      <c r="A23574" s="4" t="s">
        <v>24364</v>
      </c>
      <c r="B23574" s="4">
        <v>82045</v>
      </c>
      <c r="D23574" s="5" t="s">
        <v>30579</v>
      </c>
      <c r="E23574" s="6" t="str">
        <f>HYPERLINK("https://inpn.mnhn.fr/espece/cd_nom/82045","Amaranthus x ralletii Contré, 1947")</f>
        <v>Amaranthus x ralletii Contré, 1947</v>
      </c>
      <c r="F23574" s="5" t="s">
        <v>30580</v>
      </c>
      <c r="T23574" s="7" t="str">
        <f>HYPERLINK("#Liste_rouge!A"&amp;_xlfn.XMATCH("NE",Liste_rouge!A:A,2,1),"NE")</f>
        <v>NE</v>
      </c>
      <c r="AH23574" s="4" t="str">
        <f>HYPERLINK("#Statut_biogéographique!A"&amp;_xlfn.XMATCH("P",Statut_biogéographique!A:A,2,1),"P")</f>
        <v>P</v>
      </c>
      <c r="AP23574" s="4" t="s">
        <v>376</v>
      </c>
      <c r="AR23574" s="4" t="s">
        <v>377</v>
      </c>
    </row>
    <row r="23575" spans="1:44" ht="30">
      <c r="A23575" s="4" t="s">
        <v>24364</v>
      </c>
      <c r="B23575" s="4">
        <v>82080</v>
      </c>
      <c r="D23575" s="5" t="s">
        <v>30581</v>
      </c>
      <c r="E23575" s="6" t="str">
        <f>HYPERLINK("https://inpn.mnhn.fr/espece/cd_nom/82080","Ambrosia artemisiifolia L., 1753")</f>
        <v>Ambrosia artemisiifolia L., 1753</v>
      </c>
      <c r="F23575" s="5" t="s">
        <v>30582</v>
      </c>
      <c r="Q23575" s="7" t="str">
        <f>HYPERLINK("#Liste_rouge!A"&amp;_xlfn.XMATCH("NA",Liste_rouge!A:A,2,1),"NA")</f>
        <v>NA</v>
      </c>
      <c r="T23575" s="7" t="str">
        <f>HYPERLINK("#Liste_rouge!A"&amp;_xlfn.XMATCH("NA",Liste_rouge!A:A,2,1),"NA")</f>
        <v>NA</v>
      </c>
      <c r="AH23575" s="4" t="str">
        <f>HYPERLINK("#Statut_biogéographique!A"&amp;_xlfn.XMATCH("J",Statut_biogéographique!A:A,2,1),"J")</f>
        <v>J</v>
      </c>
      <c r="AL23575" s="5" t="str">
        <f>HYPERLINK("#Réglementation!A"&amp;_xlfn.XMATCH("AMBROISIE",Réglementation!A:A,2,1),"AMBROISIE")</f>
        <v>AMBROISIE</v>
      </c>
      <c r="AM23575" s="4" t="s">
        <v>375</v>
      </c>
      <c r="AN23575" s="4" t="s">
        <v>375</v>
      </c>
      <c r="AO23575" s="4" t="s">
        <v>375</v>
      </c>
      <c r="AP23575" s="4" t="s">
        <v>376</v>
      </c>
      <c r="AR23575" s="4" t="s">
        <v>377</v>
      </c>
    </row>
    <row r="23576" spans="1:44" ht="30">
      <c r="A23576" s="4" t="s">
        <v>24364</v>
      </c>
      <c r="B23576" s="4">
        <v>82092</v>
      </c>
      <c r="D23576" s="5" t="s">
        <v>30583</v>
      </c>
      <c r="E23576" s="6" t="str">
        <f>HYPERLINK("https://inpn.mnhn.fr/espece/cd_nom/82092","Ambrosia tenuifolia Spreng., 1826")</f>
        <v>Ambrosia tenuifolia Spreng., 1826</v>
      </c>
      <c r="F23576" s="5" t="s">
        <v>30584</v>
      </c>
      <c r="Q23576" s="7" t="str">
        <f>HYPERLINK("#Liste_rouge!A"&amp;_xlfn.XMATCH("NA",Liste_rouge!A:A,2,1),"NA")</f>
        <v>NA</v>
      </c>
      <c r="T23576" s="7" t="str">
        <f>HYPERLINK("#Liste_rouge!A"&amp;_xlfn.XMATCH("NA",Liste_rouge!A:A,2,1),"NA")</f>
        <v>NA</v>
      </c>
      <c r="AH23576" s="4" t="str">
        <f>HYPERLINK("#Statut_biogéographique!A"&amp;_xlfn.XMATCH("I",Statut_biogéographique!A:A,2,1),"I")</f>
        <v>I</v>
      </c>
      <c r="AP23576" s="4" t="s">
        <v>376</v>
      </c>
      <c r="AR23576" s="4" t="s">
        <v>377</v>
      </c>
    </row>
    <row r="23577" spans="1:44">
      <c r="A23577" s="4" t="s">
        <v>24364</v>
      </c>
      <c r="B23577" s="4">
        <v>82093</v>
      </c>
      <c r="D23577" s="5" t="s">
        <v>30585</v>
      </c>
      <c r="E23577" s="6" t="str">
        <f>HYPERLINK("https://inpn.mnhn.fr/espece/cd_nom/82093","Ambrosia trifida L., 1753")</f>
        <v>Ambrosia trifida L., 1753</v>
      </c>
      <c r="F23577" s="5" t="s">
        <v>30586</v>
      </c>
      <c r="Q23577" s="7" t="str">
        <f>HYPERLINK("#Liste_rouge!A"&amp;_xlfn.XMATCH("NA",Liste_rouge!A:A,2,1),"NA")</f>
        <v>NA</v>
      </c>
      <c r="T23577" s="7" t="str">
        <f>HYPERLINK("#Liste_rouge!A"&amp;_xlfn.XMATCH("NA",Liste_rouge!A:A,2,1),"NA")</f>
        <v>NA</v>
      </c>
      <c r="AH23577" s="4" t="str">
        <f>HYPERLINK("#Statut_biogéographique!A"&amp;_xlfn.XMATCH("I",Statut_biogéographique!A:A,2,1),"I")</f>
        <v>I</v>
      </c>
      <c r="AL23577" s="5" t="str">
        <f>HYPERLINK("#Réglementation!A"&amp;_xlfn.XMATCH("AMBROISIE",Réglementation!A:A,2,1),"AMBROISIE")</f>
        <v>AMBROISIE</v>
      </c>
      <c r="AP23577" s="4" t="s">
        <v>376</v>
      </c>
      <c r="AR23577" s="4" t="s">
        <v>377</v>
      </c>
    </row>
    <row r="23578" spans="1:44" ht="30">
      <c r="A23578" s="4" t="s">
        <v>24364</v>
      </c>
      <c r="B23578" s="4">
        <v>82101</v>
      </c>
      <c r="D23578" s="5" t="s">
        <v>30587</v>
      </c>
      <c r="E23578" s="6" t="str">
        <f>HYPERLINK("https://inpn.mnhn.fr/espece/cd_nom/82101","Amelanchier lamarckii F.G.Schroed., 1968")</f>
        <v>Amelanchier lamarckii F.G.Schroed., 1968</v>
      </c>
      <c r="F23578" s="5" t="s">
        <v>30588</v>
      </c>
      <c r="Q23578" s="7" t="str">
        <f>HYPERLINK("#Liste_rouge!A"&amp;_xlfn.XMATCH("NA",Liste_rouge!A:A,2,1),"NA")</f>
        <v>NA</v>
      </c>
      <c r="AH23578" s="4" t="str">
        <f>HYPERLINK("#Statut_biogéographique!A"&amp;_xlfn.XMATCH("I",Statut_biogéographique!A:A,2,1),"I")</f>
        <v>I</v>
      </c>
      <c r="AP23578" s="4" t="s">
        <v>376</v>
      </c>
      <c r="AR23578" s="4" t="s">
        <v>377</v>
      </c>
    </row>
    <row r="23579" spans="1:44" ht="45">
      <c r="A23579" s="4" t="s">
        <v>24364</v>
      </c>
      <c r="B23579" s="4">
        <v>82103</v>
      </c>
      <c r="D23579" s="5" t="s">
        <v>30589</v>
      </c>
      <c r="E23579" s="6" t="str">
        <f>HYPERLINK("https://inpn.mnhn.fr/espece/cd_nom/82103","Amelanchier ovalis Medik., 1793")</f>
        <v>Amelanchier ovalis Medik., 1793</v>
      </c>
      <c r="F23579" s="5" t="s">
        <v>28291</v>
      </c>
      <c r="Q23579" s="7" t="str">
        <f>HYPERLINK("#Liste_rouge!A"&amp;_xlfn.XMATCH("LC",Liste_rouge!A:A,2,1),"LC")</f>
        <v>LC</v>
      </c>
      <c r="T23579" s="7" t="str">
        <f>HYPERLINK("#Liste_rouge!A"&amp;_xlfn.XMATCH("LC",Liste_rouge!A:A,2,1),"LC")</f>
        <v>LC</v>
      </c>
      <c r="V23579" s="7" t="str">
        <f>HYPERLINK("#Liste_rouge!A"&amp;_xlfn.XMATCH("LC",Liste_rouge!A:A,2,1),"LC")</f>
        <v>LC</v>
      </c>
      <c r="AB23579" s="4" t="s">
        <v>24410</v>
      </c>
      <c r="AH23579" s="4" t="str">
        <f>HYPERLINK("#Statut_biogéographique!A"&amp;_xlfn.XMATCH("P",Statut_biogéographique!A:A,2,1),"P")</f>
        <v>P</v>
      </c>
      <c r="AM23579" s="4" t="s">
        <v>375</v>
      </c>
      <c r="AN23579" s="4" t="s">
        <v>375</v>
      </c>
      <c r="AO23579" s="4" t="s">
        <v>375</v>
      </c>
      <c r="AP23579" s="4" t="s">
        <v>376</v>
      </c>
      <c r="AR23579" s="4" t="s">
        <v>377</v>
      </c>
    </row>
    <row r="23580" spans="1:44" ht="75">
      <c r="A23580" s="4" t="s">
        <v>24364</v>
      </c>
      <c r="B23580" s="4">
        <v>82130</v>
      </c>
      <c r="D23580" s="5" t="s">
        <v>30590</v>
      </c>
      <c r="E23580" s="6" t="str">
        <f>HYPERLINK("https://inpn.mnhn.fr/espece/cd_nom/82130","Ammi majus L., 1753")</f>
        <v>Ammi majus L., 1753</v>
      </c>
      <c r="F23580" s="5" t="s">
        <v>30591</v>
      </c>
      <c r="P23580" s="7" t="str">
        <f>HYPERLINK("#Liste_rouge!A"&amp;_xlfn.XMATCH("LC",Liste_rouge!A:A,2,1),"LC")</f>
        <v>LC</v>
      </c>
      <c r="Q23580" s="7" t="str">
        <f>HYPERLINK("#Liste_rouge!A"&amp;_xlfn.XMATCH("LC",Liste_rouge!A:A,2,1),"LC")</f>
        <v>LC</v>
      </c>
      <c r="T23580" s="7" t="str">
        <f>HYPERLINK("#Liste_rouge!A"&amp;_xlfn.XMATCH("VU",Liste_rouge!A:A,2,1),"VU")</f>
        <v>VU</v>
      </c>
      <c r="U23580" s="4" t="str">
        <f>HYPERLINK("#Critères_liste_rouge!A$1","EN (B2ac(iii,iv) - 1")</f>
        <v>EN (B2ac(iii,iv) - 1</v>
      </c>
      <c r="AB23580" s="4" t="s">
        <v>24495</v>
      </c>
      <c r="AH23580" s="4" t="str">
        <f>HYPERLINK("#Statut_biogéographique!A"&amp;_xlfn.XMATCH("P",Statut_biogéographique!A:A,2,1),"P")</f>
        <v>P</v>
      </c>
      <c r="AM23580" s="4" t="s">
        <v>375</v>
      </c>
      <c r="AN23580" s="4" t="s">
        <v>375</v>
      </c>
      <c r="AO23580" s="4" t="s">
        <v>375</v>
      </c>
      <c r="AP23580" s="4" t="s">
        <v>376</v>
      </c>
      <c r="AR23580" s="4" t="s">
        <v>377</v>
      </c>
    </row>
    <row r="23581" spans="1:44" ht="30">
      <c r="A23581" s="4" t="s">
        <v>24364</v>
      </c>
      <c r="B23581" s="4">
        <v>82164</v>
      </c>
      <c r="D23581" s="5" t="s">
        <v>30592</v>
      </c>
      <c r="E23581" s="6" t="str">
        <f>HYPERLINK("https://inpn.mnhn.fr/espece/cd_nom/82164","Amorpha fruticosa L., 1753")</f>
        <v>Amorpha fruticosa L., 1753</v>
      </c>
      <c r="F23581" s="5" t="s">
        <v>30593</v>
      </c>
      <c r="Q23581" s="7" t="str">
        <f>HYPERLINK("#Liste_rouge!A"&amp;_xlfn.XMATCH("NA",Liste_rouge!A:A,2,1),"NA")</f>
        <v>NA</v>
      </c>
      <c r="AH23581" s="4" t="str">
        <f>HYPERLINK("#Statut_biogéographique!A"&amp;_xlfn.XMATCH("J",Statut_biogéographique!A:A,2,1),"J")</f>
        <v>J</v>
      </c>
      <c r="AM23581" s="4" t="s">
        <v>375</v>
      </c>
      <c r="AN23581" s="4" t="s">
        <v>375</v>
      </c>
      <c r="AO23581" s="4" t="s">
        <v>375</v>
      </c>
      <c r="AP23581" s="4" t="s">
        <v>376</v>
      </c>
      <c r="AR23581" s="4" t="s">
        <v>377</v>
      </c>
    </row>
    <row r="23582" spans="1:44" ht="45">
      <c r="A23582" s="4" t="s">
        <v>24364</v>
      </c>
      <c r="B23582" s="4">
        <v>82282</v>
      </c>
      <c r="D23582" s="5" t="s">
        <v>30594</v>
      </c>
      <c r="E23582" s="6" t="str">
        <f>HYPERLINK("https://inpn.mnhn.fr/espece/cd_nom/82282","Anacamptis coriophora (L.) R.M.Bateman, Pridgeon &amp; M.W.Chase, 1997")</f>
        <v>Anacamptis coriophora (L.) R.M.Bateman, Pridgeon &amp; M.W.Chase, 1997</v>
      </c>
      <c r="F23582" s="5" t="s">
        <v>29026</v>
      </c>
      <c r="G23582" s="4" t="str">
        <f>HYPERLINK("[#Réglementation!A"&amp;_xlfn.XMATCH("CCB",Réglementation!A:A,2,1),"CCB")</f>
        <v>CCB</v>
      </c>
      <c r="L23582" s="4" t="str">
        <f>HYPERLINK("#Réglementation!A"&amp;_xlfn.XMATCH("NV1",Réglementation!A:A,2,1),"NV1")</f>
        <v>NV1</v>
      </c>
      <c r="P23582" s="7" t="str">
        <f>HYPERLINK("#Liste_rouge!A"&amp;_xlfn.XMATCH("LC",Liste_rouge!A:A,2,1),"LC")</f>
        <v>LC</v>
      </c>
      <c r="Q23582" s="7" t="str">
        <f>HYPERLINK("#Liste_rouge!A"&amp;_xlfn.XMATCH("NT",Liste_rouge!A:A,2,1),"NT")</f>
        <v>NT</v>
      </c>
      <c r="T23582" s="7" t="str">
        <f>HYPERLINK("#Liste_rouge!A"&amp;_xlfn.XMATCH("RE",Liste_rouge!A:A,2,1),"RE")</f>
        <v>RE</v>
      </c>
      <c r="V23582" s="7" t="str">
        <f>HYPERLINK("#Liste_rouge!A"&amp;_xlfn.XMATCH("EN",Liste_rouge!A:A,2,1),"EN")</f>
        <v>EN</v>
      </c>
      <c r="W23582" s="4" t="str">
        <f>HYPERLINK("#Critères_liste_rouge!A$1","D")</f>
        <v>D</v>
      </c>
      <c r="AE23582" s="4" t="str">
        <f>HYPERLINK("#SCAP!A"&amp;_xlfn.XMATCH("A",SCAP!A:A,2,1),"A")</f>
        <v>A</v>
      </c>
      <c r="AH23582" s="4" t="str">
        <f>HYPERLINK("#Statut_biogéographique!A"&amp;_xlfn.XMATCH("P",Statut_biogéographique!A:A,2,1),"P")</f>
        <v>P</v>
      </c>
      <c r="AL23582" s="5" t="str">
        <f>HYPERLINK("#Réglementation!A"&amp;_xlfn.XMATCH("UEintro",Réglementation!A:A,2,1),"UEintro")</f>
        <v>UEintro</v>
      </c>
      <c r="AP23582" s="4" t="s">
        <v>376</v>
      </c>
      <c r="AR23582" s="4" t="s">
        <v>377</v>
      </c>
    </row>
    <row r="23583" spans="1:44" ht="45">
      <c r="A23583" s="4" t="s">
        <v>24364</v>
      </c>
      <c r="B23583" s="4">
        <v>82283</v>
      </c>
      <c r="D23583" s="5" t="s">
        <v>30595</v>
      </c>
      <c r="E23583" s="6" t="str">
        <f>HYPERLINK("https://inpn.mnhn.fr/espece/cd_nom/82283","Anacamptis laxiflora (Lam.) R.M.Bateman, Pridgeon &amp; M.W.Chase, 1997")</f>
        <v>Anacamptis laxiflora (Lam.) R.M.Bateman, Pridgeon &amp; M.W.Chase, 1997</v>
      </c>
      <c r="F23583" s="5" t="s">
        <v>30596</v>
      </c>
      <c r="G23583" s="4" t="str">
        <f>HYPERLINK("[#Réglementation!A"&amp;_xlfn.XMATCH("CCB",Réglementation!A:A,2,1),"CCB")</f>
        <v>CCB</v>
      </c>
      <c r="M23583" s="4" t="str">
        <f>HYPERLINK("#Réglementation!A"&amp;_xlfn.XMATCH("RV26",Réglementation!A:A,2,1),"RV26 - RV43")</f>
        <v>RV26 - RV43</v>
      </c>
      <c r="P23583" s="7" t="str">
        <f>HYPERLINK("#Liste_rouge!A"&amp;_xlfn.XMATCH("LC",Liste_rouge!A:A,2,1),"LC")</f>
        <v>LC</v>
      </c>
      <c r="Q23583" s="7" t="str">
        <f>HYPERLINK("#Liste_rouge!A"&amp;_xlfn.XMATCH("LC",Liste_rouge!A:A,2,1),"LC")</f>
        <v>LC</v>
      </c>
      <c r="T23583" s="7" t="str">
        <f>HYPERLINK("#Liste_rouge!A"&amp;_xlfn.XMATCH("EN",Liste_rouge!A:A,2,1),"EN")</f>
        <v>EN</v>
      </c>
      <c r="U23583" s="4" t="str">
        <f>HYPERLINK("#Critères_liste_rouge!A$1","B2ab(ii,iii,iv)")</f>
        <v>B2ab(ii,iii,iv)</v>
      </c>
      <c r="V23583" s="7" t="str">
        <f>HYPERLINK("#Liste_rouge!A"&amp;_xlfn.XMATCH("NT",Liste_rouge!A:A,2,1),"NT")</f>
        <v>NT</v>
      </c>
      <c r="W23583" s="4" t="str">
        <f>HYPERLINK("#Critères_liste_rouge!A$1","pr. B2b(iii)")</f>
        <v>pr. B2b(iii)</v>
      </c>
      <c r="X23583" s="5" t="s">
        <v>374</v>
      </c>
      <c r="AB23583" s="4" t="s">
        <v>93</v>
      </c>
      <c r="AH23583" s="4" t="str">
        <f>HYPERLINK("#Statut_biogéographique!A"&amp;_xlfn.XMATCH("P",Statut_biogéographique!A:A,2,1),"P")</f>
        <v>P</v>
      </c>
      <c r="AL23583" s="5" t="str">
        <f>HYPERLINK("#Réglementation!A"&amp;_xlfn.XMATCH("UEintro",Réglementation!A:A,2,1),"UEintro")</f>
        <v>UEintro</v>
      </c>
      <c r="AM23583" s="4" t="s">
        <v>375</v>
      </c>
      <c r="AN23583" s="4" t="s">
        <v>375</v>
      </c>
      <c r="AO23583" s="4" t="s">
        <v>375</v>
      </c>
      <c r="AP23583" s="4" t="s">
        <v>376</v>
      </c>
      <c r="AR23583" s="4" t="s">
        <v>377</v>
      </c>
    </row>
    <row r="23584" spans="1:44" ht="30">
      <c r="A23584" s="4" t="s">
        <v>24364</v>
      </c>
      <c r="B23584" s="4">
        <v>82285</v>
      </c>
      <c r="D23584" s="5" t="s">
        <v>30597</v>
      </c>
      <c r="E23584" s="6" t="str">
        <f>HYPERLINK("https://inpn.mnhn.fr/espece/cd_nom/82285","Anacamptis morio (L.) R.M.Bateman, Pridgeon &amp; M.W.Chase, 1997")</f>
        <v>Anacamptis morio (L.) R.M.Bateman, Pridgeon &amp; M.W.Chase, 1997</v>
      </c>
      <c r="F23584" s="5" t="s">
        <v>30155</v>
      </c>
      <c r="G23584" s="4" t="str">
        <f>HYPERLINK("[#Réglementation!A"&amp;_xlfn.XMATCH("CCB",Réglementation!A:A,2,1),"CCB")</f>
        <v>CCB</v>
      </c>
      <c r="P23584" s="7" t="str">
        <f>HYPERLINK("#Liste_rouge!A"&amp;_xlfn.XMATCH("NT",Liste_rouge!A:A,2,1),"NT")</f>
        <v>NT</v>
      </c>
      <c r="Q23584" s="7" t="str">
        <f>HYPERLINK("#Liste_rouge!A"&amp;_xlfn.XMATCH("LC",Liste_rouge!A:A,2,1),"LC")</f>
        <v>LC</v>
      </c>
      <c r="T23584" s="7" t="str">
        <f>HYPERLINK("#Liste_rouge!A"&amp;_xlfn.XMATCH("LC",Liste_rouge!A:A,2,1),"LC")</f>
        <v>LC</v>
      </c>
      <c r="V23584" s="7" t="str">
        <f>HYPERLINK("#Liste_rouge!A"&amp;_xlfn.XMATCH("NT",Liste_rouge!A:A,2,1),"NT")</f>
        <v>NT</v>
      </c>
      <c r="W23584" s="4" t="str">
        <f>HYPERLINK("#Critères_liste_rouge!A$1","pr. A3c+B2b(iii)")</f>
        <v>pr. A3c+B2b(iii)</v>
      </c>
      <c r="AH23584" s="4" t="str">
        <f>HYPERLINK("#Statut_biogéographique!A"&amp;_xlfn.XMATCH("P",Statut_biogéographique!A:A,2,1),"P")</f>
        <v>P</v>
      </c>
      <c r="AL23584" s="5" t="str">
        <f>HYPERLINK("#Réglementation!A"&amp;_xlfn.XMATCH("UEintro",Réglementation!A:A,2,1),"UEintro")</f>
        <v>UEintro</v>
      </c>
      <c r="AM23584" s="4" t="s">
        <v>375</v>
      </c>
      <c r="AN23584" s="4" t="s">
        <v>375</v>
      </c>
      <c r="AO23584" s="4" t="s">
        <v>375</v>
      </c>
      <c r="AP23584" s="4" t="s">
        <v>376</v>
      </c>
      <c r="AR23584" s="4" t="s">
        <v>377</v>
      </c>
    </row>
    <row r="23585" spans="1:44" ht="90">
      <c r="A23585" s="4" t="s">
        <v>24364</v>
      </c>
      <c r="B23585" s="4">
        <v>82286</v>
      </c>
      <c r="D23585" s="5" t="s">
        <v>30598</v>
      </c>
      <c r="E23585" s="6" t="str">
        <f>HYPERLINK("https://inpn.mnhn.fr/espece/cd_nom/82286","Anacamptis palustris (Jacq.) R.M.Bateman, Pridgeon &amp; M.W.Chase, 1997")</f>
        <v>Anacamptis palustris (Jacq.) R.M.Bateman, Pridgeon &amp; M.W.Chase, 1997</v>
      </c>
      <c r="F23585" s="5" t="s">
        <v>30599</v>
      </c>
      <c r="G23585" s="4" t="str">
        <f>HYPERLINK("[#Réglementation!A"&amp;_xlfn.XMATCH("CCB",Réglementation!A:A,2,1),"CCB")</f>
        <v>CCB</v>
      </c>
      <c r="M23585" s="4" t="str">
        <f>HYPERLINK("#Réglementation!A"&amp;_xlfn.XMATCH("RV43",Réglementation!A:A,2,1),"RV43")</f>
        <v>RV43</v>
      </c>
      <c r="O23585" s="7" t="str">
        <f>HYPERLINK("#Liste_rouge!A"&amp;_xlfn.XMATCH("LC",Liste_rouge!A:A,2,1),"LC")</f>
        <v>LC</v>
      </c>
      <c r="Q23585" s="7" t="str">
        <f>HYPERLINK("#Liste_rouge!A"&amp;_xlfn.XMATCH("VU",Liste_rouge!A:A,2,1),"VU")</f>
        <v>VU</v>
      </c>
      <c r="T23585" s="7" t="str">
        <f>HYPERLINK("#Liste_rouge!A"&amp;_xlfn.XMATCH("NE",Liste_rouge!A:A,2,1),"NE (cd_nom 162136) - RE (cd_nom 82286)")</f>
        <v>NE (cd_nom 162136) - RE (cd_nom 82286)</v>
      </c>
      <c r="V23585" s="7" t="str">
        <f>HYPERLINK("#Liste_rouge!A"&amp;_xlfn.XMATCH("RE",Liste_rouge!A:A,2,1),"RE")</f>
        <v>RE</v>
      </c>
      <c r="X23585" s="5" t="s">
        <v>374</v>
      </c>
      <c r="AB23585" s="4" t="s">
        <v>93</v>
      </c>
      <c r="AE23585" s="4" t="str">
        <f>HYPERLINK("#SCAP!A"&amp;_xlfn.XMATCH("A",SCAP!A:A,2,1),"A")</f>
        <v>A</v>
      </c>
      <c r="AH23585" s="4" t="str">
        <f>HYPERLINK("#Statut_biogéographique!A"&amp;_xlfn.XMATCH("P",Statut_biogéographique!A:A,2,1),"P")</f>
        <v>P</v>
      </c>
      <c r="AM23585" s="4" t="s">
        <v>375</v>
      </c>
      <c r="AN23585" s="4" t="s">
        <v>375</v>
      </c>
      <c r="AO23585" s="4" t="s">
        <v>375</v>
      </c>
      <c r="AP23585" s="4" t="s">
        <v>389</v>
      </c>
      <c r="AR23585" s="4" t="s">
        <v>377</v>
      </c>
    </row>
    <row r="23586" spans="1:44" ht="30">
      <c r="A23586" s="4" t="s">
        <v>24364</v>
      </c>
      <c r="B23586" s="4">
        <v>82288</v>
      </c>
      <c r="D23586" s="5" t="s">
        <v>30600</v>
      </c>
      <c r="E23586" s="6" t="str">
        <f>HYPERLINK("https://inpn.mnhn.fr/espece/cd_nom/82288","Anacamptis pyramidalis (L.) Rich., 1817")</f>
        <v>Anacamptis pyramidalis (L.) Rich., 1817</v>
      </c>
      <c r="F23586" s="5" t="s">
        <v>29706</v>
      </c>
      <c r="G23586" s="4" t="str">
        <f>HYPERLINK("[#Réglementation!A"&amp;_xlfn.XMATCH("CCB",Réglementation!A:A,2,1),"CCB")</f>
        <v>CCB</v>
      </c>
      <c r="P23586" s="7" t="str">
        <f>HYPERLINK("#Liste_rouge!A"&amp;_xlfn.XMATCH("LC",Liste_rouge!A:A,2,1),"LC")</f>
        <v>LC</v>
      </c>
      <c r="Q23586" s="7" t="str">
        <f>HYPERLINK("#Liste_rouge!A"&amp;_xlfn.XMATCH("LC",Liste_rouge!A:A,2,1),"LC")</f>
        <v>LC</v>
      </c>
      <c r="T23586" s="7" t="str">
        <f>HYPERLINK("#Liste_rouge!A"&amp;_xlfn.XMATCH("LC",Liste_rouge!A:A,2,1),"LC")</f>
        <v>LC</v>
      </c>
      <c r="V23586" s="7" t="str">
        <f>HYPERLINK("#Liste_rouge!A"&amp;_xlfn.XMATCH("LC",Liste_rouge!A:A,2,1),"LC")</f>
        <v>LC</v>
      </c>
      <c r="AH23586" s="4" t="str">
        <f>HYPERLINK("#Statut_biogéographique!A"&amp;_xlfn.XMATCH("P",Statut_biogéographique!A:A,2,1),"P")</f>
        <v>P</v>
      </c>
      <c r="AL23586" s="5" t="str">
        <f>HYPERLINK("#Réglementation!A"&amp;_xlfn.XMATCH("UEintro",Réglementation!A:A,2,1),"UEintro")</f>
        <v>UEintro</v>
      </c>
      <c r="AM23586" s="4" t="s">
        <v>375</v>
      </c>
      <c r="AN23586" s="4" t="s">
        <v>375</v>
      </c>
      <c r="AO23586" s="4" t="s">
        <v>375</v>
      </c>
      <c r="AP23586" s="4" t="s">
        <v>376</v>
      </c>
      <c r="AR23586" s="4" t="s">
        <v>377</v>
      </c>
    </row>
    <row r="23587" spans="1:44" ht="45">
      <c r="A23587" s="4" t="s">
        <v>24364</v>
      </c>
      <c r="B23587" s="4">
        <v>82305</v>
      </c>
      <c r="D23587" s="5" t="s">
        <v>30601</v>
      </c>
      <c r="E23587" s="6" t="str">
        <f>HYPERLINK("https://inpn.mnhn.fr/espece/cd_nom/82305","Anacyclus clavatus (Desf.) Pers., 1807")</f>
        <v>Anacyclus clavatus (Desf.) Pers., 1807</v>
      </c>
      <c r="F23587" s="5" t="s">
        <v>30602</v>
      </c>
      <c r="Q23587" s="7" t="str">
        <f>HYPERLINK("#Liste_rouge!A"&amp;_xlfn.XMATCH("LC",Liste_rouge!A:A,2,1),"LC")</f>
        <v>LC</v>
      </c>
      <c r="T23587" s="7" t="str">
        <f>HYPERLINK("#Liste_rouge!A"&amp;_xlfn.XMATCH("NA",Liste_rouge!A:A,2,1),"NA")</f>
        <v>NA</v>
      </c>
      <c r="AH23587" s="4" t="str">
        <f>HYPERLINK("#Statut_biogéographique!A"&amp;_xlfn.XMATCH("P",Statut_biogéographique!A:A,2,1),"P")</f>
        <v>P</v>
      </c>
      <c r="AP23587" s="4" t="s">
        <v>376</v>
      </c>
      <c r="AR23587" s="4" t="s">
        <v>377</v>
      </c>
    </row>
    <row r="23588" spans="1:44" ht="30">
      <c r="A23588" s="4" t="s">
        <v>24364</v>
      </c>
      <c r="B23588" s="4">
        <v>82315</v>
      </c>
      <c r="D23588" s="5" t="s">
        <v>30603</v>
      </c>
      <c r="E23588" s="6" t="str">
        <f>HYPERLINK("https://inpn.mnhn.fr/espece/cd_nom/82315","Anacyclus radiatus Loisel., 1828")</f>
        <v>Anacyclus radiatus Loisel., 1828</v>
      </c>
      <c r="F23588" s="5" t="s">
        <v>30604</v>
      </c>
      <c r="Q23588" s="7" t="str">
        <f>HYPERLINK("#Liste_rouge!A"&amp;_xlfn.XMATCH("LC",Liste_rouge!A:A,2,1),"LC")</f>
        <v>LC</v>
      </c>
      <c r="T23588" s="7" t="str">
        <f>HYPERLINK("#Liste_rouge!A"&amp;_xlfn.XMATCH("NA",Liste_rouge!A:A,2,1),"NA")</f>
        <v>NA</v>
      </c>
      <c r="AH23588" s="4" t="str">
        <f>HYPERLINK("#Statut_biogéographique!A"&amp;_xlfn.XMATCH("P",Statut_biogéographique!A:A,2,1),"P")</f>
        <v>P</v>
      </c>
      <c r="AP23588" s="4" t="s">
        <v>376</v>
      </c>
      <c r="AR23588" s="4" t="s">
        <v>377</v>
      </c>
    </row>
    <row r="23589" spans="1:44" ht="60">
      <c r="A23589" s="4" t="s">
        <v>24364</v>
      </c>
      <c r="B23589" s="4">
        <v>82353</v>
      </c>
      <c r="D23589" s="5" t="s">
        <v>30605</v>
      </c>
      <c r="E23589" s="6" t="str">
        <f>HYPERLINK("https://inpn.mnhn.fr/espece/cd_nom/82353","Anaphalis margaritacea (L.) Benth., 1873")</f>
        <v>Anaphalis margaritacea (L.) Benth., 1873</v>
      </c>
      <c r="F23589" s="5" t="s">
        <v>30606</v>
      </c>
      <c r="T23589" s="7" t="str">
        <f>HYPERLINK("#Liste_rouge!A"&amp;_xlfn.XMATCH("NA",Liste_rouge!A:A,2,1),"NA")</f>
        <v>NA</v>
      </c>
      <c r="AH23589" s="4" t="str">
        <f>HYPERLINK("#Statut_biogéographique!A"&amp;_xlfn.XMATCH("M",Statut_biogéographique!A:A,2,1),"M")</f>
        <v>M</v>
      </c>
      <c r="AP23589" s="4" t="s">
        <v>376</v>
      </c>
      <c r="AR23589" s="4" t="s">
        <v>377</v>
      </c>
    </row>
    <row r="23590" spans="1:44" ht="45">
      <c r="A23590" s="4" t="s">
        <v>24364</v>
      </c>
      <c r="B23590" s="4">
        <v>82356</v>
      </c>
      <c r="D23590" s="5" t="s">
        <v>30607</v>
      </c>
      <c r="E23590" s="6" t="str">
        <f>HYPERLINK("https://inpn.mnhn.fr/espece/cd_nom/82356","Anarrhinum bellidifolium (L.) Willd., 1800")</f>
        <v>Anarrhinum bellidifolium (L.) Willd., 1800</v>
      </c>
      <c r="F23590" s="5" t="s">
        <v>30608</v>
      </c>
      <c r="M23590" s="4" t="str">
        <f>HYPERLINK("#Réglementation!A"&amp;_xlfn.XMATCH("RV26",Réglementation!A:A,2,1),"RV26")</f>
        <v>RV26</v>
      </c>
      <c r="Q23590" s="7" t="str">
        <f>HYPERLINK("#Liste_rouge!A"&amp;_xlfn.XMATCH("LC",Liste_rouge!A:A,2,1),"LC")</f>
        <v>LC</v>
      </c>
      <c r="T23590" s="7" t="str">
        <f>HYPERLINK("#Liste_rouge!A"&amp;_xlfn.XMATCH("LC",Liste_rouge!A:A,2,1),"LC")</f>
        <v>LC</v>
      </c>
      <c r="AB23590" s="4" t="s">
        <v>26735</v>
      </c>
      <c r="AH23590" s="4" t="str">
        <f>HYPERLINK("#Statut_biogéographique!A"&amp;_xlfn.XMATCH("P",Statut_biogéographique!A:A,2,1),"P")</f>
        <v>P</v>
      </c>
      <c r="AM23590" s="4" t="s">
        <v>375</v>
      </c>
      <c r="AN23590" s="4" t="s">
        <v>375</v>
      </c>
      <c r="AO23590" s="4" t="s">
        <v>375</v>
      </c>
      <c r="AP23590" s="4" t="s">
        <v>376</v>
      </c>
      <c r="AR23590" s="4" t="s">
        <v>377</v>
      </c>
    </row>
    <row r="23591" spans="1:44" ht="45">
      <c r="A23591" s="4" t="s">
        <v>24364</v>
      </c>
      <c r="B23591" s="4">
        <v>82391</v>
      </c>
      <c r="D23591" s="5" t="s">
        <v>30609</v>
      </c>
      <c r="E23591" s="6" t="str">
        <f>HYPERLINK("https://inpn.mnhn.fr/espece/cd_nom/82391","Anchusa officinalis L., 1753")</f>
        <v>Anchusa officinalis L., 1753</v>
      </c>
      <c r="F23591" s="5" t="s">
        <v>30610</v>
      </c>
      <c r="Q23591" s="7" t="str">
        <f>HYPERLINK("#Liste_rouge!A"&amp;_xlfn.XMATCH("LC",Liste_rouge!A:A,2,1),"LC")</f>
        <v>LC</v>
      </c>
      <c r="AH23591" s="4" t="str">
        <f>HYPERLINK("#Statut_biogéographique!A"&amp;_xlfn.XMATCH("P",Statut_biogéographique!A:A,2,1),"P")</f>
        <v>P</v>
      </c>
      <c r="AP23591" s="4" t="s">
        <v>376</v>
      </c>
      <c r="AR23591" s="4" t="s">
        <v>377</v>
      </c>
    </row>
    <row r="23592" spans="1:44">
      <c r="A23592" s="4" t="s">
        <v>24364</v>
      </c>
      <c r="B23592" s="4">
        <v>82398</v>
      </c>
      <c r="D23592" s="5" t="s">
        <v>30611</v>
      </c>
      <c r="E23592" s="6" t="str">
        <f>HYPERLINK("https://inpn.mnhn.fr/espece/cd_nom/82398","Anchusa procera Besser ex Link, 1821")</f>
        <v>Anchusa procera Besser ex Link, 1821</v>
      </c>
      <c r="F23592" s="5" t="s">
        <v>30612</v>
      </c>
      <c r="Q23592" s="7" t="str">
        <f>HYPERLINK("#Liste_rouge!A"&amp;_xlfn.XMATCH("LC",Liste_rouge!A:A,2,1),"LC")</f>
        <v>LC</v>
      </c>
      <c r="AH23592" s="4" t="str">
        <f>HYPERLINK("#Statut_biogéographique!A"&amp;_xlfn.XMATCH("I",Statut_biogéographique!A:A,2,1),"I")</f>
        <v>I</v>
      </c>
      <c r="AP23592" s="4" t="s">
        <v>376</v>
      </c>
      <c r="AR23592" s="4" t="s">
        <v>377</v>
      </c>
    </row>
    <row r="23593" spans="1:44" ht="30">
      <c r="A23593" s="4" t="s">
        <v>24364</v>
      </c>
      <c r="B23593" s="4">
        <v>82420</v>
      </c>
      <c r="D23593" s="5">
        <v>82420</v>
      </c>
      <c r="E23593" s="6" t="str">
        <f>HYPERLINK("https://inpn.mnhn.fr/espece/cd_nom/82420","Andromeda polifolia L., 1753")</f>
        <v>Andromeda polifolia L., 1753</v>
      </c>
      <c r="F23593" s="5" t="s">
        <v>30613</v>
      </c>
      <c r="L23593" s="4" t="str">
        <f>HYPERLINK("#Réglementation!A"&amp;_xlfn.XMATCH("NV1",Réglementation!A:A,2,1),"NV1")</f>
        <v>NV1</v>
      </c>
      <c r="Q23593" s="7" t="str">
        <f>HYPERLINK("#Liste_rouge!A"&amp;_xlfn.XMATCH("LC",Liste_rouge!A:A,2,1),"LC")</f>
        <v>LC</v>
      </c>
      <c r="T23593" s="7" t="str">
        <f>HYPERLINK("#Liste_rouge!A"&amp;_xlfn.XMATCH("NA",Liste_rouge!A:A,2,1),"NA")</f>
        <v>NA</v>
      </c>
      <c r="V23593" s="7" t="str">
        <f>HYPERLINK("#Liste_rouge!A"&amp;_xlfn.XMATCH("LC",Liste_rouge!A:A,2,1),"LC")</f>
        <v>LC</v>
      </c>
      <c r="X23593" s="5" t="s">
        <v>374</v>
      </c>
      <c r="AB23593" s="4" t="s">
        <v>93</v>
      </c>
      <c r="AH23593" s="4" t="str">
        <f>HYPERLINK("#Statut_biogéographique!A"&amp;_xlfn.XMATCH("P",Statut_biogéographique!A:A,2,1),"P")</f>
        <v>P</v>
      </c>
      <c r="AM23593" s="4" t="s">
        <v>375</v>
      </c>
      <c r="AN23593" s="4" t="s">
        <v>375</v>
      </c>
      <c r="AO23593" s="4" t="s">
        <v>375</v>
      </c>
      <c r="AP23593" s="4" t="s">
        <v>376</v>
      </c>
      <c r="AR23593" s="4" t="s">
        <v>377</v>
      </c>
    </row>
    <row r="23594" spans="1:44">
      <c r="A23594" s="4" t="s">
        <v>24364</v>
      </c>
      <c r="B23594" s="4">
        <v>82509</v>
      </c>
      <c r="D23594" s="5" t="s">
        <v>30614</v>
      </c>
      <c r="E23594" s="6" t="str">
        <f>HYPERLINK("https://inpn.mnhn.fr/espece/cd_nom/82509","Androsace lactea L., 1753")</f>
        <v>Androsace lactea L., 1753</v>
      </c>
      <c r="F23594" s="5" t="s">
        <v>30615</v>
      </c>
      <c r="M23594" s="4" t="str">
        <f>HYPERLINK("#Réglementation!A"&amp;_xlfn.XMATCH("RV43",Réglementation!A:A,2,1),"RV43")</f>
        <v>RV43</v>
      </c>
      <c r="Q23594" s="7" t="str">
        <f>HYPERLINK("#Liste_rouge!A"&amp;_xlfn.XMATCH("VU",Liste_rouge!A:A,2,1),"VU")</f>
        <v>VU</v>
      </c>
      <c r="V23594" s="7" t="str">
        <f>HYPERLINK("#Liste_rouge!A"&amp;_xlfn.XMATCH("VU",Liste_rouge!A:A,2,1),"VU")</f>
        <v>VU</v>
      </c>
      <c r="W23594" s="4" t="str">
        <f>HYPERLINK("#Critères_liste_rouge!A$1","D1+2")</f>
        <v>D1+2</v>
      </c>
      <c r="X23594" s="5" t="s">
        <v>374</v>
      </c>
      <c r="AB23594" s="4" t="s">
        <v>93</v>
      </c>
      <c r="AE23594" s="4" t="str">
        <f>HYPERLINK("#SCAP!A"&amp;_xlfn.XMATCH("A",SCAP!A:A,2,1),"A")</f>
        <v>A</v>
      </c>
      <c r="AH23594" s="4" t="str">
        <f>HYPERLINK("#Statut_biogéographique!A"&amp;_xlfn.XMATCH("P",Statut_biogéographique!A:A,2,1),"P")</f>
        <v>P</v>
      </c>
      <c r="AM23594" s="4" t="s">
        <v>375</v>
      </c>
      <c r="AN23594" s="4" t="s">
        <v>375</v>
      </c>
      <c r="AO23594" s="4" t="s">
        <v>375</v>
      </c>
      <c r="AP23594" s="4" t="s">
        <v>389</v>
      </c>
      <c r="AR23594" s="4" t="s">
        <v>377</v>
      </c>
    </row>
    <row r="23595" spans="1:44" ht="30">
      <c r="A23595" s="4" t="s">
        <v>24364</v>
      </c>
      <c r="B23595" s="4">
        <v>82516</v>
      </c>
      <c r="D23595" s="5" t="s">
        <v>30616</v>
      </c>
      <c r="E23595" s="6" t="str">
        <f>HYPERLINK("https://inpn.mnhn.fr/espece/cd_nom/82516","Androsace maxima L., 1753")</f>
        <v>Androsace maxima L., 1753</v>
      </c>
      <c r="F23595" s="5" t="s">
        <v>30617</v>
      </c>
      <c r="Q23595" s="7" t="str">
        <f>HYPERLINK("#Liste_rouge!A"&amp;_xlfn.XMATCH("LC",Liste_rouge!A:A,2,1),"LC")</f>
        <v>LC</v>
      </c>
      <c r="T23595" s="7" t="str">
        <f>HYPERLINK("#Liste_rouge!A"&amp;_xlfn.XMATCH("RE",Liste_rouge!A:A,2,1),"RE")</f>
        <v>RE</v>
      </c>
      <c r="AH23595" s="4" t="str">
        <f>HYPERLINK("#Statut_biogéographique!A"&amp;_xlfn.XMATCH("P",Statut_biogéographique!A:A,2,1),"P")</f>
        <v>P</v>
      </c>
      <c r="AI23595" s="8" t="s">
        <v>30618</v>
      </c>
      <c r="AJ23595" s="4" t="s">
        <v>12248</v>
      </c>
      <c r="AM23595" s="4" t="s">
        <v>375</v>
      </c>
      <c r="AN23595" s="4" t="s">
        <v>375</v>
      </c>
      <c r="AO23595" s="4" t="s">
        <v>375</v>
      </c>
      <c r="AP23595" s="4" t="s">
        <v>376</v>
      </c>
      <c r="AR23595" s="4" t="s">
        <v>377</v>
      </c>
    </row>
    <row r="23596" spans="1:44" ht="60">
      <c r="A23596" s="4" t="s">
        <v>24364</v>
      </c>
      <c r="B23596" s="4">
        <v>82562</v>
      </c>
      <c r="D23596" s="5" t="s">
        <v>30619</v>
      </c>
      <c r="E23596" s="6" t="str">
        <f>HYPERLINK("https://inpn.mnhn.fr/espece/cd_nom/82562","Andryala integrifolia L., 1753")</f>
        <v>Andryala integrifolia L., 1753</v>
      </c>
      <c r="F23596" s="5" t="s">
        <v>30620</v>
      </c>
      <c r="Q23596" s="7" t="str">
        <f>HYPERLINK("#Liste_rouge!A"&amp;_xlfn.XMATCH("LC",Liste_rouge!A:A,2,1),"LC")</f>
        <v>LC</v>
      </c>
      <c r="T23596" s="7" t="str">
        <f>HYPERLINK("#Liste_rouge!A"&amp;_xlfn.XMATCH("LC",Liste_rouge!A:A,2,1),"LC")</f>
        <v>LC</v>
      </c>
      <c r="AH23596" s="4" t="str">
        <f>HYPERLINK("#Statut_biogéographique!A"&amp;_xlfn.XMATCH("P",Statut_biogéographique!A:A,2,1),"P")</f>
        <v>P</v>
      </c>
      <c r="AM23596" s="4" t="s">
        <v>375</v>
      </c>
      <c r="AN23596" s="4" t="s">
        <v>375</v>
      </c>
      <c r="AO23596" s="4" t="s">
        <v>375</v>
      </c>
      <c r="AP23596" s="4" t="s">
        <v>376</v>
      </c>
      <c r="AR23596" s="4" t="s">
        <v>377</v>
      </c>
    </row>
    <row r="23597" spans="1:44" ht="45">
      <c r="A23597" s="4" t="s">
        <v>24364</v>
      </c>
      <c r="B23597" s="4">
        <v>82591</v>
      </c>
      <c r="D23597" s="5" t="s">
        <v>30621</v>
      </c>
      <c r="E23597" s="6" t="str">
        <f>HYPERLINK("https://inpn.mnhn.fr/espece/cd_nom/82591","Anemonastrum narcissiflorum (L.) Holub, 1973")</f>
        <v>Anemonastrum narcissiflorum (L.) Holub, 1973</v>
      </c>
      <c r="F23597" s="5" t="s">
        <v>30622</v>
      </c>
      <c r="M23597" s="4" t="str">
        <f>HYPERLINK("#Réglementation!A"&amp;_xlfn.XMATCH("RV43",Réglementation!A:A,2,1),"RV43")</f>
        <v>RV43</v>
      </c>
      <c r="Q23597" s="7" t="str">
        <f>HYPERLINK("#Liste_rouge!A"&amp;_xlfn.XMATCH("LC",Liste_rouge!A:A,2,1),"LC")</f>
        <v>LC</v>
      </c>
      <c r="V23597" s="7" t="str">
        <f>HYPERLINK("#Liste_rouge!A"&amp;_xlfn.XMATCH("EN",Liste_rouge!A:A,2,1),"EN")</f>
        <v>EN</v>
      </c>
      <c r="W23597" s="4" t="str">
        <f>HYPERLINK("#Critères_liste_rouge!A$1","B2ab(iii)")</f>
        <v>B2ab(iii)</v>
      </c>
      <c r="X23597" s="5" t="s">
        <v>374</v>
      </c>
      <c r="AB23597" s="4" t="s">
        <v>93</v>
      </c>
      <c r="AH23597" s="4" t="str">
        <f>HYPERLINK("#Statut_biogéographique!A"&amp;_xlfn.XMATCH("P",Statut_biogéographique!A:A,2,1),"P")</f>
        <v>P</v>
      </c>
      <c r="AM23597" s="4" t="s">
        <v>375</v>
      </c>
      <c r="AN23597" s="4" t="s">
        <v>375</v>
      </c>
      <c r="AO23597" s="4" t="s">
        <v>375</v>
      </c>
      <c r="AP23597" s="4" t="s">
        <v>376</v>
      </c>
      <c r="AR23597" s="4" t="s">
        <v>377</v>
      </c>
    </row>
    <row r="23598" spans="1:44" ht="45">
      <c r="A23598" s="4" t="s">
        <v>24364</v>
      </c>
      <c r="B23598" s="4">
        <v>82637</v>
      </c>
      <c r="D23598" s="5" t="s">
        <v>30623</v>
      </c>
      <c r="E23598" s="6" t="str">
        <f>HYPERLINK("https://inpn.mnhn.fr/espece/cd_nom/82637","Anemone nemorosa L., 1753")</f>
        <v>Anemone nemorosa L., 1753</v>
      </c>
      <c r="F23598" s="5" t="s">
        <v>30624</v>
      </c>
      <c r="Q23598" s="7" t="str">
        <f>HYPERLINK("#Liste_rouge!A"&amp;_xlfn.XMATCH("LC",Liste_rouge!A:A,2,1),"LC")</f>
        <v>LC</v>
      </c>
      <c r="T23598" s="7" t="str">
        <f>HYPERLINK("#Liste_rouge!A"&amp;_xlfn.XMATCH("LC",Liste_rouge!A:A,2,1),"LC")</f>
        <v>LC</v>
      </c>
      <c r="V23598" s="7" t="str">
        <f>HYPERLINK("#Liste_rouge!A"&amp;_xlfn.XMATCH("LC",Liste_rouge!A:A,2,1),"LC")</f>
        <v>LC</v>
      </c>
      <c r="AH23598" s="4" t="str">
        <f>HYPERLINK("#Statut_biogéographique!A"&amp;_xlfn.XMATCH("P",Statut_biogéographique!A:A,2,1),"P")</f>
        <v>P</v>
      </c>
      <c r="AM23598" s="4" t="s">
        <v>375</v>
      </c>
      <c r="AN23598" s="4" t="s">
        <v>375</v>
      </c>
      <c r="AO23598" s="4" t="s">
        <v>375</v>
      </c>
      <c r="AP23598" s="4" t="s">
        <v>376</v>
      </c>
      <c r="AR23598" s="4" t="s">
        <v>377</v>
      </c>
    </row>
    <row r="23599" spans="1:44" ht="30">
      <c r="A23599" s="4" t="s">
        <v>24364</v>
      </c>
      <c r="B23599" s="4">
        <v>82656</v>
      </c>
      <c r="D23599" s="5" t="s">
        <v>30625</v>
      </c>
      <c r="E23599" s="6" t="str">
        <f>HYPERLINK("https://inpn.mnhn.fr/espece/cd_nom/82656","Anemone ranunculoides L., 1753")</f>
        <v>Anemone ranunculoides L., 1753</v>
      </c>
      <c r="F23599" s="5" t="s">
        <v>30626</v>
      </c>
      <c r="Q23599" s="7" t="str">
        <f>HYPERLINK("#Liste_rouge!A"&amp;_xlfn.XMATCH("LC",Liste_rouge!A:A,2,1),"LC")</f>
        <v>LC</v>
      </c>
      <c r="T23599" s="7" t="str">
        <f>HYPERLINK("#Liste_rouge!A"&amp;_xlfn.XMATCH("NT",Liste_rouge!A:A,2,1),"NT")</f>
        <v>NT</v>
      </c>
      <c r="U23599" s="4" t="str">
        <f>HYPERLINK("#Critères_liste_rouge!A$1","pr. B2b(ii,iii,iv)")</f>
        <v>pr. B2b(ii,iii,iv)</v>
      </c>
      <c r="V23599" s="7" t="str">
        <f>HYPERLINK("#Liste_rouge!A"&amp;_xlfn.XMATCH("LC",Liste_rouge!A:A,2,1),"LC")</f>
        <v>LC</v>
      </c>
      <c r="AB23599" s="4" t="s">
        <v>30333</v>
      </c>
      <c r="AH23599" s="4" t="str">
        <f>HYPERLINK("#Statut_biogéographique!A"&amp;_xlfn.XMATCH("P",Statut_biogéographique!A:A,2,1),"P")</f>
        <v>P</v>
      </c>
      <c r="AM23599" s="4" t="s">
        <v>375</v>
      </c>
      <c r="AN23599" s="4" t="s">
        <v>375</v>
      </c>
      <c r="AO23599" s="4" t="s">
        <v>375</v>
      </c>
      <c r="AP23599" s="4" t="s">
        <v>376</v>
      </c>
      <c r="AR23599" s="4" t="s">
        <v>377</v>
      </c>
    </row>
    <row r="23600" spans="1:44">
      <c r="A23600" s="4" t="s">
        <v>24364</v>
      </c>
      <c r="B23600" s="4">
        <v>82665</v>
      </c>
      <c r="D23600" s="5" t="s">
        <v>30627</v>
      </c>
      <c r="E23600" s="6" t="str">
        <f>HYPERLINK("https://inpn.mnhn.fr/espece/cd_nom/82665","Anemone sylvestris L., 1753")</f>
        <v>Anemone sylvestris L., 1753</v>
      </c>
      <c r="F23600" s="5" t="s">
        <v>30628</v>
      </c>
      <c r="L23600" s="4" t="str">
        <f>HYPERLINK("#Réglementation!A"&amp;_xlfn.XMATCH("NV1",Réglementation!A:A,2,1),"NV1")</f>
        <v>NV1</v>
      </c>
      <c r="Q23600" s="7" t="str">
        <f>HYPERLINK("#Liste_rouge!A"&amp;_xlfn.XMATCH("NT",Liste_rouge!A:A,2,1),"NT")</f>
        <v>NT</v>
      </c>
      <c r="T23600" s="7" t="str">
        <f>HYPERLINK("#Liste_rouge!A"&amp;_xlfn.XMATCH("CR",Liste_rouge!A:A,2,1),"CR")</f>
        <v>CR</v>
      </c>
      <c r="U23600" s="4" t="str">
        <f>HYPERLINK("#Critères_liste_rouge!A$1","C2a(i) D1")</f>
        <v>C2a(i) D1</v>
      </c>
      <c r="X23600" s="5" t="s">
        <v>374</v>
      </c>
      <c r="AB23600" s="4" t="s">
        <v>93</v>
      </c>
      <c r="AH23600" s="4" t="str">
        <f>HYPERLINK("#Statut_biogéographique!A"&amp;_xlfn.XMATCH("P",Statut_biogéographique!A:A,2,1),"P")</f>
        <v>P</v>
      </c>
      <c r="AM23600" s="4" t="s">
        <v>375</v>
      </c>
      <c r="AN23600" s="4" t="s">
        <v>375</v>
      </c>
      <c r="AO23600" s="4" t="s">
        <v>375</v>
      </c>
      <c r="AP23600" s="4" t="s">
        <v>376</v>
      </c>
      <c r="AR23600" s="4" t="s">
        <v>377</v>
      </c>
    </row>
    <row r="23601" spans="1:44" ht="45">
      <c r="A23601" s="4" t="s">
        <v>24364</v>
      </c>
      <c r="B23601" s="4">
        <v>82692</v>
      </c>
      <c r="D23601" s="5" t="s">
        <v>30629</v>
      </c>
      <c r="E23601" s="6" t="str">
        <f>HYPERLINK("https://inpn.mnhn.fr/espece/cd_nom/82692","Anethum graveolens L., 1753")</f>
        <v>Anethum graveolens L., 1753</v>
      </c>
      <c r="F23601" s="5" t="s">
        <v>30630</v>
      </c>
      <c r="Q23601" s="7" t="str">
        <f>HYPERLINK("#Liste_rouge!A"&amp;_xlfn.XMATCH("NA",Liste_rouge!A:A,2,1),"NA")</f>
        <v>NA</v>
      </c>
      <c r="T23601" s="7" t="str">
        <f>HYPERLINK("#Liste_rouge!A"&amp;_xlfn.XMATCH("NA",Liste_rouge!A:A,2,1),"NA")</f>
        <v>NA</v>
      </c>
      <c r="AH23601" s="4" t="str">
        <f>HYPERLINK("#Statut_biogéographique!A"&amp;_xlfn.XMATCH("I",Statut_biogéographique!A:A,2,1),"I")</f>
        <v>I</v>
      </c>
      <c r="AP23601" s="4" t="s">
        <v>376</v>
      </c>
      <c r="AR23601" s="4" t="s">
        <v>377</v>
      </c>
    </row>
    <row r="23602" spans="1:44" ht="30">
      <c r="A23602" s="4" t="s">
        <v>24364</v>
      </c>
      <c r="B23602" s="4">
        <v>82705</v>
      </c>
      <c r="D23602" s="5" t="s">
        <v>30631</v>
      </c>
      <c r="E23602" s="6" t="str">
        <f>HYPERLINK("https://inpn.mnhn.fr/espece/cd_nom/82705","Angelica archangelica L., 1753")</f>
        <v>Angelica archangelica L., 1753</v>
      </c>
      <c r="F23602" s="5" t="s">
        <v>30632</v>
      </c>
      <c r="P23602" s="7" t="str">
        <f>HYPERLINK("#Liste_rouge!A"&amp;_xlfn.XMATCH("LC",Liste_rouge!A:A,2,1),"LC")</f>
        <v>LC</v>
      </c>
      <c r="Q23602" s="7" t="str">
        <f>HYPERLINK("#Liste_rouge!A"&amp;_xlfn.XMATCH("NA",Liste_rouge!A:A,2,1),"NA")</f>
        <v>NA</v>
      </c>
      <c r="T23602" s="7" t="str">
        <f>HYPERLINK("#Liste_rouge!A"&amp;_xlfn.XMATCH("NA",Liste_rouge!A:A,2,1),"NA")</f>
        <v>NA</v>
      </c>
      <c r="AH23602" s="4" t="str">
        <f>HYPERLINK("#Statut_biogéographique!A"&amp;_xlfn.XMATCH("I",Statut_biogéographique!A:A,2,1),"I")</f>
        <v>I</v>
      </c>
      <c r="AP23602" s="4" t="s">
        <v>376</v>
      </c>
      <c r="AR23602" s="4" t="s">
        <v>377</v>
      </c>
    </row>
    <row r="23603" spans="1:44" ht="75">
      <c r="A23603" s="4" t="s">
        <v>24364</v>
      </c>
      <c r="B23603" s="4">
        <v>82738</v>
      </c>
      <c r="D23603" s="5" t="s">
        <v>30633</v>
      </c>
      <c r="E23603" s="6" t="str">
        <f>HYPERLINK("https://inpn.mnhn.fr/espece/cd_nom/82738","Angelica sylvestris L., 1753")</f>
        <v>Angelica sylvestris L., 1753</v>
      </c>
      <c r="F23603" s="5" t="s">
        <v>30634</v>
      </c>
      <c r="O23603" s="7" t="str">
        <f>HYPERLINK("#Liste_rouge!A"&amp;_xlfn.XMATCH("LC",Liste_rouge!A:A,2,1),"LC")</f>
        <v>LC</v>
      </c>
      <c r="Q23603" s="7" t="str">
        <f>HYPERLINK("#Liste_rouge!A"&amp;_xlfn.XMATCH("LC",Liste_rouge!A:A,2,1),"LC")</f>
        <v>LC</v>
      </c>
      <c r="T23603" s="7" t="str">
        <f>HYPERLINK("#Liste_rouge!A"&amp;_xlfn.XMATCH("LC",Liste_rouge!A:A,2,1),"LC")</f>
        <v>LC</v>
      </c>
      <c r="V23603" s="7" t="str">
        <f>HYPERLINK("#Liste_rouge!A"&amp;_xlfn.XMATCH("LC",Liste_rouge!A:A,2,1),"LC")</f>
        <v>LC</v>
      </c>
      <c r="AH23603" s="4" t="str">
        <f>HYPERLINK("#Statut_biogéographique!A"&amp;_xlfn.XMATCH("P",Statut_biogéographique!A:A,2,1),"P")</f>
        <v>P</v>
      </c>
      <c r="AM23603" s="4" t="s">
        <v>375</v>
      </c>
      <c r="AN23603" s="4" t="s">
        <v>375</v>
      </c>
      <c r="AO23603" s="4" t="s">
        <v>375</v>
      </c>
      <c r="AP23603" s="4" t="s">
        <v>376</v>
      </c>
      <c r="AR23603" s="4" t="s">
        <v>377</v>
      </c>
    </row>
    <row r="23604" spans="1:44" ht="120">
      <c r="A23604" s="4" t="s">
        <v>24364</v>
      </c>
      <c r="B23604" s="4">
        <v>82750</v>
      </c>
      <c r="D23604" s="5" t="s">
        <v>30635</v>
      </c>
      <c r="E23604" s="6" t="str">
        <f>HYPERLINK("https://inpn.mnhn.fr/espece/cd_nom/82750","Anisantha diandra (Roth) Tutin ex Tzvelev, 1963")</f>
        <v>Anisantha diandra (Roth) Tutin ex Tzvelev, 1963</v>
      </c>
      <c r="F23604" s="5" t="s">
        <v>30636</v>
      </c>
      <c r="Q23604" s="7" t="str">
        <f>HYPERLINK("#Liste_rouge!A"&amp;_xlfn.XMATCH("LC",Liste_rouge!A:A,2,1),"LC")</f>
        <v>LC</v>
      </c>
      <c r="T23604" s="7" t="str">
        <f>HYPERLINK("#Liste_rouge!A"&amp;_xlfn.XMATCH("CR",Liste_rouge!A:A,2,1),"CR")</f>
        <v>CR</v>
      </c>
      <c r="U23604" s="4" t="str">
        <f>HYPERLINK("#Critères_liste_rouge!A$1","B1 B2ab(ii,iv) C2a(i) D1")</f>
        <v>B1 B2ab(ii,iv) C2a(i) D1</v>
      </c>
      <c r="AB23604" s="4" t="s">
        <v>24486</v>
      </c>
      <c r="AH23604" s="4" t="str">
        <f>HYPERLINK("#Statut_biogéographique!A"&amp;_xlfn.XMATCH("P",Statut_biogéographique!A:A,2,1),"P")</f>
        <v>P</v>
      </c>
      <c r="AM23604" s="4" t="s">
        <v>375</v>
      </c>
      <c r="AN23604" s="4" t="s">
        <v>375</v>
      </c>
      <c r="AO23604" s="4" t="s">
        <v>375</v>
      </c>
      <c r="AP23604" s="4" t="s">
        <v>376</v>
      </c>
      <c r="AR23604" s="4" t="s">
        <v>377</v>
      </c>
    </row>
    <row r="23605" spans="1:44" ht="120">
      <c r="A23605" s="4" t="s">
        <v>24364</v>
      </c>
      <c r="B23605" s="4">
        <v>82753</v>
      </c>
      <c r="D23605" s="5" t="s">
        <v>30637</v>
      </c>
      <c r="E23605" s="6" t="str">
        <f>HYPERLINK("https://inpn.mnhn.fr/espece/cd_nom/82753","Anisantha madritensis (L.) Nevski, 1934")</f>
        <v>Anisantha madritensis (L.) Nevski, 1934</v>
      </c>
      <c r="F23605" s="5" t="s">
        <v>30638</v>
      </c>
      <c r="Q23605" s="7" t="str">
        <f>HYPERLINK("#Liste_rouge!A"&amp;_xlfn.XMATCH("LC",Liste_rouge!A:A,2,1),"LC")</f>
        <v>LC</v>
      </c>
      <c r="T23605" s="7" t="str">
        <f>HYPERLINK("#Liste_rouge!A"&amp;_xlfn.XMATCH("NA",Liste_rouge!A:A,2,1),"NA")</f>
        <v>NA</v>
      </c>
      <c r="AH23605" s="4" t="str">
        <f>HYPERLINK("#Statut_biogéographique!A"&amp;_xlfn.XMATCH("P",Statut_biogéographique!A:A,2,1),"P")</f>
        <v>P</v>
      </c>
      <c r="AP23605" s="4" t="s">
        <v>376</v>
      </c>
      <c r="AR23605" s="4" t="s">
        <v>377</v>
      </c>
    </row>
    <row r="23606" spans="1:44" ht="105">
      <c r="A23606" s="4" t="s">
        <v>24364</v>
      </c>
      <c r="B23606" s="4">
        <v>82755</v>
      </c>
      <c r="D23606" s="5" t="s">
        <v>30639</v>
      </c>
      <c r="E23606" s="6" t="str">
        <f>HYPERLINK("https://inpn.mnhn.fr/espece/cd_nom/82755","Anisantha rigida (Roth) Hyl., 1945")</f>
        <v>Anisantha rigida (Roth) Hyl., 1945</v>
      </c>
      <c r="F23606" s="5" t="s">
        <v>30640</v>
      </c>
      <c r="Q23606" s="7" t="str">
        <f>HYPERLINK("#Liste_rouge!A"&amp;_xlfn.XMATCH("LC",Liste_rouge!A:A,2,1),"LC")</f>
        <v>LC</v>
      </c>
      <c r="T23606" s="7" t="str">
        <f>HYPERLINK("#Liste_rouge!A"&amp;_xlfn.XMATCH("NA",Liste_rouge!A:A,2,1),"NA")</f>
        <v>NA</v>
      </c>
      <c r="AH23606" s="4" t="str">
        <f>HYPERLINK("#Statut_biogéographique!A"&amp;_xlfn.XMATCH("P",Statut_biogéographique!A:A,2,1),"P")</f>
        <v>P</v>
      </c>
      <c r="AP23606" s="4" t="s">
        <v>376</v>
      </c>
      <c r="AR23606" s="4" t="s">
        <v>377</v>
      </c>
    </row>
    <row r="23607" spans="1:44" ht="60">
      <c r="A23607" s="4" t="s">
        <v>24364</v>
      </c>
      <c r="B23607" s="4">
        <v>82756</v>
      </c>
      <c r="D23607" s="5" t="s">
        <v>30641</v>
      </c>
      <c r="E23607" s="6" t="str">
        <f>HYPERLINK("https://inpn.mnhn.fr/espece/cd_nom/82756","Anisantha rubens (L.) Nevski, 1934")</f>
        <v>Anisantha rubens (L.) Nevski, 1934</v>
      </c>
      <c r="F23607" s="5" t="s">
        <v>30642</v>
      </c>
      <c r="Q23607" s="7" t="str">
        <f>HYPERLINK("#Liste_rouge!A"&amp;_xlfn.XMATCH("LC",Liste_rouge!A:A,2,1),"LC")</f>
        <v>LC</v>
      </c>
      <c r="T23607" s="7" t="str">
        <f>HYPERLINK("#Liste_rouge!A"&amp;_xlfn.XMATCH("NA",Liste_rouge!A:A,2,1),"NA")</f>
        <v>NA</v>
      </c>
      <c r="AH23607" s="4" t="str">
        <f>HYPERLINK("#Statut_biogéographique!A"&amp;_xlfn.XMATCH("P",Statut_biogéographique!A:A,2,1),"P")</f>
        <v>P</v>
      </c>
      <c r="AP23607" s="4" t="s">
        <v>376</v>
      </c>
      <c r="AR23607" s="4" t="s">
        <v>377</v>
      </c>
    </row>
    <row r="23608" spans="1:44" ht="75">
      <c r="A23608" s="4" t="s">
        <v>24364</v>
      </c>
      <c r="B23608" s="4">
        <v>82757</v>
      </c>
      <c r="D23608" s="5" t="s">
        <v>30643</v>
      </c>
      <c r="E23608" s="6" t="str">
        <f>HYPERLINK("https://inpn.mnhn.fr/espece/cd_nom/82757","Anisantha sterilis (L.) Nevski, 1934")</f>
        <v>Anisantha sterilis (L.) Nevski, 1934</v>
      </c>
      <c r="F23608" s="5" t="s">
        <v>30644</v>
      </c>
      <c r="O23608" s="7" t="str">
        <f>HYPERLINK("#Liste_rouge!A"&amp;_xlfn.XMATCH("LC",Liste_rouge!A:A,2,1),"LC")</f>
        <v>LC</v>
      </c>
      <c r="P23608" s="7" t="str">
        <f>HYPERLINK("#Liste_rouge!A"&amp;_xlfn.XMATCH("LC",Liste_rouge!A:A,2,1),"LC")</f>
        <v>LC</v>
      </c>
      <c r="Q23608" s="7" t="str">
        <f>HYPERLINK("#Liste_rouge!A"&amp;_xlfn.XMATCH("LC",Liste_rouge!A:A,2,1),"LC")</f>
        <v>LC</v>
      </c>
      <c r="T23608" s="7" t="str">
        <f>HYPERLINK("#Liste_rouge!A"&amp;_xlfn.XMATCH("LC",Liste_rouge!A:A,2,1),"LC")</f>
        <v>LC</v>
      </c>
      <c r="V23608" s="7" t="str">
        <f>HYPERLINK("#Liste_rouge!A"&amp;_xlfn.XMATCH("LC",Liste_rouge!A:A,2,1),"LC")</f>
        <v>LC</v>
      </c>
      <c r="AH23608" s="4" t="str">
        <f>HYPERLINK("#Statut_biogéographique!A"&amp;_xlfn.XMATCH("P",Statut_biogéographique!A:A,2,1),"P")</f>
        <v>P</v>
      </c>
      <c r="AM23608" s="4" t="s">
        <v>375</v>
      </c>
      <c r="AN23608" s="4" t="s">
        <v>375</v>
      </c>
      <c r="AO23608" s="4" t="s">
        <v>375</v>
      </c>
      <c r="AP23608" s="4" t="s">
        <v>376</v>
      </c>
      <c r="AR23608" s="4" t="s">
        <v>377</v>
      </c>
    </row>
    <row r="23609" spans="1:44" ht="120">
      <c r="A23609" s="4" t="s">
        <v>24364</v>
      </c>
      <c r="B23609" s="4">
        <v>82758</v>
      </c>
      <c r="D23609" s="5" t="s">
        <v>30645</v>
      </c>
      <c r="E23609" s="6" t="str">
        <f>HYPERLINK("https://inpn.mnhn.fr/espece/cd_nom/82758","Anisantha tectorum (L.) Nevski, 1934")</f>
        <v>Anisantha tectorum (L.) Nevski, 1934</v>
      </c>
      <c r="F23609" s="5" t="s">
        <v>30646</v>
      </c>
      <c r="Q23609" s="7" t="str">
        <f>HYPERLINK("#Liste_rouge!A"&amp;_xlfn.XMATCH("LC",Liste_rouge!A:A,2,1),"LC")</f>
        <v>LC</v>
      </c>
      <c r="T23609" s="7" t="str">
        <f>HYPERLINK("#Liste_rouge!A"&amp;_xlfn.XMATCH("VU",Liste_rouge!A:A,2,1),"VU")</f>
        <v>VU</v>
      </c>
      <c r="U23609" s="4" t="str">
        <f>HYPERLINK("#Critères_liste_rouge!A$1","B2b(ii,iii,iv)c(iii,iv)")</f>
        <v>B2b(ii,iii,iv)c(iii,iv)</v>
      </c>
      <c r="V23609" s="7" t="str">
        <f>HYPERLINK("#Liste_rouge!A"&amp;_xlfn.XMATCH("LC",Liste_rouge!A:A,2,1),"LC")</f>
        <v>LC</v>
      </c>
      <c r="AH23609" s="4" t="str">
        <f>HYPERLINK("#Statut_biogéographique!A"&amp;_xlfn.XMATCH("P",Statut_biogéographique!A:A,2,1),"P")</f>
        <v>P</v>
      </c>
      <c r="AM23609" s="4" t="s">
        <v>375</v>
      </c>
      <c r="AN23609" s="4" t="s">
        <v>375</v>
      </c>
      <c r="AO23609" s="4" t="s">
        <v>375</v>
      </c>
      <c r="AP23609" s="4" t="s">
        <v>376</v>
      </c>
      <c r="AR23609" s="4" t="s">
        <v>377</v>
      </c>
    </row>
    <row r="23610" spans="1:44" ht="45">
      <c r="A23610" s="4" t="s">
        <v>24364</v>
      </c>
      <c r="B23610" s="4">
        <v>82796</v>
      </c>
      <c r="D23610" s="5" t="s">
        <v>30647</v>
      </c>
      <c r="E23610" s="6" t="str">
        <f>HYPERLINK("https://inpn.mnhn.fr/espece/cd_nom/82796","Antennaria dioica (L.) Gaertn., 1791")</f>
        <v>Antennaria dioica (L.) Gaertn., 1791</v>
      </c>
      <c r="F23610" s="5" t="s">
        <v>30648</v>
      </c>
      <c r="M23610" s="4" t="str">
        <f>HYPERLINK("#Réglementation!A"&amp;_xlfn.XMATCH("RV26",Réglementation!A:A,2,1),"RV26")</f>
        <v>RV26</v>
      </c>
      <c r="N23610" s="4" t="str">
        <f>HYPERLINK("#Réglementation!A"&amp;_xlfn.XMATCH("V39P1",Réglementation!A:A,2,1),"V39P1 - V25P1 - V70P1")</f>
        <v>V39P1 - V25P1 - V70P1</v>
      </c>
      <c r="P23610" s="7" t="str">
        <f>HYPERLINK("#Liste_rouge!A"&amp;_xlfn.XMATCH("LC",Liste_rouge!A:A,2,1),"LC")</f>
        <v>LC</v>
      </c>
      <c r="Q23610" s="7" t="str">
        <f>HYPERLINK("#Liste_rouge!A"&amp;_xlfn.XMATCH("NT",Liste_rouge!A:A,2,1),"NT")</f>
        <v>NT</v>
      </c>
      <c r="T23610" s="7" t="str">
        <f>HYPERLINK("#Liste_rouge!A"&amp;_xlfn.XMATCH("RE",Liste_rouge!A:A,2,1),"RE")</f>
        <v>RE</v>
      </c>
      <c r="V23610" s="7" t="str">
        <f>HYPERLINK("#Liste_rouge!A"&amp;_xlfn.XMATCH("NT",Liste_rouge!A:A,2,1),"NT")</f>
        <v>NT</v>
      </c>
      <c r="W23610" s="4" t="str">
        <f>HYPERLINK("#Critères_liste_rouge!A$1","pr. B2b(iii)")</f>
        <v>pr. B2b(iii)</v>
      </c>
      <c r="X23610" s="5" t="s">
        <v>374</v>
      </c>
      <c r="AB23610" s="4" t="s">
        <v>93</v>
      </c>
      <c r="AH23610" s="4" t="str">
        <f>HYPERLINK("#Statut_biogéographique!A"&amp;_xlfn.XMATCH("P",Statut_biogéographique!A:A,2,1),"P")</f>
        <v>P</v>
      </c>
      <c r="AK23610" s="4" t="str">
        <f>HYPERLINK("#Réglementation!A"&amp;_xlfn.XMATCH("V39P6",Réglementation!A:A,2,1),"V39P6 - V25P1 - V70P1")</f>
        <v>V39P6 - V25P1 - V70P1</v>
      </c>
      <c r="AM23610" s="4" t="s">
        <v>375</v>
      </c>
      <c r="AN23610" s="4" t="s">
        <v>375</v>
      </c>
      <c r="AO23610" s="4" t="s">
        <v>375</v>
      </c>
      <c r="AP23610" s="4" t="s">
        <v>376</v>
      </c>
      <c r="AR23610" s="4" t="s">
        <v>377</v>
      </c>
    </row>
    <row r="23611" spans="1:44" ht="45">
      <c r="A23611" s="4" t="s">
        <v>24364</v>
      </c>
      <c r="B23611" s="4">
        <v>82817</v>
      </c>
      <c r="D23611" s="5" t="s">
        <v>30649</v>
      </c>
      <c r="E23611" s="6" t="str">
        <f>HYPERLINK("https://inpn.mnhn.fr/espece/cd_nom/82817","Anthemis arvensis L., 1753")</f>
        <v>Anthemis arvensis L., 1753</v>
      </c>
      <c r="F23611" s="5" t="s">
        <v>28292</v>
      </c>
      <c r="Q23611" s="7" t="str">
        <f>HYPERLINK("#Liste_rouge!A"&amp;_xlfn.XMATCH("LC",Liste_rouge!A:A,2,1),"LC")</f>
        <v>LC</v>
      </c>
      <c r="T23611" s="7" t="str">
        <f>HYPERLINK("#Liste_rouge!A"&amp;_xlfn.XMATCH("LC",Liste_rouge!A:A,2,1),"LC")</f>
        <v>LC</v>
      </c>
      <c r="V23611" s="7" t="str">
        <f>HYPERLINK("#Liste_rouge!A"&amp;_xlfn.XMATCH("NT",Liste_rouge!A:A,2,1),"NT")</f>
        <v>NT</v>
      </c>
      <c r="W23611" s="4" t="str">
        <f>HYPERLINK("#Critères_liste_rouge!A$1","pr. A3c B2b(iii)")</f>
        <v>pr. A3c B2b(iii)</v>
      </c>
      <c r="AB23611" s="4" t="s">
        <v>24447</v>
      </c>
      <c r="AH23611" s="4" t="str">
        <f>HYPERLINK("#Statut_biogéographique!A"&amp;_xlfn.XMATCH("P",Statut_biogéographique!A:A,2,1),"P")</f>
        <v>P</v>
      </c>
      <c r="AM23611" s="4" t="s">
        <v>375</v>
      </c>
      <c r="AN23611" s="4" t="s">
        <v>375</v>
      </c>
      <c r="AO23611" s="4" t="s">
        <v>375</v>
      </c>
      <c r="AP23611" s="4" t="s">
        <v>376</v>
      </c>
      <c r="AR23611" s="4" t="s">
        <v>377</v>
      </c>
    </row>
    <row r="23612" spans="1:44" ht="45">
      <c r="A23612" s="4" t="s">
        <v>24364</v>
      </c>
      <c r="B23612" s="4">
        <v>82833</v>
      </c>
      <c r="D23612" s="5" t="s">
        <v>30650</v>
      </c>
      <c r="E23612" s="6" t="str">
        <f>HYPERLINK("https://inpn.mnhn.fr/espece/cd_nom/82833","Anthemis cotula L., 1753")</f>
        <v>Anthemis cotula L., 1753</v>
      </c>
      <c r="F23612" s="5" t="s">
        <v>30651</v>
      </c>
      <c r="Q23612" s="7" t="str">
        <f>HYPERLINK("#Liste_rouge!A"&amp;_xlfn.XMATCH("LC",Liste_rouge!A:A,2,1),"LC")</f>
        <v>LC</v>
      </c>
      <c r="T23612" s="7" t="str">
        <f>HYPERLINK("#Liste_rouge!A"&amp;_xlfn.XMATCH("LC",Liste_rouge!A:A,2,1),"LC")</f>
        <v>LC</v>
      </c>
      <c r="V23612" s="7" t="str">
        <f>HYPERLINK("#Liste_rouge!A"&amp;_xlfn.XMATCH("NT",Liste_rouge!A:A,2,1),"NT")</f>
        <v>NT</v>
      </c>
      <c r="W23612" s="4" t="str">
        <f>HYPERLINK("#Critères_liste_rouge!A$1","pr. A3c B2b(iii)")</f>
        <v>pr. A3c B2b(iii)</v>
      </c>
      <c r="AB23612" s="4" t="s">
        <v>30652</v>
      </c>
      <c r="AH23612" s="4" t="str">
        <f>HYPERLINK("#Statut_biogéographique!A"&amp;_xlfn.XMATCH("P",Statut_biogéographique!A:A,2,1),"P")</f>
        <v>P</v>
      </c>
      <c r="AM23612" s="4" t="s">
        <v>375</v>
      </c>
      <c r="AN23612" s="4" t="s">
        <v>375</v>
      </c>
      <c r="AO23612" s="4" t="s">
        <v>375</v>
      </c>
      <c r="AP23612" s="4" t="s">
        <v>376</v>
      </c>
      <c r="AR23612" s="4" t="s">
        <v>377</v>
      </c>
    </row>
    <row r="23613" spans="1:44" ht="30">
      <c r="A23613" s="4" t="s">
        <v>24364</v>
      </c>
      <c r="B23613" s="4">
        <v>82835</v>
      </c>
      <c r="D23613" s="5" t="s">
        <v>30653</v>
      </c>
      <c r="E23613" s="6" t="str">
        <f>HYPERLINK("https://inpn.mnhn.fr/espece/cd_nom/82835","Anthemis cretica L., 1753")</f>
        <v>Anthemis cretica L., 1753</v>
      </c>
      <c r="F23613" s="5" t="s">
        <v>30654</v>
      </c>
      <c r="Q23613" s="7" t="str">
        <f>HYPERLINK("#Liste_rouge!A"&amp;_xlfn.XMATCH("LC",Liste_rouge!A:A,2,1),"LC")</f>
        <v>LC</v>
      </c>
      <c r="T23613" s="7" t="str">
        <f>HYPERLINK("#Liste_rouge!A"&amp;_xlfn.XMATCH("CR",Liste_rouge!A:A,2,1),"CR")</f>
        <v>CR</v>
      </c>
      <c r="U23613" s="4" t="str">
        <f>HYPERLINK("#Critères_liste_rouge!A$1","B1 B2ab(i,ii,iv)")</f>
        <v>B1 B2ab(i,ii,iv)</v>
      </c>
      <c r="X23613" s="5" t="s">
        <v>374</v>
      </c>
      <c r="AB23613" s="4" t="s">
        <v>93</v>
      </c>
      <c r="AH23613" s="4" t="str">
        <f>HYPERLINK("#Statut_biogéographique!A"&amp;_xlfn.XMATCH("P",Statut_biogéographique!A:A,2,1),"P")</f>
        <v>P</v>
      </c>
      <c r="AM23613" s="4" t="s">
        <v>375</v>
      </c>
      <c r="AN23613" s="4" t="s">
        <v>375</v>
      </c>
      <c r="AO23613" s="4" t="s">
        <v>375</v>
      </c>
      <c r="AP23613" s="4" t="s">
        <v>376</v>
      </c>
      <c r="AR23613" s="4" t="s">
        <v>377</v>
      </c>
    </row>
    <row r="23614" spans="1:44" ht="45">
      <c r="A23614" s="4" t="s">
        <v>24364</v>
      </c>
      <c r="B23614" s="4">
        <v>82903</v>
      </c>
      <c r="D23614" s="5" t="s">
        <v>30655</v>
      </c>
      <c r="E23614" s="6" t="str">
        <f>HYPERLINK("https://inpn.mnhn.fr/espece/cd_nom/82903","Anthericum liliago L., 1753")</f>
        <v>Anthericum liliago L., 1753</v>
      </c>
      <c r="F23614" s="5" t="s">
        <v>30656</v>
      </c>
      <c r="Q23614" s="7" t="str">
        <f>HYPERLINK("#Liste_rouge!A"&amp;_xlfn.XMATCH("LC",Liste_rouge!A:A,2,1),"LC")</f>
        <v>LC</v>
      </c>
      <c r="T23614" s="7" t="str">
        <f>HYPERLINK("#Liste_rouge!A"&amp;_xlfn.XMATCH("DD",Liste_rouge!A:A,2,1),"DD (cd_nom 143571) - LC (cd_nom 82903)")</f>
        <v>DD (cd_nom 143571) - LC (cd_nom 82903)</v>
      </c>
      <c r="V23614" s="7" t="str">
        <f>HYPERLINK("#Liste_rouge!A"&amp;_xlfn.XMATCH("LC",Liste_rouge!A:A,2,1),"LC")</f>
        <v>LC</v>
      </c>
      <c r="AH23614" s="4" t="str">
        <f>HYPERLINK("#Statut_biogéographique!A"&amp;_xlfn.XMATCH("P",Statut_biogéographique!A:A,2,1),"P")</f>
        <v>P</v>
      </c>
      <c r="AM23614" s="4" t="s">
        <v>375</v>
      </c>
      <c r="AN23614" s="4" t="s">
        <v>375</v>
      </c>
      <c r="AO23614" s="4" t="s">
        <v>375</v>
      </c>
      <c r="AP23614" s="4" t="s">
        <v>376</v>
      </c>
      <c r="AR23614" s="4" t="s">
        <v>377</v>
      </c>
    </row>
    <row r="23615" spans="1:44">
      <c r="A23615" s="4" t="s">
        <v>24364</v>
      </c>
      <c r="B23615" s="4">
        <v>82909</v>
      </c>
      <c r="D23615" s="5" t="s">
        <v>30657</v>
      </c>
      <c r="E23615" s="6" t="str">
        <f>HYPERLINK("https://inpn.mnhn.fr/espece/cd_nom/82909","Anthericum ramosum L., 1753")</f>
        <v>Anthericum ramosum L., 1753</v>
      </c>
      <c r="F23615" s="5" t="s">
        <v>30658</v>
      </c>
      <c r="Q23615" s="7" t="str">
        <f>HYPERLINK("#Liste_rouge!A"&amp;_xlfn.XMATCH("LC",Liste_rouge!A:A,2,1),"LC")</f>
        <v>LC</v>
      </c>
      <c r="T23615" s="7" t="str">
        <f>HYPERLINK("#Liste_rouge!A"&amp;_xlfn.XMATCH("LC",Liste_rouge!A:A,2,1),"LC")</f>
        <v>LC</v>
      </c>
      <c r="V23615" s="7" t="str">
        <f>HYPERLINK("#Liste_rouge!A"&amp;_xlfn.XMATCH("LC",Liste_rouge!A:A,2,1),"LC")</f>
        <v>LC</v>
      </c>
      <c r="AB23615" s="4" t="s">
        <v>24719</v>
      </c>
      <c r="AH23615" s="4" t="str">
        <f>HYPERLINK("#Statut_biogéographique!A"&amp;_xlfn.XMATCH("P",Statut_biogéographique!A:A,2,1),"P")</f>
        <v>P</v>
      </c>
      <c r="AM23615" s="4" t="s">
        <v>375</v>
      </c>
      <c r="AN23615" s="4" t="s">
        <v>375</v>
      </c>
      <c r="AO23615" s="4" t="s">
        <v>375</v>
      </c>
      <c r="AP23615" s="4" t="s">
        <v>376</v>
      </c>
      <c r="AR23615" s="4" t="s">
        <v>377</v>
      </c>
    </row>
    <row r="23616" spans="1:44" ht="45">
      <c r="A23616" s="4" t="s">
        <v>24364</v>
      </c>
      <c r="B23616" s="4">
        <v>82914</v>
      </c>
      <c r="D23616" s="5" t="s">
        <v>30659</v>
      </c>
      <c r="E23616" s="6" t="str">
        <f>HYPERLINK("https://inpn.mnhn.fr/espece/cd_nom/82914","Anthoxanthum alpinum Á.Löve &amp; D.Löve, 1948")</f>
        <v>Anthoxanthum alpinum Á.Löve &amp; D.Löve, 1948</v>
      </c>
      <c r="F23616" s="5" t="s">
        <v>30660</v>
      </c>
      <c r="Q23616" s="7" t="str">
        <f>HYPERLINK("#Liste_rouge!A"&amp;_xlfn.XMATCH("LC",Liste_rouge!A:A,2,1),"LC")</f>
        <v>LC</v>
      </c>
      <c r="V23616" s="7" t="str">
        <f>HYPERLINK("#Liste_rouge!A"&amp;_xlfn.XMATCH("DD",Liste_rouge!A:A,2,1),"DD")</f>
        <v>DD</v>
      </c>
      <c r="X23616" s="5" t="s">
        <v>374</v>
      </c>
      <c r="AB23616" s="4" t="s">
        <v>93</v>
      </c>
      <c r="AH23616" s="4" t="str">
        <f>HYPERLINK("#Statut_biogéographique!A"&amp;_xlfn.XMATCH("P",Statut_biogéographique!A:A,2,1),"P")</f>
        <v>P</v>
      </c>
      <c r="AM23616" s="4" t="s">
        <v>375</v>
      </c>
      <c r="AN23616" s="4" t="s">
        <v>375</v>
      </c>
      <c r="AO23616" s="4" t="s">
        <v>375</v>
      </c>
      <c r="AP23616" s="4" t="s">
        <v>376</v>
      </c>
      <c r="AR23616" s="4" t="s">
        <v>377</v>
      </c>
    </row>
    <row r="23617" spans="1:44" ht="75">
      <c r="A23617" s="4" t="s">
        <v>24364</v>
      </c>
      <c r="B23617" s="4">
        <v>82916</v>
      </c>
      <c r="D23617" s="5" t="s">
        <v>30661</v>
      </c>
      <c r="E23617" s="6" t="str">
        <f>HYPERLINK("https://inpn.mnhn.fr/espece/cd_nom/82916","Anthoxanthum aristatum Boiss., 1842")</f>
        <v>Anthoxanthum aristatum Boiss., 1842</v>
      </c>
      <c r="F23617" s="5" t="s">
        <v>30662</v>
      </c>
      <c r="Q23617" s="7" t="str">
        <f>HYPERLINK("#Liste_rouge!A"&amp;_xlfn.XMATCH("LC",Liste_rouge!A:A,2,1),"LC")</f>
        <v>LC</v>
      </c>
      <c r="T23617" s="7" t="str">
        <f>HYPERLINK("#Liste_rouge!A"&amp;_xlfn.XMATCH("EN",Liste_rouge!A:A,2,1),"EN")</f>
        <v>EN</v>
      </c>
      <c r="U23617" s="4" t="str">
        <f>HYPERLINK("#Critères_liste_rouge!A$1","B2a")</f>
        <v>B2a</v>
      </c>
      <c r="X23617" s="5" t="s">
        <v>374</v>
      </c>
      <c r="AB23617" s="4" t="s">
        <v>93</v>
      </c>
      <c r="AH23617" s="4" t="str">
        <f>HYPERLINK("#Statut_biogéographique!A"&amp;_xlfn.XMATCH("P",Statut_biogéographique!A:A,2,1),"P")</f>
        <v>P</v>
      </c>
      <c r="AM23617" s="4" t="s">
        <v>375</v>
      </c>
      <c r="AN23617" s="4" t="s">
        <v>375</v>
      </c>
      <c r="AO23617" s="4" t="s">
        <v>375</v>
      </c>
      <c r="AP23617" s="4" t="s">
        <v>376</v>
      </c>
      <c r="AR23617" s="4" t="s">
        <v>377</v>
      </c>
    </row>
    <row r="23618" spans="1:44" ht="120">
      <c r="A23618" s="4" t="s">
        <v>24364</v>
      </c>
      <c r="B23618" s="4">
        <v>82922</v>
      </c>
      <c r="D23618" s="5" t="s">
        <v>30663</v>
      </c>
      <c r="E23618" s="6" t="str">
        <f>HYPERLINK("https://inpn.mnhn.fr/espece/cd_nom/82922","Anthoxanthum odoratum L., 1753")</f>
        <v>Anthoxanthum odoratum L., 1753</v>
      </c>
      <c r="F23618" s="5" t="s">
        <v>30664</v>
      </c>
      <c r="Q23618" s="7" t="str">
        <f>HYPERLINK("#Liste_rouge!A"&amp;_xlfn.XMATCH("LC",Liste_rouge!A:A,2,1),"LC")</f>
        <v>LC</v>
      </c>
      <c r="T23618" s="7" t="str">
        <f>HYPERLINK("#Liste_rouge!A"&amp;_xlfn.XMATCH("LC",Liste_rouge!A:A,2,1),"LC")</f>
        <v>LC</v>
      </c>
      <c r="V23618" s="7" t="str">
        <f>HYPERLINK("#Liste_rouge!A"&amp;_xlfn.XMATCH("LC",Liste_rouge!A:A,2,1),"LC")</f>
        <v>LC</v>
      </c>
      <c r="AH23618" s="4" t="str">
        <f>HYPERLINK("#Statut_biogéographique!A"&amp;_xlfn.XMATCH("P",Statut_biogéographique!A:A,2,1),"P")</f>
        <v>P</v>
      </c>
      <c r="AM23618" s="4" t="s">
        <v>375</v>
      </c>
      <c r="AN23618" s="4" t="s">
        <v>375</v>
      </c>
      <c r="AO23618" s="4" t="s">
        <v>375</v>
      </c>
      <c r="AP23618" s="4" t="s">
        <v>376</v>
      </c>
      <c r="AR23618" s="4" t="s">
        <v>377</v>
      </c>
    </row>
    <row r="23619" spans="1:44" ht="60">
      <c r="A23619" s="4" t="s">
        <v>24364</v>
      </c>
      <c r="B23619" s="4">
        <v>82931</v>
      </c>
      <c r="D23619" s="5" t="s">
        <v>30665</v>
      </c>
      <c r="E23619" s="6" t="str">
        <f>HYPERLINK("https://inpn.mnhn.fr/espece/cd_nom/82931","Anthriscus caucalis M.Bieb., 1808")</f>
        <v>Anthriscus caucalis M.Bieb., 1808</v>
      </c>
      <c r="F23619" s="5" t="s">
        <v>30666</v>
      </c>
      <c r="Q23619" s="7" t="str">
        <f>HYPERLINK("#Liste_rouge!A"&amp;_xlfn.XMATCH("LC",Liste_rouge!A:A,2,1),"LC")</f>
        <v>LC</v>
      </c>
      <c r="T23619" s="7" t="str">
        <f>HYPERLINK("#Liste_rouge!A"&amp;_xlfn.XMATCH("LC",Liste_rouge!A:A,2,1),"LC")</f>
        <v>LC</v>
      </c>
      <c r="V23619" s="7" t="str">
        <f>HYPERLINK("#Liste_rouge!A"&amp;_xlfn.XMATCH("NT",Liste_rouge!A:A,2,1),"NT")</f>
        <v>NT</v>
      </c>
      <c r="W23619" s="4" t="str">
        <f>HYPERLINK("#Critères_liste_rouge!A$1","pr. D2")</f>
        <v>pr. D2</v>
      </c>
      <c r="AB23619" s="4" t="s">
        <v>29863</v>
      </c>
      <c r="AH23619" s="4" t="str">
        <f>HYPERLINK("#Statut_biogéographique!A"&amp;_xlfn.XMATCH("P",Statut_biogéographique!A:A,2,1),"P")</f>
        <v>P</v>
      </c>
      <c r="AM23619" s="4" t="s">
        <v>375</v>
      </c>
      <c r="AN23619" s="4" t="s">
        <v>375</v>
      </c>
      <c r="AO23619" s="4" t="s">
        <v>375</v>
      </c>
      <c r="AP23619" s="4" t="s">
        <v>376</v>
      </c>
      <c r="AR23619" s="4" t="s">
        <v>377</v>
      </c>
    </row>
    <row r="23620" spans="1:44" ht="30">
      <c r="A23620" s="4" t="s">
        <v>24364</v>
      </c>
      <c r="B23620" s="4">
        <v>82932</v>
      </c>
      <c r="D23620" s="5" t="s">
        <v>30667</v>
      </c>
      <c r="E23620" s="6" t="str">
        <f>HYPERLINK("https://inpn.mnhn.fr/espece/cd_nom/82932","Anthriscus cerefolium (L.) Hoffm., 1814")</f>
        <v>Anthriscus cerefolium (L.) Hoffm., 1814</v>
      </c>
      <c r="F23620" s="5" t="s">
        <v>30668</v>
      </c>
      <c r="Q23620" s="7" t="str">
        <f>HYPERLINK("#Liste_rouge!A"&amp;_xlfn.XMATCH("NA",Liste_rouge!A:A,2,1),"NA")</f>
        <v>NA</v>
      </c>
      <c r="T23620" s="7" t="str">
        <f>HYPERLINK("#Liste_rouge!A"&amp;_xlfn.XMATCH("NA",Liste_rouge!A:A,2,1),"NA")</f>
        <v>NA</v>
      </c>
      <c r="AH23620" s="4" t="str">
        <f>HYPERLINK("#Statut_biogéographique!A"&amp;_xlfn.XMATCH("I",Statut_biogéographique!A:A,2,1),"I")</f>
        <v>I</v>
      </c>
      <c r="AP23620" s="4" t="s">
        <v>376</v>
      </c>
      <c r="AR23620" s="4" t="s">
        <v>377</v>
      </c>
    </row>
    <row r="23621" spans="1:44" ht="75">
      <c r="A23621" s="4" t="s">
        <v>24364</v>
      </c>
      <c r="B23621" s="4">
        <v>82943</v>
      </c>
      <c r="D23621" s="5" t="s">
        <v>30669</v>
      </c>
      <c r="E23621" s="6" t="str">
        <f>HYPERLINK("https://inpn.mnhn.fr/espece/cd_nom/82943","Anthriscus nitida (Wahlenb.) Hazsl., 1864")</f>
        <v>Anthriscus nitida (Wahlenb.) Hazsl., 1864</v>
      </c>
      <c r="F23621" s="5" t="s">
        <v>30670</v>
      </c>
      <c r="Q23621" s="7" t="str">
        <f>HYPERLINK("#Liste_rouge!A"&amp;_xlfn.XMATCH("LC",Liste_rouge!A:A,2,1),"LC")</f>
        <v>LC</v>
      </c>
      <c r="V23621" s="7" t="str">
        <f>HYPERLINK("#Liste_rouge!A"&amp;_xlfn.XMATCH("LC",Liste_rouge!A:A,2,1),"LC")</f>
        <v>LC</v>
      </c>
      <c r="AH23621" s="4" t="str">
        <f>HYPERLINK("#Statut_biogéographique!A"&amp;_xlfn.XMATCH("P",Statut_biogéographique!A:A,2,1),"P")</f>
        <v>P</v>
      </c>
      <c r="AM23621" s="4" t="s">
        <v>375</v>
      </c>
      <c r="AN23621" s="4" t="s">
        <v>375</v>
      </c>
      <c r="AO23621" s="4" t="s">
        <v>375</v>
      </c>
      <c r="AP23621" s="4" t="s">
        <v>376</v>
      </c>
      <c r="AR23621" s="4" t="s">
        <v>377</v>
      </c>
    </row>
    <row r="23622" spans="1:44" ht="45">
      <c r="A23622" s="4" t="s">
        <v>24364</v>
      </c>
      <c r="B23622" s="4">
        <v>82952</v>
      </c>
      <c r="D23622" s="5" t="s">
        <v>30671</v>
      </c>
      <c r="E23622" s="6" t="str">
        <f>HYPERLINK("https://inpn.mnhn.fr/espece/cd_nom/82952","Anthriscus sylvestris (L.) Hoffm., 1814")</f>
        <v>Anthriscus sylvestris (L.) Hoffm., 1814</v>
      </c>
      <c r="F23622" s="5" t="s">
        <v>28296</v>
      </c>
      <c r="Q23622" s="7" t="str">
        <f>HYPERLINK("#Liste_rouge!A"&amp;_xlfn.XMATCH("LC",Liste_rouge!A:A,2,1),"LC")</f>
        <v>LC</v>
      </c>
      <c r="T23622" s="7" t="str">
        <f>HYPERLINK("#Liste_rouge!A"&amp;_xlfn.XMATCH("LC",Liste_rouge!A:A,2,1),"LC")</f>
        <v>LC</v>
      </c>
      <c r="V23622" s="7" t="str">
        <f>HYPERLINK("#Liste_rouge!A"&amp;_xlfn.XMATCH("LC",Liste_rouge!A:A,2,1),"LC")</f>
        <v>LC</v>
      </c>
      <c r="AH23622" s="4" t="str">
        <f>HYPERLINK("#Statut_biogéographique!A"&amp;_xlfn.XMATCH("P",Statut_biogéographique!A:A,2,1),"P")</f>
        <v>P</v>
      </c>
      <c r="AM23622" s="4" t="s">
        <v>375</v>
      </c>
      <c r="AN23622" s="4" t="s">
        <v>375</v>
      </c>
      <c r="AO23622" s="4" t="s">
        <v>375</v>
      </c>
      <c r="AP23622" s="4" t="s">
        <v>376</v>
      </c>
      <c r="AR23622" s="4" t="s">
        <v>377</v>
      </c>
    </row>
    <row r="23623" spans="1:44" ht="30">
      <c r="A23623" s="4" t="s">
        <v>24364</v>
      </c>
      <c r="B23623" s="4">
        <v>82985</v>
      </c>
      <c r="D23623" s="5" t="s">
        <v>30672</v>
      </c>
      <c r="E23623" s="6" t="str">
        <f>HYPERLINK("https://inpn.mnhn.fr/espece/cd_nom/82985","Anthyllis montana L., 1753")</f>
        <v>Anthyllis montana L., 1753</v>
      </c>
      <c r="F23623" s="5" t="s">
        <v>30673</v>
      </c>
      <c r="M23623" s="4" t="str">
        <f>HYPERLINK("#Réglementation!A"&amp;_xlfn.XMATCH("RV26",Réglementation!A:A,2,1),"RV26 - RV43")</f>
        <v>RV26 - RV43</v>
      </c>
      <c r="Q23623" s="7" t="str">
        <f>HYPERLINK("#Liste_rouge!A"&amp;_xlfn.XMATCH("LC",Liste_rouge!A:A,2,1),"LC")</f>
        <v>LC</v>
      </c>
      <c r="T23623" s="7" t="str">
        <f>HYPERLINK("#Liste_rouge!A"&amp;_xlfn.XMATCH("VU",Liste_rouge!A:A,2,1),"VU")</f>
        <v>VU</v>
      </c>
      <c r="U23623" s="4" t="str">
        <f>HYPERLINK("#Critères_liste_rouge!A$1","D2")</f>
        <v>D2</v>
      </c>
      <c r="V23623" s="7" t="str">
        <f>HYPERLINK("#Liste_rouge!A"&amp;_xlfn.XMATCH("LC",Liste_rouge!A:A,2,1),"LC")</f>
        <v>LC</v>
      </c>
      <c r="X23623" s="5" t="s">
        <v>374</v>
      </c>
      <c r="AB23623" s="4" t="s">
        <v>93</v>
      </c>
      <c r="AH23623" s="4" t="str">
        <f>HYPERLINK("#Statut_biogéographique!A"&amp;_xlfn.XMATCH("P",Statut_biogéographique!A:A,2,1),"P")</f>
        <v>P</v>
      </c>
      <c r="AM23623" s="4" t="s">
        <v>375</v>
      </c>
      <c r="AN23623" s="4" t="s">
        <v>375</v>
      </c>
      <c r="AO23623" s="4" t="s">
        <v>375</v>
      </c>
      <c r="AP23623" s="4" t="s">
        <v>376</v>
      </c>
      <c r="AR23623" s="4" t="s">
        <v>377</v>
      </c>
    </row>
    <row r="23624" spans="1:44" ht="30">
      <c r="A23624" s="4" t="s">
        <v>24364</v>
      </c>
      <c r="B23624" s="4">
        <v>82999</v>
      </c>
      <c r="D23624" s="5" t="s">
        <v>30674</v>
      </c>
      <c r="E23624" s="6" t="str">
        <f>HYPERLINK("https://inpn.mnhn.fr/espece/cd_nom/82999","Anthyllis vulneraria L., 1753")</f>
        <v>Anthyllis vulneraria L., 1753</v>
      </c>
      <c r="F23624" s="5" t="s">
        <v>28302</v>
      </c>
      <c r="Q23624" s="7" t="str">
        <f>HYPERLINK("#Liste_rouge!A"&amp;_xlfn.XMATCH("LC",Liste_rouge!A:A,2,1),"LC")</f>
        <v>LC</v>
      </c>
      <c r="T23624" s="7" t="str">
        <f>HYPERLINK("#Liste_rouge!A"&amp;_xlfn.XMATCH("LC",Liste_rouge!A:A,2,1),"LC")</f>
        <v>LC</v>
      </c>
      <c r="V23624" s="7" t="str">
        <f>HYPERLINK("#Liste_rouge!A"&amp;_xlfn.XMATCH("LC",Liste_rouge!A:A,2,1),"LC")</f>
        <v>LC</v>
      </c>
      <c r="AH23624" s="4" t="str">
        <f>HYPERLINK("#Statut_biogéographique!A"&amp;_xlfn.XMATCH("P",Statut_biogéographique!A:A,2,1),"P")</f>
        <v>P</v>
      </c>
      <c r="AM23624" s="4" t="s">
        <v>375</v>
      </c>
      <c r="AN23624" s="4" t="s">
        <v>375</v>
      </c>
      <c r="AO23624" s="4" t="s">
        <v>375</v>
      </c>
      <c r="AP23624" s="4" t="s">
        <v>376</v>
      </c>
      <c r="AR23624" s="4" t="s">
        <v>377</v>
      </c>
    </row>
    <row r="23625" spans="1:44" ht="45">
      <c r="A23625" s="4" t="s">
        <v>24364</v>
      </c>
      <c r="B23625" s="4">
        <v>83001</v>
      </c>
      <c r="D23625" s="5" t="s">
        <v>30675</v>
      </c>
      <c r="E23625" s="6" t="str">
        <f>HYPERLINK("https://inpn.mnhn.fr/espece/cd_nom/83001","Antinoria agrostidea (DC.) Parl., 1845")</f>
        <v>Antinoria agrostidea (DC.) Parl., 1845</v>
      </c>
      <c r="F23625" s="5" t="s">
        <v>28303</v>
      </c>
      <c r="O23625" s="7" t="str">
        <f>HYPERLINK("#Liste_rouge!A"&amp;_xlfn.XMATCH("LC",Liste_rouge!A:A,2,1),"LC")</f>
        <v>LC</v>
      </c>
      <c r="Q23625" s="7" t="str">
        <f>HYPERLINK("#Liste_rouge!A"&amp;_xlfn.XMATCH("EN",Liste_rouge!A:A,2,1),"EN")</f>
        <v>EN</v>
      </c>
      <c r="T23625" s="7" t="str">
        <f>HYPERLINK("#Liste_rouge!A"&amp;_xlfn.XMATCH("NA",Liste_rouge!A:A,2,1),"NA")</f>
        <v>NA</v>
      </c>
      <c r="AE23625" s="4" t="str">
        <f>HYPERLINK("#SCAP!A"&amp;_xlfn.XMATCH("A",SCAP!A:A,2,1),"A")</f>
        <v>A</v>
      </c>
      <c r="AH23625" s="4" t="str">
        <f>HYPERLINK("#Statut_biogéographique!A"&amp;_xlfn.XMATCH("P",Statut_biogéographique!A:A,2,1),"P")</f>
        <v>P</v>
      </c>
      <c r="AP23625" s="4" t="s">
        <v>389</v>
      </c>
      <c r="AR23625" s="4" t="s">
        <v>377</v>
      </c>
    </row>
    <row r="23626" spans="1:44" ht="45">
      <c r="A23626" s="4" t="s">
        <v>24364</v>
      </c>
      <c r="B23626" s="4">
        <v>83058</v>
      </c>
      <c r="D23626" s="5" t="s">
        <v>30676</v>
      </c>
      <c r="E23626" s="6" t="str">
        <f>HYPERLINK("https://inpn.mnhn.fr/espece/cd_nom/83058","Antirrhinum majus L., 1753")</f>
        <v>Antirrhinum majus L., 1753</v>
      </c>
      <c r="F23626" s="5" t="s">
        <v>30677</v>
      </c>
      <c r="Q23626" s="7" t="str">
        <f>HYPERLINK("#Liste_rouge!A"&amp;_xlfn.XMATCH("LC",Liste_rouge!A:A,2,1),"LC")</f>
        <v>LC</v>
      </c>
      <c r="T23626" s="7" t="str">
        <f>HYPERLINK("#Liste_rouge!A"&amp;_xlfn.XMATCH("NA",Liste_rouge!A:A,2,1),"NA")</f>
        <v>NA</v>
      </c>
      <c r="AH23626" s="4" t="str">
        <f>HYPERLINK("#Statut_biogéographique!A"&amp;_xlfn.XMATCH("P",Statut_biogéographique!A:A,2,1),"P")</f>
        <v>P</v>
      </c>
      <c r="AM23626" s="4" t="s">
        <v>375</v>
      </c>
      <c r="AN23626" s="4" t="s">
        <v>375</v>
      </c>
      <c r="AO23626" s="4" t="s">
        <v>375</v>
      </c>
      <c r="AP23626" s="4" t="s">
        <v>376</v>
      </c>
      <c r="AR23626" s="4" t="s">
        <v>377</v>
      </c>
    </row>
    <row r="23627" spans="1:44" ht="45">
      <c r="A23627" s="4" t="s">
        <v>24364</v>
      </c>
      <c r="B23627" s="4">
        <v>83152</v>
      </c>
      <c r="D23627" s="5" t="s">
        <v>30678</v>
      </c>
      <c r="E23627" s="6" t="str">
        <f>HYPERLINK("https://inpn.mnhn.fr/espece/cd_nom/83152","Apera interrupta (L.) P.Beauv., 1812")</f>
        <v>Apera interrupta (L.) P.Beauv., 1812</v>
      </c>
      <c r="F23627" s="5" t="s">
        <v>30679</v>
      </c>
      <c r="Q23627" s="7" t="str">
        <f>HYPERLINK("#Liste_rouge!A"&amp;_xlfn.XMATCH("LC",Liste_rouge!A:A,2,1),"LC")</f>
        <v>LC</v>
      </c>
      <c r="T23627" s="7" t="str">
        <f>HYPERLINK("#Liste_rouge!A"&amp;_xlfn.XMATCH("VU",Liste_rouge!A:A,2,1),"VU")</f>
        <v>VU</v>
      </c>
      <c r="U23627" s="4" t="str">
        <f>HYPERLINK("#Critères_liste_rouge!A$1","EN (B2ab(iii,iv,v)c(iii,iv)) - 1")</f>
        <v>EN (B2ab(iii,iv,v)c(iii,iv)) - 1</v>
      </c>
      <c r="AB23627" s="4" t="s">
        <v>24803</v>
      </c>
      <c r="AH23627" s="4" t="str">
        <f>HYPERLINK("#Statut_biogéographique!A"&amp;_xlfn.XMATCH("P",Statut_biogéographique!A:A,2,1),"P")</f>
        <v>P</v>
      </c>
      <c r="AM23627" s="4" t="s">
        <v>375</v>
      </c>
      <c r="AN23627" s="4" t="s">
        <v>375</v>
      </c>
      <c r="AO23627" s="4" t="s">
        <v>375</v>
      </c>
      <c r="AP23627" s="4" t="s">
        <v>376</v>
      </c>
      <c r="AR23627" s="4" t="s">
        <v>377</v>
      </c>
    </row>
    <row r="23628" spans="1:44" ht="90">
      <c r="A23628" s="4" t="s">
        <v>24364</v>
      </c>
      <c r="B23628" s="4">
        <v>83156</v>
      </c>
      <c r="D23628" s="5" t="s">
        <v>30680</v>
      </c>
      <c r="E23628" s="6" t="str">
        <f>HYPERLINK("https://inpn.mnhn.fr/espece/cd_nom/83156","Apera spica-venti (L.) P.Beauv., 1812")</f>
        <v>Apera spica-venti (L.) P.Beauv., 1812</v>
      </c>
      <c r="F23628" s="5" t="s">
        <v>28304</v>
      </c>
      <c r="Q23628" s="7" t="str">
        <f>HYPERLINK("#Liste_rouge!A"&amp;_xlfn.XMATCH("LC",Liste_rouge!A:A,2,1),"LC")</f>
        <v>LC</v>
      </c>
      <c r="T23628" s="7" t="str">
        <f>HYPERLINK("#Liste_rouge!A"&amp;_xlfn.XMATCH("LC",Liste_rouge!A:A,2,1),"LC")</f>
        <v>LC</v>
      </c>
      <c r="V23628" s="7" t="str">
        <f>HYPERLINK("#Liste_rouge!A"&amp;_xlfn.XMATCH("LC",Liste_rouge!A:A,2,1),"LC")</f>
        <v>LC</v>
      </c>
      <c r="AH23628" s="4" t="str">
        <f>HYPERLINK("#Statut_biogéographique!A"&amp;_xlfn.XMATCH("P",Statut_biogéographique!A:A,2,1),"P")</f>
        <v>P</v>
      </c>
      <c r="AI23628" s="8" t="s">
        <v>30681</v>
      </c>
      <c r="AJ23628" s="4" t="s">
        <v>12248</v>
      </c>
      <c r="AM23628" s="4" t="s">
        <v>375</v>
      </c>
      <c r="AN23628" s="4" t="s">
        <v>375</v>
      </c>
      <c r="AO23628" s="4" t="s">
        <v>375</v>
      </c>
      <c r="AP23628" s="4" t="s">
        <v>376</v>
      </c>
      <c r="AR23628" s="4" t="s">
        <v>377</v>
      </c>
    </row>
    <row r="23629" spans="1:44" ht="30">
      <c r="A23629" s="4" t="s">
        <v>24364</v>
      </c>
      <c r="B23629" s="4">
        <v>83159</v>
      </c>
      <c r="D23629" s="5" t="s">
        <v>30682</v>
      </c>
      <c r="E23629" s="6" t="str">
        <f>HYPERLINK("https://inpn.mnhn.fr/espece/cd_nom/83159","Aphanes arvensis L., 1753")</f>
        <v>Aphanes arvensis L., 1753</v>
      </c>
      <c r="F23629" s="5" t="s">
        <v>30683</v>
      </c>
      <c r="P23629" s="7" t="str">
        <f>HYPERLINK("#Liste_rouge!A"&amp;_xlfn.XMATCH("LC",Liste_rouge!A:A,2,1),"LC")</f>
        <v>LC</v>
      </c>
      <c r="Q23629" s="7" t="str">
        <f>HYPERLINK("#Liste_rouge!A"&amp;_xlfn.XMATCH("LC",Liste_rouge!A:A,2,1),"LC")</f>
        <v>LC</v>
      </c>
      <c r="T23629" s="7" t="str">
        <f>HYPERLINK("#Liste_rouge!A"&amp;_xlfn.XMATCH("LC",Liste_rouge!A:A,2,1),"LC")</f>
        <v>LC</v>
      </c>
      <c r="V23629" s="7" t="str">
        <f>HYPERLINK("#Liste_rouge!A"&amp;_xlfn.XMATCH("LC",Liste_rouge!A:A,2,1),"LC")</f>
        <v>LC</v>
      </c>
      <c r="AH23629" s="4" t="str">
        <f>HYPERLINK("#Statut_biogéographique!A"&amp;_xlfn.XMATCH("P",Statut_biogéographique!A:A,2,1),"P")</f>
        <v>P</v>
      </c>
      <c r="AI23629" s="8" t="s">
        <v>30684</v>
      </c>
      <c r="AJ23629" s="4" t="s">
        <v>12248</v>
      </c>
      <c r="AM23629" s="4" t="s">
        <v>375</v>
      </c>
      <c r="AN23629" s="4" t="s">
        <v>375</v>
      </c>
      <c r="AO23629" s="4" t="s">
        <v>375</v>
      </c>
      <c r="AP23629" s="4" t="s">
        <v>376</v>
      </c>
      <c r="AR23629" s="4" t="s">
        <v>377</v>
      </c>
    </row>
    <row r="23630" spans="1:44" ht="45">
      <c r="A23630" s="4" t="s">
        <v>24364</v>
      </c>
      <c r="B23630" s="4">
        <v>83160</v>
      </c>
      <c r="D23630" s="5" t="s">
        <v>30685</v>
      </c>
      <c r="E23630" s="6" t="str">
        <f>HYPERLINK("https://inpn.mnhn.fr/espece/cd_nom/83160","Aphanes australis Rydb., 1908")</f>
        <v>Aphanes australis Rydb., 1908</v>
      </c>
      <c r="F23630" s="5" t="s">
        <v>30686</v>
      </c>
      <c r="Q23630" s="7" t="str">
        <f>HYPERLINK("#Liste_rouge!A"&amp;_xlfn.XMATCH("LC",Liste_rouge!A:A,2,1),"LC")</f>
        <v>LC</v>
      </c>
      <c r="T23630" s="7" t="str">
        <f>HYPERLINK("#Liste_rouge!A"&amp;_xlfn.XMATCH("LC",Liste_rouge!A:A,2,1),"LC")</f>
        <v>LC</v>
      </c>
      <c r="V23630" s="7" t="str">
        <f>HYPERLINK("#Liste_rouge!A"&amp;_xlfn.XMATCH("CR",Liste_rouge!A:A,2,1),"CR")</f>
        <v>CR</v>
      </c>
      <c r="W23630" s="4" t="str">
        <f>HYPERLINK("#Critères_liste_rouge!A$1","D")</f>
        <v>D</v>
      </c>
      <c r="AH23630" s="4" t="str">
        <f>HYPERLINK("#Statut_biogéographique!A"&amp;_xlfn.XMATCH("P",Statut_biogéographique!A:A,2,1),"P")</f>
        <v>P</v>
      </c>
      <c r="AM23630" s="4" t="s">
        <v>375</v>
      </c>
      <c r="AN23630" s="4" t="s">
        <v>375</v>
      </c>
      <c r="AO23630" s="4" t="s">
        <v>375</v>
      </c>
      <c r="AP23630" s="4" t="s">
        <v>376</v>
      </c>
      <c r="AR23630" s="4" t="s">
        <v>377</v>
      </c>
    </row>
    <row r="23631" spans="1:44" ht="30">
      <c r="A23631" s="4" t="s">
        <v>24364</v>
      </c>
      <c r="B23631" s="4">
        <v>83177</v>
      </c>
      <c r="D23631" s="5" t="s">
        <v>30687</v>
      </c>
      <c r="E23631" s="6" t="str">
        <f>HYPERLINK("https://inpn.mnhn.fr/espece/cd_nom/83177","Apios americana Medik., 1787")</f>
        <v>Apios americana Medik., 1787</v>
      </c>
      <c r="F23631" s="5" t="s">
        <v>30688</v>
      </c>
      <c r="Q23631" s="7" t="str">
        <f>HYPERLINK("#Liste_rouge!A"&amp;_xlfn.XMATCH("NA",Liste_rouge!A:A,2,1),"NA")</f>
        <v>NA</v>
      </c>
      <c r="AH23631" s="4" t="str">
        <f>HYPERLINK("#Statut_biogéographique!A"&amp;_xlfn.XMATCH("M",Statut_biogéographique!A:A,2,1),"M")</f>
        <v>M</v>
      </c>
      <c r="AP23631" s="4" t="s">
        <v>376</v>
      </c>
      <c r="AR23631" s="4" t="s">
        <v>377</v>
      </c>
    </row>
    <row r="23632" spans="1:44" ht="75">
      <c r="A23632" s="4" t="s">
        <v>24364</v>
      </c>
      <c r="B23632" s="4">
        <v>83195</v>
      </c>
      <c r="D23632" s="5" t="s">
        <v>30689</v>
      </c>
      <c r="E23632" s="6" t="str">
        <f>HYPERLINK("https://inpn.mnhn.fr/espece/cd_nom/83195","Apium graveolens L., 1753")</f>
        <v>Apium graveolens L., 1753</v>
      </c>
      <c r="F23632" s="5" t="s">
        <v>30690</v>
      </c>
      <c r="O23632" s="7" t="str">
        <f>HYPERLINK("#Liste_rouge!A"&amp;_xlfn.XMATCH("LC",Liste_rouge!A:A,2,1),"LC")</f>
        <v>LC</v>
      </c>
      <c r="P23632" s="7" t="str">
        <f>HYPERLINK("#Liste_rouge!A"&amp;_xlfn.XMATCH("LC",Liste_rouge!A:A,2,1),"LC")</f>
        <v>LC</v>
      </c>
      <c r="Q23632" s="7" t="str">
        <f>HYPERLINK("#Liste_rouge!A"&amp;_xlfn.XMATCH("LC",Liste_rouge!A:A,2,1),"LC")</f>
        <v>LC</v>
      </c>
      <c r="T23632" s="7" t="str">
        <f>HYPERLINK("#Liste_rouge!A"&amp;_xlfn.XMATCH("NA",Liste_rouge!A:A,2,1),"NA")</f>
        <v>NA</v>
      </c>
      <c r="V23632" s="7" t="str">
        <f>HYPERLINK("#Liste_rouge!A"&amp;_xlfn.XMATCH("RE",Liste_rouge!A:A,2,1),"RE")</f>
        <v>RE</v>
      </c>
      <c r="AH23632" s="4" t="str">
        <f>HYPERLINK("#Statut_biogéographique!A"&amp;_xlfn.XMATCH("P",Statut_biogéographique!A:A,2,1),"P")</f>
        <v>P</v>
      </c>
      <c r="AM23632" s="4" t="s">
        <v>375</v>
      </c>
      <c r="AN23632" s="4" t="s">
        <v>375</v>
      </c>
      <c r="AO23632" s="4" t="s">
        <v>375</v>
      </c>
      <c r="AP23632" s="4" t="s">
        <v>376</v>
      </c>
      <c r="AR23632" s="4" t="s">
        <v>377</v>
      </c>
    </row>
    <row r="23633" spans="1:44">
      <c r="A23633" s="4" t="s">
        <v>24364</v>
      </c>
      <c r="B23633" s="4">
        <v>83243</v>
      </c>
      <c r="D23633" s="5" t="s">
        <v>30691</v>
      </c>
      <c r="E23633" s="6" t="str">
        <f>HYPERLINK("https://inpn.mnhn.fr/espece/cd_nom/83243","Aquilegia atrata W.D.J.Koch, 1830")</f>
        <v>Aquilegia atrata W.D.J.Koch, 1830</v>
      </c>
      <c r="F23633" s="5" t="s">
        <v>30692</v>
      </c>
      <c r="Q23633" s="7" t="str">
        <f>HYPERLINK("#Liste_rouge!A"&amp;_xlfn.XMATCH("LC",Liste_rouge!A:A,2,1),"LC")</f>
        <v>LC</v>
      </c>
      <c r="V23633" s="7" t="str">
        <f>HYPERLINK("#Liste_rouge!A"&amp;_xlfn.XMATCH("LC",Liste_rouge!A:A,2,1),"LC")</f>
        <v>LC</v>
      </c>
      <c r="X23633" s="5" t="s">
        <v>374</v>
      </c>
      <c r="AB23633" s="4" t="s">
        <v>93</v>
      </c>
      <c r="AH23633" s="4" t="str">
        <f>HYPERLINK("#Statut_biogéographique!A"&amp;_xlfn.XMATCH("P",Statut_biogéographique!A:A,2,1),"P")</f>
        <v>P</v>
      </c>
      <c r="AM23633" s="4" t="s">
        <v>375</v>
      </c>
      <c r="AN23633" s="4" t="s">
        <v>375</v>
      </c>
      <c r="AO23633" s="4" t="s">
        <v>375</v>
      </c>
      <c r="AP23633" s="4" t="s">
        <v>376</v>
      </c>
      <c r="AR23633" s="4" t="s">
        <v>377</v>
      </c>
    </row>
    <row r="23634" spans="1:44" ht="60">
      <c r="A23634" s="4" t="s">
        <v>24364</v>
      </c>
      <c r="B23634" s="4">
        <v>83267</v>
      </c>
      <c r="D23634" s="5" t="s">
        <v>30693</v>
      </c>
      <c r="E23634" s="6" t="str">
        <f>HYPERLINK("https://inpn.mnhn.fr/espece/cd_nom/83267","Aquilegia vulgaris L., 1753")</f>
        <v>Aquilegia vulgaris L., 1753</v>
      </c>
      <c r="F23634" s="5" t="s">
        <v>28305</v>
      </c>
      <c r="Q23634" s="7" t="str">
        <f>HYPERLINK("#Liste_rouge!A"&amp;_xlfn.XMATCH("LC",Liste_rouge!A:A,2,1),"LC")</f>
        <v>LC</v>
      </c>
      <c r="T23634" s="7" t="str">
        <f>HYPERLINK("#Liste_rouge!A"&amp;_xlfn.XMATCH("LC",Liste_rouge!A:A,2,1),"LC")</f>
        <v>LC</v>
      </c>
      <c r="V23634" s="7" t="str">
        <f>HYPERLINK("#Liste_rouge!A"&amp;_xlfn.XMATCH("LC",Liste_rouge!A:A,2,1),"LC")</f>
        <v>LC</v>
      </c>
      <c r="AH23634" s="4" t="str">
        <f>HYPERLINK("#Statut_biogéographique!A"&amp;_xlfn.XMATCH("P",Statut_biogéographique!A:A,2,1),"P")</f>
        <v>P</v>
      </c>
      <c r="AM23634" s="4" t="s">
        <v>375</v>
      </c>
      <c r="AN23634" s="4" t="s">
        <v>375</v>
      </c>
      <c r="AO23634" s="4" t="s">
        <v>375</v>
      </c>
      <c r="AP23634" s="4" t="s">
        <v>376</v>
      </c>
      <c r="AR23634" s="4" t="s">
        <v>377</v>
      </c>
    </row>
    <row r="23635" spans="1:44" ht="45">
      <c r="A23635" s="4" t="s">
        <v>24364</v>
      </c>
      <c r="B23635" s="4">
        <v>83272</v>
      </c>
      <c r="D23635" s="5" t="s">
        <v>30694</v>
      </c>
      <c r="E23635" s="6" t="str">
        <f>HYPERLINK("https://inpn.mnhn.fr/espece/cd_nom/83272","Arabidopsis thaliana (L.) Heynh., 1842")</f>
        <v>Arabidopsis thaliana (L.) Heynh., 1842</v>
      </c>
      <c r="F23635" s="5" t="s">
        <v>30695</v>
      </c>
      <c r="Q23635" s="7" t="str">
        <f>HYPERLINK("#Liste_rouge!A"&amp;_xlfn.XMATCH("LC",Liste_rouge!A:A,2,1),"LC")</f>
        <v>LC</v>
      </c>
      <c r="T23635" s="7" t="str">
        <f>HYPERLINK("#Liste_rouge!A"&amp;_xlfn.XMATCH("LC",Liste_rouge!A:A,2,1),"LC")</f>
        <v>LC</v>
      </c>
      <c r="V23635" s="7" t="str">
        <f>HYPERLINK("#Liste_rouge!A"&amp;_xlfn.XMATCH("LC",Liste_rouge!A:A,2,1),"LC")</f>
        <v>LC</v>
      </c>
      <c r="AH23635" s="4" t="str">
        <f>HYPERLINK("#Statut_biogéographique!A"&amp;_xlfn.XMATCH("P",Statut_biogéographique!A:A,2,1),"P")</f>
        <v>P</v>
      </c>
      <c r="AM23635" s="4" t="s">
        <v>375</v>
      </c>
      <c r="AN23635" s="4" t="s">
        <v>375</v>
      </c>
      <c r="AO23635" s="4" t="s">
        <v>375</v>
      </c>
      <c r="AP23635" s="4" t="s">
        <v>376</v>
      </c>
      <c r="AR23635" s="4" t="s">
        <v>377</v>
      </c>
    </row>
    <row r="23636" spans="1:44" ht="75">
      <c r="A23636" s="4" t="s">
        <v>24364</v>
      </c>
      <c r="B23636" s="4">
        <v>83279</v>
      </c>
      <c r="D23636" s="5" t="s">
        <v>30696</v>
      </c>
      <c r="E23636" s="6" t="str">
        <f>HYPERLINK("https://inpn.mnhn.fr/espece/cd_nom/83279","Arabis alpina L., 1753")</f>
        <v>Arabis alpina L., 1753</v>
      </c>
      <c r="F23636" s="5" t="s">
        <v>30697</v>
      </c>
      <c r="M23636" s="4" t="str">
        <f>HYPERLINK("#Réglementation!A"&amp;_xlfn.XMATCH("RV26",Réglementation!A:A,2,1),"RV26")</f>
        <v>RV26</v>
      </c>
      <c r="Q23636" s="7" t="str">
        <f>HYPERLINK("#Liste_rouge!A"&amp;_xlfn.XMATCH("LC",Liste_rouge!A:A,2,1),"LC")</f>
        <v>LC</v>
      </c>
      <c r="T23636" s="7" t="str">
        <f>HYPERLINK("#Liste_rouge!A"&amp;_xlfn.XMATCH("VU",Liste_rouge!A:A,2,1),"VU")</f>
        <v>VU</v>
      </c>
      <c r="U23636" s="4" t="str">
        <f>HYPERLINK("#Critères_liste_rouge!A$1","D1")</f>
        <v>D1</v>
      </c>
      <c r="V23636" s="7" t="str">
        <f>HYPERLINK("#Liste_rouge!A"&amp;_xlfn.XMATCH("LC",Liste_rouge!A:A,2,1),"LC")</f>
        <v>LC</v>
      </c>
      <c r="AB23636" s="4" t="s">
        <v>24634</v>
      </c>
      <c r="AH23636" s="4" t="str">
        <f>HYPERLINK("#Statut_biogéographique!A"&amp;_xlfn.XMATCH("P",Statut_biogéographique!A:A,2,1),"P")</f>
        <v>P</v>
      </c>
      <c r="AM23636" s="4" t="s">
        <v>375</v>
      </c>
      <c r="AN23636" s="4" t="s">
        <v>375</v>
      </c>
      <c r="AO23636" s="4" t="s">
        <v>375</v>
      </c>
      <c r="AP23636" s="4" t="s">
        <v>376</v>
      </c>
      <c r="AR23636" s="4" t="s">
        <v>377</v>
      </c>
    </row>
    <row r="23637" spans="1:44" ht="60">
      <c r="A23637" s="4" t="s">
        <v>24364</v>
      </c>
      <c r="B23637" s="4">
        <v>83285</v>
      </c>
      <c r="D23637" s="5" t="s">
        <v>30698</v>
      </c>
      <c r="E23637" s="6" t="str">
        <f>HYPERLINK("https://inpn.mnhn.fr/espece/cd_nom/83285","Arabis auriculata Lam., 1783")</f>
        <v>Arabis auriculata Lam., 1783</v>
      </c>
      <c r="F23637" s="5" t="s">
        <v>30699</v>
      </c>
      <c r="Q23637" s="7" t="str">
        <f>HYPERLINK("#Liste_rouge!A"&amp;_xlfn.XMATCH("LC",Liste_rouge!A:A,2,1),"LC")</f>
        <v>LC</v>
      </c>
      <c r="V23637" s="7" t="str">
        <f>HYPERLINK("#Liste_rouge!A"&amp;_xlfn.XMATCH("CR",Liste_rouge!A:A,2,1),"CR")</f>
        <v>CR</v>
      </c>
      <c r="W23637" s="4" t="str">
        <f>HYPERLINK("#Critères_liste_rouge!A$1","D")</f>
        <v>D</v>
      </c>
      <c r="X23637" s="5" t="s">
        <v>374</v>
      </c>
      <c r="AB23637" s="4" t="s">
        <v>93</v>
      </c>
      <c r="AH23637" s="4" t="str">
        <f>HYPERLINK("#Statut_biogéographique!A"&amp;_xlfn.XMATCH("P",Statut_biogéographique!A:A,2,1),"P")</f>
        <v>P</v>
      </c>
      <c r="AM23637" s="4" t="s">
        <v>375</v>
      </c>
      <c r="AN23637" s="4" t="s">
        <v>375</v>
      </c>
      <c r="AO23637" s="4" t="s">
        <v>375</v>
      </c>
      <c r="AP23637" s="4" t="s">
        <v>376</v>
      </c>
      <c r="AR23637" s="4" t="s">
        <v>377</v>
      </c>
    </row>
    <row r="23638" spans="1:44" ht="30">
      <c r="A23638" s="4" t="s">
        <v>24364</v>
      </c>
      <c r="B23638" s="4">
        <v>83299</v>
      </c>
      <c r="D23638" s="5" t="s">
        <v>30700</v>
      </c>
      <c r="E23638" s="6" t="str">
        <f>HYPERLINK("https://inpn.mnhn.fr/espece/cd_nom/83299","Arabis caucasica Willd. ex Schltdl., 1813")</f>
        <v>Arabis caucasica Willd. ex Schltdl., 1813</v>
      </c>
      <c r="F23638" s="5" t="s">
        <v>30701</v>
      </c>
      <c r="Q23638" s="7" t="str">
        <f>HYPERLINK("#Liste_rouge!A"&amp;_xlfn.XMATCH("NA",Liste_rouge!A:A,2,1),"NA")</f>
        <v>NA</v>
      </c>
      <c r="T23638" s="7" t="str">
        <f>HYPERLINK("#Liste_rouge!A"&amp;_xlfn.XMATCH("NA",Liste_rouge!A:A,2,1),"NA")</f>
        <v>NA</v>
      </c>
      <c r="AH23638" s="4" t="str">
        <f>HYPERLINK("#Statut_biogéographique!A"&amp;_xlfn.XMATCH("I",Statut_biogéographique!A:A,2,1),"I")</f>
        <v>I</v>
      </c>
      <c r="AM23638" s="4" t="s">
        <v>375</v>
      </c>
      <c r="AN23638" s="4" t="s">
        <v>375</v>
      </c>
      <c r="AO23638" s="4" t="s">
        <v>375</v>
      </c>
      <c r="AP23638" s="4" t="s">
        <v>376</v>
      </c>
      <c r="AR23638" s="4" t="s">
        <v>377</v>
      </c>
    </row>
    <row r="23639" spans="1:44" ht="75">
      <c r="A23639" s="4" t="s">
        <v>24364</v>
      </c>
      <c r="B23639" s="4">
        <v>83303</v>
      </c>
      <c r="D23639" s="5" t="s">
        <v>30702</v>
      </c>
      <c r="E23639" s="6" t="str">
        <f>HYPERLINK("https://inpn.mnhn.fr/espece/cd_nom/83303","Arabis ciliata Clairv., 1811")</f>
        <v>Arabis ciliata Clairv., 1811</v>
      </c>
      <c r="F23639" s="5" t="s">
        <v>30703</v>
      </c>
      <c r="Q23639" s="7" t="str">
        <f>HYPERLINK("#Liste_rouge!A"&amp;_xlfn.XMATCH("LC",Liste_rouge!A:A,2,1),"LC")</f>
        <v>LC</v>
      </c>
      <c r="T23639" s="7" t="str">
        <f>HYPERLINK("#Liste_rouge!A"&amp;_xlfn.XMATCH("NE",Liste_rouge!A:A,2,1),"NE")</f>
        <v>NE</v>
      </c>
      <c r="V23639" s="7" t="str">
        <f>HYPERLINK("#Liste_rouge!A"&amp;_xlfn.XMATCH("LC",Liste_rouge!A:A,2,1),"LC")</f>
        <v>LC</v>
      </c>
      <c r="AH23639" s="4" t="str">
        <f>HYPERLINK("#Statut_biogéographique!A"&amp;_xlfn.XMATCH("P",Statut_biogéographique!A:A,2,1),"P")</f>
        <v>P</v>
      </c>
      <c r="AM23639" s="4" t="s">
        <v>375</v>
      </c>
      <c r="AN23639" s="4" t="s">
        <v>375</v>
      </c>
      <c r="AO23639" s="4" t="s">
        <v>375</v>
      </c>
      <c r="AP23639" s="4" t="s">
        <v>376</v>
      </c>
      <c r="AR23639" s="4" t="s">
        <v>377</v>
      </c>
    </row>
    <row r="23640" spans="1:44" ht="30">
      <c r="A23640" s="4" t="s">
        <v>24364</v>
      </c>
      <c r="B23640" s="4">
        <v>83306</v>
      </c>
      <c r="D23640" s="5" t="s">
        <v>30704</v>
      </c>
      <c r="E23640" s="6" t="str">
        <f>HYPERLINK("https://inpn.mnhn.fr/espece/cd_nom/83306","Arabis collina Ten., 1815")</f>
        <v>Arabis collina Ten., 1815</v>
      </c>
      <c r="F23640" s="5" t="s">
        <v>30705</v>
      </c>
      <c r="Q23640" s="7" t="str">
        <f>HYPERLINK("#Liste_rouge!A"&amp;_xlfn.XMATCH("LC",Liste_rouge!A:A,2,1),"LC")</f>
        <v>LC</v>
      </c>
      <c r="V23640" s="7" t="str">
        <f>HYPERLINK("#Liste_rouge!A"&amp;_xlfn.XMATCH("LC",Liste_rouge!A:A,2,1),"LC")</f>
        <v>LC</v>
      </c>
      <c r="AH23640" s="4" t="str">
        <f>HYPERLINK("#Statut_biogéographique!A"&amp;_xlfn.XMATCH("P",Statut_biogéographique!A:A,2,1),"P")</f>
        <v>P</v>
      </c>
      <c r="AM23640" s="4" t="s">
        <v>375</v>
      </c>
      <c r="AN23640" s="4" t="s">
        <v>375</v>
      </c>
      <c r="AO23640" s="4" t="s">
        <v>375</v>
      </c>
      <c r="AP23640" s="4" t="s">
        <v>376</v>
      </c>
      <c r="AR23640" s="4" t="s">
        <v>377</v>
      </c>
    </row>
    <row r="23641" spans="1:44" ht="105">
      <c r="A23641" s="4" t="s">
        <v>24364</v>
      </c>
      <c r="B23641" s="4">
        <v>83332</v>
      </c>
      <c r="D23641" s="5" t="s">
        <v>30706</v>
      </c>
      <c r="E23641" s="6" t="str">
        <f>HYPERLINK("https://inpn.mnhn.fr/espece/cd_nom/83332","Arabis hirsuta (L.) Scop., 1772")</f>
        <v>Arabis hirsuta (L.) Scop., 1772</v>
      </c>
      <c r="F23641" s="5" t="s">
        <v>30707</v>
      </c>
      <c r="Q23641" s="7" t="str">
        <f>HYPERLINK("#Liste_rouge!A"&amp;_xlfn.XMATCH("LC",Liste_rouge!A:A,2,1),"LC")</f>
        <v>LC</v>
      </c>
      <c r="T23641" s="7" t="str">
        <f>HYPERLINK("#Liste_rouge!A"&amp;_xlfn.XMATCH("LC",Liste_rouge!A:A,2,1),"LC")</f>
        <v>LC</v>
      </c>
      <c r="V23641" s="7" t="str">
        <f>HYPERLINK("#Liste_rouge!A"&amp;_xlfn.XMATCH("LC",Liste_rouge!A:A,2,1),"LC")</f>
        <v>LC</v>
      </c>
      <c r="AH23641" s="4" t="str">
        <f>HYPERLINK("#Statut_biogéographique!A"&amp;_xlfn.XMATCH("P",Statut_biogéographique!A:A,2,1),"P")</f>
        <v>P</v>
      </c>
      <c r="AM23641" s="4" t="s">
        <v>375</v>
      </c>
      <c r="AN23641" s="4" t="s">
        <v>375</v>
      </c>
      <c r="AO23641" s="4" t="s">
        <v>375</v>
      </c>
      <c r="AP23641" s="4" t="s">
        <v>376</v>
      </c>
      <c r="AR23641" s="4" t="s">
        <v>377</v>
      </c>
    </row>
    <row r="23642" spans="1:44" ht="45">
      <c r="A23642" s="4" t="s">
        <v>24364</v>
      </c>
      <c r="B23642" s="4">
        <v>83375</v>
      </c>
      <c r="D23642" s="5" t="s">
        <v>30708</v>
      </c>
      <c r="E23642" s="6" t="str">
        <f>HYPERLINK("https://inpn.mnhn.fr/espece/cd_nom/83375","Arabis planisiliqua (Pers.) Rchb., 1838")</f>
        <v>Arabis planisiliqua (Pers.) Rchb., 1838</v>
      </c>
      <c r="F23642" s="5" t="s">
        <v>30709</v>
      </c>
      <c r="Q23642" s="7" t="str">
        <f>HYPERLINK("#Liste_rouge!A"&amp;_xlfn.XMATCH("LC",Liste_rouge!A:A,2,1),"LC")</f>
        <v>LC</v>
      </c>
      <c r="AH23642" s="4" t="str">
        <f>HYPERLINK("#Statut_biogéographique!A"&amp;_xlfn.XMATCH("P",Statut_biogéographique!A:A,2,1),"P")</f>
        <v>P</v>
      </c>
      <c r="AM23642" s="4" t="s">
        <v>375</v>
      </c>
      <c r="AN23642" s="4" t="s">
        <v>375</v>
      </c>
      <c r="AO23642" s="4" t="s">
        <v>375</v>
      </c>
      <c r="AP23642" s="4" t="s">
        <v>376</v>
      </c>
      <c r="AR23642" s="4" t="s">
        <v>377</v>
      </c>
    </row>
    <row r="23643" spans="1:44" ht="45">
      <c r="A23643" s="4" t="s">
        <v>24364</v>
      </c>
      <c r="B23643" s="4">
        <v>83398</v>
      </c>
      <c r="D23643" s="5" t="s">
        <v>30710</v>
      </c>
      <c r="E23643" s="6" t="str">
        <f>HYPERLINK("https://inpn.mnhn.fr/espece/cd_nom/83398","Arabis sagittata (Bertol.) DC., 1815")</f>
        <v>Arabis sagittata (Bertol.) DC., 1815</v>
      </c>
      <c r="F23643" s="5" t="s">
        <v>30711</v>
      </c>
      <c r="Q23643" s="7" t="str">
        <f>HYPERLINK("#Liste_rouge!A"&amp;_xlfn.XMATCH("LC",Liste_rouge!A:A,2,1),"LC")</f>
        <v>LC</v>
      </c>
      <c r="T23643" s="7" t="str">
        <f>HYPERLINK("#Liste_rouge!A"&amp;_xlfn.XMATCH("LC",Liste_rouge!A:A,2,1),"LC")</f>
        <v>LC</v>
      </c>
      <c r="V23643" s="7" t="str">
        <f>HYPERLINK("#Liste_rouge!A"&amp;_xlfn.XMATCH("LC",Liste_rouge!A:A,2,1),"LC")</f>
        <v>LC</v>
      </c>
      <c r="AB23643" s="4" t="s">
        <v>24777</v>
      </c>
      <c r="AH23643" s="4" t="str">
        <f>HYPERLINK("#Statut_biogéographique!A"&amp;_xlfn.XMATCH("P",Statut_biogéographique!A:A,2,1),"P")</f>
        <v>P</v>
      </c>
      <c r="AM23643" s="4" t="s">
        <v>375</v>
      </c>
      <c r="AN23643" s="4" t="s">
        <v>375</v>
      </c>
      <c r="AO23643" s="4" t="s">
        <v>375</v>
      </c>
      <c r="AP23643" s="4" t="s">
        <v>376</v>
      </c>
      <c r="AR23643" s="4" t="s">
        <v>377</v>
      </c>
    </row>
    <row r="23644" spans="1:44" ht="45">
      <c r="A23644" s="4" t="s">
        <v>24364</v>
      </c>
      <c r="B23644" s="4">
        <v>83402</v>
      </c>
      <c r="D23644" s="5" t="s">
        <v>30712</v>
      </c>
      <c r="E23644" s="6" t="str">
        <f>HYPERLINK("https://inpn.mnhn.fr/espece/cd_nom/83402","Arabis scabra All., 1773")</f>
        <v>Arabis scabra All., 1773</v>
      </c>
      <c r="F23644" s="5" t="s">
        <v>30713</v>
      </c>
      <c r="M23644" s="4" t="str">
        <f>HYPERLINK("#Réglementation!A"&amp;_xlfn.XMATCH("RV43",Réglementation!A:A,2,1),"RV43")</f>
        <v>RV43</v>
      </c>
      <c r="Q23644" s="7" t="str">
        <f>HYPERLINK("#Liste_rouge!A"&amp;_xlfn.XMATCH("LC",Liste_rouge!A:A,2,1),"LC")</f>
        <v>LC</v>
      </c>
      <c r="V23644" s="7" t="str">
        <f>HYPERLINK("#Liste_rouge!A"&amp;_xlfn.XMATCH("NT",Liste_rouge!A:A,2,1),"NT")</f>
        <v>NT</v>
      </c>
      <c r="W23644" s="4" t="str">
        <f>HYPERLINK("#Critères_liste_rouge!A$1","pr. D2")</f>
        <v>pr. D2</v>
      </c>
      <c r="X23644" s="5" t="s">
        <v>374</v>
      </c>
      <c r="AB23644" s="4" t="s">
        <v>93</v>
      </c>
      <c r="AH23644" s="4" t="str">
        <f>HYPERLINK("#Statut_biogéographique!A"&amp;_xlfn.XMATCH("P",Statut_biogéographique!A:A,2,1),"P")</f>
        <v>P</v>
      </c>
      <c r="AM23644" s="4" t="s">
        <v>375</v>
      </c>
      <c r="AN23644" s="4" t="s">
        <v>375</v>
      </c>
      <c r="AO23644" s="4" t="s">
        <v>375</v>
      </c>
      <c r="AP23644" s="4" t="s">
        <v>376</v>
      </c>
      <c r="AR23644" s="4" t="s">
        <v>377</v>
      </c>
    </row>
    <row r="23645" spans="1:44" ht="30">
      <c r="A23645" s="4" t="s">
        <v>24364</v>
      </c>
      <c r="B23645" s="4">
        <v>83465</v>
      </c>
      <c r="D23645" s="5" t="s">
        <v>30714</v>
      </c>
      <c r="E23645" s="6" t="str">
        <f>HYPERLINK("https://inpn.mnhn.fr/espece/cd_nom/83465","Araucaria araucana (Molina) K.Koch, 1873")</f>
        <v>Araucaria araucana (Molina) K.Koch, 1873</v>
      </c>
      <c r="F23645" s="5" t="s">
        <v>30715</v>
      </c>
      <c r="O23645" s="7" t="str">
        <f>HYPERLINK("#Liste_rouge!A"&amp;_xlfn.XMATCH("EN",Liste_rouge!A:A,2,1),"EN")</f>
        <v>EN</v>
      </c>
      <c r="Q23645" s="7" t="str">
        <f>HYPERLINK("#Liste_rouge!A"&amp;_xlfn.XMATCH("NA",Liste_rouge!A:A,2,1),"NA")</f>
        <v>NA</v>
      </c>
      <c r="T23645" s="7" t="str">
        <f>HYPERLINK("#Liste_rouge!A"&amp;_xlfn.XMATCH("NA",Liste_rouge!A:A,2,1),"NA")</f>
        <v>NA</v>
      </c>
      <c r="AH23645" s="4" t="str">
        <f>HYPERLINK("#Statut_biogéographique!A"&amp;_xlfn.XMATCH("M",Statut_biogéographique!A:A,2,1),"M")</f>
        <v>M</v>
      </c>
      <c r="AP23645" s="4" t="s">
        <v>376</v>
      </c>
      <c r="AR23645" s="4" t="s">
        <v>377</v>
      </c>
    </row>
    <row r="23646" spans="1:44" ht="45">
      <c r="A23646" s="4" t="s">
        <v>24364</v>
      </c>
      <c r="B23646" s="4">
        <v>83499</v>
      </c>
      <c r="D23646" s="5" t="s">
        <v>30716</v>
      </c>
      <c r="E23646" s="6" t="str">
        <f>HYPERLINK("https://inpn.mnhn.fr/espece/cd_nom/83499","Arctium lappa L., 1753")</f>
        <v>Arctium lappa L., 1753</v>
      </c>
      <c r="F23646" s="5" t="s">
        <v>30717</v>
      </c>
      <c r="P23646" s="7" t="str">
        <f>HYPERLINK("#Liste_rouge!A"&amp;_xlfn.XMATCH("LC",Liste_rouge!A:A,2,1),"LC")</f>
        <v>LC</v>
      </c>
      <c r="Q23646" s="7" t="str">
        <f>HYPERLINK("#Liste_rouge!A"&amp;_xlfn.XMATCH("LC",Liste_rouge!A:A,2,1),"LC")</f>
        <v>LC</v>
      </c>
      <c r="T23646" s="7" t="str">
        <f>HYPERLINK("#Liste_rouge!A"&amp;_xlfn.XMATCH("LC",Liste_rouge!A:A,2,1),"LC")</f>
        <v>LC</v>
      </c>
      <c r="V23646" s="7" t="str">
        <f>HYPERLINK("#Liste_rouge!A"&amp;_xlfn.XMATCH("LC",Liste_rouge!A:A,2,1),"LC")</f>
        <v>LC</v>
      </c>
      <c r="AH23646" s="4" t="str">
        <f>HYPERLINK("#Statut_biogéographique!A"&amp;_xlfn.XMATCH("P",Statut_biogéographique!A:A,2,1),"P")</f>
        <v>P</v>
      </c>
      <c r="AM23646" s="4" t="s">
        <v>375</v>
      </c>
      <c r="AN23646" s="4" t="s">
        <v>375</v>
      </c>
      <c r="AO23646" s="4" t="s">
        <v>375</v>
      </c>
      <c r="AP23646" s="4" t="s">
        <v>376</v>
      </c>
      <c r="AR23646" s="4" t="s">
        <v>377</v>
      </c>
    </row>
    <row r="23647" spans="1:44" ht="45">
      <c r="A23647" s="4" t="s">
        <v>24364</v>
      </c>
      <c r="B23647" s="4">
        <v>83502</v>
      </c>
      <c r="D23647" s="5" t="s">
        <v>30718</v>
      </c>
      <c r="E23647" s="6" t="str">
        <f>HYPERLINK("https://inpn.mnhn.fr/espece/cd_nom/83502","Arctium minus (Hill) Bernh., 1800")</f>
        <v>Arctium minus (Hill) Bernh., 1800</v>
      </c>
      <c r="F23647" s="5" t="s">
        <v>30719</v>
      </c>
      <c r="Q23647" s="7" t="str">
        <f>HYPERLINK("#Liste_rouge!A"&amp;_xlfn.XMATCH("LC",Liste_rouge!A:A,2,1),"LC")</f>
        <v>LC</v>
      </c>
      <c r="T23647" s="7" t="str">
        <f>HYPERLINK("#Liste_rouge!A"&amp;_xlfn.XMATCH("LC",Liste_rouge!A:A,2,1),"LC")</f>
        <v>LC</v>
      </c>
      <c r="V23647" s="7" t="str">
        <f>HYPERLINK("#Liste_rouge!A"&amp;_xlfn.XMATCH("LC",Liste_rouge!A:A,2,1),"LC")</f>
        <v>LC</v>
      </c>
      <c r="AH23647" s="4" t="str">
        <f>HYPERLINK("#Statut_biogéographique!A"&amp;_xlfn.XMATCH("P",Statut_biogéographique!A:A,2,1),"P")</f>
        <v>P</v>
      </c>
      <c r="AM23647" s="4" t="s">
        <v>375</v>
      </c>
      <c r="AN23647" s="4" t="s">
        <v>375</v>
      </c>
      <c r="AO23647" s="4" t="s">
        <v>375</v>
      </c>
      <c r="AP23647" s="4" t="s">
        <v>376</v>
      </c>
      <c r="AR23647" s="4" t="s">
        <v>377</v>
      </c>
    </row>
    <row r="23648" spans="1:44" ht="45">
      <c r="A23648" s="4" t="s">
        <v>24364</v>
      </c>
      <c r="B23648" s="4">
        <v>83503</v>
      </c>
      <c r="D23648" s="5" t="s">
        <v>30720</v>
      </c>
      <c r="E23648" s="6" t="str">
        <f>HYPERLINK("https://inpn.mnhn.fr/espece/cd_nom/83503","Arctium nemorosum Lej., 1833")</f>
        <v>Arctium nemorosum Lej., 1833</v>
      </c>
      <c r="F23648" s="5" t="s">
        <v>30721</v>
      </c>
      <c r="M23648" s="4" t="str">
        <f>HYPERLINK("#Réglementation!A"&amp;_xlfn.XMATCH("RV43",Réglementation!A:A,2,1),"RV43")</f>
        <v>RV43</v>
      </c>
      <c r="Q23648" s="7" t="str">
        <f>HYPERLINK("#Liste_rouge!A"&amp;_xlfn.XMATCH("LC",Liste_rouge!A:A,2,1),"LC")</f>
        <v>LC</v>
      </c>
      <c r="T23648" s="7" t="str">
        <f>HYPERLINK("#Liste_rouge!A"&amp;_xlfn.XMATCH("VU",Liste_rouge!A:A,2,1),"VU")</f>
        <v>VU</v>
      </c>
      <c r="U23648" s="4" t="str">
        <f>HYPERLINK("#Critères_liste_rouge!A$1","D2")</f>
        <v>D2</v>
      </c>
      <c r="V23648" s="7" t="str">
        <f>HYPERLINK("#Liste_rouge!A"&amp;_xlfn.XMATCH("LC",Liste_rouge!A:A,2,1),"LC")</f>
        <v>LC</v>
      </c>
      <c r="AB23648" s="4" t="s">
        <v>28027</v>
      </c>
      <c r="AH23648" s="4" t="str">
        <f>HYPERLINK("#Statut_biogéographique!A"&amp;_xlfn.XMATCH("P",Statut_biogéographique!A:A,2,1),"P")</f>
        <v>P</v>
      </c>
      <c r="AM23648" s="4" t="s">
        <v>375</v>
      </c>
      <c r="AN23648" s="4" t="s">
        <v>375</v>
      </c>
      <c r="AO23648" s="4" t="s">
        <v>375</v>
      </c>
      <c r="AP23648" s="4" t="s">
        <v>376</v>
      </c>
      <c r="AR23648" s="4" t="s">
        <v>377</v>
      </c>
    </row>
    <row r="23649" spans="1:44">
      <c r="A23649" s="4" t="s">
        <v>24364</v>
      </c>
      <c r="B23649" s="4">
        <v>83507</v>
      </c>
      <c r="D23649" s="5" t="s">
        <v>30722</v>
      </c>
      <c r="E23649" s="6" t="str">
        <f>HYPERLINK("https://inpn.mnhn.fr/espece/cd_nom/83507","Arctium tomentosum Mill., 1768")</f>
        <v>Arctium tomentosum Mill., 1768</v>
      </c>
      <c r="F23649" s="5" t="s">
        <v>30723</v>
      </c>
      <c r="Q23649" s="7" t="str">
        <f>HYPERLINK("#Liste_rouge!A"&amp;_xlfn.XMATCH("LC",Liste_rouge!A:A,2,1),"LC")</f>
        <v>LC</v>
      </c>
      <c r="T23649" s="7" t="str">
        <f>HYPERLINK("#Liste_rouge!A"&amp;_xlfn.XMATCH("NT",Liste_rouge!A:A,2,1),"NT")</f>
        <v>NT</v>
      </c>
      <c r="U23649" s="4" t="str">
        <f>HYPERLINK("#Critères_liste_rouge!A$1","pr. B2a")</f>
        <v>pr. B2a</v>
      </c>
      <c r="V23649" s="7" t="str">
        <f>HYPERLINK("#Liste_rouge!A"&amp;_xlfn.XMATCH("LC",Liste_rouge!A:A,2,1),"LC")</f>
        <v>LC</v>
      </c>
      <c r="AB23649" s="4" t="s">
        <v>24803</v>
      </c>
      <c r="AH23649" s="4" t="str">
        <f>HYPERLINK("#Statut_biogéographique!A"&amp;_xlfn.XMATCH("P",Statut_biogéographique!A:A,2,1),"P")</f>
        <v>P</v>
      </c>
      <c r="AM23649" s="4" t="s">
        <v>375</v>
      </c>
      <c r="AN23649" s="4" t="s">
        <v>375</v>
      </c>
      <c r="AO23649" s="4" t="s">
        <v>375</v>
      </c>
      <c r="AP23649" s="4" t="s">
        <v>376</v>
      </c>
      <c r="AR23649" s="4" t="s">
        <v>377</v>
      </c>
    </row>
    <row r="23650" spans="1:44" ht="30">
      <c r="A23650" s="4" t="s">
        <v>24364</v>
      </c>
      <c r="B23650" s="4">
        <v>83509</v>
      </c>
      <c r="D23650" s="5" t="s">
        <v>30724</v>
      </c>
      <c r="E23650" s="6" t="str">
        <f>HYPERLINK("https://inpn.mnhn.fr/espece/cd_nom/83509","Arctium x ambiguum (Čelak.) Beck ex Nyman, 1889")</f>
        <v>Arctium x ambiguum (Čelak.) Beck ex Nyman, 1889</v>
      </c>
      <c r="F23650" s="5" t="s">
        <v>30725</v>
      </c>
      <c r="T23650" s="7" t="str">
        <f>HYPERLINK("#Liste_rouge!A"&amp;_xlfn.XMATCH("NE",Liste_rouge!A:A,2,1),"NE")</f>
        <v>NE</v>
      </c>
      <c r="AH23650" s="4" t="str">
        <f>HYPERLINK("#Statut_biogéographique!A"&amp;_xlfn.XMATCH("D",Statut_biogéographique!A:A,2,1),"D")</f>
        <v>D</v>
      </c>
      <c r="AP23650" s="4" t="s">
        <v>376</v>
      </c>
      <c r="AR23650" s="4" t="s">
        <v>377</v>
      </c>
    </row>
    <row r="23651" spans="1:44">
      <c r="A23651" s="4" t="s">
        <v>24364</v>
      </c>
      <c r="B23651" s="4">
        <v>83515</v>
      </c>
      <c r="D23651" s="5" t="s">
        <v>30726</v>
      </c>
      <c r="E23651" s="6" t="str">
        <f>HYPERLINK("https://inpn.mnhn.fr/espece/cd_nom/83515","Arctium x maassii (M.Schulze) Rouy, 1905")</f>
        <v>Arctium x maassii (M.Schulze) Rouy, 1905</v>
      </c>
      <c r="F23651" s="5" t="s">
        <v>30727</v>
      </c>
      <c r="T23651" s="7" t="str">
        <f>HYPERLINK("#Liste_rouge!A"&amp;_xlfn.XMATCH("DD",Liste_rouge!A:A,2,1),"DD")</f>
        <v>DD</v>
      </c>
      <c r="AH23651" s="4" t="str">
        <f>HYPERLINK("#Statut_biogéographique!A"&amp;_xlfn.XMATCH("D",Statut_biogéographique!A:A,2,1),"D")</f>
        <v>D</v>
      </c>
      <c r="AP23651" s="4" t="s">
        <v>376</v>
      </c>
      <c r="AR23651" s="4" t="s">
        <v>377</v>
      </c>
    </row>
    <row r="23652" spans="1:44" ht="30">
      <c r="A23652" s="4" t="s">
        <v>24364</v>
      </c>
      <c r="B23652" s="4">
        <v>83519</v>
      </c>
      <c r="D23652" s="5" t="s">
        <v>30728</v>
      </c>
      <c r="E23652" s="6" t="str">
        <f>HYPERLINK("https://inpn.mnhn.fr/espece/cd_nom/83519","Arctium x nothum (Ruhmer) J.Weiss, 1902")</f>
        <v>Arctium x nothum (Ruhmer) J.Weiss, 1902</v>
      </c>
      <c r="F23652" s="5" t="s">
        <v>30729</v>
      </c>
      <c r="T23652" s="7" t="str">
        <f>HYPERLINK("#Liste_rouge!A"&amp;_xlfn.XMATCH("DD",Liste_rouge!A:A,2,1),"DD")</f>
        <v>DD</v>
      </c>
      <c r="AH23652" s="4" t="str">
        <f>HYPERLINK("#Statut_biogéographique!A"&amp;_xlfn.XMATCH("P",Statut_biogéographique!A:A,2,1),"P")</f>
        <v>P</v>
      </c>
      <c r="AP23652" s="4" t="s">
        <v>376</v>
      </c>
      <c r="AR23652" s="4" t="s">
        <v>377</v>
      </c>
    </row>
    <row r="23653" spans="1:44">
      <c r="A23653" s="4" t="s">
        <v>24364</v>
      </c>
      <c r="B23653" s="4">
        <v>83521</v>
      </c>
      <c r="D23653" s="5">
        <v>83521</v>
      </c>
      <c r="E23653" s="6" t="str">
        <f>HYPERLINK("https://inpn.mnhn.fr/espece/cd_nom/83521","Arctium x scanicum Rouy, 1905")</f>
        <v>Arctium x scanicum Rouy, 1905</v>
      </c>
      <c r="F23653" s="5" t="s">
        <v>30730</v>
      </c>
      <c r="AH23653" s="4" t="str">
        <f>HYPERLINK("#Statut_biogéographique!A"&amp;_xlfn.XMATCH("D",Statut_biogéographique!A:A,2,1),"D")</f>
        <v>D</v>
      </c>
      <c r="AP23653" s="4" t="s">
        <v>376</v>
      </c>
      <c r="AR23653" s="4" t="s">
        <v>377</v>
      </c>
    </row>
    <row r="23654" spans="1:44" ht="75">
      <c r="A23654" s="4" t="s">
        <v>24364</v>
      </c>
      <c r="B23654" s="4">
        <v>83528</v>
      </c>
      <c r="D23654" s="5" t="s">
        <v>30731</v>
      </c>
      <c r="E23654" s="6" t="str">
        <f>HYPERLINK("https://inpn.mnhn.fr/espece/cd_nom/83528","Arctostaphylos uva-ursi (L.) Spreng., 1825")</f>
        <v>Arctostaphylos uva-ursi (L.) Spreng., 1825</v>
      </c>
      <c r="F23654" s="5" t="s">
        <v>30732</v>
      </c>
      <c r="P23654" s="7" t="str">
        <f>HYPERLINK("#Liste_rouge!A"&amp;_xlfn.XMATCH("LC",Liste_rouge!A:A,2,1),"LC")</f>
        <v>LC</v>
      </c>
      <c r="Q23654" s="7" t="str">
        <f>HYPERLINK("#Liste_rouge!A"&amp;_xlfn.XMATCH("LC",Liste_rouge!A:A,2,1),"LC")</f>
        <v>LC</v>
      </c>
      <c r="T23654" s="7" t="str">
        <f>HYPERLINK("#Liste_rouge!A"&amp;_xlfn.XMATCH("RE",Liste_rouge!A:A,2,1),"RE (cd_nom 83528) - NE (cd_nom 143754)")</f>
        <v>RE (cd_nom 83528) - NE (cd_nom 143754)</v>
      </c>
      <c r="V23654" s="7" t="str">
        <f>HYPERLINK("#Liste_rouge!A"&amp;_xlfn.XMATCH("NT",Liste_rouge!A:A,2,1),"NT")</f>
        <v>NT</v>
      </c>
      <c r="W23654" s="4" t="str">
        <f>HYPERLINK("#Critères_liste_rouge!A$1","pr. D2")</f>
        <v>pr. D2</v>
      </c>
      <c r="X23654" s="5" t="s">
        <v>374</v>
      </c>
      <c r="AB23654" s="4" t="s">
        <v>93</v>
      </c>
      <c r="AH23654" s="4" t="str">
        <f>HYPERLINK("#Statut_biogéographique!A"&amp;_xlfn.XMATCH("P",Statut_biogéographique!A:A,2,1),"P")</f>
        <v>P</v>
      </c>
      <c r="AM23654" s="4" t="s">
        <v>375</v>
      </c>
      <c r="AN23654" s="4" t="s">
        <v>375</v>
      </c>
      <c r="AO23654" s="4" t="s">
        <v>375</v>
      </c>
      <c r="AP23654" s="4" t="s">
        <v>376</v>
      </c>
      <c r="AR23654" s="4" t="s">
        <v>377</v>
      </c>
    </row>
    <row r="23655" spans="1:44">
      <c r="A23655" s="4" t="s">
        <v>24364</v>
      </c>
      <c r="B23655" s="4">
        <v>83565</v>
      </c>
      <c r="D23655" s="5" t="s">
        <v>30733</v>
      </c>
      <c r="E23655" s="6" t="str">
        <f>HYPERLINK("https://inpn.mnhn.fr/espece/cd_nom/83565","Arenaria controversa Boiss., 1840")</f>
        <v>Arenaria controversa Boiss., 1840</v>
      </c>
      <c r="F23655" s="5" t="s">
        <v>30734</v>
      </c>
      <c r="L23655" s="4" t="str">
        <f>HYPERLINK("#Réglementation!A"&amp;_xlfn.XMATCH("NV1",Réglementation!A:A,2,1),"NV1")</f>
        <v>NV1</v>
      </c>
      <c r="Q23655" s="7" t="str">
        <f>HYPERLINK("#Liste_rouge!A"&amp;_xlfn.XMATCH("LC",Liste_rouge!A:A,2,1),"LC")</f>
        <v>LC</v>
      </c>
      <c r="T23655" s="7" t="str">
        <f>HYPERLINK("#Liste_rouge!A"&amp;_xlfn.XMATCH("NA",Liste_rouge!A:A,2,1),"NA")</f>
        <v>NA</v>
      </c>
      <c r="AE23655" s="4" t="str">
        <f>HYPERLINK("#SCAP!A"&amp;_xlfn.XMATCH("A",SCAP!A:A,2,1),"A")</f>
        <v>A</v>
      </c>
      <c r="AH23655" s="4" t="str">
        <f>HYPERLINK("#Statut_biogéographique!A"&amp;_xlfn.XMATCH("P",Statut_biogéographique!A:A,2,1),"P")</f>
        <v>P</v>
      </c>
      <c r="AP23655" s="4" t="s">
        <v>376</v>
      </c>
      <c r="AR23655" s="4" t="s">
        <v>377</v>
      </c>
    </row>
    <row r="23656" spans="1:44" ht="45">
      <c r="A23656" s="4" t="s">
        <v>24364</v>
      </c>
      <c r="B23656" s="4">
        <v>83596</v>
      </c>
      <c r="D23656" s="5" t="s">
        <v>30735</v>
      </c>
      <c r="E23656" s="6" t="str">
        <f>HYPERLINK("https://inpn.mnhn.fr/espece/cd_nom/83596","Arenaria leptoclados (Rchb.) Guss., 1844")</f>
        <v>Arenaria leptoclados (Rchb.) Guss., 1844</v>
      </c>
      <c r="F23656" s="5" t="s">
        <v>30736</v>
      </c>
      <c r="Q23656" s="7" t="str">
        <f>HYPERLINK("#Liste_rouge!A"&amp;_xlfn.XMATCH("LC",Liste_rouge!A:A,2,1),"LC")</f>
        <v>LC</v>
      </c>
      <c r="T23656" s="7" t="str">
        <f>HYPERLINK("#Liste_rouge!A"&amp;_xlfn.XMATCH("LC",Liste_rouge!A:A,2,1),"LC")</f>
        <v>LC</v>
      </c>
      <c r="V23656" s="7" t="str">
        <f>HYPERLINK("#Liste_rouge!A"&amp;_xlfn.XMATCH("DD",Liste_rouge!A:A,2,1),"DD")</f>
        <v>DD</v>
      </c>
      <c r="AH23656" s="4" t="str">
        <f>HYPERLINK("#Statut_biogéographique!A"&amp;_xlfn.XMATCH("P",Statut_biogéographique!A:A,2,1),"P")</f>
        <v>P</v>
      </c>
      <c r="AM23656" s="4" t="s">
        <v>375</v>
      </c>
      <c r="AN23656" s="4" t="s">
        <v>375</v>
      </c>
      <c r="AO23656" s="4" t="s">
        <v>375</v>
      </c>
      <c r="AP23656" s="4" t="s">
        <v>376</v>
      </c>
      <c r="AR23656" s="4" t="s">
        <v>377</v>
      </c>
    </row>
    <row r="23657" spans="1:44">
      <c r="A23657" s="4" t="s">
        <v>24364</v>
      </c>
      <c r="B23657" s="4">
        <v>83617</v>
      </c>
      <c r="D23657" s="5" t="s">
        <v>30737</v>
      </c>
      <c r="E23657" s="6" t="str">
        <f>HYPERLINK("https://inpn.mnhn.fr/espece/cd_nom/83617","Arenaria montana L., 1755")</f>
        <v>Arenaria montana L., 1755</v>
      </c>
      <c r="F23657" s="5" t="s">
        <v>28308</v>
      </c>
      <c r="Q23657" s="7" t="str">
        <f>HYPERLINK("#Liste_rouge!A"&amp;_xlfn.XMATCH("LC",Liste_rouge!A:A,2,1),"LC")</f>
        <v>LC</v>
      </c>
      <c r="T23657" s="7" t="str">
        <f>HYPERLINK("#Liste_rouge!A"&amp;_xlfn.XMATCH("NA",Liste_rouge!A:A,2,1),"NA")</f>
        <v>NA</v>
      </c>
      <c r="AH23657" s="4" t="str">
        <f>HYPERLINK("#Statut_biogéographique!A"&amp;_xlfn.XMATCH("P",Statut_biogéographique!A:A,2,1),"P")</f>
        <v>P</v>
      </c>
      <c r="AP23657" s="4" t="s">
        <v>376</v>
      </c>
      <c r="AR23657" s="4" t="s">
        <v>377</v>
      </c>
    </row>
    <row r="23658" spans="1:44" ht="75">
      <c r="A23658" s="4" t="s">
        <v>24364</v>
      </c>
      <c r="B23658" s="4">
        <v>83653</v>
      </c>
      <c r="D23658" s="5" t="s">
        <v>30738</v>
      </c>
      <c r="E23658" s="6" t="str">
        <f>HYPERLINK("https://inpn.mnhn.fr/espece/cd_nom/83653","Arenaria serpyllifolia L., 1753")</f>
        <v>Arenaria serpyllifolia L., 1753</v>
      </c>
      <c r="F23658" s="5" t="s">
        <v>30739</v>
      </c>
      <c r="Q23658" s="7" t="str">
        <f>HYPERLINK("#Liste_rouge!A"&amp;_xlfn.XMATCH("LC",Liste_rouge!A:A,2,1),"LC")</f>
        <v>LC</v>
      </c>
      <c r="T23658" s="7" t="str">
        <f>HYPERLINK("#Liste_rouge!A"&amp;_xlfn.XMATCH("LC",Liste_rouge!A:A,2,1),"LC")</f>
        <v>LC</v>
      </c>
      <c r="V23658" s="7" t="str">
        <f>HYPERLINK("#Liste_rouge!A"&amp;_xlfn.XMATCH("LC",Liste_rouge!A:A,2,1),"LC")</f>
        <v>LC</v>
      </c>
      <c r="AH23658" s="4" t="str">
        <f>HYPERLINK("#Statut_biogéographique!A"&amp;_xlfn.XMATCH("P",Statut_biogéographique!A:A,2,1),"P")</f>
        <v>P</v>
      </c>
      <c r="AM23658" s="4" t="s">
        <v>375</v>
      </c>
      <c r="AN23658" s="4" t="s">
        <v>375</v>
      </c>
      <c r="AO23658" s="4" t="s">
        <v>375</v>
      </c>
      <c r="AP23658" s="4" t="s">
        <v>376</v>
      </c>
      <c r="AR23658" s="4" t="s">
        <v>377</v>
      </c>
    </row>
    <row r="23659" spans="1:44" ht="60">
      <c r="A23659" s="4" t="s">
        <v>24364</v>
      </c>
      <c r="B23659" s="4">
        <v>83714</v>
      </c>
      <c r="D23659" s="5" t="s">
        <v>30740</v>
      </c>
      <c r="E23659" s="6" t="str">
        <f>HYPERLINK("https://inpn.mnhn.fr/espece/cd_nom/83714","Argentina anserina (L.) Rydb., 1899")</f>
        <v>Argentina anserina (L.) Rydb., 1899</v>
      </c>
      <c r="F23659" s="5" t="s">
        <v>30741</v>
      </c>
      <c r="Q23659" s="7" t="str">
        <f>HYPERLINK("#Liste_rouge!A"&amp;_xlfn.XMATCH("LC",Liste_rouge!A:A,2,1),"LC")</f>
        <v>LC</v>
      </c>
      <c r="T23659" s="7" t="str">
        <f>HYPERLINK("#Liste_rouge!A"&amp;_xlfn.XMATCH("LC",Liste_rouge!A:A,2,1),"LC")</f>
        <v>LC</v>
      </c>
      <c r="V23659" s="7" t="str">
        <f>HYPERLINK("#Liste_rouge!A"&amp;_xlfn.XMATCH("LC",Liste_rouge!A:A,2,1),"LC")</f>
        <v>LC</v>
      </c>
      <c r="AH23659" s="4" t="str">
        <f>HYPERLINK("#Statut_biogéographique!A"&amp;_xlfn.XMATCH("P",Statut_biogéographique!A:A,2,1),"P")</f>
        <v>P</v>
      </c>
      <c r="AM23659" s="4" t="s">
        <v>375</v>
      </c>
      <c r="AN23659" s="4" t="s">
        <v>375</v>
      </c>
      <c r="AO23659" s="4" t="s">
        <v>375</v>
      </c>
      <c r="AP23659" s="4" t="s">
        <v>376</v>
      </c>
      <c r="AR23659" s="4" t="s">
        <v>377</v>
      </c>
    </row>
    <row r="23660" spans="1:44" ht="195">
      <c r="A23660" s="4" t="s">
        <v>24364</v>
      </c>
      <c r="B23660" s="4">
        <v>83732</v>
      </c>
      <c r="D23660" s="5" t="s">
        <v>30742</v>
      </c>
      <c r="E23660" s="6" t="str">
        <f>HYPERLINK("https://inpn.mnhn.fr/espece/cd_nom/83732","Aria edulis (Willd.) M.Roem., 1847")</f>
        <v>Aria edulis (Willd.) M.Roem., 1847</v>
      </c>
      <c r="F23660" s="5" t="s">
        <v>30743</v>
      </c>
      <c r="O23660" s="7" t="str">
        <f>HYPERLINK("#Liste_rouge!A"&amp;_xlfn.XMATCH("LC",Liste_rouge!A:A,2,1),"LC")</f>
        <v>LC</v>
      </c>
      <c r="P23660" s="7" t="str">
        <f>HYPERLINK("#Liste_rouge!A"&amp;_xlfn.XMATCH("LC",Liste_rouge!A:A,2,1),"LC")</f>
        <v>LC</v>
      </c>
      <c r="Q23660" s="7" t="str">
        <f>HYPERLINK("#Liste_rouge!A"&amp;_xlfn.XMATCH("LC",Liste_rouge!A:A,2,1),"LC")</f>
        <v>LC</v>
      </c>
      <c r="T23660" s="7" t="str">
        <f>HYPERLINK("#Liste_rouge!A"&amp;_xlfn.XMATCH("LC",Liste_rouge!A:A,2,1),"LC")</f>
        <v>LC</v>
      </c>
      <c r="V23660" s="7" t="str">
        <f>HYPERLINK("#Liste_rouge!A"&amp;_xlfn.XMATCH("LC",Liste_rouge!A:A,2,1),"LC")</f>
        <v>LC</v>
      </c>
      <c r="AH23660" s="4" t="str">
        <f>HYPERLINK("#Statut_biogéographique!A"&amp;_xlfn.XMATCH("P",Statut_biogéographique!A:A,2,1),"P")</f>
        <v>P</v>
      </c>
      <c r="AM23660" s="4" t="s">
        <v>375</v>
      </c>
      <c r="AN23660" s="4" t="s">
        <v>375</v>
      </c>
      <c r="AO23660" s="4" t="s">
        <v>375</v>
      </c>
      <c r="AP23660" s="4" t="s">
        <v>376</v>
      </c>
      <c r="AR23660" s="4" t="s">
        <v>377</v>
      </c>
    </row>
    <row r="23661" spans="1:44" ht="45">
      <c r="A23661" s="4" t="s">
        <v>24364</v>
      </c>
      <c r="B23661" s="4">
        <v>83756</v>
      </c>
      <c r="D23661" s="5" t="s">
        <v>30744</v>
      </c>
      <c r="E23661" s="6" t="str">
        <f>HYPERLINK("https://inpn.mnhn.fr/espece/cd_nom/83756","Aristavena setacea (Huds.) F.Albers &amp; Butzin, 1977")</f>
        <v>Aristavena setacea (Huds.) F.Albers &amp; Butzin, 1977</v>
      </c>
      <c r="F23661" s="5" t="s">
        <v>30745</v>
      </c>
      <c r="Q23661" s="7" t="str">
        <f>HYPERLINK("#Liste_rouge!A"&amp;_xlfn.XMATCH("NT",Liste_rouge!A:A,2,1),"NT")</f>
        <v>NT</v>
      </c>
      <c r="T23661" s="7" t="str">
        <f>HYPERLINK("#Liste_rouge!A"&amp;_xlfn.XMATCH("RE",Liste_rouge!A:A,2,1),"RE")</f>
        <v>RE</v>
      </c>
      <c r="AH23661" s="4" t="str">
        <f>HYPERLINK("#Statut_biogéographique!A"&amp;_xlfn.XMATCH("P",Statut_biogéographique!A:A,2,1),"P")</f>
        <v>P</v>
      </c>
      <c r="AM23661" s="4" t="s">
        <v>375</v>
      </c>
      <c r="AN23661" s="4" t="s">
        <v>375</v>
      </c>
      <c r="AO23661" s="4" t="s">
        <v>375</v>
      </c>
      <c r="AP23661" s="4" t="s">
        <v>376</v>
      </c>
      <c r="AR23661" s="4" t="s">
        <v>377</v>
      </c>
    </row>
    <row r="23662" spans="1:44">
      <c r="A23662" s="4" t="s">
        <v>24364</v>
      </c>
      <c r="B23662" s="4">
        <v>83777</v>
      </c>
      <c r="D23662" s="5" t="s">
        <v>30746</v>
      </c>
      <c r="E23662" s="6" t="str">
        <f>HYPERLINK("https://inpn.mnhn.fr/espece/cd_nom/83777","Aristolochia clematitis L., 1753")</f>
        <v>Aristolochia clematitis L., 1753</v>
      </c>
      <c r="F23662" s="5" t="s">
        <v>30747</v>
      </c>
      <c r="Q23662" s="7" t="str">
        <f>HYPERLINK("#Liste_rouge!A"&amp;_xlfn.XMATCH("LC",Liste_rouge!A:A,2,1),"LC")</f>
        <v>LC</v>
      </c>
      <c r="T23662" s="7" t="str">
        <f>HYPERLINK("#Liste_rouge!A"&amp;_xlfn.XMATCH("LC",Liste_rouge!A:A,2,1),"LC")</f>
        <v>LC</v>
      </c>
      <c r="V23662" s="7" t="str">
        <f>HYPERLINK("#Liste_rouge!A"&amp;_xlfn.XMATCH("DD",Liste_rouge!A:A,2,1),"DD")</f>
        <v>DD</v>
      </c>
      <c r="AH23662" s="4" t="str">
        <f>HYPERLINK("#Statut_biogéographique!A"&amp;_xlfn.XMATCH("P",Statut_biogéographique!A:A,2,1),"P")</f>
        <v>P</v>
      </c>
      <c r="AM23662" s="4" t="s">
        <v>375</v>
      </c>
      <c r="AN23662" s="4" t="s">
        <v>375</v>
      </c>
      <c r="AO23662" s="4" t="s">
        <v>375</v>
      </c>
      <c r="AP23662" s="4" t="s">
        <v>376</v>
      </c>
      <c r="AR23662" s="4" t="s">
        <v>377</v>
      </c>
    </row>
    <row r="23663" spans="1:44" ht="60">
      <c r="A23663" s="4" t="s">
        <v>24364</v>
      </c>
      <c r="B23663" s="4">
        <v>83809</v>
      </c>
      <c r="D23663" s="5" t="s">
        <v>30748</v>
      </c>
      <c r="E23663" s="6" t="str">
        <f>HYPERLINK("https://inpn.mnhn.fr/espece/cd_nom/83809","Armeria arenaria (Pers.) Schult., 1820")</f>
        <v>Armeria arenaria (Pers.) Schult., 1820</v>
      </c>
      <c r="F23663" s="5" t="s">
        <v>28310</v>
      </c>
      <c r="Q23663" s="7" t="str">
        <f>HYPERLINK("#Liste_rouge!A"&amp;_xlfn.XMATCH("LC",Liste_rouge!A:A,2,1),"LC")</f>
        <v>LC</v>
      </c>
      <c r="T23663" s="7" t="str">
        <f>HYPERLINK("#Liste_rouge!A"&amp;_xlfn.XMATCH("EN",Liste_rouge!A:A,2,1),"EN")</f>
        <v>EN</v>
      </c>
      <c r="U23663" s="4" t="str">
        <f>HYPERLINK("#Critères_liste_rouge!A$1","B2ab(ii,iii,iv)")</f>
        <v>B2ab(ii,iii,iv)</v>
      </c>
      <c r="X23663" s="5" t="s">
        <v>374</v>
      </c>
      <c r="AB23663" s="4" t="s">
        <v>93</v>
      </c>
      <c r="AH23663" s="4" t="str">
        <f>HYPERLINK("#Statut_biogéographique!A"&amp;_xlfn.XMATCH("P",Statut_biogéographique!A:A,2,1),"P")</f>
        <v>P</v>
      </c>
      <c r="AM23663" s="4" t="s">
        <v>375</v>
      </c>
      <c r="AN23663" s="4" t="s">
        <v>375</v>
      </c>
      <c r="AO23663" s="4" t="s">
        <v>375</v>
      </c>
      <c r="AP23663" s="4" t="s">
        <v>376</v>
      </c>
      <c r="AR23663" s="4" t="s">
        <v>377</v>
      </c>
    </row>
    <row r="23664" spans="1:44" ht="45">
      <c r="A23664" s="4" t="s">
        <v>24364</v>
      </c>
      <c r="B23664" s="4">
        <v>83866</v>
      </c>
      <c r="D23664" s="5" t="s">
        <v>30749</v>
      </c>
      <c r="E23664" s="6" t="str">
        <f>HYPERLINK("https://inpn.mnhn.fr/espece/cd_nom/83866","Armoracia rusticana G.Gaertn., B.Mey. &amp; Scherb., 1800")</f>
        <v>Armoracia rusticana G.Gaertn., B.Mey. &amp; Scherb., 1800</v>
      </c>
      <c r="F23664" s="5" t="s">
        <v>30750</v>
      </c>
      <c r="O23664" s="7" t="str">
        <f>HYPERLINK("#Liste_rouge!A"&amp;_xlfn.XMATCH("LC",Liste_rouge!A:A,2,1),"LC")</f>
        <v>LC</v>
      </c>
      <c r="P23664" s="7" t="str">
        <f>HYPERLINK("#Liste_rouge!A"&amp;_xlfn.XMATCH("LC",Liste_rouge!A:A,2,1),"LC")</f>
        <v>LC</v>
      </c>
      <c r="Q23664" s="7" t="str">
        <f>HYPERLINK("#Liste_rouge!A"&amp;_xlfn.XMATCH("NA",Liste_rouge!A:A,2,1),"NA")</f>
        <v>NA</v>
      </c>
      <c r="T23664" s="7" t="str">
        <f>HYPERLINK("#Liste_rouge!A"&amp;_xlfn.XMATCH("NA",Liste_rouge!A:A,2,1),"NA")</f>
        <v>NA</v>
      </c>
      <c r="AH23664" s="4" t="str">
        <f>HYPERLINK("#Statut_biogéographique!A"&amp;_xlfn.XMATCH("I",Statut_biogéographique!A:A,2,1),"I")</f>
        <v>I</v>
      </c>
      <c r="AM23664" s="4" t="s">
        <v>375</v>
      </c>
      <c r="AN23664" s="4" t="s">
        <v>375</v>
      </c>
      <c r="AO23664" s="4" t="s">
        <v>375</v>
      </c>
      <c r="AP23664" s="4" t="s">
        <v>376</v>
      </c>
      <c r="AR23664" s="4" t="s">
        <v>377</v>
      </c>
    </row>
    <row r="23665" spans="1:44" ht="45">
      <c r="A23665" s="4" t="s">
        <v>24364</v>
      </c>
      <c r="B23665" s="4">
        <v>83874</v>
      </c>
      <c r="D23665" s="5" t="s">
        <v>30751</v>
      </c>
      <c r="E23665" s="6" t="str">
        <f>HYPERLINK("https://inpn.mnhn.fr/espece/cd_nom/83874","Arnica montana L., 1753")</f>
        <v>Arnica montana L., 1753</v>
      </c>
      <c r="F23665" s="5" t="s">
        <v>30752</v>
      </c>
      <c r="K23665" s="4" t="str">
        <f>HYPERLINK("#Réglementation!A"&amp;_xlfn.XMATCH("CDH5",Réglementation!A:A,2,1),"CDH5")</f>
        <v>CDH5</v>
      </c>
      <c r="M23665" s="4" t="str">
        <f>HYPERLINK("#Réglementation!A"&amp;_xlfn.XMATCH("RV26",Réglementation!A:A,2,1),"RV26")</f>
        <v>RV26</v>
      </c>
      <c r="N23665" s="4" t="str">
        <f>HYPERLINK("#Réglementation!A"&amp;_xlfn.XMATCH("V70P2",Réglementation!A:A,2,1),"V70P2")</f>
        <v>V70P2</v>
      </c>
      <c r="O23665" s="7" t="str">
        <f>HYPERLINK("#Liste_rouge!A"&amp;_xlfn.XMATCH("LC",Liste_rouge!A:A,2,1),"LC")</f>
        <v>LC</v>
      </c>
      <c r="P23665" s="7" t="str">
        <f>HYPERLINK("#Liste_rouge!A"&amp;_xlfn.XMATCH("LC",Liste_rouge!A:A,2,1),"LC")</f>
        <v>LC</v>
      </c>
      <c r="Q23665" s="7" t="str">
        <f>HYPERLINK("#Liste_rouge!A"&amp;_xlfn.XMATCH("LC",Liste_rouge!A:A,2,1),"LC")</f>
        <v>LC</v>
      </c>
      <c r="T23665" s="7" t="str">
        <f>HYPERLINK("#Liste_rouge!A"&amp;_xlfn.XMATCH("EN",Liste_rouge!A:A,2,1),"EN (cd_nom 83874) - DD (cd_nom 131688)")</f>
        <v>EN (cd_nom 83874) - DD (cd_nom 131688)</v>
      </c>
      <c r="U23665" s="4" t="str">
        <f>HYPERLINK("#Critères_liste_rouge!A$1","B2ab(ii,iii,iv) (cd_nom 83874)")</f>
        <v>B2ab(ii,iii,iv) (cd_nom 83874)</v>
      </c>
      <c r="V23665" s="7" t="str">
        <f>HYPERLINK("#Liste_rouge!A"&amp;_xlfn.XMATCH("NT",Liste_rouge!A:A,2,1),"NT")</f>
        <v>NT</v>
      </c>
      <c r="W23665" s="4" t="str">
        <f>HYPERLINK("#Critères_liste_rouge!A$1","pr. B2b(iii)")</f>
        <v>pr. B2b(iii)</v>
      </c>
      <c r="AB23665" s="4" t="s">
        <v>24418</v>
      </c>
      <c r="AH23665" s="4" t="str">
        <f>HYPERLINK("#Statut_biogéographique!A"&amp;_xlfn.XMATCH("P",Statut_biogéographique!A:A,2,1),"P")</f>
        <v>P</v>
      </c>
      <c r="AK23665" s="4" t="str">
        <f>HYPERLINK("#Réglementation!A"&amp;_xlfn.XMATCH("V70P2",Réglementation!A:A,2,1),"V70P2")</f>
        <v>V70P2</v>
      </c>
      <c r="AM23665" s="4" t="s">
        <v>375</v>
      </c>
      <c r="AN23665" s="4" t="s">
        <v>375</v>
      </c>
      <c r="AO23665" s="4" t="s">
        <v>375</v>
      </c>
      <c r="AP23665" s="4" t="s">
        <v>376</v>
      </c>
      <c r="AR23665" s="4" t="s">
        <v>377</v>
      </c>
    </row>
    <row r="23666" spans="1:44" ht="45">
      <c r="A23666" s="4" t="s">
        <v>24364</v>
      </c>
      <c r="B23666" s="4">
        <v>83890</v>
      </c>
      <c r="D23666" s="5" t="s">
        <v>30753</v>
      </c>
      <c r="E23666" s="6" t="str">
        <f>HYPERLINK("https://inpn.mnhn.fr/espece/cd_nom/83890","Arnoseris minima (L.) Schweigg. &amp; Körte, 1811")</f>
        <v>Arnoseris minima (L.) Schweigg. &amp; Körte, 1811</v>
      </c>
      <c r="F23666" s="5" t="s">
        <v>30754</v>
      </c>
      <c r="Q23666" s="7" t="str">
        <f>HYPERLINK("#Liste_rouge!A"&amp;_xlfn.XMATCH("LC",Liste_rouge!A:A,2,1),"LC")</f>
        <v>LC</v>
      </c>
      <c r="T23666" s="7" t="str">
        <f>HYPERLINK("#Liste_rouge!A"&amp;_xlfn.XMATCH("EN",Liste_rouge!A:A,2,1),"EN")</f>
        <v>EN</v>
      </c>
      <c r="U23666" s="4" t="str">
        <f>HYPERLINK("#Critères_liste_rouge!A$1","B2b(ii,iii,iv)c(iii,iv)")</f>
        <v>B2b(ii,iii,iv)c(iii,iv)</v>
      </c>
      <c r="V23666" s="7" t="str">
        <f>HYPERLINK("#Liste_rouge!A"&amp;_xlfn.XMATCH("CR",Liste_rouge!A:A,2,1),"CR")</f>
        <v>CR</v>
      </c>
      <c r="W23666" s="4" t="str">
        <f>HYPERLINK("#Critères_liste_rouge!A$1","D")</f>
        <v>D</v>
      </c>
      <c r="X23666" s="5" t="s">
        <v>374</v>
      </c>
      <c r="AB23666" s="4" t="s">
        <v>93</v>
      </c>
      <c r="AH23666" s="4" t="str">
        <f>HYPERLINK("#Statut_biogéographique!A"&amp;_xlfn.XMATCH("P",Statut_biogéographique!A:A,2,1),"P")</f>
        <v>P</v>
      </c>
      <c r="AM23666" s="4" t="s">
        <v>375</v>
      </c>
      <c r="AN23666" s="4" t="s">
        <v>375</v>
      </c>
      <c r="AO23666" s="4" t="s">
        <v>375</v>
      </c>
      <c r="AP23666" s="4" t="s">
        <v>376</v>
      </c>
      <c r="AR23666" s="4" t="s">
        <v>377</v>
      </c>
    </row>
    <row r="23667" spans="1:44" ht="30">
      <c r="A23667" s="4" t="s">
        <v>24364</v>
      </c>
      <c r="B23667" s="4">
        <v>839011</v>
      </c>
      <c r="D23667" s="5" t="s">
        <v>30755</v>
      </c>
      <c r="E23667" s="6" t="str">
        <f>HYPERLINK("https://inpn.mnhn.fr/espece/cd_nom/839011","Lewinskya acuminata (H.Philib.) F.Lara, Garilleti &amp; Goffinet, 2016")</f>
        <v>Lewinskya acuminata (H.Philib.) F.Lara, Garilleti &amp; Goffinet, 2016</v>
      </c>
      <c r="P23667" s="7" t="str">
        <f>HYPERLINK("#Liste_rouge!A"&amp;_xlfn.XMATCH("LC",Liste_rouge!A:A,2,1),"LC")</f>
        <v>LC</v>
      </c>
      <c r="T23667" s="7" t="str">
        <f>HYPERLINK("#Liste_rouge!A"&amp;_xlfn.XMATCH("DD",Liste_rouge!A:A,2,1),"DD")</f>
        <v>DD</v>
      </c>
      <c r="V23667" s="7" t="str">
        <f>HYPERLINK("#Liste_rouge!A"&amp;_xlfn.XMATCH("CR",Liste_rouge!A:A,2,1),"CR")</f>
        <v>CR</v>
      </c>
      <c r="X23667" s="5" t="s">
        <v>374</v>
      </c>
      <c r="AB23667" s="4" t="s">
        <v>93</v>
      </c>
      <c r="AH23667" s="4" t="str">
        <f>HYPERLINK("#Statut_biogéographique!A"&amp;_xlfn.XMATCH("P",Statut_biogéographique!A:A,2,1),"P")</f>
        <v>P</v>
      </c>
      <c r="AP23667" s="4" t="s">
        <v>376</v>
      </c>
      <c r="AR23667" s="4" t="s">
        <v>377</v>
      </c>
    </row>
    <row r="23668" spans="1:44" ht="30">
      <c r="A23668" s="4" t="s">
        <v>24364</v>
      </c>
      <c r="B23668" s="4">
        <v>839012</v>
      </c>
      <c r="D23668" s="5" t="s">
        <v>30756</v>
      </c>
      <c r="E23668" s="6" t="str">
        <f>HYPERLINK("https://inpn.mnhn.fr/espece/cd_nom/839012","Lewinskya affinis (Schrad. ex Brid.) F.Lara, Garilleti &amp; Goffinet, 2016")</f>
        <v>Lewinskya affinis (Schrad. ex Brid.) F.Lara, Garilleti &amp; Goffinet, 2016</v>
      </c>
      <c r="P23668" s="7" t="str">
        <f>HYPERLINK("#Liste_rouge!A"&amp;_xlfn.XMATCH("LC",Liste_rouge!A:A,2,1),"LC")</f>
        <v>LC</v>
      </c>
      <c r="T23668" s="7" t="str">
        <f>HYPERLINK("#Liste_rouge!A"&amp;_xlfn.XMATCH("LC",Liste_rouge!A:A,2,1),"LC")</f>
        <v>LC</v>
      </c>
      <c r="V23668" s="7" t="str">
        <f>HYPERLINK("#Liste_rouge!A"&amp;_xlfn.XMATCH("LC",Liste_rouge!A:A,2,1),"LC")</f>
        <v>LC</v>
      </c>
      <c r="AH23668" s="4" t="str">
        <f>HYPERLINK("#Statut_biogéographique!A"&amp;_xlfn.XMATCH("P",Statut_biogéographique!A:A,2,1),"P")</f>
        <v>P</v>
      </c>
      <c r="AP23668" s="4" t="s">
        <v>376</v>
      </c>
      <c r="AR23668" s="4" t="s">
        <v>377</v>
      </c>
    </row>
    <row r="23669" spans="1:44" ht="30">
      <c r="A23669" s="4" t="s">
        <v>24364</v>
      </c>
      <c r="B23669" s="4">
        <v>839014</v>
      </c>
      <c r="D23669" s="5" t="s">
        <v>30757</v>
      </c>
      <c r="E23669" s="6" t="str">
        <f>HYPERLINK("https://inpn.mnhn.fr/espece/cd_nom/839014","Lewinskya rupestris (Schleich. ex Schwägr.) F.Lara, Garilleti &amp; Goffinet, 2016")</f>
        <v>Lewinskya rupestris (Schleich. ex Schwägr.) F.Lara, Garilleti &amp; Goffinet, 2016</v>
      </c>
      <c r="P23669" s="7" t="str">
        <f>HYPERLINK("#Liste_rouge!A"&amp;_xlfn.XMATCH("LC",Liste_rouge!A:A,2,1),"LC")</f>
        <v>LC</v>
      </c>
      <c r="T23669" s="7" t="str">
        <f>HYPERLINK("#Liste_rouge!A"&amp;_xlfn.XMATCH("EN",Liste_rouge!A:A,2,1),"EN")</f>
        <v>EN</v>
      </c>
      <c r="V23669" s="7" t="str">
        <f>HYPERLINK("#Liste_rouge!A"&amp;_xlfn.XMATCH("VU",Liste_rouge!A:A,2,1),"VU")</f>
        <v>VU</v>
      </c>
      <c r="X23669" s="5" t="s">
        <v>374</v>
      </c>
      <c r="AB23669" s="4" t="s">
        <v>93</v>
      </c>
      <c r="AH23669" s="4" t="str">
        <f>HYPERLINK("#Statut_biogéographique!A"&amp;_xlfn.XMATCH("P",Statut_biogéographique!A:A,2,1),"P")</f>
        <v>P</v>
      </c>
      <c r="AP23669" s="4" t="s">
        <v>376</v>
      </c>
      <c r="AR23669" s="4" t="s">
        <v>377</v>
      </c>
    </row>
    <row r="23670" spans="1:44" ht="30">
      <c r="A23670" s="4" t="s">
        <v>24364</v>
      </c>
      <c r="B23670" s="4">
        <v>839015</v>
      </c>
      <c r="D23670" s="5" t="s">
        <v>30758</v>
      </c>
      <c r="E23670" s="6" t="str">
        <f>HYPERLINK("https://inpn.mnhn.fr/espece/cd_nom/839015","Lewinskya shawii (Wilson) F.Lara, Garilleti &amp; Goffinet, 2016")</f>
        <v>Lewinskya shawii (Wilson) F.Lara, Garilleti &amp; Goffinet, 2016</v>
      </c>
      <c r="P23670" s="7" t="str">
        <f>HYPERLINK("#Liste_rouge!A"&amp;_xlfn.XMATCH("LC",Liste_rouge!A:A,2,1),"LC")</f>
        <v>LC</v>
      </c>
      <c r="AH23670" s="4" t="str">
        <f>HYPERLINK("#Statut_biogéographique!A"&amp;_xlfn.XMATCH("P",Statut_biogéographique!A:A,2,1),"P")</f>
        <v>P</v>
      </c>
      <c r="AP23670" s="4" t="s">
        <v>376</v>
      </c>
      <c r="AR23670" s="4" t="s">
        <v>377</v>
      </c>
    </row>
    <row r="23671" spans="1:44" ht="30">
      <c r="A23671" s="4" t="s">
        <v>24364</v>
      </c>
      <c r="B23671" s="4">
        <v>839016</v>
      </c>
      <c r="D23671" s="5" t="s">
        <v>30759</v>
      </c>
      <c r="E23671" s="6" t="str">
        <f>HYPERLINK("https://inpn.mnhn.fr/espece/cd_nom/839016","Lewinskya speciosa (Nees) F.Lara, Garilleti &amp; Goffinet, 2016")</f>
        <v>Lewinskya speciosa (Nees) F.Lara, Garilleti &amp; Goffinet, 2016</v>
      </c>
      <c r="P23671" s="7" t="str">
        <f>HYPERLINK("#Liste_rouge!A"&amp;_xlfn.XMATCH("LC",Liste_rouge!A:A,2,1),"LC")</f>
        <v>LC</v>
      </c>
      <c r="T23671" s="7" t="str">
        <f>HYPERLINK("#Liste_rouge!A"&amp;_xlfn.XMATCH("LC",Liste_rouge!A:A,2,1),"LC")</f>
        <v>LC</v>
      </c>
      <c r="V23671" s="7" t="str">
        <f>HYPERLINK("#Liste_rouge!A"&amp;_xlfn.XMATCH("LC",Liste_rouge!A:A,2,1),"LC")</f>
        <v>LC</v>
      </c>
      <c r="AH23671" s="4" t="str">
        <f>HYPERLINK("#Statut_biogéographique!A"&amp;_xlfn.XMATCH("P",Statut_biogéographique!A:A,2,1),"P")</f>
        <v>P</v>
      </c>
      <c r="AP23671" s="4" t="s">
        <v>376</v>
      </c>
      <c r="AR23671" s="4" t="s">
        <v>377</v>
      </c>
    </row>
    <row r="23672" spans="1:44" ht="30">
      <c r="A23672" s="4" t="s">
        <v>24364</v>
      </c>
      <c r="B23672" s="4">
        <v>839017</v>
      </c>
      <c r="D23672" s="5" t="s">
        <v>30760</v>
      </c>
      <c r="E23672" s="6" t="str">
        <f>HYPERLINK("https://inpn.mnhn.fr/espece/cd_nom/839017","Lewinskya striata (Hedw.) F.Lara, Garilleti &amp; Goffinet, 2016")</f>
        <v>Lewinskya striata (Hedw.) F.Lara, Garilleti &amp; Goffinet, 2016</v>
      </c>
      <c r="P23672" s="7" t="str">
        <f>HYPERLINK("#Liste_rouge!A"&amp;_xlfn.XMATCH("LC",Liste_rouge!A:A,2,1),"LC")</f>
        <v>LC</v>
      </c>
      <c r="T23672" s="7" t="str">
        <f>HYPERLINK("#Liste_rouge!A"&amp;_xlfn.XMATCH("LC",Liste_rouge!A:A,2,1),"LC")</f>
        <v>LC</v>
      </c>
      <c r="V23672" s="7" t="str">
        <f>HYPERLINK("#Liste_rouge!A"&amp;_xlfn.XMATCH("LC",Liste_rouge!A:A,2,1),"LC")</f>
        <v>LC</v>
      </c>
      <c r="AH23672" s="4" t="str">
        <f>HYPERLINK("#Statut_biogéographique!A"&amp;_xlfn.XMATCH("P",Statut_biogéographique!A:A,2,1),"P")</f>
        <v>P</v>
      </c>
      <c r="AP23672" s="4" t="s">
        <v>376</v>
      </c>
      <c r="AR23672" s="4" t="s">
        <v>377</v>
      </c>
    </row>
    <row r="23673" spans="1:44" ht="120">
      <c r="A23673" s="4" t="s">
        <v>24364</v>
      </c>
      <c r="B23673" s="4">
        <v>83912</v>
      </c>
      <c r="D23673" s="5" t="s">
        <v>30761</v>
      </c>
      <c r="E23673" s="6" t="str">
        <f>HYPERLINK("https://inpn.mnhn.fr/espece/cd_nom/83912","Arrhenatherum elatius (L.) P.Beauv. ex J.Presl &amp; C.Presl, 1819")</f>
        <v>Arrhenatherum elatius (L.) P.Beauv. ex J.Presl &amp; C.Presl, 1819</v>
      </c>
      <c r="F23673" s="5" t="s">
        <v>28315</v>
      </c>
      <c r="P23673" s="7" t="str">
        <f>HYPERLINK("#Liste_rouge!A"&amp;_xlfn.XMATCH("LC",Liste_rouge!A:A,2,1),"LC")</f>
        <v>LC</v>
      </c>
      <c r="Q23673" s="7" t="str">
        <f>HYPERLINK("#Liste_rouge!A"&amp;_xlfn.XMATCH("LC",Liste_rouge!A:A,2,1),"LC")</f>
        <v>LC</v>
      </c>
      <c r="T23673" s="7" t="str">
        <f>HYPERLINK("#Liste_rouge!A"&amp;_xlfn.XMATCH("LC",Liste_rouge!A:A,2,1),"LC")</f>
        <v>LC</v>
      </c>
      <c r="V23673" s="7" t="str">
        <f>HYPERLINK("#Liste_rouge!A"&amp;_xlfn.XMATCH("LC",Liste_rouge!A:A,2,1),"LC")</f>
        <v>LC</v>
      </c>
      <c r="AH23673" s="4" t="str">
        <f>HYPERLINK("#Statut_biogéographique!A"&amp;_xlfn.XMATCH("P",Statut_biogéographique!A:A,2,1),"P")</f>
        <v>P</v>
      </c>
      <c r="AM23673" s="4" t="s">
        <v>375</v>
      </c>
      <c r="AN23673" s="4" t="s">
        <v>375</v>
      </c>
      <c r="AO23673" s="4" t="s">
        <v>375</v>
      </c>
      <c r="AP23673" s="4" t="s">
        <v>376</v>
      </c>
      <c r="AR23673" s="4" t="s">
        <v>377</v>
      </c>
    </row>
    <row r="23674" spans="1:44">
      <c r="A23674" s="4" t="s">
        <v>24364</v>
      </c>
      <c r="B23674" s="4">
        <v>83933</v>
      </c>
      <c r="D23674" s="5" t="s">
        <v>30762</v>
      </c>
      <c r="E23674" s="6" t="str">
        <f>HYPERLINK("https://inpn.mnhn.fr/espece/cd_nom/83933","Artemisia absinthium L., 1753")</f>
        <v>Artemisia absinthium L., 1753</v>
      </c>
      <c r="F23674" s="5" t="s">
        <v>30763</v>
      </c>
      <c r="P23674" s="7" t="str">
        <f>HYPERLINK("#Liste_rouge!A"&amp;_xlfn.XMATCH("LC",Liste_rouge!A:A,2,1),"LC")</f>
        <v>LC</v>
      </c>
      <c r="Q23674" s="7" t="str">
        <f>HYPERLINK("#Liste_rouge!A"&amp;_xlfn.XMATCH("LC",Liste_rouge!A:A,2,1),"LC")</f>
        <v>LC</v>
      </c>
      <c r="T23674" s="7" t="str">
        <f>HYPERLINK("#Liste_rouge!A"&amp;_xlfn.XMATCH("NA",Liste_rouge!A:A,2,1),"NA")</f>
        <v>NA</v>
      </c>
      <c r="V23674" s="7" t="str">
        <f>HYPERLINK("#Liste_rouge!A"&amp;_xlfn.XMATCH("LC",Liste_rouge!A:A,2,1),"LC")</f>
        <v>LC</v>
      </c>
      <c r="AH23674" s="4" t="str">
        <f>HYPERLINK("#Statut_biogéographique!A"&amp;_xlfn.XMATCH("C",Statut_biogéographique!A:A,2,1),"C")</f>
        <v>C</v>
      </c>
      <c r="AM23674" s="4" t="s">
        <v>375</v>
      </c>
      <c r="AN23674" s="4" t="s">
        <v>375</v>
      </c>
      <c r="AO23674" s="4" t="s">
        <v>375</v>
      </c>
      <c r="AP23674" s="4" t="s">
        <v>376</v>
      </c>
      <c r="AR23674" s="4" t="s">
        <v>377</v>
      </c>
    </row>
    <row r="23675" spans="1:44" ht="120">
      <c r="A23675" s="4" t="s">
        <v>24364</v>
      </c>
      <c r="B23675" s="4">
        <v>83934</v>
      </c>
      <c r="D23675" s="5" t="s">
        <v>30764</v>
      </c>
      <c r="E23675" s="6" t="str">
        <f>HYPERLINK("https://inpn.mnhn.fr/espece/cd_nom/83934","Artemisia alba Turra, 1764")</f>
        <v>Artemisia alba Turra, 1764</v>
      </c>
      <c r="F23675" s="5" t="s">
        <v>30765</v>
      </c>
      <c r="M23675" s="4" t="str">
        <f>HYPERLINK("#Réglementation!A"&amp;_xlfn.XMATCH("RV26",Réglementation!A:A,2,1),"RV26")</f>
        <v>RV26</v>
      </c>
      <c r="P23675" s="7" t="str">
        <f>HYPERLINK("#Liste_rouge!A"&amp;_xlfn.XMATCH("LC",Liste_rouge!A:A,2,1),"LC")</f>
        <v>LC</v>
      </c>
      <c r="Q23675" s="7" t="str">
        <f>HYPERLINK("#Liste_rouge!A"&amp;_xlfn.XMATCH("LC",Liste_rouge!A:A,2,1),"LC")</f>
        <v>LC</v>
      </c>
      <c r="T23675" s="7" t="str">
        <f>HYPERLINK("#Liste_rouge!A"&amp;_xlfn.XMATCH("CR",Liste_rouge!A:A,2,1),"CR")</f>
        <v>CR</v>
      </c>
      <c r="U23675" s="4" t="str">
        <f>HYPERLINK("#Critères_liste_rouge!A$1","B1 B2ab(iii,iv) C2a(i)")</f>
        <v>B1 B2ab(iii,iv) C2a(i)</v>
      </c>
      <c r="X23675" s="5" t="s">
        <v>374</v>
      </c>
      <c r="AB23675" s="4" t="s">
        <v>93</v>
      </c>
      <c r="AH23675" s="4" t="str">
        <f>HYPERLINK("#Statut_biogéographique!A"&amp;_xlfn.XMATCH("P",Statut_biogéographique!A:A,2,1),"P")</f>
        <v>P</v>
      </c>
      <c r="AM23675" s="4" t="s">
        <v>375</v>
      </c>
      <c r="AN23675" s="4" t="s">
        <v>375</v>
      </c>
      <c r="AO23675" s="4" t="s">
        <v>375</v>
      </c>
      <c r="AP23675" s="4" t="s">
        <v>376</v>
      </c>
      <c r="AR23675" s="4" t="s">
        <v>377</v>
      </c>
    </row>
    <row r="23676" spans="1:44">
      <c r="A23676" s="4" t="s">
        <v>24364</v>
      </c>
      <c r="B23676" s="4">
        <v>83938</v>
      </c>
      <c r="D23676" s="5">
        <v>83938</v>
      </c>
      <c r="E23676" s="6" t="str">
        <f>HYPERLINK("https://inpn.mnhn.fr/espece/cd_nom/83938","Artemisia annua L., 1753")</f>
        <v>Artemisia annua L., 1753</v>
      </c>
      <c r="F23676" s="5" t="s">
        <v>30766</v>
      </c>
      <c r="Q23676" s="7" t="str">
        <f>HYPERLINK("#Liste_rouge!A"&amp;_xlfn.XMATCH("NA",Liste_rouge!A:A,2,1),"NA")</f>
        <v>NA</v>
      </c>
      <c r="T23676" s="7" t="str">
        <f>HYPERLINK("#Liste_rouge!A"&amp;_xlfn.XMATCH("NA",Liste_rouge!A:A,2,1),"NA")</f>
        <v>NA</v>
      </c>
      <c r="AH23676" s="4" t="str">
        <f>HYPERLINK("#Statut_biogéographique!A"&amp;_xlfn.XMATCH("I",Statut_biogéographique!A:A,2,1),"I")</f>
        <v>I</v>
      </c>
      <c r="AP23676" s="4" t="s">
        <v>376</v>
      </c>
      <c r="AR23676" s="4" t="s">
        <v>377</v>
      </c>
    </row>
    <row r="23677" spans="1:44">
      <c r="A23677" s="4" t="s">
        <v>24364</v>
      </c>
      <c r="B23677" s="4">
        <v>839505</v>
      </c>
      <c r="D23677" s="5" t="s">
        <v>30767</v>
      </c>
      <c r="E23677" s="6" t="str">
        <f>HYPERLINK("https://inpn.mnhn.fr/espece/cd_nom/839505","Dianthus sylvestris Wulfen, 1786")</f>
        <v>Dianthus sylvestris Wulfen, 1786</v>
      </c>
      <c r="F23677" s="5" t="s">
        <v>30768</v>
      </c>
      <c r="AH23677" s="4" t="str">
        <f>HYPERLINK("#Statut_biogéographique!A"&amp;_xlfn.XMATCH("Q",Statut_biogéographique!A:A,2,1),"Q")</f>
        <v>Q</v>
      </c>
      <c r="AP23677" s="4" t="s">
        <v>376</v>
      </c>
      <c r="AR23677" s="4" t="s">
        <v>377</v>
      </c>
    </row>
    <row r="23678" spans="1:44">
      <c r="A23678" s="4" t="s">
        <v>24364</v>
      </c>
      <c r="B23678" s="4">
        <v>83952</v>
      </c>
      <c r="D23678" s="5">
        <v>83952</v>
      </c>
      <c r="E23678" s="6" t="str">
        <f>HYPERLINK("https://inpn.mnhn.fr/espece/cd_nom/83952","Artemisia caerulescens L., 1753")</f>
        <v>Artemisia caerulescens L., 1753</v>
      </c>
      <c r="F23678" s="5" t="s">
        <v>30769</v>
      </c>
      <c r="Q23678" s="7" t="str">
        <f>HYPERLINK("#Liste_rouge!A"&amp;_xlfn.XMATCH("LC",Liste_rouge!A:A,2,1),"LC")</f>
        <v>LC</v>
      </c>
      <c r="T23678" s="7" t="str">
        <f>HYPERLINK("#Liste_rouge!A"&amp;_xlfn.XMATCH("NA",Liste_rouge!A:A,2,1),"NA")</f>
        <v>NA</v>
      </c>
      <c r="AH23678" s="4" t="str">
        <f>HYPERLINK("#Statut_biogéographique!A"&amp;_xlfn.XMATCH("P",Statut_biogéographique!A:A,2,1),"P")</f>
        <v>P</v>
      </c>
      <c r="AP23678" s="4" t="s">
        <v>376</v>
      </c>
      <c r="AR23678" s="4" t="s">
        <v>377</v>
      </c>
    </row>
    <row r="23679" spans="1:44" ht="165">
      <c r="A23679" s="4" t="s">
        <v>24364</v>
      </c>
      <c r="B23679" s="4">
        <v>83953</v>
      </c>
      <c r="D23679" s="5" t="s">
        <v>30770</v>
      </c>
      <c r="E23679" s="6" t="str">
        <f>HYPERLINK("https://inpn.mnhn.fr/espece/cd_nom/83953","Artemisia campestris L., 1753")</f>
        <v>Artemisia campestris L., 1753</v>
      </c>
      <c r="F23679" s="5" t="s">
        <v>30771</v>
      </c>
      <c r="M23679" s="4" t="str">
        <f>HYPERLINK("#Réglementation!A"&amp;_xlfn.XMATCH("RV26",Réglementation!A:A,2,1),"RV26")</f>
        <v>RV26</v>
      </c>
      <c r="P23679" s="7" t="str">
        <f>HYPERLINK("#Liste_rouge!A"&amp;_xlfn.XMATCH("LC",Liste_rouge!A:A,2,1),"LC")</f>
        <v>LC</v>
      </c>
      <c r="Q23679" s="7" t="str">
        <f>HYPERLINK("#Liste_rouge!A"&amp;_xlfn.XMATCH("LC",Liste_rouge!A:A,2,1),"LC")</f>
        <v>LC</v>
      </c>
      <c r="T23679" s="7" t="str">
        <f>HYPERLINK("#Liste_rouge!A"&amp;_xlfn.XMATCH("EN",Liste_rouge!A:A,2,1),"EN")</f>
        <v>EN</v>
      </c>
      <c r="U23679" s="4" t="str">
        <f>HYPERLINK("#Critères_liste_rouge!A$1","A2ac")</f>
        <v>A2ac</v>
      </c>
      <c r="X23679" s="5" t="s">
        <v>374</v>
      </c>
      <c r="AB23679" s="4" t="s">
        <v>93</v>
      </c>
      <c r="AH23679" s="4" t="str">
        <f>HYPERLINK("#Statut_biogéographique!A"&amp;_xlfn.XMATCH("P",Statut_biogéographique!A:A,2,1),"P")</f>
        <v>P</v>
      </c>
      <c r="AM23679" s="4" t="s">
        <v>375</v>
      </c>
      <c r="AN23679" s="4" t="s">
        <v>375</v>
      </c>
      <c r="AO23679" s="4" t="s">
        <v>375</v>
      </c>
      <c r="AP23679" s="4" t="s">
        <v>376</v>
      </c>
      <c r="AR23679" s="4" t="s">
        <v>377</v>
      </c>
    </row>
    <row r="23680" spans="1:44" ht="30">
      <c r="A23680" s="4" t="s">
        <v>24364</v>
      </c>
      <c r="B23680" s="4">
        <v>83965</v>
      </c>
      <c r="D23680" s="5" t="s">
        <v>30772</v>
      </c>
      <c r="E23680" s="6" t="str">
        <f>HYPERLINK("https://inpn.mnhn.fr/espece/cd_nom/83965","Artemisia dracunculus L., 1753")</f>
        <v>Artemisia dracunculus L., 1753</v>
      </c>
      <c r="F23680" s="5" t="s">
        <v>30773</v>
      </c>
      <c r="T23680" s="7" t="str">
        <f>HYPERLINK("#Liste_rouge!A"&amp;_xlfn.XMATCH("NA",Liste_rouge!A:A,2,1),"NA")</f>
        <v>NA</v>
      </c>
      <c r="AH23680" s="4" t="str">
        <f>HYPERLINK("#Statut_biogéographique!A"&amp;_xlfn.XMATCH("M",Statut_biogéographique!A:A,2,1),"M")</f>
        <v>M</v>
      </c>
      <c r="AP23680" s="4" t="s">
        <v>376</v>
      </c>
      <c r="AR23680" s="4" t="s">
        <v>377</v>
      </c>
    </row>
    <row r="23681" spans="1:44" ht="30">
      <c r="A23681" s="4" t="s">
        <v>24364</v>
      </c>
      <c r="B23681" s="4">
        <v>84021</v>
      </c>
      <c r="D23681" s="5" t="s">
        <v>30774</v>
      </c>
      <c r="E23681" s="6" t="str">
        <f>HYPERLINK("https://inpn.mnhn.fr/espece/cd_nom/84021","Artemisia pontica L., 1753")</f>
        <v>Artemisia pontica L., 1753</v>
      </c>
      <c r="F23681" s="5" t="s">
        <v>30775</v>
      </c>
      <c r="Q23681" s="7" t="str">
        <f>HYPERLINK("#Liste_rouge!A"&amp;_xlfn.XMATCH("NA",Liste_rouge!A:A,2,1),"NA")</f>
        <v>NA</v>
      </c>
      <c r="T23681" s="7" t="str">
        <f>HYPERLINK("#Liste_rouge!A"&amp;_xlfn.XMATCH("NA",Liste_rouge!A:A,2,1),"NA")</f>
        <v>NA</v>
      </c>
      <c r="AH23681" s="4" t="str">
        <f>HYPERLINK("#Statut_biogéographique!A"&amp;_xlfn.XMATCH("M",Statut_biogéographique!A:A,2,1),"M")</f>
        <v>M</v>
      </c>
      <c r="AP23681" s="4" t="s">
        <v>376</v>
      </c>
      <c r="AR23681" s="4" t="s">
        <v>377</v>
      </c>
    </row>
    <row r="23682" spans="1:44">
      <c r="A23682" s="4" t="s">
        <v>24364</v>
      </c>
      <c r="B23682" s="4">
        <v>84057</v>
      </c>
      <c r="D23682" s="5" t="s">
        <v>30776</v>
      </c>
      <c r="E23682" s="6" t="str">
        <f>HYPERLINK("https://inpn.mnhn.fr/espece/cd_nom/84057","Artemisia verlotiorum Lamotte, 1877")</f>
        <v>Artemisia verlotiorum Lamotte, 1877</v>
      </c>
      <c r="F23682" s="5" t="s">
        <v>30777</v>
      </c>
      <c r="Q23682" s="7" t="str">
        <f>HYPERLINK("#Liste_rouge!A"&amp;_xlfn.XMATCH("NA",Liste_rouge!A:A,2,1),"NA")</f>
        <v>NA</v>
      </c>
      <c r="T23682" s="7" t="str">
        <f>HYPERLINK("#Liste_rouge!A"&amp;_xlfn.XMATCH("NA",Liste_rouge!A:A,2,1),"NA")</f>
        <v>NA</v>
      </c>
      <c r="AH23682" s="4" t="str">
        <f>HYPERLINK("#Statut_biogéographique!A"&amp;_xlfn.XMATCH("J",Statut_biogéographique!A:A,2,1),"J")</f>
        <v>J</v>
      </c>
      <c r="AM23682" s="4" t="s">
        <v>375</v>
      </c>
      <c r="AN23682" s="4" t="s">
        <v>375</v>
      </c>
      <c r="AO23682" s="4" t="s">
        <v>375</v>
      </c>
      <c r="AP23682" s="4" t="s">
        <v>376</v>
      </c>
      <c r="AR23682" s="4" t="s">
        <v>377</v>
      </c>
    </row>
    <row r="23683" spans="1:44" ht="30">
      <c r="A23683" s="4" t="s">
        <v>24364</v>
      </c>
      <c r="B23683" s="4">
        <v>84061</v>
      </c>
      <c r="D23683" s="5" t="s">
        <v>30778</v>
      </c>
      <c r="E23683" s="6" t="str">
        <f>HYPERLINK("https://inpn.mnhn.fr/espece/cd_nom/84061","Artemisia vulgaris L., 1753")</f>
        <v>Artemisia vulgaris L., 1753</v>
      </c>
      <c r="F23683" s="5" t="s">
        <v>30779</v>
      </c>
      <c r="P23683" s="7" t="str">
        <f>HYPERLINK("#Liste_rouge!A"&amp;_xlfn.XMATCH("LC",Liste_rouge!A:A,2,1),"LC")</f>
        <v>LC</v>
      </c>
      <c r="Q23683" s="7" t="str">
        <f>HYPERLINK("#Liste_rouge!A"&amp;_xlfn.XMATCH("LC",Liste_rouge!A:A,2,1),"LC")</f>
        <v>LC</v>
      </c>
      <c r="T23683" s="7" t="str">
        <f>HYPERLINK("#Liste_rouge!A"&amp;_xlfn.XMATCH("LC",Liste_rouge!A:A,2,1),"LC")</f>
        <v>LC</v>
      </c>
      <c r="V23683" s="7" t="str">
        <f>HYPERLINK("#Liste_rouge!A"&amp;_xlfn.XMATCH("LC",Liste_rouge!A:A,2,1),"LC")</f>
        <v>LC</v>
      </c>
      <c r="AH23683" s="4" t="str">
        <f>HYPERLINK("#Statut_biogéographique!A"&amp;_xlfn.XMATCH("P",Statut_biogéographique!A:A,2,1),"P")</f>
        <v>P</v>
      </c>
      <c r="AM23683" s="4" t="s">
        <v>375</v>
      </c>
      <c r="AN23683" s="4" t="s">
        <v>375</v>
      </c>
      <c r="AO23683" s="4" t="s">
        <v>375</v>
      </c>
      <c r="AP23683" s="4" t="s">
        <v>376</v>
      </c>
      <c r="AR23683" s="4" t="s">
        <v>377</v>
      </c>
    </row>
    <row r="23684" spans="1:44" ht="45">
      <c r="A23684" s="4" t="s">
        <v>24364</v>
      </c>
      <c r="B23684" s="4">
        <v>84110</v>
      </c>
      <c r="D23684" s="5" t="s">
        <v>30780</v>
      </c>
      <c r="E23684" s="6" t="str">
        <f>HYPERLINK("https://inpn.mnhn.fr/espece/cd_nom/84110","Arum italicum Mill., 1768")</f>
        <v>Arum italicum Mill., 1768</v>
      </c>
      <c r="F23684" s="5" t="s">
        <v>30781</v>
      </c>
      <c r="Q23684" s="7" t="str">
        <f>HYPERLINK("#Liste_rouge!A"&amp;_xlfn.XMATCH("LC",Liste_rouge!A:A,2,1),"LC")</f>
        <v>LC</v>
      </c>
      <c r="T23684" s="7" t="str">
        <f>HYPERLINK("#Liste_rouge!A"&amp;_xlfn.XMATCH("DD",Liste_rouge!A:A,2,1),"DD (cd_nom 143903) - LC (cd_nom 84110) - NA (cd_nom 613140)")</f>
        <v>DD (cd_nom 143903) - LC (cd_nom 84110) - NA (cd_nom 613140)</v>
      </c>
      <c r="AH23684" s="4" t="str">
        <f>HYPERLINK("#Statut_biogéographique!A"&amp;_xlfn.XMATCH("P",Statut_biogéographique!A:A,2,1),"P")</f>
        <v>P</v>
      </c>
      <c r="AM23684" s="4" t="s">
        <v>375</v>
      </c>
      <c r="AN23684" s="4" t="s">
        <v>375</v>
      </c>
      <c r="AO23684" s="4" t="s">
        <v>375</v>
      </c>
      <c r="AP23684" s="4" t="s">
        <v>376</v>
      </c>
      <c r="AR23684" s="4" t="s">
        <v>377</v>
      </c>
    </row>
    <row r="23685" spans="1:44" ht="45">
      <c r="A23685" s="4" t="s">
        <v>24364</v>
      </c>
      <c r="B23685" s="4">
        <v>84112</v>
      </c>
      <c r="D23685" s="5" t="s">
        <v>30782</v>
      </c>
      <c r="E23685" s="6" t="str">
        <f>HYPERLINK("https://inpn.mnhn.fr/espece/cd_nom/84112","Arum maculatum L., 1753")</f>
        <v>Arum maculatum L., 1753</v>
      </c>
      <c r="F23685" s="5" t="s">
        <v>30783</v>
      </c>
      <c r="Q23685" s="7" t="str">
        <f>HYPERLINK("#Liste_rouge!A"&amp;_xlfn.XMATCH("LC",Liste_rouge!A:A,2,1),"LC")</f>
        <v>LC</v>
      </c>
      <c r="T23685" s="7" t="str">
        <f>HYPERLINK("#Liste_rouge!A"&amp;_xlfn.XMATCH("LC",Liste_rouge!A:A,2,1),"LC")</f>
        <v>LC</v>
      </c>
      <c r="V23685" s="7" t="str">
        <f>HYPERLINK("#Liste_rouge!A"&amp;_xlfn.XMATCH("LC",Liste_rouge!A:A,2,1),"LC")</f>
        <v>LC</v>
      </c>
      <c r="AH23685" s="4" t="str">
        <f>HYPERLINK("#Statut_biogéographique!A"&amp;_xlfn.XMATCH("P",Statut_biogéographique!A:A,2,1),"P")</f>
        <v>P</v>
      </c>
      <c r="AM23685" s="4" t="s">
        <v>375</v>
      </c>
      <c r="AN23685" s="4" t="s">
        <v>375</v>
      </c>
      <c r="AO23685" s="4" t="s">
        <v>375</v>
      </c>
      <c r="AP23685" s="4" t="s">
        <v>376</v>
      </c>
      <c r="AR23685" s="4" t="s">
        <v>377</v>
      </c>
    </row>
    <row r="23686" spans="1:44" ht="30">
      <c r="A23686" s="4" t="s">
        <v>24364</v>
      </c>
      <c r="B23686" s="4">
        <v>84135</v>
      </c>
      <c r="D23686" s="5" t="s">
        <v>30784</v>
      </c>
      <c r="E23686" s="6" t="str">
        <f>HYPERLINK("https://inpn.mnhn.fr/espece/cd_nom/84135","Aruncus dioicus (Walter) Fernald, 1939")</f>
        <v>Aruncus dioicus (Walter) Fernald, 1939</v>
      </c>
      <c r="F23686" s="5" t="s">
        <v>30785</v>
      </c>
      <c r="Q23686" s="7" t="str">
        <f>HYPERLINK("#Liste_rouge!A"&amp;_xlfn.XMATCH("LC",Liste_rouge!A:A,2,1),"LC")</f>
        <v>LC</v>
      </c>
      <c r="T23686" s="7" t="str">
        <f>HYPERLINK("#Liste_rouge!A"&amp;_xlfn.XMATCH("NA",Liste_rouge!A:A,2,1),"NA")</f>
        <v>NA</v>
      </c>
      <c r="V23686" s="7" t="str">
        <f>HYPERLINK("#Liste_rouge!A"&amp;_xlfn.XMATCH("LC",Liste_rouge!A:A,2,1),"LC")</f>
        <v>LC</v>
      </c>
      <c r="AB23686" s="4" t="s">
        <v>24536</v>
      </c>
      <c r="AH23686" s="4" t="str">
        <f>HYPERLINK("#Statut_biogéographique!A"&amp;_xlfn.XMATCH("P",Statut_biogéographique!A:A,2,1),"P")</f>
        <v>P</v>
      </c>
      <c r="AM23686" s="4" t="s">
        <v>375</v>
      </c>
      <c r="AN23686" s="4" t="s">
        <v>375</v>
      </c>
      <c r="AO23686" s="4" t="s">
        <v>375</v>
      </c>
      <c r="AP23686" s="4" t="s">
        <v>376</v>
      </c>
      <c r="AR23686" s="4" t="s">
        <v>377</v>
      </c>
    </row>
    <row r="23687" spans="1:44" ht="60">
      <c r="A23687" s="4" t="s">
        <v>24364</v>
      </c>
      <c r="B23687" s="4">
        <v>84173</v>
      </c>
      <c r="D23687" s="5" t="s">
        <v>30786</v>
      </c>
      <c r="E23687" s="6" t="str">
        <f>HYPERLINK("https://inpn.mnhn.fr/espece/cd_nom/84173","Arundo donax L., 1753")</f>
        <v>Arundo donax L., 1753</v>
      </c>
      <c r="F23687" s="5" t="s">
        <v>30787</v>
      </c>
      <c r="O23687" s="7" t="str">
        <f>HYPERLINK("#Liste_rouge!A"&amp;_xlfn.XMATCH("LC",Liste_rouge!A:A,2,1),"LC")</f>
        <v>LC</v>
      </c>
      <c r="P23687" s="7" t="str">
        <f>HYPERLINK("#Liste_rouge!A"&amp;_xlfn.XMATCH("LC",Liste_rouge!A:A,2,1),"LC")</f>
        <v>LC</v>
      </c>
      <c r="Q23687" s="7" t="str">
        <f>HYPERLINK("#Liste_rouge!A"&amp;_xlfn.XMATCH("LC",Liste_rouge!A:A,2,1),"LC")</f>
        <v>LC</v>
      </c>
      <c r="T23687" s="7" t="str">
        <f>HYPERLINK("#Liste_rouge!A"&amp;_xlfn.XMATCH("NA",Liste_rouge!A:A,2,1),"NA")</f>
        <v>NA</v>
      </c>
      <c r="AH23687" s="4" t="str">
        <f>HYPERLINK("#Statut_biogéographique!A"&amp;_xlfn.XMATCH("I",Statut_biogéographique!A:A,2,1),"I")</f>
        <v>I</v>
      </c>
      <c r="AP23687" s="4" t="s">
        <v>376</v>
      </c>
      <c r="AR23687" s="4" t="s">
        <v>377</v>
      </c>
    </row>
    <row r="23688" spans="1:44" ht="30">
      <c r="A23688" s="4" t="s">
        <v>24364</v>
      </c>
      <c r="B23688" s="4">
        <v>84230</v>
      </c>
      <c r="D23688" s="5" t="s">
        <v>30788</v>
      </c>
      <c r="E23688" s="6" t="str">
        <f>HYPERLINK("https://inpn.mnhn.fr/espece/cd_nom/84230","Asarum europaeum L., 1753")</f>
        <v>Asarum europaeum L., 1753</v>
      </c>
      <c r="F23688" s="5" t="s">
        <v>30789</v>
      </c>
      <c r="Q23688" s="7" t="str">
        <f>HYPERLINK("#Liste_rouge!A"&amp;_xlfn.XMATCH("LC",Liste_rouge!A:A,2,1),"LC")</f>
        <v>LC</v>
      </c>
      <c r="T23688" s="7" t="str">
        <f>HYPERLINK("#Liste_rouge!A"&amp;_xlfn.XMATCH("LC",Liste_rouge!A:A,2,1),"LC")</f>
        <v>LC</v>
      </c>
      <c r="V23688" s="7" t="str">
        <f>HYPERLINK("#Liste_rouge!A"&amp;_xlfn.XMATCH("LC",Liste_rouge!A:A,2,1),"LC")</f>
        <v>LC</v>
      </c>
      <c r="AH23688" s="4" t="str">
        <f>HYPERLINK("#Statut_biogéographique!A"&amp;_xlfn.XMATCH("P",Statut_biogéographique!A:A,2,1),"P")</f>
        <v>P</v>
      </c>
      <c r="AM23688" s="4" t="s">
        <v>375</v>
      </c>
      <c r="AN23688" s="4" t="s">
        <v>375</v>
      </c>
      <c r="AO23688" s="4" t="s">
        <v>375</v>
      </c>
      <c r="AP23688" s="4" t="s">
        <v>376</v>
      </c>
      <c r="AR23688" s="4" t="s">
        <v>377</v>
      </c>
    </row>
    <row r="23689" spans="1:44" ht="30">
      <c r="A23689" s="4" t="s">
        <v>24364</v>
      </c>
      <c r="B23689" s="4">
        <v>84251</v>
      </c>
      <c r="D23689" s="5" t="s">
        <v>30790</v>
      </c>
      <c r="E23689" s="6" t="str">
        <f>HYPERLINK("https://inpn.mnhn.fr/espece/cd_nom/84251","Asclepias syriaca L., 1753")</f>
        <v>Asclepias syriaca L., 1753</v>
      </c>
      <c r="F23689" s="5" t="s">
        <v>30791</v>
      </c>
      <c r="Q23689" s="7" t="str">
        <f>HYPERLINK("#Liste_rouge!A"&amp;_xlfn.XMATCH("NA",Liste_rouge!A:A,2,1),"NA")</f>
        <v>NA</v>
      </c>
      <c r="T23689" s="7" t="str">
        <f>HYPERLINK("#Liste_rouge!A"&amp;_xlfn.XMATCH("NA",Liste_rouge!A:A,2,1),"NA")</f>
        <v>NA</v>
      </c>
      <c r="AH23689" s="4" t="str">
        <f>HYPERLINK("#Statut_biogéographique!A"&amp;_xlfn.XMATCH("I",Statut_biogéographique!A:A,2,1),"I")</f>
        <v>I</v>
      </c>
      <c r="AL23689" s="5" t="str">
        <f>HYPERLINK("#Réglementation!A"&amp;_xlfn.XMATCH("FRnoEEEV",Réglementation!A:A,2,1),"FRnoEEEV - EEEUE")</f>
        <v>FRnoEEEV - EEEUE</v>
      </c>
      <c r="AM23689" s="4" t="s">
        <v>375</v>
      </c>
      <c r="AN23689" s="4" t="s">
        <v>375</v>
      </c>
      <c r="AO23689" s="4" t="s">
        <v>375</v>
      </c>
      <c r="AP23689" s="4" t="s">
        <v>376</v>
      </c>
      <c r="AR23689" s="4" t="s">
        <v>377</v>
      </c>
    </row>
    <row r="23690" spans="1:44">
      <c r="A23690" s="4" t="s">
        <v>24364</v>
      </c>
      <c r="B23690" s="4">
        <v>84264</v>
      </c>
      <c r="D23690" s="5" t="s">
        <v>30792</v>
      </c>
      <c r="E23690" s="6" t="str">
        <f>HYPERLINK("https://inpn.mnhn.fr/espece/cd_nom/84264","Asparagus acutifolius L., 1753")</f>
        <v>Asparagus acutifolius L., 1753</v>
      </c>
      <c r="F23690" s="5" t="s">
        <v>30793</v>
      </c>
      <c r="O23690" s="7" t="str">
        <f>HYPERLINK("#Liste_rouge!A"&amp;_xlfn.XMATCH("LC",Liste_rouge!A:A,2,1),"LC")</f>
        <v>LC</v>
      </c>
      <c r="P23690" s="7" t="str">
        <f>HYPERLINK("#Liste_rouge!A"&amp;_xlfn.XMATCH("LC",Liste_rouge!A:A,2,1),"LC")</f>
        <v>LC</v>
      </c>
      <c r="Q23690" s="7" t="str">
        <f>HYPERLINK("#Liste_rouge!A"&amp;_xlfn.XMATCH("LC",Liste_rouge!A:A,2,1),"LC")</f>
        <v>LC</v>
      </c>
      <c r="T23690" s="7" t="str">
        <f>HYPERLINK("#Liste_rouge!A"&amp;_xlfn.XMATCH("NA",Liste_rouge!A:A,2,1),"NA")</f>
        <v>NA</v>
      </c>
      <c r="AH23690" s="4" t="str">
        <f>HYPERLINK("#Statut_biogéographique!A"&amp;_xlfn.XMATCH("P",Statut_biogéographique!A:A,2,1),"P")</f>
        <v>P</v>
      </c>
      <c r="AP23690" s="4" t="s">
        <v>376</v>
      </c>
      <c r="AR23690" s="4" t="s">
        <v>377</v>
      </c>
    </row>
    <row r="23691" spans="1:44" ht="30">
      <c r="A23691" s="4" t="s">
        <v>24364</v>
      </c>
      <c r="B23691" s="4">
        <v>84279</v>
      </c>
      <c r="D23691" s="5" t="s">
        <v>30794</v>
      </c>
      <c r="E23691" s="6" t="str">
        <f>HYPERLINK("https://inpn.mnhn.fr/espece/cd_nom/84279","Asparagus officinalis L., 1753")</f>
        <v>Asparagus officinalis L., 1753</v>
      </c>
      <c r="F23691" s="5" t="s">
        <v>30795</v>
      </c>
      <c r="O23691" s="7" t="str">
        <f>HYPERLINK("#Liste_rouge!A"&amp;_xlfn.XMATCH("LC",Liste_rouge!A:A,2,1),"LC (cd_nom 84279) - DD (cd_nom 84283)")</f>
        <v>LC (cd_nom 84279) - DD (cd_nom 84283)</v>
      </c>
      <c r="P23691" s="7" t="str">
        <f>HYPERLINK("#Liste_rouge!A"&amp;_xlfn.XMATCH("LC",Liste_rouge!A:A,2,1),"LC (cd_nom 84279) - DD (cd_nom 84283)")</f>
        <v>LC (cd_nom 84279) - DD (cd_nom 84283)</v>
      </c>
      <c r="Q23691" s="7" t="str">
        <f>HYPERLINK("#Liste_rouge!A"&amp;_xlfn.XMATCH("LC",Liste_rouge!A:A,2,1),"LC")</f>
        <v>LC</v>
      </c>
      <c r="T23691" s="7" t="str">
        <f>HYPERLINK("#Liste_rouge!A"&amp;_xlfn.XMATCH("NA",Liste_rouge!A:A,2,1),"NA")</f>
        <v>NA</v>
      </c>
      <c r="AH23691" s="4" t="str">
        <f>HYPERLINK("#Statut_biogéographique!A"&amp;_xlfn.XMATCH("P",Statut_biogéographique!A:A,2,1),"P")</f>
        <v>P</v>
      </c>
      <c r="AM23691" s="4" t="s">
        <v>375</v>
      </c>
      <c r="AN23691" s="4" t="s">
        <v>375</v>
      </c>
      <c r="AO23691" s="4" t="s">
        <v>375</v>
      </c>
      <c r="AP23691" s="4" t="s">
        <v>376</v>
      </c>
      <c r="AR23691" s="4" t="s">
        <v>377</v>
      </c>
    </row>
    <row r="23692" spans="1:44" ht="30">
      <c r="A23692" s="4" t="s">
        <v>24364</v>
      </c>
      <c r="B23692" s="4">
        <v>84286</v>
      </c>
      <c r="D23692" s="5" t="s">
        <v>30796</v>
      </c>
      <c r="E23692" s="6" t="str">
        <f>HYPERLINK("https://inpn.mnhn.fr/espece/cd_nom/84286","Asparagus tenuifolius Lam., 1783")</f>
        <v>Asparagus tenuifolius Lam., 1783</v>
      </c>
      <c r="F23692" s="5" t="s">
        <v>30797</v>
      </c>
      <c r="O23692" s="7" t="str">
        <f>HYPERLINK("#Liste_rouge!A"&amp;_xlfn.XMATCH("LC",Liste_rouge!A:A,2,1),"LC")</f>
        <v>LC</v>
      </c>
      <c r="P23692" s="7" t="str">
        <f>HYPERLINK("#Liste_rouge!A"&amp;_xlfn.XMATCH("LC",Liste_rouge!A:A,2,1),"LC")</f>
        <v>LC</v>
      </c>
      <c r="Q23692" s="7" t="str">
        <f>HYPERLINK("#Liste_rouge!A"&amp;_xlfn.XMATCH("LC",Liste_rouge!A:A,2,1),"LC")</f>
        <v>LC</v>
      </c>
      <c r="T23692" s="7" t="str">
        <f>HYPERLINK("#Liste_rouge!A"&amp;_xlfn.XMATCH("EN",Liste_rouge!A:A,2,1),"EN")</f>
        <v>EN</v>
      </c>
      <c r="U23692" s="4" t="str">
        <f>HYPERLINK("#Critères_liste_rouge!A$1","D1")</f>
        <v>D1</v>
      </c>
      <c r="X23692" s="5" t="s">
        <v>374</v>
      </c>
      <c r="AB23692" s="4" t="s">
        <v>93</v>
      </c>
      <c r="AH23692" s="4" t="str">
        <f>HYPERLINK("#Statut_biogéographique!A"&amp;_xlfn.XMATCH("P",Statut_biogéographique!A:A,2,1),"P")</f>
        <v>P</v>
      </c>
      <c r="AM23692" s="4" t="s">
        <v>375</v>
      </c>
      <c r="AN23692" s="4" t="s">
        <v>375</v>
      </c>
      <c r="AO23692" s="4" t="s">
        <v>375</v>
      </c>
      <c r="AP23692" s="4" t="s">
        <v>376</v>
      </c>
      <c r="AR23692" s="4" t="s">
        <v>377</v>
      </c>
    </row>
    <row r="23693" spans="1:44">
      <c r="A23693" s="4" t="s">
        <v>24364</v>
      </c>
      <c r="B23693" s="4">
        <v>84290</v>
      </c>
      <c r="D23693" s="5" t="s">
        <v>30798</v>
      </c>
      <c r="E23693" s="6" t="str">
        <f>HYPERLINK("https://inpn.mnhn.fr/espece/cd_nom/84290","Asperugo procumbens L., 1753")</f>
        <v>Asperugo procumbens L., 1753</v>
      </c>
      <c r="F23693" s="5" t="s">
        <v>30799</v>
      </c>
      <c r="Q23693" s="7" t="str">
        <f>HYPERLINK("#Liste_rouge!A"&amp;_xlfn.XMATCH("LC",Liste_rouge!A:A,2,1),"LC")</f>
        <v>LC</v>
      </c>
      <c r="T23693" s="7" t="str">
        <f>HYPERLINK("#Liste_rouge!A"&amp;_xlfn.XMATCH("RE",Liste_rouge!A:A,2,1),"RE")</f>
        <v>RE</v>
      </c>
      <c r="AH23693" s="4" t="str">
        <f>HYPERLINK("#Statut_biogéographique!A"&amp;_xlfn.XMATCH("P",Statut_biogéographique!A:A,2,1),"P")</f>
        <v>P</v>
      </c>
      <c r="AM23693" s="4" t="s">
        <v>375</v>
      </c>
      <c r="AN23693" s="4" t="s">
        <v>375</v>
      </c>
      <c r="AO23693" s="4" t="s">
        <v>375</v>
      </c>
      <c r="AP23693" s="4" t="s">
        <v>376</v>
      </c>
      <c r="AR23693" s="4" t="s">
        <v>377</v>
      </c>
    </row>
    <row r="23694" spans="1:44">
      <c r="A23694" s="4" t="s">
        <v>24364</v>
      </c>
      <c r="B23694" s="4">
        <v>84297</v>
      </c>
      <c r="D23694" s="5" t="s">
        <v>30800</v>
      </c>
      <c r="E23694" s="6" t="str">
        <f>HYPERLINK("https://inpn.mnhn.fr/espece/cd_nom/84297","Asperula arvensis L., 1753")</f>
        <v>Asperula arvensis L., 1753</v>
      </c>
      <c r="F23694" s="5" t="s">
        <v>30801</v>
      </c>
      <c r="Q23694" s="7" t="str">
        <f>HYPERLINK("#Liste_rouge!A"&amp;_xlfn.XMATCH("EN",Liste_rouge!A:A,2,1),"EN")</f>
        <v>EN</v>
      </c>
      <c r="T23694" s="7" t="str">
        <f>HYPERLINK("#Liste_rouge!A"&amp;_xlfn.XMATCH("RE",Liste_rouge!A:A,2,1),"RE")</f>
        <v>RE</v>
      </c>
      <c r="V23694" s="7" t="str">
        <f>HYPERLINK("#Liste_rouge!A"&amp;_xlfn.XMATCH("RE",Liste_rouge!A:A,2,1),"RE")</f>
        <v>RE</v>
      </c>
      <c r="AH23694" s="4" t="str">
        <f>HYPERLINK("#Statut_biogéographique!A"&amp;_xlfn.XMATCH("P",Statut_biogéographique!A:A,2,1),"P")</f>
        <v>P</v>
      </c>
      <c r="AI23694" s="8" t="s">
        <v>30802</v>
      </c>
      <c r="AJ23694" s="4" t="s">
        <v>12248</v>
      </c>
      <c r="AM23694" s="4" t="s">
        <v>375</v>
      </c>
      <c r="AN23694" s="4" t="s">
        <v>375</v>
      </c>
      <c r="AO23694" s="4" t="s">
        <v>375</v>
      </c>
      <c r="AP23694" s="4" t="s">
        <v>389</v>
      </c>
      <c r="AR23694" s="4" t="s">
        <v>377</v>
      </c>
    </row>
    <row r="23695" spans="1:44" ht="60">
      <c r="A23695" s="4" t="s">
        <v>24364</v>
      </c>
      <c r="B23695" s="4">
        <v>84306</v>
      </c>
      <c r="D23695" s="5" t="s">
        <v>30803</v>
      </c>
      <c r="E23695" s="6" t="str">
        <f>HYPERLINK("https://inpn.mnhn.fr/espece/cd_nom/84306","Asperula cynanchica L., 1753")</f>
        <v>Asperula cynanchica L., 1753</v>
      </c>
      <c r="F23695" s="5" t="s">
        <v>30804</v>
      </c>
      <c r="Q23695" s="7" t="str">
        <f>HYPERLINK("#Liste_rouge!A"&amp;_xlfn.XMATCH("LC",Liste_rouge!A:A,2,1),"LC")</f>
        <v>LC</v>
      </c>
      <c r="T23695" s="7" t="str">
        <f>HYPERLINK("#Liste_rouge!A"&amp;_xlfn.XMATCH("LC",Liste_rouge!A:A,2,1),"LC")</f>
        <v>LC</v>
      </c>
      <c r="V23695" s="7" t="str">
        <f>HYPERLINK("#Liste_rouge!A"&amp;_xlfn.XMATCH("LC",Liste_rouge!A:A,2,1),"LC")</f>
        <v>LC</v>
      </c>
      <c r="AH23695" s="4" t="str">
        <f>HYPERLINK("#Statut_biogéographique!A"&amp;_xlfn.XMATCH("P",Statut_biogéographique!A:A,2,1),"P")</f>
        <v>P</v>
      </c>
      <c r="AM23695" s="4" t="s">
        <v>375</v>
      </c>
      <c r="AN23695" s="4" t="s">
        <v>375</v>
      </c>
      <c r="AO23695" s="4" t="s">
        <v>375</v>
      </c>
      <c r="AP23695" s="4" t="s">
        <v>376</v>
      </c>
      <c r="AR23695" s="4" t="s">
        <v>377</v>
      </c>
    </row>
    <row r="23696" spans="1:44" ht="30">
      <c r="A23696" s="4" t="s">
        <v>24364</v>
      </c>
      <c r="B23696" s="4">
        <v>84330</v>
      </c>
      <c r="D23696" s="5" t="s">
        <v>30805</v>
      </c>
      <c r="E23696" s="6" t="str">
        <f>HYPERLINK("https://inpn.mnhn.fr/espece/cd_nom/84330","Asperula tinctoria L., 1753")</f>
        <v>Asperula tinctoria L., 1753</v>
      </c>
      <c r="F23696" s="5" t="s">
        <v>30806</v>
      </c>
      <c r="M23696" s="4" t="str">
        <f>HYPERLINK("#Réglementation!A"&amp;_xlfn.XMATCH("RV43",Réglementation!A:A,2,1),"RV43")</f>
        <v>RV43</v>
      </c>
      <c r="Q23696" s="7" t="str">
        <f>HYPERLINK("#Liste_rouge!A"&amp;_xlfn.XMATCH("NT",Liste_rouge!A:A,2,1),"NT")</f>
        <v>NT</v>
      </c>
      <c r="T23696" s="7" t="str">
        <f>HYPERLINK("#Liste_rouge!A"&amp;_xlfn.XMATCH("CR",Liste_rouge!A:A,2,1),"CR")</f>
        <v>CR</v>
      </c>
      <c r="U23696" s="4" t="str">
        <f>HYPERLINK("#Critères_liste_rouge!A$1","B1 B2ab(iii) C2a(i)")</f>
        <v>B1 B2ab(iii) C2a(i)</v>
      </c>
      <c r="V23696" s="7" t="str">
        <f>HYPERLINK("#Liste_rouge!A"&amp;_xlfn.XMATCH("NT",Liste_rouge!A:A,2,1),"NT")</f>
        <v>NT</v>
      </c>
      <c r="W23696" s="4" t="str">
        <f>HYPERLINK("#Critères_liste_rouge!A$1","pr. B2b(iii)")</f>
        <v>pr. B2b(iii)</v>
      </c>
      <c r="X23696" s="5" t="s">
        <v>374</v>
      </c>
      <c r="AB23696" s="4" t="s">
        <v>93</v>
      </c>
      <c r="AH23696" s="4" t="str">
        <f>HYPERLINK("#Statut_biogéographique!A"&amp;_xlfn.XMATCH("P",Statut_biogéographique!A:A,2,1),"P")</f>
        <v>P</v>
      </c>
      <c r="AM23696" s="4" t="s">
        <v>375</v>
      </c>
      <c r="AN23696" s="4" t="s">
        <v>375</v>
      </c>
      <c r="AO23696" s="4" t="s">
        <v>375</v>
      </c>
      <c r="AP23696" s="4" t="s">
        <v>376</v>
      </c>
      <c r="AR23696" s="4" t="s">
        <v>377</v>
      </c>
    </row>
    <row r="23697" spans="1:44">
      <c r="A23697" s="4" t="s">
        <v>24364</v>
      </c>
      <c r="B23697" s="4">
        <v>84338</v>
      </c>
      <c r="D23697" s="5" t="s">
        <v>30807</v>
      </c>
      <c r="E23697" s="6" t="str">
        <f>HYPERLINK("https://inpn.mnhn.fr/espece/cd_nom/84338","Asphodelus albus Mill., 1768")</f>
        <v>Asphodelus albus Mill., 1768</v>
      </c>
      <c r="F23697" s="5" t="s">
        <v>30808</v>
      </c>
      <c r="Q23697" s="7" t="str">
        <f>HYPERLINK("#Liste_rouge!A"&amp;_xlfn.XMATCH("LC",Liste_rouge!A:A,2,1),"LC")</f>
        <v>LC</v>
      </c>
      <c r="T23697" s="7" t="str">
        <f>HYPERLINK("#Liste_rouge!A"&amp;_xlfn.XMATCH("NA",Liste_rouge!A:A,2,1),"NA")</f>
        <v>NA</v>
      </c>
      <c r="AH23697" s="4" t="str">
        <f>HYPERLINK("#Statut_biogéographique!A"&amp;_xlfn.XMATCH("P",Statut_biogéographique!A:A,2,1),"P")</f>
        <v>P</v>
      </c>
      <c r="AP23697" s="4" t="s">
        <v>376</v>
      </c>
      <c r="AR23697" s="4" t="s">
        <v>377</v>
      </c>
    </row>
    <row r="23698" spans="1:44" ht="30">
      <c r="A23698" s="4" t="s">
        <v>24364</v>
      </c>
      <c r="B23698" s="4">
        <v>84343</v>
      </c>
      <c r="D23698" s="5" t="s">
        <v>30809</v>
      </c>
      <c r="E23698" s="6" t="str">
        <f>HYPERLINK("https://inpn.mnhn.fr/espece/cd_nom/84343","Asphodelus ayardii Jahand. &amp; Maire, 1925")</f>
        <v>Asphodelus ayardii Jahand. &amp; Maire, 1925</v>
      </c>
      <c r="F23698" s="5" t="s">
        <v>30810</v>
      </c>
      <c r="Q23698" s="7" t="str">
        <f>HYPERLINK("#Liste_rouge!A"&amp;_xlfn.XMATCH("LC",Liste_rouge!A:A,2,1),"LC")</f>
        <v>LC</v>
      </c>
      <c r="AH23698" s="4" t="str">
        <f>HYPERLINK("#Statut_biogéographique!A"&amp;_xlfn.XMATCH("P",Statut_biogéographique!A:A,2,1),"P")</f>
        <v>P</v>
      </c>
      <c r="AP23698" s="4" t="s">
        <v>376</v>
      </c>
      <c r="AR23698" s="4" t="s">
        <v>377</v>
      </c>
    </row>
    <row r="23699" spans="1:44" ht="30">
      <c r="A23699" s="4" t="s">
        <v>24364</v>
      </c>
      <c r="B23699" s="4">
        <v>843453</v>
      </c>
      <c r="D23699" s="5" t="s">
        <v>30811</v>
      </c>
      <c r="E23699" s="6" t="str">
        <f>HYPERLINK("https://inpn.mnhn.fr/espece/cd_nom/843453","Chionoloma tenuirostre (Hook. &amp; Taylor) M.Alonso, M.J.Cano &amp; J.A.Jiménez, 2016")</f>
        <v>Chionoloma tenuirostre (Hook. &amp; Taylor) M.Alonso, M.J.Cano &amp; J.A.Jiménez, 2016</v>
      </c>
      <c r="P23699" s="7" t="str">
        <f>HYPERLINK("#Liste_rouge!A"&amp;_xlfn.XMATCH("LC",Liste_rouge!A:A,2,1),"LC")</f>
        <v>LC</v>
      </c>
      <c r="T23699" s="7" t="str">
        <f>HYPERLINK("#Liste_rouge!A"&amp;_xlfn.XMATCH("LC",Liste_rouge!A:A,2,1),"LC")</f>
        <v>LC</v>
      </c>
      <c r="V23699" s="7" t="str">
        <f>HYPERLINK("#Liste_rouge!A"&amp;_xlfn.XMATCH("LC",Liste_rouge!A:A,2,1),"LC")</f>
        <v>LC</v>
      </c>
      <c r="AB23699" s="4" t="s">
        <v>25127</v>
      </c>
      <c r="AH23699" s="4" t="str">
        <f>HYPERLINK("#Statut_biogéographique!A"&amp;_xlfn.XMATCH("P",Statut_biogéographique!A:A,2,1),"P")</f>
        <v>P</v>
      </c>
      <c r="AP23699" s="4" t="s">
        <v>376</v>
      </c>
      <c r="AR23699" s="4" t="s">
        <v>377</v>
      </c>
    </row>
    <row r="23700" spans="1:44" ht="45">
      <c r="A23700" s="4" t="s">
        <v>24364</v>
      </c>
      <c r="B23700" s="4">
        <v>84458</v>
      </c>
      <c r="D23700" s="5" t="s">
        <v>30812</v>
      </c>
      <c r="E23700" s="6" t="str">
        <f>HYPERLINK("https://inpn.mnhn.fr/espece/cd_nom/84458","Asplenium adiantum-nigrum L., 1753")</f>
        <v>Asplenium adiantum-nigrum L., 1753</v>
      </c>
      <c r="F23700" s="5" t="s">
        <v>30813</v>
      </c>
      <c r="P23700" s="7" t="str">
        <f>HYPERLINK("#Liste_rouge!A"&amp;_xlfn.XMATCH("LC",Liste_rouge!A:A,2,1),"LC")</f>
        <v>LC</v>
      </c>
      <c r="Q23700" s="7" t="str">
        <f>HYPERLINK("#Liste_rouge!A"&amp;_xlfn.XMATCH("LC",Liste_rouge!A:A,2,1),"LC")</f>
        <v>LC</v>
      </c>
      <c r="T23700" s="7" t="str">
        <f>HYPERLINK("#Liste_rouge!A"&amp;_xlfn.XMATCH("LC",Liste_rouge!A:A,2,1),"LC")</f>
        <v>LC</v>
      </c>
      <c r="V23700" s="7" t="str">
        <f>HYPERLINK("#Liste_rouge!A"&amp;_xlfn.XMATCH("LC",Liste_rouge!A:A,2,1),"LC")</f>
        <v>LC</v>
      </c>
      <c r="AB23700" s="4" t="s">
        <v>24634</v>
      </c>
      <c r="AH23700" s="4" t="str">
        <f>HYPERLINK("#Statut_biogéographique!A"&amp;_xlfn.XMATCH("P",Statut_biogéographique!A:A,2,1),"P")</f>
        <v>P</v>
      </c>
      <c r="AM23700" s="4" t="s">
        <v>375</v>
      </c>
      <c r="AN23700" s="4" t="s">
        <v>375</v>
      </c>
      <c r="AO23700" s="4" t="s">
        <v>375</v>
      </c>
      <c r="AP23700" s="4" t="s">
        <v>376</v>
      </c>
      <c r="AR23700" s="4" t="s">
        <v>377</v>
      </c>
    </row>
    <row r="23701" spans="1:44" ht="45">
      <c r="A23701" s="4" t="s">
        <v>24364</v>
      </c>
      <c r="B23701" s="4">
        <v>84472</v>
      </c>
      <c r="D23701" s="5" t="s">
        <v>30814</v>
      </c>
      <c r="E23701" s="6" t="str">
        <f>HYPERLINK("https://inpn.mnhn.fr/espece/cd_nom/84472","Asplenium ceterach L., 1753")</f>
        <v>Asplenium ceterach L., 1753</v>
      </c>
      <c r="F23701" s="5" t="s">
        <v>30815</v>
      </c>
      <c r="P23701" s="7" t="str">
        <f>HYPERLINK("#Liste_rouge!A"&amp;_xlfn.XMATCH("LC",Liste_rouge!A:A,2,1),"LC")</f>
        <v>LC</v>
      </c>
      <c r="Q23701" s="7" t="str">
        <f>HYPERLINK("#Liste_rouge!A"&amp;_xlfn.XMATCH("LC",Liste_rouge!A:A,2,1),"LC")</f>
        <v>LC</v>
      </c>
      <c r="T23701" s="7" t="str">
        <f>HYPERLINK("#Liste_rouge!A"&amp;_xlfn.XMATCH("LC",Liste_rouge!A:A,2,1),"LC")</f>
        <v>LC</v>
      </c>
      <c r="V23701" s="7" t="str">
        <f>HYPERLINK("#Liste_rouge!A"&amp;_xlfn.XMATCH("LC",Liste_rouge!A:A,2,1),"LC")</f>
        <v>LC</v>
      </c>
      <c r="AH23701" s="4" t="str">
        <f>HYPERLINK("#Statut_biogéographique!A"&amp;_xlfn.XMATCH("P",Statut_biogéographique!A:A,2,1),"P")</f>
        <v>P</v>
      </c>
      <c r="AM23701" s="4" t="s">
        <v>375</v>
      </c>
      <c r="AN23701" s="4" t="s">
        <v>375</v>
      </c>
      <c r="AO23701" s="4" t="s">
        <v>375</v>
      </c>
      <c r="AP23701" s="4" t="s">
        <v>376</v>
      </c>
      <c r="AR23701" s="4" t="s">
        <v>377</v>
      </c>
    </row>
    <row r="23702" spans="1:44" ht="45">
      <c r="A23702" s="4" t="s">
        <v>24364</v>
      </c>
      <c r="B23702" s="4">
        <v>84485</v>
      </c>
      <c r="D23702" s="5" t="s">
        <v>30816</v>
      </c>
      <c r="E23702" s="6" t="str">
        <f>HYPERLINK("https://inpn.mnhn.fr/espece/cd_nom/84485","Asplenium fontanum (L.) Bernh., 1799")</f>
        <v>Asplenium fontanum (L.) Bernh., 1799</v>
      </c>
      <c r="F23702" s="5" t="s">
        <v>28321</v>
      </c>
      <c r="O23702" s="7" t="str">
        <f>HYPERLINK("#Liste_rouge!A"&amp;_xlfn.XMATCH("LC",Liste_rouge!A:A,2,1),"LC")</f>
        <v>LC</v>
      </c>
      <c r="P23702" s="7" t="str">
        <f>HYPERLINK("#Liste_rouge!A"&amp;_xlfn.XMATCH("LC",Liste_rouge!A:A,2,1),"LC")</f>
        <v>LC</v>
      </c>
      <c r="Q23702" s="7" t="str">
        <f>HYPERLINK("#Liste_rouge!A"&amp;_xlfn.XMATCH("LC",Liste_rouge!A:A,2,1),"LC")</f>
        <v>LC</v>
      </c>
      <c r="T23702" s="7" t="str">
        <f>HYPERLINK("#Liste_rouge!A"&amp;_xlfn.XMATCH("CR",Liste_rouge!A:A,2,1),"CR")</f>
        <v>CR</v>
      </c>
      <c r="U23702" s="4" t="str">
        <f>HYPERLINK("#Critères_liste_rouge!A$1","C2a(i)")</f>
        <v>C2a(i)</v>
      </c>
      <c r="V23702" s="7" t="str">
        <f>HYPERLINK("#Liste_rouge!A"&amp;_xlfn.XMATCH("LC",Liste_rouge!A:A,2,1),"LC")</f>
        <v>LC</v>
      </c>
      <c r="AB23702" s="4" t="s">
        <v>27690</v>
      </c>
      <c r="AH23702" s="4" t="str">
        <f>HYPERLINK("#Statut_biogéographique!A"&amp;_xlfn.XMATCH("P",Statut_biogéographique!A:A,2,1),"P")</f>
        <v>P</v>
      </c>
      <c r="AM23702" s="4" t="s">
        <v>375</v>
      </c>
      <c r="AN23702" s="4" t="s">
        <v>375</v>
      </c>
      <c r="AO23702" s="4" t="s">
        <v>375</v>
      </c>
      <c r="AP23702" s="4" t="s">
        <v>376</v>
      </c>
      <c r="AR23702" s="4" t="s">
        <v>377</v>
      </c>
    </row>
    <row r="23703" spans="1:44" ht="30">
      <c r="A23703" s="4" t="s">
        <v>24364</v>
      </c>
      <c r="B23703" s="4">
        <v>84511</v>
      </c>
      <c r="D23703" s="5" t="s">
        <v>30817</v>
      </c>
      <c r="E23703" s="6" t="str">
        <f>HYPERLINK("https://inpn.mnhn.fr/espece/cd_nom/84511","Asplenium obovatum Viv., 1824")</f>
        <v>Asplenium obovatum Viv., 1824</v>
      </c>
      <c r="F23703" s="5" t="s">
        <v>30818</v>
      </c>
      <c r="P23703" s="7" t="str">
        <f>HYPERLINK("#Liste_rouge!A"&amp;_xlfn.XMATCH("LC",Liste_rouge!A:A,2,1),"LC")</f>
        <v>LC</v>
      </c>
      <c r="Q23703" s="7" t="str">
        <f>HYPERLINK("#Liste_rouge!A"&amp;_xlfn.XMATCH("LC",Liste_rouge!A:A,2,1),"LC")</f>
        <v>LC</v>
      </c>
      <c r="T23703" s="7" t="str">
        <f>HYPERLINK("#Liste_rouge!A"&amp;_xlfn.XMATCH("CR",Liste_rouge!A:A,2,1),"CR")</f>
        <v>CR</v>
      </c>
      <c r="U23703" s="4" t="str">
        <f>HYPERLINK("#Critères_liste_rouge!A$1","B1 B2ab(i,ii,iv) C2a(i) D1")</f>
        <v>B1 B2ab(i,ii,iv) C2a(i) D1</v>
      </c>
      <c r="X23703" s="5" t="s">
        <v>374</v>
      </c>
      <c r="AB23703" s="4" t="s">
        <v>93</v>
      </c>
      <c r="AH23703" s="4" t="str">
        <f>HYPERLINK("#Statut_biogéographique!A"&amp;_xlfn.XMATCH("P",Statut_biogéographique!A:A,2,1),"P")</f>
        <v>P</v>
      </c>
      <c r="AP23703" s="4" t="s">
        <v>376</v>
      </c>
      <c r="AR23703" s="4" t="s">
        <v>377</v>
      </c>
    </row>
    <row r="23704" spans="1:44" ht="90">
      <c r="A23704" s="4" t="s">
        <v>24364</v>
      </c>
      <c r="B23704" s="4">
        <v>84521</v>
      </c>
      <c r="D23704" s="5" t="s">
        <v>30819</v>
      </c>
      <c r="E23704" s="6" t="str">
        <f>HYPERLINK("https://inpn.mnhn.fr/espece/cd_nom/84521","Asplenium ruta-muraria L., 1753")</f>
        <v>Asplenium ruta-muraria L., 1753</v>
      </c>
      <c r="F23704" s="5" t="s">
        <v>28324</v>
      </c>
      <c r="P23704" s="7" t="str">
        <f>HYPERLINK("#Liste_rouge!A"&amp;_xlfn.XMATCH("LC",Liste_rouge!A:A,2,1),"LC")</f>
        <v>LC</v>
      </c>
      <c r="Q23704" s="7" t="str">
        <f>HYPERLINK("#Liste_rouge!A"&amp;_xlfn.XMATCH("LC",Liste_rouge!A:A,2,1),"LC")</f>
        <v>LC</v>
      </c>
      <c r="T23704" s="7" t="str">
        <f>HYPERLINK("#Liste_rouge!A"&amp;_xlfn.XMATCH("LC",Liste_rouge!A:A,2,1),"LC")</f>
        <v>LC</v>
      </c>
      <c r="V23704" s="7" t="str">
        <f>HYPERLINK("#Liste_rouge!A"&amp;_xlfn.XMATCH("LC",Liste_rouge!A:A,2,1),"LC")</f>
        <v>LC</v>
      </c>
      <c r="AH23704" s="4" t="str">
        <f>HYPERLINK("#Statut_biogéographique!A"&amp;_xlfn.XMATCH("P",Statut_biogéographique!A:A,2,1),"P")</f>
        <v>P</v>
      </c>
      <c r="AM23704" s="4" t="s">
        <v>375</v>
      </c>
      <c r="AN23704" s="4" t="s">
        <v>375</v>
      </c>
      <c r="AO23704" s="4" t="s">
        <v>375</v>
      </c>
      <c r="AP23704" s="4" t="s">
        <v>376</v>
      </c>
      <c r="AR23704" s="4" t="s">
        <v>377</v>
      </c>
    </row>
    <row r="23705" spans="1:44" ht="45">
      <c r="A23705" s="4" t="s">
        <v>24364</v>
      </c>
      <c r="B23705" s="4">
        <v>84524</v>
      </c>
      <c r="D23705" s="5" t="s">
        <v>30820</v>
      </c>
      <c r="E23705" s="6" t="str">
        <f>HYPERLINK("https://inpn.mnhn.fr/espece/cd_nom/84524","Asplenium scolopendrium L., 1753")</f>
        <v>Asplenium scolopendrium L., 1753</v>
      </c>
      <c r="F23705" s="5" t="s">
        <v>30821</v>
      </c>
      <c r="P23705" s="7" t="str">
        <f>HYPERLINK("#Liste_rouge!A"&amp;_xlfn.XMATCH("LC",Liste_rouge!A:A,2,1),"LC")</f>
        <v>LC</v>
      </c>
      <c r="Q23705" s="7" t="str">
        <f>HYPERLINK("#Liste_rouge!A"&amp;_xlfn.XMATCH("LC",Liste_rouge!A:A,2,1),"LC")</f>
        <v>LC</v>
      </c>
      <c r="T23705" s="7" t="str">
        <f>HYPERLINK("#Liste_rouge!A"&amp;_xlfn.XMATCH("LC",Liste_rouge!A:A,2,1),"LC")</f>
        <v>LC</v>
      </c>
      <c r="V23705" s="7" t="str">
        <f>HYPERLINK("#Liste_rouge!A"&amp;_xlfn.XMATCH("LC",Liste_rouge!A:A,2,1),"LC")</f>
        <v>LC</v>
      </c>
      <c r="AH23705" s="4" t="str">
        <f>HYPERLINK("#Statut_biogéographique!A"&amp;_xlfn.XMATCH("P",Statut_biogéographique!A:A,2,1),"P")</f>
        <v>P</v>
      </c>
      <c r="AM23705" s="4" t="s">
        <v>375</v>
      </c>
      <c r="AN23705" s="4" t="s">
        <v>375</v>
      </c>
      <c r="AO23705" s="4" t="s">
        <v>375</v>
      </c>
      <c r="AP23705" s="4" t="s">
        <v>376</v>
      </c>
      <c r="AR23705" s="4" t="s">
        <v>377</v>
      </c>
    </row>
    <row r="23706" spans="1:44" ht="30">
      <c r="A23706" s="4" t="s">
        <v>24364</v>
      </c>
      <c r="B23706" s="4">
        <v>84526</v>
      </c>
      <c r="D23706" s="5" t="s">
        <v>30822</v>
      </c>
      <c r="E23706" s="6" t="str">
        <f>HYPERLINK("https://inpn.mnhn.fr/espece/cd_nom/84526","Asplenium septentrionale (L.) Hoffm., 1796")</f>
        <v>Asplenium septentrionale (L.) Hoffm., 1796</v>
      </c>
      <c r="F23706" s="5" t="s">
        <v>28325</v>
      </c>
      <c r="P23706" s="7" t="str">
        <f>HYPERLINK("#Liste_rouge!A"&amp;_xlfn.XMATCH("LC",Liste_rouge!A:A,2,1),"LC")</f>
        <v>LC</v>
      </c>
      <c r="Q23706" s="7" t="str">
        <f>HYPERLINK("#Liste_rouge!A"&amp;_xlfn.XMATCH("LC",Liste_rouge!A:A,2,1),"LC")</f>
        <v>LC</v>
      </c>
      <c r="T23706" s="7" t="str">
        <f>HYPERLINK("#Liste_rouge!A"&amp;_xlfn.XMATCH("LC",Liste_rouge!A:A,2,1),"LC")</f>
        <v>LC</v>
      </c>
      <c r="V23706" s="7" t="str">
        <f>HYPERLINK("#Liste_rouge!A"&amp;_xlfn.XMATCH("LC",Liste_rouge!A:A,2,1),"LC")</f>
        <v>LC</v>
      </c>
      <c r="AB23706" s="4" t="s">
        <v>25865</v>
      </c>
      <c r="AH23706" s="4" t="str">
        <f>HYPERLINK("#Statut_biogéographique!A"&amp;_xlfn.XMATCH("P",Statut_biogéographique!A:A,2,1),"P")</f>
        <v>P</v>
      </c>
      <c r="AM23706" s="4" t="s">
        <v>375</v>
      </c>
      <c r="AN23706" s="4" t="s">
        <v>375</v>
      </c>
      <c r="AO23706" s="4" t="s">
        <v>375</v>
      </c>
      <c r="AP23706" s="4" t="s">
        <v>376</v>
      </c>
      <c r="AR23706" s="4" t="s">
        <v>377</v>
      </c>
    </row>
    <row r="23707" spans="1:44" ht="30">
      <c r="A23707" s="4" t="s">
        <v>24364</v>
      </c>
      <c r="B23707" s="4">
        <v>84534</v>
      </c>
      <c r="D23707" s="5" t="s">
        <v>30823</v>
      </c>
      <c r="E23707" s="6" t="str">
        <f>HYPERLINK("https://inpn.mnhn.fr/espece/cd_nom/84534","Asplenium trichomanes L., 1753")</f>
        <v>Asplenium trichomanes L., 1753</v>
      </c>
      <c r="F23707" s="5" t="s">
        <v>28339</v>
      </c>
      <c r="P23707" s="7" t="str">
        <f>HYPERLINK("#Liste_rouge!A"&amp;_xlfn.XMATCH("LC",Liste_rouge!A:A,2,1),"LC")</f>
        <v>LC</v>
      </c>
      <c r="Q23707" s="7" t="str">
        <f>HYPERLINK("#Liste_rouge!A"&amp;_xlfn.XMATCH("LC",Liste_rouge!A:A,2,1),"LC")</f>
        <v>LC</v>
      </c>
      <c r="T23707" s="7" t="str">
        <f>HYPERLINK("#Liste_rouge!A"&amp;_xlfn.XMATCH("LC",Liste_rouge!A:A,2,1),"LC")</f>
        <v>LC</v>
      </c>
      <c r="V23707" s="7" t="str">
        <f>HYPERLINK("#Liste_rouge!A"&amp;_xlfn.XMATCH("LC",Liste_rouge!A:A,2,1),"LC")</f>
        <v>LC</v>
      </c>
      <c r="AH23707" s="4" t="str">
        <f>HYPERLINK("#Statut_biogéographique!A"&amp;_xlfn.XMATCH("P",Statut_biogéographique!A:A,2,1),"P")</f>
        <v>P</v>
      </c>
      <c r="AM23707" s="4" t="s">
        <v>375</v>
      </c>
      <c r="AN23707" s="4" t="s">
        <v>375</v>
      </c>
      <c r="AO23707" s="4" t="s">
        <v>375</v>
      </c>
      <c r="AP23707" s="4" t="s">
        <v>376</v>
      </c>
      <c r="AR23707" s="4" t="s">
        <v>377</v>
      </c>
    </row>
    <row r="23708" spans="1:44" ht="30">
      <c r="A23708" s="4" t="s">
        <v>24364</v>
      </c>
      <c r="B23708" s="4">
        <v>84540</v>
      </c>
      <c r="D23708" s="5" t="s">
        <v>30824</v>
      </c>
      <c r="E23708" s="6" t="str">
        <f>HYPERLINK("https://inpn.mnhn.fr/espece/cd_nom/84540","Asplenium viride Huds., 1762")</f>
        <v>Asplenium viride Huds., 1762</v>
      </c>
      <c r="F23708" s="5" t="s">
        <v>30825</v>
      </c>
      <c r="P23708" s="7" t="str">
        <f>HYPERLINK("#Liste_rouge!A"&amp;_xlfn.XMATCH("LC",Liste_rouge!A:A,2,1),"LC")</f>
        <v>LC</v>
      </c>
      <c r="Q23708" s="7" t="str">
        <f>HYPERLINK("#Liste_rouge!A"&amp;_xlfn.XMATCH("LC",Liste_rouge!A:A,2,1),"LC")</f>
        <v>LC</v>
      </c>
      <c r="T23708" s="7" t="str">
        <f>HYPERLINK("#Liste_rouge!A"&amp;_xlfn.XMATCH("DD",Liste_rouge!A:A,2,1),"DD")</f>
        <v>DD</v>
      </c>
      <c r="V23708" s="7" t="str">
        <f>HYPERLINK("#Liste_rouge!A"&amp;_xlfn.XMATCH("LC",Liste_rouge!A:A,2,1),"LC")</f>
        <v>LC</v>
      </c>
      <c r="AB23708" s="4" t="s">
        <v>24410</v>
      </c>
      <c r="AH23708" s="4" t="str">
        <f>HYPERLINK("#Statut_biogéographique!A"&amp;_xlfn.XMATCH("P",Statut_biogéographique!A:A,2,1),"P")</f>
        <v>P</v>
      </c>
      <c r="AM23708" s="4" t="s">
        <v>375</v>
      </c>
      <c r="AN23708" s="4" t="s">
        <v>375</v>
      </c>
      <c r="AO23708" s="4" t="s">
        <v>375</v>
      </c>
      <c r="AP23708" s="4" t="s">
        <v>376</v>
      </c>
      <c r="AR23708" s="4" t="s">
        <v>377</v>
      </c>
    </row>
    <row r="23709" spans="1:44" ht="45">
      <c r="A23709" s="4" t="s">
        <v>24364</v>
      </c>
      <c r="B23709" s="4">
        <v>84545</v>
      </c>
      <c r="D23709" s="5" t="s">
        <v>30826</v>
      </c>
      <c r="E23709" s="6" t="str">
        <f>HYPERLINK("https://inpn.mnhn.fr/espece/cd_nom/84545","Asplenium x alternifolium Wulfen, 1781")</f>
        <v>Asplenium x alternifolium Wulfen, 1781</v>
      </c>
      <c r="F23709" s="5" t="s">
        <v>28342</v>
      </c>
      <c r="T23709" s="7" t="str">
        <f>HYPERLINK("#Liste_rouge!A"&amp;_xlfn.XMATCH("DD",Liste_rouge!A:A,2,1),"DD")</f>
        <v>DD</v>
      </c>
      <c r="AH23709" s="4" t="str">
        <f>HYPERLINK("#Statut_biogéographique!A"&amp;_xlfn.XMATCH("P",Statut_biogéographique!A:A,2,1),"P")</f>
        <v>P</v>
      </c>
      <c r="AP23709" s="4" t="s">
        <v>376</v>
      </c>
      <c r="AR23709" s="4" t="s">
        <v>377</v>
      </c>
    </row>
    <row r="23710" spans="1:44">
      <c r="A23710" s="4" t="s">
        <v>24364</v>
      </c>
      <c r="B23710" s="4">
        <v>84585</v>
      </c>
      <c r="D23710" s="5" t="s">
        <v>30827</v>
      </c>
      <c r="E23710" s="6" t="str">
        <f>HYPERLINK("https://inpn.mnhn.fr/espece/cd_nom/84585","Asplenium x murbeckii Dörfl., 1895")</f>
        <v>Asplenium x murbeckii Dörfl., 1895</v>
      </c>
      <c r="F23710" s="5" t="s">
        <v>30828</v>
      </c>
      <c r="AH23710" s="4" t="str">
        <f>HYPERLINK("#Statut_biogéographique!A"&amp;_xlfn.XMATCH("P",Statut_biogéographique!A:A,2,1),"P")</f>
        <v>P</v>
      </c>
      <c r="AP23710" s="4" t="s">
        <v>376</v>
      </c>
      <c r="AR23710" s="4" t="s">
        <v>377</v>
      </c>
    </row>
    <row r="23711" spans="1:44" ht="30">
      <c r="A23711" s="4" t="s">
        <v>24364</v>
      </c>
      <c r="B23711" s="4">
        <v>84622</v>
      </c>
      <c r="D23711" s="5" t="s">
        <v>30829</v>
      </c>
      <c r="E23711" s="6" t="str">
        <f>HYPERLINK("https://inpn.mnhn.fr/espece/cd_nom/84622","Aster alpinus L., 1753")</f>
        <v>Aster alpinus L., 1753</v>
      </c>
      <c r="F23711" s="5" t="s">
        <v>30830</v>
      </c>
      <c r="M23711" s="4" t="str">
        <f>HYPERLINK("#Réglementation!A"&amp;_xlfn.XMATCH("RV43",Réglementation!A:A,2,1),"RV43")</f>
        <v>RV43</v>
      </c>
      <c r="Q23711" s="7" t="str">
        <f>HYPERLINK("#Liste_rouge!A"&amp;_xlfn.XMATCH("LC",Liste_rouge!A:A,2,1),"LC")</f>
        <v>LC</v>
      </c>
      <c r="V23711" s="7" t="str">
        <f>HYPERLINK("#Liste_rouge!A"&amp;_xlfn.XMATCH("CR",Liste_rouge!A:A,2,1),"CR")</f>
        <v>CR</v>
      </c>
      <c r="W23711" s="4" t="str">
        <f>HYPERLINK("#Critères_liste_rouge!A$1","D")</f>
        <v>D</v>
      </c>
      <c r="X23711" s="5" t="s">
        <v>374</v>
      </c>
      <c r="AB23711" s="4" t="s">
        <v>93</v>
      </c>
      <c r="AH23711" s="4" t="str">
        <f>HYPERLINK("#Statut_biogéographique!A"&amp;_xlfn.XMATCH("P",Statut_biogéographique!A:A,2,1),"P")</f>
        <v>P</v>
      </c>
      <c r="AM23711" s="4" t="s">
        <v>375</v>
      </c>
      <c r="AN23711" s="4" t="s">
        <v>375</v>
      </c>
      <c r="AO23711" s="4" t="s">
        <v>375</v>
      </c>
      <c r="AP23711" s="4" t="s">
        <v>376</v>
      </c>
      <c r="AR23711" s="4" t="s">
        <v>377</v>
      </c>
    </row>
    <row r="23712" spans="1:44" ht="30">
      <c r="A23712" s="4" t="s">
        <v>24364</v>
      </c>
      <c r="B23712" s="4">
        <v>84626</v>
      </c>
      <c r="D23712" s="5" t="s">
        <v>30831</v>
      </c>
      <c r="E23712" s="6" t="str">
        <f>HYPERLINK("https://inpn.mnhn.fr/espece/cd_nom/84626","Aster amellus L., 1753")</f>
        <v>Aster amellus L., 1753</v>
      </c>
      <c r="F23712" s="5" t="s">
        <v>30832</v>
      </c>
      <c r="L23712" s="4" t="str">
        <f>HYPERLINK("#Réglementation!A"&amp;_xlfn.XMATCH("NV1",Réglementation!A:A,2,1),"NV1")</f>
        <v>NV1</v>
      </c>
      <c r="P23712" s="7" t="str">
        <f>HYPERLINK("#Liste_rouge!A"&amp;_xlfn.XMATCH("LC",Liste_rouge!A:A,2,1),"LC")</f>
        <v>LC</v>
      </c>
      <c r="Q23712" s="7" t="str">
        <f>HYPERLINK("#Liste_rouge!A"&amp;_xlfn.XMATCH("LC",Liste_rouge!A:A,2,1),"LC")</f>
        <v>LC</v>
      </c>
      <c r="T23712" s="7" t="str">
        <f>HYPERLINK("#Liste_rouge!A"&amp;_xlfn.XMATCH("VU",Liste_rouge!A:A,2,1),"VU")</f>
        <v>VU</v>
      </c>
      <c r="U23712" s="4" t="str">
        <f>HYPERLINK("#Critères_liste_rouge!A$1","EN (B2ab(ii,iii,iv)) - 1")</f>
        <v>EN (B2ab(ii,iii,iv)) - 1</v>
      </c>
      <c r="V23712" s="7" t="str">
        <f>HYPERLINK("#Liste_rouge!A"&amp;_xlfn.XMATCH("NT",Liste_rouge!A:A,2,1),"NT")</f>
        <v>NT</v>
      </c>
      <c r="W23712" s="4" t="str">
        <f>HYPERLINK("#Critères_liste_rouge!A$1","pr. B2b(iii)")</f>
        <v>pr. B2b(iii)</v>
      </c>
      <c r="X23712" s="5" t="s">
        <v>374</v>
      </c>
      <c r="AB23712" s="4" t="s">
        <v>93</v>
      </c>
      <c r="AH23712" s="4" t="str">
        <f>HYPERLINK("#Statut_biogéographique!A"&amp;_xlfn.XMATCH("P",Statut_biogéographique!A:A,2,1),"P")</f>
        <v>P</v>
      </c>
      <c r="AM23712" s="4" t="s">
        <v>375</v>
      </c>
      <c r="AN23712" s="4" t="s">
        <v>375</v>
      </c>
      <c r="AO23712" s="4" t="s">
        <v>375</v>
      </c>
      <c r="AP23712" s="4" t="s">
        <v>376</v>
      </c>
      <c r="AR23712" s="4" t="s">
        <v>377</v>
      </c>
    </row>
    <row r="23713" spans="1:44" ht="30">
      <c r="A23713" s="4" t="s">
        <v>24364</v>
      </c>
      <c r="B23713" s="4">
        <v>846821</v>
      </c>
      <c r="D23713" s="5" t="s">
        <v>30833</v>
      </c>
      <c r="E23713" s="6" t="str">
        <f>HYPERLINK("https://inpn.mnhn.fr/espece/cd_nom/846821","Brachythecium japygum (Głow.) Köckinger &amp; Jan Kučera, 2016")</f>
        <v>Brachythecium japygum (Głow.) Köckinger &amp; Jan Kučera, 2016</v>
      </c>
      <c r="O23713" s="7" t="str">
        <f>HYPERLINK("#Liste_rouge!A"&amp;_xlfn.XMATCH("LC",Liste_rouge!A:A,2,1),"LC")</f>
        <v>LC</v>
      </c>
      <c r="P23713" s="7" t="str">
        <f>HYPERLINK("#Liste_rouge!A"&amp;_xlfn.XMATCH("LC",Liste_rouge!A:A,2,1),"LC")</f>
        <v>LC</v>
      </c>
      <c r="V23713" s="7" t="str">
        <f>HYPERLINK("#Liste_rouge!A"&amp;_xlfn.XMATCH("DD",Liste_rouge!A:A,2,1),"DD")</f>
        <v>DD</v>
      </c>
      <c r="X23713" s="5" t="s">
        <v>374</v>
      </c>
      <c r="AB23713" s="4" t="s">
        <v>93</v>
      </c>
      <c r="AH23713" s="4" t="str">
        <f>HYPERLINK("#Statut_biogéographique!A"&amp;_xlfn.XMATCH("P",Statut_biogéographique!A:A,2,1),"P")</f>
        <v>P</v>
      </c>
      <c r="AP23713" s="4" t="s">
        <v>376</v>
      </c>
      <c r="AR23713" s="4" t="s">
        <v>377</v>
      </c>
    </row>
    <row r="23714" spans="1:44" ht="30">
      <c r="A23714" s="4" t="s">
        <v>24364</v>
      </c>
      <c r="B23714" s="4">
        <v>846822</v>
      </c>
      <c r="D23714" s="5" t="s">
        <v>30834</v>
      </c>
      <c r="E23714" s="6" t="str">
        <f>HYPERLINK("https://inpn.mnhn.fr/espece/cd_nom/846822","Brachythecium tenuicaule (Spruce) Kindb., 1900")</f>
        <v>Brachythecium tenuicaule (Spruce) Kindb., 1900</v>
      </c>
      <c r="O23714" s="7" t="str">
        <f>HYPERLINK("#Liste_rouge!A"&amp;_xlfn.XMATCH("LC",Liste_rouge!A:A,2,1),"LC")</f>
        <v>LC</v>
      </c>
      <c r="P23714" s="7" t="str">
        <f>HYPERLINK("#Liste_rouge!A"&amp;_xlfn.XMATCH("LC",Liste_rouge!A:A,2,1),"LC")</f>
        <v>LC</v>
      </c>
      <c r="T23714" s="7" t="str">
        <f>HYPERLINK("#Liste_rouge!A"&amp;_xlfn.XMATCH("CR",Liste_rouge!A:A,2,1),"CR")</f>
        <v>CR</v>
      </c>
      <c r="V23714" s="7" t="str">
        <f>HYPERLINK("#Liste_rouge!A"&amp;_xlfn.XMATCH("DD",Liste_rouge!A:A,2,1),"DD")</f>
        <v>DD</v>
      </c>
      <c r="X23714" s="5" t="s">
        <v>374</v>
      </c>
      <c r="AB23714" s="4" t="s">
        <v>93</v>
      </c>
      <c r="AH23714" s="4" t="str">
        <f>HYPERLINK("#Statut_biogéographique!A"&amp;_xlfn.XMATCH("P",Statut_biogéographique!A:A,2,1),"P")</f>
        <v>P</v>
      </c>
      <c r="AP23714" s="4" t="s">
        <v>376</v>
      </c>
      <c r="AR23714" s="4" t="s">
        <v>377</v>
      </c>
    </row>
    <row r="23715" spans="1:44" ht="30">
      <c r="A23715" s="4" t="s">
        <v>24364</v>
      </c>
      <c r="B23715" s="4">
        <v>84817</v>
      </c>
      <c r="D23715" s="5" t="s">
        <v>30835</v>
      </c>
      <c r="E23715" s="6" t="str">
        <f>HYPERLINK("https://inpn.mnhn.fr/espece/cd_nom/84817","Astragalus cicer L., 1753")</f>
        <v>Astragalus cicer L., 1753</v>
      </c>
      <c r="F23715" s="5" t="s">
        <v>30836</v>
      </c>
      <c r="P23715" s="7" t="str">
        <f>HYPERLINK("#Liste_rouge!A"&amp;_xlfn.XMATCH("LC",Liste_rouge!A:A,2,1),"LC")</f>
        <v>LC</v>
      </c>
      <c r="Q23715" s="7" t="str">
        <f>HYPERLINK("#Liste_rouge!A"&amp;_xlfn.XMATCH("LC",Liste_rouge!A:A,2,1),"LC")</f>
        <v>LC</v>
      </c>
      <c r="T23715" s="7" t="str">
        <f>HYPERLINK("#Liste_rouge!A"&amp;_xlfn.XMATCH("CR",Liste_rouge!A:A,2,1),"CR")</f>
        <v>CR</v>
      </c>
      <c r="U23715" s="4" t="str">
        <f>HYPERLINK("#Critères_liste_rouge!A$1","C2a(i) D1")</f>
        <v>C2a(i) D1</v>
      </c>
      <c r="AB23715" s="4" t="s">
        <v>24495</v>
      </c>
      <c r="AH23715" s="4" t="str">
        <f>HYPERLINK("#Statut_biogéographique!A"&amp;_xlfn.XMATCH("P",Statut_biogéographique!A:A,2,1),"P")</f>
        <v>P</v>
      </c>
      <c r="AM23715" s="4" t="s">
        <v>375</v>
      </c>
      <c r="AN23715" s="4" t="s">
        <v>375</v>
      </c>
      <c r="AO23715" s="4" t="s">
        <v>375</v>
      </c>
      <c r="AP23715" s="4" t="s">
        <v>376</v>
      </c>
      <c r="AR23715" s="4" t="s">
        <v>377</v>
      </c>
    </row>
    <row r="23716" spans="1:44" ht="30">
      <c r="A23716" s="4" t="s">
        <v>24364</v>
      </c>
      <c r="B23716" s="4">
        <v>84843</v>
      </c>
      <c r="D23716" s="5" t="s">
        <v>30837</v>
      </c>
      <c r="E23716" s="6" t="str">
        <f>HYPERLINK("https://inpn.mnhn.fr/espece/cd_nom/84843","Astragalus glycyphyllos L., 1753")</f>
        <v>Astragalus glycyphyllos L., 1753</v>
      </c>
      <c r="F23716" s="5" t="s">
        <v>30838</v>
      </c>
      <c r="P23716" s="7" t="str">
        <f>HYPERLINK("#Liste_rouge!A"&amp;_xlfn.XMATCH("LC",Liste_rouge!A:A,2,1),"LC")</f>
        <v>LC</v>
      </c>
      <c r="Q23716" s="7" t="str">
        <f>HYPERLINK("#Liste_rouge!A"&amp;_xlfn.XMATCH("LC",Liste_rouge!A:A,2,1),"LC")</f>
        <v>LC</v>
      </c>
      <c r="T23716" s="7" t="str">
        <f>HYPERLINK("#Liste_rouge!A"&amp;_xlfn.XMATCH("LC",Liste_rouge!A:A,2,1),"LC")</f>
        <v>LC</v>
      </c>
      <c r="V23716" s="7" t="str">
        <f>HYPERLINK("#Liste_rouge!A"&amp;_xlfn.XMATCH("LC",Liste_rouge!A:A,2,1),"LC")</f>
        <v>LC</v>
      </c>
      <c r="AH23716" s="4" t="str">
        <f>HYPERLINK("#Statut_biogéographique!A"&amp;_xlfn.XMATCH("P",Statut_biogéographique!A:A,2,1),"P")</f>
        <v>P</v>
      </c>
      <c r="AM23716" s="4" t="s">
        <v>375</v>
      </c>
      <c r="AN23716" s="4" t="s">
        <v>375</v>
      </c>
      <c r="AO23716" s="4" t="s">
        <v>375</v>
      </c>
      <c r="AP23716" s="4" t="s">
        <v>376</v>
      </c>
      <c r="AR23716" s="4" t="s">
        <v>377</v>
      </c>
    </row>
    <row r="23717" spans="1:44" ht="30">
      <c r="A23717" s="4" t="s">
        <v>24364</v>
      </c>
      <c r="B23717" s="4">
        <v>84936</v>
      </c>
      <c r="D23717" s="5" t="s">
        <v>30839</v>
      </c>
      <c r="E23717" s="6" t="str">
        <f>HYPERLINK("https://inpn.mnhn.fr/espece/cd_nom/84936","Astrantia major L., 1753")</f>
        <v>Astrantia major L., 1753</v>
      </c>
      <c r="F23717" s="5" t="s">
        <v>28346</v>
      </c>
      <c r="Q23717" s="7" t="str">
        <f>HYPERLINK("#Liste_rouge!A"&amp;_xlfn.XMATCH("LC",Liste_rouge!A:A,2,1),"LC")</f>
        <v>LC</v>
      </c>
      <c r="T23717" s="7" t="str">
        <f>HYPERLINK("#Liste_rouge!A"&amp;_xlfn.XMATCH("NA",Liste_rouge!A:A,2,1),"NA")</f>
        <v>NA</v>
      </c>
      <c r="V23717" s="7" t="str">
        <f>HYPERLINK("#Liste_rouge!A"&amp;_xlfn.XMATCH("LC",Liste_rouge!A:A,2,1),"LC")</f>
        <v>LC</v>
      </c>
      <c r="AH23717" s="4" t="str">
        <f>HYPERLINK("#Statut_biogéographique!A"&amp;_xlfn.XMATCH("P",Statut_biogéographique!A:A,2,1),"P")</f>
        <v>P</v>
      </c>
      <c r="AM23717" s="4" t="s">
        <v>375</v>
      </c>
      <c r="AN23717" s="4" t="s">
        <v>375</v>
      </c>
      <c r="AO23717" s="4" t="s">
        <v>375</v>
      </c>
      <c r="AP23717" s="4" t="s">
        <v>376</v>
      </c>
      <c r="AR23717" s="4" t="s">
        <v>377</v>
      </c>
    </row>
    <row r="23718" spans="1:44">
      <c r="A23718" s="4" t="s">
        <v>24364</v>
      </c>
      <c r="B23718" s="4">
        <v>84937</v>
      </c>
      <c r="D23718" s="5" t="s">
        <v>30840</v>
      </c>
      <c r="E23718" s="6" t="str">
        <f>HYPERLINK("https://inpn.mnhn.fr/espece/cd_nom/84937","Astrantia minor L., 1753")</f>
        <v>Astrantia minor L., 1753</v>
      </c>
      <c r="F23718" s="5" t="s">
        <v>30841</v>
      </c>
      <c r="Q23718" s="7" t="str">
        <f>HYPERLINK("#Liste_rouge!A"&amp;_xlfn.XMATCH("LC",Liste_rouge!A:A,2,1),"LC")</f>
        <v>LC</v>
      </c>
      <c r="T23718" s="7" t="str">
        <f>HYPERLINK("#Liste_rouge!A"&amp;_xlfn.XMATCH("NA",Liste_rouge!A:A,2,1),"NA")</f>
        <v>NA</v>
      </c>
      <c r="AH23718" s="4" t="str">
        <f>HYPERLINK("#Statut_biogéographique!A"&amp;_xlfn.XMATCH("P",Statut_biogéographique!A:A,2,1),"P")</f>
        <v>P</v>
      </c>
      <c r="AP23718" s="4" t="s">
        <v>376</v>
      </c>
      <c r="AR23718" s="4" t="s">
        <v>377</v>
      </c>
    </row>
    <row r="23719" spans="1:44" ht="75">
      <c r="A23719" s="4" t="s">
        <v>24364</v>
      </c>
      <c r="B23719" s="4">
        <v>84962</v>
      </c>
      <c r="D23719" s="5" t="s">
        <v>30842</v>
      </c>
      <c r="E23719" s="6" t="str">
        <f>HYPERLINK("https://inpn.mnhn.fr/espece/cd_nom/84962","Athamanta cretensis L., 1753")</f>
        <v>Athamanta cretensis L., 1753</v>
      </c>
      <c r="F23719" s="5" t="s">
        <v>30843</v>
      </c>
      <c r="Q23719" s="7" t="str">
        <f>HYPERLINK("#Liste_rouge!A"&amp;_xlfn.XMATCH("LC",Liste_rouge!A:A,2,1),"LC")</f>
        <v>LC</v>
      </c>
      <c r="T23719" s="7" t="str">
        <f>HYPERLINK("#Liste_rouge!A"&amp;_xlfn.XMATCH("EN",Liste_rouge!A:A,2,1),"EN")</f>
        <v>EN</v>
      </c>
      <c r="U23719" s="4" t="str">
        <f>HYPERLINK("#Critères_liste_rouge!A$1","C2a(i)")</f>
        <v>C2a(i)</v>
      </c>
      <c r="V23719" s="7" t="str">
        <f>HYPERLINK("#Liste_rouge!A"&amp;_xlfn.XMATCH("LC",Liste_rouge!A:A,2,1),"LC")</f>
        <v>LC</v>
      </c>
      <c r="AB23719" s="4" t="s">
        <v>24634</v>
      </c>
      <c r="AH23719" s="4" t="str">
        <f>HYPERLINK("#Statut_biogéographique!A"&amp;_xlfn.XMATCH("P",Statut_biogéographique!A:A,2,1),"P")</f>
        <v>P</v>
      </c>
      <c r="AM23719" s="4" t="s">
        <v>375</v>
      </c>
      <c r="AN23719" s="4" t="s">
        <v>375</v>
      </c>
      <c r="AO23719" s="4" t="s">
        <v>375</v>
      </c>
      <c r="AP23719" s="4" t="s">
        <v>376</v>
      </c>
      <c r="AR23719" s="4" t="s">
        <v>377</v>
      </c>
    </row>
    <row r="23720" spans="1:44" ht="45">
      <c r="A23720" s="4" t="s">
        <v>24364</v>
      </c>
      <c r="B23720" s="4">
        <v>84998</v>
      </c>
      <c r="D23720" s="5" t="s">
        <v>30844</v>
      </c>
      <c r="E23720" s="6" t="str">
        <f>HYPERLINK("https://inpn.mnhn.fr/espece/cd_nom/84998","Athyrium distentifolium Tausch ex Opiz, 1820")</f>
        <v>Athyrium distentifolium Tausch ex Opiz, 1820</v>
      </c>
      <c r="F23720" s="5" t="s">
        <v>30845</v>
      </c>
      <c r="Q23720" s="7" t="str">
        <f>HYPERLINK("#Liste_rouge!A"&amp;_xlfn.XMATCH("LC",Liste_rouge!A:A,2,1),"LC")</f>
        <v>LC</v>
      </c>
      <c r="V23720" s="7" t="str">
        <f>HYPERLINK("#Liste_rouge!A"&amp;_xlfn.XMATCH("NT",Liste_rouge!A:A,2,1),"NT")</f>
        <v>NT</v>
      </c>
      <c r="W23720" s="4" t="str">
        <f>HYPERLINK("#Critères_liste_rouge!A$1","pr. D2")</f>
        <v>pr. D2</v>
      </c>
      <c r="X23720" s="5" t="s">
        <v>374</v>
      </c>
      <c r="AB23720" s="4" t="s">
        <v>93</v>
      </c>
      <c r="AH23720" s="4" t="str">
        <f>HYPERLINK("#Statut_biogéographique!A"&amp;_xlfn.XMATCH("P",Statut_biogéographique!A:A,2,1),"P")</f>
        <v>P</v>
      </c>
      <c r="AM23720" s="4" t="s">
        <v>375</v>
      </c>
      <c r="AN23720" s="4" t="s">
        <v>375</v>
      </c>
      <c r="AO23720" s="4" t="s">
        <v>375</v>
      </c>
      <c r="AP23720" s="4" t="s">
        <v>376</v>
      </c>
      <c r="AR23720" s="4" t="s">
        <v>377</v>
      </c>
    </row>
    <row r="23721" spans="1:44" ht="135">
      <c r="A23721" s="4" t="s">
        <v>24364</v>
      </c>
      <c r="B23721" s="4">
        <v>84999</v>
      </c>
      <c r="D23721" s="5" t="s">
        <v>30846</v>
      </c>
      <c r="E23721" s="6" t="str">
        <f>HYPERLINK("https://inpn.mnhn.fr/espece/cd_nom/84999","Athyrium filix-femina (L.) Roth, 1799")</f>
        <v>Athyrium filix-femina (L.) Roth, 1799</v>
      </c>
      <c r="F23721" s="5" t="s">
        <v>30847</v>
      </c>
      <c r="P23721" s="7" t="str">
        <f>HYPERLINK("#Liste_rouge!A"&amp;_xlfn.XMATCH("LC",Liste_rouge!A:A,2,1),"LC")</f>
        <v>LC</v>
      </c>
      <c r="Q23721" s="7" t="str">
        <f>HYPERLINK("#Liste_rouge!A"&amp;_xlfn.XMATCH("LC",Liste_rouge!A:A,2,1),"LC")</f>
        <v>LC</v>
      </c>
      <c r="T23721" s="7" t="str">
        <f>HYPERLINK("#Liste_rouge!A"&amp;_xlfn.XMATCH("LC",Liste_rouge!A:A,2,1),"LC")</f>
        <v>LC</v>
      </c>
      <c r="V23721" s="7" t="str">
        <f>HYPERLINK("#Liste_rouge!A"&amp;_xlfn.XMATCH("LC",Liste_rouge!A:A,2,1),"LC")</f>
        <v>LC</v>
      </c>
      <c r="AH23721" s="4" t="str">
        <f>HYPERLINK("#Statut_biogéographique!A"&amp;_xlfn.XMATCH("P",Statut_biogéographique!A:A,2,1),"P")</f>
        <v>P</v>
      </c>
      <c r="AM23721" s="4" t="s">
        <v>375</v>
      </c>
      <c r="AN23721" s="4" t="s">
        <v>375</v>
      </c>
      <c r="AO23721" s="4" t="s">
        <v>375</v>
      </c>
      <c r="AP23721" s="4" t="s">
        <v>376</v>
      </c>
      <c r="AR23721" s="4" t="s">
        <v>377</v>
      </c>
    </row>
    <row r="23722" spans="1:44" ht="60">
      <c r="A23722" s="4" t="s">
        <v>24364</v>
      </c>
      <c r="B23722" s="4">
        <v>85017</v>
      </c>
      <c r="D23722" s="5" t="s">
        <v>30848</v>
      </c>
      <c r="E23722" s="6" t="str">
        <f>HYPERLINK("https://inpn.mnhn.fr/espece/cd_nom/85017","Atocion armeria (L.) Raf., 1840")</f>
        <v>Atocion armeria (L.) Raf., 1840</v>
      </c>
      <c r="F23722" s="5" t="s">
        <v>30849</v>
      </c>
      <c r="M23722" s="4" t="str">
        <f>HYPERLINK("#Réglementation!A"&amp;_xlfn.XMATCH("RV26",Réglementation!A:A,2,1),"RV26")</f>
        <v>RV26</v>
      </c>
      <c r="Q23722" s="7" t="str">
        <f>HYPERLINK("#Liste_rouge!A"&amp;_xlfn.XMATCH("LC",Liste_rouge!A:A,2,1),"LC")</f>
        <v>LC</v>
      </c>
      <c r="T23722" s="7" t="str">
        <f>HYPERLINK("#Liste_rouge!A"&amp;_xlfn.XMATCH("VU",Liste_rouge!A:A,2,1),"VU")</f>
        <v>VU</v>
      </c>
      <c r="U23722" s="4" t="str">
        <f>HYPERLINK("#Critères_liste_rouge!A$1","D2")</f>
        <v>D2</v>
      </c>
      <c r="AB23722" s="4" t="s">
        <v>24803</v>
      </c>
      <c r="AH23722" s="4" t="str">
        <f>HYPERLINK("#Statut_biogéographique!A"&amp;_xlfn.XMATCH("P",Statut_biogéographique!A:A,2,1),"P")</f>
        <v>P</v>
      </c>
      <c r="AM23722" s="4" t="s">
        <v>375</v>
      </c>
      <c r="AN23722" s="4" t="s">
        <v>375</v>
      </c>
      <c r="AO23722" s="4" t="s">
        <v>375</v>
      </c>
      <c r="AP23722" s="4" t="s">
        <v>376</v>
      </c>
      <c r="AR23722" s="4" t="s">
        <v>377</v>
      </c>
    </row>
    <row r="23723" spans="1:44">
      <c r="A23723" s="4" t="s">
        <v>24364</v>
      </c>
      <c r="B23723" s="4">
        <v>85063</v>
      </c>
      <c r="D23723" s="5" t="s">
        <v>30850</v>
      </c>
      <c r="E23723" s="6" t="str">
        <f>HYPERLINK("https://inpn.mnhn.fr/espece/cd_nom/85063","Atriplex glabriuscula Edmondston, 1845")</f>
        <v>Atriplex glabriuscula Edmondston, 1845</v>
      </c>
      <c r="F23723" s="5" t="s">
        <v>30851</v>
      </c>
      <c r="Q23723" s="7" t="str">
        <f>HYPERLINK("#Liste_rouge!A"&amp;_xlfn.XMATCH("LC",Liste_rouge!A:A,2,1),"LC")</f>
        <v>LC</v>
      </c>
      <c r="T23723" s="7" t="str">
        <f>HYPERLINK("#Liste_rouge!A"&amp;_xlfn.XMATCH("NA",Liste_rouge!A:A,2,1),"NA")</f>
        <v>NA</v>
      </c>
      <c r="AH23723" s="4" t="str">
        <f>HYPERLINK("#Statut_biogéographique!A"&amp;_xlfn.XMATCH("P",Statut_biogéographique!A:A,2,1),"P")</f>
        <v>P</v>
      </c>
      <c r="AP23723" s="4" t="s">
        <v>376</v>
      </c>
      <c r="AR23723" s="4" t="s">
        <v>377</v>
      </c>
    </row>
    <row r="23724" spans="1:44" ht="30">
      <c r="A23724" s="4" t="s">
        <v>24364</v>
      </c>
      <c r="B23724" s="4">
        <v>85068</v>
      </c>
      <c r="D23724" s="5" t="s">
        <v>30852</v>
      </c>
      <c r="E23724" s="6" t="str">
        <f>HYPERLINK("https://inpn.mnhn.fr/espece/cd_nom/85068","Atriplex halimus L., 1753")</f>
        <v>Atriplex halimus L., 1753</v>
      </c>
      <c r="F23724" s="5" t="s">
        <v>30853</v>
      </c>
      <c r="P23724" s="7" t="str">
        <f>HYPERLINK("#Liste_rouge!A"&amp;_xlfn.XMATCH("LC",Liste_rouge!A:A,2,1),"LC")</f>
        <v>LC</v>
      </c>
      <c r="Q23724" s="7" t="str">
        <f>HYPERLINK("#Liste_rouge!A"&amp;_xlfn.XMATCH("NA",Liste_rouge!A:A,2,1),"NA")</f>
        <v>NA</v>
      </c>
      <c r="T23724" s="7" t="str">
        <f>HYPERLINK("#Liste_rouge!A"&amp;_xlfn.XMATCH("NA",Liste_rouge!A:A,2,1),"NA")</f>
        <v>NA</v>
      </c>
      <c r="AH23724" s="4" t="str">
        <f>HYPERLINK("#Statut_biogéographique!A"&amp;_xlfn.XMATCH("I",Statut_biogéographique!A:A,2,1),"I")</f>
        <v>I</v>
      </c>
      <c r="AP23724" s="4" t="s">
        <v>376</v>
      </c>
      <c r="AR23724" s="4" t="s">
        <v>377</v>
      </c>
    </row>
    <row r="23725" spans="1:44" ht="30">
      <c r="A23725" s="4" t="s">
        <v>24364</v>
      </c>
      <c r="B23725" s="4">
        <v>85075</v>
      </c>
      <c r="D23725" s="5" t="s">
        <v>30854</v>
      </c>
      <c r="E23725" s="6" t="str">
        <f>HYPERLINK("https://inpn.mnhn.fr/espece/cd_nom/85075","Atriplex hortensis L., 1753 [nom. et typ. cons.]")</f>
        <v>Atriplex hortensis L., 1753 [nom. et typ. cons.]</v>
      </c>
      <c r="F23725" s="5" t="s">
        <v>30855</v>
      </c>
      <c r="Q23725" s="7" t="str">
        <f>HYPERLINK("#Liste_rouge!A"&amp;_xlfn.XMATCH("NA",Liste_rouge!A:A,2,1),"NA")</f>
        <v>NA</v>
      </c>
      <c r="T23725" s="7" t="str">
        <f>HYPERLINK("#Liste_rouge!A"&amp;_xlfn.XMATCH("NA",Liste_rouge!A:A,2,1),"NA")</f>
        <v>NA</v>
      </c>
      <c r="AH23725" s="4" t="str">
        <f>HYPERLINK("#Statut_biogéographique!A"&amp;_xlfn.XMATCH("I",Statut_biogéographique!A:A,2,1),"I")</f>
        <v>I</v>
      </c>
      <c r="AP23725" s="4" t="s">
        <v>376</v>
      </c>
      <c r="AR23725" s="4" t="s">
        <v>377</v>
      </c>
    </row>
    <row r="23726" spans="1:44" ht="45">
      <c r="A23726" s="4" t="s">
        <v>24364</v>
      </c>
      <c r="B23726" s="4">
        <v>85079</v>
      </c>
      <c r="D23726" s="5" t="s">
        <v>30856</v>
      </c>
      <c r="E23726" s="6" t="str">
        <f>HYPERLINK("https://inpn.mnhn.fr/espece/cd_nom/85079","Atriplex laciniata L., 1753")</f>
        <v>Atriplex laciniata L., 1753</v>
      </c>
      <c r="F23726" s="5" t="s">
        <v>30857</v>
      </c>
      <c r="Q23726" s="7" t="str">
        <f>HYPERLINK("#Liste_rouge!A"&amp;_xlfn.XMATCH("LC",Liste_rouge!A:A,2,1),"LC")</f>
        <v>LC</v>
      </c>
      <c r="T23726" s="7" t="str">
        <f>HYPERLINK("#Liste_rouge!A"&amp;_xlfn.XMATCH("NA",Liste_rouge!A:A,2,1),"NA")</f>
        <v>NA</v>
      </c>
      <c r="AH23726" s="4" t="str">
        <f>HYPERLINK("#Statut_biogéographique!A"&amp;_xlfn.XMATCH("P",Statut_biogéographique!A:A,2,1),"P")</f>
        <v>P</v>
      </c>
      <c r="AP23726" s="4" t="s">
        <v>376</v>
      </c>
      <c r="AR23726" s="4" t="s">
        <v>377</v>
      </c>
    </row>
    <row r="23727" spans="1:44" ht="30">
      <c r="A23727" s="4" t="s">
        <v>24364</v>
      </c>
      <c r="B23727" s="4">
        <v>85083</v>
      </c>
      <c r="D23727" s="5" t="s">
        <v>30858</v>
      </c>
      <c r="E23727" s="6" t="str">
        <f>HYPERLINK("https://inpn.mnhn.fr/espece/cd_nom/85083","Atriplex littoralis L., 1753")</f>
        <v>Atriplex littoralis L., 1753</v>
      </c>
      <c r="F23727" s="5" t="s">
        <v>30859</v>
      </c>
      <c r="Q23727" s="7" t="str">
        <f>HYPERLINK("#Liste_rouge!A"&amp;_xlfn.XMATCH("LC",Liste_rouge!A:A,2,1),"LC")</f>
        <v>LC</v>
      </c>
      <c r="AH23727" s="4" t="str">
        <f>HYPERLINK("#Statut_biogéographique!A"&amp;_xlfn.XMATCH("P",Statut_biogéographique!A:A,2,1),"P")</f>
        <v>P</v>
      </c>
      <c r="AP23727" s="4" t="s">
        <v>376</v>
      </c>
      <c r="AR23727" s="4" t="s">
        <v>377</v>
      </c>
    </row>
    <row r="23728" spans="1:44">
      <c r="A23728" s="4" t="s">
        <v>24364</v>
      </c>
      <c r="B23728" s="4">
        <v>85089</v>
      </c>
      <c r="D23728" s="5" t="s">
        <v>30860</v>
      </c>
      <c r="E23728" s="6" t="str">
        <f>HYPERLINK("https://inpn.mnhn.fr/espece/cd_nom/85089","Atriplex micrantha Ledeb., 1829")</f>
        <v>Atriplex micrantha Ledeb., 1829</v>
      </c>
      <c r="F23728" s="5" t="s">
        <v>30861</v>
      </c>
      <c r="Q23728" s="7" t="str">
        <f>HYPERLINK("#Liste_rouge!A"&amp;_xlfn.XMATCH("NA",Liste_rouge!A:A,2,1),"NA")</f>
        <v>NA</v>
      </c>
      <c r="AH23728" s="4" t="str">
        <f>HYPERLINK("#Statut_biogéographique!A"&amp;_xlfn.XMATCH("I",Statut_biogéographique!A:A,2,1),"I")</f>
        <v>I</v>
      </c>
      <c r="AM23728" s="4" t="s">
        <v>375</v>
      </c>
      <c r="AN23728" s="4" t="s">
        <v>375</v>
      </c>
      <c r="AO23728" s="4" t="s">
        <v>375</v>
      </c>
      <c r="AP23728" s="4" t="s">
        <v>376</v>
      </c>
      <c r="AR23728" s="4" t="s">
        <v>377</v>
      </c>
    </row>
    <row r="23729" spans="1:44" ht="75">
      <c r="A23729" s="4" t="s">
        <v>24364</v>
      </c>
      <c r="B23729" s="4">
        <v>85102</v>
      </c>
      <c r="D23729" s="5" t="s">
        <v>30862</v>
      </c>
      <c r="E23729" s="6" t="str">
        <f>HYPERLINK("https://inpn.mnhn.fr/espece/cd_nom/85102","Atriplex patula L., 1753")</f>
        <v>Atriplex patula L., 1753</v>
      </c>
      <c r="F23729" s="5" t="s">
        <v>30863</v>
      </c>
      <c r="Q23729" s="7" t="str">
        <f>HYPERLINK("#Liste_rouge!A"&amp;_xlfn.XMATCH("LC",Liste_rouge!A:A,2,1),"LC")</f>
        <v>LC</v>
      </c>
      <c r="T23729" s="7" t="str">
        <f>HYPERLINK("#Liste_rouge!A"&amp;_xlfn.XMATCH("LC",Liste_rouge!A:A,2,1),"LC")</f>
        <v>LC</v>
      </c>
      <c r="V23729" s="7" t="str">
        <f>HYPERLINK("#Liste_rouge!A"&amp;_xlfn.XMATCH("LC",Liste_rouge!A:A,2,1),"LC")</f>
        <v>LC</v>
      </c>
      <c r="AH23729" s="4" t="str">
        <f>HYPERLINK("#Statut_biogéographique!A"&amp;_xlfn.XMATCH("P",Statut_biogéographique!A:A,2,1),"P")</f>
        <v>P</v>
      </c>
      <c r="AM23729" s="4" t="s">
        <v>375</v>
      </c>
      <c r="AN23729" s="4" t="s">
        <v>375</v>
      </c>
      <c r="AO23729" s="4" t="s">
        <v>375</v>
      </c>
      <c r="AP23729" s="4" t="s">
        <v>376</v>
      </c>
      <c r="AR23729" s="4" t="s">
        <v>377</v>
      </c>
    </row>
    <row r="23730" spans="1:44" ht="105">
      <c r="A23730" s="4" t="s">
        <v>24364</v>
      </c>
      <c r="B23730" s="4">
        <v>85112</v>
      </c>
      <c r="D23730" s="5" t="s">
        <v>30864</v>
      </c>
      <c r="E23730" s="6" t="str">
        <f>HYPERLINK("https://inpn.mnhn.fr/espece/cd_nom/85112","Atriplex prostrata Boucher ex DC., 1805")</f>
        <v>Atriplex prostrata Boucher ex DC., 1805</v>
      </c>
      <c r="F23730" s="5" t="s">
        <v>30865</v>
      </c>
      <c r="Q23730" s="7" t="str">
        <f>HYPERLINK("#Liste_rouge!A"&amp;_xlfn.XMATCH("LC",Liste_rouge!A:A,2,1),"LC")</f>
        <v>LC</v>
      </c>
      <c r="T23730" s="7" t="str">
        <f>HYPERLINK("#Liste_rouge!A"&amp;_xlfn.XMATCH("LC",Liste_rouge!A:A,2,1),"LC")</f>
        <v>LC</v>
      </c>
      <c r="V23730" s="7" t="str">
        <f>HYPERLINK("#Liste_rouge!A"&amp;_xlfn.XMATCH("LC",Liste_rouge!A:A,2,1),"LC")</f>
        <v>LC</v>
      </c>
      <c r="AH23730" s="4" t="str">
        <f>HYPERLINK("#Statut_biogéographique!A"&amp;_xlfn.XMATCH("P",Statut_biogéographique!A:A,2,1),"P")</f>
        <v>P</v>
      </c>
      <c r="AM23730" s="4" t="s">
        <v>375</v>
      </c>
      <c r="AN23730" s="4" t="s">
        <v>375</v>
      </c>
      <c r="AO23730" s="4" t="s">
        <v>375</v>
      </c>
      <c r="AP23730" s="4" t="s">
        <v>376</v>
      </c>
      <c r="AR23730" s="4" t="s">
        <v>377</v>
      </c>
    </row>
    <row r="23731" spans="1:44" ht="60">
      <c r="A23731" s="4" t="s">
        <v>24364</v>
      </c>
      <c r="B23731" s="4">
        <v>85114</v>
      </c>
      <c r="D23731" s="5" t="s">
        <v>30866</v>
      </c>
      <c r="E23731" s="6" t="str">
        <f>HYPERLINK("https://inpn.mnhn.fr/espece/cd_nom/85114","Atriplex rosea L., 1763")</f>
        <v>Atriplex rosea L., 1763</v>
      </c>
      <c r="F23731" s="5" t="s">
        <v>30867</v>
      </c>
      <c r="Q23731" s="7" t="str">
        <f>HYPERLINK("#Liste_rouge!A"&amp;_xlfn.XMATCH("DD",Liste_rouge!A:A,2,1),"DD")</f>
        <v>DD</v>
      </c>
      <c r="T23731" s="7" t="str">
        <f>HYPERLINK("#Liste_rouge!A"&amp;_xlfn.XMATCH("NA",Liste_rouge!A:A,2,1),"NA")</f>
        <v>NA</v>
      </c>
      <c r="AH23731" s="4" t="str">
        <f>HYPERLINK("#Statut_biogéographique!A"&amp;_xlfn.XMATCH("P",Statut_biogéographique!A:A,2,1),"P")</f>
        <v>P</v>
      </c>
      <c r="AP23731" s="4" t="s">
        <v>376</v>
      </c>
      <c r="AR23731" s="4" t="s">
        <v>377</v>
      </c>
    </row>
    <row r="23732" spans="1:44" ht="30">
      <c r="A23732" s="4" t="s">
        <v>24364</v>
      </c>
      <c r="B23732" s="4">
        <v>85152</v>
      </c>
      <c r="D23732" s="5" t="s">
        <v>30868</v>
      </c>
      <c r="E23732" s="6" t="str">
        <f>HYPERLINK("https://inpn.mnhn.fr/espece/cd_nom/85152","Atropa bella-donna L., 1753")</f>
        <v>Atropa bella-donna L., 1753</v>
      </c>
      <c r="F23732" s="5" t="s">
        <v>30869</v>
      </c>
      <c r="O23732" s="7" t="str">
        <f>HYPERLINK("#Liste_rouge!A"&amp;_xlfn.XMATCH("EN",Liste_rouge!A:A,2,1),"EN")</f>
        <v>EN</v>
      </c>
      <c r="Q23732" s="7" t="str">
        <f>HYPERLINK("#Liste_rouge!A"&amp;_xlfn.XMATCH("LC",Liste_rouge!A:A,2,1),"LC")</f>
        <v>LC</v>
      </c>
      <c r="T23732" s="7" t="str">
        <f>HYPERLINK("#Liste_rouge!A"&amp;_xlfn.XMATCH("NT",Liste_rouge!A:A,2,1),"NT")</f>
        <v>NT</v>
      </c>
      <c r="U23732" s="4" t="str">
        <f>HYPERLINK("#Critères_liste_rouge!A$1","pr. B2b(ii,iv)")</f>
        <v>pr. B2b(ii,iv)</v>
      </c>
      <c r="V23732" s="7" t="str">
        <f>HYPERLINK("#Liste_rouge!A"&amp;_xlfn.XMATCH("LC",Liste_rouge!A:A,2,1),"LC")</f>
        <v>LC</v>
      </c>
      <c r="AB23732" s="4" t="s">
        <v>24777</v>
      </c>
      <c r="AH23732" s="4" t="str">
        <f>HYPERLINK("#Statut_biogéographique!A"&amp;_xlfn.XMATCH("P",Statut_biogéographique!A:A,2,1),"P")</f>
        <v>P</v>
      </c>
      <c r="AM23732" s="4" t="s">
        <v>375</v>
      </c>
      <c r="AN23732" s="4" t="s">
        <v>375</v>
      </c>
      <c r="AO23732" s="4" t="s">
        <v>375</v>
      </c>
      <c r="AP23732" s="4" t="s">
        <v>376</v>
      </c>
      <c r="AR23732" s="4" t="s">
        <v>377</v>
      </c>
    </row>
    <row r="23733" spans="1:44" ht="30">
      <c r="A23733" s="4" t="s">
        <v>24364</v>
      </c>
      <c r="B23733" s="4">
        <v>85170</v>
      </c>
      <c r="D23733" s="5" t="s">
        <v>30870</v>
      </c>
      <c r="E23733" s="6" t="str">
        <f>HYPERLINK("https://inpn.mnhn.fr/espece/cd_nom/85170","Aubrieta deltoidea (L.) DC., 1821")</f>
        <v>Aubrieta deltoidea (L.) DC., 1821</v>
      </c>
      <c r="F23733" s="5" t="s">
        <v>30871</v>
      </c>
      <c r="Q23733" s="7" t="str">
        <f>HYPERLINK("#Liste_rouge!A"&amp;_xlfn.XMATCH("NA",Liste_rouge!A:A,2,1),"NA")</f>
        <v>NA</v>
      </c>
      <c r="T23733" s="7" t="str">
        <f>HYPERLINK("#Liste_rouge!A"&amp;_xlfn.XMATCH("NA",Liste_rouge!A:A,2,1),"NA")</f>
        <v>NA</v>
      </c>
      <c r="AH23733" s="4" t="str">
        <f>HYPERLINK("#Statut_biogéographique!A"&amp;_xlfn.XMATCH("I",Statut_biogéographique!A:A,2,1),"I")</f>
        <v>I</v>
      </c>
      <c r="AP23733" s="4" t="s">
        <v>376</v>
      </c>
      <c r="AR23733" s="4" t="s">
        <v>377</v>
      </c>
    </row>
    <row r="23734" spans="1:44">
      <c r="A23734" s="4" t="s">
        <v>24364</v>
      </c>
      <c r="B23734" s="4">
        <v>85174</v>
      </c>
      <c r="D23734" s="5" t="s">
        <v>30872</v>
      </c>
      <c r="E23734" s="6" t="str">
        <f>HYPERLINK("https://inpn.mnhn.fr/espece/cd_nom/85174","Aucuba japonica Thunb., 1783")</f>
        <v>Aucuba japonica Thunb., 1783</v>
      </c>
      <c r="F23734" s="5" t="s">
        <v>30873</v>
      </c>
      <c r="Q23734" s="7" t="str">
        <f>HYPERLINK("#Liste_rouge!A"&amp;_xlfn.XMATCH("NA",Liste_rouge!A:A,2,1),"NA")</f>
        <v>NA</v>
      </c>
      <c r="T23734" s="7" t="str">
        <f>HYPERLINK("#Liste_rouge!A"&amp;_xlfn.XMATCH("NA",Liste_rouge!A:A,2,1),"NA")</f>
        <v>NA</v>
      </c>
      <c r="AH23734" s="4" t="str">
        <f>HYPERLINK("#Statut_biogéographique!A"&amp;_xlfn.XMATCH("M",Statut_biogéographique!A:A,2,1),"M")</f>
        <v>M</v>
      </c>
      <c r="AP23734" s="4" t="s">
        <v>376</v>
      </c>
      <c r="AR23734" s="4" t="s">
        <v>377</v>
      </c>
    </row>
    <row r="23735" spans="1:44" ht="30">
      <c r="A23735" s="4" t="s">
        <v>24364</v>
      </c>
      <c r="B23735" s="4">
        <v>85185</v>
      </c>
      <c r="D23735" s="5" t="s">
        <v>30874</v>
      </c>
      <c r="E23735" s="6" t="str">
        <f>HYPERLINK("https://inpn.mnhn.fr/espece/cd_nom/85185","Aurinia petraea (Ard.) Schur, 1866")</f>
        <v>Aurinia petraea (Ard.) Schur, 1866</v>
      </c>
      <c r="F23735" s="5" t="s">
        <v>30875</v>
      </c>
      <c r="Q23735" s="7" t="str">
        <f>HYPERLINK("#Liste_rouge!A"&amp;_xlfn.XMATCH("NA",Liste_rouge!A:A,2,1),"NA")</f>
        <v>NA</v>
      </c>
      <c r="T23735" s="7" t="str">
        <f>HYPERLINK("#Liste_rouge!A"&amp;_xlfn.XMATCH("NA",Liste_rouge!A:A,2,1),"NA")</f>
        <v>NA</v>
      </c>
      <c r="AH23735" s="4" t="str">
        <f>HYPERLINK("#Statut_biogéographique!A"&amp;_xlfn.XMATCH("I",Statut_biogéographique!A:A,2,1),"I")</f>
        <v>I</v>
      </c>
      <c r="AP23735" s="4" t="s">
        <v>376</v>
      </c>
      <c r="AR23735" s="4" t="s">
        <v>377</v>
      </c>
    </row>
    <row r="23736" spans="1:44" ht="30">
      <c r="A23736" s="4" t="s">
        <v>24364</v>
      </c>
      <c r="B23736" s="4">
        <v>85186</v>
      </c>
      <c r="D23736" s="5" t="s">
        <v>30876</v>
      </c>
      <c r="E23736" s="6" t="str">
        <f>HYPERLINK("https://inpn.mnhn.fr/espece/cd_nom/85186","Aurinia saxatilis (L.) Desv., 1815")</f>
        <v>Aurinia saxatilis (L.) Desv., 1815</v>
      </c>
      <c r="F23736" s="5" t="s">
        <v>30877</v>
      </c>
      <c r="Q23736" s="7" t="str">
        <f>HYPERLINK("#Liste_rouge!A"&amp;_xlfn.XMATCH("NA",Liste_rouge!A:A,2,1),"NA")</f>
        <v>NA</v>
      </c>
      <c r="T23736" s="7" t="str">
        <f>HYPERLINK("#Liste_rouge!A"&amp;_xlfn.XMATCH("NA",Liste_rouge!A:A,2,1),"NA")</f>
        <v>NA</v>
      </c>
      <c r="AH23736" s="4" t="str">
        <f>HYPERLINK("#Statut_biogéographique!A"&amp;_xlfn.XMATCH("I",Statut_biogéographique!A:A,2,1),"I")</f>
        <v>I</v>
      </c>
      <c r="AP23736" s="4" t="s">
        <v>376</v>
      </c>
      <c r="AR23736" s="4" t="s">
        <v>377</v>
      </c>
    </row>
    <row r="23737" spans="1:44" ht="45">
      <c r="A23737" s="4" t="s">
        <v>24364</v>
      </c>
      <c r="B23737" s="4">
        <v>85208</v>
      </c>
      <c r="D23737" s="5" t="s">
        <v>30878</v>
      </c>
      <c r="E23737" s="6" t="str">
        <f>HYPERLINK("https://inpn.mnhn.fr/espece/cd_nom/85208","Avena barbata Pott ex Link, 1799")</f>
        <v>Avena barbata Pott ex Link, 1799</v>
      </c>
      <c r="F23737" s="5" t="s">
        <v>30879</v>
      </c>
      <c r="P23737" s="7" t="str">
        <f>HYPERLINK("#Liste_rouge!A"&amp;_xlfn.XMATCH("LC",Liste_rouge!A:A,2,1),"LC")</f>
        <v>LC</v>
      </c>
      <c r="Q23737" s="7" t="str">
        <f>HYPERLINK("#Liste_rouge!A"&amp;_xlfn.XMATCH("LC",Liste_rouge!A:A,2,1),"LC")</f>
        <v>LC</v>
      </c>
      <c r="T23737" s="7" t="str">
        <f>HYPERLINK("#Liste_rouge!A"&amp;_xlfn.XMATCH("NA",Liste_rouge!A:A,2,1),"NA")</f>
        <v>NA</v>
      </c>
      <c r="AH23737" s="4" t="str">
        <f>HYPERLINK("#Statut_biogéographique!A"&amp;_xlfn.XMATCH("P",Statut_biogéographique!A:A,2,1),"P")</f>
        <v>P</v>
      </c>
      <c r="AP23737" s="4" t="s">
        <v>376</v>
      </c>
      <c r="AR23737" s="4" t="s">
        <v>377</v>
      </c>
    </row>
    <row r="23738" spans="1:44" ht="30">
      <c r="A23738" s="4" t="s">
        <v>24364</v>
      </c>
      <c r="B23738" s="4">
        <v>85211</v>
      </c>
      <c r="D23738" s="5" t="s">
        <v>30880</v>
      </c>
      <c r="E23738" s="6" t="str">
        <f>HYPERLINK("https://inpn.mnhn.fr/espece/cd_nom/85211","Avena brevis Roth, 1787")</f>
        <v>Avena brevis Roth, 1787</v>
      </c>
      <c r="F23738" s="5" t="s">
        <v>30881</v>
      </c>
      <c r="P23738" s="7" t="str">
        <f>HYPERLINK("#Liste_rouge!A"&amp;_xlfn.XMATCH("DD",Liste_rouge!A:A,2,1),"DD")</f>
        <v>DD</v>
      </c>
      <c r="Q23738" s="7" t="str">
        <f>HYPERLINK("#Liste_rouge!A"&amp;_xlfn.XMATCH("NA",Liste_rouge!A:A,2,1),"NA")</f>
        <v>NA</v>
      </c>
      <c r="T23738" s="7" t="str">
        <f>HYPERLINK("#Liste_rouge!A"&amp;_xlfn.XMATCH("NA",Liste_rouge!A:A,2,1),"NA")</f>
        <v>NA</v>
      </c>
      <c r="AH23738" s="4" t="str">
        <f>HYPERLINK("#Statut_biogéographique!A"&amp;_xlfn.XMATCH("Y",Statut_biogéographique!A:A,2,1),"Y")</f>
        <v>Y</v>
      </c>
      <c r="AP23738" s="4" t="s">
        <v>376</v>
      </c>
      <c r="AR23738" s="4" t="s">
        <v>377</v>
      </c>
    </row>
    <row r="23739" spans="1:44" ht="45">
      <c r="A23739" s="4" t="s">
        <v>24364</v>
      </c>
      <c r="B23739" s="4">
        <v>85250</v>
      </c>
      <c r="D23739" s="5" t="s">
        <v>30882</v>
      </c>
      <c r="E23739" s="6" t="str">
        <f>HYPERLINK("https://inpn.mnhn.fr/espece/cd_nom/85250","Avena fatua L., 1753")</f>
        <v>Avena fatua L., 1753</v>
      </c>
      <c r="F23739" s="5" t="s">
        <v>28347</v>
      </c>
      <c r="O23739" s="7" t="str">
        <f>HYPERLINK("#Liste_rouge!A"&amp;_xlfn.XMATCH("LC",Liste_rouge!A:A,2,1),"LC")</f>
        <v>LC</v>
      </c>
      <c r="P23739" s="7" t="str">
        <f>HYPERLINK("#Liste_rouge!A"&amp;_xlfn.XMATCH("LC",Liste_rouge!A:A,2,1),"LC")</f>
        <v>LC</v>
      </c>
      <c r="Q23739" s="7" t="str">
        <f>HYPERLINK("#Liste_rouge!A"&amp;_xlfn.XMATCH("LC",Liste_rouge!A:A,2,1),"LC")</f>
        <v>LC</v>
      </c>
      <c r="T23739" s="7" t="str">
        <f>HYPERLINK("#Liste_rouge!A"&amp;_xlfn.XMATCH("LC",Liste_rouge!A:A,2,1),"LC")</f>
        <v>LC</v>
      </c>
      <c r="AH23739" s="4" t="str">
        <f>HYPERLINK("#Statut_biogéographique!A"&amp;_xlfn.XMATCH("P",Statut_biogéographique!A:A,2,1),"P")</f>
        <v>P</v>
      </c>
      <c r="AI23739" s="8" t="s">
        <v>30883</v>
      </c>
      <c r="AJ23739" s="4" t="s">
        <v>12248</v>
      </c>
      <c r="AM23739" s="4" t="s">
        <v>375</v>
      </c>
      <c r="AN23739" s="4" t="s">
        <v>375</v>
      </c>
      <c r="AO23739" s="4" t="s">
        <v>375</v>
      </c>
      <c r="AP23739" s="4" t="s">
        <v>376</v>
      </c>
      <c r="AR23739" s="4" t="s">
        <v>377</v>
      </c>
    </row>
    <row r="23740" spans="1:44" ht="30">
      <c r="A23740" s="4" t="s">
        <v>24364</v>
      </c>
      <c r="B23740" s="4">
        <v>852780</v>
      </c>
      <c r="D23740" s="5" t="s">
        <v>30884</v>
      </c>
      <c r="E23740" s="6" t="str">
        <f>HYPERLINK("https://inpn.mnhn.fr/espece/cd_nom/852780","Tarenaya hassleriana (Chodat) Iltis, 2007")</f>
        <v>Tarenaya hassleriana (Chodat) Iltis, 2007</v>
      </c>
      <c r="F23740" s="5" t="s">
        <v>30885</v>
      </c>
      <c r="AH23740" s="4" t="str">
        <f>HYPERLINK("#Statut_biogéographique!A"&amp;_xlfn.XMATCH("M",Statut_biogéographique!A:A,2,1),"M")</f>
        <v>M</v>
      </c>
      <c r="AP23740" s="4" t="s">
        <v>376</v>
      </c>
      <c r="AR23740" s="4" t="s">
        <v>377</v>
      </c>
    </row>
    <row r="23741" spans="1:44" ht="180">
      <c r="A23741" s="4" t="s">
        <v>24364</v>
      </c>
      <c r="B23741" s="4">
        <v>85357</v>
      </c>
      <c r="D23741" s="5" t="s">
        <v>30886</v>
      </c>
      <c r="E23741" s="6" t="str">
        <f>HYPERLINK("https://inpn.mnhn.fr/espece/cd_nom/85357","Avena sativa L., 1753")</f>
        <v>Avena sativa L., 1753</v>
      </c>
      <c r="F23741" s="5" t="s">
        <v>28349</v>
      </c>
      <c r="Q23741" s="7" t="str">
        <f>HYPERLINK("#Liste_rouge!A"&amp;_xlfn.XMATCH("NA",Liste_rouge!A:A,2,1),"NA")</f>
        <v>NA</v>
      </c>
      <c r="T23741" s="7" t="str">
        <f>HYPERLINK("#Liste_rouge!A"&amp;_xlfn.XMATCH("NA",Liste_rouge!A:A,2,1),"NA (cd_nom 161543) - LC (cd_nom 85357)")</f>
        <v>NA (cd_nom 161543) - LC (cd_nom 85357)</v>
      </c>
      <c r="AH23741" s="4" t="str">
        <f>HYPERLINK("#Statut_biogéographique!A"&amp;_xlfn.XMATCH("M",Statut_biogéographique!A:A,2,1),"M")</f>
        <v>M</v>
      </c>
      <c r="AM23741" s="4" t="s">
        <v>375</v>
      </c>
      <c r="AN23741" s="4" t="s">
        <v>375</v>
      </c>
      <c r="AO23741" s="4" t="s">
        <v>375</v>
      </c>
      <c r="AP23741" s="4" t="s">
        <v>376</v>
      </c>
      <c r="AR23741" s="4" t="s">
        <v>377</v>
      </c>
    </row>
    <row r="23742" spans="1:44" ht="45">
      <c r="A23742" s="4" t="s">
        <v>24364</v>
      </c>
      <c r="B23742" s="4">
        <v>85374</v>
      </c>
      <c r="D23742" s="5" t="s">
        <v>30887</v>
      </c>
      <c r="E23742" s="6" t="str">
        <f>HYPERLINK("https://inpn.mnhn.fr/espece/cd_nom/85374","Avena sterilis L., 1762 [nom. et typ. cons.]")</f>
        <v>Avena sterilis L., 1762 [nom. et typ. cons.]</v>
      </c>
      <c r="F23742" s="5" t="s">
        <v>30888</v>
      </c>
      <c r="Q23742" s="7" t="str">
        <f>HYPERLINK("#Liste_rouge!A"&amp;_xlfn.XMATCH("LC",Liste_rouge!A:A,2,1),"LC")</f>
        <v>LC</v>
      </c>
      <c r="T23742" s="7" t="str">
        <f>HYPERLINK("#Liste_rouge!A"&amp;_xlfn.XMATCH("DD",Liste_rouge!A:A,2,1),"DD")</f>
        <v>DD</v>
      </c>
      <c r="AH23742" s="4" t="str">
        <f>HYPERLINK("#Statut_biogéographique!A"&amp;_xlfn.XMATCH("P",Statut_biogéographique!A:A,2,1),"P")</f>
        <v>P</v>
      </c>
      <c r="AM23742" s="4" t="s">
        <v>375</v>
      </c>
      <c r="AN23742" s="4" t="s">
        <v>375</v>
      </c>
      <c r="AO23742" s="4" t="s">
        <v>375</v>
      </c>
      <c r="AP23742" s="4" t="s">
        <v>376</v>
      </c>
      <c r="AR23742" s="4" t="s">
        <v>377</v>
      </c>
    </row>
    <row r="23743" spans="1:44" ht="45">
      <c r="A23743" s="4" t="s">
        <v>24364</v>
      </c>
      <c r="B23743" s="4">
        <v>85378</v>
      </c>
      <c r="D23743" s="5" t="s">
        <v>30889</v>
      </c>
      <c r="E23743" s="6" t="str">
        <f>HYPERLINK("https://inpn.mnhn.fr/espece/cd_nom/85378","Avena strigosa Schreb., 1771")</f>
        <v>Avena strigosa Schreb., 1771</v>
      </c>
      <c r="F23743" s="5" t="s">
        <v>30890</v>
      </c>
      <c r="O23743" s="7" t="str">
        <f>HYPERLINK("#Liste_rouge!A"&amp;_xlfn.XMATCH("DD",Liste_rouge!A:A,2,1),"DD")</f>
        <v>DD</v>
      </c>
      <c r="Q23743" s="7" t="str">
        <f>HYPERLINK("#Liste_rouge!A"&amp;_xlfn.XMATCH("NA",Liste_rouge!A:A,2,1),"NA")</f>
        <v>NA</v>
      </c>
      <c r="T23743" s="7" t="str">
        <f>HYPERLINK("#Liste_rouge!A"&amp;_xlfn.XMATCH("NA",Liste_rouge!A:A,2,1),"NA")</f>
        <v>NA</v>
      </c>
      <c r="AH23743" s="4" t="str">
        <f>HYPERLINK("#Statut_biogéographique!A"&amp;_xlfn.XMATCH("M",Statut_biogéographique!A:A,2,1),"M")</f>
        <v>M</v>
      </c>
      <c r="AM23743" s="4" t="s">
        <v>375</v>
      </c>
      <c r="AN23743" s="4" t="s">
        <v>375</v>
      </c>
      <c r="AO23743" s="4" t="s">
        <v>375</v>
      </c>
      <c r="AP23743" s="4" t="s">
        <v>376</v>
      </c>
      <c r="AR23743" s="4" t="s">
        <v>377</v>
      </c>
    </row>
    <row r="23744" spans="1:44" ht="180">
      <c r="A23744" s="4" t="s">
        <v>24364</v>
      </c>
      <c r="B23744" s="4">
        <v>85418</v>
      </c>
      <c r="D23744" s="5" t="s">
        <v>30891</v>
      </c>
      <c r="E23744" s="6" t="str">
        <f>HYPERLINK("https://inpn.mnhn.fr/espece/cd_nom/85418","Avenella flexuosa (L.) Drejer, 1838")</f>
        <v>Avenella flexuosa (L.) Drejer, 1838</v>
      </c>
      <c r="F23744" s="5" t="s">
        <v>30085</v>
      </c>
      <c r="Q23744" s="7" t="str">
        <f>HYPERLINK("#Liste_rouge!A"&amp;_xlfn.XMATCH("LC",Liste_rouge!A:A,2,1),"LC")</f>
        <v>LC</v>
      </c>
      <c r="T23744" s="7" t="str">
        <f>HYPERLINK("#Liste_rouge!A"&amp;_xlfn.XMATCH("LC",Liste_rouge!A:A,2,1),"LC")</f>
        <v>LC</v>
      </c>
      <c r="V23744" s="7" t="str">
        <f>HYPERLINK("#Liste_rouge!A"&amp;_xlfn.XMATCH("LC",Liste_rouge!A:A,2,1),"LC")</f>
        <v>LC</v>
      </c>
      <c r="AH23744" s="4" t="str">
        <f>HYPERLINK("#Statut_biogéographique!A"&amp;_xlfn.XMATCH("P",Statut_biogéographique!A:A,2,1),"P")</f>
        <v>P</v>
      </c>
      <c r="AM23744" s="4" t="s">
        <v>375</v>
      </c>
      <c r="AN23744" s="4" t="s">
        <v>375</v>
      </c>
      <c r="AO23744" s="4" t="s">
        <v>375</v>
      </c>
      <c r="AP23744" s="4" t="s">
        <v>376</v>
      </c>
      <c r="AR23744" s="4" t="s">
        <v>377</v>
      </c>
    </row>
    <row r="23745" spans="1:44" ht="105">
      <c r="A23745" s="4" t="s">
        <v>24364</v>
      </c>
      <c r="B23745" s="4">
        <v>85439</v>
      </c>
      <c r="D23745" s="5" t="s">
        <v>30892</v>
      </c>
      <c r="E23745" s="6" t="str">
        <f>HYPERLINK("https://inpn.mnhn.fr/espece/cd_nom/85439","Avenula pubescens (Huds.) Dumort., 1868")</f>
        <v>Avenula pubescens (Huds.) Dumort., 1868</v>
      </c>
      <c r="F23745" s="5" t="s">
        <v>28352</v>
      </c>
      <c r="Q23745" s="7" t="str">
        <f>HYPERLINK("#Liste_rouge!A"&amp;_xlfn.XMATCH("LC",Liste_rouge!A:A,2,1),"LC")</f>
        <v>LC</v>
      </c>
      <c r="T23745" s="7" t="str">
        <f>HYPERLINK("#Liste_rouge!A"&amp;_xlfn.XMATCH("LC",Liste_rouge!A:A,2,1),"LC")</f>
        <v>LC</v>
      </c>
      <c r="V23745" s="7" t="str">
        <f>HYPERLINK("#Liste_rouge!A"&amp;_xlfn.XMATCH("LC",Liste_rouge!A:A,2,1),"LC")</f>
        <v>LC</v>
      </c>
      <c r="AH23745" s="4" t="str">
        <f>HYPERLINK("#Statut_biogéographique!A"&amp;_xlfn.XMATCH("P",Statut_biogéographique!A:A,2,1),"P")</f>
        <v>P</v>
      </c>
      <c r="AM23745" s="4" t="s">
        <v>375</v>
      </c>
      <c r="AN23745" s="4" t="s">
        <v>375</v>
      </c>
      <c r="AO23745" s="4" t="s">
        <v>375</v>
      </c>
      <c r="AP23745" s="4" t="s">
        <v>376</v>
      </c>
      <c r="AR23745" s="4" t="s">
        <v>377</v>
      </c>
    </row>
    <row r="23746" spans="1:44" ht="45">
      <c r="A23746" s="4" t="s">
        <v>24364</v>
      </c>
      <c r="B23746" s="4">
        <v>85469</v>
      </c>
      <c r="D23746" s="5" t="s">
        <v>30893</v>
      </c>
      <c r="E23746" s="6" t="str">
        <f>HYPERLINK("https://inpn.mnhn.fr/espece/cd_nom/85469","Azolla filiculoides Lam., 1783")</f>
        <v>Azolla filiculoides Lam., 1783</v>
      </c>
      <c r="F23746" s="5" t="s">
        <v>30894</v>
      </c>
      <c r="O23746" s="7" t="str">
        <f>HYPERLINK("#Liste_rouge!A"&amp;_xlfn.XMATCH("LC",Liste_rouge!A:A,2,1),"LC")</f>
        <v>LC</v>
      </c>
      <c r="Q23746" s="7" t="str">
        <f>HYPERLINK("#Liste_rouge!A"&amp;_xlfn.XMATCH("NA",Liste_rouge!A:A,2,1),"NA")</f>
        <v>NA</v>
      </c>
      <c r="T23746" s="7" t="str">
        <f>HYPERLINK("#Liste_rouge!A"&amp;_xlfn.XMATCH("NA",Liste_rouge!A:A,2,1),"NA")</f>
        <v>NA</v>
      </c>
      <c r="AH23746" s="4" t="str">
        <f>HYPERLINK("#Statut_biogéographique!A"&amp;_xlfn.XMATCH("J",Statut_biogéographique!A:A,2,1),"J")</f>
        <v>J</v>
      </c>
      <c r="AM23746" s="4" t="s">
        <v>375</v>
      </c>
      <c r="AN23746" s="4" t="s">
        <v>375</v>
      </c>
      <c r="AO23746" s="4" t="s">
        <v>375</v>
      </c>
      <c r="AP23746" s="4" t="s">
        <v>376</v>
      </c>
      <c r="AR23746" s="4" t="s">
        <v>377</v>
      </c>
    </row>
    <row r="23747" spans="1:44" ht="30">
      <c r="A23747" s="4" t="s">
        <v>24364</v>
      </c>
      <c r="B23747" s="4">
        <v>85474</v>
      </c>
      <c r="D23747" s="5" t="s">
        <v>30895</v>
      </c>
      <c r="E23747" s="6" t="str">
        <f>HYPERLINK("https://inpn.mnhn.fr/espece/cd_nom/85474","Baccharis halimifolia L., 1753")</f>
        <v>Baccharis halimifolia L., 1753</v>
      </c>
      <c r="F23747" s="5" t="s">
        <v>30896</v>
      </c>
      <c r="O23747" s="7" t="str">
        <f>HYPERLINK("#Liste_rouge!A"&amp;_xlfn.XMATCH("LC",Liste_rouge!A:A,2,1),"LC")</f>
        <v>LC</v>
      </c>
      <c r="Q23747" s="7" t="str">
        <f>HYPERLINK("#Liste_rouge!A"&amp;_xlfn.XMATCH("NA",Liste_rouge!A:A,2,1),"NA")</f>
        <v>NA</v>
      </c>
      <c r="T23747" s="7" t="str">
        <f>HYPERLINK("#Liste_rouge!A"&amp;_xlfn.XMATCH("NA",Liste_rouge!A:A,2,1),"NA")</f>
        <v>NA</v>
      </c>
      <c r="AH23747" s="4" t="str">
        <f>HYPERLINK("#Statut_biogéographique!A"&amp;_xlfn.XMATCH("J",Statut_biogéographique!A:A,2,1),"J")</f>
        <v>J</v>
      </c>
      <c r="AL23747" s="5" t="str">
        <f>HYPERLINK("#Réglementation!A"&amp;_xlfn.XMATCH("FRnoEEEV",Réglementation!A:A,2,1),"FRnoEEEV - EEEUE")</f>
        <v>FRnoEEEV - EEEUE</v>
      </c>
      <c r="AP23747" s="4" t="s">
        <v>376</v>
      </c>
      <c r="AR23747" s="4" t="s">
        <v>377</v>
      </c>
    </row>
    <row r="23748" spans="1:44" ht="30">
      <c r="A23748" s="4" t="s">
        <v>24364</v>
      </c>
      <c r="B23748" s="4">
        <v>85486</v>
      </c>
      <c r="D23748" s="5" t="s">
        <v>30897</v>
      </c>
      <c r="E23748" s="6" t="str">
        <f>HYPERLINK("https://inpn.mnhn.fr/espece/cd_nom/85486","Baldellia ranunculoides (L.) Parl., 1854")</f>
        <v>Baldellia ranunculoides (L.) Parl., 1854</v>
      </c>
      <c r="F23748" s="5" t="s">
        <v>30898</v>
      </c>
      <c r="M23748" s="4" t="str">
        <f>HYPERLINK("#Réglementation!A"&amp;_xlfn.XMATCH("RV26",Réglementation!A:A,2,1),"RV26 - RV43")</f>
        <v>RV26 - RV43</v>
      </c>
      <c r="O23748" s="7" t="str">
        <f>HYPERLINK("#Liste_rouge!A"&amp;_xlfn.XMATCH("NT",Liste_rouge!A:A,2,1),"NT")</f>
        <v>NT</v>
      </c>
      <c r="P23748" s="7" t="str">
        <f>HYPERLINK("#Liste_rouge!A"&amp;_xlfn.XMATCH("NT",Liste_rouge!A:A,2,1),"NT")</f>
        <v>NT</v>
      </c>
      <c r="Q23748" s="7" t="str">
        <f>HYPERLINK("#Liste_rouge!A"&amp;_xlfn.XMATCH("LC",Liste_rouge!A:A,2,1),"LC")</f>
        <v>LC</v>
      </c>
      <c r="X23748" s="5" t="s">
        <v>374</v>
      </c>
      <c r="AB23748" s="4" t="s">
        <v>93</v>
      </c>
      <c r="AH23748" s="4" t="str">
        <f>HYPERLINK("#Statut_biogéographique!A"&amp;_xlfn.XMATCH("P",Statut_biogéographique!A:A,2,1),"P")</f>
        <v>P</v>
      </c>
      <c r="AM23748" s="4" t="s">
        <v>375</v>
      </c>
      <c r="AN23748" s="4" t="s">
        <v>375</v>
      </c>
      <c r="AO23748" s="4" t="s">
        <v>375</v>
      </c>
      <c r="AP23748" s="4" t="s">
        <v>376</v>
      </c>
      <c r="AR23748" s="4" t="s">
        <v>377</v>
      </c>
    </row>
    <row r="23749" spans="1:44">
      <c r="A23749" s="4" t="s">
        <v>24364</v>
      </c>
      <c r="B23749" s="4">
        <v>85502</v>
      </c>
      <c r="D23749" s="5" t="s">
        <v>30899</v>
      </c>
      <c r="E23749" s="6" t="str">
        <f>HYPERLINK("https://inpn.mnhn.fr/espece/cd_nom/85502","Ballota nigra L., 1753")</f>
        <v>Ballota nigra L., 1753</v>
      </c>
      <c r="F23749" s="5" t="s">
        <v>28355</v>
      </c>
      <c r="P23749" s="7" t="str">
        <f>HYPERLINK("#Liste_rouge!A"&amp;_xlfn.XMATCH("LC",Liste_rouge!A:A,2,1),"LC")</f>
        <v>LC</v>
      </c>
      <c r="Q23749" s="7" t="str">
        <f>HYPERLINK("#Liste_rouge!A"&amp;_xlfn.XMATCH("LC",Liste_rouge!A:A,2,1),"LC")</f>
        <v>LC</v>
      </c>
      <c r="T23749" s="7" t="str">
        <f>HYPERLINK("#Liste_rouge!A"&amp;_xlfn.XMATCH("LC",Liste_rouge!A:A,2,1),"LC")</f>
        <v>LC</v>
      </c>
      <c r="V23749" s="7" t="str">
        <f>HYPERLINK("#Liste_rouge!A"&amp;_xlfn.XMATCH("LC",Liste_rouge!A:A,2,1),"LC")</f>
        <v>LC</v>
      </c>
      <c r="AH23749" s="4" t="str">
        <f>HYPERLINK("#Statut_biogéographique!A"&amp;_xlfn.XMATCH("P",Statut_biogéographique!A:A,2,1),"P")</f>
        <v>P</v>
      </c>
      <c r="AP23749" s="4" t="s">
        <v>376</v>
      </c>
      <c r="AR23749" s="4" t="s">
        <v>377</v>
      </c>
    </row>
    <row r="23750" spans="1:44" ht="60">
      <c r="A23750" s="4" t="s">
        <v>24364</v>
      </c>
      <c r="B23750" s="4">
        <v>85536</v>
      </c>
      <c r="D23750" s="5" t="s">
        <v>30900</v>
      </c>
      <c r="E23750" s="6" t="str">
        <f>HYPERLINK("https://inpn.mnhn.fr/espece/cd_nom/85536","Barbarea intermedia Boreau, 1840")</f>
        <v>Barbarea intermedia Boreau, 1840</v>
      </c>
      <c r="F23750" s="5" t="s">
        <v>30901</v>
      </c>
      <c r="P23750" s="7" t="str">
        <f>HYPERLINK("#Liste_rouge!A"&amp;_xlfn.XMATCH("DD",Liste_rouge!A:A,2,1),"DD")</f>
        <v>DD</v>
      </c>
      <c r="Q23750" s="7" t="str">
        <f>HYPERLINK("#Liste_rouge!A"&amp;_xlfn.XMATCH("LC",Liste_rouge!A:A,2,1),"LC")</f>
        <v>LC</v>
      </c>
      <c r="T23750" s="7" t="str">
        <f>HYPERLINK("#Liste_rouge!A"&amp;_xlfn.XMATCH("LC",Liste_rouge!A:A,2,1),"LC")</f>
        <v>LC</v>
      </c>
      <c r="V23750" s="7" t="str">
        <f>HYPERLINK("#Liste_rouge!A"&amp;_xlfn.XMATCH("LC",Liste_rouge!A:A,2,1),"LC")</f>
        <v>LC</v>
      </c>
      <c r="AB23750" s="4" t="s">
        <v>26735</v>
      </c>
      <c r="AH23750" s="4" t="str">
        <f>HYPERLINK("#Statut_biogéographique!A"&amp;_xlfn.XMATCH("P",Statut_biogéographique!A:A,2,1),"P")</f>
        <v>P</v>
      </c>
      <c r="AM23750" s="4" t="s">
        <v>375</v>
      </c>
      <c r="AN23750" s="4" t="s">
        <v>375</v>
      </c>
      <c r="AO23750" s="4" t="s">
        <v>375</v>
      </c>
      <c r="AP23750" s="4" t="s">
        <v>376</v>
      </c>
      <c r="AR23750" s="4" t="s">
        <v>377</v>
      </c>
    </row>
    <row r="23751" spans="1:44">
      <c r="A23751" s="4" t="s">
        <v>24364</v>
      </c>
      <c r="B23751" s="4">
        <v>85553</v>
      </c>
      <c r="D23751" s="5" t="s">
        <v>30902</v>
      </c>
      <c r="E23751" s="6" t="str">
        <f>HYPERLINK("https://inpn.mnhn.fr/espece/cd_nom/85553","Barbarea stricta Andrz., 1821")</f>
        <v>Barbarea stricta Andrz., 1821</v>
      </c>
      <c r="F23751" s="5" t="s">
        <v>30903</v>
      </c>
      <c r="P23751" s="7" t="str">
        <f>HYPERLINK("#Liste_rouge!A"&amp;_xlfn.XMATCH("LC",Liste_rouge!A:A,2,1),"LC")</f>
        <v>LC</v>
      </c>
      <c r="Q23751" s="7" t="str">
        <f>HYPERLINK("#Liste_rouge!A"&amp;_xlfn.XMATCH("VU",Liste_rouge!A:A,2,1),"VU")</f>
        <v>VU</v>
      </c>
      <c r="T23751" s="7" t="str">
        <f>HYPERLINK("#Liste_rouge!A"&amp;_xlfn.XMATCH("NE",Liste_rouge!A:A,2,1),"NE")</f>
        <v>NE</v>
      </c>
      <c r="V23751" s="7" t="str">
        <f>HYPERLINK("#Liste_rouge!A"&amp;_xlfn.XMATCH("VU",Liste_rouge!A:A,2,1),"VU")</f>
        <v>VU</v>
      </c>
      <c r="W23751" s="4" t="str">
        <f>HYPERLINK("#Critères_liste_rouge!A$1","D1")</f>
        <v>D1</v>
      </c>
      <c r="X23751" s="5" t="s">
        <v>374</v>
      </c>
      <c r="AB23751" s="4" t="s">
        <v>93</v>
      </c>
      <c r="AH23751" s="4" t="str">
        <f>HYPERLINK("#Statut_biogéographique!A"&amp;_xlfn.XMATCH("P",Statut_biogéographique!A:A,2,1),"P")</f>
        <v>P</v>
      </c>
      <c r="AM23751" s="4" t="s">
        <v>375</v>
      </c>
      <c r="AN23751" s="4" t="s">
        <v>375</v>
      </c>
      <c r="AO23751" s="4" t="s">
        <v>375</v>
      </c>
      <c r="AP23751" s="4" t="s">
        <v>376</v>
      </c>
      <c r="AR23751" s="4" t="s">
        <v>377</v>
      </c>
    </row>
    <row r="23752" spans="1:44" ht="60">
      <c r="A23752" s="4" t="s">
        <v>24364</v>
      </c>
      <c r="B23752" s="4">
        <v>85555</v>
      </c>
      <c r="D23752" s="5" t="s">
        <v>30904</v>
      </c>
      <c r="E23752" s="6" t="str">
        <f>HYPERLINK("https://inpn.mnhn.fr/espece/cd_nom/85555","Barbarea verna (Mill.) Asch., 1864")</f>
        <v>Barbarea verna (Mill.) Asch., 1864</v>
      </c>
      <c r="F23752" s="5" t="s">
        <v>30905</v>
      </c>
      <c r="O23752" s="7" t="str">
        <f>HYPERLINK("#Liste_rouge!A"&amp;_xlfn.XMATCH("DD",Liste_rouge!A:A,2,1),"DD")</f>
        <v>DD</v>
      </c>
      <c r="P23752" s="7" t="str">
        <f>HYPERLINK("#Liste_rouge!A"&amp;_xlfn.XMATCH("DD",Liste_rouge!A:A,2,1),"DD")</f>
        <v>DD</v>
      </c>
      <c r="Q23752" s="7" t="str">
        <f>HYPERLINK("#Liste_rouge!A"&amp;_xlfn.XMATCH("LC",Liste_rouge!A:A,2,1),"LC")</f>
        <v>LC</v>
      </c>
      <c r="T23752" s="7" t="str">
        <f>HYPERLINK("#Liste_rouge!A"&amp;_xlfn.XMATCH("LC",Liste_rouge!A:A,2,1),"LC")</f>
        <v>LC</v>
      </c>
      <c r="V23752" s="7" t="str">
        <f>HYPERLINK("#Liste_rouge!A"&amp;_xlfn.XMATCH("NT",Liste_rouge!A:A,2,1),"NT")</f>
        <v>NT</v>
      </c>
      <c r="W23752" s="4" t="str">
        <f>HYPERLINK("#Critères_liste_rouge!A$1","pr. D2")</f>
        <v>pr. D2</v>
      </c>
      <c r="AB23752" s="4" t="s">
        <v>26735</v>
      </c>
      <c r="AH23752" s="4" t="str">
        <f>HYPERLINK("#Statut_biogéographique!A"&amp;_xlfn.XMATCH("P",Statut_biogéographique!A:A,2,1),"P")</f>
        <v>P</v>
      </c>
      <c r="AM23752" s="4" t="s">
        <v>375</v>
      </c>
      <c r="AN23752" s="4" t="s">
        <v>375</v>
      </c>
      <c r="AO23752" s="4" t="s">
        <v>375</v>
      </c>
      <c r="AP23752" s="4" t="s">
        <v>376</v>
      </c>
      <c r="AR23752" s="4" t="s">
        <v>377</v>
      </c>
    </row>
    <row r="23753" spans="1:44">
      <c r="A23753" s="4" t="s">
        <v>24364</v>
      </c>
      <c r="B23753" s="4">
        <v>85602</v>
      </c>
      <c r="D23753" s="5" t="s">
        <v>30906</v>
      </c>
      <c r="E23753" s="6" t="str">
        <f>HYPERLINK("https://inpn.mnhn.fr/espece/cd_nom/85602","Bartsia alpina L., 1753")</f>
        <v>Bartsia alpina L., 1753</v>
      </c>
      <c r="F23753" s="5" t="s">
        <v>30907</v>
      </c>
      <c r="Q23753" s="7" t="str">
        <f>HYPERLINK("#Liste_rouge!A"&amp;_xlfn.XMATCH("LC",Liste_rouge!A:A,2,1),"LC")</f>
        <v>LC</v>
      </c>
      <c r="V23753" s="7" t="str">
        <f>HYPERLINK("#Liste_rouge!A"&amp;_xlfn.XMATCH("NT",Liste_rouge!A:A,2,1),"NT")</f>
        <v>NT</v>
      </c>
      <c r="W23753" s="4" t="str">
        <f>HYPERLINK("#Critères_liste_rouge!A$1","pr.  A3c D2")</f>
        <v>pr.  A3c D2</v>
      </c>
      <c r="X23753" s="5" t="s">
        <v>374</v>
      </c>
      <c r="AB23753" s="4" t="s">
        <v>93</v>
      </c>
      <c r="AH23753" s="4" t="str">
        <f>HYPERLINK("#Statut_biogéographique!A"&amp;_xlfn.XMATCH("P",Statut_biogéographique!A:A,2,1),"P")</f>
        <v>P</v>
      </c>
      <c r="AM23753" s="4" t="s">
        <v>375</v>
      </c>
      <c r="AN23753" s="4" t="s">
        <v>375</v>
      </c>
      <c r="AO23753" s="4" t="s">
        <v>375</v>
      </c>
      <c r="AP23753" s="4" t="s">
        <v>376</v>
      </c>
      <c r="AR23753" s="4" t="s">
        <v>377</v>
      </c>
    </row>
    <row r="23754" spans="1:44">
      <c r="A23754" s="4" t="s">
        <v>24364</v>
      </c>
      <c r="B23754" s="4">
        <v>85631</v>
      </c>
      <c r="D23754" s="5" t="s">
        <v>30908</v>
      </c>
      <c r="E23754" s="6" t="str">
        <f>HYPERLINK("https://inpn.mnhn.fr/espece/cd_nom/85631","Bassia scoparia (L.) Voss, 1903")</f>
        <v>Bassia scoparia (L.) Voss, 1903</v>
      </c>
      <c r="F23754" s="5" t="s">
        <v>30909</v>
      </c>
      <c r="Q23754" s="7" t="str">
        <f>HYPERLINK("#Liste_rouge!A"&amp;_xlfn.XMATCH("NA",Liste_rouge!A:A,2,1),"NA")</f>
        <v>NA</v>
      </c>
      <c r="T23754" s="7" t="str">
        <f>HYPERLINK("#Liste_rouge!A"&amp;_xlfn.XMATCH("NA",Liste_rouge!A:A,2,1),"NA")</f>
        <v>NA</v>
      </c>
      <c r="AH23754" s="4" t="str">
        <f>HYPERLINK("#Statut_biogéographique!A"&amp;_xlfn.XMATCH("I",Statut_biogéographique!A:A,2,1),"I")</f>
        <v>I</v>
      </c>
      <c r="AP23754" s="4" t="s">
        <v>376</v>
      </c>
      <c r="AR23754" s="4" t="s">
        <v>377</v>
      </c>
    </row>
    <row r="23755" spans="1:44" ht="45">
      <c r="A23755" s="4" t="s">
        <v>24364</v>
      </c>
      <c r="B23755" s="4">
        <v>85720</v>
      </c>
      <c r="D23755" s="5" t="s">
        <v>30910</v>
      </c>
      <c r="E23755" s="6" t="str">
        <f>HYPERLINK("https://inpn.mnhn.fr/espece/cd_nom/85720","Bellidiastrum michelii Cass., 1817")</f>
        <v>Bellidiastrum michelii Cass., 1817</v>
      </c>
      <c r="F23755" s="5" t="s">
        <v>30911</v>
      </c>
      <c r="Q23755" s="7" t="str">
        <f>HYPERLINK("#Liste_rouge!A"&amp;_xlfn.XMATCH("LC",Liste_rouge!A:A,2,1),"LC")</f>
        <v>LC</v>
      </c>
      <c r="V23755" s="7" t="str">
        <f>HYPERLINK("#Liste_rouge!A"&amp;_xlfn.XMATCH("LC",Liste_rouge!A:A,2,1),"LC")</f>
        <v>LC</v>
      </c>
      <c r="AH23755" s="4" t="str">
        <f>HYPERLINK("#Statut_biogéographique!A"&amp;_xlfn.XMATCH("P",Statut_biogéographique!A:A,2,1),"P")</f>
        <v>P</v>
      </c>
      <c r="AM23755" s="4" t="s">
        <v>375</v>
      </c>
      <c r="AN23755" s="4" t="s">
        <v>375</v>
      </c>
      <c r="AO23755" s="4" t="s">
        <v>375</v>
      </c>
      <c r="AP23755" s="4" t="s">
        <v>376</v>
      </c>
      <c r="AR23755" s="4" t="s">
        <v>377</v>
      </c>
    </row>
    <row r="23756" spans="1:44" ht="45">
      <c r="A23756" s="4" t="s">
        <v>24364</v>
      </c>
      <c r="B23756" s="4">
        <v>85740</v>
      </c>
      <c r="D23756" s="5" t="s">
        <v>30912</v>
      </c>
      <c r="E23756" s="6" t="str">
        <f>HYPERLINK("https://inpn.mnhn.fr/espece/cd_nom/85740","Bellis perennis L., 1753")</f>
        <v>Bellis perennis L., 1753</v>
      </c>
      <c r="F23756" s="5" t="s">
        <v>30913</v>
      </c>
      <c r="Q23756" s="7" t="str">
        <f>HYPERLINK("#Liste_rouge!A"&amp;_xlfn.XMATCH("LC",Liste_rouge!A:A,2,1),"LC")</f>
        <v>LC</v>
      </c>
      <c r="T23756" s="7" t="str">
        <f>HYPERLINK("#Liste_rouge!A"&amp;_xlfn.XMATCH("LC",Liste_rouge!A:A,2,1),"LC")</f>
        <v>LC</v>
      </c>
      <c r="V23756" s="7" t="str">
        <f>HYPERLINK("#Liste_rouge!A"&amp;_xlfn.XMATCH("LC",Liste_rouge!A:A,2,1),"LC")</f>
        <v>LC</v>
      </c>
      <c r="AH23756" s="4" t="str">
        <f>HYPERLINK("#Statut_biogéographique!A"&amp;_xlfn.XMATCH("P",Statut_biogéographique!A:A,2,1),"P")</f>
        <v>P</v>
      </c>
      <c r="AM23756" s="4" t="s">
        <v>375</v>
      </c>
      <c r="AN23756" s="4" t="s">
        <v>375</v>
      </c>
      <c r="AO23756" s="4" t="s">
        <v>375</v>
      </c>
      <c r="AP23756" s="4" t="s">
        <v>376</v>
      </c>
      <c r="AR23756" s="4" t="s">
        <v>377</v>
      </c>
    </row>
    <row r="23757" spans="1:44" ht="45">
      <c r="A23757" s="4" t="s">
        <v>24364</v>
      </c>
      <c r="B23757" s="4">
        <v>85763</v>
      </c>
      <c r="D23757" s="5" t="s">
        <v>30914</v>
      </c>
      <c r="E23757" s="6" t="str">
        <f>HYPERLINK("https://inpn.mnhn.fr/espece/cd_nom/85763","Berberis aquifolium Pursh, 1814")</f>
        <v>Berberis aquifolium Pursh, 1814</v>
      </c>
      <c r="F23757" s="5" t="s">
        <v>30915</v>
      </c>
      <c r="Q23757" s="7" t="str">
        <f>HYPERLINK("#Liste_rouge!A"&amp;_xlfn.XMATCH("NA",Liste_rouge!A:A,2,1),"NA")</f>
        <v>NA</v>
      </c>
      <c r="T23757" s="7" t="str">
        <f>HYPERLINK("#Liste_rouge!A"&amp;_xlfn.XMATCH("NA",Liste_rouge!A:A,2,1),"NA")</f>
        <v>NA</v>
      </c>
      <c r="AH23757" s="4" t="str">
        <f>HYPERLINK("#Statut_biogéographique!A"&amp;_xlfn.XMATCH("I",Statut_biogéographique!A:A,2,1),"I")</f>
        <v>I</v>
      </c>
      <c r="AP23757" s="4" t="s">
        <v>376</v>
      </c>
      <c r="AR23757" s="4" t="s">
        <v>377</v>
      </c>
    </row>
    <row r="23758" spans="1:44">
      <c r="A23758" s="4" t="s">
        <v>24364</v>
      </c>
      <c r="B23758" s="4">
        <v>85773</v>
      </c>
      <c r="D23758" s="5">
        <v>85773</v>
      </c>
      <c r="E23758" s="6" t="str">
        <f>HYPERLINK("https://inpn.mnhn.fr/espece/cd_nom/85773","Berberis thunbergii DC., 1821")</f>
        <v>Berberis thunbergii DC., 1821</v>
      </c>
      <c r="F23758" s="5" t="s">
        <v>30916</v>
      </c>
      <c r="Q23758" s="7" t="str">
        <f>HYPERLINK("#Liste_rouge!A"&amp;_xlfn.XMATCH("NA",Liste_rouge!A:A,2,1),"NA")</f>
        <v>NA</v>
      </c>
      <c r="T23758" s="7" t="str">
        <f>HYPERLINK("#Liste_rouge!A"&amp;_xlfn.XMATCH("NA",Liste_rouge!A:A,2,1),"NA")</f>
        <v>NA</v>
      </c>
      <c r="AH23758" s="4" t="str">
        <f>HYPERLINK("#Statut_biogéographique!A"&amp;_xlfn.XMATCH("M",Statut_biogéographique!A:A,2,1),"M")</f>
        <v>M</v>
      </c>
      <c r="AP23758" s="4" t="s">
        <v>376</v>
      </c>
      <c r="AR23758" s="4" t="s">
        <v>377</v>
      </c>
    </row>
    <row r="23759" spans="1:44" ht="45">
      <c r="A23759" s="4" t="s">
        <v>24364</v>
      </c>
      <c r="B23759" s="4">
        <v>85774</v>
      </c>
      <c r="D23759" s="5" t="s">
        <v>30917</v>
      </c>
      <c r="E23759" s="6" t="str">
        <f>HYPERLINK("https://inpn.mnhn.fr/espece/cd_nom/85774","Berberis vulgaris L., 1753")</f>
        <v>Berberis vulgaris L., 1753</v>
      </c>
      <c r="F23759" s="5" t="s">
        <v>30918</v>
      </c>
      <c r="P23759" s="7" t="str">
        <f>HYPERLINK("#Liste_rouge!A"&amp;_xlfn.XMATCH("LC",Liste_rouge!A:A,2,1),"LC")</f>
        <v>LC</v>
      </c>
      <c r="Q23759" s="7" t="str">
        <f>HYPERLINK("#Liste_rouge!A"&amp;_xlfn.XMATCH("LC",Liste_rouge!A:A,2,1),"LC")</f>
        <v>LC</v>
      </c>
      <c r="T23759" s="7" t="str">
        <f>HYPERLINK("#Liste_rouge!A"&amp;_xlfn.XMATCH("LC",Liste_rouge!A:A,2,1),"LC")</f>
        <v>LC</v>
      </c>
      <c r="V23759" s="7" t="str">
        <f>HYPERLINK("#Liste_rouge!A"&amp;_xlfn.XMATCH("LC",Liste_rouge!A:A,2,1),"LC")</f>
        <v>LC</v>
      </c>
      <c r="AH23759" s="4" t="str">
        <f>HYPERLINK("#Statut_biogéographique!A"&amp;_xlfn.XMATCH("P",Statut_biogéographique!A:A,2,1),"P")</f>
        <v>P</v>
      </c>
      <c r="AM23759" s="4" t="s">
        <v>375</v>
      </c>
      <c r="AN23759" s="4" t="s">
        <v>375</v>
      </c>
      <c r="AO23759" s="4" t="s">
        <v>375</v>
      </c>
      <c r="AP23759" s="4" t="s">
        <v>376</v>
      </c>
      <c r="AR23759" s="4" t="s">
        <v>377</v>
      </c>
    </row>
    <row r="23760" spans="1:44" ht="30">
      <c r="A23760" s="4" t="s">
        <v>24364</v>
      </c>
      <c r="B23760" s="4">
        <v>85795</v>
      </c>
      <c r="D23760" s="5" t="s">
        <v>30919</v>
      </c>
      <c r="E23760" s="6" t="str">
        <f>HYPERLINK("https://inpn.mnhn.fr/espece/cd_nom/85795","Berteroa incana (L.) DC., 1821")</f>
        <v>Berteroa incana (L.) DC., 1821</v>
      </c>
      <c r="F23760" s="5" t="s">
        <v>30920</v>
      </c>
      <c r="Q23760" s="7" t="str">
        <f>HYPERLINK("#Liste_rouge!A"&amp;_xlfn.XMATCH("NA",Liste_rouge!A:A,2,1),"NA")</f>
        <v>NA</v>
      </c>
      <c r="T23760" s="7" t="str">
        <f>HYPERLINK("#Liste_rouge!A"&amp;_xlfn.XMATCH("NA",Liste_rouge!A:A,2,1),"NA")</f>
        <v>NA</v>
      </c>
      <c r="AH23760" s="4" t="str">
        <f>HYPERLINK("#Statut_biogéographique!A"&amp;_xlfn.XMATCH("I",Statut_biogéographique!A:A,2,1),"I")</f>
        <v>I</v>
      </c>
      <c r="AM23760" s="4" t="s">
        <v>375</v>
      </c>
      <c r="AN23760" s="4" t="s">
        <v>375</v>
      </c>
      <c r="AO23760" s="4" t="s">
        <v>375</v>
      </c>
      <c r="AP23760" s="4" t="s">
        <v>376</v>
      </c>
      <c r="AR23760" s="4" t="s">
        <v>377</v>
      </c>
    </row>
    <row r="23761" spans="1:44" ht="60">
      <c r="A23761" s="4" t="s">
        <v>24364</v>
      </c>
      <c r="B23761" s="4">
        <v>85798</v>
      </c>
      <c r="D23761" s="5" t="s">
        <v>30921</v>
      </c>
      <c r="E23761" s="6" t="str">
        <f>HYPERLINK("https://inpn.mnhn.fr/espece/cd_nom/85798","Berula erecta (Huds.) Coville, 1893")</f>
        <v>Berula erecta (Huds.) Coville, 1893</v>
      </c>
      <c r="F23761" s="5" t="s">
        <v>30922</v>
      </c>
      <c r="O23761" s="7" t="str">
        <f>HYPERLINK("#Liste_rouge!A"&amp;_xlfn.XMATCH("LC",Liste_rouge!A:A,2,1),"LC")</f>
        <v>LC</v>
      </c>
      <c r="P23761" s="7" t="str">
        <f>HYPERLINK("#Liste_rouge!A"&amp;_xlfn.XMATCH("LC",Liste_rouge!A:A,2,1),"LC")</f>
        <v>LC</v>
      </c>
      <c r="Q23761" s="7" t="str">
        <f>HYPERLINK("#Liste_rouge!A"&amp;_xlfn.XMATCH("LC",Liste_rouge!A:A,2,1),"LC")</f>
        <v>LC</v>
      </c>
      <c r="T23761" s="7" t="str">
        <f>HYPERLINK("#Liste_rouge!A"&amp;_xlfn.XMATCH("LC",Liste_rouge!A:A,2,1),"LC")</f>
        <v>LC</v>
      </c>
      <c r="V23761" s="7" t="str">
        <f>HYPERLINK("#Liste_rouge!A"&amp;_xlfn.XMATCH("LC",Liste_rouge!A:A,2,1),"LC")</f>
        <v>LC</v>
      </c>
      <c r="AH23761" s="4" t="str">
        <f>HYPERLINK("#Statut_biogéographique!A"&amp;_xlfn.XMATCH("P",Statut_biogéographique!A:A,2,1),"P")</f>
        <v>P</v>
      </c>
      <c r="AM23761" s="4" t="s">
        <v>375</v>
      </c>
      <c r="AN23761" s="4" t="s">
        <v>375</v>
      </c>
      <c r="AO23761" s="4" t="s">
        <v>375</v>
      </c>
      <c r="AP23761" s="4" t="s">
        <v>376</v>
      </c>
      <c r="AR23761" s="4" t="s">
        <v>377</v>
      </c>
    </row>
    <row r="23762" spans="1:44" ht="30">
      <c r="A23762" s="4" t="s">
        <v>24364</v>
      </c>
      <c r="B23762" s="4">
        <v>85819</v>
      </c>
      <c r="D23762" s="5">
        <v>85819</v>
      </c>
      <c r="E23762" s="6" t="str">
        <f>HYPERLINK("https://inpn.mnhn.fr/espece/cd_nom/85819","Beta trigyna Waldst. &amp; Kit., 1802")</f>
        <v>Beta trigyna Waldst. &amp; Kit., 1802</v>
      </c>
      <c r="F23762" s="5" t="s">
        <v>30923</v>
      </c>
      <c r="P23762" s="7" t="str">
        <f>HYPERLINK("#Liste_rouge!A"&amp;_xlfn.XMATCH("DD",Liste_rouge!A:A,2,1),"DD")</f>
        <v>DD</v>
      </c>
      <c r="Q23762" s="7" t="str">
        <f>HYPERLINK("#Liste_rouge!A"&amp;_xlfn.XMATCH("NA",Liste_rouge!A:A,2,1),"NA")</f>
        <v>NA</v>
      </c>
      <c r="T23762" s="7" t="str">
        <f>HYPERLINK("#Liste_rouge!A"&amp;_xlfn.XMATCH("NA",Liste_rouge!A:A,2,1),"NA")</f>
        <v>NA</v>
      </c>
      <c r="AH23762" s="4" t="str">
        <f>HYPERLINK("#Statut_biogéographique!A"&amp;_xlfn.XMATCH("M",Statut_biogéographique!A:A,2,1),"M")</f>
        <v>M</v>
      </c>
      <c r="AP23762" s="4" t="s">
        <v>376</v>
      </c>
      <c r="AR23762" s="4" t="s">
        <v>377</v>
      </c>
    </row>
    <row r="23763" spans="1:44" ht="45">
      <c r="A23763" s="4" t="s">
        <v>24364</v>
      </c>
      <c r="B23763" s="4">
        <v>85820</v>
      </c>
      <c r="D23763" s="5">
        <v>85820</v>
      </c>
      <c r="E23763" s="6" t="str">
        <f>HYPERLINK("https://inpn.mnhn.fr/espece/cd_nom/85820","Beta vulgaris L., 1753")</f>
        <v>Beta vulgaris L., 1753</v>
      </c>
      <c r="F23763" s="5" t="s">
        <v>30924</v>
      </c>
      <c r="P23763" s="7" t="str">
        <f>HYPERLINK("#Liste_rouge!A"&amp;_xlfn.XMATCH("LC",Liste_rouge!A:A,2,1),"LC")</f>
        <v>LC</v>
      </c>
      <c r="Q23763" s="7" t="str">
        <f>HYPERLINK("#Liste_rouge!A"&amp;_xlfn.XMATCH("LC",Liste_rouge!A:A,2,1),"LC")</f>
        <v>LC</v>
      </c>
      <c r="T23763" s="7" t="str">
        <f>HYPERLINK("#Liste_rouge!A"&amp;_xlfn.XMATCH("NA",Liste_rouge!A:A,2,1),"NA")</f>
        <v>NA</v>
      </c>
      <c r="AH23763" s="4" t="str">
        <f>HYPERLINK("#Statut_biogéographique!A"&amp;_xlfn.XMATCH("P",Statut_biogéographique!A:A,2,1),"P")</f>
        <v>P</v>
      </c>
      <c r="AP23763" s="4" t="s">
        <v>376</v>
      </c>
      <c r="AR23763" s="4" t="s">
        <v>377</v>
      </c>
    </row>
    <row r="23764" spans="1:44" ht="135">
      <c r="A23764" s="4" t="s">
        <v>24364</v>
      </c>
      <c r="B23764" s="4">
        <v>85852</v>
      </c>
      <c r="D23764" s="5" t="s">
        <v>30925</v>
      </c>
      <c r="E23764" s="6" t="str">
        <f>HYPERLINK("https://inpn.mnhn.fr/espece/cd_nom/85852","Betonica officinalis L., 1753")</f>
        <v>Betonica officinalis L., 1753</v>
      </c>
      <c r="F23764" s="5" t="s">
        <v>30087</v>
      </c>
      <c r="P23764" s="7" t="str">
        <f>HYPERLINK("#Liste_rouge!A"&amp;_xlfn.XMATCH("LC",Liste_rouge!A:A,2,1),"LC")</f>
        <v>LC</v>
      </c>
      <c r="Q23764" s="7" t="str">
        <f>HYPERLINK("#Liste_rouge!A"&amp;_xlfn.XMATCH("LC",Liste_rouge!A:A,2,1),"LC")</f>
        <v>LC</v>
      </c>
      <c r="T23764" s="7" t="str">
        <f>HYPERLINK("#Liste_rouge!A"&amp;_xlfn.XMATCH("LC",Liste_rouge!A:A,2,1),"LC")</f>
        <v>LC</v>
      </c>
      <c r="V23764" s="7" t="str">
        <f>HYPERLINK("#Liste_rouge!A"&amp;_xlfn.XMATCH("LC",Liste_rouge!A:A,2,1),"LC")</f>
        <v>LC</v>
      </c>
      <c r="AH23764" s="4" t="str">
        <f>HYPERLINK("#Statut_biogéographique!A"&amp;_xlfn.XMATCH("P",Statut_biogéographique!A:A,2,1),"P")</f>
        <v>P</v>
      </c>
      <c r="AM23764" s="4" t="s">
        <v>375</v>
      </c>
      <c r="AN23764" s="4" t="s">
        <v>375</v>
      </c>
      <c r="AO23764" s="4" t="s">
        <v>375</v>
      </c>
      <c r="AP23764" s="4" t="s">
        <v>376</v>
      </c>
      <c r="AR23764" s="4" t="s">
        <v>377</v>
      </c>
    </row>
    <row r="23765" spans="1:44">
      <c r="A23765" s="4" t="s">
        <v>24364</v>
      </c>
      <c r="B23765" s="4">
        <v>85897</v>
      </c>
      <c r="D23765" s="5" t="s">
        <v>30926</v>
      </c>
      <c r="E23765" s="6" t="str">
        <f>HYPERLINK("https://inpn.mnhn.fr/espece/cd_nom/85897","Betula nana L., 1753")</f>
        <v>Betula nana L., 1753</v>
      </c>
      <c r="F23765" s="5" t="s">
        <v>30927</v>
      </c>
      <c r="L23765" s="4" t="str">
        <f>HYPERLINK("#Réglementation!A"&amp;_xlfn.XMATCH("NV1",Réglementation!A:A,2,1),"NV1")</f>
        <v>NV1</v>
      </c>
      <c r="O23765" s="7" t="str">
        <f>HYPERLINK("#Liste_rouge!A"&amp;_xlfn.XMATCH("LC",Liste_rouge!A:A,2,1),"LC")</f>
        <v>LC</v>
      </c>
      <c r="Q23765" s="7" t="str">
        <f>HYPERLINK("#Liste_rouge!A"&amp;_xlfn.XMATCH("VU",Liste_rouge!A:A,2,1),"VU")</f>
        <v>VU</v>
      </c>
      <c r="V23765" s="7" t="str">
        <f>HYPERLINK("#Liste_rouge!A"&amp;_xlfn.XMATCH("VU",Liste_rouge!A:A,2,1),"VU")</f>
        <v>VU</v>
      </c>
      <c r="W23765" s="4" t="str">
        <f>HYPERLINK("#Critères_liste_rouge!A$1","D1+2")</f>
        <v>D1+2</v>
      </c>
      <c r="X23765" s="5" t="s">
        <v>374</v>
      </c>
      <c r="AB23765" s="4" t="s">
        <v>93</v>
      </c>
      <c r="AE23765" s="4" t="str">
        <f>HYPERLINK("#SCAP!A"&amp;_xlfn.XMATCH("A",SCAP!A:A,2,1),"A")</f>
        <v>A</v>
      </c>
      <c r="AH23765" s="4" t="str">
        <f>HYPERLINK("#Statut_biogéographique!A"&amp;_xlfn.XMATCH("P",Statut_biogéographique!A:A,2,1),"P")</f>
        <v>P</v>
      </c>
      <c r="AM23765" s="4" t="s">
        <v>375</v>
      </c>
      <c r="AN23765" s="4" t="s">
        <v>375</v>
      </c>
      <c r="AO23765" s="4" t="s">
        <v>375</v>
      </c>
      <c r="AP23765" s="4" t="s">
        <v>389</v>
      </c>
      <c r="AR23765" s="4" t="s">
        <v>377</v>
      </c>
    </row>
    <row r="23766" spans="1:44" ht="45">
      <c r="A23766" s="4" t="s">
        <v>24364</v>
      </c>
      <c r="B23766" s="4">
        <v>85903</v>
      </c>
      <c r="D23766" s="5" t="s">
        <v>30928</v>
      </c>
      <c r="E23766" s="6" t="str">
        <f>HYPERLINK("https://inpn.mnhn.fr/espece/cd_nom/85903","Betula pendula Roth, 1788")</f>
        <v>Betula pendula Roth, 1788</v>
      </c>
      <c r="F23766" s="5" t="s">
        <v>30929</v>
      </c>
      <c r="O23766" s="7" t="str">
        <f>HYPERLINK("#Liste_rouge!A"&amp;_xlfn.XMATCH("LC",Liste_rouge!A:A,2,1),"LC")</f>
        <v>LC</v>
      </c>
      <c r="P23766" s="7" t="str">
        <f>HYPERLINK("#Liste_rouge!A"&amp;_xlfn.XMATCH("DD",Liste_rouge!A:A,2,1),"DD (cd_nom 85883) - LC (cd_nom 85903)")</f>
        <v>DD (cd_nom 85883) - LC (cd_nom 85903)</v>
      </c>
      <c r="Q23766" s="7" t="str">
        <f>HYPERLINK("#Liste_rouge!A"&amp;_xlfn.XMATCH("LC",Liste_rouge!A:A,2,1),"LC")</f>
        <v>LC</v>
      </c>
      <c r="T23766" s="7" t="str">
        <f>HYPERLINK("#Liste_rouge!A"&amp;_xlfn.XMATCH("LC",Liste_rouge!A:A,2,1),"LC")</f>
        <v>LC</v>
      </c>
      <c r="V23766" s="7" t="str">
        <f>HYPERLINK("#Liste_rouge!A"&amp;_xlfn.XMATCH("LC",Liste_rouge!A:A,2,1),"LC")</f>
        <v>LC</v>
      </c>
      <c r="AH23766" s="4" t="str">
        <f>HYPERLINK("#Statut_biogéographique!A"&amp;_xlfn.XMATCH("P",Statut_biogéographique!A:A,2,1),"P")</f>
        <v>P</v>
      </c>
      <c r="AM23766" s="4" t="s">
        <v>375</v>
      </c>
      <c r="AN23766" s="4" t="s">
        <v>375</v>
      </c>
      <c r="AO23766" s="4" t="s">
        <v>375</v>
      </c>
      <c r="AP23766" s="4" t="s">
        <v>376</v>
      </c>
      <c r="AR23766" s="4" t="s">
        <v>377</v>
      </c>
    </row>
    <row r="23767" spans="1:44" ht="90">
      <c r="A23767" s="4" t="s">
        <v>24364</v>
      </c>
      <c r="B23767" s="4">
        <v>85904</v>
      </c>
      <c r="D23767" s="5" t="s">
        <v>30930</v>
      </c>
      <c r="E23767" s="6" t="str">
        <f>HYPERLINK("https://inpn.mnhn.fr/espece/cd_nom/85904","Betula pubescens Ehrh., 1791")</f>
        <v>Betula pubescens Ehrh., 1791</v>
      </c>
      <c r="F23767" s="5" t="s">
        <v>30931</v>
      </c>
      <c r="O23767" s="7" t="str">
        <f>HYPERLINK("#Liste_rouge!A"&amp;_xlfn.XMATCH("LC",Liste_rouge!A:A,2,1),"LC")</f>
        <v>LC</v>
      </c>
      <c r="P23767" s="7" t="str">
        <f>HYPERLINK("#Liste_rouge!A"&amp;_xlfn.XMATCH("LC",Liste_rouge!A:A,2,1),"LC")</f>
        <v>LC</v>
      </c>
      <c r="Q23767" s="7" t="str">
        <f>HYPERLINK("#Liste_rouge!A"&amp;_xlfn.XMATCH("LC",Liste_rouge!A:A,2,1),"LC")</f>
        <v>LC</v>
      </c>
      <c r="T23767" s="7" t="str">
        <f>HYPERLINK("#Liste_rouge!A"&amp;_xlfn.XMATCH("LC",Liste_rouge!A:A,2,1),"LC (cd_nom 85904) - DD (cd_nom 612202)")</f>
        <v>LC (cd_nom 85904) - DD (cd_nom 612202)</v>
      </c>
      <c r="V23767" s="7" t="str">
        <f>HYPERLINK("#Liste_rouge!A"&amp;_xlfn.XMATCH("LC",Liste_rouge!A:A,2,1),"LC")</f>
        <v>LC</v>
      </c>
      <c r="AH23767" s="4" t="str">
        <f>HYPERLINK("#Statut_biogéographique!A"&amp;_xlfn.XMATCH("P",Statut_biogéographique!A:A,2,1),"P")</f>
        <v>P</v>
      </c>
      <c r="AM23767" s="4" t="s">
        <v>375</v>
      </c>
      <c r="AN23767" s="4" t="s">
        <v>375</v>
      </c>
      <c r="AO23767" s="4" t="s">
        <v>375</v>
      </c>
      <c r="AP23767" s="4" t="s">
        <v>376</v>
      </c>
      <c r="AR23767" s="4" t="s">
        <v>377</v>
      </c>
    </row>
    <row r="23768" spans="1:44">
      <c r="A23768" s="4" t="s">
        <v>24364</v>
      </c>
      <c r="B23768" s="4">
        <v>85915</v>
      </c>
      <c r="D23768" s="5" t="s">
        <v>30932</v>
      </c>
      <c r="E23768" s="6" t="str">
        <f>HYPERLINK("https://inpn.mnhn.fr/espece/cd_nom/85915","Betula x aurata Borkh., 1790")</f>
        <v>Betula x aurata Borkh., 1790</v>
      </c>
      <c r="F23768" s="5" t="s">
        <v>30933</v>
      </c>
      <c r="T23768" s="7" t="str">
        <f>HYPERLINK("#Liste_rouge!A"&amp;_xlfn.XMATCH("DD",Liste_rouge!A:A,2,1),"DD")</f>
        <v>DD</v>
      </c>
      <c r="AH23768" s="4" t="str">
        <f>HYPERLINK("#Statut_biogéographique!A"&amp;_xlfn.XMATCH("P",Statut_biogéographique!A:A,2,1),"P")</f>
        <v>P</v>
      </c>
      <c r="AP23768" s="4" t="s">
        <v>376</v>
      </c>
      <c r="AR23768" s="4" t="s">
        <v>377</v>
      </c>
    </row>
    <row r="23769" spans="1:44" ht="30">
      <c r="A23769" s="4" t="s">
        <v>24364</v>
      </c>
      <c r="B23769" s="4">
        <v>85918</v>
      </c>
      <c r="D23769" s="5" t="s">
        <v>30934</v>
      </c>
      <c r="E23769" s="6" t="str">
        <f>HYPERLINK("https://inpn.mnhn.fr/espece/cd_nom/85918","Betula x intermedia (Hartm.) E.Thomas ex Gaudin, 1830")</f>
        <v>Betula x intermedia (Hartm.) E.Thomas ex Gaudin, 1830</v>
      </c>
      <c r="F23769" s="5" t="s">
        <v>30935</v>
      </c>
      <c r="AH23769" s="4" t="str">
        <f>HYPERLINK("#Statut_biogéographique!A"&amp;_xlfn.XMATCH("P",Statut_biogéographique!A:A,2,1),"P")</f>
        <v>P</v>
      </c>
      <c r="AP23769" s="4" t="s">
        <v>376</v>
      </c>
      <c r="AR23769" s="4" t="s">
        <v>377</v>
      </c>
    </row>
    <row r="23770" spans="1:44" ht="30">
      <c r="A23770" s="4" t="s">
        <v>24364</v>
      </c>
      <c r="B23770" s="4">
        <v>85940</v>
      </c>
      <c r="D23770" s="5" t="s">
        <v>30936</v>
      </c>
      <c r="E23770" s="6" t="str">
        <f>HYPERLINK("https://inpn.mnhn.fr/espece/cd_nom/85940","Bidens aurea (Aiton) Sherff, 1915")</f>
        <v>Bidens aurea (Aiton) Sherff, 1915</v>
      </c>
      <c r="F23770" s="5" t="s">
        <v>30937</v>
      </c>
      <c r="Q23770" s="7" t="str">
        <f>HYPERLINK("#Liste_rouge!A"&amp;_xlfn.XMATCH("NA",Liste_rouge!A:A,2,1),"NA")</f>
        <v>NA</v>
      </c>
      <c r="AH23770" s="4" t="str">
        <f>HYPERLINK("#Statut_biogéographique!A"&amp;_xlfn.XMATCH("I",Statut_biogéographique!A:A,2,1),"I")</f>
        <v>I</v>
      </c>
      <c r="AP23770" s="4" t="s">
        <v>376</v>
      </c>
      <c r="AR23770" s="4" t="s">
        <v>377</v>
      </c>
    </row>
    <row r="23771" spans="1:44" ht="45">
      <c r="A23771" s="4" t="s">
        <v>24364</v>
      </c>
      <c r="B23771" s="4">
        <v>85946</v>
      </c>
      <c r="D23771" s="5" t="s">
        <v>30938</v>
      </c>
      <c r="E23771" s="6" t="str">
        <f>HYPERLINK("https://inpn.mnhn.fr/espece/cd_nom/85946","Bidens cernua L., 1753")</f>
        <v>Bidens cernua L., 1753</v>
      </c>
      <c r="F23771" s="5" t="s">
        <v>30939</v>
      </c>
      <c r="O23771" s="7" t="str">
        <f>HYPERLINK("#Liste_rouge!A"&amp;_xlfn.XMATCH("LC",Liste_rouge!A:A,2,1),"LC")</f>
        <v>LC</v>
      </c>
      <c r="P23771" s="7" t="str">
        <f>HYPERLINK("#Liste_rouge!A"&amp;_xlfn.XMATCH("LC",Liste_rouge!A:A,2,1),"LC")</f>
        <v>LC</v>
      </c>
      <c r="Q23771" s="7" t="str">
        <f>HYPERLINK("#Liste_rouge!A"&amp;_xlfn.XMATCH("LC",Liste_rouge!A:A,2,1),"LC")</f>
        <v>LC</v>
      </c>
      <c r="T23771" s="7" t="str">
        <f>HYPERLINK("#Liste_rouge!A"&amp;_xlfn.XMATCH("LC",Liste_rouge!A:A,2,1),"LC")</f>
        <v>LC</v>
      </c>
      <c r="V23771" s="7" t="str">
        <f>HYPERLINK("#Liste_rouge!A"&amp;_xlfn.XMATCH("LC",Liste_rouge!A:A,2,1),"LC")</f>
        <v>LC</v>
      </c>
      <c r="AH23771" s="4" t="str">
        <f>HYPERLINK("#Statut_biogéographique!A"&amp;_xlfn.XMATCH("P",Statut_biogéographique!A:A,2,1),"P")</f>
        <v>P</v>
      </c>
      <c r="AM23771" s="4" t="s">
        <v>375</v>
      </c>
      <c r="AN23771" s="4" t="s">
        <v>375</v>
      </c>
      <c r="AO23771" s="4" t="s">
        <v>375</v>
      </c>
      <c r="AP23771" s="4" t="s">
        <v>376</v>
      </c>
      <c r="AR23771" s="4" t="s">
        <v>377</v>
      </c>
    </row>
    <row r="23772" spans="1:44" ht="30">
      <c r="A23772" s="4" t="s">
        <v>24364</v>
      </c>
      <c r="B23772" s="4">
        <v>85949</v>
      </c>
      <c r="D23772" s="5" t="s">
        <v>30940</v>
      </c>
      <c r="E23772" s="6" t="str">
        <f>HYPERLINK("https://inpn.mnhn.fr/espece/cd_nom/85949","Bidens connata Muhl. ex Willd., 1803")</f>
        <v>Bidens connata Muhl. ex Willd., 1803</v>
      </c>
      <c r="F23772" s="5" t="s">
        <v>30941</v>
      </c>
      <c r="Q23772" s="7" t="str">
        <f>HYPERLINK("#Liste_rouge!A"&amp;_xlfn.XMATCH("NA",Liste_rouge!A:A,2,1),"NA")</f>
        <v>NA</v>
      </c>
      <c r="T23772" s="7" t="str">
        <f>HYPERLINK("#Liste_rouge!A"&amp;_xlfn.XMATCH("NA",Liste_rouge!A:A,2,1),"NA")</f>
        <v>NA</v>
      </c>
      <c r="AH23772" s="4" t="str">
        <f>HYPERLINK("#Statut_biogéographique!A"&amp;_xlfn.XMATCH("I",Statut_biogéographique!A:A,2,1),"I")</f>
        <v>I</v>
      </c>
      <c r="AM23772" s="4" t="s">
        <v>375</v>
      </c>
      <c r="AN23772" s="4" t="s">
        <v>375</v>
      </c>
      <c r="AO23772" s="4" t="s">
        <v>375</v>
      </c>
      <c r="AP23772" s="4" t="s">
        <v>376</v>
      </c>
      <c r="AR23772" s="4" t="s">
        <v>377</v>
      </c>
    </row>
    <row r="23773" spans="1:44" ht="30">
      <c r="A23773" s="4" t="s">
        <v>24364</v>
      </c>
      <c r="B23773" s="4">
        <v>85957</v>
      </c>
      <c r="D23773" s="5" t="s">
        <v>30942</v>
      </c>
      <c r="E23773" s="6" t="str">
        <f>HYPERLINK("https://inpn.mnhn.fr/espece/cd_nom/85957","Bidens frondosa L., 1753")</f>
        <v>Bidens frondosa L., 1753</v>
      </c>
      <c r="F23773" s="5" t="s">
        <v>30943</v>
      </c>
      <c r="Q23773" s="7" t="str">
        <f>HYPERLINK("#Liste_rouge!A"&amp;_xlfn.XMATCH("NA",Liste_rouge!A:A,2,1),"NA")</f>
        <v>NA</v>
      </c>
      <c r="T23773" s="7" t="str">
        <f>HYPERLINK("#Liste_rouge!A"&amp;_xlfn.XMATCH("NA",Liste_rouge!A:A,2,1),"NA")</f>
        <v>NA</v>
      </c>
      <c r="AH23773" s="4" t="str">
        <f>HYPERLINK("#Statut_biogéographique!A"&amp;_xlfn.XMATCH("J",Statut_biogéographique!A:A,2,1),"J")</f>
        <v>J</v>
      </c>
      <c r="AM23773" s="4" t="s">
        <v>375</v>
      </c>
      <c r="AN23773" s="4" t="s">
        <v>375</v>
      </c>
      <c r="AO23773" s="4" t="s">
        <v>375</v>
      </c>
      <c r="AP23773" s="4" t="s">
        <v>376</v>
      </c>
      <c r="AR23773" s="4" t="s">
        <v>377</v>
      </c>
    </row>
    <row r="23774" spans="1:44">
      <c r="A23774" s="4" t="s">
        <v>24364</v>
      </c>
      <c r="B23774" s="4">
        <v>85978</v>
      </c>
      <c r="D23774" s="5" t="s">
        <v>30944</v>
      </c>
      <c r="E23774" s="6" t="str">
        <f>HYPERLINK("https://inpn.mnhn.fr/espece/cd_nom/85978","Bidens radiata Thuill., 1799")</f>
        <v>Bidens radiata Thuill., 1799</v>
      </c>
      <c r="F23774" s="5" t="s">
        <v>30945</v>
      </c>
      <c r="P23774" s="7" t="str">
        <f>HYPERLINK("#Liste_rouge!A"&amp;_xlfn.XMATCH("LC",Liste_rouge!A:A,2,1),"LC")</f>
        <v>LC</v>
      </c>
      <c r="Q23774" s="7" t="str">
        <f>HYPERLINK("#Liste_rouge!A"&amp;_xlfn.XMATCH("LC",Liste_rouge!A:A,2,1),"LC")</f>
        <v>LC</v>
      </c>
      <c r="T23774" s="7" t="str">
        <f>HYPERLINK("#Liste_rouge!A"&amp;_xlfn.XMATCH("LC",Liste_rouge!A:A,2,1),"LC")</f>
        <v>LC</v>
      </c>
      <c r="V23774" s="7" t="str">
        <f>HYPERLINK("#Liste_rouge!A"&amp;_xlfn.XMATCH("LC",Liste_rouge!A:A,2,1),"LC")</f>
        <v>LC</v>
      </c>
      <c r="AB23774" s="4" t="s">
        <v>30946</v>
      </c>
      <c r="AH23774" s="4" t="str">
        <f>HYPERLINK("#Statut_biogéographique!A"&amp;_xlfn.XMATCH("P",Statut_biogéographique!A:A,2,1),"P")</f>
        <v>P</v>
      </c>
      <c r="AM23774" s="4" t="s">
        <v>375</v>
      </c>
      <c r="AN23774" s="4" t="s">
        <v>375</v>
      </c>
      <c r="AO23774" s="4" t="s">
        <v>375</v>
      </c>
      <c r="AP23774" s="4" t="s">
        <v>376</v>
      </c>
      <c r="AR23774" s="4" t="s">
        <v>377</v>
      </c>
    </row>
    <row r="23775" spans="1:44" ht="30">
      <c r="A23775" s="4" t="s">
        <v>24364</v>
      </c>
      <c r="B23775" s="4">
        <v>85986</v>
      </c>
      <c r="D23775" s="5" t="s">
        <v>30947</v>
      </c>
      <c r="E23775" s="6" t="str">
        <f>HYPERLINK("https://inpn.mnhn.fr/espece/cd_nom/85986","Bidens tripartita L., 1753")</f>
        <v>Bidens tripartita L., 1753</v>
      </c>
      <c r="F23775" s="5" t="s">
        <v>28362</v>
      </c>
      <c r="O23775" s="7" t="str">
        <f>HYPERLINK("#Liste_rouge!A"&amp;_xlfn.XMATCH("LC",Liste_rouge!A:A,2,1),"LC")</f>
        <v>LC</v>
      </c>
      <c r="P23775" s="7" t="str">
        <f>HYPERLINK("#Liste_rouge!A"&amp;_xlfn.XMATCH("LC",Liste_rouge!A:A,2,1),"LC")</f>
        <v>LC</v>
      </c>
      <c r="Q23775" s="7" t="str">
        <f>HYPERLINK("#Liste_rouge!A"&amp;_xlfn.XMATCH("LC",Liste_rouge!A:A,2,1),"LC")</f>
        <v>LC</v>
      </c>
      <c r="T23775" s="7" t="str">
        <f>HYPERLINK("#Liste_rouge!A"&amp;_xlfn.XMATCH("LC",Liste_rouge!A:A,2,1),"LC")</f>
        <v>LC</v>
      </c>
      <c r="V23775" s="7" t="str">
        <f>HYPERLINK("#Liste_rouge!A"&amp;_xlfn.XMATCH("LC",Liste_rouge!A:A,2,1),"LC")</f>
        <v>LC</v>
      </c>
      <c r="AH23775" s="4" t="str">
        <f>HYPERLINK("#Statut_biogéographique!A"&amp;_xlfn.XMATCH("P",Statut_biogéographique!A:A,2,1),"P")</f>
        <v>P</v>
      </c>
      <c r="AM23775" s="4" t="s">
        <v>375</v>
      </c>
      <c r="AN23775" s="4" t="s">
        <v>375</v>
      </c>
      <c r="AO23775" s="4" t="s">
        <v>375</v>
      </c>
      <c r="AP23775" s="4" t="s">
        <v>376</v>
      </c>
      <c r="AR23775" s="4" t="s">
        <v>377</v>
      </c>
    </row>
    <row r="23776" spans="1:44">
      <c r="A23776" s="4" t="s">
        <v>24364</v>
      </c>
      <c r="B23776" s="4">
        <v>85989</v>
      </c>
      <c r="D23776" s="5">
        <v>85989</v>
      </c>
      <c r="E23776" s="6" t="str">
        <f>HYPERLINK("https://inpn.mnhn.fr/espece/cd_nom/85989","Bidens vulgata Greene, 1899")</f>
        <v>Bidens vulgata Greene, 1899</v>
      </c>
      <c r="F23776" s="5" t="s">
        <v>30948</v>
      </c>
      <c r="Q23776" s="7" t="str">
        <f>HYPERLINK("#Liste_rouge!A"&amp;_xlfn.XMATCH("NA",Liste_rouge!A:A,2,1),"NA")</f>
        <v>NA</v>
      </c>
      <c r="AH23776" s="4" t="str">
        <f>HYPERLINK("#Statut_biogéographique!A"&amp;_xlfn.XMATCH("I",Statut_biogéographique!A:A,2,1),"I")</f>
        <v>I</v>
      </c>
      <c r="AP23776" s="4" t="s">
        <v>376</v>
      </c>
      <c r="AR23776" s="4" t="s">
        <v>377</v>
      </c>
    </row>
    <row r="23777" spans="1:44">
      <c r="A23777" s="4" t="s">
        <v>24364</v>
      </c>
      <c r="B23777" s="4">
        <v>85993</v>
      </c>
      <c r="D23777" s="5">
        <v>85993</v>
      </c>
      <c r="E23777" s="6" t="str">
        <f>HYPERLINK("https://inpn.mnhn.fr/espece/cd_nom/85993","Bidens x madiotii H.J.Coste ex P.Fourn., 1926")</f>
        <v>Bidens x madiotii H.J.Coste ex P.Fourn., 1926</v>
      </c>
      <c r="F23777" s="5" t="s">
        <v>30949</v>
      </c>
      <c r="AH23777" s="4" t="str">
        <f>HYPERLINK("#Statut_biogéographique!A"&amp;_xlfn.XMATCH("I",Statut_biogéographique!A:A,2,1),"I")</f>
        <v>I</v>
      </c>
      <c r="AP23777" s="4" t="s">
        <v>376</v>
      </c>
      <c r="AR23777" s="4" t="s">
        <v>377</v>
      </c>
    </row>
    <row r="23778" spans="1:44">
      <c r="A23778" s="4" t="s">
        <v>24364</v>
      </c>
      <c r="B23778" s="4">
        <v>85994</v>
      </c>
      <c r="D23778" s="5">
        <v>85994</v>
      </c>
      <c r="E23778" s="6" t="str">
        <f>HYPERLINK("https://inpn.mnhn.fr/espece/cd_nom/85994","Bidens x polakii Velen., 1928")</f>
        <v>Bidens x polakii Velen., 1928</v>
      </c>
      <c r="F23778" s="5" t="s">
        <v>30950</v>
      </c>
      <c r="AH23778" s="4" t="str">
        <f>HYPERLINK("#Statut_biogéographique!A"&amp;_xlfn.XMATCH("D",Statut_biogéographique!A:A,2,1),"D")</f>
        <v>D</v>
      </c>
      <c r="AP23778" s="4" t="s">
        <v>376</v>
      </c>
      <c r="AR23778" s="4" t="s">
        <v>377</v>
      </c>
    </row>
    <row r="23779" spans="1:44">
      <c r="A23779" s="4" t="s">
        <v>24364</v>
      </c>
      <c r="B23779" s="4">
        <v>85997</v>
      </c>
      <c r="D23779" s="5" t="s">
        <v>30951</v>
      </c>
      <c r="E23779" s="6" t="str">
        <f>HYPERLINK("https://inpn.mnhn.fr/espece/cd_nom/85997","Bifora radians M.Bieb., 1819")</f>
        <v>Bifora radians M.Bieb., 1819</v>
      </c>
      <c r="F23779" s="5" t="s">
        <v>30952</v>
      </c>
      <c r="Q23779" s="7" t="str">
        <f>HYPERLINK("#Liste_rouge!A"&amp;_xlfn.XMATCH("NA",Liste_rouge!A:A,2,1),"NA")</f>
        <v>NA</v>
      </c>
      <c r="T23779" s="7" t="str">
        <f>HYPERLINK("#Liste_rouge!A"&amp;_xlfn.XMATCH("CR",Liste_rouge!A:A,2,1),"CR")</f>
        <v>CR</v>
      </c>
      <c r="U23779" s="4" t="str">
        <f>HYPERLINK("#Critères_liste_rouge!A$1","B1 B2ab(ii) C2a(i) D1")</f>
        <v>B1 B2ab(ii) C2a(i) D1</v>
      </c>
      <c r="AH23779" s="4" t="str">
        <f>HYPERLINK("#Statut_biogéographique!A"&amp;_xlfn.XMATCH("P",Statut_biogéographique!A:A,2,1),"P")</f>
        <v>P</v>
      </c>
      <c r="AI23779" s="8" t="s">
        <v>30953</v>
      </c>
      <c r="AJ23779" s="4" t="s">
        <v>12248</v>
      </c>
      <c r="AM23779" s="4" t="s">
        <v>375</v>
      </c>
      <c r="AN23779" s="4" t="s">
        <v>375</v>
      </c>
      <c r="AO23779" s="4" t="s">
        <v>375</v>
      </c>
      <c r="AP23779" s="4" t="s">
        <v>376</v>
      </c>
      <c r="AR23779" s="4" t="s">
        <v>377</v>
      </c>
    </row>
    <row r="23780" spans="1:44" ht="45">
      <c r="A23780" s="4" t="s">
        <v>24364</v>
      </c>
      <c r="B23780" s="4">
        <v>85999</v>
      </c>
      <c r="D23780" s="5" t="s">
        <v>30954</v>
      </c>
      <c r="E23780" s="6" t="str">
        <f>HYPERLINK("https://inpn.mnhn.fr/espece/cd_nom/85999","Bifora testiculata (L.) Spreng., 1820")</f>
        <v>Bifora testiculata (L.) Spreng., 1820</v>
      </c>
      <c r="F23780" s="5" t="s">
        <v>30955</v>
      </c>
      <c r="Q23780" s="7" t="str">
        <f>HYPERLINK("#Liste_rouge!A"&amp;_xlfn.XMATCH("EN",Liste_rouge!A:A,2,1),"EN")</f>
        <v>EN</v>
      </c>
      <c r="T23780" s="7" t="str">
        <f>HYPERLINK("#Liste_rouge!A"&amp;_xlfn.XMATCH("NA",Liste_rouge!A:A,2,1),"NA")</f>
        <v>NA</v>
      </c>
      <c r="AH23780" s="4" t="str">
        <f>HYPERLINK("#Statut_biogéographique!A"&amp;_xlfn.XMATCH("P",Statut_biogéographique!A:A,2,1),"P")</f>
        <v>P</v>
      </c>
      <c r="AI23780" s="8" t="s">
        <v>30956</v>
      </c>
      <c r="AJ23780" s="4" t="s">
        <v>12248</v>
      </c>
      <c r="AP23780" s="4" t="s">
        <v>376</v>
      </c>
      <c r="AR23780" s="4" t="s">
        <v>377</v>
      </c>
    </row>
    <row r="23781" spans="1:44">
      <c r="A23781" s="4" t="s">
        <v>24364</v>
      </c>
      <c r="B23781" s="4">
        <v>86034</v>
      </c>
      <c r="D23781" s="5" t="s">
        <v>30957</v>
      </c>
      <c r="E23781" s="6" t="str">
        <f>HYPERLINK("https://inpn.mnhn.fr/espece/cd_nom/86034","Biscutella divionensis Jord., 1864")</f>
        <v>Biscutella divionensis Jord., 1864</v>
      </c>
      <c r="F23781" s="5" t="s">
        <v>30958</v>
      </c>
      <c r="Q23781" s="7" t="str">
        <f>HYPERLINK("#Liste_rouge!A"&amp;_xlfn.XMATCH("EN",Liste_rouge!A:A,2,1),"EN")</f>
        <v>EN</v>
      </c>
      <c r="T23781" s="7" t="str">
        <f>HYPERLINK("#Liste_rouge!A"&amp;_xlfn.XMATCH("EN",Liste_rouge!A:A,2,1),"EN")</f>
        <v>EN</v>
      </c>
      <c r="U23781" s="4" t="str">
        <f>HYPERLINK("#Critères_liste_rouge!A$1","D1")</f>
        <v>D1</v>
      </c>
      <c r="X23781" s="5" t="s">
        <v>374</v>
      </c>
      <c r="AB23781" s="4" t="s">
        <v>93</v>
      </c>
      <c r="AE23781" s="4" t="str">
        <f>HYPERLINK("#SCAP!A"&amp;_xlfn.XMATCH("3",SCAP!A:A,2,1),"3")</f>
        <v>3</v>
      </c>
      <c r="AF23781" s="4" t="str">
        <f>HYPERLINK("#SCAP!A"&amp;_xlfn.XMATCH("3",SCAP!A:A,2,1),"3")</f>
        <v>3</v>
      </c>
      <c r="AH23781" s="4" t="str">
        <f>HYPERLINK("#Statut_biogéographique!A"&amp;_xlfn.XMATCH("E",Statut_biogéographique!A:A,2,1),"E")</f>
        <v>E</v>
      </c>
      <c r="AM23781" s="4" t="s">
        <v>375</v>
      </c>
      <c r="AN23781" s="4" t="s">
        <v>375</v>
      </c>
      <c r="AO23781" s="4" t="s">
        <v>375</v>
      </c>
      <c r="AP23781" s="4" t="s">
        <v>376</v>
      </c>
      <c r="AR23781" s="4" t="s">
        <v>377</v>
      </c>
    </row>
    <row r="23782" spans="1:44" ht="30">
      <c r="A23782" s="4" t="s">
        <v>24364</v>
      </c>
      <c r="B23782" s="4">
        <v>86045</v>
      </c>
      <c r="D23782" s="5" t="s">
        <v>30959</v>
      </c>
      <c r="E23782" s="6" t="str">
        <f>HYPERLINK("https://inpn.mnhn.fr/espece/cd_nom/86045","Biscutella laevigata L., 1771")</f>
        <v>Biscutella laevigata L., 1771</v>
      </c>
      <c r="F23782" s="5" t="s">
        <v>30960</v>
      </c>
      <c r="M23782" s="4" t="str">
        <f>HYPERLINK("#Réglementation!A"&amp;_xlfn.XMATCH("RV26",Réglementation!A:A,2,1),"RV26")</f>
        <v>RV26</v>
      </c>
      <c r="Q23782" s="7" t="str">
        <f>HYPERLINK("#Liste_rouge!A"&amp;_xlfn.XMATCH("LC",Liste_rouge!A:A,2,1),"LC")</f>
        <v>LC</v>
      </c>
      <c r="T23782" s="7" t="str">
        <f>HYPERLINK("#Liste_rouge!A"&amp;_xlfn.XMATCH("CR",Liste_rouge!A:A,2,1),"CR")</f>
        <v>CR</v>
      </c>
      <c r="U23782" s="4" t="str">
        <f>HYPERLINK("#Critères_liste_rouge!A$1","C2a(i)")</f>
        <v>C2a(i)</v>
      </c>
      <c r="AB23782" s="4" t="s">
        <v>24495</v>
      </c>
      <c r="AH23782" s="4" t="str">
        <f>HYPERLINK("#Statut_biogéographique!A"&amp;_xlfn.XMATCH("P",Statut_biogéographique!A:A,2,1),"P")</f>
        <v>P</v>
      </c>
      <c r="AM23782" s="4" t="s">
        <v>375</v>
      </c>
      <c r="AN23782" s="4" t="s">
        <v>375</v>
      </c>
      <c r="AO23782" s="4" t="s">
        <v>375</v>
      </c>
      <c r="AP23782" s="4" t="s">
        <v>376</v>
      </c>
      <c r="AR23782" s="4" t="s">
        <v>377</v>
      </c>
    </row>
    <row r="23783" spans="1:44" ht="45">
      <c r="A23783" s="4" t="s">
        <v>24364</v>
      </c>
      <c r="B23783" s="4">
        <v>86081</v>
      </c>
      <c r="D23783" s="5" t="s">
        <v>30961</v>
      </c>
      <c r="E23783" s="6" t="str">
        <f>HYPERLINK("https://inpn.mnhn.fr/espece/cd_nom/86081","Bistorta officinalis Delarbre, 1800")</f>
        <v>Bistorta officinalis Delarbre, 1800</v>
      </c>
      <c r="F23783" s="5" t="s">
        <v>30962</v>
      </c>
      <c r="P23783" s="7" t="str">
        <f>HYPERLINK("#Liste_rouge!A"&amp;_xlfn.XMATCH("LC",Liste_rouge!A:A,2,1),"LC")</f>
        <v>LC</v>
      </c>
      <c r="Q23783" s="7" t="str">
        <f>HYPERLINK("#Liste_rouge!A"&amp;_xlfn.XMATCH("LC",Liste_rouge!A:A,2,1),"LC")</f>
        <v>LC</v>
      </c>
      <c r="T23783" s="7" t="str">
        <f>HYPERLINK("#Liste_rouge!A"&amp;_xlfn.XMATCH("LC",Liste_rouge!A:A,2,1),"LC")</f>
        <v>LC</v>
      </c>
      <c r="V23783" s="7" t="str">
        <f>HYPERLINK("#Liste_rouge!A"&amp;_xlfn.XMATCH("LC",Liste_rouge!A:A,2,1),"LC")</f>
        <v>LC</v>
      </c>
      <c r="AB23783" s="4" t="s">
        <v>25010</v>
      </c>
      <c r="AH23783" s="4" t="str">
        <f>HYPERLINK("#Statut_biogéographique!A"&amp;_xlfn.XMATCH("P",Statut_biogéographique!A:A,2,1),"P")</f>
        <v>P</v>
      </c>
      <c r="AM23783" s="4" t="s">
        <v>375</v>
      </c>
      <c r="AN23783" s="4" t="s">
        <v>375</v>
      </c>
      <c r="AO23783" s="4" t="s">
        <v>375</v>
      </c>
      <c r="AP23783" s="4" t="s">
        <v>376</v>
      </c>
      <c r="AR23783" s="4" t="s">
        <v>377</v>
      </c>
    </row>
    <row r="23784" spans="1:44" ht="60">
      <c r="A23784" s="4" t="s">
        <v>24364</v>
      </c>
      <c r="B23784" s="4">
        <v>86082</v>
      </c>
      <c r="D23784" s="5" t="s">
        <v>30963</v>
      </c>
      <c r="E23784" s="6" t="str">
        <f>HYPERLINK("https://inpn.mnhn.fr/espece/cd_nom/86082","Bistorta vivipara (L.) Delarbre, 1800")</f>
        <v>Bistorta vivipara (L.) Delarbre, 1800</v>
      </c>
      <c r="F23784" s="5" t="s">
        <v>30964</v>
      </c>
      <c r="Q23784" s="7" t="str">
        <f>HYPERLINK("#Liste_rouge!A"&amp;_xlfn.XMATCH("LC",Liste_rouge!A:A,2,1),"LC")</f>
        <v>LC</v>
      </c>
      <c r="V23784" s="7" t="str">
        <f>HYPERLINK("#Liste_rouge!A"&amp;_xlfn.XMATCH("CR",Liste_rouge!A:A,2,1),"CR")</f>
        <v>CR</v>
      </c>
      <c r="W23784" s="4" t="str">
        <f>HYPERLINK("#Critères_liste_rouge!A$1","B2ab(iii)")</f>
        <v>B2ab(iii)</v>
      </c>
      <c r="X23784" s="5" t="s">
        <v>374</v>
      </c>
      <c r="AB23784" s="4" t="s">
        <v>93</v>
      </c>
      <c r="AH23784" s="4" t="str">
        <f>HYPERLINK("#Statut_biogéographique!A"&amp;_xlfn.XMATCH("P",Statut_biogéographique!A:A,2,1),"P")</f>
        <v>P</v>
      </c>
      <c r="AM23784" s="4" t="s">
        <v>375</v>
      </c>
      <c r="AN23784" s="4" t="s">
        <v>375</v>
      </c>
      <c r="AO23784" s="4" t="s">
        <v>375</v>
      </c>
      <c r="AP23784" s="4" t="s">
        <v>376</v>
      </c>
      <c r="AR23784" s="4" t="s">
        <v>377</v>
      </c>
    </row>
    <row r="23785" spans="1:44" ht="45">
      <c r="A23785" s="4" t="s">
        <v>24364</v>
      </c>
      <c r="B23785" s="4">
        <v>86083</v>
      </c>
      <c r="D23785" s="5" t="s">
        <v>30965</v>
      </c>
      <c r="E23785" s="6" t="str">
        <f>HYPERLINK("https://inpn.mnhn.fr/espece/cd_nom/86083","Bituminaria bituminosa (L.) C.H.Stirt., 1981")</f>
        <v>Bituminaria bituminosa (L.) C.H.Stirt., 1981</v>
      </c>
      <c r="F23785" s="5" t="s">
        <v>30966</v>
      </c>
      <c r="Q23785" s="7" t="str">
        <f>HYPERLINK("#Liste_rouge!A"&amp;_xlfn.XMATCH("LC",Liste_rouge!A:A,2,1),"LC")</f>
        <v>LC</v>
      </c>
      <c r="T23785" s="7" t="str">
        <f>HYPERLINK("#Liste_rouge!A"&amp;_xlfn.XMATCH("NA",Liste_rouge!A:A,2,1),"NA")</f>
        <v>NA</v>
      </c>
      <c r="AH23785" s="4" t="str">
        <f>HYPERLINK("#Statut_biogéographique!A"&amp;_xlfn.XMATCH("P",Statut_biogéographique!A:A,2,1),"P")</f>
        <v>P</v>
      </c>
      <c r="AP23785" s="4" t="s">
        <v>376</v>
      </c>
      <c r="AR23785" s="4" t="s">
        <v>377</v>
      </c>
    </row>
    <row r="23786" spans="1:44" ht="30">
      <c r="A23786" s="4" t="s">
        <v>24364</v>
      </c>
      <c r="B23786" s="4">
        <v>86087</v>
      </c>
      <c r="D23786" s="5" t="s">
        <v>30967</v>
      </c>
      <c r="E23786" s="6" t="str">
        <f>HYPERLINK("https://inpn.mnhn.fr/espece/cd_nom/86087","Blackstonia perfoliata (L.) Huds., 1762")</f>
        <v>Blackstonia perfoliata (L.) Huds., 1762</v>
      </c>
      <c r="F23786" s="5" t="s">
        <v>28365</v>
      </c>
      <c r="Q23786" s="7" t="str">
        <f>HYPERLINK("#Liste_rouge!A"&amp;_xlfn.XMATCH("LC",Liste_rouge!A:A,2,1),"LC")</f>
        <v>LC</v>
      </c>
      <c r="T23786" s="7" t="str">
        <f>HYPERLINK("#Liste_rouge!A"&amp;_xlfn.XMATCH("LC",Liste_rouge!A:A,2,1),"LC")</f>
        <v>LC</v>
      </c>
      <c r="V23786" s="7" t="str">
        <f>HYPERLINK("#Liste_rouge!A"&amp;_xlfn.XMATCH("NT",Liste_rouge!A:A,2,1),"NT")</f>
        <v>NT</v>
      </c>
      <c r="W23786" s="4" t="str">
        <f>HYPERLINK("#Critères_liste_rouge!A$1","pr. B2(ii,iii)")</f>
        <v>pr. B2(ii,iii)</v>
      </c>
      <c r="AB23786" s="4" t="s">
        <v>24410</v>
      </c>
      <c r="AH23786" s="4" t="str">
        <f>HYPERLINK("#Statut_biogéographique!A"&amp;_xlfn.XMATCH("P",Statut_biogéographique!A:A,2,1),"P")</f>
        <v>P</v>
      </c>
      <c r="AM23786" s="4" t="s">
        <v>375</v>
      </c>
      <c r="AN23786" s="4" t="s">
        <v>375</v>
      </c>
      <c r="AO23786" s="4" t="s">
        <v>375</v>
      </c>
      <c r="AP23786" s="4" t="s">
        <v>376</v>
      </c>
      <c r="AR23786" s="4" t="s">
        <v>377</v>
      </c>
    </row>
    <row r="23787" spans="1:44" ht="30">
      <c r="A23787" s="4" t="s">
        <v>24364</v>
      </c>
      <c r="B23787" s="4">
        <v>86108</v>
      </c>
      <c r="D23787" s="5" t="s">
        <v>30968</v>
      </c>
      <c r="E23787" s="6" t="str">
        <f>HYPERLINK("https://inpn.mnhn.fr/espece/cd_nom/86108","Blitum capitatum L., 1753")</f>
        <v>Blitum capitatum L., 1753</v>
      </c>
      <c r="F23787" s="5" t="s">
        <v>30969</v>
      </c>
      <c r="Q23787" s="7" t="str">
        <f>HYPERLINK("#Liste_rouge!A"&amp;_xlfn.XMATCH("NA",Liste_rouge!A:A,2,1),"NA")</f>
        <v>NA</v>
      </c>
      <c r="T23787" s="7" t="str">
        <f>HYPERLINK("#Liste_rouge!A"&amp;_xlfn.XMATCH("NA",Liste_rouge!A:A,2,1),"NA")</f>
        <v>NA</v>
      </c>
      <c r="AH23787" s="4" t="str">
        <f>HYPERLINK("#Statut_biogéographique!A"&amp;_xlfn.XMATCH("M",Statut_biogéographique!A:A,2,1),"M")</f>
        <v>M</v>
      </c>
      <c r="AP23787" s="4" t="s">
        <v>376</v>
      </c>
      <c r="AR23787" s="4" t="s">
        <v>377</v>
      </c>
    </row>
    <row r="23788" spans="1:44" ht="30">
      <c r="A23788" s="4" t="s">
        <v>24364</v>
      </c>
      <c r="B23788" s="4">
        <v>86122</v>
      </c>
      <c r="D23788" s="5" t="s">
        <v>30970</v>
      </c>
      <c r="E23788" s="6" t="str">
        <f>HYPERLINK("https://inpn.mnhn.fr/espece/cd_nom/86122","Blitum virgatum L., 1753")</f>
        <v>Blitum virgatum L., 1753</v>
      </c>
      <c r="F23788" s="5" t="s">
        <v>30971</v>
      </c>
      <c r="Q23788" s="7" t="str">
        <f>HYPERLINK("#Liste_rouge!A"&amp;_xlfn.XMATCH("VU",Liste_rouge!A:A,2,1),"VU")</f>
        <v>VU</v>
      </c>
      <c r="T23788" s="7" t="str">
        <f>HYPERLINK("#Liste_rouge!A"&amp;_xlfn.XMATCH("NA",Liste_rouge!A:A,2,1),"NA")</f>
        <v>NA</v>
      </c>
      <c r="AH23788" s="4" t="str">
        <f>HYPERLINK("#Statut_biogéographique!A"&amp;_xlfn.XMATCH("P",Statut_biogéographique!A:A,2,1),"P")</f>
        <v>P</v>
      </c>
      <c r="AP23788" s="4" t="s">
        <v>376</v>
      </c>
      <c r="AR23788" s="4" t="s">
        <v>377</v>
      </c>
    </row>
    <row r="23789" spans="1:44" ht="45">
      <c r="A23789" s="4" t="s">
        <v>24364</v>
      </c>
      <c r="B23789" s="4">
        <v>86124</v>
      </c>
      <c r="D23789" s="5" t="s">
        <v>30972</v>
      </c>
      <c r="E23789" s="6" t="str">
        <f>HYPERLINK("https://inpn.mnhn.fr/espece/cd_nom/86124","Blysmus compressus (L.) Panz. ex Link, 1827")</f>
        <v>Blysmus compressus (L.) Panz. ex Link, 1827</v>
      </c>
      <c r="F23789" s="5" t="s">
        <v>30973</v>
      </c>
      <c r="O23789" s="7" t="str">
        <f>HYPERLINK("#Liste_rouge!A"&amp;_xlfn.XMATCH("LC",Liste_rouge!A:A,2,1),"LC")</f>
        <v>LC</v>
      </c>
      <c r="Q23789" s="7" t="str">
        <f>HYPERLINK("#Liste_rouge!A"&amp;_xlfn.XMATCH("LC",Liste_rouge!A:A,2,1),"LC")</f>
        <v>LC</v>
      </c>
      <c r="T23789" s="7" t="str">
        <f>HYPERLINK("#Liste_rouge!A"&amp;_xlfn.XMATCH("EN",Liste_rouge!A:A,2,1),"EN")</f>
        <v>EN</v>
      </c>
      <c r="U23789" s="4" t="str">
        <f>HYPERLINK("#Critères_liste_rouge!A$1","B2a")</f>
        <v>B2a</v>
      </c>
      <c r="V23789" s="7" t="str">
        <f>HYPERLINK("#Liste_rouge!A"&amp;_xlfn.XMATCH("LC",Liste_rouge!A:A,2,1),"LC")</f>
        <v>LC</v>
      </c>
      <c r="AB23789" s="4" t="s">
        <v>24984</v>
      </c>
      <c r="AH23789" s="4" t="str">
        <f>HYPERLINK("#Statut_biogéographique!A"&amp;_xlfn.XMATCH("P",Statut_biogéographique!A:A,2,1),"P")</f>
        <v>P</v>
      </c>
      <c r="AM23789" s="4" t="s">
        <v>375</v>
      </c>
      <c r="AN23789" s="4" t="s">
        <v>375</v>
      </c>
      <c r="AO23789" s="4" t="s">
        <v>375</v>
      </c>
      <c r="AP23789" s="4" t="s">
        <v>376</v>
      </c>
      <c r="AR23789" s="4" t="s">
        <v>377</v>
      </c>
    </row>
    <row r="23790" spans="1:44" ht="30">
      <c r="A23790" s="4" t="s">
        <v>24364</v>
      </c>
      <c r="B23790" s="4">
        <v>86131</v>
      </c>
      <c r="D23790" s="5" t="s">
        <v>30974</v>
      </c>
      <c r="E23790" s="6" t="str">
        <f>HYPERLINK("https://inpn.mnhn.fr/espece/cd_nom/86131","Bolboschoenus maritimus (L.) Palla, 1905")</f>
        <v>Bolboschoenus maritimus (L.) Palla, 1905</v>
      </c>
      <c r="F23790" s="5" t="s">
        <v>30975</v>
      </c>
      <c r="O23790" s="7" t="str">
        <f>HYPERLINK("#Liste_rouge!A"&amp;_xlfn.XMATCH("LC",Liste_rouge!A:A,2,1),"LC")</f>
        <v>LC</v>
      </c>
      <c r="P23790" s="7" t="str">
        <f>HYPERLINK("#Liste_rouge!A"&amp;_xlfn.XMATCH("LC",Liste_rouge!A:A,2,1),"LC")</f>
        <v>LC</v>
      </c>
      <c r="Q23790" s="7" t="str">
        <f>HYPERLINK("#Liste_rouge!A"&amp;_xlfn.XMATCH("LC",Liste_rouge!A:A,2,1),"LC")</f>
        <v>LC</v>
      </c>
      <c r="T23790" s="7" t="str">
        <f>HYPERLINK("#Liste_rouge!A"&amp;_xlfn.XMATCH("LC",Liste_rouge!A:A,2,1),"LC")</f>
        <v>LC</v>
      </c>
      <c r="AH23790" s="4" t="str">
        <f>HYPERLINK("#Statut_biogéographique!A"&amp;_xlfn.XMATCH("P",Statut_biogéographique!A:A,2,1),"P")</f>
        <v>P</v>
      </c>
      <c r="AM23790" s="4" t="s">
        <v>375</v>
      </c>
      <c r="AN23790" s="4" t="s">
        <v>375</v>
      </c>
      <c r="AO23790" s="4" t="s">
        <v>375</v>
      </c>
      <c r="AP23790" s="4" t="s">
        <v>376</v>
      </c>
      <c r="AR23790" s="4" t="s">
        <v>377</v>
      </c>
    </row>
    <row r="23791" spans="1:44" ht="45">
      <c r="A23791" s="4" t="s">
        <v>24364</v>
      </c>
      <c r="B23791" s="4">
        <v>86132</v>
      </c>
      <c r="D23791" s="5" t="s">
        <v>30976</v>
      </c>
      <c r="E23791" s="6" t="str">
        <f>HYPERLINK("https://inpn.mnhn.fr/espece/cd_nom/86132","Bolboschoenus planiculmis (F.Schmidt) T.V.Egorova, 1967")</f>
        <v>Bolboschoenus planiculmis (F.Schmidt) T.V.Egorova, 1967</v>
      </c>
      <c r="F23791" s="5" t="s">
        <v>30977</v>
      </c>
      <c r="P23791" s="7" t="str">
        <f>HYPERLINK("#Liste_rouge!A"&amp;_xlfn.XMATCH("LC",Liste_rouge!A:A,2,1),"LC")</f>
        <v>LC</v>
      </c>
      <c r="Q23791" s="7" t="str">
        <f>HYPERLINK("#Liste_rouge!A"&amp;_xlfn.XMATCH("LC",Liste_rouge!A:A,2,1),"LC")</f>
        <v>LC</v>
      </c>
      <c r="V23791" s="7" t="str">
        <f>HYPERLINK("#Liste_rouge!A"&amp;_xlfn.XMATCH("DD",Liste_rouge!A:A,2,1),"DD")</f>
        <v>DD</v>
      </c>
      <c r="AH23791" s="4" t="str">
        <f>HYPERLINK("#Statut_biogéographique!A"&amp;_xlfn.XMATCH("P",Statut_biogéographique!A:A,2,1),"P")</f>
        <v>P</v>
      </c>
      <c r="AM23791" s="4" t="s">
        <v>375</v>
      </c>
      <c r="AN23791" s="4" t="s">
        <v>375</v>
      </c>
      <c r="AO23791" s="4" t="s">
        <v>375</v>
      </c>
      <c r="AP23791" s="4" t="s">
        <v>376</v>
      </c>
      <c r="AR23791" s="4" t="s">
        <v>377</v>
      </c>
    </row>
    <row r="23792" spans="1:44" ht="45">
      <c r="A23792" s="4" t="s">
        <v>24364</v>
      </c>
      <c r="B23792" s="4">
        <v>86136</v>
      </c>
      <c r="D23792" s="5" t="s">
        <v>30978</v>
      </c>
      <c r="E23792" s="6" t="str">
        <f>HYPERLINK("https://inpn.mnhn.fr/espece/cd_nom/86136","Bombycilaena erecta (L.) Smoljan., 1955")</f>
        <v>Bombycilaena erecta (L.) Smoljan., 1955</v>
      </c>
      <c r="F23792" s="5" t="s">
        <v>30979</v>
      </c>
      <c r="M23792" s="4" t="str">
        <f>HYPERLINK("#Réglementation!A"&amp;_xlfn.XMATCH("RV26",Réglementation!A:A,2,1),"RV26 - RV43")</f>
        <v>RV26 - RV43</v>
      </c>
      <c r="Q23792" s="7" t="str">
        <f>HYPERLINK("#Liste_rouge!A"&amp;_xlfn.XMATCH("LC",Liste_rouge!A:A,2,1),"LC")</f>
        <v>LC</v>
      </c>
      <c r="T23792" s="7" t="str">
        <f>HYPERLINK("#Liste_rouge!A"&amp;_xlfn.XMATCH("LC",Liste_rouge!A:A,2,1),"LC")</f>
        <v>LC</v>
      </c>
      <c r="V23792" s="7" t="str">
        <f>HYPERLINK("#Liste_rouge!A"&amp;_xlfn.XMATCH("VU",Liste_rouge!A:A,2,1),"VU")</f>
        <v>VU</v>
      </c>
      <c r="W23792" s="4" t="str">
        <f>HYPERLINK("#Critères_liste_rouge!A$1","B2ab(iii)")</f>
        <v>B2ab(iii)</v>
      </c>
      <c r="AB23792" s="4" t="s">
        <v>25019</v>
      </c>
      <c r="AH23792" s="4" t="str">
        <f>HYPERLINK("#Statut_biogéographique!A"&amp;_xlfn.XMATCH("P",Statut_biogéographique!A:A,2,1),"P")</f>
        <v>P</v>
      </c>
      <c r="AM23792" s="4" t="s">
        <v>375</v>
      </c>
      <c r="AN23792" s="4" t="s">
        <v>375</v>
      </c>
      <c r="AO23792" s="4" t="s">
        <v>375</v>
      </c>
      <c r="AP23792" s="4" t="s">
        <v>376</v>
      </c>
      <c r="AR23792" s="4" t="s">
        <v>377</v>
      </c>
    </row>
    <row r="23793" spans="1:44">
      <c r="A23793" s="4" t="s">
        <v>24364</v>
      </c>
      <c r="B23793" s="4">
        <v>86156</v>
      </c>
      <c r="D23793" s="5" t="s">
        <v>30980</v>
      </c>
      <c r="E23793" s="6" t="str">
        <f>HYPERLINK("https://inpn.mnhn.fr/espece/cd_nom/86156","Borago officinalis L., 1753")</f>
        <v>Borago officinalis L., 1753</v>
      </c>
      <c r="F23793" s="5" t="s">
        <v>30981</v>
      </c>
      <c r="P23793" s="7" t="str">
        <f>HYPERLINK("#Liste_rouge!A"&amp;_xlfn.XMATCH("LC",Liste_rouge!A:A,2,1),"LC")</f>
        <v>LC</v>
      </c>
      <c r="Q23793" s="7" t="str">
        <f>HYPERLINK("#Liste_rouge!A"&amp;_xlfn.XMATCH("LC",Liste_rouge!A:A,2,1),"LC")</f>
        <v>LC</v>
      </c>
      <c r="T23793" s="7" t="str">
        <f>HYPERLINK("#Liste_rouge!A"&amp;_xlfn.XMATCH("NA",Liste_rouge!A:A,2,1),"NA")</f>
        <v>NA</v>
      </c>
      <c r="AH23793" s="4" t="str">
        <f>HYPERLINK("#Statut_biogéographique!A"&amp;_xlfn.XMATCH("P",Statut_biogéographique!A:A,2,1),"P")</f>
        <v>P</v>
      </c>
      <c r="AP23793" s="4" t="s">
        <v>376</v>
      </c>
      <c r="AR23793" s="4" t="s">
        <v>377</v>
      </c>
    </row>
    <row r="23794" spans="1:44" ht="30">
      <c r="A23794" s="4" t="s">
        <v>24364</v>
      </c>
      <c r="B23794" s="4">
        <v>86167</v>
      </c>
      <c r="D23794" s="5" t="s">
        <v>30982</v>
      </c>
      <c r="E23794" s="6" t="str">
        <f>HYPERLINK("https://inpn.mnhn.fr/espece/cd_nom/86167","Bothriochloa barbinodis (Lag.) Herter, 1940")</f>
        <v>Bothriochloa barbinodis (Lag.) Herter, 1940</v>
      </c>
      <c r="F23794" s="5" t="s">
        <v>30983</v>
      </c>
      <c r="Q23794" s="7" t="str">
        <f>HYPERLINK("#Liste_rouge!A"&amp;_xlfn.XMATCH("NA",Liste_rouge!A:A,2,1),"NA")</f>
        <v>NA</v>
      </c>
      <c r="T23794" s="7" t="str">
        <f>HYPERLINK("#Liste_rouge!A"&amp;_xlfn.XMATCH("NA",Liste_rouge!A:A,2,1),"NA")</f>
        <v>NA</v>
      </c>
      <c r="AH23794" s="4" t="str">
        <f>HYPERLINK("#Statut_biogéographique!A"&amp;_xlfn.XMATCH("I",Statut_biogéographique!A:A,2,1),"I")</f>
        <v>I</v>
      </c>
      <c r="AM23794" s="4" t="s">
        <v>375</v>
      </c>
      <c r="AN23794" s="4" t="s">
        <v>375</v>
      </c>
      <c r="AO23794" s="4" t="s">
        <v>375</v>
      </c>
      <c r="AP23794" s="4" t="s">
        <v>376</v>
      </c>
      <c r="AR23794" s="4" t="s">
        <v>377</v>
      </c>
    </row>
    <row r="23795" spans="1:44" ht="45">
      <c r="A23795" s="4" t="s">
        <v>24364</v>
      </c>
      <c r="B23795" s="4">
        <v>86169</v>
      </c>
      <c r="D23795" s="5" t="s">
        <v>30984</v>
      </c>
      <c r="E23795" s="6" t="str">
        <f>HYPERLINK("https://inpn.mnhn.fr/espece/cd_nom/86169","Bothriochloa ischaemum (L.) Keng, 1936")</f>
        <v>Bothriochloa ischaemum (L.) Keng, 1936</v>
      </c>
      <c r="F23795" s="5" t="s">
        <v>30985</v>
      </c>
      <c r="Q23795" s="7" t="str">
        <f>HYPERLINK("#Liste_rouge!A"&amp;_xlfn.XMATCH("LC",Liste_rouge!A:A,2,1),"LC")</f>
        <v>LC</v>
      </c>
      <c r="T23795" s="7" t="str">
        <f>HYPERLINK("#Liste_rouge!A"&amp;_xlfn.XMATCH("LC",Liste_rouge!A:A,2,1),"LC")</f>
        <v>LC</v>
      </c>
      <c r="V23795" s="7" t="str">
        <f>HYPERLINK("#Liste_rouge!A"&amp;_xlfn.XMATCH("LC",Liste_rouge!A:A,2,1),"LC")</f>
        <v>LC</v>
      </c>
      <c r="AB23795" s="4" t="s">
        <v>24495</v>
      </c>
      <c r="AH23795" s="4" t="str">
        <f>HYPERLINK("#Statut_biogéographique!A"&amp;_xlfn.XMATCH("P",Statut_biogéographique!A:A,2,1),"P")</f>
        <v>P</v>
      </c>
      <c r="AM23795" s="4" t="s">
        <v>375</v>
      </c>
      <c r="AN23795" s="4" t="s">
        <v>375</v>
      </c>
      <c r="AO23795" s="4" t="s">
        <v>375</v>
      </c>
      <c r="AP23795" s="4" t="s">
        <v>376</v>
      </c>
      <c r="AR23795" s="4" t="s">
        <v>377</v>
      </c>
    </row>
    <row r="23796" spans="1:44" ht="30">
      <c r="A23796" s="4" t="s">
        <v>24364</v>
      </c>
      <c r="B23796" s="4">
        <v>86183</v>
      </c>
      <c r="D23796" s="5" t="s">
        <v>30986</v>
      </c>
      <c r="E23796" s="6" t="str">
        <f>HYPERLINK("https://inpn.mnhn.fr/espece/cd_nom/86183","Botrychium lunaria (L.) Sw., 1801")</f>
        <v>Botrychium lunaria (L.) Sw., 1801</v>
      </c>
      <c r="F23796" s="5" t="s">
        <v>30987</v>
      </c>
      <c r="M23796" s="4" t="str">
        <f>HYPERLINK("#Réglementation!A"&amp;_xlfn.XMATCH("RV26",Réglementation!A:A,2,1),"RV26")</f>
        <v>RV26</v>
      </c>
      <c r="P23796" s="7" t="str">
        <f>HYPERLINK("#Liste_rouge!A"&amp;_xlfn.XMATCH("LC",Liste_rouge!A:A,2,1),"LC")</f>
        <v>LC</v>
      </c>
      <c r="Q23796" s="7" t="str">
        <f>HYPERLINK("#Liste_rouge!A"&amp;_xlfn.XMATCH("LC",Liste_rouge!A:A,2,1),"LC")</f>
        <v>LC</v>
      </c>
      <c r="T23796" s="7" t="str">
        <f>HYPERLINK("#Liste_rouge!A"&amp;_xlfn.XMATCH("RE",Liste_rouge!A:A,2,1),"RE")</f>
        <v>RE</v>
      </c>
      <c r="V23796" s="7" t="str">
        <f>HYPERLINK("#Liste_rouge!A"&amp;_xlfn.XMATCH("DD",Liste_rouge!A:A,2,1),"DD")</f>
        <v>DD</v>
      </c>
      <c r="X23796" s="5" t="s">
        <v>374</v>
      </c>
      <c r="AB23796" s="4" t="s">
        <v>93</v>
      </c>
      <c r="AH23796" s="4" t="str">
        <f>HYPERLINK("#Statut_biogéographique!A"&amp;_xlfn.XMATCH("P",Statut_biogéographique!A:A,2,1),"P")</f>
        <v>P</v>
      </c>
      <c r="AM23796" s="4" t="s">
        <v>375</v>
      </c>
      <c r="AN23796" s="4" t="s">
        <v>375</v>
      </c>
      <c r="AO23796" s="4" t="s">
        <v>375</v>
      </c>
      <c r="AP23796" s="4" t="s">
        <v>376</v>
      </c>
      <c r="AR23796" s="4" t="s">
        <v>377</v>
      </c>
    </row>
    <row r="23797" spans="1:44" ht="105">
      <c r="A23797" s="4" t="s">
        <v>24364</v>
      </c>
      <c r="B23797" s="4">
        <v>86262</v>
      </c>
      <c r="D23797" s="5" t="s">
        <v>30988</v>
      </c>
      <c r="E23797" s="6" t="str">
        <f>HYPERLINK("https://inpn.mnhn.fr/espece/cd_nom/86262","Brachypodium distachyon (L.) P.Beauv., 1812")</f>
        <v>Brachypodium distachyon (L.) P.Beauv., 1812</v>
      </c>
      <c r="F23797" s="5" t="s">
        <v>30989</v>
      </c>
      <c r="Q23797" s="7" t="str">
        <f>HYPERLINK("#Liste_rouge!A"&amp;_xlfn.XMATCH("LC",Liste_rouge!A:A,2,1),"LC")</f>
        <v>LC</v>
      </c>
      <c r="T23797" s="7" t="str">
        <f>HYPERLINK("#Liste_rouge!A"&amp;_xlfn.XMATCH("NE",Liste_rouge!A:A,2,1),"NE")</f>
        <v>NE</v>
      </c>
      <c r="AH23797" s="4" t="str">
        <f>HYPERLINK("#Statut_biogéographique!A"&amp;_xlfn.XMATCH("P",Statut_biogéographique!A:A,2,1),"P")</f>
        <v>P</v>
      </c>
      <c r="AP23797" s="4" t="s">
        <v>376</v>
      </c>
      <c r="AR23797" s="4" t="s">
        <v>377</v>
      </c>
    </row>
    <row r="23798" spans="1:44" ht="60">
      <c r="A23798" s="4" t="s">
        <v>24364</v>
      </c>
      <c r="B23798" s="4">
        <v>86289</v>
      </c>
      <c r="D23798" s="5" t="s">
        <v>30990</v>
      </c>
      <c r="E23798" s="6" t="str">
        <f>HYPERLINK("https://inpn.mnhn.fr/espece/cd_nom/86289","Brachypodium pinnatum (L.) P.Beauv., 1812")</f>
        <v>Brachypodium pinnatum (L.) P.Beauv., 1812</v>
      </c>
      <c r="F23798" s="5" t="s">
        <v>30991</v>
      </c>
      <c r="Q23798" s="7" t="str">
        <f>HYPERLINK("#Liste_rouge!A"&amp;_xlfn.XMATCH("DD",Liste_rouge!A:A,2,1),"DD")</f>
        <v>DD</v>
      </c>
      <c r="T23798" s="7" t="str">
        <f>HYPERLINK("#Liste_rouge!A"&amp;_xlfn.XMATCH("LC",Liste_rouge!A:A,2,1),"LC")</f>
        <v>LC</v>
      </c>
      <c r="V23798" s="7" t="str">
        <f>HYPERLINK("#Liste_rouge!A"&amp;_xlfn.XMATCH("LC",Liste_rouge!A:A,2,1),"LC")</f>
        <v>LC</v>
      </c>
      <c r="AH23798" s="4" t="str">
        <f>HYPERLINK("#Statut_biogéographique!A"&amp;_xlfn.XMATCH("P",Statut_biogéographique!A:A,2,1),"P")</f>
        <v>P</v>
      </c>
      <c r="AM23798" s="4" t="s">
        <v>375</v>
      </c>
      <c r="AN23798" s="4" t="s">
        <v>375</v>
      </c>
      <c r="AO23798" s="4" t="s">
        <v>375</v>
      </c>
      <c r="AP23798" s="4" t="s">
        <v>376</v>
      </c>
      <c r="AR23798" s="4" t="s">
        <v>377</v>
      </c>
    </row>
    <row r="23799" spans="1:44" ht="75">
      <c r="A23799" s="4" t="s">
        <v>24364</v>
      </c>
      <c r="B23799" s="4">
        <v>86297</v>
      </c>
      <c r="D23799" s="5" t="s">
        <v>30992</v>
      </c>
      <c r="E23799" s="6" t="str">
        <f>HYPERLINK("https://inpn.mnhn.fr/espece/cd_nom/86297","Brachypodium retusum (Pers.) P.Beauv., 1812")</f>
        <v>Brachypodium retusum (Pers.) P.Beauv., 1812</v>
      </c>
      <c r="F23799" s="5" t="s">
        <v>30993</v>
      </c>
      <c r="O23799" s="7" t="str">
        <f>HYPERLINK("#Liste_rouge!A"&amp;_xlfn.XMATCH("LC",Liste_rouge!A:A,2,1),"LC")</f>
        <v>LC</v>
      </c>
      <c r="Q23799" s="7" t="str">
        <f>HYPERLINK("#Liste_rouge!A"&amp;_xlfn.XMATCH("LC",Liste_rouge!A:A,2,1),"LC")</f>
        <v>LC</v>
      </c>
      <c r="AH23799" s="4" t="str">
        <f>HYPERLINK("#Statut_biogéographique!A"&amp;_xlfn.XMATCH("P",Statut_biogéographique!A:A,2,1),"P")</f>
        <v>P</v>
      </c>
      <c r="AP23799" s="4" t="s">
        <v>376</v>
      </c>
      <c r="AR23799" s="4" t="s">
        <v>377</v>
      </c>
    </row>
    <row r="23800" spans="1:44" ht="60">
      <c r="A23800" s="4" t="s">
        <v>24364</v>
      </c>
      <c r="B23800" s="4">
        <v>86301</v>
      </c>
      <c r="D23800" s="5" t="s">
        <v>30994</v>
      </c>
      <c r="E23800" s="6" t="str">
        <f>HYPERLINK("https://inpn.mnhn.fr/espece/cd_nom/86301","Brachypodium rupestre (Host) Roem. &amp; Schult., 1817")</f>
        <v>Brachypodium rupestre (Host) Roem. &amp; Schult., 1817</v>
      </c>
      <c r="F23800" s="5" t="s">
        <v>30995</v>
      </c>
      <c r="Q23800" s="7" t="str">
        <f>HYPERLINK("#Liste_rouge!A"&amp;_xlfn.XMATCH("LC",Liste_rouge!A:A,2,1),"LC")</f>
        <v>LC</v>
      </c>
      <c r="T23800" s="7" t="str">
        <f>HYPERLINK("#Liste_rouge!A"&amp;_xlfn.XMATCH("DD",Liste_rouge!A:A,2,1),"DD")</f>
        <v>DD</v>
      </c>
      <c r="V23800" s="7" t="str">
        <f>HYPERLINK("#Liste_rouge!A"&amp;_xlfn.XMATCH("LC",Liste_rouge!A:A,2,1),"LC")</f>
        <v>LC</v>
      </c>
      <c r="AH23800" s="4" t="str">
        <f>HYPERLINK("#Statut_biogéographique!A"&amp;_xlfn.XMATCH("P",Statut_biogéographique!A:A,2,1),"P")</f>
        <v>P</v>
      </c>
      <c r="AM23800" s="4" t="s">
        <v>375</v>
      </c>
      <c r="AN23800" s="4" t="s">
        <v>375</v>
      </c>
      <c r="AO23800" s="4" t="s">
        <v>375</v>
      </c>
      <c r="AP23800" s="4" t="s">
        <v>376</v>
      </c>
      <c r="AR23800" s="4" t="s">
        <v>377</v>
      </c>
    </row>
    <row r="23801" spans="1:44" ht="120">
      <c r="A23801" s="4" t="s">
        <v>24364</v>
      </c>
      <c r="B23801" s="4">
        <v>86305</v>
      </c>
      <c r="D23801" s="5" t="s">
        <v>30996</v>
      </c>
      <c r="E23801" s="6" t="str">
        <f>HYPERLINK("https://inpn.mnhn.fr/espece/cd_nom/86305","Brachypodium sylvaticum (Huds.) P.Beauv., 1812")</f>
        <v>Brachypodium sylvaticum (Huds.) P.Beauv., 1812</v>
      </c>
      <c r="F23801" s="5" t="s">
        <v>30997</v>
      </c>
      <c r="Q23801" s="7" t="str">
        <f>HYPERLINK("#Liste_rouge!A"&amp;_xlfn.XMATCH("LC",Liste_rouge!A:A,2,1),"LC")</f>
        <v>LC</v>
      </c>
      <c r="T23801" s="7" t="str">
        <f>HYPERLINK("#Liste_rouge!A"&amp;_xlfn.XMATCH("LC",Liste_rouge!A:A,2,1),"LC")</f>
        <v>LC</v>
      </c>
      <c r="V23801" s="7" t="str">
        <f>HYPERLINK("#Liste_rouge!A"&amp;_xlfn.XMATCH("LC",Liste_rouge!A:A,2,1),"LC")</f>
        <v>LC</v>
      </c>
      <c r="AH23801" s="4" t="str">
        <f>HYPERLINK("#Statut_biogéographique!A"&amp;_xlfn.XMATCH("P",Statut_biogéographique!A:A,2,1),"P")</f>
        <v>P</v>
      </c>
      <c r="AM23801" s="4" t="s">
        <v>375</v>
      </c>
      <c r="AN23801" s="4" t="s">
        <v>375</v>
      </c>
      <c r="AO23801" s="4" t="s">
        <v>375</v>
      </c>
      <c r="AP23801" s="4" t="s">
        <v>376</v>
      </c>
      <c r="AR23801" s="4" t="s">
        <v>377</v>
      </c>
    </row>
    <row r="23802" spans="1:44">
      <c r="A23802" s="4" t="s">
        <v>24364</v>
      </c>
      <c r="B23802" s="4">
        <v>86358</v>
      </c>
      <c r="D23802" s="5" t="s">
        <v>30998</v>
      </c>
      <c r="E23802" s="6" t="str">
        <f>HYPERLINK("https://inpn.mnhn.fr/espece/cd_nom/86358","Brassica elongata Ehrh., 1792")</f>
        <v>Brassica elongata Ehrh., 1792</v>
      </c>
      <c r="F23802" s="5" t="s">
        <v>30999</v>
      </c>
      <c r="O23802" s="7" t="str">
        <f>HYPERLINK("#Liste_rouge!A"&amp;_xlfn.XMATCH("LC",Liste_rouge!A:A,2,1),"LC")</f>
        <v>LC</v>
      </c>
      <c r="P23802" s="7" t="str">
        <f>HYPERLINK("#Liste_rouge!A"&amp;_xlfn.XMATCH("DD",Liste_rouge!A:A,2,1),"DD")</f>
        <v>DD</v>
      </c>
      <c r="Q23802" s="7" t="str">
        <f>HYPERLINK("#Liste_rouge!A"&amp;_xlfn.XMATCH("CR",Liste_rouge!A:A,2,1),"CR")</f>
        <v>CR</v>
      </c>
      <c r="T23802" s="7" t="str">
        <f>HYPERLINK("#Liste_rouge!A"&amp;_xlfn.XMATCH("NA",Liste_rouge!A:A,2,1),"NA")</f>
        <v>NA</v>
      </c>
      <c r="AH23802" s="4" t="str">
        <f>HYPERLINK("#Statut_biogéographique!A"&amp;_xlfn.XMATCH("P",Statut_biogéographique!A:A,2,1),"P")</f>
        <v>P</v>
      </c>
      <c r="AP23802" s="4" t="s">
        <v>376</v>
      </c>
      <c r="AR23802" s="4" t="s">
        <v>377</v>
      </c>
    </row>
    <row r="23803" spans="1:44" ht="75">
      <c r="A23803" s="4" t="s">
        <v>24364</v>
      </c>
      <c r="B23803" s="4">
        <v>86383</v>
      </c>
      <c r="D23803" s="5" t="s">
        <v>31000</v>
      </c>
      <c r="E23803" s="6" t="str">
        <f>HYPERLINK("https://inpn.mnhn.fr/espece/cd_nom/86383","Brassica juncea (L.) Czern., 1859")</f>
        <v>Brassica juncea (L.) Czern., 1859</v>
      </c>
      <c r="F23803" s="5" t="s">
        <v>31001</v>
      </c>
      <c r="T23803" s="7" t="str">
        <f>HYPERLINK("#Liste_rouge!A"&amp;_xlfn.XMATCH("NA",Liste_rouge!A:A,2,1),"NA")</f>
        <v>NA</v>
      </c>
      <c r="AH23803" s="4" t="str">
        <f>HYPERLINK("#Statut_biogéographique!A"&amp;_xlfn.XMATCH("I",Statut_biogéographique!A:A,2,1),"I")</f>
        <v>I</v>
      </c>
      <c r="AP23803" s="4" t="s">
        <v>376</v>
      </c>
      <c r="AR23803" s="4" t="s">
        <v>377</v>
      </c>
    </row>
    <row r="23804" spans="1:44" ht="30">
      <c r="A23804" s="4" t="s">
        <v>24364</v>
      </c>
      <c r="B23804" s="4">
        <v>86399</v>
      </c>
      <c r="D23804" s="5" t="s">
        <v>31002</v>
      </c>
      <c r="E23804" s="6" t="str">
        <f>HYPERLINK("https://inpn.mnhn.fr/espece/cd_nom/86399","Brassica napus L., 1753")</f>
        <v>Brassica napus L., 1753</v>
      </c>
      <c r="F23804" s="5" t="s">
        <v>28370</v>
      </c>
      <c r="Q23804" s="7" t="str">
        <f>HYPERLINK("#Liste_rouge!A"&amp;_xlfn.XMATCH("NA",Liste_rouge!A:A,2,1),"NA")</f>
        <v>NA</v>
      </c>
      <c r="T23804" s="7" t="str">
        <f>HYPERLINK("#Liste_rouge!A"&amp;_xlfn.XMATCH("NA",Liste_rouge!A:A,2,1),"NA")</f>
        <v>NA</v>
      </c>
      <c r="AH23804" s="4" t="str">
        <f>HYPERLINK("#Statut_biogéographique!A"&amp;_xlfn.XMATCH("M",Statut_biogéographique!A:A,2,1),"M")</f>
        <v>M</v>
      </c>
      <c r="AP23804" s="4" t="s">
        <v>376</v>
      </c>
      <c r="AR23804" s="4" t="s">
        <v>377</v>
      </c>
    </row>
    <row r="23805" spans="1:44" ht="45">
      <c r="A23805" s="4" t="s">
        <v>24364</v>
      </c>
      <c r="B23805" s="4">
        <v>86400</v>
      </c>
      <c r="D23805" s="5" t="s">
        <v>31003</v>
      </c>
      <c r="E23805" s="6" t="str">
        <f>HYPERLINK("https://inpn.mnhn.fr/espece/cd_nom/86400","Brassica nigra (L.) W.D.J.Koch, 1833")</f>
        <v>Brassica nigra (L.) W.D.J.Koch, 1833</v>
      </c>
      <c r="F23805" s="5" t="s">
        <v>31004</v>
      </c>
      <c r="O23805" s="7" t="str">
        <f>HYPERLINK("#Liste_rouge!A"&amp;_xlfn.XMATCH("LC",Liste_rouge!A:A,2,1),"LC")</f>
        <v>LC</v>
      </c>
      <c r="P23805" s="7" t="str">
        <f>HYPERLINK("#Liste_rouge!A"&amp;_xlfn.XMATCH("LC",Liste_rouge!A:A,2,1),"LC")</f>
        <v>LC</v>
      </c>
      <c r="Q23805" s="7" t="str">
        <f>HYPERLINK("#Liste_rouge!A"&amp;_xlfn.XMATCH("LC",Liste_rouge!A:A,2,1),"LC")</f>
        <v>LC</v>
      </c>
      <c r="T23805" s="7" t="str">
        <f>HYPERLINK("#Liste_rouge!A"&amp;_xlfn.XMATCH("LC",Liste_rouge!A:A,2,1),"LC")</f>
        <v>LC</v>
      </c>
      <c r="V23805" s="7" t="str">
        <f>HYPERLINK("#Liste_rouge!A"&amp;_xlfn.XMATCH("LC",Liste_rouge!A:A,2,1),"LC")</f>
        <v>LC</v>
      </c>
      <c r="AH23805" s="4" t="str">
        <f>HYPERLINK("#Statut_biogéographique!A"&amp;_xlfn.XMATCH("P",Statut_biogéographique!A:A,2,1),"P")</f>
        <v>P</v>
      </c>
      <c r="AM23805" s="4" t="s">
        <v>375</v>
      </c>
      <c r="AN23805" s="4" t="s">
        <v>375</v>
      </c>
      <c r="AO23805" s="4" t="s">
        <v>375</v>
      </c>
      <c r="AP23805" s="4" t="s">
        <v>376</v>
      </c>
      <c r="AR23805" s="4" t="s">
        <v>377</v>
      </c>
    </row>
    <row r="23806" spans="1:44" ht="45">
      <c r="A23806" s="4" t="s">
        <v>24364</v>
      </c>
      <c r="B23806" s="4">
        <v>86406</v>
      </c>
      <c r="D23806" s="5" t="s">
        <v>31005</v>
      </c>
      <c r="E23806" s="6" t="str">
        <f>HYPERLINK("https://inpn.mnhn.fr/espece/cd_nom/86406","Brassica oleracea L., 1753")</f>
        <v>Brassica oleracea L., 1753</v>
      </c>
      <c r="F23806" s="5" t="s">
        <v>31006</v>
      </c>
      <c r="O23806" s="7" t="str">
        <f>HYPERLINK("#Liste_rouge!A"&amp;_xlfn.XMATCH("DD",Liste_rouge!A:A,2,1),"DD")</f>
        <v>DD</v>
      </c>
      <c r="P23806" s="7" t="str">
        <f>HYPERLINK("#Liste_rouge!A"&amp;_xlfn.XMATCH("DD",Liste_rouge!A:A,2,1),"DD")</f>
        <v>DD</v>
      </c>
      <c r="Q23806" s="7" t="str">
        <f>HYPERLINK("#Liste_rouge!A"&amp;_xlfn.XMATCH("LC",Liste_rouge!A:A,2,1),"LC")</f>
        <v>LC</v>
      </c>
      <c r="T23806" s="7" t="str">
        <f>HYPERLINK("#Liste_rouge!A"&amp;_xlfn.XMATCH("NA",Liste_rouge!A:A,2,1),"NA")</f>
        <v>NA</v>
      </c>
      <c r="AE23806" s="4" t="str">
        <f>HYPERLINK("#SCAP!A"&amp;_xlfn.XMATCH("A",SCAP!A:A,2,1),"A")</f>
        <v>A</v>
      </c>
      <c r="AH23806" s="4" t="str">
        <f>HYPERLINK("#Statut_biogéographique!A"&amp;_xlfn.XMATCH("P",Statut_biogéographique!A:A,2,1),"P")</f>
        <v>P</v>
      </c>
      <c r="AP23806" s="4" t="s">
        <v>376</v>
      </c>
      <c r="AR23806" s="4" t="s">
        <v>377</v>
      </c>
    </row>
    <row r="23807" spans="1:44" ht="30">
      <c r="A23807" s="4" t="s">
        <v>24364</v>
      </c>
      <c r="B23807" s="4">
        <v>86423</v>
      </c>
      <c r="D23807" s="5" t="s">
        <v>31007</v>
      </c>
      <c r="E23807" s="6" t="str">
        <f>HYPERLINK("https://inpn.mnhn.fr/espece/cd_nom/86423","Brassica rapa L., 1753")</f>
        <v>Brassica rapa L., 1753</v>
      </c>
      <c r="F23807" s="5" t="s">
        <v>31008</v>
      </c>
      <c r="P23807" s="7" t="str">
        <f>HYPERLINK("#Liste_rouge!A"&amp;_xlfn.XMATCH("DD",Liste_rouge!A:A,2,1),"DD")</f>
        <v>DD</v>
      </c>
      <c r="Q23807" s="7" t="str">
        <f>HYPERLINK("#Liste_rouge!A"&amp;_xlfn.XMATCH("NA",Liste_rouge!A:A,2,1),"NA")</f>
        <v>NA</v>
      </c>
      <c r="T23807" s="7" t="str">
        <f>HYPERLINK("#Liste_rouge!A"&amp;_xlfn.XMATCH("NA",Liste_rouge!A:A,2,1),"NA")</f>
        <v>NA</v>
      </c>
      <c r="AH23807" s="4" t="str">
        <f>HYPERLINK("#Statut_biogéographique!A"&amp;_xlfn.XMATCH("I",Statut_biogéographique!A:A,2,1),"I")</f>
        <v>I</v>
      </c>
      <c r="AP23807" s="4" t="s">
        <v>376</v>
      </c>
      <c r="AR23807" s="4" t="s">
        <v>377</v>
      </c>
    </row>
    <row r="23808" spans="1:44" ht="45">
      <c r="A23808" s="4" t="s">
        <v>24364</v>
      </c>
      <c r="B23808" s="4">
        <v>86489</v>
      </c>
      <c r="D23808" s="5" t="s">
        <v>31009</v>
      </c>
      <c r="E23808" s="6" t="str">
        <f>HYPERLINK("https://inpn.mnhn.fr/espece/cd_nom/86489","Briza maxima L., 1753")</f>
        <v>Briza maxima L., 1753</v>
      </c>
      <c r="F23808" s="5" t="s">
        <v>31010</v>
      </c>
      <c r="Q23808" s="7" t="str">
        <f>HYPERLINK("#Liste_rouge!A"&amp;_xlfn.XMATCH("LC",Liste_rouge!A:A,2,1),"LC")</f>
        <v>LC</v>
      </c>
      <c r="T23808" s="7" t="str">
        <f>HYPERLINK("#Liste_rouge!A"&amp;_xlfn.XMATCH("NA",Liste_rouge!A:A,2,1),"NA")</f>
        <v>NA</v>
      </c>
      <c r="AH23808" s="4" t="str">
        <f>HYPERLINK("#Statut_biogéographique!A"&amp;_xlfn.XMATCH("P",Statut_biogéographique!A:A,2,1),"P")</f>
        <v>P</v>
      </c>
      <c r="AP23808" s="4" t="s">
        <v>376</v>
      </c>
      <c r="AR23808" s="4" t="s">
        <v>377</v>
      </c>
    </row>
    <row r="23809" spans="1:44" ht="75">
      <c r="A23809" s="4" t="s">
        <v>24364</v>
      </c>
      <c r="B23809" s="4">
        <v>86490</v>
      </c>
      <c r="D23809" s="5" t="s">
        <v>31011</v>
      </c>
      <c r="E23809" s="6" t="str">
        <f>HYPERLINK("https://inpn.mnhn.fr/espece/cd_nom/86490","Briza media L., 1753")</f>
        <v>Briza media L., 1753</v>
      </c>
      <c r="F23809" s="5" t="s">
        <v>28371</v>
      </c>
      <c r="Q23809" s="7" t="str">
        <f>HYPERLINK("#Liste_rouge!A"&amp;_xlfn.XMATCH("LC",Liste_rouge!A:A,2,1),"LC")</f>
        <v>LC</v>
      </c>
      <c r="T23809" s="7" t="str">
        <f>HYPERLINK("#Liste_rouge!A"&amp;_xlfn.XMATCH("LC",Liste_rouge!A:A,2,1),"LC")</f>
        <v>LC</v>
      </c>
      <c r="V23809" s="7" t="str">
        <f>HYPERLINK("#Liste_rouge!A"&amp;_xlfn.XMATCH("LC",Liste_rouge!A:A,2,1),"LC")</f>
        <v>LC</v>
      </c>
      <c r="AH23809" s="4" t="str">
        <f>HYPERLINK("#Statut_biogéographique!A"&amp;_xlfn.XMATCH("P",Statut_biogéographique!A:A,2,1),"P")</f>
        <v>P</v>
      </c>
      <c r="AM23809" s="4" t="s">
        <v>375</v>
      </c>
      <c r="AN23809" s="4" t="s">
        <v>375</v>
      </c>
      <c r="AO23809" s="4" t="s">
        <v>375</v>
      </c>
      <c r="AP23809" s="4" t="s">
        <v>376</v>
      </c>
      <c r="AR23809" s="4" t="s">
        <v>377</v>
      </c>
    </row>
    <row r="23810" spans="1:44" ht="30">
      <c r="A23810" s="4" t="s">
        <v>24364</v>
      </c>
      <c r="B23810" s="4">
        <v>86492</v>
      </c>
      <c r="D23810" s="5" t="s">
        <v>31012</v>
      </c>
      <c r="E23810" s="6" t="str">
        <f>HYPERLINK("https://inpn.mnhn.fr/espece/cd_nom/86492","Briza minor L., 1753")</f>
        <v>Briza minor L., 1753</v>
      </c>
      <c r="F23810" s="5" t="s">
        <v>31013</v>
      </c>
      <c r="Q23810" s="7" t="str">
        <f>HYPERLINK("#Liste_rouge!A"&amp;_xlfn.XMATCH("LC",Liste_rouge!A:A,2,1),"LC")</f>
        <v>LC</v>
      </c>
      <c r="T23810" s="7" t="str">
        <f>HYPERLINK("#Liste_rouge!A"&amp;_xlfn.XMATCH("RE",Liste_rouge!A:A,2,1),"RE")</f>
        <v>RE</v>
      </c>
      <c r="AH23810" s="4" t="str">
        <f>HYPERLINK("#Statut_biogéographique!A"&amp;_xlfn.XMATCH("P",Statut_biogéographique!A:A,2,1),"P")</f>
        <v>P</v>
      </c>
      <c r="AM23810" s="4" t="s">
        <v>375</v>
      </c>
      <c r="AN23810" s="4" t="s">
        <v>375</v>
      </c>
      <c r="AO23810" s="4" t="s">
        <v>375</v>
      </c>
      <c r="AP23810" s="4" t="s">
        <v>376</v>
      </c>
      <c r="AR23810" s="4" t="s">
        <v>377</v>
      </c>
    </row>
    <row r="23811" spans="1:44" ht="45">
      <c r="A23811" s="4" t="s">
        <v>24364</v>
      </c>
      <c r="B23811" s="4">
        <v>86511</v>
      </c>
      <c r="D23811" s="5" t="s">
        <v>31014</v>
      </c>
      <c r="E23811" s="6" t="str">
        <f>HYPERLINK("https://inpn.mnhn.fr/espece/cd_nom/86511","Bromopsis benekenii (Lange) Holub, 1973")</f>
        <v>Bromopsis benekenii (Lange) Holub, 1973</v>
      </c>
      <c r="F23811" s="5" t="s">
        <v>31015</v>
      </c>
      <c r="Q23811" s="7" t="str">
        <f>HYPERLINK("#Liste_rouge!A"&amp;_xlfn.XMATCH("LC",Liste_rouge!A:A,2,1),"LC")</f>
        <v>LC</v>
      </c>
      <c r="T23811" s="7" t="str">
        <f>HYPERLINK("#Liste_rouge!A"&amp;_xlfn.XMATCH("LC",Liste_rouge!A:A,2,1),"LC")</f>
        <v>LC</v>
      </c>
      <c r="V23811" s="7" t="str">
        <f>HYPERLINK("#Liste_rouge!A"&amp;_xlfn.XMATCH("LC",Liste_rouge!A:A,2,1),"LC")</f>
        <v>LC</v>
      </c>
      <c r="AH23811" s="4" t="str">
        <f>HYPERLINK("#Statut_biogéographique!A"&amp;_xlfn.XMATCH("P",Statut_biogéographique!A:A,2,1),"P")</f>
        <v>P</v>
      </c>
      <c r="AM23811" s="4" t="s">
        <v>375</v>
      </c>
      <c r="AN23811" s="4" t="s">
        <v>375</v>
      </c>
      <c r="AO23811" s="4" t="s">
        <v>375</v>
      </c>
      <c r="AP23811" s="4" t="s">
        <v>376</v>
      </c>
      <c r="AR23811" s="4" t="s">
        <v>377</v>
      </c>
    </row>
    <row r="23812" spans="1:44" ht="195">
      <c r="A23812" s="4" t="s">
        <v>24364</v>
      </c>
      <c r="B23812" s="4">
        <v>86512</v>
      </c>
      <c r="D23812" s="5" t="s">
        <v>31016</v>
      </c>
      <c r="E23812" s="6" t="str">
        <f>HYPERLINK("https://inpn.mnhn.fr/espece/cd_nom/86512","Bromopsis erecta (Huds.) Fourr., 1869")</f>
        <v>Bromopsis erecta (Huds.) Fourr., 1869</v>
      </c>
      <c r="F23812" s="5" t="s">
        <v>30089</v>
      </c>
      <c r="O23812" s="7" t="str">
        <f>HYPERLINK("#Liste_rouge!A"&amp;_xlfn.XMATCH("LC",Liste_rouge!A:A,2,1),"LC")</f>
        <v>LC</v>
      </c>
      <c r="Q23812" s="7" t="str">
        <f>HYPERLINK("#Liste_rouge!A"&amp;_xlfn.XMATCH("LC",Liste_rouge!A:A,2,1),"LC")</f>
        <v>LC</v>
      </c>
      <c r="T23812" s="7" t="str">
        <f>HYPERLINK("#Liste_rouge!A"&amp;_xlfn.XMATCH("LC",Liste_rouge!A:A,2,1),"LC")</f>
        <v>LC</v>
      </c>
      <c r="V23812" s="7" t="str">
        <f>HYPERLINK("#Liste_rouge!A"&amp;_xlfn.XMATCH("LC",Liste_rouge!A:A,2,1),"LC")</f>
        <v>LC</v>
      </c>
      <c r="AH23812" s="4" t="str">
        <f>HYPERLINK("#Statut_biogéographique!A"&amp;_xlfn.XMATCH("P",Statut_biogéographique!A:A,2,1),"P")</f>
        <v>P</v>
      </c>
      <c r="AM23812" s="4" t="s">
        <v>375</v>
      </c>
      <c r="AN23812" s="4" t="s">
        <v>375</v>
      </c>
      <c r="AO23812" s="4" t="s">
        <v>375</v>
      </c>
      <c r="AP23812" s="4" t="s">
        <v>376</v>
      </c>
      <c r="AR23812" s="4" t="s">
        <v>377</v>
      </c>
    </row>
    <row r="23813" spans="1:44" ht="90">
      <c r="A23813" s="4" t="s">
        <v>24364</v>
      </c>
      <c r="B23813" s="4">
        <v>86513</v>
      </c>
      <c r="D23813" s="5" t="s">
        <v>31017</v>
      </c>
      <c r="E23813" s="6" t="str">
        <f>HYPERLINK("https://inpn.mnhn.fr/espece/cd_nom/86513","Bromopsis inermis (Leyss.) Holub, 1973")</f>
        <v>Bromopsis inermis (Leyss.) Holub, 1973</v>
      </c>
      <c r="F23813" s="5" t="s">
        <v>30091</v>
      </c>
      <c r="Q23813" s="7" t="str">
        <f>HYPERLINK("#Liste_rouge!A"&amp;_xlfn.XMATCH("NA",Liste_rouge!A:A,2,1),"NA")</f>
        <v>NA</v>
      </c>
      <c r="T23813" s="7" t="str">
        <f>HYPERLINK("#Liste_rouge!A"&amp;_xlfn.XMATCH("NA",Liste_rouge!A:A,2,1),"NA")</f>
        <v>NA</v>
      </c>
      <c r="AH23813" s="4" t="str">
        <f>HYPERLINK("#Statut_biogéographique!A"&amp;_xlfn.XMATCH("I",Statut_biogéographique!A:A,2,1),"I")</f>
        <v>I</v>
      </c>
      <c r="AM23813" s="4" t="s">
        <v>375</v>
      </c>
      <c r="AN23813" s="4" t="s">
        <v>375</v>
      </c>
      <c r="AO23813" s="4" t="s">
        <v>375</v>
      </c>
      <c r="AP23813" s="4" t="s">
        <v>376</v>
      </c>
      <c r="AR23813" s="4" t="s">
        <v>377</v>
      </c>
    </row>
    <row r="23814" spans="1:44" ht="90">
      <c r="A23814" s="4" t="s">
        <v>24364</v>
      </c>
      <c r="B23814" s="4">
        <v>86514</v>
      </c>
      <c r="D23814" s="5" t="s">
        <v>31018</v>
      </c>
      <c r="E23814" s="6" t="str">
        <f>HYPERLINK("https://inpn.mnhn.fr/espece/cd_nom/86514","Bromopsis ramosa (Huds.) Holub, 1973")</f>
        <v>Bromopsis ramosa (Huds.) Holub, 1973</v>
      </c>
      <c r="F23814" s="5" t="s">
        <v>30093</v>
      </c>
      <c r="Q23814" s="7" t="str">
        <f>HYPERLINK("#Liste_rouge!A"&amp;_xlfn.XMATCH("LC",Liste_rouge!A:A,2,1),"LC")</f>
        <v>LC</v>
      </c>
      <c r="T23814" s="7" t="str">
        <f>HYPERLINK("#Liste_rouge!A"&amp;_xlfn.XMATCH("LC",Liste_rouge!A:A,2,1),"LC")</f>
        <v>LC</v>
      </c>
      <c r="V23814" s="7" t="str">
        <f>HYPERLINK("#Liste_rouge!A"&amp;_xlfn.XMATCH("LC",Liste_rouge!A:A,2,1),"LC")</f>
        <v>LC</v>
      </c>
      <c r="AH23814" s="4" t="str">
        <f>HYPERLINK("#Statut_biogéographique!A"&amp;_xlfn.XMATCH("P",Statut_biogéographique!A:A,2,1),"P")</f>
        <v>P</v>
      </c>
      <c r="AM23814" s="4" t="s">
        <v>375</v>
      </c>
      <c r="AN23814" s="4" t="s">
        <v>375</v>
      </c>
      <c r="AO23814" s="4" t="s">
        <v>375</v>
      </c>
      <c r="AP23814" s="4" t="s">
        <v>376</v>
      </c>
      <c r="AR23814" s="4" t="s">
        <v>377</v>
      </c>
    </row>
    <row r="23815" spans="1:44" ht="120">
      <c r="A23815" s="4" t="s">
        <v>24364</v>
      </c>
      <c r="B23815" s="4">
        <v>86537</v>
      </c>
      <c r="D23815" s="5" t="s">
        <v>31019</v>
      </c>
      <c r="E23815" s="6" t="str">
        <f>HYPERLINK("https://inpn.mnhn.fr/espece/cd_nom/86537","Bromus arvensis L., 1753")</f>
        <v>Bromus arvensis L., 1753</v>
      </c>
      <c r="F23815" s="5" t="s">
        <v>28372</v>
      </c>
      <c r="Q23815" s="7" t="str">
        <f>HYPERLINK("#Liste_rouge!A"&amp;_xlfn.XMATCH("LC",Liste_rouge!A:A,2,1),"LC")</f>
        <v>LC</v>
      </c>
      <c r="T23815" s="7" t="str">
        <f>HYPERLINK("#Liste_rouge!A"&amp;_xlfn.XMATCH("LC",Liste_rouge!A:A,2,1),"LC")</f>
        <v>LC</v>
      </c>
      <c r="V23815" s="7" t="str">
        <f>HYPERLINK("#Liste_rouge!A"&amp;_xlfn.XMATCH("LC",Liste_rouge!A:A,2,1),"LC")</f>
        <v>LC</v>
      </c>
      <c r="AH23815" s="4" t="str">
        <f>HYPERLINK("#Statut_biogéographique!A"&amp;_xlfn.XMATCH("P",Statut_biogéographique!A:A,2,1),"P")</f>
        <v>P</v>
      </c>
      <c r="AI23815" s="8" t="s">
        <v>31020</v>
      </c>
      <c r="AJ23815" s="4" t="s">
        <v>12248</v>
      </c>
      <c r="AM23815" s="4" t="s">
        <v>375</v>
      </c>
      <c r="AN23815" s="4" t="s">
        <v>375</v>
      </c>
      <c r="AO23815" s="4" t="s">
        <v>375</v>
      </c>
      <c r="AP23815" s="4" t="s">
        <v>376</v>
      </c>
      <c r="AR23815" s="4" t="s">
        <v>377</v>
      </c>
    </row>
    <row r="23816" spans="1:44" ht="135">
      <c r="A23816" s="4" t="s">
        <v>24364</v>
      </c>
      <c r="B23816" s="4">
        <v>86571</v>
      </c>
      <c r="D23816" s="5" t="s">
        <v>31021</v>
      </c>
      <c r="E23816" s="6" t="str">
        <f>HYPERLINK("https://inpn.mnhn.fr/espece/cd_nom/86571","Bromus commutatus Schrad., 1806")</f>
        <v>Bromus commutatus Schrad., 1806</v>
      </c>
      <c r="F23816" s="5" t="s">
        <v>31022</v>
      </c>
      <c r="Q23816" s="7" t="str">
        <f>HYPERLINK("#Liste_rouge!A"&amp;_xlfn.XMATCH("LC",Liste_rouge!A:A,2,1),"LC")</f>
        <v>LC</v>
      </c>
      <c r="T23816" s="7" t="str">
        <f>HYPERLINK("#Liste_rouge!A"&amp;_xlfn.XMATCH("LC",Liste_rouge!A:A,2,1),"LC")</f>
        <v>LC</v>
      </c>
      <c r="V23816" s="7" t="str">
        <f>HYPERLINK("#Liste_rouge!A"&amp;_xlfn.XMATCH("LC",Liste_rouge!A:A,2,1),"LC")</f>
        <v>LC</v>
      </c>
      <c r="AH23816" s="4" t="str">
        <f>HYPERLINK("#Statut_biogéographique!A"&amp;_xlfn.XMATCH("P",Statut_biogéographique!A:A,2,1),"P")</f>
        <v>P</v>
      </c>
      <c r="AM23816" s="4" t="s">
        <v>375</v>
      </c>
      <c r="AN23816" s="4" t="s">
        <v>375</v>
      </c>
      <c r="AO23816" s="4" t="s">
        <v>375</v>
      </c>
      <c r="AP23816" s="4" t="s">
        <v>376</v>
      </c>
      <c r="AR23816" s="4" t="s">
        <v>377</v>
      </c>
    </row>
    <row r="23817" spans="1:44" ht="135">
      <c r="A23817" s="4" t="s">
        <v>24364</v>
      </c>
      <c r="B23817" s="4">
        <v>86621</v>
      </c>
      <c r="D23817" s="5" t="s">
        <v>31023</v>
      </c>
      <c r="E23817" s="6" t="str">
        <f>HYPERLINK("https://inpn.mnhn.fr/espece/cd_nom/86621","Bromus grossus Desf. ex DC., 1805")</f>
        <v>Bromus grossus Desf. ex DC., 1805</v>
      </c>
      <c r="F23817" s="5" t="s">
        <v>31024</v>
      </c>
      <c r="I23817" s="4" t="str">
        <f>HYPERLINK("#Réglementation!A"&amp;_xlfn.XMATCH("IBE1",Réglementation!A:A,2,1),"IBE1")</f>
        <v>IBE1</v>
      </c>
      <c r="K23817" s="4" t="str">
        <f>HYPERLINK("#Réglementation!A"&amp;_xlfn.XMATCH("CDH2",Réglementation!A:A,2,1),"CDH2 - CDH4")</f>
        <v>CDH2 - CDH4</v>
      </c>
      <c r="L23817" s="4" t="str">
        <f>HYPERLINK("#Réglementation!A"&amp;_xlfn.XMATCH("NV1",Réglementation!A:A,2,1),"NV1")</f>
        <v>NV1</v>
      </c>
      <c r="O23817" s="7" t="str">
        <f>HYPERLINK("#Liste_rouge!A"&amp;_xlfn.XMATCH("DD",Liste_rouge!A:A,2,1),"DD")</f>
        <v>DD</v>
      </c>
      <c r="P23817" s="7" t="str">
        <f>HYPERLINK("#Liste_rouge!A"&amp;_xlfn.XMATCH("EW",Liste_rouge!A:A,2,1),"EW (cd_nom 86557) - DD (cd_nom 86621)")</f>
        <v>EW (cd_nom 86557) - DD (cd_nom 86621)</v>
      </c>
      <c r="Q23817" s="7" t="str">
        <f>HYPERLINK("#Liste_rouge!A"&amp;_xlfn.XMATCH("RE",Liste_rouge!A:A,2,1),"RE")</f>
        <v>RE</v>
      </c>
      <c r="T23817" s="7" t="str">
        <f>HYPERLINK("#Liste_rouge!A"&amp;_xlfn.XMATCH("RE",Liste_rouge!A:A,2,1),"RE")</f>
        <v>RE</v>
      </c>
      <c r="AH23817" s="4" t="str">
        <f>HYPERLINK("#Statut_biogéographique!A"&amp;_xlfn.XMATCH("W",Statut_biogéographique!A:A,2,1),"W")</f>
        <v>W</v>
      </c>
      <c r="AM23817" s="4" t="s">
        <v>375</v>
      </c>
      <c r="AN23817" s="4" t="s">
        <v>375</v>
      </c>
      <c r="AO23817" s="4" t="s">
        <v>375</v>
      </c>
      <c r="AP23817" s="4" t="s">
        <v>376</v>
      </c>
      <c r="AR23817" s="4" t="s">
        <v>377</v>
      </c>
    </row>
    <row r="23818" spans="1:44" ht="120">
      <c r="A23818" s="4" t="s">
        <v>24364</v>
      </c>
      <c r="B23818" s="4">
        <v>86634</v>
      </c>
      <c r="D23818" s="5" t="s">
        <v>31025</v>
      </c>
      <c r="E23818" s="6" t="str">
        <f>HYPERLINK("https://inpn.mnhn.fr/espece/cd_nom/86634","Bromus hordeaceus L., 1753")</f>
        <v>Bromus hordeaceus L., 1753</v>
      </c>
      <c r="F23818" s="5" t="s">
        <v>28376</v>
      </c>
      <c r="Q23818" s="7" t="str">
        <f>HYPERLINK("#Liste_rouge!A"&amp;_xlfn.XMATCH("LC",Liste_rouge!A:A,2,1),"LC")</f>
        <v>LC</v>
      </c>
      <c r="T23818" s="7" t="str">
        <f>HYPERLINK("#Liste_rouge!A"&amp;_xlfn.XMATCH("LC",Liste_rouge!A:A,2,1),"LC")</f>
        <v>LC</v>
      </c>
      <c r="V23818" s="7" t="str">
        <f>HYPERLINK("#Liste_rouge!A"&amp;_xlfn.XMATCH("LC",Liste_rouge!A:A,2,1),"LC")</f>
        <v>LC</v>
      </c>
      <c r="AH23818" s="4" t="str">
        <f>HYPERLINK("#Statut_biogéographique!A"&amp;_xlfn.XMATCH("P",Statut_biogéographique!A:A,2,1),"P")</f>
        <v>P</v>
      </c>
      <c r="AM23818" s="4" t="s">
        <v>375</v>
      </c>
      <c r="AN23818" s="4" t="s">
        <v>375</v>
      </c>
      <c r="AO23818" s="4" t="s">
        <v>375</v>
      </c>
      <c r="AP23818" s="4" t="s">
        <v>376</v>
      </c>
      <c r="AR23818" s="4" t="s">
        <v>377</v>
      </c>
    </row>
    <row r="23819" spans="1:44" ht="105">
      <c r="A23819" s="4" t="s">
        <v>24364</v>
      </c>
      <c r="B23819" s="4">
        <v>86643</v>
      </c>
      <c r="D23819" s="5" t="s">
        <v>31026</v>
      </c>
      <c r="E23819" s="6" t="str">
        <f>HYPERLINK("https://inpn.mnhn.fr/espece/cd_nom/86643","Bromus japonicus Thunb., 1784")</f>
        <v>Bromus japonicus Thunb., 1784</v>
      </c>
      <c r="F23819" s="5" t="s">
        <v>31027</v>
      </c>
      <c r="Q23819" s="7" t="str">
        <f>HYPERLINK("#Liste_rouge!A"&amp;_xlfn.XMATCH("LC",Liste_rouge!A:A,2,1),"LC")</f>
        <v>LC</v>
      </c>
      <c r="AH23819" s="4" t="str">
        <f>HYPERLINK("#Statut_biogéographique!A"&amp;_xlfn.XMATCH("P",Statut_biogéographique!A:A,2,1),"P")</f>
        <v>P</v>
      </c>
      <c r="AP23819" s="4" t="s">
        <v>376</v>
      </c>
      <c r="AR23819" s="4" t="s">
        <v>377</v>
      </c>
    </row>
    <row r="23820" spans="1:44" ht="90">
      <c r="A23820" s="4" t="s">
        <v>24364</v>
      </c>
      <c r="B23820" s="4">
        <v>86648</v>
      </c>
      <c r="D23820" s="5" t="s">
        <v>31028</v>
      </c>
      <c r="E23820" s="6" t="str">
        <f>HYPERLINK("https://inpn.mnhn.fr/espece/cd_nom/86648","Bromus lanceolatus Roth, 1797")</f>
        <v>Bromus lanceolatus Roth, 1797</v>
      </c>
      <c r="F23820" s="5" t="s">
        <v>31029</v>
      </c>
      <c r="Q23820" s="7" t="str">
        <f>HYPERLINK("#Liste_rouge!A"&amp;_xlfn.XMATCH("LC",Liste_rouge!A:A,2,1),"LC")</f>
        <v>LC</v>
      </c>
      <c r="T23820" s="7" t="str">
        <f>HYPERLINK("#Liste_rouge!A"&amp;_xlfn.XMATCH("NA",Liste_rouge!A:A,2,1),"NA")</f>
        <v>NA</v>
      </c>
      <c r="AH23820" s="4" t="str">
        <f>HYPERLINK("#Statut_biogéographique!A"&amp;_xlfn.XMATCH("P",Statut_biogéographique!A:A,2,1),"P")</f>
        <v>P</v>
      </c>
      <c r="AP23820" s="4" t="s">
        <v>376</v>
      </c>
      <c r="AR23820" s="4" t="s">
        <v>377</v>
      </c>
    </row>
    <row r="23821" spans="1:44" ht="45">
      <c r="A23821" s="4" t="s">
        <v>24364</v>
      </c>
      <c r="B23821" s="4">
        <v>86653</v>
      </c>
      <c r="D23821" s="5" t="s">
        <v>31030</v>
      </c>
      <c r="E23821" s="6" t="str">
        <f>HYPERLINK("https://inpn.mnhn.fr/espece/cd_nom/86653","Bromus lepidus Holmb., 1924")</f>
        <v>Bromus lepidus Holmb., 1924</v>
      </c>
      <c r="F23821" s="5" t="s">
        <v>31031</v>
      </c>
      <c r="Q23821" s="7" t="str">
        <f>HYPERLINK("#Liste_rouge!A"&amp;_xlfn.XMATCH("NA",Liste_rouge!A:A,2,1),"NA")</f>
        <v>NA</v>
      </c>
      <c r="T23821" s="7" t="str">
        <f>HYPERLINK("#Liste_rouge!A"&amp;_xlfn.XMATCH("NA",Liste_rouge!A:A,2,1),"NA")</f>
        <v>NA</v>
      </c>
      <c r="AH23821" s="4" t="str">
        <f>HYPERLINK("#Statut_biogéographique!A"&amp;_xlfn.XMATCH("I",Statut_biogéographique!A:A,2,1),"I")</f>
        <v>I</v>
      </c>
      <c r="AP23821" s="4" t="s">
        <v>376</v>
      </c>
      <c r="AR23821" s="4" t="s">
        <v>377</v>
      </c>
    </row>
    <row r="23822" spans="1:44" ht="90">
      <c r="A23822" s="4" t="s">
        <v>24364</v>
      </c>
      <c r="B23822" s="4">
        <v>86732</v>
      </c>
      <c r="D23822" s="5" t="s">
        <v>31032</v>
      </c>
      <c r="E23822" s="6" t="str">
        <f>HYPERLINK("https://inpn.mnhn.fr/espece/cd_nom/86732","Bromus racemosus L., 1762")</f>
        <v>Bromus racemosus L., 1762</v>
      </c>
      <c r="F23822" s="5" t="s">
        <v>31033</v>
      </c>
      <c r="Q23822" s="7" t="str">
        <f>HYPERLINK("#Liste_rouge!A"&amp;_xlfn.XMATCH("LC",Liste_rouge!A:A,2,1),"LC")</f>
        <v>LC</v>
      </c>
      <c r="T23822" s="7" t="str">
        <f>HYPERLINK("#Liste_rouge!A"&amp;_xlfn.XMATCH("LC",Liste_rouge!A:A,2,1),"LC")</f>
        <v>LC</v>
      </c>
      <c r="V23822" s="7" t="str">
        <f>HYPERLINK("#Liste_rouge!A"&amp;_xlfn.XMATCH("LC",Liste_rouge!A:A,2,1),"LC")</f>
        <v>LC</v>
      </c>
      <c r="AH23822" s="4" t="str">
        <f>HYPERLINK("#Statut_biogéographique!A"&amp;_xlfn.XMATCH("P",Statut_biogéographique!A:A,2,1),"P")</f>
        <v>P</v>
      </c>
      <c r="AM23822" s="4" t="s">
        <v>375</v>
      </c>
      <c r="AN23822" s="4" t="s">
        <v>375</v>
      </c>
      <c r="AO23822" s="4" t="s">
        <v>375</v>
      </c>
      <c r="AP23822" s="4" t="s">
        <v>376</v>
      </c>
      <c r="AR23822" s="4" t="s">
        <v>377</v>
      </c>
    </row>
    <row r="23823" spans="1:44" ht="135">
      <c r="A23823" s="4" t="s">
        <v>24364</v>
      </c>
      <c r="B23823" s="4">
        <v>86751</v>
      </c>
      <c r="D23823" s="5" t="s">
        <v>31034</v>
      </c>
      <c r="E23823" s="6" t="str">
        <f>HYPERLINK("https://inpn.mnhn.fr/espece/cd_nom/86751","Bromus secalinus L., 1753 [nom. et typ. cons.]")</f>
        <v>Bromus secalinus L., 1753 [nom. et typ. cons.]</v>
      </c>
      <c r="F23823" s="5" t="s">
        <v>31035</v>
      </c>
      <c r="Q23823" s="7" t="str">
        <f>HYPERLINK("#Liste_rouge!A"&amp;_xlfn.XMATCH("LC",Liste_rouge!A:A,2,1),"LC")</f>
        <v>LC</v>
      </c>
      <c r="T23823" s="7" t="str">
        <f>HYPERLINK("#Liste_rouge!A"&amp;_xlfn.XMATCH("LC",Liste_rouge!A:A,2,1),"LC")</f>
        <v>LC</v>
      </c>
      <c r="V23823" s="7" t="str">
        <f>HYPERLINK("#Liste_rouge!A"&amp;_xlfn.XMATCH("LC",Liste_rouge!A:A,2,1),"LC")</f>
        <v>LC</v>
      </c>
      <c r="AH23823" s="4" t="str">
        <f>HYPERLINK("#Statut_biogéographique!A"&amp;_xlfn.XMATCH("I",Statut_biogéographique!A:A,2,1),"I")</f>
        <v>I</v>
      </c>
      <c r="AI23823" s="8" t="s">
        <v>31036</v>
      </c>
      <c r="AJ23823" s="4" t="s">
        <v>12248</v>
      </c>
      <c r="AM23823" s="4" t="s">
        <v>375</v>
      </c>
      <c r="AN23823" s="4" t="s">
        <v>375</v>
      </c>
      <c r="AO23823" s="4" t="s">
        <v>375</v>
      </c>
      <c r="AP23823" s="4" t="s">
        <v>376</v>
      </c>
      <c r="AR23823" s="4" t="s">
        <v>377</v>
      </c>
    </row>
    <row r="23824" spans="1:44" ht="120">
      <c r="A23824" s="4" t="s">
        <v>24364</v>
      </c>
      <c r="B23824" s="4">
        <v>86761</v>
      </c>
      <c r="D23824" s="5" t="s">
        <v>31037</v>
      </c>
      <c r="E23824" s="6" t="str">
        <f>HYPERLINK("https://inpn.mnhn.fr/espece/cd_nom/86761","Bromus squarrosus L., 1753")</f>
        <v>Bromus squarrosus L., 1753</v>
      </c>
      <c r="F23824" s="5" t="s">
        <v>31038</v>
      </c>
      <c r="Q23824" s="7" t="str">
        <f>HYPERLINK("#Liste_rouge!A"&amp;_xlfn.XMATCH("LC",Liste_rouge!A:A,2,1),"LC")</f>
        <v>LC</v>
      </c>
      <c r="T23824" s="7" t="str">
        <f>HYPERLINK("#Liste_rouge!A"&amp;_xlfn.XMATCH("CR",Liste_rouge!A:A,2,1),"CR (cd_nom 86761) - NE (cd_nom 144760)")</f>
        <v>CR (cd_nom 86761) - NE (cd_nom 144760)</v>
      </c>
      <c r="U23824" s="4" t="str">
        <f>HYPERLINK("#Critères_liste_rouge!A$1","D1 (cd_nom 86761)")</f>
        <v>D1 (cd_nom 86761)</v>
      </c>
      <c r="V23824" s="7" t="str">
        <f>HYPERLINK("#Liste_rouge!A"&amp;_xlfn.XMATCH("DD",Liste_rouge!A:A,2,1),"DD")</f>
        <v>DD</v>
      </c>
      <c r="AB23824" s="4" t="s">
        <v>24495</v>
      </c>
      <c r="AH23824" s="4" t="str">
        <f>HYPERLINK("#Statut_biogéographique!A"&amp;_xlfn.XMATCH("P",Statut_biogéographique!A:A,2,1),"P")</f>
        <v>P</v>
      </c>
      <c r="AM23824" s="4" t="s">
        <v>375</v>
      </c>
      <c r="AN23824" s="4" t="s">
        <v>375</v>
      </c>
      <c r="AO23824" s="4" t="s">
        <v>375</v>
      </c>
      <c r="AP23824" s="4" t="s">
        <v>376</v>
      </c>
      <c r="AR23824" s="4" t="s">
        <v>377</v>
      </c>
    </row>
    <row r="23825" spans="1:44" ht="30">
      <c r="A23825" s="4" t="s">
        <v>24364</v>
      </c>
      <c r="B23825" s="4">
        <v>86817</v>
      </c>
      <c r="D23825" s="5" t="s">
        <v>31039</v>
      </c>
      <c r="E23825" s="6" t="str">
        <f>HYPERLINK("https://inpn.mnhn.fr/espece/cd_nom/86817","Broussonetia papyrifera (L.) Vent., 1799")</f>
        <v>Broussonetia papyrifera (L.) Vent., 1799</v>
      </c>
      <c r="F23825" s="5" t="s">
        <v>31040</v>
      </c>
      <c r="O23825" s="7" t="str">
        <f>HYPERLINK("#Liste_rouge!A"&amp;_xlfn.XMATCH("LC",Liste_rouge!A:A,2,1),"LC")</f>
        <v>LC</v>
      </c>
      <c r="Q23825" s="7" t="str">
        <f>HYPERLINK("#Liste_rouge!A"&amp;_xlfn.XMATCH("NA",Liste_rouge!A:A,2,1),"NA")</f>
        <v>NA</v>
      </c>
      <c r="T23825" s="7" t="str">
        <f>HYPERLINK("#Liste_rouge!A"&amp;_xlfn.XMATCH("NA",Liste_rouge!A:A,2,1),"NA")</f>
        <v>NA</v>
      </c>
      <c r="AH23825" s="4" t="str">
        <f>HYPERLINK("#Statut_biogéographique!A"&amp;_xlfn.XMATCH("M",Statut_biogéographique!A:A,2,1),"M")</f>
        <v>M</v>
      </c>
      <c r="AP23825" s="4" t="s">
        <v>376</v>
      </c>
      <c r="AR23825" s="4" t="s">
        <v>377</v>
      </c>
    </row>
    <row r="23826" spans="1:44" ht="30">
      <c r="A23826" s="4" t="s">
        <v>24364</v>
      </c>
      <c r="B23826" s="4">
        <v>86828</v>
      </c>
      <c r="D23826" s="5" t="s">
        <v>31041</v>
      </c>
      <c r="E23826" s="6" t="str">
        <f>HYPERLINK("https://inpn.mnhn.fr/espece/cd_nom/86828","Bryonia dioica Jacq., 1774")</f>
        <v>Bryonia dioica Jacq., 1774</v>
      </c>
      <c r="F23826" s="5" t="s">
        <v>31042</v>
      </c>
      <c r="Q23826" s="7" t="str">
        <f>HYPERLINK("#Liste_rouge!A"&amp;_xlfn.XMATCH("LC",Liste_rouge!A:A,2,1),"LC")</f>
        <v>LC</v>
      </c>
      <c r="T23826" s="7" t="str">
        <f>HYPERLINK("#Liste_rouge!A"&amp;_xlfn.XMATCH("LC",Liste_rouge!A:A,2,1),"LC")</f>
        <v>LC</v>
      </c>
      <c r="V23826" s="7" t="str">
        <f>HYPERLINK("#Liste_rouge!A"&amp;_xlfn.XMATCH("LC",Liste_rouge!A:A,2,1),"LC")</f>
        <v>LC</v>
      </c>
      <c r="AH23826" s="4" t="str">
        <f>HYPERLINK("#Statut_biogéographique!A"&amp;_xlfn.XMATCH("P",Statut_biogéographique!A:A,2,1),"P")</f>
        <v>P</v>
      </c>
      <c r="AM23826" s="4" t="s">
        <v>375</v>
      </c>
      <c r="AN23826" s="4" t="s">
        <v>375</v>
      </c>
      <c r="AO23826" s="4" t="s">
        <v>375</v>
      </c>
      <c r="AP23826" s="4" t="s">
        <v>376</v>
      </c>
      <c r="AR23826" s="4" t="s">
        <v>377</v>
      </c>
    </row>
    <row r="23827" spans="1:44" ht="30">
      <c r="A23827" s="4" t="s">
        <v>24364</v>
      </c>
      <c r="B23827" s="4">
        <v>86869</v>
      </c>
      <c r="D23827" s="5" t="s">
        <v>31043</v>
      </c>
      <c r="E23827" s="6" t="str">
        <f>HYPERLINK("https://inpn.mnhn.fr/espece/cd_nom/86869","Buddleja davidii Franch., 1887")</f>
        <v>Buddleja davidii Franch., 1887</v>
      </c>
      <c r="F23827" s="5" t="s">
        <v>31044</v>
      </c>
      <c r="Q23827" s="7" t="str">
        <f>HYPERLINK("#Liste_rouge!A"&amp;_xlfn.XMATCH("NA",Liste_rouge!A:A,2,1),"NA")</f>
        <v>NA</v>
      </c>
      <c r="T23827" s="7" t="str">
        <f>HYPERLINK("#Liste_rouge!A"&amp;_xlfn.XMATCH("NA",Liste_rouge!A:A,2,1),"NA")</f>
        <v>NA</v>
      </c>
      <c r="AH23827" s="4" t="str">
        <f>HYPERLINK("#Statut_biogéographique!A"&amp;_xlfn.XMATCH("J",Statut_biogéographique!A:A,2,1),"J")</f>
        <v>J</v>
      </c>
      <c r="AM23827" s="4" t="s">
        <v>375</v>
      </c>
      <c r="AN23827" s="4" t="s">
        <v>375</v>
      </c>
      <c r="AO23827" s="4" t="s">
        <v>375</v>
      </c>
      <c r="AP23827" s="4" t="s">
        <v>376</v>
      </c>
      <c r="AR23827" s="4" t="s">
        <v>377</v>
      </c>
    </row>
    <row r="23828" spans="1:44">
      <c r="A23828" s="4" t="s">
        <v>24364</v>
      </c>
      <c r="B23828" s="4">
        <v>86870</v>
      </c>
      <c r="D23828" s="5" t="s">
        <v>31045</v>
      </c>
      <c r="E23828" s="6" t="str">
        <f>HYPERLINK("https://inpn.mnhn.fr/espece/cd_nom/86870","Buddleja globosa Hope, 1782")</f>
        <v>Buddleja globosa Hope, 1782</v>
      </c>
      <c r="F23828" s="5" t="s">
        <v>31046</v>
      </c>
      <c r="T23828" s="7" t="str">
        <f>HYPERLINK("#Liste_rouge!A"&amp;_xlfn.XMATCH("NA",Liste_rouge!A:A,2,1),"NA")</f>
        <v>NA</v>
      </c>
      <c r="AH23828" s="4" t="str">
        <f>HYPERLINK("#Statut_biogéographique!A"&amp;_xlfn.XMATCH("M",Statut_biogéographique!A:A,2,1),"M")</f>
        <v>M</v>
      </c>
      <c r="AP23828" s="4" t="s">
        <v>376</v>
      </c>
      <c r="AR23828" s="4" t="s">
        <v>377</v>
      </c>
    </row>
    <row r="23829" spans="1:44">
      <c r="A23829" s="4" t="s">
        <v>24364</v>
      </c>
      <c r="B23829" s="4">
        <v>86872</v>
      </c>
      <c r="D23829" s="5" t="s">
        <v>31047</v>
      </c>
      <c r="E23829" s="6" t="str">
        <f>HYPERLINK("https://inpn.mnhn.fr/espece/cd_nom/86872","Buddleja japonica Hemsl., 1889")</f>
        <v>Buddleja japonica Hemsl., 1889</v>
      </c>
      <c r="F23829" s="5" t="s">
        <v>31048</v>
      </c>
      <c r="T23829" s="7" t="str">
        <f>HYPERLINK("#Liste_rouge!A"&amp;_xlfn.XMATCH("NA",Liste_rouge!A:A,2,1),"NA")</f>
        <v>NA</v>
      </c>
      <c r="AH23829" s="4" t="str">
        <f>HYPERLINK("#Statut_biogéographique!A"&amp;_xlfn.XMATCH("M",Statut_biogéographique!A:A,2,1),"M")</f>
        <v>M</v>
      </c>
      <c r="AP23829" s="4" t="s">
        <v>376</v>
      </c>
      <c r="AR23829" s="4" t="s">
        <v>377</v>
      </c>
    </row>
    <row r="23830" spans="1:44" ht="30">
      <c r="A23830" s="4" t="s">
        <v>24364</v>
      </c>
      <c r="B23830" s="4">
        <v>86879</v>
      </c>
      <c r="D23830" s="5" t="s">
        <v>31049</v>
      </c>
      <c r="E23830" s="6" t="str">
        <f>HYPERLINK("https://inpn.mnhn.fr/espece/cd_nom/86879","Bufonia paniculata Dubois ex Delarbre, 1800")</f>
        <v>Bufonia paniculata Dubois ex Delarbre, 1800</v>
      </c>
      <c r="F23830" s="5" t="s">
        <v>31050</v>
      </c>
      <c r="Q23830" s="7" t="str">
        <f>HYPERLINK("#Liste_rouge!A"&amp;_xlfn.XMATCH("LC",Liste_rouge!A:A,2,1),"LC")</f>
        <v>LC</v>
      </c>
      <c r="T23830" s="7" t="str">
        <f>HYPERLINK("#Liste_rouge!A"&amp;_xlfn.XMATCH("RE",Liste_rouge!A:A,2,1),"RE")</f>
        <v>RE</v>
      </c>
      <c r="AH23830" s="4" t="str">
        <f>HYPERLINK("#Statut_biogéographique!A"&amp;_xlfn.XMATCH("P",Statut_biogéographique!A:A,2,1),"P")</f>
        <v>P</v>
      </c>
      <c r="AM23830" s="4" t="s">
        <v>375</v>
      </c>
      <c r="AN23830" s="4" t="s">
        <v>375</v>
      </c>
      <c r="AO23830" s="4" t="s">
        <v>375</v>
      </c>
      <c r="AP23830" s="4" t="s">
        <v>376</v>
      </c>
      <c r="AR23830" s="4" t="s">
        <v>377</v>
      </c>
    </row>
    <row r="23831" spans="1:44" ht="30">
      <c r="A23831" s="4" t="s">
        <v>24364</v>
      </c>
      <c r="B23831" s="4">
        <v>86890</v>
      </c>
      <c r="D23831" s="5" t="s">
        <v>31051</v>
      </c>
      <c r="E23831" s="6" t="str">
        <f>HYPERLINK("https://inpn.mnhn.fr/espece/cd_nom/86890","Buglossoides arvensis (L.) I.M.Johnst., 1954")</f>
        <v>Buglossoides arvensis (L.) I.M.Johnst., 1954</v>
      </c>
      <c r="F23831" s="5" t="s">
        <v>29655</v>
      </c>
      <c r="Q23831" s="7" t="str">
        <f>HYPERLINK("#Liste_rouge!A"&amp;_xlfn.XMATCH("LC",Liste_rouge!A:A,2,1),"LC")</f>
        <v>LC</v>
      </c>
      <c r="T23831" s="7" t="str">
        <f>HYPERLINK("#Liste_rouge!A"&amp;_xlfn.XMATCH("LC",Liste_rouge!A:A,2,1),"LC")</f>
        <v>LC</v>
      </c>
      <c r="V23831" s="7" t="str">
        <f>HYPERLINK("#Liste_rouge!A"&amp;_xlfn.XMATCH("NT",Liste_rouge!A:A,2,1),"NT")</f>
        <v>NT</v>
      </c>
      <c r="W23831" s="4" t="str">
        <f>HYPERLINK("#Critères_liste_rouge!A$1","pr. A3c B2b(iii)")</f>
        <v>pr. A3c B2b(iii)</v>
      </c>
      <c r="AB23831" s="4" t="s">
        <v>24747</v>
      </c>
      <c r="AH23831" s="4" t="str">
        <f>HYPERLINK("#Statut_biogéographique!A"&amp;_xlfn.XMATCH("P",Statut_biogéographique!A:A,2,1),"P")</f>
        <v>P</v>
      </c>
      <c r="AI23831" s="8" t="s">
        <v>31052</v>
      </c>
      <c r="AJ23831" s="4" t="s">
        <v>12248</v>
      </c>
      <c r="AM23831" s="4" t="s">
        <v>375</v>
      </c>
      <c r="AN23831" s="4" t="s">
        <v>375</v>
      </c>
      <c r="AO23831" s="4" t="s">
        <v>375</v>
      </c>
      <c r="AP23831" s="4" t="s">
        <v>376</v>
      </c>
      <c r="AR23831" s="4" t="s">
        <v>377</v>
      </c>
    </row>
    <row r="23832" spans="1:44" ht="75">
      <c r="A23832" s="4" t="s">
        <v>24364</v>
      </c>
      <c r="B23832" s="4">
        <v>86969</v>
      </c>
      <c r="D23832" s="5" t="s">
        <v>31053</v>
      </c>
      <c r="E23832" s="6" t="str">
        <f>HYPERLINK("https://inpn.mnhn.fr/espece/cd_nom/86969","Bunias erucago L., 1753")</f>
        <v>Bunias erucago L., 1753</v>
      </c>
      <c r="F23832" s="5" t="s">
        <v>31054</v>
      </c>
      <c r="Q23832" s="7" t="str">
        <f>HYPERLINK("#Liste_rouge!A"&amp;_xlfn.XMATCH("LC",Liste_rouge!A:A,2,1),"LC")</f>
        <v>LC</v>
      </c>
      <c r="T23832" s="7" t="str">
        <f>HYPERLINK("#Liste_rouge!A"&amp;_xlfn.XMATCH("NA",Liste_rouge!A:A,2,1),"NA")</f>
        <v>NA</v>
      </c>
      <c r="AH23832" s="4" t="str">
        <f>HYPERLINK("#Statut_biogéographique!A"&amp;_xlfn.XMATCH("P",Statut_biogéographique!A:A,2,1),"P")</f>
        <v>P</v>
      </c>
      <c r="AP23832" s="4" t="s">
        <v>376</v>
      </c>
      <c r="AR23832" s="4" t="s">
        <v>377</v>
      </c>
    </row>
    <row r="23833" spans="1:44">
      <c r="A23833" s="4" t="s">
        <v>24364</v>
      </c>
      <c r="B23833" s="4">
        <v>86975</v>
      </c>
      <c r="D23833" s="5" t="s">
        <v>31055</v>
      </c>
      <c r="E23833" s="6" t="str">
        <f>HYPERLINK("https://inpn.mnhn.fr/espece/cd_nom/86975","Bunias orientalis L., 1753")</f>
        <v>Bunias orientalis L., 1753</v>
      </c>
      <c r="F23833" s="5" t="s">
        <v>31056</v>
      </c>
      <c r="Q23833" s="7" t="str">
        <f>HYPERLINK("#Liste_rouge!A"&amp;_xlfn.XMATCH("NA",Liste_rouge!A:A,2,1),"NA")</f>
        <v>NA</v>
      </c>
      <c r="T23833" s="7" t="str">
        <f>HYPERLINK("#Liste_rouge!A"&amp;_xlfn.XMATCH("NA",Liste_rouge!A:A,2,1),"NA")</f>
        <v>NA</v>
      </c>
      <c r="AH23833" s="4" t="str">
        <f>HYPERLINK("#Statut_biogéographique!A"&amp;_xlfn.XMATCH("I",Statut_biogéographique!A:A,2,1),"I")</f>
        <v>I</v>
      </c>
      <c r="AM23833" s="4" t="s">
        <v>375</v>
      </c>
      <c r="AN23833" s="4" t="s">
        <v>375</v>
      </c>
      <c r="AO23833" s="4" t="s">
        <v>375</v>
      </c>
      <c r="AP23833" s="4" t="s">
        <v>376</v>
      </c>
      <c r="AR23833" s="4" t="s">
        <v>377</v>
      </c>
    </row>
    <row r="23834" spans="1:44" ht="60">
      <c r="A23834" s="4" t="s">
        <v>24364</v>
      </c>
      <c r="B23834" s="4">
        <v>86983</v>
      </c>
      <c r="D23834" s="5" t="s">
        <v>31057</v>
      </c>
      <c r="E23834" s="6" t="str">
        <f>HYPERLINK("https://inpn.mnhn.fr/espece/cd_nom/86983","Bunium bulbocastanum L., 1753")</f>
        <v>Bunium bulbocastanum L., 1753</v>
      </c>
      <c r="F23834" s="5" t="s">
        <v>31058</v>
      </c>
      <c r="Q23834" s="7" t="str">
        <f>HYPERLINK("#Liste_rouge!A"&amp;_xlfn.XMATCH("LC",Liste_rouge!A:A,2,1),"LC")</f>
        <v>LC</v>
      </c>
      <c r="T23834" s="7" t="str">
        <f>HYPERLINK("#Liste_rouge!A"&amp;_xlfn.XMATCH("LC",Liste_rouge!A:A,2,1),"LC")</f>
        <v>LC</v>
      </c>
      <c r="V23834" s="7" t="str">
        <f>HYPERLINK("#Liste_rouge!A"&amp;_xlfn.XMATCH("NT",Liste_rouge!A:A,2,1),"NT")</f>
        <v>NT</v>
      </c>
      <c r="W23834" s="4" t="str">
        <f>HYPERLINK("#Critères_liste_rouge!A$1","pr. A2c")</f>
        <v>pr. A2c</v>
      </c>
      <c r="AB23834" s="4" t="s">
        <v>31059</v>
      </c>
      <c r="AH23834" s="4" t="str">
        <f>HYPERLINK("#Statut_biogéographique!A"&amp;_xlfn.XMATCH("P",Statut_biogéographique!A:A,2,1),"P")</f>
        <v>P</v>
      </c>
      <c r="AI23834" s="8" t="s">
        <v>31060</v>
      </c>
      <c r="AJ23834" s="4" t="s">
        <v>12248</v>
      </c>
      <c r="AM23834" s="4" t="s">
        <v>375</v>
      </c>
      <c r="AN23834" s="4" t="s">
        <v>375</v>
      </c>
      <c r="AO23834" s="4" t="s">
        <v>375</v>
      </c>
      <c r="AP23834" s="4" t="s">
        <v>376</v>
      </c>
      <c r="AR23834" s="4" t="s">
        <v>377</v>
      </c>
    </row>
    <row r="23835" spans="1:44" ht="30">
      <c r="A23835" s="4" t="s">
        <v>24364</v>
      </c>
      <c r="B23835" s="4">
        <v>87009</v>
      </c>
      <c r="D23835" s="5" t="s">
        <v>31061</v>
      </c>
      <c r="E23835" s="6" t="str">
        <f>HYPERLINK("https://inpn.mnhn.fr/espece/cd_nom/87009","Buphthalmum salicifolium L., 1753")</f>
        <v>Buphthalmum salicifolium L., 1753</v>
      </c>
      <c r="F23835" s="5" t="s">
        <v>31062</v>
      </c>
      <c r="Q23835" s="7" t="str">
        <f>HYPERLINK("#Liste_rouge!A"&amp;_xlfn.XMATCH("LC",Liste_rouge!A:A,2,1),"LC")</f>
        <v>LC</v>
      </c>
      <c r="T23835" s="7" t="str">
        <f>HYPERLINK("#Liste_rouge!A"&amp;_xlfn.XMATCH("VU",Liste_rouge!A:A,2,1),"VU")</f>
        <v>VU</v>
      </c>
      <c r="U23835" s="4" t="str">
        <f>HYPERLINK("#Critères_liste_rouge!A$1","D2")</f>
        <v>D2</v>
      </c>
      <c r="V23835" s="7" t="str">
        <f>HYPERLINK("#Liste_rouge!A"&amp;_xlfn.XMATCH("LC",Liste_rouge!A:A,2,1),"LC")</f>
        <v>LC</v>
      </c>
      <c r="AB23835" s="4" t="s">
        <v>24634</v>
      </c>
      <c r="AH23835" s="4" t="str">
        <f>HYPERLINK("#Statut_biogéographique!A"&amp;_xlfn.XMATCH("P",Statut_biogéographique!A:A,2,1),"P")</f>
        <v>P</v>
      </c>
      <c r="AM23835" s="4" t="s">
        <v>375</v>
      </c>
      <c r="AN23835" s="4" t="s">
        <v>375</v>
      </c>
      <c r="AO23835" s="4" t="s">
        <v>375</v>
      </c>
      <c r="AP23835" s="4" t="s">
        <v>376</v>
      </c>
      <c r="AR23835" s="4" t="s">
        <v>377</v>
      </c>
    </row>
    <row r="23836" spans="1:44" ht="45">
      <c r="A23836" s="4" t="s">
        <v>24364</v>
      </c>
      <c r="B23836" s="4">
        <v>87027</v>
      </c>
      <c r="D23836" s="5" t="s">
        <v>31063</v>
      </c>
      <c r="E23836" s="6" t="str">
        <f>HYPERLINK("https://inpn.mnhn.fr/espece/cd_nom/87027","Bupleurum baldense Turra, 1764")</f>
        <v>Bupleurum baldense Turra, 1764</v>
      </c>
      <c r="F23836" s="5" t="s">
        <v>31064</v>
      </c>
      <c r="Q23836" s="7" t="str">
        <f>HYPERLINK("#Liste_rouge!A"&amp;_xlfn.XMATCH("LC",Liste_rouge!A:A,2,1),"LC")</f>
        <v>LC</v>
      </c>
      <c r="T23836" s="7" t="str">
        <f>HYPERLINK("#Liste_rouge!A"&amp;_xlfn.XMATCH("LC",Liste_rouge!A:A,2,1),"LC (cd_nom 87027) - DD (cd_nom 132334)")</f>
        <v>LC (cd_nom 87027) - DD (cd_nom 132334)</v>
      </c>
      <c r="V23836" s="7" t="str">
        <f>HYPERLINK("#Liste_rouge!A"&amp;_xlfn.XMATCH("VU",Liste_rouge!A:A,2,1),"VU")</f>
        <v>VU</v>
      </c>
      <c r="W23836" s="4" t="str">
        <f>HYPERLINK("#Critères_liste_rouge!A$1","D2")</f>
        <v>D2</v>
      </c>
      <c r="AB23836" s="4" t="s">
        <v>25019</v>
      </c>
      <c r="AH23836" s="4" t="str">
        <f>HYPERLINK("#Statut_biogéographique!A"&amp;_xlfn.XMATCH("P",Statut_biogéographique!A:A,2,1),"P")</f>
        <v>P</v>
      </c>
      <c r="AM23836" s="4" t="s">
        <v>375</v>
      </c>
      <c r="AN23836" s="4" t="s">
        <v>375</v>
      </c>
      <c r="AO23836" s="4" t="s">
        <v>375</v>
      </c>
      <c r="AP23836" s="4" t="s">
        <v>376</v>
      </c>
      <c r="AR23836" s="4" t="s">
        <v>377</v>
      </c>
    </row>
    <row r="23837" spans="1:44" ht="105">
      <c r="A23837" s="4" t="s">
        <v>24364</v>
      </c>
      <c r="B23837" s="4">
        <v>87044</v>
      </c>
      <c r="D23837" s="5" t="s">
        <v>31065</v>
      </c>
      <c r="E23837" s="6" t="str">
        <f>HYPERLINK("https://inpn.mnhn.fr/espece/cd_nom/87044","Bupleurum falcatum L., 1753")</f>
        <v>Bupleurum falcatum L., 1753</v>
      </c>
      <c r="F23837" s="5" t="s">
        <v>31066</v>
      </c>
      <c r="P23837" s="7" t="str">
        <f>HYPERLINK("#Liste_rouge!A"&amp;_xlfn.XMATCH("LC",Liste_rouge!A:A,2,1),"LC")</f>
        <v>LC</v>
      </c>
      <c r="Q23837" s="7" t="str">
        <f>HYPERLINK("#Liste_rouge!A"&amp;_xlfn.XMATCH("LC",Liste_rouge!A:A,2,1),"LC")</f>
        <v>LC</v>
      </c>
      <c r="T23837" s="7" t="str">
        <f>HYPERLINK("#Liste_rouge!A"&amp;_xlfn.XMATCH("LC",Liste_rouge!A:A,2,1),"LC")</f>
        <v>LC</v>
      </c>
      <c r="V23837" s="7" t="str">
        <f>HYPERLINK("#Liste_rouge!A"&amp;_xlfn.XMATCH("LC",Liste_rouge!A:A,2,1),"LC")</f>
        <v>LC</v>
      </c>
      <c r="AH23837" s="4" t="str">
        <f>HYPERLINK("#Statut_biogéographique!A"&amp;_xlfn.XMATCH("P",Statut_biogéographique!A:A,2,1),"P")</f>
        <v>P</v>
      </c>
      <c r="AM23837" s="4" t="s">
        <v>375</v>
      </c>
      <c r="AN23837" s="4" t="s">
        <v>375</v>
      </c>
      <c r="AO23837" s="4" t="s">
        <v>375</v>
      </c>
      <c r="AP23837" s="4" t="s">
        <v>376</v>
      </c>
      <c r="AR23837" s="4" t="s">
        <v>377</v>
      </c>
    </row>
    <row r="23838" spans="1:44" ht="30">
      <c r="A23838" s="4" t="s">
        <v>24364</v>
      </c>
      <c r="B23838" s="4">
        <v>87051</v>
      </c>
      <c r="D23838" s="5" t="s">
        <v>31067</v>
      </c>
      <c r="E23838" s="6" t="str">
        <f>HYPERLINK("https://inpn.mnhn.fr/espece/cd_nom/87051","Bupleurum fruticosum L., 1753")</f>
        <v>Bupleurum fruticosum L., 1753</v>
      </c>
      <c r="F23838" s="5" t="s">
        <v>31068</v>
      </c>
      <c r="Q23838" s="7" t="str">
        <f>HYPERLINK("#Liste_rouge!A"&amp;_xlfn.XMATCH("LC",Liste_rouge!A:A,2,1),"LC")</f>
        <v>LC</v>
      </c>
      <c r="T23838" s="7" t="str">
        <f>HYPERLINK("#Liste_rouge!A"&amp;_xlfn.XMATCH("NA",Liste_rouge!A:A,2,1),"NA")</f>
        <v>NA</v>
      </c>
      <c r="AH23838" s="4" t="str">
        <f>HYPERLINK("#Statut_biogéographique!A"&amp;_xlfn.XMATCH("P",Statut_biogéographique!A:A,2,1),"P")</f>
        <v>P</v>
      </c>
      <c r="AP23838" s="4" t="s">
        <v>376</v>
      </c>
      <c r="AR23838" s="4" t="s">
        <v>377</v>
      </c>
    </row>
    <row r="23839" spans="1:44" ht="45">
      <c r="A23839" s="4" t="s">
        <v>24364</v>
      </c>
      <c r="B23839" s="4">
        <v>87053</v>
      </c>
      <c r="D23839" s="5" t="s">
        <v>31069</v>
      </c>
      <c r="E23839" s="6" t="str">
        <f>HYPERLINK("https://inpn.mnhn.fr/espece/cd_nom/87053","Bupleurum gerardi All., 1773")</f>
        <v>Bupleurum gerardi All., 1773</v>
      </c>
      <c r="F23839" s="5" t="s">
        <v>31070</v>
      </c>
      <c r="Q23839" s="7" t="str">
        <f>HYPERLINK("#Liste_rouge!A"&amp;_xlfn.XMATCH("VU",Liste_rouge!A:A,2,1),"VU")</f>
        <v>VU</v>
      </c>
      <c r="T23839" s="7" t="str">
        <f>HYPERLINK("#Liste_rouge!A"&amp;_xlfn.XMATCH("CR",Liste_rouge!A:A,2,1),"CR")</f>
        <v>CR</v>
      </c>
      <c r="U23839" s="4" t="str">
        <f>HYPERLINK("#Critères_liste_rouge!A$1","C2a(i) D1")</f>
        <v>C2a(i) D1</v>
      </c>
      <c r="X23839" s="5" t="s">
        <v>374</v>
      </c>
      <c r="AB23839" s="4" t="s">
        <v>93</v>
      </c>
      <c r="AH23839" s="4" t="str">
        <f>HYPERLINK("#Statut_biogéographique!A"&amp;_xlfn.XMATCH("P",Statut_biogéographique!A:A,2,1),"P")</f>
        <v>P</v>
      </c>
      <c r="AM23839" s="4" t="s">
        <v>375</v>
      </c>
      <c r="AN23839" s="4" t="s">
        <v>375</v>
      </c>
      <c r="AO23839" s="4" t="s">
        <v>375</v>
      </c>
      <c r="AP23839" s="4" t="s">
        <v>389</v>
      </c>
      <c r="AR23839" s="4" t="s">
        <v>377</v>
      </c>
    </row>
    <row r="23840" spans="1:44" ht="30">
      <c r="A23840" s="4" t="s">
        <v>24364</v>
      </c>
      <c r="B23840" s="4">
        <v>87068</v>
      </c>
      <c r="D23840" s="5" t="s">
        <v>31071</v>
      </c>
      <c r="E23840" s="6" t="str">
        <f>HYPERLINK("https://inpn.mnhn.fr/espece/cd_nom/87068","Bupleurum longifolium L., 1753")</f>
        <v>Bupleurum longifolium L., 1753</v>
      </c>
      <c r="F23840" s="5" t="s">
        <v>31072</v>
      </c>
      <c r="Q23840" s="7" t="str">
        <f>HYPERLINK("#Liste_rouge!A"&amp;_xlfn.XMATCH("LC",Liste_rouge!A:A,2,1),"LC")</f>
        <v>LC</v>
      </c>
      <c r="V23840" s="7" t="str">
        <f>HYPERLINK("#Liste_rouge!A"&amp;_xlfn.XMATCH("VU",Liste_rouge!A:A,2,1),"VU")</f>
        <v>VU</v>
      </c>
      <c r="W23840" s="4" t="str">
        <f>HYPERLINK("#Critères_liste_rouge!A$1","D1")</f>
        <v>D1</v>
      </c>
      <c r="X23840" s="5" t="s">
        <v>374</v>
      </c>
      <c r="AB23840" s="4" t="s">
        <v>93</v>
      </c>
      <c r="AH23840" s="4" t="str">
        <f>HYPERLINK("#Statut_biogéographique!A"&amp;_xlfn.XMATCH("P",Statut_biogéographique!A:A,2,1),"P")</f>
        <v>P</v>
      </c>
      <c r="AM23840" s="4" t="s">
        <v>375</v>
      </c>
      <c r="AN23840" s="4" t="s">
        <v>375</v>
      </c>
      <c r="AO23840" s="4" t="s">
        <v>375</v>
      </c>
      <c r="AP23840" s="4" t="s">
        <v>376</v>
      </c>
      <c r="AR23840" s="4" t="s">
        <v>377</v>
      </c>
    </row>
    <row r="23841" spans="1:44" ht="30">
      <c r="A23841" s="4" t="s">
        <v>24364</v>
      </c>
      <c r="B23841" s="4">
        <v>87074</v>
      </c>
      <c r="D23841" s="5" t="s">
        <v>31073</v>
      </c>
      <c r="E23841" s="6" t="str">
        <f>HYPERLINK("https://inpn.mnhn.fr/espece/cd_nom/87074","Bupleurum odontites L., 1753")</f>
        <v>Bupleurum odontites L., 1753</v>
      </c>
      <c r="F23841" s="5" t="s">
        <v>31074</v>
      </c>
      <c r="Q23841" s="7" t="str">
        <f>HYPERLINK("#Liste_rouge!A"&amp;_xlfn.XMATCH("NA",Liste_rouge!A:A,2,1),"NA")</f>
        <v>NA</v>
      </c>
      <c r="AH23841" s="4" t="str">
        <f>HYPERLINK("#Statut_biogéographique!A"&amp;_xlfn.XMATCH("M",Statut_biogéographique!A:A,2,1),"M")</f>
        <v>M</v>
      </c>
      <c r="AP23841" s="4" t="s">
        <v>376</v>
      </c>
      <c r="AR23841" s="4" t="s">
        <v>377</v>
      </c>
    </row>
    <row r="23842" spans="1:44" ht="30">
      <c r="A23842" s="4" t="s">
        <v>24364</v>
      </c>
      <c r="B23842" s="4">
        <v>87091</v>
      </c>
      <c r="D23842" s="5" t="s">
        <v>31075</v>
      </c>
      <c r="E23842" s="6" t="str">
        <f>HYPERLINK("https://inpn.mnhn.fr/espece/cd_nom/87091","Bupleurum ranunculoides L., 1753")</f>
        <v>Bupleurum ranunculoides L., 1753</v>
      </c>
      <c r="F23842" s="5" t="s">
        <v>31076</v>
      </c>
      <c r="M23842" s="4" t="str">
        <f>HYPERLINK("#Réglementation!A"&amp;_xlfn.XMATCH("RV43",Réglementation!A:A,2,1),"RV43")</f>
        <v>RV43</v>
      </c>
      <c r="Q23842" s="7" t="str">
        <f>HYPERLINK("#Liste_rouge!A"&amp;_xlfn.XMATCH("LC",Liste_rouge!A:A,2,1),"LC")</f>
        <v>LC</v>
      </c>
      <c r="V23842" s="7" t="str">
        <f>HYPERLINK("#Liste_rouge!A"&amp;_xlfn.XMATCH("CR",Liste_rouge!A:A,2,1),"CR")</f>
        <v>CR</v>
      </c>
      <c r="W23842" s="4" t="str">
        <f>HYPERLINK("#Critères_liste_rouge!A$1","D")</f>
        <v>D</v>
      </c>
      <c r="X23842" s="5" t="s">
        <v>374</v>
      </c>
      <c r="AB23842" s="4" t="s">
        <v>93</v>
      </c>
      <c r="AH23842" s="4" t="str">
        <f>HYPERLINK("#Statut_biogéographique!A"&amp;_xlfn.XMATCH("P",Statut_biogéographique!A:A,2,1),"P")</f>
        <v>P</v>
      </c>
      <c r="AM23842" s="4" t="s">
        <v>375</v>
      </c>
      <c r="AN23842" s="4" t="s">
        <v>375</v>
      </c>
      <c r="AO23842" s="4" t="s">
        <v>375</v>
      </c>
      <c r="AP23842" s="4" t="s">
        <v>376</v>
      </c>
      <c r="AR23842" s="4" t="s">
        <v>377</v>
      </c>
    </row>
    <row r="23843" spans="1:44">
      <c r="A23843" s="4" t="s">
        <v>24364</v>
      </c>
      <c r="B23843" s="4">
        <v>87095</v>
      </c>
      <c r="D23843" s="5" t="s">
        <v>31077</v>
      </c>
      <c r="E23843" s="6" t="str">
        <f>HYPERLINK("https://inpn.mnhn.fr/espece/cd_nom/87095","Bupleurum rotundifolium L., 1753")</f>
        <v>Bupleurum rotundifolium L., 1753</v>
      </c>
      <c r="F23843" s="5" t="s">
        <v>31078</v>
      </c>
      <c r="Q23843" s="7" t="str">
        <f>HYPERLINK("#Liste_rouge!A"&amp;_xlfn.XMATCH("NT",Liste_rouge!A:A,2,1),"NT")</f>
        <v>NT</v>
      </c>
      <c r="T23843" s="7" t="str">
        <f>HYPERLINK("#Liste_rouge!A"&amp;_xlfn.XMATCH("EN",Liste_rouge!A:A,2,1),"EN")</f>
        <v>EN</v>
      </c>
      <c r="U23843" s="4" t="str">
        <f>HYPERLINK("#Critères_liste_rouge!A$1","B2ab(iii,iv,v)c(iii,iv)")</f>
        <v>B2ab(iii,iv,v)c(iii,iv)</v>
      </c>
      <c r="V23843" s="7" t="str">
        <f>HYPERLINK("#Liste_rouge!A"&amp;_xlfn.XMATCH("RE",Liste_rouge!A:A,2,1),"RE")</f>
        <v>RE</v>
      </c>
      <c r="X23843" s="5" t="s">
        <v>374</v>
      </c>
      <c r="AB23843" s="4" t="s">
        <v>93</v>
      </c>
      <c r="AH23843" s="4" t="str">
        <f>HYPERLINK("#Statut_biogéographique!A"&amp;_xlfn.XMATCH("P",Statut_biogéographique!A:A,2,1),"P")</f>
        <v>P</v>
      </c>
      <c r="AI23843" s="8" t="s">
        <v>31079</v>
      </c>
      <c r="AJ23843" s="4" t="s">
        <v>12248</v>
      </c>
      <c r="AM23843" s="4" t="s">
        <v>375</v>
      </c>
      <c r="AN23843" s="4" t="s">
        <v>375</v>
      </c>
      <c r="AO23843" s="4" t="s">
        <v>375</v>
      </c>
      <c r="AP23843" s="4" t="s">
        <v>376</v>
      </c>
      <c r="AR23843" s="4" t="s">
        <v>377</v>
      </c>
    </row>
    <row r="23844" spans="1:44" ht="60">
      <c r="A23844" s="4" t="s">
        <v>24364</v>
      </c>
      <c r="B23844" s="4">
        <v>87102</v>
      </c>
      <c r="D23844" s="5" t="s">
        <v>31080</v>
      </c>
      <c r="E23844" s="6" t="str">
        <f>HYPERLINK("https://inpn.mnhn.fr/espece/cd_nom/87102","Bupleurum subovatum Link ex Spreng., 1813")</f>
        <v>Bupleurum subovatum Link ex Spreng., 1813</v>
      </c>
      <c r="F23844" s="5" t="s">
        <v>31081</v>
      </c>
      <c r="Q23844" s="7" t="str">
        <f>HYPERLINK("#Liste_rouge!A"&amp;_xlfn.XMATCH("EN",Liste_rouge!A:A,2,1),"EN")</f>
        <v>EN</v>
      </c>
      <c r="T23844" s="7" t="str">
        <f>HYPERLINK("#Liste_rouge!A"&amp;_xlfn.XMATCH("CR",Liste_rouge!A:A,2,1),"CR")</f>
        <v>CR</v>
      </c>
      <c r="U23844" s="4" t="str">
        <f>HYPERLINK("#Critères_liste_rouge!A$1","B1 B2ab(ii) C2a(i) D1")</f>
        <v>B1 B2ab(ii) C2a(i) D1</v>
      </c>
      <c r="AB23844" s="4" t="s">
        <v>24397</v>
      </c>
      <c r="AE23844" s="4" t="str">
        <f>HYPERLINK("#SCAP!A"&amp;_xlfn.XMATCH("A",SCAP!A:A,2,1),"A")</f>
        <v>A</v>
      </c>
      <c r="AH23844" s="4" t="str">
        <f>HYPERLINK("#Statut_biogéographique!A"&amp;_xlfn.XMATCH("P",Statut_biogéographique!A:A,2,1),"P")</f>
        <v>P</v>
      </c>
      <c r="AI23844" s="8" t="s">
        <v>31082</v>
      </c>
      <c r="AJ23844" s="4" t="s">
        <v>12248</v>
      </c>
      <c r="AM23844" s="4" t="s">
        <v>375</v>
      </c>
      <c r="AN23844" s="4" t="s">
        <v>375</v>
      </c>
      <c r="AO23844" s="4" t="s">
        <v>375</v>
      </c>
      <c r="AP23844" s="4" t="s">
        <v>376</v>
      </c>
      <c r="AR23844" s="4" t="s">
        <v>377</v>
      </c>
    </row>
    <row r="23845" spans="1:44" ht="45">
      <c r="A23845" s="4" t="s">
        <v>24364</v>
      </c>
      <c r="B23845" s="4">
        <v>87106</v>
      </c>
      <c r="D23845" s="5" t="s">
        <v>31083</v>
      </c>
      <c r="E23845" s="6" t="str">
        <f>HYPERLINK("https://inpn.mnhn.fr/espece/cd_nom/87106","Bupleurum tenuissimum L., 1753")</f>
        <v>Bupleurum tenuissimum L., 1753</v>
      </c>
      <c r="F23845" s="5" t="s">
        <v>31084</v>
      </c>
      <c r="Q23845" s="7" t="str">
        <f>HYPERLINK("#Liste_rouge!A"&amp;_xlfn.XMATCH("LC",Liste_rouge!A:A,2,1),"LC")</f>
        <v>LC</v>
      </c>
      <c r="T23845" s="7" t="str">
        <f>HYPERLINK("#Liste_rouge!A"&amp;_xlfn.XMATCH("CR",Liste_rouge!A:A,2,1),"CR")</f>
        <v>CR</v>
      </c>
      <c r="U23845" s="4" t="str">
        <f>HYPERLINK("#Critères_liste_rouge!A$1","B1 B2ab(iii) C2a(i) D1")</f>
        <v>B1 B2ab(iii) C2a(i) D1</v>
      </c>
      <c r="X23845" s="5" t="s">
        <v>374</v>
      </c>
      <c r="AB23845" s="4" t="s">
        <v>93</v>
      </c>
      <c r="AH23845" s="4" t="str">
        <f>HYPERLINK("#Statut_biogéographique!A"&amp;_xlfn.XMATCH("P",Statut_biogéographique!A:A,2,1),"P")</f>
        <v>P</v>
      </c>
      <c r="AM23845" s="4" t="s">
        <v>375</v>
      </c>
      <c r="AN23845" s="4" t="s">
        <v>375</v>
      </c>
      <c r="AO23845" s="4" t="s">
        <v>375</v>
      </c>
      <c r="AP23845" s="4" t="s">
        <v>376</v>
      </c>
      <c r="AR23845" s="4" t="s">
        <v>377</v>
      </c>
    </row>
    <row r="23846" spans="1:44">
      <c r="A23846" s="4" t="s">
        <v>24364</v>
      </c>
      <c r="B23846" s="4">
        <v>87136</v>
      </c>
      <c r="D23846" s="5" t="s">
        <v>31085</v>
      </c>
      <c r="E23846" s="6" t="str">
        <f>HYPERLINK("https://inpn.mnhn.fr/espece/cd_nom/87136","Butomus umbellatus L., 1753")</f>
        <v>Butomus umbellatus L., 1753</v>
      </c>
      <c r="F23846" s="5" t="s">
        <v>31086</v>
      </c>
      <c r="M23846" s="4" t="str">
        <f>HYPERLINK("#Réglementation!A"&amp;_xlfn.XMATCH("RV26",Réglementation!A:A,2,1),"RV26 - RV43")</f>
        <v>RV26 - RV43</v>
      </c>
      <c r="O23846" s="7" t="str">
        <f>HYPERLINK("#Liste_rouge!A"&amp;_xlfn.XMATCH("LC",Liste_rouge!A:A,2,1),"LC")</f>
        <v>LC</v>
      </c>
      <c r="P23846" s="7" t="str">
        <f>HYPERLINK("#Liste_rouge!A"&amp;_xlfn.XMATCH("LC",Liste_rouge!A:A,2,1),"LC")</f>
        <v>LC</v>
      </c>
      <c r="Q23846" s="7" t="str">
        <f>HYPERLINK("#Liste_rouge!A"&amp;_xlfn.XMATCH("LC",Liste_rouge!A:A,2,1),"LC")</f>
        <v>LC</v>
      </c>
      <c r="T23846" s="7" t="str">
        <f>HYPERLINK("#Liste_rouge!A"&amp;_xlfn.XMATCH("LC",Liste_rouge!A:A,2,1),"LC")</f>
        <v>LC</v>
      </c>
      <c r="V23846" s="7" t="str">
        <f>HYPERLINK("#Liste_rouge!A"&amp;_xlfn.XMATCH("LC",Liste_rouge!A:A,2,1),"LC")</f>
        <v>LC</v>
      </c>
      <c r="AB23846" s="4" t="s">
        <v>31087</v>
      </c>
      <c r="AH23846" s="4" t="str">
        <f>HYPERLINK("#Statut_biogéographique!A"&amp;_xlfn.XMATCH("P",Statut_biogéographique!A:A,2,1),"P")</f>
        <v>P</v>
      </c>
      <c r="AM23846" s="4" t="s">
        <v>375</v>
      </c>
      <c r="AN23846" s="4" t="s">
        <v>375</v>
      </c>
      <c r="AO23846" s="4" t="s">
        <v>375</v>
      </c>
      <c r="AP23846" s="4" t="s">
        <v>376</v>
      </c>
      <c r="AR23846" s="4" t="s">
        <v>377</v>
      </c>
    </row>
    <row r="23847" spans="1:44">
      <c r="A23847" s="4" t="s">
        <v>24364</v>
      </c>
      <c r="B23847" s="4">
        <v>87138</v>
      </c>
      <c r="D23847" s="5" t="s">
        <v>31088</v>
      </c>
      <c r="E23847" s="6" t="str">
        <f>HYPERLINK("https://inpn.mnhn.fr/espece/cd_nom/87138","Buxus balearica Lam., 1785")</f>
        <v>Buxus balearica Lam., 1785</v>
      </c>
      <c r="F23847" s="5" t="s">
        <v>31089</v>
      </c>
      <c r="AH23847" s="4" t="str">
        <f>HYPERLINK("#Statut_biogéographique!A"&amp;_xlfn.XMATCH("M",Statut_biogéographique!A:A,2,1),"M")</f>
        <v>M</v>
      </c>
      <c r="AP23847" s="4" t="s">
        <v>376</v>
      </c>
      <c r="AR23847" s="4" t="s">
        <v>377</v>
      </c>
    </row>
    <row r="23848" spans="1:44" ht="30">
      <c r="A23848" s="4" t="s">
        <v>24364</v>
      </c>
      <c r="B23848" s="4">
        <v>87143</v>
      </c>
      <c r="D23848" s="5" t="s">
        <v>31090</v>
      </c>
      <c r="E23848" s="6" t="str">
        <f>HYPERLINK("https://inpn.mnhn.fr/espece/cd_nom/87143","Buxus sempervirens L., 1753")</f>
        <v>Buxus sempervirens L., 1753</v>
      </c>
      <c r="F23848" s="5" t="s">
        <v>31091</v>
      </c>
      <c r="O23848" s="7" t="str">
        <f>HYPERLINK("#Liste_rouge!A"&amp;_xlfn.XMATCH("LC",Liste_rouge!A:A,2,1),"LC")</f>
        <v>LC</v>
      </c>
      <c r="P23848" s="7" t="str">
        <f>HYPERLINK("#Liste_rouge!A"&amp;_xlfn.XMATCH("LC",Liste_rouge!A:A,2,1),"LC")</f>
        <v>LC</v>
      </c>
      <c r="Q23848" s="7" t="str">
        <f>HYPERLINK("#Liste_rouge!A"&amp;_xlfn.XMATCH("LC",Liste_rouge!A:A,2,1),"LC")</f>
        <v>LC</v>
      </c>
      <c r="T23848" s="7" t="str">
        <f>HYPERLINK("#Liste_rouge!A"&amp;_xlfn.XMATCH("LC",Liste_rouge!A:A,2,1),"LC")</f>
        <v>LC</v>
      </c>
      <c r="V23848" s="7" t="str">
        <f>HYPERLINK("#Liste_rouge!A"&amp;_xlfn.XMATCH("LC",Liste_rouge!A:A,2,1),"LC")</f>
        <v>LC</v>
      </c>
      <c r="AB23848" s="4" t="s">
        <v>24719</v>
      </c>
      <c r="AH23848" s="4" t="str">
        <f>HYPERLINK("#Statut_biogéographique!A"&amp;_xlfn.XMATCH("P",Statut_biogéographique!A:A,2,1),"P")</f>
        <v>P</v>
      </c>
      <c r="AM23848" s="4" t="s">
        <v>375</v>
      </c>
      <c r="AN23848" s="4" t="s">
        <v>375</v>
      </c>
      <c r="AO23848" s="4" t="s">
        <v>375</v>
      </c>
      <c r="AP23848" s="4" t="s">
        <v>376</v>
      </c>
      <c r="AR23848" s="4" t="s">
        <v>377</v>
      </c>
    </row>
    <row r="23849" spans="1:44" ht="135">
      <c r="A23849" s="4" t="s">
        <v>24364</v>
      </c>
      <c r="B23849" s="4">
        <v>87212</v>
      </c>
      <c r="D23849" s="5" t="s">
        <v>31092</v>
      </c>
      <c r="E23849" s="6" t="str">
        <f>HYPERLINK("https://inpn.mnhn.fr/espece/cd_nom/87212","Calamagrostis arundinacea (L.) Roth, 1788")</f>
        <v>Calamagrostis arundinacea (L.) Roth, 1788</v>
      </c>
      <c r="F23849" s="5" t="s">
        <v>31093</v>
      </c>
      <c r="M23849" s="4" t="str">
        <f>HYPERLINK("#Réglementation!A"&amp;_xlfn.XMATCH("RV26",Réglementation!A:A,2,1),"RV26")</f>
        <v>RV26</v>
      </c>
      <c r="Q23849" s="7" t="str">
        <f>HYPERLINK("#Liste_rouge!A"&amp;_xlfn.XMATCH("LC",Liste_rouge!A:A,2,1),"LC")</f>
        <v>LC</v>
      </c>
      <c r="T23849" s="7" t="str">
        <f>HYPERLINK("#Liste_rouge!A"&amp;_xlfn.XMATCH("CR",Liste_rouge!A:A,2,1),"CR")</f>
        <v>CR</v>
      </c>
      <c r="U23849" s="4" t="str">
        <f>HYPERLINK("#Critères_liste_rouge!A$1","B1 B2ab(i,ii,iv)")</f>
        <v>B1 B2ab(i,ii,iv)</v>
      </c>
      <c r="V23849" s="7" t="str">
        <f>HYPERLINK("#Liste_rouge!A"&amp;_xlfn.XMATCH("NT",Liste_rouge!A:A,2,1),"NT")</f>
        <v>NT</v>
      </c>
      <c r="W23849" s="4" t="str">
        <f>HYPERLINK("#Critères_liste_rouge!A$1","pr. D2")</f>
        <v>pr. D2</v>
      </c>
      <c r="X23849" s="5" t="s">
        <v>374</v>
      </c>
      <c r="AB23849" s="4" t="s">
        <v>93</v>
      </c>
      <c r="AH23849" s="4" t="str">
        <f>HYPERLINK("#Statut_biogéographique!A"&amp;_xlfn.XMATCH("P",Statut_biogéographique!A:A,2,1),"P")</f>
        <v>P</v>
      </c>
      <c r="AM23849" s="4" t="s">
        <v>375</v>
      </c>
      <c r="AN23849" s="4" t="s">
        <v>375</v>
      </c>
      <c r="AO23849" s="4" t="s">
        <v>375</v>
      </c>
      <c r="AP23849" s="4" t="s">
        <v>376</v>
      </c>
      <c r="AR23849" s="4" t="s">
        <v>377</v>
      </c>
    </row>
    <row r="23850" spans="1:44" ht="90">
      <c r="A23850" s="4" t="s">
        <v>24364</v>
      </c>
      <c r="B23850" s="4">
        <v>87218</v>
      </c>
      <c r="D23850" s="5" t="s">
        <v>31094</v>
      </c>
      <c r="E23850" s="6" t="str">
        <f>HYPERLINK("https://inpn.mnhn.fr/espece/cd_nom/87218","Calamagrostis canescens (Weber) Roth, 1789")</f>
        <v>Calamagrostis canescens (Weber) Roth, 1789</v>
      </c>
      <c r="F23850" s="5" t="s">
        <v>28380</v>
      </c>
      <c r="Q23850" s="7" t="str">
        <f>HYPERLINK("#Liste_rouge!A"&amp;_xlfn.XMATCH("LC",Liste_rouge!A:A,2,1),"LC")</f>
        <v>LC</v>
      </c>
      <c r="T23850" s="7" t="str">
        <f>HYPERLINK("#Liste_rouge!A"&amp;_xlfn.XMATCH("EN",Liste_rouge!A:A,2,1),"EN")</f>
        <v>EN</v>
      </c>
      <c r="U23850" s="4" t="str">
        <f>HYPERLINK("#Critères_liste_rouge!A$1","B2ab(ii,iii,iv)")</f>
        <v>B2ab(ii,iii,iv)</v>
      </c>
      <c r="V23850" s="7" t="str">
        <f>HYPERLINK("#Liste_rouge!A"&amp;_xlfn.XMATCH("LC",Liste_rouge!A:A,2,1),"LC")</f>
        <v>LC</v>
      </c>
      <c r="AB23850" s="4" t="s">
        <v>24501</v>
      </c>
      <c r="AH23850" s="4" t="str">
        <f>HYPERLINK("#Statut_biogéographique!A"&amp;_xlfn.XMATCH("P",Statut_biogéographique!A:A,2,1),"P")</f>
        <v>P</v>
      </c>
      <c r="AM23850" s="4" t="s">
        <v>375</v>
      </c>
      <c r="AN23850" s="4" t="s">
        <v>375</v>
      </c>
      <c r="AO23850" s="4" t="s">
        <v>375</v>
      </c>
      <c r="AP23850" s="4" t="s">
        <v>376</v>
      </c>
      <c r="AR23850" s="4" t="s">
        <v>377</v>
      </c>
    </row>
    <row r="23851" spans="1:44" ht="135">
      <c r="A23851" s="4" t="s">
        <v>24364</v>
      </c>
      <c r="B23851" s="4">
        <v>87227</v>
      </c>
      <c r="D23851" s="5" t="s">
        <v>31095</v>
      </c>
      <c r="E23851" s="6" t="str">
        <f>HYPERLINK("https://inpn.mnhn.fr/espece/cd_nom/87227","Calamagrostis epigejos (L.) Roth, 1788")</f>
        <v>Calamagrostis epigejos (L.) Roth, 1788</v>
      </c>
      <c r="F23851" s="5" t="s">
        <v>28382</v>
      </c>
      <c r="Q23851" s="7" t="str">
        <f>HYPERLINK("#Liste_rouge!A"&amp;_xlfn.XMATCH("LC",Liste_rouge!A:A,2,1),"LC")</f>
        <v>LC</v>
      </c>
      <c r="T23851" s="7" t="str">
        <f>HYPERLINK("#Liste_rouge!A"&amp;_xlfn.XMATCH("LC",Liste_rouge!A:A,2,1),"LC")</f>
        <v>LC</v>
      </c>
      <c r="V23851" s="7" t="str">
        <f>HYPERLINK("#Liste_rouge!A"&amp;_xlfn.XMATCH("LC",Liste_rouge!A:A,2,1),"LC")</f>
        <v>LC</v>
      </c>
      <c r="AH23851" s="4" t="str">
        <f>HYPERLINK("#Statut_biogéographique!A"&amp;_xlfn.XMATCH("P",Statut_biogéographique!A:A,2,1),"P")</f>
        <v>P</v>
      </c>
      <c r="AM23851" s="4" t="s">
        <v>375</v>
      </c>
      <c r="AN23851" s="4" t="s">
        <v>375</v>
      </c>
      <c r="AO23851" s="4" t="s">
        <v>375</v>
      </c>
      <c r="AP23851" s="4" t="s">
        <v>376</v>
      </c>
      <c r="AR23851" s="4" t="s">
        <v>377</v>
      </c>
    </row>
    <row r="23852" spans="1:44" ht="75">
      <c r="A23852" s="4" t="s">
        <v>24364</v>
      </c>
      <c r="B23852" s="4">
        <v>87296</v>
      </c>
      <c r="D23852" s="5" t="s">
        <v>31096</v>
      </c>
      <c r="E23852" s="6" t="str">
        <f>HYPERLINK("https://inpn.mnhn.fr/espece/cd_nom/87296","Calamagrostis varia (Schrad.) Host, 1809")</f>
        <v>Calamagrostis varia (Schrad.) Host, 1809</v>
      </c>
      <c r="F23852" s="5" t="s">
        <v>28383</v>
      </c>
      <c r="O23852" s="7" t="str">
        <f>HYPERLINK("#Liste_rouge!A"&amp;_xlfn.XMATCH("LC",Liste_rouge!A:A,2,1),"LC")</f>
        <v>LC</v>
      </c>
      <c r="Q23852" s="7" t="str">
        <f>HYPERLINK("#Liste_rouge!A"&amp;_xlfn.XMATCH("LC",Liste_rouge!A:A,2,1),"LC")</f>
        <v>LC</v>
      </c>
      <c r="V23852" s="7" t="str">
        <f>HYPERLINK("#Liste_rouge!A"&amp;_xlfn.XMATCH("LC",Liste_rouge!A:A,2,1),"LC")</f>
        <v>LC</v>
      </c>
      <c r="AH23852" s="4" t="str">
        <f>HYPERLINK("#Statut_biogéographique!A"&amp;_xlfn.XMATCH("P",Statut_biogéographique!A:A,2,1),"P")</f>
        <v>P</v>
      </c>
      <c r="AM23852" s="4" t="s">
        <v>375</v>
      </c>
      <c r="AN23852" s="4" t="s">
        <v>375</v>
      </c>
      <c r="AO23852" s="4" t="s">
        <v>375</v>
      </c>
      <c r="AP23852" s="4" t="s">
        <v>376</v>
      </c>
      <c r="AR23852" s="4" t="s">
        <v>377</v>
      </c>
    </row>
    <row r="23853" spans="1:44" ht="45">
      <c r="A23853" s="4" t="s">
        <v>24364</v>
      </c>
      <c r="B23853" s="4">
        <v>87417</v>
      </c>
      <c r="D23853" s="5" t="s">
        <v>31097</v>
      </c>
      <c r="E23853" s="6" t="str">
        <f>HYPERLINK("https://inpn.mnhn.fr/espece/cd_nom/87417","Caldesia parnassifolia (L.) Parl., 1860")</f>
        <v>Caldesia parnassifolia (L.) Parl., 1860</v>
      </c>
      <c r="F23853" s="5" t="s">
        <v>31098</v>
      </c>
      <c r="I23853" s="4" t="str">
        <f>HYPERLINK("#Réglementation!A"&amp;_xlfn.XMATCH("IBE1",Réglementation!A:A,2,1),"IBE1")</f>
        <v>IBE1</v>
      </c>
      <c r="K23853" s="4" t="str">
        <f>HYPERLINK("#Réglementation!A"&amp;_xlfn.XMATCH("CDH2",Réglementation!A:A,2,1),"CDH2 - CDH4")</f>
        <v>CDH2 - CDH4</v>
      </c>
      <c r="L23853" s="4" t="str">
        <f>HYPERLINK("#Réglementation!A"&amp;_xlfn.XMATCH("NV1",Réglementation!A:A,2,1),"NV1")</f>
        <v>NV1</v>
      </c>
      <c r="O23853" s="7" t="str">
        <f>HYPERLINK("#Liste_rouge!A"&amp;_xlfn.XMATCH("LC",Liste_rouge!A:A,2,1),"LC")</f>
        <v>LC</v>
      </c>
      <c r="P23853" s="7" t="str">
        <f>HYPERLINK("#Liste_rouge!A"&amp;_xlfn.XMATCH("NT",Liste_rouge!A:A,2,1),"NT")</f>
        <v>NT</v>
      </c>
      <c r="Q23853" s="7" t="str">
        <f>HYPERLINK("#Liste_rouge!A"&amp;_xlfn.XMATCH("NT",Liste_rouge!A:A,2,1),"NT")</f>
        <v>NT</v>
      </c>
      <c r="V23853" s="7" t="str">
        <f>HYPERLINK("#Liste_rouge!A"&amp;_xlfn.XMATCH("VU",Liste_rouge!A:A,2,1),"VU")</f>
        <v>VU</v>
      </c>
      <c r="W23853" s="4" t="str">
        <f>HYPERLINK("#Critères_liste_rouge!A$1","D2")</f>
        <v>D2</v>
      </c>
      <c r="X23853" s="5" t="s">
        <v>374</v>
      </c>
      <c r="AB23853" s="4" t="s">
        <v>93</v>
      </c>
      <c r="AE23853" s="4" t="str">
        <f>HYPERLINK("#SCAP!A"&amp;_xlfn.XMATCH("2+",SCAP!A:A,2,1),"2+")</f>
        <v>2+</v>
      </c>
      <c r="AG23853" s="4" t="str">
        <f>HYPERLINK("#SCAP!A"&amp;_xlfn.XMATCH("2+",SCAP!A:A,2,1),"2+")</f>
        <v>2+</v>
      </c>
      <c r="AH23853" s="4" t="str">
        <f>HYPERLINK("#Statut_biogéographique!A"&amp;_xlfn.XMATCH("P",Statut_biogéographique!A:A,2,1),"P")</f>
        <v>P</v>
      </c>
      <c r="AM23853" s="4" t="s">
        <v>375</v>
      </c>
      <c r="AN23853" s="4" t="s">
        <v>375</v>
      </c>
      <c r="AO23853" s="4" t="s">
        <v>375</v>
      </c>
      <c r="AP23853" s="4" t="s">
        <v>376</v>
      </c>
      <c r="AR23853" s="4" t="s">
        <v>377</v>
      </c>
    </row>
    <row r="23854" spans="1:44" ht="75">
      <c r="A23854" s="4" t="s">
        <v>24364</v>
      </c>
      <c r="B23854" s="4">
        <v>87420</v>
      </c>
      <c r="D23854" s="5" t="s">
        <v>31099</v>
      </c>
      <c r="E23854" s="6" t="str">
        <f>HYPERLINK("https://inpn.mnhn.fr/espece/cd_nom/87420","Calendula arvensis L., 1763")</f>
        <v>Calendula arvensis L., 1763</v>
      </c>
      <c r="F23854" s="5" t="s">
        <v>31100</v>
      </c>
      <c r="Q23854" s="7" t="str">
        <f>HYPERLINK("#Liste_rouge!A"&amp;_xlfn.XMATCH("LC",Liste_rouge!A:A,2,1),"LC")</f>
        <v>LC</v>
      </c>
      <c r="T23854" s="7" t="str">
        <f>HYPERLINK("#Liste_rouge!A"&amp;_xlfn.XMATCH("NT",Liste_rouge!A:A,2,1),"NT")</f>
        <v>NT</v>
      </c>
      <c r="AB23854" s="4" t="s">
        <v>24777</v>
      </c>
      <c r="AH23854" s="4" t="str">
        <f>HYPERLINK("#Statut_biogéographique!A"&amp;_xlfn.XMATCH("P",Statut_biogéographique!A:A,2,1),"P")</f>
        <v>P</v>
      </c>
      <c r="AM23854" s="4" t="s">
        <v>375</v>
      </c>
      <c r="AN23854" s="4" t="s">
        <v>375</v>
      </c>
      <c r="AO23854" s="4" t="s">
        <v>375</v>
      </c>
      <c r="AP23854" s="4" t="s">
        <v>376</v>
      </c>
      <c r="AR23854" s="4" t="s">
        <v>377</v>
      </c>
    </row>
    <row r="23855" spans="1:44">
      <c r="A23855" s="4" t="s">
        <v>24364</v>
      </c>
      <c r="B23855" s="4">
        <v>87429</v>
      </c>
      <c r="D23855" s="5" t="s">
        <v>31101</v>
      </c>
      <c r="E23855" s="6" t="str">
        <f>HYPERLINK("https://inpn.mnhn.fr/espece/cd_nom/87429","Calendula officinalis L., 1753")</f>
        <v>Calendula officinalis L., 1753</v>
      </c>
      <c r="F23855" s="5" t="s">
        <v>31102</v>
      </c>
      <c r="Q23855" s="7" t="str">
        <f>HYPERLINK("#Liste_rouge!A"&amp;_xlfn.XMATCH("NA",Liste_rouge!A:A,2,1),"NA")</f>
        <v>NA</v>
      </c>
      <c r="T23855" s="7" t="str">
        <f>HYPERLINK("#Liste_rouge!A"&amp;_xlfn.XMATCH("NA",Liste_rouge!A:A,2,1),"NA")</f>
        <v>NA</v>
      </c>
      <c r="AH23855" s="4" t="str">
        <f>HYPERLINK("#Statut_biogéographique!A"&amp;_xlfn.XMATCH("M",Statut_biogéographique!A:A,2,1),"M")</f>
        <v>M</v>
      </c>
      <c r="AP23855" s="4" t="s">
        <v>376</v>
      </c>
      <c r="AR23855" s="4" t="s">
        <v>377</v>
      </c>
    </row>
    <row r="23856" spans="1:44">
      <c r="A23856" s="4" t="s">
        <v>24364</v>
      </c>
      <c r="B23856" s="4">
        <v>87434</v>
      </c>
      <c r="D23856" s="5" t="s">
        <v>31103</v>
      </c>
      <c r="E23856" s="6" t="str">
        <f>HYPERLINK("https://inpn.mnhn.fr/espece/cd_nom/87434","Calendula stellata Cav., 1791")</f>
        <v>Calendula stellata Cav., 1791</v>
      </c>
      <c r="F23856" s="5" t="s">
        <v>31104</v>
      </c>
      <c r="T23856" s="7" t="str">
        <f>HYPERLINK("#Liste_rouge!A"&amp;_xlfn.XMATCH("NA",Liste_rouge!A:A,2,1),"NA")</f>
        <v>NA</v>
      </c>
      <c r="AH23856" s="4" t="str">
        <f>HYPERLINK("#Statut_biogéographique!A"&amp;_xlfn.XMATCH("M",Statut_biogéographique!A:A,2,1),"M")</f>
        <v>M</v>
      </c>
      <c r="AP23856" s="4" t="s">
        <v>376</v>
      </c>
      <c r="AR23856" s="4" t="s">
        <v>377</v>
      </c>
    </row>
    <row r="23857" spans="1:44" ht="60">
      <c r="A23857" s="4" t="s">
        <v>24364</v>
      </c>
      <c r="B23857" s="4">
        <v>87442</v>
      </c>
      <c r="D23857" s="5" t="s">
        <v>31105</v>
      </c>
      <c r="E23857" s="6" t="str">
        <f>HYPERLINK("https://inpn.mnhn.fr/espece/cd_nom/87442","Calepina irregularis (Asso) Thell., 1905")</f>
        <v>Calepina irregularis (Asso) Thell., 1905</v>
      </c>
      <c r="F23857" s="5" t="s">
        <v>31106</v>
      </c>
      <c r="Q23857" s="7" t="str">
        <f>HYPERLINK("#Liste_rouge!A"&amp;_xlfn.XMATCH("LC",Liste_rouge!A:A,2,1),"LC")</f>
        <v>LC</v>
      </c>
      <c r="T23857" s="7" t="str">
        <f>HYPERLINK("#Liste_rouge!A"&amp;_xlfn.XMATCH("VU",Liste_rouge!A:A,2,1),"VU")</f>
        <v>VU</v>
      </c>
      <c r="U23857" s="4" t="str">
        <f>HYPERLINK("#Critères_liste_rouge!A$1","D2")</f>
        <v>D2</v>
      </c>
      <c r="AB23857" s="4" t="s">
        <v>24382</v>
      </c>
      <c r="AH23857" s="4" t="str">
        <f>HYPERLINK("#Statut_biogéographique!A"&amp;_xlfn.XMATCH("P",Statut_biogéographique!A:A,2,1),"P")</f>
        <v>P</v>
      </c>
      <c r="AI23857" s="8" t="s">
        <v>31107</v>
      </c>
      <c r="AJ23857" s="4" t="s">
        <v>12248</v>
      </c>
      <c r="AM23857" s="4" t="s">
        <v>375</v>
      </c>
      <c r="AN23857" s="4" t="s">
        <v>375</v>
      </c>
      <c r="AO23857" s="4" t="s">
        <v>375</v>
      </c>
      <c r="AP23857" s="4" t="s">
        <v>376</v>
      </c>
      <c r="AR23857" s="4" t="s">
        <v>377</v>
      </c>
    </row>
    <row r="23858" spans="1:44" ht="30">
      <c r="A23858" s="4" t="s">
        <v>24364</v>
      </c>
      <c r="B23858" s="4">
        <v>87450</v>
      </c>
      <c r="D23858" s="5" t="s">
        <v>31108</v>
      </c>
      <c r="E23858" s="6" t="str">
        <f>HYPERLINK("https://inpn.mnhn.fr/espece/cd_nom/87450","Calla palustris L., 1753")</f>
        <v>Calla palustris L., 1753</v>
      </c>
      <c r="F23858" s="5" t="s">
        <v>31109</v>
      </c>
      <c r="L23858" s="4" t="str">
        <f>HYPERLINK("#Réglementation!A"&amp;_xlfn.XMATCH("NV1",Réglementation!A:A,2,1),"NV1")</f>
        <v>NV1</v>
      </c>
      <c r="O23858" s="7" t="str">
        <f>HYPERLINK("#Liste_rouge!A"&amp;_xlfn.XMATCH("LC",Liste_rouge!A:A,2,1),"LC")</f>
        <v>LC</v>
      </c>
      <c r="P23858" s="7" t="str">
        <f>HYPERLINK("#Liste_rouge!A"&amp;_xlfn.XMATCH("LC",Liste_rouge!A:A,2,1),"LC")</f>
        <v>LC</v>
      </c>
      <c r="Q23858" s="7" t="str">
        <f>HYPERLINK("#Liste_rouge!A"&amp;_xlfn.XMATCH("NT",Liste_rouge!A:A,2,1),"NT")</f>
        <v>NT</v>
      </c>
      <c r="AH23858" s="4" t="str">
        <f>HYPERLINK("#Statut_biogéographique!A"&amp;_xlfn.XMATCH("P",Statut_biogéographique!A:A,2,1),"P")</f>
        <v>P</v>
      </c>
      <c r="AM23858" s="4" t="s">
        <v>375</v>
      </c>
      <c r="AN23858" s="4" t="s">
        <v>375</v>
      </c>
      <c r="AO23858" s="4" t="s">
        <v>375</v>
      </c>
      <c r="AP23858" s="4" t="s">
        <v>376</v>
      </c>
      <c r="AR23858" s="4" t="s">
        <v>377</v>
      </c>
    </row>
    <row r="23859" spans="1:44" ht="30">
      <c r="A23859" s="4" t="s">
        <v>24364</v>
      </c>
      <c r="B23859" s="4">
        <v>87466</v>
      </c>
      <c r="D23859" s="5" t="s">
        <v>31110</v>
      </c>
      <c r="E23859" s="6" t="str">
        <f>HYPERLINK("https://inpn.mnhn.fr/espece/cd_nom/87466","Callitriche brutia Petagna, 1787")</f>
        <v>Callitriche brutia Petagna, 1787</v>
      </c>
      <c r="F23859" s="5" t="s">
        <v>31111</v>
      </c>
      <c r="O23859" s="7" t="str">
        <f>HYPERLINK("#Liste_rouge!A"&amp;_xlfn.XMATCH("LC",Liste_rouge!A:A,2,1),"LC")</f>
        <v>LC</v>
      </c>
      <c r="P23859" s="7" t="str">
        <f>HYPERLINK("#Liste_rouge!A"&amp;_xlfn.XMATCH("LC",Liste_rouge!A:A,2,1),"LC")</f>
        <v>LC</v>
      </c>
      <c r="Q23859" s="7" t="str">
        <f>HYPERLINK("#Liste_rouge!A"&amp;_xlfn.XMATCH("LC",Liste_rouge!A:A,2,1),"LC")</f>
        <v>LC</v>
      </c>
      <c r="T23859" s="7" t="str">
        <f>HYPERLINK("#Liste_rouge!A"&amp;_xlfn.XMATCH("LC",Liste_rouge!A:A,2,1),"LC")</f>
        <v>LC</v>
      </c>
      <c r="AB23859" s="4" t="s">
        <v>26735</v>
      </c>
      <c r="AH23859" s="4" t="str">
        <f>HYPERLINK("#Statut_biogéographique!A"&amp;_xlfn.XMATCH("P",Statut_biogéographique!A:A,2,1),"P")</f>
        <v>P</v>
      </c>
      <c r="AM23859" s="4" t="s">
        <v>375</v>
      </c>
      <c r="AN23859" s="4" t="s">
        <v>375</v>
      </c>
      <c r="AO23859" s="4" t="s">
        <v>375</v>
      </c>
      <c r="AP23859" s="4" t="s">
        <v>376</v>
      </c>
      <c r="AR23859" s="4" t="s">
        <v>377</v>
      </c>
    </row>
    <row r="23860" spans="1:44" ht="30">
      <c r="A23860" s="4" t="s">
        <v>24364</v>
      </c>
      <c r="B23860" s="4">
        <v>87468</v>
      </c>
      <c r="D23860" s="5" t="s">
        <v>31112</v>
      </c>
      <c r="E23860" s="6" t="str">
        <f>HYPERLINK("https://inpn.mnhn.fr/espece/cd_nom/87468","Callitriche cophocarpa Sendtn., 1854")</f>
        <v>Callitriche cophocarpa Sendtn., 1854</v>
      </c>
      <c r="F23860" s="5" t="s">
        <v>31113</v>
      </c>
      <c r="O23860" s="7" t="str">
        <f>HYPERLINK("#Liste_rouge!A"&amp;_xlfn.XMATCH("LC",Liste_rouge!A:A,2,1),"LC")</f>
        <v>LC</v>
      </c>
      <c r="P23860" s="7" t="str">
        <f>HYPERLINK("#Liste_rouge!A"&amp;_xlfn.XMATCH("LC",Liste_rouge!A:A,2,1),"LC")</f>
        <v>LC</v>
      </c>
      <c r="Q23860" s="7" t="str">
        <f>HYPERLINK("#Liste_rouge!A"&amp;_xlfn.XMATCH("DD",Liste_rouge!A:A,2,1),"DD")</f>
        <v>DD</v>
      </c>
      <c r="V23860" s="7" t="str">
        <f>HYPERLINK("#Liste_rouge!A"&amp;_xlfn.XMATCH("CR",Liste_rouge!A:A,2,1),"CR")</f>
        <v>CR</v>
      </c>
      <c r="W23860" s="4" t="str">
        <f>HYPERLINK("#Critères_liste_rouge!A$1","D")</f>
        <v>D</v>
      </c>
      <c r="X23860" s="5" t="s">
        <v>374</v>
      </c>
      <c r="AB23860" s="4" t="s">
        <v>93</v>
      </c>
      <c r="AH23860" s="4" t="str">
        <f>HYPERLINK("#Statut_biogéographique!A"&amp;_xlfn.XMATCH("P",Statut_biogéographique!A:A,2,1),"P")</f>
        <v>P</v>
      </c>
      <c r="AM23860" s="4" t="s">
        <v>375</v>
      </c>
      <c r="AN23860" s="4" t="s">
        <v>375</v>
      </c>
      <c r="AO23860" s="4" t="s">
        <v>375</v>
      </c>
      <c r="AP23860" s="4" t="s">
        <v>376</v>
      </c>
      <c r="AR23860" s="4" t="s">
        <v>377</v>
      </c>
    </row>
    <row r="23861" spans="1:44" ht="30">
      <c r="A23861" s="4" t="s">
        <v>24364</v>
      </c>
      <c r="B23861" s="4">
        <v>87471</v>
      </c>
      <c r="D23861" s="5" t="s">
        <v>31114</v>
      </c>
      <c r="E23861" s="6" t="str">
        <f>HYPERLINK("https://inpn.mnhn.fr/espece/cd_nom/87471","Callitriche hamulata Kütz. ex W.D.J.Koch, 1837")</f>
        <v>Callitriche hamulata Kütz. ex W.D.J.Koch, 1837</v>
      </c>
      <c r="F23861" s="5" t="s">
        <v>31115</v>
      </c>
      <c r="Q23861" s="7" t="str">
        <f>HYPERLINK("#Liste_rouge!A"&amp;_xlfn.XMATCH("LC",Liste_rouge!A:A,2,1),"LC")</f>
        <v>LC</v>
      </c>
      <c r="T23861" s="7" t="str">
        <f>HYPERLINK("#Liste_rouge!A"&amp;_xlfn.XMATCH("LC",Liste_rouge!A:A,2,1),"LC")</f>
        <v>LC</v>
      </c>
      <c r="V23861" s="7" t="str">
        <f>HYPERLINK("#Liste_rouge!A"&amp;_xlfn.XMATCH("LC",Liste_rouge!A:A,2,1),"LC")</f>
        <v>LC</v>
      </c>
      <c r="AB23861" s="4" t="s">
        <v>31116</v>
      </c>
      <c r="AH23861" s="4" t="str">
        <f>HYPERLINK("#Statut_biogéographique!A"&amp;_xlfn.XMATCH("P",Statut_biogéographique!A:A,2,1),"P")</f>
        <v>P</v>
      </c>
      <c r="AM23861" s="4" t="s">
        <v>375</v>
      </c>
      <c r="AN23861" s="4" t="s">
        <v>375</v>
      </c>
      <c r="AO23861" s="4" t="s">
        <v>375</v>
      </c>
      <c r="AP23861" s="4" t="s">
        <v>376</v>
      </c>
      <c r="AR23861" s="4" t="s">
        <v>377</v>
      </c>
    </row>
    <row r="23862" spans="1:44">
      <c r="A23862" s="4" t="s">
        <v>24364</v>
      </c>
      <c r="B23862" s="4">
        <v>87476</v>
      </c>
      <c r="D23862" s="5" t="s">
        <v>31117</v>
      </c>
      <c r="E23862" s="6" t="str">
        <f>HYPERLINK("https://inpn.mnhn.fr/espece/cd_nom/87476","Callitriche obtusangula Le Gall, 1852")</f>
        <v>Callitriche obtusangula Le Gall, 1852</v>
      </c>
      <c r="F23862" s="5" t="s">
        <v>31118</v>
      </c>
      <c r="P23862" s="7" t="str">
        <f>HYPERLINK("#Liste_rouge!A"&amp;_xlfn.XMATCH("LC",Liste_rouge!A:A,2,1),"LC")</f>
        <v>LC</v>
      </c>
      <c r="Q23862" s="7" t="str">
        <f>HYPERLINK("#Liste_rouge!A"&amp;_xlfn.XMATCH("LC",Liste_rouge!A:A,2,1),"LC")</f>
        <v>LC</v>
      </c>
      <c r="T23862" s="7" t="str">
        <f>HYPERLINK("#Liste_rouge!A"&amp;_xlfn.XMATCH("LC",Liste_rouge!A:A,2,1),"LC")</f>
        <v>LC</v>
      </c>
      <c r="V23862" s="7" t="str">
        <f>HYPERLINK("#Liste_rouge!A"&amp;_xlfn.XMATCH("LC",Liste_rouge!A:A,2,1),"LC")</f>
        <v>LC</v>
      </c>
      <c r="AB23862" s="4" t="s">
        <v>25180</v>
      </c>
      <c r="AH23862" s="4" t="str">
        <f>HYPERLINK("#Statut_biogéographique!A"&amp;_xlfn.XMATCH("P",Statut_biogéographique!A:A,2,1),"P")</f>
        <v>P</v>
      </c>
      <c r="AM23862" s="4" t="s">
        <v>375</v>
      </c>
      <c r="AN23862" s="4" t="s">
        <v>375</v>
      </c>
      <c r="AO23862" s="4" t="s">
        <v>375</v>
      </c>
      <c r="AP23862" s="4" t="s">
        <v>376</v>
      </c>
      <c r="AR23862" s="4" t="s">
        <v>377</v>
      </c>
    </row>
    <row r="23863" spans="1:44" ht="60">
      <c r="A23863" s="4" t="s">
        <v>24364</v>
      </c>
      <c r="B23863" s="4">
        <v>87478</v>
      </c>
      <c r="D23863" s="5" t="s">
        <v>31119</v>
      </c>
      <c r="E23863" s="6" t="str">
        <f>HYPERLINK("https://inpn.mnhn.fr/espece/cd_nom/87478","Callitriche palustris L., 1753")</f>
        <v>Callitriche palustris L., 1753</v>
      </c>
      <c r="F23863" s="5" t="s">
        <v>31120</v>
      </c>
      <c r="O23863" s="7" t="str">
        <f>HYPERLINK("#Liste_rouge!A"&amp;_xlfn.XMATCH("LC",Liste_rouge!A:A,2,1),"LC")</f>
        <v>LC</v>
      </c>
      <c r="P23863" s="7" t="str">
        <f>HYPERLINK("#Liste_rouge!A"&amp;_xlfn.XMATCH("LC",Liste_rouge!A:A,2,1),"LC")</f>
        <v>LC</v>
      </c>
      <c r="Q23863" s="7" t="str">
        <f>HYPERLINK("#Liste_rouge!A"&amp;_xlfn.XMATCH("LC",Liste_rouge!A:A,2,1),"LC")</f>
        <v>LC</v>
      </c>
      <c r="T23863" s="7" t="str">
        <f>HYPERLINK("#Liste_rouge!A"&amp;_xlfn.XMATCH("VU",Liste_rouge!A:A,2,1),"VU")</f>
        <v>VU</v>
      </c>
      <c r="U23863" s="4" t="str">
        <f>HYPERLINK("#Critères_liste_rouge!A$1","D2")</f>
        <v>D2</v>
      </c>
      <c r="V23863" s="7" t="str">
        <f>HYPERLINK("#Liste_rouge!A"&amp;_xlfn.XMATCH("NT",Liste_rouge!A:A,2,1),"NT")</f>
        <v>NT</v>
      </c>
      <c r="W23863" s="4" t="str">
        <f>HYPERLINK("#Critères_liste_rouge!A$1","pr. B2b(iii)")</f>
        <v>pr. B2b(iii)</v>
      </c>
      <c r="AB23863" s="4" t="s">
        <v>31121</v>
      </c>
      <c r="AH23863" s="4" t="str">
        <f>HYPERLINK("#Statut_biogéographique!A"&amp;_xlfn.XMATCH("P",Statut_biogéographique!A:A,2,1),"P")</f>
        <v>P</v>
      </c>
      <c r="AM23863" s="4" t="s">
        <v>375</v>
      </c>
      <c r="AN23863" s="4" t="s">
        <v>375</v>
      </c>
      <c r="AO23863" s="4" t="s">
        <v>375</v>
      </c>
      <c r="AP23863" s="4" t="s">
        <v>376</v>
      </c>
      <c r="AR23863" s="4" t="s">
        <v>377</v>
      </c>
    </row>
    <row r="23864" spans="1:44" ht="45">
      <c r="A23864" s="4" t="s">
        <v>24364</v>
      </c>
      <c r="B23864" s="4">
        <v>87480</v>
      </c>
      <c r="D23864" s="5" t="s">
        <v>31122</v>
      </c>
      <c r="E23864" s="6" t="str">
        <f>HYPERLINK("https://inpn.mnhn.fr/espece/cd_nom/87480","Callitriche platycarpa Kütz., 1842")</f>
        <v>Callitriche platycarpa Kütz., 1842</v>
      </c>
      <c r="F23864" s="5" t="s">
        <v>31123</v>
      </c>
      <c r="O23864" s="7" t="str">
        <f>HYPERLINK("#Liste_rouge!A"&amp;_xlfn.XMATCH("LC",Liste_rouge!A:A,2,1),"LC")</f>
        <v>LC</v>
      </c>
      <c r="P23864" s="7" t="str">
        <f>HYPERLINK("#Liste_rouge!A"&amp;_xlfn.XMATCH("LC",Liste_rouge!A:A,2,1),"LC")</f>
        <v>LC</v>
      </c>
      <c r="Q23864" s="7" t="str">
        <f>HYPERLINK("#Liste_rouge!A"&amp;_xlfn.XMATCH("LC",Liste_rouge!A:A,2,1),"LC")</f>
        <v>LC</v>
      </c>
      <c r="T23864" s="7" t="str">
        <f>HYPERLINK("#Liste_rouge!A"&amp;_xlfn.XMATCH("LC",Liste_rouge!A:A,2,1),"LC")</f>
        <v>LC</v>
      </c>
      <c r="V23864" s="7" t="str">
        <f>HYPERLINK("#Liste_rouge!A"&amp;_xlfn.XMATCH("LC",Liste_rouge!A:A,2,1),"LC")</f>
        <v>LC</v>
      </c>
      <c r="AB23864" s="4" t="s">
        <v>24536</v>
      </c>
      <c r="AH23864" s="4" t="str">
        <f>HYPERLINK("#Statut_biogéographique!A"&amp;_xlfn.XMATCH("P",Statut_biogéographique!A:A,2,1),"P")</f>
        <v>P</v>
      </c>
      <c r="AM23864" s="4" t="s">
        <v>375</v>
      </c>
      <c r="AN23864" s="4" t="s">
        <v>375</v>
      </c>
      <c r="AO23864" s="4" t="s">
        <v>375</v>
      </c>
      <c r="AP23864" s="4" t="s">
        <v>376</v>
      </c>
      <c r="AR23864" s="4" t="s">
        <v>377</v>
      </c>
    </row>
    <row r="23865" spans="1:44" ht="30">
      <c r="A23865" s="4" t="s">
        <v>24364</v>
      </c>
      <c r="B23865" s="4">
        <v>87484</v>
      </c>
      <c r="D23865" s="5" t="s">
        <v>31124</v>
      </c>
      <c r="E23865" s="6" t="str">
        <f>HYPERLINK("https://inpn.mnhn.fr/espece/cd_nom/87484","Callitriche stagnalis Scop., 1772")</f>
        <v>Callitriche stagnalis Scop., 1772</v>
      </c>
      <c r="F23865" s="5" t="s">
        <v>31125</v>
      </c>
      <c r="O23865" s="7" t="str">
        <f>HYPERLINK("#Liste_rouge!A"&amp;_xlfn.XMATCH("LC",Liste_rouge!A:A,2,1),"LC")</f>
        <v>LC</v>
      </c>
      <c r="P23865" s="7" t="str">
        <f>HYPERLINK("#Liste_rouge!A"&amp;_xlfn.XMATCH("LC",Liste_rouge!A:A,2,1),"LC")</f>
        <v>LC</v>
      </c>
      <c r="Q23865" s="7" t="str">
        <f>HYPERLINK("#Liste_rouge!A"&amp;_xlfn.XMATCH("LC",Liste_rouge!A:A,2,1),"LC")</f>
        <v>LC</v>
      </c>
      <c r="T23865" s="7" t="str">
        <f>HYPERLINK("#Liste_rouge!A"&amp;_xlfn.XMATCH("LC",Liste_rouge!A:A,2,1),"LC")</f>
        <v>LC</v>
      </c>
      <c r="V23865" s="7" t="str">
        <f>HYPERLINK("#Liste_rouge!A"&amp;_xlfn.XMATCH("LC",Liste_rouge!A:A,2,1),"LC")</f>
        <v>LC</v>
      </c>
      <c r="AH23865" s="4" t="str">
        <f>HYPERLINK("#Statut_biogéographique!A"&amp;_xlfn.XMATCH("P",Statut_biogéographique!A:A,2,1),"P")</f>
        <v>P</v>
      </c>
      <c r="AM23865" s="4" t="s">
        <v>375</v>
      </c>
      <c r="AN23865" s="4" t="s">
        <v>375</v>
      </c>
      <c r="AO23865" s="4" t="s">
        <v>375</v>
      </c>
      <c r="AP23865" s="4" t="s">
        <v>376</v>
      </c>
      <c r="AR23865" s="4" t="s">
        <v>377</v>
      </c>
    </row>
    <row r="23866" spans="1:44" ht="30">
      <c r="A23866" s="4" t="s">
        <v>24364</v>
      </c>
      <c r="B23866" s="4">
        <v>87486</v>
      </c>
      <c r="D23866" s="5" t="s">
        <v>31126</v>
      </c>
      <c r="E23866" s="6" t="str">
        <f>HYPERLINK("https://inpn.mnhn.fr/espece/cd_nom/87486","Callitriche truncata Guss., 1826")</f>
        <v>Callitriche truncata Guss., 1826</v>
      </c>
      <c r="F23866" s="5" t="s">
        <v>31127</v>
      </c>
      <c r="O23866" s="7" t="str">
        <f>HYPERLINK("#Liste_rouge!A"&amp;_xlfn.XMATCH("LC",Liste_rouge!A:A,2,1),"LC")</f>
        <v>LC</v>
      </c>
      <c r="P23866" s="7" t="str">
        <f>HYPERLINK("#Liste_rouge!A"&amp;_xlfn.XMATCH("LC",Liste_rouge!A:A,2,1),"LC")</f>
        <v>LC</v>
      </c>
      <c r="Q23866" s="7" t="str">
        <f>HYPERLINK("#Liste_rouge!A"&amp;_xlfn.XMATCH("LC",Liste_rouge!A:A,2,1),"LC")</f>
        <v>LC</v>
      </c>
      <c r="T23866" s="7" t="str">
        <f>HYPERLINK("#Liste_rouge!A"&amp;_xlfn.XMATCH("RE",Liste_rouge!A:A,2,1),"RE")</f>
        <v>RE</v>
      </c>
      <c r="AH23866" s="4" t="str">
        <f>HYPERLINK("#Statut_biogéographique!A"&amp;_xlfn.XMATCH("P",Statut_biogéographique!A:A,2,1),"P")</f>
        <v>P</v>
      </c>
      <c r="AP23866" s="4" t="s">
        <v>376</v>
      </c>
      <c r="AR23866" s="4" t="s">
        <v>377</v>
      </c>
    </row>
    <row r="23867" spans="1:44" ht="75">
      <c r="A23867" s="4" t="s">
        <v>24364</v>
      </c>
      <c r="B23867" s="4">
        <v>87501</v>
      </c>
      <c r="D23867" s="5" t="s">
        <v>31128</v>
      </c>
      <c r="E23867" s="6" t="str">
        <f>HYPERLINK("https://inpn.mnhn.fr/espece/cd_nom/87501","Calluna vulgaris (L.) Hull, 1808")</f>
        <v>Calluna vulgaris (L.) Hull, 1808</v>
      </c>
      <c r="F23867" s="5" t="s">
        <v>31129</v>
      </c>
      <c r="P23867" s="7" t="str">
        <f>HYPERLINK("#Liste_rouge!A"&amp;_xlfn.XMATCH("LC",Liste_rouge!A:A,2,1),"LC")</f>
        <v>LC</v>
      </c>
      <c r="Q23867" s="7" t="str">
        <f>HYPERLINK("#Liste_rouge!A"&amp;_xlfn.XMATCH("LC",Liste_rouge!A:A,2,1),"LC")</f>
        <v>LC</v>
      </c>
      <c r="T23867" s="7" t="str">
        <f>HYPERLINK("#Liste_rouge!A"&amp;_xlfn.XMATCH("LC",Liste_rouge!A:A,2,1),"LC")</f>
        <v>LC</v>
      </c>
      <c r="V23867" s="7" t="str">
        <f>HYPERLINK("#Liste_rouge!A"&amp;_xlfn.XMATCH("LC",Liste_rouge!A:A,2,1),"LC")</f>
        <v>LC</v>
      </c>
      <c r="AH23867" s="4" t="str">
        <f>HYPERLINK("#Statut_biogéographique!A"&amp;_xlfn.XMATCH("P",Statut_biogéographique!A:A,2,1),"P")</f>
        <v>P</v>
      </c>
      <c r="AM23867" s="4" t="s">
        <v>375</v>
      </c>
      <c r="AN23867" s="4" t="s">
        <v>375</v>
      </c>
      <c r="AO23867" s="4" t="s">
        <v>375</v>
      </c>
      <c r="AP23867" s="4" t="s">
        <v>376</v>
      </c>
      <c r="AR23867" s="4" t="s">
        <v>377</v>
      </c>
    </row>
    <row r="23868" spans="1:44" ht="105">
      <c r="A23868" s="4" t="s">
        <v>24364</v>
      </c>
      <c r="B23868" s="4">
        <v>87540</v>
      </c>
      <c r="D23868" s="5" t="s">
        <v>31130</v>
      </c>
      <c r="E23868" s="6" t="str">
        <f>HYPERLINK("https://inpn.mnhn.fr/espece/cd_nom/87540","Caltha palustris L., 1753")</f>
        <v>Caltha palustris L., 1753</v>
      </c>
      <c r="F23868" s="5" t="s">
        <v>31131</v>
      </c>
      <c r="O23868" s="7" t="str">
        <f>HYPERLINK("#Liste_rouge!A"&amp;_xlfn.XMATCH("LC",Liste_rouge!A:A,2,1),"LC")</f>
        <v>LC</v>
      </c>
      <c r="P23868" s="7" t="str">
        <f>HYPERLINK("#Liste_rouge!A"&amp;_xlfn.XMATCH("LC",Liste_rouge!A:A,2,1),"LC")</f>
        <v>LC</v>
      </c>
      <c r="Q23868" s="7" t="str">
        <f>HYPERLINK("#Liste_rouge!A"&amp;_xlfn.XMATCH("LC",Liste_rouge!A:A,2,1),"LC")</f>
        <v>LC</v>
      </c>
      <c r="T23868" s="7" t="str">
        <f>HYPERLINK("#Liste_rouge!A"&amp;_xlfn.XMATCH("LC",Liste_rouge!A:A,2,1),"LC")</f>
        <v>LC</v>
      </c>
      <c r="V23868" s="7" t="str">
        <f>HYPERLINK("#Liste_rouge!A"&amp;_xlfn.XMATCH("LC",Liste_rouge!A:A,2,1),"LC")</f>
        <v>LC</v>
      </c>
      <c r="AH23868" s="4" t="str">
        <f>HYPERLINK("#Statut_biogéographique!A"&amp;_xlfn.XMATCH("P",Statut_biogéographique!A:A,2,1),"P")</f>
        <v>P</v>
      </c>
      <c r="AM23868" s="4" t="s">
        <v>375</v>
      </c>
      <c r="AN23868" s="4" t="s">
        <v>375</v>
      </c>
      <c r="AO23868" s="4" t="s">
        <v>375</v>
      </c>
      <c r="AP23868" s="4" t="s">
        <v>376</v>
      </c>
      <c r="AR23868" s="4" t="s">
        <v>377</v>
      </c>
    </row>
    <row r="23869" spans="1:44" ht="45">
      <c r="A23869" s="4" t="s">
        <v>24364</v>
      </c>
      <c r="B23869" s="4">
        <v>87568</v>
      </c>
      <c r="D23869" s="5" t="s">
        <v>31132</v>
      </c>
      <c r="E23869" s="6" t="str">
        <f>HYPERLINK("https://inpn.mnhn.fr/espece/cd_nom/87568","Camelina alyssum (Mill.) Thell., 1906")</f>
        <v>Camelina alyssum (Mill.) Thell., 1906</v>
      </c>
      <c r="F23869" s="5" t="s">
        <v>31133</v>
      </c>
      <c r="P23869" s="7" t="str">
        <f>HYPERLINK("#Liste_rouge!A"&amp;_xlfn.XMATCH("DD",Liste_rouge!A:A,2,1),"DD")</f>
        <v>DD</v>
      </c>
      <c r="Q23869" s="7" t="str">
        <f>HYPERLINK("#Liste_rouge!A"&amp;_xlfn.XMATCH("RE",Liste_rouge!A:A,2,1),"RE")</f>
        <v>RE</v>
      </c>
      <c r="T23869" s="7" t="str">
        <f>HYPERLINK("#Liste_rouge!A"&amp;_xlfn.XMATCH("NA",Liste_rouge!A:A,2,1),"NA")</f>
        <v>NA</v>
      </c>
      <c r="V23869" s="7" t="str">
        <f>HYPERLINK("#Liste_rouge!A"&amp;_xlfn.XMATCH("RE",Liste_rouge!A:A,2,1),"RE")</f>
        <v>RE</v>
      </c>
      <c r="AH23869" s="4" t="str">
        <f>HYPERLINK("#Statut_biogéographique!A"&amp;_xlfn.XMATCH("W",Statut_biogéographique!A:A,2,1),"W")</f>
        <v>W</v>
      </c>
      <c r="AI23869" s="8" t="s">
        <v>31134</v>
      </c>
      <c r="AJ23869" s="4" t="s">
        <v>12248</v>
      </c>
      <c r="AM23869" s="4" t="s">
        <v>375</v>
      </c>
      <c r="AN23869" s="4" t="s">
        <v>375</v>
      </c>
      <c r="AO23869" s="4" t="s">
        <v>375</v>
      </c>
      <c r="AP23869" s="4" t="s">
        <v>376</v>
      </c>
      <c r="AR23869" s="4" t="s">
        <v>377</v>
      </c>
    </row>
    <row r="23870" spans="1:44" ht="30">
      <c r="A23870" s="4" t="s">
        <v>24364</v>
      </c>
      <c r="B23870" s="4">
        <v>87577</v>
      </c>
      <c r="D23870" s="5" t="s">
        <v>31135</v>
      </c>
      <c r="E23870" s="6" t="str">
        <f>HYPERLINK("https://inpn.mnhn.fr/espece/cd_nom/87577","Camelina microcarpa Andrz. ex DC., 1821")</f>
        <v>Camelina microcarpa Andrz. ex DC., 1821</v>
      </c>
      <c r="F23870" s="5" t="s">
        <v>31136</v>
      </c>
      <c r="P23870" s="7" t="str">
        <f>HYPERLINK("#Liste_rouge!A"&amp;_xlfn.XMATCH("LC",Liste_rouge!A:A,2,1),"LC")</f>
        <v>LC</v>
      </c>
      <c r="Q23870" s="7" t="str">
        <f>HYPERLINK("#Liste_rouge!A"&amp;_xlfn.XMATCH("NT",Liste_rouge!A:A,2,1),"NT")</f>
        <v>NT</v>
      </c>
      <c r="T23870" s="7" t="str">
        <f>HYPERLINK("#Liste_rouge!A"&amp;_xlfn.XMATCH("VU",Liste_rouge!A:A,2,1),"VU (cd_nom 87577) - NE (cd_nom 132461)")</f>
        <v>VU (cd_nom 87577) - NE (cd_nom 132461)</v>
      </c>
      <c r="U23870" s="4" t="str">
        <f>HYPERLINK("#Critères_liste_rouge!A$1","D2 (cd_nom 87577)")</f>
        <v>D2 (cd_nom 87577)</v>
      </c>
      <c r="X23870" s="5" t="s">
        <v>374</v>
      </c>
      <c r="AB23870" s="4" t="s">
        <v>93</v>
      </c>
      <c r="AH23870" s="4" t="str">
        <f>HYPERLINK("#Statut_biogéographique!A"&amp;_xlfn.XMATCH("P",Statut_biogéographique!A:A,2,1),"P")</f>
        <v>P</v>
      </c>
      <c r="AI23870" s="8" t="s">
        <v>31137</v>
      </c>
      <c r="AJ23870" s="4" t="s">
        <v>12248</v>
      </c>
      <c r="AM23870" s="4" t="s">
        <v>375</v>
      </c>
      <c r="AN23870" s="4" t="s">
        <v>375</v>
      </c>
      <c r="AO23870" s="4" t="s">
        <v>375</v>
      </c>
      <c r="AP23870" s="4" t="s">
        <v>376</v>
      </c>
      <c r="AR23870" s="4" t="s">
        <v>377</v>
      </c>
    </row>
    <row r="23871" spans="1:44" ht="45">
      <c r="A23871" s="4" t="s">
        <v>24364</v>
      </c>
      <c r="B23871" s="4">
        <v>87583</v>
      </c>
      <c r="D23871" s="5" t="s">
        <v>31138</v>
      </c>
      <c r="E23871" s="6" t="str">
        <f>HYPERLINK("https://inpn.mnhn.fr/espece/cd_nom/87583","Camelina sativa (L.) Crantz, 1762")</f>
        <v>Camelina sativa (L.) Crantz, 1762</v>
      </c>
      <c r="F23871" s="5" t="s">
        <v>31139</v>
      </c>
      <c r="P23871" s="7" t="str">
        <f>HYPERLINK("#Liste_rouge!A"&amp;_xlfn.XMATCH("DD",Liste_rouge!A:A,2,1),"DD")</f>
        <v>DD</v>
      </c>
      <c r="Q23871" s="7" t="str">
        <f>HYPERLINK("#Liste_rouge!A"&amp;_xlfn.XMATCH("DD",Liste_rouge!A:A,2,1),"DD")</f>
        <v>DD</v>
      </c>
      <c r="T23871" s="7" t="str">
        <f>HYPERLINK("#Liste_rouge!A"&amp;_xlfn.XMATCH("NA",Liste_rouge!A:A,2,1),"NA")</f>
        <v>NA</v>
      </c>
      <c r="V23871" s="7" t="str">
        <f>HYPERLINK("#Liste_rouge!A"&amp;_xlfn.XMATCH("RE",Liste_rouge!A:A,2,1),"RE")</f>
        <v>RE</v>
      </c>
      <c r="AH23871" s="4" t="str">
        <f>HYPERLINK("#Statut_biogéographique!A"&amp;_xlfn.XMATCH("P",Statut_biogéographique!A:A,2,1),"P")</f>
        <v>P</v>
      </c>
      <c r="AI23871" s="8" t="s">
        <v>31140</v>
      </c>
      <c r="AJ23871" s="4" t="s">
        <v>12248</v>
      </c>
      <c r="AM23871" s="4" t="s">
        <v>375</v>
      </c>
      <c r="AN23871" s="4" t="s">
        <v>375</v>
      </c>
      <c r="AO23871" s="4" t="s">
        <v>375</v>
      </c>
      <c r="AP23871" s="4" t="s">
        <v>376</v>
      </c>
      <c r="AR23871" s="4" t="s">
        <v>377</v>
      </c>
    </row>
    <row r="23872" spans="1:44" ht="30">
      <c r="A23872" s="4" t="s">
        <v>24364</v>
      </c>
      <c r="B23872" s="4">
        <v>87620</v>
      </c>
      <c r="D23872" s="5" t="s">
        <v>31141</v>
      </c>
      <c r="E23872" s="6" t="str">
        <f>HYPERLINK("https://inpn.mnhn.fr/espece/cd_nom/87620","Campanula cervicaria L., 1753")</f>
        <v>Campanula cervicaria L., 1753</v>
      </c>
      <c r="F23872" s="5" t="s">
        <v>31142</v>
      </c>
      <c r="L23872" s="4" t="str">
        <f>HYPERLINK("#Réglementation!A"&amp;_xlfn.XMATCH("NV1",Réglementation!A:A,2,1),"NV1")</f>
        <v>NV1</v>
      </c>
      <c r="Q23872" s="7" t="str">
        <f>HYPERLINK("#Liste_rouge!A"&amp;_xlfn.XMATCH("VU",Liste_rouge!A:A,2,1),"VU")</f>
        <v>VU</v>
      </c>
      <c r="T23872" s="7" t="str">
        <f>HYPERLINK("#Liste_rouge!A"&amp;_xlfn.XMATCH("CR",Liste_rouge!A:A,2,1),"CR")</f>
        <v>CR</v>
      </c>
      <c r="U23872" s="4" t="str">
        <f>HYPERLINK("#Critères_liste_rouge!A$1","B1 B2ab(iii)")</f>
        <v>B1 B2ab(iii)</v>
      </c>
      <c r="V23872" s="7" t="str">
        <f>HYPERLINK("#Liste_rouge!A"&amp;_xlfn.XMATCH("VU",Liste_rouge!A:A,2,1),"VU")</f>
        <v>VU</v>
      </c>
      <c r="W23872" s="4" t="str">
        <f>HYPERLINK("#Critères_liste_rouge!A$1","D1+2")</f>
        <v>D1+2</v>
      </c>
      <c r="X23872" s="5" t="s">
        <v>374</v>
      </c>
      <c r="AB23872" s="4" t="s">
        <v>93</v>
      </c>
      <c r="AE23872" s="4" t="str">
        <f>HYPERLINK("#SCAP!A"&amp;_xlfn.XMATCH("A",SCAP!A:A,2,1),"A")</f>
        <v>A</v>
      </c>
      <c r="AF23872" s="4" t="str">
        <f>HYPERLINK("#SCAP!A"&amp;_xlfn.XMATCH("A",SCAP!A:A,2,1),"A")</f>
        <v>A</v>
      </c>
      <c r="AH23872" s="4" t="str">
        <f>HYPERLINK("#Statut_biogéographique!A"&amp;_xlfn.XMATCH("P",Statut_biogéographique!A:A,2,1),"P")</f>
        <v>P</v>
      </c>
      <c r="AM23872" s="4" t="s">
        <v>375</v>
      </c>
      <c r="AN23872" s="4" t="s">
        <v>375</v>
      </c>
      <c r="AO23872" s="4" t="s">
        <v>375</v>
      </c>
      <c r="AP23872" s="4" t="s">
        <v>389</v>
      </c>
      <c r="AR23872" s="4" t="s">
        <v>377</v>
      </c>
    </row>
    <row r="23873" spans="1:44" ht="60">
      <c r="A23873" s="4" t="s">
        <v>24364</v>
      </c>
      <c r="B23873" s="4">
        <v>87622</v>
      </c>
      <c r="D23873" s="5" t="s">
        <v>31143</v>
      </c>
      <c r="E23873" s="6" t="str">
        <f>HYPERLINK("https://inpn.mnhn.fr/espece/cd_nom/87622","Campanula cochleariifolia Lam., 1785")</f>
        <v>Campanula cochleariifolia Lam., 1785</v>
      </c>
      <c r="F23873" s="5" t="s">
        <v>31144</v>
      </c>
      <c r="Q23873" s="7" t="str">
        <f>HYPERLINK("#Liste_rouge!A"&amp;_xlfn.XMATCH("LC",Liste_rouge!A:A,2,1),"LC")</f>
        <v>LC</v>
      </c>
      <c r="V23873" s="7" t="str">
        <f>HYPERLINK("#Liste_rouge!A"&amp;_xlfn.XMATCH("LC",Liste_rouge!A:A,2,1),"LC")</f>
        <v>LC</v>
      </c>
      <c r="AH23873" s="4" t="str">
        <f>HYPERLINK("#Statut_biogéographique!A"&amp;_xlfn.XMATCH("P",Statut_biogéographique!A:A,2,1),"P")</f>
        <v>P</v>
      </c>
      <c r="AM23873" s="4" t="s">
        <v>375</v>
      </c>
      <c r="AN23873" s="4" t="s">
        <v>375</v>
      </c>
      <c r="AO23873" s="4" t="s">
        <v>375</v>
      </c>
      <c r="AP23873" s="4" t="s">
        <v>376</v>
      </c>
      <c r="AR23873" s="4" t="s">
        <v>377</v>
      </c>
    </row>
    <row r="23874" spans="1:44" ht="60">
      <c r="A23874" s="4" t="s">
        <v>24364</v>
      </c>
      <c r="B23874" s="4">
        <v>87652</v>
      </c>
      <c r="D23874" s="5" t="s">
        <v>31145</v>
      </c>
      <c r="E23874" s="6" t="str">
        <f>HYPERLINK("https://inpn.mnhn.fr/espece/cd_nom/87652","Campanula glomerata L., 1753")</f>
        <v>Campanula glomerata L., 1753</v>
      </c>
      <c r="F23874" s="5" t="s">
        <v>31146</v>
      </c>
      <c r="Q23874" s="7" t="str">
        <f>HYPERLINK("#Liste_rouge!A"&amp;_xlfn.XMATCH("LC",Liste_rouge!A:A,2,1),"LC")</f>
        <v>LC</v>
      </c>
      <c r="T23874" s="7" t="str">
        <f>HYPERLINK("#Liste_rouge!A"&amp;_xlfn.XMATCH("LC",Liste_rouge!A:A,2,1),"LC")</f>
        <v>LC</v>
      </c>
      <c r="V23874" s="7" t="str">
        <f>HYPERLINK("#Liste_rouge!A"&amp;_xlfn.XMATCH("LC",Liste_rouge!A:A,2,1),"LC")</f>
        <v>LC</v>
      </c>
      <c r="AH23874" s="4" t="str">
        <f>HYPERLINK("#Statut_biogéographique!A"&amp;_xlfn.XMATCH("P",Statut_biogéographique!A:A,2,1),"P")</f>
        <v>P</v>
      </c>
      <c r="AM23874" s="4" t="s">
        <v>375</v>
      </c>
      <c r="AN23874" s="4" t="s">
        <v>375</v>
      </c>
      <c r="AO23874" s="4" t="s">
        <v>375</v>
      </c>
      <c r="AP23874" s="4" t="s">
        <v>376</v>
      </c>
      <c r="AR23874" s="4" t="s">
        <v>377</v>
      </c>
    </row>
    <row r="23875" spans="1:44">
      <c r="A23875" s="4" t="s">
        <v>24364</v>
      </c>
      <c r="B23875" s="4">
        <v>87666</v>
      </c>
      <c r="D23875" s="5" t="s">
        <v>31147</v>
      </c>
      <c r="E23875" s="6" t="str">
        <f>HYPERLINK("https://inpn.mnhn.fr/espece/cd_nom/87666","Campanula latifolia L., 1753")</f>
        <v>Campanula latifolia L., 1753</v>
      </c>
      <c r="F23875" s="5" t="s">
        <v>31148</v>
      </c>
      <c r="M23875" s="4" t="str">
        <f>HYPERLINK("#Réglementation!A"&amp;_xlfn.XMATCH("RV43",Réglementation!A:A,2,1),"RV43")</f>
        <v>RV43</v>
      </c>
      <c r="Q23875" s="7" t="str">
        <f>HYPERLINK("#Liste_rouge!A"&amp;_xlfn.XMATCH("LC",Liste_rouge!A:A,2,1),"LC")</f>
        <v>LC</v>
      </c>
      <c r="V23875" s="7" t="str">
        <f>HYPERLINK("#Liste_rouge!A"&amp;_xlfn.XMATCH("LC",Liste_rouge!A:A,2,1),"LC")</f>
        <v>LC</v>
      </c>
      <c r="AB23875" s="4" t="s">
        <v>24909</v>
      </c>
      <c r="AH23875" s="4" t="str">
        <f>HYPERLINK("#Statut_biogéographique!A"&amp;_xlfn.XMATCH("P",Statut_biogéographique!A:A,2,1),"P")</f>
        <v>P</v>
      </c>
      <c r="AM23875" s="4" t="s">
        <v>375</v>
      </c>
      <c r="AN23875" s="4" t="s">
        <v>375</v>
      </c>
      <c r="AO23875" s="4" t="s">
        <v>375</v>
      </c>
      <c r="AP23875" s="4" t="s">
        <v>376</v>
      </c>
      <c r="AR23875" s="4" t="s">
        <v>377</v>
      </c>
    </row>
    <row r="23876" spans="1:44" ht="30">
      <c r="A23876" s="4" t="s">
        <v>24364</v>
      </c>
      <c r="B23876" s="4">
        <v>87678</v>
      </c>
      <c r="D23876" s="5" t="s">
        <v>31149</v>
      </c>
      <c r="E23876" s="6" t="str">
        <f>HYPERLINK("https://inpn.mnhn.fr/espece/cd_nom/87678","Campanula medium L., 1753")</f>
        <v>Campanula medium L., 1753</v>
      </c>
      <c r="F23876" s="5" t="s">
        <v>31150</v>
      </c>
      <c r="Q23876" s="7" t="str">
        <f>HYPERLINK("#Liste_rouge!A"&amp;_xlfn.XMATCH("LC",Liste_rouge!A:A,2,1),"LC")</f>
        <v>LC</v>
      </c>
      <c r="T23876" s="7" t="str">
        <f>HYPERLINK("#Liste_rouge!A"&amp;_xlfn.XMATCH("NA",Liste_rouge!A:A,2,1),"NA")</f>
        <v>NA</v>
      </c>
      <c r="AH23876" s="4" t="str">
        <f>HYPERLINK("#Statut_biogéographique!A"&amp;_xlfn.XMATCH("P",Statut_biogéographique!A:A,2,1),"P")</f>
        <v>P</v>
      </c>
      <c r="AP23876" s="4" t="s">
        <v>376</v>
      </c>
      <c r="AR23876" s="4" t="s">
        <v>377</v>
      </c>
    </row>
    <row r="23877" spans="1:44" ht="60">
      <c r="A23877" s="4" t="s">
        <v>24364</v>
      </c>
      <c r="B23877" s="4">
        <v>87690</v>
      </c>
      <c r="D23877" s="5" t="s">
        <v>31151</v>
      </c>
      <c r="E23877" s="6" t="str">
        <f>HYPERLINK("https://inpn.mnhn.fr/espece/cd_nom/87690","Campanula patula L., 1753")</f>
        <v>Campanula patula L., 1753</v>
      </c>
      <c r="F23877" s="5" t="s">
        <v>31152</v>
      </c>
      <c r="Q23877" s="7" t="str">
        <f>HYPERLINK("#Liste_rouge!A"&amp;_xlfn.XMATCH("LC",Liste_rouge!A:A,2,1),"LC")</f>
        <v>LC</v>
      </c>
      <c r="T23877" s="7" t="str">
        <f>HYPERLINK("#Liste_rouge!A"&amp;_xlfn.XMATCH("LC",Liste_rouge!A:A,2,1),"LC")</f>
        <v>LC</v>
      </c>
      <c r="V23877" s="7" t="str">
        <f>HYPERLINK("#Liste_rouge!A"&amp;_xlfn.XMATCH("DD",Liste_rouge!A:A,2,1),"DD")</f>
        <v>DD</v>
      </c>
      <c r="AH23877" s="4" t="str">
        <f>HYPERLINK("#Statut_biogéographique!A"&amp;_xlfn.XMATCH("P",Statut_biogéographique!A:A,2,1),"P")</f>
        <v>P</v>
      </c>
      <c r="AM23877" s="4" t="s">
        <v>375</v>
      </c>
      <c r="AN23877" s="4" t="s">
        <v>375</v>
      </c>
      <c r="AO23877" s="4" t="s">
        <v>375</v>
      </c>
      <c r="AP23877" s="4" t="s">
        <v>376</v>
      </c>
      <c r="AR23877" s="4" t="s">
        <v>377</v>
      </c>
    </row>
    <row r="23878" spans="1:44" ht="60">
      <c r="A23878" s="4" t="s">
        <v>24364</v>
      </c>
      <c r="B23878" s="4">
        <v>87693</v>
      </c>
      <c r="D23878" s="5" t="s">
        <v>31153</v>
      </c>
      <c r="E23878" s="6" t="str">
        <f>HYPERLINK("https://inpn.mnhn.fr/espece/cd_nom/87693","Campanula persicifolia L., 1753")</f>
        <v>Campanula persicifolia L., 1753</v>
      </c>
      <c r="F23878" s="5" t="s">
        <v>31154</v>
      </c>
      <c r="Q23878" s="7" t="str">
        <f>HYPERLINK("#Liste_rouge!A"&amp;_xlfn.XMATCH("LC",Liste_rouge!A:A,2,1),"LC")</f>
        <v>LC</v>
      </c>
      <c r="T23878" s="7" t="str">
        <f>HYPERLINK("#Liste_rouge!A"&amp;_xlfn.XMATCH("DD",Liste_rouge!A:A,2,1),"DD (cd_nom 145024) - LC (cd_nom 87693)")</f>
        <v>DD (cd_nom 145024) - LC (cd_nom 87693)</v>
      </c>
      <c r="V23878" s="7" t="str">
        <f>HYPERLINK("#Liste_rouge!A"&amp;_xlfn.XMATCH("LC",Liste_rouge!A:A,2,1),"LC")</f>
        <v>LC</v>
      </c>
      <c r="AB23878" s="4" t="s">
        <v>27770</v>
      </c>
      <c r="AH23878" s="4" t="str">
        <f>HYPERLINK("#Statut_biogéographique!A"&amp;_xlfn.XMATCH("P",Statut_biogéographique!A:A,2,1),"P")</f>
        <v>P</v>
      </c>
      <c r="AM23878" s="4" t="s">
        <v>375</v>
      </c>
      <c r="AN23878" s="4" t="s">
        <v>375</v>
      </c>
      <c r="AO23878" s="4" t="s">
        <v>375</v>
      </c>
      <c r="AP23878" s="4" t="s">
        <v>376</v>
      </c>
      <c r="AR23878" s="4" t="s">
        <v>377</v>
      </c>
    </row>
    <row r="23879" spans="1:44" ht="60">
      <c r="A23879" s="4" t="s">
        <v>24364</v>
      </c>
      <c r="B23879" s="4">
        <v>87711</v>
      </c>
      <c r="D23879" s="5" t="s">
        <v>31155</v>
      </c>
      <c r="E23879" s="6" t="str">
        <f>HYPERLINK("https://inpn.mnhn.fr/espece/cd_nom/87711","Campanula rapunculoides L., 1753")</f>
        <v>Campanula rapunculoides L., 1753</v>
      </c>
      <c r="F23879" s="5" t="s">
        <v>31156</v>
      </c>
      <c r="Q23879" s="7" t="str">
        <f>HYPERLINK("#Liste_rouge!A"&amp;_xlfn.XMATCH("LC",Liste_rouge!A:A,2,1),"LC")</f>
        <v>LC</v>
      </c>
      <c r="T23879" s="7" t="str">
        <f>HYPERLINK("#Liste_rouge!A"&amp;_xlfn.XMATCH("LC",Liste_rouge!A:A,2,1),"LC")</f>
        <v>LC</v>
      </c>
      <c r="V23879" s="7" t="str">
        <f>HYPERLINK("#Liste_rouge!A"&amp;_xlfn.XMATCH("LC",Liste_rouge!A:A,2,1),"LC")</f>
        <v>LC</v>
      </c>
      <c r="AB23879" s="4" t="s">
        <v>26249</v>
      </c>
      <c r="AH23879" s="4" t="str">
        <f>HYPERLINK("#Statut_biogéographique!A"&amp;_xlfn.XMATCH("P",Statut_biogéographique!A:A,2,1),"P")</f>
        <v>P</v>
      </c>
      <c r="AM23879" s="4" t="s">
        <v>375</v>
      </c>
      <c r="AN23879" s="4" t="s">
        <v>375</v>
      </c>
      <c r="AO23879" s="4" t="s">
        <v>375</v>
      </c>
      <c r="AP23879" s="4" t="s">
        <v>376</v>
      </c>
      <c r="AR23879" s="4" t="s">
        <v>377</v>
      </c>
    </row>
    <row r="23880" spans="1:44">
      <c r="A23880" s="4" t="s">
        <v>24364</v>
      </c>
      <c r="B23880" s="4">
        <v>87712</v>
      </c>
      <c r="D23880" s="5" t="s">
        <v>31157</v>
      </c>
      <c r="E23880" s="6" t="str">
        <f>HYPERLINK("https://inpn.mnhn.fr/espece/cd_nom/87712","Campanula rapunculus L., 1753")</f>
        <v>Campanula rapunculus L., 1753</v>
      </c>
      <c r="F23880" s="5" t="s">
        <v>31158</v>
      </c>
      <c r="Q23880" s="7" t="str">
        <f>HYPERLINK("#Liste_rouge!A"&amp;_xlfn.XMATCH("LC",Liste_rouge!A:A,2,1),"LC")</f>
        <v>LC</v>
      </c>
      <c r="T23880" s="7" t="str">
        <f>HYPERLINK("#Liste_rouge!A"&amp;_xlfn.XMATCH("LC",Liste_rouge!A:A,2,1),"LC")</f>
        <v>LC</v>
      </c>
      <c r="V23880" s="7" t="str">
        <f>HYPERLINK("#Liste_rouge!A"&amp;_xlfn.XMATCH("LC",Liste_rouge!A:A,2,1),"LC")</f>
        <v>LC</v>
      </c>
      <c r="AH23880" s="4" t="str">
        <f>HYPERLINK("#Statut_biogéographique!A"&amp;_xlfn.XMATCH("P",Statut_biogéographique!A:A,2,1),"P")</f>
        <v>P</v>
      </c>
      <c r="AM23880" s="4" t="s">
        <v>375</v>
      </c>
      <c r="AN23880" s="4" t="s">
        <v>375</v>
      </c>
      <c r="AO23880" s="4" t="s">
        <v>375</v>
      </c>
      <c r="AP23880" s="4" t="s">
        <v>376</v>
      </c>
      <c r="AR23880" s="4" t="s">
        <v>377</v>
      </c>
    </row>
    <row r="23881" spans="1:44" ht="30">
      <c r="A23881" s="4" t="s">
        <v>24364</v>
      </c>
      <c r="B23881" s="4">
        <v>87716</v>
      </c>
      <c r="D23881" s="5" t="s">
        <v>31159</v>
      </c>
      <c r="E23881" s="6" t="str">
        <f>HYPERLINK("https://inpn.mnhn.fr/espece/cd_nom/87716","Campanula rhomboidalis L., 1753")</f>
        <v>Campanula rhomboidalis L., 1753</v>
      </c>
      <c r="F23881" s="5" t="s">
        <v>31160</v>
      </c>
      <c r="Q23881" s="7" t="str">
        <f>HYPERLINK("#Liste_rouge!A"&amp;_xlfn.XMATCH("LC",Liste_rouge!A:A,2,1),"LC")</f>
        <v>LC</v>
      </c>
      <c r="V23881" s="7" t="str">
        <f>HYPERLINK("#Liste_rouge!A"&amp;_xlfn.XMATCH("NT",Liste_rouge!A:A,2,1),"NT")</f>
        <v>NT</v>
      </c>
      <c r="W23881" s="4" t="str">
        <f>HYPERLINK("#Critères_liste_rouge!A$1","pr. B2b(iii)")</f>
        <v>pr. B2b(iii)</v>
      </c>
      <c r="AB23881" s="4" t="s">
        <v>24447</v>
      </c>
      <c r="AH23881" s="4" t="str">
        <f>HYPERLINK("#Statut_biogéographique!A"&amp;_xlfn.XMATCH("P",Statut_biogéographique!A:A,2,1),"P")</f>
        <v>P</v>
      </c>
      <c r="AM23881" s="4" t="s">
        <v>375</v>
      </c>
      <c r="AN23881" s="4" t="s">
        <v>375</v>
      </c>
      <c r="AO23881" s="4" t="s">
        <v>375</v>
      </c>
      <c r="AP23881" s="4" t="s">
        <v>376</v>
      </c>
      <c r="AR23881" s="4" t="s">
        <v>377</v>
      </c>
    </row>
    <row r="23882" spans="1:44" ht="75">
      <c r="A23882" s="4" t="s">
        <v>24364</v>
      </c>
      <c r="B23882" s="4">
        <v>87720</v>
      </c>
      <c r="D23882" s="5" t="s">
        <v>31161</v>
      </c>
      <c r="E23882" s="6" t="str">
        <f>HYPERLINK("https://inpn.mnhn.fr/espece/cd_nom/87720","Campanula rotundifolia L., 1753")</f>
        <v>Campanula rotundifolia L., 1753</v>
      </c>
      <c r="F23882" s="5" t="s">
        <v>28387</v>
      </c>
      <c r="Q23882" s="7" t="str">
        <f>HYPERLINK("#Liste_rouge!A"&amp;_xlfn.XMATCH("LC",Liste_rouge!A:A,2,1),"LC")</f>
        <v>LC</v>
      </c>
      <c r="T23882" s="7" t="str">
        <f>HYPERLINK("#Liste_rouge!A"&amp;_xlfn.XMATCH("LC",Liste_rouge!A:A,2,1),"LC")</f>
        <v>LC</v>
      </c>
      <c r="V23882" s="7" t="str">
        <f>HYPERLINK("#Liste_rouge!A"&amp;_xlfn.XMATCH("LC",Liste_rouge!A:A,2,1),"LC")</f>
        <v>LC</v>
      </c>
      <c r="AH23882" s="4" t="str">
        <f>HYPERLINK("#Statut_biogéographique!A"&amp;_xlfn.XMATCH("P",Statut_biogéographique!A:A,2,1),"P")</f>
        <v>P</v>
      </c>
      <c r="AM23882" s="4" t="s">
        <v>375</v>
      </c>
      <c r="AN23882" s="4" t="s">
        <v>375</v>
      </c>
      <c r="AO23882" s="4" t="s">
        <v>375</v>
      </c>
      <c r="AP23882" s="4" t="s">
        <v>376</v>
      </c>
      <c r="AR23882" s="4" t="s">
        <v>377</v>
      </c>
    </row>
    <row r="23883" spans="1:44" ht="30">
      <c r="A23883" s="4" t="s">
        <v>24364</v>
      </c>
      <c r="B23883" s="4">
        <v>87740</v>
      </c>
      <c r="D23883" s="5" t="s">
        <v>31162</v>
      </c>
      <c r="E23883" s="6" t="str">
        <f>HYPERLINK("https://inpn.mnhn.fr/espece/cd_nom/87740","Campanula thyrsoides L., 1753")</f>
        <v>Campanula thyrsoides L., 1753</v>
      </c>
      <c r="F23883" s="5" t="s">
        <v>31163</v>
      </c>
      <c r="M23883" s="4" t="str">
        <f>HYPERLINK("#Réglementation!A"&amp;_xlfn.XMATCH("RV43",Réglementation!A:A,2,1),"RV43")</f>
        <v>RV43</v>
      </c>
      <c r="Q23883" s="7" t="str">
        <f>HYPERLINK("#Liste_rouge!A"&amp;_xlfn.XMATCH("LC",Liste_rouge!A:A,2,1),"LC")</f>
        <v>LC</v>
      </c>
      <c r="V23883" s="7" t="str">
        <f>HYPERLINK("#Liste_rouge!A"&amp;_xlfn.XMATCH("EN",Liste_rouge!A:A,2,1),"EN")</f>
        <v>EN</v>
      </c>
      <c r="W23883" s="4" t="str">
        <f>HYPERLINK("#Critères_liste_rouge!A$1","B2ab(iii)")</f>
        <v>B2ab(iii)</v>
      </c>
      <c r="X23883" s="5" t="s">
        <v>374</v>
      </c>
      <c r="AB23883" s="4" t="s">
        <v>93</v>
      </c>
      <c r="AH23883" s="4" t="str">
        <f>HYPERLINK("#Statut_biogéographique!A"&amp;_xlfn.XMATCH("P",Statut_biogéographique!A:A,2,1),"P")</f>
        <v>P</v>
      </c>
      <c r="AM23883" s="4" t="s">
        <v>375</v>
      </c>
      <c r="AN23883" s="4" t="s">
        <v>375</v>
      </c>
      <c r="AO23883" s="4" t="s">
        <v>375</v>
      </c>
      <c r="AP23883" s="4" t="s">
        <v>376</v>
      </c>
      <c r="AR23883" s="4" t="s">
        <v>377</v>
      </c>
    </row>
    <row r="23884" spans="1:44" ht="30">
      <c r="A23884" s="4" t="s">
        <v>24364</v>
      </c>
      <c r="B23884" s="4">
        <v>87742</v>
      </c>
      <c r="D23884" s="5" t="s">
        <v>31164</v>
      </c>
      <c r="E23884" s="6" t="str">
        <f>HYPERLINK("https://inpn.mnhn.fr/espece/cd_nom/87742","Campanula trachelium L., 1753")</f>
        <v>Campanula trachelium L., 1753</v>
      </c>
      <c r="F23884" s="5" t="s">
        <v>28388</v>
      </c>
      <c r="Q23884" s="7" t="str">
        <f>HYPERLINK("#Liste_rouge!A"&amp;_xlfn.XMATCH("LC",Liste_rouge!A:A,2,1),"LC")</f>
        <v>LC</v>
      </c>
      <c r="T23884" s="7" t="str">
        <f>HYPERLINK("#Liste_rouge!A"&amp;_xlfn.XMATCH("LC",Liste_rouge!A:A,2,1),"LC")</f>
        <v>LC</v>
      </c>
      <c r="V23884" s="7" t="str">
        <f>HYPERLINK("#Liste_rouge!A"&amp;_xlfn.XMATCH("LC",Liste_rouge!A:A,2,1),"LC")</f>
        <v>LC</v>
      </c>
      <c r="AH23884" s="4" t="str">
        <f>HYPERLINK("#Statut_biogéographique!A"&amp;_xlfn.XMATCH("P",Statut_biogéographique!A:A,2,1),"P")</f>
        <v>P</v>
      </c>
      <c r="AM23884" s="4" t="s">
        <v>375</v>
      </c>
      <c r="AN23884" s="4" t="s">
        <v>375</v>
      </c>
      <c r="AO23884" s="4" t="s">
        <v>375</v>
      </c>
      <c r="AP23884" s="4" t="s">
        <v>376</v>
      </c>
      <c r="AR23884" s="4" t="s">
        <v>377</v>
      </c>
    </row>
    <row r="23885" spans="1:44" ht="30">
      <c r="A23885" s="4" t="s">
        <v>24364</v>
      </c>
      <c r="B23885" s="4">
        <v>87788</v>
      </c>
      <c r="D23885" s="5" t="s">
        <v>31165</v>
      </c>
      <c r="E23885" s="6" t="str">
        <f>HYPERLINK("https://inpn.mnhn.fr/espece/cd_nom/87788","Cannabis sativa L., 1753")</f>
        <v>Cannabis sativa L., 1753</v>
      </c>
      <c r="F23885" s="5" t="s">
        <v>31166</v>
      </c>
      <c r="Q23885" s="7" t="str">
        <f>HYPERLINK("#Liste_rouge!A"&amp;_xlfn.XMATCH("NA",Liste_rouge!A:A,2,1),"NA")</f>
        <v>NA</v>
      </c>
      <c r="T23885" s="7" t="str">
        <f>HYPERLINK("#Liste_rouge!A"&amp;_xlfn.XMATCH("NA",Liste_rouge!A:A,2,1),"NA")</f>
        <v>NA</v>
      </c>
      <c r="AH23885" s="4" t="str">
        <f>HYPERLINK("#Statut_biogéographique!A"&amp;_xlfn.XMATCH("M",Statut_biogéographique!A:A,2,1),"M")</f>
        <v>M</v>
      </c>
      <c r="AP23885" s="4" t="s">
        <v>376</v>
      </c>
      <c r="AR23885" s="4" t="s">
        <v>377</v>
      </c>
    </row>
    <row r="23886" spans="1:44" ht="120">
      <c r="A23886" s="4" t="s">
        <v>24364</v>
      </c>
      <c r="B23886" s="4">
        <v>87849</v>
      </c>
      <c r="D23886" s="5" t="s">
        <v>31167</v>
      </c>
      <c r="E23886" s="6" t="str">
        <f>HYPERLINK("https://inpn.mnhn.fr/espece/cd_nom/87849","Capsella bursa-pastoris (L.) Medik., 1792")</f>
        <v>Capsella bursa-pastoris (L.) Medik., 1792</v>
      </c>
      <c r="F23886" s="5" t="s">
        <v>31168</v>
      </c>
      <c r="P23886" s="7" t="str">
        <f>HYPERLINK("#Liste_rouge!A"&amp;_xlfn.XMATCH("LC",Liste_rouge!A:A,2,1),"LC")</f>
        <v>LC</v>
      </c>
      <c r="Q23886" s="7" t="str">
        <f>HYPERLINK("#Liste_rouge!A"&amp;_xlfn.XMATCH("LC",Liste_rouge!A:A,2,1),"LC")</f>
        <v>LC</v>
      </c>
      <c r="T23886" s="7" t="str">
        <f>HYPERLINK("#Liste_rouge!A"&amp;_xlfn.XMATCH("LC",Liste_rouge!A:A,2,1),"LC")</f>
        <v>LC</v>
      </c>
      <c r="V23886" s="7" t="str">
        <f>HYPERLINK("#Liste_rouge!A"&amp;_xlfn.XMATCH("LC",Liste_rouge!A:A,2,1),"LC")</f>
        <v>LC</v>
      </c>
      <c r="AH23886" s="4" t="str">
        <f>HYPERLINK("#Statut_biogéographique!A"&amp;_xlfn.XMATCH("P",Statut_biogéographique!A:A,2,1),"P")</f>
        <v>P</v>
      </c>
      <c r="AM23886" s="4" t="s">
        <v>375</v>
      </c>
      <c r="AN23886" s="4" t="s">
        <v>375</v>
      </c>
      <c r="AO23886" s="4" t="s">
        <v>375</v>
      </c>
      <c r="AP23886" s="4" t="s">
        <v>376</v>
      </c>
      <c r="AR23886" s="4" t="s">
        <v>377</v>
      </c>
    </row>
    <row r="23887" spans="1:44" ht="30">
      <c r="A23887" s="4" t="s">
        <v>24364</v>
      </c>
      <c r="B23887" s="4">
        <v>87862</v>
      </c>
      <c r="D23887" s="5" t="s">
        <v>31169</v>
      </c>
      <c r="E23887" s="6" t="str">
        <f>HYPERLINK("https://inpn.mnhn.fr/espece/cd_nom/87862","Capsella rubella Reut., 1854")</f>
        <v>Capsella rubella Reut., 1854</v>
      </c>
      <c r="F23887" s="5" t="s">
        <v>31170</v>
      </c>
      <c r="Q23887" s="7" t="str">
        <f>HYPERLINK("#Liste_rouge!A"&amp;_xlfn.XMATCH("LC",Liste_rouge!A:A,2,1),"LC")</f>
        <v>LC</v>
      </c>
      <c r="T23887" s="7" t="str">
        <f>HYPERLINK("#Liste_rouge!A"&amp;_xlfn.XMATCH("LC",Liste_rouge!A:A,2,1),"LC")</f>
        <v>LC</v>
      </c>
      <c r="V23887" s="7" t="str">
        <f>HYPERLINK("#Liste_rouge!A"&amp;_xlfn.XMATCH("LC",Liste_rouge!A:A,2,1),"LC")</f>
        <v>LC</v>
      </c>
      <c r="AH23887" s="4" t="str">
        <f>HYPERLINK("#Statut_biogéographique!A"&amp;_xlfn.XMATCH("P",Statut_biogéographique!A:A,2,1),"P")</f>
        <v>P</v>
      </c>
      <c r="AM23887" s="4" t="s">
        <v>375</v>
      </c>
      <c r="AN23887" s="4" t="s">
        <v>375</v>
      </c>
      <c r="AO23887" s="4" t="s">
        <v>375</v>
      </c>
      <c r="AP23887" s="4" t="s">
        <v>376</v>
      </c>
      <c r="AR23887" s="4" t="s">
        <v>377</v>
      </c>
    </row>
    <row r="23888" spans="1:44">
      <c r="A23888" s="4" t="s">
        <v>24364</v>
      </c>
      <c r="B23888" s="4">
        <v>87872</v>
      </c>
      <c r="D23888" s="5" t="s">
        <v>31171</v>
      </c>
      <c r="E23888" s="6" t="str">
        <f>HYPERLINK("https://inpn.mnhn.fr/espece/cd_nom/87872","Capsella x gracilis Gren., 1858")</f>
        <v>Capsella x gracilis Gren., 1858</v>
      </c>
      <c r="F23888" s="5" t="s">
        <v>31172</v>
      </c>
      <c r="T23888" s="7" t="str">
        <f>HYPERLINK("#Liste_rouge!A"&amp;_xlfn.XMATCH("DD",Liste_rouge!A:A,2,1),"DD")</f>
        <v>DD</v>
      </c>
      <c r="AH23888" s="4" t="str">
        <f>HYPERLINK("#Statut_biogéographique!A"&amp;_xlfn.XMATCH("P",Statut_biogéographique!A:A,2,1),"P")</f>
        <v>P</v>
      </c>
      <c r="AP23888" s="4" t="s">
        <v>376</v>
      </c>
      <c r="AR23888" s="4" t="s">
        <v>377</v>
      </c>
    </row>
    <row r="23889" spans="1:44" ht="45">
      <c r="A23889" s="4" t="s">
        <v>24364</v>
      </c>
      <c r="B23889" s="4">
        <v>87892</v>
      </c>
      <c r="D23889" s="5" t="s">
        <v>31173</v>
      </c>
      <c r="E23889" s="6" t="str">
        <f>HYPERLINK("https://inpn.mnhn.fr/espece/cd_nom/87892","Cardamine amara L., 1753")</f>
        <v>Cardamine amara L., 1753</v>
      </c>
      <c r="F23889" s="5" t="s">
        <v>28389</v>
      </c>
      <c r="P23889" s="7" t="str">
        <f>HYPERLINK("#Liste_rouge!A"&amp;_xlfn.XMATCH("LC",Liste_rouge!A:A,2,1),"LC")</f>
        <v>LC</v>
      </c>
      <c r="Q23889" s="7" t="str">
        <f>HYPERLINK("#Liste_rouge!A"&amp;_xlfn.XMATCH("LC",Liste_rouge!A:A,2,1),"LC")</f>
        <v>LC</v>
      </c>
      <c r="T23889" s="7" t="str">
        <f>HYPERLINK("#Liste_rouge!A"&amp;_xlfn.XMATCH("VU",Liste_rouge!A:A,2,1),"VU")</f>
        <v>VU</v>
      </c>
      <c r="U23889" s="4" t="str">
        <f>HYPERLINK("#Critères_liste_rouge!A$1","D2")</f>
        <v>D2</v>
      </c>
      <c r="V23889" s="7" t="str">
        <f>HYPERLINK("#Liste_rouge!A"&amp;_xlfn.XMATCH("LC",Liste_rouge!A:A,2,1),"LC")</f>
        <v>LC</v>
      </c>
      <c r="AB23889" s="4" t="s">
        <v>24803</v>
      </c>
      <c r="AH23889" s="4" t="str">
        <f>HYPERLINK("#Statut_biogéographique!A"&amp;_xlfn.XMATCH("P",Statut_biogéographique!A:A,2,1),"P")</f>
        <v>P</v>
      </c>
      <c r="AM23889" s="4" t="s">
        <v>375</v>
      </c>
      <c r="AN23889" s="4" t="s">
        <v>375</v>
      </c>
      <c r="AO23889" s="4" t="s">
        <v>375</v>
      </c>
      <c r="AP23889" s="4" t="s">
        <v>376</v>
      </c>
      <c r="AR23889" s="4" t="s">
        <v>377</v>
      </c>
    </row>
    <row r="23890" spans="1:44" ht="45">
      <c r="A23890" s="4" t="s">
        <v>24364</v>
      </c>
      <c r="B23890" s="4">
        <v>87911</v>
      </c>
      <c r="D23890" s="5" t="s">
        <v>31174</v>
      </c>
      <c r="E23890" s="6" t="str">
        <f>HYPERLINK("https://inpn.mnhn.fr/espece/cd_nom/87911","Cardamine dentata Schult., 1809")</f>
        <v>Cardamine dentata Schult., 1809</v>
      </c>
      <c r="F23890" s="5" t="s">
        <v>31175</v>
      </c>
      <c r="Q23890" s="7" t="str">
        <f>HYPERLINK("#Liste_rouge!A"&amp;_xlfn.XMATCH("DD",Liste_rouge!A:A,2,1),"DD")</f>
        <v>DD</v>
      </c>
      <c r="T23890" s="7" t="str">
        <f>HYPERLINK("#Liste_rouge!A"&amp;_xlfn.XMATCH("DD",Liste_rouge!A:A,2,1),"DD")</f>
        <v>DD</v>
      </c>
      <c r="V23890" s="7" t="str">
        <f>HYPERLINK("#Liste_rouge!A"&amp;_xlfn.XMATCH("CR",Liste_rouge!A:A,2,1),"CR")</f>
        <v>CR</v>
      </c>
      <c r="W23890" s="4" t="str">
        <f>HYPERLINK("#Critères_liste_rouge!A$1","D")</f>
        <v>D</v>
      </c>
      <c r="X23890" s="5" t="s">
        <v>374</v>
      </c>
      <c r="AB23890" s="4" t="s">
        <v>93</v>
      </c>
      <c r="AH23890" s="4" t="str">
        <f>HYPERLINK("#Statut_biogéographique!A"&amp;_xlfn.XMATCH("P",Statut_biogéographique!A:A,2,1),"P")</f>
        <v>P</v>
      </c>
      <c r="AM23890" s="4" t="s">
        <v>375</v>
      </c>
      <c r="AN23890" s="4" t="s">
        <v>375</v>
      </c>
      <c r="AO23890" s="4" t="s">
        <v>375</v>
      </c>
      <c r="AP23890" s="4" t="s">
        <v>376</v>
      </c>
      <c r="AR23890" s="4" t="s">
        <v>377</v>
      </c>
    </row>
    <row r="23891" spans="1:44" ht="45">
      <c r="A23891" s="4" t="s">
        <v>24364</v>
      </c>
      <c r="B23891" s="4">
        <v>87915</v>
      </c>
      <c r="D23891" s="5" t="s">
        <v>31176</v>
      </c>
      <c r="E23891" s="6" t="str">
        <f>HYPERLINK("https://inpn.mnhn.fr/espece/cd_nom/87915","Cardamine flexuosa With., 1796")</f>
        <v>Cardamine flexuosa With., 1796</v>
      </c>
      <c r="F23891" s="5" t="s">
        <v>31177</v>
      </c>
      <c r="Q23891" s="7" t="str">
        <f>HYPERLINK("#Liste_rouge!A"&amp;_xlfn.XMATCH("LC",Liste_rouge!A:A,2,1),"LC")</f>
        <v>LC</v>
      </c>
      <c r="T23891" s="7" t="str">
        <f>HYPERLINK("#Liste_rouge!A"&amp;_xlfn.XMATCH("LC",Liste_rouge!A:A,2,1),"LC")</f>
        <v>LC</v>
      </c>
      <c r="V23891" s="7" t="str">
        <f>HYPERLINK("#Liste_rouge!A"&amp;_xlfn.XMATCH("LC",Liste_rouge!A:A,2,1),"LC")</f>
        <v>LC</v>
      </c>
      <c r="AH23891" s="4" t="str">
        <f>HYPERLINK("#Statut_biogéographique!A"&amp;_xlfn.XMATCH("P",Statut_biogéographique!A:A,2,1),"P")</f>
        <v>P</v>
      </c>
      <c r="AM23891" s="4" t="s">
        <v>375</v>
      </c>
      <c r="AN23891" s="4" t="s">
        <v>375</v>
      </c>
      <c r="AO23891" s="4" t="s">
        <v>375</v>
      </c>
      <c r="AP23891" s="4" t="s">
        <v>376</v>
      </c>
      <c r="AR23891" s="4" t="s">
        <v>377</v>
      </c>
    </row>
    <row r="23892" spans="1:44" ht="30">
      <c r="A23892" s="4" t="s">
        <v>24364</v>
      </c>
      <c r="B23892" s="4">
        <v>87925</v>
      </c>
      <c r="D23892" s="5" t="s">
        <v>31178</v>
      </c>
      <c r="E23892" s="6" t="str">
        <f>HYPERLINK("https://inpn.mnhn.fr/espece/cd_nom/87925","Cardamine heptaphylla (Vill.) O.E.Schulz, 1903")</f>
        <v>Cardamine heptaphylla (Vill.) O.E.Schulz, 1903</v>
      </c>
      <c r="F23892" s="5" t="s">
        <v>31179</v>
      </c>
      <c r="Q23892" s="7" t="str">
        <f>HYPERLINK("#Liste_rouge!A"&amp;_xlfn.XMATCH("LC",Liste_rouge!A:A,2,1),"LC")</f>
        <v>LC</v>
      </c>
      <c r="T23892" s="7" t="str">
        <f>HYPERLINK("#Liste_rouge!A"&amp;_xlfn.XMATCH("LC",Liste_rouge!A:A,2,1),"LC")</f>
        <v>LC</v>
      </c>
      <c r="V23892" s="7" t="str">
        <f>HYPERLINK("#Liste_rouge!A"&amp;_xlfn.XMATCH("LC",Liste_rouge!A:A,2,1),"LC")</f>
        <v>LC</v>
      </c>
      <c r="AB23892" s="4" t="s">
        <v>24410</v>
      </c>
      <c r="AH23892" s="4" t="str">
        <f>HYPERLINK("#Statut_biogéographique!A"&amp;_xlfn.XMATCH("P",Statut_biogéographique!A:A,2,1),"P")</f>
        <v>P</v>
      </c>
      <c r="AM23892" s="4" t="s">
        <v>375</v>
      </c>
      <c r="AN23892" s="4" t="s">
        <v>375</v>
      </c>
      <c r="AO23892" s="4" t="s">
        <v>375</v>
      </c>
      <c r="AP23892" s="4" t="s">
        <v>376</v>
      </c>
      <c r="AR23892" s="4" t="s">
        <v>377</v>
      </c>
    </row>
    <row r="23893" spans="1:44" ht="30">
      <c r="A23893" s="4" t="s">
        <v>24364</v>
      </c>
      <c r="B23893" s="4">
        <v>87930</v>
      </c>
      <c r="D23893" s="5" t="s">
        <v>31180</v>
      </c>
      <c r="E23893" s="6" t="str">
        <f>HYPERLINK("https://inpn.mnhn.fr/espece/cd_nom/87930","Cardamine hirsuta L., 1753")</f>
        <v>Cardamine hirsuta L., 1753</v>
      </c>
      <c r="F23893" s="5" t="s">
        <v>31181</v>
      </c>
      <c r="Q23893" s="7" t="str">
        <f>HYPERLINK("#Liste_rouge!A"&amp;_xlfn.XMATCH("LC",Liste_rouge!A:A,2,1),"LC")</f>
        <v>LC</v>
      </c>
      <c r="T23893" s="7" t="str">
        <f>HYPERLINK("#Liste_rouge!A"&amp;_xlfn.XMATCH("LC",Liste_rouge!A:A,2,1),"LC")</f>
        <v>LC</v>
      </c>
      <c r="V23893" s="7" t="str">
        <f>HYPERLINK("#Liste_rouge!A"&amp;_xlfn.XMATCH("LC",Liste_rouge!A:A,2,1),"LC")</f>
        <v>LC</v>
      </c>
      <c r="AH23893" s="4" t="str">
        <f>HYPERLINK("#Statut_biogéographique!A"&amp;_xlfn.XMATCH("P",Statut_biogéographique!A:A,2,1),"P")</f>
        <v>P</v>
      </c>
      <c r="AM23893" s="4" t="s">
        <v>375</v>
      </c>
      <c r="AN23893" s="4" t="s">
        <v>375</v>
      </c>
      <c r="AO23893" s="4" t="s">
        <v>375</v>
      </c>
      <c r="AP23893" s="4" t="s">
        <v>376</v>
      </c>
      <c r="AR23893" s="4" t="s">
        <v>377</v>
      </c>
    </row>
    <row r="23894" spans="1:44" ht="60">
      <c r="A23894" s="4" t="s">
        <v>24364</v>
      </c>
      <c r="B23894" s="4">
        <v>87933</v>
      </c>
      <c r="D23894" s="5" t="s">
        <v>31182</v>
      </c>
      <c r="E23894" s="6" t="str">
        <f>HYPERLINK("https://inpn.mnhn.fr/espece/cd_nom/87933","Cardamine impatiens L., 1753")</f>
        <v>Cardamine impatiens L., 1753</v>
      </c>
      <c r="F23894" s="5" t="s">
        <v>31183</v>
      </c>
      <c r="Q23894" s="7" t="str">
        <f>HYPERLINK("#Liste_rouge!A"&amp;_xlfn.XMATCH("LC",Liste_rouge!A:A,2,1),"LC")</f>
        <v>LC</v>
      </c>
      <c r="T23894" s="7" t="str">
        <f>HYPERLINK("#Liste_rouge!A"&amp;_xlfn.XMATCH("LC",Liste_rouge!A:A,2,1),"LC")</f>
        <v>LC</v>
      </c>
      <c r="V23894" s="7" t="str">
        <f>HYPERLINK("#Liste_rouge!A"&amp;_xlfn.XMATCH("LC",Liste_rouge!A:A,2,1),"LC")</f>
        <v>LC</v>
      </c>
      <c r="AB23894" s="4" t="s">
        <v>24536</v>
      </c>
      <c r="AH23894" s="4" t="str">
        <f>HYPERLINK("#Statut_biogéographique!A"&amp;_xlfn.XMATCH("P",Statut_biogéographique!A:A,2,1),"P")</f>
        <v>P</v>
      </c>
      <c r="AM23894" s="4" t="s">
        <v>375</v>
      </c>
      <c r="AN23894" s="4" t="s">
        <v>375</v>
      </c>
      <c r="AO23894" s="4" t="s">
        <v>375</v>
      </c>
      <c r="AP23894" s="4" t="s">
        <v>376</v>
      </c>
      <c r="AR23894" s="4" t="s">
        <v>377</v>
      </c>
    </row>
    <row r="23895" spans="1:44">
      <c r="A23895" s="4" t="s">
        <v>24364</v>
      </c>
      <c r="B23895" s="4">
        <v>87957</v>
      </c>
      <c r="D23895" s="5" t="s">
        <v>31184</v>
      </c>
      <c r="E23895" s="6" t="str">
        <f>HYPERLINK("https://inpn.mnhn.fr/espece/cd_nom/87957","Cardamine parviflora L., 1759")</f>
        <v>Cardamine parviflora L., 1759</v>
      </c>
      <c r="F23895" s="5" t="s">
        <v>31185</v>
      </c>
      <c r="Q23895" s="7" t="str">
        <f>HYPERLINK("#Liste_rouge!A"&amp;_xlfn.XMATCH("NT",Liste_rouge!A:A,2,1),"NT")</f>
        <v>NT</v>
      </c>
      <c r="AH23895" s="4" t="str">
        <f>HYPERLINK("#Statut_biogéographique!A"&amp;_xlfn.XMATCH("P",Statut_biogéographique!A:A,2,1),"P")</f>
        <v>P</v>
      </c>
      <c r="AP23895" s="4" t="s">
        <v>376</v>
      </c>
      <c r="AR23895" s="4" t="s">
        <v>377</v>
      </c>
    </row>
    <row r="23896" spans="1:44" ht="30">
      <c r="A23896" s="4" t="s">
        <v>24364</v>
      </c>
      <c r="B23896" s="4">
        <v>87961</v>
      </c>
      <c r="D23896" s="5" t="s">
        <v>31186</v>
      </c>
      <c r="E23896" s="6" t="str">
        <f>HYPERLINK("https://inpn.mnhn.fr/espece/cd_nom/87961","Cardamine pentaphyllos (L.) Crantz, 1769")</f>
        <v>Cardamine pentaphyllos (L.) Crantz, 1769</v>
      </c>
      <c r="F23896" s="5" t="s">
        <v>31187</v>
      </c>
      <c r="Q23896" s="7" t="str">
        <f>HYPERLINK("#Liste_rouge!A"&amp;_xlfn.XMATCH("LC",Liste_rouge!A:A,2,1),"LC")</f>
        <v>LC</v>
      </c>
      <c r="V23896" s="7" t="str">
        <f>HYPERLINK("#Liste_rouge!A"&amp;_xlfn.XMATCH("DD",Liste_rouge!A:A,2,1),"DD")</f>
        <v>DD</v>
      </c>
      <c r="X23896" s="5" t="s">
        <v>374</v>
      </c>
      <c r="AB23896" s="4" t="s">
        <v>93</v>
      </c>
      <c r="AH23896" s="4" t="str">
        <f>HYPERLINK("#Statut_biogéographique!A"&amp;_xlfn.XMATCH("P",Statut_biogéographique!A:A,2,1),"P")</f>
        <v>P</v>
      </c>
      <c r="AM23896" s="4" t="s">
        <v>375</v>
      </c>
      <c r="AN23896" s="4" t="s">
        <v>375</v>
      </c>
      <c r="AO23896" s="4" t="s">
        <v>375</v>
      </c>
      <c r="AP23896" s="4" t="s">
        <v>376</v>
      </c>
      <c r="AR23896" s="4" t="s">
        <v>377</v>
      </c>
    </row>
    <row r="23897" spans="1:44" ht="75">
      <c r="A23897" s="4" t="s">
        <v>24364</v>
      </c>
      <c r="B23897" s="4">
        <v>87964</v>
      </c>
      <c r="D23897" s="5" t="s">
        <v>31188</v>
      </c>
      <c r="E23897" s="6" t="str">
        <f>HYPERLINK("https://inpn.mnhn.fr/espece/cd_nom/87964","Cardamine pratensis L., 1753")</f>
        <v>Cardamine pratensis L., 1753</v>
      </c>
      <c r="F23897" s="5" t="s">
        <v>31189</v>
      </c>
      <c r="Q23897" s="7" t="str">
        <f>HYPERLINK("#Liste_rouge!A"&amp;_xlfn.XMATCH("LC",Liste_rouge!A:A,2,1),"LC")</f>
        <v>LC</v>
      </c>
      <c r="T23897" s="7" t="str">
        <f>HYPERLINK("#Liste_rouge!A"&amp;_xlfn.XMATCH("LC",Liste_rouge!A:A,2,1),"LC (cd_nom 132568) - DD (cd_nom 132567)")</f>
        <v>LC (cd_nom 132568) - DD (cd_nom 132567)</v>
      </c>
      <c r="V23897" s="7" t="str">
        <f>HYPERLINK("#Liste_rouge!A"&amp;_xlfn.XMATCH("LC",Liste_rouge!A:A,2,1),"LC")</f>
        <v>LC</v>
      </c>
      <c r="AH23897" s="4" t="str">
        <f>HYPERLINK("#Statut_biogéographique!A"&amp;_xlfn.XMATCH("P",Statut_biogéographique!A:A,2,1),"P")</f>
        <v>P</v>
      </c>
      <c r="AM23897" s="4" t="s">
        <v>375</v>
      </c>
      <c r="AN23897" s="4" t="s">
        <v>375</v>
      </c>
      <c r="AO23897" s="4" t="s">
        <v>375</v>
      </c>
      <c r="AP23897" s="4" t="s">
        <v>376</v>
      </c>
      <c r="AR23897" s="4" t="s">
        <v>377</v>
      </c>
    </row>
    <row r="23898" spans="1:44" ht="45">
      <c r="A23898" s="4" t="s">
        <v>24364</v>
      </c>
      <c r="B23898" s="4">
        <v>87970</v>
      </c>
      <c r="D23898" s="5" t="s">
        <v>31190</v>
      </c>
      <c r="E23898" s="6" t="str">
        <f>HYPERLINK("https://inpn.mnhn.fr/espece/cd_nom/87970","Cardamine resedifolia L., 1753")</f>
        <v>Cardamine resedifolia L., 1753</v>
      </c>
      <c r="F23898" s="5" t="s">
        <v>31191</v>
      </c>
      <c r="Q23898" s="7" t="str">
        <f>HYPERLINK("#Liste_rouge!A"&amp;_xlfn.XMATCH("LC",Liste_rouge!A:A,2,1),"LC")</f>
        <v>LC</v>
      </c>
      <c r="T23898" s="7" t="str">
        <f>HYPERLINK("#Liste_rouge!A"&amp;_xlfn.XMATCH("NA",Liste_rouge!A:A,2,1),"NA")</f>
        <v>NA</v>
      </c>
      <c r="AH23898" s="4" t="str">
        <f>HYPERLINK("#Statut_biogéographique!A"&amp;_xlfn.XMATCH("P",Statut_biogéographique!A:A,2,1),"P")</f>
        <v>P</v>
      </c>
      <c r="AP23898" s="4" t="s">
        <v>376</v>
      </c>
      <c r="AR23898" s="4" t="s">
        <v>377</v>
      </c>
    </row>
    <row r="23899" spans="1:44">
      <c r="A23899" s="4" t="s">
        <v>24364</v>
      </c>
      <c r="B23899" s="4">
        <v>87987</v>
      </c>
      <c r="D23899" s="5" t="s">
        <v>31192</v>
      </c>
      <c r="E23899" s="6" t="str">
        <f>HYPERLINK("https://inpn.mnhn.fr/espece/cd_nom/87987","Cardamine x digenea Gremli, 1880")</f>
        <v>Cardamine x digenea Gremli, 1880</v>
      </c>
      <c r="F23899" s="5" t="s">
        <v>31193</v>
      </c>
      <c r="AH23899" s="4" t="str">
        <f>HYPERLINK("#Statut_biogéographique!A"&amp;_xlfn.XMATCH("P",Statut_biogéographique!A:A,2,1),"P")</f>
        <v>P</v>
      </c>
      <c r="AP23899" s="4" t="s">
        <v>376</v>
      </c>
      <c r="AR23899" s="4" t="s">
        <v>377</v>
      </c>
    </row>
    <row r="23900" spans="1:44" ht="60">
      <c r="A23900" s="4" t="s">
        <v>24364</v>
      </c>
      <c r="B23900" s="4">
        <v>88059</v>
      </c>
      <c r="D23900" s="5" t="s">
        <v>31194</v>
      </c>
      <c r="E23900" s="6" t="str">
        <f>HYPERLINK("https://inpn.mnhn.fr/espece/cd_nom/88059","Carduus acanthoides L., 1753")</f>
        <v>Carduus acanthoides L., 1753</v>
      </c>
      <c r="F23900" s="5" t="s">
        <v>31195</v>
      </c>
      <c r="Q23900" s="7" t="str">
        <f>HYPERLINK("#Liste_rouge!A"&amp;_xlfn.XMATCH("NA",Liste_rouge!A:A,2,1),"NA")</f>
        <v>NA</v>
      </c>
      <c r="T23900" s="7" t="str">
        <f>HYPERLINK("#Liste_rouge!A"&amp;_xlfn.XMATCH("CR",Liste_rouge!A:A,2,1),"CR")</f>
        <v>CR</v>
      </c>
      <c r="U23900" s="4" t="str">
        <f>HYPERLINK("#Critères_liste_rouge!A$1","A2ac")</f>
        <v>A2ac</v>
      </c>
      <c r="AH23900" s="4" t="str">
        <f>HYPERLINK("#Statut_biogéographique!A"&amp;_xlfn.XMATCH("I",Statut_biogéographique!A:A,2,1),"I")</f>
        <v>I</v>
      </c>
      <c r="AM23900" s="4" t="s">
        <v>375</v>
      </c>
      <c r="AN23900" s="4" t="s">
        <v>375</v>
      </c>
      <c r="AO23900" s="4" t="s">
        <v>375</v>
      </c>
      <c r="AP23900" s="4" t="s">
        <v>376</v>
      </c>
      <c r="AR23900" s="4" t="s">
        <v>377</v>
      </c>
    </row>
    <row r="23901" spans="1:44">
      <c r="A23901" s="4" t="s">
        <v>24364</v>
      </c>
      <c r="B23901" s="4">
        <v>88104</v>
      </c>
      <c r="D23901" s="5" t="s">
        <v>31196</v>
      </c>
      <c r="E23901" s="6" t="str">
        <f>HYPERLINK("https://inpn.mnhn.fr/espece/cd_nom/88104","Carduus crispus L., 1753")</f>
        <v>Carduus crispus L., 1753</v>
      </c>
      <c r="F23901" s="5" t="s">
        <v>31197</v>
      </c>
      <c r="Q23901" s="7" t="str">
        <f>HYPERLINK("#Liste_rouge!A"&amp;_xlfn.XMATCH("LC",Liste_rouge!A:A,2,1),"LC")</f>
        <v>LC</v>
      </c>
      <c r="T23901" s="7" t="str">
        <f>HYPERLINK("#Liste_rouge!A"&amp;_xlfn.XMATCH("LC",Liste_rouge!A:A,2,1),"LC")</f>
        <v>LC</v>
      </c>
      <c r="V23901" s="7" t="str">
        <f>HYPERLINK("#Liste_rouge!A"&amp;_xlfn.XMATCH("LC",Liste_rouge!A:A,2,1),"LC")</f>
        <v>LC</v>
      </c>
      <c r="AH23901" s="4" t="str">
        <f>HYPERLINK("#Statut_biogéographique!A"&amp;_xlfn.XMATCH("C",Statut_biogéographique!A:A,2,1),"C")</f>
        <v>C</v>
      </c>
      <c r="AM23901" s="4" t="s">
        <v>375</v>
      </c>
      <c r="AN23901" s="4" t="s">
        <v>375</v>
      </c>
      <c r="AO23901" s="4" t="s">
        <v>375</v>
      </c>
      <c r="AP23901" s="4" t="s">
        <v>376</v>
      </c>
      <c r="AR23901" s="4" t="s">
        <v>377</v>
      </c>
    </row>
    <row r="23902" spans="1:44" ht="30">
      <c r="A23902" s="4" t="s">
        <v>24364</v>
      </c>
      <c r="B23902" s="4">
        <v>88108</v>
      </c>
      <c r="D23902" s="5" t="s">
        <v>31198</v>
      </c>
      <c r="E23902" s="6" t="str">
        <f>HYPERLINK("https://inpn.mnhn.fr/espece/cd_nom/88108","Carduus defloratus L., 1759")</f>
        <v>Carduus defloratus L., 1759</v>
      </c>
      <c r="F23902" s="5" t="s">
        <v>28391</v>
      </c>
      <c r="M23902" s="4" t="str">
        <f>HYPERLINK("#Réglementation!A"&amp;_xlfn.XMATCH("RV26",Réglementation!A:A,2,1),"RV26")</f>
        <v>RV26</v>
      </c>
      <c r="Q23902" s="7" t="str">
        <f>HYPERLINK("#Liste_rouge!A"&amp;_xlfn.XMATCH("LC",Liste_rouge!A:A,2,1),"LC")</f>
        <v>LC</v>
      </c>
      <c r="T23902" s="7" t="str">
        <f>HYPERLINK("#Liste_rouge!A"&amp;_xlfn.XMATCH("VU",Liste_rouge!A:A,2,1),"VU")</f>
        <v>VU</v>
      </c>
      <c r="U23902" s="4" t="str">
        <f>HYPERLINK("#Critères_liste_rouge!A$1","D2")</f>
        <v>D2</v>
      </c>
      <c r="V23902" s="7" t="str">
        <f>HYPERLINK("#Liste_rouge!A"&amp;_xlfn.XMATCH("LC",Liste_rouge!A:A,2,1),"LC")</f>
        <v>LC</v>
      </c>
      <c r="AB23902" s="4" t="s">
        <v>24634</v>
      </c>
      <c r="AH23902" s="4" t="str">
        <f>HYPERLINK("#Statut_biogéographique!A"&amp;_xlfn.XMATCH("P",Statut_biogéographique!A:A,2,1),"P")</f>
        <v>P</v>
      </c>
      <c r="AM23902" s="4" t="s">
        <v>375</v>
      </c>
      <c r="AN23902" s="4" t="s">
        <v>375</v>
      </c>
      <c r="AO23902" s="4" t="s">
        <v>375</v>
      </c>
      <c r="AP23902" s="4" t="s">
        <v>376</v>
      </c>
      <c r="AR23902" s="4" t="s">
        <v>377</v>
      </c>
    </row>
    <row r="23903" spans="1:44">
      <c r="A23903" s="4" t="s">
        <v>24364</v>
      </c>
      <c r="B23903" s="4">
        <v>88165</v>
      </c>
      <c r="D23903" s="5" t="s">
        <v>31199</v>
      </c>
      <c r="E23903" s="6" t="str">
        <f>HYPERLINK("https://inpn.mnhn.fr/espece/cd_nom/88165","Carduus nigrescens Vill., 1779")</f>
        <v>Carduus nigrescens Vill., 1779</v>
      </c>
      <c r="F23903" s="5" t="s">
        <v>31200</v>
      </c>
      <c r="Q23903" s="7" t="str">
        <f>HYPERLINK("#Liste_rouge!A"&amp;_xlfn.XMATCH("LC",Liste_rouge!A:A,2,1),"LC")</f>
        <v>LC</v>
      </c>
      <c r="AH23903" s="4" t="str">
        <f>HYPERLINK("#Statut_biogéographique!A"&amp;_xlfn.XMATCH("P",Statut_biogéographique!A:A,2,1),"P")</f>
        <v>P</v>
      </c>
      <c r="AP23903" s="4" t="s">
        <v>376</v>
      </c>
      <c r="AR23903" s="4" t="s">
        <v>377</v>
      </c>
    </row>
    <row r="23904" spans="1:44">
      <c r="A23904" s="4" t="s">
        <v>24364</v>
      </c>
      <c r="B23904" s="4">
        <v>88167</v>
      </c>
      <c r="D23904" s="5" t="s">
        <v>31201</v>
      </c>
      <c r="E23904" s="6" t="str">
        <f>HYPERLINK("https://inpn.mnhn.fr/espece/cd_nom/88167","Carduus nutans L., 1753")</f>
        <v>Carduus nutans L., 1753</v>
      </c>
      <c r="F23904" s="5" t="s">
        <v>28392</v>
      </c>
      <c r="Q23904" s="7" t="str">
        <f>HYPERLINK("#Liste_rouge!A"&amp;_xlfn.XMATCH("LC",Liste_rouge!A:A,2,1),"LC")</f>
        <v>LC</v>
      </c>
      <c r="T23904" s="7" t="str">
        <f>HYPERLINK("#Liste_rouge!A"&amp;_xlfn.XMATCH("LC",Liste_rouge!A:A,2,1),"LC")</f>
        <v>LC</v>
      </c>
      <c r="V23904" s="7" t="str">
        <f>HYPERLINK("#Liste_rouge!A"&amp;_xlfn.XMATCH("LC",Liste_rouge!A:A,2,1),"LC")</f>
        <v>LC</v>
      </c>
      <c r="AH23904" s="4" t="str">
        <f>HYPERLINK("#Statut_biogéographique!A"&amp;_xlfn.XMATCH("P",Statut_biogéographique!A:A,2,1),"P")</f>
        <v>P</v>
      </c>
      <c r="AM23904" s="4" t="s">
        <v>375</v>
      </c>
      <c r="AN23904" s="4" t="s">
        <v>375</v>
      </c>
      <c r="AO23904" s="4" t="s">
        <v>375</v>
      </c>
      <c r="AP23904" s="4" t="s">
        <v>376</v>
      </c>
      <c r="AR23904" s="4" t="s">
        <v>377</v>
      </c>
    </row>
    <row r="23905" spans="1:44">
      <c r="A23905" s="4" t="s">
        <v>24364</v>
      </c>
      <c r="B23905" s="4">
        <v>88178</v>
      </c>
      <c r="D23905" s="5" t="s">
        <v>31202</v>
      </c>
      <c r="E23905" s="6" t="str">
        <f>HYPERLINK("https://inpn.mnhn.fr/espece/cd_nom/88178","Carduus personata (L.) Jacq., 1776")</f>
        <v>Carduus personata (L.) Jacq., 1776</v>
      </c>
      <c r="F23905" s="5" t="s">
        <v>31203</v>
      </c>
      <c r="Q23905" s="7" t="str">
        <f>HYPERLINK("#Liste_rouge!A"&amp;_xlfn.XMATCH("LC",Liste_rouge!A:A,2,1),"LC")</f>
        <v>LC</v>
      </c>
      <c r="V23905" s="7" t="str">
        <f>HYPERLINK("#Liste_rouge!A"&amp;_xlfn.XMATCH("LC",Liste_rouge!A:A,2,1),"LC")</f>
        <v>LC</v>
      </c>
      <c r="AB23905" s="4" t="s">
        <v>24719</v>
      </c>
      <c r="AH23905" s="4" t="str">
        <f>HYPERLINK("#Statut_biogéographique!A"&amp;_xlfn.XMATCH("P",Statut_biogéographique!A:A,2,1),"P")</f>
        <v>P</v>
      </c>
      <c r="AM23905" s="4" t="s">
        <v>375</v>
      </c>
      <c r="AN23905" s="4" t="s">
        <v>375</v>
      </c>
      <c r="AO23905" s="4" t="s">
        <v>375</v>
      </c>
      <c r="AP23905" s="4" t="s">
        <v>376</v>
      </c>
      <c r="AR23905" s="4" t="s">
        <v>377</v>
      </c>
    </row>
    <row r="23906" spans="1:44" ht="30">
      <c r="A23906" s="4" t="s">
        <v>24364</v>
      </c>
      <c r="B23906" s="4">
        <v>88191</v>
      </c>
      <c r="D23906" s="5" t="s">
        <v>31204</v>
      </c>
      <c r="E23906" s="6" t="str">
        <f>HYPERLINK("https://inpn.mnhn.fr/espece/cd_nom/88191","Carduus pycnocephalus L., 1763")</f>
        <v>Carduus pycnocephalus L., 1763</v>
      </c>
      <c r="F23906" s="5" t="s">
        <v>28394</v>
      </c>
      <c r="Q23906" s="7" t="str">
        <f>HYPERLINK("#Liste_rouge!A"&amp;_xlfn.XMATCH("LC",Liste_rouge!A:A,2,1),"LC")</f>
        <v>LC</v>
      </c>
      <c r="T23906" s="7" t="str">
        <f>HYPERLINK("#Liste_rouge!A"&amp;_xlfn.XMATCH("NA",Liste_rouge!A:A,2,1),"NA")</f>
        <v>NA</v>
      </c>
      <c r="AH23906" s="4" t="str">
        <f>HYPERLINK("#Statut_biogéographique!A"&amp;_xlfn.XMATCH("P",Statut_biogéographique!A:A,2,1),"P")</f>
        <v>P</v>
      </c>
      <c r="AM23906" s="4" t="s">
        <v>375</v>
      </c>
      <c r="AN23906" s="4" t="s">
        <v>375</v>
      </c>
      <c r="AO23906" s="4" t="s">
        <v>375</v>
      </c>
      <c r="AP23906" s="4" t="s">
        <v>376</v>
      </c>
      <c r="AR23906" s="4" t="s">
        <v>377</v>
      </c>
    </row>
    <row r="23907" spans="1:44" ht="45">
      <c r="A23907" s="4" t="s">
        <v>24364</v>
      </c>
      <c r="B23907" s="4">
        <v>88207</v>
      </c>
      <c r="D23907" s="5" t="s">
        <v>31205</v>
      </c>
      <c r="E23907" s="6" t="str">
        <f>HYPERLINK("https://inpn.mnhn.fr/espece/cd_nom/88207","Carduus tenuiflorus Curtis, 1793")</f>
        <v>Carduus tenuiflorus Curtis, 1793</v>
      </c>
      <c r="F23907" s="5" t="s">
        <v>31206</v>
      </c>
      <c r="Q23907" s="7" t="str">
        <f>HYPERLINK("#Liste_rouge!A"&amp;_xlfn.XMATCH("LC",Liste_rouge!A:A,2,1),"LC")</f>
        <v>LC</v>
      </c>
      <c r="T23907" s="7" t="str">
        <f>HYPERLINK("#Liste_rouge!A"&amp;_xlfn.XMATCH("LC",Liste_rouge!A:A,2,1),"LC")</f>
        <v>LC</v>
      </c>
      <c r="AH23907" s="4" t="str">
        <f>HYPERLINK("#Statut_biogéographique!A"&amp;_xlfn.XMATCH("P",Statut_biogéographique!A:A,2,1),"P")</f>
        <v>P</v>
      </c>
      <c r="AM23907" s="4" t="s">
        <v>375</v>
      </c>
      <c r="AN23907" s="4" t="s">
        <v>375</v>
      </c>
      <c r="AO23907" s="4" t="s">
        <v>375</v>
      </c>
      <c r="AP23907" s="4" t="s">
        <v>376</v>
      </c>
      <c r="AR23907" s="4" t="s">
        <v>377</v>
      </c>
    </row>
    <row r="23908" spans="1:44">
      <c r="A23908" s="4" t="s">
        <v>24364</v>
      </c>
      <c r="B23908" s="4">
        <v>88235</v>
      </c>
      <c r="D23908" s="5" t="s">
        <v>31207</v>
      </c>
      <c r="E23908" s="6" t="str">
        <f>HYPERLINK("https://inpn.mnhn.fr/espece/cd_nom/88235","Carduus x brunneri Döll, 1859")</f>
        <v>Carduus x brunneri Döll, 1859</v>
      </c>
      <c r="F23908" s="5" t="s">
        <v>31208</v>
      </c>
      <c r="T23908" s="7" t="str">
        <f>HYPERLINK("#Liste_rouge!A"&amp;_xlfn.XMATCH("DD",Liste_rouge!A:A,2,1),"DD")</f>
        <v>DD</v>
      </c>
      <c r="AH23908" s="4" t="str">
        <f>HYPERLINK("#Statut_biogéographique!A"&amp;_xlfn.XMATCH("D",Statut_biogéographique!A:A,2,1),"D")</f>
        <v>D</v>
      </c>
      <c r="AP23908" s="4" t="s">
        <v>376</v>
      </c>
      <c r="AR23908" s="4" t="s">
        <v>377</v>
      </c>
    </row>
    <row r="23909" spans="1:44">
      <c r="A23909" s="4" t="s">
        <v>24364</v>
      </c>
      <c r="B23909" s="4">
        <v>88250</v>
      </c>
      <c r="D23909" s="5">
        <v>88250</v>
      </c>
      <c r="E23909" s="6" t="str">
        <f>HYPERLINK("https://inpn.mnhn.fr/espece/cd_nom/88250","Carduus x grenieri Sch.Bip. ex Nyman, 1879")</f>
        <v>Carduus x grenieri Sch.Bip. ex Nyman, 1879</v>
      </c>
      <c r="F23909" s="5" t="s">
        <v>31209</v>
      </c>
      <c r="AH23909" s="4" t="str">
        <f>HYPERLINK("#Statut_biogéographique!A"&amp;_xlfn.XMATCH("D",Statut_biogéographique!A:A,2,1),"D")</f>
        <v>D</v>
      </c>
      <c r="AP23909" s="4" t="s">
        <v>376</v>
      </c>
      <c r="AR23909" s="4" t="s">
        <v>377</v>
      </c>
    </row>
    <row r="23910" spans="1:44" ht="30">
      <c r="A23910" s="4" t="s">
        <v>24364</v>
      </c>
      <c r="B23910" s="4">
        <v>88275</v>
      </c>
      <c r="D23910" s="5" t="s">
        <v>31210</v>
      </c>
      <c r="E23910" s="6" t="str">
        <f>HYPERLINK("https://inpn.mnhn.fr/espece/cd_nom/88275","Carduus x naegelii Brügger, 1880")</f>
        <v>Carduus x naegelii Brügger, 1880</v>
      </c>
      <c r="F23910" s="5" t="s">
        <v>31211</v>
      </c>
      <c r="AH23910" s="4" t="str">
        <f>HYPERLINK("#Statut_biogéographique!A"&amp;_xlfn.XMATCH("D",Statut_biogéographique!A:A,2,1),"D")</f>
        <v>D</v>
      </c>
      <c r="AP23910" s="4" t="s">
        <v>376</v>
      </c>
      <c r="AR23910" s="4" t="s">
        <v>377</v>
      </c>
    </row>
    <row r="23911" spans="1:44" ht="30">
      <c r="A23911" s="4" t="s">
        <v>24364</v>
      </c>
      <c r="B23911" s="4">
        <v>88298</v>
      </c>
      <c r="D23911" s="5" t="s">
        <v>31212</v>
      </c>
      <c r="E23911" s="6" t="str">
        <f>HYPERLINK("https://inpn.mnhn.fr/espece/cd_nom/88298","Carduus x stangii H.Buek, 1844")</f>
        <v>Carduus x stangii H.Buek, 1844</v>
      </c>
      <c r="F23911" s="5" t="s">
        <v>31213</v>
      </c>
      <c r="T23911" s="7" t="str">
        <f>HYPERLINK("#Liste_rouge!A"&amp;_xlfn.XMATCH("NE",Liste_rouge!A:A,2,1),"NE")</f>
        <v>NE</v>
      </c>
      <c r="AH23911" s="4" t="str">
        <f>HYPERLINK("#Statut_biogéographique!A"&amp;_xlfn.XMATCH("D",Statut_biogéographique!A:A,2,1),"D")</f>
        <v>D</v>
      </c>
      <c r="AP23911" s="4" t="s">
        <v>376</v>
      </c>
      <c r="AR23911" s="4" t="s">
        <v>377</v>
      </c>
    </row>
    <row r="23912" spans="1:44" ht="105">
      <c r="A23912" s="4" t="s">
        <v>24364</v>
      </c>
      <c r="B23912" s="4">
        <v>88314</v>
      </c>
      <c r="D23912" s="5" t="s">
        <v>31214</v>
      </c>
      <c r="E23912" s="6" t="str">
        <f>HYPERLINK("https://inpn.mnhn.fr/espece/cd_nom/88314","Carex acuta L., 1753")</f>
        <v>Carex acuta L., 1753</v>
      </c>
      <c r="F23912" s="5" t="s">
        <v>31215</v>
      </c>
      <c r="O23912" s="7" t="str">
        <f>HYPERLINK("#Liste_rouge!A"&amp;_xlfn.XMATCH("LC",Liste_rouge!A:A,2,1),"LC")</f>
        <v>LC</v>
      </c>
      <c r="P23912" s="7" t="str">
        <f>HYPERLINK("#Liste_rouge!A"&amp;_xlfn.XMATCH("LC",Liste_rouge!A:A,2,1),"LC")</f>
        <v>LC</v>
      </c>
      <c r="Q23912" s="7" t="str">
        <f>HYPERLINK("#Liste_rouge!A"&amp;_xlfn.XMATCH("LC",Liste_rouge!A:A,2,1),"LC")</f>
        <v>LC</v>
      </c>
      <c r="T23912" s="7" t="str">
        <f>HYPERLINK("#Liste_rouge!A"&amp;_xlfn.XMATCH("LC",Liste_rouge!A:A,2,1),"LC")</f>
        <v>LC</v>
      </c>
      <c r="V23912" s="7" t="str">
        <f>HYPERLINK("#Liste_rouge!A"&amp;_xlfn.XMATCH("LC",Liste_rouge!A:A,2,1),"LC")</f>
        <v>LC</v>
      </c>
      <c r="AH23912" s="4" t="str">
        <f>HYPERLINK("#Statut_biogéographique!A"&amp;_xlfn.XMATCH("P",Statut_biogéographique!A:A,2,1),"P")</f>
        <v>P</v>
      </c>
      <c r="AM23912" s="4" t="s">
        <v>375</v>
      </c>
      <c r="AN23912" s="4" t="s">
        <v>375</v>
      </c>
      <c r="AO23912" s="4" t="s">
        <v>375</v>
      </c>
      <c r="AP23912" s="4" t="s">
        <v>376</v>
      </c>
      <c r="AR23912" s="4" t="s">
        <v>377</v>
      </c>
    </row>
    <row r="23913" spans="1:44" ht="45">
      <c r="A23913" s="4" t="s">
        <v>24364</v>
      </c>
      <c r="B23913" s="4">
        <v>88318</v>
      </c>
      <c r="D23913" s="5" t="s">
        <v>31216</v>
      </c>
      <c r="E23913" s="6" t="str">
        <f>HYPERLINK("https://inpn.mnhn.fr/espece/cd_nom/88318","Carex acutiformis Ehrh., 1789")</f>
        <v>Carex acutiformis Ehrh., 1789</v>
      </c>
      <c r="F23913" s="5" t="s">
        <v>31217</v>
      </c>
      <c r="O23913" s="7" t="str">
        <f>HYPERLINK("#Liste_rouge!A"&amp;_xlfn.XMATCH("LC",Liste_rouge!A:A,2,1),"LC")</f>
        <v>LC</v>
      </c>
      <c r="P23913" s="7" t="str">
        <f>HYPERLINK("#Liste_rouge!A"&amp;_xlfn.XMATCH("LC",Liste_rouge!A:A,2,1),"LC")</f>
        <v>LC</v>
      </c>
      <c r="Q23913" s="7" t="str">
        <f>HYPERLINK("#Liste_rouge!A"&amp;_xlfn.XMATCH("LC",Liste_rouge!A:A,2,1),"LC")</f>
        <v>LC</v>
      </c>
      <c r="T23913" s="7" t="str">
        <f>HYPERLINK("#Liste_rouge!A"&amp;_xlfn.XMATCH("LC",Liste_rouge!A:A,2,1),"LC")</f>
        <v>LC</v>
      </c>
      <c r="V23913" s="7" t="str">
        <f>HYPERLINK("#Liste_rouge!A"&amp;_xlfn.XMATCH("LC",Liste_rouge!A:A,2,1),"LC")</f>
        <v>LC</v>
      </c>
      <c r="AH23913" s="4" t="str">
        <f>HYPERLINK("#Statut_biogéographique!A"&amp;_xlfn.XMATCH("P",Statut_biogéographique!A:A,2,1),"P")</f>
        <v>P</v>
      </c>
      <c r="AM23913" s="4" t="s">
        <v>375</v>
      </c>
      <c r="AN23913" s="4" t="s">
        <v>375</v>
      </c>
      <c r="AO23913" s="4" t="s">
        <v>375</v>
      </c>
      <c r="AP23913" s="4" t="s">
        <v>376</v>
      </c>
      <c r="AR23913" s="4" t="s">
        <v>377</v>
      </c>
    </row>
    <row r="23914" spans="1:44">
      <c r="A23914" s="4" t="s">
        <v>24364</v>
      </c>
      <c r="B23914" s="4">
        <v>88323</v>
      </c>
      <c r="D23914" s="5">
        <v>88323</v>
      </c>
      <c r="E23914" s="6" t="str">
        <f>HYPERLINK("https://inpn.mnhn.fr/espece/cd_nom/88323","Carex agastachys Ehrh. ex L.f., 1782")</f>
        <v>Carex agastachys Ehrh. ex L.f., 1782</v>
      </c>
      <c r="AH23914" s="4" t="str">
        <f>HYPERLINK("#Statut_biogéographique!A"&amp;_xlfn.XMATCH("P",Statut_biogéographique!A:A,2,1),"P")</f>
        <v>P</v>
      </c>
      <c r="AP23914" s="4" t="s">
        <v>376</v>
      </c>
      <c r="AR23914" s="4" t="s">
        <v>377</v>
      </c>
    </row>
    <row r="23915" spans="1:44">
      <c r="A23915" s="4" t="s">
        <v>24364</v>
      </c>
      <c r="B23915" s="4">
        <v>88324</v>
      </c>
      <c r="D23915" s="5" t="s">
        <v>31218</v>
      </c>
      <c r="E23915" s="6" t="str">
        <f>HYPERLINK("https://inpn.mnhn.fr/espece/cd_nom/88324","Carex alba Scop., 1772")</f>
        <v>Carex alba Scop., 1772</v>
      </c>
      <c r="F23915" s="5" t="s">
        <v>31219</v>
      </c>
      <c r="Q23915" s="7" t="str">
        <f>HYPERLINK("#Liste_rouge!A"&amp;_xlfn.XMATCH("LC",Liste_rouge!A:A,2,1),"LC")</f>
        <v>LC</v>
      </c>
      <c r="T23915" s="7" t="str">
        <f>HYPERLINK("#Liste_rouge!A"&amp;_xlfn.XMATCH("LC",Liste_rouge!A:A,2,1),"LC")</f>
        <v>LC</v>
      </c>
      <c r="V23915" s="7" t="str">
        <f>HYPERLINK("#Liste_rouge!A"&amp;_xlfn.XMATCH("LC",Liste_rouge!A:A,2,1),"LC")</f>
        <v>LC</v>
      </c>
      <c r="AB23915" s="4" t="s">
        <v>26166</v>
      </c>
      <c r="AH23915" s="4" t="str">
        <f>HYPERLINK("#Statut_biogéographique!A"&amp;_xlfn.XMATCH("P",Statut_biogéographique!A:A,2,1),"P")</f>
        <v>P</v>
      </c>
      <c r="AM23915" s="4" t="s">
        <v>375</v>
      </c>
      <c r="AN23915" s="4" t="s">
        <v>375</v>
      </c>
      <c r="AO23915" s="4" t="s">
        <v>375</v>
      </c>
      <c r="AP23915" s="4" t="s">
        <v>376</v>
      </c>
      <c r="AR23915" s="4" t="s">
        <v>377</v>
      </c>
    </row>
    <row r="23916" spans="1:44">
      <c r="A23916" s="4" t="s">
        <v>24364</v>
      </c>
      <c r="B23916" s="4">
        <v>88344</v>
      </c>
      <c r="D23916" s="5" t="s">
        <v>31220</v>
      </c>
      <c r="E23916" s="6" t="str">
        <f>HYPERLINK("https://inpn.mnhn.fr/espece/cd_nom/88344","Carex appropinquata Schumach., 1801")</f>
        <v>Carex appropinquata Schumach., 1801</v>
      </c>
      <c r="F23916" s="5" t="s">
        <v>31221</v>
      </c>
      <c r="O23916" s="7" t="str">
        <f>HYPERLINK("#Liste_rouge!A"&amp;_xlfn.XMATCH("LC",Liste_rouge!A:A,2,1),"LC")</f>
        <v>LC</v>
      </c>
      <c r="P23916" s="7" t="str">
        <f>HYPERLINK("#Liste_rouge!A"&amp;_xlfn.XMATCH("LC",Liste_rouge!A:A,2,1),"LC")</f>
        <v>LC</v>
      </c>
      <c r="Q23916" s="7" t="str">
        <f>HYPERLINK("#Liste_rouge!A"&amp;_xlfn.XMATCH("LC",Liste_rouge!A:A,2,1),"LC")</f>
        <v>LC</v>
      </c>
      <c r="T23916" s="7" t="str">
        <f>HYPERLINK("#Liste_rouge!A"&amp;_xlfn.XMATCH("EN",Liste_rouge!A:A,2,1),"EN")</f>
        <v>EN</v>
      </c>
      <c r="U23916" s="4" t="str">
        <f>HYPERLINK("#Critères_liste_rouge!A$1","D1")</f>
        <v>D1</v>
      </c>
      <c r="V23916" s="7" t="str">
        <f>HYPERLINK("#Liste_rouge!A"&amp;_xlfn.XMATCH("LC",Liste_rouge!A:A,2,1),"LC")</f>
        <v>LC</v>
      </c>
      <c r="AB23916" s="4" t="s">
        <v>28027</v>
      </c>
      <c r="AH23916" s="4" t="str">
        <f>HYPERLINK("#Statut_biogéographique!A"&amp;_xlfn.XMATCH("P",Statut_biogéographique!A:A,2,1),"P")</f>
        <v>P</v>
      </c>
      <c r="AM23916" s="4" t="s">
        <v>375</v>
      </c>
      <c r="AN23916" s="4" t="s">
        <v>375</v>
      </c>
      <c r="AO23916" s="4" t="s">
        <v>375</v>
      </c>
      <c r="AP23916" s="4" t="s">
        <v>376</v>
      </c>
      <c r="AR23916" s="4" t="s">
        <v>377</v>
      </c>
    </row>
    <row r="23917" spans="1:44" ht="30">
      <c r="A23917" s="4" t="s">
        <v>24364</v>
      </c>
      <c r="B23917" s="4">
        <v>88349</v>
      </c>
      <c r="D23917" s="5" t="s">
        <v>31222</v>
      </c>
      <c r="E23917" s="6" t="str">
        <f>HYPERLINK("https://inpn.mnhn.fr/espece/cd_nom/88349","Carex arenaria L., 1753")</f>
        <v>Carex arenaria L., 1753</v>
      </c>
      <c r="F23917" s="5" t="s">
        <v>31223</v>
      </c>
      <c r="Q23917" s="7" t="str">
        <f>HYPERLINK("#Liste_rouge!A"&amp;_xlfn.XMATCH("LC",Liste_rouge!A:A,2,1),"LC")</f>
        <v>LC</v>
      </c>
      <c r="AH23917" s="4" t="str">
        <f>HYPERLINK("#Statut_biogéographique!A"&amp;_xlfn.XMATCH("P",Statut_biogéographique!A:A,2,1),"P")</f>
        <v>P</v>
      </c>
      <c r="AP23917" s="4" t="s">
        <v>376</v>
      </c>
      <c r="AR23917" s="4" t="s">
        <v>377</v>
      </c>
    </row>
    <row r="23918" spans="1:44" ht="30">
      <c r="A23918" s="4" t="s">
        <v>24364</v>
      </c>
      <c r="B23918" s="4">
        <v>88387</v>
      </c>
      <c r="D23918" s="5" t="s">
        <v>31224</v>
      </c>
      <c r="E23918" s="6" t="str">
        <f>HYPERLINK("https://inpn.mnhn.fr/espece/cd_nom/88387","Carex bohemica Schreb., 1772")</f>
        <v>Carex bohemica Schreb., 1772</v>
      </c>
      <c r="F23918" s="5" t="s">
        <v>31225</v>
      </c>
      <c r="Q23918" s="7" t="str">
        <f>HYPERLINK("#Liste_rouge!A"&amp;_xlfn.XMATCH("LC",Liste_rouge!A:A,2,1),"LC")</f>
        <v>LC</v>
      </c>
      <c r="T23918" s="7" t="str">
        <f>HYPERLINK("#Liste_rouge!A"&amp;_xlfn.XMATCH("EN",Liste_rouge!A:A,2,1),"EN")</f>
        <v>EN</v>
      </c>
      <c r="U23918" s="4" t="str">
        <f>HYPERLINK("#Critères_liste_rouge!A$1","B2a")</f>
        <v>B2a</v>
      </c>
      <c r="V23918" s="7" t="str">
        <f>HYPERLINK("#Liste_rouge!A"&amp;_xlfn.XMATCH("LC",Liste_rouge!A:A,2,1),"LC")</f>
        <v>LC</v>
      </c>
      <c r="AB23918" s="4" t="s">
        <v>31226</v>
      </c>
      <c r="AH23918" s="4" t="str">
        <f>HYPERLINK("#Statut_biogéographique!A"&amp;_xlfn.XMATCH("P",Statut_biogéographique!A:A,2,1),"P")</f>
        <v>P</v>
      </c>
      <c r="AM23918" s="4" t="s">
        <v>375</v>
      </c>
      <c r="AN23918" s="4" t="s">
        <v>375</v>
      </c>
      <c r="AO23918" s="4" t="s">
        <v>375</v>
      </c>
      <c r="AP23918" s="4" t="s">
        <v>376</v>
      </c>
      <c r="AR23918" s="4" t="s">
        <v>377</v>
      </c>
    </row>
    <row r="23919" spans="1:44" ht="30">
      <c r="A23919" s="4" t="s">
        <v>24364</v>
      </c>
      <c r="B23919" s="4">
        <v>88389</v>
      </c>
      <c r="D23919" s="5" t="s">
        <v>31227</v>
      </c>
      <c r="E23919" s="6" t="str">
        <f>HYPERLINK("https://inpn.mnhn.fr/espece/cd_nom/88389","Carex brachystachys Schrank, 1789")</f>
        <v>Carex brachystachys Schrank, 1789</v>
      </c>
      <c r="F23919" s="5" t="s">
        <v>31228</v>
      </c>
      <c r="Q23919" s="7" t="str">
        <f>HYPERLINK("#Liste_rouge!A"&amp;_xlfn.XMATCH("LC",Liste_rouge!A:A,2,1),"LC")</f>
        <v>LC</v>
      </c>
      <c r="V23919" s="7" t="str">
        <f>HYPERLINK("#Liste_rouge!A"&amp;_xlfn.XMATCH("LC",Liste_rouge!A:A,2,1),"LC")</f>
        <v>LC</v>
      </c>
      <c r="X23919" s="5" t="s">
        <v>374</v>
      </c>
      <c r="AB23919" s="4" t="s">
        <v>93</v>
      </c>
      <c r="AH23919" s="4" t="str">
        <f>HYPERLINK("#Statut_biogéographique!A"&amp;_xlfn.XMATCH("P",Statut_biogéographique!A:A,2,1),"P")</f>
        <v>P</v>
      </c>
      <c r="AM23919" s="4" t="s">
        <v>375</v>
      </c>
      <c r="AN23919" s="4" t="s">
        <v>375</v>
      </c>
      <c r="AO23919" s="4" t="s">
        <v>375</v>
      </c>
      <c r="AP23919" s="4" t="s">
        <v>376</v>
      </c>
      <c r="AR23919" s="4" t="s">
        <v>377</v>
      </c>
    </row>
    <row r="23920" spans="1:44" ht="45">
      <c r="A23920" s="4" t="s">
        <v>24364</v>
      </c>
      <c r="B23920" s="4">
        <v>883894</v>
      </c>
      <c r="D23920" s="5" t="s">
        <v>31229</v>
      </c>
      <c r="E23920" s="6" t="str">
        <f>HYPERLINK("https://inpn.mnhn.fr/espece/cd_nom/883894","Koenigia polystachya (Wall. ex Meisn.) T.M.Schust. &amp; Reveal, 2015")</f>
        <v>Koenigia polystachya (Wall. ex Meisn.) T.M.Schust. &amp; Reveal, 2015</v>
      </c>
      <c r="F23920" s="5" t="s">
        <v>31230</v>
      </c>
      <c r="Q23920" s="7" t="str">
        <f>HYPERLINK("#Liste_rouge!A"&amp;_xlfn.XMATCH("NA",Liste_rouge!A:A,2,1),"NA")</f>
        <v>NA</v>
      </c>
      <c r="AH23920" s="4" t="str">
        <f>HYPERLINK("#Statut_biogéographique!A"&amp;_xlfn.XMATCH("I",Statut_biogéographique!A:A,2,1),"I")</f>
        <v>I</v>
      </c>
      <c r="AL23920" s="5" t="str">
        <f>HYPERLINK("#Réglementation!A"&amp;_xlfn.XMATCH("EEEUE",Réglementation!A:A,2,1),"EEEUE")</f>
        <v>EEEUE</v>
      </c>
      <c r="AM23920" s="4" t="s">
        <v>375</v>
      </c>
      <c r="AN23920" s="4" t="s">
        <v>375</v>
      </c>
      <c r="AO23920" s="4" t="s">
        <v>375</v>
      </c>
      <c r="AP23920" s="4" t="s">
        <v>376</v>
      </c>
      <c r="AR23920" s="4" t="s">
        <v>377</v>
      </c>
    </row>
    <row r="23921" spans="1:44">
      <c r="A23921" s="4" t="s">
        <v>24364</v>
      </c>
      <c r="B23921" s="4">
        <v>88395</v>
      </c>
      <c r="D23921" s="5" t="s">
        <v>31231</v>
      </c>
      <c r="E23921" s="6" t="str">
        <f>HYPERLINK("https://inpn.mnhn.fr/espece/cd_nom/88395","Carex brizoides L., 1755")</f>
        <v>Carex brizoides L., 1755</v>
      </c>
      <c r="F23921" s="5" t="s">
        <v>31232</v>
      </c>
      <c r="Q23921" s="7" t="str">
        <f>HYPERLINK("#Liste_rouge!A"&amp;_xlfn.XMATCH("LC",Liste_rouge!A:A,2,1),"LC")</f>
        <v>LC</v>
      </c>
      <c r="T23921" s="7" t="str">
        <f>HYPERLINK("#Liste_rouge!A"&amp;_xlfn.XMATCH("LC",Liste_rouge!A:A,2,1),"LC")</f>
        <v>LC</v>
      </c>
      <c r="V23921" s="7" t="str">
        <f>HYPERLINK("#Liste_rouge!A"&amp;_xlfn.XMATCH("LC",Liste_rouge!A:A,2,1),"LC")</f>
        <v>LC</v>
      </c>
      <c r="AB23921" s="4" t="s">
        <v>26166</v>
      </c>
      <c r="AH23921" s="4" t="str">
        <f>HYPERLINK("#Statut_biogéographique!A"&amp;_xlfn.XMATCH("P",Statut_biogéographique!A:A,2,1),"P")</f>
        <v>P</v>
      </c>
      <c r="AM23921" s="4" t="s">
        <v>375</v>
      </c>
      <c r="AN23921" s="4" t="s">
        <v>375</v>
      </c>
      <c r="AO23921" s="4" t="s">
        <v>375</v>
      </c>
      <c r="AP23921" s="4" t="s">
        <v>376</v>
      </c>
      <c r="AR23921" s="4" t="s">
        <v>377</v>
      </c>
    </row>
    <row r="23922" spans="1:44" ht="30">
      <c r="A23922" s="4" t="s">
        <v>24364</v>
      </c>
      <c r="B23922" s="4">
        <v>88404</v>
      </c>
      <c r="D23922" s="5" t="s">
        <v>31233</v>
      </c>
      <c r="E23922" s="6" t="str">
        <f>HYPERLINK("https://inpn.mnhn.fr/espece/cd_nom/88404","Carex buxbaumii Wahlenb., 1803")</f>
        <v>Carex buxbaumii Wahlenb., 1803</v>
      </c>
      <c r="F23922" s="5" t="s">
        <v>31234</v>
      </c>
      <c r="L23922" s="4" t="str">
        <f>HYPERLINK("#Réglementation!A"&amp;_xlfn.XMATCH("NV1",Réglementation!A:A,2,1),"NV1")</f>
        <v>NV1</v>
      </c>
      <c r="Q23922" s="7" t="str">
        <f>HYPERLINK("#Liste_rouge!A"&amp;_xlfn.XMATCH("NT",Liste_rouge!A:A,2,1),"NT")</f>
        <v>NT</v>
      </c>
      <c r="V23922" s="7" t="str">
        <f>HYPERLINK("#Liste_rouge!A"&amp;_xlfn.XMATCH("EN",Liste_rouge!A:A,2,1),"EN")</f>
        <v>EN</v>
      </c>
      <c r="W23922" s="4" t="str">
        <f>HYPERLINK("#Critères_liste_rouge!A$1","B2ab(iv)")</f>
        <v>B2ab(iv)</v>
      </c>
      <c r="X23922" s="5" t="s">
        <v>374</v>
      </c>
      <c r="AB23922" s="4" t="s">
        <v>93</v>
      </c>
      <c r="AE23922" s="4" t="str">
        <f>HYPERLINK("#SCAP!A"&amp;_xlfn.XMATCH("A",SCAP!A:A,2,1),"A")</f>
        <v>A</v>
      </c>
      <c r="AH23922" s="4" t="str">
        <f>HYPERLINK("#Statut_biogéographique!A"&amp;_xlfn.XMATCH("P",Statut_biogéographique!A:A,2,1),"P")</f>
        <v>P</v>
      </c>
      <c r="AM23922" s="4" t="s">
        <v>375</v>
      </c>
      <c r="AN23922" s="4" t="s">
        <v>375</v>
      </c>
      <c r="AO23922" s="4" t="s">
        <v>375</v>
      </c>
      <c r="AP23922" s="4" t="s">
        <v>376</v>
      </c>
      <c r="AR23922" s="4" t="s">
        <v>377</v>
      </c>
    </row>
    <row r="23923" spans="1:44" ht="30">
      <c r="A23923" s="4" t="s">
        <v>24364</v>
      </c>
      <c r="B23923" s="4">
        <v>88407</v>
      </c>
      <c r="D23923" s="5" t="s">
        <v>31235</v>
      </c>
      <c r="E23923" s="6" t="str">
        <f>HYPERLINK("https://inpn.mnhn.fr/espece/cd_nom/88407","Carex canescens L., 1753")</f>
        <v>Carex canescens L., 1753</v>
      </c>
      <c r="F23923" s="5" t="s">
        <v>31236</v>
      </c>
      <c r="O23923" s="7" t="str">
        <f>HYPERLINK("#Liste_rouge!A"&amp;_xlfn.XMATCH("LC",Liste_rouge!A:A,2,1),"LC")</f>
        <v>LC</v>
      </c>
      <c r="P23923" s="7" t="str">
        <f>HYPERLINK("#Liste_rouge!A"&amp;_xlfn.XMATCH("LC",Liste_rouge!A:A,2,1),"LC")</f>
        <v>LC</v>
      </c>
      <c r="Q23923" s="7" t="str">
        <f>HYPERLINK("#Liste_rouge!A"&amp;_xlfn.XMATCH("LC",Liste_rouge!A:A,2,1),"LC")</f>
        <v>LC</v>
      </c>
      <c r="T23923" s="7" t="str">
        <f>HYPERLINK("#Liste_rouge!A"&amp;_xlfn.XMATCH("NT",Liste_rouge!A:A,2,1),"NT")</f>
        <v>NT</v>
      </c>
      <c r="U23923" s="4" t="str">
        <f>HYPERLINK("#Critères_liste_rouge!A$1","pr. D2")</f>
        <v>pr. D2</v>
      </c>
      <c r="V23923" s="7" t="str">
        <f>HYPERLINK("#Liste_rouge!A"&amp;_xlfn.XMATCH("LC",Liste_rouge!A:A,2,1),"LC")</f>
        <v>LC</v>
      </c>
      <c r="AB23923" s="4" t="s">
        <v>31226</v>
      </c>
      <c r="AH23923" s="4" t="str">
        <f>HYPERLINK("#Statut_biogéographique!A"&amp;_xlfn.XMATCH("P",Statut_biogéographique!A:A,2,1),"P")</f>
        <v>P</v>
      </c>
      <c r="AM23923" s="4" t="s">
        <v>375</v>
      </c>
      <c r="AN23923" s="4" t="s">
        <v>375</v>
      </c>
      <c r="AO23923" s="4" t="s">
        <v>375</v>
      </c>
      <c r="AP23923" s="4" t="s">
        <v>376</v>
      </c>
      <c r="AR23923" s="4" t="s">
        <v>377</v>
      </c>
    </row>
    <row r="23924" spans="1:44" ht="60">
      <c r="A23924" s="4" t="s">
        <v>24364</v>
      </c>
      <c r="B23924" s="4">
        <v>88415</v>
      </c>
      <c r="D23924" s="5" t="s">
        <v>31237</v>
      </c>
      <c r="E23924" s="6" t="str">
        <f>HYPERLINK("https://inpn.mnhn.fr/espece/cd_nom/88415","Carex caryophyllea Latourr., 1785")</f>
        <v>Carex caryophyllea Latourr., 1785</v>
      </c>
      <c r="F23924" s="5" t="s">
        <v>31238</v>
      </c>
      <c r="Q23924" s="7" t="str">
        <f>HYPERLINK("#Liste_rouge!A"&amp;_xlfn.XMATCH("LC",Liste_rouge!A:A,2,1),"LC")</f>
        <v>LC</v>
      </c>
      <c r="T23924" s="7" t="str">
        <f>HYPERLINK("#Liste_rouge!A"&amp;_xlfn.XMATCH("DD",Liste_rouge!A:A,2,1),"DD (cd_nom 145123) - LC (cd_nom 88415)")</f>
        <v>DD (cd_nom 145123) - LC (cd_nom 88415)</v>
      </c>
      <c r="V23924" s="7" t="str">
        <f>HYPERLINK("#Liste_rouge!A"&amp;_xlfn.XMATCH("LC",Liste_rouge!A:A,2,1),"LC")</f>
        <v>LC</v>
      </c>
      <c r="AH23924" s="4" t="str">
        <f>HYPERLINK("#Statut_biogéographique!A"&amp;_xlfn.XMATCH("P",Statut_biogéographique!A:A,2,1),"P")</f>
        <v>P</v>
      </c>
      <c r="AM23924" s="4" t="s">
        <v>375</v>
      </c>
      <c r="AN23924" s="4" t="s">
        <v>375</v>
      </c>
      <c r="AO23924" s="4" t="s">
        <v>375</v>
      </c>
      <c r="AP23924" s="4" t="s">
        <v>376</v>
      </c>
      <c r="AR23924" s="4" t="s">
        <v>377</v>
      </c>
    </row>
    <row r="23925" spans="1:44" ht="45">
      <c r="A23925" s="4" t="s">
        <v>24364</v>
      </c>
      <c r="B23925" s="4">
        <v>88420</v>
      </c>
      <c r="D23925" s="5" t="s">
        <v>31239</v>
      </c>
      <c r="E23925" s="6" t="str">
        <f>HYPERLINK("https://inpn.mnhn.fr/espece/cd_nom/88420","Carex cespitosa L., 1753")</f>
        <v>Carex cespitosa L., 1753</v>
      </c>
      <c r="F23925" s="5" t="s">
        <v>31240</v>
      </c>
      <c r="M23925" s="4" t="str">
        <f>HYPERLINK("#Réglementation!A"&amp;_xlfn.XMATCH("RV43",Réglementation!A:A,2,1),"RV43")</f>
        <v>RV43</v>
      </c>
      <c r="Q23925" s="7" t="str">
        <f>HYPERLINK("#Liste_rouge!A"&amp;_xlfn.XMATCH("LC",Liste_rouge!A:A,2,1),"LC")</f>
        <v>LC</v>
      </c>
      <c r="V23925" s="7" t="str">
        <f>HYPERLINK("#Liste_rouge!A"&amp;_xlfn.XMATCH("NT",Liste_rouge!A:A,2,1),"NT")</f>
        <v>NT</v>
      </c>
      <c r="W23925" s="4" t="str">
        <f>HYPERLINK("#Critères_liste_rouge!A$1","pr. A3c B2b(iii)")</f>
        <v>pr. A3c B2b(iii)</v>
      </c>
      <c r="AB23925" s="4" t="s">
        <v>24909</v>
      </c>
      <c r="AH23925" s="4" t="str">
        <f>HYPERLINK("#Statut_biogéographique!A"&amp;_xlfn.XMATCH("P",Statut_biogéographique!A:A,2,1),"P")</f>
        <v>P</v>
      </c>
      <c r="AM23925" s="4" t="s">
        <v>375</v>
      </c>
      <c r="AN23925" s="4" t="s">
        <v>375</v>
      </c>
      <c r="AO23925" s="4" t="s">
        <v>375</v>
      </c>
      <c r="AP23925" s="4" t="s">
        <v>376</v>
      </c>
      <c r="AR23925" s="4" t="s">
        <v>377</v>
      </c>
    </row>
    <row r="23926" spans="1:44">
      <c r="A23926" s="4" t="s">
        <v>24364</v>
      </c>
      <c r="B23926" s="4">
        <v>88426</v>
      </c>
      <c r="D23926" s="5" t="s">
        <v>31241</v>
      </c>
      <c r="E23926" s="6" t="str">
        <f>HYPERLINK("https://inpn.mnhn.fr/espece/cd_nom/88426","Carex chordorrhiza L.f., 1782")</f>
        <v>Carex chordorrhiza L.f., 1782</v>
      </c>
      <c r="F23926" s="5" t="s">
        <v>31242</v>
      </c>
      <c r="L23926" s="4" t="str">
        <f>HYPERLINK("#Réglementation!A"&amp;_xlfn.XMATCH("NV1",Réglementation!A:A,2,1),"NV1")</f>
        <v>NV1</v>
      </c>
      <c r="O23926" s="7" t="str">
        <f>HYPERLINK("#Liste_rouge!A"&amp;_xlfn.XMATCH("LC",Liste_rouge!A:A,2,1),"LC")</f>
        <v>LC</v>
      </c>
      <c r="P23926" s="7" t="str">
        <f>HYPERLINK("#Liste_rouge!A"&amp;_xlfn.XMATCH("LC",Liste_rouge!A:A,2,1),"LC")</f>
        <v>LC</v>
      </c>
      <c r="Q23926" s="7" t="str">
        <f>HYPERLINK("#Liste_rouge!A"&amp;_xlfn.XMATCH("EN",Liste_rouge!A:A,2,1),"EN")</f>
        <v>EN</v>
      </c>
      <c r="V23926" s="7" t="str">
        <f>HYPERLINK("#Liste_rouge!A"&amp;_xlfn.XMATCH("EN",Liste_rouge!A:A,2,1),"EN")</f>
        <v>EN</v>
      </c>
      <c r="W23926" s="4" t="str">
        <f>HYPERLINK("#Critères_liste_rouge!A$1","B2ab(ii)")</f>
        <v>B2ab(ii)</v>
      </c>
      <c r="X23926" s="5" t="s">
        <v>374</v>
      </c>
      <c r="AB23926" s="4" t="s">
        <v>93</v>
      </c>
      <c r="AE23926" s="4" t="str">
        <f>HYPERLINK("#SCAP!A"&amp;_xlfn.XMATCH("A",SCAP!A:A,2,1),"A")</f>
        <v>A</v>
      </c>
      <c r="AH23926" s="4" t="str">
        <f>HYPERLINK("#Statut_biogéographique!A"&amp;_xlfn.XMATCH("P",Statut_biogéographique!A:A,2,1),"P")</f>
        <v>P</v>
      </c>
      <c r="AM23926" s="4" t="s">
        <v>375</v>
      </c>
      <c r="AN23926" s="4" t="s">
        <v>375</v>
      </c>
      <c r="AO23926" s="4" t="s">
        <v>375</v>
      </c>
      <c r="AP23926" s="4" t="s">
        <v>389</v>
      </c>
      <c r="AR23926" s="4" t="s">
        <v>377</v>
      </c>
    </row>
    <row r="23927" spans="1:44">
      <c r="A23927" s="4" t="s">
        <v>24364</v>
      </c>
      <c r="B23927" s="4">
        <v>88432</v>
      </c>
      <c r="D23927" s="5" t="s">
        <v>31243</v>
      </c>
      <c r="E23927" s="6" t="str">
        <f>HYPERLINK("https://inpn.mnhn.fr/espece/cd_nom/88432","Carex colchica J.Gay, 1838")</f>
        <v>Carex colchica J.Gay, 1838</v>
      </c>
      <c r="F23927" s="5" t="s">
        <v>31244</v>
      </c>
      <c r="M23927" s="4" t="str">
        <f>HYPERLINK("#Réglementation!A"&amp;_xlfn.XMATCH("RV26",Réglementation!A:A,2,1),"RV26")</f>
        <v>RV26</v>
      </c>
      <c r="Q23927" s="7" t="str">
        <f>HYPERLINK("#Liste_rouge!A"&amp;_xlfn.XMATCH("NT",Liste_rouge!A:A,2,1),"NT")</f>
        <v>NT</v>
      </c>
      <c r="T23927" s="7" t="str">
        <f>HYPERLINK("#Liste_rouge!A"&amp;_xlfn.XMATCH("CR",Liste_rouge!A:A,2,1),"CR")</f>
        <v>CR</v>
      </c>
      <c r="U23927" s="4" t="str">
        <f>HYPERLINK("#Critères_liste_rouge!A$1","A2ac")</f>
        <v>A2ac</v>
      </c>
      <c r="X23927" s="5" t="s">
        <v>374</v>
      </c>
      <c r="AB23927" s="4" t="s">
        <v>93</v>
      </c>
      <c r="AH23927" s="4" t="str">
        <f>HYPERLINK("#Statut_biogéographique!A"&amp;_xlfn.XMATCH("P",Statut_biogéographique!A:A,2,1),"P")</f>
        <v>P</v>
      </c>
      <c r="AM23927" s="4" t="s">
        <v>375</v>
      </c>
      <c r="AN23927" s="4" t="s">
        <v>375</v>
      </c>
      <c r="AO23927" s="4" t="s">
        <v>375</v>
      </c>
      <c r="AP23927" s="4" t="s">
        <v>376</v>
      </c>
      <c r="AR23927" s="4" t="s">
        <v>377</v>
      </c>
    </row>
    <row r="23928" spans="1:44" ht="45">
      <c r="A23928" s="4" t="s">
        <v>24364</v>
      </c>
      <c r="B23928" s="4">
        <v>88450</v>
      </c>
      <c r="D23928" s="5" t="s">
        <v>31245</v>
      </c>
      <c r="E23928" s="6" t="str">
        <f>HYPERLINK("https://inpn.mnhn.fr/espece/cd_nom/88450","Carex curvata Knaf, 1847")</f>
        <v>Carex curvata Knaf, 1847</v>
      </c>
      <c r="F23928" s="5" t="s">
        <v>31246</v>
      </c>
      <c r="AH23928" s="4" t="str">
        <f>HYPERLINK("#Statut_biogéographique!A"&amp;_xlfn.XMATCH("Y",Statut_biogéographique!A:A,2,1),"Y")</f>
        <v>Y</v>
      </c>
      <c r="AP23928" s="4" t="s">
        <v>376</v>
      </c>
      <c r="AR23928" s="4" t="s">
        <v>377</v>
      </c>
    </row>
    <row r="23929" spans="1:44" ht="45">
      <c r="A23929" s="4" t="s">
        <v>24364</v>
      </c>
      <c r="B23929" s="4">
        <v>88459</v>
      </c>
      <c r="D23929" s="5" t="s">
        <v>31247</v>
      </c>
      <c r="E23929" s="6" t="str">
        <f>HYPERLINK("https://inpn.mnhn.fr/espece/cd_nom/88459","Carex davalliana Sm., 1800")</f>
        <v>Carex davalliana Sm., 1800</v>
      </c>
      <c r="F23929" s="5" t="s">
        <v>31248</v>
      </c>
      <c r="O23929" s="7" t="str">
        <f>HYPERLINK("#Liste_rouge!A"&amp;_xlfn.XMATCH("LC",Liste_rouge!A:A,2,1),"LC")</f>
        <v>LC</v>
      </c>
      <c r="Q23929" s="7" t="str">
        <f>HYPERLINK("#Liste_rouge!A"&amp;_xlfn.XMATCH("LC",Liste_rouge!A:A,2,1),"LC")</f>
        <v>LC</v>
      </c>
      <c r="T23929" s="7" t="str">
        <f>HYPERLINK("#Liste_rouge!A"&amp;_xlfn.XMATCH("LC",Liste_rouge!A:A,2,1),"LC")</f>
        <v>LC</v>
      </c>
      <c r="V23929" s="7" t="str">
        <f>HYPERLINK("#Liste_rouge!A"&amp;_xlfn.XMATCH("LC",Liste_rouge!A:A,2,1),"LC")</f>
        <v>LC</v>
      </c>
      <c r="AH23929" s="4" t="str">
        <f>HYPERLINK("#Statut_biogéographique!A"&amp;_xlfn.XMATCH("P",Statut_biogéographique!A:A,2,1),"P")</f>
        <v>P</v>
      </c>
      <c r="AM23929" s="4" t="s">
        <v>375</v>
      </c>
      <c r="AN23929" s="4" t="s">
        <v>375</v>
      </c>
      <c r="AO23929" s="4" t="s">
        <v>375</v>
      </c>
      <c r="AP23929" s="4" t="s">
        <v>376</v>
      </c>
      <c r="AR23929" s="4" t="s">
        <v>377</v>
      </c>
    </row>
    <row r="23930" spans="1:44" ht="30">
      <c r="A23930" s="4" t="s">
        <v>24364</v>
      </c>
      <c r="B23930" s="4">
        <v>88465</v>
      </c>
      <c r="D23930" s="5" t="s">
        <v>31249</v>
      </c>
      <c r="E23930" s="6" t="str">
        <f>HYPERLINK("https://inpn.mnhn.fr/espece/cd_nom/88465","Carex depauperata Curtis ex With., 1787")</f>
        <v>Carex depauperata Curtis ex With., 1787</v>
      </c>
      <c r="F23930" s="5" t="s">
        <v>31250</v>
      </c>
      <c r="M23930" s="4" t="str">
        <f>HYPERLINK("#Réglementation!A"&amp;_xlfn.XMATCH("RV43",Réglementation!A:A,2,1),"RV43")</f>
        <v>RV43</v>
      </c>
      <c r="Q23930" s="7" t="str">
        <f>HYPERLINK("#Liste_rouge!A"&amp;_xlfn.XMATCH("LC",Liste_rouge!A:A,2,1),"LC")</f>
        <v>LC</v>
      </c>
      <c r="T23930" s="7" t="str">
        <f>HYPERLINK("#Liste_rouge!A"&amp;_xlfn.XMATCH("CR",Liste_rouge!A:A,2,1),"CR")</f>
        <v>CR</v>
      </c>
      <c r="U23930" s="4" t="str">
        <f>HYPERLINK("#Critères_liste_rouge!A$1","D1")</f>
        <v>D1</v>
      </c>
      <c r="V23930" s="7" t="str">
        <f>HYPERLINK("#Liste_rouge!A"&amp;_xlfn.XMATCH("NT",Liste_rouge!A:A,2,1),"NT")</f>
        <v>NT</v>
      </c>
      <c r="W23930" s="4" t="str">
        <f>HYPERLINK("#Critères_liste_rouge!A$1","pr.B2c")</f>
        <v>pr.B2c</v>
      </c>
      <c r="X23930" s="5" t="s">
        <v>374</v>
      </c>
      <c r="AB23930" s="4" t="s">
        <v>93</v>
      </c>
      <c r="AH23930" s="4" t="str">
        <f>HYPERLINK("#Statut_biogéographique!A"&amp;_xlfn.XMATCH("P",Statut_biogéographique!A:A,2,1),"P")</f>
        <v>P</v>
      </c>
      <c r="AM23930" s="4" t="s">
        <v>375</v>
      </c>
      <c r="AN23930" s="4" t="s">
        <v>375</v>
      </c>
      <c r="AO23930" s="4" t="s">
        <v>375</v>
      </c>
      <c r="AP23930" s="4" t="s">
        <v>376</v>
      </c>
      <c r="AR23930" s="4" t="s">
        <v>377</v>
      </c>
    </row>
    <row r="23931" spans="1:44" ht="30">
      <c r="A23931" s="4" t="s">
        <v>24364</v>
      </c>
      <c r="B23931" s="4">
        <v>88468</v>
      </c>
      <c r="D23931" s="5" t="s">
        <v>31251</v>
      </c>
      <c r="E23931" s="6" t="str">
        <f>HYPERLINK("https://inpn.mnhn.fr/espece/cd_nom/88468","Carex diandra Schrank, 1781")</f>
        <v>Carex diandra Schrank, 1781</v>
      </c>
      <c r="F23931" s="5" t="s">
        <v>31252</v>
      </c>
      <c r="M23931" s="4" t="str">
        <f>HYPERLINK("#Réglementation!A"&amp;_xlfn.XMATCH("RV26",Réglementation!A:A,2,1),"RV26")</f>
        <v>RV26</v>
      </c>
      <c r="O23931" s="7" t="str">
        <f>HYPERLINK("#Liste_rouge!A"&amp;_xlfn.XMATCH("LC",Liste_rouge!A:A,2,1),"LC")</f>
        <v>LC</v>
      </c>
      <c r="Q23931" s="7" t="str">
        <f>HYPERLINK("#Liste_rouge!A"&amp;_xlfn.XMATCH("NT",Liste_rouge!A:A,2,1),"NT")</f>
        <v>NT</v>
      </c>
      <c r="T23931" s="7" t="str">
        <f>HYPERLINK("#Liste_rouge!A"&amp;_xlfn.XMATCH("CR",Liste_rouge!A:A,2,1),"CR")</f>
        <v>CR</v>
      </c>
      <c r="U23931" s="4" t="str">
        <f>HYPERLINK("#Critères_liste_rouge!A$1","B1 B2ab(ii,iii,iv) C2a(i) D1")</f>
        <v>B1 B2ab(ii,iii,iv) C2a(i) D1</v>
      </c>
      <c r="V23931" s="7" t="str">
        <f>HYPERLINK("#Liste_rouge!A"&amp;_xlfn.XMATCH("LC",Liste_rouge!A:A,2,1),"LC")</f>
        <v>LC</v>
      </c>
      <c r="AB23931" s="4" t="s">
        <v>24397</v>
      </c>
      <c r="AH23931" s="4" t="str">
        <f>HYPERLINK("#Statut_biogéographique!A"&amp;_xlfn.XMATCH("P",Statut_biogéographique!A:A,2,1),"P")</f>
        <v>P</v>
      </c>
      <c r="AM23931" s="4" t="s">
        <v>375</v>
      </c>
      <c r="AN23931" s="4" t="s">
        <v>375</v>
      </c>
      <c r="AO23931" s="4" t="s">
        <v>375</v>
      </c>
      <c r="AP23931" s="4" t="s">
        <v>376</v>
      </c>
      <c r="AR23931" s="4" t="s">
        <v>377</v>
      </c>
    </row>
    <row r="23932" spans="1:44">
      <c r="A23932" s="4" t="s">
        <v>24364</v>
      </c>
      <c r="B23932" s="4">
        <v>88470</v>
      </c>
      <c r="D23932" s="5" t="s">
        <v>31253</v>
      </c>
      <c r="E23932" s="6" t="str">
        <f>HYPERLINK("https://inpn.mnhn.fr/espece/cd_nom/88470","Carex digitata L., 1753")</f>
        <v>Carex digitata L., 1753</v>
      </c>
      <c r="F23932" s="5" t="s">
        <v>31254</v>
      </c>
      <c r="Q23932" s="7" t="str">
        <f>HYPERLINK("#Liste_rouge!A"&amp;_xlfn.XMATCH("LC",Liste_rouge!A:A,2,1),"LC")</f>
        <v>LC</v>
      </c>
      <c r="T23932" s="7" t="str">
        <f>HYPERLINK("#Liste_rouge!A"&amp;_xlfn.XMATCH("LC",Liste_rouge!A:A,2,1),"LC")</f>
        <v>LC</v>
      </c>
      <c r="V23932" s="7" t="str">
        <f>HYPERLINK("#Liste_rouge!A"&amp;_xlfn.XMATCH("LC",Liste_rouge!A:A,2,1),"LC")</f>
        <v>LC</v>
      </c>
      <c r="AH23932" s="4" t="str">
        <f>HYPERLINK("#Statut_biogéographique!A"&amp;_xlfn.XMATCH("P",Statut_biogéographique!A:A,2,1),"P")</f>
        <v>P</v>
      </c>
      <c r="AM23932" s="4" t="s">
        <v>375</v>
      </c>
      <c r="AN23932" s="4" t="s">
        <v>375</v>
      </c>
      <c r="AO23932" s="4" t="s">
        <v>375</v>
      </c>
      <c r="AP23932" s="4" t="s">
        <v>376</v>
      </c>
      <c r="AR23932" s="4" t="s">
        <v>377</v>
      </c>
    </row>
    <row r="23933" spans="1:44" ht="30">
      <c r="A23933" s="4" t="s">
        <v>24364</v>
      </c>
      <c r="B23933" s="4">
        <v>88472</v>
      </c>
      <c r="D23933" s="5" t="s">
        <v>31255</v>
      </c>
      <c r="E23933" s="6" t="str">
        <f>HYPERLINK("https://inpn.mnhn.fr/espece/cd_nom/88472","Carex dioica L., 1753")</f>
        <v>Carex dioica L., 1753</v>
      </c>
      <c r="F23933" s="5" t="s">
        <v>31256</v>
      </c>
      <c r="Q23933" s="7" t="str">
        <f>HYPERLINK("#Liste_rouge!A"&amp;_xlfn.XMATCH("VU",Liste_rouge!A:A,2,1),"VU")</f>
        <v>VU</v>
      </c>
      <c r="T23933" s="7" t="str">
        <f>HYPERLINK("#Liste_rouge!A"&amp;_xlfn.XMATCH("RE",Liste_rouge!A:A,2,1),"RE")</f>
        <v>RE</v>
      </c>
      <c r="V23933" s="7" t="str">
        <f>HYPERLINK("#Liste_rouge!A"&amp;_xlfn.XMATCH("VU",Liste_rouge!A:A,2,1),"VU")</f>
        <v>VU</v>
      </c>
      <c r="W23933" s="4" t="str">
        <f>HYPERLINK("#Critères_liste_rouge!A$1","A2c")</f>
        <v>A2c</v>
      </c>
      <c r="X23933" s="5" t="s">
        <v>374</v>
      </c>
      <c r="AB23933" s="4" t="s">
        <v>93</v>
      </c>
      <c r="AH23933" s="4" t="str">
        <f>HYPERLINK("#Statut_biogéographique!A"&amp;_xlfn.XMATCH("P",Statut_biogéographique!A:A,2,1),"P")</f>
        <v>P</v>
      </c>
      <c r="AM23933" s="4" t="s">
        <v>375</v>
      </c>
      <c r="AN23933" s="4" t="s">
        <v>375</v>
      </c>
      <c r="AO23933" s="4" t="s">
        <v>375</v>
      </c>
      <c r="AP23933" s="4" t="s">
        <v>389</v>
      </c>
      <c r="AR23933" s="4" t="s">
        <v>377</v>
      </c>
    </row>
    <row r="23934" spans="1:44">
      <c r="A23934" s="4" t="s">
        <v>24364</v>
      </c>
      <c r="B23934" s="4">
        <v>88476</v>
      </c>
      <c r="D23934" s="5" t="s">
        <v>31257</v>
      </c>
      <c r="E23934" s="6" t="str">
        <f>HYPERLINK("https://inpn.mnhn.fr/espece/cd_nom/88476","Carex distachya Desf., 1799")</f>
        <v>Carex distachya Desf., 1799</v>
      </c>
      <c r="F23934" s="5" t="s">
        <v>31258</v>
      </c>
      <c r="O23934" s="7" t="str">
        <f>HYPERLINK("#Liste_rouge!A"&amp;_xlfn.XMATCH("LC",Liste_rouge!A:A,2,1),"LC")</f>
        <v>LC</v>
      </c>
      <c r="Q23934" s="7" t="str">
        <f>HYPERLINK("#Liste_rouge!A"&amp;_xlfn.XMATCH("LC",Liste_rouge!A:A,2,1),"LC")</f>
        <v>LC</v>
      </c>
      <c r="AH23934" s="4" t="str">
        <f>HYPERLINK("#Statut_biogéographique!A"&amp;_xlfn.XMATCH("P",Statut_biogéographique!A:A,2,1),"P")</f>
        <v>P</v>
      </c>
      <c r="AP23934" s="4" t="s">
        <v>376</v>
      </c>
      <c r="AR23934" s="4" t="s">
        <v>377</v>
      </c>
    </row>
    <row r="23935" spans="1:44" ht="60">
      <c r="A23935" s="4" t="s">
        <v>24364</v>
      </c>
      <c r="B23935" s="4">
        <v>88477</v>
      </c>
      <c r="D23935" s="5" t="s">
        <v>31259</v>
      </c>
      <c r="E23935" s="6" t="str">
        <f>HYPERLINK("https://inpn.mnhn.fr/espece/cd_nom/88477","Carex distans L., 1759")</f>
        <v>Carex distans L., 1759</v>
      </c>
      <c r="F23935" s="5" t="s">
        <v>31260</v>
      </c>
      <c r="O23935" s="7" t="str">
        <f>HYPERLINK("#Liste_rouge!A"&amp;_xlfn.XMATCH("LC",Liste_rouge!A:A,2,1),"LC")</f>
        <v>LC</v>
      </c>
      <c r="Q23935" s="7" t="str">
        <f>HYPERLINK("#Liste_rouge!A"&amp;_xlfn.XMATCH("LC",Liste_rouge!A:A,2,1),"LC")</f>
        <v>LC</v>
      </c>
      <c r="T23935" s="7" t="str">
        <f>HYPERLINK("#Liste_rouge!A"&amp;_xlfn.XMATCH("NT",Liste_rouge!A:A,2,1),"NT")</f>
        <v>NT</v>
      </c>
      <c r="U23935" s="4" t="str">
        <f>HYPERLINK("#Critères_liste_rouge!A$1","pr. B2a &amp; D2")</f>
        <v>pr. B2a &amp; D2</v>
      </c>
      <c r="V23935" s="7" t="str">
        <f>HYPERLINK("#Liste_rouge!A"&amp;_xlfn.XMATCH("LC",Liste_rouge!A:A,2,1),"LC")</f>
        <v>LC</v>
      </c>
      <c r="AB23935" s="4" t="s">
        <v>31261</v>
      </c>
      <c r="AH23935" s="4" t="str">
        <f>HYPERLINK("#Statut_biogéographique!A"&amp;_xlfn.XMATCH("P",Statut_biogéographique!A:A,2,1),"P")</f>
        <v>P</v>
      </c>
      <c r="AM23935" s="4" t="s">
        <v>375</v>
      </c>
      <c r="AN23935" s="4" t="s">
        <v>375</v>
      </c>
      <c r="AO23935" s="4" t="s">
        <v>375</v>
      </c>
      <c r="AP23935" s="4" t="s">
        <v>376</v>
      </c>
      <c r="AR23935" s="4" t="s">
        <v>377</v>
      </c>
    </row>
    <row r="23936" spans="1:44" ht="45">
      <c r="A23936" s="4" t="s">
        <v>24364</v>
      </c>
      <c r="B23936" s="4">
        <v>88478</v>
      </c>
      <c r="D23936" s="5" t="s">
        <v>31262</v>
      </c>
      <c r="E23936" s="6" t="str">
        <f>HYPERLINK("https://inpn.mnhn.fr/espece/cd_nom/88478","Carex disticha Huds., 1762")</f>
        <v>Carex disticha Huds., 1762</v>
      </c>
      <c r="F23936" s="5" t="s">
        <v>31263</v>
      </c>
      <c r="P23936" s="7" t="str">
        <f>HYPERLINK("#Liste_rouge!A"&amp;_xlfn.XMATCH("LC",Liste_rouge!A:A,2,1),"LC")</f>
        <v>LC</v>
      </c>
      <c r="Q23936" s="7" t="str">
        <f>HYPERLINK("#Liste_rouge!A"&amp;_xlfn.XMATCH("LC",Liste_rouge!A:A,2,1),"LC")</f>
        <v>LC</v>
      </c>
      <c r="T23936" s="7" t="str">
        <f>HYPERLINK("#Liste_rouge!A"&amp;_xlfn.XMATCH("LC",Liste_rouge!A:A,2,1),"LC")</f>
        <v>LC</v>
      </c>
      <c r="V23936" s="7" t="str">
        <f>HYPERLINK("#Liste_rouge!A"&amp;_xlfn.XMATCH("LC",Liste_rouge!A:A,2,1),"LC")</f>
        <v>LC</v>
      </c>
      <c r="AH23936" s="4" t="str">
        <f>HYPERLINK("#Statut_biogéographique!A"&amp;_xlfn.XMATCH("P",Statut_biogéographique!A:A,2,1),"P")</f>
        <v>P</v>
      </c>
      <c r="AM23936" s="4" t="s">
        <v>375</v>
      </c>
      <c r="AN23936" s="4" t="s">
        <v>375</v>
      </c>
      <c r="AO23936" s="4" t="s">
        <v>375</v>
      </c>
      <c r="AP23936" s="4" t="s">
        <v>376</v>
      </c>
      <c r="AR23936" s="4" t="s">
        <v>377</v>
      </c>
    </row>
    <row r="23937" spans="1:44" ht="75">
      <c r="A23937" s="4" t="s">
        <v>24364</v>
      </c>
      <c r="B23937" s="4">
        <v>88483</v>
      </c>
      <c r="D23937" s="5" t="s">
        <v>31264</v>
      </c>
      <c r="E23937" s="6" t="str">
        <f>HYPERLINK("https://inpn.mnhn.fr/espece/cd_nom/88483","Carex divulsa Stokes, 1787")</f>
        <v>Carex divulsa Stokes, 1787</v>
      </c>
      <c r="F23937" s="5" t="s">
        <v>31265</v>
      </c>
      <c r="Q23937" s="7" t="str">
        <f>HYPERLINK("#Liste_rouge!A"&amp;_xlfn.XMATCH("LC",Liste_rouge!A:A,2,1),"LC")</f>
        <v>LC</v>
      </c>
      <c r="T23937" s="7" t="str">
        <f>HYPERLINK("#Liste_rouge!A"&amp;_xlfn.XMATCH("LC",Liste_rouge!A:A,2,1),"LC")</f>
        <v>LC</v>
      </c>
      <c r="V23937" s="7" t="str">
        <f>HYPERLINK("#Liste_rouge!A"&amp;_xlfn.XMATCH("LC",Liste_rouge!A:A,2,1),"LC")</f>
        <v>LC</v>
      </c>
      <c r="AH23937" s="4" t="str">
        <f>HYPERLINK("#Statut_biogéographique!A"&amp;_xlfn.XMATCH("P",Statut_biogéographique!A:A,2,1),"P")</f>
        <v>P</v>
      </c>
      <c r="AM23937" s="4" t="s">
        <v>375</v>
      </c>
      <c r="AN23937" s="4" t="s">
        <v>375</v>
      </c>
      <c r="AO23937" s="4" t="s">
        <v>375</v>
      </c>
      <c r="AP23937" s="4" t="s">
        <v>376</v>
      </c>
      <c r="AR23937" s="4" t="s">
        <v>377</v>
      </c>
    </row>
    <row r="23938" spans="1:44" ht="45">
      <c r="A23938" s="4" t="s">
        <v>24364</v>
      </c>
      <c r="B23938" s="4">
        <v>88489</v>
      </c>
      <c r="D23938" s="5" t="s">
        <v>31266</v>
      </c>
      <c r="E23938" s="6" t="str">
        <f>HYPERLINK("https://inpn.mnhn.fr/espece/cd_nom/88489","Carex echinata Murray, 1770")</f>
        <v>Carex echinata Murray, 1770</v>
      </c>
      <c r="F23938" s="5" t="s">
        <v>31267</v>
      </c>
      <c r="O23938" s="7" t="str">
        <f>HYPERLINK("#Liste_rouge!A"&amp;_xlfn.XMATCH("LC",Liste_rouge!A:A,2,1),"LC")</f>
        <v>LC</v>
      </c>
      <c r="Q23938" s="7" t="str">
        <f>HYPERLINK("#Liste_rouge!A"&amp;_xlfn.XMATCH("LC",Liste_rouge!A:A,2,1),"LC")</f>
        <v>LC</v>
      </c>
      <c r="T23938" s="7" t="str">
        <f>HYPERLINK("#Liste_rouge!A"&amp;_xlfn.XMATCH("LC",Liste_rouge!A:A,2,1),"LC")</f>
        <v>LC</v>
      </c>
      <c r="V23938" s="7" t="str">
        <f>HYPERLINK("#Liste_rouge!A"&amp;_xlfn.XMATCH("LC",Liste_rouge!A:A,2,1),"LC")</f>
        <v>LC</v>
      </c>
      <c r="AB23938" s="4" t="s">
        <v>24634</v>
      </c>
      <c r="AH23938" s="4" t="str">
        <f>HYPERLINK("#Statut_biogéographique!A"&amp;_xlfn.XMATCH("P",Statut_biogéographique!A:A,2,1),"P")</f>
        <v>P</v>
      </c>
      <c r="AM23938" s="4" t="s">
        <v>375</v>
      </c>
      <c r="AN23938" s="4" t="s">
        <v>375</v>
      </c>
      <c r="AO23938" s="4" t="s">
        <v>375</v>
      </c>
      <c r="AP23938" s="4" t="s">
        <v>376</v>
      </c>
      <c r="AR23938" s="4" t="s">
        <v>377</v>
      </c>
    </row>
    <row r="23939" spans="1:44" ht="45">
      <c r="A23939" s="4" t="s">
        <v>24364</v>
      </c>
      <c r="B23939" s="4">
        <v>88491</v>
      </c>
      <c r="D23939" s="5" t="s">
        <v>31268</v>
      </c>
      <c r="E23939" s="6" t="str">
        <f>HYPERLINK("https://inpn.mnhn.fr/espece/cd_nom/88491","Carex elata All., 1785")</f>
        <v>Carex elata All., 1785</v>
      </c>
      <c r="F23939" s="5" t="s">
        <v>31269</v>
      </c>
      <c r="O23939" s="7" t="str">
        <f>HYPERLINK("#Liste_rouge!A"&amp;_xlfn.XMATCH("LC",Liste_rouge!A:A,2,1),"LC")</f>
        <v>LC</v>
      </c>
      <c r="P23939" s="7" t="str">
        <f>HYPERLINK("#Liste_rouge!A"&amp;_xlfn.XMATCH("LC",Liste_rouge!A:A,2,1),"LC")</f>
        <v>LC</v>
      </c>
      <c r="Q23939" s="7" t="str">
        <f>HYPERLINK("#Liste_rouge!A"&amp;_xlfn.XMATCH("LC",Liste_rouge!A:A,2,1),"LC")</f>
        <v>LC</v>
      </c>
      <c r="T23939" s="7" t="str">
        <f>HYPERLINK("#Liste_rouge!A"&amp;_xlfn.XMATCH("LC",Liste_rouge!A:A,2,1),"LC")</f>
        <v>LC</v>
      </c>
      <c r="V23939" s="7" t="str">
        <f>HYPERLINK("#Liste_rouge!A"&amp;_xlfn.XMATCH("LC",Liste_rouge!A:A,2,1),"LC")</f>
        <v>LC</v>
      </c>
      <c r="AH23939" s="4" t="str">
        <f>HYPERLINK("#Statut_biogéographique!A"&amp;_xlfn.XMATCH("P",Statut_biogéographique!A:A,2,1),"P")</f>
        <v>P</v>
      </c>
      <c r="AM23939" s="4" t="s">
        <v>375</v>
      </c>
      <c r="AN23939" s="4" t="s">
        <v>375</v>
      </c>
      <c r="AO23939" s="4" t="s">
        <v>375</v>
      </c>
      <c r="AP23939" s="4" t="s">
        <v>376</v>
      </c>
      <c r="AR23939" s="4" t="s">
        <v>377</v>
      </c>
    </row>
    <row r="23940" spans="1:44" ht="30">
      <c r="A23940" s="4" t="s">
        <v>24364</v>
      </c>
      <c r="B23940" s="4">
        <v>88493</v>
      </c>
      <c r="D23940" s="5" t="s">
        <v>31270</v>
      </c>
      <c r="E23940" s="6" t="str">
        <f>HYPERLINK("https://inpn.mnhn.fr/espece/cd_nom/88493","Carex elongata L., 1753")</f>
        <v>Carex elongata L., 1753</v>
      </c>
      <c r="F23940" s="5" t="s">
        <v>31271</v>
      </c>
      <c r="Q23940" s="7" t="str">
        <f>HYPERLINK("#Liste_rouge!A"&amp;_xlfn.XMATCH("LC",Liste_rouge!A:A,2,1),"LC")</f>
        <v>LC</v>
      </c>
      <c r="T23940" s="7" t="str">
        <f>HYPERLINK("#Liste_rouge!A"&amp;_xlfn.XMATCH("LC",Liste_rouge!A:A,2,1),"LC")</f>
        <v>LC</v>
      </c>
      <c r="V23940" s="7" t="str">
        <f>HYPERLINK("#Liste_rouge!A"&amp;_xlfn.XMATCH("LC",Liste_rouge!A:A,2,1),"LC")</f>
        <v>LC</v>
      </c>
      <c r="AH23940" s="4" t="str">
        <f>HYPERLINK("#Statut_biogéographique!A"&amp;_xlfn.XMATCH("P",Statut_biogéographique!A:A,2,1),"P")</f>
        <v>P</v>
      </c>
      <c r="AM23940" s="4" t="s">
        <v>375</v>
      </c>
      <c r="AN23940" s="4" t="s">
        <v>375</v>
      </c>
      <c r="AO23940" s="4" t="s">
        <v>375</v>
      </c>
      <c r="AP23940" s="4" t="s">
        <v>376</v>
      </c>
      <c r="AR23940" s="4" t="s">
        <v>377</v>
      </c>
    </row>
    <row r="23941" spans="1:44" ht="30">
      <c r="A23941" s="4" t="s">
        <v>24364</v>
      </c>
      <c r="B23941" s="4">
        <v>88499</v>
      </c>
      <c r="D23941" s="5" t="s">
        <v>31272</v>
      </c>
      <c r="E23941" s="6" t="str">
        <f>HYPERLINK("https://inpn.mnhn.fr/espece/cd_nom/88499","Carex ericetorum Pollich, 1777")</f>
        <v>Carex ericetorum Pollich, 1777</v>
      </c>
      <c r="F23941" s="5" t="s">
        <v>31273</v>
      </c>
      <c r="Q23941" s="7" t="str">
        <f>HYPERLINK("#Liste_rouge!A"&amp;_xlfn.XMATCH("LC",Liste_rouge!A:A,2,1),"LC")</f>
        <v>LC</v>
      </c>
      <c r="T23941" s="7" t="str">
        <f>HYPERLINK("#Liste_rouge!A"&amp;_xlfn.XMATCH("CR",Liste_rouge!A:A,2,1),"CR")</f>
        <v>CR</v>
      </c>
      <c r="U23941" s="4" t="str">
        <f>HYPERLINK("#Critères_liste_rouge!A$1","B1 B2ab(i,ii,iv)")</f>
        <v>B1 B2ab(i,ii,iv)</v>
      </c>
      <c r="X23941" s="5" t="s">
        <v>374</v>
      </c>
      <c r="AB23941" s="4" t="s">
        <v>93</v>
      </c>
      <c r="AH23941" s="4" t="str">
        <f>HYPERLINK("#Statut_biogéographique!A"&amp;_xlfn.XMATCH("P",Statut_biogéographique!A:A,2,1),"P")</f>
        <v>P</v>
      </c>
      <c r="AM23941" s="4" t="s">
        <v>375</v>
      </c>
      <c r="AN23941" s="4" t="s">
        <v>375</v>
      </c>
      <c r="AO23941" s="4" t="s">
        <v>375</v>
      </c>
      <c r="AP23941" s="4" t="s">
        <v>376</v>
      </c>
      <c r="AR23941" s="4" t="s">
        <v>377</v>
      </c>
    </row>
    <row r="23942" spans="1:44">
      <c r="A23942" s="4" t="s">
        <v>24364</v>
      </c>
      <c r="B23942" s="4">
        <v>88510</v>
      </c>
      <c r="D23942" s="5" t="s">
        <v>31274</v>
      </c>
      <c r="E23942" s="6" t="str">
        <f>HYPERLINK("https://inpn.mnhn.fr/espece/cd_nom/88510","Carex flacca Schreb., 1771")</f>
        <v>Carex flacca Schreb., 1771</v>
      </c>
      <c r="F23942" s="5" t="s">
        <v>28397</v>
      </c>
      <c r="Q23942" s="7" t="str">
        <f>HYPERLINK("#Liste_rouge!A"&amp;_xlfn.XMATCH("LC",Liste_rouge!A:A,2,1),"LC")</f>
        <v>LC</v>
      </c>
      <c r="T23942" s="7" t="str">
        <f>HYPERLINK("#Liste_rouge!A"&amp;_xlfn.XMATCH("LC",Liste_rouge!A:A,2,1),"LC")</f>
        <v>LC</v>
      </c>
      <c r="V23942" s="7" t="str">
        <f>HYPERLINK("#Liste_rouge!A"&amp;_xlfn.XMATCH("LC",Liste_rouge!A:A,2,1),"LC")</f>
        <v>LC</v>
      </c>
      <c r="AH23942" s="4" t="str">
        <f>HYPERLINK("#Statut_biogéographique!A"&amp;_xlfn.XMATCH("P",Statut_biogéographique!A:A,2,1),"P")</f>
        <v>P</v>
      </c>
      <c r="AM23942" s="4" t="s">
        <v>375</v>
      </c>
      <c r="AN23942" s="4" t="s">
        <v>375</v>
      </c>
      <c r="AO23942" s="4" t="s">
        <v>375</v>
      </c>
      <c r="AP23942" s="4" t="s">
        <v>376</v>
      </c>
      <c r="AR23942" s="4" t="s">
        <v>377</v>
      </c>
    </row>
    <row r="23943" spans="1:44" ht="45">
      <c r="A23943" s="4" t="s">
        <v>24364</v>
      </c>
      <c r="B23943" s="4">
        <v>88511</v>
      </c>
      <c r="D23943" s="5" t="s">
        <v>31275</v>
      </c>
      <c r="E23943" s="6" t="str">
        <f>HYPERLINK("https://inpn.mnhn.fr/espece/cd_nom/88511","Carex flava L., 1753")</f>
        <v>Carex flava L., 1753</v>
      </c>
      <c r="F23943" s="5" t="s">
        <v>31276</v>
      </c>
      <c r="O23943" s="7" t="str">
        <f>HYPERLINK("#Liste_rouge!A"&amp;_xlfn.XMATCH("LC",Liste_rouge!A:A,2,1),"LC")</f>
        <v>LC</v>
      </c>
      <c r="Q23943" s="7" t="str">
        <f>HYPERLINK("#Liste_rouge!A"&amp;_xlfn.XMATCH("LC",Liste_rouge!A:A,2,1),"LC")</f>
        <v>LC</v>
      </c>
      <c r="T23943" s="7" t="str">
        <f>HYPERLINK("#Liste_rouge!A"&amp;_xlfn.XMATCH("VU",Liste_rouge!A:A,2,1),"VU")</f>
        <v>VU</v>
      </c>
      <c r="U23943" s="4" t="str">
        <f>HYPERLINK("#Critères_liste_rouge!A$1","D2")</f>
        <v>D2</v>
      </c>
      <c r="V23943" s="7" t="str">
        <f>HYPERLINK("#Liste_rouge!A"&amp;_xlfn.XMATCH("LC",Liste_rouge!A:A,2,1),"LC")</f>
        <v>LC</v>
      </c>
      <c r="AB23943" s="4" t="s">
        <v>24984</v>
      </c>
      <c r="AH23943" s="4" t="str">
        <f>HYPERLINK("#Statut_biogéographique!A"&amp;_xlfn.XMATCH("P",Statut_biogéographique!A:A,2,1),"P")</f>
        <v>P</v>
      </c>
      <c r="AM23943" s="4" t="s">
        <v>375</v>
      </c>
      <c r="AN23943" s="4" t="s">
        <v>375</v>
      </c>
      <c r="AO23943" s="4" t="s">
        <v>375</v>
      </c>
      <c r="AP23943" s="4" t="s">
        <v>376</v>
      </c>
      <c r="AR23943" s="4" t="s">
        <v>377</v>
      </c>
    </row>
    <row r="23944" spans="1:44" ht="45">
      <c r="A23944" s="4" t="s">
        <v>24364</v>
      </c>
      <c r="B23944" s="4">
        <v>88560</v>
      </c>
      <c r="D23944" s="5" t="s">
        <v>31277</v>
      </c>
      <c r="E23944" s="6" t="str">
        <f>HYPERLINK("https://inpn.mnhn.fr/espece/cd_nom/88560","Carex halleriana Asso, 1779")</f>
        <v>Carex halleriana Asso, 1779</v>
      </c>
      <c r="F23944" s="5" t="s">
        <v>31278</v>
      </c>
      <c r="Q23944" s="7" t="str">
        <f>HYPERLINK("#Liste_rouge!A"&amp;_xlfn.XMATCH("LC",Liste_rouge!A:A,2,1),"LC")</f>
        <v>LC</v>
      </c>
      <c r="T23944" s="7" t="str">
        <f>HYPERLINK("#Liste_rouge!A"&amp;_xlfn.XMATCH("LC",Liste_rouge!A:A,2,1),"LC")</f>
        <v>LC</v>
      </c>
      <c r="V23944" s="7" t="str">
        <f>HYPERLINK("#Liste_rouge!A"&amp;_xlfn.XMATCH("LC",Liste_rouge!A:A,2,1),"LC")</f>
        <v>LC</v>
      </c>
      <c r="AB23944" s="4" t="s">
        <v>24410</v>
      </c>
      <c r="AH23944" s="4" t="str">
        <f>HYPERLINK("#Statut_biogéographique!A"&amp;_xlfn.XMATCH("P",Statut_biogéographique!A:A,2,1),"P")</f>
        <v>P</v>
      </c>
      <c r="AM23944" s="4" t="s">
        <v>375</v>
      </c>
      <c r="AN23944" s="4" t="s">
        <v>375</v>
      </c>
      <c r="AO23944" s="4" t="s">
        <v>375</v>
      </c>
      <c r="AP23944" s="4" t="s">
        <v>376</v>
      </c>
      <c r="AR23944" s="4" t="s">
        <v>377</v>
      </c>
    </row>
    <row r="23945" spans="1:44" ht="30">
      <c r="A23945" s="4" t="s">
        <v>24364</v>
      </c>
      <c r="B23945" s="4">
        <v>88562</v>
      </c>
      <c r="D23945" s="5" t="s">
        <v>31279</v>
      </c>
      <c r="E23945" s="6" t="str">
        <f>HYPERLINK("https://inpn.mnhn.fr/espece/cd_nom/88562","Carex heleonastes Ehrh. ex L.f., 1782")</f>
        <v>Carex heleonastes Ehrh. ex L.f., 1782</v>
      </c>
      <c r="F23945" s="5" t="s">
        <v>31280</v>
      </c>
      <c r="L23945" s="4" t="str">
        <f>HYPERLINK("#Réglementation!A"&amp;_xlfn.XMATCH("NV1",Réglementation!A:A,2,1),"NV1")</f>
        <v>NV1</v>
      </c>
      <c r="Q23945" s="7" t="str">
        <f>HYPERLINK("#Liste_rouge!A"&amp;_xlfn.XMATCH("EN",Liste_rouge!A:A,2,1),"EN")</f>
        <v>EN</v>
      </c>
      <c r="V23945" s="7" t="str">
        <f>HYPERLINK("#Liste_rouge!A"&amp;_xlfn.XMATCH("VU",Liste_rouge!A:A,2,1),"VU")</f>
        <v>VU</v>
      </c>
      <c r="W23945" s="4" t="str">
        <f>HYPERLINK("#Critères_liste_rouge!A$1","D2")</f>
        <v>D2</v>
      </c>
      <c r="X23945" s="5" t="s">
        <v>374</v>
      </c>
      <c r="AB23945" s="4" t="s">
        <v>93</v>
      </c>
      <c r="AE23945" s="4" t="str">
        <f>HYPERLINK("#SCAP!A"&amp;_xlfn.XMATCH("A",SCAP!A:A,2,1),"A")</f>
        <v>A</v>
      </c>
      <c r="AH23945" s="4" t="str">
        <f>HYPERLINK("#Statut_biogéographique!A"&amp;_xlfn.XMATCH("P",Statut_biogéographique!A:A,2,1),"P")</f>
        <v>P</v>
      </c>
      <c r="AM23945" s="4" t="s">
        <v>375</v>
      </c>
      <c r="AN23945" s="4" t="s">
        <v>375</v>
      </c>
      <c r="AO23945" s="4" t="s">
        <v>375</v>
      </c>
      <c r="AP23945" s="4" t="s">
        <v>389</v>
      </c>
      <c r="AR23945" s="4" t="s">
        <v>377</v>
      </c>
    </row>
    <row r="23946" spans="1:44" ht="30">
      <c r="A23946" s="4" t="s">
        <v>24364</v>
      </c>
      <c r="B23946" s="4">
        <v>88569</v>
      </c>
      <c r="D23946" s="5" t="s">
        <v>31281</v>
      </c>
      <c r="E23946" s="6" t="str">
        <f>HYPERLINK("https://inpn.mnhn.fr/espece/cd_nom/88569","Carex hirta L., 1753")</f>
        <v>Carex hirta L., 1753</v>
      </c>
      <c r="F23946" s="5" t="s">
        <v>31282</v>
      </c>
      <c r="Q23946" s="7" t="str">
        <f>HYPERLINK("#Liste_rouge!A"&amp;_xlfn.XMATCH("LC",Liste_rouge!A:A,2,1),"LC")</f>
        <v>LC</v>
      </c>
      <c r="T23946" s="7" t="str">
        <f>HYPERLINK("#Liste_rouge!A"&amp;_xlfn.XMATCH("LC",Liste_rouge!A:A,2,1),"LC (cd_nom 88569) - DD (cd_nom 613776)")</f>
        <v>LC (cd_nom 88569) - DD (cd_nom 613776)</v>
      </c>
      <c r="V23946" s="7" t="str">
        <f>HYPERLINK("#Liste_rouge!A"&amp;_xlfn.XMATCH("LC",Liste_rouge!A:A,2,1),"LC")</f>
        <v>LC</v>
      </c>
      <c r="AH23946" s="4" t="str">
        <f>HYPERLINK("#Statut_biogéographique!A"&amp;_xlfn.XMATCH("P",Statut_biogéographique!A:A,2,1),"P")</f>
        <v>P</v>
      </c>
      <c r="AM23946" s="4" t="s">
        <v>375</v>
      </c>
      <c r="AN23946" s="4" t="s">
        <v>375</v>
      </c>
      <c r="AO23946" s="4" t="s">
        <v>375</v>
      </c>
      <c r="AP23946" s="4" t="s">
        <v>376</v>
      </c>
      <c r="AR23946" s="4" t="s">
        <v>377</v>
      </c>
    </row>
    <row r="23947" spans="1:44" ht="30">
      <c r="A23947" s="4" t="s">
        <v>24364</v>
      </c>
      <c r="B23947" s="4">
        <v>88571</v>
      </c>
      <c r="D23947" s="5" t="s">
        <v>31283</v>
      </c>
      <c r="E23947" s="6" t="str">
        <f>HYPERLINK("https://inpn.mnhn.fr/espece/cd_nom/88571","Carex hispida Willd., 1801")</f>
        <v>Carex hispida Willd., 1801</v>
      </c>
      <c r="F23947" s="5" t="s">
        <v>31284</v>
      </c>
      <c r="O23947" s="7" t="str">
        <f>HYPERLINK("#Liste_rouge!A"&amp;_xlfn.XMATCH("LC",Liste_rouge!A:A,2,1),"LC")</f>
        <v>LC</v>
      </c>
      <c r="Q23947" s="7" t="str">
        <f>HYPERLINK("#Liste_rouge!A"&amp;_xlfn.XMATCH("LC",Liste_rouge!A:A,2,1),"LC")</f>
        <v>LC</v>
      </c>
      <c r="AH23947" s="4" t="str">
        <f>HYPERLINK("#Statut_biogéographique!A"&amp;_xlfn.XMATCH("P",Statut_biogéographique!A:A,2,1),"P")</f>
        <v>P</v>
      </c>
      <c r="AP23947" s="4" t="s">
        <v>376</v>
      </c>
      <c r="AR23947" s="4" t="s">
        <v>377</v>
      </c>
    </row>
    <row r="23948" spans="1:44">
      <c r="A23948" s="4" t="s">
        <v>24364</v>
      </c>
      <c r="B23948" s="4">
        <v>88576</v>
      </c>
      <c r="D23948" s="5" t="s">
        <v>31285</v>
      </c>
      <c r="E23948" s="6" t="str">
        <f>HYPERLINK("https://inpn.mnhn.fr/espece/cd_nom/88576","Carex hordeistichos Vill., 1779")</f>
        <v>Carex hordeistichos Vill., 1779</v>
      </c>
      <c r="F23948" s="5" t="s">
        <v>31286</v>
      </c>
      <c r="L23948" s="4" t="str">
        <f>HYPERLINK("#Réglementation!A"&amp;_xlfn.XMATCH("NV1",Réglementation!A:A,2,1),"NV1")</f>
        <v>NV1</v>
      </c>
      <c r="Q23948" s="7" t="str">
        <f>HYPERLINK("#Liste_rouge!A"&amp;_xlfn.XMATCH("EN",Liste_rouge!A:A,2,1),"EN")</f>
        <v>EN</v>
      </c>
      <c r="T23948" s="7" t="str">
        <f>HYPERLINK("#Liste_rouge!A"&amp;_xlfn.XMATCH("RE",Liste_rouge!A:A,2,1),"RE")</f>
        <v>RE</v>
      </c>
      <c r="AH23948" s="4" t="str">
        <f>HYPERLINK("#Statut_biogéographique!A"&amp;_xlfn.XMATCH("P",Statut_biogéographique!A:A,2,1),"P")</f>
        <v>P</v>
      </c>
      <c r="AM23948" s="4" t="s">
        <v>375</v>
      </c>
      <c r="AN23948" s="4" t="s">
        <v>375</v>
      </c>
      <c r="AO23948" s="4" t="s">
        <v>375</v>
      </c>
      <c r="AP23948" s="4" t="s">
        <v>389</v>
      </c>
      <c r="AR23948" s="4" t="s">
        <v>377</v>
      </c>
    </row>
    <row r="23949" spans="1:44" ht="30">
      <c r="A23949" s="4" t="s">
        <v>24364</v>
      </c>
      <c r="B23949" s="4">
        <v>88578</v>
      </c>
      <c r="D23949" s="5" t="s">
        <v>31287</v>
      </c>
      <c r="E23949" s="6" t="str">
        <f>HYPERLINK("https://inpn.mnhn.fr/espece/cd_nom/88578","Carex hostiana DC., 1813")</f>
        <v>Carex hostiana DC., 1813</v>
      </c>
      <c r="F23949" s="5" t="s">
        <v>31288</v>
      </c>
      <c r="Q23949" s="7" t="str">
        <f>HYPERLINK("#Liste_rouge!A"&amp;_xlfn.XMATCH("LC",Liste_rouge!A:A,2,1),"LC")</f>
        <v>LC</v>
      </c>
      <c r="T23949" s="7" t="str">
        <f>HYPERLINK("#Liste_rouge!A"&amp;_xlfn.XMATCH("VU",Liste_rouge!A:A,2,1),"VU")</f>
        <v>VU</v>
      </c>
      <c r="U23949" s="4" t="str">
        <f>HYPERLINK("#Critères_liste_rouge!A$1","C2a(i)")</f>
        <v>C2a(i)</v>
      </c>
      <c r="V23949" s="7" t="str">
        <f>HYPERLINK("#Liste_rouge!A"&amp;_xlfn.XMATCH("LC",Liste_rouge!A:A,2,1),"LC")</f>
        <v>LC</v>
      </c>
      <c r="AB23949" s="4" t="s">
        <v>29418</v>
      </c>
      <c r="AH23949" s="4" t="str">
        <f>HYPERLINK("#Statut_biogéographique!A"&amp;_xlfn.XMATCH("P",Statut_biogéographique!A:A,2,1),"P")</f>
        <v>P</v>
      </c>
      <c r="AM23949" s="4" t="s">
        <v>375</v>
      </c>
      <c r="AN23949" s="4" t="s">
        <v>375</v>
      </c>
      <c r="AO23949" s="4" t="s">
        <v>375</v>
      </c>
      <c r="AP23949" s="4" t="s">
        <v>376</v>
      </c>
      <c r="AR23949" s="4" t="s">
        <v>377</v>
      </c>
    </row>
    <row r="23950" spans="1:44" ht="30">
      <c r="A23950" s="4" t="s">
        <v>24364</v>
      </c>
      <c r="B23950" s="4">
        <v>88582</v>
      </c>
      <c r="D23950" s="5" t="s">
        <v>31289</v>
      </c>
      <c r="E23950" s="6" t="str">
        <f>HYPERLINK("https://inpn.mnhn.fr/espece/cd_nom/88582","Carex humilis Leyss., 1758")</f>
        <v>Carex humilis Leyss., 1758</v>
      </c>
      <c r="F23950" s="5" t="s">
        <v>31290</v>
      </c>
      <c r="Q23950" s="7" t="str">
        <f>HYPERLINK("#Liste_rouge!A"&amp;_xlfn.XMATCH("LC",Liste_rouge!A:A,2,1),"LC")</f>
        <v>LC</v>
      </c>
      <c r="T23950" s="7" t="str">
        <f>HYPERLINK("#Liste_rouge!A"&amp;_xlfn.XMATCH("LC",Liste_rouge!A:A,2,1),"LC")</f>
        <v>LC</v>
      </c>
      <c r="V23950" s="7" t="str">
        <f>HYPERLINK("#Liste_rouge!A"&amp;_xlfn.XMATCH("LC",Liste_rouge!A:A,2,1),"LC")</f>
        <v>LC</v>
      </c>
      <c r="AB23950" s="4" t="s">
        <v>27770</v>
      </c>
      <c r="AH23950" s="4" t="str">
        <f>HYPERLINK("#Statut_biogéographique!A"&amp;_xlfn.XMATCH("P",Statut_biogéographique!A:A,2,1),"P")</f>
        <v>P</v>
      </c>
      <c r="AM23950" s="4" t="s">
        <v>375</v>
      </c>
      <c r="AN23950" s="4" t="s">
        <v>375</v>
      </c>
      <c r="AO23950" s="4" t="s">
        <v>375</v>
      </c>
      <c r="AP23950" s="4" t="s">
        <v>376</v>
      </c>
      <c r="AR23950" s="4" t="s">
        <v>377</v>
      </c>
    </row>
    <row r="23951" spans="1:44" ht="30">
      <c r="A23951" s="4" t="s">
        <v>24364</v>
      </c>
      <c r="B23951" s="4">
        <v>88606</v>
      </c>
      <c r="D23951" s="5" t="s">
        <v>31291</v>
      </c>
      <c r="E23951" s="6" t="str">
        <f>HYPERLINK("https://inpn.mnhn.fr/espece/cd_nom/88606","Carex lachenalii Schkuhr, 1801 [nom. cons.]")</f>
        <v>Carex lachenalii Schkuhr, 1801 [nom. cons.]</v>
      </c>
      <c r="F23951" s="5" t="s">
        <v>31292</v>
      </c>
      <c r="O23951" s="7" t="str">
        <f>HYPERLINK("#Liste_rouge!A"&amp;_xlfn.XMATCH("CR",Liste_rouge!A:A,2,1),"CR")</f>
        <v>CR</v>
      </c>
      <c r="Q23951" s="7" t="str">
        <f>HYPERLINK("#Liste_rouge!A"&amp;_xlfn.XMATCH("LC",Liste_rouge!A:A,2,1),"LC")</f>
        <v>LC</v>
      </c>
      <c r="AH23951" s="4" t="str">
        <f>HYPERLINK("#Statut_biogéographique!A"&amp;_xlfn.XMATCH("P",Statut_biogéographique!A:A,2,1),"P")</f>
        <v>P</v>
      </c>
      <c r="AP23951" s="4" t="s">
        <v>376</v>
      </c>
      <c r="AR23951" s="4" t="s">
        <v>377</v>
      </c>
    </row>
    <row r="23952" spans="1:44" ht="30">
      <c r="A23952" s="4" t="s">
        <v>24364</v>
      </c>
      <c r="B23952" s="4">
        <v>88608</v>
      </c>
      <c r="D23952" s="5" t="s">
        <v>31293</v>
      </c>
      <c r="E23952" s="6" t="str">
        <f>HYPERLINK("https://inpn.mnhn.fr/espece/cd_nom/88608","Carex laevigata Sm., 1800")</f>
        <v>Carex laevigata Sm., 1800</v>
      </c>
      <c r="F23952" s="5" t="s">
        <v>31294</v>
      </c>
      <c r="Q23952" s="7" t="str">
        <f>HYPERLINK("#Liste_rouge!A"&amp;_xlfn.XMATCH("LC",Liste_rouge!A:A,2,1),"LC")</f>
        <v>LC</v>
      </c>
      <c r="T23952" s="7" t="str">
        <f>HYPERLINK("#Liste_rouge!A"&amp;_xlfn.XMATCH("LC",Liste_rouge!A:A,2,1),"LC")</f>
        <v>LC</v>
      </c>
      <c r="V23952" s="7" t="str">
        <f>HYPERLINK("#Liste_rouge!A"&amp;_xlfn.XMATCH("CR",Liste_rouge!A:A,2,1),"CR")</f>
        <v>CR</v>
      </c>
      <c r="W23952" s="4" t="str">
        <f>HYPERLINK("#Critères_liste_rouge!A$1","D")</f>
        <v>D</v>
      </c>
      <c r="AB23952" s="4" t="s">
        <v>24410</v>
      </c>
      <c r="AH23952" s="4" t="str">
        <f>HYPERLINK("#Statut_biogéographique!A"&amp;_xlfn.XMATCH("P",Statut_biogéographique!A:A,2,1),"P")</f>
        <v>P</v>
      </c>
      <c r="AM23952" s="4" t="s">
        <v>375</v>
      </c>
      <c r="AN23952" s="4" t="s">
        <v>375</v>
      </c>
      <c r="AO23952" s="4" t="s">
        <v>375</v>
      </c>
      <c r="AP23952" s="4" t="s">
        <v>376</v>
      </c>
      <c r="AR23952" s="4" t="s">
        <v>377</v>
      </c>
    </row>
    <row r="23953" spans="1:44" ht="30">
      <c r="A23953" s="4" t="s">
        <v>24364</v>
      </c>
      <c r="B23953" s="4">
        <v>886138</v>
      </c>
      <c r="D23953" s="5" t="s">
        <v>31295</v>
      </c>
      <c r="E23953" s="6" t="str">
        <f>HYPERLINK("https://inpn.mnhn.fr/espece/cd_nom/886138","Apopellia endiviifolia (Dicks.) Nebel &amp; D.Quandt, 2016")</f>
        <v>Apopellia endiviifolia (Dicks.) Nebel &amp; D.Quandt, 2016</v>
      </c>
      <c r="P23953" s="7" t="str">
        <f>HYPERLINK("#Liste_rouge!A"&amp;_xlfn.XMATCH("LC",Liste_rouge!A:A,2,1),"LC")</f>
        <v>LC</v>
      </c>
      <c r="T23953" s="7" t="str">
        <f>HYPERLINK("#Liste_rouge!A"&amp;_xlfn.XMATCH("LC",Liste_rouge!A:A,2,1),"LC")</f>
        <v>LC</v>
      </c>
      <c r="V23953" s="7" t="str">
        <f>HYPERLINK("#Liste_rouge!A"&amp;_xlfn.XMATCH("LC",Liste_rouge!A:A,2,1),"LC")</f>
        <v>LC</v>
      </c>
      <c r="AH23953" s="4" t="str">
        <f>HYPERLINK("#Statut_biogéographique!A"&amp;_xlfn.XMATCH("P",Statut_biogéographique!A:A,2,1),"P")</f>
        <v>P</v>
      </c>
      <c r="AP23953" s="4" t="s">
        <v>376</v>
      </c>
      <c r="AR23953" s="4" t="s">
        <v>377</v>
      </c>
    </row>
    <row r="23954" spans="1:44" ht="30">
      <c r="A23954" s="4" t="s">
        <v>24364</v>
      </c>
      <c r="B23954" s="4">
        <v>88614</v>
      </c>
      <c r="D23954" s="5" t="s">
        <v>31296</v>
      </c>
      <c r="E23954" s="6" t="str">
        <f>HYPERLINK("https://inpn.mnhn.fr/espece/cd_nom/88614","Carex lasiocarpa Ehrh., 1784")</f>
        <v>Carex lasiocarpa Ehrh., 1784</v>
      </c>
      <c r="F23954" s="5" t="s">
        <v>31297</v>
      </c>
      <c r="O23954" s="7" t="str">
        <f>HYPERLINK("#Liste_rouge!A"&amp;_xlfn.XMATCH("LC",Liste_rouge!A:A,2,1),"LC")</f>
        <v>LC</v>
      </c>
      <c r="P23954" s="7" t="str">
        <f>HYPERLINK("#Liste_rouge!A"&amp;_xlfn.XMATCH("LC",Liste_rouge!A:A,2,1),"LC")</f>
        <v>LC</v>
      </c>
      <c r="Q23954" s="7" t="str">
        <f>HYPERLINK("#Liste_rouge!A"&amp;_xlfn.XMATCH("LC",Liste_rouge!A:A,2,1),"LC")</f>
        <v>LC</v>
      </c>
      <c r="T23954" s="7" t="str">
        <f>HYPERLINK("#Liste_rouge!A"&amp;_xlfn.XMATCH("VU",Liste_rouge!A:A,2,1),"VU")</f>
        <v>VU</v>
      </c>
      <c r="U23954" s="4" t="str">
        <f>HYPERLINK("#Critères_liste_rouge!A$1","D2")</f>
        <v>D2</v>
      </c>
      <c r="V23954" s="7" t="str">
        <f>HYPERLINK("#Liste_rouge!A"&amp;_xlfn.XMATCH("LC",Liste_rouge!A:A,2,1),"LC")</f>
        <v>LC</v>
      </c>
      <c r="AB23954" s="4" t="s">
        <v>26249</v>
      </c>
      <c r="AH23954" s="4" t="str">
        <f>HYPERLINK("#Statut_biogéographique!A"&amp;_xlfn.XMATCH("P",Statut_biogéographique!A:A,2,1),"P")</f>
        <v>P</v>
      </c>
      <c r="AM23954" s="4" t="s">
        <v>375</v>
      </c>
      <c r="AN23954" s="4" t="s">
        <v>375</v>
      </c>
      <c r="AO23954" s="4" t="s">
        <v>375</v>
      </c>
      <c r="AP23954" s="4" t="s">
        <v>376</v>
      </c>
      <c r="AR23954" s="4" t="s">
        <v>377</v>
      </c>
    </row>
    <row r="23955" spans="1:44" ht="30">
      <c r="A23955" s="4" t="s">
        <v>24364</v>
      </c>
      <c r="B23955" s="4">
        <v>886176</v>
      </c>
      <c r="D23955" s="5" t="s">
        <v>31298</v>
      </c>
      <c r="E23955" s="6" t="str">
        <f>HYPERLINK("https://inpn.mnhn.fr/espece/cd_nom/886176","Blindiadelphus recurvatus (Hedw.) Fedosov &amp; Ignatov, 2017")</f>
        <v>Blindiadelphus recurvatus (Hedw.) Fedosov &amp; Ignatov, 2017</v>
      </c>
      <c r="P23955" s="7" t="str">
        <f>HYPERLINK("#Liste_rouge!A"&amp;_xlfn.XMATCH("LC",Liste_rouge!A:A,2,1),"LC")</f>
        <v>LC</v>
      </c>
      <c r="T23955" s="7" t="str">
        <f>HYPERLINK("#Liste_rouge!A"&amp;_xlfn.XMATCH("CR",Liste_rouge!A:A,2,1),"CR")</f>
        <v>CR</v>
      </c>
      <c r="V23955" s="7" t="str">
        <f>HYPERLINK("#Liste_rouge!A"&amp;_xlfn.XMATCH("VU",Liste_rouge!A:A,2,1),"VU")</f>
        <v>VU</v>
      </c>
      <c r="X23955" s="5" t="s">
        <v>374</v>
      </c>
      <c r="AB23955" s="4" t="s">
        <v>93</v>
      </c>
      <c r="AH23955" s="4" t="str">
        <f>HYPERLINK("#Statut_biogéographique!A"&amp;_xlfn.XMATCH("P",Statut_biogéographique!A:A,2,1),"P")</f>
        <v>P</v>
      </c>
      <c r="AP23955" s="4" t="s">
        <v>376</v>
      </c>
      <c r="AR23955" s="4" t="s">
        <v>377</v>
      </c>
    </row>
    <row r="23956" spans="1:44">
      <c r="A23956" s="4" t="s">
        <v>24364</v>
      </c>
      <c r="B23956" s="4">
        <v>886218</v>
      </c>
      <c r="D23956" s="5" t="s">
        <v>31299</v>
      </c>
      <c r="E23956" s="6" t="str">
        <f>HYPERLINK("https://inpn.mnhn.fr/espece/cd_nom/886218","Tortella fasciculata (Culm.) Culm., 1924")</f>
        <v>Tortella fasciculata (Culm.) Culm., 1924</v>
      </c>
      <c r="O23956" s="7" t="str">
        <f>HYPERLINK("#Liste_rouge!A"&amp;_xlfn.XMATCH("LC",Liste_rouge!A:A,2,1),"LC")</f>
        <v>LC</v>
      </c>
      <c r="P23956" s="7" t="str">
        <f>HYPERLINK("#Liste_rouge!A"&amp;_xlfn.XMATCH("LC",Liste_rouge!A:A,2,1),"LC")</f>
        <v>LC</v>
      </c>
      <c r="AH23956" s="4" t="str">
        <f>HYPERLINK("#Statut_biogéographique!A"&amp;_xlfn.XMATCH("P",Statut_biogéographique!A:A,2,1),"P")</f>
        <v>P</v>
      </c>
      <c r="AP23956" s="4" t="s">
        <v>376</v>
      </c>
      <c r="AR23956" s="4" t="s">
        <v>377</v>
      </c>
    </row>
    <row r="23957" spans="1:44" ht="75">
      <c r="A23957" s="4" t="s">
        <v>24364</v>
      </c>
      <c r="B23957" s="4">
        <v>88622</v>
      </c>
      <c r="D23957" s="5" t="s">
        <v>31300</v>
      </c>
      <c r="E23957" s="6" t="str">
        <f>HYPERLINK("https://inpn.mnhn.fr/espece/cd_nom/88622","Carex leersii F.W.Schultz, 1870 [nom. cons.]")</f>
        <v>Carex leersii F.W.Schultz, 1870 [nom. cons.]</v>
      </c>
      <c r="F23957" s="5" t="s">
        <v>31301</v>
      </c>
      <c r="Q23957" s="7" t="str">
        <f>HYPERLINK("#Liste_rouge!A"&amp;_xlfn.XMATCH("LC",Liste_rouge!A:A,2,1),"LC")</f>
        <v>LC</v>
      </c>
      <c r="T23957" s="7" t="str">
        <f>HYPERLINK("#Liste_rouge!A"&amp;_xlfn.XMATCH("LC",Liste_rouge!A:A,2,1),"LC")</f>
        <v>LC</v>
      </c>
      <c r="V23957" s="7" t="str">
        <f>HYPERLINK("#Liste_rouge!A"&amp;_xlfn.XMATCH("LC",Liste_rouge!A:A,2,1),"LC")</f>
        <v>LC</v>
      </c>
      <c r="AH23957" s="4" t="str">
        <f>HYPERLINK("#Statut_biogéographique!A"&amp;_xlfn.XMATCH("P",Statut_biogéographique!A:A,2,1),"P")</f>
        <v>P</v>
      </c>
      <c r="AM23957" s="4" t="s">
        <v>375</v>
      </c>
      <c r="AN23957" s="4" t="s">
        <v>375</v>
      </c>
      <c r="AO23957" s="4" t="s">
        <v>375</v>
      </c>
      <c r="AP23957" s="4" t="s">
        <v>376</v>
      </c>
      <c r="AR23957" s="4" t="s">
        <v>377</v>
      </c>
    </row>
    <row r="23958" spans="1:44" ht="45">
      <c r="A23958" s="4" t="s">
        <v>24364</v>
      </c>
      <c r="B23958" s="4">
        <v>88624</v>
      </c>
      <c r="D23958" s="5" t="s">
        <v>31302</v>
      </c>
      <c r="E23958" s="6" t="str">
        <f>HYPERLINK("https://inpn.mnhn.fr/espece/cd_nom/88624","Carex lepidocarpa Tausch, 1834")</f>
        <v>Carex lepidocarpa Tausch, 1834</v>
      </c>
      <c r="F23958" s="5" t="s">
        <v>31303</v>
      </c>
      <c r="Q23958" s="7" t="str">
        <f>HYPERLINK("#Liste_rouge!A"&amp;_xlfn.XMATCH("LC",Liste_rouge!A:A,2,1),"LC")</f>
        <v>LC</v>
      </c>
      <c r="T23958" s="7" t="str">
        <f>HYPERLINK("#Liste_rouge!A"&amp;_xlfn.XMATCH("LC",Liste_rouge!A:A,2,1),"LC")</f>
        <v>LC</v>
      </c>
      <c r="V23958" s="7" t="str">
        <f>HYPERLINK("#Liste_rouge!A"&amp;_xlfn.XMATCH("LC",Liste_rouge!A:A,2,1),"LC")</f>
        <v>LC</v>
      </c>
      <c r="AB23958" s="4" t="s">
        <v>25854</v>
      </c>
      <c r="AH23958" s="4" t="str">
        <f>HYPERLINK("#Statut_biogéographique!A"&amp;_xlfn.XMATCH("P",Statut_biogéographique!A:A,2,1),"P")</f>
        <v>P</v>
      </c>
      <c r="AM23958" s="4" t="s">
        <v>375</v>
      </c>
      <c r="AN23958" s="4" t="s">
        <v>375</v>
      </c>
      <c r="AO23958" s="4" t="s">
        <v>375</v>
      </c>
      <c r="AP23958" s="4" t="s">
        <v>376</v>
      </c>
      <c r="AR23958" s="4" t="s">
        <v>377</v>
      </c>
    </row>
    <row r="23959" spans="1:44" ht="30">
      <c r="A23959" s="4" t="s">
        <v>24364</v>
      </c>
      <c r="B23959" s="4">
        <v>88626</v>
      </c>
      <c r="D23959" s="5" t="s">
        <v>31304</v>
      </c>
      <c r="E23959" s="6" t="str">
        <f>HYPERLINK("https://inpn.mnhn.fr/espece/cd_nom/88626","Carex leporina L., 1753")</f>
        <v>Carex leporina L., 1753</v>
      </c>
      <c r="F23959" s="5" t="s">
        <v>31305</v>
      </c>
      <c r="Q23959" s="7" t="str">
        <f>HYPERLINK("#Liste_rouge!A"&amp;_xlfn.XMATCH("LC",Liste_rouge!A:A,2,1),"LC")</f>
        <v>LC</v>
      </c>
      <c r="T23959" s="7" t="str">
        <f>HYPERLINK("#Liste_rouge!A"&amp;_xlfn.XMATCH("LC",Liste_rouge!A:A,2,1),"LC")</f>
        <v>LC</v>
      </c>
      <c r="V23959" s="7" t="str">
        <f>HYPERLINK("#Liste_rouge!A"&amp;_xlfn.XMATCH("LC",Liste_rouge!A:A,2,1),"LC")</f>
        <v>LC</v>
      </c>
      <c r="AH23959" s="4" t="str">
        <f>HYPERLINK("#Statut_biogéographique!A"&amp;_xlfn.XMATCH("P",Statut_biogéographique!A:A,2,1),"P")</f>
        <v>P</v>
      </c>
      <c r="AM23959" s="4" t="s">
        <v>375</v>
      </c>
      <c r="AN23959" s="4" t="s">
        <v>375</v>
      </c>
      <c r="AO23959" s="4" t="s">
        <v>375</v>
      </c>
      <c r="AP23959" s="4" t="s">
        <v>376</v>
      </c>
      <c r="AR23959" s="4" t="s">
        <v>377</v>
      </c>
    </row>
    <row r="23960" spans="1:44" ht="45">
      <c r="A23960" s="4" t="s">
        <v>24364</v>
      </c>
      <c r="B23960" s="4">
        <v>886265</v>
      </c>
      <c r="D23960" s="5" t="s">
        <v>31306</v>
      </c>
      <c r="E23960" s="6" t="str">
        <f>HYPERLINK("https://inpn.mnhn.fr/espece/cd_nom/886265","Chionoloma tenuirostre var. tenuirostre (Hook. &amp; Taylor) M.Alonso, M.J.Cano &amp; J.A.Jiménez, 2016")</f>
        <v>Chionoloma tenuirostre var. tenuirostre (Hook. &amp; Taylor) M.Alonso, M.J.Cano &amp; J.A.Jiménez, 2016</v>
      </c>
      <c r="AH23960" s="4" t="str">
        <f>HYPERLINK("#Statut_biogéographique!A"&amp;_xlfn.XMATCH("P",Statut_biogéographique!A:A,2,1),"P")</f>
        <v>P</v>
      </c>
      <c r="AP23960" s="4" t="s">
        <v>376</v>
      </c>
      <c r="AR23960" s="4" t="s">
        <v>377</v>
      </c>
    </row>
    <row r="23961" spans="1:44" ht="30">
      <c r="A23961" s="4" t="s">
        <v>24364</v>
      </c>
      <c r="B23961" s="4">
        <v>88632</v>
      </c>
      <c r="D23961" s="5" t="s">
        <v>31307</v>
      </c>
      <c r="E23961" s="6" t="str">
        <f>HYPERLINK("https://inpn.mnhn.fr/espece/cd_nom/88632","Carex limosa L., 1753")</f>
        <v>Carex limosa L., 1753</v>
      </c>
      <c r="F23961" s="5" t="s">
        <v>31308</v>
      </c>
      <c r="L23961" s="4" t="str">
        <f>HYPERLINK("#Réglementation!A"&amp;_xlfn.XMATCH("NV1",Réglementation!A:A,2,1),"NV1")</f>
        <v>NV1</v>
      </c>
      <c r="O23961" s="7" t="str">
        <f>HYPERLINK("#Liste_rouge!A"&amp;_xlfn.XMATCH("LC",Liste_rouge!A:A,2,1),"LC")</f>
        <v>LC</v>
      </c>
      <c r="P23961" s="7" t="str">
        <f>HYPERLINK("#Liste_rouge!A"&amp;_xlfn.XMATCH("LC",Liste_rouge!A:A,2,1),"LC")</f>
        <v>LC</v>
      </c>
      <c r="Q23961" s="7" t="str">
        <f>HYPERLINK("#Liste_rouge!A"&amp;_xlfn.XMATCH("LC",Liste_rouge!A:A,2,1),"LC")</f>
        <v>LC</v>
      </c>
      <c r="T23961" s="7" t="str">
        <f>HYPERLINK("#Liste_rouge!A"&amp;_xlfn.XMATCH("RE",Liste_rouge!A:A,2,1),"RE")</f>
        <v>RE</v>
      </c>
      <c r="V23961" s="7" t="str">
        <f>HYPERLINK("#Liste_rouge!A"&amp;_xlfn.XMATCH("LC",Liste_rouge!A:A,2,1),"LC")</f>
        <v>LC</v>
      </c>
      <c r="X23961" s="5" t="s">
        <v>374</v>
      </c>
      <c r="AB23961" s="4" t="s">
        <v>93</v>
      </c>
      <c r="AH23961" s="4" t="str">
        <f>HYPERLINK("#Statut_biogéographique!A"&amp;_xlfn.XMATCH("P",Statut_biogéographique!A:A,2,1),"P")</f>
        <v>P</v>
      </c>
      <c r="AM23961" s="4" t="s">
        <v>375</v>
      </c>
      <c r="AN23961" s="4" t="s">
        <v>375</v>
      </c>
      <c r="AO23961" s="4" t="s">
        <v>375</v>
      </c>
      <c r="AP23961" s="4" t="s">
        <v>376</v>
      </c>
      <c r="AR23961" s="4" t="s">
        <v>377</v>
      </c>
    </row>
    <row r="23962" spans="1:44">
      <c r="A23962" s="4" t="s">
        <v>24364</v>
      </c>
      <c r="B23962" s="4">
        <v>88669</v>
      </c>
      <c r="D23962" s="5" t="s">
        <v>31309</v>
      </c>
      <c r="E23962" s="6" t="str">
        <f>HYPERLINK("https://inpn.mnhn.fr/espece/cd_nom/88669","Carex melanostachya M.Bieb. ex Willd., 1805")</f>
        <v>Carex melanostachya M.Bieb. ex Willd., 1805</v>
      </c>
      <c r="F23962" s="5" t="s">
        <v>31310</v>
      </c>
      <c r="Q23962" s="7" t="str">
        <f>HYPERLINK("#Liste_rouge!A"&amp;_xlfn.XMATCH("VU",Liste_rouge!A:A,2,1),"VU")</f>
        <v>VU</v>
      </c>
      <c r="T23962" s="7" t="str">
        <f>HYPERLINK("#Liste_rouge!A"&amp;_xlfn.XMATCH("VU",Liste_rouge!A:A,2,1),"VU")</f>
        <v>VU</v>
      </c>
      <c r="U23962" s="4" t="str">
        <f>HYPERLINK("#Critères_liste_rouge!A$1","C2a(i) D2")</f>
        <v>C2a(i) D2</v>
      </c>
      <c r="X23962" s="5" t="s">
        <v>374</v>
      </c>
      <c r="AB23962" s="4" t="s">
        <v>93</v>
      </c>
      <c r="AH23962" s="4" t="str">
        <f>HYPERLINK("#Statut_biogéographique!A"&amp;_xlfn.XMATCH("P",Statut_biogéographique!A:A,2,1),"P")</f>
        <v>P</v>
      </c>
      <c r="AM23962" s="4" t="s">
        <v>375</v>
      </c>
      <c r="AN23962" s="4" t="s">
        <v>375</v>
      </c>
      <c r="AO23962" s="4" t="s">
        <v>375</v>
      </c>
      <c r="AP23962" s="4" t="s">
        <v>389</v>
      </c>
      <c r="AR23962" s="4" t="s">
        <v>377</v>
      </c>
    </row>
    <row r="23963" spans="1:44" ht="30">
      <c r="A23963" s="4" t="s">
        <v>24364</v>
      </c>
      <c r="B23963" s="4">
        <v>88691</v>
      </c>
      <c r="D23963" s="5" t="s">
        <v>31311</v>
      </c>
      <c r="E23963" s="6" t="str">
        <f>HYPERLINK("https://inpn.mnhn.fr/espece/cd_nom/88691","Carex montana L., 1753")</f>
        <v>Carex montana L., 1753</v>
      </c>
      <c r="F23963" s="5" t="s">
        <v>31312</v>
      </c>
      <c r="Q23963" s="7" t="str">
        <f>HYPERLINK("#Liste_rouge!A"&amp;_xlfn.XMATCH("LC",Liste_rouge!A:A,2,1),"LC")</f>
        <v>LC</v>
      </c>
      <c r="T23963" s="7" t="str">
        <f>HYPERLINK("#Liste_rouge!A"&amp;_xlfn.XMATCH("LC",Liste_rouge!A:A,2,1),"LC")</f>
        <v>LC</v>
      </c>
      <c r="V23963" s="7" t="str">
        <f>HYPERLINK("#Liste_rouge!A"&amp;_xlfn.XMATCH("LC",Liste_rouge!A:A,2,1),"LC")</f>
        <v>LC</v>
      </c>
      <c r="AB23963" s="4" t="s">
        <v>31313</v>
      </c>
      <c r="AH23963" s="4" t="str">
        <f>HYPERLINK("#Statut_biogéographique!A"&amp;_xlfn.XMATCH("P",Statut_biogéographique!A:A,2,1),"P")</f>
        <v>P</v>
      </c>
      <c r="AM23963" s="4" t="s">
        <v>375</v>
      </c>
      <c r="AN23963" s="4" t="s">
        <v>375</v>
      </c>
      <c r="AO23963" s="4" t="s">
        <v>375</v>
      </c>
      <c r="AP23963" s="4" t="s">
        <v>376</v>
      </c>
      <c r="AR23963" s="4" t="s">
        <v>377</v>
      </c>
    </row>
    <row r="23964" spans="1:44">
      <c r="A23964" s="4" t="s">
        <v>24364</v>
      </c>
      <c r="B23964" s="4">
        <v>88702</v>
      </c>
      <c r="D23964" s="5" t="s">
        <v>31314</v>
      </c>
      <c r="E23964" s="6" t="str">
        <f>HYPERLINK("https://inpn.mnhn.fr/espece/cd_nom/88702","Carex muricata L., 1753")</f>
        <v>Carex muricata L., 1753</v>
      </c>
      <c r="F23964" s="5" t="s">
        <v>31315</v>
      </c>
      <c r="Q23964" s="7" t="str">
        <f>HYPERLINK("#Liste_rouge!A"&amp;_xlfn.XMATCH("LC",Liste_rouge!A:A,2,1),"LC")</f>
        <v>LC</v>
      </c>
      <c r="V23964" s="7" t="str">
        <f>HYPERLINK("#Liste_rouge!A"&amp;_xlfn.XMATCH("DD",Liste_rouge!A:A,2,1),"DD")</f>
        <v>DD</v>
      </c>
      <c r="AH23964" s="4" t="str">
        <f>HYPERLINK("#Statut_biogéographique!A"&amp;_xlfn.XMATCH("P",Statut_biogéographique!A:A,2,1),"P")</f>
        <v>P</v>
      </c>
      <c r="AM23964" s="4" t="s">
        <v>375</v>
      </c>
      <c r="AN23964" s="4" t="s">
        <v>375</v>
      </c>
      <c r="AO23964" s="4" t="s">
        <v>375</v>
      </c>
      <c r="AP23964" s="4" t="s">
        <v>376</v>
      </c>
      <c r="AR23964" s="4" t="s">
        <v>377</v>
      </c>
    </row>
    <row r="23965" spans="1:44" ht="150">
      <c r="A23965" s="4" t="s">
        <v>24364</v>
      </c>
      <c r="B23965" s="4">
        <v>88720</v>
      </c>
      <c r="D23965" s="5" t="s">
        <v>31316</v>
      </c>
      <c r="E23965" s="6" t="str">
        <f>HYPERLINK("https://inpn.mnhn.fr/espece/cd_nom/88720","Carex nigra (L.) Reichard, 1778")</f>
        <v>Carex nigra (L.) Reichard, 1778</v>
      </c>
      <c r="F23965" s="5" t="s">
        <v>31317</v>
      </c>
      <c r="O23965" s="7" t="str">
        <f>HYPERLINK("#Liste_rouge!A"&amp;_xlfn.XMATCH("LC",Liste_rouge!A:A,2,1),"LC")</f>
        <v>LC</v>
      </c>
      <c r="Q23965" s="7" t="str">
        <f>HYPERLINK("#Liste_rouge!A"&amp;_xlfn.XMATCH("LC",Liste_rouge!A:A,2,1),"LC")</f>
        <v>LC</v>
      </c>
      <c r="T23965" s="7" t="str">
        <f>HYPERLINK("#Liste_rouge!A"&amp;_xlfn.XMATCH("LC",Liste_rouge!A:A,2,1),"LC (cd_nom 88720) - DD (cd_nom 132763)")</f>
        <v>LC (cd_nom 88720) - DD (cd_nom 132763)</v>
      </c>
      <c r="V23965" s="7" t="str">
        <f>HYPERLINK("#Liste_rouge!A"&amp;_xlfn.XMATCH("LC",Liste_rouge!A:A,2,1),"LC")</f>
        <v>LC</v>
      </c>
      <c r="AH23965" s="4" t="str">
        <f>HYPERLINK("#Statut_biogéographique!A"&amp;_xlfn.XMATCH("P",Statut_biogéographique!A:A,2,1),"P")</f>
        <v>P</v>
      </c>
      <c r="AM23965" s="4" t="s">
        <v>375</v>
      </c>
      <c r="AN23965" s="4" t="s">
        <v>375</v>
      </c>
      <c r="AO23965" s="4" t="s">
        <v>375</v>
      </c>
      <c r="AP23965" s="4" t="s">
        <v>376</v>
      </c>
      <c r="AR23965" s="4" t="s">
        <v>377</v>
      </c>
    </row>
    <row r="23966" spans="1:44">
      <c r="A23966" s="4" t="s">
        <v>24364</v>
      </c>
      <c r="B23966" s="4">
        <v>88737</v>
      </c>
      <c r="D23966" s="5" t="s">
        <v>31318</v>
      </c>
      <c r="E23966" s="6" t="str">
        <f>HYPERLINK("https://inpn.mnhn.fr/espece/cd_nom/88737","Carex ornithopoda Willd., 1805")</f>
        <v>Carex ornithopoda Willd., 1805</v>
      </c>
      <c r="F23966" s="5" t="s">
        <v>28398</v>
      </c>
      <c r="Q23966" s="7" t="str">
        <f>HYPERLINK("#Liste_rouge!A"&amp;_xlfn.XMATCH("LC",Liste_rouge!A:A,2,1),"LC")</f>
        <v>LC</v>
      </c>
      <c r="T23966" s="7" t="str">
        <f>HYPERLINK("#Liste_rouge!A"&amp;_xlfn.XMATCH("VU",Liste_rouge!A:A,2,1),"VU")</f>
        <v>VU</v>
      </c>
      <c r="U23966" s="4" t="str">
        <f>HYPERLINK("#Critères_liste_rouge!A$1","D2")</f>
        <v>D2</v>
      </c>
      <c r="V23966" s="7" t="str">
        <f>HYPERLINK("#Liste_rouge!A"&amp;_xlfn.XMATCH("LC",Liste_rouge!A:A,2,1),"LC")</f>
        <v>LC</v>
      </c>
      <c r="AB23966" s="4" t="s">
        <v>24634</v>
      </c>
      <c r="AH23966" s="4" t="str">
        <f>HYPERLINK("#Statut_biogéographique!A"&amp;_xlfn.XMATCH("P",Statut_biogéographique!A:A,2,1),"P")</f>
        <v>P</v>
      </c>
      <c r="AM23966" s="4" t="s">
        <v>375</v>
      </c>
      <c r="AN23966" s="4" t="s">
        <v>375</v>
      </c>
      <c r="AO23966" s="4" t="s">
        <v>375</v>
      </c>
      <c r="AP23966" s="4" t="s">
        <v>376</v>
      </c>
      <c r="AR23966" s="4" t="s">
        <v>377</v>
      </c>
    </row>
    <row r="23967" spans="1:44" ht="45">
      <c r="A23967" s="4" t="s">
        <v>24364</v>
      </c>
      <c r="B23967" s="4">
        <v>88741</v>
      </c>
      <c r="D23967" s="5" t="s">
        <v>31319</v>
      </c>
      <c r="E23967" s="6" t="str">
        <f>HYPERLINK("https://inpn.mnhn.fr/espece/cd_nom/88741","Carex otrubae Podp., 1922")</f>
        <v>Carex otrubae Podp., 1922</v>
      </c>
      <c r="F23967" s="5" t="s">
        <v>31320</v>
      </c>
      <c r="O23967" s="7" t="str">
        <f>HYPERLINK("#Liste_rouge!A"&amp;_xlfn.XMATCH("LC",Liste_rouge!A:A,2,1),"LC")</f>
        <v>LC</v>
      </c>
      <c r="Q23967" s="7" t="str">
        <f>HYPERLINK("#Liste_rouge!A"&amp;_xlfn.XMATCH("LC",Liste_rouge!A:A,2,1),"LC")</f>
        <v>LC</v>
      </c>
      <c r="T23967" s="7" t="str">
        <f>HYPERLINK("#Liste_rouge!A"&amp;_xlfn.XMATCH("DD",Liste_rouge!A:A,2,1),"DD (cd_nom 145127) - LC (cd_nom 88448)")</f>
        <v>DD (cd_nom 145127) - LC (cd_nom 88448)</v>
      </c>
      <c r="V23967" s="7" t="str">
        <f>HYPERLINK("#Liste_rouge!A"&amp;_xlfn.XMATCH("LC",Liste_rouge!A:A,2,1),"LC")</f>
        <v>LC</v>
      </c>
      <c r="AH23967" s="4" t="str">
        <f>HYPERLINK("#Statut_biogéographique!A"&amp;_xlfn.XMATCH("P",Statut_biogéographique!A:A,2,1),"P")</f>
        <v>P</v>
      </c>
      <c r="AM23967" s="4" t="s">
        <v>375</v>
      </c>
      <c r="AN23967" s="4" t="s">
        <v>375</v>
      </c>
      <c r="AO23967" s="4" t="s">
        <v>375</v>
      </c>
      <c r="AP23967" s="4" t="s">
        <v>376</v>
      </c>
      <c r="AR23967" s="4" t="s">
        <v>377</v>
      </c>
    </row>
    <row r="23968" spans="1:44" ht="30">
      <c r="A23968" s="4" t="s">
        <v>24364</v>
      </c>
      <c r="B23968" s="4">
        <v>88745</v>
      </c>
      <c r="D23968" s="5" t="s">
        <v>31321</v>
      </c>
      <c r="E23968" s="6" t="str">
        <f>HYPERLINK("https://inpn.mnhn.fr/espece/cd_nom/88745","Carex pairae F.W.Schultz, 1868")</f>
        <v>Carex pairae F.W.Schultz, 1868</v>
      </c>
      <c r="F23968" s="5" t="s">
        <v>31322</v>
      </c>
      <c r="Q23968" s="7" t="str">
        <f>HYPERLINK("#Liste_rouge!A"&amp;_xlfn.XMATCH("LC",Liste_rouge!A:A,2,1),"LC")</f>
        <v>LC</v>
      </c>
      <c r="T23968" s="7" t="str">
        <f>HYPERLINK("#Liste_rouge!A"&amp;_xlfn.XMATCH("LC",Liste_rouge!A:A,2,1),"LC")</f>
        <v>LC</v>
      </c>
      <c r="V23968" s="7" t="str">
        <f>HYPERLINK("#Liste_rouge!A"&amp;_xlfn.XMATCH("LC",Liste_rouge!A:A,2,1),"LC")</f>
        <v>LC</v>
      </c>
      <c r="AH23968" s="4" t="str">
        <f>HYPERLINK("#Statut_biogéographique!A"&amp;_xlfn.XMATCH("P",Statut_biogéographique!A:A,2,1),"P")</f>
        <v>P</v>
      </c>
      <c r="AM23968" s="4" t="s">
        <v>375</v>
      </c>
      <c r="AN23968" s="4" t="s">
        <v>375</v>
      </c>
      <c r="AO23968" s="4" t="s">
        <v>375</v>
      </c>
      <c r="AP23968" s="4" t="s">
        <v>376</v>
      </c>
      <c r="AR23968" s="4" t="s">
        <v>377</v>
      </c>
    </row>
    <row r="23969" spans="1:44" ht="30">
      <c r="A23969" s="4" t="s">
        <v>24364</v>
      </c>
      <c r="B23969" s="4">
        <v>88747</v>
      </c>
      <c r="D23969" s="5" t="s">
        <v>31323</v>
      </c>
      <c r="E23969" s="6" t="str">
        <f>HYPERLINK("https://inpn.mnhn.fr/espece/cd_nom/88747","Carex pallescens L., 1753")</f>
        <v>Carex pallescens L., 1753</v>
      </c>
      <c r="F23969" s="5" t="s">
        <v>31324</v>
      </c>
      <c r="Q23969" s="7" t="str">
        <f>HYPERLINK("#Liste_rouge!A"&amp;_xlfn.XMATCH("LC",Liste_rouge!A:A,2,1),"LC")</f>
        <v>LC</v>
      </c>
      <c r="T23969" s="7" t="str">
        <f>HYPERLINK("#Liste_rouge!A"&amp;_xlfn.XMATCH("LC",Liste_rouge!A:A,2,1),"LC")</f>
        <v>LC</v>
      </c>
      <c r="V23969" s="7" t="str">
        <f>HYPERLINK("#Liste_rouge!A"&amp;_xlfn.XMATCH("LC",Liste_rouge!A:A,2,1),"LC")</f>
        <v>LC</v>
      </c>
      <c r="AH23969" s="4" t="str">
        <f>HYPERLINK("#Statut_biogéographique!A"&amp;_xlfn.XMATCH("P",Statut_biogéographique!A:A,2,1),"P")</f>
        <v>P</v>
      </c>
      <c r="AM23969" s="4" t="s">
        <v>375</v>
      </c>
      <c r="AN23969" s="4" t="s">
        <v>375</v>
      </c>
      <c r="AO23969" s="4" t="s">
        <v>375</v>
      </c>
      <c r="AP23969" s="4" t="s">
        <v>376</v>
      </c>
      <c r="AR23969" s="4" t="s">
        <v>377</v>
      </c>
    </row>
    <row r="23970" spans="1:44" ht="30">
      <c r="A23970" s="4" t="s">
        <v>24364</v>
      </c>
      <c r="B23970" s="4">
        <v>88752</v>
      </c>
      <c r="D23970" s="5" t="s">
        <v>31325</v>
      </c>
      <c r="E23970" s="6" t="str">
        <f>HYPERLINK("https://inpn.mnhn.fr/espece/cd_nom/88752","Carex panicea L., 1753")</f>
        <v>Carex panicea L., 1753</v>
      </c>
      <c r="F23970" s="5" t="s">
        <v>31326</v>
      </c>
      <c r="Q23970" s="7" t="str">
        <f>HYPERLINK("#Liste_rouge!A"&amp;_xlfn.XMATCH("LC",Liste_rouge!A:A,2,1),"LC")</f>
        <v>LC</v>
      </c>
      <c r="T23970" s="7" t="str">
        <f>HYPERLINK("#Liste_rouge!A"&amp;_xlfn.XMATCH("LC",Liste_rouge!A:A,2,1),"LC")</f>
        <v>LC</v>
      </c>
      <c r="AH23970" s="4" t="str">
        <f>HYPERLINK("#Statut_biogéographique!A"&amp;_xlfn.XMATCH("P",Statut_biogéographique!A:A,2,1),"P")</f>
        <v>P</v>
      </c>
      <c r="AM23970" s="4" t="s">
        <v>375</v>
      </c>
      <c r="AN23970" s="4" t="s">
        <v>375</v>
      </c>
      <c r="AO23970" s="4" t="s">
        <v>375</v>
      </c>
      <c r="AP23970" s="4" t="s">
        <v>376</v>
      </c>
      <c r="AR23970" s="4" t="s">
        <v>377</v>
      </c>
    </row>
    <row r="23971" spans="1:44">
      <c r="A23971" s="4" t="s">
        <v>24364</v>
      </c>
      <c r="B23971" s="4">
        <v>88753</v>
      </c>
      <c r="D23971" s="5" t="s">
        <v>31327</v>
      </c>
      <c r="E23971" s="6" t="str">
        <f>HYPERLINK("https://inpn.mnhn.fr/espece/cd_nom/88753","Carex paniculata L., 1755")</f>
        <v>Carex paniculata L., 1755</v>
      </c>
      <c r="F23971" s="5" t="s">
        <v>28400</v>
      </c>
      <c r="O23971" s="7" t="str">
        <f>HYPERLINK("#Liste_rouge!A"&amp;_xlfn.XMATCH("LC",Liste_rouge!A:A,2,1),"LC")</f>
        <v>LC</v>
      </c>
      <c r="P23971" s="7" t="str">
        <f>HYPERLINK("#Liste_rouge!A"&amp;_xlfn.XMATCH("LC",Liste_rouge!A:A,2,1),"LC")</f>
        <v>LC</v>
      </c>
      <c r="Q23971" s="7" t="str">
        <f>HYPERLINK("#Liste_rouge!A"&amp;_xlfn.XMATCH("LC",Liste_rouge!A:A,2,1),"LC")</f>
        <v>LC</v>
      </c>
      <c r="T23971" s="7" t="str">
        <f>HYPERLINK("#Liste_rouge!A"&amp;_xlfn.XMATCH("LC",Liste_rouge!A:A,2,1),"LC")</f>
        <v>LC</v>
      </c>
      <c r="V23971" s="7" t="str">
        <f>HYPERLINK("#Liste_rouge!A"&amp;_xlfn.XMATCH("LC",Liste_rouge!A:A,2,1),"LC")</f>
        <v>LC</v>
      </c>
      <c r="AH23971" s="4" t="str">
        <f>HYPERLINK("#Statut_biogéographique!A"&amp;_xlfn.XMATCH("P",Statut_biogéographique!A:A,2,1),"P")</f>
        <v>P</v>
      </c>
      <c r="AM23971" s="4" t="s">
        <v>375</v>
      </c>
      <c r="AN23971" s="4" t="s">
        <v>375</v>
      </c>
      <c r="AO23971" s="4" t="s">
        <v>375</v>
      </c>
      <c r="AP23971" s="4" t="s">
        <v>376</v>
      </c>
      <c r="AR23971" s="4" t="s">
        <v>377</v>
      </c>
    </row>
    <row r="23972" spans="1:44" ht="45">
      <c r="A23972" s="4" t="s">
        <v>24364</v>
      </c>
      <c r="B23972" s="4">
        <v>88756</v>
      </c>
      <c r="D23972" s="5" t="s">
        <v>31328</v>
      </c>
      <c r="E23972" s="6" t="str">
        <f>HYPERLINK("https://inpn.mnhn.fr/espece/cd_nom/88756","Carex parviflora Host, 1801")</f>
        <v>Carex parviflora Host, 1801</v>
      </c>
      <c r="F23972" s="5" t="s">
        <v>31329</v>
      </c>
      <c r="Q23972" s="7" t="str">
        <f>HYPERLINK("#Liste_rouge!A"&amp;_xlfn.XMATCH("LC",Liste_rouge!A:A,2,1),"LC")</f>
        <v>LC</v>
      </c>
      <c r="AH23972" s="4" t="str">
        <f>HYPERLINK("#Statut_biogéographique!A"&amp;_xlfn.XMATCH("P",Statut_biogéographique!A:A,2,1),"P")</f>
        <v>P</v>
      </c>
      <c r="AP23972" s="4" t="s">
        <v>376</v>
      </c>
      <c r="AR23972" s="4" t="s">
        <v>377</v>
      </c>
    </row>
    <row r="23973" spans="1:44" ht="30">
      <c r="A23973" s="4" t="s">
        <v>24364</v>
      </c>
      <c r="B23973" s="4">
        <v>88762</v>
      </c>
      <c r="D23973" s="5" t="s">
        <v>31330</v>
      </c>
      <c r="E23973" s="6" t="str">
        <f>HYPERLINK("https://inpn.mnhn.fr/espece/cd_nom/88762","Carex pauciflora Lightf., 1777")</f>
        <v>Carex pauciflora Lightf., 1777</v>
      </c>
      <c r="F23973" s="5" t="s">
        <v>31331</v>
      </c>
      <c r="O23973" s="7" t="str">
        <f>HYPERLINK("#Liste_rouge!A"&amp;_xlfn.XMATCH("LC",Liste_rouge!A:A,2,1),"LC")</f>
        <v>LC</v>
      </c>
      <c r="Q23973" s="7" t="str">
        <f>HYPERLINK("#Liste_rouge!A"&amp;_xlfn.XMATCH("LC",Liste_rouge!A:A,2,1),"LC")</f>
        <v>LC</v>
      </c>
      <c r="V23973" s="7" t="str">
        <f>HYPERLINK("#Liste_rouge!A"&amp;_xlfn.XMATCH("LC",Liste_rouge!A:A,2,1),"LC")</f>
        <v>LC</v>
      </c>
      <c r="X23973" s="5" t="s">
        <v>374</v>
      </c>
      <c r="AB23973" s="4" t="s">
        <v>93</v>
      </c>
      <c r="AH23973" s="4" t="str">
        <f>HYPERLINK("#Statut_biogéographique!A"&amp;_xlfn.XMATCH("P",Statut_biogéographique!A:A,2,1),"P")</f>
        <v>P</v>
      </c>
      <c r="AM23973" s="4" t="s">
        <v>375</v>
      </c>
      <c r="AN23973" s="4" t="s">
        <v>375</v>
      </c>
      <c r="AO23973" s="4" t="s">
        <v>375</v>
      </c>
      <c r="AP23973" s="4" t="s">
        <v>376</v>
      </c>
      <c r="AR23973" s="4" t="s">
        <v>377</v>
      </c>
    </row>
    <row r="23974" spans="1:44">
      <c r="A23974" s="4" t="s">
        <v>24364</v>
      </c>
      <c r="B23974" s="4">
        <v>88766</v>
      </c>
      <c r="D23974" s="5" t="s">
        <v>31332</v>
      </c>
      <c r="E23974" s="6" t="str">
        <f>HYPERLINK("https://inpn.mnhn.fr/espece/cd_nom/88766","Carex pendula Huds., 1762")</f>
        <v>Carex pendula Huds., 1762</v>
      </c>
      <c r="F23974" s="5" t="s">
        <v>31333</v>
      </c>
      <c r="Q23974" s="7" t="str">
        <f>HYPERLINK("#Liste_rouge!A"&amp;_xlfn.XMATCH("LC",Liste_rouge!A:A,2,1),"LC")</f>
        <v>LC</v>
      </c>
      <c r="T23974" s="7" t="str">
        <f>HYPERLINK("#Liste_rouge!A"&amp;_xlfn.XMATCH("LC",Liste_rouge!A:A,2,1),"LC")</f>
        <v>LC</v>
      </c>
      <c r="V23974" s="7" t="str">
        <f>HYPERLINK("#Liste_rouge!A"&amp;_xlfn.XMATCH("LC",Liste_rouge!A:A,2,1),"LC")</f>
        <v>LC</v>
      </c>
      <c r="AH23974" s="4" t="str">
        <f>HYPERLINK("#Statut_biogéographique!A"&amp;_xlfn.XMATCH("P",Statut_biogéographique!A:A,2,1),"P")</f>
        <v>P</v>
      </c>
      <c r="AM23974" s="4" t="s">
        <v>375</v>
      </c>
      <c r="AN23974" s="4" t="s">
        <v>375</v>
      </c>
      <c r="AO23974" s="4" t="s">
        <v>375</v>
      </c>
      <c r="AP23974" s="4" t="s">
        <v>376</v>
      </c>
      <c r="AR23974" s="4" t="s">
        <v>377</v>
      </c>
    </row>
    <row r="23975" spans="1:44">
      <c r="A23975" s="4" t="s">
        <v>24364</v>
      </c>
      <c r="B23975" s="4">
        <v>88774</v>
      </c>
      <c r="D23975" s="5" t="s">
        <v>31334</v>
      </c>
      <c r="E23975" s="6" t="str">
        <f>HYPERLINK("https://inpn.mnhn.fr/espece/cd_nom/88774","Carex pilosa Scop., 1772")</f>
        <v>Carex pilosa Scop., 1772</v>
      </c>
      <c r="F23975" s="5" t="s">
        <v>31335</v>
      </c>
      <c r="Q23975" s="7" t="str">
        <f>HYPERLINK("#Liste_rouge!A"&amp;_xlfn.XMATCH("LC",Liste_rouge!A:A,2,1),"LC")</f>
        <v>LC</v>
      </c>
      <c r="T23975" s="7" t="str">
        <f>HYPERLINK("#Liste_rouge!A"&amp;_xlfn.XMATCH("VU",Liste_rouge!A:A,2,1),"VU")</f>
        <v>VU</v>
      </c>
      <c r="U23975" s="4" t="str">
        <f>HYPERLINK("#Critères_liste_rouge!A$1","D2")</f>
        <v>D2</v>
      </c>
      <c r="V23975" s="7" t="str">
        <f>HYPERLINK("#Liste_rouge!A"&amp;_xlfn.XMATCH("LC",Liste_rouge!A:A,2,1),"LC")</f>
        <v>LC</v>
      </c>
      <c r="AB23975" s="4" t="s">
        <v>31336</v>
      </c>
      <c r="AH23975" s="4" t="str">
        <f>HYPERLINK("#Statut_biogéographique!A"&amp;_xlfn.XMATCH("P",Statut_biogéographique!A:A,2,1),"P")</f>
        <v>P</v>
      </c>
      <c r="AM23975" s="4" t="s">
        <v>375</v>
      </c>
      <c r="AN23975" s="4" t="s">
        <v>375</v>
      </c>
      <c r="AO23975" s="4" t="s">
        <v>375</v>
      </c>
      <c r="AP23975" s="4" t="s">
        <v>376</v>
      </c>
      <c r="AR23975" s="4" t="s">
        <v>377</v>
      </c>
    </row>
    <row r="23976" spans="1:44">
      <c r="A23976" s="4" t="s">
        <v>24364</v>
      </c>
      <c r="B23976" s="4">
        <v>88775</v>
      </c>
      <c r="D23976" s="5" t="s">
        <v>31337</v>
      </c>
      <c r="E23976" s="6" t="str">
        <f>HYPERLINK("https://inpn.mnhn.fr/espece/cd_nom/88775","Carex pilulifera L., 1753")</f>
        <v>Carex pilulifera L., 1753</v>
      </c>
      <c r="F23976" s="5" t="s">
        <v>28401</v>
      </c>
      <c r="Q23976" s="7" t="str">
        <f>HYPERLINK("#Liste_rouge!A"&amp;_xlfn.XMATCH("LC",Liste_rouge!A:A,2,1),"LC")</f>
        <v>LC</v>
      </c>
      <c r="T23976" s="7" t="str">
        <f>HYPERLINK("#Liste_rouge!A"&amp;_xlfn.XMATCH("LC",Liste_rouge!A:A,2,1),"LC")</f>
        <v>LC</v>
      </c>
      <c r="V23976" s="7" t="str">
        <f>HYPERLINK("#Liste_rouge!A"&amp;_xlfn.XMATCH("LC",Liste_rouge!A:A,2,1),"LC")</f>
        <v>LC</v>
      </c>
      <c r="AH23976" s="4" t="str">
        <f>HYPERLINK("#Statut_biogéographique!A"&amp;_xlfn.XMATCH("P",Statut_biogéographique!A:A,2,1),"P")</f>
        <v>P</v>
      </c>
      <c r="AM23976" s="4" t="s">
        <v>375</v>
      </c>
      <c r="AN23976" s="4" t="s">
        <v>375</v>
      </c>
      <c r="AO23976" s="4" t="s">
        <v>375</v>
      </c>
      <c r="AP23976" s="4" t="s">
        <v>376</v>
      </c>
      <c r="AR23976" s="4" t="s">
        <v>377</v>
      </c>
    </row>
    <row r="23977" spans="1:44" ht="60">
      <c r="A23977" s="4" t="s">
        <v>24364</v>
      </c>
      <c r="B23977" s="4">
        <v>88788</v>
      </c>
      <c r="D23977" s="5" t="s">
        <v>31338</v>
      </c>
      <c r="E23977" s="6" t="str">
        <f>HYPERLINK("https://inpn.mnhn.fr/espece/cd_nom/88788","Carex praecox Schreb., 1771")</f>
        <v>Carex praecox Schreb., 1771</v>
      </c>
      <c r="F23977" s="5" t="s">
        <v>31339</v>
      </c>
      <c r="Q23977" s="7" t="str">
        <f>HYPERLINK("#Liste_rouge!A"&amp;_xlfn.XMATCH("LC",Liste_rouge!A:A,2,1),"LC")</f>
        <v>LC</v>
      </c>
      <c r="T23977" s="7" t="str">
        <f>HYPERLINK("#Liste_rouge!A"&amp;_xlfn.XMATCH("DD",Liste_rouge!A:A,2,1),"DD (cd_nom 132796) - EN (cd_nom 88788)")</f>
        <v>DD (cd_nom 132796) - EN (cd_nom 88788)</v>
      </c>
      <c r="AB23977" s="4" t="s">
        <v>24382</v>
      </c>
      <c r="AH23977" s="4" t="str">
        <f>HYPERLINK("#Statut_biogéographique!A"&amp;_xlfn.XMATCH("P",Statut_biogéographique!A:A,2,1),"P")</f>
        <v>P</v>
      </c>
      <c r="AM23977" s="4" t="s">
        <v>375</v>
      </c>
      <c r="AN23977" s="4" t="s">
        <v>375</v>
      </c>
      <c r="AO23977" s="4" t="s">
        <v>375</v>
      </c>
      <c r="AP23977" s="4" t="s">
        <v>376</v>
      </c>
      <c r="AR23977" s="4" t="s">
        <v>377</v>
      </c>
    </row>
    <row r="23978" spans="1:44">
      <c r="A23978" s="4" t="s">
        <v>24364</v>
      </c>
      <c r="B23978" s="4">
        <v>88794</v>
      </c>
      <c r="D23978" s="5" t="s">
        <v>31340</v>
      </c>
      <c r="E23978" s="6" t="str">
        <f>HYPERLINK("https://inpn.mnhn.fr/espece/cd_nom/88794","Carex pseudocyperus L., 1753")</f>
        <v>Carex pseudocyperus L., 1753</v>
      </c>
      <c r="F23978" s="5" t="s">
        <v>31341</v>
      </c>
      <c r="M23978" s="4" t="str">
        <f>HYPERLINK("#Réglementation!A"&amp;_xlfn.XMATCH("RV43",Réglementation!A:A,2,1),"RV43")</f>
        <v>RV43</v>
      </c>
      <c r="O23978" s="7" t="str">
        <f>HYPERLINK("#Liste_rouge!A"&amp;_xlfn.XMATCH("LC",Liste_rouge!A:A,2,1),"LC")</f>
        <v>LC</v>
      </c>
      <c r="P23978" s="7" t="str">
        <f>HYPERLINK("#Liste_rouge!A"&amp;_xlfn.XMATCH("LC",Liste_rouge!A:A,2,1),"LC")</f>
        <v>LC</v>
      </c>
      <c r="Q23978" s="7" t="str">
        <f>HYPERLINK("#Liste_rouge!A"&amp;_xlfn.XMATCH("LC",Liste_rouge!A:A,2,1),"LC")</f>
        <v>LC</v>
      </c>
      <c r="T23978" s="7" t="str">
        <f>HYPERLINK("#Liste_rouge!A"&amp;_xlfn.XMATCH("LC",Liste_rouge!A:A,2,1),"LC")</f>
        <v>LC</v>
      </c>
      <c r="V23978" s="7" t="str">
        <f>HYPERLINK("#Liste_rouge!A"&amp;_xlfn.XMATCH("NT",Liste_rouge!A:A,2,1),"NT")</f>
        <v>NT</v>
      </c>
      <c r="W23978" s="4" t="str">
        <f>HYPERLINK("#Critères_liste_rouge!A$1","pr. A3c B2b(iii)")</f>
        <v>pr. A3c B2b(iii)</v>
      </c>
      <c r="AB23978" s="4" t="s">
        <v>24447</v>
      </c>
      <c r="AH23978" s="4" t="str">
        <f>HYPERLINK("#Statut_biogéographique!A"&amp;_xlfn.XMATCH("P",Statut_biogéographique!A:A,2,1),"P")</f>
        <v>P</v>
      </c>
      <c r="AM23978" s="4" t="s">
        <v>375</v>
      </c>
      <c r="AN23978" s="4" t="s">
        <v>375</v>
      </c>
      <c r="AO23978" s="4" t="s">
        <v>375</v>
      </c>
      <c r="AP23978" s="4" t="s">
        <v>376</v>
      </c>
      <c r="AR23978" s="4" t="s">
        <v>377</v>
      </c>
    </row>
    <row r="23979" spans="1:44" ht="30">
      <c r="A23979" s="4" t="s">
        <v>24364</v>
      </c>
      <c r="B23979" s="4">
        <v>88802</v>
      </c>
      <c r="D23979" s="5" t="s">
        <v>31342</v>
      </c>
      <c r="E23979" s="6" t="str">
        <f>HYPERLINK("https://inpn.mnhn.fr/espece/cd_nom/88802","Carex pulicaris L., 1753")</f>
        <v>Carex pulicaris L., 1753</v>
      </c>
      <c r="F23979" s="5" t="s">
        <v>31343</v>
      </c>
      <c r="Q23979" s="7" t="str">
        <f>HYPERLINK("#Liste_rouge!A"&amp;_xlfn.XMATCH("LC",Liste_rouge!A:A,2,1),"LC")</f>
        <v>LC</v>
      </c>
      <c r="T23979" s="7" t="str">
        <f>HYPERLINK("#Liste_rouge!A"&amp;_xlfn.XMATCH("NT",Liste_rouge!A:A,2,1),"NT")</f>
        <v>NT</v>
      </c>
      <c r="U23979" s="4" t="str">
        <f>HYPERLINK("#Critères_liste_rouge!A$1","pr. B2a &amp; D2")</f>
        <v>pr. B2a &amp; D2</v>
      </c>
      <c r="V23979" s="7" t="str">
        <f>HYPERLINK("#Liste_rouge!A"&amp;_xlfn.XMATCH("LC",Liste_rouge!A:A,2,1),"LC")</f>
        <v>LC</v>
      </c>
      <c r="AB23979" s="4" t="s">
        <v>31344</v>
      </c>
      <c r="AH23979" s="4" t="str">
        <f>HYPERLINK("#Statut_biogéographique!A"&amp;_xlfn.XMATCH("P",Statut_biogéographique!A:A,2,1),"P")</f>
        <v>P</v>
      </c>
      <c r="AM23979" s="4" t="s">
        <v>375</v>
      </c>
      <c r="AN23979" s="4" t="s">
        <v>375</v>
      </c>
      <c r="AO23979" s="4" t="s">
        <v>375</v>
      </c>
      <c r="AP23979" s="4" t="s">
        <v>376</v>
      </c>
      <c r="AR23979" s="4" t="s">
        <v>377</v>
      </c>
    </row>
    <row r="23980" spans="1:44">
      <c r="A23980" s="4" t="s">
        <v>24364</v>
      </c>
      <c r="B23980" s="4">
        <v>888128</v>
      </c>
      <c r="D23980" s="5" t="s">
        <v>31345</v>
      </c>
      <c r="E23980" s="6" t="str">
        <f>HYPERLINK("https://inpn.mnhn.fr/espece/cd_nom/888128","Cyperus michelianus (L.) Delile, 1813")</f>
        <v>Cyperus michelianus (L.) Delile, 1813</v>
      </c>
      <c r="F23980" s="5" t="s">
        <v>31346</v>
      </c>
      <c r="M23980" s="4" t="str">
        <f>HYPERLINK("#Réglementation!A"&amp;_xlfn.XMATCH("RV43",Réglementation!A:A,2,1),"RV43")</f>
        <v>RV43</v>
      </c>
      <c r="O23980" s="7" t="str">
        <f>HYPERLINK("#Liste_rouge!A"&amp;_xlfn.XMATCH("LC",Liste_rouge!A:A,2,1),"LC")</f>
        <v>LC</v>
      </c>
      <c r="P23980" s="7" t="str">
        <f>HYPERLINK("#Liste_rouge!A"&amp;_xlfn.XMATCH("NT",Liste_rouge!A:A,2,1),"NT")</f>
        <v>NT</v>
      </c>
      <c r="Q23980" s="7" t="str">
        <f>HYPERLINK("#Liste_rouge!A"&amp;_xlfn.XMATCH("LC",Liste_rouge!A:A,2,1),"LC")</f>
        <v>LC</v>
      </c>
      <c r="T23980" s="7" t="str">
        <f>HYPERLINK("#Liste_rouge!A"&amp;_xlfn.XMATCH("EN",Liste_rouge!A:A,2,1),"EN")</f>
        <v>EN</v>
      </c>
      <c r="U23980" s="4" t="str">
        <f>HYPERLINK("#Critères_liste_rouge!A$1","B2b(ii,iii,iv)c(iii,iv)")</f>
        <v>B2b(ii,iii,iv)c(iii,iv)</v>
      </c>
      <c r="V23980" s="7" t="str">
        <f>HYPERLINK("#Liste_rouge!A"&amp;_xlfn.XMATCH("NT",Liste_rouge!A:A,2,1),"NT")</f>
        <v>NT</v>
      </c>
      <c r="W23980" s="4" t="str">
        <f>HYPERLINK("#Critères_liste_rouge!A$1","pr. B2(ii,iii)")</f>
        <v>pr. B2(ii,iii)</v>
      </c>
      <c r="X23980" s="5" t="s">
        <v>374</v>
      </c>
      <c r="AB23980" s="4" t="s">
        <v>93</v>
      </c>
      <c r="AH23980" s="4" t="str">
        <f>HYPERLINK("#Statut_biogéographique!A"&amp;_xlfn.XMATCH("P",Statut_biogéographique!A:A,2,1),"P")</f>
        <v>P</v>
      </c>
      <c r="AM23980" s="4" t="s">
        <v>375</v>
      </c>
      <c r="AN23980" s="4" t="s">
        <v>375</v>
      </c>
      <c r="AO23980" s="4" t="s">
        <v>375</v>
      </c>
      <c r="AP23980" s="4" t="s">
        <v>376</v>
      </c>
      <c r="AR23980" s="4" t="s">
        <v>377</v>
      </c>
    </row>
    <row r="23981" spans="1:44" ht="30">
      <c r="A23981" s="4" t="s">
        <v>24364</v>
      </c>
      <c r="B23981" s="4">
        <v>88819</v>
      </c>
      <c r="D23981" s="5" t="s">
        <v>31347</v>
      </c>
      <c r="E23981" s="6" t="str">
        <f>HYPERLINK("https://inpn.mnhn.fr/espece/cd_nom/88819","Carex remota L., 1755")</f>
        <v>Carex remota L., 1755</v>
      </c>
      <c r="F23981" s="5" t="s">
        <v>31348</v>
      </c>
      <c r="O23981" s="7" t="str">
        <f>HYPERLINK("#Liste_rouge!A"&amp;_xlfn.XMATCH("LC",Liste_rouge!A:A,2,1),"LC")</f>
        <v>LC</v>
      </c>
      <c r="Q23981" s="7" t="str">
        <f>HYPERLINK("#Liste_rouge!A"&amp;_xlfn.XMATCH("LC",Liste_rouge!A:A,2,1),"LC")</f>
        <v>LC</v>
      </c>
      <c r="T23981" s="7" t="str">
        <f>HYPERLINK("#Liste_rouge!A"&amp;_xlfn.XMATCH("LC",Liste_rouge!A:A,2,1),"LC")</f>
        <v>LC</v>
      </c>
      <c r="V23981" s="7" t="str">
        <f>HYPERLINK("#Liste_rouge!A"&amp;_xlfn.XMATCH("LC",Liste_rouge!A:A,2,1),"LC")</f>
        <v>LC</v>
      </c>
      <c r="AH23981" s="4" t="str">
        <f>HYPERLINK("#Statut_biogéographique!A"&amp;_xlfn.XMATCH("P",Statut_biogéographique!A:A,2,1),"P")</f>
        <v>P</v>
      </c>
      <c r="AM23981" s="4" t="s">
        <v>375</v>
      </c>
      <c r="AN23981" s="4" t="s">
        <v>375</v>
      </c>
      <c r="AO23981" s="4" t="s">
        <v>375</v>
      </c>
      <c r="AP23981" s="4" t="s">
        <v>376</v>
      </c>
      <c r="AR23981" s="4" t="s">
        <v>377</v>
      </c>
    </row>
    <row r="23982" spans="1:44" ht="30">
      <c r="A23982" s="4" t="s">
        <v>24364</v>
      </c>
      <c r="B23982" s="4">
        <v>88833</v>
      </c>
      <c r="D23982" s="5" t="s">
        <v>31349</v>
      </c>
      <c r="E23982" s="6" t="str">
        <f>HYPERLINK("https://inpn.mnhn.fr/espece/cd_nom/88833","Carex riparia Curtis, 1783")</f>
        <v>Carex riparia Curtis, 1783</v>
      </c>
      <c r="F23982" s="5" t="s">
        <v>31350</v>
      </c>
      <c r="O23982" s="7" t="str">
        <f>HYPERLINK("#Liste_rouge!A"&amp;_xlfn.XMATCH("LC",Liste_rouge!A:A,2,1),"LC")</f>
        <v>LC</v>
      </c>
      <c r="P23982" s="7" t="str">
        <f>HYPERLINK("#Liste_rouge!A"&amp;_xlfn.XMATCH("LC",Liste_rouge!A:A,2,1),"LC")</f>
        <v>LC</v>
      </c>
      <c r="Q23982" s="7" t="str">
        <f>HYPERLINK("#Liste_rouge!A"&amp;_xlfn.XMATCH("LC",Liste_rouge!A:A,2,1),"LC")</f>
        <v>LC</v>
      </c>
      <c r="T23982" s="7" t="str">
        <f>HYPERLINK("#Liste_rouge!A"&amp;_xlfn.XMATCH("LC",Liste_rouge!A:A,2,1),"LC")</f>
        <v>LC</v>
      </c>
      <c r="V23982" s="7" t="str">
        <f>HYPERLINK("#Liste_rouge!A"&amp;_xlfn.XMATCH("LC",Liste_rouge!A:A,2,1),"LC")</f>
        <v>LC</v>
      </c>
      <c r="AH23982" s="4" t="str">
        <f>HYPERLINK("#Statut_biogéographique!A"&amp;_xlfn.XMATCH("P",Statut_biogéographique!A:A,2,1),"P")</f>
        <v>P</v>
      </c>
      <c r="AM23982" s="4" t="s">
        <v>375</v>
      </c>
      <c r="AN23982" s="4" t="s">
        <v>375</v>
      </c>
      <c r="AO23982" s="4" t="s">
        <v>375</v>
      </c>
      <c r="AP23982" s="4" t="s">
        <v>376</v>
      </c>
      <c r="AR23982" s="4" t="s">
        <v>377</v>
      </c>
    </row>
    <row r="23983" spans="1:44" ht="45">
      <c r="A23983" s="4" t="s">
        <v>24364</v>
      </c>
      <c r="B23983" s="4">
        <v>88840</v>
      </c>
      <c r="D23983" s="5" t="s">
        <v>31351</v>
      </c>
      <c r="E23983" s="6" t="str">
        <f>HYPERLINK("https://inpn.mnhn.fr/espece/cd_nom/88840","Carex rostrata Stokes, 1787 [nom. et typ. cons.]")</f>
        <v>Carex rostrata Stokes, 1787 [nom. et typ. cons.]</v>
      </c>
      <c r="F23983" s="5" t="s">
        <v>31352</v>
      </c>
      <c r="Q23983" s="7" t="str">
        <f>HYPERLINK("#Liste_rouge!A"&amp;_xlfn.XMATCH("LC",Liste_rouge!A:A,2,1),"LC")</f>
        <v>LC</v>
      </c>
      <c r="T23983" s="7" t="str">
        <f>HYPERLINK("#Liste_rouge!A"&amp;_xlfn.XMATCH("LC",Liste_rouge!A:A,2,1),"LC")</f>
        <v>LC</v>
      </c>
      <c r="V23983" s="7" t="str">
        <f>HYPERLINK("#Liste_rouge!A"&amp;_xlfn.XMATCH("LC",Liste_rouge!A:A,2,1),"LC")</f>
        <v>LC</v>
      </c>
      <c r="AH23983" s="4" t="str">
        <f>HYPERLINK("#Statut_biogéographique!A"&amp;_xlfn.XMATCH("P",Statut_biogéographique!A:A,2,1),"P")</f>
        <v>P</v>
      </c>
      <c r="AM23983" s="4" t="s">
        <v>375</v>
      </c>
      <c r="AN23983" s="4" t="s">
        <v>375</v>
      </c>
      <c r="AO23983" s="4" t="s">
        <v>375</v>
      </c>
      <c r="AP23983" s="4" t="s">
        <v>376</v>
      </c>
      <c r="AR23983" s="4" t="s">
        <v>377</v>
      </c>
    </row>
    <row r="23984" spans="1:44">
      <c r="A23984" s="4" t="s">
        <v>24364</v>
      </c>
      <c r="B23984" s="4">
        <v>88865</v>
      </c>
      <c r="D23984" s="5">
        <v>88865</v>
      </c>
      <c r="E23984" s="6" t="str">
        <f>HYPERLINK("https://inpn.mnhn.fr/espece/cd_nom/88865","Carex sempervirens Vill., 1787")</f>
        <v>Carex sempervirens Vill., 1787</v>
      </c>
      <c r="F23984" s="5" t="s">
        <v>28403</v>
      </c>
      <c r="Q23984" s="7" t="str">
        <f>HYPERLINK("#Liste_rouge!A"&amp;_xlfn.XMATCH("LC",Liste_rouge!A:A,2,1),"LC")</f>
        <v>LC</v>
      </c>
      <c r="V23984" s="7" t="str">
        <f>HYPERLINK("#Liste_rouge!A"&amp;_xlfn.XMATCH("LC",Liste_rouge!A:A,2,1),"LC")</f>
        <v>LC</v>
      </c>
      <c r="X23984" s="5" t="s">
        <v>374</v>
      </c>
      <c r="AB23984" s="4" t="s">
        <v>93</v>
      </c>
      <c r="AH23984" s="4" t="str">
        <f>HYPERLINK("#Statut_biogéographique!A"&amp;_xlfn.XMATCH("P",Statut_biogéographique!A:A,2,1),"P")</f>
        <v>P</v>
      </c>
      <c r="AM23984" s="4" t="s">
        <v>375</v>
      </c>
      <c r="AN23984" s="4" t="s">
        <v>375</v>
      </c>
      <c r="AO23984" s="4" t="s">
        <v>375</v>
      </c>
      <c r="AP23984" s="4" t="s">
        <v>376</v>
      </c>
      <c r="AR23984" s="4" t="s">
        <v>377</v>
      </c>
    </row>
    <row r="23985" spans="1:44">
      <c r="A23985" s="4" t="s">
        <v>24364</v>
      </c>
      <c r="B23985" s="4">
        <v>88885</v>
      </c>
      <c r="D23985" s="5" t="s">
        <v>31353</v>
      </c>
      <c r="E23985" s="6" t="str">
        <f>HYPERLINK("https://inpn.mnhn.fr/espece/cd_nom/88885","Carex spicata Huds., 1762")</f>
        <v>Carex spicata Huds., 1762</v>
      </c>
      <c r="F23985" s="5" t="s">
        <v>31354</v>
      </c>
      <c r="Q23985" s="7" t="str">
        <f>HYPERLINK("#Liste_rouge!A"&amp;_xlfn.XMATCH("LC",Liste_rouge!A:A,2,1),"LC")</f>
        <v>LC</v>
      </c>
      <c r="T23985" s="7" t="str">
        <f>HYPERLINK("#Liste_rouge!A"&amp;_xlfn.XMATCH("LC",Liste_rouge!A:A,2,1),"LC")</f>
        <v>LC</v>
      </c>
      <c r="V23985" s="7" t="str">
        <f>HYPERLINK("#Liste_rouge!A"&amp;_xlfn.XMATCH("LC",Liste_rouge!A:A,2,1),"LC")</f>
        <v>LC</v>
      </c>
      <c r="AH23985" s="4" t="str">
        <f>HYPERLINK("#Statut_biogéographique!A"&amp;_xlfn.XMATCH("P",Statut_biogéographique!A:A,2,1),"P")</f>
        <v>P</v>
      </c>
      <c r="AM23985" s="4" t="s">
        <v>375</v>
      </c>
      <c r="AN23985" s="4" t="s">
        <v>375</v>
      </c>
      <c r="AO23985" s="4" t="s">
        <v>375</v>
      </c>
      <c r="AP23985" s="4" t="s">
        <v>376</v>
      </c>
      <c r="AR23985" s="4" t="s">
        <v>377</v>
      </c>
    </row>
    <row r="23986" spans="1:44">
      <c r="A23986" s="4" t="s">
        <v>24364</v>
      </c>
      <c r="B23986" s="4">
        <v>88893</v>
      </c>
      <c r="D23986" s="5" t="s">
        <v>31355</v>
      </c>
      <c r="E23986" s="6" t="str">
        <f>HYPERLINK("https://inpn.mnhn.fr/espece/cd_nom/88893","Carex strigosa Huds., 1778")</f>
        <v>Carex strigosa Huds., 1778</v>
      </c>
      <c r="F23986" s="5" t="s">
        <v>31356</v>
      </c>
      <c r="Q23986" s="7" t="str">
        <f>HYPERLINK("#Liste_rouge!A"&amp;_xlfn.XMATCH("LC",Liste_rouge!A:A,2,1),"LC")</f>
        <v>LC</v>
      </c>
      <c r="T23986" s="7" t="str">
        <f>HYPERLINK("#Liste_rouge!A"&amp;_xlfn.XMATCH("LC",Liste_rouge!A:A,2,1),"LC")</f>
        <v>LC</v>
      </c>
      <c r="V23986" s="7" t="str">
        <f>HYPERLINK("#Liste_rouge!A"&amp;_xlfn.XMATCH("LC",Liste_rouge!A:A,2,1),"LC")</f>
        <v>LC</v>
      </c>
      <c r="AB23986" s="4" t="s">
        <v>26166</v>
      </c>
      <c r="AH23986" s="4" t="str">
        <f>HYPERLINK("#Statut_biogéographique!A"&amp;_xlfn.XMATCH("P",Statut_biogéographique!A:A,2,1),"P")</f>
        <v>P</v>
      </c>
      <c r="AM23986" s="4" t="s">
        <v>375</v>
      </c>
      <c r="AN23986" s="4" t="s">
        <v>375</v>
      </c>
      <c r="AO23986" s="4" t="s">
        <v>375</v>
      </c>
      <c r="AP23986" s="4" t="s">
        <v>376</v>
      </c>
      <c r="AR23986" s="4" t="s">
        <v>377</v>
      </c>
    </row>
    <row r="23987" spans="1:44" ht="30">
      <c r="A23987" s="4" t="s">
        <v>24364</v>
      </c>
      <c r="B23987" s="4">
        <v>88905</v>
      </c>
      <c r="D23987" s="5" t="s">
        <v>31357</v>
      </c>
      <c r="E23987" s="6" t="str">
        <f>HYPERLINK("https://inpn.mnhn.fr/espece/cd_nom/88905","Carex sylvatica Huds., 1762")</f>
        <v>Carex sylvatica Huds., 1762</v>
      </c>
      <c r="F23987" s="5" t="s">
        <v>31358</v>
      </c>
      <c r="Q23987" s="7" t="str">
        <f>HYPERLINK("#Liste_rouge!A"&amp;_xlfn.XMATCH("LC",Liste_rouge!A:A,2,1),"LC")</f>
        <v>LC</v>
      </c>
      <c r="T23987" s="7" t="str">
        <f>HYPERLINK("#Liste_rouge!A"&amp;_xlfn.XMATCH("LC",Liste_rouge!A:A,2,1),"LC")</f>
        <v>LC</v>
      </c>
      <c r="V23987" s="7" t="str">
        <f>HYPERLINK("#Liste_rouge!A"&amp;_xlfn.XMATCH("LC",Liste_rouge!A:A,2,1),"LC")</f>
        <v>LC</v>
      </c>
      <c r="AH23987" s="4" t="str">
        <f>HYPERLINK("#Statut_biogéographique!A"&amp;_xlfn.XMATCH("P",Statut_biogéographique!A:A,2,1),"P")</f>
        <v>P</v>
      </c>
      <c r="AM23987" s="4" t="s">
        <v>375</v>
      </c>
      <c r="AN23987" s="4" t="s">
        <v>375</v>
      </c>
      <c r="AO23987" s="4" t="s">
        <v>375</v>
      </c>
      <c r="AP23987" s="4" t="s">
        <v>376</v>
      </c>
      <c r="AR23987" s="4" t="s">
        <v>377</v>
      </c>
    </row>
    <row r="23988" spans="1:44" ht="30">
      <c r="A23988" s="4" t="s">
        <v>24364</v>
      </c>
      <c r="B23988" s="4">
        <v>88916</v>
      </c>
      <c r="D23988" s="5" t="s">
        <v>31359</v>
      </c>
      <c r="E23988" s="6" t="str">
        <f>HYPERLINK("https://inpn.mnhn.fr/espece/cd_nom/88916","Carex tomentosa L., 1767")</f>
        <v>Carex tomentosa L., 1767</v>
      </c>
      <c r="F23988" s="5" t="s">
        <v>31360</v>
      </c>
      <c r="Q23988" s="7" t="str">
        <f>HYPERLINK("#Liste_rouge!A"&amp;_xlfn.XMATCH("LC",Liste_rouge!A:A,2,1),"LC")</f>
        <v>LC</v>
      </c>
      <c r="T23988" s="7" t="str">
        <f>HYPERLINK("#Liste_rouge!A"&amp;_xlfn.XMATCH("LC",Liste_rouge!A:A,2,1),"LC")</f>
        <v>LC</v>
      </c>
      <c r="V23988" s="7" t="str">
        <f>HYPERLINK("#Liste_rouge!A"&amp;_xlfn.XMATCH("LC",Liste_rouge!A:A,2,1),"LC")</f>
        <v>LC</v>
      </c>
      <c r="AB23988" s="4" t="s">
        <v>24536</v>
      </c>
      <c r="AH23988" s="4" t="str">
        <f>HYPERLINK("#Statut_biogéographique!A"&amp;_xlfn.XMATCH("P",Statut_biogéographique!A:A,2,1),"P")</f>
        <v>P</v>
      </c>
      <c r="AM23988" s="4" t="s">
        <v>375</v>
      </c>
      <c r="AN23988" s="4" t="s">
        <v>375</v>
      </c>
      <c r="AO23988" s="4" t="s">
        <v>375</v>
      </c>
      <c r="AP23988" s="4" t="s">
        <v>376</v>
      </c>
      <c r="AR23988" s="4" t="s">
        <v>377</v>
      </c>
    </row>
    <row r="23989" spans="1:44" ht="30">
      <c r="A23989" s="4" t="s">
        <v>24364</v>
      </c>
      <c r="B23989" s="4">
        <v>88927</v>
      </c>
      <c r="D23989" s="5" t="s">
        <v>31361</v>
      </c>
      <c r="E23989" s="6" t="str">
        <f>HYPERLINK("https://inpn.mnhn.fr/espece/cd_nom/88927","Carex umbrosa Host, 1801")</f>
        <v>Carex umbrosa Host, 1801</v>
      </c>
      <c r="F23989" s="5" t="s">
        <v>29709</v>
      </c>
      <c r="O23989" s="7" t="str">
        <f>HYPERLINK("#Liste_rouge!A"&amp;_xlfn.XMATCH("LC",Liste_rouge!A:A,2,1),"LC")</f>
        <v>LC</v>
      </c>
      <c r="Q23989" s="7" t="str">
        <f>HYPERLINK("#Liste_rouge!A"&amp;_xlfn.XMATCH("LC",Liste_rouge!A:A,2,1),"LC")</f>
        <v>LC</v>
      </c>
      <c r="T23989" s="7" t="str">
        <f>HYPERLINK("#Liste_rouge!A"&amp;_xlfn.XMATCH("LC",Liste_rouge!A:A,2,1),"LC")</f>
        <v>LC</v>
      </c>
      <c r="V23989" s="7" t="str">
        <f>HYPERLINK("#Liste_rouge!A"&amp;_xlfn.XMATCH("LC",Liste_rouge!A:A,2,1),"LC")</f>
        <v>LC</v>
      </c>
      <c r="AB23989" s="4" t="s">
        <v>31362</v>
      </c>
      <c r="AH23989" s="4" t="str">
        <f>HYPERLINK("#Statut_biogéographique!A"&amp;_xlfn.XMATCH("P",Statut_biogéographique!A:A,2,1),"P")</f>
        <v>P</v>
      </c>
      <c r="AM23989" s="4" t="s">
        <v>375</v>
      </c>
      <c r="AN23989" s="4" t="s">
        <v>375</v>
      </c>
      <c r="AO23989" s="4" t="s">
        <v>375</v>
      </c>
      <c r="AP23989" s="4" t="s">
        <v>376</v>
      </c>
      <c r="AR23989" s="4" t="s">
        <v>377</v>
      </c>
    </row>
    <row r="23990" spans="1:44" ht="30">
      <c r="A23990" s="4" t="s">
        <v>24364</v>
      </c>
      <c r="B23990" s="4">
        <v>88942</v>
      </c>
      <c r="D23990" s="5" t="s">
        <v>31363</v>
      </c>
      <c r="E23990" s="6" t="str">
        <f>HYPERLINK("https://inpn.mnhn.fr/espece/cd_nom/88942","Carex vesicaria L., 1753")</f>
        <v>Carex vesicaria L., 1753</v>
      </c>
      <c r="F23990" s="5" t="s">
        <v>31364</v>
      </c>
      <c r="O23990" s="7" t="str">
        <f>HYPERLINK("#Liste_rouge!A"&amp;_xlfn.XMATCH("LC",Liste_rouge!A:A,2,1),"LC")</f>
        <v>LC</v>
      </c>
      <c r="P23990" s="7" t="str">
        <f>HYPERLINK("#Liste_rouge!A"&amp;_xlfn.XMATCH("LC",Liste_rouge!A:A,2,1),"LC")</f>
        <v>LC</v>
      </c>
      <c r="Q23990" s="7" t="str">
        <f>HYPERLINK("#Liste_rouge!A"&amp;_xlfn.XMATCH("LC",Liste_rouge!A:A,2,1),"LC")</f>
        <v>LC</v>
      </c>
      <c r="T23990" s="7" t="str">
        <f>HYPERLINK("#Liste_rouge!A"&amp;_xlfn.XMATCH("LC",Liste_rouge!A:A,2,1),"LC")</f>
        <v>LC</v>
      </c>
      <c r="V23990" s="7" t="str">
        <f>HYPERLINK("#Liste_rouge!A"&amp;_xlfn.XMATCH("LC",Liste_rouge!A:A,2,1),"LC")</f>
        <v>LC</v>
      </c>
      <c r="AH23990" s="4" t="str">
        <f>HYPERLINK("#Statut_biogéographique!A"&amp;_xlfn.XMATCH("P",Statut_biogéographique!A:A,2,1),"P")</f>
        <v>P</v>
      </c>
      <c r="AM23990" s="4" t="s">
        <v>375</v>
      </c>
      <c r="AN23990" s="4" t="s">
        <v>375</v>
      </c>
      <c r="AO23990" s="4" t="s">
        <v>375</v>
      </c>
      <c r="AP23990" s="4" t="s">
        <v>376</v>
      </c>
      <c r="AR23990" s="4" t="s">
        <v>377</v>
      </c>
    </row>
    <row r="23991" spans="1:44" ht="90">
      <c r="A23991" s="4" t="s">
        <v>24364</v>
      </c>
      <c r="B23991" s="4">
        <v>88949</v>
      </c>
      <c r="D23991" s="5" t="s">
        <v>31365</v>
      </c>
      <c r="E23991" s="6" t="str">
        <f>HYPERLINK("https://inpn.mnhn.fr/espece/cd_nom/88949","Carex viridula Michx., 1803")</f>
        <v>Carex viridula Michx., 1803</v>
      </c>
      <c r="F23991" s="5" t="s">
        <v>31366</v>
      </c>
      <c r="Q23991" s="7" t="str">
        <f>HYPERLINK("#Liste_rouge!A"&amp;_xlfn.XMATCH("LC",Liste_rouge!A:A,2,1),"LC")</f>
        <v>LC</v>
      </c>
      <c r="T23991" s="7" t="str">
        <f>HYPERLINK("#Liste_rouge!A"&amp;_xlfn.XMATCH("EN",Liste_rouge!A:A,2,1),"EN (cd_nom 145240) - LC (cd_nom 88949)")</f>
        <v>EN (cd_nom 145240) - LC (cd_nom 88949)</v>
      </c>
      <c r="U23991" s="4" t="str">
        <f>HYPERLINK("#Critères_liste_rouge!A$1","B2a (cd_nom 145240)")</f>
        <v>B2a (cd_nom 145240)</v>
      </c>
      <c r="V23991" s="7" t="str">
        <f>HYPERLINK("#Liste_rouge!A"&amp;_xlfn.XMATCH("LC",Liste_rouge!A:A,2,1),"LC")</f>
        <v>LC</v>
      </c>
      <c r="AB23991" s="4" t="s">
        <v>24382</v>
      </c>
      <c r="AH23991" s="4" t="str">
        <f>HYPERLINK("#Statut_biogéographique!A"&amp;_xlfn.XMATCH("P",Statut_biogéographique!A:A,2,1),"P")</f>
        <v>P</v>
      </c>
      <c r="AM23991" s="4" t="s">
        <v>375</v>
      </c>
      <c r="AN23991" s="4" t="s">
        <v>375</v>
      </c>
      <c r="AO23991" s="4" t="s">
        <v>375</v>
      </c>
      <c r="AP23991" s="4" t="s">
        <v>376</v>
      </c>
      <c r="AR23991" s="4" t="s">
        <v>377</v>
      </c>
    </row>
    <row r="23992" spans="1:44">
      <c r="A23992" s="4" t="s">
        <v>24364</v>
      </c>
      <c r="B23992" s="4">
        <v>88952</v>
      </c>
      <c r="D23992" s="5" t="s">
        <v>31367</v>
      </c>
      <c r="E23992" s="6" t="str">
        <f>HYPERLINK("https://inpn.mnhn.fr/espece/cd_nom/88952","Carex vulpina L., 1753")</f>
        <v>Carex vulpina L., 1753</v>
      </c>
      <c r="F23992" s="5" t="s">
        <v>31368</v>
      </c>
      <c r="O23992" s="7" t="str">
        <f>HYPERLINK("#Liste_rouge!A"&amp;_xlfn.XMATCH("LC",Liste_rouge!A:A,2,1),"LC")</f>
        <v>LC</v>
      </c>
      <c r="Q23992" s="7" t="str">
        <f>HYPERLINK("#Liste_rouge!A"&amp;_xlfn.XMATCH("LC",Liste_rouge!A:A,2,1),"LC")</f>
        <v>LC</v>
      </c>
      <c r="T23992" s="7" t="str">
        <f>HYPERLINK("#Liste_rouge!A"&amp;_xlfn.XMATCH("LC",Liste_rouge!A:A,2,1),"LC")</f>
        <v>LC</v>
      </c>
      <c r="V23992" s="7" t="str">
        <f>HYPERLINK("#Liste_rouge!A"&amp;_xlfn.XMATCH("LC",Liste_rouge!A:A,2,1),"LC")</f>
        <v>LC</v>
      </c>
      <c r="AH23992" s="4" t="str">
        <f>HYPERLINK("#Statut_biogéographique!A"&amp;_xlfn.XMATCH("P",Statut_biogéographique!A:A,2,1),"P")</f>
        <v>P</v>
      </c>
      <c r="AM23992" s="4" t="s">
        <v>375</v>
      </c>
      <c r="AN23992" s="4" t="s">
        <v>375</v>
      </c>
      <c r="AO23992" s="4" t="s">
        <v>375</v>
      </c>
      <c r="AP23992" s="4" t="s">
        <v>376</v>
      </c>
      <c r="AR23992" s="4" t="s">
        <v>377</v>
      </c>
    </row>
    <row r="23993" spans="1:44" ht="45">
      <c r="A23993" s="4" t="s">
        <v>24364</v>
      </c>
      <c r="B23993" s="4">
        <v>88956</v>
      </c>
      <c r="D23993" s="5" t="s">
        <v>31369</v>
      </c>
      <c r="E23993" s="6" t="str">
        <f>HYPERLINK("https://inpn.mnhn.fr/espece/cd_nom/88956","Carex vulpinoidea Michx., 1803")</f>
        <v>Carex vulpinoidea Michx., 1803</v>
      </c>
      <c r="F23993" s="5" t="s">
        <v>31370</v>
      </c>
      <c r="O23993" s="7" t="str">
        <f>HYPERLINK("#Liste_rouge!A"&amp;_xlfn.XMATCH("LC",Liste_rouge!A:A,2,1),"LC")</f>
        <v>LC</v>
      </c>
      <c r="Q23993" s="7" t="str">
        <f>HYPERLINK("#Liste_rouge!A"&amp;_xlfn.XMATCH("NA",Liste_rouge!A:A,2,1),"NA")</f>
        <v>NA</v>
      </c>
      <c r="T23993" s="7" t="str">
        <f>HYPERLINK("#Liste_rouge!A"&amp;_xlfn.XMATCH("NA",Liste_rouge!A:A,2,1),"NA")</f>
        <v>NA</v>
      </c>
      <c r="AH23993" s="4" t="str">
        <f>HYPERLINK("#Statut_biogéographique!A"&amp;_xlfn.XMATCH("I",Statut_biogéographique!A:A,2,1),"I")</f>
        <v>I</v>
      </c>
      <c r="AM23993" s="4" t="s">
        <v>375</v>
      </c>
      <c r="AN23993" s="4" t="s">
        <v>375</v>
      </c>
      <c r="AO23993" s="4" t="s">
        <v>375</v>
      </c>
      <c r="AP23993" s="4" t="s">
        <v>376</v>
      </c>
      <c r="AR23993" s="4" t="s">
        <v>377</v>
      </c>
    </row>
    <row r="23994" spans="1:44" ht="30">
      <c r="A23994" s="4" t="s">
        <v>24364</v>
      </c>
      <c r="B23994" s="4">
        <v>88974</v>
      </c>
      <c r="D23994" s="5" t="s">
        <v>31371</v>
      </c>
      <c r="E23994" s="6" t="str">
        <f>HYPERLINK("https://inpn.mnhn.fr/espece/cd_nom/88974","Carex x beckmanniana Keck ex F.W.Schultz, 1887")</f>
        <v>Carex x beckmanniana Keck ex F.W.Schultz, 1887</v>
      </c>
      <c r="F23994" s="5" t="s">
        <v>31372</v>
      </c>
      <c r="T23994" s="7" t="str">
        <f>HYPERLINK("#Liste_rouge!A"&amp;_xlfn.XMATCH("NE",Liste_rouge!A:A,2,1),"NE")</f>
        <v>NE</v>
      </c>
      <c r="AH23994" s="4" t="str">
        <f>HYPERLINK("#Statut_biogéographique!A"&amp;_xlfn.XMATCH("D",Statut_biogéographique!A:A,2,1),"D")</f>
        <v>D</v>
      </c>
      <c r="AP23994" s="4" t="s">
        <v>376</v>
      </c>
      <c r="AR23994" s="4" t="s">
        <v>377</v>
      </c>
    </row>
    <row r="23995" spans="1:44">
      <c r="A23995" s="4" t="s">
        <v>24364</v>
      </c>
      <c r="B23995" s="4">
        <v>88995</v>
      </c>
      <c r="D23995" s="5" t="s">
        <v>31373</v>
      </c>
      <c r="E23995" s="6" t="str">
        <f>HYPERLINK("https://inpn.mnhn.fr/espece/cd_nom/88995","Carex x danielis H.Lév., 1912")</f>
        <v>Carex x danielis H.Lév., 1912</v>
      </c>
      <c r="F23995" s="5" t="s">
        <v>31374</v>
      </c>
      <c r="T23995" s="7" t="str">
        <f>HYPERLINK("#Liste_rouge!A"&amp;_xlfn.XMATCH("NE",Liste_rouge!A:A,2,1),"NE")</f>
        <v>NE</v>
      </c>
      <c r="AH23995" s="4" t="str">
        <f>HYPERLINK("#Statut_biogéographique!A"&amp;_xlfn.XMATCH("D",Statut_biogéographique!A:A,2,1),"D")</f>
        <v>D</v>
      </c>
      <c r="AP23995" s="4" t="s">
        <v>376</v>
      </c>
      <c r="AR23995" s="4" t="s">
        <v>377</v>
      </c>
    </row>
    <row r="23996" spans="1:44">
      <c r="A23996" s="4" t="s">
        <v>24364</v>
      </c>
      <c r="B23996" s="4">
        <v>89005</v>
      </c>
      <c r="D23996" s="5" t="s">
        <v>31375</v>
      </c>
      <c r="E23996" s="6" t="str">
        <f>HYPERLINK("https://inpn.mnhn.fr/espece/cd_nom/89005","Carex x emmae L.Gross, 1906")</f>
        <v>Carex x emmae L.Gross, 1906</v>
      </c>
      <c r="F23996" s="5" t="s">
        <v>31376</v>
      </c>
      <c r="T23996" s="7" t="str">
        <f>HYPERLINK("#Liste_rouge!A"&amp;_xlfn.XMATCH("NE",Liste_rouge!A:A,2,1),"NE")</f>
        <v>NE</v>
      </c>
      <c r="AH23996" s="4" t="str">
        <f>HYPERLINK("#Statut_biogéographique!A"&amp;_xlfn.XMATCH("D",Statut_biogéographique!A:A,2,1),"D")</f>
        <v>D</v>
      </c>
      <c r="AP23996" s="4" t="s">
        <v>376</v>
      </c>
      <c r="AR23996" s="4" t="s">
        <v>377</v>
      </c>
    </row>
    <row r="23997" spans="1:44">
      <c r="A23997" s="4" t="s">
        <v>24364</v>
      </c>
      <c r="B23997" s="4">
        <v>89010</v>
      </c>
      <c r="D23997" s="5" t="s">
        <v>31377</v>
      </c>
      <c r="E23997" s="6" t="str">
        <f>HYPERLINK("https://inpn.mnhn.fr/espece/cd_nom/89010","Carex x figertii Asch. &amp; Graebn., 1902")</f>
        <v>Carex x figertii Asch. &amp; Graebn., 1902</v>
      </c>
      <c r="F23997" s="5" t="s">
        <v>31378</v>
      </c>
      <c r="AH23997" s="4" t="str">
        <f>HYPERLINK("#Statut_biogéographique!A"&amp;_xlfn.XMATCH("D",Statut_biogéographique!A:A,2,1),"D")</f>
        <v>D</v>
      </c>
      <c r="AP23997" s="4" t="s">
        <v>376</v>
      </c>
      <c r="AR23997" s="4" t="s">
        <v>377</v>
      </c>
    </row>
    <row r="23998" spans="1:44" ht="30">
      <c r="A23998" s="4" t="s">
        <v>24364</v>
      </c>
      <c r="B23998" s="4">
        <v>89017</v>
      </c>
      <c r="D23998" s="5" t="s">
        <v>31379</v>
      </c>
      <c r="E23998" s="6" t="str">
        <f>HYPERLINK("https://inpn.mnhn.fr/espece/cd_nom/89017","Carex x fulva Gooden., 1794")</f>
        <v>Carex x fulva Gooden., 1794</v>
      </c>
      <c r="F23998" s="5" t="s">
        <v>31380</v>
      </c>
      <c r="T23998" s="7" t="str">
        <f>HYPERLINK("#Liste_rouge!A"&amp;_xlfn.XMATCH("NE",Liste_rouge!A:A,2,1),"NE")</f>
        <v>NE</v>
      </c>
      <c r="AH23998" s="4" t="str">
        <f>HYPERLINK("#Statut_biogéographique!A"&amp;_xlfn.XMATCH("P",Statut_biogéographique!A:A,2,1),"P")</f>
        <v>P</v>
      </c>
      <c r="AP23998" s="4" t="s">
        <v>376</v>
      </c>
      <c r="AR23998" s="4" t="s">
        <v>377</v>
      </c>
    </row>
    <row r="23999" spans="1:44">
      <c r="A23999" s="4" t="s">
        <v>24364</v>
      </c>
      <c r="B23999" s="4">
        <v>89019</v>
      </c>
      <c r="D23999" s="5" t="s">
        <v>31381</v>
      </c>
      <c r="E23999" s="6" t="str">
        <f>HYPERLINK("https://inpn.mnhn.fr/espece/cd_nom/89019","Carex x fussii Simonk., 1887")</f>
        <v>Carex x fussii Simonk., 1887</v>
      </c>
      <c r="F23999" s="5" t="s">
        <v>31382</v>
      </c>
      <c r="T23999" s="7" t="str">
        <f>HYPERLINK("#Liste_rouge!A"&amp;_xlfn.XMATCH("NE",Liste_rouge!A:A,2,1),"NE")</f>
        <v>NE</v>
      </c>
      <c r="AH23999" s="4" t="str">
        <f>HYPERLINK("#Statut_biogéographique!A"&amp;_xlfn.XMATCH("D",Statut_biogéographique!A:A,2,1),"D")</f>
        <v>D</v>
      </c>
      <c r="AP23999" s="4" t="s">
        <v>376</v>
      </c>
      <c r="AR23999" s="4" t="s">
        <v>377</v>
      </c>
    </row>
    <row r="24000" spans="1:44">
      <c r="A24000" s="4" t="s">
        <v>24364</v>
      </c>
      <c r="B24000" s="4">
        <v>89039</v>
      </c>
      <c r="D24000" s="5">
        <v>89039</v>
      </c>
      <c r="E24000" s="6" t="str">
        <f>HYPERLINK("https://inpn.mnhn.fr/espece/cd_nom/89039","Carex x ilseana Ruhmer, 1881")</f>
        <v>Carex x ilseana Ruhmer, 1881</v>
      </c>
      <c r="F24000" s="5" t="s">
        <v>31383</v>
      </c>
      <c r="T24000" s="7" t="str">
        <f>HYPERLINK("#Liste_rouge!A"&amp;_xlfn.XMATCH("NE",Liste_rouge!A:A,2,1),"NE")</f>
        <v>NE</v>
      </c>
      <c r="AH24000" s="4" t="str">
        <f>HYPERLINK("#Statut_biogéographique!A"&amp;_xlfn.XMATCH("D",Statut_biogéographique!A:A,2,1),"D")</f>
        <v>D</v>
      </c>
      <c r="AP24000" s="4" t="s">
        <v>376</v>
      </c>
      <c r="AR24000" s="4" t="s">
        <v>377</v>
      </c>
    </row>
    <row r="24001" spans="1:44" ht="30">
      <c r="A24001" s="4" t="s">
        <v>24364</v>
      </c>
      <c r="B24001" s="4">
        <v>89058</v>
      </c>
      <c r="D24001" s="5" t="s">
        <v>31384</v>
      </c>
      <c r="E24001" s="6" t="str">
        <f>HYPERLINK("https://inpn.mnhn.fr/espece/cd_nom/89058","Carex x ludibunda J.Gay, 1838")</f>
        <v>Carex x ludibunda J.Gay, 1838</v>
      </c>
      <c r="F24001" s="5" t="s">
        <v>31385</v>
      </c>
      <c r="T24001" s="7" t="str">
        <f>HYPERLINK("#Liste_rouge!A"&amp;_xlfn.XMATCH("NE",Liste_rouge!A:A,2,1),"NE")</f>
        <v>NE</v>
      </c>
      <c r="AH24001" s="4" t="str">
        <f>HYPERLINK("#Statut_biogéographique!A"&amp;_xlfn.XMATCH("D",Statut_biogéographique!A:A,2,1),"D")</f>
        <v>D</v>
      </c>
      <c r="AP24001" s="4" t="s">
        <v>376</v>
      </c>
      <c r="AR24001" s="4" t="s">
        <v>377</v>
      </c>
    </row>
    <row r="24002" spans="1:44">
      <c r="A24002" s="4" t="s">
        <v>24364</v>
      </c>
      <c r="B24002" s="4">
        <v>89059</v>
      </c>
      <c r="D24002" s="5" t="s">
        <v>31386</v>
      </c>
      <c r="E24002" s="6" t="str">
        <f>HYPERLINK("https://inpn.mnhn.fr/espece/cd_nom/89059","Carex x luteola (Rchb.) Sendtn., 1854")</f>
        <v>Carex x luteola (Rchb.) Sendtn., 1854</v>
      </c>
      <c r="F24002" s="5" t="s">
        <v>31387</v>
      </c>
      <c r="T24002" s="7" t="str">
        <f>HYPERLINK("#Liste_rouge!A"&amp;_xlfn.XMATCH("NE",Liste_rouge!A:A,2,1),"NE")</f>
        <v>NE</v>
      </c>
      <c r="AH24002" s="4" t="str">
        <f>HYPERLINK("#Statut_biogéographique!A"&amp;_xlfn.XMATCH("D",Statut_biogéographique!A:A,2,1),"D")</f>
        <v>D</v>
      </c>
      <c r="AP24002" s="4" t="s">
        <v>376</v>
      </c>
      <c r="AR24002" s="4" t="s">
        <v>377</v>
      </c>
    </row>
    <row r="24003" spans="1:44">
      <c r="A24003" s="4" t="s">
        <v>24364</v>
      </c>
      <c r="B24003" s="4">
        <v>89065</v>
      </c>
      <c r="D24003" s="5">
        <v>89065</v>
      </c>
      <c r="E24003" s="6" t="str">
        <f>HYPERLINK("https://inpn.mnhn.fr/espece/cd_nom/89065","Carex x muelleriana F.W.Schultz, 1854")</f>
        <v>Carex x muelleriana F.W.Schultz, 1854</v>
      </c>
      <c r="F24003" s="5" t="s">
        <v>31388</v>
      </c>
      <c r="AH24003" s="4" t="str">
        <f>HYPERLINK("#Statut_biogéographique!A"&amp;_xlfn.XMATCH("D",Statut_biogéographique!A:A,2,1),"D")</f>
        <v>D</v>
      </c>
      <c r="AP24003" s="4" t="s">
        <v>376</v>
      </c>
      <c r="AR24003" s="4" t="s">
        <v>377</v>
      </c>
    </row>
    <row r="24004" spans="1:44">
      <c r="A24004" s="4" t="s">
        <v>24364</v>
      </c>
      <c r="B24004" s="4">
        <v>89067</v>
      </c>
      <c r="D24004" s="5" t="s">
        <v>31389</v>
      </c>
      <c r="E24004" s="6" t="str">
        <f>HYPERLINK("https://inpn.mnhn.fr/espece/cd_nom/89067","Carex x ohmuelleriana O.Lang, 1843")</f>
        <v>Carex x ohmuelleriana O.Lang, 1843</v>
      </c>
      <c r="F24004" s="5" t="s">
        <v>31390</v>
      </c>
      <c r="T24004" s="7" t="str">
        <f>HYPERLINK("#Liste_rouge!A"&amp;_xlfn.XMATCH("NE",Liste_rouge!A:A,2,1),"NE")</f>
        <v>NE</v>
      </c>
      <c r="AH24004" s="4" t="str">
        <f>HYPERLINK("#Statut_biogéographique!A"&amp;_xlfn.XMATCH("D",Statut_biogéographique!A:A,2,1),"D")</f>
        <v>D</v>
      </c>
      <c r="AP24004" s="4" t="s">
        <v>376</v>
      </c>
      <c r="AR24004" s="4" t="s">
        <v>377</v>
      </c>
    </row>
    <row r="24005" spans="1:44">
      <c r="A24005" s="4" t="s">
        <v>24364</v>
      </c>
      <c r="B24005" s="4">
        <v>89075</v>
      </c>
      <c r="D24005" s="5" t="s">
        <v>31391</v>
      </c>
      <c r="E24005" s="6" t="str">
        <f>HYPERLINK("https://inpn.mnhn.fr/espece/cd_nom/89075","Carex x paulii Asch. &amp; Graebn., 1902")</f>
        <v>Carex x paulii Asch. &amp; Graebn., 1902</v>
      </c>
      <c r="F24005" s="5" t="s">
        <v>31392</v>
      </c>
      <c r="T24005" s="7" t="str">
        <f>HYPERLINK("#Liste_rouge!A"&amp;_xlfn.XMATCH("NE",Liste_rouge!A:A,2,1),"NE")</f>
        <v>NE</v>
      </c>
      <c r="AH24005" s="4" t="str">
        <f>HYPERLINK("#Statut_biogéographique!A"&amp;_xlfn.XMATCH("D",Statut_biogéographique!A:A,2,1),"D")</f>
        <v>D</v>
      </c>
      <c r="AP24005" s="4" t="s">
        <v>376</v>
      </c>
      <c r="AR24005" s="4" t="s">
        <v>377</v>
      </c>
    </row>
    <row r="24006" spans="1:44">
      <c r="A24006" s="4" t="s">
        <v>24364</v>
      </c>
      <c r="B24006" s="4">
        <v>89079</v>
      </c>
      <c r="D24006" s="5" t="s">
        <v>31393</v>
      </c>
      <c r="E24006" s="6" t="str">
        <f>HYPERLINK("https://inpn.mnhn.fr/espece/cd_nom/89079","Carex x ploettneriana Beyer, 1906")</f>
        <v>Carex x ploettneriana Beyer, 1906</v>
      </c>
      <c r="F24006" s="5" t="s">
        <v>31394</v>
      </c>
      <c r="T24006" s="7" t="str">
        <f>HYPERLINK("#Liste_rouge!A"&amp;_xlfn.XMATCH("NE",Liste_rouge!A:A,2,1),"NE")</f>
        <v>NE</v>
      </c>
      <c r="AH24006" s="4" t="str">
        <f>HYPERLINK("#Statut_biogéographique!A"&amp;_xlfn.XMATCH("D",Statut_biogéographique!A:A,2,1),"D")</f>
        <v>D</v>
      </c>
      <c r="AP24006" s="4" t="s">
        <v>376</v>
      </c>
      <c r="AR24006" s="4" t="s">
        <v>377</v>
      </c>
    </row>
    <row r="24007" spans="1:44">
      <c r="A24007" s="4" t="s">
        <v>24364</v>
      </c>
      <c r="B24007" s="4">
        <v>89087</v>
      </c>
      <c r="D24007" s="5" t="s">
        <v>31395</v>
      </c>
      <c r="E24007" s="6" t="str">
        <f>HYPERLINK("https://inpn.mnhn.fr/espece/cd_nom/89087","Carex x pseudovulpina K.Richt., 1890")</f>
        <v>Carex x pseudovulpina K.Richt., 1890</v>
      </c>
      <c r="F24007" s="5" t="s">
        <v>31370</v>
      </c>
      <c r="T24007" s="7" t="str">
        <f>HYPERLINK("#Liste_rouge!A"&amp;_xlfn.XMATCH("NE",Liste_rouge!A:A,2,1),"NE")</f>
        <v>NE</v>
      </c>
      <c r="AH24007" s="4" t="str">
        <f>HYPERLINK("#Statut_biogéographique!A"&amp;_xlfn.XMATCH("D",Statut_biogéographique!A:A,2,1),"D")</f>
        <v>D</v>
      </c>
      <c r="AP24007" s="4" t="s">
        <v>376</v>
      </c>
      <c r="AR24007" s="4" t="s">
        <v>377</v>
      </c>
    </row>
    <row r="24008" spans="1:44">
      <c r="A24008" s="4" t="s">
        <v>24364</v>
      </c>
      <c r="B24008" s="4">
        <v>89104</v>
      </c>
      <c r="D24008" s="5">
        <v>89104</v>
      </c>
      <c r="E24008" s="6" t="str">
        <f>HYPERLINK("https://inpn.mnhn.fr/espece/cd_nom/89104","Carex x strigosula Chatenier, 1911")</f>
        <v>Carex x strigosula Chatenier, 1911</v>
      </c>
      <c r="F24008" s="5" t="s">
        <v>31396</v>
      </c>
      <c r="AH24008" s="4" t="str">
        <f>HYPERLINK("#Statut_biogéographique!A"&amp;_xlfn.XMATCH("D",Statut_biogéographique!A:A,2,1),"D")</f>
        <v>D</v>
      </c>
      <c r="AP24008" s="4" t="s">
        <v>376</v>
      </c>
      <c r="AR24008" s="4" t="s">
        <v>377</v>
      </c>
    </row>
    <row r="24009" spans="1:44">
      <c r="A24009" s="4" t="s">
        <v>24364</v>
      </c>
      <c r="B24009" s="4">
        <v>89105</v>
      </c>
      <c r="D24009" s="5" t="s">
        <v>31397</v>
      </c>
      <c r="E24009" s="6" t="str">
        <f>HYPERLINK("https://inpn.mnhn.fr/espece/cd_nom/89105","Carex x subgracilis Druce, 1929")</f>
        <v>Carex x subgracilis Druce, 1929</v>
      </c>
      <c r="F24009" s="5" t="s">
        <v>31398</v>
      </c>
      <c r="T24009" s="7" t="str">
        <f>HYPERLINK("#Liste_rouge!A"&amp;_xlfn.XMATCH("DD",Liste_rouge!A:A,2,1),"DD")</f>
        <v>DD</v>
      </c>
      <c r="AH24009" s="4" t="str">
        <f>HYPERLINK("#Statut_biogéographique!A"&amp;_xlfn.XMATCH("D",Statut_biogéographique!A:A,2,1),"D")</f>
        <v>D</v>
      </c>
      <c r="AP24009" s="4" t="s">
        <v>376</v>
      </c>
      <c r="AR24009" s="4" t="s">
        <v>377</v>
      </c>
    </row>
    <row r="24010" spans="1:44">
      <c r="A24010" s="4" t="s">
        <v>24364</v>
      </c>
      <c r="B24010" s="4">
        <v>89112</v>
      </c>
      <c r="D24010" s="5" t="s">
        <v>31399</v>
      </c>
      <c r="E24010" s="6" t="str">
        <f>HYPERLINK("https://inpn.mnhn.fr/espece/cd_nom/89112","Carex x turfosa Fr., 1846")</f>
        <v>Carex x turfosa Fr., 1846</v>
      </c>
      <c r="F24010" s="5" t="s">
        <v>31400</v>
      </c>
      <c r="AH24010" s="4" t="str">
        <f>HYPERLINK("#Statut_biogéographique!A"&amp;_xlfn.XMATCH("P",Statut_biogéographique!A:A,2,1),"P")</f>
        <v>P</v>
      </c>
      <c r="AP24010" s="4" t="s">
        <v>376</v>
      </c>
      <c r="AR24010" s="4" t="s">
        <v>377</v>
      </c>
    </row>
    <row r="24011" spans="1:44">
      <c r="A24011" s="4" t="s">
        <v>24364</v>
      </c>
      <c r="B24011" s="4">
        <v>89121</v>
      </c>
      <c r="D24011" s="5">
        <v>89121</v>
      </c>
      <c r="E24011" s="6" t="str">
        <f>HYPERLINK("https://inpn.mnhn.fr/espece/cd_nom/89121","Carex x xanthocarpa Degl. ex Loisel., 1828")</f>
        <v>Carex x xanthocarpa Degl. ex Loisel., 1828</v>
      </c>
      <c r="F24011" s="5" t="s">
        <v>31401</v>
      </c>
      <c r="T24011" s="7" t="str">
        <f>HYPERLINK("#Liste_rouge!A"&amp;_xlfn.XMATCH("NE",Liste_rouge!A:A,2,1),"NE")</f>
        <v>NE</v>
      </c>
      <c r="AH24011" s="4" t="str">
        <f>HYPERLINK("#Statut_biogéographique!A"&amp;_xlfn.XMATCH("P",Statut_biogéographique!A:A,2,1),"P")</f>
        <v>P</v>
      </c>
      <c r="AP24011" s="4" t="s">
        <v>376</v>
      </c>
      <c r="AR24011" s="4" t="s">
        <v>377</v>
      </c>
    </row>
    <row r="24012" spans="1:44" ht="30">
      <c r="A24012" s="4" t="s">
        <v>24364</v>
      </c>
      <c r="B24012" s="4">
        <v>89147</v>
      </c>
      <c r="D24012" s="5" t="s">
        <v>31402</v>
      </c>
      <c r="E24012" s="6" t="str">
        <f>HYPERLINK("https://inpn.mnhn.fr/espece/cd_nom/89147","Carlina acaulis L., 1753")</f>
        <v>Carlina acaulis L., 1753</v>
      </c>
      <c r="F24012" s="5" t="s">
        <v>31403</v>
      </c>
      <c r="M24012" s="4" t="str">
        <f>HYPERLINK("#Réglementation!A"&amp;_xlfn.XMATCH("RV26",Réglementation!A:A,2,1),"RV26")</f>
        <v>RV26</v>
      </c>
      <c r="Q24012" s="7" t="str">
        <f>HYPERLINK("#Liste_rouge!A"&amp;_xlfn.XMATCH("LC",Liste_rouge!A:A,2,1),"LC")</f>
        <v>LC</v>
      </c>
      <c r="T24012" s="7" t="str">
        <f>HYPERLINK("#Liste_rouge!A"&amp;_xlfn.XMATCH("VU",Liste_rouge!A:A,2,1),"VU")</f>
        <v>VU</v>
      </c>
      <c r="U24012" s="4" t="str">
        <f>HYPERLINK("#Critères_liste_rouge!A$1","D2")</f>
        <v>D2</v>
      </c>
      <c r="V24012" s="7" t="str">
        <f>HYPERLINK("#Liste_rouge!A"&amp;_xlfn.XMATCH("LC",Liste_rouge!A:A,2,1),"LC")</f>
        <v>LC</v>
      </c>
      <c r="AB24012" s="4" t="s">
        <v>31404</v>
      </c>
      <c r="AH24012" s="4" t="str">
        <f>HYPERLINK("#Statut_biogéographique!A"&amp;_xlfn.XMATCH("P",Statut_biogéographique!A:A,2,1),"P")</f>
        <v>P</v>
      </c>
      <c r="AP24012" s="4" t="s">
        <v>376</v>
      </c>
      <c r="AR24012" s="4" t="s">
        <v>377</v>
      </c>
    </row>
    <row r="24013" spans="1:44" ht="45">
      <c r="A24013" s="4" t="s">
        <v>24364</v>
      </c>
      <c r="B24013" s="4">
        <v>89180</v>
      </c>
      <c r="D24013" s="5" t="s">
        <v>31405</v>
      </c>
      <c r="E24013" s="6" t="str">
        <f>HYPERLINK("https://inpn.mnhn.fr/espece/cd_nom/89180","Carlina vulgaris L., 1753")</f>
        <v>Carlina vulgaris L., 1753</v>
      </c>
      <c r="F24013" s="5" t="s">
        <v>31406</v>
      </c>
      <c r="Q24013" s="7" t="str">
        <f>HYPERLINK("#Liste_rouge!A"&amp;_xlfn.XMATCH("LC",Liste_rouge!A:A,2,1),"LC")</f>
        <v>LC</v>
      </c>
      <c r="T24013" s="7" t="str">
        <f>HYPERLINK("#Liste_rouge!A"&amp;_xlfn.XMATCH("LC",Liste_rouge!A:A,2,1),"LC")</f>
        <v>LC</v>
      </c>
      <c r="V24013" s="7" t="str">
        <f>HYPERLINK("#Liste_rouge!A"&amp;_xlfn.XMATCH("LC",Liste_rouge!A:A,2,1),"LC")</f>
        <v>LC</v>
      </c>
      <c r="AH24013" s="4" t="str">
        <f>HYPERLINK("#Statut_biogéographique!A"&amp;_xlfn.XMATCH("P",Statut_biogéographique!A:A,2,1),"P")</f>
        <v>P</v>
      </c>
      <c r="AM24013" s="4" t="s">
        <v>375</v>
      </c>
      <c r="AN24013" s="4" t="s">
        <v>375</v>
      </c>
      <c r="AO24013" s="4" t="s">
        <v>375</v>
      </c>
      <c r="AP24013" s="4" t="s">
        <v>376</v>
      </c>
      <c r="AR24013" s="4" t="s">
        <v>377</v>
      </c>
    </row>
    <row r="24014" spans="1:44" ht="45">
      <c r="A24014" s="4" t="s">
        <v>24364</v>
      </c>
      <c r="B24014" s="4">
        <v>89200</v>
      </c>
      <c r="D24014" s="5" t="s">
        <v>31407</v>
      </c>
      <c r="E24014" s="6" t="str">
        <f>HYPERLINK("https://inpn.mnhn.fr/espece/cd_nom/89200","Carpinus betulus L., 1753")</f>
        <v>Carpinus betulus L., 1753</v>
      </c>
      <c r="F24014" s="5" t="s">
        <v>31408</v>
      </c>
      <c r="O24014" s="7" t="str">
        <f>HYPERLINK("#Liste_rouge!A"&amp;_xlfn.XMATCH("LC",Liste_rouge!A:A,2,1),"LC")</f>
        <v>LC</v>
      </c>
      <c r="P24014" s="7" t="str">
        <f>HYPERLINK("#Liste_rouge!A"&amp;_xlfn.XMATCH("LC",Liste_rouge!A:A,2,1),"LC")</f>
        <v>LC</v>
      </c>
      <c r="Q24014" s="7" t="str">
        <f>HYPERLINK("#Liste_rouge!A"&amp;_xlfn.XMATCH("LC",Liste_rouge!A:A,2,1),"LC")</f>
        <v>LC</v>
      </c>
      <c r="T24014" s="7" t="str">
        <f>HYPERLINK("#Liste_rouge!A"&amp;_xlfn.XMATCH("LC",Liste_rouge!A:A,2,1),"LC")</f>
        <v>LC</v>
      </c>
      <c r="V24014" s="7" t="str">
        <f>HYPERLINK("#Liste_rouge!A"&amp;_xlfn.XMATCH("LC",Liste_rouge!A:A,2,1),"LC")</f>
        <v>LC</v>
      </c>
      <c r="AH24014" s="4" t="str">
        <f>HYPERLINK("#Statut_biogéographique!A"&amp;_xlfn.XMATCH("P",Statut_biogéographique!A:A,2,1),"P")</f>
        <v>P</v>
      </c>
      <c r="AM24014" s="4" t="s">
        <v>375</v>
      </c>
      <c r="AN24014" s="4" t="s">
        <v>375</v>
      </c>
      <c r="AO24014" s="4" t="s">
        <v>375</v>
      </c>
      <c r="AP24014" s="4" t="s">
        <v>376</v>
      </c>
      <c r="AR24014" s="4" t="s">
        <v>377</v>
      </c>
    </row>
    <row r="24015" spans="1:44" ht="30">
      <c r="A24015" s="4" t="s">
        <v>24364</v>
      </c>
      <c r="B24015" s="4">
        <v>89205</v>
      </c>
      <c r="D24015" s="5" t="s">
        <v>31409</v>
      </c>
      <c r="E24015" s="6" t="str">
        <f>HYPERLINK("https://inpn.mnhn.fr/espece/cd_nom/89205","Carpinus ostrya L., 1753")</f>
        <v>Carpinus ostrya L., 1753</v>
      </c>
      <c r="F24015" s="5" t="s">
        <v>31410</v>
      </c>
      <c r="O24015" s="7" t="str">
        <f>HYPERLINK("#Liste_rouge!A"&amp;_xlfn.XMATCH("LC",Liste_rouge!A:A,2,1),"LC")</f>
        <v>LC</v>
      </c>
      <c r="P24015" s="7" t="str">
        <f>HYPERLINK("#Liste_rouge!A"&amp;_xlfn.XMATCH("LC",Liste_rouge!A:A,2,1),"LC")</f>
        <v>LC</v>
      </c>
      <c r="Q24015" s="7" t="str">
        <f>HYPERLINK("#Liste_rouge!A"&amp;_xlfn.XMATCH("LC",Liste_rouge!A:A,2,1),"LC")</f>
        <v>LC</v>
      </c>
      <c r="AH24015" s="4" t="str">
        <f>HYPERLINK("#Statut_biogéographique!A"&amp;_xlfn.XMATCH("P",Statut_biogéographique!A:A,2,1),"P")</f>
        <v>P</v>
      </c>
      <c r="AP24015" s="4" t="s">
        <v>376</v>
      </c>
      <c r="AR24015" s="4" t="s">
        <v>377</v>
      </c>
    </row>
    <row r="24016" spans="1:44" ht="105">
      <c r="A24016" s="4" t="s">
        <v>24364</v>
      </c>
      <c r="B24016" s="4">
        <v>89232</v>
      </c>
      <c r="D24016" s="5" t="s">
        <v>31411</v>
      </c>
      <c r="E24016" s="6" t="str">
        <f>HYPERLINK("https://inpn.mnhn.fr/espece/cd_nom/89232","Carthamus lanatus L., 1753")</f>
        <v>Carthamus lanatus L., 1753</v>
      </c>
      <c r="F24016" s="5" t="s">
        <v>31412</v>
      </c>
      <c r="Q24016" s="7" t="str">
        <f>HYPERLINK("#Liste_rouge!A"&amp;_xlfn.XMATCH("LC",Liste_rouge!A:A,2,1),"LC")</f>
        <v>LC</v>
      </c>
      <c r="T24016" s="7" t="str">
        <f>HYPERLINK("#Liste_rouge!A"&amp;_xlfn.XMATCH("VU",Liste_rouge!A:A,2,1),"VU")</f>
        <v>VU</v>
      </c>
      <c r="U24016" s="4" t="str">
        <f>HYPERLINK("#Critères_liste_rouge!A$1","D2")</f>
        <v>D2</v>
      </c>
      <c r="X24016" s="5" t="s">
        <v>374</v>
      </c>
      <c r="AB24016" s="4" t="s">
        <v>93</v>
      </c>
      <c r="AH24016" s="4" t="str">
        <f>HYPERLINK("#Statut_biogéographique!A"&amp;_xlfn.XMATCH("P",Statut_biogéographique!A:A,2,1),"P")</f>
        <v>P</v>
      </c>
      <c r="AM24016" s="4" t="s">
        <v>375</v>
      </c>
      <c r="AN24016" s="4" t="s">
        <v>375</v>
      </c>
      <c r="AO24016" s="4" t="s">
        <v>375</v>
      </c>
      <c r="AP24016" s="4" t="s">
        <v>376</v>
      </c>
      <c r="AR24016" s="4" t="s">
        <v>377</v>
      </c>
    </row>
    <row r="24017" spans="1:44" ht="30">
      <c r="A24017" s="4" t="s">
        <v>24364</v>
      </c>
      <c r="B24017" s="4">
        <v>892320</v>
      </c>
      <c r="D24017" s="5" t="s">
        <v>31413</v>
      </c>
      <c r="E24017" s="6" t="str">
        <f>HYPERLINK("https://inpn.mnhn.fr/espece/cd_nom/892320","Cornus sanguinea subsp. australis (C.A.Mey.) Jáv., 1978")</f>
        <v>Cornus sanguinea subsp. australis (C.A.Mey.) Jáv., 1978</v>
      </c>
      <c r="F24017" s="5" t="s">
        <v>31414</v>
      </c>
      <c r="Q24017" s="7" t="str">
        <f>HYPERLINK("#Liste_rouge!A"&amp;_xlfn.XMATCH("NA",Liste_rouge!A:A,2,1),"NA")</f>
        <v>NA</v>
      </c>
      <c r="AH24017" s="4" t="str">
        <f>HYPERLINK("#Statut_biogéographique!A"&amp;_xlfn.XMATCH("I",Statut_biogéographique!A:A,2,1),"I")</f>
        <v>I</v>
      </c>
      <c r="AM24017" s="4" t="s">
        <v>375</v>
      </c>
      <c r="AN24017" s="4" t="s">
        <v>375</v>
      </c>
      <c r="AO24017" s="4" t="s">
        <v>375</v>
      </c>
      <c r="AP24017" s="4" t="s">
        <v>376</v>
      </c>
      <c r="AR24017" s="4" t="s">
        <v>377</v>
      </c>
    </row>
    <row r="24018" spans="1:44" ht="45">
      <c r="A24018" s="4" t="s">
        <v>24364</v>
      </c>
      <c r="B24018" s="4">
        <v>89235</v>
      </c>
      <c r="D24018" s="5" t="s">
        <v>31415</v>
      </c>
      <c r="E24018" s="6" t="str">
        <f>HYPERLINK("https://inpn.mnhn.fr/espece/cd_nom/89235","Carthamus mitissimus L., 1753")</f>
        <v>Carthamus mitissimus L., 1753</v>
      </c>
      <c r="F24018" s="5" t="s">
        <v>31416</v>
      </c>
      <c r="M24018" s="4" t="str">
        <f>HYPERLINK("#Réglementation!A"&amp;_xlfn.XMATCH("RV26",Réglementation!A:A,2,1),"RV26")</f>
        <v>RV26</v>
      </c>
      <c r="Q24018" s="7" t="str">
        <f>HYPERLINK("#Liste_rouge!A"&amp;_xlfn.XMATCH("LC",Liste_rouge!A:A,2,1),"LC")</f>
        <v>LC</v>
      </c>
      <c r="T24018" s="7" t="str">
        <f>HYPERLINK("#Liste_rouge!A"&amp;_xlfn.XMATCH("EN",Liste_rouge!A:A,2,1),"EN")</f>
        <v>EN</v>
      </c>
      <c r="U24018" s="4" t="str">
        <f>HYPERLINK("#Critères_liste_rouge!A$1","C2a(i)")</f>
        <v>C2a(i)</v>
      </c>
      <c r="X24018" s="5" t="s">
        <v>374</v>
      </c>
      <c r="AB24018" s="4" t="s">
        <v>93</v>
      </c>
      <c r="AH24018" s="4" t="str">
        <f>HYPERLINK("#Statut_biogéographique!A"&amp;_xlfn.XMATCH("P",Statut_biogéographique!A:A,2,1),"P")</f>
        <v>P</v>
      </c>
      <c r="AM24018" s="4" t="s">
        <v>375</v>
      </c>
      <c r="AN24018" s="4" t="s">
        <v>375</v>
      </c>
      <c r="AO24018" s="4" t="s">
        <v>375</v>
      </c>
      <c r="AP24018" s="4" t="s">
        <v>376</v>
      </c>
      <c r="AR24018" s="4" t="s">
        <v>377</v>
      </c>
    </row>
    <row r="24019" spans="1:44" ht="30">
      <c r="A24019" s="4" t="s">
        <v>24364</v>
      </c>
      <c r="B24019" s="4">
        <v>89239</v>
      </c>
      <c r="D24019" s="5" t="s">
        <v>31417</v>
      </c>
      <c r="E24019" s="6" t="str">
        <f>HYPERLINK("https://inpn.mnhn.fr/espece/cd_nom/89239","Carthamus tinctorius L., 1753")</f>
        <v>Carthamus tinctorius L., 1753</v>
      </c>
      <c r="F24019" s="5" t="s">
        <v>31418</v>
      </c>
      <c r="AH24019" s="4" t="str">
        <f>HYPERLINK("#Statut_biogéographique!A"&amp;_xlfn.XMATCH("M",Statut_biogéographique!A:A,2,1),"M")</f>
        <v>M</v>
      </c>
      <c r="AP24019" s="4" t="s">
        <v>376</v>
      </c>
      <c r="AR24019" s="4" t="s">
        <v>377</v>
      </c>
    </row>
    <row r="24020" spans="1:44" ht="45">
      <c r="A24020" s="4" t="s">
        <v>24364</v>
      </c>
      <c r="B24020" s="4">
        <v>89250</v>
      </c>
      <c r="D24020" s="5" t="s">
        <v>31419</v>
      </c>
      <c r="E24020" s="6" t="str">
        <f>HYPERLINK("https://inpn.mnhn.fr/espece/cd_nom/89250","Carum carvi L., 1753")</f>
        <v>Carum carvi L., 1753</v>
      </c>
      <c r="F24020" s="5" t="s">
        <v>31420</v>
      </c>
      <c r="P24020" s="7" t="str">
        <f>HYPERLINK("#Liste_rouge!A"&amp;_xlfn.XMATCH("LC",Liste_rouge!A:A,2,1),"LC")</f>
        <v>LC</v>
      </c>
      <c r="Q24020" s="7" t="str">
        <f>HYPERLINK("#Liste_rouge!A"&amp;_xlfn.XMATCH("LC",Liste_rouge!A:A,2,1),"LC")</f>
        <v>LC</v>
      </c>
      <c r="T24020" s="7" t="str">
        <f>HYPERLINK("#Liste_rouge!A"&amp;_xlfn.XMATCH("VU",Liste_rouge!A:A,2,1),"VU")</f>
        <v>VU</v>
      </c>
      <c r="U24020" s="4" t="str">
        <f>HYPERLINK("#Critères_liste_rouge!A$1","D2")</f>
        <v>D2</v>
      </c>
      <c r="V24020" s="7" t="str">
        <f>HYPERLINK("#Liste_rouge!A"&amp;_xlfn.XMATCH("LC",Liste_rouge!A:A,2,1),"LC")</f>
        <v>LC</v>
      </c>
      <c r="AB24020" s="4" t="s">
        <v>24984</v>
      </c>
      <c r="AH24020" s="4" t="str">
        <f>HYPERLINK("#Statut_biogéographique!A"&amp;_xlfn.XMATCH("P",Statut_biogéographique!A:A,2,1),"P")</f>
        <v>P</v>
      </c>
      <c r="AM24020" s="4" t="s">
        <v>375</v>
      </c>
      <c r="AN24020" s="4" t="s">
        <v>375</v>
      </c>
      <c r="AO24020" s="4" t="s">
        <v>375</v>
      </c>
      <c r="AP24020" s="4" t="s">
        <v>376</v>
      </c>
      <c r="AR24020" s="4" t="s">
        <v>377</v>
      </c>
    </row>
    <row r="24021" spans="1:44" ht="30">
      <c r="A24021" s="4" t="s">
        <v>24364</v>
      </c>
      <c r="B24021" s="4">
        <v>89304</v>
      </c>
      <c r="D24021" s="5" t="s">
        <v>31421</v>
      </c>
      <c r="E24021" s="6" t="str">
        <f>HYPERLINK("https://inpn.mnhn.fr/espece/cd_nom/89304","Castanea sativa Mill., 1768")</f>
        <v>Castanea sativa Mill., 1768</v>
      </c>
      <c r="F24021" s="5" t="s">
        <v>31422</v>
      </c>
      <c r="O24021" s="7" t="str">
        <f>HYPERLINK("#Liste_rouge!A"&amp;_xlfn.XMATCH("LC",Liste_rouge!A:A,2,1),"LC")</f>
        <v>LC</v>
      </c>
      <c r="P24021" s="7" t="str">
        <f>HYPERLINK("#Liste_rouge!A"&amp;_xlfn.XMATCH("LC",Liste_rouge!A:A,2,1),"LC")</f>
        <v>LC</v>
      </c>
      <c r="Q24021" s="7" t="str">
        <f>HYPERLINK("#Liste_rouge!A"&amp;_xlfn.XMATCH("LC",Liste_rouge!A:A,2,1),"LC")</f>
        <v>LC</v>
      </c>
      <c r="T24021" s="7" t="str">
        <f>HYPERLINK("#Liste_rouge!A"&amp;_xlfn.XMATCH("NA",Liste_rouge!A:A,2,1),"NA")</f>
        <v>NA</v>
      </c>
      <c r="V24021" s="7" t="str">
        <f>HYPERLINK("#Liste_rouge!A"&amp;_xlfn.XMATCH("LC",Liste_rouge!A:A,2,1),"LC")</f>
        <v>LC</v>
      </c>
      <c r="AH24021" s="4" t="str">
        <f>HYPERLINK("#Statut_biogéographique!A"&amp;_xlfn.XMATCH("P",Statut_biogéographique!A:A,2,1),"P")</f>
        <v>P</v>
      </c>
      <c r="AM24021" s="4" t="s">
        <v>375</v>
      </c>
      <c r="AN24021" s="4" t="s">
        <v>375</v>
      </c>
      <c r="AO24021" s="4" t="s">
        <v>375</v>
      </c>
      <c r="AP24021" s="4" t="s">
        <v>376</v>
      </c>
      <c r="AR24021" s="4" t="s">
        <v>377</v>
      </c>
    </row>
    <row r="24022" spans="1:44" ht="105">
      <c r="A24022" s="4" t="s">
        <v>24364</v>
      </c>
      <c r="B24022" s="4">
        <v>89316</v>
      </c>
      <c r="D24022" s="5" t="s">
        <v>31423</v>
      </c>
      <c r="E24022" s="6" t="str">
        <f>HYPERLINK("https://inpn.mnhn.fr/espece/cd_nom/89316","Catabrosa aquatica (L.) P.Beauv., 1812")</f>
        <v>Catabrosa aquatica (L.) P.Beauv., 1812</v>
      </c>
      <c r="F24022" s="5" t="s">
        <v>31424</v>
      </c>
      <c r="O24022" s="7" t="str">
        <f>HYPERLINK("#Liste_rouge!A"&amp;_xlfn.XMATCH("LC",Liste_rouge!A:A,2,1),"LC")</f>
        <v>LC</v>
      </c>
      <c r="P24022" s="7" t="str">
        <f>HYPERLINK("#Liste_rouge!A"&amp;_xlfn.XMATCH("LC",Liste_rouge!A:A,2,1),"LC")</f>
        <v>LC</v>
      </c>
      <c r="Q24022" s="7" t="str">
        <f>HYPERLINK("#Liste_rouge!A"&amp;_xlfn.XMATCH("NT",Liste_rouge!A:A,2,1),"NT")</f>
        <v>NT</v>
      </c>
      <c r="T24022" s="7" t="str">
        <f>HYPERLINK("#Liste_rouge!A"&amp;_xlfn.XMATCH("EN",Liste_rouge!A:A,2,1),"EN")</f>
        <v>EN</v>
      </c>
      <c r="U24022" s="4" t="str">
        <f>HYPERLINK("#Critères_liste_rouge!A$1","B2ab(ii,iii,iv)")</f>
        <v>B2ab(ii,iii,iv)</v>
      </c>
      <c r="V24022" s="7" t="str">
        <f>HYPERLINK("#Liste_rouge!A"&amp;_xlfn.XMATCH("EN",Liste_rouge!A:A,2,1),"EN")</f>
        <v>EN</v>
      </c>
      <c r="W24022" s="4" t="str">
        <f>HYPERLINK("#Critères_liste_rouge!A$1","A2c B2ab(ii,iv)")</f>
        <v>A2c B2ab(ii,iv)</v>
      </c>
      <c r="X24022" s="5" t="s">
        <v>374</v>
      </c>
      <c r="AB24022" s="4" t="s">
        <v>93</v>
      </c>
      <c r="AH24022" s="4" t="str">
        <f>HYPERLINK("#Statut_biogéographique!A"&amp;_xlfn.XMATCH("P",Statut_biogéographique!A:A,2,1),"P")</f>
        <v>P</v>
      </c>
      <c r="AM24022" s="4" t="s">
        <v>375</v>
      </c>
      <c r="AN24022" s="4" t="s">
        <v>375</v>
      </c>
      <c r="AO24022" s="4" t="s">
        <v>375</v>
      </c>
      <c r="AP24022" s="4" t="s">
        <v>376</v>
      </c>
      <c r="AR24022" s="4" t="s">
        <v>377</v>
      </c>
    </row>
    <row r="24023" spans="1:44" ht="30">
      <c r="A24023" s="4" t="s">
        <v>24364</v>
      </c>
      <c r="B24023" s="4">
        <v>89323</v>
      </c>
      <c r="D24023" s="5" t="s">
        <v>31425</v>
      </c>
      <c r="E24023" s="6" t="str">
        <f>HYPERLINK("https://inpn.mnhn.fr/espece/cd_nom/89323","Catalpa bignonioides Walter, 1788")</f>
        <v>Catalpa bignonioides Walter, 1788</v>
      </c>
      <c r="F24023" s="5" t="s">
        <v>31426</v>
      </c>
      <c r="Q24023" s="7" t="str">
        <f>HYPERLINK("#Liste_rouge!A"&amp;_xlfn.XMATCH("NA",Liste_rouge!A:A,2,1),"NA")</f>
        <v>NA</v>
      </c>
      <c r="T24023" s="7" t="str">
        <f>HYPERLINK("#Liste_rouge!A"&amp;_xlfn.XMATCH("NA",Liste_rouge!A:A,2,1),"NA")</f>
        <v>NA</v>
      </c>
      <c r="AH24023" s="4" t="str">
        <f>HYPERLINK("#Statut_biogéographique!A"&amp;_xlfn.XMATCH("I",Statut_biogéographique!A:A,2,1),"I")</f>
        <v>I</v>
      </c>
      <c r="AP24023" s="4" t="s">
        <v>376</v>
      </c>
      <c r="AR24023" s="4" t="s">
        <v>377</v>
      </c>
    </row>
    <row r="24024" spans="1:44" ht="75">
      <c r="A24024" s="4" t="s">
        <v>24364</v>
      </c>
      <c r="B24024" s="4">
        <v>89336</v>
      </c>
      <c r="D24024" s="5" t="s">
        <v>31427</v>
      </c>
      <c r="E24024" s="6" t="str">
        <f>HYPERLINK("https://inpn.mnhn.fr/espece/cd_nom/89336","Catapodium marinum (L.) C.E.Hubb., 1955")</f>
        <v>Catapodium marinum (L.) C.E.Hubb., 1955</v>
      </c>
      <c r="F24024" s="5" t="s">
        <v>31428</v>
      </c>
      <c r="Q24024" s="7" t="str">
        <f>HYPERLINK("#Liste_rouge!A"&amp;_xlfn.XMATCH("LC",Liste_rouge!A:A,2,1),"LC")</f>
        <v>LC</v>
      </c>
      <c r="T24024" s="7" t="str">
        <f>HYPERLINK("#Liste_rouge!A"&amp;_xlfn.XMATCH("NA",Liste_rouge!A:A,2,1),"NA")</f>
        <v>NA</v>
      </c>
      <c r="AH24024" s="4" t="str">
        <f>HYPERLINK("#Statut_biogéographique!A"&amp;_xlfn.XMATCH("P",Statut_biogéographique!A:A,2,1),"P")</f>
        <v>P</v>
      </c>
      <c r="AP24024" s="4" t="s">
        <v>376</v>
      </c>
      <c r="AR24024" s="4" t="s">
        <v>377</v>
      </c>
    </row>
    <row r="24025" spans="1:44" ht="120">
      <c r="A24025" s="4" t="s">
        <v>24364</v>
      </c>
      <c r="B24025" s="4">
        <v>89338</v>
      </c>
      <c r="D24025" s="5" t="s">
        <v>31429</v>
      </c>
      <c r="E24025" s="6" t="str">
        <f>HYPERLINK("https://inpn.mnhn.fr/espece/cd_nom/89338","Catapodium rigidum (L.) C.E.Hubb., 1953")</f>
        <v>Catapodium rigidum (L.) C.E.Hubb., 1953</v>
      </c>
      <c r="F24025" s="5" t="s">
        <v>31430</v>
      </c>
      <c r="Q24025" s="7" t="str">
        <f>HYPERLINK("#Liste_rouge!A"&amp;_xlfn.XMATCH("LC",Liste_rouge!A:A,2,1),"LC")</f>
        <v>LC</v>
      </c>
      <c r="T24025" s="7" t="str">
        <f>HYPERLINK("#Liste_rouge!A"&amp;_xlfn.XMATCH("LC",Liste_rouge!A:A,2,1),"LC")</f>
        <v>LC</v>
      </c>
      <c r="V24025" s="7" t="str">
        <f>HYPERLINK("#Liste_rouge!A"&amp;_xlfn.XMATCH("LC",Liste_rouge!A:A,2,1),"LC")</f>
        <v>LC</v>
      </c>
      <c r="AB24025" s="4" t="s">
        <v>25442</v>
      </c>
      <c r="AH24025" s="4" t="str">
        <f>HYPERLINK("#Statut_biogéographique!A"&amp;_xlfn.XMATCH("P",Statut_biogéographique!A:A,2,1),"P")</f>
        <v>P</v>
      </c>
      <c r="AM24025" s="4" t="s">
        <v>375</v>
      </c>
      <c r="AN24025" s="4" t="s">
        <v>375</v>
      </c>
      <c r="AO24025" s="4" t="s">
        <v>375</v>
      </c>
      <c r="AP24025" s="4" t="s">
        <v>376</v>
      </c>
      <c r="AR24025" s="4" t="s">
        <v>377</v>
      </c>
    </row>
    <row r="24026" spans="1:44" ht="60">
      <c r="A24026" s="4" t="s">
        <v>24364</v>
      </c>
      <c r="B24026" s="4">
        <v>89415</v>
      </c>
      <c r="D24026" s="5" t="s">
        <v>31431</v>
      </c>
      <c r="E24026" s="6" t="str">
        <f>HYPERLINK("https://inpn.mnhn.fr/espece/cd_nom/89415","Caucalis platycarpos L., 1753")</f>
        <v>Caucalis platycarpos L., 1753</v>
      </c>
      <c r="F24026" s="5" t="s">
        <v>31432</v>
      </c>
      <c r="Q24026" s="7" t="str">
        <f>HYPERLINK("#Liste_rouge!A"&amp;_xlfn.XMATCH("LC",Liste_rouge!A:A,2,1),"LC")</f>
        <v>LC</v>
      </c>
      <c r="T24026" s="7" t="str">
        <f>HYPERLINK("#Liste_rouge!A"&amp;_xlfn.XMATCH("EN",Liste_rouge!A:A,2,1),"EN")</f>
        <v>EN</v>
      </c>
      <c r="U24026" s="4" t="str">
        <f>HYPERLINK("#Critères_liste_rouge!A$1","B2b(ii,iii,iv)c(iii,iv)")</f>
        <v>B2b(ii,iii,iv)c(iii,iv)</v>
      </c>
      <c r="V24026" s="7" t="str">
        <f>HYPERLINK("#Liste_rouge!A"&amp;_xlfn.XMATCH("EN",Liste_rouge!A:A,2,1),"EN")</f>
        <v>EN</v>
      </c>
      <c r="W24026" s="4" t="str">
        <f>HYPERLINK("#Critères_liste_rouge!A$1","D")</f>
        <v>D</v>
      </c>
      <c r="X24026" s="5" t="s">
        <v>374</v>
      </c>
      <c r="AB24026" s="4" t="s">
        <v>93</v>
      </c>
      <c r="AH24026" s="4" t="str">
        <f>HYPERLINK("#Statut_biogéographique!A"&amp;_xlfn.XMATCH("P",Statut_biogéographique!A:A,2,1),"P")</f>
        <v>P</v>
      </c>
      <c r="AI24026" s="8" t="s">
        <v>31433</v>
      </c>
      <c r="AJ24026" s="4" t="s">
        <v>12248</v>
      </c>
      <c r="AM24026" s="4" t="s">
        <v>375</v>
      </c>
      <c r="AN24026" s="4" t="s">
        <v>375</v>
      </c>
      <c r="AO24026" s="4" t="s">
        <v>375</v>
      </c>
      <c r="AP24026" s="4" t="s">
        <v>376</v>
      </c>
      <c r="AR24026" s="4" t="s">
        <v>377</v>
      </c>
    </row>
    <row r="24027" spans="1:44" ht="30">
      <c r="A24027" s="4" t="s">
        <v>24364</v>
      </c>
      <c r="B24027" s="4">
        <v>89452</v>
      </c>
      <c r="D24027" s="5" t="s">
        <v>31434</v>
      </c>
      <c r="E24027" s="6" t="str">
        <f>HYPERLINK("https://inpn.mnhn.fr/espece/cd_nom/89452","Cedrus atlantica (Endl.) Manetti ex Carrière, 1855")</f>
        <v>Cedrus atlantica (Endl.) Manetti ex Carrière, 1855</v>
      </c>
      <c r="F24027" s="5" t="s">
        <v>31435</v>
      </c>
      <c r="O24027" s="7" t="str">
        <f>HYPERLINK("#Liste_rouge!A"&amp;_xlfn.XMATCH("EN",Liste_rouge!A:A,2,1),"EN")</f>
        <v>EN</v>
      </c>
      <c r="Q24027" s="7" t="str">
        <f>HYPERLINK("#Liste_rouge!A"&amp;_xlfn.XMATCH("NA",Liste_rouge!A:A,2,1),"NA")</f>
        <v>NA</v>
      </c>
      <c r="T24027" s="7" t="str">
        <f>HYPERLINK("#Liste_rouge!A"&amp;_xlfn.XMATCH("NA",Liste_rouge!A:A,2,1),"NA")</f>
        <v>NA</v>
      </c>
      <c r="AH24027" s="4" t="str">
        <f>HYPERLINK("#Statut_biogéographique!A"&amp;_xlfn.XMATCH("I",Statut_biogéographique!A:A,2,1),"I")</f>
        <v>I</v>
      </c>
      <c r="AP24027" s="4" t="s">
        <v>376</v>
      </c>
      <c r="AR24027" s="4" t="s">
        <v>377</v>
      </c>
    </row>
    <row r="24028" spans="1:44" ht="30">
      <c r="A24028" s="4" t="s">
        <v>24364</v>
      </c>
      <c r="B24028" s="4">
        <v>89454</v>
      </c>
      <c r="D24028" s="5" t="s">
        <v>31436</v>
      </c>
      <c r="E24028" s="6" t="str">
        <f>HYPERLINK("https://inpn.mnhn.fr/espece/cd_nom/89454","Cedrus deodara (Roxb. ex D.Don) G.Don, 1830")</f>
        <v>Cedrus deodara (Roxb. ex D.Don) G.Don, 1830</v>
      </c>
      <c r="F24028" s="5" t="s">
        <v>31437</v>
      </c>
      <c r="O24028" s="7" t="str">
        <f>HYPERLINK("#Liste_rouge!A"&amp;_xlfn.XMATCH("LC",Liste_rouge!A:A,2,1),"LC")</f>
        <v>LC</v>
      </c>
      <c r="Q24028" s="7" t="str">
        <f>HYPERLINK("#Liste_rouge!A"&amp;_xlfn.XMATCH("NA",Liste_rouge!A:A,2,1),"NA")</f>
        <v>NA</v>
      </c>
      <c r="T24028" s="7" t="str">
        <f>HYPERLINK("#Liste_rouge!A"&amp;_xlfn.XMATCH("NA",Liste_rouge!A:A,2,1),"NA")</f>
        <v>NA</v>
      </c>
      <c r="AH24028" s="4" t="str">
        <f>HYPERLINK("#Statut_biogéographique!A"&amp;_xlfn.XMATCH("M",Statut_biogéographique!A:A,2,1),"M")</f>
        <v>M</v>
      </c>
      <c r="AP24028" s="4" t="s">
        <v>376</v>
      </c>
      <c r="AR24028" s="4" t="s">
        <v>377</v>
      </c>
    </row>
    <row r="24029" spans="1:44" ht="30">
      <c r="A24029" s="4" t="s">
        <v>24364</v>
      </c>
      <c r="B24029" s="4">
        <v>89455</v>
      </c>
      <c r="D24029" s="5" t="s">
        <v>31438</v>
      </c>
      <c r="E24029" s="6" t="str">
        <f>HYPERLINK("https://inpn.mnhn.fr/espece/cd_nom/89455","Cedrus libani A.Rich., 1823")</f>
        <v>Cedrus libani A.Rich., 1823</v>
      </c>
      <c r="F24029" s="5" t="s">
        <v>31439</v>
      </c>
      <c r="O24029" s="7" t="str">
        <f>HYPERLINK("#Liste_rouge!A"&amp;_xlfn.XMATCH("VU",Liste_rouge!A:A,2,1),"VU")</f>
        <v>VU</v>
      </c>
      <c r="P24029" s="7" t="str">
        <f>HYPERLINK("#Liste_rouge!A"&amp;_xlfn.XMATCH("VU",Liste_rouge!A:A,2,1),"VU")</f>
        <v>VU</v>
      </c>
      <c r="Q24029" s="7" t="str">
        <f>HYPERLINK("#Liste_rouge!A"&amp;_xlfn.XMATCH("NA",Liste_rouge!A:A,2,1),"NA")</f>
        <v>NA</v>
      </c>
      <c r="T24029" s="7" t="str">
        <f>HYPERLINK("#Liste_rouge!A"&amp;_xlfn.XMATCH("NA",Liste_rouge!A:A,2,1),"NA")</f>
        <v>NA</v>
      </c>
      <c r="AH24029" s="4" t="str">
        <f>HYPERLINK("#Statut_biogéographique!A"&amp;_xlfn.XMATCH("M",Statut_biogéographique!A:A,2,1),"M")</f>
        <v>M</v>
      </c>
      <c r="AP24029" s="4" t="s">
        <v>376</v>
      </c>
      <c r="AR24029" s="4" t="s">
        <v>377</v>
      </c>
    </row>
    <row r="24030" spans="1:44" ht="30">
      <c r="A24030" s="4" t="s">
        <v>24364</v>
      </c>
      <c r="B24030" s="4">
        <v>89468</v>
      </c>
      <c r="D24030" s="5" t="s">
        <v>31440</v>
      </c>
      <c r="E24030" s="6" t="str">
        <f>HYPERLINK("https://inpn.mnhn.fr/espece/cd_nom/89468","Celtis australis L., 1753")</f>
        <v>Celtis australis L., 1753</v>
      </c>
      <c r="F24030" s="5" t="s">
        <v>31441</v>
      </c>
      <c r="O24030" s="7" t="str">
        <f>HYPERLINK("#Liste_rouge!A"&amp;_xlfn.XMATCH("LC",Liste_rouge!A:A,2,1),"LC")</f>
        <v>LC</v>
      </c>
      <c r="P24030" s="7" t="str">
        <f>HYPERLINK("#Liste_rouge!A"&amp;_xlfn.XMATCH("LC",Liste_rouge!A:A,2,1),"LC")</f>
        <v>LC</v>
      </c>
      <c r="Q24030" s="7" t="str">
        <f>HYPERLINK("#Liste_rouge!A"&amp;_xlfn.XMATCH("LC",Liste_rouge!A:A,2,1),"LC")</f>
        <v>LC</v>
      </c>
      <c r="T24030" s="7" t="str">
        <f>HYPERLINK("#Liste_rouge!A"&amp;_xlfn.XMATCH("NA",Liste_rouge!A:A,2,1),"NA")</f>
        <v>NA</v>
      </c>
      <c r="AH24030" s="4" t="str">
        <f>HYPERLINK("#Statut_biogéographique!A"&amp;_xlfn.XMATCH("I",Statut_biogéographique!A:A,2,1),"I")</f>
        <v>I</v>
      </c>
      <c r="AP24030" s="4" t="s">
        <v>376</v>
      </c>
      <c r="AR24030" s="4" t="s">
        <v>377</v>
      </c>
    </row>
    <row r="24031" spans="1:44">
      <c r="A24031" s="4" t="s">
        <v>24364</v>
      </c>
      <c r="B24031" s="4">
        <v>89525</v>
      </c>
      <c r="D24031" s="5" t="s">
        <v>31442</v>
      </c>
      <c r="E24031" s="6" t="str">
        <f>HYPERLINK("https://inpn.mnhn.fr/espece/cd_nom/89525","Centaurea aspera L., 1753")</f>
        <v>Centaurea aspera L., 1753</v>
      </c>
      <c r="F24031" s="5" t="s">
        <v>31443</v>
      </c>
      <c r="Q24031" s="7" t="str">
        <f>HYPERLINK("#Liste_rouge!A"&amp;_xlfn.XMATCH("LC",Liste_rouge!A:A,2,1),"LC")</f>
        <v>LC</v>
      </c>
      <c r="AH24031" s="4" t="str">
        <f>HYPERLINK("#Statut_biogéographique!A"&amp;_xlfn.XMATCH("P",Statut_biogéographique!A:A,2,1),"P")</f>
        <v>P</v>
      </c>
      <c r="AP24031" s="4" t="s">
        <v>376</v>
      </c>
      <c r="AR24031" s="4" t="s">
        <v>377</v>
      </c>
    </row>
    <row r="24032" spans="1:44" ht="30">
      <c r="A24032" s="4" t="s">
        <v>24364</v>
      </c>
      <c r="B24032" s="4">
        <v>89531</v>
      </c>
      <c r="D24032" s="5" t="s">
        <v>31444</v>
      </c>
      <c r="E24032" s="6" t="str">
        <f>HYPERLINK("https://inpn.mnhn.fr/espece/cd_nom/89531","Centaurea benedicta (L.) L., 1763")</f>
        <v>Centaurea benedicta (L.) L., 1763</v>
      </c>
      <c r="F24032" s="5" t="s">
        <v>31445</v>
      </c>
      <c r="P24032" s="7" t="str">
        <f>HYPERLINK("#Liste_rouge!A"&amp;_xlfn.XMATCH("DD",Liste_rouge!A:A,2,1),"DD")</f>
        <v>DD</v>
      </c>
      <c r="Q24032" s="7" t="str">
        <f>HYPERLINK("#Liste_rouge!A"&amp;_xlfn.XMATCH("LC",Liste_rouge!A:A,2,1),"LC")</f>
        <v>LC</v>
      </c>
      <c r="T24032" s="7" t="str">
        <f>HYPERLINK("#Liste_rouge!A"&amp;_xlfn.XMATCH("NA",Liste_rouge!A:A,2,1),"NA")</f>
        <v>NA</v>
      </c>
      <c r="AH24032" s="4" t="str">
        <f>HYPERLINK("#Statut_biogéographique!A"&amp;_xlfn.XMATCH("P",Statut_biogéographique!A:A,2,1),"P")</f>
        <v>P</v>
      </c>
      <c r="AI24032" s="8" t="s">
        <v>31446</v>
      </c>
      <c r="AJ24032" s="4" t="s">
        <v>12248</v>
      </c>
      <c r="AP24032" s="4" t="s">
        <v>376</v>
      </c>
      <c r="AR24032" s="4" t="s">
        <v>377</v>
      </c>
    </row>
    <row r="24033" spans="1:44" ht="75">
      <c r="A24033" s="4" t="s">
        <v>24364</v>
      </c>
      <c r="B24033" s="4">
        <v>89542</v>
      </c>
      <c r="D24033" s="5" t="s">
        <v>31447</v>
      </c>
      <c r="E24033" s="6" t="str">
        <f>HYPERLINK("https://inpn.mnhn.fr/espece/cd_nom/89542","Centaurea calcitrapa L., 1753")</f>
        <v>Centaurea calcitrapa L., 1753</v>
      </c>
      <c r="F24033" s="5" t="s">
        <v>31448</v>
      </c>
      <c r="O24033" s="7" t="str">
        <f>HYPERLINK("#Liste_rouge!A"&amp;_xlfn.XMATCH("EN",Liste_rouge!A:A,2,1),"EN")</f>
        <v>EN</v>
      </c>
      <c r="Q24033" s="7" t="str">
        <f>HYPERLINK("#Liste_rouge!A"&amp;_xlfn.XMATCH("LC",Liste_rouge!A:A,2,1),"LC")</f>
        <v>LC</v>
      </c>
      <c r="T24033" s="7" t="str">
        <f>HYPERLINK("#Liste_rouge!A"&amp;_xlfn.XMATCH("VU",Liste_rouge!A:A,2,1),"VU")</f>
        <v>VU</v>
      </c>
      <c r="U24033" s="4" t="str">
        <f>HYPERLINK("#Critères_liste_rouge!A$1","C2a(i) D2")</f>
        <v>C2a(i) D2</v>
      </c>
      <c r="V24033" s="7" t="str">
        <f>HYPERLINK("#Liste_rouge!A"&amp;_xlfn.XMATCH("EN",Liste_rouge!A:A,2,1),"EN")</f>
        <v>EN</v>
      </c>
      <c r="W24033" s="4" t="str">
        <f>HYPERLINK("#Critères_liste_rouge!A$1","B2ab(iii)")</f>
        <v>B2ab(iii)</v>
      </c>
      <c r="X24033" s="5" t="s">
        <v>374</v>
      </c>
      <c r="AB24033" s="4" t="s">
        <v>93</v>
      </c>
      <c r="AH24033" s="4" t="str">
        <f>HYPERLINK("#Statut_biogéographique!A"&amp;_xlfn.XMATCH("P",Statut_biogéographique!A:A,2,1),"P")</f>
        <v>P</v>
      </c>
      <c r="AM24033" s="4" t="s">
        <v>375</v>
      </c>
      <c r="AN24033" s="4" t="s">
        <v>375</v>
      </c>
      <c r="AO24033" s="4" t="s">
        <v>375</v>
      </c>
      <c r="AP24033" s="4" t="s">
        <v>376</v>
      </c>
      <c r="AR24033" s="4" t="s">
        <v>377</v>
      </c>
    </row>
    <row r="24034" spans="1:44" ht="30">
      <c r="A24034" s="4" t="s">
        <v>24364</v>
      </c>
      <c r="B24034" s="4">
        <v>89557</v>
      </c>
      <c r="D24034" s="5" t="s">
        <v>31449</v>
      </c>
      <c r="E24034" s="6" t="str">
        <f>HYPERLINK("https://inpn.mnhn.fr/espece/cd_nom/89557","Centaurea collina L., 1753")</f>
        <v>Centaurea collina L., 1753</v>
      </c>
      <c r="F24034" s="5" t="s">
        <v>31450</v>
      </c>
      <c r="Q24034" s="7" t="str">
        <f>HYPERLINK("#Liste_rouge!A"&amp;_xlfn.XMATCH("LC",Liste_rouge!A:A,2,1),"LC")</f>
        <v>LC</v>
      </c>
      <c r="AH24034" s="4" t="str">
        <f>HYPERLINK("#Statut_biogéographique!A"&amp;_xlfn.XMATCH("P",Statut_biogéographique!A:A,2,1),"P")</f>
        <v>P</v>
      </c>
      <c r="AP24034" s="4" t="s">
        <v>376</v>
      </c>
      <c r="AR24034" s="4" t="s">
        <v>377</v>
      </c>
    </row>
    <row r="24035" spans="1:44" ht="255">
      <c r="A24035" s="4" t="s">
        <v>24364</v>
      </c>
      <c r="B24035" s="4">
        <v>89579</v>
      </c>
      <c r="D24035" s="5" t="s">
        <v>31451</v>
      </c>
      <c r="E24035" s="6" t="str">
        <f>HYPERLINK("https://inpn.mnhn.fr/espece/cd_nom/89579","Centaurea decipiens Thuill., 1799")</f>
        <v>Centaurea decipiens Thuill., 1799</v>
      </c>
      <c r="F24035" s="5" t="s">
        <v>31452</v>
      </c>
      <c r="Q24035" s="7" t="str">
        <f>HYPERLINK("#Liste_rouge!A"&amp;_xlfn.XMATCH("LC",Liste_rouge!A:A,2,1),"LC")</f>
        <v>LC</v>
      </c>
      <c r="T24035" s="7" t="str">
        <f>HYPERLINK("#Liste_rouge!A"&amp;_xlfn.XMATCH("LC",Liste_rouge!A:A,2,1),"LC (cd_nom 613656) - DD (cd_nom 89579)")</f>
        <v>LC (cd_nom 613656) - DD (cd_nom 89579)</v>
      </c>
      <c r="V24035" s="7" t="str">
        <f>HYPERLINK("#Liste_rouge!A"&amp;_xlfn.XMATCH("LC",Liste_rouge!A:A,2,1),"LC")</f>
        <v>LC</v>
      </c>
      <c r="AH24035" s="4" t="str">
        <f>HYPERLINK("#Statut_biogéographique!A"&amp;_xlfn.XMATCH("P",Statut_biogéographique!A:A,2,1),"P")</f>
        <v>P</v>
      </c>
      <c r="AM24035" s="4" t="s">
        <v>375</v>
      </c>
      <c r="AN24035" s="4" t="s">
        <v>375</v>
      </c>
      <c r="AO24035" s="4" t="s">
        <v>375</v>
      </c>
      <c r="AP24035" s="4" t="s">
        <v>376</v>
      </c>
      <c r="AR24035" s="4" t="s">
        <v>377</v>
      </c>
    </row>
    <row r="24036" spans="1:44" ht="60">
      <c r="A24036" s="4" t="s">
        <v>24364</v>
      </c>
      <c r="B24036" s="4">
        <v>89619</v>
      </c>
      <c r="D24036" s="5" t="s">
        <v>31453</v>
      </c>
      <c r="E24036" s="6" t="str">
        <f>HYPERLINK("https://inpn.mnhn.fr/espece/cd_nom/89619","Centaurea jacea L., 1753")</f>
        <v>Centaurea jacea L., 1753</v>
      </c>
      <c r="F24036" s="5" t="s">
        <v>29010</v>
      </c>
      <c r="Q24036" s="7" t="str">
        <f>HYPERLINK("#Liste_rouge!A"&amp;_xlfn.XMATCH("LC",Liste_rouge!A:A,2,1),"LC")</f>
        <v>LC</v>
      </c>
      <c r="T24036" s="7" t="str">
        <f>HYPERLINK("#Liste_rouge!A"&amp;_xlfn.XMATCH("LC",Liste_rouge!A:A,2,1),"LC")</f>
        <v>LC</v>
      </c>
      <c r="V24036" s="7" t="str">
        <f>HYPERLINK("#Liste_rouge!A"&amp;_xlfn.XMATCH("LC",Liste_rouge!A:A,2,1),"LC")</f>
        <v>LC</v>
      </c>
      <c r="AH24036" s="4" t="str">
        <f>HYPERLINK("#Statut_biogéographique!A"&amp;_xlfn.XMATCH("P",Statut_biogéographique!A:A,2,1),"P")</f>
        <v>P</v>
      </c>
      <c r="AM24036" s="4" t="s">
        <v>375</v>
      </c>
      <c r="AN24036" s="4" t="s">
        <v>375</v>
      </c>
      <c r="AO24036" s="4" t="s">
        <v>375</v>
      </c>
      <c r="AP24036" s="4" t="s">
        <v>376</v>
      </c>
      <c r="AR24036" s="4" t="s">
        <v>377</v>
      </c>
    </row>
    <row r="24037" spans="1:44" ht="30">
      <c r="A24037" s="4" t="s">
        <v>24364</v>
      </c>
      <c r="B24037" s="4">
        <v>89639</v>
      </c>
      <c r="D24037" s="5" t="s">
        <v>31454</v>
      </c>
      <c r="E24037" s="6" t="str">
        <f>HYPERLINK("https://inpn.mnhn.fr/espece/cd_nom/89639","Centaurea melitensis L., 1753")</f>
        <v>Centaurea melitensis L., 1753</v>
      </c>
      <c r="F24037" s="5" t="s">
        <v>31455</v>
      </c>
      <c r="Q24037" s="7" t="str">
        <f>HYPERLINK("#Liste_rouge!A"&amp;_xlfn.XMATCH("LC",Liste_rouge!A:A,2,1),"LC")</f>
        <v>LC</v>
      </c>
      <c r="T24037" s="7" t="str">
        <f>HYPERLINK("#Liste_rouge!A"&amp;_xlfn.XMATCH("NA",Liste_rouge!A:A,2,1),"NA")</f>
        <v>NA</v>
      </c>
      <c r="AH24037" s="4" t="str">
        <f>HYPERLINK("#Statut_biogéographique!A"&amp;_xlfn.XMATCH("P",Statut_biogéographique!A:A,2,1),"P")</f>
        <v>P</v>
      </c>
      <c r="AP24037" s="4" t="s">
        <v>376</v>
      </c>
      <c r="AR24037" s="4" t="s">
        <v>377</v>
      </c>
    </row>
    <row r="24038" spans="1:44" ht="30">
      <c r="A24038" s="4" t="s">
        <v>24364</v>
      </c>
      <c r="B24038" s="4">
        <v>89649</v>
      </c>
      <c r="D24038" s="5" t="s">
        <v>31456</v>
      </c>
      <c r="E24038" s="6" t="str">
        <f>HYPERLINK("https://inpn.mnhn.fr/espece/cd_nom/89649","Centaurea napifolia L., 1753")</f>
        <v>Centaurea napifolia L., 1753</v>
      </c>
      <c r="F24038" s="5" t="s">
        <v>31457</v>
      </c>
      <c r="Q24038" s="7" t="str">
        <f>HYPERLINK("#Liste_rouge!A"&amp;_xlfn.XMATCH("LC",Liste_rouge!A:A,2,1),"LC")</f>
        <v>LC</v>
      </c>
      <c r="T24038" s="7" t="str">
        <f>HYPERLINK("#Liste_rouge!A"&amp;_xlfn.XMATCH("NA",Liste_rouge!A:A,2,1),"NA")</f>
        <v>NA</v>
      </c>
      <c r="AH24038" s="4" t="str">
        <f>HYPERLINK("#Statut_biogéographique!A"&amp;_xlfn.XMATCH("P",Statut_biogéographique!A:A,2,1),"P")</f>
        <v>P</v>
      </c>
      <c r="AP24038" s="4" t="s">
        <v>376</v>
      </c>
      <c r="AR24038" s="4" t="s">
        <v>377</v>
      </c>
    </row>
    <row r="24039" spans="1:44" ht="45">
      <c r="A24039" s="4" t="s">
        <v>24364</v>
      </c>
      <c r="B24039" s="4">
        <v>89653</v>
      </c>
      <c r="D24039" s="5" t="s">
        <v>31458</v>
      </c>
      <c r="E24039" s="6" t="str">
        <f>HYPERLINK("https://inpn.mnhn.fr/espece/cd_nom/89653","Centaurea nigra L., 1753")</f>
        <v>Centaurea nigra L., 1753</v>
      </c>
      <c r="F24039" s="5" t="s">
        <v>31459</v>
      </c>
      <c r="Q24039" s="7" t="str">
        <f>HYPERLINK("#Liste_rouge!A"&amp;_xlfn.XMATCH("DD",Liste_rouge!A:A,2,1),"DD")</f>
        <v>DD</v>
      </c>
      <c r="T24039" s="7" t="str">
        <f>HYPERLINK("#Liste_rouge!A"&amp;_xlfn.XMATCH("DD",Liste_rouge!A:A,2,1),"DD")</f>
        <v>DD</v>
      </c>
      <c r="V24039" s="7" t="str">
        <f>HYPERLINK("#Liste_rouge!A"&amp;_xlfn.XMATCH("LC",Liste_rouge!A:A,2,1),"LC")</f>
        <v>LC</v>
      </c>
      <c r="AB24039" s="4" t="s">
        <v>24634</v>
      </c>
      <c r="AH24039" s="4" t="str">
        <f>HYPERLINK("#Statut_biogéographique!A"&amp;_xlfn.XMATCH("P",Statut_biogéographique!A:A,2,1),"P")</f>
        <v>P</v>
      </c>
      <c r="AM24039" s="4" t="s">
        <v>375</v>
      </c>
      <c r="AN24039" s="4" t="s">
        <v>375</v>
      </c>
      <c r="AO24039" s="4" t="s">
        <v>375</v>
      </c>
      <c r="AP24039" s="4" t="s">
        <v>376</v>
      </c>
      <c r="AR24039" s="4" t="s">
        <v>377</v>
      </c>
    </row>
    <row r="24040" spans="1:44" ht="30">
      <c r="A24040" s="4" t="s">
        <v>24364</v>
      </c>
      <c r="B24040" s="4">
        <v>89655</v>
      </c>
      <c r="D24040" s="5" t="s">
        <v>31460</v>
      </c>
      <c r="E24040" s="6" t="str">
        <f>HYPERLINK("https://inpn.mnhn.fr/espece/cd_nom/89655","Centaurea nigrescens Willd., 1803")</f>
        <v>Centaurea nigrescens Willd., 1803</v>
      </c>
      <c r="F24040" s="5" t="s">
        <v>31461</v>
      </c>
      <c r="Q24040" s="7" t="str">
        <f>HYPERLINK("#Liste_rouge!A"&amp;_xlfn.XMATCH("LC",Liste_rouge!A:A,2,1),"LC")</f>
        <v>LC</v>
      </c>
      <c r="T24040" s="7" t="str">
        <f>HYPERLINK("#Liste_rouge!A"&amp;_xlfn.XMATCH("DD",Liste_rouge!A:A,2,1),"DD")</f>
        <v>DD</v>
      </c>
      <c r="AH24040" s="4" t="str">
        <f>HYPERLINK("#Statut_biogéographique!A"&amp;_xlfn.XMATCH("P",Statut_biogéographique!A:A,2,1),"P")</f>
        <v>P</v>
      </c>
      <c r="AM24040" s="4" t="s">
        <v>375</v>
      </c>
      <c r="AN24040" s="4" t="s">
        <v>375</v>
      </c>
      <c r="AO24040" s="4" t="s">
        <v>375</v>
      </c>
      <c r="AP24040" s="4" t="s">
        <v>376</v>
      </c>
      <c r="AR24040" s="4" t="s">
        <v>377</v>
      </c>
    </row>
    <row r="24041" spans="1:44" ht="30">
      <c r="A24041" s="4" t="s">
        <v>24364</v>
      </c>
      <c r="B24041" s="4">
        <v>89659</v>
      </c>
      <c r="D24041" s="5" t="s">
        <v>31462</v>
      </c>
      <c r="E24041" s="6" t="str">
        <f>HYPERLINK("https://inpn.mnhn.fr/espece/cd_nom/89659","Centaurea paniculata L., 1753")</f>
        <v>Centaurea paniculata L., 1753</v>
      </c>
      <c r="F24041" s="5" t="s">
        <v>28413</v>
      </c>
      <c r="Q24041" s="7" t="str">
        <f>HYPERLINK("#Liste_rouge!A"&amp;_xlfn.XMATCH("LC",Liste_rouge!A:A,2,1),"LC")</f>
        <v>LC</v>
      </c>
      <c r="T24041" s="7" t="str">
        <f>HYPERLINK("#Liste_rouge!A"&amp;_xlfn.XMATCH("NA",Liste_rouge!A:A,2,1),"NA")</f>
        <v>NA</v>
      </c>
      <c r="AH24041" s="4" t="str">
        <f>HYPERLINK("#Statut_biogéographique!A"&amp;_xlfn.XMATCH("P",Statut_biogéographique!A:A,2,1),"P")</f>
        <v>P</v>
      </c>
      <c r="AM24041" s="4" t="s">
        <v>375</v>
      </c>
      <c r="AN24041" s="4" t="s">
        <v>375</v>
      </c>
      <c r="AO24041" s="4" t="s">
        <v>375</v>
      </c>
      <c r="AP24041" s="4" t="s">
        <v>376</v>
      </c>
      <c r="AR24041" s="4" t="s">
        <v>377</v>
      </c>
    </row>
    <row r="24042" spans="1:44" ht="30">
      <c r="A24042" s="4" t="s">
        <v>24364</v>
      </c>
      <c r="B24042" s="4">
        <v>89697</v>
      </c>
      <c r="D24042" s="5" t="s">
        <v>31463</v>
      </c>
      <c r="E24042" s="6" t="str">
        <f>HYPERLINK("https://inpn.mnhn.fr/espece/cd_nom/89697","Centaurea scabiosa L., 1753")</f>
        <v>Centaurea scabiosa L., 1753</v>
      </c>
      <c r="F24042" s="5" t="s">
        <v>28419</v>
      </c>
      <c r="Q24042" s="7" t="str">
        <f>HYPERLINK("#Liste_rouge!A"&amp;_xlfn.XMATCH("LC",Liste_rouge!A:A,2,1),"LC")</f>
        <v>LC</v>
      </c>
      <c r="T24042" s="7" t="str">
        <f>HYPERLINK("#Liste_rouge!A"&amp;_xlfn.XMATCH("LC",Liste_rouge!A:A,2,1),"LC")</f>
        <v>LC</v>
      </c>
      <c r="V24042" s="7" t="str">
        <f>HYPERLINK("#Liste_rouge!A"&amp;_xlfn.XMATCH("LC",Liste_rouge!A:A,2,1),"LC")</f>
        <v>LC</v>
      </c>
      <c r="AH24042" s="4" t="str">
        <f>HYPERLINK("#Statut_biogéographique!A"&amp;_xlfn.XMATCH("P",Statut_biogéographique!A:A,2,1),"P")</f>
        <v>P</v>
      </c>
      <c r="AM24042" s="4" t="s">
        <v>375</v>
      </c>
      <c r="AN24042" s="4" t="s">
        <v>375</v>
      </c>
      <c r="AO24042" s="4" t="s">
        <v>375</v>
      </c>
      <c r="AP24042" s="4" t="s">
        <v>376</v>
      </c>
      <c r="AR24042" s="4" t="s">
        <v>377</v>
      </c>
    </row>
    <row r="24043" spans="1:44" ht="60">
      <c r="A24043" s="4" t="s">
        <v>24364</v>
      </c>
      <c r="B24043" s="4">
        <v>89710</v>
      </c>
      <c r="D24043" s="5" t="s">
        <v>31464</v>
      </c>
      <c r="E24043" s="6" t="str">
        <f>HYPERLINK("https://inpn.mnhn.fr/espece/cd_nom/89710","Centaurea solstitialis L., 1753")</f>
        <v>Centaurea solstitialis L., 1753</v>
      </c>
      <c r="F24043" s="5" t="s">
        <v>31465</v>
      </c>
      <c r="Q24043" s="7" t="str">
        <f>HYPERLINK("#Liste_rouge!A"&amp;_xlfn.XMATCH("LC",Liste_rouge!A:A,2,1),"LC")</f>
        <v>LC</v>
      </c>
      <c r="T24043" s="7" t="str">
        <f>HYPERLINK("#Liste_rouge!A"&amp;_xlfn.XMATCH("RE",Liste_rouge!A:A,2,1),"RE")</f>
        <v>RE</v>
      </c>
      <c r="V24043" s="7" t="str">
        <f>HYPERLINK("#Liste_rouge!A"&amp;_xlfn.XMATCH("RE",Liste_rouge!A:A,2,1),"RE")</f>
        <v>RE</v>
      </c>
      <c r="AH24043" s="4" t="str">
        <f>HYPERLINK("#Statut_biogéographique!A"&amp;_xlfn.XMATCH("P",Statut_biogéographique!A:A,2,1),"P")</f>
        <v>P</v>
      </c>
      <c r="AM24043" s="4" t="s">
        <v>375</v>
      </c>
      <c r="AN24043" s="4" t="s">
        <v>375</v>
      </c>
      <c r="AO24043" s="4" t="s">
        <v>375</v>
      </c>
      <c r="AP24043" s="4" t="s">
        <v>376</v>
      </c>
      <c r="AR24043" s="4" t="s">
        <v>377</v>
      </c>
    </row>
    <row r="24044" spans="1:44" ht="75">
      <c r="A24044" s="4" t="s">
        <v>24364</v>
      </c>
      <c r="B24044" s="4">
        <v>89716</v>
      </c>
      <c r="D24044" s="5" t="s">
        <v>31466</v>
      </c>
      <c r="E24044" s="6" t="str">
        <f>HYPERLINK("https://inpn.mnhn.fr/espece/cd_nom/89716","Centaurea stoebe L., 1753")</f>
        <v>Centaurea stoebe L., 1753</v>
      </c>
      <c r="F24044" s="5" t="s">
        <v>31467</v>
      </c>
      <c r="Q24044" s="7" t="str">
        <f>HYPERLINK("#Liste_rouge!A"&amp;_xlfn.XMATCH("LC",Liste_rouge!A:A,2,1),"LC")</f>
        <v>LC</v>
      </c>
      <c r="T24044" s="7" t="str">
        <f>HYPERLINK("#Liste_rouge!A"&amp;_xlfn.XMATCH("DD",Liste_rouge!A:A,2,1),"DD (cd_nom 132932) - CR (cd_nom 89637)")</f>
        <v>DD (cd_nom 132932) - CR (cd_nom 89637)</v>
      </c>
      <c r="AE24044" s="4" t="str">
        <f>HYPERLINK("#SCAP!A"&amp;_xlfn.XMATCH("1+",SCAP!A:A,2,1),"1+")</f>
        <v>1+</v>
      </c>
      <c r="AH24044" s="4" t="str">
        <f>HYPERLINK("#Statut_biogéographique!A"&amp;_xlfn.XMATCH("P",Statut_biogéographique!A:A,2,1),"P")</f>
        <v>P</v>
      </c>
      <c r="AP24044" s="4" t="s">
        <v>376</v>
      </c>
      <c r="AR24044" s="4" t="s">
        <v>377</v>
      </c>
    </row>
    <row r="24045" spans="1:44" ht="30">
      <c r="A24045" s="4" t="s">
        <v>24364</v>
      </c>
      <c r="B24045" s="4">
        <v>89809</v>
      </c>
      <c r="D24045" s="5" t="s">
        <v>31468</v>
      </c>
      <c r="E24045" s="6" t="str">
        <f>HYPERLINK("https://inpn.mnhn.fr/espece/cd_nom/89809","Centaurea x pouzinii DC., 1813")</f>
        <v>Centaurea x pouzinii DC., 1813</v>
      </c>
      <c r="F24045" s="5" t="s">
        <v>31469</v>
      </c>
      <c r="T24045" s="7" t="str">
        <f>HYPERLINK("#Liste_rouge!A"&amp;_xlfn.XMATCH("NE",Liste_rouge!A:A,2,1),"NE")</f>
        <v>NE</v>
      </c>
      <c r="AH24045" s="4" t="str">
        <f>HYPERLINK("#Statut_biogéographique!A"&amp;_xlfn.XMATCH("P",Statut_biogéographique!A:A,2,1),"P")</f>
        <v>P</v>
      </c>
      <c r="AP24045" s="4" t="s">
        <v>376</v>
      </c>
      <c r="AR24045" s="4" t="s">
        <v>377</v>
      </c>
    </row>
    <row r="24046" spans="1:44" ht="45">
      <c r="A24046" s="4" t="s">
        <v>24364</v>
      </c>
      <c r="B24046" s="4">
        <v>89840</v>
      </c>
      <c r="D24046" s="5" t="s">
        <v>31470</v>
      </c>
      <c r="E24046" s="6" t="str">
        <f>HYPERLINK("https://inpn.mnhn.fr/espece/cd_nom/89840","Centaurium erythraea Rafn, 1800")</f>
        <v>Centaurium erythraea Rafn, 1800</v>
      </c>
      <c r="F24046" s="5" t="s">
        <v>28421</v>
      </c>
      <c r="O24046" s="7" t="str">
        <f>HYPERLINK("#Liste_rouge!A"&amp;_xlfn.XMATCH("LC",Liste_rouge!A:A,2,1),"LC")</f>
        <v>LC</v>
      </c>
      <c r="P24046" s="7" t="str">
        <f>HYPERLINK("#Liste_rouge!A"&amp;_xlfn.XMATCH("LC",Liste_rouge!A:A,2,1),"LC")</f>
        <v>LC</v>
      </c>
      <c r="Q24046" s="7" t="str">
        <f>HYPERLINK("#Liste_rouge!A"&amp;_xlfn.XMATCH("LC",Liste_rouge!A:A,2,1),"LC")</f>
        <v>LC</v>
      </c>
      <c r="T24046" s="7" t="str">
        <f>HYPERLINK("#Liste_rouge!A"&amp;_xlfn.XMATCH("LC",Liste_rouge!A:A,2,1),"LC")</f>
        <v>LC</v>
      </c>
      <c r="V24046" s="7" t="str">
        <f>HYPERLINK("#Liste_rouge!A"&amp;_xlfn.XMATCH("LC",Liste_rouge!A:A,2,1),"LC")</f>
        <v>LC</v>
      </c>
      <c r="AH24046" s="4" t="str">
        <f>HYPERLINK("#Statut_biogéographique!A"&amp;_xlfn.XMATCH("P",Statut_biogéographique!A:A,2,1),"P")</f>
        <v>P</v>
      </c>
      <c r="AM24046" s="4" t="s">
        <v>375</v>
      </c>
      <c r="AN24046" s="4" t="s">
        <v>375</v>
      </c>
      <c r="AO24046" s="4" t="s">
        <v>375</v>
      </c>
      <c r="AP24046" s="4" t="s">
        <v>376</v>
      </c>
      <c r="AR24046" s="4" t="s">
        <v>377</v>
      </c>
    </row>
    <row r="24047" spans="1:44">
      <c r="A24047" s="4" t="s">
        <v>24364</v>
      </c>
      <c r="B24047" s="4">
        <v>89880</v>
      </c>
      <c r="D24047" s="5" t="s">
        <v>31471</v>
      </c>
      <c r="E24047" s="6" t="str">
        <f>HYPERLINK("https://inpn.mnhn.fr/espece/cd_nom/89880","Centranthus angustifolius (Mill.) DC., 1805")</f>
        <v>Centranthus angustifolius (Mill.) DC., 1805</v>
      </c>
      <c r="F24047" s="5" t="s">
        <v>31472</v>
      </c>
      <c r="Q24047" s="7" t="str">
        <f>HYPERLINK("#Liste_rouge!A"&amp;_xlfn.XMATCH("LC",Liste_rouge!A:A,2,1),"LC")</f>
        <v>LC</v>
      </c>
      <c r="T24047" s="7" t="str">
        <f>HYPERLINK("#Liste_rouge!A"&amp;_xlfn.XMATCH("LC",Liste_rouge!A:A,2,1),"LC")</f>
        <v>LC</v>
      </c>
      <c r="V24047" s="7" t="str">
        <f>HYPERLINK("#Liste_rouge!A"&amp;_xlfn.XMATCH("LC",Liste_rouge!A:A,2,1),"LC")</f>
        <v>LC</v>
      </c>
      <c r="AB24047" s="4" t="s">
        <v>31473</v>
      </c>
      <c r="AH24047" s="4" t="str">
        <f>HYPERLINK("#Statut_biogéographique!A"&amp;_xlfn.XMATCH("P",Statut_biogéographique!A:A,2,1),"P")</f>
        <v>P</v>
      </c>
      <c r="AM24047" s="4" t="s">
        <v>375</v>
      </c>
      <c r="AN24047" s="4" t="s">
        <v>375</v>
      </c>
      <c r="AO24047" s="4" t="s">
        <v>375</v>
      </c>
      <c r="AP24047" s="4" t="s">
        <v>376</v>
      </c>
      <c r="AR24047" s="4" t="s">
        <v>377</v>
      </c>
    </row>
    <row r="24048" spans="1:44" ht="45">
      <c r="A24048" s="4" t="s">
        <v>24364</v>
      </c>
      <c r="B24048" s="4">
        <v>89881</v>
      </c>
      <c r="D24048" s="5" t="s">
        <v>31474</v>
      </c>
      <c r="E24048" s="6" t="str">
        <f>HYPERLINK("https://inpn.mnhn.fr/espece/cd_nom/89881","Centranthus calcitrapae (L.) Dufr., 1811")</f>
        <v>Centranthus calcitrapae (L.) Dufr., 1811</v>
      </c>
      <c r="F24048" s="5" t="s">
        <v>31475</v>
      </c>
      <c r="Q24048" s="7" t="str">
        <f>HYPERLINK("#Liste_rouge!A"&amp;_xlfn.XMATCH("LC",Liste_rouge!A:A,2,1),"LC")</f>
        <v>LC</v>
      </c>
      <c r="AH24048" s="4" t="str">
        <f>HYPERLINK("#Statut_biogéographique!A"&amp;_xlfn.XMATCH("P",Statut_biogéographique!A:A,2,1),"P")</f>
        <v>P</v>
      </c>
      <c r="AP24048" s="4" t="s">
        <v>376</v>
      </c>
      <c r="AR24048" s="4" t="s">
        <v>377</v>
      </c>
    </row>
    <row r="24049" spans="1:44">
      <c r="A24049" s="4" t="s">
        <v>24364</v>
      </c>
      <c r="B24049" s="4">
        <v>89884</v>
      </c>
      <c r="D24049" s="5" t="s">
        <v>31476</v>
      </c>
      <c r="E24049" s="6" t="str">
        <f>HYPERLINK("https://inpn.mnhn.fr/espece/cd_nom/89884","Centranthus lecoqii Jord., 1852")</f>
        <v>Centranthus lecoqii Jord., 1852</v>
      </c>
      <c r="F24049" s="5" t="s">
        <v>28422</v>
      </c>
      <c r="Q24049" s="7" t="str">
        <f>HYPERLINK("#Liste_rouge!A"&amp;_xlfn.XMATCH("LC",Liste_rouge!A:A,2,1),"LC")</f>
        <v>LC</v>
      </c>
      <c r="T24049" s="7" t="str">
        <f>HYPERLINK("#Liste_rouge!A"&amp;_xlfn.XMATCH("RE",Liste_rouge!A:A,2,1),"RE")</f>
        <v>RE</v>
      </c>
      <c r="AH24049" s="4" t="str">
        <f>HYPERLINK("#Statut_biogéographique!A"&amp;_xlfn.XMATCH("P",Statut_biogéographique!A:A,2,1),"P")</f>
        <v>P</v>
      </c>
      <c r="AM24049" s="4" t="s">
        <v>375</v>
      </c>
      <c r="AN24049" s="4" t="s">
        <v>375</v>
      </c>
      <c r="AO24049" s="4" t="s">
        <v>375</v>
      </c>
      <c r="AP24049" s="4" t="s">
        <v>376</v>
      </c>
      <c r="AR24049" s="4" t="s">
        <v>377</v>
      </c>
    </row>
    <row r="24050" spans="1:44" ht="30">
      <c r="A24050" s="4" t="s">
        <v>24364</v>
      </c>
      <c r="B24050" s="4">
        <v>89888</v>
      </c>
      <c r="D24050" s="5" t="s">
        <v>31477</v>
      </c>
      <c r="E24050" s="6" t="str">
        <f>HYPERLINK("https://inpn.mnhn.fr/espece/cd_nom/89888","Centranthus ruber (L.) DC., 1805")</f>
        <v>Centranthus ruber (L.) DC., 1805</v>
      </c>
      <c r="F24050" s="5" t="s">
        <v>28423</v>
      </c>
      <c r="Q24050" s="7" t="str">
        <f>HYPERLINK("#Liste_rouge!A"&amp;_xlfn.XMATCH("LC",Liste_rouge!A:A,2,1),"LC")</f>
        <v>LC</v>
      </c>
      <c r="T24050" s="7" t="str">
        <f>HYPERLINK("#Liste_rouge!A"&amp;_xlfn.XMATCH("NA",Liste_rouge!A:A,2,1),"NA")</f>
        <v>NA</v>
      </c>
      <c r="AH24050" s="4" t="str">
        <f>HYPERLINK("#Statut_biogéographique!A"&amp;_xlfn.XMATCH("P",Statut_biogéographique!A:A,2,1),"P")</f>
        <v>P</v>
      </c>
      <c r="AM24050" s="4" t="s">
        <v>375</v>
      </c>
      <c r="AN24050" s="4" t="s">
        <v>375</v>
      </c>
      <c r="AO24050" s="4" t="s">
        <v>375</v>
      </c>
      <c r="AP24050" s="4" t="s">
        <v>376</v>
      </c>
      <c r="AR24050" s="4" t="s">
        <v>377</v>
      </c>
    </row>
    <row r="24051" spans="1:44">
      <c r="A24051" s="4" t="s">
        <v>24364</v>
      </c>
      <c r="B24051" s="4">
        <v>89889</v>
      </c>
      <c r="D24051" s="5" t="s">
        <v>31478</v>
      </c>
      <c r="E24051" s="6" t="str">
        <f>HYPERLINK("https://inpn.mnhn.fr/espece/cd_nom/89889","Centranthus trinervis (Viv.) Bég., 1903")</f>
        <v>Centranthus trinervis (Viv.) Bég., 1903</v>
      </c>
      <c r="F24051" s="5" t="s">
        <v>31479</v>
      </c>
      <c r="I24051" s="4" t="str">
        <f>HYPERLINK("#Réglementation!A"&amp;_xlfn.XMATCH("IBE1",Réglementation!A:A,2,1),"IBE1")</f>
        <v>IBE1</v>
      </c>
      <c r="K24051" s="4" t="str">
        <f>HYPERLINK("#Réglementation!A"&amp;_xlfn.XMATCH("CDH2",Réglementation!A:A,2,1),"CDH2 - CDH4")</f>
        <v>CDH2 - CDH4</v>
      </c>
      <c r="L24051" s="4" t="str">
        <f>HYPERLINK("#Réglementation!A"&amp;_xlfn.XMATCH("NV1",Réglementation!A:A,2,1),"NV1")</f>
        <v>NV1</v>
      </c>
      <c r="O24051" s="7" t="str">
        <f>HYPERLINK("#Liste_rouge!A"&amp;_xlfn.XMATCH("EN",Liste_rouge!A:A,2,1),"EN")</f>
        <v>EN</v>
      </c>
      <c r="P24051" s="7" t="str">
        <f>HYPERLINK("#Liste_rouge!A"&amp;_xlfn.XMATCH("EN",Liste_rouge!A:A,2,1),"EN")</f>
        <v>EN</v>
      </c>
      <c r="Q24051" s="7" t="str">
        <f>HYPERLINK("#Liste_rouge!A"&amp;_xlfn.XMATCH("EN",Liste_rouge!A:A,2,1),"EN")</f>
        <v>EN</v>
      </c>
      <c r="T24051" s="7" t="str">
        <f>HYPERLINK("#Liste_rouge!A"&amp;_xlfn.XMATCH("NA",Liste_rouge!A:A,2,1),"NA")</f>
        <v>NA</v>
      </c>
      <c r="AE24051" s="4" t="str">
        <f>HYPERLINK("#SCAP!A"&amp;_xlfn.XMATCH("2+",SCAP!A:A,2,1),"2+")</f>
        <v>2+</v>
      </c>
      <c r="AH24051" s="4" t="str">
        <f>HYPERLINK("#Statut_biogéographique!A"&amp;_xlfn.XMATCH("E",Statut_biogéographique!A:A,2,1),"E")</f>
        <v>E</v>
      </c>
      <c r="AI24051" s="8" t="s">
        <v>31480</v>
      </c>
      <c r="AJ24051" s="4" t="s">
        <v>12248</v>
      </c>
      <c r="AP24051" s="4" t="s">
        <v>389</v>
      </c>
      <c r="AR24051" s="4" t="s">
        <v>377</v>
      </c>
    </row>
    <row r="24052" spans="1:44" ht="60">
      <c r="A24052" s="4" t="s">
        <v>24364</v>
      </c>
      <c r="B24052" s="4">
        <v>89920</v>
      </c>
      <c r="D24052" s="5" t="s">
        <v>31481</v>
      </c>
      <c r="E24052" s="6" t="str">
        <f>HYPERLINK("https://inpn.mnhn.fr/espece/cd_nom/89920","Cephalanthera damasonium (Mill.) Druce, 1906")</f>
        <v>Cephalanthera damasonium (Mill.) Druce, 1906</v>
      </c>
      <c r="F24052" s="5" t="s">
        <v>31482</v>
      </c>
      <c r="G24052" s="4" t="str">
        <f>HYPERLINK("[#Réglementation!A"&amp;_xlfn.XMATCH("CCB",Réglementation!A:A,2,1),"CCB")</f>
        <v>CCB</v>
      </c>
      <c r="P24052" s="7" t="str">
        <f>HYPERLINK("#Liste_rouge!A"&amp;_xlfn.XMATCH("LC",Liste_rouge!A:A,2,1),"LC")</f>
        <v>LC</v>
      </c>
      <c r="Q24052" s="7" t="str">
        <f>HYPERLINK("#Liste_rouge!A"&amp;_xlfn.XMATCH("LC",Liste_rouge!A:A,2,1),"LC")</f>
        <v>LC</v>
      </c>
      <c r="T24052" s="7" t="str">
        <f>HYPERLINK("#Liste_rouge!A"&amp;_xlfn.XMATCH("LC",Liste_rouge!A:A,2,1),"LC")</f>
        <v>LC</v>
      </c>
      <c r="V24052" s="7" t="str">
        <f>HYPERLINK("#Liste_rouge!A"&amp;_xlfn.XMATCH("LC",Liste_rouge!A:A,2,1),"LC")</f>
        <v>LC</v>
      </c>
      <c r="AH24052" s="4" t="str">
        <f>HYPERLINK("#Statut_biogéographique!A"&amp;_xlfn.XMATCH("P",Statut_biogéographique!A:A,2,1),"P")</f>
        <v>P</v>
      </c>
      <c r="AM24052" s="4" t="s">
        <v>375</v>
      </c>
      <c r="AN24052" s="4" t="s">
        <v>375</v>
      </c>
      <c r="AO24052" s="4" t="s">
        <v>375</v>
      </c>
      <c r="AP24052" s="4" t="s">
        <v>376</v>
      </c>
      <c r="AR24052" s="4" t="s">
        <v>377</v>
      </c>
    </row>
    <row r="24053" spans="1:44" ht="45">
      <c r="A24053" s="4" t="s">
        <v>24364</v>
      </c>
      <c r="B24053" s="4">
        <v>89926</v>
      </c>
      <c r="D24053" s="5" t="s">
        <v>31483</v>
      </c>
      <c r="E24053" s="6" t="str">
        <f>HYPERLINK("https://inpn.mnhn.fr/espece/cd_nom/89926","Cephalanthera longifolia (L.) Fritsch, 1888")</f>
        <v>Cephalanthera longifolia (L.) Fritsch, 1888</v>
      </c>
      <c r="F24053" s="5" t="s">
        <v>31484</v>
      </c>
      <c r="G24053" s="4" t="str">
        <f>HYPERLINK("[#Réglementation!A"&amp;_xlfn.XMATCH("CCB",Réglementation!A:A,2,1),"CCB")</f>
        <v>CCB</v>
      </c>
      <c r="P24053" s="7" t="str">
        <f>HYPERLINK("#Liste_rouge!A"&amp;_xlfn.XMATCH("LC",Liste_rouge!A:A,2,1),"LC")</f>
        <v>LC</v>
      </c>
      <c r="Q24053" s="7" t="str">
        <f>HYPERLINK("#Liste_rouge!A"&amp;_xlfn.XMATCH("LC",Liste_rouge!A:A,2,1),"LC")</f>
        <v>LC</v>
      </c>
      <c r="T24053" s="7" t="str">
        <f>HYPERLINK("#Liste_rouge!A"&amp;_xlfn.XMATCH("VU",Liste_rouge!A:A,2,1),"VU")</f>
        <v>VU</v>
      </c>
      <c r="U24053" s="4" t="str">
        <f>HYPERLINK("#Critères_liste_rouge!A$1","C2a(i)")</f>
        <v>C2a(i)</v>
      </c>
      <c r="V24053" s="7" t="str">
        <f>HYPERLINK("#Liste_rouge!A"&amp;_xlfn.XMATCH("LC",Liste_rouge!A:A,2,1),"LC")</f>
        <v>LC</v>
      </c>
      <c r="AB24053" s="4" t="s">
        <v>31485</v>
      </c>
      <c r="AH24053" s="4" t="str">
        <f>HYPERLINK("#Statut_biogéographique!A"&amp;_xlfn.XMATCH("P",Statut_biogéographique!A:A,2,1),"P")</f>
        <v>P</v>
      </c>
      <c r="AM24053" s="4" t="s">
        <v>375</v>
      </c>
      <c r="AN24053" s="4" t="s">
        <v>375</v>
      </c>
      <c r="AO24053" s="4" t="s">
        <v>375</v>
      </c>
      <c r="AP24053" s="4" t="s">
        <v>376</v>
      </c>
      <c r="AR24053" s="4" t="s">
        <v>377</v>
      </c>
    </row>
    <row r="24054" spans="1:44" ht="30">
      <c r="A24054" s="4" t="s">
        <v>24364</v>
      </c>
      <c r="B24054" s="4">
        <v>89928</v>
      </c>
      <c r="D24054" s="5" t="s">
        <v>31486</v>
      </c>
      <c r="E24054" s="6" t="str">
        <f>HYPERLINK("https://inpn.mnhn.fr/espece/cd_nom/89928","Cephalanthera rubra (L.) Rich., 1817")</f>
        <v>Cephalanthera rubra (L.) Rich., 1817</v>
      </c>
      <c r="F24054" s="5" t="s">
        <v>31487</v>
      </c>
      <c r="G24054" s="4" t="str">
        <f>HYPERLINK("[#Réglementation!A"&amp;_xlfn.XMATCH("CCB",Réglementation!A:A,2,1),"CCB")</f>
        <v>CCB</v>
      </c>
      <c r="P24054" s="7" t="str">
        <f>HYPERLINK("#Liste_rouge!A"&amp;_xlfn.XMATCH("LC",Liste_rouge!A:A,2,1),"LC")</f>
        <v>LC</v>
      </c>
      <c r="Q24054" s="7" t="str">
        <f>HYPERLINK("#Liste_rouge!A"&amp;_xlfn.XMATCH("LC",Liste_rouge!A:A,2,1),"LC")</f>
        <v>LC</v>
      </c>
      <c r="T24054" s="7" t="str">
        <f>HYPERLINK("#Liste_rouge!A"&amp;_xlfn.XMATCH("LC",Liste_rouge!A:A,2,1),"LC")</f>
        <v>LC</v>
      </c>
      <c r="V24054" s="7" t="str">
        <f>HYPERLINK("#Liste_rouge!A"&amp;_xlfn.XMATCH("LC",Liste_rouge!A:A,2,1),"LC")</f>
        <v>LC</v>
      </c>
      <c r="AB24054" s="4" t="s">
        <v>26538</v>
      </c>
      <c r="AH24054" s="4" t="str">
        <f>HYPERLINK("#Statut_biogéographique!A"&amp;_xlfn.XMATCH("P",Statut_biogéographique!A:A,2,1),"P")</f>
        <v>P</v>
      </c>
      <c r="AL24054" s="5" t="str">
        <f>HYPERLINK("#Réglementation!A"&amp;_xlfn.XMATCH("UEintro",Réglementation!A:A,2,1),"UEintro")</f>
        <v>UEintro</v>
      </c>
      <c r="AM24054" s="4" t="s">
        <v>375</v>
      </c>
      <c r="AN24054" s="4" t="s">
        <v>375</v>
      </c>
      <c r="AO24054" s="4" t="s">
        <v>375</v>
      </c>
      <c r="AP24054" s="4" t="s">
        <v>376</v>
      </c>
      <c r="AR24054" s="4" t="s">
        <v>377</v>
      </c>
    </row>
    <row r="24055" spans="1:44" ht="30">
      <c r="A24055" s="4" t="s">
        <v>24364</v>
      </c>
      <c r="B24055" s="4">
        <v>89932</v>
      </c>
      <c r="D24055" s="5" t="s">
        <v>31488</v>
      </c>
      <c r="E24055" s="6" t="str">
        <f>HYPERLINK("https://inpn.mnhn.fr/espece/cd_nom/89932","Cephalanthera x schulzei E.G.Camus, Bergon &amp; A.Camus, 1908")</f>
        <v>Cephalanthera x schulzei E.G.Camus, Bergon &amp; A.Camus, 1908</v>
      </c>
      <c r="F24055" s="5" t="s">
        <v>31489</v>
      </c>
      <c r="G24055" s="4" t="str">
        <f>HYPERLINK("[#Réglementation!A"&amp;_xlfn.XMATCH("CCB",Réglementation!A:A,2,1),"CCB")</f>
        <v>CCB</v>
      </c>
      <c r="T24055" s="7" t="str">
        <f>HYPERLINK("#Liste_rouge!A"&amp;_xlfn.XMATCH("DD",Liste_rouge!A:A,2,1),"DD")</f>
        <v>DD</v>
      </c>
      <c r="AH24055" s="4" t="str">
        <f>HYPERLINK("#Statut_biogéographique!A"&amp;_xlfn.XMATCH("P",Statut_biogéographique!A:A,2,1),"P")</f>
        <v>P</v>
      </c>
      <c r="AP24055" s="4" t="s">
        <v>376</v>
      </c>
      <c r="AR24055" s="4" t="s">
        <v>377</v>
      </c>
    </row>
    <row r="24056" spans="1:44" ht="45">
      <c r="A24056" s="4" t="s">
        <v>24364</v>
      </c>
      <c r="B24056" s="4">
        <v>89944</v>
      </c>
      <c r="D24056" s="5" t="s">
        <v>31490</v>
      </c>
      <c r="E24056" s="6" t="str">
        <f>HYPERLINK("https://inpn.mnhn.fr/espece/cd_nom/89944","Cephalaria syriaca (L.) Schrad. ex Roem. &amp; Schult., 1818")</f>
        <v>Cephalaria syriaca (L.) Schrad. ex Roem. &amp; Schult., 1818</v>
      </c>
      <c r="F24056" s="5" t="s">
        <v>31491</v>
      </c>
      <c r="L24056" s="4" t="str">
        <f>HYPERLINK("#Réglementation!A"&amp;_xlfn.XMATCH("NV1",Réglementation!A:A,2,1),"NV1")</f>
        <v>NV1</v>
      </c>
      <c r="Q24056" s="7" t="str">
        <f>HYPERLINK("#Liste_rouge!A"&amp;_xlfn.XMATCH("NA",Liste_rouge!A:A,2,1),"NA")</f>
        <v>NA</v>
      </c>
      <c r="T24056" s="7" t="str">
        <f>HYPERLINK("#Liste_rouge!A"&amp;_xlfn.XMATCH("NA",Liste_rouge!A:A,2,1),"NA")</f>
        <v>NA</v>
      </c>
      <c r="AH24056" s="4" t="str">
        <f>HYPERLINK("#Statut_biogéographique!A"&amp;_xlfn.XMATCH("Y",Statut_biogéographique!A:A,2,1),"Y")</f>
        <v>Y</v>
      </c>
      <c r="AI24056" s="8" t="s">
        <v>31492</v>
      </c>
      <c r="AJ24056" s="4" t="s">
        <v>12248</v>
      </c>
      <c r="AP24056" s="4" t="s">
        <v>376</v>
      </c>
      <c r="AR24056" s="4" t="s">
        <v>377</v>
      </c>
    </row>
    <row r="24057" spans="1:44" ht="30">
      <c r="A24057" s="4" t="s">
        <v>24364</v>
      </c>
      <c r="B24057" s="4">
        <v>89945</v>
      </c>
      <c r="D24057" s="5" t="s">
        <v>31493</v>
      </c>
      <c r="E24057" s="6" t="str">
        <f>HYPERLINK("https://inpn.mnhn.fr/espece/cd_nom/89945","Cephalaria transylvanica (L.) Schrad. ex Roem. &amp; Schult., 1818")</f>
        <v>Cephalaria transylvanica (L.) Schrad. ex Roem. &amp; Schult., 1818</v>
      </c>
      <c r="F24057" s="5" t="s">
        <v>31494</v>
      </c>
      <c r="Q24057" s="7" t="str">
        <f>HYPERLINK("#Liste_rouge!A"&amp;_xlfn.XMATCH("LC",Liste_rouge!A:A,2,1),"LC")</f>
        <v>LC</v>
      </c>
      <c r="T24057" s="7" t="str">
        <f>HYPERLINK("#Liste_rouge!A"&amp;_xlfn.XMATCH("NA",Liste_rouge!A:A,2,1),"NA")</f>
        <v>NA</v>
      </c>
      <c r="AH24057" s="4" t="str">
        <f>HYPERLINK("#Statut_biogéographique!A"&amp;_xlfn.XMATCH("P",Statut_biogéographique!A:A,2,1),"P")</f>
        <v>P</v>
      </c>
      <c r="AP24057" s="4" t="s">
        <v>376</v>
      </c>
      <c r="AR24057" s="4" t="s">
        <v>377</v>
      </c>
    </row>
    <row r="24058" spans="1:44" ht="75">
      <c r="A24058" s="4" t="s">
        <v>24364</v>
      </c>
      <c r="B24058" s="4">
        <v>89968</v>
      </c>
      <c r="D24058" s="5" t="s">
        <v>31495</v>
      </c>
      <c r="E24058" s="6" t="str">
        <f>HYPERLINK("https://inpn.mnhn.fr/espece/cd_nom/89968","Cerastium arvense L., 1753")</f>
        <v>Cerastium arvense L., 1753</v>
      </c>
      <c r="F24058" s="5" t="s">
        <v>28424</v>
      </c>
      <c r="Q24058" s="7" t="str">
        <f>HYPERLINK("#Liste_rouge!A"&amp;_xlfn.XMATCH("LC",Liste_rouge!A:A,2,1),"LC")</f>
        <v>LC</v>
      </c>
      <c r="T24058" s="7" t="str">
        <f>HYPERLINK("#Liste_rouge!A"&amp;_xlfn.XMATCH("LC",Liste_rouge!A:A,2,1),"LC")</f>
        <v>LC</v>
      </c>
      <c r="V24058" s="7" t="str">
        <f>HYPERLINK("#Liste_rouge!A"&amp;_xlfn.XMATCH("LC",Liste_rouge!A:A,2,1),"LC")</f>
        <v>LC</v>
      </c>
      <c r="AH24058" s="4" t="str">
        <f>HYPERLINK("#Statut_biogéographique!A"&amp;_xlfn.XMATCH("P",Statut_biogéographique!A:A,2,1),"P")</f>
        <v>P</v>
      </c>
      <c r="AM24058" s="4" t="s">
        <v>375</v>
      </c>
      <c r="AN24058" s="4" t="s">
        <v>375</v>
      </c>
      <c r="AO24058" s="4" t="s">
        <v>375</v>
      </c>
      <c r="AP24058" s="4" t="s">
        <v>376</v>
      </c>
      <c r="AR24058" s="4" t="s">
        <v>377</v>
      </c>
    </row>
    <row r="24059" spans="1:44">
      <c r="A24059" s="4" t="s">
        <v>24364</v>
      </c>
      <c r="B24059" s="4">
        <v>89979</v>
      </c>
      <c r="D24059" s="5" t="s">
        <v>31496</v>
      </c>
      <c r="E24059" s="6" t="str">
        <f>HYPERLINK("https://inpn.mnhn.fr/espece/cd_nom/89979","Cerastium brachypetalum Pers., 1805")</f>
        <v>Cerastium brachypetalum Pers., 1805</v>
      </c>
      <c r="F24059" s="5" t="s">
        <v>28428</v>
      </c>
      <c r="Q24059" s="7" t="str">
        <f>HYPERLINK("#Liste_rouge!A"&amp;_xlfn.XMATCH("LC",Liste_rouge!A:A,2,1),"LC")</f>
        <v>LC</v>
      </c>
      <c r="T24059" s="7" t="str">
        <f>HYPERLINK("#Liste_rouge!A"&amp;_xlfn.XMATCH("LC",Liste_rouge!A:A,2,1),"LC")</f>
        <v>LC</v>
      </c>
      <c r="V24059" s="7" t="str">
        <f>HYPERLINK("#Liste_rouge!A"&amp;_xlfn.XMATCH("LC",Liste_rouge!A:A,2,1),"LC")</f>
        <v>LC</v>
      </c>
      <c r="AH24059" s="4" t="str">
        <f>HYPERLINK("#Statut_biogéographique!A"&amp;_xlfn.XMATCH("P",Statut_biogéographique!A:A,2,1),"P")</f>
        <v>P</v>
      </c>
      <c r="AM24059" s="4" t="s">
        <v>375</v>
      </c>
      <c r="AN24059" s="4" t="s">
        <v>375</v>
      </c>
      <c r="AO24059" s="4" t="s">
        <v>375</v>
      </c>
      <c r="AP24059" s="4" t="s">
        <v>376</v>
      </c>
      <c r="AR24059" s="4" t="s">
        <v>377</v>
      </c>
    </row>
    <row r="24060" spans="1:44" ht="60">
      <c r="A24060" s="4" t="s">
        <v>24364</v>
      </c>
      <c r="B24060" s="4">
        <v>89998</v>
      </c>
      <c r="D24060" s="5" t="s">
        <v>31497</v>
      </c>
      <c r="E24060" s="6" t="str">
        <f>HYPERLINK("https://inpn.mnhn.fr/espece/cd_nom/89998","Cerastium diffusum Pers., 1805")</f>
        <v>Cerastium diffusum Pers., 1805</v>
      </c>
      <c r="F24060" s="5" t="s">
        <v>31498</v>
      </c>
      <c r="Q24060" s="7" t="str">
        <f>HYPERLINK("#Liste_rouge!A"&amp;_xlfn.XMATCH("LC",Liste_rouge!A:A,2,1),"LC")</f>
        <v>LC</v>
      </c>
      <c r="AH24060" s="4" t="str">
        <f>HYPERLINK("#Statut_biogéographique!A"&amp;_xlfn.XMATCH("P",Statut_biogéographique!A:A,2,1),"P")</f>
        <v>P</v>
      </c>
      <c r="AP24060" s="4" t="s">
        <v>376</v>
      </c>
      <c r="AR24060" s="4" t="s">
        <v>377</v>
      </c>
    </row>
    <row r="24061" spans="1:44">
      <c r="A24061" s="4" t="s">
        <v>24364</v>
      </c>
      <c r="B24061" s="4">
        <v>90008</v>
      </c>
      <c r="D24061" s="5" t="s">
        <v>31499</v>
      </c>
      <c r="E24061" s="6" t="str">
        <f>HYPERLINK("https://inpn.mnhn.fr/espece/cd_nom/90008","Cerastium fontanum Baumg., 1816")</f>
        <v>Cerastium fontanum Baumg., 1816</v>
      </c>
      <c r="F24061" s="5" t="s">
        <v>31500</v>
      </c>
      <c r="Q24061" s="7" t="str">
        <f>HYPERLINK("#Liste_rouge!A"&amp;_xlfn.XMATCH("LC",Liste_rouge!A:A,2,1),"LC")</f>
        <v>LC</v>
      </c>
      <c r="T24061" s="7" t="str">
        <f>HYPERLINK("#Liste_rouge!A"&amp;_xlfn.XMATCH("LC",Liste_rouge!A:A,2,1),"LC")</f>
        <v>LC</v>
      </c>
      <c r="V24061" s="7" t="str">
        <f>HYPERLINK("#Liste_rouge!A"&amp;_xlfn.XMATCH("LC",Liste_rouge!A:A,2,1),"LC")</f>
        <v>LC</v>
      </c>
      <c r="AH24061" s="4" t="str">
        <f>HYPERLINK("#Statut_biogéographique!A"&amp;_xlfn.XMATCH("P",Statut_biogéographique!A:A,2,1),"P")</f>
        <v>P</v>
      </c>
      <c r="AM24061" s="4" t="s">
        <v>375</v>
      </c>
      <c r="AN24061" s="4" t="s">
        <v>375</v>
      </c>
      <c r="AO24061" s="4" t="s">
        <v>375</v>
      </c>
      <c r="AP24061" s="4" t="s">
        <v>376</v>
      </c>
      <c r="AR24061" s="4" t="s">
        <v>377</v>
      </c>
    </row>
    <row r="24062" spans="1:44" ht="60">
      <c r="A24062" s="4" t="s">
        <v>24364</v>
      </c>
      <c r="B24062" s="4">
        <v>90017</v>
      </c>
      <c r="D24062" s="5" t="s">
        <v>31501</v>
      </c>
      <c r="E24062" s="6" t="str">
        <f>HYPERLINK("https://inpn.mnhn.fr/espece/cd_nom/90017","Cerastium glomeratum Thuill., 1799")</f>
        <v>Cerastium glomeratum Thuill., 1799</v>
      </c>
      <c r="F24062" s="5" t="s">
        <v>31502</v>
      </c>
      <c r="Q24062" s="7" t="str">
        <f>HYPERLINK("#Liste_rouge!A"&amp;_xlfn.XMATCH("LC",Liste_rouge!A:A,2,1),"LC")</f>
        <v>LC</v>
      </c>
      <c r="T24062" s="7" t="str">
        <f>HYPERLINK("#Liste_rouge!A"&amp;_xlfn.XMATCH("LC",Liste_rouge!A:A,2,1),"LC")</f>
        <v>LC</v>
      </c>
      <c r="V24062" s="7" t="str">
        <f>HYPERLINK("#Liste_rouge!A"&amp;_xlfn.XMATCH("LC",Liste_rouge!A:A,2,1),"LC")</f>
        <v>LC</v>
      </c>
      <c r="AH24062" s="4" t="str">
        <f>HYPERLINK("#Statut_biogéographique!A"&amp;_xlfn.XMATCH("P",Statut_biogéographique!A:A,2,1),"P")</f>
        <v>P</v>
      </c>
      <c r="AM24062" s="4" t="s">
        <v>375</v>
      </c>
      <c r="AN24062" s="4" t="s">
        <v>375</v>
      </c>
      <c r="AO24062" s="4" t="s">
        <v>375</v>
      </c>
      <c r="AP24062" s="4" t="s">
        <v>376</v>
      </c>
      <c r="AR24062" s="4" t="s">
        <v>377</v>
      </c>
    </row>
    <row r="24063" spans="1:44" ht="45">
      <c r="A24063" s="4" t="s">
        <v>24364</v>
      </c>
      <c r="B24063" s="4">
        <v>90019</v>
      </c>
      <c r="D24063" s="5" t="s">
        <v>31503</v>
      </c>
      <c r="E24063" s="6" t="str">
        <f>HYPERLINK("https://inpn.mnhn.fr/espece/cd_nom/90019","Cerastium glutinosum Fr., 1817")</f>
        <v>Cerastium glutinosum Fr., 1817</v>
      </c>
      <c r="F24063" s="5" t="s">
        <v>31504</v>
      </c>
      <c r="Q24063" s="7" t="str">
        <f>HYPERLINK("#Liste_rouge!A"&amp;_xlfn.XMATCH("LC",Liste_rouge!A:A,2,1),"LC")</f>
        <v>LC</v>
      </c>
      <c r="T24063" s="7" t="str">
        <f>HYPERLINK("#Liste_rouge!A"&amp;_xlfn.XMATCH("VU",Liste_rouge!A:A,2,1),"VU")</f>
        <v>VU</v>
      </c>
      <c r="U24063" s="4" t="str">
        <f>HYPERLINK("#Critères_liste_rouge!A$1","D2")</f>
        <v>D2</v>
      </c>
      <c r="V24063" s="7" t="str">
        <f>HYPERLINK("#Liste_rouge!A"&amp;_xlfn.XMATCH("LC",Liste_rouge!A:A,2,1),"LC")</f>
        <v>LC</v>
      </c>
      <c r="AB24063" s="4" t="s">
        <v>31505</v>
      </c>
      <c r="AH24063" s="4" t="str">
        <f>HYPERLINK("#Statut_biogéographique!A"&amp;_xlfn.XMATCH("P",Statut_biogéographique!A:A,2,1),"P")</f>
        <v>P</v>
      </c>
      <c r="AM24063" s="4" t="s">
        <v>375</v>
      </c>
      <c r="AN24063" s="4" t="s">
        <v>375</v>
      </c>
      <c r="AO24063" s="4" t="s">
        <v>375</v>
      </c>
      <c r="AP24063" s="4" t="s">
        <v>376</v>
      </c>
      <c r="AR24063" s="4" t="s">
        <v>377</v>
      </c>
    </row>
    <row r="24064" spans="1:44">
      <c r="A24064" s="4" t="s">
        <v>24364</v>
      </c>
      <c r="B24064" s="4">
        <v>90045</v>
      </c>
      <c r="D24064" s="5" t="s">
        <v>31506</v>
      </c>
      <c r="E24064" s="6" t="str">
        <f>HYPERLINK("https://inpn.mnhn.fr/espece/cd_nom/90045","Cerastium ligusticum Viv., 1802")</f>
        <v>Cerastium ligusticum Viv., 1802</v>
      </c>
      <c r="F24064" s="5" t="s">
        <v>28433</v>
      </c>
      <c r="Q24064" s="7" t="str">
        <f>HYPERLINK("#Liste_rouge!A"&amp;_xlfn.XMATCH("EN",Liste_rouge!A:A,2,1),"EN")</f>
        <v>EN</v>
      </c>
      <c r="T24064" s="7" t="str">
        <f>HYPERLINK("#Liste_rouge!A"&amp;_xlfn.XMATCH("NA",Liste_rouge!A:A,2,1),"NA")</f>
        <v>NA</v>
      </c>
      <c r="AH24064" s="4" t="str">
        <f>HYPERLINK("#Statut_biogéographique!A"&amp;_xlfn.XMATCH("P",Statut_biogéographique!A:A,2,1),"P")</f>
        <v>P</v>
      </c>
      <c r="AP24064" s="4" t="s">
        <v>376</v>
      </c>
      <c r="AR24064" s="4" t="s">
        <v>377</v>
      </c>
    </row>
    <row r="24065" spans="1:44" ht="60">
      <c r="A24065" s="4" t="s">
        <v>24364</v>
      </c>
      <c r="B24065" s="4">
        <v>90076</v>
      </c>
      <c r="D24065" s="5" t="s">
        <v>31507</v>
      </c>
      <c r="E24065" s="6" t="str">
        <f>HYPERLINK("https://inpn.mnhn.fr/espece/cd_nom/90076","Cerastium pumilum Curtis, 1777")</f>
        <v>Cerastium pumilum Curtis, 1777</v>
      </c>
      <c r="F24065" s="5" t="s">
        <v>31508</v>
      </c>
      <c r="Q24065" s="7" t="str">
        <f>HYPERLINK("#Liste_rouge!A"&amp;_xlfn.XMATCH("LC",Liste_rouge!A:A,2,1),"LC")</f>
        <v>LC</v>
      </c>
      <c r="T24065" s="7" t="str">
        <f>HYPERLINK("#Liste_rouge!A"&amp;_xlfn.XMATCH("LC",Liste_rouge!A:A,2,1),"LC (cd_nom 90076) - DD (cd_nom 133133)")</f>
        <v>LC (cd_nom 90076) - DD (cd_nom 133133)</v>
      </c>
      <c r="V24065" s="7" t="str">
        <f>HYPERLINK("#Liste_rouge!A"&amp;_xlfn.XMATCH("LC",Liste_rouge!A:A,2,1),"LC")</f>
        <v>LC</v>
      </c>
      <c r="AH24065" s="4" t="str">
        <f>HYPERLINK("#Statut_biogéographique!A"&amp;_xlfn.XMATCH("P",Statut_biogéographique!A:A,2,1),"P")</f>
        <v>P</v>
      </c>
      <c r="AM24065" s="4" t="s">
        <v>375</v>
      </c>
      <c r="AN24065" s="4" t="s">
        <v>375</v>
      </c>
      <c r="AO24065" s="4" t="s">
        <v>375</v>
      </c>
      <c r="AP24065" s="4" t="s">
        <v>376</v>
      </c>
      <c r="AR24065" s="4" t="s">
        <v>377</v>
      </c>
    </row>
    <row r="24066" spans="1:44" ht="105">
      <c r="A24066" s="4" t="s">
        <v>24364</v>
      </c>
      <c r="B24066" s="4">
        <v>90091</v>
      </c>
      <c r="D24066" s="5" t="s">
        <v>31509</v>
      </c>
      <c r="E24066" s="6" t="str">
        <f>HYPERLINK("https://inpn.mnhn.fr/espece/cd_nom/90091","Cerastium semidecandrum L., 1753")</f>
        <v>Cerastium semidecandrum L., 1753</v>
      </c>
      <c r="F24066" s="5" t="s">
        <v>31510</v>
      </c>
      <c r="Q24066" s="7" t="str">
        <f>HYPERLINK("#Liste_rouge!A"&amp;_xlfn.XMATCH("LC",Liste_rouge!A:A,2,1),"LC")</f>
        <v>LC</v>
      </c>
      <c r="T24066" s="7" t="str">
        <f>HYPERLINK("#Liste_rouge!A"&amp;_xlfn.XMATCH("LC",Liste_rouge!A:A,2,1),"LC")</f>
        <v>LC</v>
      </c>
      <c r="V24066" s="7" t="str">
        <f>HYPERLINK("#Liste_rouge!A"&amp;_xlfn.XMATCH("LC",Liste_rouge!A:A,2,1),"LC")</f>
        <v>LC</v>
      </c>
      <c r="AH24066" s="4" t="str">
        <f>HYPERLINK("#Statut_biogéographique!A"&amp;_xlfn.XMATCH("P",Statut_biogéographique!A:A,2,1),"P")</f>
        <v>P</v>
      </c>
      <c r="AM24066" s="4" t="s">
        <v>375</v>
      </c>
      <c r="AN24066" s="4" t="s">
        <v>375</v>
      </c>
      <c r="AO24066" s="4" t="s">
        <v>375</v>
      </c>
      <c r="AP24066" s="4" t="s">
        <v>376</v>
      </c>
      <c r="AR24066" s="4" t="s">
        <v>377</v>
      </c>
    </row>
    <row r="24067" spans="1:44" ht="30">
      <c r="A24067" s="4" t="s">
        <v>24364</v>
      </c>
      <c r="B24067" s="4">
        <v>90111</v>
      </c>
      <c r="D24067" s="5" t="s">
        <v>31511</v>
      </c>
      <c r="E24067" s="6" t="str">
        <f>HYPERLINK("https://inpn.mnhn.fr/espece/cd_nom/90111","Cerastium tomentosum L., 1753")</f>
        <v>Cerastium tomentosum L., 1753</v>
      </c>
      <c r="F24067" s="5" t="s">
        <v>31512</v>
      </c>
      <c r="O24067" s="7" t="str">
        <f>HYPERLINK("#Liste_rouge!A"&amp;_xlfn.XMATCH("LC",Liste_rouge!A:A,2,1),"LC")</f>
        <v>LC</v>
      </c>
      <c r="Q24067" s="7" t="str">
        <f>HYPERLINK("#Liste_rouge!A"&amp;_xlfn.XMATCH("NA",Liste_rouge!A:A,2,1),"NA")</f>
        <v>NA</v>
      </c>
      <c r="T24067" s="7" t="str">
        <f>HYPERLINK("#Liste_rouge!A"&amp;_xlfn.XMATCH("NA",Liste_rouge!A:A,2,1),"NA")</f>
        <v>NA</v>
      </c>
      <c r="AH24067" s="4" t="str">
        <f>HYPERLINK("#Statut_biogéographique!A"&amp;_xlfn.XMATCH("M",Statut_biogéographique!A:A,2,1),"M")</f>
        <v>M</v>
      </c>
      <c r="AM24067" s="4" t="s">
        <v>375</v>
      </c>
      <c r="AN24067" s="4" t="s">
        <v>375</v>
      </c>
      <c r="AO24067" s="4" t="s">
        <v>375</v>
      </c>
      <c r="AP24067" s="4" t="s">
        <v>376</v>
      </c>
      <c r="AR24067" s="4" t="s">
        <v>377</v>
      </c>
    </row>
    <row r="24068" spans="1:44" ht="30">
      <c r="A24068" s="4" t="s">
        <v>24364</v>
      </c>
      <c r="B24068" s="4">
        <v>90178</v>
      </c>
      <c r="D24068" s="5" t="s">
        <v>31513</v>
      </c>
      <c r="E24068" s="6" t="str">
        <f>HYPERLINK("https://inpn.mnhn.fr/espece/cd_nom/90178","Ceratocapnos claviculata (L.) Lidén, 1984")</f>
        <v>Ceratocapnos claviculata (L.) Lidén, 1984</v>
      </c>
      <c r="F24068" s="5" t="s">
        <v>31514</v>
      </c>
      <c r="M24068" s="4" t="str">
        <f>HYPERLINK("#Réglementation!A"&amp;_xlfn.XMATCH("RV26",Réglementation!A:A,2,1),"RV26")</f>
        <v>RV26</v>
      </c>
      <c r="Q24068" s="7" t="str">
        <f>HYPERLINK("#Liste_rouge!A"&amp;_xlfn.XMATCH("LC",Liste_rouge!A:A,2,1),"LC")</f>
        <v>LC</v>
      </c>
      <c r="T24068" s="7" t="str">
        <f>HYPERLINK("#Liste_rouge!A"&amp;_xlfn.XMATCH("EN",Liste_rouge!A:A,2,1),"EN")</f>
        <v>EN</v>
      </c>
      <c r="U24068" s="4" t="str">
        <f>HYPERLINK("#Critères_liste_rouge!A$1","D1")</f>
        <v>D1</v>
      </c>
      <c r="X24068" s="5" t="s">
        <v>374</v>
      </c>
      <c r="AB24068" s="4" t="s">
        <v>93</v>
      </c>
      <c r="AH24068" s="4" t="str">
        <f>HYPERLINK("#Statut_biogéographique!A"&amp;_xlfn.XMATCH("P",Statut_biogéographique!A:A,2,1),"P")</f>
        <v>P</v>
      </c>
      <c r="AM24068" s="4" t="s">
        <v>375</v>
      </c>
      <c r="AN24068" s="4" t="s">
        <v>375</v>
      </c>
      <c r="AO24068" s="4" t="s">
        <v>375</v>
      </c>
      <c r="AP24068" s="4" t="s">
        <v>376</v>
      </c>
      <c r="AR24068" s="4" t="s">
        <v>377</v>
      </c>
    </row>
    <row r="24069" spans="1:44" ht="105">
      <c r="A24069" s="4" t="s">
        <v>24364</v>
      </c>
      <c r="B24069" s="4">
        <v>90192</v>
      </c>
      <c r="D24069" s="5" t="s">
        <v>31515</v>
      </c>
      <c r="E24069" s="6" t="str">
        <f>HYPERLINK("https://inpn.mnhn.fr/espece/cd_nom/90192","Ceratochloa cathartica (Vahl) Herter, 1940")</f>
        <v>Ceratochloa cathartica (Vahl) Herter, 1940</v>
      </c>
      <c r="F24069" s="5" t="s">
        <v>31516</v>
      </c>
      <c r="Q24069" s="7" t="str">
        <f>HYPERLINK("#Liste_rouge!A"&amp;_xlfn.XMATCH("NA",Liste_rouge!A:A,2,1),"NA")</f>
        <v>NA</v>
      </c>
      <c r="T24069" s="7" t="str">
        <f>HYPERLINK("#Liste_rouge!A"&amp;_xlfn.XMATCH("NA",Liste_rouge!A:A,2,1),"NA")</f>
        <v>NA</v>
      </c>
      <c r="AH24069" s="4" t="str">
        <f>HYPERLINK("#Statut_biogéographique!A"&amp;_xlfn.XMATCH("J",Statut_biogéographique!A:A,2,1),"J")</f>
        <v>J</v>
      </c>
      <c r="AP24069" s="4" t="s">
        <v>376</v>
      </c>
      <c r="AR24069" s="4" t="s">
        <v>377</v>
      </c>
    </row>
    <row r="24070" spans="1:44" ht="30">
      <c r="A24070" s="4" t="s">
        <v>24364</v>
      </c>
      <c r="B24070" s="4">
        <v>902027</v>
      </c>
      <c r="D24070" s="5" t="s">
        <v>31517</v>
      </c>
      <c r="E24070" s="6" t="str">
        <f>HYPERLINK("https://inpn.mnhn.fr/espece/cd_nom/902027","Ephemerum stoloniferum (Hedw.) L.T.Ellis &amp; M.J.Price, 2015")</f>
        <v>Ephemerum stoloniferum (Hedw.) L.T.Ellis &amp; M.J.Price, 2015</v>
      </c>
      <c r="T24070" s="7" t="str">
        <f>HYPERLINK("#Liste_rouge!A"&amp;_xlfn.XMATCH("NE",Liste_rouge!A:A,2,1),"NE")</f>
        <v>NE</v>
      </c>
      <c r="AH24070" s="4" t="str">
        <f>HYPERLINK("#Statut_biogéographique!A"&amp;_xlfn.XMATCH("P",Statut_biogéographique!A:A,2,1),"P")</f>
        <v>P</v>
      </c>
      <c r="AP24070" s="4" t="s">
        <v>376</v>
      </c>
      <c r="AR24070" s="4" t="s">
        <v>377</v>
      </c>
    </row>
    <row r="24071" spans="1:44" ht="45">
      <c r="A24071" s="4" t="s">
        <v>24364</v>
      </c>
      <c r="B24071" s="4">
        <v>90208</v>
      </c>
      <c r="D24071" s="5" t="s">
        <v>31518</v>
      </c>
      <c r="E24071" s="6" t="str">
        <f>HYPERLINK("https://inpn.mnhn.fr/espece/cd_nom/90208","Ceratophyllum demersum L., 1753")</f>
        <v>Ceratophyllum demersum L., 1753</v>
      </c>
      <c r="F24071" s="5" t="s">
        <v>31519</v>
      </c>
      <c r="O24071" s="7" t="str">
        <f>HYPERLINK("#Liste_rouge!A"&amp;_xlfn.XMATCH("LC",Liste_rouge!A:A,2,1),"LC")</f>
        <v>LC</v>
      </c>
      <c r="P24071" s="7" t="str">
        <f>HYPERLINK("#Liste_rouge!A"&amp;_xlfn.XMATCH("LC",Liste_rouge!A:A,2,1),"LC")</f>
        <v>LC</v>
      </c>
      <c r="Q24071" s="7" t="str">
        <f>HYPERLINK("#Liste_rouge!A"&amp;_xlfn.XMATCH("LC",Liste_rouge!A:A,2,1),"LC")</f>
        <v>LC</v>
      </c>
      <c r="T24071" s="7" t="str">
        <f>HYPERLINK("#Liste_rouge!A"&amp;_xlfn.XMATCH("LC",Liste_rouge!A:A,2,1),"LC")</f>
        <v>LC</v>
      </c>
      <c r="V24071" s="7" t="str">
        <f>HYPERLINK("#Liste_rouge!A"&amp;_xlfn.XMATCH("LC",Liste_rouge!A:A,2,1),"LC")</f>
        <v>LC</v>
      </c>
      <c r="AH24071" s="4" t="str">
        <f>HYPERLINK("#Statut_biogéographique!A"&amp;_xlfn.XMATCH("P",Statut_biogéographique!A:A,2,1),"P")</f>
        <v>P</v>
      </c>
      <c r="AM24071" s="4" t="s">
        <v>375</v>
      </c>
      <c r="AN24071" s="4" t="s">
        <v>375</v>
      </c>
      <c r="AO24071" s="4" t="s">
        <v>375</v>
      </c>
      <c r="AP24071" s="4" t="s">
        <v>376</v>
      </c>
      <c r="AR24071" s="4" t="s">
        <v>377</v>
      </c>
    </row>
    <row r="24072" spans="1:44" ht="30">
      <c r="A24072" s="4" t="s">
        <v>24364</v>
      </c>
      <c r="B24072" s="4">
        <v>90221</v>
      </c>
      <c r="D24072" s="5" t="s">
        <v>31520</v>
      </c>
      <c r="E24072" s="6" t="str">
        <f>HYPERLINK("https://inpn.mnhn.fr/espece/cd_nom/90221","Ceratophyllum platyacanthum Cham., 1829")</f>
        <v>Ceratophyllum platyacanthum Cham., 1829</v>
      </c>
      <c r="F24072" s="5" t="s">
        <v>31521</v>
      </c>
      <c r="P24072" s="7" t="str">
        <f>HYPERLINK("#Liste_rouge!A"&amp;_xlfn.XMATCH("DD",Liste_rouge!A:A,2,1),"DD")</f>
        <v>DD</v>
      </c>
      <c r="Q24072" s="7" t="str">
        <f>HYPERLINK("#Liste_rouge!A"&amp;_xlfn.XMATCH("NA",Liste_rouge!A:A,2,1),"NA")</f>
        <v>NA</v>
      </c>
      <c r="T24072" s="7" t="str">
        <f>HYPERLINK("#Liste_rouge!A"&amp;_xlfn.XMATCH("DD",Liste_rouge!A:A,2,1),"DD")</f>
        <v>DD</v>
      </c>
      <c r="AH24072" s="4" t="str">
        <f>HYPERLINK("#Statut_biogéographique!A"&amp;_xlfn.XMATCH("P",Statut_biogéographique!A:A,2,1),"P")</f>
        <v>P</v>
      </c>
      <c r="AM24072" s="4" t="s">
        <v>375</v>
      </c>
      <c r="AN24072" s="4" t="s">
        <v>375</v>
      </c>
      <c r="AO24072" s="4" t="s">
        <v>375</v>
      </c>
      <c r="AP24072" s="4" t="s">
        <v>376</v>
      </c>
      <c r="AR24072" s="4" t="s">
        <v>377</v>
      </c>
    </row>
    <row r="24073" spans="1:44" ht="30">
      <c r="A24073" s="4" t="s">
        <v>24364</v>
      </c>
      <c r="B24073" s="4">
        <v>90222</v>
      </c>
      <c r="D24073" s="5" t="s">
        <v>31522</v>
      </c>
      <c r="E24073" s="6" t="str">
        <f>HYPERLINK("https://inpn.mnhn.fr/espece/cd_nom/90222","Ceratophyllum submersum L., 1763")</f>
        <v>Ceratophyllum submersum L., 1763</v>
      </c>
      <c r="F24073" s="5" t="s">
        <v>31523</v>
      </c>
      <c r="O24073" s="7" t="str">
        <f>HYPERLINK("#Liste_rouge!A"&amp;_xlfn.XMATCH("LC",Liste_rouge!A:A,2,1),"LC")</f>
        <v>LC</v>
      </c>
      <c r="P24073" s="7" t="str">
        <f>HYPERLINK("#Liste_rouge!A"&amp;_xlfn.XMATCH("LC",Liste_rouge!A:A,2,1),"LC")</f>
        <v>LC</v>
      </c>
      <c r="Q24073" s="7" t="str">
        <f>HYPERLINK("#Liste_rouge!A"&amp;_xlfn.XMATCH("LC",Liste_rouge!A:A,2,1),"LC")</f>
        <v>LC</v>
      </c>
      <c r="T24073" s="7" t="str">
        <f>HYPERLINK("#Liste_rouge!A"&amp;_xlfn.XMATCH("VU",Liste_rouge!A:A,2,1),"VU")</f>
        <v>VU</v>
      </c>
      <c r="U24073" s="4" t="str">
        <f>HYPERLINK("#Critères_liste_rouge!A$1","D2")</f>
        <v>D2</v>
      </c>
      <c r="V24073" s="7" t="str">
        <f>HYPERLINK("#Liste_rouge!A"&amp;_xlfn.XMATCH("RE",Liste_rouge!A:A,2,1),"RE")</f>
        <v>RE</v>
      </c>
      <c r="X24073" s="5" t="s">
        <v>374</v>
      </c>
      <c r="AB24073" s="4" t="s">
        <v>93</v>
      </c>
      <c r="AH24073" s="4" t="str">
        <f>HYPERLINK("#Statut_biogéographique!A"&amp;_xlfn.XMATCH("P",Statut_biogéographique!A:A,2,1),"P")</f>
        <v>P</v>
      </c>
      <c r="AM24073" s="4" t="s">
        <v>375</v>
      </c>
      <c r="AN24073" s="4" t="s">
        <v>375</v>
      </c>
      <c r="AO24073" s="4" t="s">
        <v>375</v>
      </c>
      <c r="AP24073" s="4" t="s">
        <v>376</v>
      </c>
      <c r="AR24073" s="4" t="s">
        <v>377</v>
      </c>
    </row>
    <row r="24074" spans="1:44" ht="30">
      <c r="A24074" s="4" t="s">
        <v>24364</v>
      </c>
      <c r="B24074" s="4">
        <v>90231</v>
      </c>
      <c r="D24074" s="5" t="s">
        <v>31524</v>
      </c>
      <c r="E24074" s="6" t="str">
        <f>HYPERLINK("https://inpn.mnhn.fr/espece/cd_nom/90231","Ceratostigma plumbaginoides Bunge, 1833")</f>
        <v>Ceratostigma plumbaginoides Bunge, 1833</v>
      </c>
      <c r="F24074" s="5" t="s">
        <v>31525</v>
      </c>
      <c r="AH24074" s="4" t="str">
        <f>HYPERLINK("#Statut_biogéographique!A"&amp;_xlfn.XMATCH("M",Statut_biogéographique!A:A,2,1),"M")</f>
        <v>M</v>
      </c>
      <c r="AP24074" s="4" t="s">
        <v>376</v>
      </c>
      <c r="AR24074" s="4" t="s">
        <v>377</v>
      </c>
    </row>
    <row r="24075" spans="1:44" ht="30">
      <c r="A24075" s="4" t="s">
        <v>24364</v>
      </c>
      <c r="B24075" s="4">
        <v>90234</v>
      </c>
      <c r="D24075" s="5" t="s">
        <v>31526</v>
      </c>
      <c r="E24075" s="6" t="str">
        <f>HYPERLINK("https://inpn.mnhn.fr/espece/cd_nom/90234","Cercis siliquastrum L., 1753")</f>
        <v>Cercis siliquastrum L., 1753</v>
      </c>
      <c r="F24075" s="5" t="s">
        <v>31527</v>
      </c>
      <c r="O24075" s="7" t="str">
        <f>HYPERLINK("#Liste_rouge!A"&amp;_xlfn.XMATCH("LC",Liste_rouge!A:A,2,1),"LC")</f>
        <v>LC</v>
      </c>
      <c r="P24075" s="7" t="str">
        <f>HYPERLINK("#Liste_rouge!A"&amp;_xlfn.XMATCH("LC",Liste_rouge!A:A,2,1),"LC")</f>
        <v>LC</v>
      </c>
      <c r="Q24075" s="7" t="str">
        <f>HYPERLINK("#Liste_rouge!A"&amp;_xlfn.XMATCH("NA",Liste_rouge!A:A,2,1),"NA")</f>
        <v>NA</v>
      </c>
      <c r="T24075" s="7" t="str">
        <f>HYPERLINK("#Liste_rouge!A"&amp;_xlfn.XMATCH("NA",Liste_rouge!A:A,2,1),"NA")</f>
        <v>NA</v>
      </c>
      <c r="AH24075" s="4" t="str">
        <f>HYPERLINK("#Statut_biogéographique!A"&amp;_xlfn.XMATCH("M",Statut_biogéographique!A:A,2,1),"M")</f>
        <v>M</v>
      </c>
      <c r="AP24075" s="4" t="s">
        <v>376</v>
      </c>
      <c r="AR24075" s="4" t="s">
        <v>377</v>
      </c>
    </row>
    <row r="24076" spans="1:44" ht="30">
      <c r="A24076" s="4" t="s">
        <v>24364</v>
      </c>
      <c r="B24076" s="4">
        <v>90251</v>
      </c>
      <c r="D24076" s="5" t="s">
        <v>31528</v>
      </c>
      <c r="E24076" s="6" t="str">
        <f>HYPERLINK("https://inpn.mnhn.fr/espece/cd_nom/90251","Cerinthe glabra Mill., 1768")</f>
        <v>Cerinthe glabra Mill., 1768</v>
      </c>
      <c r="F24076" s="5" t="s">
        <v>28434</v>
      </c>
      <c r="Q24076" s="7" t="str">
        <f>HYPERLINK("#Liste_rouge!A"&amp;_xlfn.XMATCH("LC",Liste_rouge!A:A,2,1),"LC")</f>
        <v>LC</v>
      </c>
      <c r="AH24076" s="4" t="str">
        <f>HYPERLINK("#Statut_biogéographique!A"&amp;_xlfn.XMATCH("P",Statut_biogéographique!A:A,2,1),"P")</f>
        <v>P</v>
      </c>
      <c r="AP24076" s="4" t="s">
        <v>376</v>
      </c>
      <c r="AR24076" s="4" t="s">
        <v>377</v>
      </c>
    </row>
    <row r="24077" spans="1:44" ht="30">
      <c r="A24077" s="4" t="s">
        <v>24364</v>
      </c>
      <c r="B24077" s="4">
        <v>90259</v>
      </c>
      <c r="D24077" s="5" t="s">
        <v>31529</v>
      </c>
      <c r="E24077" s="6" t="str">
        <f>HYPERLINK("https://inpn.mnhn.fr/espece/cd_nom/90259","Cerinthe minor L., 1753")</f>
        <v>Cerinthe minor L., 1753</v>
      </c>
      <c r="F24077" s="5" t="s">
        <v>28435</v>
      </c>
      <c r="Q24077" s="7" t="str">
        <f>HYPERLINK("#Liste_rouge!A"&amp;_xlfn.XMATCH("LC",Liste_rouge!A:A,2,1),"LC")</f>
        <v>LC</v>
      </c>
      <c r="T24077" s="7" t="str">
        <f>HYPERLINK("#Liste_rouge!A"&amp;_xlfn.XMATCH("NA",Liste_rouge!A:A,2,1),"NA")</f>
        <v>NA</v>
      </c>
      <c r="AH24077" s="4" t="str">
        <f>HYPERLINK("#Statut_biogéographique!A"&amp;_xlfn.XMATCH("P",Statut_biogéographique!A:A,2,1),"P")</f>
        <v>P</v>
      </c>
      <c r="AP24077" s="4" t="s">
        <v>376</v>
      </c>
      <c r="AR24077" s="4" t="s">
        <v>377</v>
      </c>
    </row>
    <row r="24078" spans="1:44" ht="45">
      <c r="A24078" s="4" t="s">
        <v>24364</v>
      </c>
      <c r="B24078" s="4">
        <v>90278</v>
      </c>
      <c r="D24078" s="5" t="s">
        <v>31530</v>
      </c>
      <c r="E24078" s="6" t="str">
        <f>HYPERLINK("https://inpn.mnhn.fr/espece/cd_nom/90278","Cervaria rivini Gaertn., 1788")</f>
        <v>Cervaria rivini Gaertn., 1788</v>
      </c>
      <c r="F24078" s="5" t="s">
        <v>31531</v>
      </c>
      <c r="Q24078" s="7" t="str">
        <f>HYPERLINK("#Liste_rouge!A"&amp;_xlfn.XMATCH("LC",Liste_rouge!A:A,2,1),"LC")</f>
        <v>LC</v>
      </c>
      <c r="T24078" s="7" t="str">
        <f>HYPERLINK("#Liste_rouge!A"&amp;_xlfn.XMATCH("LC",Liste_rouge!A:A,2,1),"LC")</f>
        <v>LC</v>
      </c>
      <c r="V24078" s="7" t="str">
        <f>HYPERLINK("#Liste_rouge!A"&amp;_xlfn.XMATCH("LC",Liste_rouge!A:A,2,1),"LC")</f>
        <v>LC</v>
      </c>
      <c r="AB24078" s="4" t="s">
        <v>24410</v>
      </c>
      <c r="AH24078" s="4" t="str">
        <f>HYPERLINK("#Statut_biogéographique!A"&amp;_xlfn.XMATCH("P",Statut_biogéographique!A:A,2,1),"P")</f>
        <v>P</v>
      </c>
      <c r="AM24078" s="4" t="s">
        <v>375</v>
      </c>
      <c r="AN24078" s="4" t="s">
        <v>375</v>
      </c>
      <c r="AO24078" s="4" t="s">
        <v>375</v>
      </c>
      <c r="AP24078" s="4" t="s">
        <v>376</v>
      </c>
      <c r="AR24078" s="4" t="s">
        <v>377</v>
      </c>
    </row>
    <row r="24079" spans="1:44" ht="30">
      <c r="A24079" s="4" t="s">
        <v>24364</v>
      </c>
      <c r="B24079" s="4">
        <v>90307</v>
      </c>
      <c r="D24079" s="5" t="s">
        <v>31532</v>
      </c>
      <c r="E24079" s="6" t="str">
        <f>HYPERLINK("https://inpn.mnhn.fr/espece/cd_nom/90307","Chaenomeles japonica (Thunb.) Lindl. ex Spach, 1834")</f>
        <v>Chaenomeles japonica (Thunb.) Lindl. ex Spach, 1834</v>
      </c>
      <c r="F24079" s="5" t="s">
        <v>31533</v>
      </c>
      <c r="O24079" s="7" t="str">
        <f>HYPERLINK("#Liste_rouge!A"&amp;_xlfn.XMATCH("LC",Liste_rouge!A:A,2,1),"LC")</f>
        <v>LC</v>
      </c>
      <c r="AH24079" s="4" t="str">
        <f>HYPERLINK("#Statut_biogéographique!A"&amp;_xlfn.XMATCH("M",Statut_biogéographique!A:A,2,1),"M")</f>
        <v>M</v>
      </c>
      <c r="AP24079" s="4" t="s">
        <v>376</v>
      </c>
      <c r="AR24079" s="4" t="s">
        <v>377</v>
      </c>
    </row>
    <row r="24080" spans="1:44" ht="45">
      <c r="A24080" s="4" t="s">
        <v>24364</v>
      </c>
      <c r="B24080" s="4">
        <v>90316</v>
      </c>
      <c r="D24080" s="5" t="s">
        <v>31534</v>
      </c>
      <c r="E24080" s="6" t="str">
        <f>HYPERLINK("https://inpn.mnhn.fr/espece/cd_nom/90316","Chaenorhinum minus (L.) Lange, 1870")</f>
        <v>Chaenorhinum minus (L.) Lange, 1870</v>
      </c>
      <c r="F24080" s="5" t="s">
        <v>28436</v>
      </c>
      <c r="Q24080" s="7" t="str">
        <f>HYPERLINK("#Liste_rouge!A"&amp;_xlfn.XMATCH("LC",Liste_rouge!A:A,2,1),"LC")</f>
        <v>LC</v>
      </c>
      <c r="T24080" s="7" t="str">
        <f>HYPERLINK("#Liste_rouge!A"&amp;_xlfn.XMATCH("LC",Liste_rouge!A:A,2,1),"LC")</f>
        <v>LC</v>
      </c>
      <c r="V24080" s="7" t="str">
        <f>HYPERLINK("#Liste_rouge!A"&amp;_xlfn.XMATCH("LC",Liste_rouge!A:A,2,1),"LC")</f>
        <v>LC</v>
      </c>
      <c r="AH24080" s="4" t="str">
        <f>HYPERLINK("#Statut_biogéographique!A"&amp;_xlfn.XMATCH("P",Statut_biogéographique!A:A,2,1),"P")</f>
        <v>P</v>
      </c>
      <c r="AM24080" s="4" t="s">
        <v>375</v>
      </c>
      <c r="AN24080" s="4" t="s">
        <v>375</v>
      </c>
      <c r="AO24080" s="4" t="s">
        <v>375</v>
      </c>
      <c r="AP24080" s="4" t="s">
        <v>376</v>
      </c>
      <c r="AR24080" s="4" t="s">
        <v>377</v>
      </c>
    </row>
    <row r="24081" spans="1:44" ht="45">
      <c r="A24081" s="4" t="s">
        <v>24364</v>
      </c>
      <c r="B24081" s="4">
        <v>90328</v>
      </c>
      <c r="D24081" s="5" t="s">
        <v>31535</v>
      </c>
      <c r="E24081" s="6" t="str">
        <f>HYPERLINK("https://inpn.mnhn.fr/espece/cd_nom/90328","Chaerophyllum aureum L., 1762")</f>
        <v>Chaerophyllum aureum L., 1762</v>
      </c>
      <c r="F24081" s="5" t="s">
        <v>31536</v>
      </c>
      <c r="Q24081" s="7" t="str">
        <f>HYPERLINK("#Liste_rouge!A"&amp;_xlfn.XMATCH("LC",Liste_rouge!A:A,2,1),"LC")</f>
        <v>LC</v>
      </c>
      <c r="T24081" s="7" t="str">
        <f>HYPERLINK("#Liste_rouge!A"&amp;_xlfn.XMATCH("NA",Liste_rouge!A:A,2,1),"NA")</f>
        <v>NA</v>
      </c>
      <c r="V24081" s="7" t="str">
        <f>HYPERLINK("#Liste_rouge!A"&amp;_xlfn.XMATCH("LC",Liste_rouge!A:A,2,1),"LC")</f>
        <v>LC</v>
      </c>
      <c r="AH24081" s="4" t="str">
        <f>HYPERLINK("#Statut_biogéographique!A"&amp;_xlfn.XMATCH("P",Statut_biogéographique!A:A,2,1),"P")</f>
        <v>P</v>
      </c>
      <c r="AM24081" s="4" t="s">
        <v>375</v>
      </c>
      <c r="AN24081" s="4" t="s">
        <v>375</v>
      </c>
      <c r="AO24081" s="4" t="s">
        <v>375</v>
      </c>
      <c r="AP24081" s="4" t="s">
        <v>376</v>
      </c>
      <c r="AR24081" s="4" t="s">
        <v>377</v>
      </c>
    </row>
    <row r="24082" spans="1:44" ht="30">
      <c r="A24082" s="4" t="s">
        <v>24364</v>
      </c>
      <c r="B24082" s="4">
        <v>90330</v>
      </c>
      <c r="D24082" s="5" t="s">
        <v>31537</v>
      </c>
      <c r="E24082" s="6" t="str">
        <f>HYPERLINK("https://inpn.mnhn.fr/espece/cd_nom/90330","Chaerophyllum bulbosum L., 1753")</f>
        <v>Chaerophyllum bulbosum L., 1753</v>
      </c>
      <c r="F24082" s="5" t="s">
        <v>31538</v>
      </c>
      <c r="Q24082" s="7" t="str">
        <f>HYPERLINK("#Liste_rouge!A"&amp;_xlfn.XMATCH("LC",Liste_rouge!A:A,2,1),"LC")</f>
        <v>LC</v>
      </c>
      <c r="T24082" s="7" t="str">
        <f>HYPERLINK("#Liste_rouge!A"&amp;_xlfn.XMATCH("NA",Liste_rouge!A:A,2,1),"NA")</f>
        <v>NA</v>
      </c>
      <c r="AH24082" s="4" t="str">
        <f>HYPERLINK("#Statut_biogéographique!A"&amp;_xlfn.XMATCH("P",Statut_biogéographique!A:A,2,1),"P")</f>
        <v>P</v>
      </c>
      <c r="AM24082" s="4" t="s">
        <v>375</v>
      </c>
      <c r="AN24082" s="4" t="s">
        <v>375</v>
      </c>
      <c r="AO24082" s="4" t="s">
        <v>375</v>
      </c>
      <c r="AP24082" s="4" t="s">
        <v>376</v>
      </c>
      <c r="AR24082" s="4" t="s">
        <v>377</v>
      </c>
    </row>
    <row r="24083" spans="1:44" ht="75">
      <c r="A24083" s="4" t="s">
        <v>24364</v>
      </c>
      <c r="B24083" s="4">
        <v>90338</v>
      </c>
      <c r="D24083" s="5" t="s">
        <v>31539</v>
      </c>
      <c r="E24083" s="6" t="str">
        <f>HYPERLINK("https://inpn.mnhn.fr/espece/cd_nom/90338","Chaerophyllum hirsutum L., 1753")</f>
        <v>Chaerophyllum hirsutum L., 1753</v>
      </c>
      <c r="F24083" s="5" t="s">
        <v>31540</v>
      </c>
      <c r="Q24083" s="7" t="str">
        <f>HYPERLINK("#Liste_rouge!A"&amp;_xlfn.XMATCH("LC",Liste_rouge!A:A,2,1),"LC")</f>
        <v>LC</v>
      </c>
      <c r="V24083" s="7" t="str">
        <f>HYPERLINK("#Liste_rouge!A"&amp;_xlfn.XMATCH("LC",Liste_rouge!A:A,2,1),"LC")</f>
        <v>LC</v>
      </c>
      <c r="AH24083" s="4" t="str">
        <f>HYPERLINK("#Statut_biogéographique!A"&amp;_xlfn.XMATCH("P",Statut_biogéographique!A:A,2,1),"P")</f>
        <v>P</v>
      </c>
      <c r="AM24083" s="4" t="s">
        <v>375</v>
      </c>
      <c r="AN24083" s="4" t="s">
        <v>375</v>
      </c>
      <c r="AO24083" s="4" t="s">
        <v>375</v>
      </c>
      <c r="AP24083" s="4" t="s">
        <v>376</v>
      </c>
      <c r="AR24083" s="4" t="s">
        <v>377</v>
      </c>
    </row>
    <row r="24084" spans="1:44" ht="30">
      <c r="A24084" s="4" t="s">
        <v>24364</v>
      </c>
      <c r="B24084" s="4">
        <v>90356</v>
      </c>
      <c r="D24084" s="5" t="s">
        <v>31541</v>
      </c>
      <c r="E24084" s="6" t="str">
        <f>HYPERLINK("https://inpn.mnhn.fr/espece/cd_nom/90356","Chaerophyllum temulum L., 1753")</f>
        <v>Chaerophyllum temulum L., 1753</v>
      </c>
      <c r="F24084" s="5" t="s">
        <v>31542</v>
      </c>
      <c r="Q24084" s="7" t="str">
        <f>HYPERLINK("#Liste_rouge!A"&amp;_xlfn.XMATCH("LC",Liste_rouge!A:A,2,1),"LC")</f>
        <v>LC</v>
      </c>
      <c r="T24084" s="7" t="str">
        <f>HYPERLINK("#Liste_rouge!A"&amp;_xlfn.XMATCH("LC",Liste_rouge!A:A,2,1),"LC")</f>
        <v>LC</v>
      </c>
      <c r="V24084" s="7" t="str">
        <f>HYPERLINK("#Liste_rouge!A"&amp;_xlfn.XMATCH("LC",Liste_rouge!A:A,2,1),"LC")</f>
        <v>LC</v>
      </c>
      <c r="AH24084" s="4" t="str">
        <f>HYPERLINK("#Statut_biogéographique!A"&amp;_xlfn.XMATCH("P",Statut_biogéographique!A:A,2,1),"P")</f>
        <v>P</v>
      </c>
      <c r="AM24084" s="4" t="s">
        <v>375</v>
      </c>
      <c r="AN24084" s="4" t="s">
        <v>375</v>
      </c>
      <c r="AO24084" s="4" t="s">
        <v>375</v>
      </c>
      <c r="AP24084" s="4" t="s">
        <v>376</v>
      </c>
      <c r="AR24084" s="4" t="s">
        <v>377</v>
      </c>
    </row>
    <row r="24085" spans="1:44">
      <c r="A24085" s="4" t="s">
        <v>24364</v>
      </c>
      <c r="B24085" s="4">
        <v>90359</v>
      </c>
      <c r="D24085" s="5" t="s">
        <v>31543</v>
      </c>
      <c r="E24085" s="6" t="str">
        <f>HYPERLINK("https://inpn.mnhn.fr/espece/cd_nom/90359","Chaerophyllum villarsii W.D.J.Koch, 1837")</f>
        <v>Chaerophyllum villarsii W.D.J.Koch, 1837</v>
      </c>
      <c r="F24085" s="5" t="s">
        <v>29713</v>
      </c>
      <c r="Q24085" s="7" t="str">
        <f>HYPERLINK("#Liste_rouge!A"&amp;_xlfn.XMATCH("LC",Liste_rouge!A:A,2,1),"LC")</f>
        <v>LC</v>
      </c>
      <c r="V24085" s="7" t="str">
        <f>HYPERLINK("#Liste_rouge!A"&amp;_xlfn.XMATCH("CR",Liste_rouge!A:A,2,1),"CR")</f>
        <v>CR</v>
      </c>
      <c r="W24085" s="4" t="str">
        <f>HYPERLINK("#Critères_liste_rouge!A$1","B2ab(iii)")</f>
        <v>B2ab(iii)</v>
      </c>
      <c r="AH24085" s="4" t="str">
        <f>HYPERLINK("#Statut_biogéographique!A"&amp;_xlfn.XMATCH("P",Statut_biogéographique!A:A,2,1),"P")</f>
        <v>P</v>
      </c>
      <c r="AP24085" s="4" t="s">
        <v>376</v>
      </c>
      <c r="AR24085" s="4" t="s">
        <v>377</v>
      </c>
    </row>
    <row r="24086" spans="1:44" ht="30">
      <c r="A24086" s="4" t="s">
        <v>24364</v>
      </c>
      <c r="B24086" s="4">
        <v>90395</v>
      </c>
      <c r="D24086" s="5" t="s">
        <v>31544</v>
      </c>
      <c r="E24086" s="6" t="str">
        <f>HYPERLINK("https://inpn.mnhn.fr/espece/cd_nom/90395","Chaiturus marrubiastrum (L.) Ehrh. ex Rchb., 1831")</f>
        <v>Chaiturus marrubiastrum (L.) Ehrh. ex Rchb., 1831</v>
      </c>
      <c r="F24086" s="5" t="s">
        <v>31545</v>
      </c>
      <c r="Q24086" s="7" t="str">
        <f>HYPERLINK("#Liste_rouge!A"&amp;_xlfn.XMATCH("NA",Liste_rouge!A:A,2,1),"NA")</f>
        <v>NA</v>
      </c>
      <c r="T24086" s="7" t="str">
        <f>HYPERLINK("#Liste_rouge!A"&amp;_xlfn.XMATCH("CR",Liste_rouge!A:A,2,1),"CR")</f>
        <v>CR</v>
      </c>
      <c r="U24086" s="4" t="str">
        <f>HYPERLINK("#Critères_liste_rouge!A$1","C2a(i)")</f>
        <v>C2a(i)</v>
      </c>
      <c r="AH24086" s="4" t="str">
        <f>HYPERLINK("#Statut_biogéographique!A"&amp;_xlfn.XMATCH("I",Statut_biogéographique!A:A,2,1),"I")</f>
        <v>I</v>
      </c>
      <c r="AM24086" s="4" t="s">
        <v>375</v>
      </c>
      <c r="AN24086" s="4" t="s">
        <v>375</v>
      </c>
      <c r="AO24086" s="4" t="s">
        <v>375</v>
      </c>
      <c r="AP24086" s="4" t="s">
        <v>376</v>
      </c>
      <c r="AR24086" s="4" t="s">
        <v>377</v>
      </c>
    </row>
    <row r="24087" spans="1:44" ht="30">
      <c r="A24087" s="4" t="s">
        <v>24364</v>
      </c>
      <c r="B24087" s="4">
        <v>90411</v>
      </c>
      <c r="D24087" s="5" t="s">
        <v>31546</v>
      </c>
      <c r="E24087" s="6" t="str">
        <f>HYPERLINK("https://inpn.mnhn.fr/espece/cd_nom/90411","Chamaecyparis lawsoniana (A.Murray) Parl., 1866")</f>
        <v>Chamaecyparis lawsoniana (A.Murray) Parl., 1866</v>
      </c>
      <c r="F24087" s="5" t="s">
        <v>31547</v>
      </c>
      <c r="O24087" s="7" t="str">
        <f>HYPERLINK("#Liste_rouge!A"&amp;_xlfn.XMATCH("NT",Liste_rouge!A:A,2,1),"NT")</f>
        <v>NT</v>
      </c>
      <c r="T24087" s="7" t="str">
        <f>HYPERLINK("#Liste_rouge!A"&amp;_xlfn.XMATCH("NA",Liste_rouge!A:A,2,1),"NA")</f>
        <v>NA</v>
      </c>
      <c r="AH24087" s="4" t="str">
        <f>HYPERLINK("#Statut_biogéographique!A"&amp;_xlfn.XMATCH("M",Statut_biogéographique!A:A,2,1),"M")</f>
        <v>M</v>
      </c>
      <c r="AP24087" s="4" t="s">
        <v>376</v>
      </c>
      <c r="AR24087" s="4" t="s">
        <v>377</v>
      </c>
    </row>
    <row r="24088" spans="1:44" ht="30">
      <c r="A24088" s="4" t="s">
        <v>24364</v>
      </c>
      <c r="B24088" s="4">
        <v>904181</v>
      </c>
      <c r="D24088" s="5" t="s">
        <v>31548</v>
      </c>
      <c r="E24088" s="6" t="str">
        <f>HYPERLINK("https://inpn.mnhn.fr/espece/cd_nom/904181","Flexitrichum flexicaule (Schwägr.) Ignatov &amp; Fedosov, 2016")</f>
        <v>Flexitrichum flexicaule (Schwägr.) Ignatov &amp; Fedosov, 2016</v>
      </c>
      <c r="P24088" s="7" t="str">
        <f>HYPERLINK("#Liste_rouge!A"&amp;_xlfn.XMATCH("LC",Liste_rouge!A:A,2,1),"LC")</f>
        <v>LC</v>
      </c>
      <c r="T24088" s="7" t="str">
        <f>HYPERLINK("#Liste_rouge!A"&amp;_xlfn.XMATCH("LC",Liste_rouge!A:A,2,1),"LC")</f>
        <v>LC</v>
      </c>
      <c r="V24088" s="7" t="str">
        <f>HYPERLINK("#Liste_rouge!A"&amp;_xlfn.XMATCH("LC",Liste_rouge!A:A,2,1),"LC (cd_nom 904181) - NE (cd_nom 904181)")</f>
        <v>LC (cd_nom 904181) - NE (cd_nom 904181)</v>
      </c>
      <c r="AH24088" s="4" t="str">
        <f>HYPERLINK("#Statut_biogéographique!A"&amp;_xlfn.XMATCH("P",Statut_biogéographique!A:A,2,1),"P")</f>
        <v>P</v>
      </c>
      <c r="AP24088" s="4" t="s">
        <v>376</v>
      </c>
      <c r="AR24088" s="4" t="s">
        <v>377</v>
      </c>
    </row>
    <row r="24089" spans="1:44" ht="30">
      <c r="A24089" s="4" t="s">
        <v>24364</v>
      </c>
      <c r="B24089" s="4">
        <v>904184</v>
      </c>
      <c r="D24089" s="5" t="s">
        <v>31549</v>
      </c>
      <c r="E24089" s="6" t="str">
        <f>HYPERLINK("https://inpn.mnhn.fr/espece/cd_nom/904184","Flexitrichum gracile (Mitt.) Ignatov &amp; Fedosov, 2016")</f>
        <v>Flexitrichum gracile (Mitt.) Ignatov &amp; Fedosov, 2016</v>
      </c>
      <c r="P24089" s="7" t="str">
        <f>HYPERLINK("#Liste_rouge!A"&amp;_xlfn.XMATCH("LC",Liste_rouge!A:A,2,1),"LC")</f>
        <v>LC</v>
      </c>
      <c r="T24089" s="7" t="str">
        <f>HYPERLINK("#Liste_rouge!A"&amp;_xlfn.XMATCH("LC",Liste_rouge!A:A,2,1),"LC")</f>
        <v>LC</v>
      </c>
      <c r="V24089" s="7" t="str">
        <f>HYPERLINK("#Liste_rouge!A"&amp;_xlfn.XMATCH("LC",Liste_rouge!A:A,2,1),"LC")</f>
        <v>LC</v>
      </c>
      <c r="AH24089" s="4" t="str">
        <f>HYPERLINK("#Statut_biogéographique!A"&amp;_xlfn.XMATCH("P",Statut_biogéographique!A:A,2,1),"P")</f>
        <v>P</v>
      </c>
      <c r="AP24089" s="4" t="s">
        <v>376</v>
      </c>
      <c r="AR24089" s="4" t="s">
        <v>377</v>
      </c>
    </row>
    <row r="24090" spans="1:44" ht="30">
      <c r="A24090" s="4" t="s">
        <v>24364</v>
      </c>
      <c r="B24090" s="4">
        <v>904305</v>
      </c>
      <c r="D24090" s="5" t="s">
        <v>31550</v>
      </c>
      <c r="E24090" s="6" t="str">
        <f>HYPERLINK("https://inpn.mnhn.fr/espece/cd_nom/904305","Buckia vaucheri (Lesq.) D.Ríos, M.T.Gallego &amp; J.Guerra, 2018")</f>
        <v>Buckia vaucheri (Lesq.) D.Ríos, M.T.Gallego &amp; J.Guerra, 2018</v>
      </c>
      <c r="P24090" s="7" t="str">
        <f>HYPERLINK("#Liste_rouge!A"&amp;_xlfn.XMATCH("LC",Liste_rouge!A:A,2,1),"LC")</f>
        <v>LC</v>
      </c>
      <c r="V24090" s="7" t="str">
        <f>HYPERLINK("#Liste_rouge!A"&amp;_xlfn.XMATCH("DD",Liste_rouge!A:A,2,1),"DD")</f>
        <v>DD</v>
      </c>
      <c r="X24090" s="5" t="s">
        <v>374</v>
      </c>
      <c r="AB24090" s="4" t="s">
        <v>93</v>
      </c>
      <c r="AH24090" s="4" t="str">
        <f>HYPERLINK("#Statut_biogéographique!A"&amp;_xlfn.XMATCH("P",Statut_biogéographique!A:A,2,1),"P")</f>
        <v>P</v>
      </c>
      <c r="AP24090" s="4" t="s">
        <v>376</v>
      </c>
      <c r="AR24090" s="4" t="s">
        <v>377</v>
      </c>
    </row>
    <row r="24091" spans="1:44" ht="30">
      <c r="A24091" s="4" t="s">
        <v>24364</v>
      </c>
      <c r="B24091" s="4">
        <v>90470</v>
      </c>
      <c r="D24091" s="5" t="s">
        <v>31551</v>
      </c>
      <c r="E24091" s="6" t="str">
        <f>HYPERLINK("https://inpn.mnhn.fr/espece/cd_nom/90470","Chamaemelum nobile (L.) All., 1785")</f>
        <v>Chamaemelum nobile (L.) All., 1785</v>
      </c>
      <c r="F24091" s="5" t="s">
        <v>31552</v>
      </c>
      <c r="O24091" s="7" t="str">
        <f>HYPERLINK("#Liste_rouge!A"&amp;_xlfn.XMATCH("LC",Liste_rouge!A:A,2,1),"LC")</f>
        <v>LC</v>
      </c>
      <c r="P24091" s="7" t="str">
        <f>HYPERLINK("#Liste_rouge!A"&amp;_xlfn.XMATCH("LC",Liste_rouge!A:A,2,1),"LC")</f>
        <v>LC</v>
      </c>
      <c r="Q24091" s="7" t="str">
        <f>HYPERLINK("#Liste_rouge!A"&amp;_xlfn.XMATCH("LC",Liste_rouge!A:A,2,1),"LC")</f>
        <v>LC</v>
      </c>
      <c r="T24091" s="7" t="str">
        <f>HYPERLINK("#Liste_rouge!A"&amp;_xlfn.XMATCH("VU",Liste_rouge!A:A,2,1),"VU")</f>
        <v>VU</v>
      </c>
      <c r="U24091" s="4" t="str">
        <f>HYPERLINK("#Critères_liste_rouge!A$1","D2")</f>
        <v>D2</v>
      </c>
      <c r="AB24091" s="4" t="s">
        <v>24803</v>
      </c>
      <c r="AH24091" s="4" t="str">
        <f>HYPERLINK("#Statut_biogéographique!A"&amp;_xlfn.XMATCH("P",Statut_biogéographique!A:A,2,1),"P")</f>
        <v>P</v>
      </c>
      <c r="AM24091" s="4" t="s">
        <v>375</v>
      </c>
      <c r="AN24091" s="4" t="s">
        <v>375</v>
      </c>
      <c r="AO24091" s="4" t="s">
        <v>375</v>
      </c>
      <c r="AP24091" s="4" t="s">
        <v>376</v>
      </c>
      <c r="AR24091" s="4" t="s">
        <v>377</v>
      </c>
    </row>
    <row r="24092" spans="1:44" ht="45">
      <c r="A24092" s="4" t="s">
        <v>24364</v>
      </c>
      <c r="B24092" s="4">
        <v>90669</v>
      </c>
      <c r="D24092" s="5" t="s">
        <v>31553</v>
      </c>
      <c r="E24092" s="6" t="str">
        <f>HYPERLINK("https://inpn.mnhn.fr/espece/cd_nom/90669","Chelidonium majus L., 1753")</f>
        <v>Chelidonium majus L., 1753</v>
      </c>
      <c r="F24092" s="5" t="s">
        <v>30095</v>
      </c>
      <c r="P24092" s="7" t="str">
        <f>HYPERLINK("#Liste_rouge!A"&amp;_xlfn.XMATCH("LC",Liste_rouge!A:A,2,1),"LC")</f>
        <v>LC</v>
      </c>
      <c r="Q24092" s="7" t="str">
        <f>HYPERLINK("#Liste_rouge!A"&amp;_xlfn.XMATCH("LC",Liste_rouge!A:A,2,1),"LC")</f>
        <v>LC</v>
      </c>
      <c r="T24092" s="7" t="str">
        <f>HYPERLINK("#Liste_rouge!A"&amp;_xlfn.XMATCH("LC",Liste_rouge!A:A,2,1),"LC")</f>
        <v>LC</v>
      </c>
      <c r="V24092" s="7" t="str">
        <f>HYPERLINK("#Liste_rouge!A"&amp;_xlfn.XMATCH("LC",Liste_rouge!A:A,2,1),"LC")</f>
        <v>LC</v>
      </c>
      <c r="AH24092" s="4" t="str">
        <f>HYPERLINK("#Statut_biogéographique!A"&amp;_xlfn.XMATCH("P",Statut_biogéographique!A:A,2,1),"P")</f>
        <v>P</v>
      </c>
      <c r="AM24092" s="4" t="s">
        <v>375</v>
      </c>
      <c r="AN24092" s="4" t="s">
        <v>375</v>
      </c>
      <c r="AO24092" s="4" t="s">
        <v>375</v>
      </c>
      <c r="AP24092" s="4" t="s">
        <v>376</v>
      </c>
      <c r="AR24092" s="4" t="s">
        <v>377</v>
      </c>
    </row>
    <row r="24093" spans="1:44" ht="135">
      <c r="A24093" s="4" t="s">
        <v>24364</v>
      </c>
      <c r="B24093" s="4">
        <v>90681</v>
      </c>
      <c r="D24093" s="5" t="s">
        <v>31554</v>
      </c>
      <c r="E24093" s="6" t="str">
        <f>HYPERLINK("https://inpn.mnhn.fr/espece/cd_nom/90681","Chenopodium album L., 1753")</f>
        <v>Chenopodium album L., 1753</v>
      </c>
      <c r="F24093" s="5" t="s">
        <v>28437</v>
      </c>
      <c r="Q24093" s="7" t="str">
        <f>HYPERLINK("#Liste_rouge!A"&amp;_xlfn.XMATCH("LC",Liste_rouge!A:A,2,1),"LC (cd_nom 90681) - NA (cd_nom 133220)")</f>
        <v>LC (cd_nom 90681) - NA (cd_nom 133220)</v>
      </c>
      <c r="T24093" s="7" t="str">
        <f>HYPERLINK("#Liste_rouge!A"&amp;_xlfn.XMATCH("LC",Liste_rouge!A:A,2,1),"LC")</f>
        <v>LC</v>
      </c>
      <c r="V24093" s="7" t="str">
        <f>HYPERLINK("#Liste_rouge!A"&amp;_xlfn.XMATCH("LC",Liste_rouge!A:A,2,1),"LC")</f>
        <v>LC</v>
      </c>
      <c r="AH24093" s="4" t="str">
        <f>HYPERLINK("#Statut_biogéographique!A"&amp;_xlfn.XMATCH("P",Statut_biogéographique!A:A,2,1),"P")</f>
        <v>P</v>
      </c>
      <c r="AM24093" s="4" t="s">
        <v>375</v>
      </c>
      <c r="AN24093" s="4" t="s">
        <v>375</v>
      </c>
      <c r="AO24093" s="4" t="s">
        <v>375</v>
      </c>
      <c r="AP24093" s="4" t="s">
        <v>376</v>
      </c>
      <c r="AR24093" s="4" t="s">
        <v>377</v>
      </c>
    </row>
    <row r="24094" spans="1:44" ht="30">
      <c r="A24094" s="4" t="s">
        <v>24364</v>
      </c>
      <c r="B24094" s="4">
        <v>90724</v>
      </c>
      <c r="D24094" s="5" t="s">
        <v>31555</v>
      </c>
      <c r="E24094" s="6" t="str">
        <f>HYPERLINK("https://inpn.mnhn.fr/espece/cd_nom/90724","Chenopodium ficifolium Sm., 1800")</f>
        <v>Chenopodium ficifolium Sm., 1800</v>
      </c>
      <c r="F24094" s="5" t="s">
        <v>31556</v>
      </c>
      <c r="Q24094" s="7" t="str">
        <f>HYPERLINK("#Liste_rouge!A"&amp;_xlfn.XMATCH("LC",Liste_rouge!A:A,2,1),"LC")</f>
        <v>LC</v>
      </c>
      <c r="T24094" s="7" t="str">
        <f>HYPERLINK("#Liste_rouge!A"&amp;_xlfn.XMATCH("EN",Liste_rouge!A:A,2,1),"EN")</f>
        <v>EN</v>
      </c>
      <c r="U24094" s="4" t="str">
        <f>HYPERLINK("#Critères_liste_rouge!A$1","B2a")</f>
        <v>B2a</v>
      </c>
      <c r="V24094" s="7" t="str">
        <f>HYPERLINK("#Liste_rouge!A"&amp;_xlfn.XMATCH("RE",Liste_rouge!A:A,2,1),"RE")</f>
        <v>RE</v>
      </c>
      <c r="X24094" s="5" t="s">
        <v>374</v>
      </c>
      <c r="AB24094" s="4" t="s">
        <v>93</v>
      </c>
      <c r="AH24094" s="4" t="str">
        <f>HYPERLINK("#Statut_biogéographique!A"&amp;_xlfn.XMATCH("P",Statut_biogéographique!A:A,2,1),"P")</f>
        <v>P</v>
      </c>
      <c r="AM24094" s="4" t="s">
        <v>375</v>
      </c>
      <c r="AN24094" s="4" t="s">
        <v>375</v>
      </c>
      <c r="AO24094" s="4" t="s">
        <v>375</v>
      </c>
      <c r="AP24094" s="4" t="s">
        <v>376</v>
      </c>
      <c r="AR24094" s="4" t="s">
        <v>377</v>
      </c>
    </row>
    <row r="24095" spans="1:44" ht="30">
      <c r="A24095" s="4" t="s">
        <v>24364</v>
      </c>
      <c r="B24095" s="4">
        <v>90755</v>
      </c>
      <c r="D24095" s="5" t="s">
        <v>31557</v>
      </c>
      <c r="E24095" s="6" t="str">
        <f>HYPERLINK("https://inpn.mnhn.fr/espece/cd_nom/90755","Chenopodium leptophyllum (Moq.) Nutt. ex S.Watson, 1874")</f>
        <v>Chenopodium leptophyllum (Moq.) Nutt. ex S.Watson, 1874</v>
      </c>
      <c r="F24095" s="5" t="s">
        <v>31558</v>
      </c>
      <c r="Q24095" s="7" t="str">
        <f>HYPERLINK("#Liste_rouge!A"&amp;_xlfn.XMATCH("NA",Liste_rouge!A:A,2,1),"NA")</f>
        <v>NA</v>
      </c>
      <c r="T24095" s="7" t="str">
        <f>HYPERLINK("#Liste_rouge!A"&amp;_xlfn.XMATCH("NA",Liste_rouge!A:A,2,1),"NA")</f>
        <v>NA</v>
      </c>
      <c r="AH24095" s="4" t="str">
        <f>HYPERLINK("#Statut_biogéographique!A"&amp;_xlfn.XMATCH("M",Statut_biogéographique!A:A,2,1),"M")</f>
        <v>M</v>
      </c>
      <c r="AP24095" s="4" t="s">
        <v>376</v>
      </c>
      <c r="AR24095" s="4" t="s">
        <v>377</v>
      </c>
    </row>
    <row r="24096" spans="1:44" ht="30">
      <c r="A24096" s="4" t="s">
        <v>24364</v>
      </c>
      <c r="B24096" s="4">
        <v>90836</v>
      </c>
      <c r="D24096" s="5" t="s">
        <v>31559</v>
      </c>
      <c r="E24096" s="6" t="str">
        <f>HYPERLINK("https://inpn.mnhn.fr/espece/cd_nom/90836","Chenopodium vulvaria L., 1753")</f>
        <v>Chenopodium vulvaria L., 1753</v>
      </c>
      <c r="F24096" s="5" t="s">
        <v>31560</v>
      </c>
      <c r="Q24096" s="7" t="str">
        <f>HYPERLINK("#Liste_rouge!A"&amp;_xlfn.XMATCH("LC",Liste_rouge!A:A,2,1),"LC")</f>
        <v>LC</v>
      </c>
      <c r="T24096" s="7" t="str">
        <f>HYPERLINK("#Liste_rouge!A"&amp;_xlfn.XMATCH("NT",Liste_rouge!A:A,2,1),"NT")</f>
        <v>NT</v>
      </c>
      <c r="U24096" s="4" t="str">
        <f>HYPERLINK("#Critères_liste_rouge!A$1","pr. B2b(ii,iii,iv) &amp; D2")</f>
        <v>pr. B2b(ii,iii,iv) &amp; D2</v>
      </c>
      <c r="V24096" s="7" t="str">
        <f>HYPERLINK("#Liste_rouge!A"&amp;_xlfn.XMATCH("CR",Liste_rouge!A:A,2,1),"CR")</f>
        <v>CR</v>
      </c>
      <c r="W24096" s="4" t="str">
        <f>HYPERLINK("#Critères_liste_rouge!A$1","D")</f>
        <v>D</v>
      </c>
      <c r="X24096" s="5" t="s">
        <v>374</v>
      </c>
      <c r="AB24096" s="4" t="s">
        <v>93</v>
      </c>
      <c r="AH24096" s="4" t="str">
        <f>HYPERLINK("#Statut_biogéographique!A"&amp;_xlfn.XMATCH("P",Statut_biogéographique!A:A,2,1),"P")</f>
        <v>P</v>
      </c>
      <c r="AM24096" s="4" t="s">
        <v>375</v>
      </c>
      <c r="AN24096" s="4" t="s">
        <v>375</v>
      </c>
      <c r="AO24096" s="4" t="s">
        <v>375</v>
      </c>
      <c r="AP24096" s="4" t="s">
        <v>376</v>
      </c>
      <c r="AR24096" s="4" t="s">
        <v>377</v>
      </c>
    </row>
    <row r="24097" spans="1:44" ht="45">
      <c r="A24097" s="4" t="s">
        <v>24364</v>
      </c>
      <c r="B24097" s="4">
        <v>90925</v>
      </c>
      <c r="D24097" s="5" t="s">
        <v>31561</v>
      </c>
      <c r="E24097" s="6" t="str">
        <f>HYPERLINK("https://inpn.mnhn.fr/espece/cd_nom/90925","Chloris virgata Sw., 1797")</f>
        <v>Chloris virgata Sw., 1797</v>
      </c>
      <c r="F24097" s="5" t="s">
        <v>31562</v>
      </c>
      <c r="Q24097" s="7" t="str">
        <f>HYPERLINK("#Liste_rouge!A"&amp;_xlfn.XMATCH("NA",Liste_rouge!A:A,2,1),"NA")</f>
        <v>NA</v>
      </c>
      <c r="AH24097" s="4" t="str">
        <f>HYPERLINK("#Statut_biogéographique!A"&amp;_xlfn.XMATCH("I",Statut_biogéographique!A:A,2,1),"I")</f>
        <v>I</v>
      </c>
      <c r="AP24097" s="4" t="s">
        <v>376</v>
      </c>
      <c r="AR24097" s="4" t="s">
        <v>377</v>
      </c>
    </row>
    <row r="24098" spans="1:44" ht="60">
      <c r="A24098" s="4" t="s">
        <v>24364</v>
      </c>
      <c r="B24098" s="4">
        <v>90954</v>
      </c>
      <c r="D24098" s="5" t="s">
        <v>31563</v>
      </c>
      <c r="E24098" s="6" t="str">
        <f>HYPERLINK("https://inpn.mnhn.fr/espece/cd_nom/90954","Chondrilla juncea L., 1753")</f>
        <v>Chondrilla juncea L., 1753</v>
      </c>
      <c r="F24098" s="5" t="s">
        <v>31564</v>
      </c>
      <c r="Q24098" s="7" t="str">
        <f>HYPERLINK("#Liste_rouge!A"&amp;_xlfn.XMATCH("LC",Liste_rouge!A:A,2,1),"LC")</f>
        <v>LC</v>
      </c>
      <c r="T24098" s="7" t="str">
        <f>HYPERLINK("#Liste_rouge!A"&amp;_xlfn.XMATCH("LC",Liste_rouge!A:A,2,1),"LC")</f>
        <v>LC</v>
      </c>
      <c r="V24098" s="7" t="str">
        <f>HYPERLINK("#Liste_rouge!A"&amp;_xlfn.XMATCH("LC",Liste_rouge!A:A,2,1),"LC")</f>
        <v>LC</v>
      </c>
      <c r="AH24098" s="4" t="str">
        <f>HYPERLINK("#Statut_biogéographique!A"&amp;_xlfn.XMATCH("P",Statut_biogéographique!A:A,2,1),"P")</f>
        <v>P</v>
      </c>
      <c r="AM24098" s="4" t="s">
        <v>375</v>
      </c>
      <c r="AN24098" s="4" t="s">
        <v>375</v>
      </c>
      <c r="AO24098" s="4" t="s">
        <v>375</v>
      </c>
      <c r="AP24098" s="4" t="s">
        <v>376</v>
      </c>
      <c r="AR24098" s="4" t="s">
        <v>377</v>
      </c>
    </row>
    <row r="24099" spans="1:44" ht="30">
      <c r="A24099" s="4" t="s">
        <v>24364</v>
      </c>
      <c r="B24099" s="4">
        <v>91118</v>
      </c>
      <c r="D24099" s="5" t="s">
        <v>31565</v>
      </c>
      <c r="E24099" s="6" t="str">
        <f>HYPERLINK("https://inpn.mnhn.fr/espece/cd_nom/91118","Chrysosplenium alternifolium L., 1753")</f>
        <v>Chrysosplenium alternifolium L., 1753</v>
      </c>
      <c r="F24099" s="5" t="s">
        <v>31566</v>
      </c>
      <c r="P24099" s="7" t="str">
        <f>HYPERLINK("#Liste_rouge!A"&amp;_xlfn.XMATCH("LC",Liste_rouge!A:A,2,1),"LC")</f>
        <v>LC</v>
      </c>
      <c r="Q24099" s="7" t="str">
        <f>HYPERLINK("#Liste_rouge!A"&amp;_xlfn.XMATCH("LC",Liste_rouge!A:A,2,1),"LC")</f>
        <v>LC</v>
      </c>
      <c r="T24099" s="7" t="str">
        <f>HYPERLINK("#Liste_rouge!A"&amp;_xlfn.XMATCH("NT",Liste_rouge!A:A,2,1),"NT")</f>
        <v>NT</v>
      </c>
      <c r="U24099" s="4" t="str">
        <f>HYPERLINK("#Critères_liste_rouge!A$1","pr. D2")</f>
        <v>pr. D2</v>
      </c>
      <c r="V24099" s="7" t="str">
        <f>HYPERLINK("#Liste_rouge!A"&amp;_xlfn.XMATCH("LC",Liste_rouge!A:A,2,1),"LC")</f>
        <v>LC</v>
      </c>
      <c r="AB24099" s="4" t="s">
        <v>25010</v>
      </c>
      <c r="AH24099" s="4" t="str">
        <f>HYPERLINK("#Statut_biogéographique!A"&amp;_xlfn.XMATCH("P",Statut_biogéographique!A:A,2,1),"P")</f>
        <v>P</v>
      </c>
      <c r="AM24099" s="4" t="s">
        <v>375</v>
      </c>
      <c r="AN24099" s="4" t="s">
        <v>375</v>
      </c>
      <c r="AO24099" s="4" t="s">
        <v>375</v>
      </c>
      <c r="AP24099" s="4" t="s">
        <v>376</v>
      </c>
      <c r="AR24099" s="4" t="s">
        <v>377</v>
      </c>
    </row>
    <row r="24100" spans="1:44" ht="30">
      <c r="A24100" s="4" t="s">
        <v>24364</v>
      </c>
      <c r="B24100" s="4">
        <v>91120</v>
      </c>
      <c r="D24100" s="5">
        <v>91120</v>
      </c>
      <c r="E24100" s="6" t="str">
        <f>HYPERLINK("https://inpn.mnhn.fr/espece/cd_nom/91120","Chrysosplenium oppositifolium L., 1753")</f>
        <v>Chrysosplenium oppositifolium L., 1753</v>
      </c>
      <c r="F24100" s="5" t="s">
        <v>31567</v>
      </c>
      <c r="Q24100" s="7" t="str">
        <f>HYPERLINK("#Liste_rouge!A"&amp;_xlfn.XMATCH("LC",Liste_rouge!A:A,2,1),"LC")</f>
        <v>LC</v>
      </c>
      <c r="T24100" s="7" t="str">
        <f>HYPERLINK("#Liste_rouge!A"&amp;_xlfn.XMATCH("LC",Liste_rouge!A:A,2,1),"LC")</f>
        <v>LC</v>
      </c>
      <c r="V24100" s="7" t="str">
        <f>HYPERLINK("#Liste_rouge!A"&amp;_xlfn.XMATCH("LC",Liste_rouge!A:A,2,1),"LC")</f>
        <v>LC</v>
      </c>
      <c r="AH24100" s="4" t="str">
        <f>HYPERLINK("#Statut_biogéographique!A"&amp;_xlfn.XMATCH("P",Statut_biogéographique!A:A,2,1),"P")</f>
        <v>P</v>
      </c>
      <c r="AM24100" s="4" t="s">
        <v>375</v>
      </c>
      <c r="AN24100" s="4" t="s">
        <v>375</v>
      </c>
      <c r="AO24100" s="4" t="s">
        <v>375</v>
      </c>
      <c r="AP24100" s="4" t="s">
        <v>376</v>
      </c>
      <c r="AR24100" s="4" t="s">
        <v>377</v>
      </c>
    </row>
    <row r="24101" spans="1:44" ht="30">
      <c r="A24101" s="4" t="s">
        <v>24364</v>
      </c>
      <c r="B24101" s="4">
        <v>91132</v>
      </c>
      <c r="D24101" s="5" t="s">
        <v>31568</v>
      </c>
      <c r="E24101" s="6" t="str">
        <f>HYPERLINK("https://inpn.mnhn.fr/espece/cd_nom/91132","Cicendia filiformis (L.) Delarbre, 1800")</f>
        <v>Cicendia filiformis (L.) Delarbre, 1800</v>
      </c>
      <c r="F24101" s="5" t="s">
        <v>31569</v>
      </c>
      <c r="Q24101" s="7" t="str">
        <f>HYPERLINK("#Liste_rouge!A"&amp;_xlfn.XMATCH("LC",Liste_rouge!A:A,2,1),"LC")</f>
        <v>LC</v>
      </c>
      <c r="T24101" s="7" t="str">
        <f>HYPERLINK("#Liste_rouge!A"&amp;_xlfn.XMATCH("EN",Liste_rouge!A:A,2,1),"EN")</f>
        <v>EN</v>
      </c>
      <c r="U24101" s="4" t="str">
        <f>HYPERLINK("#Critères_liste_rouge!A$1","B1 B2ab(ii,iii,iv) C2a(i)")</f>
        <v>B1 B2ab(ii,iii,iv) C2a(i)</v>
      </c>
      <c r="V24101" s="7" t="str">
        <f>HYPERLINK("#Liste_rouge!A"&amp;_xlfn.XMATCH("EN",Liste_rouge!A:A,2,1),"EN")</f>
        <v>EN</v>
      </c>
      <c r="W24101" s="4" t="str">
        <f>HYPERLINK("#Critères_liste_rouge!A$1","B2ab(iv)c(iv)")</f>
        <v>B2ab(iv)c(iv)</v>
      </c>
      <c r="X24101" s="5" t="s">
        <v>374</v>
      </c>
      <c r="AB24101" s="4" t="s">
        <v>93</v>
      </c>
      <c r="AH24101" s="4" t="str">
        <f>HYPERLINK("#Statut_biogéographique!A"&amp;_xlfn.XMATCH("P",Statut_biogéographique!A:A,2,1),"P")</f>
        <v>P</v>
      </c>
      <c r="AM24101" s="4" t="s">
        <v>375</v>
      </c>
      <c r="AN24101" s="4" t="s">
        <v>375</v>
      </c>
      <c r="AO24101" s="4" t="s">
        <v>375</v>
      </c>
      <c r="AP24101" s="4" t="s">
        <v>376</v>
      </c>
      <c r="AR24101" s="4" t="s">
        <v>377</v>
      </c>
    </row>
    <row r="24102" spans="1:44" ht="30">
      <c r="A24102" s="4" t="s">
        <v>24364</v>
      </c>
      <c r="B24102" s="4">
        <v>91136</v>
      </c>
      <c r="D24102" s="5" t="s">
        <v>31570</v>
      </c>
      <c r="E24102" s="6" t="str">
        <f>HYPERLINK("https://inpn.mnhn.fr/espece/cd_nom/91136","Cicer arietinum L., 1753")</f>
        <v>Cicer arietinum L., 1753</v>
      </c>
      <c r="F24102" s="5" t="s">
        <v>31571</v>
      </c>
      <c r="Q24102" s="7" t="str">
        <f>HYPERLINK("#Liste_rouge!A"&amp;_xlfn.XMATCH("NA",Liste_rouge!A:A,2,1),"NA")</f>
        <v>NA</v>
      </c>
      <c r="T24102" s="7" t="str">
        <f>HYPERLINK("#Liste_rouge!A"&amp;_xlfn.XMATCH("NA",Liste_rouge!A:A,2,1),"NA")</f>
        <v>NA</v>
      </c>
      <c r="AH24102" s="4" t="str">
        <f>HYPERLINK("#Statut_biogéographique!A"&amp;_xlfn.XMATCH("M",Statut_biogéographique!A:A,2,1),"M")</f>
        <v>M</v>
      </c>
      <c r="AP24102" s="4" t="s">
        <v>376</v>
      </c>
      <c r="AR24102" s="4" t="s">
        <v>377</v>
      </c>
    </row>
    <row r="24103" spans="1:44" ht="45">
      <c r="A24103" s="4" t="s">
        <v>24364</v>
      </c>
      <c r="B24103" s="4">
        <v>91169</v>
      </c>
      <c r="D24103" s="5" t="s">
        <v>31572</v>
      </c>
      <c r="E24103" s="6" t="str">
        <f>HYPERLINK("https://inpn.mnhn.fr/espece/cd_nom/91169","Cichorium intybus L., 1753")</f>
        <v>Cichorium intybus L., 1753</v>
      </c>
      <c r="F24103" s="5" t="s">
        <v>31573</v>
      </c>
      <c r="P24103" s="7" t="str">
        <f>HYPERLINK("#Liste_rouge!A"&amp;_xlfn.XMATCH("LC",Liste_rouge!A:A,2,1),"LC")</f>
        <v>LC</v>
      </c>
      <c r="Q24103" s="7" t="str">
        <f>HYPERLINK("#Liste_rouge!A"&amp;_xlfn.XMATCH("LC",Liste_rouge!A:A,2,1),"LC")</f>
        <v>LC</v>
      </c>
      <c r="T24103" s="7" t="str">
        <f>HYPERLINK("#Liste_rouge!A"&amp;_xlfn.XMATCH("LC",Liste_rouge!A:A,2,1),"LC")</f>
        <v>LC</v>
      </c>
      <c r="V24103" s="7" t="str">
        <f>HYPERLINK("#Liste_rouge!A"&amp;_xlfn.XMATCH("LC",Liste_rouge!A:A,2,1),"LC")</f>
        <v>LC</v>
      </c>
      <c r="AH24103" s="4" t="str">
        <f>HYPERLINK("#Statut_biogéographique!A"&amp;_xlfn.XMATCH("P",Statut_biogéographique!A:A,2,1),"P")</f>
        <v>P</v>
      </c>
      <c r="AM24103" s="4" t="s">
        <v>375</v>
      </c>
      <c r="AN24103" s="4" t="s">
        <v>375</v>
      </c>
      <c r="AO24103" s="4" t="s">
        <v>375</v>
      </c>
      <c r="AP24103" s="4" t="s">
        <v>376</v>
      </c>
      <c r="AR24103" s="4" t="s">
        <v>377</v>
      </c>
    </row>
    <row r="24104" spans="1:44" ht="30">
      <c r="A24104" s="4" t="s">
        <v>24364</v>
      </c>
      <c r="B24104" s="4">
        <v>91199</v>
      </c>
      <c r="D24104" s="5" t="s">
        <v>31574</v>
      </c>
      <c r="E24104" s="6" t="str">
        <f>HYPERLINK("https://inpn.mnhn.fr/espece/cd_nom/91199","Cicuta virosa L., 1753")</f>
        <v>Cicuta virosa L., 1753</v>
      </c>
      <c r="F24104" s="5" t="s">
        <v>31575</v>
      </c>
      <c r="M24104" s="4" t="str">
        <f>HYPERLINK("#Réglementation!A"&amp;_xlfn.XMATCH("RV43",Réglementation!A:A,2,1),"RV43")</f>
        <v>RV43</v>
      </c>
      <c r="O24104" s="7" t="str">
        <f>HYPERLINK("#Liste_rouge!A"&amp;_xlfn.XMATCH("LC",Liste_rouge!A:A,2,1),"LC")</f>
        <v>LC</v>
      </c>
      <c r="P24104" s="7" t="str">
        <f>HYPERLINK("#Liste_rouge!A"&amp;_xlfn.XMATCH("LC",Liste_rouge!A:A,2,1),"LC")</f>
        <v>LC</v>
      </c>
      <c r="Q24104" s="7" t="str">
        <f>HYPERLINK("#Liste_rouge!A"&amp;_xlfn.XMATCH("VU",Liste_rouge!A:A,2,1),"VU")</f>
        <v>VU</v>
      </c>
      <c r="T24104" s="7" t="str">
        <f>HYPERLINK("#Liste_rouge!A"&amp;_xlfn.XMATCH("CR",Liste_rouge!A:A,2,1),"CR")</f>
        <v>CR</v>
      </c>
      <c r="U24104" s="4" t="str">
        <f>HYPERLINK("#Critères_liste_rouge!A$1","B1 B2ab(i,ii,iv)")</f>
        <v>B1 B2ab(i,ii,iv)</v>
      </c>
      <c r="V24104" s="7" t="str">
        <f>HYPERLINK("#Liste_rouge!A"&amp;_xlfn.XMATCH("VU",Liste_rouge!A:A,2,1),"VU")</f>
        <v>VU</v>
      </c>
      <c r="W24104" s="4" t="str">
        <f>HYPERLINK("#Critères_liste_rouge!A$1","B2ab(iii)")</f>
        <v>B2ab(iii)</v>
      </c>
      <c r="X24104" s="5" t="s">
        <v>374</v>
      </c>
      <c r="AB24104" s="4" t="s">
        <v>93</v>
      </c>
      <c r="AH24104" s="4" t="str">
        <f>HYPERLINK("#Statut_biogéographique!A"&amp;_xlfn.XMATCH("P",Statut_biogéographique!A:A,2,1),"P")</f>
        <v>P</v>
      </c>
      <c r="AM24104" s="4" t="s">
        <v>375</v>
      </c>
      <c r="AN24104" s="4" t="s">
        <v>375</v>
      </c>
      <c r="AO24104" s="4" t="s">
        <v>375</v>
      </c>
      <c r="AP24104" s="4" t="s">
        <v>389</v>
      </c>
      <c r="AR24104" s="4" t="s">
        <v>377</v>
      </c>
    </row>
    <row r="24105" spans="1:44">
      <c r="A24105" s="4" t="s">
        <v>24364</v>
      </c>
      <c r="B24105" s="4">
        <v>91256</v>
      </c>
      <c r="D24105" s="5" t="s">
        <v>31576</v>
      </c>
      <c r="E24105" s="6" t="str">
        <f>HYPERLINK("https://inpn.mnhn.fr/espece/cd_nom/91256","Circaea alpina L., 1753")</f>
        <v>Circaea alpina L., 1753</v>
      </c>
      <c r="F24105" s="5" t="s">
        <v>28440</v>
      </c>
      <c r="M24105" s="4" t="str">
        <f>HYPERLINK("#Réglementation!A"&amp;_xlfn.XMATCH("RV43",Réglementation!A:A,2,1),"RV43")</f>
        <v>RV43</v>
      </c>
      <c r="Q24105" s="7" t="str">
        <f>HYPERLINK("#Liste_rouge!A"&amp;_xlfn.XMATCH("LC",Liste_rouge!A:A,2,1),"LC")</f>
        <v>LC</v>
      </c>
      <c r="V24105" s="7" t="str">
        <f>HYPERLINK("#Liste_rouge!A"&amp;_xlfn.XMATCH("LC",Liste_rouge!A:A,2,1),"LC")</f>
        <v>LC</v>
      </c>
      <c r="AB24105" s="4" t="s">
        <v>24733</v>
      </c>
      <c r="AH24105" s="4" t="str">
        <f>HYPERLINK("#Statut_biogéographique!A"&amp;_xlfn.XMATCH("P",Statut_biogéographique!A:A,2,1),"P")</f>
        <v>P</v>
      </c>
      <c r="AM24105" s="4" t="s">
        <v>375</v>
      </c>
      <c r="AN24105" s="4" t="s">
        <v>375</v>
      </c>
      <c r="AO24105" s="4" t="s">
        <v>375</v>
      </c>
      <c r="AP24105" s="4" t="s">
        <v>376</v>
      </c>
      <c r="AR24105" s="4" t="s">
        <v>377</v>
      </c>
    </row>
    <row r="24106" spans="1:44" ht="45">
      <c r="A24106" s="4" t="s">
        <v>24364</v>
      </c>
      <c r="B24106" s="4">
        <v>91258</v>
      </c>
      <c r="D24106" s="5" t="s">
        <v>31577</v>
      </c>
      <c r="E24106" s="6" t="str">
        <f>HYPERLINK("https://inpn.mnhn.fr/espece/cd_nom/91258","Circaea lutetiana L., 1753")</f>
        <v>Circaea lutetiana L., 1753</v>
      </c>
      <c r="F24106" s="5" t="s">
        <v>31578</v>
      </c>
      <c r="Q24106" s="7" t="str">
        <f>HYPERLINK("#Liste_rouge!A"&amp;_xlfn.XMATCH("LC",Liste_rouge!A:A,2,1),"LC")</f>
        <v>LC</v>
      </c>
      <c r="T24106" s="7" t="str">
        <f>HYPERLINK("#Liste_rouge!A"&amp;_xlfn.XMATCH("LC",Liste_rouge!A:A,2,1),"LC")</f>
        <v>LC</v>
      </c>
      <c r="V24106" s="7" t="str">
        <f>HYPERLINK("#Liste_rouge!A"&amp;_xlfn.XMATCH("LC",Liste_rouge!A:A,2,1),"LC")</f>
        <v>LC</v>
      </c>
      <c r="AH24106" s="4" t="str">
        <f>HYPERLINK("#Statut_biogéographique!A"&amp;_xlfn.XMATCH("P",Statut_biogéographique!A:A,2,1),"P")</f>
        <v>P</v>
      </c>
      <c r="AM24106" s="4" t="s">
        <v>375</v>
      </c>
      <c r="AN24106" s="4" t="s">
        <v>375</v>
      </c>
      <c r="AO24106" s="4" t="s">
        <v>375</v>
      </c>
      <c r="AP24106" s="4" t="s">
        <v>376</v>
      </c>
      <c r="AR24106" s="4" t="s">
        <v>377</v>
      </c>
    </row>
    <row r="24107" spans="1:44" ht="30">
      <c r="A24107" s="4" t="s">
        <v>24364</v>
      </c>
      <c r="B24107" s="4">
        <v>91267</v>
      </c>
      <c r="D24107" s="5" t="s">
        <v>31579</v>
      </c>
      <c r="E24107" s="6" t="str">
        <f>HYPERLINK("https://inpn.mnhn.fr/espece/cd_nom/91267","Circaea x intermedia Ehrh., 1789")</f>
        <v>Circaea x intermedia Ehrh., 1789</v>
      </c>
      <c r="F24107" s="5" t="s">
        <v>31580</v>
      </c>
      <c r="M24107" s="4" t="str">
        <f>HYPERLINK("#Réglementation!A"&amp;_xlfn.XMATCH("RV43",Réglementation!A:A,2,1),"RV43")</f>
        <v>RV43</v>
      </c>
      <c r="T24107" s="7" t="str">
        <f>HYPERLINK("#Liste_rouge!A"&amp;_xlfn.XMATCH("DD",Liste_rouge!A:A,2,1),"DD")</f>
        <v>DD</v>
      </c>
      <c r="AH24107" s="4" t="str">
        <f>HYPERLINK("#Statut_biogéographique!A"&amp;_xlfn.XMATCH("P",Statut_biogéographique!A:A,2,1),"P")</f>
        <v>P</v>
      </c>
      <c r="AP24107" s="4" t="s">
        <v>376</v>
      </c>
      <c r="AR24107" s="4" t="s">
        <v>377</v>
      </c>
    </row>
    <row r="24108" spans="1:44" ht="150">
      <c r="A24108" s="4" t="s">
        <v>24364</v>
      </c>
      <c r="B24108" s="4">
        <v>91289</v>
      </c>
      <c r="D24108" s="5" t="s">
        <v>31581</v>
      </c>
      <c r="E24108" s="6" t="str">
        <f>HYPERLINK("https://inpn.mnhn.fr/espece/cd_nom/91289","Cirsium arvense (L.) Scop., 1772")</f>
        <v>Cirsium arvense (L.) Scop., 1772</v>
      </c>
      <c r="F24108" s="5" t="s">
        <v>31582</v>
      </c>
      <c r="Q24108" s="7" t="str">
        <f>HYPERLINK("#Liste_rouge!A"&amp;_xlfn.XMATCH("LC",Liste_rouge!A:A,2,1),"LC")</f>
        <v>LC</v>
      </c>
      <c r="T24108" s="7" t="str">
        <f>HYPERLINK("#Liste_rouge!A"&amp;_xlfn.XMATCH("LC",Liste_rouge!A:A,2,1),"LC (cd_nom 145541) - DD (cd_nom 145552)")</f>
        <v>LC (cd_nom 145541) - DD (cd_nom 145552)</v>
      </c>
      <c r="V24108" s="7" t="str">
        <f>HYPERLINK("#Liste_rouge!A"&amp;_xlfn.XMATCH("LC",Liste_rouge!A:A,2,1),"LC")</f>
        <v>LC</v>
      </c>
      <c r="AH24108" s="4" t="str">
        <f>HYPERLINK("#Statut_biogéographique!A"&amp;_xlfn.XMATCH("P",Statut_biogéographique!A:A,2,1),"P")</f>
        <v>P</v>
      </c>
      <c r="AM24108" s="4" t="s">
        <v>375</v>
      </c>
      <c r="AN24108" s="4" t="s">
        <v>375</v>
      </c>
      <c r="AO24108" s="4" t="s">
        <v>375</v>
      </c>
      <c r="AP24108" s="4" t="s">
        <v>376</v>
      </c>
      <c r="AR24108" s="4" t="s">
        <v>377</v>
      </c>
    </row>
    <row r="24109" spans="1:44">
      <c r="A24109" s="4" t="s">
        <v>24364</v>
      </c>
      <c r="B24109" s="4">
        <v>912986</v>
      </c>
      <c r="D24109" s="5" t="s">
        <v>31583</v>
      </c>
      <c r="E24109" s="6" t="str">
        <f>HYPERLINK("https://inpn.mnhn.fr/espece/cd_nom/912986","Sphagnum divinum Flatberg &amp; K.Hassel, 2018")</f>
        <v>Sphagnum divinum Flatberg &amp; K.Hassel, 2018</v>
      </c>
      <c r="K24109" s="4" t="str">
        <f>HYPERLINK("#Réglementation!A"&amp;_xlfn.XMATCH("CDH5",Réglementation!A:A,2,1),"CDH5")</f>
        <v>CDH5</v>
      </c>
      <c r="N24109" s="4" t="str">
        <f>HYPERLINK("#Réglementation!A"&amp;_xlfn.XMATCH("V39P1",Réglementation!A:A,2,1),"V39P1")</f>
        <v>V39P1</v>
      </c>
      <c r="P24109" s="7" t="str">
        <f>HYPERLINK("#Liste_rouge!A"&amp;_xlfn.XMATCH("LC",Liste_rouge!A:A,2,1),"LC")</f>
        <v>LC</v>
      </c>
      <c r="T24109" s="7" t="str">
        <f>HYPERLINK("#Liste_rouge!A"&amp;_xlfn.XMATCH("VU",Liste_rouge!A:A,2,1),"VU")</f>
        <v>VU</v>
      </c>
      <c r="V24109" s="7" t="str">
        <f>HYPERLINK("#Liste_rouge!A"&amp;_xlfn.XMATCH("DD",Liste_rouge!A:A,2,1),"DD")</f>
        <v>DD</v>
      </c>
      <c r="AH24109" s="4" t="str">
        <f>HYPERLINK("#Statut_biogéographique!A"&amp;_xlfn.XMATCH("P",Statut_biogéographique!A:A,2,1),"P")</f>
        <v>P</v>
      </c>
      <c r="AK24109" s="4" t="str">
        <f>HYPERLINK("#Réglementation!A"&amp;_xlfn.XMATCH("V39P6",Réglementation!A:A,2,1),"V39P6")</f>
        <v>V39P6</v>
      </c>
      <c r="AP24109" s="4" t="s">
        <v>376</v>
      </c>
      <c r="AR24109" s="4" t="s">
        <v>377</v>
      </c>
    </row>
    <row r="24110" spans="1:44" ht="30">
      <c r="A24110" s="4" t="s">
        <v>24364</v>
      </c>
      <c r="B24110" s="4">
        <v>91322</v>
      </c>
      <c r="D24110" s="5" t="s">
        <v>31584</v>
      </c>
      <c r="E24110" s="6" t="str">
        <f>HYPERLINK("https://inpn.mnhn.fr/espece/cd_nom/91322","Cirsium dissectum (L.) Hill, 1768")</f>
        <v>Cirsium dissectum (L.) Hill, 1768</v>
      </c>
      <c r="F24110" s="5" t="s">
        <v>31585</v>
      </c>
      <c r="Q24110" s="7" t="str">
        <f>HYPERLINK("#Liste_rouge!A"&amp;_xlfn.XMATCH("LC",Liste_rouge!A:A,2,1),"LC")</f>
        <v>LC</v>
      </c>
      <c r="T24110" s="7" t="str">
        <f>HYPERLINK("#Liste_rouge!A"&amp;_xlfn.XMATCH("LC",Liste_rouge!A:A,2,1),"LC")</f>
        <v>LC</v>
      </c>
      <c r="V24110" s="7" t="str">
        <f>HYPERLINK("#Liste_rouge!A"&amp;_xlfn.XMATCH("EN",Liste_rouge!A:A,2,1),"EN")</f>
        <v>EN</v>
      </c>
      <c r="W24110" s="4" t="str">
        <f>HYPERLINK("#Critères_liste_rouge!A$1","D")</f>
        <v>D</v>
      </c>
      <c r="AB24110" s="4" t="s">
        <v>24410</v>
      </c>
      <c r="AH24110" s="4" t="str">
        <f>HYPERLINK("#Statut_biogéographique!A"&amp;_xlfn.XMATCH("P",Statut_biogéographique!A:A,2,1),"P")</f>
        <v>P</v>
      </c>
      <c r="AM24110" s="4" t="s">
        <v>375</v>
      </c>
      <c r="AN24110" s="4" t="s">
        <v>375</v>
      </c>
      <c r="AO24110" s="4" t="s">
        <v>375</v>
      </c>
      <c r="AP24110" s="4" t="s">
        <v>376</v>
      </c>
      <c r="AR24110" s="4" t="s">
        <v>377</v>
      </c>
    </row>
    <row r="24111" spans="1:44" ht="75">
      <c r="A24111" s="4" t="s">
        <v>24364</v>
      </c>
      <c r="B24111" s="4">
        <v>91327</v>
      </c>
      <c r="D24111" s="5" t="s">
        <v>31586</v>
      </c>
      <c r="E24111" s="6" t="str">
        <f>HYPERLINK("https://inpn.mnhn.fr/espece/cd_nom/91327","Cirsium eriophorum (L.) Scop., 1772")</f>
        <v>Cirsium eriophorum (L.) Scop., 1772</v>
      </c>
      <c r="F24111" s="5" t="s">
        <v>31587</v>
      </c>
      <c r="Q24111" s="7" t="str">
        <f>HYPERLINK("#Liste_rouge!A"&amp;_xlfn.XMATCH("LC",Liste_rouge!A:A,2,1),"LC")</f>
        <v>LC</v>
      </c>
      <c r="T24111" s="7" t="str">
        <f>HYPERLINK("#Liste_rouge!A"&amp;_xlfn.XMATCH("LC",Liste_rouge!A:A,2,1),"LC")</f>
        <v>LC</v>
      </c>
      <c r="V24111" s="7" t="str">
        <f>HYPERLINK("#Liste_rouge!A"&amp;_xlfn.XMATCH("LC",Liste_rouge!A:A,2,1),"LC")</f>
        <v>LC</v>
      </c>
      <c r="AB24111" s="4" t="s">
        <v>24719</v>
      </c>
      <c r="AH24111" s="4" t="str">
        <f>HYPERLINK("#Statut_biogéographique!A"&amp;_xlfn.XMATCH("P",Statut_biogéographique!A:A,2,1),"P")</f>
        <v>P</v>
      </c>
      <c r="AM24111" s="4" t="s">
        <v>375</v>
      </c>
      <c r="AN24111" s="4" t="s">
        <v>375</v>
      </c>
      <c r="AO24111" s="4" t="s">
        <v>375</v>
      </c>
      <c r="AP24111" s="4" t="s">
        <v>376</v>
      </c>
      <c r="AR24111" s="4" t="s">
        <v>377</v>
      </c>
    </row>
    <row r="24112" spans="1:44" ht="30">
      <c r="A24112" s="4" t="s">
        <v>24364</v>
      </c>
      <c r="B24112" s="4">
        <v>91328</v>
      </c>
      <c r="D24112" s="5" t="s">
        <v>31588</v>
      </c>
      <c r="E24112" s="6" t="str">
        <f>HYPERLINK("https://inpn.mnhn.fr/espece/cd_nom/91328","Cirsium erisithales (Jacq.) Scop., 1769")</f>
        <v>Cirsium erisithales (Jacq.) Scop., 1769</v>
      </c>
      <c r="F24112" s="5" t="s">
        <v>31589</v>
      </c>
      <c r="Q24112" s="7" t="str">
        <f>HYPERLINK("#Liste_rouge!A"&amp;_xlfn.XMATCH("LC",Liste_rouge!A:A,2,1),"LC")</f>
        <v>LC</v>
      </c>
      <c r="T24112" s="7" t="str">
        <f>HYPERLINK("#Liste_rouge!A"&amp;_xlfn.XMATCH("NA",Liste_rouge!A:A,2,1),"NA")</f>
        <v>NA</v>
      </c>
      <c r="V24112" s="7" t="str">
        <f>HYPERLINK("#Liste_rouge!A"&amp;_xlfn.XMATCH("LC",Liste_rouge!A:A,2,1),"LC")</f>
        <v>LC</v>
      </c>
      <c r="AB24112" s="4" t="s">
        <v>24909</v>
      </c>
      <c r="AH24112" s="4" t="str">
        <f>HYPERLINK("#Statut_biogéographique!A"&amp;_xlfn.XMATCH("P",Statut_biogéographique!A:A,2,1),"P")</f>
        <v>P</v>
      </c>
      <c r="AM24112" s="4" t="s">
        <v>375</v>
      </c>
      <c r="AN24112" s="4" t="s">
        <v>375</v>
      </c>
      <c r="AO24112" s="4" t="s">
        <v>375</v>
      </c>
      <c r="AP24112" s="4" t="s">
        <v>376</v>
      </c>
      <c r="AR24112" s="4" t="s">
        <v>377</v>
      </c>
    </row>
    <row r="24113" spans="1:44" ht="45">
      <c r="A24113" s="4" t="s">
        <v>24364</v>
      </c>
      <c r="B24113" s="4">
        <v>91378</v>
      </c>
      <c r="D24113" s="5" t="s">
        <v>31590</v>
      </c>
      <c r="E24113" s="6" t="str">
        <f>HYPERLINK("https://inpn.mnhn.fr/espece/cd_nom/91378","Cirsium oleraceum (L.) Scop., 1769")</f>
        <v>Cirsium oleraceum (L.) Scop., 1769</v>
      </c>
      <c r="F24113" s="5" t="s">
        <v>31591</v>
      </c>
      <c r="Q24113" s="7" t="str">
        <f>HYPERLINK("#Liste_rouge!A"&amp;_xlfn.XMATCH("LC",Liste_rouge!A:A,2,1),"LC")</f>
        <v>LC</v>
      </c>
      <c r="T24113" s="7" t="str">
        <f>HYPERLINK("#Liste_rouge!A"&amp;_xlfn.XMATCH("LC",Liste_rouge!A:A,2,1),"LC")</f>
        <v>LC</v>
      </c>
      <c r="V24113" s="7" t="str">
        <f>HYPERLINK("#Liste_rouge!A"&amp;_xlfn.XMATCH("LC",Liste_rouge!A:A,2,1),"LC")</f>
        <v>LC</v>
      </c>
      <c r="AB24113" s="4" t="s">
        <v>24777</v>
      </c>
      <c r="AH24113" s="4" t="str">
        <f>HYPERLINK("#Statut_biogéographique!A"&amp;_xlfn.XMATCH("P",Statut_biogéographique!A:A,2,1),"P")</f>
        <v>P</v>
      </c>
      <c r="AM24113" s="4" t="s">
        <v>375</v>
      </c>
      <c r="AN24113" s="4" t="s">
        <v>375</v>
      </c>
      <c r="AO24113" s="4" t="s">
        <v>375</v>
      </c>
      <c r="AP24113" s="4" t="s">
        <v>376</v>
      </c>
      <c r="AR24113" s="4" t="s">
        <v>377</v>
      </c>
    </row>
    <row r="24114" spans="1:44" ht="45">
      <c r="A24114" s="4" t="s">
        <v>24364</v>
      </c>
      <c r="B24114" s="4">
        <v>91382</v>
      </c>
      <c r="D24114" s="5" t="s">
        <v>31592</v>
      </c>
      <c r="E24114" s="6" t="str">
        <f>HYPERLINK("https://inpn.mnhn.fr/espece/cd_nom/91382","Cirsium palustre (L.) Scop., 1772")</f>
        <v>Cirsium palustre (L.) Scop., 1772</v>
      </c>
      <c r="F24114" s="5" t="s">
        <v>31593</v>
      </c>
      <c r="Q24114" s="7" t="str">
        <f>HYPERLINK("#Liste_rouge!A"&amp;_xlfn.XMATCH("LC",Liste_rouge!A:A,2,1),"LC")</f>
        <v>LC</v>
      </c>
      <c r="T24114" s="7" t="str">
        <f>HYPERLINK("#Liste_rouge!A"&amp;_xlfn.XMATCH("LC",Liste_rouge!A:A,2,1),"LC")</f>
        <v>LC</v>
      </c>
      <c r="V24114" s="7" t="str">
        <f>HYPERLINK("#Liste_rouge!A"&amp;_xlfn.XMATCH("LC",Liste_rouge!A:A,2,1),"LC")</f>
        <v>LC</v>
      </c>
      <c r="AH24114" s="4" t="str">
        <f>HYPERLINK("#Statut_biogéographique!A"&amp;_xlfn.XMATCH("P",Statut_biogéographique!A:A,2,1),"P")</f>
        <v>P</v>
      </c>
      <c r="AM24114" s="4" t="s">
        <v>375</v>
      </c>
      <c r="AN24114" s="4" t="s">
        <v>375</v>
      </c>
      <c r="AO24114" s="4" t="s">
        <v>375</v>
      </c>
      <c r="AP24114" s="4" t="s">
        <v>376</v>
      </c>
      <c r="AR24114" s="4" t="s">
        <v>377</v>
      </c>
    </row>
    <row r="24115" spans="1:44" ht="30">
      <c r="A24115" s="4" t="s">
        <v>24364</v>
      </c>
      <c r="B24115" s="4">
        <v>91398</v>
      </c>
      <c r="D24115" s="5" t="s">
        <v>31594</v>
      </c>
      <c r="E24115" s="6" t="str">
        <f>HYPERLINK("https://inpn.mnhn.fr/espece/cd_nom/91398","Cirsium rivulare (Jacq.) All., 1789")</f>
        <v>Cirsium rivulare (Jacq.) All., 1789</v>
      </c>
      <c r="F24115" s="5" t="s">
        <v>31595</v>
      </c>
      <c r="Q24115" s="7" t="str">
        <f>HYPERLINK("#Liste_rouge!A"&amp;_xlfn.XMATCH("LC",Liste_rouge!A:A,2,1),"LC")</f>
        <v>LC</v>
      </c>
      <c r="V24115" s="7" t="str">
        <f>HYPERLINK("#Liste_rouge!A"&amp;_xlfn.XMATCH("LC",Liste_rouge!A:A,2,1),"LC")</f>
        <v>LC</v>
      </c>
      <c r="AH24115" s="4" t="str">
        <f>HYPERLINK("#Statut_biogéographique!A"&amp;_xlfn.XMATCH("P",Statut_biogéographique!A:A,2,1),"P")</f>
        <v>P</v>
      </c>
      <c r="AM24115" s="4" t="s">
        <v>375</v>
      </c>
      <c r="AN24115" s="4" t="s">
        <v>375</v>
      </c>
      <c r="AO24115" s="4" t="s">
        <v>375</v>
      </c>
      <c r="AP24115" s="4" t="s">
        <v>376</v>
      </c>
      <c r="AR24115" s="4" t="s">
        <v>377</v>
      </c>
    </row>
    <row r="24116" spans="1:44">
      <c r="A24116" s="4" t="s">
        <v>24364</v>
      </c>
      <c r="B24116" s="4">
        <v>91409</v>
      </c>
      <c r="D24116" s="5" t="s">
        <v>31596</v>
      </c>
      <c r="E24116" s="6" t="str">
        <f>HYPERLINK("https://inpn.mnhn.fr/espece/cd_nom/91409","Cirsium spathulatum (Moretti) Gaudin, 1829")</f>
        <v>Cirsium spathulatum (Moretti) Gaudin, 1829</v>
      </c>
      <c r="F24116" s="5" t="s">
        <v>31597</v>
      </c>
      <c r="AH24116" s="4" t="str">
        <f>HYPERLINK("#Statut_biogéographique!A"&amp;_xlfn.XMATCH("Q",Statut_biogéographique!A:A,2,1),"Q")</f>
        <v>Q</v>
      </c>
      <c r="AP24116" s="4" t="s">
        <v>376</v>
      </c>
      <c r="AR24116" s="4" t="s">
        <v>377</v>
      </c>
    </row>
    <row r="24117" spans="1:44" ht="45">
      <c r="A24117" s="4" t="s">
        <v>24364</v>
      </c>
      <c r="B24117" s="4">
        <v>91422</v>
      </c>
      <c r="D24117" s="5" t="s">
        <v>31598</v>
      </c>
      <c r="E24117" s="6" t="str">
        <f>HYPERLINK("https://inpn.mnhn.fr/espece/cd_nom/91422","Cirsium tuberosum (L.) All., 1785")</f>
        <v>Cirsium tuberosum (L.) All., 1785</v>
      </c>
      <c r="F24117" s="5" t="s">
        <v>31599</v>
      </c>
      <c r="Q24117" s="7" t="str">
        <f>HYPERLINK("#Liste_rouge!A"&amp;_xlfn.XMATCH("LC",Liste_rouge!A:A,2,1),"LC")</f>
        <v>LC</v>
      </c>
      <c r="T24117" s="7" t="str">
        <f>HYPERLINK("#Liste_rouge!A"&amp;_xlfn.XMATCH("VU",Liste_rouge!A:A,2,1),"VU")</f>
        <v>VU</v>
      </c>
      <c r="U24117" s="4" t="str">
        <f>HYPERLINK("#Critères_liste_rouge!A$1","C2a(i) D2")</f>
        <v>C2a(i) D2</v>
      </c>
      <c r="V24117" s="7" t="str">
        <f>HYPERLINK("#Liste_rouge!A"&amp;_xlfn.XMATCH("LC",Liste_rouge!A:A,2,1),"LC")</f>
        <v>LC</v>
      </c>
      <c r="AB24117" s="4" t="s">
        <v>26166</v>
      </c>
      <c r="AH24117" s="4" t="str">
        <f>HYPERLINK("#Statut_biogéographique!A"&amp;_xlfn.XMATCH("P",Statut_biogéographique!A:A,2,1),"P")</f>
        <v>P</v>
      </c>
      <c r="AM24117" s="4" t="s">
        <v>375</v>
      </c>
      <c r="AN24117" s="4" t="s">
        <v>375</v>
      </c>
      <c r="AO24117" s="4" t="s">
        <v>375</v>
      </c>
      <c r="AP24117" s="4" t="s">
        <v>376</v>
      </c>
      <c r="AR24117" s="4" t="s">
        <v>377</v>
      </c>
    </row>
    <row r="24118" spans="1:44" ht="30">
      <c r="A24118" s="4" t="s">
        <v>24364</v>
      </c>
      <c r="B24118" s="4">
        <v>91430</v>
      </c>
      <c r="D24118" s="5" t="s">
        <v>31600</v>
      </c>
      <c r="E24118" s="6" t="str">
        <f>HYPERLINK("https://inpn.mnhn.fr/espece/cd_nom/91430","Cirsium vulgare (Savi) Ten., 1838")</f>
        <v>Cirsium vulgare (Savi) Ten., 1838</v>
      </c>
      <c r="F24118" s="5" t="s">
        <v>28442</v>
      </c>
      <c r="Q24118" s="7" t="str">
        <f>HYPERLINK("#Liste_rouge!A"&amp;_xlfn.XMATCH("LC",Liste_rouge!A:A,2,1),"LC")</f>
        <v>LC</v>
      </c>
      <c r="T24118" s="7" t="str">
        <f>HYPERLINK("#Liste_rouge!A"&amp;_xlfn.XMATCH("LC",Liste_rouge!A:A,2,1),"LC")</f>
        <v>LC</v>
      </c>
      <c r="V24118" s="7" t="str">
        <f>HYPERLINK("#Liste_rouge!A"&amp;_xlfn.XMATCH("LC",Liste_rouge!A:A,2,1),"LC")</f>
        <v>LC</v>
      </c>
      <c r="AH24118" s="4" t="str">
        <f>HYPERLINK("#Statut_biogéographique!A"&amp;_xlfn.XMATCH("P",Statut_biogéographique!A:A,2,1),"P")</f>
        <v>P</v>
      </c>
      <c r="AM24118" s="4" t="s">
        <v>375</v>
      </c>
      <c r="AN24118" s="4" t="s">
        <v>375</v>
      </c>
      <c r="AO24118" s="4" t="s">
        <v>375</v>
      </c>
      <c r="AP24118" s="4" t="s">
        <v>376</v>
      </c>
      <c r="AR24118" s="4" t="s">
        <v>377</v>
      </c>
    </row>
    <row r="24119" spans="1:44">
      <c r="A24119" s="4" t="s">
        <v>24364</v>
      </c>
      <c r="B24119" s="4">
        <v>91436</v>
      </c>
      <c r="D24119" s="5" t="s">
        <v>31601</v>
      </c>
      <c r="E24119" s="6" t="str">
        <f>HYPERLINK("https://inpn.mnhn.fr/espece/cd_nom/91436","Cirsium x alpestre Nägeli, 1840")</f>
        <v>Cirsium x alpestre Nägeli, 1840</v>
      </c>
      <c r="F24119" s="5" t="s">
        <v>31602</v>
      </c>
      <c r="AH24119" s="4" t="str">
        <f>HYPERLINK("#Statut_biogéographique!A"&amp;_xlfn.XMATCH("D",Statut_biogéographique!A:A,2,1),"D")</f>
        <v>D</v>
      </c>
      <c r="AP24119" s="4" t="s">
        <v>376</v>
      </c>
      <c r="AR24119" s="4" t="s">
        <v>377</v>
      </c>
    </row>
    <row r="24120" spans="1:44">
      <c r="A24120" s="4" t="s">
        <v>24364</v>
      </c>
      <c r="B24120" s="4">
        <v>91454</v>
      </c>
      <c r="D24120" s="5" t="s">
        <v>31603</v>
      </c>
      <c r="E24120" s="6" t="str">
        <f>HYPERLINK("https://inpn.mnhn.fr/espece/cd_nom/91454","Cirsium x boulayii E.G.Camus, 1892")</f>
        <v>Cirsium x boulayii E.G.Camus, 1892</v>
      </c>
      <c r="F24120" s="5" t="s">
        <v>31604</v>
      </c>
      <c r="T24120" s="7" t="str">
        <f>HYPERLINK("#Liste_rouge!A"&amp;_xlfn.XMATCH("NE",Liste_rouge!A:A,2,1),"NE")</f>
        <v>NE</v>
      </c>
      <c r="AH24120" s="4" t="str">
        <f>HYPERLINK("#Statut_biogéographique!A"&amp;_xlfn.XMATCH("D",Statut_biogéographique!A:A,2,1),"D")</f>
        <v>D</v>
      </c>
      <c r="AP24120" s="4" t="s">
        <v>376</v>
      </c>
      <c r="AR24120" s="4" t="s">
        <v>377</v>
      </c>
    </row>
    <row r="24121" spans="1:44">
      <c r="A24121" s="4" t="s">
        <v>24364</v>
      </c>
      <c r="B24121" s="4">
        <v>91486</v>
      </c>
      <c r="D24121" s="5" t="s">
        <v>31605</v>
      </c>
      <c r="E24121" s="6" t="str">
        <f>HYPERLINK("https://inpn.mnhn.fr/espece/cd_nom/91486","Cirsium x erucagineum DC., 1805")</f>
        <v>Cirsium x erucagineum DC., 1805</v>
      </c>
      <c r="F24121" s="5" t="s">
        <v>31606</v>
      </c>
      <c r="AH24121" s="4" t="str">
        <f>HYPERLINK("#Statut_biogéographique!A"&amp;_xlfn.XMATCH("D",Statut_biogéographique!A:A,2,1),"D")</f>
        <v>D</v>
      </c>
      <c r="AP24121" s="4" t="s">
        <v>376</v>
      </c>
      <c r="AR24121" s="4" t="s">
        <v>377</v>
      </c>
    </row>
    <row r="24122" spans="1:44">
      <c r="A24122" s="4" t="s">
        <v>24364</v>
      </c>
      <c r="B24122" s="4">
        <v>91496</v>
      </c>
      <c r="D24122" s="5" t="s">
        <v>31607</v>
      </c>
      <c r="E24122" s="6" t="str">
        <f>HYPERLINK("https://inpn.mnhn.fr/espece/cd_nom/91496","Cirsium x forsteri (Sm.) Loudon, 1832")</f>
        <v>Cirsium x forsteri (Sm.) Loudon, 1832</v>
      </c>
      <c r="F24122" s="5" t="s">
        <v>31608</v>
      </c>
      <c r="T24122" s="7" t="str">
        <f>HYPERLINK("#Liste_rouge!A"&amp;_xlfn.XMATCH("NE",Liste_rouge!A:A,2,1),"NE")</f>
        <v>NE</v>
      </c>
      <c r="AH24122" s="4" t="str">
        <f>HYPERLINK("#Statut_biogéographique!A"&amp;_xlfn.XMATCH("D",Statut_biogéographique!A:A,2,1),"D")</f>
        <v>D</v>
      </c>
      <c r="AP24122" s="4" t="s">
        <v>376</v>
      </c>
      <c r="AR24122" s="4" t="s">
        <v>377</v>
      </c>
    </row>
    <row r="24123" spans="1:44">
      <c r="A24123" s="4" t="s">
        <v>24364</v>
      </c>
      <c r="B24123" s="4">
        <v>91498</v>
      </c>
      <c r="D24123" s="5">
        <v>91498</v>
      </c>
      <c r="E24123" s="6" t="str">
        <f>HYPERLINK("https://inpn.mnhn.fr/espece/cd_nom/91498","Cirsium x galisserianum E.G.Camus, 1891")</f>
        <v>Cirsium x galisserianum E.G.Camus, 1891</v>
      </c>
      <c r="F24123" s="5" t="s">
        <v>31609</v>
      </c>
      <c r="T24123" s="7" t="str">
        <f>HYPERLINK("#Liste_rouge!A"&amp;_xlfn.XMATCH("NE",Liste_rouge!A:A,2,1),"NE")</f>
        <v>NE</v>
      </c>
      <c r="AH24123" s="4" t="str">
        <f>HYPERLINK("#Statut_biogéographique!A"&amp;_xlfn.XMATCH("D",Statut_biogéographique!A:A,2,1),"D")</f>
        <v>D</v>
      </c>
      <c r="AP24123" s="4" t="s">
        <v>376</v>
      </c>
      <c r="AR24123" s="4" t="s">
        <v>377</v>
      </c>
    </row>
    <row r="24124" spans="1:44" ht="30">
      <c r="A24124" s="4" t="s">
        <v>24364</v>
      </c>
      <c r="B24124" s="4">
        <v>91502</v>
      </c>
      <c r="D24124" s="5" t="s">
        <v>31610</v>
      </c>
      <c r="E24124" s="6" t="str">
        <f>HYPERLINK("https://inpn.mnhn.fr/espece/cd_nom/91502","Cirsium x gerhardtii Sch.Bip., 1849")</f>
        <v>Cirsium x gerhardtii Sch.Bip., 1849</v>
      </c>
      <c r="F24124" s="5" t="s">
        <v>31611</v>
      </c>
      <c r="T24124" s="7" t="str">
        <f>HYPERLINK("#Liste_rouge!A"&amp;_xlfn.XMATCH("DD",Liste_rouge!A:A,2,1),"DD")</f>
        <v>DD</v>
      </c>
      <c r="AH24124" s="4" t="str">
        <f>HYPERLINK("#Statut_biogéographique!A"&amp;_xlfn.XMATCH("D",Statut_biogéographique!A:A,2,1),"D")</f>
        <v>D</v>
      </c>
      <c r="AP24124" s="4" t="s">
        <v>376</v>
      </c>
      <c r="AR24124" s="4" t="s">
        <v>377</v>
      </c>
    </row>
    <row r="24125" spans="1:44">
      <c r="A24125" s="4" t="s">
        <v>24364</v>
      </c>
      <c r="B24125" s="4">
        <v>91510</v>
      </c>
      <c r="D24125" s="5">
        <v>91510</v>
      </c>
      <c r="E24125" s="6" t="str">
        <f>HYPERLINK("https://inpn.mnhn.fr/espece/cd_nom/91510","Cirsium x heerianum Nägeli, 1840")</f>
        <v>Cirsium x heerianum Nägeli, 1840</v>
      </c>
      <c r="F24125" s="5" t="s">
        <v>31612</v>
      </c>
      <c r="AH24125" s="4" t="str">
        <f>HYPERLINK("#Statut_biogéographique!A"&amp;_xlfn.XMATCH("D",Statut_biogéographique!A:A,2,1),"D")</f>
        <v>D</v>
      </c>
      <c r="AP24125" s="4" t="s">
        <v>376</v>
      </c>
      <c r="AR24125" s="4" t="s">
        <v>377</v>
      </c>
    </row>
    <row r="24126" spans="1:44" ht="30">
      <c r="A24126" s="4" t="s">
        <v>24364</v>
      </c>
      <c r="B24126" s="4">
        <v>91517</v>
      </c>
      <c r="D24126" s="5" t="s">
        <v>31613</v>
      </c>
      <c r="E24126" s="6" t="str">
        <f>HYPERLINK("https://inpn.mnhn.fr/espece/cd_nom/91517","Cirsium x hybridum Koch ex DC., 1815")</f>
        <v>Cirsium x hybridum Koch ex DC., 1815</v>
      </c>
      <c r="F24126" s="5" t="s">
        <v>31614</v>
      </c>
      <c r="T24126" s="7" t="str">
        <f>HYPERLINK("#Liste_rouge!A"&amp;_xlfn.XMATCH("DD",Liste_rouge!A:A,2,1),"DD")</f>
        <v>DD</v>
      </c>
      <c r="AH24126" s="4" t="str">
        <f>HYPERLINK("#Statut_biogéographique!A"&amp;_xlfn.XMATCH("D",Statut_biogéographique!A:A,2,1),"D")</f>
        <v>D</v>
      </c>
      <c r="AP24126" s="4" t="s">
        <v>376</v>
      </c>
      <c r="AR24126" s="4" t="s">
        <v>377</v>
      </c>
    </row>
    <row r="24127" spans="1:44">
      <c r="A24127" s="4" t="s">
        <v>24364</v>
      </c>
      <c r="B24127" s="4">
        <v>91518</v>
      </c>
      <c r="D24127" s="5" t="s">
        <v>31615</v>
      </c>
      <c r="E24127" s="6" t="str">
        <f>HYPERLINK("https://inpn.mnhn.fr/espece/cd_nom/91518","Cirsium x inerme Rchb., 1832")</f>
        <v>Cirsium x inerme Rchb., 1832</v>
      </c>
      <c r="F24127" s="5" t="s">
        <v>31616</v>
      </c>
      <c r="T24127" s="7" t="str">
        <f>HYPERLINK("#Liste_rouge!A"&amp;_xlfn.XMATCH("DD",Liste_rouge!A:A,2,1),"DD")</f>
        <v>DD</v>
      </c>
      <c r="AH24127" s="4" t="str">
        <f>HYPERLINK("#Statut_biogéographique!A"&amp;_xlfn.XMATCH("P",Statut_biogéographique!A:A,2,1),"P")</f>
        <v>P</v>
      </c>
      <c r="AP24127" s="4" t="s">
        <v>376</v>
      </c>
      <c r="AR24127" s="4" t="s">
        <v>377</v>
      </c>
    </row>
    <row r="24128" spans="1:44">
      <c r="A24128" s="4" t="s">
        <v>24364</v>
      </c>
      <c r="B24128" s="4">
        <v>91561</v>
      </c>
      <c r="D24128" s="5" t="s">
        <v>31617</v>
      </c>
      <c r="E24128" s="6" t="str">
        <f>HYPERLINK("https://inpn.mnhn.fr/espece/cd_nom/91561","Cirsium x pulchrum E.G.Camus, 1891")</f>
        <v>Cirsium x pulchrum E.G.Camus, 1891</v>
      </c>
      <c r="F24128" s="5" t="s">
        <v>31618</v>
      </c>
      <c r="AH24128" s="4" t="str">
        <f>HYPERLINK("#Statut_biogéographique!A"&amp;_xlfn.XMATCH("D",Statut_biogéographique!A:A,2,1),"D")</f>
        <v>D</v>
      </c>
      <c r="AP24128" s="4" t="s">
        <v>376</v>
      </c>
      <c r="AR24128" s="4" t="s">
        <v>377</v>
      </c>
    </row>
    <row r="24129" spans="1:44">
      <c r="A24129" s="4" t="s">
        <v>24364</v>
      </c>
      <c r="B24129" s="4">
        <v>91564</v>
      </c>
      <c r="D24129" s="5" t="s">
        <v>31619</v>
      </c>
      <c r="E24129" s="6" t="str">
        <f>HYPERLINK("https://inpn.mnhn.fr/espece/cd_nom/91564","Cirsium x reichenbachianum M.Loehr, 1852")</f>
        <v>Cirsium x reichenbachianum M.Loehr, 1852</v>
      </c>
      <c r="F24129" s="5" t="s">
        <v>31620</v>
      </c>
      <c r="T24129" s="7" t="str">
        <f>HYPERLINK("#Liste_rouge!A"&amp;_xlfn.XMATCH("DD",Liste_rouge!A:A,2,1),"DD")</f>
        <v>DD</v>
      </c>
      <c r="AH24129" s="4" t="str">
        <f>HYPERLINK("#Statut_biogéographique!A"&amp;_xlfn.XMATCH("D",Statut_biogéographique!A:A,2,1),"D")</f>
        <v>D</v>
      </c>
      <c r="AP24129" s="4" t="s">
        <v>376</v>
      </c>
      <c r="AR24129" s="4" t="s">
        <v>377</v>
      </c>
    </row>
    <row r="24130" spans="1:44">
      <c r="A24130" s="4" t="s">
        <v>24364</v>
      </c>
      <c r="B24130" s="4">
        <v>91568</v>
      </c>
      <c r="D24130" s="5" t="s">
        <v>31621</v>
      </c>
      <c r="E24130" s="6" t="str">
        <f>HYPERLINK("https://inpn.mnhn.fr/espece/cd_nom/91568","Cirsium x rigens (Aiton) Wallr., 1822")</f>
        <v>Cirsium x rigens (Aiton) Wallr., 1822</v>
      </c>
      <c r="F24130" s="5" t="s">
        <v>31622</v>
      </c>
      <c r="T24130" s="7" t="str">
        <f>HYPERLINK("#Liste_rouge!A"&amp;_xlfn.XMATCH("DD",Liste_rouge!A:A,2,1),"DD")</f>
        <v>DD</v>
      </c>
      <c r="AH24130" s="4" t="str">
        <f>HYPERLINK("#Statut_biogéographique!A"&amp;_xlfn.XMATCH("D",Statut_biogéographique!A:A,2,1),"D")</f>
        <v>D</v>
      </c>
      <c r="AP24130" s="4" t="s">
        <v>376</v>
      </c>
      <c r="AR24130" s="4" t="s">
        <v>377</v>
      </c>
    </row>
    <row r="24131" spans="1:44">
      <c r="A24131" s="4" t="s">
        <v>24364</v>
      </c>
      <c r="B24131" s="4">
        <v>91578</v>
      </c>
      <c r="D24131" s="5" t="s">
        <v>31623</v>
      </c>
      <c r="E24131" s="6" t="str">
        <f>HYPERLINK("https://inpn.mnhn.fr/espece/cd_nom/91578","Cirsium x semidecurrens Richt., 1830")</f>
        <v>Cirsium x semidecurrens Richt., 1830</v>
      </c>
      <c r="F24131" s="5" t="s">
        <v>31624</v>
      </c>
      <c r="T24131" s="7" t="str">
        <f>HYPERLINK("#Liste_rouge!A"&amp;_xlfn.XMATCH("NE",Liste_rouge!A:A,2,1),"NE")</f>
        <v>NE</v>
      </c>
      <c r="AH24131" s="4" t="str">
        <f>HYPERLINK("#Statut_biogéographique!A"&amp;_xlfn.XMATCH("D",Statut_biogéographique!A:A,2,1),"D")</f>
        <v>D</v>
      </c>
      <c r="AP24131" s="4" t="s">
        <v>376</v>
      </c>
      <c r="AR24131" s="4" t="s">
        <v>377</v>
      </c>
    </row>
    <row r="24132" spans="1:44">
      <c r="A24132" s="4" t="s">
        <v>24364</v>
      </c>
      <c r="B24132" s="4">
        <v>91580</v>
      </c>
      <c r="D24132" s="5">
        <v>91580</v>
      </c>
      <c r="E24132" s="6" t="str">
        <f>HYPERLINK("https://inpn.mnhn.fr/espece/cd_nom/91580","Cirsium x sennenii Rouy, 1905")</f>
        <v>Cirsium x sennenii Rouy, 1905</v>
      </c>
      <c r="F24132" s="5" t="s">
        <v>31625</v>
      </c>
      <c r="T24132" s="7" t="str">
        <f>HYPERLINK("#Liste_rouge!A"&amp;_xlfn.XMATCH("NE",Liste_rouge!A:A,2,1),"NE")</f>
        <v>NE</v>
      </c>
      <c r="AH24132" s="4" t="str">
        <f>HYPERLINK("#Statut_biogéographique!A"&amp;_xlfn.XMATCH("D",Statut_biogéographique!A:A,2,1),"D")</f>
        <v>D</v>
      </c>
      <c r="AP24132" s="4" t="s">
        <v>376</v>
      </c>
      <c r="AR24132" s="4" t="s">
        <v>377</v>
      </c>
    </row>
    <row r="24133" spans="1:44" ht="30">
      <c r="A24133" s="4" t="s">
        <v>24364</v>
      </c>
      <c r="B24133" s="4">
        <v>91593</v>
      </c>
      <c r="D24133" s="5" t="s">
        <v>31626</v>
      </c>
      <c r="E24133" s="6" t="str">
        <f>HYPERLINK("https://inpn.mnhn.fr/espece/cd_nom/91593","Cirsium x subalpinum Gaudin, 1829")</f>
        <v>Cirsium x subalpinum Gaudin, 1829</v>
      </c>
      <c r="F24133" s="5" t="s">
        <v>31627</v>
      </c>
      <c r="AH24133" s="4" t="str">
        <f>HYPERLINK("#Statut_biogéographique!A"&amp;_xlfn.XMATCH("D",Statut_biogéographique!A:A,2,1),"D")</f>
        <v>D</v>
      </c>
      <c r="AP24133" s="4" t="s">
        <v>376</v>
      </c>
      <c r="AR24133" s="4" t="s">
        <v>377</v>
      </c>
    </row>
    <row r="24134" spans="1:44">
      <c r="A24134" s="4" t="s">
        <v>24364</v>
      </c>
      <c r="B24134" s="4">
        <v>91598</v>
      </c>
      <c r="D24134" s="5" t="s">
        <v>31628</v>
      </c>
      <c r="E24134" s="6" t="str">
        <f>HYPERLINK("https://inpn.mnhn.fr/espece/cd_nom/91598","Cirsium x subspinuligerum Peterm., 1849")</f>
        <v>Cirsium x subspinuligerum Peterm., 1849</v>
      </c>
      <c r="F24134" s="5" t="s">
        <v>31629</v>
      </c>
      <c r="AH24134" s="4" t="str">
        <f>HYPERLINK("#Statut_biogéographique!A"&amp;_xlfn.XMATCH("D",Statut_biogéographique!A:A,2,1),"D")</f>
        <v>D</v>
      </c>
      <c r="AP24134" s="4" t="s">
        <v>376</v>
      </c>
      <c r="AR24134" s="4" t="s">
        <v>377</v>
      </c>
    </row>
    <row r="24135" spans="1:44" ht="30">
      <c r="A24135" s="4" t="s">
        <v>24364</v>
      </c>
      <c r="B24135" s="4">
        <v>91614</v>
      </c>
      <c r="D24135" s="5" t="s">
        <v>31630</v>
      </c>
      <c r="E24135" s="6" t="str">
        <f>HYPERLINK("https://inpn.mnhn.fr/espece/cd_nom/91614","Cirsium x woodwardii (H.C.Watson) Nyman, 1879")</f>
        <v>Cirsium x woodwardii (H.C.Watson) Nyman, 1879</v>
      </c>
      <c r="F24135" s="5" t="s">
        <v>31631</v>
      </c>
      <c r="T24135" s="7" t="str">
        <f>HYPERLINK("#Liste_rouge!A"&amp;_xlfn.XMATCH("NE",Liste_rouge!A:A,2,1),"NE")</f>
        <v>NE</v>
      </c>
      <c r="AH24135" s="4" t="str">
        <f>HYPERLINK("#Statut_biogéographique!A"&amp;_xlfn.XMATCH("D",Statut_biogéographique!A:A,2,1),"D")</f>
        <v>D</v>
      </c>
      <c r="AP24135" s="4" t="s">
        <v>376</v>
      </c>
      <c r="AR24135" s="4" t="s">
        <v>377</v>
      </c>
    </row>
    <row r="24136" spans="1:44" ht="90">
      <c r="A24136" s="4" t="s">
        <v>24364</v>
      </c>
      <c r="B24136" s="4">
        <v>91715</v>
      </c>
      <c r="D24136" s="5" t="s">
        <v>31632</v>
      </c>
      <c r="E24136" s="6" t="str">
        <f>HYPERLINK("https://inpn.mnhn.fr/espece/cd_nom/91715","Cistus salviifolius L., 1753")</f>
        <v>Cistus salviifolius L., 1753</v>
      </c>
      <c r="F24136" s="5" t="s">
        <v>31633</v>
      </c>
      <c r="Q24136" s="7" t="str">
        <f>HYPERLINK("#Liste_rouge!A"&amp;_xlfn.XMATCH("LC",Liste_rouge!A:A,2,1),"LC")</f>
        <v>LC</v>
      </c>
      <c r="T24136" s="7" t="str">
        <f>HYPERLINK("#Liste_rouge!A"&amp;_xlfn.XMATCH("NA",Liste_rouge!A:A,2,1),"NA")</f>
        <v>NA</v>
      </c>
      <c r="AH24136" s="4" t="str">
        <f>HYPERLINK("#Statut_biogéographique!A"&amp;_xlfn.XMATCH("P",Statut_biogéographique!A:A,2,1),"P")</f>
        <v>P</v>
      </c>
      <c r="AP24136" s="4" t="s">
        <v>376</v>
      </c>
      <c r="AR24136" s="4" t="s">
        <v>377</v>
      </c>
    </row>
    <row r="24137" spans="1:44" ht="45">
      <c r="A24137" s="4" t="s">
        <v>24364</v>
      </c>
      <c r="B24137" s="4">
        <v>91727</v>
      </c>
      <c r="D24137" s="5" t="s">
        <v>31634</v>
      </c>
      <c r="E24137" s="6" t="str">
        <f>HYPERLINK("https://inpn.mnhn.fr/espece/cd_nom/91727","Cistus umbellatus L., 1753")</f>
        <v>Cistus umbellatus L., 1753</v>
      </c>
      <c r="F24137" s="5" t="s">
        <v>29657</v>
      </c>
      <c r="Q24137" s="7" t="str">
        <f>HYPERLINK("#Liste_rouge!A"&amp;_xlfn.XMATCH("LC",Liste_rouge!A:A,2,1),"LC")</f>
        <v>LC</v>
      </c>
      <c r="T24137" s="7" t="str">
        <f>HYPERLINK("#Liste_rouge!A"&amp;_xlfn.XMATCH("NA",Liste_rouge!A:A,2,1),"NA")</f>
        <v>NA</v>
      </c>
      <c r="AH24137" s="4" t="str">
        <f>HYPERLINK("#Statut_biogéographique!A"&amp;_xlfn.XMATCH("P",Statut_biogéographique!A:A,2,1),"P")</f>
        <v>P</v>
      </c>
      <c r="AP24137" s="4" t="s">
        <v>376</v>
      </c>
      <c r="AR24137" s="4" t="s">
        <v>377</v>
      </c>
    </row>
    <row r="24138" spans="1:44" ht="30">
      <c r="A24138" s="4" t="s">
        <v>24364</v>
      </c>
      <c r="B24138" s="4">
        <v>91819</v>
      </c>
      <c r="D24138" s="5" t="s">
        <v>31635</v>
      </c>
      <c r="E24138" s="6" t="str">
        <f>HYPERLINK("https://inpn.mnhn.fr/espece/cd_nom/91819","Cladanthus mixtus (L.) Chevall., 1827")</f>
        <v>Cladanthus mixtus (L.) Chevall., 1827</v>
      </c>
      <c r="F24138" s="5" t="s">
        <v>31636</v>
      </c>
      <c r="Q24138" s="7" t="str">
        <f>HYPERLINK("#Liste_rouge!A"&amp;_xlfn.XMATCH("LC",Liste_rouge!A:A,2,1),"LC")</f>
        <v>LC</v>
      </c>
      <c r="T24138" s="7" t="str">
        <f>HYPERLINK("#Liste_rouge!A"&amp;_xlfn.XMATCH("CR",Liste_rouge!A:A,2,1),"CR")</f>
        <v>CR</v>
      </c>
      <c r="U24138" s="4" t="str">
        <f>HYPERLINK("#Critères_liste_rouge!A$1","B2ab(i,ii,iv)")</f>
        <v>B2ab(i,ii,iv)</v>
      </c>
      <c r="X24138" s="5" t="s">
        <v>374</v>
      </c>
      <c r="AB24138" s="4" t="s">
        <v>93</v>
      </c>
      <c r="AH24138" s="4" t="str">
        <f>HYPERLINK("#Statut_biogéographique!A"&amp;_xlfn.XMATCH("P",Statut_biogéographique!A:A,2,1),"P")</f>
        <v>P</v>
      </c>
      <c r="AM24138" s="4" t="s">
        <v>375</v>
      </c>
      <c r="AN24138" s="4" t="s">
        <v>375</v>
      </c>
      <c r="AO24138" s="4" t="s">
        <v>375</v>
      </c>
      <c r="AP24138" s="4" t="s">
        <v>376</v>
      </c>
      <c r="AR24138" s="4" t="s">
        <v>377</v>
      </c>
    </row>
    <row r="24139" spans="1:44" ht="45">
      <c r="A24139" s="4" t="s">
        <v>24364</v>
      </c>
      <c r="B24139" s="4">
        <v>91823</v>
      </c>
      <c r="D24139" s="5" t="s">
        <v>31637</v>
      </c>
      <c r="E24139" s="6" t="str">
        <f>HYPERLINK("https://inpn.mnhn.fr/espece/cd_nom/91823","Cladium mariscus (L.) Pohl, 1809")</f>
        <v>Cladium mariscus (L.) Pohl, 1809</v>
      </c>
      <c r="F24139" s="5" t="s">
        <v>31638</v>
      </c>
      <c r="O24139" s="7" t="str">
        <f>HYPERLINK("#Liste_rouge!A"&amp;_xlfn.XMATCH("LC",Liste_rouge!A:A,2,1),"LC")</f>
        <v>LC</v>
      </c>
      <c r="P24139" s="7" t="str">
        <f>HYPERLINK("#Liste_rouge!A"&amp;_xlfn.XMATCH("LC",Liste_rouge!A:A,2,1),"LC")</f>
        <v>LC</v>
      </c>
      <c r="Q24139" s="7" t="str">
        <f>HYPERLINK("#Liste_rouge!A"&amp;_xlfn.XMATCH("LC",Liste_rouge!A:A,2,1),"LC")</f>
        <v>LC</v>
      </c>
      <c r="T24139" s="7" t="str">
        <f>HYPERLINK("#Liste_rouge!A"&amp;_xlfn.XMATCH("EN",Liste_rouge!A:A,2,1),"EN")</f>
        <v>EN</v>
      </c>
      <c r="U24139" s="4" t="str">
        <f>HYPERLINK("#Critères_liste_rouge!A$1","B2ab(ii,iii,iv)")</f>
        <v>B2ab(ii,iii,iv)</v>
      </c>
      <c r="V24139" s="7" t="str">
        <f>HYPERLINK("#Liste_rouge!A"&amp;_xlfn.XMATCH("LC",Liste_rouge!A:A,2,1),"LC")</f>
        <v>LC</v>
      </c>
      <c r="X24139" s="5" t="s">
        <v>374</v>
      </c>
      <c r="AB24139" s="4" t="s">
        <v>93</v>
      </c>
      <c r="AH24139" s="4" t="str">
        <f>HYPERLINK("#Statut_biogéographique!A"&amp;_xlfn.XMATCH("P",Statut_biogéographique!A:A,2,1),"P")</f>
        <v>P</v>
      </c>
      <c r="AM24139" s="4" t="s">
        <v>375</v>
      </c>
      <c r="AN24139" s="4" t="s">
        <v>375</v>
      </c>
      <c r="AO24139" s="4" t="s">
        <v>375</v>
      </c>
      <c r="AP24139" s="4" t="s">
        <v>376</v>
      </c>
      <c r="AR24139" s="4" t="s">
        <v>377</v>
      </c>
    </row>
    <row r="24140" spans="1:44">
      <c r="A24140" s="4" t="s">
        <v>24364</v>
      </c>
      <c r="B24140" s="4">
        <v>91848</v>
      </c>
      <c r="D24140" s="5" t="s">
        <v>31639</v>
      </c>
      <c r="E24140" s="6" t="str">
        <f>HYPERLINK("https://inpn.mnhn.fr/espece/cd_nom/91848","Claytonia perfoliata Donn ex Willd., 1798")</f>
        <v>Claytonia perfoliata Donn ex Willd., 1798</v>
      </c>
      <c r="F24140" s="5" t="s">
        <v>31640</v>
      </c>
      <c r="Q24140" s="7" t="str">
        <f>HYPERLINK("#Liste_rouge!A"&amp;_xlfn.XMATCH("NA",Liste_rouge!A:A,2,1),"NA")</f>
        <v>NA</v>
      </c>
      <c r="T24140" s="7" t="str">
        <f>HYPERLINK("#Liste_rouge!A"&amp;_xlfn.XMATCH("NA",Liste_rouge!A:A,2,1),"NA")</f>
        <v>NA</v>
      </c>
      <c r="AH24140" s="4" t="str">
        <f>HYPERLINK("#Statut_biogéographique!A"&amp;_xlfn.XMATCH("I",Statut_biogéographique!A:A,2,1),"I")</f>
        <v>I</v>
      </c>
      <c r="AP24140" s="4" t="s">
        <v>376</v>
      </c>
      <c r="AR24140" s="4" t="s">
        <v>377</v>
      </c>
    </row>
    <row r="24141" spans="1:44">
      <c r="A24141" s="4" t="s">
        <v>24364</v>
      </c>
      <c r="B24141" s="4">
        <v>91853</v>
      </c>
      <c r="D24141" s="5" t="s">
        <v>31641</v>
      </c>
      <c r="E24141" s="6" t="str">
        <f>HYPERLINK("https://inpn.mnhn.fr/espece/cd_nom/91853","Clematis alpina (L.) Mill., 1768")</f>
        <v>Clematis alpina (L.) Mill., 1768</v>
      </c>
      <c r="F24141" s="5" t="s">
        <v>31642</v>
      </c>
      <c r="Q24141" s="7" t="str">
        <f>HYPERLINK("#Liste_rouge!A"&amp;_xlfn.XMATCH("LC",Liste_rouge!A:A,2,1),"LC")</f>
        <v>LC</v>
      </c>
      <c r="T24141" s="7" t="str">
        <f>HYPERLINK("#Liste_rouge!A"&amp;_xlfn.XMATCH("NA",Liste_rouge!A:A,2,1),"NA")</f>
        <v>NA</v>
      </c>
      <c r="AH24141" s="4" t="str">
        <f>HYPERLINK("#Statut_biogéographique!A"&amp;_xlfn.XMATCH("P",Statut_biogéographique!A:A,2,1),"P")</f>
        <v>P</v>
      </c>
      <c r="AP24141" s="4" t="s">
        <v>376</v>
      </c>
      <c r="AR24141" s="4" t="s">
        <v>377</v>
      </c>
    </row>
    <row r="24142" spans="1:44" ht="60">
      <c r="A24142" s="4" t="s">
        <v>24364</v>
      </c>
      <c r="B24142" s="4">
        <v>91867</v>
      </c>
      <c r="D24142" s="5" t="s">
        <v>31643</v>
      </c>
      <c r="E24142" s="6" t="str">
        <f>HYPERLINK("https://inpn.mnhn.fr/espece/cd_nom/91867","Clematis flammula L., 1753")</f>
        <v>Clematis flammula L., 1753</v>
      </c>
      <c r="F24142" s="5" t="s">
        <v>31644</v>
      </c>
      <c r="Q24142" s="7" t="str">
        <f>HYPERLINK("#Liste_rouge!A"&amp;_xlfn.XMATCH("LC",Liste_rouge!A:A,2,1),"LC")</f>
        <v>LC</v>
      </c>
      <c r="T24142" s="7" t="str">
        <f>HYPERLINK("#Liste_rouge!A"&amp;_xlfn.XMATCH("NA",Liste_rouge!A:A,2,1),"NA")</f>
        <v>NA</v>
      </c>
      <c r="AH24142" s="4" t="str">
        <f>HYPERLINK("#Statut_biogéographique!A"&amp;_xlfn.XMATCH("P",Statut_biogéographique!A:A,2,1),"P")</f>
        <v>P</v>
      </c>
      <c r="AP24142" s="4" t="s">
        <v>376</v>
      </c>
      <c r="AR24142" s="4" t="s">
        <v>377</v>
      </c>
    </row>
    <row r="24143" spans="1:44">
      <c r="A24143" s="4" t="s">
        <v>24364</v>
      </c>
      <c r="B24143" s="4">
        <v>91880</v>
      </c>
      <c r="D24143" s="5" t="s">
        <v>31645</v>
      </c>
      <c r="E24143" s="6" t="str">
        <f>HYPERLINK("https://inpn.mnhn.fr/espece/cd_nom/91880","Clematis recta L., 1753")</f>
        <v>Clematis recta L., 1753</v>
      </c>
      <c r="F24143" s="5" t="s">
        <v>31646</v>
      </c>
      <c r="Q24143" s="7" t="str">
        <f>HYPERLINK("#Liste_rouge!A"&amp;_xlfn.XMATCH("LC",Liste_rouge!A:A,2,1),"LC")</f>
        <v>LC</v>
      </c>
      <c r="T24143" s="7" t="str">
        <f>HYPERLINK("#Liste_rouge!A"&amp;_xlfn.XMATCH("NA",Liste_rouge!A:A,2,1),"NA")</f>
        <v>NA</v>
      </c>
      <c r="AH24143" s="4" t="str">
        <f>HYPERLINK("#Statut_biogéographique!A"&amp;_xlfn.XMATCH("P",Statut_biogéographique!A:A,2,1),"P")</f>
        <v>P</v>
      </c>
      <c r="AP24143" s="4" t="s">
        <v>376</v>
      </c>
      <c r="AR24143" s="4" t="s">
        <v>377</v>
      </c>
    </row>
    <row r="24144" spans="1:44" ht="45">
      <c r="A24144" s="4" t="s">
        <v>24364</v>
      </c>
      <c r="B24144" s="4">
        <v>91886</v>
      </c>
      <c r="D24144" s="5" t="s">
        <v>31647</v>
      </c>
      <c r="E24144" s="6" t="str">
        <f>HYPERLINK("https://inpn.mnhn.fr/espece/cd_nom/91886","Clematis vitalba L., 1753")</f>
        <v>Clematis vitalba L., 1753</v>
      </c>
      <c r="F24144" s="5" t="s">
        <v>31648</v>
      </c>
      <c r="Q24144" s="7" t="str">
        <f>HYPERLINK("#Liste_rouge!A"&amp;_xlfn.XMATCH("LC",Liste_rouge!A:A,2,1),"LC")</f>
        <v>LC</v>
      </c>
      <c r="T24144" s="7" t="str">
        <f>HYPERLINK("#Liste_rouge!A"&amp;_xlfn.XMATCH("LC",Liste_rouge!A:A,2,1),"LC")</f>
        <v>LC</v>
      </c>
      <c r="V24144" s="7" t="str">
        <f>HYPERLINK("#Liste_rouge!A"&amp;_xlfn.XMATCH("LC",Liste_rouge!A:A,2,1),"LC")</f>
        <v>LC</v>
      </c>
      <c r="AH24144" s="4" t="str">
        <f>HYPERLINK("#Statut_biogéographique!A"&amp;_xlfn.XMATCH("P",Statut_biogéographique!A:A,2,1),"P")</f>
        <v>P</v>
      </c>
      <c r="AM24144" s="4" t="s">
        <v>375</v>
      </c>
      <c r="AN24144" s="4" t="s">
        <v>375</v>
      </c>
      <c r="AO24144" s="4" t="s">
        <v>375</v>
      </c>
      <c r="AP24144" s="4" t="s">
        <v>376</v>
      </c>
      <c r="AR24144" s="4" t="s">
        <v>377</v>
      </c>
    </row>
    <row r="24145" spans="1:44" ht="30">
      <c r="A24145" s="4" t="s">
        <v>24364</v>
      </c>
      <c r="B24145" s="4">
        <v>91887</v>
      </c>
      <c r="D24145" s="5" t="s">
        <v>31649</v>
      </c>
      <c r="E24145" s="6" t="str">
        <f>HYPERLINK("https://inpn.mnhn.fr/espece/cd_nom/91887","Clematis viticella L., 1753")</f>
        <v>Clematis viticella L., 1753</v>
      </c>
      <c r="F24145" s="5" t="s">
        <v>31650</v>
      </c>
      <c r="Q24145" s="7" t="str">
        <f>HYPERLINK("#Liste_rouge!A"&amp;_xlfn.XMATCH("NA",Liste_rouge!A:A,2,1),"NA")</f>
        <v>NA</v>
      </c>
      <c r="T24145" s="7" t="str">
        <f>HYPERLINK("#Liste_rouge!A"&amp;_xlfn.XMATCH("NA",Liste_rouge!A:A,2,1),"NA")</f>
        <v>NA</v>
      </c>
      <c r="AH24145" s="4" t="str">
        <f>HYPERLINK("#Statut_biogéographique!A"&amp;_xlfn.XMATCH("I",Statut_biogéographique!A:A,2,1),"I")</f>
        <v>I</v>
      </c>
      <c r="AP24145" s="4" t="s">
        <v>376</v>
      </c>
      <c r="AR24145" s="4" t="s">
        <v>377</v>
      </c>
    </row>
    <row r="24146" spans="1:44" ht="105">
      <c r="A24146" s="4" t="s">
        <v>24364</v>
      </c>
      <c r="B24146" s="4">
        <v>91910</v>
      </c>
      <c r="D24146" s="5" t="s">
        <v>31651</v>
      </c>
      <c r="E24146" s="6" t="str">
        <f>HYPERLINK("https://inpn.mnhn.fr/espece/cd_nom/91910","Clinopodium nepeta (L.) Kuntze, 1891")</f>
        <v>Clinopodium nepeta (L.) Kuntze, 1891</v>
      </c>
      <c r="F24146" s="5" t="s">
        <v>30096</v>
      </c>
      <c r="Q24146" s="7" t="str">
        <f>HYPERLINK("#Liste_rouge!A"&amp;_xlfn.XMATCH("LC",Liste_rouge!A:A,2,1),"LC")</f>
        <v>LC</v>
      </c>
      <c r="T24146" s="7" t="str">
        <f>HYPERLINK("#Liste_rouge!A"&amp;_xlfn.XMATCH("NA",Liste_rouge!A:A,2,1),"NA")</f>
        <v>NA</v>
      </c>
      <c r="V24146" s="7" t="str">
        <f>HYPERLINK("#Liste_rouge!A"&amp;_xlfn.XMATCH("LC",Liste_rouge!A:A,2,1),"LC")</f>
        <v>LC</v>
      </c>
      <c r="AH24146" s="4" t="str">
        <f>HYPERLINK("#Statut_biogéographique!A"&amp;_xlfn.XMATCH("P",Statut_biogéographique!A:A,2,1),"P")</f>
        <v>P</v>
      </c>
      <c r="AM24146" s="4" t="s">
        <v>375</v>
      </c>
      <c r="AN24146" s="4" t="s">
        <v>375</v>
      </c>
      <c r="AO24146" s="4" t="s">
        <v>375</v>
      </c>
      <c r="AP24146" s="4" t="s">
        <v>376</v>
      </c>
      <c r="AR24146" s="4" t="s">
        <v>377</v>
      </c>
    </row>
    <row r="24147" spans="1:44" ht="75">
      <c r="A24147" s="4" t="s">
        <v>24364</v>
      </c>
      <c r="B24147" s="4">
        <v>91912</v>
      </c>
      <c r="D24147" s="5" t="s">
        <v>31652</v>
      </c>
      <c r="E24147" s="6" t="str">
        <f>HYPERLINK("https://inpn.mnhn.fr/espece/cd_nom/91912","Clinopodium vulgare L., 1753")</f>
        <v>Clinopodium vulgare L., 1753</v>
      </c>
      <c r="F24147" s="5" t="s">
        <v>31653</v>
      </c>
      <c r="Q24147" s="7" t="str">
        <f>HYPERLINK("#Liste_rouge!A"&amp;_xlfn.XMATCH("LC",Liste_rouge!A:A,2,1),"LC")</f>
        <v>LC</v>
      </c>
      <c r="T24147" s="7" t="str">
        <f>HYPERLINK("#Liste_rouge!A"&amp;_xlfn.XMATCH("DD",Liste_rouge!A:A,2,1),"DD (cd_nom 133382) - LC (cd_nom 91912)")</f>
        <v>DD (cd_nom 133382) - LC (cd_nom 91912)</v>
      </c>
      <c r="V24147" s="7" t="str">
        <f>HYPERLINK("#Liste_rouge!A"&amp;_xlfn.XMATCH("LC",Liste_rouge!A:A,2,1),"LC")</f>
        <v>LC</v>
      </c>
      <c r="AH24147" s="4" t="str">
        <f>HYPERLINK("#Statut_biogéographique!A"&amp;_xlfn.XMATCH("P",Statut_biogéographique!A:A,2,1),"P")</f>
        <v>P</v>
      </c>
      <c r="AM24147" s="4" t="s">
        <v>375</v>
      </c>
      <c r="AN24147" s="4" t="s">
        <v>375</v>
      </c>
      <c r="AO24147" s="4" t="s">
        <v>375</v>
      </c>
      <c r="AP24147" s="4" t="s">
        <v>376</v>
      </c>
      <c r="AR24147" s="4" t="s">
        <v>377</v>
      </c>
    </row>
    <row r="24148" spans="1:44" ht="60">
      <c r="A24148" s="4" t="s">
        <v>24364</v>
      </c>
      <c r="B24148" s="4">
        <v>92097</v>
      </c>
      <c r="D24148" s="5" t="s">
        <v>31654</v>
      </c>
      <c r="E24148" s="6" t="str">
        <f>HYPERLINK("https://inpn.mnhn.fr/espece/cd_nom/92097","Coeloglossum viride (L.) Hartm., 1820")</f>
        <v>Coeloglossum viride (L.) Hartm., 1820</v>
      </c>
      <c r="F24148" s="5" t="s">
        <v>31655</v>
      </c>
      <c r="G24148" s="4" t="str">
        <f>HYPERLINK("[#Réglementation!A"&amp;_xlfn.XMATCH("CCB",Réglementation!A:A,2,1),"CCB")</f>
        <v>CCB</v>
      </c>
      <c r="M24148" s="4" t="str">
        <f>HYPERLINK("#Réglementation!A"&amp;_xlfn.XMATCH("RV26",Réglementation!A:A,2,1),"RV26")</f>
        <v>RV26</v>
      </c>
      <c r="P24148" s="7" t="str">
        <f>HYPERLINK("#Liste_rouge!A"&amp;_xlfn.XMATCH("LC",Liste_rouge!A:A,2,1),"LC")</f>
        <v>LC</v>
      </c>
      <c r="Q24148" s="7" t="str">
        <f>HYPERLINK("#Liste_rouge!A"&amp;_xlfn.XMATCH("NT",Liste_rouge!A:A,2,1),"NT")</f>
        <v>NT</v>
      </c>
      <c r="T24148" s="7" t="str">
        <f>HYPERLINK("#Liste_rouge!A"&amp;_xlfn.XMATCH("EN",Liste_rouge!A:A,2,1),"EN")</f>
        <v>EN</v>
      </c>
      <c r="U24148" s="4" t="str">
        <f>HYPERLINK("#Critères_liste_rouge!A$1","B2ab(ii,iii,iv) C2a(i)")</f>
        <v>B2ab(ii,iii,iv) C2a(i)</v>
      </c>
      <c r="V24148" s="7" t="str">
        <f>HYPERLINK("#Liste_rouge!A"&amp;_xlfn.XMATCH("NT",Liste_rouge!A:A,2,1),"NT")</f>
        <v>NT</v>
      </c>
      <c r="W24148" s="4" t="str">
        <f>HYPERLINK("#Critères_liste_rouge!A$1","pr. B2b(iii)")</f>
        <v>pr. B2b(iii)</v>
      </c>
      <c r="AB24148" s="4" t="s">
        <v>28027</v>
      </c>
      <c r="AH24148" s="4" t="str">
        <f>HYPERLINK("#Statut_biogéographique!A"&amp;_xlfn.XMATCH("P",Statut_biogéographique!A:A,2,1),"P")</f>
        <v>P</v>
      </c>
      <c r="AM24148" s="4" t="s">
        <v>375</v>
      </c>
      <c r="AN24148" s="4" t="s">
        <v>375</v>
      </c>
      <c r="AO24148" s="4" t="s">
        <v>375</v>
      </c>
      <c r="AP24148" s="4" t="s">
        <v>376</v>
      </c>
      <c r="AR24148" s="4" t="s">
        <v>377</v>
      </c>
    </row>
    <row r="24149" spans="1:44" ht="30">
      <c r="A24149" s="4" t="s">
        <v>24364</v>
      </c>
      <c r="B24149" s="4">
        <v>92106</v>
      </c>
      <c r="D24149" s="5" t="s">
        <v>31656</v>
      </c>
      <c r="E24149" s="6" t="str">
        <f>HYPERLINK("https://inpn.mnhn.fr/espece/cd_nom/92106","Coincya monensis (L.) Greuter &amp; Burdet, 1983")</f>
        <v>Coincya monensis (L.) Greuter &amp; Burdet, 1983</v>
      </c>
      <c r="F24149" s="5" t="s">
        <v>31657</v>
      </c>
      <c r="Q24149" s="7" t="str">
        <f>HYPERLINK("#Liste_rouge!A"&amp;_xlfn.XMATCH("LC",Liste_rouge!A:A,2,1),"LC")</f>
        <v>LC</v>
      </c>
      <c r="T24149" s="7" t="str">
        <f>HYPERLINK("#Liste_rouge!A"&amp;_xlfn.XMATCH("LC",Liste_rouge!A:A,2,1),"LC")</f>
        <v>LC</v>
      </c>
      <c r="V24149" s="7" t="str">
        <f>HYPERLINK("#Liste_rouge!A"&amp;_xlfn.XMATCH("RE",Liste_rouge!A:A,2,1),"RE")</f>
        <v>RE</v>
      </c>
      <c r="AH24149" s="4" t="str">
        <f>HYPERLINK("#Statut_biogéographique!A"&amp;_xlfn.XMATCH("P",Statut_biogéographique!A:A,2,1),"P")</f>
        <v>P</v>
      </c>
      <c r="AM24149" s="4" t="s">
        <v>375</v>
      </c>
      <c r="AN24149" s="4" t="s">
        <v>375</v>
      </c>
      <c r="AO24149" s="4" t="s">
        <v>375</v>
      </c>
      <c r="AP24149" s="4" t="s">
        <v>376</v>
      </c>
      <c r="AR24149" s="4" t="s">
        <v>377</v>
      </c>
    </row>
    <row r="24150" spans="1:44" ht="45">
      <c r="A24150" s="4" t="s">
        <v>24364</v>
      </c>
      <c r="B24150" s="4">
        <v>92127</v>
      </c>
      <c r="D24150" s="5" t="s">
        <v>31658</v>
      </c>
      <c r="E24150" s="6" t="str">
        <f>HYPERLINK("https://inpn.mnhn.fr/espece/cd_nom/92127","Colchicum autumnale L., 1753")</f>
        <v>Colchicum autumnale L., 1753</v>
      </c>
      <c r="F24150" s="5" t="s">
        <v>31659</v>
      </c>
      <c r="O24150" s="7" t="str">
        <f>HYPERLINK("#Liste_rouge!A"&amp;_xlfn.XMATCH("LC",Liste_rouge!A:A,2,1),"LC")</f>
        <v>LC</v>
      </c>
      <c r="P24150" s="7" t="str">
        <f>HYPERLINK("#Liste_rouge!A"&amp;_xlfn.XMATCH("LC",Liste_rouge!A:A,2,1),"LC")</f>
        <v>LC</v>
      </c>
      <c r="Q24150" s="7" t="str">
        <f>HYPERLINK("#Liste_rouge!A"&amp;_xlfn.XMATCH("LC",Liste_rouge!A:A,2,1),"LC")</f>
        <v>LC</v>
      </c>
      <c r="T24150" s="7" t="str">
        <f>HYPERLINK("#Liste_rouge!A"&amp;_xlfn.XMATCH("LC",Liste_rouge!A:A,2,1),"LC")</f>
        <v>LC</v>
      </c>
      <c r="V24150" s="7" t="str">
        <f>HYPERLINK("#Liste_rouge!A"&amp;_xlfn.XMATCH("LC",Liste_rouge!A:A,2,1),"LC")</f>
        <v>LC</v>
      </c>
      <c r="AH24150" s="4" t="str">
        <f>HYPERLINK("#Statut_biogéographique!A"&amp;_xlfn.XMATCH("P",Statut_biogéographique!A:A,2,1),"P")</f>
        <v>P</v>
      </c>
      <c r="AM24150" s="4" t="s">
        <v>375</v>
      </c>
      <c r="AN24150" s="4" t="s">
        <v>375</v>
      </c>
      <c r="AO24150" s="4" t="s">
        <v>375</v>
      </c>
      <c r="AP24150" s="4" t="s">
        <v>376</v>
      </c>
      <c r="AR24150" s="4" t="s">
        <v>377</v>
      </c>
    </row>
    <row r="24151" spans="1:44">
      <c r="A24151" s="4" t="s">
        <v>24364</v>
      </c>
      <c r="B24151" s="4">
        <v>92149</v>
      </c>
      <c r="D24151" s="5" t="s">
        <v>31660</v>
      </c>
      <c r="E24151" s="6" t="str">
        <f>HYPERLINK("https://inpn.mnhn.fr/espece/cd_nom/92149","Colchicum multiflorum Brot., 1804")</f>
        <v>Colchicum multiflorum Brot., 1804</v>
      </c>
      <c r="F24151" s="5" t="s">
        <v>31661</v>
      </c>
      <c r="AH24151" s="4" t="str">
        <f>HYPERLINK("#Statut_biogéographique!A"&amp;_xlfn.XMATCH("Q",Statut_biogéographique!A:A,2,1),"Q")</f>
        <v>Q</v>
      </c>
      <c r="AP24151" s="4" t="s">
        <v>376</v>
      </c>
      <c r="AR24151" s="4" t="s">
        <v>377</v>
      </c>
    </row>
    <row r="24152" spans="1:44" ht="45">
      <c r="A24152" s="4" t="s">
        <v>24364</v>
      </c>
      <c r="B24152" s="4">
        <v>92175</v>
      </c>
      <c r="D24152" s="5" t="s">
        <v>31662</v>
      </c>
      <c r="E24152" s="6" t="str">
        <f>HYPERLINK("https://inpn.mnhn.fr/espece/cd_nom/92175","Coleostephus myconis (L.) Cass. ex Rchb.f., 1854")</f>
        <v>Coleostephus myconis (L.) Cass. ex Rchb.f., 1854</v>
      </c>
      <c r="F24152" s="5" t="s">
        <v>31663</v>
      </c>
      <c r="Q24152" s="7" t="str">
        <f>HYPERLINK("#Liste_rouge!A"&amp;_xlfn.XMATCH("LC",Liste_rouge!A:A,2,1),"LC")</f>
        <v>LC</v>
      </c>
      <c r="T24152" s="7" t="str">
        <f>HYPERLINK("#Liste_rouge!A"&amp;_xlfn.XMATCH("NA",Liste_rouge!A:A,2,1),"NA")</f>
        <v>NA</v>
      </c>
      <c r="AH24152" s="4" t="str">
        <f>HYPERLINK("#Statut_biogéographique!A"&amp;_xlfn.XMATCH("P",Statut_biogéographique!A:A,2,1),"P")</f>
        <v>P</v>
      </c>
      <c r="AP24152" s="4" t="s">
        <v>376</v>
      </c>
      <c r="AR24152" s="4" t="s">
        <v>377</v>
      </c>
    </row>
    <row r="24153" spans="1:44" ht="30">
      <c r="A24153" s="4" t="s">
        <v>24364</v>
      </c>
      <c r="B24153" s="4">
        <v>92179</v>
      </c>
      <c r="D24153" s="5" t="s">
        <v>31664</v>
      </c>
      <c r="E24153" s="6" t="str">
        <f>HYPERLINK("https://inpn.mnhn.fr/espece/cd_nom/92179","Collomia grandiflora Douglas ex Lindl., 1828")</f>
        <v>Collomia grandiflora Douglas ex Lindl., 1828</v>
      </c>
      <c r="F24153" s="5" t="s">
        <v>31665</v>
      </c>
      <c r="Q24153" s="7" t="str">
        <f>HYPERLINK("#Liste_rouge!A"&amp;_xlfn.XMATCH("NA",Liste_rouge!A:A,2,1),"NA")</f>
        <v>NA</v>
      </c>
      <c r="T24153" s="7" t="str">
        <f>HYPERLINK("#Liste_rouge!A"&amp;_xlfn.XMATCH("NA",Liste_rouge!A:A,2,1),"NA")</f>
        <v>NA</v>
      </c>
      <c r="AH24153" s="4" t="str">
        <f>HYPERLINK("#Statut_biogéographique!A"&amp;_xlfn.XMATCH("I",Statut_biogéographique!A:A,2,1),"I")</f>
        <v>I</v>
      </c>
      <c r="AM24153" s="4" t="s">
        <v>375</v>
      </c>
      <c r="AN24153" s="4" t="s">
        <v>375</v>
      </c>
      <c r="AO24153" s="4" t="s">
        <v>375</v>
      </c>
      <c r="AP24153" s="4" t="s">
        <v>376</v>
      </c>
      <c r="AR24153" s="4" t="s">
        <v>377</v>
      </c>
    </row>
    <row r="24154" spans="1:44">
      <c r="A24154" s="4" t="s">
        <v>24364</v>
      </c>
      <c r="B24154" s="4">
        <v>92196</v>
      </c>
      <c r="D24154" s="5" t="s">
        <v>31666</v>
      </c>
      <c r="E24154" s="6" t="str">
        <f>HYPERLINK("https://inpn.mnhn.fr/espece/cd_nom/92196","Colutea arborescens L., 1753")</f>
        <v>Colutea arborescens L., 1753</v>
      </c>
      <c r="F24154" s="5" t="s">
        <v>31667</v>
      </c>
      <c r="Q24154" s="7" t="str">
        <f>HYPERLINK("#Liste_rouge!A"&amp;_xlfn.XMATCH("LC",Liste_rouge!A:A,2,1),"LC")</f>
        <v>LC</v>
      </c>
      <c r="T24154" s="7" t="str">
        <f>HYPERLINK("#Liste_rouge!A"&amp;_xlfn.XMATCH("NT",Liste_rouge!A:A,2,1),"NT")</f>
        <v>NT</v>
      </c>
      <c r="U24154" s="4" t="str">
        <f>HYPERLINK("#Critères_liste_rouge!A$1","pr. D2")</f>
        <v>pr. D2</v>
      </c>
      <c r="V24154" s="7" t="str">
        <f>HYPERLINK("#Liste_rouge!A"&amp;_xlfn.XMATCH("VU",Liste_rouge!A:A,2,1),"VU")</f>
        <v>VU</v>
      </c>
      <c r="W24154" s="4" t="str">
        <f>HYPERLINK("#Critères_liste_rouge!A$1","D1+2")</f>
        <v>D1+2</v>
      </c>
      <c r="AB24154" s="4" t="s">
        <v>25106</v>
      </c>
      <c r="AH24154" s="4" t="str">
        <f>HYPERLINK("#Statut_biogéographique!A"&amp;_xlfn.XMATCH("P",Statut_biogéographique!A:A,2,1),"P")</f>
        <v>P</v>
      </c>
      <c r="AM24154" s="4" t="s">
        <v>375</v>
      </c>
      <c r="AN24154" s="4" t="s">
        <v>375</v>
      </c>
      <c r="AO24154" s="4" t="s">
        <v>375</v>
      </c>
      <c r="AP24154" s="4" t="s">
        <v>376</v>
      </c>
      <c r="AR24154" s="4" t="s">
        <v>377</v>
      </c>
    </row>
    <row r="24155" spans="1:44" ht="60">
      <c r="A24155" s="4" t="s">
        <v>24364</v>
      </c>
      <c r="B24155" s="4">
        <v>92217</v>
      </c>
      <c r="D24155" s="5" t="s">
        <v>31668</v>
      </c>
      <c r="E24155" s="6" t="str">
        <f>HYPERLINK("https://inpn.mnhn.fr/espece/cd_nom/92217","Comarum palustre L., 1753")</f>
        <v>Comarum palustre L., 1753</v>
      </c>
      <c r="F24155" s="5" t="s">
        <v>31669</v>
      </c>
      <c r="O24155" s="7" t="str">
        <f>HYPERLINK("#Liste_rouge!A"&amp;_xlfn.XMATCH("LC",Liste_rouge!A:A,2,1),"LC")</f>
        <v>LC</v>
      </c>
      <c r="Q24155" s="7" t="str">
        <f>HYPERLINK("#Liste_rouge!A"&amp;_xlfn.XMATCH("LC",Liste_rouge!A:A,2,1),"LC")</f>
        <v>LC</v>
      </c>
      <c r="T24155" s="7" t="str">
        <f>HYPERLINK("#Liste_rouge!A"&amp;_xlfn.XMATCH("NT",Liste_rouge!A:A,2,1),"NT")</f>
        <v>NT</v>
      </c>
      <c r="U24155" s="4" t="str">
        <f>HYPERLINK("#Critères_liste_rouge!A$1","pr. B2a")</f>
        <v>pr. B2a</v>
      </c>
      <c r="V24155" s="7" t="str">
        <f>HYPERLINK("#Liste_rouge!A"&amp;_xlfn.XMATCH("LC",Liste_rouge!A:A,2,1),"LC")</f>
        <v>LC</v>
      </c>
      <c r="AB24155" s="4" t="s">
        <v>24495</v>
      </c>
      <c r="AH24155" s="4" t="str">
        <f>HYPERLINK("#Statut_biogéographique!A"&amp;_xlfn.XMATCH("P",Statut_biogéographique!A:A,2,1),"P")</f>
        <v>P</v>
      </c>
      <c r="AM24155" s="4" t="s">
        <v>375</v>
      </c>
      <c r="AN24155" s="4" t="s">
        <v>375</v>
      </c>
      <c r="AO24155" s="4" t="s">
        <v>375</v>
      </c>
      <c r="AP24155" s="4" t="s">
        <v>376</v>
      </c>
      <c r="AR24155" s="4" t="s">
        <v>377</v>
      </c>
    </row>
    <row r="24156" spans="1:44" ht="45">
      <c r="A24156" s="4" t="s">
        <v>24364</v>
      </c>
      <c r="B24156" s="4">
        <v>92237</v>
      </c>
      <c r="D24156" s="5" t="s">
        <v>31670</v>
      </c>
      <c r="E24156" s="6" t="str">
        <f>HYPERLINK("https://inpn.mnhn.fr/espece/cd_nom/92237","Conium maculatum L., 1753")</f>
        <v>Conium maculatum L., 1753</v>
      </c>
      <c r="F24156" s="5" t="s">
        <v>29658</v>
      </c>
      <c r="Q24156" s="7" t="str">
        <f>HYPERLINK("#Liste_rouge!A"&amp;_xlfn.XMATCH("LC",Liste_rouge!A:A,2,1),"LC")</f>
        <v>LC</v>
      </c>
      <c r="T24156" s="7" t="str">
        <f>HYPERLINK("#Liste_rouge!A"&amp;_xlfn.XMATCH("LC",Liste_rouge!A:A,2,1),"LC")</f>
        <v>LC</v>
      </c>
      <c r="V24156" s="7" t="str">
        <f>HYPERLINK("#Liste_rouge!A"&amp;_xlfn.XMATCH("LC",Liste_rouge!A:A,2,1),"LC")</f>
        <v>LC</v>
      </c>
      <c r="AH24156" s="4" t="str">
        <f>HYPERLINK("#Statut_biogéographique!A"&amp;_xlfn.XMATCH("P",Statut_biogéographique!A:A,2,1),"P")</f>
        <v>P</v>
      </c>
      <c r="AP24156" s="4" t="s">
        <v>376</v>
      </c>
      <c r="AR24156" s="4" t="s">
        <v>377</v>
      </c>
    </row>
    <row r="24157" spans="1:44" ht="45">
      <c r="A24157" s="4" t="s">
        <v>24364</v>
      </c>
      <c r="B24157" s="4">
        <v>92242</v>
      </c>
      <c r="D24157" s="5" t="s">
        <v>31671</v>
      </c>
      <c r="E24157" s="6" t="str">
        <f>HYPERLINK("https://inpn.mnhn.fr/espece/cd_nom/92242","Conopodium majus (Gouan) Loret, 1886")</f>
        <v>Conopodium majus (Gouan) Loret, 1886</v>
      </c>
      <c r="F24157" s="5" t="s">
        <v>30097</v>
      </c>
      <c r="Q24157" s="7" t="str">
        <f>HYPERLINK("#Liste_rouge!A"&amp;_xlfn.XMATCH("LC",Liste_rouge!A:A,2,1),"LC")</f>
        <v>LC</v>
      </c>
      <c r="T24157" s="7" t="str">
        <f>HYPERLINK("#Liste_rouge!A"&amp;_xlfn.XMATCH("EN",Liste_rouge!A:A,2,1),"EN")</f>
        <v>EN</v>
      </c>
      <c r="U24157" s="4" t="str">
        <f>HYPERLINK("#Critères_liste_rouge!A$1","C2a(i)")</f>
        <v>C2a(i)</v>
      </c>
      <c r="V24157" s="7" t="str">
        <f>HYPERLINK("#Liste_rouge!A"&amp;_xlfn.XMATCH("CR",Liste_rouge!A:A,2,1),"CR")</f>
        <v>CR</v>
      </c>
      <c r="W24157" s="4" t="str">
        <f>HYPERLINK("#Critères_liste_rouge!A$1","D")</f>
        <v>D</v>
      </c>
      <c r="X24157" s="5" t="s">
        <v>374</v>
      </c>
      <c r="AB24157" s="4" t="s">
        <v>93</v>
      </c>
      <c r="AH24157" s="4" t="str">
        <f>HYPERLINK("#Statut_biogéographique!A"&amp;_xlfn.XMATCH("P",Statut_biogéographique!A:A,2,1),"P")</f>
        <v>P</v>
      </c>
      <c r="AM24157" s="4" t="s">
        <v>375</v>
      </c>
      <c r="AN24157" s="4" t="s">
        <v>375</v>
      </c>
      <c r="AO24157" s="4" t="s">
        <v>375</v>
      </c>
      <c r="AP24157" s="4" t="s">
        <v>376</v>
      </c>
      <c r="AR24157" s="4" t="s">
        <v>377</v>
      </c>
    </row>
    <row r="24158" spans="1:44" ht="75">
      <c r="A24158" s="4" t="s">
        <v>24364</v>
      </c>
      <c r="B24158" s="4">
        <v>92254</v>
      </c>
      <c r="D24158" s="5" t="s">
        <v>31672</v>
      </c>
      <c r="E24158" s="6" t="str">
        <f>HYPERLINK("https://inpn.mnhn.fr/espece/cd_nom/92254","Conringia orientalis (L.) Dumort., 1827")</f>
        <v>Conringia orientalis (L.) Dumort., 1827</v>
      </c>
      <c r="F24158" s="5" t="s">
        <v>31673</v>
      </c>
      <c r="Q24158" s="7" t="str">
        <f>HYPERLINK("#Liste_rouge!A"&amp;_xlfn.XMATCH("EN",Liste_rouge!A:A,2,1),"EN")</f>
        <v>EN</v>
      </c>
      <c r="T24158" s="7" t="str">
        <f>HYPERLINK("#Liste_rouge!A"&amp;_xlfn.XMATCH("RE",Liste_rouge!A:A,2,1),"RE")</f>
        <v>RE</v>
      </c>
      <c r="V24158" s="7" t="str">
        <f>HYPERLINK("#Liste_rouge!A"&amp;_xlfn.XMATCH("RE",Liste_rouge!A:A,2,1),"RE")</f>
        <v>RE</v>
      </c>
      <c r="AH24158" s="4" t="str">
        <f>HYPERLINK("#Statut_biogéographique!A"&amp;_xlfn.XMATCH("P",Statut_biogéographique!A:A,2,1),"P")</f>
        <v>P</v>
      </c>
      <c r="AI24158" s="8" t="s">
        <v>31674</v>
      </c>
      <c r="AJ24158" s="4" t="s">
        <v>12248</v>
      </c>
      <c r="AM24158" s="4" t="s">
        <v>375</v>
      </c>
      <c r="AN24158" s="4" t="s">
        <v>375</v>
      </c>
      <c r="AO24158" s="4" t="s">
        <v>375</v>
      </c>
      <c r="AP24158" s="4" t="s">
        <v>376</v>
      </c>
      <c r="AR24158" s="4" t="s">
        <v>377</v>
      </c>
    </row>
    <row r="24159" spans="1:44" ht="30">
      <c r="A24159" s="4" t="s">
        <v>24364</v>
      </c>
      <c r="B24159" s="4">
        <v>92282</v>
      </c>
      <c r="D24159" s="5" t="s">
        <v>31675</v>
      </c>
      <c r="E24159" s="6" t="str">
        <f>HYPERLINK("https://inpn.mnhn.fr/espece/cd_nom/92282","Convallaria majalis L., 1753")</f>
        <v>Convallaria majalis L., 1753</v>
      </c>
      <c r="F24159" s="5" t="s">
        <v>31676</v>
      </c>
      <c r="N24159" s="4" t="str">
        <f>HYPERLINK("#Réglementation!A"&amp;_xlfn.XMATCH("V25P2",Réglementation!A:A,2,1),"V25P2 - V70P2")</f>
        <v>V25P2 - V70P2</v>
      </c>
      <c r="P24159" s="7" t="str">
        <f>HYPERLINK("#Liste_rouge!A"&amp;_xlfn.XMATCH("LC",Liste_rouge!A:A,2,1),"LC")</f>
        <v>LC</v>
      </c>
      <c r="Q24159" s="7" t="str">
        <f>HYPERLINK("#Liste_rouge!A"&amp;_xlfn.XMATCH("LC",Liste_rouge!A:A,2,1),"LC")</f>
        <v>LC</v>
      </c>
      <c r="T24159" s="7" t="str">
        <f>HYPERLINK("#Liste_rouge!A"&amp;_xlfn.XMATCH("LC",Liste_rouge!A:A,2,1),"LC")</f>
        <v>LC</v>
      </c>
      <c r="V24159" s="7" t="str">
        <f>HYPERLINK("#Liste_rouge!A"&amp;_xlfn.XMATCH("LC",Liste_rouge!A:A,2,1),"LC")</f>
        <v>LC</v>
      </c>
      <c r="AH24159" s="4" t="str">
        <f>HYPERLINK("#Statut_biogéographique!A"&amp;_xlfn.XMATCH("P",Statut_biogéographique!A:A,2,1),"P")</f>
        <v>P</v>
      </c>
      <c r="AK24159" s="4" t="str">
        <f>HYPERLINK("#Réglementation!A"&amp;_xlfn.XMATCH("V39P2",Réglementation!A:A,2,1),"V39P2 - V39P6 - V25P2 - V70P2")</f>
        <v>V39P2 - V39P6 - V25P2 - V70P2</v>
      </c>
      <c r="AM24159" s="4" t="s">
        <v>375</v>
      </c>
      <c r="AN24159" s="4" t="s">
        <v>375</v>
      </c>
      <c r="AO24159" s="4" t="s">
        <v>375</v>
      </c>
      <c r="AP24159" s="4" t="s">
        <v>376</v>
      </c>
      <c r="AR24159" s="4" t="s">
        <v>377</v>
      </c>
    </row>
    <row r="24160" spans="1:44" ht="45">
      <c r="A24160" s="4" t="s">
        <v>24364</v>
      </c>
      <c r="B24160" s="4">
        <v>92302</v>
      </c>
      <c r="D24160" s="5" t="s">
        <v>31677</v>
      </c>
      <c r="E24160" s="6" t="str">
        <f>HYPERLINK("https://inpn.mnhn.fr/espece/cd_nom/92302","Convolvulus arvensis L., 1753")</f>
        <v>Convolvulus arvensis L., 1753</v>
      </c>
      <c r="F24160" s="5" t="s">
        <v>31678</v>
      </c>
      <c r="Q24160" s="7" t="str">
        <f>HYPERLINK("#Liste_rouge!A"&amp;_xlfn.XMATCH("LC",Liste_rouge!A:A,2,1),"LC")</f>
        <v>LC</v>
      </c>
      <c r="T24160" s="7" t="str">
        <f>HYPERLINK("#Liste_rouge!A"&amp;_xlfn.XMATCH("LC",Liste_rouge!A:A,2,1),"LC")</f>
        <v>LC</v>
      </c>
      <c r="V24160" s="7" t="str">
        <f>HYPERLINK("#Liste_rouge!A"&amp;_xlfn.XMATCH("LC",Liste_rouge!A:A,2,1),"LC")</f>
        <v>LC</v>
      </c>
      <c r="AH24160" s="4" t="str">
        <f>HYPERLINK("#Statut_biogéographique!A"&amp;_xlfn.XMATCH("P",Statut_biogéographique!A:A,2,1),"P")</f>
        <v>P</v>
      </c>
      <c r="AM24160" s="4" t="s">
        <v>375</v>
      </c>
      <c r="AN24160" s="4" t="s">
        <v>375</v>
      </c>
      <c r="AO24160" s="4" t="s">
        <v>375</v>
      </c>
      <c r="AP24160" s="4" t="s">
        <v>376</v>
      </c>
      <c r="AR24160" s="4" t="s">
        <v>377</v>
      </c>
    </row>
    <row r="24161" spans="1:44" ht="30">
      <c r="A24161" s="4" t="s">
        <v>24364</v>
      </c>
      <c r="B24161" s="4">
        <v>92308</v>
      </c>
      <c r="D24161" s="5" t="s">
        <v>31679</v>
      </c>
      <c r="E24161" s="6" t="str">
        <f>HYPERLINK("https://inpn.mnhn.fr/espece/cd_nom/92308","Convolvulus cantabrica L., 1753")</f>
        <v>Convolvulus cantabrica L., 1753</v>
      </c>
      <c r="F24161" s="5" t="s">
        <v>31680</v>
      </c>
      <c r="M24161" s="4" t="str">
        <f>HYPERLINK("#Réglementation!A"&amp;_xlfn.XMATCH("RV26",Réglementation!A:A,2,1),"RV26")</f>
        <v>RV26</v>
      </c>
      <c r="Q24161" s="7" t="str">
        <f>HYPERLINK("#Liste_rouge!A"&amp;_xlfn.XMATCH("LC",Liste_rouge!A:A,2,1),"LC")</f>
        <v>LC</v>
      </c>
      <c r="T24161" s="7" t="str">
        <f>HYPERLINK("#Liste_rouge!A"&amp;_xlfn.XMATCH("VU",Liste_rouge!A:A,2,1),"VU")</f>
        <v>VU</v>
      </c>
      <c r="U24161" s="4" t="str">
        <f>HYPERLINK("#Critères_liste_rouge!A$1","C2a(i) D2")</f>
        <v>C2a(i) D2</v>
      </c>
      <c r="X24161" s="5" t="s">
        <v>374</v>
      </c>
      <c r="AB24161" s="4" t="s">
        <v>93</v>
      </c>
      <c r="AH24161" s="4" t="str">
        <f>HYPERLINK("#Statut_biogéographique!A"&amp;_xlfn.XMATCH("P",Statut_biogéographique!A:A,2,1),"P")</f>
        <v>P</v>
      </c>
      <c r="AM24161" s="4" t="s">
        <v>375</v>
      </c>
      <c r="AN24161" s="4" t="s">
        <v>375</v>
      </c>
      <c r="AO24161" s="4" t="s">
        <v>375</v>
      </c>
      <c r="AP24161" s="4" t="s">
        <v>376</v>
      </c>
      <c r="AR24161" s="4" t="s">
        <v>377</v>
      </c>
    </row>
    <row r="24162" spans="1:44">
      <c r="A24162" s="4" t="s">
        <v>24364</v>
      </c>
      <c r="B24162" s="4">
        <v>92316</v>
      </c>
      <c r="D24162" s="5" t="s">
        <v>31681</v>
      </c>
      <c r="E24162" s="6" t="str">
        <f>HYPERLINK("https://inpn.mnhn.fr/espece/cd_nom/92316","Convolvulus dubius J.L.Gilbert, 1963")</f>
        <v>Convolvulus dubius J.L.Gilbert, 1963</v>
      </c>
      <c r="F24162" s="5" t="s">
        <v>31682</v>
      </c>
      <c r="Q24162" s="7" t="str">
        <f>HYPERLINK("#Liste_rouge!A"&amp;_xlfn.XMATCH("NA",Liste_rouge!A:A,2,1),"NA")</f>
        <v>NA</v>
      </c>
      <c r="T24162" s="7" t="str">
        <f>HYPERLINK("#Liste_rouge!A"&amp;_xlfn.XMATCH("NA",Liste_rouge!A:A,2,1),"NA")</f>
        <v>NA</v>
      </c>
      <c r="AH24162" s="4" t="str">
        <f>HYPERLINK("#Statut_biogéographique!A"&amp;_xlfn.XMATCH("I",Statut_biogéographique!A:A,2,1),"I")</f>
        <v>I</v>
      </c>
      <c r="AP24162" s="4" t="s">
        <v>376</v>
      </c>
      <c r="AR24162" s="4" t="s">
        <v>377</v>
      </c>
    </row>
    <row r="24163" spans="1:44" ht="45">
      <c r="A24163" s="4" t="s">
        <v>24364</v>
      </c>
      <c r="B24163" s="4">
        <v>92353</v>
      </c>
      <c r="D24163" s="5" t="s">
        <v>31683</v>
      </c>
      <c r="E24163" s="6" t="str">
        <f>HYPERLINK("https://inpn.mnhn.fr/espece/cd_nom/92353","Convolvulus sepium L., 1753")</f>
        <v>Convolvulus sepium L., 1753</v>
      </c>
      <c r="F24163" s="5" t="s">
        <v>31684</v>
      </c>
      <c r="O24163" s="7" t="str">
        <f>HYPERLINK("#Liste_rouge!A"&amp;_xlfn.XMATCH("LC",Liste_rouge!A:A,2,1),"LC")</f>
        <v>LC</v>
      </c>
      <c r="Q24163" s="7" t="str">
        <f>HYPERLINK("#Liste_rouge!A"&amp;_xlfn.XMATCH("LC",Liste_rouge!A:A,2,1),"LC")</f>
        <v>LC</v>
      </c>
      <c r="T24163" s="7" t="str">
        <f>HYPERLINK("#Liste_rouge!A"&amp;_xlfn.XMATCH("LC",Liste_rouge!A:A,2,1),"LC")</f>
        <v>LC</v>
      </c>
      <c r="V24163" s="7" t="str">
        <f>HYPERLINK("#Liste_rouge!A"&amp;_xlfn.XMATCH("LC",Liste_rouge!A:A,2,1),"LC")</f>
        <v>LC</v>
      </c>
      <c r="AH24163" s="4" t="str">
        <f>HYPERLINK("#Statut_biogéographique!A"&amp;_xlfn.XMATCH("P",Statut_biogéographique!A:A,2,1),"P")</f>
        <v>P</v>
      </c>
      <c r="AM24163" s="4" t="s">
        <v>375</v>
      </c>
      <c r="AN24163" s="4" t="s">
        <v>375</v>
      </c>
      <c r="AO24163" s="4" t="s">
        <v>375</v>
      </c>
      <c r="AP24163" s="4" t="s">
        <v>376</v>
      </c>
      <c r="AR24163" s="4" t="s">
        <v>377</v>
      </c>
    </row>
    <row r="24164" spans="1:44" ht="45">
      <c r="A24164" s="4" t="s">
        <v>24364</v>
      </c>
      <c r="B24164" s="4">
        <v>92357</v>
      </c>
      <c r="D24164" s="5" t="s">
        <v>31685</v>
      </c>
      <c r="E24164" s="6" t="str">
        <f>HYPERLINK("https://inpn.mnhn.fr/espece/cd_nom/92357","Convolvulus silvaticus Kit., 1805")</f>
        <v>Convolvulus silvaticus Kit., 1805</v>
      </c>
      <c r="F24164" s="5" t="s">
        <v>31686</v>
      </c>
      <c r="Q24164" s="7" t="str">
        <f>HYPERLINK("#Liste_rouge!A"&amp;_xlfn.XMATCH("NA",Liste_rouge!A:A,2,1),"NA")</f>
        <v>NA</v>
      </c>
      <c r="AH24164" s="4" t="str">
        <f>HYPERLINK("#Statut_biogéographique!A"&amp;_xlfn.XMATCH("I",Statut_biogéographique!A:A,2,1),"I")</f>
        <v>I</v>
      </c>
      <c r="AP24164" s="4" t="s">
        <v>376</v>
      </c>
      <c r="AR24164" s="4" t="s">
        <v>377</v>
      </c>
    </row>
    <row r="24165" spans="1:44" ht="45">
      <c r="A24165" s="4" t="s">
        <v>24364</v>
      </c>
      <c r="B24165" s="4">
        <v>923594</v>
      </c>
      <c r="D24165" s="5" t="s">
        <v>31687</v>
      </c>
      <c r="E24165" s="6" t="str">
        <f>HYPERLINK("https://inpn.mnhn.fr/espece/cd_nom/923594","Allium longispathum Redouté, 1811")</f>
        <v>Allium longispathum Redouté, 1811</v>
      </c>
      <c r="F24165" s="5" t="s">
        <v>31688</v>
      </c>
      <c r="Q24165" s="7" t="str">
        <f>HYPERLINK("#Liste_rouge!A"&amp;_xlfn.XMATCH("LC",Liste_rouge!A:A,2,1),"LC")</f>
        <v>LC</v>
      </c>
      <c r="AH24165" s="4" t="str">
        <f>HYPERLINK("#Statut_biogéographique!A"&amp;_xlfn.XMATCH("P",Statut_biogéographique!A:A,2,1),"P")</f>
        <v>P</v>
      </c>
      <c r="AM24165" s="4" t="s">
        <v>375</v>
      </c>
      <c r="AN24165" s="4" t="s">
        <v>375</v>
      </c>
      <c r="AO24165" s="4" t="s">
        <v>375</v>
      </c>
      <c r="AP24165" s="4" t="s">
        <v>376</v>
      </c>
      <c r="AR24165" s="4" t="s">
        <v>377</v>
      </c>
    </row>
    <row r="24166" spans="1:44" ht="30">
      <c r="A24166" s="4" t="s">
        <v>24364</v>
      </c>
      <c r="B24166" s="4">
        <v>92364</v>
      </c>
      <c r="D24166" s="5" t="s">
        <v>31689</v>
      </c>
      <c r="E24166" s="6" t="str">
        <f>HYPERLINK("https://inpn.mnhn.fr/espece/cd_nom/92364","Convolvulus tricolor L., 1753")</f>
        <v>Convolvulus tricolor L., 1753</v>
      </c>
      <c r="F24166" s="5" t="s">
        <v>31690</v>
      </c>
      <c r="Q24166" s="7" t="str">
        <f>HYPERLINK("#Liste_rouge!A"&amp;_xlfn.XMATCH("NA",Liste_rouge!A:A,2,1),"NA")</f>
        <v>NA</v>
      </c>
      <c r="T24166" s="7" t="str">
        <f>HYPERLINK("#Liste_rouge!A"&amp;_xlfn.XMATCH("NA",Liste_rouge!A:A,2,1),"NA")</f>
        <v>NA</v>
      </c>
      <c r="AH24166" s="4" t="str">
        <f>HYPERLINK("#Statut_biogéographique!A"&amp;_xlfn.XMATCH("M",Statut_biogéographique!A:A,2,1),"M")</f>
        <v>M</v>
      </c>
      <c r="AP24166" s="4" t="s">
        <v>376</v>
      </c>
      <c r="AR24166" s="4" t="s">
        <v>377</v>
      </c>
    </row>
    <row r="24167" spans="1:44" ht="75">
      <c r="A24167" s="4" t="s">
        <v>24364</v>
      </c>
      <c r="B24167" s="4">
        <v>923640</v>
      </c>
      <c r="D24167" s="5" t="s">
        <v>31691</v>
      </c>
      <c r="E24167" s="6" t="str">
        <f>HYPERLINK("https://inpn.mnhn.fr/espece/cd_nom/923640","Asplenium foreziense Le Grand ex Magnier, 1884")</f>
        <v>Asplenium foreziense Le Grand ex Magnier, 1884</v>
      </c>
      <c r="F24167" s="5" t="s">
        <v>31692</v>
      </c>
      <c r="O24167" s="7" t="str">
        <f>HYPERLINK("#Liste_rouge!A"&amp;_xlfn.XMATCH("LC",Liste_rouge!A:A,2,1),"LC")</f>
        <v>LC</v>
      </c>
      <c r="P24167" s="7" t="str">
        <f>HYPERLINK("#Liste_rouge!A"&amp;_xlfn.XMATCH("LC",Liste_rouge!A:A,2,1),"LC")</f>
        <v>LC</v>
      </c>
      <c r="Q24167" s="7" t="str">
        <f>HYPERLINK("#Liste_rouge!A"&amp;_xlfn.XMATCH("LC",Liste_rouge!A:A,2,1),"LC")</f>
        <v>LC</v>
      </c>
      <c r="T24167" s="7" t="str">
        <f>HYPERLINK("#Liste_rouge!A"&amp;_xlfn.XMATCH("RE",Liste_rouge!A:A,2,1),"RE")</f>
        <v>RE</v>
      </c>
      <c r="AH24167" s="4" t="str">
        <f>HYPERLINK("#Statut_biogéographique!A"&amp;_xlfn.XMATCH("P",Statut_biogéographique!A:A,2,1),"P")</f>
        <v>P</v>
      </c>
      <c r="AM24167" s="4" t="s">
        <v>375</v>
      </c>
      <c r="AN24167" s="4" t="s">
        <v>375</v>
      </c>
      <c r="AO24167" s="4" t="s">
        <v>375</v>
      </c>
      <c r="AP24167" s="4" t="s">
        <v>376</v>
      </c>
      <c r="AR24167" s="4" t="s">
        <v>377</v>
      </c>
    </row>
    <row r="24168" spans="1:44">
      <c r="A24168" s="4" t="s">
        <v>24364</v>
      </c>
      <c r="B24168" s="4">
        <v>923809</v>
      </c>
      <c r="D24168" s="5" t="s">
        <v>31693</v>
      </c>
      <c r="E24168" s="6" t="str">
        <f>HYPERLINK("https://inpn.mnhn.fr/espece/cd_nom/923809","Hieracium bifidum Kit. ex Hornem., 1815")</f>
        <v>Hieracium bifidum Kit. ex Hornem., 1815</v>
      </c>
      <c r="F24168" s="5" t="s">
        <v>31694</v>
      </c>
      <c r="AH24168" s="4" t="str">
        <f>HYPERLINK("#Statut_biogéographique!A"&amp;_xlfn.XMATCH("Q",Statut_biogéographique!A:A,2,1),"Q")</f>
        <v>Q</v>
      </c>
      <c r="AP24168" s="4" t="s">
        <v>376</v>
      </c>
      <c r="AR24168" s="4" t="s">
        <v>377</v>
      </c>
    </row>
    <row r="24169" spans="1:44" ht="60">
      <c r="A24169" s="4" t="s">
        <v>24364</v>
      </c>
      <c r="B24169" s="4">
        <v>92421</v>
      </c>
      <c r="D24169" s="5" t="s">
        <v>31695</v>
      </c>
      <c r="E24169" s="6" t="str">
        <f>HYPERLINK("https://inpn.mnhn.fr/espece/cd_nom/92421","Corallorhiza trifida Châtel., 1760")</f>
        <v>Corallorhiza trifida Châtel., 1760</v>
      </c>
      <c r="F24169" s="5" t="s">
        <v>31696</v>
      </c>
      <c r="G24169" s="4" t="str">
        <f>HYPERLINK("[#Réglementation!A"&amp;_xlfn.XMATCH("CCB",Réglementation!A:A,2,1),"CCB")</f>
        <v>CCB</v>
      </c>
      <c r="M24169" s="4" t="str">
        <f>HYPERLINK("#Réglementation!A"&amp;_xlfn.XMATCH("RV43",Réglementation!A:A,2,1),"RV43")</f>
        <v>RV43</v>
      </c>
      <c r="P24169" s="7" t="str">
        <f>HYPERLINK("#Liste_rouge!A"&amp;_xlfn.XMATCH("LC",Liste_rouge!A:A,2,1),"LC")</f>
        <v>LC</v>
      </c>
      <c r="Q24169" s="7" t="str">
        <f>HYPERLINK("#Liste_rouge!A"&amp;_xlfn.XMATCH("LC",Liste_rouge!A:A,2,1),"LC")</f>
        <v>LC</v>
      </c>
      <c r="V24169" s="7" t="str">
        <f>HYPERLINK("#Liste_rouge!A"&amp;_xlfn.XMATCH("NT",Liste_rouge!A:A,2,1),"NT")</f>
        <v>NT</v>
      </c>
      <c r="W24169" s="4" t="str">
        <f>HYPERLINK("#Critères_liste_rouge!A$1","pr. B2b(iii)")</f>
        <v>pr. B2b(iii)</v>
      </c>
      <c r="X24169" s="5" t="s">
        <v>374</v>
      </c>
      <c r="AB24169" s="4" t="s">
        <v>93</v>
      </c>
      <c r="AH24169" s="4" t="str">
        <f>HYPERLINK("#Statut_biogéographique!A"&amp;_xlfn.XMATCH("P",Statut_biogéographique!A:A,2,1),"P")</f>
        <v>P</v>
      </c>
      <c r="AM24169" s="4" t="s">
        <v>375</v>
      </c>
      <c r="AN24169" s="4" t="s">
        <v>375</v>
      </c>
      <c r="AO24169" s="4" t="s">
        <v>375</v>
      </c>
      <c r="AP24169" s="4" t="s">
        <v>376</v>
      </c>
      <c r="AR24169" s="4" t="s">
        <v>377</v>
      </c>
    </row>
    <row r="24170" spans="1:44" ht="30">
      <c r="A24170" s="4" t="s">
        <v>24364</v>
      </c>
      <c r="B24170" s="4">
        <v>92465</v>
      </c>
      <c r="D24170" s="5" t="s">
        <v>31697</v>
      </c>
      <c r="E24170" s="6" t="str">
        <f>HYPERLINK("https://inpn.mnhn.fr/espece/cd_nom/92465","Coriandrum sativum L., 1753")</f>
        <v>Coriandrum sativum L., 1753</v>
      </c>
      <c r="F24170" s="5" t="s">
        <v>31698</v>
      </c>
      <c r="Q24170" s="7" t="str">
        <f>HYPERLINK("#Liste_rouge!A"&amp;_xlfn.XMATCH("NA",Liste_rouge!A:A,2,1),"NA")</f>
        <v>NA</v>
      </c>
      <c r="T24170" s="7" t="str">
        <f>HYPERLINK("#Liste_rouge!A"&amp;_xlfn.XMATCH("NA",Liste_rouge!A:A,2,1),"NA")</f>
        <v>NA</v>
      </c>
      <c r="AH24170" s="4" t="str">
        <f>HYPERLINK("#Statut_biogéographique!A"&amp;_xlfn.XMATCH("I",Statut_biogéographique!A:A,2,1),"I")</f>
        <v>I</v>
      </c>
      <c r="AP24170" s="4" t="s">
        <v>376</v>
      </c>
      <c r="AR24170" s="4" t="s">
        <v>377</v>
      </c>
    </row>
    <row r="24171" spans="1:44" ht="30">
      <c r="A24171" s="4" t="s">
        <v>24364</v>
      </c>
      <c r="B24171" s="4">
        <v>92467</v>
      </c>
      <c r="D24171" s="5" t="s">
        <v>31699</v>
      </c>
      <c r="E24171" s="6" t="str">
        <f>HYPERLINK("https://inpn.mnhn.fr/espece/cd_nom/92467","Coriaria myrtifolia L., 1753")</f>
        <v>Coriaria myrtifolia L., 1753</v>
      </c>
      <c r="F24171" s="5" t="s">
        <v>31700</v>
      </c>
      <c r="Q24171" s="7" t="str">
        <f>HYPERLINK("#Liste_rouge!A"&amp;_xlfn.XMATCH("LC",Liste_rouge!A:A,2,1),"LC")</f>
        <v>LC</v>
      </c>
      <c r="T24171" s="7" t="str">
        <f>HYPERLINK("#Liste_rouge!A"&amp;_xlfn.XMATCH("NA",Liste_rouge!A:A,2,1),"NA")</f>
        <v>NA</v>
      </c>
      <c r="AH24171" s="4" t="str">
        <f>HYPERLINK("#Statut_biogéographique!A"&amp;_xlfn.XMATCH("P",Statut_biogéographique!A:A,2,1),"P")</f>
        <v>P</v>
      </c>
      <c r="AP24171" s="4" t="s">
        <v>376</v>
      </c>
      <c r="AR24171" s="4" t="s">
        <v>377</v>
      </c>
    </row>
    <row r="24172" spans="1:44" ht="30">
      <c r="A24172" s="4" t="s">
        <v>24364</v>
      </c>
      <c r="B24172" s="4">
        <v>92488</v>
      </c>
      <c r="D24172" s="5" t="s">
        <v>31701</v>
      </c>
      <c r="E24172" s="6" t="str">
        <f>HYPERLINK("https://inpn.mnhn.fr/espece/cd_nom/92488","Cormus domestica (L.) Spach, 1834")</f>
        <v>Cormus domestica (L.) Spach, 1834</v>
      </c>
      <c r="F24172" s="5" t="s">
        <v>31702</v>
      </c>
      <c r="P24172" s="7" t="str">
        <f>HYPERLINK("#Liste_rouge!A"&amp;_xlfn.XMATCH("LC",Liste_rouge!A:A,2,1),"LC")</f>
        <v>LC</v>
      </c>
      <c r="Q24172" s="7" t="str">
        <f>HYPERLINK("#Liste_rouge!A"&amp;_xlfn.XMATCH("LC",Liste_rouge!A:A,2,1),"LC")</f>
        <v>LC</v>
      </c>
      <c r="T24172" s="7" t="str">
        <f>HYPERLINK("#Liste_rouge!A"&amp;_xlfn.XMATCH("LC",Liste_rouge!A:A,2,1),"LC")</f>
        <v>LC</v>
      </c>
      <c r="V24172" s="7" t="str">
        <f>HYPERLINK("#Liste_rouge!A"&amp;_xlfn.XMATCH("DD",Liste_rouge!A:A,2,1),"DD")</f>
        <v>DD</v>
      </c>
      <c r="AB24172" s="4" t="s">
        <v>24501</v>
      </c>
      <c r="AH24172" s="4" t="str">
        <f>HYPERLINK("#Statut_biogéographique!A"&amp;_xlfn.XMATCH("P",Statut_biogéographique!A:A,2,1),"P")</f>
        <v>P</v>
      </c>
      <c r="AM24172" s="4" t="s">
        <v>375</v>
      </c>
      <c r="AN24172" s="4" t="s">
        <v>375</v>
      </c>
      <c r="AO24172" s="4" t="s">
        <v>375</v>
      </c>
      <c r="AP24172" s="4" t="s">
        <v>376</v>
      </c>
      <c r="AR24172" s="4" t="s">
        <v>377</v>
      </c>
    </row>
    <row r="24173" spans="1:44">
      <c r="A24173" s="4" t="s">
        <v>24364</v>
      </c>
      <c r="B24173" s="4">
        <v>92497</v>
      </c>
      <c r="D24173" s="5" t="s">
        <v>31703</v>
      </c>
      <c r="E24173" s="6" t="str">
        <f>HYPERLINK("https://inpn.mnhn.fr/espece/cd_nom/92497","Cornus mas L., 1753")</f>
        <v>Cornus mas L., 1753</v>
      </c>
      <c r="F24173" s="5" t="s">
        <v>31704</v>
      </c>
      <c r="P24173" s="7" t="str">
        <f>HYPERLINK("#Liste_rouge!A"&amp;_xlfn.XMATCH("LC",Liste_rouge!A:A,2,1),"LC")</f>
        <v>LC</v>
      </c>
      <c r="Q24173" s="7" t="str">
        <f>HYPERLINK("#Liste_rouge!A"&amp;_xlfn.XMATCH("LC",Liste_rouge!A:A,2,1),"LC")</f>
        <v>LC</v>
      </c>
      <c r="T24173" s="7" t="str">
        <f>HYPERLINK("#Liste_rouge!A"&amp;_xlfn.XMATCH("LC",Liste_rouge!A:A,2,1),"LC")</f>
        <v>LC</v>
      </c>
      <c r="V24173" s="7" t="str">
        <f>HYPERLINK("#Liste_rouge!A"&amp;_xlfn.XMATCH("LC",Liste_rouge!A:A,2,1),"LC")</f>
        <v>LC</v>
      </c>
      <c r="AH24173" s="4" t="str">
        <f>HYPERLINK("#Statut_biogéographique!A"&amp;_xlfn.XMATCH("P",Statut_biogéographique!A:A,2,1),"P")</f>
        <v>P</v>
      </c>
      <c r="AM24173" s="4" t="s">
        <v>375</v>
      </c>
      <c r="AN24173" s="4" t="s">
        <v>375</v>
      </c>
      <c r="AO24173" s="4" t="s">
        <v>375</v>
      </c>
      <c r="AP24173" s="4" t="s">
        <v>376</v>
      </c>
      <c r="AR24173" s="4" t="s">
        <v>377</v>
      </c>
    </row>
    <row r="24174" spans="1:44" ht="30">
      <c r="A24174" s="4" t="s">
        <v>24364</v>
      </c>
      <c r="B24174" s="4">
        <v>92501</v>
      </c>
      <c r="D24174" s="5" t="s">
        <v>31705</v>
      </c>
      <c r="E24174" s="6" t="str">
        <f>HYPERLINK("https://inpn.mnhn.fr/espece/cd_nom/92501","Cornus sanguinea L., 1753")</f>
        <v>Cornus sanguinea L., 1753</v>
      </c>
      <c r="F24174" s="5" t="s">
        <v>28445</v>
      </c>
      <c r="Q24174" s="7" t="str">
        <f>HYPERLINK("#Liste_rouge!A"&amp;_xlfn.XMATCH("LC",Liste_rouge!A:A,2,1),"LC")</f>
        <v>LC</v>
      </c>
      <c r="T24174" s="7" t="str">
        <f>HYPERLINK("#Liste_rouge!A"&amp;_xlfn.XMATCH("LC",Liste_rouge!A:A,2,1),"LC")</f>
        <v>LC</v>
      </c>
      <c r="V24174" s="7" t="str">
        <f>HYPERLINK("#Liste_rouge!A"&amp;_xlfn.XMATCH("LC",Liste_rouge!A:A,2,1),"LC")</f>
        <v>LC</v>
      </c>
      <c r="AH24174" s="4" t="str">
        <f>HYPERLINK("#Statut_biogéographique!A"&amp;_xlfn.XMATCH("P",Statut_biogéographique!A:A,2,1),"P")</f>
        <v>P</v>
      </c>
      <c r="AM24174" s="4" t="s">
        <v>375</v>
      </c>
      <c r="AN24174" s="4" t="s">
        <v>375</v>
      </c>
      <c r="AO24174" s="4" t="s">
        <v>375</v>
      </c>
      <c r="AP24174" s="4" t="s">
        <v>376</v>
      </c>
      <c r="AR24174" s="4" t="s">
        <v>377</v>
      </c>
    </row>
    <row r="24175" spans="1:44" ht="30">
      <c r="A24175" s="4" t="s">
        <v>24364</v>
      </c>
      <c r="B24175" s="4">
        <v>92515</v>
      </c>
      <c r="D24175" s="5" t="s">
        <v>31706</v>
      </c>
      <c r="E24175" s="6" t="str">
        <f>HYPERLINK("https://inpn.mnhn.fr/espece/cd_nom/92515","Coronilla coronata L., 1759")</f>
        <v>Coronilla coronata L., 1759</v>
      </c>
      <c r="F24175" s="5" t="s">
        <v>31707</v>
      </c>
      <c r="M24175" s="4" t="str">
        <f>HYPERLINK("#Réglementation!A"&amp;_xlfn.XMATCH("RV26",Réglementation!A:A,2,1),"RV26 - RV43")</f>
        <v>RV26 - RV43</v>
      </c>
      <c r="O24175" s="7" t="str">
        <f>HYPERLINK("#Liste_rouge!A"&amp;_xlfn.XMATCH("LC",Liste_rouge!A:A,2,1),"LC")</f>
        <v>LC</v>
      </c>
      <c r="Q24175" s="7" t="str">
        <f>HYPERLINK("#Liste_rouge!A"&amp;_xlfn.XMATCH("LC",Liste_rouge!A:A,2,1),"LC")</f>
        <v>LC</v>
      </c>
      <c r="T24175" s="7" t="str">
        <f>HYPERLINK("#Liste_rouge!A"&amp;_xlfn.XMATCH("VU",Liste_rouge!A:A,2,1),"VU")</f>
        <v>VU</v>
      </c>
      <c r="U24175" s="4" t="str">
        <f>HYPERLINK("#Critères_liste_rouge!A$1","C2a(i) D2")</f>
        <v>C2a(i) D2</v>
      </c>
      <c r="V24175" s="7" t="str">
        <f>HYPERLINK("#Liste_rouge!A"&amp;_xlfn.XMATCH("NT",Liste_rouge!A:A,2,1),"NT")</f>
        <v>NT</v>
      </c>
      <c r="W24175" s="4" t="str">
        <f>HYPERLINK("#Critères_liste_rouge!A$1","pr. B2b(iii)")</f>
        <v>pr. B2b(iii)</v>
      </c>
      <c r="X24175" s="5" t="s">
        <v>374</v>
      </c>
      <c r="AB24175" s="4" t="s">
        <v>93</v>
      </c>
      <c r="AH24175" s="4" t="str">
        <f>HYPERLINK("#Statut_biogéographique!A"&amp;_xlfn.XMATCH("P",Statut_biogéographique!A:A,2,1),"P")</f>
        <v>P</v>
      </c>
      <c r="AM24175" s="4" t="s">
        <v>375</v>
      </c>
      <c r="AN24175" s="4" t="s">
        <v>375</v>
      </c>
      <c r="AO24175" s="4" t="s">
        <v>375</v>
      </c>
      <c r="AP24175" s="4" t="s">
        <v>376</v>
      </c>
      <c r="AR24175" s="4" t="s">
        <v>377</v>
      </c>
    </row>
    <row r="24176" spans="1:44" ht="30">
      <c r="A24176" s="4" t="s">
        <v>24364</v>
      </c>
      <c r="B24176" s="4">
        <v>92527</v>
      </c>
      <c r="D24176" s="5" t="s">
        <v>31708</v>
      </c>
      <c r="E24176" s="6" t="str">
        <f>HYPERLINK("https://inpn.mnhn.fr/espece/cd_nom/92527","Coronilla minima L., 1756")</f>
        <v>Coronilla minima L., 1756</v>
      </c>
      <c r="F24176" s="5" t="s">
        <v>28447</v>
      </c>
      <c r="Q24176" s="7" t="str">
        <f>HYPERLINK("#Liste_rouge!A"&amp;_xlfn.XMATCH("LC",Liste_rouge!A:A,2,1),"LC")</f>
        <v>LC</v>
      </c>
      <c r="T24176" s="7" t="str">
        <f>HYPERLINK("#Liste_rouge!A"&amp;_xlfn.XMATCH("LC",Liste_rouge!A:A,2,1),"LC")</f>
        <v>LC</v>
      </c>
      <c r="V24176" s="7" t="str">
        <f>HYPERLINK("#Liste_rouge!A"&amp;_xlfn.XMATCH("VU",Liste_rouge!A:A,2,1),"VU")</f>
        <v>VU</v>
      </c>
      <c r="W24176" s="4" t="str">
        <f>HYPERLINK("#Critères_liste_rouge!A$1","B2ab(iii)")</f>
        <v>B2ab(iii)</v>
      </c>
      <c r="AB24176" s="4" t="s">
        <v>24909</v>
      </c>
      <c r="AH24176" s="4" t="str">
        <f>HYPERLINK("#Statut_biogéographique!A"&amp;_xlfn.XMATCH("P",Statut_biogéographique!A:A,2,1),"P")</f>
        <v>P</v>
      </c>
      <c r="AM24176" s="4" t="s">
        <v>375</v>
      </c>
      <c r="AN24176" s="4" t="s">
        <v>375</v>
      </c>
      <c r="AO24176" s="4" t="s">
        <v>375</v>
      </c>
      <c r="AP24176" s="4" t="s">
        <v>376</v>
      </c>
      <c r="AR24176" s="4" t="s">
        <v>377</v>
      </c>
    </row>
    <row r="24177" spans="1:44" ht="30">
      <c r="A24177" s="4" t="s">
        <v>24364</v>
      </c>
      <c r="B24177" s="4">
        <v>92536</v>
      </c>
      <c r="D24177" s="5" t="s">
        <v>31709</v>
      </c>
      <c r="E24177" s="6" t="str">
        <f>HYPERLINK("https://inpn.mnhn.fr/espece/cd_nom/92536","Coronilla scorpioides (L.) W.D.J.Koch, 1837")</f>
        <v>Coronilla scorpioides (L.) W.D.J.Koch, 1837</v>
      </c>
      <c r="F24177" s="5" t="s">
        <v>31710</v>
      </c>
      <c r="Q24177" s="7" t="str">
        <f>HYPERLINK("#Liste_rouge!A"&amp;_xlfn.XMATCH("LC",Liste_rouge!A:A,2,1),"LC")</f>
        <v>LC</v>
      </c>
      <c r="T24177" s="7" t="str">
        <f>HYPERLINK("#Liste_rouge!A"&amp;_xlfn.XMATCH("NE",Liste_rouge!A:A,2,1),"NE")</f>
        <v>NE</v>
      </c>
      <c r="AH24177" s="4" t="str">
        <f>HYPERLINK("#Statut_biogéographique!A"&amp;_xlfn.XMATCH("P",Statut_biogéographique!A:A,2,1),"P")</f>
        <v>P</v>
      </c>
      <c r="AP24177" s="4" t="s">
        <v>376</v>
      </c>
      <c r="AR24177" s="4" t="s">
        <v>377</v>
      </c>
    </row>
    <row r="24178" spans="1:44">
      <c r="A24178" s="4" t="s">
        <v>24364</v>
      </c>
      <c r="B24178" s="4">
        <v>92543</v>
      </c>
      <c r="D24178" s="5" t="s">
        <v>31711</v>
      </c>
      <c r="E24178" s="6" t="str">
        <f>HYPERLINK("https://inpn.mnhn.fr/espece/cd_nom/92543","Coronilla vaginalis Lam., 1786")</f>
        <v>Coronilla vaginalis Lam., 1786</v>
      </c>
      <c r="F24178" s="5" t="s">
        <v>31712</v>
      </c>
      <c r="Q24178" s="7" t="str">
        <f>HYPERLINK("#Liste_rouge!A"&amp;_xlfn.XMATCH("LC",Liste_rouge!A:A,2,1),"LC")</f>
        <v>LC</v>
      </c>
      <c r="V24178" s="7" t="str">
        <f>HYPERLINK("#Liste_rouge!A"&amp;_xlfn.XMATCH("LC",Liste_rouge!A:A,2,1),"LC")</f>
        <v>LC</v>
      </c>
      <c r="AB24178" s="4" t="s">
        <v>24909</v>
      </c>
      <c r="AH24178" s="4" t="str">
        <f>HYPERLINK("#Statut_biogéographique!A"&amp;_xlfn.XMATCH("P",Statut_biogéographique!A:A,2,1),"P")</f>
        <v>P</v>
      </c>
      <c r="AM24178" s="4" t="s">
        <v>375</v>
      </c>
      <c r="AN24178" s="4" t="s">
        <v>375</v>
      </c>
      <c r="AO24178" s="4" t="s">
        <v>375</v>
      </c>
      <c r="AP24178" s="4" t="s">
        <v>376</v>
      </c>
      <c r="AR24178" s="4" t="s">
        <v>377</v>
      </c>
    </row>
    <row r="24179" spans="1:44" ht="45">
      <c r="A24179" s="4" t="s">
        <v>24364</v>
      </c>
      <c r="B24179" s="4">
        <v>92546</v>
      </c>
      <c r="D24179" s="5" t="s">
        <v>31713</v>
      </c>
      <c r="E24179" s="6" t="str">
        <f>HYPERLINK("https://inpn.mnhn.fr/espece/cd_nom/92546","Coronilla varia L., 1753")</f>
        <v>Coronilla varia L., 1753</v>
      </c>
      <c r="F24179" s="5" t="s">
        <v>31714</v>
      </c>
      <c r="P24179" s="7" t="str">
        <f>HYPERLINK("#Liste_rouge!A"&amp;_xlfn.XMATCH("LC",Liste_rouge!A:A,2,1),"LC")</f>
        <v>LC</v>
      </c>
      <c r="Q24179" s="7" t="str">
        <f>HYPERLINK("#Liste_rouge!A"&amp;_xlfn.XMATCH("LC",Liste_rouge!A:A,2,1),"LC")</f>
        <v>LC</v>
      </c>
      <c r="T24179" s="7" t="str">
        <f>HYPERLINK("#Liste_rouge!A"&amp;_xlfn.XMATCH("LC",Liste_rouge!A:A,2,1),"LC")</f>
        <v>LC</v>
      </c>
      <c r="V24179" s="7" t="str">
        <f>HYPERLINK("#Liste_rouge!A"&amp;_xlfn.XMATCH("LC",Liste_rouge!A:A,2,1),"LC")</f>
        <v>LC</v>
      </c>
      <c r="AH24179" s="4" t="str">
        <f>HYPERLINK("#Statut_biogéographique!A"&amp;_xlfn.XMATCH("P",Statut_biogéographique!A:A,2,1),"P")</f>
        <v>P</v>
      </c>
      <c r="AM24179" s="4" t="s">
        <v>375</v>
      </c>
      <c r="AN24179" s="4" t="s">
        <v>375</v>
      </c>
      <c r="AO24179" s="4" t="s">
        <v>375</v>
      </c>
      <c r="AP24179" s="4" t="s">
        <v>376</v>
      </c>
      <c r="AR24179" s="4" t="s">
        <v>377</v>
      </c>
    </row>
    <row r="24180" spans="1:44" ht="30">
      <c r="A24180" s="4" t="s">
        <v>24364</v>
      </c>
      <c r="B24180" s="4">
        <v>92566</v>
      </c>
      <c r="D24180" s="5" t="s">
        <v>31715</v>
      </c>
      <c r="E24180" s="6" t="str">
        <f>HYPERLINK("https://inpn.mnhn.fr/espece/cd_nom/92566","Corrigiola litoralis L., 1753")</f>
        <v>Corrigiola litoralis L., 1753</v>
      </c>
      <c r="F24180" s="5" t="s">
        <v>31716</v>
      </c>
      <c r="O24180" s="7" t="str">
        <f>HYPERLINK("#Liste_rouge!A"&amp;_xlfn.XMATCH("LC",Liste_rouge!A:A,2,1),"LC")</f>
        <v>LC</v>
      </c>
      <c r="Q24180" s="7" t="str">
        <f>HYPERLINK("#Liste_rouge!A"&amp;_xlfn.XMATCH("LC",Liste_rouge!A:A,2,1),"LC")</f>
        <v>LC</v>
      </c>
      <c r="T24180" s="7" t="str">
        <f>HYPERLINK("#Liste_rouge!A"&amp;_xlfn.XMATCH("LC",Liste_rouge!A:A,2,1),"LC")</f>
        <v>LC</v>
      </c>
      <c r="V24180" s="7" t="str">
        <f>HYPERLINK("#Liste_rouge!A"&amp;_xlfn.XMATCH("LC",Liste_rouge!A:A,2,1),"LC")</f>
        <v>LC</v>
      </c>
      <c r="AB24180" s="4" t="s">
        <v>24495</v>
      </c>
      <c r="AH24180" s="4" t="str">
        <f>HYPERLINK("#Statut_biogéographique!A"&amp;_xlfn.XMATCH("P",Statut_biogéographique!A:A,2,1),"P")</f>
        <v>P</v>
      </c>
      <c r="AM24180" s="4" t="s">
        <v>375</v>
      </c>
      <c r="AN24180" s="4" t="s">
        <v>375</v>
      </c>
      <c r="AO24180" s="4" t="s">
        <v>375</v>
      </c>
      <c r="AP24180" s="4" t="s">
        <v>376</v>
      </c>
      <c r="AR24180" s="4" t="s">
        <v>377</v>
      </c>
    </row>
    <row r="24181" spans="1:44" ht="30">
      <c r="A24181" s="4" t="s">
        <v>24364</v>
      </c>
      <c r="B24181" s="4">
        <v>92572</v>
      </c>
      <c r="D24181" s="5" t="s">
        <v>31717</v>
      </c>
      <c r="E24181" s="6" t="str">
        <f>HYPERLINK("https://inpn.mnhn.fr/espece/cd_nom/92572","Cortaderia selloana (Schult. &amp; Schult.f.) Asch. &amp; Graebn., 1900")</f>
        <v>Cortaderia selloana (Schult. &amp; Schult.f.) Asch. &amp; Graebn., 1900</v>
      </c>
      <c r="F24181" s="5" t="s">
        <v>31718</v>
      </c>
      <c r="Q24181" s="7" t="str">
        <f>HYPERLINK("#Liste_rouge!A"&amp;_xlfn.XMATCH("NA",Liste_rouge!A:A,2,1),"NA")</f>
        <v>NA</v>
      </c>
      <c r="T24181" s="7" t="str">
        <f>HYPERLINK("#Liste_rouge!A"&amp;_xlfn.XMATCH("NA",Liste_rouge!A:A,2,1),"NA")</f>
        <v>NA</v>
      </c>
      <c r="AH24181" s="4" t="str">
        <f>HYPERLINK("#Statut_biogéographique!A"&amp;_xlfn.XMATCH("J",Statut_biogéographique!A:A,2,1),"J")</f>
        <v>J</v>
      </c>
      <c r="AP24181" s="4" t="s">
        <v>376</v>
      </c>
      <c r="AR24181" s="4" t="s">
        <v>377</v>
      </c>
    </row>
    <row r="24182" spans="1:44" ht="60">
      <c r="A24182" s="4" t="s">
        <v>24364</v>
      </c>
      <c r="B24182" s="4">
        <v>92581</v>
      </c>
      <c r="D24182" s="5" t="s">
        <v>31719</v>
      </c>
      <c r="E24182" s="6" t="str">
        <f>HYPERLINK("https://inpn.mnhn.fr/espece/cd_nom/92581","Corydalis cava (L.) Schweigg. &amp; Körte, 1811")</f>
        <v>Corydalis cava (L.) Schweigg. &amp; Körte, 1811</v>
      </c>
      <c r="F24182" s="5" t="s">
        <v>31720</v>
      </c>
      <c r="Q24182" s="7" t="str">
        <f>HYPERLINK("#Liste_rouge!A"&amp;_xlfn.XMATCH("LC",Liste_rouge!A:A,2,1),"LC")</f>
        <v>LC</v>
      </c>
      <c r="V24182" s="7" t="str">
        <f>HYPERLINK("#Liste_rouge!A"&amp;_xlfn.XMATCH("LC",Liste_rouge!A:A,2,1),"LC")</f>
        <v>LC</v>
      </c>
      <c r="AH24182" s="4" t="str">
        <f>HYPERLINK("#Statut_biogéographique!A"&amp;_xlfn.XMATCH("P",Statut_biogéographique!A:A,2,1),"P")</f>
        <v>P</v>
      </c>
      <c r="AM24182" s="4" t="s">
        <v>375</v>
      </c>
      <c r="AN24182" s="4" t="s">
        <v>375</v>
      </c>
      <c r="AO24182" s="4" t="s">
        <v>375</v>
      </c>
      <c r="AP24182" s="4" t="s">
        <v>376</v>
      </c>
      <c r="AR24182" s="4" t="s">
        <v>377</v>
      </c>
    </row>
    <row r="24183" spans="1:44" ht="105">
      <c r="A24183" s="4" t="s">
        <v>24364</v>
      </c>
      <c r="B24183" s="4">
        <v>92594</v>
      </c>
      <c r="D24183" s="5" t="s">
        <v>31721</v>
      </c>
      <c r="E24183" s="6" t="str">
        <f>HYPERLINK("https://inpn.mnhn.fr/espece/cd_nom/92594","Corydalis solida (L.) Clairv., 1811 [nom. et typ. cons.]")</f>
        <v>Corydalis solida (L.) Clairv., 1811 [nom. et typ. cons.]</v>
      </c>
      <c r="F24183" s="5" t="s">
        <v>31722</v>
      </c>
      <c r="Q24183" s="7" t="str">
        <f>HYPERLINK("#Liste_rouge!A"&amp;_xlfn.XMATCH("LC",Liste_rouge!A:A,2,1),"LC")</f>
        <v>LC</v>
      </c>
      <c r="T24183" s="7" t="str">
        <f>HYPERLINK("#Liste_rouge!A"&amp;_xlfn.XMATCH("LC",Liste_rouge!A:A,2,1),"LC")</f>
        <v>LC</v>
      </c>
      <c r="V24183" s="7" t="str">
        <f>HYPERLINK("#Liste_rouge!A"&amp;_xlfn.XMATCH("LC",Liste_rouge!A:A,2,1),"LC")</f>
        <v>LC</v>
      </c>
      <c r="AH24183" s="4" t="str">
        <f>HYPERLINK("#Statut_biogéographique!A"&amp;_xlfn.XMATCH("P",Statut_biogéographique!A:A,2,1),"P")</f>
        <v>P</v>
      </c>
      <c r="AM24183" s="4" t="s">
        <v>375</v>
      </c>
      <c r="AN24183" s="4" t="s">
        <v>375</v>
      </c>
      <c r="AO24183" s="4" t="s">
        <v>375</v>
      </c>
      <c r="AP24183" s="4" t="s">
        <v>376</v>
      </c>
      <c r="AR24183" s="4" t="s">
        <v>377</v>
      </c>
    </row>
    <row r="24184" spans="1:44">
      <c r="A24184" s="4" t="s">
        <v>24364</v>
      </c>
      <c r="B24184" s="4">
        <v>92600</v>
      </c>
      <c r="D24184" s="5" t="s">
        <v>31723</v>
      </c>
      <c r="E24184" s="6" t="str">
        <f>HYPERLINK("https://inpn.mnhn.fr/espece/cd_nom/92600","Corydalis x campylochila Teyber, 1910")</f>
        <v>Corydalis x campylochila Teyber, 1910</v>
      </c>
      <c r="F24184" s="5" t="s">
        <v>31724</v>
      </c>
      <c r="AH24184" s="4" t="str">
        <f>HYPERLINK("#Statut_biogéographique!A"&amp;_xlfn.XMATCH("P",Statut_biogéographique!A:A,2,1),"P")</f>
        <v>P</v>
      </c>
      <c r="AP24184" s="4" t="s">
        <v>376</v>
      </c>
      <c r="AR24184" s="4" t="s">
        <v>377</v>
      </c>
    </row>
    <row r="24185" spans="1:44" ht="30">
      <c r="A24185" s="4" t="s">
        <v>24364</v>
      </c>
      <c r="B24185" s="4">
        <v>92606</v>
      </c>
      <c r="D24185" s="5" t="s">
        <v>31725</v>
      </c>
      <c r="E24185" s="6" t="str">
        <f>HYPERLINK("https://inpn.mnhn.fr/espece/cd_nom/92606","Corylus avellana L., 1753")</f>
        <v>Corylus avellana L., 1753</v>
      </c>
      <c r="F24185" s="5" t="s">
        <v>31726</v>
      </c>
      <c r="O24185" s="7" t="str">
        <f>HYPERLINK("#Liste_rouge!A"&amp;_xlfn.XMATCH("LC",Liste_rouge!A:A,2,1),"LC")</f>
        <v>LC</v>
      </c>
      <c r="P24185" s="7" t="str">
        <f>HYPERLINK("#Liste_rouge!A"&amp;_xlfn.XMATCH("LC",Liste_rouge!A:A,2,1),"LC")</f>
        <v>LC</v>
      </c>
      <c r="Q24185" s="7" t="str">
        <f>HYPERLINK("#Liste_rouge!A"&amp;_xlfn.XMATCH("LC",Liste_rouge!A:A,2,1),"LC")</f>
        <v>LC</v>
      </c>
      <c r="T24185" s="7" t="str">
        <f>HYPERLINK("#Liste_rouge!A"&amp;_xlfn.XMATCH("LC",Liste_rouge!A:A,2,1),"LC")</f>
        <v>LC</v>
      </c>
      <c r="V24185" s="7" t="str">
        <f>HYPERLINK("#Liste_rouge!A"&amp;_xlfn.XMATCH("LC",Liste_rouge!A:A,2,1),"LC")</f>
        <v>LC</v>
      </c>
      <c r="AH24185" s="4" t="str">
        <f>HYPERLINK("#Statut_biogéographique!A"&amp;_xlfn.XMATCH("P",Statut_biogéographique!A:A,2,1),"P")</f>
        <v>P</v>
      </c>
      <c r="AM24185" s="4" t="s">
        <v>375</v>
      </c>
      <c r="AN24185" s="4" t="s">
        <v>375</v>
      </c>
      <c r="AO24185" s="4" t="s">
        <v>375</v>
      </c>
      <c r="AP24185" s="4" t="s">
        <v>376</v>
      </c>
      <c r="AR24185" s="4" t="s">
        <v>377</v>
      </c>
    </row>
    <row r="24186" spans="1:44">
      <c r="A24186" s="4" t="s">
        <v>24364</v>
      </c>
      <c r="B24186" s="4">
        <v>92607</v>
      </c>
      <c r="D24186" s="5" t="s">
        <v>31727</v>
      </c>
      <c r="E24186" s="6" t="str">
        <f>HYPERLINK("https://inpn.mnhn.fr/espece/cd_nom/92607","Corylus colurna L., 1753")</f>
        <v>Corylus colurna L., 1753</v>
      </c>
      <c r="F24186" s="5" t="s">
        <v>31728</v>
      </c>
      <c r="O24186" s="7" t="str">
        <f>HYPERLINK("#Liste_rouge!A"&amp;_xlfn.XMATCH("LC",Liste_rouge!A:A,2,1),"LC")</f>
        <v>LC</v>
      </c>
      <c r="P24186" s="7" t="str">
        <f>HYPERLINK("#Liste_rouge!A"&amp;_xlfn.XMATCH("LC",Liste_rouge!A:A,2,1),"LC")</f>
        <v>LC</v>
      </c>
      <c r="AH24186" s="4" t="str">
        <f>HYPERLINK("#Statut_biogéographique!A"&amp;_xlfn.XMATCH("Q",Statut_biogéographique!A:A,2,1),"Q")</f>
        <v>Q</v>
      </c>
      <c r="AP24186" s="4" t="s">
        <v>376</v>
      </c>
      <c r="AR24186" s="4" t="s">
        <v>377</v>
      </c>
    </row>
    <row r="24187" spans="1:44" ht="60">
      <c r="A24187" s="4" t="s">
        <v>24364</v>
      </c>
      <c r="B24187" s="4">
        <v>92614</v>
      </c>
      <c r="D24187" s="5" t="s">
        <v>31729</v>
      </c>
      <c r="E24187" s="6" t="str">
        <f>HYPERLINK("https://inpn.mnhn.fr/espece/cd_nom/92614","Corynephorus canescens (L.) P.Beauv., 1812")</f>
        <v>Corynephorus canescens (L.) P.Beauv., 1812</v>
      </c>
      <c r="F24187" s="5" t="s">
        <v>31730</v>
      </c>
      <c r="M24187" s="4" t="str">
        <f>HYPERLINK("#Réglementation!A"&amp;_xlfn.XMATCH("RV26",Réglementation!A:A,2,1),"RV26")</f>
        <v>RV26</v>
      </c>
      <c r="Q24187" s="7" t="str">
        <f>HYPERLINK("#Liste_rouge!A"&amp;_xlfn.XMATCH("LC",Liste_rouge!A:A,2,1),"LC")</f>
        <v>LC</v>
      </c>
      <c r="T24187" s="7" t="str">
        <f>HYPERLINK("#Liste_rouge!A"&amp;_xlfn.XMATCH("NT",Liste_rouge!A:A,2,1),"NT")</f>
        <v>NT</v>
      </c>
      <c r="U24187" s="4" t="str">
        <f>HYPERLINK("#Critères_liste_rouge!A$1","pr. B2a")</f>
        <v>pr. B2a</v>
      </c>
      <c r="AB24187" s="4" t="s">
        <v>25010</v>
      </c>
      <c r="AH24187" s="4" t="str">
        <f>HYPERLINK("#Statut_biogéographique!A"&amp;_xlfn.XMATCH("P",Statut_biogéographique!A:A,2,1),"P")</f>
        <v>P</v>
      </c>
      <c r="AM24187" s="4" t="s">
        <v>375</v>
      </c>
      <c r="AN24187" s="4" t="s">
        <v>375</v>
      </c>
      <c r="AO24187" s="4" t="s">
        <v>375</v>
      </c>
      <c r="AP24187" s="4" t="s">
        <v>376</v>
      </c>
      <c r="AR24187" s="4" t="s">
        <v>377</v>
      </c>
    </row>
    <row r="24188" spans="1:44">
      <c r="A24188" s="4" t="s">
        <v>24364</v>
      </c>
      <c r="B24188" s="4">
        <v>92623</v>
      </c>
      <c r="D24188" s="5">
        <v>92623</v>
      </c>
      <c r="E24188" s="6" t="str">
        <f>HYPERLINK("https://inpn.mnhn.fr/espece/cd_nom/92623","Cosmos bipinnatus Cav., 1791")</f>
        <v>Cosmos bipinnatus Cav., 1791</v>
      </c>
      <c r="F24188" s="5" t="s">
        <v>31731</v>
      </c>
      <c r="Q24188" s="7" t="str">
        <f>HYPERLINK("#Liste_rouge!A"&amp;_xlfn.XMATCH("NA",Liste_rouge!A:A,2,1),"NA")</f>
        <v>NA</v>
      </c>
      <c r="AH24188" s="4" t="str">
        <f>HYPERLINK("#Statut_biogéographique!A"&amp;_xlfn.XMATCH("M",Statut_biogéographique!A:A,2,1),"M")</f>
        <v>M</v>
      </c>
      <c r="AP24188" s="4" t="s">
        <v>376</v>
      </c>
      <c r="AR24188" s="4" t="s">
        <v>377</v>
      </c>
    </row>
    <row r="24189" spans="1:44">
      <c r="A24189" s="4" t="s">
        <v>24364</v>
      </c>
      <c r="B24189" s="4">
        <v>92624</v>
      </c>
      <c r="D24189" s="5" t="s">
        <v>31732</v>
      </c>
      <c r="E24189" s="6" t="str">
        <f>HYPERLINK("https://inpn.mnhn.fr/espece/cd_nom/92624","Cosmos sulphureus Cav., 1791")</f>
        <v>Cosmos sulphureus Cav., 1791</v>
      </c>
      <c r="F24189" s="5" t="s">
        <v>31733</v>
      </c>
      <c r="Q24189" s="7" t="str">
        <f>HYPERLINK("#Liste_rouge!A"&amp;_xlfn.XMATCH("NA",Liste_rouge!A:A,2,1),"NA")</f>
        <v>NA</v>
      </c>
      <c r="AH24189" s="4" t="str">
        <f>HYPERLINK("#Statut_biogéographique!A"&amp;_xlfn.XMATCH("M",Statut_biogéographique!A:A,2,1),"M")</f>
        <v>M</v>
      </c>
      <c r="AP24189" s="4" t="s">
        <v>376</v>
      </c>
      <c r="AR24189" s="4" t="s">
        <v>377</v>
      </c>
    </row>
    <row r="24190" spans="1:44" ht="30">
      <c r="A24190" s="4" t="s">
        <v>24364</v>
      </c>
      <c r="B24190" s="4">
        <v>92629</v>
      </c>
      <c r="D24190" s="5" t="s">
        <v>31734</v>
      </c>
      <c r="E24190" s="6" t="str">
        <f>HYPERLINK("https://inpn.mnhn.fr/espece/cd_nom/92629","Cota tinctoria (L.) J.Gay ex Guss., 1844")</f>
        <v>Cota tinctoria (L.) J.Gay ex Guss., 1844</v>
      </c>
      <c r="F24190" s="5" t="s">
        <v>31735</v>
      </c>
      <c r="Q24190" s="7" t="str">
        <f>HYPERLINK("#Liste_rouge!A"&amp;_xlfn.XMATCH("DD",Liste_rouge!A:A,2,1),"DD")</f>
        <v>DD</v>
      </c>
      <c r="T24190" s="7" t="str">
        <f>HYPERLINK("#Liste_rouge!A"&amp;_xlfn.XMATCH("NA",Liste_rouge!A:A,2,1),"NA")</f>
        <v>NA</v>
      </c>
      <c r="V24190" s="7" t="str">
        <f>HYPERLINK("#Liste_rouge!A"&amp;_xlfn.XMATCH("DD",Liste_rouge!A:A,2,1),"DD")</f>
        <v>DD</v>
      </c>
      <c r="AH24190" s="4" t="str">
        <f>HYPERLINK("#Statut_biogéographique!A"&amp;_xlfn.XMATCH("P",Statut_biogéographique!A:A,2,1),"P")</f>
        <v>P</v>
      </c>
      <c r="AM24190" s="4" t="s">
        <v>375</v>
      </c>
      <c r="AN24190" s="4" t="s">
        <v>375</v>
      </c>
      <c r="AO24190" s="4" t="s">
        <v>375</v>
      </c>
      <c r="AP24190" s="4" t="s">
        <v>376</v>
      </c>
      <c r="AR24190" s="4" t="s">
        <v>377</v>
      </c>
    </row>
    <row r="24191" spans="1:44" ht="60">
      <c r="A24191" s="4" t="s">
        <v>24364</v>
      </c>
      <c r="B24191" s="4">
        <v>92630</v>
      </c>
      <c r="D24191" s="5" t="s">
        <v>31736</v>
      </c>
      <c r="E24191" s="6" t="str">
        <f>HYPERLINK("https://inpn.mnhn.fr/espece/cd_nom/92630","Cota triumfetti (L.) J.Gay ex Guss., 1844")</f>
        <v>Cota triumfetti (L.) J.Gay ex Guss., 1844</v>
      </c>
      <c r="F24191" s="5" t="s">
        <v>31737</v>
      </c>
      <c r="Q24191" s="7" t="str">
        <f>HYPERLINK("#Liste_rouge!A"&amp;_xlfn.XMATCH("LC",Liste_rouge!A:A,2,1),"LC")</f>
        <v>LC</v>
      </c>
      <c r="AH24191" s="4" t="str">
        <f>HYPERLINK("#Statut_biogéographique!A"&amp;_xlfn.XMATCH("P",Statut_biogéographique!A:A,2,1),"P")</f>
        <v>P</v>
      </c>
      <c r="AM24191" s="4" t="s">
        <v>375</v>
      </c>
      <c r="AN24191" s="4" t="s">
        <v>375</v>
      </c>
      <c r="AO24191" s="4" t="s">
        <v>375</v>
      </c>
      <c r="AP24191" s="4" t="s">
        <v>376</v>
      </c>
      <c r="AR24191" s="4" t="s">
        <v>377</v>
      </c>
    </row>
    <row r="24192" spans="1:44" ht="30">
      <c r="A24192" s="4" t="s">
        <v>24364</v>
      </c>
      <c r="B24192" s="4">
        <v>92631</v>
      </c>
      <c r="D24192" s="5" t="s">
        <v>31738</v>
      </c>
      <c r="E24192" s="6" t="str">
        <f>HYPERLINK("https://inpn.mnhn.fr/espece/cd_nom/92631","Cotinus coggygria Scop., 1771")</f>
        <v>Cotinus coggygria Scop., 1771</v>
      </c>
      <c r="F24192" s="5" t="s">
        <v>31739</v>
      </c>
      <c r="O24192" s="7" t="str">
        <f>HYPERLINK("#Liste_rouge!A"&amp;_xlfn.XMATCH("LC",Liste_rouge!A:A,2,1),"LC")</f>
        <v>LC</v>
      </c>
      <c r="P24192" s="7" t="str">
        <f>HYPERLINK("#Liste_rouge!A"&amp;_xlfn.XMATCH("LC",Liste_rouge!A:A,2,1),"LC")</f>
        <v>LC</v>
      </c>
      <c r="Q24192" s="7" t="str">
        <f>HYPERLINK("#Liste_rouge!A"&amp;_xlfn.XMATCH("LC",Liste_rouge!A:A,2,1),"LC")</f>
        <v>LC</v>
      </c>
      <c r="T24192" s="7" t="str">
        <f>HYPERLINK("#Liste_rouge!A"&amp;_xlfn.XMATCH("NA",Liste_rouge!A:A,2,1),"NA")</f>
        <v>NA</v>
      </c>
      <c r="AH24192" s="4" t="str">
        <f>HYPERLINK("#Statut_biogéographique!A"&amp;_xlfn.XMATCH("P",Statut_biogéographique!A:A,2,1),"P")</f>
        <v>P</v>
      </c>
      <c r="AP24192" s="4" t="s">
        <v>376</v>
      </c>
      <c r="AR24192" s="4" t="s">
        <v>377</v>
      </c>
    </row>
    <row r="24193" spans="1:44" ht="30">
      <c r="A24193" s="4" t="s">
        <v>24364</v>
      </c>
      <c r="B24193" s="4">
        <v>92642</v>
      </c>
      <c r="D24193" s="5" t="s">
        <v>31740</v>
      </c>
      <c r="E24193" s="6" t="str">
        <f>HYPERLINK("https://inpn.mnhn.fr/espece/cd_nom/92642","Cotoneaster bullatus Bois, 1904")</f>
        <v>Cotoneaster bullatus Bois, 1904</v>
      </c>
      <c r="F24193" s="5" t="s">
        <v>31741</v>
      </c>
      <c r="Q24193" s="7" t="str">
        <f>HYPERLINK("#Liste_rouge!A"&amp;_xlfn.XMATCH("NA",Liste_rouge!A:A,2,1),"NA")</f>
        <v>NA</v>
      </c>
      <c r="AH24193" s="4" t="str">
        <f>HYPERLINK("#Statut_biogéographique!A"&amp;_xlfn.XMATCH("M",Statut_biogéographique!A:A,2,1),"M")</f>
        <v>M</v>
      </c>
      <c r="AP24193" s="4" t="s">
        <v>376</v>
      </c>
      <c r="AR24193" s="4" t="s">
        <v>377</v>
      </c>
    </row>
    <row r="24194" spans="1:44">
      <c r="A24194" s="4" t="s">
        <v>24364</v>
      </c>
      <c r="B24194" s="4">
        <v>92649</v>
      </c>
      <c r="D24194" s="5" t="s">
        <v>31742</v>
      </c>
      <c r="E24194" s="6" t="str">
        <f>HYPERLINK("https://inpn.mnhn.fr/espece/cd_nom/92649","Cotoneaster dammeri C.K.Schneid., 1906")</f>
        <v>Cotoneaster dammeri C.K.Schneid., 1906</v>
      </c>
      <c r="F24194" s="5" t="s">
        <v>31743</v>
      </c>
      <c r="Q24194" s="7" t="str">
        <f>HYPERLINK("#Liste_rouge!A"&amp;_xlfn.XMATCH("NA",Liste_rouge!A:A,2,1),"NA")</f>
        <v>NA</v>
      </c>
      <c r="AH24194" s="4" t="str">
        <f>HYPERLINK("#Statut_biogéographique!A"&amp;_xlfn.XMATCH("M",Statut_biogéographique!A:A,2,1),"M")</f>
        <v>M</v>
      </c>
      <c r="AP24194" s="4" t="s">
        <v>376</v>
      </c>
      <c r="AR24194" s="4" t="s">
        <v>377</v>
      </c>
    </row>
    <row r="24195" spans="1:44" ht="30">
      <c r="A24195" s="4" t="s">
        <v>24364</v>
      </c>
      <c r="B24195" s="4">
        <v>92654</v>
      </c>
      <c r="D24195" s="5">
        <v>92654</v>
      </c>
      <c r="E24195" s="6" t="str">
        <f>HYPERLINK("https://inpn.mnhn.fr/espece/cd_nom/92654","Cotoneaster divaricatus Rehder &amp; E.H.Wilson, 1912")</f>
        <v>Cotoneaster divaricatus Rehder &amp; E.H.Wilson, 1912</v>
      </c>
      <c r="F24195" s="5" t="s">
        <v>31744</v>
      </c>
      <c r="Q24195" s="7" t="str">
        <f>HYPERLINK("#Liste_rouge!A"&amp;_xlfn.XMATCH("NA",Liste_rouge!A:A,2,1),"NA")</f>
        <v>NA</v>
      </c>
      <c r="AH24195" s="4" t="str">
        <f>HYPERLINK("#Statut_biogéographique!A"&amp;_xlfn.XMATCH("I",Statut_biogéographique!A:A,2,1),"I")</f>
        <v>I</v>
      </c>
      <c r="AP24195" s="4" t="s">
        <v>376</v>
      </c>
      <c r="AR24195" s="4" t="s">
        <v>377</v>
      </c>
    </row>
    <row r="24196" spans="1:44" ht="30">
      <c r="A24196" s="4" t="s">
        <v>24364</v>
      </c>
      <c r="B24196" s="4">
        <v>92658</v>
      </c>
      <c r="D24196" s="5" t="s">
        <v>31745</v>
      </c>
      <c r="E24196" s="6" t="str">
        <f>HYPERLINK("https://inpn.mnhn.fr/espece/cd_nom/92658","Cotoneaster franchetii Bois, 1902")</f>
        <v>Cotoneaster franchetii Bois, 1902</v>
      </c>
      <c r="F24196" s="5" t="s">
        <v>31746</v>
      </c>
      <c r="Q24196" s="7" t="str">
        <f>HYPERLINK("#Liste_rouge!A"&amp;_xlfn.XMATCH("NA",Liste_rouge!A:A,2,1),"NA")</f>
        <v>NA</v>
      </c>
      <c r="T24196" s="7" t="str">
        <f>HYPERLINK("#Liste_rouge!A"&amp;_xlfn.XMATCH("NA",Liste_rouge!A:A,2,1),"NA")</f>
        <v>NA</v>
      </c>
      <c r="AH24196" s="4" t="str">
        <f>HYPERLINK("#Statut_biogéographique!A"&amp;_xlfn.XMATCH("I",Statut_biogéographique!A:A,2,1),"I")</f>
        <v>I</v>
      </c>
      <c r="AP24196" s="4" t="s">
        <v>376</v>
      </c>
      <c r="AR24196" s="4" t="s">
        <v>377</v>
      </c>
    </row>
    <row r="24197" spans="1:44">
      <c r="A24197" s="4" t="s">
        <v>24364</v>
      </c>
      <c r="B24197" s="4">
        <v>92663</v>
      </c>
      <c r="D24197" s="5" t="s">
        <v>31747</v>
      </c>
      <c r="E24197" s="6" t="str">
        <f>HYPERLINK("https://inpn.mnhn.fr/espece/cd_nom/92663","Cotoneaster horizontalis Decne., 1879")</f>
        <v>Cotoneaster horizontalis Decne., 1879</v>
      </c>
      <c r="F24197" s="5" t="s">
        <v>31748</v>
      </c>
      <c r="Q24197" s="7" t="str">
        <f>HYPERLINK("#Liste_rouge!A"&amp;_xlfn.XMATCH("NA",Liste_rouge!A:A,2,1),"NA")</f>
        <v>NA</v>
      </c>
      <c r="T24197" s="7" t="str">
        <f>HYPERLINK("#Liste_rouge!A"&amp;_xlfn.XMATCH("NA",Liste_rouge!A:A,2,1),"NA")</f>
        <v>NA</v>
      </c>
      <c r="AH24197" s="4" t="str">
        <f>HYPERLINK("#Statut_biogéographique!A"&amp;_xlfn.XMATCH("I",Statut_biogéographique!A:A,2,1),"I")</f>
        <v>I</v>
      </c>
      <c r="AM24197" s="4" t="s">
        <v>375</v>
      </c>
      <c r="AN24197" s="4" t="s">
        <v>375</v>
      </c>
      <c r="AO24197" s="4" t="s">
        <v>375</v>
      </c>
      <c r="AP24197" s="4" t="s">
        <v>376</v>
      </c>
      <c r="AR24197" s="4" t="s">
        <v>377</v>
      </c>
    </row>
    <row r="24198" spans="1:44" ht="30">
      <c r="A24198" s="4" t="s">
        <v>24364</v>
      </c>
      <c r="B24198" s="4">
        <v>92667</v>
      </c>
      <c r="D24198" s="5" t="s">
        <v>31749</v>
      </c>
      <c r="E24198" s="6" t="str">
        <f>HYPERLINK("https://inpn.mnhn.fr/espece/cd_nom/92667","Cotoneaster integerrimus Medik., 1793")</f>
        <v>Cotoneaster integerrimus Medik., 1793</v>
      </c>
      <c r="F24198" s="5" t="s">
        <v>31750</v>
      </c>
      <c r="O24198" s="7" t="str">
        <f>HYPERLINK("#Liste_rouge!A"&amp;_xlfn.XMATCH("LC",Liste_rouge!A:A,2,1),"LC")</f>
        <v>LC</v>
      </c>
      <c r="P24198" s="7" t="str">
        <f>HYPERLINK("#Liste_rouge!A"&amp;_xlfn.XMATCH("LC",Liste_rouge!A:A,2,1),"LC")</f>
        <v>LC</v>
      </c>
      <c r="Q24198" s="7" t="str">
        <f>HYPERLINK("#Liste_rouge!A"&amp;_xlfn.XMATCH("LC",Liste_rouge!A:A,2,1),"LC")</f>
        <v>LC</v>
      </c>
      <c r="T24198" s="7" t="str">
        <f>HYPERLINK("#Liste_rouge!A"&amp;_xlfn.XMATCH("EN",Liste_rouge!A:A,2,1),"EN")</f>
        <v>EN</v>
      </c>
      <c r="U24198" s="4" t="str">
        <f>HYPERLINK("#Critères_liste_rouge!A$1","C2a(i)")</f>
        <v>C2a(i)</v>
      </c>
      <c r="V24198" s="7" t="str">
        <f>HYPERLINK("#Liste_rouge!A"&amp;_xlfn.XMATCH("NT",Liste_rouge!A:A,2,1),"NT")</f>
        <v>NT</v>
      </c>
      <c r="W24198" s="4" t="str">
        <f>HYPERLINK("#Critères_liste_rouge!A$1","pr. B2a")</f>
        <v>pr. B2a</v>
      </c>
      <c r="X24198" s="5" t="s">
        <v>374</v>
      </c>
      <c r="AB24198" s="4" t="s">
        <v>93</v>
      </c>
      <c r="AH24198" s="4" t="str">
        <f>HYPERLINK("#Statut_biogéographique!A"&amp;_xlfn.XMATCH("P",Statut_biogéographique!A:A,2,1),"P")</f>
        <v>P</v>
      </c>
      <c r="AM24198" s="4" t="s">
        <v>375</v>
      </c>
      <c r="AN24198" s="4" t="s">
        <v>375</v>
      </c>
      <c r="AO24198" s="4" t="s">
        <v>375</v>
      </c>
      <c r="AP24198" s="4" t="s">
        <v>376</v>
      </c>
      <c r="AR24198" s="4" t="s">
        <v>377</v>
      </c>
    </row>
    <row r="24199" spans="1:44" ht="30">
      <c r="A24199" s="4" t="s">
        <v>24364</v>
      </c>
      <c r="B24199" s="4">
        <v>926940</v>
      </c>
      <c r="D24199" s="5" t="s">
        <v>31751</v>
      </c>
      <c r="E24199" s="6" t="str">
        <f>HYPERLINK("https://inpn.mnhn.fr/espece/cd_nom/926940","Amaranthus crispus (Lesp. &amp; Thévenau) A.Braun ex J.M.Coult. &amp; S.Watson, 1890")</f>
        <v>Amaranthus crispus (Lesp. &amp; Thévenau) A.Braun ex J.M.Coult. &amp; S.Watson, 1890</v>
      </c>
      <c r="F24199" s="5" t="s">
        <v>31752</v>
      </c>
      <c r="T24199" s="7" t="str">
        <f>HYPERLINK("#Liste_rouge!A"&amp;_xlfn.XMATCH("NA",Liste_rouge!A:A,2,1),"NA")</f>
        <v>NA</v>
      </c>
      <c r="AH24199" s="4" t="str">
        <f>HYPERLINK("#Statut_biogéographique!A"&amp;_xlfn.XMATCH("M",Statut_biogéographique!A:A,2,1),"M")</f>
        <v>M</v>
      </c>
      <c r="AP24199" s="4" t="s">
        <v>376</v>
      </c>
      <c r="AR24199" s="4" t="s">
        <v>377</v>
      </c>
    </row>
    <row r="24200" spans="1:44">
      <c r="A24200" s="4" t="s">
        <v>24364</v>
      </c>
      <c r="B24200" s="4">
        <v>926964</v>
      </c>
      <c r="D24200" s="5" t="s">
        <v>31753</v>
      </c>
      <c r="E24200" s="6" t="str">
        <f>HYPERLINK("https://inpn.mnhn.fr/espece/cd_nom/926964","Zizania latifolia (Griseb.) Turcz. ex Stapf, 1909")</f>
        <v>Zizania latifolia (Griseb.) Turcz. ex Stapf, 1909</v>
      </c>
      <c r="AH24200" s="4" t="str">
        <f>HYPERLINK("#Statut_biogéographique!A"&amp;_xlfn.XMATCH("M",Statut_biogéographique!A:A,2,1),"M")</f>
        <v>M</v>
      </c>
      <c r="AP24200" s="4" t="s">
        <v>376</v>
      </c>
      <c r="AR24200" s="4" t="s">
        <v>377</v>
      </c>
    </row>
    <row r="24201" spans="1:44">
      <c r="A24201" s="4" t="s">
        <v>24364</v>
      </c>
      <c r="B24201" s="4">
        <v>92698</v>
      </c>
      <c r="D24201" s="5" t="s">
        <v>31754</v>
      </c>
      <c r="E24201" s="6" t="str">
        <f>HYPERLINK("https://inpn.mnhn.fr/espece/cd_nom/92698","Cotoneaster pyrenaicus Gand., 1875")</f>
        <v>Cotoneaster pyrenaicus Gand., 1875</v>
      </c>
      <c r="F24201" s="5" t="s">
        <v>31755</v>
      </c>
      <c r="Q24201" s="7" t="str">
        <f>HYPERLINK("#Liste_rouge!A"&amp;_xlfn.XMATCH("LC",Liste_rouge!A:A,2,1),"LC")</f>
        <v>LC</v>
      </c>
      <c r="V24201" s="7" t="str">
        <f>HYPERLINK("#Liste_rouge!A"&amp;_xlfn.XMATCH("DD",Liste_rouge!A:A,2,1),"DD")</f>
        <v>DD</v>
      </c>
      <c r="X24201" s="5" t="s">
        <v>374</v>
      </c>
      <c r="AB24201" s="4" t="s">
        <v>93</v>
      </c>
      <c r="AH24201" s="4" t="str">
        <f>HYPERLINK("#Statut_biogéographique!A"&amp;_xlfn.XMATCH("P",Statut_biogéographique!A:A,2,1),"P")</f>
        <v>P</v>
      </c>
      <c r="AM24201" s="4" t="s">
        <v>375</v>
      </c>
      <c r="AN24201" s="4" t="s">
        <v>375</v>
      </c>
      <c r="AO24201" s="4" t="s">
        <v>375</v>
      </c>
      <c r="AP24201" s="4" t="s">
        <v>376</v>
      </c>
      <c r="AR24201" s="4" t="s">
        <v>377</v>
      </c>
    </row>
    <row r="24202" spans="1:44" ht="30">
      <c r="A24202" s="4" t="s">
        <v>24364</v>
      </c>
      <c r="B24202" s="4">
        <v>92704</v>
      </c>
      <c r="D24202" s="5" t="s">
        <v>31756</v>
      </c>
      <c r="E24202" s="6" t="str">
        <f>HYPERLINK("https://inpn.mnhn.fr/espece/cd_nom/92704","Cotoneaster salicifolius Franch., 1885")</f>
        <v>Cotoneaster salicifolius Franch., 1885</v>
      </c>
      <c r="F24202" s="5" t="s">
        <v>31757</v>
      </c>
      <c r="Q24202" s="7" t="str">
        <f>HYPERLINK("#Liste_rouge!A"&amp;_xlfn.XMATCH("NA",Liste_rouge!A:A,2,1),"NA")</f>
        <v>NA</v>
      </c>
      <c r="AH24202" s="4" t="str">
        <f>HYPERLINK("#Statut_biogéographique!A"&amp;_xlfn.XMATCH("M",Statut_biogéographique!A:A,2,1),"M")</f>
        <v>M</v>
      </c>
      <c r="AP24202" s="4" t="s">
        <v>376</v>
      </c>
      <c r="AR24202" s="4" t="s">
        <v>377</v>
      </c>
    </row>
    <row r="24203" spans="1:44" ht="60">
      <c r="A24203" s="4" t="s">
        <v>24364</v>
      </c>
      <c r="B24203" s="4">
        <v>92710</v>
      </c>
      <c r="D24203" s="5" t="s">
        <v>31758</v>
      </c>
      <c r="E24203" s="6" t="str">
        <f>HYPERLINK("https://inpn.mnhn.fr/espece/cd_nom/92710","Cotoneaster tomentosus (Aiton) Lindl., 1822")</f>
        <v>Cotoneaster tomentosus (Aiton) Lindl., 1822</v>
      </c>
      <c r="F24203" s="5" t="s">
        <v>31759</v>
      </c>
      <c r="Q24203" s="7" t="str">
        <f>HYPERLINK("#Liste_rouge!A"&amp;_xlfn.XMATCH("LC",Liste_rouge!A:A,2,1),"LC")</f>
        <v>LC</v>
      </c>
      <c r="V24203" s="7" t="str">
        <f>HYPERLINK("#Liste_rouge!A"&amp;_xlfn.XMATCH("LC",Liste_rouge!A:A,2,1),"LC")</f>
        <v>LC</v>
      </c>
      <c r="AB24203" s="4" t="s">
        <v>24447</v>
      </c>
      <c r="AH24203" s="4" t="str">
        <f>HYPERLINK("#Statut_biogéographique!A"&amp;_xlfn.XMATCH("P",Statut_biogéographique!A:A,2,1),"P")</f>
        <v>P</v>
      </c>
      <c r="AM24203" s="4" t="s">
        <v>375</v>
      </c>
      <c r="AN24203" s="4" t="s">
        <v>375</v>
      </c>
      <c r="AO24203" s="4" t="s">
        <v>375</v>
      </c>
      <c r="AP24203" s="4" t="s">
        <v>376</v>
      </c>
      <c r="AR24203" s="4" t="s">
        <v>377</v>
      </c>
    </row>
    <row r="24204" spans="1:44">
      <c r="A24204" s="4" t="s">
        <v>24364</v>
      </c>
      <c r="B24204" s="4">
        <v>92716</v>
      </c>
      <c r="D24204" s="5">
        <v>92716</v>
      </c>
      <c r="E24204" s="6" t="str">
        <f>HYPERLINK("https://inpn.mnhn.fr/espece/cd_nom/92716","Cotoneaster x suecicus G.Klotz, 1982")</f>
        <v>Cotoneaster x suecicus G.Klotz, 1982</v>
      </c>
      <c r="F24204" s="5" t="s">
        <v>31760</v>
      </c>
      <c r="AH24204" s="4" t="str">
        <f>HYPERLINK("#Statut_biogéographique!A"&amp;_xlfn.XMATCH("P",Statut_biogéographique!A:A,2,1),"P")</f>
        <v>P</v>
      </c>
      <c r="AP24204" s="4" t="s">
        <v>376</v>
      </c>
      <c r="AR24204" s="4" t="s">
        <v>377</v>
      </c>
    </row>
    <row r="24205" spans="1:44" ht="30">
      <c r="A24205" s="4" t="s">
        <v>24364</v>
      </c>
      <c r="B24205" s="4">
        <v>92806</v>
      </c>
      <c r="D24205" s="5" t="s">
        <v>31761</v>
      </c>
      <c r="E24205" s="6" t="str">
        <f>HYPERLINK("https://inpn.mnhn.fr/espece/cd_nom/92806","Crassula tillaea Lest.-Garl., 1903")</f>
        <v>Crassula tillaea Lest.-Garl., 1903</v>
      </c>
      <c r="F24205" s="5" t="s">
        <v>31762</v>
      </c>
      <c r="O24205" s="7" t="str">
        <f>HYPERLINK("#Liste_rouge!A"&amp;_xlfn.XMATCH("LC",Liste_rouge!A:A,2,1),"LC")</f>
        <v>LC</v>
      </c>
      <c r="Q24205" s="7" t="str">
        <f>HYPERLINK("#Liste_rouge!A"&amp;_xlfn.XMATCH("LC",Liste_rouge!A:A,2,1),"LC")</f>
        <v>LC</v>
      </c>
      <c r="T24205" s="7" t="str">
        <f>HYPERLINK("#Liste_rouge!A"&amp;_xlfn.XMATCH("VU",Liste_rouge!A:A,2,1),"VU")</f>
        <v>VU</v>
      </c>
      <c r="U24205" s="4" t="str">
        <f>HYPERLINK("#Critères_liste_rouge!A$1","D2")</f>
        <v>D2</v>
      </c>
      <c r="X24205" s="5" t="s">
        <v>374</v>
      </c>
      <c r="AB24205" s="4" t="s">
        <v>93</v>
      </c>
      <c r="AH24205" s="4" t="str">
        <f>HYPERLINK("#Statut_biogéographique!A"&amp;_xlfn.XMATCH("P",Statut_biogéographique!A:A,2,1),"P")</f>
        <v>P</v>
      </c>
      <c r="AM24205" s="4" t="s">
        <v>375</v>
      </c>
      <c r="AN24205" s="4" t="s">
        <v>375</v>
      </c>
      <c r="AO24205" s="4" t="s">
        <v>375</v>
      </c>
      <c r="AP24205" s="4" t="s">
        <v>376</v>
      </c>
      <c r="AR24205" s="4" t="s">
        <v>377</v>
      </c>
    </row>
    <row r="24206" spans="1:44" ht="30">
      <c r="A24206" s="4" t="s">
        <v>24364</v>
      </c>
      <c r="B24206" s="4">
        <v>92807</v>
      </c>
      <c r="D24206" s="5" t="s">
        <v>31763</v>
      </c>
      <c r="E24206" s="6" t="str">
        <f>HYPERLINK("https://inpn.mnhn.fr/espece/cd_nom/92807","Crassula vaillantii (Willd.) Roth, 1827")</f>
        <v>Crassula vaillantii (Willd.) Roth, 1827</v>
      </c>
      <c r="F24206" s="5" t="s">
        <v>31764</v>
      </c>
      <c r="Q24206" s="7" t="str">
        <f>HYPERLINK("#Liste_rouge!A"&amp;_xlfn.XMATCH("NT",Liste_rouge!A:A,2,1),"NT")</f>
        <v>NT</v>
      </c>
      <c r="T24206" s="7" t="str">
        <f>HYPERLINK("#Liste_rouge!A"&amp;_xlfn.XMATCH("RE",Liste_rouge!A:A,2,1),"RE")</f>
        <v>RE</v>
      </c>
      <c r="AH24206" s="4" t="str">
        <f>HYPERLINK("#Statut_biogéographique!A"&amp;_xlfn.XMATCH("P",Statut_biogéographique!A:A,2,1),"P")</f>
        <v>P</v>
      </c>
      <c r="AM24206" s="4" t="s">
        <v>375</v>
      </c>
      <c r="AN24206" s="4" t="s">
        <v>375</v>
      </c>
      <c r="AO24206" s="4" t="s">
        <v>375</v>
      </c>
      <c r="AP24206" s="4" t="s">
        <v>376</v>
      </c>
      <c r="AR24206" s="4" t="s">
        <v>377</v>
      </c>
    </row>
    <row r="24207" spans="1:44" ht="45">
      <c r="A24207" s="4" t="s">
        <v>24364</v>
      </c>
      <c r="B24207" s="4">
        <v>92840</v>
      </c>
      <c r="D24207" s="5" t="s">
        <v>31765</v>
      </c>
      <c r="E24207" s="6" t="str">
        <f>HYPERLINK("https://inpn.mnhn.fr/espece/cd_nom/92840","Crataegus crus-galli L., 1753")</f>
        <v>Crataegus crus-galli L., 1753</v>
      </c>
      <c r="F24207" s="5" t="s">
        <v>31766</v>
      </c>
      <c r="O24207" s="7" t="str">
        <f>HYPERLINK("#Liste_rouge!A"&amp;_xlfn.XMATCH("LC",Liste_rouge!A:A,2,1),"LC")</f>
        <v>LC</v>
      </c>
      <c r="Q24207" s="7" t="str">
        <f>HYPERLINK("#Liste_rouge!A"&amp;_xlfn.XMATCH("NA",Liste_rouge!A:A,2,1),"NA")</f>
        <v>NA</v>
      </c>
      <c r="T24207" s="7" t="str">
        <f>HYPERLINK("#Liste_rouge!A"&amp;_xlfn.XMATCH("NA",Liste_rouge!A:A,2,1),"NA")</f>
        <v>NA</v>
      </c>
      <c r="AH24207" s="4" t="str">
        <f>HYPERLINK("#Statut_biogéographique!A"&amp;_xlfn.XMATCH("I",Statut_biogéographique!A:A,2,1),"I")</f>
        <v>I</v>
      </c>
      <c r="AP24207" s="4" t="s">
        <v>376</v>
      </c>
      <c r="AR24207" s="4" t="s">
        <v>377</v>
      </c>
    </row>
    <row r="24208" spans="1:44" ht="45">
      <c r="A24208" s="4" t="s">
        <v>24364</v>
      </c>
      <c r="B24208" s="4">
        <v>92854</v>
      </c>
      <c r="D24208" s="5" t="s">
        <v>31767</v>
      </c>
      <c r="E24208" s="6" t="str">
        <f>HYPERLINK("https://inpn.mnhn.fr/espece/cd_nom/92854","Crataegus germanica (L.) Kuntze, 1891")</f>
        <v>Crataegus germanica (L.) Kuntze, 1891</v>
      </c>
      <c r="F24208" s="5" t="s">
        <v>31768</v>
      </c>
      <c r="P24208" s="7" t="str">
        <f>HYPERLINK("#Liste_rouge!A"&amp;_xlfn.XMATCH("LC",Liste_rouge!A:A,2,1),"LC")</f>
        <v>LC</v>
      </c>
      <c r="Q24208" s="7" t="str">
        <f>HYPERLINK("#Liste_rouge!A"&amp;_xlfn.XMATCH("LC",Liste_rouge!A:A,2,1),"LC")</f>
        <v>LC</v>
      </c>
      <c r="T24208" s="7" t="str">
        <f>HYPERLINK("#Liste_rouge!A"&amp;_xlfn.XMATCH("LC",Liste_rouge!A:A,2,1),"LC")</f>
        <v>LC</v>
      </c>
      <c r="V24208" s="7" t="str">
        <f>HYPERLINK("#Liste_rouge!A"&amp;_xlfn.XMATCH("LC",Liste_rouge!A:A,2,1),"LC")</f>
        <v>LC</v>
      </c>
      <c r="AH24208" s="4" t="str">
        <f>HYPERLINK("#Statut_biogéographique!A"&amp;_xlfn.XMATCH("I",Statut_biogéographique!A:A,2,1),"I")</f>
        <v>I</v>
      </c>
      <c r="AM24208" s="4" t="s">
        <v>375</v>
      </c>
      <c r="AN24208" s="4" t="s">
        <v>375</v>
      </c>
      <c r="AO24208" s="4" t="s">
        <v>375</v>
      </c>
      <c r="AP24208" s="4" t="s">
        <v>376</v>
      </c>
      <c r="AR24208" s="4" t="s">
        <v>377</v>
      </c>
    </row>
    <row r="24209" spans="1:44" ht="60">
      <c r="A24209" s="4" t="s">
        <v>24364</v>
      </c>
      <c r="B24209" s="4">
        <v>92864</v>
      </c>
      <c r="D24209" s="5" t="s">
        <v>31769</v>
      </c>
      <c r="E24209" s="6" t="str">
        <f>HYPERLINK("https://inpn.mnhn.fr/espece/cd_nom/92864","Crataegus laevigata (Poir.) DC., 1825")</f>
        <v>Crataegus laevigata (Poir.) DC., 1825</v>
      </c>
      <c r="F24209" s="5" t="s">
        <v>31770</v>
      </c>
      <c r="O24209" s="7" t="str">
        <f>HYPERLINK("#Liste_rouge!A"&amp;_xlfn.XMATCH("LC",Liste_rouge!A:A,2,1),"LC")</f>
        <v>LC</v>
      </c>
      <c r="P24209" s="7" t="str">
        <f>HYPERLINK("#Liste_rouge!A"&amp;_xlfn.XMATCH("LC",Liste_rouge!A:A,2,1),"LC")</f>
        <v>LC</v>
      </c>
      <c r="Q24209" s="7" t="str">
        <f>HYPERLINK("#Liste_rouge!A"&amp;_xlfn.XMATCH("LC",Liste_rouge!A:A,2,1),"LC")</f>
        <v>LC</v>
      </c>
      <c r="T24209" s="7" t="str">
        <f>HYPERLINK("#Liste_rouge!A"&amp;_xlfn.XMATCH("LC",Liste_rouge!A:A,2,1),"LC")</f>
        <v>LC</v>
      </c>
      <c r="V24209" s="7" t="str">
        <f>HYPERLINK("#Liste_rouge!A"&amp;_xlfn.XMATCH("LC",Liste_rouge!A:A,2,1),"LC")</f>
        <v>LC</v>
      </c>
      <c r="AH24209" s="4" t="str">
        <f>HYPERLINK("#Statut_biogéographique!A"&amp;_xlfn.XMATCH("P",Statut_biogéographique!A:A,2,1),"P")</f>
        <v>P</v>
      </c>
      <c r="AM24209" s="4" t="s">
        <v>375</v>
      </c>
      <c r="AN24209" s="4" t="s">
        <v>375</v>
      </c>
      <c r="AO24209" s="4" t="s">
        <v>375</v>
      </c>
      <c r="AP24209" s="4" t="s">
        <v>376</v>
      </c>
      <c r="AR24209" s="4" t="s">
        <v>377</v>
      </c>
    </row>
    <row r="24210" spans="1:44" ht="195">
      <c r="A24210" s="4" t="s">
        <v>24364</v>
      </c>
      <c r="B24210" s="4">
        <v>92876</v>
      </c>
      <c r="D24210" s="5" t="s">
        <v>31771</v>
      </c>
      <c r="E24210" s="6" t="str">
        <f>HYPERLINK("https://inpn.mnhn.fr/espece/cd_nom/92876","Crataegus monogyna Jacq., 1775")</f>
        <v>Crataegus monogyna Jacq., 1775</v>
      </c>
      <c r="F24210" s="5" t="s">
        <v>31772</v>
      </c>
      <c r="O24210" s="7" t="str">
        <f>HYPERLINK("#Liste_rouge!A"&amp;_xlfn.XMATCH("LC",Liste_rouge!A:A,2,1),"LC")</f>
        <v>LC</v>
      </c>
      <c r="P24210" s="7" t="str">
        <f>HYPERLINK("#Liste_rouge!A"&amp;_xlfn.XMATCH("LC",Liste_rouge!A:A,2,1),"LC")</f>
        <v>LC</v>
      </c>
      <c r="Q24210" s="7" t="str">
        <f>HYPERLINK("#Liste_rouge!A"&amp;_xlfn.XMATCH("LC",Liste_rouge!A:A,2,1),"LC")</f>
        <v>LC</v>
      </c>
      <c r="T24210" s="7" t="str">
        <f>HYPERLINK("#Liste_rouge!A"&amp;_xlfn.XMATCH("DD",Liste_rouge!A:A,2,1),"DD (cd_nom 145734) - LC (cd_nom 92876)")</f>
        <v>DD (cd_nom 145734) - LC (cd_nom 92876)</v>
      </c>
      <c r="V24210" s="7" t="str">
        <f>HYPERLINK("#Liste_rouge!A"&amp;_xlfn.XMATCH("LC",Liste_rouge!A:A,2,1),"LC")</f>
        <v>LC</v>
      </c>
      <c r="AH24210" s="4" t="str">
        <f>HYPERLINK("#Statut_biogéographique!A"&amp;_xlfn.XMATCH("P",Statut_biogéographique!A:A,2,1),"P")</f>
        <v>P</v>
      </c>
      <c r="AM24210" s="4" t="s">
        <v>375</v>
      </c>
      <c r="AN24210" s="4" t="s">
        <v>375</v>
      </c>
      <c r="AO24210" s="4" t="s">
        <v>375</v>
      </c>
      <c r="AP24210" s="4" t="s">
        <v>376</v>
      </c>
      <c r="AR24210" s="4" t="s">
        <v>377</v>
      </c>
    </row>
    <row r="24211" spans="1:44" ht="90">
      <c r="A24211" s="4" t="s">
        <v>24364</v>
      </c>
      <c r="B24211" s="4">
        <v>92900</v>
      </c>
      <c r="D24211" s="5" t="s">
        <v>31773</v>
      </c>
      <c r="E24211" s="6" t="str">
        <f>HYPERLINK("https://inpn.mnhn.fr/espece/cd_nom/92900","Crataegus rosiformis Janka, 1874")</f>
        <v>Crataegus rosiformis Janka, 1874</v>
      </c>
      <c r="F24211" s="5" t="s">
        <v>31774</v>
      </c>
      <c r="Q24211" s="7" t="str">
        <f>HYPERLINK("#Liste_rouge!A"&amp;_xlfn.XMATCH("LC",Liste_rouge!A:A,2,1),"LC")</f>
        <v>LC</v>
      </c>
      <c r="T24211" s="7" t="str">
        <f>HYPERLINK("#Liste_rouge!A"&amp;_xlfn.XMATCH("NA",Liste_rouge!A:A,2,1),"NA")</f>
        <v>NA</v>
      </c>
      <c r="V24211" s="7" t="str">
        <f>HYPERLINK("#Liste_rouge!A"&amp;_xlfn.XMATCH("DD",Liste_rouge!A:A,2,1),"DD")</f>
        <v>DD</v>
      </c>
      <c r="AH24211" s="4" t="str">
        <f>HYPERLINK("#Statut_biogéographique!A"&amp;_xlfn.XMATCH("P",Statut_biogéographique!A:A,2,1),"P")</f>
        <v>P</v>
      </c>
      <c r="AM24211" s="4" t="s">
        <v>375</v>
      </c>
      <c r="AN24211" s="4" t="s">
        <v>375</v>
      </c>
      <c r="AO24211" s="4" t="s">
        <v>375</v>
      </c>
      <c r="AP24211" s="4" t="s">
        <v>376</v>
      </c>
      <c r="AR24211" s="4" t="s">
        <v>377</v>
      </c>
    </row>
    <row r="24212" spans="1:44" ht="30">
      <c r="A24212" s="4" t="s">
        <v>24364</v>
      </c>
      <c r="B24212" s="4">
        <v>92943</v>
      </c>
      <c r="D24212" s="5" t="s">
        <v>31775</v>
      </c>
      <c r="E24212" s="6" t="str">
        <f>HYPERLINK("https://inpn.mnhn.fr/espece/cd_nom/92943","Crataegus x lobata (Poir.) Bosc, 1821")</f>
        <v>Crataegus x lobata (Poir.) Bosc, 1821</v>
      </c>
      <c r="F24212" s="5" t="s">
        <v>31776</v>
      </c>
      <c r="T24212" s="7" t="str">
        <f>HYPERLINK("#Liste_rouge!A"&amp;_xlfn.XMATCH("NE",Liste_rouge!A:A,2,1),"NE")</f>
        <v>NE</v>
      </c>
      <c r="AH24212" s="4" t="str">
        <f>HYPERLINK("#Statut_biogéographique!A"&amp;_xlfn.XMATCH("D",Statut_biogéographique!A:A,2,1),"D")</f>
        <v>D</v>
      </c>
      <c r="AP24212" s="4" t="s">
        <v>376</v>
      </c>
      <c r="AR24212" s="4" t="s">
        <v>377</v>
      </c>
    </row>
    <row r="24213" spans="1:44" ht="90">
      <c r="A24213" s="4" t="s">
        <v>24364</v>
      </c>
      <c r="B24213" s="4">
        <v>92945</v>
      </c>
      <c r="D24213" s="5" t="s">
        <v>31777</v>
      </c>
      <c r="E24213" s="6" t="str">
        <f>HYPERLINK("https://inpn.mnhn.fr/espece/cd_nom/92945","Crataegus x macrocarpa Hegetschw., 1839")</f>
        <v>Crataegus x macrocarpa Hegetschw., 1839</v>
      </c>
      <c r="F24213" s="5" t="s">
        <v>31778</v>
      </c>
      <c r="AH24213" s="4" t="str">
        <f>HYPERLINK("#Statut_biogéographique!A"&amp;_xlfn.XMATCH("P",Statut_biogéographique!A:A,2,1),"P")</f>
        <v>P</v>
      </c>
      <c r="AP24213" s="4" t="s">
        <v>376</v>
      </c>
      <c r="AR24213" s="4" t="s">
        <v>377</v>
      </c>
    </row>
    <row r="24214" spans="1:44" ht="30">
      <c r="A24214" s="4" t="s">
        <v>24364</v>
      </c>
      <c r="B24214" s="4">
        <v>92948</v>
      </c>
      <c r="D24214" s="5" t="s">
        <v>31779</v>
      </c>
      <c r="E24214" s="6" t="str">
        <f>HYPERLINK("https://inpn.mnhn.fr/espece/cd_nom/92948","Crataegus x media Bechst., 1797")</f>
        <v>Crataegus x media Bechst., 1797</v>
      </c>
      <c r="F24214" s="5" t="s">
        <v>31780</v>
      </c>
      <c r="T24214" s="7" t="str">
        <f>HYPERLINK("#Liste_rouge!A"&amp;_xlfn.XMATCH("LC",Liste_rouge!A:A,2,1),"LC")</f>
        <v>LC</v>
      </c>
      <c r="AH24214" s="4" t="str">
        <f>HYPERLINK("#Statut_biogéographique!A"&amp;_xlfn.XMATCH("P",Statut_biogéographique!A:A,2,1),"P")</f>
        <v>P</v>
      </c>
      <c r="AP24214" s="4" t="s">
        <v>376</v>
      </c>
      <c r="AR24214" s="4" t="s">
        <v>377</v>
      </c>
    </row>
    <row r="24215" spans="1:44" ht="90">
      <c r="A24215" s="4" t="s">
        <v>24364</v>
      </c>
      <c r="B24215" s="4">
        <v>92963</v>
      </c>
      <c r="D24215" s="5" t="s">
        <v>31781</v>
      </c>
      <c r="E24215" s="6" t="str">
        <f>HYPERLINK("https://inpn.mnhn.fr/espece/cd_nom/92963","Crataegus x subsphaerica Gand., 1872")</f>
        <v>Crataegus x subsphaerica Gand., 1872</v>
      </c>
      <c r="F24215" s="5" t="s">
        <v>31782</v>
      </c>
      <c r="O24215" s="7" t="str">
        <f>HYPERLINK("#Liste_rouge!A"&amp;_xlfn.XMATCH("LC",Liste_rouge!A:A,2,1),"LC")</f>
        <v>LC</v>
      </c>
      <c r="P24215" s="7" t="str">
        <f>HYPERLINK("#Liste_rouge!A"&amp;_xlfn.XMATCH("LC",Liste_rouge!A:A,2,1),"LC")</f>
        <v>LC</v>
      </c>
      <c r="AH24215" s="4" t="str">
        <f>HYPERLINK("#Statut_biogéographique!A"&amp;_xlfn.XMATCH("P",Statut_biogéographique!A:A,2,1),"P")</f>
        <v>P</v>
      </c>
      <c r="AP24215" s="4" t="s">
        <v>376</v>
      </c>
      <c r="AR24215" s="4" t="s">
        <v>377</v>
      </c>
    </row>
    <row r="24216" spans="1:44" ht="30">
      <c r="A24216" s="4" t="s">
        <v>24364</v>
      </c>
      <c r="B24216" s="4">
        <v>93004</v>
      </c>
      <c r="D24216" s="5" t="s">
        <v>31783</v>
      </c>
      <c r="E24216" s="6" t="str">
        <f>HYPERLINK("https://inpn.mnhn.fr/espece/cd_nom/93004","Crepis aurea (L.) Tausch, 1828")</f>
        <v>Crepis aurea (L.) Tausch, 1828</v>
      </c>
      <c r="F24216" s="5" t="s">
        <v>28450</v>
      </c>
      <c r="M24216" s="4" t="str">
        <f>HYPERLINK("#Réglementation!A"&amp;_xlfn.XMATCH("RV43",Réglementation!A:A,2,1),"RV43")</f>
        <v>RV43</v>
      </c>
      <c r="Q24216" s="7" t="str">
        <f>HYPERLINK("#Liste_rouge!A"&amp;_xlfn.XMATCH("LC",Liste_rouge!A:A,2,1),"LC")</f>
        <v>LC</v>
      </c>
      <c r="V24216" s="7" t="str">
        <f>HYPERLINK("#Liste_rouge!A"&amp;_xlfn.XMATCH("CR",Liste_rouge!A:A,2,1),"CR")</f>
        <v>CR</v>
      </c>
      <c r="W24216" s="4" t="str">
        <f>HYPERLINK("#Critères_liste_rouge!A$1","D")</f>
        <v>D</v>
      </c>
      <c r="X24216" s="5" t="s">
        <v>374</v>
      </c>
      <c r="AB24216" s="4" t="s">
        <v>93</v>
      </c>
      <c r="AH24216" s="4" t="str">
        <f>HYPERLINK("#Statut_biogéographique!A"&amp;_xlfn.XMATCH("P",Statut_biogéographique!A:A,2,1),"P")</f>
        <v>P</v>
      </c>
      <c r="AM24216" s="4" t="s">
        <v>375</v>
      </c>
      <c r="AN24216" s="4" t="s">
        <v>375</v>
      </c>
      <c r="AO24216" s="4" t="s">
        <v>375</v>
      </c>
      <c r="AP24216" s="4" t="s">
        <v>376</v>
      </c>
      <c r="AR24216" s="4" t="s">
        <v>377</v>
      </c>
    </row>
    <row r="24217" spans="1:44" ht="45">
      <c r="A24217" s="4" t="s">
        <v>24364</v>
      </c>
      <c r="B24217" s="4">
        <v>93015</v>
      </c>
      <c r="D24217" s="5" t="s">
        <v>31784</v>
      </c>
      <c r="E24217" s="6" t="str">
        <f>HYPERLINK("https://inpn.mnhn.fr/espece/cd_nom/93015","Crepis biennis L., 1753")</f>
        <v>Crepis biennis L., 1753</v>
      </c>
      <c r="F24217" s="5" t="s">
        <v>31785</v>
      </c>
      <c r="Q24217" s="7" t="str">
        <f>HYPERLINK("#Liste_rouge!A"&amp;_xlfn.XMATCH("LC",Liste_rouge!A:A,2,1),"LC")</f>
        <v>LC</v>
      </c>
      <c r="T24217" s="7" t="str">
        <f>HYPERLINK("#Liste_rouge!A"&amp;_xlfn.XMATCH("LC",Liste_rouge!A:A,2,1),"LC")</f>
        <v>LC</v>
      </c>
      <c r="V24217" s="7" t="str">
        <f>HYPERLINK("#Liste_rouge!A"&amp;_xlfn.XMATCH("LC",Liste_rouge!A:A,2,1),"LC")</f>
        <v>LC</v>
      </c>
      <c r="AH24217" s="4" t="str">
        <f>HYPERLINK("#Statut_biogéographique!A"&amp;_xlfn.XMATCH("P",Statut_biogéographique!A:A,2,1),"P")</f>
        <v>P</v>
      </c>
      <c r="AM24217" s="4" t="s">
        <v>375</v>
      </c>
      <c r="AN24217" s="4" t="s">
        <v>375</v>
      </c>
      <c r="AO24217" s="4" t="s">
        <v>375</v>
      </c>
      <c r="AP24217" s="4" t="s">
        <v>376</v>
      </c>
      <c r="AR24217" s="4" t="s">
        <v>377</v>
      </c>
    </row>
    <row r="24218" spans="1:44" ht="45">
      <c r="A24218" s="4" t="s">
        <v>24364</v>
      </c>
      <c r="B24218" s="4">
        <v>93020</v>
      </c>
      <c r="D24218" s="5" t="s">
        <v>31786</v>
      </c>
      <c r="E24218" s="6" t="str">
        <f>HYPERLINK("https://inpn.mnhn.fr/espece/cd_nom/93020","Crepis bursifolia L., 1753")</f>
        <v>Crepis bursifolia L., 1753</v>
      </c>
      <c r="F24218" s="5" t="s">
        <v>31787</v>
      </c>
      <c r="Q24218" s="7" t="str">
        <f>HYPERLINK("#Liste_rouge!A"&amp;_xlfn.XMATCH("NA",Liste_rouge!A:A,2,1),"NA")</f>
        <v>NA</v>
      </c>
      <c r="AH24218" s="4" t="str">
        <f>HYPERLINK("#Statut_biogéographique!A"&amp;_xlfn.XMATCH("I",Statut_biogéographique!A:A,2,1),"I")</f>
        <v>I</v>
      </c>
      <c r="AP24218" s="4" t="s">
        <v>376</v>
      </c>
      <c r="AR24218" s="4" t="s">
        <v>377</v>
      </c>
    </row>
    <row r="24219" spans="1:44" ht="60">
      <c r="A24219" s="4" t="s">
        <v>24364</v>
      </c>
      <c r="B24219" s="4">
        <v>93023</v>
      </c>
      <c r="D24219" s="5" t="s">
        <v>31788</v>
      </c>
      <c r="E24219" s="6" t="str">
        <f>HYPERLINK("https://inpn.mnhn.fr/espece/cd_nom/93023","Crepis capillaris (L.) Wallr., 1840")</f>
        <v>Crepis capillaris (L.) Wallr., 1840</v>
      </c>
      <c r="F24219" s="5" t="s">
        <v>31789</v>
      </c>
      <c r="Q24219" s="7" t="str">
        <f>HYPERLINK("#Liste_rouge!A"&amp;_xlfn.XMATCH("LC",Liste_rouge!A:A,2,1),"LC")</f>
        <v>LC</v>
      </c>
      <c r="T24219" s="7" t="str">
        <f>HYPERLINK("#Liste_rouge!A"&amp;_xlfn.XMATCH("LC",Liste_rouge!A:A,2,1),"LC")</f>
        <v>LC</v>
      </c>
      <c r="V24219" s="7" t="str">
        <f>HYPERLINK("#Liste_rouge!A"&amp;_xlfn.XMATCH("LC",Liste_rouge!A:A,2,1),"LC")</f>
        <v>LC</v>
      </c>
      <c r="AH24219" s="4" t="str">
        <f>HYPERLINK("#Statut_biogéographique!A"&amp;_xlfn.XMATCH("P",Statut_biogéographique!A:A,2,1),"P")</f>
        <v>P</v>
      </c>
      <c r="AM24219" s="4" t="s">
        <v>375</v>
      </c>
      <c r="AN24219" s="4" t="s">
        <v>375</v>
      </c>
      <c r="AO24219" s="4" t="s">
        <v>375</v>
      </c>
      <c r="AP24219" s="4" t="s">
        <v>376</v>
      </c>
      <c r="AR24219" s="4" t="s">
        <v>377</v>
      </c>
    </row>
    <row r="24220" spans="1:44" ht="45">
      <c r="A24220" s="4" t="s">
        <v>24364</v>
      </c>
      <c r="B24220" s="4">
        <v>93045</v>
      </c>
      <c r="D24220" s="5" t="s">
        <v>31790</v>
      </c>
      <c r="E24220" s="6" t="str">
        <f>HYPERLINK("https://inpn.mnhn.fr/espece/cd_nom/93045","Crepis foetida L., 1753")</f>
        <v>Crepis foetida L., 1753</v>
      </c>
      <c r="F24220" s="5" t="s">
        <v>28452</v>
      </c>
      <c r="Q24220" s="7" t="str">
        <f>HYPERLINK("#Liste_rouge!A"&amp;_xlfn.XMATCH("LC",Liste_rouge!A:A,2,1),"LC")</f>
        <v>LC</v>
      </c>
      <c r="T24220" s="7" t="str">
        <f>HYPERLINK("#Liste_rouge!A"&amp;_xlfn.XMATCH("LC",Liste_rouge!A:A,2,1),"LC")</f>
        <v>LC</v>
      </c>
      <c r="V24220" s="7" t="str">
        <f>HYPERLINK("#Liste_rouge!A"&amp;_xlfn.XMATCH("LC",Liste_rouge!A:A,2,1),"LC")</f>
        <v>LC</v>
      </c>
      <c r="AH24220" s="4" t="str">
        <f>HYPERLINK("#Statut_biogéographique!A"&amp;_xlfn.XMATCH("P",Statut_biogéographique!A:A,2,1),"P")</f>
        <v>P</v>
      </c>
      <c r="AM24220" s="4" t="s">
        <v>375</v>
      </c>
      <c r="AN24220" s="4" t="s">
        <v>375</v>
      </c>
      <c r="AO24220" s="4" t="s">
        <v>375</v>
      </c>
      <c r="AP24220" s="4" t="s">
        <v>376</v>
      </c>
      <c r="AR24220" s="4" t="s">
        <v>377</v>
      </c>
    </row>
    <row r="24221" spans="1:44" ht="30">
      <c r="A24221" s="4" t="s">
        <v>24364</v>
      </c>
      <c r="B24221" s="4">
        <v>930612</v>
      </c>
      <c r="D24221" s="5" t="s">
        <v>31791</v>
      </c>
      <c r="E24221" s="6" t="str">
        <f>HYPERLINK("https://inpn.mnhn.fr/espece/cd_nom/930612","Pseudanomodon attenuatus (Hedw.) Ignatov &amp; Fedosov, 2019")</f>
        <v>Pseudanomodon attenuatus (Hedw.) Ignatov &amp; Fedosov, 2019</v>
      </c>
      <c r="P24221" s="7" t="str">
        <f>HYPERLINK("#Liste_rouge!A"&amp;_xlfn.XMATCH("LC",Liste_rouge!A:A,2,1),"LC")</f>
        <v>LC</v>
      </c>
      <c r="T24221" s="7" t="str">
        <f>HYPERLINK("#Liste_rouge!A"&amp;_xlfn.XMATCH("NT",Liste_rouge!A:A,2,1),"NT")</f>
        <v>NT</v>
      </c>
      <c r="V24221" s="7" t="str">
        <f>HYPERLINK("#Liste_rouge!A"&amp;_xlfn.XMATCH("LC",Liste_rouge!A:A,2,1),"LC")</f>
        <v>LC</v>
      </c>
      <c r="AB24221" s="4" t="s">
        <v>24397</v>
      </c>
      <c r="AH24221" s="4" t="str">
        <f>HYPERLINK("#Statut_biogéographique!A"&amp;_xlfn.XMATCH("P",Statut_biogéographique!A:A,2,1),"P")</f>
        <v>P</v>
      </c>
      <c r="AP24221" s="4" t="s">
        <v>376</v>
      </c>
      <c r="AR24221" s="4" t="s">
        <v>377</v>
      </c>
    </row>
    <row r="24222" spans="1:44" ht="60">
      <c r="A24222" s="4" t="s">
        <v>24364</v>
      </c>
      <c r="B24222" s="4">
        <v>93088</v>
      </c>
      <c r="D24222" s="5" t="s">
        <v>31792</v>
      </c>
      <c r="E24222" s="6" t="str">
        <f>HYPERLINK("https://inpn.mnhn.fr/espece/cd_nom/93088","Crepis mollis (Jacq.) Asch., 1864")</f>
        <v>Crepis mollis (Jacq.) Asch., 1864</v>
      </c>
      <c r="F24222" s="5" t="s">
        <v>31793</v>
      </c>
      <c r="Q24222" s="7" t="str">
        <f>HYPERLINK("#Liste_rouge!A"&amp;_xlfn.XMATCH("LC",Liste_rouge!A:A,2,1),"LC")</f>
        <v>LC</v>
      </c>
      <c r="V24222" s="7" t="str">
        <f>HYPERLINK("#Liste_rouge!A"&amp;_xlfn.XMATCH("LC",Liste_rouge!A:A,2,1),"LC")</f>
        <v>LC</v>
      </c>
      <c r="AH24222" s="4" t="str">
        <f>HYPERLINK("#Statut_biogéographique!A"&amp;_xlfn.XMATCH("P",Statut_biogéographique!A:A,2,1),"P")</f>
        <v>P</v>
      </c>
      <c r="AM24222" s="4" t="s">
        <v>375</v>
      </c>
      <c r="AN24222" s="4" t="s">
        <v>375</v>
      </c>
      <c r="AO24222" s="4" t="s">
        <v>375</v>
      </c>
      <c r="AP24222" s="4" t="s">
        <v>376</v>
      </c>
      <c r="AR24222" s="4" t="s">
        <v>377</v>
      </c>
    </row>
    <row r="24223" spans="1:44" ht="30">
      <c r="A24223" s="4" t="s">
        <v>24364</v>
      </c>
      <c r="B24223" s="4">
        <v>930948</v>
      </c>
      <c r="D24223" s="5" t="s">
        <v>31794</v>
      </c>
      <c r="E24223" s="6" t="str">
        <f>HYPERLINK("https://inpn.mnhn.fr/espece/cd_nom/930948","Weissia angustifolia (Baumgartner) D.Callaghan, 2019")</f>
        <v>Weissia angustifolia (Baumgartner) D.Callaghan, 2019</v>
      </c>
      <c r="AH24223" s="4" t="str">
        <f>HYPERLINK("#Statut_biogéographique!A"&amp;_xlfn.XMATCH("P",Statut_biogéographique!A:A,2,1),"P")</f>
        <v>P</v>
      </c>
      <c r="AP24223" s="4" t="s">
        <v>376</v>
      </c>
      <c r="AR24223" s="4" t="s">
        <v>377</v>
      </c>
    </row>
    <row r="24224" spans="1:44" ht="30">
      <c r="A24224" s="4" t="s">
        <v>24364</v>
      </c>
      <c r="B24224" s="4">
        <v>93097</v>
      </c>
      <c r="D24224" s="5" t="s">
        <v>31795</v>
      </c>
      <c r="E24224" s="6" t="str">
        <f>HYPERLINK("https://inpn.mnhn.fr/espece/cd_nom/93097","Crepis nicaeensis Balb., 1807")</f>
        <v>Crepis nicaeensis Balb., 1807</v>
      </c>
      <c r="F24224" s="5" t="s">
        <v>31796</v>
      </c>
      <c r="Q24224" s="7" t="str">
        <f>HYPERLINK("#Liste_rouge!A"&amp;_xlfn.XMATCH("LC",Liste_rouge!A:A,2,1),"LC")</f>
        <v>LC</v>
      </c>
      <c r="T24224" s="7" t="str">
        <f>HYPERLINK("#Liste_rouge!A"&amp;_xlfn.XMATCH("NA",Liste_rouge!A:A,2,1),"NA")</f>
        <v>NA</v>
      </c>
      <c r="AH24224" s="4" t="str">
        <f>HYPERLINK("#Statut_biogéographique!A"&amp;_xlfn.XMATCH("P",Statut_biogéographique!A:A,2,1),"P")</f>
        <v>P</v>
      </c>
      <c r="AP24224" s="4" t="s">
        <v>376</v>
      </c>
      <c r="AR24224" s="4" t="s">
        <v>377</v>
      </c>
    </row>
    <row r="24225" spans="1:44" ht="30">
      <c r="A24225" s="4" t="s">
        <v>24364</v>
      </c>
      <c r="B24225" s="4">
        <v>93101</v>
      </c>
      <c r="D24225" s="5" t="s">
        <v>31797</v>
      </c>
      <c r="E24225" s="6" t="str">
        <f>HYPERLINK("https://inpn.mnhn.fr/espece/cd_nom/93101","Crepis paludosa (L.) Moench, 1794")</f>
        <v>Crepis paludosa (L.) Moench, 1794</v>
      </c>
      <c r="F24225" s="5" t="s">
        <v>31798</v>
      </c>
      <c r="M24225" s="4" t="str">
        <f>HYPERLINK("#Réglementation!A"&amp;_xlfn.XMATCH("RV26",Réglementation!A:A,2,1),"RV26")</f>
        <v>RV26</v>
      </c>
      <c r="Q24225" s="7" t="str">
        <f>HYPERLINK("#Liste_rouge!A"&amp;_xlfn.XMATCH("LC",Liste_rouge!A:A,2,1),"LC")</f>
        <v>LC</v>
      </c>
      <c r="T24225" s="7" t="str">
        <f>HYPERLINK("#Liste_rouge!A"&amp;_xlfn.XMATCH("EN",Liste_rouge!A:A,2,1),"EN")</f>
        <v>EN</v>
      </c>
      <c r="U24225" s="4" t="str">
        <f>HYPERLINK("#Critères_liste_rouge!A$1","B2ab(ii,iii,iv) C2a(i)")</f>
        <v>B2ab(ii,iii,iv) C2a(i)</v>
      </c>
      <c r="V24225" s="7" t="str">
        <f>HYPERLINK("#Liste_rouge!A"&amp;_xlfn.XMATCH("LC",Liste_rouge!A:A,2,1),"LC")</f>
        <v>LC</v>
      </c>
      <c r="AB24225" s="4" t="s">
        <v>24382</v>
      </c>
      <c r="AH24225" s="4" t="str">
        <f>HYPERLINK("#Statut_biogéographique!A"&amp;_xlfn.XMATCH("P",Statut_biogéographique!A:A,2,1),"P")</f>
        <v>P</v>
      </c>
      <c r="AM24225" s="4" t="s">
        <v>375</v>
      </c>
      <c r="AN24225" s="4" t="s">
        <v>375</v>
      </c>
      <c r="AO24225" s="4" t="s">
        <v>375</v>
      </c>
      <c r="AP24225" s="4" t="s">
        <v>376</v>
      </c>
      <c r="AR24225" s="4" t="s">
        <v>377</v>
      </c>
    </row>
    <row r="24226" spans="1:44">
      <c r="A24226" s="4" t="s">
        <v>24364</v>
      </c>
      <c r="B24226" s="4">
        <v>931010</v>
      </c>
      <c r="D24226" s="5" t="s">
        <v>31799</v>
      </c>
      <c r="E24226" s="6" t="str">
        <f>HYPERLINK("https://inpn.mnhn.fr/espece/cd_nom/931010","Rubus x idaeoides Ruthe, 1834")</f>
        <v>Rubus x idaeoides Ruthe, 1834</v>
      </c>
      <c r="F24226" s="5" t="s">
        <v>31800</v>
      </c>
      <c r="AH24226" s="4" t="str">
        <f>HYPERLINK("#Statut_biogéographique!A"&amp;_xlfn.XMATCH("P",Statut_biogéographique!A:A,2,1),"P")</f>
        <v>P</v>
      </c>
      <c r="AP24226" s="4" t="s">
        <v>376</v>
      </c>
      <c r="AR24226" s="4" t="s">
        <v>377</v>
      </c>
    </row>
    <row r="24227" spans="1:44" ht="30">
      <c r="A24227" s="4" t="s">
        <v>24364</v>
      </c>
      <c r="B24227" s="4">
        <v>931038</v>
      </c>
      <c r="D24227" s="5" t="s">
        <v>31801</v>
      </c>
      <c r="E24227" s="6" t="str">
        <f>HYPERLINK("https://inpn.mnhn.fr/espece/cd_nom/931038","Callicladium imponens (Hedw.) Hedenäs, Schlesak &amp; D.Quandt, 2018")</f>
        <v>Callicladium imponens (Hedw.) Hedenäs, Schlesak &amp; D.Quandt, 2018</v>
      </c>
      <c r="P24227" s="7" t="str">
        <f>HYPERLINK("#Liste_rouge!A"&amp;_xlfn.XMATCH("NT",Liste_rouge!A:A,2,1),"NT")</f>
        <v>NT</v>
      </c>
      <c r="T24227" s="7" t="str">
        <f>HYPERLINK("#Liste_rouge!A"&amp;_xlfn.XMATCH("DD",Liste_rouge!A:A,2,1),"DD")</f>
        <v>DD</v>
      </c>
      <c r="V24227" s="7" t="str">
        <f>HYPERLINK("#Liste_rouge!A"&amp;_xlfn.XMATCH("CR",Liste_rouge!A:A,2,1),"CR")</f>
        <v>CR</v>
      </c>
      <c r="X24227" s="5" t="s">
        <v>374</v>
      </c>
      <c r="AB24227" s="4" t="s">
        <v>93</v>
      </c>
      <c r="AH24227" s="4" t="str">
        <f>HYPERLINK("#Statut_biogéographique!A"&amp;_xlfn.XMATCH("P",Statut_biogéographique!A:A,2,1),"P")</f>
        <v>P</v>
      </c>
      <c r="AP24227" s="4" t="s">
        <v>376</v>
      </c>
      <c r="AR24227" s="4" t="s">
        <v>377</v>
      </c>
    </row>
    <row r="24228" spans="1:44" ht="45">
      <c r="A24228" s="4" t="s">
        <v>24364</v>
      </c>
      <c r="B24228" s="4">
        <v>93112</v>
      </c>
      <c r="D24228" s="5" t="s">
        <v>31802</v>
      </c>
      <c r="E24228" s="6" t="str">
        <f>HYPERLINK("https://inpn.mnhn.fr/espece/cd_nom/93112","Crepis praemorsa (L.) Walther, 1802")</f>
        <v>Crepis praemorsa (L.) Walther, 1802</v>
      </c>
      <c r="F24228" s="5" t="s">
        <v>31803</v>
      </c>
      <c r="M24228" s="4" t="str">
        <f>HYPERLINK("#Réglementation!A"&amp;_xlfn.XMATCH("RV26",Réglementation!A:A,2,1),"RV26")</f>
        <v>RV26</v>
      </c>
      <c r="Q24228" s="7" t="str">
        <f>HYPERLINK("#Liste_rouge!A"&amp;_xlfn.XMATCH("VU",Liste_rouge!A:A,2,1),"VU")</f>
        <v>VU</v>
      </c>
      <c r="T24228" s="7" t="str">
        <f>HYPERLINK("#Liste_rouge!A"&amp;_xlfn.XMATCH("CR",Liste_rouge!A:A,2,1),"CR")</f>
        <v>CR</v>
      </c>
      <c r="U24228" s="4" t="str">
        <f>HYPERLINK("#Critères_liste_rouge!A$1","B1 B2ab(ii,iii,iv) C2a(i)")</f>
        <v>B1 B2ab(ii,iii,iv) C2a(i)</v>
      </c>
      <c r="V24228" s="7" t="str">
        <f>HYPERLINK("#Liste_rouge!A"&amp;_xlfn.XMATCH("CR",Liste_rouge!A:A,2,1),"CR")</f>
        <v>CR</v>
      </c>
      <c r="W24228" s="4" t="str">
        <f>HYPERLINK("#Critères_liste_rouge!A$1","B2ac(iv)")</f>
        <v>B2ac(iv)</v>
      </c>
      <c r="X24228" s="5" t="s">
        <v>374</v>
      </c>
      <c r="AB24228" s="4" t="s">
        <v>93</v>
      </c>
      <c r="AE24228" s="4" t="str">
        <f>HYPERLINK("#SCAP!A"&amp;_xlfn.XMATCH("A",SCAP!A:A,2,1),"A")</f>
        <v>A</v>
      </c>
      <c r="AH24228" s="4" t="str">
        <f>HYPERLINK("#Statut_biogéographique!A"&amp;_xlfn.XMATCH("P",Statut_biogéographique!A:A,2,1),"P")</f>
        <v>P</v>
      </c>
      <c r="AM24228" s="4" t="s">
        <v>375</v>
      </c>
      <c r="AN24228" s="4" t="s">
        <v>375</v>
      </c>
      <c r="AO24228" s="4" t="s">
        <v>375</v>
      </c>
      <c r="AP24228" s="4" t="s">
        <v>389</v>
      </c>
      <c r="AR24228" s="4" t="s">
        <v>377</v>
      </c>
    </row>
    <row r="24229" spans="1:44" ht="75">
      <c r="A24229" s="4" t="s">
        <v>24364</v>
      </c>
      <c r="B24229" s="4">
        <v>93114</v>
      </c>
      <c r="D24229" s="5" t="s">
        <v>31804</v>
      </c>
      <c r="E24229" s="6" t="str">
        <f>HYPERLINK("https://inpn.mnhn.fr/espece/cd_nom/93114","Crepis pulchra L., 1753")</f>
        <v>Crepis pulchra L., 1753</v>
      </c>
      <c r="F24229" s="5" t="s">
        <v>31805</v>
      </c>
      <c r="Q24229" s="7" t="str">
        <f>HYPERLINK("#Liste_rouge!A"&amp;_xlfn.XMATCH("LC",Liste_rouge!A:A,2,1),"LC")</f>
        <v>LC</v>
      </c>
      <c r="T24229" s="7" t="str">
        <f>HYPERLINK("#Liste_rouge!A"&amp;_xlfn.XMATCH("LC",Liste_rouge!A:A,2,1),"LC")</f>
        <v>LC</v>
      </c>
      <c r="V24229" s="7" t="str">
        <f>HYPERLINK("#Liste_rouge!A"&amp;_xlfn.XMATCH("LC",Liste_rouge!A:A,2,1),"LC")</f>
        <v>LC</v>
      </c>
      <c r="AH24229" s="4" t="str">
        <f>HYPERLINK("#Statut_biogéographique!A"&amp;_xlfn.XMATCH("P",Statut_biogéographique!A:A,2,1),"P")</f>
        <v>P</v>
      </c>
      <c r="AM24229" s="4" t="s">
        <v>375</v>
      </c>
      <c r="AN24229" s="4" t="s">
        <v>375</v>
      </c>
      <c r="AO24229" s="4" t="s">
        <v>375</v>
      </c>
      <c r="AP24229" s="4" t="s">
        <v>376</v>
      </c>
      <c r="AR24229" s="4" t="s">
        <v>377</v>
      </c>
    </row>
    <row r="24230" spans="1:44" ht="60">
      <c r="A24230" s="4" t="s">
        <v>24364</v>
      </c>
      <c r="B24230" s="4">
        <v>93116</v>
      </c>
      <c r="D24230" s="5" t="s">
        <v>31806</v>
      </c>
      <c r="E24230" s="6" t="str">
        <f>HYPERLINK("https://inpn.mnhn.fr/espece/cd_nom/93116","Crepis pyrenaica (L.) Greuter, 1970")</f>
        <v>Crepis pyrenaica (L.) Greuter, 1970</v>
      </c>
      <c r="F24230" s="5" t="s">
        <v>31807</v>
      </c>
      <c r="Q24230" s="7" t="str">
        <f>HYPERLINK("#Liste_rouge!A"&amp;_xlfn.XMATCH("LC",Liste_rouge!A:A,2,1),"LC")</f>
        <v>LC</v>
      </c>
      <c r="V24230" s="7" t="str">
        <f>HYPERLINK("#Liste_rouge!A"&amp;_xlfn.XMATCH("LC",Liste_rouge!A:A,2,1),"LC")</f>
        <v>LC</v>
      </c>
      <c r="X24230" s="5" t="s">
        <v>374</v>
      </c>
      <c r="AB24230" s="4" t="s">
        <v>93</v>
      </c>
      <c r="AH24230" s="4" t="str">
        <f>HYPERLINK("#Statut_biogéographique!A"&amp;_xlfn.XMATCH("P",Statut_biogéographique!A:A,2,1),"P")</f>
        <v>P</v>
      </c>
      <c r="AM24230" s="4" t="s">
        <v>375</v>
      </c>
      <c r="AN24230" s="4" t="s">
        <v>375</v>
      </c>
      <c r="AO24230" s="4" t="s">
        <v>375</v>
      </c>
      <c r="AP24230" s="4" t="s">
        <v>376</v>
      </c>
      <c r="AR24230" s="4" t="s">
        <v>377</v>
      </c>
    </row>
    <row r="24231" spans="1:44" ht="30">
      <c r="A24231" s="4" t="s">
        <v>24364</v>
      </c>
      <c r="B24231" s="4">
        <v>931166</v>
      </c>
      <c r="D24231" s="5" t="s">
        <v>31808</v>
      </c>
      <c r="E24231" s="6" t="str">
        <f>HYPERLINK("https://inpn.mnhn.fr/espece/cd_nom/931166","Stereodon pratensis (W.D.J.Koch ex Spruce) Warnst., 1906")</f>
        <v>Stereodon pratensis (W.D.J.Koch ex Spruce) Warnst., 1906</v>
      </c>
      <c r="P24231" s="7" t="str">
        <f>HYPERLINK("#Liste_rouge!A"&amp;_xlfn.XMATCH("LC",Liste_rouge!A:A,2,1),"LC")</f>
        <v>LC</v>
      </c>
      <c r="V24231" s="7" t="str">
        <f>HYPERLINK("#Liste_rouge!A"&amp;_xlfn.XMATCH("CR",Liste_rouge!A:A,2,1),"CR")</f>
        <v>CR</v>
      </c>
      <c r="X24231" s="5" t="s">
        <v>374</v>
      </c>
      <c r="AB24231" s="4" t="s">
        <v>93</v>
      </c>
      <c r="AH24231" s="4" t="str">
        <f>HYPERLINK("#Statut_biogéographique!A"&amp;_xlfn.XMATCH("P",Statut_biogéographique!A:A,2,1),"P")</f>
        <v>P</v>
      </c>
      <c r="AP24231" s="4" t="s">
        <v>376</v>
      </c>
      <c r="AR24231" s="4" t="s">
        <v>377</v>
      </c>
    </row>
    <row r="24232" spans="1:44" ht="30">
      <c r="A24232" s="4" t="s">
        <v>24364</v>
      </c>
      <c r="B24232" s="4">
        <v>931174</v>
      </c>
      <c r="D24232" s="5" t="s">
        <v>31809</v>
      </c>
      <c r="E24232" s="6" t="str">
        <f>HYPERLINK("https://inpn.mnhn.fr/espece/cd_nom/931174","Drepanium fastigiatum (Hampe) C.E.O.Jensen, 1887")</f>
        <v>Drepanium fastigiatum (Hampe) C.E.O.Jensen, 1887</v>
      </c>
      <c r="P24232" s="7" t="str">
        <f>HYPERLINK("#Liste_rouge!A"&amp;_xlfn.XMATCH("LC",Liste_rouge!A:A,2,1),"LC")</f>
        <v>LC</v>
      </c>
      <c r="AH24232" s="4" t="str">
        <f>HYPERLINK("#Statut_biogéographique!A"&amp;_xlfn.XMATCH("P",Statut_biogéographique!A:A,2,1),"P")</f>
        <v>P</v>
      </c>
      <c r="AP24232" s="4" t="s">
        <v>376</v>
      </c>
      <c r="AR24232" s="4" t="s">
        <v>377</v>
      </c>
    </row>
    <row r="24233" spans="1:44" ht="105">
      <c r="A24233" s="4" t="s">
        <v>24364</v>
      </c>
      <c r="B24233" s="4">
        <v>93129</v>
      </c>
      <c r="D24233" s="5" t="s">
        <v>31810</v>
      </c>
      <c r="E24233" s="6" t="str">
        <f>HYPERLINK("https://inpn.mnhn.fr/espece/cd_nom/93129","Crepis sancta (L.) Bornm., 1913")</f>
        <v>Crepis sancta (L.) Bornm., 1913</v>
      </c>
      <c r="F24233" s="5" t="s">
        <v>31811</v>
      </c>
      <c r="Q24233" s="7" t="str">
        <f>HYPERLINK("#Liste_rouge!A"&amp;_xlfn.XMATCH("NA",Liste_rouge!A:A,2,1),"NA")</f>
        <v>NA</v>
      </c>
      <c r="T24233" s="7" t="str">
        <f>HYPERLINK("#Liste_rouge!A"&amp;_xlfn.XMATCH("NA",Liste_rouge!A:A,2,1),"NA")</f>
        <v>NA</v>
      </c>
      <c r="AH24233" s="4" t="str">
        <f>HYPERLINK("#Statut_biogéographique!A"&amp;_xlfn.XMATCH("I",Statut_biogéographique!A:A,2,1),"I")</f>
        <v>I</v>
      </c>
      <c r="AM24233" s="4" t="s">
        <v>375</v>
      </c>
      <c r="AN24233" s="4" t="s">
        <v>375</v>
      </c>
      <c r="AO24233" s="4" t="s">
        <v>375</v>
      </c>
      <c r="AP24233" s="4" t="s">
        <v>376</v>
      </c>
      <c r="AR24233" s="4" t="s">
        <v>377</v>
      </c>
    </row>
    <row r="24234" spans="1:44" ht="30">
      <c r="A24234" s="4" t="s">
        <v>24364</v>
      </c>
      <c r="B24234" s="4">
        <v>931317</v>
      </c>
      <c r="D24234" s="5" t="s">
        <v>31812</v>
      </c>
      <c r="E24234" s="6" t="str">
        <f>HYPERLINK("https://inpn.mnhn.fr/espece/cd_nom/931317","Hylocomiadelphus triquetrus (Hedw.) Ochyra &amp; Stebel, 2008")</f>
        <v>Hylocomiadelphus triquetrus (Hedw.) Ochyra &amp; Stebel, 2008</v>
      </c>
      <c r="P24234" s="7" t="str">
        <f>HYPERLINK("#Liste_rouge!A"&amp;_xlfn.XMATCH("LC",Liste_rouge!A:A,2,1),"LC")</f>
        <v>LC</v>
      </c>
      <c r="T24234" s="7" t="str">
        <f>HYPERLINK("#Liste_rouge!A"&amp;_xlfn.XMATCH("LC",Liste_rouge!A:A,2,1),"LC")</f>
        <v>LC</v>
      </c>
      <c r="V24234" s="7" t="str">
        <f>HYPERLINK("#Liste_rouge!A"&amp;_xlfn.XMATCH("LC",Liste_rouge!A:A,2,1),"LC")</f>
        <v>LC</v>
      </c>
      <c r="AH24234" s="4" t="str">
        <f>HYPERLINK("#Statut_biogéographique!A"&amp;_xlfn.XMATCH("P",Statut_biogéographique!A:A,2,1),"P")</f>
        <v>P</v>
      </c>
      <c r="AP24234" s="4" t="s">
        <v>376</v>
      </c>
      <c r="AR24234" s="4" t="s">
        <v>377</v>
      </c>
    </row>
    <row r="24235" spans="1:44" ht="45">
      <c r="A24235" s="4" t="s">
        <v>24364</v>
      </c>
      <c r="B24235" s="4">
        <v>93134</v>
      </c>
      <c r="D24235" s="5" t="s">
        <v>31813</v>
      </c>
      <c r="E24235" s="6" t="str">
        <f>HYPERLINK("https://inpn.mnhn.fr/espece/cd_nom/93134","Crepis setosa Haller f., 1797")</f>
        <v>Crepis setosa Haller f., 1797</v>
      </c>
      <c r="F24235" s="5" t="s">
        <v>31814</v>
      </c>
      <c r="Q24235" s="7" t="str">
        <f>HYPERLINK("#Liste_rouge!A"&amp;_xlfn.XMATCH("LC",Liste_rouge!A:A,2,1),"LC")</f>
        <v>LC</v>
      </c>
      <c r="T24235" s="7" t="str">
        <f>HYPERLINK("#Liste_rouge!A"&amp;_xlfn.XMATCH("LC",Liste_rouge!A:A,2,1),"LC")</f>
        <v>LC</v>
      </c>
      <c r="AH24235" s="4" t="str">
        <f>HYPERLINK("#Statut_biogéographique!A"&amp;_xlfn.XMATCH("P",Statut_biogéographique!A:A,2,1),"P")</f>
        <v>P</v>
      </c>
      <c r="AM24235" s="4" t="s">
        <v>375</v>
      </c>
      <c r="AN24235" s="4" t="s">
        <v>375</v>
      </c>
      <c r="AO24235" s="4" t="s">
        <v>375</v>
      </c>
      <c r="AP24235" s="4" t="s">
        <v>376</v>
      </c>
      <c r="AR24235" s="4" t="s">
        <v>377</v>
      </c>
    </row>
    <row r="24236" spans="1:44" ht="45">
      <c r="A24236" s="4" t="s">
        <v>24364</v>
      </c>
      <c r="B24236" s="4">
        <v>93144</v>
      </c>
      <c r="D24236" s="5" t="s">
        <v>31815</v>
      </c>
      <c r="E24236" s="6" t="str">
        <f>HYPERLINK("https://inpn.mnhn.fr/espece/cd_nom/93144","Crepis tectorum L., 1753")</f>
        <v>Crepis tectorum L., 1753</v>
      </c>
      <c r="F24236" s="5" t="s">
        <v>31816</v>
      </c>
      <c r="Q24236" s="7" t="str">
        <f>HYPERLINK("#Liste_rouge!A"&amp;_xlfn.XMATCH("NA",Liste_rouge!A:A,2,1),"NA")</f>
        <v>NA</v>
      </c>
      <c r="T24236" s="7" t="str">
        <f>HYPERLINK("#Liste_rouge!A"&amp;_xlfn.XMATCH("VU",Liste_rouge!A:A,2,1),"VU")</f>
        <v>VU</v>
      </c>
      <c r="U24236" s="4" t="str">
        <f>HYPERLINK("#Critères_liste_rouge!A$1","D2")</f>
        <v>D2</v>
      </c>
      <c r="AH24236" s="4" t="str">
        <f>HYPERLINK("#Statut_biogéographique!A"&amp;_xlfn.XMATCH("I",Statut_biogéographique!A:A,2,1),"I")</f>
        <v>I</v>
      </c>
      <c r="AM24236" s="4" t="s">
        <v>375</v>
      </c>
      <c r="AN24236" s="4" t="s">
        <v>375</v>
      </c>
      <c r="AO24236" s="4" t="s">
        <v>375</v>
      </c>
      <c r="AP24236" s="4" t="s">
        <v>376</v>
      </c>
      <c r="AR24236" s="4" t="s">
        <v>377</v>
      </c>
    </row>
    <row r="24237" spans="1:44">
      <c r="A24237" s="4" t="s">
        <v>24364</v>
      </c>
      <c r="B24237" s="4">
        <v>93157</v>
      </c>
      <c r="D24237" s="5" t="s">
        <v>31817</v>
      </c>
      <c r="E24237" s="6" t="str">
        <f>HYPERLINK("https://inpn.mnhn.fr/espece/cd_nom/93157","Crepis vesicaria L., 1753")</f>
        <v>Crepis vesicaria L., 1753</v>
      </c>
      <c r="F24237" s="5" t="s">
        <v>28457</v>
      </c>
      <c r="Q24237" s="7" t="str">
        <f>HYPERLINK("#Liste_rouge!A"&amp;_xlfn.XMATCH("LC",Liste_rouge!A:A,2,1),"LC")</f>
        <v>LC</v>
      </c>
      <c r="T24237" s="7" t="str">
        <f>HYPERLINK("#Liste_rouge!A"&amp;_xlfn.XMATCH("LC",Liste_rouge!A:A,2,1),"LC")</f>
        <v>LC</v>
      </c>
      <c r="V24237" s="7" t="str">
        <f>HYPERLINK("#Liste_rouge!A"&amp;_xlfn.XMATCH("LC",Liste_rouge!A:A,2,1),"LC")</f>
        <v>LC</v>
      </c>
      <c r="AH24237" s="4" t="str">
        <f>HYPERLINK("#Statut_biogéographique!A"&amp;_xlfn.XMATCH("P",Statut_biogéographique!A:A,2,1),"P")</f>
        <v>P</v>
      </c>
      <c r="AM24237" s="4" t="s">
        <v>375</v>
      </c>
      <c r="AN24237" s="4" t="s">
        <v>375</v>
      </c>
      <c r="AO24237" s="4" t="s">
        <v>375</v>
      </c>
      <c r="AP24237" s="4" t="s">
        <v>376</v>
      </c>
      <c r="AR24237" s="4" t="s">
        <v>377</v>
      </c>
    </row>
    <row r="24238" spans="1:44">
      <c r="A24238" s="4" t="s">
        <v>24364</v>
      </c>
      <c r="B24238" s="4">
        <v>931968</v>
      </c>
      <c r="D24238" s="5" t="s">
        <v>31818</v>
      </c>
      <c r="E24238" s="6" t="str">
        <f>HYPERLINK("https://inpn.mnhn.fr/espece/cd_nom/931968","Chara vulgaris f. subhispida Mig., 1897")</f>
        <v>Chara vulgaris f. subhispida Mig., 1897</v>
      </c>
      <c r="AH24238" s="4" t="str">
        <f>HYPERLINK("#Statut_biogéographique!A"&amp;_xlfn.XMATCH("P",Statut_biogéographique!A:A,2,1),"P")</f>
        <v>P</v>
      </c>
      <c r="AP24238" s="4" t="s">
        <v>376</v>
      </c>
      <c r="AR24238" s="4" t="s">
        <v>377</v>
      </c>
    </row>
    <row r="24239" spans="1:44">
      <c r="A24239" s="4" t="s">
        <v>24364</v>
      </c>
      <c r="B24239" s="4">
        <v>931974</v>
      </c>
      <c r="D24239" s="5" t="s">
        <v>31819</v>
      </c>
      <c r="E24239" s="6" t="str">
        <f>HYPERLINK("https://inpn.mnhn.fr/espece/cd_nom/931974","Chara papillosa Kütz., 1834")</f>
        <v>Chara papillosa Kütz., 1834</v>
      </c>
      <c r="AH24239" s="4" t="str">
        <f>HYPERLINK("#Statut_biogéographique!A"&amp;_xlfn.XMATCH("P",Statut_biogéographique!A:A,2,1),"P")</f>
        <v>P</v>
      </c>
      <c r="AP24239" s="4" t="s">
        <v>376</v>
      </c>
      <c r="AR24239" s="4" t="s">
        <v>377</v>
      </c>
    </row>
    <row r="24240" spans="1:44" ht="30">
      <c r="A24240" s="4" t="s">
        <v>24364</v>
      </c>
      <c r="B24240" s="4">
        <v>931975</v>
      </c>
      <c r="D24240" s="5" t="s">
        <v>31820</v>
      </c>
      <c r="E24240" s="6" t="str">
        <f>HYPERLINK("https://inpn.mnhn.fr/espece/cd_nom/931975","Chara subspinosa Rupr., 1846")</f>
        <v>Chara subspinosa Rupr., 1846</v>
      </c>
      <c r="AH24240" s="4" t="str">
        <f>HYPERLINK("#Statut_biogéographique!A"&amp;_xlfn.XMATCH("P",Statut_biogéographique!A:A,2,1),"P")</f>
        <v>P</v>
      </c>
      <c r="AP24240" s="4" t="s">
        <v>376</v>
      </c>
      <c r="AR24240" s="4" t="s">
        <v>377</v>
      </c>
    </row>
    <row r="24241" spans="1:44" ht="60">
      <c r="A24241" s="4" t="s">
        <v>24364</v>
      </c>
      <c r="B24241" s="4">
        <v>932012</v>
      </c>
      <c r="D24241" s="5" t="s">
        <v>31821</v>
      </c>
      <c r="E24241" s="6" t="str">
        <f>HYPERLINK("https://inpn.mnhn.fr/espece/cd_nom/932012","Nitella syncarpa (Thuillier) Chevallier, 1827")</f>
        <v>Nitella syncarpa (Thuillier) Chevallier, 1827</v>
      </c>
      <c r="AH24241" s="4" t="str">
        <f>HYPERLINK("#Statut_biogéographique!A"&amp;_xlfn.XMATCH("P",Statut_biogéographique!A:A,2,1),"P")</f>
        <v>P</v>
      </c>
      <c r="AP24241" s="4" t="s">
        <v>376</v>
      </c>
      <c r="AR24241" s="4" t="s">
        <v>377</v>
      </c>
    </row>
    <row r="24242" spans="1:44" ht="30">
      <c r="A24242" s="4" t="s">
        <v>24364</v>
      </c>
      <c r="B24242" s="4">
        <v>93282</v>
      </c>
      <c r="D24242" s="5" t="s">
        <v>31822</v>
      </c>
      <c r="E24242" s="6" t="str">
        <f>HYPERLINK("https://inpn.mnhn.fr/espece/cd_nom/93282","Crocus vernus (L.) Hill, 1765")</f>
        <v>Crocus vernus (L.) Hill, 1765</v>
      </c>
      <c r="F24242" s="5" t="s">
        <v>31823</v>
      </c>
      <c r="Q24242" s="7" t="str">
        <f>HYPERLINK("#Liste_rouge!A"&amp;_xlfn.XMATCH("LC",Liste_rouge!A:A,2,1),"LC")</f>
        <v>LC</v>
      </c>
      <c r="V24242" s="7" t="str">
        <f>HYPERLINK("#Liste_rouge!A"&amp;_xlfn.XMATCH("NT",Liste_rouge!A:A,2,1),"NT")</f>
        <v>NT</v>
      </c>
      <c r="W24242" s="4" t="str">
        <f>HYPERLINK("#Critères_liste_rouge!A$1","pr. B2b(iii)")</f>
        <v>pr. B2b(iii)</v>
      </c>
      <c r="AB24242" s="4" t="s">
        <v>24410</v>
      </c>
      <c r="AH24242" s="4" t="str">
        <f>HYPERLINK("#Statut_biogéographique!A"&amp;_xlfn.XMATCH("P",Statut_biogéographique!A:A,2,1),"P")</f>
        <v>P</v>
      </c>
      <c r="AM24242" s="4" t="s">
        <v>375</v>
      </c>
      <c r="AN24242" s="4" t="s">
        <v>375</v>
      </c>
      <c r="AO24242" s="4" t="s">
        <v>375</v>
      </c>
      <c r="AP24242" s="4" t="s">
        <v>376</v>
      </c>
      <c r="AR24242" s="4" t="s">
        <v>377</v>
      </c>
    </row>
    <row r="24243" spans="1:44">
      <c r="A24243" s="4" t="s">
        <v>24364</v>
      </c>
      <c r="B24243" s="4">
        <v>93295</v>
      </c>
      <c r="D24243" s="5" t="s">
        <v>31824</v>
      </c>
      <c r="E24243" s="6" t="str">
        <f>HYPERLINK("https://inpn.mnhn.fr/espece/cd_nom/93295","Crucianella angustifolia L., 1753")</f>
        <v>Crucianella angustifolia L., 1753</v>
      </c>
      <c r="F24243" s="5" t="s">
        <v>31825</v>
      </c>
      <c r="Q24243" s="7" t="str">
        <f>HYPERLINK("#Liste_rouge!A"&amp;_xlfn.XMATCH("LC",Liste_rouge!A:A,2,1),"LC")</f>
        <v>LC</v>
      </c>
      <c r="T24243" s="7" t="str">
        <f>HYPERLINK("#Liste_rouge!A"&amp;_xlfn.XMATCH("CR",Liste_rouge!A:A,2,1),"CR")</f>
        <v>CR</v>
      </c>
      <c r="U24243" s="4" t="str">
        <f>HYPERLINK("#Critères_liste_rouge!A$1","B1 B2ab(i,ii,iv)")</f>
        <v>B1 B2ab(i,ii,iv)</v>
      </c>
      <c r="X24243" s="5" t="s">
        <v>374</v>
      </c>
      <c r="AB24243" s="4" t="s">
        <v>93</v>
      </c>
      <c r="AH24243" s="4" t="str">
        <f>HYPERLINK("#Statut_biogéographique!A"&amp;_xlfn.XMATCH("P",Statut_biogéographique!A:A,2,1),"P")</f>
        <v>P</v>
      </c>
      <c r="AM24243" s="4" t="s">
        <v>375</v>
      </c>
      <c r="AN24243" s="4" t="s">
        <v>375</v>
      </c>
      <c r="AO24243" s="4" t="s">
        <v>375</v>
      </c>
      <c r="AP24243" s="4" t="s">
        <v>376</v>
      </c>
      <c r="AR24243" s="4" t="s">
        <v>377</v>
      </c>
    </row>
    <row r="24244" spans="1:44" ht="30">
      <c r="A24244" s="4" t="s">
        <v>24364</v>
      </c>
      <c r="B24244" s="4">
        <v>93308</v>
      </c>
      <c r="D24244" s="5" t="s">
        <v>31826</v>
      </c>
      <c r="E24244" s="6" t="str">
        <f>HYPERLINK("https://inpn.mnhn.fr/espece/cd_nom/93308","Cruciata laevipes Opiz, 1852")</f>
        <v>Cruciata laevipes Opiz, 1852</v>
      </c>
      <c r="F24244" s="5" t="s">
        <v>31827</v>
      </c>
      <c r="Q24244" s="7" t="str">
        <f>HYPERLINK("#Liste_rouge!A"&amp;_xlfn.XMATCH("LC",Liste_rouge!A:A,2,1),"LC")</f>
        <v>LC</v>
      </c>
      <c r="T24244" s="7" t="str">
        <f>HYPERLINK("#Liste_rouge!A"&amp;_xlfn.XMATCH("LC",Liste_rouge!A:A,2,1),"LC")</f>
        <v>LC</v>
      </c>
      <c r="V24244" s="7" t="str">
        <f>HYPERLINK("#Liste_rouge!A"&amp;_xlfn.XMATCH("LC",Liste_rouge!A:A,2,1),"LC")</f>
        <v>LC</v>
      </c>
      <c r="AH24244" s="4" t="str">
        <f>HYPERLINK("#Statut_biogéographique!A"&amp;_xlfn.XMATCH("P",Statut_biogéographique!A:A,2,1),"P")</f>
        <v>P</v>
      </c>
      <c r="AM24244" s="4" t="s">
        <v>375</v>
      </c>
      <c r="AN24244" s="4" t="s">
        <v>375</v>
      </c>
      <c r="AO24244" s="4" t="s">
        <v>375</v>
      </c>
      <c r="AP24244" s="4" t="s">
        <v>376</v>
      </c>
      <c r="AR24244" s="4" t="s">
        <v>377</v>
      </c>
    </row>
    <row r="24245" spans="1:44" ht="45">
      <c r="A24245" s="4" t="s">
        <v>24364</v>
      </c>
      <c r="B24245" s="4">
        <v>93449</v>
      </c>
      <c r="D24245" s="5" t="s">
        <v>31828</v>
      </c>
      <c r="E24245" s="6" t="str">
        <f>HYPERLINK("https://inpn.mnhn.fr/espece/cd_nom/93449","Crupina vulgaris Cass., 1817")</f>
        <v>Crupina vulgaris Cass., 1817</v>
      </c>
      <c r="F24245" s="5" t="s">
        <v>31829</v>
      </c>
      <c r="Q24245" s="7" t="str">
        <f>HYPERLINK("#Liste_rouge!A"&amp;_xlfn.XMATCH("LC",Liste_rouge!A:A,2,1),"LC")</f>
        <v>LC</v>
      </c>
      <c r="T24245" s="7" t="str">
        <f>HYPERLINK("#Liste_rouge!A"&amp;_xlfn.XMATCH("NA",Liste_rouge!A:A,2,1),"NA")</f>
        <v>NA</v>
      </c>
      <c r="AH24245" s="4" t="str">
        <f>HYPERLINK("#Statut_biogéographique!A"&amp;_xlfn.XMATCH("P",Statut_biogéographique!A:A,2,1),"P")</f>
        <v>P</v>
      </c>
      <c r="AP24245" s="4" t="s">
        <v>376</v>
      </c>
      <c r="AR24245" s="4" t="s">
        <v>377</v>
      </c>
    </row>
    <row r="24246" spans="1:44" ht="45">
      <c r="A24246" s="4" t="s">
        <v>24364</v>
      </c>
      <c r="B24246" s="4">
        <v>93469</v>
      </c>
      <c r="D24246" s="5" t="s">
        <v>31830</v>
      </c>
      <c r="E24246" s="6" t="str">
        <f>HYPERLINK("https://inpn.mnhn.fr/espece/cd_nom/93469","Cryptogramma crispa (L.) R.Br. ex Hook., 1842")</f>
        <v>Cryptogramma crispa (L.) R.Br. ex Hook., 1842</v>
      </c>
      <c r="F24246" s="5" t="s">
        <v>31831</v>
      </c>
      <c r="P24246" s="7" t="str">
        <f>HYPERLINK("#Liste_rouge!A"&amp;_xlfn.XMATCH("LC",Liste_rouge!A:A,2,1),"LC")</f>
        <v>LC</v>
      </c>
      <c r="Q24246" s="7" t="str">
        <f>HYPERLINK("#Liste_rouge!A"&amp;_xlfn.XMATCH("LC",Liste_rouge!A:A,2,1),"LC")</f>
        <v>LC</v>
      </c>
      <c r="T24246" s="7" t="str">
        <f>HYPERLINK("#Liste_rouge!A"&amp;_xlfn.XMATCH("RE",Liste_rouge!A:A,2,1),"RE")</f>
        <v>RE</v>
      </c>
      <c r="V24246" s="7" t="str">
        <f>HYPERLINK("#Liste_rouge!A"&amp;_xlfn.XMATCH("RE",Liste_rouge!A:A,2,1),"RE")</f>
        <v>RE</v>
      </c>
      <c r="AH24246" s="4" t="str">
        <f>HYPERLINK("#Statut_biogéographique!A"&amp;_xlfn.XMATCH("P",Statut_biogéographique!A:A,2,1),"P")</f>
        <v>P</v>
      </c>
      <c r="AM24246" s="4" t="s">
        <v>375</v>
      </c>
      <c r="AN24246" s="4" t="s">
        <v>375</v>
      </c>
      <c r="AO24246" s="4" t="s">
        <v>375</v>
      </c>
      <c r="AP24246" s="4" t="s">
        <v>376</v>
      </c>
      <c r="AR24246" s="4" t="s">
        <v>377</v>
      </c>
    </row>
    <row r="24247" spans="1:44" ht="60">
      <c r="A24247" s="4" t="s">
        <v>24364</v>
      </c>
      <c r="B24247" s="4">
        <v>93471</v>
      </c>
      <c r="D24247" s="5" t="s">
        <v>31832</v>
      </c>
      <c r="E24247" s="6" t="str">
        <f>HYPERLINK("https://inpn.mnhn.fr/espece/cd_nom/93471","Cryptomeria japonica (L.f.) D.Don, 1841")</f>
        <v>Cryptomeria japonica (L.f.) D.Don, 1841</v>
      </c>
      <c r="F24247" s="5" t="s">
        <v>31833</v>
      </c>
      <c r="O24247" s="7" t="str">
        <f>HYPERLINK("#Liste_rouge!A"&amp;_xlfn.XMATCH("NT",Liste_rouge!A:A,2,1),"NT")</f>
        <v>NT</v>
      </c>
      <c r="T24247" s="7" t="str">
        <f>HYPERLINK("#Liste_rouge!A"&amp;_xlfn.XMATCH("NA",Liste_rouge!A:A,2,1),"NA")</f>
        <v>NA</v>
      </c>
      <c r="AH24247" s="4" t="str">
        <f>HYPERLINK("#Statut_biogéographique!A"&amp;_xlfn.XMATCH("M",Statut_biogéographique!A:A,2,1),"M")</f>
        <v>M</v>
      </c>
      <c r="AP24247" s="4" t="s">
        <v>376</v>
      </c>
      <c r="AR24247" s="4" t="s">
        <v>377</v>
      </c>
    </row>
    <row r="24248" spans="1:44" ht="45">
      <c r="A24248" s="4" t="s">
        <v>24364</v>
      </c>
      <c r="B24248" s="4">
        <v>93535</v>
      </c>
      <c r="D24248" s="5" t="s">
        <v>31834</v>
      </c>
      <c r="E24248" s="6" t="str">
        <f>HYPERLINK("https://inpn.mnhn.fr/espece/cd_nom/93535","Cucumis melo L., 1753")</f>
        <v>Cucumis melo L., 1753</v>
      </c>
      <c r="F24248" s="5" t="s">
        <v>31835</v>
      </c>
      <c r="T24248" s="7" t="str">
        <f>HYPERLINK("#Liste_rouge!A"&amp;_xlfn.XMATCH("NA",Liste_rouge!A:A,2,1),"NA")</f>
        <v>NA</v>
      </c>
      <c r="AH24248" s="4" t="str">
        <f>HYPERLINK("#Statut_biogéographique!A"&amp;_xlfn.XMATCH("M",Statut_biogéographique!A:A,2,1),"M")</f>
        <v>M</v>
      </c>
      <c r="AP24248" s="4" t="s">
        <v>376</v>
      </c>
      <c r="AR24248" s="4" t="s">
        <v>377</v>
      </c>
    </row>
    <row r="24249" spans="1:44" ht="30">
      <c r="A24249" s="4" t="s">
        <v>24364</v>
      </c>
      <c r="B24249" s="4">
        <v>93550</v>
      </c>
      <c r="D24249" s="5" t="s">
        <v>31836</v>
      </c>
      <c r="E24249" s="6" t="str">
        <f>HYPERLINK("https://inpn.mnhn.fr/espece/cd_nom/93550","Cucurbita maxima Duchesne, 1786")</f>
        <v>Cucurbita maxima Duchesne, 1786</v>
      </c>
      <c r="F24249" s="5" t="s">
        <v>31837</v>
      </c>
      <c r="T24249" s="7" t="str">
        <f>HYPERLINK("#Liste_rouge!A"&amp;_xlfn.XMATCH("NA",Liste_rouge!A:A,2,1),"NA")</f>
        <v>NA</v>
      </c>
      <c r="AH24249" s="4" t="str">
        <f>HYPERLINK("#Statut_biogéographique!A"&amp;_xlfn.XMATCH("M",Statut_biogéographique!A:A,2,1),"M")</f>
        <v>M</v>
      </c>
      <c r="AP24249" s="4" t="s">
        <v>376</v>
      </c>
      <c r="AR24249" s="4" t="s">
        <v>377</v>
      </c>
    </row>
    <row r="24250" spans="1:44" ht="45">
      <c r="A24250" s="4" t="s">
        <v>24364</v>
      </c>
      <c r="B24250" s="4">
        <v>93555</v>
      </c>
      <c r="D24250" s="5" t="s">
        <v>31838</v>
      </c>
      <c r="E24250" s="6" t="str">
        <f>HYPERLINK("https://inpn.mnhn.fr/espece/cd_nom/93555","Cucurbita pepo L., 1753")</f>
        <v>Cucurbita pepo L., 1753</v>
      </c>
      <c r="F24250" s="5" t="s">
        <v>31839</v>
      </c>
      <c r="O24250" s="7" t="str">
        <f>HYPERLINK("#Liste_rouge!A"&amp;_xlfn.XMATCH("LC",Liste_rouge!A:A,2,1),"LC")</f>
        <v>LC</v>
      </c>
      <c r="Q24250" s="7" t="str">
        <f>HYPERLINK("#Liste_rouge!A"&amp;_xlfn.XMATCH("NA",Liste_rouge!A:A,2,1),"NA")</f>
        <v>NA</v>
      </c>
      <c r="T24250" s="7" t="str">
        <f>HYPERLINK("#Liste_rouge!A"&amp;_xlfn.XMATCH("NA",Liste_rouge!A:A,2,1),"NA")</f>
        <v>NA</v>
      </c>
      <c r="AH24250" s="4" t="str">
        <f>HYPERLINK("#Statut_biogéographique!A"&amp;_xlfn.XMATCH("M",Statut_biogéographique!A:A,2,1),"M")</f>
        <v>M</v>
      </c>
      <c r="AP24250" s="4" t="s">
        <v>376</v>
      </c>
      <c r="AR24250" s="4" t="s">
        <v>377</v>
      </c>
    </row>
    <row r="24251" spans="1:44" ht="30">
      <c r="A24251" s="4" t="s">
        <v>24364</v>
      </c>
      <c r="B24251" s="4">
        <v>935804</v>
      </c>
      <c r="D24251" s="5" t="s">
        <v>31840</v>
      </c>
      <c r="E24251" s="6" t="str">
        <f>HYPERLINK("https://inpn.mnhn.fr/espece/cd_nom/935804","Thalictrum aquilegiifolium var. aquilegiifolium L., 1753")</f>
        <v>Thalictrum aquilegiifolium var. aquilegiifolium L., 1753</v>
      </c>
      <c r="F24251" s="5" t="s">
        <v>31841</v>
      </c>
      <c r="AH24251" s="4" t="str">
        <f>HYPERLINK("#Statut_biogéographique!A"&amp;_xlfn.XMATCH("P",Statut_biogéographique!A:A,2,1),"P")</f>
        <v>P</v>
      </c>
      <c r="AP24251" s="4" t="s">
        <v>376</v>
      </c>
      <c r="AR24251" s="4" t="s">
        <v>377</v>
      </c>
    </row>
    <row r="24252" spans="1:44" ht="30">
      <c r="A24252" s="4" t="s">
        <v>24364</v>
      </c>
      <c r="B24252" s="4">
        <v>93590</v>
      </c>
      <c r="D24252" s="5" t="s">
        <v>31842</v>
      </c>
      <c r="E24252" s="6" t="str">
        <f>HYPERLINK("https://inpn.mnhn.fr/espece/cd_nom/93590","Cupressus sempervirens L., 1753")</f>
        <v>Cupressus sempervirens L., 1753</v>
      </c>
      <c r="F24252" s="5" t="s">
        <v>31843</v>
      </c>
      <c r="O24252" s="7" t="str">
        <f>HYPERLINK("#Liste_rouge!A"&amp;_xlfn.XMATCH("LC",Liste_rouge!A:A,2,1),"LC")</f>
        <v>LC</v>
      </c>
      <c r="P24252" s="7" t="str">
        <f>HYPERLINK("#Liste_rouge!A"&amp;_xlfn.XMATCH("LC",Liste_rouge!A:A,2,1),"LC")</f>
        <v>LC</v>
      </c>
      <c r="Q24252" s="7" t="str">
        <f>HYPERLINK("#Liste_rouge!A"&amp;_xlfn.XMATCH("NA",Liste_rouge!A:A,2,1),"NA")</f>
        <v>NA</v>
      </c>
      <c r="T24252" s="7" t="str">
        <f>HYPERLINK("#Liste_rouge!A"&amp;_xlfn.XMATCH("NA",Liste_rouge!A:A,2,1),"NA")</f>
        <v>NA</v>
      </c>
      <c r="AH24252" s="4" t="str">
        <f>HYPERLINK("#Statut_biogéographique!A"&amp;_xlfn.XMATCH("I",Statut_biogéographique!A:A,2,1),"I")</f>
        <v>I</v>
      </c>
      <c r="AP24252" s="4" t="s">
        <v>376</v>
      </c>
      <c r="AR24252" s="4" t="s">
        <v>377</v>
      </c>
    </row>
    <row r="24253" spans="1:44" ht="30">
      <c r="A24253" s="4" t="s">
        <v>24364</v>
      </c>
      <c r="B24253" s="4">
        <v>93613</v>
      </c>
      <c r="D24253" s="5" t="s">
        <v>31844</v>
      </c>
      <c r="E24253" s="6" t="str">
        <f>HYPERLINK("https://inpn.mnhn.fr/espece/cd_nom/93613","Cuscuta campestris Yunck., 1932")</f>
        <v>Cuscuta campestris Yunck., 1932</v>
      </c>
      <c r="F24253" s="5" t="s">
        <v>31845</v>
      </c>
      <c r="Q24253" s="7" t="str">
        <f>HYPERLINK("#Liste_rouge!A"&amp;_xlfn.XMATCH("NA",Liste_rouge!A:A,2,1),"NA")</f>
        <v>NA</v>
      </c>
      <c r="T24253" s="7" t="str">
        <f>HYPERLINK("#Liste_rouge!A"&amp;_xlfn.XMATCH("NA",Liste_rouge!A:A,2,1),"NA")</f>
        <v>NA</v>
      </c>
      <c r="AH24253" s="4" t="str">
        <f>HYPERLINK("#Statut_biogéographique!A"&amp;_xlfn.XMATCH("I",Statut_biogéographique!A:A,2,1),"I")</f>
        <v>I</v>
      </c>
      <c r="AM24253" s="4" t="s">
        <v>375</v>
      </c>
      <c r="AN24253" s="4" t="s">
        <v>375</v>
      </c>
      <c r="AO24253" s="4" t="s">
        <v>375</v>
      </c>
      <c r="AP24253" s="4" t="s">
        <v>376</v>
      </c>
      <c r="AR24253" s="4" t="s">
        <v>377</v>
      </c>
    </row>
    <row r="24254" spans="1:44">
      <c r="A24254" s="4" t="s">
        <v>24364</v>
      </c>
      <c r="B24254" s="4">
        <v>93620</v>
      </c>
      <c r="D24254" s="5" t="s">
        <v>31846</v>
      </c>
      <c r="E24254" s="6" t="str">
        <f>HYPERLINK("https://inpn.mnhn.fr/espece/cd_nom/93620","Cuscuta epilinum Weihe, 1824")</f>
        <v>Cuscuta epilinum Weihe, 1824</v>
      </c>
      <c r="F24254" s="5" t="s">
        <v>31847</v>
      </c>
      <c r="Q24254" s="7" t="str">
        <f>HYPERLINK("#Liste_rouge!A"&amp;_xlfn.XMATCH("NA",Liste_rouge!A:A,2,1),"NA")</f>
        <v>NA</v>
      </c>
      <c r="T24254" s="7" t="str">
        <f>HYPERLINK("#Liste_rouge!A"&amp;_xlfn.XMATCH("NA",Liste_rouge!A:A,2,1),"NA")</f>
        <v>NA</v>
      </c>
      <c r="AH24254" s="4" t="str">
        <f>HYPERLINK("#Statut_biogéographique!A"&amp;_xlfn.XMATCH("Y",Statut_biogéographique!A:A,2,1),"Y")</f>
        <v>Y</v>
      </c>
      <c r="AI24254" s="8" t="s">
        <v>31848</v>
      </c>
      <c r="AJ24254" s="4" t="s">
        <v>12248</v>
      </c>
      <c r="AM24254" s="4" t="s">
        <v>375</v>
      </c>
      <c r="AN24254" s="4" t="s">
        <v>375</v>
      </c>
      <c r="AO24254" s="4" t="s">
        <v>375</v>
      </c>
      <c r="AP24254" s="4" t="s">
        <v>376</v>
      </c>
      <c r="AR24254" s="4" t="s">
        <v>377</v>
      </c>
    </row>
    <row r="24255" spans="1:44" ht="45">
      <c r="A24255" s="4" t="s">
        <v>24364</v>
      </c>
      <c r="B24255" s="4">
        <v>93621</v>
      </c>
      <c r="D24255" s="5" t="s">
        <v>31849</v>
      </c>
      <c r="E24255" s="6" t="str">
        <f>HYPERLINK("https://inpn.mnhn.fr/espece/cd_nom/93621","Cuscuta epithymum (L.) L., 1774")</f>
        <v>Cuscuta epithymum (L.) L., 1774</v>
      </c>
      <c r="F24255" s="5" t="s">
        <v>31850</v>
      </c>
      <c r="Q24255" s="7" t="str">
        <f>HYPERLINK("#Liste_rouge!A"&amp;_xlfn.XMATCH("LC",Liste_rouge!A:A,2,1),"LC")</f>
        <v>LC</v>
      </c>
      <c r="T24255" s="7" t="str">
        <f>HYPERLINK("#Liste_rouge!A"&amp;_xlfn.XMATCH("LC",Liste_rouge!A:A,2,1),"LC")</f>
        <v>LC</v>
      </c>
      <c r="V24255" s="7" t="str">
        <f>HYPERLINK("#Liste_rouge!A"&amp;_xlfn.XMATCH("LC",Liste_rouge!A:A,2,1),"LC")</f>
        <v>LC</v>
      </c>
      <c r="AH24255" s="4" t="str">
        <f>HYPERLINK("#Statut_biogéographique!A"&amp;_xlfn.XMATCH("P",Statut_biogéographique!A:A,2,1),"P")</f>
        <v>P</v>
      </c>
      <c r="AM24255" s="4" t="s">
        <v>375</v>
      </c>
      <c r="AN24255" s="4" t="s">
        <v>375</v>
      </c>
      <c r="AO24255" s="4" t="s">
        <v>375</v>
      </c>
      <c r="AP24255" s="4" t="s">
        <v>376</v>
      </c>
      <c r="AR24255" s="4" t="s">
        <v>377</v>
      </c>
    </row>
    <row r="24256" spans="1:44" ht="60">
      <c r="A24256" s="4" t="s">
        <v>24364</v>
      </c>
      <c r="B24256" s="4">
        <v>93623</v>
      </c>
      <c r="D24256" s="5" t="s">
        <v>31851</v>
      </c>
      <c r="E24256" s="6" t="str">
        <f>HYPERLINK("https://inpn.mnhn.fr/espece/cd_nom/93623","Cuscuta europaea L., 1753")</f>
        <v>Cuscuta europaea L., 1753</v>
      </c>
      <c r="F24256" s="5" t="s">
        <v>31852</v>
      </c>
      <c r="Q24256" s="7" t="str">
        <f>HYPERLINK("#Liste_rouge!A"&amp;_xlfn.XMATCH("LC",Liste_rouge!A:A,2,1),"LC")</f>
        <v>LC</v>
      </c>
      <c r="T24256" s="7" t="str">
        <f>HYPERLINK("#Liste_rouge!A"&amp;_xlfn.XMATCH("NT",Liste_rouge!A:A,2,1),"NT")</f>
        <v>NT</v>
      </c>
      <c r="U24256" s="4" t="str">
        <f>HYPERLINK("#Critères_liste_rouge!A$1","pr. B2a")</f>
        <v>pr. B2a</v>
      </c>
      <c r="V24256" s="7" t="str">
        <f>HYPERLINK("#Liste_rouge!A"&amp;_xlfn.XMATCH("LC",Liste_rouge!A:A,2,1),"LC")</f>
        <v>LC</v>
      </c>
      <c r="AB24256" s="4" t="s">
        <v>26735</v>
      </c>
      <c r="AH24256" s="4" t="str">
        <f>HYPERLINK("#Statut_biogéographique!A"&amp;_xlfn.XMATCH("P",Statut_biogéographique!A:A,2,1),"P")</f>
        <v>P</v>
      </c>
      <c r="AM24256" s="4" t="s">
        <v>375</v>
      </c>
      <c r="AN24256" s="4" t="s">
        <v>375</v>
      </c>
      <c r="AO24256" s="4" t="s">
        <v>375</v>
      </c>
      <c r="AP24256" s="4" t="s">
        <v>376</v>
      </c>
      <c r="AR24256" s="4" t="s">
        <v>377</v>
      </c>
    </row>
    <row r="24257" spans="1:44">
      <c r="A24257" s="4" t="s">
        <v>24364</v>
      </c>
      <c r="B24257" s="4">
        <v>93640</v>
      </c>
      <c r="D24257" s="5" t="s">
        <v>31853</v>
      </c>
      <c r="E24257" s="6" t="str">
        <f>HYPERLINK("https://inpn.mnhn.fr/espece/cd_nom/93640","Cuscuta planiflora Ten., 1829")</f>
        <v>Cuscuta planiflora Ten., 1829</v>
      </c>
      <c r="F24257" s="5" t="s">
        <v>31854</v>
      </c>
      <c r="Q24257" s="7" t="str">
        <f>HYPERLINK("#Liste_rouge!A"&amp;_xlfn.XMATCH("LC",Liste_rouge!A:A,2,1),"LC")</f>
        <v>LC</v>
      </c>
      <c r="T24257" s="7" t="str">
        <f>HYPERLINK("#Liste_rouge!A"&amp;_xlfn.XMATCH("NA",Liste_rouge!A:A,2,1),"NA")</f>
        <v>NA</v>
      </c>
      <c r="AH24257" s="4" t="str">
        <f>HYPERLINK("#Statut_biogéographique!A"&amp;_xlfn.XMATCH("P",Statut_biogéographique!A:A,2,1),"P")</f>
        <v>P</v>
      </c>
      <c r="AP24257" s="4" t="s">
        <v>376</v>
      </c>
      <c r="AR24257" s="4" t="s">
        <v>377</v>
      </c>
    </row>
    <row r="24258" spans="1:44" ht="90">
      <c r="A24258" s="4" t="s">
        <v>24364</v>
      </c>
      <c r="B24258" s="4">
        <v>93644</v>
      </c>
      <c r="D24258" s="5" t="s">
        <v>31855</v>
      </c>
      <c r="E24258" s="6" t="str">
        <f>HYPERLINK("https://inpn.mnhn.fr/espece/cd_nom/93644","Cuscuta scandens Brot., 1804")</f>
        <v>Cuscuta scandens Brot., 1804</v>
      </c>
      <c r="F24258" s="5" t="s">
        <v>31856</v>
      </c>
      <c r="Q24258" s="7" t="str">
        <f>HYPERLINK("#Liste_rouge!A"&amp;_xlfn.XMATCH("LC",Liste_rouge!A:A,2,1),"LC")</f>
        <v>LC</v>
      </c>
      <c r="T24258" s="7" t="str">
        <f>HYPERLINK("#Liste_rouge!A"&amp;_xlfn.XMATCH("NE",Liste_rouge!A:A,2,1),"NE (cd_nom 145812) - EN (cd_nom 93644) - CR (cd_nom 145811)")</f>
        <v>NE (cd_nom 145812) - EN (cd_nom 93644) - CR (cd_nom 145811)</v>
      </c>
      <c r="X24258" s="5" t="s">
        <v>374</v>
      </c>
      <c r="AB24258" s="4" t="s">
        <v>93</v>
      </c>
      <c r="AH24258" s="4" t="str">
        <f>HYPERLINK("#Statut_biogéographique!A"&amp;_xlfn.XMATCH("P",Statut_biogéographique!A:A,2,1),"P")</f>
        <v>P</v>
      </c>
      <c r="AM24258" s="4" t="s">
        <v>375</v>
      </c>
      <c r="AN24258" s="4" t="s">
        <v>375</v>
      </c>
      <c r="AO24258" s="4" t="s">
        <v>375</v>
      </c>
      <c r="AP24258" s="4" t="s">
        <v>376</v>
      </c>
      <c r="AR24258" s="4" t="s">
        <v>377</v>
      </c>
    </row>
    <row r="24259" spans="1:44" ht="30">
      <c r="A24259" s="4" t="s">
        <v>24364</v>
      </c>
      <c r="B24259" s="4">
        <v>93648</v>
      </c>
      <c r="D24259" s="5" t="s">
        <v>31857</v>
      </c>
      <c r="E24259" s="6" t="str">
        <f>HYPERLINK("https://inpn.mnhn.fr/espece/cd_nom/93648","Cuscuta suaveolens Ser., 1840")</f>
        <v>Cuscuta suaveolens Ser., 1840</v>
      </c>
      <c r="F24259" s="5" t="s">
        <v>31858</v>
      </c>
      <c r="Q24259" s="7" t="str">
        <f>HYPERLINK("#Liste_rouge!A"&amp;_xlfn.XMATCH("NA",Liste_rouge!A:A,2,1),"NA")</f>
        <v>NA</v>
      </c>
      <c r="T24259" s="7" t="str">
        <f>HYPERLINK("#Liste_rouge!A"&amp;_xlfn.XMATCH("RE",Liste_rouge!A:A,2,1),"RE")</f>
        <v>RE</v>
      </c>
      <c r="V24259" s="7" t="str">
        <f>HYPERLINK("#Liste_rouge!A"&amp;_xlfn.XMATCH("RE",Liste_rouge!A:A,2,1),"RE")</f>
        <v>RE</v>
      </c>
      <c r="AH24259" s="4" t="str">
        <f>HYPERLINK("#Statut_biogéographique!A"&amp;_xlfn.XMATCH("I",Statut_biogéographique!A:A,2,1),"I")</f>
        <v>I</v>
      </c>
      <c r="AM24259" s="4" t="s">
        <v>375</v>
      </c>
      <c r="AN24259" s="4" t="s">
        <v>375</v>
      </c>
      <c r="AO24259" s="4" t="s">
        <v>375</v>
      </c>
      <c r="AP24259" s="4" t="s">
        <v>376</v>
      </c>
      <c r="AR24259" s="4" t="s">
        <v>377</v>
      </c>
    </row>
    <row r="24260" spans="1:44" ht="45">
      <c r="A24260" s="4" t="s">
        <v>24364</v>
      </c>
      <c r="B24260" s="4">
        <v>93673</v>
      </c>
      <c r="D24260" s="5" t="s">
        <v>31859</v>
      </c>
      <c r="E24260" s="6" t="str">
        <f>HYPERLINK("https://inpn.mnhn.fr/espece/cd_nom/93673","Cyanus montanus (L.) Hill, 1768")</f>
        <v>Cyanus montanus (L.) Hill, 1768</v>
      </c>
      <c r="F24260" s="5" t="s">
        <v>31860</v>
      </c>
      <c r="Q24260" s="7" t="str">
        <f>HYPERLINK("#Liste_rouge!A"&amp;_xlfn.XMATCH("LC",Liste_rouge!A:A,2,1),"LC")</f>
        <v>LC</v>
      </c>
      <c r="T24260" s="7" t="str">
        <f>HYPERLINK("#Liste_rouge!A"&amp;_xlfn.XMATCH("NT",Liste_rouge!A:A,2,1),"NT")</f>
        <v>NT</v>
      </c>
      <c r="V24260" s="7" t="str">
        <f>HYPERLINK("#Liste_rouge!A"&amp;_xlfn.XMATCH("LC",Liste_rouge!A:A,2,1),"LC")</f>
        <v>LC</v>
      </c>
      <c r="AB24260" s="4" t="s">
        <v>26538</v>
      </c>
      <c r="AH24260" s="4" t="str">
        <f>HYPERLINK("#Statut_biogéographique!A"&amp;_xlfn.XMATCH("P",Statut_biogéographique!A:A,2,1),"P")</f>
        <v>P</v>
      </c>
      <c r="AM24260" s="4" t="s">
        <v>375</v>
      </c>
      <c r="AN24260" s="4" t="s">
        <v>375</v>
      </c>
      <c r="AO24260" s="4" t="s">
        <v>375</v>
      </c>
      <c r="AP24260" s="4" t="s">
        <v>376</v>
      </c>
      <c r="AR24260" s="4" t="s">
        <v>377</v>
      </c>
    </row>
    <row r="24261" spans="1:44" ht="45">
      <c r="A24261" s="4" t="s">
        <v>24364</v>
      </c>
      <c r="B24261" s="4">
        <v>93680</v>
      </c>
      <c r="D24261" s="5" t="s">
        <v>31861</v>
      </c>
      <c r="E24261" s="6" t="str">
        <f>HYPERLINK("https://inpn.mnhn.fr/espece/cd_nom/93680","Cyanus segetum Hill, 1762")</f>
        <v>Cyanus segetum Hill, 1762</v>
      </c>
      <c r="F24261" s="5" t="s">
        <v>31862</v>
      </c>
      <c r="P24261" s="7" t="str">
        <f>HYPERLINK("#Liste_rouge!A"&amp;_xlfn.XMATCH("LC",Liste_rouge!A:A,2,1),"LC")</f>
        <v>LC</v>
      </c>
      <c r="Q24261" s="7" t="str">
        <f>HYPERLINK("#Liste_rouge!A"&amp;_xlfn.XMATCH("LC",Liste_rouge!A:A,2,1),"LC")</f>
        <v>LC</v>
      </c>
      <c r="T24261" s="7" t="str">
        <f>HYPERLINK("#Liste_rouge!A"&amp;_xlfn.XMATCH("LC",Liste_rouge!A:A,2,1),"LC")</f>
        <v>LC</v>
      </c>
      <c r="V24261" s="7" t="str">
        <f>HYPERLINK("#Liste_rouge!A"&amp;_xlfn.XMATCH("NT",Liste_rouge!A:A,2,1),"NT")</f>
        <v>NT</v>
      </c>
      <c r="W24261" s="4" t="str">
        <f>HYPERLINK("#Critères_liste_rouge!A$1","pr. A3c B2b(iii)")</f>
        <v>pr. A3c B2b(iii)</v>
      </c>
      <c r="AH24261" s="4" t="str">
        <f>HYPERLINK("#Statut_biogéographique!A"&amp;_xlfn.XMATCH("P",Statut_biogéographique!A:A,2,1),"P")</f>
        <v>P</v>
      </c>
      <c r="AI24261" s="8" t="s">
        <v>31863</v>
      </c>
      <c r="AJ24261" s="4" t="s">
        <v>12248</v>
      </c>
      <c r="AM24261" s="4" t="s">
        <v>375</v>
      </c>
      <c r="AN24261" s="4" t="s">
        <v>375</v>
      </c>
      <c r="AO24261" s="4" t="s">
        <v>375</v>
      </c>
      <c r="AP24261" s="4" t="s">
        <v>376</v>
      </c>
      <c r="AR24261" s="4" t="s">
        <v>377</v>
      </c>
    </row>
    <row r="24262" spans="1:44" ht="30">
      <c r="A24262" s="4" t="s">
        <v>24364</v>
      </c>
      <c r="B24262" s="4">
        <v>93699</v>
      </c>
      <c r="D24262" s="5" t="s">
        <v>31864</v>
      </c>
      <c r="E24262" s="6" t="str">
        <f>HYPERLINK("https://inpn.mnhn.fr/espece/cd_nom/93699","Cyclamen hederifolium Aiton, 1789")</f>
        <v>Cyclamen hederifolium Aiton, 1789</v>
      </c>
      <c r="F24262" s="5" t="s">
        <v>31865</v>
      </c>
      <c r="P24262" s="7" t="str">
        <f>HYPERLINK("#Liste_rouge!A"&amp;_xlfn.XMATCH("LC",Liste_rouge!A:A,2,1),"LC")</f>
        <v>LC</v>
      </c>
      <c r="Q24262" s="7" t="str">
        <f>HYPERLINK("#Liste_rouge!A"&amp;_xlfn.XMATCH("LC",Liste_rouge!A:A,2,1),"LC")</f>
        <v>LC</v>
      </c>
      <c r="T24262" s="7" t="str">
        <f>HYPERLINK("#Liste_rouge!A"&amp;_xlfn.XMATCH("NA",Liste_rouge!A:A,2,1),"NA")</f>
        <v>NA</v>
      </c>
      <c r="AH24262" s="4" t="str">
        <f>HYPERLINK("#Statut_biogéographique!A"&amp;_xlfn.XMATCH("P",Statut_biogéographique!A:A,2,1),"P")</f>
        <v>P</v>
      </c>
      <c r="AP24262" s="4" t="s">
        <v>376</v>
      </c>
      <c r="AR24262" s="4" t="s">
        <v>377</v>
      </c>
    </row>
    <row r="24263" spans="1:44" ht="30">
      <c r="A24263" s="4" t="s">
        <v>24364</v>
      </c>
      <c r="B24263" s="4">
        <v>93708</v>
      </c>
      <c r="D24263" s="5" t="s">
        <v>31866</v>
      </c>
      <c r="E24263" s="6" t="str">
        <f>HYPERLINK("https://inpn.mnhn.fr/espece/cd_nom/93708","Cyclamen purpurascens Mill., 1768")</f>
        <v>Cyclamen purpurascens Mill., 1768</v>
      </c>
      <c r="F24263" s="5" t="s">
        <v>31867</v>
      </c>
      <c r="O24263" s="7" t="str">
        <f>HYPERLINK("#Liste_rouge!A"&amp;_xlfn.XMATCH("LC",Liste_rouge!A:A,2,1),"LC")</f>
        <v>LC</v>
      </c>
      <c r="P24263" s="7" t="str">
        <f>HYPERLINK("#Liste_rouge!A"&amp;_xlfn.XMATCH("LC",Liste_rouge!A:A,2,1),"LC")</f>
        <v>LC</v>
      </c>
      <c r="Q24263" s="7" t="str">
        <f>HYPERLINK("#Liste_rouge!A"&amp;_xlfn.XMATCH("LC",Liste_rouge!A:A,2,1),"LC")</f>
        <v>LC</v>
      </c>
      <c r="T24263" s="7" t="str">
        <f>HYPERLINK("#Liste_rouge!A"&amp;_xlfn.XMATCH("NA",Liste_rouge!A:A,2,1),"NA")</f>
        <v>NA</v>
      </c>
      <c r="V24263" s="7" t="str">
        <f>HYPERLINK("#Liste_rouge!A"&amp;_xlfn.XMATCH("LC",Liste_rouge!A:A,2,1),"LC")</f>
        <v>LC</v>
      </c>
      <c r="AH24263" s="4" t="str">
        <f>HYPERLINK("#Statut_biogéographique!A"&amp;_xlfn.XMATCH("P",Statut_biogéographique!A:A,2,1),"P")</f>
        <v>P</v>
      </c>
      <c r="AK24263" s="4" t="str">
        <f>HYPERLINK("#Réglementation!A"&amp;_xlfn.XMATCH("V39P2",Réglementation!A:A,2,1),"V39P2 - V39P6")</f>
        <v>V39P2 - V39P6</v>
      </c>
      <c r="AM24263" s="4" t="s">
        <v>375</v>
      </c>
      <c r="AN24263" s="4" t="s">
        <v>375</v>
      </c>
      <c r="AO24263" s="4" t="s">
        <v>375</v>
      </c>
      <c r="AP24263" s="4" t="s">
        <v>376</v>
      </c>
      <c r="AR24263" s="4" t="s">
        <v>377</v>
      </c>
    </row>
    <row r="24264" spans="1:44" ht="45">
      <c r="A24264" s="4" t="s">
        <v>24364</v>
      </c>
      <c r="B24264" s="4">
        <v>93734</v>
      </c>
      <c r="D24264" s="5" t="s">
        <v>31868</v>
      </c>
      <c r="E24264" s="6" t="str">
        <f>HYPERLINK("https://inpn.mnhn.fr/espece/cd_nom/93734","Cydonia oblonga Mill., 1768")</f>
        <v>Cydonia oblonga Mill., 1768</v>
      </c>
      <c r="F24264" s="5" t="s">
        <v>31869</v>
      </c>
      <c r="Q24264" s="7" t="str">
        <f>HYPERLINK("#Liste_rouge!A"&amp;_xlfn.XMATCH("NA",Liste_rouge!A:A,2,1),"NA")</f>
        <v>NA</v>
      </c>
      <c r="T24264" s="7" t="str">
        <f>HYPERLINK("#Liste_rouge!A"&amp;_xlfn.XMATCH("NA",Liste_rouge!A:A,2,1),"NA")</f>
        <v>NA</v>
      </c>
      <c r="AH24264" s="4" t="str">
        <f>HYPERLINK("#Statut_biogéographique!A"&amp;_xlfn.XMATCH("I",Statut_biogéographique!A:A,2,1),"I")</f>
        <v>I</v>
      </c>
      <c r="AP24264" s="4" t="s">
        <v>376</v>
      </c>
      <c r="AR24264" s="4" t="s">
        <v>377</v>
      </c>
    </row>
    <row r="24265" spans="1:44" ht="60">
      <c r="A24265" s="4" t="s">
        <v>24364</v>
      </c>
      <c r="B24265" s="4">
        <v>93763</v>
      </c>
      <c r="D24265" s="5" t="s">
        <v>31870</v>
      </c>
      <c r="E24265" s="6" t="str">
        <f>HYPERLINK("https://inpn.mnhn.fr/espece/cd_nom/93763","Cymbalaria muralis G.Gaertn., B.Mey. &amp; Scherb., 1800")</f>
        <v>Cymbalaria muralis G.Gaertn., B.Mey. &amp; Scherb., 1800</v>
      </c>
      <c r="F24265" s="5" t="s">
        <v>31871</v>
      </c>
      <c r="Q24265" s="7" t="str">
        <f>HYPERLINK("#Liste_rouge!A"&amp;_xlfn.XMATCH("LC",Liste_rouge!A:A,2,1),"LC")</f>
        <v>LC</v>
      </c>
      <c r="T24265" s="7" t="str">
        <f>HYPERLINK("#Liste_rouge!A"&amp;_xlfn.XMATCH("LC",Liste_rouge!A:A,2,1),"LC (cd_nom 93763) - DD (cd_nom 613723)")</f>
        <v>LC (cd_nom 93763) - DD (cd_nom 613723)</v>
      </c>
      <c r="V24265" s="7" t="str">
        <f>HYPERLINK("#Liste_rouge!A"&amp;_xlfn.XMATCH("LC",Liste_rouge!A:A,2,1),"LC")</f>
        <v>LC</v>
      </c>
      <c r="AH24265" s="4" t="str">
        <f>HYPERLINK("#Statut_biogéographique!A"&amp;_xlfn.XMATCH("I",Statut_biogéographique!A:A,2,1),"I")</f>
        <v>I</v>
      </c>
      <c r="AM24265" s="4" t="s">
        <v>375</v>
      </c>
      <c r="AN24265" s="4" t="s">
        <v>375</v>
      </c>
      <c r="AO24265" s="4" t="s">
        <v>375</v>
      </c>
      <c r="AP24265" s="4" t="s">
        <v>376</v>
      </c>
      <c r="AR24265" s="4" t="s">
        <v>377</v>
      </c>
    </row>
    <row r="24266" spans="1:44" ht="120">
      <c r="A24266" s="4" t="s">
        <v>24364</v>
      </c>
      <c r="B24266" s="4">
        <v>93803</v>
      </c>
      <c r="D24266" s="5" t="s">
        <v>31872</v>
      </c>
      <c r="E24266" s="6" t="str">
        <f>HYPERLINK("https://inpn.mnhn.fr/espece/cd_nom/93803","Cynodon dactylon (L.) Pers., 1805")</f>
        <v>Cynodon dactylon (L.) Pers., 1805</v>
      </c>
      <c r="F24266" s="5" t="s">
        <v>31873</v>
      </c>
      <c r="Q24266" s="7" t="str">
        <f>HYPERLINK("#Liste_rouge!A"&amp;_xlfn.XMATCH("LC",Liste_rouge!A:A,2,1),"LC")</f>
        <v>LC</v>
      </c>
      <c r="T24266" s="7" t="str">
        <f>HYPERLINK("#Liste_rouge!A"&amp;_xlfn.XMATCH("LC",Liste_rouge!A:A,2,1),"LC")</f>
        <v>LC</v>
      </c>
      <c r="V24266" s="7" t="str">
        <f>HYPERLINK("#Liste_rouge!A"&amp;_xlfn.XMATCH("LC",Liste_rouge!A:A,2,1),"LC")</f>
        <v>LC</v>
      </c>
      <c r="AH24266" s="4" t="str">
        <f>HYPERLINK("#Statut_biogéographique!A"&amp;_xlfn.XMATCH("P",Statut_biogéographique!A:A,2,1),"P")</f>
        <v>P</v>
      </c>
      <c r="AM24266" s="4" t="s">
        <v>375</v>
      </c>
      <c r="AN24266" s="4" t="s">
        <v>375</v>
      </c>
      <c r="AO24266" s="4" t="s">
        <v>375</v>
      </c>
      <c r="AP24266" s="4" t="s">
        <v>376</v>
      </c>
      <c r="AR24266" s="4" t="s">
        <v>377</v>
      </c>
    </row>
    <row r="24267" spans="1:44" ht="30">
      <c r="A24267" s="4" t="s">
        <v>24364</v>
      </c>
      <c r="B24267" s="4">
        <v>93828</v>
      </c>
      <c r="D24267" s="5" t="s">
        <v>31874</v>
      </c>
      <c r="E24267" s="6" t="str">
        <f>HYPERLINK("https://inpn.mnhn.fr/espece/cd_nom/93828","Cynoglossum creticum Mill., 1768")</f>
        <v>Cynoglossum creticum Mill., 1768</v>
      </c>
      <c r="F24267" s="5" t="s">
        <v>31875</v>
      </c>
      <c r="Q24267" s="7" t="str">
        <f>HYPERLINK("#Liste_rouge!A"&amp;_xlfn.XMATCH("LC",Liste_rouge!A:A,2,1),"LC")</f>
        <v>LC</v>
      </c>
      <c r="T24267" s="7" t="str">
        <f>HYPERLINK("#Liste_rouge!A"&amp;_xlfn.XMATCH("RE",Liste_rouge!A:A,2,1),"RE")</f>
        <v>RE</v>
      </c>
      <c r="AH24267" s="4" t="str">
        <f>HYPERLINK("#Statut_biogéographique!A"&amp;_xlfn.XMATCH("P",Statut_biogéographique!A:A,2,1),"P")</f>
        <v>P</v>
      </c>
      <c r="AM24267" s="4" t="s">
        <v>375</v>
      </c>
      <c r="AN24267" s="4" t="s">
        <v>375</v>
      </c>
      <c r="AO24267" s="4" t="s">
        <v>375</v>
      </c>
      <c r="AP24267" s="4" t="s">
        <v>376</v>
      </c>
      <c r="AR24267" s="4" t="s">
        <v>377</v>
      </c>
    </row>
    <row r="24268" spans="1:44">
      <c r="A24268" s="4" t="s">
        <v>24364</v>
      </c>
      <c r="B24268" s="4">
        <v>93829</v>
      </c>
      <c r="D24268" s="5" t="s">
        <v>31876</v>
      </c>
      <c r="E24268" s="6" t="str">
        <f>HYPERLINK("https://inpn.mnhn.fr/espece/cd_nom/93829","Cynoglossum dioscoridis Vill., 1779")</f>
        <v>Cynoglossum dioscoridis Vill., 1779</v>
      </c>
      <c r="F24268" s="5" t="s">
        <v>31877</v>
      </c>
      <c r="M24268" s="4" t="str">
        <f>HYPERLINK("#Réglementation!A"&amp;_xlfn.XMATCH("RV26",Réglementation!A:A,2,1),"RV26")</f>
        <v>RV26</v>
      </c>
      <c r="Q24268" s="7" t="str">
        <f>HYPERLINK("#Liste_rouge!A"&amp;_xlfn.XMATCH("NT",Liste_rouge!A:A,2,1),"NT")</f>
        <v>NT</v>
      </c>
      <c r="T24268" s="7" t="str">
        <f>HYPERLINK("#Liste_rouge!A"&amp;_xlfn.XMATCH("CR",Liste_rouge!A:A,2,1),"CR")</f>
        <v>CR</v>
      </c>
      <c r="U24268" s="4" t="str">
        <f>HYPERLINK("#Critères_liste_rouge!A$1","B1 B2ab(ii,iii,iv) C2a(i)")</f>
        <v>B1 B2ab(ii,iii,iv) C2a(i)</v>
      </c>
      <c r="X24268" s="5" t="s">
        <v>374</v>
      </c>
      <c r="AB24268" s="4" t="s">
        <v>93</v>
      </c>
      <c r="AH24268" s="4" t="str">
        <f>HYPERLINK("#Statut_biogéographique!A"&amp;_xlfn.XMATCH("P",Statut_biogéographique!A:A,2,1),"P")</f>
        <v>P</v>
      </c>
      <c r="AM24268" s="4" t="s">
        <v>375</v>
      </c>
      <c r="AN24268" s="4" t="s">
        <v>375</v>
      </c>
      <c r="AO24268" s="4" t="s">
        <v>375</v>
      </c>
      <c r="AP24268" s="4" t="s">
        <v>376</v>
      </c>
      <c r="AR24268" s="4" t="s">
        <v>377</v>
      </c>
    </row>
    <row r="24269" spans="1:44" ht="30">
      <c r="A24269" s="4" t="s">
        <v>24364</v>
      </c>
      <c r="B24269" s="4">
        <v>93830</v>
      </c>
      <c r="D24269" s="5" t="s">
        <v>31878</v>
      </c>
      <c r="E24269" s="6" t="str">
        <f>HYPERLINK("https://inpn.mnhn.fr/espece/cd_nom/93830","Cynoglossum germanicum Jacq., 1767")</f>
        <v>Cynoglossum germanicum Jacq., 1767</v>
      </c>
      <c r="F24269" s="5" t="s">
        <v>31879</v>
      </c>
      <c r="Q24269" s="7" t="str">
        <f>HYPERLINK("#Liste_rouge!A"&amp;_xlfn.XMATCH("LC",Liste_rouge!A:A,2,1),"LC")</f>
        <v>LC</v>
      </c>
      <c r="T24269" s="7" t="str">
        <f>HYPERLINK("#Liste_rouge!A"&amp;_xlfn.XMATCH("LC",Liste_rouge!A:A,2,1),"LC")</f>
        <v>LC</v>
      </c>
      <c r="V24269" s="7" t="str">
        <f>HYPERLINK("#Liste_rouge!A"&amp;_xlfn.XMATCH("LC",Liste_rouge!A:A,2,1),"LC")</f>
        <v>LC</v>
      </c>
      <c r="AB24269" s="4" t="s">
        <v>31880</v>
      </c>
      <c r="AH24269" s="4" t="str">
        <f>HYPERLINK("#Statut_biogéographique!A"&amp;_xlfn.XMATCH("P",Statut_biogéographique!A:A,2,1),"P")</f>
        <v>P</v>
      </c>
      <c r="AM24269" s="4" t="s">
        <v>375</v>
      </c>
      <c r="AN24269" s="4" t="s">
        <v>375</v>
      </c>
      <c r="AO24269" s="4" t="s">
        <v>375</v>
      </c>
      <c r="AP24269" s="4" t="s">
        <v>376</v>
      </c>
      <c r="AR24269" s="4" t="s">
        <v>377</v>
      </c>
    </row>
    <row r="24270" spans="1:44">
      <c r="A24270" s="4" t="s">
        <v>24364</v>
      </c>
      <c r="B24270" s="4">
        <v>93840</v>
      </c>
      <c r="D24270" s="5" t="s">
        <v>31881</v>
      </c>
      <c r="E24270" s="6" t="str">
        <f>HYPERLINK("https://inpn.mnhn.fr/espece/cd_nom/93840","Cynoglossum officinale L., 1753")</f>
        <v>Cynoglossum officinale L., 1753</v>
      </c>
      <c r="F24270" s="5" t="s">
        <v>31882</v>
      </c>
      <c r="Q24270" s="7" t="str">
        <f>HYPERLINK("#Liste_rouge!A"&amp;_xlfn.XMATCH("LC",Liste_rouge!A:A,2,1),"LC")</f>
        <v>LC</v>
      </c>
      <c r="T24270" s="7" t="str">
        <f>HYPERLINK("#Liste_rouge!A"&amp;_xlfn.XMATCH("LC",Liste_rouge!A:A,2,1),"LC")</f>
        <v>LC</v>
      </c>
      <c r="V24270" s="7" t="str">
        <f>HYPERLINK("#Liste_rouge!A"&amp;_xlfn.XMATCH("LC",Liste_rouge!A:A,2,1),"LC")</f>
        <v>LC</v>
      </c>
      <c r="AH24270" s="4" t="str">
        <f>HYPERLINK("#Statut_biogéographique!A"&amp;_xlfn.XMATCH("P",Statut_biogéographique!A:A,2,1),"P")</f>
        <v>P</v>
      </c>
      <c r="AM24270" s="4" t="s">
        <v>375</v>
      </c>
      <c r="AN24270" s="4" t="s">
        <v>375</v>
      </c>
      <c r="AO24270" s="4" t="s">
        <v>375</v>
      </c>
      <c r="AP24270" s="4" t="s">
        <v>376</v>
      </c>
      <c r="AR24270" s="4" t="s">
        <v>377</v>
      </c>
    </row>
    <row r="24271" spans="1:44" ht="60">
      <c r="A24271" s="4" t="s">
        <v>24364</v>
      </c>
      <c r="B24271" s="4">
        <v>93860</v>
      </c>
      <c r="D24271" s="5" t="s">
        <v>31883</v>
      </c>
      <c r="E24271" s="6" t="str">
        <f>HYPERLINK("https://inpn.mnhn.fr/espece/cd_nom/93860","Cynosurus cristatus L., 1753")</f>
        <v>Cynosurus cristatus L., 1753</v>
      </c>
      <c r="F24271" s="5" t="s">
        <v>31884</v>
      </c>
      <c r="Q24271" s="7" t="str">
        <f>HYPERLINK("#Liste_rouge!A"&amp;_xlfn.XMATCH("LC",Liste_rouge!A:A,2,1),"LC")</f>
        <v>LC</v>
      </c>
      <c r="T24271" s="7" t="str">
        <f>HYPERLINK("#Liste_rouge!A"&amp;_xlfn.XMATCH("LC",Liste_rouge!A:A,2,1),"LC")</f>
        <v>LC</v>
      </c>
      <c r="V24271" s="7" t="str">
        <f>HYPERLINK("#Liste_rouge!A"&amp;_xlfn.XMATCH("LC",Liste_rouge!A:A,2,1),"LC")</f>
        <v>LC</v>
      </c>
      <c r="AH24271" s="4" t="str">
        <f>HYPERLINK("#Statut_biogéographique!A"&amp;_xlfn.XMATCH("P",Statut_biogéographique!A:A,2,1),"P")</f>
        <v>P</v>
      </c>
      <c r="AM24271" s="4" t="s">
        <v>375</v>
      </c>
      <c r="AN24271" s="4" t="s">
        <v>375</v>
      </c>
      <c r="AO24271" s="4" t="s">
        <v>375</v>
      </c>
      <c r="AP24271" s="4" t="s">
        <v>376</v>
      </c>
      <c r="AR24271" s="4" t="s">
        <v>377</v>
      </c>
    </row>
    <row r="24272" spans="1:44" ht="60">
      <c r="A24272" s="4" t="s">
        <v>24364</v>
      </c>
      <c r="B24272" s="4">
        <v>93864</v>
      </c>
      <c r="D24272" s="5" t="s">
        <v>31885</v>
      </c>
      <c r="E24272" s="6" t="str">
        <f>HYPERLINK("https://inpn.mnhn.fr/espece/cd_nom/93864","Cynosurus echinatus L., 1753")</f>
        <v>Cynosurus echinatus L., 1753</v>
      </c>
      <c r="F24272" s="5" t="s">
        <v>31886</v>
      </c>
      <c r="Q24272" s="7" t="str">
        <f>HYPERLINK("#Liste_rouge!A"&amp;_xlfn.XMATCH("LC",Liste_rouge!A:A,2,1),"LC")</f>
        <v>LC</v>
      </c>
      <c r="T24272" s="7" t="str">
        <f>HYPERLINK("#Liste_rouge!A"&amp;_xlfn.XMATCH("NA",Liste_rouge!A:A,2,1),"NA")</f>
        <v>NA</v>
      </c>
      <c r="AH24272" s="4" t="str">
        <f>HYPERLINK("#Statut_biogéographique!A"&amp;_xlfn.XMATCH("P",Statut_biogéographique!A:A,2,1),"P")</f>
        <v>P</v>
      </c>
      <c r="AM24272" s="4" t="s">
        <v>375</v>
      </c>
      <c r="AN24272" s="4" t="s">
        <v>375</v>
      </c>
      <c r="AO24272" s="4" t="s">
        <v>375</v>
      </c>
      <c r="AP24272" s="4" t="s">
        <v>376</v>
      </c>
      <c r="AR24272" s="4" t="s">
        <v>377</v>
      </c>
    </row>
    <row r="24273" spans="1:44" ht="90">
      <c r="A24273" s="4" t="s">
        <v>24364</v>
      </c>
      <c r="B24273" s="4">
        <v>93865</v>
      </c>
      <c r="D24273" s="5" t="s">
        <v>31887</v>
      </c>
      <c r="E24273" s="6" t="str">
        <f>HYPERLINK("https://inpn.mnhn.fr/espece/cd_nom/93865","Cynosurus effusus Link, 1799")</f>
        <v>Cynosurus effusus Link, 1799</v>
      </c>
      <c r="F24273" s="5" t="s">
        <v>31888</v>
      </c>
      <c r="Q24273" s="7" t="str">
        <f>HYPERLINK("#Liste_rouge!A"&amp;_xlfn.XMATCH("LC",Liste_rouge!A:A,2,1),"LC")</f>
        <v>LC</v>
      </c>
      <c r="T24273" s="7" t="str">
        <f>HYPERLINK("#Liste_rouge!A"&amp;_xlfn.XMATCH("NA",Liste_rouge!A:A,2,1),"NA")</f>
        <v>NA</v>
      </c>
      <c r="AH24273" s="4" t="str">
        <f>HYPERLINK("#Statut_biogéographique!A"&amp;_xlfn.XMATCH("P",Statut_biogéographique!A:A,2,1),"P")</f>
        <v>P</v>
      </c>
      <c r="AP24273" s="4" t="s">
        <v>376</v>
      </c>
      <c r="AR24273" s="4" t="s">
        <v>377</v>
      </c>
    </row>
    <row r="24274" spans="1:44" ht="30">
      <c r="A24274" s="4" t="s">
        <v>24364</v>
      </c>
      <c r="B24274" s="4">
        <v>93923</v>
      </c>
      <c r="D24274" s="5" t="s">
        <v>31889</v>
      </c>
      <c r="E24274" s="6" t="str">
        <f>HYPERLINK("https://inpn.mnhn.fr/espece/cd_nom/93923","Cyperus eragrostis Lam., 1791")</f>
        <v>Cyperus eragrostis Lam., 1791</v>
      </c>
      <c r="F24274" s="5" t="s">
        <v>31890</v>
      </c>
      <c r="Q24274" s="7" t="str">
        <f>HYPERLINK("#Liste_rouge!A"&amp;_xlfn.XMATCH("NA",Liste_rouge!A:A,2,1),"NA")</f>
        <v>NA</v>
      </c>
      <c r="T24274" s="7" t="str">
        <f>HYPERLINK("#Liste_rouge!A"&amp;_xlfn.XMATCH("NA",Liste_rouge!A:A,2,1),"NA")</f>
        <v>NA</v>
      </c>
      <c r="AH24274" s="4" t="str">
        <f>HYPERLINK("#Statut_biogéographique!A"&amp;_xlfn.XMATCH("I",Statut_biogéographique!A:A,2,1),"I")</f>
        <v>I</v>
      </c>
      <c r="AM24274" s="4" t="s">
        <v>375</v>
      </c>
      <c r="AN24274" s="4" t="s">
        <v>375</v>
      </c>
      <c r="AO24274" s="4" t="s">
        <v>375</v>
      </c>
      <c r="AP24274" s="4" t="s">
        <v>376</v>
      </c>
      <c r="AR24274" s="4" t="s">
        <v>377</v>
      </c>
    </row>
    <row r="24275" spans="1:44" ht="30">
      <c r="A24275" s="4" t="s">
        <v>24364</v>
      </c>
      <c r="B24275" s="4">
        <v>93924</v>
      </c>
      <c r="D24275" s="5" t="s">
        <v>31891</v>
      </c>
      <c r="E24275" s="6" t="str">
        <f>HYPERLINK("https://inpn.mnhn.fr/espece/cd_nom/93924","Cyperus esculentus L., 1753")</f>
        <v>Cyperus esculentus L., 1753</v>
      </c>
      <c r="F24275" s="5" t="s">
        <v>31892</v>
      </c>
      <c r="O24275" s="7" t="str">
        <f>HYPERLINK("#Liste_rouge!A"&amp;_xlfn.XMATCH("LC",Liste_rouge!A:A,2,1),"LC")</f>
        <v>LC</v>
      </c>
      <c r="Q24275" s="7" t="str">
        <f>HYPERLINK("#Liste_rouge!A"&amp;_xlfn.XMATCH("LC",Liste_rouge!A:A,2,1),"LC")</f>
        <v>LC</v>
      </c>
      <c r="T24275" s="7" t="str">
        <f>HYPERLINK("#Liste_rouge!A"&amp;_xlfn.XMATCH("NA",Liste_rouge!A:A,2,1),"NA")</f>
        <v>NA</v>
      </c>
      <c r="AH24275" s="4" t="str">
        <f>HYPERLINK("#Statut_biogéographique!A"&amp;_xlfn.XMATCH("P",Statut_biogéographique!A:A,2,1),"P")</f>
        <v>P</v>
      </c>
      <c r="AM24275" s="4" t="s">
        <v>375</v>
      </c>
      <c r="AN24275" s="4" t="s">
        <v>375</v>
      </c>
      <c r="AO24275" s="4" t="s">
        <v>375</v>
      </c>
      <c r="AP24275" s="4" t="s">
        <v>376</v>
      </c>
      <c r="AR24275" s="4" t="s">
        <v>377</v>
      </c>
    </row>
    <row r="24276" spans="1:44" ht="45">
      <c r="A24276" s="4" t="s">
        <v>24364</v>
      </c>
      <c r="B24276" s="4">
        <v>93929</v>
      </c>
      <c r="D24276" s="5" t="s">
        <v>31893</v>
      </c>
      <c r="E24276" s="6" t="str">
        <f>HYPERLINK("https://inpn.mnhn.fr/espece/cd_nom/93929","Cyperus flavescens L., 1753")</f>
        <v>Cyperus flavescens L., 1753</v>
      </c>
      <c r="F24276" s="5" t="s">
        <v>31894</v>
      </c>
      <c r="O24276" s="7" t="str">
        <f>HYPERLINK("#Liste_rouge!A"&amp;_xlfn.XMATCH("LC",Liste_rouge!A:A,2,1),"LC")</f>
        <v>LC</v>
      </c>
      <c r="P24276" s="7" t="str">
        <f>HYPERLINK("#Liste_rouge!A"&amp;_xlfn.XMATCH("LC",Liste_rouge!A:A,2,1),"LC")</f>
        <v>LC</v>
      </c>
      <c r="Q24276" s="7" t="str">
        <f>HYPERLINK("#Liste_rouge!A"&amp;_xlfn.XMATCH("LC",Liste_rouge!A:A,2,1),"LC")</f>
        <v>LC</v>
      </c>
      <c r="T24276" s="7" t="str">
        <f>HYPERLINK("#Liste_rouge!A"&amp;_xlfn.XMATCH("EN",Liste_rouge!A:A,2,1),"EN")</f>
        <v>EN</v>
      </c>
      <c r="U24276" s="4" t="str">
        <f>HYPERLINK("#Critères_liste_rouge!A$1","B2ab(ii,iii,iv)")</f>
        <v>B2ab(ii,iii,iv)</v>
      </c>
      <c r="V24276" s="7" t="str">
        <f>HYPERLINK("#Liste_rouge!A"&amp;_xlfn.XMATCH("EN",Liste_rouge!A:A,2,1),"EN")</f>
        <v>EN</v>
      </c>
      <c r="W24276" s="4" t="str">
        <f>HYPERLINK("#Critères_liste_rouge!A$1","B2ab(iv)c(iv)")</f>
        <v>B2ab(iv)c(iv)</v>
      </c>
      <c r="X24276" s="5" t="s">
        <v>374</v>
      </c>
      <c r="AB24276" s="4" t="s">
        <v>93</v>
      </c>
      <c r="AH24276" s="4" t="str">
        <f>HYPERLINK("#Statut_biogéographique!A"&amp;_xlfn.XMATCH("P",Statut_biogéographique!A:A,2,1),"P")</f>
        <v>P</v>
      </c>
      <c r="AM24276" s="4" t="s">
        <v>375</v>
      </c>
      <c r="AN24276" s="4" t="s">
        <v>375</v>
      </c>
      <c r="AO24276" s="4" t="s">
        <v>375</v>
      </c>
      <c r="AP24276" s="4" t="s">
        <v>376</v>
      </c>
      <c r="AR24276" s="4" t="s">
        <v>377</v>
      </c>
    </row>
    <row r="24277" spans="1:44" ht="45">
      <c r="A24277" s="4" t="s">
        <v>24364</v>
      </c>
      <c r="B24277" s="4">
        <v>93936</v>
      </c>
      <c r="D24277" s="5" t="s">
        <v>31895</v>
      </c>
      <c r="E24277" s="6" t="str">
        <f>HYPERLINK("https://inpn.mnhn.fr/espece/cd_nom/93936","Cyperus fuscus L., 1753")</f>
        <v>Cyperus fuscus L., 1753</v>
      </c>
      <c r="F24277" s="5" t="s">
        <v>31896</v>
      </c>
      <c r="O24277" s="7" t="str">
        <f>HYPERLINK("#Liste_rouge!A"&amp;_xlfn.XMATCH("LC",Liste_rouge!A:A,2,1),"LC")</f>
        <v>LC</v>
      </c>
      <c r="P24277" s="7" t="str">
        <f>HYPERLINK("#Liste_rouge!A"&amp;_xlfn.XMATCH("LC",Liste_rouge!A:A,2,1),"LC")</f>
        <v>LC</v>
      </c>
      <c r="Q24277" s="7" t="str">
        <f>HYPERLINK("#Liste_rouge!A"&amp;_xlfn.XMATCH("LC",Liste_rouge!A:A,2,1),"LC")</f>
        <v>LC</v>
      </c>
      <c r="T24277" s="7" t="str">
        <f>HYPERLINK("#Liste_rouge!A"&amp;_xlfn.XMATCH("LC",Liste_rouge!A:A,2,1),"LC")</f>
        <v>LC</v>
      </c>
      <c r="V24277" s="7" t="str">
        <f>HYPERLINK("#Liste_rouge!A"&amp;_xlfn.XMATCH("LC",Liste_rouge!A:A,2,1),"LC")</f>
        <v>LC</v>
      </c>
      <c r="AH24277" s="4" t="str">
        <f>HYPERLINK("#Statut_biogéographique!A"&amp;_xlfn.XMATCH("P",Statut_biogéographique!A:A,2,1),"P")</f>
        <v>P</v>
      </c>
      <c r="AM24277" s="4" t="s">
        <v>375</v>
      </c>
      <c r="AN24277" s="4" t="s">
        <v>375</v>
      </c>
      <c r="AO24277" s="4" t="s">
        <v>375</v>
      </c>
      <c r="AP24277" s="4" t="s">
        <v>376</v>
      </c>
      <c r="AR24277" s="4" t="s">
        <v>377</v>
      </c>
    </row>
    <row r="24278" spans="1:44" ht="45">
      <c r="A24278" s="4" t="s">
        <v>24364</v>
      </c>
      <c r="B24278" s="4">
        <v>93967</v>
      </c>
      <c r="D24278" s="5" t="s">
        <v>31897</v>
      </c>
      <c r="E24278" s="6" t="str">
        <f>HYPERLINK("https://inpn.mnhn.fr/espece/cd_nom/93967","Cyperus longus L., 1753")</f>
        <v>Cyperus longus L., 1753</v>
      </c>
      <c r="F24278" s="5" t="s">
        <v>31898</v>
      </c>
      <c r="O24278" s="7" t="str">
        <f>HYPERLINK("#Liste_rouge!A"&amp;_xlfn.XMATCH("LC",Liste_rouge!A:A,2,1),"LC")</f>
        <v>LC</v>
      </c>
      <c r="P24278" s="7" t="str">
        <f>HYPERLINK("#Liste_rouge!A"&amp;_xlfn.XMATCH("LC",Liste_rouge!A:A,2,1),"LC")</f>
        <v>LC</v>
      </c>
      <c r="Q24278" s="7" t="str">
        <f>HYPERLINK("#Liste_rouge!A"&amp;_xlfn.XMATCH("LC",Liste_rouge!A:A,2,1),"LC")</f>
        <v>LC</v>
      </c>
      <c r="T24278" s="7" t="str">
        <f>HYPERLINK("#Liste_rouge!A"&amp;_xlfn.XMATCH("EN",Liste_rouge!A:A,2,1),"EN")</f>
        <v>EN</v>
      </c>
      <c r="U24278" s="4" t="str">
        <f>HYPERLINK("#Critères_liste_rouge!A$1","B2ab(ii,iii,iv) C2a(i)")</f>
        <v>B2ab(ii,iii,iv) C2a(i)</v>
      </c>
      <c r="AB24278" s="4" t="s">
        <v>24777</v>
      </c>
      <c r="AH24278" s="4" t="str">
        <f>HYPERLINK("#Statut_biogéographique!A"&amp;_xlfn.XMATCH("P",Statut_biogéographique!A:A,2,1),"P")</f>
        <v>P</v>
      </c>
      <c r="AM24278" s="4" t="s">
        <v>375</v>
      </c>
      <c r="AN24278" s="4" t="s">
        <v>375</v>
      </c>
      <c r="AO24278" s="4" t="s">
        <v>375</v>
      </c>
      <c r="AP24278" s="4" t="s">
        <v>376</v>
      </c>
      <c r="AR24278" s="4" t="s">
        <v>377</v>
      </c>
    </row>
    <row r="24279" spans="1:44" ht="45">
      <c r="A24279" s="4" t="s">
        <v>24364</v>
      </c>
      <c r="B24279" s="4">
        <v>939840</v>
      </c>
      <c r="D24279" s="5" t="s">
        <v>31899</v>
      </c>
      <c r="E24279" s="6" t="str">
        <f>HYPERLINK("https://inpn.mnhn.fr/espece/cd_nom/939840","Spinulum annotinum subsp. annotinum (L.) A.Haines, 2003")</f>
        <v>Spinulum annotinum subsp. annotinum (L.) A.Haines, 2003</v>
      </c>
      <c r="F24279" s="5" t="s">
        <v>30154</v>
      </c>
      <c r="M24279" s="4" t="str">
        <f>HYPERLINK("#Réglementation!A"&amp;_xlfn.XMATCH("RV26",Réglementation!A:A,2,1),"RV26")</f>
        <v>RV26</v>
      </c>
      <c r="N24279" s="4" t="str">
        <f>HYPERLINK("#Réglementation!A"&amp;_xlfn.XMATCH("V39P1",Réglementation!A:A,2,1),"V39P1")</f>
        <v>V39P1</v>
      </c>
      <c r="AH24279" s="4" t="str">
        <f>HYPERLINK("#Statut_biogéographique!A"&amp;_xlfn.XMATCH("P",Statut_biogéographique!A:A,2,1),"P")</f>
        <v>P</v>
      </c>
      <c r="AK24279" s="4" t="str">
        <f>HYPERLINK("#Réglementation!A"&amp;_xlfn.XMATCH("V39P6",Réglementation!A:A,2,1),"V39P6")</f>
        <v>V39P6</v>
      </c>
      <c r="AP24279" s="4" t="s">
        <v>376</v>
      </c>
      <c r="AR24279" s="4" t="s">
        <v>377</v>
      </c>
    </row>
    <row r="24280" spans="1:44" ht="30">
      <c r="A24280" s="4" t="s">
        <v>24364</v>
      </c>
      <c r="B24280" s="4">
        <v>94041</v>
      </c>
      <c r="D24280" s="5" t="s">
        <v>31900</v>
      </c>
      <c r="E24280" s="6" t="str">
        <f>HYPERLINK("https://inpn.mnhn.fr/espece/cd_nom/94041","Cypripedium calceolus L., 1753")</f>
        <v>Cypripedium calceolus L., 1753</v>
      </c>
      <c r="F24280" s="5" t="s">
        <v>31901</v>
      </c>
      <c r="G24280" s="4" t="str">
        <f>HYPERLINK("#Réglementation!A"&amp;_xlfn.XMATCH("CCA",Réglementation!A:A,2,1),"CCA - CCB")</f>
        <v>CCA - CCB</v>
      </c>
      <c r="I24280" s="4" t="str">
        <f>HYPERLINK("#Réglementation!A"&amp;_xlfn.XMATCH("IBE1",Réglementation!A:A,2,1),"IBE1")</f>
        <v>IBE1</v>
      </c>
      <c r="K24280" s="4" t="str">
        <f>HYPERLINK("#Réglementation!A"&amp;_xlfn.XMATCH("CDH2",Réglementation!A:A,2,1),"CDH2 - CDH4")</f>
        <v>CDH2 - CDH4</v>
      </c>
      <c r="L24280" s="4" t="str">
        <f>HYPERLINK("#Réglementation!A"&amp;_xlfn.XMATCH("NV1",Réglementation!A:A,2,1),"NV1")</f>
        <v>NV1</v>
      </c>
      <c r="O24280" s="7" t="str">
        <f>HYPERLINK("#Liste_rouge!A"&amp;_xlfn.XMATCH("LC",Liste_rouge!A:A,2,1),"LC")</f>
        <v>LC</v>
      </c>
      <c r="P24280" s="7" t="str">
        <f>HYPERLINK("#Liste_rouge!A"&amp;_xlfn.XMATCH("NT",Liste_rouge!A:A,2,1),"NT")</f>
        <v>NT</v>
      </c>
      <c r="Q24280" s="7" t="str">
        <f>HYPERLINK("#Liste_rouge!A"&amp;_xlfn.XMATCH("NT",Liste_rouge!A:A,2,1),"NT")</f>
        <v>NT</v>
      </c>
      <c r="T24280" s="7" t="str">
        <f>HYPERLINK("#Liste_rouge!A"&amp;_xlfn.XMATCH("VU",Liste_rouge!A:A,2,1),"VU")</f>
        <v>VU</v>
      </c>
      <c r="U24280" s="4" t="str">
        <f>HYPERLINK("#Critères_liste_rouge!A$1","C2a(i) D2")</f>
        <v>C2a(i) D2</v>
      </c>
      <c r="V24280" s="7" t="str">
        <f>HYPERLINK("#Liste_rouge!A"&amp;_xlfn.XMATCH("EN",Liste_rouge!A:A,2,1),"EN")</f>
        <v>EN</v>
      </c>
      <c r="W24280" s="4" t="str">
        <f>HYPERLINK("#Critères_liste_rouge!A$1","D")</f>
        <v>D</v>
      </c>
      <c r="X24280" s="5" t="s">
        <v>374</v>
      </c>
      <c r="AB24280" s="4" t="s">
        <v>93</v>
      </c>
      <c r="AD24280" s="4" t="s">
        <v>11319</v>
      </c>
      <c r="AE24280" s="4" t="str">
        <f>HYPERLINK("#SCAP!A"&amp;_xlfn.XMATCH("1+",SCAP!A:A,2,1),"1+")</f>
        <v>1+</v>
      </c>
      <c r="AF24280" s="4" t="str">
        <f>HYPERLINK("#SCAP!A"&amp;_xlfn.XMATCH("2+",SCAP!A:A,2,1),"2+")</f>
        <v>2+</v>
      </c>
      <c r="AG24280" s="4" t="str">
        <f>HYPERLINK("#SCAP!A"&amp;_xlfn.XMATCH("2+",SCAP!A:A,2,1),"2+")</f>
        <v>2+</v>
      </c>
      <c r="AH24280" s="4" t="str">
        <f>HYPERLINK("#Statut_biogéographique!A"&amp;_xlfn.XMATCH("P",Statut_biogéographique!A:A,2,1),"P")</f>
        <v>P</v>
      </c>
      <c r="AM24280" s="4" t="s">
        <v>375</v>
      </c>
      <c r="AN24280" s="4" t="s">
        <v>375</v>
      </c>
      <c r="AO24280" s="4" t="s">
        <v>375</v>
      </c>
      <c r="AP24280" s="4" t="s">
        <v>376</v>
      </c>
      <c r="AR24280" s="4" t="s">
        <v>377</v>
      </c>
    </row>
    <row r="24281" spans="1:44" ht="150">
      <c r="A24281" s="4" t="s">
        <v>24364</v>
      </c>
      <c r="B24281" s="4">
        <v>94066</v>
      </c>
      <c r="D24281" s="5" t="s">
        <v>31902</v>
      </c>
      <c r="E24281" s="6" t="str">
        <f>HYPERLINK("https://inpn.mnhn.fr/espece/cd_nom/94066","Cystopteris fragilis (L.) Bernh., 1805")</f>
        <v>Cystopteris fragilis (L.) Bernh., 1805</v>
      </c>
      <c r="F24281" s="5" t="s">
        <v>28917</v>
      </c>
      <c r="P24281" s="7" t="str">
        <f>HYPERLINK("#Liste_rouge!A"&amp;_xlfn.XMATCH("LC",Liste_rouge!A:A,2,1),"LC")</f>
        <v>LC</v>
      </c>
      <c r="Q24281" s="7" t="str">
        <f>HYPERLINK("#Liste_rouge!A"&amp;_xlfn.XMATCH("LC",Liste_rouge!A:A,2,1),"LC")</f>
        <v>LC</v>
      </c>
      <c r="T24281" s="7" t="str">
        <f>HYPERLINK("#Liste_rouge!A"&amp;_xlfn.XMATCH("LC",Liste_rouge!A:A,2,1),"LC")</f>
        <v>LC</v>
      </c>
      <c r="V24281" s="7" t="str">
        <f>HYPERLINK("#Liste_rouge!A"&amp;_xlfn.XMATCH("LC",Liste_rouge!A:A,2,1),"LC")</f>
        <v>LC</v>
      </c>
      <c r="AB24281" s="4" t="s">
        <v>24855</v>
      </c>
      <c r="AH24281" s="4" t="str">
        <f>HYPERLINK("#Statut_biogéographique!A"&amp;_xlfn.XMATCH("P",Statut_biogéographique!A:A,2,1),"P")</f>
        <v>P</v>
      </c>
      <c r="AM24281" s="4" t="s">
        <v>375</v>
      </c>
      <c r="AN24281" s="4" t="s">
        <v>375</v>
      </c>
      <c r="AO24281" s="4" t="s">
        <v>375</v>
      </c>
      <c r="AP24281" s="4" t="s">
        <v>376</v>
      </c>
      <c r="AR24281" s="4" t="s">
        <v>377</v>
      </c>
    </row>
    <row r="24282" spans="1:44" ht="30">
      <c r="A24282" s="4" t="s">
        <v>24364</v>
      </c>
      <c r="B24282" s="4">
        <v>94068</v>
      </c>
      <c r="D24282" s="5" t="s">
        <v>31903</v>
      </c>
      <c r="E24282" s="6" t="str">
        <f>HYPERLINK("https://inpn.mnhn.fr/espece/cd_nom/94068","Cystopteris montana (Lam.) Desv., 1827")</f>
        <v>Cystopteris montana (Lam.) Desv., 1827</v>
      </c>
      <c r="F24282" s="5" t="s">
        <v>31904</v>
      </c>
      <c r="L24282" s="4" t="str">
        <f>HYPERLINK("#Réglementation!A"&amp;_xlfn.XMATCH("NV1",Réglementation!A:A,2,1),"NV1")</f>
        <v>NV1</v>
      </c>
      <c r="P24282" s="7" t="str">
        <f>HYPERLINK("#Liste_rouge!A"&amp;_xlfn.XMATCH("LC",Liste_rouge!A:A,2,1),"LC")</f>
        <v>LC</v>
      </c>
      <c r="Q24282" s="7" t="str">
        <f>HYPERLINK("#Liste_rouge!A"&amp;_xlfn.XMATCH("LC",Liste_rouge!A:A,2,1),"LC")</f>
        <v>LC</v>
      </c>
      <c r="V24282" s="7" t="str">
        <f>HYPERLINK("#Liste_rouge!A"&amp;_xlfn.XMATCH("EN",Liste_rouge!A:A,2,1),"EN")</f>
        <v>EN</v>
      </c>
      <c r="W24282" s="4" t="str">
        <f>HYPERLINK("#Critères_liste_rouge!A$1","D")</f>
        <v>D</v>
      </c>
      <c r="X24282" s="5" t="s">
        <v>374</v>
      </c>
      <c r="AB24282" s="4" t="s">
        <v>93</v>
      </c>
      <c r="AH24282" s="4" t="str">
        <f>HYPERLINK("#Statut_biogéographique!A"&amp;_xlfn.XMATCH("P",Statut_biogéographique!A:A,2,1),"P")</f>
        <v>P</v>
      </c>
      <c r="AM24282" s="4" t="s">
        <v>375</v>
      </c>
      <c r="AN24282" s="4" t="s">
        <v>375</v>
      </c>
      <c r="AO24282" s="4" t="s">
        <v>375</v>
      </c>
      <c r="AP24282" s="4" t="s">
        <v>376</v>
      </c>
      <c r="AR24282" s="4" t="s">
        <v>377</v>
      </c>
    </row>
    <row r="24283" spans="1:44" ht="30">
      <c r="A24283" s="4" t="s">
        <v>24364</v>
      </c>
      <c r="B24283" s="4">
        <v>94092</v>
      </c>
      <c r="D24283" s="5" t="s">
        <v>31905</v>
      </c>
      <c r="E24283" s="6" t="str">
        <f>HYPERLINK("https://inpn.mnhn.fr/espece/cd_nom/94092","Cytisophyllum sessilifolium (L.) O.Lang, 1843")</f>
        <v>Cytisophyllum sessilifolium (L.) O.Lang, 1843</v>
      </c>
      <c r="F24283" s="5" t="s">
        <v>31906</v>
      </c>
      <c r="O24283" s="7" t="str">
        <f>HYPERLINK("#Liste_rouge!A"&amp;_xlfn.XMATCH("LC",Liste_rouge!A:A,2,1),"LC")</f>
        <v>LC</v>
      </c>
      <c r="P24283" s="7" t="str">
        <f>HYPERLINK("#Liste_rouge!A"&amp;_xlfn.XMATCH("LC",Liste_rouge!A:A,2,1),"LC")</f>
        <v>LC</v>
      </c>
      <c r="Q24283" s="7" t="str">
        <f>HYPERLINK("#Liste_rouge!A"&amp;_xlfn.XMATCH("LC",Liste_rouge!A:A,2,1),"LC")</f>
        <v>LC</v>
      </c>
      <c r="T24283" s="7" t="str">
        <f>HYPERLINK("#Liste_rouge!A"&amp;_xlfn.XMATCH("NA",Liste_rouge!A:A,2,1),"NA")</f>
        <v>NA</v>
      </c>
      <c r="AH24283" s="4" t="str">
        <f>HYPERLINK("#Statut_biogéographique!A"&amp;_xlfn.XMATCH("P",Statut_biogéographique!A:A,2,1),"P")</f>
        <v>P</v>
      </c>
      <c r="AP24283" s="4" t="s">
        <v>376</v>
      </c>
      <c r="AR24283" s="4" t="s">
        <v>377</v>
      </c>
    </row>
    <row r="24284" spans="1:44" ht="45">
      <c r="A24284" s="4" t="s">
        <v>24364</v>
      </c>
      <c r="B24284" s="4">
        <v>94098</v>
      </c>
      <c r="D24284" s="5" t="s">
        <v>31907</v>
      </c>
      <c r="E24284" s="6" t="str">
        <f>HYPERLINK("https://inpn.mnhn.fr/espece/cd_nom/94098","Cytisus arboreus (Desf.) DC., 1825")</f>
        <v>Cytisus arboreus (Desf.) DC., 1825</v>
      </c>
      <c r="F24284" s="5" t="s">
        <v>31908</v>
      </c>
      <c r="O24284" s="7" t="str">
        <f>HYPERLINK("#Liste_rouge!A"&amp;_xlfn.XMATCH("LC",Liste_rouge!A:A,2,1),"LC")</f>
        <v>LC</v>
      </c>
      <c r="P24284" s="7" t="str">
        <f>HYPERLINK("#Liste_rouge!A"&amp;_xlfn.XMATCH("LC",Liste_rouge!A:A,2,1),"LC")</f>
        <v>LC</v>
      </c>
      <c r="Q24284" s="7" t="str">
        <f>HYPERLINK("#Liste_rouge!A"&amp;_xlfn.XMATCH("LC",Liste_rouge!A:A,2,1),"LC")</f>
        <v>LC</v>
      </c>
      <c r="T24284" s="7" t="str">
        <f>HYPERLINK("#Liste_rouge!A"&amp;_xlfn.XMATCH("NA",Liste_rouge!A:A,2,1),"NA")</f>
        <v>NA</v>
      </c>
      <c r="AH24284" s="4" t="str">
        <f>HYPERLINK("#Statut_biogéographique!A"&amp;_xlfn.XMATCH("P",Statut_biogéographique!A:A,2,1),"P")</f>
        <v>P</v>
      </c>
      <c r="AP24284" s="4" t="s">
        <v>376</v>
      </c>
      <c r="AR24284" s="4" t="s">
        <v>377</v>
      </c>
    </row>
    <row r="24285" spans="1:44" ht="30">
      <c r="A24285" s="4" t="s">
        <v>24364</v>
      </c>
      <c r="B24285" s="4">
        <v>94106</v>
      </c>
      <c r="D24285" s="5" t="s">
        <v>31909</v>
      </c>
      <c r="E24285" s="6" t="str">
        <f>HYPERLINK("https://inpn.mnhn.fr/espece/cd_nom/94106","Cytisus cantabricus (Willk.) Rchb.f. &amp; Beck, 1903")</f>
        <v>Cytisus cantabricus (Willk.) Rchb.f. &amp; Beck, 1903</v>
      </c>
      <c r="F24285" s="5" t="s">
        <v>31910</v>
      </c>
      <c r="O24285" s="7" t="str">
        <f>HYPERLINK("#Liste_rouge!A"&amp;_xlfn.XMATCH("LC",Liste_rouge!A:A,2,1),"LC")</f>
        <v>LC</v>
      </c>
      <c r="P24285" s="7" t="str">
        <f>HYPERLINK("#Liste_rouge!A"&amp;_xlfn.XMATCH("LC",Liste_rouge!A:A,2,1),"LC")</f>
        <v>LC</v>
      </c>
      <c r="T24285" s="7" t="str">
        <f>HYPERLINK("#Liste_rouge!A"&amp;_xlfn.XMATCH("NA",Liste_rouge!A:A,2,1),"NA")</f>
        <v>NA</v>
      </c>
      <c r="AH24285" s="4" t="str">
        <f>HYPERLINK("#Statut_biogéographique!A"&amp;_xlfn.XMATCH("Q",Statut_biogéographique!A:A,2,1),"Q")</f>
        <v>Q</v>
      </c>
      <c r="AP24285" s="4" t="s">
        <v>376</v>
      </c>
      <c r="AR24285" s="4" t="s">
        <v>377</v>
      </c>
    </row>
    <row r="24286" spans="1:44" ht="60">
      <c r="A24286" s="4" t="s">
        <v>24364</v>
      </c>
      <c r="B24286" s="4">
        <v>94111</v>
      </c>
      <c r="D24286" s="5" t="s">
        <v>31911</v>
      </c>
      <c r="E24286" s="6" t="str">
        <f>HYPERLINK("https://inpn.mnhn.fr/espece/cd_nom/94111","Cytisus decumbens (Durande) Spach, 1845")</f>
        <v>Cytisus decumbens (Durande) Spach, 1845</v>
      </c>
      <c r="F24286" s="5" t="s">
        <v>31912</v>
      </c>
      <c r="Q24286" s="7" t="str">
        <f>HYPERLINK("#Liste_rouge!A"&amp;_xlfn.XMATCH("LC",Liste_rouge!A:A,2,1),"LC")</f>
        <v>LC</v>
      </c>
      <c r="T24286" s="7" t="str">
        <f>HYPERLINK("#Liste_rouge!A"&amp;_xlfn.XMATCH("LC",Liste_rouge!A:A,2,1),"LC")</f>
        <v>LC</v>
      </c>
      <c r="V24286" s="7" t="str">
        <f>HYPERLINK("#Liste_rouge!A"&amp;_xlfn.XMATCH("NT",Liste_rouge!A:A,2,1),"NT")</f>
        <v>NT</v>
      </c>
      <c r="W24286" s="4" t="str">
        <f>HYPERLINK("#Critères_liste_rouge!A$1","pr. A3c B2b(iii)")</f>
        <v>pr. A3c B2b(iii)</v>
      </c>
      <c r="AB24286" s="4" t="s">
        <v>24486</v>
      </c>
      <c r="AH24286" s="4" t="str">
        <f>HYPERLINK("#Statut_biogéographique!A"&amp;_xlfn.XMATCH("P",Statut_biogéographique!A:A,2,1),"P")</f>
        <v>P</v>
      </c>
      <c r="AM24286" s="4" t="s">
        <v>375</v>
      </c>
      <c r="AN24286" s="4" t="s">
        <v>375</v>
      </c>
      <c r="AO24286" s="4" t="s">
        <v>375</v>
      </c>
      <c r="AP24286" s="4" t="s">
        <v>376</v>
      </c>
      <c r="AR24286" s="4" t="s">
        <v>377</v>
      </c>
    </row>
    <row r="24287" spans="1:44" ht="105">
      <c r="A24287" s="4" t="s">
        <v>24364</v>
      </c>
      <c r="B24287" s="4">
        <v>94123</v>
      </c>
      <c r="D24287" s="5" t="s">
        <v>31913</v>
      </c>
      <c r="E24287" s="6" t="str">
        <f>HYPERLINK("https://inpn.mnhn.fr/espece/cd_nom/94123","Cytisus hirsutus L., 1753")</f>
        <v>Cytisus hirsutus L., 1753</v>
      </c>
      <c r="F24287" s="5" t="s">
        <v>31914</v>
      </c>
      <c r="M24287" s="4" t="str">
        <f>HYPERLINK("#Réglementation!A"&amp;_xlfn.XMATCH("RV26",Réglementation!A:A,2,1),"RV26")</f>
        <v>RV26</v>
      </c>
      <c r="Q24287" s="7" t="str">
        <f>HYPERLINK("#Liste_rouge!A"&amp;_xlfn.XMATCH("LC",Liste_rouge!A:A,2,1),"LC")</f>
        <v>LC</v>
      </c>
      <c r="T24287" s="7" t="str">
        <f>HYPERLINK("#Liste_rouge!A"&amp;_xlfn.XMATCH("VU",Liste_rouge!A:A,2,1),"VU")</f>
        <v>VU</v>
      </c>
      <c r="U24287" s="4" t="str">
        <f>HYPERLINK("#Critères_liste_rouge!A$1","D2")</f>
        <v>D2</v>
      </c>
      <c r="V24287" s="7" t="str">
        <f>HYPERLINK("#Liste_rouge!A"&amp;_xlfn.XMATCH("LC",Liste_rouge!A:A,2,1),"LC")</f>
        <v>LC</v>
      </c>
      <c r="AB24287" s="4" t="s">
        <v>26249</v>
      </c>
      <c r="AH24287" s="4" t="str">
        <f>HYPERLINK("#Statut_biogéographique!A"&amp;_xlfn.XMATCH("P",Statut_biogéographique!A:A,2,1),"P")</f>
        <v>P</v>
      </c>
      <c r="AM24287" s="4" t="s">
        <v>375</v>
      </c>
      <c r="AN24287" s="4" t="s">
        <v>375</v>
      </c>
      <c r="AO24287" s="4" t="s">
        <v>375</v>
      </c>
      <c r="AP24287" s="4" t="s">
        <v>376</v>
      </c>
      <c r="AR24287" s="4" t="s">
        <v>377</v>
      </c>
    </row>
    <row r="24288" spans="1:44">
      <c r="A24288" s="4" t="s">
        <v>24364</v>
      </c>
      <c r="B24288" s="4">
        <v>94136</v>
      </c>
      <c r="D24288" s="5" t="s">
        <v>31915</v>
      </c>
      <c r="E24288" s="6" t="str">
        <f>HYPERLINK("https://inpn.mnhn.fr/espece/cd_nom/94136","Cytisus lotoides Pourr., 1788")</f>
        <v>Cytisus lotoides Pourr., 1788</v>
      </c>
      <c r="F24288" s="5" t="s">
        <v>31916</v>
      </c>
      <c r="Q24288" s="7" t="str">
        <f>HYPERLINK("#Liste_rouge!A"&amp;_xlfn.XMATCH("LC",Liste_rouge!A:A,2,1),"LC")</f>
        <v>LC</v>
      </c>
      <c r="T24288" s="7" t="str">
        <f>HYPERLINK("#Liste_rouge!A"&amp;_xlfn.XMATCH("VU",Liste_rouge!A:A,2,1),"VU")</f>
        <v>VU</v>
      </c>
      <c r="U24288" s="4" t="str">
        <f>HYPERLINK("#Critères_liste_rouge!A$1","D2")</f>
        <v>D2</v>
      </c>
      <c r="X24288" s="5" t="s">
        <v>374</v>
      </c>
      <c r="AB24288" s="4" t="s">
        <v>93</v>
      </c>
      <c r="AH24288" s="4" t="str">
        <f>HYPERLINK("#Statut_biogéographique!A"&amp;_xlfn.XMATCH("P",Statut_biogéographique!A:A,2,1),"P")</f>
        <v>P</v>
      </c>
      <c r="AM24288" s="4" t="s">
        <v>375</v>
      </c>
      <c r="AN24288" s="4" t="s">
        <v>375</v>
      </c>
      <c r="AO24288" s="4" t="s">
        <v>375</v>
      </c>
      <c r="AP24288" s="4" t="s">
        <v>376</v>
      </c>
      <c r="AR24288" s="4" t="s">
        <v>377</v>
      </c>
    </row>
    <row r="24289" spans="1:44" ht="45">
      <c r="A24289" s="4" t="s">
        <v>24364</v>
      </c>
      <c r="B24289" s="4">
        <v>94142</v>
      </c>
      <c r="D24289" s="5" t="s">
        <v>31917</v>
      </c>
      <c r="E24289" s="6" t="str">
        <f>HYPERLINK("https://inpn.mnhn.fr/espece/cd_nom/94142","Cytisus multiflorus (L'Hér.) Sweet, 1826")</f>
        <v>Cytisus multiflorus (L'Hér.) Sweet, 1826</v>
      </c>
      <c r="F24289" s="5" t="s">
        <v>31918</v>
      </c>
      <c r="O24289" s="7" t="str">
        <f>HYPERLINK("#Liste_rouge!A"&amp;_xlfn.XMATCH("LC",Liste_rouge!A:A,2,1),"LC")</f>
        <v>LC</v>
      </c>
      <c r="P24289" s="7" t="str">
        <f>HYPERLINK("#Liste_rouge!A"&amp;_xlfn.XMATCH("LC",Liste_rouge!A:A,2,1),"LC")</f>
        <v>LC</v>
      </c>
      <c r="Q24289" s="7" t="str">
        <f>HYPERLINK("#Liste_rouge!A"&amp;_xlfn.XMATCH("NA",Liste_rouge!A:A,2,1),"NA")</f>
        <v>NA</v>
      </c>
      <c r="T24289" s="7" t="str">
        <f>HYPERLINK("#Liste_rouge!A"&amp;_xlfn.XMATCH("NA",Liste_rouge!A:A,2,1),"NA")</f>
        <v>NA</v>
      </c>
      <c r="AH24289" s="4" t="str">
        <f>HYPERLINK("#Statut_biogéographique!A"&amp;_xlfn.XMATCH("I",Statut_biogéographique!A:A,2,1),"I")</f>
        <v>I</v>
      </c>
      <c r="AP24289" s="4" t="s">
        <v>376</v>
      </c>
      <c r="AR24289" s="4" t="s">
        <v>377</v>
      </c>
    </row>
    <row r="24290" spans="1:44" ht="60">
      <c r="A24290" s="4" t="s">
        <v>24364</v>
      </c>
      <c r="B24290" s="4">
        <v>94145</v>
      </c>
      <c r="D24290" s="5" t="s">
        <v>31919</v>
      </c>
      <c r="E24290" s="6" t="str">
        <f>HYPERLINK("https://inpn.mnhn.fr/espece/cd_nom/94145","Cytisus oromediterraneus Rivas Mart., T.E.Díaz, Fern.Prieto, Loidi &amp; Peñas, 1984")</f>
        <v>Cytisus oromediterraneus Rivas Mart., T.E.Díaz, Fern.Prieto, Loidi &amp; Peñas, 1984</v>
      </c>
      <c r="F24290" s="5" t="s">
        <v>31920</v>
      </c>
      <c r="O24290" s="7" t="str">
        <f>HYPERLINK("#Liste_rouge!A"&amp;_xlfn.XMATCH("LC",Liste_rouge!A:A,2,1),"LC")</f>
        <v>LC</v>
      </c>
      <c r="P24290" s="7" t="str">
        <f>HYPERLINK("#Liste_rouge!A"&amp;_xlfn.XMATCH("LC",Liste_rouge!A:A,2,1),"LC")</f>
        <v>LC</v>
      </c>
      <c r="Q24290" s="7" t="str">
        <f>HYPERLINK("#Liste_rouge!A"&amp;_xlfn.XMATCH("LC",Liste_rouge!A:A,2,1),"LC")</f>
        <v>LC</v>
      </c>
      <c r="T24290" s="7" t="str">
        <f>HYPERLINK("#Liste_rouge!A"&amp;_xlfn.XMATCH("VU",Liste_rouge!A:A,2,1),"VU")</f>
        <v>VU</v>
      </c>
      <c r="U24290" s="4" t="str">
        <f>HYPERLINK("#Critères_liste_rouge!A$1","EN (A2ac) - 1")</f>
        <v>EN (A2ac) - 1</v>
      </c>
      <c r="X24290" s="5" t="s">
        <v>374</v>
      </c>
      <c r="AB24290" s="4" t="s">
        <v>93</v>
      </c>
      <c r="AH24290" s="4" t="str">
        <f>HYPERLINK("#Statut_biogéographique!A"&amp;_xlfn.XMATCH("P",Statut_biogéographique!A:A,2,1),"P")</f>
        <v>P</v>
      </c>
      <c r="AM24290" s="4" t="s">
        <v>375</v>
      </c>
      <c r="AN24290" s="4" t="s">
        <v>375</v>
      </c>
      <c r="AO24290" s="4" t="s">
        <v>375</v>
      </c>
      <c r="AP24290" s="4" t="s">
        <v>376</v>
      </c>
      <c r="AR24290" s="4" t="s">
        <v>377</v>
      </c>
    </row>
    <row r="24291" spans="1:44" ht="30">
      <c r="A24291" s="4" t="s">
        <v>24364</v>
      </c>
      <c r="B24291" s="4">
        <v>94164</v>
      </c>
      <c r="D24291" s="5" t="s">
        <v>31921</v>
      </c>
      <c r="E24291" s="6" t="str">
        <f>HYPERLINK("https://inpn.mnhn.fr/espece/cd_nom/94164","Cytisus scoparius (L.) Link, 1822")</f>
        <v>Cytisus scoparius (L.) Link, 1822</v>
      </c>
      <c r="F24291" s="5" t="s">
        <v>28461</v>
      </c>
      <c r="Q24291" s="7" t="str">
        <f>HYPERLINK("#Liste_rouge!A"&amp;_xlfn.XMATCH("LC",Liste_rouge!A:A,2,1),"LC")</f>
        <v>LC</v>
      </c>
      <c r="T24291" s="7" t="str">
        <f>HYPERLINK("#Liste_rouge!A"&amp;_xlfn.XMATCH("LC",Liste_rouge!A:A,2,1),"LC")</f>
        <v>LC</v>
      </c>
      <c r="V24291" s="7" t="str">
        <f>HYPERLINK("#Liste_rouge!A"&amp;_xlfn.XMATCH("LC",Liste_rouge!A:A,2,1),"LC")</f>
        <v>LC</v>
      </c>
      <c r="AH24291" s="4" t="str">
        <f>HYPERLINK("#Statut_biogéographique!A"&amp;_xlfn.XMATCH("P",Statut_biogéographique!A:A,2,1),"P")</f>
        <v>P</v>
      </c>
      <c r="AM24291" s="4" t="s">
        <v>375</v>
      </c>
      <c r="AN24291" s="4" t="s">
        <v>375</v>
      </c>
      <c r="AO24291" s="4" t="s">
        <v>375</v>
      </c>
      <c r="AP24291" s="4" t="s">
        <v>376</v>
      </c>
      <c r="AR24291" s="4" t="s">
        <v>377</v>
      </c>
    </row>
    <row r="24292" spans="1:44">
      <c r="A24292" s="4" t="s">
        <v>24364</v>
      </c>
      <c r="B24292" s="4">
        <v>94207</v>
      </c>
      <c r="D24292" s="5">
        <v>94207</v>
      </c>
      <c r="E24292" s="6" t="str">
        <f>HYPERLINK("https://inpn.mnhn.fr/espece/cd_nom/94207","Dactylis glomerata L., 1753")</f>
        <v>Dactylis glomerata L., 1753</v>
      </c>
      <c r="F24292" s="5" t="s">
        <v>28463</v>
      </c>
      <c r="Q24292" s="7" t="str">
        <f>HYPERLINK("#Liste_rouge!A"&amp;_xlfn.XMATCH("LC",Liste_rouge!A:A,2,1),"LC")</f>
        <v>LC</v>
      </c>
      <c r="T24292" s="7" t="str">
        <f>HYPERLINK("#Liste_rouge!A"&amp;_xlfn.XMATCH("LC",Liste_rouge!A:A,2,1),"LC")</f>
        <v>LC</v>
      </c>
      <c r="V24292" s="7" t="str">
        <f>HYPERLINK("#Liste_rouge!A"&amp;_xlfn.XMATCH("LC",Liste_rouge!A:A,2,1),"LC")</f>
        <v>LC</v>
      </c>
      <c r="AH24292" s="4" t="str">
        <f>HYPERLINK("#Statut_biogéographique!A"&amp;_xlfn.XMATCH("P",Statut_biogéographique!A:A,2,1),"P")</f>
        <v>P</v>
      </c>
      <c r="AM24292" s="4" t="s">
        <v>375</v>
      </c>
      <c r="AN24292" s="4" t="s">
        <v>375</v>
      </c>
      <c r="AO24292" s="4" t="s">
        <v>375</v>
      </c>
      <c r="AP24292" s="4" t="s">
        <v>376</v>
      </c>
      <c r="AR24292" s="4" t="s">
        <v>377</v>
      </c>
    </row>
    <row r="24293" spans="1:44" ht="60">
      <c r="A24293" s="4" t="s">
        <v>24364</v>
      </c>
      <c r="B24293" s="4">
        <v>94257</v>
      </c>
      <c r="D24293" s="5" t="s">
        <v>31922</v>
      </c>
      <c r="E24293" s="6" t="str">
        <f>HYPERLINK("https://inpn.mnhn.fr/espece/cd_nom/94257","Dactylorhiza fuchsii (Druce) Soó, 1962")</f>
        <v>Dactylorhiza fuchsii (Druce) Soó, 1962</v>
      </c>
      <c r="F24293" s="5" t="s">
        <v>31923</v>
      </c>
      <c r="G24293" s="4" t="str">
        <f>HYPERLINK("[#Réglementation!A"&amp;_xlfn.XMATCH("CCB",Réglementation!A:A,2,1),"CCB")</f>
        <v>CCB</v>
      </c>
      <c r="P24293" s="7" t="str">
        <f>HYPERLINK("#Liste_rouge!A"&amp;_xlfn.XMATCH("LC",Liste_rouge!A:A,2,1),"LC")</f>
        <v>LC</v>
      </c>
      <c r="Q24293" s="7" t="str">
        <f>HYPERLINK("#Liste_rouge!A"&amp;_xlfn.XMATCH("LC",Liste_rouge!A:A,2,1),"LC")</f>
        <v>LC</v>
      </c>
      <c r="T24293" s="7" t="str">
        <f>HYPERLINK("#Liste_rouge!A"&amp;_xlfn.XMATCH("VU",Liste_rouge!A:A,2,1),"VU")</f>
        <v>VU</v>
      </c>
      <c r="U24293" s="4" t="str">
        <f>HYPERLINK("#Critères_liste_rouge!A$1","C2a(i)")</f>
        <v>C2a(i)</v>
      </c>
      <c r="V24293" s="7" t="str">
        <f>HYPERLINK("#Liste_rouge!A"&amp;_xlfn.XMATCH("LC",Liste_rouge!A:A,2,1),"LC")</f>
        <v>LC</v>
      </c>
      <c r="AB24293" s="4" t="s">
        <v>24855</v>
      </c>
      <c r="AH24293" s="4" t="str">
        <f>HYPERLINK("#Statut_biogéographique!A"&amp;_xlfn.XMATCH("P",Statut_biogéographique!A:A,2,1),"P")</f>
        <v>P</v>
      </c>
      <c r="AM24293" s="4" t="s">
        <v>375</v>
      </c>
      <c r="AN24293" s="4" t="s">
        <v>375</v>
      </c>
      <c r="AO24293" s="4" t="s">
        <v>375</v>
      </c>
      <c r="AP24293" s="4" t="s">
        <v>376</v>
      </c>
      <c r="AR24293" s="4" t="s">
        <v>377</v>
      </c>
    </row>
    <row r="24294" spans="1:44" ht="30">
      <c r="A24294" s="4" t="s">
        <v>24364</v>
      </c>
      <c r="B24294" s="4">
        <v>94259</v>
      </c>
      <c r="D24294" s="5" t="s">
        <v>31924</v>
      </c>
      <c r="E24294" s="6" t="str">
        <f>HYPERLINK("https://inpn.mnhn.fr/espece/cd_nom/94259","Dactylorhiza incarnata (L.) Soó, 1962")</f>
        <v>Dactylorhiza incarnata (L.) Soó, 1962</v>
      </c>
      <c r="F24294" s="5" t="s">
        <v>28467</v>
      </c>
      <c r="G24294" s="4" t="str">
        <f>HYPERLINK("[#Réglementation!A"&amp;_xlfn.XMATCH("CCB",Réglementation!A:A,2,1),"CCB")</f>
        <v>CCB</v>
      </c>
      <c r="M24294" s="4" t="str">
        <f>HYPERLINK("#Réglementation!A"&amp;_xlfn.XMATCH("RV26",Réglementation!A:A,2,1),"RV26")</f>
        <v>RV26</v>
      </c>
      <c r="P24294" s="7" t="str">
        <f>HYPERLINK("#Liste_rouge!A"&amp;_xlfn.XMATCH("LC",Liste_rouge!A:A,2,1),"LC")</f>
        <v>LC</v>
      </c>
      <c r="Q24294" s="7" t="str">
        <f>HYPERLINK("#Liste_rouge!A"&amp;_xlfn.XMATCH("NT",Liste_rouge!A:A,2,1),"NT")</f>
        <v>NT</v>
      </c>
      <c r="T24294" s="7" t="str">
        <f>HYPERLINK("#Liste_rouge!A"&amp;_xlfn.XMATCH("EN",Liste_rouge!A:A,2,1),"EN")</f>
        <v>EN</v>
      </c>
      <c r="U24294" s="4" t="str">
        <f>HYPERLINK("#Critères_liste_rouge!A$1","B2ab(ii,iii,iv)")</f>
        <v>B2ab(ii,iii,iv)</v>
      </c>
      <c r="V24294" s="7" t="str">
        <f>HYPERLINK("#Liste_rouge!A"&amp;_xlfn.XMATCH("NT",Liste_rouge!A:A,2,1),"NT")</f>
        <v>NT</v>
      </c>
      <c r="W24294" s="4" t="str">
        <f>HYPERLINK("#Critères_liste_rouge!A$1","pr. A3c+B2b(iii)")</f>
        <v>pr. A3c+B2b(iii)</v>
      </c>
      <c r="X24294" s="5" t="s">
        <v>374</v>
      </c>
      <c r="AB24294" s="4" t="s">
        <v>93</v>
      </c>
      <c r="AH24294" s="4" t="str">
        <f>HYPERLINK("#Statut_biogéographique!A"&amp;_xlfn.XMATCH("P",Statut_biogéographique!A:A,2,1),"P")</f>
        <v>P</v>
      </c>
      <c r="AM24294" s="4" t="s">
        <v>375</v>
      </c>
      <c r="AN24294" s="4" t="s">
        <v>375</v>
      </c>
      <c r="AO24294" s="4" t="s">
        <v>375</v>
      </c>
      <c r="AP24294" s="4" t="s">
        <v>376</v>
      </c>
      <c r="AR24294" s="4" t="s">
        <v>377</v>
      </c>
    </row>
    <row r="24295" spans="1:44" ht="150">
      <c r="A24295" s="4" t="s">
        <v>24364</v>
      </c>
      <c r="B24295" s="4">
        <v>94266</v>
      </c>
      <c r="D24295" s="5" t="s">
        <v>31925</v>
      </c>
      <c r="E24295" s="6" t="str">
        <f>HYPERLINK("https://inpn.mnhn.fr/espece/cd_nom/94266","Dactylorhiza maculata (L.) Soó, 1962")</f>
        <v>Dactylorhiza maculata (L.) Soó, 1962</v>
      </c>
      <c r="F24295" s="5" t="s">
        <v>31926</v>
      </c>
      <c r="G24295" s="4" t="str">
        <f>HYPERLINK("[#Réglementation!A"&amp;_xlfn.XMATCH("CCB",Réglementation!A:A,2,1),"CCB")</f>
        <v>CCB</v>
      </c>
      <c r="P24295" s="7" t="str">
        <f>HYPERLINK("#Liste_rouge!A"&amp;_xlfn.XMATCH("LC",Liste_rouge!A:A,2,1),"LC")</f>
        <v>LC</v>
      </c>
      <c r="Q24295" s="7" t="str">
        <f>HYPERLINK("#Liste_rouge!A"&amp;_xlfn.XMATCH("LC",Liste_rouge!A:A,2,1),"LC")</f>
        <v>LC</v>
      </c>
      <c r="T24295" s="7" t="str">
        <f>HYPERLINK("#Liste_rouge!A"&amp;_xlfn.XMATCH("LC",Liste_rouge!A:A,2,1),"LC (cd_nom 94266) - NE (cd_nom 133688) - DD (cd_nom 133691)")</f>
        <v>LC (cd_nom 94266) - NE (cd_nom 133688) - DD (cd_nom 133691)</v>
      </c>
      <c r="V24295" s="7" t="str">
        <f>HYPERLINK("#Liste_rouge!A"&amp;_xlfn.XMATCH("LC",Liste_rouge!A:A,2,1),"LC")</f>
        <v>LC</v>
      </c>
      <c r="AH24295" s="4" t="str">
        <f>HYPERLINK("#Statut_biogéographique!A"&amp;_xlfn.XMATCH("P",Statut_biogéographique!A:A,2,1),"P")</f>
        <v>P</v>
      </c>
      <c r="AM24295" s="4" t="s">
        <v>375</v>
      </c>
      <c r="AN24295" s="4" t="s">
        <v>375</v>
      </c>
      <c r="AO24295" s="4" t="s">
        <v>375</v>
      </c>
      <c r="AP24295" s="4" t="s">
        <v>376</v>
      </c>
      <c r="AR24295" s="4" t="s">
        <v>377</v>
      </c>
    </row>
    <row r="24296" spans="1:44" ht="90">
      <c r="A24296" s="4" t="s">
        <v>24364</v>
      </c>
      <c r="B24296" s="4">
        <v>94267</v>
      </c>
      <c r="D24296" s="5" t="s">
        <v>31927</v>
      </c>
      <c r="E24296" s="6" t="str">
        <f>HYPERLINK("https://inpn.mnhn.fr/espece/cd_nom/94267","Dactylorhiza majalis (Rchb.) P.F.Hunt &amp; Summerh., 1965")</f>
        <v>Dactylorhiza majalis (Rchb.) P.F.Hunt &amp; Summerh., 1965</v>
      </c>
      <c r="F24296" s="5" t="s">
        <v>31928</v>
      </c>
      <c r="G24296" s="4" t="str">
        <f>HYPERLINK("[#Réglementation!A"&amp;_xlfn.XMATCH("CCB",Réglementation!A:A,2,1),"CCB")</f>
        <v>CCB</v>
      </c>
      <c r="P24296" s="7" t="str">
        <f>HYPERLINK("#Liste_rouge!A"&amp;_xlfn.XMATCH("LC",Liste_rouge!A:A,2,1),"LC")</f>
        <v>LC</v>
      </c>
      <c r="Q24296" s="7" t="str">
        <f>HYPERLINK("#Liste_rouge!A"&amp;_xlfn.XMATCH("LC",Liste_rouge!A:A,2,1),"LC")</f>
        <v>LC</v>
      </c>
      <c r="T24296" s="7" t="str">
        <f>HYPERLINK("#Liste_rouge!A"&amp;_xlfn.XMATCH("LC",Liste_rouge!A:A,2,1),"LC")</f>
        <v>LC</v>
      </c>
      <c r="V24296" s="7" t="str">
        <f>HYPERLINK("#Liste_rouge!A"&amp;_xlfn.XMATCH("LC",Liste_rouge!A:A,2,1),"LC")</f>
        <v>LC</v>
      </c>
      <c r="AH24296" s="4" t="str">
        <f>HYPERLINK("#Statut_biogéographique!A"&amp;_xlfn.XMATCH("P",Statut_biogéographique!A:A,2,1),"P")</f>
        <v>P</v>
      </c>
      <c r="AM24296" s="4" t="s">
        <v>375</v>
      </c>
      <c r="AN24296" s="4" t="s">
        <v>375</v>
      </c>
      <c r="AO24296" s="4" t="s">
        <v>375</v>
      </c>
      <c r="AP24296" s="4" t="s">
        <v>376</v>
      </c>
      <c r="AR24296" s="4" t="s">
        <v>377</v>
      </c>
    </row>
    <row r="24297" spans="1:44" ht="75">
      <c r="A24297" s="4" t="s">
        <v>24364</v>
      </c>
      <c r="B24297" s="4">
        <v>94273</v>
      </c>
      <c r="D24297" s="5" t="s">
        <v>31929</v>
      </c>
      <c r="E24297" s="6" t="str">
        <f>HYPERLINK("https://inpn.mnhn.fr/espece/cd_nom/94273","Dactylorhiza praetermissa (Druce) Soó, 1962")</f>
        <v>Dactylorhiza praetermissa (Druce) Soó, 1962</v>
      </c>
      <c r="F24297" s="5" t="s">
        <v>31930</v>
      </c>
      <c r="G24297" s="4" t="str">
        <f>HYPERLINK("[#Réglementation!A"&amp;_xlfn.XMATCH("CCB",Réglementation!A:A,2,1),"CCB")</f>
        <v>CCB</v>
      </c>
      <c r="Q24297" s="7" t="str">
        <f>HYPERLINK("#Liste_rouge!A"&amp;_xlfn.XMATCH("NT",Liste_rouge!A:A,2,1),"NT")</f>
        <v>NT</v>
      </c>
      <c r="T24297" s="7" t="str">
        <f>HYPERLINK("#Liste_rouge!A"&amp;_xlfn.XMATCH("DD",Liste_rouge!A:A,2,1),"DD (cd_nom 133703) - EN (cd_nom 94273)")</f>
        <v>DD (cd_nom 133703) - EN (cd_nom 94273)</v>
      </c>
      <c r="X24297" s="5" t="s">
        <v>374</v>
      </c>
      <c r="AB24297" s="4" t="s">
        <v>93</v>
      </c>
      <c r="AH24297" s="4" t="str">
        <f>HYPERLINK("#Statut_biogéographique!A"&amp;_xlfn.XMATCH("P",Statut_biogéographique!A:A,2,1),"P")</f>
        <v>P</v>
      </c>
      <c r="AM24297" s="4" t="s">
        <v>375</v>
      </c>
      <c r="AN24297" s="4" t="s">
        <v>375</v>
      </c>
      <c r="AO24297" s="4" t="s">
        <v>375</v>
      </c>
      <c r="AP24297" s="4" t="s">
        <v>376</v>
      </c>
      <c r="AR24297" s="4" t="s">
        <v>377</v>
      </c>
    </row>
    <row r="24298" spans="1:44" ht="60">
      <c r="A24298" s="4" t="s">
        <v>24364</v>
      </c>
      <c r="B24298" s="4">
        <v>94279</v>
      </c>
      <c r="D24298" s="5" t="s">
        <v>31931</v>
      </c>
      <c r="E24298" s="6" t="str">
        <f>HYPERLINK("https://inpn.mnhn.fr/espece/cd_nom/94279","Dactylorhiza sambucina (L.) Soó, 1962")</f>
        <v>Dactylorhiza sambucina (L.) Soó, 1962</v>
      </c>
      <c r="F24298" s="5" t="s">
        <v>31932</v>
      </c>
      <c r="G24298" s="4" t="str">
        <f>HYPERLINK("[#Réglementation!A"&amp;_xlfn.XMATCH("CCB",Réglementation!A:A,2,1),"CCB")</f>
        <v>CCB</v>
      </c>
      <c r="M24298" s="4" t="str">
        <f>HYPERLINK("#Réglementation!A"&amp;_xlfn.XMATCH("RV26",Réglementation!A:A,2,1),"RV26")</f>
        <v>RV26</v>
      </c>
      <c r="O24298" s="7" t="str">
        <f>HYPERLINK("#Liste_rouge!A"&amp;_xlfn.XMATCH("LC",Liste_rouge!A:A,2,1),"LC")</f>
        <v>LC</v>
      </c>
      <c r="P24298" s="7" t="str">
        <f>HYPERLINK("#Liste_rouge!A"&amp;_xlfn.XMATCH("LC",Liste_rouge!A:A,2,1),"LC")</f>
        <v>LC</v>
      </c>
      <c r="Q24298" s="7" t="str">
        <f>HYPERLINK("#Liste_rouge!A"&amp;_xlfn.XMATCH("LC",Liste_rouge!A:A,2,1),"LC")</f>
        <v>LC</v>
      </c>
      <c r="T24298" s="7" t="str">
        <f>HYPERLINK("#Liste_rouge!A"&amp;_xlfn.XMATCH("NE",Liste_rouge!A:A,2,1),"NE (cd_nom 153050) - RE (cd_nom 94279)")</f>
        <v>NE (cd_nom 153050) - RE (cd_nom 94279)</v>
      </c>
      <c r="V24298" s="7" t="str">
        <f>HYPERLINK("#Liste_rouge!A"&amp;_xlfn.XMATCH("NT",Liste_rouge!A:A,2,1),"NT")</f>
        <v>NT</v>
      </c>
      <c r="W24298" s="4" t="str">
        <f>HYPERLINK("#Critères_liste_rouge!A$1","pr. B2b(iii)")</f>
        <v>pr. B2b(iii)</v>
      </c>
      <c r="X24298" s="5" t="s">
        <v>374</v>
      </c>
      <c r="AB24298" s="4" t="s">
        <v>93</v>
      </c>
      <c r="AH24298" s="4" t="str">
        <f>HYPERLINK("#Statut_biogéographique!A"&amp;_xlfn.XMATCH("P",Statut_biogéographique!A:A,2,1),"P")</f>
        <v>P</v>
      </c>
      <c r="AL24298" s="5" t="str">
        <f>HYPERLINK("#Réglementation!A"&amp;_xlfn.XMATCH("UEintro",Réglementation!A:A,2,1),"UEintro")</f>
        <v>UEintro</v>
      </c>
      <c r="AM24298" s="4" t="s">
        <v>375</v>
      </c>
      <c r="AN24298" s="4" t="s">
        <v>375</v>
      </c>
      <c r="AO24298" s="4" t="s">
        <v>375</v>
      </c>
      <c r="AP24298" s="4" t="s">
        <v>376</v>
      </c>
      <c r="AR24298" s="4" t="s">
        <v>377</v>
      </c>
    </row>
    <row r="24299" spans="1:44" ht="120">
      <c r="A24299" s="4" t="s">
        <v>24364</v>
      </c>
      <c r="B24299" s="4">
        <v>94287</v>
      </c>
      <c r="D24299" s="5" t="s">
        <v>31933</v>
      </c>
      <c r="E24299" s="6" t="str">
        <f>HYPERLINK("https://inpn.mnhn.fr/espece/cd_nom/94287","Dactylorhiza traunsteineri (Saut. ex Rchb.) Soó, 1962")</f>
        <v>Dactylorhiza traunsteineri (Saut. ex Rchb.) Soó, 1962</v>
      </c>
      <c r="F24299" s="5" t="s">
        <v>31934</v>
      </c>
      <c r="G24299" s="4" t="str">
        <f>HYPERLINK("[#Réglementation!A"&amp;_xlfn.XMATCH("CCB",Réglementation!A:A,2,1),"CCB")</f>
        <v>CCB</v>
      </c>
      <c r="M24299" s="4" t="str">
        <f>HYPERLINK("#Réglementation!A"&amp;_xlfn.XMATCH("RV43",Réglementation!A:A,2,1),"RV43")</f>
        <v>RV43</v>
      </c>
      <c r="O24299" s="7" t="str">
        <f>HYPERLINK("#Liste_rouge!A"&amp;_xlfn.XMATCH("LC",Liste_rouge!A:A,2,1),"LC")</f>
        <v>LC</v>
      </c>
      <c r="P24299" s="7" t="str">
        <f>HYPERLINK("#Liste_rouge!A"&amp;_xlfn.XMATCH("LC",Liste_rouge!A:A,2,1),"LC")</f>
        <v>LC</v>
      </c>
      <c r="Q24299" s="7" t="str">
        <f>HYPERLINK("#Liste_rouge!A"&amp;_xlfn.XMATCH("NT",Liste_rouge!A:A,2,1),"NT")</f>
        <v>NT</v>
      </c>
      <c r="T24299" s="7" t="str">
        <f>HYPERLINK("#Liste_rouge!A"&amp;_xlfn.XMATCH("DD",Liste_rouge!A:A,2,1),"DD (cd_nom 133708) - CR (cd_nom 94287)")</f>
        <v>DD (cd_nom 133708) - CR (cd_nom 94287)</v>
      </c>
      <c r="V24299" s="7" t="str">
        <f>HYPERLINK("#Liste_rouge!A"&amp;_xlfn.XMATCH("LC",Liste_rouge!A:A,2,1),"LC")</f>
        <v>LC</v>
      </c>
      <c r="X24299" s="5" t="s">
        <v>374</v>
      </c>
      <c r="AB24299" s="4" t="s">
        <v>93</v>
      </c>
      <c r="AH24299" s="4" t="str">
        <f>HYPERLINK("#Statut_biogéographique!A"&amp;_xlfn.XMATCH("P",Statut_biogéographique!A:A,2,1),"P")</f>
        <v>P</v>
      </c>
      <c r="AL24299" s="5" t="str">
        <f>HYPERLINK("#Réglementation!A"&amp;_xlfn.XMATCH("UEintro",Réglementation!A:A,2,1),"UEintro")</f>
        <v>UEintro</v>
      </c>
      <c r="AM24299" s="4" t="s">
        <v>375</v>
      </c>
      <c r="AN24299" s="4" t="s">
        <v>375</v>
      </c>
      <c r="AO24299" s="4" t="s">
        <v>375</v>
      </c>
      <c r="AP24299" s="4" t="s">
        <v>376</v>
      </c>
      <c r="AR24299" s="4" t="s">
        <v>377</v>
      </c>
    </row>
    <row r="24300" spans="1:44" ht="30">
      <c r="A24300" s="4" t="s">
        <v>24364</v>
      </c>
      <c r="B24300" s="4">
        <v>94293</v>
      </c>
      <c r="D24300" s="5" t="s">
        <v>31935</v>
      </c>
      <c r="E24300" s="6" t="str">
        <f>HYPERLINK("https://inpn.mnhn.fr/espece/cd_nom/94293","Dactylorhiza x aschersoniana (Hausskn.) Borsos &amp; Soó, 1960")</f>
        <v>Dactylorhiza x aschersoniana (Hausskn.) Borsos &amp; Soó, 1960</v>
      </c>
      <c r="F24300" s="5" t="s">
        <v>31936</v>
      </c>
      <c r="G24300" s="4" t="str">
        <f>HYPERLINK("[#Réglementation!A"&amp;_xlfn.XMATCH("CCB",Réglementation!A:A,2,1),"CCB")</f>
        <v>CCB</v>
      </c>
      <c r="AH24300" s="4" t="str">
        <f>HYPERLINK("#Statut_biogéographique!A"&amp;_xlfn.XMATCH("P",Statut_biogéographique!A:A,2,1),"P")</f>
        <v>P</v>
      </c>
      <c r="AP24300" s="4" t="s">
        <v>376</v>
      </c>
      <c r="AR24300" s="4" t="s">
        <v>377</v>
      </c>
    </row>
    <row r="24301" spans="1:44" ht="30">
      <c r="A24301" s="4" t="s">
        <v>24364</v>
      </c>
      <c r="B24301" s="4">
        <v>94296</v>
      </c>
      <c r="D24301" s="5" t="s">
        <v>31937</v>
      </c>
      <c r="E24301" s="6" t="str">
        <f>HYPERLINK("https://inpn.mnhn.fr/espece/cd_nom/94296","Dactylorhiza x braunii (Halácsy) Borsos &amp; Soó, 1962")</f>
        <v>Dactylorhiza x braunii (Halácsy) Borsos &amp; Soó, 1962</v>
      </c>
      <c r="F24301" s="5" t="s">
        <v>31938</v>
      </c>
      <c r="G24301" s="4" t="str">
        <f>HYPERLINK("[#Réglementation!A"&amp;_xlfn.XMATCH("CCB",Réglementation!A:A,2,1),"CCB")</f>
        <v>CCB</v>
      </c>
      <c r="T24301" s="7" t="str">
        <f>HYPERLINK("#Liste_rouge!A"&amp;_xlfn.XMATCH("DD",Liste_rouge!A:A,2,1),"DD")</f>
        <v>DD</v>
      </c>
      <c r="AH24301" s="4" t="str">
        <f>HYPERLINK("#Statut_biogéographique!A"&amp;_xlfn.XMATCH("P",Statut_biogéographique!A:A,2,1),"P")</f>
        <v>P</v>
      </c>
      <c r="AP24301" s="4" t="s">
        <v>376</v>
      </c>
      <c r="AR24301" s="4" t="s">
        <v>377</v>
      </c>
    </row>
    <row r="24302" spans="1:44" ht="30">
      <c r="A24302" s="4" t="s">
        <v>24364</v>
      </c>
      <c r="B24302" s="4">
        <v>94304</v>
      </c>
      <c r="D24302" s="5" t="s">
        <v>31939</v>
      </c>
      <c r="E24302" s="6" t="str">
        <f>HYPERLINK("https://inpn.mnhn.fr/espece/cd_nom/94304","Dactylorhiza x dufftiana (M.Schulze) Soó, 1960")</f>
        <v>Dactylorhiza x dufftiana (M.Schulze) Soó, 1960</v>
      </c>
      <c r="F24302" s="5" t="s">
        <v>31940</v>
      </c>
      <c r="G24302" s="4" t="str">
        <f>HYPERLINK("[#Réglementation!A"&amp;_xlfn.XMATCH("CCB",Réglementation!A:A,2,1),"CCB")</f>
        <v>CCB</v>
      </c>
      <c r="AH24302" s="4" t="str">
        <f>HYPERLINK("#Statut_biogéographique!A"&amp;_xlfn.XMATCH("P",Statut_biogéographique!A:A,2,1),"P")</f>
        <v>P</v>
      </c>
      <c r="AP24302" s="4" t="s">
        <v>376</v>
      </c>
      <c r="AR24302" s="4" t="s">
        <v>377</v>
      </c>
    </row>
    <row r="24303" spans="1:44" ht="30">
      <c r="A24303" s="4" t="s">
        <v>24364</v>
      </c>
      <c r="B24303" s="4">
        <v>94335</v>
      </c>
      <c r="D24303" s="5" t="s">
        <v>31941</v>
      </c>
      <c r="E24303" s="6" t="str">
        <f>HYPERLINK("https://inpn.mnhn.fr/espece/cd_nom/94335","Dactylorhiza x kerneriorum (Soó) Soó, 1962")</f>
        <v>Dactylorhiza x kerneriorum (Soó) Soó, 1962</v>
      </c>
      <c r="F24303" s="5" t="s">
        <v>31942</v>
      </c>
      <c r="G24303" s="4" t="str">
        <f>HYPERLINK("[#Réglementation!A"&amp;_xlfn.XMATCH("CCB",Réglementation!A:A,2,1),"CCB")</f>
        <v>CCB</v>
      </c>
      <c r="AH24303" s="4" t="str">
        <f>HYPERLINK("#Statut_biogéographique!A"&amp;_xlfn.XMATCH("P",Statut_biogéographique!A:A,2,1),"P")</f>
        <v>P</v>
      </c>
      <c r="AP24303" s="4" t="s">
        <v>376</v>
      </c>
      <c r="AR24303" s="4" t="s">
        <v>377</v>
      </c>
    </row>
    <row r="24304" spans="1:44" ht="30">
      <c r="A24304" s="4" t="s">
        <v>24364</v>
      </c>
      <c r="B24304" s="4">
        <v>94361</v>
      </c>
      <c r="D24304" s="5" t="s">
        <v>31943</v>
      </c>
      <c r="E24304" s="6" t="str">
        <f>HYPERLINK("https://inpn.mnhn.fr/espece/cd_nom/94361","Dactylorhiza x stenostachys (Murr) Rauschert, 1974")</f>
        <v>Dactylorhiza x stenostachys (Murr) Rauschert, 1974</v>
      </c>
      <c r="F24304" s="5" t="s">
        <v>31944</v>
      </c>
      <c r="G24304" s="4" t="str">
        <f>HYPERLINK("[#Réglementation!A"&amp;_xlfn.XMATCH("CCB",Réglementation!A:A,2,1),"CCB")</f>
        <v>CCB</v>
      </c>
      <c r="AH24304" s="4" t="str">
        <f>HYPERLINK("#Statut_biogéographique!A"&amp;_xlfn.XMATCH("P",Statut_biogéographique!A:A,2,1),"P")</f>
        <v>P</v>
      </c>
      <c r="AP24304" s="4" t="s">
        <v>376</v>
      </c>
      <c r="AR24304" s="4" t="s">
        <v>377</v>
      </c>
    </row>
    <row r="24305" spans="1:44">
      <c r="A24305" s="4" t="s">
        <v>24364</v>
      </c>
      <c r="B24305" s="4">
        <v>94366</v>
      </c>
      <c r="D24305" s="5" t="s">
        <v>31945</v>
      </c>
      <c r="E24305" s="6" t="str">
        <f>HYPERLINK("https://inpn.mnhn.fr/espece/cd_nom/94366","Dactylorhiza x transiens (Druce) Soó, 1962")</f>
        <v>Dactylorhiza x transiens (Druce) Soó, 1962</v>
      </c>
      <c r="F24305" s="5" t="s">
        <v>31946</v>
      </c>
      <c r="G24305" s="4" t="str">
        <f>HYPERLINK("[#Réglementation!A"&amp;_xlfn.XMATCH("CCB",Réglementation!A:A,2,1),"CCB")</f>
        <v>CCB</v>
      </c>
      <c r="AH24305" s="4" t="str">
        <f>HYPERLINK("#Statut_biogéographique!A"&amp;_xlfn.XMATCH("P",Statut_biogéographique!A:A,2,1),"P")</f>
        <v>P</v>
      </c>
      <c r="AP24305" s="4" t="s">
        <v>376</v>
      </c>
      <c r="AR24305" s="4" t="s">
        <v>377</v>
      </c>
    </row>
    <row r="24306" spans="1:44" ht="30">
      <c r="A24306" s="4" t="s">
        <v>24364</v>
      </c>
      <c r="B24306" s="4">
        <v>94372</v>
      </c>
      <c r="D24306" s="5" t="s">
        <v>31947</v>
      </c>
      <c r="E24306" s="6" t="str">
        <f>HYPERLINK("https://inpn.mnhn.fr/espece/cd_nom/94372","Dactylorhiza x wintonii (Druce ex A.Camus) P.F.Hunt, 1971")</f>
        <v>Dactylorhiza x wintonii (Druce ex A.Camus) P.F.Hunt, 1971</v>
      </c>
      <c r="F24306" s="5" t="s">
        <v>31948</v>
      </c>
      <c r="G24306" s="4" t="str">
        <f>HYPERLINK("[#Réglementation!A"&amp;_xlfn.XMATCH("CCB",Réglementation!A:A,2,1),"CCB")</f>
        <v>CCB</v>
      </c>
      <c r="AH24306" s="4" t="str">
        <f>HYPERLINK("#Statut_biogéographique!A"&amp;_xlfn.XMATCH("P",Statut_biogéographique!A:A,2,1),"P")</f>
        <v>P</v>
      </c>
      <c r="AP24306" s="4" t="s">
        <v>376</v>
      </c>
      <c r="AR24306" s="4" t="s">
        <v>377</v>
      </c>
    </row>
    <row r="24307" spans="1:44" ht="30">
      <c r="A24307" s="4" t="s">
        <v>24364</v>
      </c>
      <c r="B24307" s="4">
        <v>94388</v>
      </c>
      <c r="D24307" s="5" t="s">
        <v>31949</v>
      </c>
      <c r="E24307" s="6" t="str">
        <f>HYPERLINK("https://inpn.mnhn.fr/espece/cd_nom/94388","Damasonium alisma Mill., 1768")</f>
        <v>Damasonium alisma Mill., 1768</v>
      </c>
      <c r="F24307" s="5" t="s">
        <v>31950</v>
      </c>
      <c r="L24307" s="4" t="str">
        <f>HYPERLINK("#Réglementation!A"&amp;_xlfn.XMATCH("NV1",Réglementation!A:A,2,1),"NV1")</f>
        <v>NV1</v>
      </c>
      <c r="O24307" s="7" t="str">
        <f>HYPERLINK("#Liste_rouge!A"&amp;_xlfn.XMATCH("VU",Liste_rouge!A:A,2,1),"VU")</f>
        <v>VU</v>
      </c>
      <c r="P24307" s="7" t="str">
        <f>HYPERLINK("#Liste_rouge!A"&amp;_xlfn.XMATCH("NT",Liste_rouge!A:A,2,1),"NT")</f>
        <v>NT</v>
      </c>
      <c r="Q24307" s="7" t="str">
        <f>HYPERLINK("#Liste_rouge!A"&amp;_xlfn.XMATCH("EN",Liste_rouge!A:A,2,1),"EN")</f>
        <v>EN</v>
      </c>
      <c r="T24307" s="7" t="str">
        <f>HYPERLINK("#Liste_rouge!A"&amp;_xlfn.XMATCH("CR",Liste_rouge!A:A,2,1),"CR")</f>
        <v>CR</v>
      </c>
      <c r="U24307" s="4" t="str">
        <f>HYPERLINK("#Critères_liste_rouge!A$1","B1 B2ab(i,ii,iv)")</f>
        <v>B1 B2ab(i,ii,iv)</v>
      </c>
      <c r="X24307" s="5" t="s">
        <v>374</v>
      </c>
      <c r="AB24307" s="4" t="s">
        <v>93</v>
      </c>
      <c r="AH24307" s="4" t="str">
        <f>HYPERLINK("#Statut_biogéographique!A"&amp;_xlfn.XMATCH("P",Statut_biogéographique!A:A,2,1),"P")</f>
        <v>P</v>
      </c>
      <c r="AM24307" s="4" t="s">
        <v>375</v>
      </c>
      <c r="AN24307" s="4" t="s">
        <v>375</v>
      </c>
      <c r="AO24307" s="4" t="s">
        <v>375</v>
      </c>
      <c r="AP24307" s="4" t="s">
        <v>389</v>
      </c>
      <c r="AR24307" s="4" t="s">
        <v>377</v>
      </c>
    </row>
    <row r="24308" spans="1:44" ht="45">
      <c r="A24308" s="4" t="s">
        <v>24364</v>
      </c>
      <c r="B24308" s="4">
        <v>94402</v>
      </c>
      <c r="D24308" s="5" t="s">
        <v>31951</v>
      </c>
      <c r="E24308" s="6" t="str">
        <f>HYPERLINK("https://inpn.mnhn.fr/espece/cd_nom/94402","Danthonia decumbens (L.) DC., 1805")</f>
        <v>Danthonia decumbens (L.) DC., 1805</v>
      </c>
      <c r="F24308" s="5" t="s">
        <v>28468</v>
      </c>
      <c r="Q24308" s="7" t="str">
        <f>HYPERLINK("#Liste_rouge!A"&amp;_xlfn.XMATCH("LC",Liste_rouge!A:A,2,1),"LC")</f>
        <v>LC</v>
      </c>
      <c r="T24308" s="7" t="str">
        <f>HYPERLINK("#Liste_rouge!A"&amp;_xlfn.XMATCH("LC",Liste_rouge!A:A,2,1),"LC")</f>
        <v>LC</v>
      </c>
      <c r="V24308" s="7" t="str">
        <f>HYPERLINK("#Liste_rouge!A"&amp;_xlfn.XMATCH("LC",Liste_rouge!A:A,2,1),"LC")</f>
        <v>LC</v>
      </c>
      <c r="AH24308" s="4" t="str">
        <f>HYPERLINK("#Statut_biogéographique!A"&amp;_xlfn.XMATCH("P",Statut_biogéographique!A:A,2,1),"P")</f>
        <v>P</v>
      </c>
      <c r="AM24308" s="4" t="s">
        <v>375</v>
      </c>
      <c r="AN24308" s="4" t="s">
        <v>375</v>
      </c>
      <c r="AO24308" s="4" t="s">
        <v>375</v>
      </c>
      <c r="AP24308" s="4" t="s">
        <v>376</v>
      </c>
      <c r="AR24308" s="4" t="s">
        <v>377</v>
      </c>
    </row>
    <row r="24309" spans="1:44">
      <c r="A24309" s="4" t="s">
        <v>24364</v>
      </c>
      <c r="B24309" s="4">
        <v>94411</v>
      </c>
      <c r="D24309" s="5" t="s">
        <v>31952</v>
      </c>
      <c r="E24309" s="6" t="str">
        <f>HYPERLINK("https://inpn.mnhn.fr/espece/cd_nom/94411","Daphne alpina L., 1753")</f>
        <v>Daphne alpina L., 1753</v>
      </c>
      <c r="F24309" s="5" t="s">
        <v>31953</v>
      </c>
      <c r="M24309" s="4" t="str">
        <f>HYPERLINK("#Réglementation!A"&amp;_xlfn.XMATCH("RV26",Réglementation!A:A,2,1),"RV26 - RV43")</f>
        <v>RV26 - RV43</v>
      </c>
      <c r="Q24309" s="7" t="str">
        <f>HYPERLINK("#Liste_rouge!A"&amp;_xlfn.XMATCH("LC",Liste_rouge!A:A,2,1),"LC")</f>
        <v>LC</v>
      </c>
      <c r="T24309" s="7" t="str">
        <f>HYPERLINK("#Liste_rouge!A"&amp;_xlfn.XMATCH("EN",Liste_rouge!A:A,2,1),"EN")</f>
        <v>EN</v>
      </c>
      <c r="U24309" s="4" t="str">
        <f>HYPERLINK("#Critères_liste_rouge!A$1","C2a(i)")</f>
        <v>C2a(i)</v>
      </c>
      <c r="V24309" s="7" t="str">
        <f>HYPERLINK("#Liste_rouge!A"&amp;_xlfn.XMATCH("LC",Liste_rouge!A:A,2,1),"LC")</f>
        <v>LC</v>
      </c>
      <c r="X24309" s="5" t="s">
        <v>374</v>
      </c>
      <c r="AB24309" s="4" t="s">
        <v>93</v>
      </c>
      <c r="AH24309" s="4" t="str">
        <f>HYPERLINK("#Statut_biogéographique!A"&amp;_xlfn.XMATCH("P",Statut_biogéographique!A:A,2,1),"P")</f>
        <v>P</v>
      </c>
      <c r="AM24309" s="4" t="s">
        <v>375</v>
      </c>
      <c r="AN24309" s="4" t="s">
        <v>375</v>
      </c>
      <c r="AO24309" s="4" t="s">
        <v>375</v>
      </c>
      <c r="AP24309" s="4" t="s">
        <v>376</v>
      </c>
      <c r="AR24309" s="4" t="s">
        <v>377</v>
      </c>
    </row>
    <row r="24310" spans="1:44" ht="45">
      <c r="A24310" s="4" t="s">
        <v>24364</v>
      </c>
      <c r="B24310" s="4">
        <v>94423</v>
      </c>
      <c r="D24310" s="5" t="s">
        <v>31954</v>
      </c>
      <c r="E24310" s="6" t="str">
        <f>HYPERLINK("https://inpn.mnhn.fr/espece/cd_nom/94423","Daphne cneorum L., 1753")</f>
        <v>Daphne cneorum L., 1753</v>
      </c>
      <c r="F24310" s="5" t="s">
        <v>31955</v>
      </c>
      <c r="M24310" s="4" t="str">
        <f>HYPERLINK("#Réglementation!A"&amp;_xlfn.XMATCH("RV26",Réglementation!A:A,2,1),"RV26 - RV43")</f>
        <v>RV26 - RV43</v>
      </c>
      <c r="Q24310" s="7" t="str">
        <f>HYPERLINK("#Liste_rouge!A"&amp;_xlfn.XMATCH("LC",Liste_rouge!A:A,2,1),"LC")</f>
        <v>LC</v>
      </c>
      <c r="T24310" s="7" t="str">
        <f>HYPERLINK("#Liste_rouge!A"&amp;_xlfn.XMATCH("NT",Liste_rouge!A:A,2,1),"NT")</f>
        <v>NT</v>
      </c>
      <c r="U24310" s="4" t="str">
        <f>HYPERLINK("#Critères_liste_rouge!A$1","pr. D2")</f>
        <v>pr. D2</v>
      </c>
      <c r="V24310" s="7" t="str">
        <f>HYPERLINK("#Liste_rouge!A"&amp;_xlfn.XMATCH("VU",Liste_rouge!A:A,2,1),"VU")</f>
        <v>VU</v>
      </c>
      <c r="W24310" s="4" t="str">
        <f>HYPERLINK("#Critères_liste_rouge!A$1","D1")</f>
        <v>D1</v>
      </c>
      <c r="X24310" s="5" t="s">
        <v>374</v>
      </c>
      <c r="AB24310" s="4" t="s">
        <v>93</v>
      </c>
      <c r="AD24310" s="4" t="s">
        <v>11319</v>
      </c>
      <c r="AH24310" s="4" t="str">
        <f>HYPERLINK("#Statut_biogéographique!A"&amp;_xlfn.XMATCH("P",Statut_biogéographique!A:A,2,1),"P")</f>
        <v>P</v>
      </c>
      <c r="AM24310" s="4" t="s">
        <v>375</v>
      </c>
      <c r="AN24310" s="4" t="s">
        <v>375</v>
      </c>
      <c r="AO24310" s="4" t="s">
        <v>375</v>
      </c>
      <c r="AP24310" s="4" t="s">
        <v>376</v>
      </c>
      <c r="AR24310" s="4" t="s">
        <v>377</v>
      </c>
    </row>
    <row r="24311" spans="1:44" ht="30">
      <c r="A24311" s="4" t="s">
        <v>24364</v>
      </c>
      <c r="B24311" s="4">
        <v>94432</v>
      </c>
      <c r="D24311" s="5" t="s">
        <v>31956</v>
      </c>
      <c r="E24311" s="6" t="str">
        <f>HYPERLINK("https://inpn.mnhn.fr/espece/cd_nom/94432","Daphne laureola L., 1753")</f>
        <v>Daphne laureola L., 1753</v>
      </c>
      <c r="F24311" s="5" t="s">
        <v>31957</v>
      </c>
      <c r="P24311" s="7" t="str">
        <f>HYPERLINK("#Liste_rouge!A"&amp;_xlfn.XMATCH("LC",Liste_rouge!A:A,2,1),"LC")</f>
        <v>LC</v>
      </c>
      <c r="Q24311" s="7" t="str">
        <f>HYPERLINK("#Liste_rouge!A"&amp;_xlfn.XMATCH("LC",Liste_rouge!A:A,2,1),"LC")</f>
        <v>LC</v>
      </c>
      <c r="T24311" s="7" t="str">
        <f>HYPERLINK("#Liste_rouge!A"&amp;_xlfn.XMATCH("LC",Liste_rouge!A:A,2,1),"LC")</f>
        <v>LC</v>
      </c>
      <c r="V24311" s="7" t="str">
        <f>HYPERLINK("#Liste_rouge!A"&amp;_xlfn.XMATCH("LC",Liste_rouge!A:A,2,1),"LC")</f>
        <v>LC</v>
      </c>
      <c r="AH24311" s="4" t="str">
        <f>HYPERLINK("#Statut_biogéographique!A"&amp;_xlfn.XMATCH("P",Statut_biogéographique!A:A,2,1),"P")</f>
        <v>P</v>
      </c>
      <c r="AM24311" s="4" t="s">
        <v>375</v>
      </c>
      <c r="AN24311" s="4" t="s">
        <v>375</v>
      </c>
      <c r="AO24311" s="4" t="s">
        <v>375</v>
      </c>
      <c r="AP24311" s="4" t="s">
        <v>376</v>
      </c>
      <c r="AR24311" s="4" t="s">
        <v>377</v>
      </c>
    </row>
    <row r="24312" spans="1:44" ht="30">
      <c r="A24312" s="4" t="s">
        <v>24364</v>
      </c>
      <c r="B24312" s="4">
        <v>94435</v>
      </c>
      <c r="D24312" s="5" t="s">
        <v>31958</v>
      </c>
      <c r="E24312" s="6" t="str">
        <f>HYPERLINK("https://inpn.mnhn.fr/espece/cd_nom/94435","Daphne mezereum L., 1753")</f>
        <v>Daphne mezereum L., 1753</v>
      </c>
      <c r="F24312" s="5" t="s">
        <v>31959</v>
      </c>
      <c r="N24312" s="4" t="str">
        <f>HYPERLINK("#Réglementation!A"&amp;_xlfn.XMATCH("V25P2",Réglementation!A:A,2,1),"V25P2 - V70P2")</f>
        <v>V25P2 - V70P2</v>
      </c>
      <c r="P24312" s="7" t="str">
        <f>HYPERLINK("#Liste_rouge!A"&amp;_xlfn.XMATCH("LC",Liste_rouge!A:A,2,1),"LC")</f>
        <v>LC</v>
      </c>
      <c r="Q24312" s="7" t="str">
        <f>HYPERLINK("#Liste_rouge!A"&amp;_xlfn.XMATCH("LC",Liste_rouge!A:A,2,1),"LC")</f>
        <v>LC</v>
      </c>
      <c r="T24312" s="7" t="str">
        <f>HYPERLINK("#Liste_rouge!A"&amp;_xlfn.XMATCH("LC",Liste_rouge!A:A,2,1),"LC")</f>
        <v>LC</v>
      </c>
      <c r="V24312" s="7" t="str">
        <f>HYPERLINK("#Liste_rouge!A"&amp;_xlfn.XMATCH("LC",Liste_rouge!A:A,2,1),"LC")</f>
        <v>LC</v>
      </c>
      <c r="AB24312" s="4" t="s">
        <v>25854</v>
      </c>
      <c r="AH24312" s="4" t="str">
        <f>HYPERLINK("#Statut_biogéographique!A"&amp;_xlfn.XMATCH("P",Statut_biogéographique!A:A,2,1),"P")</f>
        <v>P</v>
      </c>
      <c r="AK24312" s="4" t="str">
        <f>HYPERLINK("#Réglementation!A"&amp;_xlfn.XMATCH("V39P2",Réglementation!A:A,2,1),"V39P2 - V39P6 - V25P2 - V70P2")</f>
        <v>V39P2 - V39P6 - V25P2 - V70P2</v>
      </c>
      <c r="AM24312" s="4" t="s">
        <v>375</v>
      </c>
      <c r="AN24312" s="4" t="s">
        <v>375</v>
      </c>
      <c r="AO24312" s="4" t="s">
        <v>375</v>
      </c>
      <c r="AP24312" s="4" t="s">
        <v>376</v>
      </c>
      <c r="AR24312" s="4" t="s">
        <v>377</v>
      </c>
    </row>
    <row r="24313" spans="1:44" ht="60">
      <c r="A24313" s="4" t="s">
        <v>24364</v>
      </c>
      <c r="B24313" s="4">
        <v>94464</v>
      </c>
      <c r="D24313" s="5" t="s">
        <v>31960</v>
      </c>
      <c r="E24313" s="6" t="str">
        <f>HYPERLINK("https://inpn.mnhn.fr/espece/cd_nom/94464","Dasiphora fruticosa (L.) Rydb., 1898")</f>
        <v>Dasiphora fruticosa (L.) Rydb., 1898</v>
      </c>
      <c r="F24313" s="5" t="s">
        <v>31961</v>
      </c>
      <c r="L24313" s="4" t="str">
        <f>HYPERLINK("#Réglementation!A"&amp;_xlfn.XMATCH("NV1",Réglementation!A:A,2,1),"NV1")</f>
        <v>NV1</v>
      </c>
      <c r="Q24313" s="7" t="str">
        <f>HYPERLINK("#Liste_rouge!A"&amp;_xlfn.XMATCH("NT",Liste_rouge!A:A,2,1),"NT")</f>
        <v>NT</v>
      </c>
      <c r="AH24313" s="4" t="str">
        <f>HYPERLINK("#Statut_biogéographique!A"&amp;_xlfn.XMATCH("P",Statut_biogéographique!A:A,2,1),"P")</f>
        <v>P</v>
      </c>
      <c r="AP24313" s="4" t="s">
        <v>376</v>
      </c>
      <c r="AR24313" s="4" t="s">
        <v>377</v>
      </c>
    </row>
    <row r="24314" spans="1:44" ht="75">
      <c r="A24314" s="4" t="s">
        <v>24364</v>
      </c>
      <c r="B24314" s="4">
        <v>94489</v>
      </c>
      <c r="D24314" s="5" t="s">
        <v>31962</v>
      </c>
      <c r="E24314" s="6" t="str">
        <f>HYPERLINK("https://inpn.mnhn.fr/espece/cd_nom/94489","Datura stramonium L., 1753")</f>
        <v>Datura stramonium L., 1753</v>
      </c>
      <c r="F24314" s="5" t="s">
        <v>31963</v>
      </c>
      <c r="Q24314" s="7" t="str">
        <f>HYPERLINK("#Liste_rouge!A"&amp;_xlfn.XMATCH("NA",Liste_rouge!A:A,2,1),"NA")</f>
        <v>NA</v>
      </c>
      <c r="T24314" s="7" t="str">
        <f>HYPERLINK("#Liste_rouge!A"&amp;_xlfn.XMATCH("DD",Liste_rouge!A:A,2,1),"DD (cd_nom 619244) - LC (cd_nom 94489)")</f>
        <v>DD (cd_nom 619244) - LC (cd_nom 94489)</v>
      </c>
      <c r="AH24314" s="4" t="str">
        <f>HYPERLINK("#Statut_biogéographique!A"&amp;_xlfn.XMATCH("I",Statut_biogéographique!A:A,2,1),"I")</f>
        <v>I</v>
      </c>
      <c r="AM24314" s="4" t="s">
        <v>375</v>
      </c>
      <c r="AN24314" s="4" t="s">
        <v>375</v>
      </c>
      <c r="AO24314" s="4" t="s">
        <v>375</v>
      </c>
      <c r="AP24314" s="4" t="s">
        <v>376</v>
      </c>
      <c r="AR24314" s="4" t="s">
        <v>377</v>
      </c>
    </row>
    <row r="24315" spans="1:44" ht="75">
      <c r="A24315" s="4" t="s">
        <v>24364</v>
      </c>
      <c r="B24315" s="4">
        <v>94503</v>
      </c>
      <c r="D24315" s="5" t="s">
        <v>31964</v>
      </c>
      <c r="E24315" s="6" t="str">
        <f>HYPERLINK("https://inpn.mnhn.fr/espece/cd_nom/94503","Daucus carota L., 1753")</f>
        <v>Daucus carota L., 1753</v>
      </c>
      <c r="F24315" s="5" t="s">
        <v>28469</v>
      </c>
      <c r="O24315" s="7" t="str">
        <f>HYPERLINK("#Liste_rouge!A"&amp;_xlfn.XMATCH("LC",Liste_rouge!A:A,2,1),"LC")</f>
        <v>LC</v>
      </c>
      <c r="P24315" s="7" t="str">
        <f>HYPERLINK("#Liste_rouge!A"&amp;_xlfn.XMATCH("LC",Liste_rouge!A:A,2,1),"LC")</f>
        <v>LC</v>
      </c>
      <c r="Q24315" s="7" t="str">
        <f>HYPERLINK("#Liste_rouge!A"&amp;_xlfn.XMATCH("LC",Liste_rouge!A:A,2,1),"LC")</f>
        <v>LC</v>
      </c>
      <c r="T24315" s="7" t="str">
        <f>HYPERLINK("#Liste_rouge!A"&amp;_xlfn.XMATCH("LC",Liste_rouge!A:A,2,1),"LC")</f>
        <v>LC</v>
      </c>
      <c r="V24315" s="7" t="str">
        <f>HYPERLINK("#Liste_rouge!A"&amp;_xlfn.XMATCH("LC",Liste_rouge!A:A,2,1),"LC")</f>
        <v>LC</v>
      </c>
      <c r="AH24315" s="4" t="str">
        <f>HYPERLINK("#Statut_biogéographique!A"&amp;_xlfn.XMATCH("P",Statut_biogéographique!A:A,2,1),"P")</f>
        <v>P</v>
      </c>
      <c r="AM24315" s="4" t="s">
        <v>375</v>
      </c>
      <c r="AN24315" s="4" t="s">
        <v>375</v>
      </c>
      <c r="AO24315" s="4" t="s">
        <v>375</v>
      </c>
      <c r="AP24315" s="4" t="s">
        <v>376</v>
      </c>
      <c r="AR24315" s="4" t="s">
        <v>377</v>
      </c>
    </row>
    <row r="24316" spans="1:44" ht="30">
      <c r="A24316" s="4" t="s">
        <v>24364</v>
      </c>
      <c r="B24316" s="4">
        <v>945562</v>
      </c>
      <c r="D24316" s="5">
        <v>945562</v>
      </c>
      <c r="E24316" s="6" t="str">
        <f>HYPERLINK("https://inpn.mnhn.fr/espece/cd_nom/945562","Gladiolus x sulistrovicus Kamiński, Szczep. &amp; Cieślak, 2016")</f>
        <v>Gladiolus x sulistrovicus Kamiński, Szczep. &amp; Cieślak, 2016</v>
      </c>
      <c r="AH24316" s="4" t="str">
        <f>HYPERLINK("#Statut_biogéographique!A"&amp;_xlfn.XMATCH("P",Statut_biogéographique!A:A,2,1),"P")</f>
        <v>P</v>
      </c>
      <c r="AP24316" s="4" t="s">
        <v>376</v>
      </c>
      <c r="AR24316" s="4" t="s">
        <v>377</v>
      </c>
    </row>
    <row r="24317" spans="1:44" ht="30">
      <c r="A24317" s="4" t="s">
        <v>24364</v>
      </c>
      <c r="B24317" s="4">
        <v>94567</v>
      </c>
      <c r="D24317" s="5" t="s">
        <v>31965</v>
      </c>
      <c r="E24317" s="6" t="str">
        <f>HYPERLINK("https://inpn.mnhn.fr/espece/cd_nom/94567","Delphinium ajacis L., 1753")</f>
        <v>Delphinium ajacis L., 1753</v>
      </c>
      <c r="F24317" s="5" t="s">
        <v>31966</v>
      </c>
      <c r="Q24317" s="7" t="str">
        <f>HYPERLINK("#Liste_rouge!A"&amp;_xlfn.XMATCH("EN",Liste_rouge!A:A,2,1),"EN")</f>
        <v>EN</v>
      </c>
      <c r="T24317" s="7" t="str">
        <f>HYPERLINK("#Liste_rouge!A"&amp;_xlfn.XMATCH("NA",Liste_rouge!A:A,2,1),"NA")</f>
        <v>NA</v>
      </c>
      <c r="AH24317" s="4" t="str">
        <f>HYPERLINK("#Statut_biogéographique!A"&amp;_xlfn.XMATCH("P",Statut_biogéographique!A:A,2,1),"P")</f>
        <v>P</v>
      </c>
      <c r="AI24317" s="8" t="s">
        <v>31967</v>
      </c>
      <c r="AJ24317" s="4" t="s">
        <v>12248</v>
      </c>
      <c r="AP24317" s="4" t="s">
        <v>389</v>
      </c>
      <c r="AR24317" s="4" t="s">
        <v>377</v>
      </c>
    </row>
    <row r="24318" spans="1:44" ht="30">
      <c r="A24318" s="4" t="s">
        <v>24364</v>
      </c>
      <c r="B24318" s="4">
        <v>94572</v>
      </c>
      <c r="D24318" s="5" t="s">
        <v>31968</v>
      </c>
      <c r="E24318" s="6" t="str">
        <f>HYPERLINK("https://inpn.mnhn.fr/espece/cd_nom/94572","Delphinium consolida L., 1753")</f>
        <v>Delphinium consolida L., 1753</v>
      </c>
      <c r="F24318" s="5" t="s">
        <v>30102</v>
      </c>
      <c r="Q24318" s="7" t="str">
        <f>HYPERLINK("#Liste_rouge!A"&amp;_xlfn.XMATCH("LC",Liste_rouge!A:A,2,1),"LC")</f>
        <v>LC</v>
      </c>
      <c r="T24318" s="7" t="str">
        <f>HYPERLINK("#Liste_rouge!A"&amp;_xlfn.XMATCH("NT",Liste_rouge!A:A,2,1),"NT")</f>
        <v>NT</v>
      </c>
      <c r="U24318" s="4" t="str">
        <f>HYPERLINK("#Critères_liste_rouge!A$1","pr. B3c(i,ii,iii)")</f>
        <v>pr. B3c(i,ii,iii)</v>
      </c>
      <c r="V24318" s="7" t="str">
        <f>HYPERLINK("#Liste_rouge!A"&amp;_xlfn.XMATCH("EN",Liste_rouge!A:A,2,1),"EN")</f>
        <v>EN</v>
      </c>
      <c r="W24318" s="4" t="str">
        <f>HYPERLINK("#Critères_liste_rouge!A$1","B2ac(iii)")</f>
        <v>B2ac(iii)</v>
      </c>
      <c r="AB24318" s="4" t="s">
        <v>24410</v>
      </c>
      <c r="AH24318" s="4" t="str">
        <f>HYPERLINK("#Statut_biogéographique!A"&amp;_xlfn.XMATCH("P",Statut_biogéographique!A:A,2,1),"P")</f>
        <v>P</v>
      </c>
      <c r="AI24318" s="8" t="s">
        <v>31969</v>
      </c>
      <c r="AJ24318" s="4" t="s">
        <v>12248</v>
      </c>
      <c r="AM24318" s="4" t="s">
        <v>375</v>
      </c>
      <c r="AN24318" s="4" t="s">
        <v>375</v>
      </c>
      <c r="AO24318" s="4" t="s">
        <v>375</v>
      </c>
      <c r="AP24318" s="4" t="s">
        <v>376</v>
      </c>
      <c r="AR24318" s="4" t="s">
        <v>377</v>
      </c>
    </row>
    <row r="24319" spans="1:44" ht="45">
      <c r="A24319" s="4" t="s">
        <v>24364</v>
      </c>
      <c r="B24319" s="4">
        <v>945856</v>
      </c>
      <c r="D24319" s="5" t="s">
        <v>31970</v>
      </c>
      <c r="E24319" s="6" t="str">
        <f>HYPERLINK("https://inpn.mnhn.fr/espece/cd_nom/945856","Inula conyzae (Greiss.) DC., 1836")</f>
        <v>Inula conyzae (Greiss.) DC., 1836</v>
      </c>
      <c r="F24319" s="5" t="s">
        <v>31971</v>
      </c>
      <c r="Q24319" s="7" t="str">
        <f>HYPERLINK("#Liste_rouge!A"&amp;_xlfn.XMATCH("LC",Liste_rouge!A:A,2,1),"LC")</f>
        <v>LC</v>
      </c>
      <c r="T24319" s="7" t="str">
        <f>HYPERLINK("#Liste_rouge!A"&amp;_xlfn.XMATCH("LC",Liste_rouge!A:A,2,1),"LC")</f>
        <v>LC</v>
      </c>
      <c r="V24319" s="7" t="str">
        <f>HYPERLINK("#Liste_rouge!A"&amp;_xlfn.XMATCH("LC",Liste_rouge!A:A,2,1),"LC")</f>
        <v>LC</v>
      </c>
      <c r="AH24319" s="4" t="str">
        <f>HYPERLINK("#Statut_biogéographique!A"&amp;_xlfn.XMATCH("P",Statut_biogéographique!A:A,2,1),"P")</f>
        <v>P</v>
      </c>
      <c r="AM24319" s="4" t="s">
        <v>375</v>
      </c>
      <c r="AN24319" s="4" t="s">
        <v>375</v>
      </c>
      <c r="AO24319" s="4" t="s">
        <v>375</v>
      </c>
      <c r="AP24319" s="4" t="s">
        <v>376</v>
      </c>
      <c r="AR24319" s="4" t="s">
        <v>377</v>
      </c>
    </row>
    <row r="24320" spans="1:44" ht="240">
      <c r="A24320" s="4" t="s">
        <v>24364</v>
      </c>
      <c r="B24320" s="4">
        <v>94626</v>
      </c>
      <c r="D24320" s="5" t="s">
        <v>31972</v>
      </c>
      <c r="E24320" s="6" t="str">
        <f>HYPERLINK("https://inpn.mnhn.fr/espece/cd_nom/94626","Deschampsia cespitosa (L.) P.Beauv., 1812")</f>
        <v>Deschampsia cespitosa (L.) P.Beauv., 1812</v>
      </c>
      <c r="F24320" s="5" t="s">
        <v>28471</v>
      </c>
      <c r="Q24320" s="7" t="str">
        <f>HYPERLINK("#Liste_rouge!A"&amp;_xlfn.XMATCH("LC",Liste_rouge!A:A,2,1),"LC")</f>
        <v>LC</v>
      </c>
      <c r="T24320" s="7" t="str">
        <f>HYPERLINK("#Liste_rouge!A"&amp;_xlfn.XMATCH("LC",Liste_rouge!A:A,2,1),"LC")</f>
        <v>LC</v>
      </c>
      <c r="V24320" s="7" t="str">
        <f>HYPERLINK("#Liste_rouge!A"&amp;_xlfn.XMATCH("LC",Liste_rouge!A:A,2,1),"LC")</f>
        <v>LC</v>
      </c>
      <c r="AH24320" s="4" t="str">
        <f>HYPERLINK("#Statut_biogéographique!A"&amp;_xlfn.XMATCH("P",Statut_biogéographique!A:A,2,1),"P")</f>
        <v>P</v>
      </c>
      <c r="AM24320" s="4" t="s">
        <v>375</v>
      </c>
      <c r="AN24320" s="4" t="s">
        <v>375</v>
      </c>
      <c r="AO24320" s="4" t="s">
        <v>375</v>
      </c>
      <c r="AP24320" s="4" t="s">
        <v>376</v>
      </c>
      <c r="AR24320" s="4" t="s">
        <v>377</v>
      </c>
    </row>
    <row r="24321" spans="1:44" ht="60">
      <c r="A24321" s="4" t="s">
        <v>24364</v>
      </c>
      <c r="B24321" s="4">
        <v>94633</v>
      </c>
      <c r="D24321" s="5" t="s">
        <v>31973</v>
      </c>
      <c r="E24321" s="6" t="str">
        <f>HYPERLINK("https://inpn.mnhn.fr/espece/cd_nom/94633","Deschampsia media (Gouan) Roem. &amp; Schult., 1817")</f>
        <v>Deschampsia media (Gouan) Roem. &amp; Schult., 1817</v>
      </c>
      <c r="F24321" s="5" t="s">
        <v>31974</v>
      </c>
      <c r="Q24321" s="7" t="str">
        <f>HYPERLINK("#Liste_rouge!A"&amp;_xlfn.XMATCH("LC",Liste_rouge!A:A,2,1),"LC")</f>
        <v>LC</v>
      </c>
      <c r="T24321" s="7" t="str">
        <f>HYPERLINK("#Liste_rouge!A"&amp;_xlfn.XMATCH("EN",Liste_rouge!A:A,2,1),"EN")</f>
        <v>EN</v>
      </c>
      <c r="U24321" s="4" t="str">
        <f>HYPERLINK("#Critères_liste_rouge!A$1","C2a(i)")</f>
        <v>C2a(i)</v>
      </c>
      <c r="X24321" s="5" t="s">
        <v>374</v>
      </c>
      <c r="AB24321" s="4" t="s">
        <v>93</v>
      </c>
      <c r="AH24321" s="4" t="str">
        <f>HYPERLINK("#Statut_biogéographique!A"&amp;_xlfn.XMATCH("P",Statut_biogéographique!A:A,2,1),"P")</f>
        <v>P</v>
      </c>
      <c r="AM24321" s="4" t="s">
        <v>375</v>
      </c>
      <c r="AN24321" s="4" t="s">
        <v>375</v>
      </c>
      <c r="AO24321" s="4" t="s">
        <v>375</v>
      </c>
      <c r="AP24321" s="4" t="s">
        <v>376</v>
      </c>
      <c r="AR24321" s="4" t="s">
        <v>377</v>
      </c>
    </row>
    <row r="24322" spans="1:44" ht="60">
      <c r="A24322" s="4" t="s">
        <v>24364</v>
      </c>
      <c r="B24322" s="4">
        <v>94645</v>
      </c>
      <c r="D24322" s="5" t="s">
        <v>31975</v>
      </c>
      <c r="E24322" s="6" t="str">
        <f>HYPERLINK("https://inpn.mnhn.fr/espece/cd_nom/94645","Descurainia sophia (L.) Webb ex Prantl, 1891")</f>
        <v>Descurainia sophia (L.) Webb ex Prantl, 1891</v>
      </c>
      <c r="F24322" s="5" t="s">
        <v>31976</v>
      </c>
      <c r="M24322" s="4" t="str">
        <f>HYPERLINK("#Réglementation!A"&amp;_xlfn.XMATCH("RV43",Réglementation!A:A,2,1),"RV43")</f>
        <v>RV43</v>
      </c>
      <c r="Q24322" s="7" t="str">
        <f>HYPERLINK("#Liste_rouge!A"&amp;_xlfn.XMATCH("LC",Liste_rouge!A:A,2,1),"LC")</f>
        <v>LC</v>
      </c>
      <c r="T24322" s="7" t="str">
        <f>HYPERLINK("#Liste_rouge!A"&amp;_xlfn.XMATCH("CR",Liste_rouge!A:A,2,1),"CR")</f>
        <v>CR</v>
      </c>
      <c r="U24322" s="4" t="str">
        <f>HYPERLINK("#Critères_liste_rouge!A$1","D1")</f>
        <v>D1</v>
      </c>
      <c r="V24322" s="7" t="str">
        <f>HYPERLINK("#Liste_rouge!A"&amp;_xlfn.XMATCH("VU",Liste_rouge!A:A,2,1),"VU")</f>
        <v>VU</v>
      </c>
      <c r="W24322" s="4" t="str">
        <f>HYPERLINK("#Critères_liste_rouge!A$1","D2")</f>
        <v>D2</v>
      </c>
      <c r="X24322" s="5" t="s">
        <v>374</v>
      </c>
      <c r="AB24322" s="4" t="s">
        <v>93</v>
      </c>
      <c r="AH24322" s="4" t="str">
        <f>HYPERLINK("#Statut_biogéographique!A"&amp;_xlfn.XMATCH("P",Statut_biogéographique!A:A,2,1),"P")</f>
        <v>P</v>
      </c>
      <c r="AM24322" s="4" t="s">
        <v>375</v>
      </c>
      <c r="AN24322" s="4" t="s">
        <v>375</v>
      </c>
      <c r="AO24322" s="4" t="s">
        <v>375</v>
      </c>
      <c r="AP24322" s="4" t="s">
        <v>376</v>
      </c>
      <c r="AR24322" s="4" t="s">
        <v>377</v>
      </c>
    </row>
    <row r="24323" spans="1:44" ht="45">
      <c r="A24323" s="4" t="s">
        <v>24364</v>
      </c>
      <c r="B24323" s="4">
        <v>94693</v>
      </c>
      <c r="D24323" s="5" t="s">
        <v>31977</v>
      </c>
      <c r="E24323" s="6" t="str">
        <f>HYPERLINK("https://inpn.mnhn.fr/espece/cd_nom/94693","Dianthus armeria L., 1753")</f>
        <v>Dianthus armeria L., 1753</v>
      </c>
      <c r="F24323" s="5" t="s">
        <v>31978</v>
      </c>
      <c r="N24323" s="4" t="str">
        <f>HYPERLINK("#Réglementation!A"&amp;_xlfn.XMATCH("V39P1",Réglementation!A:A,2,1),"V39P1 - V25P2 - V70P2")</f>
        <v>V39P1 - V25P2 - V70P2</v>
      </c>
      <c r="Q24323" s="7" t="str">
        <f>HYPERLINK("#Liste_rouge!A"&amp;_xlfn.XMATCH("LC",Liste_rouge!A:A,2,1),"LC")</f>
        <v>LC</v>
      </c>
      <c r="T24323" s="7" t="str">
        <f>HYPERLINK("#Liste_rouge!A"&amp;_xlfn.XMATCH("LC",Liste_rouge!A:A,2,1),"LC")</f>
        <v>LC</v>
      </c>
      <c r="V24323" s="7" t="str">
        <f>HYPERLINK("#Liste_rouge!A"&amp;_xlfn.XMATCH("LC",Liste_rouge!A:A,2,1),"LC")</f>
        <v>LC</v>
      </c>
      <c r="AH24323" s="4" t="str">
        <f>HYPERLINK("#Statut_biogéographique!A"&amp;_xlfn.XMATCH("P",Statut_biogéographique!A:A,2,1),"P")</f>
        <v>P</v>
      </c>
      <c r="AK24323" s="4" t="str">
        <f>HYPERLINK("#Réglementation!A"&amp;_xlfn.XMATCH("V39P6",Réglementation!A:A,2,1),"V39P6 - V25P2 - V70P2")</f>
        <v>V39P6 - V25P2 - V70P2</v>
      </c>
      <c r="AM24323" s="4" t="s">
        <v>375</v>
      </c>
      <c r="AN24323" s="4" t="s">
        <v>375</v>
      </c>
      <c r="AO24323" s="4" t="s">
        <v>375</v>
      </c>
      <c r="AP24323" s="4" t="s">
        <v>376</v>
      </c>
      <c r="AR24323" s="4" t="s">
        <v>377</v>
      </c>
    </row>
    <row r="24324" spans="1:44" ht="30">
      <c r="A24324" s="4" t="s">
        <v>24364</v>
      </c>
      <c r="B24324" s="4">
        <v>94698</v>
      </c>
      <c r="D24324" s="5" t="s">
        <v>31979</v>
      </c>
      <c r="E24324" s="6" t="str">
        <f>HYPERLINK("https://inpn.mnhn.fr/espece/cd_nom/94698","Dianthus barbatus L., 1753")</f>
        <v>Dianthus barbatus L., 1753</v>
      </c>
      <c r="F24324" s="5" t="s">
        <v>31980</v>
      </c>
      <c r="N24324" s="4" t="str">
        <f>HYPERLINK("#Réglementation!A"&amp;_xlfn.XMATCH("V39P1",Réglementation!A:A,2,1),"V39P1 - V25P2 - V70P2")</f>
        <v>V39P1 - V25P2 - V70P2</v>
      </c>
      <c r="Q24324" s="7" t="str">
        <f>HYPERLINK("#Liste_rouge!A"&amp;_xlfn.XMATCH("LC",Liste_rouge!A:A,2,1),"LC")</f>
        <v>LC</v>
      </c>
      <c r="AH24324" s="4" t="str">
        <f>HYPERLINK("#Statut_biogéographique!A"&amp;_xlfn.XMATCH("P",Statut_biogéographique!A:A,2,1),"P")</f>
        <v>P</v>
      </c>
      <c r="AK24324" s="4" t="str">
        <f>HYPERLINK("#Réglementation!A"&amp;_xlfn.XMATCH("V39P6",Réglementation!A:A,2,1),"V39P6 - V25P2 - V70P2")</f>
        <v>V39P6 - V25P2 - V70P2</v>
      </c>
      <c r="AP24324" s="4" t="s">
        <v>376</v>
      </c>
      <c r="AR24324" s="4" t="s">
        <v>377</v>
      </c>
    </row>
    <row r="24325" spans="1:44" ht="60">
      <c r="A24325" s="4" t="s">
        <v>24364</v>
      </c>
      <c r="B24325" s="4">
        <v>94716</v>
      </c>
      <c r="D24325" s="5" t="s">
        <v>31981</v>
      </c>
      <c r="E24325" s="6" t="str">
        <f>HYPERLINK("https://inpn.mnhn.fr/espece/cd_nom/94716","Dianthus carthusianorum L., 1753")</f>
        <v>Dianthus carthusianorum L., 1753</v>
      </c>
      <c r="F24325" s="5" t="s">
        <v>28475</v>
      </c>
      <c r="N24325" s="4" t="str">
        <f>HYPERLINK("#Réglementation!A"&amp;_xlfn.XMATCH("V39P1",Réglementation!A:A,2,1),"V39P1 - V25P2 - V70P2")</f>
        <v>V39P1 - V25P2 - V70P2</v>
      </c>
      <c r="Q24325" s="7" t="str">
        <f>HYPERLINK("#Liste_rouge!A"&amp;_xlfn.XMATCH("LC",Liste_rouge!A:A,2,1),"LC")</f>
        <v>LC</v>
      </c>
      <c r="T24325" s="7" t="str">
        <f>HYPERLINK("#Liste_rouge!A"&amp;_xlfn.XMATCH("LC",Liste_rouge!A:A,2,1),"LC")</f>
        <v>LC</v>
      </c>
      <c r="V24325" s="7" t="str">
        <f>HYPERLINK("#Liste_rouge!A"&amp;_xlfn.XMATCH("LC",Liste_rouge!A:A,2,1),"LC")</f>
        <v>LC</v>
      </c>
      <c r="AH24325" s="4" t="str">
        <f>HYPERLINK("#Statut_biogéographique!A"&amp;_xlfn.XMATCH("P",Statut_biogéographique!A:A,2,1),"P")</f>
        <v>P</v>
      </c>
      <c r="AK24325" s="4" t="str">
        <f>HYPERLINK("#Réglementation!A"&amp;_xlfn.XMATCH("V39P6",Réglementation!A:A,2,1),"V39P6 - V25P2 - V70P2")</f>
        <v>V39P6 - V25P2 - V70P2</v>
      </c>
      <c r="AM24325" s="4" t="s">
        <v>375</v>
      </c>
      <c r="AN24325" s="4" t="s">
        <v>375</v>
      </c>
      <c r="AO24325" s="4" t="s">
        <v>375</v>
      </c>
      <c r="AP24325" s="4" t="s">
        <v>376</v>
      </c>
      <c r="AR24325" s="4" t="s">
        <v>377</v>
      </c>
    </row>
    <row r="24326" spans="1:44" ht="30">
      <c r="A24326" s="4" t="s">
        <v>24364</v>
      </c>
      <c r="B24326" s="4">
        <v>94717</v>
      </c>
      <c r="D24326" s="5" t="s">
        <v>31982</v>
      </c>
      <c r="E24326" s="6" t="str">
        <f>HYPERLINK("https://inpn.mnhn.fr/espece/cd_nom/94717","Dianthus caryophyllus L., 1753")</f>
        <v>Dianthus caryophyllus L., 1753</v>
      </c>
      <c r="F24326" s="5" t="s">
        <v>31983</v>
      </c>
      <c r="N24326" s="4" t="str">
        <f>HYPERLINK("#Réglementation!A"&amp;_xlfn.XMATCH("V25P2",Réglementation!A:A,2,1),"V25P2 - V70P2")</f>
        <v>V25P2 - V70P2</v>
      </c>
      <c r="Q24326" s="7" t="str">
        <f>HYPERLINK("#Liste_rouge!A"&amp;_xlfn.XMATCH("NA",Liste_rouge!A:A,2,1),"NA")</f>
        <v>NA</v>
      </c>
      <c r="T24326" s="7" t="str">
        <f>HYPERLINK("#Liste_rouge!A"&amp;_xlfn.XMATCH("LC",Liste_rouge!A:A,2,1),"LC")</f>
        <v>LC</v>
      </c>
      <c r="AH24326" s="4" t="str">
        <f>HYPERLINK("#Statut_biogéographique!A"&amp;_xlfn.XMATCH("I",Statut_biogéographique!A:A,2,1),"I")</f>
        <v>I</v>
      </c>
      <c r="AK24326" s="4" t="str">
        <f>HYPERLINK("#Réglementation!A"&amp;_xlfn.XMATCH("V39P6",Réglementation!A:A,2,1),"V39P6 - V25P2 - V70P2")</f>
        <v>V39P6 - V25P2 - V70P2</v>
      </c>
      <c r="AP24326" s="4" t="s">
        <v>376</v>
      </c>
      <c r="AR24326" s="4" t="s">
        <v>377</v>
      </c>
    </row>
    <row r="24327" spans="1:44">
      <c r="A24327" s="4" t="s">
        <v>24364</v>
      </c>
      <c r="B24327" s="4">
        <v>94728</v>
      </c>
      <c r="D24327" s="5" t="s">
        <v>31984</v>
      </c>
      <c r="E24327" s="6" t="str">
        <f>HYPERLINK("https://inpn.mnhn.fr/espece/cd_nom/94728","Dianthus deltoides L., 1753")</f>
        <v>Dianthus deltoides L., 1753</v>
      </c>
      <c r="F24327" s="5" t="s">
        <v>31985</v>
      </c>
      <c r="N24327" s="4" t="str">
        <f>HYPERLINK("#Réglementation!A"&amp;_xlfn.XMATCH("V39P1",Réglementation!A:A,2,1),"V39P1 - V25P2 - V70P2")</f>
        <v>V39P1 - V25P2 - V70P2</v>
      </c>
      <c r="Q24327" s="7" t="str">
        <f>HYPERLINK("#Liste_rouge!A"&amp;_xlfn.XMATCH("LC",Liste_rouge!A:A,2,1),"LC")</f>
        <v>LC</v>
      </c>
      <c r="T24327" s="7" t="str">
        <f>HYPERLINK("#Liste_rouge!A"&amp;_xlfn.XMATCH("EN",Liste_rouge!A:A,2,1),"EN")</f>
        <v>EN</v>
      </c>
      <c r="U24327" s="4" t="str">
        <f>HYPERLINK("#Critères_liste_rouge!A$1","D1")</f>
        <v>D1</v>
      </c>
      <c r="V24327" s="7" t="str">
        <f>HYPERLINK("#Liste_rouge!A"&amp;_xlfn.XMATCH("CR",Liste_rouge!A:A,2,1),"CR")</f>
        <v>CR</v>
      </c>
      <c r="W24327" s="4" t="str">
        <f>HYPERLINK("#Critères_liste_rouge!A$1","D")</f>
        <v>D</v>
      </c>
      <c r="X24327" s="5" t="s">
        <v>374</v>
      </c>
      <c r="AB24327" s="4" t="s">
        <v>93</v>
      </c>
      <c r="AH24327" s="4" t="str">
        <f>HYPERLINK("#Statut_biogéographique!A"&amp;_xlfn.XMATCH("P",Statut_biogéographique!A:A,2,1),"P")</f>
        <v>P</v>
      </c>
      <c r="AK24327" s="4" t="str">
        <f>HYPERLINK("#Réglementation!A"&amp;_xlfn.XMATCH("V39P6",Réglementation!A:A,2,1),"V39P6 - V25P2 - V70P2")</f>
        <v>V39P6 - V25P2 - V70P2</v>
      </c>
      <c r="AM24327" s="4" t="s">
        <v>375</v>
      </c>
      <c r="AN24327" s="4" t="s">
        <v>375</v>
      </c>
      <c r="AO24327" s="4" t="s">
        <v>375</v>
      </c>
      <c r="AP24327" s="4" t="s">
        <v>376</v>
      </c>
      <c r="AR24327" s="4" t="s">
        <v>377</v>
      </c>
    </row>
    <row r="24328" spans="1:44" ht="30">
      <c r="A24328" s="4" t="s">
        <v>24364</v>
      </c>
      <c r="B24328" s="4">
        <v>94756</v>
      </c>
      <c r="D24328" s="5" t="s">
        <v>31986</v>
      </c>
      <c r="E24328" s="6" t="str">
        <f>HYPERLINK("https://inpn.mnhn.fr/espece/cd_nom/94756","Dianthus gratianopolitanus Vill., 1789")</f>
        <v>Dianthus gratianopolitanus Vill., 1789</v>
      </c>
      <c r="F24328" s="5" t="s">
        <v>31987</v>
      </c>
      <c r="M24328" s="4" t="str">
        <f>HYPERLINK("#Réglementation!A"&amp;_xlfn.XMATCH("RV43",Réglementation!A:A,2,1),"RV43")</f>
        <v>RV43</v>
      </c>
      <c r="N24328" s="4" t="str">
        <f>HYPERLINK("#Réglementation!A"&amp;_xlfn.XMATCH("V39P1",Réglementation!A:A,2,1),"V39P1 - V25P2 - V70P2")</f>
        <v>V39P1 - V25P2 - V70P2</v>
      </c>
      <c r="Q24328" s="7" t="str">
        <f>HYPERLINK("#Liste_rouge!A"&amp;_xlfn.XMATCH("LC",Liste_rouge!A:A,2,1),"LC")</f>
        <v>LC</v>
      </c>
      <c r="V24328" s="7" t="str">
        <f>HYPERLINK("#Liste_rouge!A"&amp;_xlfn.XMATCH("LC",Liste_rouge!A:A,2,1),"LC")</f>
        <v>LC</v>
      </c>
      <c r="X24328" s="5" t="s">
        <v>374</v>
      </c>
      <c r="AB24328" s="4" t="s">
        <v>93</v>
      </c>
      <c r="AH24328" s="4" t="str">
        <f>HYPERLINK("#Statut_biogéographique!A"&amp;_xlfn.XMATCH("P",Statut_biogéographique!A:A,2,1),"P")</f>
        <v>P</v>
      </c>
      <c r="AK24328" s="4" t="str">
        <f>HYPERLINK("#Réglementation!A"&amp;_xlfn.XMATCH("V39P6",Réglementation!A:A,2,1),"V39P6 - V25P2 - V70P2")</f>
        <v>V39P6 - V25P2 - V70P2</v>
      </c>
      <c r="AM24328" s="4" t="s">
        <v>375</v>
      </c>
      <c r="AN24328" s="4" t="s">
        <v>375</v>
      </c>
      <c r="AO24328" s="4" t="s">
        <v>375</v>
      </c>
      <c r="AP24328" s="4" t="s">
        <v>376</v>
      </c>
      <c r="AR24328" s="4" t="s">
        <v>377</v>
      </c>
    </row>
    <row r="24329" spans="1:44" ht="60">
      <c r="A24329" s="4" t="s">
        <v>24364</v>
      </c>
      <c r="B24329" s="4">
        <v>94818</v>
      </c>
      <c r="D24329" s="5" t="s">
        <v>31988</v>
      </c>
      <c r="E24329" s="6" t="str">
        <f>HYPERLINK("https://inpn.mnhn.fr/espece/cd_nom/94818","Dianthus saxicola Jord., 1852")</f>
        <v>Dianthus saxicola Jord., 1852</v>
      </c>
      <c r="F24329" s="5" t="s">
        <v>31989</v>
      </c>
      <c r="N24329" s="4" t="str">
        <f>HYPERLINK("#Réglementation!A"&amp;_xlfn.XMATCH("V39P1",Réglementation!A:A,2,1),"V39P1")</f>
        <v>V39P1</v>
      </c>
      <c r="Q24329" s="7" t="str">
        <f>HYPERLINK("#Liste_rouge!A"&amp;_xlfn.XMATCH("LC",Liste_rouge!A:A,2,1),"LC")</f>
        <v>LC</v>
      </c>
      <c r="T24329" s="7" t="str">
        <f>HYPERLINK("#Liste_rouge!A"&amp;_xlfn.XMATCH("LC",Liste_rouge!A:A,2,1),"LC")</f>
        <v>LC</v>
      </c>
      <c r="V24329" s="7" t="str">
        <f>HYPERLINK("#Liste_rouge!A"&amp;_xlfn.XMATCH("LC",Liste_rouge!A:A,2,1),"LC")</f>
        <v>LC</v>
      </c>
      <c r="AB24329" s="4" t="s">
        <v>24486</v>
      </c>
      <c r="AH24329" s="4" t="str">
        <f>HYPERLINK("#Statut_biogéographique!A"&amp;_xlfn.XMATCH("P",Statut_biogéographique!A:A,2,1),"P")</f>
        <v>P</v>
      </c>
      <c r="AK24329" s="4" t="str">
        <f>HYPERLINK("#Réglementation!A"&amp;_xlfn.XMATCH("V39P6",Réglementation!A:A,2,1),"V39P6")</f>
        <v>V39P6</v>
      </c>
      <c r="AM24329" s="4" t="s">
        <v>375</v>
      </c>
      <c r="AN24329" s="4" t="s">
        <v>375</v>
      </c>
      <c r="AO24329" s="4" t="s">
        <v>375</v>
      </c>
      <c r="AP24329" s="4" t="s">
        <v>376</v>
      </c>
      <c r="AR24329" s="4" t="s">
        <v>377</v>
      </c>
    </row>
    <row r="24330" spans="1:44">
      <c r="A24330" s="4" t="s">
        <v>24364</v>
      </c>
      <c r="B24330" s="4">
        <v>94822</v>
      </c>
      <c r="D24330" s="5" t="s">
        <v>31990</v>
      </c>
      <c r="E24330" s="6" t="str">
        <f>HYPERLINK("https://inpn.mnhn.fr/espece/cd_nom/94822","Dianthus seguieri Vill., 1779")</f>
        <v>Dianthus seguieri Vill., 1779</v>
      </c>
      <c r="F24330" s="5" t="s">
        <v>31991</v>
      </c>
      <c r="N24330" s="4" t="str">
        <f>HYPERLINK("#Réglementation!A"&amp;_xlfn.XMATCH("V39P1",Réglementation!A:A,2,1),"V39P1")</f>
        <v>V39P1</v>
      </c>
      <c r="Q24330" s="7" t="str">
        <f>HYPERLINK("#Liste_rouge!A"&amp;_xlfn.XMATCH("LC",Liste_rouge!A:A,2,1),"LC")</f>
        <v>LC</v>
      </c>
      <c r="AH24330" s="4" t="str">
        <f>HYPERLINK("#Statut_biogéographique!A"&amp;_xlfn.XMATCH("P",Statut_biogéographique!A:A,2,1),"P")</f>
        <v>P</v>
      </c>
      <c r="AK24330" s="4" t="str">
        <f>HYPERLINK("#Réglementation!A"&amp;_xlfn.XMATCH("V39P6",Réglementation!A:A,2,1),"V39P6")</f>
        <v>V39P6</v>
      </c>
      <c r="AP24330" s="4" t="s">
        <v>376</v>
      </c>
      <c r="AR24330" s="4" t="s">
        <v>377</v>
      </c>
    </row>
    <row r="24331" spans="1:44" ht="30">
      <c r="A24331" s="4" t="s">
        <v>24364</v>
      </c>
      <c r="B24331" s="4">
        <v>94833</v>
      </c>
      <c r="D24331" s="5" t="s">
        <v>31992</v>
      </c>
      <c r="E24331" s="6" t="str">
        <f>HYPERLINK("https://inpn.mnhn.fr/espece/cd_nom/94833","Dianthus superbus L., 1755")</f>
        <v>Dianthus superbus L., 1755</v>
      </c>
      <c r="F24331" s="5" t="s">
        <v>24379</v>
      </c>
      <c r="L24331" s="4" t="str">
        <f>HYPERLINK("#Réglementation!A"&amp;_xlfn.XMATCH("NV2",Réglementation!A:A,2,1),"NV2 - NV3")</f>
        <v>NV2 - NV3</v>
      </c>
      <c r="N24331" s="4" t="str">
        <f>HYPERLINK("#Réglementation!A"&amp;_xlfn.XMATCH("V39P1",Réglementation!A:A,2,1),"V39P1")</f>
        <v>V39P1</v>
      </c>
      <c r="P24331" s="7" t="str">
        <f>HYPERLINK("#Liste_rouge!A"&amp;_xlfn.XMATCH("LC",Liste_rouge!A:A,2,1),"LC")</f>
        <v>LC</v>
      </c>
      <c r="Q24331" s="7" t="str">
        <f>HYPERLINK("#Liste_rouge!A"&amp;_xlfn.XMATCH("NT",Liste_rouge!A:A,2,1),"NT")</f>
        <v>NT</v>
      </c>
      <c r="T24331" s="7" t="str">
        <f>HYPERLINK("#Liste_rouge!A"&amp;_xlfn.XMATCH("RE",Liste_rouge!A:A,2,1),"RE")</f>
        <v>RE</v>
      </c>
      <c r="V24331" s="7" t="str">
        <f>HYPERLINK("#Liste_rouge!A"&amp;_xlfn.XMATCH("NT",Liste_rouge!A:A,2,1),"NT")</f>
        <v>NT</v>
      </c>
      <c r="W24331" s="4" t="str">
        <f>HYPERLINK("#Critères_liste_rouge!A$1","pr. B2b(iii)")</f>
        <v>pr. B2b(iii)</v>
      </c>
      <c r="X24331" s="5" t="s">
        <v>374</v>
      </c>
      <c r="AB24331" s="4" t="s">
        <v>93</v>
      </c>
      <c r="AH24331" s="4" t="str">
        <f>HYPERLINK("#Statut_biogéographique!A"&amp;_xlfn.XMATCH("P",Statut_biogéographique!A:A,2,1),"P")</f>
        <v>P</v>
      </c>
      <c r="AK24331" s="4" t="str">
        <f>HYPERLINK("#Réglementation!A"&amp;_xlfn.XMATCH("V39P6",Réglementation!A:A,2,1),"V39P6")</f>
        <v>V39P6</v>
      </c>
      <c r="AM24331" s="4" t="s">
        <v>375</v>
      </c>
      <c r="AN24331" s="4" t="s">
        <v>375</v>
      </c>
      <c r="AO24331" s="4" t="s">
        <v>375</v>
      </c>
      <c r="AP24331" s="4" t="s">
        <v>376</v>
      </c>
      <c r="AR24331" s="4" t="s">
        <v>377</v>
      </c>
    </row>
    <row r="24332" spans="1:44">
      <c r="A24332" s="4" t="s">
        <v>24364</v>
      </c>
      <c r="B24332" s="4">
        <v>94856</v>
      </c>
      <c r="D24332" s="5">
        <v>94856</v>
      </c>
      <c r="E24332" s="6" t="str">
        <f>HYPERLINK("https://inpn.mnhn.fr/espece/cd_nom/94856","Dianthus x bottemeri Bouchard, 1951")</f>
        <v>Dianthus x bottemeri Bouchard, 1951</v>
      </c>
      <c r="F24332" s="5" t="s">
        <v>31993</v>
      </c>
      <c r="N24332" s="4" t="str">
        <f>HYPERLINK("#Réglementation!A"&amp;_xlfn.XMATCH("V39P1",Réglementation!A:A,2,1),"V39P1")</f>
        <v>V39P1</v>
      </c>
      <c r="T24332" s="7" t="str">
        <f>HYPERLINK("#Liste_rouge!A"&amp;_xlfn.XMATCH("NE",Liste_rouge!A:A,2,1),"NE")</f>
        <v>NE</v>
      </c>
      <c r="AH24332" s="4" t="str">
        <f>HYPERLINK("#Statut_biogéographique!A"&amp;_xlfn.XMATCH("P",Statut_biogéographique!A:A,2,1),"P")</f>
        <v>P</v>
      </c>
      <c r="AK24332" s="4" t="str">
        <f>HYPERLINK("#Réglementation!A"&amp;_xlfn.XMATCH("V39P6",Réglementation!A:A,2,1),"V39P6")</f>
        <v>V39P6</v>
      </c>
      <c r="AP24332" s="4" t="s">
        <v>376</v>
      </c>
      <c r="AR24332" s="4" t="s">
        <v>377</v>
      </c>
    </row>
    <row r="24333" spans="1:44">
      <c r="A24333" s="4" t="s">
        <v>24364</v>
      </c>
      <c r="B24333" s="4">
        <v>94858</v>
      </c>
      <c r="D24333" s="5">
        <v>94858</v>
      </c>
      <c r="E24333" s="6" t="str">
        <f>HYPERLINK("https://inpn.mnhn.fr/espece/cd_nom/94858","Dianthus x courtoisii Rchb., 1832")</f>
        <v>Dianthus x courtoisii Rchb., 1832</v>
      </c>
      <c r="F24333" s="5" t="s">
        <v>31994</v>
      </c>
      <c r="N24333" s="4" t="str">
        <f>HYPERLINK("#Réglementation!A"&amp;_xlfn.XMATCH("V39P1",Réglementation!A:A,2,1),"V39P1")</f>
        <v>V39P1</v>
      </c>
      <c r="T24333" s="7" t="str">
        <f>HYPERLINK("#Liste_rouge!A"&amp;_xlfn.XMATCH("NA",Liste_rouge!A:A,2,1),"NA")</f>
        <v>NA</v>
      </c>
      <c r="AH24333" s="4" t="str">
        <f>HYPERLINK("#Statut_biogéographique!A"&amp;_xlfn.XMATCH("P",Statut_biogéographique!A:A,2,1),"P")</f>
        <v>P</v>
      </c>
      <c r="AK24333" s="4" t="str">
        <f>HYPERLINK("#Réglementation!A"&amp;_xlfn.XMATCH("V39P6",Réglementation!A:A,2,1),"V39P6")</f>
        <v>V39P6</v>
      </c>
      <c r="AP24333" s="4" t="s">
        <v>376</v>
      </c>
      <c r="AR24333" s="4" t="s">
        <v>377</v>
      </c>
    </row>
    <row r="24334" spans="1:44" ht="30">
      <c r="A24334" s="4" t="s">
        <v>24364</v>
      </c>
      <c r="B24334" s="4">
        <v>94923</v>
      </c>
      <c r="D24334" s="5" t="s">
        <v>31995</v>
      </c>
      <c r="E24334" s="6" t="str">
        <f>HYPERLINK("https://inpn.mnhn.fr/espece/cd_nom/94923","Dictamnus albus L., 1753")</f>
        <v>Dictamnus albus L., 1753</v>
      </c>
      <c r="F24334" s="5" t="s">
        <v>31996</v>
      </c>
      <c r="M24334" s="4" t="str">
        <f>HYPERLINK("#Réglementation!A"&amp;_xlfn.XMATCH("RV26",Réglementation!A:A,2,1),"RV26")</f>
        <v>RV26</v>
      </c>
      <c r="P24334" s="7" t="str">
        <f>HYPERLINK("#Liste_rouge!A"&amp;_xlfn.XMATCH("LC",Liste_rouge!A:A,2,1),"LC")</f>
        <v>LC</v>
      </c>
      <c r="Q24334" s="7" t="str">
        <f>HYPERLINK("#Liste_rouge!A"&amp;_xlfn.XMATCH("LC",Liste_rouge!A:A,2,1),"LC")</f>
        <v>LC</v>
      </c>
      <c r="T24334" s="7" t="str">
        <f>HYPERLINK("#Liste_rouge!A"&amp;_xlfn.XMATCH("CR",Liste_rouge!A:A,2,1),"CR")</f>
        <v>CR</v>
      </c>
      <c r="U24334" s="4" t="str">
        <f>HYPERLINK("#Critères_liste_rouge!A$1","C2a(i)")</f>
        <v>C2a(i)</v>
      </c>
      <c r="X24334" s="5" t="s">
        <v>374</v>
      </c>
      <c r="AB24334" s="4" t="s">
        <v>93</v>
      </c>
      <c r="AH24334" s="4" t="str">
        <f>HYPERLINK("#Statut_biogéographique!A"&amp;_xlfn.XMATCH("P",Statut_biogéographique!A:A,2,1),"P")</f>
        <v>P</v>
      </c>
      <c r="AM24334" s="4" t="s">
        <v>375</v>
      </c>
      <c r="AN24334" s="4" t="s">
        <v>375</v>
      </c>
      <c r="AO24334" s="4" t="s">
        <v>375</v>
      </c>
      <c r="AP24334" s="4" t="s">
        <v>376</v>
      </c>
      <c r="AR24334" s="4" t="s">
        <v>377</v>
      </c>
    </row>
    <row r="24335" spans="1:44" ht="30">
      <c r="A24335" s="4" t="s">
        <v>24364</v>
      </c>
      <c r="B24335" s="4">
        <v>94942</v>
      </c>
      <c r="D24335" s="5" t="s">
        <v>31997</v>
      </c>
      <c r="E24335" s="6" t="str">
        <f>HYPERLINK("https://inpn.mnhn.fr/espece/cd_nom/94942","Digitalis grandiflora Mill., 1768")</f>
        <v>Digitalis grandiflora Mill., 1768</v>
      </c>
      <c r="F24335" s="5" t="s">
        <v>31998</v>
      </c>
      <c r="M24335" s="4" t="str">
        <f>HYPERLINK("#Réglementation!A"&amp;_xlfn.XMATCH("RV26",Réglementation!A:A,2,1),"RV26")</f>
        <v>RV26</v>
      </c>
      <c r="P24335" s="7" t="str">
        <f>HYPERLINK("#Liste_rouge!A"&amp;_xlfn.XMATCH("LC",Liste_rouge!A:A,2,1),"LC")</f>
        <v>LC</v>
      </c>
      <c r="Q24335" s="7" t="str">
        <f>HYPERLINK("#Liste_rouge!A"&amp;_xlfn.XMATCH("LC",Liste_rouge!A:A,2,1),"LC")</f>
        <v>LC</v>
      </c>
      <c r="T24335" s="7" t="str">
        <f>HYPERLINK("#Liste_rouge!A"&amp;_xlfn.XMATCH("RE",Liste_rouge!A:A,2,1),"RE")</f>
        <v>RE</v>
      </c>
      <c r="V24335" s="7" t="str">
        <f>HYPERLINK("#Liste_rouge!A"&amp;_xlfn.XMATCH("LC",Liste_rouge!A:A,2,1),"LC")</f>
        <v>LC</v>
      </c>
      <c r="AB24335" s="4" t="s">
        <v>24719</v>
      </c>
      <c r="AH24335" s="4" t="str">
        <f>HYPERLINK("#Statut_biogéographique!A"&amp;_xlfn.XMATCH("P",Statut_biogéographique!A:A,2,1),"P")</f>
        <v>P</v>
      </c>
      <c r="AM24335" s="4" t="s">
        <v>375</v>
      </c>
      <c r="AN24335" s="4" t="s">
        <v>375</v>
      </c>
      <c r="AO24335" s="4" t="s">
        <v>375</v>
      </c>
      <c r="AP24335" s="4" t="s">
        <v>376</v>
      </c>
      <c r="AR24335" s="4" t="s">
        <v>377</v>
      </c>
    </row>
    <row r="24336" spans="1:44" ht="30">
      <c r="A24336" s="4" t="s">
        <v>24364</v>
      </c>
      <c r="B24336" s="4">
        <v>94945</v>
      </c>
      <c r="D24336" s="5" t="s">
        <v>31999</v>
      </c>
      <c r="E24336" s="6" t="str">
        <f>HYPERLINK("https://inpn.mnhn.fr/espece/cd_nom/94945","Digitalis lutea L., 1753")</f>
        <v>Digitalis lutea L., 1753</v>
      </c>
      <c r="F24336" s="5" t="s">
        <v>32000</v>
      </c>
      <c r="Q24336" s="7" t="str">
        <f>HYPERLINK("#Liste_rouge!A"&amp;_xlfn.XMATCH("LC",Liste_rouge!A:A,2,1),"LC")</f>
        <v>LC</v>
      </c>
      <c r="T24336" s="7" t="str">
        <f>HYPERLINK("#Liste_rouge!A"&amp;_xlfn.XMATCH("LC",Liste_rouge!A:A,2,1),"LC")</f>
        <v>LC</v>
      </c>
      <c r="V24336" s="7" t="str">
        <f>HYPERLINK("#Liste_rouge!A"&amp;_xlfn.XMATCH("LC",Liste_rouge!A:A,2,1),"LC")</f>
        <v>LC</v>
      </c>
      <c r="AB24336" s="4" t="s">
        <v>24536</v>
      </c>
      <c r="AH24336" s="4" t="str">
        <f>HYPERLINK("#Statut_biogéographique!A"&amp;_xlfn.XMATCH("P",Statut_biogéographique!A:A,2,1),"P")</f>
        <v>P</v>
      </c>
      <c r="AM24336" s="4" t="s">
        <v>375</v>
      </c>
      <c r="AN24336" s="4" t="s">
        <v>375</v>
      </c>
      <c r="AO24336" s="4" t="s">
        <v>375</v>
      </c>
      <c r="AP24336" s="4" t="s">
        <v>376</v>
      </c>
      <c r="AR24336" s="4" t="s">
        <v>377</v>
      </c>
    </row>
    <row r="24337" spans="1:44">
      <c r="A24337" s="4" t="s">
        <v>24364</v>
      </c>
      <c r="B24337" s="4">
        <v>94947</v>
      </c>
      <c r="D24337" s="5" t="s">
        <v>32001</v>
      </c>
      <c r="E24337" s="6" t="str">
        <f>HYPERLINK("https://inpn.mnhn.fr/espece/cd_nom/94947","Digitalis x media Roth, 1806")</f>
        <v>Digitalis x media Roth, 1806</v>
      </c>
      <c r="F24337" s="5" t="s">
        <v>32002</v>
      </c>
      <c r="T24337" s="7" t="str">
        <f>HYPERLINK("#Liste_rouge!A"&amp;_xlfn.XMATCH("NE",Liste_rouge!A:A,2,1),"NE")</f>
        <v>NE</v>
      </c>
      <c r="AH24337" s="4" t="str">
        <f>HYPERLINK("#Statut_biogéographique!A"&amp;_xlfn.XMATCH("P",Statut_biogéographique!A:A,2,1),"P")</f>
        <v>P</v>
      </c>
      <c r="AP24337" s="4" t="s">
        <v>376</v>
      </c>
      <c r="AR24337" s="4" t="s">
        <v>377</v>
      </c>
    </row>
    <row r="24338" spans="1:44" ht="30">
      <c r="A24338" s="4" t="s">
        <v>24364</v>
      </c>
      <c r="B24338" s="4">
        <v>94959</v>
      </c>
      <c r="D24338" s="5" t="s">
        <v>32003</v>
      </c>
      <c r="E24338" s="6" t="str">
        <f>HYPERLINK("https://inpn.mnhn.fr/espece/cd_nom/94959","Digitalis purpurea L., 1753")</f>
        <v>Digitalis purpurea L., 1753</v>
      </c>
      <c r="F24338" s="5" t="s">
        <v>30180</v>
      </c>
      <c r="P24338" s="7" t="str">
        <f>HYPERLINK("#Liste_rouge!A"&amp;_xlfn.XMATCH("LC",Liste_rouge!A:A,2,1),"LC")</f>
        <v>LC</v>
      </c>
      <c r="Q24338" s="7" t="str">
        <f>HYPERLINK("#Liste_rouge!A"&amp;_xlfn.XMATCH("LC",Liste_rouge!A:A,2,1),"LC")</f>
        <v>LC</v>
      </c>
      <c r="T24338" s="7" t="str">
        <f>HYPERLINK("#Liste_rouge!A"&amp;_xlfn.XMATCH("LC",Liste_rouge!A:A,2,1),"LC")</f>
        <v>LC</v>
      </c>
      <c r="V24338" s="7" t="str">
        <f>HYPERLINK("#Liste_rouge!A"&amp;_xlfn.XMATCH("LC",Liste_rouge!A:A,2,1),"LC")</f>
        <v>LC</v>
      </c>
      <c r="AB24338" s="4" t="s">
        <v>24909</v>
      </c>
      <c r="AH24338" s="4" t="str">
        <f>HYPERLINK("#Statut_biogéographique!A"&amp;_xlfn.XMATCH("P",Statut_biogéographique!A:A,2,1),"P")</f>
        <v>P</v>
      </c>
      <c r="AM24338" s="4" t="s">
        <v>375</v>
      </c>
      <c r="AN24338" s="4" t="s">
        <v>375</v>
      </c>
      <c r="AO24338" s="4" t="s">
        <v>375</v>
      </c>
      <c r="AP24338" s="4" t="s">
        <v>376</v>
      </c>
      <c r="AR24338" s="4" t="s">
        <v>377</v>
      </c>
    </row>
    <row r="24339" spans="1:44">
      <c r="A24339" s="4" t="s">
        <v>24364</v>
      </c>
      <c r="B24339" s="4">
        <v>94961</v>
      </c>
      <c r="D24339" s="5" t="s">
        <v>32004</v>
      </c>
      <c r="E24339" s="6" t="str">
        <f>HYPERLINK("https://inpn.mnhn.fr/espece/cd_nom/94961","Digitalis x fucata Ehrh., 1792")</f>
        <v>Digitalis x fucata Ehrh., 1792</v>
      </c>
      <c r="F24339" s="5" t="s">
        <v>32005</v>
      </c>
      <c r="T24339" s="7" t="str">
        <f>HYPERLINK("#Liste_rouge!A"&amp;_xlfn.XMATCH("NE",Liste_rouge!A:A,2,1),"NE")</f>
        <v>NE</v>
      </c>
      <c r="AH24339" s="4" t="str">
        <f>HYPERLINK("#Statut_biogéographique!A"&amp;_xlfn.XMATCH("P",Statut_biogéographique!A:A,2,1),"P")</f>
        <v>P</v>
      </c>
      <c r="AP24339" s="4" t="s">
        <v>376</v>
      </c>
      <c r="AR24339" s="4" t="s">
        <v>377</v>
      </c>
    </row>
    <row r="24340" spans="1:44">
      <c r="A24340" s="4" t="s">
        <v>24364</v>
      </c>
      <c r="B24340" s="4">
        <v>94962</v>
      </c>
      <c r="D24340" s="5" t="s">
        <v>32006</v>
      </c>
      <c r="E24340" s="6" t="str">
        <f>HYPERLINK("https://inpn.mnhn.fr/espece/cd_nom/94962","Digitalis x fulva Lindl., 1821")</f>
        <v>Digitalis x fulva Lindl., 1821</v>
      </c>
      <c r="F24340" s="5" t="s">
        <v>32007</v>
      </c>
      <c r="T24340" s="7" t="str">
        <f>HYPERLINK("#Liste_rouge!A"&amp;_xlfn.XMATCH("NE",Liste_rouge!A:A,2,1),"NE")</f>
        <v>NE</v>
      </c>
      <c r="AH24340" s="4" t="str">
        <f>HYPERLINK("#Statut_biogéographique!A"&amp;_xlfn.XMATCH("P",Statut_biogéographique!A:A,2,1),"P")</f>
        <v>P</v>
      </c>
      <c r="AP24340" s="4" t="s">
        <v>376</v>
      </c>
      <c r="AR24340" s="4" t="s">
        <v>377</v>
      </c>
    </row>
    <row r="24341" spans="1:44" ht="60">
      <c r="A24341" s="4" t="s">
        <v>24364</v>
      </c>
      <c r="B24341" s="4">
        <v>94972</v>
      </c>
      <c r="D24341" s="5" t="s">
        <v>32008</v>
      </c>
      <c r="E24341" s="6" t="str">
        <f>HYPERLINK("https://inpn.mnhn.fr/espece/cd_nom/94972","Digitaria ciliaris (Retz.) Koeler, 1802")</f>
        <v>Digitaria ciliaris (Retz.) Koeler, 1802</v>
      </c>
      <c r="F24341" s="5" t="s">
        <v>32009</v>
      </c>
      <c r="Q24341" s="7" t="str">
        <f>HYPERLINK("#Liste_rouge!A"&amp;_xlfn.XMATCH("NA",Liste_rouge!A:A,2,1),"NA")</f>
        <v>NA</v>
      </c>
      <c r="AH24341" s="4" t="str">
        <f>HYPERLINK("#Statut_biogéographique!A"&amp;_xlfn.XMATCH("I",Statut_biogéographique!A:A,2,1),"I")</f>
        <v>I</v>
      </c>
      <c r="AP24341" s="4" t="s">
        <v>376</v>
      </c>
      <c r="AR24341" s="4" t="s">
        <v>377</v>
      </c>
    </row>
    <row r="24342" spans="1:44" ht="120">
      <c r="A24342" s="4" t="s">
        <v>24364</v>
      </c>
      <c r="B24342" s="4">
        <v>94985</v>
      </c>
      <c r="D24342" s="5" t="s">
        <v>32010</v>
      </c>
      <c r="E24342" s="6" t="str">
        <f>HYPERLINK("https://inpn.mnhn.fr/espece/cd_nom/94985","Digitaria ischaemum (Schreb.) Schreb. ex Muhl., 1817")</f>
        <v>Digitaria ischaemum (Schreb.) Schreb. ex Muhl., 1817</v>
      </c>
      <c r="F24342" s="5" t="s">
        <v>32011</v>
      </c>
      <c r="Q24342" s="7" t="str">
        <f>HYPERLINK("#Liste_rouge!A"&amp;_xlfn.XMATCH("LC",Liste_rouge!A:A,2,1),"LC")</f>
        <v>LC</v>
      </c>
      <c r="T24342" s="7" t="str">
        <f>HYPERLINK("#Liste_rouge!A"&amp;_xlfn.XMATCH("VU",Liste_rouge!A:A,2,1),"VU")</f>
        <v>VU</v>
      </c>
      <c r="U24342" s="4" t="str">
        <f>HYPERLINK("#Critères_liste_rouge!A$1","D2")</f>
        <v>D2</v>
      </c>
      <c r="V24342" s="7" t="str">
        <f>HYPERLINK("#Liste_rouge!A"&amp;_xlfn.XMATCH("LC",Liste_rouge!A:A,2,1),"LC")</f>
        <v>LC</v>
      </c>
      <c r="AB24342" s="4" t="s">
        <v>24803</v>
      </c>
      <c r="AH24342" s="4" t="str">
        <f>HYPERLINK("#Statut_biogéographique!A"&amp;_xlfn.XMATCH("P",Statut_biogéographique!A:A,2,1),"P")</f>
        <v>P</v>
      </c>
      <c r="AM24342" s="4" t="s">
        <v>375</v>
      </c>
      <c r="AN24342" s="4" t="s">
        <v>375</v>
      </c>
      <c r="AO24342" s="4" t="s">
        <v>375</v>
      </c>
      <c r="AP24342" s="4" t="s">
        <v>376</v>
      </c>
      <c r="AR24342" s="4" t="s">
        <v>377</v>
      </c>
    </row>
    <row r="24343" spans="1:44" ht="90">
      <c r="A24343" s="4" t="s">
        <v>24364</v>
      </c>
      <c r="B24343" s="4">
        <v>94995</v>
      </c>
      <c r="D24343" s="5" t="s">
        <v>32012</v>
      </c>
      <c r="E24343" s="6" t="str">
        <f>HYPERLINK("https://inpn.mnhn.fr/espece/cd_nom/94995","Digitaria sanguinalis (L.) Scop., 1771")</f>
        <v>Digitaria sanguinalis (L.) Scop., 1771</v>
      </c>
      <c r="F24343" s="5" t="s">
        <v>32013</v>
      </c>
      <c r="Q24343" s="7" t="str">
        <f>HYPERLINK("#Liste_rouge!A"&amp;_xlfn.XMATCH("LC",Liste_rouge!A:A,2,1),"LC")</f>
        <v>LC</v>
      </c>
      <c r="T24343" s="7" t="str">
        <f>HYPERLINK("#Liste_rouge!A"&amp;_xlfn.XMATCH("LC",Liste_rouge!A:A,2,1),"LC")</f>
        <v>LC</v>
      </c>
      <c r="V24343" s="7" t="str">
        <f>HYPERLINK("#Liste_rouge!A"&amp;_xlfn.XMATCH("LC",Liste_rouge!A:A,2,1),"LC")</f>
        <v>LC</v>
      </c>
      <c r="AH24343" s="4" t="str">
        <f>HYPERLINK("#Statut_biogéographique!A"&amp;_xlfn.XMATCH("P",Statut_biogéographique!A:A,2,1),"P")</f>
        <v>P</v>
      </c>
      <c r="AM24343" s="4" t="s">
        <v>375</v>
      </c>
      <c r="AN24343" s="4" t="s">
        <v>375</v>
      </c>
      <c r="AO24343" s="4" t="s">
        <v>375</v>
      </c>
      <c r="AP24343" s="4" t="s">
        <v>376</v>
      </c>
      <c r="AR24343" s="4" t="s">
        <v>377</v>
      </c>
    </row>
    <row r="24344" spans="1:44">
      <c r="A24344" s="4" t="s">
        <v>24364</v>
      </c>
      <c r="B24344" s="4">
        <v>95056</v>
      </c>
      <c r="D24344" s="5" t="s">
        <v>32014</v>
      </c>
      <c r="E24344" s="6" t="str">
        <f>HYPERLINK("https://inpn.mnhn.fr/espece/cd_nom/95056","Diphasiastrum alpinum (L.) Holub, 1975")</f>
        <v>Diphasiastrum alpinum (L.) Holub, 1975</v>
      </c>
      <c r="F24344" s="5" t="s">
        <v>32015</v>
      </c>
      <c r="K24344" s="4" t="str">
        <f>HYPERLINK("#Réglementation!A"&amp;_xlfn.XMATCH("CDH5",Réglementation!A:A,2,1),"CDH5")</f>
        <v>CDH5</v>
      </c>
      <c r="L24344" s="4" t="str">
        <f>HYPERLINK("#Réglementation!A"&amp;_xlfn.XMATCH("NV1",Réglementation!A:A,2,1),"NV1")</f>
        <v>NV1</v>
      </c>
      <c r="P24344" s="7" t="str">
        <f>HYPERLINK("#Liste_rouge!A"&amp;_xlfn.XMATCH("LC",Liste_rouge!A:A,2,1),"LC")</f>
        <v>LC</v>
      </c>
      <c r="Q24344" s="7" t="str">
        <f>HYPERLINK("#Liste_rouge!A"&amp;_xlfn.XMATCH("LC",Liste_rouge!A:A,2,1),"LC")</f>
        <v>LC</v>
      </c>
      <c r="V24344" s="7" t="str">
        <f>HYPERLINK("#Liste_rouge!A"&amp;_xlfn.XMATCH("VU",Liste_rouge!A:A,2,1),"VU")</f>
        <v>VU</v>
      </c>
      <c r="W24344" s="4" t="str">
        <f>HYPERLINK("#Critères_liste_rouge!A$1","D1")</f>
        <v>D1</v>
      </c>
      <c r="X24344" s="5" t="s">
        <v>374</v>
      </c>
      <c r="AB24344" s="4" t="s">
        <v>93</v>
      </c>
      <c r="AH24344" s="4" t="str">
        <f>HYPERLINK("#Statut_biogéographique!A"&amp;_xlfn.XMATCH("P",Statut_biogéographique!A:A,2,1),"P")</f>
        <v>P</v>
      </c>
      <c r="AM24344" s="4" t="s">
        <v>375</v>
      </c>
      <c r="AN24344" s="4" t="s">
        <v>375</v>
      </c>
      <c r="AO24344" s="4" t="s">
        <v>375</v>
      </c>
      <c r="AP24344" s="4" t="s">
        <v>376</v>
      </c>
      <c r="AR24344" s="4" t="s">
        <v>377</v>
      </c>
    </row>
    <row r="24345" spans="1:44" ht="30">
      <c r="A24345" s="4" t="s">
        <v>24364</v>
      </c>
      <c r="B24345" s="4">
        <v>95059</v>
      </c>
      <c r="D24345" s="5" t="s">
        <v>32016</v>
      </c>
      <c r="E24345" s="6" t="str">
        <f>HYPERLINK("https://inpn.mnhn.fr/espece/cd_nom/95059","Diphasiastrum oellgaardii Stoor, Boudrie, Jérôme, K.Horn &amp; Bennert, 1996")</f>
        <v>Diphasiastrum oellgaardii Stoor, Boudrie, Jérôme, K.Horn &amp; Bennert, 1996</v>
      </c>
      <c r="F24345" s="5" t="s">
        <v>32017</v>
      </c>
      <c r="K24345" s="4" t="str">
        <f>HYPERLINK("#Réglementation!A"&amp;_xlfn.XMATCH("CDH5",Réglementation!A:A,2,1),"CDH5")</f>
        <v>CDH5</v>
      </c>
      <c r="P24345" s="7" t="str">
        <f>HYPERLINK("#Liste_rouge!A"&amp;_xlfn.XMATCH("NT",Liste_rouge!A:A,2,1),"NT")</f>
        <v>NT</v>
      </c>
      <c r="Q24345" s="7" t="str">
        <f>HYPERLINK("#Liste_rouge!A"&amp;_xlfn.XMATCH("VU",Liste_rouge!A:A,2,1),"VU")</f>
        <v>VU</v>
      </c>
      <c r="V24345" s="7" t="str">
        <f>HYPERLINK("#Liste_rouge!A"&amp;_xlfn.XMATCH("RE",Liste_rouge!A:A,2,1),"RE")</f>
        <v>RE</v>
      </c>
      <c r="AH24345" s="4" t="str">
        <f>HYPERLINK("#Statut_biogéographique!A"&amp;_xlfn.XMATCH("P",Statut_biogéographique!A:A,2,1),"P")</f>
        <v>P</v>
      </c>
      <c r="AM24345" s="4" t="s">
        <v>375</v>
      </c>
      <c r="AN24345" s="4" t="s">
        <v>375</v>
      </c>
      <c r="AO24345" s="4" t="s">
        <v>375</v>
      </c>
      <c r="AP24345" s="4" t="s">
        <v>376</v>
      </c>
      <c r="AR24345" s="4" t="s">
        <v>377</v>
      </c>
    </row>
    <row r="24346" spans="1:44">
      <c r="A24346" s="4" t="s">
        <v>24364</v>
      </c>
      <c r="B24346" s="4">
        <v>950596</v>
      </c>
      <c r="D24346" s="5" t="s">
        <v>32018</v>
      </c>
      <c r="E24346" s="6" t="str">
        <f>HYPERLINK("https://inpn.mnhn.fr/espece/cd_nom/950596","Persicaria odorata (Lour.) Soják, 1974")</f>
        <v>Persicaria odorata (Lour.) Soják, 1974</v>
      </c>
      <c r="AP24346" s="4" t="s">
        <v>376</v>
      </c>
      <c r="AR24346" s="4" t="s">
        <v>377</v>
      </c>
    </row>
    <row r="24347" spans="1:44" ht="30">
      <c r="A24347" s="4" t="s">
        <v>24364</v>
      </c>
      <c r="B24347" s="4">
        <v>95060</v>
      </c>
      <c r="D24347" s="5" t="s">
        <v>32019</v>
      </c>
      <c r="E24347" s="6" t="str">
        <f>HYPERLINK("https://inpn.mnhn.fr/espece/cd_nom/95060","Diphasiastrum tristachyum (Pursh) Holub, 1975")</f>
        <v>Diphasiastrum tristachyum (Pursh) Holub, 1975</v>
      </c>
      <c r="F24347" s="5" t="s">
        <v>32020</v>
      </c>
      <c r="K24347" s="4" t="str">
        <f>HYPERLINK("#Réglementation!A"&amp;_xlfn.XMATCH("CDH5",Réglementation!A:A,2,1),"CDH5")</f>
        <v>CDH5</v>
      </c>
      <c r="L24347" s="4" t="str">
        <f>HYPERLINK("#Réglementation!A"&amp;_xlfn.XMATCH("NV1",Réglementation!A:A,2,1),"NV1")</f>
        <v>NV1</v>
      </c>
      <c r="P24347" s="7" t="str">
        <f>HYPERLINK("#Liste_rouge!A"&amp;_xlfn.XMATCH("NT",Liste_rouge!A:A,2,1),"NT")</f>
        <v>NT</v>
      </c>
      <c r="Q24347" s="7" t="str">
        <f>HYPERLINK("#Liste_rouge!A"&amp;_xlfn.XMATCH("NT",Liste_rouge!A:A,2,1),"NT")</f>
        <v>NT</v>
      </c>
      <c r="V24347" s="7" t="str">
        <f>HYPERLINK("#Liste_rouge!A"&amp;_xlfn.XMATCH("RE",Liste_rouge!A:A,2,1),"RE")</f>
        <v>RE</v>
      </c>
      <c r="X24347" s="5" t="s">
        <v>374</v>
      </c>
      <c r="AB24347" s="4" t="s">
        <v>93</v>
      </c>
      <c r="AH24347" s="4" t="str">
        <f>HYPERLINK("#Statut_biogéographique!A"&amp;_xlfn.XMATCH("P",Statut_biogéographique!A:A,2,1),"P")</f>
        <v>P</v>
      </c>
      <c r="AM24347" s="4" t="s">
        <v>375</v>
      </c>
      <c r="AN24347" s="4" t="s">
        <v>375</v>
      </c>
      <c r="AO24347" s="4" t="s">
        <v>375</v>
      </c>
      <c r="AP24347" s="4" t="s">
        <v>376</v>
      </c>
      <c r="AR24347" s="4" t="s">
        <v>377</v>
      </c>
    </row>
    <row r="24348" spans="1:44">
      <c r="A24348" s="4" t="s">
        <v>24364</v>
      </c>
      <c r="B24348" s="4">
        <v>95061</v>
      </c>
      <c r="D24348" s="5" t="s">
        <v>32021</v>
      </c>
      <c r="E24348" s="6" t="str">
        <f>HYPERLINK("https://inpn.mnhn.fr/espece/cd_nom/95061","Diphasiastrum zeilleri (Rouy) Holub, 1975")</f>
        <v>Diphasiastrum zeilleri (Rouy) Holub, 1975</v>
      </c>
      <c r="F24348" s="5" t="s">
        <v>32022</v>
      </c>
      <c r="K24348" s="4" t="str">
        <f>HYPERLINK("#Réglementation!A"&amp;_xlfn.XMATCH("CDH5",Réglementation!A:A,2,1),"CDH5")</f>
        <v>CDH5</v>
      </c>
      <c r="P24348" s="7" t="str">
        <f>HYPERLINK("#Liste_rouge!A"&amp;_xlfn.XMATCH("NT",Liste_rouge!A:A,2,1),"NT")</f>
        <v>NT</v>
      </c>
      <c r="Q24348" s="7" t="str">
        <f>HYPERLINK("#Liste_rouge!A"&amp;_xlfn.XMATCH("VU",Liste_rouge!A:A,2,1),"VU")</f>
        <v>VU</v>
      </c>
      <c r="V24348" s="7" t="str">
        <f>HYPERLINK("#Liste_rouge!A"&amp;_xlfn.XMATCH("RE",Liste_rouge!A:A,2,1),"RE")</f>
        <v>RE</v>
      </c>
      <c r="AH24348" s="4" t="str">
        <f>HYPERLINK("#Statut_biogéographique!A"&amp;_xlfn.XMATCH("P",Statut_biogéographique!A:A,2,1),"P")</f>
        <v>P</v>
      </c>
      <c r="AM24348" s="4" t="s">
        <v>375</v>
      </c>
      <c r="AN24348" s="4" t="s">
        <v>375</v>
      </c>
      <c r="AO24348" s="4" t="s">
        <v>375</v>
      </c>
      <c r="AP24348" s="4" t="s">
        <v>376</v>
      </c>
      <c r="AR24348" s="4" t="s">
        <v>377</v>
      </c>
    </row>
    <row r="24349" spans="1:44" ht="60">
      <c r="A24349" s="4" t="s">
        <v>24364</v>
      </c>
      <c r="B24349" s="4">
        <v>95111</v>
      </c>
      <c r="D24349" s="5" t="s">
        <v>32023</v>
      </c>
      <c r="E24349" s="6" t="str">
        <f>HYPERLINK("https://inpn.mnhn.fr/espece/cd_nom/95111","Diplotaxis erucoides (L.) DC., 1821")</f>
        <v>Diplotaxis erucoides (L.) DC., 1821</v>
      </c>
      <c r="F24349" s="5" t="s">
        <v>32024</v>
      </c>
      <c r="P24349" s="7" t="str">
        <f>HYPERLINK("#Liste_rouge!A"&amp;_xlfn.XMATCH("LC",Liste_rouge!A:A,2,1),"LC")</f>
        <v>LC</v>
      </c>
      <c r="Q24349" s="7" t="str">
        <f>HYPERLINK("#Liste_rouge!A"&amp;_xlfn.XMATCH("LC",Liste_rouge!A:A,2,1),"LC")</f>
        <v>LC</v>
      </c>
      <c r="T24349" s="7" t="str">
        <f>HYPERLINK("#Liste_rouge!A"&amp;_xlfn.XMATCH("NA",Liste_rouge!A:A,2,1),"NA")</f>
        <v>NA</v>
      </c>
      <c r="AH24349" s="4" t="str">
        <f>HYPERLINK("#Statut_biogéographique!A"&amp;_xlfn.XMATCH("P",Statut_biogéographique!A:A,2,1),"P")</f>
        <v>P</v>
      </c>
      <c r="AP24349" s="4" t="s">
        <v>376</v>
      </c>
      <c r="AR24349" s="4" t="s">
        <v>377</v>
      </c>
    </row>
    <row r="24350" spans="1:44" ht="60">
      <c r="A24350" s="4" t="s">
        <v>24364</v>
      </c>
      <c r="B24350" s="4">
        <v>95122</v>
      </c>
      <c r="D24350" s="5" t="s">
        <v>32025</v>
      </c>
      <c r="E24350" s="6" t="str">
        <f>HYPERLINK("https://inpn.mnhn.fr/espece/cd_nom/95122","Diplotaxis muralis (L.) DC., 1821")</f>
        <v>Diplotaxis muralis (L.) DC., 1821</v>
      </c>
      <c r="F24350" s="5" t="s">
        <v>28476</v>
      </c>
      <c r="P24350" s="7" t="str">
        <f>HYPERLINK("#Liste_rouge!A"&amp;_xlfn.XMATCH("LC",Liste_rouge!A:A,2,1),"LC")</f>
        <v>LC</v>
      </c>
      <c r="Q24350" s="7" t="str">
        <f>HYPERLINK("#Liste_rouge!A"&amp;_xlfn.XMATCH("LC",Liste_rouge!A:A,2,1),"LC")</f>
        <v>LC</v>
      </c>
      <c r="T24350" s="7" t="str">
        <f>HYPERLINK("#Liste_rouge!A"&amp;_xlfn.XMATCH("CR",Liste_rouge!A:A,2,1),"CR")</f>
        <v>CR</v>
      </c>
      <c r="U24350" s="4" t="str">
        <f>HYPERLINK("#Critères_liste_rouge!A$1","C2a(i) D1")</f>
        <v>C2a(i) D1</v>
      </c>
      <c r="V24350" s="7" t="str">
        <f>HYPERLINK("#Liste_rouge!A"&amp;_xlfn.XMATCH("LC",Liste_rouge!A:A,2,1),"LC")</f>
        <v>LC</v>
      </c>
      <c r="AH24350" s="4" t="str">
        <f>HYPERLINK("#Statut_biogéographique!A"&amp;_xlfn.XMATCH("P",Statut_biogéographique!A:A,2,1),"P")</f>
        <v>P</v>
      </c>
      <c r="AM24350" s="4" t="s">
        <v>375</v>
      </c>
      <c r="AN24350" s="4" t="s">
        <v>375</v>
      </c>
      <c r="AO24350" s="4" t="s">
        <v>375</v>
      </c>
      <c r="AP24350" s="4" t="s">
        <v>376</v>
      </c>
      <c r="AR24350" s="4" t="s">
        <v>377</v>
      </c>
    </row>
    <row r="24351" spans="1:44" ht="60">
      <c r="A24351" s="4" t="s">
        <v>24364</v>
      </c>
      <c r="B24351" s="4">
        <v>95136</v>
      </c>
      <c r="D24351" s="5" t="s">
        <v>32026</v>
      </c>
      <c r="E24351" s="6" t="str">
        <f>HYPERLINK("https://inpn.mnhn.fr/espece/cd_nom/95136","Diplotaxis tenuifolia (L.) DC., 1821")</f>
        <v>Diplotaxis tenuifolia (L.) DC., 1821</v>
      </c>
      <c r="F24351" s="5" t="s">
        <v>32027</v>
      </c>
      <c r="P24351" s="7" t="str">
        <f>HYPERLINK("#Liste_rouge!A"&amp;_xlfn.XMATCH("LC",Liste_rouge!A:A,2,1),"LC")</f>
        <v>LC</v>
      </c>
      <c r="Q24351" s="7" t="str">
        <f>HYPERLINK("#Liste_rouge!A"&amp;_xlfn.XMATCH("LC",Liste_rouge!A:A,2,1),"LC")</f>
        <v>LC</v>
      </c>
      <c r="T24351" s="7" t="str">
        <f>HYPERLINK("#Liste_rouge!A"&amp;_xlfn.XMATCH("CR",Liste_rouge!A:A,2,1),"CR")</f>
        <v>CR</v>
      </c>
      <c r="U24351" s="4" t="str">
        <f>HYPERLINK("#Critères_liste_rouge!A$1","C2a(i) D1")</f>
        <v>C2a(i) D1</v>
      </c>
      <c r="AB24351" s="4" t="s">
        <v>24777</v>
      </c>
      <c r="AH24351" s="4" t="str">
        <f>HYPERLINK("#Statut_biogéographique!A"&amp;_xlfn.XMATCH("P",Statut_biogéographique!A:A,2,1),"P")</f>
        <v>P</v>
      </c>
      <c r="AM24351" s="4" t="s">
        <v>375</v>
      </c>
      <c r="AN24351" s="4" t="s">
        <v>375</v>
      </c>
      <c r="AO24351" s="4" t="s">
        <v>375</v>
      </c>
      <c r="AP24351" s="4" t="s">
        <v>376</v>
      </c>
      <c r="AR24351" s="4" t="s">
        <v>377</v>
      </c>
    </row>
    <row r="24352" spans="1:44" ht="45">
      <c r="A24352" s="4" t="s">
        <v>24364</v>
      </c>
      <c r="B24352" s="4">
        <v>95141</v>
      </c>
      <c r="D24352" s="5" t="s">
        <v>32028</v>
      </c>
      <c r="E24352" s="6" t="str">
        <f>HYPERLINK("https://inpn.mnhn.fr/espece/cd_nom/95141","Diplotaxis viminea (L.) DC., 1821")</f>
        <v>Diplotaxis viminea (L.) DC., 1821</v>
      </c>
      <c r="F24352" s="5" t="s">
        <v>32029</v>
      </c>
      <c r="P24352" s="7" t="str">
        <f>HYPERLINK("#Liste_rouge!A"&amp;_xlfn.XMATCH("LC",Liste_rouge!A:A,2,1),"LC")</f>
        <v>LC</v>
      </c>
      <c r="Q24352" s="7" t="str">
        <f>HYPERLINK("#Liste_rouge!A"&amp;_xlfn.XMATCH("LC",Liste_rouge!A:A,2,1),"LC")</f>
        <v>LC</v>
      </c>
      <c r="T24352" s="7" t="str">
        <f>HYPERLINK("#Liste_rouge!A"&amp;_xlfn.XMATCH("RE",Liste_rouge!A:A,2,1),"RE")</f>
        <v>RE</v>
      </c>
      <c r="AH24352" s="4" t="str">
        <f>HYPERLINK("#Statut_biogéographique!A"&amp;_xlfn.XMATCH("P",Statut_biogéographique!A:A,2,1),"P")</f>
        <v>P</v>
      </c>
      <c r="AM24352" s="4" t="s">
        <v>375</v>
      </c>
      <c r="AN24352" s="4" t="s">
        <v>375</v>
      </c>
      <c r="AO24352" s="4" t="s">
        <v>375</v>
      </c>
      <c r="AP24352" s="4" t="s">
        <v>376</v>
      </c>
      <c r="AR24352" s="4" t="s">
        <v>377</v>
      </c>
    </row>
    <row r="24353" spans="1:44">
      <c r="A24353" s="4" t="s">
        <v>24364</v>
      </c>
      <c r="B24353" s="4">
        <v>95147</v>
      </c>
      <c r="D24353" s="5" t="s">
        <v>32030</v>
      </c>
      <c r="E24353" s="6" t="str">
        <f>HYPERLINK("https://inpn.mnhn.fr/espece/cd_nom/95147","Dipsacus ferox Loisel., 1807")</f>
        <v>Dipsacus ferox Loisel., 1807</v>
      </c>
      <c r="F24353" s="5" t="s">
        <v>32031</v>
      </c>
      <c r="Q24353" s="7" t="str">
        <f>HYPERLINK("#Liste_rouge!A"&amp;_xlfn.XMATCH("LC",Liste_rouge!A:A,2,1),"LC")</f>
        <v>LC</v>
      </c>
      <c r="T24353" s="7" t="str">
        <f>HYPERLINK("#Liste_rouge!A"&amp;_xlfn.XMATCH("NA",Liste_rouge!A:A,2,1),"NA")</f>
        <v>NA</v>
      </c>
      <c r="AH24353" s="4" t="str">
        <f>HYPERLINK("#Statut_biogéographique!A"&amp;_xlfn.XMATCH("P",Statut_biogéographique!A:A,2,1),"P")</f>
        <v>P</v>
      </c>
      <c r="AP24353" s="4" t="s">
        <v>376</v>
      </c>
      <c r="AR24353" s="4" t="s">
        <v>377</v>
      </c>
    </row>
    <row r="24354" spans="1:44" ht="30">
      <c r="A24354" s="4" t="s">
        <v>24364</v>
      </c>
      <c r="B24354" s="4">
        <v>95149</v>
      </c>
      <c r="D24354" s="5" t="s">
        <v>32032</v>
      </c>
      <c r="E24354" s="6" t="str">
        <f>HYPERLINK("https://inpn.mnhn.fr/espece/cd_nom/95149","Dipsacus fullonum L., 1753")</f>
        <v>Dipsacus fullonum L., 1753</v>
      </c>
      <c r="F24354" s="5" t="s">
        <v>32033</v>
      </c>
      <c r="Q24354" s="7" t="str">
        <f>HYPERLINK("#Liste_rouge!A"&amp;_xlfn.XMATCH("LC",Liste_rouge!A:A,2,1),"LC")</f>
        <v>LC</v>
      </c>
      <c r="T24354" s="7" t="str">
        <f>HYPERLINK("#Liste_rouge!A"&amp;_xlfn.XMATCH("LC",Liste_rouge!A:A,2,1),"LC")</f>
        <v>LC</v>
      </c>
      <c r="V24354" s="7" t="str">
        <f>HYPERLINK("#Liste_rouge!A"&amp;_xlfn.XMATCH("LC",Liste_rouge!A:A,2,1),"LC")</f>
        <v>LC</v>
      </c>
      <c r="AH24354" s="4" t="str">
        <f>HYPERLINK("#Statut_biogéographique!A"&amp;_xlfn.XMATCH("P",Statut_biogéographique!A:A,2,1),"P")</f>
        <v>P</v>
      </c>
      <c r="AM24354" s="4" t="s">
        <v>375</v>
      </c>
      <c r="AN24354" s="4" t="s">
        <v>375</v>
      </c>
      <c r="AO24354" s="4" t="s">
        <v>375</v>
      </c>
      <c r="AP24354" s="4" t="s">
        <v>376</v>
      </c>
      <c r="AR24354" s="4" t="s">
        <v>377</v>
      </c>
    </row>
    <row r="24355" spans="1:44" ht="30">
      <c r="A24355" s="4" t="s">
        <v>24364</v>
      </c>
      <c r="B24355" s="4">
        <v>95151</v>
      </c>
      <c r="D24355" s="5" t="s">
        <v>32034</v>
      </c>
      <c r="E24355" s="6" t="str">
        <f>HYPERLINK("https://inpn.mnhn.fr/espece/cd_nom/95151","Dipsacus laciniatus L., 1753")</f>
        <v>Dipsacus laciniatus L., 1753</v>
      </c>
      <c r="F24355" s="5" t="s">
        <v>32035</v>
      </c>
      <c r="M24355" s="4" t="str">
        <f>HYPERLINK("#Réglementation!A"&amp;_xlfn.XMATCH("RV43",Réglementation!A:A,2,1),"RV43")</f>
        <v>RV43</v>
      </c>
      <c r="Q24355" s="7" t="str">
        <f>HYPERLINK("#Liste_rouge!A"&amp;_xlfn.XMATCH("LC",Liste_rouge!A:A,2,1),"LC")</f>
        <v>LC</v>
      </c>
      <c r="T24355" s="7" t="str">
        <f>HYPERLINK("#Liste_rouge!A"&amp;_xlfn.XMATCH("LC",Liste_rouge!A:A,2,1),"LC")</f>
        <v>LC</v>
      </c>
      <c r="V24355" s="7" t="str">
        <f>HYPERLINK("#Liste_rouge!A"&amp;_xlfn.XMATCH("LC",Liste_rouge!A:A,2,1),"LC")</f>
        <v>LC</v>
      </c>
      <c r="AB24355" s="4" t="s">
        <v>25019</v>
      </c>
      <c r="AH24355" s="4" t="str">
        <f>HYPERLINK("#Statut_biogéographique!A"&amp;_xlfn.XMATCH("P",Statut_biogéographique!A:A,2,1),"P")</f>
        <v>P</v>
      </c>
      <c r="AM24355" s="4" t="s">
        <v>375</v>
      </c>
      <c r="AN24355" s="4" t="s">
        <v>375</v>
      </c>
      <c r="AO24355" s="4" t="s">
        <v>375</v>
      </c>
      <c r="AP24355" s="4" t="s">
        <v>376</v>
      </c>
      <c r="AR24355" s="4" t="s">
        <v>377</v>
      </c>
    </row>
    <row r="24356" spans="1:44" ht="30">
      <c r="A24356" s="4" t="s">
        <v>24364</v>
      </c>
      <c r="B24356" s="4">
        <v>95154</v>
      </c>
      <c r="D24356" s="5" t="s">
        <v>32036</v>
      </c>
      <c r="E24356" s="6" t="str">
        <f>HYPERLINK("https://inpn.mnhn.fr/espece/cd_nom/95154","Dipsacus pilosus L., 1753")</f>
        <v>Dipsacus pilosus L., 1753</v>
      </c>
      <c r="F24356" s="5" t="s">
        <v>32037</v>
      </c>
      <c r="Q24356" s="7" t="str">
        <f>HYPERLINK("#Liste_rouge!A"&amp;_xlfn.XMATCH("LC",Liste_rouge!A:A,2,1),"LC")</f>
        <v>LC</v>
      </c>
      <c r="T24356" s="7" t="str">
        <f>HYPERLINK("#Liste_rouge!A"&amp;_xlfn.XMATCH("LC",Liste_rouge!A:A,2,1),"LC")</f>
        <v>LC</v>
      </c>
      <c r="V24356" s="7" t="str">
        <f>HYPERLINK("#Liste_rouge!A"&amp;_xlfn.XMATCH("LC",Liste_rouge!A:A,2,1),"LC")</f>
        <v>LC</v>
      </c>
      <c r="AB24356" s="4" t="s">
        <v>24536</v>
      </c>
      <c r="AH24356" s="4" t="str">
        <f>HYPERLINK("#Statut_biogéographique!A"&amp;_xlfn.XMATCH("P",Statut_biogéographique!A:A,2,1),"P")</f>
        <v>P</v>
      </c>
      <c r="AM24356" s="4" t="s">
        <v>375</v>
      </c>
      <c r="AN24356" s="4" t="s">
        <v>375</v>
      </c>
      <c r="AO24356" s="4" t="s">
        <v>375</v>
      </c>
      <c r="AP24356" s="4" t="s">
        <v>376</v>
      </c>
      <c r="AR24356" s="4" t="s">
        <v>377</v>
      </c>
    </row>
    <row r="24357" spans="1:44">
      <c r="A24357" s="4" t="s">
        <v>24364</v>
      </c>
      <c r="B24357" s="4">
        <v>95155</v>
      </c>
      <c r="D24357" s="5" t="s">
        <v>32038</v>
      </c>
      <c r="E24357" s="6" t="str">
        <f>HYPERLINK("https://inpn.mnhn.fr/espece/cd_nom/95155","Dipsacus sativus (L.) Honck., 1782")</f>
        <v>Dipsacus sativus (L.) Honck., 1782</v>
      </c>
      <c r="F24357" s="5" t="s">
        <v>32039</v>
      </c>
      <c r="Q24357" s="7" t="str">
        <f>HYPERLINK("#Liste_rouge!A"&amp;_xlfn.XMATCH("NA",Liste_rouge!A:A,2,1),"NA")</f>
        <v>NA</v>
      </c>
      <c r="AH24357" s="4" t="str">
        <f>HYPERLINK("#Statut_biogéographique!A"&amp;_xlfn.XMATCH("M",Statut_biogéographique!A:A,2,1),"M")</f>
        <v>M</v>
      </c>
      <c r="AP24357" s="4" t="s">
        <v>376</v>
      </c>
      <c r="AR24357" s="4" t="s">
        <v>377</v>
      </c>
    </row>
    <row r="24358" spans="1:44" ht="45">
      <c r="A24358" s="4" t="s">
        <v>24364</v>
      </c>
      <c r="B24358" s="4">
        <v>95186</v>
      </c>
      <c r="D24358" s="5" t="s">
        <v>32040</v>
      </c>
      <c r="E24358" s="6" t="str">
        <f>HYPERLINK("https://inpn.mnhn.fr/espece/cd_nom/95186","Dittrichia graveolens (L.) Greuter, 1973")</f>
        <v>Dittrichia graveolens (L.) Greuter, 1973</v>
      </c>
      <c r="F24358" s="5" t="s">
        <v>32041</v>
      </c>
      <c r="Q24358" s="7" t="str">
        <f>HYPERLINK("#Liste_rouge!A"&amp;_xlfn.XMATCH("LC",Liste_rouge!A:A,2,1),"LC")</f>
        <v>LC</v>
      </c>
      <c r="T24358" s="7" t="str">
        <f>HYPERLINK("#Liste_rouge!A"&amp;_xlfn.XMATCH("VU",Liste_rouge!A:A,2,1),"VU")</f>
        <v>VU</v>
      </c>
      <c r="U24358" s="4" t="str">
        <f>HYPERLINK("#Critères_liste_rouge!A$1","C2a(i) D2")</f>
        <v>C2a(i) D2</v>
      </c>
      <c r="AH24358" s="4" t="str">
        <f>HYPERLINK("#Statut_biogéographique!A"&amp;_xlfn.XMATCH("P",Statut_biogéographique!A:A,2,1),"P")</f>
        <v>P</v>
      </c>
      <c r="AM24358" s="4" t="s">
        <v>375</v>
      </c>
      <c r="AN24358" s="4" t="s">
        <v>375</v>
      </c>
      <c r="AO24358" s="4" t="s">
        <v>375</v>
      </c>
      <c r="AP24358" s="4" t="s">
        <v>376</v>
      </c>
      <c r="AR24358" s="4" t="s">
        <v>377</v>
      </c>
    </row>
    <row r="24359" spans="1:44" ht="30">
      <c r="A24359" s="4" t="s">
        <v>24364</v>
      </c>
      <c r="B24359" s="4">
        <v>95187</v>
      </c>
      <c r="D24359" s="5" t="s">
        <v>32042</v>
      </c>
      <c r="E24359" s="6" t="str">
        <f>HYPERLINK("https://inpn.mnhn.fr/espece/cd_nom/95187","Dittrichia viscosa (L.) Greuter, 1973")</f>
        <v>Dittrichia viscosa (L.) Greuter, 1973</v>
      </c>
      <c r="F24359" s="5" t="s">
        <v>32043</v>
      </c>
      <c r="Q24359" s="7" t="str">
        <f>HYPERLINK("#Liste_rouge!A"&amp;_xlfn.XMATCH("LC",Liste_rouge!A:A,2,1),"LC")</f>
        <v>LC</v>
      </c>
      <c r="AH24359" s="4" t="str">
        <f>HYPERLINK("#Statut_biogéographique!A"&amp;_xlfn.XMATCH("P",Statut_biogéographique!A:A,2,1),"P")</f>
        <v>P</v>
      </c>
      <c r="AP24359" s="4" t="s">
        <v>376</v>
      </c>
      <c r="AR24359" s="4" t="s">
        <v>377</v>
      </c>
    </row>
    <row r="24360" spans="1:44">
      <c r="A24360" s="4" t="s">
        <v>24364</v>
      </c>
      <c r="B24360" s="4">
        <v>95209</v>
      </c>
      <c r="D24360" s="5" t="s">
        <v>32044</v>
      </c>
      <c r="E24360" s="6" t="str">
        <f>HYPERLINK("https://inpn.mnhn.fr/espece/cd_nom/95209","Doronicum austriacum Jacq., 1774")</f>
        <v>Doronicum austriacum Jacq., 1774</v>
      </c>
      <c r="F24360" s="5" t="s">
        <v>32045</v>
      </c>
      <c r="Q24360" s="7" t="str">
        <f>HYPERLINK("#Liste_rouge!A"&amp;_xlfn.XMATCH("LC",Liste_rouge!A:A,2,1),"LC")</f>
        <v>LC</v>
      </c>
      <c r="T24360" s="7" t="str">
        <f>HYPERLINK("#Liste_rouge!A"&amp;_xlfn.XMATCH("NT",Liste_rouge!A:A,2,1),"NT")</f>
        <v>NT</v>
      </c>
      <c r="U24360" s="4" t="str">
        <f>HYPERLINK("#Critères_liste_rouge!A$1","pr. D2")</f>
        <v>pr. D2</v>
      </c>
      <c r="AB24360" s="4" t="s">
        <v>25010</v>
      </c>
      <c r="AH24360" s="4" t="str">
        <f>HYPERLINK("#Statut_biogéographique!A"&amp;_xlfn.XMATCH("P",Statut_biogéographique!A:A,2,1),"P")</f>
        <v>P</v>
      </c>
      <c r="AM24360" s="4" t="s">
        <v>375</v>
      </c>
      <c r="AN24360" s="4" t="s">
        <v>375</v>
      </c>
      <c r="AO24360" s="4" t="s">
        <v>375</v>
      </c>
      <c r="AP24360" s="4" t="s">
        <v>376</v>
      </c>
      <c r="AR24360" s="4" t="s">
        <v>377</v>
      </c>
    </row>
    <row r="24361" spans="1:44">
      <c r="A24361" s="4" t="s">
        <v>24364</v>
      </c>
      <c r="B24361" s="4">
        <v>952124</v>
      </c>
      <c r="D24361" s="5" t="s">
        <v>32046</v>
      </c>
      <c r="E24361" s="6" t="str">
        <f>HYPERLINK("https://inpn.mnhn.fr/espece/cd_nom/952124","Prunus spinosa var. spinosa L., 1753")</f>
        <v>Prunus spinosa var. spinosa L., 1753</v>
      </c>
      <c r="AH24361" s="4" t="str">
        <f>HYPERLINK("#Statut_biogéographique!A"&amp;_xlfn.XMATCH("P",Statut_biogéographique!A:A,2,1),"P")</f>
        <v>P</v>
      </c>
      <c r="AP24361" s="4" t="s">
        <v>376</v>
      </c>
      <c r="AR24361" s="4" t="s">
        <v>377</v>
      </c>
    </row>
    <row r="24362" spans="1:44">
      <c r="A24362" s="4" t="s">
        <v>24364</v>
      </c>
      <c r="B24362" s="4">
        <v>95237</v>
      </c>
      <c r="D24362" s="5" t="s">
        <v>32047</v>
      </c>
      <c r="E24362" s="6" t="str">
        <f>HYPERLINK("https://inpn.mnhn.fr/espece/cd_nom/95237","Doronicum orientale Hoffm., 1808")</f>
        <v>Doronicum orientale Hoffm., 1808</v>
      </c>
      <c r="F24362" s="5" t="s">
        <v>32048</v>
      </c>
      <c r="T24362" s="7" t="str">
        <f>HYPERLINK("#Liste_rouge!A"&amp;_xlfn.XMATCH("NA",Liste_rouge!A:A,2,1),"NA")</f>
        <v>NA</v>
      </c>
      <c r="AH24362" s="4" t="str">
        <f>HYPERLINK("#Statut_biogéographique!A"&amp;_xlfn.XMATCH("M",Statut_biogéographique!A:A,2,1),"M")</f>
        <v>M</v>
      </c>
      <c r="AP24362" s="4" t="s">
        <v>376</v>
      </c>
      <c r="AR24362" s="4" t="s">
        <v>377</v>
      </c>
    </row>
    <row r="24363" spans="1:44" ht="60">
      <c r="A24363" s="4" t="s">
        <v>24364</v>
      </c>
      <c r="B24363" s="4">
        <v>95239</v>
      </c>
      <c r="D24363" s="5" t="s">
        <v>32049</v>
      </c>
      <c r="E24363" s="6" t="str">
        <f>HYPERLINK("https://inpn.mnhn.fr/espece/cd_nom/95239","Doronicum pardalianches L., 1753")</f>
        <v>Doronicum pardalianches L., 1753</v>
      </c>
      <c r="F24363" s="5" t="s">
        <v>32050</v>
      </c>
      <c r="Q24363" s="7" t="str">
        <f>HYPERLINK("#Liste_rouge!A"&amp;_xlfn.XMATCH("LC",Liste_rouge!A:A,2,1),"LC")</f>
        <v>LC</v>
      </c>
      <c r="T24363" s="7" t="str">
        <f>HYPERLINK("#Liste_rouge!A"&amp;_xlfn.XMATCH("VU",Liste_rouge!A:A,2,1),"VU")</f>
        <v>VU</v>
      </c>
      <c r="U24363" s="4" t="str">
        <f>HYPERLINK("#Critères_liste_rouge!A$1","D2")</f>
        <v>D2</v>
      </c>
      <c r="V24363" s="7" t="str">
        <f>HYPERLINK("#Liste_rouge!A"&amp;_xlfn.XMATCH("DD",Liste_rouge!A:A,2,1),"DD")</f>
        <v>DD</v>
      </c>
      <c r="X24363" s="5" t="s">
        <v>374</v>
      </c>
      <c r="AB24363" s="4" t="s">
        <v>93</v>
      </c>
      <c r="AH24363" s="4" t="str">
        <f>HYPERLINK("#Statut_biogéographique!A"&amp;_xlfn.XMATCH("P",Statut_biogéographique!A:A,2,1),"P")</f>
        <v>P</v>
      </c>
      <c r="AM24363" s="4" t="s">
        <v>375</v>
      </c>
      <c r="AN24363" s="4" t="s">
        <v>375</v>
      </c>
      <c r="AO24363" s="4" t="s">
        <v>375</v>
      </c>
      <c r="AP24363" s="4" t="s">
        <v>376</v>
      </c>
      <c r="AR24363" s="4" t="s">
        <v>377</v>
      </c>
    </row>
    <row r="24364" spans="1:44" ht="30">
      <c r="A24364" s="4" t="s">
        <v>24364</v>
      </c>
      <c r="B24364" s="4">
        <v>95240</v>
      </c>
      <c r="D24364" s="5" t="s">
        <v>32051</v>
      </c>
      <c r="E24364" s="6" t="str">
        <f>HYPERLINK("https://inpn.mnhn.fr/espece/cd_nom/95240","Doronicum plantagineum L., 1753")</f>
        <v>Doronicum plantagineum L., 1753</v>
      </c>
      <c r="F24364" s="5" t="s">
        <v>32052</v>
      </c>
      <c r="Q24364" s="7" t="str">
        <f>HYPERLINK("#Liste_rouge!A"&amp;_xlfn.XMATCH("LC",Liste_rouge!A:A,2,1),"LC")</f>
        <v>LC</v>
      </c>
      <c r="T24364" s="7" t="str">
        <f>HYPERLINK("#Liste_rouge!A"&amp;_xlfn.XMATCH("NA",Liste_rouge!A:A,2,1),"NA")</f>
        <v>NA</v>
      </c>
      <c r="AH24364" s="4" t="str">
        <f>HYPERLINK("#Statut_biogéographique!A"&amp;_xlfn.XMATCH("P",Statut_biogéographique!A:A,2,1),"P")</f>
        <v>P</v>
      </c>
      <c r="AP24364" s="4" t="s">
        <v>376</v>
      </c>
      <c r="AR24364" s="4" t="s">
        <v>377</v>
      </c>
    </row>
    <row r="24365" spans="1:44" ht="30">
      <c r="A24365" s="4" t="s">
        <v>24364</v>
      </c>
      <c r="B24365" s="4">
        <v>952514</v>
      </c>
      <c r="D24365" s="5" t="s">
        <v>32053</v>
      </c>
      <c r="E24365" s="6" t="str">
        <f>HYPERLINK("https://inpn.mnhn.fr/espece/cd_nom/952514","Rosa subcollina (Christ) Vuk., 1887")</f>
        <v>Rosa subcollina (Christ) Vuk., 1887</v>
      </c>
      <c r="AH24365" s="4" t="str">
        <f>HYPERLINK("#Statut_biogéographique!A"&amp;_xlfn.XMATCH("P",Statut_biogéographique!A:A,2,1),"P")</f>
        <v>P</v>
      </c>
      <c r="AP24365" s="4" t="s">
        <v>376</v>
      </c>
      <c r="AR24365" s="4" t="s">
        <v>377</v>
      </c>
    </row>
    <row r="24366" spans="1:44" ht="75">
      <c r="A24366" s="4" t="s">
        <v>24364</v>
      </c>
      <c r="B24366" s="4">
        <v>95289</v>
      </c>
      <c r="D24366" s="5" t="s">
        <v>32054</v>
      </c>
      <c r="E24366" s="6" t="str">
        <f>HYPERLINK("https://inpn.mnhn.fr/espece/cd_nom/95289","Draba aizoides L., 1767")</f>
        <v>Draba aizoides L., 1767</v>
      </c>
      <c r="F24366" s="5" t="s">
        <v>32055</v>
      </c>
      <c r="Q24366" s="7" t="str">
        <f>HYPERLINK("#Liste_rouge!A"&amp;_xlfn.XMATCH("LC",Liste_rouge!A:A,2,1),"LC")</f>
        <v>LC</v>
      </c>
      <c r="T24366" s="7" t="str">
        <f>HYPERLINK("#Liste_rouge!A"&amp;_xlfn.XMATCH("EN",Liste_rouge!A:A,2,1),"EN")</f>
        <v>EN</v>
      </c>
      <c r="U24366" s="4" t="str">
        <f>HYPERLINK("#Critères_liste_rouge!A$1","B1 B2ab(ii,iv) C2a(i)")</f>
        <v>B1 B2ab(ii,iv) C2a(i)</v>
      </c>
      <c r="V24366" s="7" t="str">
        <f>HYPERLINK("#Liste_rouge!A"&amp;_xlfn.XMATCH("LC",Liste_rouge!A:A,2,1),"LC")</f>
        <v>LC</v>
      </c>
      <c r="AB24366" s="4" t="s">
        <v>24634</v>
      </c>
      <c r="AH24366" s="4" t="str">
        <f>HYPERLINK("#Statut_biogéographique!A"&amp;_xlfn.XMATCH("P",Statut_biogéographique!A:A,2,1),"P")</f>
        <v>P</v>
      </c>
      <c r="AM24366" s="4" t="s">
        <v>375</v>
      </c>
      <c r="AN24366" s="4" t="s">
        <v>375</v>
      </c>
      <c r="AO24366" s="4" t="s">
        <v>375</v>
      </c>
      <c r="AP24366" s="4" t="s">
        <v>376</v>
      </c>
      <c r="AR24366" s="4" t="s">
        <v>377</v>
      </c>
    </row>
    <row r="24367" spans="1:44">
      <c r="A24367" s="4" t="s">
        <v>24364</v>
      </c>
      <c r="B24367" s="4">
        <v>95337</v>
      </c>
      <c r="D24367" s="5" t="s">
        <v>32056</v>
      </c>
      <c r="E24367" s="6" t="str">
        <f>HYPERLINK("https://inpn.mnhn.fr/espece/cd_nom/95337","Draba muralis L., 1753")</f>
        <v>Draba muralis L., 1753</v>
      </c>
      <c r="F24367" s="5" t="s">
        <v>32057</v>
      </c>
      <c r="Q24367" s="7" t="str">
        <f>HYPERLINK("#Liste_rouge!A"&amp;_xlfn.XMATCH("LC",Liste_rouge!A:A,2,1),"LC")</f>
        <v>LC</v>
      </c>
      <c r="T24367" s="7" t="str">
        <f>HYPERLINK("#Liste_rouge!A"&amp;_xlfn.XMATCH("LC",Liste_rouge!A:A,2,1),"LC")</f>
        <v>LC</v>
      </c>
      <c r="V24367" s="7" t="str">
        <f>HYPERLINK("#Liste_rouge!A"&amp;_xlfn.XMATCH("LC",Liste_rouge!A:A,2,1),"LC")</f>
        <v>LC</v>
      </c>
      <c r="AB24367" s="4" t="s">
        <v>26735</v>
      </c>
      <c r="AH24367" s="4" t="str">
        <f>HYPERLINK("#Statut_biogéographique!A"&amp;_xlfn.XMATCH("P",Statut_biogéographique!A:A,2,1),"P")</f>
        <v>P</v>
      </c>
      <c r="AM24367" s="4" t="s">
        <v>375</v>
      </c>
      <c r="AN24367" s="4" t="s">
        <v>375</v>
      </c>
      <c r="AO24367" s="4" t="s">
        <v>375</v>
      </c>
      <c r="AP24367" s="4" t="s">
        <v>376</v>
      </c>
      <c r="AR24367" s="4" t="s">
        <v>377</v>
      </c>
    </row>
    <row r="24368" spans="1:44" ht="409.5">
      <c r="A24368" s="4" t="s">
        <v>24364</v>
      </c>
      <c r="B24368" s="4">
        <v>95372</v>
      </c>
      <c r="D24368" s="5" t="s">
        <v>32058</v>
      </c>
      <c r="E24368" s="6" t="str">
        <f>HYPERLINK("https://inpn.mnhn.fr/espece/cd_nom/95372","Draba verna L., 1753")</f>
        <v>Draba verna L., 1753</v>
      </c>
      <c r="F24368" s="5" t="s">
        <v>32059</v>
      </c>
      <c r="Q24368" s="7" t="str">
        <f>HYPERLINK("#Liste_rouge!A"&amp;_xlfn.XMATCH("LC",Liste_rouge!A:A,2,1),"LC")</f>
        <v>LC</v>
      </c>
      <c r="T24368" s="7" t="str">
        <f>HYPERLINK("#Liste_rouge!A"&amp;_xlfn.XMATCH("LC",Liste_rouge!A:A,2,1),"LC (cd_nom 95372) - DD (cd_nom 718682)")</f>
        <v>LC (cd_nom 95372) - DD (cd_nom 718682)</v>
      </c>
      <c r="V24368" s="7" t="str">
        <f>HYPERLINK("#Liste_rouge!A"&amp;_xlfn.XMATCH("LC",Liste_rouge!A:A,2,1),"LC")</f>
        <v>LC</v>
      </c>
      <c r="AH24368" s="4" t="str">
        <f>HYPERLINK("#Statut_biogéographique!A"&amp;_xlfn.XMATCH("P",Statut_biogéographique!A:A,2,1),"P")</f>
        <v>P</v>
      </c>
      <c r="AM24368" s="4" t="s">
        <v>375</v>
      </c>
      <c r="AN24368" s="4" t="s">
        <v>375</v>
      </c>
      <c r="AO24368" s="4" t="s">
        <v>375</v>
      </c>
      <c r="AP24368" s="4" t="s">
        <v>376</v>
      </c>
      <c r="AR24368" s="4" t="s">
        <v>377</v>
      </c>
    </row>
    <row r="24369" spans="1:44" ht="60">
      <c r="A24369" s="4" t="s">
        <v>24364</v>
      </c>
      <c r="B24369" s="4">
        <v>95436</v>
      </c>
      <c r="D24369" s="5" t="s">
        <v>32060</v>
      </c>
      <c r="E24369" s="6" t="str">
        <f>HYPERLINK("https://inpn.mnhn.fr/espece/cd_nom/95436","Drosera anglica Huds., 1778")</f>
        <v>Drosera anglica Huds., 1778</v>
      </c>
      <c r="F24369" s="5" t="s">
        <v>32061</v>
      </c>
      <c r="L24369" s="4" t="str">
        <f>HYPERLINK("#Réglementation!A"&amp;_xlfn.XMATCH("NV2",Réglementation!A:A,2,1),"NV2 - NV3")</f>
        <v>NV2 - NV3</v>
      </c>
      <c r="P24369" s="7" t="str">
        <f>HYPERLINK("#Liste_rouge!A"&amp;_xlfn.XMATCH("NT",Liste_rouge!A:A,2,1),"NT")</f>
        <v>NT</v>
      </c>
      <c r="Q24369" s="7" t="str">
        <f>HYPERLINK("#Liste_rouge!A"&amp;_xlfn.XMATCH("NT",Liste_rouge!A:A,2,1),"NT")</f>
        <v>NT</v>
      </c>
      <c r="V24369" s="7" t="str">
        <f>HYPERLINK("#Liste_rouge!A"&amp;_xlfn.XMATCH("NT",Liste_rouge!A:A,2,1),"NT")</f>
        <v>NT</v>
      </c>
      <c r="W24369" s="4" t="str">
        <f>HYPERLINK("#Critères_liste_rouge!A$1","pr. B2b(ii,iii)")</f>
        <v>pr. B2b(ii,iii)</v>
      </c>
      <c r="X24369" s="5" t="s">
        <v>374</v>
      </c>
      <c r="AB24369" s="4" t="s">
        <v>93</v>
      </c>
      <c r="AH24369" s="4" t="str">
        <f>HYPERLINK("#Statut_biogéographique!A"&amp;_xlfn.XMATCH("P",Statut_biogéographique!A:A,2,1),"P")</f>
        <v>P</v>
      </c>
      <c r="AM24369" s="4" t="s">
        <v>375</v>
      </c>
      <c r="AN24369" s="4" t="s">
        <v>375</v>
      </c>
      <c r="AO24369" s="4" t="s">
        <v>375</v>
      </c>
      <c r="AP24369" s="4" t="s">
        <v>376</v>
      </c>
      <c r="AR24369" s="4" t="s">
        <v>377</v>
      </c>
    </row>
    <row r="24370" spans="1:44" ht="30">
      <c r="A24370" s="4" t="s">
        <v>24364</v>
      </c>
      <c r="B24370" s="4">
        <v>95438</v>
      </c>
      <c r="D24370" s="5" t="s">
        <v>32062</v>
      </c>
      <c r="E24370" s="6" t="str">
        <f>HYPERLINK("https://inpn.mnhn.fr/espece/cd_nom/95438","Drosera intermedia Hayne, 1798")</f>
        <v>Drosera intermedia Hayne, 1798</v>
      </c>
      <c r="F24370" s="5" t="s">
        <v>32063</v>
      </c>
      <c r="L24370" s="4" t="str">
        <f>HYPERLINK("#Réglementation!A"&amp;_xlfn.XMATCH("NV2",Réglementation!A:A,2,1),"NV2 - NV3")</f>
        <v>NV2 - NV3</v>
      </c>
      <c r="P24370" s="7" t="str">
        <f>HYPERLINK("#Liste_rouge!A"&amp;_xlfn.XMATCH("NT",Liste_rouge!A:A,2,1),"NT")</f>
        <v>NT</v>
      </c>
      <c r="Q24370" s="7" t="str">
        <f>HYPERLINK("#Liste_rouge!A"&amp;_xlfn.XMATCH("LC",Liste_rouge!A:A,2,1),"LC")</f>
        <v>LC</v>
      </c>
      <c r="T24370" s="7" t="str">
        <f>HYPERLINK("#Liste_rouge!A"&amp;_xlfn.XMATCH("EN",Liste_rouge!A:A,2,1),"EN")</f>
        <v>EN</v>
      </c>
      <c r="U24370" s="4" t="str">
        <f>HYPERLINK("#Critères_liste_rouge!A$1","B2ab(iii,iv,v)c(iii,iv) C2a(i)")</f>
        <v>B2ab(iii,iv,v)c(iii,iv) C2a(i)</v>
      </c>
      <c r="V24370" s="7" t="str">
        <f>HYPERLINK("#Liste_rouge!A"&amp;_xlfn.XMATCH("NT",Liste_rouge!A:A,2,1),"NT")</f>
        <v>NT</v>
      </c>
      <c r="W24370" s="4" t="str">
        <f>HYPERLINK("#Critères_liste_rouge!A$1","pr. B2b(iii)")</f>
        <v>pr. B2b(iii)</v>
      </c>
      <c r="X24370" s="5" t="s">
        <v>374</v>
      </c>
      <c r="AB24370" s="4" t="s">
        <v>93</v>
      </c>
      <c r="AH24370" s="4" t="str">
        <f>HYPERLINK("#Statut_biogéographique!A"&amp;_xlfn.XMATCH("P",Statut_biogéographique!A:A,2,1),"P")</f>
        <v>P</v>
      </c>
      <c r="AM24370" s="4" t="s">
        <v>375</v>
      </c>
      <c r="AN24370" s="4" t="s">
        <v>375</v>
      </c>
      <c r="AO24370" s="4" t="s">
        <v>375</v>
      </c>
      <c r="AP24370" s="4" t="s">
        <v>376</v>
      </c>
      <c r="AR24370" s="4" t="s">
        <v>377</v>
      </c>
    </row>
    <row r="24371" spans="1:44" ht="30">
      <c r="A24371" s="4" t="s">
        <v>24364</v>
      </c>
      <c r="B24371" s="4">
        <v>95442</v>
      </c>
      <c r="D24371" s="5" t="s">
        <v>32064</v>
      </c>
      <c r="E24371" s="6" t="str">
        <f>HYPERLINK("https://inpn.mnhn.fr/espece/cd_nom/95442","Drosera rotundifolia L., 1753")</f>
        <v>Drosera rotundifolia L., 1753</v>
      </c>
      <c r="F24371" s="5" t="s">
        <v>32065</v>
      </c>
      <c r="L24371" s="4" t="str">
        <f>HYPERLINK("#Réglementation!A"&amp;_xlfn.XMATCH("NV2",Réglementation!A:A,2,1),"NV2 - NV3")</f>
        <v>NV2 - NV3</v>
      </c>
      <c r="O24371" s="7" t="str">
        <f>HYPERLINK("#Liste_rouge!A"&amp;_xlfn.XMATCH("LC",Liste_rouge!A:A,2,1),"LC")</f>
        <v>LC</v>
      </c>
      <c r="P24371" s="7" t="str">
        <f>HYPERLINK("#Liste_rouge!A"&amp;_xlfn.XMATCH("LC",Liste_rouge!A:A,2,1),"LC")</f>
        <v>LC</v>
      </c>
      <c r="Q24371" s="7" t="str">
        <f>HYPERLINK("#Liste_rouge!A"&amp;_xlfn.XMATCH("LC",Liste_rouge!A:A,2,1),"LC")</f>
        <v>LC</v>
      </c>
      <c r="T24371" s="7" t="str">
        <f>HYPERLINK("#Liste_rouge!A"&amp;_xlfn.XMATCH("EN",Liste_rouge!A:A,2,1),"EN")</f>
        <v>EN</v>
      </c>
      <c r="U24371" s="4" t="str">
        <f>HYPERLINK("#Critères_liste_rouge!A$1","B2ab(ii,iii,iv)")</f>
        <v>B2ab(ii,iii,iv)</v>
      </c>
      <c r="V24371" s="7" t="str">
        <f>HYPERLINK("#Liste_rouge!A"&amp;_xlfn.XMATCH("LC",Liste_rouge!A:A,2,1),"LC")</f>
        <v>LC</v>
      </c>
      <c r="X24371" s="5" t="s">
        <v>374</v>
      </c>
      <c r="AB24371" s="4" t="s">
        <v>93</v>
      </c>
      <c r="AH24371" s="4" t="str">
        <f>HYPERLINK("#Statut_biogéographique!A"&amp;_xlfn.XMATCH("P",Statut_biogéographique!A:A,2,1),"P")</f>
        <v>P</v>
      </c>
      <c r="AM24371" s="4" t="s">
        <v>375</v>
      </c>
      <c r="AN24371" s="4" t="s">
        <v>375</v>
      </c>
      <c r="AO24371" s="4" t="s">
        <v>375</v>
      </c>
      <c r="AP24371" s="4" t="s">
        <v>376</v>
      </c>
      <c r="AR24371" s="4" t="s">
        <v>377</v>
      </c>
    </row>
    <row r="24372" spans="1:44" ht="30">
      <c r="A24372" s="4" t="s">
        <v>24364</v>
      </c>
      <c r="B24372" s="4">
        <v>95445</v>
      </c>
      <c r="D24372" s="5" t="s">
        <v>32066</v>
      </c>
      <c r="E24372" s="6" t="str">
        <f>HYPERLINK("https://inpn.mnhn.fr/espece/cd_nom/95445","Drosera x obovata Mert. &amp; W.D.J.Koch, 1826")</f>
        <v>Drosera x obovata Mert. &amp; W.D.J.Koch, 1826</v>
      </c>
      <c r="F24372" s="5" t="s">
        <v>32067</v>
      </c>
      <c r="AH24372" s="4" t="str">
        <f>HYPERLINK("#Statut_biogéographique!A"&amp;_xlfn.XMATCH("P",Statut_biogéographique!A:A,2,1),"P")</f>
        <v>P</v>
      </c>
      <c r="AP24372" s="4" t="s">
        <v>376</v>
      </c>
      <c r="AR24372" s="4" t="s">
        <v>377</v>
      </c>
    </row>
    <row r="24373" spans="1:44" ht="30">
      <c r="A24373" s="4" t="s">
        <v>24364</v>
      </c>
      <c r="B24373" s="4">
        <v>95461</v>
      </c>
      <c r="D24373" s="5" t="s">
        <v>32068</v>
      </c>
      <c r="E24373" s="6" t="str">
        <f>HYPERLINK("https://inpn.mnhn.fr/espece/cd_nom/95461","Dryas octopetala L., 1753")</f>
        <v>Dryas octopetala L., 1753</v>
      </c>
      <c r="F24373" s="5" t="s">
        <v>32069</v>
      </c>
      <c r="M24373" s="4" t="str">
        <f>HYPERLINK("#Réglementation!A"&amp;_xlfn.XMATCH("RV43",Réglementation!A:A,2,1),"RV43")</f>
        <v>RV43</v>
      </c>
      <c r="Q24373" s="7" t="str">
        <f>HYPERLINK("#Liste_rouge!A"&amp;_xlfn.XMATCH("LC",Liste_rouge!A:A,2,1),"LC")</f>
        <v>LC</v>
      </c>
      <c r="V24373" s="7" t="str">
        <f>HYPERLINK("#Liste_rouge!A"&amp;_xlfn.XMATCH("VU",Liste_rouge!A:A,2,1),"VU")</f>
        <v>VU</v>
      </c>
      <c r="W24373" s="4" t="str">
        <f>HYPERLINK("#Critères_liste_rouge!A$1","D2")</f>
        <v>D2</v>
      </c>
      <c r="X24373" s="5" t="s">
        <v>374</v>
      </c>
      <c r="AB24373" s="4" t="s">
        <v>93</v>
      </c>
      <c r="AH24373" s="4" t="str">
        <f>HYPERLINK("#Statut_biogéographique!A"&amp;_xlfn.XMATCH("P",Statut_biogéographique!A:A,2,1),"P")</f>
        <v>P</v>
      </c>
      <c r="AM24373" s="4" t="s">
        <v>375</v>
      </c>
      <c r="AN24373" s="4" t="s">
        <v>375</v>
      </c>
      <c r="AO24373" s="4" t="s">
        <v>375</v>
      </c>
      <c r="AP24373" s="4" t="s">
        <v>376</v>
      </c>
      <c r="AR24373" s="4" t="s">
        <v>377</v>
      </c>
    </row>
    <row r="24374" spans="1:44" ht="90">
      <c r="A24374" s="4" t="s">
        <v>24364</v>
      </c>
      <c r="B24374" s="4">
        <v>95463</v>
      </c>
      <c r="D24374" s="5" t="s">
        <v>32070</v>
      </c>
      <c r="E24374" s="6" t="str">
        <f>HYPERLINK("https://inpn.mnhn.fr/espece/cd_nom/95463","Drymochloa sylvatica (Pollich) Holub, 1984")</f>
        <v>Drymochloa sylvatica (Pollich) Holub, 1984</v>
      </c>
      <c r="F24374" s="5" t="s">
        <v>32071</v>
      </c>
      <c r="Q24374" s="7" t="str">
        <f>HYPERLINK("#Liste_rouge!A"&amp;_xlfn.XMATCH("LC",Liste_rouge!A:A,2,1),"LC")</f>
        <v>LC</v>
      </c>
      <c r="T24374" s="7" t="str">
        <f>HYPERLINK("#Liste_rouge!A"&amp;_xlfn.XMATCH("VU",Liste_rouge!A:A,2,1),"VU")</f>
        <v>VU</v>
      </c>
      <c r="U24374" s="4" t="str">
        <f>HYPERLINK("#Critères_liste_rouge!A$1","C2a(i) D2")</f>
        <v>C2a(i) D2</v>
      </c>
      <c r="V24374" s="7" t="str">
        <f>HYPERLINK("#Liste_rouge!A"&amp;_xlfn.XMATCH("LC",Liste_rouge!A:A,2,1),"LC")</f>
        <v>LC</v>
      </c>
      <c r="AB24374" s="4" t="s">
        <v>25854</v>
      </c>
      <c r="AH24374" s="4" t="str">
        <f>HYPERLINK("#Statut_biogéographique!A"&amp;_xlfn.XMATCH("P",Statut_biogéographique!A:A,2,1),"P")</f>
        <v>P</v>
      </c>
      <c r="AM24374" s="4" t="s">
        <v>375</v>
      </c>
      <c r="AN24374" s="4" t="s">
        <v>375</v>
      </c>
      <c r="AO24374" s="4" t="s">
        <v>375</v>
      </c>
      <c r="AP24374" s="4" t="s">
        <v>376</v>
      </c>
      <c r="AR24374" s="4" t="s">
        <v>377</v>
      </c>
    </row>
    <row r="24375" spans="1:44" ht="30">
      <c r="A24375" s="4" t="s">
        <v>24364</v>
      </c>
      <c r="B24375" s="4">
        <v>95547</v>
      </c>
      <c r="D24375" s="5" t="s">
        <v>32072</v>
      </c>
      <c r="E24375" s="6" t="str">
        <f>HYPERLINK("https://inpn.mnhn.fr/espece/cd_nom/95547","Dryopteris affinis (Lowe) Fraser-Jenk., 1979")</f>
        <v>Dryopteris affinis (Lowe) Fraser-Jenk., 1979</v>
      </c>
      <c r="F24375" s="5" t="s">
        <v>28478</v>
      </c>
      <c r="P24375" s="7" t="str">
        <f>HYPERLINK("#Liste_rouge!A"&amp;_xlfn.XMATCH("LC",Liste_rouge!A:A,2,1),"LC")</f>
        <v>LC</v>
      </c>
      <c r="Q24375" s="7" t="str">
        <f>HYPERLINK("#Liste_rouge!A"&amp;_xlfn.XMATCH("LC",Liste_rouge!A:A,2,1),"LC")</f>
        <v>LC</v>
      </c>
      <c r="T24375" s="7" t="str">
        <f>HYPERLINK("#Liste_rouge!A"&amp;_xlfn.XMATCH("LC",Liste_rouge!A:A,2,1),"LC")</f>
        <v>LC</v>
      </c>
      <c r="V24375" s="7" t="str">
        <f>HYPERLINK("#Liste_rouge!A"&amp;_xlfn.XMATCH("LC",Liste_rouge!A:A,2,1),"LC")</f>
        <v>LC</v>
      </c>
      <c r="AH24375" s="4" t="str">
        <f>HYPERLINK("#Statut_biogéographique!A"&amp;_xlfn.XMATCH("P",Statut_biogéographique!A:A,2,1),"P")</f>
        <v>P</v>
      </c>
      <c r="AM24375" s="4" t="s">
        <v>375</v>
      </c>
      <c r="AN24375" s="4" t="s">
        <v>375</v>
      </c>
      <c r="AO24375" s="4" t="s">
        <v>375</v>
      </c>
      <c r="AP24375" s="4" t="s">
        <v>376</v>
      </c>
      <c r="AR24375" s="4" t="s">
        <v>377</v>
      </c>
    </row>
    <row r="24376" spans="1:44" ht="90">
      <c r="A24376" s="4" t="s">
        <v>24364</v>
      </c>
      <c r="B24376" s="4">
        <v>95558</v>
      </c>
      <c r="D24376" s="5" t="s">
        <v>32073</v>
      </c>
      <c r="E24376" s="6" t="str">
        <f>HYPERLINK("https://inpn.mnhn.fr/espece/cd_nom/95558","Dryopteris carthusiana (Vill.) H.P.Fuchs, 1959")</f>
        <v>Dryopteris carthusiana (Vill.) H.P.Fuchs, 1959</v>
      </c>
      <c r="F24376" s="5" t="s">
        <v>32074</v>
      </c>
      <c r="P24376" s="7" t="str">
        <f>HYPERLINK("#Liste_rouge!A"&amp;_xlfn.XMATCH("LC",Liste_rouge!A:A,2,1),"LC")</f>
        <v>LC</v>
      </c>
      <c r="Q24376" s="7" t="str">
        <f>HYPERLINK("#Liste_rouge!A"&amp;_xlfn.XMATCH("LC",Liste_rouge!A:A,2,1),"LC")</f>
        <v>LC</v>
      </c>
      <c r="T24376" s="7" t="str">
        <f>HYPERLINK("#Liste_rouge!A"&amp;_xlfn.XMATCH("LC",Liste_rouge!A:A,2,1),"LC")</f>
        <v>LC</v>
      </c>
      <c r="V24376" s="7" t="str">
        <f>HYPERLINK("#Liste_rouge!A"&amp;_xlfn.XMATCH("LC",Liste_rouge!A:A,2,1),"LC")</f>
        <v>LC</v>
      </c>
      <c r="AH24376" s="4" t="str">
        <f>HYPERLINK("#Statut_biogéographique!A"&amp;_xlfn.XMATCH("P",Statut_biogéographique!A:A,2,1),"P")</f>
        <v>P</v>
      </c>
      <c r="AM24376" s="4" t="s">
        <v>375</v>
      </c>
      <c r="AN24376" s="4" t="s">
        <v>375</v>
      </c>
      <c r="AO24376" s="4" t="s">
        <v>375</v>
      </c>
      <c r="AP24376" s="4" t="s">
        <v>376</v>
      </c>
      <c r="AR24376" s="4" t="s">
        <v>377</v>
      </c>
    </row>
    <row r="24377" spans="1:44" ht="30">
      <c r="A24377" s="4" t="s">
        <v>24364</v>
      </c>
      <c r="B24377" s="4">
        <v>95561</v>
      </c>
      <c r="D24377" s="5" t="s">
        <v>32075</v>
      </c>
      <c r="E24377" s="6" t="str">
        <f>HYPERLINK("https://inpn.mnhn.fr/espece/cd_nom/95561","Dryopteris cristata (L.) A.Gray, 1848")</f>
        <v>Dryopteris cristata (L.) A.Gray, 1848</v>
      </c>
      <c r="F24377" s="5" t="s">
        <v>32076</v>
      </c>
      <c r="L24377" s="4" t="str">
        <f>HYPERLINK("#Réglementation!A"&amp;_xlfn.XMATCH("NV1",Réglementation!A:A,2,1),"NV1")</f>
        <v>NV1</v>
      </c>
      <c r="P24377" s="7" t="str">
        <f>HYPERLINK("#Liste_rouge!A"&amp;_xlfn.XMATCH("LC",Liste_rouge!A:A,2,1),"LC")</f>
        <v>LC</v>
      </c>
      <c r="Q24377" s="7" t="str">
        <f>HYPERLINK("#Liste_rouge!A"&amp;_xlfn.XMATCH("EN",Liste_rouge!A:A,2,1),"EN")</f>
        <v>EN</v>
      </c>
      <c r="T24377" s="7" t="str">
        <f>HYPERLINK("#Liste_rouge!A"&amp;_xlfn.XMATCH("RE",Liste_rouge!A:A,2,1),"RE")</f>
        <v>RE</v>
      </c>
      <c r="V24377" s="7" t="str">
        <f>HYPERLINK("#Liste_rouge!A"&amp;_xlfn.XMATCH("CR",Liste_rouge!A:A,2,1),"CR")</f>
        <v>CR</v>
      </c>
      <c r="W24377" s="4" t="str">
        <f>HYPERLINK("#Critères_liste_rouge!A$1","B2ab(iv)")</f>
        <v>B2ab(iv)</v>
      </c>
      <c r="X24377" s="5" t="s">
        <v>374</v>
      </c>
      <c r="AB24377" s="4" t="s">
        <v>93</v>
      </c>
      <c r="AE24377" s="4" t="str">
        <f>HYPERLINK("#SCAP!A"&amp;_xlfn.XMATCH("1+",SCAP!A:A,2,1),"1+")</f>
        <v>1+</v>
      </c>
      <c r="AG24377" s="4" t="str">
        <f>HYPERLINK("#SCAP!A"&amp;_xlfn.XMATCH("1-",SCAP!A:A,2,1),"1-")</f>
        <v>1-</v>
      </c>
      <c r="AH24377" s="4" t="str">
        <f>HYPERLINK("#Statut_biogéographique!A"&amp;_xlfn.XMATCH("P",Statut_biogéographique!A:A,2,1),"P")</f>
        <v>P</v>
      </c>
      <c r="AM24377" s="4" t="s">
        <v>375</v>
      </c>
      <c r="AN24377" s="4" t="s">
        <v>375</v>
      </c>
      <c r="AO24377" s="4" t="s">
        <v>375</v>
      </c>
      <c r="AP24377" s="4" t="s">
        <v>389</v>
      </c>
      <c r="AR24377" s="4" t="s">
        <v>377</v>
      </c>
    </row>
    <row r="24378" spans="1:44" ht="120">
      <c r="A24378" s="4" t="s">
        <v>24364</v>
      </c>
      <c r="B24378" s="4">
        <v>95563</v>
      </c>
      <c r="D24378" s="5" t="s">
        <v>32077</v>
      </c>
      <c r="E24378" s="6" t="str">
        <f>HYPERLINK("https://inpn.mnhn.fr/espece/cd_nom/95563","Dryopteris dilatata (Hoffm.) A.Gray, 1848")</f>
        <v>Dryopteris dilatata (Hoffm.) A.Gray, 1848</v>
      </c>
      <c r="F24378" s="5" t="s">
        <v>32078</v>
      </c>
      <c r="P24378" s="7" t="str">
        <f>HYPERLINK("#Liste_rouge!A"&amp;_xlfn.XMATCH("LC",Liste_rouge!A:A,2,1),"LC")</f>
        <v>LC</v>
      </c>
      <c r="Q24378" s="7" t="str">
        <f>HYPERLINK("#Liste_rouge!A"&amp;_xlfn.XMATCH("LC",Liste_rouge!A:A,2,1),"LC")</f>
        <v>LC</v>
      </c>
      <c r="T24378" s="7" t="str">
        <f>HYPERLINK("#Liste_rouge!A"&amp;_xlfn.XMATCH("LC",Liste_rouge!A:A,2,1),"LC")</f>
        <v>LC</v>
      </c>
      <c r="V24378" s="7" t="str">
        <f>HYPERLINK("#Liste_rouge!A"&amp;_xlfn.XMATCH("LC",Liste_rouge!A:A,2,1),"LC")</f>
        <v>LC</v>
      </c>
      <c r="AH24378" s="4" t="str">
        <f>HYPERLINK("#Statut_biogéographique!A"&amp;_xlfn.XMATCH("P",Statut_biogéographique!A:A,2,1),"P")</f>
        <v>P</v>
      </c>
      <c r="AM24378" s="4" t="s">
        <v>375</v>
      </c>
      <c r="AN24378" s="4" t="s">
        <v>375</v>
      </c>
      <c r="AO24378" s="4" t="s">
        <v>375</v>
      </c>
      <c r="AP24378" s="4" t="s">
        <v>376</v>
      </c>
      <c r="AR24378" s="4" t="s">
        <v>377</v>
      </c>
    </row>
    <row r="24379" spans="1:44" ht="30">
      <c r="A24379" s="4" t="s">
        <v>24364</v>
      </c>
      <c r="B24379" s="4">
        <v>95566</v>
      </c>
      <c r="D24379" s="5" t="s">
        <v>32079</v>
      </c>
      <c r="E24379" s="6" t="str">
        <f>HYPERLINK("https://inpn.mnhn.fr/espece/cd_nom/95566","Dryopteris expansa (C.Presl) Fraser-Jenk. &amp; Jermy, 1977")</f>
        <v>Dryopteris expansa (C.Presl) Fraser-Jenk. &amp; Jermy, 1977</v>
      </c>
      <c r="F24379" s="5" t="s">
        <v>32080</v>
      </c>
      <c r="P24379" s="7" t="str">
        <f>HYPERLINK("#Liste_rouge!A"&amp;_xlfn.XMATCH("LC",Liste_rouge!A:A,2,1),"LC")</f>
        <v>LC</v>
      </c>
      <c r="Q24379" s="7" t="str">
        <f>HYPERLINK("#Liste_rouge!A"&amp;_xlfn.XMATCH("LC",Liste_rouge!A:A,2,1),"LC")</f>
        <v>LC</v>
      </c>
      <c r="V24379" s="7" t="str">
        <f>HYPERLINK("#Liste_rouge!A"&amp;_xlfn.XMATCH("DD",Liste_rouge!A:A,2,1),"DD")</f>
        <v>DD</v>
      </c>
      <c r="X24379" s="5" t="s">
        <v>374</v>
      </c>
      <c r="AB24379" s="4" t="s">
        <v>93</v>
      </c>
      <c r="AH24379" s="4" t="str">
        <f>HYPERLINK("#Statut_biogéographique!A"&amp;_xlfn.XMATCH("P",Statut_biogéographique!A:A,2,1),"P")</f>
        <v>P</v>
      </c>
      <c r="AM24379" s="4" t="s">
        <v>375</v>
      </c>
      <c r="AN24379" s="4" t="s">
        <v>375</v>
      </c>
      <c r="AO24379" s="4" t="s">
        <v>375</v>
      </c>
      <c r="AP24379" s="4" t="s">
        <v>376</v>
      </c>
      <c r="AR24379" s="4" t="s">
        <v>377</v>
      </c>
    </row>
    <row r="24380" spans="1:44" ht="75">
      <c r="A24380" s="4" t="s">
        <v>24364</v>
      </c>
      <c r="B24380" s="4">
        <v>95567</v>
      </c>
      <c r="D24380" s="5" t="s">
        <v>32081</v>
      </c>
      <c r="E24380" s="6" t="str">
        <f>HYPERLINK("https://inpn.mnhn.fr/espece/cd_nom/95567","Dryopteris filix-mas (L.) Schott, 1834")</f>
        <v>Dryopteris filix-mas (L.) Schott, 1834</v>
      </c>
      <c r="F24380" s="5" t="s">
        <v>32082</v>
      </c>
      <c r="P24380" s="7" t="str">
        <f>HYPERLINK("#Liste_rouge!A"&amp;_xlfn.XMATCH("LC",Liste_rouge!A:A,2,1),"LC")</f>
        <v>LC</v>
      </c>
      <c r="Q24380" s="7" t="str">
        <f>HYPERLINK("#Liste_rouge!A"&amp;_xlfn.XMATCH("LC",Liste_rouge!A:A,2,1),"LC")</f>
        <v>LC</v>
      </c>
      <c r="T24380" s="7" t="str">
        <f>HYPERLINK("#Liste_rouge!A"&amp;_xlfn.XMATCH("LC",Liste_rouge!A:A,2,1),"LC")</f>
        <v>LC</v>
      </c>
      <c r="V24380" s="7" t="str">
        <f>HYPERLINK("#Liste_rouge!A"&amp;_xlfn.XMATCH("LC",Liste_rouge!A:A,2,1),"LC")</f>
        <v>LC</v>
      </c>
      <c r="AH24380" s="4" t="str">
        <f>HYPERLINK("#Statut_biogéographique!A"&amp;_xlfn.XMATCH("P",Statut_biogéographique!A:A,2,1),"P")</f>
        <v>P</v>
      </c>
      <c r="AM24380" s="4" t="s">
        <v>375</v>
      </c>
      <c r="AN24380" s="4" t="s">
        <v>375</v>
      </c>
      <c r="AO24380" s="4" t="s">
        <v>375</v>
      </c>
      <c r="AP24380" s="4" t="s">
        <v>376</v>
      </c>
      <c r="AR24380" s="4" t="s">
        <v>377</v>
      </c>
    </row>
    <row r="24381" spans="1:44" ht="60">
      <c r="A24381" s="4" t="s">
        <v>24364</v>
      </c>
      <c r="B24381" s="4">
        <v>95589</v>
      </c>
      <c r="D24381" s="5" t="s">
        <v>32083</v>
      </c>
      <c r="E24381" s="6" t="str">
        <f>HYPERLINK("https://inpn.mnhn.fr/espece/cd_nom/95589","Dryopteris remota (A.Braun ex Döll) Druce, 1908")</f>
        <v>Dryopteris remota (A.Braun ex Döll) Druce, 1908</v>
      </c>
      <c r="F24381" s="5" t="s">
        <v>32084</v>
      </c>
      <c r="M24381" s="4" t="str">
        <f>HYPERLINK("#Réglementation!A"&amp;_xlfn.XMATCH("RV43",Réglementation!A:A,2,1),"RV43")</f>
        <v>RV43</v>
      </c>
      <c r="P24381" s="7" t="str">
        <f>HYPERLINK("#Liste_rouge!A"&amp;_xlfn.XMATCH("LC",Liste_rouge!A:A,2,1),"LC")</f>
        <v>LC</v>
      </c>
      <c r="Q24381" s="7" t="str">
        <f>HYPERLINK("#Liste_rouge!A"&amp;_xlfn.XMATCH("LC",Liste_rouge!A:A,2,1),"LC")</f>
        <v>LC</v>
      </c>
      <c r="T24381" s="7" t="str">
        <f>HYPERLINK("#Liste_rouge!A"&amp;_xlfn.XMATCH("RE",Liste_rouge!A:A,2,1),"RE")</f>
        <v>RE</v>
      </c>
      <c r="V24381" s="7" t="str">
        <f>HYPERLINK("#Liste_rouge!A"&amp;_xlfn.XMATCH("DD",Liste_rouge!A:A,2,1),"DD")</f>
        <v>DD</v>
      </c>
      <c r="X24381" s="5" t="s">
        <v>374</v>
      </c>
      <c r="AB24381" s="4" t="s">
        <v>93</v>
      </c>
      <c r="AH24381" s="4" t="str">
        <f>HYPERLINK("#Statut_biogéographique!A"&amp;_xlfn.XMATCH("P",Statut_biogéographique!A:A,2,1),"P")</f>
        <v>P</v>
      </c>
      <c r="AM24381" s="4" t="s">
        <v>375</v>
      </c>
      <c r="AN24381" s="4" t="s">
        <v>375</v>
      </c>
      <c r="AO24381" s="4" t="s">
        <v>375</v>
      </c>
      <c r="AP24381" s="4" t="s">
        <v>376</v>
      </c>
      <c r="AR24381" s="4" t="s">
        <v>377</v>
      </c>
    </row>
    <row r="24382" spans="1:44" ht="30">
      <c r="A24382" s="4" t="s">
        <v>24364</v>
      </c>
      <c r="B24382" s="4">
        <v>95603</v>
      </c>
      <c r="D24382" s="5">
        <v>95603</v>
      </c>
      <c r="E24382" s="6" t="str">
        <f>HYPERLINK("https://inpn.mnhn.fr/espece/cd_nom/95603","Dryopteris x ambroseae Fraser-Jenk. &amp; Jermy, 1977")</f>
        <v>Dryopteris x ambroseae Fraser-Jenk. &amp; Jermy, 1977</v>
      </c>
      <c r="F24382" s="5" t="s">
        <v>32085</v>
      </c>
      <c r="AH24382" s="4" t="str">
        <f>HYPERLINK("#Statut_biogéographique!A"&amp;_xlfn.XMATCH("P",Statut_biogéographique!A:A,2,1),"P")</f>
        <v>P</v>
      </c>
      <c r="AP24382" s="4" t="s">
        <v>376</v>
      </c>
      <c r="AR24382" s="4" t="s">
        <v>377</v>
      </c>
    </row>
    <row r="24383" spans="1:44">
      <c r="A24383" s="4" t="s">
        <v>24364</v>
      </c>
      <c r="B24383" s="4">
        <v>95608</v>
      </c>
      <c r="D24383" s="5" t="s">
        <v>32086</v>
      </c>
      <c r="E24383" s="6" t="str">
        <f>HYPERLINK("https://inpn.mnhn.fr/espece/cd_nom/95608","Dryopteris x complexa Fraser-Jenk., 1987")</f>
        <v>Dryopteris x complexa Fraser-Jenk., 1987</v>
      </c>
      <c r="F24383" s="5" t="s">
        <v>28484</v>
      </c>
      <c r="T24383" s="7" t="str">
        <f>HYPERLINK("#Liste_rouge!A"&amp;_xlfn.XMATCH("DD",Liste_rouge!A:A,2,1),"DD")</f>
        <v>DD</v>
      </c>
      <c r="AH24383" s="4" t="str">
        <f>HYPERLINK("#Statut_biogéographique!A"&amp;_xlfn.XMATCH("P",Statut_biogéographique!A:A,2,1),"P")</f>
        <v>P</v>
      </c>
      <c r="AP24383" s="4" t="s">
        <v>376</v>
      </c>
      <c r="AR24383" s="4" t="s">
        <v>377</v>
      </c>
    </row>
    <row r="24384" spans="1:44" ht="30">
      <c r="A24384" s="4" t="s">
        <v>24364</v>
      </c>
      <c r="B24384" s="4">
        <v>95609</v>
      </c>
      <c r="D24384" s="5" t="s">
        <v>32087</v>
      </c>
      <c r="E24384" s="6" t="str">
        <f>HYPERLINK("https://inpn.mnhn.fr/espece/cd_nom/95609","Dryopteris x deweveri (J.T.Jansen) Jansen &amp; Wacht., 1934")</f>
        <v>Dryopteris x deweveri (J.T.Jansen) Jansen &amp; Wacht., 1934</v>
      </c>
      <c r="F24384" s="5" t="s">
        <v>32088</v>
      </c>
      <c r="T24384" s="7" t="str">
        <f>HYPERLINK("#Liste_rouge!A"&amp;_xlfn.XMATCH("DD",Liste_rouge!A:A,2,1),"DD")</f>
        <v>DD</v>
      </c>
      <c r="AH24384" s="4" t="str">
        <f>HYPERLINK("#Statut_biogéographique!A"&amp;_xlfn.XMATCH("P",Statut_biogéographique!A:A,2,1),"P")</f>
        <v>P</v>
      </c>
      <c r="AP24384" s="4" t="s">
        <v>376</v>
      </c>
      <c r="AR24384" s="4" t="s">
        <v>377</v>
      </c>
    </row>
    <row r="24385" spans="1:44" ht="45">
      <c r="A24385" s="4" t="s">
        <v>24364</v>
      </c>
      <c r="B24385" s="4">
        <v>95625</v>
      </c>
      <c r="D24385" s="5" t="s">
        <v>32089</v>
      </c>
      <c r="E24385" s="6" t="str">
        <f>HYPERLINK("https://inpn.mnhn.fr/espece/cd_nom/95625","Dryopteris x uliginosa (A.Braun ex Döll) Kuntze ex Druce, 1908")</f>
        <v>Dryopteris x uliginosa (A.Braun ex Döll) Kuntze ex Druce, 1908</v>
      </c>
      <c r="F24385" s="5" t="s">
        <v>32090</v>
      </c>
      <c r="AH24385" s="4" t="str">
        <f>HYPERLINK("#Statut_biogéographique!A"&amp;_xlfn.XMATCH("P",Statut_biogéographique!A:A,2,1),"P")</f>
        <v>P</v>
      </c>
      <c r="AP24385" s="4" t="s">
        <v>376</v>
      </c>
      <c r="AR24385" s="4" t="s">
        <v>377</v>
      </c>
    </row>
    <row r="24386" spans="1:44" ht="30">
      <c r="A24386" s="4" t="s">
        <v>24364</v>
      </c>
      <c r="B24386" s="4">
        <v>95662</v>
      </c>
      <c r="D24386" s="5" t="s">
        <v>32091</v>
      </c>
      <c r="E24386" s="6" t="str">
        <f>HYPERLINK("https://inpn.mnhn.fr/espece/cd_nom/95662","Ecballium elaterium (L.) A.Rich., 1824")</f>
        <v>Ecballium elaterium (L.) A.Rich., 1824</v>
      </c>
      <c r="F24386" s="5" t="s">
        <v>28485</v>
      </c>
      <c r="Q24386" s="7" t="str">
        <f>HYPERLINK("#Liste_rouge!A"&amp;_xlfn.XMATCH("LC",Liste_rouge!A:A,2,1),"LC")</f>
        <v>LC</v>
      </c>
      <c r="T24386" s="7" t="str">
        <f>HYPERLINK("#Liste_rouge!A"&amp;_xlfn.XMATCH("NA",Liste_rouge!A:A,2,1),"NA")</f>
        <v>NA</v>
      </c>
      <c r="AH24386" s="4" t="str">
        <f>HYPERLINK("#Statut_biogéographique!A"&amp;_xlfn.XMATCH("P",Statut_biogéographique!A:A,2,1),"P")</f>
        <v>P</v>
      </c>
      <c r="AP24386" s="4" t="s">
        <v>376</v>
      </c>
      <c r="AR24386" s="4" t="s">
        <v>377</v>
      </c>
    </row>
    <row r="24387" spans="1:44" ht="30">
      <c r="A24387" s="4" t="s">
        <v>24364</v>
      </c>
      <c r="B24387" s="4">
        <v>956667</v>
      </c>
      <c r="D24387" s="5" t="s">
        <v>32092</v>
      </c>
      <c r="E24387" s="6" t="str">
        <f>HYPERLINK("https://inpn.mnhn.fr/espece/cd_nom/956667","Imbribryum subapiculatum (Hampe) D.Bell &amp; Holyoak, 2020")</f>
        <v>Imbribryum subapiculatum (Hampe) D.Bell &amp; Holyoak, 2020</v>
      </c>
      <c r="P24387" s="7" t="str">
        <f>HYPERLINK("#Liste_rouge!A"&amp;_xlfn.XMATCH("LC",Liste_rouge!A:A,2,1),"LC")</f>
        <v>LC</v>
      </c>
      <c r="T24387" s="7" t="str">
        <f>HYPERLINK("#Liste_rouge!A"&amp;_xlfn.XMATCH("LC",Liste_rouge!A:A,2,1),"LC")</f>
        <v>LC</v>
      </c>
      <c r="V24387" s="7" t="str">
        <f>HYPERLINK("#Liste_rouge!A"&amp;_xlfn.XMATCH("LC",Liste_rouge!A:A,2,1),"LC (cd_nom 956667) - NE (cd_nom 956667)")</f>
        <v>LC (cd_nom 956667) - NE (cd_nom 956667)</v>
      </c>
      <c r="AH24387" s="4" t="str">
        <f>HYPERLINK("#Statut_biogéographique!A"&amp;_xlfn.XMATCH("P",Statut_biogéographique!A:A,2,1),"P")</f>
        <v>P</v>
      </c>
      <c r="AP24387" s="4" t="s">
        <v>376</v>
      </c>
      <c r="AR24387" s="4" t="s">
        <v>377</v>
      </c>
    </row>
    <row r="24388" spans="1:44" ht="30">
      <c r="A24388" s="4" t="s">
        <v>24364</v>
      </c>
      <c r="B24388" s="4">
        <v>956668</v>
      </c>
      <c r="D24388" s="5" t="s">
        <v>32093</v>
      </c>
      <c r="E24388" s="6" t="str">
        <f>HYPERLINK("https://inpn.mnhn.fr/espece/cd_nom/956668","Imbribryum tenuisetum (Limpr.) D.Bell &amp; Holyoak, 2020")</f>
        <v>Imbribryum tenuisetum (Limpr.) D.Bell &amp; Holyoak, 2020</v>
      </c>
      <c r="P24388" s="7" t="str">
        <f>HYPERLINK("#Liste_rouge!A"&amp;_xlfn.XMATCH("LC",Liste_rouge!A:A,2,1),"LC")</f>
        <v>LC</v>
      </c>
      <c r="T24388" s="7" t="str">
        <f>HYPERLINK("#Liste_rouge!A"&amp;_xlfn.XMATCH("VU",Liste_rouge!A:A,2,1),"VU")</f>
        <v>VU</v>
      </c>
      <c r="V24388" s="7" t="str">
        <f>HYPERLINK("#Liste_rouge!A"&amp;_xlfn.XMATCH("DD",Liste_rouge!A:A,2,1),"DD")</f>
        <v>DD</v>
      </c>
      <c r="X24388" s="5" t="s">
        <v>374</v>
      </c>
      <c r="AB24388" s="4" t="s">
        <v>93</v>
      </c>
      <c r="AH24388" s="4" t="str">
        <f>HYPERLINK("#Statut_biogéographique!A"&amp;_xlfn.XMATCH("P",Statut_biogéographique!A:A,2,1),"P")</f>
        <v>P</v>
      </c>
      <c r="AP24388" s="4" t="s">
        <v>376</v>
      </c>
      <c r="AR24388" s="4" t="s">
        <v>377</v>
      </c>
    </row>
    <row r="24389" spans="1:44" ht="150">
      <c r="A24389" s="4" t="s">
        <v>24364</v>
      </c>
      <c r="B24389" s="4">
        <v>95671</v>
      </c>
      <c r="D24389" s="5" t="s">
        <v>32094</v>
      </c>
      <c r="E24389" s="6" t="str">
        <f>HYPERLINK("https://inpn.mnhn.fr/espece/cd_nom/95671","Echinochloa crus-galli (L.) P.Beauv., 1812")</f>
        <v>Echinochloa crus-galli (L.) P.Beauv., 1812</v>
      </c>
      <c r="F24389" s="5" t="s">
        <v>32095</v>
      </c>
      <c r="O24389" s="7" t="str">
        <f>HYPERLINK("#Liste_rouge!A"&amp;_xlfn.XMATCH("LC",Liste_rouge!A:A,2,1),"LC")</f>
        <v>LC</v>
      </c>
      <c r="Q24389" s="7" t="str">
        <f>HYPERLINK("#Liste_rouge!A"&amp;_xlfn.XMATCH("LC",Liste_rouge!A:A,2,1),"LC")</f>
        <v>LC</v>
      </c>
      <c r="T24389" s="7" t="str">
        <f>HYPERLINK("#Liste_rouge!A"&amp;_xlfn.XMATCH("NA",Liste_rouge!A:A,2,1),"NA")</f>
        <v>NA</v>
      </c>
      <c r="AH24389" s="4" t="str">
        <f>HYPERLINK("#Statut_biogéographique!A"&amp;_xlfn.XMATCH("P",Statut_biogéographique!A:A,2,1),"P")</f>
        <v>P</v>
      </c>
      <c r="AM24389" s="4" t="s">
        <v>375</v>
      </c>
      <c r="AN24389" s="4" t="s">
        <v>375</v>
      </c>
      <c r="AO24389" s="4" t="s">
        <v>375</v>
      </c>
      <c r="AP24389" s="4" t="s">
        <v>376</v>
      </c>
      <c r="AR24389" s="4" t="s">
        <v>377</v>
      </c>
    </row>
    <row r="24390" spans="1:44" ht="30">
      <c r="A24390" s="4" t="s">
        <v>24364</v>
      </c>
      <c r="B24390" s="4">
        <v>956735</v>
      </c>
      <c r="D24390" s="5" t="s">
        <v>32096</v>
      </c>
      <c r="E24390" s="6" t="str">
        <f>HYPERLINK("https://inpn.mnhn.fr/espece/cd_nom/956735","Ptychostomum elegans (Nees) D.Bell &amp; Holyoak, 2020")</f>
        <v>Ptychostomum elegans (Nees) D.Bell &amp; Holyoak, 2020</v>
      </c>
      <c r="P24390" s="7" t="str">
        <f>HYPERLINK("#Liste_rouge!A"&amp;_xlfn.XMATCH("LC",Liste_rouge!A:A,2,1),"LC")</f>
        <v>LC</v>
      </c>
      <c r="T24390" s="7" t="str">
        <f>HYPERLINK("#Liste_rouge!A"&amp;_xlfn.XMATCH("VU",Liste_rouge!A:A,2,1),"VU")</f>
        <v>VU</v>
      </c>
      <c r="V24390" s="7" t="str">
        <f>HYPERLINK("#Liste_rouge!A"&amp;_xlfn.XMATCH("LC",Liste_rouge!A:A,2,1),"LC")</f>
        <v>LC</v>
      </c>
      <c r="AB24390" s="4" t="s">
        <v>29273</v>
      </c>
      <c r="AH24390" s="4" t="str">
        <f>HYPERLINK("#Statut_biogéographique!A"&amp;_xlfn.XMATCH("P",Statut_biogéographique!A:A,2,1),"P")</f>
        <v>P</v>
      </c>
      <c r="AP24390" s="4" t="s">
        <v>376</v>
      </c>
      <c r="AR24390" s="4" t="s">
        <v>377</v>
      </c>
    </row>
    <row r="24391" spans="1:44" ht="30">
      <c r="A24391" s="4" t="s">
        <v>24364</v>
      </c>
      <c r="B24391" s="4">
        <v>956740</v>
      </c>
      <c r="D24391" s="5" t="s">
        <v>32097</v>
      </c>
      <c r="E24391" s="6" t="str">
        <f>HYPERLINK("https://inpn.mnhn.fr/espece/cd_nom/956740","Ptychostomum schleicheri (DC.) J.R.Spence ex D.Bell &amp; Holyoak, 2020")</f>
        <v>Ptychostomum schleicheri (DC.) J.R.Spence ex D.Bell &amp; Holyoak, 2020</v>
      </c>
      <c r="T24391" s="7" t="str">
        <f>HYPERLINK("#Liste_rouge!A"&amp;_xlfn.XMATCH("CR",Liste_rouge!A:A,2,1),"CR")</f>
        <v>CR</v>
      </c>
      <c r="V24391" s="7" t="str">
        <f>HYPERLINK("#Liste_rouge!A"&amp;_xlfn.XMATCH("CR",Liste_rouge!A:A,2,1),"CR")</f>
        <v>CR</v>
      </c>
      <c r="X24391" s="5" t="s">
        <v>374</v>
      </c>
      <c r="AB24391" s="4" t="s">
        <v>93</v>
      </c>
      <c r="AH24391" s="4" t="str">
        <f>HYPERLINK("#Statut_biogéographique!A"&amp;_xlfn.XMATCH("P",Statut_biogéographique!A:A,2,1),"P")</f>
        <v>P</v>
      </c>
      <c r="AP24391" s="4" t="s">
        <v>376</v>
      </c>
      <c r="AR24391" s="4" t="s">
        <v>377</v>
      </c>
    </row>
    <row r="24392" spans="1:44" ht="45">
      <c r="A24392" s="4" t="s">
        <v>24364</v>
      </c>
      <c r="B24392" s="4">
        <v>95679</v>
      </c>
      <c r="D24392" s="5" t="s">
        <v>32098</v>
      </c>
      <c r="E24392" s="6" t="str">
        <f>HYPERLINK("https://inpn.mnhn.fr/espece/cd_nom/95679","Echinochloa muricata (P.Beauv.) Fernald, 1915")</f>
        <v>Echinochloa muricata (P.Beauv.) Fernald, 1915</v>
      </c>
      <c r="F24392" s="5" t="s">
        <v>28920</v>
      </c>
      <c r="Q24392" s="7" t="str">
        <f>HYPERLINK("#Liste_rouge!A"&amp;_xlfn.XMATCH("NA",Liste_rouge!A:A,2,1),"NA")</f>
        <v>NA</v>
      </c>
      <c r="T24392" s="7" t="str">
        <f>HYPERLINK("#Liste_rouge!A"&amp;_xlfn.XMATCH("NA",Liste_rouge!A:A,2,1),"NA")</f>
        <v>NA</v>
      </c>
      <c r="AH24392" s="4" t="str">
        <f>HYPERLINK("#Statut_biogéographique!A"&amp;_xlfn.XMATCH("I",Statut_biogéographique!A:A,2,1),"I")</f>
        <v>I</v>
      </c>
      <c r="AM24392" s="4" t="s">
        <v>375</v>
      </c>
      <c r="AN24392" s="4" t="s">
        <v>375</v>
      </c>
      <c r="AO24392" s="4" t="s">
        <v>375</v>
      </c>
      <c r="AP24392" s="4" t="s">
        <v>376</v>
      </c>
      <c r="AR24392" s="4" t="s">
        <v>377</v>
      </c>
    </row>
    <row r="24393" spans="1:44" ht="30">
      <c r="A24393" s="4" t="s">
        <v>24364</v>
      </c>
      <c r="B24393" s="4">
        <v>95713</v>
      </c>
      <c r="D24393" s="5" t="s">
        <v>32099</v>
      </c>
      <c r="E24393" s="6" t="str">
        <f>HYPERLINK("https://inpn.mnhn.fr/espece/cd_nom/95713","Echinops sphaerocephalus L., 1753")</f>
        <v>Echinops sphaerocephalus L., 1753</v>
      </c>
      <c r="F24393" s="5" t="s">
        <v>32100</v>
      </c>
      <c r="Q24393" s="7" t="str">
        <f>HYPERLINK("#Liste_rouge!A"&amp;_xlfn.XMATCH("LC",Liste_rouge!A:A,2,1),"LC")</f>
        <v>LC</v>
      </c>
      <c r="T24393" s="7" t="str">
        <f>HYPERLINK("#Liste_rouge!A"&amp;_xlfn.XMATCH("NA",Liste_rouge!A:A,2,1),"NA")</f>
        <v>NA</v>
      </c>
      <c r="AH24393" s="4" t="str">
        <f>HYPERLINK("#Statut_biogéographique!A"&amp;_xlfn.XMATCH("P",Statut_biogéographique!A:A,2,1),"P")</f>
        <v>P</v>
      </c>
      <c r="AP24393" s="4" t="s">
        <v>376</v>
      </c>
      <c r="AR24393" s="4" t="s">
        <v>377</v>
      </c>
    </row>
    <row r="24394" spans="1:44">
      <c r="A24394" s="4" t="s">
        <v>24364</v>
      </c>
      <c r="B24394" s="4">
        <v>95793</v>
      </c>
      <c r="D24394" s="5" t="s">
        <v>32101</v>
      </c>
      <c r="E24394" s="6" t="str">
        <f>HYPERLINK("https://inpn.mnhn.fr/espece/cd_nom/95793","Echium vulgare L., 1753")</f>
        <v>Echium vulgare L., 1753</v>
      </c>
      <c r="F24394" s="5" t="s">
        <v>29711</v>
      </c>
      <c r="Q24394" s="7" t="str">
        <f>HYPERLINK("#Liste_rouge!A"&amp;_xlfn.XMATCH("LC",Liste_rouge!A:A,2,1),"LC")</f>
        <v>LC</v>
      </c>
      <c r="T24394" s="7" t="str">
        <f>HYPERLINK("#Liste_rouge!A"&amp;_xlfn.XMATCH("LC",Liste_rouge!A:A,2,1),"LC")</f>
        <v>LC</v>
      </c>
      <c r="V24394" s="7" t="str">
        <f>HYPERLINK("#Liste_rouge!A"&amp;_xlfn.XMATCH("LC",Liste_rouge!A:A,2,1),"LC")</f>
        <v>LC</v>
      </c>
      <c r="AH24394" s="4" t="str">
        <f>HYPERLINK("#Statut_biogéographique!A"&amp;_xlfn.XMATCH("P",Statut_biogéographique!A:A,2,1),"P")</f>
        <v>P</v>
      </c>
      <c r="AM24394" s="4" t="s">
        <v>375</v>
      </c>
      <c r="AN24394" s="4" t="s">
        <v>375</v>
      </c>
      <c r="AO24394" s="4" t="s">
        <v>375</v>
      </c>
      <c r="AP24394" s="4" t="s">
        <v>376</v>
      </c>
      <c r="AR24394" s="4" t="s">
        <v>377</v>
      </c>
    </row>
    <row r="24395" spans="1:44">
      <c r="A24395" s="4" t="s">
        <v>24364</v>
      </c>
      <c r="B24395" s="4">
        <v>95823</v>
      </c>
      <c r="D24395" s="5" t="s">
        <v>32102</v>
      </c>
      <c r="E24395" s="6" t="str">
        <f>HYPERLINK("https://inpn.mnhn.fr/espece/cd_nom/95823","Egeria densa Planch., 1849")</f>
        <v>Egeria densa Planch., 1849</v>
      </c>
      <c r="F24395" s="5" t="s">
        <v>32103</v>
      </c>
      <c r="Q24395" s="7" t="str">
        <f>HYPERLINK("#Liste_rouge!A"&amp;_xlfn.XMATCH("NA",Liste_rouge!A:A,2,1),"NA")</f>
        <v>NA</v>
      </c>
      <c r="T24395" s="7" t="str">
        <f>HYPERLINK("#Liste_rouge!A"&amp;_xlfn.XMATCH("NA",Liste_rouge!A:A,2,1),"NA")</f>
        <v>NA</v>
      </c>
      <c r="AH24395" s="4" t="str">
        <f>HYPERLINK("#Statut_biogéographique!A"&amp;_xlfn.XMATCH("J",Statut_biogéographique!A:A,2,1),"J")</f>
        <v>J</v>
      </c>
      <c r="AP24395" s="4" t="s">
        <v>376</v>
      </c>
      <c r="AR24395" s="4" t="s">
        <v>377</v>
      </c>
    </row>
    <row r="24396" spans="1:44" ht="45">
      <c r="A24396" s="4" t="s">
        <v>24364</v>
      </c>
      <c r="B24396" s="4">
        <v>95831</v>
      </c>
      <c r="D24396" s="5" t="s">
        <v>32104</v>
      </c>
      <c r="E24396" s="6" t="str">
        <f>HYPERLINK("https://inpn.mnhn.fr/espece/cd_nom/95831","Elaeagnus angustifolia L., 1753")</f>
        <v>Elaeagnus angustifolia L., 1753</v>
      </c>
      <c r="F24396" s="5" t="s">
        <v>32105</v>
      </c>
      <c r="Q24396" s="7" t="str">
        <f>HYPERLINK("#Liste_rouge!A"&amp;_xlfn.XMATCH("NA",Liste_rouge!A:A,2,1),"NA")</f>
        <v>NA</v>
      </c>
      <c r="T24396" s="7" t="str">
        <f>HYPERLINK("#Liste_rouge!A"&amp;_xlfn.XMATCH("NA",Liste_rouge!A:A,2,1),"NA")</f>
        <v>NA</v>
      </c>
      <c r="AH24396" s="4" t="str">
        <f>HYPERLINK("#Statut_biogéographique!A"&amp;_xlfn.XMATCH("I",Statut_biogéographique!A:A,2,1),"I")</f>
        <v>I</v>
      </c>
      <c r="AP24396" s="4" t="s">
        <v>376</v>
      </c>
      <c r="AR24396" s="4" t="s">
        <v>377</v>
      </c>
    </row>
    <row r="24397" spans="1:44" ht="30">
      <c r="A24397" s="4" t="s">
        <v>24364</v>
      </c>
      <c r="B24397" s="4">
        <v>95847</v>
      </c>
      <c r="D24397" s="5" t="s">
        <v>32106</v>
      </c>
      <c r="E24397" s="6" t="str">
        <f>HYPERLINK("https://inpn.mnhn.fr/espece/cd_nom/95847","Elatine alsinastrum L., 1753")</f>
        <v>Elatine alsinastrum L., 1753</v>
      </c>
      <c r="F24397" s="5" t="s">
        <v>32107</v>
      </c>
      <c r="O24397" s="7" t="str">
        <f>HYPERLINK("#Liste_rouge!A"&amp;_xlfn.XMATCH("NT",Liste_rouge!A:A,2,1),"NT")</f>
        <v>NT</v>
      </c>
      <c r="P24397" s="7" t="str">
        <f>HYPERLINK("#Liste_rouge!A"&amp;_xlfn.XMATCH("NT",Liste_rouge!A:A,2,1),"NT")</f>
        <v>NT</v>
      </c>
      <c r="Q24397" s="7" t="str">
        <f>HYPERLINK("#Liste_rouge!A"&amp;_xlfn.XMATCH("NT",Liste_rouge!A:A,2,1),"NT")</f>
        <v>NT</v>
      </c>
      <c r="T24397" s="7" t="str">
        <f>HYPERLINK("#Liste_rouge!A"&amp;_xlfn.XMATCH("EN",Liste_rouge!A:A,2,1),"EN")</f>
        <v>EN</v>
      </c>
      <c r="U24397" s="4" t="str">
        <f>HYPERLINK("#Critères_liste_rouge!A$1","B2a")</f>
        <v>B2a</v>
      </c>
      <c r="V24397" s="7" t="str">
        <f>HYPERLINK("#Liste_rouge!A"&amp;_xlfn.XMATCH("RE",Liste_rouge!A:A,2,1),"RE")</f>
        <v>RE</v>
      </c>
      <c r="X24397" s="5" t="s">
        <v>374</v>
      </c>
      <c r="AB24397" s="4" t="s">
        <v>93</v>
      </c>
      <c r="AE24397" s="4" t="str">
        <f>HYPERLINK("#SCAP!A"&amp;_xlfn.XMATCH("A",SCAP!A:A,2,1),"A")</f>
        <v>A</v>
      </c>
      <c r="AH24397" s="4" t="str">
        <f>HYPERLINK("#Statut_biogéographique!A"&amp;_xlfn.XMATCH("P",Statut_biogéographique!A:A,2,1),"P")</f>
        <v>P</v>
      </c>
      <c r="AM24397" s="4" t="s">
        <v>375</v>
      </c>
      <c r="AN24397" s="4" t="s">
        <v>375</v>
      </c>
      <c r="AO24397" s="4" t="s">
        <v>375</v>
      </c>
      <c r="AP24397" s="4" t="s">
        <v>376</v>
      </c>
      <c r="AR24397" s="4" t="s">
        <v>377</v>
      </c>
    </row>
    <row r="24398" spans="1:44" ht="30">
      <c r="A24398" s="4" t="s">
        <v>24364</v>
      </c>
      <c r="B24398" s="4">
        <v>95858</v>
      </c>
      <c r="D24398" s="5" t="s">
        <v>32108</v>
      </c>
      <c r="E24398" s="6" t="str">
        <f>HYPERLINK("https://inpn.mnhn.fr/espece/cd_nom/95858","Elatine hexandra (Lapierre) DC., 1808")</f>
        <v>Elatine hexandra (Lapierre) DC., 1808</v>
      </c>
      <c r="F24398" s="5" t="s">
        <v>32109</v>
      </c>
      <c r="M24398" s="4" t="str">
        <f>HYPERLINK("#Réglementation!A"&amp;_xlfn.XMATCH("RV26",Réglementation!A:A,2,1),"RV26")</f>
        <v>RV26</v>
      </c>
      <c r="P24398" s="7" t="str">
        <f>HYPERLINK("#Liste_rouge!A"&amp;_xlfn.XMATCH("LC",Liste_rouge!A:A,2,1),"LC")</f>
        <v>LC</v>
      </c>
      <c r="Q24398" s="7" t="str">
        <f>HYPERLINK("#Liste_rouge!A"&amp;_xlfn.XMATCH("LC",Liste_rouge!A:A,2,1),"LC")</f>
        <v>LC</v>
      </c>
      <c r="T24398" s="7" t="str">
        <f>HYPERLINK("#Liste_rouge!A"&amp;_xlfn.XMATCH("EN",Liste_rouge!A:A,2,1),"EN")</f>
        <v>EN</v>
      </c>
      <c r="U24398" s="4" t="str">
        <f>HYPERLINK("#Critères_liste_rouge!A$1","B2b(ii,iii,iv)c(iii,iv)")</f>
        <v>B2b(ii,iii,iv)c(iii,iv)</v>
      </c>
      <c r="V24398" s="7" t="str">
        <f>HYPERLINK("#Liste_rouge!A"&amp;_xlfn.XMATCH("NT",Liste_rouge!A:A,2,1),"NT")</f>
        <v>NT</v>
      </c>
      <c r="W24398" s="4" t="str">
        <f>HYPERLINK("#Critères_liste_rouge!A$1","pr. B2b(ii,iv)")</f>
        <v>pr. B2b(ii,iv)</v>
      </c>
      <c r="X24398" s="5" t="s">
        <v>374</v>
      </c>
      <c r="AB24398" s="4" t="s">
        <v>93</v>
      </c>
      <c r="AH24398" s="4" t="str">
        <f>HYPERLINK("#Statut_biogéographique!A"&amp;_xlfn.XMATCH("P",Statut_biogéographique!A:A,2,1),"P")</f>
        <v>P</v>
      </c>
      <c r="AM24398" s="4" t="s">
        <v>375</v>
      </c>
      <c r="AN24398" s="4" t="s">
        <v>375</v>
      </c>
      <c r="AO24398" s="4" t="s">
        <v>375</v>
      </c>
      <c r="AP24398" s="4" t="s">
        <v>376</v>
      </c>
      <c r="AR24398" s="4" t="s">
        <v>377</v>
      </c>
    </row>
    <row r="24399" spans="1:44">
      <c r="A24399" s="4" t="s">
        <v>24364</v>
      </c>
      <c r="B24399" s="4">
        <v>95868</v>
      </c>
      <c r="D24399" s="5" t="s">
        <v>32110</v>
      </c>
      <c r="E24399" s="6" t="str">
        <f>HYPERLINK("https://inpn.mnhn.fr/espece/cd_nom/95868","Elatine orthosperma Düben, 1839")</f>
        <v>Elatine orthosperma Düben, 1839</v>
      </c>
      <c r="P24399" s="7" t="str">
        <f>HYPERLINK("#Liste_rouge!A"&amp;_xlfn.XMATCH("LC",Liste_rouge!A:A,2,1),"LC")</f>
        <v>LC</v>
      </c>
      <c r="AH24399" s="4" t="str">
        <f>HYPERLINK("#Statut_biogéographique!A"&amp;_xlfn.XMATCH("P",Statut_biogéographique!A:A,2,1),"P")</f>
        <v>P</v>
      </c>
      <c r="AP24399" s="4" t="s">
        <v>376</v>
      </c>
      <c r="AR24399" s="4" t="s">
        <v>377</v>
      </c>
    </row>
    <row r="24400" spans="1:44" ht="30">
      <c r="A24400" s="4" t="s">
        <v>24364</v>
      </c>
      <c r="B24400" s="4">
        <v>95877</v>
      </c>
      <c r="D24400" s="5" t="s">
        <v>32111</v>
      </c>
      <c r="E24400" s="6" t="str">
        <f>HYPERLINK("https://inpn.mnhn.fr/espece/cd_nom/95877","Elatine triandra Schkuhr, 1791")</f>
        <v>Elatine triandra Schkuhr, 1791</v>
      </c>
      <c r="F24400" s="5" t="s">
        <v>32112</v>
      </c>
      <c r="M24400" s="4" t="str">
        <f>HYPERLINK("#Réglementation!A"&amp;_xlfn.XMATCH("RV43",Réglementation!A:A,2,1),"RV43")</f>
        <v>RV43</v>
      </c>
      <c r="O24400" s="7" t="str">
        <f>HYPERLINK("#Liste_rouge!A"&amp;_xlfn.XMATCH("LC",Liste_rouge!A:A,2,1),"LC")</f>
        <v>LC</v>
      </c>
      <c r="P24400" s="7" t="str">
        <f>HYPERLINK("#Liste_rouge!A"&amp;_xlfn.XMATCH("LC",Liste_rouge!A:A,2,1),"LC")</f>
        <v>LC</v>
      </c>
      <c r="Q24400" s="7" t="str">
        <f>HYPERLINK("#Liste_rouge!A"&amp;_xlfn.XMATCH("EN",Liste_rouge!A:A,2,1),"EN")</f>
        <v>EN</v>
      </c>
      <c r="T24400" s="7" t="str">
        <f>HYPERLINK("#Liste_rouge!A"&amp;_xlfn.XMATCH("CR",Liste_rouge!A:A,2,1),"CR")</f>
        <v>CR</v>
      </c>
      <c r="U24400" s="4" t="str">
        <f>HYPERLINK("#Critères_liste_rouge!A$1","B1 B2ab(ii,iii,iv) C2a(i)")</f>
        <v>B1 B2ab(ii,iii,iv) C2a(i)</v>
      </c>
      <c r="V24400" s="7" t="str">
        <f>HYPERLINK("#Liste_rouge!A"&amp;_xlfn.XMATCH("EN",Liste_rouge!A:A,2,1),"EN")</f>
        <v>EN</v>
      </c>
      <c r="W24400" s="4" t="str">
        <f>HYPERLINK("#Critères_liste_rouge!A$1","B2b(iii)c(iv)")</f>
        <v>B2b(iii)c(iv)</v>
      </c>
      <c r="X24400" s="5" t="s">
        <v>374</v>
      </c>
      <c r="AB24400" s="4" t="s">
        <v>93</v>
      </c>
      <c r="AE24400" s="4" t="str">
        <f>HYPERLINK("#SCAP!A"&amp;_xlfn.XMATCH("A",SCAP!A:A,2,1),"A")</f>
        <v>A</v>
      </c>
      <c r="AH24400" s="4" t="str">
        <f>HYPERLINK("#Statut_biogéographique!A"&amp;_xlfn.XMATCH("P",Statut_biogéographique!A:A,2,1),"P")</f>
        <v>P</v>
      </c>
      <c r="AM24400" s="4" t="s">
        <v>375</v>
      </c>
      <c r="AN24400" s="4" t="s">
        <v>375</v>
      </c>
      <c r="AO24400" s="4" t="s">
        <v>375</v>
      </c>
      <c r="AP24400" s="4" t="s">
        <v>389</v>
      </c>
      <c r="AR24400" s="4" t="s">
        <v>377</v>
      </c>
    </row>
    <row r="24401" spans="1:44" ht="60">
      <c r="A24401" s="4" t="s">
        <v>24364</v>
      </c>
      <c r="B24401" s="4">
        <v>95889</v>
      </c>
      <c r="D24401" s="5" t="s">
        <v>32113</v>
      </c>
      <c r="E24401" s="6" t="str">
        <f>HYPERLINK("https://inpn.mnhn.fr/espece/cd_nom/95889","Eleocharis acicularis (L.) Roem. &amp; Schult., 1817")</f>
        <v>Eleocharis acicularis (L.) Roem. &amp; Schult., 1817</v>
      </c>
      <c r="F24401" s="5" t="s">
        <v>32114</v>
      </c>
      <c r="O24401" s="7" t="str">
        <f>HYPERLINK("#Liste_rouge!A"&amp;_xlfn.XMATCH("LC",Liste_rouge!A:A,2,1),"LC")</f>
        <v>LC</v>
      </c>
      <c r="P24401" s="7" t="str">
        <f>HYPERLINK("#Liste_rouge!A"&amp;_xlfn.XMATCH("LC",Liste_rouge!A:A,2,1),"LC")</f>
        <v>LC</v>
      </c>
      <c r="Q24401" s="7" t="str">
        <f>HYPERLINK("#Liste_rouge!A"&amp;_xlfn.XMATCH("LC",Liste_rouge!A:A,2,1),"LC")</f>
        <v>LC</v>
      </c>
      <c r="T24401" s="7" t="str">
        <f>HYPERLINK("#Liste_rouge!A"&amp;_xlfn.XMATCH("LC",Liste_rouge!A:A,2,1),"LC")</f>
        <v>LC</v>
      </c>
      <c r="V24401" s="7" t="str">
        <f>HYPERLINK("#Liste_rouge!A"&amp;_xlfn.XMATCH("LC",Liste_rouge!A:A,2,1),"LC")</f>
        <v>LC</v>
      </c>
      <c r="AB24401" s="4" t="s">
        <v>30946</v>
      </c>
      <c r="AH24401" s="4" t="str">
        <f>HYPERLINK("#Statut_biogéographique!A"&amp;_xlfn.XMATCH("P",Statut_biogéographique!A:A,2,1),"P")</f>
        <v>P</v>
      </c>
      <c r="AM24401" s="4" t="s">
        <v>375</v>
      </c>
      <c r="AN24401" s="4" t="s">
        <v>375</v>
      </c>
      <c r="AO24401" s="4" t="s">
        <v>375</v>
      </c>
      <c r="AP24401" s="4" t="s">
        <v>376</v>
      </c>
      <c r="AR24401" s="4" t="s">
        <v>377</v>
      </c>
    </row>
    <row r="24402" spans="1:44" ht="45">
      <c r="A24402" s="4" t="s">
        <v>24364</v>
      </c>
      <c r="B24402" s="4">
        <v>95895</v>
      </c>
      <c r="D24402" s="5" t="s">
        <v>32115</v>
      </c>
      <c r="E24402" s="6" t="str">
        <f>HYPERLINK("https://inpn.mnhn.fr/espece/cd_nom/95895","Eleocharis bonariensis Nees, 1840")</f>
        <v>Eleocharis bonariensis Nees, 1840</v>
      </c>
      <c r="F24402" s="5" t="s">
        <v>32116</v>
      </c>
      <c r="Q24402" s="7" t="str">
        <f>HYPERLINK("#Liste_rouge!A"&amp;_xlfn.XMATCH("NA",Liste_rouge!A:A,2,1),"NA")</f>
        <v>NA</v>
      </c>
      <c r="AH24402" s="4" t="str">
        <f>HYPERLINK("#Statut_biogéographique!A"&amp;_xlfn.XMATCH("I",Statut_biogéographique!A:A,2,1),"I")</f>
        <v>I</v>
      </c>
      <c r="AP24402" s="4" t="s">
        <v>376</v>
      </c>
      <c r="AR24402" s="4" t="s">
        <v>377</v>
      </c>
    </row>
    <row r="24403" spans="1:44" ht="30">
      <c r="A24403" s="4" t="s">
        <v>24364</v>
      </c>
      <c r="B24403" s="4">
        <v>95914</v>
      </c>
      <c r="D24403" s="5" t="s">
        <v>32117</v>
      </c>
      <c r="E24403" s="6" t="str">
        <f>HYPERLINK("https://inpn.mnhn.fr/espece/cd_nom/95914","Eleocharis mamillata H.Lindb., 1902")</f>
        <v>Eleocharis mamillata H.Lindb., 1902</v>
      </c>
      <c r="F24403" s="5" t="s">
        <v>32118</v>
      </c>
      <c r="P24403" s="7" t="str">
        <f>HYPERLINK("#Liste_rouge!A"&amp;_xlfn.XMATCH("LC",Liste_rouge!A:A,2,1),"LC")</f>
        <v>LC</v>
      </c>
      <c r="Q24403" s="7" t="str">
        <f>HYPERLINK("#Liste_rouge!A"&amp;_xlfn.XMATCH("LC",Liste_rouge!A:A,2,1),"LC")</f>
        <v>LC</v>
      </c>
      <c r="V24403" s="7" t="str">
        <f>HYPERLINK("#Liste_rouge!A"&amp;_xlfn.XMATCH("LC",Liste_rouge!A:A,2,1),"LC")</f>
        <v>LC</v>
      </c>
      <c r="AH24403" s="4" t="str">
        <f>HYPERLINK("#Statut_biogéographique!A"&amp;_xlfn.XMATCH("P",Statut_biogéographique!A:A,2,1),"P")</f>
        <v>P</v>
      </c>
      <c r="AM24403" s="4" t="s">
        <v>375</v>
      </c>
      <c r="AN24403" s="4" t="s">
        <v>375</v>
      </c>
      <c r="AO24403" s="4" t="s">
        <v>375</v>
      </c>
      <c r="AP24403" s="4" t="s">
        <v>376</v>
      </c>
      <c r="AR24403" s="4" t="s">
        <v>377</v>
      </c>
    </row>
    <row r="24404" spans="1:44" ht="45">
      <c r="A24404" s="4" t="s">
        <v>24364</v>
      </c>
      <c r="B24404" s="4">
        <v>95916</v>
      </c>
      <c r="D24404" s="5" t="s">
        <v>32119</v>
      </c>
      <c r="E24404" s="6" t="str">
        <f>HYPERLINK("https://inpn.mnhn.fr/espece/cd_nom/95916","Eleocharis multicaulis (Sm.) Desv., 1818")</f>
        <v>Eleocharis multicaulis (Sm.) Desv., 1818</v>
      </c>
      <c r="F24404" s="5" t="s">
        <v>32120</v>
      </c>
      <c r="P24404" s="7" t="str">
        <f>HYPERLINK("#Liste_rouge!A"&amp;_xlfn.XMATCH("LC",Liste_rouge!A:A,2,1),"LC")</f>
        <v>LC</v>
      </c>
      <c r="Q24404" s="7" t="str">
        <f>HYPERLINK("#Liste_rouge!A"&amp;_xlfn.XMATCH("LC",Liste_rouge!A:A,2,1),"LC")</f>
        <v>LC</v>
      </c>
      <c r="T24404" s="7" t="str">
        <f>HYPERLINK("#Liste_rouge!A"&amp;_xlfn.XMATCH("VU",Liste_rouge!A:A,2,1),"VU")</f>
        <v>VU</v>
      </c>
      <c r="U24404" s="4" t="str">
        <f>HYPERLINK("#Critères_liste_rouge!A$1","D2")</f>
        <v>D2</v>
      </c>
      <c r="X24404" s="5" t="s">
        <v>374</v>
      </c>
      <c r="AB24404" s="4" t="s">
        <v>93</v>
      </c>
      <c r="AH24404" s="4" t="str">
        <f>HYPERLINK("#Statut_biogéographique!A"&amp;_xlfn.XMATCH("P",Statut_biogéographique!A:A,2,1),"P")</f>
        <v>P</v>
      </c>
      <c r="AM24404" s="4" t="s">
        <v>375</v>
      </c>
      <c r="AN24404" s="4" t="s">
        <v>375</v>
      </c>
      <c r="AO24404" s="4" t="s">
        <v>375</v>
      </c>
      <c r="AP24404" s="4" t="s">
        <v>376</v>
      </c>
      <c r="AR24404" s="4" t="s">
        <v>377</v>
      </c>
    </row>
    <row r="24405" spans="1:44" ht="45">
      <c r="A24405" s="4" t="s">
        <v>24364</v>
      </c>
      <c r="B24405" s="4">
        <v>95919</v>
      </c>
      <c r="D24405" s="5" t="s">
        <v>32121</v>
      </c>
      <c r="E24405" s="6" t="str">
        <f>HYPERLINK("https://inpn.mnhn.fr/espece/cd_nom/95919","Eleocharis ovata (Roth) Roem. &amp; Schult., 1817")</f>
        <v>Eleocharis ovata (Roth) Roem. &amp; Schult., 1817</v>
      </c>
      <c r="F24405" s="5" t="s">
        <v>32122</v>
      </c>
      <c r="P24405" s="7" t="str">
        <f>HYPERLINK("#Liste_rouge!A"&amp;_xlfn.XMATCH("LC",Liste_rouge!A:A,2,1),"LC")</f>
        <v>LC</v>
      </c>
      <c r="Q24405" s="7" t="str">
        <f>HYPERLINK("#Liste_rouge!A"&amp;_xlfn.XMATCH("LC",Liste_rouge!A:A,2,1),"LC")</f>
        <v>LC</v>
      </c>
      <c r="T24405" s="7" t="str">
        <f>HYPERLINK("#Liste_rouge!A"&amp;_xlfn.XMATCH("VU",Liste_rouge!A:A,2,1),"VU")</f>
        <v>VU</v>
      </c>
      <c r="U24405" s="4" t="str">
        <f>HYPERLINK("#Critères_liste_rouge!A$1","B2b(ii,iii,iv)c(iii,iv)")</f>
        <v>B2b(ii,iii,iv)c(iii,iv)</v>
      </c>
      <c r="V24405" s="7" t="str">
        <f>HYPERLINK("#Liste_rouge!A"&amp;_xlfn.XMATCH("LC",Liste_rouge!A:A,2,1),"LC")</f>
        <v>LC</v>
      </c>
      <c r="AB24405" s="4" t="s">
        <v>24930</v>
      </c>
      <c r="AH24405" s="4" t="str">
        <f>HYPERLINK("#Statut_biogéographique!A"&amp;_xlfn.XMATCH("P",Statut_biogéographique!A:A,2,1),"P")</f>
        <v>P</v>
      </c>
      <c r="AM24405" s="4" t="s">
        <v>375</v>
      </c>
      <c r="AN24405" s="4" t="s">
        <v>375</v>
      </c>
      <c r="AO24405" s="4" t="s">
        <v>375</v>
      </c>
      <c r="AP24405" s="4" t="s">
        <v>376</v>
      </c>
      <c r="AR24405" s="4" t="s">
        <v>377</v>
      </c>
    </row>
    <row r="24406" spans="1:44" ht="30">
      <c r="A24406" s="4" t="s">
        <v>24364</v>
      </c>
      <c r="B24406" s="4">
        <v>95922</v>
      </c>
      <c r="D24406" s="5" t="s">
        <v>32123</v>
      </c>
      <c r="E24406" s="6" t="str">
        <f>HYPERLINK("https://inpn.mnhn.fr/espece/cd_nom/95922","Eleocharis palustris (L.) Roem. &amp; Schult., 1817")</f>
        <v>Eleocharis palustris (L.) Roem. &amp; Schult., 1817</v>
      </c>
      <c r="F24406" s="5" t="s">
        <v>28489</v>
      </c>
      <c r="O24406" s="7" t="str">
        <f>HYPERLINK("#Liste_rouge!A"&amp;_xlfn.XMATCH("LC",Liste_rouge!A:A,2,1),"LC")</f>
        <v>LC</v>
      </c>
      <c r="P24406" s="7" t="str">
        <f>HYPERLINK("#Liste_rouge!A"&amp;_xlfn.XMATCH("LC",Liste_rouge!A:A,2,1),"LC")</f>
        <v>LC</v>
      </c>
      <c r="Q24406" s="7" t="str">
        <f>HYPERLINK("#Liste_rouge!A"&amp;_xlfn.XMATCH("LC",Liste_rouge!A:A,2,1),"LC")</f>
        <v>LC</v>
      </c>
      <c r="T24406" s="7" t="str">
        <f>HYPERLINK("#Liste_rouge!A"&amp;_xlfn.XMATCH("LC",Liste_rouge!A:A,2,1),"LC")</f>
        <v>LC</v>
      </c>
      <c r="V24406" s="7" t="str">
        <f>HYPERLINK("#Liste_rouge!A"&amp;_xlfn.XMATCH("LC",Liste_rouge!A:A,2,1),"LC")</f>
        <v>LC</v>
      </c>
      <c r="AH24406" s="4" t="str">
        <f>HYPERLINK("#Statut_biogéographique!A"&amp;_xlfn.XMATCH("P",Statut_biogéographique!A:A,2,1),"P")</f>
        <v>P</v>
      </c>
      <c r="AM24406" s="4" t="s">
        <v>375</v>
      </c>
      <c r="AN24406" s="4" t="s">
        <v>375</v>
      </c>
      <c r="AO24406" s="4" t="s">
        <v>375</v>
      </c>
      <c r="AP24406" s="4" t="s">
        <v>376</v>
      </c>
      <c r="AR24406" s="4" t="s">
        <v>377</v>
      </c>
    </row>
    <row r="24407" spans="1:44" ht="60">
      <c r="A24407" s="4" t="s">
        <v>24364</v>
      </c>
      <c r="B24407" s="4">
        <v>95927</v>
      </c>
      <c r="D24407" s="5" t="s">
        <v>32124</v>
      </c>
      <c r="E24407" s="6" t="str">
        <f>HYPERLINK("https://inpn.mnhn.fr/espece/cd_nom/95927","Eleocharis quinqueflora (Hartmann) O.Schwarz, 1949")</f>
        <v>Eleocharis quinqueflora (Hartmann) O.Schwarz, 1949</v>
      </c>
      <c r="F24407" s="5" t="s">
        <v>32125</v>
      </c>
      <c r="O24407" s="7" t="str">
        <f>HYPERLINK("#Liste_rouge!A"&amp;_xlfn.XMATCH("LC",Liste_rouge!A:A,2,1),"LC")</f>
        <v>LC</v>
      </c>
      <c r="P24407" s="7" t="str">
        <f>HYPERLINK("#Liste_rouge!A"&amp;_xlfn.XMATCH("LC",Liste_rouge!A:A,2,1),"LC")</f>
        <v>LC</v>
      </c>
      <c r="Q24407" s="7" t="str">
        <f>HYPERLINK("#Liste_rouge!A"&amp;_xlfn.XMATCH("LC",Liste_rouge!A:A,2,1),"LC")</f>
        <v>LC</v>
      </c>
      <c r="T24407" s="7" t="str">
        <f>HYPERLINK("#Liste_rouge!A"&amp;_xlfn.XMATCH("CR",Liste_rouge!A:A,2,1),"CR")</f>
        <v>CR</v>
      </c>
      <c r="U24407" s="4" t="str">
        <f>HYPERLINK("#Critères_liste_rouge!A$1","B1 B2ab(ii,iii,iv) C2a(i) D1")</f>
        <v>B1 B2ab(ii,iii,iv) C2a(i) D1</v>
      </c>
      <c r="V24407" s="7" t="str">
        <f>HYPERLINK("#Liste_rouge!A"&amp;_xlfn.XMATCH("NT",Liste_rouge!A:A,2,1),"NT")</f>
        <v>NT</v>
      </c>
      <c r="W24407" s="4" t="str">
        <f>HYPERLINK("#Critères_liste_rouge!A$1","pr. B2b(iii)")</f>
        <v>pr. B2b(iii)</v>
      </c>
      <c r="X24407" s="5" t="s">
        <v>374</v>
      </c>
      <c r="AB24407" s="4" t="s">
        <v>93</v>
      </c>
      <c r="AH24407" s="4" t="str">
        <f>HYPERLINK("#Statut_biogéographique!A"&amp;_xlfn.XMATCH("P",Statut_biogéographique!A:A,2,1),"P")</f>
        <v>P</v>
      </c>
      <c r="AM24407" s="4" t="s">
        <v>375</v>
      </c>
      <c r="AN24407" s="4" t="s">
        <v>375</v>
      </c>
      <c r="AO24407" s="4" t="s">
        <v>375</v>
      </c>
      <c r="AP24407" s="4" t="s">
        <v>376</v>
      </c>
      <c r="AR24407" s="4" t="s">
        <v>377</v>
      </c>
    </row>
    <row r="24408" spans="1:44" ht="45">
      <c r="A24408" s="4" t="s">
        <v>24364</v>
      </c>
      <c r="B24408" s="4">
        <v>95933</v>
      </c>
      <c r="D24408" s="5" t="s">
        <v>32126</v>
      </c>
      <c r="E24408" s="6" t="str">
        <f>HYPERLINK("https://inpn.mnhn.fr/espece/cd_nom/95933","Eleocharis uniglumis (Link) Schult., 1824")</f>
        <v>Eleocharis uniglumis (Link) Schult., 1824</v>
      </c>
      <c r="F24408" s="5" t="s">
        <v>32127</v>
      </c>
      <c r="O24408" s="7" t="str">
        <f>HYPERLINK("#Liste_rouge!A"&amp;_xlfn.XMATCH("LC",Liste_rouge!A:A,2,1),"LC")</f>
        <v>LC</v>
      </c>
      <c r="P24408" s="7" t="str">
        <f>HYPERLINK("#Liste_rouge!A"&amp;_xlfn.XMATCH("LC",Liste_rouge!A:A,2,1),"LC")</f>
        <v>LC</v>
      </c>
      <c r="Q24408" s="7" t="str">
        <f>HYPERLINK("#Liste_rouge!A"&amp;_xlfn.XMATCH("LC",Liste_rouge!A:A,2,1),"LC")</f>
        <v>LC</v>
      </c>
      <c r="T24408" s="7" t="str">
        <f>HYPERLINK("#Liste_rouge!A"&amp;_xlfn.XMATCH("VU",Liste_rouge!A:A,2,1),"VU")</f>
        <v>VU</v>
      </c>
      <c r="U24408" s="4" t="str">
        <f>HYPERLINK("#Critères_liste_rouge!A$1","D2")</f>
        <v>D2</v>
      </c>
      <c r="V24408" s="7" t="str">
        <f>HYPERLINK("#Liste_rouge!A"&amp;_xlfn.XMATCH("LC",Liste_rouge!A:A,2,1),"LC")</f>
        <v>LC</v>
      </c>
      <c r="AB24408" s="4" t="s">
        <v>24803</v>
      </c>
      <c r="AH24408" s="4" t="str">
        <f>HYPERLINK("#Statut_biogéographique!A"&amp;_xlfn.XMATCH("P",Statut_biogéographique!A:A,2,1),"P")</f>
        <v>P</v>
      </c>
      <c r="AM24408" s="4" t="s">
        <v>375</v>
      </c>
      <c r="AN24408" s="4" t="s">
        <v>375</v>
      </c>
      <c r="AO24408" s="4" t="s">
        <v>375</v>
      </c>
      <c r="AP24408" s="4" t="s">
        <v>376</v>
      </c>
      <c r="AR24408" s="4" t="s">
        <v>377</v>
      </c>
    </row>
    <row r="24409" spans="1:44" ht="75">
      <c r="A24409" s="4" t="s">
        <v>24364</v>
      </c>
      <c r="B24409" s="4">
        <v>95965</v>
      </c>
      <c r="D24409" s="5" t="s">
        <v>32128</v>
      </c>
      <c r="E24409" s="6" t="str">
        <f>HYPERLINK("https://inpn.mnhn.fr/espece/cd_nom/95965","Eleusine indica (L.) Gaertn., 1788")</f>
        <v>Eleusine indica (L.) Gaertn., 1788</v>
      </c>
      <c r="F24409" s="5" t="s">
        <v>32129</v>
      </c>
      <c r="O24409" s="7" t="str">
        <f>HYPERLINK("#Liste_rouge!A"&amp;_xlfn.XMATCH("LC",Liste_rouge!A:A,2,1),"LC")</f>
        <v>LC</v>
      </c>
      <c r="Q24409" s="7" t="str">
        <f>HYPERLINK("#Liste_rouge!A"&amp;_xlfn.XMATCH("NA",Liste_rouge!A:A,2,1),"NA")</f>
        <v>NA</v>
      </c>
      <c r="T24409" s="7" t="str">
        <f>HYPERLINK("#Liste_rouge!A"&amp;_xlfn.XMATCH("NA",Liste_rouge!A:A,2,1),"NA")</f>
        <v>NA</v>
      </c>
      <c r="AH24409" s="4" t="str">
        <f>HYPERLINK("#Statut_biogéographique!A"&amp;_xlfn.XMATCH("I",Statut_biogéographique!A:A,2,1),"I")</f>
        <v>I</v>
      </c>
      <c r="AP24409" s="4" t="s">
        <v>376</v>
      </c>
      <c r="AR24409" s="4" t="s">
        <v>377</v>
      </c>
    </row>
    <row r="24410" spans="1:44" ht="30">
      <c r="A24410" s="4" t="s">
        <v>24364</v>
      </c>
      <c r="B24410" s="4">
        <v>95980</v>
      </c>
      <c r="D24410" s="5" t="s">
        <v>32130</v>
      </c>
      <c r="E24410" s="6" t="str">
        <f>HYPERLINK("https://inpn.mnhn.fr/espece/cd_nom/95980","Elodea canadensis Michx., 1803")</f>
        <v>Elodea canadensis Michx., 1803</v>
      </c>
      <c r="F24410" s="5" t="s">
        <v>32131</v>
      </c>
      <c r="O24410" s="7" t="str">
        <f>HYPERLINK("#Liste_rouge!A"&amp;_xlfn.XMATCH("LC",Liste_rouge!A:A,2,1),"LC")</f>
        <v>LC</v>
      </c>
      <c r="Q24410" s="7" t="str">
        <f>HYPERLINK("#Liste_rouge!A"&amp;_xlfn.XMATCH("NA",Liste_rouge!A:A,2,1),"NA")</f>
        <v>NA</v>
      </c>
      <c r="T24410" s="7" t="str">
        <f>HYPERLINK("#Liste_rouge!A"&amp;_xlfn.XMATCH("NA",Liste_rouge!A:A,2,1),"NA")</f>
        <v>NA</v>
      </c>
      <c r="AH24410" s="4" t="str">
        <f>HYPERLINK("#Statut_biogéographique!A"&amp;_xlfn.XMATCH("J",Statut_biogéographique!A:A,2,1),"J")</f>
        <v>J</v>
      </c>
      <c r="AM24410" s="4" t="s">
        <v>375</v>
      </c>
      <c r="AN24410" s="4" t="s">
        <v>375</v>
      </c>
      <c r="AO24410" s="4" t="s">
        <v>375</v>
      </c>
      <c r="AP24410" s="4" t="s">
        <v>376</v>
      </c>
      <c r="AR24410" s="4" t="s">
        <v>377</v>
      </c>
    </row>
    <row r="24411" spans="1:44">
      <c r="A24411" s="4" t="s">
        <v>24364</v>
      </c>
      <c r="B24411" s="4">
        <v>95983</v>
      </c>
      <c r="D24411" s="5" t="s">
        <v>32132</v>
      </c>
      <c r="E24411" s="6" t="str">
        <f>HYPERLINK("https://inpn.mnhn.fr/espece/cd_nom/95983","Elodea nuttallii (Planch.) H.St.John, 1920")</f>
        <v>Elodea nuttallii (Planch.) H.St.John, 1920</v>
      </c>
      <c r="F24411" s="5" t="s">
        <v>32133</v>
      </c>
      <c r="Q24411" s="7" t="str">
        <f>HYPERLINK("#Liste_rouge!A"&amp;_xlfn.XMATCH("NA",Liste_rouge!A:A,2,1),"NA")</f>
        <v>NA</v>
      </c>
      <c r="T24411" s="7" t="str">
        <f>HYPERLINK("#Liste_rouge!A"&amp;_xlfn.XMATCH("NA",Liste_rouge!A:A,2,1),"NA")</f>
        <v>NA</v>
      </c>
      <c r="AH24411" s="4" t="str">
        <f>HYPERLINK("#Statut_biogéographique!A"&amp;_xlfn.XMATCH("J",Statut_biogéographique!A:A,2,1),"J")</f>
        <v>J</v>
      </c>
      <c r="AL24411" s="5" t="str">
        <f>HYPERLINK("#Réglementation!A"&amp;_xlfn.XMATCH("FRnoEEEV",Réglementation!A:A,2,1),"FRnoEEEV - EEEUE")</f>
        <v>FRnoEEEV - EEEUE</v>
      </c>
      <c r="AM24411" s="4" t="s">
        <v>375</v>
      </c>
      <c r="AN24411" s="4" t="s">
        <v>375</v>
      </c>
      <c r="AO24411" s="4" t="s">
        <v>375</v>
      </c>
      <c r="AP24411" s="4" t="s">
        <v>376</v>
      </c>
      <c r="AR24411" s="4" t="s">
        <v>377</v>
      </c>
    </row>
    <row r="24412" spans="1:44" ht="150">
      <c r="A24412" s="4" t="s">
        <v>24364</v>
      </c>
      <c r="B24412" s="4">
        <v>95992</v>
      </c>
      <c r="D24412" s="5" t="s">
        <v>32134</v>
      </c>
      <c r="E24412" s="6" t="str">
        <f>HYPERLINK("https://inpn.mnhn.fr/espece/cd_nom/95992","Elymus caninus (L.) L., 1755")</f>
        <v>Elymus caninus (L.) L., 1755</v>
      </c>
      <c r="F24412" s="5" t="s">
        <v>32135</v>
      </c>
      <c r="P24412" s="7" t="str">
        <f>HYPERLINK("#Liste_rouge!A"&amp;_xlfn.XMATCH("LC",Liste_rouge!A:A,2,1),"LC")</f>
        <v>LC</v>
      </c>
      <c r="Q24412" s="7" t="str">
        <f>HYPERLINK("#Liste_rouge!A"&amp;_xlfn.XMATCH("LC",Liste_rouge!A:A,2,1),"LC")</f>
        <v>LC</v>
      </c>
      <c r="T24412" s="7" t="str">
        <f>HYPERLINK("#Liste_rouge!A"&amp;_xlfn.XMATCH("LC",Liste_rouge!A:A,2,1),"LC")</f>
        <v>LC</v>
      </c>
      <c r="V24412" s="7" t="str">
        <f>HYPERLINK("#Liste_rouge!A"&amp;_xlfn.XMATCH("LC",Liste_rouge!A:A,2,1),"LC")</f>
        <v>LC</v>
      </c>
      <c r="AH24412" s="4" t="str">
        <f>HYPERLINK("#Statut_biogéographique!A"&amp;_xlfn.XMATCH("P",Statut_biogéographique!A:A,2,1),"P")</f>
        <v>P</v>
      </c>
      <c r="AM24412" s="4" t="s">
        <v>375</v>
      </c>
      <c r="AN24412" s="4" t="s">
        <v>375</v>
      </c>
      <c r="AO24412" s="4" t="s">
        <v>375</v>
      </c>
      <c r="AP24412" s="4" t="s">
        <v>376</v>
      </c>
      <c r="AR24412" s="4" t="s">
        <v>377</v>
      </c>
    </row>
    <row r="24413" spans="1:44" ht="30">
      <c r="A24413" s="4" t="s">
        <v>24364</v>
      </c>
      <c r="B24413" s="4">
        <v>960102</v>
      </c>
      <c r="D24413" s="5" t="s">
        <v>32136</v>
      </c>
      <c r="E24413" s="6" t="str">
        <f>HYPERLINK("https://inpn.mnhn.fr/espece/cd_nom/960102","Campylophyllopsis calcarea (Crundw. &amp; Nyholm) Ochyra, 2010")</f>
        <v>Campylophyllopsis calcarea (Crundw. &amp; Nyholm) Ochyra, 2010</v>
      </c>
      <c r="P24413" s="7" t="str">
        <f>HYPERLINK("#Liste_rouge!A"&amp;_xlfn.XMATCH("LC",Liste_rouge!A:A,2,1),"LC")</f>
        <v>LC</v>
      </c>
      <c r="T24413" s="7" t="str">
        <f>HYPERLINK("#Liste_rouge!A"&amp;_xlfn.XMATCH("LC",Liste_rouge!A:A,2,1),"LC")</f>
        <v>LC</v>
      </c>
      <c r="V24413" s="7" t="str">
        <f>HYPERLINK("#Liste_rouge!A"&amp;_xlfn.XMATCH("LC",Liste_rouge!A:A,2,1),"LC")</f>
        <v>LC</v>
      </c>
      <c r="AH24413" s="4" t="str">
        <f>HYPERLINK("#Statut_biogéographique!A"&amp;_xlfn.XMATCH("P",Statut_biogéographique!A:A,2,1),"P")</f>
        <v>P</v>
      </c>
      <c r="AP24413" s="4" t="s">
        <v>376</v>
      </c>
      <c r="AR24413" s="4" t="s">
        <v>377</v>
      </c>
    </row>
    <row r="24414" spans="1:44" ht="45">
      <c r="A24414" s="4" t="s">
        <v>24364</v>
      </c>
      <c r="B24414" s="4">
        <v>96030</v>
      </c>
      <c r="D24414" s="5" t="s">
        <v>32137</v>
      </c>
      <c r="E24414" s="6" t="str">
        <f>HYPERLINK("https://inpn.mnhn.fr/espece/cd_nom/96030","Elytrigia campestris (Godr. &amp; Gren.) Kerguélen, 1987")</f>
        <v>Elytrigia campestris (Godr. &amp; Gren.) Kerguélen, 1987</v>
      </c>
      <c r="F24414" s="5" t="s">
        <v>30104</v>
      </c>
      <c r="Q24414" s="7" t="str">
        <f>HYPERLINK("#Liste_rouge!A"&amp;_xlfn.XMATCH("LC",Liste_rouge!A:A,2,1),"LC")</f>
        <v>LC</v>
      </c>
      <c r="T24414" s="7" t="str">
        <f>HYPERLINK("#Liste_rouge!A"&amp;_xlfn.XMATCH("LC",Liste_rouge!A:A,2,1),"LC")</f>
        <v>LC</v>
      </c>
      <c r="AH24414" s="4" t="str">
        <f>HYPERLINK("#Statut_biogéographique!A"&amp;_xlfn.XMATCH("P",Statut_biogéographique!A:A,2,1),"P")</f>
        <v>P</v>
      </c>
      <c r="AM24414" s="4" t="s">
        <v>375</v>
      </c>
      <c r="AN24414" s="4" t="s">
        <v>375</v>
      </c>
      <c r="AO24414" s="4" t="s">
        <v>375</v>
      </c>
      <c r="AP24414" s="4" t="s">
        <v>376</v>
      </c>
      <c r="AR24414" s="4" t="s">
        <v>377</v>
      </c>
    </row>
    <row r="24415" spans="1:44" ht="285">
      <c r="A24415" s="4" t="s">
        <v>24364</v>
      </c>
      <c r="B24415" s="4">
        <v>96034</v>
      </c>
      <c r="D24415" s="5" t="s">
        <v>32138</v>
      </c>
      <c r="E24415" s="6" t="str">
        <f>HYPERLINK("https://inpn.mnhn.fr/espece/cd_nom/96034","Elytrigia intermedia (Host) Nevski, 1933")</f>
        <v>Elytrigia intermedia (Host) Nevski, 1933</v>
      </c>
      <c r="F24415" s="5" t="s">
        <v>28490</v>
      </c>
      <c r="O24415" s="7" t="str">
        <f>HYPERLINK("#Liste_rouge!A"&amp;_xlfn.XMATCH("LC",Liste_rouge!A:A,2,1),"LC")</f>
        <v>LC</v>
      </c>
      <c r="Q24415" s="7" t="str">
        <f>HYPERLINK("#Liste_rouge!A"&amp;_xlfn.XMATCH("LC",Liste_rouge!A:A,2,1),"LC")</f>
        <v>LC</v>
      </c>
      <c r="T24415" s="7" t="str">
        <f>HYPERLINK("#Liste_rouge!A"&amp;_xlfn.XMATCH("VU",Liste_rouge!A:A,2,1),"VU")</f>
        <v>VU</v>
      </c>
      <c r="U24415" s="4" t="str">
        <f>HYPERLINK("#Critères_liste_rouge!A$1","D2")</f>
        <v>D2</v>
      </c>
      <c r="X24415" s="5" t="s">
        <v>374</v>
      </c>
      <c r="AB24415" s="4" t="s">
        <v>93</v>
      </c>
      <c r="AH24415" s="4" t="str">
        <f>HYPERLINK("#Statut_biogéographique!A"&amp;_xlfn.XMATCH("P",Statut_biogéographique!A:A,2,1),"P")</f>
        <v>P</v>
      </c>
      <c r="AM24415" s="4" t="s">
        <v>375</v>
      </c>
      <c r="AN24415" s="4" t="s">
        <v>375</v>
      </c>
      <c r="AO24415" s="4" t="s">
        <v>375</v>
      </c>
      <c r="AP24415" s="4" t="s">
        <v>376</v>
      </c>
      <c r="AR24415" s="4" t="s">
        <v>377</v>
      </c>
    </row>
    <row r="24416" spans="1:44" ht="210">
      <c r="A24416" s="4" t="s">
        <v>24364</v>
      </c>
      <c r="B24416" s="4">
        <v>96046</v>
      </c>
      <c r="D24416" s="5" t="s">
        <v>32139</v>
      </c>
      <c r="E24416" s="6" t="str">
        <f>HYPERLINK("https://inpn.mnhn.fr/espece/cd_nom/96046","Elytrigia repens (L.) Desv. ex Nevski, 1934")</f>
        <v>Elytrigia repens (L.) Desv. ex Nevski, 1934</v>
      </c>
      <c r="F24416" s="5" t="s">
        <v>28492</v>
      </c>
      <c r="Q24416" s="7" t="str">
        <f>HYPERLINK("#Liste_rouge!A"&amp;_xlfn.XMATCH("LC",Liste_rouge!A:A,2,1),"LC")</f>
        <v>LC</v>
      </c>
      <c r="T24416" s="7" t="str">
        <f>HYPERLINK("#Liste_rouge!A"&amp;_xlfn.XMATCH("LC",Liste_rouge!A:A,2,1),"LC")</f>
        <v>LC</v>
      </c>
      <c r="V24416" s="7" t="str">
        <f>HYPERLINK("#Liste_rouge!A"&amp;_xlfn.XMATCH("LC",Liste_rouge!A:A,2,1),"LC")</f>
        <v>LC</v>
      </c>
      <c r="AH24416" s="4" t="str">
        <f>HYPERLINK("#Statut_biogéographique!A"&amp;_xlfn.XMATCH("P",Statut_biogéographique!A:A,2,1),"P")</f>
        <v>P</v>
      </c>
      <c r="AM24416" s="4" t="s">
        <v>375</v>
      </c>
      <c r="AN24416" s="4" t="s">
        <v>375</v>
      </c>
      <c r="AO24416" s="4" t="s">
        <v>375</v>
      </c>
      <c r="AP24416" s="4" t="s">
        <v>376</v>
      </c>
      <c r="AR24416" s="4" t="s">
        <v>377</v>
      </c>
    </row>
    <row r="24417" spans="1:44">
      <c r="A24417" s="4" t="s">
        <v>24364</v>
      </c>
      <c r="B24417" s="4">
        <v>96051</v>
      </c>
      <c r="D24417" s="5" t="s">
        <v>32140</v>
      </c>
      <c r="E24417" s="6" t="str">
        <f>HYPERLINK("https://inpn.mnhn.fr/espece/cd_nom/96051","Elytrigia x tallonii (Simonet) B.Bock, 2012")</f>
        <v>Elytrigia x tallonii (Simonet) B.Bock, 2012</v>
      </c>
      <c r="F24417" s="5" t="s">
        <v>32141</v>
      </c>
      <c r="T24417" s="7" t="str">
        <f>HYPERLINK("#Liste_rouge!A"&amp;_xlfn.XMATCH("NE",Liste_rouge!A:A,2,1),"NE")</f>
        <v>NE</v>
      </c>
      <c r="AH24417" s="4" t="str">
        <f>HYPERLINK("#Statut_biogéographique!A"&amp;_xlfn.XMATCH("P",Statut_biogéographique!A:A,2,1),"P")</f>
        <v>P</v>
      </c>
      <c r="AP24417" s="4" t="s">
        <v>376</v>
      </c>
      <c r="AR24417" s="4" t="s">
        <v>377</v>
      </c>
    </row>
    <row r="24418" spans="1:44" ht="30">
      <c r="A24418" s="4" t="s">
        <v>24364</v>
      </c>
      <c r="B24418" s="4">
        <v>96055</v>
      </c>
      <c r="D24418" s="5" t="s">
        <v>32142</v>
      </c>
      <c r="E24418" s="6" t="str">
        <f>HYPERLINK("https://inpn.mnhn.fr/espece/cd_nom/96055","Elytrigia x mucronata (Opiz) Prokh., 1938")</f>
        <v>Elytrigia x mucronata (Opiz) Prokh., 1938</v>
      </c>
      <c r="F24418" s="5" t="s">
        <v>32143</v>
      </c>
      <c r="T24418" s="7" t="str">
        <f>HYPERLINK("#Liste_rouge!A"&amp;_xlfn.XMATCH("NE",Liste_rouge!A:A,2,1),"NE")</f>
        <v>NE</v>
      </c>
      <c r="AH24418" s="4" t="str">
        <f>HYPERLINK("#Statut_biogéographique!A"&amp;_xlfn.XMATCH("P",Statut_biogéographique!A:A,2,1),"P")</f>
        <v>P</v>
      </c>
      <c r="AP24418" s="4" t="s">
        <v>376</v>
      </c>
      <c r="AR24418" s="4" t="s">
        <v>377</v>
      </c>
    </row>
    <row r="24419" spans="1:44">
      <c r="A24419" s="4" t="s">
        <v>24364</v>
      </c>
      <c r="B24419" s="4">
        <v>96069</v>
      </c>
      <c r="D24419" s="5" t="s">
        <v>32144</v>
      </c>
      <c r="E24419" s="6" t="str">
        <f>HYPERLINK("https://inpn.mnhn.fr/espece/cd_nom/96069","Empetrum nigrum L., 1753")</f>
        <v>Empetrum nigrum L., 1753</v>
      </c>
      <c r="F24419" s="5" t="s">
        <v>28493</v>
      </c>
      <c r="M24419" s="4" t="str">
        <f>HYPERLINK("#Réglementation!A"&amp;_xlfn.XMATCH("RV43",Réglementation!A:A,2,1),"RV43")</f>
        <v>RV43</v>
      </c>
      <c r="Q24419" s="7" t="str">
        <f>HYPERLINK("#Liste_rouge!A"&amp;_xlfn.XMATCH("LC",Liste_rouge!A:A,2,1),"LC")</f>
        <v>LC</v>
      </c>
      <c r="V24419" s="7" t="str">
        <f>HYPERLINK("#Liste_rouge!A"&amp;_xlfn.XMATCH("NT",Liste_rouge!A:A,2,1),"NT")</f>
        <v>NT</v>
      </c>
      <c r="W24419" s="4" t="str">
        <f>HYPERLINK("#Critères_liste_rouge!A$1","pr. D2")</f>
        <v>pr. D2</v>
      </c>
      <c r="X24419" s="5" t="s">
        <v>374</v>
      </c>
      <c r="AB24419" s="4" t="s">
        <v>93</v>
      </c>
      <c r="AH24419" s="4" t="str">
        <f>HYPERLINK("#Statut_biogéographique!A"&amp;_xlfn.XMATCH("P",Statut_biogéographique!A:A,2,1),"P")</f>
        <v>P</v>
      </c>
      <c r="AM24419" s="4" t="s">
        <v>375</v>
      </c>
      <c r="AN24419" s="4" t="s">
        <v>375</v>
      </c>
      <c r="AO24419" s="4" t="s">
        <v>375</v>
      </c>
      <c r="AP24419" s="4" t="s">
        <v>376</v>
      </c>
      <c r="AR24419" s="4" t="s">
        <v>377</v>
      </c>
    </row>
    <row r="24420" spans="1:44">
      <c r="A24420" s="4" t="s">
        <v>24364</v>
      </c>
      <c r="B24420" s="4">
        <v>960750</v>
      </c>
      <c r="D24420" s="5" t="s">
        <v>32145</v>
      </c>
      <c r="E24420" s="6" t="str">
        <f>HYPERLINK("https://inpn.mnhn.fr/espece/cd_nom/960750","Cannabis sativa subsp. sativa L., 1753")</f>
        <v>Cannabis sativa subsp. sativa L., 1753</v>
      </c>
      <c r="AH24420" s="4" t="str">
        <f>HYPERLINK("#Statut_biogéographique!A"&amp;_xlfn.XMATCH("M",Statut_biogéographique!A:A,2,1),"M")</f>
        <v>M</v>
      </c>
      <c r="AP24420" s="4" t="s">
        <v>376</v>
      </c>
      <c r="AR24420" s="4" t="s">
        <v>377</v>
      </c>
    </row>
    <row r="24421" spans="1:44" ht="30">
      <c r="A24421" s="4" t="s">
        <v>24364</v>
      </c>
      <c r="B24421" s="4">
        <v>96101</v>
      </c>
      <c r="D24421" s="5" t="s">
        <v>32146</v>
      </c>
      <c r="E24421" s="6" t="str">
        <f>HYPERLINK("https://inpn.mnhn.fr/espece/cd_nom/96101","Ephedra distachya L., 1753")</f>
        <v>Ephedra distachya L., 1753</v>
      </c>
      <c r="F24421" s="5" t="s">
        <v>32147</v>
      </c>
      <c r="O24421" s="7" t="str">
        <f>HYPERLINK("#Liste_rouge!A"&amp;_xlfn.XMATCH("LC",Liste_rouge!A:A,2,1),"LC")</f>
        <v>LC</v>
      </c>
      <c r="Q24421" s="7" t="str">
        <f>HYPERLINK("#Liste_rouge!A"&amp;_xlfn.XMATCH("LC",Liste_rouge!A:A,2,1),"LC")</f>
        <v>LC</v>
      </c>
      <c r="AH24421" s="4" t="str">
        <f>HYPERLINK("#Statut_biogéographique!A"&amp;_xlfn.XMATCH("P",Statut_biogéographique!A:A,2,1),"P")</f>
        <v>P</v>
      </c>
      <c r="AP24421" s="4" t="s">
        <v>376</v>
      </c>
      <c r="AR24421" s="4" t="s">
        <v>377</v>
      </c>
    </row>
    <row r="24422" spans="1:44" ht="30">
      <c r="A24422" s="4" t="s">
        <v>24364</v>
      </c>
      <c r="B24422" s="4">
        <v>96119</v>
      </c>
      <c r="D24422" s="5" t="s">
        <v>32148</v>
      </c>
      <c r="E24422" s="6" t="str">
        <f>HYPERLINK("https://inpn.mnhn.fr/espece/cd_nom/96119","Epikeros pyrenaeus (L.) Raf., 1840")</f>
        <v>Epikeros pyrenaeus (L.) Raf., 1840</v>
      </c>
      <c r="F24422" s="5" t="s">
        <v>32149</v>
      </c>
      <c r="Q24422" s="7" t="str">
        <f>HYPERLINK("#Liste_rouge!A"&amp;_xlfn.XMATCH("LC",Liste_rouge!A:A,2,1),"LC")</f>
        <v>LC</v>
      </c>
      <c r="V24422" s="7" t="str">
        <f>HYPERLINK("#Liste_rouge!A"&amp;_xlfn.XMATCH("VU",Liste_rouge!A:A,2,1),"VU")</f>
        <v>VU</v>
      </c>
      <c r="W24422" s="4" t="str">
        <f>HYPERLINK("#Critères_liste_rouge!A$1","D2")</f>
        <v>D2</v>
      </c>
      <c r="X24422" s="5" t="s">
        <v>374</v>
      </c>
      <c r="AB24422" s="4" t="s">
        <v>93</v>
      </c>
      <c r="AH24422" s="4" t="str">
        <f>HYPERLINK("#Statut_biogéographique!A"&amp;_xlfn.XMATCH("P",Statut_biogéographique!A:A,2,1),"P")</f>
        <v>P</v>
      </c>
      <c r="AM24422" s="4" t="s">
        <v>375</v>
      </c>
      <c r="AN24422" s="4" t="s">
        <v>375</v>
      </c>
      <c r="AO24422" s="4" t="s">
        <v>375</v>
      </c>
      <c r="AP24422" s="4" t="s">
        <v>376</v>
      </c>
      <c r="AR24422" s="4" t="s">
        <v>377</v>
      </c>
    </row>
    <row r="24423" spans="1:44">
      <c r="A24423" s="4" t="s">
        <v>24364</v>
      </c>
      <c r="B24423" s="4">
        <v>96127</v>
      </c>
      <c r="D24423" s="5" t="s">
        <v>32150</v>
      </c>
      <c r="E24423" s="6" t="str">
        <f>HYPERLINK("https://inpn.mnhn.fr/espece/cd_nom/96127","Epilobium alpestre (Jacq.) Krock., 1787")</f>
        <v>Epilobium alpestre (Jacq.) Krock., 1787</v>
      </c>
      <c r="F24423" s="5" t="s">
        <v>32151</v>
      </c>
      <c r="Q24423" s="7" t="str">
        <f>HYPERLINK("#Liste_rouge!A"&amp;_xlfn.XMATCH("LC",Liste_rouge!A:A,2,1),"LC")</f>
        <v>LC</v>
      </c>
      <c r="V24423" s="7" t="str">
        <f>HYPERLINK("#Liste_rouge!A"&amp;_xlfn.XMATCH("LC",Liste_rouge!A:A,2,1),"LC")</f>
        <v>LC</v>
      </c>
      <c r="AB24423" s="4" t="s">
        <v>24447</v>
      </c>
      <c r="AH24423" s="4" t="str">
        <f>HYPERLINK("#Statut_biogéographique!A"&amp;_xlfn.XMATCH("P",Statut_biogéographique!A:A,2,1),"P")</f>
        <v>P</v>
      </c>
      <c r="AM24423" s="4" t="s">
        <v>375</v>
      </c>
      <c r="AN24423" s="4" t="s">
        <v>375</v>
      </c>
      <c r="AO24423" s="4" t="s">
        <v>375</v>
      </c>
      <c r="AP24423" s="4" t="s">
        <v>376</v>
      </c>
      <c r="AR24423" s="4" t="s">
        <v>377</v>
      </c>
    </row>
    <row r="24424" spans="1:44" ht="30">
      <c r="A24424" s="4" t="s">
        <v>24364</v>
      </c>
      <c r="B24424" s="4">
        <v>96130</v>
      </c>
      <c r="D24424" s="5" t="s">
        <v>32152</v>
      </c>
      <c r="E24424" s="6" t="str">
        <f>HYPERLINK("https://inpn.mnhn.fr/espece/cd_nom/96130","Epilobium alsinifolium Vill., 1779")</f>
        <v>Epilobium alsinifolium Vill., 1779</v>
      </c>
      <c r="F24424" s="5" t="s">
        <v>32153</v>
      </c>
      <c r="M24424" s="4" t="str">
        <f>HYPERLINK("#Réglementation!A"&amp;_xlfn.XMATCH("RV43",Réglementation!A:A,2,1),"RV43")</f>
        <v>RV43</v>
      </c>
      <c r="Q24424" s="7" t="str">
        <f>HYPERLINK("#Liste_rouge!A"&amp;_xlfn.XMATCH("LC",Liste_rouge!A:A,2,1),"LC")</f>
        <v>LC</v>
      </c>
      <c r="V24424" s="7" t="str">
        <f>HYPERLINK("#Liste_rouge!A"&amp;_xlfn.XMATCH("VU",Liste_rouge!A:A,2,1),"VU")</f>
        <v>VU</v>
      </c>
      <c r="W24424" s="4" t="str">
        <f>HYPERLINK("#Critères_liste_rouge!A$1","D1")</f>
        <v>D1</v>
      </c>
      <c r="X24424" s="5" t="s">
        <v>374</v>
      </c>
      <c r="AB24424" s="4" t="s">
        <v>93</v>
      </c>
      <c r="AH24424" s="4" t="str">
        <f>HYPERLINK("#Statut_biogéographique!A"&amp;_xlfn.XMATCH("P",Statut_biogéographique!A:A,2,1),"P")</f>
        <v>P</v>
      </c>
      <c r="AM24424" s="4" t="s">
        <v>375</v>
      </c>
      <c r="AN24424" s="4" t="s">
        <v>375</v>
      </c>
      <c r="AO24424" s="4" t="s">
        <v>375</v>
      </c>
      <c r="AP24424" s="4" t="s">
        <v>376</v>
      </c>
      <c r="AR24424" s="4" t="s">
        <v>377</v>
      </c>
    </row>
    <row r="24425" spans="1:44">
      <c r="A24425" s="4" t="s">
        <v>24364</v>
      </c>
      <c r="B24425" s="4">
        <v>96134</v>
      </c>
      <c r="D24425" s="5" t="s">
        <v>32154</v>
      </c>
      <c r="E24425" s="6" t="str">
        <f>HYPERLINK("https://inpn.mnhn.fr/espece/cd_nom/96134","Epilobium anagallidifolium Lam., 1786")</f>
        <v>Epilobium anagallidifolium Lam., 1786</v>
      </c>
      <c r="F24425" s="5" t="s">
        <v>32155</v>
      </c>
      <c r="M24425" s="4" t="str">
        <f>HYPERLINK("#Réglementation!A"&amp;_xlfn.XMATCH("RV43",Réglementation!A:A,2,1),"RV43")</f>
        <v>RV43</v>
      </c>
      <c r="Q24425" s="7" t="str">
        <f>HYPERLINK("#Liste_rouge!A"&amp;_xlfn.XMATCH("LC",Liste_rouge!A:A,2,1),"LC")</f>
        <v>LC</v>
      </c>
      <c r="V24425" s="7" t="str">
        <f>HYPERLINK("#Liste_rouge!A"&amp;_xlfn.XMATCH("RE",Liste_rouge!A:A,2,1),"RE")</f>
        <v>RE</v>
      </c>
      <c r="X24425" s="5" t="s">
        <v>374</v>
      </c>
      <c r="AB24425" s="4" t="s">
        <v>93</v>
      </c>
      <c r="AH24425" s="4" t="str">
        <f>HYPERLINK("#Statut_biogéographique!A"&amp;_xlfn.XMATCH("P",Statut_biogéographique!A:A,2,1),"P")</f>
        <v>P</v>
      </c>
      <c r="AM24425" s="4" t="s">
        <v>375</v>
      </c>
      <c r="AN24425" s="4" t="s">
        <v>375</v>
      </c>
      <c r="AO24425" s="4" t="s">
        <v>375</v>
      </c>
      <c r="AP24425" s="4" t="s">
        <v>376</v>
      </c>
      <c r="AR24425" s="4" t="s">
        <v>377</v>
      </c>
    </row>
    <row r="24426" spans="1:44" ht="45">
      <c r="A24426" s="4" t="s">
        <v>24364</v>
      </c>
      <c r="B24426" s="4">
        <v>96136</v>
      </c>
      <c r="D24426" s="5" t="s">
        <v>32156</v>
      </c>
      <c r="E24426" s="6" t="str">
        <f>HYPERLINK("https://inpn.mnhn.fr/espece/cd_nom/96136","Epilobium angustifolium L., 1753")</f>
        <v>Epilobium angustifolium L., 1753</v>
      </c>
      <c r="F24426" s="5" t="s">
        <v>32157</v>
      </c>
      <c r="O24426" s="7" t="str">
        <f>HYPERLINK("#Liste_rouge!A"&amp;_xlfn.XMATCH("LC",Liste_rouge!A:A,2,1),"LC")</f>
        <v>LC</v>
      </c>
      <c r="Q24426" s="7" t="str">
        <f>HYPERLINK("#Liste_rouge!A"&amp;_xlfn.XMATCH("LC",Liste_rouge!A:A,2,1),"LC")</f>
        <v>LC</v>
      </c>
      <c r="T24426" s="7" t="str">
        <f>HYPERLINK("#Liste_rouge!A"&amp;_xlfn.XMATCH("LC",Liste_rouge!A:A,2,1),"LC")</f>
        <v>LC</v>
      </c>
      <c r="V24426" s="7" t="str">
        <f>HYPERLINK("#Liste_rouge!A"&amp;_xlfn.XMATCH("LC",Liste_rouge!A:A,2,1),"LC")</f>
        <v>LC</v>
      </c>
      <c r="AH24426" s="4" t="str">
        <f>HYPERLINK("#Statut_biogéographique!A"&amp;_xlfn.XMATCH("P",Statut_biogéographique!A:A,2,1),"P")</f>
        <v>P</v>
      </c>
      <c r="AM24426" s="4" t="s">
        <v>375</v>
      </c>
      <c r="AN24426" s="4" t="s">
        <v>375</v>
      </c>
      <c r="AO24426" s="4" t="s">
        <v>375</v>
      </c>
      <c r="AP24426" s="4" t="s">
        <v>376</v>
      </c>
      <c r="AR24426" s="4" t="s">
        <v>377</v>
      </c>
    </row>
    <row r="24427" spans="1:44" ht="30">
      <c r="A24427" s="4" t="s">
        <v>24364</v>
      </c>
      <c r="B24427" s="4">
        <v>96143</v>
      </c>
      <c r="D24427" s="5" t="s">
        <v>32158</v>
      </c>
      <c r="E24427" s="6" t="str">
        <f>HYPERLINK("https://inpn.mnhn.fr/espece/cd_nom/96143","Epilobium brachycarpum C.Presl, 1831")</f>
        <v>Epilobium brachycarpum C.Presl, 1831</v>
      </c>
      <c r="F24427" s="5" t="s">
        <v>32159</v>
      </c>
      <c r="Q24427" s="7" t="str">
        <f>HYPERLINK("#Liste_rouge!A"&amp;_xlfn.XMATCH("NA",Liste_rouge!A:A,2,1),"NA")</f>
        <v>NA</v>
      </c>
      <c r="T24427" s="7" t="str">
        <f>HYPERLINK("#Liste_rouge!A"&amp;_xlfn.XMATCH("NA",Liste_rouge!A:A,2,1),"NA")</f>
        <v>NA</v>
      </c>
      <c r="AH24427" s="4" t="str">
        <f>HYPERLINK("#Statut_biogéographique!A"&amp;_xlfn.XMATCH("I",Statut_biogéographique!A:A,2,1),"I")</f>
        <v>I</v>
      </c>
      <c r="AM24427" s="4" t="s">
        <v>375</v>
      </c>
      <c r="AN24427" s="4" t="s">
        <v>375</v>
      </c>
      <c r="AO24427" s="4" t="s">
        <v>375</v>
      </c>
      <c r="AP24427" s="4" t="s">
        <v>376</v>
      </c>
      <c r="AR24427" s="4" t="s">
        <v>377</v>
      </c>
    </row>
    <row r="24428" spans="1:44" ht="90">
      <c r="A24428" s="4" t="s">
        <v>24364</v>
      </c>
      <c r="B24428" s="4">
        <v>96149</v>
      </c>
      <c r="D24428" s="5" t="s">
        <v>32160</v>
      </c>
      <c r="E24428" s="6" t="str">
        <f>HYPERLINK("https://inpn.mnhn.fr/espece/cd_nom/96149","Epilobium ciliatum Raf., 1808")</f>
        <v>Epilobium ciliatum Raf., 1808</v>
      </c>
      <c r="F24428" s="5" t="s">
        <v>32161</v>
      </c>
      <c r="Q24428" s="7" t="str">
        <f>HYPERLINK("#Liste_rouge!A"&amp;_xlfn.XMATCH("NA",Liste_rouge!A:A,2,1),"NA")</f>
        <v>NA</v>
      </c>
      <c r="T24428" s="7" t="str">
        <f>HYPERLINK("#Liste_rouge!A"&amp;_xlfn.XMATCH("NA",Liste_rouge!A:A,2,1),"NA")</f>
        <v>NA</v>
      </c>
      <c r="AH24428" s="4" t="str">
        <f>HYPERLINK("#Statut_biogéographique!A"&amp;_xlfn.XMATCH("I",Statut_biogéographique!A:A,2,1),"I")</f>
        <v>I</v>
      </c>
      <c r="AM24428" s="4" t="s">
        <v>375</v>
      </c>
      <c r="AN24428" s="4" t="s">
        <v>375</v>
      </c>
      <c r="AO24428" s="4" t="s">
        <v>375</v>
      </c>
      <c r="AP24428" s="4" t="s">
        <v>376</v>
      </c>
      <c r="AR24428" s="4" t="s">
        <v>377</v>
      </c>
    </row>
    <row r="24429" spans="1:44" ht="30">
      <c r="A24429" s="4" t="s">
        <v>24364</v>
      </c>
      <c r="B24429" s="4">
        <v>96150</v>
      </c>
      <c r="D24429" s="5" t="s">
        <v>32162</v>
      </c>
      <c r="E24429" s="6" t="str">
        <f>HYPERLINK("https://inpn.mnhn.fr/espece/cd_nom/96150","Epilobium collinum C.C.Gmel., 1826")</f>
        <v>Epilobium collinum C.C.Gmel., 1826</v>
      </c>
      <c r="F24429" s="5" t="s">
        <v>32163</v>
      </c>
      <c r="Q24429" s="7" t="str">
        <f>HYPERLINK("#Liste_rouge!A"&amp;_xlfn.XMATCH("LC",Liste_rouge!A:A,2,1),"LC")</f>
        <v>LC</v>
      </c>
      <c r="T24429" s="7" t="str">
        <f>HYPERLINK("#Liste_rouge!A"&amp;_xlfn.XMATCH("LC",Liste_rouge!A:A,2,1),"LC")</f>
        <v>LC</v>
      </c>
      <c r="V24429" s="7" t="str">
        <f>HYPERLINK("#Liste_rouge!A"&amp;_xlfn.XMATCH("NT",Liste_rouge!A:A,2,1),"NT")</f>
        <v>NT</v>
      </c>
      <c r="W24429" s="4" t="str">
        <f>HYPERLINK("#Critères_liste_rouge!A$1","pr. D2")</f>
        <v>pr. D2</v>
      </c>
      <c r="AB24429" s="4" t="s">
        <v>31261</v>
      </c>
      <c r="AH24429" s="4" t="str">
        <f>HYPERLINK("#Statut_biogéographique!A"&amp;_xlfn.XMATCH("P",Statut_biogéographique!A:A,2,1),"P")</f>
        <v>P</v>
      </c>
      <c r="AM24429" s="4" t="s">
        <v>375</v>
      </c>
      <c r="AN24429" s="4" t="s">
        <v>375</v>
      </c>
      <c r="AO24429" s="4" t="s">
        <v>375</v>
      </c>
      <c r="AP24429" s="4" t="s">
        <v>376</v>
      </c>
      <c r="AR24429" s="4" t="s">
        <v>377</v>
      </c>
    </row>
    <row r="24430" spans="1:44" ht="30">
      <c r="A24430" s="4" t="s">
        <v>24364</v>
      </c>
      <c r="B24430" s="4">
        <v>961575</v>
      </c>
      <c r="D24430" s="5" t="s">
        <v>32164</v>
      </c>
      <c r="E24430" s="6" t="str">
        <f>HYPERLINK("https://inpn.mnhn.fr/espece/cd_nom/961575","Amaranthus powellii subsp. bouchonii (Thell.) Costea &amp; Carretero, 2001")</f>
        <v>Amaranthus powellii subsp. bouchonii (Thell.) Costea &amp; Carretero, 2001</v>
      </c>
      <c r="F24430" s="5" t="s">
        <v>32165</v>
      </c>
      <c r="Q24430" s="7" t="str">
        <f>HYPERLINK("#Liste_rouge!A"&amp;_xlfn.XMATCH("NA",Liste_rouge!A:A,2,1),"NA")</f>
        <v>NA</v>
      </c>
      <c r="T24430" s="7" t="str">
        <f>HYPERLINK("#Liste_rouge!A"&amp;_xlfn.XMATCH("NA",Liste_rouge!A:A,2,1),"NA")</f>
        <v>NA</v>
      </c>
      <c r="AH24430" s="4" t="str">
        <f>HYPERLINK("#Statut_biogéographique!A"&amp;_xlfn.XMATCH("I",Statut_biogéographique!A:A,2,1),"I")</f>
        <v>I</v>
      </c>
      <c r="AP24430" s="4" t="s">
        <v>376</v>
      </c>
      <c r="AR24430" s="4" t="s">
        <v>377</v>
      </c>
    </row>
    <row r="24431" spans="1:44" ht="30">
      <c r="A24431" s="4" t="s">
        <v>24364</v>
      </c>
      <c r="B24431" s="4">
        <v>96163</v>
      </c>
      <c r="D24431" s="5" t="s">
        <v>32166</v>
      </c>
      <c r="E24431" s="6" t="str">
        <f>HYPERLINK("https://inpn.mnhn.fr/espece/cd_nom/96163","Epilobium dodonaei Vill., 1779")</f>
        <v>Epilobium dodonaei Vill., 1779</v>
      </c>
      <c r="F24431" s="5" t="s">
        <v>28496</v>
      </c>
      <c r="Q24431" s="7" t="str">
        <f>HYPERLINK("#Liste_rouge!A"&amp;_xlfn.XMATCH("LC",Liste_rouge!A:A,2,1),"LC")</f>
        <v>LC</v>
      </c>
      <c r="T24431" s="7" t="str">
        <f>HYPERLINK("#Liste_rouge!A"&amp;_xlfn.XMATCH("LC",Liste_rouge!A:A,2,1),"LC")</f>
        <v>LC</v>
      </c>
      <c r="V24431" s="7" t="str">
        <f>HYPERLINK("#Liste_rouge!A"&amp;_xlfn.XMATCH("LC",Liste_rouge!A:A,2,1),"LC")</f>
        <v>LC</v>
      </c>
      <c r="AH24431" s="4" t="str">
        <f>HYPERLINK("#Statut_biogéographique!A"&amp;_xlfn.XMATCH("P",Statut_biogéographique!A:A,2,1),"P")</f>
        <v>P</v>
      </c>
      <c r="AM24431" s="4" t="s">
        <v>375</v>
      </c>
      <c r="AN24431" s="4" t="s">
        <v>375</v>
      </c>
      <c r="AO24431" s="4" t="s">
        <v>375</v>
      </c>
      <c r="AP24431" s="4" t="s">
        <v>376</v>
      </c>
      <c r="AR24431" s="4" t="s">
        <v>377</v>
      </c>
    </row>
    <row r="24432" spans="1:44" ht="30">
      <c r="A24432" s="4" t="s">
        <v>24364</v>
      </c>
      <c r="B24432" s="4">
        <v>96165</v>
      </c>
      <c r="D24432" s="5" t="s">
        <v>32167</v>
      </c>
      <c r="E24432" s="6" t="str">
        <f>HYPERLINK("https://inpn.mnhn.fr/espece/cd_nom/96165","Epilobium duriaei J.Gay ex Godr., 1849")</f>
        <v>Epilobium duriaei J.Gay ex Godr., 1849</v>
      </c>
      <c r="F24432" s="5" t="s">
        <v>32168</v>
      </c>
      <c r="M24432" s="4" t="str">
        <f>HYPERLINK("#Réglementation!A"&amp;_xlfn.XMATCH("RV43",Réglementation!A:A,2,1),"RV43")</f>
        <v>RV43</v>
      </c>
      <c r="Q24432" s="7" t="str">
        <f>HYPERLINK("#Liste_rouge!A"&amp;_xlfn.XMATCH("LC",Liste_rouge!A:A,2,1),"LC")</f>
        <v>LC</v>
      </c>
      <c r="V24432" s="7" t="str">
        <f>HYPERLINK("#Liste_rouge!A"&amp;_xlfn.XMATCH("DD",Liste_rouge!A:A,2,1),"DD")</f>
        <v>DD</v>
      </c>
      <c r="X24432" s="5" t="s">
        <v>374</v>
      </c>
      <c r="AB24432" s="4" t="s">
        <v>93</v>
      </c>
      <c r="AH24432" s="4" t="str">
        <f>HYPERLINK("#Statut_biogéographique!A"&amp;_xlfn.XMATCH("P",Statut_biogéographique!A:A,2,1),"P")</f>
        <v>P</v>
      </c>
      <c r="AM24432" s="4" t="s">
        <v>375</v>
      </c>
      <c r="AN24432" s="4" t="s">
        <v>375</v>
      </c>
      <c r="AO24432" s="4" t="s">
        <v>375</v>
      </c>
      <c r="AP24432" s="4" t="s">
        <v>376</v>
      </c>
      <c r="AR24432" s="4" t="s">
        <v>377</v>
      </c>
    </row>
    <row r="24433" spans="1:44" ht="60">
      <c r="A24433" s="4" t="s">
        <v>24364</v>
      </c>
      <c r="B24433" s="4">
        <v>96180</v>
      </c>
      <c r="D24433" s="5" t="s">
        <v>32169</v>
      </c>
      <c r="E24433" s="6" t="str">
        <f>HYPERLINK("https://inpn.mnhn.fr/espece/cd_nom/96180","Epilobium hirsutum L., 1753")</f>
        <v>Epilobium hirsutum L., 1753</v>
      </c>
      <c r="F24433" s="5" t="s">
        <v>32170</v>
      </c>
      <c r="O24433" s="7" t="str">
        <f>HYPERLINK("#Liste_rouge!A"&amp;_xlfn.XMATCH("LC",Liste_rouge!A:A,2,1),"LC")</f>
        <v>LC</v>
      </c>
      <c r="Q24433" s="7" t="str">
        <f>HYPERLINK("#Liste_rouge!A"&amp;_xlfn.XMATCH("LC",Liste_rouge!A:A,2,1),"LC")</f>
        <v>LC</v>
      </c>
      <c r="T24433" s="7" t="str">
        <f>HYPERLINK("#Liste_rouge!A"&amp;_xlfn.XMATCH("LC",Liste_rouge!A:A,2,1),"LC")</f>
        <v>LC</v>
      </c>
      <c r="V24433" s="7" t="str">
        <f>HYPERLINK("#Liste_rouge!A"&amp;_xlfn.XMATCH("LC",Liste_rouge!A:A,2,1),"LC")</f>
        <v>LC</v>
      </c>
      <c r="AH24433" s="4" t="str">
        <f>HYPERLINK("#Statut_biogéographique!A"&amp;_xlfn.XMATCH("P",Statut_biogéographique!A:A,2,1),"P")</f>
        <v>P</v>
      </c>
      <c r="AM24433" s="4" t="s">
        <v>375</v>
      </c>
      <c r="AN24433" s="4" t="s">
        <v>375</v>
      </c>
      <c r="AO24433" s="4" t="s">
        <v>375</v>
      </c>
      <c r="AP24433" s="4" t="s">
        <v>376</v>
      </c>
      <c r="AR24433" s="4" t="s">
        <v>377</v>
      </c>
    </row>
    <row r="24434" spans="1:44" ht="30">
      <c r="A24434" s="4" t="s">
        <v>24364</v>
      </c>
      <c r="B24434" s="4">
        <v>96191</v>
      </c>
      <c r="D24434" s="5" t="s">
        <v>32171</v>
      </c>
      <c r="E24434" s="6" t="str">
        <f>HYPERLINK("https://inpn.mnhn.fr/espece/cd_nom/96191","Epilobium lanceolatum Sebast. &amp; Mauri, 1818")</f>
        <v>Epilobium lanceolatum Sebast. &amp; Mauri, 1818</v>
      </c>
      <c r="F24434" s="5" t="s">
        <v>32172</v>
      </c>
      <c r="Q24434" s="7" t="str">
        <f>HYPERLINK("#Liste_rouge!A"&amp;_xlfn.XMATCH("LC",Liste_rouge!A:A,2,1),"LC")</f>
        <v>LC</v>
      </c>
      <c r="T24434" s="7" t="str">
        <f>HYPERLINK("#Liste_rouge!A"&amp;_xlfn.XMATCH("LC",Liste_rouge!A:A,2,1),"LC")</f>
        <v>LC</v>
      </c>
      <c r="V24434" s="7" t="str">
        <f>HYPERLINK("#Liste_rouge!A"&amp;_xlfn.XMATCH("CR",Liste_rouge!A:A,2,1),"CR")</f>
        <v>CR</v>
      </c>
      <c r="W24434" s="4" t="str">
        <f>HYPERLINK("#Critères_liste_rouge!A$1","D")</f>
        <v>D</v>
      </c>
      <c r="AB24434" s="4" t="s">
        <v>24909</v>
      </c>
      <c r="AH24434" s="4" t="str">
        <f>HYPERLINK("#Statut_biogéographique!A"&amp;_xlfn.XMATCH("P",Statut_biogéographique!A:A,2,1),"P")</f>
        <v>P</v>
      </c>
      <c r="AM24434" s="4" t="s">
        <v>375</v>
      </c>
      <c r="AN24434" s="4" t="s">
        <v>375</v>
      </c>
      <c r="AO24434" s="4" t="s">
        <v>375</v>
      </c>
      <c r="AP24434" s="4" t="s">
        <v>376</v>
      </c>
      <c r="AR24434" s="4" t="s">
        <v>377</v>
      </c>
    </row>
    <row r="24435" spans="1:44" ht="30">
      <c r="A24435" s="4" t="s">
        <v>24364</v>
      </c>
      <c r="B24435" s="4">
        <v>962078</v>
      </c>
      <c r="D24435" s="5">
        <v>962078</v>
      </c>
      <c r="E24435" s="6" t="str">
        <f>HYPERLINK("https://inpn.mnhn.fr/espece/cd_nom/962078","Rhizomnium punctatum var. punctatum (Hedw.) T.J.Kop., 1968")</f>
        <v>Rhizomnium punctatum var. punctatum (Hedw.) T.J.Kop., 1968</v>
      </c>
      <c r="AH24435" s="4" t="str">
        <f>HYPERLINK("#Statut_biogéographique!A"&amp;_xlfn.XMATCH("P",Statut_biogéographique!A:A,2,1),"P")</f>
        <v>P</v>
      </c>
      <c r="AP24435" s="4" t="s">
        <v>376</v>
      </c>
      <c r="AR24435" s="4" t="s">
        <v>377</v>
      </c>
    </row>
    <row r="24436" spans="1:44" ht="45">
      <c r="A24436" s="4" t="s">
        <v>24364</v>
      </c>
      <c r="B24436" s="4">
        <v>96208</v>
      </c>
      <c r="D24436" s="5" t="s">
        <v>32173</v>
      </c>
      <c r="E24436" s="6" t="str">
        <f>HYPERLINK("https://inpn.mnhn.fr/espece/cd_nom/96208","Epilobium montanum L., 1753")</f>
        <v>Epilobium montanum L., 1753</v>
      </c>
      <c r="F24436" s="5" t="s">
        <v>32174</v>
      </c>
      <c r="Q24436" s="7" t="str">
        <f>HYPERLINK("#Liste_rouge!A"&amp;_xlfn.XMATCH("LC",Liste_rouge!A:A,2,1),"LC")</f>
        <v>LC</v>
      </c>
      <c r="T24436" s="7" t="str">
        <f>HYPERLINK("#Liste_rouge!A"&amp;_xlfn.XMATCH("LC",Liste_rouge!A:A,2,1),"LC")</f>
        <v>LC</v>
      </c>
      <c r="V24436" s="7" t="str">
        <f>HYPERLINK("#Liste_rouge!A"&amp;_xlfn.XMATCH("LC",Liste_rouge!A:A,2,1),"LC")</f>
        <v>LC</v>
      </c>
      <c r="AH24436" s="4" t="str">
        <f>HYPERLINK("#Statut_biogéographique!A"&amp;_xlfn.XMATCH("P",Statut_biogéographique!A:A,2,1),"P")</f>
        <v>P</v>
      </c>
      <c r="AM24436" s="4" t="s">
        <v>375</v>
      </c>
      <c r="AN24436" s="4" t="s">
        <v>375</v>
      </c>
      <c r="AO24436" s="4" t="s">
        <v>375</v>
      </c>
      <c r="AP24436" s="4" t="s">
        <v>376</v>
      </c>
      <c r="AR24436" s="4" t="s">
        <v>377</v>
      </c>
    </row>
    <row r="24437" spans="1:44" ht="30">
      <c r="A24437" s="4" t="s">
        <v>24364</v>
      </c>
      <c r="B24437" s="4">
        <v>962102</v>
      </c>
      <c r="D24437" s="5" t="s">
        <v>32175</v>
      </c>
      <c r="E24437" s="6" t="str">
        <f>HYPERLINK("https://inpn.mnhn.fr/espece/cd_nom/962102","Streblotrichum convolutum var. commutatum (Jur.) J.J.Amann, 1918")</f>
        <v>Streblotrichum convolutum var. commutatum (Jur.) J.J.Amann, 1918</v>
      </c>
      <c r="P24437" s="7" t="str">
        <f>HYPERLINK("#Liste_rouge!A"&amp;_xlfn.XMATCH("LC",Liste_rouge!A:A,2,1),"LC")</f>
        <v>LC</v>
      </c>
      <c r="T24437" s="7" t="str">
        <f>HYPERLINK("#Liste_rouge!A"&amp;_xlfn.XMATCH("DD",Liste_rouge!A:A,2,1),"DD")</f>
        <v>DD</v>
      </c>
      <c r="V24437" s="7" t="str">
        <f>HYPERLINK("#Liste_rouge!A"&amp;_xlfn.XMATCH("DD",Liste_rouge!A:A,2,1),"DD")</f>
        <v>DD</v>
      </c>
      <c r="AH24437" s="4" t="str">
        <f>HYPERLINK("#Statut_biogéographique!A"&amp;_xlfn.XMATCH("P",Statut_biogéographique!A:A,2,1),"P")</f>
        <v>P</v>
      </c>
      <c r="AP24437" s="4" t="s">
        <v>376</v>
      </c>
      <c r="AR24437" s="4" t="s">
        <v>377</v>
      </c>
    </row>
    <row r="24438" spans="1:44" ht="60">
      <c r="A24438" s="4" t="s">
        <v>24364</v>
      </c>
      <c r="B24438" s="4">
        <v>96220</v>
      </c>
      <c r="D24438" s="5" t="s">
        <v>32176</v>
      </c>
      <c r="E24438" s="6" t="str">
        <f>HYPERLINK("https://inpn.mnhn.fr/espece/cd_nom/96220","Epilobium obscurum Schreb., 1771")</f>
        <v>Epilobium obscurum Schreb., 1771</v>
      </c>
      <c r="F24438" s="5" t="s">
        <v>32177</v>
      </c>
      <c r="Q24438" s="7" t="str">
        <f>HYPERLINK("#Liste_rouge!A"&amp;_xlfn.XMATCH("LC",Liste_rouge!A:A,2,1),"LC")</f>
        <v>LC</v>
      </c>
      <c r="T24438" s="7" t="str">
        <f>HYPERLINK("#Liste_rouge!A"&amp;_xlfn.XMATCH("LC",Liste_rouge!A:A,2,1),"LC")</f>
        <v>LC</v>
      </c>
      <c r="V24438" s="7" t="str">
        <f>HYPERLINK("#Liste_rouge!A"&amp;_xlfn.XMATCH("LC",Liste_rouge!A:A,2,1),"LC")</f>
        <v>LC</v>
      </c>
      <c r="AH24438" s="4" t="str">
        <f>HYPERLINK("#Statut_biogéographique!A"&amp;_xlfn.XMATCH("P",Statut_biogéographique!A:A,2,1),"P")</f>
        <v>P</v>
      </c>
      <c r="AM24438" s="4" t="s">
        <v>375</v>
      </c>
      <c r="AN24438" s="4" t="s">
        <v>375</v>
      </c>
      <c r="AO24438" s="4" t="s">
        <v>375</v>
      </c>
      <c r="AP24438" s="4" t="s">
        <v>376</v>
      </c>
      <c r="AR24438" s="4" t="s">
        <v>377</v>
      </c>
    </row>
    <row r="24439" spans="1:44" ht="30">
      <c r="A24439" s="4" t="s">
        <v>24364</v>
      </c>
      <c r="B24439" s="4">
        <v>962236</v>
      </c>
      <c r="D24439" s="5" t="s">
        <v>32178</v>
      </c>
      <c r="E24439" s="6" t="str">
        <f>HYPERLINK("https://inpn.mnhn.fr/espece/cd_nom/962236","Microbryum davallianum var. conicum (Schleich. ex Schwägr.) R.H.Zander, 1993")</f>
        <v>Microbryum davallianum var. conicum (Schleich. ex Schwägr.) R.H.Zander, 1993</v>
      </c>
      <c r="AH24439" s="4" t="str">
        <f>HYPERLINK("#Statut_biogéographique!A"&amp;_xlfn.XMATCH("P",Statut_biogéographique!A:A,2,1),"P")</f>
        <v>P</v>
      </c>
      <c r="AP24439" s="4" t="s">
        <v>376</v>
      </c>
      <c r="AR24439" s="4" t="s">
        <v>377</v>
      </c>
    </row>
    <row r="24440" spans="1:44" ht="60">
      <c r="A24440" s="4" t="s">
        <v>24364</v>
      </c>
      <c r="B24440" s="4">
        <v>96226</v>
      </c>
      <c r="D24440" s="5" t="s">
        <v>32179</v>
      </c>
      <c r="E24440" s="6" t="str">
        <f>HYPERLINK("https://inpn.mnhn.fr/espece/cd_nom/96226","Epilobium palustre L., 1753")</f>
        <v>Epilobium palustre L., 1753</v>
      </c>
      <c r="F24440" s="5" t="s">
        <v>32180</v>
      </c>
      <c r="O24440" s="7" t="str">
        <f>HYPERLINK("#Liste_rouge!A"&amp;_xlfn.XMATCH("LC",Liste_rouge!A:A,2,1),"LC")</f>
        <v>LC</v>
      </c>
      <c r="Q24440" s="7" t="str">
        <f>HYPERLINK("#Liste_rouge!A"&amp;_xlfn.XMATCH("LC",Liste_rouge!A:A,2,1),"LC")</f>
        <v>LC</v>
      </c>
      <c r="T24440" s="7" t="str">
        <f>HYPERLINK("#Liste_rouge!A"&amp;_xlfn.XMATCH("LC",Liste_rouge!A:A,2,1),"LC")</f>
        <v>LC</v>
      </c>
      <c r="V24440" s="7" t="str">
        <f>HYPERLINK("#Liste_rouge!A"&amp;_xlfn.XMATCH("LC",Liste_rouge!A:A,2,1),"LC")</f>
        <v>LC</v>
      </c>
      <c r="AB24440" s="4" t="s">
        <v>24495</v>
      </c>
      <c r="AH24440" s="4" t="str">
        <f>HYPERLINK("#Statut_biogéographique!A"&amp;_xlfn.XMATCH("P",Statut_biogéographique!A:A,2,1),"P")</f>
        <v>P</v>
      </c>
      <c r="AM24440" s="4" t="s">
        <v>375</v>
      </c>
      <c r="AN24440" s="4" t="s">
        <v>375</v>
      </c>
      <c r="AO24440" s="4" t="s">
        <v>375</v>
      </c>
      <c r="AP24440" s="4" t="s">
        <v>376</v>
      </c>
      <c r="AR24440" s="4" t="s">
        <v>377</v>
      </c>
    </row>
    <row r="24441" spans="1:44" ht="60">
      <c r="A24441" s="4" t="s">
        <v>24364</v>
      </c>
      <c r="B24441" s="4">
        <v>96229</v>
      </c>
      <c r="D24441" s="5" t="s">
        <v>32181</v>
      </c>
      <c r="E24441" s="6" t="str">
        <f>HYPERLINK("https://inpn.mnhn.fr/espece/cd_nom/96229","Epilobium parviflorum Schreb., 1771")</f>
        <v>Epilobium parviflorum Schreb., 1771</v>
      </c>
      <c r="F24441" s="5" t="s">
        <v>32182</v>
      </c>
      <c r="O24441" s="7" t="str">
        <f>HYPERLINK("#Liste_rouge!A"&amp;_xlfn.XMATCH("LC",Liste_rouge!A:A,2,1),"LC")</f>
        <v>LC</v>
      </c>
      <c r="Q24441" s="7" t="str">
        <f>HYPERLINK("#Liste_rouge!A"&amp;_xlfn.XMATCH("LC",Liste_rouge!A:A,2,1),"LC")</f>
        <v>LC</v>
      </c>
      <c r="T24441" s="7" t="str">
        <f>HYPERLINK("#Liste_rouge!A"&amp;_xlfn.XMATCH("LC",Liste_rouge!A:A,2,1),"LC")</f>
        <v>LC</v>
      </c>
      <c r="V24441" s="7" t="str">
        <f>HYPERLINK("#Liste_rouge!A"&amp;_xlfn.XMATCH("LC",Liste_rouge!A:A,2,1),"LC")</f>
        <v>LC</v>
      </c>
      <c r="AH24441" s="4" t="str">
        <f>HYPERLINK("#Statut_biogéographique!A"&amp;_xlfn.XMATCH("P",Statut_biogéographique!A:A,2,1),"P")</f>
        <v>P</v>
      </c>
      <c r="AM24441" s="4" t="s">
        <v>375</v>
      </c>
      <c r="AN24441" s="4" t="s">
        <v>375</v>
      </c>
      <c r="AO24441" s="4" t="s">
        <v>375</v>
      </c>
      <c r="AP24441" s="4" t="s">
        <v>376</v>
      </c>
      <c r="AR24441" s="4" t="s">
        <v>377</v>
      </c>
    </row>
    <row r="24442" spans="1:44" ht="30">
      <c r="A24442" s="4" t="s">
        <v>24364</v>
      </c>
      <c r="B24442" s="4">
        <v>96251</v>
      </c>
      <c r="D24442" s="5" t="s">
        <v>32183</v>
      </c>
      <c r="E24442" s="6" t="str">
        <f>HYPERLINK("https://inpn.mnhn.fr/espece/cd_nom/96251","Epilobium roseum Schreb., 1771")</f>
        <v>Epilobium roseum Schreb., 1771</v>
      </c>
      <c r="F24442" s="5" t="s">
        <v>28497</v>
      </c>
      <c r="Q24442" s="7" t="str">
        <f>HYPERLINK("#Liste_rouge!A"&amp;_xlfn.XMATCH("LC",Liste_rouge!A:A,2,1),"LC")</f>
        <v>LC</v>
      </c>
      <c r="T24442" s="7" t="str">
        <f>HYPERLINK("#Liste_rouge!A"&amp;_xlfn.XMATCH("LC",Liste_rouge!A:A,2,1),"LC")</f>
        <v>LC</v>
      </c>
      <c r="V24442" s="7" t="str">
        <f>HYPERLINK("#Liste_rouge!A"&amp;_xlfn.XMATCH("LC",Liste_rouge!A:A,2,1),"LC")</f>
        <v>LC</v>
      </c>
      <c r="AH24442" s="4" t="str">
        <f>HYPERLINK("#Statut_biogéographique!A"&amp;_xlfn.XMATCH("P",Statut_biogéographique!A:A,2,1),"P")</f>
        <v>P</v>
      </c>
      <c r="AM24442" s="4" t="s">
        <v>375</v>
      </c>
      <c r="AN24442" s="4" t="s">
        <v>375</v>
      </c>
      <c r="AO24442" s="4" t="s">
        <v>375</v>
      </c>
      <c r="AP24442" s="4" t="s">
        <v>376</v>
      </c>
      <c r="AR24442" s="4" t="s">
        <v>377</v>
      </c>
    </row>
    <row r="24443" spans="1:44" ht="30">
      <c r="A24443" s="4" t="s">
        <v>24364</v>
      </c>
      <c r="B24443" s="4">
        <v>96271</v>
      </c>
      <c r="D24443" s="5" t="s">
        <v>32184</v>
      </c>
      <c r="E24443" s="6" t="str">
        <f>HYPERLINK("https://inpn.mnhn.fr/espece/cd_nom/96271","Epilobium tetragonum L., 1753")</f>
        <v>Epilobium tetragonum L., 1753</v>
      </c>
      <c r="F24443" s="5" t="s">
        <v>28501</v>
      </c>
      <c r="Q24443" s="7" t="str">
        <f>HYPERLINK("#Liste_rouge!A"&amp;_xlfn.XMATCH("LC",Liste_rouge!A:A,2,1),"LC")</f>
        <v>LC</v>
      </c>
      <c r="T24443" s="7" t="str">
        <f>HYPERLINK("#Liste_rouge!A"&amp;_xlfn.XMATCH("LC",Liste_rouge!A:A,2,1),"LC")</f>
        <v>LC</v>
      </c>
      <c r="V24443" s="7" t="str">
        <f>HYPERLINK("#Liste_rouge!A"&amp;_xlfn.XMATCH("LC",Liste_rouge!A:A,2,1),"LC")</f>
        <v>LC</v>
      </c>
      <c r="AH24443" s="4" t="str">
        <f>HYPERLINK("#Statut_biogéographique!A"&amp;_xlfn.XMATCH("P",Statut_biogéographique!A:A,2,1),"P")</f>
        <v>P</v>
      </c>
      <c r="AM24443" s="4" t="s">
        <v>375</v>
      </c>
      <c r="AN24443" s="4" t="s">
        <v>375</v>
      </c>
      <c r="AO24443" s="4" t="s">
        <v>375</v>
      </c>
      <c r="AP24443" s="4" t="s">
        <v>376</v>
      </c>
      <c r="AR24443" s="4" t="s">
        <v>377</v>
      </c>
    </row>
    <row r="24444" spans="1:44">
      <c r="A24444" s="4" t="s">
        <v>24364</v>
      </c>
      <c r="B24444" s="4">
        <v>96304</v>
      </c>
      <c r="D24444" s="5">
        <v>96304</v>
      </c>
      <c r="E24444" s="6" t="str">
        <f>HYPERLINK("https://inpn.mnhn.fr/espece/cd_nom/96304","Epilobium x borbasianum Hausskn., 1884")</f>
        <v>Epilobium x borbasianum Hausskn., 1884</v>
      </c>
      <c r="F24444" s="5" t="s">
        <v>32185</v>
      </c>
      <c r="T24444" s="7" t="str">
        <f>HYPERLINK("#Liste_rouge!A"&amp;_xlfn.XMATCH("NE",Liste_rouge!A:A,2,1),"NE")</f>
        <v>NE</v>
      </c>
      <c r="AH24444" s="4" t="str">
        <f>HYPERLINK("#Statut_biogéographique!A"&amp;_xlfn.XMATCH("D",Statut_biogéographique!A:A,2,1),"D")</f>
        <v>D</v>
      </c>
      <c r="AP24444" s="4" t="s">
        <v>376</v>
      </c>
      <c r="AR24444" s="4" t="s">
        <v>377</v>
      </c>
    </row>
    <row r="24445" spans="1:44">
      <c r="A24445" s="4" t="s">
        <v>24364</v>
      </c>
      <c r="B24445" s="4">
        <v>96307</v>
      </c>
      <c r="D24445" s="5">
        <v>96307</v>
      </c>
      <c r="E24445" s="6" t="str">
        <f>HYPERLINK("https://inpn.mnhn.fr/espece/cd_nom/96307","Epilobium x brevipilum Hausskn., 1884")</f>
        <v>Epilobium x brevipilum Hausskn., 1884</v>
      </c>
      <c r="F24445" s="5" t="s">
        <v>32186</v>
      </c>
      <c r="AH24445" s="4" t="str">
        <f>HYPERLINK("#Statut_biogéographique!A"&amp;_xlfn.XMATCH("D",Statut_biogéographique!A:A,2,1),"D")</f>
        <v>D</v>
      </c>
      <c r="AP24445" s="4" t="s">
        <v>376</v>
      </c>
      <c r="AR24445" s="4" t="s">
        <v>377</v>
      </c>
    </row>
    <row r="24446" spans="1:44">
      <c r="A24446" s="4" t="s">
        <v>24364</v>
      </c>
      <c r="B24446" s="4">
        <v>96330</v>
      </c>
      <c r="D24446" s="5" t="s">
        <v>32187</v>
      </c>
      <c r="E24446" s="6" t="str">
        <f>HYPERLINK("https://inpn.mnhn.fr/espece/cd_nom/96330","Epilobium x freynii Čelak., 1881")</f>
        <v>Epilobium x freynii Čelak., 1881</v>
      </c>
      <c r="F24446" s="5" t="s">
        <v>32188</v>
      </c>
      <c r="T24446" s="7" t="str">
        <f>HYPERLINK("#Liste_rouge!A"&amp;_xlfn.XMATCH("DD",Liste_rouge!A:A,2,1),"DD")</f>
        <v>DD</v>
      </c>
      <c r="AH24446" s="4" t="str">
        <f>HYPERLINK("#Statut_biogéographique!A"&amp;_xlfn.XMATCH("D",Statut_biogéographique!A:A,2,1),"D")</f>
        <v>D</v>
      </c>
      <c r="AP24446" s="4" t="s">
        <v>376</v>
      </c>
      <c r="AR24446" s="4" t="s">
        <v>377</v>
      </c>
    </row>
    <row r="24447" spans="1:44" ht="30">
      <c r="A24447" s="4" t="s">
        <v>24364</v>
      </c>
      <c r="B24447" s="4">
        <v>963515</v>
      </c>
      <c r="D24447" s="5" t="s">
        <v>32189</v>
      </c>
      <c r="E24447" s="6" t="str">
        <f>HYPERLINK("https://inpn.mnhn.fr/espece/cd_nom/963515","Platyhypnum duriusculum (De Not.) Ochyra, 2013")</f>
        <v>Platyhypnum duriusculum (De Not.) Ochyra, 2013</v>
      </c>
      <c r="P24447" s="7" t="str">
        <f>HYPERLINK("#Liste_rouge!A"&amp;_xlfn.XMATCH("LC",Liste_rouge!A:A,2,1),"LC")</f>
        <v>LC</v>
      </c>
      <c r="T24447" s="7" t="str">
        <f>HYPERLINK("#Liste_rouge!A"&amp;_xlfn.XMATCH("CR",Liste_rouge!A:A,2,1),"CR")</f>
        <v>CR</v>
      </c>
      <c r="V24447" s="7" t="str">
        <f>HYPERLINK("#Liste_rouge!A"&amp;_xlfn.XMATCH("VU",Liste_rouge!A:A,2,1),"VU")</f>
        <v>VU</v>
      </c>
      <c r="X24447" s="5" t="s">
        <v>374</v>
      </c>
      <c r="AB24447" s="4" t="s">
        <v>93</v>
      </c>
      <c r="AH24447" s="4" t="str">
        <f>HYPERLINK("#Statut_biogéographique!A"&amp;_xlfn.XMATCH("P",Statut_biogéographique!A:A,2,1),"P")</f>
        <v>P</v>
      </c>
      <c r="AP24447" s="4" t="s">
        <v>376</v>
      </c>
      <c r="AR24447" s="4" t="s">
        <v>377</v>
      </c>
    </row>
    <row r="24448" spans="1:44">
      <c r="A24448" s="4" t="s">
        <v>24364</v>
      </c>
      <c r="B24448" s="4">
        <v>963521</v>
      </c>
      <c r="D24448" s="5" t="s">
        <v>32190</v>
      </c>
      <c r="E24448" s="6" t="str">
        <f>HYPERLINK("https://inpn.mnhn.fr/espece/cd_nom/963521","Platyhypnum molle (Hedw.) Loeske, 1911")</f>
        <v>Platyhypnum molle (Hedw.) Loeske, 1911</v>
      </c>
      <c r="P24448" s="7" t="str">
        <f>HYPERLINK("#Liste_rouge!A"&amp;_xlfn.XMATCH("VU",Liste_rouge!A:A,2,1),"VU")</f>
        <v>VU</v>
      </c>
      <c r="V24448" s="7" t="str">
        <f>HYPERLINK("#Liste_rouge!A"&amp;_xlfn.XMATCH("CR",Liste_rouge!A:A,2,1),"CR")</f>
        <v>CR</v>
      </c>
      <c r="X24448" s="5" t="s">
        <v>374</v>
      </c>
      <c r="AB24448" s="4" t="s">
        <v>93</v>
      </c>
      <c r="AH24448" s="4" t="str">
        <f>HYPERLINK("#Statut_biogéographique!A"&amp;_xlfn.XMATCH("P",Statut_biogéographique!A:A,2,1),"P")</f>
        <v>P</v>
      </c>
      <c r="AP24448" s="4" t="s">
        <v>376</v>
      </c>
      <c r="AR24448" s="4" t="s">
        <v>377</v>
      </c>
    </row>
    <row r="24449" spans="1:44" ht="45">
      <c r="A24449" s="4" t="s">
        <v>24364</v>
      </c>
      <c r="B24449" s="4">
        <v>963539</v>
      </c>
      <c r="D24449" s="5" t="s">
        <v>32191</v>
      </c>
      <c r="E24449" s="6" t="str">
        <f>HYPERLINK("https://inpn.mnhn.fr/espece/cd_nom/963539","Ptychostomum pallescens (Schleich. ex Schwägr.) J.R.Spence, 2005")</f>
        <v>Ptychostomum pallescens (Schleich. ex Schwägr.) J.R.Spence, 2005</v>
      </c>
      <c r="P24449" s="7" t="str">
        <f>HYPERLINK("#Liste_rouge!A"&amp;_xlfn.XMATCH("LC",Liste_rouge!A:A,2,1),"LC")</f>
        <v>LC</v>
      </c>
      <c r="T24449" s="7" t="str">
        <f>HYPERLINK("#Liste_rouge!A"&amp;_xlfn.XMATCH("DD",Liste_rouge!A:A,2,1),"DD")</f>
        <v>DD</v>
      </c>
      <c r="V24449" s="7" t="str">
        <f>HYPERLINK("#Liste_rouge!A"&amp;_xlfn.XMATCH("DD",Liste_rouge!A:A,2,1),"DD")</f>
        <v>DD</v>
      </c>
      <c r="AH24449" s="4" t="str">
        <f>HYPERLINK("#Statut_biogéographique!A"&amp;_xlfn.XMATCH("P",Statut_biogéographique!A:A,2,1),"P")</f>
        <v>P</v>
      </c>
      <c r="AP24449" s="4" t="s">
        <v>376</v>
      </c>
      <c r="AR24449" s="4" t="s">
        <v>377</v>
      </c>
    </row>
    <row r="24450" spans="1:44" ht="30">
      <c r="A24450" s="4" t="s">
        <v>24364</v>
      </c>
      <c r="B24450" s="4">
        <v>963550</v>
      </c>
      <c r="D24450" s="5" t="s">
        <v>32192</v>
      </c>
      <c r="E24450" s="6" t="str">
        <f>HYPERLINK("https://inpn.mnhn.fr/espece/cd_nom/963550","Pulvigera lyellii (Hook. &amp; Taylor) Plášek, Sawicki &amp; Ochyra, 2015")</f>
        <v>Pulvigera lyellii (Hook. &amp; Taylor) Plášek, Sawicki &amp; Ochyra, 2015</v>
      </c>
      <c r="P24450" s="7" t="str">
        <f>HYPERLINK("#Liste_rouge!A"&amp;_xlfn.XMATCH("LC",Liste_rouge!A:A,2,1),"LC")</f>
        <v>LC</v>
      </c>
      <c r="T24450" s="7" t="str">
        <f>HYPERLINK("#Liste_rouge!A"&amp;_xlfn.XMATCH("LC",Liste_rouge!A:A,2,1),"LC")</f>
        <v>LC</v>
      </c>
      <c r="V24450" s="7" t="str">
        <f>HYPERLINK("#Liste_rouge!A"&amp;_xlfn.XMATCH("LC",Liste_rouge!A:A,2,1),"LC")</f>
        <v>LC</v>
      </c>
      <c r="AH24450" s="4" t="str">
        <f>HYPERLINK("#Statut_biogéographique!A"&amp;_xlfn.XMATCH("P",Statut_biogéographique!A:A,2,1),"P")</f>
        <v>P</v>
      </c>
      <c r="AP24450" s="4" t="s">
        <v>376</v>
      </c>
      <c r="AR24450" s="4" t="s">
        <v>377</v>
      </c>
    </row>
    <row r="24451" spans="1:44">
      <c r="A24451" s="4" t="s">
        <v>24364</v>
      </c>
      <c r="B24451" s="4">
        <v>963587</v>
      </c>
      <c r="D24451" s="5" t="s">
        <v>32193</v>
      </c>
      <c r="E24451" s="6" t="str">
        <f>HYPERLINK("https://inpn.mnhn.fr/espece/cd_nom/963587","Pohlia flexuosa Harv., 1836")</f>
        <v>Pohlia flexuosa Harv., 1836</v>
      </c>
      <c r="P24451" s="7" t="str">
        <f>HYPERLINK("#Liste_rouge!A"&amp;_xlfn.XMATCH("LC",Liste_rouge!A:A,2,1),"LC")</f>
        <v>LC</v>
      </c>
      <c r="V24451" s="7" t="str">
        <f>HYPERLINK("#Liste_rouge!A"&amp;_xlfn.XMATCH("CR",Liste_rouge!A:A,2,1),"CR")</f>
        <v>CR</v>
      </c>
      <c r="X24451" s="5" t="s">
        <v>374</v>
      </c>
      <c r="AB24451" s="4" t="s">
        <v>93</v>
      </c>
      <c r="AH24451" s="4" t="str">
        <f>HYPERLINK("#Statut_biogéographique!A"&amp;_xlfn.XMATCH("P",Statut_biogéographique!A:A,2,1),"P")</f>
        <v>P</v>
      </c>
      <c r="AP24451" s="4" t="s">
        <v>376</v>
      </c>
      <c r="AR24451" s="4" t="s">
        <v>377</v>
      </c>
    </row>
    <row r="24452" spans="1:44">
      <c r="A24452" s="4" t="s">
        <v>24364</v>
      </c>
      <c r="B24452" s="4">
        <v>963689</v>
      </c>
      <c r="D24452" s="5" t="s">
        <v>32194</v>
      </c>
      <c r="E24452" s="6" t="str">
        <f>HYPERLINK("https://inpn.mnhn.fr/espece/cd_nom/963689","Hedwigia emodica Hampe ex Müll.Hal., 1878")</f>
        <v>Hedwigia emodica Hampe ex Müll.Hal., 1878</v>
      </c>
      <c r="T24452" s="7" t="str">
        <f>HYPERLINK("#Liste_rouge!A"&amp;_xlfn.XMATCH("DD",Liste_rouge!A:A,2,1),"DD")</f>
        <v>DD</v>
      </c>
      <c r="AH24452" s="4" t="str">
        <f>HYPERLINK("#Statut_biogéographique!A"&amp;_xlfn.XMATCH("P",Statut_biogéographique!A:A,2,1),"P")</f>
        <v>P</v>
      </c>
      <c r="AP24452" s="4" t="s">
        <v>376</v>
      </c>
      <c r="AR24452" s="4" t="s">
        <v>377</v>
      </c>
    </row>
    <row r="24453" spans="1:44">
      <c r="A24453" s="4" t="s">
        <v>24364</v>
      </c>
      <c r="B24453" s="4">
        <v>96371</v>
      </c>
      <c r="D24453" s="5" t="s">
        <v>32195</v>
      </c>
      <c r="E24453" s="6" t="str">
        <f>HYPERLINK("https://inpn.mnhn.fr/espece/cd_nom/96371","Epilobium x limosum Schur, 1866")</f>
        <v>Epilobium x limosum Schur, 1866</v>
      </c>
      <c r="F24453" s="5" t="s">
        <v>32196</v>
      </c>
      <c r="T24453" s="7" t="str">
        <f>HYPERLINK("#Liste_rouge!A"&amp;_xlfn.XMATCH("DD",Liste_rouge!A:A,2,1),"DD")</f>
        <v>DD</v>
      </c>
      <c r="AH24453" s="4" t="str">
        <f>HYPERLINK("#Statut_biogéographique!A"&amp;_xlfn.XMATCH("D",Statut_biogéographique!A:A,2,1),"D")</f>
        <v>D</v>
      </c>
      <c r="AP24453" s="4" t="s">
        <v>376</v>
      </c>
      <c r="AR24453" s="4" t="s">
        <v>377</v>
      </c>
    </row>
    <row r="24454" spans="1:44" ht="30">
      <c r="A24454" s="4" t="s">
        <v>24364</v>
      </c>
      <c r="B24454" s="4">
        <v>963720</v>
      </c>
      <c r="D24454" s="5" t="s">
        <v>32197</v>
      </c>
      <c r="E24454" s="6" t="str">
        <f>HYPERLINK("https://inpn.mnhn.fr/espece/cd_nom/963720","Microhypnum sauteri (Schimp.) Jan Kučera &amp; Ignatov, 2019")</f>
        <v>Microhypnum sauteri (Schimp.) Jan Kučera &amp; Ignatov, 2019</v>
      </c>
      <c r="O24454" s="7" t="str">
        <f>HYPERLINK("#Liste_rouge!A"&amp;_xlfn.XMATCH("LC",Liste_rouge!A:A,2,1),"LC")</f>
        <v>LC</v>
      </c>
      <c r="P24454" s="7" t="str">
        <f>HYPERLINK("#Liste_rouge!A"&amp;_xlfn.XMATCH("LC",Liste_rouge!A:A,2,1),"LC")</f>
        <v>LC</v>
      </c>
      <c r="V24454" s="7" t="str">
        <f>HYPERLINK("#Liste_rouge!A"&amp;_xlfn.XMATCH("DD",Liste_rouge!A:A,2,1),"DD")</f>
        <v>DD</v>
      </c>
      <c r="X24454" s="5" t="s">
        <v>374</v>
      </c>
      <c r="AB24454" s="4" t="s">
        <v>93</v>
      </c>
      <c r="AH24454" s="4" t="str">
        <f>HYPERLINK("#Statut_biogéographique!A"&amp;_xlfn.XMATCH("P",Statut_biogéographique!A:A,2,1),"P")</f>
        <v>P</v>
      </c>
      <c r="AP24454" s="4" t="s">
        <v>376</v>
      </c>
      <c r="AR24454" s="4" t="s">
        <v>377</v>
      </c>
    </row>
    <row r="24455" spans="1:44" ht="30">
      <c r="A24455" s="4" t="s">
        <v>24364</v>
      </c>
      <c r="B24455" s="4">
        <v>963812</v>
      </c>
      <c r="D24455" s="5" t="s">
        <v>32198</v>
      </c>
      <c r="E24455" s="6" t="str">
        <f>HYPERLINK("https://inpn.mnhn.fr/espece/cd_nom/963812","Pseudohygrohypnum fertile (Sendtn.) Jan Kučera &amp; Ignatov, 2019")</f>
        <v>Pseudohygrohypnum fertile (Sendtn.) Jan Kučera &amp; Ignatov, 2019</v>
      </c>
      <c r="O24455" s="7" t="str">
        <f>HYPERLINK("#Liste_rouge!A"&amp;_xlfn.XMATCH("CR",Liste_rouge!A:A,2,1),"CR")</f>
        <v>CR</v>
      </c>
      <c r="P24455" s="7" t="str">
        <f>HYPERLINK("#Liste_rouge!A"&amp;_xlfn.XMATCH("CR",Liste_rouge!A:A,2,1),"CR")</f>
        <v>CR</v>
      </c>
      <c r="V24455" s="7" t="str">
        <f>HYPERLINK("#Liste_rouge!A"&amp;_xlfn.XMATCH("VU",Liste_rouge!A:A,2,1),"VU")</f>
        <v>VU</v>
      </c>
      <c r="X24455" s="5" t="s">
        <v>374</v>
      </c>
      <c r="AB24455" s="4" t="s">
        <v>93</v>
      </c>
      <c r="AH24455" s="4" t="str">
        <f>HYPERLINK("#Statut_biogéographique!A"&amp;_xlfn.XMATCH("P",Statut_biogéographique!A:A,2,1),"P")</f>
        <v>P</v>
      </c>
      <c r="AP24455" s="4" t="s">
        <v>376</v>
      </c>
      <c r="AR24455" s="4" t="s">
        <v>377</v>
      </c>
    </row>
    <row r="24456" spans="1:44" ht="30">
      <c r="A24456" s="4" t="s">
        <v>24364</v>
      </c>
      <c r="B24456" s="4">
        <v>963836</v>
      </c>
      <c r="D24456" s="5" t="s">
        <v>32199</v>
      </c>
      <c r="E24456" s="6" t="str">
        <f>HYPERLINK("https://inpn.mnhn.fr/espece/cd_nom/963836","Ptychostomum funkii (Schwägr.) J.R.Spence, 2007")</f>
        <v>Ptychostomum funkii (Schwägr.) J.R.Spence, 2007</v>
      </c>
      <c r="P24456" s="7" t="str">
        <f>HYPERLINK("#Liste_rouge!A"&amp;_xlfn.XMATCH("VU",Liste_rouge!A:A,2,1),"VU")</f>
        <v>VU</v>
      </c>
      <c r="V24456" s="7" t="str">
        <f>HYPERLINK("#Liste_rouge!A"&amp;_xlfn.XMATCH("DD",Liste_rouge!A:A,2,1),"DD")</f>
        <v>DD</v>
      </c>
      <c r="X24456" s="5" t="s">
        <v>374</v>
      </c>
      <c r="AB24456" s="4" t="s">
        <v>93</v>
      </c>
      <c r="AH24456" s="4" t="str">
        <f>HYPERLINK("#Statut_biogéographique!A"&amp;_xlfn.XMATCH("P",Statut_biogéographique!A:A,2,1),"P")</f>
        <v>P</v>
      </c>
      <c r="AP24456" s="4" t="s">
        <v>376</v>
      </c>
      <c r="AR24456" s="4" t="s">
        <v>377</v>
      </c>
    </row>
    <row r="24457" spans="1:44" ht="45">
      <c r="A24457" s="4" t="s">
        <v>24364</v>
      </c>
      <c r="B24457" s="4">
        <v>963845</v>
      </c>
      <c r="D24457" s="5" t="s">
        <v>32200</v>
      </c>
      <c r="E24457" s="6" t="str">
        <f>HYPERLINK("https://inpn.mnhn.fr/espece/cd_nom/963845","Ptychostomum inclinatum (Sw. ex Brid.) J.R.Spence, 2005")</f>
        <v>Ptychostomum inclinatum (Sw. ex Brid.) J.R.Spence, 2005</v>
      </c>
      <c r="P24457" s="7" t="str">
        <f>HYPERLINK("#Liste_rouge!A"&amp;_xlfn.XMATCH("LC",Liste_rouge!A:A,2,1),"LC")</f>
        <v>LC</v>
      </c>
      <c r="T24457" s="7" t="str">
        <f>HYPERLINK("#Liste_rouge!A"&amp;_xlfn.XMATCH("DD",Liste_rouge!A:A,2,1),"DD")</f>
        <v>DD</v>
      </c>
      <c r="V24457" s="7" t="str">
        <f>HYPERLINK("#Liste_rouge!A"&amp;_xlfn.XMATCH("DD",Liste_rouge!A:A,2,1),"DD")</f>
        <v>DD</v>
      </c>
      <c r="AH24457" s="4" t="str">
        <f>HYPERLINK("#Statut_biogéographique!A"&amp;_xlfn.XMATCH("P",Statut_biogéographique!A:A,2,1),"P")</f>
        <v>P</v>
      </c>
      <c r="AP24457" s="4" t="s">
        <v>376</v>
      </c>
      <c r="AR24457" s="4" t="s">
        <v>377</v>
      </c>
    </row>
    <row r="24458" spans="1:44" ht="30">
      <c r="A24458" s="4" t="s">
        <v>24364</v>
      </c>
      <c r="B24458" s="4">
        <v>963846</v>
      </c>
      <c r="D24458" s="5" t="s">
        <v>32201</v>
      </c>
      <c r="E24458" s="6" t="str">
        <f>HYPERLINK("https://inpn.mnhn.fr/espece/cd_nom/963846","Ptychostomum intermedium (Brid.) J.R.Spence, 2005")</f>
        <v>Ptychostomum intermedium (Brid.) J.R.Spence, 2005</v>
      </c>
      <c r="P24458" s="7" t="str">
        <f>HYPERLINK("#Liste_rouge!A"&amp;_xlfn.XMATCH("DD",Liste_rouge!A:A,2,1),"DD")</f>
        <v>DD</v>
      </c>
      <c r="V24458" s="7" t="str">
        <f>HYPERLINK("#Liste_rouge!A"&amp;_xlfn.XMATCH("DD",Liste_rouge!A:A,2,1),"DD")</f>
        <v>DD</v>
      </c>
      <c r="AH24458" s="4" t="str">
        <f>HYPERLINK("#Statut_biogéographique!A"&amp;_xlfn.XMATCH("P",Statut_biogéographique!A:A,2,1),"P")</f>
        <v>P</v>
      </c>
      <c r="AP24458" s="4" t="s">
        <v>376</v>
      </c>
      <c r="AR24458" s="4" t="s">
        <v>377</v>
      </c>
    </row>
    <row r="24459" spans="1:44" ht="30">
      <c r="A24459" s="4" t="s">
        <v>24364</v>
      </c>
      <c r="B24459" s="4">
        <v>963854</v>
      </c>
      <c r="D24459" s="5" t="s">
        <v>32202</v>
      </c>
      <c r="E24459" s="6" t="str">
        <f>HYPERLINK("https://inpn.mnhn.fr/espece/cd_nom/963854","Ptychostomum turbinatum (Hedw.) J.R.Spence, 2005")</f>
        <v>Ptychostomum turbinatum (Hedw.) J.R.Spence, 2005</v>
      </c>
      <c r="P24459" s="7" t="str">
        <f>HYPERLINK("#Liste_rouge!A"&amp;_xlfn.XMATCH("VU",Liste_rouge!A:A,2,1),"VU")</f>
        <v>VU</v>
      </c>
      <c r="T24459" s="7" t="str">
        <f>HYPERLINK("#Liste_rouge!A"&amp;_xlfn.XMATCH("CR",Liste_rouge!A:A,2,1),"CR")</f>
        <v>CR</v>
      </c>
      <c r="V24459" s="7" t="str">
        <f>HYPERLINK("#Liste_rouge!A"&amp;_xlfn.XMATCH("DD",Liste_rouge!A:A,2,1),"DD")</f>
        <v>DD</v>
      </c>
      <c r="X24459" s="5" t="s">
        <v>374</v>
      </c>
      <c r="AB24459" s="4" t="s">
        <v>93</v>
      </c>
      <c r="AH24459" s="4" t="str">
        <f>HYPERLINK("#Statut_biogéographique!A"&amp;_xlfn.XMATCH("P",Statut_biogéographique!A:A,2,1),"P")</f>
        <v>P</v>
      </c>
      <c r="AP24459" s="4" t="s">
        <v>376</v>
      </c>
      <c r="AR24459" s="4" t="s">
        <v>377</v>
      </c>
    </row>
    <row r="24460" spans="1:44" ht="30">
      <c r="A24460" s="4" t="s">
        <v>24364</v>
      </c>
      <c r="B24460" s="4">
        <v>963858</v>
      </c>
      <c r="D24460" s="5" t="s">
        <v>32203</v>
      </c>
      <c r="E24460" s="6" t="str">
        <f>HYPERLINK("https://inpn.mnhn.fr/espece/cd_nom/963858","Ptychostomum weigelii (Biehler) J.R.Spence, 2005")</f>
        <v>Ptychostomum weigelii (Biehler) J.R.Spence, 2005</v>
      </c>
      <c r="P24460" s="7" t="str">
        <f>HYPERLINK("#Liste_rouge!A"&amp;_xlfn.XMATCH("LC",Liste_rouge!A:A,2,1),"LC")</f>
        <v>LC</v>
      </c>
      <c r="V24460" s="7" t="str">
        <f>HYPERLINK("#Liste_rouge!A"&amp;_xlfn.XMATCH("VU",Liste_rouge!A:A,2,1),"VU")</f>
        <v>VU</v>
      </c>
      <c r="X24460" s="5" t="s">
        <v>374</v>
      </c>
      <c r="AB24460" s="4" t="s">
        <v>93</v>
      </c>
      <c r="AH24460" s="4" t="str">
        <f>HYPERLINK("#Statut_biogéographique!A"&amp;_xlfn.XMATCH("P",Statut_biogéographique!A:A,2,1),"P")</f>
        <v>P</v>
      </c>
      <c r="AP24460" s="4" t="s">
        <v>376</v>
      </c>
      <c r="AR24460" s="4" t="s">
        <v>377</v>
      </c>
    </row>
    <row r="24461" spans="1:44">
      <c r="A24461" s="4" t="s">
        <v>24364</v>
      </c>
      <c r="B24461" s="4">
        <v>96386</v>
      </c>
      <c r="D24461" s="5">
        <v>96386</v>
      </c>
      <c r="E24461" s="6" t="str">
        <f>HYPERLINK("https://inpn.mnhn.fr/espece/cd_nom/96386","Epilobium x palatinum F.W.Schultz, 1853")</f>
        <v>Epilobium x palatinum F.W.Schultz, 1853</v>
      </c>
      <c r="F24461" s="5" t="s">
        <v>32204</v>
      </c>
      <c r="T24461" s="7" t="str">
        <f>HYPERLINK("#Liste_rouge!A"&amp;_xlfn.XMATCH("DD",Liste_rouge!A:A,2,1),"DD")</f>
        <v>DD</v>
      </c>
      <c r="AH24461" s="4" t="str">
        <f>HYPERLINK("#Statut_biogéographique!A"&amp;_xlfn.XMATCH("D",Statut_biogéographique!A:A,2,1),"D")</f>
        <v>D</v>
      </c>
      <c r="AP24461" s="4" t="s">
        <v>376</v>
      </c>
      <c r="AR24461" s="4" t="s">
        <v>377</v>
      </c>
    </row>
    <row r="24462" spans="1:44" ht="30">
      <c r="A24462" s="4" t="s">
        <v>24364</v>
      </c>
      <c r="B24462" s="4">
        <v>96391</v>
      </c>
      <c r="D24462" s="5" t="s">
        <v>32205</v>
      </c>
      <c r="E24462" s="6" t="str">
        <f>HYPERLINK("https://inpn.mnhn.fr/espece/cd_nom/96391","Epilobium x persicinum Rchb., 1832")</f>
        <v>Epilobium x persicinum Rchb., 1832</v>
      </c>
      <c r="F24462" s="5" t="s">
        <v>32206</v>
      </c>
      <c r="T24462" s="7" t="str">
        <f>HYPERLINK("#Liste_rouge!A"&amp;_xlfn.XMATCH("DD",Liste_rouge!A:A,2,1),"DD")</f>
        <v>DD</v>
      </c>
      <c r="AH24462" s="4" t="str">
        <f>HYPERLINK("#Statut_biogéographique!A"&amp;_xlfn.XMATCH("D",Statut_biogéographique!A:A,2,1),"D")</f>
        <v>D</v>
      </c>
      <c r="AP24462" s="4" t="s">
        <v>376</v>
      </c>
      <c r="AR24462" s="4" t="s">
        <v>377</v>
      </c>
    </row>
    <row r="24463" spans="1:44">
      <c r="A24463" s="4" t="s">
        <v>24364</v>
      </c>
      <c r="B24463" s="4">
        <v>96402</v>
      </c>
      <c r="D24463" s="5" t="s">
        <v>32207</v>
      </c>
      <c r="E24463" s="6" t="str">
        <f>HYPERLINK("https://inpn.mnhn.fr/espece/cd_nom/96402","Epilobium x rivulare Wahlenb., 1820")</f>
        <v>Epilobium x rivulare Wahlenb., 1820</v>
      </c>
      <c r="F24463" s="5" t="s">
        <v>32208</v>
      </c>
      <c r="T24463" s="7" t="str">
        <f>HYPERLINK("#Liste_rouge!A"&amp;_xlfn.XMATCH("NE",Liste_rouge!A:A,2,1),"NE")</f>
        <v>NE</v>
      </c>
      <c r="AH24463" s="4" t="str">
        <f>HYPERLINK("#Statut_biogéographique!A"&amp;_xlfn.XMATCH("D",Statut_biogéographique!A:A,2,1),"D")</f>
        <v>D</v>
      </c>
      <c r="AP24463" s="4" t="s">
        <v>376</v>
      </c>
      <c r="AR24463" s="4" t="s">
        <v>377</v>
      </c>
    </row>
    <row r="24464" spans="1:44" ht="30">
      <c r="A24464" s="4" t="s">
        <v>24364</v>
      </c>
      <c r="B24464" s="4">
        <v>96408</v>
      </c>
      <c r="D24464" s="5" t="s">
        <v>32209</v>
      </c>
      <c r="E24464" s="6" t="str">
        <f>HYPERLINK("https://inpn.mnhn.fr/espece/cd_nom/96408","Epilobium x schmidtianum Rostk. &amp; W.L.E.Schmidt, 1824")</f>
        <v>Epilobium x schmidtianum Rostk. &amp; W.L.E.Schmidt, 1824</v>
      </c>
      <c r="F24464" s="5" t="s">
        <v>32210</v>
      </c>
      <c r="T24464" s="7" t="str">
        <f>HYPERLINK("#Liste_rouge!A"&amp;_xlfn.XMATCH("NE",Liste_rouge!A:A,2,1),"NE")</f>
        <v>NE</v>
      </c>
      <c r="AH24464" s="4" t="str">
        <f>HYPERLINK("#Statut_biogéographique!A"&amp;_xlfn.XMATCH("D",Statut_biogéographique!A:A,2,1),"D")</f>
        <v>D</v>
      </c>
      <c r="AP24464" s="4" t="s">
        <v>376</v>
      </c>
      <c r="AR24464" s="4" t="s">
        <v>377</v>
      </c>
    </row>
    <row r="24465" spans="1:44">
      <c r="A24465" s="4" t="s">
        <v>24364</v>
      </c>
      <c r="B24465" s="4">
        <v>96416</v>
      </c>
      <c r="D24465" s="5" t="s">
        <v>32211</v>
      </c>
      <c r="E24465" s="6" t="str">
        <f>HYPERLINK("https://inpn.mnhn.fr/espece/cd_nom/96416","Epilobium x subhirsutum Gennari, 1851")</f>
        <v>Epilobium x subhirsutum Gennari, 1851</v>
      </c>
      <c r="F24465" s="5" t="s">
        <v>32212</v>
      </c>
      <c r="T24465" s="7" t="str">
        <f>HYPERLINK("#Liste_rouge!A"&amp;_xlfn.XMATCH("DD",Liste_rouge!A:A,2,1),"DD")</f>
        <v>DD</v>
      </c>
      <c r="AH24465" s="4" t="str">
        <f>HYPERLINK("#Statut_biogéographique!A"&amp;_xlfn.XMATCH("D",Statut_biogéographique!A:A,2,1),"D")</f>
        <v>D</v>
      </c>
      <c r="AP24465" s="4" t="s">
        <v>376</v>
      </c>
      <c r="AR24465" s="4" t="s">
        <v>377</v>
      </c>
    </row>
    <row r="24466" spans="1:44" ht="30">
      <c r="A24466" s="4" t="s">
        <v>24364</v>
      </c>
      <c r="B24466" s="4">
        <v>964244</v>
      </c>
      <c r="D24466" s="5" t="s">
        <v>32213</v>
      </c>
      <c r="E24466" s="6" t="str">
        <f>HYPERLINK("https://inpn.mnhn.fr/espece/cd_nom/964244","Chiloscyphus pallescens var. fragilis (Roth) Müll.Frib.")</f>
        <v>Chiloscyphus pallescens var. fragilis (Roth) Müll.Frib.</v>
      </c>
      <c r="V24466" s="7" t="str">
        <f>HYPERLINK("#Liste_rouge!A"&amp;_xlfn.XMATCH("NE",Liste_rouge!A:A,2,1),"NE")</f>
        <v>NE</v>
      </c>
      <c r="AH24466" s="4" t="str">
        <f>HYPERLINK("#Statut_biogéographique!A"&amp;_xlfn.XMATCH("P",Statut_biogéographique!A:A,2,1),"P")</f>
        <v>P</v>
      </c>
      <c r="AP24466" s="4" t="s">
        <v>376</v>
      </c>
      <c r="AR24466" s="4" t="s">
        <v>377</v>
      </c>
    </row>
    <row r="24467" spans="1:44">
      <c r="A24467" s="4" t="s">
        <v>24364</v>
      </c>
      <c r="B24467" s="4">
        <v>96426</v>
      </c>
      <c r="D24467" s="5">
        <v>96426</v>
      </c>
      <c r="E24467" s="6" t="str">
        <f>HYPERLINK("https://inpn.mnhn.fr/espece/cd_nom/96426","Epimedium alpinum L., 1753")</f>
        <v>Epimedium alpinum L., 1753</v>
      </c>
      <c r="F24467" s="5" t="s">
        <v>32214</v>
      </c>
      <c r="Q24467" s="7" t="str">
        <f>HYPERLINK("#Liste_rouge!A"&amp;_xlfn.XMATCH("NA",Liste_rouge!A:A,2,1),"NA")</f>
        <v>NA</v>
      </c>
      <c r="T24467" s="7" t="str">
        <f>HYPERLINK("#Liste_rouge!A"&amp;_xlfn.XMATCH("NA",Liste_rouge!A:A,2,1),"NA")</f>
        <v>NA</v>
      </c>
      <c r="AH24467" s="4" t="str">
        <f>HYPERLINK("#Statut_biogéographique!A"&amp;_xlfn.XMATCH("I",Statut_biogéographique!A:A,2,1),"I")</f>
        <v>I</v>
      </c>
      <c r="AP24467" s="4" t="s">
        <v>376</v>
      </c>
      <c r="AR24467" s="4" t="s">
        <v>377</v>
      </c>
    </row>
    <row r="24468" spans="1:44" ht="60">
      <c r="A24468" s="4" t="s">
        <v>24364</v>
      </c>
      <c r="B24468" s="4">
        <v>96432</v>
      </c>
      <c r="D24468" s="5" t="s">
        <v>32215</v>
      </c>
      <c r="E24468" s="6" t="str">
        <f>HYPERLINK("https://inpn.mnhn.fr/espece/cd_nom/96432","Epipactis atrorubens (Hoffm.) Besser, 1809")</f>
        <v>Epipactis atrorubens (Hoffm.) Besser, 1809</v>
      </c>
      <c r="F24468" s="5" t="s">
        <v>32216</v>
      </c>
      <c r="G24468" s="4" t="str">
        <f>HYPERLINK("[#Réglementation!A"&amp;_xlfn.XMATCH("CCB",Réglementation!A:A,2,1),"CCB")</f>
        <v>CCB</v>
      </c>
      <c r="P24468" s="7" t="str">
        <f>HYPERLINK("#Liste_rouge!A"&amp;_xlfn.XMATCH("LC",Liste_rouge!A:A,2,1),"LC")</f>
        <v>LC</v>
      </c>
      <c r="Q24468" s="7" t="str">
        <f>HYPERLINK("#Liste_rouge!A"&amp;_xlfn.XMATCH("LC",Liste_rouge!A:A,2,1),"LC")</f>
        <v>LC</v>
      </c>
      <c r="T24468" s="7" t="str">
        <f>HYPERLINK("#Liste_rouge!A"&amp;_xlfn.XMATCH("LC",Liste_rouge!A:A,2,1),"LC")</f>
        <v>LC</v>
      </c>
      <c r="V24468" s="7" t="str">
        <f>HYPERLINK("#Liste_rouge!A"&amp;_xlfn.XMATCH("LC",Liste_rouge!A:A,2,1),"LC")</f>
        <v>LC</v>
      </c>
      <c r="AB24468" s="4" t="s">
        <v>24536</v>
      </c>
      <c r="AH24468" s="4" t="str">
        <f>HYPERLINK("#Statut_biogéographique!A"&amp;_xlfn.XMATCH("P",Statut_biogéographique!A:A,2,1),"P")</f>
        <v>P</v>
      </c>
      <c r="AM24468" s="4" t="s">
        <v>375</v>
      </c>
      <c r="AN24468" s="4" t="s">
        <v>375</v>
      </c>
      <c r="AO24468" s="4" t="s">
        <v>375</v>
      </c>
      <c r="AP24468" s="4" t="s">
        <v>376</v>
      </c>
      <c r="AR24468" s="4" t="s">
        <v>377</v>
      </c>
    </row>
    <row r="24469" spans="1:44" ht="30">
      <c r="A24469" s="4" t="s">
        <v>24364</v>
      </c>
      <c r="B24469" s="4">
        <v>96439</v>
      </c>
      <c r="D24469" s="5" t="s">
        <v>32217</v>
      </c>
      <c r="E24469" s="6" t="str">
        <f>HYPERLINK("https://inpn.mnhn.fr/espece/cd_nom/96439","Epipactis distans Arv.-Touv., 1872")</f>
        <v>Epipactis distans Arv.-Touv., 1872</v>
      </c>
      <c r="F24469" s="5" t="s">
        <v>32218</v>
      </c>
      <c r="G24469" s="4" t="str">
        <f>HYPERLINK("[#Réglementation!A"&amp;_xlfn.XMATCH("CCB",Réglementation!A:A,2,1),"CCB")</f>
        <v>CCB</v>
      </c>
      <c r="Q24469" s="7" t="str">
        <f>HYPERLINK("#Liste_rouge!A"&amp;_xlfn.XMATCH("LC",Liste_rouge!A:A,2,1),"LC")</f>
        <v>LC</v>
      </c>
      <c r="V24469" s="7" t="str">
        <f>HYPERLINK("#Liste_rouge!A"&amp;_xlfn.XMATCH("CR",Liste_rouge!A:A,2,1),"CR")</f>
        <v>CR</v>
      </c>
      <c r="W24469" s="4" t="str">
        <f>HYPERLINK("#Critères_liste_rouge!A$1","D")</f>
        <v>D</v>
      </c>
      <c r="X24469" s="5" t="s">
        <v>374</v>
      </c>
      <c r="AB24469" s="4" t="s">
        <v>93</v>
      </c>
      <c r="AH24469" s="4" t="str">
        <f>HYPERLINK("#Statut_biogéographique!A"&amp;_xlfn.XMATCH("P",Statut_biogéographique!A:A,2,1),"P")</f>
        <v>P</v>
      </c>
      <c r="AM24469" s="4" t="s">
        <v>375</v>
      </c>
      <c r="AN24469" s="4" t="s">
        <v>375</v>
      </c>
      <c r="AO24469" s="4" t="s">
        <v>375</v>
      </c>
      <c r="AP24469" s="4" t="s">
        <v>376</v>
      </c>
      <c r="AR24469" s="4" t="s">
        <v>377</v>
      </c>
    </row>
    <row r="24470" spans="1:44" ht="45">
      <c r="A24470" s="4" t="s">
        <v>24364</v>
      </c>
      <c r="B24470" s="4">
        <v>96447</v>
      </c>
      <c r="D24470" s="5" t="s">
        <v>32219</v>
      </c>
      <c r="E24470" s="6" t="str">
        <f>HYPERLINK("https://inpn.mnhn.fr/espece/cd_nom/96447","Epipactis helleborine (L.) Crantz, 1769")</f>
        <v>Epipactis helleborine (L.) Crantz, 1769</v>
      </c>
      <c r="F24470" s="5" t="s">
        <v>28505</v>
      </c>
      <c r="G24470" s="4" t="str">
        <f>HYPERLINK("[#Réglementation!A"&amp;_xlfn.XMATCH("CCB",Réglementation!A:A,2,1),"CCB")</f>
        <v>CCB</v>
      </c>
      <c r="P24470" s="7" t="str">
        <f>HYPERLINK("#Liste_rouge!A"&amp;_xlfn.XMATCH("LC",Liste_rouge!A:A,2,1),"LC")</f>
        <v>LC</v>
      </c>
      <c r="Q24470" s="7" t="str">
        <f>HYPERLINK("#Liste_rouge!A"&amp;_xlfn.XMATCH("LC",Liste_rouge!A:A,2,1),"LC")</f>
        <v>LC</v>
      </c>
      <c r="T24470" s="7" t="str">
        <f>HYPERLINK("#Liste_rouge!A"&amp;_xlfn.XMATCH("LC",Liste_rouge!A:A,2,1),"LC")</f>
        <v>LC</v>
      </c>
      <c r="V24470" s="7" t="str">
        <f>HYPERLINK("#Liste_rouge!A"&amp;_xlfn.XMATCH("LC",Liste_rouge!A:A,2,1),"LC")</f>
        <v>LC</v>
      </c>
      <c r="AH24470" s="4" t="str">
        <f>HYPERLINK("#Statut_biogéographique!A"&amp;_xlfn.XMATCH("P",Statut_biogéographique!A:A,2,1),"P")</f>
        <v>P</v>
      </c>
      <c r="AM24470" s="4" t="s">
        <v>375</v>
      </c>
      <c r="AN24470" s="4" t="s">
        <v>375</v>
      </c>
      <c r="AO24470" s="4" t="s">
        <v>375</v>
      </c>
      <c r="AP24470" s="4" t="s">
        <v>376</v>
      </c>
      <c r="AR24470" s="4" t="s">
        <v>377</v>
      </c>
    </row>
    <row r="24471" spans="1:44" ht="30">
      <c r="A24471" s="4" t="s">
        <v>24364</v>
      </c>
      <c r="B24471" s="4">
        <v>96449</v>
      </c>
      <c r="D24471" s="5" t="s">
        <v>32220</v>
      </c>
      <c r="E24471" s="6" t="str">
        <f>HYPERLINK("https://inpn.mnhn.fr/espece/cd_nom/96449","Epipactis leptochila (Godfery) Godfery, 1921")</f>
        <v>Epipactis leptochila (Godfery) Godfery, 1921</v>
      </c>
      <c r="F24471" s="5" t="s">
        <v>28507</v>
      </c>
      <c r="G24471" s="4" t="str">
        <f>HYPERLINK("[#Réglementation!A"&amp;_xlfn.XMATCH("CCB",Réglementation!A:A,2,1),"CCB")</f>
        <v>CCB</v>
      </c>
      <c r="O24471" s="7" t="str">
        <f>HYPERLINK("#Liste_rouge!A"&amp;_xlfn.XMATCH("DD",Liste_rouge!A:A,2,1),"DD (cd_nom 96440) - LC (cd_nom 96449)")</f>
        <v>DD (cd_nom 96440) - LC (cd_nom 96449)</v>
      </c>
      <c r="P24471" s="7" t="str">
        <f>HYPERLINK("#Liste_rouge!A"&amp;_xlfn.XMATCH("DD",Liste_rouge!A:A,2,1),"DD (cd_nom 96440) - LC (cd_nom 96449)")</f>
        <v>DD (cd_nom 96440) - LC (cd_nom 96449)</v>
      </c>
      <c r="Q24471" s="7" t="str">
        <f>HYPERLINK("#Liste_rouge!A"&amp;_xlfn.XMATCH("LC",Liste_rouge!A:A,2,1),"LC")</f>
        <v>LC</v>
      </c>
      <c r="T24471" s="7" t="str">
        <f>HYPERLINK("#Liste_rouge!A"&amp;_xlfn.XMATCH("EN",Liste_rouge!A:A,2,1),"EN")</f>
        <v>EN</v>
      </c>
      <c r="U24471" s="4" t="str">
        <f>HYPERLINK("#Critères_liste_rouge!A$1","C2a(i)")</f>
        <v>C2a(i)</v>
      </c>
      <c r="V24471" s="7" t="str">
        <f>HYPERLINK("#Liste_rouge!A"&amp;_xlfn.XMATCH("LC",Liste_rouge!A:A,2,1),"LC")</f>
        <v>LC</v>
      </c>
      <c r="AB24471" s="4" t="s">
        <v>25010</v>
      </c>
      <c r="AH24471" s="4" t="str">
        <f>HYPERLINK("#Statut_biogéographique!A"&amp;_xlfn.XMATCH("P",Statut_biogéographique!A:A,2,1),"P")</f>
        <v>P</v>
      </c>
      <c r="AM24471" s="4" t="s">
        <v>375</v>
      </c>
      <c r="AN24471" s="4" t="s">
        <v>375</v>
      </c>
      <c r="AO24471" s="4" t="s">
        <v>375</v>
      </c>
      <c r="AP24471" s="4" t="s">
        <v>376</v>
      </c>
      <c r="AR24471" s="4" t="s">
        <v>377</v>
      </c>
    </row>
    <row r="24472" spans="1:44" ht="30">
      <c r="A24472" s="4" t="s">
        <v>24364</v>
      </c>
      <c r="B24472" s="4">
        <v>96454</v>
      </c>
      <c r="D24472" s="5" t="s">
        <v>32221</v>
      </c>
      <c r="E24472" s="6" t="str">
        <f>HYPERLINK("https://inpn.mnhn.fr/espece/cd_nom/96454","Epipactis microphylla (Ehrh.) Sw., 1800")</f>
        <v>Epipactis microphylla (Ehrh.) Sw., 1800</v>
      </c>
      <c r="F24472" s="5" t="s">
        <v>32222</v>
      </c>
      <c r="G24472" s="4" t="str">
        <f>HYPERLINK("[#Réglementation!A"&amp;_xlfn.XMATCH("CCB",Réglementation!A:A,2,1),"CCB")</f>
        <v>CCB</v>
      </c>
      <c r="M24472" s="4" t="str">
        <f>HYPERLINK("#Réglementation!A"&amp;_xlfn.XMATCH("RV43",Réglementation!A:A,2,1),"RV43")</f>
        <v>RV43</v>
      </c>
      <c r="P24472" s="7" t="str">
        <f>HYPERLINK("#Liste_rouge!A"&amp;_xlfn.XMATCH("NT",Liste_rouge!A:A,2,1),"NT")</f>
        <v>NT</v>
      </c>
      <c r="Q24472" s="7" t="str">
        <f>HYPERLINK("#Liste_rouge!A"&amp;_xlfn.XMATCH("LC",Liste_rouge!A:A,2,1),"LC")</f>
        <v>LC</v>
      </c>
      <c r="T24472" s="7" t="str">
        <f>HYPERLINK("#Liste_rouge!A"&amp;_xlfn.XMATCH("VU",Liste_rouge!A:A,2,1),"VU")</f>
        <v>VU</v>
      </c>
      <c r="U24472" s="4" t="str">
        <f>HYPERLINK("#Critères_liste_rouge!A$1","D1")</f>
        <v>D1</v>
      </c>
      <c r="V24472" s="7" t="str">
        <f>HYPERLINK("#Liste_rouge!A"&amp;_xlfn.XMATCH("VU",Liste_rouge!A:A,2,1),"VU")</f>
        <v>VU</v>
      </c>
      <c r="W24472" s="4" t="str">
        <f>HYPERLINK("#Critères_liste_rouge!A$1","D1")</f>
        <v>D1</v>
      </c>
      <c r="X24472" s="5" t="s">
        <v>374</v>
      </c>
      <c r="AB24472" s="4" t="s">
        <v>93</v>
      </c>
      <c r="AH24472" s="4" t="str">
        <f>HYPERLINK("#Statut_biogéographique!A"&amp;_xlfn.XMATCH("P",Statut_biogéographique!A:A,2,1),"P")</f>
        <v>P</v>
      </c>
      <c r="AM24472" s="4" t="s">
        <v>375</v>
      </c>
      <c r="AN24472" s="4" t="s">
        <v>375</v>
      </c>
      <c r="AO24472" s="4" t="s">
        <v>375</v>
      </c>
      <c r="AP24472" s="4" t="s">
        <v>376</v>
      </c>
      <c r="AR24472" s="4" t="s">
        <v>377</v>
      </c>
    </row>
    <row r="24473" spans="1:44">
      <c r="A24473" s="4" t="s">
        <v>24364</v>
      </c>
      <c r="B24473" s="4">
        <v>96456</v>
      </c>
      <c r="D24473" s="5" t="s">
        <v>32223</v>
      </c>
      <c r="E24473" s="6" t="str">
        <f>HYPERLINK("https://inpn.mnhn.fr/espece/cd_nom/96456","Epipactis muelleri Godfery, 1921")</f>
        <v>Epipactis muelleri Godfery, 1921</v>
      </c>
      <c r="F24473" s="5" t="s">
        <v>32224</v>
      </c>
      <c r="G24473" s="4" t="str">
        <f>HYPERLINK("[#Réglementation!A"&amp;_xlfn.XMATCH("CCB",Réglementation!A:A,2,1),"CCB")</f>
        <v>CCB</v>
      </c>
      <c r="O24473" s="7" t="str">
        <f>HYPERLINK("#Liste_rouge!A"&amp;_xlfn.XMATCH("LC",Liste_rouge!A:A,2,1),"LC")</f>
        <v>LC</v>
      </c>
      <c r="P24473" s="7" t="str">
        <f>HYPERLINK("#Liste_rouge!A"&amp;_xlfn.XMATCH("LC",Liste_rouge!A:A,2,1),"LC")</f>
        <v>LC</v>
      </c>
      <c r="Q24473" s="7" t="str">
        <f>HYPERLINK("#Liste_rouge!A"&amp;_xlfn.XMATCH("LC",Liste_rouge!A:A,2,1),"LC")</f>
        <v>LC</v>
      </c>
      <c r="T24473" s="7" t="str">
        <f>HYPERLINK("#Liste_rouge!A"&amp;_xlfn.XMATCH("NT",Liste_rouge!A:A,2,1),"NT")</f>
        <v>NT</v>
      </c>
      <c r="U24473" s="4" t="str">
        <f>HYPERLINK("#Critères_liste_rouge!A$1","VU (A2ac) - 1")</f>
        <v>VU (A2ac) - 1</v>
      </c>
      <c r="V24473" s="7" t="str">
        <f>HYPERLINK("#Liste_rouge!A"&amp;_xlfn.XMATCH("LC",Liste_rouge!A:A,2,1),"LC")</f>
        <v>LC</v>
      </c>
      <c r="AB24473" s="4" t="s">
        <v>32225</v>
      </c>
      <c r="AH24473" s="4" t="str">
        <f>HYPERLINK("#Statut_biogéographique!A"&amp;_xlfn.XMATCH("P",Statut_biogéographique!A:A,2,1),"P")</f>
        <v>P</v>
      </c>
      <c r="AM24473" s="4" t="s">
        <v>375</v>
      </c>
      <c r="AN24473" s="4" t="s">
        <v>375</v>
      </c>
      <c r="AO24473" s="4" t="s">
        <v>375</v>
      </c>
      <c r="AP24473" s="4" t="s">
        <v>376</v>
      </c>
      <c r="AR24473" s="4" t="s">
        <v>377</v>
      </c>
    </row>
    <row r="24474" spans="1:44" ht="45">
      <c r="A24474" s="4" t="s">
        <v>24364</v>
      </c>
      <c r="B24474" s="4">
        <v>96465</v>
      </c>
      <c r="D24474" s="5" t="s">
        <v>32226</v>
      </c>
      <c r="E24474" s="6" t="str">
        <f>HYPERLINK("https://inpn.mnhn.fr/espece/cd_nom/96465","Epipactis palustris (L.) Crantz, 1769")</f>
        <v>Epipactis palustris (L.) Crantz, 1769</v>
      </c>
      <c r="F24474" s="5" t="s">
        <v>32227</v>
      </c>
      <c r="G24474" s="4" t="str">
        <f>HYPERLINK("[#Réglementation!A"&amp;_xlfn.XMATCH("CCB",Réglementation!A:A,2,1),"CCB")</f>
        <v>CCB</v>
      </c>
      <c r="M24474" s="4" t="str">
        <f>HYPERLINK("#Réglementation!A"&amp;_xlfn.XMATCH("RV26",Réglementation!A:A,2,1),"RV26")</f>
        <v>RV26</v>
      </c>
      <c r="O24474" s="7" t="str">
        <f>HYPERLINK("#Liste_rouge!A"&amp;_xlfn.XMATCH("LC",Liste_rouge!A:A,2,1),"LC")</f>
        <v>LC</v>
      </c>
      <c r="P24474" s="7" t="str">
        <f>HYPERLINK("#Liste_rouge!A"&amp;_xlfn.XMATCH("LC",Liste_rouge!A:A,2,1),"LC")</f>
        <v>LC</v>
      </c>
      <c r="Q24474" s="7" t="str">
        <f>HYPERLINK("#Liste_rouge!A"&amp;_xlfn.XMATCH("NT",Liste_rouge!A:A,2,1),"NT")</f>
        <v>NT</v>
      </c>
      <c r="T24474" s="7" t="str">
        <f>HYPERLINK("#Liste_rouge!A"&amp;_xlfn.XMATCH("NT",Liste_rouge!A:A,2,1),"NT")</f>
        <v>NT</v>
      </c>
      <c r="U24474" s="4" t="str">
        <f>HYPERLINK("#Critères_liste_rouge!A$1","VU (A2ac) - 1")</f>
        <v>VU (A2ac) - 1</v>
      </c>
      <c r="V24474" s="7" t="str">
        <f>HYPERLINK("#Liste_rouge!A"&amp;_xlfn.XMATCH("NT",Liste_rouge!A:A,2,1),"NT")</f>
        <v>NT</v>
      </c>
      <c r="W24474" s="4" t="str">
        <f>HYPERLINK("#Critères_liste_rouge!A$1","pr. A3c+B2b(iii)")</f>
        <v>pr. A3c+B2b(iii)</v>
      </c>
      <c r="AB24474" s="4" t="s">
        <v>29418</v>
      </c>
      <c r="AH24474" s="4" t="str">
        <f>HYPERLINK("#Statut_biogéographique!A"&amp;_xlfn.XMATCH("P",Statut_biogéographique!A:A,2,1),"P")</f>
        <v>P</v>
      </c>
      <c r="AM24474" s="4" t="s">
        <v>375</v>
      </c>
      <c r="AN24474" s="4" t="s">
        <v>375</v>
      </c>
      <c r="AO24474" s="4" t="s">
        <v>375</v>
      </c>
      <c r="AP24474" s="4" t="s">
        <v>376</v>
      </c>
      <c r="AR24474" s="4" t="s">
        <v>377</v>
      </c>
    </row>
    <row r="24475" spans="1:44" ht="30">
      <c r="A24475" s="4" t="s">
        <v>24364</v>
      </c>
      <c r="B24475" s="4">
        <v>964676</v>
      </c>
      <c r="D24475" s="5" t="s">
        <v>32228</v>
      </c>
      <c r="E24475" s="6" t="str">
        <f>HYPERLINK("https://inpn.mnhn.fr/espece/cd_nom/964676","Quercus x streimii Heuff., 1850")</f>
        <v>Quercus x streimii Heuff., 1850</v>
      </c>
      <c r="F24475" s="5" t="s">
        <v>32229</v>
      </c>
      <c r="T24475" s="7" t="str">
        <f>HYPERLINK("#Liste_rouge!A"&amp;_xlfn.XMATCH("LC",Liste_rouge!A:A,2,1),"LC")</f>
        <v>LC</v>
      </c>
      <c r="AH24475" s="4" t="str">
        <f>HYPERLINK("#Statut_biogéographique!A"&amp;_xlfn.XMATCH("P",Statut_biogéographique!A:A,2,1),"P")</f>
        <v>P</v>
      </c>
      <c r="AP24475" s="4" t="s">
        <v>376</v>
      </c>
      <c r="AR24475" s="4" t="s">
        <v>377</v>
      </c>
    </row>
    <row r="24476" spans="1:44" ht="45">
      <c r="A24476" s="4" t="s">
        <v>24364</v>
      </c>
      <c r="B24476" s="4">
        <v>96471</v>
      </c>
      <c r="D24476" s="5" t="s">
        <v>32230</v>
      </c>
      <c r="E24476" s="6" t="str">
        <f>HYPERLINK("https://inpn.mnhn.fr/espece/cd_nom/96471","Epipactis purpurata Sm., 1828 [nom. cons.]")</f>
        <v>Epipactis purpurata Sm., 1828 [nom. cons.]</v>
      </c>
      <c r="F24476" s="5" t="s">
        <v>32231</v>
      </c>
      <c r="G24476" s="4" t="str">
        <f>HYPERLINK("[#Réglementation!A"&amp;_xlfn.XMATCH("CCB",Réglementation!A:A,2,1),"CCB")</f>
        <v>CCB</v>
      </c>
      <c r="O24476" s="7" t="str">
        <f>HYPERLINK("#Liste_rouge!A"&amp;_xlfn.XMATCH("LC",Liste_rouge!A:A,2,1),"LC")</f>
        <v>LC</v>
      </c>
      <c r="P24476" s="7" t="str">
        <f>HYPERLINK("#Liste_rouge!A"&amp;_xlfn.XMATCH("LC",Liste_rouge!A:A,2,1),"LC")</f>
        <v>LC</v>
      </c>
      <c r="Q24476" s="7" t="str">
        <f>HYPERLINK("#Liste_rouge!A"&amp;_xlfn.XMATCH("LC",Liste_rouge!A:A,2,1),"LC")</f>
        <v>LC</v>
      </c>
      <c r="T24476" s="7" t="str">
        <f>HYPERLINK("#Liste_rouge!A"&amp;_xlfn.XMATCH("VU",Liste_rouge!A:A,2,1),"VU")</f>
        <v>VU</v>
      </c>
      <c r="U24476" s="4" t="str">
        <f>HYPERLINK("#Critères_liste_rouge!A$1","EN (C2a(i)) - 1")</f>
        <v>EN (C2a(i)) - 1</v>
      </c>
      <c r="V24476" s="7" t="str">
        <f>HYPERLINK("#Liste_rouge!A"&amp;_xlfn.XMATCH("LC",Liste_rouge!A:A,2,1),"LC")</f>
        <v>LC</v>
      </c>
      <c r="AB24476" s="4" t="s">
        <v>24803</v>
      </c>
      <c r="AH24476" s="4" t="str">
        <f>HYPERLINK("#Statut_biogéographique!A"&amp;_xlfn.XMATCH("P",Statut_biogéographique!A:A,2,1),"P")</f>
        <v>P</v>
      </c>
      <c r="AM24476" s="4" t="s">
        <v>375</v>
      </c>
      <c r="AN24476" s="4" t="s">
        <v>375</v>
      </c>
      <c r="AO24476" s="4" t="s">
        <v>375</v>
      </c>
      <c r="AP24476" s="4" t="s">
        <v>376</v>
      </c>
      <c r="AR24476" s="4" t="s">
        <v>377</v>
      </c>
    </row>
    <row r="24477" spans="1:44" ht="30">
      <c r="A24477" s="4" t="s">
        <v>24364</v>
      </c>
      <c r="B24477" s="4">
        <v>96476</v>
      </c>
      <c r="D24477" s="5" t="s">
        <v>32232</v>
      </c>
      <c r="E24477" s="6" t="str">
        <f>HYPERLINK("https://inpn.mnhn.fr/espece/cd_nom/96476","Epipactis rhodanensis Gévaudan &amp; Robatsch, 1994")</f>
        <v>Epipactis rhodanensis Gévaudan &amp; Robatsch, 1994</v>
      </c>
      <c r="F24477" s="5" t="s">
        <v>32233</v>
      </c>
      <c r="G24477" s="4" t="str">
        <f>HYPERLINK("[#Réglementation!A"&amp;_xlfn.XMATCH("CCB",Réglementation!A:A,2,1),"CCB")</f>
        <v>CCB</v>
      </c>
      <c r="Q24477" s="7" t="str">
        <f>HYPERLINK("#Liste_rouge!A"&amp;_xlfn.XMATCH("LC",Liste_rouge!A:A,2,1),"LC")</f>
        <v>LC</v>
      </c>
      <c r="V24477" s="7" t="str">
        <f>HYPERLINK("#Liste_rouge!A"&amp;_xlfn.XMATCH("EN",Liste_rouge!A:A,2,1),"EN")</f>
        <v>EN</v>
      </c>
      <c r="W24477" s="4" t="str">
        <f>HYPERLINK("#Critères_liste_rouge!A$1","D")</f>
        <v>D</v>
      </c>
      <c r="X24477" s="5" t="s">
        <v>374</v>
      </c>
      <c r="AB24477" s="4" t="s">
        <v>93</v>
      </c>
      <c r="AH24477" s="4" t="str">
        <f>HYPERLINK("#Statut_biogéographique!A"&amp;_xlfn.XMATCH("P",Statut_biogéographique!A:A,2,1),"P")</f>
        <v>P</v>
      </c>
      <c r="AM24477" s="4" t="s">
        <v>375</v>
      </c>
      <c r="AN24477" s="4" t="s">
        <v>375</v>
      </c>
      <c r="AO24477" s="4" t="s">
        <v>375</v>
      </c>
      <c r="AP24477" s="4" t="s">
        <v>376</v>
      </c>
      <c r="AR24477" s="4" t="s">
        <v>377</v>
      </c>
    </row>
    <row r="24478" spans="1:44">
      <c r="A24478" s="4" t="s">
        <v>24364</v>
      </c>
      <c r="B24478" s="4">
        <v>96489</v>
      </c>
      <c r="D24478" s="5">
        <v>96489</v>
      </c>
      <c r="E24478" s="6" t="str">
        <f>HYPERLINK("https://inpn.mnhn.fr/espece/cd_nom/96489","Epipactis x heterogama M.Bayer, 1986")</f>
        <v>Epipactis x heterogama M.Bayer, 1986</v>
      </c>
      <c r="F24478" s="5" t="s">
        <v>32234</v>
      </c>
      <c r="G24478" s="4" t="str">
        <f>HYPERLINK("[#Réglementation!A"&amp;_xlfn.XMATCH("CCB",Réglementation!A:A,2,1),"CCB")</f>
        <v>CCB</v>
      </c>
      <c r="T24478" s="7" t="str">
        <f>HYPERLINK("#Liste_rouge!A"&amp;_xlfn.XMATCH("DD",Liste_rouge!A:A,2,1),"DD")</f>
        <v>DD</v>
      </c>
      <c r="AH24478" s="4" t="str">
        <f>HYPERLINK("#Statut_biogéographique!A"&amp;_xlfn.XMATCH("P",Statut_biogéographique!A:A,2,1),"P")</f>
        <v>P</v>
      </c>
      <c r="AP24478" s="4" t="s">
        <v>376</v>
      </c>
      <c r="AR24478" s="4" t="s">
        <v>377</v>
      </c>
    </row>
    <row r="24479" spans="1:44">
      <c r="A24479" s="4" t="s">
        <v>24364</v>
      </c>
      <c r="B24479" s="4">
        <v>96493</v>
      </c>
      <c r="D24479" s="5">
        <v>96493</v>
      </c>
      <c r="E24479" s="6" t="str">
        <f>HYPERLINK("https://inpn.mnhn.fr/espece/cd_nom/96493","Epipactis x pupplingensis K.P.Bell, 1968")</f>
        <v>Epipactis x pupplingensis K.P.Bell, 1968</v>
      </c>
      <c r="F24479" s="5" t="s">
        <v>32235</v>
      </c>
      <c r="G24479" s="4" t="str">
        <f>HYPERLINK("[#Réglementation!A"&amp;_xlfn.XMATCH("CCB",Réglementation!A:A,2,1),"CCB")</f>
        <v>CCB</v>
      </c>
      <c r="AH24479" s="4" t="str">
        <f>HYPERLINK("#Statut_biogéographique!A"&amp;_xlfn.XMATCH("P",Statut_biogéographique!A:A,2,1),"P")</f>
        <v>P</v>
      </c>
      <c r="AP24479" s="4" t="s">
        <v>376</v>
      </c>
      <c r="AR24479" s="4" t="s">
        <v>377</v>
      </c>
    </row>
    <row r="24480" spans="1:44" ht="30">
      <c r="A24480" s="4" t="s">
        <v>24364</v>
      </c>
      <c r="B24480" s="4">
        <v>96495</v>
      </c>
      <c r="D24480" s="5" t="s">
        <v>32236</v>
      </c>
      <c r="E24480" s="6" t="str">
        <f>HYPERLINK("https://inpn.mnhn.fr/espece/cd_nom/96495","Epipactis x schmalhausenii K.Richt., 1890")</f>
        <v>Epipactis x schmalhausenii K.Richt., 1890</v>
      </c>
      <c r="F24480" s="5" t="s">
        <v>32237</v>
      </c>
      <c r="G24480" s="4" t="str">
        <f>HYPERLINK("[#Réglementation!A"&amp;_xlfn.XMATCH("CCB",Réglementation!A:A,2,1),"CCB")</f>
        <v>CCB</v>
      </c>
      <c r="AH24480" s="4" t="str">
        <f>HYPERLINK("#Statut_biogéographique!A"&amp;_xlfn.XMATCH("P",Statut_biogéographique!A:A,2,1),"P")</f>
        <v>P</v>
      </c>
      <c r="AP24480" s="4" t="s">
        <v>376</v>
      </c>
      <c r="AR24480" s="4" t="s">
        <v>377</v>
      </c>
    </row>
    <row r="24481" spans="1:44">
      <c r="A24481" s="4" t="s">
        <v>24364</v>
      </c>
      <c r="B24481" s="4">
        <v>96496</v>
      </c>
      <c r="D24481" s="5" t="s">
        <v>32238</v>
      </c>
      <c r="E24481" s="6" t="str">
        <f>HYPERLINK("https://inpn.mnhn.fr/espece/cd_nom/96496","Epipactis x schulzei P.Fourn., 1928")</f>
        <v>Epipactis x schulzei P.Fourn., 1928</v>
      </c>
      <c r="F24481" s="5" t="s">
        <v>32239</v>
      </c>
      <c r="G24481" s="4" t="str">
        <f>HYPERLINK("[#Réglementation!A"&amp;_xlfn.XMATCH("CCB",Réglementation!A:A,2,1),"CCB")</f>
        <v>CCB</v>
      </c>
      <c r="AH24481" s="4" t="str">
        <f>HYPERLINK("#Statut_biogéographique!A"&amp;_xlfn.XMATCH("P",Statut_biogéographique!A:A,2,1),"P")</f>
        <v>P</v>
      </c>
      <c r="AP24481" s="4" t="s">
        <v>376</v>
      </c>
      <c r="AR24481" s="4" t="s">
        <v>377</v>
      </c>
    </row>
    <row r="24482" spans="1:44" ht="30">
      <c r="A24482" s="4" t="s">
        <v>24364</v>
      </c>
      <c r="B24482" s="4">
        <v>96499</v>
      </c>
      <c r="D24482" s="5" t="s">
        <v>32240</v>
      </c>
      <c r="E24482" s="6" t="str">
        <f>HYPERLINK("https://inpn.mnhn.fr/espece/cd_nom/96499","Epipogium aphyllum Sw., 1814")</f>
        <v>Epipogium aphyllum Sw., 1814</v>
      </c>
      <c r="F24482" s="5" t="s">
        <v>32241</v>
      </c>
      <c r="G24482" s="4" t="str">
        <f>HYPERLINK("[#Réglementation!A"&amp;_xlfn.XMATCH("CCB",Réglementation!A:A,2,1),"CCB")</f>
        <v>CCB</v>
      </c>
      <c r="L24482" s="4" t="str">
        <f>HYPERLINK("#Réglementation!A"&amp;_xlfn.XMATCH("NV1",Réglementation!A:A,2,1),"NV1")</f>
        <v>NV1</v>
      </c>
      <c r="P24482" s="7" t="str">
        <f>HYPERLINK("#Liste_rouge!A"&amp;_xlfn.XMATCH("LC",Liste_rouge!A:A,2,1),"LC")</f>
        <v>LC</v>
      </c>
      <c r="Q24482" s="7" t="str">
        <f>HYPERLINK("#Liste_rouge!A"&amp;_xlfn.XMATCH("NT",Liste_rouge!A:A,2,1),"NT")</f>
        <v>NT</v>
      </c>
      <c r="V24482" s="7" t="str">
        <f>HYPERLINK("#Liste_rouge!A"&amp;_xlfn.XMATCH("EN",Liste_rouge!A:A,2,1),"EN")</f>
        <v>EN</v>
      </c>
      <c r="W24482" s="4" t="str">
        <f>HYPERLINK("#Critères_liste_rouge!A$1","D")</f>
        <v>D</v>
      </c>
      <c r="X24482" s="5" t="s">
        <v>374</v>
      </c>
      <c r="AB24482" s="4" t="s">
        <v>93</v>
      </c>
      <c r="AH24482" s="4" t="str">
        <f>HYPERLINK("#Statut_biogéographique!A"&amp;_xlfn.XMATCH("P",Statut_biogéographique!A:A,2,1),"P")</f>
        <v>P</v>
      </c>
      <c r="AM24482" s="4" t="s">
        <v>375</v>
      </c>
      <c r="AN24482" s="4" t="s">
        <v>375</v>
      </c>
      <c r="AO24482" s="4" t="s">
        <v>375</v>
      </c>
      <c r="AP24482" s="4" t="s">
        <v>376</v>
      </c>
      <c r="AR24482" s="4" t="s">
        <v>377</v>
      </c>
    </row>
    <row r="24483" spans="1:44" ht="60">
      <c r="A24483" s="4" t="s">
        <v>24364</v>
      </c>
      <c r="B24483" s="4">
        <v>96508</v>
      </c>
      <c r="D24483" s="5" t="s">
        <v>32242</v>
      </c>
      <c r="E24483" s="6" t="str">
        <f>HYPERLINK("https://inpn.mnhn.fr/espece/cd_nom/96508","Equisetum arvense L., 1753")</f>
        <v>Equisetum arvense L., 1753</v>
      </c>
      <c r="F24483" s="5" t="s">
        <v>32243</v>
      </c>
      <c r="O24483" s="7" t="str">
        <f>HYPERLINK("#Liste_rouge!A"&amp;_xlfn.XMATCH("LC",Liste_rouge!A:A,2,1),"LC")</f>
        <v>LC</v>
      </c>
      <c r="P24483" s="7" t="str">
        <f>HYPERLINK("#Liste_rouge!A"&amp;_xlfn.XMATCH("LC",Liste_rouge!A:A,2,1),"LC")</f>
        <v>LC</v>
      </c>
      <c r="Q24483" s="7" t="str">
        <f>HYPERLINK("#Liste_rouge!A"&amp;_xlfn.XMATCH("LC",Liste_rouge!A:A,2,1),"LC")</f>
        <v>LC</v>
      </c>
      <c r="T24483" s="7" t="str">
        <f>HYPERLINK("#Liste_rouge!A"&amp;_xlfn.XMATCH("LC",Liste_rouge!A:A,2,1),"LC")</f>
        <v>LC</v>
      </c>
      <c r="V24483" s="7" t="str">
        <f>HYPERLINK("#Liste_rouge!A"&amp;_xlfn.XMATCH("LC",Liste_rouge!A:A,2,1),"LC")</f>
        <v>LC</v>
      </c>
      <c r="AH24483" s="4" t="str">
        <f>HYPERLINK("#Statut_biogéographique!A"&amp;_xlfn.XMATCH("P",Statut_biogéographique!A:A,2,1),"P")</f>
        <v>P</v>
      </c>
      <c r="AM24483" s="4" t="s">
        <v>375</v>
      </c>
      <c r="AN24483" s="4" t="s">
        <v>375</v>
      </c>
      <c r="AO24483" s="4" t="s">
        <v>375</v>
      </c>
      <c r="AP24483" s="4" t="s">
        <v>376</v>
      </c>
      <c r="AR24483" s="4" t="s">
        <v>377</v>
      </c>
    </row>
    <row r="24484" spans="1:44" ht="165">
      <c r="A24484" s="4" t="s">
        <v>24364</v>
      </c>
      <c r="B24484" s="4">
        <v>965160</v>
      </c>
      <c r="D24484" s="5" t="s">
        <v>32244</v>
      </c>
      <c r="E24484" s="6" t="str">
        <f>HYPERLINK("https://inpn.mnhn.fr/espece/cd_nom/965160","Prunus domestica var. insititia (L.) Fiori &amp; Paol., 1898")</f>
        <v>Prunus domestica var. insititia (L.) Fiori &amp; Paol., 1898</v>
      </c>
      <c r="F24484" s="5" t="s">
        <v>32245</v>
      </c>
      <c r="O24484" s="7" t="str">
        <f>HYPERLINK("#Liste_rouge!A"&amp;_xlfn.XMATCH("EN",Liste_rouge!A:A,2,1),"EN")</f>
        <v>EN</v>
      </c>
      <c r="T24484" s="7" t="str">
        <f>HYPERLINK("#Liste_rouge!A"&amp;_xlfn.XMATCH("NA",Liste_rouge!A:A,2,1),"NA")</f>
        <v>NA</v>
      </c>
      <c r="AH24484" s="4" t="str">
        <f>HYPERLINK("#Statut_biogéographique!A"&amp;_xlfn.XMATCH("I",Statut_biogéographique!A:A,2,1),"I")</f>
        <v>I</v>
      </c>
      <c r="AM24484" s="4" t="s">
        <v>375</v>
      </c>
      <c r="AN24484" s="4" t="s">
        <v>375</v>
      </c>
      <c r="AO24484" s="4" t="s">
        <v>375</v>
      </c>
      <c r="AP24484" s="4" t="s">
        <v>376</v>
      </c>
      <c r="AR24484" s="4" t="s">
        <v>377</v>
      </c>
    </row>
    <row r="24485" spans="1:44" ht="120">
      <c r="A24485" s="4" t="s">
        <v>24364</v>
      </c>
      <c r="B24485" s="4">
        <v>965168</v>
      </c>
      <c r="D24485" s="5" t="s">
        <v>32246</v>
      </c>
      <c r="E24485" s="6" t="str">
        <f>HYPERLINK("https://inpn.mnhn.fr/espece/cd_nom/965168","Prunus domestica var. domestica L., 1753")</f>
        <v>Prunus domestica var. domestica L., 1753</v>
      </c>
      <c r="F24485" s="5" t="s">
        <v>26423</v>
      </c>
      <c r="T24485" s="7" t="str">
        <f>HYPERLINK("#Liste_rouge!A"&amp;_xlfn.XMATCH("NA",Liste_rouge!A:A,2,1),"NA")</f>
        <v>NA</v>
      </c>
      <c r="AH24485" s="4" t="str">
        <f>HYPERLINK("#Statut_biogéographique!A"&amp;_xlfn.XMATCH("M",Statut_biogéographique!A:A,2,1),"M")</f>
        <v>M</v>
      </c>
      <c r="AP24485" s="4" t="s">
        <v>376</v>
      </c>
      <c r="AR24485" s="4" t="s">
        <v>377</v>
      </c>
    </row>
    <row r="24486" spans="1:44" ht="45">
      <c r="A24486" s="4" t="s">
        <v>24364</v>
      </c>
      <c r="B24486" s="4">
        <v>96519</v>
      </c>
      <c r="D24486" s="5" t="s">
        <v>32247</v>
      </c>
      <c r="E24486" s="6" t="str">
        <f>HYPERLINK("https://inpn.mnhn.fr/espece/cd_nom/96519","Equisetum fluviatile L., 1753")</f>
        <v>Equisetum fluviatile L., 1753</v>
      </c>
      <c r="F24486" s="5" t="s">
        <v>32248</v>
      </c>
      <c r="O24486" s="7" t="str">
        <f>HYPERLINK("#Liste_rouge!A"&amp;_xlfn.XMATCH("LC",Liste_rouge!A:A,2,1),"LC")</f>
        <v>LC</v>
      </c>
      <c r="P24486" s="7" t="str">
        <f>HYPERLINK("#Liste_rouge!A"&amp;_xlfn.XMATCH("LC",Liste_rouge!A:A,2,1),"LC")</f>
        <v>LC</v>
      </c>
      <c r="Q24486" s="7" t="str">
        <f>HYPERLINK("#Liste_rouge!A"&amp;_xlfn.XMATCH("LC",Liste_rouge!A:A,2,1),"LC")</f>
        <v>LC</v>
      </c>
      <c r="T24486" s="7" t="str">
        <f>HYPERLINK("#Liste_rouge!A"&amp;_xlfn.XMATCH("LC",Liste_rouge!A:A,2,1),"LC")</f>
        <v>LC</v>
      </c>
      <c r="V24486" s="7" t="str">
        <f>HYPERLINK("#Liste_rouge!A"&amp;_xlfn.XMATCH("LC",Liste_rouge!A:A,2,1),"LC")</f>
        <v>LC</v>
      </c>
      <c r="AH24486" s="4" t="str">
        <f>HYPERLINK("#Statut_biogéographique!A"&amp;_xlfn.XMATCH("P",Statut_biogéographique!A:A,2,1),"P")</f>
        <v>P</v>
      </c>
      <c r="AM24486" s="4" t="s">
        <v>375</v>
      </c>
      <c r="AN24486" s="4" t="s">
        <v>375</v>
      </c>
      <c r="AO24486" s="4" t="s">
        <v>375</v>
      </c>
      <c r="AP24486" s="4" t="s">
        <v>376</v>
      </c>
      <c r="AR24486" s="4" t="s">
        <v>377</v>
      </c>
    </row>
    <row r="24487" spans="1:44" ht="30">
      <c r="A24487" s="4" t="s">
        <v>24364</v>
      </c>
      <c r="B24487" s="4">
        <v>96523</v>
      </c>
      <c r="D24487" s="5" t="s">
        <v>32249</v>
      </c>
      <c r="E24487" s="6" t="str">
        <f>HYPERLINK("https://inpn.mnhn.fr/espece/cd_nom/96523","Equisetum hyemale L., 1753")</f>
        <v>Equisetum hyemale L., 1753</v>
      </c>
      <c r="F24487" s="5" t="s">
        <v>30270</v>
      </c>
      <c r="M24487" s="4" t="str">
        <f>HYPERLINK("#Réglementation!A"&amp;_xlfn.XMATCH("RV26",Réglementation!A:A,2,1),"RV26")</f>
        <v>RV26</v>
      </c>
      <c r="O24487" s="7" t="str">
        <f>HYPERLINK("#Liste_rouge!A"&amp;_xlfn.XMATCH("LC",Liste_rouge!A:A,2,1),"LC")</f>
        <v>LC</v>
      </c>
      <c r="P24487" s="7" t="str">
        <f>HYPERLINK("#Liste_rouge!A"&amp;_xlfn.XMATCH("LC",Liste_rouge!A:A,2,1),"LC")</f>
        <v>LC</v>
      </c>
      <c r="Q24487" s="7" t="str">
        <f>HYPERLINK("#Liste_rouge!A"&amp;_xlfn.XMATCH("LC",Liste_rouge!A:A,2,1),"LC")</f>
        <v>LC</v>
      </c>
      <c r="T24487" s="7" t="str">
        <f>HYPERLINK("#Liste_rouge!A"&amp;_xlfn.XMATCH("VU",Liste_rouge!A:A,2,1),"VU")</f>
        <v>VU</v>
      </c>
      <c r="U24487" s="4" t="str">
        <f>HYPERLINK("#Critères_liste_rouge!A$1","D2")</f>
        <v>D2</v>
      </c>
      <c r="V24487" s="7" t="str">
        <f>HYPERLINK("#Liste_rouge!A"&amp;_xlfn.XMATCH("LC",Liste_rouge!A:A,2,1),"LC")</f>
        <v>LC</v>
      </c>
      <c r="AB24487" s="4" t="s">
        <v>24803</v>
      </c>
      <c r="AH24487" s="4" t="str">
        <f>HYPERLINK("#Statut_biogéographique!A"&amp;_xlfn.XMATCH("P",Statut_biogéographique!A:A,2,1),"P")</f>
        <v>P</v>
      </c>
      <c r="AM24487" s="4" t="s">
        <v>375</v>
      </c>
      <c r="AN24487" s="4" t="s">
        <v>375</v>
      </c>
      <c r="AO24487" s="4" t="s">
        <v>375</v>
      </c>
      <c r="AP24487" s="4" t="s">
        <v>376</v>
      </c>
      <c r="AR24487" s="4" t="s">
        <v>377</v>
      </c>
    </row>
    <row r="24488" spans="1:44" ht="30">
      <c r="A24488" s="4" t="s">
        <v>24364</v>
      </c>
      <c r="B24488" s="4">
        <v>96534</v>
      </c>
      <c r="D24488" s="5" t="s">
        <v>32250</v>
      </c>
      <c r="E24488" s="6" t="str">
        <f>HYPERLINK("https://inpn.mnhn.fr/espece/cd_nom/96534","Equisetum palustre L., 1753")</f>
        <v>Equisetum palustre L., 1753</v>
      </c>
      <c r="F24488" s="5" t="s">
        <v>32251</v>
      </c>
      <c r="O24488" s="7" t="str">
        <f>HYPERLINK("#Liste_rouge!A"&amp;_xlfn.XMATCH("LC",Liste_rouge!A:A,2,1),"LC")</f>
        <v>LC</v>
      </c>
      <c r="P24488" s="7" t="str">
        <f>HYPERLINK("#Liste_rouge!A"&amp;_xlfn.XMATCH("LC",Liste_rouge!A:A,2,1),"LC")</f>
        <v>LC</v>
      </c>
      <c r="Q24488" s="7" t="str">
        <f>HYPERLINK("#Liste_rouge!A"&amp;_xlfn.XMATCH("LC",Liste_rouge!A:A,2,1),"LC")</f>
        <v>LC</v>
      </c>
      <c r="T24488" s="7" t="str">
        <f>HYPERLINK("#Liste_rouge!A"&amp;_xlfn.XMATCH("LC",Liste_rouge!A:A,2,1),"LC")</f>
        <v>LC</v>
      </c>
      <c r="V24488" s="7" t="str">
        <f>HYPERLINK("#Liste_rouge!A"&amp;_xlfn.XMATCH("LC",Liste_rouge!A:A,2,1),"LC")</f>
        <v>LC</v>
      </c>
      <c r="AH24488" s="4" t="str">
        <f>HYPERLINK("#Statut_biogéographique!A"&amp;_xlfn.XMATCH("P",Statut_biogéographique!A:A,2,1),"P")</f>
        <v>P</v>
      </c>
      <c r="AM24488" s="4" t="s">
        <v>375</v>
      </c>
      <c r="AN24488" s="4" t="s">
        <v>375</v>
      </c>
      <c r="AO24488" s="4" t="s">
        <v>375</v>
      </c>
      <c r="AP24488" s="4" t="s">
        <v>376</v>
      </c>
      <c r="AR24488" s="4" t="s">
        <v>377</v>
      </c>
    </row>
    <row r="24489" spans="1:44">
      <c r="A24489" s="4" t="s">
        <v>24364</v>
      </c>
      <c r="B24489" s="4">
        <v>96537</v>
      </c>
      <c r="D24489" s="5" t="s">
        <v>32252</v>
      </c>
      <c r="E24489" s="6" t="str">
        <f>HYPERLINK("https://inpn.mnhn.fr/espece/cd_nom/96537","Equisetum pratense Ehrh., 1784")</f>
        <v>Equisetum pratense Ehrh., 1784</v>
      </c>
      <c r="F24489" s="5" t="s">
        <v>32253</v>
      </c>
      <c r="P24489" s="7" t="str">
        <f>HYPERLINK("#Liste_rouge!A"&amp;_xlfn.XMATCH("LC",Liste_rouge!A:A,2,1),"LC")</f>
        <v>LC</v>
      </c>
      <c r="AH24489" s="4" t="str">
        <f>HYPERLINK("#Statut_biogéographique!A"&amp;_xlfn.XMATCH("Q",Statut_biogéographique!A:A,2,1),"Q")</f>
        <v>Q</v>
      </c>
      <c r="AP24489" s="4" t="s">
        <v>376</v>
      </c>
      <c r="AR24489" s="4" t="s">
        <v>377</v>
      </c>
    </row>
    <row r="24490" spans="1:44" ht="105">
      <c r="A24490" s="4" t="s">
        <v>24364</v>
      </c>
      <c r="B24490" s="4">
        <v>96539</v>
      </c>
      <c r="D24490" s="5" t="s">
        <v>32254</v>
      </c>
      <c r="E24490" s="6" t="str">
        <f>HYPERLINK("https://inpn.mnhn.fr/espece/cd_nom/96539","Equisetum ramosissimum Desf., 1799")</f>
        <v>Equisetum ramosissimum Desf., 1799</v>
      </c>
      <c r="F24490" s="5" t="s">
        <v>30271</v>
      </c>
      <c r="M24490" s="4" t="str">
        <f>HYPERLINK("#Réglementation!A"&amp;_xlfn.XMATCH("RV43",Réglementation!A:A,2,1),"RV43")</f>
        <v>RV43</v>
      </c>
      <c r="O24490" s="7" t="str">
        <f>HYPERLINK("#Liste_rouge!A"&amp;_xlfn.XMATCH("LC",Liste_rouge!A:A,2,1),"LC")</f>
        <v>LC</v>
      </c>
      <c r="P24490" s="7" t="str">
        <f>HYPERLINK("#Liste_rouge!A"&amp;_xlfn.XMATCH("LC",Liste_rouge!A:A,2,1),"LC")</f>
        <v>LC</v>
      </c>
      <c r="Q24490" s="7" t="str">
        <f>HYPERLINK("#Liste_rouge!A"&amp;_xlfn.XMATCH("LC",Liste_rouge!A:A,2,1),"LC")</f>
        <v>LC</v>
      </c>
      <c r="T24490" s="7" t="str">
        <f>HYPERLINK("#Liste_rouge!A"&amp;_xlfn.XMATCH("EN",Liste_rouge!A:A,2,1),"EN")</f>
        <v>EN</v>
      </c>
      <c r="U24490" s="4" t="str">
        <f>HYPERLINK("#Critères_liste_rouge!A$1","B2ab(iii,iv,v)c(iii,iv)")</f>
        <v>B2ab(iii,iv,v)c(iii,iv)</v>
      </c>
      <c r="V24490" s="7" t="str">
        <f>HYPERLINK("#Liste_rouge!A"&amp;_xlfn.XMATCH("EN",Liste_rouge!A:A,2,1),"EN")</f>
        <v>EN</v>
      </c>
      <c r="W24490" s="4" t="str">
        <f>HYPERLINK("#Critères_liste_rouge!A$1","D")</f>
        <v>D</v>
      </c>
      <c r="X24490" s="5" t="s">
        <v>374</v>
      </c>
      <c r="AB24490" s="4" t="s">
        <v>93</v>
      </c>
      <c r="AH24490" s="4" t="str">
        <f>HYPERLINK("#Statut_biogéographique!A"&amp;_xlfn.XMATCH("P",Statut_biogéographique!A:A,2,1),"P")</f>
        <v>P</v>
      </c>
      <c r="AM24490" s="4" t="s">
        <v>375</v>
      </c>
      <c r="AN24490" s="4" t="s">
        <v>375</v>
      </c>
      <c r="AO24490" s="4" t="s">
        <v>375</v>
      </c>
      <c r="AP24490" s="4" t="s">
        <v>376</v>
      </c>
      <c r="AR24490" s="4" t="s">
        <v>377</v>
      </c>
    </row>
    <row r="24491" spans="1:44" ht="30">
      <c r="A24491" s="4" t="s">
        <v>24364</v>
      </c>
      <c r="B24491" s="4">
        <v>96545</v>
      </c>
      <c r="D24491" s="5" t="s">
        <v>32255</v>
      </c>
      <c r="E24491" s="6" t="str">
        <f>HYPERLINK("https://inpn.mnhn.fr/espece/cd_nom/96545","Equisetum sylvaticum L., 1753")</f>
        <v>Equisetum sylvaticum L., 1753</v>
      </c>
      <c r="F24491" s="5" t="s">
        <v>32256</v>
      </c>
      <c r="M24491" s="4" t="str">
        <f>HYPERLINK("#Réglementation!A"&amp;_xlfn.XMATCH("RV26",Réglementation!A:A,2,1),"RV26")</f>
        <v>RV26</v>
      </c>
      <c r="P24491" s="7" t="str">
        <f>HYPERLINK("#Liste_rouge!A"&amp;_xlfn.XMATCH("LC",Liste_rouge!A:A,2,1),"LC")</f>
        <v>LC</v>
      </c>
      <c r="Q24491" s="7" t="str">
        <f>HYPERLINK("#Liste_rouge!A"&amp;_xlfn.XMATCH("LC",Liste_rouge!A:A,2,1),"LC")</f>
        <v>LC</v>
      </c>
      <c r="T24491" s="7" t="str">
        <f>HYPERLINK("#Liste_rouge!A"&amp;_xlfn.XMATCH("VU",Liste_rouge!A:A,2,1),"VU")</f>
        <v>VU</v>
      </c>
      <c r="U24491" s="4" t="str">
        <f>HYPERLINK("#Critères_liste_rouge!A$1","C2a(i) D2")</f>
        <v>C2a(i) D2</v>
      </c>
      <c r="V24491" s="7" t="str">
        <f>HYPERLINK("#Liste_rouge!A"&amp;_xlfn.XMATCH("LC",Liste_rouge!A:A,2,1),"LC")</f>
        <v>LC</v>
      </c>
      <c r="AB24491" s="4" t="s">
        <v>24382</v>
      </c>
      <c r="AH24491" s="4" t="str">
        <f>HYPERLINK("#Statut_biogéographique!A"&amp;_xlfn.XMATCH("P",Statut_biogéographique!A:A,2,1),"P")</f>
        <v>P</v>
      </c>
      <c r="AM24491" s="4" t="s">
        <v>375</v>
      </c>
      <c r="AN24491" s="4" t="s">
        <v>375</v>
      </c>
      <c r="AO24491" s="4" t="s">
        <v>375</v>
      </c>
      <c r="AP24491" s="4" t="s">
        <v>376</v>
      </c>
      <c r="AR24491" s="4" t="s">
        <v>377</v>
      </c>
    </row>
    <row r="24492" spans="1:44" ht="30">
      <c r="A24492" s="4" t="s">
        <v>24364</v>
      </c>
      <c r="B24492" s="4">
        <v>965458</v>
      </c>
      <c r="D24492" s="5" t="s">
        <v>32257</v>
      </c>
      <c r="E24492" s="6" t="str">
        <f>HYPERLINK("https://inpn.mnhn.fr/espece/cd_nom/965458","Anemonastrum narcissiflorum subsp. narcissiflorum (L.) Holub, 1973")</f>
        <v>Anemonastrum narcissiflorum subsp. narcissiflorum (L.) Holub, 1973</v>
      </c>
      <c r="F24492" s="5" t="s">
        <v>32258</v>
      </c>
      <c r="M24492" s="4" t="str">
        <f>HYPERLINK("#Réglementation!A"&amp;_xlfn.XMATCH("RV43",Réglementation!A:A,2,1),"RV43")</f>
        <v>RV43</v>
      </c>
      <c r="AH24492" s="4" t="str">
        <f>HYPERLINK("#Statut_biogéographique!A"&amp;_xlfn.XMATCH("P",Statut_biogéographique!A:A,2,1),"P")</f>
        <v>P</v>
      </c>
      <c r="AP24492" s="4" t="s">
        <v>376</v>
      </c>
      <c r="AR24492" s="4" t="s">
        <v>377</v>
      </c>
    </row>
    <row r="24493" spans="1:44" ht="30">
      <c r="A24493" s="4" t="s">
        <v>24364</v>
      </c>
      <c r="B24493" s="4">
        <v>96546</v>
      </c>
      <c r="D24493" s="5" t="s">
        <v>32259</v>
      </c>
      <c r="E24493" s="6" t="str">
        <f>HYPERLINK("https://inpn.mnhn.fr/espece/cd_nom/96546","Equisetum telmateia Ehrh., 1783")</f>
        <v>Equisetum telmateia Ehrh., 1783</v>
      </c>
      <c r="F24493" s="5" t="s">
        <v>32260</v>
      </c>
      <c r="O24493" s="7" t="str">
        <f>HYPERLINK("#Liste_rouge!A"&amp;_xlfn.XMATCH("LC",Liste_rouge!A:A,2,1),"LC")</f>
        <v>LC</v>
      </c>
      <c r="P24493" s="7" t="str">
        <f>HYPERLINK("#Liste_rouge!A"&amp;_xlfn.XMATCH("LC",Liste_rouge!A:A,2,1),"LC")</f>
        <v>LC</v>
      </c>
      <c r="Q24493" s="7" t="str">
        <f>HYPERLINK("#Liste_rouge!A"&amp;_xlfn.XMATCH("LC",Liste_rouge!A:A,2,1),"LC")</f>
        <v>LC</v>
      </c>
      <c r="T24493" s="7" t="str">
        <f>HYPERLINK("#Liste_rouge!A"&amp;_xlfn.XMATCH("LC",Liste_rouge!A:A,2,1),"LC")</f>
        <v>LC</v>
      </c>
      <c r="V24493" s="7" t="str">
        <f>HYPERLINK("#Liste_rouge!A"&amp;_xlfn.XMATCH("LC",Liste_rouge!A:A,2,1),"LC")</f>
        <v>LC</v>
      </c>
      <c r="AH24493" s="4" t="str">
        <f>HYPERLINK("#Statut_biogéographique!A"&amp;_xlfn.XMATCH("P",Statut_biogéographique!A:A,2,1),"P")</f>
        <v>P</v>
      </c>
      <c r="AM24493" s="4" t="s">
        <v>375</v>
      </c>
      <c r="AN24493" s="4" t="s">
        <v>375</v>
      </c>
      <c r="AO24493" s="4" t="s">
        <v>375</v>
      </c>
      <c r="AP24493" s="4" t="s">
        <v>376</v>
      </c>
      <c r="AR24493" s="4" t="s">
        <v>377</v>
      </c>
    </row>
    <row r="24494" spans="1:44">
      <c r="A24494" s="4" t="s">
        <v>24364</v>
      </c>
      <c r="B24494" s="4">
        <v>96562</v>
      </c>
      <c r="D24494" s="5" t="s">
        <v>32261</v>
      </c>
      <c r="E24494" s="6" t="str">
        <f>HYPERLINK("https://inpn.mnhn.fr/espece/cd_nom/96562","Equisetum x litorale Kühlew. ex Rupr., 1845")</f>
        <v>Equisetum x litorale Kühlew. ex Rupr., 1845</v>
      </c>
      <c r="F24494" s="5" t="s">
        <v>32262</v>
      </c>
      <c r="T24494" s="7" t="str">
        <f>HYPERLINK("#Liste_rouge!A"&amp;_xlfn.XMATCH("DD",Liste_rouge!A:A,2,1),"DD")</f>
        <v>DD</v>
      </c>
      <c r="AH24494" s="4" t="str">
        <f>HYPERLINK("#Statut_biogéographique!A"&amp;_xlfn.XMATCH("P",Statut_biogéographique!A:A,2,1),"P")</f>
        <v>P</v>
      </c>
      <c r="AP24494" s="4" t="s">
        <v>376</v>
      </c>
      <c r="AR24494" s="4" t="s">
        <v>377</v>
      </c>
    </row>
    <row r="24495" spans="1:44" ht="30">
      <c r="A24495" s="4" t="s">
        <v>24364</v>
      </c>
      <c r="B24495" s="4">
        <v>96564</v>
      </c>
      <c r="D24495" s="5" t="s">
        <v>32263</v>
      </c>
      <c r="E24495" s="6" t="str">
        <f>HYPERLINK("https://inpn.mnhn.fr/espece/cd_nom/96564","Equisetum x meridionale (Milde) Chiov., 1929")</f>
        <v>Equisetum x meridionale (Milde) Chiov., 1929</v>
      </c>
      <c r="F24495" s="5" t="s">
        <v>32264</v>
      </c>
      <c r="T24495" s="7" t="str">
        <f>HYPERLINK("#Liste_rouge!A"&amp;_xlfn.XMATCH("NE",Liste_rouge!A:A,2,1),"NE")</f>
        <v>NE</v>
      </c>
      <c r="AH24495" s="4" t="str">
        <f>HYPERLINK("#Statut_biogéographique!A"&amp;_xlfn.XMATCH("P",Statut_biogéographique!A:A,2,1),"P")</f>
        <v>P</v>
      </c>
      <c r="AP24495" s="4" t="s">
        <v>376</v>
      </c>
      <c r="AR24495" s="4" t="s">
        <v>377</v>
      </c>
    </row>
    <row r="24496" spans="1:44" ht="30">
      <c r="A24496" s="4" t="s">
        <v>24364</v>
      </c>
      <c r="B24496" s="4">
        <v>96566</v>
      </c>
      <c r="D24496" s="5" t="s">
        <v>32265</v>
      </c>
      <c r="E24496" s="6" t="str">
        <f>HYPERLINK("https://inpn.mnhn.fr/espece/cd_nom/96566","Equisetum x moorei Newman, 1854")</f>
        <v>Equisetum x moorei Newman, 1854</v>
      </c>
      <c r="F24496" s="5" t="s">
        <v>32266</v>
      </c>
      <c r="T24496" s="7" t="str">
        <f>HYPERLINK("#Liste_rouge!A"&amp;_xlfn.XMATCH("DD",Liste_rouge!A:A,2,1),"DD")</f>
        <v>DD</v>
      </c>
      <c r="AH24496" s="4" t="str">
        <f>HYPERLINK("#Statut_biogéographique!A"&amp;_xlfn.XMATCH("P",Statut_biogéographique!A:A,2,1),"P")</f>
        <v>P</v>
      </c>
      <c r="AP24496" s="4" t="s">
        <v>376</v>
      </c>
      <c r="AR24496" s="4" t="s">
        <v>377</v>
      </c>
    </row>
    <row r="24497" spans="1:44" ht="270">
      <c r="A24497" s="4" t="s">
        <v>24364</v>
      </c>
      <c r="B24497" s="4">
        <v>96585</v>
      </c>
      <c r="D24497" s="5" t="s">
        <v>32267</v>
      </c>
      <c r="E24497" s="6" t="str">
        <f>HYPERLINK("https://inpn.mnhn.fr/espece/cd_nom/96585","Eragrostis cilianensis (All.) Vignolo ex Janch., 1907")</f>
        <v>Eragrostis cilianensis (All.) Vignolo ex Janch., 1907</v>
      </c>
      <c r="F24497" s="5" t="s">
        <v>32268</v>
      </c>
      <c r="Q24497" s="7" t="str">
        <f>HYPERLINK("#Liste_rouge!A"&amp;_xlfn.XMATCH("LC",Liste_rouge!A:A,2,1),"LC")</f>
        <v>LC</v>
      </c>
      <c r="T24497" s="7" t="str">
        <f>HYPERLINK("#Liste_rouge!A"&amp;_xlfn.XMATCH("NA",Liste_rouge!A:A,2,1),"NA")</f>
        <v>NA</v>
      </c>
      <c r="AH24497" s="4" t="str">
        <f>HYPERLINK("#Statut_biogéographique!A"&amp;_xlfn.XMATCH("P",Statut_biogéographique!A:A,2,1),"P")</f>
        <v>P</v>
      </c>
      <c r="AM24497" s="4" t="s">
        <v>375</v>
      </c>
      <c r="AN24497" s="4" t="s">
        <v>375</v>
      </c>
      <c r="AO24497" s="4" t="s">
        <v>375</v>
      </c>
      <c r="AP24497" s="4" t="s">
        <v>376</v>
      </c>
      <c r="AR24497" s="4" t="s">
        <v>377</v>
      </c>
    </row>
    <row r="24498" spans="1:44" ht="45">
      <c r="A24498" s="4" t="s">
        <v>24364</v>
      </c>
      <c r="B24498" s="4">
        <v>96612</v>
      </c>
      <c r="D24498" s="5" t="s">
        <v>32269</v>
      </c>
      <c r="E24498" s="6" t="str">
        <f>HYPERLINK("https://inpn.mnhn.fr/espece/cd_nom/96612","Eragrostis mexicana (Hornem.) Link, 1827")</f>
        <v>Eragrostis mexicana (Hornem.) Link, 1827</v>
      </c>
      <c r="F24498" s="5" t="s">
        <v>32270</v>
      </c>
      <c r="Q24498" s="7" t="str">
        <f>HYPERLINK("#Liste_rouge!A"&amp;_xlfn.XMATCH("NA",Liste_rouge!A:A,2,1),"NA")</f>
        <v>NA</v>
      </c>
      <c r="T24498" s="7" t="str">
        <f>HYPERLINK("#Liste_rouge!A"&amp;_xlfn.XMATCH("NA",Liste_rouge!A:A,2,1),"NA")</f>
        <v>NA</v>
      </c>
      <c r="AH24498" s="4" t="str">
        <f>HYPERLINK("#Statut_biogéographique!A"&amp;_xlfn.XMATCH("I",Statut_biogéographique!A:A,2,1),"I")</f>
        <v>I</v>
      </c>
      <c r="AP24498" s="4" t="s">
        <v>376</v>
      </c>
      <c r="AR24498" s="4" t="s">
        <v>377</v>
      </c>
    </row>
    <row r="24499" spans="1:44" ht="75">
      <c r="A24499" s="4" t="s">
        <v>24364</v>
      </c>
      <c r="B24499" s="4">
        <v>96613</v>
      </c>
      <c r="D24499" s="5" t="s">
        <v>32271</v>
      </c>
      <c r="E24499" s="6" t="str">
        <f>HYPERLINK("https://inpn.mnhn.fr/espece/cd_nom/96613","Eragrostis minor Host, 1809")</f>
        <v>Eragrostis minor Host, 1809</v>
      </c>
      <c r="F24499" s="5" t="s">
        <v>32272</v>
      </c>
      <c r="Q24499" s="7" t="str">
        <f>HYPERLINK("#Liste_rouge!A"&amp;_xlfn.XMATCH("LC",Liste_rouge!A:A,2,1),"LC")</f>
        <v>LC</v>
      </c>
      <c r="T24499" s="7" t="str">
        <f>HYPERLINK("#Liste_rouge!A"&amp;_xlfn.XMATCH("NA",Liste_rouge!A:A,2,1),"NA")</f>
        <v>NA</v>
      </c>
      <c r="AH24499" s="4" t="str">
        <f>HYPERLINK("#Statut_biogéographique!A"&amp;_xlfn.XMATCH("P",Statut_biogéographique!A:A,2,1),"P")</f>
        <v>P</v>
      </c>
      <c r="AM24499" s="4" t="s">
        <v>375</v>
      </c>
      <c r="AN24499" s="4" t="s">
        <v>375</v>
      </c>
      <c r="AO24499" s="4" t="s">
        <v>375</v>
      </c>
      <c r="AP24499" s="4" t="s">
        <v>376</v>
      </c>
      <c r="AR24499" s="4" t="s">
        <v>377</v>
      </c>
    </row>
    <row r="24500" spans="1:44" ht="75">
      <c r="A24500" s="4" t="s">
        <v>24364</v>
      </c>
      <c r="B24500" s="4">
        <v>96614</v>
      </c>
      <c r="D24500" s="5" t="s">
        <v>32273</v>
      </c>
      <c r="E24500" s="6" t="str">
        <f>HYPERLINK("https://inpn.mnhn.fr/espece/cd_nom/96614","Eragrostis multicaulis Steud., 1854")</f>
        <v>Eragrostis multicaulis Steud., 1854</v>
      </c>
      <c r="F24500" s="5" t="s">
        <v>32274</v>
      </c>
      <c r="Q24500" s="7" t="str">
        <f>HYPERLINK("#Liste_rouge!A"&amp;_xlfn.XMATCH("NA",Liste_rouge!A:A,2,1),"NA")</f>
        <v>NA</v>
      </c>
      <c r="AH24500" s="4" t="str">
        <f>HYPERLINK("#Statut_biogéographique!A"&amp;_xlfn.XMATCH("I",Statut_biogéographique!A:A,2,1),"I")</f>
        <v>I</v>
      </c>
      <c r="AP24500" s="4" t="s">
        <v>376</v>
      </c>
      <c r="AR24500" s="4" t="s">
        <v>377</v>
      </c>
    </row>
    <row r="24501" spans="1:44" ht="60">
      <c r="A24501" s="4" t="s">
        <v>24364</v>
      </c>
      <c r="B24501" s="4">
        <v>96624</v>
      </c>
      <c r="D24501" s="5" t="s">
        <v>32275</v>
      </c>
      <c r="E24501" s="6" t="str">
        <f>HYPERLINK("https://inpn.mnhn.fr/espece/cd_nom/96624","Eragrostis pectinacea (Michx.) Nees, 1841")</f>
        <v>Eragrostis pectinacea (Michx.) Nees, 1841</v>
      </c>
      <c r="F24501" s="5" t="s">
        <v>32276</v>
      </c>
      <c r="Q24501" s="7" t="str">
        <f>HYPERLINK("#Liste_rouge!A"&amp;_xlfn.XMATCH("NA",Liste_rouge!A:A,2,1),"NA")</f>
        <v>NA</v>
      </c>
      <c r="T24501" s="7" t="str">
        <f>HYPERLINK("#Liste_rouge!A"&amp;_xlfn.XMATCH("NA",Liste_rouge!A:A,2,1),"NA")</f>
        <v>NA</v>
      </c>
      <c r="AH24501" s="4" t="str">
        <f>HYPERLINK("#Statut_biogéographique!A"&amp;_xlfn.XMATCH("I",Statut_biogéographique!A:A,2,1),"I")</f>
        <v>I</v>
      </c>
      <c r="AM24501" s="4" t="s">
        <v>375</v>
      </c>
      <c r="AN24501" s="4" t="s">
        <v>375</v>
      </c>
      <c r="AO24501" s="4" t="s">
        <v>375</v>
      </c>
      <c r="AP24501" s="4" t="s">
        <v>376</v>
      </c>
      <c r="AR24501" s="4" t="s">
        <v>377</v>
      </c>
    </row>
    <row r="24502" spans="1:44" ht="120">
      <c r="A24502" s="4" t="s">
        <v>24364</v>
      </c>
      <c r="B24502" s="4">
        <v>96628</v>
      </c>
      <c r="D24502" s="5" t="s">
        <v>32277</v>
      </c>
      <c r="E24502" s="6" t="str">
        <f>HYPERLINK("https://inpn.mnhn.fr/espece/cd_nom/96628","Eragrostis pilosa (L.) P.Beauv., 1812")</f>
        <v>Eragrostis pilosa (L.) P.Beauv., 1812</v>
      </c>
      <c r="F24502" s="5" t="s">
        <v>32278</v>
      </c>
      <c r="Q24502" s="7" t="str">
        <f>HYPERLINK("#Liste_rouge!A"&amp;_xlfn.XMATCH("LC",Liste_rouge!A:A,2,1),"LC")</f>
        <v>LC</v>
      </c>
      <c r="T24502" s="7" t="str">
        <f>HYPERLINK("#Liste_rouge!A"&amp;_xlfn.XMATCH("NA",Liste_rouge!A:A,2,1),"NA")</f>
        <v>NA</v>
      </c>
      <c r="AH24502" s="4" t="str">
        <f>HYPERLINK("#Statut_biogéographique!A"&amp;_xlfn.XMATCH("P",Statut_biogéographique!A:A,2,1),"P")</f>
        <v>P</v>
      </c>
      <c r="AM24502" s="4" t="s">
        <v>375</v>
      </c>
      <c r="AN24502" s="4" t="s">
        <v>375</v>
      </c>
      <c r="AO24502" s="4" t="s">
        <v>375</v>
      </c>
      <c r="AP24502" s="4" t="s">
        <v>376</v>
      </c>
      <c r="AR24502" s="4" t="s">
        <v>377</v>
      </c>
    </row>
    <row r="24503" spans="1:44" ht="30">
      <c r="A24503" s="4" t="s">
        <v>24364</v>
      </c>
      <c r="B24503" s="4">
        <v>96644</v>
      </c>
      <c r="D24503" s="5" t="s">
        <v>32279</v>
      </c>
      <c r="E24503" s="6" t="str">
        <f>HYPERLINK("https://inpn.mnhn.fr/espece/cd_nom/96644","Eragrostis virescens J.Presl, 1830")</f>
        <v>Eragrostis virescens J.Presl, 1830</v>
      </c>
      <c r="F24503" s="5" t="s">
        <v>32280</v>
      </c>
      <c r="Q24503" s="7" t="str">
        <f>HYPERLINK("#Liste_rouge!A"&amp;_xlfn.XMATCH("NA",Liste_rouge!A:A,2,1),"NA")</f>
        <v>NA</v>
      </c>
      <c r="T24503" s="7" t="str">
        <f>HYPERLINK("#Liste_rouge!A"&amp;_xlfn.XMATCH("NA",Liste_rouge!A:A,2,1),"NA")</f>
        <v>NA</v>
      </c>
      <c r="AH24503" s="4" t="str">
        <f>HYPERLINK("#Statut_biogéographique!A"&amp;_xlfn.XMATCH("I",Statut_biogéographique!A:A,2,1),"I")</f>
        <v>I</v>
      </c>
      <c r="AP24503" s="4" t="s">
        <v>376</v>
      </c>
      <c r="AR24503" s="4" t="s">
        <v>377</v>
      </c>
    </row>
    <row r="24504" spans="1:44" ht="30">
      <c r="A24504" s="4" t="s">
        <v>24364</v>
      </c>
      <c r="B24504" s="4">
        <v>96648</v>
      </c>
      <c r="D24504" s="5" t="s">
        <v>32281</v>
      </c>
      <c r="E24504" s="6" t="str">
        <f>HYPERLINK("https://inpn.mnhn.fr/espece/cd_nom/96648","Eranthis hyemalis (L.) Salisb., 1807")</f>
        <v>Eranthis hyemalis (L.) Salisb., 1807</v>
      </c>
      <c r="F24504" s="5" t="s">
        <v>32282</v>
      </c>
      <c r="Q24504" s="7" t="str">
        <f>HYPERLINK("#Liste_rouge!A"&amp;_xlfn.XMATCH("DD",Liste_rouge!A:A,2,1),"DD")</f>
        <v>DD</v>
      </c>
      <c r="T24504" s="7" t="str">
        <f>HYPERLINK("#Liste_rouge!A"&amp;_xlfn.XMATCH("NA",Liste_rouge!A:A,2,1),"NA")</f>
        <v>NA</v>
      </c>
      <c r="AH24504" s="4" t="str">
        <f>HYPERLINK("#Statut_biogéographique!A"&amp;_xlfn.XMATCH("I",Statut_biogéographique!A:A,2,1),"I")</f>
        <v>I</v>
      </c>
      <c r="AP24504" s="4" t="s">
        <v>376</v>
      </c>
      <c r="AR24504" s="4" t="s">
        <v>377</v>
      </c>
    </row>
    <row r="24505" spans="1:44">
      <c r="A24505" s="4" t="s">
        <v>24364</v>
      </c>
      <c r="B24505" s="4">
        <v>966540</v>
      </c>
      <c r="D24505" s="5" t="s">
        <v>32283</v>
      </c>
      <c r="E24505" s="6" t="str">
        <f>HYPERLINK("https://inpn.mnhn.fr/espece/cd_nom/966540","Rubus velutinus Vest ex Tratt., 1823")</f>
        <v>Rubus velutinus Vest ex Tratt., 1823</v>
      </c>
      <c r="F24505" s="5" t="s">
        <v>32284</v>
      </c>
      <c r="AH24505" s="4" t="str">
        <f>HYPERLINK("#Statut_biogéographique!A"&amp;_xlfn.XMATCH("P",Statut_biogéographique!A:A,2,1),"P")</f>
        <v>P</v>
      </c>
      <c r="AM24505" s="4" t="s">
        <v>375</v>
      </c>
      <c r="AN24505" s="4" t="s">
        <v>375</v>
      </c>
      <c r="AO24505" s="4" t="s">
        <v>375</v>
      </c>
      <c r="AP24505" s="4" t="s">
        <v>376</v>
      </c>
      <c r="AR24505" s="4" t="s">
        <v>377</v>
      </c>
    </row>
    <row r="24506" spans="1:44">
      <c r="A24506" s="4" t="s">
        <v>24364</v>
      </c>
      <c r="B24506" s="4">
        <v>966556</v>
      </c>
      <c r="D24506" s="5">
        <v>966556</v>
      </c>
      <c r="E24506" s="6" t="str">
        <f>HYPERLINK("https://inpn.mnhn.fr/espece/cd_nom/966556","Rubus dubiensis Ferrez, 2019")</f>
        <v>Rubus dubiensis Ferrez, 2019</v>
      </c>
      <c r="AH24506" s="4" t="str">
        <f>HYPERLINK("#Statut_biogéographique!A"&amp;_xlfn.XMATCH("P",Statut_biogéographique!A:A,2,1),"P")</f>
        <v>P</v>
      </c>
      <c r="AP24506" s="4" t="s">
        <v>376</v>
      </c>
      <c r="AR24506" s="4" t="s">
        <v>377</v>
      </c>
    </row>
    <row r="24507" spans="1:44">
      <c r="A24507" s="4" t="s">
        <v>24364</v>
      </c>
      <c r="B24507" s="4">
        <v>966557</v>
      </c>
      <c r="D24507" s="5">
        <v>966557</v>
      </c>
      <c r="E24507" s="6" t="str">
        <f>HYPERLINK("https://inpn.mnhn.fr/espece/cd_nom/966557","Rubus royeri Ferrez, 2019")</f>
        <v>Rubus royeri Ferrez, 2019</v>
      </c>
      <c r="AH24507" s="4" t="str">
        <f>HYPERLINK("#Statut_biogéographique!A"&amp;_xlfn.XMATCH("P",Statut_biogéographique!A:A,2,1),"P")</f>
        <v>P</v>
      </c>
      <c r="AP24507" s="4" t="s">
        <v>376</v>
      </c>
      <c r="AR24507" s="4" t="s">
        <v>377</v>
      </c>
    </row>
    <row r="24508" spans="1:44">
      <c r="A24508" s="4" t="s">
        <v>24364</v>
      </c>
      <c r="B24508" s="4">
        <v>966592</v>
      </c>
      <c r="D24508" s="5">
        <v>966592</v>
      </c>
      <c r="E24508" s="6" t="str">
        <f>HYPERLINK("https://inpn.mnhn.fr/espece/cd_nom/966592","Rubus derasifolius Sudre, 1905")</f>
        <v>Rubus derasifolius Sudre, 1905</v>
      </c>
      <c r="AH24508" s="4" t="str">
        <f>HYPERLINK("#Statut_biogéographique!A"&amp;_xlfn.XMATCH("P",Statut_biogéographique!A:A,2,1),"P")</f>
        <v>P</v>
      </c>
      <c r="AP24508" s="4" t="s">
        <v>376</v>
      </c>
      <c r="AR24508" s="4" t="s">
        <v>377</v>
      </c>
    </row>
    <row r="24509" spans="1:44">
      <c r="A24509" s="4" t="s">
        <v>24364</v>
      </c>
      <c r="B24509" s="4">
        <v>966594</v>
      </c>
      <c r="D24509" s="5">
        <v>966594</v>
      </c>
      <c r="E24509" s="6" t="str">
        <f>HYPERLINK("https://inpn.mnhn.fr/espece/cd_nom/966594","Rubus gymnocarpus Boulay &amp; Pierrat, 1877")</f>
        <v>Rubus gymnocarpus Boulay &amp; Pierrat, 1877</v>
      </c>
      <c r="AH24509" s="4" t="str">
        <f>HYPERLINK("#Statut_biogéographique!A"&amp;_xlfn.XMATCH("P",Statut_biogéographique!A:A,2,1),"P")</f>
        <v>P</v>
      </c>
      <c r="AP24509" s="4" t="s">
        <v>376</v>
      </c>
      <c r="AR24509" s="4" t="s">
        <v>377</v>
      </c>
    </row>
    <row r="24510" spans="1:44">
      <c r="A24510" s="4" t="s">
        <v>24364</v>
      </c>
      <c r="B24510" s="4">
        <v>966595</v>
      </c>
      <c r="D24510" s="5" t="s">
        <v>32285</v>
      </c>
      <c r="E24510" s="6" t="str">
        <f>HYPERLINK("https://inpn.mnhn.fr/espece/cd_nom/966595","Rubus holandrei P.J.Müll., 1858")</f>
        <v>Rubus holandrei P.J.Müll., 1858</v>
      </c>
      <c r="AH24510" s="4" t="str">
        <f>HYPERLINK("#Statut_biogéographique!A"&amp;_xlfn.XMATCH("P",Statut_biogéographique!A:A,2,1),"P")</f>
        <v>P</v>
      </c>
      <c r="AP24510" s="4" t="s">
        <v>376</v>
      </c>
      <c r="AR24510" s="4" t="s">
        <v>377</v>
      </c>
    </row>
    <row r="24511" spans="1:44">
      <c r="A24511" s="4" t="s">
        <v>24364</v>
      </c>
      <c r="B24511" s="4">
        <v>966601</v>
      </c>
      <c r="D24511" s="5" t="s">
        <v>32286</v>
      </c>
      <c r="E24511" s="6" t="str">
        <f>HYPERLINK("https://inpn.mnhn.fr/espece/cd_nom/966601","Rubus atrovirens P.J.Müll., 1858")</f>
        <v>Rubus atrovirens P.J.Müll., 1858</v>
      </c>
      <c r="V24511" s="7" t="str">
        <f>HYPERLINK("#Liste_rouge!A"&amp;_xlfn.XMATCH("DD",Liste_rouge!A:A,2,1),"DD")</f>
        <v>DD</v>
      </c>
      <c r="AH24511" s="4" t="str">
        <f>HYPERLINK("#Statut_biogéographique!A"&amp;_xlfn.XMATCH("P",Statut_biogéographique!A:A,2,1),"P")</f>
        <v>P</v>
      </c>
      <c r="AM24511" s="4" t="s">
        <v>375</v>
      </c>
      <c r="AN24511" s="4" t="s">
        <v>375</v>
      </c>
      <c r="AO24511" s="4" t="s">
        <v>375</v>
      </c>
      <c r="AP24511" s="4" t="s">
        <v>376</v>
      </c>
      <c r="AR24511" s="4" t="s">
        <v>377</v>
      </c>
    </row>
    <row r="24512" spans="1:44">
      <c r="A24512" s="4" t="s">
        <v>24364</v>
      </c>
      <c r="B24512" s="4">
        <v>966614</v>
      </c>
      <c r="D24512" s="5" t="s">
        <v>32287</v>
      </c>
      <c r="E24512" s="6" t="str">
        <f>HYPERLINK("https://inpn.mnhn.fr/espece/cd_nom/966614","Saxifraga giziana Mouly &amp; Ferrez, 2019")</f>
        <v>Saxifraga giziana Mouly &amp; Ferrez, 2019</v>
      </c>
      <c r="F24512" s="5" t="s">
        <v>32288</v>
      </c>
      <c r="Q24512" s="7" t="str">
        <f>HYPERLINK("#Liste_rouge!A"&amp;_xlfn.XMATCH("CR",Liste_rouge!A:A,2,1),"CR")</f>
        <v>CR</v>
      </c>
      <c r="V24512" s="7" t="str">
        <f>HYPERLINK("#Liste_rouge!A"&amp;_xlfn.XMATCH("CR",Liste_rouge!A:A,2,1),"CR")</f>
        <v>CR</v>
      </c>
      <c r="W24512" s="4" t="str">
        <f>HYPERLINK("#Critères_liste_rouge!A$1","B2ab(iii)c(iv)")</f>
        <v>B2ab(iii)c(iv)</v>
      </c>
      <c r="X24512" s="5" t="s">
        <v>374</v>
      </c>
      <c r="AB24512" s="4" t="s">
        <v>93</v>
      </c>
      <c r="AH24512" s="4" t="str">
        <f>HYPERLINK("#Statut_biogéographique!A"&amp;_xlfn.XMATCH("E",Statut_biogéographique!A:A,2,1),"E")</f>
        <v>E</v>
      </c>
      <c r="AM24512" s="4" t="s">
        <v>375</v>
      </c>
      <c r="AN24512" s="4" t="s">
        <v>375</v>
      </c>
      <c r="AO24512" s="4" t="s">
        <v>375</v>
      </c>
      <c r="AP24512" s="4" t="s">
        <v>376</v>
      </c>
      <c r="AR24512" s="4" t="s">
        <v>377</v>
      </c>
    </row>
    <row r="24513" spans="1:44" ht="30">
      <c r="A24513" s="4" t="s">
        <v>24364</v>
      </c>
      <c r="B24513" s="4">
        <v>96664</v>
      </c>
      <c r="D24513" s="5" t="s">
        <v>32289</v>
      </c>
      <c r="E24513" s="6" t="str">
        <f>HYPERLINK("https://inpn.mnhn.fr/espece/cd_nom/96664","Erica carnea L., 1753 [nom. cons.]")</f>
        <v>Erica carnea L., 1753 [nom. cons.]</v>
      </c>
      <c r="F24513" s="5" t="s">
        <v>32290</v>
      </c>
      <c r="Q24513" s="7" t="str">
        <f>HYPERLINK("#Liste_rouge!A"&amp;_xlfn.XMATCH("LC",Liste_rouge!A:A,2,1),"LC")</f>
        <v>LC</v>
      </c>
      <c r="AH24513" s="4" t="str">
        <f>HYPERLINK("#Statut_biogéographique!A"&amp;_xlfn.XMATCH("P",Statut_biogéographique!A:A,2,1),"P")</f>
        <v>P</v>
      </c>
      <c r="AP24513" s="4" t="s">
        <v>376</v>
      </c>
      <c r="AR24513" s="4" t="s">
        <v>377</v>
      </c>
    </row>
    <row r="24514" spans="1:44">
      <c r="A24514" s="4" t="s">
        <v>24364</v>
      </c>
      <c r="B24514" s="4">
        <v>96667</v>
      </c>
      <c r="D24514" s="5" t="s">
        <v>32291</v>
      </c>
      <c r="E24514" s="6" t="str">
        <f>HYPERLINK("https://inpn.mnhn.fr/espece/cd_nom/96667","Erica cinerea L., 1753")</f>
        <v>Erica cinerea L., 1753</v>
      </c>
      <c r="F24514" s="5" t="s">
        <v>32292</v>
      </c>
      <c r="M24514" s="4" t="str">
        <f>HYPERLINK("#Réglementation!A"&amp;_xlfn.XMATCH("RV26",Réglementation!A:A,2,1),"RV26")</f>
        <v>RV26</v>
      </c>
      <c r="O24514" s="7" t="str">
        <f>HYPERLINK("#Liste_rouge!A"&amp;_xlfn.XMATCH("LC",Liste_rouge!A:A,2,1),"LC")</f>
        <v>LC</v>
      </c>
      <c r="P24514" s="7" t="str">
        <f>HYPERLINK("#Liste_rouge!A"&amp;_xlfn.XMATCH("LC",Liste_rouge!A:A,2,1),"LC")</f>
        <v>LC</v>
      </c>
      <c r="Q24514" s="7" t="str">
        <f>HYPERLINK("#Liste_rouge!A"&amp;_xlfn.XMATCH("LC",Liste_rouge!A:A,2,1),"LC")</f>
        <v>LC</v>
      </c>
      <c r="T24514" s="7" t="str">
        <f>HYPERLINK("#Liste_rouge!A"&amp;_xlfn.XMATCH("NT",Liste_rouge!A:A,2,1),"NT")</f>
        <v>NT</v>
      </c>
      <c r="U24514" s="4" t="str">
        <f>HYPERLINK("#Critères_liste_rouge!A$1","pr. B2a")</f>
        <v>pr. B2a</v>
      </c>
      <c r="AB24514" s="4" t="s">
        <v>24777</v>
      </c>
      <c r="AH24514" s="4" t="str">
        <f>HYPERLINK("#Statut_biogéographique!A"&amp;_xlfn.XMATCH("P",Statut_biogéographique!A:A,2,1),"P")</f>
        <v>P</v>
      </c>
      <c r="AM24514" s="4" t="s">
        <v>375</v>
      </c>
      <c r="AN24514" s="4" t="s">
        <v>375</v>
      </c>
      <c r="AO24514" s="4" t="s">
        <v>375</v>
      </c>
      <c r="AP24514" s="4" t="s">
        <v>376</v>
      </c>
      <c r="AR24514" s="4" t="s">
        <v>377</v>
      </c>
    </row>
    <row r="24515" spans="1:44" ht="30">
      <c r="A24515" s="4" t="s">
        <v>24364</v>
      </c>
      <c r="B24515" s="4">
        <v>966763</v>
      </c>
      <c r="D24515" s="5" t="s">
        <v>32293</v>
      </c>
      <c r="E24515" s="6" t="str">
        <f>HYPERLINK("https://inpn.mnhn.fr/espece/cd_nom/966763","Cephaloziella stellulifera (Taylor ex Carrington &amp; Pearson) Croz., 1903")</f>
        <v>Cephaloziella stellulifera (Taylor ex Carrington &amp; Pearson) Croz., 1903</v>
      </c>
      <c r="P24515" s="7" t="str">
        <f>HYPERLINK("#Liste_rouge!A"&amp;_xlfn.XMATCH("LC",Liste_rouge!A:A,2,1),"LC")</f>
        <v>LC</v>
      </c>
      <c r="T24515" s="7" t="str">
        <f>HYPERLINK("#Liste_rouge!A"&amp;_xlfn.XMATCH("DD",Liste_rouge!A:A,2,1),"DD")</f>
        <v>DD</v>
      </c>
      <c r="V24515" s="7" t="str">
        <f>HYPERLINK("#Liste_rouge!A"&amp;_xlfn.XMATCH("DD",Liste_rouge!A:A,2,1),"DD")</f>
        <v>DD</v>
      </c>
      <c r="X24515" s="5" t="s">
        <v>374</v>
      </c>
      <c r="AB24515" s="4" t="s">
        <v>93</v>
      </c>
      <c r="AH24515" s="4" t="str">
        <f>HYPERLINK("#Statut_biogéographique!A"&amp;_xlfn.XMATCH("P",Statut_biogéographique!A:A,2,1),"P")</f>
        <v>P</v>
      </c>
      <c r="AP24515" s="4" t="s">
        <v>376</v>
      </c>
      <c r="AR24515" s="4" t="s">
        <v>377</v>
      </c>
    </row>
    <row r="24516" spans="1:44">
      <c r="A24516" s="4" t="s">
        <v>24364</v>
      </c>
      <c r="B24516" s="4">
        <v>96691</v>
      </c>
      <c r="D24516" s="5" t="s">
        <v>32294</v>
      </c>
      <c r="E24516" s="6" t="str">
        <f>HYPERLINK("https://inpn.mnhn.fr/espece/cd_nom/96691","Erica scoparia L., 1753")</f>
        <v>Erica scoparia L., 1753</v>
      </c>
      <c r="F24516" s="5" t="s">
        <v>32295</v>
      </c>
      <c r="Q24516" s="7" t="str">
        <f>HYPERLINK("#Liste_rouge!A"&amp;_xlfn.XMATCH("LC",Liste_rouge!A:A,2,1),"LC")</f>
        <v>LC</v>
      </c>
      <c r="T24516" s="7" t="str">
        <f>HYPERLINK("#Liste_rouge!A"&amp;_xlfn.XMATCH("NA",Liste_rouge!A:A,2,1),"NA")</f>
        <v>NA</v>
      </c>
      <c r="AH24516" s="4" t="str">
        <f>HYPERLINK("#Statut_biogéographique!A"&amp;_xlfn.XMATCH("P",Statut_biogéographique!A:A,2,1),"P")</f>
        <v>P</v>
      </c>
      <c r="AM24516" s="4" t="s">
        <v>375</v>
      </c>
      <c r="AN24516" s="4" t="s">
        <v>375</v>
      </c>
      <c r="AO24516" s="4" t="s">
        <v>375</v>
      </c>
      <c r="AP24516" s="4" t="s">
        <v>376</v>
      </c>
      <c r="AR24516" s="4" t="s">
        <v>377</v>
      </c>
    </row>
    <row r="24517" spans="1:44">
      <c r="A24517" s="4" t="s">
        <v>24364</v>
      </c>
      <c r="B24517" s="4">
        <v>966910</v>
      </c>
      <c r="D24517" s="5">
        <v>966910</v>
      </c>
      <c r="E24517" s="6" t="str">
        <f>HYPERLINK("https://inpn.mnhn.fr/espece/cd_nom/966910","Rubus adenanthoides Sudre, 1905")</f>
        <v>Rubus adenanthoides Sudre, 1905</v>
      </c>
      <c r="AH24517" s="4" t="str">
        <f>HYPERLINK("#Statut_biogéographique!A"&amp;_xlfn.XMATCH("P",Statut_biogéographique!A:A,2,1),"P")</f>
        <v>P</v>
      </c>
      <c r="AP24517" s="4" t="s">
        <v>376</v>
      </c>
      <c r="AR24517" s="4" t="s">
        <v>377</v>
      </c>
    </row>
    <row r="24518" spans="1:44" ht="30">
      <c r="A24518" s="4" t="s">
        <v>24364</v>
      </c>
      <c r="B24518" s="4">
        <v>96695</v>
      </c>
      <c r="D24518" s="5" t="s">
        <v>32296</v>
      </c>
      <c r="E24518" s="6" t="str">
        <f>HYPERLINK("https://inpn.mnhn.fr/espece/cd_nom/96695","Erica tetralix L., 1753")</f>
        <v>Erica tetralix L., 1753</v>
      </c>
      <c r="F24518" s="5" t="s">
        <v>32297</v>
      </c>
      <c r="M24518" s="4" t="str">
        <f>HYPERLINK("#Réglementation!A"&amp;_xlfn.XMATCH("RV26",Réglementation!A:A,2,1),"RV26")</f>
        <v>RV26</v>
      </c>
      <c r="Q24518" s="7" t="str">
        <f>HYPERLINK("#Liste_rouge!A"&amp;_xlfn.XMATCH("LC",Liste_rouge!A:A,2,1),"LC")</f>
        <v>LC</v>
      </c>
      <c r="T24518" s="7" t="str">
        <f>HYPERLINK("#Liste_rouge!A"&amp;_xlfn.XMATCH("EN",Liste_rouge!A:A,2,1),"EN")</f>
        <v>EN</v>
      </c>
      <c r="U24518" s="4" t="str">
        <f>HYPERLINK("#Critères_liste_rouge!A$1","B2ab(ii,iii,iv) C2a(i)")</f>
        <v>B2ab(ii,iii,iv) C2a(i)</v>
      </c>
      <c r="V24518" s="7" t="str">
        <f>HYPERLINK("#Liste_rouge!A"&amp;_xlfn.XMATCH("CR",Liste_rouge!A:A,2,1),"CR")</f>
        <v>CR</v>
      </c>
      <c r="W24518" s="4" t="str">
        <f>HYPERLINK("#Critères_liste_rouge!A$1","D")</f>
        <v>D</v>
      </c>
      <c r="X24518" s="5" t="s">
        <v>374</v>
      </c>
      <c r="AB24518" s="4" t="s">
        <v>93</v>
      </c>
      <c r="AH24518" s="4" t="str">
        <f>HYPERLINK("#Statut_biogéographique!A"&amp;_xlfn.XMATCH("P",Statut_biogéographique!A:A,2,1),"P")</f>
        <v>P</v>
      </c>
      <c r="AM24518" s="4" t="s">
        <v>375</v>
      </c>
      <c r="AN24518" s="4" t="s">
        <v>375</v>
      </c>
      <c r="AO24518" s="4" t="s">
        <v>375</v>
      </c>
      <c r="AP24518" s="4" t="s">
        <v>376</v>
      </c>
      <c r="AR24518" s="4" t="s">
        <v>377</v>
      </c>
    </row>
    <row r="24519" spans="1:44">
      <c r="A24519" s="4" t="s">
        <v>24364</v>
      </c>
      <c r="B24519" s="4">
        <v>96698</v>
      </c>
      <c r="D24519" s="5" t="s">
        <v>32298</v>
      </c>
      <c r="E24519" s="6" t="str">
        <f>HYPERLINK("https://inpn.mnhn.fr/espece/cd_nom/96698","Erica vagans L., 1770 [nom. et typ. cons.]")</f>
        <v>Erica vagans L., 1770 [nom. et typ. cons.]</v>
      </c>
      <c r="F24519" s="5" t="s">
        <v>32299</v>
      </c>
      <c r="Q24519" s="7" t="str">
        <f>HYPERLINK("#Liste_rouge!A"&amp;_xlfn.XMATCH("LC",Liste_rouge!A:A,2,1),"LC")</f>
        <v>LC</v>
      </c>
      <c r="AH24519" s="4" t="str">
        <f>HYPERLINK("#Statut_biogéographique!A"&amp;_xlfn.XMATCH("P",Statut_biogéographique!A:A,2,1),"P")</f>
        <v>P</v>
      </c>
      <c r="AP24519" s="4" t="s">
        <v>376</v>
      </c>
      <c r="AR24519" s="4" t="s">
        <v>377</v>
      </c>
    </row>
    <row r="24520" spans="1:44" ht="60">
      <c r="A24520" s="4" t="s">
        <v>24364</v>
      </c>
      <c r="B24520" s="4">
        <v>967227</v>
      </c>
      <c r="D24520" s="5" t="s">
        <v>32300</v>
      </c>
      <c r="E24520" s="6" t="str">
        <f>HYPERLINK("https://inpn.mnhn.fr/espece/cd_nom/967227","Euphorbia dulcis subsp. purpurata (Thuill.) Murr, 1923")</f>
        <v>Euphorbia dulcis subsp. purpurata (Thuill.) Murr, 1923</v>
      </c>
      <c r="F24520" s="5" t="s">
        <v>32301</v>
      </c>
      <c r="Q24520" s="7" t="str">
        <f>HYPERLINK("#Liste_rouge!A"&amp;_xlfn.XMATCH("LC",Liste_rouge!A:A,2,1),"LC")</f>
        <v>LC</v>
      </c>
      <c r="T24520" s="7" t="str">
        <f>HYPERLINK("#Liste_rouge!A"&amp;_xlfn.XMATCH("LC",Liste_rouge!A:A,2,1),"LC")</f>
        <v>LC</v>
      </c>
      <c r="AH24520" s="4" t="str">
        <f>HYPERLINK("#Statut_biogéographique!A"&amp;_xlfn.XMATCH("P",Statut_biogéographique!A:A,2,1),"P")</f>
        <v>P</v>
      </c>
      <c r="AM24520" s="4" t="s">
        <v>375</v>
      </c>
      <c r="AN24520" s="4" t="s">
        <v>375</v>
      </c>
      <c r="AO24520" s="4" t="s">
        <v>375</v>
      </c>
      <c r="AP24520" s="4" t="s">
        <v>376</v>
      </c>
      <c r="AR24520" s="4" t="s">
        <v>377</v>
      </c>
    </row>
    <row r="24521" spans="1:44" ht="75">
      <c r="A24521" s="4" t="s">
        <v>24364</v>
      </c>
      <c r="B24521" s="4">
        <v>96736</v>
      </c>
      <c r="D24521" s="5" t="s">
        <v>32302</v>
      </c>
      <c r="E24521" s="6" t="str">
        <f>HYPERLINK("https://inpn.mnhn.fr/espece/cd_nom/96736","Erigeron alpinus L., 1753")</f>
        <v>Erigeron alpinus L., 1753</v>
      </c>
      <c r="F24521" s="5" t="s">
        <v>32303</v>
      </c>
      <c r="Q24521" s="7" t="str">
        <f>HYPERLINK("#Liste_rouge!A"&amp;_xlfn.XMATCH("LC",Liste_rouge!A:A,2,1),"LC")</f>
        <v>LC</v>
      </c>
      <c r="V24521" s="7" t="str">
        <f>HYPERLINK("#Liste_rouge!A"&amp;_xlfn.XMATCH("EN",Liste_rouge!A:A,2,1),"EN")</f>
        <v>EN</v>
      </c>
      <c r="W24521" s="4" t="str">
        <f>HYPERLINK("#Critères_liste_rouge!A$1","D")</f>
        <v>D</v>
      </c>
      <c r="X24521" s="5" t="s">
        <v>374</v>
      </c>
      <c r="AB24521" s="4" t="s">
        <v>93</v>
      </c>
      <c r="AH24521" s="4" t="str">
        <f>HYPERLINK("#Statut_biogéographique!A"&amp;_xlfn.XMATCH("P",Statut_biogéographique!A:A,2,1),"P")</f>
        <v>P</v>
      </c>
      <c r="AM24521" s="4" t="s">
        <v>375</v>
      </c>
      <c r="AN24521" s="4" t="s">
        <v>375</v>
      </c>
      <c r="AO24521" s="4" t="s">
        <v>375</v>
      </c>
      <c r="AP24521" s="4" t="s">
        <v>376</v>
      </c>
      <c r="AR24521" s="4" t="s">
        <v>377</v>
      </c>
    </row>
    <row r="24522" spans="1:44" ht="75">
      <c r="A24522" s="4" t="s">
        <v>24364</v>
      </c>
      <c r="B24522" s="4">
        <v>96739</v>
      </c>
      <c r="D24522" s="5" t="s">
        <v>32304</v>
      </c>
      <c r="E24522" s="6" t="str">
        <f>HYPERLINK("https://inpn.mnhn.fr/espece/cd_nom/96739","Erigeron annuus (L.) Desf., 1804")</f>
        <v>Erigeron annuus (L.) Desf., 1804</v>
      </c>
      <c r="F24522" s="5" t="s">
        <v>32305</v>
      </c>
      <c r="Q24522" s="7" t="str">
        <f>HYPERLINK("#Liste_rouge!A"&amp;_xlfn.XMATCH("NA",Liste_rouge!A:A,2,1),"NA")</f>
        <v>NA</v>
      </c>
      <c r="T24522" s="7" t="str">
        <f>HYPERLINK("#Liste_rouge!A"&amp;_xlfn.XMATCH("NA",Liste_rouge!A:A,2,1),"NA")</f>
        <v>NA</v>
      </c>
      <c r="AH24522" s="4" t="str">
        <f>HYPERLINK("#Statut_biogéographique!A"&amp;_xlfn.XMATCH("I",Statut_biogéographique!A:A,2,1),"I")</f>
        <v>I</v>
      </c>
      <c r="AM24522" s="4" t="s">
        <v>375</v>
      </c>
      <c r="AN24522" s="4" t="s">
        <v>375</v>
      </c>
      <c r="AO24522" s="4" t="s">
        <v>375</v>
      </c>
      <c r="AP24522" s="4" t="s">
        <v>376</v>
      </c>
      <c r="AR24522" s="4" t="s">
        <v>377</v>
      </c>
    </row>
    <row r="24523" spans="1:44" ht="30">
      <c r="A24523" s="4" t="s">
        <v>24364</v>
      </c>
      <c r="B24523" s="4">
        <v>967395</v>
      </c>
      <c r="D24523" s="5" t="s">
        <v>32306</v>
      </c>
      <c r="E24523" s="6" t="str">
        <f>HYPERLINK("https://inpn.mnhn.fr/espece/cd_nom/967395","Ptychostomum kunzei (Hornsch.) J.R.Spence, 2007")</f>
        <v>Ptychostomum kunzei (Hornsch.) J.R.Spence, 2007</v>
      </c>
      <c r="P24523" s="7" t="str">
        <f>HYPERLINK("#Liste_rouge!A"&amp;_xlfn.XMATCH("LC",Liste_rouge!A:A,2,1),"LC")</f>
        <v>LC</v>
      </c>
      <c r="V24523" s="7" t="str">
        <f>HYPERLINK("#Liste_rouge!A"&amp;_xlfn.XMATCH("DD",Liste_rouge!A:A,2,1),"DD")</f>
        <v>DD</v>
      </c>
      <c r="AH24523" s="4" t="str">
        <f>HYPERLINK("#Statut_biogéographique!A"&amp;_xlfn.XMATCH("P",Statut_biogéographique!A:A,2,1),"P")</f>
        <v>P</v>
      </c>
      <c r="AP24523" s="4" t="s">
        <v>376</v>
      </c>
      <c r="AR24523" s="4" t="s">
        <v>377</v>
      </c>
    </row>
    <row r="24524" spans="1:44" ht="60">
      <c r="A24524" s="4" t="s">
        <v>24364</v>
      </c>
      <c r="B24524" s="4">
        <v>96746</v>
      </c>
      <c r="D24524" s="5" t="s">
        <v>32307</v>
      </c>
      <c r="E24524" s="6" t="str">
        <f>HYPERLINK("https://inpn.mnhn.fr/espece/cd_nom/96746","Erigeron bonariensis L., 1753")</f>
        <v>Erigeron bonariensis L., 1753</v>
      </c>
      <c r="F24524" s="5" t="s">
        <v>32308</v>
      </c>
      <c r="Q24524" s="7" t="str">
        <f>HYPERLINK("#Liste_rouge!A"&amp;_xlfn.XMATCH("NA",Liste_rouge!A:A,2,1),"NA")</f>
        <v>NA</v>
      </c>
      <c r="T24524" s="7" t="str">
        <f>HYPERLINK("#Liste_rouge!A"&amp;_xlfn.XMATCH("NA",Liste_rouge!A:A,2,1),"NA")</f>
        <v>NA</v>
      </c>
      <c r="AH24524" s="4" t="str">
        <f>HYPERLINK("#Statut_biogéographique!A"&amp;_xlfn.XMATCH("I",Statut_biogéographique!A:A,2,1),"I")</f>
        <v>I</v>
      </c>
      <c r="AP24524" s="4" t="s">
        <v>376</v>
      </c>
      <c r="AR24524" s="4" t="s">
        <v>377</v>
      </c>
    </row>
    <row r="24525" spans="1:44" ht="60">
      <c r="A24525" s="4" t="s">
        <v>24364</v>
      </c>
      <c r="B24525" s="4">
        <v>96749</v>
      </c>
      <c r="D24525" s="5" t="s">
        <v>32309</v>
      </c>
      <c r="E24525" s="6" t="str">
        <f>HYPERLINK("https://inpn.mnhn.fr/espece/cd_nom/96749","Erigeron canadensis L., 1753")</f>
        <v>Erigeron canadensis L., 1753</v>
      </c>
      <c r="F24525" s="5" t="s">
        <v>32310</v>
      </c>
      <c r="Q24525" s="7" t="str">
        <f>HYPERLINK("#Liste_rouge!A"&amp;_xlfn.XMATCH("NA",Liste_rouge!A:A,2,1),"NA")</f>
        <v>NA</v>
      </c>
      <c r="T24525" s="7" t="str">
        <f>HYPERLINK("#Liste_rouge!A"&amp;_xlfn.XMATCH("NA",Liste_rouge!A:A,2,1),"NA")</f>
        <v>NA</v>
      </c>
      <c r="AH24525" s="4" t="str">
        <f>HYPERLINK("#Statut_biogéographique!A"&amp;_xlfn.XMATCH("I",Statut_biogéographique!A:A,2,1),"I")</f>
        <v>I</v>
      </c>
      <c r="AM24525" s="4" t="s">
        <v>375</v>
      </c>
      <c r="AN24525" s="4" t="s">
        <v>375</v>
      </c>
      <c r="AO24525" s="4" t="s">
        <v>375</v>
      </c>
      <c r="AP24525" s="4" t="s">
        <v>376</v>
      </c>
      <c r="AR24525" s="4" t="s">
        <v>377</v>
      </c>
    </row>
    <row r="24526" spans="1:44" ht="30">
      <c r="A24526" s="4" t="s">
        <v>24364</v>
      </c>
      <c r="B24526" s="4">
        <v>967602</v>
      </c>
      <c r="D24526" s="5">
        <v>967602</v>
      </c>
      <c r="E24526" s="6" t="str">
        <f>HYPERLINK("https://inpn.mnhn.fr/espece/cd_nom/967602","Hieracium praetensum Arv.-Touv. &amp; Briq., 1899")</f>
        <v>Hieracium praetensum Arv.-Touv. &amp; Briq., 1899</v>
      </c>
      <c r="AH24526" s="4" t="str">
        <f>HYPERLINK("#Statut_biogéographique!A"&amp;_xlfn.XMATCH("P",Statut_biogéographique!A:A,2,1),"P")</f>
        <v>P</v>
      </c>
      <c r="AP24526" s="4" t="s">
        <v>376</v>
      </c>
      <c r="AR24526" s="4" t="s">
        <v>377</v>
      </c>
    </row>
    <row r="24527" spans="1:44" ht="30">
      <c r="A24527" s="4" t="s">
        <v>24364</v>
      </c>
      <c r="B24527" s="4">
        <v>96775</v>
      </c>
      <c r="D24527" s="5" t="s">
        <v>32311</v>
      </c>
      <c r="E24527" s="6" t="str">
        <f>HYPERLINK("https://inpn.mnhn.fr/espece/cd_nom/96775","Erigeron karvinskianus DC., 1836")</f>
        <v>Erigeron karvinskianus DC., 1836</v>
      </c>
      <c r="F24527" s="5" t="s">
        <v>32312</v>
      </c>
      <c r="Q24527" s="7" t="str">
        <f>HYPERLINK("#Liste_rouge!A"&amp;_xlfn.XMATCH("NA",Liste_rouge!A:A,2,1),"NA")</f>
        <v>NA</v>
      </c>
      <c r="AH24527" s="4" t="str">
        <f>HYPERLINK("#Statut_biogéographique!A"&amp;_xlfn.XMATCH("I",Statut_biogéographique!A:A,2,1),"I")</f>
        <v>I</v>
      </c>
      <c r="AP24527" s="4" t="s">
        <v>376</v>
      </c>
      <c r="AR24527" s="4" t="s">
        <v>377</v>
      </c>
    </row>
    <row r="24528" spans="1:44" ht="45">
      <c r="A24528" s="4" t="s">
        <v>24364</v>
      </c>
      <c r="B24528" s="4">
        <v>96813</v>
      </c>
      <c r="D24528" s="5" t="s">
        <v>32313</v>
      </c>
      <c r="E24528" s="6" t="str">
        <f>HYPERLINK("https://inpn.mnhn.fr/espece/cd_nom/96813","Erigeron strigosus Muhl. ex Willd., 1803")</f>
        <v>Erigeron strigosus Muhl. ex Willd., 1803</v>
      </c>
      <c r="F24528" s="5" t="s">
        <v>32314</v>
      </c>
      <c r="AH24528" s="4" t="str">
        <f>HYPERLINK("#Statut_biogéographique!A"&amp;_xlfn.XMATCH("Q",Statut_biogéographique!A:A,2,1),"Q")</f>
        <v>Q</v>
      </c>
      <c r="AM24528" s="4" t="s">
        <v>375</v>
      </c>
      <c r="AN24528" s="4" t="s">
        <v>375</v>
      </c>
      <c r="AO24528" s="4" t="s">
        <v>375</v>
      </c>
      <c r="AP24528" s="4" t="s">
        <v>376</v>
      </c>
      <c r="AR24528" s="4" t="s">
        <v>377</v>
      </c>
    </row>
    <row r="24529" spans="1:44" ht="45">
      <c r="A24529" s="4" t="s">
        <v>24364</v>
      </c>
      <c r="B24529" s="4">
        <v>96814</v>
      </c>
      <c r="D24529" s="5" t="s">
        <v>32315</v>
      </c>
      <c r="E24529" s="6" t="str">
        <f>HYPERLINK("https://inpn.mnhn.fr/espece/cd_nom/96814","Erigeron sumatrensis Retz., 1810")</f>
        <v>Erigeron sumatrensis Retz., 1810</v>
      </c>
      <c r="F24529" s="5" t="s">
        <v>32316</v>
      </c>
      <c r="Q24529" s="7" t="str">
        <f>HYPERLINK("#Liste_rouge!A"&amp;_xlfn.XMATCH("NA",Liste_rouge!A:A,2,1),"NA")</f>
        <v>NA</v>
      </c>
      <c r="T24529" s="7" t="str">
        <f>HYPERLINK("#Liste_rouge!A"&amp;_xlfn.XMATCH("NA",Liste_rouge!A:A,2,1),"NA")</f>
        <v>NA</v>
      </c>
      <c r="AH24529" s="4" t="str">
        <f>HYPERLINK("#Statut_biogéographique!A"&amp;_xlfn.XMATCH("I",Statut_biogéographique!A:A,2,1),"I")</f>
        <v>I</v>
      </c>
      <c r="AM24529" s="4" t="s">
        <v>375</v>
      </c>
      <c r="AN24529" s="4" t="s">
        <v>375</v>
      </c>
      <c r="AO24529" s="4" t="s">
        <v>375</v>
      </c>
      <c r="AP24529" s="4" t="s">
        <v>376</v>
      </c>
      <c r="AR24529" s="4" t="s">
        <v>377</v>
      </c>
    </row>
    <row r="24530" spans="1:44">
      <c r="A24530" s="4" t="s">
        <v>24364</v>
      </c>
      <c r="B24530" s="4">
        <v>96834</v>
      </c>
      <c r="D24530" s="5" t="s">
        <v>32317</v>
      </c>
      <c r="E24530" s="6" t="str">
        <f>HYPERLINK("https://inpn.mnhn.fr/espece/cd_nom/96834","Erinus alpinus L., 1753")</f>
        <v>Erinus alpinus L., 1753</v>
      </c>
      <c r="F24530" s="5" t="s">
        <v>32318</v>
      </c>
      <c r="Q24530" s="7" t="str">
        <f>HYPERLINK("#Liste_rouge!A"&amp;_xlfn.XMATCH("LC",Liste_rouge!A:A,2,1),"LC")</f>
        <v>LC</v>
      </c>
      <c r="T24530" s="7" t="str">
        <f>HYPERLINK("#Liste_rouge!A"&amp;_xlfn.XMATCH("NA",Liste_rouge!A:A,2,1),"NA")</f>
        <v>NA</v>
      </c>
      <c r="V24530" s="7" t="str">
        <f>HYPERLINK("#Liste_rouge!A"&amp;_xlfn.XMATCH("LC",Liste_rouge!A:A,2,1),"LC")</f>
        <v>LC</v>
      </c>
      <c r="AB24530" s="4" t="s">
        <v>24447</v>
      </c>
      <c r="AH24530" s="4" t="str">
        <f>HYPERLINK("#Statut_biogéographique!A"&amp;_xlfn.XMATCH("P",Statut_biogéographique!A:A,2,1),"P")</f>
        <v>P</v>
      </c>
      <c r="AM24530" s="4" t="s">
        <v>375</v>
      </c>
      <c r="AN24530" s="4" t="s">
        <v>375</v>
      </c>
      <c r="AO24530" s="4" t="s">
        <v>375</v>
      </c>
      <c r="AP24530" s="4" t="s">
        <v>376</v>
      </c>
      <c r="AR24530" s="4" t="s">
        <v>377</v>
      </c>
    </row>
    <row r="24531" spans="1:44">
      <c r="A24531" s="4" t="s">
        <v>24364</v>
      </c>
      <c r="B24531" s="4">
        <v>968354</v>
      </c>
      <c r="D24531" s="5" t="s">
        <v>32319</v>
      </c>
      <c r="E24531" s="6" t="str">
        <f>HYPERLINK("https://inpn.mnhn.fr/espece/cd_nom/968354","Muscari racemosum Mill., 1768")</f>
        <v>Muscari racemosum Mill., 1768</v>
      </c>
      <c r="AH24531" s="4" t="str">
        <f>HYPERLINK("#Statut_biogéographique!A"&amp;_xlfn.XMATCH("M",Statut_biogéographique!A:A,2,1),"M")</f>
        <v>M</v>
      </c>
      <c r="AP24531" s="4" t="s">
        <v>376</v>
      </c>
      <c r="AR24531" s="4" t="s">
        <v>377</v>
      </c>
    </row>
    <row r="24532" spans="1:44" ht="60">
      <c r="A24532" s="4" t="s">
        <v>24364</v>
      </c>
      <c r="B24532" s="4">
        <v>96844</v>
      </c>
      <c r="D24532" s="5" t="s">
        <v>32320</v>
      </c>
      <c r="E24532" s="6" t="str">
        <f>HYPERLINK("https://inpn.mnhn.fr/espece/cd_nom/96844","Eriophorum angustifolium Honck., 1782")</f>
        <v>Eriophorum angustifolium Honck., 1782</v>
      </c>
      <c r="F24532" s="5" t="s">
        <v>32321</v>
      </c>
      <c r="O24532" s="7" t="str">
        <f>HYPERLINK("#Liste_rouge!A"&amp;_xlfn.XMATCH("LC",Liste_rouge!A:A,2,1),"LC")</f>
        <v>LC</v>
      </c>
      <c r="P24532" s="7" t="str">
        <f>HYPERLINK("#Liste_rouge!A"&amp;_xlfn.XMATCH("LC",Liste_rouge!A:A,2,1),"LC")</f>
        <v>LC</v>
      </c>
      <c r="Q24532" s="7" t="str">
        <f>HYPERLINK("#Liste_rouge!A"&amp;_xlfn.XMATCH("LC",Liste_rouge!A:A,2,1),"LC")</f>
        <v>LC</v>
      </c>
      <c r="T24532" s="7" t="str">
        <f>HYPERLINK("#Liste_rouge!A"&amp;_xlfn.XMATCH("LC",Liste_rouge!A:A,2,1),"LC")</f>
        <v>LC</v>
      </c>
      <c r="V24532" s="7" t="str">
        <f>HYPERLINK("#Liste_rouge!A"&amp;_xlfn.XMATCH("LC",Liste_rouge!A:A,2,1),"LC")</f>
        <v>LC</v>
      </c>
      <c r="AB24532" s="4" t="s">
        <v>24634</v>
      </c>
      <c r="AH24532" s="4" t="str">
        <f>HYPERLINK("#Statut_biogéographique!A"&amp;_xlfn.XMATCH("P",Statut_biogéographique!A:A,2,1),"P")</f>
        <v>P</v>
      </c>
      <c r="AM24532" s="4" t="s">
        <v>375</v>
      </c>
      <c r="AN24532" s="4" t="s">
        <v>375</v>
      </c>
      <c r="AO24532" s="4" t="s">
        <v>375</v>
      </c>
      <c r="AP24532" s="4" t="s">
        <v>376</v>
      </c>
      <c r="AR24532" s="4" t="s">
        <v>377</v>
      </c>
    </row>
    <row r="24533" spans="1:44" ht="30">
      <c r="A24533" s="4" t="s">
        <v>24364</v>
      </c>
      <c r="B24533" s="4">
        <v>96851</v>
      </c>
      <c r="D24533" s="5" t="s">
        <v>32322</v>
      </c>
      <c r="E24533" s="6" t="str">
        <f>HYPERLINK("https://inpn.mnhn.fr/espece/cd_nom/96851","Eriophorum gracile Koch ex Roth, 1806")</f>
        <v>Eriophorum gracile Koch ex Roth, 1806</v>
      </c>
      <c r="F24533" s="5" t="s">
        <v>32323</v>
      </c>
      <c r="L24533" s="4" t="str">
        <f>HYPERLINK("#Réglementation!A"&amp;_xlfn.XMATCH("NV1",Réglementation!A:A,2,1),"NV1")</f>
        <v>NV1</v>
      </c>
      <c r="P24533" s="7" t="str">
        <f>HYPERLINK("#Liste_rouge!A"&amp;_xlfn.XMATCH("NT",Liste_rouge!A:A,2,1),"NT")</f>
        <v>NT</v>
      </c>
      <c r="Q24533" s="7" t="str">
        <f>HYPERLINK("#Liste_rouge!A"&amp;_xlfn.XMATCH("VU",Liste_rouge!A:A,2,1),"VU")</f>
        <v>VU</v>
      </c>
      <c r="T24533" s="7" t="str">
        <f>HYPERLINK("#Liste_rouge!A"&amp;_xlfn.XMATCH("RE",Liste_rouge!A:A,2,1),"RE")</f>
        <v>RE</v>
      </c>
      <c r="V24533" s="7" t="str">
        <f>HYPERLINK("#Liste_rouge!A"&amp;_xlfn.XMATCH("VU",Liste_rouge!A:A,2,1),"VU")</f>
        <v>VU</v>
      </c>
      <c r="W24533" s="4" t="str">
        <f>HYPERLINK("#Critères_liste_rouge!A$1","B2ac(iv)")</f>
        <v>B2ac(iv)</v>
      </c>
      <c r="X24533" s="5" t="s">
        <v>374</v>
      </c>
      <c r="AB24533" s="4" t="s">
        <v>93</v>
      </c>
      <c r="AE24533" s="4" t="str">
        <f>HYPERLINK("#SCAP!A"&amp;_xlfn.XMATCH("A",SCAP!A:A,2,1),"A")</f>
        <v>A</v>
      </c>
      <c r="AH24533" s="4" t="str">
        <f>HYPERLINK("#Statut_biogéographique!A"&amp;_xlfn.XMATCH("P",Statut_biogéographique!A:A,2,1),"P")</f>
        <v>P</v>
      </c>
      <c r="AM24533" s="4" t="s">
        <v>375</v>
      </c>
      <c r="AN24533" s="4" t="s">
        <v>375</v>
      </c>
      <c r="AO24533" s="4" t="s">
        <v>375</v>
      </c>
      <c r="AP24533" s="4" t="s">
        <v>389</v>
      </c>
      <c r="AR24533" s="4" t="s">
        <v>377</v>
      </c>
    </row>
    <row r="24534" spans="1:44">
      <c r="A24534" s="4" t="s">
        <v>24364</v>
      </c>
      <c r="B24534" s="4">
        <v>96852</v>
      </c>
      <c r="D24534" s="5" t="s">
        <v>32324</v>
      </c>
      <c r="E24534" s="6" t="str">
        <f>HYPERLINK("https://inpn.mnhn.fr/espece/cd_nom/96852","Eriophorum latifolium Hoppe, 1800")</f>
        <v>Eriophorum latifolium Hoppe, 1800</v>
      </c>
      <c r="F24534" s="5" t="s">
        <v>32325</v>
      </c>
      <c r="O24534" s="7" t="str">
        <f>HYPERLINK("#Liste_rouge!A"&amp;_xlfn.XMATCH("LC",Liste_rouge!A:A,2,1),"LC")</f>
        <v>LC</v>
      </c>
      <c r="Q24534" s="7" t="str">
        <f>HYPERLINK("#Liste_rouge!A"&amp;_xlfn.XMATCH("LC",Liste_rouge!A:A,2,1),"LC")</f>
        <v>LC</v>
      </c>
      <c r="T24534" s="7" t="str">
        <f>HYPERLINK("#Liste_rouge!A"&amp;_xlfn.XMATCH("EN",Liste_rouge!A:A,2,1),"EN")</f>
        <v>EN</v>
      </c>
      <c r="U24534" s="4" t="str">
        <f>HYPERLINK("#Critères_liste_rouge!A$1","B2ab(ii,iii,iv)")</f>
        <v>B2ab(ii,iii,iv)</v>
      </c>
      <c r="V24534" s="7" t="str">
        <f>HYPERLINK("#Liste_rouge!A"&amp;_xlfn.XMATCH("LC",Liste_rouge!A:A,2,1),"LC")</f>
        <v>LC</v>
      </c>
      <c r="AB24534" s="4" t="s">
        <v>24418</v>
      </c>
      <c r="AH24534" s="4" t="str">
        <f>HYPERLINK("#Statut_biogéographique!A"&amp;_xlfn.XMATCH("P",Statut_biogéographique!A:A,2,1),"P")</f>
        <v>P</v>
      </c>
      <c r="AM24534" s="4" t="s">
        <v>375</v>
      </c>
      <c r="AN24534" s="4" t="s">
        <v>375</v>
      </c>
      <c r="AO24534" s="4" t="s">
        <v>375</v>
      </c>
      <c r="AP24534" s="4" t="s">
        <v>376</v>
      </c>
      <c r="AR24534" s="4" t="s">
        <v>377</v>
      </c>
    </row>
    <row r="24535" spans="1:44" ht="45">
      <c r="A24535" s="4" t="s">
        <v>24364</v>
      </c>
      <c r="B24535" s="4">
        <v>96861</v>
      </c>
      <c r="D24535" s="5" t="s">
        <v>32326</v>
      </c>
      <c r="E24535" s="6" t="str">
        <f>HYPERLINK("https://inpn.mnhn.fr/espece/cd_nom/96861","Eriophorum vaginatum L., 1753")</f>
        <v>Eriophorum vaginatum L., 1753</v>
      </c>
      <c r="F24535" s="5" t="s">
        <v>32327</v>
      </c>
      <c r="M24535" s="4" t="str">
        <f>HYPERLINK("#Réglementation!A"&amp;_xlfn.XMATCH("RV26",Réglementation!A:A,2,1),"RV26")</f>
        <v>RV26</v>
      </c>
      <c r="O24535" s="7" t="str">
        <f>HYPERLINK("#Liste_rouge!A"&amp;_xlfn.XMATCH("LC",Liste_rouge!A:A,2,1),"LC")</f>
        <v>LC</v>
      </c>
      <c r="Q24535" s="7" t="str">
        <f>HYPERLINK("#Liste_rouge!A"&amp;_xlfn.XMATCH("LC",Liste_rouge!A:A,2,1),"LC")</f>
        <v>LC</v>
      </c>
      <c r="T24535" s="7" t="str">
        <f>HYPERLINK("#Liste_rouge!A"&amp;_xlfn.XMATCH("EN",Liste_rouge!A:A,2,1),"EN")</f>
        <v>EN</v>
      </c>
      <c r="U24535" s="4" t="str">
        <f>HYPERLINK("#Critères_liste_rouge!A$1","B2ab(ii,iii,iv)")</f>
        <v>B2ab(ii,iii,iv)</v>
      </c>
      <c r="V24535" s="7" t="str">
        <f>HYPERLINK("#Liste_rouge!A"&amp;_xlfn.XMATCH("LC",Liste_rouge!A:A,2,1),"LC")</f>
        <v>LC</v>
      </c>
      <c r="AB24535" s="4" t="s">
        <v>25294</v>
      </c>
      <c r="AH24535" s="4" t="str">
        <f>HYPERLINK("#Statut_biogéographique!A"&amp;_xlfn.XMATCH("P",Statut_biogéographique!A:A,2,1),"P")</f>
        <v>P</v>
      </c>
      <c r="AM24535" s="4" t="s">
        <v>375</v>
      </c>
      <c r="AN24535" s="4" t="s">
        <v>375</v>
      </c>
      <c r="AO24535" s="4" t="s">
        <v>375</v>
      </c>
      <c r="AP24535" s="4" t="s">
        <v>376</v>
      </c>
      <c r="AR24535" s="4" t="s">
        <v>377</v>
      </c>
    </row>
    <row r="24536" spans="1:44" ht="60">
      <c r="A24536" s="4" t="s">
        <v>24364</v>
      </c>
      <c r="B24536" s="4">
        <v>96893</v>
      </c>
      <c r="D24536" s="5" t="s">
        <v>32328</v>
      </c>
      <c r="E24536" s="6" t="str">
        <f>HYPERLINK("https://inpn.mnhn.fr/espece/cd_nom/96893","Erodium chium (L.) Willd., 1794")</f>
        <v>Erodium chium (L.) Willd., 1794</v>
      </c>
      <c r="F24536" s="5" t="s">
        <v>32329</v>
      </c>
      <c r="Q24536" s="7" t="str">
        <f>HYPERLINK("#Liste_rouge!A"&amp;_xlfn.XMATCH("LC",Liste_rouge!A:A,2,1),"LC")</f>
        <v>LC</v>
      </c>
      <c r="AH24536" s="4" t="str">
        <f>HYPERLINK("#Statut_biogéographique!A"&amp;_xlfn.XMATCH("P",Statut_biogéographique!A:A,2,1),"P")</f>
        <v>P</v>
      </c>
      <c r="AP24536" s="4" t="s">
        <v>376</v>
      </c>
      <c r="AR24536" s="4" t="s">
        <v>377</v>
      </c>
    </row>
    <row r="24537" spans="1:44" ht="30">
      <c r="A24537" s="4" t="s">
        <v>24364</v>
      </c>
      <c r="B24537" s="4">
        <v>96894</v>
      </c>
      <c r="D24537" s="5" t="s">
        <v>32330</v>
      </c>
      <c r="E24537" s="6" t="str">
        <f>HYPERLINK("https://inpn.mnhn.fr/espece/cd_nom/96894","Erodium ciconium (L.) L'Hér., 1789")</f>
        <v>Erodium ciconium (L.) L'Hér., 1789</v>
      </c>
      <c r="F24537" s="5" t="s">
        <v>32331</v>
      </c>
      <c r="Q24537" s="7" t="str">
        <f>HYPERLINK("#Liste_rouge!A"&amp;_xlfn.XMATCH("LC",Liste_rouge!A:A,2,1),"LC")</f>
        <v>LC</v>
      </c>
      <c r="T24537" s="7" t="str">
        <f>HYPERLINK("#Liste_rouge!A"&amp;_xlfn.XMATCH("NA",Liste_rouge!A:A,2,1),"NA")</f>
        <v>NA</v>
      </c>
      <c r="AH24537" s="4" t="str">
        <f>HYPERLINK("#Statut_biogéographique!A"&amp;_xlfn.XMATCH("P",Statut_biogéographique!A:A,2,1),"P")</f>
        <v>P</v>
      </c>
      <c r="AP24537" s="4" t="s">
        <v>376</v>
      </c>
      <c r="AR24537" s="4" t="s">
        <v>377</v>
      </c>
    </row>
    <row r="24538" spans="1:44">
      <c r="A24538" s="4" t="s">
        <v>24364</v>
      </c>
      <c r="B24538" s="4">
        <v>96895</v>
      </c>
      <c r="D24538" s="5" t="s">
        <v>32332</v>
      </c>
      <c r="E24538" s="6" t="str">
        <f>HYPERLINK("https://inpn.mnhn.fr/espece/cd_nom/96895","Erodium cicutarium (L.) L'Hér., 1789")</f>
        <v>Erodium cicutarium (L.) L'Hér., 1789</v>
      </c>
      <c r="F24538" s="5" t="s">
        <v>28509</v>
      </c>
      <c r="Q24538" s="7" t="str">
        <f>HYPERLINK("#Liste_rouge!A"&amp;_xlfn.XMATCH("LC",Liste_rouge!A:A,2,1),"LC")</f>
        <v>LC</v>
      </c>
      <c r="T24538" s="7" t="str">
        <f>HYPERLINK("#Liste_rouge!A"&amp;_xlfn.XMATCH("LC",Liste_rouge!A:A,2,1),"LC")</f>
        <v>LC</v>
      </c>
      <c r="V24538" s="7" t="str">
        <f>HYPERLINK("#Liste_rouge!A"&amp;_xlfn.XMATCH("LC",Liste_rouge!A:A,2,1),"LC")</f>
        <v>LC</v>
      </c>
      <c r="AH24538" s="4" t="str">
        <f>HYPERLINK("#Statut_biogéographique!A"&amp;_xlfn.XMATCH("P",Statut_biogéographique!A:A,2,1),"P")</f>
        <v>P</v>
      </c>
      <c r="AM24538" s="4" t="s">
        <v>375</v>
      </c>
      <c r="AN24538" s="4" t="s">
        <v>375</v>
      </c>
      <c r="AO24538" s="4" t="s">
        <v>375</v>
      </c>
      <c r="AP24538" s="4" t="s">
        <v>376</v>
      </c>
      <c r="AR24538" s="4" t="s">
        <v>377</v>
      </c>
    </row>
    <row r="24539" spans="1:44" ht="30">
      <c r="A24539" s="4" t="s">
        <v>24364</v>
      </c>
      <c r="B24539" s="4">
        <v>96919</v>
      </c>
      <c r="D24539" s="5" t="s">
        <v>32333</v>
      </c>
      <c r="E24539" s="6" t="str">
        <f>HYPERLINK("https://inpn.mnhn.fr/espece/cd_nom/96919","Erodium malacoides (L.) L'Hér., 1789")</f>
        <v>Erodium malacoides (L.) L'Hér., 1789</v>
      </c>
      <c r="F24539" s="5" t="s">
        <v>32334</v>
      </c>
      <c r="Q24539" s="7" t="str">
        <f>HYPERLINK("#Liste_rouge!A"&amp;_xlfn.XMATCH("LC",Liste_rouge!A:A,2,1),"LC")</f>
        <v>LC</v>
      </c>
      <c r="T24539" s="7" t="str">
        <f>HYPERLINK("#Liste_rouge!A"&amp;_xlfn.XMATCH("NA",Liste_rouge!A:A,2,1),"NA")</f>
        <v>NA</v>
      </c>
      <c r="AH24539" s="4" t="str">
        <f>HYPERLINK("#Statut_biogéographique!A"&amp;_xlfn.XMATCH("P",Statut_biogéographique!A:A,2,1),"P")</f>
        <v>P</v>
      </c>
      <c r="AP24539" s="4" t="s">
        <v>376</v>
      </c>
      <c r="AR24539" s="4" t="s">
        <v>377</v>
      </c>
    </row>
    <row r="24540" spans="1:44" ht="30">
      <c r="A24540" s="4" t="s">
        <v>24364</v>
      </c>
      <c r="B24540" s="4">
        <v>96925</v>
      </c>
      <c r="D24540" s="5" t="s">
        <v>32335</v>
      </c>
      <c r="E24540" s="6" t="str">
        <f>HYPERLINK("https://inpn.mnhn.fr/espece/cd_nom/96925","Erodium moschatum (L.) L'Hér., 1789")</f>
        <v>Erodium moschatum (L.) L'Hér., 1789</v>
      </c>
      <c r="F24540" s="5" t="s">
        <v>32336</v>
      </c>
      <c r="Q24540" s="7" t="str">
        <f>HYPERLINK("#Liste_rouge!A"&amp;_xlfn.XMATCH("LC",Liste_rouge!A:A,2,1),"LC")</f>
        <v>LC</v>
      </c>
      <c r="AH24540" s="4" t="str">
        <f>HYPERLINK("#Statut_biogéographique!A"&amp;_xlfn.XMATCH("P",Statut_biogéographique!A:A,2,1),"P")</f>
        <v>P</v>
      </c>
      <c r="AP24540" s="4" t="s">
        <v>376</v>
      </c>
      <c r="AR24540" s="4" t="s">
        <v>377</v>
      </c>
    </row>
    <row r="24541" spans="1:44">
      <c r="A24541" s="4" t="s">
        <v>24364</v>
      </c>
      <c r="B24541" s="4">
        <v>969587</v>
      </c>
      <c r="D24541" s="5">
        <v>969587</v>
      </c>
      <c r="E24541" s="6" t="str">
        <f>HYPERLINK("https://inpn.mnhn.fr/espece/cd_nom/969587","Vitis berlandieri x Vitis riparia ")</f>
        <v xml:space="preserve">Vitis berlandieri x Vitis riparia </v>
      </c>
      <c r="AH24541" s="4" t="str">
        <f>HYPERLINK("#Statut_biogéographique!A"&amp;_xlfn.XMATCH("I",Statut_biogéographique!A:A,2,1),"I")</f>
        <v>I</v>
      </c>
      <c r="AP24541" s="4" t="s">
        <v>376</v>
      </c>
      <c r="AR24541" s="4" t="s">
        <v>377</v>
      </c>
    </row>
    <row r="24542" spans="1:44">
      <c r="A24542" s="4" t="s">
        <v>24364</v>
      </c>
      <c r="B24542" s="4">
        <v>969591</v>
      </c>
      <c r="D24542" s="5">
        <v>969591</v>
      </c>
      <c r="E24542" s="6" t="str">
        <f>HYPERLINK("https://inpn.mnhn.fr/espece/cd_nom/969591","Vitis labrusca x Vitis riparia ")</f>
        <v xml:space="preserve">Vitis labrusca x Vitis riparia </v>
      </c>
      <c r="AH24542" s="4" t="str">
        <f>HYPERLINK("#Statut_biogéographique!A"&amp;_xlfn.XMATCH("I",Statut_biogéographique!A:A,2,1),"I")</f>
        <v>I</v>
      </c>
      <c r="AP24542" s="4" t="s">
        <v>376</v>
      </c>
      <c r="AR24542" s="4" t="s">
        <v>377</v>
      </c>
    </row>
    <row r="24543" spans="1:44">
      <c r="A24543" s="4" t="s">
        <v>24364</v>
      </c>
      <c r="B24543" s="4">
        <v>969593</v>
      </c>
      <c r="D24543" s="5">
        <v>969593</v>
      </c>
      <c r="E24543" s="6" t="str">
        <f>HYPERLINK("https://inpn.mnhn.fr/espece/cd_nom/969593","Vitis riparia x Vitis vinifera ")</f>
        <v xml:space="preserve">Vitis riparia x Vitis vinifera </v>
      </c>
      <c r="AH24543" s="4" t="str">
        <f>HYPERLINK("#Statut_biogéographique!A"&amp;_xlfn.XMATCH("I",Statut_biogéographique!A:A,2,1),"I")</f>
        <v>I</v>
      </c>
      <c r="AP24543" s="4" t="s">
        <v>376</v>
      </c>
      <c r="AR24543" s="4" t="s">
        <v>377</v>
      </c>
    </row>
    <row r="24544" spans="1:44" ht="30">
      <c r="A24544" s="4" t="s">
        <v>24364</v>
      </c>
      <c r="B24544" s="4">
        <v>969890</v>
      </c>
      <c r="D24544" s="5" t="s">
        <v>32337</v>
      </c>
      <c r="E24544" s="6" t="str">
        <f>HYPERLINK("https://inpn.mnhn.fr/espece/cd_nom/969890","Pulmonaria hirta L., 1763")</f>
        <v>Pulmonaria hirta L., 1763</v>
      </c>
      <c r="F24544" s="5" t="s">
        <v>32338</v>
      </c>
      <c r="Q24544" s="7" t="str">
        <f>HYPERLINK("#Liste_rouge!A"&amp;_xlfn.XMATCH("LC",Liste_rouge!A:A,2,1),"LC")</f>
        <v>LC</v>
      </c>
      <c r="T24544" s="7" t="str">
        <f>HYPERLINK("#Liste_rouge!A"&amp;_xlfn.XMATCH("NA",Liste_rouge!A:A,2,1),"NA")</f>
        <v>NA</v>
      </c>
      <c r="AH24544" s="4" t="str">
        <f>HYPERLINK("#Statut_biogéographique!A"&amp;_xlfn.XMATCH("P",Statut_biogéographique!A:A,2,1),"P")</f>
        <v>P</v>
      </c>
      <c r="AP24544" s="4" t="s">
        <v>376</v>
      </c>
      <c r="AR24544" s="4" t="s">
        <v>377</v>
      </c>
    </row>
    <row r="24545" spans="1:44" ht="135">
      <c r="A24545" s="4" t="s">
        <v>24364</v>
      </c>
      <c r="B24545" s="4">
        <v>97041</v>
      </c>
      <c r="D24545" s="5" t="s">
        <v>32339</v>
      </c>
      <c r="E24545" s="6" t="str">
        <f>HYPERLINK("https://inpn.mnhn.fr/espece/cd_nom/97041","Eruca vesicaria (L.) Cav., 1802")</f>
        <v>Eruca vesicaria (L.) Cav., 1802</v>
      </c>
      <c r="F24545" s="5" t="s">
        <v>32340</v>
      </c>
      <c r="P24545" s="7" t="str">
        <f>HYPERLINK("#Liste_rouge!A"&amp;_xlfn.XMATCH("LC",Liste_rouge!A:A,2,1),"LC (cd_nom 97041) - DD (cd_nom 97034)")</f>
        <v>LC (cd_nom 97041) - DD (cd_nom 97034)</v>
      </c>
      <c r="Q24545" s="7" t="str">
        <f>HYPERLINK("#Liste_rouge!A"&amp;_xlfn.XMATCH("NA",Liste_rouge!A:A,2,1),"NA")</f>
        <v>NA</v>
      </c>
      <c r="T24545" s="7" t="str">
        <f>HYPERLINK("#Liste_rouge!A"&amp;_xlfn.XMATCH("NA",Liste_rouge!A:A,2,1),"NA")</f>
        <v>NA</v>
      </c>
      <c r="AH24545" s="4" t="str">
        <f>HYPERLINK("#Statut_biogéographique!A"&amp;_xlfn.XMATCH("I",Statut_biogéographique!A:A,2,1),"I")</f>
        <v>I</v>
      </c>
      <c r="AP24545" s="4" t="s">
        <v>376</v>
      </c>
      <c r="AR24545" s="4" t="s">
        <v>377</v>
      </c>
    </row>
    <row r="24546" spans="1:44" ht="45">
      <c r="A24546" s="4" t="s">
        <v>24364</v>
      </c>
      <c r="B24546" s="4">
        <v>97064</v>
      </c>
      <c r="D24546" s="5" t="s">
        <v>32341</v>
      </c>
      <c r="E24546" s="6" t="str">
        <f>HYPERLINK("https://inpn.mnhn.fr/espece/cd_nom/97064","Erucastrum gallicum (Willd.) O.E.Schulz, 1916")</f>
        <v>Erucastrum gallicum (Willd.) O.E.Schulz, 1916</v>
      </c>
      <c r="F24546" s="5" t="s">
        <v>32342</v>
      </c>
      <c r="Q24546" s="7" t="str">
        <f>HYPERLINK("#Liste_rouge!A"&amp;_xlfn.XMATCH("LC",Liste_rouge!A:A,2,1),"LC")</f>
        <v>LC</v>
      </c>
      <c r="T24546" s="7" t="str">
        <f>HYPERLINK("#Liste_rouge!A"&amp;_xlfn.XMATCH("CR",Liste_rouge!A:A,2,1),"CR")</f>
        <v>CR</v>
      </c>
      <c r="U24546" s="4" t="str">
        <f>HYPERLINK("#Critères_liste_rouge!A$1","D1")</f>
        <v>D1</v>
      </c>
      <c r="V24546" s="7" t="str">
        <f>HYPERLINK("#Liste_rouge!A"&amp;_xlfn.XMATCH("LC",Liste_rouge!A:A,2,1),"LC")</f>
        <v>LC</v>
      </c>
      <c r="AB24546" s="4" t="s">
        <v>24486</v>
      </c>
      <c r="AH24546" s="4" t="str">
        <f>HYPERLINK("#Statut_biogéographique!A"&amp;_xlfn.XMATCH("P",Statut_biogéographique!A:A,2,1),"P")</f>
        <v>P</v>
      </c>
      <c r="AM24546" s="4" t="s">
        <v>375</v>
      </c>
      <c r="AN24546" s="4" t="s">
        <v>375</v>
      </c>
      <c r="AO24546" s="4" t="s">
        <v>375</v>
      </c>
      <c r="AP24546" s="4" t="s">
        <v>376</v>
      </c>
      <c r="AR24546" s="4" t="s">
        <v>377</v>
      </c>
    </row>
    <row r="24547" spans="1:44" ht="30">
      <c r="A24547" s="4" t="s">
        <v>24364</v>
      </c>
      <c r="B24547" s="4">
        <v>970669</v>
      </c>
      <c r="D24547" s="5" t="s">
        <v>32343</v>
      </c>
      <c r="E24547" s="6" t="str">
        <f>HYPERLINK("https://inpn.mnhn.fr/espece/cd_nom/970669","Isopterygiella pulchella (Hedw.) Ignatov &amp; Ignatova, 2020")</f>
        <v>Isopterygiella pulchella (Hedw.) Ignatov &amp; Ignatova, 2020</v>
      </c>
      <c r="P24547" s="7" t="str">
        <f>HYPERLINK("#Liste_rouge!A"&amp;_xlfn.XMATCH("LC",Liste_rouge!A:A,2,1),"LC")</f>
        <v>LC</v>
      </c>
      <c r="T24547" s="7" t="str">
        <f>HYPERLINK("#Liste_rouge!A"&amp;_xlfn.XMATCH("CR",Liste_rouge!A:A,2,1),"CR")</f>
        <v>CR</v>
      </c>
      <c r="V24547" s="7" t="str">
        <f>HYPERLINK("#Liste_rouge!A"&amp;_xlfn.XMATCH("DD",Liste_rouge!A:A,2,1),"DD")</f>
        <v>DD</v>
      </c>
      <c r="X24547" s="5" t="s">
        <v>374</v>
      </c>
      <c r="AB24547" s="4" t="s">
        <v>93</v>
      </c>
      <c r="AH24547" s="4" t="str">
        <f>HYPERLINK("#Statut_biogéographique!A"&amp;_xlfn.XMATCH("P",Statut_biogéographique!A:A,2,1),"P")</f>
        <v>P</v>
      </c>
      <c r="AP24547" s="4" t="s">
        <v>376</v>
      </c>
      <c r="AR24547" s="4" t="s">
        <v>377</v>
      </c>
    </row>
    <row r="24548" spans="1:44" ht="75">
      <c r="A24548" s="4" t="s">
        <v>24364</v>
      </c>
      <c r="B24548" s="4">
        <v>97072</v>
      </c>
      <c r="D24548" s="5" t="s">
        <v>32344</v>
      </c>
      <c r="E24548" s="6" t="str">
        <f>HYPERLINK("https://inpn.mnhn.fr/espece/cd_nom/97072","Erucastrum nasturtiifolium (Poir.) O.E.Schulz, 1916")</f>
        <v>Erucastrum nasturtiifolium (Poir.) O.E.Schulz, 1916</v>
      </c>
      <c r="F24548" s="5" t="s">
        <v>28510</v>
      </c>
      <c r="Q24548" s="7" t="str">
        <f>HYPERLINK("#Liste_rouge!A"&amp;_xlfn.XMATCH("LC",Liste_rouge!A:A,2,1),"LC")</f>
        <v>LC</v>
      </c>
      <c r="T24548" s="7" t="str">
        <f>HYPERLINK("#Liste_rouge!A"&amp;_xlfn.XMATCH("NA",Liste_rouge!A:A,2,1),"NA")</f>
        <v>NA</v>
      </c>
      <c r="V24548" s="7" t="str">
        <f>HYPERLINK("#Liste_rouge!A"&amp;_xlfn.XMATCH("DD",Liste_rouge!A:A,2,1),"DD")</f>
        <v>DD</v>
      </c>
      <c r="AB24548" s="4" t="s">
        <v>25106</v>
      </c>
      <c r="AH24548" s="4" t="str">
        <f>HYPERLINK("#Statut_biogéographique!A"&amp;_xlfn.XMATCH("P",Statut_biogéographique!A:A,2,1),"P")</f>
        <v>P</v>
      </c>
      <c r="AM24548" s="4" t="s">
        <v>375</v>
      </c>
      <c r="AN24548" s="4" t="s">
        <v>375</v>
      </c>
      <c r="AO24548" s="4" t="s">
        <v>375</v>
      </c>
      <c r="AP24548" s="4" t="s">
        <v>376</v>
      </c>
      <c r="AR24548" s="4" t="s">
        <v>377</v>
      </c>
    </row>
    <row r="24549" spans="1:44" ht="30">
      <c r="A24549" s="4" t="s">
        <v>24364</v>
      </c>
      <c r="B24549" s="4">
        <v>97081</v>
      </c>
      <c r="D24549" s="5" t="s">
        <v>32345</v>
      </c>
      <c r="E24549" s="6" t="str">
        <f>HYPERLINK("https://inpn.mnhn.fr/espece/cd_nom/97081","Erucastrum varium (Durieu) Durieu, 1849")</f>
        <v>Erucastrum varium (Durieu) Durieu, 1849</v>
      </c>
      <c r="F24549" s="5" t="s">
        <v>32346</v>
      </c>
      <c r="T24549" s="7" t="str">
        <f>HYPERLINK("#Liste_rouge!A"&amp;_xlfn.XMATCH("NA",Liste_rouge!A:A,2,1),"NA")</f>
        <v>NA</v>
      </c>
      <c r="AH24549" s="4" t="str">
        <f>HYPERLINK("#Statut_biogéographique!A"&amp;_xlfn.XMATCH("M",Statut_biogéographique!A:A,2,1),"M")</f>
        <v>M</v>
      </c>
      <c r="AP24549" s="4" t="s">
        <v>376</v>
      </c>
      <c r="AR24549" s="4" t="s">
        <v>377</v>
      </c>
    </row>
    <row r="24550" spans="1:44" ht="30">
      <c r="A24550" s="4" t="s">
        <v>24364</v>
      </c>
      <c r="B24550" s="4">
        <v>97084</v>
      </c>
      <c r="D24550" s="5" t="s">
        <v>32347</v>
      </c>
      <c r="E24550" s="6" t="str">
        <f>HYPERLINK("https://inpn.mnhn.fr/espece/cd_nom/97084","Ervilia hirsuta (L.) Opiz, 1852")</f>
        <v>Ervilia hirsuta (L.) Opiz, 1852</v>
      </c>
      <c r="F24550" s="5" t="s">
        <v>32348</v>
      </c>
      <c r="Q24550" s="7" t="str">
        <f>HYPERLINK("#Liste_rouge!A"&amp;_xlfn.XMATCH("LC",Liste_rouge!A:A,2,1),"LC")</f>
        <v>LC</v>
      </c>
      <c r="T24550" s="7" t="str">
        <f>HYPERLINK("#Liste_rouge!A"&amp;_xlfn.XMATCH("LC",Liste_rouge!A:A,2,1),"LC")</f>
        <v>LC</v>
      </c>
      <c r="V24550" s="7" t="str">
        <f>HYPERLINK("#Liste_rouge!A"&amp;_xlfn.XMATCH("LC",Liste_rouge!A:A,2,1),"LC")</f>
        <v>LC</v>
      </c>
      <c r="AH24550" s="4" t="str">
        <f>HYPERLINK("#Statut_biogéographique!A"&amp;_xlfn.XMATCH("P",Statut_biogéographique!A:A,2,1),"P")</f>
        <v>P</v>
      </c>
      <c r="AM24550" s="4" t="s">
        <v>375</v>
      </c>
      <c r="AN24550" s="4" t="s">
        <v>375</v>
      </c>
      <c r="AO24550" s="4" t="s">
        <v>375</v>
      </c>
      <c r="AP24550" s="4" t="s">
        <v>376</v>
      </c>
      <c r="AR24550" s="4" t="s">
        <v>377</v>
      </c>
    </row>
    <row r="24551" spans="1:44" ht="60">
      <c r="A24551" s="4" t="s">
        <v>24364</v>
      </c>
      <c r="B24551" s="4">
        <v>97085</v>
      </c>
      <c r="D24551" s="5" t="s">
        <v>32349</v>
      </c>
      <c r="E24551" s="6" t="str">
        <f>HYPERLINK("https://inpn.mnhn.fr/espece/cd_nom/97085","Ervilia monanthos (L.) Opiz, 1852")</f>
        <v>Ervilia monanthos (L.) Opiz, 1852</v>
      </c>
      <c r="F24551" s="5" t="s">
        <v>32350</v>
      </c>
      <c r="O24551" s="7" t="str">
        <f>HYPERLINK("#Liste_rouge!A"&amp;_xlfn.XMATCH("LC",Liste_rouge!A:A,2,1),"LC")</f>
        <v>LC</v>
      </c>
      <c r="P24551" s="7" t="str">
        <f>HYPERLINK("#Liste_rouge!A"&amp;_xlfn.XMATCH("LC",Liste_rouge!A:A,2,1),"LC")</f>
        <v>LC</v>
      </c>
      <c r="Q24551" s="7" t="str">
        <f>HYPERLINK("#Liste_rouge!A"&amp;_xlfn.XMATCH("NA",Liste_rouge!A:A,2,1),"NA")</f>
        <v>NA</v>
      </c>
      <c r="T24551" s="7" t="str">
        <f>HYPERLINK("#Liste_rouge!A"&amp;_xlfn.XMATCH("RE",Liste_rouge!A:A,2,1),"RE")</f>
        <v>RE</v>
      </c>
      <c r="AH24551" s="4" t="str">
        <f>HYPERLINK("#Statut_biogéographique!A"&amp;_xlfn.XMATCH("M",Statut_biogéographique!A:A,2,1),"M")</f>
        <v>M</v>
      </c>
      <c r="AI24551" s="8" t="s">
        <v>32351</v>
      </c>
      <c r="AJ24551" s="4" t="s">
        <v>12248</v>
      </c>
      <c r="AM24551" s="4" t="s">
        <v>375</v>
      </c>
      <c r="AN24551" s="4" t="s">
        <v>375</v>
      </c>
      <c r="AO24551" s="4" t="s">
        <v>375</v>
      </c>
      <c r="AP24551" s="4" t="s">
        <v>376</v>
      </c>
      <c r="AR24551" s="4" t="s">
        <v>377</v>
      </c>
    </row>
    <row r="24552" spans="1:44" ht="30">
      <c r="A24552" s="4" t="s">
        <v>24364</v>
      </c>
      <c r="B24552" s="4">
        <v>97088</v>
      </c>
      <c r="D24552" s="5" t="s">
        <v>32352</v>
      </c>
      <c r="E24552" s="6" t="str">
        <f>HYPERLINK("https://inpn.mnhn.fr/espece/cd_nom/97088","Ervilia sativa Link, 1822")</f>
        <v>Ervilia sativa Link, 1822</v>
      </c>
      <c r="F24552" s="5" t="s">
        <v>32353</v>
      </c>
      <c r="O24552" s="7" t="str">
        <f>HYPERLINK("#Liste_rouge!A"&amp;_xlfn.XMATCH("LC",Liste_rouge!A:A,2,1),"LC")</f>
        <v>LC</v>
      </c>
      <c r="P24552" s="7" t="str">
        <f>HYPERLINK("#Liste_rouge!A"&amp;_xlfn.XMATCH("LC",Liste_rouge!A:A,2,1),"LC")</f>
        <v>LC</v>
      </c>
      <c r="Q24552" s="7" t="str">
        <f>HYPERLINK("#Liste_rouge!A"&amp;_xlfn.XMATCH("NA",Liste_rouge!A:A,2,1),"NA")</f>
        <v>NA</v>
      </c>
      <c r="T24552" s="7" t="str">
        <f>HYPERLINK("#Liste_rouge!A"&amp;_xlfn.XMATCH("CR",Liste_rouge!A:A,2,1),"CR")</f>
        <v>CR</v>
      </c>
      <c r="U24552" s="4" t="str">
        <f>HYPERLINK("#Critères_liste_rouge!A$1","D1")</f>
        <v>D1</v>
      </c>
      <c r="AH24552" s="4" t="str">
        <f>HYPERLINK("#Statut_biogéographique!A"&amp;_xlfn.XMATCH("M",Statut_biogéographique!A:A,2,1),"M")</f>
        <v>M</v>
      </c>
      <c r="AM24552" s="4" t="s">
        <v>375</v>
      </c>
      <c r="AN24552" s="4" t="s">
        <v>375</v>
      </c>
      <c r="AO24552" s="4" t="s">
        <v>375</v>
      </c>
      <c r="AP24552" s="4" t="s">
        <v>376</v>
      </c>
      <c r="AR24552" s="4" t="s">
        <v>377</v>
      </c>
    </row>
    <row r="24553" spans="1:44" ht="60">
      <c r="A24553" s="4" t="s">
        <v>24364</v>
      </c>
      <c r="B24553" s="4">
        <v>970955</v>
      </c>
      <c r="D24553" s="5" t="s">
        <v>32354</v>
      </c>
      <c r="E24553" s="6" t="str">
        <f>HYPERLINK("https://inpn.mnhn.fr/espece/cd_nom/970955","Ziziphora acinos (L.) Melnikov, 2016")</f>
        <v>Ziziphora acinos (L.) Melnikov, 2016</v>
      </c>
      <c r="F24553" s="5" t="s">
        <v>32355</v>
      </c>
      <c r="Q24553" s="7" t="str">
        <f>HYPERLINK("#Liste_rouge!A"&amp;_xlfn.XMATCH("LC",Liste_rouge!A:A,2,1),"LC")</f>
        <v>LC</v>
      </c>
      <c r="T24553" s="7" t="str">
        <f>HYPERLINK("#Liste_rouge!A"&amp;_xlfn.XMATCH("DD",Liste_rouge!A:A,2,1),"DD (cd_nom 612440) - LC (cd_nom 91898)")</f>
        <v>DD (cd_nom 612440) - LC (cd_nom 91898)</v>
      </c>
      <c r="V24553" s="7" t="str">
        <f>HYPERLINK("#Liste_rouge!A"&amp;_xlfn.XMATCH("LC",Liste_rouge!A:A,2,1),"LC")</f>
        <v>LC</v>
      </c>
      <c r="AH24553" s="4" t="str">
        <f>HYPERLINK("#Statut_biogéographique!A"&amp;_xlfn.XMATCH("P",Statut_biogéographique!A:A,2,1),"P")</f>
        <v>P</v>
      </c>
      <c r="AM24553" s="4" t="s">
        <v>375</v>
      </c>
      <c r="AN24553" s="4" t="s">
        <v>375</v>
      </c>
      <c r="AO24553" s="4" t="s">
        <v>375</v>
      </c>
      <c r="AP24553" s="4" t="s">
        <v>376</v>
      </c>
      <c r="AR24553" s="4" t="s">
        <v>377</v>
      </c>
    </row>
    <row r="24554" spans="1:44" ht="90">
      <c r="A24554" s="4" t="s">
        <v>24364</v>
      </c>
      <c r="B24554" s="4">
        <v>970956</v>
      </c>
      <c r="D24554" s="5" t="s">
        <v>32356</v>
      </c>
      <c r="E24554" s="6" t="str">
        <f>HYPERLINK("https://inpn.mnhn.fr/espece/cd_nom/970956","Ziziphora granatensis (Boiss. &amp; Reut.) Melnikov, 2016")</f>
        <v>Ziziphora granatensis (Boiss. &amp; Reut.) Melnikov, 2016</v>
      </c>
      <c r="F24554" s="5" t="s">
        <v>32357</v>
      </c>
      <c r="AH24554" s="4" t="str">
        <f>HYPERLINK("#Statut_biogéographique!A"&amp;_xlfn.XMATCH("P",Statut_biogéographique!A:A,2,1),"P")</f>
        <v>P</v>
      </c>
      <c r="AP24554" s="4" t="s">
        <v>376</v>
      </c>
      <c r="AR24554" s="4" t="s">
        <v>377</v>
      </c>
    </row>
    <row r="24555" spans="1:44" ht="60">
      <c r="A24555" s="4" t="s">
        <v>24364</v>
      </c>
      <c r="B24555" s="4">
        <v>970963</v>
      </c>
      <c r="D24555" s="5" t="s">
        <v>32358</v>
      </c>
      <c r="E24555" s="6" t="str">
        <f>HYPERLINK("https://inpn.mnhn.fr/espece/cd_nom/970963","Ziziphora granatensis subsp. alpina (L.) Bräuchler &amp; Gutermann, 2019")</f>
        <v>Ziziphora granatensis subsp. alpina (L.) Bräuchler &amp; Gutermann, 2019</v>
      </c>
      <c r="F24555" s="5" t="s">
        <v>32359</v>
      </c>
      <c r="P24555" s="7" t="str">
        <f>HYPERLINK("#Liste_rouge!A"&amp;_xlfn.XMATCH("LC",Liste_rouge!A:A,2,1),"LC")</f>
        <v>LC</v>
      </c>
      <c r="Q24555" s="7" t="str">
        <f>HYPERLINK("#Liste_rouge!A"&amp;_xlfn.XMATCH("LC",Liste_rouge!A:A,2,1),"LC")</f>
        <v>LC</v>
      </c>
      <c r="V24555" s="7" t="str">
        <f>HYPERLINK("#Liste_rouge!A"&amp;_xlfn.XMATCH("LC",Liste_rouge!A:A,2,1),"LC")</f>
        <v>LC</v>
      </c>
      <c r="AB24555" s="4" t="s">
        <v>24447</v>
      </c>
      <c r="AH24555" s="4" t="str">
        <f>HYPERLINK("#Statut_biogéographique!A"&amp;_xlfn.XMATCH("P",Statut_biogéographique!A:A,2,1),"P")</f>
        <v>P</v>
      </c>
      <c r="AM24555" s="4" t="s">
        <v>375</v>
      </c>
      <c r="AN24555" s="4" t="s">
        <v>375</v>
      </c>
      <c r="AO24555" s="4" t="s">
        <v>375</v>
      </c>
      <c r="AP24555" s="4" t="s">
        <v>376</v>
      </c>
      <c r="AR24555" s="4" t="s">
        <v>377</v>
      </c>
    </row>
    <row r="24556" spans="1:44" ht="60">
      <c r="A24556" s="4" t="s">
        <v>24364</v>
      </c>
      <c r="B24556" s="4">
        <v>97101</v>
      </c>
      <c r="D24556" s="5" t="s">
        <v>32360</v>
      </c>
      <c r="E24556" s="6" t="str">
        <f>HYPERLINK("https://inpn.mnhn.fr/espece/cd_nom/97101","Ervum gracile DC., 1813")</f>
        <v>Ervum gracile DC., 1813</v>
      </c>
      <c r="F24556" s="5" t="s">
        <v>32361</v>
      </c>
      <c r="Q24556" s="7" t="str">
        <f>HYPERLINK("#Liste_rouge!A"&amp;_xlfn.XMATCH("LC",Liste_rouge!A:A,2,1),"LC")</f>
        <v>LC</v>
      </c>
      <c r="T24556" s="7" t="str">
        <f>HYPERLINK("#Liste_rouge!A"&amp;_xlfn.XMATCH("NE",Liste_rouge!A:A,2,1),"NE")</f>
        <v>NE</v>
      </c>
      <c r="AH24556" s="4" t="str">
        <f>HYPERLINK("#Statut_biogéographique!A"&amp;_xlfn.XMATCH("P",Statut_biogéographique!A:A,2,1),"P")</f>
        <v>P</v>
      </c>
      <c r="AM24556" s="4" t="s">
        <v>375</v>
      </c>
      <c r="AN24556" s="4" t="s">
        <v>375</v>
      </c>
      <c r="AO24556" s="4" t="s">
        <v>375</v>
      </c>
      <c r="AP24556" s="4" t="s">
        <v>376</v>
      </c>
      <c r="AR24556" s="4" t="s">
        <v>377</v>
      </c>
    </row>
    <row r="24557" spans="1:44" ht="30">
      <c r="A24557" s="4" t="s">
        <v>24364</v>
      </c>
      <c r="B24557" s="4">
        <v>97128</v>
      </c>
      <c r="D24557" s="5" t="s">
        <v>32362</v>
      </c>
      <c r="E24557" s="6" t="str">
        <f>HYPERLINK("https://inpn.mnhn.fr/espece/cd_nom/97128","Ervum tetraspermum L., 1753")</f>
        <v>Ervum tetraspermum L., 1753</v>
      </c>
      <c r="F24557" s="5" t="s">
        <v>32363</v>
      </c>
      <c r="Q24557" s="7" t="str">
        <f>HYPERLINK("#Liste_rouge!A"&amp;_xlfn.XMATCH("LC",Liste_rouge!A:A,2,1),"LC")</f>
        <v>LC</v>
      </c>
      <c r="T24557" s="7" t="str">
        <f>HYPERLINK("#Liste_rouge!A"&amp;_xlfn.XMATCH("LC",Liste_rouge!A:A,2,1),"LC")</f>
        <v>LC</v>
      </c>
      <c r="V24557" s="7" t="str">
        <f>HYPERLINK("#Liste_rouge!A"&amp;_xlfn.XMATCH("LC",Liste_rouge!A:A,2,1),"LC")</f>
        <v>LC</v>
      </c>
      <c r="AH24557" s="4" t="str">
        <f>HYPERLINK("#Statut_biogéographique!A"&amp;_xlfn.XMATCH("P",Statut_biogéographique!A:A,2,1),"P")</f>
        <v>P</v>
      </c>
      <c r="AM24557" s="4" t="s">
        <v>375</v>
      </c>
      <c r="AN24557" s="4" t="s">
        <v>375</v>
      </c>
      <c r="AO24557" s="4" t="s">
        <v>375</v>
      </c>
      <c r="AP24557" s="4" t="s">
        <v>376</v>
      </c>
      <c r="AR24557" s="4" t="s">
        <v>377</v>
      </c>
    </row>
    <row r="24558" spans="1:44" ht="30">
      <c r="A24558" s="4" t="s">
        <v>24364</v>
      </c>
      <c r="B24558" s="4">
        <v>97133</v>
      </c>
      <c r="D24558" s="5">
        <v>97133</v>
      </c>
      <c r="E24558" s="6" t="str">
        <f>HYPERLINK("https://inpn.mnhn.fr/espece/cd_nom/97133","Eryngium alpinum L., 1753")</f>
        <v>Eryngium alpinum L., 1753</v>
      </c>
      <c r="F24558" s="5" t="s">
        <v>32364</v>
      </c>
      <c r="I24558" s="4" t="str">
        <f>HYPERLINK("#Réglementation!A"&amp;_xlfn.XMATCH("IBE1",Réglementation!A:A,2,1),"IBE1")</f>
        <v>IBE1</v>
      </c>
      <c r="K24558" s="4" t="str">
        <f>HYPERLINK("#Réglementation!A"&amp;_xlfn.XMATCH("CDH2",Réglementation!A:A,2,1),"CDH2 - CDH4")</f>
        <v>CDH2 - CDH4</v>
      </c>
      <c r="L24558" s="4" t="str">
        <f>HYPERLINK("#Réglementation!A"&amp;_xlfn.XMATCH("NV1",Réglementation!A:A,2,1),"NV1")</f>
        <v>NV1</v>
      </c>
      <c r="O24558" s="7" t="str">
        <f>HYPERLINK("#Liste_rouge!A"&amp;_xlfn.XMATCH("NT",Liste_rouge!A:A,2,1),"NT")</f>
        <v>NT</v>
      </c>
      <c r="P24558" s="7" t="str">
        <f>HYPERLINK("#Liste_rouge!A"&amp;_xlfn.XMATCH("NT",Liste_rouge!A:A,2,1),"NT")</f>
        <v>NT</v>
      </c>
      <c r="Q24558" s="7" t="str">
        <f>HYPERLINK("#Liste_rouge!A"&amp;_xlfn.XMATCH("NT",Liste_rouge!A:A,2,1),"NT")</f>
        <v>NT</v>
      </c>
      <c r="AE24558" s="4" t="str">
        <f>HYPERLINK("#SCAP!A"&amp;_xlfn.XMATCH("3",SCAP!A:A,2,1),"3")</f>
        <v>3</v>
      </c>
      <c r="AH24558" s="4" t="str">
        <f>HYPERLINK("#Statut_biogéographique!A"&amp;_xlfn.XMATCH("P",Statut_biogéographique!A:A,2,1),"P")</f>
        <v>P</v>
      </c>
      <c r="AM24558" s="4" t="s">
        <v>375</v>
      </c>
      <c r="AN24558" s="4" t="s">
        <v>375</v>
      </c>
      <c r="AO24558" s="4" t="s">
        <v>375</v>
      </c>
      <c r="AP24558" s="4" t="s">
        <v>376</v>
      </c>
      <c r="AR24558" s="4" t="s">
        <v>377</v>
      </c>
    </row>
    <row r="24559" spans="1:44" ht="30">
      <c r="A24559" s="4" t="s">
        <v>24364</v>
      </c>
      <c r="B24559" s="4">
        <v>97141</v>
      </c>
      <c r="D24559" s="5" t="s">
        <v>32365</v>
      </c>
      <c r="E24559" s="6" t="str">
        <f>HYPERLINK("https://inpn.mnhn.fr/espece/cd_nom/97141","Eryngium campestre L., 1753")</f>
        <v>Eryngium campestre L., 1753</v>
      </c>
      <c r="F24559" s="5" t="s">
        <v>32366</v>
      </c>
      <c r="Q24559" s="7" t="str">
        <f>HYPERLINK("#Liste_rouge!A"&amp;_xlfn.XMATCH("LC",Liste_rouge!A:A,2,1),"LC")</f>
        <v>LC</v>
      </c>
      <c r="T24559" s="7" t="str">
        <f>HYPERLINK("#Liste_rouge!A"&amp;_xlfn.XMATCH("LC",Liste_rouge!A:A,2,1),"LC")</f>
        <v>LC</v>
      </c>
      <c r="V24559" s="7" t="str">
        <f>HYPERLINK("#Liste_rouge!A"&amp;_xlfn.XMATCH("LC",Liste_rouge!A:A,2,1),"LC")</f>
        <v>LC</v>
      </c>
      <c r="AB24559" s="4" t="s">
        <v>24536</v>
      </c>
      <c r="AH24559" s="4" t="str">
        <f>HYPERLINK("#Statut_biogéographique!A"&amp;_xlfn.XMATCH("P",Statut_biogéographique!A:A,2,1),"P")</f>
        <v>P</v>
      </c>
      <c r="AM24559" s="4" t="s">
        <v>375</v>
      </c>
      <c r="AN24559" s="4" t="s">
        <v>375</v>
      </c>
      <c r="AO24559" s="4" t="s">
        <v>375</v>
      </c>
      <c r="AP24559" s="4" t="s">
        <v>376</v>
      </c>
      <c r="AR24559" s="4" t="s">
        <v>377</v>
      </c>
    </row>
    <row r="24560" spans="1:44" ht="30">
      <c r="A24560" s="4" t="s">
        <v>24364</v>
      </c>
      <c r="B24560" s="4">
        <v>97183</v>
      </c>
      <c r="D24560" s="5" t="s">
        <v>32367</v>
      </c>
      <c r="E24560" s="6" t="str">
        <f>HYPERLINK("https://inpn.mnhn.fr/espece/cd_nom/97183","Erysimum cheiranthoides L., 1753")</f>
        <v>Erysimum cheiranthoides L., 1753</v>
      </c>
      <c r="F24560" s="5" t="s">
        <v>28511</v>
      </c>
      <c r="Q24560" s="7" t="str">
        <f>HYPERLINK("#Liste_rouge!A"&amp;_xlfn.XMATCH("LC",Liste_rouge!A:A,2,1),"LC")</f>
        <v>LC</v>
      </c>
      <c r="T24560" s="7" t="str">
        <f>HYPERLINK("#Liste_rouge!A"&amp;_xlfn.XMATCH("LC",Liste_rouge!A:A,2,1),"LC")</f>
        <v>LC</v>
      </c>
      <c r="V24560" s="7" t="str">
        <f>HYPERLINK("#Liste_rouge!A"&amp;_xlfn.XMATCH("LC",Liste_rouge!A:A,2,1),"LC")</f>
        <v>LC</v>
      </c>
      <c r="AH24560" s="4" t="str">
        <f>HYPERLINK("#Statut_biogéographique!A"&amp;_xlfn.XMATCH("P",Statut_biogéographique!A:A,2,1),"P")</f>
        <v>P</v>
      </c>
      <c r="AM24560" s="4" t="s">
        <v>375</v>
      </c>
      <c r="AN24560" s="4" t="s">
        <v>375</v>
      </c>
      <c r="AO24560" s="4" t="s">
        <v>375</v>
      </c>
      <c r="AP24560" s="4" t="s">
        <v>376</v>
      </c>
      <c r="AR24560" s="4" t="s">
        <v>377</v>
      </c>
    </row>
    <row r="24561" spans="1:44" ht="90">
      <c r="A24561" s="4" t="s">
        <v>24364</v>
      </c>
      <c r="B24561" s="4">
        <v>97185</v>
      </c>
      <c r="D24561" s="5" t="s">
        <v>32368</v>
      </c>
      <c r="E24561" s="6" t="str">
        <f>HYPERLINK("https://inpn.mnhn.fr/espece/cd_nom/97185","Erysimum cheiri (L.) Crantz, 1769")</f>
        <v>Erysimum cheiri (L.) Crantz, 1769</v>
      </c>
      <c r="F24561" s="5" t="s">
        <v>32369</v>
      </c>
      <c r="Q24561" s="7" t="str">
        <f>HYPERLINK("#Liste_rouge!A"&amp;_xlfn.XMATCH("LC",Liste_rouge!A:A,2,1),"LC")</f>
        <v>LC</v>
      </c>
      <c r="T24561" s="7" t="str">
        <f>HYPERLINK("#Liste_rouge!A"&amp;_xlfn.XMATCH("NA",Liste_rouge!A:A,2,1),"NA")</f>
        <v>NA</v>
      </c>
      <c r="AH24561" s="4" t="str">
        <f>HYPERLINK("#Statut_biogéographique!A"&amp;_xlfn.XMATCH("M",Statut_biogéographique!A:A,2,1),"M")</f>
        <v>M</v>
      </c>
      <c r="AM24561" s="4" t="s">
        <v>375</v>
      </c>
      <c r="AN24561" s="4" t="s">
        <v>375</v>
      </c>
      <c r="AO24561" s="4" t="s">
        <v>375</v>
      </c>
      <c r="AP24561" s="4" t="s">
        <v>376</v>
      </c>
      <c r="AR24561" s="4" t="s">
        <v>377</v>
      </c>
    </row>
    <row r="24562" spans="1:44" ht="60">
      <c r="A24562" s="4" t="s">
        <v>24364</v>
      </c>
      <c r="B24562" s="4">
        <v>97234</v>
      </c>
      <c r="D24562" s="5" t="s">
        <v>32370</v>
      </c>
      <c r="E24562" s="6" t="str">
        <f>HYPERLINK("https://inpn.mnhn.fr/espece/cd_nom/97234","Erysimum ochroleucum (Schleich.) DC., 1805")</f>
        <v>Erysimum ochroleucum (Schleich.) DC., 1805</v>
      </c>
      <c r="F24562" s="5" t="s">
        <v>32371</v>
      </c>
      <c r="Q24562" s="7" t="str">
        <f>HYPERLINK("#Liste_rouge!A"&amp;_xlfn.XMATCH("LC",Liste_rouge!A:A,2,1),"LC")</f>
        <v>LC</v>
      </c>
      <c r="V24562" s="7" t="str">
        <f>HYPERLINK("#Liste_rouge!A"&amp;_xlfn.XMATCH("LC",Liste_rouge!A:A,2,1),"LC")</f>
        <v>LC</v>
      </c>
      <c r="X24562" s="5" t="s">
        <v>374</v>
      </c>
      <c r="AB24562" s="4" t="s">
        <v>93</v>
      </c>
      <c r="AH24562" s="4" t="str">
        <f>HYPERLINK("#Statut_biogéographique!A"&amp;_xlfn.XMATCH("P",Statut_biogéographique!A:A,2,1),"P")</f>
        <v>P</v>
      </c>
      <c r="AM24562" s="4" t="s">
        <v>375</v>
      </c>
      <c r="AN24562" s="4" t="s">
        <v>375</v>
      </c>
      <c r="AO24562" s="4" t="s">
        <v>375</v>
      </c>
      <c r="AP24562" s="4" t="s">
        <v>376</v>
      </c>
      <c r="AR24562" s="4" t="s">
        <v>377</v>
      </c>
    </row>
    <row r="24563" spans="1:44" ht="45">
      <c r="A24563" s="4" t="s">
        <v>24364</v>
      </c>
      <c r="B24563" s="4">
        <v>97235</v>
      </c>
      <c r="D24563" s="5" t="s">
        <v>32372</v>
      </c>
      <c r="E24563" s="6" t="str">
        <f>HYPERLINK("https://inpn.mnhn.fr/espece/cd_nom/97235","Erysimum odoratum Ehrh., 1792")</f>
        <v>Erysimum odoratum Ehrh., 1792</v>
      </c>
      <c r="F24563" s="5" t="s">
        <v>32373</v>
      </c>
      <c r="Q24563" s="7" t="str">
        <f>HYPERLINK("#Liste_rouge!A"&amp;_xlfn.XMATCH("LC",Liste_rouge!A:A,2,1),"LC")</f>
        <v>LC</v>
      </c>
      <c r="T24563" s="7" t="str">
        <f>HYPERLINK("#Liste_rouge!A"&amp;_xlfn.XMATCH("VU",Liste_rouge!A:A,2,1),"VU")</f>
        <v>VU</v>
      </c>
      <c r="U24563" s="4" t="str">
        <f>HYPERLINK("#Critères_liste_rouge!A$1","D2")</f>
        <v>D2</v>
      </c>
      <c r="X24563" s="5" t="s">
        <v>374</v>
      </c>
      <c r="AB24563" s="4" t="s">
        <v>93</v>
      </c>
      <c r="AH24563" s="4" t="str">
        <f>HYPERLINK("#Statut_biogéographique!A"&amp;_xlfn.XMATCH("P",Statut_biogéographique!A:A,2,1),"P")</f>
        <v>P</v>
      </c>
      <c r="AM24563" s="4" t="s">
        <v>375</v>
      </c>
      <c r="AN24563" s="4" t="s">
        <v>375</v>
      </c>
      <c r="AO24563" s="4" t="s">
        <v>375</v>
      </c>
      <c r="AP24563" s="4" t="s">
        <v>376</v>
      </c>
      <c r="AR24563" s="4" t="s">
        <v>377</v>
      </c>
    </row>
    <row r="24564" spans="1:44" ht="30">
      <c r="A24564" s="4" t="s">
        <v>24364</v>
      </c>
      <c r="B24564" s="4">
        <v>97257</v>
      </c>
      <c r="D24564" s="5" t="s">
        <v>32374</v>
      </c>
      <c r="E24564" s="6" t="str">
        <f>HYPERLINK("https://inpn.mnhn.fr/espece/cd_nom/97257","Erysimum repandum L., 1753")</f>
        <v>Erysimum repandum L., 1753</v>
      </c>
      <c r="F24564" s="5" t="s">
        <v>32375</v>
      </c>
      <c r="Q24564" s="7" t="str">
        <f>HYPERLINK("#Liste_rouge!A"&amp;_xlfn.XMATCH("NA",Liste_rouge!A:A,2,1),"NA")</f>
        <v>NA</v>
      </c>
      <c r="T24564" s="7" t="str">
        <f>HYPERLINK("#Liste_rouge!A"&amp;_xlfn.XMATCH("NA",Liste_rouge!A:A,2,1),"NA")</f>
        <v>NA</v>
      </c>
      <c r="AH24564" s="4" t="str">
        <f>HYPERLINK("#Statut_biogéographique!A"&amp;_xlfn.XMATCH("M",Statut_biogéographique!A:A,2,1),"M")</f>
        <v>M</v>
      </c>
      <c r="AP24564" s="4" t="s">
        <v>376</v>
      </c>
      <c r="AR24564" s="4" t="s">
        <v>377</v>
      </c>
    </row>
    <row r="24565" spans="1:44" ht="90">
      <c r="A24565" s="4" t="s">
        <v>24364</v>
      </c>
      <c r="B24565" s="4">
        <v>97277</v>
      </c>
      <c r="D24565" s="5" t="s">
        <v>32376</v>
      </c>
      <c r="E24565" s="6" t="str">
        <f>HYPERLINK("https://inpn.mnhn.fr/espece/cd_nom/97277","Erysimum virgatum Roth, 1797")</f>
        <v>Erysimum virgatum Roth, 1797</v>
      </c>
      <c r="F24565" s="5" t="s">
        <v>32377</v>
      </c>
      <c r="Q24565" s="7" t="str">
        <f>HYPERLINK("#Liste_rouge!A"&amp;_xlfn.XMATCH("LC",Liste_rouge!A:A,2,1),"LC")</f>
        <v>LC</v>
      </c>
      <c r="AH24565" s="4" t="str">
        <f>HYPERLINK("#Statut_biogéographique!A"&amp;_xlfn.XMATCH("P",Statut_biogéographique!A:A,2,1),"P")</f>
        <v>P</v>
      </c>
      <c r="AM24565" s="4" t="s">
        <v>375</v>
      </c>
      <c r="AN24565" s="4" t="s">
        <v>375</v>
      </c>
      <c r="AO24565" s="4" t="s">
        <v>375</v>
      </c>
      <c r="AP24565" s="4" t="s">
        <v>376</v>
      </c>
      <c r="AR24565" s="4" t="s">
        <v>377</v>
      </c>
    </row>
    <row r="24566" spans="1:44" ht="30">
      <c r="A24566" s="4" t="s">
        <v>24364</v>
      </c>
      <c r="B24566" s="4">
        <v>97325</v>
      </c>
      <c r="D24566" s="5" t="s">
        <v>32378</v>
      </c>
      <c r="E24566" s="6" t="str">
        <f>HYPERLINK("https://inpn.mnhn.fr/espece/cd_nom/97325","Erythronium dens-canis L., 1753")</f>
        <v>Erythronium dens-canis L., 1753</v>
      </c>
      <c r="F24566" s="5" t="s">
        <v>32379</v>
      </c>
      <c r="M24566" s="4" t="str">
        <f>HYPERLINK("#Réglementation!A"&amp;_xlfn.XMATCH("RV43",Réglementation!A:A,2,1),"RV43")</f>
        <v>RV43</v>
      </c>
      <c r="Q24566" s="7" t="str">
        <f>HYPERLINK("#Liste_rouge!A"&amp;_xlfn.XMATCH("LC",Liste_rouge!A:A,2,1),"LC")</f>
        <v>LC</v>
      </c>
      <c r="V24566" s="7" t="str">
        <f>HYPERLINK("#Liste_rouge!A"&amp;_xlfn.XMATCH("NT",Liste_rouge!A:A,2,1),"NT")</f>
        <v>NT</v>
      </c>
      <c r="W24566" s="4" t="str">
        <f>HYPERLINK("#Critères_liste_rouge!A$1","pr. D2")</f>
        <v>pr. D2</v>
      </c>
      <c r="AB24566" s="4" t="s">
        <v>24909</v>
      </c>
      <c r="AD24566" s="4" t="s">
        <v>11319</v>
      </c>
      <c r="AH24566" s="4" t="str">
        <f>HYPERLINK("#Statut_biogéographique!A"&amp;_xlfn.XMATCH("P",Statut_biogéographique!A:A,2,1),"P")</f>
        <v>P</v>
      </c>
      <c r="AM24566" s="4" t="s">
        <v>375</v>
      </c>
      <c r="AN24566" s="4" t="s">
        <v>375</v>
      </c>
      <c r="AO24566" s="4" t="s">
        <v>375</v>
      </c>
      <c r="AP24566" s="4" t="s">
        <v>376</v>
      </c>
      <c r="AR24566" s="4" t="s">
        <v>377</v>
      </c>
    </row>
    <row r="24567" spans="1:44" ht="45">
      <c r="A24567" s="4" t="s">
        <v>24364</v>
      </c>
      <c r="B24567" s="4">
        <v>973446</v>
      </c>
      <c r="D24567" s="5" t="s">
        <v>32380</v>
      </c>
      <c r="E24567" s="6" t="str">
        <f>HYPERLINK("https://inpn.mnhn.fr/espece/cd_nom/973446","Petrosedum ochroleucum (Chaix) Niederle, 2014")</f>
        <v>Petrosedum ochroleucum (Chaix) Niederle, 2014</v>
      </c>
      <c r="F24567" s="5" t="s">
        <v>32381</v>
      </c>
      <c r="Q24567" s="7" t="str">
        <f>HYPERLINK("#Liste_rouge!A"&amp;_xlfn.XMATCH("LC",Liste_rouge!A:A,2,1),"LC")</f>
        <v>LC</v>
      </c>
      <c r="T24567" s="7" t="str">
        <f>HYPERLINK("#Liste_rouge!A"&amp;_xlfn.XMATCH("VU",Liste_rouge!A:A,2,1),"VU")</f>
        <v>VU</v>
      </c>
      <c r="U24567" s="4" t="str">
        <f>HYPERLINK("#Critères_liste_rouge!A$1","D1")</f>
        <v>D1</v>
      </c>
      <c r="V24567" s="7" t="str">
        <f>HYPERLINK("#Liste_rouge!A"&amp;_xlfn.XMATCH("LC",Liste_rouge!A:A,2,1),"LC")</f>
        <v>LC</v>
      </c>
      <c r="AB24567" s="4" t="s">
        <v>32382</v>
      </c>
      <c r="AH24567" s="4" t="str">
        <f>HYPERLINK("#Statut_biogéographique!A"&amp;_xlfn.XMATCH("P",Statut_biogéographique!A:A,2,1),"P")</f>
        <v>P</v>
      </c>
      <c r="AM24567" s="4" t="s">
        <v>375</v>
      </c>
      <c r="AN24567" s="4" t="s">
        <v>375</v>
      </c>
      <c r="AO24567" s="4" t="s">
        <v>375</v>
      </c>
      <c r="AP24567" s="4" t="s">
        <v>376</v>
      </c>
      <c r="AR24567" s="4" t="s">
        <v>377</v>
      </c>
    </row>
    <row r="24568" spans="1:44" ht="45">
      <c r="A24568" s="4" t="s">
        <v>24364</v>
      </c>
      <c r="B24568" s="4">
        <v>97346</v>
      </c>
      <c r="D24568" s="5" t="s">
        <v>32383</v>
      </c>
      <c r="E24568" s="6" t="str">
        <f>HYPERLINK("https://inpn.mnhn.fr/espece/cd_nom/97346","Eschscholzia californica Cham., 1820")</f>
        <v>Eschscholzia californica Cham., 1820</v>
      </c>
      <c r="F24568" s="5" t="s">
        <v>32384</v>
      </c>
      <c r="Q24568" s="7" t="str">
        <f>HYPERLINK("#Liste_rouge!A"&amp;_xlfn.XMATCH("NA",Liste_rouge!A:A,2,1),"NA")</f>
        <v>NA</v>
      </c>
      <c r="T24568" s="7" t="str">
        <f>HYPERLINK("#Liste_rouge!A"&amp;_xlfn.XMATCH("NA",Liste_rouge!A:A,2,1),"NA")</f>
        <v>NA</v>
      </c>
      <c r="AH24568" s="4" t="str">
        <f>HYPERLINK("#Statut_biogéographique!A"&amp;_xlfn.XMATCH("I",Statut_biogéographique!A:A,2,1),"I")</f>
        <v>I</v>
      </c>
      <c r="AM24568" s="4" t="s">
        <v>375</v>
      </c>
      <c r="AN24568" s="4" t="s">
        <v>375</v>
      </c>
      <c r="AO24568" s="4" t="s">
        <v>375</v>
      </c>
      <c r="AP24568" s="4" t="s">
        <v>376</v>
      </c>
      <c r="AR24568" s="4" t="s">
        <v>377</v>
      </c>
    </row>
    <row r="24569" spans="1:44">
      <c r="A24569" s="4" t="s">
        <v>24364</v>
      </c>
      <c r="B24569" s="4">
        <v>97419</v>
      </c>
      <c r="D24569" s="5" t="s">
        <v>32385</v>
      </c>
      <c r="E24569" s="6" t="str">
        <f>HYPERLINK("https://inpn.mnhn.fr/espece/cd_nom/97419","Euclidium syriacum (L.) W.T.Aiton, 1812")</f>
        <v>Euclidium syriacum (L.) W.T.Aiton, 1812</v>
      </c>
      <c r="F24569" s="5" t="s">
        <v>32386</v>
      </c>
      <c r="AH24569" s="4" t="str">
        <f>HYPERLINK("#Statut_biogéographique!A"&amp;_xlfn.XMATCH("M",Statut_biogéographique!A:A,2,1),"M")</f>
        <v>M</v>
      </c>
      <c r="AP24569" s="4" t="s">
        <v>376</v>
      </c>
      <c r="AR24569" s="4" t="s">
        <v>377</v>
      </c>
    </row>
    <row r="24570" spans="1:44" ht="30">
      <c r="A24570" s="4" t="s">
        <v>24364</v>
      </c>
      <c r="B24570" s="4">
        <v>97423</v>
      </c>
      <c r="D24570" s="5" t="s">
        <v>32387</v>
      </c>
      <c r="E24570" s="6" t="str">
        <f>HYPERLINK("https://inpn.mnhn.fr/espece/cd_nom/97423","Eudianthe coelirosa (L.) Rchb., 1844")</f>
        <v>Eudianthe coelirosa (L.) Rchb., 1844</v>
      </c>
      <c r="F24570" s="5" t="s">
        <v>32388</v>
      </c>
      <c r="L24570" s="4" t="str">
        <f>HYPERLINK("#Réglementation!A"&amp;_xlfn.XMATCH("NV1",Réglementation!A:A,2,1),"NV1")</f>
        <v>NV1</v>
      </c>
      <c r="Q24570" s="7" t="str">
        <f>HYPERLINK("#Liste_rouge!A"&amp;_xlfn.XMATCH("VU",Liste_rouge!A:A,2,1),"VU")</f>
        <v>VU</v>
      </c>
      <c r="T24570" s="7" t="str">
        <f>HYPERLINK("#Liste_rouge!A"&amp;_xlfn.XMATCH("NA",Liste_rouge!A:A,2,1),"NA")</f>
        <v>NA</v>
      </c>
      <c r="AH24570" s="4" t="str">
        <f>HYPERLINK("#Statut_biogéographique!A"&amp;_xlfn.XMATCH("P",Statut_biogéographique!A:A,2,1),"P")</f>
        <v>P</v>
      </c>
      <c r="AP24570" s="4" t="s">
        <v>389</v>
      </c>
      <c r="AR24570" s="4" t="s">
        <v>377</v>
      </c>
    </row>
    <row r="24571" spans="1:44" ht="30">
      <c r="A24571" s="4" t="s">
        <v>24364</v>
      </c>
      <c r="B24571" s="4">
        <v>97434</v>
      </c>
      <c r="D24571" s="5" t="s">
        <v>32389</v>
      </c>
      <c r="E24571" s="6" t="str">
        <f>HYPERLINK("https://inpn.mnhn.fr/espece/cd_nom/97434","Eupatorium cannabinum L., 1753")</f>
        <v>Eupatorium cannabinum L., 1753</v>
      </c>
      <c r="F24571" s="5" t="s">
        <v>28512</v>
      </c>
      <c r="Q24571" s="7" t="str">
        <f>HYPERLINK("#Liste_rouge!A"&amp;_xlfn.XMATCH("LC",Liste_rouge!A:A,2,1),"LC")</f>
        <v>LC</v>
      </c>
      <c r="T24571" s="7" t="str">
        <f>HYPERLINK("#Liste_rouge!A"&amp;_xlfn.XMATCH("LC",Liste_rouge!A:A,2,1),"LC")</f>
        <v>LC</v>
      </c>
      <c r="V24571" s="7" t="str">
        <f>HYPERLINK("#Liste_rouge!A"&amp;_xlfn.XMATCH("LC",Liste_rouge!A:A,2,1),"LC")</f>
        <v>LC</v>
      </c>
      <c r="AH24571" s="4" t="str">
        <f>HYPERLINK("#Statut_biogéographique!A"&amp;_xlfn.XMATCH("P",Statut_biogéographique!A:A,2,1),"P")</f>
        <v>P</v>
      </c>
      <c r="AM24571" s="4" t="s">
        <v>375</v>
      </c>
      <c r="AN24571" s="4" t="s">
        <v>375</v>
      </c>
      <c r="AO24571" s="4" t="s">
        <v>375</v>
      </c>
      <c r="AP24571" s="4" t="s">
        <v>376</v>
      </c>
      <c r="AR24571" s="4" t="s">
        <v>377</v>
      </c>
    </row>
    <row r="24572" spans="1:44" ht="30">
      <c r="A24572" s="4" t="s">
        <v>24364</v>
      </c>
      <c r="B24572" s="4">
        <v>97452</v>
      </c>
      <c r="D24572" s="5" t="s">
        <v>32390</v>
      </c>
      <c r="E24572" s="6" t="str">
        <f>HYPERLINK("https://inpn.mnhn.fr/espece/cd_nom/97452","Euphorbia amygdaloides L., 1753")</f>
        <v>Euphorbia amygdaloides L., 1753</v>
      </c>
      <c r="F24572" s="5" t="s">
        <v>28514</v>
      </c>
      <c r="Q24572" s="7" t="str">
        <f>HYPERLINK("#Liste_rouge!A"&amp;_xlfn.XMATCH("LC",Liste_rouge!A:A,2,1),"LC")</f>
        <v>LC</v>
      </c>
      <c r="T24572" s="7" t="str">
        <f>HYPERLINK("#Liste_rouge!A"&amp;_xlfn.XMATCH("LC",Liste_rouge!A:A,2,1),"LC")</f>
        <v>LC</v>
      </c>
      <c r="V24572" s="7" t="str">
        <f>HYPERLINK("#Liste_rouge!A"&amp;_xlfn.XMATCH("LC",Liste_rouge!A:A,2,1),"LC")</f>
        <v>LC</v>
      </c>
      <c r="AH24572" s="4" t="str">
        <f>HYPERLINK("#Statut_biogéographique!A"&amp;_xlfn.XMATCH("P",Statut_biogéographique!A:A,2,1),"P")</f>
        <v>P</v>
      </c>
      <c r="AM24572" s="4" t="s">
        <v>375</v>
      </c>
      <c r="AN24572" s="4" t="s">
        <v>375</v>
      </c>
      <c r="AO24572" s="4" t="s">
        <v>375</v>
      </c>
      <c r="AP24572" s="4" t="s">
        <v>376</v>
      </c>
      <c r="AR24572" s="4" t="s">
        <v>377</v>
      </c>
    </row>
    <row r="24573" spans="1:44" ht="30">
      <c r="A24573" s="4" t="s">
        <v>24364</v>
      </c>
      <c r="B24573" s="4">
        <v>97454</v>
      </c>
      <c r="D24573" s="5" t="s">
        <v>32391</v>
      </c>
      <c r="E24573" s="6" t="str">
        <f>HYPERLINK("https://inpn.mnhn.fr/espece/cd_nom/97454","Euphorbia angulata Jacq., 1789")</f>
        <v>Euphorbia angulata Jacq., 1789</v>
      </c>
      <c r="F24573" s="5" t="s">
        <v>32392</v>
      </c>
      <c r="Q24573" s="7" t="str">
        <f>HYPERLINK("#Liste_rouge!A"&amp;_xlfn.XMATCH("LC",Liste_rouge!A:A,2,1),"LC")</f>
        <v>LC</v>
      </c>
      <c r="T24573" s="7" t="str">
        <f>HYPERLINK("#Liste_rouge!A"&amp;_xlfn.XMATCH("RE",Liste_rouge!A:A,2,1),"RE")</f>
        <v>RE</v>
      </c>
      <c r="AH24573" s="4" t="str">
        <f>HYPERLINK("#Statut_biogéographique!A"&amp;_xlfn.XMATCH("P",Statut_biogéographique!A:A,2,1),"P")</f>
        <v>P</v>
      </c>
      <c r="AM24573" s="4" t="s">
        <v>375</v>
      </c>
      <c r="AN24573" s="4" t="s">
        <v>375</v>
      </c>
      <c r="AO24573" s="4" t="s">
        <v>375</v>
      </c>
      <c r="AP24573" s="4" t="s">
        <v>376</v>
      </c>
      <c r="AR24573" s="4" t="s">
        <v>377</v>
      </c>
    </row>
    <row r="24574" spans="1:44" ht="60">
      <c r="A24574" s="4" t="s">
        <v>24364</v>
      </c>
      <c r="B24574" s="4">
        <v>97477</v>
      </c>
      <c r="D24574" s="5" t="s">
        <v>32393</v>
      </c>
      <c r="E24574" s="6" t="str">
        <f>HYPERLINK("https://inpn.mnhn.fr/espece/cd_nom/97477","Euphorbia chamaesyce L., 1753")</f>
        <v>Euphorbia chamaesyce L., 1753</v>
      </c>
      <c r="F24574" s="5" t="s">
        <v>32394</v>
      </c>
      <c r="Q24574" s="7" t="str">
        <f>HYPERLINK("#Liste_rouge!A"&amp;_xlfn.XMATCH("LC",Liste_rouge!A:A,2,1),"LC")</f>
        <v>LC</v>
      </c>
      <c r="T24574" s="7" t="str">
        <f>HYPERLINK("#Liste_rouge!A"&amp;_xlfn.XMATCH("NA",Liste_rouge!A:A,2,1),"NA")</f>
        <v>NA</v>
      </c>
      <c r="AH24574" s="4" t="str">
        <f>HYPERLINK("#Statut_biogéographique!A"&amp;_xlfn.XMATCH("P",Statut_biogéographique!A:A,2,1),"P")</f>
        <v>P</v>
      </c>
      <c r="AP24574" s="4" t="s">
        <v>376</v>
      </c>
      <c r="AR24574" s="4" t="s">
        <v>377</v>
      </c>
    </row>
    <row r="24575" spans="1:44" ht="30">
      <c r="A24575" s="4" t="s">
        <v>24364</v>
      </c>
      <c r="B24575" s="4">
        <v>97490</v>
      </c>
      <c r="D24575" s="5" t="s">
        <v>32395</v>
      </c>
      <c r="E24575" s="6" t="str">
        <f>HYPERLINK("https://inpn.mnhn.fr/espece/cd_nom/97490","Euphorbia cyparissias L., 1753")</f>
        <v>Euphorbia cyparissias L., 1753</v>
      </c>
      <c r="F24575" s="5" t="s">
        <v>32396</v>
      </c>
      <c r="Q24575" s="7" t="str">
        <f>HYPERLINK("#Liste_rouge!A"&amp;_xlfn.XMATCH("LC",Liste_rouge!A:A,2,1),"LC")</f>
        <v>LC</v>
      </c>
      <c r="T24575" s="7" t="str">
        <f>HYPERLINK("#Liste_rouge!A"&amp;_xlfn.XMATCH("LC",Liste_rouge!A:A,2,1),"LC")</f>
        <v>LC</v>
      </c>
      <c r="V24575" s="7" t="str">
        <f>HYPERLINK("#Liste_rouge!A"&amp;_xlfn.XMATCH("LC",Liste_rouge!A:A,2,1),"LC")</f>
        <v>LC</v>
      </c>
      <c r="AH24575" s="4" t="str">
        <f>HYPERLINK("#Statut_biogéographique!A"&amp;_xlfn.XMATCH("P",Statut_biogéographique!A:A,2,1),"P")</f>
        <v>P</v>
      </c>
      <c r="AM24575" s="4" t="s">
        <v>375</v>
      </c>
      <c r="AN24575" s="4" t="s">
        <v>375</v>
      </c>
      <c r="AO24575" s="4" t="s">
        <v>375</v>
      </c>
      <c r="AP24575" s="4" t="s">
        <v>376</v>
      </c>
      <c r="AR24575" s="4" t="s">
        <v>377</v>
      </c>
    </row>
    <row r="24576" spans="1:44">
      <c r="A24576" s="4" t="s">
        <v>24364</v>
      </c>
      <c r="B24576" s="4">
        <v>97493</v>
      </c>
      <c r="D24576" s="5">
        <v>97493</v>
      </c>
      <c r="E24576" s="6" t="str">
        <f>HYPERLINK("https://inpn.mnhn.fr/espece/cd_nom/97493","Euphorbia dentata Michx., 1803")</f>
        <v>Euphorbia dentata Michx., 1803</v>
      </c>
      <c r="F24576" s="5" t="s">
        <v>32397</v>
      </c>
      <c r="T24576" s="7" t="str">
        <f>HYPERLINK("#Liste_rouge!A"&amp;_xlfn.XMATCH("NA",Liste_rouge!A:A,2,1),"NA")</f>
        <v>NA</v>
      </c>
      <c r="AH24576" s="4" t="str">
        <f>HYPERLINK("#Statut_biogéographique!A"&amp;_xlfn.XMATCH("Q",Statut_biogéographique!A:A,2,1),"Q")</f>
        <v>Q</v>
      </c>
      <c r="AP24576" s="4" t="s">
        <v>376</v>
      </c>
      <c r="AR24576" s="4" t="s">
        <v>377</v>
      </c>
    </row>
    <row r="24577" spans="1:44">
      <c r="A24577" s="4" t="s">
        <v>24364</v>
      </c>
      <c r="B24577" s="4">
        <v>97502</v>
      </c>
      <c r="D24577" s="5" t="s">
        <v>32398</v>
      </c>
      <c r="E24577" s="6" t="str">
        <f>HYPERLINK("https://inpn.mnhn.fr/espece/cd_nom/97502","Euphorbia dulcis L., 1753")</f>
        <v>Euphorbia dulcis L., 1753</v>
      </c>
      <c r="F24577" s="5" t="s">
        <v>32399</v>
      </c>
      <c r="Q24577" s="7" t="str">
        <f>HYPERLINK("#Liste_rouge!A"&amp;_xlfn.XMATCH("LC",Liste_rouge!A:A,2,1),"LC")</f>
        <v>LC</v>
      </c>
      <c r="T24577" s="7" t="str">
        <f>HYPERLINK("#Liste_rouge!A"&amp;_xlfn.XMATCH("LC",Liste_rouge!A:A,2,1),"LC")</f>
        <v>LC</v>
      </c>
      <c r="V24577" s="7" t="str">
        <f>HYPERLINK("#Liste_rouge!A"&amp;_xlfn.XMATCH("LC",Liste_rouge!A:A,2,1),"LC")</f>
        <v>LC</v>
      </c>
      <c r="AH24577" s="4" t="str">
        <f>HYPERLINK("#Statut_biogéographique!A"&amp;_xlfn.XMATCH("P",Statut_biogéographique!A:A,2,1),"P")</f>
        <v>P</v>
      </c>
      <c r="AM24577" s="4" t="s">
        <v>375</v>
      </c>
      <c r="AN24577" s="4" t="s">
        <v>375</v>
      </c>
      <c r="AO24577" s="4" t="s">
        <v>375</v>
      </c>
      <c r="AP24577" s="4" t="s">
        <v>376</v>
      </c>
      <c r="AR24577" s="4" t="s">
        <v>377</v>
      </c>
    </row>
    <row r="24578" spans="1:44" ht="105">
      <c r="A24578" s="4" t="s">
        <v>24364</v>
      </c>
      <c r="B24578" s="4">
        <v>97508</v>
      </c>
      <c r="D24578" s="5" t="s">
        <v>32400</v>
      </c>
      <c r="E24578" s="6" t="str">
        <f>HYPERLINK("https://inpn.mnhn.fr/espece/cd_nom/97508","Euphorbia esula L., 1753")</f>
        <v>Euphorbia esula L., 1753</v>
      </c>
      <c r="F24578" s="5" t="s">
        <v>32401</v>
      </c>
      <c r="Q24578" s="7" t="str">
        <f>HYPERLINK("#Liste_rouge!A"&amp;_xlfn.XMATCH("LC",Liste_rouge!A:A,2,1),"LC")</f>
        <v>LC</v>
      </c>
      <c r="T24578" s="7" t="str">
        <f>HYPERLINK("#Liste_rouge!A"&amp;_xlfn.XMATCH("LC",Liste_rouge!A:A,2,1),"LC (cd_nom 97508) - DD (cd_nom 134367)")</f>
        <v>LC (cd_nom 97508) - DD (cd_nom 134367)</v>
      </c>
      <c r="V24578" s="7" t="str">
        <f>HYPERLINK("#Liste_rouge!A"&amp;_xlfn.XMATCH("LC",Liste_rouge!A:A,2,1),"LC")</f>
        <v>LC</v>
      </c>
      <c r="AH24578" s="4" t="str">
        <f>HYPERLINK("#Statut_biogéographique!A"&amp;_xlfn.XMATCH("P",Statut_biogéographique!A:A,2,1),"P")</f>
        <v>P</v>
      </c>
      <c r="AM24578" s="4" t="s">
        <v>375</v>
      </c>
      <c r="AN24578" s="4" t="s">
        <v>375</v>
      </c>
      <c r="AO24578" s="4" t="s">
        <v>375</v>
      </c>
      <c r="AP24578" s="4" t="s">
        <v>376</v>
      </c>
      <c r="AR24578" s="4" t="s">
        <v>377</v>
      </c>
    </row>
    <row r="24579" spans="1:44" ht="60">
      <c r="A24579" s="4" t="s">
        <v>24364</v>
      </c>
      <c r="B24579" s="4">
        <v>97511</v>
      </c>
      <c r="D24579" s="5" t="s">
        <v>32402</v>
      </c>
      <c r="E24579" s="6" t="str">
        <f>HYPERLINK("https://inpn.mnhn.fr/espece/cd_nom/97511","Euphorbia exigua L., 1753")</f>
        <v>Euphorbia exigua L., 1753</v>
      </c>
      <c r="F24579" s="5" t="s">
        <v>32403</v>
      </c>
      <c r="Q24579" s="7" t="str">
        <f>HYPERLINK("#Liste_rouge!A"&amp;_xlfn.XMATCH("LC",Liste_rouge!A:A,2,1),"LC")</f>
        <v>LC</v>
      </c>
      <c r="T24579" s="7" t="str">
        <f>HYPERLINK("#Liste_rouge!A"&amp;_xlfn.XMATCH("LC",Liste_rouge!A:A,2,1),"LC (cd_nom 97511) - DD (cd_nom 146573)")</f>
        <v>LC (cd_nom 97511) - DD (cd_nom 146573)</v>
      </c>
      <c r="V24579" s="7" t="str">
        <f>HYPERLINK("#Liste_rouge!A"&amp;_xlfn.XMATCH("LC",Liste_rouge!A:A,2,1),"LC")</f>
        <v>LC</v>
      </c>
      <c r="AH24579" s="4" t="str">
        <f>HYPERLINK("#Statut_biogéographique!A"&amp;_xlfn.XMATCH("P",Statut_biogéographique!A:A,2,1),"P")</f>
        <v>P</v>
      </c>
      <c r="AM24579" s="4" t="s">
        <v>375</v>
      </c>
      <c r="AN24579" s="4" t="s">
        <v>375</v>
      </c>
      <c r="AO24579" s="4" t="s">
        <v>375</v>
      </c>
      <c r="AP24579" s="4" t="s">
        <v>376</v>
      </c>
      <c r="AR24579" s="4" t="s">
        <v>377</v>
      </c>
    </row>
    <row r="24580" spans="1:44" ht="30">
      <c r="A24580" s="4" t="s">
        <v>24364</v>
      </c>
      <c r="B24580" s="4">
        <v>97513</v>
      </c>
      <c r="D24580" s="5" t="s">
        <v>32404</v>
      </c>
      <c r="E24580" s="6" t="str">
        <f>HYPERLINK("https://inpn.mnhn.fr/espece/cd_nom/97513","Euphorbia falcata L., 1753 [nom. et typ. cons.]")</f>
        <v>Euphorbia falcata L., 1753 [nom. et typ. cons.]</v>
      </c>
      <c r="F24580" s="5" t="s">
        <v>32405</v>
      </c>
      <c r="Q24580" s="7" t="str">
        <f>HYPERLINK("#Liste_rouge!A"&amp;_xlfn.XMATCH("LC",Liste_rouge!A:A,2,1),"LC")</f>
        <v>LC</v>
      </c>
      <c r="T24580" s="7" t="str">
        <f>HYPERLINK("#Liste_rouge!A"&amp;_xlfn.XMATCH("VU",Liste_rouge!A:A,2,1),"VU")</f>
        <v>VU</v>
      </c>
      <c r="U24580" s="4" t="str">
        <f>HYPERLINK("#Critères_liste_rouge!A$1","D2")</f>
        <v>D2</v>
      </c>
      <c r="AB24580" s="4" t="s">
        <v>24803</v>
      </c>
      <c r="AH24580" s="4" t="str">
        <f>HYPERLINK("#Statut_biogéographique!A"&amp;_xlfn.XMATCH("P",Statut_biogéographique!A:A,2,1),"P")</f>
        <v>P</v>
      </c>
      <c r="AI24580" s="8" t="s">
        <v>32406</v>
      </c>
      <c r="AJ24580" s="4" t="s">
        <v>12248</v>
      </c>
      <c r="AM24580" s="4" t="s">
        <v>375</v>
      </c>
      <c r="AN24580" s="4" t="s">
        <v>375</v>
      </c>
      <c r="AO24580" s="4" t="s">
        <v>375</v>
      </c>
      <c r="AP24580" s="4" t="s">
        <v>376</v>
      </c>
      <c r="AR24580" s="4" t="s">
        <v>377</v>
      </c>
    </row>
    <row r="24581" spans="1:44" ht="30">
      <c r="A24581" s="4" t="s">
        <v>24364</v>
      </c>
      <c r="B24581" s="4">
        <v>97516</v>
      </c>
      <c r="D24581" s="5" t="s">
        <v>32407</v>
      </c>
      <c r="E24581" s="6" t="str">
        <f>HYPERLINK("https://inpn.mnhn.fr/espece/cd_nom/97516","Euphorbia flavicoma DC., 1813")</f>
        <v>Euphorbia flavicoma DC., 1813</v>
      </c>
      <c r="F24581" s="5" t="s">
        <v>32408</v>
      </c>
      <c r="Q24581" s="7" t="str">
        <f>HYPERLINK("#Liste_rouge!A"&amp;_xlfn.XMATCH("LC",Liste_rouge!A:A,2,1),"LC")</f>
        <v>LC</v>
      </c>
      <c r="T24581" s="7" t="str">
        <f>HYPERLINK("#Liste_rouge!A"&amp;_xlfn.XMATCH("LC",Liste_rouge!A:A,2,1),"LC")</f>
        <v>LC</v>
      </c>
      <c r="V24581" s="7" t="str">
        <f>HYPERLINK("#Liste_rouge!A"&amp;_xlfn.XMATCH("LC",Liste_rouge!A:A,2,1),"LC")</f>
        <v>LC</v>
      </c>
      <c r="AH24581" s="4" t="str">
        <f>HYPERLINK("#Statut_biogéographique!A"&amp;_xlfn.XMATCH("P",Statut_biogéographique!A:A,2,1),"P")</f>
        <v>P</v>
      </c>
      <c r="AM24581" s="4" t="s">
        <v>375</v>
      </c>
      <c r="AN24581" s="4" t="s">
        <v>375</v>
      </c>
      <c r="AO24581" s="4" t="s">
        <v>375</v>
      </c>
      <c r="AP24581" s="4" t="s">
        <v>376</v>
      </c>
      <c r="AR24581" s="4" t="s">
        <v>377</v>
      </c>
    </row>
    <row r="24582" spans="1:44">
      <c r="A24582" s="4" t="s">
        <v>24364</v>
      </c>
      <c r="B24582" s="4">
        <v>97533</v>
      </c>
      <c r="D24582" s="5" t="s">
        <v>32409</v>
      </c>
      <c r="E24582" s="6" t="str">
        <f>HYPERLINK("https://inpn.mnhn.fr/espece/cd_nom/97533","Euphorbia graminifolia Vill., 1786")</f>
        <v>Euphorbia graminifolia Vill., 1786</v>
      </c>
      <c r="F24582" s="5" t="s">
        <v>32410</v>
      </c>
      <c r="L24582" s="4" t="str">
        <f>HYPERLINK("#Réglementation!A"&amp;_xlfn.XMATCH("NV1",Réglementation!A:A,2,1),"NV1")</f>
        <v>NV1</v>
      </c>
      <c r="Q24582" s="7" t="str">
        <f>HYPERLINK("#Liste_rouge!A"&amp;_xlfn.XMATCH("LC",Liste_rouge!A:A,2,1),"LC")</f>
        <v>LC</v>
      </c>
      <c r="T24582" s="7" t="str">
        <f>HYPERLINK("#Liste_rouge!A"&amp;_xlfn.XMATCH("NA",Liste_rouge!A:A,2,1),"NA")</f>
        <v>NA</v>
      </c>
      <c r="AH24582" s="4" t="str">
        <f>HYPERLINK("#Statut_biogéographique!A"&amp;_xlfn.XMATCH("E",Statut_biogéographique!A:A,2,1),"E")</f>
        <v>E</v>
      </c>
      <c r="AP24582" s="4" t="s">
        <v>376</v>
      </c>
      <c r="AR24582" s="4" t="s">
        <v>377</v>
      </c>
    </row>
    <row r="24583" spans="1:44">
      <c r="A24583" s="4" t="s">
        <v>24364</v>
      </c>
      <c r="B24583" s="4">
        <v>97537</v>
      </c>
      <c r="D24583" s="5" t="s">
        <v>32411</v>
      </c>
      <c r="E24583" s="6" t="str">
        <f>HYPERLINK("https://inpn.mnhn.fr/espece/cd_nom/97537","Euphorbia helioscopia L., 1753")</f>
        <v>Euphorbia helioscopia L., 1753</v>
      </c>
      <c r="F24583" s="5" t="s">
        <v>32412</v>
      </c>
      <c r="Q24583" s="7" t="str">
        <f>HYPERLINK("#Liste_rouge!A"&amp;_xlfn.XMATCH("LC",Liste_rouge!A:A,2,1),"LC")</f>
        <v>LC</v>
      </c>
      <c r="T24583" s="7" t="str">
        <f>HYPERLINK("#Liste_rouge!A"&amp;_xlfn.XMATCH("LC",Liste_rouge!A:A,2,1),"LC")</f>
        <v>LC</v>
      </c>
      <c r="V24583" s="7" t="str">
        <f>HYPERLINK("#Liste_rouge!A"&amp;_xlfn.XMATCH("LC",Liste_rouge!A:A,2,1),"LC")</f>
        <v>LC</v>
      </c>
      <c r="AH24583" s="4" t="str">
        <f>HYPERLINK("#Statut_biogéographique!A"&amp;_xlfn.XMATCH("P",Statut_biogéographique!A:A,2,1),"P")</f>
        <v>P</v>
      </c>
      <c r="AM24583" s="4" t="s">
        <v>375</v>
      </c>
      <c r="AN24583" s="4" t="s">
        <v>375</v>
      </c>
      <c r="AO24583" s="4" t="s">
        <v>375</v>
      </c>
      <c r="AP24583" s="4" t="s">
        <v>376</v>
      </c>
      <c r="AR24583" s="4" t="s">
        <v>377</v>
      </c>
    </row>
    <row r="24584" spans="1:44">
      <c r="A24584" s="4" t="s">
        <v>24364</v>
      </c>
      <c r="B24584" s="4">
        <v>97543</v>
      </c>
      <c r="D24584" s="5" t="s">
        <v>32413</v>
      </c>
      <c r="E24584" s="6" t="str">
        <f>HYPERLINK("https://inpn.mnhn.fr/espece/cd_nom/97543","Euphorbia humifusa Willd., 1814")</f>
        <v>Euphorbia humifusa Willd., 1814</v>
      </c>
      <c r="F24584" s="5" t="s">
        <v>32414</v>
      </c>
      <c r="Q24584" s="7" t="str">
        <f>HYPERLINK("#Liste_rouge!A"&amp;_xlfn.XMATCH("NA",Liste_rouge!A:A,2,1),"NA")</f>
        <v>NA</v>
      </c>
      <c r="T24584" s="7" t="str">
        <f>HYPERLINK("#Liste_rouge!A"&amp;_xlfn.XMATCH("NA",Liste_rouge!A:A,2,1),"NA")</f>
        <v>NA</v>
      </c>
      <c r="AH24584" s="4" t="str">
        <f>HYPERLINK("#Statut_biogéographique!A"&amp;_xlfn.XMATCH("I",Statut_biogéographique!A:A,2,1),"I")</f>
        <v>I</v>
      </c>
      <c r="AM24584" s="4" t="s">
        <v>375</v>
      </c>
      <c r="AN24584" s="4" t="s">
        <v>375</v>
      </c>
      <c r="AO24584" s="4" t="s">
        <v>375</v>
      </c>
      <c r="AP24584" s="4" t="s">
        <v>376</v>
      </c>
      <c r="AR24584" s="4" t="s">
        <v>377</v>
      </c>
    </row>
    <row r="24585" spans="1:44">
      <c r="A24585" s="4" t="s">
        <v>24364</v>
      </c>
      <c r="B24585" s="4">
        <v>97544</v>
      </c>
      <c r="D24585" s="5" t="s">
        <v>32415</v>
      </c>
      <c r="E24585" s="6" t="str">
        <f>HYPERLINK("https://inpn.mnhn.fr/espece/cd_nom/97544","Euphorbia hyberna L., 1753")</f>
        <v>Euphorbia hyberna L., 1753</v>
      </c>
      <c r="F24585" s="5" t="s">
        <v>32416</v>
      </c>
      <c r="Q24585" s="7" t="str">
        <f>HYPERLINK("#Liste_rouge!A"&amp;_xlfn.XMATCH("LC",Liste_rouge!A:A,2,1),"LC")</f>
        <v>LC</v>
      </c>
      <c r="T24585" s="7" t="str">
        <f>HYPERLINK("#Liste_rouge!A"&amp;_xlfn.XMATCH("VU",Liste_rouge!A:A,2,1),"VU")</f>
        <v>VU</v>
      </c>
      <c r="U24585" s="4" t="str">
        <f>HYPERLINK("#Critères_liste_rouge!A$1","D1")</f>
        <v>D1</v>
      </c>
      <c r="X24585" s="5" t="s">
        <v>374</v>
      </c>
      <c r="AB24585" s="4" t="s">
        <v>93</v>
      </c>
      <c r="AH24585" s="4" t="str">
        <f>HYPERLINK("#Statut_biogéographique!A"&amp;_xlfn.XMATCH("P",Statut_biogéographique!A:A,2,1),"P")</f>
        <v>P</v>
      </c>
      <c r="AM24585" s="4" t="s">
        <v>375</v>
      </c>
      <c r="AN24585" s="4" t="s">
        <v>375</v>
      </c>
      <c r="AO24585" s="4" t="s">
        <v>375</v>
      </c>
      <c r="AP24585" s="4" t="s">
        <v>376</v>
      </c>
      <c r="AR24585" s="4" t="s">
        <v>377</v>
      </c>
    </row>
    <row r="24586" spans="1:44" ht="60">
      <c r="A24586" s="4" t="s">
        <v>24364</v>
      </c>
      <c r="B24586" s="4">
        <v>975508</v>
      </c>
      <c r="D24586" s="5" t="s">
        <v>32417</v>
      </c>
      <c r="E24586" s="6" t="str">
        <f>HYPERLINK("https://inpn.mnhn.fr/espece/cd_nom/975508","Chamaemespilus alpina (Mill.) K.R.Robertson &amp; J.B.Phipps, 1991")</f>
        <v>Chamaemespilus alpina (Mill.) K.R.Robertson &amp; J.B.Phipps, 1991</v>
      </c>
      <c r="F24586" s="5" t="s">
        <v>32418</v>
      </c>
      <c r="O24586" s="7" t="str">
        <f>HYPERLINK("#Liste_rouge!A"&amp;_xlfn.XMATCH("LC",Liste_rouge!A:A,2,1),"LC")</f>
        <v>LC</v>
      </c>
      <c r="P24586" s="7" t="str">
        <f>HYPERLINK("#Liste_rouge!A"&amp;_xlfn.XMATCH("LC",Liste_rouge!A:A,2,1),"LC")</f>
        <v>LC</v>
      </c>
      <c r="Q24586" s="7" t="str">
        <f>HYPERLINK("#Liste_rouge!A"&amp;_xlfn.XMATCH("LC",Liste_rouge!A:A,2,1),"LC")</f>
        <v>LC</v>
      </c>
      <c r="V24586" s="7" t="str">
        <f>HYPERLINK("#Liste_rouge!A"&amp;_xlfn.XMATCH("LC",Liste_rouge!A:A,2,1),"LC")</f>
        <v>LC</v>
      </c>
      <c r="X24586" s="5" t="s">
        <v>374</v>
      </c>
      <c r="AB24586" s="4" t="s">
        <v>93</v>
      </c>
      <c r="AH24586" s="4" t="str">
        <f>HYPERLINK("#Statut_biogéographique!A"&amp;_xlfn.XMATCH("P",Statut_biogéographique!A:A,2,1),"P")</f>
        <v>P</v>
      </c>
      <c r="AM24586" s="4" t="s">
        <v>375</v>
      </c>
      <c r="AN24586" s="4" t="s">
        <v>375</v>
      </c>
      <c r="AO24586" s="4" t="s">
        <v>375</v>
      </c>
      <c r="AP24586" s="4" t="s">
        <v>376</v>
      </c>
      <c r="AR24586" s="4" t="s">
        <v>377</v>
      </c>
    </row>
    <row r="24587" spans="1:44" ht="60">
      <c r="A24587" s="4" t="s">
        <v>24364</v>
      </c>
      <c r="B24587" s="4">
        <v>975515</v>
      </c>
      <c r="D24587" s="5" t="s">
        <v>32419</v>
      </c>
      <c r="E24587" s="6" t="str">
        <f>HYPERLINK("https://inpn.mnhn.fr/espece/cd_nom/975515","Torminalis glaberrima (Gand.) Sennikov &amp; Kurtto, 2017")</f>
        <v>Torminalis glaberrima (Gand.) Sennikov &amp; Kurtto, 2017</v>
      </c>
      <c r="F24587" s="5" t="s">
        <v>32420</v>
      </c>
      <c r="P24587" s="7" t="str">
        <f>HYPERLINK("#Liste_rouge!A"&amp;_xlfn.XMATCH("LC",Liste_rouge!A:A,2,1),"LC")</f>
        <v>LC</v>
      </c>
      <c r="Q24587" s="7" t="str">
        <f>HYPERLINK("#Liste_rouge!A"&amp;_xlfn.XMATCH("LC",Liste_rouge!A:A,2,1),"LC")</f>
        <v>LC</v>
      </c>
      <c r="T24587" s="7" t="str">
        <f>HYPERLINK("#Liste_rouge!A"&amp;_xlfn.XMATCH("LC",Liste_rouge!A:A,2,1),"LC")</f>
        <v>LC</v>
      </c>
      <c r="V24587" s="7" t="str">
        <f>HYPERLINK("#Liste_rouge!A"&amp;_xlfn.XMATCH("LC",Liste_rouge!A:A,2,1),"LC")</f>
        <v>LC</v>
      </c>
      <c r="AH24587" s="4" t="str">
        <f>HYPERLINK("#Statut_biogéographique!A"&amp;_xlfn.XMATCH("P",Statut_biogéographique!A:A,2,1),"P")</f>
        <v>P</v>
      </c>
      <c r="AM24587" s="4" t="s">
        <v>375</v>
      </c>
      <c r="AN24587" s="4" t="s">
        <v>375</v>
      </c>
      <c r="AO24587" s="4" t="s">
        <v>375</v>
      </c>
      <c r="AP24587" s="4" t="s">
        <v>376</v>
      </c>
      <c r="AR24587" s="4" t="s">
        <v>377</v>
      </c>
    </row>
    <row r="24588" spans="1:44" ht="60">
      <c r="A24588" s="4" t="s">
        <v>24364</v>
      </c>
      <c r="B24588" s="4">
        <v>975518</v>
      </c>
      <c r="D24588" s="5" t="s">
        <v>32421</v>
      </c>
      <c r="E24588" s="6" t="str">
        <f>HYPERLINK("https://inpn.mnhn.fr/espece/cd_nom/975518","Hedlundia x thuringiaca (Nyman) Sennikov &amp; Kurtto, 2017")</f>
        <v>Hedlundia x thuringiaca (Nyman) Sennikov &amp; Kurtto, 2017</v>
      </c>
      <c r="F24588" s="5" t="s">
        <v>32422</v>
      </c>
      <c r="T24588" s="7" t="str">
        <f>HYPERLINK("#Liste_rouge!A"&amp;_xlfn.XMATCH("DD",Liste_rouge!A:A,2,1),"DD")</f>
        <v>DD</v>
      </c>
      <c r="AH24588" s="4" t="str">
        <f>HYPERLINK("#Statut_biogéographique!A"&amp;_xlfn.XMATCH("P",Statut_biogéographique!A:A,2,1),"P")</f>
        <v>P</v>
      </c>
      <c r="AP24588" s="4" t="s">
        <v>376</v>
      </c>
      <c r="AR24588" s="4" t="s">
        <v>377</v>
      </c>
    </row>
    <row r="24589" spans="1:44" ht="30">
      <c r="A24589" s="4" t="s">
        <v>24364</v>
      </c>
      <c r="B24589" s="4">
        <v>97556</v>
      </c>
      <c r="D24589" s="5" t="s">
        <v>32423</v>
      </c>
      <c r="E24589" s="6" t="str">
        <f>HYPERLINK("https://inpn.mnhn.fr/espece/cd_nom/97556","Euphorbia lathyris L., 1753")</f>
        <v>Euphorbia lathyris L., 1753</v>
      </c>
      <c r="F24589" s="5" t="s">
        <v>32424</v>
      </c>
      <c r="Q24589" s="7" t="str">
        <f>HYPERLINK("#Liste_rouge!A"&amp;_xlfn.XMATCH("LC",Liste_rouge!A:A,2,1),"LC")</f>
        <v>LC</v>
      </c>
      <c r="T24589" s="7" t="str">
        <f>HYPERLINK("#Liste_rouge!A"&amp;_xlfn.XMATCH("NA",Liste_rouge!A:A,2,1),"NA")</f>
        <v>NA</v>
      </c>
      <c r="AH24589" s="4" t="str">
        <f>HYPERLINK("#Statut_biogéographique!A"&amp;_xlfn.XMATCH("I",Statut_biogéographique!A:A,2,1),"I")</f>
        <v>I</v>
      </c>
      <c r="AM24589" s="4" t="s">
        <v>375</v>
      </c>
      <c r="AN24589" s="4" t="s">
        <v>375</v>
      </c>
      <c r="AO24589" s="4" t="s">
        <v>375</v>
      </c>
      <c r="AP24589" s="4" t="s">
        <v>376</v>
      </c>
      <c r="AR24589" s="4" t="s">
        <v>377</v>
      </c>
    </row>
    <row r="24590" spans="1:44" ht="45">
      <c r="A24590" s="4" t="s">
        <v>24364</v>
      </c>
      <c r="B24590" s="4">
        <v>975567</v>
      </c>
      <c r="D24590" s="5" t="s">
        <v>32425</v>
      </c>
      <c r="E24590" s="6" t="str">
        <f>HYPERLINK("https://inpn.mnhn.fr/espece/cd_nom/975567","Hedlundia mougeotii (Soy.-Will. &amp; Godr.) Sennikov &amp; Kurtto, 2017")</f>
        <v>Hedlundia mougeotii (Soy.-Will. &amp; Godr.) Sennikov &amp; Kurtto, 2017</v>
      </c>
      <c r="F24590" s="5" t="s">
        <v>32426</v>
      </c>
      <c r="P24590" s="7" t="str">
        <f>HYPERLINK("#Liste_rouge!A"&amp;_xlfn.XMATCH("LC",Liste_rouge!A:A,2,1),"LC")</f>
        <v>LC</v>
      </c>
      <c r="Q24590" s="7" t="str">
        <f>HYPERLINK("#Liste_rouge!A"&amp;_xlfn.XMATCH("LC",Liste_rouge!A:A,2,1),"LC")</f>
        <v>LC</v>
      </c>
      <c r="V24590" s="7" t="str">
        <f>HYPERLINK("#Liste_rouge!A"&amp;_xlfn.XMATCH("LC",Liste_rouge!A:A,2,1),"LC")</f>
        <v>LC</v>
      </c>
      <c r="AB24590" s="4" t="s">
        <v>24719</v>
      </c>
      <c r="AH24590" s="4" t="str">
        <f>HYPERLINK("#Statut_biogéographique!A"&amp;_xlfn.XMATCH("P",Statut_biogéographique!A:A,2,1),"P")</f>
        <v>P</v>
      </c>
      <c r="AM24590" s="4" t="s">
        <v>375</v>
      </c>
      <c r="AN24590" s="4" t="s">
        <v>375</v>
      </c>
      <c r="AO24590" s="4" t="s">
        <v>375</v>
      </c>
      <c r="AP24590" s="4" t="s">
        <v>376</v>
      </c>
      <c r="AR24590" s="4" t="s">
        <v>377</v>
      </c>
    </row>
    <row r="24591" spans="1:44" ht="75">
      <c r="A24591" s="4" t="s">
        <v>24364</v>
      </c>
      <c r="B24591" s="4">
        <v>975572</v>
      </c>
      <c r="D24591" s="5" t="s">
        <v>32427</v>
      </c>
      <c r="E24591" s="6" t="str">
        <f>HYPERLINK("https://inpn.mnhn.fr/espece/cd_nom/975572","Borkhausenia intermedia (Ehrh.) Sennikov &amp; Kurtto, 2017")</f>
        <v>Borkhausenia intermedia (Ehrh.) Sennikov &amp; Kurtto, 2017</v>
      </c>
      <c r="F24591" s="5" t="s">
        <v>32428</v>
      </c>
      <c r="P24591" s="7" t="str">
        <f>HYPERLINK("#Liste_rouge!A"&amp;_xlfn.XMATCH("LC",Liste_rouge!A:A,2,1),"LC")</f>
        <v>LC</v>
      </c>
      <c r="Q24591" s="7" t="str">
        <f>HYPERLINK("#Liste_rouge!A"&amp;_xlfn.XMATCH("NA",Liste_rouge!A:A,2,1),"NA")</f>
        <v>NA</v>
      </c>
      <c r="AH24591" s="4" t="str">
        <f>HYPERLINK("#Statut_biogéographique!A"&amp;_xlfn.XMATCH("P",Statut_biogéographique!A:A,2,1),"P")</f>
        <v>P</v>
      </c>
      <c r="AP24591" s="4" t="s">
        <v>376</v>
      </c>
      <c r="AR24591" s="4" t="s">
        <v>377</v>
      </c>
    </row>
    <row r="24592" spans="1:44" ht="45">
      <c r="A24592" s="4" t="s">
        <v>24364</v>
      </c>
      <c r="B24592" s="4">
        <v>975593</v>
      </c>
      <c r="D24592" s="5" t="s">
        <v>32429</v>
      </c>
      <c r="E24592" s="6" t="str">
        <f>HYPERLINK("https://inpn.mnhn.fr/espece/cd_nom/975593","Karpatiosorbus x hybrida (Borkh.) Sennikov &amp; Kurtto, 2017")</f>
        <v>Karpatiosorbus x hybrida (Borkh.) Sennikov &amp; Kurtto, 2017</v>
      </c>
      <c r="F24592" s="5" t="s">
        <v>32430</v>
      </c>
      <c r="T24592" s="7" t="str">
        <f>HYPERLINK("#Liste_rouge!A"&amp;_xlfn.XMATCH("LC",Liste_rouge!A:A,2,1),"LC")</f>
        <v>LC</v>
      </c>
      <c r="AH24592" s="4" t="str">
        <f>HYPERLINK("#Statut_biogéographique!A"&amp;_xlfn.XMATCH("P",Statut_biogéographique!A:A,2,1),"P")</f>
        <v>P</v>
      </c>
      <c r="AP24592" s="4" t="s">
        <v>376</v>
      </c>
      <c r="AR24592" s="4" t="s">
        <v>377</v>
      </c>
    </row>
    <row r="24593" spans="1:44" ht="45">
      <c r="A24593" s="4" t="s">
        <v>24364</v>
      </c>
      <c r="B24593" s="4">
        <v>975602</v>
      </c>
      <c r="D24593" s="5" t="s">
        <v>32431</v>
      </c>
      <c r="E24593" s="6" t="str">
        <f>HYPERLINK("https://inpn.mnhn.fr/espece/cd_nom/975602","Karpatiosorbus latifolia (Lam.) Sennikov &amp; Kurtto, 2017")</f>
        <v>Karpatiosorbus latifolia (Lam.) Sennikov &amp; Kurtto, 2017</v>
      </c>
      <c r="F24593" s="5" t="s">
        <v>32432</v>
      </c>
      <c r="L24593" s="4" t="str">
        <f>HYPERLINK("#Réglementation!A"&amp;_xlfn.XMATCH("NV1",Réglementation!A:A,2,1),"NV1")</f>
        <v>NV1</v>
      </c>
      <c r="P24593" s="7" t="str">
        <f>HYPERLINK("#Liste_rouge!A"&amp;_xlfn.XMATCH("VU",Liste_rouge!A:A,2,1),"VU")</f>
        <v>VU</v>
      </c>
      <c r="Q24593" s="7" t="str">
        <f>HYPERLINK("#Liste_rouge!A"&amp;_xlfn.XMATCH("LC",Liste_rouge!A:A,2,1),"LC")</f>
        <v>LC</v>
      </c>
      <c r="T24593" s="7" t="str">
        <f>HYPERLINK("#Liste_rouge!A"&amp;_xlfn.XMATCH("EN",Liste_rouge!A:A,2,1),"EN")</f>
        <v>EN</v>
      </c>
      <c r="U24593" s="4" t="str">
        <f>HYPERLINK("#Critères_liste_rouge!A$1","C2a(i)")</f>
        <v>C2a(i)</v>
      </c>
      <c r="X24593" s="5" t="s">
        <v>374</v>
      </c>
      <c r="AB24593" s="4" t="s">
        <v>93</v>
      </c>
      <c r="AH24593" s="4" t="str">
        <f>HYPERLINK("#Statut_biogéographique!A"&amp;_xlfn.XMATCH("P",Statut_biogéographique!A:A,2,1),"P")</f>
        <v>P</v>
      </c>
      <c r="AM24593" s="4" t="s">
        <v>375</v>
      </c>
      <c r="AN24593" s="4" t="s">
        <v>375</v>
      </c>
      <c r="AO24593" s="4" t="s">
        <v>375</v>
      </c>
      <c r="AP24593" s="4" t="s">
        <v>376</v>
      </c>
      <c r="AR24593" s="4" t="s">
        <v>377</v>
      </c>
    </row>
    <row r="24594" spans="1:44">
      <c r="A24594" s="4" t="s">
        <v>24364</v>
      </c>
      <c r="B24594" s="4">
        <v>97567</v>
      </c>
      <c r="D24594" s="5" t="s">
        <v>32433</v>
      </c>
      <c r="E24594" s="6" t="str">
        <f>HYPERLINK("https://inpn.mnhn.fr/espece/cd_nom/97567","Euphorbia loreyi Jord., 1855")</f>
        <v>Euphorbia loreyi Jord., 1855</v>
      </c>
      <c r="F24594" s="5" t="s">
        <v>32434</v>
      </c>
      <c r="Q24594" s="7" t="str">
        <f>HYPERLINK("#Liste_rouge!A"&amp;_xlfn.XMATCH("LC",Liste_rouge!A:A,2,1),"LC")</f>
        <v>LC</v>
      </c>
      <c r="T24594" s="7" t="str">
        <f>HYPERLINK("#Liste_rouge!A"&amp;_xlfn.XMATCH("VU",Liste_rouge!A:A,2,1),"VU")</f>
        <v>VU</v>
      </c>
      <c r="U24594" s="4" t="str">
        <f>HYPERLINK("#Critères_liste_rouge!A$1","C2a(i)")</f>
        <v>C2a(i)</v>
      </c>
      <c r="X24594" s="5" t="s">
        <v>374</v>
      </c>
      <c r="AB24594" s="4" t="s">
        <v>93</v>
      </c>
      <c r="AH24594" s="4" t="str">
        <f>HYPERLINK("#Statut_biogéographique!A"&amp;_xlfn.XMATCH("P",Statut_biogéographique!A:A,2,1),"P")</f>
        <v>P</v>
      </c>
      <c r="AM24594" s="4" t="s">
        <v>375</v>
      </c>
      <c r="AN24594" s="4" t="s">
        <v>375</v>
      </c>
      <c r="AO24594" s="4" t="s">
        <v>375</v>
      </c>
      <c r="AP24594" s="4" t="s">
        <v>376</v>
      </c>
      <c r="AR24594" s="4" t="s">
        <v>377</v>
      </c>
    </row>
    <row r="24595" spans="1:44" ht="30">
      <c r="A24595" s="4" t="s">
        <v>24364</v>
      </c>
      <c r="B24595" s="4">
        <v>97571</v>
      </c>
      <c r="D24595" s="5" t="s">
        <v>32435</v>
      </c>
      <c r="E24595" s="6" t="str">
        <f>HYPERLINK("https://inpn.mnhn.fr/espece/cd_nom/97571","Euphorbia maculata L., 1753")</f>
        <v>Euphorbia maculata L., 1753</v>
      </c>
      <c r="F24595" s="5" t="s">
        <v>32436</v>
      </c>
      <c r="Q24595" s="7" t="str">
        <f>HYPERLINK("#Liste_rouge!A"&amp;_xlfn.XMATCH("NA",Liste_rouge!A:A,2,1),"NA")</f>
        <v>NA</v>
      </c>
      <c r="T24595" s="7" t="str">
        <f>HYPERLINK("#Liste_rouge!A"&amp;_xlfn.XMATCH("NA",Liste_rouge!A:A,2,1),"NA")</f>
        <v>NA</v>
      </c>
      <c r="AH24595" s="4" t="str">
        <f>HYPERLINK("#Statut_biogéographique!A"&amp;_xlfn.XMATCH("I",Statut_biogéographique!A:A,2,1),"I")</f>
        <v>I</v>
      </c>
      <c r="AM24595" s="4" t="s">
        <v>375</v>
      </c>
      <c r="AN24595" s="4" t="s">
        <v>375</v>
      </c>
      <c r="AO24595" s="4" t="s">
        <v>375</v>
      </c>
      <c r="AP24595" s="4" t="s">
        <v>376</v>
      </c>
      <c r="AR24595" s="4" t="s">
        <v>377</v>
      </c>
    </row>
    <row r="24596" spans="1:44" ht="30">
      <c r="A24596" s="4" t="s">
        <v>24364</v>
      </c>
      <c r="B24596" s="4">
        <v>97574</v>
      </c>
      <c r="D24596" s="5" t="s">
        <v>32437</v>
      </c>
      <c r="E24596" s="6" t="str">
        <f>HYPERLINK("https://inpn.mnhn.fr/espece/cd_nom/97574","Euphorbia marginata Pursh, 1814")</f>
        <v>Euphorbia marginata Pursh, 1814</v>
      </c>
      <c r="F24596" s="5" t="s">
        <v>32438</v>
      </c>
      <c r="Q24596" s="7" t="str">
        <f>HYPERLINK("#Liste_rouge!A"&amp;_xlfn.XMATCH("NA",Liste_rouge!A:A,2,1),"NA")</f>
        <v>NA</v>
      </c>
      <c r="AH24596" s="4" t="str">
        <f>HYPERLINK("#Statut_biogéographique!A"&amp;_xlfn.XMATCH("M",Statut_biogéographique!A:A,2,1),"M")</f>
        <v>M</v>
      </c>
      <c r="AP24596" s="4" t="s">
        <v>376</v>
      </c>
      <c r="AR24596" s="4" t="s">
        <v>377</v>
      </c>
    </row>
    <row r="24597" spans="1:44" ht="60">
      <c r="A24597" s="4" t="s">
        <v>24364</v>
      </c>
      <c r="B24597" s="4">
        <v>97591</v>
      </c>
      <c r="D24597" s="5" t="s">
        <v>32439</v>
      </c>
      <c r="E24597" s="6" t="str">
        <f>HYPERLINK("https://inpn.mnhn.fr/espece/cd_nom/97591","Euphorbia nicaeensis All., 1785")</f>
        <v>Euphorbia nicaeensis All., 1785</v>
      </c>
      <c r="F24597" s="5" t="s">
        <v>32440</v>
      </c>
      <c r="Q24597" s="7" t="str">
        <f>HYPERLINK("#Liste_rouge!A"&amp;_xlfn.XMATCH("LC",Liste_rouge!A:A,2,1),"LC")</f>
        <v>LC</v>
      </c>
      <c r="T24597" s="7" t="str">
        <f>HYPERLINK("#Liste_rouge!A"&amp;_xlfn.XMATCH("NA",Liste_rouge!A:A,2,1),"NA")</f>
        <v>NA</v>
      </c>
      <c r="AH24597" s="4" t="str">
        <f>HYPERLINK("#Statut_biogéographique!A"&amp;_xlfn.XMATCH("P",Statut_biogéographique!A:A,2,1),"P")</f>
        <v>P</v>
      </c>
      <c r="AP24597" s="4" t="s">
        <v>376</v>
      </c>
      <c r="AR24597" s="4" t="s">
        <v>377</v>
      </c>
    </row>
    <row r="24598" spans="1:44" ht="30">
      <c r="A24598" s="4" t="s">
        <v>24364</v>
      </c>
      <c r="B24598" s="4">
        <v>97594</v>
      </c>
      <c r="D24598" s="5" t="s">
        <v>32441</v>
      </c>
      <c r="E24598" s="6" t="str">
        <f>HYPERLINK("https://inpn.mnhn.fr/espece/cd_nom/97594","Euphorbia nutans Lag., 1816")</f>
        <v>Euphorbia nutans Lag., 1816</v>
      </c>
      <c r="F24598" s="5" t="s">
        <v>32442</v>
      </c>
      <c r="O24598" s="7" t="str">
        <f>HYPERLINK("#Liste_rouge!A"&amp;_xlfn.XMATCH("LC",Liste_rouge!A:A,2,1),"LC")</f>
        <v>LC</v>
      </c>
      <c r="Q24598" s="7" t="str">
        <f>HYPERLINK("#Liste_rouge!A"&amp;_xlfn.XMATCH("NA",Liste_rouge!A:A,2,1),"NA")</f>
        <v>NA</v>
      </c>
      <c r="AH24598" s="4" t="str">
        <f>HYPERLINK("#Statut_biogéographique!A"&amp;_xlfn.XMATCH("I",Statut_biogéographique!A:A,2,1),"I")</f>
        <v>I</v>
      </c>
      <c r="AP24598" s="4" t="s">
        <v>376</v>
      </c>
      <c r="AR24598" s="4" t="s">
        <v>377</v>
      </c>
    </row>
    <row r="24599" spans="1:44" ht="30">
      <c r="A24599" s="4" t="s">
        <v>24364</v>
      </c>
      <c r="B24599" s="4">
        <v>97601</v>
      </c>
      <c r="D24599" s="5" t="s">
        <v>32443</v>
      </c>
      <c r="E24599" s="6" t="str">
        <f>HYPERLINK("https://inpn.mnhn.fr/espece/cd_nom/97601","Euphorbia palustris L., 1753")</f>
        <v>Euphorbia palustris L., 1753</v>
      </c>
      <c r="F24599" s="5" t="s">
        <v>32444</v>
      </c>
      <c r="M24599" s="4" t="str">
        <f>HYPERLINK("#Réglementation!A"&amp;_xlfn.XMATCH("RV26",Réglementation!A:A,2,1),"RV26 - RV43")</f>
        <v>RV26 - RV43</v>
      </c>
      <c r="O24599" s="7" t="str">
        <f>HYPERLINK("#Liste_rouge!A"&amp;_xlfn.XMATCH("LC",Liste_rouge!A:A,2,1),"LC")</f>
        <v>LC</v>
      </c>
      <c r="Q24599" s="7" t="str">
        <f>HYPERLINK("#Liste_rouge!A"&amp;_xlfn.XMATCH("LC",Liste_rouge!A:A,2,1),"LC")</f>
        <v>LC</v>
      </c>
      <c r="T24599" s="7" t="str">
        <f>HYPERLINK("#Liste_rouge!A"&amp;_xlfn.XMATCH("NT",Liste_rouge!A:A,2,1),"NT")</f>
        <v>NT</v>
      </c>
      <c r="U24599" s="4" t="str">
        <f>HYPERLINK("#Critères_liste_rouge!A$1","pr. B2a")</f>
        <v>pr. B2a</v>
      </c>
      <c r="V24599" s="7" t="str">
        <f>HYPERLINK("#Liste_rouge!A"&amp;_xlfn.XMATCH("EN",Liste_rouge!A:A,2,1),"EN")</f>
        <v>EN</v>
      </c>
      <c r="W24599" s="4" t="str">
        <f>HYPERLINK("#Critères_liste_rouge!A$1","B2ab(iii)")</f>
        <v>B2ab(iii)</v>
      </c>
      <c r="AB24599" s="4" t="s">
        <v>25019</v>
      </c>
      <c r="AH24599" s="4" t="str">
        <f>HYPERLINK("#Statut_biogéographique!A"&amp;_xlfn.XMATCH("P",Statut_biogéographique!A:A,2,1),"P")</f>
        <v>P</v>
      </c>
      <c r="AM24599" s="4" t="s">
        <v>375</v>
      </c>
      <c r="AN24599" s="4" t="s">
        <v>375</v>
      </c>
      <c r="AO24599" s="4" t="s">
        <v>375</v>
      </c>
      <c r="AP24599" s="4" t="s">
        <v>376</v>
      </c>
      <c r="AR24599" s="4" t="s">
        <v>377</v>
      </c>
    </row>
    <row r="24600" spans="1:44" ht="60">
      <c r="A24600" s="4" t="s">
        <v>24364</v>
      </c>
      <c r="B24600" s="4">
        <v>97609</v>
      </c>
      <c r="D24600" s="5" t="s">
        <v>32445</v>
      </c>
      <c r="E24600" s="6" t="str">
        <f>HYPERLINK("https://inpn.mnhn.fr/espece/cd_nom/97609","Euphorbia peplus L., 1753")</f>
        <v>Euphorbia peplus L., 1753</v>
      </c>
      <c r="F24600" s="5" t="s">
        <v>32446</v>
      </c>
      <c r="Q24600" s="7" t="str">
        <f>HYPERLINK("#Liste_rouge!A"&amp;_xlfn.XMATCH("LC",Liste_rouge!A:A,2,1),"LC")</f>
        <v>LC</v>
      </c>
      <c r="T24600" s="7" t="str">
        <f>HYPERLINK("#Liste_rouge!A"&amp;_xlfn.XMATCH("LC",Liste_rouge!A:A,2,1),"LC")</f>
        <v>LC</v>
      </c>
      <c r="V24600" s="7" t="str">
        <f>HYPERLINK("#Liste_rouge!A"&amp;_xlfn.XMATCH("LC",Liste_rouge!A:A,2,1),"LC")</f>
        <v>LC</v>
      </c>
      <c r="AH24600" s="4" t="str">
        <f>HYPERLINK("#Statut_biogéographique!A"&amp;_xlfn.XMATCH("P",Statut_biogéographique!A:A,2,1),"P")</f>
        <v>P</v>
      </c>
      <c r="AM24600" s="4" t="s">
        <v>375</v>
      </c>
      <c r="AN24600" s="4" t="s">
        <v>375</v>
      </c>
      <c r="AO24600" s="4" t="s">
        <v>375</v>
      </c>
      <c r="AP24600" s="4" t="s">
        <v>376</v>
      </c>
      <c r="AR24600" s="4" t="s">
        <v>377</v>
      </c>
    </row>
    <row r="24601" spans="1:44" ht="60">
      <c r="A24601" s="4" t="s">
        <v>24364</v>
      </c>
      <c r="B24601" s="4">
        <v>976153</v>
      </c>
      <c r="D24601" s="5" t="s">
        <v>32447</v>
      </c>
      <c r="E24601" s="6" t="str">
        <f>HYPERLINK("https://inpn.mnhn.fr/espece/cd_nom/976153","Schoenoplectiella supina (L.) Lye, 2003")</f>
        <v>Schoenoplectiella supina (L.) Lye, 2003</v>
      </c>
      <c r="F24601" s="5" t="s">
        <v>32448</v>
      </c>
      <c r="O24601" s="7" t="str">
        <f>HYPERLINK("#Liste_rouge!A"&amp;_xlfn.XMATCH("LC",Liste_rouge!A:A,2,1),"LC")</f>
        <v>LC</v>
      </c>
      <c r="P24601" s="7" t="str">
        <f>HYPERLINK("#Liste_rouge!A"&amp;_xlfn.XMATCH("DD",Liste_rouge!A:A,2,1),"DD")</f>
        <v>DD</v>
      </c>
      <c r="Q24601" s="7" t="str">
        <f>HYPERLINK("#Liste_rouge!A"&amp;_xlfn.XMATCH("NT",Liste_rouge!A:A,2,1),"NT")</f>
        <v>NT</v>
      </c>
      <c r="T24601" s="7" t="str">
        <f>HYPERLINK("#Liste_rouge!A"&amp;_xlfn.XMATCH("EN",Liste_rouge!A:A,2,1),"EN")</f>
        <v>EN</v>
      </c>
      <c r="U24601" s="4" t="str">
        <f>HYPERLINK("#Critères_liste_rouge!A$1","B1a D1")</f>
        <v>B1a D1</v>
      </c>
      <c r="V24601" s="7" t="str">
        <f>HYPERLINK("#Liste_rouge!A"&amp;_xlfn.XMATCH("DD",Liste_rouge!A:A,2,1),"DD")</f>
        <v>DD</v>
      </c>
      <c r="X24601" s="5" t="s">
        <v>374</v>
      </c>
      <c r="AB24601" s="4" t="s">
        <v>93</v>
      </c>
      <c r="AH24601" s="4" t="str">
        <f>HYPERLINK("#Statut_biogéographique!A"&amp;_xlfn.XMATCH("P",Statut_biogéographique!A:A,2,1),"P")</f>
        <v>P</v>
      </c>
      <c r="AM24601" s="4" t="s">
        <v>375</v>
      </c>
      <c r="AN24601" s="4" t="s">
        <v>375</v>
      </c>
      <c r="AO24601" s="4" t="s">
        <v>375</v>
      </c>
      <c r="AP24601" s="4" t="s">
        <v>376</v>
      </c>
      <c r="AR24601" s="4" t="s">
        <v>377</v>
      </c>
    </row>
    <row r="24602" spans="1:44" ht="30">
      <c r="A24602" s="4" t="s">
        <v>24364</v>
      </c>
      <c r="B24602" s="4">
        <v>97616</v>
      </c>
      <c r="D24602" s="5" t="s">
        <v>32449</v>
      </c>
      <c r="E24602" s="6" t="str">
        <f>HYPERLINK("https://inpn.mnhn.fr/espece/cd_nom/97616","Euphorbia platyphyllos L., 1753")</f>
        <v>Euphorbia platyphyllos L., 1753</v>
      </c>
      <c r="F24602" s="5" t="s">
        <v>32450</v>
      </c>
      <c r="Q24602" s="7" t="str">
        <f>HYPERLINK("#Liste_rouge!A"&amp;_xlfn.XMATCH("LC",Liste_rouge!A:A,2,1),"LC")</f>
        <v>LC</v>
      </c>
      <c r="T24602" s="7" t="str">
        <f>HYPERLINK("#Liste_rouge!A"&amp;_xlfn.XMATCH("LC",Liste_rouge!A:A,2,1),"LC")</f>
        <v>LC</v>
      </c>
      <c r="V24602" s="7" t="str">
        <f>HYPERLINK("#Liste_rouge!A"&amp;_xlfn.XMATCH("LC",Liste_rouge!A:A,2,1),"LC")</f>
        <v>LC</v>
      </c>
      <c r="AH24602" s="4" t="str">
        <f>HYPERLINK("#Statut_biogéographique!A"&amp;_xlfn.XMATCH("P",Statut_biogéographique!A:A,2,1),"P")</f>
        <v>P</v>
      </c>
      <c r="AM24602" s="4" t="s">
        <v>375</v>
      </c>
      <c r="AN24602" s="4" t="s">
        <v>375</v>
      </c>
      <c r="AO24602" s="4" t="s">
        <v>375</v>
      </c>
      <c r="AP24602" s="4" t="s">
        <v>376</v>
      </c>
      <c r="AR24602" s="4" t="s">
        <v>377</v>
      </c>
    </row>
    <row r="24603" spans="1:44" ht="45">
      <c r="A24603" s="4" t="s">
        <v>24364</v>
      </c>
      <c r="B24603" s="4">
        <v>976160</v>
      </c>
      <c r="D24603" s="5" t="s">
        <v>32451</v>
      </c>
      <c r="E24603" s="6" t="str">
        <f>HYPERLINK("https://inpn.mnhn.fr/espece/cd_nom/976160","Schoenoplectiella mucronata (L.) J.Jung &amp; H.K.Choi, 2010")</f>
        <v>Schoenoplectiella mucronata (L.) J.Jung &amp; H.K.Choi, 2010</v>
      </c>
      <c r="F24603" s="5" t="s">
        <v>32452</v>
      </c>
      <c r="M24603" s="4" t="str">
        <f>HYPERLINK("#Réglementation!A"&amp;_xlfn.XMATCH("RV43",Réglementation!A:A,2,1),"RV43")</f>
        <v>RV43</v>
      </c>
      <c r="O24603" s="7" t="str">
        <f>HYPERLINK("#Liste_rouge!A"&amp;_xlfn.XMATCH("LC",Liste_rouge!A:A,2,1),"LC")</f>
        <v>LC</v>
      </c>
      <c r="P24603" s="7" t="str">
        <f>HYPERLINK("#Liste_rouge!A"&amp;_xlfn.XMATCH("LC",Liste_rouge!A:A,2,1),"LC")</f>
        <v>LC</v>
      </c>
      <c r="Q24603" s="7" t="str">
        <f>HYPERLINK("#Liste_rouge!A"&amp;_xlfn.XMATCH("LC",Liste_rouge!A:A,2,1),"LC")</f>
        <v>LC</v>
      </c>
      <c r="T24603" s="7" t="str">
        <f>HYPERLINK("#Liste_rouge!A"&amp;_xlfn.XMATCH("RE",Liste_rouge!A:A,2,1),"RE")</f>
        <v>RE</v>
      </c>
      <c r="V24603" s="7" t="str">
        <f>HYPERLINK("#Liste_rouge!A"&amp;_xlfn.XMATCH("NT",Liste_rouge!A:A,2,1),"NT")</f>
        <v>NT</v>
      </c>
      <c r="W24603" s="4" t="str">
        <f>HYPERLINK("#Critères_liste_rouge!A$1","pr. D2")</f>
        <v>pr. D2</v>
      </c>
      <c r="X24603" s="5" t="s">
        <v>374</v>
      </c>
      <c r="AB24603" s="4" t="s">
        <v>93</v>
      </c>
      <c r="AH24603" s="4" t="str">
        <f>HYPERLINK("#Statut_biogéographique!A"&amp;_xlfn.XMATCH("P",Statut_biogéographique!A:A,2,1),"P")</f>
        <v>P</v>
      </c>
      <c r="AM24603" s="4" t="s">
        <v>375</v>
      </c>
      <c r="AN24603" s="4" t="s">
        <v>375</v>
      </c>
      <c r="AO24603" s="4" t="s">
        <v>375</v>
      </c>
      <c r="AP24603" s="4" t="s">
        <v>376</v>
      </c>
      <c r="AR24603" s="4" t="s">
        <v>377</v>
      </c>
    </row>
    <row r="24604" spans="1:44">
      <c r="A24604" s="4" t="s">
        <v>24364</v>
      </c>
      <c r="B24604" s="4">
        <v>97623</v>
      </c>
      <c r="D24604" s="5" t="s">
        <v>32453</v>
      </c>
      <c r="E24604" s="6" t="str">
        <f>HYPERLINK("https://inpn.mnhn.fr/espece/cd_nom/97623","Euphorbia prostrata Aiton, 1789")</f>
        <v>Euphorbia prostrata Aiton, 1789</v>
      </c>
      <c r="F24604" s="5" t="s">
        <v>32454</v>
      </c>
      <c r="Q24604" s="7" t="str">
        <f>HYPERLINK("#Liste_rouge!A"&amp;_xlfn.XMATCH("NA",Liste_rouge!A:A,2,1),"NA")</f>
        <v>NA</v>
      </c>
      <c r="T24604" s="7" t="str">
        <f>HYPERLINK("#Liste_rouge!A"&amp;_xlfn.XMATCH("NA",Liste_rouge!A:A,2,1),"NA")</f>
        <v>NA</v>
      </c>
      <c r="AH24604" s="4" t="str">
        <f>HYPERLINK("#Statut_biogéographique!A"&amp;_xlfn.XMATCH("I",Statut_biogéographique!A:A,2,1),"I")</f>
        <v>I</v>
      </c>
      <c r="AM24604" s="4" t="s">
        <v>375</v>
      </c>
      <c r="AN24604" s="4" t="s">
        <v>375</v>
      </c>
      <c r="AO24604" s="4" t="s">
        <v>375</v>
      </c>
      <c r="AP24604" s="4" t="s">
        <v>376</v>
      </c>
      <c r="AR24604" s="4" t="s">
        <v>377</v>
      </c>
    </row>
    <row r="24605" spans="1:44" ht="60">
      <c r="A24605" s="4" t="s">
        <v>24364</v>
      </c>
      <c r="B24605" s="4">
        <v>97656</v>
      </c>
      <c r="D24605" s="5" t="s">
        <v>32455</v>
      </c>
      <c r="E24605" s="6" t="str">
        <f>HYPERLINK("https://inpn.mnhn.fr/espece/cd_nom/97656","Euphorbia saratoi Ardoino, 1867")</f>
        <v>Euphorbia saratoi Ardoino, 1867</v>
      </c>
      <c r="F24605" s="5" t="s">
        <v>32456</v>
      </c>
      <c r="Q24605" s="7" t="str">
        <f>HYPERLINK("#Liste_rouge!A"&amp;_xlfn.XMATCH("LC",Liste_rouge!A:A,2,1),"LC")</f>
        <v>LC</v>
      </c>
      <c r="AH24605" s="4" t="str">
        <f>HYPERLINK("#Statut_biogéographique!A"&amp;_xlfn.XMATCH("P",Statut_biogéographique!A:A,2,1),"P")</f>
        <v>P</v>
      </c>
      <c r="AM24605" s="4" t="s">
        <v>375</v>
      </c>
      <c r="AN24605" s="4" t="s">
        <v>375</v>
      </c>
      <c r="AO24605" s="4" t="s">
        <v>375</v>
      </c>
      <c r="AP24605" s="4" t="s">
        <v>376</v>
      </c>
      <c r="AR24605" s="4" t="s">
        <v>377</v>
      </c>
    </row>
    <row r="24606" spans="1:44" ht="30">
      <c r="A24606" s="4" t="s">
        <v>24364</v>
      </c>
      <c r="B24606" s="4">
        <v>97659</v>
      </c>
      <c r="D24606" s="5" t="s">
        <v>32457</v>
      </c>
      <c r="E24606" s="6" t="str">
        <f>HYPERLINK("https://inpn.mnhn.fr/espece/cd_nom/97659","Euphorbia segetalis L., 1753")</f>
        <v>Euphorbia segetalis L., 1753</v>
      </c>
      <c r="F24606" s="5" t="s">
        <v>32458</v>
      </c>
      <c r="Q24606" s="7" t="str">
        <f>HYPERLINK("#Liste_rouge!A"&amp;_xlfn.XMATCH("LC",Liste_rouge!A:A,2,1),"LC")</f>
        <v>LC</v>
      </c>
      <c r="T24606" s="7" t="str">
        <f>HYPERLINK("#Liste_rouge!A"&amp;_xlfn.XMATCH("NA",Liste_rouge!A:A,2,1),"NA")</f>
        <v>NA</v>
      </c>
      <c r="AH24606" s="4" t="str">
        <f>HYPERLINK("#Statut_biogéographique!A"&amp;_xlfn.XMATCH("P",Statut_biogéographique!A:A,2,1),"P")</f>
        <v>P</v>
      </c>
      <c r="AP24606" s="4" t="s">
        <v>376</v>
      </c>
      <c r="AR24606" s="4" t="s">
        <v>377</v>
      </c>
    </row>
    <row r="24607" spans="1:44">
      <c r="A24607" s="4" t="s">
        <v>24364</v>
      </c>
      <c r="B24607" s="4">
        <v>97660</v>
      </c>
      <c r="D24607" s="5" t="s">
        <v>32459</v>
      </c>
      <c r="E24607" s="6" t="str">
        <f>HYPERLINK("https://inpn.mnhn.fr/espece/cd_nom/97660","Euphorbia seguieriana Neck., 1770")</f>
        <v>Euphorbia seguieriana Neck., 1770</v>
      </c>
      <c r="F24607" s="5" t="s">
        <v>28516</v>
      </c>
      <c r="M24607" s="4" t="str">
        <f>HYPERLINK("#Réglementation!A"&amp;_xlfn.XMATCH("RV43",Réglementation!A:A,2,1),"RV43")</f>
        <v>RV43</v>
      </c>
      <c r="Q24607" s="7" t="str">
        <f>HYPERLINK("#Liste_rouge!A"&amp;_xlfn.XMATCH("LC",Liste_rouge!A:A,2,1),"LC")</f>
        <v>LC</v>
      </c>
      <c r="T24607" s="7" t="str">
        <f>HYPERLINK("#Liste_rouge!A"&amp;_xlfn.XMATCH("EN",Liste_rouge!A:A,2,1),"EN")</f>
        <v>EN</v>
      </c>
      <c r="U24607" s="4" t="str">
        <f>HYPERLINK("#Critères_liste_rouge!A$1","B2ab(ii,iii,iv)")</f>
        <v>B2ab(ii,iii,iv)</v>
      </c>
      <c r="V24607" s="7" t="str">
        <f>HYPERLINK("#Liste_rouge!A"&amp;_xlfn.XMATCH("VU",Liste_rouge!A:A,2,1),"VU")</f>
        <v>VU</v>
      </c>
      <c r="W24607" s="4" t="str">
        <f>HYPERLINK("#Critères_liste_rouge!A$1","D2")</f>
        <v>D2</v>
      </c>
      <c r="X24607" s="5" t="s">
        <v>374</v>
      </c>
      <c r="AB24607" s="4" t="s">
        <v>93</v>
      </c>
      <c r="AH24607" s="4" t="str">
        <f>HYPERLINK("#Statut_biogéographique!A"&amp;_xlfn.XMATCH("P",Statut_biogéographique!A:A,2,1),"P")</f>
        <v>P</v>
      </c>
      <c r="AM24607" s="4" t="s">
        <v>375</v>
      </c>
      <c r="AN24607" s="4" t="s">
        <v>375</v>
      </c>
      <c r="AO24607" s="4" t="s">
        <v>375</v>
      </c>
      <c r="AP24607" s="4" t="s">
        <v>376</v>
      </c>
      <c r="AR24607" s="4" t="s">
        <v>377</v>
      </c>
    </row>
    <row r="24608" spans="1:44" ht="30">
      <c r="A24608" s="4" t="s">
        <v>24364</v>
      </c>
      <c r="B24608" s="4">
        <v>97666</v>
      </c>
      <c r="D24608" s="5" t="s">
        <v>32460</v>
      </c>
      <c r="E24608" s="6" t="str">
        <f>HYPERLINK("https://inpn.mnhn.fr/espece/cd_nom/97666","Euphorbia serpens Kunth, 1817")</f>
        <v>Euphorbia serpens Kunth, 1817</v>
      </c>
      <c r="F24608" s="5" t="s">
        <v>32461</v>
      </c>
      <c r="Q24608" s="7" t="str">
        <f>HYPERLINK("#Liste_rouge!A"&amp;_xlfn.XMATCH("NA",Liste_rouge!A:A,2,1),"NA")</f>
        <v>NA</v>
      </c>
      <c r="T24608" s="7" t="str">
        <f>HYPERLINK("#Liste_rouge!A"&amp;_xlfn.XMATCH("NA",Liste_rouge!A:A,2,1),"NA")</f>
        <v>NA</v>
      </c>
      <c r="AH24608" s="4" t="str">
        <f>HYPERLINK("#Statut_biogéographique!A"&amp;_xlfn.XMATCH("I",Statut_biogéographique!A:A,2,1),"I")</f>
        <v>I</v>
      </c>
      <c r="AM24608" s="4" t="s">
        <v>375</v>
      </c>
      <c r="AN24608" s="4" t="s">
        <v>375</v>
      </c>
      <c r="AO24608" s="4" t="s">
        <v>375</v>
      </c>
      <c r="AP24608" s="4" t="s">
        <v>376</v>
      </c>
      <c r="AR24608" s="4" t="s">
        <v>377</v>
      </c>
    </row>
    <row r="24609" spans="1:44">
      <c r="A24609" s="4" t="s">
        <v>24364</v>
      </c>
      <c r="B24609" s="4">
        <v>97676</v>
      </c>
      <c r="D24609" s="5" t="s">
        <v>32462</v>
      </c>
      <c r="E24609" s="6" t="str">
        <f>HYPERLINK("https://inpn.mnhn.fr/espece/cd_nom/97676","Euphorbia stricta L., 1759")</f>
        <v>Euphorbia stricta L., 1759</v>
      </c>
      <c r="F24609" s="5" t="s">
        <v>32463</v>
      </c>
      <c r="Q24609" s="7" t="str">
        <f>HYPERLINK("#Liste_rouge!A"&amp;_xlfn.XMATCH("LC",Liste_rouge!A:A,2,1),"LC")</f>
        <v>LC</v>
      </c>
      <c r="T24609" s="7" t="str">
        <f>HYPERLINK("#Liste_rouge!A"&amp;_xlfn.XMATCH("LC",Liste_rouge!A:A,2,1),"LC")</f>
        <v>LC</v>
      </c>
      <c r="V24609" s="7" t="str">
        <f>HYPERLINK("#Liste_rouge!A"&amp;_xlfn.XMATCH("LC",Liste_rouge!A:A,2,1),"LC")</f>
        <v>LC</v>
      </c>
      <c r="AH24609" s="4" t="str">
        <f>HYPERLINK("#Statut_biogéographique!A"&amp;_xlfn.XMATCH("P",Statut_biogéographique!A:A,2,1),"P")</f>
        <v>P</v>
      </c>
      <c r="AM24609" s="4" t="s">
        <v>375</v>
      </c>
      <c r="AN24609" s="4" t="s">
        <v>375</v>
      </c>
      <c r="AO24609" s="4" t="s">
        <v>375</v>
      </c>
      <c r="AP24609" s="4" t="s">
        <v>376</v>
      </c>
      <c r="AR24609" s="4" t="s">
        <v>377</v>
      </c>
    </row>
    <row r="24610" spans="1:44" ht="60">
      <c r="A24610" s="4" t="s">
        <v>24364</v>
      </c>
      <c r="B24610" s="4">
        <v>97699</v>
      </c>
      <c r="D24610" s="5" t="s">
        <v>32464</v>
      </c>
      <c r="E24610" s="6" t="str">
        <f>HYPERLINK("https://inpn.mnhn.fr/espece/cd_nom/97699","Euphorbia verrucosa L., 1753")</f>
        <v>Euphorbia verrucosa L., 1753</v>
      </c>
      <c r="F24610" s="5" t="s">
        <v>32465</v>
      </c>
      <c r="Q24610" s="7" t="str">
        <f>HYPERLINK("#Liste_rouge!A"&amp;_xlfn.XMATCH("VU",Liste_rouge!A:A,2,1),"VU (cd_nom 134381) - LC (cd_nom 134387)")</f>
        <v>VU (cd_nom 134381) - LC (cd_nom 134387)</v>
      </c>
      <c r="T24610" s="7" t="str">
        <f>HYPERLINK("#Liste_rouge!A"&amp;_xlfn.XMATCH("LC",Liste_rouge!A:A,2,1),"LC")</f>
        <v>LC</v>
      </c>
      <c r="AE24610" s="4" t="str">
        <f>HYPERLINK("#SCAP!A"&amp;_xlfn.XMATCH("2+",SCAP!A:A,2,1),"2+")</f>
        <v>2+</v>
      </c>
      <c r="AH24610" s="4" t="str">
        <f>HYPERLINK("#Statut_biogéographique!A"&amp;_xlfn.XMATCH("P",Statut_biogéographique!A:A,2,1),"P")</f>
        <v>P</v>
      </c>
      <c r="AM24610" s="4" t="s">
        <v>375</v>
      </c>
      <c r="AN24610" s="4" t="s">
        <v>375</v>
      </c>
      <c r="AO24610" s="4" t="s">
        <v>375</v>
      </c>
      <c r="AP24610" s="4" t="s">
        <v>376</v>
      </c>
      <c r="AR24610" s="4" t="s">
        <v>377</v>
      </c>
    </row>
    <row r="24611" spans="1:44" ht="30">
      <c r="A24611" s="4" t="s">
        <v>24364</v>
      </c>
      <c r="B24611" s="4">
        <v>97703</v>
      </c>
      <c r="D24611" s="5" t="s">
        <v>32466</v>
      </c>
      <c r="E24611" s="6" t="str">
        <f>HYPERLINK("https://inpn.mnhn.fr/espece/cd_nom/97703","Euphorbia virgata Waldst. &amp; Kit., 1805")</f>
        <v>Euphorbia virgata Waldst. &amp; Kit., 1805</v>
      </c>
      <c r="F24611" s="5" t="s">
        <v>32467</v>
      </c>
      <c r="AH24611" s="4" t="str">
        <f>HYPERLINK("#Statut_biogéographique!A"&amp;_xlfn.XMATCH("Q",Statut_biogéographique!A:A,2,1),"Q")</f>
        <v>Q</v>
      </c>
      <c r="AP24611" s="4" t="s">
        <v>376</v>
      </c>
      <c r="AR24611" s="4" t="s">
        <v>377</v>
      </c>
    </row>
    <row r="24612" spans="1:44">
      <c r="A24612" s="4" t="s">
        <v>24364</v>
      </c>
      <c r="B24612" s="4">
        <v>97720</v>
      </c>
      <c r="D24612" s="5" t="s">
        <v>32468</v>
      </c>
      <c r="E24612" s="6" t="str">
        <f>HYPERLINK("https://inpn.mnhn.fr/espece/cd_nom/97720","Euphorbia x pseudoesula Schur, 1853")</f>
        <v>Euphorbia x pseudoesula Schur, 1853</v>
      </c>
      <c r="F24612" s="5" t="s">
        <v>32469</v>
      </c>
      <c r="T24612" s="7" t="str">
        <f>HYPERLINK("#Liste_rouge!A"&amp;_xlfn.XMATCH("NE",Liste_rouge!A:A,2,1),"NE")</f>
        <v>NE</v>
      </c>
      <c r="AH24612" s="4" t="str">
        <f>HYPERLINK("#Statut_biogéographique!A"&amp;_xlfn.XMATCH("P",Statut_biogéographique!A:A,2,1),"P")</f>
        <v>P</v>
      </c>
      <c r="AM24612" s="4" t="s">
        <v>375</v>
      </c>
      <c r="AN24612" s="4" t="s">
        <v>375</v>
      </c>
      <c r="AO24612" s="4" t="s">
        <v>375</v>
      </c>
      <c r="AP24612" s="4" t="s">
        <v>376</v>
      </c>
      <c r="AR24612" s="4" t="s">
        <v>377</v>
      </c>
    </row>
    <row r="24613" spans="1:44">
      <c r="A24613" s="4" t="s">
        <v>24364</v>
      </c>
      <c r="B24613" s="4">
        <v>97771</v>
      </c>
      <c r="D24613" s="5" t="s">
        <v>32470</v>
      </c>
      <c r="E24613" s="6" t="str">
        <f>HYPERLINK("https://inpn.mnhn.fr/espece/cd_nom/97771","Euphrasia micrantha Rchb., 1831")</f>
        <v>Euphrasia micrantha Rchb., 1831</v>
      </c>
      <c r="F24613" s="5" t="s">
        <v>32471</v>
      </c>
      <c r="Q24613" s="7" t="str">
        <f>HYPERLINK("#Liste_rouge!A"&amp;_xlfn.XMATCH("DD",Liste_rouge!A:A,2,1),"DD")</f>
        <v>DD</v>
      </c>
      <c r="T24613" s="7" t="str">
        <f>HYPERLINK("#Liste_rouge!A"&amp;_xlfn.XMATCH("LC",Liste_rouge!A:A,2,1),"LC")</f>
        <v>LC</v>
      </c>
      <c r="AH24613" s="4" t="str">
        <f>HYPERLINK("#Statut_biogéographique!A"&amp;_xlfn.XMATCH("P",Statut_biogéographique!A:A,2,1),"P")</f>
        <v>P</v>
      </c>
      <c r="AM24613" s="4" t="s">
        <v>375</v>
      </c>
      <c r="AN24613" s="4" t="s">
        <v>375</v>
      </c>
      <c r="AO24613" s="4" t="s">
        <v>375</v>
      </c>
      <c r="AP24613" s="4" t="s">
        <v>376</v>
      </c>
      <c r="AR24613" s="4" t="s">
        <v>377</v>
      </c>
    </row>
    <row r="24614" spans="1:44" ht="30">
      <c r="A24614" s="4" t="s">
        <v>24364</v>
      </c>
      <c r="B24614" s="4">
        <v>97772</v>
      </c>
      <c r="D24614" s="5" t="s">
        <v>32472</v>
      </c>
      <c r="E24614" s="6" t="str">
        <f>HYPERLINK("https://inpn.mnhn.fr/espece/cd_nom/97772","Euphrasia minima Jacq. ex DC., 1805")</f>
        <v>Euphrasia minima Jacq. ex DC., 1805</v>
      </c>
      <c r="F24614" s="5" t="s">
        <v>32473</v>
      </c>
      <c r="Q24614" s="7" t="str">
        <f>HYPERLINK("#Liste_rouge!A"&amp;_xlfn.XMATCH("LC",Liste_rouge!A:A,2,1),"LC")</f>
        <v>LC</v>
      </c>
      <c r="V24614" s="7" t="str">
        <f>HYPERLINK("#Liste_rouge!A"&amp;_xlfn.XMATCH("RE",Liste_rouge!A:A,2,1),"RE")</f>
        <v>RE</v>
      </c>
      <c r="AH24614" s="4" t="str">
        <f>HYPERLINK("#Statut_biogéographique!A"&amp;_xlfn.XMATCH("P",Statut_biogéographique!A:A,2,1),"P")</f>
        <v>P</v>
      </c>
      <c r="AM24614" s="4" t="s">
        <v>375</v>
      </c>
      <c r="AN24614" s="4" t="s">
        <v>375</v>
      </c>
      <c r="AO24614" s="4" t="s">
        <v>375</v>
      </c>
      <c r="AP24614" s="4" t="s">
        <v>376</v>
      </c>
      <c r="AR24614" s="4" t="s">
        <v>377</v>
      </c>
    </row>
    <row r="24615" spans="1:44" ht="45">
      <c r="A24615" s="4" t="s">
        <v>24364</v>
      </c>
      <c r="B24615" s="4">
        <v>97776</v>
      </c>
      <c r="D24615" s="5" t="s">
        <v>32474</v>
      </c>
      <c r="E24615" s="6" t="str">
        <f>HYPERLINK("https://inpn.mnhn.fr/espece/cd_nom/97776","Euphrasia nemorosa (Pers.) Wallr., 1815")</f>
        <v>Euphrasia nemorosa (Pers.) Wallr., 1815</v>
      </c>
      <c r="F24615" s="5" t="s">
        <v>32475</v>
      </c>
      <c r="Q24615" s="7" t="str">
        <f>HYPERLINK("#Liste_rouge!A"&amp;_xlfn.XMATCH("LC",Liste_rouge!A:A,2,1),"LC")</f>
        <v>LC</v>
      </c>
      <c r="T24615" s="7" t="str">
        <f>HYPERLINK("#Liste_rouge!A"&amp;_xlfn.XMATCH("LC",Liste_rouge!A:A,2,1),"LC")</f>
        <v>LC</v>
      </c>
      <c r="V24615" s="7" t="str">
        <f>HYPERLINK("#Liste_rouge!A"&amp;_xlfn.XMATCH("DD",Liste_rouge!A:A,2,1),"DD")</f>
        <v>DD</v>
      </c>
      <c r="X24615" s="5" t="s">
        <v>374</v>
      </c>
      <c r="AB24615" s="4" t="s">
        <v>93</v>
      </c>
      <c r="AH24615" s="4" t="str">
        <f>HYPERLINK("#Statut_biogéographique!A"&amp;_xlfn.XMATCH("P",Statut_biogéographique!A:A,2,1),"P")</f>
        <v>P</v>
      </c>
      <c r="AM24615" s="4" t="s">
        <v>375</v>
      </c>
      <c r="AN24615" s="4" t="s">
        <v>375</v>
      </c>
      <c r="AO24615" s="4" t="s">
        <v>375</v>
      </c>
      <c r="AP24615" s="4" t="s">
        <v>376</v>
      </c>
      <c r="AR24615" s="4" t="s">
        <v>377</v>
      </c>
    </row>
    <row r="24616" spans="1:44" ht="30">
      <c r="A24616" s="4" t="s">
        <v>24364</v>
      </c>
      <c r="B24616" s="4">
        <v>97781</v>
      </c>
      <c r="D24616" s="5">
        <v>97781</v>
      </c>
      <c r="E24616" s="6" t="str">
        <f>HYPERLINK("https://inpn.mnhn.fr/espece/cd_nom/97781","Euphrasia officinalis L., 1753")</f>
        <v>Euphrasia officinalis L., 1753</v>
      </c>
      <c r="F24616" s="5" t="s">
        <v>32476</v>
      </c>
      <c r="Q24616" s="7" t="str">
        <f>HYPERLINK("#Liste_rouge!A"&amp;_xlfn.XMATCH("LC",Liste_rouge!A:A,2,1),"LC")</f>
        <v>LC</v>
      </c>
      <c r="T24616" s="7" t="str">
        <f>HYPERLINK("#Liste_rouge!A"&amp;_xlfn.XMATCH("NT",Liste_rouge!A:A,2,1),"NT")</f>
        <v>NT</v>
      </c>
      <c r="U24616" s="4" t="str">
        <f>HYPERLINK("#Critères_liste_rouge!A$1","pr. D2")</f>
        <v>pr. D2</v>
      </c>
      <c r="V24616" s="7" t="str">
        <f>HYPERLINK("#Liste_rouge!A"&amp;_xlfn.XMATCH("LC",Liste_rouge!A:A,2,1),"LC")</f>
        <v>LC</v>
      </c>
      <c r="AB24616" s="4" t="s">
        <v>24397</v>
      </c>
      <c r="AH24616" s="4" t="str">
        <f>HYPERLINK("#Statut_biogéographique!A"&amp;_xlfn.XMATCH("P",Statut_biogéographique!A:A,2,1),"P")</f>
        <v>P</v>
      </c>
      <c r="AM24616" s="4" t="s">
        <v>375</v>
      </c>
      <c r="AN24616" s="4" t="s">
        <v>375</v>
      </c>
      <c r="AO24616" s="4" t="s">
        <v>375</v>
      </c>
      <c r="AP24616" s="4" t="s">
        <v>376</v>
      </c>
      <c r="AR24616" s="4" t="s">
        <v>377</v>
      </c>
    </row>
    <row r="24617" spans="1:44" ht="60">
      <c r="A24617" s="4" t="s">
        <v>24364</v>
      </c>
      <c r="B24617" s="4">
        <v>97784</v>
      </c>
      <c r="D24617" s="5" t="s">
        <v>32477</v>
      </c>
      <c r="E24617" s="6" t="str">
        <f>HYPERLINK("https://inpn.mnhn.fr/espece/cd_nom/97784","Euphrasia pectinata Ten., 1815")</f>
        <v>Euphrasia pectinata Ten., 1815</v>
      </c>
      <c r="F24617" s="5" t="s">
        <v>32478</v>
      </c>
      <c r="Q24617" s="7" t="str">
        <f>HYPERLINK("#Liste_rouge!A"&amp;_xlfn.XMATCH("LC",Liste_rouge!A:A,2,1),"LC")</f>
        <v>LC</v>
      </c>
      <c r="T24617" s="7" t="str">
        <f>HYPERLINK("#Liste_rouge!A"&amp;_xlfn.XMATCH("NE",Liste_rouge!A:A,2,1),"NE")</f>
        <v>NE</v>
      </c>
      <c r="AH24617" s="4" t="str">
        <f>HYPERLINK("#Statut_biogéographique!A"&amp;_xlfn.XMATCH("P",Statut_biogéographique!A:A,2,1),"P")</f>
        <v>P</v>
      </c>
      <c r="AP24617" s="4" t="s">
        <v>376</v>
      </c>
      <c r="AR24617" s="4" t="s">
        <v>377</v>
      </c>
    </row>
    <row r="24618" spans="1:44" ht="30">
      <c r="A24618" s="4" t="s">
        <v>24364</v>
      </c>
      <c r="B24618" s="4">
        <v>97804</v>
      </c>
      <c r="D24618" s="5" t="s">
        <v>32479</v>
      </c>
      <c r="E24618" s="6" t="str">
        <f>HYPERLINK("https://inpn.mnhn.fr/espece/cd_nom/97804","Euphrasia salisburgensis Funck, 1794")</f>
        <v>Euphrasia salisburgensis Funck, 1794</v>
      </c>
      <c r="F24618" s="5" t="s">
        <v>32480</v>
      </c>
      <c r="Q24618" s="7" t="str">
        <f>HYPERLINK("#Liste_rouge!A"&amp;_xlfn.XMATCH("LC",Liste_rouge!A:A,2,1),"LC")</f>
        <v>LC</v>
      </c>
      <c r="T24618" s="7" t="str">
        <f>HYPERLINK("#Liste_rouge!A"&amp;_xlfn.XMATCH("EN",Liste_rouge!A:A,2,1),"EN")</f>
        <v>EN</v>
      </c>
      <c r="U24618" s="4" t="str">
        <f>HYPERLINK("#Critères_liste_rouge!A$1","B2ab(ii,iii,iv)")</f>
        <v>B2ab(ii,iii,iv)</v>
      </c>
      <c r="V24618" s="7" t="str">
        <f>HYPERLINK("#Liste_rouge!A"&amp;_xlfn.XMATCH("LC",Liste_rouge!A:A,2,1),"LC")</f>
        <v>LC</v>
      </c>
      <c r="AB24618" s="4" t="s">
        <v>24382</v>
      </c>
      <c r="AH24618" s="4" t="str">
        <f>HYPERLINK("#Statut_biogéographique!A"&amp;_xlfn.XMATCH("P",Statut_biogéographique!A:A,2,1),"P")</f>
        <v>P</v>
      </c>
      <c r="AM24618" s="4" t="s">
        <v>375</v>
      </c>
      <c r="AN24618" s="4" t="s">
        <v>375</v>
      </c>
      <c r="AO24618" s="4" t="s">
        <v>375</v>
      </c>
      <c r="AP24618" s="4" t="s">
        <v>376</v>
      </c>
      <c r="AR24618" s="4" t="s">
        <v>377</v>
      </c>
    </row>
    <row r="24619" spans="1:44" ht="60">
      <c r="A24619" s="4" t="s">
        <v>24364</v>
      </c>
      <c r="B24619" s="4">
        <v>97811</v>
      </c>
      <c r="D24619" s="5" t="s">
        <v>32481</v>
      </c>
      <c r="E24619" s="6" t="str">
        <f>HYPERLINK("https://inpn.mnhn.fr/espece/cd_nom/97811","Euphrasia stricta D.Wolff ex J.F.Lehm., 1809")</f>
        <v>Euphrasia stricta D.Wolff ex J.F.Lehm., 1809</v>
      </c>
      <c r="F24619" s="5" t="s">
        <v>32482</v>
      </c>
      <c r="Q24619" s="7" t="str">
        <f>HYPERLINK("#Liste_rouge!A"&amp;_xlfn.XMATCH("LC",Liste_rouge!A:A,2,1),"LC")</f>
        <v>LC</v>
      </c>
      <c r="T24619" s="7" t="str">
        <f>HYPERLINK("#Liste_rouge!A"&amp;_xlfn.XMATCH("LC",Liste_rouge!A:A,2,1),"LC")</f>
        <v>LC</v>
      </c>
      <c r="V24619" s="7" t="str">
        <f>HYPERLINK("#Liste_rouge!A"&amp;_xlfn.XMATCH("LC",Liste_rouge!A:A,2,1),"LC")</f>
        <v>LC</v>
      </c>
      <c r="AH24619" s="4" t="str">
        <f>HYPERLINK("#Statut_biogéographique!A"&amp;_xlfn.XMATCH("P",Statut_biogéographique!A:A,2,1),"P")</f>
        <v>P</v>
      </c>
      <c r="AM24619" s="4" t="s">
        <v>375</v>
      </c>
      <c r="AN24619" s="4" t="s">
        <v>375</v>
      </c>
      <c r="AO24619" s="4" t="s">
        <v>375</v>
      </c>
      <c r="AP24619" s="4" t="s">
        <v>376</v>
      </c>
      <c r="AR24619" s="4" t="s">
        <v>377</v>
      </c>
    </row>
    <row r="24620" spans="1:44">
      <c r="A24620" s="4" t="s">
        <v>24364</v>
      </c>
      <c r="B24620" s="4">
        <v>978794</v>
      </c>
      <c r="D24620" s="5" t="s">
        <v>32483</v>
      </c>
      <c r="E24620" s="6" t="str">
        <f>HYPERLINK("https://inpn.mnhn.fr/espece/cd_nom/978794","Sisymbrium septulatum DC., 1821")</f>
        <v>Sisymbrium septulatum DC., 1821</v>
      </c>
      <c r="AH24620" s="4" t="str">
        <f>HYPERLINK("#Statut_biogéographique!A"&amp;_xlfn.XMATCH("Y",Statut_biogéographique!A:A,2,1),"Y")</f>
        <v>Y</v>
      </c>
      <c r="AP24620" s="4" t="s">
        <v>376</v>
      </c>
      <c r="AR24620" s="4" t="s">
        <v>377</v>
      </c>
    </row>
    <row r="24621" spans="1:44" ht="30">
      <c r="A24621" s="4" t="s">
        <v>24364</v>
      </c>
      <c r="B24621" s="4">
        <v>97904</v>
      </c>
      <c r="D24621" s="5" t="s">
        <v>32484</v>
      </c>
      <c r="E24621" s="6" t="str">
        <f>HYPERLINK("https://inpn.mnhn.fr/espece/cd_nom/97904","Exaculum pusillum (Lam.) Caruel, 1886")</f>
        <v>Exaculum pusillum (Lam.) Caruel, 1886</v>
      </c>
      <c r="F24621" s="5" t="s">
        <v>32485</v>
      </c>
      <c r="O24621" s="7" t="str">
        <f>HYPERLINK("#Liste_rouge!A"&amp;_xlfn.XMATCH("NT",Liste_rouge!A:A,2,1),"NT")</f>
        <v>NT</v>
      </c>
      <c r="Q24621" s="7" t="str">
        <f>HYPERLINK("#Liste_rouge!A"&amp;_xlfn.XMATCH("LC",Liste_rouge!A:A,2,1),"LC")</f>
        <v>LC</v>
      </c>
      <c r="T24621" s="7" t="str">
        <f>HYPERLINK("#Liste_rouge!A"&amp;_xlfn.XMATCH("EN",Liste_rouge!A:A,2,1),"EN")</f>
        <v>EN</v>
      </c>
      <c r="U24621" s="4" t="str">
        <f>HYPERLINK("#Critères_liste_rouge!A$1","B1a C2a(i)")</f>
        <v>B1a C2a(i)</v>
      </c>
      <c r="V24621" s="7" t="str">
        <f>HYPERLINK("#Liste_rouge!A"&amp;_xlfn.XMATCH("RE",Liste_rouge!A:A,2,1),"RE")</f>
        <v>RE</v>
      </c>
      <c r="X24621" s="5" t="s">
        <v>374</v>
      </c>
      <c r="AB24621" s="4" t="s">
        <v>93</v>
      </c>
      <c r="AH24621" s="4" t="str">
        <f>HYPERLINK("#Statut_biogéographique!A"&amp;_xlfn.XMATCH("P",Statut_biogéographique!A:A,2,1),"P")</f>
        <v>P</v>
      </c>
      <c r="AM24621" s="4" t="s">
        <v>375</v>
      </c>
      <c r="AN24621" s="4" t="s">
        <v>375</v>
      </c>
      <c r="AO24621" s="4" t="s">
        <v>375</v>
      </c>
      <c r="AP24621" s="4" t="s">
        <v>376</v>
      </c>
      <c r="AR24621" s="4" t="s">
        <v>377</v>
      </c>
    </row>
    <row r="24622" spans="1:44" ht="30">
      <c r="A24622" s="4" t="s">
        <v>24364</v>
      </c>
      <c r="B24622" s="4">
        <v>97935</v>
      </c>
      <c r="D24622" s="5" t="s">
        <v>32486</v>
      </c>
      <c r="E24622" s="6" t="str">
        <f>HYPERLINK("https://inpn.mnhn.fr/espece/cd_nom/97935","Fagopyrum esculentum Moench, 1794")</f>
        <v>Fagopyrum esculentum Moench, 1794</v>
      </c>
      <c r="F24622" s="5" t="s">
        <v>32487</v>
      </c>
      <c r="Q24622" s="7" t="str">
        <f>HYPERLINK("#Liste_rouge!A"&amp;_xlfn.XMATCH("NA",Liste_rouge!A:A,2,1),"NA")</f>
        <v>NA</v>
      </c>
      <c r="T24622" s="7" t="str">
        <f>HYPERLINK("#Liste_rouge!A"&amp;_xlfn.XMATCH("NA",Liste_rouge!A:A,2,1),"NA")</f>
        <v>NA</v>
      </c>
      <c r="AH24622" s="4" t="str">
        <f>HYPERLINK("#Statut_biogéographique!A"&amp;_xlfn.XMATCH("M",Statut_biogéographique!A:A,2,1),"M")</f>
        <v>M</v>
      </c>
      <c r="AP24622" s="4" t="s">
        <v>376</v>
      </c>
      <c r="AR24622" s="4" t="s">
        <v>377</v>
      </c>
    </row>
    <row r="24623" spans="1:44">
      <c r="A24623" s="4" t="s">
        <v>24364</v>
      </c>
      <c r="B24623" s="4">
        <v>97940</v>
      </c>
      <c r="D24623" s="5" t="s">
        <v>32488</v>
      </c>
      <c r="E24623" s="6" t="str">
        <f>HYPERLINK("https://inpn.mnhn.fr/espece/cd_nom/97940","Fagopyrum tataricum (L.) Gaertn., 1790")</f>
        <v>Fagopyrum tataricum (L.) Gaertn., 1790</v>
      </c>
      <c r="F24623" s="5" t="s">
        <v>32489</v>
      </c>
      <c r="Q24623" s="7" t="str">
        <f>HYPERLINK("#Liste_rouge!A"&amp;_xlfn.XMATCH("NA",Liste_rouge!A:A,2,1),"NA")</f>
        <v>NA</v>
      </c>
      <c r="T24623" s="7" t="str">
        <f>HYPERLINK("#Liste_rouge!A"&amp;_xlfn.XMATCH("NA",Liste_rouge!A:A,2,1),"NA")</f>
        <v>NA</v>
      </c>
      <c r="AH24623" s="4" t="str">
        <f>HYPERLINK("#Statut_biogéographique!A"&amp;_xlfn.XMATCH("I",Statut_biogéographique!A:A,2,1),"I")</f>
        <v>I</v>
      </c>
      <c r="AP24623" s="4" t="s">
        <v>376</v>
      </c>
      <c r="AR24623" s="4" t="s">
        <v>377</v>
      </c>
    </row>
    <row r="24624" spans="1:44" ht="120">
      <c r="A24624" s="4" t="s">
        <v>24364</v>
      </c>
      <c r="B24624" s="4">
        <v>97947</v>
      </c>
      <c r="D24624" s="5" t="s">
        <v>32490</v>
      </c>
      <c r="E24624" s="6" t="str">
        <f>HYPERLINK("https://inpn.mnhn.fr/espece/cd_nom/97947","Fagus sylvatica L., 1753")</f>
        <v>Fagus sylvatica L., 1753</v>
      </c>
      <c r="F24624" s="5" t="s">
        <v>32491</v>
      </c>
      <c r="P24624" s="7" t="str">
        <f>HYPERLINK("#Liste_rouge!A"&amp;_xlfn.XMATCH("LC",Liste_rouge!A:A,2,1),"LC")</f>
        <v>LC</v>
      </c>
      <c r="Q24624" s="7" t="str">
        <f>HYPERLINK("#Liste_rouge!A"&amp;_xlfn.XMATCH("LC",Liste_rouge!A:A,2,1),"LC")</f>
        <v>LC</v>
      </c>
      <c r="T24624" s="7" t="str">
        <f>HYPERLINK("#Liste_rouge!A"&amp;_xlfn.XMATCH("LC",Liste_rouge!A:A,2,1),"LC")</f>
        <v>LC</v>
      </c>
      <c r="V24624" s="7" t="str">
        <f>HYPERLINK("#Liste_rouge!A"&amp;_xlfn.XMATCH("LC",Liste_rouge!A:A,2,1),"LC")</f>
        <v>LC</v>
      </c>
      <c r="AH24624" s="4" t="str">
        <f>HYPERLINK("#Statut_biogéographique!A"&amp;_xlfn.XMATCH("P",Statut_biogéographique!A:A,2,1),"P")</f>
        <v>P</v>
      </c>
      <c r="AM24624" s="4" t="s">
        <v>375</v>
      </c>
      <c r="AN24624" s="4" t="s">
        <v>375</v>
      </c>
      <c r="AO24624" s="4" t="s">
        <v>375</v>
      </c>
      <c r="AP24624" s="4" t="s">
        <v>376</v>
      </c>
      <c r="AR24624" s="4" t="s">
        <v>377</v>
      </c>
    </row>
    <row r="24625" spans="1:44" ht="45">
      <c r="A24625" s="4" t="s">
        <v>24364</v>
      </c>
      <c r="B24625" s="4">
        <v>97956</v>
      </c>
      <c r="D24625" s="5" t="s">
        <v>32492</v>
      </c>
      <c r="E24625" s="6" t="str">
        <f>HYPERLINK("https://inpn.mnhn.fr/espece/cd_nom/97956","Falcaria vulgaris Bernh., 1800")</f>
        <v>Falcaria vulgaris Bernh., 1800</v>
      </c>
      <c r="F24625" s="5" t="s">
        <v>32493</v>
      </c>
      <c r="Q24625" s="7" t="str">
        <f>HYPERLINK("#Liste_rouge!A"&amp;_xlfn.XMATCH("LC",Liste_rouge!A:A,2,1),"LC")</f>
        <v>LC</v>
      </c>
      <c r="T24625" s="7" t="str">
        <f>HYPERLINK("#Liste_rouge!A"&amp;_xlfn.XMATCH("EN",Liste_rouge!A:A,2,1),"EN")</f>
        <v>EN</v>
      </c>
      <c r="U24625" s="4" t="str">
        <f>HYPERLINK("#Critères_liste_rouge!A$1","C2a(i)")</f>
        <v>C2a(i)</v>
      </c>
      <c r="AB24625" s="4" t="s">
        <v>24495</v>
      </c>
      <c r="AH24625" s="4" t="str">
        <f>HYPERLINK("#Statut_biogéographique!A"&amp;_xlfn.XMATCH("P",Statut_biogéographique!A:A,2,1),"P")</f>
        <v>P</v>
      </c>
      <c r="AM24625" s="4" t="s">
        <v>375</v>
      </c>
      <c r="AN24625" s="4" t="s">
        <v>375</v>
      </c>
      <c r="AO24625" s="4" t="s">
        <v>375</v>
      </c>
      <c r="AP24625" s="4" t="s">
        <v>376</v>
      </c>
      <c r="AR24625" s="4" t="s">
        <v>377</v>
      </c>
    </row>
    <row r="24626" spans="1:44" ht="60">
      <c r="A24626" s="4" t="s">
        <v>24364</v>
      </c>
      <c r="B24626" s="4">
        <v>97961</v>
      </c>
      <c r="D24626" s="5" t="s">
        <v>32494</v>
      </c>
      <c r="E24626" s="6" t="str">
        <f>HYPERLINK("https://inpn.mnhn.fr/espece/cd_nom/97961","Fallopia baldschuanica (Regel) Holub, 1971")</f>
        <v>Fallopia baldschuanica (Regel) Holub, 1971</v>
      </c>
      <c r="F24626" s="5" t="s">
        <v>32495</v>
      </c>
      <c r="Q24626" s="7" t="str">
        <f>HYPERLINK("#Liste_rouge!A"&amp;_xlfn.XMATCH("NA",Liste_rouge!A:A,2,1),"NA")</f>
        <v>NA</v>
      </c>
      <c r="T24626" s="7" t="str">
        <f>HYPERLINK("#Liste_rouge!A"&amp;_xlfn.XMATCH("NA",Liste_rouge!A:A,2,1),"NA")</f>
        <v>NA</v>
      </c>
      <c r="AH24626" s="4" t="str">
        <f>HYPERLINK("#Statut_biogéographique!A"&amp;_xlfn.XMATCH("I",Statut_biogéographique!A:A,2,1),"I")</f>
        <v>I</v>
      </c>
      <c r="AM24626" s="4" t="s">
        <v>375</v>
      </c>
      <c r="AN24626" s="4" t="s">
        <v>375</v>
      </c>
      <c r="AO24626" s="4" t="s">
        <v>375</v>
      </c>
      <c r="AP24626" s="4" t="s">
        <v>376</v>
      </c>
      <c r="AR24626" s="4" t="s">
        <v>377</v>
      </c>
    </row>
    <row r="24627" spans="1:44" ht="60">
      <c r="A24627" s="4" t="s">
        <v>24364</v>
      </c>
      <c r="B24627" s="4">
        <v>97962</v>
      </c>
      <c r="D24627" s="5" t="s">
        <v>32496</v>
      </c>
      <c r="E24627" s="6" t="str">
        <f>HYPERLINK("https://inpn.mnhn.fr/espece/cd_nom/97962","Fallopia convolvulus (L.) Á.Löve, 1970")</f>
        <v>Fallopia convolvulus (L.) Á.Löve, 1970</v>
      </c>
      <c r="F24627" s="5" t="s">
        <v>32497</v>
      </c>
      <c r="Q24627" s="7" t="str">
        <f>HYPERLINK("#Liste_rouge!A"&amp;_xlfn.XMATCH("LC",Liste_rouge!A:A,2,1),"LC")</f>
        <v>LC</v>
      </c>
      <c r="T24627" s="7" t="str">
        <f>HYPERLINK("#Liste_rouge!A"&amp;_xlfn.XMATCH("DD",Liste_rouge!A:A,2,1),"DD (cd_nom 146619) - LC (cd_nom 97962)")</f>
        <v>DD (cd_nom 146619) - LC (cd_nom 97962)</v>
      </c>
      <c r="V24627" s="7" t="str">
        <f>HYPERLINK("#Liste_rouge!A"&amp;_xlfn.XMATCH("LC",Liste_rouge!A:A,2,1),"LC")</f>
        <v>LC</v>
      </c>
      <c r="AH24627" s="4" t="str">
        <f>HYPERLINK("#Statut_biogéographique!A"&amp;_xlfn.XMATCH("P",Statut_biogéographique!A:A,2,1),"P")</f>
        <v>P</v>
      </c>
      <c r="AM24627" s="4" t="s">
        <v>375</v>
      </c>
      <c r="AN24627" s="4" t="s">
        <v>375</v>
      </c>
      <c r="AO24627" s="4" t="s">
        <v>375</v>
      </c>
      <c r="AP24627" s="4" t="s">
        <v>376</v>
      </c>
      <c r="AR24627" s="4" t="s">
        <v>377</v>
      </c>
    </row>
    <row r="24628" spans="1:44" ht="45">
      <c r="A24628" s="4" t="s">
        <v>24364</v>
      </c>
      <c r="B24628" s="4">
        <v>97963</v>
      </c>
      <c r="D24628" s="5" t="s">
        <v>32498</v>
      </c>
      <c r="E24628" s="6" t="str">
        <f>HYPERLINK("https://inpn.mnhn.fr/espece/cd_nom/97963","Fallopia dumetorum (L.) Holub, 1971")</f>
        <v>Fallopia dumetorum (L.) Holub, 1971</v>
      </c>
      <c r="F24628" s="5" t="s">
        <v>32499</v>
      </c>
      <c r="Q24628" s="7" t="str">
        <f>HYPERLINK("#Liste_rouge!A"&amp;_xlfn.XMATCH("LC",Liste_rouge!A:A,2,1),"LC")</f>
        <v>LC</v>
      </c>
      <c r="T24628" s="7" t="str">
        <f>HYPERLINK("#Liste_rouge!A"&amp;_xlfn.XMATCH("LC",Liste_rouge!A:A,2,1),"LC")</f>
        <v>LC</v>
      </c>
      <c r="V24628" s="7" t="str">
        <f>HYPERLINK("#Liste_rouge!A"&amp;_xlfn.XMATCH("LC",Liste_rouge!A:A,2,1),"LC")</f>
        <v>LC</v>
      </c>
      <c r="AB24628" s="4" t="s">
        <v>30221</v>
      </c>
      <c r="AH24628" s="4" t="str">
        <f>HYPERLINK("#Statut_biogéographique!A"&amp;_xlfn.XMATCH("P",Statut_biogéographique!A:A,2,1),"P")</f>
        <v>P</v>
      </c>
      <c r="AM24628" s="4" t="s">
        <v>375</v>
      </c>
      <c r="AN24628" s="4" t="s">
        <v>375</v>
      </c>
      <c r="AO24628" s="4" t="s">
        <v>375</v>
      </c>
      <c r="AP24628" s="4" t="s">
        <v>376</v>
      </c>
      <c r="AR24628" s="4" t="s">
        <v>377</v>
      </c>
    </row>
    <row r="24629" spans="1:44" ht="30">
      <c r="A24629" s="4" t="s">
        <v>24364</v>
      </c>
      <c r="B24629" s="4">
        <v>98060</v>
      </c>
      <c r="D24629" s="5" t="s">
        <v>32500</v>
      </c>
      <c r="E24629" s="6" t="str">
        <f>HYPERLINK("https://inpn.mnhn.fr/espece/cd_nom/98060","Festuca amethystina L., 1753")</f>
        <v>Festuca amethystina L., 1753</v>
      </c>
      <c r="F24629" s="5" t="s">
        <v>28519</v>
      </c>
      <c r="M24629" s="4" t="str">
        <f>HYPERLINK("#Réglementation!A"&amp;_xlfn.XMATCH("RV43",Réglementation!A:A,2,1),"RV43")</f>
        <v>RV43</v>
      </c>
      <c r="Q24629" s="7" t="str">
        <f>HYPERLINK("#Liste_rouge!A"&amp;_xlfn.XMATCH("VU",Liste_rouge!A:A,2,1),"VU")</f>
        <v>VU</v>
      </c>
      <c r="T24629" s="7" t="str">
        <f>HYPERLINK("#Liste_rouge!A"&amp;_xlfn.XMATCH("CR",Liste_rouge!A:A,2,1),"CR")</f>
        <v>CR</v>
      </c>
      <c r="U24629" s="4" t="str">
        <f>HYPERLINK("#Critères_liste_rouge!A$1","D1")</f>
        <v>D1</v>
      </c>
      <c r="V24629" s="7" t="str">
        <f>HYPERLINK("#Liste_rouge!A"&amp;_xlfn.XMATCH("VU",Liste_rouge!A:A,2,1),"VU")</f>
        <v>VU</v>
      </c>
      <c r="W24629" s="4" t="str">
        <f>HYPERLINK("#Critères_liste_rouge!A$1","D2")</f>
        <v>D2</v>
      </c>
      <c r="X24629" s="5" t="s">
        <v>374</v>
      </c>
      <c r="AB24629" s="4" t="s">
        <v>93</v>
      </c>
      <c r="AH24629" s="4" t="str">
        <f>HYPERLINK("#Statut_biogéographique!A"&amp;_xlfn.XMATCH("P",Statut_biogéographique!A:A,2,1),"P")</f>
        <v>P</v>
      </c>
      <c r="AM24629" s="4" t="s">
        <v>375</v>
      </c>
      <c r="AN24629" s="4" t="s">
        <v>375</v>
      </c>
      <c r="AO24629" s="4" t="s">
        <v>375</v>
      </c>
      <c r="AP24629" s="4" t="s">
        <v>389</v>
      </c>
      <c r="AR24629" s="4" t="s">
        <v>377</v>
      </c>
    </row>
    <row r="24630" spans="1:44" ht="30">
      <c r="A24630" s="4" t="s">
        <v>24364</v>
      </c>
      <c r="B24630" s="4">
        <v>98079</v>
      </c>
      <c r="D24630" s="5" t="s">
        <v>32501</v>
      </c>
      <c r="E24630" s="6" t="str">
        <f>HYPERLINK("https://inpn.mnhn.fr/espece/cd_nom/98079","Festuca arvernensis Auquier, Kerguélen &amp; Markgr.-Dann., 1978")</f>
        <v>Festuca arvernensis Auquier, Kerguélen &amp; Markgr.-Dann., 1978</v>
      </c>
      <c r="F24630" s="5" t="s">
        <v>32502</v>
      </c>
      <c r="Q24630" s="7" t="str">
        <f>HYPERLINK("#Liste_rouge!A"&amp;_xlfn.XMATCH("LC",Liste_rouge!A:A,2,1),"LC")</f>
        <v>LC</v>
      </c>
      <c r="AH24630" s="4" t="str">
        <f>HYPERLINK("#Statut_biogéographique!A"&amp;_xlfn.XMATCH("P",Statut_biogéographique!A:A,2,1),"P")</f>
        <v>P</v>
      </c>
      <c r="AP24630" s="4" t="s">
        <v>376</v>
      </c>
      <c r="AR24630" s="4" t="s">
        <v>377</v>
      </c>
    </row>
    <row r="24631" spans="1:44">
      <c r="A24631" s="4" t="s">
        <v>24364</v>
      </c>
      <c r="B24631" s="4">
        <v>98086</v>
      </c>
      <c r="D24631" s="5" t="s">
        <v>32503</v>
      </c>
      <c r="E24631" s="6" t="str">
        <f>HYPERLINK("https://inpn.mnhn.fr/espece/cd_nom/98086","Festuca auquieri Kerguélen, 1979")</f>
        <v>Festuca auquieri Kerguélen, 1979</v>
      </c>
      <c r="F24631" s="5" t="s">
        <v>32504</v>
      </c>
      <c r="Q24631" s="7" t="str">
        <f>HYPERLINK("#Liste_rouge!A"&amp;_xlfn.XMATCH("LC",Liste_rouge!A:A,2,1),"LC")</f>
        <v>LC</v>
      </c>
      <c r="T24631" s="7" t="str">
        <f>HYPERLINK("#Liste_rouge!A"&amp;_xlfn.XMATCH("VU",Liste_rouge!A:A,2,1),"VU")</f>
        <v>VU</v>
      </c>
      <c r="U24631" s="4" t="str">
        <f>HYPERLINK("#Critères_liste_rouge!A$1","D2")</f>
        <v>D2</v>
      </c>
      <c r="X24631" s="5" t="s">
        <v>374</v>
      </c>
      <c r="AB24631" s="4" t="s">
        <v>93</v>
      </c>
      <c r="AH24631" s="4" t="str">
        <f>HYPERLINK("#Statut_biogéographique!A"&amp;_xlfn.XMATCH("P",Statut_biogéographique!A:A,2,1),"P")</f>
        <v>P</v>
      </c>
      <c r="AM24631" s="4" t="s">
        <v>375</v>
      </c>
      <c r="AN24631" s="4" t="s">
        <v>375</v>
      </c>
      <c r="AO24631" s="4" t="s">
        <v>375</v>
      </c>
      <c r="AP24631" s="4" t="s">
        <v>376</v>
      </c>
      <c r="AR24631" s="4" t="s">
        <v>377</v>
      </c>
    </row>
    <row r="24632" spans="1:44" ht="45">
      <c r="A24632" s="4" t="s">
        <v>24364</v>
      </c>
      <c r="B24632" s="4">
        <v>98114</v>
      </c>
      <c r="D24632" s="5" t="s">
        <v>32505</v>
      </c>
      <c r="E24632" s="6" t="str">
        <f>HYPERLINK("https://inpn.mnhn.fr/espece/cd_nom/98114","Festuca brevipila R.Tracey, 1977")</f>
        <v>Festuca brevipila R.Tracey, 1977</v>
      </c>
      <c r="F24632" s="5" t="s">
        <v>32506</v>
      </c>
      <c r="Q24632" s="7" t="str">
        <f>HYPERLINK("#Liste_rouge!A"&amp;_xlfn.XMATCH("LC",Liste_rouge!A:A,2,1),"LC")</f>
        <v>LC</v>
      </c>
      <c r="T24632" s="7" t="str">
        <f>HYPERLINK("#Liste_rouge!A"&amp;_xlfn.XMATCH("NA",Liste_rouge!A:A,2,1),"NA")</f>
        <v>NA</v>
      </c>
      <c r="V24632" s="7" t="str">
        <f>HYPERLINK("#Liste_rouge!A"&amp;_xlfn.XMATCH("LC",Liste_rouge!A:A,2,1),"LC")</f>
        <v>LC</v>
      </c>
      <c r="AH24632" s="4" t="str">
        <f>HYPERLINK("#Statut_biogéographique!A"&amp;_xlfn.XMATCH("P",Statut_biogéographique!A:A,2,1),"P")</f>
        <v>P</v>
      </c>
      <c r="AM24632" s="4" t="s">
        <v>375</v>
      </c>
      <c r="AN24632" s="4" t="s">
        <v>375</v>
      </c>
      <c r="AO24632" s="4" t="s">
        <v>375</v>
      </c>
      <c r="AP24632" s="4" t="s">
        <v>376</v>
      </c>
      <c r="AR24632" s="4" t="s">
        <v>377</v>
      </c>
    </row>
    <row r="24633" spans="1:44" ht="30">
      <c r="A24633" s="4" t="s">
        <v>24364</v>
      </c>
      <c r="B24633" s="4">
        <v>98120</v>
      </c>
      <c r="D24633" s="5" t="s">
        <v>32507</v>
      </c>
      <c r="E24633" s="6" t="str">
        <f>HYPERLINK("https://inpn.mnhn.fr/espece/cd_nom/98120","Festuca burgundiana Auquier &amp; Kerguélen, 1978")</f>
        <v>Festuca burgundiana Auquier &amp; Kerguélen, 1978</v>
      </c>
      <c r="F24633" s="5" t="s">
        <v>32508</v>
      </c>
      <c r="Q24633" s="7" t="str">
        <f>HYPERLINK("#Liste_rouge!A"&amp;_xlfn.XMATCH("LC",Liste_rouge!A:A,2,1),"LC")</f>
        <v>LC</v>
      </c>
      <c r="T24633" s="7" t="str">
        <f>HYPERLINK("#Liste_rouge!A"&amp;_xlfn.XMATCH("LC",Liste_rouge!A:A,2,1),"LC")</f>
        <v>LC</v>
      </c>
      <c r="V24633" s="7" t="str">
        <f>HYPERLINK("#Liste_rouge!A"&amp;_xlfn.XMATCH("DD",Liste_rouge!A:A,2,1),"DD")</f>
        <v>DD</v>
      </c>
      <c r="AH24633" s="4" t="str">
        <f>HYPERLINK("#Statut_biogéographique!A"&amp;_xlfn.XMATCH("P",Statut_biogéographique!A:A,2,1),"P")</f>
        <v>P</v>
      </c>
      <c r="AM24633" s="4" t="s">
        <v>375</v>
      </c>
      <c r="AN24633" s="4" t="s">
        <v>375</v>
      </c>
      <c r="AO24633" s="4" t="s">
        <v>375</v>
      </c>
      <c r="AP24633" s="4" t="s">
        <v>376</v>
      </c>
      <c r="AR24633" s="4" t="s">
        <v>377</v>
      </c>
    </row>
    <row r="24634" spans="1:44" ht="30">
      <c r="A24634" s="4" t="s">
        <v>24364</v>
      </c>
      <c r="B24634" s="4">
        <v>98147</v>
      </c>
      <c r="D24634" s="5" t="s">
        <v>32509</v>
      </c>
      <c r="E24634" s="6" t="str">
        <f>HYPERLINK("https://inpn.mnhn.fr/espece/cd_nom/98147","Festuca cinerea Vill., 1786")</f>
        <v>Festuca cinerea Vill., 1786</v>
      </c>
      <c r="F24634" s="5" t="s">
        <v>32510</v>
      </c>
      <c r="Q24634" s="7" t="str">
        <f>HYPERLINK("#Liste_rouge!A"&amp;_xlfn.XMATCH("LC",Liste_rouge!A:A,2,1),"LC")</f>
        <v>LC</v>
      </c>
      <c r="AH24634" s="4" t="str">
        <f>HYPERLINK("#Statut_biogéographique!A"&amp;_xlfn.XMATCH("P",Statut_biogéographique!A:A,2,1),"P")</f>
        <v>P</v>
      </c>
      <c r="AP24634" s="4" t="s">
        <v>376</v>
      </c>
      <c r="AR24634" s="4" t="s">
        <v>377</v>
      </c>
    </row>
    <row r="24635" spans="1:44" ht="120">
      <c r="A24635" s="4" t="s">
        <v>24364</v>
      </c>
      <c r="B24635" s="4">
        <v>981676</v>
      </c>
      <c r="D24635" s="5" t="s">
        <v>32511</v>
      </c>
      <c r="E24635" s="6" t="str">
        <f>HYPERLINK("https://inpn.mnhn.fr/espece/cd_nom/981676","Helianthemum oelandicum var. canescens (Hartm.) Fr., 1824")</f>
        <v>Helianthemum oelandicum var. canescens (Hartm.) Fr., 1824</v>
      </c>
      <c r="F24635" s="5" t="s">
        <v>32512</v>
      </c>
      <c r="Q24635" s="7" t="str">
        <f>HYPERLINK("#Liste_rouge!A"&amp;_xlfn.XMATCH("LC",Liste_rouge!A:A,2,1),"LC")</f>
        <v>LC</v>
      </c>
      <c r="T24635" s="7" t="str">
        <f>HYPERLINK("#Liste_rouge!A"&amp;_xlfn.XMATCH("DD",Liste_rouge!A:A,2,1),"DD")</f>
        <v>DD</v>
      </c>
      <c r="V24635" s="7" t="str">
        <f>HYPERLINK("#Liste_rouge!A"&amp;_xlfn.XMATCH("LC",Liste_rouge!A:A,2,1),"LC")</f>
        <v>LC</v>
      </c>
      <c r="AB24635" s="4" t="s">
        <v>24767</v>
      </c>
      <c r="AH24635" s="4" t="str">
        <f>HYPERLINK("#Statut_biogéographique!A"&amp;_xlfn.XMATCH("P",Statut_biogéographique!A:A,2,1),"P")</f>
        <v>P</v>
      </c>
      <c r="AM24635" s="4" t="s">
        <v>375</v>
      </c>
      <c r="AN24635" s="4" t="s">
        <v>375</v>
      </c>
      <c r="AO24635" s="4" t="s">
        <v>375</v>
      </c>
      <c r="AP24635" s="4" t="s">
        <v>376</v>
      </c>
      <c r="AR24635" s="4" t="s">
        <v>377</v>
      </c>
    </row>
    <row r="24636" spans="1:44" ht="90">
      <c r="A24636" s="4" t="s">
        <v>24364</v>
      </c>
      <c r="B24636" s="4">
        <v>98228</v>
      </c>
      <c r="D24636" s="5" t="s">
        <v>32513</v>
      </c>
      <c r="E24636" s="6" t="str">
        <f>HYPERLINK("https://inpn.mnhn.fr/espece/cd_nom/98228","Festuca filiformis Pourr., 1788")</f>
        <v>Festuca filiformis Pourr., 1788</v>
      </c>
      <c r="F24636" s="5" t="s">
        <v>32514</v>
      </c>
      <c r="Q24636" s="7" t="str">
        <f>HYPERLINK("#Liste_rouge!A"&amp;_xlfn.XMATCH("LC",Liste_rouge!A:A,2,1),"LC")</f>
        <v>LC</v>
      </c>
      <c r="T24636" s="7" t="str">
        <f>HYPERLINK("#Liste_rouge!A"&amp;_xlfn.XMATCH("LC",Liste_rouge!A:A,2,1),"LC")</f>
        <v>LC</v>
      </c>
      <c r="V24636" s="7" t="str">
        <f>HYPERLINK("#Liste_rouge!A"&amp;_xlfn.XMATCH("LC",Liste_rouge!A:A,2,1),"LC")</f>
        <v>LC</v>
      </c>
      <c r="AB24636" s="4" t="s">
        <v>24719</v>
      </c>
      <c r="AH24636" s="4" t="str">
        <f>HYPERLINK("#Statut_biogéographique!A"&amp;_xlfn.XMATCH("P",Statut_biogéographique!A:A,2,1),"P")</f>
        <v>P</v>
      </c>
      <c r="AM24636" s="4" t="s">
        <v>375</v>
      </c>
      <c r="AN24636" s="4" t="s">
        <v>375</v>
      </c>
      <c r="AO24636" s="4" t="s">
        <v>375</v>
      </c>
      <c r="AP24636" s="4" t="s">
        <v>376</v>
      </c>
      <c r="AR24636" s="4" t="s">
        <v>377</v>
      </c>
    </row>
    <row r="24637" spans="1:44">
      <c r="A24637" s="4" t="s">
        <v>24364</v>
      </c>
      <c r="B24637" s="4">
        <v>98258</v>
      </c>
      <c r="D24637" s="5" t="s">
        <v>32515</v>
      </c>
      <c r="E24637" s="6" t="str">
        <f>HYPERLINK("https://inpn.mnhn.fr/espece/cd_nom/98258","Festuca glauca Vill., 1787")</f>
        <v>Festuca glauca Vill., 1787</v>
      </c>
      <c r="F24637" s="5" t="s">
        <v>32516</v>
      </c>
      <c r="Q24637" s="7" t="str">
        <f>HYPERLINK("#Liste_rouge!A"&amp;_xlfn.XMATCH("NA",Liste_rouge!A:A,2,1),"NA")</f>
        <v>NA</v>
      </c>
      <c r="T24637" s="7" t="str">
        <f>HYPERLINK("#Liste_rouge!A"&amp;_xlfn.XMATCH("NA",Liste_rouge!A:A,2,1),"NA")</f>
        <v>NA</v>
      </c>
      <c r="AH24637" s="4" t="str">
        <f>HYPERLINK("#Statut_biogéographique!A"&amp;_xlfn.XMATCH("M",Statut_biogéographique!A:A,2,1),"M")</f>
        <v>M</v>
      </c>
      <c r="AP24637" s="4" t="s">
        <v>376</v>
      </c>
      <c r="AR24637" s="4" t="s">
        <v>377</v>
      </c>
    </row>
    <row r="24638" spans="1:44" ht="75">
      <c r="A24638" s="4" t="s">
        <v>24364</v>
      </c>
      <c r="B24638" s="4">
        <v>98278</v>
      </c>
      <c r="D24638" s="5" t="s">
        <v>32517</v>
      </c>
      <c r="E24638" s="6" t="str">
        <f>HYPERLINK("https://inpn.mnhn.fr/espece/cd_nom/98278","Festuca heteromalla Pourr., 1788")</f>
        <v>Festuca heteromalla Pourr., 1788</v>
      </c>
      <c r="F24638" s="5" t="s">
        <v>32518</v>
      </c>
      <c r="Q24638" s="7" t="str">
        <f>HYPERLINK("#Liste_rouge!A"&amp;_xlfn.XMATCH("DD",Liste_rouge!A:A,2,1),"DD")</f>
        <v>DD</v>
      </c>
      <c r="T24638" s="7" t="str">
        <f>HYPERLINK("#Liste_rouge!A"&amp;_xlfn.XMATCH("DD",Liste_rouge!A:A,2,1),"DD")</f>
        <v>DD</v>
      </c>
      <c r="AH24638" s="4" t="str">
        <f>HYPERLINK("#Statut_biogéographique!A"&amp;_xlfn.XMATCH("P",Statut_biogéographique!A:A,2,1),"P")</f>
        <v>P</v>
      </c>
      <c r="AM24638" s="4" t="s">
        <v>375</v>
      </c>
      <c r="AN24638" s="4" t="s">
        <v>375</v>
      </c>
      <c r="AO24638" s="4" t="s">
        <v>375</v>
      </c>
      <c r="AP24638" s="4" t="s">
        <v>376</v>
      </c>
      <c r="AR24638" s="4" t="s">
        <v>377</v>
      </c>
    </row>
    <row r="24639" spans="1:44" ht="30">
      <c r="A24639" s="4" t="s">
        <v>24364</v>
      </c>
      <c r="B24639" s="4">
        <v>98279</v>
      </c>
      <c r="D24639" s="5" t="s">
        <v>32519</v>
      </c>
      <c r="E24639" s="6" t="str">
        <f>HYPERLINK("https://inpn.mnhn.fr/espece/cd_nom/98279","Festuca heteropachys (St.-Yves) Patzke ex Auquier, 1973")</f>
        <v>Festuca heteropachys (St.-Yves) Patzke ex Auquier, 1973</v>
      </c>
      <c r="F24639" s="5" t="s">
        <v>32520</v>
      </c>
      <c r="Q24639" s="7" t="str">
        <f>HYPERLINK("#Liste_rouge!A"&amp;_xlfn.XMATCH("DD",Liste_rouge!A:A,2,1),"DD")</f>
        <v>DD</v>
      </c>
      <c r="T24639" s="7" t="str">
        <f>HYPERLINK("#Liste_rouge!A"&amp;_xlfn.XMATCH("EN",Liste_rouge!A:A,2,1),"EN")</f>
        <v>EN</v>
      </c>
      <c r="U24639" s="4" t="str">
        <f>HYPERLINK("#Critères_liste_rouge!A$1","B2ab(ii,iii,iv)")</f>
        <v>B2ab(ii,iii,iv)</v>
      </c>
      <c r="V24639" s="7" t="str">
        <f>HYPERLINK("#Liste_rouge!A"&amp;_xlfn.XMATCH("LC",Liste_rouge!A:A,2,1),"LC")</f>
        <v>LC</v>
      </c>
      <c r="X24639" s="5" t="s">
        <v>374</v>
      </c>
      <c r="AB24639" s="4" t="s">
        <v>93</v>
      </c>
      <c r="AH24639" s="4" t="str">
        <f>HYPERLINK("#Statut_biogéographique!A"&amp;_xlfn.XMATCH("P",Statut_biogéographique!A:A,2,1),"P")</f>
        <v>P</v>
      </c>
      <c r="AM24639" s="4" t="s">
        <v>375</v>
      </c>
      <c r="AN24639" s="4" t="s">
        <v>375</v>
      </c>
      <c r="AO24639" s="4" t="s">
        <v>375</v>
      </c>
      <c r="AP24639" s="4" t="s">
        <v>376</v>
      </c>
      <c r="AR24639" s="4" t="s">
        <v>377</v>
      </c>
    </row>
    <row r="24640" spans="1:44" ht="120">
      <c r="A24640" s="4" t="s">
        <v>24364</v>
      </c>
      <c r="B24640" s="4">
        <v>98280</v>
      </c>
      <c r="D24640" s="5" t="s">
        <v>32521</v>
      </c>
      <c r="E24640" s="6" t="str">
        <f>HYPERLINK("https://inpn.mnhn.fr/espece/cd_nom/98280","Festuca heterophylla Lam., 1779")</f>
        <v>Festuca heterophylla Lam., 1779</v>
      </c>
      <c r="F24640" s="5" t="s">
        <v>32522</v>
      </c>
      <c r="P24640" s="7" t="str">
        <f>HYPERLINK("#Liste_rouge!A"&amp;_xlfn.XMATCH("LC",Liste_rouge!A:A,2,1),"LC")</f>
        <v>LC</v>
      </c>
      <c r="Q24640" s="7" t="str">
        <f>HYPERLINK("#Liste_rouge!A"&amp;_xlfn.XMATCH("LC",Liste_rouge!A:A,2,1),"LC")</f>
        <v>LC</v>
      </c>
      <c r="T24640" s="7" t="str">
        <f>HYPERLINK("#Liste_rouge!A"&amp;_xlfn.XMATCH("LC",Liste_rouge!A:A,2,1),"LC")</f>
        <v>LC</v>
      </c>
      <c r="V24640" s="7" t="str">
        <f>HYPERLINK("#Liste_rouge!A"&amp;_xlfn.XMATCH("LC",Liste_rouge!A:A,2,1),"LC")</f>
        <v>LC</v>
      </c>
      <c r="AH24640" s="4" t="str">
        <f>HYPERLINK("#Statut_biogéographique!A"&amp;_xlfn.XMATCH("P",Statut_biogéographique!A:A,2,1),"P")</f>
        <v>P</v>
      </c>
      <c r="AM24640" s="4" t="s">
        <v>375</v>
      </c>
      <c r="AN24640" s="4" t="s">
        <v>375</v>
      </c>
      <c r="AO24640" s="4" t="s">
        <v>375</v>
      </c>
      <c r="AP24640" s="4" t="s">
        <v>376</v>
      </c>
      <c r="AR24640" s="4" t="s">
        <v>377</v>
      </c>
    </row>
    <row r="24641" spans="1:44" ht="120">
      <c r="A24641" s="4" t="s">
        <v>24364</v>
      </c>
      <c r="B24641" s="4">
        <v>98319</v>
      </c>
      <c r="D24641" s="5" t="s">
        <v>32523</v>
      </c>
      <c r="E24641" s="6" t="str">
        <f>HYPERLINK("https://inpn.mnhn.fr/espece/cd_nom/98319","Festuca laevigata Gaudin, 1808")</f>
        <v>Festuca laevigata Gaudin, 1808</v>
      </c>
      <c r="F24641" s="5" t="s">
        <v>32524</v>
      </c>
      <c r="Q24641" s="7" t="str">
        <f>HYPERLINK("#Liste_rouge!A"&amp;_xlfn.XMATCH("LC",Liste_rouge!A:A,2,1),"LC")</f>
        <v>LC</v>
      </c>
      <c r="V24641" s="7" t="str">
        <f>HYPERLINK("#Liste_rouge!A"&amp;_xlfn.XMATCH("LC",Liste_rouge!A:A,2,1),"LC")</f>
        <v>LC</v>
      </c>
      <c r="AH24641" s="4" t="str">
        <f>HYPERLINK("#Statut_biogéographique!A"&amp;_xlfn.XMATCH("P",Statut_biogéographique!A:A,2,1),"P")</f>
        <v>P</v>
      </c>
      <c r="AM24641" s="4" t="s">
        <v>375</v>
      </c>
      <c r="AN24641" s="4" t="s">
        <v>375</v>
      </c>
      <c r="AO24641" s="4" t="s">
        <v>375</v>
      </c>
      <c r="AP24641" s="4" t="s">
        <v>376</v>
      </c>
      <c r="AR24641" s="4" t="s">
        <v>377</v>
      </c>
    </row>
    <row r="24642" spans="1:44" ht="30">
      <c r="A24642" s="4" t="s">
        <v>24364</v>
      </c>
      <c r="B24642" s="4">
        <v>98334</v>
      </c>
      <c r="D24642" s="5" t="s">
        <v>32525</v>
      </c>
      <c r="E24642" s="6" t="str">
        <f>HYPERLINK("https://inpn.mnhn.fr/espece/cd_nom/98334","Festuca lemanii Bastard, 1809")</f>
        <v>Festuca lemanii Bastard, 1809</v>
      </c>
      <c r="F24642" s="5" t="s">
        <v>32526</v>
      </c>
      <c r="Q24642" s="7" t="str">
        <f>HYPERLINK("#Liste_rouge!A"&amp;_xlfn.XMATCH("LC",Liste_rouge!A:A,2,1),"LC")</f>
        <v>LC</v>
      </c>
      <c r="T24642" s="7" t="str">
        <f>HYPERLINK("#Liste_rouge!A"&amp;_xlfn.XMATCH("LC",Liste_rouge!A:A,2,1),"LC")</f>
        <v>LC</v>
      </c>
      <c r="V24642" s="7" t="str">
        <f>HYPERLINK("#Liste_rouge!A"&amp;_xlfn.XMATCH("LC",Liste_rouge!A:A,2,1),"LC")</f>
        <v>LC</v>
      </c>
      <c r="AH24642" s="4" t="str">
        <f>HYPERLINK("#Statut_biogéographique!A"&amp;_xlfn.XMATCH("P",Statut_biogéographique!A:A,2,1),"P")</f>
        <v>P</v>
      </c>
      <c r="AM24642" s="4" t="s">
        <v>375</v>
      </c>
      <c r="AN24642" s="4" t="s">
        <v>375</v>
      </c>
      <c r="AO24642" s="4" t="s">
        <v>375</v>
      </c>
      <c r="AP24642" s="4" t="s">
        <v>376</v>
      </c>
      <c r="AR24642" s="4" t="s">
        <v>377</v>
      </c>
    </row>
    <row r="24643" spans="1:44" ht="60">
      <c r="A24643" s="4" t="s">
        <v>24364</v>
      </c>
      <c r="B24643" s="4">
        <v>98349</v>
      </c>
      <c r="D24643" s="5" t="s">
        <v>32527</v>
      </c>
      <c r="E24643" s="6" t="str">
        <f>HYPERLINK("https://inpn.mnhn.fr/espece/cd_nom/98349","Festuca longifolia Thuill., 1799")</f>
        <v>Festuca longifolia Thuill., 1799</v>
      </c>
      <c r="F24643" s="5" t="s">
        <v>32528</v>
      </c>
      <c r="Q24643" s="7" t="str">
        <f>HYPERLINK("#Liste_rouge!A"&amp;_xlfn.XMATCH("LC",Liste_rouge!A:A,2,1),"LC")</f>
        <v>LC</v>
      </c>
      <c r="T24643" s="7" t="str">
        <f>HYPERLINK("#Liste_rouge!A"&amp;_xlfn.XMATCH("LC",Liste_rouge!A:A,2,1),"LC")</f>
        <v>LC</v>
      </c>
      <c r="AB24643" s="4" t="s">
        <v>26166</v>
      </c>
      <c r="AH24643" s="4" t="str">
        <f>HYPERLINK("#Statut_biogéographique!A"&amp;_xlfn.XMATCH("P",Statut_biogéographique!A:A,2,1),"P")</f>
        <v>P</v>
      </c>
      <c r="AM24643" s="4" t="s">
        <v>375</v>
      </c>
      <c r="AN24643" s="4" t="s">
        <v>375</v>
      </c>
      <c r="AO24643" s="4" t="s">
        <v>375</v>
      </c>
      <c r="AP24643" s="4" t="s">
        <v>376</v>
      </c>
      <c r="AR24643" s="4" t="s">
        <v>377</v>
      </c>
    </row>
    <row r="24644" spans="1:44" ht="30">
      <c r="A24644" s="4" t="s">
        <v>24364</v>
      </c>
      <c r="B24644" s="4">
        <v>98358</v>
      </c>
      <c r="D24644" s="5" t="s">
        <v>32529</v>
      </c>
      <c r="E24644" s="6" t="str">
        <f>HYPERLINK("https://inpn.mnhn.fr/espece/cd_nom/98358","Festuca marginata (Hack.) K.Richt., 1890")</f>
        <v>Festuca marginata (Hack.) K.Richt., 1890</v>
      </c>
      <c r="F24644" s="5" t="s">
        <v>28521</v>
      </c>
      <c r="Q24644" s="7" t="str">
        <f>HYPERLINK("#Liste_rouge!A"&amp;_xlfn.XMATCH("LC",Liste_rouge!A:A,2,1),"LC")</f>
        <v>LC</v>
      </c>
      <c r="T24644" s="7" t="str">
        <f>HYPERLINK("#Liste_rouge!A"&amp;_xlfn.XMATCH("LC",Liste_rouge!A:A,2,1),"LC")</f>
        <v>LC</v>
      </c>
      <c r="V24644" s="7" t="str">
        <f>HYPERLINK("#Liste_rouge!A"&amp;_xlfn.XMATCH("LC",Liste_rouge!A:A,2,1),"LC")</f>
        <v>LC</v>
      </c>
      <c r="AB24644" s="4" t="s">
        <v>24984</v>
      </c>
      <c r="AH24644" s="4" t="str">
        <f>HYPERLINK("#Statut_biogéographique!A"&amp;_xlfn.XMATCH("P",Statut_biogéographique!A:A,2,1),"P")</f>
        <v>P</v>
      </c>
      <c r="AM24644" s="4" t="s">
        <v>375</v>
      </c>
      <c r="AN24644" s="4" t="s">
        <v>375</v>
      </c>
      <c r="AO24644" s="4" t="s">
        <v>375</v>
      </c>
      <c r="AP24644" s="4" t="s">
        <v>376</v>
      </c>
      <c r="AR24644" s="4" t="s">
        <v>377</v>
      </c>
    </row>
    <row r="24645" spans="1:44">
      <c r="A24645" s="4" t="s">
        <v>24364</v>
      </c>
      <c r="B24645" s="4">
        <v>98374</v>
      </c>
      <c r="D24645" s="5" t="s">
        <v>32530</v>
      </c>
      <c r="E24645" s="6" t="str">
        <f>HYPERLINK("https://inpn.mnhn.fr/espece/cd_nom/98374","Festuca microphylla (St.-Yves) Patzke, 1964")</f>
        <v>Festuca microphylla (St.-Yves) Patzke, 1964</v>
      </c>
      <c r="F24645" s="5" t="s">
        <v>32531</v>
      </c>
      <c r="Q24645" s="7" t="str">
        <f>HYPERLINK("#Liste_rouge!A"&amp;_xlfn.XMATCH("LC",Liste_rouge!A:A,2,1),"LC")</f>
        <v>LC</v>
      </c>
      <c r="T24645" s="7" t="str">
        <f>HYPERLINK("#Liste_rouge!A"&amp;_xlfn.XMATCH("EN",Liste_rouge!A:A,2,1),"EN")</f>
        <v>EN</v>
      </c>
      <c r="U24645" s="4" t="str">
        <f>HYPERLINK("#Critères_liste_rouge!A$1","B2ab(ii,iii,iv)")</f>
        <v>B2ab(ii,iii,iv)</v>
      </c>
      <c r="AH24645" s="4" t="str">
        <f>HYPERLINK("#Statut_biogéographique!A"&amp;_xlfn.XMATCH("P",Statut_biogéographique!A:A,2,1),"P")</f>
        <v>P</v>
      </c>
      <c r="AP24645" s="4" t="s">
        <v>376</v>
      </c>
      <c r="AR24645" s="4" t="s">
        <v>377</v>
      </c>
    </row>
    <row r="24646" spans="1:44" ht="45">
      <c r="A24646" s="4" t="s">
        <v>24364</v>
      </c>
      <c r="B24646" s="4">
        <v>983817</v>
      </c>
      <c r="D24646" s="5" t="s">
        <v>32532</v>
      </c>
      <c r="E24646" s="6" t="str">
        <f>HYPERLINK("https://inpn.mnhn.fr/espece/cd_nom/983817","Chenopodium betaceum Andrz., 1862")</f>
        <v>Chenopodium betaceum Andrz., 1862</v>
      </c>
      <c r="F24646" s="5" t="s">
        <v>32533</v>
      </c>
      <c r="Q24646" s="7" t="str">
        <f>HYPERLINK("#Liste_rouge!A"&amp;_xlfn.XMATCH("DD",Liste_rouge!A:A,2,1),"DD")</f>
        <v>DD</v>
      </c>
      <c r="T24646" s="7" t="str">
        <f>HYPERLINK("#Liste_rouge!A"&amp;_xlfn.XMATCH("NA",Liste_rouge!A:A,2,1),"NA")</f>
        <v>NA</v>
      </c>
      <c r="AH24646" s="4" t="str">
        <f>HYPERLINK("#Statut_biogéographique!A"&amp;_xlfn.XMATCH("P",Statut_biogéographique!A:A,2,1),"P")</f>
        <v>P</v>
      </c>
      <c r="AP24646" s="4" t="s">
        <v>376</v>
      </c>
      <c r="AR24646" s="4" t="s">
        <v>377</v>
      </c>
    </row>
    <row r="24647" spans="1:44" ht="120">
      <c r="A24647" s="4" t="s">
        <v>24364</v>
      </c>
      <c r="B24647" s="4">
        <v>98404</v>
      </c>
      <c r="D24647" s="5" t="s">
        <v>32534</v>
      </c>
      <c r="E24647" s="6" t="str">
        <f>HYPERLINK("https://inpn.mnhn.fr/espece/cd_nom/98404","Festuca nigrescens Lam., 1788")</f>
        <v>Festuca nigrescens Lam., 1788</v>
      </c>
      <c r="F24647" s="5" t="s">
        <v>32535</v>
      </c>
      <c r="Q24647" s="7" t="str">
        <f>HYPERLINK("#Liste_rouge!A"&amp;_xlfn.XMATCH("LC",Liste_rouge!A:A,2,1),"LC")</f>
        <v>LC</v>
      </c>
      <c r="T24647" s="7" t="str">
        <f>HYPERLINK("#Liste_rouge!A"&amp;_xlfn.XMATCH("DD",Liste_rouge!A:A,2,1),"DD (cd_nom 134562) - NT (cd_nom 98404)")</f>
        <v>DD (cd_nom 134562) - NT (cd_nom 98404)</v>
      </c>
      <c r="V24647" s="7" t="str">
        <f>HYPERLINK("#Liste_rouge!A"&amp;_xlfn.XMATCH("LC",Liste_rouge!A:A,2,1),"LC")</f>
        <v>LC</v>
      </c>
      <c r="AH24647" s="4" t="str">
        <f>HYPERLINK("#Statut_biogéographique!A"&amp;_xlfn.XMATCH("P",Statut_biogéographique!A:A,2,1),"P")</f>
        <v>P</v>
      </c>
      <c r="AM24647" s="4" t="s">
        <v>375</v>
      </c>
      <c r="AN24647" s="4" t="s">
        <v>375</v>
      </c>
      <c r="AO24647" s="4" t="s">
        <v>375</v>
      </c>
      <c r="AP24647" s="4" t="s">
        <v>376</v>
      </c>
      <c r="AR24647" s="4" t="s">
        <v>377</v>
      </c>
    </row>
    <row r="24648" spans="1:44">
      <c r="A24648" s="4" t="s">
        <v>24364</v>
      </c>
      <c r="B24648" s="4">
        <v>98425</v>
      </c>
      <c r="D24648" s="5" t="s">
        <v>32536</v>
      </c>
      <c r="E24648" s="6" t="str">
        <f>HYPERLINK("https://inpn.mnhn.fr/espece/cd_nom/98425","Festuca ovina L., 1753")</f>
        <v>Festuca ovina L., 1753</v>
      </c>
      <c r="F24648" s="5" t="s">
        <v>32537</v>
      </c>
      <c r="P24648" s="7" t="str">
        <f>HYPERLINK("#Liste_rouge!A"&amp;_xlfn.XMATCH("LC",Liste_rouge!A:A,2,1),"LC")</f>
        <v>LC</v>
      </c>
      <c r="Q24648" s="7" t="str">
        <f>HYPERLINK("#Liste_rouge!A"&amp;_xlfn.XMATCH("LC",Liste_rouge!A:A,2,1),"LC")</f>
        <v>LC</v>
      </c>
      <c r="T24648" s="7" t="str">
        <f>HYPERLINK("#Liste_rouge!A"&amp;_xlfn.XMATCH("LC",Liste_rouge!A:A,2,1),"LC")</f>
        <v>LC</v>
      </c>
      <c r="V24648" s="7" t="str">
        <f>HYPERLINK("#Liste_rouge!A"&amp;_xlfn.XMATCH("LC",Liste_rouge!A:A,2,1),"LC")</f>
        <v>LC</v>
      </c>
      <c r="AH24648" s="4" t="str">
        <f>HYPERLINK("#Statut_biogéographique!A"&amp;_xlfn.XMATCH("P",Statut_biogéographique!A:A,2,1),"P")</f>
        <v>P</v>
      </c>
      <c r="AM24648" s="4" t="s">
        <v>375</v>
      </c>
      <c r="AN24648" s="4" t="s">
        <v>375</v>
      </c>
      <c r="AO24648" s="4" t="s">
        <v>375</v>
      </c>
      <c r="AP24648" s="4" t="s">
        <v>376</v>
      </c>
      <c r="AR24648" s="4" t="s">
        <v>377</v>
      </c>
    </row>
    <row r="24649" spans="1:44" ht="30">
      <c r="A24649" s="4" t="s">
        <v>24364</v>
      </c>
      <c r="B24649" s="4">
        <v>98426</v>
      </c>
      <c r="D24649" s="5" t="s">
        <v>32538</v>
      </c>
      <c r="E24649" s="6" t="str">
        <f>HYPERLINK("https://inpn.mnhn.fr/espece/cd_nom/98426","Festuca pallens Host, 1802")</f>
        <v>Festuca pallens Host, 1802</v>
      </c>
      <c r="F24649" s="5" t="s">
        <v>32539</v>
      </c>
      <c r="Q24649" s="7" t="str">
        <f>HYPERLINK("#Liste_rouge!A"&amp;_xlfn.XMATCH("DD",Liste_rouge!A:A,2,1),"DD")</f>
        <v>DD</v>
      </c>
      <c r="AH24649" s="4" t="str">
        <f>HYPERLINK("#Statut_biogéographique!A"&amp;_xlfn.XMATCH("P",Statut_biogéographique!A:A,2,1),"P")</f>
        <v>P</v>
      </c>
      <c r="AP24649" s="4" t="s">
        <v>376</v>
      </c>
      <c r="AR24649" s="4" t="s">
        <v>377</v>
      </c>
    </row>
    <row r="24650" spans="1:44" ht="30">
      <c r="A24650" s="4" t="s">
        <v>24364</v>
      </c>
      <c r="B24650" s="4">
        <v>98433</v>
      </c>
      <c r="D24650" s="5" t="s">
        <v>32540</v>
      </c>
      <c r="E24650" s="6" t="str">
        <f>HYPERLINK("https://inpn.mnhn.fr/espece/cd_nom/98433","Festuca patzkei Markgr.-Dann., 1978")</f>
        <v>Festuca patzkei Markgr.-Dann., 1978</v>
      </c>
      <c r="F24650" s="5" t="s">
        <v>32541</v>
      </c>
      <c r="Q24650" s="7" t="str">
        <f>HYPERLINK("#Liste_rouge!A"&amp;_xlfn.XMATCH("LC",Liste_rouge!A:A,2,1),"LC")</f>
        <v>LC</v>
      </c>
      <c r="T24650" s="7" t="str">
        <f>HYPERLINK("#Liste_rouge!A"&amp;_xlfn.XMATCH("VU",Liste_rouge!A:A,2,1),"VU")</f>
        <v>VU</v>
      </c>
      <c r="U24650" s="4" t="str">
        <f>HYPERLINK("#Critères_liste_rouge!A$1","D2")</f>
        <v>D2</v>
      </c>
      <c r="V24650" s="7" t="str">
        <f>HYPERLINK("#Liste_rouge!A"&amp;_xlfn.XMATCH("LC",Liste_rouge!A:A,2,1),"LC")</f>
        <v>LC</v>
      </c>
      <c r="AB24650" s="4" t="s">
        <v>31404</v>
      </c>
      <c r="AH24650" s="4" t="str">
        <f>HYPERLINK("#Statut_biogéographique!A"&amp;_xlfn.XMATCH("P",Statut_biogéographique!A:A,2,1),"P")</f>
        <v>P</v>
      </c>
      <c r="AM24650" s="4" t="s">
        <v>375</v>
      </c>
      <c r="AN24650" s="4" t="s">
        <v>375</v>
      </c>
      <c r="AO24650" s="4" t="s">
        <v>375</v>
      </c>
      <c r="AP24650" s="4" t="s">
        <v>376</v>
      </c>
      <c r="AR24650" s="4" t="s">
        <v>377</v>
      </c>
    </row>
    <row r="24651" spans="1:44" ht="60">
      <c r="A24651" s="4" t="s">
        <v>24364</v>
      </c>
      <c r="B24651" s="4">
        <v>984396</v>
      </c>
      <c r="D24651" s="5" t="s">
        <v>32542</v>
      </c>
      <c r="E24651" s="6" t="str">
        <f>HYPERLINK("https://inpn.mnhn.fr/espece/cd_nom/984396","Lepidium coronopus (L.) Al-Shehbaz, 2004")</f>
        <v>Lepidium coronopus (L.) Al-Shehbaz, 2004</v>
      </c>
      <c r="F24651" s="5" t="s">
        <v>32543</v>
      </c>
      <c r="Q24651" s="7" t="str">
        <f>HYPERLINK("#Liste_rouge!A"&amp;_xlfn.XMATCH("LC",Liste_rouge!A:A,2,1),"LC")</f>
        <v>LC</v>
      </c>
      <c r="T24651" s="7" t="str">
        <f>HYPERLINK("#Liste_rouge!A"&amp;_xlfn.XMATCH("LC",Liste_rouge!A:A,2,1),"LC")</f>
        <v>LC</v>
      </c>
      <c r="V24651" s="7" t="str">
        <f>HYPERLINK("#Liste_rouge!A"&amp;_xlfn.XMATCH("VU",Liste_rouge!A:A,2,1),"VU")</f>
        <v>VU</v>
      </c>
      <c r="W24651" s="4" t="str">
        <f>HYPERLINK("#Critères_liste_rouge!A$1","D1")</f>
        <v>D1</v>
      </c>
      <c r="AB24651" s="4" t="s">
        <v>24501</v>
      </c>
      <c r="AH24651" s="4" t="str">
        <f>HYPERLINK("#Statut_biogéographique!A"&amp;_xlfn.XMATCH("P",Statut_biogéographique!A:A,2,1),"P")</f>
        <v>P</v>
      </c>
      <c r="AM24651" s="4" t="s">
        <v>375</v>
      </c>
      <c r="AN24651" s="4" t="s">
        <v>375</v>
      </c>
      <c r="AO24651" s="4" t="s">
        <v>375</v>
      </c>
      <c r="AP24651" s="4" t="s">
        <v>376</v>
      </c>
      <c r="AR24651" s="4" t="s">
        <v>377</v>
      </c>
    </row>
    <row r="24652" spans="1:44" ht="30">
      <c r="A24652" s="4" t="s">
        <v>24364</v>
      </c>
      <c r="B24652" s="4">
        <v>98506</v>
      </c>
      <c r="D24652" s="5" t="s">
        <v>32544</v>
      </c>
      <c r="E24652" s="6" t="str">
        <f>HYPERLINK("https://inpn.mnhn.fr/espece/cd_nom/98506","Festuca rivularis Boiss., 1838")</f>
        <v>Festuca rivularis Boiss., 1838</v>
      </c>
      <c r="F24652" s="5" t="s">
        <v>32545</v>
      </c>
      <c r="Q24652" s="7" t="str">
        <f>HYPERLINK("#Liste_rouge!A"&amp;_xlfn.XMATCH("LC",Liste_rouge!A:A,2,1),"LC")</f>
        <v>LC</v>
      </c>
      <c r="T24652" s="7" t="str">
        <f>HYPERLINK("#Liste_rouge!A"&amp;_xlfn.XMATCH("NA",Liste_rouge!A:A,2,1),"NA")</f>
        <v>NA</v>
      </c>
      <c r="AH24652" s="4" t="str">
        <f>HYPERLINK("#Statut_biogéographique!A"&amp;_xlfn.XMATCH("P",Statut_biogéographique!A:A,2,1),"P")</f>
        <v>P</v>
      </c>
      <c r="AM24652" s="4" t="s">
        <v>375</v>
      </c>
      <c r="AN24652" s="4" t="s">
        <v>375</v>
      </c>
      <c r="AO24652" s="4" t="s">
        <v>375</v>
      </c>
      <c r="AP24652" s="4" t="s">
        <v>376</v>
      </c>
      <c r="AR24652" s="4" t="s">
        <v>377</v>
      </c>
    </row>
    <row r="24653" spans="1:44" ht="150">
      <c r="A24653" s="4" t="s">
        <v>24364</v>
      </c>
      <c r="B24653" s="4">
        <v>98512</v>
      </c>
      <c r="D24653" s="5" t="s">
        <v>32546</v>
      </c>
      <c r="E24653" s="6" t="str">
        <f>HYPERLINK("https://inpn.mnhn.fr/espece/cd_nom/98512","Festuca rubra L., 1753")</f>
        <v>Festuca rubra L., 1753</v>
      </c>
      <c r="F24653" s="5" t="s">
        <v>28527</v>
      </c>
      <c r="P24653" s="7" t="str">
        <f>HYPERLINK("#Liste_rouge!A"&amp;_xlfn.XMATCH("LC",Liste_rouge!A:A,2,1),"LC")</f>
        <v>LC</v>
      </c>
      <c r="Q24653" s="7" t="str">
        <f>HYPERLINK("#Liste_rouge!A"&amp;_xlfn.XMATCH("LC",Liste_rouge!A:A,2,1),"LC")</f>
        <v>LC</v>
      </c>
      <c r="T24653" s="7" t="str">
        <f>HYPERLINK("#Liste_rouge!A"&amp;_xlfn.XMATCH("LC",Liste_rouge!A:A,2,1),"LC")</f>
        <v>LC</v>
      </c>
      <c r="V24653" s="7" t="str">
        <f>HYPERLINK("#Liste_rouge!A"&amp;_xlfn.XMATCH("LC",Liste_rouge!A:A,2,1),"LC")</f>
        <v>LC</v>
      </c>
      <c r="AH24653" s="4" t="str">
        <f>HYPERLINK("#Statut_biogéographique!A"&amp;_xlfn.XMATCH("P",Statut_biogéographique!A:A,2,1),"P")</f>
        <v>P</v>
      </c>
      <c r="AM24653" s="4" t="s">
        <v>375</v>
      </c>
      <c r="AN24653" s="4" t="s">
        <v>375</v>
      </c>
      <c r="AO24653" s="4" t="s">
        <v>375</v>
      </c>
      <c r="AP24653" s="4" t="s">
        <v>376</v>
      </c>
      <c r="AR24653" s="4" t="s">
        <v>377</v>
      </c>
    </row>
    <row r="24654" spans="1:44" ht="30">
      <c r="A24654" s="4" t="s">
        <v>24364</v>
      </c>
      <c r="B24654" s="4">
        <v>985735</v>
      </c>
      <c r="D24654" s="5" t="s">
        <v>32547</v>
      </c>
      <c r="E24654" s="6" t="str">
        <f>HYPERLINK("https://inpn.mnhn.fr/espece/cd_nom/985735","Phedimus spurius subsp. oppositifolius (Sims) L.Gallo, 2020")</f>
        <v>Phedimus spurius subsp. oppositifolius (Sims) L.Gallo, 2020</v>
      </c>
      <c r="F24654" s="5" t="s">
        <v>32548</v>
      </c>
      <c r="AH24654" s="4" t="str">
        <f>HYPERLINK("#Statut_biogéographique!A"&amp;_xlfn.XMATCH("M",Statut_biogéographique!A:A,2,1),"M")</f>
        <v>M</v>
      </c>
      <c r="AP24654" s="4" t="s">
        <v>376</v>
      </c>
      <c r="AR24654" s="4" t="s">
        <v>377</v>
      </c>
    </row>
    <row r="24655" spans="1:44" ht="30">
      <c r="A24655" s="4" t="s">
        <v>24364</v>
      </c>
      <c r="B24655" s="4">
        <v>98586</v>
      </c>
      <c r="D24655" s="5" t="s">
        <v>32549</v>
      </c>
      <c r="E24655" s="6" t="str">
        <f>HYPERLINK("https://inpn.mnhn.fr/espece/cd_nom/98586","Festuca trichophylla (Ducros ex Gaudin) K.Richt., 1890")</f>
        <v>Festuca trichophylla (Ducros ex Gaudin) K.Richt., 1890</v>
      </c>
      <c r="F24655" s="5" t="s">
        <v>32550</v>
      </c>
      <c r="Q24655" s="7" t="str">
        <f>HYPERLINK("#Liste_rouge!A"&amp;_xlfn.XMATCH("LC",Liste_rouge!A:A,2,1),"LC")</f>
        <v>LC</v>
      </c>
      <c r="T24655" s="7" t="str">
        <f>HYPERLINK("#Liste_rouge!A"&amp;_xlfn.XMATCH("EN",Liste_rouge!A:A,2,1),"EN")</f>
        <v>EN</v>
      </c>
      <c r="U24655" s="4" t="str">
        <f>HYPERLINK("#Critères_liste_rouge!A$1","D1")</f>
        <v>D1</v>
      </c>
      <c r="V24655" s="7" t="str">
        <f>HYPERLINK("#Liste_rouge!A"&amp;_xlfn.XMATCH("DD",Liste_rouge!A:A,2,1),"DD")</f>
        <v>DD</v>
      </c>
      <c r="AH24655" s="4" t="str">
        <f>HYPERLINK("#Statut_biogéographique!A"&amp;_xlfn.XMATCH("P",Statut_biogéographique!A:A,2,1),"P")</f>
        <v>P</v>
      </c>
      <c r="AM24655" s="4" t="s">
        <v>375</v>
      </c>
      <c r="AN24655" s="4" t="s">
        <v>375</v>
      </c>
      <c r="AO24655" s="4" t="s">
        <v>375</v>
      </c>
      <c r="AP24655" s="4" t="s">
        <v>376</v>
      </c>
      <c r="AR24655" s="4" t="s">
        <v>377</v>
      </c>
    </row>
    <row r="24656" spans="1:44" ht="60">
      <c r="A24656" s="4" t="s">
        <v>24364</v>
      </c>
      <c r="B24656" s="4">
        <v>98596</v>
      </c>
      <c r="D24656" s="5" t="s">
        <v>32551</v>
      </c>
      <c r="E24656" s="6" t="str">
        <f>HYPERLINK("https://inpn.mnhn.fr/espece/cd_nom/98596","Festuca valesiaca Schleich. ex Gaudin, 1811")</f>
        <v>Festuca valesiaca Schleich. ex Gaudin, 1811</v>
      </c>
      <c r="F24656" s="5" t="s">
        <v>32552</v>
      </c>
      <c r="Q24656" s="7" t="str">
        <f>HYPERLINK("#Liste_rouge!A"&amp;_xlfn.XMATCH("LC",Liste_rouge!A:A,2,1),"LC")</f>
        <v>LC</v>
      </c>
      <c r="AH24656" s="4" t="str">
        <f>HYPERLINK("#Statut_biogéographique!A"&amp;_xlfn.XMATCH("P",Statut_biogéographique!A:A,2,1),"P")</f>
        <v>P</v>
      </c>
      <c r="AP24656" s="4" t="s">
        <v>376</v>
      </c>
      <c r="AR24656" s="4" t="s">
        <v>377</v>
      </c>
    </row>
    <row r="24657" spans="1:44" ht="30">
      <c r="A24657" s="4" t="s">
        <v>24364</v>
      </c>
      <c r="B24657" s="4">
        <v>98640</v>
      </c>
      <c r="D24657" s="5" t="s">
        <v>32553</v>
      </c>
      <c r="E24657" s="6" t="str">
        <f>HYPERLINK("https://inpn.mnhn.fr/espece/cd_nom/98640","Fibigia clypeata (L.) Medik., 1792")</f>
        <v>Fibigia clypeata (L.) Medik., 1792</v>
      </c>
      <c r="F24657" s="5" t="s">
        <v>32554</v>
      </c>
      <c r="Q24657" s="7" t="str">
        <f>HYPERLINK("#Liste_rouge!A"&amp;_xlfn.XMATCH("NT",Liste_rouge!A:A,2,1),"NT")</f>
        <v>NT</v>
      </c>
      <c r="T24657" s="7" t="str">
        <f>HYPERLINK("#Liste_rouge!A"&amp;_xlfn.XMATCH("NA",Liste_rouge!A:A,2,1),"NA")</f>
        <v>NA</v>
      </c>
      <c r="AH24657" s="4" t="str">
        <f>HYPERLINK("#Statut_biogéographique!A"&amp;_xlfn.XMATCH("I",Statut_biogéographique!A:A,2,1),"I")</f>
        <v>I</v>
      </c>
      <c r="AP24657" s="4" t="s">
        <v>376</v>
      </c>
      <c r="AR24657" s="4" t="s">
        <v>377</v>
      </c>
    </row>
    <row r="24658" spans="1:44" ht="45">
      <c r="A24658" s="4" t="s">
        <v>24364</v>
      </c>
      <c r="B24658" s="4">
        <v>986475</v>
      </c>
      <c r="D24658" s="5" t="s">
        <v>32555</v>
      </c>
      <c r="E24658" s="6" t="str">
        <f>HYPERLINK("https://inpn.mnhn.fr/espece/cd_nom/986475","Orchis x angusticruris Franch., 1885")</f>
        <v>Orchis x angusticruris Franch., 1885</v>
      </c>
      <c r="F24658" s="5" t="s">
        <v>32556</v>
      </c>
      <c r="G24658" s="4" t="str">
        <f>HYPERLINK("[#Réglementation!A"&amp;_xlfn.XMATCH("CCB",Réglementation!A:A,2,1),"CCB")</f>
        <v>CCB</v>
      </c>
      <c r="T24658" s="7" t="str">
        <f>HYPERLINK("#Liste_rouge!A"&amp;_xlfn.XMATCH("DD",Liste_rouge!A:A,2,1),"DD")</f>
        <v>DD</v>
      </c>
      <c r="AH24658" s="4" t="str">
        <f>HYPERLINK("#Statut_biogéographique!A"&amp;_xlfn.XMATCH("P",Statut_biogéographique!A:A,2,1),"P")</f>
        <v>P</v>
      </c>
      <c r="AP24658" s="4" t="s">
        <v>376</v>
      </c>
      <c r="AR24658" s="4" t="s">
        <v>377</v>
      </c>
    </row>
    <row r="24659" spans="1:44" ht="30">
      <c r="A24659" s="4" t="s">
        <v>24364</v>
      </c>
      <c r="B24659" s="4">
        <v>98651</v>
      </c>
      <c r="D24659" s="5" t="s">
        <v>32557</v>
      </c>
      <c r="E24659" s="6" t="str">
        <f>HYPERLINK("https://inpn.mnhn.fr/espece/cd_nom/98651","Ficaria verna Huds., 1762")</f>
        <v>Ficaria verna Huds., 1762</v>
      </c>
      <c r="F24659" s="5" t="s">
        <v>32558</v>
      </c>
      <c r="P24659" s="7" t="str">
        <f>HYPERLINK("#Liste_rouge!A"&amp;_xlfn.XMATCH("LC",Liste_rouge!A:A,2,1),"LC")</f>
        <v>LC</v>
      </c>
      <c r="Q24659" s="7" t="str">
        <f>HYPERLINK("#Liste_rouge!A"&amp;_xlfn.XMATCH("LC",Liste_rouge!A:A,2,1),"LC")</f>
        <v>LC</v>
      </c>
      <c r="T24659" s="7" t="str">
        <f>HYPERLINK("#Liste_rouge!A"&amp;_xlfn.XMATCH("LC",Liste_rouge!A:A,2,1),"LC")</f>
        <v>LC</v>
      </c>
      <c r="V24659" s="7" t="str">
        <f>HYPERLINK("#Liste_rouge!A"&amp;_xlfn.XMATCH("LC",Liste_rouge!A:A,2,1),"LC")</f>
        <v>LC</v>
      </c>
      <c r="AH24659" s="4" t="str">
        <f>HYPERLINK("#Statut_biogéographique!A"&amp;_xlfn.XMATCH("P",Statut_biogéographique!A:A,2,1),"P")</f>
        <v>P</v>
      </c>
      <c r="AM24659" s="4" t="s">
        <v>375</v>
      </c>
      <c r="AN24659" s="4" t="s">
        <v>375</v>
      </c>
      <c r="AO24659" s="4" t="s">
        <v>375</v>
      </c>
      <c r="AP24659" s="4" t="s">
        <v>376</v>
      </c>
      <c r="AR24659" s="4" t="s">
        <v>377</v>
      </c>
    </row>
    <row r="24660" spans="1:44" ht="30">
      <c r="A24660" s="4" t="s">
        <v>24364</v>
      </c>
      <c r="B24660" s="4">
        <v>98653</v>
      </c>
      <c r="D24660" s="5" t="s">
        <v>32559</v>
      </c>
      <c r="E24660" s="6" t="str">
        <f>HYPERLINK("https://inpn.mnhn.fr/espece/cd_nom/98653","Ficus carica L., 1753")</f>
        <v>Ficus carica L., 1753</v>
      </c>
      <c r="F24660" s="5" t="s">
        <v>32560</v>
      </c>
      <c r="O24660" s="7" t="str">
        <f>HYPERLINK("#Liste_rouge!A"&amp;_xlfn.XMATCH("LC",Liste_rouge!A:A,2,1),"LC")</f>
        <v>LC</v>
      </c>
      <c r="P24660" s="7" t="str">
        <f>HYPERLINK("#Liste_rouge!A"&amp;_xlfn.XMATCH("LC",Liste_rouge!A:A,2,1),"LC")</f>
        <v>LC</v>
      </c>
      <c r="Q24660" s="7" t="str">
        <f>HYPERLINK("#Liste_rouge!A"&amp;_xlfn.XMATCH("LC",Liste_rouge!A:A,2,1),"LC")</f>
        <v>LC</v>
      </c>
      <c r="T24660" s="7" t="str">
        <f>HYPERLINK("#Liste_rouge!A"&amp;_xlfn.XMATCH("NA",Liste_rouge!A:A,2,1),"NA")</f>
        <v>NA</v>
      </c>
      <c r="AH24660" s="4" t="str">
        <f>HYPERLINK("#Statut_biogéographique!A"&amp;_xlfn.XMATCH("I",Statut_biogéographique!A:A,2,1),"I")</f>
        <v>I</v>
      </c>
      <c r="AM24660" s="4" t="s">
        <v>375</v>
      </c>
      <c r="AN24660" s="4" t="s">
        <v>375</v>
      </c>
      <c r="AO24660" s="4" t="s">
        <v>375</v>
      </c>
      <c r="AP24660" s="4" t="s">
        <v>376</v>
      </c>
      <c r="AR24660" s="4" t="s">
        <v>377</v>
      </c>
    </row>
    <row r="24661" spans="1:44" ht="60">
      <c r="A24661" s="4" t="s">
        <v>24364</v>
      </c>
      <c r="B24661" s="4">
        <v>98669</v>
      </c>
      <c r="D24661" s="5" t="s">
        <v>32561</v>
      </c>
      <c r="E24661" s="6" t="str">
        <f>HYPERLINK("https://inpn.mnhn.fr/espece/cd_nom/98669","Filago arvensis L., 1753 [nom. cons.]")</f>
        <v>Filago arvensis L., 1753 [nom. cons.]</v>
      </c>
      <c r="F24661" s="5" t="s">
        <v>32562</v>
      </c>
      <c r="Q24661" s="7" t="str">
        <f>HYPERLINK("#Liste_rouge!A"&amp;_xlfn.XMATCH("LC",Liste_rouge!A:A,2,1),"LC")</f>
        <v>LC</v>
      </c>
      <c r="T24661" s="7" t="str">
        <f>HYPERLINK("#Liste_rouge!A"&amp;_xlfn.XMATCH("VU",Liste_rouge!A:A,2,1),"VU")</f>
        <v>VU</v>
      </c>
      <c r="U24661" s="4" t="str">
        <f>HYPERLINK("#Critères_liste_rouge!A$1","D2")</f>
        <v>D2</v>
      </c>
      <c r="V24661" s="7" t="str">
        <f>HYPERLINK("#Liste_rouge!A"&amp;_xlfn.XMATCH("EN",Liste_rouge!A:A,2,1),"EN")</f>
        <v>EN</v>
      </c>
      <c r="W24661" s="4" t="str">
        <f>HYPERLINK("#Critères_liste_rouge!A$1","D")</f>
        <v>D</v>
      </c>
      <c r="X24661" s="5" t="s">
        <v>374</v>
      </c>
      <c r="AB24661" s="4" t="s">
        <v>93</v>
      </c>
      <c r="AH24661" s="4" t="str">
        <f>HYPERLINK("#Statut_biogéographique!A"&amp;_xlfn.XMATCH("P",Statut_biogéographique!A:A,2,1),"P")</f>
        <v>P</v>
      </c>
      <c r="AM24661" s="4" t="s">
        <v>375</v>
      </c>
      <c r="AN24661" s="4" t="s">
        <v>375</v>
      </c>
      <c r="AO24661" s="4" t="s">
        <v>375</v>
      </c>
      <c r="AP24661" s="4" t="s">
        <v>376</v>
      </c>
      <c r="AR24661" s="4" t="s">
        <v>377</v>
      </c>
    </row>
    <row r="24662" spans="1:44" ht="45">
      <c r="A24662" s="4" t="s">
        <v>24364</v>
      </c>
      <c r="B24662" s="4">
        <v>98681</v>
      </c>
      <c r="D24662" s="5" t="s">
        <v>32563</v>
      </c>
      <c r="E24662" s="6" t="str">
        <f>HYPERLINK("https://inpn.mnhn.fr/espece/cd_nom/98681","Filago germanica L., 1763")</f>
        <v>Filago germanica L., 1763</v>
      </c>
      <c r="F24662" s="5" t="s">
        <v>32564</v>
      </c>
      <c r="Q24662" s="7" t="str">
        <f>HYPERLINK("#Liste_rouge!A"&amp;_xlfn.XMATCH("LC",Liste_rouge!A:A,2,1),"LC")</f>
        <v>LC</v>
      </c>
      <c r="T24662" s="7" t="str">
        <f>HYPERLINK("#Liste_rouge!A"&amp;_xlfn.XMATCH("LC",Liste_rouge!A:A,2,1),"LC")</f>
        <v>LC</v>
      </c>
      <c r="V24662" s="7" t="str">
        <f>HYPERLINK("#Liste_rouge!A"&amp;_xlfn.XMATCH("NT",Liste_rouge!A:A,2,1),"NT")</f>
        <v>NT</v>
      </c>
      <c r="W24662" s="4" t="str">
        <f>HYPERLINK("#Critères_liste_rouge!A$1","pr. B2b(iii,iv)")</f>
        <v>pr. B2b(iii,iv)</v>
      </c>
      <c r="AB24662" s="4" t="s">
        <v>29563</v>
      </c>
      <c r="AH24662" s="4" t="str">
        <f>HYPERLINK("#Statut_biogéographique!A"&amp;_xlfn.XMATCH("P",Statut_biogéographique!A:A,2,1),"P")</f>
        <v>P</v>
      </c>
      <c r="AM24662" s="4" t="s">
        <v>375</v>
      </c>
      <c r="AN24662" s="4" t="s">
        <v>375</v>
      </c>
      <c r="AO24662" s="4" t="s">
        <v>375</v>
      </c>
      <c r="AP24662" s="4" t="s">
        <v>376</v>
      </c>
      <c r="AR24662" s="4" t="s">
        <v>377</v>
      </c>
    </row>
    <row r="24663" spans="1:44" ht="45">
      <c r="A24663" s="4" t="s">
        <v>24364</v>
      </c>
      <c r="B24663" s="4">
        <v>98687</v>
      </c>
      <c r="D24663" s="5" t="s">
        <v>32565</v>
      </c>
      <c r="E24663" s="6" t="str">
        <f>HYPERLINK("https://inpn.mnhn.fr/espece/cd_nom/98687","Filago lutescens Jord., 1846")</f>
        <v>Filago lutescens Jord., 1846</v>
      </c>
      <c r="F24663" s="5" t="s">
        <v>28530</v>
      </c>
      <c r="Q24663" s="7" t="str">
        <f>HYPERLINK("#Liste_rouge!A"&amp;_xlfn.XMATCH("DD",Liste_rouge!A:A,2,1),"DD")</f>
        <v>DD</v>
      </c>
      <c r="T24663" s="7" t="str">
        <f>HYPERLINK("#Liste_rouge!A"&amp;_xlfn.XMATCH("VU",Liste_rouge!A:A,2,1),"VU")</f>
        <v>VU</v>
      </c>
      <c r="U24663" s="4" t="str">
        <f>HYPERLINK("#Critères_liste_rouge!A$1","D2")</f>
        <v>D2</v>
      </c>
      <c r="V24663" s="7" t="str">
        <f>HYPERLINK("#Liste_rouge!A"&amp;_xlfn.XMATCH("VU",Liste_rouge!A:A,2,1),"VU")</f>
        <v>VU</v>
      </c>
      <c r="W24663" s="4" t="str">
        <f>HYPERLINK("#Critères_liste_rouge!A$1","D2")</f>
        <v>D2</v>
      </c>
      <c r="X24663" s="5" t="s">
        <v>374</v>
      </c>
      <c r="AB24663" s="4" t="s">
        <v>93</v>
      </c>
      <c r="AH24663" s="4" t="str">
        <f>HYPERLINK("#Statut_biogéographique!A"&amp;_xlfn.XMATCH("P",Statut_biogéographique!A:A,2,1),"P")</f>
        <v>P</v>
      </c>
      <c r="AM24663" s="4" t="s">
        <v>375</v>
      </c>
      <c r="AN24663" s="4" t="s">
        <v>375</v>
      </c>
      <c r="AO24663" s="4" t="s">
        <v>375</v>
      </c>
      <c r="AP24663" s="4" t="s">
        <v>376</v>
      </c>
      <c r="AR24663" s="4" t="s">
        <v>377</v>
      </c>
    </row>
    <row r="24664" spans="1:44" ht="30">
      <c r="A24664" s="4" t="s">
        <v>24364</v>
      </c>
      <c r="B24664" s="4">
        <v>98694</v>
      </c>
      <c r="D24664" s="5" t="s">
        <v>32566</v>
      </c>
      <c r="E24664" s="6" t="str">
        <f>HYPERLINK("https://inpn.mnhn.fr/espece/cd_nom/98694","Filago neglecta (Soy.-Will.) DC., 1838")</f>
        <v>Filago neglecta (Soy.-Will.) DC., 1838</v>
      </c>
      <c r="F24664" s="5" t="s">
        <v>32567</v>
      </c>
      <c r="Q24664" s="7" t="str">
        <f>HYPERLINK("#Liste_rouge!A"&amp;_xlfn.XMATCH("EX",Liste_rouge!A:A,2,1),"EX")</f>
        <v>EX</v>
      </c>
      <c r="T24664" s="7" t="str">
        <f>HYPERLINK("#Liste_rouge!A"&amp;_xlfn.XMATCH("NA",Liste_rouge!A:A,2,1),"NA")</f>
        <v>NA</v>
      </c>
      <c r="V24664" s="7" t="str">
        <f>HYPERLINK("#Liste_rouge!A"&amp;_xlfn.XMATCH("RE",Liste_rouge!A:A,2,1),"RE")</f>
        <v>RE</v>
      </c>
      <c r="AH24664" s="4" t="str">
        <f>HYPERLINK("#Statut_biogéographique!A"&amp;_xlfn.XMATCH("X",Statut_biogéographique!A:A,2,1),"X")</f>
        <v>X</v>
      </c>
      <c r="AM24664" s="4" t="s">
        <v>375</v>
      </c>
      <c r="AN24664" s="4" t="s">
        <v>375</v>
      </c>
      <c r="AO24664" s="4" t="s">
        <v>375</v>
      </c>
      <c r="AP24664" s="4" t="s">
        <v>376</v>
      </c>
      <c r="AR24664" s="4" t="s">
        <v>377</v>
      </c>
    </row>
    <row r="24665" spans="1:44" ht="90">
      <c r="A24665" s="4" t="s">
        <v>24364</v>
      </c>
      <c r="B24665" s="4">
        <v>98699</v>
      </c>
      <c r="D24665" s="5" t="s">
        <v>32568</v>
      </c>
      <c r="E24665" s="6" t="str">
        <f>HYPERLINK("https://inpn.mnhn.fr/espece/cd_nom/98699","Filago pyramidata L., 1753")</f>
        <v>Filago pyramidata L., 1753</v>
      </c>
      <c r="F24665" s="5" t="s">
        <v>32569</v>
      </c>
      <c r="Q24665" s="7" t="str">
        <f>HYPERLINK("#Liste_rouge!A"&amp;_xlfn.XMATCH("LC",Liste_rouge!A:A,2,1),"LC")</f>
        <v>LC</v>
      </c>
      <c r="T24665" s="7" t="str">
        <f>HYPERLINK("#Liste_rouge!A"&amp;_xlfn.XMATCH("NT",Liste_rouge!A:A,2,1),"NT")</f>
        <v>NT</v>
      </c>
      <c r="U24665" s="4" t="str">
        <f>HYPERLINK("#Critères_liste_rouge!A$1","pr. B3c(i,ii,iii)")</f>
        <v>pr. B3c(i,ii,iii)</v>
      </c>
      <c r="V24665" s="7" t="str">
        <f>HYPERLINK("#Liste_rouge!A"&amp;_xlfn.XMATCH("EN",Liste_rouge!A:A,2,1),"EN")</f>
        <v>EN</v>
      </c>
      <c r="W24665" s="4" t="str">
        <f>HYPERLINK("#Critères_liste_rouge!A$1","D")</f>
        <v>D</v>
      </c>
      <c r="X24665" s="5" t="s">
        <v>374</v>
      </c>
      <c r="AB24665" s="4" t="s">
        <v>93</v>
      </c>
      <c r="AH24665" s="4" t="str">
        <f>HYPERLINK("#Statut_biogéographique!A"&amp;_xlfn.XMATCH("P",Statut_biogéographique!A:A,2,1),"P")</f>
        <v>P</v>
      </c>
      <c r="AM24665" s="4" t="s">
        <v>375</v>
      </c>
      <c r="AN24665" s="4" t="s">
        <v>375</v>
      </c>
      <c r="AO24665" s="4" t="s">
        <v>375</v>
      </c>
      <c r="AP24665" s="4" t="s">
        <v>376</v>
      </c>
      <c r="AR24665" s="4" t="s">
        <v>377</v>
      </c>
    </row>
    <row r="24666" spans="1:44" ht="105">
      <c r="A24666" s="4" t="s">
        <v>24364</v>
      </c>
      <c r="B24666" s="4">
        <v>98717</v>
      </c>
      <c r="D24666" s="5" t="s">
        <v>32570</v>
      </c>
      <c r="E24666" s="6" t="str">
        <f>HYPERLINK("https://inpn.mnhn.fr/espece/cd_nom/98717","Filipendula ulmaria (L.) Maxim., 1879")</f>
        <v>Filipendula ulmaria (L.) Maxim., 1879</v>
      </c>
      <c r="F24666" s="5" t="s">
        <v>32571</v>
      </c>
      <c r="O24666" s="7" t="str">
        <f>HYPERLINK("#Liste_rouge!A"&amp;_xlfn.XMATCH("LC",Liste_rouge!A:A,2,1),"LC")</f>
        <v>LC</v>
      </c>
      <c r="P24666" s="7" t="str">
        <f>HYPERLINK("#Liste_rouge!A"&amp;_xlfn.XMATCH("LC",Liste_rouge!A:A,2,1),"LC")</f>
        <v>LC</v>
      </c>
      <c r="Q24666" s="7" t="str">
        <f>HYPERLINK("#Liste_rouge!A"&amp;_xlfn.XMATCH("LC",Liste_rouge!A:A,2,1),"LC")</f>
        <v>LC</v>
      </c>
      <c r="T24666" s="7" t="str">
        <f>HYPERLINK("#Liste_rouge!A"&amp;_xlfn.XMATCH("LC",Liste_rouge!A:A,2,1),"LC (cd_nom 98717) - NA (cd_nom 613519)")</f>
        <v>LC (cd_nom 98717) - NA (cd_nom 613519)</v>
      </c>
      <c r="V24666" s="7" t="str">
        <f>HYPERLINK("#Liste_rouge!A"&amp;_xlfn.XMATCH("LC",Liste_rouge!A:A,2,1),"LC")</f>
        <v>LC</v>
      </c>
      <c r="AH24666" s="4" t="str">
        <f>HYPERLINK("#Statut_biogéographique!A"&amp;_xlfn.XMATCH("P",Statut_biogéographique!A:A,2,1),"P")</f>
        <v>P</v>
      </c>
      <c r="AM24666" s="4" t="s">
        <v>375</v>
      </c>
      <c r="AN24666" s="4" t="s">
        <v>375</v>
      </c>
      <c r="AO24666" s="4" t="s">
        <v>375</v>
      </c>
      <c r="AP24666" s="4" t="s">
        <v>376</v>
      </c>
      <c r="AR24666" s="4" t="s">
        <v>377</v>
      </c>
    </row>
    <row r="24667" spans="1:44" ht="45">
      <c r="A24667" s="4" t="s">
        <v>24364</v>
      </c>
      <c r="B24667" s="4">
        <v>98718</v>
      </c>
      <c r="D24667" s="5" t="s">
        <v>32572</v>
      </c>
      <c r="E24667" s="6" t="str">
        <f>HYPERLINK("https://inpn.mnhn.fr/espece/cd_nom/98718","Filipendula vulgaris Moench, 1794")</f>
        <v>Filipendula vulgaris Moench, 1794</v>
      </c>
      <c r="F24667" s="5" t="s">
        <v>32573</v>
      </c>
      <c r="P24667" s="7" t="str">
        <f>HYPERLINK("#Liste_rouge!A"&amp;_xlfn.XMATCH("LC",Liste_rouge!A:A,2,1),"LC")</f>
        <v>LC</v>
      </c>
      <c r="Q24667" s="7" t="str">
        <f>HYPERLINK("#Liste_rouge!A"&amp;_xlfn.XMATCH("LC",Liste_rouge!A:A,2,1),"LC")</f>
        <v>LC</v>
      </c>
      <c r="T24667" s="7" t="str">
        <f>HYPERLINK("#Liste_rouge!A"&amp;_xlfn.XMATCH("VU",Liste_rouge!A:A,2,1),"VU")</f>
        <v>VU</v>
      </c>
      <c r="U24667" s="4" t="str">
        <f>HYPERLINK("#Critères_liste_rouge!A$1","D2")</f>
        <v>D2</v>
      </c>
      <c r="V24667" s="7" t="str">
        <f>HYPERLINK("#Liste_rouge!A"&amp;_xlfn.XMATCH("LC",Liste_rouge!A:A,2,1),"LC")</f>
        <v>LC</v>
      </c>
      <c r="AB24667" s="4" t="s">
        <v>29418</v>
      </c>
      <c r="AH24667" s="4" t="str">
        <f>HYPERLINK("#Statut_biogéographique!A"&amp;_xlfn.XMATCH("P",Statut_biogéographique!A:A,2,1),"P")</f>
        <v>P</v>
      </c>
      <c r="AM24667" s="4" t="s">
        <v>375</v>
      </c>
      <c r="AN24667" s="4" t="s">
        <v>375</v>
      </c>
      <c r="AO24667" s="4" t="s">
        <v>375</v>
      </c>
      <c r="AP24667" s="4" t="s">
        <v>376</v>
      </c>
      <c r="AR24667" s="4" t="s">
        <v>377</v>
      </c>
    </row>
    <row r="24668" spans="1:44" ht="45">
      <c r="A24668" s="4" t="s">
        <v>24364</v>
      </c>
      <c r="B24668" s="4">
        <v>98756</v>
      </c>
      <c r="D24668" s="5" t="s">
        <v>32574</v>
      </c>
      <c r="E24668" s="6" t="str">
        <f>HYPERLINK("https://inpn.mnhn.fr/espece/cd_nom/98756","Foeniculum vulgare Mill., 1768")</f>
        <v>Foeniculum vulgare Mill., 1768</v>
      </c>
      <c r="F24668" s="5" t="s">
        <v>32575</v>
      </c>
      <c r="P24668" s="7" t="str">
        <f>HYPERLINK("#Liste_rouge!A"&amp;_xlfn.XMATCH("LC",Liste_rouge!A:A,2,1),"LC")</f>
        <v>LC</v>
      </c>
      <c r="Q24668" s="7" t="str">
        <f>HYPERLINK("#Liste_rouge!A"&amp;_xlfn.XMATCH("LC",Liste_rouge!A:A,2,1),"LC")</f>
        <v>LC</v>
      </c>
      <c r="T24668" s="7" t="str">
        <f>HYPERLINK("#Liste_rouge!A"&amp;_xlfn.XMATCH("NA",Liste_rouge!A:A,2,1),"NA")</f>
        <v>NA</v>
      </c>
      <c r="AH24668" s="4" t="str">
        <f>HYPERLINK("#Statut_biogéographique!A"&amp;_xlfn.XMATCH("P",Statut_biogéographique!A:A,2,1),"P")</f>
        <v>P</v>
      </c>
      <c r="AP24668" s="4" t="s">
        <v>376</v>
      </c>
      <c r="AR24668" s="4" t="s">
        <v>377</v>
      </c>
    </row>
    <row r="24669" spans="1:44">
      <c r="A24669" s="4" t="s">
        <v>24364</v>
      </c>
      <c r="B24669" s="4">
        <v>98784</v>
      </c>
      <c r="D24669" s="5">
        <v>98784</v>
      </c>
      <c r="E24669" s="6" t="str">
        <f>HYPERLINK("https://inpn.mnhn.fr/espece/cd_nom/98784","Forsythia x intermedia Zabel, 1885")</f>
        <v>Forsythia x intermedia Zabel, 1885</v>
      </c>
      <c r="F24669" s="5" t="s">
        <v>32576</v>
      </c>
      <c r="AH24669" s="4" t="str">
        <f>HYPERLINK("#Statut_biogéographique!A"&amp;_xlfn.XMATCH("M",Statut_biogéographique!A:A,2,1),"M")</f>
        <v>M</v>
      </c>
      <c r="AP24669" s="4" t="s">
        <v>376</v>
      </c>
      <c r="AR24669" s="4" t="s">
        <v>377</v>
      </c>
    </row>
    <row r="24670" spans="1:44" ht="45">
      <c r="A24670" s="4" t="s">
        <v>24364</v>
      </c>
      <c r="B24670" s="4">
        <v>98787</v>
      </c>
      <c r="D24670" s="5" t="s">
        <v>32577</v>
      </c>
      <c r="E24670" s="6" t="str">
        <f>HYPERLINK("https://inpn.mnhn.fr/espece/cd_nom/98787","Fourraea alpina (L.) Greuter &amp; Burdet, 1984")</f>
        <v>Fourraea alpina (L.) Greuter &amp; Burdet, 1984</v>
      </c>
      <c r="F24670" s="5" t="s">
        <v>32578</v>
      </c>
      <c r="Q24670" s="7" t="str">
        <f>HYPERLINK("#Liste_rouge!A"&amp;_xlfn.XMATCH("LC",Liste_rouge!A:A,2,1),"LC")</f>
        <v>LC</v>
      </c>
      <c r="T24670" s="7" t="str">
        <f>HYPERLINK("#Liste_rouge!A"&amp;_xlfn.XMATCH("LC",Liste_rouge!A:A,2,1),"LC")</f>
        <v>LC</v>
      </c>
      <c r="X24670" s="5" t="s">
        <v>374</v>
      </c>
      <c r="AB24670" s="4" t="s">
        <v>93</v>
      </c>
      <c r="AH24670" s="4" t="str">
        <f>HYPERLINK("#Statut_biogéographique!A"&amp;_xlfn.XMATCH("P",Statut_biogéographique!A:A,2,1),"P")</f>
        <v>P</v>
      </c>
      <c r="AM24670" s="4" t="s">
        <v>375</v>
      </c>
      <c r="AN24670" s="4" t="s">
        <v>375</v>
      </c>
      <c r="AO24670" s="4" t="s">
        <v>375</v>
      </c>
      <c r="AP24670" s="4" t="s">
        <v>376</v>
      </c>
      <c r="AR24670" s="4" t="s">
        <v>377</v>
      </c>
    </row>
    <row r="24671" spans="1:44" ht="45">
      <c r="A24671" s="4" t="s">
        <v>24364</v>
      </c>
      <c r="B24671" s="4">
        <v>98830</v>
      </c>
      <c r="D24671" s="5" t="s">
        <v>32579</v>
      </c>
      <c r="E24671" s="6" t="str">
        <f>HYPERLINK("https://inpn.mnhn.fr/espece/cd_nom/98830","Fragaria moschata Weston, 1771")</f>
        <v>Fragaria moschata Weston, 1771</v>
      </c>
      <c r="F24671" s="5" t="s">
        <v>32580</v>
      </c>
      <c r="P24671" s="7" t="str">
        <f>HYPERLINK("#Liste_rouge!A"&amp;_xlfn.XMATCH("LC",Liste_rouge!A:A,2,1),"LC")</f>
        <v>LC</v>
      </c>
      <c r="Q24671" s="7" t="str">
        <f>HYPERLINK("#Liste_rouge!A"&amp;_xlfn.XMATCH("LC",Liste_rouge!A:A,2,1),"LC")</f>
        <v>LC</v>
      </c>
      <c r="T24671" s="7" t="str">
        <f>HYPERLINK("#Liste_rouge!A"&amp;_xlfn.XMATCH("VU",Liste_rouge!A:A,2,1),"VU")</f>
        <v>VU</v>
      </c>
      <c r="U24671" s="4" t="str">
        <f>HYPERLINK("#Critères_liste_rouge!A$1","D2")</f>
        <v>D2</v>
      </c>
      <c r="V24671" s="7" t="str">
        <f>HYPERLINK("#Liste_rouge!A"&amp;_xlfn.XMATCH("NT",Liste_rouge!A:A,2,1),"NT")</f>
        <v>NT</v>
      </c>
      <c r="W24671" s="4" t="str">
        <f>HYPERLINK("#Critères_liste_rouge!A$1","pr. B2a")</f>
        <v>pr. B2a</v>
      </c>
      <c r="X24671" s="5" t="s">
        <v>374</v>
      </c>
      <c r="AB24671" s="4" t="s">
        <v>93</v>
      </c>
      <c r="AH24671" s="4" t="str">
        <f>HYPERLINK("#Statut_biogéographique!A"&amp;_xlfn.XMATCH("P",Statut_biogéographique!A:A,2,1),"P")</f>
        <v>P</v>
      </c>
      <c r="AM24671" s="4" t="s">
        <v>375</v>
      </c>
      <c r="AN24671" s="4" t="s">
        <v>375</v>
      </c>
      <c r="AO24671" s="4" t="s">
        <v>375</v>
      </c>
      <c r="AP24671" s="4" t="s">
        <v>376</v>
      </c>
      <c r="AR24671" s="4" t="s">
        <v>377</v>
      </c>
    </row>
    <row r="24672" spans="1:44" ht="150">
      <c r="A24672" s="4" t="s">
        <v>24364</v>
      </c>
      <c r="B24672" s="4">
        <v>98865</v>
      </c>
      <c r="D24672" s="5" t="s">
        <v>32581</v>
      </c>
      <c r="E24672" s="6" t="str">
        <f>HYPERLINK("https://inpn.mnhn.fr/espece/cd_nom/98865","Fragaria vesca L., 1753")</f>
        <v>Fragaria vesca L., 1753</v>
      </c>
      <c r="F24672" s="5" t="s">
        <v>32582</v>
      </c>
      <c r="P24672" s="7" t="str">
        <f>HYPERLINK("#Liste_rouge!A"&amp;_xlfn.XMATCH("LC",Liste_rouge!A:A,2,1),"LC")</f>
        <v>LC</v>
      </c>
      <c r="Q24672" s="7" t="str">
        <f>HYPERLINK("#Liste_rouge!A"&amp;_xlfn.XMATCH("LC",Liste_rouge!A:A,2,1),"LC")</f>
        <v>LC</v>
      </c>
      <c r="T24672" s="7" t="str">
        <f>HYPERLINK("#Liste_rouge!A"&amp;_xlfn.XMATCH("LC",Liste_rouge!A:A,2,1),"LC")</f>
        <v>LC</v>
      </c>
      <c r="V24672" s="7" t="str">
        <f>HYPERLINK("#Liste_rouge!A"&amp;_xlfn.XMATCH("LC",Liste_rouge!A:A,2,1),"LC")</f>
        <v>LC</v>
      </c>
      <c r="AH24672" s="4" t="str">
        <f>HYPERLINK("#Statut_biogéographique!A"&amp;_xlfn.XMATCH("P",Statut_biogéographique!A:A,2,1),"P")</f>
        <v>P</v>
      </c>
      <c r="AM24672" s="4" t="s">
        <v>375</v>
      </c>
      <c r="AN24672" s="4" t="s">
        <v>375</v>
      </c>
      <c r="AO24672" s="4" t="s">
        <v>375</v>
      </c>
      <c r="AP24672" s="4" t="s">
        <v>376</v>
      </c>
      <c r="AR24672" s="4" t="s">
        <v>377</v>
      </c>
    </row>
    <row r="24673" spans="1:44" ht="105">
      <c r="A24673" s="4" t="s">
        <v>24364</v>
      </c>
      <c r="B24673" s="4">
        <v>98868</v>
      </c>
      <c r="D24673" s="5" t="s">
        <v>32583</v>
      </c>
      <c r="E24673" s="6" t="str">
        <f>HYPERLINK("https://inpn.mnhn.fr/espece/cd_nom/98868","Fragaria viridis Weston, 1771")</f>
        <v>Fragaria viridis Weston, 1771</v>
      </c>
      <c r="F24673" s="5" t="s">
        <v>28533</v>
      </c>
      <c r="P24673" s="7" t="str">
        <f>HYPERLINK("#Liste_rouge!A"&amp;_xlfn.XMATCH("LC",Liste_rouge!A:A,2,1),"LC")</f>
        <v>LC</v>
      </c>
      <c r="Q24673" s="7" t="str">
        <f>HYPERLINK("#Liste_rouge!A"&amp;_xlfn.XMATCH("LC",Liste_rouge!A:A,2,1),"LC")</f>
        <v>LC</v>
      </c>
      <c r="T24673" s="7" t="str">
        <f>HYPERLINK("#Liste_rouge!A"&amp;_xlfn.XMATCH("LC",Liste_rouge!A:A,2,1),"LC")</f>
        <v>LC</v>
      </c>
      <c r="V24673" s="7" t="str">
        <f>HYPERLINK("#Liste_rouge!A"&amp;_xlfn.XMATCH("LC",Liste_rouge!A:A,2,1),"LC")</f>
        <v>LC</v>
      </c>
      <c r="AH24673" s="4" t="str">
        <f>HYPERLINK("#Statut_biogéographique!A"&amp;_xlfn.XMATCH("P",Statut_biogéographique!A:A,2,1),"P")</f>
        <v>P</v>
      </c>
      <c r="AM24673" s="4" t="s">
        <v>375</v>
      </c>
      <c r="AN24673" s="4" t="s">
        <v>375</v>
      </c>
      <c r="AO24673" s="4" t="s">
        <v>375</v>
      </c>
      <c r="AP24673" s="4" t="s">
        <v>376</v>
      </c>
      <c r="AR24673" s="4" t="s">
        <v>377</v>
      </c>
    </row>
    <row r="24674" spans="1:44" ht="45">
      <c r="A24674" s="4" t="s">
        <v>24364</v>
      </c>
      <c r="B24674" s="4">
        <v>98870</v>
      </c>
      <c r="D24674" s="5" t="s">
        <v>32584</v>
      </c>
      <c r="E24674" s="6" t="str">
        <f>HYPERLINK("https://inpn.mnhn.fr/espece/cd_nom/98870","Fragaria x ananassa (Weston) Duchesne ex Rozier, 1785")</f>
        <v>Fragaria x ananassa (Weston) Duchesne ex Rozier, 1785</v>
      </c>
      <c r="F24674" s="5" t="s">
        <v>32585</v>
      </c>
      <c r="T24674" s="7" t="str">
        <f>HYPERLINK("#Liste_rouge!A"&amp;_xlfn.XMATCH("NA",Liste_rouge!A:A,2,1),"NA")</f>
        <v>NA</v>
      </c>
      <c r="AH24674" s="4" t="str">
        <f>HYPERLINK("#Statut_biogéographique!A"&amp;_xlfn.XMATCH("M",Statut_biogéographique!A:A,2,1),"M")</f>
        <v>M</v>
      </c>
      <c r="AP24674" s="4" t="s">
        <v>376</v>
      </c>
      <c r="AR24674" s="4" t="s">
        <v>377</v>
      </c>
    </row>
    <row r="24675" spans="1:44" ht="30">
      <c r="A24675" s="4" t="s">
        <v>24364</v>
      </c>
      <c r="B24675" s="4">
        <v>98874</v>
      </c>
      <c r="D24675" s="5" t="s">
        <v>32586</v>
      </c>
      <c r="E24675" s="6" t="str">
        <f>HYPERLINK("https://inpn.mnhn.fr/espece/cd_nom/98874","Fragaria x hagenbachiana Láng ex W.D.J.Koch, 1846")</f>
        <v>Fragaria x hagenbachiana Láng ex W.D.J.Koch, 1846</v>
      </c>
      <c r="F24675" s="5" t="s">
        <v>32587</v>
      </c>
      <c r="T24675" s="7" t="str">
        <f>HYPERLINK("#Liste_rouge!A"&amp;_xlfn.XMATCH("NE",Liste_rouge!A:A,2,1),"NE")</f>
        <v>NE</v>
      </c>
      <c r="AH24675" s="4" t="str">
        <f>HYPERLINK("#Statut_biogéographique!A"&amp;_xlfn.XMATCH("P",Statut_biogéographique!A:A,2,1),"P")</f>
        <v>P</v>
      </c>
      <c r="AP24675" s="4" t="s">
        <v>376</v>
      </c>
      <c r="AR24675" s="4" t="s">
        <v>377</v>
      </c>
    </row>
    <row r="24676" spans="1:44">
      <c r="A24676" s="4" t="s">
        <v>24364</v>
      </c>
      <c r="B24676" s="4">
        <v>98875</v>
      </c>
      <c r="D24676" s="5">
        <v>98875</v>
      </c>
      <c r="E24676" s="6" t="str">
        <f>HYPERLINK("https://inpn.mnhn.fr/espece/cd_nom/98875","Fragaria x intermedia Bach, 1841")</f>
        <v>Fragaria x intermedia Bach, 1841</v>
      </c>
      <c r="F24676" s="5" t="s">
        <v>32588</v>
      </c>
      <c r="T24676" s="7" t="str">
        <f>HYPERLINK("#Liste_rouge!A"&amp;_xlfn.XMATCH("NE",Liste_rouge!A:A,2,1),"NE")</f>
        <v>NE</v>
      </c>
      <c r="AH24676" s="4" t="str">
        <f>HYPERLINK("#Statut_biogéographique!A"&amp;_xlfn.XMATCH("M",Statut_biogéographique!A:A,2,1),"M")</f>
        <v>M</v>
      </c>
      <c r="AP24676" s="4" t="s">
        <v>376</v>
      </c>
      <c r="AR24676" s="4" t="s">
        <v>377</v>
      </c>
    </row>
    <row r="24677" spans="1:44" ht="45">
      <c r="A24677" s="4" t="s">
        <v>24364</v>
      </c>
      <c r="B24677" s="4">
        <v>98887</v>
      </c>
      <c r="D24677" s="5" t="s">
        <v>32589</v>
      </c>
      <c r="E24677" s="6" t="str">
        <f>HYPERLINK("https://inpn.mnhn.fr/espece/cd_nom/98887","Frangula alnus Mill., 1768")</f>
        <v>Frangula alnus Mill., 1768</v>
      </c>
      <c r="F24677" s="5" t="s">
        <v>32590</v>
      </c>
      <c r="O24677" s="7" t="str">
        <f>HYPERLINK("#Liste_rouge!A"&amp;_xlfn.XMATCH("LC",Liste_rouge!A:A,2,1),"LC")</f>
        <v>LC</v>
      </c>
      <c r="P24677" s="7" t="str">
        <f>HYPERLINK("#Liste_rouge!A"&amp;_xlfn.XMATCH("LC",Liste_rouge!A:A,2,1),"LC")</f>
        <v>LC</v>
      </c>
      <c r="Q24677" s="7" t="str">
        <f>HYPERLINK("#Liste_rouge!A"&amp;_xlfn.XMATCH("LC",Liste_rouge!A:A,2,1),"LC")</f>
        <v>LC</v>
      </c>
      <c r="T24677" s="7" t="str">
        <f>HYPERLINK("#Liste_rouge!A"&amp;_xlfn.XMATCH("LC",Liste_rouge!A:A,2,1),"LC")</f>
        <v>LC</v>
      </c>
      <c r="V24677" s="7" t="str">
        <f>HYPERLINK("#Liste_rouge!A"&amp;_xlfn.XMATCH("LC",Liste_rouge!A:A,2,1),"LC")</f>
        <v>LC</v>
      </c>
      <c r="AH24677" s="4" t="str">
        <f>HYPERLINK("#Statut_biogéographique!A"&amp;_xlfn.XMATCH("P",Statut_biogéographique!A:A,2,1),"P")</f>
        <v>P</v>
      </c>
      <c r="AM24677" s="4" t="s">
        <v>375</v>
      </c>
      <c r="AN24677" s="4" t="s">
        <v>375</v>
      </c>
      <c r="AO24677" s="4" t="s">
        <v>375</v>
      </c>
      <c r="AP24677" s="4" t="s">
        <v>376</v>
      </c>
      <c r="AR24677" s="4" t="s">
        <v>377</v>
      </c>
    </row>
    <row r="24678" spans="1:44">
      <c r="A24678" s="4" t="s">
        <v>24364</v>
      </c>
      <c r="B24678" s="4">
        <v>98909</v>
      </c>
      <c r="D24678" s="5" t="s">
        <v>32591</v>
      </c>
      <c r="E24678" s="6" t="str">
        <f>HYPERLINK("https://inpn.mnhn.fr/espece/cd_nom/98909","Fraxinus americana L., 1753")</f>
        <v>Fraxinus americana L., 1753</v>
      </c>
      <c r="F24678" s="5" t="s">
        <v>32592</v>
      </c>
      <c r="T24678" s="7" t="str">
        <f>HYPERLINK("#Liste_rouge!A"&amp;_xlfn.XMATCH("NA",Liste_rouge!A:A,2,1),"NA")</f>
        <v>NA</v>
      </c>
      <c r="AH24678" s="4" t="str">
        <f>HYPERLINK("#Statut_biogéographique!A"&amp;_xlfn.XMATCH("M",Statut_biogéographique!A:A,2,1),"M")</f>
        <v>M</v>
      </c>
      <c r="AM24678" s="4" t="s">
        <v>375</v>
      </c>
      <c r="AN24678" s="4" t="s">
        <v>375</v>
      </c>
      <c r="AO24678" s="4" t="s">
        <v>375</v>
      </c>
      <c r="AP24678" s="4" t="s">
        <v>376</v>
      </c>
      <c r="AR24678" s="4" t="s">
        <v>377</v>
      </c>
    </row>
    <row r="24679" spans="1:44" ht="60">
      <c r="A24679" s="4" t="s">
        <v>24364</v>
      </c>
      <c r="B24679" s="4">
        <v>98910</v>
      </c>
      <c r="D24679" s="5" t="s">
        <v>32593</v>
      </c>
      <c r="E24679" s="6" t="str">
        <f>HYPERLINK("https://inpn.mnhn.fr/espece/cd_nom/98910","Fraxinus angustifolia Vahl, 1804 [nom. cons.]")</f>
        <v>Fraxinus angustifolia Vahl, 1804 [nom. cons.]</v>
      </c>
      <c r="F24679" s="5" t="s">
        <v>28534</v>
      </c>
      <c r="O24679" s="7" t="str">
        <f>HYPERLINK("#Liste_rouge!A"&amp;_xlfn.XMATCH("LC",Liste_rouge!A:A,2,1),"LC")</f>
        <v>LC</v>
      </c>
      <c r="Q24679" s="7" t="str">
        <f>HYPERLINK("#Liste_rouge!A"&amp;_xlfn.XMATCH("LC",Liste_rouge!A:A,2,1),"LC")</f>
        <v>LC</v>
      </c>
      <c r="T24679" s="7" t="str">
        <f>HYPERLINK("#Liste_rouge!A"&amp;_xlfn.XMATCH("LC",Liste_rouge!A:A,2,1),"LC")</f>
        <v>LC</v>
      </c>
      <c r="V24679" s="7" t="str">
        <f>HYPERLINK("#Liste_rouge!A"&amp;_xlfn.XMATCH("LC",Liste_rouge!A:A,2,1),"LC")</f>
        <v>LC</v>
      </c>
      <c r="AB24679" s="4" t="s">
        <v>32594</v>
      </c>
      <c r="AH24679" s="4" t="str">
        <f>HYPERLINK("#Statut_biogéographique!A"&amp;_xlfn.XMATCH("P",Statut_biogéographique!A:A,2,1),"P")</f>
        <v>P</v>
      </c>
      <c r="AM24679" s="4" t="s">
        <v>375</v>
      </c>
      <c r="AN24679" s="4" t="s">
        <v>375</v>
      </c>
      <c r="AO24679" s="4" t="s">
        <v>375</v>
      </c>
      <c r="AP24679" s="4" t="s">
        <v>376</v>
      </c>
      <c r="AR24679" s="4" t="s">
        <v>377</v>
      </c>
    </row>
    <row r="24680" spans="1:44" ht="90">
      <c r="A24680" s="4" t="s">
        <v>24364</v>
      </c>
      <c r="B24680" s="4">
        <v>98921</v>
      </c>
      <c r="D24680" s="5" t="s">
        <v>32595</v>
      </c>
      <c r="E24680" s="6" t="str">
        <f>HYPERLINK("https://inpn.mnhn.fr/espece/cd_nom/98921","Fraxinus excelsior L., 1753")</f>
        <v>Fraxinus excelsior L., 1753</v>
      </c>
      <c r="F24680" s="5" t="s">
        <v>32596</v>
      </c>
      <c r="O24680" s="7" t="str">
        <f>HYPERLINK("#Liste_rouge!A"&amp;_xlfn.XMATCH("NT",Liste_rouge!A:A,2,1),"NT")</f>
        <v>NT</v>
      </c>
      <c r="P24680" s="7" t="str">
        <f>HYPERLINK("#Liste_rouge!A"&amp;_xlfn.XMATCH("NT",Liste_rouge!A:A,2,1),"NT")</f>
        <v>NT</v>
      </c>
      <c r="Q24680" s="7" t="str">
        <f>HYPERLINK("#Liste_rouge!A"&amp;_xlfn.XMATCH("LC",Liste_rouge!A:A,2,1),"LC")</f>
        <v>LC</v>
      </c>
      <c r="T24680" s="7" t="str">
        <f>HYPERLINK("#Liste_rouge!A"&amp;_xlfn.XMATCH("DD",Liste_rouge!A:A,2,1),"DD (cd_nom 147164) - LC (cd_nom 98921)")</f>
        <v>DD (cd_nom 147164) - LC (cd_nom 98921)</v>
      </c>
      <c r="V24680" s="7" t="str">
        <f>HYPERLINK("#Liste_rouge!A"&amp;_xlfn.XMATCH("LC",Liste_rouge!A:A,2,1),"LC")</f>
        <v>LC</v>
      </c>
      <c r="AH24680" s="4" t="str">
        <f>HYPERLINK("#Statut_biogéographique!A"&amp;_xlfn.XMATCH("P",Statut_biogéographique!A:A,2,1),"P")</f>
        <v>P</v>
      </c>
      <c r="AM24680" s="4" t="s">
        <v>375</v>
      </c>
      <c r="AN24680" s="4" t="s">
        <v>375</v>
      </c>
      <c r="AO24680" s="4" t="s">
        <v>375</v>
      </c>
      <c r="AP24680" s="4" t="s">
        <v>376</v>
      </c>
      <c r="AR24680" s="4" t="s">
        <v>377</v>
      </c>
    </row>
    <row r="24681" spans="1:44" ht="45">
      <c r="A24681" s="4" t="s">
        <v>24364</v>
      </c>
      <c r="B24681" s="4">
        <v>98933</v>
      </c>
      <c r="D24681" s="5" t="s">
        <v>32597</v>
      </c>
      <c r="E24681" s="6" t="str">
        <f>HYPERLINK("https://inpn.mnhn.fr/espece/cd_nom/98933","Fraxinus ornus L., 1753")</f>
        <v>Fraxinus ornus L., 1753</v>
      </c>
      <c r="F24681" s="5" t="s">
        <v>28537</v>
      </c>
      <c r="P24681" s="7" t="str">
        <f>HYPERLINK("#Liste_rouge!A"&amp;_xlfn.XMATCH("LC",Liste_rouge!A:A,2,1),"LC")</f>
        <v>LC</v>
      </c>
      <c r="Q24681" s="7" t="str">
        <f>HYPERLINK("#Liste_rouge!A"&amp;_xlfn.XMATCH("LC",Liste_rouge!A:A,2,1),"LC")</f>
        <v>LC</v>
      </c>
      <c r="T24681" s="7" t="str">
        <f>HYPERLINK("#Liste_rouge!A"&amp;_xlfn.XMATCH("NA",Liste_rouge!A:A,2,1),"NA")</f>
        <v>NA</v>
      </c>
      <c r="AH24681" s="4" t="str">
        <f>HYPERLINK("#Statut_biogéographique!A"&amp;_xlfn.XMATCH("P",Statut_biogéographique!A:A,2,1),"P")</f>
        <v>P</v>
      </c>
      <c r="AM24681" s="4" t="s">
        <v>375</v>
      </c>
      <c r="AN24681" s="4" t="s">
        <v>375</v>
      </c>
      <c r="AO24681" s="4" t="s">
        <v>375</v>
      </c>
      <c r="AP24681" s="4" t="s">
        <v>376</v>
      </c>
      <c r="AR24681" s="4" t="s">
        <v>377</v>
      </c>
    </row>
    <row r="24682" spans="1:44" ht="45">
      <c r="A24682" s="4" t="s">
        <v>24364</v>
      </c>
      <c r="B24682" s="4">
        <v>98939</v>
      </c>
      <c r="D24682" s="5" t="s">
        <v>32598</v>
      </c>
      <c r="E24682" s="6" t="str">
        <f>HYPERLINK("https://inpn.mnhn.fr/espece/cd_nom/98939","Fraxinus pennsylvanica Marshall, 1785")</f>
        <v>Fraxinus pennsylvanica Marshall, 1785</v>
      </c>
      <c r="F24682" s="5" t="s">
        <v>32599</v>
      </c>
      <c r="Q24682" s="7" t="str">
        <f>HYPERLINK("#Liste_rouge!A"&amp;_xlfn.XMATCH("NA",Liste_rouge!A:A,2,1),"NA")</f>
        <v>NA</v>
      </c>
      <c r="T24682" s="7" t="str">
        <f>HYPERLINK("#Liste_rouge!A"&amp;_xlfn.XMATCH("NA",Liste_rouge!A:A,2,1),"NA")</f>
        <v>NA</v>
      </c>
      <c r="AH24682" s="4" t="str">
        <f>HYPERLINK("#Statut_biogéographique!A"&amp;_xlfn.XMATCH("M",Statut_biogéographique!A:A,2,1),"M")</f>
        <v>M</v>
      </c>
      <c r="AP24682" s="4" t="s">
        <v>376</v>
      </c>
      <c r="AR24682" s="4" t="s">
        <v>377</v>
      </c>
    </row>
    <row r="24683" spans="1:44">
      <c r="A24683" s="4" t="s">
        <v>24364</v>
      </c>
      <c r="B24683" s="4">
        <v>98970</v>
      </c>
      <c r="D24683" s="5">
        <v>98970</v>
      </c>
      <c r="E24683" s="6" t="str">
        <f>HYPERLINK("https://inpn.mnhn.fr/espece/cd_nom/98970","Fritillaria imperialis L., 1753")</f>
        <v>Fritillaria imperialis L., 1753</v>
      </c>
      <c r="F24683" s="5" t="s">
        <v>32600</v>
      </c>
      <c r="Q24683" s="7" t="str">
        <f>HYPERLINK("#Liste_rouge!A"&amp;_xlfn.XMATCH("NA",Liste_rouge!A:A,2,1),"NA")</f>
        <v>NA</v>
      </c>
      <c r="T24683" s="7" t="str">
        <f>HYPERLINK("#Liste_rouge!A"&amp;_xlfn.XMATCH("NA",Liste_rouge!A:A,2,1),"NA")</f>
        <v>NA</v>
      </c>
      <c r="AH24683" s="4" t="str">
        <f>HYPERLINK("#Statut_biogéographique!A"&amp;_xlfn.XMATCH("M",Statut_biogéographique!A:A,2,1),"M")</f>
        <v>M</v>
      </c>
      <c r="AP24683" s="4" t="s">
        <v>376</v>
      </c>
      <c r="AR24683" s="4" t="s">
        <v>377</v>
      </c>
    </row>
    <row r="24684" spans="1:44">
      <c r="A24684" s="4" t="s">
        <v>24364</v>
      </c>
      <c r="B24684" s="4">
        <v>98977</v>
      </c>
      <c r="D24684" s="5" t="s">
        <v>32601</v>
      </c>
      <c r="E24684" s="6" t="str">
        <f>HYPERLINK("https://inpn.mnhn.fr/espece/cd_nom/98977","Fritillaria meleagris L., 1753")</f>
        <v>Fritillaria meleagris L., 1753</v>
      </c>
      <c r="F24684" s="5" t="s">
        <v>32602</v>
      </c>
      <c r="M24684" s="4" t="str">
        <f>HYPERLINK("#Réglementation!A"&amp;_xlfn.XMATCH("RV43",Réglementation!A:A,2,1),"RV43")</f>
        <v>RV43</v>
      </c>
      <c r="Q24684" s="7" t="str">
        <f>HYPERLINK("#Liste_rouge!A"&amp;_xlfn.XMATCH("LC",Liste_rouge!A:A,2,1),"LC")</f>
        <v>LC</v>
      </c>
      <c r="T24684" s="7" t="str">
        <f>HYPERLINK("#Liste_rouge!A"&amp;_xlfn.XMATCH("EN",Liste_rouge!A:A,2,1),"EN")</f>
        <v>EN</v>
      </c>
      <c r="U24684" s="4" t="str">
        <f>HYPERLINK("#Critères_liste_rouge!A$1","B2ab(ii,iii,iv)")</f>
        <v>B2ab(ii,iii,iv)</v>
      </c>
      <c r="V24684" s="7" t="str">
        <f>HYPERLINK("#Liste_rouge!A"&amp;_xlfn.XMATCH("NT",Liste_rouge!A:A,2,1),"NT")</f>
        <v>NT</v>
      </c>
      <c r="W24684" s="4" t="str">
        <f>HYPERLINK("#Critères_liste_rouge!A$1","pr. B2b(iii,iv)")</f>
        <v>pr. B2b(iii,iv)</v>
      </c>
      <c r="X24684" s="5" t="s">
        <v>374</v>
      </c>
      <c r="AB24684" s="4" t="s">
        <v>93</v>
      </c>
      <c r="AH24684" s="4" t="str">
        <f>HYPERLINK("#Statut_biogéographique!A"&amp;_xlfn.XMATCH("P",Statut_biogéographique!A:A,2,1),"P")</f>
        <v>P</v>
      </c>
      <c r="AM24684" s="4" t="s">
        <v>375</v>
      </c>
      <c r="AN24684" s="4" t="s">
        <v>375</v>
      </c>
      <c r="AO24684" s="4" t="s">
        <v>375</v>
      </c>
      <c r="AP24684" s="4" t="s">
        <v>376</v>
      </c>
      <c r="AR24684" s="4" t="s">
        <v>377</v>
      </c>
    </row>
    <row r="24685" spans="1:44" ht="60">
      <c r="A24685" s="4" t="s">
        <v>24364</v>
      </c>
      <c r="B24685" s="4">
        <v>99008</v>
      </c>
      <c r="D24685" s="5" t="s">
        <v>32603</v>
      </c>
      <c r="E24685" s="6" t="str">
        <f>HYPERLINK("https://inpn.mnhn.fr/espece/cd_nom/99008","Fuchsia magellanica Lam., 1788")</f>
        <v>Fuchsia magellanica Lam., 1788</v>
      </c>
      <c r="F24685" s="5" t="s">
        <v>32604</v>
      </c>
      <c r="AH24685" s="4" t="str">
        <f>HYPERLINK("#Statut_biogéographique!A"&amp;_xlfn.XMATCH("M",Statut_biogéographique!A:A,2,1),"M")</f>
        <v>M</v>
      </c>
      <c r="AP24685" s="4" t="s">
        <v>376</v>
      </c>
      <c r="AR24685" s="4" t="s">
        <v>377</v>
      </c>
    </row>
    <row r="24686" spans="1:44" ht="45">
      <c r="A24686" s="4" t="s">
        <v>24364</v>
      </c>
      <c r="B24686" s="4">
        <v>99028</v>
      </c>
      <c r="D24686" s="5" t="s">
        <v>32605</v>
      </c>
      <c r="E24686" s="6" t="str">
        <f>HYPERLINK("https://inpn.mnhn.fr/espece/cd_nom/99028","Fumana procumbens (Dunal) Gren. &amp; Godr., 1847")</f>
        <v>Fumana procumbens (Dunal) Gren. &amp; Godr., 1847</v>
      </c>
      <c r="F24686" s="5" t="s">
        <v>32606</v>
      </c>
      <c r="Q24686" s="7" t="str">
        <f>HYPERLINK("#Liste_rouge!A"&amp;_xlfn.XMATCH("LC",Liste_rouge!A:A,2,1),"LC")</f>
        <v>LC</v>
      </c>
      <c r="T24686" s="7" t="str">
        <f>HYPERLINK("#Liste_rouge!A"&amp;_xlfn.XMATCH("LC",Liste_rouge!A:A,2,1),"LC")</f>
        <v>LC</v>
      </c>
      <c r="V24686" s="7" t="str">
        <f>HYPERLINK("#Liste_rouge!A"&amp;_xlfn.XMATCH("LC",Liste_rouge!A:A,2,1),"LC")</f>
        <v>LC</v>
      </c>
      <c r="AB24686" s="4" t="s">
        <v>25442</v>
      </c>
      <c r="AH24686" s="4" t="str">
        <f>HYPERLINK("#Statut_biogéographique!A"&amp;_xlfn.XMATCH("P",Statut_biogéographique!A:A,2,1),"P")</f>
        <v>P</v>
      </c>
      <c r="AM24686" s="4" t="s">
        <v>375</v>
      </c>
      <c r="AN24686" s="4" t="s">
        <v>375</v>
      </c>
      <c r="AO24686" s="4" t="s">
        <v>375</v>
      </c>
      <c r="AP24686" s="4" t="s">
        <v>376</v>
      </c>
      <c r="AR24686" s="4" t="s">
        <v>377</v>
      </c>
    </row>
    <row r="24687" spans="1:44" ht="45">
      <c r="A24687" s="4" t="s">
        <v>24364</v>
      </c>
      <c r="B24687" s="4">
        <v>99051</v>
      </c>
      <c r="D24687" s="5" t="s">
        <v>32607</v>
      </c>
      <c r="E24687" s="6" t="str">
        <f>HYPERLINK("https://inpn.mnhn.fr/espece/cd_nom/99051","Fumaria bastardii Boreau, 1847")</f>
        <v>Fumaria bastardii Boreau, 1847</v>
      </c>
      <c r="F24687" s="5" t="s">
        <v>32608</v>
      </c>
      <c r="Q24687" s="7" t="str">
        <f>HYPERLINK("#Liste_rouge!A"&amp;_xlfn.XMATCH("LC",Liste_rouge!A:A,2,1),"LC")</f>
        <v>LC</v>
      </c>
      <c r="T24687" s="7" t="str">
        <f>HYPERLINK("#Liste_rouge!A"&amp;_xlfn.XMATCH("VU",Liste_rouge!A:A,2,1),"VU")</f>
        <v>VU</v>
      </c>
      <c r="U24687" s="4" t="str">
        <f>HYPERLINK("#Critères_liste_rouge!A$1","D2")</f>
        <v>D2</v>
      </c>
      <c r="X24687" s="5" t="s">
        <v>374</v>
      </c>
      <c r="AB24687" s="4" t="s">
        <v>93</v>
      </c>
      <c r="AH24687" s="4" t="str">
        <f>HYPERLINK("#Statut_biogéographique!A"&amp;_xlfn.XMATCH("P",Statut_biogéographique!A:A,2,1),"P")</f>
        <v>P</v>
      </c>
      <c r="AM24687" s="4" t="s">
        <v>375</v>
      </c>
      <c r="AN24687" s="4" t="s">
        <v>375</v>
      </c>
      <c r="AO24687" s="4" t="s">
        <v>375</v>
      </c>
      <c r="AP24687" s="4" t="s">
        <v>376</v>
      </c>
      <c r="AR24687" s="4" t="s">
        <v>377</v>
      </c>
    </row>
    <row r="24688" spans="1:44" ht="45">
      <c r="A24688" s="4" t="s">
        <v>24364</v>
      </c>
      <c r="B24688" s="4">
        <v>99062</v>
      </c>
      <c r="D24688" s="5" t="s">
        <v>32609</v>
      </c>
      <c r="E24688" s="6" t="str">
        <f>HYPERLINK("https://inpn.mnhn.fr/espece/cd_nom/99062","Fumaria capreolata L., 1753")</f>
        <v>Fumaria capreolata L., 1753</v>
      </c>
      <c r="F24688" s="5" t="s">
        <v>32610</v>
      </c>
      <c r="Q24688" s="7" t="str">
        <f>HYPERLINK("#Liste_rouge!A"&amp;_xlfn.XMATCH("LC",Liste_rouge!A:A,2,1),"LC")</f>
        <v>LC</v>
      </c>
      <c r="T24688" s="7" t="str">
        <f>HYPERLINK("#Liste_rouge!A"&amp;_xlfn.XMATCH("EN",Liste_rouge!A:A,2,1),"EN")</f>
        <v>EN</v>
      </c>
      <c r="U24688" s="4" t="str">
        <f>HYPERLINK("#Critères_liste_rouge!A$1","B2ac(iii,iv)")</f>
        <v>B2ac(iii,iv)</v>
      </c>
      <c r="AB24688" s="4" t="s">
        <v>24855</v>
      </c>
      <c r="AH24688" s="4" t="str">
        <f>HYPERLINK("#Statut_biogéographique!A"&amp;_xlfn.XMATCH("P",Statut_biogéographique!A:A,2,1),"P")</f>
        <v>P</v>
      </c>
      <c r="AM24688" s="4" t="s">
        <v>375</v>
      </c>
      <c r="AN24688" s="4" t="s">
        <v>375</v>
      </c>
      <c r="AO24688" s="4" t="s">
        <v>375</v>
      </c>
      <c r="AP24688" s="4" t="s">
        <v>376</v>
      </c>
      <c r="AR24688" s="4" t="s">
        <v>377</v>
      </c>
    </row>
    <row r="24689" spans="1:44" ht="30">
      <c r="A24689" s="4" t="s">
        <v>24364</v>
      </c>
      <c r="B24689" s="4">
        <v>99072</v>
      </c>
      <c r="D24689" s="5" t="s">
        <v>32611</v>
      </c>
      <c r="E24689" s="6" t="str">
        <f>HYPERLINK("https://inpn.mnhn.fr/espece/cd_nom/99072","Fumaria densiflora DC., 1813")</f>
        <v>Fumaria densiflora DC., 1813</v>
      </c>
      <c r="F24689" s="5" t="s">
        <v>32612</v>
      </c>
      <c r="Q24689" s="7" t="str">
        <f>HYPERLINK("#Liste_rouge!A"&amp;_xlfn.XMATCH("LC",Liste_rouge!A:A,2,1),"LC")</f>
        <v>LC</v>
      </c>
      <c r="T24689" s="7" t="str">
        <f>HYPERLINK("#Liste_rouge!A"&amp;_xlfn.XMATCH("VU",Liste_rouge!A:A,2,1),"VU")</f>
        <v>VU</v>
      </c>
      <c r="U24689" s="4" t="str">
        <f>HYPERLINK("#Critères_liste_rouge!A$1","D2")</f>
        <v>D2</v>
      </c>
      <c r="X24689" s="5" t="s">
        <v>374</v>
      </c>
      <c r="AB24689" s="4" t="s">
        <v>93</v>
      </c>
      <c r="AH24689" s="4" t="str">
        <f>HYPERLINK("#Statut_biogéographique!A"&amp;_xlfn.XMATCH("P",Statut_biogéographique!A:A,2,1),"P")</f>
        <v>P</v>
      </c>
      <c r="AM24689" s="4" t="s">
        <v>375</v>
      </c>
      <c r="AN24689" s="4" t="s">
        <v>375</v>
      </c>
      <c r="AO24689" s="4" t="s">
        <v>375</v>
      </c>
      <c r="AP24689" s="4" t="s">
        <v>376</v>
      </c>
      <c r="AR24689" s="4" t="s">
        <v>377</v>
      </c>
    </row>
    <row r="24690" spans="1:44" ht="60">
      <c r="A24690" s="4" t="s">
        <v>24364</v>
      </c>
      <c r="B24690" s="4">
        <v>99106</v>
      </c>
      <c r="D24690" s="5" t="s">
        <v>32613</v>
      </c>
      <c r="E24690" s="6" t="str">
        <f>HYPERLINK("https://inpn.mnhn.fr/espece/cd_nom/99106","Fumaria muralis Sond. ex W.D.J.Koch, 1845")</f>
        <v>Fumaria muralis Sond. ex W.D.J.Koch, 1845</v>
      </c>
      <c r="F24690" s="5" t="s">
        <v>32614</v>
      </c>
      <c r="Q24690" s="7" t="str">
        <f>HYPERLINK("#Liste_rouge!A"&amp;_xlfn.XMATCH("LC",Liste_rouge!A:A,2,1),"LC")</f>
        <v>LC</v>
      </c>
      <c r="T24690" s="7" t="str">
        <f>HYPERLINK("#Liste_rouge!A"&amp;_xlfn.XMATCH("VU",Liste_rouge!A:A,2,1),"VU")</f>
        <v>VU</v>
      </c>
      <c r="U24690" s="4" t="str">
        <f>HYPERLINK("#Critères_liste_rouge!A$1","D2")</f>
        <v>D2</v>
      </c>
      <c r="AB24690" s="4" t="s">
        <v>24495</v>
      </c>
      <c r="AH24690" s="4" t="str">
        <f>HYPERLINK("#Statut_biogéographique!A"&amp;_xlfn.XMATCH("P",Statut_biogéographique!A:A,2,1),"P")</f>
        <v>P</v>
      </c>
      <c r="AM24690" s="4" t="s">
        <v>375</v>
      </c>
      <c r="AN24690" s="4" t="s">
        <v>375</v>
      </c>
      <c r="AO24690" s="4" t="s">
        <v>375</v>
      </c>
      <c r="AP24690" s="4" t="s">
        <v>376</v>
      </c>
      <c r="AR24690" s="4" t="s">
        <v>377</v>
      </c>
    </row>
    <row r="24691" spans="1:44" ht="60">
      <c r="A24691" s="4" t="s">
        <v>24364</v>
      </c>
      <c r="B24691" s="4">
        <v>99108</v>
      </c>
      <c r="D24691" s="5" t="s">
        <v>32615</v>
      </c>
      <c r="E24691" s="6" t="str">
        <f>HYPERLINK("https://inpn.mnhn.fr/espece/cd_nom/99108","Fumaria officinalis L., 1753")</f>
        <v>Fumaria officinalis L., 1753</v>
      </c>
      <c r="F24691" s="5" t="s">
        <v>32616</v>
      </c>
      <c r="P24691" s="7" t="str">
        <f>HYPERLINK("#Liste_rouge!A"&amp;_xlfn.XMATCH("LC",Liste_rouge!A:A,2,1),"LC")</f>
        <v>LC</v>
      </c>
      <c r="Q24691" s="7" t="str">
        <f>HYPERLINK("#Liste_rouge!A"&amp;_xlfn.XMATCH("LC",Liste_rouge!A:A,2,1),"LC")</f>
        <v>LC</v>
      </c>
      <c r="T24691" s="7" t="str">
        <f>HYPERLINK("#Liste_rouge!A"&amp;_xlfn.XMATCH("LC",Liste_rouge!A:A,2,1),"LC")</f>
        <v>LC</v>
      </c>
      <c r="V24691" s="7" t="str">
        <f>HYPERLINK("#Liste_rouge!A"&amp;_xlfn.XMATCH("LC",Liste_rouge!A:A,2,1),"LC")</f>
        <v>LC</v>
      </c>
      <c r="AH24691" s="4" t="str">
        <f>HYPERLINK("#Statut_biogéographique!A"&amp;_xlfn.XMATCH("P",Statut_biogéographique!A:A,2,1),"P")</f>
        <v>P</v>
      </c>
      <c r="AM24691" s="4" t="s">
        <v>375</v>
      </c>
      <c r="AN24691" s="4" t="s">
        <v>375</v>
      </c>
      <c r="AO24691" s="4" t="s">
        <v>375</v>
      </c>
      <c r="AP24691" s="4" t="s">
        <v>376</v>
      </c>
      <c r="AR24691" s="4" t="s">
        <v>377</v>
      </c>
    </row>
    <row r="24692" spans="1:44" ht="45">
      <c r="A24692" s="4" t="s">
        <v>24364</v>
      </c>
      <c r="B24692" s="4">
        <v>99111</v>
      </c>
      <c r="D24692" s="5" t="s">
        <v>32617</v>
      </c>
      <c r="E24692" s="6" t="str">
        <f>HYPERLINK("https://inpn.mnhn.fr/espece/cd_nom/99111","Fumaria parviflora Lam., 1788")</f>
        <v>Fumaria parviflora Lam., 1788</v>
      </c>
      <c r="F24692" s="5" t="s">
        <v>32618</v>
      </c>
      <c r="Q24692" s="7" t="str">
        <f>HYPERLINK("#Liste_rouge!A"&amp;_xlfn.XMATCH("LC",Liste_rouge!A:A,2,1),"LC")</f>
        <v>LC</v>
      </c>
      <c r="T24692" s="7" t="str">
        <f>HYPERLINK("#Liste_rouge!A"&amp;_xlfn.XMATCH("VU",Liste_rouge!A:A,2,1),"VU")</f>
        <v>VU</v>
      </c>
      <c r="U24692" s="4" t="str">
        <f>HYPERLINK("#Critères_liste_rouge!A$1","D2")</f>
        <v>D2</v>
      </c>
      <c r="AB24692" s="4" t="s">
        <v>25010</v>
      </c>
      <c r="AH24692" s="4" t="str">
        <f>HYPERLINK("#Statut_biogéographique!A"&amp;_xlfn.XMATCH("P",Statut_biogéographique!A:A,2,1),"P")</f>
        <v>P</v>
      </c>
      <c r="AM24692" s="4" t="s">
        <v>375</v>
      </c>
      <c r="AN24692" s="4" t="s">
        <v>375</v>
      </c>
      <c r="AO24692" s="4" t="s">
        <v>375</v>
      </c>
      <c r="AP24692" s="4" t="s">
        <v>376</v>
      </c>
      <c r="AR24692" s="4" t="s">
        <v>377</v>
      </c>
    </row>
    <row r="24693" spans="1:44" ht="45">
      <c r="A24693" s="4" t="s">
        <v>24364</v>
      </c>
      <c r="B24693" s="4">
        <v>99139</v>
      </c>
      <c r="D24693" s="5" t="s">
        <v>32619</v>
      </c>
      <c r="E24693" s="6" t="str">
        <f>HYPERLINK("https://inpn.mnhn.fr/espece/cd_nom/99139","Fumaria vaillantii Loisel., 1809")</f>
        <v>Fumaria vaillantii Loisel., 1809</v>
      </c>
      <c r="F24693" s="5" t="s">
        <v>32620</v>
      </c>
      <c r="Q24693" s="7" t="str">
        <f>HYPERLINK("#Liste_rouge!A"&amp;_xlfn.XMATCH("LC",Liste_rouge!A:A,2,1),"LC")</f>
        <v>LC</v>
      </c>
      <c r="T24693" s="7" t="str">
        <f>HYPERLINK("#Liste_rouge!A"&amp;_xlfn.XMATCH("LC",Liste_rouge!A:A,2,1),"LC")</f>
        <v>LC</v>
      </c>
      <c r="V24693" s="7" t="str">
        <f>HYPERLINK("#Liste_rouge!A"&amp;_xlfn.XMATCH("LC",Liste_rouge!A:A,2,1),"LC")</f>
        <v>LC</v>
      </c>
      <c r="AB24693" s="4" t="s">
        <v>32621</v>
      </c>
      <c r="AH24693" s="4" t="str">
        <f>HYPERLINK("#Statut_biogéographique!A"&amp;_xlfn.XMATCH("P",Statut_biogéographique!A:A,2,1),"P")</f>
        <v>P</v>
      </c>
      <c r="AM24693" s="4" t="s">
        <v>375</v>
      </c>
      <c r="AN24693" s="4" t="s">
        <v>375</v>
      </c>
      <c r="AO24693" s="4" t="s">
        <v>375</v>
      </c>
      <c r="AP24693" s="4" t="s">
        <v>376</v>
      </c>
      <c r="AR24693" s="4" t="s">
        <v>377</v>
      </c>
    </row>
    <row r="24694" spans="1:44">
      <c r="A24694" s="4" t="s">
        <v>24364</v>
      </c>
      <c r="B24694" s="4">
        <v>99142</v>
      </c>
      <c r="D24694" s="5">
        <v>99142</v>
      </c>
      <c r="E24694" s="6" t="str">
        <f>HYPERLINK("https://inpn.mnhn.fr/espece/cd_nom/99142","Fumaria x albertii Rouy &amp; Foucaud, 1893")</f>
        <v>Fumaria x albertii Rouy &amp; Foucaud, 1893</v>
      </c>
      <c r="F24694" s="5" t="s">
        <v>32622</v>
      </c>
      <c r="T24694" s="7" t="str">
        <f>HYPERLINK("#Liste_rouge!A"&amp;_xlfn.XMATCH("NE",Liste_rouge!A:A,2,1),"NE")</f>
        <v>NE</v>
      </c>
      <c r="AH24694" s="4" t="str">
        <f>HYPERLINK("#Statut_biogéographique!A"&amp;_xlfn.XMATCH("P",Statut_biogéographique!A:A,2,1),"P")</f>
        <v>P</v>
      </c>
      <c r="AP24694" s="4" t="s">
        <v>376</v>
      </c>
      <c r="AR24694" s="4" t="s">
        <v>377</v>
      </c>
    </row>
    <row r="24695" spans="1:44" ht="45">
      <c r="A24695" s="4" t="s">
        <v>24364</v>
      </c>
      <c r="B24695" s="4">
        <v>99185</v>
      </c>
      <c r="D24695" s="5" t="s">
        <v>32623</v>
      </c>
      <c r="E24695" s="6" t="str">
        <f>HYPERLINK("https://inpn.mnhn.fr/espece/cd_nom/99185","Gagea lutea (L.) Ker Gawl., 1809")</f>
        <v>Gagea lutea (L.) Ker Gawl., 1809</v>
      </c>
      <c r="F24695" s="5" t="s">
        <v>32624</v>
      </c>
      <c r="L24695" s="4" t="str">
        <f>HYPERLINK("#Réglementation!A"&amp;_xlfn.XMATCH("NV1",Réglementation!A:A,2,1),"NV1")</f>
        <v>NV1</v>
      </c>
      <c r="Q24695" s="7" t="str">
        <f>HYPERLINK("#Liste_rouge!A"&amp;_xlfn.XMATCH("LC",Liste_rouge!A:A,2,1),"LC")</f>
        <v>LC</v>
      </c>
      <c r="T24695" s="7" t="str">
        <f>HYPERLINK("#Liste_rouge!A"&amp;_xlfn.XMATCH("CR",Liste_rouge!A:A,2,1),"CR")</f>
        <v>CR</v>
      </c>
      <c r="U24695" s="4" t="str">
        <f>HYPERLINK("#Critères_liste_rouge!A$1","C2a(i)")</f>
        <v>C2a(i)</v>
      </c>
      <c r="V24695" s="7" t="str">
        <f>HYPERLINK("#Liste_rouge!A"&amp;_xlfn.XMATCH("NT",Liste_rouge!A:A,2,1),"NT")</f>
        <v>NT</v>
      </c>
      <c r="W24695" s="4" t="str">
        <f>HYPERLINK("#Critères_liste_rouge!A$1","pr. A3c B2b(iii)")</f>
        <v>pr. A3c B2b(iii)</v>
      </c>
      <c r="X24695" s="5" t="s">
        <v>374</v>
      </c>
      <c r="AB24695" s="4" t="s">
        <v>93</v>
      </c>
      <c r="AH24695" s="4" t="str">
        <f>HYPERLINK("#Statut_biogéographique!A"&amp;_xlfn.XMATCH("P",Statut_biogéographique!A:A,2,1),"P")</f>
        <v>P</v>
      </c>
      <c r="AM24695" s="4" t="s">
        <v>375</v>
      </c>
      <c r="AN24695" s="4" t="s">
        <v>375</v>
      </c>
      <c r="AO24695" s="4" t="s">
        <v>375</v>
      </c>
      <c r="AP24695" s="4" t="s">
        <v>376</v>
      </c>
      <c r="AR24695" s="4" t="s">
        <v>377</v>
      </c>
    </row>
    <row r="24696" spans="1:44" ht="45">
      <c r="A24696" s="4" t="s">
        <v>24364</v>
      </c>
      <c r="B24696" s="4">
        <v>99194</v>
      </c>
      <c r="D24696" s="5" t="s">
        <v>32625</v>
      </c>
      <c r="E24696" s="6" t="str">
        <f>HYPERLINK("https://inpn.mnhn.fr/espece/cd_nom/99194","Gagea pratensis (Pers.) Dumort., 1827")</f>
        <v>Gagea pratensis (Pers.) Dumort., 1827</v>
      </c>
      <c r="F24696" s="5" t="s">
        <v>32626</v>
      </c>
      <c r="L24696" s="4" t="str">
        <f>HYPERLINK("#Réglementation!A"&amp;_xlfn.XMATCH("NV1",Réglementation!A:A,2,1),"NV1")</f>
        <v>NV1</v>
      </c>
      <c r="Q24696" s="7" t="str">
        <f>HYPERLINK("#Liste_rouge!A"&amp;_xlfn.XMATCH("LC",Liste_rouge!A:A,2,1),"LC")</f>
        <v>LC</v>
      </c>
      <c r="T24696" s="7" t="str">
        <f>HYPERLINK("#Liste_rouge!A"&amp;_xlfn.XMATCH("EN",Liste_rouge!A:A,2,1),"EN")</f>
        <v>EN</v>
      </c>
      <c r="U24696" s="4" t="str">
        <f>HYPERLINK("#Critères_liste_rouge!A$1","D1")</f>
        <v>D1</v>
      </c>
      <c r="V24696" s="7" t="str">
        <f>HYPERLINK("#Liste_rouge!A"&amp;_xlfn.XMATCH("CR",Liste_rouge!A:A,2,1),"CR")</f>
        <v>CR</v>
      </c>
      <c r="W24696" s="4" t="str">
        <f>HYPERLINK("#Critères_liste_rouge!A$1","B2ab(iii)")</f>
        <v>B2ab(iii)</v>
      </c>
      <c r="X24696" s="5" t="s">
        <v>374</v>
      </c>
      <c r="AB24696" s="4" t="s">
        <v>93</v>
      </c>
      <c r="AH24696" s="4" t="str">
        <f>HYPERLINK("#Statut_biogéographique!A"&amp;_xlfn.XMATCH("P",Statut_biogéographique!A:A,2,1),"P")</f>
        <v>P</v>
      </c>
      <c r="AM24696" s="4" t="s">
        <v>375</v>
      </c>
      <c r="AN24696" s="4" t="s">
        <v>375</v>
      </c>
      <c r="AO24696" s="4" t="s">
        <v>375</v>
      </c>
      <c r="AP24696" s="4" t="s">
        <v>376</v>
      </c>
      <c r="AR24696" s="4" t="s">
        <v>377</v>
      </c>
    </row>
    <row r="24697" spans="1:44" ht="30">
      <c r="A24697" s="4" t="s">
        <v>24364</v>
      </c>
      <c r="B24697" s="4">
        <v>99211</v>
      </c>
      <c r="D24697" s="5" t="s">
        <v>32627</v>
      </c>
      <c r="E24697" s="6" t="str">
        <f>HYPERLINK("https://inpn.mnhn.fr/espece/cd_nom/99211","Gagea villosa (M.Bieb.) Sweet, 1826")</f>
        <v>Gagea villosa (M.Bieb.) Sweet, 1826</v>
      </c>
      <c r="F24697" s="5" t="s">
        <v>32628</v>
      </c>
      <c r="L24697" s="4" t="str">
        <f>HYPERLINK("#Réglementation!A"&amp;_xlfn.XMATCH("NV1",Réglementation!A:A,2,1),"NV1")</f>
        <v>NV1</v>
      </c>
      <c r="Q24697" s="7" t="str">
        <f>HYPERLINK("#Liste_rouge!A"&amp;_xlfn.XMATCH("LC",Liste_rouge!A:A,2,1),"LC")</f>
        <v>LC</v>
      </c>
      <c r="T24697" s="7" t="str">
        <f>HYPERLINK("#Liste_rouge!A"&amp;_xlfn.XMATCH("CR",Liste_rouge!A:A,2,1),"CR")</f>
        <v>CR</v>
      </c>
      <c r="U24697" s="4" t="str">
        <f>HYPERLINK("#Critères_liste_rouge!A$1","A2ac")</f>
        <v>A2ac</v>
      </c>
      <c r="V24697" s="7" t="str">
        <f>HYPERLINK("#Liste_rouge!A"&amp;_xlfn.XMATCH("VU",Liste_rouge!A:A,2,1),"VU")</f>
        <v>VU</v>
      </c>
      <c r="W24697" s="4" t="str">
        <f>HYPERLINK("#Critères_liste_rouge!A$1","D2")</f>
        <v>D2</v>
      </c>
      <c r="X24697" s="5" t="s">
        <v>374</v>
      </c>
      <c r="AB24697" s="4" t="s">
        <v>93</v>
      </c>
      <c r="AH24697" s="4" t="str">
        <f>HYPERLINK("#Statut_biogéographique!A"&amp;_xlfn.XMATCH("P",Statut_biogéographique!A:A,2,1),"P")</f>
        <v>P</v>
      </c>
      <c r="AI24697" s="8" t="s">
        <v>32629</v>
      </c>
      <c r="AJ24697" s="4" t="s">
        <v>12248</v>
      </c>
      <c r="AM24697" s="4" t="s">
        <v>375</v>
      </c>
      <c r="AN24697" s="4" t="s">
        <v>375</v>
      </c>
      <c r="AO24697" s="4" t="s">
        <v>375</v>
      </c>
      <c r="AP24697" s="4" t="s">
        <v>376</v>
      </c>
      <c r="AR24697" s="4" t="s">
        <v>377</v>
      </c>
    </row>
    <row r="24698" spans="1:44" ht="45">
      <c r="A24698" s="4" t="s">
        <v>24364</v>
      </c>
      <c r="B24698" s="4">
        <v>99233</v>
      </c>
      <c r="D24698" s="5" t="s">
        <v>32630</v>
      </c>
      <c r="E24698" s="6" t="str">
        <f>HYPERLINK("https://inpn.mnhn.fr/espece/cd_nom/99233","Galanthus nivalis L., 1753")</f>
        <v>Galanthus nivalis L., 1753</v>
      </c>
      <c r="F24698" s="5" t="s">
        <v>32631</v>
      </c>
      <c r="K24698" s="4" t="str">
        <f>HYPERLINK("#Réglementation!A"&amp;_xlfn.XMATCH("CDH5",Réglementation!A:A,2,1),"CDH5")</f>
        <v>CDH5</v>
      </c>
      <c r="O24698" s="7" t="str">
        <f>HYPERLINK("#Liste_rouge!A"&amp;_xlfn.XMATCH("NT",Liste_rouge!A:A,2,1),"NT")</f>
        <v>NT</v>
      </c>
      <c r="P24698" s="7" t="str">
        <f>HYPERLINK("#Liste_rouge!A"&amp;_xlfn.XMATCH("NT",Liste_rouge!A:A,2,1),"NT")</f>
        <v>NT</v>
      </c>
      <c r="Q24698" s="7" t="str">
        <f>HYPERLINK("#Liste_rouge!A"&amp;_xlfn.XMATCH("LC",Liste_rouge!A:A,2,1),"LC")</f>
        <v>LC</v>
      </c>
      <c r="T24698" s="7" t="str">
        <f>HYPERLINK("#Liste_rouge!A"&amp;_xlfn.XMATCH("LC",Liste_rouge!A:A,2,1),"LC")</f>
        <v>LC</v>
      </c>
      <c r="AH24698" s="4" t="str">
        <f>HYPERLINK("#Statut_biogéographique!A"&amp;_xlfn.XMATCH("P",Statut_biogéographique!A:A,2,1),"P")</f>
        <v>P</v>
      </c>
      <c r="AL24698" s="5" t="str">
        <f>HYPERLINK("#Réglementation!A"&amp;_xlfn.XMATCH("UEintro",Réglementation!A:A,2,1),"UEintro")</f>
        <v>UEintro</v>
      </c>
      <c r="AM24698" s="4" t="s">
        <v>375</v>
      </c>
      <c r="AN24698" s="4" t="s">
        <v>375</v>
      </c>
      <c r="AO24698" s="4" t="s">
        <v>375</v>
      </c>
      <c r="AP24698" s="4" t="s">
        <v>376</v>
      </c>
      <c r="AR24698" s="4" t="s">
        <v>377</v>
      </c>
    </row>
    <row r="24699" spans="1:44" ht="45">
      <c r="A24699" s="4" t="s">
        <v>24364</v>
      </c>
      <c r="B24699" s="4">
        <v>99244</v>
      </c>
      <c r="D24699" s="5" t="s">
        <v>32632</v>
      </c>
      <c r="E24699" s="6" t="str">
        <f>HYPERLINK("https://inpn.mnhn.fr/espece/cd_nom/99244","Galatella linosyris (L.) Rchb.f., 1854")</f>
        <v>Galatella linosyris (L.) Rchb.f., 1854</v>
      </c>
      <c r="F24699" s="5" t="s">
        <v>29664</v>
      </c>
      <c r="M24699" s="4" t="str">
        <f>HYPERLINK("#Réglementation!A"&amp;_xlfn.XMATCH("RV26",Réglementation!A:A,2,1),"RV26")</f>
        <v>RV26</v>
      </c>
      <c r="Q24699" s="7" t="str">
        <f>HYPERLINK("#Liste_rouge!A"&amp;_xlfn.XMATCH("LC",Liste_rouge!A:A,2,1),"LC")</f>
        <v>LC</v>
      </c>
      <c r="T24699" s="7" t="str">
        <f>HYPERLINK("#Liste_rouge!A"&amp;_xlfn.XMATCH("VU",Liste_rouge!A:A,2,1),"VU")</f>
        <v>VU</v>
      </c>
      <c r="U24699" s="4" t="str">
        <f>HYPERLINK("#Critères_liste_rouge!A$1","D2")</f>
        <v>D2</v>
      </c>
      <c r="X24699" s="5" t="s">
        <v>374</v>
      </c>
      <c r="AB24699" s="4" t="s">
        <v>93</v>
      </c>
      <c r="AH24699" s="4" t="str">
        <f>HYPERLINK("#Statut_biogéographique!A"&amp;_xlfn.XMATCH("P",Statut_biogéographique!A:A,2,1),"P")</f>
        <v>P</v>
      </c>
      <c r="AM24699" s="4" t="s">
        <v>375</v>
      </c>
      <c r="AN24699" s="4" t="s">
        <v>375</v>
      </c>
      <c r="AO24699" s="4" t="s">
        <v>375</v>
      </c>
      <c r="AP24699" s="4" t="s">
        <v>376</v>
      </c>
      <c r="AR24699" s="4" t="s">
        <v>377</v>
      </c>
    </row>
    <row r="24700" spans="1:44" ht="30">
      <c r="A24700" s="4" t="s">
        <v>24364</v>
      </c>
      <c r="B24700" s="4">
        <v>99260</v>
      </c>
      <c r="D24700" s="5" t="s">
        <v>32633</v>
      </c>
      <c r="E24700" s="6" t="str">
        <f>HYPERLINK("https://inpn.mnhn.fr/espece/cd_nom/99260","Galega officinalis L., 1753")</f>
        <v>Galega officinalis L., 1753</v>
      </c>
      <c r="F24700" s="5" t="s">
        <v>32634</v>
      </c>
      <c r="P24700" s="7" t="str">
        <f>HYPERLINK("#Liste_rouge!A"&amp;_xlfn.XMATCH("LC",Liste_rouge!A:A,2,1),"LC")</f>
        <v>LC</v>
      </c>
      <c r="Q24700" s="7" t="str">
        <f>HYPERLINK("#Liste_rouge!A"&amp;_xlfn.XMATCH("NA",Liste_rouge!A:A,2,1),"NA")</f>
        <v>NA</v>
      </c>
      <c r="T24700" s="7" t="str">
        <f>HYPERLINK("#Liste_rouge!A"&amp;_xlfn.XMATCH("NA",Liste_rouge!A:A,2,1),"NA")</f>
        <v>NA</v>
      </c>
      <c r="AH24700" s="4" t="str">
        <f>HYPERLINK("#Statut_biogéographique!A"&amp;_xlfn.XMATCH("I",Statut_biogéographique!A:A,2,1),"I")</f>
        <v>I</v>
      </c>
      <c r="AM24700" s="4" t="s">
        <v>375</v>
      </c>
      <c r="AN24700" s="4" t="s">
        <v>375</v>
      </c>
      <c r="AO24700" s="4" t="s">
        <v>375</v>
      </c>
      <c r="AP24700" s="4" t="s">
        <v>376</v>
      </c>
      <c r="AR24700" s="4" t="s">
        <v>377</v>
      </c>
    </row>
    <row r="24701" spans="1:44">
      <c r="A24701" s="4" t="s">
        <v>24364</v>
      </c>
      <c r="B24701" s="4">
        <v>99261</v>
      </c>
      <c r="D24701" s="5">
        <v>99261</v>
      </c>
      <c r="E24701" s="6" t="str">
        <f>HYPERLINK("https://inpn.mnhn.fr/espece/cd_nom/99261","Galega orientalis Lam., 1788")</f>
        <v>Galega orientalis Lam., 1788</v>
      </c>
      <c r="F24701" s="5" t="s">
        <v>32635</v>
      </c>
      <c r="Q24701" s="7" t="str">
        <f>HYPERLINK("#Liste_rouge!A"&amp;_xlfn.XMATCH("NA",Liste_rouge!A:A,2,1),"NA")</f>
        <v>NA</v>
      </c>
      <c r="T24701" s="7" t="str">
        <f>HYPERLINK("#Liste_rouge!A"&amp;_xlfn.XMATCH("NA",Liste_rouge!A:A,2,1),"NA")</f>
        <v>NA</v>
      </c>
      <c r="AH24701" s="4" t="str">
        <f>HYPERLINK("#Statut_biogéographique!A"&amp;_xlfn.XMATCH("M",Statut_biogéographique!A:A,2,1),"M")</f>
        <v>M</v>
      </c>
      <c r="AP24701" s="4" t="s">
        <v>376</v>
      </c>
      <c r="AR24701" s="4" t="s">
        <v>377</v>
      </c>
    </row>
    <row r="24702" spans="1:44" ht="75">
      <c r="A24702" s="4" t="s">
        <v>24364</v>
      </c>
      <c r="B24702" s="4">
        <v>99272</v>
      </c>
      <c r="D24702" s="5" t="s">
        <v>32636</v>
      </c>
      <c r="E24702" s="6" t="str">
        <f>HYPERLINK("https://inpn.mnhn.fr/espece/cd_nom/99272","Galeopsis angustifolia Ehrh. ex Hoffm., 1804")</f>
        <v>Galeopsis angustifolia Ehrh. ex Hoffm., 1804</v>
      </c>
      <c r="F24702" s="5" t="s">
        <v>32637</v>
      </c>
      <c r="Q24702" s="7" t="str">
        <f>HYPERLINK("#Liste_rouge!A"&amp;_xlfn.XMATCH("LC",Liste_rouge!A:A,2,1),"LC")</f>
        <v>LC</v>
      </c>
      <c r="T24702" s="7" t="str">
        <f>HYPERLINK("#Liste_rouge!A"&amp;_xlfn.XMATCH("LC",Liste_rouge!A:A,2,1),"LC")</f>
        <v>LC</v>
      </c>
      <c r="V24702" s="7" t="str">
        <f>HYPERLINK("#Liste_rouge!A"&amp;_xlfn.XMATCH("LC",Liste_rouge!A:A,2,1),"LC")</f>
        <v>LC</v>
      </c>
      <c r="AB24702" s="4" t="s">
        <v>24719</v>
      </c>
      <c r="AH24702" s="4" t="str">
        <f>HYPERLINK("#Statut_biogéographique!A"&amp;_xlfn.XMATCH("P",Statut_biogéographique!A:A,2,1),"P")</f>
        <v>P</v>
      </c>
      <c r="AM24702" s="4" t="s">
        <v>375</v>
      </c>
      <c r="AN24702" s="4" t="s">
        <v>375</v>
      </c>
      <c r="AO24702" s="4" t="s">
        <v>375</v>
      </c>
      <c r="AP24702" s="4" t="s">
        <v>376</v>
      </c>
      <c r="AR24702" s="4" t="s">
        <v>377</v>
      </c>
    </row>
    <row r="24703" spans="1:44">
      <c r="A24703" s="4" t="s">
        <v>24364</v>
      </c>
      <c r="B24703" s="4">
        <v>99277</v>
      </c>
      <c r="D24703" s="5" t="s">
        <v>32638</v>
      </c>
      <c r="E24703" s="6" t="str">
        <f>HYPERLINK("https://inpn.mnhn.fr/espece/cd_nom/99277","Galeopsis bifida Boenn., 1824")</f>
        <v>Galeopsis bifida Boenn., 1824</v>
      </c>
      <c r="F24703" s="5" t="s">
        <v>32639</v>
      </c>
      <c r="Q24703" s="7" t="str">
        <f>HYPERLINK("#Liste_rouge!A"&amp;_xlfn.XMATCH("LC",Liste_rouge!A:A,2,1),"LC")</f>
        <v>LC</v>
      </c>
      <c r="T24703" s="7" t="str">
        <f>HYPERLINK("#Liste_rouge!A"&amp;_xlfn.XMATCH("EN",Liste_rouge!A:A,2,1),"EN")</f>
        <v>EN</v>
      </c>
      <c r="U24703" s="4" t="str">
        <f>HYPERLINK("#Critères_liste_rouge!A$1","D1")</f>
        <v>D1</v>
      </c>
      <c r="AB24703" s="4" t="s">
        <v>24803</v>
      </c>
      <c r="AH24703" s="4" t="str">
        <f>HYPERLINK("#Statut_biogéographique!A"&amp;_xlfn.XMATCH("P",Statut_biogéographique!A:A,2,1),"P")</f>
        <v>P</v>
      </c>
      <c r="AM24703" s="4" t="s">
        <v>375</v>
      </c>
      <c r="AN24703" s="4" t="s">
        <v>375</v>
      </c>
      <c r="AO24703" s="4" t="s">
        <v>375</v>
      </c>
      <c r="AP24703" s="4" t="s">
        <v>376</v>
      </c>
      <c r="AR24703" s="4" t="s">
        <v>377</v>
      </c>
    </row>
    <row r="24704" spans="1:44" ht="60">
      <c r="A24704" s="4" t="s">
        <v>24364</v>
      </c>
      <c r="B24704" s="4">
        <v>99305</v>
      </c>
      <c r="D24704" s="5" t="s">
        <v>32640</v>
      </c>
      <c r="E24704" s="6" t="str">
        <f>HYPERLINK("https://inpn.mnhn.fr/espece/cd_nom/99305","Galeopsis ladanum L., 1753")</f>
        <v>Galeopsis ladanum L., 1753</v>
      </c>
      <c r="F24704" s="5" t="s">
        <v>32641</v>
      </c>
      <c r="Q24704" s="7" t="str">
        <f>HYPERLINK("#Liste_rouge!A"&amp;_xlfn.XMATCH("LC",Liste_rouge!A:A,2,1),"LC")</f>
        <v>LC</v>
      </c>
      <c r="T24704" s="7" t="str">
        <f>HYPERLINK("#Liste_rouge!A"&amp;_xlfn.XMATCH("LC",Liste_rouge!A:A,2,1),"LC")</f>
        <v>LC</v>
      </c>
      <c r="V24704" s="7" t="str">
        <f>HYPERLINK("#Liste_rouge!A"&amp;_xlfn.XMATCH("DD",Liste_rouge!A:A,2,1),"DD")</f>
        <v>DD</v>
      </c>
      <c r="AB24704" s="4" t="s">
        <v>25010</v>
      </c>
      <c r="AH24704" s="4" t="str">
        <f>HYPERLINK("#Statut_biogéographique!A"&amp;_xlfn.XMATCH("P",Statut_biogéographique!A:A,2,1),"P")</f>
        <v>P</v>
      </c>
      <c r="AM24704" s="4" t="s">
        <v>375</v>
      </c>
      <c r="AN24704" s="4" t="s">
        <v>375</v>
      </c>
      <c r="AO24704" s="4" t="s">
        <v>375</v>
      </c>
      <c r="AP24704" s="4" t="s">
        <v>376</v>
      </c>
      <c r="AR24704" s="4" t="s">
        <v>377</v>
      </c>
    </row>
    <row r="24705" spans="1:44" ht="45">
      <c r="A24705" s="4" t="s">
        <v>24364</v>
      </c>
      <c r="B24705" s="4">
        <v>99322</v>
      </c>
      <c r="D24705" s="5" t="s">
        <v>32642</v>
      </c>
      <c r="E24705" s="6" t="str">
        <f>HYPERLINK("https://inpn.mnhn.fr/espece/cd_nom/99322","Galeopsis pubescens Besser, 1809")</f>
        <v>Galeopsis pubescens Besser, 1809</v>
      </c>
      <c r="F24705" s="5" t="s">
        <v>32643</v>
      </c>
      <c r="Q24705" s="7" t="str">
        <f>HYPERLINK("#Liste_rouge!A"&amp;_xlfn.XMATCH("DD",Liste_rouge!A:A,2,1),"DD")</f>
        <v>DD</v>
      </c>
      <c r="T24705" s="7" t="str">
        <f>HYPERLINK("#Liste_rouge!A"&amp;_xlfn.XMATCH("RE",Liste_rouge!A:A,2,1),"RE")</f>
        <v>RE</v>
      </c>
      <c r="AH24705" s="4" t="str">
        <f>HYPERLINK("#Statut_biogéographique!A"&amp;_xlfn.XMATCH("P",Statut_biogéographique!A:A,2,1),"P")</f>
        <v>P</v>
      </c>
      <c r="AM24705" s="4" t="s">
        <v>375</v>
      </c>
      <c r="AN24705" s="4" t="s">
        <v>375</v>
      </c>
      <c r="AO24705" s="4" t="s">
        <v>375</v>
      </c>
      <c r="AP24705" s="4" t="s">
        <v>376</v>
      </c>
      <c r="AR24705" s="4" t="s">
        <v>377</v>
      </c>
    </row>
    <row r="24706" spans="1:44" ht="45">
      <c r="A24706" s="4" t="s">
        <v>24364</v>
      </c>
      <c r="B24706" s="4">
        <v>99329</v>
      </c>
      <c r="D24706" s="5" t="s">
        <v>32644</v>
      </c>
      <c r="E24706" s="6" t="str">
        <f>HYPERLINK("https://inpn.mnhn.fr/espece/cd_nom/99329","Galeopsis segetum Neck., 1770")</f>
        <v>Galeopsis segetum Neck., 1770</v>
      </c>
      <c r="F24706" s="5" t="s">
        <v>32645</v>
      </c>
      <c r="O24706" s="7" t="str">
        <f>HYPERLINK("#Liste_rouge!A"&amp;_xlfn.XMATCH("DD",Liste_rouge!A:A,2,1),"DD")</f>
        <v>DD</v>
      </c>
      <c r="P24706" s="7" t="str">
        <f>HYPERLINK("#Liste_rouge!A"&amp;_xlfn.XMATCH("DD",Liste_rouge!A:A,2,1),"DD")</f>
        <v>DD</v>
      </c>
      <c r="Q24706" s="7" t="str">
        <f>HYPERLINK("#Liste_rouge!A"&amp;_xlfn.XMATCH("LC",Liste_rouge!A:A,2,1),"LC")</f>
        <v>LC</v>
      </c>
      <c r="T24706" s="7" t="str">
        <f>HYPERLINK("#Liste_rouge!A"&amp;_xlfn.XMATCH("LC",Liste_rouge!A:A,2,1),"LC")</f>
        <v>LC</v>
      </c>
      <c r="V24706" s="7" t="str">
        <f>HYPERLINK("#Liste_rouge!A"&amp;_xlfn.XMATCH("LC",Liste_rouge!A:A,2,1),"LC")</f>
        <v>LC</v>
      </c>
      <c r="AB24706" s="4" t="s">
        <v>32646</v>
      </c>
      <c r="AH24706" s="4" t="str">
        <f>HYPERLINK("#Statut_biogéographique!A"&amp;_xlfn.XMATCH("P",Statut_biogéographique!A:A,2,1),"P")</f>
        <v>P</v>
      </c>
      <c r="AM24706" s="4" t="s">
        <v>375</v>
      </c>
      <c r="AN24706" s="4" t="s">
        <v>375</v>
      </c>
      <c r="AO24706" s="4" t="s">
        <v>375</v>
      </c>
      <c r="AP24706" s="4" t="s">
        <v>376</v>
      </c>
      <c r="AR24706" s="4" t="s">
        <v>377</v>
      </c>
    </row>
    <row r="24707" spans="1:44" ht="45">
      <c r="A24707" s="4" t="s">
        <v>24364</v>
      </c>
      <c r="B24707" s="4">
        <v>99331</v>
      </c>
      <c r="D24707" s="5" t="s">
        <v>32647</v>
      </c>
      <c r="E24707" s="6" t="str">
        <f>HYPERLINK("https://inpn.mnhn.fr/espece/cd_nom/99331","Galeopsis speciosa Mill., 1768")</f>
        <v>Galeopsis speciosa Mill., 1768</v>
      </c>
      <c r="F24707" s="5" t="s">
        <v>32648</v>
      </c>
      <c r="Q24707" s="7" t="str">
        <f>HYPERLINK("#Liste_rouge!A"&amp;_xlfn.XMATCH("DD",Liste_rouge!A:A,2,1),"DD")</f>
        <v>DD</v>
      </c>
      <c r="T24707" s="7" t="str">
        <f>HYPERLINK("#Liste_rouge!A"&amp;_xlfn.XMATCH("RE",Liste_rouge!A:A,2,1),"RE")</f>
        <v>RE</v>
      </c>
      <c r="AH24707" s="4" t="str">
        <f>HYPERLINK("#Statut_biogéographique!A"&amp;_xlfn.XMATCH("I",Statut_biogéographique!A:A,2,1),"I")</f>
        <v>I</v>
      </c>
      <c r="AM24707" s="4" t="s">
        <v>375</v>
      </c>
      <c r="AN24707" s="4" t="s">
        <v>375</v>
      </c>
      <c r="AO24707" s="4" t="s">
        <v>375</v>
      </c>
      <c r="AP24707" s="4" t="s">
        <v>376</v>
      </c>
      <c r="AR24707" s="4" t="s">
        <v>377</v>
      </c>
    </row>
    <row r="24708" spans="1:44" ht="75">
      <c r="A24708" s="4" t="s">
        <v>24364</v>
      </c>
      <c r="B24708" s="4">
        <v>99334</v>
      </c>
      <c r="D24708" s="5" t="s">
        <v>32649</v>
      </c>
      <c r="E24708" s="6" t="str">
        <f>HYPERLINK("https://inpn.mnhn.fr/espece/cd_nom/99334","Galeopsis tetrahit L., 1753")</f>
        <v>Galeopsis tetrahit L., 1753</v>
      </c>
      <c r="F24708" s="5" t="s">
        <v>32650</v>
      </c>
      <c r="Q24708" s="7" t="str">
        <f>HYPERLINK("#Liste_rouge!A"&amp;_xlfn.XMATCH("LC",Liste_rouge!A:A,2,1),"LC")</f>
        <v>LC</v>
      </c>
      <c r="T24708" s="7" t="str">
        <f>HYPERLINK("#Liste_rouge!A"&amp;_xlfn.XMATCH("LC",Liste_rouge!A:A,2,1),"LC")</f>
        <v>LC</v>
      </c>
      <c r="V24708" s="7" t="str">
        <f>HYPERLINK("#Liste_rouge!A"&amp;_xlfn.XMATCH("LC",Liste_rouge!A:A,2,1),"LC")</f>
        <v>LC</v>
      </c>
      <c r="AH24708" s="4" t="str">
        <f>HYPERLINK("#Statut_biogéographique!A"&amp;_xlfn.XMATCH("P",Statut_biogéographique!A:A,2,1),"P")</f>
        <v>P</v>
      </c>
      <c r="AM24708" s="4" t="s">
        <v>375</v>
      </c>
      <c r="AN24708" s="4" t="s">
        <v>375</v>
      </c>
      <c r="AO24708" s="4" t="s">
        <v>375</v>
      </c>
      <c r="AP24708" s="4" t="s">
        <v>376</v>
      </c>
      <c r="AR24708" s="4" t="s">
        <v>377</v>
      </c>
    </row>
    <row r="24709" spans="1:44">
      <c r="A24709" s="4" t="s">
        <v>24364</v>
      </c>
      <c r="B24709" s="4">
        <v>99345</v>
      </c>
      <c r="D24709" s="5">
        <v>99345</v>
      </c>
      <c r="E24709" s="6" t="str">
        <f>HYPERLINK("https://inpn.mnhn.fr/espece/cd_nom/99345","Galeopsis x elegans Boreau, 1857")</f>
        <v>Galeopsis x elegans Boreau, 1857</v>
      </c>
      <c r="F24709" s="5" t="s">
        <v>32651</v>
      </c>
      <c r="T24709" s="7" t="str">
        <f>HYPERLINK("#Liste_rouge!A"&amp;_xlfn.XMATCH("NE",Liste_rouge!A:A,2,1),"NE")</f>
        <v>NE</v>
      </c>
      <c r="AH24709" s="4" t="str">
        <f>HYPERLINK("#Statut_biogéographique!A"&amp;_xlfn.XMATCH("D",Statut_biogéographique!A:A,2,1),"D")</f>
        <v>D</v>
      </c>
      <c r="AP24709" s="4" t="s">
        <v>376</v>
      </c>
      <c r="AR24709" s="4" t="s">
        <v>377</v>
      </c>
    </row>
    <row r="24710" spans="1:44">
      <c r="A24710" s="4" t="s">
        <v>24364</v>
      </c>
      <c r="B24710" s="4">
        <v>99352</v>
      </c>
      <c r="D24710" s="5" t="s">
        <v>32652</v>
      </c>
      <c r="E24710" s="6" t="str">
        <f>HYPERLINK("https://inpn.mnhn.fr/espece/cd_nom/99352","Galeopsis x wirtgenii F.Ludw., 1877")</f>
        <v>Galeopsis x wirtgenii F.Ludw., 1877</v>
      </c>
      <c r="F24710" s="5" t="s">
        <v>32653</v>
      </c>
      <c r="T24710" s="7" t="str">
        <f>HYPERLINK("#Liste_rouge!A"&amp;_xlfn.XMATCH("NE",Liste_rouge!A:A,2,1),"NE")</f>
        <v>NE</v>
      </c>
      <c r="AH24710" s="4" t="str">
        <f>HYPERLINK("#Statut_biogéographique!A"&amp;_xlfn.XMATCH("P",Statut_biogéographique!A:A,2,1),"P")</f>
        <v>P</v>
      </c>
      <c r="AP24710" s="4" t="s">
        <v>376</v>
      </c>
      <c r="AR24710" s="4" t="s">
        <v>377</v>
      </c>
    </row>
    <row r="24711" spans="1:44" ht="30">
      <c r="A24711" s="4" t="s">
        <v>24364</v>
      </c>
      <c r="B24711" s="4">
        <v>99358</v>
      </c>
      <c r="D24711" s="5" t="s">
        <v>32654</v>
      </c>
      <c r="E24711" s="6" t="str">
        <f>HYPERLINK("https://inpn.mnhn.fr/espece/cd_nom/99358","Galinsoga parviflora Cav., 1795")</f>
        <v>Galinsoga parviflora Cav., 1795</v>
      </c>
      <c r="F24711" s="5" t="s">
        <v>32655</v>
      </c>
      <c r="Q24711" s="7" t="str">
        <f>HYPERLINK("#Liste_rouge!A"&amp;_xlfn.XMATCH("NA",Liste_rouge!A:A,2,1),"NA")</f>
        <v>NA</v>
      </c>
      <c r="T24711" s="7" t="str">
        <f>HYPERLINK("#Liste_rouge!A"&amp;_xlfn.XMATCH("NA",Liste_rouge!A:A,2,1),"NA")</f>
        <v>NA</v>
      </c>
      <c r="AH24711" s="4" t="str">
        <f>HYPERLINK("#Statut_biogéographique!A"&amp;_xlfn.XMATCH("I",Statut_biogéographique!A:A,2,1),"I")</f>
        <v>I</v>
      </c>
      <c r="AM24711" s="4" t="s">
        <v>375</v>
      </c>
      <c r="AN24711" s="4" t="s">
        <v>375</v>
      </c>
      <c r="AO24711" s="4" t="s">
        <v>375</v>
      </c>
      <c r="AP24711" s="4" t="s">
        <v>376</v>
      </c>
      <c r="AR24711" s="4" t="s">
        <v>377</v>
      </c>
    </row>
    <row r="24712" spans="1:44" ht="45">
      <c r="A24712" s="4" t="s">
        <v>24364</v>
      </c>
      <c r="B24712" s="4">
        <v>99359</v>
      </c>
      <c r="D24712" s="5" t="s">
        <v>32656</v>
      </c>
      <c r="E24712" s="6" t="str">
        <f>HYPERLINK("https://inpn.mnhn.fr/espece/cd_nom/99359","Galinsoga quadriradiata Ruiz &amp; Pav., 1798")</f>
        <v>Galinsoga quadriradiata Ruiz &amp; Pav., 1798</v>
      </c>
      <c r="F24712" s="5" t="s">
        <v>32657</v>
      </c>
      <c r="Q24712" s="7" t="str">
        <f>HYPERLINK("#Liste_rouge!A"&amp;_xlfn.XMATCH("NA",Liste_rouge!A:A,2,1),"NA")</f>
        <v>NA</v>
      </c>
      <c r="T24712" s="7" t="str">
        <f>HYPERLINK("#Liste_rouge!A"&amp;_xlfn.XMATCH("NA",Liste_rouge!A:A,2,1),"NA")</f>
        <v>NA</v>
      </c>
      <c r="AH24712" s="4" t="str">
        <f>HYPERLINK("#Statut_biogéographique!A"&amp;_xlfn.XMATCH("I",Statut_biogéographique!A:A,2,1),"I")</f>
        <v>I</v>
      </c>
      <c r="AM24712" s="4" t="s">
        <v>375</v>
      </c>
      <c r="AN24712" s="4" t="s">
        <v>375</v>
      </c>
      <c r="AO24712" s="4" t="s">
        <v>375</v>
      </c>
      <c r="AP24712" s="4" t="s">
        <v>376</v>
      </c>
      <c r="AR24712" s="4" t="s">
        <v>377</v>
      </c>
    </row>
    <row r="24713" spans="1:44" ht="60">
      <c r="A24713" s="4" t="s">
        <v>24364</v>
      </c>
      <c r="B24713" s="4">
        <v>99366</v>
      </c>
      <c r="D24713" s="5" t="s">
        <v>32658</v>
      </c>
      <c r="E24713" s="6" t="str">
        <f>HYPERLINK("https://inpn.mnhn.fr/espece/cd_nom/99366","Galium album Mill., 1768")</f>
        <v>Galium album Mill., 1768</v>
      </c>
      <c r="F24713" s="5" t="s">
        <v>32659</v>
      </c>
      <c r="Q24713" s="7" t="str">
        <f>HYPERLINK("#Liste_rouge!A"&amp;_xlfn.XMATCH("LC",Liste_rouge!A:A,2,1),"LC")</f>
        <v>LC</v>
      </c>
      <c r="T24713" s="7" t="str">
        <f>HYPERLINK("#Liste_rouge!A"&amp;_xlfn.XMATCH("LC",Liste_rouge!A:A,2,1),"LC")</f>
        <v>LC</v>
      </c>
      <c r="V24713" s="7" t="str">
        <f>HYPERLINK("#Liste_rouge!A"&amp;_xlfn.XMATCH("LC",Liste_rouge!A:A,2,1),"LC")</f>
        <v>LC</v>
      </c>
      <c r="AH24713" s="4" t="str">
        <f>HYPERLINK("#Statut_biogéographique!A"&amp;_xlfn.XMATCH("P",Statut_biogéographique!A:A,2,1),"P")</f>
        <v>P</v>
      </c>
      <c r="AM24713" s="4" t="s">
        <v>375</v>
      </c>
      <c r="AN24713" s="4" t="s">
        <v>375</v>
      </c>
      <c r="AO24713" s="4" t="s">
        <v>375</v>
      </c>
      <c r="AP24713" s="4" t="s">
        <v>376</v>
      </c>
      <c r="AR24713" s="4" t="s">
        <v>377</v>
      </c>
    </row>
    <row r="24714" spans="1:44" ht="45">
      <c r="A24714" s="4" t="s">
        <v>24364</v>
      </c>
      <c r="B24714" s="4">
        <v>99372</v>
      </c>
      <c r="D24714" s="5" t="s">
        <v>32660</v>
      </c>
      <c r="E24714" s="6" t="str">
        <f>HYPERLINK("https://inpn.mnhn.fr/espece/cd_nom/99372","Galium anisophyllon Vill., 1779")</f>
        <v>Galium anisophyllon Vill., 1779</v>
      </c>
      <c r="F24714" s="5" t="s">
        <v>32661</v>
      </c>
      <c r="Q24714" s="7" t="str">
        <f>HYPERLINK("#Liste_rouge!A"&amp;_xlfn.XMATCH("LC",Liste_rouge!A:A,2,1),"LC")</f>
        <v>LC</v>
      </c>
      <c r="V24714" s="7" t="str">
        <f>HYPERLINK("#Liste_rouge!A"&amp;_xlfn.XMATCH("LC",Liste_rouge!A:A,2,1),"LC")</f>
        <v>LC</v>
      </c>
      <c r="AH24714" s="4" t="str">
        <f>HYPERLINK("#Statut_biogéographique!A"&amp;_xlfn.XMATCH("P",Statut_biogéographique!A:A,2,1),"P")</f>
        <v>P</v>
      </c>
      <c r="AM24714" s="4" t="s">
        <v>375</v>
      </c>
      <c r="AN24714" s="4" t="s">
        <v>375</v>
      </c>
      <c r="AO24714" s="4" t="s">
        <v>375</v>
      </c>
      <c r="AP24714" s="4" t="s">
        <v>376</v>
      </c>
      <c r="AR24714" s="4" t="s">
        <v>377</v>
      </c>
    </row>
    <row r="24715" spans="1:44" ht="45">
      <c r="A24715" s="4" t="s">
        <v>24364</v>
      </c>
      <c r="B24715" s="4">
        <v>99373</v>
      </c>
      <c r="D24715" s="5" t="s">
        <v>32662</v>
      </c>
      <c r="E24715" s="6" t="str">
        <f>HYPERLINK("https://inpn.mnhn.fr/espece/cd_nom/99373","Galium aparine L., 1753")</f>
        <v>Galium aparine L., 1753</v>
      </c>
      <c r="F24715" s="5" t="s">
        <v>32663</v>
      </c>
      <c r="P24715" s="7" t="str">
        <f>HYPERLINK("#Liste_rouge!A"&amp;_xlfn.XMATCH("LC",Liste_rouge!A:A,2,1),"LC")</f>
        <v>LC</v>
      </c>
      <c r="Q24715" s="7" t="str">
        <f>HYPERLINK("#Liste_rouge!A"&amp;_xlfn.XMATCH("LC",Liste_rouge!A:A,2,1),"LC")</f>
        <v>LC</v>
      </c>
      <c r="T24715" s="7" t="str">
        <f>HYPERLINK("#Liste_rouge!A"&amp;_xlfn.XMATCH("LC",Liste_rouge!A:A,2,1),"LC")</f>
        <v>LC</v>
      </c>
      <c r="V24715" s="7" t="str">
        <f>HYPERLINK("#Liste_rouge!A"&amp;_xlfn.XMATCH("LC",Liste_rouge!A:A,2,1),"LC")</f>
        <v>LC</v>
      </c>
      <c r="AH24715" s="4" t="str">
        <f>HYPERLINK("#Statut_biogéographique!A"&amp;_xlfn.XMATCH("P",Statut_biogéographique!A:A,2,1),"P")</f>
        <v>P</v>
      </c>
      <c r="AM24715" s="4" t="s">
        <v>375</v>
      </c>
      <c r="AN24715" s="4" t="s">
        <v>375</v>
      </c>
      <c r="AO24715" s="4" t="s">
        <v>375</v>
      </c>
      <c r="AP24715" s="4" t="s">
        <v>376</v>
      </c>
      <c r="AR24715" s="4" t="s">
        <v>377</v>
      </c>
    </row>
    <row r="24716" spans="1:44" ht="45">
      <c r="A24716" s="4" t="s">
        <v>24364</v>
      </c>
      <c r="B24716" s="4">
        <v>99390</v>
      </c>
      <c r="D24716" s="5" t="s">
        <v>32664</v>
      </c>
      <c r="E24716" s="6" t="str">
        <f>HYPERLINK("https://inpn.mnhn.fr/espece/cd_nom/99390","Galium boreale L., 1753")</f>
        <v>Galium boreale L., 1753</v>
      </c>
      <c r="F24716" s="5" t="s">
        <v>32665</v>
      </c>
      <c r="Q24716" s="7" t="str">
        <f>HYPERLINK("#Liste_rouge!A"&amp;_xlfn.XMATCH("LC",Liste_rouge!A:A,2,1),"LC")</f>
        <v>LC</v>
      </c>
      <c r="T24716" s="7" t="str">
        <f>HYPERLINK("#Liste_rouge!A"&amp;_xlfn.XMATCH("VU",Liste_rouge!A:A,2,1),"VU")</f>
        <v>VU</v>
      </c>
      <c r="U24716" s="4" t="str">
        <f>HYPERLINK("#Critères_liste_rouge!A$1","C2a(i)")</f>
        <v>C2a(i)</v>
      </c>
      <c r="V24716" s="7" t="str">
        <f>HYPERLINK("#Liste_rouge!A"&amp;_xlfn.XMATCH("LC",Liste_rouge!A:A,2,1),"LC")</f>
        <v>LC</v>
      </c>
      <c r="AB24716" s="4" t="s">
        <v>26166</v>
      </c>
      <c r="AH24716" s="4" t="str">
        <f>HYPERLINK("#Statut_biogéographique!A"&amp;_xlfn.XMATCH("P",Statut_biogéographique!A:A,2,1),"P")</f>
        <v>P</v>
      </c>
      <c r="AM24716" s="4" t="s">
        <v>375</v>
      </c>
      <c r="AN24716" s="4" t="s">
        <v>375</v>
      </c>
      <c r="AO24716" s="4" t="s">
        <v>375</v>
      </c>
      <c r="AP24716" s="4" t="s">
        <v>376</v>
      </c>
      <c r="AR24716" s="4" t="s">
        <v>377</v>
      </c>
    </row>
    <row r="24717" spans="1:44" ht="30">
      <c r="A24717" s="4" t="s">
        <v>24364</v>
      </c>
      <c r="B24717" s="4">
        <v>99410</v>
      </c>
      <c r="D24717" s="5" t="s">
        <v>32666</v>
      </c>
      <c r="E24717" s="6" t="str">
        <f>HYPERLINK("https://inpn.mnhn.fr/espece/cd_nom/99410","Galium debile Desv., 1818")</f>
        <v>Galium debile Desv., 1818</v>
      </c>
      <c r="F24717" s="5" t="s">
        <v>32667</v>
      </c>
      <c r="O24717" s="7" t="str">
        <f>HYPERLINK("#Liste_rouge!A"&amp;_xlfn.XMATCH("LC",Liste_rouge!A:A,2,1),"LC")</f>
        <v>LC</v>
      </c>
      <c r="Q24717" s="7" t="str">
        <f>HYPERLINK("#Liste_rouge!A"&amp;_xlfn.XMATCH("LC",Liste_rouge!A:A,2,1),"LC")</f>
        <v>LC</v>
      </c>
      <c r="T24717" s="7" t="str">
        <f>HYPERLINK("#Liste_rouge!A"&amp;_xlfn.XMATCH("DD",Liste_rouge!A:A,2,1),"DD")</f>
        <v>DD</v>
      </c>
      <c r="AH24717" s="4" t="str">
        <f>HYPERLINK("#Statut_biogéographique!A"&amp;_xlfn.XMATCH("P",Statut_biogéographique!A:A,2,1),"P")</f>
        <v>P</v>
      </c>
      <c r="AM24717" s="4" t="s">
        <v>375</v>
      </c>
      <c r="AN24717" s="4" t="s">
        <v>375</v>
      </c>
      <c r="AO24717" s="4" t="s">
        <v>375</v>
      </c>
      <c r="AP24717" s="4" t="s">
        <v>376</v>
      </c>
      <c r="AR24717" s="4" t="s">
        <v>377</v>
      </c>
    </row>
    <row r="24718" spans="1:44" ht="30">
      <c r="A24718" s="4" t="s">
        <v>24364</v>
      </c>
      <c r="B24718" s="4">
        <v>99414</v>
      </c>
      <c r="D24718" s="5" t="s">
        <v>32668</v>
      </c>
      <c r="E24718" s="6" t="str">
        <f>HYPERLINK("https://inpn.mnhn.fr/espece/cd_nom/99414","Galium divaricatum Pourr. ex Lam., 1788")</f>
        <v>Galium divaricatum Pourr. ex Lam., 1788</v>
      </c>
      <c r="F24718" s="5" t="s">
        <v>32669</v>
      </c>
      <c r="Q24718" s="7" t="str">
        <f>HYPERLINK("#Liste_rouge!A"&amp;_xlfn.XMATCH("LC",Liste_rouge!A:A,2,1),"LC")</f>
        <v>LC</v>
      </c>
      <c r="T24718" s="7" t="str">
        <f>HYPERLINK("#Liste_rouge!A"&amp;_xlfn.XMATCH("EN",Liste_rouge!A:A,2,1),"EN")</f>
        <v>EN</v>
      </c>
      <c r="U24718" s="4" t="str">
        <f>HYPERLINK("#Critères_liste_rouge!A$1","B2ac(iii,iv) D1")</f>
        <v>B2ac(iii,iv) D1</v>
      </c>
      <c r="AB24718" s="4" t="s">
        <v>26735</v>
      </c>
      <c r="AH24718" s="4" t="str">
        <f>HYPERLINK("#Statut_biogéographique!A"&amp;_xlfn.XMATCH("P",Statut_biogéographique!A:A,2,1),"P")</f>
        <v>P</v>
      </c>
      <c r="AM24718" s="4" t="s">
        <v>375</v>
      </c>
      <c r="AN24718" s="4" t="s">
        <v>375</v>
      </c>
      <c r="AO24718" s="4" t="s">
        <v>375</v>
      </c>
      <c r="AP24718" s="4" t="s">
        <v>376</v>
      </c>
      <c r="AR24718" s="4" t="s">
        <v>377</v>
      </c>
    </row>
    <row r="24719" spans="1:44">
      <c r="A24719" s="4" t="s">
        <v>24364</v>
      </c>
      <c r="B24719" s="4">
        <v>99418</v>
      </c>
      <c r="D24719" s="5" t="s">
        <v>32670</v>
      </c>
      <c r="E24719" s="6" t="str">
        <f>HYPERLINK("https://inpn.mnhn.fr/espece/cd_nom/99418","Galium elongatum C.Presl, 1822")</f>
        <v>Galium elongatum C.Presl, 1822</v>
      </c>
      <c r="F24719" s="5" t="s">
        <v>32671</v>
      </c>
      <c r="Q24719" s="7" t="str">
        <f>HYPERLINK("#Liste_rouge!A"&amp;_xlfn.XMATCH("LC",Liste_rouge!A:A,2,1),"LC")</f>
        <v>LC</v>
      </c>
      <c r="T24719" s="7" t="str">
        <f>HYPERLINK("#Liste_rouge!A"&amp;_xlfn.XMATCH("DD",Liste_rouge!A:A,2,1),"DD")</f>
        <v>DD</v>
      </c>
      <c r="V24719" s="7" t="str">
        <f>HYPERLINK("#Liste_rouge!A"&amp;_xlfn.XMATCH("LC",Liste_rouge!A:A,2,1),"LC")</f>
        <v>LC</v>
      </c>
      <c r="AH24719" s="4" t="str">
        <f>HYPERLINK("#Statut_biogéographique!A"&amp;_xlfn.XMATCH("P",Statut_biogéographique!A:A,2,1),"P")</f>
        <v>P</v>
      </c>
      <c r="AM24719" s="4" t="s">
        <v>375</v>
      </c>
      <c r="AN24719" s="4" t="s">
        <v>375</v>
      </c>
      <c r="AO24719" s="4" t="s">
        <v>375</v>
      </c>
      <c r="AP24719" s="4" t="s">
        <v>376</v>
      </c>
      <c r="AR24719" s="4" t="s">
        <v>377</v>
      </c>
    </row>
    <row r="24720" spans="1:44" ht="45">
      <c r="A24720" s="4" t="s">
        <v>24364</v>
      </c>
      <c r="B24720" s="4">
        <v>99423</v>
      </c>
      <c r="D24720" s="5" t="s">
        <v>32672</v>
      </c>
      <c r="E24720" s="6" t="str">
        <f>HYPERLINK("https://inpn.mnhn.fr/espece/cd_nom/99423","Galium fleurotii Jord., 1849")</f>
        <v>Galium fleurotii Jord., 1849</v>
      </c>
      <c r="F24720" s="5" t="s">
        <v>32673</v>
      </c>
      <c r="Q24720" s="7" t="str">
        <f>HYPERLINK("#Liste_rouge!A"&amp;_xlfn.XMATCH("LC",Liste_rouge!A:A,2,1),"LC")</f>
        <v>LC</v>
      </c>
      <c r="T24720" s="7" t="str">
        <f>HYPERLINK("#Liste_rouge!A"&amp;_xlfn.XMATCH("VU",Liste_rouge!A:A,2,1),"VU")</f>
        <v>VU</v>
      </c>
      <c r="U24720" s="4" t="str">
        <f>HYPERLINK("#Critères_liste_rouge!A$1","D2")</f>
        <v>D2</v>
      </c>
      <c r="X24720" s="5" t="s">
        <v>374</v>
      </c>
      <c r="AB24720" s="4" t="s">
        <v>93</v>
      </c>
      <c r="AH24720" s="4" t="str">
        <f>HYPERLINK("#Statut_biogéographique!A"&amp;_xlfn.XMATCH("S",Statut_biogéographique!A:A,2,1),"S")</f>
        <v>S</v>
      </c>
      <c r="AM24720" s="4" t="s">
        <v>375</v>
      </c>
      <c r="AN24720" s="4" t="s">
        <v>375</v>
      </c>
      <c r="AO24720" s="4" t="s">
        <v>375</v>
      </c>
      <c r="AP24720" s="4" t="s">
        <v>376</v>
      </c>
      <c r="AR24720" s="4" t="s">
        <v>377</v>
      </c>
    </row>
    <row r="24721" spans="1:44" ht="45">
      <c r="A24721" s="4" t="s">
        <v>24364</v>
      </c>
      <c r="B24721" s="4">
        <v>99429</v>
      </c>
      <c r="D24721" s="5" t="s">
        <v>32674</v>
      </c>
      <c r="E24721" s="6" t="str">
        <f>HYPERLINK("https://inpn.mnhn.fr/espece/cd_nom/99429","Galium glaucum L., 1753")</f>
        <v>Galium glaucum L., 1753</v>
      </c>
      <c r="F24721" s="5" t="s">
        <v>32675</v>
      </c>
      <c r="Q24721" s="7" t="str">
        <f>HYPERLINK("#Liste_rouge!A"&amp;_xlfn.XMATCH("LC",Liste_rouge!A:A,2,1),"LC")</f>
        <v>LC</v>
      </c>
      <c r="T24721" s="7" t="str">
        <f>HYPERLINK("#Liste_rouge!A"&amp;_xlfn.XMATCH("VU",Liste_rouge!A:A,2,1),"VU")</f>
        <v>VU</v>
      </c>
      <c r="U24721" s="4" t="str">
        <f>HYPERLINK("#Critères_liste_rouge!A$1","C2a(i) D2")</f>
        <v>C2a(i) D2</v>
      </c>
      <c r="AB24721" s="4" t="s">
        <v>24984</v>
      </c>
      <c r="AH24721" s="4" t="str">
        <f>HYPERLINK("#Statut_biogéographique!A"&amp;_xlfn.XMATCH("P",Statut_biogéographique!A:A,2,1),"P")</f>
        <v>P</v>
      </c>
      <c r="AM24721" s="4" t="s">
        <v>375</v>
      </c>
      <c r="AN24721" s="4" t="s">
        <v>375</v>
      </c>
      <c r="AO24721" s="4" t="s">
        <v>375</v>
      </c>
      <c r="AP24721" s="4" t="s">
        <v>376</v>
      </c>
      <c r="AR24721" s="4" t="s">
        <v>377</v>
      </c>
    </row>
    <row r="24722" spans="1:44" ht="45">
      <c r="A24722" s="4" t="s">
        <v>24364</v>
      </c>
      <c r="B24722" s="4">
        <v>99457</v>
      </c>
      <c r="D24722" s="5" t="s">
        <v>32676</v>
      </c>
      <c r="E24722" s="6" t="str">
        <f>HYPERLINK("https://inpn.mnhn.fr/espece/cd_nom/99457","Galium lucidum All., 1773")</f>
        <v>Galium lucidum All., 1773</v>
      </c>
      <c r="F24722" s="5" t="s">
        <v>32677</v>
      </c>
      <c r="Q24722" s="7" t="str">
        <f>HYPERLINK("#Liste_rouge!A"&amp;_xlfn.XMATCH("LC",Liste_rouge!A:A,2,1),"LC")</f>
        <v>LC</v>
      </c>
      <c r="T24722" s="7" t="str">
        <f>HYPERLINK("#Liste_rouge!A"&amp;_xlfn.XMATCH("RE",Liste_rouge!A:A,2,1),"RE")</f>
        <v>RE</v>
      </c>
      <c r="AH24722" s="4" t="str">
        <f>HYPERLINK("#Statut_biogéographique!A"&amp;_xlfn.XMATCH("P",Statut_biogéographique!A:A,2,1),"P")</f>
        <v>P</v>
      </c>
      <c r="AM24722" s="4" t="s">
        <v>375</v>
      </c>
      <c r="AN24722" s="4" t="s">
        <v>375</v>
      </c>
      <c r="AO24722" s="4" t="s">
        <v>375</v>
      </c>
      <c r="AP24722" s="4" t="s">
        <v>376</v>
      </c>
      <c r="AR24722" s="4" t="s">
        <v>377</v>
      </c>
    </row>
    <row r="24723" spans="1:44" ht="60">
      <c r="A24723" s="4" t="s">
        <v>24364</v>
      </c>
      <c r="B24723" s="4">
        <v>99473</v>
      </c>
      <c r="D24723" s="5" t="s">
        <v>32678</v>
      </c>
      <c r="E24723" s="6" t="str">
        <f>HYPERLINK("https://inpn.mnhn.fr/espece/cd_nom/99473","Galium mollugo L., 1753")</f>
        <v>Galium mollugo L., 1753</v>
      </c>
      <c r="F24723" s="5" t="s">
        <v>32679</v>
      </c>
      <c r="Q24723" s="7" t="str">
        <f>HYPERLINK("#Liste_rouge!A"&amp;_xlfn.XMATCH("LC",Liste_rouge!A:A,2,1),"LC")</f>
        <v>LC</v>
      </c>
      <c r="T24723" s="7" t="str">
        <f>HYPERLINK("#Liste_rouge!A"&amp;_xlfn.XMATCH("LC",Liste_rouge!A:A,2,1),"LC")</f>
        <v>LC</v>
      </c>
      <c r="V24723" s="7" t="str">
        <f>HYPERLINK("#Liste_rouge!A"&amp;_xlfn.XMATCH("LC",Liste_rouge!A:A,2,1),"LC")</f>
        <v>LC</v>
      </c>
      <c r="AH24723" s="4" t="str">
        <f>HYPERLINK("#Statut_biogéographique!A"&amp;_xlfn.XMATCH("P",Statut_biogéographique!A:A,2,1),"P")</f>
        <v>P</v>
      </c>
      <c r="AM24723" s="4" t="s">
        <v>375</v>
      </c>
      <c r="AN24723" s="4" t="s">
        <v>375</v>
      </c>
      <c r="AO24723" s="4" t="s">
        <v>375</v>
      </c>
      <c r="AP24723" s="4" t="s">
        <v>376</v>
      </c>
      <c r="AR24723" s="4" t="s">
        <v>377</v>
      </c>
    </row>
    <row r="24724" spans="1:44" ht="45">
      <c r="A24724" s="4" t="s">
        <v>24364</v>
      </c>
      <c r="B24724" s="4">
        <v>994837</v>
      </c>
      <c r="D24724" s="5" t="s">
        <v>32680</v>
      </c>
      <c r="E24724" s="6" t="str">
        <f>HYPERLINK("https://inpn.mnhn.fr/espece/cd_nom/994837","Blitum bonus-henricus (L.) Rchb., 1832")</f>
        <v>Blitum bonus-henricus (L.) Rchb., 1832</v>
      </c>
      <c r="F24724" s="5" t="s">
        <v>32681</v>
      </c>
      <c r="Q24724" s="7" t="str">
        <f>HYPERLINK("#Liste_rouge!A"&amp;_xlfn.XMATCH("LC",Liste_rouge!A:A,2,1),"LC")</f>
        <v>LC</v>
      </c>
      <c r="T24724" s="7" t="str">
        <f>HYPERLINK("#Liste_rouge!A"&amp;_xlfn.XMATCH("LC",Liste_rouge!A:A,2,1),"LC")</f>
        <v>LC</v>
      </c>
      <c r="V24724" s="7" t="str">
        <f>HYPERLINK("#Liste_rouge!A"&amp;_xlfn.XMATCH("LC",Liste_rouge!A:A,2,1),"LC")</f>
        <v>LC</v>
      </c>
      <c r="AB24724" s="4" t="s">
        <v>24719</v>
      </c>
      <c r="AH24724" s="4" t="str">
        <f>HYPERLINK("#Statut_biogéographique!A"&amp;_xlfn.XMATCH("P",Statut_biogéographique!A:A,2,1),"P")</f>
        <v>P</v>
      </c>
      <c r="AM24724" s="4" t="s">
        <v>375</v>
      </c>
      <c r="AN24724" s="4" t="s">
        <v>375</v>
      </c>
      <c r="AO24724" s="4" t="s">
        <v>375</v>
      </c>
      <c r="AP24724" s="4" t="s">
        <v>376</v>
      </c>
      <c r="AR24724" s="4" t="s">
        <v>377</v>
      </c>
    </row>
    <row r="24725" spans="1:44" ht="30">
      <c r="A24725" s="4" t="s">
        <v>24364</v>
      </c>
      <c r="B24725" s="4">
        <v>99488</v>
      </c>
      <c r="D24725" s="5" t="s">
        <v>32682</v>
      </c>
      <c r="E24725" s="6" t="str">
        <f>HYPERLINK("https://inpn.mnhn.fr/espece/cd_nom/99488","Galium odoratum (L.) Scop., 1771")</f>
        <v>Galium odoratum (L.) Scop., 1771</v>
      </c>
      <c r="F24725" s="5" t="s">
        <v>32683</v>
      </c>
      <c r="P24725" s="7" t="str">
        <f>HYPERLINK("#Liste_rouge!A"&amp;_xlfn.XMATCH("LC",Liste_rouge!A:A,2,1),"LC")</f>
        <v>LC</v>
      </c>
      <c r="Q24725" s="7" t="str">
        <f>HYPERLINK("#Liste_rouge!A"&amp;_xlfn.XMATCH("LC",Liste_rouge!A:A,2,1),"LC")</f>
        <v>LC</v>
      </c>
      <c r="T24725" s="7" t="str">
        <f>HYPERLINK("#Liste_rouge!A"&amp;_xlfn.XMATCH("LC",Liste_rouge!A:A,2,1),"LC")</f>
        <v>LC</v>
      </c>
      <c r="V24725" s="7" t="str">
        <f>HYPERLINK("#Liste_rouge!A"&amp;_xlfn.XMATCH("LC",Liste_rouge!A:A,2,1),"LC")</f>
        <v>LC</v>
      </c>
      <c r="AH24725" s="4" t="str">
        <f>HYPERLINK("#Statut_biogéographique!A"&amp;_xlfn.XMATCH("P",Statut_biogéographique!A:A,2,1),"P")</f>
        <v>P</v>
      </c>
      <c r="AM24725" s="4" t="s">
        <v>375</v>
      </c>
      <c r="AN24725" s="4" t="s">
        <v>375</v>
      </c>
      <c r="AO24725" s="4" t="s">
        <v>375</v>
      </c>
      <c r="AP24725" s="4" t="s">
        <v>376</v>
      </c>
      <c r="AR24725" s="4" t="s">
        <v>377</v>
      </c>
    </row>
    <row r="24726" spans="1:44" ht="30">
      <c r="A24726" s="4" t="s">
        <v>24364</v>
      </c>
      <c r="B24726" s="4">
        <v>99494</v>
      </c>
      <c r="D24726" s="5" t="s">
        <v>32684</v>
      </c>
      <c r="E24726" s="6" t="str">
        <f>HYPERLINK("https://inpn.mnhn.fr/espece/cd_nom/99494","Galium palustre L., 1753")</f>
        <v>Galium palustre L., 1753</v>
      </c>
      <c r="F24726" s="5" t="s">
        <v>32685</v>
      </c>
      <c r="O24726" s="7" t="str">
        <f>HYPERLINK("#Liste_rouge!A"&amp;_xlfn.XMATCH("LC",Liste_rouge!A:A,2,1),"LC")</f>
        <v>LC</v>
      </c>
      <c r="Q24726" s="7" t="str">
        <f>HYPERLINK("#Liste_rouge!A"&amp;_xlfn.XMATCH("LC",Liste_rouge!A:A,2,1),"LC")</f>
        <v>LC</v>
      </c>
      <c r="T24726" s="7" t="str">
        <f>HYPERLINK("#Liste_rouge!A"&amp;_xlfn.XMATCH("LC",Liste_rouge!A:A,2,1),"LC")</f>
        <v>LC</v>
      </c>
      <c r="V24726" s="7" t="str">
        <f>HYPERLINK("#Liste_rouge!A"&amp;_xlfn.XMATCH("LC",Liste_rouge!A:A,2,1),"LC")</f>
        <v>LC</v>
      </c>
      <c r="AH24726" s="4" t="str">
        <f>HYPERLINK("#Statut_biogéographique!A"&amp;_xlfn.XMATCH("P",Statut_biogéographique!A:A,2,1),"P")</f>
        <v>P</v>
      </c>
      <c r="AM24726" s="4" t="s">
        <v>375</v>
      </c>
      <c r="AN24726" s="4" t="s">
        <v>375</v>
      </c>
      <c r="AO24726" s="4" t="s">
        <v>375</v>
      </c>
      <c r="AP24726" s="4" t="s">
        <v>376</v>
      </c>
      <c r="AR24726" s="4" t="s">
        <v>377</v>
      </c>
    </row>
    <row r="24727" spans="1:44" ht="105">
      <c r="A24727" s="4" t="s">
        <v>24364</v>
      </c>
      <c r="B24727" s="4">
        <v>99496</v>
      </c>
      <c r="D24727" s="5" t="s">
        <v>32686</v>
      </c>
      <c r="E24727" s="6" t="str">
        <f>HYPERLINK("https://inpn.mnhn.fr/espece/cd_nom/99496","Galium parisiense L., 1753")</f>
        <v>Galium parisiense L., 1753</v>
      </c>
      <c r="F24727" s="5" t="s">
        <v>32687</v>
      </c>
      <c r="Q24727" s="7" t="str">
        <f>HYPERLINK("#Liste_rouge!A"&amp;_xlfn.XMATCH("LC",Liste_rouge!A:A,2,1),"LC")</f>
        <v>LC</v>
      </c>
      <c r="T24727" s="7" t="str">
        <f>HYPERLINK("#Liste_rouge!A"&amp;_xlfn.XMATCH("DD",Liste_rouge!A:A,2,1),"DD (cd_nom 147302) - LC (cd_nom 99496)")</f>
        <v>DD (cd_nom 147302) - LC (cd_nom 99496)</v>
      </c>
      <c r="V24727" s="7" t="str">
        <f>HYPERLINK("#Liste_rouge!A"&amp;_xlfn.XMATCH("VU",Liste_rouge!A:A,2,1),"VU")</f>
        <v>VU</v>
      </c>
      <c r="W24727" s="4" t="str">
        <f>HYPERLINK("#Critères_liste_rouge!A$1","D2")</f>
        <v>D2</v>
      </c>
      <c r="AB24727" s="4" t="s">
        <v>24501</v>
      </c>
      <c r="AH24727" s="4" t="str">
        <f>HYPERLINK("#Statut_biogéographique!A"&amp;_xlfn.XMATCH("P",Statut_biogéographique!A:A,2,1),"P")</f>
        <v>P</v>
      </c>
      <c r="AM24727" s="4" t="s">
        <v>375</v>
      </c>
      <c r="AN24727" s="4" t="s">
        <v>375</v>
      </c>
      <c r="AO24727" s="4" t="s">
        <v>375</v>
      </c>
      <c r="AP24727" s="4" t="s">
        <v>376</v>
      </c>
      <c r="AR24727" s="4" t="s">
        <v>377</v>
      </c>
    </row>
    <row r="24728" spans="1:44" ht="90">
      <c r="A24728" s="4" t="s">
        <v>24364</v>
      </c>
      <c r="B24728" s="4">
        <v>99511</v>
      </c>
      <c r="D24728" s="5" t="s">
        <v>32688</v>
      </c>
      <c r="E24728" s="6" t="str">
        <f>HYPERLINK("https://inpn.mnhn.fr/espece/cd_nom/99511","Galium pumilum Murray, 1770")</f>
        <v>Galium pumilum Murray, 1770</v>
      </c>
      <c r="F24728" s="5" t="s">
        <v>32689</v>
      </c>
      <c r="Q24728" s="7" t="str">
        <f>HYPERLINK("#Liste_rouge!A"&amp;_xlfn.XMATCH("LC",Liste_rouge!A:A,2,1),"LC")</f>
        <v>LC</v>
      </c>
      <c r="T24728" s="7" t="str">
        <f>HYPERLINK("#Liste_rouge!A"&amp;_xlfn.XMATCH("DD",Liste_rouge!A:A,2,1),"DD (cd_nom 147309) - LC (cd_nom 99511)")</f>
        <v>DD (cd_nom 147309) - LC (cd_nom 99511)</v>
      </c>
      <c r="V24728" s="7" t="str">
        <f>HYPERLINK("#Liste_rouge!A"&amp;_xlfn.XMATCH("LC",Liste_rouge!A:A,2,1),"LC")</f>
        <v>LC</v>
      </c>
      <c r="AH24728" s="4" t="str">
        <f>HYPERLINK("#Statut_biogéographique!A"&amp;_xlfn.XMATCH("P",Statut_biogéographique!A:A,2,1),"P")</f>
        <v>P</v>
      </c>
      <c r="AM24728" s="4" t="s">
        <v>375</v>
      </c>
      <c r="AN24728" s="4" t="s">
        <v>375</v>
      </c>
      <c r="AO24728" s="4" t="s">
        <v>375</v>
      </c>
      <c r="AP24728" s="4" t="s">
        <v>376</v>
      </c>
      <c r="AR24728" s="4" t="s">
        <v>377</v>
      </c>
    </row>
    <row r="24729" spans="1:44" ht="45">
      <c r="A24729" s="4" t="s">
        <v>24364</v>
      </c>
      <c r="B24729" s="4">
        <v>99513</v>
      </c>
      <c r="D24729" s="5" t="s">
        <v>32690</v>
      </c>
      <c r="E24729" s="6" t="str">
        <f>HYPERLINK("https://inpn.mnhn.fr/espece/cd_nom/99513","Galium pusillum L., 1753")</f>
        <v>Galium pusillum L., 1753</v>
      </c>
      <c r="F24729" s="5" t="s">
        <v>32691</v>
      </c>
      <c r="Q24729" s="7" t="str">
        <f>HYPERLINK("#Liste_rouge!A"&amp;_xlfn.XMATCH("LC",Liste_rouge!A:A,2,1),"LC")</f>
        <v>LC</v>
      </c>
      <c r="AH24729" s="4" t="str">
        <f>HYPERLINK("#Statut_biogéographique!A"&amp;_xlfn.XMATCH("P",Statut_biogéographique!A:A,2,1),"P")</f>
        <v>P</v>
      </c>
      <c r="AP24729" s="4" t="s">
        <v>376</v>
      </c>
      <c r="AR24729" s="4" t="s">
        <v>377</v>
      </c>
    </row>
    <row r="24730" spans="1:44">
      <c r="A24730" s="4" t="s">
        <v>24364</v>
      </c>
      <c r="B24730" s="4">
        <v>99518</v>
      </c>
      <c r="D24730" s="5" t="s">
        <v>32692</v>
      </c>
      <c r="E24730" s="6" t="str">
        <f>HYPERLINK("https://inpn.mnhn.fr/espece/cd_nom/99518","Galium rotundifolium L., 1753")</f>
        <v>Galium rotundifolium L., 1753</v>
      </c>
      <c r="F24730" s="5" t="s">
        <v>32693</v>
      </c>
      <c r="Q24730" s="7" t="str">
        <f>HYPERLINK("#Liste_rouge!A"&amp;_xlfn.XMATCH("LC",Liste_rouge!A:A,2,1),"LC")</f>
        <v>LC</v>
      </c>
      <c r="V24730" s="7" t="str">
        <f>HYPERLINK("#Liste_rouge!A"&amp;_xlfn.XMATCH("LC",Liste_rouge!A:A,2,1),"LC")</f>
        <v>LC</v>
      </c>
      <c r="AH24730" s="4" t="str">
        <f>HYPERLINK("#Statut_biogéographique!A"&amp;_xlfn.XMATCH("P",Statut_biogéographique!A:A,2,1),"P")</f>
        <v>P</v>
      </c>
      <c r="AM24730" s="4" t="s">
        <v>375</v>
      </c>
      <c r="AN24730" s="4" t="s">
        <v>375</v>
      </c>
      <c r="AO24730" s="4" t="s">
        <v>375</v>
      </c>
      <c r="AP24730" s="4" t="s">
        <v>376</v>
      </c>
      <c r="AR24730" s="4" t="s">
        <v>377</v>
      </c>
    </row>
    <row r="24731" spans="1:44" ht="30">
      <c r="A24731" s="4" t="s">
        <v>24364</v>
      </c>
      <c r="B24731" s="4">
        <v>99529</v>
      </c>
      <c r="D24731" s="5" t="s">
        <v>32694</v>
      </c>
      <c r="E24731" s="6" t="str">
        <f>HYPERLINK("https://inpn.mnhn.fr/espece/cd_nom/99529","Galium saxatile L., 1753")</f>
        <v>Galium saxatile L., 1753</v>
      </c>
      <c r="F24731" s="5" t="s">
        <v>32695</v>
      </c>
      <c r="Q24731" s="7" t="str">
        <f>HYPERLINK("#Liste_rouge!A"&amp;_xlfn.XMATCH("LC",Liste_rouge!A:A,2,1),"LC")</f>
        <v>LC</v>
      </c>
      <c r="T24731" s="7" t="str">
        <f>HYPERLINK("#Liste_rouge!A"&amp;_xlfn.XMATCH("LC",Liste_rouge!A:A,2,1),"LC")</f>
        <v>LC</v>
      </c>
      <c r="V24731" s="7" t="str">
        <f>HYPERLINK("#Liste_rouge!A"&amp;_xlfn.XMATCH("LC",Liste_rouge!A:A,2,1),"LC")</f>
        <v>LC</v>
      </c>
      <c r="AB24731" s="4" t="s">
        <v>24495</v>
      </c>
      <c r="AH24731" s="4" t="str">
        <f>HYPERLINK("#Statut_biogéographique!A"&amp;_xlfn.XMATCH("P",Statut_biogéographique!A:A,2,1),"P")</f>
        <v>P</v>
      </c>
      <c r="AM24731" s="4" t="s">
        <v>375</v>
      </c>
      <c r="AN24731" s="4" t="s">
        <v>375</v>
      </c>
      <c r="AO24731" s="4" t="s">
        <v>375</v>
      </c>
      <c r="AP24731" s="4" t="s">
        <v>376</v>
      </c>
      <c r="AR24731" s="4" t="s">
        <v>377</v>
      </c>
    </row>
    <row r="24732" spans="1:44" ht="105">
      <c r="A24732" s="4" t="s">
        <v>24364</v>
      </c>
      <c r="B24732" s="4">
        <v>99549</v>
      </c>
      <c r="D24732" s="5" t="s">
        <v>32696</v>
      </c>
      <c r="E24732" s="6" t="str">
        <f>HYPERLINK("https://inpn.mnhn.fr/espece/cd_nom/99549","Galium spurium L., 1753")</f>
        <v>Galium spurium L., 1753</v>
      </c>
      <c r="F24732" s="5" t="s">
        <v>32697</v>
      </c>
      <c r="Q24732" s="7" t="str">
        <f>HYPERLINK("#Liste_rouge!A"&amp;_xlfn.XMATCH("LC",Liste_rouge!A:A,2,1),"LC")</f>
        <v>LC</v>
      </c>
      <c r="T24732" s="7" t="str">
        <f>HYPERLINK("#Liste_rouge!A"&amp;_xlfn.XMATCH("VU",Liste_rouge!A:A,2,1),"VU (cd_nom 134859) - NE (cd_nom 613362) - EN (cd_nom 134858)")</f>
        <v>VU (cd_nom 134859) - NE (cd_nom 613362) - EN (cd_nom 134858)</v>
      </c>
      <c r="U24732" s="4" t="str">
        <f>HYPERLINK("#Critères_liste_rouge!A$1","D2 (cd_nom 134859)")</f>
        <v>D2 (cd_nom 134859)</v>
      </c>
      <c r="V24732" s="7" t="str">
        <f>HYPERLINK("#Liste_rouge!A"&amp;_xlfn.XMATCH("DD",Liste_rouge!A:A,2,1),"DD")</f>
        <v>DD</v>
      </c>
      <c r="X24732" s="5" t="s">
        <v>374</v>
      </c>
      <c r="AB24732" s="4" t="s">
        <v>93</v>
      </c>
      <c r="AH24732" s="4" t="str">
        <f>HYPERLINK("#Statut_biogéographique!A"&amp;_xlfn.XMATCH("P",Statut_biogéographique!A:A,2,1),"P")</f>
        <v>P</v>
      </c>
      <c r="AI24732" s="8" t="s">
        <v>32698</v>
      </c>
      <c r="AJ24732" s="4" t="s">
        <v>12248</v>
      </c>
      <c r="AM24732" s="4" t="s">
        <v>375</v>
      </c>
      <c r="AN24732" s="4" t="s">
        <v>375</v>
      </c>
      <c r="AO24732" s="4" t="s">
        <v>375</v>
      </c>
      <c r="AP24732" s="4" t="s">
        <v>376</v>
      </c>
      <c r="AR24732" s="4" t="s">
        <v>377</v>
      </c>
    </row>
    <row r="24733" spans="1:44">
      <c r="A24733" s="4" t="s">
        <v>24364</v>
      </c>
      <c r="B24733" s="4">
        <v>99552</v>
      </c>
      <c r="D24733" s="5" t="s">
        <v>32699</v>
      </c>
      <c r="E24733" s="6" t="str">
        <f>HYPERLINK("https://inpn.mnhn.fr/espece/cd_nom/99552","Galium sylvaticum L., 1762")</f>
        <v>Galium sylvaticum L., 1762</v>
      </c>
      <c r="F24733" s="5" t="s">
        <v>32700</v>
      </c>
      <c r="Q24733" s="7" t="str">
        <f>HYPERLINK("#Liste_rouge!A"&amp;_xlfn.XMATCH("LC",Liste_rouge!A:A,2,1),"LC")</f>
        <v>LC</v>
      </c>
      <c r="T24733" s="7" t="str">
        <f>HYPERLINK("#Liste_rouge!A"&amp;_xlfn.XMATCH("EN",Liste_rouge!A:A,2,1),"EN")</f>
        <v>EN</v>
      </c>
      <c r="U24733" s="4" t="str">
        <f>HYPERLINK("#Critères_liste_rouge!A$1","B2ab(ii,iii,iv) C2a(i)")</f>
        <v>B2ab(ii,iii,iv) C2a(i)</v>
      </c>
      <c r="V24733" s="7" t="str">
        <f>HYPERLINK("#Liste_rouge!A"&amp;_xlfn.XMATCH("LC",Liste_rouge!A:A,2,1),"LC")</f>
        <v>LC</v>
      </c>
      <c r="AB24733" s="4" t="s">
        <v>24486</v>
      </c>
      <c r="AH24733" s="4" t="str">
        <f>HYPERLINK("#Statut_biogéographique!A"&amp;_xlfn.XMATCH("P",Statut_biogéographique!A:A,2,1),"P")</f>
        <v>P</v>
      </c>
      <c r="AM24733" s="4" t="s">
        <v>375</v>
      </c>
      <c r="AN24733" s="4" t="s">
        <v>375</v>
      </c>
      <c r="AO24733" s="4" t="s">
        <v>375</v>
      </c>
      <c r="AP24733" s="4" t="s">
        <v>376</v>
      </c>
      <c r="AR24733" s="4" t="s">
        <v>377</v>
      </c>
    </row>
    <row r="24734" spans="1:44" ht="45">
      <c r="A24734" s="4" t="s">
        <v>24364</v>
      </c>
      <c r="B24734" s="4">
        <v>99561</v>
      </c>
      <c r="D24734" s="5" t="s">
        <v>32701</v>
      </c>
      <c r="E24734" s="6" t="str">
        <f>HYPERLINK("https://inpn.mnhn.fr/espece/cd_nom/99561","Galium timeroyi Jord., 1846")</f>
        <v>Galium timeroyi Jord., 1846</v>
      </c>
      <c r="F24734" s="5" t="s">
        <v>32702</v>
      </c>
      <c r="Q24734" s="7" t="str">
        <f>HYPERLINK("#Liste_rouge!A"&amp;_xlfn.XMATCH("LC",Liste_rouge!A:A,2,1),"LC")</f>
        <v>LC</v>
      </c>
      <c r="AH24734" s="4" t="str">
        <f>HYPERLINK("#Statut_biogéographique!A"&amp;_xlfn.XMATCH("P",Statut_biogéographique!A:A,2,1),"P")</f>
        <v>P</v>
      </c>
      <c r="AM24734" s="4" t="s">
        <v>375</v>
      </c>
      <c r="AN24734" s="4" t="s">
        <v>375</v>
      </c>
      <c r="AO24734" s="4" t="s">
        <v>375</v>
      </c>
      <c r="AP24734" s="4" t="s">
        <v>376</v>
      </c>
      <c r="AR24734" s="4" t="s">
        <v>377</v>
      </c>
    </row>
    <row r="24735" spans="1:44">
      <c r="A24735" s="4" t="s">
        <v>24364</v>
      </c>
      <c r="B24735" s="4">
        <v>99566</v>
      </c>
      <c r="D24735" s="5" t="s">
        <v>32703</v>
      </c>
      <c r="E24735" s="6" t="str">
        <f>HYPERLINK("https://inpn.mnhn.fr/espece/cd_nom/99566","Galium tricornutum Dandy, 1957")</f>
        <v>Galium tricornutum Dandy, 1957</v>
      </c>
      <c r="F24735" s="5" t="s">
        <v>32704</v>
      </c>
      <c r="Q24735" s="7" t="str">
        <f>HYPERLINK("#Liste_rouge!A"&amp;_xlfn.XMATCH("LC",Liste_rouge!A:A,2,1),"LC")</f>
        <v>LC</v>
      </c>
      <c r="T24735" s="7" t="str">
        <f>HYPERLINK("#Liste_rouge!A"&amp;_xlfn.XMATCH("EN",Liste_rouge!A:A,2,1),"EN")</f>
        <v>EN</v>
      </c>
      <c r="U24735" s="4" t="str">
        <f>HYPERLINK("#Critères_liste_rouge!A$1","B2ac(iii,iv)")</f>
        <v>B2ac(iii,iv)</v>
      </c>
      <c r="V24735" s="7" t="str">
        <f>HYPERLINK("#Liste_rouge!A"&amp;_xlfn.XMATCH("EN",Liste_rouge!A:A,2,1),"EN")</f>
        <v>EN</v>
      </c>
      <c r="W24735" s="4" t="str">
        <f>HYPERLINK("#Critères_liste_rouge!A$1","D")</f>
        <v>D</v>
      </c>
      <c r="X24735" s="5" t="s">
        <v>374</v>
      </c>
      <c r="AB24735" s="4" t="s">
        <v>93</v>
      </c>
      <c r="AH24735" s="4" t="str">
        <f>HYPERLINK("#Statut_biogéographique!A"&amp;_xlfn.XMATCH("P",Statut_biogéographique!A:A,2,1),"P")</f>
        <v>P</v>
      </c>
      <c r="AI24735" s="8" t="s">
        <v>32705</v>
      </c>
      <c r="AJ24735" s="4" t="s">
        <v>12248</v>
      </c>
      <c r="AM24735" s="4" t="s">
        <v>375</v>
      </c>
      <c r="AN24735" s="4" t="s">
        <v>375</v>
      </c>
      <c r="AO24735" s="4" t="s">
        <v>375</v>
      </c>
      <c r="AP24735" s="4" t="s">
        <v>376</v>
      </c>
      <c r="AR24735" s="4" t="s">
        <v>377</v>
      </c>
    </row>
    <row r="24736" spans="1:44" ht="30">
      <c r="A24736" s="4" t="s">
        <v>24364</v>
      </c>
      <c r="B24736" s="4">
        <v>99570</v>
      </c>
      <c r="D24736" s="5" t="s">
        <v>32706</v>
      </c>
      <c r="E24736" s="6" t="str">
        <f>HYPERLINK("https://inpn.mnhn.fr/espece/cd_nom/99570","Galium uliginosum L., 1753")</f>
        <v>Galium uliginosum L., 1753</v>
      </c>
      <c r="F24736" s="5" t="s">
        <v>32707</v>
      </c>
      <c r="O24736" s="7" t="str">
        <f>HYPERLINK("#Liste_rouge!A"&amp;_xlfn.XMATCH("LC",Liste_rouge!A:A,2,1),"LC")</f>
        <v>LC</v>
      </c>
      <c r="Q24736" s="7" t="str">
        <f>HYPERLINK("#Liste_rouge!A"&amp;_xlfn.XMATCH("LC",Liste_rouge!A:A,2,1),"LC")</f>
        <v>LC</v>
      </c>
      <c r="T24736" s="7" t="str">
        <f>HYPERLINK("#Liste_rouge!A"&amp;_xlfn.XMATCH("LC",Liste_rouge!A:A,2,1),"LC")</f>
        <v>LC</v>
      </c>
      <c r="V24736" s="7" t="str">
        <f>HYPERLINK("#Liste_rouge!A"&amp;_xlfn.XMATCH("LC",Liste_rouge!A:A,2,1),"LC")</f>
        <v>LC</v>
      </c>
      <c r="AH24736" s="4" t="str">
        <f>HYPERLINK("#Statut_biogéographique!A"&amp;_xlfn.XMATCH("P",Statut_biogéographique!A:A,2,1),"P")</f>
        <v>P</v>
      </c>
      <c r="AM24736" s="4" t="s">
        <v>375</v>
      </c>
      <c r="AN24736" s="4" t="s">
        <v>375</v>
      </c>
      <c r="AO24736" s="4" t="s">
        <v>375</v>
      </c>
      <c r="AP24736" s="4" t="s">
        <v>376</v>
      </c>
      <c r="AR24736" s="4" t="s">
        <v>377</v>
      </c>
    </row>
    <row r="24737" spans="1:44" ht="45">
      <c r="A24737" s="4" t="s">
        <v>24364</v>
      </c>
      <c r="B24737" s="4">
        <v>99580</v>
      </c>
      <c r="D24737" s="5" t="s">
        <v>32708</v>
      </c>
      <c r="E24737" s="6" t="str">
        <f>HYPERLINK("https://inpn.mnhn.fr/espece/cd_nom/99580","Galium verrucosum Huds., 1767")</f>
        <v>Galium verrucosum Huds., 1767</v>
      </c>
      <c r="F24737" s="5" t="s">
        <v>32709</v>
      </c>
      <c r="Q24737" s="7" t="str">
        <f>HYPERLINK("#Liste_rouge!A"&amp;_xlfn.XMATCH("LC",Liste_rouge!A:A,2,1),"LC")</f>
        <v>LC</v>
      </c>
      <c r="T24737" s="7" t="str">
        <f>HYPERLINK("#Liste_rouge!A"&amp;_xlfn.XMATCH("NA",Liste_rouge!A:A,2,1),"NA")</f>
        <v>NA</v>
      </c>
      <c r="AH24737" s="4" t="str">
        <f>HYPERLINK("#Statut_biogéographique!A"&amp;_xlfn.XMATCH("P",Statut_biogéographique!A:A,2,1),"P")</f>
        <v>P</v>
      </c>
      <c r="AP24737" s="4" t="s">
        <v>376</v>
      </c>
      <c r="AR24737" s="4" t="s">
        <v>377</v>
      </c>
    </row>
    <row r="24738" spans="1:44" ht="45">
      <c r="A24738" s="4" t="s">
        <v>24364</v>
      </c>
      <c r="B24738" s="4">
        <v>99582</v>
      </c>
      <c r="D24738" s="5" t="s">
        <v>32710</v>
      </c>
      <c r="E24738" s="6" t="str">
        <f>HYPERLINK("https://inpn.mnhn.fr/espece/cd_nom/99582","Galium verum L., 1753")</f>
        <v>Galium verum L., 1753</v>
      </c>
      <c r="F24738" s="5" t="s">
        <v>28538</v>
      </c>
      <c r="P24738" s="7" t="str">
        <f>HYPERLINK("#Liste_rouge!A"&amp;_xlfn.XMATCH("LC",Liste_rouge!A:A,2,1),"LC")</f>
        <v>LC</v>
      </c>
      <c r="Q24738" s="7" t="str">
        <f>HYPERLINK("#Liste_rouge!A"&amp;_xlfn.XMATCH("LC",Liste_rouge!A:A,2,1),"LC")</f>
        <v>LC</v>
      </c>
      <c r="T24738" s="7" t="str">
        <f>HYPERLINK("#Liste_rouge!A"&amp;_xlfn.XMATCH("LC",Liste_rouge!A:A,2,1),"LC")</f>
        <v>LC</v>
      </c>
      <c r="V24738" s="7" t="str">
        <f>HYPERLINK("#Liste_rouge!A"&amp;_xlfn.XMATCH("LC",Liste_rouge!A:A,2,1),"LC")</f>
        <v>LC</v>
      </c>
      <c r="AH24738" s="4" t="str">
        <f>HYPERLINK("#Statut_biogéographique!A"&amp;_xlfn.XMATCH("P",Statut_biogéographique!A:A,2,1),"P")</f>
        <v>P</v>
      </c>
      <c r="AM24738" s="4" t="s">
        <v>375</v>
      </c>
      <c r="AN24738" s="4" t="s">
        <v>375</v>
      </c>
      <c r="AO24738" s="4" t="s">
        <v>375</v>
      </c>
      <c r="AP24738" s="4" t="s">
        <v>376</v>
      </c>
      <c r="AR24738" s="4" t="s">
        <v>377</v>
      </c>
    </row>
    <row r="24739" spans="1:44" ht="45">
      <c r="A24739" s="4" t="s">
        <v>24364</v>
      </c>
      <c r="B24739" s="4">
        <v>99616</v>
      </c>
      <c r="D24739" s="5" t="s">
        <v>32711</v>
      </c>
      <c r="E24739" s="6" t="str">
        <f>HYPERLINK("https://inpn.mnhn.fr/espece/cd_nom/99616","Galium x pomeranicum Retz., 1795")</f>
        <v>Galium x pomeranicum Retz., 1795</v>
      </c>
      <c r="F24739" s="5" t="s">
        <v>32712</v>
      </c>
      <c r="T24739" s="7" t="str">
        <f>HYPERLINK("#Liste_rouge!A"&amp;_xlfn.XMATCH("DD",Liste_rouge!A:A,2,1),"DD")</f>
        <v>DD</v>
      </c>
      <c r="AH24739" s="4" t="str">
        <f>HYPERLINK("#Statut_biogéographique!A"&amp;_xlfn.XMATCH("P",Statut_biogéographique!A:A,2,1),"P")</f>
        <v>P</v>
      </c>
      <c r="AP24739" s="4" t="s">
        <v>376</v>
      </c>
      <c r="AR24739" s="4" t="s">
        <v>377</v>
      </c>
    </row>
    <row r="24740" spans="1:44" ht="30">
      <c r="A24740" s="4" t="s">
        <v>24364</v>
      </c>
      <c r="B24740" s="4">
        <v>996279</v>
      </c>
      <c r="D24740" s="5" t="s">
        <v>32713</v>
      </c>
      <c r="E24740" s="6" t="str">
        <f>HYPERLINK("https://inpn.mnhn.fr/espece/cd_nom/996279","Lewinskya fastigiata (Bruch ex Brid.) Vigalondo, F.Lara &amp; Garilleti, 2019")</f>
        <v>Lewinskya fastigiata (Bruch ex Brid.) Vigalondo, F.Lara &amp; Garilleti, 2019</v>
      </c>
      <c r="V24740" s="7" t="str">
        <f>HYPERLINK("#Liste_rouge!A"&amp;_xlfn.XMATCH("NE",Liste_rouge!A:A,2,1),"NE")</f>
        <v>NE</v>
      </c>
      <c r="AH24740" s="4" t="str">
        <f>HYPERLINK("#Statut_biogéographique!A"&amp;_xlfn.XMATCH("P",Statut_biogéographique!A:A,2,1),"P")</f>
        <v>P</v>
      </c>
      <c r="AP24740" s="4" t="s">
        <v>376</v>
      </c>
      <c r="AR24740" s="4" t="s">
        <v>377</v>
      </c>
    </row>
    <row r="24741" spans="1:44" ht="60">
      <c r="A24741" s="4" t="s">
        <v>24364</v>
      </c>
      <c r="B24741" s="4">
        <v>99668</v>
      </c>
      <c r="D24741" s="5" t="s">
        <v>32714</v>
      </c>
      <c r="E24741" s="6" t="str">
        <f>HYPERLINK("https://inpn.mnhn.fr/espece/cd_nom/99668","Gastridium ventricosum (Gouan) Schinz &amp; Thell., 1913")</f>
        <v>Gastridium ventricosum (Gouan) Schinz &amp; Thell., 1913</v>
      </c>
      <c r="F24741" s="5" t="s">
        <v>32715</v>
      </c>
      <c r="Q24741" s="7" t="str">
        <f>HYPERLINK("#Liste_rouge!A"&amp;_xlfn.XMATCH("LC",Liste_rouge!A:A,2,1),"LC")</f>
        <v>LC</v>
      </c>
      <c r="T24741" s="7" t="str">
        <f>HYPERLINK("#Liste_rouge!A"&amp;_xlfn.XMATCH("CR",Liste_rouge!A:A,2,1),"CR")</f>
        <v>CR</v>
      </c>
      <c r="U24741" s="4" t="str">
        <f>HYPERLINK("#Critères_liste_rouge!A$1","D2")</f>
        <v>D2</v>
      </c>
      <c r="X24741" s="5" t="s">
        <v>374</v>
      </c>
      <c r="AB24741" s="4" t="s">
        <v>93</v>
      </c>
      <c r="AH24741" s="4" t="str">
        <f>HYPERLINK("#Statut_biogéographique!A"&amp;_xlfn.XMATCH("P",Statut_biogéographique!A:A,2,1),"P")</f>
        <v>P</v>
      </c>
      <c r="AM24741" s="4" t="s">
        <v>375</v>
      </c>
      <c r="AN24741" s="4" t="s">
        <v>375</v>
      </c>
      <c r="AO24741" s="4" t="s">
        <v>375</v>
      </c>
      <c r="AP24741" s="4" t="s">
        <v>376</v>
      </c>
      <c r="AR24741" s="4" t="s">
        <v>377</v>
      </c>
    </row>
    <row r="24742" spans="1:44" ht="75">
      <c r="A24742" s="4" t="s">
        <v>24364</v>
      </c>
      <c r="B24742" s="4">
        <v>99683</v>
      </c>
      <c r="D24742" s="5" t="s">
        <v>32716</v>
      </c>
      <c r="E24742" s="6" t="str">
        <f>HYPERLINK("https://inpn.mnhn.fr/espece/cd_nom/99683","Gaudinia fragilis (L.) P.Beauv., 1812")</f>
        <v>Gaudinia fragilis (L.) P.Beauv., 1812</v>
      </c>
      <c r="F24742" s="5" t="s">
        <v>32717</v>
      </c>
      <c r="Q24742" s="7" t="str">
        <f>HYPERLINK("#Liste_rouge!A"&amp;_xlfn.XMATCH("LC",Liste_rouge!A:A,2,1),"LC")</f>
        <v>LC</v>
      </c>
      <c r="T24742" s="7" t="str">
        <f>HYPERLINK("#Liste_rouge!A"&amp;_xlfn.XMATCH("LC",Liste_rouge!A:A,2,1),"LC")</f>
        <v>LC</v>
      </c>
      <c r="V24742" s="7" t="str">
        <f>HYPERLINK("#Liste_rouge!A"&amp;_xlfn.XMATCH("NT",Liste_rouge!A:A,2,1),"NT")</f>
        <v>NT</v>
      </c>
      <c r="W24742" s="4" t="str">
        <f>HYPERLINK("#Critères_liste_rouge!A$1","pr. A3c B2b(iii)")</f>
        <v>pr. A3c B2b(iii)</v>
      </c>
      <c r="AH24742" s="4" t="str">
        <f>HYPERLINK("#Statut_biogéographique!A"&amp;_xlfn.XMATCH("P",Statut_biogéographique!A:A,2,1),"P")</f>
        <v>P</v>
      </c>
      <c r="AM24742" s="4" t="s">
        <v>375</v>
      </c>
      <c r="AN24742" s="4" t="s">
        <v>375</v>
      </c>
      <c r="AO24742" s="4" t="s">
        <v>375</v>
      </c>
      <c r="AP24742" s="4" t="s">
        <v>376</v>
      </c>
      <c r="AR24742" s="4" t="s">
        <v>377</v>
      </c>
    </row>
    <row r="24743" spans="1:44" ht="45">
      <c r="A24743" s="4" t="s">
        <v>24364</v>
      </c>
      <c r="B24743" s="4">
        <v>997006</v>
      </c>
      <c r="D24743" s="5" t="s">
        <v>32718</v>
      </c>
      <c r="E24743" s="6" t="str">
        <f>HYPERLINK("https://inpn.mnhn.fr/espece/cd_nom/997006","Hesperocodon hederaceus (L.) Eddie &amp; Cupido, 2014")</f>
        <v>Hesperocodon hederaceus (L.) Eddie &amp; Cupido, 2014</v>
      </c>
      <c r="F24743" s="5" t="s">
        <v>32719</v>
      </c>
      <c r="M24743" s="4" t="str">
        <f>HYPERLINK("#Réglementation!A"&amp;_xlfn.XMATCH("RV26",Réglementation!A:A,2,1),"RV26")</f>
        <v>RV26</v>
      </c>
      <c r="Q24743" s="7" t="str">
        <f>HYPERLINK("#Liste_rouge!A"&amp;_xlfn.XMATCH("LC",Liste_rouge!A:A,2,1),"LC")</f>
        <v>LC</v>
      </c>
      <c r="T24743" s="7" t="str">
        <f>HYPERLINK("#Liste_rouge!A"&amp;_xlfn.XMATCH("NT",Liste_rouge!A:A,2,1),"NT")</f>
        <v>NT</v>
      </c>
      <c r="V24743" s="7" t="str">
        <f>HYPERLINK("#Liste_rouge!A"&amp;_xlfn.XMATCH("EN",Liste_rouge!A:A,2,1),"EN")</f>
        <v>EN</v>
      </c>
      <c r="W24743" s="4" t="str">
        <f>HYPERLINK("#Critères_liste_rouge!A$1","B2ab(iii)")</f>
        <v>B2ab(iii)</v>
      </c>
      <c r="AB24743" s="4" t="s">
        <v>24410</v>
      </c>
      <c r="AH24743" s="4" t="str">
        <f>HYPERLINK("#Statut_biogéographique!A"&amp;_xlfn.XMATCH("P",Statut_biogéographique!A:A,2,1),"P")</f>
        <v>P</v>
      </c>
      <c r="AM24743" s="4" t="s">
        <v>375</v>
      </c>
      <c r="AN24743" s="4" t="s">
        <v>375</v>
      </c>
      <c r="AO24743" s="4" t="s">
        <v>375</v>
      </c>
      <c r="AP24743" s="4" t="s">
        <v>376</v>
      </c>
      <c r="AR24743" s="4" t="s">
        <v>377</v>
      </c>
    </row>
    <row r="24744" spans="1:44" ht="30">
      <c r="A24744" s="4" t="s">
        <v>24364</v>
      </c>
      <c r="B24744" s="4">
        <v>99721</v>
      </c>
      <c r="D24744" s="5" t="s">
        <v>32720</v>
      </c>
      <c r="E24744" s="6" t="str">
        <f>HYPERLINK("https://inpn.mnhn.fr/espece/cd_nom/99721","Genista anglica L., 1753")</f>
        <v>Genista anglica L., 1753</v>
      </c>
      <c r="F24744" s="5" t="s">
        <v>32721</v>
      </c>
      <c r="Q24744" s="7" t="str">
        <f>HYPERLINK("#Liste_rouge!A"&amp;_xlfn.XMATCH("LC",Liste_rouge!A:A,2,1),"LC")</f>
        <v>LC</v>
      </c>
      <c r="T24744" s="7" t="str">
        <f>HYPERLINK("#Liste_rouge!A"&amp;_xlfn.XMATCH("NT",Liste_rouge!A:A,2,1),"NT")</f>
        <v>NT</v>
      </c>
      <c r="U24744" s="4" t="str">
        <f>HYPERLINK("#Critères_liste_rouge!A$1","pr. B2a")</f>
        <v>pr. B2a</v>
      </c>
      <c r="AB24744" s="4" t="s">
        <v>26735</v>
      </c>
      <c r="AH24744" s="4" t="str">
        <f>HYPERLINK("#Statut_biogéographique!A"&amp;_xlfn.XMATCH("P",Statut_biogéographique!A:A,2,1),"P")</f>
        <v>P</v>
      </c>
      <c r="AM24744" s="4" t="s">
        <v>375</v>
      </c>
      <c r="AN24744" s="4" t="s">
        <v>375</v>
      </c>
      <c r="AO24744" s="4" t="s">
        <v>375</v>
      </c>
      <c r="AP24744" s="4" t="s">
        <v>376</v>
      </c>
      <c r="AR24744" s="4" t="s">
        <v>377</v>
      </c>
    </row>
    <row r="24745" spans="1:44" ht="30">
      <c r="A24745" s="4" t="s">
        <v>24364</v>
      </c>
      <c r="B24745" s="4">
        <v>99754</v>
      </c>
      <c r="D24745" s="5" t="s">
        <v>32722</v>
      </c>
      <c r="E24745" s="6" t="str">
        <f>HYPERLINK("https://inpn.mnhn.fr/espece/cd_nom/99754","Genista germanica L., 1753")</f>
        <v>Genista germanica L., 1753</v>
      </c>
      <c r="F24745" s="5" t="s">
        <v>32723</v>
      </c>
      <c r="O24745" s="7" t="str">
        <f>HYPERLINK("#Liste_rouge!A"&amp;_xlfn.XMATCH("LC",Liste_rouge!A:A,2,1),"LC")</f>
        <v>LC</v>
      </c>
      <c r="P24745" s="7" t="str">
        <f>HYPERLINK("#Liste_rouge!A"&amp;_xlfn.XMATCH("LC",Liste_rouge!A:A,2,1),"LC")</f>
        <v>LC</v>
      </c>
      <c r="Q24745" s="7" t="str">
        <f>HYPERLINK("#Liste_rouge!A"&amp;_xlfn.XMATCH("LC",Liste_rouge!A:A,2,1),"LC")</f>
        <v>LC</v>
      </c>
      <c r="T24745" s="7" t="str">
        <f>HYPERLINK("#Liste_rouge!A"&amp;_xlfn.XMATCH("EN",Liste_rouge!A:A,2,1),"EN")</f>
        <v>EN</v>
      </c>
      <c r="U24745" s="4" t="str">
        <f>HYPERLINK("#Critères_liste_rouge!A$1","C2a(i)")</f>
        <v>C2a(i)</v>
      </c>
      <c r="V24745" s="7" t="str">
        <f>HYPERLINK("#Liste_rouge!A"&amp;_xlfn.XMATCH("LC",Liste_rouge!A:A,2,1),"LC")</f>
        <v>LC</v>
      </c>
      <c r="AB24745" s="4" t="s">
        <v>24984</v>
      </c>
      <c r="AH24745" s="4" t="str">
        <f>HYPERLINK("#Statut_biogéographique!A"&amp;_xlfn.XMATCH("P",Statut_biogéographique!A:A,2,1),"P")</f>
        <v>P</v>
      </c>
      <c r="AM24745" s="4" t="s">
        <v>375</v>
      </c>
      <c r="AN24745" s="4" t="s">
        <v>375</v>
      </c>
      <c r="AO24745" s="4" t="s">
        <v>375</v>
      </c>
      <c r="AP24745" s="4" t="s">
        <v>376</v>
      </c>
      <c r="AR24745" s="4" t="s">
        <v>377</v>
      </c>
    </row>
    <row r="24746" spans="1:44">
      <c r="A24746" s="4" t="s">
        <v>24364</v>
      </c>
      <c r="B24746" s="4">
        <v>99761</v>
      </c>
      <c r="D24746" s="5" t="s">
        <v>32724</v>
      </c>
      <c r="E24746" s="6" t="str">
        <f>HYPERLINK("https://inpn.mnhn.fr/espece/cd_nom/99761","Genista hispanica L., 1753")</f>
        <v>Genista hispanica L., 1753</v>
      </c>
      <c r="F24746" s="5" t="s">
        <v>32725</v>
      </c>
      <c r="O24746" s="7" t="str">
        <f>HYPERLINK("#Liste_rouge!A"&amp;_xlfn.XMATCH("LC",Liste_rouge!A:A,2,1),"LC")</f>
        <v>LC</v>
      </c>
      <c r="P24746" s="7" t="str">
        <f>HYPERLINK("#Liste_rouge!A"&amp;_xlfn.XMATCH("LC",Liste_rouge!A:A,2,1),"LC")</f>
        <v>LC</v>
      </c>
      <c r="Q24746" s="7" t="str">
        <f>HYPERLINK("#Liste_rouge!A"&amp;_xlfn.XMATCH("LC",Liste_rouge!A:A,2,1),"LC")</f>
        <v>LC</v>
      </c>
      <c r="T24746" s="7" t="str">
        <f>HYPERLINK("#Liste_rouge!A"&amp;_xlfn.XMATCH("NA",Liste_rouge!A:A,2,1),"NA")</f>
        <v>NA</v>
      </c>
      <c r="AH24746" s="4" t="str">
        <f>HYPERLINK("#Statut_biogéographique!A"&amp;_xlfn.XMATCH("P",Statut_biogéographique!A:A,2,1),"P")</f>
        <v>P</v>
      </c>
      <c r="AP24746" s="4" t="s">
        <v>376</v>
      </c>
      <c r="AR24746" s="4" t="s">
        <v>377</v>
      </c>
    </row>
    <row r="24747" spans="1:44">
      <c r="A24747" s="4" t="s">
        <v>24364</v>
      </c>
      <c r="B24747" s="4">
        <v>99798</v>
      </c>
      <c r="D24747" s="5" t="s">
        <v>32726</v>
      </c>
      <c r="E24747" s="6" t="str">
        <f>HYPERLINK("https://inpn.mnhn.fr/espece/cd_nom/99798","Genista pilosa L., 1753")</f>
        <v>Genista pilosa L., 1753</v>
      </c>
      <c r="F24747" s="5" t="s">
        <v>28542</v>
      </c>
      <c r="Q24747" s="7" t="str">
        <f>HYPERLINK("#Liste_rouge!A"&amp;_xlfn.XMATCH("LC",Liste_rouge!A:A,2,1),"LC")</f>
        <v>LC</v>
      </c>
      <c r="T24747" s="7" t="str">
        <f>HYPERLINK("#Liste_rouge!A"&amp;_xlfn.XMATCH("LC",Liste_rouge!A:A,2,1),"LC")</f>
        <v>LC</v>
      </c>
      <c r="V24747" s="7" t="str">
        <f>HYPERLINK("#Liste_rouge!A"&amp;_xlfn.XMATCH("LC",Liste_rouge!A:A,2,1),"LC")</f>
        <v>LC</v>
      </c>
      <c r="AH24747" s="4" t="str">
        <f>HYPERLINK("#Statut_biogéographique!A"&amp;_xlfn.XMATCH("P",Statut_biogéographique!A:A,2,1),"P")</f>
        <v>P</v>
      </c>
      <c r="AM24747" s="4" t="s">
        <v>375</v>
      </c>
      <c r="AN24747" s="4" t="s">
        <v>375</v>
      </c>
      <c r="AO24747" s="4" t="s">
        <v>375</v>
      </c>
      <c r="AP24747" s="4" t="s">
        <v>376</v>
      </c>
      <c r="AR24747" s="4" t="s">
        <v>377</v>
      </c>
    </row>
    <row r="24748" spans="1:44">
      <c r="A24748" s="4" t="s">
        <v>24364</v>
      </c>
      <c r="B24748" s="4">
        <v>998062</v>
      </c>
      <c r="D24748" s="5" t="s">
        <v>32727</v>
      </c>
      <c r="E24748" s="6" t="str">
        <f>HYPERLINK("https://inpn.mnhn.fr/espece/cd_nom/998062","Lonicera acuminata Wall., 1824")</f>
        <v>Lonicera acuminata Wall., 1824</v>
      </c>
      <c r="AH24748" s="4" t="str">
        <f>HYPERLINK("#Statut_biogéographique!A"&amp;_xlfn.XMATCH("I",Statut_biogéographique!A:A,2,1),"I")</f>
        <v>I</v>
      </c>
      <c r="AP24748" s="4" t="s">
        <v>376</v>
      </c>
      <c r="AR24748" s="4" t="s">
        <v>377</v>
      </c>
    </row>
    <row r="24749" spans="1:44" ht="45">
      <c r="A24749" s="4" t="s">
        <v>24364</v>
      </c>
      <c r="B24749" s="4">
        <v>99810</v>
      </c>
      <c r="D24749" s="5" t="s">
        <v>32728</v>
      </c>
      <c r="E24749" s="6" t="str">
        <f>HYPERLINK("https://inpn.mnhn.fr/espece/cd_nom/99810","Genista sagittalis L., 1753")</f>
        <v>Genista sagittalis L., 1753</v>
      </c>
      <c r="F24749" s="5" t="s">
        <v>32729</v>
      </c>
      <c r="O24749" s="7" t="str">
        <f>HYPERLINK("#Liste_rouge!A"&amp;_xlfn.XMATCH("LC",Liste_rouge!A:A,2,1),"LC")</f>
        <v>LC</v>
      </c>
      <c r="P24749" s="7" t="str">
        <f>HYPERLINK("#Liste_rouge!A"&amp;_xlfn.XMATCH("LC",Liste_rouge!A:A,2,1),"LC")</f>
        <v>LC</v>
      </c>
      <c r="Q24749" s="7" t="str">
        <f>HYPERLINK("#Liste_rouge!A"&amp;_xlfn.XMATCH("LC",Liste_rouge!A:A,2,1),"LC")</f>
        <v>LC</v>
      </c>
      <c r="T24749" s="7" t="str">
        <f>HYPERLINK("#Liste_rouge!A"&amp;_xlfn.XMATCH("LC",Liste_rouge!A:A,2,1),"LC")</f>
        <v>LC</v>
      </c>
      <c r="V24749" s="7" t="str">
        <f>HYPERLINK("#Liste_rouge!A"&amp;_xlfn.XMATCH("LC",Liste_rouge!A:A,2,1),"LC")</f>
        <v>LC</v>
      </c>
      <c r="AH24749" s="4" t="str">
        <f>HYPERLINK("#Statut_biogéographique!A"&amp;_xlfn.XMATCH("P",Statut_biogéographique!A:A,2,1),"P")</f>
        <v>P</v>
      </c>
      <c r="AM24749" s="4" t="s">
        <v>375</v>
      </c>
      <c r="AN24749" s="4" t="s">
        <v>375</v>
      </c>
      <c r="AO24749" s="4" t="s">
        <v>375</v>
      </c>
      <c r="AP24749" s="4" t="s">
        <v>376</v>
      </c>
      <c r="AR24749" s="4" t="s">
        <v>377</v>
      </c>
    </row>
    <row r="24750" spans="1:44" ht="30">
      <c r="A24750" s="4" t="s">
        <v>24364</v>
      </c>
      <c r="B24750" s="4">
        <v>998125</v>
      </c>
      <c r="D24750" s="5" t="s">
        <v>32730</v>
      </c>
      <c r="E24750" s="6" t="str">
        <f>HYPERLINK("https://inpn.mnhn.fr/espece/cd_nom/998125","Lonicera ligustrina var. yunnanensis Franch., 1896")</f>
        <v>Lonicera ligustrina var. yunnanensis Franch., 1896</v>
      </c>
      <c r="F24750" s="5" t="s">
        <v>32731</v>
      </c>
      <c r="AH24750" s="4" t="str">
        <f>HYPERLINK("#Statut_biogéographique!A"&amp;_xlfn.XMATCH("I",Statut_biogéographique!A:A,2,1),"I")</f>
        <v>I</v>
      </c>
      <c r="AP24750" s="4" t="s">
        <v>376</v>
      </c>
      <c r="AR24750" s="4" t="s">
        <v>377</v>
      </c>
    </row>
    <row r="24751" spans="1:44" ht="45">
      <c r="A24751" s="4" t="s">
        <v>24364</v>
      </c>
      <c r="B24751" s="4">
        <v>99815</v>
      </c>
      <c r="D24751" s="5" t="s">
        <v>32732</v>
      </c>
      <c r="E24751" s="6" t="str">
        <f>HYPERLINK("https://inpn.mnhn.fr/espece/cd_nom/99815","Genista scorpius (L.) DC., 1805")</f>
        <v>Genista scorpius (L.) DC., 1805</v>
      </c>
      <c r="F24751" s="5" t="s">
        <v>32733</v>
      </c>
      <c r="Q24751" s="7" t="str">
        <f>HYPERLINK("#Liste_rouge!A"&amp;_xlfn.XMATCH("LC",Liste_rouge!A:A,2,1),"LC")</f>
        <v>LC</v>
      </c>
      <c r="AH24751" s="4" t="str">
        <f>HYPERLINK("#Statut_biogéographique!A"&amp;_xlfn.XMATCH("P",Statut_biogéographique!A:A,2,1),"P")</f>
        <v>P</v>
      </c>
      <c r="AP24751" s="4" t="s">
        <v>376</v>
      </c>
      <c r="AR24751" s="4" t="s">
        <v>377</v>
      </c>
    </row>
    <row r="24752" spans="1:44" ht="150">
      <c r="A24752" s="4" t="s">
        <v>24364</v>
      </c>
      <c r="B24752" s="4">
        <v>99828</v>
      </c>
      <c r="D24752" s="5" t="s">
        <v>32734</v>
      </c>
      <c r="E24752" s="6" t="str">
        <f>HYPERLINK("https://inpn.mnhn.fr/espece/cd_nom/99828","Genista tinctoria L., 1753")</f>
        <v>Genista tinctoria L., 1753</v>
      </c>
      <c r="F24752" s="5" t="s">
        <v>32735</v>
      </c>
      <c r="Q24752" s="7" t="str">
        <f>HYPERLINK("#Liste_rouge!A"&amp;_xlfn.XMATCH("LC",Liste_rouge!A:A,2,1),"LC")</f>
        <v>LC</v>
      </c>
      <c r="T24752" s="7" t="str">
        <f>HYPERLINK("#Liste_rouge!A"&amp;_xlfn.XMATCH("LC",Liste_rouge!A:A,2,1),"LC")</f>
        <v>LC</v>
      </c>
      <c r="V24752" s="7" t="str">
        <f>HYPERLINK("#Liste_rouge!A"&amp;_xlfn.XMATCH("LC",Liste_rouge!A:A,2,1),"LC")</f>
        <v>LC</v>
      </c>
      <c r="AE24752" s="4" t="str">
        <f>HYPERLINK("#SCAP!A"&amp;_xlfn.XMATCH("2+",SCAP!A:A,2,1),"2+")</f>
        <v>2+</v>
      </c>
      <c r="AH24752" s="4" t="str">
        <f>HYPERLINK("#Statut_biogéographique!A"&amp;_xlfn.XMATCH("P",Statut_biogéographique!A:A,2,1),"P")</f>
        <v>P</v>
      </c>
      <c r="AM24752" s="4" t="s">
        <v>375</v>
      </c>
      <c r="AN24752" s="4" t="s">
        <v>375</v>
      </c>
      <c r="AO24752" s="4" t="s">
        <v>375</v>
      </c>
      <c r="AP24752" s="4" t="s">
        <v>376</v>
      </c>
      <c r="AR24752" s="4" t="s">
        <v>377</v>
      </c>
    </row>
    <row r="24753" spans="1:44" ht="60">
      <c r="A24753" s="4" t="s">
        <v>24364</v>
      </c>
      <c r="B24753" s="4">
        <v>998466</v>
      </c>
      <c r="D24753" s="5" t="s">
        <v>32736</v>
      </c>
      <c r="E24753" s="6" t="str">
        <f>HYPERLINK("https://inpn.mnhn.fr/espece/cd_nom/998466","Valeriana officinalis var. officinalis L., 1753")</f>
        <v>Valeriana officinalis var. officinalis L., 1753</v>
      </c>
      <c r="F24753" s="5" t="s">
        <v>32737</v>
      </c>
      <c r="Q24753" s="7" t="str">
        <f>HYPERLINK("#Liste_rouge!A"&amp;_xlfn.XMATCH("LC",Liste_rouge!A:A,2,1),"LC")</f>
        <v>LC</v>
      </c>
      <c r="T24753" s="7" t="str">
        <f>HYPERLINK("#Liste_rouge!A"&amp;_xlfn.XMATCH("LC",Liste_rouge!A:A,2,1),"LC")</f>
        <v>LC</v>
      </c>
      <c r="AH24753" s="4" t="str">
        <f>HYPERLINK("#Statut_biogéographique!A"&amp;_xlfn.XMATCH("P",Statut_biogéographique!A:A,2,1),"P")</f>
        <v>P</v>
      </c>
      <c r="AP24753" s="4" t="s">
        <v>376</v>
      </c>
      <c r="AR24753" s="4" t="s">
        <v>377</v>
      </c>
    </row>
    <row r="24754" spans="1:44">
      <c r="A24754" s="4" t="s">
        <v>24364</v>
      </c>
      <c r="B24754" s="4">
        <v>998489</v>
      </c>
      <c r="D24754" s="5">
        <v>998489</v>
      </c>
      <c r="E24754" s="6" t="str">
        <f>HYPERLINK("https://inpn.mnhn.fr/espece/cd_nom/998489","Valeriana excelsa subsp. excelsa Poir., 1808")</f>
        <v>Valeriana excelsa subsp. excelsa Poir., 1808</v>
      </c>
      <c r="AH24754" s="4" t="str">
        <f>HYPERLINK("#Statut_biogéographique!A"&amp;_xlfn.XMATCH("P",Statut_biogéographique!A:A,2,1),"P")</f>
        <v>P</v>
      </c>
      <c r="AP24754" s="4" t="s">
        <v>376</v>
      </c>
      <c r="AR24754" s="4" t="s">
        <v>377</v>
      </c>
    </row>
    <row r="24755" spans="1:44" ht="30">
      <c r="A24755" s="4" t="s">
        <v>24364</v>
      </c>
      <c r="B24755" s="4">
        <v>998490</v>
      </c>
      <c r="D24755" s="5" t="s">
        <v>32738</v>
      </c>
      <c r="E24755" s="6" t="str">
        <f>HYPERLINK("https://inpn.mnhn.fr/espece/cd_nom/998490","Valeriana excelsa subsp. sambucifolia (J.C.Mikan ex Pohl) Holub, 1997")</f>
        <v>Valeriana excelsa subsp. sambucifolia (J.C.Mikan ex Pohl) Holub, 1997</v>
      </c>
      <c r="F24755" s="5" t="s">
        <v>32739</v>
      </c>
      <c r="Q24755" s="7" t="str">
        <f>HYPERLINK("#Liste_rouge!A"&amp;_xlfn.XMATCH("LC",Liste_rouge!A:A,2,1),"LC")</f>
        <v>LC</v>
      </c>
      <c r="T24755" s="7" t="str">
        <f>HYPERLINK("#Liste_rouge!A"&amp;_xlfn.XMATCH("VU",Liste_rouge!A:A,2,1),"VU")</f>
        <v>VU</v>
      </c>
      <c r="U24755" s="4" t="str">
        <f>HYPERLINK("#Critères_liste_rouge!A$1","EN (A2ac) - 1")</f>
        <v>EN (A2ac) - 1</v>
      </c>
      <c r="AB24755" s="4" t="s">
        <v>24486</v>
      </c>
      <c r="AH24755" s="4" t="str">
        <f>HYPERLINK("#Statut_biogéographique!A"&amp;_xlfn.XMATCH("Q",Statut_biogéographique!A:A,2,1),"Q")</f>
        <v>Q</v>
      </c>
      <c r="AM24755" s="4" t="s">
        <v>375</v>
      </c>
      <c r="AN24755" s="4" t="s">
        <v>375</v>
      </c>
      <c r="AO24755" s="4" t="s">
        <v>375</v>
      </c>
      <c r="AP24755" s="4" t="s">
        <v>376</v>
      </c>
      <c r="AR24755" s="4" t="s">
        <v>377</v>
      </c>
    </row>
    <row r="24756" spans="1:44" ht="45">
      <c r="A24756" s="4" t="s">
        <v>24364</v>
      </c>
      <c r="B24756" s="4">
        <v>99854</v>
      </c>
      <c r="D24756" s="5" t="s">
        <v>32740</v>
      </c>
      <c r="E24756" s="6" t="str">
        <f>HYPERLINK("https://inpn.mnhn.fr/espece/cd_nom/99854","Gentiana acaulis L., 1753")</f>
        <v>Gentiana acaulis L., 1753</v>
      </c>
      <c r="F24756" s="5" t="s">
        <v>32741</v>
      </c>
      <c r="M24756" s="4" t="str">
        <f>HYPERLINK("#Réglementation!A"&amp;_xlfn.XMATCH("RV43",Réglementation!A:A,2,1),"RV43")</f>
        <v>RV43</v>
      </c>
      <c r="O24756" s="7" t="str">
        <f>HYPERLINK("#Liste_rouge!A"&amp;_xlfn.XMATCH("LC",Liste_rouge!A:A,2,1),"LC")</f>
        <v>LC</v>
      </c>
      <c r="P24756" s="7" t="str">
        <f>HYPERLINK("#Liste_rouge!A"&amp;_xlfn.XMATCH("LC",Liste_rouge!A:A,2,1),"LC")</f>
        <v>LC</v>
      </c>
      <c r="Q24756" s="7" t="str">
        <f>HYPERLINK("#Liste_rouge!A"&amp;_xlfn.XMATCH("LC",Liste_rouge!A:A,2,1),"LC")</f>
        <v>LC</v>
      </c>
      <c r="T24756" s="7" t="str">
        <f>HYPERLINK("#Liste_rouge!A"&amp;_xlfn.XMATCH("NA",Liste_rouge!A:A,2,1),"NA")</f>
        <v>NA</v>
      </c>
      <c r="V24756" s="7" t="str">
        <f>HYPERLINK("#Liste_rouge!A"&amp;_xlfn.XMATCH("VU",Liste_rouge!A:A,2,1),"VU")</f>
        <v>VU</v>
      </c>
      <c r="W24756" s="4" t="str">
        <f>HYPERLINK("#Critères_liste_rouge!A$1","B2ab(ii,iii,iv)")</f>
        <v>B2ab(ii,iii,iv)</v>
      </c>
      <c r="AB24756" s="4" t="s">
        <v>25106</v>
      </c>
      <c r="AH24756" s="4" t="str">
        <f>HYPERLINK("#Statut_biogéographique!A"&amp;_xlfn.XMATCH("P",Statut_biogéographique!A:A,2,1),"P")</f>
        <v>P</v>
      </c>
      <c r="AM24756" s="4" t="s">
        <v>375</v>
      </c>
      <c r="AN24756" s="4" t="s">
        <v>375</v>
      </c>
      <c r="AO24756" s="4" t="s">
        <v>375</v>
      </c>
      <c r="AP24756" s="4" t="s">
        <v>376</v>
      </c>
      <c r="AR24756" s="4" t="s">
        <v>377</v>
      </c>
    </row>
    <row r="24757" spans="1:44" ht="30">
      <c r="A24757" s="4" t="s">
        <v>24364</v>
      </c>
      <c r="B24757" s="4">
        <v>99862</v>
      </c>
      <c r="D24757" s="5" t="s">
        <v>32742</v>
      </c>
      <c r="E24757" s="6" t="str">
        <f>HYPERLINK("https://inpn.mnhn.fr/espece/cd_nom/99862","Gentiana asclepiadea L., 1753")</f>
        <v>Gentiana asclepiadea L., 1753</v>
      </c>
      <c r="F24757" s="5" t="s">
        <v>32743</v>
      </c>
      <c r="M24757" s="4" t="str">
        <f>HYPERLINK("#Réglementation!A"&amp;_xlfn.XMATCH("RV43",Réglementation!A:A,2,1),"RV43")</f>
        <v>RV43</v>
      </c>
      <c r="P24757" s="7" t="str">
        <f>HYPERLINK("#Liste_rouge!A"&amp;_xlfn.XMATCH("LC",Liste_rouge!A:A,2,1),"LC")</f>
        <v>LC</v>
      </c>
      <c r="Q24757" s="7" t="str">
        <f>HYPERLINK("#Liste_rouge!A"&amp;_xlfn.XMATCH("LC",Liste_rouge!A:A,2,1),"LC")</f>
        <v>LC</v>
      </c>
      <c r="V24757" s="7" t="str">
        <f>HYPERLINK("#Liste_rouge!A"&amp;_xlfn.XMATCH("RE",Liste_rouge!A:A,2,1),"RE")</f>
        <v>RE</v>
      </c>
      <c r="X24757" s="5" t="s">
        <v>374</v>
      </c>
      <c r="AB24757" s="4" t="s">
        <v>93</v>
      </c>
      <c r="AD24757" s="4" t="s">
        <v>11319</v>
      </c>
      <c r="AH24757" s="4" t="str">
        <f>HYPERLINK("#Statut_biogéographique!A"&amp;_xlfn.XMATCH("P",Statut_biogéographique!A:A,2,1),"P")</f>
        <v>P</v>
      </c>
      <c r="AM24757" s="4" t="s">
        <v>375</v>
      </c>
      <c r="AN24757" s="4" t="s">
        <v>375</v>
      </c>
      <c r="AO24757" s="4" t="s">
        <v>375</v>
      </c>
      <c r="AP24757" s="4" t="s">
        <v>376</v>
      </c>
      <c r="AR24757" s="4" t="s">
        <v>377</v>
      </c>
    </row>
    <row r="24758" spans="1:44" ht="45">
      <c r="A24758" s="4" t="s">
        <v>24364</v>
      </c>
      <c r="B24758" s="4">
        <v>99878</v>
      </c>
      <c r="D24758" s="5" t="s">
        <v>32744</v>
      </c>
      <c r="E24758" s="6" t="str">
        <f>HYPERLINK("https://inpn.mnhn.fr/espece/cd_nom/99878","Gentiana clusii E.P.Perrier &amp; Songeon, 1853")</f>
        <v>Gentiana clusii E.P.Perrier &amp; Songeon, 1853</v>
      </c>
      <c r="F24758" s="5" t="s">
        <v>32745</v>
      </c>
      <c r="M24758" s="4" t="str">
        <f>HYPERLINK("#Réglementation!A"&amp;_xlfn.XMATCH("RV43",Réglementation!A:A,2,1),"RV43")</f>
        <v>RV43</v>
      </c>
      <c r="Q24758" s="7" t="str">
        <f>HYPERLINK("#Liste_rouge!A"&amp;_xlfn.XMATCH("LC",Liste_rouge!A:A,2,1),"LC")</f>
        <v>LC</v>
      </c>
      <c r="V24758" s="7" t="str">
        <f>HYPERLINK("#Liste_rouge!A"&amp;_xlfn.XMATCH("NT",Liste_rouge!A:A,2,1),"NT")</f>
        <v>NT</v>
      </c>
      <c r="W24758" s="4" t="str">
        <f>HYPERLINK("#Critères_liste_rouge!A$1","pr. B2ab(iii)")</f>
        <v>pr. B2ab(iii)</v>
      </c>
      <c r="X24758" s="5" t="s">
        <v>374</v>
      </c>
      <c r="AB24758" s="4" t="s">
        <v>93</v>
      </c>
      <c r="AH24758" s="4" t="str">
        <f>HYPERLINK("#Statut_biogéographique!A"&amp;_xlfn.XMATCH("P",Statut_biogéographique!A:A,2,1),"P")</f>
        <v>P</v>
      </c>
      <c r="AM24758" s="4" t="s">
        <v>375</v>
      </c>
      <c r="AN24758" s="4" t="s">
        <v>375</v>
      </c>
      <c r="AO24758" s="4" t="s">
        <v>375</v>
      </c>
      <c r="AP24758" s="4" t="s">
        <v>376</v>
      </c>
      <c r="AR24758" s="4" t="s">
        <v>377</v>
      </c>
    </row>
    <row r="24759" spans="1:44" ht="30">
      <c r="A24759" s="4" t="s">
        <v>24364</v>
      </c>
      <c r="B24759" s="4">
        <v>99881</v>
      </c>
      <c r="D24759" s="5" t="s">
        <v>32746</v>
      </c>
      <c r="E24759" s="6" t="str">
        <f>HYPERLINK("https://inpn.mnhn.fr/espece/cd_nom/99881","Gentiana cruciata L., 1753")</f>
        <v>Gentiana cruciata L., 1753</v>
      </c>
      <c r="F24759" s="5" t="s">
        <v>32747</v>
      </c>
      <c r="M24759" s="4" t="str">
        <f>HYPERLINK("#Réglementation!A"&amp;_xlfn.XMATCH("RV26",Réglementation!A:A,2,1),"RV26")</f>
        <v>RV26</v>
      </c>
      <c r="P24759" s="7" t="str">
        <f>HYPERLINK("#Liste_rouge!A"&amp;_xlfn.XMATCH("LC",Liste_rouge!A:A,2,1),"LC")</f>
        <v>LC</v>
      </c>
      <c r="Q24759" s="7" t="str">
        <f>HYPERLINK("#Liste_rouge!A"&amp;_xlfn.XMATCH("NT",Liste_rouge!A:A,2,1),"NT")</f>
        <v>NT</v>
      </c>
      <c r="T24759" s="7" t="str">
        <f>HYPERLINK("#Liste_rouge!A"&amp;_xlfn.XMATCH("EN",Liste_rouge!A:A,2,1),"EN")</f>
        <v>EN</v>
      </c>
      <c r="U24759" s="4" t="str">
        <f>HYPERLINK("#Critères_liste_rouge!A$1","B2ab(ii,iii,iv)")</f>
        <v>B2ab(ii,iii,iv)</v>
      </c>
      <c r="V24759" s="7" t="str">
        <f>HYPERLINK("#Liste_rouge!A"&amp;_xlfn.XMATCH("NT",Liste_rouge!A:A,2,1),"NT")</f>
        <v>NT</v>
      </c>
      <c r="W24759" s="4" t="str">
        <f>HYPERLINK("#Critères_liste_rouge!A$1","pr. B2b(ii,iii)")</f>
        <v>pr. B2b(ii,iii)</v>
      </c>
      <c r="X24759" s="5" t="s">
        <v>374</v>
      </c>
      <c r="AB24759" s="4" t="s">
        <v>93</v>
      </c>
      <c r="AH24759" s="4" t="str">
        <f>HYPERLINK("#Statut_biogéographique!A"&amp;_xlfn.XMATCH("P",Statut_biogéographique!A:A,2,1),"P")</f>
        <v>P</v>
      </c>
      <c r="AM24759" s="4" t="s">
        <v>375</v>
      </c>
      <c r="AN24759" s="4" t="s">
        <v>375</v>
      </c>
      <c r="AO24759" s="4" t="s">
        <v>375</v>
      </c>
      <c r="AP24759" s="4" t="s">
        <v>376</v>
      </c>
      <c r="AR24759" s="4" t="s">
        <v>377</v>
      </c>
    </row>
    <row r="24760" spans="1:44" ht="120">
      <c r="A24760" s="4" t="s">
        <v>24364</v>
      </c>
      <c r="B24760" s="4">
        <v>998925</v>
      </c>
      <c r="D24760" s="5" t="s">
        <v>32748</v>
      </c>
      <c r="E24760" s="6" t="str">
        <f>HYPERLINK("https://inpn.mnhn.fr/espece/cd_nom/998925","Aconitum lycoctonum subsp. vulparia (Rchb.) Ces., 1844")</f>
        <v>Aconitum lycoctonum subsp. vulparia (Rchb.) Ces., 1844</v>
      </c>
      <c r="F24760" s="5" t="s">
        <v>32749</v>
      </c>
      <c r="N24760" s="4" t="str">
        <f>HYPERLINK("#Réglementation!A"&amp;_xlfn.XMATCH("V39P1",Réglementation!A:A,2,1),"V39P1")</f>
        <v>V39P1</v>
      </c>
      <c r="Q24760" s="7" t="str">
        <f>HYPERLINK("#Liste_rouge!A"&amp;_xlfn.XMATCH("LC",Liste_rouge!A:A,2,1),"LC")</f>
        <v>LC</v>
      </c>
      <c r="T24760" s="7" t="str">
        <f>HYPERLINK("#Liste_rouge!A"&amp;_xlfn.XMATCH("DD",Liste_rouge!A:A,2,1),"DD")</f>
        <v>DD</v>
      </c>
      <c r="AH24760" s="4" t="str">
        <f>HYPERLINK("#Statut_biogéographique!A"&amp;_xlfn.XMATCH("P",Statut_biogéographique!A:A,2,1),"P")</f>
        <v>P</v>
      </c>
      <c r="AK24760" s="4" t="str">
        <f>HYPERLINK("#Réglementation!A"&amp;_xlfn.XMATCH("V39P6",Réglementation!A:A,2,1),"V39P6")</f>
        <v>V39P6</v>
      </c>
      <c r="AP24760" s="4" t="s">
        <v>376</v>
      </c>
      <c r="AR24760" s="4" t="s">
        <v>377</v>
      </c>
    </row>
    <row r="24761" spans="1:44" ht="105">
      <c r="A24761" s="4" t="s">
        <v>24364</v>
      </c>
      <c r="B24761" s="4">
        <v>998978</v>
      </c>
      <c r="D24761" s="5" t="s">
        <v>32750</v>
      </c>
      <c r="E24761" s="6" t="str">
        <f>HYPERLINK("https://inpn.mnhn.fr/espece/cd_nom/998978","Knautia collina Heynh., 1840")</f>
        <v>Knautia collina Heynh., 1840</v>
      </c>
      <c r="F24761" s="5" t="s">
        <v>32751</v>
      </c>
      <c r="Q24761" s="7" t="str">
        <f>HYPERLINK("#Liste_rouge!A"&amp;_xlfn.XMATCH("LC",Liste_rouge!A:A,2,1),"LC")</f>
        <v>LC</v>
      </c>
      <c r="T24761" s="7" t="str">
        <f>HYPERLINK("#Liste_rouge!A"&amp;_xlfn.XMATCH("NA",Liste_rouge!A:A,2,1),"NA")</f>
        <v>NA</v>
      </c>
      <c r="AH24761" s="4" t="str">
        <f>HYPERLINK("#Statut_biogéographique!A"&amp;_xlfn.XMATCH("P",Statut_biogéographique!A:A,2,1),"P")</f>
        <v>P</v>
      </c>
      <c r="AP24761" s="4" t="s">
        <v>376</v>
      </c>
      <c r="AR24761" s="4" t="s">
        <v>377</v>
      </c>
    </row>
    <row r="24762" spans="1:44">
      <c r="A24762" s="4" t="s">
        <v>24364</v>
      </c>
      <c r="B24762" s="4">
        <v>99903</v>
      </c>
      <c r="D24762" s="5" t="s">
        <v>32752</v>
      </c>
      <c r="E24762" s="6" t="str">
        <f>HYPERLINK("https://inpn.mnhn.fr/espece/cd_nom/99903","Gentiana lutea L., 1753")</f>
        <v>Gentiana lutea L., 1753</v>
      </c>
      <c r="F24762" s="5" t="s">
        <v>28544</v>
      </c>
      <c r="K24762" s="4" t="str">
        <f>HYPERLINK("#Réglementation!A"&amp;_xlfn.XMATCH("CDH5",Réglementation!A:A,2,1),"CDH5")</f>
        <v>CDH5</v>
      </c>
      <c r="N24762" s="4" t="str">
        <f>HYPERLINK("#Réglementation!A"&amp;_xlfn.XMATCH("V25P5",Réglementation!A:A,2,1),"V25P5 - V70P2")</f>
        <v>V25P5 - V70P2</v>
      </c>
      <c r="P24762" s="7" t="str">
        <f>HYPERLINK("#Liste_rouge!A"&amp;_xlfn.XMATCH("LC",Liste_rouge!A:A,2,1),"LC")</f>
        <v>LC</v>
      </c>
      <c r="Q24762" s="7" t="str">
        <f>HYPERLINK("#Liste_rouge!A"&amp;_xlfn.XMATCH("LC",Liste_rouge!A:A,2,1),"LC")</f>
        <v>LC</v>
      </c>
      <c r="T24762" s="7" t="str">
        <f>HYPERLINK("#Liste_rouge!A"&amp;_xlfn.XMATCH("LC",Liste_rouge!A:A,2,1),"LC")</f>
        <v>LC</v>
      </c>
      <c r="V24762" s="7" t="str">
        <f>HYPERLINK("#Liste_rouge!A"&amp;_xlfn.XMATCH("LC",Liste_rouge!A:A,2,1),"LC")</f>
        <v>LC</v>
      </c>
      <c r="AB24762" s="4" t="s">
        <v>30338</v>
      </c>
      <c r="AH24762" s="4" t="str">
        <f>HYPERLINK("#Statut_biogéographique!A"&amp;_xlfn.XMATCH("P",Statut_biogéographique!A:A,2,1),"P")</f>
        <v>P</v>
      </c>
      <c r="AK24762" s="4" t="str">
        <f>HYPERLINK("#Réglementation!A"&amp;_xlfn.XMATCH("V39P5",Réglementation!A:A,2,1),"V39P5 - V25P5 - V70P2")</f>
        <v>V39P5 - V25P5 - V70P2</v>
      </c>
      <c r="AM24762" s="4" t="s">
        <v>375</v>
      </c>
      <c r="AN24762" s="4" t="s">
        <v>375</v>
      </c>
      <c r="AO24762" s="4" t="s">
        <v>375</v>
      </c>
      <c r="AP24762" s="4" t="s">
        <v>376</v>
      </c>
      <c r="AR24762" s="4" t="s">
        <v>377</v>
      </c>
    </row>
    <row r="24763" spans="1:44" ht="60">
      <c r="A24763" s="4" t="s">
        <v>24364</v>
      </c>
      <c r="B24763" s="4">
        <v>99922</v>
      </c>
      <c r="D24763" s="5" t="s">
        <v>32753</v>
      </c>
      <c r="E24763" s="6" t="str">
        <f>HYPERLINK("https://inpn.mnhn.fr/espece/cd_nom/99922","Gentiana pneumonanthe L., 1753")</f>
        <v>Gentiana pneumonanthe L., 1753</v>
      </c>
      <c r="F24763" s="5" t="s">
        <v>32754</v>
      </c>
      <c r="M24763" s="4" t="str">
        <f>HYPERLINK("#Réglementation!A"&amp;_xlfn.XMATCH("RV26",Réglementation!A:A,2,1),"RV26 - RV43")</f>
        <v>RV26 - RV43</v>
      </c>
      <c r="P24763" s="7" t="str">
        <f>HYPERLINK("#Liste_rouge!A"&amp;_xlfn.XMATCH("LC",Liste_rouge!A:A,2,1),"LC")</f>
        <v>LC</v>
      </c>
      <c r="Q24763" s="7" t="str">
        <f>HYPERLINK("#Liste_rouge!A"&amp;_xlfn.XMATCH("LC",Liste_rouge!A:A,2,1),"LC")</f>
        <v>LC</v>
      </c>
      <c r="T24763" s="7" t="str">
        <f>HYPERLINK("#Liste_rouge!A"&amp;_xlfn.XMATCH("NT",Liste_rouge!A:A,2,1),"NT")</f>
        <v>NT</v>
      </c>
      <c r="V24763" s="7" t="str">
        <f>HYPERLINK("#Liste_rouge!A"&amp;_xlfn.XMATCH("NT",Liste_rouge!A:A,2,1),"NT")</f>
        <v>NT</v>
      </c>
      <c r="W24763" s="4" t="str">
        <f>HYPERLINK("#Critères_liste_rouge!A$1","pr. B2b(iii)")</f>
        <v>pr. B2b(iii)</v>
      </c>
      <c r="X24763" s="5" t="s">
        <v>374</v>
      </c>
      <c r="AB24763" s="4" t="s">
        <v>93</v>
      </c>
      <c r="AH24763" s="4" t="str">
        <f>HYPERLINK("#Statut_biogéographique!A"&amp;_xlfn.XMATCH("P",Statut_biogéographique!A:A,2,1),"P")</f>
        <v>P</v>
      </c>
      <c r="AM24763" s="4" t="s">
        <v>375</v>
      </c>
      <c r="AN24763" s="4" t="s">
        <v>375</v>
      </c>
      <c r="AO24763" s="4" t="s">
        <v>375</v>
      </c>
      <c r="AP24763" s="4" t="s">
        <v>376</v>
      </c>
      <c r="AR24763" s="4" t="s">
        <v>377</v>
      </c>
    </row>
    <row r="24764" spans="1:44" ht="60">
      <c r="A24764" s="4" t="s">
        <v>24364</v>
      </c>
      <c r="B24764" s="4">
        <v>99953</v>
      </c>
      <c r="D24764" s="5" t="s">
        <v>32755</v>
      </c>
      <c r="E24764" s="6" t="str">
        <f>HYPERLINK("https://inpn.mnhn.fr/espece/cd_nom/99953","Gentiana verna L., 1753")</f>
        <v>Gentiana verna L., 1753</v>
      </c>
      <c r="F24764" s="5" t="s">
        <v>24517</v>
      </c>
      <c r="Q24764" s="7" t="str">
        <f>HYPERLINK("#Liste_rouge!A"&amp;_xlfn.XMATCH("LC",Liste_rouge!A:A,2,1),"LC")</f>
        <v>LC</v>
      </c>
      <c r="V24764" s="7" t="str">
        <f>HYPERLINK("#Liste_rouge!A"&amp;_xlfn.XMATCH("LC",Liste_rouge!A:A,2,1),"LC")</f>
        <v>LC</v>
      </c>
      <c r="AH24764" s="4" t="str">
        <f>HYPERLINK("#Statut_biogéographique!A"&amp;_xlfn.XMATCH("P",Statut_biogéographique!A:A,2,1),"P")</f>
        <v>P</v>
      </c>
      <c r="AM24764" s="4" t="s">
        <v>375</v>
      </c>
      <c r="AN24764" s="4" t="s">
        <v>375</v>
      </c>
      <c r="AO24764" s="4" t="s">
        <v>375</v>
      </c>
      <c r="AP24764" s="4" t="s">
        <v>376</v>
      </c>
      <c r="AR24764" s="4" t="s">
        <v>377</v>
      </c>
    </row>
    <row r="24765" spans="1:44" ht="90">
      <c r="A24765" s="4" t="s">
        <v>24364</v>
      </c>
      <c r="B24765" s="4">
        <v>99982</v>
      </c>
      <c r="D24765" s="5" t="s">
        <v>32756</v>
      </c>
      <c r="E24765" s="6" t="str">
        <f>HYPERLINK("https://inpn.mnhn.fr/espece/cd_nom/99982","Gentianella campestris (L.) Börner, 1912")</f>
        <v>Gentianella campestris (L.) Börner, 1912</v>
      </c>
      <c r="F24765" s="5" t="s">
        <v>32757</v>
      </c>
      <c r="Q24765" s="7" t="str">
        <f>HYPERLINK("#Liste_rouge!A"&amp;_xlfn.XMATCH("LC",Liste_rouge!A:A,2,1),"LC")</f>
        <v>LC</v>
      </c>
      <c r="V24765" s="7" t="str">
        <f>HYPERLINK("#Liste_rouge!A"&amp;_xlfn.XMATCH("LC",Liste_rouge!A:A,2,1),"LC")</f>
        <v>LC</v>
      </c>
      <c r="AH24765" s="4" t="str">
        <f>HYPERLINK("#Statut_biogéographique!A"&amp;_xlfn.XMATCH("P",Statut_biogéographique!A:A,2,1),"P")</f>
        <v>P</v>
      </c>
      <c r="AM24765" s="4" t="s">
        <v>375</v>
      </c>
      <c r="AN24765" s="4" t="s">
        <v>375</v>
      </c>
      <c r="AO24765" s="4" t="s">
        <v>375</v>
      </c>
      <c r="AP24765" s="4" t="s">
        <v>376</v>
      </c>
      <c r="AR24765" s="4" t="s">
        <v>377</v>
      </c>
    </row>
    <row r="24766" spans="1:44" ht="60">
      <c r="A24766" s="4" t="s">
        <v>24364</v>
      </c>
      <c r="B24766" s="4">
        <v>99986</v>
      </c>
      <c r="D24766" s="5" t="s">
        <v>32758</v>
      </c>
      <c r="E24766" s="6" t="str">
        <f>HYPERLINK("https://inpn.mnhn.fr/espece/cd_nom/99986","Gentianella germanica (Willd.) Börner, 1912")</f>
        <v>Gentianella germanica (Willd.) Börner, 1912</v>
      </c>
      <c r="F24766" s="5" t="s">
        <v>32759</v>
      </c>
      <c r="Q24766" s="7" t="str">
        <f>HYPERLINK("#Liste_rouge!A"&amp;_xlfn.XMATCH("LC",Liste_rouge!A:A,2,1),"LC")</f>
        <v>LC</v>
      </c>
      <c r="T24766" s="7" t="str">
        <f>HYPERLINK("#Liste_rouge!A"&amp;_xlfn.XMATCH("LC",Liste_rouge!A:A,2,1),"LC")</f>
        <v>LC</v>
      </c>
      <c r="V24766" s="7" t="str">
        <f>HYPERLINK("#Liste_rouge!A"&amp;_xlfn.XMATCH("LC",Liste_rouge!A:A,2,1),"LC")</f>
        <v>LC</v>
      </c>
      <c r="AB24766" s="4" t="s">
        <v>24407</v>
      </c>
      <c r="AH24766" s="4" t="str">
        <f>HYPERLINK("#Statut_biogéographique!A"&amp;_xlfn.XMATCH("P",Statut_biogéographique!A:A,2,1),"P")</f>
        <v>P</v>
      </c>
      <c r="AM24766" s="4" t="s">
        <v>375</v>
      </c>
      <c r="AN24766" s="4" t="s">
        <v>375</v>
      </c>
      <c r="AO24766" s="4" t="s">
        <v>375</v>
      </c>
      <c r="AP24766" s="4" t="s">
        <v>376</v>
      </c>
      <c r="AR24766" s="4" t="s">
        <v>377</v>
      </c>
    </row>
    <row r="24767" spans="1:44" ht="30">
      <c r="A24767" s="4" t="s">
        <v>24364</v>
      </c>
      <c r="B24767" s="4">
        <v>999933</v>
      </c>
      <c r="D24767" s="5" t="s">
        <v>32760</v>
      </c>
      <c r="E24767" s="6" t="str">
        <f>HYPERLINK("https://inpn.mnhn.fr/espece/cd_nom/999933","Rabelera holostea (L.) M.T.Sharples &amp; E.A.Tripp, 2019")</f>
        <v>Rabelera holostea (L.) M.T.Sharples &amp; E.A.Tripp, 2019</v>
      </c>
      <c r="F24767" s="5" t="s">
        <v>32761</v>
      </c>
      <c r="Q24767" s="7" t="str">
        <f>HYPERLINK("#Liste_rouge!A"&amp;_xlfn.XMATCH("LC",Liste_rouge!A:A,2,1),"LC")</f>
        <v>LC</v>
      </c>
      <c r="T24767" s="7" t="str">
        <f>HYPERLINK("#Liste_rouge!A"&amp;_xlfn.XMATCH("LC",Liste_rouge!A:A,2,1),"LC")</f>
        <v>LC</v>
      </c>
      <c r="V24767" s="7" t="str">
        <f>HYPERLINK("#Liste_rouge!A"&amp;_xlfn.XMATCH("LC",Liste_rouge!A:A,2,1),"LC")</f>
        <v>LC</v>
      </c>
      <c r="AH24767" s="4" t="str">
        <f>HYPERLINK("#Statut_biogéographique!A"&amp;_xlfn.XMATCH("P",Statut_biogéographique!A:A,2,1),"P")</f>
        <v>P</v>
      </c>
      <c r="AM24767" s="4" t="s">
        <v>375</v>
      </c>
      <c r="AN24767" s="4" t="s">
        <v>375</v>
      </c>
      <c r="AO24767" s="4" t="s">
        <v>375</v>
      </c>
      <c r="AP24767" s="4" t="s">
        <v>376</v>
      </c>
      <c r="AR24767" s="4" t="s">
        <v>377</v>
      </c>
    </row>
    <row r="24768" spans="1:44" ht="30">
      <c r="A24768" s="4" t="s">
        <v>24364</v>
      </c>
      <c r="B24768" s="4">
        <v>99994</v>
      </c>
      <c r="D24768" s="5" t="s">
        <v>32762</v>
      </c>
      <c r="E24768" s="6" t="str">
        <f>HYPERLINK("https://inpn.mnhn.fr/espece/cd_nom/99994","Gentianopsis ciliata (L.) Ma, 1951")</f>
        <v>Gentianopsis ciliata (L.) Ma, 1951</v>
      </c>
      <c r="F24768" s="5" t="s">
        <v>32763</v>
      </c>
      <c r="M24768" s="4" t="str">
        <f>HYPERLINK("#Réglementation!A"&amp;_xlfn.XMATCH("RV26",Réglementation!A:A,2,1),"RV26")</f>
        <v>RV26</v>
      </c>
      <c r="Q24768" s="7" t="str">
        <f>HYPERLINK("#Liste_rouge!A"&amp;_xlfn.XMATCH("LC",Liste_rouge!A:A,2,1),"LC")</f>
        <v>LC</v>
      </c>
      <c r="T24768" s="7" t="str">
        <f>HYPERLINK("#Liste_rouge!A"&amp;_xlfn.XMATCH("NT",Liste_rouge!A:A,2,1),"NT")</f>
        <v>NT</v>
      </c>
      <c r="U24768" s="4" t="str">
        <f>HYPERLINK("#Critères_liste_rouge!A$1","pr. B3c(ii,iii)")</f>
        <v>pr. B3c(ii,iii)</v>
      </c>
      <c r="V24768" s="7" t="str">
        <f>HYPERLINK("#Liste_rouge!A"&amp;_xlfn.XMATCH("LC",Liste_rouge!A:A,2,1),"LC")</f>
        <v>LC</v>
      </c>
      <c r="AB24768" s="4" t="s">
        <v>26538</v>
      </c>
      <c r="AH24768" s="4" t="str">
        <f>HYPERLINK("#Statut_biogéographique!A"&amp;_xlfn.XMATCH("P",Statut_biogéographique!A:A,2,1),"P")</f>
        <v>P</v>
      </c>
      <c r="AM24768" s="4" t="s">
        <v>375</v>
      </c>
      <c r="AN24768" s="4" t="s">
        <v>375</v>
      </c>
      <c r="AO24768" s="4" t="s">
        <v>375</v>
      </c>
      <c r="AP24768" s="4" t="s">
        <v>376</v>
      </c>
      <c r="AR24768" s="4" t="s">
        <v>377</v>
      </c>
    </row>
    <row r="24769" spans="1:44" ht="60">
      <c r="A24769" s="4" t="s">
        <v>104</v>
      </c>
      <c r="B24769" s="4">
        <v>1005993</v>
      </c>
      <c r="D24769" s="5" t="s">
        <v>32764</v>
      </c>
      <c r="E24769" s="6" t="str">
        <f>HYPERLINK("https://inpn.mnhn.fr/espece/cd_nom/1005993","Salariopsis fluviatilis (Asso, 1801)")</f>
        <v>Salariopsis fluviatilis (Asso, 1801)</v>
      </c>
      <c r="I24769" s="4" t="str">
        <f>HYPERLINK("#Réglementation!A"&amp;_xlfn.XMATCH("IBE3",Réglementation!A:A,2,1),"IBE3")</f>
        <v>IBE3</v>
      </c>
      <c r="L24769" s="4" t="str">
        <f>HYPERLINK("#Réglementation!A"&amp;_xlfn.XMATCH("NP1",Réglementation!A:A,2,1),"NP1")</f>
        <v>NP1</v>
      </c>
      <c r="O24769" s="7" t="str">
        <f>HYPERLINK("#Liste_rouge!A"&amp;_xlfn.XMATCH("LC",Liste_rouge!A:A,2,1),"LC")</f>
        <v>LC</v>
      </c>
      <c r="P24769" s="7" t="str">
        <f>HYPERLINK("#Liste_rouge!A"&amp;_xlfn.XMATCH("LC",Liste_rouge!A:A,2,1),"LC")</f>
        <v>LC</v>
      </c>
      <c r="Q24769" s="7" t="str">
        <f>HYPERLINK("#Liste_rouge!A"&amp;_xlfn.XMATCH("LC",Liste_rouge!A:A,2,1),"LC")</f>
        <v>LC</v>
      </c>
      <c r="AE24769" s="4" t="str">
        <f>HYPERLINK("#SCAP!A"&amp;_xlfn.XMATCH("1+",SCAP!A:A,2,1),"1+")</f>
        <v>1+</v>
      </c>
      <c r="AG24769" s="4" t="str">
        <f>HYPERLINK("#SCAP!A"&amp;_xlfn.XMATCH("1+",SCAP!A:A,2,1),"1+")</f>
        <v>1+</v>
      </c>
      <c r="AH24769" s="4" t="str">
        <f>HYPERLINK("#Statut_biogéographique!A"&amp;_xlfn.XMATCH("P",Statut_biogéographique!A:A,2,1),"P")</f>
        <v>P</v>
      </c>
      <c r="AP24769" s="4" t="s">
        <v>376</v>
      </c>
      <c r="AR24769" s="4" t="s">
        <v>377</v>
      </c>
    </row>
    <row r="24770" spans="1:44" ht="60">
      <c r="A24770" s="4" t="s">
        <v>104</v>
      </c>
      <c r="B24770" s="4">
        <v>200255</v>
      </c>
      <c r="D24770" s="5" t="s">
        <v>32765</v>
      </c>
      <c r="E24770" s="6" t="str">
        <f>HYPERLINK("https://inpn.mnhn.fr/espece/cd_nom/200255","Leuciscus aspius (Linnaeus, 1758)")</f>
        <v>Leuciscus aspius (Linnaeus, 1758)</v>
      </c>
      <c r="F24770" s="5" t="s">
        <v>32766</v>
      </c>
      <c r="I24770" s="4" t="str">
        <f>HYPERLINK("#Réglementation!A"&amp;_xlfn.XMATCH("IBE3",Réglementation!A:A,2,1),"IBE3")</f>
        <v>IBE3</v>
      </c>
      <c r="K24770" s="4" t="str">
        <f>HYPERLINK("#Réglementation!A"&amp;_xlfn.XMATCH("CDH2",Réglementation!A:A,2,1),"CDH2 - CDH5")</f>
        <v>CDH2 - CDH5</v>
      </c>
      <c r="O24770" s="7" t="str">
        <f>HYPERLINK("#Liste_rouge!A"&amp;_xlfn.XMATCH("LC",Liste_rouge!A:A,2,1),"LC")</f>
        <v>LC</v>
      </c>
      <c r="P24770" s="7" t="str">
        <f>HYPERLINK("#Liste_rouge!A"&amp;_xlfn.XMATCH("LC",Liste_rouge!A:A,2,1),"LC")</f>
        <v>LC</v>
      </c>
      <c r="Q24770" s="7" t="str">
        <f>HYPERLINK("#Liste_rouge!A"&amp;_xlfn.XMATCH("NA",Liste_rouge!A:A,2,1),"NA")</f>
        <v>NA</v>
      </c>
      <c r="V24770" s="7" t="str">
        <f>HYPERLINK("#Liste_rouge!A"&amp;_xlfn.XMATCH("NA",Liste_rouge!A:A,2,1),"NA")</f>
        <v>NA</v>
      </c>
      <c r="AH24770" s="4" t="str">
        <f>HYPERLINK("#Statut_biogéographique!A"&amp;_xlfn.XMATCH("I",Statut_biogéographique!A:A,2,1),"I")</f>
        <v>I</v>
      </c>
      <c r="AP24770" s="4" t="s">
        <v>376</v>
      </c>
      <c r="AR24770" s="4" t="s">
        <v>377</v>
      </c>
    </row>
    <row r="24771" spans="1:44">
      <c r="A24771" s="4" t="s">
        <v>104</v>
      </c>
      <c r="B24771" s="4">
        <v>200259</v>
      </c>
      <c r="D24771" s="5" t="s">
        <v>32767</v>
      </c>
      <c r="E24771" s="6" t="str">
        <f>HYPERLINK("https://inpn.mnhn.fr/espece/cd_nom/200259","Pungitius laevis (Cuvier, 1829)")</f>
        <v>Pungitius laevis (Cuvier, 1829)</v>
      </c>
      <c r="F24771" s="5" t="s">
        <v>32768</v>
      </c>
      <c r="O24771" s="7" t="str">
        <f>HYPERLINK("#Liste_rouge!A"&amp;_xlfn.XMATCH("LC",Liste_rouge!A:A,2,1),"LC")</f>
        <v>LC</v>
      </c>
      <c r="P24771" s="7" t="str">
        <f>HYPERLINK("#Liste_rouge!A"&amp;_xlfn.XMATCH("LC",Liste_rouge!A:A,2,1),"LC")</f>
        <v>LC</v>
      </c>
      <c r="Q24771" s="7" t="str">
        <f>HYPERLINK("#Liste_rouge!A"&amp;_xlfn.XMATCH("LC",Liste_rouge!A:A,2,1),"LC")</f>
        <v>LC</v>
      </c>
      <c r="V24771" s="7" t="str">
        <f>HYPERLINK("#Liste_rouge!A"&amp;_xlfn.XMATCH("DD",Liste_rouge!A:A,2,1),"DD")</f>
        <v>DD</v>
      </c>
      <c r="AH24771" s="4" t="str">
        <f>HYPERLINK("#Statut_biogéographique!A"&amp;_xlfn.XMATCH("E",Statut_biogéographique!A:A,2,1),"E")</f>
        <v>E</v>
      </c>
      <c r="AP24771" s="4" t="s">
        <v>376</v>
      </c>
      <c r="AR24771" s="4" t="s">
        <v>377</v>
      </c>
    </row>
    <row r="24772" spans="1:44" ht="30">
      <c r="A24772" s="4" t="s">
        <v>104</v>
      </c>
      <c r="B24772" s="4">
        <v>347940</v>
      </c>
      <c r="D24772" s="5" t="s">
        <v>32769</v>
      </c>
      <c r="E24772" s="6" t="str">
        <f>HYPERLINK("https://inpn.mnhn.fr/espece/cd_nom/347940","Ballerus sapa (Pallas, 1814)")</f>
        <v>Ballerus sapa (Pallas, 1814)</v>
      </c>
      <c r="F24772" s="5" t="s">
        <v>32770</v>
      </c>
      <c r="O24772" s="7" t="str">
        <f>HYPERLINK("#Liste_rouge!A"&amp;_xlfn.XMATCH("LC",Liste_rouge!A:A,2,1),"LC")</f>
        <v>LC</v>
      </c>
      <c r="P24772" s="7" t="str">
        <f>HYPERLINK("#Liste_rouge!A"&amp;_xlfn.XMATCH("LC",Liste_rouge!A:A,2,1),"LC")</f>
        <v>LC</v>
      </c>
      <c r="Q24772" s="7" t="str">
        <f>HYPERLINK("#Liste_rouge!A"&amp;_xlfn.XMATCH("NA",Liste_rouge!A:A,2,1),"NA")</f>
        <v>NA</v>
      </c>
      <c r="AH24772" s="4" t="str">
        <f>HYPERLINK("#Statut_biogéographique!A"&amp;_xlfn.XMATCH("J",Statut_biogéographique!A:A,2,1),"J")</f>
        <v>J</v>
      </c>
      <c r="AP24772" s="4" t="s">
        <v>376</v>
      </c>
      <c r="AR24772" s="4" t="s">
        <v>377</v>
      </c>
    </row>
    <row r="24773" spans="1:44">
      <c r="A24773" s="4" t="s">
        <v>104</v>
      </c>
      <c r="B24773" s="4">
        <v>388245</v>
      </c>
      <c r="D24773" s="5">
        <v>388245</v>
      </c>
      <c r="E24773" s="6" t="str">
        <f>HYPERLINK("https://inpn.mnhn.fr/espece/cd_nom/388245","Gobio occitaniae Kottelat &amp; Persat, 2005")</f>
        <v>Gobio occitaniae Kottelat &amp; Persat, 2005</v>
      </c>
      <c r="F24773" s="5" t="s">
        <v>32771</v>
      </c>
      <c r="O24773" s="7" t="str">
        <f>HYPERLINK("#Liste_rouge!A"&amp;_xlfn.XMATCH("LC",Liste_rouge!A:A,2,1),"LC")</f>
        <v>LC</v>
      </c>
      <c r="P24773" s="7" t="str">
        <f>HYPERLINK("#Liste_rouge!A"&amp;_xlfn.XMATCH("LC",Liste_rouge!A:A,2,1),"LC")</f>
        <v>LC</v>
      </c>
      <c r="Q24773" s="7" t="str">
        <f>HYPERLINK("#Liste_rouge!A"&amp;_xlfn.XMATCH("LC",Liste_rouge!A:A,2,1),"LC")</f>
        <v>LC</v>
      </c>
      <c r="AE24773" s="4" t="str">
        <f>HYPERLINK("#SCAP!A"&amp;_xlfn.XMATCH("1-",SCAP!A:A,2,1),"1-")</f>
        <v>1-</v>
      </c>
      <c r="AH24773" s="4" t="str">
        <f>HYPERLINK("#Statut_biogéographique!A"&amp;_xlfn.XMATCH("E",Statut_biogéographique!A:A,2,1),"E")</f>
        <v>E</v>
      </c>
      <c r="AP24773" s="4" t="s">
        <v>376</v>
      </c>
      <c r="AR24773" s="4" t="s">
        <v>377</v>
      </c>
    </row>
    <row r="24774" spans="1:44" ht="30">
      <c r="A24774" s="4" t="s">
        <v>104</v>
      </c>
      <c r="B24774" s="4">
        <v>416658</v>
      </c>
      <c r="D24774" s="5">
        <v>416658</v>
      </c>
      <c r="E24774" s="6" t="str">
        <f>HYPERLINK("https://inpn.mnhn.fr/espece/cd_nom/416658","Cottus perifretum Freyhof, Kottelat &amp; Nolte, 2005")</f>
        <v>Cottus perifretum Freyhof, Kottelat &amp; Nolte, 2005</v>
      </c>
      <c r="F24774" s="5" t="s">
        <v>32772</v>
      </c>
      <c r="K24774" s="4" t="str">
        <f>HYPERLINK("#Réglementation!A"&amp;_xlfn.XMATCH("CDH2",Réglementation!A:A,2,1),"CDH2")</f>
        <v>CDH2</v>
      </c>
      <c r="O24774" s="7" t="str">
        <f>HYPERLINK("#Liste_rouge!A"&amp;_xlfn.XMATCH("LC",Liste_rouge!A:A,2,1),"LC")</f>
        <v>LC</v>
      </c>
      <c r="P24774" s="7" t="str">
        <f>HYPERLINK("#Liste_rouge!A"&amp;_xlfn.XMATCH("LC",Liste_rouge!A:A,2,1),"LC")</f>
        <v>LC</v>
      </c>
      <c r="Q24774" s="7" t="str">
        <f>HYPERLINK("#Liste_rouge!A"&amp;_xlfn.XMATCH("LC",Liste_rouge!A:A,2,1),"LC")</f>
        <v>LC</v>
      </c>
      <c r="X24774" s="5" t="s">
        <v>23439</v>
      </c>
      <c r="Y24774" s="5" t="s">
        <v>32773</v>
      </c>
      <c r="AH24774" s="4" t="str">
        <f>HYPERLINK("#Statut_biogéographique!A"&amp;_xlfn.XMATCH("P",Statut_biogéographique!A:A,2,1),"P")</f>
        <v>P</v>
      </c>
      <c r="AP24774" s="4" t="s">
        <v>376</v>
      </c>
      <c r="AR24774" s="4" t="s">
        <v>377</v>
      </c>
    </row>
    <row r="24775" spans="1:44">
      <c r="A24775" s="4" t="s">
        <v>104</v>
      </c>
      <c r="B24775" s="4">
        <v>443293</v>
      </c>
      <c r="D24775" s="5" t="s">
        <v>32774</v>
      </c>
      <c r="E24775" s="6" t="str">
        <f>HYPERLINK("https://inpn.mnhn.fr/espece/cd_nom/443293","Phoxinus septimaniae Kottelat, 2007")</f>
        <v>Phoxinus septimaniae Kottelat, 2007</v>
      </c>
      <c r="F24775" s="5" t="s">
        <v>32775</v>
      </c>
      <c r="O24775" s="7" t="str">
        <f>HYPERLINK("#Liste_rouge!A"&amp;_xlfn.XMATCH("LC",Liste_rouge!A:A,2,1),"LC")</f>
        <v>LC</v>
      </c>
      <c r="P24775" s="7" t="str">
        <f>HYPERLINK("#Liste_rouge!A"&amp;_xlfn.XMATCH("LC",Liste_rouge!A:A,2,1),"LC")</f>
        <v>LC</v>
      </c>
      <c r="Q24775" s="7" t="str">
        <f>HYPERLINK("#Liste_rouge!A"&amp;_xlfn.XMATCH("LC",Liste_rouge!A:A,2,1),"LC")</f>
        <v>LC</v>
      </c>
      <c r="AE24775" s="4" t="str">
        <f>HYPERLINK("#SCAP!A"&amp;_xlfn.XMATCH("1-",SCAP!A:A,2,1),"1-")</f>
        <v>1-</v>
      </c>
      <c r="AH24775" s="4" t="str">
        <f>HYPERLINK("#Statut_biogéographique!A"&amp;_xlfn.XMATCH("E",Statut_biogéographique!A:A,2,1),"E")</f>
        <v>E</v>
      </c>
      <c r="AP24775" s="4" t="s">
        <v>376</v>
      </c>
      <c r="AR24775" s="4" t="s">
        <v>377</v>
      </c>
    </row>
    <row r="24776" spans="1:44" ht="30">
      <c r="A24776" s="4" t="s">
        <v>104</v>
      </c>
      <c r="B24776" s="4">
        <v>458701</v>
      </c>
      <c r="D24776" s="5" t="s">
        <v>32776</v>
      </c>
      <c r="E24776" s="6" t="str">
        <f>HYPERLINK("https://inpn.mnhn.fr/espece/cd_nom/458701","Parachondrostoma toxostoma (Vallot, 1837)")</f>
        <v>Parachondrostoma toxostoma (Vallot, 1837)</v>
      </c>
      <c r="F24776" s="5" t="s">
        <v>32777</v>
      </c>
      <c r="I24776" s="4" t="str">
        <f>HYPERLINK("#Réglementation!A"&amp;_xlfn.XMATCH("IBE3",Réglementation!A:A,2,1),"IBE3")</f>
        <v>IBE3</v>
      </c>
      <c r="K24776" s="4" t="str">
        <f>HYPERLINK("#Réglementation!A"&amp;_xlfn.XMATCH("CDH2",Réglementation!A:A,2,1),"CDH2")</f>
        <v>CDH2</v>
      </c>
      <c r="O24776" s="7" t="str">
        <f>HYPERLINK("#Liste_rouge!A"&amp;_xlfn.XMATCH("VU",Liste_rouge!A:A,2,1),"VU")</f>
        <v>VU</v>
      </c>
      <c r="P24776" s="7" t="str">
        <f>HYPERLINK("#Liste_rouge!A"&amp;_xlfn.XMATCH("VU",Liste_rouge!A:A,2,1),"VU")</f>
        <v>VU</v>
      </c>
      <c r="Q24776" s="7" t="str">
        <f>HYPERLINK("#Liste_rouge!A"&amp;_xlfn.XMATCH("NT",Liste_rouge!A:A,2,1),"NT")</f>
        <v>NT</v>
      </c>
      <c r="V24776" s="7" t="str">
        <f>HYPERLINK("#Liste_rouge!A"&amp;_xlfn.XMATCH("EN",Liste_rouge!A:A,2,1),"EN")</f>
        <v>EN</v>
      </c>
      <c r="W24776" s="4" t="str">
        <f>HYPERLINK("#Critères_liste_rouge!A$1","A4abcB2ab(ii, iii, iv)")</f>
        <v>A4abcB2ab(ii, iii, iv)</v>
      </c>
      <c r="X24776" s="5" t="s">
        <v>374</v>
      </c>
      <c r="Y24776" s="5" t="s">
        <v>93</v>
      </c>
      <c r="AE24776" s="4" t="str">
        <f>HYPERLINK("#SCAP!A"&amp;_xlfn.XMATCH("1+",SCAP!A:A,2,1),"1+")</f>
        <v>1+</v>
      </c>
      <c r="AF24776" s="4" t="str">
        <f>HYPERLINK("#SCAP!A"&amp;_xlfn.XMATCH("1-",SCAP!A:A,2,1),"1-")</f>
        <v>1-</v>
      </c>
      <c r="AG24776" s="4" t="str">
        <f>HYPERLINK("#SCAP!A"&amp;_xlfn.XMATCH("2-",SCAP!A:A,2,1),"2-")</f>
        <v>2-</v>
      </c>
      <c r="AH24776" s="4" t="str">
        <f>HYPERLINK("#Statut_biogéographique!A"&amp;_xlfn.XMATCH("S",Statut_biogéographique!A:A,2,1),"S")</f>
        <v>S</v>
      </c>
      <c r="AP24776" s="4" t="s">
        <v>376</v>
      </c>
      <c r="AR24776" s="4" t="s">
        <v>377</v>
      </c>
    </row>
    <row r="24777" spans="1:44" ht="45">
      <c r="A24777" s="4" t="s">
        <v>104</v>
      </c>
      <c r="B24777" s="4">
        <v>459644</v>
      </c>
      <c r="D24777" s="5" t="s">
        <v>32778</v>
      </c>
      <c r="E24777" s="6" t="str">
        <f>HYPERLINK("https://inpn.mnhn.fr/espece/cd_nom/459644","Gymnocephalus cernua (Linnaeus, 1758)")</f>
        <v>Gymnocephalus cernua (Linnaeus, 1758)</v>
      </c>
      <c r="F24777" s="5" t="s">
        <v>32779</v>
      </c>
      <c r="O24777" s="7" t="str">
        <f>HYPERLINK("#Liste_rouge!A"&amp;_xlfn.XMATCH("LC",Liste_rouge!A:A,2,1),"LC")</f>
        <v>LC</v>
      </c>
      <c r="P24777" s="7" t="str">
        <f>HYPERLINK("#Liste_rouge!A"&amp;_xlfn.XMATCH("LC",Liste_rouge!A:A,2,1),"LC")</f>
        <v>LC</v>
      </c>
      <c r="Q24777" s="7" t="str">
        <f>HYPERLINK("#Liste_rouge!A"&amp;_xlfn.XMATCH("LC",Liste_rouge!A:A,2,1),"LC")</f>
        <v>LC</v>
      </c>
      <c r="V24777" s="7" t="str">
        <f>HYPERLINK("#Liste_rouge!A"&amp;_xlfn.XMATCH("NA",Liste_rouge!A:A,2,1),"NA")</f>
        <v>NA</v>
      </c>
      <c r="AH24777" s="4" t="str">
        <f>HYPERLINK("#Statut_biogéographique!A"&amp;_xlfn.XMATCH("C",Statut_biogéographique!A:A,2,1),"C")</f>
        <v>C</v>
      </c>
      <c r="AP24777" s="4" t="s">
        <v>376</v>
      </c>
      <c r="AR24777" s="4" t="s">
        <v>377</v>
      </c>
    </row>
    <row r="24778" spans="1:44">
      <c r="A24778" s="4" t="s">
        <v>104</v>
      </c>
      <c r="B24778" s="4">
        <v>521597</v>
      </c>
      <c r="D24778" s="5" t="s">
        <v>32780</v>
      </c>
      <c r="E24778" s="6" t="str">
        <f>HYPERLINK("https://inpn.mnhn.fr/espece/cd_nom/521597","Proterorhinus semilunaris (Heckel, 1837)")</f>
        <v>Proterorhinus semilunaris (Heckel, 1837)</v>
      </c>
      <c r="F24778" s="5" t="s">
        <v>32781</v>
      </c>
      <c r="I24778" s="4" t="str">
        <f>HYPERLINK("#Réglementation!A"&amp;_xlfn.XMATCH("IBE3",Réglementation!A:A,2,1),"IBE3")</f>
        <v>IBE3</v>
      </c>
      <c r="O24778" s="7" t="str">
        <f>HYPERLINK("#Liste_rouge!A"&amp;_xlfn.XMATCH("LC",Liste_rouge!A:A,2,1),"LC")</f>
        <v>LC</v>
      </c>
      <c r="P24778" s="7" t="str">
        <f>HYPERLINK("#Liste_rouge!A"&amp;_xlfn.XMATCH("LC",Liste_rouge!A:A,2,1),"LC")</f>
        <v>LC</v>
      </c>
      <c r="Q24778" s="7" t="str">
        <f>HYPERLINK("#Liste_rouge!A"&amp;_xlfn.XMATCH("NA",Liste_rouge!A:A,2,1),"NA")</f>
        <v>NA</v>
      </c>
      <c r="AH24778" s="4" t="str">
        <f>HYPERLINK("#Statut_biogéographique!A"&amp;_xlfn.XMATCH("J",Statut_biogéographique!A:A,2,1),"J")</f>
        <v>J</v>
      </c>
      <c r="AP24778" s="4" t="s">
        <v>376</v>
      </c>
      <c r="AR24778" s="4" t="s">
        <v>377</v>
      </c>
    </row>
    <row r="24779" spans="1:44" ht="60">
      <c r="A24779" s="4" t="s">
        <v>104</v>
      </c>
      <c r="B24779" s="4">
        <v>66315</v>
      </c>
      <c r="D24779" s="5" t="s">
        <v>32782</v>
      </c>
      <c r="E24779" s="6" t="str">
        <f>HYPERLINK("https://inpn.mnhn.fr/espece/cd_nom/66315","Petromyzon marinus Linnaeus, 1758")</f>
        <v>Petromyzon marinus Linnaeus, 1758</v>
      </c>
      <c r="F24779" s="5" t="s">
        <v>32783</v>
      </c>
      <c r="I24779" s="4" t="str">
        <f>HYPERLINK("#Réglementation!A"&amp;_xlfn.XMATCH("IBE3",Réglementation!A:A,2,1),"IBE3")</f>
        <v>IBE3</v>
      </c>
      <c r="K24779" s="4" t="str">
        <f>HYPERLINK("#Réglementation!A"&amp;_xlfn.XMATCH("CDH2",Réglementation!A:A,2,1),"CDH2")</f>
        <v>CDH2</v>
      </c>
      <c r="L24779" s="4" t="str">
        <f>HYPERLINK("#Réglementation!A"&amp;_xlfn.XMATCH("NP1",Réglementation!A:A,2,1),"NP1")</f>
        <v>NP1</v>
      </c>
      <c r="O24779" s="7" t="str">
        <f>HYPERLINK("#Liste_rouge!A"&amp;_xlfn.XMATCH("LC",Liste_rouge!A:A,2,1),"LC")</f>
        <v>LC</v>
      </c>
      <c r="P24779" s="7" t="str">
        <f>HYPERLINK("#Liste_rouge!A"&amp;_xlfn.XMATCH("LC",Liste_rouge!A:A,2,1),"LC")</f>
        <v>LC</v>
      </c>
      <c r="Q24779" s="7" t="str">
        <f>HYPERLINK("#Liste_rouge!A"&amp;_xlfn.XMATCH("EN",Liste_rouge!A:A,2,1),"EN")</f>
        <v>EN</v>
      </c>
      <c r="X24779" s="5" t="s">
        <v>374</v>
      </c>
      <c r="Y24779" s="5" t="s">
        <v>93</v>
      </c>
      <c r="AE24779" s="4" t="str">
        <f>HYPERLINK("#SCAP!A"&amp;_xlfn.XMATCH("A",SCAP!A:A,2,1),"A")</f>
        <v>A</v>
      </c>
      <c r="AF24779" s="4" t="str">
        <f>HYPERLINK("#SCAP!A"&amp;_xlfn.XMATCH("A",SCAP!A:A,2,1),"A")</f>
        <v>A</v>
      </c>
      <c r="AH24779" s="4" t="str">
        <f>HYPERLINK("#Statut_biogéographique!A"&amp;_xlfn.XMATCH("P",Statut_biogéographique!A:A,2,1),"P")</f>
        <v>P</v>
      </c>
      <c r="AP24779" s="4" t="s">
        <v>389</v>
      </c>
      <c r="AR24779" s="4" t="s">
        <v>377</v>
      </c>
    </row>
    <row r="24780" spans="1:44" ht="60">
      <c r="A24780" s="4" t="s">
        <v>104</v>
      </c>
      <c r="B24780" s="4">
        <v>66330</v>
      </c>
      <c r="D24780" s="5" t="s">
        <v>32784</v>
      </c>
      <c r="E24780" s="6" t="str">
        <f>HYPERLINK("https://inpn.mnhn.fr/espece/cd_nom/66330","Lampetra fluviatilis (Linnaeus, 1758)")</f>
        <v>Lampetra fluviatilis (Linnaeus, 1758)</v>
      </c>
      <c r="F24780" s="5" t="s">
        <v>32785</v>
      </c>
      <c r="I24780" s="4" t="str">
        <f>HYPERLINK("#Réglementation!A"&amp;_xlfn.XMATCH("IBE3",Réglementation!A:A,2,1),"IBE3")</f>
        <v>IBE3</v>
      </c>
      <c r="K24780" s="4" t="str">
        <f>HYPERLINK("#Réglementation!A"&amp;_xlfn.XMATCH("CDH2",Réglementation!A:A,2,1),"CDH2 - CDH5")</f>
        <v>CDH2 - CDH5</v>
      </c>
      <c r="L24780" s="4" t="str">
        <f>HYPERLINK("#Réglementation!A"&amp;_xlfn.XMATCH("NP1",Réglementation!A:A,2,1),"NP1")</f>
        <v>NP1</v>
      </c>
      <c r="O24780" s="7" t="str">
        <f>HYPERLINK("#Liste_rouge!A"&amp;_xlfn.XMATCH("LC",Liste_rouge!A:A,2,1),"LC")</f>
        <v>LC</v>
      </c>
      <c r="P24780" s="7" t="str">
        <f>HYPERLINK("#Liste_rouge!A"&amp;_xlfn.XMATCH("LC",Liste_rouge!A:A,2,1),"LC")</f>
        <v>LC</v>
      </c>
      <c r="Q24780" s="7" t="str">
        <f>HYPERLINK("#Liste_rouge!A"&amp;_xlfn.XMATCH("VU",Liste_rouge!A:A,2,1),"VU")</f>
        <v>VU</v>
      </c>
      <c r="V24780" s="7" t="str">
        <f>HYPERLINK("#Liste_rouge!A"&amp;_xlfn.XMATCH("RE",Liste_rouge!A:A,2,1),"RE")</f>
        <v>RE</v>
      </c>
      <c r="AE24780" s="4" t="str">
        <f>HYPERLINK("#SCAP!A"&amp;_xlfn.XMATCH("A",SCAP!A:A,2,1),"A")</f>
        <v>A</v>
      </c>
      <c r="AH24780" s="4" t="str">
        <f>HYPERLINK("#Statut_biogéographique!A"&amp;_xlfn.XMATCH("P",Statut_biogéographique!A:A,2,1),"P")</f>
        <v>P</v>
      </c>
      <c r="AP24780" s="4" t="s">
        <v>389</v>
      </c>
      <c r="AR24780" s="4" t="s">
        <v>377</v>
      </c>
    </row>
    <row r="24781" spans="1:44" ht="45">
      <c r="A24781" s="4" t="s">
        <v>104</v>
      </c>
      <c r="B24781" s="4">
        <v>66333</v>
      </c>
      <c r="D24781" s="5" t="s">
        <v>32786</v>
      </c>
      <c r="E24781" s="6" t="str">
        <f>HYPERLINK("https://inpn.mnhn.fr/espece/cd_nom/66333","Lampetra planeri (Bloch, 1784)")</f>
        <v>Lampetra planeri (Bloch, 1784)</v>
      </c>
      <c r="F24781" s="5" t="s">
        <v>32787</v>
      </c>
      <c r="I24781" s="4" t="str">
        <f>HYPERLINK("#Réglementation!A"&amp;_xlfn.XMATCH("IBE3",Réglementation!A:A,2,1),"IBE3")</f>
        <v>IBE3</v>
      </c>
      <c r="K24781" s="4" t="str">
        <f>HYPERLINK("#Réglementation!A"&amp;_xlfn.XMATCH("CDH2",Réglementation!A:A,2,1),"CDH2")</f>
        <v>CDH2</v>
      </c>
      <c r="L24781" s="4" t="str">
        <f>HYPERLINK("#Réglementation!A"&amp;_xlfn.XMATCH("NP1",Réglementation!A:A,2,1),"NP1")</f>
        <v>NP1</v>
      </c>
      <c r="O24781" s="7" t="str">
        <f>HYPERLINK("#Liste_rouge!A"&amp;_xlfn.XMATCH("LC",Liste_rouge!A:A,2,1),"LC")</f>
        <v>LC</v>
      </c>
      <c r="P24781" s="7" t="str">
        <f>HYPERLINK("#Liste_rouge!A"&amp;_xlfn.XMATCH("LC",Liste_rouge!A:A,2,1),"LC")</f>
        <v>LC</v>
      </c>
      <c r="Q24781" s="7" t="str">
        <f>HYPERLINK("#Liste_rouge!A"&amp;_xlfn.XMATCH("LC",Liste_rouge!A:A,2,1),"LC")</f>
        <v>LC</v>
      </c>
      <c r="V24781" s="7" t="str">
        <f>HYPERLINK("#Liste_rouge!A"&amp;_xlfn.XMATCH("VU",Liste_rouge!A:A,2,1),"VU")</f>
        <v>VU</v>
      </c>
      <c r="W24781" s="4" t="str">
        <f>HYPERLINK("#Critères_liste_rouge!A$1","A2abcA4B2ab(ii, iii, iv)")</f>
        <v>A2abcA4B2ab(ii, iii, iv)</v>
      </c>
      <c r="X24781" s="5" t="s">
        <v>23439</v>
      </c>
      <c r="Y24781" s="5" t="s">
        <v>32788</v>
      </c>
      <c r="AE24781" s="4" t="str">
        <f>HYPERLINK("#SCAP!A"&amp;_xlfn.XMATCH("A",SCAP!A:A,2,1),"A")</f>
        <v>A</v>
      </c>
      <c r="AG24781" s="4" t="str">
        <f>HYPERLINK("#SCAP!A"&amp;_xlfn.XMATCH("A",SCAP!A:A,2,1),"A")</f>
        <v>A</v>
      </c>
      <c r="AH24781" s="4" t="str">
        <f>HYPERLINK("#Statut_biogéographique!A"&amp;_xlfn.XMATCH("P",Statut_biogéographique!A:A,2,1),"P")</f>
        <v>P</v>
      </c>
      <c r="AP24781" s="4" t="s">
        <v>376</v>
      </c>
      <c r="AR24781" s="4" t="s">
        <v>377</v>
      </c>
    </row>
    <row r="24782" spans="1:44" ht="180">
      <c r="A24782" s="4" t="s">
        <v>104</v>
      </c>
      <c r="B24782" s="4">
        <v>66832</v>
      </c>
      <c r="D24782" s="5" t="s">
        <v>32789</v>
      </c>
      <c r="E24782" s="6" t="str">
        <f>HYPERLINK("https://inpn.mnhn.fr/espece/cd_nom/66832","Anguilla anguilla (Linnaeus, 1758)")</f>
        <v>Anguilla anguilla (Linnaeus, 1758)</v>
      </c>
      <c r="F24782" s="5" t="s">
        <v>32790</v>
      </c>
      <c r="H24782" s="4" t="str">
        <f>HYPERLINK("#Réglementation!A"&amp;_xlfn.XMATCH("IBO2",Réglementation!A:A,2,1),"IBO2")</f>
        <v>IBO2</v>
      </c>
      <c r="O24782" s="7" t="str">
        <f>HYPERLINK("#Liste_rouge!A"&amp;_xlfn.XMATCH("CR",Liste_rouge!A:A,2,1),"CR")</f>
        <v>CR</v>
      </c>
      <c r="P24782" s="7" t="str">
        <f>HYPERLINK("#Liste_rouge!A"&amp;_xlfn.XMATCH("CR",Liste_rouge!A:A,2,1),"CR")</f>
        <v>CR</v>
      </c>
      <c r="Q24782" s="7" t="str">
        <f>HYPERLINK("#Liste_rouge!A"&amp;_xlfn.XMATCH("CR",Liste_rouge!A:A,2,1),"CR")</f>
        <v>CR</v>
      </c>
      <c r="V24782" s="7" t="str">
        <f>HYPERLINK("#Liste_rouge!A"&amp;_xlfn.XMATCH("CR",Liste_rouge!A:A,2,1),"CR")</f>
        <v>CR</v>
      </c>
      <c r="W24782" s="4" t="str">
        <f>HYPERLINK("#Critères_liste_rouge!A$1","A4abe")</f>
        <v>A4abe</v>
      </c>
      <c r="X24782" s="5" t="s">
        <v>374</v>
      </c>
      <c r="Y24782" s="5" t="s">
        <v>93</v>
      </c>
      <c r="AE24782" s="4" t="str">
        <f>HYPERLINK("#SCAP!A"&amp;_xlfn.XMATCH("1+",SCAP!A:A,2,1),"1+")</f>
        <v>1+</v>
      </c>
      <c r="AF24782" s="4" t="str">
        <f>HYPERLINK("#SCAP!A"&amp;_xlfn.XMATCH("1+",SCAP!A:A,2,1),"1+")</f>
        <v>1+</v>
      </c>
      <c r="AG24782" s="4" t="str">
        <f>HYPERLINK("#SCAP!A"&amp;_xlfn.XMATCH("1+",SCAP!A:A,2,1),"1+")</f>
        <v>1+</v>
      </c>
      <c r="AH24782" s="4" t="str">
        <f>HYPERLINK("#Statut_biogéographique!A"&amp;_xlfn.XMATCH("P",Statut_biogéographique!A:A,2,1),"P")</f>
        <v>P</v>
      </c>
      <c r="AP24782" s="4" t="s">
        <v>376</v>
      </c>
      <c r="AR24782" s="4" t="s">
        <v>377</v>
      </c>
    </row>
    <row r="24783" spans="1:44" ht="30">
      <c r="A24783" s="4" t="s">
        <v>104</v>
      </c>
      <c r="B24783" s="4">
        <v>66967</v>
      </c>
      <c r="D24783" s="5" t="s">
        <v>32791</v>
      </c>
      <c r="E24783" s="6" t="str">
        <f>HYPERLINK("https://inpn.mnhn.fr/espece/cd_nom/66967","Alosa alosa (Linnaeus, 1758)")</f>
        <v>Alosa alosa (Linnaeus, 1758)</v>
      </c>
      <c r="F24783" s="5" t="s">
        <v>32792</v>
      </c>
      <c r="I24783" s="4" t="str">
        <f>HYPERLINK("#Réglementation!A"&amp;_xlfn.XMATCH("IBE3",Réglementation!A:A,2,1),"IBE3")</f>
        <v>IBE3</v>
      </c>
      <c r="K24783" s="4" t="str">
        <f>HYPERLINK("#Réglementation!A"&amp;_xlfn.XMATCH("CDH2",Réglementation!A:A,2,1),"CDH2 - CDH5")</f>
        <v>CDH2 - CDH5</v>
      </c>
      <c r="L24783" s="4" t="str">
        <f>HYPERLINK("#Réglementation!A"&amp;_xlfn.XMATCH("NP1",Réglementation!A:A,2,1),"NP1")</f>
        <v>NP1</v>
      </c>
      <c r="O24783" s="7" t="str">
        <f>HYPERLINK("#Liste_rouge!A"&amp;_xlfn.XMATCH("LC",Liste_rouge!A:A,2,1),"LC")</f>
        <v>LC</v>
      </c>
      <c r="P24783" s="7" t="str">
        <f>HYPERLINK("#Liste_rouge!A"&amp;_xlfn.XMATCH("LC",Liste_rouge!A:A,2,1),"LC")</f>
        <v>LC</v>
      </c>
      <c r="Q24783" s="7" t="str">
        <f>HYPERLINK("#Liste_rouge!A"&amp;_xlfn.XMATCH("CR",Liste_rouge!A:A,2,1),"CR")</f>
        <v>CR</v>
      </c>
      <c r="X24783" s="5" t="s">
        <v>374</v>
      </c>
      <c r="Y24783" s="5" t="s">
        <v>93</v>
      </c>
      <c r="AE24783" s="4" t="str">
        <f>HYPERLINK("#SCAP!A"&amp;_xlfn.XMATCH("1+",SCAP!A:A,2,1),"1+")</f>
        <v>1+</v>
      </c>
      <c r="AF24783" s="4" t="str">
        <f>HYPERLINK("#SCAP!A"&amp;_xlfn.XMATCH("2+",SCAP!A:A,2,1),"2+")</f>
        <v>2+</v>
      </c>
      <c r="AH24783" s="4" t="str">
        <f>HYPERLINK("#Statut_biogéographique!A"&amp;_xlfn.XMATCH("P",Statut_biogéographique!A:A,2,1),"P")</f>
        <v>P</v>
      </c>
      <c r="AP24783" s="4" t="s">
        <v>389</v>
      </c>
      <c r="AR24783" s="4" t="s">
        <v>377</v>
      </c>
    </row>
    <row r="24784" spans="1:44" ht="45">
      <c r="A24784" s="4" t="s">
        <v>104</v>
      </c>
      <c r="B24784" s="4">
        <v>66996</v>
      </c>
      <c r="D24784" s="5" t="s">
        <v>32793</v>
      </c>
      <c r="E24784" s="6" t="str">
        <f>HYPERLINK("https://inpn.mnhn.fr/espece/cd_nom/66996","Alosa fallax (Lacepède, 1803)")</f>
        <v>Alosa fallax (Lacepède, 1803)</v>
      </c>
      <c r="F24784" s="5" t="s">
        <v>32794</v>
      </c>
      <c r="I24784" s="4" t="str">
        <f>HYPERLINK("#Réglementation!A"&amp;_xlfn.XMATCH("IBE3",Réglementation!A:A,2,1),"IBE3")</f>
        <v>IBE3</v>
      </c>
      <c r="K24784" s="4" t="str">
        <f>HYPERLINK("#Réglementation!A"&amp;_xlfn.XMATCH("CDH2",Réglementation!A:A,2,1),"CDH2 - CDH5")</f>
        <v>CDH2 - CDH5</v>
      </c>
      <c r="L24784" s="4" t="str">
        <f>HYPERLINK("#Réglementation!A"&amp;_xlfn.XMATCH("NP1",Réglementation!A:A,2,1),"NP1")</f>
        <v>NP1</v>
      </c>
      <c r="O24784" s="7" t="str">
        <f>HYPERLINK("#Liste_rouge!A"&amp;_xlfn.XMATCH("LC",Liste_rouge!A:A,2,1),"LC")</f>
        <v>LC</v>
      </c>
      <c r="P24784" s="7" t="str">
        <f>HYPERLINK("#Liste_rouge!A"&amp;_xlfn.XMATCH("LC",Liste_rouge!A:A,2,1),"LC")</f>
        <v>LC</v>
      </c>
      <c r="Q24784" s="7" t="str">
        <f>HYPERLINK("#Liste_rouge!A"&amp;_xlfn.XMATCH("NT",Liste_rouge!A:A,2,1),"NT")</f>
        <v>NT</v>
      </c>
      <c r="V24784" s="7" t="str">
        <f>HYPERLINK("#Liste_rouge!A"&amp;_xlfn.XMATCH("RE",Liste_rouge!A:A,2,1),"RE")</f>
        <v>RE</v>
      </c>
      <c r="X24784" s="5" t="s">
        <v>374</v>
      </c>
      <c r="Y24784" s="5" t="s">
        <v>93</v>
      </c>
      <c r="AE24784" s="4" t="str">
        <f>HYPERLINK("#SCAP!A"&amp;_xlfn.XMATCH("1+",SCAP!A:A,2,1),"1+")</f>
        <v>1+</v>
      </c>
      <c r="AF24784" s="4" t="str">
        <f>HYPERLINK("#SCAP!A"&amp;_xlfn.XMATCH("1+",SCAP!A:A,2,1),"1+")</f>
        <v>1+</v>
      </c>
      <c r="AH24784" s="4" t="str">
        <f>HYPERLINK("#Statut_biogéographique!A"&amp;_xlfn.XMATCH("P",Statut_biogéographique!A:A,2,1),"P")</f>
        <v>P</v>
      </c>
      <c r="AP24784" s="4" t="s">
        <v>376</v>
      </c>
      <c r="AR24784" s="4" t="s">
        <v>377</v>
      </c>
    </row>
    <row r="24785" spans="1:44" ht="135">
      <c r="A24785" s="4" t="s">
        <v>104</v>
      </c>
      <c r="B24785" s="4">
        <v>67058</v>
      </c>
      <c r="D24785" s="5" t="s">
        <v>32795</v>
      </c>
      <c r="E24785" s="6" t="str">
        <f>HYPERLINK("https://inpn.mnhn.fr/espece/cd_nom/67058","Cyprinus carpio Linnaeus, 1758")</f>
        <v>Cyprinus carpio Linnaeus, 1758</v>
      </c>
      <c r="F24785" s="5" t="s">
        <v>32796</v>
      </c>
      <c r="O24785" s="7" t="str">
        <f>HYPERLINK("#Liste_rouge!A"&amp;_xlfn.XMATCH("VU",Liste_rouge!A:A,2,1),"VU")</f>
        <v>VU</v>
      </c>
      <c r="P24785" s="7" t="str">
        <f>HYPERLINK("#Liste_rouge!A"&amp;_xlfn.XMATCH("VU",Liste_rouge!A:A,2,1),"VU")</f>
        <v>VU</v>
      </c>
      <c r="Q24785" s="7" t="str">
        <f>HYPERLINK("#Liste_rouge!A"&amp;_xlfn.XMATCH("LC",Liste_rouge!A:A,2,1),"LC")</f>
        <v>LC</v>
      </c>
      <c r="V24785" s="7" t="str">
        <f>HYPERLINK("#Liste_rouge!A"&amp;_xlfn.XMATCH("LC",Liste_rouge!A:A,2,1),"LC")</f>
        <v>LC</v>
      </c>
      <c r="AH24785" s="4" t="str">
        <f>HYPERLINK("#Statut_biogéographique!A"&amp;_xlfn.XMATCH("J",Statut_biogéographique!A:A,2,1),"J")</f>
        <v>J</v>
      </c>
      <c r="AP24785" s="4" t="s">
        <v>376</v>
      </c>
      <c r="AR24785" s="4" t="s">
        <v>377</v>
      </c>
    </row>
    <row r="24786" spans="1:44" ht="60">
      <c r="A24786" s="4" t="s">
        <v>104</v>
      </c>
      <c r="B24786" s="4">
        <v>67074</v>
      </c>
      <c r="D24786" s="5" t="s">
        <v>32797</v>
      </c>
      <c r="E24786" s="6" t="str">
        <f>HYPERLINK("https://inpn.mnhn.fr/espece/cd_nom/67074","Abramis brama (Linnaeus, 1758)")</f>
        <v>Abramis brama (Linnaeus, 1758)</v>
      </c>
      <c r="F24786" s="5" t="s">
        <v>32798</v>
      </c>
      <c r="O24786" s="7" t="str">
        <f>HYPERLINK("#Liste_rouge!A"&amp;_xlfn.XMATCH("LC",Liste_rouge!A:A,2,1),"LC")</f>
        <v>LC</v>
      </c>
      <c r="P24786" s="7" t="str">
        <f>HYPERLINK("#Liste_rouge!A"&amp;_xlfn.XMATCH("LC",Liste_rouge!A:A,2,1),"LC")</f>
        <v>LC</v>
      </c>
      <c r="Q24786" s="7" t="str">
        <f>HYPERLINK("#Liste_rouge!A"&amp;_xlfn.XMATCH("LC",Liste_rouge!A:A,2,1),"LC")</f>
        <v>LC</v>
      </c>
      <c r="V24786" s="7" t="str">
        <f>HYPERLINK("#Liste_rouge!A"&amp;_xlfn.XMATCH("LC",Liste_rouge!A:A,2,1),"LC")</f>
        <v>LC</v>
      </c>
      <c r="AH24786" s="4" t="str">
        <f>HYPERLINK("#Statut_biogéographique!A"&amp;_xlfn.XMATCH("P",Statut_biogéographique!A:A,2,1),"P")</f>
        <v>P</v>
      </c>
      <c r="AP24786" s="4" t="s">
        <v>376</v>
      </c>
      <c r="AR24786" s="4" t="s">
        <v>377</v>
      </c>
    </row>
    <row r="24787" spans="1:44" ht="45">
      <c r="A24787" s="4" t="s">
        <v>104</v>
      </c>
      <c r="B24787" s="4">
        <v>67104</v>
      </c>
      <c r="D24787" s="5" t="s">
        <v>32799</v>
      </c>
      <c r="E24787" s="6" t="str">
        <f>HYPERLINK("https://inpn.mnhn.fr/espece/cd_nom/67104","Alburnoides bipunctatus (Bloch, 1782)")</f>
        <v>Alburnoides bipunctatus (Bloch, 1782)</v>
      </c>
      <c r="F24787" s="5" t="s">
        <v>32800</v>
      </c>
      <c r="I24787" s="4" t="str">
        <f>HYPERLINK("#Réglementation!A"&amp;_xlfn.XMATCH("IBE3",Réglementation!A:A,2,1),"IBE3")</f>
        <v>IBE3</v>
      </c>
      <c r="P24787" s="7" t="str">
        <f>HYPERLINK("#Liste_rouge!A"&amp;_xlfn.XMATCH("LC",Liste_rouge!A:A,2,1),"LC")</f>
        <v>LC</v>
      </c>
      <c r="Q24787" s="7" t="str">
        <f>HYPERLINK("#Liste_rouge!A"&amp;_xlfn.XMATCH("LC",Liste_rouge!A:A,2,1),"LC")</f>
        <v>LC</v>
      </c>
      <c r="V24787" s="7" t="str">
        <f>HYPERLINK("#Liste_rouge!A"&amp;_xlfn.XMATCH("LC",Liste_rouge!A:A,2,1),"LC")</f>
        <v>LC</v>
      </c>
      <c r="AH24787" s="4" t="str">
        <f>HYPERLINK("#Statut_biogéographique!A"&amp;_xlfn.XMATCH("P",Statut_biogéographique!A:A,2,1),"P")</f>
        <v>P</v>
      </c>
      <c r="AP24787" s="4" t="s">
        <v>376</v>
      </c>
      <c r="AR24787" s="4" t="s">
        <v>377</v>
      </c>
    </row>
    <row r="24788" spans="1:44" ht="120">
      <c r="A24788" s="4" t="s">
        <v>104</v>
      </c>
      <c r="B24788" s="4">
        <v>67111</v>
      </c>
      <c r="D24788" s="5" t="s">
        <v>32801</v>
      </c>
      <c r="E24788" s="6" t="str">
        <f>HYPERLINK("https://inpn.mnhn.fr/espece/cd_nom/67111","Alburnus alburnus (Linnaeus, 1758)")</f>
        <v>Alburnus alburnus (Linnaeus, 1758)</v>
      </c>
      <c r="F24788" s="5" t="s">
        <v>32802</v>
      </c>
      <c r="O24788" s="7" t="str">
        <f>HYPERLINK("#Liste_rouge!A"&amp;_xlfn.XMATCH("LC",Liste_rouge!A:A,2,1),"LC")</f>
        <v>LC</v>
      </c>
      <c r="P24788" s="7" t="str">
        <f>HYPERLINK("#Liste_rouge!A"&amp;_xlfn.XMATCH("LC",Liste_rouge!A:A,2,1),"LC")</f>
        <v>LC</v>
      </c>
      <c r="Q24788" s="7" t="str">
        <f>HYPERLINK("#Liste_rouge!A"&amp;_xlfn.XMATCH("LC",Liste_rouge!A:A,2,1),"LC")</f>
        <v>LC</v>
      </c>
      <c r="V24788" s="7" t="str">
        <f>HYPERLINK("#Liste_rouge!A"&amp;_xlfn.XMATCH("LC",Liste_rouge!A:A,2,1),"LC")</f>
        <v>LC</v>
      </c>
      <c r="AH24788" s="4" t="str">
        <f>HYPERLINK("#Statut_biogéographique!A"&amp;_xlfn.XMATCH("P",Statut_biogéographique!A:A,2,1),"P")</f>
        <v>P</v>
      </c>
      <c r="AP24788" s="4" t="s">
        <v>376</v>
      </c>
      <c r="AR24788" s="4" t="s">
        <v>377</v>
      </c>
    </row>
    <row r="24789" spans="1:44" ht="45">
      <c r="A24789" s="4" t="s">
        <v>104</v>
      </c>
      <c r="B24789" s="4">
        <v>67143</v>
      </c>
      <c r="D24789" s="5" t="s">
        <v>32803</v>
      </c>
      <c r="E24789" s="6" t="str">
        <f>HYPERLINK("https://inpn.mnhn.fr/espece/cd_nom/67143","Barbus barbus (Linnaeus, 1758)")</f>
        <v>Barbus barbus (Linnaeus, 1758)</v>
      </c>
      <c r="F24789" s="5" t="s">
        <v>32804</v>
      </c>
      <c r="K24789" s="4" t="str">
        <f>HYPERLINK("#Réglementation!A"&amp;_xlfn.XMATCH("CDH5",Réglementation!A:A,2,1),"CDH5")</f>
        <v>CDH5</v>
      </c>
      <c r="O24789" s="7" t="str">
        <f>HYPERLINK("#Liste_rouge!A"&amp;_xlfn.XMATCH("LC",Liste_rouge!A:A,2,1),"LC")</f>
        <v>LC</v>
      </c>
      <c r="P24789" s="7" t="str">
        <f>HYPERLINK("#Liste_rouge!A"&amp;_xlfn.XMATCH("LC",Liste_rouge!A:A,2,1),"LC")</f>
        <v>LC</v>
      </c>
      <c r="Q24789" s="7" t="str">
        <f>HYPERLINK("#Liste_rouge!A"&amp;_xlfn.XMATCH("LC",Liste_rouge!A:A,2,1),"LC")</f>
        <v>LC</v>
      </c>
      <c r="V24789" s="7" t="str">
        <f>HYPERLINK("#Liste_rouge!A"&amp;_xlfn.XMATCH("LC",Liste_rouge!A:A,2,1),"LC")</f>
        <v>LC</v>
      </c>
      <c r="AH24789" s="4" t="str">
        <f>HYPERLINK("#Statut_biogéographique!A"&amp;_xlfn.XMATCH("P",Statut_biogéographique!A:A,2,1),"P")</f>
        <v>P</v>
      </c>
      <c r="AP24789" s="4" t="s">
        <v>376</v>
      </c>
      <c r="AR24789" s="4" t="s">
        <v>377</v>
      </c>
    </row>
    <row r="24790" spans="1:44">
      <c r="A24790" s="4" t="s">
        <v>104</v>
      </c>
      <c r="B24790" s="4">
        <v>67179</v>
      </c>
      <c r="D24790" s="5">
        <v>67179</v>
      </c>
      <c r="E24790" s="6" t="str">
        <f>HYPERLINK("https://inpn.mnhn.fr/espece/cd_nom/67179","Barbus meridionalis Risso, 1827")</f>
        <v>Barbus meridionalis Risso, 1827</v>
      </c>
      <c r="F24790" s="5" t="s">
        <v>32805</v>
      </c>
      <c r="I24790" s="4" t="str">
        <f>HYPERLINK("#Réglementation!A"&amp;_xlfn.XMATCH("IBE3",Réglementation!A:A,2,1),"IBE3")</f>
        <v>IBE3</v>
      </c>
      <c r="K24790" s="4" t="str">
        <f>HYPERLINK("#Réglementation!A"&amp;_xlfn.XMATCH("CDH2",Réglementation!A:A,2,1),"CDH2 - CDH5")</f>
        <v>CDH2 - CDH5</v>
      </c>
      <c r="L24790" s="4" t="str">
        <f>HYPERLINK("#Réglementation!A"&amp;_xlfn.XMATCH("NP1",Réglementation!A:A,2,1),"NP1")</f>
        <v>NP1</v>
      </c>
      <c r="O24790" s="7" t="str">
        <f>HYPERLINK("#Liste_rouge!A"&amp;_xlfn.XMATCH("NT",Liste_rouge!A:A,2,1),"NT")</f>
        <v>NT</v>
      </c>
      <c r="P24790" s="7" t="str">
        <f>HYPERLINK("#Liste_rouge!A"&amp;_xlfn.XMATCH("NT",Liste_rouge!A:A,2,1),"NT")</f>
        <v>NT</v>
      </c>
      <c r="Q24790" s="7" t="str">
        <f>HYPERLINK("#Liste_rouge!A"&amp;_xlfn.XMATCH("NT",Liste_rouge!A:A,2,1),"NT")</f>
        <v>NT</v>
      </c>
      <c r="AE24790" s="4" t="str">
        <f>HYPERLINK("#SCAP!A"&amp;_xlfn.XMATCH("3",SCAP!A:A,2,1),"3")</f>
        <v>3</v>
      </c>
      <c r="AH24790" s="4" t="str">
        <f>HYPERLINK("#Statut_biogéographique!A"&amp;_xlfn.XMATCH("S",Statut_biogéographique!A:A,2,1),"S")</f>
        <v>S</v>
      </c>
      <c r="AP24790" s="4" t="s">
        <v>376</v>
      </c>
      <c r="AR24790" s="4" t="s">
        <v>377</v>
      </c>
    </row>
    <row r="24791" spans="1:44" ht="75">
      <c r="A24791" s="4" t="s">
        <v>104</v>
      </c>
      <c r="B24791" s="4">
        <v>67203</v>
      </c>
      <c r="D24791" s="5" t="s">
        <v>32806</v>
      </c>
      <c r="E24791" s="6" t="str">
        <f>HYPERLINK("https://inpn.mnhn.fr/espece/cd_nom/67203","Blicca bjoerkna (Linnaeus, 1758)")</f>
        <v>Blicca bjoerkna (Linnaeus, 1758)</v>
      </c>
      <c r="F24791" s="5" t="s">
        <v>32807</v>
      </c>
      <c r="O24791" s="7" t="str">
        <f>HYPERLINK("#Liste_rouge!A"&amp;_xlfn.XMATCH("LC",Liste_rouge!A:A,2,1),"LC")</f>
        <v>LC</v>
      </c>
      <c r="P24791" s="7" t="str">
        <f>HYPERLINK("#Liste_rouge!A"&amp;_xlfn.XMATCH("LC",Liste_rouge!A:A,2,1),"LC")</f>
        <v>LC</v>
      </c>
      <c r="Q24791" s="7" t="str">
        <f>HYPERLINK("#Liste_rouge!A"&amp;_xlfn.XMATCH("LC",Liste_rouge!A:A,2,1),"LC")</f>
        <v>LC</v>
      </c>
      <c r="V24791" s="7" t="str">
        <f>HYPERLINK("#Liste_rouge!A"&amp;_xlfn.XMATCH("LC",Liste_rouge!A:A,2,1),"LC")</f>
        <v>LC</v>
      </c>
      <c r="AH24791" s="4" t="str">
        <f>HYPERLINK("#Statut_biogéographique!A"&amp;_xlfn.XMATCH("P",Statut_biogéographique!A:A,2,1),"P")</f>
        <v>P</v>
      </c>
      <c r="AP24791" s="4" t="s">
        <v>376</v>
      </c>
      <c r="AR24791" s="4" t="s">
        <v>377</v>
      </c>
    </row>
    <row r="24792" spans="1:44" ht="75">
      <c r="A24792" s="4" t="s">
        <v>104</v>
      </c>
      <c r="B24792" s="4">
        <v>67206</v>
      </c>
      <c r="D24792" s="5" t="s">
        <v>32808</v>
      </c>
      <c r="E24792" s="6" t="str">
        <f>HYPERLINK("https://inpn.mnhn.fr/espece/cd_nom/67206","Carassius carassius (Linnaeus, 1758)")</f>
        <v>Carassius carassius (Linnaeus, 1758)</v>
      </c>
      <c r="F24792" s="5" t="s">
        <v>32809</v>
      </c>
      <c r="O24792" s="7" t="str">
        <f>HYPERLINK("#Liste_rouge!A"&amp;_xlfn.XMATCH("LC",Liste_rouge!A:A,2,1),"LC")</f>
        <v>LC</v>
      </c>
      <c r="P24792" s="7" t="str">
        <f>HYPERLINK("#Liste_rouge!A"&amp;_xlfn.XMATCH("LC",Liste_rouge!A:A,2,1),"LC")</f>
        <v>LC</v>
      </c>
      <c r="Q24792" s="7" t="str">
        <f>HYPERLINK("#Liste_rouge!A"&amp;_xlfn.XMATCH("NA",Liste_rouge!A:A,2,1),"NA")</f>
        <v>NA</v>
      </c>
      <c r="V24792" s="7" t="str">
        <f>HYPERLINK("#Liste_rouge!A"&amp;_xlfn.XMATCH("NA",Liste_rouge!A:A,2,1),"NA")</f>
        <v>NA</v>
      </c>
      <c r="AH24792" s="4" t="str">
        <f>HYPERLINK("#Statut_biogéographique!A"&amp;_xlfn.XMATCH("I",Statut_biogéographique!A:A,2,1),"I")</f>
        <v>I</v>
      </c>
      <c r="AP24792" s="4" t="s">
        <v>376</v>
      </c>
      <c r="AR24792" s="4" t="s">
        <v>377</v>
      </c>
    </row>
    <row r="24793" spans="1:44" ht="135">
      <c r="A24793" s="4" t="s">
        <v>104</v>
      </c>
      <c r="B24793" s="4">
        <v>67208</v>
      </c>
      <c r="D24793" s="5" t="s">
        <v>32810</v>
      </c>
      <c r="E24793" s="6" t="str">
        <f>HYPERLINK("https://inpn.mnhn.fr/espece/cd_nom/67208","Carassius auratus (Linnaeus, 1758)")</f>
        <v>Carassius auratus (Linnaeus, 1758)</v>
      </c>
      <c r="F24793" s="5" t="s">
        <v>32809</v>
      </c>
      <c r="O24793" s="7" t="str">
        <f>HYPERLINK("#Liste_rouge!A"&amp;_xlfn.XMATCH("LC",Liste_rouge!A:A,2,1),"LC")</f>
        <v>LC</v>
      </c>
      <c r="Q24793" s="7" t="str">
        <f>HYPERLINK("#Liste_rouge!A"&amp;_xlfn.XMATCH("NA",Liste_rouge!A:A,2,1),"NA")</f>
        <v>NA</v>
      </c>
      <c r="AH24793" s="4" t="str">
        <f>HYPERLINK("#Statut_biogéographique!A"&amp;_xlfn.XMATCH("I",Statut_biogéographique!A:A,2,1),"I")</f>
        <v>I</v>
      </c>
      <c r="AP24793" s="4" t="s">
        <v>376</v>
      </c>
      <c r="AR24793" s="4" t="s">
        <v>377</v>
      </c>
    </row>
    <row r="24794" spans="1:44" ht="30">
      <c r="A24794" s="4" t="s">
        <v>104</v>
      </c>
      <c r="B24794" s="4">
        <v>67210</v>
      </c>
      <c r="D24794" s="5" t="s">
        <v>32811</v>
      </c>
      <c r="E24794" s="6" t="str">
        <f>HYPERLINK("https://inpn.mnhn.fr/espece/cd_nom/67210","Carassius gibelio (Bloch, 1782)")</f>
        <v>Carassius gibelio (Bloch, 1782)</v>
      </c>
      <c r="F24794" s="5" t="s">
        <v>32812</v>
      </c>
      <c r="Q24794" s="7" t="str">
        <f>HYPERLINK("#Liste_rouge!A"&amp;_xlfn.XMATCH("NA",Liste_rouge!A:A,2,1),"NA")</f>
        <v>NA</v>
      </c>
      <c r="AH24794" s="4" t="str">
        <f>HYPERLINK("#Statut_biogéographique!A"&amp;_xlfn.XMATCH("I",Statut_biogéographique!A:A,2,1),"I")</f>
        <v>I</v>
      </c>
      <c r="AP24794" s="4" t="s">
        <v>376</v>
      </c>
      <c r="AR24794" s="4" t="s">
        <v>377</v>
      </c>
    </row>
    <row r="24795" spans="1:44" ht="45">
      <c r="A24795" s="4" t="s">
        <v>104</v>
      </c>
      <c r="B24795" s="4">
        <v>67220</v>
      </c>
      <c r="D24795" s="5" t="s">
        <v>32813</v>
      </c>
      <c r="E24795" s="6" t="str">
        <f>HYPERLINK("https://inpn.mnhn.fr/espece/cd_nom/67220","Chondrostoma nasus (Linnaeus, 1758)")</f>
        <v>Chondrostoma nasus (Linnaeus, 1758)</v>
      </c>
      <c r="F24795" s="5" t="s">
        <v>32814</v>
      </c>
      <c r="I24795" s="4" t="str">
        <f>HYPERLINK("#Réglementation!A"&amp;_xlfn.XMATCH("IBE3",Réglementation!A:A,2,1),"IBE3")</f>
        <v>IBE3</v>
      </c>
      <c r="O24795" s="7" t="str">
        <f>HYPERLINK("#Liste_rouge!A"&amp;_xlfn.XMATCH("LC",Liste_rouge!A:A,2,1),"LC")</f>
        <v>LC</v>
      </c>
      <c r="P24795" s="7" t="str">
        <f>HYPERLINK("#Liste_rouge!A"&amp;_xlfn.XMATCH("LC",Liste_rouge!A:A,2,1),"LC")</f>
        <v>LC</v>
      </c>
      <c r="Q24795" s="7" t="str">
        <f>HYPERLINK("#Liste_rouge!A"&amp;_xlfn.XMATCH("LC",Liste_rouge!A:A,2,1),"LC")</f>
        <v>LC</v>
      </c>
      <c r="V24795" s="7" t="str">
        <f>HYPERLINK("#Liste_rouge!A"&amp;_xlfn.XMATCH("LC",Liste_rouge!A:A,2,1),"LC")</f>
        <v>LC</v>
      </c>
      <c r="AH24795" s="4" t="str">
        <f>HYPERLINK("#Statut_biogéographique!A"&amp;_xlfn.XMATCH("P",Statut_biogéographique!A:A,2,1),"P")</f>
        <v>P</v>
      </c>
      <c r="AP24795" s="4" t="s">
        <v>376</v>
      </c>
      <c r="AR24795" s="4" t="s">
        <v>377</v>
      </c>
    </row>
    <row r="24796" spans="1:44" ht="30">
      <c r="A24796" s="4" t="s">
        <v>104</v>
      </c>
      <c r="B24796" s="4">
        <v>67246</v>
      </c>
      <c r="D24796" s="5" t="s">
        <v>32815</v>
      </c>
      <c r="E24796" s="6" t="str">
        <f>HYPERLINK("https://inpn.mnhn.fr/espece/cd_nom/67246","Ctenopharyngodon idella (Valenciennes, 1844)")</f>
        <v>Ctenopharyngodon idella (Valenciennes, 1844)</v>
      </c>
      <c r="F24796" s="5" t="s">
        <v>32816</v>
      </c>
      <c r="O24796" s="7" t="str">
        <f>HYPERLINK("#Liste_rouge!A"&amp;_xlfn.XMATCH("LC",Liste_rouge!A:A,2,1),"LC")</f>
        <v>LC</v>
      </c>
      <c r="V24796" s="7" t="str">
        <f>HYPERLINK("#Liste_rouge!A"&amp;_xlfn.XMATCH("NA",Liste_rouge!A:A,2,1),"NA")</f>
        <v>NA</v>
      </c>
      <c r="AH24796" s="4" t="str">
        <f>HYPERLINK("#Statut_biogéographique!A"&amp;_xlfn.XMATCH("M",Statut_biogéographique!A:A,2,1),"M")</f>
        <v>M</v>
      </c>
      <c r="AP24796" s="4" t="s">
        <v>376</v>
      </c>
      <c r="AR24796" s="4" t="s">
        <v>377</v>
      </c>
    </row>
    <row r="24797" spans="1:44" ht="45">
      <c r="A24797" s="4" t="s">
        <v>104</v>
      </c>
      <c r="B24797" s="4">
        <v>67257</v>
      </c>
      <c r="D24797" s="5" t="s">
        <v>32817</v>
      </c>
      <c r="E24797" s="6" t="str">
        <f>HYPERLINK("https://inpn.mnhn.fr/espece/cd_nom/67257","Gobio gobio (Linnaeus, 1758)")</f>
        <v>Gobio gobio (Linnaeus, 1758)</v>
      </c>
      <c r="F24797" s="5" t="s">
        <v>32818</v>
      </c>
      <c r="O24797" s="7" t="str">
        <f>HYPERLINK("#Liste_rouge!A"&amp;_xlfn.XMATCH("LC",Liste_rouge!A:A,2,1),"LC")</f>
        <v>LC</v>
      </c>
      <c r="P24797" s="7" t="str">
        <f>HYPERLINK("#Liste_rouge!A"&amp;_xlfn.XMATCH("LC",Liste_rouge!A:A,2,1),"LC")</f>
        <v>LC</v>
      </c>
      <c r="Q24797" s="7" t="str">
        <f>HYPERLINK("#Liste_rouge!A"&amp;_xlfn.XMATCH("LC",Liste_rouge!A:A,2,1),"LC")</f>
        <v>LC</v>
      </c>
      <c r="V24797" s="7" t="str">
        <f>HYPERLINK("#Liste_rouge!A"&amp;_xlfn.XMATCH("LC",Liste_rouge!A:A,2,1),"LC")</f>
        <v>LC</v>
      </c>
      <c r="AH24797" s="4" t="str">
        <f>HYPERLINK("#Statut_biogéographique!A"&amp;_xlfn.XMATCH("P",Statut_biogéographique!A:A,2,1),"P")</f>
        <v>P</v>
      </c>
      <c r="AP24797" s="4" t="s">
        <v>376</v>
      </c>
      <c r="AR24797" s="4" t="s">
        <v>377</v>
      </c>
    </row>
    <row r="24798" spans="1:44" ht="30">
      <c r="A24798" s="4" t="s">
        <v>104</v>
      </c>
      <c r="B24798" s="4">
        <v>67275</v>
      </c>
      <c r="D24798" s="5" t="s">
        <v>32819</v>
      </c>
      <c r="E24798" s="6" t="str">
        <f>HYPERLINK("https://inpn.mnhn.fr/espece/cd_nom/67275","Hypophthalmichthys molitrix (Valenciennes, 1844)")</f>
        <v>Hypophthalmichthys molitrix (Valenciennes, 1844)</v>
      </c>
      <c r="F24798" s="5" t="s">
        <v>32820</v>
      </c>
      <c r="O24798" s="7" t="str">
        <f>HYPERLINK("#Liste_rouge!A"&amp;_xlfn.XMATCH("NT",Liste_rouge!A:A,2,1),"NT")</f>
        <v>NT</v>
      </c>
      <c r="V24798" s="7" t="str">
        <f>HYPERLINK("#Liste_rouge!A"&amp;_xlfn.XMATCH("NA",Liste_rouge!A:A,2,1),"NA")</f>
        <v>NA</v>
      </c>
      <c r="AH24798" s="4" t="str">
        <f>HYPERLINK("#Statut_biogéographique!A"&amp;_xlfn.XMATCH("M",Statut_biogéographique!A:A,2,1),"M")</f>
        <v>M</v>
      </c>
      <c r="AP24798" s="4" t="s">
        <v>376</v>
      </c>
      <c r="AR24798" s="4" t="s">
        <v>377</v>
      </c>
    </row>
    <row r="24799" spans="1:44" ht="45">
      <c r="A24799" s="4" t="s">
        <v>104</v>
      </c>
      <c r="B24799" s="4">
        <v>67286</v>
      </c>
      <c r="D24799" s="5" t="s">
        <v>32821</v>
      </c>
      <c r="E24799" s="6" t="str">
        <f>HYPERLINK("https://inpn.mnhn.fr/espece/cd_nom/67286","Leucaspius delineatus (Heckel, 1843)")</f>
        <v>Leucaspius delineatus (Heckel, 1843)</v>
      </c>
      <c r="F24799" s="5" t="s">
        <v>32822</v>
      </c>
      <c r="I24799" s="4" t="str">
        <f>HYPERLINK("#Réglementation!A"&amp;_xlfn.XMATCH("IBE3",Réglementation!A:A,2,1),"IBE3")</f>
        <v>IBE3</v>
      </c>
      <c r="O24799" s="7" t="str">
        <f>HYPERLINK("#Liste_rouge!A"&amp;_xlfn.XMATCH("LC",Liste_rouge!A:A,2,1),"LC")</f>
        <v>LC</v>
      </c>
      <c r="P24799" s="7" t="str">
        <f>HYPERLINK("#Liste_rouge!A"&amp;_xlfn.XMATCH("LC",Liste_rouge!A:A,2,1),"LC")</f>
        <v>LC</v>
      </c>
      <c r="Q24799" s="7" t="str">
        <f>HYPERLINK("#Liste_rouge!A"&amp;_xlfn.XMATCH("DD",Liste_rouge!A:A,2,1),"DD")</f>
        <v>DD</v>
      </c>
      <c r="V24799" s="7" t="str">
        <f>HYPERLINK("#Liste_rouge!A"&amp;_xlfn.XMATCH("NA",Liste_rouge!A:A,2,1),"NA")</f>
        <v>NA</v>
      </c>
      <c r="AH24799" s="4" t="str">
        <f>HYPERLINK("#Statut_biogéographique!A"&amp;_xlfn.XMATCH("C",Statut_biogéographique!A:A,2,1),"C")</f>
        <v>C</v>
      </c>
      <c r="AP24799" s="4" t="s">
        <v>376</v>
      </c>
      <c r="AR24799" s="4" t="s">
        <v>377</v>
      </c>
    </row>
    <row r="24800" spans="1:44" ht="30">
      <c r="A24800" s="4" t="s">
        <v>104</v>
      </c>
      <c r="B24800" s="4">
        <v>67292</v>
      </c>
      <c r="D24800" s="5" t="s">
        <v>32823</v>
      </c>
      <c r="E24800" s="6" t="str">
        <f>HYPERLINK("https://inpn.mnhn.fr/espece/cd_nom/67292","Leuciscus burdigalensis Valenciennes in Cuvier &amp; Valenciennes, 1844")</f>
        <v>Leuciscus burdigalensis Valenciennes in Cuvier &amp; Valenciennes, 1844</v>
      </c>
      <c r="F24800" s="5" t="s">
        <v>32824</v>
      </c>
      <c r="L24800" s="4" t="str">
        <f>HYPERLINK("#Réglementation!A"&amp;_xlfn.XMATCH("NP1",Réglementation!A:A,2,1),"NP1")</f>
        <v>NP1</v>
      </c>
      <c r="O24800" s="7" t="str">
        <f>HYPERLINK("#Liste_rouge!A"&amp;_xlfn.XMATCH("LC",Liste_rouge!A:A,2,1),"LC")</f>
        <v>LC</v>
      </c>
      <c r="P24800" s="7" t="str">
        <f>HYPERLINK("#Liste_rouge!A"&amp;_xlfn.XMATCH("LC",Liste_rouge!A:A,2,1),"LC")</f>
        <v>LC</v>
      </c>
      <c r="Q24800" s="7" t="str">
        <f>HYPERLINK("#Liste_rouge!A"&amp;_xlfn.XMATCH("NT",Liste_rouge!A:A,2,1),"NT")</f>
        <v>NT</v>
      </c>
      <c r="X24800" s="5" t="s">
        <v>374</v>
      </c>
      <c r="Y24800" s="5" t="s">
        <v>93</v>
      </c>
      <c r="AH24800" s="4" t="str">
        <f>HYPERLINK("#Statut_biogéographique!A"&amp;_xlfn.XMATCH("E",Statut_biogéographique!A:A,2,1),"E")</f>
        <v>E</v>
      </c>
      <c r="AP24800" s="4" t="s">
        <v>376</v>
      </c>
      <c r="AR24800" s="4" t="s">
        <v>377</v>
      </c>
    </row>
    <row r="24801" spans="1:44" ht="120">
      <c r="A24801" s="4" t="s">
        <v>104</v>
      </c>
      <c r="B24801" s="4">
        <v>67295</v>
      </c>
      <c r="D24801" s="5" t="s">
        <v>32825</v>
      </c>
      <c r="E24801" s="6" t="str">
        <f>HYPERLINK("https://inpn.mnhn.fr/espece/cd_nom/67295","Leuciscus leuciscus (Linnaeus, 1758)")</f>
        <v>Leuciscus leuciscus (Linnaeus, 1758)</v>
      </c>
      <c r="F24801" s="5" t="s">
        <v>32826</v>
      </c>
      <c r="L24801" s="4" t="str">
        <f>HYPERLINK("#Réglementation!A"&amp;_xlfn.XMATCH("NP1",Réglementation!A:A,2,1),"NP1")</f>
        <v>NP1</v>
      </c>
      <c r="O24801" s="7" t="str">
        <f>HYPERLINK("#Liste_rouge!A"&amp;_xlfn.XMATCH("LC",Liste_rouge!A:A,2,1),"LC")</f>
        <v>LC</v>
      </c>
      <c r="P24801" s="7" t="str">
        <f>HYPERLINK("#Liste_rouge!A"&amp;_xlfn.XMATCH("LC",Liste_rouge!A:A,2,1),"LC")</f>
        <v>LC</v>
      </c>
      <c r="Q24801" s="7" t="str">
        <f>HYPERLINK("#Liste_rouge!A"&amp;_xlfn.XMATCH("LC",Liste_rouge!A:A,2,1),"LC")</f>
        <v>LC</v>
      </c>
      <c r="V24801" s="7" t="str">
        <f>HYPERLINK("#Liste_rouge!A"&amp;_xlfn.XMATCH("NT",Liste_rouge!A:A,2,1),"NT")</f>
        <v>NT</v>
      </c>
      <c r="W24801" s="4" t="str">
        <f>HYPERLINK("#Critères_liste_rouge!A$1","A2abce")</f>
        <v>A2abce</v>
      </c>
      <c r="X24801" s="5" t="s">
        <v>374</v>
      </c>
      <c r="Y24801" s="5" t="s">
        <v>93</v>
      </c>
      <c r="AE24801" s="4" t="str">
        <f>HYPERLINK("#SCAP!A"&amp;_xlfn.XMATCH("A",SCAP!A:A,2,1),"A")</f>
        <v>A</v>
      </c>
      <c r="AH24801" s="4" t="str">
        <f>HYPERLINK("#Statut_biogéographique!A"&amp;_xlfn.XMATCH("P",Statut_biogéographique!A:A,2,1),"P")</f>
        <v>P</v>
      </c>
      <c r="AP24801" s="4" t="s">
        <v>376</v>
      </c>
      <c r="AR24801" s="4" t="s">
        <v>377</v>
      </c>
    </row>
    <row r="24802" spans="1:44" ht="60">
      <c r="A24802" s="4" t="s">
        <v>104</v>
      </c>
      <c r="B24802" s="4">
        <v>67304</v>
      </c>
      <c r="D24802" s="5" t="s">
        <v>32827</v>
      </c>
      <c r="E24802" s="6" t="str">
        <f>HYPERLINK("https://inpn.mnhn.fr/espece/cd_nom/67304","Leuciscus idus (Linnaeus, 1758)")</f>
        <v>Leuciscus idus (Linnaeus, 1758)</v>
      </c>
      <c r="F24802" s="5" t="s">
        <v>32828</v>
      </c>
      <c r="L24802" s="4" t="str">
        <f>HYPERLINK("#Réglementation!A"&amp;_xlfn.XMATCH("NP1",Réglementation!A:A,2,1),"NP1")</f>
        <v>NP1</v>
      </c>
      <c r="O24802" s="7" t="str">
        <f>HYPERLINK("#Liste_rouge!A"&amp;_xlfn.XMATCH("LC",Liste_rouge!A:A,2,1),"LC")</f>
        <v>LC</v>
      </c>
      <c r="P24802" s="7" t="str">
        <f>HYPERLINK("#Liste_rouge!A"&amp;_xlfn.XMATCH("LC",Liste_rouge!A:A,2,1),"LC")</f>
        <v>LC</v>
      </c>
      <c r="Q24802" s="7" t="str">
        <f>HYPERLINK("#Liste_rouge!A"&amp;_xlfn.XMATCH("DD",Liste_rouge!A:A,2,1),"DD")</f>
        <v>DD</v>
      </c>
      <c r="V24802" s="7" t="str">
        <f>HYPERLINK("#Liste_rouge!A"&amp;_xlfn.XMATCH("NA",Liste_rouge!A:A,2,1),"NA")</f>
        <v>NA</v>
      </c>
      <c r="AH24802" s="4" t="str">
        <f>HYPERLINK("#Statut_biogéographique!A"&amp;_xlfn.XMATCH("P",Statut_biogéographique!A:A,2,1),"P")</f>
        <v>P</v>
      </c>
      <c r="AP24802" s="4" t="s">
        <v>376</v>
      </c>
      <c r="AR24802" s="4" t="s">
        <v>377</v>
      </c>
    </row>
    <row r="24803" spans="1:44" ht="135">
      <c r="A24803" s="4" t="s">
        <v>104</v>
      </c>
      <c r="B24803" s="4">
        <v>67310</v>
      </c>
      <c r="D24803" s="5" t="s">
        <v>32829</v>
      </c>
      <c r="E24803" s="6" t="str">
        <f>HYPERLINK("https://inpn.mnhn.fr/espece/cd_nom/67310","Squalius cephalus (Linnaeus, 1758)")</f>
        <v>Squalius cephalus (Linnaeus, 1758)</v>
      </c>
      <c r="F24803" s="5" t="s">
        <v>32830</v>
      </c>
      <c r="O24803" s="7" t="str">
        <f>HYPERLINK("#Liste_rouge!A"&amp;_xlfn.XMATCH("LC",Liste_rouge!A:A,2,1),"LC")</f>
        <v>LC</v>
      </c>
      <c r="P24803" s="7" t="str">
        <f>HYPERLINK("#Liste_rouge!A"&amp;_xlfn.XMATCH("LC",Liste_rouge!A:A,2,1),"LC")</f>
        <v>LC</v>
      </c>
      <c r="Q24803" s="7" t="str">
        <f>HYPERLINK("#Liste_rouge!A"&amp;_xlfn.XMATCH("LC",Liste_rouge!A:A,2,1),"LC")</f>
        <v>LC</v>
      </c>
      <c r="V24803" s="7" t="str">
        <f>HYPERLINK("#Liste_rouge!A"&amp;_xlfn.XMATCH("LC",Liste_rouge!A:A,2,1),"LC")</f>
        <v>LC</v>
      </c>
      <c r="AH24803" s="4" t="str">
        <f>HYPERLINK("#Statut_biogéographique!A"&amp;_xlfn.XMATCH("P",Statut_biogéographique!A:A,2,1),"P")</f>
        <v>P</v>
      </c>
      <c r="AP24803" s="4" t="s">
        <v>376</v>
      </c>
      <c r="AR24803" s="4" t="s">
        <v>377</v>
      </c>
    </row>
    <row r="24804" spans="1:44" ht="30">
      <c r="A24804" s="4" t="s">
        <v>104</v>
      </c>
      <c r="B24804" s="4">
        <v>67335</v>
      </c>
      <c r="D24804" s="5" t="s">
        <v>32831</v>
      </c>
      <c r="E24804" s="6" t="str">
        <f>HYPERLINK("https://inpn.mnhn.fr/espece/cd_nom/67335","Telestes souffia (Risso, 1827)")</f>
        <v>Telestes souffia (Risso, 1827)</v>
      </c>
      <c r="F24804" s="5" t="s">
        <v>32832</v>
      </c>
      <c r="I24804" s="4" t="str">
        <f>HYPERLINK("#Réglementation!A"&amp;_xlfn.XMATCH("IBE3",Réglementation!A:A,2,1),"IBE3")</f>
        <v>IBE3</v>
      </c>
      <c r="K24804" s="4" t="str">
        <f>HYPERLINK("#Réglementation!A"&amp;_xlfn.XMATCH("CDH2",Réglementation!A:A,2,1),"CDH2")</f>
        <v>CDH2</v>
      </c>
      <c r="O24804" s="7" t="str">
        <f>HYPERLINK("#Liste_rouge!A"&amp;_xlfn.XMATCH("LC",Liste_rouge!A:A,2,1),"LC")</f>
        <v>LC</v>
      </c>
      <c r="P24804" s="7" t="str">
        <f>HYPERLINK("#Liste_rouge!A"&amp;_xlfn.XMATCH("LC",Liste_rouge!A:A,2,1),"LC")</f>
        <v>LC</v>
      </c>
      <c r="Q24804" s="7" t="str">
        <f>HYPERLINK("#Liste_rouge!A"&amp;_xlfn.XMATCH("LC",Liste_rouge!A:A,2,1),"LC")</f>
        <v>LC</v>
      </c>
      <c r="V24804" s="7" t="str">
        <f>HYPERLINK("#Liste_rouge!A"&amp;_xlfn.XMATCH("VU",Liste_rouge!A:A,2,1),"VU")</f>
        <v>VU</v>
      </c>
      <c r="W24804" s="4" t="str">
        <f>HYPERLINK("#Critères_liste_rouge!A$1","A2abcB2b(v)")</f>
        <v>A2abcB2b(v)</v>
      </c>
      <c r="X24804" s="5" t="s">
        <v>374</v>
      </c>
      <c r="Y24804" s="5" t="s">
        <v>93</v>
      </c>
      <c r="AE24804" s="4" t="str">
        <f>HYPERLINK("#SCAP!A"&amp;_xlfn.XMATCH("1+",SCAP!A:A,2,1),"1+")</f>
        <v>1+</v>
      </c>
      <c r="AF24804" s="4" t="str">
        <f>HYPERLINK("#SCAP!A"&amp;_xlfn.XMATCH("1+",SCAP!A:A,2,1),"1+")</f>
        <v>1+</v>
      </c>
      <c r="AG24804" s="4" t="str">
        <f>HYPERLINK("#SCAP!A"&amp;_xlfn.XMATCH("2+",SCAP!A:A,2,1),"2+")</f>
        <v>2+</v>
      </c>
      <c r="AH24804" s="4" t="str">
        <f>HYPERLINK("#Statut_biogéographique!A"&amp;_xlfn.XMATCH("P",Statut_biogéographique!A:A,2,1),"P")</f>
        <v>P</v>
      </c>
      <c r="AP24804" s="4" t="s">
        <v>376</v>
      </c>
      <c r="AR24804" s="4" t="s">
        <v>377</v>
      </c>
    </row>
    <row r="24805" spans="1:44" ht="60">
      <c r="A24805" s="4" t="s">
        <v>104</v>
      </c>
      <c r="B24805" s="4">
        <v>67404</v>
      </c>
      <c r="D24805" s="5" t="s">
        <v>32833</v>
      </c>
      <c r="E24805" s="6" t="str">
        <f>HYPERLINK("https://inpn.mnhn.fr/espece/cd_nom/67404","Phoxinus phoxinus (Linnaeus, 1758)")</f>
        <v>Phoxinus phoxinus (Linnaeus, 1758)</v>
      </c>
      <c r="F24805" s="5" t="s">
        <v>32834</v>
      </c>
      <c r="O24805" s="7" t="str">
        <f>HYPERLINK("#Liste_rouge!A"&amp;_xlfn.XMATCH("LC",Liste_rouge!A:A,2,1),"LC")</f>
        <v>LC</v>
      </c>
      <c r="P24805" s="7" t="str">
        <f>HYPERLINK("#Liste_rouge!A"&amp;_xlfn.XMATCH("LC",Liste_rouge!A:A,2,1),"LC")</f>
        <v>LC</v>
      </c>
      <c r="Q24805" s="7" t="str">
        <f>HYPERLINK("#Liste_rouge!A"&amp;_xlfn.XMATCH("LC",Liste_rouge!A:A,2,1),"LC")</f>
        <v>LC</v>
      </c>
      <c r="V24805" s="7" t="str">
        <f>HYPERLINK("#Liste_rouge!A"&amp;_xlfn.XMATCH("LC",Liste_rouge!A:A,2,1),"LC")</f>
        <v>LC</v>
      </c>
      <c r="AH24805" s="4" t="str">
        <f>HYPERLINK("#Statut_biogéographique!A"&amp;_xlfn.XMATCH("P",Statut_biogéographique!A:A,2,1),"P")</f>
        <v>P</v>
      </c>
      <c r="AP24805" s="4" t="s">
        <v>376</v>
      </c>
      <c r="AR24805" s="4" t="s">
        <v>377</v>
      </c>
    </row>
    <row r="24806" spans="1:44" ht="45">
      <c r="A24806" s="4" t="s">
        <v>104</v>
      </c>
      <c r="B24806" s="4">
        <v>67415</v>
      </c>
      <c r="D24806" s="5" t="s">
        <v>32835</v>
      </c>
      <c r="E24806" s="6" t="str">
        <f>HYPERLINK("https://inpn.mnhn.fr/espece/cd_nom/67415","Pseudorasbora parva (Temminck &amp; Schlegel, 1846)")</f>
        <v>Pseudorasbora parva (Temminck &amp; Schlegel, 1846)</v>
      </c>
      <c r="F24806" s="5" t="s">
        <v>32836</v>
      </c>
      <c r="O24806" s="7" t="str">
        <f>HYPERLINK("#Liste_rouge!A"&amp;_xlfn.XMATCH("LC",Liste_rouge!A:A,2,1),"LC")</f>
        <v>LC</v>
      </c>
      <c r="Q24806" s="7" t="str">
        <f>HYPERLINK("#Liste_rouge!A"&amp;_xlfn.XMATCH("NA",Liste_rouge!A:A,2,1),"NA")</f>
        <v>NA</v>
      </c>
      <c r="V24806" s="7" t="str">
        <f>HYPERLINK("#Liste_rouge!A"&amp;_xlfn.XMATCH("NA",Liste_rouge!A:A,2,1),"NA")</f>
        <v>NA</v>
      </c>
      <c r="AH24806" s="4" t="str">
        <f>HYPERLINK("#Statut_biogéographique!A"&amp;_xlfn.XMATCH("J",Statut_biogéographique!A:A,2,1),"J")</f>
        <v>J</v>
      </c>
      <c r="AL24806" s="5" t="str">
        <f>HYPERLINK("#Réglementation!A"&amp;_xlfn.XMATCH("FRnoEEEA2",Réglementation!A:A,2,1),"FRnoEEEA2 - EEEUE")</f>
        <v>FRnoEEEA2 - EEEUE</v>
      </c>
      <c r="AP24806" s="4" t="s">
        <v>376</v>
      </c>
      <c r="AR24806" s="4" t="s">
        <v>377</v>
      </c>
    </row>
    <row r="24807" spans="1:44">
      <c r="A24807" s="4" t="s">
        <v>104</v>
      </c>
      <c r="B24807" s="4">
        <v>67420</v>
      </c>
      <c r="D24807" s="5" t="s">
        <v>32837</v>
      </c>
      <c r="E24807" s="6" t="str">
        <f>HYPERLINK("https://inpn.mnhn.fr/espece/cd_nom/67420","Rhodeus amarus (Bloch, 1782)")</f>
        <v>Rhodeus amarus (Bloch, 1782)</v>
      </c>
      <c r="F24807" s="5" t="s">
        <v>32838</v>
      </c>
      <c r="I24807" s="4" t="str">
        <f>HYPERLINK("#Réglementation!A"&amp;_xlfn.XMATCH("IBE3",Réglementation!A:A,2,1),"IBE3")</f>
        <v>IBE3</v>
      </c>
      <c r="K24807" s="4" t="str">
        <f>HYPERLINK("#Réglementation!A"&amp;_xlfn.XMATCH("CDH2",Réglementation!A:A,2,1),"CDH2")</f>
        <v>CDH2</v>
      </c>
      <c r="L24807" s="4" t="str">
        <f>HYPERLINK("#Réglementation!A"&amp;_xlfn.XMATCH("NP1",Réglementation!A:A,2,1),"NP1")</f>
        <v>NP1</v>
      </c>
      <c r="O24807" s="7" t="str">
        <f>HYPERLINK("#Liste_rouge!A"&amp;_xlfn.XMATCH("LC",Liste_rouge!A:A,2,1),"LC")</f>
        <v>LC</v>
      </c>
      <c r="P24807" s="7" t="str">
        <f>HYPERLINK("#Liste_rouge!A"&amp;_xlfn.XMATCH("LC",Liste_rouge!A:A,2,1),"LC")</f>
        <v>LC</v>
      </c>
      <c r="Q24807" s="7" t="str">
        <f>HYPERLINK("#Liste_rouge!A"&amp;_xlfn.XMATCH("LC",Liste_rouge!A:A,2,1),"LC")</f>
        <v>LC</v>
      </c>
      <c r="V24807" s="7" t="str">
        <f>HYPERLINK("#Liste_rouge!A"&amp;_xlfn.XMATCH("LC",Liste_rouge!A:A,2,1),"LC")</f>
        <v>LC</v>
      </c>
      <c r="AE24807" s="4" t="str">
        <f>HYPERLINK("#SCAP!A"&amp;_xlfn.XMATCH("1+",SCAP!A:A,2,1),"1+")</f>
        <v>1+</v>
      </c>
      <c r="AF24807" s="4" t="str">
        <f>HYPERLINK("#SCAP!A"&amp;_xlfn.XMATCH("2+",SCAP!A:A,2,1),"2+")</f>
        <v>2+</v>
      </c>
      <c r="AG24807" s="4" t="str">
        <f>HYPERLINK("#SCAP!A"&amp;_xlfn.XMATCH("2+",SCAP!A:A,2,1),"2+")</f>
        <v>2+</v>
      </c>
      <c r="AH24807" s="4" t="str">
        <f>HYPERLINK("#Statut_biogéographique!A"&amp;_xlfn.XMATCH("P",Statut_biogéographique!A:A,2,1),"P")</f>
        <v>P</v>
      </c>
      <c r="AP24807" s="4" t="s">
        <v>376</v>
      </c>
      <c r="AR24807" s="4" t="s">
        <v>377</v>
      </c>
    </row>
    <row r="24808" spans="1:44" ht="150">
      <c r="A24808" s="4" t="s">
        <v>104</v>
      </c>
      <c r="B24808" s="4">
        <v>67422</v>
      </c>
      <c r="D24808" s="5" t="s">
        <v>32839</v>
      </c>
      <c r="E24808" s="6" t="str">
        <f>HYPERLINK("https://inpn.mnhn.fr/espece/cd_nom/67422","Rutilus rutilus (Linnaeus, 1758)")</f>
        <v>Rutilus rutilus (Linnaeus, 1758)</v>
      </c>
      <c r="F24808" s="5" t="s">
        <v>32840</v>
      </c>
      <c r="O24808" s="7" t="str">
        <f>HYPERLINK("#Liste_rouge!A"&amp;_xlfn.XMATCH("LC",Liste_rouge!A:A,2,1),"LC")</f>
        <v>LC</v>
      </c>
      <c r="P24808" s="7" t="str">
        <f>HYPERLINK("#Liste_rouge!A"&amp;_xlfn.XMATCH("LC",Liste_rouge!A:A,2,1),"LC")</f>
        <v>LC</v>
      </c>
      <c r="Q24808" s="7" t="str">
        <f>HYPERLINK("#Liste_rouge!A"&amp;_xlfn.XMATCH("LC",Liste_rouge!A:A,2,1),"LC")</f>
        <v>LC</v>
      </c>
      <c r="V24808" s="7" t="str">
        <f>HYPERLINK("#Liste_rouge!A"&amp;_xlfn.XMATCH("LC",Liste_rouge!A:A,2,1),"LC")</f>
        <v>LC</v>
      </c>
      <c r="AH24808" s="4" t="str">
        <f>HYPERLINK("#Statut_biogéographique!A"&amp;_xlfn.XMATCH("P",Statut_biogéographique!A:A,2,1),"P")</f>
        <v>P</v>
      </c>
      <c r="AP24808" s="4" t="s">
        <v>376</v>
      </c>
      <c r="AR24808" s="4" t="s">
        <v>377</v>
      </c>
    </row>
    <row r="24809" spans="1:44" ht="75">
      <c r="A24809" s="4" t="s">
        <v>104</v>
      </c>
      <c r="B24809" s="4">
        <v>67466</v>
      </c>
      <c r="D24809" s="5" t="s">
        <v>32841</v>
      </c>
      <c r="E24809" s="6" t="str">
        <f>HYPERLINK("https://inpn.mnhn.fr/espece/cd_nom/67466","Scardinius erythrophthalmus (Linnaeus, 1758)")</f>
        <v>Scardinius erythrophthalmus (Linnaeus, 1758)</v>
      </c>
      <c r="F24809" s="5" t="s">
        <v>32842</v>
      </c>
      <c r="O24809" s="7" t="str">
        <f>HYPERLINK("#Liste_rouge!A"&amp;_xlfn.XMATCH("LC",Liste_rouge!A:A,2,1),"LC")</f>
        <v>LC</v>
      </c>
      <c r="P24809" s="7" t="str">
        <f>HYPERLINK("#Liste_rouge!A"&amp;_xlfn.XMATCH("LC",Liste_rouge!A:A,2,1),"LC")</f>
        <v>LC</v>
      </c>
      <c r="Q24809" s="7" t="str">
        <f>HYPERLINK("#Liste_rouge!A"&amp;_xlfn.XMATCH("LC",Liste_rouge!A:A,2,1),"LC")</f>
        <v>LC</v>
      </c>
      <c r="V24809" s="7" t="str">
        <f>HYPERLINK("#Liste_rouge!A"&amp;_xlfn.XMATCH("LC",Liste_rouge!A:A,2,1),"LC")</f>
        <v>LC</v>
      </c>
      <c r="AH24809" s="4" t="str">
        <f>HYPERLINK("#Statut_biogéographique!A"&amp;_xlfn.XMATCH("P",Statut_biogéographique!A:A,2,1),"P")</f>
        <v>P</v>
      </c>
      <c r="AP24809" s="4" t="s">
        <v>376</v>
      </c>
      <c r="AR24809" s="4" t="s">
        <v>377</v>
      </c>
    </row>
    <row r="24810" spans="1:44" ht="60">
      <c r="A24810" s="4" t="s">
        <v>104</v>
      </c>
      <c r="B24810" s="4">
        <v>67478</v>
      </c>
      <c r="D24810" s="5" t="s">
        <v>32843</v>
      </c>
      <c r="E24810" s="6" t="str">
        <f>HYPERLINK("https://inpn.mnhn.fr/espece/cd_nom/67478","Tinca tinca (Linnaeus, 1758)")</f>
        <v>Tinca tinca (Linnaeus, 1758)</v>
      </c>
      <c r="F24810" s="5" t="s">
        <v>32844</v>
      </c>
      <c r="O24810" s="7" t="str">
        <f>HYPERLINK("#Liste_rouge!A"&amp;_xlfn.XMATCH("LC",Liste_rouge!A:A,2,1),"LC")</f>
        <v>LC</v>
      </c>
      <c r="P24810" s="7" t="str">
        <f>HYPERLINK("#Liste_rouge!A"&amp;_xlfn.XMATCH("LC",Liste_rouge!A:A,2,1),"LC")</f>
        <v>LC</v>
      </c>
      <c r="Q24810" s="7" t="str">
        <f>HYPERLINK("#Liste_rouge!A"&amp;_xlfn.XMATCH("LC",Liste_rouge!A:A,2,1),"LC")</f>
        <v>LC</v>
      </c>
      <c r="V24810" s="7" t="str">
        <f>HYPERLINK("#Liste_rouge!A"&amp;_xlfn.XMATCH("LC",Liste_rouge!A:A,2,1),"LC")</f>
        <v>LC</v>
      </c>
      <c r="AH24810" s="4" t="str">
        <f>HYPERLINK("#Statut_biogéographique!A"&amp;_xlfn.XMATCH("P",Statut_biogéographique!A:A,2,1),"P")</f>
        <v>P</v>
      </c>
      <c r="AP24810" s="4" t="s">
        <v>376</v>
      </c>
      <c r="AR24810" s="4" t="s">
        <v>377</v>
      </c>
    </row>
    <row r="24811" spans="1:44">
      <c r="A24811" s="4" t="s">
        <v>104</v>
      </c>
      <c r="B24811" s="4">
        <v>67506</v>
      </c>
      <c r="D24811" s="5" t="s">
        <v>32845</v>
      </c>
      <c r="E24811" s="6" t="str">
        <f>HYPERLINK("https://inpn.mnhn.fr/espece/cd_nom/67506","Cobitis taenia Linnaeus, 1758")</f>
        <v>Cobitis taenia Linnaeus, 1758</v>
      </c>
      <c r="F24811" s="5" t="s">
        <v>32846</v>
      </c>
      <c r="I24811" s="4" t="str">
        <f>HYPERLINK("#Réglementation!A"&amp;_xlfn.XMATCH("IBE3",Réglementation!A:A,2,1),"IBE3")</f>
        <v>IBE3</v>
      </c>
      <c r="K24811" s="4" t="str">
        <f>HYPERLINK("#Réglementation!A"&amp;_xlfn.XMATCH("CDH2",Réglementation!A:A,2,1),"CDH2")</f>
        <v>CDH2</v>
      </c>
      <c r="L24811" s="4" t="str">
        <f>HYPERLINK("#Réglementation!A"&amp;_xlfn.XMATCH("NP1",Réglementation!A:A,2,1),"NP1")</f>
        <v>NP1</v>
      </c>
      <c r="O24811" s="7" t="str">
        <f>HYPERLINK("#Liste_rouge!A"&amp;_xlfn.XMATCH("LC",Liste_rouge!A:A,2,1),"LC")</f>
        <v>LC</v>
      </c>
      <c r="P24811" s="7" t="str">
        <f>HYPERLINK("#Liste_rouge!A"&amp;_xlfn.XMATCH("LC",Liste_rouge!A:A,2,1),"LC")</f>
        <v>LC</v>
      </c>
      <c r="Q24811" s="7" t="str">
        <f>HYPERLINK("#Liste_rouge!A"&amp;_xlfn.XMATCH("NT",Liste_rouge!A:A,2,1),"NT")</f>
        <v>NT</v>
      </c>
      <c r="Y24811" s="5" t="s">
        <v>93</v>
      </c>
      <c r="AB24811" s="4" t="s">
        <v>32847</v>
      </c>
      <c r="AE24811" s="4" t="str">
        <f>HYPERLINK("#SCAP!A"&amp;_xlfn.XMATCH("1+",SCAP!A:A,2,1),"1+")</f>
        <v>1+</v>
      </c>
      <c r="AF24811" s="4" t="str">
        <f>HYPERLINK("#SCAP!A"&amp;_xlfn.XMATCH("2+",SCAP!A:A,2,1),"2+")</f>
        <v>2+</v>
      </c>
      <c r="AH24811" s="4" t="str">
        <f>HYPERLINK("#Statut_biogéographique!A"&amp;_xlfn.XMATCH("P",Statut_biogéographique!A:A,2,1),"P")</f>
        <v>P</v>
      </c>
      <c r="AP24811" s="4" t="s">
        <v>376</v>
      </c>
      <c r="AR24811" s="4" t="s">
        <v>377</v>
      </c>
    </row>
    <row r="24812" spans="1:44">
      <c r="A24812" s="4" t="s">
        <v>104</v>
      </c>
      <c r="B24812" s="4">
        <v>67534</v>
      </c>
      <c r="D24812" s="5" t="s">
        <v>32848</v>
      </c>
      <c r="E24812" s="6" t="str">
        <f>HYPERLINK("https://inpn.mnhn.fr/espece/cd_nom/67534","Misgurnus fossilis (Linnaeus, 1758)")</f>
        <v>Misgurnus fossilis (Linnaeus, 1758)</v>
      </c>
      <c r="F24812" s="5" t="s">
        <v>32849</v>
      </c>
      <c r="I24812" s="4" t="str">
        <f>HYPERLINK("#Réglementation!A"&amp;_xlfn.XMATCH("IBE3",Réglementation!A:A,2,1),"IBE3")</f>
        <v>IBE3</v>
      </c>
      <c r="K24812" s="4" t="str">
        <f>HYPERLINK("#Réglementation!A"&amp;_xlfn.XMATCH("CDH2",Réglementation!A:A,2,1),"CDH2")</f>
        <v>CDH2</v>
      </c>
      <c r="L24812" s="4" t="str">
        <f>HYPERLINK("#Réglementation!A"&amp;_xlfn.XMATCH("NP1",Réglementation!A:A,2,1),"NP1")</f>
        <v>NP1</v>
      </c>
      <c r="O24812" s="7" t="str">
        <f>HYPERLINK("#Liste_rouge!A"&amp;_xlfn.XMATCH("LC",Liste_rouge!A:A,2,1),"LC")</f>
        <v>LC</v>
      </c>
      <c r="P24812" s="7" t="str">
        <f>HYPERLINK("#Liste_rouge!A"&amp;_xlfn.XMATCH("LC",Liste_rouge!A:A,2,1),"LC")</f>
        <v>LC</v>
      </c>
      <c r="Q24812" s="7" t="str">
        <f>HYPERLINK("#Liste_rouge!A"&amp;_xlfn.XMATCH("EN",Liste_rouge!A:A,2,1),"EN")</f>
        <v>EN</v>
      </c>
      <c r="V24812" s="7" t="str">
        <f>HYPERLINK("#Liste_rouge!A"&amp;_xlfn.XMATCH("CR",Liste_rouge!A:A,2,1),"CR")</f>
        <v>CR</v>
      </c>
      <c r="W24812" s="4" t="str">
        <f>HYPERLINK("#Critères_liste_rouge!A$1","A2cB2ab(ii, iv)")</f>
        <v>A2cB2ab(ii, iv)</v>
      </c>
      <c r="X24812" s="5" t="s">
        <v>374</v>
      </c>
      <c r="Y24812" s="5" t="s">
        <v>93</v>
      </c>
      <c r="AE24812" s="4" t="str">
        <f>HYPERLINK("#SCAP!A"&amp;_xlfn.XMATCH("2+",SCAP!A:A,2,1),"2+")</f>
        <v>2+</v>
      </c>
      <c r="AG24812" s="4" t="str">
        <f>HYPERLINK("#SCAP!A"&amp;_xlfn.XMATCH("1-",SCAP!A:A,2,1),"1-")</f>
        <v>1-</v>
      </c>
      <c r="AH24812" s="4" t="str">
        <f>HYPERLINK("#Statut_biogéographique!A"&amp;_xlfn.XMATCH("P",Statut_biogéographique!A:A,2,1),"P")</f>
        <v>P</v>
      </c>
      <c r="AP24812" s="4" t="s">
        <v>389</v>
      </c>
      <c r="AR24812" s="4" t="s">
        <v>377</v>
      </c>
    </row>
    <row r="24813" spans="1:44" ht="30">
      <c r="A24813" s="4" t="s">
        <v>104</v>
      </c>
      <c r="B24813" s="4">
        <v>67550</v>
      </c>
      <c r="D24813" s="5" t="s">
        <v>32850</v>
      </c>
      <c r="E24813" s="6" t="str">
        <f>HYPERLINK("https://inpn.mnhn.fr/espece/cd_nom/67550","Barbatula barbatula (Linnaeus, 1758)")</f>
        <v>Barbatula barbatula (Linnaeus, 1758)</v>
      </c>
      <c r="F24813" s="5" t="s">
        <v>32851</v>
      </c>
      <c r="O24813" s="7" t="str">
        <f>HYPERLINK("#Liste_rouge!A"&amp;_xlfn.XMATCH("LC",Liste_rouge!A:A,2,1),"LC")</f>
        <v>LC</v>
      </c>
      <c r="P24813" s="7" t="str">
        <f>HYPERLINK("#Liste_rouge!A"&amp;_xlfn.XMATCH("LC",Liste_rouge!A:A,2,1),"LC")</f>
        <v>LC</v>
      </c>
      <c r="Q24813" s="7" t="str">
        <f>HYPERLINK("#Liste_rouge!A"&amp;_xlfn.XMATCH("LC",Liste_rouge!A:A,2,1),"LC")</f>
        <v>LC</v>
      </c>
      <c r="V24813" s="7" t="str">
        <f>HYPERLINK("#Liste_rouge!A"&amp;_xlfn.XMATCH("NT",Liste_rouge!A:A,2,1),"NT")</f>
        <v>NT</v>
      </c>
      <c r="W24813" s="4" t="str">
        <f>HYPERLINK("#Critères_liste_rouge!A$1","pr. A2abce")</f>
        <v>pr. A2abce</v>
      </c>
      <c r="AH24813" s="4" t="str">
        <f>HYPERLINK("#Statut_biogéographique!A"&amp;_xlfn.XMATCH("P",Statut_biogéographique!A:A,2,1),"P")</f>
        <v>P</v>
      </c>
      <c r="AP24813" s="4" t="s">
        <v>376</v>
      </c>
      <c r="AR24813" s="4" t="s">
        <v>377</v>
      </c>
    </row>
    <row r="24814" spans="1:44" ht="30">
      <c r="A24814" s="4" t="s">
        <v>104</v>
      </c>
      <c r="B24814" s="4">
        <v>67571</v>
      </c>
      <c r="D24814" s="5" t="s">
        <v>32852</v>
      </c>
      <c r="E24814" s="6" t="str">
        <f>HYPERLINK("https://inpn.mnhn.fr/espece/cd_nom/67571","Ameiurus melas (Rafinesque, 1820)")</f>
        <v>Ameiurus melas (Rafinesque, 1820)</v>
      </c>
      <c r="F24814" s="5" t="s">
        <v>32853</v>
      </c>
      <c r="O24814" s="7" t="str">
        <f>HYPERLINK("#Liste_rouge!A"&amp;_xlfn.XMATCH("LC",Liste_rouge!A:A,2,1),"LC")</f>
        <v>LC</v>
      </c>
      <c r="Q24814" s="7" t="str">
        <f>HYPERLINK("#Liste_rouge!A"&amp;_xlfn.XMATCH("NA",Liste_rouge!A:A,2,1),"NA")</f>
        <v>NA</v>
      </c>
      <c r="V24814" s="7" t="str">
        <f>HYPERLINK("#Liste_rouge!A"&amp;_xlfn.XMATCH("NA",Liste_rouge!A:A,2,1),"NA")</f>
        <v>NA</v>
      </c>
      <c r="AH24814" s="4" t="str">
        <f>HYPERLINK("#Statut_biogéographique!A"&amp;_xlfn.XMATCH("J",Statut_biogéographique!A:A,2,1),"J")</f>
        <v>J</v>
      </c>
      <c r="AL24814" s="5" t="str">
        <f>HYPERLINK("#Réglementation!A"&amp;_xlfn.XMATCH("EEEUE",Réglementation!A:A,2,1),"EEEUE")</f>
        <v>EEEUE</v>
      </c>
      <c r="AP24814" s="4" t="s">
        <v>376</v>
      </c>
      <c r="AR24814" s="4" t="s">
        <v>377</v>
      </c>
    </row>
    <row r="24815" spans="1:44">
      <c r="A24815" s="4" t="s">
        <v>104</v>
      </c>
      <c r="B24815" s="4">
        <v>67585</v>
      </c>
      <c r="D24815" s="5" t="s">
        <v>32854</v>
      </c>
      <c r="E24815" s="6" t="str">
        <f>HYPERLINK("https://inpn.mnhn.fr/espece/cd_nom/67585","Silurus glanis Linnaeus, 1758")</f>
        <v>Silurus glanis Linnaeus, 1758</v>
      </c>
      <c r="F24815" s="5" t="s">
        <v>32855</v>
      </c>
      <c r="I24815" s="4" t="str">
        <f>HYPERLINK("#Réglementation!A"&amp;_xlfn.XMATCH("IBE3",Réglementation!A:A,2,1),"IBE3")</f>
        <v>IBE3</v>
      </c>
      <c r="O24815" s="7" t="str">
        <f>HYPERLINK("#Liste_rouge!A"&amp;_xlfn.XMATCH("LC",Liste_rouge!A:A,2,1),"LC")</f>
        <v>LC</v>
      </c>
      <c r="P24815" s="7" t="str">
        <f>HYPERLINK("#Liste_rouge!A"&amp;_xlfn.XMATCH("LC",Liste_rouge!A:A,2,1),"LC")</f>
        <v>LC</v>
      </c>
      <c r="Q24815" s="7" t="str">
        <f>HYPERLINK("#Liste_rouge!A"&amp;_xlfn.XMATCH("NA",Liste_rouge!A:A,2,1),"NA")</f>
        <v>NA</v>
      </c>
      <c r="V24815" s="7" t="str">
        <f>HYPERLINK("#Liste_rouge!A"&amp;_xlfn.XMATCH("NA",Liste_rouge!A:A,2,1),"NA")</f>
        <v>NA</v>
      </c>
      <c r="AH24815" s="4" t="str">
        <f>HYPERLINK("#Statut_biogéographique!A"&amp;_xlfn.XMATCH("J",Statut_biogéographique!A:A,2,1),"J")</f>
        <v>J</v>
      </c>
      <c r="AP24815" s="4" t="s">
        <v>376</v>
      </c>
      <c r="AR24815" s="4" t="s">
        <v>377</v>
      </c>
    </row>
    <row r="24816" spans="1:44" ht="45">
      <c r="A24816" s="4" t="s">
        <v>104</v>
      </c>
      <c r="B24816" s="4">
        <v>67606</v>
      </c>
      <c r="D24816" s="5" t="s">
        <v>32856</v>
      </c>
      <c r="E24816" s="6" t="str">
        <f>HYPERLINK("https://inpn.mnhn.fr/espece/cd_nom/67606","Esox lucius Linnaeus, 1758")</f>
        <v>Esox lucius Linnaeus, 1758</v>
      </c>
      <c r="F24816" s="5" t="s">
        <v>32857</v>
      </c>
      <c r="L24816" s="4" t="str">
        <f>HYPERLINK("#Réglementation!A"&amp;_xlfn.XMATCH("NP1",Réglementation!A:A,2,1),"NP1")</f>
        <v>NP1</v>
      </c>
      <c r="O24816" s="7" t="str">
        <f>HYPERLINK("#Liste_rouge!A"&amp;_xlfn.XMATCH("LC",Liste_rouge!A:A,2,1),"LC")</f>
        <v>LC</v>
      </c>
      <c r="P24816" s="7" t="str">
        <f>HYPERLINK("#Liste_rouge!A"&amp;_xlfn.XMATCH("LC",Liste_rouge!A:A,2,1),"LC")</f>
        <v>LC</v>
      </c>
      <c r="Q24816" s="7" t="str">
        <f>HYPERLINK("#Liste_rouge!A"&amp;_xlfn.XMATCH("VU",Liste_rouge!A:A,2,1),"VU")</f>
        <v>VU</v>
      </c>
      <c r="V24816" s="7" t="str">
        <f>HYPERLINK("#Liste_rouge!A"&amp;_xlfn.XMATCH("VU",Liste_rouge!A:A,2,1),"VU")</f>
        <v>VU</v>
      </c>
      <c r="W24816" s="4" t="str">
        <f>HYPERLINK("#Critères_liste_rouge!A$1","A2A4abce")</f>
        <v>A2A4abce</v>
      </c>
      <c r="X24816" s="5" t="s">
        <v>374</v>
      </c>
      <c r="Y24816" s="5" t="s">
        <v>93</v>
      </c>
      <c r="AE24816" s="4" t="str">
        <f>HYPERLINK("#SCAP!A"&amp;_xlfn.XMATCH("1+",SCAP!A:A,2,1),"1+")</f>
        <v>1+</v>
      </c>
      <c r="AF24816" s="4" t="str">
        <f>HYPERLINK("#SCAP!A"&amp;_xlfn.XMATCH("1+",SCAP!A:A,2,1),"1+")</f>
        <v>1+</v>
      </c>
      <c r="AG24816" s="4" t="str">
        <f>HYPERLINK("#SCAP!A"&amp;_xlfn.XMATCH("1+",SCAP!A:A,2,1),"1+")</f>
        <v>1+</v>
      </c>
      <c r="AH24816" s="4" t="str">
        <f>HYPERLINK("#Statut_biogéographique!A"&amp;_xlfn.XMATCH("P",Statut_biogéographique!A:A,2,1),"P")</f>
        <v>P</v>
      </c>
      <c r="AP24816" s="4" t="s">
        <v>389</v>
      </c>
      <c r="AR24816" s="4" t="s">
        <v>377</v>
      </c>
    </row>
    <row r="24817" spans="1:44" ht="45">
      <c r="A24817" s="4" t="s">
        <v>104</v>
      </c>
      <c r="B24817" s="4">
        <v>67759</v>
      </c>
      <c r="D24817" s="5" t="s">
        <v>32858</v>
      </c>
      <c r="E24817" s="6" t="str">
        <f>HYPERLINK("https://inpn.mnhn.fr/espece/cd_nom/67759","Thymallus thymallus (Linnaeus, 1758)")</f>
        <v>Thymallus thymallus (Linnaeus, 1758)</v>
      </c>
      <c r="F24817" s="5" t="s">
        <v>32859</v>
      </c>
      <c r="I24817" s="4" t="str">
        <f>HYPERLINK("#Réglementation!A"&amp;_xlfn.XMATCH("IBE3",Réglementation!A:A,2,1),"IBE3")</f>
        <v>IBE3</v>
      </c>
      <c r="K24817" s="4" t="str">
        <f>HYPERLINK("#Réglementation!A"&amp;_xlfn.XMATCH("CDH5",Réglementation!A:A,2,1),"CDH5")</f>
        <v>CDH5</v>
      </c>
      <c r="L24817" s="4" t="str">
        <f>HYPERLINK("#Réglementation!A"&amp;_xlfn.XMATCH("NP1",Réglementation!A:A,2,1),"NP1")</f>
        <v>NP1</v>
      </c>
      <c r="O24817" s="7" t="str">
        <f>HYPERLINK("#Liste_rouge!A"&amp;_xlfn.XMATCH("CR",Liste_rouge!A:A,2,1),"CR (cd_nom 561485) - LC (cd_nom 67759)")</f>
        <v>CR (cd_nom 561485) - LC (cd_nom 67759)</v>
      </c>
      <c r="P24817" s="7" t="str">
        <f>HYPERLINK("#Liste_rouge!A"&amp;_xlfn.XMATCH("LC",Liste_rouge!A:A,2,1),"LC")</f>
        <v>LC</v>
      </c>
      <c r="Q24817" s="7" t="str">
        <f>HYPERLINK("#Liste_rouge!A"&amp;_xlfn.XMATCH("VU",Liste_rouge!A:A,2,1),"VU")</f>
        <v>VU</v>
      </c>
      <c r="V24817" s="7" t="str">
        <f>HYPERLINK("#Liste_rouge!A"&amp;_xlfn.XMATCH("EN",Liste_rouge!A:A,2,1),"EN")</f>
        <v>EN</v>
      </c>
      <c r="W24817" s="4" t="str">
        <f>HYPERLINK("#Critères_liste_rouge!A$1","A2abceA4abce")</f>
        <v>A2abceA4abce</v>
      </c>
      <c r="X24817" s="5" t="s">
        <v>374</v>
      </c>
      <c r="Y24817" s="5" t="s">
        <v>93</v>
      </c>
      <c r="AE24817" s="4" t="str">
        <f>HYPERLINK("#SCAP!A"&amp;_xlfn.XMATCH("1+",SCAP!A:A,2,1),"1+")</f>
        <v>1+</v>
      </c>
      <c r="AF24817" s="4" t="str">
        <f>HYPERLINK("#SCAP!A"&amp;_xlfn.XMATCH("1+",SCAP!A:A,2,1),"1+")</f>
        <v>1+</v>
      </c>
      <c r="AG24817" s="4" t="str">
        <f>HYPERLINK("#SCAP!A"&amp;_xlfn.XMATCH("1+",SCAP!A:A,2,1),"1+")</f>
        <v>1+</v>
      </c>
      <c r="AH24817" s="4" t="str">
        <f>HYPERLINK("#Statut_biogéographique!A"&amp;_xlfn.XMATCH("P",Statut_biogéographique!A:A,2,1),"P")</f>
        <v>P</v>
      </c>
      <c r="AP24817" s="4" t="s">
        <v>389</v>
      </c>
      <c r="AR24817" s="4" t="s">
        <v>377</v>
      </c>
    </row>
    <row r="24818" spans="1:44" ht="90">
      <c r="A24818" s="4" t="s">
        <v>104</v>
      </c>
      <c r="B24818" s="4">
        <v>67765</v>
      </c>
      <c r="D24818" s="5" t="s">
        <v>32860</v>
      </c>
      <c r="E24818" s="6" t="str">
        <f>HYPERLINK("https://inpn.mnhn.fr/espece/cd_nom/67765","Salmo salar Linnaeus, 1758")</f>
        <v>Salmo salar Linnaeus, 1758</v>
      </c>
      <c r="F24818" s="5" t="s">
        <v>32861</v>
      </c>
      <c r="I24818" s="4" t="str">
        <f>HYPERLINK("#Réglementation!A"&amp;_xlfn.XMATCH("IBE3",Réglementation!A:A,2,1),"IBE3")</f>
        <v>IBE3</v>
      </c>
      <c r="K24818" s="4" t="str">
        <f>HYPERLINK("#Réglementation!A"&amp;_xlfn.XMATCH("CDH2",Réglementation!A:A,2,1),"CDH2 - CDH5")</f>
        <v>CDH2 - CDH5</v>
      </c>
      <c r="L24818" s="4" t="str">
        <f>HYPERLINK("#Réglementation!A"&amp;_xlfn.XMATCH("NP1",Réglementation!A:A,2,1),"NP1")</f>
        <v>NP1</v>
      </c>
      <c r="P24818" s="7" t="str">
        <f>HYPERLINK("#Liste_rouge!A"&amp;_xlfn.XMATCH("VU",Liste_rouge!A:A,2,1),"VU")</f>
        <v>VU</v>
      </c>
      <c r="Q24818" s="7" t="str">
        <f>HYPERLINK("#Liste_rouge!A"&amp;_xlfn.XMATCH("NT",Liste_rouge!A:A,2,1),"NT")</f>
        <v>NT</v>
      </c>
      <c r="X24818" s="5" t="s">
        <v>374</v>
      </c>
      <c r="Y24818" s="5" t="s">
        <v>93</v>
      </c>
      <c r="AE24818" s="4" t="str">
        <f>HYPERLINK("#SCAP!A"&amp;_xlfn.XMATCH("2+",SCAP!A:A,2,1),"2+")</f>
        <v>2+</v>
      </c>
      <c r="AF24818" s="4" t="str">
        <f>HYPERLINK("#SCAP!A"&amp;_xlfn.XMATCH("3",SCAP!A:A,2,1),"3")</f>
        <v>3</v>
      </c>
      <c r="AH24818" s="4" t="str">
        <f>HYPERLINK("#Statut_biogéographique!A"&amp;_xlfn.XMATCH("P",Statut_biogéographique!A:A,2,1),"P")</f>
        <v>P</v>
      </c>
      <c r="AP24818" s="4" t="s">
        <v>389</v>
      </c>
      <c r="AR24818" s="4" t="s">
        <v>377</v>
      </c>
    </row>
    <row r="24819" spans="1:44" ht="195">
      <c r="A24819" s="4" t="s">
        <v>104</v>
      </c>
      <c r="B24819" s="4">
        <v>67772</v>
      </c>
      <c r="D24819" s="5" t="s">
        <v>32862</v>
      </c>
      <c r="E24819" s="6" t="str">
        <f>HYPERLINK("https://inpn.mnhn.fr/espece/cd_nom/67772","Salmo trutta Linnaeus, 1758")</f>
        <v>Salmo trutta Linnaeus, 1758</v>
      </c>
      <c r="F24819" s="5" t="s">
        <v>32863</v>
      </c>
      <c r="K24819" s="4" t="str">
        <f>HYPERLINK("#Réglementation!A"&amp;_xlfn.XMATCH("CDH2",Réglementation!A:A,2,1),"CDH2")</f>
        <v>CDH2</v>
      </c>
      <c r="L24819" s="4" t="str">
        <f>HYPERLINK("#Réglementation!A"&amp;_xlfn.XMATCH("NP1",Réglementation!A:A,2,1),"NP1")</f>
        <v>NP1</v>
      </c>
      <c r="O24819" s="7" t="str">
        <f>HYPERLINK("#Liste_rouge!A"&amp;_xlfn.XMATCH("LC",Liste_rouge!A:A,2,1),"LC")</f>
        <v>LC</v>
      </c>
      <c r="P24819" s="7" t="str">
        <f>HYPERLINK("#Liste_rouge!A"&amp;_xlfn.XMATCH("LC",Liste_rouge!A:A,2,1),"LC")</f>
        <v>LC</v>
      </c>
      <c r="Q24819" s="7" t="str">
        <f>HYPERLINK("#Liste_rouge!A"&amp;_xlfn.XMATCH("LC",Liste_rouge!A:A,2,1),"LC")</f>
        <v>LC</v>
      </c>
      <c r="V24819" s="7" t="str">
        <f>HYPERLINK("#Liste_rouge!A"&amp;_xlfn.XMATCH("VU",Liste_rouge!A:A,2,1),"VU")</f>
        <v>VU</v>
      </c>
      <c r="W24819" s="4" t="str">
        <f>HYPERLINK("#Critères_liste_rouge!A$1","A4abce1")</f>
        <v>A4abce1</v>
      </c>
      <c r="X24819" s="5" t="s">
        <v>23439</v>
      </c>
      <c r="Y24819" s="5" t="s">
        <v>32864</v>
      </c>
      <c r="AE24819" s="4" t="str">
        <f>HYPERLINK("#SCAP!A"&amp;_xlfn.XMATCH("A",SCAP!A:A,2,1),"A (cd_nom 67772) - 2+ (cd_nom 67782)")</f>
        <v>A (cd_nom 67772) - 2+ (cd_nom 67782)</v>
      </c>
      <c r="AH24819" s="4" t="str">
        <f>HYPERLINK("#Statut_biogéographique!A"&amp;_xlfn.XMATCH("P",Statut_biogéographique!A:A,2,1),"P")</f>
        <v>P</v>
      </c>
      <c r="AP24819" s="4" t="s">
        <v>376</v>
      </c>
      <c r="AR24819" s="4" t="s">
        <v>377</v>
      </c>
    </row>
    <row r="24820" spans="1:44" ht="120">
      <c r="A24820" s="4" t="s">
        <v>104</v>
      </c>
      <c r="B24820" s="4">
        <v>67804</v>
      </c>
      <c r="D24820" s="5" t="s">
        <v>32865</v>
      </c>
      <c r="E24820" s="6" t="str">
        <f>HYPERLINK("https://inpn.mnhn.fr/espece/cd_nom/67804","Oncorhynchus mykiss (Walbaum, 1792)")</f>
        <v>Oncorhynchus mykiss (Walbaum, 1792)</v>
      </c>
      <c r="F24820" s="5" t="s">
        <v>32866</v>
      </c>
      <c r="Q24820" s="7" t="str">
        <f>HYPERLINK("#Liste_rouge!A"&amp;_xlfn.XMATCH("NA",Liste_rouge!A:A,2,1),"NA")</f>
        <v>NA</v>
      </c>
      <c r="V24820" s="7" t="str">
        <f>HYPERLINK("#Liste_rouge!A"&amp;_xlfn.XMATCH("NA",Liste_rouge!A:A,2,1),"NA")</f>
        <v>NA</v>
      </c>
      <c r="AH24820" s="4" t="str">
        <f>HYPERLINK("#Statut_biogéographique!A"&amp;_xlfn.XMATCH("I",Statut_biogéographique!A:A,2,1),"I")</f>
        <v>I</v>
      </c>
      <c r="AP24820" s="4" t="s">
        <v>376</v>
      </c>
      <c r="AR24820" s="4" t="s">
        <v>377</v>
      </c>
    </row>
    <row r="24821" spans="1:44" ht="30">
      <c r="A24821" s="4" t="s">
        <v>104</v>
      </c>
      <c r="B24821" s="4">
        <v>67817</v>
      </c>
      <c r="D24821" s="5" t="s">
        <v>32867</v>
      </c>
      <c r="E24821" s="6" t="str">
        <f>HYPERLINK("https://inpn.mnhn.fr/espece/cd_nom/67817","Salvelinus fontinalis (Mitchill, 1814)")</f>
        <v>Salvelinus fontinalis (Mitchill, 1814)</v>
      </c>
      <c r="F24821" s="5" t="s">
        <v>32868</v>
      </c>
      <c r="Q24821" s="7" t="str">
        <f>HYPERLINK("#Liste_rouge!A"&amp;_xlfn.XMATCH("NA",Liste_rouge!A:A,2,1),"NA")</f>
        <v>NA</v>
      </c>
      <c r="V24821" s="7" t="str">
        <f>HYPERLINK("#Liste_rouge!A"&amp;_xlfn.XMATCH("NA",Liste_rouge!A:A,2,1),"NA")</f>
        <v>NA</v>
      </c>
      <c r="AH24821" s="4" t="str">
        <f>HYPERLINK("#Statut_biogéographique!A"&amp;_xlfn.XMATCH("I",Statut_biogéographique!A:A,2,1),"I")</f>
        <v>I</v>
      </c>
      <c r="AP24821" s="4" t="s">
        <v>376</v>
      </c>
      <c r="AR24821" s="4" t="s">
        <v>377</v>
      </c>
    </row>
    <row r="24822" spans="1:44" ht="45">
      <c r="A24822" s="4" t="s">
        <v>104</v>
      </c>
      <c r="B24822" s="4">
        <v>67819</v>
      </c>
      <c r="D24822" s="5" t="s">
        <v>32869</v>
      </c>
      <c r="E24822" s="6" t="str">
        <f>HYPERLINK("https://inpn.mnhn.fr/espece/cd_nom/67819","Salvelinus namaycush (Walbaum, 1792)")</f>
        <v>Salvelinus namaycush (Walbaum, 1792)</v>
      </c>
      <c r="F24822" s="5" t="s">
        <v>32870</v>
      </c>
      <c r="Q24822" s="7" t="str">
        <f>HYPERLINK("#Liste_rouge!A"&amp;_xlfn.XMATCH("NA",Liste_rouge!A:A,2,1),"NA")</f>
        <v>NA</v>
      </c>
      <c r="V24822" s="7" t="str">
        <f>HYPERLINK("#Liste_rouge!A"&amp;_xlfn.XMATCH("NA",Liste_rouge!A:A,2,1),"NA")</f>
        <v>NA</v>
      </c>
      <c r="AH24822" s="4" t="str">
        <f>HYPERLINK("#Statut_biogéographique!A"&amp;_xlfn.XMATCH("I",Statut_biogéographique!A:A,2,1),"I")</f>
        <v>I</v>
      </c>
      <c r="AP24822" s="4" t="s">
        <v>376</v>
      </c>
      <c r="AR24822" s="4" t="s">
        <v>377</v>
      </c>
    </row>
    <row r="24823" spans="1:44" ht="45">
      <c r="A24823" s="4" t="s">
        <v>104</v>
      </c>
      <c r="B24823" s="4">
        <v>67862</v>
      </c>
      <c r="D24823" s="5" t="s">
        <v>32871</v>
      </c>
      <c r="E24823" s="6" t="str">
        <f>HYPERLINK("https://inpn.mnhn.fr/espece/cd_nom/67862","Coregonus lavaretus (Linnaeus, 1758)")</f>
        <v>Coregonus lavaretus (Linnaeus, 1758)</v>
      </c>
      <c r="F24823" s="5" t="s">
        <v>32872</v>
      </c>
      <c r="I24823" s="4" t="str">
        <f>HYPERLINK("#Réglementation!A"&amp;_xlfn.XMATCH("IBE3",Réglementation!A:A,2,1),"IBE3")</f>
        <v>IBE3</v>
      </c>
      <c r="K24823" s="4" t="str">
        <f>HYPERLINK("#Réglementation!A"&amp;_xlfn.XMATCH("CDH5",Réglementation!A:A,2,1),"CDH5")</f>
        <v>CDH5</v>
      </c>
      <c r="L24823" s="4" t="str">
        <f>HYPERLINK("#Réglementation!A"&amp;_xlfn.XMATCH("NP1",Réglementation!A:A,2,1),"NP1")</f>
        <v>NP1</v>
      </c>
      <c r="O24823" s="7" t="str">
        <f>HYPERLINK("#Liste_rouge!A"&amp;_xlfn.XMATCH("VU",Liste_rouge!A:A,2,1),"VU")</f>
        <v>VU</v>
      </c>
      <c r="P24823" s="7" t="str">
        <f>HYPERLINK("#Liste_rouge!A"&amp;_xlfn.XMATCH("VU",Liste_rouge!A:A,2,1),"VU")</f>
        <v>VU</v>
      </c>
      <c r="Q24823" s="7" t="str">
        <f>HYPERLINK("#Liste_rouge!A"&amp;_xlfn.XMATCH("NA",Liste_rouge!A:A,2,1),"NA")</f>
        <v>NA</v>
      </c>
      <c r="AH24823" s="4" t="str">
        <f>HYPERLINK("#Statut_biogéographique!A"&amp;_xlfn.XMATCH("P",Statut_biogéographique!A:A,2,1),"P")</f>
        <v>P</v>
      </c>
      <c r="AP24823" s="4" t="s">
        <v>376</v>
      </c>
      <c r="AR24823" s="4" t="s">
        <v>377</v>
      </c>
    </row>
    <row r="24824" spans="1:44" ht="90">
      <c r="A24824" s="4" t="s">
        <v>104</v>
      </c>
      <c r="B24824" s="4">
        <v>68336</v>
      </c>
      <c r="D24824" s="5" t="s">
        <v>32873</v>
      </c>
      <c r="E24824" s="6" t="str">
        <f>HYPERLINK("https://inpn.mnhn.fr/espece/cd_nom/68336","Lota lota (Linnaeus, 1758)")</f>
        <v>Lota lota (Linnaeus, 1758)</v>
      </c>
      <c r="F24824" s="5" t="s">
        <v>32874</v>
      </c>
      <c r="O24824" s="7" t="str">
        <f>HYPERLINK("#Liste_rouge!A"&amp;_xlfn.XMATCH("LC",Liste_rouge!A:A,2,1),"LC")</f>
        <v>LC</v>
      </c>
      <c r="P24824" s="7" t="str">
        <f>HYPERLINK("#Liste_rouge!A"&amp;_xlfn.XMATCH("LC",Liste_rouge!A:A,2,1),"LC")</f>
        <v>LC</v>
      </c>
      <c r="Q24824" s="7" t="str">
        <f>HYPERLINK("#Liste_rouge!A"&amp;_xlfn.XMATCH("VU",Liste_rouge!A:A,2,1),"VU")</f>
        <v>VU</v>
      </c>
      <c r="V24824" s="7" t="str">
        <f>HYPERLINK("#Liste_rouge!A"&amp;_xlfn.XMATCH("EN",Liste_rouge!A:A,2,1),"EN")</f>
        <v>EN</v>
      </c>
      <c r="W24824" s="4" t="str">
        <f>HYPERLINK("#Critères_liste_rouge!A$1","A2abcA4ceB2(ii)")</f>
        <v>A2abcA4ceB2(ii)</v>
      </c>
      <c r="X24824" s="5" t="s">
        <v>374</v>
      </c>
      <c r="Y24824" s="5" t="s">
        <v>93</v>
      </c>
      <c r="AE24824" s="4" t="str">
        <f>HYPERLINK("#SCAP!A"&amp;_xlfn.XMATCH("1+",SCAP!A:A,2,1),"1+")</f>
        <v>1+</v>
      </c>
      <c r="AF24824" s="4" t="str">
        <f>HYPERLINK("#SCAP!A"&amp;_xlfn.XMATCH("1+",SCAP!A:A,2,1),"1+")</f>
        <v>1+</v>
      </c>
      <c r="AG24824" s="4" t="str">
        <f>HYPERLINK("#SCAP!A"&amp;_xlfn.XMATCH("1+",SCAP!A:A,2,1),"1+")</f>
        <v>1+</v>
      </c>
      <c r="AH24824" s="4" t="str">
        <f>HYPERLINK("#Statut_biogéographique!A"&amp;_xlfn.XMATCH("P",Statut_biogéographique!A:A,2,1),"P")</f>
        <v>P</v>
      </c>
      <c r="AP24824" s="4" t="s">
        <v>376</v>
      </c>
      <c r="AR24824" s="4" t="s">
        <v>377</v>
      </c>
    </row>
    <row r="24825" spans="1:44" ht="45">
      <c r="A24825" s="4" t="s">
        <v>104</v>
      </c>
      <c r="B24825" s="4">
        <v>68825</v>
      </c>
      <c r="D24825" s="5" t="s">
        <v>32875</v>
      </c>
      <c r="E24825" s="6" t="str">
        <f>HYPERLINK("https://inpn.mnhn.fr/espece/cd_nom/68825","Gambusia affinis (Baird &amp; Girard, 1853)")</f>
        <v>Gambusia affinis (Baird &amp; Girard, 1853)</v>
      </c>
      <c r="F24825" s="5" t="s">
        <v>32876</v>
      </c>
      <c r="O24825" s="7" t="str">
        <f>HYPERLINK("#Liste_rouge!A"&amp;_xlfn.XMATCH("LC",Liste_rouge!A:A,2,1),"LC")</f>
        <v>LC</v>
      </c>
      <c r="AH24825" s="4" t="str">
        <f>HYPERLINK("#Statut_biogéographique!A"&amp;_xlfn.XMATCH("D",Statut_biogéographique!A:A,2,1),"D")</f>
        <v>D</v>
      </c>
      <c r="AL24825" s="5" t="str">
        <f>HYPERLINK("#Réglementation!A"&amp;_xlfn.XMATCH("EEEUE",Réglementation!A:A,2,1),"EEEUE")</f>
        <v>EEEUE</v>
      </c>
      <c r="AP24825" s="4" t="s">
        <v>376</v>
      </c>
      <c r="AR24825" s="4" t="s">
        <v>377</v>
      </c>
    </row>
    <row r="24826" spans="1:44" ht="165">
      <c r="A24826" s="4" t="s">
        <v>104</v>
      </c>
      <c r="B24826" s="4">
        <v>69010</v>
      </c>
      <c r="D24826" s="5" t="s">
        <v>32877</v>
      </c>
      <c r="E24826" s="6" t="str">
        <f>HYPERLINK("https://inpn.mnhn.fr/espece/cd_nom/69010","Gasterosteus aculeatus Linnaeus, 1758")</f>
        <v>Gasterosteus aculeatus Linnaeus, 1758</v>
      </c>
      <c r="F24826" s="5" t="s">
        <v>32878</v>
      </c>
      <c r="O24826" s="7" t="str">
        <f>HYPERLINK("#Liste_rouge!A"&amp;_xlfn.XMATCH("LC",Liste_rouge!A:A,2,1),"LC")</f>
        <v>LC</v>
      </c>
      <c r="P24826" s="7" t="str">
        <f>HYPERLINK("#Liste_rouge!A"&amp;_xlfn.XMATCH("LC",Liste_rouge!A:A,2,1),"LC")</f>
        <v>LC</v>
      </c>
      <c r="Q24826" s="7" t="str">
        <f>HYPERLINK("#Liste_rouge!A"&amp;_xlfn.XMATCH("LC",Liste_rouge!A:A,2,1),"LC")</f>
        <v>LC</v>
      </c>
      <c r="V24826" s="7" t="str">
        <f>HYPERLINK("#Liste_rouge!A"&amp;_xlfn.XMATCH("DD",Liste_rouge!A:A,2,1),"DD")</f>
        <v>DD</v>
      </c>
      <c r="AE24826" s="4" t="str">
        <f>HYPERLINK("#SCAP!A"&amp;_xlfn.XMATCH("A",SCAP!A:A,2,1),"A")</f>
        <v>A</v>
      </c>
      <c r="AH24826" s="4" t="str">
        <f>HYPERLINK("#Statut_biogéographique!A"&amp;_xlfn.XMATCH("P",Statut_biogéographique!A:A,2,1),"P")</f>
        <v>P</v>
      </c>
      <c r="AP24826" s="4" t="s">
        <v>376</v>
      </c>
      <c r="AR24826" s="4" t="s">
        <v>377</v>
      </c>
    </row>
    <row r="24827" spans="1:44" ht="60">
      <c r="A24827" s="4" t="s">
        <v>104</v>
      </c>
      <c r="B24827" s="4">
        <v>69016</v>
      </c>
      <c r="D24827" s="5" t="s">
        <v>32879</v>
      </c>
      <c r="E24827" s="6" t="str">
        <f>HYPERLINK("https://inpn.mnhn.fr/espece/cd_nom/69016","Pungitius pungitius (Linnaeus, 1758)")</f>
        <v>Pungitius pungitius (Linnaeus, 1758)</v>
      </c>
      <c r="F24827" s="5" t="s">
        <v>32768</v>
      </c>
      <c r="O24827" s="7" t="str">
        <f>HYPERLINK("#Liste_rouge!A"&amp;_xlfn.XMATCH("LC",Liste_rouge!A:A,2,1),"LC")</f>
        <v>LC</v>
      </c>
      <c r="P24827" s="7" t="str">
        <f>HYPERLINK("#Liste_rouge!A"&amp;_xlfn.XMATCH("LC",Liste_rouge!A:A,2,1),"LC")</f>
        <v>LC</v>
      </c>
      <c r="Q24827" s="7" t="str">
        <f>HYPERLINK("#Liste_rouge!A"&amp;_xlfn.XMATCH("DD",Liste_rouge!A:A,2,1),"DD")</f>
        <v>DD</v>
      </c>
      <c r="AH24827" s="4" t="str">
        <f>HYPERLINK("#Statut_biogéographique!A"&amp;_xlfn.XMATCH("P",Statut_biogéographique!A:A,2,1),"P")</f>
        <v>P</v>
      </c>
      <c r="AP24827" s="4" t="s">
        <v>376</v>
      </c>
      <c r="AR24827" s="4" t="s">
        <v>377</v>
      </c>
    </row>
    <row r="24828" spans="1:44" ht="45">
      <c r="A24828" s="4" t="s">
        <v>104</v>
      </c>
      <c r="B24828" s="4">
        <v>69182</v>
      </c>
      <c r="D24828" s="5" t="s">
        <v>32880</v>
      </c>
      <c r="E24828" s="6" t="str">
        <f>HYPERLINK("https://inpn.mnhn.fr/espece/cd_nom/69182","Cottus gobio Linnaeus, 1758")</f>
        <v>Cottus gobio Linnaeus, 1758</v>
      </c>
      <c r="F24828" s="5" t="s">
        <v>32881</v>
      </c>
      <c r="K24828" s="4" t="str">
        <f>HYPERLINK("#Réglementation!A"&amp;_xlfn.XMATCH("CDH2",Réglementation!A:A,2,1),"CDH2")</f>
        <v>CDH2</v>
      </c>
      <c r="O24828" s="7" t="str">
        <f>HYPERLINK("#Liste_rouge!A"&amp;_xlfn.XMATCH("VU",Liste_rouge!A:A,2,1),"VU (cd_nom 970978) - DD (cd_nom 348101) - LC (cd_nom 69182)")</f>
        <v>VU (cd_nom 970978) - DD (cd_nom 348101) - LC (cd_nom 69182)</v>
      </c>
      <c r="P24828" s="7" t="str">
        <f>HYPERLINK("#Liste_rouge!A"&amp;_xlfn.XMATCH("VU",Liste_rouge!A:A,2,1),"VU (cd_nom 970978) - DD (cd_nom 348101) - LC (cd_nom 69182)")</f>
        <v>VU (cd_nom 970978) - DD (cd_nom 348101) - LC (cd_nom 69182)</v>
      </c>
      <c r="Q24828" s="7" t="str">
        <f>HYPERLINK("#Liste_rouge!A"&amp;_xlfn.XMATCH("LC",Liste_rouge!A:A,2,1),"LC")</f>
        <v>LC</v>
      </c>
      <c r="V24828" s="7" t="str">
        <f>HYPERLINK("#Liste_rouge!A"&amp;_xlfn.XMATCH("NT",Liste_rouge!A:A,2,1),"NT")</f>
        <v>NT</v>
      </c>
      <c r="W24828" s="4" t="str">
        <f>HYPERLINK("#Critères_liste_rouge!A$1","A2abc")</f>
        <v>A2abc</v>
      </c>
      <c r="X24828" s="5" t="s">
        <v>23439</v>
      </c>
      <c r="Y24828" s="5" t="s">
        <v>32773</v>
      </c>
      <c r="AE24828" s="4" t="str">
        <f>HYPERLINK("#SCAP!A"&amp;_xlfn.XMATCH("2+",SCAP!A:A,2,1),"2+")</f>
        <v>2+</v>
      </c>
      <c r="AF24828" s="4" t="str">
        <f>HYPERLINK("#SCAP!A"&amp;_xlfn.XMATCH("2+",SCAP!A:A,2,1),"2+")</f>
        <v>2+</v>
      </c>
      <c r="AG24828" s="4" t="str">
        <f>HYPERLINK("#SCAP!A"&amp;_xlfn.XMATCH("2+",SCAP!A:A,2,1),"2+")</f>
        <v>2+</v>
      </c>
      <c r="AH24828" s="4" t="str">
        <f>HYPERLINK("#Statut_biogéographique!A"&amp;_xlfn.XMATCH("P",Statut_biogéographique!A:A,2,1),"P")</f>
        <v>P</v>
      </c>
      <c r="AP24828" s="4" t="s">
        <v>376</v>
      </c>
      <c r="AR24828" s="4" t="s">
        <v>377</v>
      </c>
    </row>
    <row r="24829" spans="1:44" ht="30">
      <c r="A24829" s="4" t="s">
        <v>104</v>
      </c>
      <c r="B24829" s="4">
        <v>69336</v>
      </c>
      <c r="D24829" s="5" t="s">
        <v>32882</v>
      </c>
      <c r="E24829" s="6" t="str">
        <f>HYPERLINK("https://inpn.mnhn.fr/espece/cd_nom/69336","Ambloplites rupestris (Rafinesque, 1817)")</f>
        <v>Ambloplites rupestris (Rafinesque, 1817)</v>
      </c>
      <c r="F24829" s="5" t="s">
        <v>32883</v>
      </c>
      <c r="O24829" s="7" t="str">
        <f>HYPERLINK("#Liste_rouge!A"&amp;_xlfn.XMATCH("LC",Liste_rouge!A:A,2,1),"LC")</f>
        <v>LC</v>
      </c>
      <c r="Q24829" s="7" t="str">
        <f>HYPERLINK("#Liste_rouge!A"&amp;_xlfn.XMATCH("NA",Liste_rouge!A:A,2,1),"NA")</f>
        <v>NA</v>
      </c>
      <c r="AH24829" s="4" t="str">
        <f>HYPERLINK("#Statut_biogéographique!A"&amp;_xlfn.XMATCH("I",Statut_biogéographique!A:A,2,1),"I")</f>
        <v>I</v>
      </c>
      <c r="AP24829" s="4" t="s">
        <v>376</v>
      </c>
      <c r="AR24829" s="4" t="s">
        <v>377</v>
      </c>
    </row>
    <row r="24830" spans="1:44" ht="45">
      <c r="A24830" s="4" t="s">
        <v>104</v>
      </c>
      <c r="B24830" s="4">
        <v>69338</v>
      </c>
      <c r="D24830" s="5" t="s">
        <v>32884</v>
      </c>
      <c r="E24830" s="6" t="str">
        <f>HYPERLINK("https://inpn.mnhn.fr/espece/cd_nom/69338","Lepomis gibbosus (Linnaeus, 1758)")</f>
        <v>Lepomis gibbosus (Linnaeus, 1758)</v>
      </c>
      <c r="F24830" s="5" t="s">
        <v>32885</v>
      </c>
      <c r="O24830" s="7" t="str">
        <f>HYPERLINK("#Liste_rouge!A"&amp;_xlfn.XMATCH("LC",Liste_rouge!A:A,2,1),"LC")</f>
        <v>LC</v>
      </c>
      <c r="Q24830" s="7" t="str">
        <f>HYPERLINK("#Liste_rouge!A"&amp;_xlfn.XMATCH("NA",Liste_rouge!A:A,2,1),"NA")</f>
        <v>NA</v>
      </c>
      <c r="V24830" s="7" t="str">
        <f>HYPERLINK("#Liste_rouge!A"&amp;_xlfn.XMATCH("NA",Liste_rouge!A:A,2,1),"NA")</f>
        <v>NA</v>
      </c>
      <c r="AH24830" s="4" t="str">
        <f>HYPERLINK("#Statut_biogéographique!A"&amp;_xlfn.XMATCH("J",Statut_biogéographique!A:A,2,1),"J")</f>
        <v>J</v>
      </c>
      <c r="AL24830" s="5" t="str">
        <f>HYPERLINK("#Réglementation!A"&amp;_xlfn.XMATCH("FRnoEEEA2",Réglementation!A:A,2,1),"FRnoEEEA2 - EEEUE")</f>
        <v>FRnoEEEA2 - EEEUE</v>
      </c>
      <c r="AP24830" s="4" t="s">
        <v>376</v>
      </c>
      <c r="AR24830" s="4" t="s">
        <v>377</v>
      </c>
    </row>
    <row r="24831" spans="1:44" ht="45">
      <c r="A24831" s="4" t="s">
        <v>104</v>
      </c>
      <c r="B24831" s="4">
        <v>69344</v>
      </c>
      <c r="D24831" s="5" t="s">
        <v>32886</v>
      </c>
      <c r="E24831" s="6" t="str">
        <f>HYPERLINK("https://inpn.mnhn.fr/espece/cd_nom/69344","Micropterus dolomieu Lacepède, 1802")</f>
        <v>Micropterus dolomieu Lacepède, 1802</v>
      </c>
      <c r="F24831" s="5" t="s">
        <v>32887</v>
      </c>
      <c r="O24831" s="7" t="str">
        <f>HYPERLINK("#Liste_rouge!A"&amp;_xlfn.XMATCH("LC",Liste_rouge!A:A,2,1),"LC")</f>
        <v>LC</v>
      </c>
      <c r="AH24831" s="4" t="str">
        <f>HYPERLINK("#Statut_biogéographique!A"&amp;_xlfn.XMATCH("Y",Statut_biogéographique!A:A,2,1),"Y")</f>
        <v>Y</v>
      </c>
      <c r="AP24831" s="4" t="s">
        <v>376</v>
      </c>
      <c r="AR24831" s="4" t="s">
        <v>377</v>
      </c>
    </row>
    <row r="24832" spans="1:44" ht="45">
      <c r="A24832" s="4" t="s">
        <v>104</v>
      </c>
      <c r="B24832" s="4">
        <v>69346</v>
      </c>
      <c r="D24832" s="5" t="s">
        <v>32888</v>
      </c>
      <c r="E24832" s="6" t="str">
        <f>HYPERLINK("https://inpn.mnhn.fr/espece/cd_nom/69346","Micropterus salmoides (Lacepède, 1802)")</f>
        <v>Micropterus salmoides (Lacepède, 1802)</v>
      </c>
      <c r="F24832" s="5" t="s">
        <v>32889</v>
      </c>
      <c r="O24832" s="7" t="str">
        <f>HYPERLINK("#Liste_rouge!A"&amp;_xlfn.XMATCH("LC",Liste_rouge!A:A,2,1),"LC")</f>
        <v>LC</v>
      </c>
      <c r="Q24832" s="7" t="str">
        <f>HYPERLINK("#Liste_rouge!A"&amp;_xlfn.XMATCH("NA",Liste_rouge!A:A,2,1),"NA")</f>
        <v>NA</v>
      </c>
      <c r="V24832" s="7" t="str">
        <f>HYPERLINK("#Liste_rouge!A"&amp;_xlfn.XMATCH("NA",Liste_rouge!A:A,2,1),"NA")</f>
        <v>NA</v>
      </c>
      <c r="AH24832" s="4" t="str">
        <f>HYPERLINK("#Statut_biogéographique!A"&amp;_xlfn.XMATCH("I",Statut_biogéographique!A:A,2,1),"I")</f>
        <v>I</v>
      </c>
      <c r="AP24832" s="4" t="s">
        <v>376</v>
      </c>
      <c r="AR24832" s="4" t="s">
        <v>377</v>
      </c>
    </row>
    <row r="24833" spans="1:44" ht="60">
      <c r="A24833" s="4" t="s">
        <v>104</v>
      </c>
      <c r="B24833" s="4">
        <v>69350</v>
      </c>
      <c r="D24833" s="5" t="s">
        <v>32890</v>
      </c>
      <c r="E24833" s="6" t="str">
        <f>HYPERLINK("https://inpn.mnhn.fr/espece/cd_nom/69350","Perca fluviatilis Linnaeus, 1758")</f>
        <v>Perca fluviatilis Linnaeus, 1758</v>
      </c>
      <c r="F24833" s="5" t="s">
        <v>32891</v>
      </c>
      <c r="O24833" s="7" t="str">
        <f>HYPERLINK("#Liste_rouge!A"&amp;_xlfn.XMATCH("LC",Liste_rouge!A:A,2,1),"LC")</f>
        <v>LC</v>
      </c>
      <c r="P24833" s="7" t="str">
        <f>HYPERLINK("#Liste_rouge!A"&amp;_xlfn.XMATCH("LC",Liste_rouge!A:A,2,1),"LC")</f>
        <v>LC</v>
      </c>
      <c r="Q24833" s="7" t="str">
        <f>HYPERLINK("#Liste_rouge!A"&amp;_xlfn.XMATCH("LC",Liste_rouge!A:A,2,1),"LC")</f>
        <v>LC</v>
      </c>
      <c r="V24833" s="7" t="str">
        <f>HYPERLINK("#Liste_rouge!A"&amp;_xlfn.XMATCH("LC",Liste_rouge!A:A,2,1),"LC")</f>
        <v>LC</v>
      </c>
      <c r="AH24833" s="4" t="str">
        <f>HYPERLINK("#Statut_biogéographique!A"&amp;_xlfn.XMATCH("P",Statut_biogéographique!A:A,2,1),"P")</f>
        <v>P</v>
      </c>
      <c r="AP24833" s="4" t="s">
        <v>376</v>
      </c>
      <c r="AR24833" s="4" t="s">
        <v>377</v>
      </c>
    </row>
    <row r="24834" spans="1:44" ht="30">
      <c r="A24834" s="4" t="s">
        <v>104</v>
      </c>
      <c r="B24834" s="4">
        <v>69372</v>
      </c>
      <c r="D24834" s="5" t="s">
        <v>32892</v>
      </c>
      <c r="E24834" s="6" t="str">
        <f>HYPERLINK("https://inpn.mnhn.fr/espece/cd_nom/69372","Sander lucioperca (Linnaeus, 1758)")</f>
        <v>Sander lucioperca (Linnaeus, 1758)</v>
      </c>
      <c r="F24834" s="5" t="s">
        <v>32893</v>
      </c>
      <c r="O24834" s="7" t="str">
        <f>HYPERLINK("#Liste_rouge!A"&amp;_xlfn.XMATCH("LC",Liste_rouge!A:A,2,1),"LC")</f>
        <v>LC</v>
      </c>
      <c r="P24834" s="7" t="str">
        <f>HYPERLINK("#Liste_rouge!A"&amp;_xlfn.XMATCH("LC",Liste_rouge!A:A,2,1),"LC")</f>
        <v>LC</v>
      </c>
      <c r="Q24834" s="7" t="str">
        <f>HYPERLINK("#Liste_rouge!A"&amp;_xlfn.XMATCH("NA",Liste_rouge!A:A,2,1),"NA")</f>
        <v>NA</v>
      </c>
      <c r="V24834" s="7" t="str">
        <f>HYPERLINK("#Liste_rouge!A"&amp;_xlfn.XMATCH("NA",Liste_rouge!A:A,2,1),"NA")</f>
        <v>NA</v>
      </c>
      <c r="AH24834" s="4" t="str">
        <f>HYPERLINK("#Statut_biogéographique!A"&amp;_xlfn.XMATCH("J",Statut_biogéographique!A:A,2,1),"J")</f>
        <v>J</v>
      </c>
      <c r="AP24834" s="4" t="s">
        <v>376</v>
      </c>
      <c r="AR24834" s="4" t="s">
        <v>377</v>
      </c>
    </row>
    <row r="24835" spans="1:44">
      <c r="A24835" s="4" t="s">
        <v>104</v>
      </c>
      <c r="B24835" s="4">
        <v>69378</v>
      </c>
      <c r="D24835" s="5" t="s">
        <v>32894</v>
      </c>
      <c r="E24835" s="6" t="str">
        <f>HYPERLINK("https://inpn.mnhn.fr/espece/cd_nom/69378","Zingel asper (Linnaeus, 1758)")</f>
        <v>Zingel asper (Linnaeus, 1758)</v>
      </c>
      <c r="F24835" s="5" t="s">
        <v>32895</v>
      </c>
      <c r="I24835" s="4" t="str">
        <f>HYPERLINK("#Réglementation!A"&amp;_xlfn.XMATCH("IBE2",Réglementation!A:A,2,1),"IBE2")</f>
        <v>IBE2</v>
      </c>
      <c r="K24835" s="4" t="str">
        <f>HYPERLINK("#Réglementation!A"&amp;_xlfn.XMATCH("CDH2",Réglementation!A:A,2,1),"CDH2 - CDH4")</f>
        <v>CDH2 - CDH4</v>
      </c>
      <c r="L24835" s="4" t="str">
        <f>HYPERLINK("#Réglementation!A"&amp;_xlfn.XMATCH("NP1",Réglementation!A:A,2,1),"NP1 - NM")</f>
        <v>NP1 - NM</v>
      </c>
      <c r="O24835" s="7" t="str">
        <f>HYPERLINK("#Liste_rouge!A"&amp;_xlfn.XMATCH("CR",Liste_rouge!A:A,2,1),"CR")</f>
        <v>CR</v>
      </c>
      <c r="P24835" s="7" t="str">
        <f>HYPERLINK("#Liste_rouge!A"&amp;_xlfn.XMATCH("CR",Liste_rouge!A:A,2,1),"CR")</f>
        <v>CR</v>
      </c>
      <c r="Q24835" s="7" t="str">
        <f>HYPERLINK("#Liste_rouge!A"&amp;_xlfn.XMATCH("EN",Liste_rouge!A:A,2,1),"EN")</f>
        <v>EN</v>
      </c>
      <c r="V24835" s="7" t="str">
        <f>HYPERLINK("#Liste_rouge!A"&amp;_xlfn.XMATCH("CR",Liste_rouge!A:A,2,1),"CR")</f>
        <v>CR</v>
      </c>
      <c r="W24835" s="4" t="str">
        <f>HYPERLINK("#Critères_liste_rouge!A$1","B2ab(ii, iii, iv)")</f>
        <v>B2ab(ii, iii, iv)</v>
      </c>
      <c r="X24835" s="5" t="s">
        <v>374</v>
      </c>
      <c r="Y24835" s="5" t="s">
        <v>93</v>
      </c>
      <c r="AE24835" s="4" t="str">
        <f>HYPERLINK("#SCAP!A"&amp;_xlfn.XMATCH("1+",SCAP!A:A,2,1),"1+")</f>
        <v>1+</v>
      </c>
      <c r="AF24835" s="4" t="str">
        <f>HYPERLINK("#SCAP!A"&amp;_xlfn.XMATCH("1-",SCAP!A:A,2,1),"1-")</f>
        <v>1-</v>
      </c>
      <c r="AG24835" s="4" t="str">
        <f>HYPERLINK("#SCAP!A"&amp;_xlfn.XMATCH("1+",SCAP!A:A,2,1),"1+")</f>
        <v>1+</v>
      </c>
      <c r="AH24835" s="4" t="str">
        <f>HYPERLINK("#Statut_biogéographique!A"&amp;_xlfn.XMATCH("S",Statut_biogéographique!A:A,2,1),"S")</f>
        <v>S</v>
      </c>
      <c r="AI24835" s="8" t="s">
        <v>32896</v>
      </c>
      <c r="AJ24835" s="4" t="s">
        <v>23967</v>
      </c>
      <c r="AP24835" s="4" t="s">
        <v>376</v>
      </c>
      <c r="AQ24835" s="4" t="s">
        <v>377</v>
      </c>
      <c r="AR24835" s="4" t="s">
        <v>377</v>
      </c>
    </row>
    <row r="24836" spans="1:44" ht="60">
      <c r="A24836" s="4" t="s">
        <v>104</v>
      </c>
      <c r="B24836" s="4">
        <v>70155</v>
      </c>
      <c r="D24836" s="5" t="s">
        <v>32897</v>
      </c>
      <c r="E24836" s="6" t="str">
        <f>HYPERLINK("https://inpn.mnhn.fr/espece/cd_nom/70155","Neogobius melanostomus (Pallas, 1814)")</f>
        <v>Neogobius melanostomus (Pallas, 1814)</v>
      </c>
      <c r="F24836" s="5" t="s">
        <v>32898</v>
      </c>
      <c r="O24836" s="7" t="str">
        <f>HYPERLINK("#Liste_rouge!A"&amp;_xlfn.XMATCH("LC",Liste_rouge!A:A,2,1),"LC")</f>
        <v>LC</v>
      </c>
      <c r="P24836" s="7" t="str">
        <f>HYPERLINK("#Liste_rouge!A"&amp;_xlfn.XMATCH("LC",Liste_rouge!A:A,2,1),"LC")</f>
        <v>LC</v>
      </c>
      <c r="Q24836" s="7" t="str">
        <f>HYPERLINK("#Liste_rouge!A"&amp;_xlfn.XMATCH("NA",Liste_rouge!A:A,2,1),"NA")</f>
        <v>NA</v>
      </c>
      <c r="AH24836" s="4" t="str">
        <f>HYPERLINK("#Statut_biogéographique!A"&amp;_xlfn.XMATCH("J",Statut_biogéographique!A:A,2,1),"J")</f>
        <v>J</v>
      </c>
      <c r="AP24836" s="4" t="s">
        <v>376</v>
      </c>
      <c r="AR24836" s="4" t="s">
        <v>377</v>
      </c>
    </row>
    <row r="24837" spans="1:44">
      <c r="A24837" s="4" t="s">
        <v>104</v>
      </c>
      <c r="B24837" s="4">
        <v>70175</v>
      </c>
      <c r="D24837" s="5" t="s">
        <v>32899</v>
      </c>
      <c r="E24837" s="6" t="str">
        <f>HYPERLINK("https://inpn.mnhn.fr/espece/cd_nom/70175","Ponticola kessleri (Günther, 1861)")</f>
        <v>Ponticola kessleri (Günther, 1861)</v>
      </c>
      <c r="F24837" s="5" t="s">
        <v>32900</v>
      </c>
      <c r="I24837" s="4" t="str">
        <f>HYPERLINK("#Réglementation!A"&amp;_xlfn.XMATCH("IBE3",Réglementation!A:A,2,1),"IBE3")</f>
        <v>IBE3</v>
      </c>
      <c r="O24837" s="7" t="str">
        <f>HYPERLINK("#Liste_rouge!A"&amp;_xlfn.XMATCH("LC",Liste_rouge!A:A,2,1),"LC")</f>
        <v>LC</v>
      </c>
      <c r="P24837" s="7" t="str">
        <f>HYPERLINK("#Liste_rouge!A"&amp;_xlfn.XMATCH("LC",Liste_rouge!A:A,2,1),"LC")</f>
        <v>LC</v>
      </c>
      <c r="Q24837" s="7" t="str">
        <f>HYPERLINK("#Liste_rouge!A"&amp;_xlfn.XMATCH("NA",Liste_rouge!A:A,2,1),"NA")</f>
        <v>NA</v>
      </c>
      <c r="AH24837" s="4" t="str">
        <f>HYPERLINK("#Statut_biogéographique!A"&amp;_xlfn.XMATCH("J",Statut_biogéographique!A:A,2,1),"J")</f>
        <v>J</v>
      </c>
      <c r="AP24837" s="4" t="s">
        <v>376</v>
      </c>
      <c r="AR24837" s="4" t="s">
        <v>377</v>
      </c>
    </row>
    <row r="24838" spans="1:44" ht="45">
      <c r="A24838" s="4" t="s">
        <v>104</v>
      </c>
      <c r="B24838" s="4">
        <v>891948</v>
      </c>
      <c r="D24838" s="5" t="s">
        <v>32901</v>
      </c>
      <c r="E24838" s="6" t="str">
        <f>HYPERLINK("https://inpn.mnhn.fr/espece/cd_nom/891948","Chelon ramada (Risso, 1827)")</f>
        <v>Chelon ramada (Risso, 1827)</v>
      </c>
      <c r="F24838" s="5" t="s">
        <v>32902</v>
      </c>
      <c r="O24838" s="7" t="str">
        <f>HYPERLINK("#Liste_rouge!A"&amp;_xlfn.XMATCH("LC",Liste_rouge!A:A,2,1),"LC")</f>
        <v>LC</v>
      </c>
      <c r="P24838" s="7" t="str">
        <f>HYPERLINK("#Liste_rouge!A"&amp;_xlfn.XMATCH("LC",Liste_rouge!A:A,2,1),"LC")</f>
        <v>LC</v>
      </c>
      <c r="Q24838" s="7" t="str">
        <f>HYPERLINK("#Liste_rouge!A"&amp;_xlfn.XMATCH("LC",Liste_rouge!A:A,2,1),"LC")</f>
        <v>LC</v>
      </c>
      <c r="AH24838" s="4" t="str">
        <f>HYPERLINK("#Statut_biogéographique!A"&amp;_xlfn.XMATCH("P",Statut_biogéographique!A:A,2,1),"P")</f>
        <v>P</v>
      </c>
      <c r="AP24838" s="4" t="s">
        <v>376</v>
      </c>
      <c r="AR24838" s="4" t="s">
        <v>377</v>
      </c>
    </row>
    <row r="24839" spans="1:44" ht="30">
      <c r="A24839" s="4" t="s">
        <v>104</v>
      </c>
      <c r="B24839" s="4">
        <v>966344</v>
      </c>
      <c r="D24839" s="5">
        <v>966344</v>
      </c>
      <c r="E24839" s="6" t="str">
        <f>HYPERLINK("https://inpn.mnhn.fr/espece/cd_nom/966344","Phoxinus fayollarum Denys, Dettai, Persat, Daszkiewicz, Hautecoeur &amp; Keith, 2020")</f>
        <v>Phoxinus fayollarum Denys, Dettai, Persat, Daszkiewicz, Hautecoeur &amp; Keith, 2020</v>
      </c>
      <c r="AH24839" s="4" t="str">
        <f>HYPERLINK("#Statut_biogéographique!A"&amp;_xlfn.XMATCH("E",Statut_biogéographique!A:A,2,1),"E")</f>
        <v>E</v>
      </c>
      <c r="AP24839" s="4" t="s">
        <v>376</v>
      </c>
      <c r="AR24839" s="4" t="s">
        <v>377</v>
      </c>
    </row>
    <row r="24840" spans="1:44">
      <c r="A24840" s="4" t="s">
        <v>119</v>
      </c>
      <c r="B24840" s="4">
        <v>444446</v>
      </c>
      <c r="D24840" s="5" t="s">
        <v>32903</v>
      </c>
      <c r="E24840" s="6" t="str">
        <f>HYPERLINK("https://inpn.mnhn.fr/espece/cd_nom/444446","Zamenis longissimus (Laurenti, 1768)")</f>
        <v>Zamenis longissimus (Laurenti, 1768)</v>
      </c>
      <c r="F24840" s="5" t="s">
        <v>32904</v>
      </c>
      <c r="I24840" s="4" t="str">
        <f>HYPERLINK("#Réglementation!A"&amp;_xlfn.XMATCH("IBE2",Réglementation!A:A,2,1),"IBE2")</f>
        <v>IBE2</v>
      </c>
      <c r="K24840" s="4" t="str">
        <f>HYPERLINK("#Réglementation!A"&amp;_xlfn.XMATCH("CDH4",Réglementation!A:A,2,1),"CDH4")</f>
        <v>CDH4</v>
      </c>
      <c r="L24840" s="4" t="str">
        <f>HYPERLINK("#Réglementation!A"&amp;_xlfn.XMATCH("FRAR2",Réglementation!A:A,2,1),"FRAR2")</f>
        <v>FRAR2</v>
      </c>
      <c r="O24840" s="7" t="str">
        <f>HYPERLINK("#Liste_rouge!A"&amp;_xlfn.XMATCH("LC",Liste_rouge!A:A,2,1),"LC")</f>
        <v>LC</v>
      </c>
      <c r="P24840" s="7" t="str">
        <f>HYPERLINK("#Liste_rouge!A"&amp;_xlfn.XMATCH("LC",Liste_rouge!A:A,2,1),"LC")</f>
        <v>LC</v>
      </c>
      <c r="Q24840" s="7" t="str">
        <f>HYPERLINK("#Liste_rouge!A"&amp;_xlfn.XMATCH("LC",Liste_rouge!A:A,2,1),"LC")</f>
        <v>LC</v>
      </c>
      <c r="T24840" s="7" t="str">
        <f>HYPERLINK("#Liste_rouge!A"&amp;_xlfn.XMATCH("LC",Liste_rouge!A:A,2,1),"LC")</f>
        <v>LC</v>
      </c>
      <c r="V24840" s="7" t="str">
        <f>HYPERLINK("#Liste_rouge!A"&amp;_xlfn.XMATCH("NT",Liste_rouge!A:A,2,1),"NT")</f>
        <v>NT</v>
      </c>
      <c r="W24840" s="4" t="str">
        <f>HYPERLINK("#Critères_liste_rouge!A$1","pr. A2a")</f>
        <v>pr. A2a</v>
      </c>
      <c r="AH24840" s="4" t="str">
        <f>HYPERLINK("#Statut_biogéographique!A"&amp;_xlfn.XMATCH("P",Statut_biogéographique!A:A,2,1),"P")</f>
        <v>P</v>
      </c>
      <c r="AM24840" s="4" t="s">
        <v>375</v>
      </c>
      <c r="AN24840" s="4" t="s">
        <v>375</v>
      </c>
      <c r="AO24840" s="4" t="s">
        <v>375</v>
      </c>
      <c r="AP24840" s="4" t="s">
        <v>376</v>
      </c>
      <c r="AR24840" s="4" t="s">
        <v>377</v>
      </c>
    </row>
    <row r="24841" spans="1:44">
      <c r="A24841" s="4" t="s">
        <v>119</v>
      </c>
      <c r="B24841" s="4">
        <v>649843</v>
      </c>
      <c r="D24841" s="5" t="s">
        <v>32905</v>
      </c>
      <c r="E24841" s="6" t="str">
        <f>HYPERLINK("https://inpn.mnhn.fr/espece/cd_nom/649843","Graptemys pseudogeographica (Gray, 1831)")</f>
        <v>Graptemys pseudogeographica (Gray, 1831)</v>
      </c>
      <c r="O24841" s="7" t="str">
        <f>HYPERLINK("#Liste_rouge!A"&amp;_xlfn.XMATCH("LC",Liste_rouge!A:A,2,1),"LC")</f>
        <v>LC</v>
      </c>
      <c r="AH24841" s="4" t="str">
        <f>HYPERLINK("#Statut_biogéographique!A"&amp;_xlfn.XMATCH("A",Statut_biogéographique!A:A,2,1),"A")</f>
        <v>A</v>
      </c>
      <c r="AL24841" s="5" t="str">
        <f>HYPERLINK("#Réglementation!A"&amp;_xlfn.XMATCH("FRnoEEEA",Réglementation!A:A,2,1),"FRnoEEEA")</f>
        <v>FRnoEEEA</v>
      </c>
      <c r="AP24841" s="4" t="s">
        <v>376</v>
      </c>
      <c r="AR24841" s="4" t="s">
        <v>377</v>
      </c>
    </row>
    <row r="24842" spans="1:44">
      <c r="A24842" s="4" t="s">
        <v>119</v>
      </c>
      <c r="B24842" s="4">
        <v>649877</v>
      </c>
      <c r="D24842" s="5" t="s">
        <v>32906</v>
      </c>
      <c r="E24842" s="6" t="str">
        <f>HYPERLINK("https://inpn.mnhn.fr/espece/cd_nom/649877","Pantherophis guttatus (Linnaeus, 1766)")</f>
        <v>Pantherophis guttatus (Linnaeus, 1766)</v>
      </c>
      <c r="F24842" s="5" t="s">
        <v>32907</v>
      </c>
      <c r="O24842" s="7" t="str">
        <f>HYPERLINK("#Liste_rouge!A"&amp;_xlfn.XMATCH("LC",Liste_rouge!A:A,2,1),"LC")</f>
        <v>LC</v>
      </c>
      <c r="AH24842" s="4" t="str">
        <f>HYPERLINK("#Statut_biogéographique!A"&amp;_xlfn.XMATCH("A",Statut_biogéographique!A:A,2,1),"A")</f>
        <v>A</v>
      </c>
      <c r="AP24842" s="4" t="s">
        <v>376</v>
      </c>
      <c r="AR24842" s="4" t="s">
        <v>377</v>
      </c>
    </row>
    <row r="24843" spans="1:44">
      <c r="A24843" s="4" t="s">
        <v>119</v>
      </c>
      <c r="B24843" s="4">
        <v>699672</v>
      </c>
      <c r="D24843" s="5" t="s">
        <v>32908</v>
      </c>
      <c r="E24843" s="6" t="str">
        <f>HYPERLINK("https://inpn.mnhn.fr/espece/cd_nom/699672","Lacerta bilineata bilineata Daudin, 1802")</f>
        <v>Lacerta bilineata bilineata Daudin, 1802</v>
      </c>
      <c r="F24843" s="5" t="s">
        <v>32909</v>
      </c>
      <c r="I24843" s="4" t="str">
        <f>HYPERLINK("#Réglementation!A"&amp;_xlfn.XMATCH("IBE3",Réglementation!A:A,2,1),"IBE3")</f>
        <v>IBE3</v>
      </c>
      <c r="K24843" s="4" t="str">
        <f>HYPERLINK("#Réglementation!A"&amp;_xlfn.XMATCH("CDH4",Réglementation!A:A,2,1),"CDH4")</f>
        <v>CDH4</v>
      </c>
      <c r="L24843" s="4" t="str">
        <f>HYPERLINK("#Réglementation!A"&amp;_xlfn.XMATCH("FRAR2",Réglementation!A:A,2,1),"FRAR2")</f>
        <v>FRAR2</v>
      </c>
      <c r="AH24843" s="4" t="str">
        <f>HYPERLINK("#Statut_biogéographique!A"&amp;_xlfn.XMATCH("P",Statut_biogéographique!A:A,2,1),"P")</f>
        <v>P</v>
      </c>
      <c r="AP24843" s="4" t="s">
        <v>376</v>
      </c>
      <c r="AR24843" s="4" t="s">
        <v>377</v>
      </c>
    </row>
    <row r="24844" spans="1:44" ht="30">
      <c r="A24844" s="4" t="s">
        <v>119</v>
      </c>
      <c r="B24844" s="4">
        <v>77381</v>
      </c>
      <c r="D24844" s="5" t="s">
        <v>32910</v>
      </c>
      <c r="E24844" s="6" t="str">
        <f>HYPERLINK("https://inpn.mnhn.fr/espece/cd_nom/77381","Emys orbicularis (Linnaeus, 1758)")</f>
        <v>Emys orbicularis (Linnaeus, 1758)</v>
      </c>
      <c r="F24844" s="5" t="s">
        <v>32911</v>
      </c>
      <c r="I24844" s="4" t="str">
        <f>HYPERLINK("#Réglementation!A"&amp;_xlfn.XMATCH("IBE2",Réglementation!A:A,2,1),"IBE2")</f>
        <v>IBE2</v>
      </c>
      <c r="K24844" s="4" t="str">
        <f>HYPERLINK("#Réglementation!A"&amp;_xlfn.XMATCH("CDH2",Réglementation!A:A,2,1),"CDH2 - CDH4")</f>
        <v>CDH2 - CDH4</v>
      </c>
      <c r="L24844" s="4" t="str">
        <f>HYPERLINK("#Réglementation!A"&amp;_xlfn.XMATCH("FRAR2",Réglementation!A:A,2,1),"FRAR2")</f>
        <v>FRAR2</v>
      </c>
      <c r="P24844" s="7" t="str">
        <f>HYPERLINK("#Liste_rouge!A"&amp;_xlfn.XMATCH("NT",Liste_rouge!A:A,2,1),"NT")</f>
        <v>NT</v>
      </c>
      <c r="Q24844" s="7" t="str">
        <f>HYPERLINK("#Liste_rouge!A"&amp;_xlfn.XMATCH("LC",Liste_rouge!A:A,2,1),"LC")</f>
        <v>LC</v>
      </c>
      <c r="T24844" s="7" t="str">
        <f>HYPERLINK("#Liste_rouge!A"&amp;_xlfn.XMATCH("EN",Liste_rouge!A:A,2,1),"EN")</f>
        <v>EN</v>
      </c>
      <c r="U24844" s="4" t="str">
        <f>HYPERLINK("#Critères_liste_rouge!A$1","B(1+2)ab(i,ii,iii,iv)")</f>
        <v>B(1+2)ab(i,ii,iii,iv)</v>
      </c>
      <c r="V24844" s="7" t="str">
        <f>HYPERLINK("#Liste_rouge!A"&amp;_xlfn.XMATCH("NA",Liste_rouge!A:A,2,1),"NA")</f>
        <v>NA</v>
      </c>
      <c r="X24844" s="5" t="s">
        <v>374</v>
      </c>
      <c r="AC24844" s="4" t="s">
        <v>11319</v>
      </c>
      <c r="AE24844" s="4" t="str">
        <f>HYPERLINK("#SCAP!A"&amp;_xlfn.XMATCH("3",SCAP!A:A,2,1),"3")</f>
        <v>3</v>
      </c>
      <c r="AF24844" s="4" t="str">
        <f>HYPERLINK("#SCAP!A"&amp;_xlfn.XMATCH("2+",SCAP!A:A,2,1),"2+")</f>
        <v>2+</v>
      </c>
      <c r="AH24844" s="4" t="str">
        <f>HYPERLINK("#Statut_biogéographique!A"&amp;_xlfn.XMATCH("P",Statut_biogéographique!A:A,2,1),"P")</f>
        <v>P</v>
      </c>
      <c r="AI24844" s="8" t="s">
        <v>32912</v>
      </c>
      <c r="AJ24844" s="4" t="s">
        <v>32913</v>
      </c>
      <c r="AM24844" s="4" t="s">
        <v>375</v>
      </c>
      <c r="AN24844" s="4" t="s">
        <v>382</v>
      </c>
      <c r="AO24844" s="4" t="s">
        <v>382</v>
      </c>
      <c r="AP24844" s="4" t="s">
        <v>376</v>
      </c>
      <c r="AR24844" s="4" t="s">
        <v>377</v>
      </c>
    </row>
    <row r="24845" spans="1:44" ht="30">
      <c r="A24845" s="4" t="s">
        <v>119</v>
      </c>
      <c r="B24845" s="4">
        <v>77412</v>
      </c>
      <c r="D24845" s="5" t="s">
        <v>32914</v>
      </c>
      <c r="E24845" s="6" t="str">
        <f>HYPERLINK("https://inpn.mnhn.fr/espece/cd_nom/77412","Mauremys leprosa (Schweigger, 1812)")</f>
        <v>Mauremys leprosa (Schweigger, 1812)</v>
      </c>
      <c r="F24845" s="5" t="s">
        <v>32915</v>
      </c>
      <c r="I24845" s="4" t="str">
        <f>HYPERLINK("#Réglementation!A"&amp;_xlfn.XMATCH("IBE3",Réglementation!A:A,2,1),"IBE3")</f>
        <v>IBE3</v>
      </c>
      <c r="K24845" s="4" t="str">
        <f>HYPERLINK("#Réglementation!A"&amp;_xlfn.XMATCH("CDH2",Réglementation!A:A,2,1),"CDH2 - CDH4")</f>
        <v>CDH2 - CDH4</v>
      </c>
      <c r="L24845" s="4" t="str">
        <f>HYPERLINK("#Réglementation!A"&amp;_xlfn.XMATCH("FRAR2",Réglementation!A:A,2,1),"FRAR2 - NM")</f>
        <v>FRAR2 - NM</v>
      </c>
      <c r="P24845" s="7" t="str">
        <f>HYPERLINK("#Liste_rouge!A"&amp;_xlfn.XMATCH("VU",Liste_rouge!A:A,2,1),"VU")</f>
        <v>VU</v>
      </c>
      <c r="Q24845" s="7" t="str">
        <f>HYPERLINK("#Liste_rouge!A"&amp;_xlfn.XMATCH("VU",Liste_rouge!A:A,2,1),"VU")</f>
        <v>VU</v>
      </c>
      <c r="AE24845" s="4" t="str">
        <f>HYPERLINK("#SCAP!A"&amp;_xlfn.XMATCH("1+",SCAP!A:A,2,1),"1+")</f>
        <v>1+</v>
      </c>
      <c r="AH24845" s="4" t="str">
        <f>HYPERLINK("#Statut_biogéographique!A"&amp;_xlfn.XMATCH("P",Statut_biogéographique!A:A,2,1),"P")</f>
        <v>P</v>
      </c>
      <c r="AI24845" s="8" t="s">
        <v>32916</v>
      </c>
      <c r="AJ24845" s="4" t="s">
        <v>23967</v>
      </c>
      <c r="AP24845" s="4" t="s">
        <v>376</v>
      </c>
      <c r="AQ24845" s="4" t="s">
        <v>377</v>
      </c>
      <c r="AR24845" s="4" t="s">
        <v>377</v>
      </c>
    </row>
    <row r="24846" spans="1:44" ht="30">
      <c r="A24846" s="4" t="s">
        <v>119</v>
      </c>
      <c r="B24846" s="4">
        <v>77424</v>
      </c>
      <c r="D24846" s="5" t="s">
        <v>32917</v>
      </c>
      <c r="E24846" s="6" t="str">
        <f>HYPERLINK("https://inpn.mnhn.fr/espece/cd_nom/77424","Trachemys scripta (Thunberg in Schoepff, 1792)")</f>
        <v>Trachemys scripta (Thunberg in Schoepff, 1792)</v>
      </c>
      <c r="F24846" s="5" t="s">
        <v>32918</v>
      </c>
      <c r="I24846" s="4" t="str">
        <f>HYPERLINK("#Réglementation!A"&amp;_xlfn.XMATCH("IBE3",Réglementation!A:A,2,1),"IBE3")</f>
        <v>IBE3</v>
      </c>
      <c r="O24846" s="7" t="str">
        <f>HYPERLINK("#Liste_rouge!A"&amp;_xlfn.XMATCH("LC",Liste_rouge!A:A,2,1),"LC")</f>
        <v>LC</v>
      </c>
      <c r="Q24846" s="7" t="str">
        <f>HYPERLINK("#Liste_rouge!A"&amp;_xlfn.XMATCH("NA",Liste_rouge!A:A,2,1),"NA")</f>
        <v>NA</v>
      </c>
      <c r="T24846" s="7" t="str">
        <f>HYPERLINK("#Liste_rouge!A"&amp;_xlfn.XMATCH("NA",Liste_rouge!A:A,2,1),"NA")</f>
        <v>NA</v>
      </c>
      <c r="V24846" s="7" t="str">
        <f>HYPERLINK("#Liste_rouge!A"&amp;_xlfn.XMATCH("NA",Liste_rouge!A:A,2,1),"NA")</f>
        <v>NA</v>
      </c>
      <c r="AH24846" s="4" t="str">
        <f>HYPERLINK("#Statut_biogéographique!A"&amp;_xlfn.XMATCH("J",Statut_biogéographique!A:A,2,1),"J")</f>
        <v>J</v>
      </c>
      <c r="AL24846" s="5" t="str">
        <f>HYPERLINK("#Réglementation!A"&amp;_xlfn.XMATCH("FRnoEEEA",Réglementation!A:A,2,1),"FRnoEEEA - FRnoEEEA2 - EEEUE")</f>
        <v>FRnoEEEA - FRnoEEEA2 - EEEUE</v>
      </c>
      <c r="AM24846" s="4" t="s">
        <v>375</v>
      </c>
      <c r="AN24846" s="4" t="s">
        <v>375</v>
      </c>
      <c r="AO24846" s="4" t="s">
        <v>375</v>
      </c>
      <c r="AP24846" s="4" t="s">
        <v>376</v>
      </c>
      <c r="AR24846" s="4" t="s">
        <v>377</v>
      </c>
    </row>
    <row r="24847" spans="1:44" ht="30">
      <c r="A24847" s="4" t="s">
        <v>119</v>
      </c>
      <c r="B24847" s="4">
        <v>77425</v>
      </c>
      <c r="D24847" s="5" t="s">
        <v>32919</v>
      </c>
      <c r="E24847" s="6" t="str">
        <f>HYPERLINK("https://inpn.mnhn.fr/espece/cd_nom/77425","Trachemys scripta elegans (Wied, 1839)")</f>
        <v>Trachemys scripta elegans (Wied, 1839)</v>
      </c>
      <c r="F24847" s="5" t="s">
        <v>32920</v>
      </c>
      <c r="G24847" s="4" t="str">
        <f>HYPERLINK("[#Réglementation!A"&amp;_xlfn.XMATCH("CCB",Réglementation!A:A,2,1),"CCB")</f>
        <v>CCB</v>
      </c>
      <c r="I24847" s="4" t="str">
        <f>HYPERLINK("#Réglementation!A"&amp;_xlfn.XMATCH("IBE3",Réglementation!A:A,2,1),"IBE3")</f>
        <v>IBE3</v>
      </c>
      <c r="AH24847" s="4" t="str">
        <f>HYPERLINK("#Statut_biogéographique!A"&amp;_xlfn.XMATCH("I",Statut_biogéographique!A:A,2,1),"I")</f>
        <v>I</v>
      </c>
      <c r="AL24847" s="5" t="str">
        <f>HYPERLINK("#Réglementation!A"&amp;_xlfn.XMATCH("FRnoEEEA",Réglementation!A:A,2,1),"FRnoEEEA - FRnoEEEA2 - UEintro - EEEUE")</f>
        <v>FRnoEEEA - FRnoEEEA2 - UEintro - EEEUE</v>
      </c>
      <c r="AP24847" s="4" t="s">
        <v>376</v>
      </c>
      <c r="AR24847" s="4" t="s">
        <v>377</v>
      </c>
    </row>
    <row r="24848" spans="1:44">
      <c r="A24848" s="4" t="s">
        <v>119</v>
      </c>
      <c r="B24848" s="4">
        <v>77428</v>
      </c>
      <c r="D24848" s="5" t="s">
        <v>32921</v>
      </c>
      <c r="E24848" s="6" t="str">
        <f>HYPERLINK("https://inpn.mnhn.fr/espece/cd_nom/77428","Testudo graeca Linnaeus, 1758")</f>
        <v>Testudo graeca Linnaeus, 1758</v>
      </c>
      <c r="F24848" s="5" t="s">
        <v>32922</v>
      </c>
      <c r="G24848" s="4" t="str">
        <f>HYPERLINK("[#Réglementation!A"&amp;_xlfn.XMATCH("CCA",Réglementation!A:A,2,1),"CCA")</f>
        <v>CCA</v>
      </c>
      <c r="I24848" s="4" t="str">
        <f>HYPERLINK("#Réglementation!A"&amp;_xlfn.XMATCH("IBE2",Réglementation!A:A,2,1),"IBE2")</f>
        <v>IBE2</v>
      </c>
      <c r="K24848" s="4" t="str">
        <f>HYPERLINK("#Réglementation!A"&amp;_xlfn.XMATCH("CDH2",Réglementation!A:A,2,1),"CDH2 - CDH4")</f>
        <v>CDH2 - CDH4</v>
      </c>
      <c r="O24848" s="7" t="str">
        <f>HYPERLINK("#Liste_rouge!A"&amp;_xlfn.XMATCH("VU",Liste_rouge!A:A,2,1),"VU")</f>
        <v>VU</v>
      </c>
      <c r="P24848" s="7" t="str">
        <f>HYPERLINK("#Liste_rouge!A"&amp;_xlfn.XMATCH("VU",Liste_rouge!A:A,2,1),"VU")</f>
        <v>VU</v>
      </c>
      <c r="AH24848" s="4" t="str">
        <f>HYPERLINK("#Statut_biogéographique!A"&amp;_xlfn.XMATCH("I",Statut_biogéographique!A:A,2,1),"I")</f>
        <v>I</v>
      </c>
      <c r="AP24848" s="4" t="s">
        <v>376</v>
      </c>
      <c r="AR24848" s="4" t="s">
        <v>377</v>
      </c>
    </row>
    <row r="24849" spans="1:44">
      <c r="A24849" s="4" t="s">
        <v>119</v>
      </c>
      <c r="B24849" s="4">
        <v>77433</v>
      </c>
      <c r="D24849" s="5" t="s">
        <v>32923</v>
      </c>
      <c r="E24849" s="6" t="str">
        <f>HYPERLINK("https://inpn.mnhn.fr/espece/cd_nom/77433","Testudo hermanni Gmelin, 1789")</f>
        <v>Testudo hermanni Gmelin, 1789</v>
      </c>
      <c r="F24849" s="5" t="s">
        <v>32924</v>
      </c>
      <c r="G24849" s="4" t="str">
        <f>HYPERLINK("[#Réglementation!A"&amp;_xlfn.XMATCH("CCA",Réglementation!A:A,2,1),"CCA")</f>
        <v>CCA</v>
      </c>
      <c r="I24849" s="4" t="str">
        <f>HYPERLINK("#Réglementation!A"&amp;_xlfn.XMATCH("IBE2",Réglementation!A:A,2,1),"IBE2")</f>
        <v>IBE2</v>
      </c>
      <c r="K24849" s="4" t="str">
        <f>HYPERLINK("#Réglementation!A"&amp;_xlfn.XMATCH("CDH2",Réglementation!A:A,2,1),"CDH2 - CDH4")</f>
        <v>CDH2 - CDH4</v>
      </c>
      <c r="L24849" s="4" t="str">
        <f>HYPERLINK("#Réglementation!A"&amp;_xlfn.XMATCH("FRAR2",Réglementation!A:A,2,1),"FRAR2")</f>
        <v>FRAR2</v>
      </c>
      <c r="O24849" s="7" t="str">
        <f>HYPERLINK("#Liste_rouge!A"&amp;_xlfn.XMATCH("NT",Liste_rouge!A:A,2,1),"NT")</f>
        <v>NT</v>
      </c>
      <c r="P24849" s="7" t="str">
        <f>HYPERLINK("#Liste_rouge!A"&amp;_xlfn.XMATCH("NT",Liste_rouge!A:A,2,1),"NT")</f>
        <v>NT</v>
      </c>
      <c r="Q24849" s="7" t="str">
        <f>HYPERLINK("#Liste_rouge!A"&amp;_xlfn.XMATCH("VU",Liste_rouge!A:A,2,1),"VU")</f>
        <v>VU</v>
      </c>
      <c r="AE24849" s="4" t="str">
        <f>HYPERLINK("#SCAP!A"&amp;_xlfn.XMATCH("2+",SCAP!A:A,2,1),"2+")</f>
        <v>2+</v>
      </c>
      <c r="AH24849" s="4" t="str">
        <f>HYPERLINK("#Statut_biogéographique!A"&amp;_xlfn.XMATCH("P",Statut_biogéographique!A:A,2,1),"P")</f>
        <v>P</v>
      </c>
      <c r="AI24849" s="8" t="s">
        <v>32925</v>
      </c>
      <c r="AJ24849" s="4" t="s">
        <v>32926</v>
      </c>
      <c r="AP24849" s="4" t="s">
        <v>389</v>
      </c>
      <c r="AR24849" s="4" t="s">
        <v>377</v>
      </c>
    </row>
    <row r="24850" spans="1:44" ht="30">
      <c r="A24850" s="4" t="s">
        <v>119</v>
      </c>
      <c r="B24850" s="4">
        <v>77490</v>
      </c>
      <c r="D24850" s="5" t="s">
        <v>32927</v>
      </c>
      <c r="E24850" s="6" t="str">
        <f>HYPERLINK("https://inpn.mnhn.fr/espece/cd_nom/77490","Anguis fragilis Linnaeus, 1758")</f>
        <v>Anguis fragilis Linnaeus, 1758</v>
      </c>
      <c r="F24850" s="5" t="s">
        <v>32928</v>
      </c>
      <c r="I24850" s="4" t="str">
        <f>HYPERLINK("#Réglementation!A"&amp;_xlfn.XMATCH("IBE3",Réglementation!A:A,2,1),"IBE3")</f>
        <v>IBE3</v>
      </c>
      <c r="L24850" s="4" t="str">
        <f>HYPERLINK("#Réglementation!A"&amp;_xlfn.XMATCH("FRAR3",Réglementation!A:A,2,1),"FRAR3")</f>
        <v>FRAR3</v>
      </c>
      <c r="O24850" s="7" t="str">
        <f>HYPERLINK("#Liste_rouge!A"&amp;_xlfn.XMATCH("LC",Liste_rouge!A:A,2,1),"LC")</f>
        <v>LC</v>
      </c>
      <c r="P24850" s="7" t="str">
        <f>HYPERLINK("#Liste_rouge!A"&amp;_xlfn.XMATCH("LC",Liste_rouge!A:A,2,1),"LC")</f>
        <v>LC</v>
      </c>
      <c r="Q24850" s="7" t="str">
        <f>HYPERLINK("#Liste_rouge!A"&amp;_xlfn.XMATCH("LC",Liste_rouge!A:A,2,1),"LC")</f>
        <v>LC</v>
      </c>
      <c r="T24850" s="7" t="str">
        <f>HYPERLINK("#Liste_rouge!A"&amp;_xlfn.XMATCH("LC",Liste_rouge!A:A,2,1),"LC")</f>
        <v>LC</v>
      </c>
      <c r="V24850" s="7" t="str">
        <f>HYPERLINK("#Liste_rouge!A"&amp;_xlfn.XMATCH("NT",Liste_rouge!A:A,2,1),"NT")</f>
        <v>NT</v>
      </c>
      <c r="W24850" s="4" t="str">
        <f>HYPERLINK("#Critères_liste_rouge!A$1","pr. A2a")</f>
        <v>pr. A2a</v>
      </c>
      <c r="X24850" s="5" t="s">
        <v>23439</v>
      </c>
      <c r="Y24850" s="5" t="s">
        <v>32929</v>
      </c>
      <c r="AH24850" s="4" t="str">
        <f>HYPERLINK("#Statut_biogéographique!A"&amp;_xlfn.XMATCH("P",Statut_biogéographique!A:A,2,1),"P")</f>
        <v>P</v>
      </c>
      <c r="AM24850" s="4" t="s">
        <v>375</v>
      </c>
      <c r="AN24850" s="4" t="s">
        <v>375</v>
      </c>
      <c r="AO24850" s="4" t="s">
        <v>375</v>
      </c>
      <c r="AP24850" s="4" t="s">
        <v>376</v>
      </c>
      <c r="AR24850" s="4" t="s">
        <v>377</v>
      </c>
    </row>
    <row r="24851" spans="1:44">
      <c r="A24851" s="4" t="s">
        <v>119</v>
      </c>
      <c r="B24851" s="4">
        <v>77570</v>
      </c>
      <c r="D24851" s="5" t="s">
        <v>32930</v>
      </c>
      <c r="E24851" s="6" t="str">
        <f>HYPERLINK("https://inpn.mnhn.fr/espece/cd_nom/77570","Tarentola mauritanica (Linnaeus, 1758)")</f>
        <v>Tarentola mauritanica (Linnaeus, 1758)</v>
      </c>
      <c r="F24851" s="5" t="s">
        <v>32931</v>
      </c>
      <c r="I24851" s="4" t="str">
        <f>HYPERLINK("#Réglementation!A"&amp;_xlfn.XMATCH("IBE3",Réglementation!A:A,2,1),"IBE3")</f>
        <v>IBE3</v>
      </c>
      <c r="L24851" s="4" t="str">
        <f>HYPERLINK("#Réglementation!A"&amp;_xlfn.XMATCH("FRAR3",Réglementation!A:A,2,1),"FRAR3")</f>
        <v>FRAR3</v>
      </c>
      <c r="O24851" s="7" t="str">
        <f>HYPERLINK("#Liste_rouge!A"&amp;_xlfn.XMATCH("LC",Liste_rouge!A:A,2,1),"LC")</f>
        <v>LC</v>
      </c>
      <c r="P24851" s="7" t="str">
        <f>HYPERLINK("#Liste_rouge!A"&amp;_xlfn.XMATCH("LC",Liste_rouge!A:A,2,1),"LC")</f>
        <v>LC</v>
      </c>
      <c r="Q24851" s="7" t="str">
        <f>HYPERLINK("#Liste_rouge!A"&amp;_xlfn.XMATCH("LC",Liste_rouge!A:A,2,1),"LC")</f>
        <v>LC</v>
      </c>
      <c r="AH24851" s="4" t="str">
        <f>HYPERLINK("#Statut_biogéographique!A"&amp;_xlfn.XMATCH("P",Statut_biogéographique!A:A,2,1),"P")</f>
        <v>P</v>
      </c>
      <c r="AP24851" s="4" t="s">
        <v>376</v>
      </c>
      <c r="AR24851" s="4" t="s">
        <v>377</v>
      </c>
    </row>
    <row r="24852" spans="1:44">
      <c r="A24852" s="4" t="s">
        <v>119</v>
      </c>
      <c r="B24852" s="4">
        <v>77600</v>
      </c>
      <c r="D24852" s="5" t="s">
        <v>32932</v>
      </c>
      <c r="E24852" s="6" t="str">
        <f>HYPERLINK("https://inpn.mnhn.fr/espece/cd_nom/77600","Lacerta agilis Linnaeus, 1758")</f>
        <v>Lacerta agilis Linnaeus, 1758</v>
      </c>
      <c r="F24852" s="5" t="s">
        <v>32933</v>
      </c>
      <c r="I24852" s="4" t="str">
        <f>HYPERLINK("#Réglementation!A"&amp;_xlfn.XMATCH("IBE2",Réglementation!A:A,2,1),"IBE2")</f>
        <v>IBE2</v>
      </c>
      <c r="K24852" s="4" t="str">
        <f>HYPERLINK("#Réglementation!A"&amp;_xlfn.XMATCH("CDH4",Réglementation!A:A,2,1),"CDH4")</f>
        <v>CDH4</v>
      </c>
      <c r="L24852" s="4" t="str">
        <f>HYPERLINK("#Réglementation!A"&amp;_xlfn.XMATCH("FRAR2",Réglementation!A:A,2,1),"FRAR2")</f>
        <v>FRAR2</v>
      </c>
      <c r="O24852" s="7" t="str">
        <f>HYPERLINK("#Liste_rouge!A"&amp;_xlfn.XMATCH("LC",Liste_rouge!A:A,2,1),"LC")</f>
        <v>LC</v>
      </c>
      <c r="P24852" s="7" t="str">
        <f>HYPERLINK("#Liste_rouge!A"&amp;_xlfn.XMATCH("LC",Liste_rouge!A:A,2,1),"LC")</f>
        <v>LC</v>
      </c>
      <c r="Q24852" s="7" t="str">
        <f>HYPERLINK("#Liste_rouge!A"&amp;_xlfn.XMATCH("NT",Liste_rouge!A:A,2,1),"NT")</f>
        <v>NT</v>
      </c>
      <c r="T24852" s="7" t="str">
        <f>HYPERLINK("#Liste_rouge!A"&amp;_xlfn.XMATCH("DD",Liste_rouge!A:A,2,1),"DD")</f>
        <v>DD</v>
      </c>
      <c r="V24852" s="7" t="str">
        <f>HYPERLINK("#Liste_rouge!A"&amp;_xlfn.XMATCH("NT",Liste_rouge!A:A,2,1),"NT")</f>
        <v>NT</v>
      </c>
      <c r="W24852" s="4" t="str">
        <f>HYPERLINK("#Critères_liste_rouge!A$1","pr. B2b(ii)")</f>
        <v>pr. B2b(ii)</v>
      </c>
      <c r="X24852" s="5" t="s">
        <v>374</v>
      </c>
      <c r="AE24852" s="4" t="str">
        <f>HYPERLINK("#SCAP!A"&amp;_xlfn.XMATCH("1+",SCAP!A:A,2,1),"1+")</f>
        <v>1+</v>
      </c>
      <c r="AF24852" s="4" t="str">
        <f>HYPERLINK("#SCAP!A"&amp;_xlfn.XMATCH("2-",SCAP!A:A,2,1),"2-")</f>
        <v>2-</v>
      </c>
      <c r="AG24852" s="4" t="str">
        <f>HYPERLINK("#SCAP!A"&amp;_xlfn.XMATCH("3",SCAP!A:A,2,1),"3")</f>
        <v>3</v>
      </c>
      <c r="AH24852" s="4" t="str">
        <f>HYPERLINK("#Statut_biogéographique!A"&amp;_xlfn.XMATCH("P",Statut_biogéographique!A:A,2,1),"P")</f>
        <v>P</v>
      </c>
      <c r="AM24852" s="4" t="s">
        <v>375</v>
      </c>
      <c r="AN24852" s="4" t="s">
        <v>375</v>
      </c>
      <c r="AO24852" s="4" t="s">
        <v>375</v>
      </c>
      <c r="AP24852" s="4" t="s">
        <v>376</v>
      </c>
      <c r="AR24852" s="4" t="s">
        <v>377</v>
      </c>
    </row>
    <row r="24853" spans="1:44" ht="30">
      <c r="A24853" s="4" t="s">
        <v>119</v>
      </c>
      <c r="B24853" s="4">
        <v>77619</v>
      </c>
      <c r="D24853" s="5" t="s">
        <v>32934</v>
      </c>
      <c r="E24853" s="6" t="str">
        <f>HYPERLINK("https://inpn.mnhn.fr/espece/cd_nom/77619","Lacerta bilineata Daudin, 1802")</f>
        <v>Lacerta bilineata Daudin, 1802</v>
      </c>
      <c r="F24853" s="5" t="s">
        <v>32935</v>
      </c>
      <c r="I24853" s="4" t="str">
        <f>HYPERLINK("#Réglementation!A"&amp;_xlfn.XMATCH("IBE3",Réglementation!A:A,2,1),"IBE3")</f>
        <v>IBE3</v>
      </c>
      <c r="K24853" s="4" t="str">
        <f>HYPERLINK("#Réglementation!A"&amp;_xlfn.XMATCH("CDH4",Réglementation!A:A,2,1),"CDH4")</f>
        <v>CDH4</v>
      </c>
      <c r="L24853" s="4" t="str">
        <f>HYPERLINK("#Réglementation!A"&amp;_xlfn.XMATCH("FRAR2",Réglementation!A:A,2,1),"FRAR2")</f>
        <v>FRAR2</v>
      </c>
      <c r="O24853" s="7" t="str">
        <f>HYPERLINK("#Liste_rouge!A"&amp;_xlfn.XMATCH("LC",Liste_rouge!A:A,2,1),"LC")</f>
        <v>LC</v>
      </c>
      <c r="P24853" s="7" t="str">
        <f>HYPERLINK("#Liste_rouge!A"&amp;_xlfn.XMATCH("LC",Liste_rouge!A:A,2,1),"LC")</f>
        <v>LC</v>
      </c>
      <c r="Q24853" s="7" t="str">
        <f>HYPERLINK("#Liste_rouge!A"&amp;_xlfn.XMATCH("LC",Liste_rouge!A:A,2,1),"LC")</f>
        <v>LC</v>
      </c>
      <c r="T24853" s="7" t="str">
        <f>HYPERLINK("#Liste_rouge!A"&amp;_xlfn.XMATCH("LC",Liste_rouge!A:A,2,1),"LC")</f>
        <v>LC</v>
      </c>
      <c r="V24853" s="7" t="str">
        <f>HYPERLINK("#Liste_rouge!A"&amp;_xlfn.XMATCH("VU",Liste_rouge!A:A,2,1),"VU")</f>
        <v>VU</v>
      </c>
      <c r="W24853" s="4" t="str">
        <f>HYPERLINK("#Critères_liste_rouge!A$1","B2ab(ii)")</f>
        <v>B2ab(ii)</v>
      </c>
      <c r="X24853" s="5" t="s">
        <v>374</v>
      </c>
      <c r="AH24853" s="4" t="str">
        <f>HYPERLINK("#Statut_biogéographique!A"&amp;_xlfn.XMATCH("P",Statut_biogéographique!A:A,2,1),"P")</f>
        <v>P</v>
      </c>
      <c r="AM24853" s="4" t="s">
        <v>375</v>
      </c>
      <c r="AN24853" s="4" t="s">
        <v>375</v>
      </c>
      <c r="AO24853" s="4" t="s">
        <v>375</v>
      </c>
      <c r="AP24853" s="4" t="s">
        <v>376</v>
      </c>
      <c r="AR24853" s="4" t="s">
        <v>377</v>
      </c>
    </row>
    <row r="24854" spans="1:44" ht="45">
      <c r="A24854" s="4" t="s">
        <v>119</v>
      </c>
      <c r="B24854" s="4">
        <v>77756</v>
      </c>
      <c r="D24854" s="5" t="s">
        <v>32936</v>
      </c>
      <c r="E24854" s="6" t="str">
        <f>HYPERLINK("https://inpn.mnhn.fr/espece/cd_nom/77756","Podarcis muralis (Laurenti, 1768)")</f>
        <v>Podarcis muralis (Laurenti, 1768)</v>
      </c>
      <c r="F24854" s="5" t="s">
        <v>32937</v>
      </c>
      <c r="I24854" s="4" t="str">
        <f>HYPERLINK("#Réglementation!A"&amp;_xlfn.XMATCH("IBE2",Réglementation!A:A,2,1),"IBE2")</f>
        <v>IBE2</v>
      </c>
      <c r="K24854" s="4" t="str">
        <f>HYPERLINK("#Réglementation!A"&amp;_xlfn.XMATCH("CDH4",Réglementation!A:A,2,1),"CDH4")</f>
        <v>CDH4</v>
      </c>
      <c r="L24854" s="4" t="str">
        <f>HYPERLINK("#Réglementation!A"&amp;_xlfn.XMATCH("FRAR2",Réglementation!A:A,2,1),"FRAR2")</f>
        <v>FRAR2</v>
      </c>
      <c r="O24854" s="7" t="str">
        <f>HYPERLINK("#Liste_rouge!A"&amp;_xlfn.XMATCH("LC",Liste_rouge!A:A,2,1),"LC")</f>
        <v>LC</v>
      </c>
      <c r="P24854" s="7" t="str">
        <f>HYPERLINK("#Liste_rouge!A"&amp;_xlfn.XMATCH("LC",Liste_rouge!A:A,2,1),"LC")</f>
        <v>LC</v>
      </c>
      <c r="Q24854" s="7" t="str">
        <f>HYPERLINK("#Liste_rouge!A"&amp;_xlfn.XMATCH("LC",Liste_rouge!A:A,2,1),"LC")</f>
        <v>LC</v>
      </c>
      <c r="T24854" s="7" t="str">
        <f>HYPERLINK("#Liste_rouge!A"&amp;_xlfn.XMATCH("LC",Liste_rouge!A:A,2,1),"LC")</f>
        <v>LC</v>
      </c>
      <c r="V24854" s="7" t="str">
        <f>HYPERLINK("#Liste_rouge!A"&amp;_xlfn.XMATCH("LC",Liste_rouge!A:A,2,1),"LC")</f>
        <v>LC</v>
      </c>
      <c r="AH24854" s="4" t="str">
        <f>HYPERLINK("#Statut_biogéographique!A"&amp;_xlfn.XMATCH("P",Statut_biogéographique!A:A,2,1),"P")</f>
        <v>P</v>
      </c>
      <c r="AM24854" s="4" t="s">
        <v>375</v>
      </c>
      <c r="AN24854" s="4" t="s">
        <v>375</v>
      </c>
      <c r="AO24854" s="4" t="s">
        <v>375</v>
      </c>
      <c r="AP24854" s="4" t="s">
        <v>376</v>
      </c>
      <c r="AR24854" s="4" t="s">
        <v>377</v>
      </c>
    </row>
    <row r="24855" spans="1:44">
      <c r="A24855" s="4" t="s">
        <v>119</v>
      </c>
      <c r="B24855" s="4">
        <v>77949</v>
      </c>
      <c r="D24855" s="5" t="s">
        <v>32938</v>
      </c>
      <c r="E24855" s="6" t="str">
        <f>HYPERLINK("https://inpn.mnhn.fr/espece/cd_nom/77949","Hierophis viridiflavus (Lacepède, 1789)")</f>
        <v>Hierophis viridiflavus (Lacepède, 1789)</v>
      </c>
      <c r="F24855" s="5" t="s">
        <v>32939</v>
      </c>
      <c r="I24855" s="4" t="str">
        <f>HYPERLINK("#Réglementation!A"&amp;_xlfn.XMATCH("IBE2",Réglementation!A:A,2,1),"IBE2")</f>
        <v>IBE2</v>
      </c>
      <c r="K24855" s="4" t="str">
        <f>HYPERLINK("#Réglementation!A"&amp;_xlfn.XMATCH("CDH4",Réglementation!A:A,2,1),"CDH4")</f>
        <v>CDH4</v>
      </c>
      <c r="L24855" s="4" t="str">
        <f>HYPERLINK("#Réglementation!A"&amp;_xlfn.XMATCH("FRAR2",Réglementation!A:A,2,1),"FRAR2")</f>
        <v>FRAR2</v>
      </c>
      <c r="O24855" s="7" t="str">
        <f>HYPERLINK("#Liste_rouge!A"&amp;_xlfn.XMATCH("LC",Liste_rouge!A:A,2,1),"LC")</f>
        <v>LC</v>
      </c>
      <c r="P24855" s="7" t="str">
        <f>HYPERLINK("#Liste_rouge!A"&amp;_xlfn.XMATCH("LC",Liste_rouge!A:A,2,1),"LC")</f>
        <v>LC</v>
      </c>
      <c r="Q24855" s="7" t="str">
        <f>HYPERLINK("#Liste_rouge!A"&amp;_xlfn.XMATCH("LC",Liste_rouge!A:A,2,1),"LC")</f>
        <v>LC</v>
      </c>
      <c r="T24855" s="7" t="str">
        <f>HYPERLINK("#Liste_rouge!A"&amp;_xlfn.XMATCH("LC",Liste_rouge!A:A,2,1),"LC")</f>
        <v>LC</v>
      </c>
      <c r="V24855" s="7" t="str">
        <f>HYPERLINK("#Liste_rouge!A"&amp;_xlfn.XMATCH("NT",Liste_rouge!A:A,2,1),"NT")</f>
        <v>NT</v>
      </c>
      <c r="W24855" s="4" t="str">
        <f>HYPERLINK("#Critères_liste_rouge!A$1","pr. B2b(ii)")</f>
        <v>pr. B2b(ii)</v>
      </c>
      <c r="AH24855" s="4" t="str">
        <f>HYPERLINK("#Statut_biogéographique!A"&amp;_xlfn.XMATCH("P",Statut_biogéographique!A:A,2,1),"P")</f>
        <v>P</v>
      </c>
      <c r="AM24855" s="4" t="s">
        <v>375</v>
      </c>
      <c r="AN24855" s="4" t="s">
        <v>375</v>
      </c>
      <c r="AO24855" s="4" t="s">
        <v>375</v>
      </c>
      <c r="AP24855" s="4" t="s">
        <v>376</v>
      </c>
      <c r="AR24855" s="4" t="s">
        <v>377</v>
      </c>
    </row>
    <row r="24856" spans="1:44">
      <c r="A24856" s="4" t="s">
        <v>119</v>
      </c>
      <c r="B24856" s="4">
        <v>77955</v>
      </c>
      <c r="D24856" s="5" t="s">
        <v>32940</v>
      </c>
      <c r="E24856" s="6" t="str">
        <f>HYPERLINK("https://inpn.mnhn.fr/espece/cd_nom/77955","Coronella austriaca Laurenti, 1768")</f>
        <v>Coronella austriaca Laurenti, 1768</v>
      </c>
      <c r="F24856" s="5" t="s">
        <v>32941</v>
      </c>
      <c r="I24856" s="4" t="str">
        <f>HYPERLINK("#Réglementation!A"&amp;_xlfn.XMATCH("IBE2",Réglementation!A:A,2,1),"IBE2")</f>
        <v>IBE2</v>
      </c>
      <c r="K24856" s="4" t="str">
        <f>HYPERLINK("#Réglementation!A"&amp;_xlfn.XMATCH("CDH4",Réglementation!A:A,2,1),"CDH4")</f>
        <v>CDH4</v>
      </c>
      <c r="L24856" s="4" t="str">
        <f>HYPERLINK("#Réglementation!A"&amp;_xlfn.XMATCH("FRAR2",Réglementation!A:A,2,1),"FRAR2")</f>
        <v>FRAR2</v>
      </c>
      <c r="O24856" s="7" t="str">
        <f>HYPERLINK("#Liste_rouge!A"&amp;_xlfn.XMATCH("LC",Liste_rouge!A:A,2,1),"LC")</f>
        <v>LC</v>
      </c>
      <c r="P24856" s="7" t="str">
        <f>HYPERLINK("#Liste_rouge!A"&amp;_xlfn.XMATCH("LC",Liste_rouge!A:A,2,1),"LC")</f>
        <v>LC</v>
      </c>
      <c r="Q24856" s="7" t="str">
        <f>HYPERLINK("#Liste_rouge!A"&amp;_xlfn.XMATCH("LC",Liste_rouge!A:A,2,1),"LC")</f>
        <v>LC</v>
      </c>
      <c r="T24856" s="7" t="str">
        <f>HYPERLINK("#Liste_rouge!A"&amp;_xlfn.XMATCH("DD",Liste_rouge!A:A,2,1),"DD")</f>
        <v>DD</v>
      </c>
      <c r="V24856" s="7" t="str">
        <f>HYPERLINK("#Liste_rouge!A"&amp;_xlfn.XMATCH("NT",Liste_rouge!A:A,2,1),"NT")</f>
        <v>NT</v>
      </c>
      <c r="W24856" s="4" t="str">
        <f>HYPERLINK("#Critères_liste_rouge!A$1","pr. B2b(iii)")</f>
        <v>pr. B2b(iii)</v>
      </c>
      <c r="X24856" s="5" t="s">
        <v>374</v>
      </c>
      <c r="AH24856" s="4" t="str">
        <f>HYPERLINK("#Statut_biogéographique!A"&amp;_xlfn.XMATCH("P",Statut_biogéographique!A:A,2,1),"P")</f>
        <v>P</v>
      </c>
      <c r="AM24856" s="4" t="s">
        <v>375</v>
      </c>
      <c r="AN24856" s="4" t="s">
        <v>375</v>
      </c>
      <c r="AO24856" s="4" t="s">
        <v>375</v>
      </c>
      <c r="AP24856" s="4" t="s">
        <v>376</v>
      </c>
      <c r="AR24856" s="4" t="s">
        <v>377</v>
      </c>
    </row>
    <row r="24857" spans="1:44" ht="45">
      <c r="A24857" s="4" t="s">
        <v>119</v>
      </c>
      <c r="B24857" s="4">
        <v>78048</v>
      </c>
      <c r="D24857" s="5" t="s">
        <v>32942</v>
      </c>
      <c r="E24857" s="6" t="str">
        <f>HYPERLINK("https://inpn.mnhn.fr/espece/cd_nom/78048","Natrix maura (Linnaeus, 1758)")</f>
        <v>Natrix maura (Linnaeus, 1758)</v>
      </c>
      <c r="F24857" s="5" t="s">
        <v>32943</v>
      </c>
      <c r="I24857" s="4" t="str">
        <f>HYPERLINK("#Réglementation!A"&amp;_xlfn.XMATCH("IBE3",Réglementation!A:A,2,1),"IBE3")</f>
        <v>IBE3</v>
      </c>
      <c r="L24857" s="4" t="str">
        <f>HYPERLINK("#Réglementation!A"&amp;_xlfn.XMATCH("FRAR2",Réglementation!A:A,2,1),"FRAR2")</f>
        <v>FRAR2</v>
      </c>
      <c r="O24857" s="7" t="str">
        <f>HYPERLINK("#Liste_rouge!A"&amp;_xlfn.XMATCH("LC",Liste_rouge!A:A,2,1),"LC")</f>
        <v>LC</v>
      </c>
      <c r="P24857" s="7" t="str">
        <f>HYPERLINK("#Liste_rouge!A"&amp;_xlfn.XMATCH("LC",Liste_rouge!A:A,2,1),"LC")</f>
        <v>LC</v>
      </c>
      <c r="Q24857" s="7" t="str">
        <f>HYPERLINK("#Liste_rouge!A"&amp;_xlfn.XMATCH("NT",Liste_rouge!A:A,2,1),"NT")</f>
        <v>NT</v>
      </c>
      <c r="T24857" s="7" t="str">
        <f>HYPERLINK("#Liste_rouge!A"&amp;_xlfn.XMATCH("NT",Liste_rouge!A:A,2,1),"NT")</f>
        <v>NT</v>
      </c>
      <c r="U24857" s="4" t="str">
        <f>HYPERLINK("#Critères_liste_rouge!A$1","pr. B2b(i,ii,iii,iv) &amp; pr. A2+4c")</f>
        <v>pr. B2b(i,ii,iii,iv) &amp; pr. A2+4c</v>
      </c>
      <c r="V24857" s="7" t="str">
        <f>HYPERLINK("#Liste_rouge!A"&amp;_xlfn.XMATCH("EN",Liste_rouge!A:A,2,1),"EN")</f>
        <v>EN</v>
      </c>
      <c r="W24857" s="4" t="str">
        <f>HYPERLINK("#Critères_liste_rouge!A$1","B(1+2)ab(ii)")</f>
        <v>B(1+2)ab(ii)</v>
      </c>
      <c r="X24857" s="5" t="s">
        <v>374</v>
      </c>
      <c r="AH24857" s="4" t="str">
        <f>HYPERLINK("#Statut_biogéographique!A"&amp;_xlfn.XMATCH("P",Statut_biogéographique!A:A,2,1),"P")</f>
        <v>P</v>
      </c>
      <c r="AM24857" s="4" t="s">
        <v>375</v>
      </c>
      <c r="AN24857" s="4" t="s">
        <v>375</v>
      </c>
      <c r="AO24857" s="4" t="s">
        <v>382</v>
      </c>
      <c r="AP24857" s="4" t="s">
        <v>376</v>
      </c>
      <c r="AR24857" s="4" t="s">
        <v>377</v>
      </c>
    </row>
    <row r="24858" spans="1:44">
      <c r="A24858" s="4" t="s">
        <v>119</v>
      </c>
      <c r="B24858" s="4">
        <v>78130</v>
      </c>
      <c r="D24858" s="5" t="s">
        <v>32944</v>
      </c>
      <c r="E24858" s="6" t="str">
        <f>HYPERLINK("https://inpn.mnhn.fr/espece/cd_nom/78130","Vipera aspis (Linnaeus, 1758)")</f>
        <v>Vipera aspis (Linnaeus, 1758)</v>
      </c>
      <c r="F24858" s="5" t="s">
        <v>32945</v>
      </c>
      <c r="I24858" s="4" t="str">
        <f>HYPERLINK("#Réglementation!A"&amp;_xlfn.XMATCH("IBE3",Réglementation!A:A,2,1),"IBE3")</f>
        <v>IBE3</v>
      </c>
      <c r="L24858" s="4" t="str">
        <f>HYPERLINK("#Réglementation!A"&amp;_xlfn.XMATCH("FRAR2",Réglementation!A:A,2,1),"FRAR2")</f>
        <v>FRAR2</v>
      </c>
      <c r="O24858" s="7" t="str">
        <f>HYPERLINK("#Liste_rouge!A"&amp;_xlfn.XMATCH("LC",Liste_rouge!A:A,2,1),"LC")</f>
        <v>LC</v>
      </c>
      <c r="P24858" s="7" t="str">
        <f>HYPERLINK("#Liste_rouge!A"&amp;_xlfn.XMATCH("LC",Liste_rouge!A:A,2,1),"LC")</f>
        <v>LC</v>
      </c>
      <c r="Q24858" s="7" t="str">
        <f>HYPERLINK("#Liste_rouge!A"&amp;_xlfn.XMATCH("LC",Liste_rouge!A:A,2,1),"LC")</f>
        <v>LC</v>
      </c>
      <c r="T24858" s="7" t="str">
        <f>HYPERLINK("#Liste_rouge!A"&amp;_xlfn.XMATCH("NT",Liste_rouge!A:A,2,1),"NT")</f>
        <v>NT</v>
      </c>
      <c r="U24858" s="4" t="str">
        <f>HYPERLINK("#Critères_liste_rouge!A$1","pr. A2+4cB2b(i,ii,iii,iv,v)")</f>
        <v>pr. A2+4cB2b(i,ii,iii,iv,v)</v>
      </c>
      <c r="V24858" s="7" t="str">
        <f>HYPERLINK("#Liste_rouge!A"&amp;_xlfn.XMATCH("NT",Liste_rouge!A:A,2,1),"NT")</f>
        <v>NT</v>
      </c>
      <c r="W24858" s="4" t="str">
        <f>HYPERLINK("#Critères_liste_rouge!A$1","pr. B2b(ii)")</f>
        <v>pr. B2b(ii)</v>
      </c>
      <c r="X24858" s="5" t="s">
        <v>374</v>
      </c>
      <c r="AH24858" s="4" t="str">
        <f>HYPERLINK("#Statut_biogéographique!A"&amp;_xlfn.XMATCH("S",Statut_biogéographique!A:A,2,1),"S")</f>
        <v>S</v>
      </c>
      <c r="AM24858" s="4" t="s">
        <v>375</v>
      </c>
      <c r="AN24858" s="4" t="s">
        <v>375</v>
      </c>
      <c r="AO24858" s="4" t="s">
        <v>382</v>
      </c>
      <c r="AP24858" s="4" t="s">
        <v>376</v>
      </c>
      <c r="AR24858" s="4" t="s">
        <v>377</v>
      </c>
    </row>
    <row r="24859" spans="1:44">
      <c r="A24859" s="4" t="s">
        <v>119</v>
      </c>
      <c r="B24859" s="4">
        <v>78135</v>
      </c>
      <c r="D24859" s="5" t="s">
        <v>32946</v>
      </c>
      <c r="E24859" s="6" t="str">
        <f>HYPERLINK("https://inpn.mnhn.fr/espece/cd_nom/78135","Vipera aspis aspis (Linnaeus, 1758)")</f>
        <v>Vipera aspis aspis (Linnaeus, 1758)</v>
      </c>
      <c r="F24859" s="5" t="s">
        <v>32945</v>
      </c>
      <c r="I24859" s="4" t="str">
        <f>HYPERLINK("#Réglementation!A"&amp;_xlfn.XMATCH("IBE3",Réglementation!A:A,2,1),"IBE3")</f>
        <v>IBE3</v>
      </c>
      <c r="L24859" s="4" t="str">
        <f>HYPERLINK("#Réglementation!A"&amp;_xlfn.XMATCH("FRAR2",Réglementation!A:A,2,1),"FRAR2")</f>
        <v>FRAR2</v>
      </c>
      <c r="Q24859" s="7" t="str">
        <f>HYPERLINK("#Liste_rouge!A"&amp;_xlfn.XMATCH("LC",Liste_rouge!A:A,2,1),"LC")</f>
        <v>LC</v>
      </c>
      <c r="AH24859" s="4" t="str">
        <f>HYPERLINK("#Statut_biogéographique!A"&amp;_xlfn.XMATCH("P",Statut_biogéographique!A:A,2,1),"P")</f>
        <v>P</v>
      </c>
      <c r="AP24859" s="4" t="s">
        <v>376</v>
      </c>
      <c r="AR24859" s="4" t="s">
        <v>377</v>
      </c>
    </row>
    <row r="24860" spans="1:44" ht="30">
      <c r="A24860" s="4" t="s">
        <v>119</v>
      </c>
      <c r="B24860" s="4">
        <v>78141</v>
      </c>
      <c r="D24860" s="5" t="s">
        <v>32947</v>
      </c>
      <c r="E24860" s="6" t="str">
        <f>HYPERLINK("https://inpn.mnhn.fr/espece/cd_nom/78141","Vipera berus (Linnaeus, 1758)")</f>
        <v>Vipera berus (Linnaeus, 1758)</v>
      </c>
      <c r="F24860" s="5" t="s">
        <v>32948</v>
      </c>
      <c r="I24860" s="4" t="str">
        <f>HYPERLINK("#Réglementation!A"&amp;_xlfn.XMATCH("IBE3",Réglementation!A:A,2,1),"IBE3")</f>
        <v>IBE3</v>
      </c>
      <c r="L24860" s="4" t="str">
        <f>HYPERLINK("#Réglementation!A"&amp;_xlfn.XMATCH("FRAR2",Réglementation!A:A,2,1),"FRAR2")</f>
        <v>FRAR2</v>
      </c>
      <c r="O24860" s="7" t="str">
        <f>HYPERLINK("#Liste_rouge!A"&amp;_xlfn.XMATCH("LC",Liste_rouge!A:A,2,1),"LC")</f>
        <v>LC</v>
      </c>
      <c r="Q24860" s="7" t="str">
        <f>HYPERLINK("#Liste_rouge!A"&amp;_xlfn.XMATCH("VU",Liste_rouge!A:A,2,1),"VU")</f>
        <v>VU</v>
      </c>
      <c r="T24860" s="7" t="str">
        <f>HYPERLINK("#Liste_rouge!A"&amp;_xlfn.XMATCH("NE",Liste_rouge!A:A,2,1),"NE")</f>
        <v>NE</v>
      </c>
      <c r="V24860" s="7" t="str">
        <f>HYPERLINK("#Liste_rouge!A"&amp;_xlfn.XMATCH("EN",Liste_rouge!A:A,2,1),"EN")</f>
        <v>EN</v>
      </c>
      <c r="W24860" s="4" t="str">
        <f>HYPERLINK("#Critères_liste_rouge!A$1","B(1+2)ab(v)")</f>
        <v>B(1+2)ab(v)</v>
      </c>
      <c r="X24860" s="5" t="s">
        <v>374</v>
      </c>
      <c r="AH24860" s="4" t="str">
        <f>HYPERLINK("#Statut_biogéographique!A"&amp;_xlfn.XMATCH("P",Statut_biogéographique!A:A,2,1),"P")</f>
        <v>P</v>
      </c>
      <c r="AM24860" s="4" t="s">
        <v>375</v>
      </c>
      <c r="AN24860" s="4" t="s">
        <v>375</v>
      </c>
      <c r="AO24860" s="4" t="s">
        <v>382</v>
      </c>
      <c r="AP24860" s="4" t="s">
        <v>376</v>
      </c>
      <c r="AR24860" s="4" t="s">
        <v>377</v>
      </c>
    </row>
    <row r="24861" spans="1:44" ht="45">
      <c r="A24861" s="4" t="s">
        <v>119</v>
      </c>
      <c r="B24861" s="4">
        <v>79278</v>
      </c>
      <c r="D24861" s="5" t="s">
        <v>32949</v>
      </c>
      <c r="E24861" s="6" t="str">
        <f>HYPERLINK("https://inpn.mnhn.fr/espece/cd_nom/79278","Zootoca vivipara (Lichtenstein, 1823)")</f>
        <v>Zootoca vivipara (Lichtenstein, 1823)</v>
      </c>
      <c r="F24861" s="5" t="s">
        <v>32950</v>
      </c>
      <c r="I24861" s="4" t="str">
        <f>HYPERLINK("#Réglementation!A"&amp;_xlfn.XMATCH("IBE3",Réglementation!A:A,2,1),"IBE3")</f>
        <v>IBE3</v>
      </c>
      <c r="L24861" s="4" t="str">
        <f>HYPERLINK("#Réglementation!A"&amp;_xlfn.XMATCH("FRAR3",Réglementation!A:A,2,1),"FRAR3")</f>
        <v>FRAR3</v>
      </c>
      <c r="O24861" s="7" t="str">
        <f>HYPERLINK("#Liste_rouge!A"&amp;_xlfn.XMATCH("LC",Liste_rouge!A:A,2,1),"LC")</f>
        <v>LC</v>
      </c>
      <c r="P24861" s="7" t="str">
        <f>HYPERLINK("#Liste_rouge!A"&amp;_xlfn.XMATCH("LC",Liste_rouge!A:A,2,1),"LC")</f>
        <v>LC</v>
      </c>
      <c r="Q24861" s="7" t="str">
        <f>HYPERLINK("#Liste_rouge!A"&amp;_xlfn.XMATCH("LC",Liste_rouge!A:A,2,1),"LC")</f>
        <v>LC</v>
      </c>
      <c r="T24861" s="7" t="str">
        <f>HYPERLINK("#Liste_rouge!A"&amp;_xlfn.XMATCH("VU",Liste_rouge!A:A,2,1),"VU")</f>
        <v>VU</v>
      </c>
      <c r="U24861" s="4" t="str">
        <f>HYPERLINK("#Critères_liste_rouge!A$1","B2ab(i,ii,iii,iv,v)")</f>
        <v>B2ab(i,ii,iii,iv,v)</v>
      </c>
      <c r="V24861" s="7" t="str">
        <f>HYPERLINK("#Liste_rouge!A"&amp;_xlfn.XMATCH("LC",Liste_rouge!A:A,2,1),"LC")</f>
        <v>LC</v>
      </c>
      <c r="X24861" s="5" t="s">
        <v>374</v>
      </c>
      <c r="AH24861" s="4" t="str">
        <f>HYPERLINK("#Statut_biogéographique!A"&amp;_xlfn.XMATCH("P",Statut_biogéographique!A:A,2,1),"P")</f>
        <v>P</v>
      </c>
      <c r="AM24861" s="4" t="s">
        <v>375</v>
      </c>
      <c r="AN24861" s="4" t="s">
        <v>375</v>
      </c>
      <c r="AO24861" s="4" t="s">
        <v>375</v>
      </c>
      <c r="AP24861" s="4" t="s">
        <v>376</v>
      </c>
      <c r="AR24861" s="4" t="s">
        <v>377</v>
      </c>
    </row>
    <row r="24862" spans="1:44" ht="30">
      <c r="A24862" s="4" t="s">
        <v>119</v>
      </c>
      <c r="B24862" s="4">
        <v>851674</v>
      </c>
      <c r="D24862" s="5" t="s">
        <v>32951</v>
      </c>
      <c r="E24862" s="6" t="str">
        <f>HYPERLINK("https://inpn.mnhn.fr/espece/cd_nom/851674","Natrix helvetica (Lacepède, 1789)")</f>
        <v>Natrix helvetica (Lacepède, 1789)</v>
      </c>
      <c r="F24862" s="5" t="s">
        <v>32952</v>
      </c>
      <c r="I24862" s="4" t="str">
        <f>HYPERLINK("#Réglementation!A"&amp;_xlfn.XMATCH("IBE3",Réglementation!A:A,2,1),"IBE3")</f>
        <v>IBE3</v>
      </c>
      <c r="L24862" s="4" t="str">
        <f>HYPERLINK("#Réglementation!A"&amp;_xlfn.XMATCH("FRAR2",Réglementation!A:A,2,1),"FRAR2")</f>
        <v>FRAR2</v>
      </c>
      <c r="Q24862" s="7" t="str">
        <f>HYPERLINK("#Liste_rouge!A"&amp;_xlfn.XMATCH("LC",Liste_rouge!A:A,2,1),"LC")</f>
        <v>LC</v>
      </c>
      <c r="T24862" s="7" t="str">
        <f>HYPERLINK("#Liste_rouge!A"&amp;_xlfn.XMATCH("LC",Liste_rouge!A:A,2,1),"LC")</f>
        <v>LC</v>
      </c>
      <c r="V24862" s="7" t="str">
        <f>HYPERLINK("#Liste_rouge!A"&amp;_xlfn.XMATCH("NT",Liste_rouge!A:A,2,1),"NT")</f>
        <v>NT</v>
      </c>
      <c r="W24862" s="4" t="str">
        <f>HYPERLINK("#Critères_liste_rouge!A$1","pr. A2a")</f>
        <v>pr. A2a</v>
      </c>
      <c r="AH24862" s="4" t="str">
        <f>HYPERLINK("#Statut_biogéographique!A"&amp;_xlfn.XMATCH("P",Statut_biogéographique!A:A,2,1),"P")</f>
        <v>P</v>
      </c>
      <c r="AM24862" s="4" t="s">
        <v>375</v>
      </c>
      <c r="AN24862" s="4" t="s">
        <v>375</v>
      </c>
      <c r="AO24862" s="4" t="s">
        <v>375</v>
      </c>
      <c r="AP24862" s="4" t="s">
        <v>376</v>
      </c>
      <c r="AR24862" s="4" t="s">
        <v>377</v>
      </c>
    </row>
    <row r="24863" spans="1:44" ht="30">
      <c r="A24863" s="4" t="s">
        <v>119</v>
      </c>
      <c r="B24863" s="4">
        <v>933223</v>
      </c>
      <c r="D24863" s="5" t="s">
        <v>32953</v>
      </c>
      <c r="E24863" s="6" t="str">
        <f>HYPERLINK("https://inpn.mnhn.fr/espece/cd_nom/933223","Trachemys scripta troostii (Holbrook, 1836)")</f>
        <v>Trachemys scripta troostii (Holbrook, 1836)</v>
      </c>
      <c r="I24863" s="4" t="str">
        <f>HYPERLINK("#Réglementation!A"&amp;_xlfn.XMATCH("IBE3",Réglementation!A:A,2,1),"IBE3")</f>
        <v>IBE3</v>
      </c>
      <c r="AH24863" s="4" t="str">
        <f>HYPERLINK("#Statut_biogéographique!A"&amp;_xlfn.XMATCH("D",Statut_biogéographique!A:A,2,1),"D")</f>
        <v>D</v>
      </c>
      <c r="AL24863" s="5" t="str">
        <f>HYPERLINK("#Réglementation!A"&amp;_xlfn.XMATCH("FRnoEEEA",Réglementation!A:A,2,1),"FRnoEEEA - FRnoEEEA2 - EEEUE")</f>
        <v>FRnoEEEA - FRnoEEEA2 - EEEUE</v>
      </c>
      <c r="AP24863" s="4" t="s">
        <v>376</v>
      </c>
      <c r="AR24863" s="4" t="s">
        <v>377</v>
      </c>
    </row>
    <row r="24864" spans="1:44" ht="30">
      <c r="A24864" s="4" t="s">
        <v>119</v>
      </c>
      <c r="B24864" s="4">
        <v>990115</v>
      </c>
      <c r="D24864" s="5" t="s">
        <v>32954</v>
      </c>
      <c r="E24864" s="6" t="str">
        <f>HYPERLINK("https://inpn.mnhn.fr/espece/cd_nom/990115","Macrochelys temminckii (Troost in Harlan, 1835)")</f>
        <v>Macrochelys temminckii (Troost in Harlan, 1835)</v>
      </c>
      <c r="F24864" s="5" t="s">
        <v>32955</v>
      </c>
      <c r="O24864" s="7" t="str">
        <f>HYPERLINK("#Liste_rouge!A"&amp;_xlfn.XMATCH("VU",Liste_rouge!A:A,2,1),"VU")</f>
        <v>VU</v>
      </c>
      <c r="AH24864" s="4" t="str">
        <f>HYPERLINK("#Statut_biogéographique!A"&amp;_xlfn.XMATCH("A",Statut_biogéographique!A:A,2,1),"A")</f>
        <v>A</v>
      </c>
      <c r="AP24864" s="4" t="s">
        <v>376</v>
      </c>
      <c r="AR24864" s="4" t="s">
        <v>377</v>
      </c>
    </row>
  </sheetData>
  <conditionalFormatting sqref="O2:T1048576 V2:V1048576">
    <cfRule type="containsText" dxfId="21" priority="1" operator="containsText" text="EX">
      <formula>NOT(ISERROR(SEARCH("EX",O2)))</formula>
    </cfRule>
    <cfRule type="containsText" dxfId="20" priority="2" operator="containsText" text="EW">
      <formula>NOT(ISERROR(SEARCH("EW",O2)))</formula>
    </cfRule>
    <cfRule type="containsText" dxfId="19" priority="3" operator="containsText" text="RE">
      <formula>NOT(ISERROR(SEARCH("RE",O2)))</formula>
    </cfRule>
    <cfRule type="containsText" dxfId="18" priority="4" operator="containsText" text="CR">
      <formula>NOT(ISERROR(SEARCH("CR",O2)))</formula>
    </cfRule>
    <cfRule type="containsText" dxfId="17" priority="5" operator="containsText" text="EN">
      <formula>NOT(ISERROR(SEARCH("EN",O2)))</formula>
    </cfRule>
    <cfRule type="containsText" dxfId="16" priority="6" operator="containsText" text="VU">
      <formula>NOT(ISERROR(SEARCH("VU",O2)))</formula>
    </cfRule>
    <cfRule type="containsText" dxfId="15" priority="7" operator="containsText" text="NT">
      <formula>NOT(ISERROR(SEARCH("NT",O2)))</formula>
    </cfRule>
    <cfRule type="containsText" dxfId="14" priority="8" operator="containsText" text="LC">
      <formula>NOT(ISERROR(SEARCH("LC",O2)))</formula>
    </cfRule>
    <cfRule type="containsText" dxfId="13" priority="9" operator="containsText" text="DD">
      <formula>NOT(ISERROR(SEARCH("DD",O2)))</formula>
    </cfRule>
    <cfRule type="containsText" dxfId="12" priority="10" operator="containsText" text="NA">
      <formula>NOT(ISERROR(SEARCH("NA",O2)))</formula>
    </cfRule>
    <cfRule type="containsText" dxfId="11" priority="11" operator="containsText" text="NE">
      <formula>NOT(ISERROR(SEARCH("NE",O2)))</formula>
    </cfRule>
  </conditionalFormatting>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45"/>
  <sheetViews>
    <sheetView workbookViewId="0">
      <pane ySplit="1" topLeftCell="A2" activePane="bottomLeft" state="frozen"/>
      <selection pane="bottomLeft" activeCell="A2" sqref="A2"/>
    </sheetView>
  </sheetViews>
  <sheetFormatPr baseColWidth="10" defaultColWidth="9.140625" defaultRowHeight="15"/>
  <cols>
    <col min="1" max="1" width="35.7109375" customWidth="1"/>
    <col min="2" max="2" width="131.5703125" customWidth="1"/>
  </cols>
  <sheetData>
    <row r="1" spans="1:2">
      <c r="A1" t="s">
        <v>286</v>
      </c>
      <c r="B1" t="s">
        <v>20</v>
      </c>
    </row>
    <row r="2" spans="1:2">
      <c r="A2" t="s">
        <v>287</v>
      </c>
      <c r="B2" t="s">
        <v>288</v>
      </c>
    </row>
    <row r="3" spans="1:2">
      <c r="A3" t="s">
        <v>289</v>
      </c>
      <c r="B3" t="s">
        <v>290</v>
      </c>
    </row>
    <row r="4" spans="1:2">
      <c r="A4" t="s">
        <v>291</v>
      </c>
      <c r="B4" t="s">
        <v>292</v>
      </c>
    </row>
    <row r="5" spans="1:2">
      <c r="A5" t="s">
        <v>293</v>
      </c>
      <c r="B5" t="s">
        <v>294</v>
      </c>
    </row>
    <row r="6" spans="1:2">
      <c r="A6" t="s">
        <v>295</v>
      </c>
      <c r="B6" t="s">
        <v>198</v>
      </c>
    </row>
    <row r="7" spans="1:2">
      <c r="A7" t="s">
        <v>296</v>
      </c>
      <c r="B7" t="s">
        <v>203</v>
      </c>
    </row>
    <row r="8" spans="1:2">
      <c r="A8" t="s">
        <v>297</v>
      </c>
      <c r="B8" t="s">
        <v>298</v>
      </c>
    </row>
    <row r="9" spans="1:2">
      <c r="A9" t="s">
        <v>299</v>
      </c>
      <c r="B9" t="s">
        <v>300</v>
      </c>
    </row>
    <row r="10" spans="1:2">
      <c r="A10" t="s">
        <v>301</v>
      </c>
      <c r="B10" t="s">
        <v>302</v>
      </c>
    </row>
    <row r="11" spans="1:2">
      <c r="A11" t="s">
        <v>303</v>
      </c>
      <c r="B11" t="s">
        <v>304</v>
      </c>
    </row>
    <row r="12" spans="1:2">
      <c r="A12" t="s">
        <v>305</v>
      </c>
      <c r="B12" t="s">
        <v>306</v>
      </c>
    </row>
    <row r="13" spans="1:2">
      <c r="A13" t="s">
        <v>307</v>
      </c>
      <c r="B13" t="s">
        <v>308</v>
      </c>
    </row>
    <row r="14" spans="1:2">
      <c r="A14" t="s">
        <v>0</v>
      </c>
      <c r="B14" t="s">
        <v>309</v>
      </c>
    </row>
    <row r="15" spans="1:2">
      <c r="A15" t="s">
        <v>310</v>
      </c>
      <c r="B15" t="s">
        <v>311</v>
      </c>
    </row>
    <row r="16" spans="1:2">
      <c r="A16" t="s">
        <v>312</v>
      </c>
      <c r="B16" t="s">
        <v>313</v>
      </c>
    </row>
    <row r="17" spans="1:2">
      <c r="A17" t="s">
        <v>314</v>
      </c>
      <c r="B17" t="s">
        <v>315</v>
      </c>
    </row>
    <row r="18" spans="1:2">
      <c r="A18" t="s">
        <v>316</v>
      </c>
      <c r="B18" t="s">
        <v>317</v>
      </c>
    </row>
    <row r="19" spans="1:2">
      <c r="A19" t="s">
        <v>318</v>
      </c>
      <c r="B19" t="s">
        <v>319</v>
      </c>
    </row>
    <row r="20" spans="1:2">
      <c r="A20" t="s">
        <v>320</v>
      </c>
      <c r="B20" t="s">
        <v>321</v>
      </c>
    </row>
    <row r="21" spans="1:2">
      <c r="A21" t="s">
        <v>322</v>
      </c>
      <c r="B21" t="s">
        <v>323</v>
      </c>
    </row>
    <row r="22" spans="1:2">
      <c r="A22" t="s">
        <v>324</v>
      </c>
      <c r="B22" t="s">
        <v>325</v>
      </c>
    </row>
    <row r="23" spans="1:2">
      <c r="A23" t="s">
        <v>326</v>
      </c>
      <c r="B23" t="s">
        <v>327</v>
      </c>
    </row>
    <row r="24" spans="1:2">
      <c r="A24" t="s">
        <v>328</v>
      </c>
      <c r="B24" t="s">
        <v>329</v>
      </c>
    </row>
    <row r="25" spans="1:2">
      <c r="A25" t="s">
        <v>330</v>
      </c>
      <c r="B25" t="s">
        <v>331</v>
      </c>
    </row>
    <row r="26" spans="1:2">
      <c r="A26" t="s">
        <v>332</v>
      </c>
      <c r="B26" t="s">
        <v>333</v>
      </c>
    </row>
    <row r="27" spans="1:2">
      <c r="A27" t="s">
        <v>334</v>
      </c>
      <c r="B27" t="s">
        <v>335</v>
      </c>
    </row>
    <row r="28" spans="1:2">
      <c r="A28" t="s">
        <v>336</v>
      </c>
      <c r="B28" t="s">
        <v>337</v>
      </c>
    </row>
    <row r="29" spans="1:2">
      <c r="A29" t="s">
        <v>338</v>
      </c>
      <c r="B29" t="s">
        <v>339</v>
      </c>
    </row>
    <row r="30" spans="1:2">
      <c r="A30" t="s">
        <v>340</v>
      </c>
      <c r="B30" t="s">
        <v>341</v>
      </c>
    </row>
    <row r="31" spans="1:2">
      <c r="A31" t="s">
        <v>342</v>
      </c>
      <c r="B31" t="s">
        <v>343</v>
      </c>
    </row>
    <row r="32" spans="1:2">
      <c r="A32" t="s">
        <v>344</v>
      </c>
      <c r="B32" t="s">
        <v>345</v>
      </c>
    </row>
    <row r="33" spans="1:2">
      <c r="A33" t="s">
        <v>346</v>
      </c>
      <c r="B33" t="s">
        <v>347</v>
      </c>
    </row>
    <row r="34" spans="1:2">
      <c r="A34" t="s">
        <v>348</v>
      </c>
      <c r="B34" t="s">
        <v>349</v>
      </c>
    </row>
    <row r="35" spans="1:2">
      <c r="A35" t="s">
        <v>350</v>
      </c>
      <c r="B35" t="s">
        <v>351</v>
      </c>
    </row>
    <row r="36" spans="1:2">
      <c r="A36" t="s">
        <v>352</v>
      </c>
      <c r="B36" t="s">
        <v>353</v>
      </c>
    </row>
    <row r="37" spans="1:2">
      <c r="A37" t="s">
        <v>354</v>
      </c>
      <c r="B37" t="s">
        <v>355</v>
      </c>
    </row>
    <row r="38" spans="1:2">
      <c r="A38" t="s">
        <v>356</v>
      </c>
      <c r="B38" t="s">
        <v>357</v>
      </c>
    </row>
    <row r="39" spans="1:2">
      <c r="A39" t="s">
        <v>358</v>
      </c>
      <c r="B39" t="s">
        <v>359</v>
      </c>
    </row>
    <row r="40" spans="1:2">
      <c r="A40" t="s">
        <v>360</v>
      </c>
      <c r="B40" t="s">
        <v>361</v>
      </c>
    </row>
    <row r="41" spans="1:2">
      <c r="A41" t="s">
        <v>362</v>
      </c>
      <c r="B41" t="s">
        <v>363</v>
      </c>
    </row>
    <row r="42" spans="1:2">
      <c r="A42" t="s">
        <v>364</v>
      </c>
      <c r="B42" t="s">
        <v>365</v>
      </c>
    </row>
    <row r="43" spans="1:2">
      <c r="A43" t="s">
        <v>366</v>
      </c>
      <c r="B43" t="s">
        <v>367</v>
      </c>
    </row>
    <row r="44" spans="1:2">
      <c r="A44" t="s">
        <v>368</v>
      </c>
      <c r="B44" t="s">
        <v>369</v>
      </c>
    </row>
    <row r="45" spans="1:2">
      <c r="A45" t="s">
        <v>370</v>
      </c>
      <c r="B45" t="s">
        <v>371</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05"/>
  <sheetViews>
    <sheetView workbookViewId="0">
      <pane ySplit="1" topLeftCell="A2" activePane="bottomLeft" state="frozen"/>
      <selection pane="bottomLeft" activeCell="A2" sqref="A2"/>
    </sheetView>
  </sheetViews>
  <sheetFormatPr baseColWidth="10" defaultColWidth="9.140625" defaultRowHeight="15"/>
  <cols>
    <col min="1" max="1" width="36.7109375" style="5" customWidth="1"/>
    <col min="2" max="2" width="22.28515625" style="4" customWidth="1"/>
    <col min="3" max="3" width="122" style="5" customWidth="1"/>
    <col min="4" max="4" width="10.7109375" style="4" customWidth="1"/>
    <col min="5" max="16384" width="9.140625" style="4"/>
  </cols>
  <sheetData>
    <row r="1" spans="1:4">
      <c r="A1" s="5" t="s">
        <v>90</v>
      </c>
      <c r="B1" s="4" t="s">
        <v>0</v>
      </c>
      <c r="C1" s="5" t="s">
        <v>91</v>
      </c>
      <c r="D1" s="4" t="s">
        <v>4</v>
      </c>
    </row>
    <row r="2" spans="1:4" ht="30">
      <c r="A2" s="5" t="s">
        <v>92</v>
      </c>
      <c r="B2" s="4" t="s">
        <v>93</v>
      </c>
      <c r="C2" s="5" t="str">
        <f>HYPERLINK("https://www.legifrance.gouv.fr/jorf/id/JORFTEXT000041491367/","Arrêté du 6 janvier 2020 fixant la liste des espèce"&amp;"s animales et végétales à la protection desquelles il ne peut être dérogé qu'après avis du Conseil national de la protection de la nature"&amp;"")</f>
        <v>Arrêté du 6 janvier 2020 fixant la liste des espèces animales et végétales à la protection desquelles il ne peut être dérogé qu'après avis du Conseil national de la protection de la nature</v>
      </c>
      <c r="D2" s="4" t="s">
        <v>94</v>
      </c>
    </row>
    <row r="3" spans="1:4" ht="30">
      <c r="A3" s="5" t="s">
        <v>95</v>
      </c>
      <c r="B3" s="4" t="s">
        <v>93</v>
      </c>
      <c r="C3" s="5" t="str">
        <f>HYPERLINK("https://www.legifrance.gouv.fr/loda/id/JORFTEXT000000396986/2022-06-10/","Arrêté interministériel du 9 juillet 1999 fixant la"&amp;" liste des espèces de vertébrés protégées menacées d'extinction en France et dont l'aire de répartition excède le territoire d'un département, modifié"&amp;" par l'arrêté du 27 mai 2009 (JORF du 29 mai 2009, p. 8889)")</f>
        <v>Arrêté interministériel du 9 juillet 1999 fixant la liste des espèces de vertébrés protégées menacées d'extinction en France et dont l'aire de répartition excède le territoire d'un département, modifié par l'arrêté du 27 mai 2009 (JORF du 29 mai 2009, p. 8889)</v>
      </c>
      <c r="D3" s="4" t="s">
        <v>96</v>
      </c>
    </row>
    <row r="4" spans="1:4" ht="30">
      <c r="A4" s="5" t="s">
        <v>97</v>
      </c>
      <c r="C4" s="5" t="str">
        <f>HYPERLINK("https://www.bourgogne-franche-comte.developpement-durable.gouv.fr/IMG/pdf/aviscsrpn_bfc_2020_10_sinp_sigogne_donnees_sensibles_def_cle19e7ef.pdf","CSRPN, 2020. Avis n°2020-10 du 17 décembre 2020 fixant la liste des données sensibles vertébrés (amphibiens, reptiles, mammifères, oiseaux) et invertébrés (arthropodes : lépidoptères diurnes, odonates, orthoptères).")</f>
        <v>CSRPN, 2020. Avis n°2020-10 du 17 décembre 2020 fixant la liste des données sensibles vertébrés (amphibiens, reptiles, mammifères, oiseaux) et invertébrés (arthropodes : lépidoptères diurnes, odonates, orthoptères).</v>
      </c>
      <c r="D4" s="4" t="s">
        <v>94</v>
      </c>
    </row>
    <row r="5" spans="1:4" ht="45">
      <c r="A5" s="5" t="s">
        <v>98</v>
      </c>
      <c r="B5" s="4" t="s">
        <v>99</v>
      </c>
      <c r="C5" s="5" t="str">
        <f>HYPERLINK("https://www.bourgogne-franche-comte.developpement-durable.gouv.fr/IMG/pdf/aviscsrpn_bfc_2021_24_znieff_esp_determinantes_sensibles_mollusques_vdef_cle7bb836.pdf","CSRPN, 2021. Avis n°2021-24 du 10 décembre 2021 fixant la liste régionale des espèces déterminantes ZNIEFF et données sensible SINP Sigogne Mollusques.")</f>
        <v>CSRPN, 2021. Avis n°2021-24 du 10 décembre 2021 fixant la liste régionale des espèces déterminantes ZNIEFF et données sensible SINP Sigogne Mollusques.</v>
      </c>
      <c r="D5" s="4" t="s">
        <v>100</v>
      </c>
    </row>
    <row r="6" spans="1:4" ht="45">
      <c r="A6" s="5" t="s">
        <v>101</v>
      </c>
      <c r="B6" s="4" t="s">
        <v>102</v>
      </c>
      <c r="C6" s="5" t="str">
        <f>HYPERLINK("https://www.bourgogne-franche-comte.developpement-durable.gouv.fr/IMG/pdf/aviscsrpn_bfc_2021_09_sinp_sigogne_donnees_sensibles_flore_vf_cle64cadf.pdf","CSRPN, 2021. Avis n°2021-09 du 24 juin 2021 fixant la liste des données sensibles flore - trachéophytes.")</f>
        <v>CSRPN, 2021. Avis n°2021-09 du 24 juin 2021 fixant la liste des données sensibles flore - trachéophytes.</v>
      </c>
      <c r="D6" s="4" t="s">
        <v>100</v>
      </c>
    </row>
    <row r="7" spans="1:4" ht="30">
      <c r="A7" s="5" t="s">
        <v>103</v>
      </c>
      <c r="B7" s="4" t="s">
        <v>104</v>
      </c>
      <c r="C7" s="5" t="str">
        <f>HYPERLINK("https://www.bourgogne-franche-comte.developpement-durable.gouv.fr/IMG/pdf/aviscsrpn_bfc_2023_07_znieff_esp_determinantes_sensibles_poissons_vdef_cle776faf.pdf","CSRPN, 2023. Avis n°2023-07 du 20 octobre 2023 fixant la liste régionale des espèces déterminantes ZNIEFF et données sensibles SINP Sigogne Poissons.")</f>
        <v>CSRPN, 2023. Avis n°2023-07 du 20 octobre 2023 fixant la liste régionale des espèces déterminantes ZNIEFF et données sensibles SINP Sigogne Poissons.</v>
      </c>
      <c r="D7" s="4" t="s">
        <v>105</v>
      </c>
    </row>
    <row r="8" spans="1:4">
      <c r="A8" s="5" t="s">
        <v>106</v>
      </c>
      <c r="C8" s="5" t="str">
        <f>HYPERLINK("https://www.iucnredlist.org/regions/europe","IUCN. 2022. The European IUCN Red List of Threatene"&amp;"d Species. Version 2022-2. https://www.iucnredlist.org/regions/europe"&amp;""&amp;"")</f>
        <v>IUCN. 2022. The European IUCN Red List of Threatened Species. Version 2022-2. https://www.iucnredlist.org/regions/europe</v>
      </c>
      <c r="D8" s="4" t="s">
        <v>107</v>
      </c>
    </row>
    <row r="9" spans="1:4">
      <c r="A9" s="5" t="s">
        <v>108</v>
      </c>
      <c r="C9" s="5" t="str">
        <f>HYPERLINK("https://www.iucnredlist.org","IUCN. 2022. The IUCN Red List of Threatened Species"&amp;". Version 2022-2. https://www.iucnredlist.org"&amp;""&amp;"")</f>
        <v>IUCN. 2022. The IUCN Red List of Threatened Species. Version 2022-2. https://www.iucnredlist.org</v>
      </c>
      <c r="D9" s="4" t="s">
        <v>107</v>
      </c>
    </row>
    <row r="10" spans="1:4" ht="30">
      <c r="A10" s="5" t="s">
        <v>109</v>
      </c>
      <c r="C10" s="5" t="str">
        <f>HYPERLINK("https://inpn.mnhn.fr/docs/LR_FCE/LR_mammiferes_France_metropolitaine.pdf","UICN Comité français, MNHN, SFEPM &amp;amp; ONCFS. 2017"&amp;". La Liste rouge des espèces menacées en France - Chapitre Mammifères de France métropolitaine. Paris, France. 15 pp."&amp;""&amp;"")</f>
        <v>UICN Comité français, MNHN, SFEPM &amp;amp; ONCFS. 2017. La Liste rouge des espèces menacées en France - Chapitre Mammifères de France métropolitaine. Paris, France. 15 pp.</v>
      </c>
      <c r="D10" s="4" t="s">
        <v>110</v>
      </c>
    </row>
    <row r="11" spans="1:4" ht="30">
      <c r="A11" s="5" t="s">
        <v>109</v>
      </c>
      <c r="C11" s="5" t="str">
        <f>HYPERLINK("","UICN Comité français, OFB &amp;amp; MNHN. 2023. La List"&amp;"e rouge des espèces menacées en France - Chapitre araignées de France métropolitaine. Paris, France. 19 pp."&amp;""&amp;"")</f>
        <v>UICN Comité français, OFB &amp;amp; MNHN. 2023. La Liste rouge des espèces menacées en France - Chapitre araignées de France métropolitaine. Paris, France. 19 pp.</v>
      </c>
      <c r="D11" s="4" t="s">
        <v>105</v>
      </c>
    </row>
    <row r="12" spans="1:4" ht="30">
      <c r="A12" s="5" t="s">
        <v>109</v>
      </c>
      <c r="B12" s="4" t="s">
        <v>111</v>
      </c>
      <c r="C12" s="5" t="str">
        <f>HYPERLINK("https://inpn.mnhn.fr/docs-web/docs/download/87619","UICN Comité français &amp;amp; MNHN. 2014. La Liste rou"&amp;"ge des espèces menacées en France - Chapitre Crustacés d'eau douce de France métropolitaine. Paris, France. 23 pp."&amp;""&amp;"")</f>
        <v>UICN Comité français &amp;amp; MNHN. 2014. La Liste rouge des espèces menacées en France - Chapitre Crustacés d'eau douce de France métropolitaine. Paris, France. 23 pp.</v>
      </c>
      <c r="D12" s="4" t="s">
        <v>112</v>
      </c>
    </row>
    <row r="13" spans="1:4" ht="30">
      <c r="A13" s="5" t="s">
        <v>109</v>
      </c>
      <c r="B13" s="4" t="s">
        <v>113</v>
      </c>
      <c r="C13" s="5" t="str">
        <f>HYPERLINK("https://inpn.mnhn.fr/docs-web/docs/download/220350","UICN Comité français, MNHN &amp;amp; OPIE. 2018. La Lis"&amp;"te rouge des espèces menacées en France - Chapitre Ephémères de France métropolitaine. Paris, France. 2 pp."&amp;""&amp;"")</f>
        <v>UICN Comité français, MNHN &amp;amp; OPIE. 2018. La Liste rouge des espèces menacées en France - Chapitre Ephémères de France métropolitaine. Paris, France. 2 pp.</v>
      </c>
      <c r="D13" s="4" t="s">
        <v>114</v>
      </c>
    </row>
    <row r="14" spans="1:4" ht="30">
      <c r="A14" s="5" t="s">
        <v>109</v>
      </c>
      <c r="B14" s="4" t="s">
        <v>113</v>
      </c>
      <c r="C14" s="5" t="str">
        <f>HYPERLINK("http://inpn.mnhn.fr/espece/listerouge/FR/Rhopaloceres_Metropole_2012","UICN Comité français, MNHN, Opie &amp;amp; SEF. 2012. L"&amp;"a Liste rouge des espèces menacées en France - Chapitre Papillons de jour de France métropolitaine. 18 pp."&amp;""&amp;"")</f>
        <v>UICN Comité français, MNHN, Opie &amp;amp; SEF. 2012. La Liste rouge des espèces menacées en France - Chapitre Papillons de jour de France métropolitaine. 18 pp.</v>
      </c>
      <c r="D14" s="4" t="s">
        <v>115</v>
      </c>
    </row>
    <row r="15" spans="1:4" ht="30">
      <c r="A15" s="5" t="s">
        <v>109</v>
      </c>
      <c r="B15" s="4" t="s">
        <v>113</v>
      </c>
      <c r="C15" s="5" t="str">
        <f>HYPERLINK("https://inpn.mnhn.fr/docs-web/docs/download/144173","UICN Comité français, MNHN, OPIE &amp;amp; SFO. 2016. L"&amp;"a Liste rouge des espèces menacées en France - Chapitre Libellules de France métropolitaine. Paris, France. 11 pp."&amp;""&amp;"")</f>
        <v>UICN Comité français, MNHN, OPIE &amp;amp; SFO. 2016. La Liste rouge des espèces menacées en France - Chapitre Libellules de France métropolitaine. Paris, France. 11 pp.</v>
      </c>
      <c r="D15" s="4" t="s">
        <v>116</v>
      </c>
    </row>
    <row r="16" spans="1:4" ht="30">
      <c r="A16" s="5" t="s">
        <v>109</v>
      </c>
      <c r="B16" s="4" t="s">
        <v>99</v>
      </c>
      <c r="C16" s="5" t="str">
        <f>HYPERLINK("https://inpn.mnhn.fr/docs-web/docs/download/376912","UICN Comité français, OFB &amp;amp; MNHN 2021. La Liste"&amp;" rouge des espèces menacées en France – Chapitre Mollusques continentaux de France métropolitaine. Paris, France. 15 pp."&amp;""&amp;"")</f>
        <v>UICN Comité français, OFB &amp;amp; MNHN 2021. La Liste rouge des espèces menacées en France – Chapitre Mollusques continentaux de France métropolitaine. Paris, France. 15 pp.</v>
      </c>
      <c r="D16" s="4" t="s">
        <v>100</v>
      </c>
    </row>
    <row r="17" spans="1:4" ht="30">
      <c r="A17" s="5" t="s">
        <v>109</v>
      </c>
      <c r="B17" s="4" t="s">
        <v>117</v>
      </c>
      <c r="C17" s="5" t="str">
        <f>HYPERLINK("https://inpn.mnhn.fr/docs/LR_FCE/UICN-LR-Oiseaux-diffusion.pdf","UICN France, MNHN, LPO, SEOF &amp; ONCFS (2016). La Lis"&amp;"te rouge des espèces menacées en France - Chapitre Oiseaux de France métropolitaine. Paris, France."&amp;""&amp;"")</f>
        <v>UICN France, MNHN, LPO, SEOF &amp; ONCFS (2016). La Liste rouge des espèces menacées en France - Chapitre Oiseaux de France métropolitaine. Paris, France.</v>
      </c>
      <c r="D17" s="4" t="s">
        <v>116</v>
      </c>
    </row>
    <row r="18" spans="1:4" ht="30">
      <c r="A18" s="5" t="s">
        <v>109</v>
      </c>
      <c r="B18" s="4" t="s">
        <v>102</v>
      </c>
      <c r="C18" s="5" t="str">
        <f>HYPERLINK("https://inpn.mnhn.fr/docs-web/docs/download/249369","UICN Comité français, FCBN, AFB &amp;amp; MNHN. 2019. L"&amp;"a Liste rouge des espèces menacées en France - Chapitre Flore vasculaire de France métropolitaine. Fascicule. UICN France, FCBN, AFB &amp;amp; MNHN. Paris"&amp;", France. 32 pp."&amp;"")</f>
        <v>UICN Comité français, FCBN, AFB &amp;amp; MNHN. 2019. La Liste rouge des espèces menacées en France - Chapitre Flore vasculaire de France métropolitaine. Fascicule. UICN France, FCBN, AFB &amp;amp; MNHN. Paris, France. 32 pp.</v>
      </c>
      <c r="D18" s="4" t="s">
        <v>118</v>
      </c>
    </row>
    <row r="19" spans="1:4" ht="30">
      <c r="A19" s="5" t="s">
        <v>109</v>
      </c>
      <c r="B19" s="4" t="s">
        <v>104</v>
      </c>
      <c r="C19" s="5" t="str">
        <f>HYPERLINK("https://inpn.mnhn.fr/docs/LR_FCE/liste_rouge_poissons_eau_douce_metropole_2019_fascicule.pdf","UICN Comité français, MNHN, SFI &amp;amp; AFB. 2019. La"&amp;" Liste rouge des espèces menacées en France – Chapitre Poissons d'eau douce de France métropolitaine. Fascicule. UICN France, MNHN, SFI &amp;amp; AFB. Par"&amp;"is, France. 16 pp."&amp;"")</f>
        <v>UICN Comité français, MNHN, SFI &amp;amp; AFB. 2019. La Liste rouge des espèces menacées en France – Chapitre Poissons d'eau douce de France métropolitaine. Fascicule. UICN France, MNHN, SFI &amp;amp; AFB. Paris, France. 16 pp.</v>
      </c>
      <c r="D19" s="4" t="s">
        <v>118</v>
      </c>
    </row>
    <row r="20" spans="1:4" ht="30">
      <c r="A20" s="5" t="s">
        <v>109</v>
      </c>
      <c r="B20" s="4" t="s">
        <v>119</v>
      </c>
      <c r="C20" s="5" t="str">
        <f>HYPERLINK("https://inpn.mnhn.fr/docs-web/docs/download/138063","UICN Comité français, MNHN &amp;amp; SHF (2015). La Lis"&amp;"te rouge des espèces menacées en France - Chapitre Reptiles et amphibiens de France métropolitaine. Paris, France. 11 pp."&amp;""&amp;"")</f>
        <v>UICN Comité français, MNHN &amp;amp; SHF (2015). La Liste rouge des espèces menacées en France - Chapitre Reptiles et amphibiens de France métropolitaine. Paris, France. 11 pp.</v>
      </c>
      <c r="D20" s="4" t="s">
        <v>120</v>
      </c>
    </row>
    <row r="21" spans="1:4">
      <c r="A21" s="5" t="s">
        <v>121</v>
      </c>
      <c r="C21" s="5" t="str">
        <f>HYPERLINK("http://www.bourgogne-nature.fr/moxieFiles/liste_rouge/amphibiens/lr_amphibiens_synthese.pdf","Varanguin, N. 2014. Elaboration d'une liste rouge d"&amp;"es Amphibiens de Bourgogne. Société d'Histoire naturelle d'Autun. 21 pp."&amp;""&amp;"")</f>
        <v>Varanguin, N. 2014. Elaboration d'une liste rouge des Amphibiens de Bourgogne. Société d'Histoire naturelle d'Autun. 21 pp.</v>
      </c>
      <c r="D21" s="4" t="s">
        <v>112</v>
      </c>
    </row>
    <row r="22" spans="1:4" ht="30">
      <c r="A22" s="5" t="s">
        <v>121</v>
      </c>
      <c r="C22" s="5" t="str">
        <f>HYPERLINK("http://faune.bourgogne-nature.fr/moxieFiles/liste_rouge/mammiferes_hors_hauves-sourisc/lr_mammifereshorschiros_synthese.pdf","Lerat, D. 2014. Elaboration d'une liste rouge des M"&amp;"ammifères hors Chiroptères de Bourgogne. Société d'Histoire naturelle d'Autun. 23 pp."&amp;""&amp;"")</f>
        <v>Lerat, D. 2014. Elaboration d'une liste rouge des Mammifères hors Chiroptères de Bourgogne. Société d'Histoire naturelle d'Autun. 23 pp.</v>
      </c>
      <c r="D22" s="4" t="s">
        <v>112</v>
      </c>
    </row>
    <row r="23" spans="1:4" ht="30">
      <c r="A23" s="5" t="s">
        <v>121</v>
      </c>
      <c r="C23" s="5" t="str">
        <f>HYPERLINK("http://faune.bourgogne-nature.fr/moxieFiles/liste_rouge/oiseaux/lr_oiseaux.pdf","Abel, J., Babski, S.-P., Bouzendorf, F. &amp; Brochet, "&amp;"A.-L. 2015. Liste rouge régionale des oiseaux nicheurs menacés en Bourgogne. Etude et Protection des Oiseaux en Bourgogne, LPO Côte-d'Or. 16 pp."&amp;""&amp;"")</f>
        <v>Abel, J., Babski, S.-P., Bouzendorf, F. &amp; Brochet, A.-L. 2015. Liste rouge régionale des oiseaux nicheurs menacés en Bourgogne. Etude et Protection des Oiseaux en Bourgogne, LPO Côte-d'Or. 16 pp.</v>
      </c>
      <c r="D23" s="4" t="s">
        <v>120</v>
      </c>
    </row>
    <row r="24" spans="1:4" ht="30">
      <c r="A24" s="5" t="s">
        <v>121</v>
      </c>
      <c r="B24" s="4" t="s">
        <v>122</v>
      </c>
      <c r="C24" s="5" t="str">
        <f>HYPERLINK("https://cbnbp.mnhn.fr/cbnbp/ressources/telechargements/LRR_Bryo_Bourgogne.pdf","Bardet O. 2021. Liste rouge régionale des bryophyte"&amp;"s de Bourgogne. Rapport méthodologique. Conservatoire botanique national du Bassin Parisien. Paris. 46 p."&amp;""&amp;"")</f>
        <v>Bardet O. 2021. Liste rouge régionale des bryophytes de Bourgogne. Rapport méthodologique. Conservatoire botanique national du Bassin Parisien. Paris. 46 p.</v>
      </c>
      <c r="D24" s="4" t="s">
        <v>100</v>
      </c>
    </row>
    <row r="25" spans="1:4" ht="30">
      <c r="A25" s="5" t="s">
        <v>121</v>
      </c>
      <c r="B25" s="4" t="s">
        <v>123</v>
      </c>
      <c r="C25" s="5" t="str">
        <f>HYPERLINK("http://www.bourgogne-nature.fr/fr/liste-rouge-des-chiropteres-de-bourgogne_582.html","Jouve, L. &amp; Cartier, A. 2015. Elaboration d'une lis"&amp;"te rouge des Chiroptères de Bourgogne. Action R20 du Plan régional d'actions pour les Chiroptères de Bourgogne 2011-2015. Société d'Histoire naturelle"&amp;" d'Autun. 8 pp."&amp;"")</f>
        <v>Jouve, L. &amp; Cartier, A. 2015. Elaboration d'une liste rouge des Chiroptères de Bourgogne. Action R20 du Plan régional d'actions pour les Chiroptères de Bourgogne 2011-2015. Société d'Histoire naturelle d'Autun. 8 pp.</v>
      </c>
      <c r="D25" s="4" t="s">
        <v>120</v>
      </c>
    </row>
    <row r="26" spans="1:4">
      <c r="A26" s="5" t="s">
        <v>121</v>
      </c>
      <c r="B26" s="4" t="s">
        <v>111</v>
      </c>
      <c r="C26" s="5" t="str">
        <f>HYPERLINK("http://faune.bourgogne-nature.fr/moxieFiles/liste_rouge/ecrevisses/lr_ecrevisses_synthese.pdf","Lerat, D. 2015. Elaboration d'une liste rouge des E"&amp;"crevisses de Bourgogne. Société d'Histoire naturelle d'Autun. 12 pp."&amp;""&amp;"")</f>
        <v>Lerat, D. 2015. Elaboration d'une liste rouge des Ecrevisses de Bourgogne. Société d'Histoire naturelle d'Autun. 12 pp.</v>
      </c>
      <c r="D26" s="4" t="s">
        <v>120</v>
      </c>
    </row>
    <row r="27" spans="1:4">
      <c r="A27" s="5" t="s">
        <v>121</v>
      </c>
      <c r="B27" s="4" t="s">
        <v>113</v>
      </c>
      <c r="C27" s="5" t="str">
        <f>HYPERLINK("http://faune.bourgogne-nature.fr/moxieFiles/liste_rouge/rhopalozyg/lr_rhopalozygenes_synthese.pdf","Ruffoni, A. 2015. Elaboration d'une liste rouge des"&amp;" Rhopalocères et Zygènes de Bourgogne. Société d'Histoire naturelle d'Autun. 11 pp."&amp;""&amp;"")</f>
        <v>Ruffoni, A. 2015. Elaboration d'une liste rouge des Rhopalocères et Zygènes de Bourgogne. Société d'Histoire naturelle d'Autun. 11 pp.</v>
      </c>
      <c r="D27" s="4" t="s">
        <v>120</v>
      </c>
    </row>
    <row r="28" spans="1:4" ht="45">
      <c r="A28" s="5" t="s">
        <v>121</v>
      </c>
      <c r="B28" s="4" t="s">
        <v>113</v>
      </c>
      <c r="C28" s="5" t="str">
        <f>HYPERLINK("http://faune.bourgogne-nature.fr/moxieFiles/liste_rouge/odonates/lr_odonates_synthese.pdf","Ruffoni, A. 2015. Elaboration d'une liste rouge des"&amp;" odonates de Bourgogne. Action I2 de la déclinaison régionale du plan national d'actions en faveur des odonates de Bourgogne 2013-2017. Société d'Hist"&amp;"oire naturelle d'Autun, Société française d'Odonatologie et Groupe odonates Bourgogne. 11 pp."&amp;"")</f>
        <v>Ruffoni, A. 2015. Elaboration d'une liste rouge des odonates de Bourgogne. Action I2 de la déclinaison régionale du plan national d'actions en faveur des odonates de Bourgogne 2013-2017. Société d'Histoire naturelle d'Autun, Société française d'Odonatologie et Groupe odonates Bourgogne. 11 pp.</v>
      </c>
      <c r="D28" s="4" t="s">
        <v>120</v>
      </c>
    </row>
    <row r="29" spans="1:4">
      <c r="A29" s="5" t="s">
        <v>121</v>
      </c>
      <c r="B29" s="4" t="s">
        <v>102</v>
      </c>
      <c r="C29" s="5" t="str">
        <f>HYPERLINK("https://inpn.mnhn.fr/docs-web/docs/download/196028","Anonyme. 2015. Liste rouge de la flore de Bourgogne"&amp;". CBNBP. Fichier excel."&amp;""&amp;"")</f>
        <v>Anonyme. 2015. Liste rouge de la flore de Bourgogne. CBNBP. Fichier excel.</v>
      </c>
      <c r="D29" s="4" t="s">
        <v>120</v>
      </c>
    </row>
    <row r="30" spans="1:4">
      <c r="A30" s="5" t="s">
        <v>121</v>
      </c>
      <c r="B30" s="4" t="s">
        <v>119</v>
      </c>
      <c r="C30" s="5" t="str">
        <f>HYPERLINK("http://faune.bourgogne-nature.fr/moxieFiles/liste_rouge/reptiles/lr_reptiles_synthese.pdf","Varanguin, N. 2015. Elaboration d'une liste rouge d"&amp;"es Reptiles de Bourgogne. Société d'Histoire naturelle d'Autun. 19 pp."&amp;""&amp;"")</f>
        <v>Varanguin, N. 2015. Elaboration d'une liste rouge des Reptiles de Bourgogne. Société d'Histoire naturelle d'Autun. 19 pp.</v>
      </c>
      <c r="D30" s="4" t="s">
        <v>120</v>
      </c>
    </row>
    <row r="31" spans="1:4" ht="45">
      <c r="A31" s="5" t="s">
        <v>124</v>
      </c>
      <c r="C31" s="5" t="str">
        <f>HYPERLINK("http://www.bourgogne-franche-comte.developpement-durable.gouv.fr/IMG/pdf/lrr_fc_2018_oiseau_cle52f55e.pdf","Giroud, I., Paul, J.-P., Chalvin, L., Maas, S., Gir"&amp;"oud, M., Coeurdassier, M., Cretin, J.-Y., Michelat, D. &amp;amp; Louiton, F. 2017. Liste rouge des oiseaux nicheurs de Franche-Comté. LPO Franche-Comté, D"&amp;"REAL Bourgogne-Franche-Comté, Conseil régional de Bourgogne-Franche-Comté. 24 pp."&amp;"")</f>
        <v>Giroud, I., Paul, J.-P., Chalvin, L., Maas, S., Giroud, M., Coeurdassier, M., Cretin, J.-Y., Michelat, D. &amp;amp; Louiton, F. 2017. Liste rouge des oiseaux nicheurs de Franche-Comté. LPO Franche-Comté, DREAL Bourgogne-Franche-Comté, Conseil régional de Bourgogne-Franche-Comté. 24 pp.</v>
      </c>
      <c r="D31" s="4" t="s">
        <v>110</v>
      </c>
    </row>
    <row r="32" spans="1:4" ht="45">
      <c r="A32" s="5" t="s">
        <v>124</v>
      </c>
      <c r="B32" s="4" t="s">
        <v>5</v>
      </c>
      <c r="C32" s="5" t="str">
        <f>HYPERLINK("http://mycofme.free.fr/publications/liste_rouge_franche_comte.pdf","Sugny, D., Beirnaert, P., Billot, A., Caillet, M., "&amp;"Caillet, M., Chevrolet, J.-P., Galliot, L., Herbert, R. &amp; Moyne, G. 2013. Liste rouge des champignons supérieurs de Franche-Comté. Publication commune"&amp;" Fédération Mycologique de l'Est, Conservatoire National Botanique de Franche-Comté et Société Botanique de Franche-Comté. 114 pp."&amp;"")</f>
        <v>Sugny, D., Beirnaert, P., Billot, A., Caillet, M., Caillet, M., Chevrolet, J.-P., Galliot, L., Herbert, R. &amp; Moyne, G. 2013. Liste rouge des champignons supérieurs de Franche-Comté. Publication commune Fédération Mycologique de l'Est, Conservatoire National Botanique de Franche-Comté et Société Botanique de Franche-Comté. 114 pp.</v>
      </c>
      <c r="D32" s="4" t="s">
        <v>125</v>
      </c>
    </row>
    <row r="33" spans="1:4">
      <c r="A33" s="5" t="s">
        <v>124</v>
      </c>
      <c r="B33" s="4" t="s">
        <v>123</v>
      </c>
      <c r="C33" s="5" t="str">
        <f>HYPERLINK("https://cpepesc.org/wp-content/uploads/2022/01/FC_chiropteres_2007-L-rouge-FC.pdf","ROUE, S.Y. 2007. Proposition de liste rouge pour le"&amp;"s chiroptères en Franche-Comté. Pub. CPEPESC Franche-Comté, 1 p."&amp;""&amp;"")</f>
        <v>ROUE, S.Y. 2007. Proposition de liste rouge pour les chiroptères en Franche-Comté. Pub. CPEPESC Franche-Comté, 1 p.</v>
      </c>
      <c r="D33" s="4" t="s">
        <v>126</v>
      </c>
    </row>
    <row r="34" spans="1:4" ht="45">
      <c r="A34" s="5" t="s">
        <v>124</v>
      </c>
      <c r="B34" s="4" t="s">
        <v>113</v>
      </c>
      <c r="C34" s="5" t="str">
        <f>HYPERLINK("http://conservatoire-botanique-fc.org/doc-cbnfc-ori/listes-rouges-de-franche-comte/339-listes-rouges-regionales-des-insectes-de-franche-comte-2014-1/file","Anonyme. 2013. Listes rouges régionales d'insectes "&amp;"de Franche-Comté Libellules (Odonates), Criquets, Sauterelles et Grillons (Orthoptères), Papillons de jour (Rhopalocères &amp; Zygènes) et Mantes (Mantidé"&amp;"s). Évaluation du risque de disparition selon la méthodologie et la démarche de l'UICN. CBNFC, Observatoire Régional de invertébrés, Opie Franche Comté. 12 pp."&amp;"")</f>
        <v>Anonyme. 2013. Listes rouges régionales d'insectes de Franche-Comté Libellules (Odonates), Criquets, Sauterelles et Grillons (Orthoptères), Papillons de jour (Rhopalocères &amp; Zygènes) et Mantes (Mantidés). Évaluation du risque de disparition selon la méthodologie et la démarche de l'UICN. CBNFC, Observatoire Régional de invertébrés, Opie Franche Comté. 12 pp.</v>
      </c>
      <c r="D34" s="4" t="s">
        <v>125</v>
      </c>
    </row>
    <row r="35" spans="1:4" ht="30">
      <c r="A35" s="5" t="s">
        <v>124</v>
      </c>
      <c r="B35" s="4" t="s">
        <v>102</v>
      </c>
      <c r="C35" s="5" t="str">
        <f>HYPERLINK("http://conservatoire-botanique-fc.org/doc-cbnfc-ori/listes-rouges-de-franche-comte/338-liste-rouge-regionale-de-la-flore-vasculaire-2014-1/file","Ferrez, Y. 2014. Liste rouge régionale de la flore "&amp;"vasculaire de Franche-Comté. Évaluation du risque de disparition selon la méthodologie et la démarche de l'UICN. CBNFC, Observatoire régionale des Inv"&amp;"ertébrés. 12 pp."&amp;"")</f>
        <v>Ferrez, Y. 2014. Liste rouge régionale de la flore vasculaire de Franche-Comté. Évaluation du risque de disparition selon la méthodologie et la démarche de l'UICN. CBNFC, Observatoire régionale des Invertébrés. 12 pp.</v>
      </c>
      <c r="D35" s="4" t="s">
        <v>112</v>
      </c>
    </row>
    <row r="36" spans="1:4" ht="30">
      <c r="A36" s="5" t="s">
        <v>124</v>
      </c>
      <c r="B36" s="4" t="s">
        <v>102</v>
      </c>
      <c r="C36" s="5" t="str">
        <f>HYPERLINK("http://cbnfc-ori.org/sites/cbnfc-ori.org/files/documentaton/files/listerouge-bryophytes-v3_nafj18_2020.pdf","Bailly G. (coord.), 2021. Liste rouge des bryophyte"&amp;"s de Franche-Comté (Version 3). Les Nouvelles archives de la Flore jurassienne et du nord-est de la France, n°18, p : 3-26."&amp;""&amp;"")</f>
        <v>Bailly G. (coord.), 2021. Liste rouge des bryophytes de Franche-Comté (Version 3). Les Nouvelles archives de la Flore jurassienne et du nord-est de la France, n°18, p : 3-26.</v>
      </c>
      <c r="D36" s="4" t="s">
        <v>100</v>
      </c>
    </row>
    <row r="37" spans="1:4">
      <c r="A37" s="5" t="s">
        <v>124</v>
      </c>
      <c r="B37" s="4" t="s">
        <v>104</v>
      </c>
      <c r="C37" s="5" t="str">
        <f>HYPERLINK("http://www.bourgogne-franche-comte.developpement-durable.gouv.fr/IMG/pdf/2014_13_Liste_rouge_poissons_cle57575d.pdf","Anonyme. 2014. Liste rouge des espèces de poissons "&amp;"menacées en Franche-Comté. 5 pp."&amp;""&amp;"")</f>
        <v>Anonyme. 2014. Liste rouge des espèces de poissons menacées en Franche-Comté. 5 pp.</v>
      </c>
      <c r="D37" s="4" t="s">
        <v>112</v>
      </c>
    </row>
    <row r="38" spans="1:4" ht="30">
      <c r="A38" s="5" t="s">
        <v>124</v>
      </c>
      <c r="B38" s="4" t="s">
        <v>119</v>
      </c>
      <c r="C38" s="5" t="str">
        <f>HYPERLINK("http://files.biolovision.net/franche-comte.lpo.fr/userfiles/Liste-rouge-vertebres-terrestres-Franche-Comte-Jan-2008.pdf","Paul, J.-P. 2008. Liste Rouge des Mammifères (hors "&amp;"Chiroptères), Oiseaux, Reptiles et Amphibiens en Franche-Comté. LPO Franche-Comté. 19p."&amp;""&amp;"")</f>
        <v>Paul, J.-P. 2008. Liste Rouge des Mammifères (hors Chiroptères), Oiseaux, Reptiles et Amphibiens en Franche-Comté. LPO Franche-Comté. 19p.</v>
      </c>
      <c r="D38" s="4" t="s">
        <v>127</v>
      </c>
    </row>
    <row r="39" spans="1:4" ht="45">
      <c r="A39" s="5" t="s">
        <v>124</v>
      </c>
      <c r="B39" s="4" t="s">
        <v>119</v>
      </c>
      <c r="C39" s="5" t="str">
        <f>HYPERLINK("http://www.bourgogne-franche-comte.developpement-durable.gouv.fr/IMG/pdf/lrr_fc_2020_amphibiens_reptiles_cle6526d7.pdf","Bideau, A., Michon, A., Vaniscotte, A., Pinston, H."&amp;", Cottet, M., Giroud, I., Bannwarth, C., Paul, J.-P. &amp;amp; Mora, F. 2020. Listes rouges des Amphibiens et des Reptiles de Franche-Comté. LPO Franche-C"&amp;"omté, DREAL Bourgogne-Franche-Comté, Conseil régional de Bourgogne-Franche-Comté. 29 pp. + annexes."&amp;"")</f>
        <v>Bideau, A., Michon, A., Vaniscotte, A., Pinston, H., Cottet, M., Giroud, I., Bannwarth, C., Paul, J.-P. &amp;amp; Mora, F. 2020. Listes rouges des Amphibiens et des Reptiles de Franche-Comté. LPO Franche-Comté, DREAL Bourgogne-Franche-Comté, Conseil régional de Bourgogne-Franche-Comté. 29 pp. + annexes.</v>
      </c>
      <c r="D39" s="4" t="s">
        <v>94</v>
      </c>
    </row>
    <row r="40" spans="1:4" ht="45">
      <c r="A40" s="5" t="s">
        <v>128</v>
      </c>
      <c r="B40" s="4" t="s">
        <v>129</v>
      </c>
      <c r="C40" s="5" t="str">
        <f>HYPERLINK("https://inpn.mnhn.fr/docs-web/docs/download/122351","Biotope, Muséum National d'Histoire Naturelle - Ser"&amp;"vice du Patrimoine Naturel. 2014. Plan national d'actions en faveur du Crapaud vert Bufo viridis (Laurenti, 1768). 2014-2018. Biotop"&amp;"e, Muséum national d'Histoire naturelle, Ministère de l'écologie, du développement durable et de l'énergie. 124 pp.")</f>
        <v>Biotope, Muséum National d'Histoire Naturelle - Service du Patrimoine Naturel. 2014. Plan national d'actions en faveur du Crapaud vert Bufo viridis (Laurenti, 1768). 2014-2018. Biotope, Muséum national d'Histoire naturelle, Ministère de l'écologie, du développement durable et de l'énergie. 124 pp.</v>
      </c>
      <c r="D40" s="4" t="s">
        <v>112</v>
      </c>
    </row>
    <row r="41" spans="1:4" ht="30">
      <c r="A41" s="5" t="s">
        <v>128</v>
      </c>
      <c r="B41" s="4" t="s">
        <v>129</v>
      </c>
      <c r="C41" s="5" t="str">
        <f>HYPERLINK("https://inpn.mnhn.fr/docs-web/docs/download/122355","MNHN &amp; Biotope. 2014. Plan national d'actions e"&amp;"n faveur du Pélobate brun Pelobates fuscus (Laurenti, 1768). 2014-2018. Biotope, Muséum national d'Histoire naturelle, Ministère de l'éc"&amp;"ologie, du développement durable et de l'énergie. 110 pp.")</f>
        <v>MNHN &amp; Biotope. 2014. Plan national d'actions en faveur du Pélobate brun Pelobates fuscus (Laurenti, 1768). 2014-2018. Biotope, Muséum national d'Histoire naturelle, Ministère de l'écologie, du développement durable et de l'énergie. 110 pp.</v>
      </c>
      <c r="D41" s="4" t="s">
        <v>112</v>
      </c>
    </row>
    <row r="42" spans="1:4" ht="45">
      <c r="A42" s="5" t="s">
        <v>128</v>
      </c>
      <c r="B42" s="4" t="s">
        <v>129</v>
      </c>
      <c r="C42" s="5" t="str">
        <f>HYPERLINK("http://www.developpement-durable.gouv.fr/IMG/pdf/PNA_Sonneur_ventre_jaune_2011_-_2015.pdf","Chemin, S., Gilette, M. 2011. Plan National d'Ac"&amp;"tions en faveur du Sonneur à ventre jaune (Bombina variegata). ECOTER, Direction Régionale de l'Environnement, de l'Aménagement et du Logem"&amp;"ent de Lorraine, Ministère de l'Ecologie, du développement Durable, des Transports et du Logement. 198 pp.")</f>
        <v>Chemin, S., Gilette, M. 2011. Plan National d'Actions en faveur du Sonneur à ventre jaune (Bombina variegata). ECOTER, Direction Régionale de l'Environnement, de l'Aménagement et du Logement de Lorraine, Ministère de l'Ecologie, du développement Durable, des Transports et du Logement. 198 pp.</v>
      </c>
      <c r="D42" s="4" t="s">
        <v>130</v>
      </c>
    </row>
    <row r="43" spans="1:4" ht="30">
      <c r="A43" s="5" t="s">
        <v>128</v>
      </c>
      <c r="B43" s="4" t="s">
        <v>113</v>
      </c>
      <c r="C43" s="5" t="str">
        <f>HYPERLINK("https://inpn.mnhn.fr/docs-web/docs/download/106150","Dupont, P. 2010. Plan national d'actions en fav"&amp;"eur des Maculinea 2011-2015. Office pour les insectes et leur environnement et Ministère de l'écologie, du développement durable, des tr"&amp;"ansports et du logements. 138 pp.")</f>
        <v>Dupont, P. 2010. Plan national d'actions en faveur des Maculinea 2011-2015. Office pour les insectes et leur environnement et Ministère de l'écologie, du développement durable, des transports et du logements. 138 pp.</v>
      </c>
      <c r="D43" s="4" t="s">
        <v>131</v>
      </c>
    </row>
    <row r="44" spans="1:4" ht="45">
      <c r="A44" s="5" t="s">
        <v>128</v>
      </c>
      <c r="B44" s="4" t="s">
        <v>113</v>
      </c>
      <c r="C44" s="5" t="str">
        <f>HYPERLINK("https://www.ecologique-solidaire.gouv.fr/sites/default/files/PNA_papillons_de_jour_2018-2018.pdf","Houard, X. &amp;amp; Jaulin, S. 2018. Plan national"&amp;" d’actions en faveur des « Papillons de jour » - Agir pour la préservation de nos lépidoptères diurnes patrimoniaux 2018-2028. Office pour les in"&amp;"sectes et leur environnement, DREAL Auvergne-Rhône-Alpes, Ministère de la Transition écologique et solidaire. 64 pp.")</f>
        <v>Houard, X. &amp;amp; Jaulin, S. 2018. Plan national d’actions en faveur des « Papillons de jour » - Agir pour la préservation de nos lépidoptères diurnes patrimoniaux 2018-2028. Office pour les insectes et leur environnement, DREAL Auvergne-Rhône-Alpes, Ministère de la Transition écologique et solidaire. 64 pp.</v>
      </c>
      <c r="D44" s="4" t="s">
        <v>114</v>
      </c>
    </row>
    <row r="45" spans="1:4" ht="45">
      <c r="A45" s="5" t="s">
        <v>128</v>
      </c>
      <c r="B45" s="4" t="s">
        <v>113</v>
      </c>
      <c r="C45" s="5" t="str">
        <f>HYPERLINK("https://biodiversite.gouv.fr/projet-pna/wp-content/uploads/PNA-Libellules.pdf","Houard, X. 2020. Plan national d’actions en fav"&amp;"eur des « libellules » - Agir pour la préservation des odonates menacés et de leurs habitats 2020-2030. Office pour les insectes et leur environn"&amp;"ement – DREAL Hauts-de-France - Ministère de la transition écologique. 66 pp.")</f>
        <v>Houard, X. 2020. Plan national d’actions en faveur des « libellules » - Agir pour la préservation des odonates menacés et de leurs habitats 2020-2030. Office pour les insectes et leur environnement – DREAL Hauts-de-France - Ministère de la transition écologique. 66 pp.</v>
      </c>
      <c r="D45" s="4" t="s">
        <v>94</v>
      </c>
    </row>
    <row r="46" spans="1:4" ht="30">
      <c r="A46" s="5" t="s">
        <v>128</v>
      </c>
      <c r="B46" s="4" t="s">
        <v>113</v>
      </c>
      <c r="C46" s="5" t="str">
        <f>HYPERLINK("https://inpn.mnhn.fr/docs-web/docs/download/106152","Dupont, P. 2010. Plan national d'actions en fav"&amp;"eur des Odonates 2011-2015. Office pour les insectes et leur environnement, Société française d'Odonatologie et Ministère de l'écologie, de l'éne"&amp;"rgie, du développement durable et de la mer. 170 pp.")</f>
        <v>Dupont, P. 2010. Plan national d'actions en faveur des Odonates 2011-2015. Office pour les insectes et leur environnement, Société française d'Odonatologie et Ministère de l'écologie, de l'énergie, du développement durable et de la mer. 170 pp.</v>
      </c>
      <c r="D46" s="4" t="s">
        <v>131</v>
      </c>
    </row>
    <row r="47" spans="1:4" ht="60">
      <c r="A47" s="5" t="s">
        <v>128</v>
      </c>
      <c r="B47" s="4" t="s">
        <v>132</v>
      </c>
      <c r="C47" s="5" t="str">
        <f>HYPERLINK("http://www.developpement-durable.gouv.fr/IMG/pdf/PNA_Loup__2008-2012.pdf","Ministère de l'écologie, de l'énergie, du développe"&amp;"ment durable et de l'aménagement du territoire &amp; Ministère de l'agriculture et de la pêche. 2008. Plan d'action national sur le Loup 2008-2012, dan"&amp;"s le contexte français d'une activité importante et traditionnelle d'élevage. Ministère de l'agriculture et de la pêche &amp; Ministère de l'écologie, de l'énergie, du développement durable et de l'aménagement du territoire. 88 pp.")</f>
        <v>Ministère de l'écologie, de l'énergie, du développement durable et de l'aménagement du territoire &amp; Ministère de l'agriculture et de la pêche. 2008. Plan d'action national sur le Loup 2008-2012, dans le contexte français d'une activité importante et traditionnelle d'élevage. Ministère de l'agriculture et de la pêche &amp; Ministère de l'écologie, de l'énergie, du développement durable et de l'aménagement du territoire. 88 pp.</v>
      </c>
      <c r="D47" s="4" t="s">
        <v>127</v>
      </c>
    </row>
    <row r="48" spans="1:4" ht="30">
      <c r="A48" s="5" t="s">
        <v>128</v>
      </c>
      <c r="B48" s="4" t="s">
        <v>132</v>
      </c>
      <c r="C48" s="5" t="str">
        <f>HYPERLINK("http://www.developpement-durable.gouv.fr/IMG/pdf/PNA_Chiropteres_2008-2012.pdf","Godineau, F., Pain, D. 2007. Plan de restauratio"&amp;"n des chiroptères en France métropolitaine. 2008-2012. Société française pour l'étude et la protection des Mammifères, Ministère de l'écologie, du"&amp;" développement et de l'aménagement durables. 152 pp.")</f>
        <v>Godineau, F., Pain, D. 2007. Plan de restauration des chiroptères en France métropolitaine. 2008-2012. Société française pour l'étude et la protection des Mammifères, Ministère de l'écologie, du développement et de l'aménagement durables. 152 pp.</v>
      </c>
      <c r="D48" s="4" t="s">
        <v>126</v>
      </c>
    </row>
    <row r="49" spans="1:4" ht="30">
      <c r="A49" s="5" t="s">
        <v>128</v>
      </c>
      <c r="B49" s="4" t="s">
        <v>132</v>
      </c>
      <c r="C49" s="5" t="str">
        <f>HYPERLINK("https://inpn.mnhn.fr/docs-web/docs/download/220027","Tapiero, A. (Fédération des Conservatoires d'espace"&amp;"s naturels) et al. 2017. Plan national d'actions en faveur des chiroptères 2016-2025. Société Française pour l'Etude et la Protection des Mammifères. "&amp;"83pp.")</f>
        <v>Tapiero, A. (Fédération des Conservatoires d'espaces naturels) et al. 2017. Plan national d'actions en faveur des chiroptères 2016-2025. Société Française pour l'Etude et la Protection des Mammifères. 83pp.</v>
      </c>
      <c r="D49" s="4" t="s">
        <v>110</v>
      </c>
    </row>
    <row r="50" spans="1:4" ht="30">
      <c r="A50" s="5" t="s">
        <v>128</v>
      </c>
      <c r="B50" s="4" t="s">
        <v>132</v>
      </c>
      <c r="C50" s="5" t="str">
        <f>HYPERLINK("https://inpn.mnhn.fr/docs-web/docs/download/220060","MTES &amp; MAA. 2018. Plan National d'Actions 2018-"&amp;"2023 sur le loup et les activités d'élevage. Ministère de la Transition Ecologique et Solidaire, Ministère de l'Agriculture et de la l'Alimentati"&amp;"on. 100 pp.")</f>
        <v>MTES &amp; MAA. 2018. Plan National d'Actions 2018-2023 sur le loup et les activités d'élevage. Ministère de la Transition Ecologique et Solidaire, Ministère de l'Agriculture et de la l'Alimentation. 100 pp.</v>
      </c>
      <c r="D50" s="4" t="s">
        <v>114</v>
      </c>
    </row>
    <row r="51" spans="1:4" ht="30">
      <c r="A51" s="5" t="s">
        <v>128</v>
      </c>
      <c r="B51" s="4" t="s">
        <v>132</v>
      </c>
      <c r="C51" s="5" t="str">
        <f>HYPERLINK("http://www.developpement-durable.gouv.fr/IMG/pdf/PNA_Loutre_Europe_2010-2015-2.pdf","Kuhn, R. 2009. Plan national d'actions pour la L"&amp;"outre d'Europe (Lutra lutra), 2010-2015. Société Française pour l'Etude et la Protection des Mammifères et Ministère de l'écologie, de l'én"&amp;"ergie, du développement durable et de la mer. 111 pp.")</f>
        <v>Kuhn, R. 2009. Plan national d'actions pour la Loutre d'Europe (Lutra lutra), 2010-2015. Société Française pour l'Etude et la Protection des Mammifères et Ministère de l'écologie, de l'énergie, du développement durable et de la mer. 111 pp.</v>
      </c>
      <c r="D51" s="4" t="s">
        <v>133</v>
      </c>
    </row>
    <row r="52" spans="1:4" ht="30">
      <c r="A52" s="5" t="s">
        <v>128</v>
      </c>
      <c r="B52" s="4" t="s">
        <v>132</v>
      </c>
      <c r="C52" s="5" t="str">
        <f>HYPERLINK("https://biodiversite.gouv.fr/projet-pna/wp-content/uploads/PNA_loutre_d_europe_2019-2028.pdf","Kuhn, R., Simonnet, F., Arthur, C. &amp;amp; Barthélemy"&amp;", V. 2019. Plan national d’actions en faveur de la Loutre d’Europe (Lutra lutra) 2019-2028. SFEPM &amp;amp; DREAL Nouvelle-Aquitaine, Po"&amp;"itiers, 89 pp.")</f>
        <v>Kuhn, R., Simonnet, F., Arthur, C. &amp;amp; Barthélemy, V. 2019. Plan national d’actions en faveur de la Loutre d’Europe (Lutra lutra) 2019-2028. SFEPM &amp;amp; DREAL Nouvelle-Aquitaine, Poitiers, 89 pp.</v>
      </c>
      <c r="D52" s="4" t="s">
        <v>118</v>
      </c>
    </row>
    <row r="53" spans="1:4" ht="45">
      <c r="A53" s="5" t="s">
        <v>128</v>
      </c>
      <c r="B53" s="4" t="s">
        <v>132</v>
      </c>
      <c r="C53" s="5" t="str">
        <f>HYPERLINK("http://www.developpement-durable.gouv.fr/IMG/pdf/PNA_Vison_Europe_2007-2011.pdf","Géréa &amp; Direction régionale de l'environnement Aqui"&amp;"taine. 2007. Deuxième plan national de restauration du Vison d'Europe (Mustela lutreola). 2007-2011. Direction régionale de l'environnem"&amp;"ent Aquitaine,  Géréa &amp; Ministère de l'écologie, du développement et de l'aménagement durables.119 pp.")</f>
        <v>Géréa &amp; Direction régionale de l'environnement Aquitaine. 2007. Deuxième plan national de restauration du Vison d'Europe (Mustela lutreola). 2007-2011. Direction régionale de l'environnement Aquitaine,  Géréa &amp; Ministère de l'écologie, du développement et de l'aménagement durables.119 pp.</v>
      </c>
      <c r="D53" s="4" t="s">
        <v>126</v>
      </c>
    </row>
    <row r="54" spans="1:4" ht="30">
      <c r="A54" s="5" t="s">
        <v>128</v>
      </c>
      <c r="B54" s="4" t="s">
        <v>132</v>
      </c>
      <c r="C54" s="5" t="str">
        <f>HYPERLINK("https://inpn.mnhn.fr/docs-web/docs/download/220059","ONCFS. 1999. Plan National de Restauration du V"&amp;"ison d'Europe 1999-2003 (Mustela lutreola). Ministère de la Transition Ecologique et Solidaire, DIREN Aquitaine. 114 pp."&amp;"")</f>
        <v>ONCFS. 1999. Plan National de Restauration du Vison d'Europe 1999-2003 (Mustela lutreola). Ministère de la Transition Ecologique et Solidaire, DIREN Aquitaine. 114 pp.</v>
      </c>
      <c r="D54" s="4" t="s">
        <v>96</v>
      </c>
    </row>
    <row r="55" spans="1:4" ht="30">
      <c r="A55" s="5" t="s">
        <v>128</v>
      </c>
      <c r="B55" s="4" t="s">
        <v>132</v>
      </c>
      <c r="C55" s="5" t="str">
        <f>HYPERLINK("https://inpn.mnhn.fr/docs-web/docs/download/220029","Roué, S.G. et al. 1999. Plan de restauration des ch"&amp;"iroptères 1999-2003. Ministère de la Transition Ecologique et Solidaire, DREAL Franche-Comté. 57pp."&amp;"")</f>
        <v>Roué, S.G. et al. 1999. Plan de restauration des chiroptères 1999-2003. Ministère de la Transition Ecologique et Solidaire, DREAL Franche-Comté. 57pp.</v>
      </c>
      <c r="D55" s="4" t="s">
        <v>96</v>
      </c>
    </row>
    <row r="56" spans="1:4" ht="45">
      <c r="A56" s="5" t="s">
        <v>128</v>
      </c>
      <c r="B56" s="4" t="s">
        <v>132</v>
      </c>
      <c r="C56" s="5" t="str">
        <f>HYPERLINK("http://www.developpement-durable.gouv.fr/IMG/pdf/Planloup2013-2.pdf","Ministère de l'écologie, du développement durable e"&amp;"t de l'énergie &amp; Ministère de l'agriculture, de l'agroalimentaire et de la forêt. 2013. Plan d'action national Loup 2013-2017. Ministère de l'a"&amp;"griculture, de l'agroalimentaire et de la forêt &amp; Ministère de l'écologie, du développement durable et de l'énergie.52 pp.")</f>
        <v>Ministère de l'écologie, du développement durable et de l'énergie &amp; Ministère de l'agriculture, de l'agroalimentaire et de la forêt. 2013. Plan d'action national Loup 2013-2017. Ministère de l'agriculture, de l'agroalimentaire et de la forêt &amp; Ministère de l'écologie, du développement durable et de l'énergie.52 pp.</v>
      </c>
      <c r="D56" s="4" t="s">
        <v>125</v>
      </c>
    </row>
    <row r="57" spans="1:4" ht="30">
      <c r="A57" s="5" t="s">
        <v>128</v>
      </c>
      <c r="B57" s="4" t="s">
        <v>99</v>
      </c>
      <c r="C57" s="5" t="str">
        <f>HYPERLINK("http://www.developpement-durable.gouv.fr/IMG/pdf/PNA_Mulette-perliere.pdf","Prié, V., Philippe L. &amp; Cochet G. 2012. Plan nat"&amp;"ional d'actions en faveur de la Mulette perlière Margaritifera margaritifera 2012-2017. Biotope et Ministère de l'écologie, du développemen"&amp;"t durable et de l'énergie. 84 pp.")</f>
        <v>Prié, V., Philippe L. &amp; Cochet G. 2012. Plan national d'actions en faveur de la Mulette perlière Margaritifera margaritifera 2012-2017. Biotope et Ministère de l'écologie, du développement durable et de l'énergie. 84 pp.</v>
      </c>
      <c r="D57" s="4" t="s">
        <v>115</v>
      </c>
    </row>
    <row r="58" spans="1:4" ht="30">
      <c r="A58" s="5" t="s">
        <v>128</v>
      </c>
      <c r="B58" s="4" t="s">
        <v>99</v>
      </c>
      <c r="C58" s="5" t="str">
        <f>HYPERLINK("http://www.developpement-durable.gouv.fr/IMG/pdf/PNA_Gde-Mulette.pdf","Prié, V., Philippe, P. &amp; Cochet, G. 2012. Plan n"&amp;"ational d'actions en faveur de la Grande mulette Margaritifera auricularia 2012-2017. Biotope et Ministère de l'écologie, du développement "&amp;"durable et de l'énergie. 94 pp.")</f>
        <v>Prié, V., Philippe, P. &amp; Cochet, G. 2012. Plan national d'actions en faveur de la Grande mulette Margaritifera auricularia 2012-2017. Biotope et Ministère de l'écologie, du développement durable et de l'énergie. 94 pp.</v>
      </c>
      <c r="D58" s="4" t="s">
        <v>115</v>
      </c>
    </row>
    <row r="59" spans="1:4" ht="45">
      <c r="A59" s="5" t="s">
        <v>128</v>
      </c>
      <c r="B59" s="4" t="s">
        <v>117</v>
      </c>
      <c r="C59" s="5" t="str">
        <f>HYPERLINK("http://www.developpement-durable.gouv.fr/IMG/pdf/PNA_ganga.pdf","Wolff, A., Vincent-Martin, N. &amp; Tatin, L. 2012. Pla"&amp;"n national d'actions en faveur du Ganga cata et de l'Alouette calandre. 2012-2016. Ministère de l'écologie, du développement durable et de l'énergie &amp;"&amp;" Conservatoire d'espaces naturels de Provences-Alpes-Côte d'Azur. 110 pp. ")</f>
        <v xml:space="preserve">Wolff, A., Vincent-Martin, N. &amp; Tatin, L. 2012. Plan national d'actions en faveur du Ganga cata et de l'Alouette calandre. 2012-2016. Ministère de l'écologie, du développement durable et de l'énergie &amp; Conservatoire d'espaces naturels de Provences-Alpes-Côte d'Azur. 110 pp. </v>
      </c>
      <c r="D59" s="4" t="s">
        <v>115</v>
      </c>
    </row>
    <row r="60" spans="1:4">
      <c r="A60" s="5" t="s">
        <v>128</v>
      </c>
      <c r="B60" s="4" t="s">
        <v>117</v>
      </c>
      <c r="C60" s="5" t="str">
        <f>HYPERLINK("http://www.developpement-durable.gouv.fr/IMG/pdf/PNA_Milan_royal_2003-2013.pdf","Anonyme. 2011. Plan national de restauration du Mil"&amp;"an royal. 2003-2013. Ligue pour les protections des oiseaux. 76 pp. "&amp;"")</f>
        <v xml:space="preserve">Anonyme. 2011. Plan national de restauration du Milan royal. 2003-2013. Ligue pour les protections des oiseaux. 76 pp. </v>
      </c>
      <c r="D60" s="4" t="s">
        <v>130</v>
      </c>
    </row>
    <row r="61" spans="1:4" ht="30">
      <c r="A61" s="5" t="s">
        <v>128</v>
      </c>
      <c r="B61" s="4" t="s">
        <v>117</v>
      </c>
      <c r="C61" s="5" t="str">
        <f>HYPERLINK("https://inpn.mnhn.fr/docs-web/docs/download/108983","Pilard, P. 2010. Plan national d'actions du Fau"&amp;"con crécerellette en France Falco naumanni (Fleischer, 1818). 2010-2014. Ministère de l'écologie, du développement durable et de l'énerg"&amp;"ie &amp; Ligue pour la protection des oiseaux, Mission rapaces. 171 pp.")</f>
        <v>Pilard, P. 2010. Plan national d'actions du Faucon crécerellette en France Falco naumanni (Fleischer, 1818). 2010-2014. Ministère de l'écologie, du développement durable et de l'énergie &amp; Ligue pour la protection des oiseaux, Mission rapaces. 171 pp.</v>
      </c>
      <c r="D61" s="4" t="s">
        <v>131</v>
      </c>
    </row>
    <row r="62" spans="1:4" ht="30">
      <c r="A62" s="5" t="s">
        <v>128</v>
      </c>
      <c r="B62" s="4" t="s">
        <v>117</v>
      </c>
      <c r="C62" s="5" t="str">
        <f>HYPERLINK("http://www.developpement-durable.gouv.fr/IMG/pdf/PNA_Goeland_audouin_2004-2009.pdf","Beaubrun, P. 2004. Plan de restauration du Goéland "&amp;"d'Audouin (Larus audouinii). 2004-2009. Ministère de l'écologie et du développement durable &amp; Ecole pratique des hautes études. 38 pp."&amp;"")</f>
        <v>Beaubrun, P. 2004. Plan de restauration du Goéland d'Audouin (Larus audouinii). 2004-2009. Ministère de l'écologie et du développement durable &amp; Ecole pratique des hautes études. 38 pp.</v>
      </c>
      <c r="D62" s="4" t="s">
        <v>134</v>
      </c>
    </row>
    <row r="63" spans="1:4" ht="30">
      <c r="A63" s="5" t="s">
        <v>128</v>
      </c>
      <c r="B63" s="4" t="s">
        <v>117</v>
      </c>
      <c r="C63" s="5" t="str">
        <f>HYPERLINK("http://www.developpement-durable.gouv.fr/IMG/pdf/PNA_Vautour_moine_2004-2008.pdf","Coton, C., d'Andurain, P., Clémente, C., Eliotout, "&amp;"B., Tariel, Y. 2003. Plan d'action vautour moine (version du 21 juillet 2003). Ligue de Protection des Oiseaux, Ministère de l'Ecologie, du D"&amp;"éveloppement Durable et de l'Energie. 48 pp.")</f>
        <v>Coton, C., d'Andurain, P., Clémente, C., Eliotout, B., Tariel, Y. 2003. Plan d'action vautour moine (version du 21 juillet 2003). Ligue de Protection des Oiseaux, Ministère de l'Ecologie, du Développement Durable et de l'Energie. 48 pp.</v>
      </c>
      <c r="D63" s="4" t="s">
        <v>135</v>
      </c>
    </row>
    <row r="64" spans="1:4" ht="30">
      <c r="A64" s="5" t="s">
        <v>128</v>
      </c>
      <c r="B64" s="4" t="s">
        <v>117</v>
      </c>
      <c r="C64" s="5" t="str">
        <f>HYPERLINK("https://biodiversite.gouv.fr/projet-pna/wp-content/uploads/PNA-Faucon-Crecerellette_2021-2030.pdf","Pilard, P., Bourgeois, M. &amp;amp; Saulnier, N. 2021. "&amp;"Plan national d’actions 2021-2030 en faveur du Faucon crécerellette Plan national d’action. DREAL Occitanie, LPO. 139 pp."&amp;"")</f>
        <v>Pilard, P., Bourgeois, M. &amp;amp; Saulnier, N. 2021. Plan national d’actions 2021-2030 en faveur du Faucon crécerellette Plan national d’action. DREAL Occitanie, LPO. 139 pp.</v>
      </c>
      <c r="D64" s="4" t="s">
        <v>100</v>
      </c>
    </row>
    <row r="65" spans="1:4" ht="45">
      <c r="A65" s="5" t="s">
        <v>128</v>
      </c>
      <c r="B65" s="4" t="s">
        <v>117</v>
      </c>
      <c r="C65" s="5" t="str">
        <f>HYPERLINK("https://inpn.mnhn.fr/docs-web/docs/download/109481","Gallardo, M. &amp; Penteriani, V. 2002. Plan nation"&amp;"al de restauration du Vautour percnoptère (Linné 1758) Neophron percnopterus percnopterus en France. 2002-2007. Ministère de l'aménageme"&amp;"nt du territoire et de l'environnement &amp; Parc naturel régional du Luberon. 76 pp.")</f>
        <v>Gallardo, M. &amp; Penteriani, V. 2002. Plan national de restauration du Vautour percnoptère (Linné 1758) Neophron percnopterus percnopterus en France. 2002-2007. Ministère de l'aménagement du territoire et de l'environnement &amp; Parc naturel régional du Luberon. 76 pp.</v>
      </c>
      <c r="D65" s="4" t="s">
        <v>136</v>
      </c>
    </row>
    <row r="66" spans="1:4" ht="45">
      <c r="A66" s="5" t="s">
        <v>128</v>
      </c>
      <c r="B66" s="4" t="s">
        <v>117</v>
      </c>
      <c r="C66" s="5" t="str">
        <f>HYPERLINK("https://inpn.mnhn.fr/docs-web/docs/download/109302","Arthur, C.-P., Clément, C., Constantin, P., Eliotou"&amp;"t, B., Moraud, S., Razin, M., Seguin, J.-F, Serre, P., Tariel, Y. &amp; Zimmermann. 2010. Plan national d'actions en faveur Du Gypaète barbu Gypaetus "&amp;"barbatus. 2010-2020. Ministère de l'écologie, de l'énergie, du développement durable et de la mer &amp; Ligue pour la protection des oiseaux. 150 pp.")</f>
        <v>Arthur, C.-P., Clément, C., Constantin, P., Eliotout, B., Moraud, S., Razin, M., Seguin, J.-F, Serre, P., Tariel, Y. &amp; Zimmermann. 2010. Plan national d'actions en faveur Du Gypaète barbu Gypaetus barbatus. 2010-2020. Ministère de l'écologie, de l'énergie, du développement durable et de la mer &amp; Ligue pour la protection des oiseaux. 150 pp.</v>
      </c>
      <c r="D66" s="4" t="s">
        <v>131</v>
      </c>
    </row>
    <row r="67" spans="1:4" ht="45">
      <c r="A67" s="5" t="s">
        <v>128</v>
      </c>
      <c r="B67" s="4" t="s">
        <v>117</v>
      </c>
      <c r="C67" s="5" t="str">
        <f>HYPERLINK("http://www.developpement-durable.gouv.fr/IMG/pdf/PNA_Outarde_web_251111.pdf","Attie, C. &amp; Jolivet, C. 2011. Deuxième plan nati"&amp;"onal d'action en faveur de l'Outarde canepetière Tetrax tetrax (L., 1758). 2010-2015. Ministère de l'Ecologie, de l’Energie, du Développeme"&amp;"nt Durable, du Transport et du Logement et Ligue pour la protection des oiseaux. 143 pp.")</f>
        <v>Attie, C. &amp; Jolivet, C. 2011. Deuxième plan national d'action en faveur de l'Outarde canepetière Tetrax tetrax (L., 1758). 2010-2015. Ministère de l'Ecologie, de l’Energie, du Développement Durable, du Transport et du Logement et Ligue pour la protection des oiseaux. 143 pp.</v>
      </c>
      <c r="D67" s="4" t="s">
        <v>130</v>
      </c>
    </row>
    <row r="68" spans="1:4" ht="30">
      <c r="A68" s="5" t="s">
        <v>128</v>
      </c>
      <c r="B68" s="4" t="s">
        <v>117</v>
      </c>
      <c r="C68" s="5" t="str">
        <f>HYPERLINK("http://www.developpement-durable.gouv.fr/Plan-de-restauration-national-de-l,25152.html","Anonyme. 2001. Plan de restauration national de l'O"&amp;"utarde canepetière Tetrax tetrax (L, 1758) en France. 2002-2006. Ministère de l'aménagement du territoire et de l'environnement &amp; Ligue pour la"&amp;" protection des oiseaux. 66 pp. ")</f>
        <v xml:space="preserve">Anonyme. 2001. Plan de restauration national de l'Outarde canepetière Tetrax tetrax (L, 1758) en France. 2002-2006. Ministère de l'aménagement du territoire et de l'environnement &amp; Ligue pour la protection des oiseaux. 66 pp. </v>
      </c>
      <c r="D68" s="4" t="s">
        <v>137</v>
      </c>
    </row>
    <row r="69" spans="1:4" ht="45">
      <c r="A69" s="5" t="s">
        <v>128</v>
      </c>
      <c r="B69" s="4" t="s">
        <v>117</v>
      </c>
      <c r="C69" s="5" t="str">
        <f>HYPERLINK("http://www.rale-des-genets.fr/IMG/pdf/pna2_rale_des_genets.pdf","Hennique, S., Deceuninck, B., Mourgaud, G., Chanson"&amp;", C. 2013. Deuxième plan national d'actions en faveur du Râle des genêts (Crex crex). 2013-2018. Ligue de Protection des Oiseaux, Ligue "&amp;"de Protection des Oiseaux Anjou, Direction Régionale de l'Environnement de l'Aménagement et du Logement des Pays de la Loire, Ministère de l'Ecologie, du Développement Durable et de l'Energie. 138 pp.")</f>
        <v>Hennique, S., Deceuninck, B., Mourgaud, G., Chanson, C. 2013. Deuxième plan national d'actions en faveur du Râle des genêts (Crex crex). 2013-2018. Ligue de Protection des Oiseaux, Ligue de Protection des Oiseaux Anjou, Direction Régionale de l'Environnement de l'Aménagement et du Logement des Pays de la Loire, Ministère de l'Ecologie, du Développement Durable et de l'Energie. 138 pp.</v>
      </c>
      <c r="D69" s="4" t="s">
        <v>125</v>
      </c>
    </row>
    <row r="70" spans="1:4" ht="30">
      <c r="A70" s="5" t="s">
        <v>128</v>
      </c>
      <c r="B70" s="4" t="s">
        <v>117</v>
      </c>
      <c r="C70" s="5" t="str">
        <f>HYPERLINK("http://www.languedoc-roussillon.developpement-durable.gouv.fr/IMG/pdf/PNR-bonelli-2005-2009_cle68bde4.pdf","Anonyme. 2004. Plan de restauration de l'Aigle de B"&amp;"onelli Hieraaëtus fasciatus (Vieillot, 1822) en France. 2ème phase : 2005-2009. Ministère de l'écologie et du développement durable. 61p."&amp;"")</f>
        <v>Anonyme. 2004. Plan de restauration de l'Aigle de Bonelli Hieraaëtus fasciatus (Vieillot, 1822) en France. 2ème phase : 2005-2009. Ministère de l'écologie et du développement durable. 61p.</v>
      </c>
      <c r="D70" s="4" t="s">
        <v>134</v>
      </c>
    </row>
    <row r="71" spans="1:4" ht="45">
      <c r="A71" s="5" t="s">
        <v>128</v>
      </c>
      <c r="B71" s="4" t="s">
        <v>117</v>
      </c>
      <c r="C71" s="5" t="str">
        <f>HYPERLINK("https://inpn.mnhn.fr/docs-web/docs/download/107246","Nadal, R. &amp; Tariel, Y. 2008. Plan national de r"&amp;"estauration Balbuzard pêcheur (Pandion haliaetus) 2008-2012. Ligue pour la protection des Oiseaux, Birdlife france et Ministère de l'éco"&amp;"logie, de l'énergie, du développement durable et de l'aménagement du territoire. 103 pp.")</f>
        <v>Nadal, R. &amp; Tariel, Y. 2008. Plan national de restauration Balbuzard pêcheur (Pandion haliaetus) 2008-2012. Ligue pour la protection des Oiseaux, Birdlife france et Ministère de l'écologie, de l'énergie, du développement durable et de l'aménagement du territoire. 103 pp.</v>
      </c>
      <c r="D71" s="4" t="s">
        <v>127</v>
      </c>
    </row>
    <row r="72" spans="1:4" ht="30">
      <c r="A72" s="5" t="s">
        <v>128</v>
      </c>
      <c r="B72" s="4" t="s">
        <v>117</v>
      </c>
      <c r="C72" s="5" t="str">
        <f>HYPERLINK("https://inpn.mnhn.fr/docs-web/docs/download/107322","Genot, J.-C, Lapios, J.-M. &amp; Lecomte, P. 2001. "&amp;"Plan national de restauration de la chouette chevêche en France Athene noctua (Scopoli, 1769) 2000-2006. Ministère de l'aménagement du t"&amp;"erritoire et de l'environnement. 65 pp.")</f>
        <v>Genot, J.-C, Lapios, J.-M. &amp; Lecomte, P. 2001. Plan national de restauration de la chouette chevêche en France Athene noctua (Scopoli, 1769) 2000-2006. Ministère de l'aménagement du territoire et de l'environnement. 65 pp.</v>
      </c>
      <c r="D72" s="4" t="s">
        <v>137</v>
      </c>
    </row>
    <row r="73" spans="1:4" ht="30">
      <c r="A73" s="5" t="s">
        <v>128</v>
      </c>
      <c r="B73" s="4" t="s">
        <v>117</v>
      </c>
      <c r="C73" s="5" t="str">
        <f>HYPERLINK("https://inpn.mnhn.fr/docs-web/docs/download/108982","Anonyme. 2002. Plan de restauration du Faucon c"&amp;"récerellette Falco naumanni (Feisher, 1818). Ministère de l'écologie et du Développement Durable. 33 pp."&amp;"")</f>
        <v>Anonyme. 2002. Plan de restauration du Faucon crécerellette Falco naumanni (Feisher, 1818). Ministère de l'écologie et du Développement Durable. 33 pp.</v>
      </c>
      <c r="D73" s="4" t="s">
        <v>136</v>
      </c>
    </row>
    <row r="74" spans="1:4" ht="30">
      <c r="A74" s="5" t="s">
        <v>128</v>
      </c>
      <c r="B74" s="4" t="s">
        <v>117</v>
      </c>
      <c r="C74" s="5" t="str">
        <f>HYPERLINK("http://www.developpement-durable.gouv.fr/IMG/pdf/PNA_Aigle_de_Bonelli_2005-2009.pdf","Anonyme. 1999. Plan de restauration national de "&amp;"l'aigle de Bonelli Hieraaëtus fasciatus (Vieillot, 1822) en France 1999-2003. Ministre de l'Aménagement du territoire et de l'Environnement"&amp;". 59 pp.")</f>
        <v>Anonyme. 1999. Plan de restauration national de l'aigle de Bonelli Hieraaëtus fasciatus (Vieillot, 1822) en France 1999-2003. Ministre de l'Aménagement du territoire et de l'Environnement. 59 pp.</v>
      </c>
      <c r="D74" s="4" t="s">
        <v>96</v>
      </c>
    </row>
    <row r="75" spans="1:4" ht="30">
      <c r="A75" s="5" t="s">
        <v>128</v>
      </c>
      <c r="B75" s="4" t="s">
        <v>117</v>
      </c>
      <c r="C75" s="5" t="str">
        <f>HYPERLINK("http://www.consultations-publiques.developpement-durable.gouv.fr/IMG/pdf/PNA_Lanius_2014-2018.pdf","Lefranc, N. &amp; Issa, N. 2013. Plan national d'act"&amp;"ions Pies-grièches. Lanius sp. 2014-2018. Ministère de l'écologie, du développement durable et de l'énergie et Ligue pour la protection des"&amp;" oiseaux. 144 pp. ")</f>
        <v xml:space="preserve">Lefranc, N. &amp; Issa, N. 2013. Plan national d'actions Pies-grièches. Lanius sp. 2014-2018. Ministère de l'écologie, du développement durable et de l'énergie et Ligue pour la protection des oiseaux. 144 pp. </v>
      </c>
      <c r="D75" s="4" t="s">
        <v>125</v>
      </c>
    </row>
    <row r="76" spans="1:4" ht="30">
      <c r="A76" s="5" t="s">
        <v>128</v>
      </c>
      <c r="B76" s="4" t="s">
        <v>117</v>
      </c>
      <c r="C76" s="5" t="str">
        <f>HYPERLINK("https://inpn.mnhn.fr/docs-web/docs/download/220061","Ministère de la Transition Ecologique et Solidaire."&amp;" 2011. 2e plan national d'actions en faveur du vautour moine (Aegypius monachus) 2011-2016. Ministère de la Transition Ecologique et"&amp;" Solidaire, DREAL Occitanie. 108 pp.")</f>
        <v>Ministère de la Transition Ecologique et Solidaire. 2011. 2e plan national d'actions en faveur du vautour moine (Aegypius monachus) 2011-2016. Ministère de la Transition Ecologique et Solidaire, DREAL Occitanie. 108 pp.</v>
      </c>
      <c r="D76" s="4" t="s">
        <v>130</v>
      </c>
    </row>
    <row r="77" spans="1:4" ht="45">
      <c r="A77" s="5" t="s">
        <v>128</v>
      </c>
      <c r="B77" s="4" t="s">
        <v>117</v>
      </c>
      <c r="C77" s="5" t="str">
        <f>HYPERLINK("http://www.consultations-publiques.developpement-durable.gouv.fr/IMG/pdf/PNA_Percnoptere.pdf","Constantin, P., Kobierzycki, E., Montes, E. 2015. &lt;"&amp;"i&gt;Plan national d'actions en faveur du Vautour percnoptère Neophron percnopterus. 2015-2024. GEREA (bureau d'étude), Ligue pour la Protection des "&amp;"Oiseaux, Direction Régionale de l'Environnement, de l'Aménagement et du Logement - Aquitaine, Ministère de l'Ecologie, du Développement Durable et de l'Energie. 168 pp.")</f>
        <v>Constantin, P., Kobierzycki, E., Montes, E. 2015. &lt;i&gt;Plan national d'actions en faveur du Vautour percnoptère Neophron percnopterus. 2015-2024. GEREA (bureau d'étude), Ligue pour la Protection des Oiseaux, Direction Régionale de l'Environnement, de l'Aménagement et du Logement - Aquitaine, Ministère de l'Ecologie, du Développement Durable et de l'Energie. 168 pp.</v>
      </c>
      <c r="D77" s="4" t="s">
        <v>120</v>
      </c>
    </row>
    <row r="78" spans="1:4">
      <c r="A78" s="5" t="s">
        <v>128</v>
      </c>
      <c r="B78" s="4" t="s">
        <v>117</v>
      </c>
      <c r="C78" s="5" t="str">
        <f>HYPERLINK("https://biodiversite.gouv.fr/projet-pna/wp-content/uploads/PNA_outarde_canepetiere.pdf","Poirel, P. 2020. Troisième plan national d’acti"&amp;"ons en faveur de l’Outarde canepetière. DREAL Nouvelle Aquitaine, LPO. 123 pp."&amp;"")</f>
        <v>Poirel, P. 2020. Troisième plan national d’actions en faveur de l’Outarde canepetière. DREAL Nouvelle Aquitaine, LPO. 123 pp.</v>
      </c>
      <c r="D78" s="4" t="s">
        <v>94</v>
      </c>
    </row>
    <row r="79" spans="1:4" ht="45">
      <c r="A79" s="5" t="s">
        <v>128</v>
      </c>
      <c r="B79" s="4" t="s">
        <v>117</v>
      </c>
      <c r="C79" s="5" t="str">
        <f>HYPERLINK("http://www.languedoc-roussillon.developpement-durable.gouv.fr/IMG/pdf/pna_bonelli_vf_172p_bd_cle716819.pdf","Burger, J., Hiessler, N., Ponchon, C. &amp; Vincent-Mar"&amp;"tin, N. 2013. Troisième plan national d'actions en faveur de l'Aigle de Bonelli 2014-2023. Conservatoire d'espaces naturels du Languedoc-Roussi"&amp;"llon, Conservatoire d'espaces naturels de PACA et Ministère de l'écologie, du développement durable et de l'énergie. 172 pp. ")</f>
        <v xml:space="preserve">Burger, J., Hiessler, N., Ponchon, C. &amp; Vincent-Martin, N. 2013. Troisième plan national d'actions en faveur de l'Aigle de Bonelli 2014-2023. Conservatoire d'espaces naturels du Languedoc-Roussillon, Conservatoire d'espaces naturels de PACA et Ministère de l'écologie, du développement durable et de l'énergie. 172 pp. </v>
      </c>
      <c r="D79" s="4" t="s">
        <v>125</v>
      </c>
    </row>
    <row r="80" spans="1:4" ht="30">
      <c r="A80" s="5" t="s">
        <v>128</v>
      </c>
      <c r="B80" s="4" t="s">
        <v>117</v>
      </c>
      <c r="C80" s="5" t="str">
        <f>HYPERLINK("http://www.developpement-durable.gouv.fr/IMG/pdf/PNA_Butor_etoile_2008-2012.pdf","Hunault, S. &amp; Kerbiriou, E. 2007. Le Butor étoil"&amp;"é (Botaurus stellaris). Plan national de restauration 2008-2012. Ligue pour la protection des oiseaux et Ministère de l'écologie, de l'éner"&amp;"gie, du développement durable et de l'aménagement du territoire. 110 pp. ")</f>
        <v xml:space="preserve">Hunault, S. &amp; Kerbiriou, E. 2007. Le Butor étoilé (Botaurus stellaris). Plan national de restauration 2008-2012. Ligue pour la protection des oiseaux et Ministère de l'écologie, de l'énergie, du développement durable et de l'aménagement du territoire. 110 pp. </v>
      </c>
      <c r="D80" s="4" t="s">
        <v>126</v>
      </c>
    </row>
    <row r="81" spans="1:4" ht="30">
      <c r="A81" s="5" t="s">
        <v>128</v>
      </c>
      <c r="B81" s="4" t="s">
        <v>117</v>
      </c>
      <c r="C81" s="5" t="str">
        <f>HYPERLINK("http://www.developpement-durable.gouv.fr/IMG/pdf/PNA_Autour_des_palombes_2004-2008.pdf","Thibault, J.-C., Seguin, J.-F. &amp; Torre, J. 2003. &lt;i"&amp;"&gt;Plan de restauration de l'Autour des Palombes cyno-sarde en Corse 2004-2008. Diren Corse &amp; Parc naturel régional de Corse.43 pp."&amp;"")</f>
        <v>Thibault, J.-C., Seguin, J.-F. &amp; Torre, J. 2003. &lt;i&gt;Plan de restauration de l'Autour des Palombes cyno-sarde en Corse 2004-2008. Diren Corse &amp; Parc naturel régional de Corse.43 pp.</v>
      </c>
      <c r="D81" s="4" t="s">
        <v>135</v>
      </c>
    </row>
    <row r="82" spans="1:4" ht="30">
      <c r="A82" s="5" t="s">
        <v>128</v>
      </c>
      <c r="B82" s="4" t="s">
        <v>117</v>
      </c>
      <c r="C82" s="5" t="str">
        <f>HYPERLINK("https://inpn.mnhn.fr/docs-web/docs/download/220062","Poudré, L., et al. 2016. Plan national d'actions Va"&amp;"utour fauve et Activités d'élevage 2016-2025. Ministère de la Transition Ecologique et Solidaire. 154 pp."&amp;"")</f>
        <v>Poudré, L., et al. 2016. Plan national d'actions Vautour fauve et Activités d'élevage 2016-2025. Ministère de la Transition Ecologique et Solidaire. 154 pp.</v>
      </c>
      <c r="D82" s="4" t="s">
        <v>116</v>
      </c>
    </row>
    <row r="83" spans="1:4" ht="45">
      <c r="A83" s="5" t="s">
        <v>128</v>
      </c>
      <c r="B83" s="4" t="s">
        <v>117</v>
      </c>
      <c r="C83" s="5" t="str">
        <f>HYPERLINK("http://www.developpement-durable.gouv.fr/IMG/pdf/PNA_Phragmite_aquatique_2010-2014.pdf","Le Nevé, A., Bargain, B., Latraube, F. &amp; Provost, P"&amp;". 2009. Plan national d'actions. Le Phragmite aquatique Acrocephalus paludicola. 2010-2014. Ministère de l'écologie, de l'énergie, du dé"&amp;"veloppement durable et de la mer, Direction régionale de l'environnement Bretagne et Bretagne vivante-SEPNB. 177 pp. ")</f>
        <v xml:space="preserve">Le Nevé, A., Bargain, B., Latraube, F. &amp; Provost, P. 2009. Plan national d'actions. Le Phragmite aquatique Acrocephalus paludicola. 2010-2014. Ministère de l'écologie, de l'énergie, du développement durable et de la mer, Direction régionale de l'environnement Bretagne et Bretagne vivante-SEPNB. 177 pp. </v>
      </c>
      <c r="D83" s="4" t="s">
        <v>133</v>
      </c>
    </row>
    <row r="84" spans="1:4" ht="30">
      <c r="A84" s="5" t="s">
        <v>128</v>
      </c>
      <c r="B84" s="4" t="s">
        <v>117</v>
      </c>
      <c r="C84" s="5" t="str">
        <f>HYPERLINK("https://inpn.mnhn.fr/docs-web/docs/download/109301","Anonyme. 2012. Stratégie nationale d'actions en fav"&amp;"eur du Grand tétras Tetrao urogallus major. 2012-2021. Ministère de l'écologie, du développement durable, des transports et du logement &amp; Lig"&amp;"ue pour la protection des oiseaux. 174 pp.")</f>
        <v>Anonyme. 2012. Stratégie nationale d'actions en faveur du Grand tétras Tetrao urogallus major. 2012-2021. Ministère de l'écologie, du développement durable, des transports et du logement &amp; Ligue pour la protection des oiseaux. 174 pp.</v>
      </c>
      <c r="D84" s="4" t="s">
        <v>115</v>
      </c>
    </row>
    <row r="85" spans="1:4" ht="30">
      <c r="A85" s="5" t="s">
        <v>128</v>
      </c>
      <c r="B85" s="4" t="s">
        <v>117</v>
      </c>
      <c r="C85" s="5" t="str">
        <f>HYPERLINK("http://www.developpement-durable.gouv.fr/IMG/pdf/PNA_Rale_des_genets_2005-2009.pdf","Noel, F., Deceuninck, B., Mourgaud, G. &amp; Broyer, J."&amp;" 2004. Plan national de restauration du Râle des genêts. 2005-2009. Ligue pour la protection des oiseaux &amp; Birdlife international. 63 pp. "&amp;"")</f>
        <v xml:space="preserve">Noel, F., Deceuninck, B., Mourgaud, G. &amp; Broyer, J. 2004. Plan national de restauration du Râle des genêts. 2005-2009. Ligue pour la protection des oiseaux &amp; Birdlife international. 63 pp. </v>
      </c>
      <c r="D85" s="4" t="s">
        <v>134</v>
      </c>
    </row>
    <row r="86" spans="1:4" ht="30">
      <c r="A86" s="5" t="s">
        <v>128</v>
      </c>
      <c r="B86" s="4" t="s">
        <v>117</v>
      </c>
      <c r="C86" s="5" t="str">
        <f>HYPERLINK("https://biodiversite.gouv.fr/projet-pna/wp-content/uploads/PNA_BALBUZARD_2020_2029.pdf","Csabaï, E. 2020. Plan national d’actions en fav"&amp;"eur du Balbuzard pêcheur et du Pygargue à queue blanche - 2020-2029. Ligue pour la protection des oiseaux – DREAL Centre-Val de Loire – Ministère"&amp;" de la Transition écologique. 85 pp.")</f>
        <v>Csabaï, E. 2020. Plan national d’actions en faveur du Balbuzard pêcheur et du Pygargue à queue blanche - 2020-2029. Ligue pour la protection des oiseaux – DREAL Centre-Val de Loire – Ministère de la Transition écologique. 85 pp.</v>
      </c>
      <c r="D86" s="4" t="s">
        <v>94</v>
      </c>
    </row>
    <row r="87" spans="1:4" ht="30">
      <c r="A87" s="5" t="s">
        <v>128</v>
      </c>
      <c r="B87" s="4" t="s">
        <v>117</v>
      </c>
      <c r="C87" s="5" t="str">
        <f>HYPERLINK("https://inpn.mnhn.fr/docs-web/docs/download/220064","David, F., Mionnet, A., Riols, R., Tourret, P. 2017"&amp;". Plan national d'actions en faveur du Milan royal 2018-2027. Ministère de la Transition Ecologique et Solidaire. 97 pp."&amp;"")</f>
        <v>David, F., Mionnet, A., Riols, R., Tourret, P. 2017. Plan national d'actions en faveur du Milan royal 2018-2027. Ministère de la Transition Ecologique et Solidaire. 97 pp.</v>
      </c>
      <c r="D87" s="4" t="s">
        <v>110</v>
      </c>
    </row>
    <row r="88" spans="1:4" ht="45">
      <c r="A88" s="5" t="s">
        <v>128</v>
      </c>
      <c r="B88" s="4" t="s">
        <v>102</v>
      </c>
      <c r="C88" s="5" t="str">
        <f>HYPERLINK("https://inpn.mnhn.fr/docs-web/docs/download/106148","Guyonneau, J. 2012. Plan national d'actions en "&amp;"faveur de la Saxifrage oeil-de-bouc Saxifraga hirculus L. 2012-2016. Conservatoire botanique national de Franche-Comté et Ministère de l"&amp;"'écologie, de l'énergie, du développement durable, des transports et du logement. 126 pp.")</f>
        <v>Guyonneau, J. 2012. Plan national d'actions en faveur de la Saxifrage oeil-de-bouc Saxifraga hirculus L. 2012-2016. Conservatoire botanique national de Franche-Comté et Ministère de l'écologie, de l'énergie, du développement durable, des transports et du logement. 126 pp.</v>
      </c>
      <c r="D88" s="4" t="s">
        <v>115</v>
      </c>
    </row>
    <row r="89" spans="1:4" ht="30">
      <c r="A89" s="5" t="s">
        <v>128</v>
      </c>
      <c r="B89" s="4" t="s">
        <v>102</v>
      </c>
      <c r="C89" s="5" t="str">
        <f>HYPERLINK("https://inpn.mnhn.fr/docs-web/docs/download/220099","Conservatoire Botanique National de Corse. 2012. &lt;e"&amp;"m&gt;Plan national d'actions en faveur de Centranthus trinervis (Viv.) Bég. - Centranthe à trois nervures - 2012-2017. Ministère de la Tran"&amp;"sition Ecologique et Solidaire. 44 pp.")</f>
        <v>Conservatoire Botanique National de Corse. 2012. &lt;em&gt;Plan national d'actions en faveur de Centranthus trinervis (Viv.) Bég. - Centranthe à trois nervures - 2012-2017. Ministère de la Transition Ecologique et Solidaire. 44 pp.</v>
      </c>
      <c r="D89" s="4" t="s">
        <v>115</v>
      </c>
    </row>
    <row r="90" spans="1:4" ht="30">
      <c r="A90" s="5" t="s">
        <v>128</v>
      </c>
      <c r="B90" s="4" t="s">
        <v>102</v>
      </c>
      <c r="C90" s="5" t="str">
        <f>HYPERLINK("http://www.developpement-durable.gouv.fr/IMG/11010_PNA_luronium_def_web_monte_optimise.pdf","Bardin, P., Hendoux, F. &amp; Barbault, R. 2012. Pla"&amp;"n national d'actions en faveur du Flûteau nageant Luroniums natans L. 2012-2016. Conservatoire botanique du Bassin parisien, Ministère de l"&amp;"'écologie, du développement durable et de l'énergie, 183 pp. ")</f>
        <v xml:space="preserve">Bardin, P., Hendoux, F. &amp; Barbault, R. 2012. Plan national d'actions en faveur du Flûteau nageant Luroniums natans L. 2012-2016. Conservatoire botanique du Bassin parisien, Ministère de l'écologie, du développement durable et de l'énergie, 183 pp. </v>
      </c>
      <c r="D90" s="4" t="s">
        <v>115</v>
      </c>
    </row>
    <row r="91" spans="1:4" ht="45">
      <c r="A91" s="5" t="s">
        <v>128</v>
      </c>
      <c r="B91" s="4" t="s">
        <v>102</v>
      </c>
      <c r="C91" s="5" t="str">
        <f>HYPERLINK("http://www.developpement-durable.gouv.fr/Plan-national-d-actions-en-faveur,32610.html","Cambecèdes, J., Largier, G. &amp; Lombard, A. 2012."&amp;" Plan national d'actions en faveur des plantes messicoles 2012-2017. Conservatoire botanique national des Pyrénées et de Midi-Pyrénées, Fédératio"&amp;"n des Conservatoires botaniques nationaux et Ministère de l'écologie, du développement durable et de l'énergie. 242 pp.")</f>
        <v>Cambecèdes, J., Largier, G. &amp; Lombard, A. 2012. Plan national d'actions en faveur des plantes messicoles 2012-2017. Conservatoire botanique national des Pyrénées et de Midi-Pyrénées, Fédération des Conservatoires botaniques nationaux et Ministère de l'écologie, du développement durable et de l'énergie. 242 pp.</v>
      </c>
      <c r="D91" s="4" t="s">
        <v>115</v>
      </c>
    </row>
    <row r="92" spans="1:4" ht="45">
      <c r="A92" s="5" t="s">
        <v>128</v>
      </c>
      <c r="B92" s="4" t="s">
        <v>102</v>
      </c>
      <c r="C92" s="5" t="str">
        <f>HYPERLINK("http://www.developpement-durable.gouv.fr/IMG/pdf/PNA_Liparis_loeselii_2010-2014-2.pdf","Valentin, B., Toussaint, B., Duhamel, F. &amp; Valet, J"&amp;".-M. 2010. Plan national d'actions en faveur du Liparis de Loesel Liparis loeselii 2010-2014. Conservatoire botanique national de Baille"&amp;"ul et Ministère de l'écologie, de l'énergie, du développement durable et de la Mer. 154 pp.")</f>
        <v>Valentin, B., Toussaint, B., Duhamel, F. &amp; Valet, J.-M. 2010. Plan national d'actions en faveur du Liparis de Loesel Liparis loeselii 2010-2014. Conservatoire botanique national de Bailleul et Ministère de l'écologie, de l'énergie, du développement durable et de la Mer. 154 pp.</v>
      </c>
      <c r="D92" s="4" t="s">
        <v>131</v>
      </c>
    </row>
    <row r="93" spans="1:4" ht="30">
      <c r="A93" s="5" t="s">
        <v>128</v>
      </c>
      <c r="B93" s="4" t="s">
        <v>104</v>
      </c>
      <c r="C93" s="5" t="str">
        <f>HYPERLINK("http://www.developpement-durable.gouv.fr/IMG/PNA%20Apron%20Final.pdf","Georget, M. 2011. Plan national d'actions en fav"&amp;"eur de l'Apron du Rhône. 2012-2016. Ministère de l'écologie, du développement durable, des transports et du logement. &amp; Conservatoire d'espaces na"&amp;"turels Rhône-Alpes. 124 pp. ")</f>
        <v xml:space="preserve">Georget, M. 2011. Plan national d'actions en faveur de l'Apron du Rhône. 2012-2016. Ministère de l'écologie, du développement durable, des transports et du logement. &amp; Conservatoire d'espaces naturels Rhône-Alpes. 124 pp. </v>
      </c>
      <c r="D93" s="4" t="s">
        <v>130</v>
      </c>
    </row>
    <row r="94" spans="1:4" ht="30">
      <c r="A94" s="5" t="s">
        <v>128</v>
      </c>
      <c r="B94" s="4" t="s">
        <v>119</v>
      </c>
      <c r="C94" s="5" t="str">
        <f>HYPERLINK("https://www.ecologique-solidaire.gouv.fr/sites/default/files/PNA_Tortue_d_Hermann_2018_2027.pdf","Celse, J., Catard, A. Caron, S., Ballouard, J.M., C"&amp;"heylan, M., Bosc, V. &amp;amp; Roux, A. 2018. Plan National d’Actions Tortue d’Hermann 2018-2027. Conservatoire d’espaces naturels de Provence-Al"&amp;"pes-Côte d’Azur, Le Luc. 120 pp.")</f>
        <v>Celse, J., Catard, A. Caron, S., Ballouard, J.M., Cheylan, M., Bosc, V. &amp;amp; Roux, A. 2018. Plan National d’Actions Tortue d’Hermann 2018-2027. Conservatoire d’espaces naturels de Provence-Alpes-Côte d’Azur, Le Luc. 120 pp.</v>
      </c>
      <c r="D94" s="4" t="s">
        <v>114</v>
      </c>
    </row>
    <row r="95" spans="1:4" ht="30">
      <c r="A95" s="5" t="s">
        <v>128</v>
      </c>
      <c r="B95" s="4" t="s">
        <v>119</v>
      </c>
      <c r="C95" s="5" t="str">
        <f>HYPERLINK("http://www.languedoc-roussillon.developpement-durable.gouv.fr/IMG/pdf/PNA-EL-27-Juin-2012_cle08d9b3.pdf","Courmont, L., De Sousa, L. 2011. Plan national d"&amp;"'actions en faveur de l'Emyde lépreuse Mauremys leprosa 2012-2016. Groupe Ornithologique du Roussillon, Ministère de l'Ecologie, du Dévelop"&amp;"pement Durable, des Transports et du Logement. 108 pp.")</f>
        <v>Courmont, L., De Sousa, L. 2011. Plan national d'actions en faveur de l'Emyde lépreuse Mauremys leprosa 2012-2016. Groupe Ornithologique du Roussillon, Ministère de l'Ecologie, du Développement Durable, des Transports et du Logement. 108 pp.</v>
      </c>
      <c r="D95" s="4" t="s">
        <v>130</v>
      </c>
    </row>
    <row r="96" spans="1:4" ht="45">
      <c r="A96" s="5" t="s">
        <v>128</v>
      </c>
      <c r="B96" s="4" t="s">
        <v>119</v>
      </c>
      <c r="C96" s="5" t="str">
        <f>HYPERLINK("http://webissimo.developpement-durable.gouv.fr/IMG/pdf/pna_thh_2009_2014___web_cle01fbf7.pdf","Cheylan, M., Catard, A., Livoreil, B., Bosc, V. 200"&amp;"9. Plan national d'actions en faveur de la Tortue d'Hermann Testudo hermanni hermanni. 2009-2014. Direction Régionale de l'Environnement, de l'"&amp;"Aménagement et du Logement - Provence Alpes Côte d'Azur, Ministères de l'Ecologie, de l'Energie, du Développement durable et de la Mer. 138 pp.")</f>
        <v>Cheylan, M., Catard, A., Livoreil, B., Bosc, V. 2009. Plan national d'actions en faveur de la Tortue d'Hermann Testudo hermanni hermanni. 2009-2014. Direction Régionale de l'Environnement, de l'Aménagement et du Logement - Provence Alpes Côte d'Azur, Ministères de l'Ecologie, de l'Energie, du Développement durable et de la Mer. 138 pp.</v>
      </c>
      <c r="D96" s="4" t="s">
        <v>133</v>
      </c>
    </row>
    <row r="97" spans="1:4" ht="30">
      <c r="A97" s="5" t="s">
        <v>128</v>
      </c>
      <c r="B97" s="4" t="s">
        <v>119</v>
      </c>
      <c r="C97" s="5" t="str">
        <f>HYPERLINK("https://biodiversite.gouv.fr/projet-pna/wp-content/uploads/PNA_Cistude_2020_2029.pdf","Thienpont, S. 2020. Plan National d’Actions en "&amp;"faveur de la Cistude d'Europe (Emys orbicularis) 2020-2029. Société Herpétologique de France. Ministère de la Transition Écologique. 103"&amp;" pp.")</f>
        <v>Thienpont, S. 2020. Plan National d’Actions en faveur de la Cistude d'Europe (Emys orbicularis) 2020-2029. Société Herpétologique de France. Ministère de la Transition Écologique. 103 pp.</v>
      </c>
      <c r="D97" s="4" t="s">
        <v>94</v>
      </c>
    </row>
    <row r="98" spans="1:4" ht="30">
      <c r="A98" s="5" t="s">
        <v>128</v>
      </c>
      <c r="B98" s="4" t="s">
        <v>119</v>
      </c>
      <c r="C98" s="5" t="str">
        <f>HYPERLINK("https://inpn.mnhn.fr/docs-web/docs/download/109522","Thienpont, S. 2011. Plan national d'actions en "&amp;"faveur de la Cistude d'Europe Emys orbicularis. 2011-2015. Ministère de l'écologie, du développement durable, des transports et du logem"&amp;"ent. 126 pp.")</f>
        <v>Thienpont, S. 2011. Plan national d'actions en faveur de la Cistude d'Europe Emys orbicularis. 2011-2015. Ministère de l'écologie, du développement durable, des transports et du logement. 126 pp.</v>
      </c>
      <c r="D98" s="4" t="s">
        <v>130</v>
      </c>
    </row>
    <row r="99" spans="1:4" ht="45">
      <c r="A99" s="5" t="s">
        <v>138</v>
      </c>
      <c r="C99" s="5" t="str">
        <f>HYPERLINK("https://inpn.mnhn.fr/telechargement/referentielEspece/taxref/16.0/menu","Gargominy, O., Tercerie, S., Régnier, C., Ramage, T., Dupont, P., Daszkiewicz, P. &amp; Poncet, L. 2022."&amp;" TAXREF, référentiel taxonomique pour la France : méthodologie, mise en œuvre et diffusion."&amp;" Rapport PatriNat (OFB-CNRS-MNHN), Muséum national d’Histoire naturelle, Paris. 47 pp.")</f>
        <v>Gargominy, O., Tercerie, S., Régnier, C., Ramage, T., Dupont, P., Daszkiewicz, P. &amp; Poncet, L. 2022. TAXREF, référentiel taxonomique pour la France : méthodologie, mise en œuvre et diffusion. Rapport PatriNat (OFB-CNRS-MNHN), Muséum national d’Histoire naturelle, Paris. 47 pp.</v>
      </c>
      <c r="D99" s="4" t="s">
        <v>107</v>
      </c>
    </row>
    <row r="100" spans="1:4" ht="30">
      <c r="A100" s="5" t="s">
        <v>139</v>
      </c>
      <c r="C100" s="5" t="str">
        <f>HYPERLINK("https://inpn.mnhn.fr/docs-web/docs/download/161213","Léonard, L. 2015. Listes d'espèces et d'habitat"&amp;"s SCAP - Annexes régionales et liste nationale - Liste nationale SCAP consolidée. MNHN-SPN. 47 pp."&amp;"")</f>
        <v>Léonard, L. 2015. Listes d'espèces et d'habitats SCAP - Annexes régionales et liste nationale - Liste nationale SCAP consolidée. MNHN-SPN. 47 pp.</v>
      </c>
      <c r="D100" s="4" t="s">
        <v>120</v>
      </c>
    </row>
    <row r="101" spans="1:4">
      <c r="A101" s="5" t="s">
        <v>140</v>
      </c>
      <c r="C101" s="5" t="str">
        <f>HYPERLINK("https://inpn.mnhn.fr/docs-web/docs/download/161195","Léonard, L. 2015. Listes d'espèces et d'habitat"&amp;"s SCAP - Annexes régionales et liste nationale - région Bourgogne. MNHN-SPN. 44 pp."&amp;"")</f>
        <v>Léonard, L. 2015. Listes d'espèces et d'habitats SCAP - Annexes régionales et liste nationale - région Bourgogne. MNHN-SPN. 44 pp.</v>
      </c>
      <c r="D101" s="4" t="s">
        <v>120</v>
      </c>
    </row>
    <row r="102" spans="1:4" ht="30">
      <c r="A102" s="5" t="s">
        <v>140</v>
      </c>
      <c r="C102" s="5" t="str">
        <f>HYPERLINK("https://inpn.mnhn.fr/docs-web/docs/download/161200","Léonard, L. 2015. Listes d'espèces et d'habitat"&amp;"s SCAP - Annexes régionales et liste nationale - région Franche-Comté. MNHN-SPN. 44 pp."&amp;"")</f>
        <v>Léonard, L. 2015. Listes d'espèces et d'habitats SCAP - Annexes régionales et liste nationale - région Franche-Comté. MNHN-SPN. 44 pp.</v>
      </c>
      <c r="D102" s="4" t="s">
        <v>120</v>
      </c>
    </row>
    <row r="103" spans="1:4" ht="30">
      <c r="A103" s="5" t="s">
        <v>141</v>
      </c>
      <c r="C103" s="5" t="s">
        <v>142</v>
      </c>
      <c r="D103" s="4">
        <v>2022</v>
      </c>
    </row>
    <row r="104" spans="1:4">
      <c r="A104" s="5" t="s">
        <v>143</v>
      </c>
      <c r="C104" s="5" t="str">
        <f>HYPERLINK("","Buffat, G. 2021. Liste des espèces déterminante"&amp;"s ZNIEFF de Bourgogne-Franche-Comté."&amp;"")</f>
        <v>Buffat, G. 2021. Liste des espèces déterminantes ZNIEFF de Bourgogne-Franche-Comté.</v>
      </c>
      <c r="D104" s="4" t="s">
        <v>100</v>
      </c>
    </row>
    <row r="105" spans="1:4" ht="45">
      <c r="A105" s="5" t="s">
        <v>144</v>
      </c>
      <c r="C105" s="5" t="str">
        <f>HYPERLINK("http://mycofme.free.fr/publications/liste_champ_znieff_franche_comte.pdf","SUGNY D. et CAILLET M. &amp; M (coordonnateurs), BEIRNA"&amp;"ERT P., BILLOT A., CERCLEY P., CHEVROLET J.P., GALLIOT L., MOYNE G., 2016 - Liste des champignons déterminants pour les ZNIEFF de Franche-Comté. Publi"&amp;"cation Fédération Mycologique de l’Est, DREAL Franche-Comté et Conseil régional. 58 p.")</f>
        <v>SUGNY D. et CAILLET M. &amp; M (coordonnateurs), BEIRNAERT P., BILLOT A., CERCLEY P., CHEVROLET J.P., GALLIOT L., MOYNE G., 2016 - Liste des champignons déterminants pour les ZNIEFF de Franche-Comté. Publication Fédération Mycologique de l’Est, DREAL Franche-Comté et Conseil régional. 58 p.</v>
      </c>
      <c r="D105" s="4" t="s">
        <v>116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79"/>
  <sheetViews>
    <sheetView workbookViewId="0">
      <pane ySplit="1" topLeftCell="A2" activePane="bottomLeft" state="frozen"/>
      <selection pane="bottomLeft" activeCell="A2" sqref="A2"/>
    </sheetView>
  </sheetViews>
  <sheetFormatPr baseColWidth="10" defaultColWidth="9.140625" defaultRowHeight="15"/>
  <cols>
    <col min="1" max="1" width="20.7109375" customWidth="1"/>
    <col min="2" max="2" width="45.140625" style="10" customWidth="1"/>
    <col min="3" max="3" width="73.42578125" style="10" customWidth="1"/>
    <col min="4" max="4" width="100.7109375" customWidth="1"/>
    <col min="5" max="5" width="10.7109375" customWidth="1"/>
  </cols>
  <sheetData>
    <row r="1" spans="1:5">
      <c r="A1" s="4" t="s">
        <v>145</v>
      </c>
      <c r="B1" s="5" t="s">
        <v>1</v>
      </c>
      <c r="C1" s="5" t="s">
        <v>2</v>
      </c>
      <c r="D1" s="5" t="s">
        <v>3</v>
      </c>
      <c r="E1" s="4" t="s">
        <v>4</v>
      </c>
    </row>
    <row r="2" spans="1:5" ht="30">
      <c r="A2" s="4" t="s">
        <v>146</v>
      </c>
      <c r="B2" s="5" t="s">
        <v>147</v>
      </c>
      <c r="C2" s="5" t="s">
        <v>10</v>
      </c>
      <c r="D2" s="5" t="str">
        <f>HYPERLINK("https://www.legifrance.gouv.fr/eli/decret/2017/4/26/AFSP1626935D/jo/texte","Décret n° 2017-645 du 26 avril 2017 relatif à la lu"&amp;"tte contre l'ambroisie à feuilles d'armoise, l'ambroisie trifide et l'ambroisie à épis lisses."&amp;""&amp;"")</f>
        <v>Décret n° 2017-645 du 26 avril 2017 relatif à la lutte contre l'ambroisie à feuilles d'armoise, l'ambroisie trifide et l'ambroisie à épis lisses.</v>
      </c>
      <c r="E2" s="4">
        <v>2017</v>
      </c>
    </row>
    <row r="3" spans="1:5" ht="45">
      <c r="A3" s="4" t="s">
        <v>148</v>
      </c>
      <c r="B3" s="5" t="s">
        <v>149</v>
      </c>
      <c r="C3" s="5" t="s">
        <v>150</v>
      </c>
      <c r="D3" s="5" t="str">
        <f>HYPERLINK("http://eur-lex.europa.eu/legal-content/FR/TXT/?qid=1413449131738&amp;uri=CELEX:01997R0338-20130810","Règlement (CE) N° 338/97 du Conseil du 9 décembre 1"&amp;"996 relatif à la protection des espèces de faune et de flore sauvages par le contrôle de leur commerce (modifié par le Règlement UE n° 101/2012 du 6 f"&amp;"évrier 2012 et le Règlement UE n° 750/2013 du 29 juillet 2013)"&amp;"")</f>
        <v>Règlement (CE) N° 338/97 du Conseil du 9 décembre 1996 relatif à la protection des espèces de faune et de flore sauvages par le contrôle de leur commerce (modifié par le Règlement UE n° 101/2012 du 6 février 2012 et le Règlement UE n° 750/2013 du 29 juillet 2013)</v>
      </c>
      <c r="E3" s="4">
        <v>1996</v>
      </c>
    </row>
    <row r="4" spans="1:5" ht="45">
      <c r="A4" s="4" t="s">
        <v>151</v>
      </c>
      <c r="B4" s="5" t="s">
        <v>149</v>
      </c>
      <c r="C4" s="5" t="s">
        <v>152</v>
      </c>
      <c r="D4" s="5" t="str">
        <f>HYPERLINK("http://eur-lex.europa.eu/legal-content/FR/TXT/?qid=1413449131738&amp;uri=CELEX:01997R0338-20130810","Règlement (CE) N° 338/97 du Conseil du 9 décembre 1"&amp;"996 relatif à la protection des espèces de faune et de flore sauvages par le contrôle de leur commerce (modifié par le Règlement UE n° 101/2012 du 6 f"&amp;"évrier 2012 et le Règlement UE n° 750/2013 du 29 juillet 2013)"&amp;"")</f>
        <v>Règlement (CE) N° 338/97 du Conseil du 9 décembre 1996 relatif à la protection des espèces de faune et de flore sauvages par le contrôle de leur commerce (modifié par le Règlement UE n° 101/2012 du 6 février 2012 et le Règlement UE n° 750/2013 du 29 juillet 2013)</v>
      </c>
      <c r="E4" s="4">
        <v>1996</v>
      </c>
    </row>
    <row r="5" spans="1:5" ht="45">
      <c r="A5" s="4" t="s">
        <v>153</v>
      </c>
      <c r="B5" s="5" t="s">
        <v>149</v>
      </c>
      <c r="C5" s="5" t="s">
        <v>154</v>
      </c>
      <c r="D5" s="5" t="str">
        <f>HYPERLINK("http://eur-lex.europa.eu/legal-content/FR/TXT/?qid=1413449131738&amp;uri=CELEX:01997R0338-20130810","Règlement (CE) N° 338/97 du Conseil du 9 décembre 1"&amp;"996 relatif à la protection des espèces de faune et de flore sauvages par le contrôle de leur commerce (modifié par le Règlement UE n° 101/2012 du 6 f"&amp;"évrier 2012 et le Règlement UE n° 750/2013 du 29 juillet 2013)"&amp;"")</f>
        <v>Règlement (CE) N° 338/97 du Conseil du 9 décembre 1996 relatif à la protection des espèces de faune et de flore sauvages par le contrôle de leur commerce (modifié par le Règlement UE n° 101/2012 du 6 février 2012 et le Règlement UE n° 750/2013 du 29 juillet 2013)</v>
      </c>
      <c r="E5" s="4">
        <v>1996</v>
      </c>
    </row>
    <row r="6" spans="1:5" ht="45">
      <c r="A6" s="4" t="s">
        <v>155</v>
      </c>
      <c r="B6" s="5" t="s">
        <v>149</v>
      </c>
      <c r="C6" s="5" t="s">
        <v>156</v>
      </c>
      <c r="D6" s="5" t="str">
        <f>HYPERLINK("http://eur-lex.europa.eu/legal-content/FR/TXT/?qid=1413449131738&amp;uri=CELEX:01997R0338-20130810","Règlement (CE) N° 338/97 du Conseil du 9 décembre 1"&amp;"996 relatif à la protection des espèces de faune et de flore sauvages par le contrôle de leur commerce (modifié par le Règlement UE n° 101/2012 du 6 f"&amp;"évrier 2012 et le Règlement UE n° 750/2013 du 29 juillet 2013)"&amp;"")</f>
        <v>Règlement (CE) N° 338/97 du Conseil du 9 décembre 1996 relatif à la protection des espèces de faune et de flore sauvages par le contrôle de leur commerce (modifié par le Règlement UE n° 101/2012 du 6 février 2012 et le Règlement UE n° 750/2013 du 29 juillet 2013)</v>
      </c>
      <c r="E6" s="4">
        <v>1996</v>
      </c>
    </row>
    <row r="7" spans="1:5" ht="60">
      <c r="A7" s="4" t="s">
        <v>157</v>
      </c>
      <c r="B7" s="5" t="s">
        <v>158</v>
      </c>
      <c r="C7" s="5" t="s">
        <v>159</v>
      </c>
      <c r="D7" s="5" t="str">
        <f>HYPERLINK("http://bd.eionet.europa.eu/activities/Natura_2000/reference_portal","Directive 92/43/CEE du Conseil du 21 mai 1992 conce"&amp;"rnant la conservation des habitats naturels ainsi que de la faune et de la flore sauvages (modifiée par la Directive 97/62/CEE du Conseil du 27 octobr"&amp;"e 1997, le Règlement (CE) n° 1882/2003 du Parlement et du Conseil du 29 septembre 2003, la Directive"&amp;" 2006/105/CE du 20 novembre 2006 et la Directive 2013/17/UE du 13 mai 2013)")</f>
        <v>Directive 92/43/CEE du Conseil du 21 mai 1992 concernant la conservation des habitats naturels ainsi que de la faune et de la flore sauvages (modifiée par la Directive 97/62/CEE du Conseil du 27 octobre 1997, le Règlement (CE) n° 1882/2003 du Parlement et du Conseil du 29 septembre 2003, la Directive 2006/105/CE du 20 novembre 2006 et la Directive 2013/17/UE du 13 mai 2013)</v>
      </c>
      <c r="E7" s="4">
        <v>1992</v>
      </c>
    </row>
    <row r="8" spans="1:5" ht="60">
      <c r="A8" s="4" t="s">
        <v>160</v>
      </c>
      <c r="B8" s="5" t="s">
        <v>158</v>
      </c>
      <c r="C8" s="5" t="s">
        <v>161</v>
      </c>
      <c r="D8" s="5" t="str">
        <f>HYPERLINK("http://bd.eionet.europa.eu/activities/Natura_2000/reference_portal","Directive 92/43/CEE du Conseil du 21 mai 1992 conce"&amp;"rnant la conservation des habitats naturels ainsi que de la faune et de la flore sauvages (modifiée par la Directive 97/62/CEE du Conseil du 27 octobr"&amp;"e 1997, le Règlement (CE) n° 1882/2003 du Parlement et du Conseil du 29 septembre 2003, la Directive"&amp;" 2006/105/CE du 20 novembre 2006 et la Directive 2013/17/UE du 13 mai 2013)")</f>
        <v>Directive 92/43/CEE du Conseil du 21 mai 1992 concernant la conservation des habitats naturels ainsi que de la faune et de la flore sauvages (modifiée par la Directive 97/62/CEE du Conseil du 27 octobre 1997, le Règlement (CE) n° 1882/2003 du Parlement et du Conseil du 29 septembre 2003, la Directive 2006/105/CE du 20 novembre 2006 et la Directive 2013/17/UE du 13 mai 2013)</v>
      </c>
      <c r="E8" s="4">
        <v>1992</v>
      </c>
    </row>
    <row r="9" spans="1:5" ht="60">
      <c r="A9" s="4" t="s">
        <v>162</v>
      </c>
      <c r="B9" s="5" t="s">
        <v>158</v>
      </c>
      <c r="C9" s="5" t="s">
        <v>163</v>
      </c>
      <c r="D9" s="5" t="str">
        <f>HYPERLINK("http://bd.eionet.europa.eu/activities/Natura_2000/reference_portal","Directive 92/43/CEE du Conseil du 21 mai 1992 conce"&amp;"rnant la conservation des habitats naturels ainsi que de la faune et de la flore sauvages (modifiée par la Directive 97/62/CEE du Conseil du 27 octobr"&amp;"e 1997, le Règlement (CE) n° 1882/2003 du Parlement et du Conseil du 29 septembre 2003, la Directive"&amp;" 2006/105/CE du 20 novembre 2006 et la Directive 2013/17/UE du 13 mai 2013)")</f>
        <v>Directive 92/43/CEE du Conseil du 21 mai 1992 concernant la conservation des habitats naturels ainsi que de la faune et de la flore sauvages (modifiée par la Directive 97/62/CEE du Conseil du 27 octobre 1997, le Règlement (CE) n° 1882/2003 du Parlement et du Conseil du 29 septembre 2003, la Directive 2006/105/CE du 20 novembre 2006 et la Directive 2013/17/UE du 13 mai 2013)</v>
      </c>
      <c r="E9" s="4">
        <v>1992</v>
      </c>
    </row>
    <row r="10" spans="1:5" ht="30">
      <c r="A10" s="4" t="s">
        <v>164</v>
      </c>
      <c r="B10" s="5" t="s">
        <v>165</v>
      </c>
      <c r="C10" s="5" t="s">
        <v>166</v>
      </c>
      <c r="D10" s="5" t="str">
        <f>HYPERLINK("http://bd.eionet.europa.eu/activities/Natura_2000/reference_portal","Directive 79/409/CEE du Conseil du 2 avril 1979 con"&amp;"cernant la conservation des oiseaux sauvages"&amp;""&amp;"")</f>
        <v>Directive 79/409/CEE du Conseil du 2 avril 1979 concernant la conservation des oiseaux sauvages</v>
      </c>
      <c r="E10" s="4">
        <v>1979</v>
      </c>
    </row>
    <row r="11" spans="1:5" ht="30">
      <c r="A11" s="4" t="s">
        <v>167</v>
      </c>
      <c r="B11" s="5" t="s">
        <v>165</v>
      </c>
      <c r="C11" s="5" t="s">
        <v>168</v>
      </c>
      <c r="D11" s="5" t="str">
        <f>HYPERLINK("http://bd.eionet.europa.eu/activities/Natura_2000/reference_portal","Directive 79/409/CEE du Conseil du 2 avril 1979 con"&amp;"cernant la conservation des oiseaux sauvages"&amp;""&amp;"")</f>
        <v>Directive 79/409/CEE du Conseil du 2 avril 1979 concernant la conservation des oiseaux sauvages</v>
      </c>
      <c r="E11" s="4">
        <v>1979</v>
      </c>
    </row>
    <row r="12" spans="1:5" ht="30">
      <c r="A12" s="4" t="s">
        <v>169</v>
      </c>
      <c r="B12" s="5" t="s">
        <v>165</v>
      </c>
      <c r="C12" s="5" t="s">
        <v>170</v>
      </c>
      <c r="D12" s="5" t="str">
        <f>HYPERLINK("http://bd.eionet.europa.eu/activities/Natura_2000/reference_portal","Directive 79/409/CEE du Conseil du 2 avril 1979 con"&amp;"cernant la conservation des oiseaux sauvages"&amp;""&amp;"")</f>
        <v>Directive 79/409/CEE du Conseil du 2 avril 1979 concernant la conservation des oiseaux sauvages</v>
      </c>
      <c r="E12" s="4">
        <v>1979</v>
      </c>
    </row>
    <row r="13" spans="1:5" ht="30">
      <c r="A13" s="4" t="s">
        <v>171</v>
      </c>
      <c r="B13" s="5" t="s">
        <v>165</v>
      </c>
      <c r="C13" s="5" t="s">
        <v>172</v>
      </c>
      <c r="D13" s="5" t="str">
        <f>HYPERLINK("http://bd.eionet.europa.eu/activities/Natura_2000/reference_portal","Directive 79/409/CEE du Conseil du 2 avril 1979 con"&amp;"cernant la conservation des oiseaux sauvages"&amp;""&amp;"")</f>
        <v>Directive 79/409/CEE du Conseil du 2 avril 1979 concernant la conservation des oiseaux sauvages</v>
      </c>
      <c r="E13" s="4">
        <v>1979</v>
      </c>
    </row>
    <row r="14" spans="1:5" ht="30">
      <c r="A14" s="4" t="s">
        <v>173</v>
      </c>
      <c r="B14" s="5" t="s">
        <v>165</v>
      </c>
      <c r="C14" s="5" t="s">
        <v>174</v>
      </c>
      <c r="D14" s="5" t="str">
        <f>HYPERLINK("http://bd.eionet.europa.eu/activities/Natura_2000/reference_portal","Directive 79/409/CEE du Conseil du 2 avril 1979 con"&amp;"cernant la conservation des oiseaux sauvages"&amp;""&amp;"")</f>
        <v>Directive 79/409/CEE du Conseil du 2 avril 1979 concernant la conservation des oiseaux sauvages</v>
      </c>
      <c r="E14" s="4">
        <v>1979</v>
      </c>
    </row>
    <row r="15" spans="1:5" ht="30">
      <c r="A15" s="4" t="s">
        <v>175</v>
      </c>
      <c r="B15" s="5" t="s">
        <v>10</v>
      </c>
      <c r="C15" s="5" t="s">
        <v>176</v>
      </c>
      <c r="D15" s="5" t="str">
        <f>HYPERLINK("http://www.bourgogne-franche-comte.developpement-durable.gouv.fr/recueil-des-textes-juridiques-et-reglementaires-r1155.html","Arrêté préfectoral DDA/I/ST n° 287 du 10 juin 1980 "&amp;"portant Réglementation du ramassage des escargots dans le département du Jura"&amp;""&amp;"")</f>
        <v>Arrêté préfectoral DDA/I/ST n° 287 du 10 juin 1980 portant Réglementation du ramassage des escargots dans le département du Jura</v>
      </c>
      <c r="E15" s="4">
        <v>1981</v>
      </c>
    </row>
    <row r="16" spans="1:5" ht="30">
      <c r="A16" s="4" t="s">
        <v>177</v>
      </c>
      <c r="B16" s="5" t="s">
        <v>7</v>
      </c>
      <c r="C16" s="5" t="s">
        <v>176</v>
      </c>
      <c r="D16" s="5" t="str">
        <f>HYPERLINK("http://www.bourgogne-franche-comte.developpement-durable.gouv.fr/recueil-des-textes-juridiques-et-reglementaires-r1155.html","Arrêté préfectoral DDA/I/ST n° 287 du 10 juin 1980 "&amp;"portant Réglementation du ramassage des escargots dans le département du Jura"&amp;""&amp;"")</f>
        <v>Arrêté préfectoral DDA/I/ST n° 287 du 10 juin 1980 portant Réglementation du ramassage des escargots dans le département du Jura</v>
      </c>
      <c r="E16" s="4">
        <v>1981</v>
      </c>
    </row>
    <row r="17" spans="1:5" ht="30">
      <c r="A17" s="4" t="s">
        <v>178</v>
      </c>
      <c r="B17" s="5" t="s">
        <v>10</v>
      </c>
      <c r="C17" s="5" t="s">
        <v>179</v>
      </c>
      <c r="D17" s="5" t="str">
        <f>HYPERLINK("http://www.bourgogne-franche-comte.developpement-durable.gouv.fr/recueil-des-textes-juridiques-et-reglementaires-r1155.html","Arrêté préfectoral DDA/I/81 n°1269 du 1er avril 198"&amp;"1 réglementant le ramassage des escargots dans le département de la haute-saône"&amp;""&amp;"")</f>
        <v>Arrêté préfectoral DDA/I/81 n°1269 du 1er avril 1981 réglementant le ramassage des escargots dans le département de la haute-saône</v>
      </c>
      <c r="E17" s="4">
        <v>1981</v>
      </c>
    </row>
    <row r="18" spans="1:5" ht="30">
      <c r="A18" s="4" t="s">
        <v>180</v>
      </c>
      <c r="B18" s="5" t="s">
        <v>7</v>
      </c>
      <c r="C18" s="5" t="s">
        <v>179</v>
      </c>
      <c r="D18" s="5" t="str">
        <f>HYPERLINK("http://www.bourgogne-franche-comte.developpement-durable.gouv.fr/recueil-des-textes-juridiques-et-reglementaires-r1155.html","Arrêté préfectoral DDA/I/81 n°1269 du 1er avril 198"&amp;"1 réglementant le ramassage des escargots dans le département de la haute-saône"&amp;""&amp;"")</f>
        <v>Arrêté préfectoral DDA/I/81 n°1269 du 1er avril 1981 réglementant le ramassage des escargots dans le département de la haute-saône</v>
      </c>
      <c r="E18" s="4">
        <v>1981</v>
      </c>
    </row>
    <row r="19" spans="1:5" ht="75">
      <c r="A19" s="4" t="s">
        <v>181</v>
      </c>
      <c r="B19" s="5" t="s">
        <v>182</v>
      </c>
      <c r="C19" s="5" t="s">
        <v>10</v>
      </c>
      <c r="D19" s="5" t="str">
        <f>HYPERLINK("http://eur-lex.europa.eu/eli/reg_impl/2016/1141/oj","Règlement d'exécution (UE) 2016/1141 de la Commissi"&amp;"on du 13 juillet 2016 adoptant une liste des espèces exotiques envahissantes préoccupantes pour l'Union conformément au règlement (UE) n° 1143/2014 du"&amp;" Parlement européen et du Conseil (modifié par le règlement d'exécution (UE) 2017/1263 de la commiss"&amp;"ion du 12 juillet 2017, modifié par le règlement d'éxécution (UE) 2019/1262 de la Commission du 25 juillet 2019, modifié par le règlement d'éxécution (UE) 2022/1203 de la commission du 12 juillet 2022)")</f>
        <v>Règlement d'exécution (UE) 2016/1141 de la Commission du 13 juillet 2016 adoptant une liste des espèces exotiques envahissantes préoccupantes pour l'Union conformément au règlement (UE) n° 1143/2014 du Parlement européen et du Conseil (modifié par le règlement d'exécution (UE) 2017/1263 de la commission du 12 juillet 2017, modifié par le règlement d'éxécution (UE) 2019/1262 de la Commission du 25 juillet 2019, modifié par le règlement d'éxécution (UE) 2022/1203 de la commission du 12 juillet 2022)</v>
      </c>
      <c r="E19" s="4">
        <v>2016</v>
      </c>
    </row>
    <row r="20" spans="1:5" ht="75">
      <c r="A20" s="4" t="s">
        <v>183</v>
      </c>
      <c r="B20" s="5" t="s">
        <v>184</v>
      </c>
      <c r="C20" s="5" t="s">
        <v>7</v>
      </c>
      <c r="D20" s="5" t="str">
        <f>HYPERLINK("https://www.legifrance.gouv.fr/jorf/id/JORFTEXT000043113964","Arrêté du 8 janvier 2021 fixant la liste des amphib"&amp;"iens et des reptiles représentés sur le territoire métropolitain protégés sur l'ensemble du territoire national et les modalités de leur protection [J"&amp;"ORF n°0036 du 11 février 2021, Texte n° 3]."&amp;"")</f>
        <v>Arrêté du 8 janvier 2021 fixant la liste des amphibiens et des reptiles représentés sur le territoire métropolitain protégés sur l'ensemble du territoire national et les modalités de leur protection [JORF n°0036 du 11 février 2021, Texte n° 3].</v>
      </c>
      <c r="E20" s="4">
        <v>2021</v>
      </c>
    </row>
    <row r="21" spans="1:5" ht="75">
      <c r="A21" s="4" t="s">
        <v>185</v>
      </c>
      <c r="B21" s="5" t="s">
        <v>184</v>
      </c>
      <c r="C21" s="5" t="s">
        <v>186</v>
      </c>
      <c r="D21" s="5" t="str">
        <f>HYPERLINK("https://www.legifrance.gouv.fr/jorf/id/JORFTEXT000043113964","Arrêté du 8 janvier 2021 fixant la liste des amphib"&amp;"iens et des reptiles représentés sur le territoire métropolitain protégés sur l'ensemble du territoire national et les modalités de leur protection [J"&amp;"ORF n°0036 du 11 février 2021, Texte n° 3]."&amp;"")</f>
        <v>Arrêté du 8 janvier 2021 fixant la liste des amphibiens et des reptiles représentés sur le territoire métropolitain protégés sur l'ensemble du territoire national et les modalités de leur protection [JORF n°0036 du 11 février 2021, Texte n° 3].</v>
      </c>
      <c r="E21" s="4">
        <v>2021</v>
      </c>
    </row>
    <row r="22" spans="1:5" ht="75">
      <c r="A22" s="4" t="s">
        <v>187</v>
      </c>
      <c r="B22" s="5" t="s">
        <v>184</v>
      </c>
      <c r="C22" s="5" t="s">
        <v>17</v>
      </c>
      <c r="D22" s="5" t="str">
        <f>HYPERLINK("https://www.legifrance.gouv.fr/jorf/id/JORFTEXT000043113964","Arrêté du 8 janvier 2021 fixant la liste des amphib"&amp;"iens et des reptiles représentés sur le territoire métropolitain protégés sur l'ensemble du territoire national et les modalités de leur protection [J"&amp;"ORF n°0036 du 11 février 2021, Texte n° 3]."&amp;"")</f>
        <v>Arrêté du 8 janvier 2021 fixant la liste des amphibiens et des reptiles représentés sur le territoire métropolitain protégés sur l'ensemble du territoire national et les modalités de leur protection [JORF n°0036 du 11 février 2021, Texte n° 3].</v>
      </c>
      <c r="E22" s="4">
        <v>2021</v>
      </c>
    </row>
    <row r="23" spans="1:5" ht="45">
      <c r="A23" s="4" t="s">
        <v>188</v>
      </c>
      <c r="B23" s="5" t="s">
        <v>189</v>
      </c>
      <c r="C23" s="5" t="s">
        <v>190</v>
      </c>
      <c r="D23" s="5" t="str">
        <f>HYPERLINK("https://www.legifrance.gouv.fr/eli/arrete/2018/2/14/TREL1705136A/jo/texte","Arrêté du 14 février 2018 relatif à la prévention d"&amp;"e l'introduction et de la propagation des espèces animales exotiques envahissantes sur le territoire métropolitain (modifié par l'arrêté du 10 mars 20"&amp;"20, n°0118 du 14 mai 2020 texte n°7)"&amp;"")</f>
        <v>Arrêté du 14 février 2018 relatif à la prévention de l'introduction et de la propagation des espèces animales exotiques envahissantes sur le territoire métropolitain (modifié par l'arrêté du 10 mars 2020, n°0118 du 14 mai 2020 texte n°7)</v>
      </c>
      <c r="E23" s="4">
        <v>2018</v>
      </c>
    </row>
    <row r="24" spans="1:5" ht="45">
      <c r="A24" s="4" t="s">
        <v>191</v>
      </c>
      <c r="B24" s="5" t="s">
        <v>189</v>
      </c>
      <c r="C24" s="5" t="s">
        <v>192</v>
      </c>
      <c r="D24" s="5" t="str">
        <f>HYPERLINK("https://www.legifrance.gouv.fr/eli/arrete/2018/2/14/TREL1705136A/jo/texte","Arrêté du 14 février 2018 relatif à la prévention d"&amp;"e l'introduction et de la propagation des espèces animales exotiques envahissantes sur le territoire métropolitain (modifié par l'arrêté du 10 mars 20"&amp;"20, n°0118 du 14 mai 2020 texte n°7)"&amp;"")</f>
        <v>Arrêté du 14 février 2018 relatif à la prévention de l'introduction et de la propagation des espèces animales exotiques envahissantes sur le territoire métropolitain (modifié par l'arrêté du 10 mars 2020, n°0118 du 14 mai 2020 texte n°7)</v>
      </c>
      <c r="E24" s="4">
        <v>2018</v>
      </c>
    </row>
    <row r="25" spans="1:5" ht="45">
      <c r="A25" s="4" t="s">
        <v>193</v>
      </c>
      <c r="B25" s="5" t="s">
        <v>194</v>
      </c>
      <c r="C25" s="5" t="s">
        <v>190</v>
      </c>
      <c r="D25" s="5" t="str">
        <f>HYPERLINK("https://www.legifrance.gouv.fr/eli/arrete/2018/2/14/TREL1704132A/jo/texte","Arrêté du 14 février 2018 relatif à la prévention d"&amp;"e l'introduction et de la propagation des espèces végétales exotiques envahissantes sur le territoire métropolitain (modifié par l'arrêté du 10 mars 2"&amp;"020, JORF n°0118 du 14 mai 2020 texte n°7)"&amp;"")</f>
        <v>Arrêté du 14 février 2018 relatif à la prévention de l'introduction et de la propagation des espèces végétales exotiques envahissantes sur le territoire métropolitain (modifié par l'arrêté du 10 mars 2020, JORF n°0118 du 14 mai 2020 texte n°7)</v>
      </c>
      <c r="E25" s="4">
        <v>2018</v>
      </c>
    </row>
    <row r="26" spans="1:5" ht="30">
      <c r="A26" s="4" t="s">
        <v>195</v>
      </c>
      <c r="B26" s="5" t="s">
        <v>196</v>
      </c>
      <c r="C26" s="5" t="s">
        <v>10</v>
      </c>
      <c r="D26" s="5" t="str">
        <f>HYPERLINK("http://www.legifrance.gouv.fr/WAspad/UnTexteDeJorf?numjo=DEVN0540472A","Arrêté du 12 décembre 2005 portant interdiction de "&amp;"la perturbation intentionnelle du gypaète barbu, modifié par l'arrêté ministériel du 23 juillet 2013"&amp;""&amp;"")</f>
        <v>Arrêté du 12 décembre 2005 portant interdiction de la perturbation intentionnelle du gypaète barbu, modifié par l'arrêté ministériel du 23 juillet 2013</v>
      </c>
      <c r="E26" s="4">
        <v>2005</v>
      </c>
    </row>
    <row r="27" spans="1:5" ht="45">
      <c r="A27" s="4" t="s">
        <v>197</v>
      </c>
      <c r="B27" s="5" t="s">
        <v>198</v>
      </c>
      <c r="C27" s="5" t="s">
        <v>166</v>
      </c>
      <c r="D27" s="5" t="str">
        <f>HYPERLINK("http://conventions.coe.int/Treaty/fr/Treaties/Html/104.htm","Convention relative à la conservation de la vie sau"&amp;"vage et du milieu naturel de l'Europe (Convention de Berne, signée le 19 septembre 1979)"&amp;""&amp;"")</f>
        <v>Convention relative à la conservation de la vie sauvage et du milieu naturel de l'Europe (Convention de Berne, signée le 19 septembre 1979)</v>
      </c>
      <c r="E27" s="4">
        <v>1979</v>
      </c>
    </row>
    <row r="28" spans="1:5" ht="45">
      <c r="A28" s="4" t="s">
        <v>199</v>
      </c>
      <c r="B28" s="5" t="s">
        <v>198</v>
      </c>
      <c r="C28" s="5" t="s">
        <v>159</v>
      </c>
      <c r="D28" s="5" t="str">
        <f>HYPERLINK("http://conventions.coe.int/Treaty/fr/Treaties/Html/104.htm","Convention relative à la conservation de la vie sau"&amp;"vage et du milieu naturel de l'Europe (Convention de Berne, signée le 19 septembre 1979)"&amp;""&amp;"")</f>
        <v>Convention relative à la conservation de la vie sauvage et du milieu naturel de l'Europe (Convention de Berne, signée le 19 septembre 1979)</v>
      </c>
      <c r="E28" s="4">
        <v>1979</v>
      </c>
    </row>
    <row r="29" spans="1:5" ht="45">
      <c r="A29" s="4" t="s">
        <v>200</v>
      </c>
      <c r="B29" s="5" t="s">
        <v>198</v>
      </c>
      <c r="C29" s="5" t="s">
        <v>201</v>
      </c>
      <c r="D29" s="5" t="str">
        <f>HYPERLINK("http://conventions.coe.int/Treaty/fr/Treaties/Html/104.htm","Convention relative à la conservation de la vie sau"&amp;"vage et du milieu naturel de l'Europe (Convention de Berne, signée le 19 septembre 1979)"&amp;""&amp;"")</f>
        <v>Convention relative à la conservation de la vie sauvage et du milieu naturel de l'Europe (Convention de Berne, signée le 19 septembre 1979)</v>
      </c>
      <c r="E29" s="4">
        <v>1979</v>
      </c>
    </row>
    <row r="30" spans="1:5" ht="45">
      <c r="A30" s="4" t="s">
        <v>202</v>
      </c>
      <c r="B30" s="5" t="s">
        <v>203</v>
      </c>
      <c r="C30" s="5" t="s">
        <v>166</v>
      </c>
      <c r="D30" s="5" t="str">
        <f t="shared" ref="D30:D37" si="0">HYPERLINK("http://www.cms.int/fr/page/texte-de-la-convention","Convention sur la conservation des espèces migratri"&amp;"ces appartenant à la faune sauvage (CMS) (Convention de Bonn, signée le 23 juin 1979). Mise à jour le 5 avril 2018."&amp;""&amp;"")</f>
        <v>Convention sur la conservation des espèces migratrices appartenant à la faune sauvage (CMS) (Convention de Bonn, signée le 23 juin 1979). Mise à jour le 5 avril 2018.</v>
      </c>
      <c r="E30" s="4">
        <v>1979</v>
      </c>
    </row>
    <row r="31" spans="1:5" ht="45">
      <c r="A31" s="4" t="s">
        <v>204</v>
      </c>
      <c r="B31" s="5" t="s">
        <v>203</v>
      </c>
      <c r="C31" s="5" t="s">
        <v>159</v>
      </c>
      <c r="D31" s="5" t="str">
        <f t="shared" si="0"/>
        <v>Convention sur la conservation des espèces migratrices appartenant à la faune sauvage (CMS) (Convention de Bonn, signée le 23 juin 1979). Mise à jour le 5 avril 2018.</v>
      </c>
      <c r="E31" s="4">
        <v>1979</v>
      </c>
    </row>
    <row r="32" spans="1:5" ht="45">
      <c r="A32" s="4" t="s">
        <v>205</v>
      </c>
      <c r="B32" s="5" t="s">
        <v>203</v>
      </c>
      <c r="C32" s="5" t="s">
        <v>206</v>
      </c>
      <c r="D32" s="5" t="str">
        <f t="shared" si="0"/>
        <v>Convention sur la conservation des espèces migratrices appartenant à la faune sauvage (CMS) (Convention de Bonn, signée le 23 juin 1979). Mise à jour le 5 avril 2018.</v>
      </c>
      <c r="E32" s="4">
        <v>1979</v>
      </c>
    </row>
    <row r="33" spans="1:5" ht="45">
      <c r="A33" s="4" t="s">
        <v>207</v>
      </c>
      <c r="B33" s="5" t="s">
        <v>203</v>
      </c>
      <c r="C33" s="5" t="s">
        <v>208</v>
      </c>
      <c r="D33" s="5" t="str">
        <f t="shared" si="0"/>
        <v>Convention sur la conservation des espèces migratrices appartenant à la faune sauvage (CMS) (Convention de Bonn, signée le 23 juin 1979). Mise à jour le 5 avril 2018.</v>
      </c>
      <c r="E33" s="4">
        <v>1979</v>
      </c>
    </row>
    <row r="34" spans="1:5" ht="45">
      <c r="A34" s="4" t="s">
        <v>209</v>
      </c>
      <c r="B34" s="5" t="s">
        <v>203</v>
      </c>
      <c r="C34" s="5" t="s">
        <v>210</v>
      </c>
      <c r="D34" s="5" t="str">
        <f t="shared" si="0"/>
        <v>Convention sur la conservation des espèces migratrices appartenant à la faune sauvage (CMS) (Convention de Bonn, signée le 23 juin 1979). Mise à jour le 5 avril 2018.</v>
      </c>
      <c r="E34" s="4">
        <v>1979</v>
      </c>
    </row>
    <row r="35" spans="1:5" ht="45">
      <c r="A35" s="4" t="s">
        <v>211</v>
      </c>
      <c r="B35" s="5" t="s">
        <v>203</v>
      </c>
      <c r="C35" s="5" t="s">
        <v>212</v>
      </c>
      <c r="D35" s="5" t="str">
        <f t="shared" si="0"/>
        <v>Convention sur la conservation des espèces migratrices appartenant à la faune sauvage (CMS) (Convention de Bonn, signée le 23 juin 1979). Mise à jour le 5 avril 2018.</v>
      </c>
      <c r="E35" s="4">
        <v>1979</v>
      </c>
    </row>
    <row r="36" spans="1:5" ht="45">
      <c r="A36" s="4" t="s">
        <v>213</v>
      </c>
      <c r="B36" s="5" t="s">
        <v>203</v>
      </c>
      <c r="C36" s="5" t="s">
        <v>214</v>
      </c>
      <c r="D36" s="5" t="str">
        <f t="shared" si="0"/>
        <v>Convention sur la conservation des espèces migratrices appartenant à la faune sauvage (CMS) (Convention de Bonn, signée le 23 juin 1979). Mise à jour le 5 avril 2018.</v>
      </c>
      <c r="E36" s="4">
        <v>1979</v>
      </c>
    </row>
    <row r="37" spans="1:5" ht="45">
      <c r="A37" s="4" t="s">
        <v>215</v>
      </c>
      <c r="B37" s="5" t="s">
        <v>203</v>
      </c>
      <c r="C37" s="5" t="s">
        <v>216</v>
      </c>
      <c r="D37" s="5" t="str">
        <f t="shared" si="0"/>
        <v>Convention sur la conservation des espèces migratrices appartenant à la faune sauvage (CMS) (Convention de Bonn, signée le 23 juin 1979). Mise à jour le 5 avril 2018.</v>
      </c>
      <c r="E37" s="4">
        <v>1979</v>
      </c>
    </row>
    <row r="38" spans="1:5" ht="30">
      <c r="A38" s="4" t="s">
        <v>217</v>
      </c>
      <c r="B38" s="5" t="s">
        <v>218</v>
      </c>
      <c r="C38" s="5" t="s">
        <v>10</v>
      </c>
      <c r="D38" s="5" t="str">
        <f>HYPERLINK("https://www.legifrance.gouv.fr/loda/id/JORFTEXT000000471000/","Arrêté interministériel du 21 juillet 1983, modifié"&amp;" par l'arrêté du 18 janvier 2000, relatif à la protection des écrevisses autochtones"&amp;""&amp;"")</f>
        <v>Arrêté interministériel du 21 juillet 1983, modifié par l'arrêté du 18 janvier 2000, relatif à la protection des écrevisses autochtones</v>
      </c>
      <c r="E38" s="4">
        <v>1983</v>
      </c>
    </row>
    <row r="39" spans="1:5" ht="30">
      <c r="A39" s="4" t="s">
        <v>219</v>
      </c>
      <c r="B39" s="5" t="s">
        <v>220</v>
      </c>
      <c r="C39" s="5" t="s">
        <v>221</v>
      </c>
      <c r="D39" s="5" t="str">
        <f>HYPERLINK("http://www.legifrance.gouv.fr/affichTexte.do?cidTexte=JORFTEXT000000296288&amp;fastPos=20&amp;fastReqId=341347806&amp;categorieLien=cid&amp;oldAction=rechTexte","Arrêté ministériel du 26 juin 1987 fixant la liste "&amp;"des espèces de gibier dont la chasse est autorisée (modifié par l'article 1 de l'arrêté du 1er mars 2019, JORF n°0064 du 16 mars 2019 texte n° 7)"&amp;""&amp;"")</f>
        <v>Arrêté ministériel du 26 juin 1987 fixant la liste des espèces de gibier dont la chasse est autorisée (modifié par l'article 1 de l'arrêté du 1er mars 2019, JORF n°0064 du 16 mars 2019 texte n° 7)</v>
      </c>
      <c r="E39" s="4">
        <v>1987</v>
      </c>
    </row>
    <row r="40" spans="1:5" ht="30">
      <c r="A40" s="4" t="s">
        <v>222</v>
      </c>
      <c r="B40" s="5" t="s">
        <v>223</v>
      </c>
      <c r="C40" s="5" t="s">
        <v>7</v>
      </c>
      <c r="D40" s="5" t="str">
        <f>HYPERLINK("http://legifrance.gouv.fr/affichTexte.do?cidTexte=JORFTEXT000000465500","Arrêté interministériel du 23 avril 2007 fixant la "&amp;"liste des insectes protégés sur l’ensemble du territoire et les modalités de leur protection"&amp;""&amp;"")</f>
        <v>Arrêté interministériel du 23 avril 2007 fixant la liste des insectes protégés sur l’ensemble du territoire et les modalités de leur protection</v>
      </c>
      <c r="E40" s="4">
        <v>2007</v>
      </c>
    </row>
    <row r="41" spans="1:5" ht="30">
      <c r="A41" s="4" t="s">
        <v>224</v>
      </c>
      <c r="B41" s="5" t="s">
        <v>223</v>
      </c>
      <c r="C41" s="5" t="s">
        <v>186</v>
      </c>
      <c r="D41" s="5" t="str">
        <f>HYPERLINK("http://legifrance.gouv.fr/affichTexte.do?cidTexte=JORFTEXT000000465500","Arrêté interministériel du 23 avril 2007 fixant la "&amp;"liste des insectes protégés sur l’ensemble du territoire et les modalités de leur protection"&amp;""&amp;"")</f>
        <v>Arrêté interministériel du 23 avril 2007 fixant la liste des insectes protégés sur l’ensemble du territoire et les modalités de leur protection</v>
      </c>
      <c r="E41" s="4">
        <v>2007</v>
      </c>
    </row>
    <row r="42" spans="1:5" ht="60">
      <c r="A42" s="4" t="s">
        <v>225</v>
      </c>
      <c r="B42" s="5" t="s">
        <v>226</v>
      </c>
      <c r="C42" s="5" t="s">
        <v>227</v>
      </c>
      <c r="D42" s="5" t="str">
        <f>HYPERLINK("http://www.legifrance.gouv.fr/WAspad/UnTexteDeJorf?numjo=ATEN9980224A","Arrêté interministériel du 9 juillet 1999 fixant la"&amp;" liste des espèces de vertébrés protégées menacées d'extinction en France et dont l'aire de répartition excède le territoire d'un département, modifié"&amp;" par l'arrêté du 27 mai 2009 (JORF du 29 mai 2009, p. 8889)"&amp;"")</f>
        <v>Arrêté interministériel du 9 juillet 1999 fixant la liste des espèces de vertébrés protégées menacées d'extinction en France et dont l'aire de répartition excède le territoire d'un département, modifié par l'arrêté du 27 mai 2009 (JORF du 29 mai 2009, p. 8889)</v>
      </c>
      <c r="E42" s="4">
        <v>1999</v>
      </c>
    </row>
    <row r="43" spans="1:5" ht="45">
      <c r="A43" s="4" t="s">
        <v>228</v>
      </c>
      <c r="B43" s="5" t="s">
        <v>229</v>
      </c>
      <c r="C43" s="5" t="s">
        <v>7</v>
      </c>
      <c r="D43" s="5" t="str">
        <f>HYPERLINK("http://www.legifrance.gouv.fr/affichTexte.do?cidTexte=JORFTEXT000000649682","Arrêté interministériel du 23 avril 2007 fixant la "&amp;"liste des mammifères terrestres protégés sur l'ensemble du territoire et les modalités de leur protection (modifié par l'article 2 de l'arrêté du 1er "&amp;"mars 2019, JORF n°0064 du 16 mars 2019 texte n° 7)"&amp;"")</f>
        <v>Arrêté interministériel du 23 avril 2007 fixant la liste des mammifères terrestres protégés sur l'ensemble du territoire et les modalités de leur protection (modifié par l'article 2 de l'arrêté du 1er mars 2019, JORF n°0064 du 16 mars 2019 texte n° 7)</v>
      </c>
      <c r="E43" s="4">
        <v>2007</v>
      </c>
    </row>
    <row r="44" spans="1:5" ht="45">
      <c r="A44" s="4" t="s">
        <v>230</v>
      </c>
      <c r="B44" s="5" t="s">
        <v>231</v>
      </c>
      <c r="C44" s="5" t="s">
        <v>7</v>
      </c>
      <c r="D44" s="5" t="str">
        <f>HYPERLINK("https://www.legifrance.gouv.fr/affichTexte.do?cidTexte=JORFTEXT000024396902","Arrêté interministériel du 1er juillet 2011 fixant "&amp;"la liste des mammifères marins protégés sur le territoire national et les modalités de leur protection (modifié par l'arrêté du 6 septembre 2018 JORF "&amp;"n°0225 du 29 septembre 2018 texte n° 31, modifié par l'arrêté du 3 septembre 2020 JORF n°0240 du 2 o"&amp;"ctobre 2020 texte n°2)")</f>
        <v>Arrêté interministériel du 1er juillet 2011 fixant la liste des mammifères marins protégés sur le territoire national et les modalités de leur protection (modifié par l'arrêté du 6 septembre 2018 JORF n°0225 du 29 septembre 2018 texte n° 31, modifié par l'arrêté du 3 septembre 2020 JORF n°0240 du 2 octobre 2020 texte n°2)</v>
      </c>
      <c r="E44" s="4">
        <v>2011</v>
      </c>
    </row>
    <row r="45" spans="1:5" ht="45">
      <c r="A45" s="4" t="s">
        <v>232</v>
      </c>
      <c r="B45" s="5" t="s">
        <v>231</v>
      </c>
      <c r="C45" s="5" t="s">
        <v>186</v>
      </c>
      <c r="D45" s="5" t="str">
        <f>HYPERLINK("https://www.legifrance.gouv.fr/affichTexte.do?cidTexte=JORFTEXT000024396902","Arrêté interministériel du 1er juillet 2011 fixant "&amp;"la liste des mammifères marins protégés sur le territoire national et les modalités de leur protection (modifié par l'arrêté du 6 septembre 2018 JORF "&amp;"n°0225 du 29 septembre 2018 texte n° 31, modifié par l'arrêté du 3 septembre 2020 JORF n°0240 du 2 o"&amp;"ctobre 2020 texte n°2)")</f>
        <v>Arrêté interministériel du 1er juillet 2011 fixant la liste des mammifères marins protégés sur le territoire national et les modalités de leur protection (modifié par l'arrêté du 6 septembre 2018 JORF n°0225 du 29 septembre 2018 texte n° 31, modifié par l'arrêté du 3 septembre 2020 JORF n°0240 du 2 octobre 2020 texte n°2)</v>
      </c>
      <c r="E45" s="4">
        <v>2011</v>
      </c>
    </row>
    <row r="46" spans="1:5" ht="45">
      <c r="A46" s="4" t="s">
        <v>233</v>
      </c>
      <c r="B46" s="5" t="s">
        <v>231</v>
      </c>
      <c r="C46" s="5" t="s">
        <v>234</v>
      </c>
      <c r="D46" s="5" t="str">
        <f>HYPERLINK("https://www.legifrance.gouv.fr/affichTexte.do?cidTexte=JORFTEXT000024396902","Arrêté interministériel du 1er juillet 2011 fixant "&amp;"la liste des mammifères marins protégés sur le territoire national et les modalités de leur protection (modifié par l'arrêté du 6 septembre 2018 JORF "&amp;"n°0225 du 29 septembre 2018 texte n° 31, modifié par l'arrêté du 3 septembre 2020 JORF n°0240 du 2 o"&amp;"ctobre 2020 texte n°2)")</f>
        <v>Arrêté interministériel du 1er juillet 2011 fixant la liste des mammifères marins protégés sur le territoire national et les modalités de leur protection (modifié par l'arrêté du 6 septembre 2018 JORF n°0225 du 29 septembre 2018 texte n° 31, modifié par l'arrêté du 3 septembre 2020 JORF n°0240 du 2 octobre 2020 texte n°2)</v>
      </c>
      <c r="E46" s="4">
        <v>2011</v>
      </c>
    </row>
    <row r="47" spans="1:5" ht="30">
      <c r="A47" s="4" t="s">
        <v>235</v>
      </c>
      <c r="B47" s="5" t="s">
        <v>236</v>
      </c>
      <c r="C47" s="5" t="s">
        <v>7</v>
      </c>
      <c r="D47" s="5" t="str">
        <f>HYPERLINK("http://www.legifrance.gouv.fr/WAspad/UnTexteDeJorf?numjo=DEVN0752758A","Arrêté interministériel du 23 avril 2007 fixant la "&amp;"liste des mollusques protégés sur l'ensemble du territoire et les modalités de leur protection"&amp;""&amp;"")</f>
        <v>Arrêté interministériel du 23 avril 2007 fixant la liste des mollusques protégés sur l'ensemble du territoire et les modalités de leur protection</v>
      </c>
      <c r="E47" s="4">
        <v>2007</v>
      </c>
    </row>
    <row r="48" spans="1:5" ht="30">
      <c r="A48" s="4" t="s">
        <v>237</v>
      </c>
      <c r="B48" s="5" t="s">
        <v>236</v>
      </c>
      <c r="C48" s="5" t="s">
        <v>17</v>
      </c>
      <c r="D48" s="5" t="str">
        <f>HYPERLINK("http://www.legifrance.gouv.fr/WAspad/UnTexteDeJorf?numjo=DEVN0752758A","Arrêté interministériel du 23 avril 2007 fixant la "&amp;"liste des mollusques protégés sur l'ensemble du territoire et les modalités de leur protection"&amp;""&amp;"")</f>
        <v>Arrêté interministériel du 23 avril 2007 fixant la liste des mollusques protégés sur l'ensemble du territoire et les modalités de leur protection</v>
      </c>
      <c r="E48" s="4">
        <v>2007</v>
      </c>
    </row>
    <row r="49" spans="1:5" ht="30">
      <c r="A49" s="4" t="s">
        <v>238</v>
      </c>
      <c r="B49" s="5" t="s">
        <v>239</v>
      </c>
      <c r="C49" s="5" t="s">
        <v>186</v>
      </c>
      <c r="D49" s="5" t="str">
        <f>HYPERLINK("http://legifrance.gouv.fr/affichTexte.do?cidTexte=JORFTEXT000021384277","Arrêté interministériel du 29 octobre 2009 fixant l"&amp;"a liste des oiseaux protégés sur l’ensemble du territoire et les modalités de leur protection (JORF 5 décembre 2009, p. 21056)"&amp;""&amp;"")</f>
        <v>Arrêté interministériel du 29 octobre 2009 fixant la liste des oiseaux protégés sur l’ensemble du territoire et les modalités de leur protection (JORF 5 décembre 2009, p. 21056)</v>
      </c>
      <c r="E49" s="4">
        <v>2009</v>
      </c>
    </row>
    <row r="50" spans="1:5" ht="30">
      <c r="A50" s="4" t="s">
        <v>240</v>
      </c>
      <c r="B50" s="5" t="s">
        <v>239</v>
      </c>
      <c r="C50" s="5" t="s">
        <v>17</v>
      </c>
      <c r="D50" s="5" t="str">
        <f>HYPERLINK("http://legifrance.gouv.fr/affichTexte.do?cidTexte=JORFTEXT000021384277","Arrêté interministériel du 29 octobre 2009 fixant l"&amp;"a liste des oiseaux protégés sur l’ensemble du territoire et les modalités de leur protection (JORF 5 décembre 2009, p. 21056)"&amp;""&amp;"")</f>
        <v>Arrêté interministériel du 29 octobre 2009 fixant la liste des oiseaux protégés sur l’ensemble du territoire et les modalités de leur protection (JORF 5 décembre 2009, p. 21056)</v>
      </c>
      <c r="E50" s="4">
        <v>2009</v>
      </c>
    </row>
    <row r="51" spans="1:5" ht="30">
      <c r="A51" s="4" t="s">
        <v>241</v>
      </c>
      <c r="B51" s="5" t="s">
        <v>239</v>
      </c>
      <c r="C51" s="5" t="s">
        <v>242</v>
      </c>
      <c r="D51" s="5" t="str">
        <f>HYPERLINK("http://legifrance.gouv.fr/affichTexte.do?cidTexte=JORFTEXT000021384277","Arrêté interministériel du 29 octobre 2009 fixant l"&amp;"a liste des oiseaux protégés sur l’ensemble du territoire et les modalités de leur protection (JORF 5 décembre 2009, p. 21056)"&amp;""&amp;"")</f>
        <v>Arrêté interministériel du 29 octobre 2009 fixant la liste des oiseaux protégés sur l’ensemble du territoire et les modalités de leur protection (JORF 5 décembre 2009, p. 21056)</v>
      </c>
      <c r="E51" s="4">
        <v>2009</v>
      </c>
    </row>
    <row r="52" spans="1:5" ht="30">
      <c r="A52" s="4" t="s">
        <v>243</v>
      </c>
      <c r="B52" s="5" t="s">
        <v>244</v>
      </c>
      <c r="C52" s="5" t="s">
        <v>10</v>
      </c>
      <c r="D52" s="5" t="str">
        <f>HYPERLINK("http://www.legifrance.gouv.fr/affichTexte.do?cidTexte=JORFTEXT000000327373","Arrêté interministériel du 8 décembre 1988 fixant l"&amp;"a liste des espèces de poissons protégées sur l'ensemble du territoire national"&amp;""&amp;"")</f>
        <v>Arrêté interministériel du 8 décembre 1988 fixant la liste des espèces de poissons protégées sur l'ensemble du territoire national</v>
      </c>
      <c r="E52" s="4">
        <v>1988</v>
      </c>
    </row>
    <row r="53" spans="1:5" ht="60">
      <c r="A53" s="4" t="s">
        <v>245</v>
      </c>
      <c r="B53" s="5" t="s">
        <v>246</v>
      </c>
      <c r="C53" s="5" t="s">
        <v>10</v>
      </c>
      <c r="D53" s="5" t="str">
        <f>HYPERLINK("http://www.legifrance.gouv.fr/affichTexte.do?cidTexte=JORFTEXT000000865328&amp;fastPos=1&amp;fastReqId=1607863946&amp;categorieLien=cid&amp;oldAction=rechTexte","Arrêté interministériel du 20 janvier 1982 relatif "&amp;"à la liste des espèces végétales protégées sur l'ensemble du territoire, modifié par les arrêtés du 15 septembre 1982 (JORF du 14 décembre 1982, p. 11"&amp;"147), du 31 août 1995 (JORF du 17 octobre 1995, pp. 15099-15101), du 14 décembre 2006 (JORF du 24 fé"&amp;"vrier 2007, p. 62) et du 23 mai 2013 (JORF du 7 juin 2013, texte 24)")</f>
        <v>Arrêté interministériel du 20 janvier 1982 relatif à la liste des espèces végétales protégées sur l'ensemble du territoire, modifié par les arrêtés du 15 septembre 1982 (JORF du 14 décembre 1982, p. 11147), du 31 août 1995 (JORF du 17 octobre 1995, pp. 15099-15101), du 14 décembre 2006 (JORF du 24 février 2007, p. 62) et du 23 mai 2013 (JORF du 7 juin 2013, texte 24)</v>
      </c>
      <c r="E53" s="4">
        <v>1982</v>
      </c>
    </row>
    <row r="54" spans="1:5" ht="60">
      <c r="A54" s="4" t="s">
        <v>247</v>
      </c>
      <c r="B54" s="5" t="s">
        <v>246</v>
      </c>
      <c r="C54" s="5" t="s">
        <v>7</v>
      </c>
      <c r="D54" s="5" t="str">
        <f>HYPERLINK("http://www.legifrance.gouv.fr/affichTexte.do?cidTexte=JORFTEXT000000865328&amp;fastPos=1&amp;fastReqId=1607863946&amp;categorieLien=cid&amp;oldAction=rechTexte","Arrêté interministériel du 20 janvier 1982 relatif "&amp;"à la liste des espèces végétales protégées sur l'ensemble du territoire, modifié par les arrêtés du 15 septembre 1982 (JORF du 14 décembre 1982, p. 11"&amp;"147), du 31 août 1995 (JORF du 17 octobre 1995, pp. 15099-15101), du 14 décembre 2006 (JORF du 24 fé"&amp;"vrier 2007, p. 62) et du 23 mai 2013 (JORF du 7 juin 2013, texte 24)")</f>
        <v>Arrêté interministériel du 20 janvier 1982 relatif à la liste des espèces végétales protégées sur l'ensemble du territoire, modifié par les arrêtés du 15 septembre 1982 (JORF du 14 décembre 1982, p. 11147), du 31 août 1995 (JORF du 17 octobre 1995, pp. 15099-15101), du 14 décembre 2006 (JORF du 24 février 2007, p. 62) et du 23 mai 2013 (JORF du 7 juin 2013, texte 24)</v>
      </c>
      <c r="E54" s="4">
        <v>1982</v>
      </c>
    </row>
    <row r="55" spans="1:5" ht="60">
      <c r="A55" s="4" t="s">
        <v>248</v>
      </c>
      <c r="B55" s="5" t="s">
        <v>246</v>
      </c>
      <c r="C55" s="5" t="s">
        <v>186</v>
      </c>
      <c r="D55" s="5" t="str">
        <f>HYPERLINK("http://www.legifrance.gouv.fr/affichTexte.do?cidTexte=JORFTEXT000000865328&amp;fastPos=1&amp;fastReqId=1607863946&amp;categorieLien=cid&amp;oldAction=rechTexte","Arrêté interministériel du 20 janvier 1982 relatif "&amp;"à la liste des espèces végétales protégées sur l'ensemble du territoire, modifié par les arrêtés du 15 septembre 1982 (JORF du 14 décembre 1982, p. 11"&amp;"147), du 31 août 1995 (JORF du 17 octobre 1995, pp. 15099-15101), du 14 décembre 2006 (JORF du 24 fé"&amp;"vrier 2007, p. 62) et du 23 mai 2013 (JORF du 7 juin 2013, texte 24)")</f>
        <v>Arrêté interministériel du 20 janvier 1982 relatif à la liste des espèces végétales protégées sur l'ensemble du territoire, modifié par les arrêtés du 15 septembre 1982 (JORF du 14 décembre 1982, p. 11147), du 31 août 1995 (JORF du 17 octobre 1995, pp. 15099-15101), du 14 décembre 2006 (JORF du 24 février 2007, p. 62) et du 23 mai 2013 (JORF du 7 juin 2013, texte 24)</v>
      </c>
      <c r="E55" s="4">
        <v>1982</v>
      </c>
    </row>
    <row r="56" spans="1:5" ht="45">
      <c r="A56" s="4" t="s">
        <v>249</v>
      </c>
      <c r="B56" s="5" t="s">
        <v>250</v>
      </c>
      <c r="C56" s="5" t="s">
        <v>7</v>
      </c>
      <c r="D56" s="5" t="str">
        <f>HYPERLINK("http://www.legifrance.gouv.fr/affichTexte.do?cidTexte=JORFTEXT000021309438","Arrêté interministériel du 29 octobre 2009 relatif "&amp;"à la protection et à la commercialisation de certaines espèces d'oiseaux sur le territoire national (JORF 24 novembre 2009, p. 20143)"&amp;""&amp;"")</f>
        <v>Arrêté interministériel du 29 octobre 2009 relatif à la protection et à la commercialisation de certaines espèces d'oiseaux sur le territoire national (JORF 24 novembre 2009, p. 20143)</v>
      </c>
      <c r="E56" s="4">
        <v>2009</v>
      </c>
    </row>
    <row r="57" spans="1:5" ht="45">
      <c r="A57" s="4" t="s">
        <v>251</v>
      </c>
      <c r="B57" s="5" t="s">
        <v>250</v>
      </c>
      <c r="C57" s="5" t="s">
        <v>186</v>
      </c>
      <c r="D57" s="5" t="str">
        <f>HYPERLINK("http://www.legifrance.gouv.fr/affichTexte.do?cidTexte=JORFTEXT000021309438","Arrêté interministériel du 29 octobre 2009 relatif "&amp;"à la protection et à la commercialisation de certaines espèces d'oiseaux sur le territoire national (JORF 24 novembre 2009, p. 20143)"&amp;""&amp;"")</f>
        <v>Arrêté interministériel du 29 octobre 2009 relatif à la protection et à la commercialisation de certaines espèces d'oiseaux sur le territoire national (JORF 24 novembre 2009, p. 20143)</v>
      </c>
      <c r="E57" s="4">
        <v>2009</v>
      </c>
    </row>
    <row r="58" spans="1:5" ht="45">
      <c r="A58" s="4" t="s">
        <v>252</v>
      </c>
      <c r="B58" s="5" t="s">
        <v>250</v>
      </c>
      <c r="C58" s="5" t="s">
        <v>17</v>
      </c>
      <c r="D58" s="5" t="str">
        <f>HYPERLINK("http://www.legifrance.gouv.fr/affichTexte.do?cidTexte=JORFTEXT000021309438","Arrêté interministériel du 29 octobre 2009 relatif "&amp;"à la protection et à la commercialisation de certaines espèces d'oiseaux sur le territoire national (JORF 24 novembre 2009, p. 20143)"&amp;""&amp;"")</f>
        <v>Arrêté interministériel du 29 octobre 2009 relatif à la protection et à la commercialisation de certaines espèces d'oiseaux sur le territoire national (JORF 24 novembre 2009, p. 20143)</v>
      </c>
      <c r="E58" s="4">
        <v>2009</v>
      </c>
    </row>
    <row r="59" spans="1:5" ht="45">
      <c r="A59" s="4" t="s">
        <v>253</v>
      </c>
      <c r="B59" s="5" t="s">
        <v>250</v>
      </c>
      <c r="C59" s="5" t="s">
        <v>234</v>
      </c>
      <c r="D59" s="5" t="str">
        <f>HYPERLINK("http://www.legifrance.gouv.fr/affichTexte.do?cidTexte=JORFTEXT000021309438","Arrêté interministériel du 29 octobre 2009 relatif "&amp;"à la protection et à la commercialisation de certaines espèces d'oiseaux sur le territoire national (JORF 24 novembre 2009, p. 20143)"&amp;""&amp;"")</f>
        <v>Arrêté interministériel du 29 octobre 2009 relatif à la protection et à la commercialisation de certaines espèces d'oiseaux sur le territoire national (JORF 24 novembre 2009, p. 20143)</v>
      </c>
      <c r="E59" s="4">
        <v>2009</v>
      </c>
    </row>
    <row r="60" spans="1:5" ht="60">
      <c r="A60" s="4" t="s">
        <v>254</v>
      </c>
      <c r="B60" s="5" t="s">
        <v>255</v>
      </c>
      <c r="C60" s="5" t="s">
        <v>10</v>
      </c>
      <c r="D60" s="5" t="str">
        <f>HYPERLINK("https://www.legifrance.gouv.fr/loda/id/LEGITEXT000006074396/","Arrêté interministériel du 24 avril 1979 fixant la "&amp;"liste des escargots dont le ramassage et la cession à titre gratuit ou onéreux peuvent être interdits ou autorisés"&amp;""&amp;"")</f>
        <v>Arrêté interministériel du 24 avril 1979 fixant la liste des escargots dont le ramassage et la cession à titre gratuit ou onéreux peuvent être interdits ou autorisés</v>
      </c>
      <c r="E60" s="4">
        <v>1979</v>
      </c>
    </row>
    <row r="61" spans="1:5" ht="60">
      <c r="A61" s="4" t="s">
        <v>256</v>
      </c>
      <c r="B61" s="5" t="s">
        <v>255</v>
      </c>
      <c r="C61" s="5" t="s">
        <v>257</v>
      </c>
      <c r="D61" s="5" t="str">
        <f>HYPERLINK("https://www.legifrance.gouv.fr/loda/id/LEGITEXT000006074396/","Arrêté interministériel du 24 avril 1979 fixant la "&amp;"liste des escargots dont le ramassage et la cession à titre gratuit ou onéreux peuvent être interdits ou autorisés"&amp;""&amp;"")</f>
        <v>Arrêté interministériel du 24 avril 1979 fixant la liste des escargots dont le ramassage et la cession à titre gratuit ou onéreux peuvent être interdits ou autorisés</v>
      </c>
      <c r="E61" s="4">
        <v>1979</v>
      </c>
    </row>
    <row r="62" spans="1:5" ht="60">
      <c r="A62" s="4" t="s">
        <v>258</v>
      </c>
      <c r="B62" s="5" t="s">
        <v>255</v>
      </c>
      <c r="C62" s="5" t="s">
        <v>259</v>
      </c>
      <c r="D62" s="5" t="str">
        <f>HYPERLINK("https://www.legifrance.gouv.fr/loda/id/LEGITEXT000006074396/","Arrêté interministériel du 24 avril 1979 fixant la "&amp;"liste des escargots dont le ramassage et la cession à titre gratuit ou onéreux peuvent être interdits ou autorisés"&amp;""&amp;"")</f>
        <v>Arrêté interministériel du 24 avril 1979 fixant la liste des escargots dont le ramassage et la cession à titre gratuit ou onéreux peuvent être interdits ou autorisés</v>
      </c>
      <c r="E62" s="4">
        <v>1979</v>
      </c>
    </row>
    <row r="63" spans="1:5">
      <c r="A63" s="4" t="s">
        <v>260</v>
      </c>
      <c r="B63" s="5" t="s">
        <v>261</v>
      </c>
      <c r="C63" s="5" t="s">
        <v>10</v>
      </c>
      <c r="D63" s="5" t="str">
        <f>HYPERLINK("https://www.legifrance.gouv.fr/affichTexte.do?cidTexte=LEGITEXT000006074764","Arrêté du 5 juin 1985 relatif à la production des s"&amp;"pécimens de grenouille rousse"&amp;""&amp;"")</f>
        <v>Arrêté du 5 juin 1985 relatif à la production des spécimens de grenouille rousse</v>
      </c>
      <c r="E63" s="4">
        <v>1985</v>
      </c>
    </row>
    <row r="64" spans="1:5" ht="30">
      <c r="A64" s="4" t="s">
        <v>262</v>
      </c>
      <c r="B64" s="5" t="s">
        <v>263</v>
      </c>
      <c r="C64" s="5" t="s">
        <v>10</v>
      </c>
      <c r="D64" s="5" t="str">
        <f>HYPERLINK("http://www.legifrance.gouv.fr/WAspad/UnTexteDeJorf?numjo=ENVN9250096A","Arrêté interministériel du 27 mars 1992 relatif à l"&amp;"a liste des espèces végétales protégées en région Bourgogne complétant la liste nationale"&amp;""&amp;"")</f>
        <v>Arrêté interministériel du 27 mars 1992 relatif à la liste des espèces végétales protégées en région Bourgogne complétant la liste nationale</v>
      </c>
      <c r="E64" s="4">
        <v>1992</v>
      </c>
    </row>
    <row r="65" spans="1:5" ht="30">
      <c r="A65" s="4" t="s">
        <v>264</v>
      </c>
      <c r="B65" s="5" t="s">
        <v>265</v>
      </c>
      <c r="C65" s="5" t="s">
        <v>10</v>
      </c>
      <c r="D65" s="5" t="str">
        <f>HYPERLINK("http://www.legifrance.gouv.fr/WAspad/UnTexteDeJorf?numjo=ENVN9250168A","Arrêté interministériel du 22 juin 1992 relatif à l"&amp;"a liste des espèces végétales protégées en région Franche-Comté complétant la liste nationale"&amp;""&amp;"")</f>
        <v>Arrêté interministériel du 22 juin 1992 relatif à la liste des espèces végétales protégées en région Franche-Comté complétant la liste nationale</v>
      </c>
      <c r="E65" s="4">
        <v>1992</v>
      </c>
    </row>
    <row r="66" spans="1:5" ht="45">
      <c r="A66" s="4" t="s">
        <v>266</v>
      </c>
      <c r="B66" s="5" t="s">
        <v>267</v>
      </c>
      <c r="C66" s="5" t="s">
        <v>268</v>
      </c>
      <c r="D66" s="5" t="str">
        <f>HYPERLINK("http://eur-lex.europa.eu/LexUriServ/LexUriServ.do?uri=OJ:L:2011:211:0011:0032:FR:PDF","Règlement d'exécution (UE) N° 828/2011 de la Commis"&amp;"sion du 17 août 2011 suspendant l'introduction dans l'Union de spécimens de certaines espèces de faune et de flore sauvages"&amp;""&amp;"")</f>
        <v>Règlement d'exécution (UE) N° 828/2011 de la Commission du 17 août 2011 suspendant l'introduction dans l'Union de spécimens de certaines espèces de faune et de flore sauvages</v>
      </c>
      <c r="E66" s="4">
        <v>2011</v>
      </c>
    </row>
    <row r="67" spans="1:5" ht="30">
      <c r="A67" s="4" t="s">
        <v>269</v>
      </c>
      <c r="B67" s="5" t="s">
        <v>10</v>
      </c>
      <c r="C67" s="5" t="s">
        <v>16</v>
      </c>
      <c r="D67" s="5" t="str">
        <f>HYPERLINK("http://www.bourgogne-franche-comte.developpement-durable.gouv.fr/recueil-des-textes-juridiques-et-reglementaires-r1155.html","Arrêté préfectoral 91/DADUE/4B/n°792 du 11 mars 199"&amp;"1 portant réglementation de la cueillette de certaines plantes sauvages"&amp;""&amp;"")</f>
        <v>Arrêté préfectoral 91/DADUE/4B/n°792 du 11 mars 1991 portant réglementation de la cueillette de certaines plantes sauvages</v>
      </c>
      <c r="E67" s="4">
        <v>1991</v>
      </c>
    </row>
    <row r="68" spans="1:5" ht="30">
      <c r="A68" s="4" t="s">
        <v>270</v>
      </c>
      <c r="B68" s="5" t="s">
        <v>7</v>
      </c>
      <c r="C68" s="5" t="s">
        <v>16</v>
      </c>
      <c r="D68" s="5" t="str">
        <f>HYPERLINK("http://www.bourgogne-franche-comte.developpement-durable.gouv.fr/recueil-des-textes-juridiques-et-reglementaires-r1155.html","Arrêté préfectoral 91/DADUE/4B/n°792 du 11 mars 199"&amp;"1 portant réglementation de la cueillette de certaines plantes sauvages"&amp;""&amp;"")</f>
        <v>Arrêté préfectoral 91/DADUE/4B/n°792 du 11 mars 1991 portant réglementation de la cueillette de certaines plantes sauvages</v>
      </c>
      <c r="E68" s="4">
        <v>1991</v>
      </c>
    </row>
    <row r="69" spans="1:5" ht="30">
      <c r="A69" s="4" t="s">
        <v>271</v>
      </c>
      <c r="B69" s="5" t="s">
        <v>186</v>
      </c>
      <c r="C69" s="5" t="s">
        <v>16</v>
      </c>
      <c r="D69" s="5" t="str">
        <f>HYPERLINK("http://www.bourgogne-franche-comte.developpement-durable.gouv.fr/recueil-des-textes-juridiques-et-reglementaires-r1155.html","Arrêté préfectoral 91/DADUE/4B/n°792 du 11 mars 199"&amp;"1 portant réglementation de la cueillette de certaines plantes sauvages"&amp;""&amp;"")</f>
        <v>Arrêté préfectoral 91/DADUE/4B/n°792 du 11 mars 1991 portant réglementation de la cueillette de certaines plantes sauvages</v>
      </c>
      <c r="E69" s="4">
        <v>1991</v>
      </c>
    </row>
    <row r="70" spans="1:5" ht="30">
      <c r="A70" s="4" t="s">
        <v>272</v>
      </c>
      <c r="B70" s="5" t="s">
        <v>234</v>
      </c>
      <c r="C70" s="5" t="s">
        <v>16</v>
      </c>
      <c r="D70" s="5" t="str">
        <f>HYPERLINK("http://www.bourgogne-franche-comte.developpement-durable.gouv.fr/recueil-des-textes-juridiques-et-reglementaires-r1155.html","Arrêté préfectoral 91/DADUE/4B/n°792 du 11 mars 199"&amp;"1 portant réglementation de la cueillette de certaines plantes sauvages"&amp;""&amp;"")</f>
        <v>Arrêté préfectoral 91/DADUE/4B/n°792 du 11 mars 1991 portant réglementation de la cueillette de certaines plantes sauvages</v>
      </c>
      <c r="E70" s="4">
        <v>1991</v>
      </c>
    </row>
    <row r="71" spans="1:5" ht="30">
      <c r="A71" s="4" t="s">
        <v>273</v>
      </c>
      <c r="B71" s="5" t="s">
        <v>274</v>
      </c>
      <c r="C71" s="5" t="s">
        <v>10</v>
      </c>
      <c r="D71" s="5" t="str">
        <f>HYPERLINK("https://inpn.mnhn.fr/docs-web/docs/download/667","Arrêté préfectoral n° 60 du 18 janvier 1993 portant"&amp;" réglementation de la cueillette de certaines plantes sauvages [dans le département du Jura]"&amp;""&amp;"")</f>
        <v>Arrêté préfectoral n° 60 du 18 janvier 1993 portant réglementation de la cueillette de certaines plantes sauvages [dans le département du Jura]</v>
      </c>
      <c r="E71" s="4">
        <v>1993</v>
      </c>
    </row>
    <row r="72" spans="1:5" ht="30">
      <c r="A72" s="4" t="s">
        <v>275</v>
      </c>
      <c r="B72" s="5" t="s">
        <v>274</v>
      </c>
      <c r="C72" s="5" t="s">
        <v>7</v>
      </c>
      <c r="D72" s="5" t="str">
        <f>HYPERLINK("https://inpn.mnhn.fr/docs-web/docs/download/667","Arrêté préfectoral n° 60 du 18 janvier 1993 portant"&amp;" réglementation de la cueillette de certaines plantes sauvages [dans le département du Jura]"&amp;""&amp;"")</f>
        <v>Arrêté préfectoral n° 60 du 18 janvier 1993 portant réglementation de la cueillette de certaines plantes sauvages [dans le département du Jura]</v>
      </c>
      <c r="E72" s="4">
        <v>1993</v>
      </c>
    </row>
    <row r="73" spans="1:5" ht="30">
      <c r="A73" s="4" t="s">
        <v>276</v>
      </c>
      <c r="B73" s="5" t="s">
        <v>274</v>
      </c>
      <c r="C73" s="5" t="s">
        <v>186</v>
      </c>
      <c r="D73" s="5" t="str">
        <f>HYPERLINK("https://inpn.mnhn.fr/docs-web/docs/download/667","Arrêté préfectoral n° 60 du 18 janvier 1993 portant"&amp;" réglementation de la cueillette de certaines plantes sauvages [dans le département du Jura]"&amp;""&amp;"")</f>
        <v>Arrêté préfectoral n° 60 du 18 janvier 1993 portant réglementation de la cueillette de certaines plantes sauvages [dans le département du Jura]</v>
      </c>
      <c r="E73" s="4">
        <v>1993</v>
      </c>
    </row>
    <row r="74" spans="1:5" ht="30">
      <c r="A74" s="4" t="s">
        <v>277</v>
      </c>
      <c r="B74" s="5" t="s">
        <v>274</v>
      </c>
      <c r="C74" s="5" t="s">
        <v>234</v>
      </c>
      <c r="D74" s="5" t="str">
        <f>HYPERLINK("https://inpn.mnhn.fr/docs-web/docs/download/667","Arrêté préfectoral n° 60 du 18 janvier 1993 portant"&amp;" réglementation de la cueillette de certaines plantes sauvages [dans le département du Jura]"&amp;""&amp;"")</f>
        <v>Arrêté préfectoral n° 60 du 18 janvier 1993 portant réglementation de la cueillette de certaines plantes sauvages [dans le département du Jura]</v>
      </c>
      <c r="E74" s="4">
        <v>1993</v>
      </c>
    </row>
    <row r="75" spans="1:5" ht="30">
      <c r="A75" s="4" t="s">
        <v>278</v>
      </c>
      <c r="B75" s="5" t="s">
        <v>274</v>
      </c>
      <c r="C75" s="5" t="s">
        <v>242</v>
      </c>
      <c r="D75" s="5" t="str">
        <f>HYPERLINK("https://inpn.mnhn.fr/docs-web/docs/download/667","Arrêté préfectoral n° 60 du 18 janvier 1993 portant"&amp;" réglementation de la cueillette de certaines plantes sauvages [dans le département du Jura]"&amp;""&amp;"")</f>
        <v>Arrêté préfectoral n° 60 du 18 janvier 1993 portant réglementation de la cueillette de certaines plantes sauvages [dans le département du Jura]</v>
      </c>
      <c r="E75" s="4">
        <v>1993</v>
      </c>
    </row>
    <row r="76" spans="1:5" ht="30">
      <c r="A76" s="4" t="s">
        <v>279</v>
      </c>
      <c r="B76" s="5" t="s">
        <v>10</v>
      </c>
      <c r="C76" s="5" t="s">
        <v>280</v>
      </c>
      <c r="D76" s="5" t="str">
        <f>HYPERLINK("http://www.bourgogne-franche-comte.developpement-durable.gouv.fr/recueil-des-textes-juridiques-et-reglementaires-r1155.html","Arrêté préfectoral 2D/4B/R/90 n°120 du 19 décembre "&amp;"1990 portant réglementation de la cueillette de certaines espèces végétales sauvages"&amp;""&amp;"")</f>
        <v>Arrêté préfectoral 2D/4B/R/90 n°120 du 19 décembre 1990 portant réglementation de la cueillette de certaines espèces végétales sauvages</v>
      </c>
      <c r="E76" s="4">
        <v>1990</v>
      </c>
    </row>
    <row r="77" spans="1:5" ht="30">
      <c r="A77" s="4" t="s">
        <v>281</v>
      </c>
      <c r="B77" s="5" t="s">
        <v>10</v>
      </c>
      <c r="C77" s="5" t="s">
        <v>282</v>
      </c>
      <c r="D77" s="5" t="str">
        <f>HYPERLINK("http://www.bourgogne-franche-comte.developpement-durable.gouv.fr/recueil-des-textes-juridiques-et-reglementaires-r1155.html","Arrêté préfectoral 2D/4B/R/93 n°55 du 14 avril 1993"&amp;" modifiant l'arrêté 2D/4B/R/90 n°120 du 19 décembre 1990 portant réglementation de la cueillette de certaines espèces végétales sauvages"&amp;""&amp;"")</f>
        <v>Arrêté préfectoral 2D/4B/R/93 n°55 du 14 avril 1993 modifiant l'arrêté 2D/4B/R/90 n°120 du 19 décembre 1990 portant réglementation de la cueillette de certaines espèces végétales sauvages</v>
      </c>
      <c r="E77" s="4">
        <v>1993</v>
      </c>
    </row>
    <row r="78" spans="1:5" ht="30">
      <c r="A78" s="4" t="s">
        <v>283</v>
      </c>
      <c r="B78" s="5" t="s">
        <v>7</v>
      </c>
      <c r="C78" s="5" t="s">
        <v>280</v>
      </c>
      <c r="D78" s="5" t="str">
        <f>HYPERLINK("http://www.bourgogne-franche-comte.developpement-durable.gouv.fr/recueil-des-textes-juridiques-et-reglementaires-r1155.html","Arrêté préfectoral 2D/4B/R/90 n°120 du 19 décembre "&amp;"1990 portant réglementation de la cueillette de certaines espèces végétales sauvages"&amp;""&amp;"")</f>
        <v>Arrêté préfectoral 2D/4B/R/90 n°120 du 19 décembre 1990 portant réglementation de la cueillette de certaines espèces végétales sauvages</v>
      </c>
      <c r="E78" s="4">
        <v>1990</v>
      </c>
    </row>
    <row r="79" spans="1:5" ht="45">
      <c r="A79" s="4" t="s">
        <v>284</v>
      </c>
      <c r="B79" s="5" t="s">
        <v>285</v>
      </c>
      <c r="C79" s="5" t="s">
        <v>221</v>
      </c>
      <c r="D79" s="5" t="str">
        <f>HYPERLINK("https://www.legifrance.gouv.fr/loda/id/JORFTEXT000026844543/","Arrêté du 26 décembre 2012 relatif au classement da"&amp;"ns la liste des dangers sanitaires du frelon asiatique"&amp;""&amp;"")</f>
        <v>Arrêté du 26 décembre 2012 relatif au classement dans la liste des dangers sanitaires du frelon asiatique</v>
      </c>
      <c r="E79" s="4">
        <v>2012</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7"/>
  <sheetViews>
    <sheetView workbookViewId="0">
      <pane ySplit="1" topLeftCell="A2" activePane="bottomLeft" state="frozen"/>
      <selection pane="bottomLeft" activeCell="A2" sqref="A2"/>
    </sheetView>
  </sheetViews>
  <sheetFormatPr baseColWidth="10" defaultColWidth="9.140625" defaultRowHeight="15"/>
  <cols>
    <col min="1" max="1" width="22.28515625" style="4" customWidth="1"/>
    <col min="2" max="2" width="68.5703125" style="5" customWidth="1"/>
    <col min="3" max="3" width="10.7109375" style="5" customWidth="1"/>
    <col min="4" max="4" width="98.140625" style="5" customWidth="1"/>
    <col min="5" max="5" width="20.7109375" style="4" customWidth="1"/>
    <col min="6" max="16384" width="9.140625" style="4"/>
  </cols>
  <sheetData>
    <row r="1" spans="1:5">
      <c r="A1" s="4" t="s">
        <v>0</v>
      </c>
      <c r="B1" s="5" t="s">
        <v>1</v>
      </c>
      <c r="C1" s="5" t="s">
        <v>2</v>
      </c>
      <c r="D1" s="5" t="s">
        <v>3</v>
      </c>
      <c r="E1" s="4" t="s">
        <v>4</v>
      </c>
    </row>
    <row r="2" spans="1:5" ht="30">
      <c r="A2" s="4" t="s">
        <v>5</v>
      </c>
      <c r="B2" s="5" t="s">
        <v>6</v>
      </c>
      <c r="C2" s="5" t="s">
        <v>7</v>
      </c>
      <c r="D2" s="5" t="str">
        <f>HYPERLINK("http://www.bourgogne-franche-comte.developpement-durable.gouv.fr/recueil-des-textes-juridiques-et-reglementaires-r1155.html","Arrêté préfectoral 2D/4B/R/90/ N° 121 du 19 décembr"&amp;"e 1990 portant réglementation de la cueillette des champignons"&amp;"")</f>
        <v>Arrêté préfectoral 2D/4B/R/90/ N° 121 du 19 décembre 1990 portant réglementation de la cueillette des champignons</v>
      </c>
      <c r="E2" s="4" t="s">
        <v>8</v>
      </c>
    </row>
    <row r="3" spans="1:5" ht="30">
      <c r="A3" s="4" t="s">
        <v>5</v>
      </c>
      <c r="B3" s="5" t="s">
        <v>9</v>
      </c>
      <c r="C3" s="5" t="s">
        <v>10</v>
      </c>
      <c r="D3" s="5" t="str">
        <f>HYPERLINK("http://www.bourgogne-franche-comte.developpement-durable.gouv.fr/recueil-des-textes-juridiques-et-reglementaires-r1155.html","Arrêté préfectoral 91/DADUE/4B/n°791 du 11 mars 199"&amp;"1 portant réglementation de la cueillette des champignons"&amp;"")</f>
        <v>Arrêté préfectoral 91/DADUE/4B/n°791 du 11 mars 1991 portant réglementation de la cueillette des champignons</v>
      </c>
      <c r="E3" s="4" t="s">
        <v>11</v>
      </c>
    </row>
    <row r="4" spans="1:5" ht="30">
      <c r="A4" s="4" t="s">
        <v>5</v>
      </c>
      <c r="B4" s="5" t="s">
        <v>12</v>
      </c>
      <c r="C4" s="5" t="s">
        <v>7</v>
      </c>
      <c r="D4" s="5" t="str">
        <f>HYPERLINK("http://www.bourgogne-franche-comte.developpement-durable.gouv.fr/recueil-des-textes-juridiques-et-reglementaires-r1155.html","Arrêté préfectoral n° 61 du 18 janvier 1993 portant"&amp;" réglementation de la cueillette des champignons"&amp;"")</f>
        <v>Arrêté préfectoral n° 61 du 18 janvier 1993 portant réglementation de la cueillette des champignons</v>
      </c>
      <c r="E4" s="4" t="s">
        <v>13</v>
      </c>
    </row>
    <row r="5" spans="1:5" ht="30">
      <c r="A5" s="4" t="s">
        <v>5</v>
      </c>
      <c r="B5" s="5" t="s">
        <v>14</v>
      </c>
      <c r="C5" s="5" t="s">
        <v>10</v>
      </c>
      <c r="D5" s="5" t="str">
        <f>HYPERLINK("http://www.bourgogne-franche-comte.developpement-durable.gouv.fr/recueil-des-textes-juridiques-et-reglementaires-r1155.html","Arrêté préfectoral n° 1044 du 6 mai 1993 réglementa"&amp;"nt le ramassage ou la récolte et la cession, à titre gratuit ou onéreux, des espèces de champignons "&amp;"non cultivées")</f>
        <v>Arrêté préfectoral n° 1044 du 6 mai 1993 réglementant le ramassage ou la récolte et la cession, à titre gratuit ou onéreux, des espèces de champignons non cultivées</v>
      </c>
      <c r="E5" s="4" t="s">
        <v>13</v>
      </c>
    </row>
    <row r="6" spans="1:5" ht="30">
      <c r="A6" s="4" t="s">
        <v>15</v>
      </c>
      <c r="B6" s="5" t="s">
        <v>16</v>
      </c>
      <c r="C6" s="5" t="s">
        <v>17</v>
      </c>
      <c r="D6" s="5" t="str">
        <f>HYPERLINK("http://www.bourgogne-franche-comte.developpement-durable.gouv.fr/recueil-des-textes-juridiques-et-reglementaires-r1155.html","Arrêté préfectoral 91/DADUE/4B/n°792 du 11 mars 199"&amp;"1 portant réglementation de la cueillette de certaines plantes sauvages"&amp;"")</f>
        <v>Arrêté préfectoral 91/DADUE/4B/n°792 du 11 mars 1991 portant réglementation de la cueillette de certaines plantes sauvages</v>
      </c>
      <c r="E6" s="4" t="s">
        <v>11</v>
      </c>
    </row>
    <row r="7" spans="1:5" ht="30">
      <c r="A7" s="4" t="s">
        <v>18</v>
      </c>
      <c r="B7" s="5" t="s">
        <v>16</v>
      </c>
      <c r="C7" s="5" t="s">
        <v>17</v>
      </c>
      <c r="D7" s="5" t="str">
        <f>HYPERLINK("http://www.bourgogne-franche-comte.developpement-durable.gouv.fr/recueil-des-textes-juridiques-et-reglementaires-r1155.html","Arrêté préfectoral 91/DADUE/4B/n°792 du 11 mars 199"&amp;"1 portant réglementation de la cueillette de certaines plantes sauvages"&amp;"")</f>
        <v>Arrêté préfectoral 91/DADUE/4B/n°792 du 11 mars 1991 portant réglementation de la cueillette de certaines plantes sauvages</v>
      </c>
      <c r="E7" s="4" t="s">
        <v>11</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10"/>
  <sheetViews>
    <sheetView workbookViewId="0">
      <pane ySplit="1" topLeftCell="A2" activePane="bottomLeft" state="frozen"/>
      <selection pane="bottomLeft" activeCell="A2" sqref="A2"/>
    </sheetView>
  </sheetViews>
  <sheetFormatPr baseColWidth="10" defaultColWidth="9.140625" defaultRowHeight="15"/>
  <cols>
    <col min="1" max="1" width="20.7109375" style="4" customWidth="1"/>
    <col min="2" max="2" width="78" style="5" customWidth="1"/>
    <col min="3" max="16384" width="9.140625" style="4"/>
  </cols>
  <sheetData>
    <row r="1" spans="1:2">
      <c r="A1" s="4" t="s">
        <v>19</v>
      </c>
      <c r="B1" s="5" t="s">
        <v>20</v>
      </c>
    </row>
    <row r="2" spans="1:2" ht="45">
      <c r="A2" s="4" t="s">
        <v>73</v>
      </c>
      <c r="B2" s="5" t="s">
        <v>74</v>
      </c>
    </row>
    <row r="3" spans="1:2" ht="30">
      <c r="A3" s="4" t="s">
        <v>75</v>
      </c>
      <c r="B3" s="5" t="s">
        <v>76</v>
      </c>
    </row>
    <row r="4" spans="1:2" ht="30">
      <c r="A4" s="4" t="s">
        <v>77</v>
      </c>
      <c r="B4" s="5" t="s">
        <v>78</v>
      </c>
    </row>
    <row r="5" spans="1:2" ht="30">
      <c r="A5" s="4" t="s">
        <v>79</v>
      </c>
      <c r="B5" s="5" t="s">
        <v>80</v>
      </c>
    </row>
    <row r="6" spans="1:2">
      <c r="A6" s="4" t="s">
        <v>81</v>
      </c>
      <c r="B6" s="5" t="s">
        <v>82</v>
      </c>
    </row>
    <row r="7" spans="1:2" ht="30">
      <c r="A7" s="4" t="s">
        <v>83</v>
      </c>
      <c r="B7" s="5" t="s">
        <v>84</v>
      </c>
    </row>
    <row r="8" spans="1:2">
      <c r="A8" s="4" t="s">
        <v>85</v>
      </c>
      <c r="B8" s="5" t="s">
        <v>86</v>
      </c>
    </row>
    <row r="9" spans="1:2" ht="45">
      <c r="A9" s="4" t="s">
        <v>43</v>
      </c>
      <c r="B9" s="5" t="s">
        <v>87</v>
      </c>
    </row>
    <row r="10" spans="1:2">
      <c r="A10" s="4" t="s">
        <v>88</v>
      </c>
      <c r="B10" s="5" t="s">
        <v>89</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16"/>
  <sheetViews>
    <sheetView workbookViewId="0">
      <pane ySplit="1" topLeftCell="A2" activePane="bottomLeft" state="frozen"/>
      <selection pane="bottomLeft" activeCell="A2" sqref="A2"/>
    </sheetView>
  </sheetViews>
  <sheetFormatPr baseColWidth="10" defaultColWidth="9.140625" defaultRowHeight="15"/>
  <cols>
    <col min="1" max="1" width="20.7109375" customWidth="1"/>
    <col min="2" max="2" width="44.42578125" customWidth="1"/>
  </cols>
  <sheetData>
    <row r="1" spans="1:2">
      <c r="A1" t="s">
        <v>19</v>
      </c>
      <c r="B1" t="s">
        <v>20</v>
      </c>
    </row>
    <row r="2" spans="1:2">
      <c r="A2" t="s">
        <v>43</v>
      </c>
      <c r="B2" t="s">
        <v>44</v>
      </c>
    </row>
    <row r="3" spans="1:2">
      <c r="A3" t="s">
        <v>45</v>
      </c>
      <c r="B3" t="s">
        <v>46</v>
      </c>
    </row>
    <row r="4" spans="1:2">
      <c r="A4" t="s">
        <v>47</v>
      </c>
      <c r="B4" t="s">
        <v>48</v>
      </c>
    </row>
    <row r="5" spans="1:2">
      <c r="A5" t="s">
        <v>49</v>
      </c>
      <c r="B5" t="s">
        <v>50</v>
      </c>
    </row>
    <row r="6" spans="1:2">
      <c r="A6" t="s">
        <v>51</v>
      </c>
      <c r="B6" t="s">
        <v>52</v>
      </c>
    </row>
    <row r="7" spans="1:2">
      <c r="A7" t="s">
        <v>53</v>
      </c>
      <c r="B7" t="s">
        <v>54</v>
      </c>
    </row>
    <row r="8" spans="1:2">
      <c r="A8" t="s">
        <v>55</v>
      </c>
      <c r="B8" t="s">
        <v>56</v>
      </c>
    </row>
    <row r="9" spans="1:2">
      <c r="A9" t="s">
        <v>57</v>
      </c>
      <c r="B9" t="s">
        <v>58</v>
      </c>
    </row>
    <row r="10" spans="1:2">
      <c r="A10" t="s">
        <v>59</v>
      </c>
      <c r="B10" t="s">
        <v>60</v>
      </c>
    </row>
    <row r="11" spans="1:2">
      <c r="A11" t="s">
        <v>61</v>
      </c>
      <c r="B11" t="s">
        <v>62</v>
      </c>
    </row>
    <row r="12" spans="1:2">
      <c r="A12" t="s">
        <v>63</v>
      </c>
      <c r="B12" t="s">
        <v>64</v>
      </c>
    </row>
    <row r="13" spans="1:2">
      <c r="A13" t="s">
        <v>65</v>
      </c>
      <c r="B13" t="s">
        <v>66</v>
      </c>
    </row>
    <row r="14" spans="1:2">
      <c r="A14" t="s">
        <v>67</v>
      </c>
      <c r="B14" t="s">
        <v>68</v>
      </c>
    </row>
    <row r="15" spans="1:2">
      <c r="A15" t="s">
        <v>69</v>
      </c>
      <c r="B15" t="s">
        <v>70</v>
      </c>
    </row>
    <row r="16" spans="1:2">
      <c r="A16" t="s">
        <v>71</v>
      </c>
      <c r="B16" t="s">
        <v>72</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12"/>
  <sheetViews>
    <sheetView workbookViewId="0">
      <pane ySplit="1" topLeftCell="A2" activePane="bottomLeft" state="frozen"/>
      <selection pane="bottomLeft" activeCell="A2" sqref="A2"/>
    </sheetView>
  </sheetViews>
  <sheetFormatPr baseColWidth="10" defaultColWidth="9.140625" defaultRowHeight="15"/>
  <cols>
    <col min="1" max="1" width="20.7109375" customWidth="1"/>
    <col min="2" max="2" width="33.7109375" customWidth="1"/>
  </cols>
  <sheetData>
    <row r="1" spans="1:2">
      <c r="A1" s="9" t="s">
        <v>19</v>
      </c>
      <c r="B1" t="s">
        <v>20</v>
      </c>
    </row>
    <row r="2" spans="1:2">
      <c r="A2" t="s">
        <v>21</v>
      </c>
      <c r="B2" t="s">
        <v>22</v>
      </c>
    </row>
    <row r="3" spans="1:2">
      <c r="A3" t="s">
        <v>23</v>
      </c>
      <c r="B3" t="s">
        <v>24</v>
      </c>
    </row>
    <row r="4" spans="1:2">
      <c r="A4" t="s">
        <v>25</v>
      </c>
      <c r="B4" t="s">
        <v>26</v>
      </c>
    </row>
    <row r="5" spans="1:2">
      <c r="A5" t="s">
        <v>27</v>
      </c>
      <c r="B5" t="s">
        <v>28</v>
      </c>
    </row>
    <row r="6" spans="1:2">
      <c r="A6" t="s">
        <v>29</v>
      </c>
      <c r="B6" t="s">
        <v>30</v>
      </c>
    </row>
    <row r="7" spans="1:2">
      <c r="A7" t="s">
        <v>31</v>
      </c>
      <c r="B7" t="s">
        <v>32</v>
      </c>
    </row>
    <row r="8" spans="1:2">
      <c r="A8" t="s">
        <v>33</v>
      </c>
      <c r="B8" t="s">
        <v>34</v>
      </c>
    </row>
    <row r="9" spans="1:2">
      <c r="A9" t="s">
        <v>35</v>
      </c>
      <c r="B9" t="s">
        <v>36</v>
      </c>
    </row>
    <row r="10" spans="1:2">
      <c r="A10" t="s">
        <v>37</v>
      </c>
      <c r="B10" t="s">
        <v>38</v>
      </c>
    </row>
    <row r="11" spans="1:2">
      <c r="A11" t="s">
        <v>39</v>
      </c>
      <c r="B11" t="s">
        <v>40</v>
      </c>
    </row>
    <row r="12" spans="1:2">
      <c r="A12" t="s">
        <v>41</v>
      </c>
      <c r="B12" t="s">
        <v>42</v>
      </c>
    </row>
  </sheetData>
  <conditionalFormatting sqref="A2:A12">
    <cfRule type="containsText" dxfId="10" priority="1" operator="containsText" text="RE">
      <formula>NOT(ISERROR(SEARCH("RE",A2)))</formula>
    </cfRule>
    <cfRule type="containsText" dxfId="9" priority="2" operator="containsText" text="EW">
      <formula>NOT(ISERROR(SEARCH("EW",A2)))</formula>
    </cfRule>
    <cfRule type="containsText" dxfId="8" priority="3" operator="containsText" text="EX">
      <formula>NOT(ISERROR(SEARCH("EX",A2)))</formula>
    </cfRule>
    <cfRule type="containsText" dxfId="7" priority="4" operator="containsText" text="CR">
      <formula>NOT(ISERROR(SEARCH("CR",A2)))</formula>
    </cfRule>
    <cfRule type="containsText" dxfId="6" priority="5" operator="containsText" text="EN">
      <formula>NOT(ISERROR(SEARCH("EN",A2)))</formula>
    </cfRule>
    <cfRule type="containsText" dxfId="5" priority="6" operator="containsText" text="VU">
      <formula>NOT(ISERROR(SEARCH("VU",A2)))</formula>
    </cfRule>
    <cfRule type="containsText" dxfId="4" priority="7" operator="containsText" text="NT">
      <formula>NOT(ISERROR(SEARCH("NT",A2)))</formula>
    </cfRule>
    <cfRule type="containsText" dxfId="3" priority="8" operator="containsText" text="LC">
      <formula>NOT(ISERROR(SEARCH("LC",A2)))</formula>
    </cfRule>
    <cfRule type="containsText" dxfId="2" priority="9" operator="containsText" text="DD">
      <formula>NOT(ISERROR(SEARCH("DD",A2)))</formula>
    </cfRule>
    <cfRule type="containsText" dxfId="1" priority="10" operator="containsText" text="NA">
      <formula>NOT(ISERROR(SEARCH("NA",A2)))</formula>
    </cfRule>
    <cfRule type="containsText" dxfId="0" priority="11" operator="containsText" text="NE">
      <formula>NOT(ISERROR(SEARCH("NE",A2)))</formula>
    </cfRule>
  </conditionalFormatting>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56726-FFDA-4D82-A6E8-C244310780FC}">
  <dimension ref="A1"/>
  <sheetViews>
    <sheetView workbookViewId="0"/>
  </sheetViews>
  <sheetFormatPr baseColWidth="10" defaultRowHeight="1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9BBC5A084E1ED4E963C2901BA88D073" ma:contentTypeVersion="17" ma:contentTypeDescription="Crée un document." ma:contentTypeScope="" ma:versionID="51794918fdffc38db9a7360b45e76e53">
  <xsd:schema xmlns:xsd="http://www.w3.org/2001/XMLSchema" xmlns:xs="http://www.w3.org/2001/XMLSchema" xmlns:p="http://schemas.microsoft.com/office/2006/metadata/properties" xmlns:ns2="6b8cb77d-a925-4552-884c-3a9f42643b3e" xmlns:ns3="420118ff-24d7-4491-82e9-ec11c9137629" targetNamespace="http://schemas.microsoft.com/office/2006/metadata/properties" ma:root="true" ma:fieldsID="0dbc1521d2d1590e81298ae0ba0d5010" ns2:_="" ns3:_="">
    <xsd:import namespace="6b8cb77d-a925-4552-884c-3a9f42643b3e"/>
    <xsd:import namespace="420118ff-24d7-4491-82e9-ec11c913762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8cb77d-a925-4552-884c-3a9f42643b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Balises d’images" ma:readOnly="false" ma:fieldId="{5cf76f15-5ced-4ddc-b409-7134ff3c332f}" ma:taxonomyMulti="true" ma:sspId="520a2b2d-d973-4978-9b65-3d16cc8cb43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0118ff-24d7-4491-82e9-ec11c9137629" elementFormDefault="qualified">
    <xsd:import namespace="http://schemas.microsoft.com/office/2006/documentManagement/types"/>
    <xsd:import namespace="http://schemas.microsoft.com/office/infopath/2007/PartnerControls"/>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element name="TaxCatchAll" ma:index="22" nillable="true" ma:displayName="Taxonomy Catch All Column" ma:hidden="true" ma:list="{4af71188-7dd9-4452-b57f-67f8cdc46037}" ma:internalName="TaxCatchAll" ma:showField="CatchAllData" ma:web="420118ff-24d7-4491-82e9-ec11c913762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5D59447-9761-4E6E-BF9D-EE5B20E4CD9E}"/>
</file>

<file path=customXml/itemProps2.xml><?xml version="1.0" encoding="utf-8"?>
<ds:datastoreItem xmlns:ds="http://schemas.openxmlformats.org/officeDocument/2006/customXml" ds:itemID="{5878B5F2-2A38-471C-8379-473B75E4385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9</vt:i4>
      </vt:variant>
    </vt:vector>
  </HeadingPairs>
  <TitlesOfParts>
    <vt:vector size="9" baseType="lpstr">
      <vt:lpstr>Liste_espèces</vt:lpstr>
      <vt:lpstr>Dictionnaire_données</vt:lpstr>
      <vt:lpstr>Informations_générales</vt:lpstr>
      <vt:lpstr>Réglementation</vt:lpstr>
      <vt:lpstr>Réglementation_groupes_espèce</vt:lpstr>
      <vt:lpstr>SCAP</vt:lpstr>
      <vt:lpstr>Statut_biogéographique</vt:lpstr>
      <vt:lpstr>Liste_rouge</vt:lpstr>
      <vt:lpstr>Critères_liste_rouge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Déborah BECHTEL</cp:lastModifiedBy>
  <dcterms:modified xsi:type="dcterms:W3CDTF">2023-12-21T11:13:31Z</dcterms:modified>
</cp:coreProperties>
</file>